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3.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drawings/drawing4.xml" ContentType="application/vnd.openxmlformats-officedocument.drawing+xml"/>
  <Override PartName="/xl/ctrlProps/ctrlProp24.xml" ContentType="application/vnd.ms-excel.controlproperties+xml"/>
  <Override PartName="/xl/ctrlProps/ctrlProp25.xml" ContentType="application/vnd.ms-excel.controlproperties+xml"/>
  <Override PartName="/xl/tables/table1.xml" ContentType="application/vnd.openxmlformats-officedocument.spreadsheetml.table+xml"/>
  <Override PartName="/xl/drawings/drawing5.xml" ContentType="application/vnd.openxmlformats-officedocument.drawing+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drawings/drawing8.xml" ContentType="application/vnd.openxmlformats-officedocument.drawing+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drawings/drawing9.xml" ContentType="application/vnd.openxmlformats-officedocument.drawing+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ctrlProps/ctrlProp68.xml" ContentType="application/vnd.ms-excel.controlproperties+xml"/>
  <Override PartName="/xl/ctrlProps/ctrlProp69.xml" ContentType="application/vnd.ms-excel.controlproperties+xml"/>
  <Override PartName="/xl/drawings/drawing12.xml" ContentType="application/vnd.openxmlformats-officedocument.drawing+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drawings/drawing13.xml" ContentType="application/vnd.openxmlformats-officedocument.drawing+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omments1.xml" ContentType="application/vnd.openxmlformats-officedocument.spreadsheetml.comments+xml"/>
  <Override PartName="/xl/drawings/drawing14.xml" ContentType="application/vnd.openxmlformats-officedocument.drawing+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drawings/drawing15.xml" ContentType="application/vnd.openxmlformats-officedocument.drawing+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drawings/drawing16.xml" ContentType="application/vnd.openxmlformats-officedocument.drawing+xml"/>
  <Override PartName="/xl/drawings/drawing17.xml" ContentType="application/vnd.openxmlformats-officedocument.drawing+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saveExternalLinkValues="0" updateLinks="never" codeName="DieseArbeitsmappe"/>
  <mc:AlternateContent xmlns:mc="http://schemas.openxmlformats.org/markup-compatibility/2006">
    <mc:Choice Requires="x15">
      <x15ac:absPath xmlns:x15ac="http://schemas.microsoft.com/office/spreadsheetml/2010/11/ac" url="C:\Daten Jörn\Plausibilitätsprüfung\Excel-Programm\"/>
    </mc:Choice>
  </mc:AlternateContent>
  <xr:revisionPtr revIDLastSave="0" documentId="8_{5CFA3AEF-FABA-4BED-9A9E-A1519D506BA7}" xr6:coauthVersionLast="36" xr6:coauthVersionMax="36" xr10:uidLastSave="{00000000-0000-0000-0000-000000000000}"/>
  <bookViews>
    <workbookView xWindow="-105" yWindow="-105" windowWidth="23250" windowHeight="12450" tabRatio="959" firstSheet="10" activeTab="10" autoFilterDateGrouping="0" xr2:uid="{00000000-000D-0000-FFFF-FFFF00000000}"/>
  </bookViews>
  <sheets>
    <sheet name="TO Ziff.5" sheetId="124" state="hidden" r:id="rId1"/>
    <sheet name="VPI &amp; Zins" sheetId="74" state="hidden" r:id="rId2"/>
    <sheet name="BilMoG-7" sheetId="11" state="hidden" r:id="rId3"/>
    <sheet name="BilMoG10" sheetId="23" state="hidden" r:id="rId4"/>
    <sheet name="Lebenserwartung_M" sheetId="1" state="hidden" r:id="rId5"/>
    <sheet name="Lebenserwartung_F" sheetId="2" state="hidden" r:id="rId6"/>
    <sheet name="Lebenserwartung_N" sheetId="30" state="hidden" r:id="rId7"/>
    <sheet name="G_Kohorte_M" sheetId="4" state="hidden" r:id="rId8"/>
    <sheet name="G_Kohorte_F" sheetId="5" state="hidden" r:id="rId9"/>
    <sheet name="G_Kohorte_N" sheetId="31" state="hidden" r:id="rId10"/>
    <sheet name="Inhalt" sheetId="94" r:id="rId11"/>
    <sheet name="Fallerfassung" sheetId="138" r:id="rId12"/>
    <sheet name="Einzel-Bewertung" sheetId="19" r:id="rId13"/>
    <sheet name="Links" sheetId="151" state="hidden" r:id="rId14"/>
    <sheet name="Berechnungstext" sheetId="22" r:id="rId15"/>
    <sheet name="Ehezeitanteil" sheetId="29" state="hidden" r:id="rId16"/>
    <sheet name="Sterbetafel_P" sheetId="96" state="hidden" r:id="rId17"/>
    <sheet name="Adressen DRV" sheetId="108" state="hidden" r:id="rId18"/>
    <sheet name="Hilfstabelle für Grafik" sheetId="106" state="hidden" r:id="rId19"/>
    <sheet name="Berechnungen BVerfG" sheetId="99" state="hidden" r:id="rId20"/>
    <sheet name="BVerfG 1 BvL 5-18" sheetId="98" r:id="rId21"/>
    <sheet name="Experten-Diagrammdaten" sheetId="161" state="hidden" r:id="rId22"/>
    <sheet name="Expertendiagramm" sheetId="162" state="hidden" r:id="rId23"/>
    <sheet name="Gewinn &amp; Verlust" sheetId="126" r:id="rId24"/>
    <sheet name="TO-Prüfung" sheetId="134" r:id="rId25"/>
    <sheet name="sVA § 20" sheetId="117" r:id="rId26"/>
    <sheet name="§§ 23, 24" sheetId="156" r:id="rId27"/>
    <sheet name="§ 22" sheetId="157" r:id="rId28"/>
    <sheet name="Verzinsung" sheetId="115" r:id="rId29"/>
    <sheet name="§ 33" sheetId="105" r:id="rId30"/>
    <sheet name="Renteneintritt" sheetId="12" state="hidden" r:id="rId31"/>
    <sheet name="Grundrentenrechner" sheetId="127" r:id="rId32"/>
    <sheet name="BarwertVO" sheetId="139" state="hidden" r:id="rId33"/>
    <sheet name="Abänderungsgründe" sheetId="135" state="hidden" r:id="rId34"/>
    <sheet name="Abänderungsampel" sheetId="140" r:id="rId35"/>
    <sheet name="Parameter" sheetId="103" r:id="rId36"/>
    <sheet name="Dies &amp; Das" sheetId="17" r:id="rId37"/>
    <sheet name="Zeichen" sheetId="158" state="hidden" r:id="rId38"/>
    <sheet name="Tabelle1" sheetId="154" state="hidden" r:id="rId39"/>
    <sheet name="Muster Schreiben" sheetId="160" state="hidden" r:id="rId40"/>
    <sheet name="Unbesetzt" sheetId="150" r:id="rId41"/>
    <sheet name="Formulare &amp; Muster" sheetId="159" state="hidden" r:id="rId42"/>
    <sheet name="KV&amp;PV" sheetId="149" r:id="rId43"/>
    <sheet name="BarwertVglDFGT" sheetId="123" state="hidden" r:id="rId44"/>
    <sheet name="HIRI-Zuschläge66" sheetId="9" state="hidden" r:id="rId45"/>
    <sheet name="HRIR-Zuschläge" sheetId="8" state="hidden" r:id="rId46"/>
    <sheet name="HIRI-Zuschläge67" sheetId="10" state="hidden" r:id="rId47"/>
    <sheet name="HRIR64" sheetId="24" state="hidden" r:id="rId48"/>
    <sheet name="HRIR63" sheetId="25" state="hidden" r:id="rId49"/>
    <sheet name="HRIR62" sheetId="26" state="hidden" r:id="rId50"/>
    <sheet name="HRIR61" sheetId="27" state="hidden" r:id="rId51"/>
    <sheet name="HRIR60" sheetId="28" state="hidden" r:id="rId52"/>
  </sheets>
  <externalReferences>
    <externalReference r:id="rId53"/>
    <externalReference r:id="rId54"/>
    <externalReference r:id="rId55"/>
    <externalReference r:id="rId56"/>
    <externalReference r:id="rId57"/>
    <externalReference r:id="rId58"/>
    <externalReference r:id="rId59"/>
    <externalReference r:id="rId60"/>
  </externalReferences>
  <definedNames>
    <definedName name="_xlnm._FilterDatabase" localSheetId="33" hidden="1">Abänderungsgründe!$B$4:$J$19</definedName>
    <definedName name="_xlnm._FilterDatabase" localSheetId="0" hidden="1">'TO Ziff.5'!$A$5:$XFA$459</definedName>
    <definedName name="A_AnzeigeRechenblatt">'BVerfG 1 BvL 5-18'!$B$2:$H$39</definedName>
    <definedName name="AbändBilMoG_Wahl">Abänderungsampel!$P$5</definedName>
    <definedName name="Abänderung_Datum">Abänderungsampel!$D$4</definedName>
    <definedName name="Abänderungs_Gründe">Abänderungsampel!$U$1</definedName>
    <definedName name="Abänderungsdatum">Abänderungsampel!$D$5</definedName>
    <definedName name="Abänderungsgründe">Abänderungsampel!$AD$1</definedName>
    <definedName name="AbF_AlterEzE">'§§ 23, 24'!$V$6</definedName>
    <definedName name="Abf_AwDyn">'§§ 23, 24'!$C$29</definedName>
    <definedName name="Abf_HRIR_Ja">'§§ 23, 24'!$AA$30</definedName>
    <definedName name="AbF_LDyn">'§§ 23, 24'!$J$13:$M$13</definedName>
    <definedName name="AbF_ReEintritt">'§§ 23, 24'!$V$21</definedName>
    <definedName name="Abf_VollDyn">'§§ 23, 24'!$J$29</definedName>
    <definedName name="Abfindung">'§§ 23, 24'!$B$2</definedName>
    <definedName name="Abfindung_A_Zeit">'§§ 23, 24'!$AB$21</definedName>
    <definedName name="Abfindung_L_Zeit">'§§ 23, 24'!$AA$21</definedName>
    <definedName name="Abfindung§22">'§ 22'!$B$2</definedName>
    <definedName name="absWGrenze">Abänderungsampel!$S$16</definedName>
    <definedName name="Abzinsungstabelle§12BewG">Tabelle1!$B$18:$C$117</definedName>
    <definedName name="Adaequanz_ADyn">'BVerfG 1 BvL 5-18'!$G$13</definedName>
    <definedName name="Adaequanz_ADynBer">'BVerfG 1 BvL 5-18'!$G$13</definedName>
    <definedName name="Adaequanz_ADynPfl">'BVerfG 1 BvL 5-18'!$D$13</definedName>
    <definedName name="Adaequanz_Ausgleichswert">'BVerfG 1 BvL 5-18'!$G$21</definedName>
    <definedName name="Adaequanz_Ausgleichswert1">'BVerfG 1 BvL 5-18'!$D$22</definedName>
    <definedName name="Adaequanz_AusgleichswertDRV">'BVerfG 1 BvL 5-18'!$E$21</definedName>
    <definedName name="Adaequanz_AusgleichswertVersAusglK">'BVerfG 1 BvL 5-18'!$F$21</definedName>
    <definedName name="Adaequanz_AusglWertQuelle">'BVerfG 1 BvL 5-18'!$D$21</definedName>
    <definedName name="Adaequanz_AwDyn">'BVerfG 1 BvL 5-18'!$G$13</definedName>
    <definedName name="Adaequanz_AwDynBer">'BVerfG 1 BvL 5-18'!$G$13</definedName>
    <definedName name="Adaequanz_DRV_Alter">'BVerfG 1 BvL 5-18'!$E$8</definedName>
    <definedName name="Adaequanz_DRV_Werte">'BVerfG 1 BvL 5-18'!$N$22</definedName>
    <definedName name="Adaequanz_errechneterKapWert">'BVerfG 1 BvL 5-18'!$D$20</definedName>
    <definedName name="Adaequanz_GebDat">'BVerfG 1 BvL 5-18'!$C$7</definedName>
    <definedName name="Adaequanz_GebDatAglBer">'BVerfG 1 BvL 5-18'!$H$7</definedName>
    <definedName name="Adaequanz_GebDatDRV">'BVerfG 1 BvL 5-18'!$E$7</definedName>
    <definedName name="Adaequanz_HR">'BVerfG 1 BvL 5-18'!$G$18</definedName>
    <definedName name="Adaequanz_HRBer">'BVerfG 1 BvL 5-18'!$G$18</definedName>
    <definedName name="Adaequanz_HRPfl">'BVerfG 1 BvL 5-18'!$D$18</definedName>
    <definedName name="Adaequanz_IR">'BVerfG 1 BvL 5-18'!$G$17</definedName>
    <definedName name="Adaequanz_IRBer">'BVerfG 1 BvL 5-18'!$G$17</definedName>
    <definedName name="Adaequanz_IRPfl">'BVerfG 1 BvL 5-18'!$D$17</definedName>
    <definedName name="Adaequanz_Kapitalleistung">'BVerfG 1 BvL 5-18'!$N$20</definedName>
    <definedName name="Adaequanz_Korrektur">'BVerfG 1 BvL 5-18'!$N$11</definedName>
    <definedName name="Adaequanz_Korrekturfaktor">'BVerfG 1 BvL 5-18'!$N$15</definedName>
    <definedName name="Adaequanz_LDyn">'BVerfG 1 BvL 5-18'!$G$14</definedName>
    <definedName name="Adaequanz_LDynBer">'BVerfG 1 BvL 5-18'!$G$14</definedName>
    <definedName name="Adaequanz_LDynPfl">'BVerfG 1 BvL 5-18'!$D$14</definedName>
    <definedName name="Adaequanz_Pruefung">'BVerfG 1 BvL 5-18'!$A$2:$F$68</definedName>
    <definedName name="Adaequanz_QV_Alter">'BVerfG 1 BvL 5-18'!$D$8</definedName>
    <definedName name="Adaequanz_ReEintrittPfl">'BVerfG 1 BvL 5-18'!$D$9</definedName>
    <definedName name="Adaequanz_Reintritt">'BVerfG 1 BvL 5-18'!$G$9</definedName>
    <definedName name="Adaequanz_ReintrittBer">'BVerfG 1 BvL 5-18'!$G$9</definedName>
    <definedName name="Adaequanz_RenteBer">'BVerfG 1 BvL 5-18'!$G$12</definedName>
    <definedName name="Adaequanz_Renteneintritt">'BVerfG 1 BvL 5-18'!$N$12</definedName>
    <definedName name="Adaequanz_RenteneintrittVersAusglK">'BVerfG 1 BvL 5-18'!$F$9</definedName>
    <definedName name="Adaequanz_Rentenhoehe">'BVerfG 1 BvL 5-18'!$G$12</definedName>
    <definedName name="Adaequanz_RentenhoeheVersAusglK">'BVerfG 1 BvL 5-18'!$F$12</definedName>
    <definedName name="Adaequanz_RentePfl">'BVerfG 1 BvL 5-18'!$D$12</definedName>
    <definedName name="Adaequanz_RVolumenBer">'BVerfG 1 BvL 5-18'!$G$22</definedName>
    <definedName name="Adaequanz_Sondertaste">'BVerfG 1 BvL 5-18'!$A$2</definedName>
    <definedName name="Adaequanz_Ufaktor">'BVerfG 1 BvL 5-18'!$O$45</definedName>
    <definedName name="Adaequanz_UFaktorEzE">'BVerfG 1 BvL 5-18'!$O$59</definedName>
    <definedName name="Adaequanz_Umrechnungsfaktor">'BVerfG 1 BvL 5-18'!$O$45</definedName>
    <definedName name="Adaequanz_VerzinsungAusglW">'BVerfG 1 BvL 5-18'!$N$18</definedName>
    <definedName name="Adaequanz_Wertkorrektur">'BVerfG 1 BvL 5-18'!$N$16</definedName>
    <definedName name="Adaequanz_Zugangsfaktor">'Berechnungen BVerfG'!$Y$7</definedName>
    <definedName name="AdaequanzEingabe">'BVerfG 1 BvL 5-18'!$C$4,'BVerfG 1 BvL 5-18'!$C$7,'BVerfG 1 BvL 5-18'!$D$9,'BVerfG 1 BvL 5-18'!$G$9,'BVerfG 1 BvL 5-18'!$D$13:$G$21,'BVerfG 1 BvL 5-18'!$D$21:$G$21</definedName>
    <definedName name="Adäquanz_DRVRenteneintritt">'BVerfG 1 BvL 5-18'!$N$13</definedName>
    <definedName name="aktRW">Parameter!$G$5:$I$66</definedName>
    <definedName name="aktRW_DatErf">Fallerfassung!$AL$4</definedName>
    <definedName name="AktuellerRentenwert">Parameter!$G$5:$I$70</definedName>
    <definedName name="AllgemU_Faktoren">Parameter!$Q$14:$X$64</definedName>
    <definedName name="Alt_Neu">'Dies &amp; Das'!$X$31</definedName>
    <definedName name="AlterF">[1]Berechnungsblatt!$E$5</definedName>
    <definedName name="AlterM">[1]Berechnungsblatt!$E$4</definedName>
    <definedName name="AlternativerReZins">Fallerfassung!$AA$10</definedName>
    <definedName name="Altersgrenze">'Dies &amp; Das'!$N$16</definedName>
    <definedName name="AltersgrenzeBerechnen">'Dies &amp; Das'!$N$16:$P$19</definedName>
    <definedName name="Altersstaffel">'BVerfG 1 BvL 5-18'!$AN$29:$AN$37</definedName>
    <definedName name="Altersuebernahme">'BVerfG 1 BvL 5-18'!$O$9</definedName>
    <definedName name="Anpassung33">'§ 33'!$E$3</definedName>
    <definedName name="Anwartschaftszeit">Berechnungstext!$C$17</definedName>
    <definedName name="Atammdaten">'BVerfG 1 BvL 5-18'!$D$4:$D$7,'BVerfG 1 BvL 5-18'!$D$9,'BVerfG 1 BvL 5-18'!$D$12,'BVerfG 1 BvL 5-18'!$D$13,'BVerfG 1 BvL 5-18'!$D$14,'BVerfG 1 BvL 5-18'!$D$17,'BVerfG 1 BvL 5-18'!$D$18,'BVerfG 1 BvL 5-18'!$D$21</definedName>
    <definedName name="Atammdaten1">'BVerfG 1 BvL 5-18'!$D$4:$D$7</definedName>
    <definedName name="Atammdaten2">'BVerfG 1 BvL 5-18'!$D$12:$D$14</definedName>
    <definedName name="Aufabzinsung">'Dies &amp; Das'!$N$34</definedName>
    <definedName name="AufZinsEzE">Verzinsung!$K$23</definedName>
    <definedName name="Aufzinsung">'Dies &amp; Das'!$G$31:$L$39</definedName>
    <definedName name="AusgleichDRV">Fallerfassung!$AP$22</definedName>
    <definedName name="AW_DynamikVersAusglK">'Dies &amp; Das'!$E$7</definedName>
    <definedName name="B_Dat">'BVerfG 1 BvL 5-18'!$C$4</definedName>
    <definedName name="b_p_AVverbergen">Fallerfassung!$AK$21</definedName>
    <definedName name="BagatellgrenzeKapital">'BVerfG 1 BvL 5-18'!$U$3</definedName>
    <definedName name="BagatellgrenzeRente">'BVerfG 1 BvL 5-18'!$T$3</definedName>
    <definedName name="BarwertBeitrag">'BVerfG 1 BvL 5-18'!$H$26</definedName>
    <definedName name="Barwertberechnung">'Dies &amp; Das'!$B$26:$E$40</definedName>
    <definedName name="Barwertdifferenz">Fallerfassung!$AC$40</definedName>
    <definedName name="Barwertgleiche">Fallerfassung!$AC$41</definedName>
    <definedName name="Basiszins">'VPI &amp; Zins'!$K$5:$M$30</definedName>
    <definedName name="BBMG">Parameter!$J$5:$N$64</definedName>
    <definedName name="Beamtenanpassung">Parameter!$AD$5:$AE$68</definedName>
    <definedName name="Beamtenversorgung">[2]Abänderung!$H$29</definedName>
    <definedName name="BeamtV_Dienstzeit">'Dies &amp; Das'!$N$20:$P$40</definedName>
    <definedName name="BeamtV_Verbergen">Fallerfassung!$AK$14</definedName>
    <definedName name="BeitraginEP">Parameter!$T$5:$V$70</definedName>
    <definedName name="BeitragInRente">'VPI &amp; Zins'!$S$733:$U$793</definedName>
    <definedName name="Beitragsbemessungsgrenze">Parameter!$J$5:$N$70</definedName>
    <definedName name="BeitragssatzDRV">Parameter!$O$5:$P$70</definedName>
    <definedName name="Bem_1">Fallerfassung!$B$9</definedName>
    <definedName name="Bem_2">Fallerfassung!$B$10</definedName>
    <definedName name="BerBasis">Ehezeitanteil!$AE$4</definedName>
    <definedName name="BerechnetAuf">'BVerfG 1 BvL 5-18'!$N$5</definedName>
    <definedName name="Berechnungsmethode">Ehezeitanteil!$L$6</definedName>
    <definedName name="Berechnungsparameter">'Dies &amp; Das'!$B$2:$F$8</definedName>
    <definedName name="BerGesamt">'Experten-Diagrammdaten'!$A$12</definedName>
    <definedName name="BerstdV_verbergen">Fallerfassung!$AK$17</definedName>
    <definedName name="BGHXIIZB23016">'BVerfG 1 BvL 5-18'!$AG$6</definedName>
    <definedName name="BGHXIIZB26016">'BVerfG 1 BvL 5-18'!$AG$6</definedName>
    <definedName name="Bilanz_BilMoG10">Fallerfassung!$AR$25</definedName>
    <definedName name="BilMoG">Fallerfassung!$AR$13</definedName>
    <definedName name="BilMoG_10">'Dies &amp; Das'!$X$34</definedName>
    <definedName name="BilMoG_10_sVA">'sVA § 20'!$O$55</definedName>
    <definedName name="BilMoG_7">Verzinsung!$O$23</definedName>
    <definedName name="BilMoG10">BilMoG10!$A$9:$AY$700</definedName>
    <definedName name="BilMoG10Anfang">BilMoG10!$A$9</definedName>
    <definedName name="BilMoGAnfang">'BilMoG-7'!$A$9</definedName>
    <definedName name="BilMogEnde">'BilMoG-7'!$A$6</definedName>
    <definedName name="BilMoGmax">BilMoG10!$A$7</definedName>
    <definedName name="BilMoGMin">BilMoG10!$A$6</definedName>
    <definedName name="BilmoGZins">'BilMoG-7'!$A$9:$AY$209</definedName>
    <definedName name="Blitz">#REF!</definedName>
    <definedName name="BWDRV_F">Fallerfassung!$V$13</definedName>
    <definedName name="BWDRV_M">Fallerfassung!$T$13</definedName>
    <definedName name="BWpbAB_M">Fallerfassung!$T$27</definedName>
    <definedName name="BWVergl_F_DRV">BarwertVglDFGT!$B$21:$I$33</definedName>
    <definedName name="BWVergl_F_DRVIR">BarwertVglDFGT!$B$5:$I$17</definedName>
    <definedName name="BWVergl_F_VersAusglK">BarwertVglDFGT!$V$5:$AE$17</definedName>
    <definedName name="BWVergl_M_DRV">BarwertVglDFGT!$L$21:$S$33</definedName>
    <definedName name="BWVergl_M_DRVIR">BarwertVglDFGT!$L$5:$S$17</definedName>
    <definedName name="BWVergl_M_VersAusglK">BarwertVglDFGT!$V$21:$AE$33</definedName>
    <definedName name="C_BilMoG10">'BVerfG 1 BvL 5-18'!$R$15</definedName>
    <definedName name="cc">'[3]Parameter &amp; Berechnungen'!$F$6</definedName>
    <definedName name="Dat_AlterF">Fallerfassung!$AM$2</definedName>
    <definedName name="Dat_AlterM">Fallerfassung!$AL$2</definedName>
    <definedName name="Dat_AZeig">Fallerfassung!$O$6</definedName>
    <definedName name="Dat_AZeit_F">Fallerfassung!$AS$11</definedName>
    <definedName name="Dat_AZeit_M">Fallerfassung!$AR$11</definedName>
    <definedName name="Dat_BilMoG">Fallerfassung!$AR$13</definedName>
    <definedName name="Dat_bstdKoKa_F">Fallerfassung!$V$19</definedName>
    <definedName name="Dat_bstdKoKa_M">Fallerfassung!$T$19</definedName>
    <definedName name="Dat_bstdV_F">Fallerfassung!$U$19</definedName>
    <definedName name="Dat_bstdV_M">Fallerfassung!$S$19</definedName>
    <definedName name="Dat_EzA">Fallerfassung!$T$3</definedName>
    <definedName name="Dat_EzE">Fallerfassung!$V$3</definedName>
    <definedName name="Dat_GebDat_F">Fallerfassung!$V$6</definedName>
    <definedName name="Dat_GebDat_M">Fallerfassung!$T$6</definedName>
    <definedName name="Dat_GebDatF">Fallerfassung!$U$6</definedName>
    <definedName name="Dat_GebDatM">Fallerfassung!$S$6</definedName>
    <definedName name="Dat_gRV_F1">Fallerfassung!$U$9</definedName>
    <definedName name="Dat_gRV_F2">Fallerfassung!$U$10</definedName>
    <definedName name="Dat_gRV_F3">Fallerfassung!$U$11</definedName>
    <definedName name="Dat_gRV_M1">Fallerfassung!$S$9</definedName>
    <definedName name="Dat_gRV_M2">Fallerfassung!$S$10</definedName>
    <definedName name="Dat_gRV_M3">Fallerfassung!$S$11</definedName>
    <definedName name="Dat_LZeit_F">Fallerfassung!$AS$12</definedName>
    <definedName name="Dat_LZeit_M">Fallerfassung!$AR$12</definedName>
    <definedName name="Dat_Pension_F1">Fallerfassung!$U$15</definedName>
    <definedName name="Dat_Pension_F2">Fallerfassung!$U$16</definedName>
    <definedName name="Dat_Pension_M1">Fallerfassung!$S$15</definedName>
    <definedName name="Dat_Pension_M2">Fallerfassung!$S$16</definedName>
    <definedName name="Dat_RentnerF">Fallerfassung!$AU$6</definedName>
    <definedName name="Dat_RentnerM">Fallerfassung!$AU$5</definedName>
    <definedName name="Dat_UFaktorEzE">Fallerfassung!$AL$5</definedName>
    <definedName name="Dat_Unisex">Fallerfassung!$AM$9</definedName>
    <definedName name="DatenAusBewertung">'BVerfG 1 BvL 5-18'!$P$4</definedName>
    <definedName name="Delta">Zeichen!$B$12</definedName>
    <definedName name="DFGT">'BVerfG 1 BvL 5-18'!$AI$28</definedName>
    <definedName name="Dienstzeitverlängerung">'Dies &amp; Das'!$N$21:$P$40</definedName>
    <definedName name="Dies_und_Das_Ost">'Dies &amp; Das'!$X$17</definedName>
    <definedName name="DiesuDas_AboderAuf">'Dies &amp; Das'!$X$39</definedName>
    <definedName name="DiesundDas">'Dies &amp; Das'!$B$1</definedName>
    <definedName name="DifferenzfaktorDRV">'Berechnungen BVerfG'!$Y$7</definedName>
    <definedName name="divers">Zeichen!$B$11</definedName>
    <definedName name="_xlnm.Print_Area" localSheetId="29">'§ 33'!$C$2:$F$25</definedName>
    <definedName name="_xlnm.Print_Area" localSheetId="26">'§§ 23, 24'!$B$2:$M$42,'§§ 23, 24'!$O$2:$Q$15</definedName>
    <definedName name="_xlnm.Print_Area" localSheetId="19">INDIRECT('Berechnungen BVerfG'!$T$1)</definedName>
    <definedName name="_xlnm.Print_Area" localSheetId="14">Berechnungstext!$B$3:$C$26</definedName>
    <definedName name="_xlnm.Print_Area" localSheetId="20">'BVerfG 1 BvL 5-18'!$B$2:$H$27,'BVerfG 1 BvL 5-18'!$X$2:$Y$27</definedName>
    <definedName name="_xlnm.Print_Area" localSheetId="36">'Dies &amp; Das'!$B$1:$P$41</definedName>
    <definedName name="_xlnm.Print_Area" localSheetId="15">Ehezeitanteil!$B$2:$AA$32</definedName>
    <definedName name="_xlnm.Print_Area" localSheetId="12">'Einzel-Bewertung'!$B$2:$J$26</definedName>
    <definedName name="_xlnm.Print_Area" localSheetId="11">Fallerfassung!$B$2:$AA$41</definedName>
    <definedName name="_xlnm.Print_Area" localSheetId="23">'Gewinn &amp; Verlust'!$B$3:$D$25</definedName>
    <definedName name="_xlnm.Print_Area" localSheetId="31">Grundrentenrechner!$D$1:$L$30</definedName>
    <definedName name="_xlnm.Print_Area" localSheetId="45">'HRIR-Zuschläge'!$B$2:$AB$51</definedName>
    <definedName name="_xlnm.Print_Area" localSheetId="10">Inhalt!$B$4:$J$39</definedName>
    <definedName name="_xlnm.Print_Area" localSheetId="35">Parameter!$B$1:$X$59</definedName>
    <definedName name="_xlnm.Print_Area" localSheetId="25">'sVA § 20'!$B$3:$I$45,'sVA § 20'!$K$2:$K$40</definedName>
    <definedName name="_xlnm.Print_Area" localSheetId="0">'TO Ziff.5'!$C$1:$G$312</definedName>
    <definedName name="_xlnm.Print_Area" localSheetId="24">'TO-Prüfung'!$B$2:$H$21</definedName>
    <definedName name="_xlnm.Print_Area" localSheetId="28">Verzinsung!$I$19:$L$40</definedName>
    <definedName name="_xlnm.Print_Area">INDIRECT('Berechnungen BVerfG'!$T$1)</definedName>
    <definedName name="DruckbereichII">Berechnungstext!$B$3:$C$26</definedName>
    <definedName name="_xlnm.Print_Titles" localSheetId="45">'HRIR-Zuschläge'!$2:$3</definedName>
    <definedName name="_xlnm.Print_Titles" localSheetId="0">'TO Ziff.5'!$1:$4</definedName>
    <definedName name="DRV_10">'Einzel-Bewertung'!$U$14</definedName>
    <definedName name="DRV_Adressen">'Adressen DRV'!$A$3:$D$33</definedName>
    <definedName name="DRV_VersorgungenVerbergen">Fallerfassung!$AM$8</definedName>
    <definedName name="DRVAusglBerJa">'Berechnungen BVerfG'!$X$2</definedName>
    <definedName name="DRVJa">'Berechnungen BVerfG'!$U$2</definedName>
    <definedName name="DRVPfl">'BVerfG 1 BvL 5-18'!$AF$9</definedName>
    <definedName name="DuD_RAltersgr1">'Dies &amp; Das'!$X$7</definedName>
    <definedName name="DuD_RAltersgr2">'Dies &amp; Das'!$X$8</definedName>
    <definedName name="DuD_SummeAR">'Dies &amp; Das'!$R$2</definedName>
    <definedName name="DuD_Umrechnung_DRV">'Dies &amp; Das'!$B$11</definedName>
    <definedName name="DuD_VVR">'[4]Dies &amp; Das'!$V$18</definedName>
    <definedName name="DuD_VVR1">'Dies &amp; Das'!$X$18</definedName>
    <definedName name="DuD_VVR2">'Dies &amp; Das'!$Y$18</definedName>
    <definedName name="Durchschnitt">Zeichen!$B$13</definedName>
    <definedName name="DurchschnittsentgeltTabelle">Parameter!$J$3:$L$70</definedName>
    <definedName name="DynamikBerstdV">'Dies &amp; Das'!$E$9</definedName>
    <definedName name="Dynamisierung">'Dies &amp; Das'!$N$2:$P$15</definedName>
    <definedName name="DynDRVZeitDiff">'BVerfG 1 BvL 5-18'!$Q$52</definedName>
    <definedName name="E_Abweichung">'Einzel-Bewertung'!$Q$20</definedName>
    <definedName name="E_Alter">'Einzel-Bewertung'!$S$6</definedName>
    <definedName name="E_AlterABer">'Einzel-Bewertung'!$Q$40</definedName>
    <definedName name="E_Alterswahl">'Einzel-Bewertung'!$Q$6</definedName>
    <definedName name="E_Anwartschaftszeit">'Einzel-Bewertung'!$S$5</definedName>
    <definedName name="E_AnwartschaftszeitABer">'Einzel-Bewertung'!$Q$36</definedName>
    <definedName name="E_BarwertderRente">'Einzel-Bewertung'!$Q$15</definedName>
    <definedName name="E_BarwertDRV">'Einzel-Bewertung'!$AG$15</definedName>
    <definedName name="E_BarwertText">'Einzel-Bewertung'!$Q$25</definedName>
    <definedName name="E_BerDat1">'Einzel-Bewertung'!$D$6</definedName>
    <definedName name="E_BerDat2">'Einzel-Bewertung'!$D$17</definedName>
    <definedName name="E_Bezeichnung">Berechnungstext!$B$8</definedName>
    <definedName name="E_BilMoG10">'Einzel-Bewertung'!$V$26</definedName>
    <definedName name="E_Bilmog10_test">'Einzel-Bewertung'!$Q$13</definedName>
    <definedName name="E_Datum1">'Einzel-Bewertung'!$D$5</definedName>
    <definedName name="E_Ergebnis">'Einzel-Bewertung'!$H$15</definedName>
    <definedName name="E_Geschlecht1">'Einzel-Bewertung'!$E$7</definedName>
    <definedName name="E_Halbteilung">'Einzel-Bewertung'!$U$18</definedName>
    <definedName name="E_HFaktor">'Einzel-Bewertung'!$S$9</definedName>
    <definedName name="E_HfaktorAusglBer">'Einzel-Bewertung'!$S$23</definedName>
    <definedName name="E_Hinterbliebene">'Einzel-Bewertung'!$Q$9</definedName>
    <definedName name="E_HinterbliebeneAusglBer">'Einzel-Bewertung'!$Q$23</definedName>
    <definedName name="E_Ifaktor">'Einzel-Bewertung'!$S$8</definedName>
    <definedName name="E_IFaktorAusglBer">'Einzel-Bewertung'!$S$22</definedName>
    <definedName name="E_Invalidität">'Einzel-Bewertung'!$Q$8</definedName>
    <definedName name="E_InvaliditätAusglBer">'Einzel-Bewertung'!$Q$22</definedName>
    <definedName name="E_Kapital">'Einzel-Bewertung'!$E$9</definedName>
    <definedName name="E_KapWert">'Einzel-Bewertung'!$E$15</definedName>
    <definedName name="E_LebenserwartungManuell">'Einzel-Bewertung'!$J$9</definedName>
    <definedName name="E_LXYAlterABer">'Einzel-Bewertung'!$Q$35</definedName>
    <definedName name="E_LxyRAlter">'Einzel-Bewertung'!$Q$33</definedName>
    <definedName name="E_RelegalterABer">'Einzel-Bewertung'!$Q$34</definedName>
    <definedName name="E_RenteausKapital">'Einzel-Bewertung'!$Q$14</definedName>
    <definedName name="E_RenteausKapitalAglBer">'Einzel-Bewertung'!$Q$16</definedName>
    <definedName name="E_RenteKapital">'Einzel-Bewertung'!$Q$5</definedName>
    <definedName name="E_RenteKapital1">'Einzel-Bewertung'!$E$8</definedName>
    <definedName name="E_Rentenalter">'Einzel-Bewertung'!$Q$29</definedName>
    <definedName name="E_Rentenaltereingabe">'Einzel-Bewertung'!$E$10</definedName>
    <definedName name="E_Renteneintritt">'Einzel-Bewertung'!$Q$27</definedName>
    <definedName name="E_Rentner">'Einzel-Bewertung'!$Q$28</definedName>
    <definedName name="E_ReTrend1">'Einzel-Bewertung'!$E$14</definedName>
    <definedName name="E_Rezins">'Einzel-Bewertung'!$Q$26</definedName>
    <definedName name="E_ReZins1">'Einzel-Bewertung'!$Q$31</definedName>
    <definedName name="E_RezinsAngabe">'Einzel-Bewertung'!$E$13</definedName>
    <definedName name="E_sex">'Einzel-Bewertung'!$S$7</definedName>
    <definedName name="E_T_HRIR">'Einzel-Bewertung'!$X$23</definedName>
    <definedName name="E_T_VVR">'Einzel-Bewertung'!$S$26</definedName>
    <definedName name="E_Tabschritt">'Einzel-Bewertung'!$X$1</definedName>
    <definedName name="E_Tabschritt2">'Einzel-Bewertung'!$W$2</definedName>
    <definedName name="E_Versicherungsjahrgang">'Einzel-Bewertung'!$Q$32</definedName>
    <definedName name="E_Volldynamik">'Einzel-Bewertung'!$Q$17</definedName>
    <definedName name="E_VVR">'Einzel-Bewertung'!$Q$12</definedName>
    <definedName name="E_VVR_T">'Einzel-Bewertung'!$S$11</definedName>
    <definedName name="E_VVR_TAusglBer">'Einzel-Bewertung'!$Q$38</definedName>
    <definedName name="E_VVR1">'Einzel-Bewertung'!$Q$10</definedName>
    <definedName name="E_VVR1AglBer">'Einzel-Bewertung'!$S$39</definedName>
    <definedName name="E_VVR2">'Einzel-Bewertung'!$Q$11</definedName>
    <definedName name="E_VVR2AglBer">'Einzel-Bewertung'!$Q$39</definedName>
    <definedName name="E_VVRAusglBer">'Einzel-Bewertung'!$Q$37</definedName>
    <definedName name="Ehebis">Ehezeitanteil!$W$5</definedName>
    <definedName name="Ehevon">Ehezeitanteil!$V$5</definedName>
    <definedName name="Ehezeitanfang">[5]Erfassungsbogen!$E$4</definedName>
    <definedName name="Ehezeitanfang2">[1]Erfassungsbogen!$C$4</definedName>
    <definedName name="Ehezeitanteil_Druckbereich">Ehezeitanteil!$B$2:$AA$1048576</definedName>
    <definedName name="Ehezeitende">[5]Erfassungsbogen!$H$4</definedName>
    <definedName name="Eingabe">#REF!,#REF!,#REF!,#REF!</definedName>
    <definedName name="Endalter">'Berechnungen BVerfG'!$H$3</definedName>
    <definedName name="EndalterDRV">'Berechnungen BVerfG'!$I$3</definedName>
    <definedName name="Enddatum">'BilMoG-7'!$A$3</definedName>
    <definedName name="Ensalter">'Berechnungen BVerfG'!$H$3</definedName>
    <definedName name="Entgeltpunkte1">'Einzel-Bewertung'!$U$5</definedName>
    <definedName name="EntgeltpunkteInKapital">Parameter!$Q$11:$S$57</definedName>
    <definedName name="entspricht">Zeichen!$B$9</definedName>
    <definedName name="EP_Ost">'BVerfG 1 BvL 5-18'!$N$6</definedName>
    <definedName name="EPOst">Verzinsung!$O$22</definedName>
    <definedName name="ErgebnisABer">'Einzel-Bewertung'!$H$17</definedName>
    <definedName name="Euro_EP">'§ 33'!$I$16</definedName>
    <definedName name="Eurozeit">[2]Parameter!$T$15</definedName>
    <definedName name="EzE_P">'Dies &amp; Das'!$D$13</definedName>
    <definedName name="Fahrrad">Zeichen!$B$6</definedName>
    <definedName name="Fallbezeichnung">[1]Erfassungsbogen!$C$5</definedName>
    <definedName name="FB_Aktiv">'sVA § 20'!$M$32</definedName>
    <definedName name="ForderungRente">'Dies &amp; Das'!$AE$35</definedName>
    <definedName name="Frau">Zeichen!$B$15</definedName>
    <definedName name="G_Kohorte_F">G_Kohorte_F!$A$2:$DO$102</definedName>
    <definedName name="G_Kohorte_M">G_Kohorte_M!$A$2:$DO$102</definedName>
    <definedName name="G_Kohorte_N">G_Kohorte_N!$A$2:$DO$102</definedName>
    <definedName name="Geschlecht">'§ 33'!$Q$14</definedName>
    <definedName name="gesRentenalteralternativ">'Dies &amp; Das'!$E$9</definedName>
    <definedName name="GesVersrgPfl">'BVerfG 1 BvL 5-18'!$AI$9</definedName>
    <definedName name="Gewinn">'Gewinn &amp; Verlust'!$H$3</definedName>
    <definedName name="GR_Bagatellgrenze">Grundrentenrechner!$O$3</definedName>
    <definedName name="GR_EP_Teilung">Grundrentenrechner!$O$9</definedName>
    <definedName name="GR_Ost">Grundrentenrechner!$O$2</definedName>
    <definedName name="GrafikSchalter">'Hilfstabelle für Grafik'!$C$2</definedName>
    <definedName name="GRRente_EzE">Grundrentenrechner!$E$4</definedName>
    <definedName name="Grundrentenrechner">Grundrentenrechner!$D$1</definedName>
    <definedName name="Halbierung">'Dies &amp; Das'!$AE$4</definedName>
    <definedName name="HalbzeitAusgleichsber">'Einzel-Bewertung'!$R$36</definedName>
    <definedName name="Haus">Zeichen!$B$8</definedName>
    <definedName name="Hauß">#REF!</definedName>
    <definedName name="Heubeck">'Einzel-Bewertung'!$S$1</definedName>
    <definedName name="Heute">'Einzel-Bewertung'!$P$2</definedName>
    <definedName name="Höchstrechnungszins">'Dies &amp; Das'!$K$2:$L$16</definedName>
    <definedName name="Hoechstrechnungszins">'Dies &amp; Das'!$K$4:$L$17</definedName>
    <definedName name="HR_Quote">'Dies &amp; Das'!$E$6</definedName>
    <definedName name="HR_Quote05">'[3]Parameter &amp; Berechnungen'!$F$6</definedName>
    <definedName name="HRIR">'HRIR-Zuschläge'!$B$4:$AB$84</definedName>
    <definedName name="HRIR_Zuschlag">'Einzel-Bewertung'!$U$8</definedName>
    <definedName name="HRIR60">HRIR60!$B$4:$AB$84</definedName>
    <definedName name="HRIR61">HRIR61!$B$4:$AB$84</definedName>
    <definedName name="HRIR62">HRIR62!$B$4:$AB$84</definedName>
    <definedName name="HRIR63">HRIR63!$B$4:$AB$84</definedName>
    <definedName name="HRIR64">HRIR64!$B$4:$AB$84</definedName>
    <definedName name="HRIR66">'HIRI-Zuschläge66'!$B$4:$AB$84</definedName>
    <definedName name="HRIR67">'HIRI-Zuschläge67'!$B$4:$AB$84</definedName>
    <definedName name="Inhalt">Inhalt!$C$5</definedName>
    <definedName name="Interpolation">'Dies &amp; Das'!$AE$6</definedName>
    <definedName name="Intro">Inhalt!$A$4:$K$1048576</definedName>
    <definedName name="Invaliditätsrente">'BVerfG 1 BvL 5-18'!$N$10</definedName>
    <definedName name="IR_Quote">'Dies &amp; Das'!$E$5</definedName>
    <definedName name="Kapital_P">'Dies &amp; Das'!$D$17</definedName>
    <definedName name="Kapital2_p">'Dies &amp; Das'!$D$21</definedName>
    <definedName name="KeineInvaliditätinDRV">'BVerfG 1 BvL 5-18'!$N$29</definedName>
    <definedName name="KoKaDRV">Fallerfassung!$Z$13</definedName>
    <definedName name="KoKaDRV_F">Fallerfassung!$AA$13</definedName>
    <definedName name="KoKaDRV_M">Fallerfassung!$Z$13</definedName>
    <definedName name="KostenDRV">'BVerfG 1 BvL 5-18'!$P$31</definedName>
    <definedName name="KostenEuroDRV">'BVerfG 1 BvL 5-18'!$P$32</definedName>
    <definedName name="KV_Beitrag">'Einzel-Bewertung'!$Z$6</definedName>
    <definedName name="KV_Beitragssatz">'Dies &amp; Das'!$E$4</definedName>
    <definedName name="KVundPV">'KV&amp;PV'!$C$4:$K$55</definedName>
    <definedName name="L_DynamikVersAusglK">'Dies &amp; Das'!$E$8</definedName>
    <definedName name="Längerlebigkeitszuschlag">'Einzel-Bewertung'!$AB$6</definedName>
    <definedName name="Laufzeitbegrenzung">'Einzel-Bewertung'!$R$3</definedName>
    <definedName name="Lebenserwartung_F_V2">Lebenserwartung_F!$A$2:$DO$102</definedName>
    <definedName name="Lebenserwartung_M_V2">Lebenserwartung_M!$A$2:$DO$102</definedName>
    <definedName name="Lebenserwartung_N_V2">Lebenserwartung_N!$A$2:$DO$102</definedName>
    <definedName name="LebenserwartungabRente">Berechnungstext!$C$16</definedName>
    <definedName name="LetzterVPI">'VPI &amp; Zins'!$D$3</definedName>
    <definedName name="LetzteZeile">'BilMoG-7'!$P$5</definedName>
    <definedName name="Mandant">Fallerfassung!$AL$3</definedName>
    <definedName name="Mann">Zeichen!$B$14</definedName>
    <definedName name="männlich">Zeichen!$B$4</definedName>
    <definedName name="MonatlicheBezugsgroesse">Parameter!$B$5:$F$70</definedName>
    <definedName name="MonatlicheBezugsgröße">Parameter!$B$5:$F$70</definedName>
    <definedName name="Monatsbasis">Ehezeitanteil!$AD$28</definedName>
    <definedName name="MonBezugsgr_120">Abänderungsampel!$S$15</definedName>
    <definedName name="NächstesDatum">'Dies &amp; Das'!$K$5</definedName>
    <definedName name="NameAusglBer">'BVerfG 1 BvL 5-18'!$L$32:$L$32</definedName>
    <definedName name="NameAusglPfl">'BVerfG 1 BvL 5-18'!$H$57</definedName>
    <definedName name="O_BewG">'§ 22'!$P$25</definedName>
    <definedName name="O_BilMoG">'Dies &amp; Das'!$AD$20</definedName>
    <definedName name="ö_r_VersorgungenVerbergen">Fallerfassung!$AM$8</definedName>
    <definedName name="Ost">'Einzel-Bewertung'!$Q$45</definedName>
    <definedName name="P_Sterbetafeln">[6]SterbetafelVVR!$A$1:$M$113</definedName>
    <definedName name="P_StTafel">'[6]Anlage 9a zu § 13 BewG'!$V$3</definedName>
    <definedName name="Pensionistenprivileg">'Adressen DRV'!$D$3:$H$19</definedName>
    <definedName name="PfeilLinks">Zeichen!$E$7</definedName>
    <definedName name="PfeilOben">Zeichen!$C$7</definedName>
    <definedName name="PfeilRechts">Zeichen!$D$7</definedName>
    <definedName name="PfeilUnten">Zeichen!$B$7</definedName>
    <definedName name="PfelRechts">Zeichen!$D$7</definedName>
    <definedName name="PflGesamt">#REF!</definedName>
    <definedName name="QuellVersrg">'BVerfG 1 BvL 5-18'!$AE$9</definedName>
    <definedName name="QVersJa">'Berechnungen BVerfG'!$Y$2</definedName>
    <definedName name="Realdauer">'Einzel-Bewertung'!$Q$44</definedName>
    <definedName name="Rechenblatt">'BVerfG 1 BvL 5-18'!$B$2:$H$27</definedName>
    <definedName name="RechenrentenalterInterpolation">'Dies &amp; Das'!$AE$6</definedName>
    <definedName name="Redifferenz">'Berechnungen BVerfG'!$Y$8</definedName>
    <definedName name="Regelaltersgrenze">Renteneintritt!$B$3:$D$22</definedName>
    <definedName name="Rente_P">'Dies &amp; Das'!$D$19</definedName>
    <definedName name="Rentenalter">'Einzel-Bewertung'!$Q$43</definedName>
    <definedName name="Rentenbewertung">'Einzel-Bewertung'!$1:$28</definedName>
    <definedName name="Rentenbewertung_Druck">'Einzel-Bewertung'!$B$1:$H$25</definedName>
    <definedName name="Renteneintrittsalter">[7]Berechnungsblatt!$J$5</definedName>
    <definedName name="Renteneintrittstabelle">Renteneintritt!$B$3:$F$21</definedName>
    <definedName name="RentenerwerbDRV">'BVerfG 1 BvL 5-18'!$AO$9</definedName>
    <definedName name="RentenerwerbDRVBer">'BVerfG 1 BvL 5-18'!$AP$9</definedName>
    <definedName name="Rentenparameter">Parameter!$B$2</definedName>
    <definedName name="RententrendDRV">'Dies &amp; Das'!$E$3</definedName>
    <definedName name="Rentner">'BVerfG 1 BvL 5-18'!$AO$27</definedName>
    <definedName name="RestleistungszeitAGlBer">'Berechnungen BVerfG'!$Y$14</definedName>
    <definedName name="RestleistungszeitAusglBer">'Berechnungen BVerfG'!$Y$10</definedName>
    <definedName name="RestleistungszeitBer">'Berechnungen BVerfG'!$Z$13</definedName>
    <definedName name="Resttleistungszeit">'Berechnungen BVerfG'!$Y$13</definedName>
    <definedName name="Rextleistungszeit">'Berechnungen BVerfG'!$Y$13</definedName>
    <definedName name="ReZins">'BVerfG 1 BvL 5-18'!$P$15</definedName>
    <definedName name="RK_AlterAusglBer">'Einzel-Bewertung'!$M$9</definedName>
    <definedName name="RK_Anwartschaftszeit">'Einzel-Bewertung'!$S$36</definedName>
    <definedName name="RK_AnwZeit">'Einzel-Bewertung'!$M$14</definedName>
    <definedName name="RK_aufgezinsterBW">'Einzel-Bewertung'!$M$8</definedName>
    <definedName name="RK_AusgW">'Einzel-Bewertung'!$M$11</definedName>
    <definedName name="RK_biometrKorrektur">'Einzel-Bewertung'!$M$10</definedName>
    <definedName name="RK_Datum">'Einzel-Bewertung'!$M$5</definedName>
    <definedName name="RK_KorrekturfaktorNebenleistung">'Einzel-Bewertung'!$Y$11</definedName>
    <definedName name="RK_Leistungezeit">'Einzel-Bewertung'!$S$35</definedName>
    <definedName name="RK_Leistungszeit">'Einzel-Bewertung'!$M$15</definedName>
    <definedName name="RK_Nebenleistungen">'Einzel-Bewertung'!$X$10</definedName>
    <definedName name="RK_Nebenleistungen_ABer">'Einzel-Bewertung'!$X$10</definedName>
    <definedName name="RK_VVAAusglBer">'Einzel-Bewertung'!$U$39</definedName>
    <definedName name="RK_VVR_Korrektur">'Einzel-Bewertung'!$U$12</definedName>
    <definedName name="RK_VVRAglBer_Faktor">'Einzel-Bewertung'!$W$39</definedName>
    <definedName name="RK_VVRZahlbeiRK">'Einzel-Bewertung'!$U$10</definedName>
    <definedName name="RK_Zeitabstand_EzE">'Einzel-Bewertung'!$M$7</definedName>
    <definedName name="Screen">'Einzel-Bewertung'!$A$3:$J$22</definedName>
    <definedName name="Sexwahl">'BVerfG 1 BvL 5-18'!$N$8</definedName>
    <definedName name="Sexwahl_alt">'BVerfG 1 BvL 5-18'!$T$7</definedName>
    <definedName name="SexWahlSVA">'sVA § 20'!$O$54</definedName>
    <definedName name="SonstJa">'Berechnungen BVerfG'!$W$2</definedName>
    <definedName name="SonstPfl">'BVerfG 1 BvL 5-18'!$AH$9</definedName>
    <definedName name="Sozialabgaben_sVA">'sVA § 20'!#REF!</definedName>
    <definedName name="Spalten">'BVerfG 1 BvL 5-18'!$AO$26</definedName>
    <definedName name="Speicherort">'Dies &amp; Das'!$D$4</definedName>
    <definedName name="St_Forderung">Sterbetafel_P!$T$29</definedName>
    <definedName name="St_Sex">Sterbetafel_P!$T$27</definedName>
    <definedName name="St_Zins">Sterbetafel_P!$T$30</definedName>
    <definedName name="Stammdaten1">'BVerfG 1 BvL 5-18'!$D$4:$D$7</definedName>
    <definedName name="Stammdaten3">'BVerfG 1 BvL 5-18'!$D$17:$D$18</definedName>
    <definedName name="Stammdaten4">'BVerfG 1 BvL 5-18'!$J$4:$K$6</definedName>
    <definedName name="Stammdaten5">'BVerfG 1 BvL 5-18'!$I$9:$K$9</definedName>
    <definedName name="Stammdaten6">'BVerfG 1 BvL 5-18'!$I$12:$K$14</definedName>
    <definedName name="Stammdaten7">'BVerfG 1 BvL 5-18'!$I$17:$K$18</definedName>
    <definedName name="Stammdatenerfassung">Fallerfassung!$B$2</definedName>
    <definedName name="Startverzeichnis">'Dies &amp; Das'!$D$5</definedName>
    <definedName name="StDat_GrusiAdd">Fallerfassung!$BC$13</definedName>
    <definedName name="Sterbetafel">Sterbetafel_P!$A$13:$P$113</definedName>
    <definedName name="SummeAR">'Dies &amp; Das'!$R$2</definedName>
    <definedName name="Summenzeichen">Zeichen!$B$5</definedName>
    <definedName name="SummeVersrgPfl">#REF!</definedName>
    <definedName name="SV_Abzug">'VPI &amp; Zins'!$H$5:$I$25</definedName>
    <definedName name="sVA">'sVA § 20'!$C$2:$I$45</definedName>
    <definedName name="sVA_AnzahlehezeitlicherV">'sVA § 20'!$Q$39</definedName>
    <definedName name="sVA_DatenlisteGeschlecht">'sVA § 20'!$O$50:$O$52</definedName>
    <definedName name="sVA_Einkommensauswahl">'sVA § 20'!$M$37</definedName>
    <definedName name="sVA_EPOst">'sVA § 20'!$O$49</definedName>
    <definedName name="sVA_Geschlecht">'§ 22'!$P$6</definedName>
    <definedName name="sVA_Hauß">#REF!</definedName>
    <definedName name="sVA_Heubeck">#REF!</definedName>
    <definedName name="sVA_Höchst3b">'sVA § 20'!$O$5</definedName>
    <definedName name="sVA_Privat">'sVA § 20'!$M$20</definedName>
    <definedName name="sVA_Stammdaten">'sVA § 20'!$H$3</definedName>
    <definedName name="sVA_VVRQuoteMet2">'sVA § 20'!$O$67</definedName>
    <definedName name="sVA_VVRQuoteMeth1">'sVA § 20'!$P$67</definedName>
    <definedName name="sVA20_Anzahl_Renten">'sVA § 20'!$N$21</definedName>
    <definedName name="SVAbgaben">'sVA § 20'!$O$48</definedName>
    <definedName name="T_Barwert">'Einzel-Bewertung'!$Q$24</definedName>
    <definedName name="T_Verrentung">'Einzel-Bewertung'!$Q$18</definedName>
    <definedName name="Tabelle">'BVerfG 1 BvL 5-18'!$C$51</definedName>
    <definedName name="Tabelle9a">Parameter!$AG$43:$AH$142</definedName>
    <definedName name="TabellenAuswahlDRV">'BVerfG 1 BvL 5-18'!$AH$32</definedName>
    <definedName name="TabSchritteBer">'BVerfG 1 BvL 5-18'!$O$4</definedName>
    <definedName name="TabSchrittePfl">'BVerfG 1 BvL 5-18'!$O$3</definedName>
    <definedName name="Tage">Ehezeitanteil!$AD$3</definedName>
    <definedName name="Teilungsordnungsprüfung">'TO-Prüfung'!$B$2</definedName>
    <definedName name="Tenorierungsvorschlag">'TO-Prüfung'!$B$12</definedName>
    <definedName name="Tenorschalter">'Berechnungen BVerfG'!$U$4</definedName>
    <definedName name="Text">Zeichen!$D$11</definedName>
    <definedName name="TO_Bemerkung1">'TO-Prüfung'!$E$6</definedName>
    <definedName name="TO_Bemerkung2">'TO-Prüfung'!$C$10</definedName>
    <definedName name="TO_Sex">'TO-Prüfung'!$K$8</definedName>
    <definedName name="TO_vorhanden">'TO Ziff.5'!$S$5</definedName>
    <definedName name="TO_Ziffer">Fallerfassung!$AS$40</definedName>
    <definedName name="Tod">#REF!</definedName>
    <definedName name="TOs">Fallerfassung!$AQ$40</definedName>
    <definedName name="TOZiff5">'TO Ziff.5'!$B$7:$O$243</definedName>
    <definedName name="Transfergewinnverteilung">'Gewinn &amp; Verlust'!$B$3</definedName>
    <definedName name="TZ_Faktor">Ehezeitanteil!$AD$6</definedName>
    <definedName name="Umrechnung">Parameter!$Q$3:$X$66</definedName>
    <definedName name="Umrechnungen">'Dies &amp; Das'!$B$12:$E$24</definedName>
    <definedName name="UmrechnungEP_Kap">Parameter!$Q$5:$S$64</definedName>
    <definedName name="Umrechnungsfaktoren">Parameter!$T$5:$X$64</definedName>
    <definedName name="Umrechnungsfaktoren_BeitraginEP">Parameter!$T$17:$X$64</definedName>
    <definedName name="Umrechnungsfaktoren_BinEP">Parameter!$T$5:$V$70</definedName>
    <definedName name="Unbesetzt">Unbesetzt!$A$1</definedName>
    <definedName name="ungefähr">Zeichen!$B$10</definedName>
    <definedName name="Unterhaltsprivileg">'§ 33'!$C$2</definedName>
    <definedName name="VBL_Altersfaktoren">Parameter!$AB$4:$AC$51</definedName>
    <definedName name="VereinbarterUnterhalt">'§ 33'!$I$15</definedName>
    <definedName name="VerglVers">'Berechnungen BVerfG'!$T$3</definedName>
    <definedName name="verheiratet">Grundrentenrechner!$O$21</definedName>
    <definedName name="Verheiratet2">Grundrentenrechner!$P$21</definedName>
    <definedName name="Verrentung">'Dies &amp; Das'!$G$19:$L$30</definedName>
    <definedName name="VersAusglKJa">'Berechnungen BVerfG'!$V$2</definedName>
    <definedName name="VersAusglKPfl">'BVerfG 1 BvL 5-18'!$AG$9</definedName>
    <definedName name="VersBer">'BVerfG 1 BvL 5-18'!$AJ$9</definedName>
    <definedName name="VersGebJahrgBer">'BVerfG 1 BvL 5-18'!$U$3</definedName>
    <definedName name="VersGebJahrgPfl">'BVerfG 1 BvL 5-18'!$N$3</definedName>
    <definedName name="VersicherungsNrFrau">[1]Erfassungsbogen!$F$9</definedName>
    <definedName name="VersicherungsNrMann">[1]Erfassungsbogen!$C$9</definedName>
    <definedName name="Versionsstand">Inhalt!$C$15</definedName>
    <definedName name="VersorgungenEU">Zielversorgungsstart:Zins</definedName>
    <definedName name="Vertins_BilMoG10">Verzinsung!$P$23</definedName>
    <definedName name="VerzinsungAusgleichswert">Verzinsung!$J$22</definedName>
    <definedName name="Volldynamik">'Einzel-Bewertung'!$S$16</definedName>
    <definedName name="VPI">'VPI &amp; Zins'!$B$3:$D$900</definedName>
    <definedName name="VPI_10">'Einzel-Bewertung'!$S$14</definedName>
    <definedName name="VPI_Jahr">'VPI &amp; Zins'!$O$4:$P$87</definedName>
    <definedName name="vv">'Einzel-Bewertung'!$E$15</definedName>
    <definedName name="VVR">'Dies &amp; Das'!$AE$37</definedName>
    <definedName name="weiblich">Zeichen!$B$1</definedName>
    <definedName name="West_Ost">'BVerfG 1 BvL 5-18'!$Q$25</definedName>
    <definedName name="WO_Schalter">'BVerfG 1 BvL 5-18'!$N$30</definedName>
    <definedName name="Zinsstaffel">'BVerfG 1 BvL 5-18'!$AM$29:$AM$43</definedName>
    <definedName name="Zuschlag">'Einzel-Bewertung'!$AB$7</definedName>
    <definedName name="ZVAusglBerAlternativ">'§§ 23, 24'!$V$33</definedName>
  </definedNames>
  <calcPr calcId="191029"/>
</workbook>
</file>

<file path=xl/calcChain.xml><?xml version="1.0" encoding="utf-8"?>
<calcChain xmlns="http://schemas.openxmlformats.org/spreadsheetml/2006/main">
  <c r="J3" i="156" l="1"/>
  <c r="E20" i="117" l="1"/>
  <c r="O8" i="117"/>
  <c r="O7" i="117"/>
  <c r="O9" i="117" l="1"/>
  <c r="I21" i="117" s="1"/>
  <c r="A111" i="124"/>
  <c r="B111" i="124"/>
  <c r="C21" i="117" l="1"/>
  <c r="N18" i="117"/>
  <c r="N19" i="117"/>
  <c r="N20" i="117"/>
  <c r="N17" i="117"/>
  <c r="F20" i="117"/>
  <c r="N21" i="117" l="1"/>
  <c r="G22" i="117" s="1"/>
  <c r="T30" i="17"/>
  <c r="Y31" i="17"/>
  <c r="S32" i="17" l="1"/>
  <c r="G298" i="124"/>
  <c r="A298" i="124"/>
  <c r="B298" i="124"/>
  <c r="A18" i="161" l="1"/>
  <c r="B94" i="162"/>
  <c r="D94" i="161"/>
  <c r="B94" i="161"/>
  <c r="A94" i="161"/>
  <c r="A93" i="161"/>
  <c r="A92" i="161"/>
  <c r="A91" i="161"/>
  <c r="A90" i="161"/>
  <c r="A89" i="161"/>
  <c r="A88" i="161"/>
  <c r="A87" i="161"/>
  <c r="A86" i="161"/>
  <c r="A85" i="161"/>
  <c r="A84" i="161"/>
  <c r="A83" i="161"/>
  <c r="A82" i="161"/>
  <c r="A81" i="161"/>
  <c r="A80" i="161"/>
  <c r="A79" i="161"/>
  <c r="A78" i="161"/>
  <c r="A77" i="161"/>
  <c r="A76" i="161"/>
  <c r="A75" i="161"/>
  <c r="A74" i="161"/>
  <c r="A73" i="161"/>
  <c r="A72" i="161"/>
  <c r="A71" i="161"/>
  <c r="A70" i="161"/>
  <c r="A69" i="161"/>
  <c r="A68" i="161"/>
  <c r="A67" i="161"/>
  <c r="A66" i="161"/>
  <c r="A65" i="161"/>
  <c r="A64" i="161"/>
  <c r="A63" i="161"/>
  <c r="A62" i="161"/>
  <c r="A61" i="161"/>
  <c r="A60" i="161"/>
  <c r="A59" i="161"/>
  <c r="A58" i="161"/>
  <c r="A57" i="161"/>
  <c r="A56" i="161"/>
  <c r="A55" i="161"/>
  <c r="A54" i="161"/>
  <c r="A53" i="161"/>
  <c r="A52" i="161"/>
  <c r="A51" i="161"/>
  <c r="A50" i="161"/>
  <c r="A49" i="161"/>
  <c r="A48" i="161"/>
  <c r="A47" i="161"/>
  <c r="A46" i="161"/>
  <c r="A45" i="161"/>
  <c r="A44" i="161"/>
  <c r="A43" i="161"/>
  <c r="A42" i="161"/>
  <c r="A41" i="161"/>
  <c r="A40" i="161"/>
  <c r="A39" i="161"/>
  <c r="A38" i="161"/>
  <c r="A37" i="161"/>
  <c r="A36" i="161"/>
  <c r="A35" i="161"/>
  <c r="A34" i="161"/>
  <c r="A33" i="161"/>
  <c r="A32" i="161"/>
  <c r="A31" i="161"/>
  <c r="A30" i="161"/>
  <c r="A29" i="161"/>
  <c r="A28" i="161"/>
  <c r="A27" i="161"/>
  <c r="A26" i="161"/>
  <c r="A25" i="161"/>
  <c r="A24" i="161"/>
  <c r="A23" i="161"/>
  <c r="A22" i="161"/>
  <c r="A21" i="161"/>
  <c r="A20" i="161"/>
  <c r="A19" i="161"/>
  <c r="L16" i="161"/>
  <c r="K18" i="161" l="1"/>
  <c r="M18" i="161" l="1"/>
  <c r="O18" i="161" l="1"/>
  <c r="N18" i="161" l="1"/>
  <c r="F24" i="161" l="1"/>
  <c r="G26" i="161" s="1"/>
  <c r="H24" i="161" l="1"/>
  <c r="G28" i="161" s="1"/>
  <c r="I23" i="161"/>
  <c r="I24" i="161" l="1"/>
  <c r="G29" i="161" s="1"/>
  <c r="D91" i="161"/>
  <c r="D74" i="161"/>
  <c r="D77" i="161"/>
  <c r="D81" i="161"/>
  <c r="D89" i="161"/>
  <c r="D88" i="161"/>
  <c r="D90" i="161"/>
  <c r="D79" i="161"/>
  <c r="D85" i="161"/>
  <c r="D84" i="161"/>
  <c r="D87" i="161"/>
  <c r="D78" i="161"/>
  <c r="D72" i="161"/>
  <c r="D86" i="161"/>
  <c r="D71" i="161"/>
  <c r="D93" i="161"/>
  <c r="D82" i="161"/>
  <c r="D80" i="161"/>
  <c r="D92" i="161"/>
  <c r="D83" i="161"/>
  <c r="D73" i="161"/>
  <c r="D75" i="161"/>
  <c r="D76" i="161"/>
  <c r="F29" i="161"/>
  <c r="K19" i="161"/>
  <c r="O19" i="161" l="1"/>
  <c r="N19" i="161"/>
  <c r="K20" i="161"/>
  <c r="O20" i="161" l="1"/>
  <c r="N20" i="161"/>
  <c r="K21" i="161"/>
  <c r="O21" i="161" l="1"/>
  <c r="N21" i="161"/>
  <c r="K22" i="161"/>
  <c r="N22" i="161" l="1"/>
  <c r="O22" i="161"/>
  <c r="K23" i="161"/>
  <c r="O23" i="161" l="1"/>
  <c r="N23" i="161"/>
  <c r="K24" i="161"/>
  <c r="N24" i="161" l="1"/>
  <c r="O24" i="161"/>
  <c r="K25" i="161"/>
  <c r="N25" i="161" l="1"/>
  <c r="O25" i="161"/>
  <c r="K26" i="161"/>
  <c r="N26" i="161" l="1"/>
  <c r="O26" i="161"/>
  <c r="K27" i="161" l="1"/>
  <c r="K28" i="161" l="1"/>
  <c r="O27" i="161"/>
  <c r="N27" i="161"/>
  <c r="O28" i="161" l="1"/>
  <c r="N28" i="161"/>
  <c r="K29" i="161"/>
  <c r="K30" i="161" l="1"/>
  <c r="N29" i="161"/>
  <c r="O29" i="161"/>
  <c r="K31" i="161" l="1"/>
  <c r="O30" i="161"/>
  <c r="N30" i="161"/>
  <c r="K32" i="161" l="1"/>
  <c r="O31" i="161"/>
  <c r="N31" i="161"/>
  <c r="O32" i="161" l="1"/>
  <c r="N32" i="161"/>
  <c r="K33" i="161"/>
  <c r="N33" i="161" l="1"/>
  <c r="O33" i="161"/>
  <c r="K34" i="161"/>
  <c r="N34" i="161" l="1"/>
  <c r="O34" i="161"/>
  <c r="K35" i="161"/>
  <c r="K36" i="161" l="1"/>
  <c r="N35" i="161"/>
  <c r="O35" i="161"/>
  <c r="K37" i="161" l="1"/>
  <c r="N36" i="161"/>
  <c r="O36" i="161"/>
  <c r="K38" i="161" l="1"/>
  <c r="N37" i="161"/>
  <c r="O37" i="161"/>
  <c r="O38" i="161" l="1"/>
  <c r="N38" i="161"/>
  <c r="K39" i="161"/>
  <c r="K40" i="161" l="1"/>
  <c r="O39" i="161"/>
  <c r="N39" i="161"/>
  <c r="O40" i="161" l="1"/>
  <c r="N40" i="161"/>
  <c r="K41" i="161"/>
  <c r="K42" i="161" l="1"/>
  <c r="N41" i="161"/>
  <c r="O41" i="161"/>
  <c r="K43" i="161" l="1"/>
  <c r="O42" i="161"/>
  <c r="N42" i="161"/>
  <c r="K44" i="161" l="1"/>
  <c r="N43" i="161"/>
  <c r="O43" i="161"/>
  <c r="N44" i="161" l="1"/>
  <c r="O44" i="161"/>
  <c r="K45" i="161"/>
  <c r="K46" i="161" l="1"/>
  <c r="N45" i="161"/>
  <c r="O45" i="161"/>
  <c r="O46" i="161" l="1"/>
  <c r="N46" i="161"/>
  <c r="K47" i="161"/>
  <c r="K48" i="161" l="1"/>
  <c r="O47" i="161"/>
  <c r="N47" i="161"/>
  <c r="K49" i="161" l="1"/>
  <c r="O48" i="161"/>
  <c r="N48" i="161"/>
  <c r="O49" i="161" l="1"/>
  <c r="N49" i="161"/>
  <c r="K50" i="161"/>
  <c r="O50" i="161" l="1"/>
  <c r="N50" i="161"/>
  <c r="K51" i="161"/>
  <c r="K52" i="161" l="1"/>
  <c r="N51" i="161"/>
  <c r="O51" i="161"/>
  <c r="K53" i="161" l="1"/>
  <c r="N52" i="161"/>
  <c r="O52" i="161"/>
  <c r="K54" i="161" l="1"/>
  <c r="O53" i="161"/>
  <c r="N53" i="161"/>
  <c r="K55" i="161" l="1"/>
  <c r="O54" i="161"/>
  <c r="N54" i="161"/>
  <c r="K56" i="161" l="1"/>
  <c r="O55" i="161"/>
  <c r="N55" i="161"/>
  <c r="K57" i="161" l="1"/>
  <c r="N56" i="161"/>
  <c r="O56" i="161"/>
  <c r="K58" i="161" l="1"/>
  <c r="N57" i="161"/>
  <c r="O57" i="161"/>
  <c r="O58" i="161" l="1"/>
  <c r="N58" i="161"/>
  <c r="K59" i="161"/>
  <c r="K60" i="161" l="1"/>
  <c r="N59" i="161"/>
  <c r="O59" i="161"/>
  <c r="K61" i="161" l="1"/>
  <c r="N60" i="161"/>
  <c r="O60" i="161"/>
  <c r="K62" i="161" l="1"/>
  <c r="N61" i="161"/>
  <c r="O61" i="161"/>
  <c r="K63" i="161" l="1"/>
  <c r="O62" i="161"/>
  <c r="N62" i="161"/>
  <c r="K64" i="161" l="1"/>
  <c r="O63" i="161"/>
  <c r="N63" i="161"/>
  <c r="K65" i="161" l="1"/>
  <c r="O64" i="161"/>
  <c r="N64" i="161"/>
  <c r="N65" i="161" l="1"/>
  <c r="O65" i="161"/>
  <c r="K66" i="161"/>
  <c r="O66" i="161" l="1"/>
  <c r="N66" i="161"/>
  <c r="K67" i="161"/>
  <c r="N67" i="161" l="1"/>
  <c r="O67" i="161"/>
  <c r="K68" i="161"/>
  <c r="K69" i="161" l="1"/>
  <c r="O68" i="161"/>
  <c r="N68" i="161"/>
  <c r="K70" i="161" l="1"/>
  <c r="O69" i="161"/>
  <c r="N69" i="161"/>
  <c r="O70" i="161" l="1"/>
  <c r="N70" i="161"/>
  <c r="L18" i="161" l="1"/>
  <c r="P18" i="161" s="1"/>
  <c r="C18" i="161" s="1"/>
  <c r="L19" i="161"/>
  <c r="L20" i="161"/>
  <c r="L21" i="161"/>
  <c r="L22" i="161"/>
  <c r="L23" i="161"/>
  <c r="L24" i="161"/>
  <c r="L25" i="161"/>
  <c r="L26" i="161"/>
  <c r="L27" i="161"/>
  <c r="L28" i="161"/>
  <c r="L29" i="161"/>
  <c r="L30" i="161"/>
  <c r="L31" i="161"/>
  <c r="L32" i="161"/>
  <c r="L33" i="161"/>
  <c r="L34" i="161"/>
  <c r="L35" i="161"/>
  <c r="L36" i="161"/>
  <c r="L37" i="161"/>
  <c r="L38" i="161"/>
  <c r="L39" i="161"/>
  <c r="L40" i="161"/>
  <c r="L41" i="161"/>
  <c r="L42" i="161"/>
  <c r="L43" i="161"/>
  <c r="L44" i="161"/>
  <c r="L45" i="161"/>
  <c r="L46" i="161"/>
  <c r="L47" i="161"/>
  <c r="L48" i="161"/>
  <c r="L49" i="161"/>
  <c r="L50" i="161"/>
  <c r="L51" i="161"/>
  <c r="L52" i="161"/>
  <c r="L53" i="161"/>
  <c r="L54" i="161"/>
  <c r="L55" i="161"/>
  <c r="L56" i="161"/>
  <c r="L57" i="161"/>
  <c r="L58" i="161"/>
  <c r="L59" i="161"/>
  <c r="L60" i="161"/>
  <c r="L61" i="161"/>
  <c r="L62" i="161"/>
  <c r="L63" i="161"/>
  <c r="L64" i="161"/>
  <c r="L65" i="161"/>
  <c r="L66" i="161"/>
  <c r="L67" i="161"/>
  <c r="L68" i="161"/>
  <c r="L69" i="161"/>
  <c r="L70" i="161"/>
  <c r="C94" i="161" l="1"/>
  <c r="H23" i="161" l="1"/>
  <c r="F28" i="161" s="1"/>
  <c r="M19" i="161" l="1"/>
  <c r="P19" i="161" s="1"/>
  <c r="C19" i="161" s="1"/>
  <c r="M20" i="161"/>
  <c r="P20" i="161" s="1"/>
  <c r="C20" i="161" s="1"/>
  <c r="M21" i="161"/>
  <c r="P21" i="161" s="1"/>
  <c r="C21" i="161" s="1"/>
  <c r="M22" i="161"/>
  <c r="P22" i="161" s="1"/>
  <c r="C22" i="161" s="1"/>
  <c r="M23" i="161"/>
  <c r="P23" i="161" s="1"/>
  <c r="C23" i="161" s="1"/>
  <c r="M24" i="161"/>
  <c r="P24" i="161" s="1"/>
  <c r="C24" i="161" s="1"/>
  <c r="M25" i="161"/>
  <c r="P25" i="161" s="1"/>
  <c r="C25" i="161" s="1"/>
  <c r="M26" i="161"/>
  <c r="P26" i="161" s="1"/>
  <c r="C26" i="161" s="1"/>
  <c r="M27" i="161"/>
  <c r="P27" i="161" s="1"/>
  <c r="C27" i="161" s="1"/>
  <c r="M28" i="161"/>
  <c r="P28" i="161" s="1"/>
  <c r="C28" i="161" s="1"/>
  <c r="M29" i="161"/>
  <c r="P29" i="161" s="1"/>
  <c r="C29" i="161" s="1"/>
  <c r="M30" i="161"/>
  <c r="P30" i="161" s="1"/>
  <c r="C30" i="161" s="1"/>
  <c r="M31" i="161"/>
  <c r="P31" i="161" s="1"/>
  <c r="C31" i="161" s="1"/>
  <c r="M32" i="161"/>
  <c r="P32" i="161" s="1"/>
  <c r="C32" i="161" s="1"/>
  <c r="M33" i="161"/>
  <c r="P33" i="161" s="1"/>
  <c r="C33" i="161" s="1"/>
  <c r="M34" i="161"/>
  <c r="P34" i="161" s="1"/>
  <c r="C34" i="161" s="1"/>
  <c r="M35" i="161"/>
  <c r="P35" i="161" s="1"/>
  <c r="C35" i="161" s="1"/>
  <c r="M36" i="161"/>
  <c r="P36" i="161" s="1"/>
  <c r="C36" i="161" s="1"/>
  <c r="M37" i="161"/>
  <c r="P37" i="161" s="1"/>
  <c r="C37" i="161" s="1"/>
  <c r="M38" i="161"/>
  <c r="P38" i="161" s="1"/>
  <c r="C38" i="161" s="1"/>
  <c r="M39" i="161"/>
  <c r="P39" i="161" s="1"/>
  <c r="C39" i="161" s="1"/>
  <c r="M40" i="161"/>
  <c r="P40" i="161" s="1"/>
  <c r="C40" i="161" s="1"/>
  <c r="M41" i="161"/>
  <c r="P41" i="161" s="1"/>
  <c r="C41" i="161" s="1"/>
  <c r="M42" i="161"/>
  <c r="P42" i="161" s="1"/>
  <c r="C42" i="161" s="1"/>
  <c r="M43" i="161"/>
  <c r="P43" i="161" s="1"/>
  <c r="C43" i="161" s="1"/>
  <c r="M44" i="161"/>
  <c r="P44" i="161" s="1"/>
  <c r="C44" i="161" s="1"/>
  <c r="M45" i="161"/>
  <c r="P45" i="161" s="1"/>
  <c r="C45" i="161" s="1"/>
  <c r="M46" i="161"/>
  <c r="P46" i="161" s="1"/>
  <c r="C46" i="161" s="1"/>
  <c r="M47" i="161"/>
  <c r="P47" i="161" s="1"/>
  <c r="C47" i="161" s="1"/>
  <c r="M48" i="161"/>
  <c r="P48" i="161" s="1"/>
  <c r="C48" i="161" s="1"/>
  <c r="M49" i="161"/>
  <c r="P49" i="161" s="1"/>
  <c r="C49" i="161" s="1"/>
  <c r="M50" i="161"/>
  <c r="P50" i="161" s="1"/>
  <c r="C50" i="161" s="1"/>
  <c r="M51" i="161"/>
  <c r="P51" i="161" s="1"/>
  <c r="C51" i="161" s="1"/>
  <c r="M52" i="161"/>
  <c r="P52" i="161" s="1"/>
  <c r="C52" i="161" s="1"/>
  <c r="M53" i="161"/>
  <c r="P53" i="161" s="1"/>
  <c r="C53" i="161" s="1"/>
  <c r="M54" i="161"/>
  <c r="P54" i="161" s="1"/>
  <c r="C54" i="161" s="1"/>
  <c r="M55" i="161"/>
  <c r="P55" i="161" s="1"/>
  <c r="C55" i="161" s="1"/>
  <c r="M56" i="161"/>
  <c r="P56" i="161" s="1"/>
  <c r="C56" i="161" s="1"/>
  <c r="M57" i="161"/>
  <c r="P57" i="161" s="1"/>
  <c r="C57" i="161" s="1"/>
  <c r="M58" i="161"/>
  <c r="P58" i="161" s="1"/>
  <c r="C58" i="161" s="1"/>
  <c r="M59" i="161"/>
  <c r="P59" i="161" s="1"/>
  <c r="C59" i="161" s="1"/>
  <c r="M60" i="161"/>
  <c r="P60" i="161" s="1"/>
  <c r="C60" i="161" s="1"/>
  <c r="M61" i="161"/>
  <c r="P61" i="161" s="1"/>
  <c r="C61" i="161" s="1"/>
  <c r="M62" i="161"/>
  <c r="P62" i="161" s="1"/>
  <c r="C62" i="161" s="1"/>
  <c r="M63" i="161"/>
  <c r="P63" i="161" s="1"/>
  <c r="C63" i="161" s="1"/>
  <c r="M64" i="161"/>
  <c r="P64" i="161" s="1"/>
  <c r="C64" i="161" s="1"/>
  <c r="M65" i="161"/>
  <c r="P65" i="161" s="1"/>
  <c r="C65" i="161" s="1"/>
  <c r="M66" i="161"/>
  <c r="P66" i="161" s="1"/>
  <c r="C66" i="161" s="1"/>
  <c r="M67" i="161"/>
  <c r="P67" i="161" s="1"/>
  <c r="C67" i="161" s="1"/>
  <c r="M68" i="161"/>
  <c r="P68" i="161" s="1"/>
  <c r="C68" i="161" s="1"/>
  <c r="M69" i="161"/>
  <c r="P69" i="161" s="1"/>
  <c r="C69" i="161" s="1"/>
  <c r="M70" i="161"/>
  <c r="P70" i="161" s="1"/>
  <c r="C70" i="161" s="1"/>
  <c r="B87" i="161"/>
  <c r="B87" i="162"/>
  <c r="C74" i="161" l="1"/>
  <c r="C77" i="161"/>
  <c r="C88" i="161"/>
  <c r="C90" i="161"/>
  <c r="C81" i="161"/>
  <c r="C89" i="161"/>
  <c r="C72" i="161"/>
  <c r="C75" i="161"/>
  <c r="C91" i="161"/>
  <c r="C93" i="161"/>
  <c r="C78" i="161"/>
  <c r="C71" i="161"/>
  <c r="C85" i="161"/>
  <c r="C80" i="161"/>
  <c r="C82" i="161"/>
  <c r="C92" i="161"/>
  <c r="C84" i="161"/>
  <c r="C73" i="161"/>
  <c r="C87" i="161"/>
  <c r="C76" i="161"/>
  <c r="C79" i="161"/>
  <c r="C83" i="161"/>
  <c r="C86" i="161"/>
  <c r="D31" i="161"/>
  <c r="B31" i="161"/>
  <c r="B31" i="162"/>
  <c r="B32" i="161"/>
  <c r="B32" i="162"/>
  <c r="D32" i="161"/>
  <c r="B80" i="161"/>
  <c r="B80" i="162"/>
  <c r="D51" i="161"/>
  <c r="B51" i="162"/>
  <c r="B51" i="161"/>
  <c r="D25" i="161"/>
  <c r="B25" i="161"/>
  <c r="B25" i="162"/>
  <c r="B58" i="161"/>
  <c r="D58" i="161"/>
  <c r="B58" i="162"/>
  <c r="B59" i="162"/>
  <c r="B59" i="161"/>
  <c r="D59" i="161"/>
  <c r="B30" i="162"/>
  <c r="D30" i="161"/>
  <c r="B30" i="161"/>
  <c r="D67" i="161"/>
  <c r="B67" i="161"/>
  <c r="B67" i="162"/>
  <c r="B61" i="162"/>
  <c r="D61" i="161"/>
  <c r="B61" i="161"/>
  <c r="B66" i="162"/>
  <c r="D66" i="161"/>
  <c r="B66" i="161"/>
  <c r="B24" i="162"/>
  <c r="D24" i="161"/>
  <c r="B24" i="161"/>
  <c r="D65" i="161"/>
  <c r="B65" i="161"/>
  <c r="B65" i="162"/>
  <c r="B34" i="161"/>
  <c r="D34" i="161"/>
  <c r="B34" i="162"/>
  <c r="B74" i="161"/>
  <c r="B74" i="162"/>
  <c r="B43" i="162"/>
  <c r="B43" i="161"/>
  <c r="D43" i="161"/>
  <c r="B76" i="162"/>
  <c r="B76" i="161"/>
  <c r="B81" i="161"/>
  <c r="B81" i="162"/>
  <c r="B88" i="161"/>
  <c r="B88" i="162"/>
  <c r="B29" i="162"/>
  <c r="D29" i="161"/>
  <c r="B29" i="161"/>
  <c r="B38" i="161"/>
  <c r="B38" i="162"/>
  <c r="D38" i="161"/>
  <c r="B75" i="162"/>
  <c r="B75" i="161"/>
  <c r="B77" i="162"/>
  <c r="B77" i="161"/>
  <c r="D18" i="161"/>
  <c r="B18" i="161"/>
  <c r="B18" i="162"/>
  <c r="D48" i="161"/>
  <c r="B48" i="161"/>
  <c r="B48" i="162"/>
  <c r="B71" i="161"/>
  <c r="B71" i="162"/>
  <c r="B27" i="162"/>
  <c r="D27" i="161"/>
  <c r="B27" i="161"/>
  <c r="B57" i="161"/>
  <c r="D57" i="161"/>
  <c r="B57" i="162"/>
  <c r="D56" i="161"/>
  <c r="B56" i="162"/>
  <c r="B56" i="161"/>
  <c r="B22" i="162"/>
  <c r="D22" i="161"/>
  <c r="B22" i="161"/>
  <c r="B53" i="161"/>
  <c r="D53" i="161"/>
  <c r="B53" i="162"/>
  <c r="B35" i="161"/>
  <c r="B35" i="162"/>
  <c r="D35" i="161"/>
  <c r="B73" i="162"/>
  <c r="B73" i="161"/>
  <c r="D45" i="161"/>
  <c r="B45" i="161"/>
  <c r="B45" i="162"/>
  <c r="B41" i="162"/>
  <c r="B41" i="161"/>
  <c r="D41" i="161"/>
  <c r="B46" i="162"/>
  <c r="D46" i="161"/>
  <c r="B46" i="161"/>
  <c r="D19" i="161"/>
  <c r="B19" i="161"/>
  <c r="B19" i="162"/>
  <c r="D23" i="161"/>
  <c r="B23" i="161"/>
  <c r="B23" i="162"/>
  <c r="B36" i="162"/>
  <c r="D36" i="161"/>
  <c r="B36" i="161"/>
  <c r="B85" i="161"/>
  <c r="B85" i="162"/>
  <c r="B82" i="161"/>
  <c r="B82" i="162"/>
  <c r="B42" i="162"/>
  <c r="D42" i="161"/>
  <c r="B42" i="161"/>
  <c r="B63" i="161"/>
  <c r="D63" i="161"/>
  <c r="B63" i="162"/>
  <c r="B84" i="162"/>
  <c r="B84" i="161"/>
  <c r="B89" i="162"/>
  <c r="B89" i="161"/>
  <c r="B20" i="162"/>
  <c r="B20" i="161"/>
  <c r="D20" i="161"/>
  <c r="B52" i="161"/>
  <c r="B52" i="162"/>
  <c r="D52" i="161"/>
  <c r="B86" i="161"/>
  <c r="B86" i="162"/>
  <c r="B55" i="162"/>
  <c r="D55" i="161"/>
  <c r="B55" i="161"/>
  <c r="B40" i="162"/>
  <c r="B40" i="161"/>
  <c r="D40" i="161"/>
  <c r="B26" i="162"/>
  <c r="B26" i="161"/>
  <c r="D26" i="161"/>
  <c r="B93" i="162"/>
  <c r="B93" i="161"/>
  <c r="B37" i="162"/>
  <c r="B37" i="161"/>
  <c r="D37" i="161"/>
  <c r="D33" i="161"/>
  <c r="B33" i="161"/>
  <c r="B33" i="162"/>
  <c r="B79" i="162"/>
  <c r="B79" i="161"/>
  <c r="D28" i="161"/>
  <c r="B28" i="162"/>
  <c r="B28" i="161"/>
  <c r="D39" i="161"/>
  <c r="B39" i="162"/>
  <c r="B39" i="161"/>
  <c r="B91" i="162"/>
  <c r="B91" i="161"/>
  <c r="B21" i="162"/>
  <c r="D21" i="161"/>
  <c r="B21" i="161"/>
  <c r="B50" i="162"/>
  <c r="D50" i="161"/>
  <c r="B50" i="161"/>
  <c r="B62" i="161"/>
  <c r="D62" i="161"/>
  <c r="B62" i="162"/>
  <c r="D64" i="161"/>
  <c r="B64" i="161"/>
  <c r="B64" i="162"/>
  <c r="B90" i="162"/>
  <c r="B90" i="161"/>
  <c r="B68" i="161"/>
  <c r="B68" i="162"/>
  <c r="D68" i="161"/>
  <c r="B70" i="162"/>
  <c r="B70" i="161"/>
  <c r="D70" i="161"/>
  <c r="D47" i="161"/>
  <c r="B47" i="162"/>
  <c r="B47" i="161"/>
  <c r="B69" i="162"/>
  <c r="D69" i="161"/>
  <c r="B69" i="161"/>
  <c r="B92" i="161"/>
  <c r="B92" i="162"/>
  <c r="B78" i="162"/>
  <c r="B78" i="161"/>
  <c r="B72" i="161"/>
  <c r="B72" i="162"/>
  <c r="B83" i="162"/>
  <c r="B83" i="161"/>
  <c r="B60" i="162"/>
  <c r="D60" i="161"/>
  <c r="B60" i="161"/>
  <c r="B44" i="161"/>
  <c r="D44" i="161"/>
  <c r="B44" i="162"/>
  <c r="B54" i="162"/>
  <c r="B54" i="161"/>
  <c r="D54" i="161"/>
  <c r="D49" i="161"/>
  <c r="B49" i="161"/>
  <c r="B49" i="162"/>
  <c r="G24" i="161" l="1"/>
  <c r="G23" i="161" l="1"/>
  <c r="G27" i="161"/>
  <c r="J24" i="161"/>
  <c r="F27" i="161" l="1"/>
  <c r="T5" i="17" l="1"/>
  <c r="T7" i="17"/>
  <c r="S6" i="17"/>
  <c r="R23" i="17" s="1"/>
  <c r="T6" i="17" l="1"/>
  <c r="D41" i="149"/>
  <c r="J41" i="149"/>
  <c r="B10" i="22" l="1"/>
  <c r="I6" i="117" l="1"/>
  <c r="I4" i="117"/>
  <c r="C9" i="117" l="1"/>
  <c r="I9" i="117"/>
  <c r="H33" i="117"/>
  <c r="G267" i="124" l="1"/>
  <c r="P267" i="124"/>
  <c r="A267" i="124"/>
  <c r="B267" i="124"/>
  <c r="G203" i="124" l="1"/>
  <c r="A203" i="124"/>
  <c r="B203" i="124"/>
  <c r="C24" i="117" l="1"/>
  <c r="W26" i="17"/>
  <c r="P151" i="124"/>
  <c r="G151" i="124"/>
  <c r="A151" i="124"/>
  <c r="B151" i="124"/>
  <c r="Y13" i="17" l="1"/>
  <c r="X13" i="17"/>
  <c r="R17" i="17" s="1"/>
  <c r="R19" i="17" l="1"/>
  <c r="W3" i="17" l="1"/>
  <c r="V3" i="17"/>
  <c r="E31" i="17"/>
  <c r="E14" i="158" l="1"/>
  <c r="D23" i="158"/>
  <c r="G178" i="124" l="1"/>
  <c r="G179" i="124"/>
  <c r="B178" i="124"/>
  <c r="A178" i="124"/>
  <c r="B179" i="124"/>
  <c r="A179" i="124"/>
  <c r="BH25" i="138" l="1"/>
  <c r="V30" i="138"/>
  <c r="V32" i="138"/>
  <c r="V33" i="138"/>
  <c r="V34" i="138"/>
  <c r="V36" i="138"/>
  <c r="V37" i="138"/>
  <c r="V38" i="138"/>
  <c r="T35" i="138"/>
  <c r="T38" i="138"/>
  <c r="BH38" i="138" l="1"/>
  <c r="G28" i="124"/>
  <c r="B28" i="124"/>
  <c r="A28" i="124"/>
  <c r="D23" i="17" l="1"/>
  <c r="AD33" i="17" l="1"/>
  <c r="B40" i="156"/>
  <c r="AP13" i="138" l="1"/>
  <c r="AP12" i="138"/>
  <c r="AP14" i="138"/>
  <c r="T6" i="138"/>
  <c r="S3" i="17" s="1"/>
  <c r="V6" i="138" l="1"/>
  <c r="T3" i="17" s="1"/>
  <c r="X6" i="156"/>
  <c r="T34" i="138"/>
  <c r="BH34" i="138" s="1"/>
  <c r="T33" i="138"/>
  <c r="BH33" i="138" s="1"/>
  <c r="T31" i="138"/>
  <c r="T32" i="138"/>
  <c r="BH32" i="138" s="1"/>
  <c r="J24" i="105"/>
  <c r="X5" i="156" l="1"/>
  <c r="O2" i="156"/>
  <c r="O35" i="156"/>
  <c r="R3" i="156"/>
  <c r="R4" i="156" s="1"/>
  <c r="R5" i="156" s="1"/>
  <c r="R6" i="156" s="1"/>
  <c r="R7" i="156" s="1"/>
  <c r="R8" i="156" s="1"/>
  <c r="R9" i="156" s="1"/>
  <c r="R10" i="156" s="1"/>
  <c r="R11" i="156" s="1"/>
  <c r="R12" i="156" s="1"/>
  <c r="R13" i="156" s="1"/>
  <c r="R14" i="156" s="1"/>
  <c r="R15" i="156" s="1"/>
  <c r="R16" i="156" s="1"/>
  <c r="R17" i="156" s="1"/>
  <c r="R18" i="156" s="1"/>
  <c r="R19" i="156" s="1"/>
  <c r="R20" i="156" s="1"/>
  <c r="R21" i="156" s="1"/>
  <c r="R22" i="156" s="1"/>
  <c r="R23" i="156" s="1"/>
  <c r="R24" i="156" s="1"/>
  <c r="R25" i="156" s="1"/>
  <c r="R26" i="156" s="1"/>
  <c r="R27" i="156" s="1"/>
  <c r="R28" i="156" s="1"/>
  <c r="R29" i="156" s="1"/>
  <c r="R30" i="156" s="1"/>
  <c r="R31" i="156" s="1"/>
  <c r="R32" i="156" s="1"/>
  <c r="R33" i="156" s="1"/>
  <c r="R34" i="156" s="1"/>
  <c r="R35" i="156" s="1"/>
  <c r="R36" i="156" s="1"/>
  <c r="R37" i="156" s="1"/>
  <c r="R38" i="156" s="1"/>
  <c r="R39" i="156" s="1"/>
  <c r="R40" i="156" s="1"/>
  <c r="R41" i="156" s="1"/>
  <c r="R42" i="156" s="1"/>
  <c r="R43" i="156" s="1"/>
  <c r="R44" i="156" s="1"/>
  <c r="A3" i="156"/>
  <c r="A4" i="156" s="1"/>
  <c r="A5" i="156" s="1"/>
  <c r="A6" i="156" s="1"/>
  <c r="A7" i="156" s="1"/>
  <c r="A8" i="156" s="1"/>
  <c r="A9" i="156" s="1"/>
  <c r="A10" i="156" s="1"/>
  <c r="A11" i="156" s="1"/>
  <c r="A12" i="156" s="1"/>
  <c r="A13" i="156" s="1"/>
  <c r="A14" i="156" s="1"/>
  <c r="A15" i="156" s="1"/>
  <c r="A16" i="156" s="1"/>
  <c r="A17" i="156" s="1"/>
  <c r="A18" i="156" s="1"/>
  <c r="A19" i="156" s="1"/>
  <c r="A20" i="156" s="1"/>
  <c r="A21" i="156" s="1"/>
  <c r="A22" i="156" s="1"/>
  <c r="A23" i="156" s="1"/>
  <c r="A24" i="156" s="1"/>
  <c r="A25" i="156" s="1"/>
  <c r="A26" i="156" s="1"/>
  <c r="A27" i="156" s="1"/>
  <c r="A28" i="156" s="1"/>
  <c r="A29" i="156" s="1"/>
  <c r="A30" i="156" s="1"/>
  <c r="A31" i="156" s="1"/>
  <c r="A32" i="156" s="1"/>
  <c r="A33" i="156" s="1"/>
  <c r="A34" i="156" s="1"/>
  <c r="A35" i="156" s="1"/>
  <c r="A36" i="156" s="1"/>
  <c r="A37" i="156" s="1"/>
  <c r="A38" i="156" s="1"/>
  <c r="A39" i="156" s="1"/>
  <c r="A40" i="156" s="1"/>
  <c r="A41" i="156" s="1"/>
  <c r="A42" i="156" s="1"/>
  <c r="A43" i="156" s="1"/>
  <c r="A44" i="156" s="1"/>
  <c r="J20" i="156"/>
  <c r="V14" i="138" l="1"/>
  <c r="T14" i="138"/>
  <c r="S20" i="138"/>
  <c r="V12" i="138"/>
  <c r="T12" i="138"/>
  <c r="H7" i="19"/>
  <c r="F13" i="157"/>
  <c r="B6" i="158"/>
  <c r="B7" i="157"/>
  <c r="G8" i="157"/>
  <c r="G11" i="157"/>
  <c r="F8" i="157"/>
  <c r="E7" i="157"/>
  <c r="P6" i="157"/>
  <c r="F5" i="157"/>
  <c r="E5" i="157"/>
  <c r="B3" i="157"/>
  <c r="AC29" i="156" l="1"/>
  <c r="E41" i="17" l="1"/>
  <c r="B34" i="156" l="1"/>
  <c r="B35" i="156"/>
  <c r="B16" i="156" l="1"/>
  <c r="C777" i="74"/>
  <c r="C778" i="74" s="1"/>
  <c r="C779" i="74" s="1"/>
  <c r="C780" i="74" s="1"/>
  <c r="C781" i="74" s="1"/>
  <c r="C782" i="74" s="1"/>
  <c r="C783" i="74" s="1"/>
  <c r="C784" i="74" s="1"/>
  <c r="C785" i="74" s="1"/>
  <c r="C786" i="74" s="1"/>
  <c r="C787" i="74" s="1"/>
  <c r="C788" i="74" s="1"/>
  <c r="J40" i="156" l="1"/>
  <c r="M30" i="156"/>
  <c r="J25" i="156"/>
  <c r="X21" i="156"/>
  <c r="Y21" i="156" s="1"/>
  <c r="B18" i="156"/>
  <c r="W17" i="156"/>
  <c r="V14" i="156"/>
  <c r="Y11" i="156"/>
  <c r="W11" i="156"/>
  <c r="V11" i="156"/>
  <c r="Y10" i="156"/>
  <c r="I5" i="156" s="1"/>
  <c r="B5" i="156" s="1"/>
  <c r="W10" i="156"/>
  <c r="V10" i="156"/>
  <c r="H6" i="156"/>
  <c r="O28" i="156" l="1"/>
  <c r="O29" i="156"/>
  <c r="Q5" i="156"/>
  <c r="V22" i="156" s="1"/>
  <c r="U43" i="156"/>
  <c r="V21" i="156"/>
  <c r="I9" i="156" s="1"/>
  <c r="V23" i="156"/>
  <c r="J33" i="156" s="1"/>
  <c r="V15" i="156"/>
  <c r="V6" i="156"/>
  <c r="M6" i="156" s="1"/>
  <c r="AB21" i="156" l="1"/>
  <c r="AB22" i="156" s="1"/>
  <c r="AA21" i="156"/>
  <c r="V37" i="156"/>
  <c r="Q6" i="156"/>
  <c r="W39" i="156" s="1"/>
  <c r="O6" i="156"/>
  <c r="Q9" i="156"/>
  <c r="AC39" i="156"/>
  <c r="AF43" i="156"/>
  <c r="AH37" i="156" s="1"/>
  <c r="AB43" i="156"/>
  <c r="AA43" i="156"/>
  <c r="Z43" i="156"/>
  <c r="AB36" i="156"/>
  <c r="Z36" i="156"/>
  <c r="AA36" i="156"/>
  <c r="AC36" i="156"/>
  <c r="AC43" i="156" s="1"/>
  <c r="AC37" i="156"/>
  <c r="L33" i="156"/>
  <c r="AA37" i="156" s="1"/>
  <c r="AA38" i="156" s="1"/>
  <c r="W36" i="156"/>
  <c r="V36" i="156"/>
  <c r="O37" i="156" l="1"/>
  <c r="B43" i="156"/>
  <c r="AA22" i="156"/>
  <c r="J16" i="156" s="1"/>
  <c r="J17" i="156" s="1"/>
  <c r="V39" i="156"/>
  <c r="O14" i="156" s="1"/>
  <c r="Q11" i="156"/>
  <c r="AB39" i="156"/>
  <c r="AD39" i="156" s="1"/>
  <c r="AA39" i="156"/>
  <c r="Z39" i="156"/>
  <c r="Q10" i="156"/>
  <c r="AD45" i="156"/>
  <c r="V43" i="156"/>
  <c r="X43" i="156" s="1"/>
  <c r="W43" i="156"/>
  <c r="U4" i="156"/>
  <c r="AB37" i="156"/>
  <c r="AD37" i="156" s="1"/>
  <c r="AD38" i="156" s="1"/>
  <c r="AG43" i="156"/>
  <c r="AH43" i="156" s="1"/>
  <c r="Z37" i="156"/>
  <c r="Z38" i="156" s="1"/>
  <c r="W37" i="156"/>
  <c r="AD36" i="156"/>
  <c r="AH38" i="156" l="1"/>
  <c r="Q30" i="156"/>
  <c r="Y43" i="156"/>
  <c r="AE43" i="156" s="1"/>
  <c r="Q28" i="156" s="1"/>
  <c r="V31" i="156"/>
  <c r="J18" i="156"/>
  <c r="E23" i="17"/>
  <c r="AD23" i="17"/>
  <c r="S27" i="156" l="1"/>
  <c r="B27" i="156" s="1"/>
  <c r="AD31" i="17"/>
  <c r="J19" i="156"/>
  <c r="X36" i="156" s="1"/>
  <c r="Y36" i="156" s="1"/>
  <c r="AE36" i="156" s="1"/>
  <c r="X31" i="156"/>
  <c r="J26" i="156" l="1"/>
  <c r="V26" i="156"/>
  <c r="X26" i="156" l="1"/>
  <c r="V28" i="156"/>
  <c r="M23" i="156" s="1"/>
  <c r="V29" i="156"/>
  <c r="M22" i="156"/>
  <c r="L26" i="156" l="1"/>
  <c r="M24" i="156"/>
  <c r="M25" i="156" s="1"/>
  <c r="L28" i="156" l="1"/>
  <c r="B26" i="156"/>
  <c r="Q8" i="156"/>
  <c r="V17" i="156"/>
  <c r="X17" i="156" s="1"/>
  <c r="Y17" i="156" s="1"/>
  <c r="W38" i="156"/>
  <c r="Y26" i="156"/>
  <c r="G14" i="124"/>
  <c r="A14" i="124"/>
  <c r="BC7" i="138" l="1"/>
  <c r="AY22" i="138" l="1"/>
  <c r="AL15" i="138" l="1"/>
  <c r="AL16" i="138"/>
  <c r="AL17" i="138"/>
  <c r="AL18" i="138"/>
  <c r="AL19" i="138"/>
  <c r="AL20" i="138"/>
  <c r="AL21" i="138"/>
  <c r="AL22" i="138"/>
  <c r="AL23" i="138"/>
  <c r="AL24" i="138"/>
  <c r="AL25" i="138"/>
  <c r="AL26" i="138"/>
  <c r="AL27" i="138"/>
  <c r="AL28" i="138"/>
  <c r="AL29" i="138"/>
  <c r="AL30" i="138"/>
  <c r="AL31" i="138"/>
  <c r="AL32" i="138"/>
  <c r="AL33" i="138"/>
  <c r="AL34" i="138"/>
  <c r="AL35" i="138"/>
  <c r="AL36" i="138"/>
  <c r="AL37" i="138"/>
  <c r="AL14" i="138"/>
  <c r="AN15" i="138" l="1"/>
  <c r="AN16" i="138"/>
  <c r="AN17" i="138"/>
  <c r="AN18" i="138"/>
  <c r="AN19" i="138"/>
  <c r="AN20" i="138"/>
  <c r="AN21" i="138"/>
  <c r="AN22" i="138"/>
  <c r="AN23" i="138"/>
  <c r="AN24" i="138"/>
  <c r="AN25" i="138"/>
  <c r="AN26" i="138"/>
  <c r="AN27" i="138"/>
  <c r="AN28" i="138"/>
  <c r="AN29" i="138"/>
  <c r="AN30" i="138"/>
  <c r="AN31" i="138"/>
  <c r="AN32" i="138"/>
  <c r="AN33" i="138"/>
  <c r="AN34" i="138"/>
  <c r="AN35" i="138"/>
  <c r="AN36" i="138"/>
  <c r="AN37" i="138"/>
  <c r="AN14" i="138"/>
  <c r="AJ12" i="138"/>
  <c r="AJ15" i="138" l="1"/>
  <c r="AJ16" i="138"/>
  <c r="AJ17" i="138"/>
  <c r="AJ18" i="138"/>
  <c r="AJ19" i="138"/>
  <c r="AJ20" i="138"/>
  <c r="AJ21" i="138"/>
  <c r="AJ22" i="138"/>
  <c r="AJ23" i="138"/>
  <c r="AJ24" i="138"/>
  <c r="AJ25" i="138"/>
  <c r="AJ26" i="138"/>
  <c r="AJ27" i="138"/>
  <c r="AJ28" i="138"/>
  <c r="AJ29" i="138"/>
  <c r="AJ30" i="138"/>
  <c r="AJ31" i="138"/>
  <c r="AJ32" i="138"/>
  <c r="AJ33" i="138"/>
  <c r="AJ34" i="138"/>
  <c r="AJ35" i="138"/>
  <c r="AJ36" i="138"/>
  <c r="AJ37" i="138"/>
  <c r="AJ14" i="138"/>
  <c r="AJ38" i="138" l="1"/>
  <c r="F30" i="154" l="1"/>
  <c r="D8" i="154"/>
  <c r="D9" i="154" s="1"/>
  <c r="E32" i="17" l="1"/>
  <c r="C9" i="154"/>
  <c r="G26" i="154"/>
  <c r="H59" i="103" l="1"/>
  <c r="I59" i="103" s="1"/>
  <c r="S56" i="103"/>
  <c r="X56" i="103" s="1"/>
  <c r="Z56" i="103" s="1"/>
  <c r="R56" i="103"/>
  <c r="U56" i="103" s="1"/>
  <c r="X16" i="17" s="1"/>
  <c r="E21" i="17" s="1"/>
  <c r="M59" i="103"/>
  <c r="E59" i="103"/>
  <c r="F59" i="103"/>
  <c r="W56" i="103" l="1"/>
  <c r="Y56" i="103" s="1"/>
  <c r="V56" i="103"/>
  <c r="E15" i="140" l="1"/>
  <c r="B18" i="140" l="1"/>
  <c r="B14" i="140" l="1"/>
  <c r="Z6" i="17" l="1"/>
  <c r="P7" i="17" s="1"/>
  <c r="Z5" i="17"/>
  <c r="O7" i="17" s="1"/>
  <c r="W21" i="156"/>
  <c r="Z21" i="156" s="1"/>
  <c r="B15" i="156" s="1"/>
  <c r="X6" i="17" l="1"/>
  <c r="AP15" i="138" l="1"/>
  <c r="AR13" i="138"/>
  <c r="G37" i="124" l="1"/>
  <c r="F37" i="124"/>
  <c r="A37" i="124"/>
  <c r="B37" i="124"/>
  <c r="G134" i="124"/>
  <c r="G137" i="124"/>
  <c r="F136" i="124"/>
  <c r="F137" i="124"/>
  <c r="A134" i="124"/>
  <c r="B134" i="124"/>
  <c r="U30" i="138" l="1"/>
  <c r="U31" i="138"/>
  <c r="U32" i="138"/>
  <c r="U33" i="138"/>
  <c r="U34" i="138"/>
  <c r="U35" i="138"/>
  <c r="U36" i="138"/>
  <c r="U37" i="138"/>
  <c r="U38" i="138"/>
  <c r="U27" i="138"/>
  <c r="S35" i="138"/>
  <c r="S36" i="138"/>
  <c r="S37" i="138"/>
  <c r="S38" i="138"/>
  <c r="U13" i="138" l="1"/>
  <c r="S13" i="138"/>
  <c r="I49" i="124" l="1"/>
  <c r="P175" i="124"/>
  <c r="G175" i="124"/>
  <c r="F175" i="124"/>
  <c r="B175" i="124"/>
  <c r="A175" i="124"/>
  <c r="O35" i="117" l="1"/>
  <c r="Q35" i="117" s="1"/>
  <c r="I8" i="117" l="1"/>
  <c r="E4" i="117"/>
  <c r="C23" i="117" s="1"/>
  <c r="O38" i="117"/>
  <c r="O37" i="117"/>
  <c r="O36" i="117"/>
  <c r="A170" i="124"/>
  <c r="G170" i="124"/>
  <c r="F170" i="124"/>
  <c r="B170" i="124"/>
  <c r="A128" i="124"/>
  <c r="B128" i="124"/>
  <c r="F128" i="124"/>
  <c r="G128" i="124"/>
  <c r="A127" i="124"/>
  <c r="G289" i="124"/>
  <c r="B289" i="124"/>
  <c r="A289" i="124"/>
  <c r="Q37" i="117" l="1"/>
  <c r="Q38" i="117"/>
  <c r="Q36" i="117"/>
  <c r="C8" i="117"/>
  <c r="O39" i="117"/>
  <c r="P35" i="117" s="1"/>
  <c r="Q39" i="117" l="1"/>
  <c r="P37" i="117"/>
  <c r="P38" i="117"/>
  <c r="P36" i="117"/>
  <c r="I22" i="117" s="1"/>
  <c r="G17" i="117"/>
  <c r="G18" i="117"/>
  <c r="G19" i="117"/>
  <c r="G16" i="117"/>
  <c r="P39" i="117" l="1"/>
  <c r="H32" i="117"/>
  <c r="H29" i="117" l="1"/>
  <c r="G13" i="117" l="1"/>
  <c r="H19" i="117" l="1"/>
  <c r="H16" i="117"/>
  <c r="H17" i="117"/>
  <c r="H18" i="117"/>
  <c r="M19" i="117"/>
  <c r="I7" i="117"/>
  <c r="O10" i="117" l="1"/>
  <c r="I13" i="117"/>
  <c r="H20" i="117"/>
  <c r="J5" i="149"/>
  <c r="J6" i="149"/>
  <c r="J7" i="149"/>
  <c r="J8" i="149"/>
  <c r="J9" i="149"/>
  <c r="J10" i="149"/>
  <c r="J11" i="149"/>
  <c r="J12" i="149"/>
  <c r="J13" i="149"/>
  <c r="J14" i="149"/>
  <c r="J15" i="149"/>
  <c r="J16" i="149"/>
  <c r="J17" i="149"/>
  <c r="J18" i="149"/>
  <c r="J19" i="149"/>
  <c r="J20" i="149"/>
  <c r="J21" i="149"/>
  <c r="J22" i="149"/>
  <c r="J23" i="149"/>
  <c r="J24" i="149"/>
  <c r="J25" i="149"/>
  <c r="J26" i="149"/>
  <c r="J27" i="149"/>
  <c r="J28" i="149"/>
  <c r="J29" i="149"/>
  <c r="J30" i="149"/>
  <c r="J31" i="149"/>
  <c r="J32" i="149"/>
  <c r="J33" i="149"/>
  <c r="J34" i="149"/>
  <c r="J35" i="149"/>
  <c r="J36" i="149"/>
  <c r="J37" i="149"/>
  <c r="J38" i="149"/>
  <c r="J39" i="149"/>
  <c r="J40" i="149"/>
  <c r="J4" i="149"/>
  <c r="I18" i="117" l="1"/>
  <c r="I19" i="117"/>
  <c r="I17" i="117"/>
  <c r="I16" i="117"/>
  <c r="H31" i="117"/>
  <c r="G112" i="124"/>
  <c r="F112" i="124"/>
  <c r="A112" i="124"/>
  <c r="B112" i="124"/>
  <c r="G110" i="124"/>
  <c r="F110" i="124"/>
  <c r="B110" i="124"/>
  <c r="A110" i="124"/>
  <c r="I37" i="115" l="1"/>
  <c r="F40" i="138" l="1"/>
  <c r="E40" i="138"/>
  <c r="Q33" i="138" l="1"/>
  <c r="Q34" i="138"/>
  <c r="Q35" i="138"/>
  <c r="Q36" i="138"/>
  <c r="Q37" i="138"/>
  <c r="Q38" i="138"/>
  <c r="R20" i="138" l="1"/>
  <c r="D6" i="19" l="1"/>
  <c r="X6" i="29" l="1"/>
  <c r="AA6" i="29"/>
  <c r="G5" i="29"/>
  <c r="E8" i="29"/>
  <c r="E9" i="29"/>
  <c r="E10" i="29"/>
  <c r="E11" i="29"/>
  <c r="E12" i="29"/>
  <c r="E13" i="29"/>
  <c r="E14" i="29"/>
  <c r="E15" i="29"/>
  <c r="E7" i="29"/>
  <c r="AE33" i="138"/>
  <c r="AE34" i="138"/>
  <c r="AC38" i="138"/>
  <c r="AD38" i="138"/>
  <c r="AE38" i="138"/>
  <c r="AA38" i="138"/>
  <c r="Z38" i="138"/>
  <c r="Y38" i="138"/>
  <c r="P38" i="138"/>
  <c r="P33" i="138"/>
  <c r="P34" i="138"/>
  <c r="P35" i="138"/>
  <c r="P36" i="138"/>
  <c r="P37" i="138"/>
  <c r="D7" i="134" l="1"/>
  <c r="F39" i="138" l="1"/>
  <c r="J8" i="138" l="1"/>
  <c r="Y17" i="138"/>
  <c r="J17" i="138"/>
  <c r="J14" i="138"/>
  <c r="R2" i="138"/>
  <c r="G158" i="124" l="1"/>
  <c r="B158" i="124"/>
  <c r="A158" i="124"/>
  <c r="M765" i="74" l="1"/>
  <c r="M766" i="74" s="1"/>
  <c r="M767" i="74" s="1"/>
  <c r="M768" i="74" s="1"/>
  <c r="M769" i="74" s="1"/>
  <c r="M770" i="74" s="1"/>
  <c r="M771" i="74" s="1"/>
  <c r="M772" i="74" s="1"/>
  <c r="M773" i="74" s="1"/>
  <c r="M774" i="74" s="1"/>
  <c r="M775" i="74" s="1"/>
  <c r="M776" i="74" s="1"/>
  <c r="M777" i="74" s="1"/>
  <c r="M778" i="74" s="1"/>
  <c r="M779" i="74" s="1"/>
  <c r="M780" i="74" s="1"/>
  <c r="M781" i="74" s="1"/>
  <c r="M782" i="74" s="1"/>
  <c r="M783" i="74" s="1"/>
  <c r="M784" i="74" s="1"/>
  <c r="M785" i="74" s="1"/>
  <c r="M786" i="74" s="1"/>
  <c r="M787" i="74" s="1"/>
  <c r="M788" i="74" s="1"/>
  <c r="M789" i="74" s="1"/>
  <c r="M790" i="74" s="1"/>
  <c r="M791" i="74" s="1"/>
  <c r="M792" i="74" s="1"/>
  <c r="M793" i="74" s="1"/>
  <c r="M794" i="74" s="1"/>
  <c r="M795" i="74" s="1"/>
  <c r="M796" i="74" s="1"/>
  <c r="M797" i="74" s="1"/>
  <c r="M798" i="74" s="1"/>
  <c r="M799" i="74" s="1"/>
  <c r="M800" i="74" s="1"/>
  <c r="M801" i="74" s="1"/>
  <c r="M802" i="74" s="1"/>
  <c r="N802" i="74" s="1"/>
  <c r="J776" i="74"/>
  <c r="U20" i="138" l="1"/>
  <c r="I23" i="140" l="1"/>
  <c r="M5" i="19" l="1"/>
  <c r="L3" i="19"/>
  <c r="L11" i="19" l="1"/>
  <c r="L10" i="19"/>
  <c r="M7" i="19"/>
  <c r="W33" i="19"/>
  <c r="W35" i="19" s="1"/>
  <c r="V14" i="19"/>
  <c r="V13" i="19"/>
  <c r="B17" i="19"/>
  <c r="M6" i="19" l="1"/>
  <c r="R36" i="19" l="1"/>
  <c r="B222" i="124" l="1"/>
  <c r="A222" i="124"/>
  <c r="G194" i="124" l="1"/>
  <c r="A194" i="124"/>
  <c r="B194" i="124"/>
  <c r="AC3" i="138" l="1"/>
  <c r="AD3" i="138" s="1"/>
  <c r="P48" i="124"/>
  <c r="G48" i="124"/>
  <c r="A48" i="124"/>
  <c r="B48" i="124"/>
  <c r="B66" i="124" l="1"/>
  <c r="A66" i="124"/>
  <c r="G40" i="138" l="1"/>
  <c r="E39" i="138"/>
  <c r="G51" i="124" l="1"/>
  <c r="B51" i="124"/>
  <c r="A51" i="124"/>
  <c r="G301" i="124"/>
  <c r="A301" i="124"/>
  <c r="B301" i="124"/>
  <c r="G21" i="124" l="1"/>
  <c r="B21" i="124"/>
  <c r="A21" i="124"/>
  <c r="A50" i="124" l="1"/>
  <c r="N30" i="17" l="1"/>
  <c r="X31" i="17"/>
  <c r="C8" i="140" l="1"/>
  <c r="E10" i="140" l="1"/>
  <c r="E6" i="140"/>
  <c r="Y6" i="138"/>
  <c r="O23" i="138"/>
  <c r="P32" i="138" l="1"/>
  <c r="P31" i="138"/>
  <c r="P29" i="138"/>
  <c r="P30" i="138"/>
  <c r="P27" i="138"/>
  <c r="P28" i="138"/>
  <c r="F15" i="19"/>
  <c r="AM13" i="138" l="1"/>
  <c r="AL10" i="138" s="1"/>
  <c r="D17" i="19" l="1"/>
  <c r="AV6" i="138"/>
  <c r="AL2" i="138"/>
  <c r="T5" i="138" s="1"/>
  <c r="AV5" i="138"/>
  <c r="AM2" i="138"/>
  <c r="V5" i="138" s="1"/>
  <c r="U7" i="138"/>
  <c r="D5" i="19"/>
  <c r="Q6" i="19" s="1"/>
  <c r="S7" i="138"/>
  <c r="H4" i="138"/>
  <c r="C5" i="19"/>
  <c r="BD5" i="138" l="1"/>
  <c r="AW6" i="138" l="1"/>
  <c r="V7" i="138" s="1"/>
  <c r="AW5" i="138"/>
  <c r="T7" i="138" s="1"/>
  <c r="L3" i="140" l="1"/>
  <c r="L2" i="140" s="1"/>
  <c r="B8" i="140"/>
  <c r="K3" i="140"/>
  <c r="K2" i="140" s="1"/>
  <c r="R9" i="140"/>
  <c r="C7" i="98" l="1"/>
  <c r="B9" i="98" s="1"/>
  <c r="W11" i="98"/>
  <c r="N4" i="98"/>
  <c r="O4" i="98" s="1"/>
  <c r="BD6" i="138" l="1"/>
  <c r="E34" i="17"/>
  <c r="B26" i="17" l="1"/>
  <c r="I25" i="115"/>
  <c r="C4" i="98"/>
  <c r="H8" i="98" s="1"/>
  <c r="L21" i="17" l="1"/>
  <c r="AC23" i="17" s="1"/>
  <c r="AC24" i="17" s="1"/>
  <c r="P75" i="124"/>
  <c r="G75" i="124"/>
  <c r="B75" i="124"/>
  <c r="A75" i="124"/>
  <c r="C6" i="19" l="1"/>
  <c r="G78" i="124" l="1"/>
  <c r="P78" i="124"/>
  <c r="A78" i="124"/>
  <c r="B78" i="124"/>
  <c r="AA6" i="138" l="1"/>
  <c r="O24" i="138" l="1"/>
  <c r="F4" i="105"/>
  <c r="C4" i="105" s="1"/>
  <c r="E6" i="105"/>
  <c r="H7" i="127"/>
  <c r="F4" i="127"/>
  <c r="D4" i="127" s="1"/>
  <c r="F7" i="127"/>
  <c r="G8" i="127" l="1"/>
  <c r="E9" i="127"/>
  <c r="E8" i="127"/>
  <c r="K23" i="115"/>
  <c r="I23" i="115" l="1"/>
  <c r="L24" i="115"/>
  <c r="J25" i="115" s="1"/>
  <c r="I33" i="115" s="1"/>
  <c r="O24" i="115"/>
  <c r="O23" i="115"/>
  <c r="B7" i="98"/>
  <c r="P7" i="19" l="1"/>
  <c r="I10" i="19" l="1"/>
  <c r="B5" i="19"/>
  <c r="S6" i="19"/>
  <c r="F6" i="19" s="1"/>
  <c r="W5" i="29"/>
  <c r="V5" i="29"/>
  <c r="Q40" i="19" l="1"/>
  <c r="M9" i="19"/>
  <c r="C12" i="22"/>
  <c r="H38" i="140"/>
  <c r="K38" i="140"/>
  <c r="M38" i="140" s="1"/>
  <c r="Q61" i="140"/>
  <c r="Q62" i="140" s="1"/>
  <c r="R62" i="140" s="1"/>
  <c r="R63" i="140" s="1"/>
  <c r="R64" i="140" s="1"/>
  <c r="Q58" i="140"/>
  <c r="R49" i="140"/>
  <c r="R44" i="140"/>
  <c r="R46" i="140" s="1"/>
  <c r="V47" i="140"/>
  <c r="U45" i="140"/>
  <c r="U47" i="140" s="1"/>
  <c r="J31" i="140"/>
  <c r="I31" i="140"/>
  <c r="H31" i="140"/>
  <c r="J30" i="140"/>
  <c r="I30" i="140"/>
  <c r="H30" i="140"/>
  <c r="J29" i="140"/>
  <c r="I29" i="140"/>
  <c r="H29" i="140"/>
  <c r="R31" i="140"/>
  <c r="Q31" i="140"/>
  <c r="J28" i="140"/>
  <c r="I28" i="140"/>
  <c r="H28" i="140"/>
  <c r="R30" i="140"/>
  <c r="Q30" i="140"/>
  <c r="H27" i="140"/>
  <c r="R29" i="140"/>
  <c r="Q29" i="140"/>
  <c r="H26" i="140"/>
  <c r="D26" i="140"/>
  <c r="B26" i="140"/>
  <c r="R28" i="140"/>
  <c r="Q28" i="140"/>
  <c r="H25" i="140"/>
  <c r="R27" i="140"/>
  <c r="Q27" i="140"/>
  <c r="H24" i="140"/>
  <c r="D24" i="140"/>
  <c r="R26" i="140"/>
  <c r="Q26" i="140"/>
  <c r="I6" i="140"/>
  <c r="I7" i="140" s="1"/>
  <c r="H23" i="140"/>
  <c r="R25" i="140"/>
  <c r="Q25" i="140"/>
  <c r="R24" i="140"/>
  <c r="Q24" i="140"/>
  <c r="N19" i="140"/>
  <c r="M19" i="140"/>
  <c r="S17" i="140"/>
  <c r="S16" i="140"/>
  <c r="Q14" i="140"/>
  <c r="D16" i="140" s="1"/>
  <c r="B9" i="140"/>
  <c r="B7" i="140"/>
  <c r="S5" i="140"/>
  <c r="R5" i="140"/>
  <c r="S18" i="140"/>
  <c r="S2" i="140"/>
  <c r="Q2" i="140"/>
  <c r="C7" i="139"/>
  <c r="B16" i="140" l="1"/>
  <c r="E8" i="140"/>
  <c r="S15" i="140"/>
  <c r="D17" i="140" s="1"/>
  <c r="B17" i="140"/>
  <c r="B25" i="140" s="1"/>
  <c r="R2" i="140"/>
  <c r="M2" i="140" s="1"/>
  <c r="I24" i="140"/>
  <c r="D25" i="140"/>
  <c r="D27" i="140" s="1"/>
  <c r="H5" i="140"/>
  <c r="D32" i="140"/>
  <c r="U48" i="140"/>
  <c r="U49" i="140" s="1"/>
  <c r="Q50" i="140"/>
  <c r="R50" i="140"/>
  <c r="E36" i="140"/>
  <c r="D36" i="140"/>
  <c r="Q11" i="140"/>
  <c r="Q63" i="140"/>
  <c r="Q64" i="140" s="1"/>
  <c r="E20" i="140" l="1"/>
  <c r="E16" i="140"/>
  <c r="E17" i="140" s="1"/>
  <c r="D18" i="140"/>
  <c r="E9" i="140"/>
  <c r="E27" i="140"/>
  <c r="U50" i="140"/>
  <c r="U51" i="140" s="1"/>
  <c r="V49" i="140"/>
  <c r="V50" i="140" s="1"/>
  <c r="V51" i="140" s="1"/>
  <c r="E5" i="140"/>
  <c r="G2" i="140" s="1"/>
  <c r="D33" i="140"/>
  <c r="Q51" i="140"/>
  <c r="Q52" i="140" s="1"/>
  <c r="R52" i="140" s="1"/>
  <c r="E18" i="140" l="1"/>
  <c r="D19" i="140" s="1"/>
  <c r="L32" i="140"/>
  <c r="D34" i="140"/>
  <c r="B34" i="140"/>
  <c r="D35" i="140" l="1"/>
  <c r="B35" i="140"/>
  <c r="E39" i="140" l="1"/>
  <c r="D39" i="140"/>
  <c r="C3" i="139" l="1"/>
  <c r="C18" i="139" s="1"/>
  <c r="F10" i="139"/>
  <c r="C15" i="139"/>
  <c r="C12" i="139"/>
  <c r="C10" i="139"/>
  <c r="G10" i="139" l="1"/>
  <c r="D10" i="139"/>
  <c r="E10" i="139"/>
  <c r="C11" i="139" l="1"/>
  <c r="C13" i="139" s="1"/>
  <c r="C14" i="139" s="1"/>
  <c r="C16" i="139" s="1"/>
  <c r="C17" i="139" s="1"/>
  <c r="C19" i="139" s="1"/>
  <c r="C20" i="139" l="1"/>
  <c r="C21" i="139"/>
  <c r="B9" i="19" l="1"/>
  <c r="S60" i="96" l="1"/>
  <c r="R60" i="96"/>
  <c r="Y8" i="74"/>
  <c r="Z8" i="74"/>
  <c r="AA8" i="74"/>
  <c r="AB8" i="74"/>
  <c r="AC8" i="74"/>
  <c r="AD8" i="74"/>
  <c r="AE8" i="74"/>
  <c r="AF8" i="74"/>
  <c r="AG8" i="74"/>
  <c r="AH8" i="74"/>
  <c r="AI8" i="74"/>
  <c r="AJ8" i="74"/>
  <c r="AK8" i="74"/>
  <c r="X8" i="74"/>
  <c r="G27" i="124" l="1"/>
  <c r="B27" i="124"/>
  <c r="A27" i="124"/>
  <c r="AP29" i="138"/>
  <c r="V29" i="138" s="1"/>
  <c r="AQ29" i="138"/>
  <c r="AP30" i="138"/>
  <c r="AQ30" i="138"/>
  <c r="AP31" i="138"/>
  <c r="AQ31" i="138"/>
  <c r="AP32" i="138"/>
  <c r="AQ32" i="138"/>
  <c r="AP33" i="138"/>
  <c r="AQ33" i="138"/>
  <c r="AP34" i="138"/>
  <c r="AQ34" i="138"/>
  <c r="AP35" i="138"/>
  <c r="AQ35" i="138"/>
  <c r="AP36" i="138"/>
  <c r="AQ36" i="138"/>
  <c r="AP37" i="138"/>
  <c r="AQ37" i="138"/>
  <c r="AT37" i="138" s="1"/>
  <c r="AP38" i="138"/>
  <c r="AQ38" i="138"/>
  <c r="AT29" i="138" l="1"/>
  <c r="AT31" i="138"/>
  <c r="AT32" i="138"/>
  <c r="AT38" i="138"/>
  <c r="BE33" i="138"/>
  <c r="BD33" i="138"/>
  <c r="BE31" i="138"/>
  <c r="BD31" i="138"/>
  <c r="BD35" i="138"/>
  <c r="BE35" i="138"/>
  <c r="BD29" i="138"/>
  <c r="BE29" i="138"/>
  <c r="BD38" i="138"/>
  <c r="BE38" i="138"/>
  <c r="BE30" i="138"/>
  <c r="BD30" i="138"/>
  <c r="BD37" i="138"/>
  <c r="BE37" i="138"/>
  <c r="BD36" i="138"/>
  <c r="BE36" i="138"/>
  <c r="BD34" i="138"/>
  <c r="BE34" i="138"/>
  <c r="BE32" i="138"/>
  <c r="BD32" i="138"/>
  <c r="AT30" i="138"/>
  <c r="AT36" i="138"/>
  <c r="AT34" i="138"/>
  <c r="AT33" i="138"/>
  <c r="AT35" i="138"/>
  <c r="AW35" i="138"/>
  <c r="AX35" i="138"/>
  <c r="AW32" i="138"/>
  <c r="AX32" i="138"/>
  <c r="AW30" i="138"/>
  <c r="AX30" i="138"/>
  <c r="AW34" i="138"/>
  <c r="AX34" i="138"/>
  <c r="AW36" i="138"/>
  <c r="AX36" i="138"/>
  <c r="AW33" i="138"/>
  <c r="AX33" i="138"/>
  <c r="AW31" i="138"/>
  <c r="AX31" i="138"/>
  <c r="AW38" i="138"/>
  <c r="AX38" i="138"/>
  <c r="AW37" i="138"/>
  <c r="AX37" i="138"/>
  <c r="AW29" i="138"/>
  <c r="AX29" i="138"/>
  <c r="AU37" i="138"/>
  <c r="AU38" i="138"/>
  <c r="AU36" i="138"/>
  <c r="AU34" i="138"/>
  <c r="AU35" i="138"/>
  <c r="AU33" i="138"/>
  <c r="AU31" i="138"/>
  <c r="AU29" i="138"/>
  <c r="AU32" i="138"/>
  <c r="AU30" i="138"/>
  <c r="AR37" i="138"/>
  <c r="AR38" i="138"/>
  <c r="AR36" i="138"/>
  <c r="AR35" i="138"/>
  <c r="AR34" i="138"/>
  <c r="AR33" i="138"/>
  <c r="AR32" i="138"/>
  <c r="AR31" i="138"/>
  <c r="AR30" i="138"/>
  <c r="AR29" i="138"/>
  <c r="AL4" i="138"/>
  <c r="Y34" i="138" l="1"/>
  <c r="Y33" i="138"/>
  <c r="AV36" i="138"/>
  <c r="AV38" i="138"/>
  <c r="AV32" i="138"/>
  <c r="AV33" i="138"/>
  <c r="AV30" i="138"/>
  <c r="AV37" i="138"/>
  <c r="AV31" i="138"/>
  <c r="AV35" i="138"/>
  <c r="AV34" i="138"/>
  <c r="AV29" i="138"/>
  <c r="AP9" i="138"/>
  <c r="AP10" i="138"/>
  <c r="AO13" i="138" l="1"/>
  <c r="AO12" i="138" l="1"/>
  <c r="AP28" i="138" l="1"/>
  <c r="AP27" i="138"/>
  <c r="AS28" i="138" l="1"/>
  <c r="BC12" i="138"/>
  <c r="BC10" i="138"/>
  <c r="L15" i="140" l="1"/>
  <c r="P23" i="140"/>
  <c r="R23" i="140"/>
  <c r="AQ28" i="138" l="1"/>
  <c r="AQ27" i="138"/>
  <c r="AT28" i="138" l="1"/>
  <c r="AT27" i="138"/>
  <c r="AR27" i="138"/>
  <c r="AU27" i="138"/>
  <c r="AU28" i="138"/>
  <c r="AR28" i="138"/>
  <c r="AY28" i="138" s="1"/>
  <c r="AV28" i="138" l="1"/>
  <c r="AM28" i="138"/>
  <c r="AV27" i="138"/>
  <c r="AS38" i="138"/>
  <c r="BC38" i="138" s="1"/>
  <c r="AS34" i="138"/>
  <c r="BC34" i="138" s="1"/>
  <c r="AS35" i="138"/>
  <c r="BC35" i="138" s="1"/>
  <c r="AS32" i="138"/>
  <c r="BC32" i="138" s="1"/>
  <c r="AS36" i="138"/>
  <c r="BC36" i="138" s="1"/>
  <c r="AS33" i="138"/>
  <c r="AO36" i="138"/>
  <c r="AS31" i="138"/>
  <c r="AO37" i="138"/>
  <c r="AO38" i="138"/>
  <c r="AO35" i="138"/>
  <c r="AO33" i="138"/>
  <c r="AO31" i="138"/>
  <c r="AS37" i="138"/>
  <c r="BC37" i="138" s="1"/>
  <c r="AO34" i="138"/>
  <c r="AO32" i="138"/>
  <c r="AO29" i="138"/>
  <c r="AS29" i="138"/>
  <c r="AS30" i="138"/>
  <c r="AO30" i="138"/>
  <c r="AO27" i="138"/>
  <c r="AO28" i="138"/>
  <c r="AS27" i="138"/>
  <c r="AY27" i="138" s="1"/>
  <c r="AY29" i="138" l="1"/>
  <c r="AZ29" i="138" s="1"/>
  <c r="AM30" i="138"/>
  <c r="AM29" i="138"/>
  <c r="AM31" i="138"/>
  <c r="AM35" i="138"/>
  <c r="AM33" i="138"/>
  <c r="AM32" i="138"/>
  <c r="AM34" i="138"/>
  <c r="AM36" i="138"/>
  <c r="AM37" i="138"/>
  <c r="AM38" i="138"/>
  <c r="AM27" i="138"/>
  <c r="AZ27" i="138"/>
  <c r="AY30" i="138"/>
  <c r="AZ30" i="138" s="1"/>
  <c r="AY31" i="138"/>
  <c r="AZ31" i="138" s="1"/>
  <c r="BB37" i="138"/>
  <c r="AY37" i="138"/>
  <c r="AZ37" i="138" s="1"/>
  <c r="BA37" i="138" s="1"/>
  <c r="AY33" i="138"/>
  <c r="AZ33" i="138" s="1"/>
  <c r="BB36" i="138"/>
  <c r="AY36" i="138"/>
  <c r="AZ36" i="138" s="1"/>
  <c r="AY32" i="138"/>
  <c r="AZ32" i="138" s="1"/>
  <c r="BA32" i="138" s="1"/>
  <c r="Q32" i="138" s="1"/>
  <c r="AY35" i="138"/>
  <c r="AZ35" i="138" s="1"/>
  <c r="AY34" i="138"/>
  <c r="AZ34" i="138" s="1"/>
  <c r="BB38" i="138"/>
  <c r="AY38" i="138"/>
  <c r="AZ38" i="138" s="1"/>
  <c r="BA38" i="138" s="1"/>
  <c r="F262" i="124"/>
  <c r="F261" i="124"/>
  <c r="F260" i="124"/>
  <c r="F265" i="124"/>
  <c r="G262" i="124"/>
  <c r="A262" i="124"/>
  <c r="B262" i="124"/>
  <c r="G261" i="124"/>
  <c r="A261" i="124"/>
  <c r="B261" i="124"/>
  <c r="G260" i="124"/>
  <c r="B260" i="124"/>
  <c r="A260" i="124"/>
  <c r="BI37" i="138" l="1"/>
  <c r="BJ37" i="138" s="1"/>
  <c r="BK37" i="138" s="1"/>
  <c r="T37" i="138"/>
  <c r="AH38" i="138"/>
  <c r="BI38" i="138"/>
  <c r="BJ38" i="138" s="1"/>
  <c r="BK38" i="138" s="1"/>
  <c r="AE32" i="138"/>
  <c r="BI32" i="138"/>
  <c r="BJ32" i="138" s="1"/>
  <c r="BK32" i="138" s="1"/>
  <c r="S32" i="138" s="1"/>
  <c r="Y32" i="138"/>
  <c r="BA36" i="138"/>
  <c r="BA33" i="138"/>
  <c r="BI33" i="138" s="1"/>
  <c r="BA35" i="138"/>
  <c r="BA30" i="138"/>
  <c r="N3" i="124"/>
  <c r="M3" i="124"/>
  <c r="L3" i="124"/>
  <c r="K3" i="124"/>
  <c r="F16" i="124"/>
  <c r="F13" i="124"/>
  <c r="F15" i="124"/>
  <c r="F12" i="124"/>
  <c r="F17" i="124"/>
  <c r="F18" i="124"/>
  <c r="F19" i="124"/>
  <c r="F20" i="124"/>
  <c r="F22" i="124"/>
  <c r="F23" i="124"/>
  <c r="F24" i="124"/>
  <c r="F25" i="124"/>
  <c r="F26" i="124"/>
  <c r="F29" i="124"/>
  <c r="F30" i="124"/>
  <c r="F31" i="124"/>
  <c r="F32" i="124"/>
  <c r="F33" i="124"/>
  <c r="F34" i="124"/>
  <c r="F35" i="124"/>
  <c r="F36" i="124"/>
  <c r="F38" i="124"/>
  <c r="F39" i="124"/>
  <c r="F40" i="124"/>
  <c r="F41" i="124"/>
  <c r="F42" i="124"/>
  <c r="F43" i="124"/>
  <c r="F44" i="124"/>
  <c r="F45" i="124"/>
  <c r="F46" i="124"/>
  <c r="F47" i="124"/>
  <c r="F49" i="124"/>
  <c r="F52" i="124"/>
  <c r="F53" i="124"/>
  <c r="F54" i="124"/>
  <c r="F55" i="124"/>
  <c r="F56" i="124"/>
  <c r="F57" i="124"/>
  <c r="F58" i="124"/>
  <c r="F59" i="124"/>
  <c r="F60" i="124"/>
  <c r="F62" i="124"/>
  <c r="F61" i="124"/>
  <c r="F63" i="124"/>
  <c r="F64" i="124"/>
  <c r="F65" i="124"/>
  <c r="F67" i="124"/>
  <c r="F70" i="124"/>
  <c r="F68" i="124"/>
  <c r="F69" i="124"/>
  <c r="F71" i="124"/>
  <c r="F72" i="124"/>
  <c r="F73" i="124"/>
  <c r="F74" i="124"/>
  <c r="F76" i="124"/>
  <c r="F77" i="124"/>
  <c r="F79" i="124"/>
  <c r="F80" i="124"/>
  <c r="F81" i="124"/>
  <c r="F82" i="124"/>
  <c r="F83" i="124"/>
  <c r="F84" i="124"/>
  <c r="F85" i="124"/>
  <c r="F86" i="124"/>
  <c r="F87" i="124"/>
  <c r="F88" i="124"/>
  <c r="F89" i="124"/>
  <c r="F90" i="124"/>
  <c r="F91" i="124"/>
  <c r="F92" i="124"/>
  <c r="F93" i="124"/>
  <c r="F94" i="124"/>
  <c r="F96" i="124"/>
  <c r="F95" i="124"/>
  <c r="F97" i="124"/>
  <c r="F98" i="124"/>
  <c r="F99" i="124"/>
  <c r="F100" i="124"/>
  <c r="F101" i="124"/>
  <c r="F102" i="124"/>
  <c r="F103" i="124"/>
  <c r="F104" i="124"/>
  <c r="F105" i="124"/>
  <c r="F106" i="124"/>
  <c r="F108" i="124"/>
  <c r="F109" i="124"/>
  <c r="F107" i="124"/>
  <c r="F113" i="124"/>
  <c r="F114" i="124"/>
  <c r="F115" i="124"/>
  <c r="F116" i="124"/>
  <c r="F117" i="124"/>
  <c r="F118" i="124"/>
  <c r="F119" i="124"/>
  <c r="F120" i="124"/>
  <c r="F121" i="124"/>
  <c r="F122" i="124"/>
  <c r="F123" i="124"/>
  <c r="F124" i="124"/>
  <c r="F125" i="124"/>
  <c r="F126" i="124"/>
  <c r="F127" i="124"/>
  <c r="F129" i="124"/>
  <c r="F130" i="124"/>
  <c r="F131" i="124"/>
  <c r="F132" i="124"/>
  <c r="F135" i="124"/>
  <c r="F133" i="124"/>
  <c r="F138" i="124"/>
  <c r="F140" i="124"/>
  <c r="F139" i="124"/>
  <c r="F141" i="124"/>
  <c r="F142" i="124"/>
  <c r="F143" i="124"/>
  <c r="F144" i="124"/>
  <c r="F145" i="124"/>
  <c r="F148" i="124"/>
  <c r="F146" i="124"/>
  <c r="F147" i="124"/>
  <c r="F149" i="124"/>
  <c r="F150" i="124"/>
  <c r="F153" i="124"/>
  <c r="F152" i="124"/>
  <c r="F154" i="124"/>
  <c r="F155" i="124"/>
  <c r="F156" i="124"/>
  <c r="F157" i="124"/>
  <c r="F159" i="124"/>
  <c r="F160" i="124"/>
  <c r="F161" i="124"/>
  <c r="F162" i="124"/>
  <c r="F163" i="124"/>
  <c r="F164" i="124"/>
  <c r="F165" i="124"/>
  <c r="F166" i="124"/>
  <c r="F167" i="124"/>
  <c r="F168" i="124"/>
  <c r="F169" i="124"/>
  <c r="F171" i="124"/>
  <c r="F172" i="124"/>
  <c r="F173" i="124"/>
  <c r="F174" i="124"/>
  <c r="F176" i="124"/>
  <c r="F177" i="124"/>
  <c r="F180" i="124"/>
  <c r="F181" i="124"/>
  <c r="F182" i="124"/>
  <c r="F183" i="124"/>
  <c r="F184" i="124"/>
  <c r="F185" i="124"/>
  <c r="F186" i="124"/>
  <c r="F187" i="124"/>
  <c r="F189" i="124"/>
  <c r="F188" i="124"/>
  <c r="F190" i="124"/>
  <c r="F191" i="124"/>
  <c r="F192" i="124"/>
  <c r="F193" i="124"/>
  <c r="F195" i="124"/>
  <c r="F196" i="124"/>
  <c r="F197" i="124"/>
  <c r="F198" i="124"/>
  <c r="F199" i="124"/>
  <c r="F200" i="124"/>
  <c r="F201" i="124"/>
  <c r="F202" i="124"/>
  <c r="F204" i="124"/>
  <c r="F205" i="124"/>
  <c r="F206" i="124"/>
  <c r="F207" i="124"/>
  <c r="F208" i="124"/>
  <c r="F209" i="124"/>
  <c r="F210" i="124"/>
  <c r="F211" i="124"/>
  <c r="F212" i="124"/>
  <c r="F213" i="124"/>
  <c r="F214" i="124"/>
  <c r="F216" i="124"/>
  <c r="F215" i="124"/>
  <c r="F218" i="124"/>
  <c r="F219" i="124"/>
  <c r="F217" i="124"/>
  <c r="F220" i="124"/>
  <c r="F221" i="124"/>
  <c r="F226" i="124"/>
  <c r="F223" i="124"/>
  <c r="F225" i="124"/>
  <c r="F224" i="124"/>
  <c r="F228" i="124"/>
  <c r="F227" i="124"/>
  <c r="F229" i="124"/>
  <c r="F230" i="124"/>
  <c r="F231" i="124"/>
  <c r="F232" i="124"/>
  <c r="F233" i="124"/>
  <c r="F234" i="124"/>
  <c r="F235" i="124"/>
  <c r="F241" i="124"/>
  <c r="F236" i="124"/>
  <c r="F237" i="124"/>
  <c r="F239" i="124"/>
  <c r="F238" i="124"/>
  <c r="F240" i="124"/>
  <c r="F243" i="124"/>
  <c r="F242" i="124"/>
  <c r="F244" i="124"/>
  <c r="F246" i="124"/>
  <c r="F245" i="124"/>
  <c r="F247" i="124"/>
  <c r="F248" i="124"/>
  <c r="F249" i="124"/>
  <c r="F250" i="124"/>
  <c r="F251" i="124"/>
  <c r="F252" i="124"/>
  <c r="F253" i="124"/>
  <c r="F254" i="124"/>
  <c r="F255" i="124"/>
  <c r="F256" i="124"/>
  <c r="F257" i="124"/>
  <c r="F258" i="124"/>
  <c r="F259" i="124"/>
  <c r="F263" i="124"/>
  <c r="F264" i="124"/>
  <c r="F266" i="124"/>
  <c r="F268" i="124"/>
  <c r="F269" i="124"/>
  <c r="F270" i="124"/>
  <c r="F272" i="124"/>
  <c r="F271" i="124"/>
  <c r="F273" i="124"/>
  <c r="F274" i="124"/>
  <c r="F275" i="124"/>
  <c r="F276" i="124"/>
  <c r="F277" i="124"/>
  <c r="F278" i="124"/>
  <c r="F279" i="124"/>
  <c r="F280" i="124"/>
  <c r="F281" i="124"/>
  <c r="F282" i="124"/>
  <c r="F283" i="124"/>
  <c r="F284" i="124"/>
  <c r="F285" i="124"/>
  <c r="F286" i="124"/>
  <c r="F287" i="124"/>
  <c r="F288" i="124"/>
  <c r="F290" i="124"/>
  <c r="F291" i="124"/>
  <c r="F292" i="124"/>
  <c r="F293" i="124"/>
  <c r="F294" i="124"/>
  <c r="F295" i="124"/>
  <c r="F296" i="124"/>
  <c r="F297" i="124"/>
  <c r="F299" i="124"/>
  <c r="F300" i="124"/>
  <c r="F302" i="124"/>
  <c r="F303" i="124"/>
  <c r="F304" i="124"/>
  <c r="F305" i="124"/>
  <c r="F306" i="124"/>
  <c r="F307" i="124"/>
  <c r="F308" i="124"/>
  <c r="F309" i="124"/>
  <c r="F310" i="124"/>
  <c r="F311" i="124"/>
  <c r="F312" i="124"/>
  <c r="F50" i="124"/>
  <c r="F313" i="124"/>
  <c r="F314" i="124"/>
  <c r="F315" i="124"/>
  <c r="F316" i="124"/>
  <c r="F317" i="124"/>
  <c r="F318" i="124"/>
  <c r="F319" i="124"/>
  <c r="F320" i="124"/>
  <c r="F321" i="124"/>
  <c r="F322" i="124"/>
  <c r="F323" i="124"/>
  <c r="F324" i="124"/>
  <c r="F325" i="124"/>
  <c r="F326" i="124"/>
  <c r="F327" i="124"/>
  <c r="F328" i="124"/>
  <c r="F329" i="124"/>
  <c r="F330" i="124"/>
  <c r="F331" i="124"/>
  <c r="F332" i="124"/>
  <c r="F333" i="124"/>
  <c r="F334" i="124"/>
  <c r="F335" i="124"/>
  <c r="F336" i="124"/>
  <c r="F337" i="124"/>
  <c r="F338" i="124"/>
  <c r="F339" i="124"/>
  <c r="F340" i="124"/>
  <c r="F341" i="124"/>
  <c r="F342" i="124"/>
  <c r="F343" i="124"/>
  <c r="F344" i="124"/>
  <c r="F345" i="124"/>
  <c r="F346" i="124"/>
  <c r="F347" i="124"/>
  <c r="F7" i="124"/>
  <c r="F8" i="124"/>
  <c r="F9" i="124"/>
  <c r="F10" i="124"/>
  <c r="F11" i="124"/>
  <c r="F6" i="124"/>
  <c r="P237" i="124"/>
  <c r="P240" i="124"/>
  <c r="P243" i="124"/>
  <c r="P242" i="124"/>
  <c r="P244" i="124"/>
  <c r="P246" i="124"/>
  <c r="P245" i="124"/>
  <c r="G237" i="124"/>
  <c r="A237" i="124"/>
  <c r="B237" i="124"/>
  <c r="A226" i="124"/>
  <c r="P192" i="124"/>
  <c r="G192" i="124"/>
  <c r="A192" i="124"/>
  <c r="B192" i="124"/>
  <c r="P191" i="124"/>
  <c r="G191" i="124"/>
  <c r="A191" i="124"/>
  <c r="B191" i="124"/>
  <c r="B50" i="124"/>
  <c r="B313" i="124"/>
  <c r="B314" i="124"/>
  <c r="B315" i="124"/>
  <c r="B316" i="124"/>
  <c r="B317" i="124"/>
  <c r="B318" i="124"/>
  <c r="B319" i="124"/>
  <c r="B320" i="124"/>
  <c r="B321" i="124"/>
  <c r="B322" i="124"/>
  <c r="B323" i="124"/>
  <c r="B324" i="124"/>
  <c r="B325" i="124"/>
  <c r="B326" i="124"/>
  <c r="B327" i="124"/>
  <c r="B328" i="124"/>
  <c r="B329" i="124"/>
  <c r="B330" i="124"/>
  <c r="B331" i="124"/>
  <c r="B332" i="124"/>
  <c r="T30" i="138" l="1"/>
  <c r="BH30" i="138" s="1"/>
  <c r="BH37" i="138"/>
  <c r="AE37" i="138"/>
  <c r="AA37" i="138"/>
  <c r="AC37" i="138" s="1"/>
  <c r="AD37" i="138" s="1"/>
  <c r="Y37" i="138"/>
  <c r="BI36" i="138"/>
  <c r="BJ36" i="138" s="1"/>
  <c r="BK36" i="138" s="1"/>
  <c r="T36" i="138"/>
  <c r="BI35" i="138"/>
  <c r="BJ35" i="138" s="1"/>
  <c r="BK35" i="138" s="1"/>
  <c r="BB35" i="138" s="1"/>
  <c r="V35" i="138"/>
  <c r="BI30" i="138"/>
  <c r="BJ30" i="138" s="1"/>
  <c r="BK30" i="138" s="1"/>
  <c r="S30" i="138" s="1"/>
  <c r="BC30" i="138"/>
  <c r="F3" i="124"/>
  <c r="BB32" i="138"/>
  <c r="BJ33" i="138"/>
  <c r="BK33" i="138" s="1"/>
  <c r="S33" i="138" s="1"/>
  <c r="G18" i="124"/>
  <c r="G19" i="124"/>
  <c r="A18" i="124"/>
  <c r="B18" i="124"/>
  <c r="Q30" i="138" l="1"/>
  <c r="BH36" i="138"/>
  <c r="AE36" i="138"/>
  <c r="Y36" i="138"/>
  <c r="BH35" i="138"/>
  <c r="Y35" i="138"/>
  <c r="AE35" i="138"/>
  <c r="BB30" i="138"/>
  <c r="AE30" i="138"/>
  <c r="Y30" i="138"/>
  <c r="BC33" i="138"/>
  <c r="BB33" i="138"/>
  <c r="B12" i="98"/>
  <c r="A273" i="124" l="1"/>
  <c r="B245" i="124" l="1"/>
  <c r="A245" i="124"/>
  <c r="P217" i="124"/>
  <c r="G217" i="124"/>
  <c r="B217" i="124"/>
  <c r="A217" i="124"/>
  <c r="M23" i="74" l="1"/>
  <c r="X15" i="17"/>
  <c r="E13" i="17" l="1"/>
  <c r="E19" i="17"/>
  <c r="E16" i="29"/>
  <c r="E17" i="29"/>
  <c r="E18" i="29"/>
  <c r="E19" i="29"/>
  <c r="E20" i="29"/>
  <c r="E21" i="29"/>
  <c r="E22" i="29"/>
  <c r="E23" i="29"/>
  <c r="E24" i="29"/>
  <c r="E25" i="29"/>
  <c r="E26" i="29"/>
  <c r="E27" i="29" l="1"/>
  <c r="Q32" i="74"/>
  <c r="G10" i="124" l="1"/>
  <c r="G17" i="124"/>
  <c r="G20" i="124"/>
  <c r="G159" i="124"/>
  <c r="G229" i="124"/>
  <c r="G32" i="124"/>
  <c r="G50" i="124"/>
  <c r="G313" i="124"/>
  <c r="G314" i="124"/>
  <c r="G315" i="124"/>
  <c r="G316" i="124"/>
  <c r="G317" i="124"/>
  <c r="G318" i="124"/>
  <c r="G319" i="124"/>
  <c r="G320" i="124"/>
  <c r="G321" i="124"/>
  <c r="G176" i="124"/>
  <c r="G95" i="124"/>
  <c r="G180" i="124"/>
  <c r="G139" i="124"/>
  <c r="G181" i="124"/>
  <c r="G183" i="124"/>
  <c r="G273" i="124"/>
  <c r="G274" i="124"/>
  <c r="G270" i="124"/>
  <c r="G172" i="124"/>
  <c r="G254" i="124"/>
  <c r="G130" i="124"/>
  <c r="G169" i="124"/>
  <c r="G7" i="124"/>
  <c r="B114" i="124" l="1"/>
  <c r="P308" i="124" l="1"/>
  <c r="G308" i="124"/>
  <c r="A308" i="124"/>
  <c r="B308" i="124"/>
  <c r="P264" i="124"/>
  <c r="G264" i="124"/>
  <c r="B264" i="124"/>
  <c r="A264" i="124"/>
  <c r="A266" i="124"/>
  <c r="P223" i="124" l="1"/>
  <c r="P225" i="124"/>
  <c r="P224" i="124"/>
  <c r="P228" i="124"/>
  <c r="P227" i="124"/>
  <c r="P230" i="124"/>
  <c r="P231" i="124"/>
  <c r="P233" i="124"/>
  <c r="P234" i="124"/>
  <c r="P235" i="124"/>
  <c r="P236" i="124"/>
  <c r="P239" i="124"/>
  <c r="P238" i="124"/>
  <c r="P241" i="124"/>
  <c r="P247" i="124"/>
  <c r="P248" i="124"/>
  <c r="P249" i="124"/>
  <c r="P250" i="124"/>
  <c r="P251" i="124"/>
  <c r="P252" i="124"/>
  <c r="P255" i="124"/>
  <c r="P256" i="124"/>
  <c r="P257" i="124"/>
  <c r="P258" i="124"/>
  <c r="P259" i="124"/>
  <c r="P263" i="124"/>
  <c r="P265" i="124"/>
  <c r="P266" i="124"/>
  <c r="P268" i="124"/>
  <c r="P269" i="124"/>
  <c r="P272" i="124"/>
  <c r="P271" i="124"/>
  <c r="P275" i="124"/>
  <c r="P276" i="124"/>
  <c r="P277" i="124"/>
  <c r="P278" i="124"/>
  <c r="P279" i="124"/>
  <c r="P280" i="124"/>
  <c r="P281" i="124"/>
  <c r="P282" i="124"/>
  <c r="P283" i="124"/>
  <c r="P284" i="124"/>
  <c r="P285" i="124"/>
  <c r="P286" i="124"/>
  <c r="P287" i="124"/>
  <c r="P288" i="124"/>
  <c r="P290" i="124"/>
  <c r="P291" i="124"/>
  <c r="P292" i="124"/>
  <c r="P293" i="124"/>
  <c r="P294" i="124"/>
  <c r="P295" i="124"/>
  <c r="P296" i="124"/>
  <c r="P297" i="124"/>
  <c r="P299" i="124"/>
  <c r="P300" i="124"/>
  <c r="P302" i="124"/>
  <c r="P303" i="124"/>
  <c r="P304" i="124"/>
  <c r="P305" i="124"/>
  <c r="P306" i="124"/>
  <c r="P307" i="124"/>
  <c r="P309" i="124"/>
  <c r="P310" i="124"/>
  <c r="P311" i="124"/>
  <c r="P312" i="124"/>
  <c r="P232" i="124"/>
  <c r="P253" i="124"/>
  <c r="P176" i="124"/>
  <c r="P95" i="124"/>
  <c r="P180" i="124"/>
  <c r="P139" i="124"/>
  <c r="P181" i="124"/>
  <c r="P183" i="124"/>
  <c r="P273" i="124"/>
  <c r="P274" i="124"/>
  <c r="P270" i="124"/>
  <c r="P172" i="124"/>
  <c r="P254" i="124"/>
  <c r="P130" i="124"/>
  <c r="P169" i="124"/>
  <c r="P7" i="124"/>
  <c r="P10" i="124"/>
  <c r="P17" i="124"/>
  <c r="P20" i="124"/>
  <c r="P159" i="124"/>
  <c r="P229" i="124"/>
  <c r="P32" i="124"/>
  <c r="P50" i="124"/>
  <c r="P313" i="124"/>
  <c r="P314" i="124"/>
  <c r="P315" i="124"/>
  <c r="P316" i="124"/>
  <c r="P317" i="124"/>
  <c r="P318" i="124"/>
  <c r="P319" i="124"/>
  <c r="P320" i="124"/>
  <c r="P321" i="124"/>
  <c r="P322" i="124"/>
  <c r="P323" i="124"/>
  <c r="P324" i="124"/>
  <c r="P325" i="124"/>
  <c r="P326" i="124"/>
  <c r="P327" i="124"/>
  <c r="P328" i="124"/>
  <c r="P329" i="124"/>
  <c r="P330" i="124"/>
  <c r="P331" i="124"/>
  <c r="P332" i="124"/>
  <c r="P333" i="124"/>
  <c r="P334" i="124"/>
  <c r="P8" i="124"/>
  <c r="P9" i="124"/>
  <c r="P11" i="124"/>
  <c r="P16" i="124"/>
  <c r="P13" i="124"/>
  <c r="P15" i="124"/>
  <c r="P12" i="124"/>
  <c r="P19" i="124"/>
  <c r="P22" i="124"/>
  <c r="P23" i="124"/>
  <c r="P24" i="124"/>
  <c r="P25" i="124"/>
  <c r="P26" i="124"/>
  <c r="P29" i="124"/>
  <c r="P30" i="124"/>
  <c r="P31" i="124"/>
  <c r="P33" i="124"/>
  <c r="P34" i="124"/>
  <c r="P35" i="124"/>
  <c r="P36" i="124"/>
  <c r="P38" i="124"/>
  <c r="P39" i="124"/>
  <c r="P40" i="124"/>
  <c r="P41" i="124"/>
  <c r="P42" i="124"/>
  <c r="P43" i="124"/>
  <c r="P44" i="124"/>
  <c r="P45" i="124"/>
  <c r="P46" i="124"/>
  <c r="P47" i="124"/>
  <c r="P49" i="124"/>
  <c r="P52" i="124"/>
  <c r="P53" i="124"/>
  <c r="P54" i="124"/>
  <c r="P55" i="124"/>
  <c r="P56" i="124"/>
  <c r="P57" i="124"/>
  <c r="P58" i="124"/>
  <c r="P59" i="124"/>
  <c r="P60" i="124"/>
  <c r="P62" i="124"/>
  <c r="P61" i="124"/>
  <c r="P63" i="124"/>
  <c r="P65" i="124"/>
  <c r="P64" i="124"/>
  <c r="P67" i="124"/>
  <c r="P70" i="124"/>
  <c r="P68" i="124"/>
  <c r="P69" i="124"/>
  <c r="P71" i="124"/>
  <c r="P72" i="124"/>
  <c r="P73" i="124"/>
  <c r="P74" i="124"/>
  <c r="P76" i="124"/>
  <c r="P77" i="124"/>
  <c r="P79" i="124"/>
  <c r="P80" i="124"/>
  <c r="P81" i="124"/>
  <c r="P82" i="124"/>
  <c r="P83" i="124"/>
  <c r="P84" i="124"/>
  <c r="P85" i="124"/>
  <c r="P86" i="124"/>
  <c r="P87" i="124"/>
  <c r="P88" i="124"/>
  <c r="P89" i="124"/>
  <c r="P90" i="124"/>
  <c r="P91" i="124"/>
  <c r="P92" i="124"/>
  <c r="P93" i="124"/>
  <c r="P94" i="124"/>
  <c r="P96" i="124"/>
  <c r="P97" i="124"/>
  <c r="P98" i="124"/>
  <c r="P99" i="124"/>
  <c r="P100" i="124"/>
  <c r="P101" i="124"/>
  <c r="P102" i="124"/>
  <c r="P103" i="124"/>
  <c r="P104" i="124"/>
  <c r="P105" i="124"/>
  <c r="P106" i="124"/>
  <c r="P108" i="124"/>
  <c r="P109" i="124"/>
  <c r="P107" i="124"/>
  <c r="P113" i="124"/>
  <c r="P114" i="124"/>
  <c r="P115" i="124"/>
  <c r="P116" i="124"/>
  <c r="P117" i="124"/>
  <c r="P118" i="124"/>
  <c r="P119" i="124"/>
  <c r="P120" i="124"/>
  <c r="P121" i="124"/>
  <c r="P122" i="124"/>
  <c r="P123" i="124"/>
  <c r="P124" i="124"/>
  <c r="P125" i="124"/>
  <c r="P126" i="124"/>
  <c r="P127" i="124"/>
  <c r="P129" i="124"/>
  <c r="P131" i="124"/>
  <c r="P132" i="124"/>
  <c r="P135" i="124"/>
  <c r="P133" i="124"/>
  <c r="P136" i="124"/>
  <c r="P137" i="124"/>
  <c r="P138" i="124"/>
  <c r="P140" i="124"/>
  <c r="P141" i="124"/>
  <c r="P142" i="124"/>
  <c r="P143" i="124"/>
  <c r="P144" i="124"/>
  <c r="P145" i="124"/>
  <c r="P148" i="124"/>
  <c r="P146" i="124"/>
  <c r="P147" i="124"/>
  <c r="P149" i="124"/>
  <c r="P150" i="124"/>
  <c r="P153" i="124"/>
  <c r="P152" i="124"/>
  <c r="P154" i="124"/>
  <c r="P155" i="124"/>
  <c r="P156" i="124"/>
  <c r="P157" i="124"/>
  <c r="P160" i="124"/>
  <c r="P161" i="124"/>
  <c r="P162" i="124"/>
  <c r="P163" i="124"/>
  <c r="P164" i="124"/>
  <c r="P165" i="124"/>
  <c r="P166" i="124"/>
  <c r="P167" i="124"/>
  <c r="P168" i="124"/>
  <c r="P171" i="124"/>
  <c r="P173" i="124"/>
  <c r="P174" i="124"/>
  <c r="P177" i="124"/>
  <c r="P182" i="124"/>
  <c r="P184" i="124"/>
  <c r="P185" i="124"/>
  <c r="P186" i="124"/>
  <c r="P187" i="124"/>
  <c r="P189" i="124"/>
  <c r="P188" i="124"/>
  <c r="P190" i="124"/>
  <c r="P193" i="124"/>
  <c r="P195" i="124"/>
  <c r="P196" i="124"/>
  <c r="P197" i="124"/>
  <c r="P198" i="124"/>
  <c r="P199" i="124"/>
  <c r="P200" i="124"/>
  <c r="P201" i="124"/>
  <c r="P202" i="124"/>
  <c r="P204" i="124"/>
  <c r="P205" i="124"/>
  <c r="P206" i="124"/>
  <c r="P207" i="124"/>
  <c r="P208" i="124"/>
  <c r="P209" i="124"/>
  <c r="P210" i="124"/>
  <c r="P211" i="124"/>
  <c r="P212" i="124"/>
  <c r="P213" i="124"/>
  <c r="P214" i="124"/>
  <c r="P216" i="124"/>
  <c r="P215" i="124"/>
  <c r="P218" i="124"/>
  <c r="P219" i="124"/>
  <c r="P220" i="124"/>
  <c r="P221" i="124"/>
  <c r="P226" i="124"/>
  <c r="P6" i="124"/>
  <c r="H5" i="98"/>
  <c r="G114" i="124" l="1"/>
  <c r="A114" i="124"/>
  <c r="G6" i="124" l="1"/>
  <c r="G8" i="124"/>
  <c r="G9" i="124"/>
  <c r="G11" i="124"/>
  <c r="G16" i="124"/>
  <c r="G13" i="124"/>
  <c r="G15" i="124"/>
  <c r="G12" i="124"/>
  <c r="G22" i="124"/>
  <c r="G23" i="124"/>
  <c r="G24" i="124"/>
  <c r="G25" i="124"/>
  <c r="G26" i="124"/>
  <c r="G29" i="124"/>
  <c r="G30" i="124"/>
  <c r="G31" i="124"/>
  <c r="G33" i="124"/>
  <c r="G34" i="124"/>
  <c r="G35" i="124"/>
  <c r="G36" i="124"/>
  <c r="G38" i="124"/>
  <c r="G39" i="124"/>
  <c r="G40" i="124"/>
  <c r="G41" i="124"/>
  <c r="G42" i="124"/>
  <c r="G43" i="124"/>
  <c r="G44" i="124"/>
  <c r="G45" i="124"/>
  <c r="G46" i="124"/>
  <c r="G47" i="124"/>
  <c r="G49" i="124"/>
  <c r="G52" i="124"/>
  <c r="G53" i="124"/>
  <c r="G54" i="124"/>
  <c r="G55" i="124"/>
  <c r="G56" i="124"/>
  <c r="G57" i="124"/>
  <c r="G58" i="124"/>
  <c r="G59" i="124"/>
  <c r="G60" i="124"/>
  <c r="G62" i="124"/>
  <c r="G61" i="124"/>
  <c r="G63" i="124"/>
  <c r="G65" i="124"/>
  <c r="G64" i="124"/>
  <c r="G67" i="124"/>
  <c r="G70" i="124"/>
  <c r="G68" i="124"/>
  <c r="G69" i="124"/>
  <c r="G71" i="124"/>
  <c r="G72" i="124"/>
  <c r="G73" i="124"/>
  <c r="G74" i="124"/>
  <c r="G76" i="124"/>
  <c r="G77" i="124"/>
  <c r="G79" i="124"/>
  <c r="G80" i="124"/>
  <c r="G81" i="124"/>
  <c r="G82" i="124"/>
  <c r="G83" i="124"/>
  <c r="G84" i="124"/>
  <c r="G85" i="124"/>
  <c r="G86" i="124"/>
  <c r="G87" i="124"/>
  <c r="G88" i="124"/>
  <c r="G89" i="124"/>
  <c r="G90" i="124"/>
  <c r="G91" i="124"/>
  <c r="G92" i="124"/>
  <c r="G93" i="124"/>
  <c r="G94" i="124"/>
  <c r="G96" i="124"/>
  <c r="G97" i="124"/>
  <c r="G98" i="124"/>
  <c r="G99" i="124"/>
  <c r="G100" i="124"/>
  <c r="G101" i="124"/>
  <c r="G102" i="124"/>
  <c r="G103" i="124"/>
  <c r="G104" i="124"/>
  <c r="G105" i="124"/>
  <c r="G106" i="124"/>
  <c r="G108" i="124"/>
  <c r="G109" i="124"/>
  <c r="G107" i="124"/>
  <c r="G113" i="124"/>
  <c r="G115" i="124"/>
  <c r="G116" i="124"/>
  <c r="G117" i="124"/>
  <c r="G118" i="124"/>
  <c r="G119" i="124"/>
  <c r="G120" i="124"/>
  <c r="G121" i="124"/>
  <c r="G122" i="124"/>
  <c r="G123" i="124"/>
  <c r="G124" i="124"/>
  <c r="G125" i="124"/>
  <c r="G126" i="124"/>
  <c r="G127" i="124"/>
  <c r="G129" i="124"/>
  <c r="G131" i="124"/>
  <c r="G132" i="124"/>
  <c r="G135" i="124"/>
  <c r="G133" i="124"/>
  <c r="G136" i="124"/>
  <c r="G138" i="124"/>
  <c r="G140" i="124"/>
  <c r="G141" i="124"/>
  <c r="G142" i="124"/>
  <c r="G143" i="124"/>
  <c r="G144" i="124"/>
  <c r="G145" i="124"/>
  <c r="G148" i="124"/>
  <c r="G146" i="124"/>
  <c r="G147" i="124"/>
  <c r="G149" i="124"/>
  <c r="G150" i="124"/>
  <c r="G153" i="124"/>
  <c r="G152" i="124"/>
  <c r="G154" i="124"/>
  <c r="G155" i="124"/>
  <c r="G156" i="124"/>
  <c r="G157" i="124"/>
  <c r="G160" i="124"/>
  <c r="G161" i="124"/>
  <c r="G162" i="124"/>
  <c r="G163" i="124"/>
  <c r="G164" i="124"/>
  <c r="G165" i="124"/>
  <c r="G166" i="124"/>
  <c r="G167" i="124"/>
  <c r="G168" i="124"/>
  <c r="G171" i="124"/>
  <c r="G173" i="124"/>
  <c r="G174" i="124"/>
  <c r="G177" i="124"/>
  <c r="G182" i="124"/>
  <c r="G184" i="124"/>
  <c r="G185" i="124"/>
  <c r="G186" i="124"/>
  <c r="G187" i="124"/>
  <c r="G189" i="124"/>
  <c r="G188" i="124"/>
  <c r="G190" i="124"/>
  <c r="G193" i="124"/>
  <c r="G195" i="124"/>
  <c r="G196" i="124"/>
  <c r="G197" i="124"/>
  <c r="G198" i="124"/>
  <c r="G199" i="124"/>
  <c r="G200" i="124"/>
  <c r="G201" i="124"/>
  <c r="G202" i="124"/>
  <c r="G204" i="124"/>
  <c r="G205" i="124"/>
  <c r="G206" i="124"/>
  <c r="G207" i="124"/>
  <c r="G208" i="124"/>
  <c r="G209" i="124"/>
  <c r="G210" i="124"/>
  <c r="G211" i="124"/>
  <c r="G212" i="124"/>
  <c r="G213" i="124"/>
  <c r="G214" i="124"/>
  <c r="G216" i="124"/>
  <c r="G215" i="124"/>
  <c r="G218" i="124"/>
  <c r="G219" i="124"/>
  <c r="G220" i="124"/>
  <c r="G221" i="124"/>
  <c r="G226" i="124"/>
  <c r="G223" i="124"/>
  <c r="G225" i="124"/>
  <c r="G224" i="124"/>
  <c r="G228" i="124"/>
  <c r="G227" i="124"/>
  <c r="G230" i="124"/>
  <c r="G231" i="124"/>
  <c r="G233" i="124"/>
  <c r="G234" i="124"/>
  <c r="G235" i="124"/>
  <c r="G236" i="124"/>
  <c r="G239" i="124"/>
  <c r="G238" i="124"/>
  <c r="G241" i="124"/>
  <c r="G240" i="124"/>
  <c r="G243" i="124"/>
  <c r="G242" i="124"/>
  <c r="G244" i="124"/>
  <c r="G246" i="124"/>
  <c r="G247" i="124"/>
  <c r="G248" i="124"/>
  <c r="G249" i="124"/>
  <c r="G250" i="124"/>
  <c r="G251" i="124"/>
  <c r="G252" i="124"/>
  <c r="G255" i="124"/>
  <c r="G256" i="124"/>
  <c r="G257" i="124"/>
  <c r="G258" i="124"/>
  <c r="G259" i="124"/>
  <c r="G263" i="124"/>
  <c r="G265" i="124"/>
  <c r="G266" i="124"/>
  <c r="G268" i="124"/>
  <c r="G269" i="124"/>
  <c r="G272" i="124"/>
  <c r="G271" i="124"/>
  <c r="G275" i="124"/>
  <c r="G276" i="124"/>
  <c r="G278" i="124"/>
  <c r="G279" i="124"/>
  <c r="G280" i="124"/>
  <c r="G281" i="124"/>
  <c r="G282" i="124"/>
  <c r="G283" i="124"/>
  <c r="G284" i="124"/>
  <c r="G285" i="124"/>
  <c r="G286" i="124"/>
  <c r="G287" i="124"/>
  <c r="G288" i="124"/>
  <c r="G290" i="124"/>
  <c r="G291" i="124"/>
  <c r="G292" i="124"/>
  <c r="G293" i="124"/>
  <c r="G294" i="124"/>
  <c r="G295" i="124"/>
  <c r="G296" i="124"/>
  <c r="G297" i="124"/>
  <c r="G299" i="124"/>
  <c r="G300" i="124"/>
  <c r="G302" i="124"/>
  <c r="G303" i="124"/>
  <c r="G304" i="124"/>
  <c r="G305" i="124"/>
  <c r="G306" i="124"/>
  <c r="G307" i="124"/>
  <c r="G309" i="124"/>
  <c r="G310" i="124"/>
  <c r="G311" i="124"/>
  <c r="G312" i="124"/>
  <c r="G277" i="124"/>
  <c r="B176" i="124"/>
  <c r="B95" i="124"/>
  <c r="B180" i="124"/>
  <c r="B139" i="124"/>
  <c r="B181" i="124"/>
  <c r="B183" i="124"/>
  <c r="B273" i="124"/>
  <c r="B274" i="124"/>
  <c r="B270" i="124"/>
  <c r="B172" i="124"/>
  <c r="B254" i="124"/>
  <c r="B130" i="124"/>
  <c r="B169" i="124"/>
  <c r="B7" i="124"/>
  <c r="B10" i="124"/>
  <c r="B17" i="124"/>
  <c r="B20" i="124"/>
  <c r="B159" i="124"/>
  <c r="B229" i="124"/>
  <c r="B32" i="124"/>
  <c r="N5" i="124"/>
  <c r="M5" i="124"/>
  <c r="L5" i="124"/>
  <c r="K5" i="124"/>
  <c r="N19" i="105" l="1"/>
  <c r="W36" i="17"/>
  <c r="L24" i="17"/>
  <c r="AE6" i="98"/>
  <c r="B35" i="17" l="1"/>
  <c r="B36" i="17"/>
  <c r="V6" i="19"/>
  <c r="Z14" i="19" l="1"/>
  <c r="A103" i="124"/>
  <c r="B103" i="124"/>
  <c r="B98" i="124"/>
  <c r="A98" i="124"/>
  <c r="A88" i="124"/>
  <c r="B88" i="124"/>
  <c r="B84" i="124"/>
  <c r="A84" i="124"/>
  <c r="B82" i="124"/>
  <c r="A82" i="124"/>
  <c r="B259" i="124"/>
  <c r="A259" i="124"/>
  <c r="A277" i="124"/>
  <c r="A92" i="124"/>
  <c r="B277" i="124"/>
  <c r="B92" i="124"/>
  <c r="A45" i="124"/>
  <c r="B45" i="124"/>
  <c r="N15" i="105" l="1"/>
  <c r="N28" i="105" s="1"/>
  <c r="T62" i="96" l="1"/>
  <c r="T65" i="96" s="1"/>
  <c r="T64" i="96" l="1"/>
  <c r="C33" i="94"/>
  <c r="E5" i="127" l="1"/>
  <c r="N25" i="105" l="1"/>
  <c r="P22" i="115" l="1"/>
  <c r="B21" i="22" l="1"/>
  <c r="B14" i="19"/>
  <c r="V2" i="19" l="1"/>
  <c r="W2" i="19" s="1"/>
  <c r="V1" i="19"/>
  <c r="X1" i="19" s="1"/>
  <c r="AG5" i="19" l="1"/>
  <c r="AG6" i="19" s="1"/>
  <c r="A288" i="124" l="1"/>
  <c r="S55" i="103"/>
  <c r="X55" i="103" s="1"/>
  <c r="Z55" i="103" s="1"/>
  <c r="R55" i="103"/>
  <c r="J29" i="115" s="1"/>
  <c r="S54" i="103"/>
  <c r="L55" i="103"/>
  <c r="L54" i="103"/>
  <c r="W55" i="103" l="1"/>
  <c r="Y55" i="103" s="1"/>
  <c r="U55" i="103"/>
  <c r="V55" i="103"/>
  <c r="O32" i="17" l="1"/>
  <c r="P22" i="17"/>
  <c r="P30" i="17"/>
  <c r="P32" i="17" l="1"/>
  <c r="N33" i="17"/>
  <c r="P33" i="17"/>
  <c r="E58" i="103"/>
  <c r="F58" i="103"/>
  <c r="AA41" i="138" s="1"/>
  <c r="C22" i="139" l="1"/>
  <c r="Z41" i="138"/>
  <c r="A76" i="124"/>
  <c r="A5" i="124" l="1"/>
  <c r="G232" i="124"/>
  <c r="G253" i="124"/>
  <c r="B296" i="124"/>
  <c r="B177" i="124"/>
  <c r="B116" i="124"/>
  <c r="B6" i="124"/>
  <c r="B62" i="124"/>
  <c r="B288" i="124"/>
  <c r="B303" i="124"/>
  <c r="B304" i="124"/>
  <c r="B302" i="124"/>
  <c r="B19" i="124"/>
  <c r="B212" i="124"/>
  <c r="B107" i="124"/>
  <c r="B61" i="124"/>
  <c r="B67" i="124"/>
  <c r="B309" i="124"/>
  <c r="B306" i="124"/>
  <c r="B307" i="124"/>
  <c r="B120" i="124"/>
  <c r="B117" i="124"/>
  <c r="B122" i="124"/>
  <c r="B123" i="124"/>
  <c r="B121" i="124"/>
  <c r="B36" i="124"/>
  <c r="B232" i="124"/>
  <c r="B253" i="124"/>
  <c r="D2" i="98" l="1"/>
  <c r="A8" i="124"/>
  <c r="A234" i="124"/>
  <c r="B234" i="124"/>
  <c r="A215" i="124"/>
  <c r="B215" i="124"/>
  <c r="A206" i="124"/>
  <c r="B206" i="124"/>
  <c r="A202" i="124"/>
  <c r="B202" i="124"/>
  <c r="A142" i="124"/>
  <c r="B142" i="124"/>
  <c r="A140" i="124"/>
  <c r="B140" i="124"/>
  <c r="B8" i="98" l="1"/>
  <c r="A257" i="124"/>
  <c r="A258" i="124"/>
  <c r="A263" i="124"/>
  <c r="A265" i="124"/>
  <c r="A268" i="124"/>
  <c r="A269" i="124"/>
  <c r="A272" i="124"/>
  <c r="A271" i="124"/>
  <c r="A275" i="124"/>
  <c r="A276" i="124"/>
  <c r="A278" i="124"/>
  <c r="A279" i="124"/>
  <c r="A280" i="124"/>
  <c r="A281" i="124"/>
  <c r="A282" i="124"/>
  <c r="A283" i="124"/>
  <c r="A284" i="124"/>
  <c r="A285" i="124"/>
  <c r="A286" i="124"/>
  <c r="A287" i="124"/>
  <c r="A290" i="124"/>
  <c r="A291" i="124"/>
  <c r="A292" i="124"/>
  <c r="A293" i="124"/>
  <c r="A294" i="124"/>
  <c r="A295" i="124"/>
  <c r="A297" i="124"/>
  <c r="A299" i="124"/>
  <c r="A300" i="124"/>
  <c r="A305" i="124"/>
  <c r="A310" i="124"/>
  <c r="A311" i="124"/>
  <c r="A312" i="124"/>
  <c r="A296" i="124"/>
  <c r="A177" i="124"/>
  <c r="A116" i="124"/>
  <c r="A6" i="124"/>
  <c r="A62" i="124"/>
  <c r="A303" i="124"/>
  <c r="A304" i="124"/>
  <c r="A302" i="124"/>
  <c r="A19" i="124"/>
  <c r="A212" i="124"/>
  <c r="A107" i="124"/>
  <c r="A61" i="124"/>
  <c r="A67" i="124"/>
  <c r="A309" i="124"/>
  <c r="A306" i="124"/>
  <c r="A307" i="124"/>
  <c r="A120" i="124"/>
  <c r="A117" i="124"/>
  <c r="A122" i="124"/>
  <c r="A123" i="124"/>
  <c r="A121" i="124"/>
  <c r="A36" i="124"/>
  <c r="A232" i="124"/>
  <c r="A253" i="124"/>
  <c r="A176" i="124"/>
  <c r="A95" i="124"/>
  <c r="A180" i="124"/>
  <c r="A139" i="124"/>
  <c r="A181" i="124"/>
  <c r="A183" i="124"/>
  <c r="A274" i="124"/>
  <c r="A270" i="124"/>
  <c r="A172" i="124"/>
  <c r="A254" i="124"/>
  <c r="A130" i="124"/>
  <c r="A169" i="124"/>
  <c r="A7" i="124"/>
  <c r="A10" i="124"/>
  <c r="A17" i="124"/>
  <c r="A20" i="124"/>
  <c r="A159" i="124"/>
  <c r="A229" i="124"/>
  <c r="A32" i="124"/>
  <c r="A313" i="124"/>
  <c r="A314" i="124"/>
  <c r="A315" i="124"/>
  <c r="A316" i="124"/>
  <c r="A317" i="124"/>
  <c r="A318" i="124"/>
  <c r="A319" i="124"/>
  <c r="A320" i="124"/>
  <c r="A321" i="124"/>
  <c r="A322" i="124"/>
  <c r="A323" i="124"/>
  <c r="A324" i="124"/>
  <c r="A325" i="124"/>
  <c r="A326" i="124"/>
  <c r="A327" i="124"/>
  <c r="A328" i="124"/>
  <c r="A329" i="124"/>
  <c r="A330" i="124"/>
  <c r="A331" i="124"/>
  <c r="A332" i="124"/>
  <c r="A333" i="124"/>
  <c r="A334" i="124"/>
  <c r="A335" i="124"/>
  <c r="A336" i="124"/>
  <c r="A337" i="124"/>
  <c r="A338" i="124"/>
  <c r="A339" i="124"/>
  <c r="A340" i="124"/>
  <c r="A341" i="124"/>
  <c r="A342" i="124"/>
  <c r="A343" i="124"/>
  <c r="A344" i="124"/>
  <c r="A345" i="124"/>
  <c r="A346" i="124"/>
  <c r="A347" i="124"/>
  <c r="A348" i="124"/>
  <c r="A349" i="124"/>
  <c r="A350" i="124"/>
  <c r="A351" i="124"/>
  <c r="A352" i="124"/>
  <c r="A353" i="124"/>
  <c r="A354" i="124"/>
  <c r="A355" i="124"/>
  <c r="A356" i="124"/>
  <c r="A357" i="124"/>
  <c r="A358" i="124"/>
  <c r="A359" i="124"/>
  <c r="A360" i="124"/>
  <c r="A361" i="124"/>
  <c r="A362" i="124"/>
  <c r="A363" i="124"/>
  <c r="A364" i="124"/>
  <c r="A365" i="124"/>
  <c r="A366" i="124"/>
  <c r="A367" i="124"/>
  <c r="A368" i="124"/>
  <c r="A369" i="124"/>
  <c r="A370" i="124"/>
  <c r="A371" i="124"/>
  <c r="A372" i="124"/>
  <c r="A373" i="124"/>
  <c r="A374" i="124"/>
  <c r="A375" i="124"/>
  <c r="A376" i="124"/>
  <c r="A377" i="124"/>
  <c r="A378" i="124"/>
  <c r="A379" i="124"/>
  <c r="A380" i="124"/>
  <c r="A381" i="124"/>
  <c r="A382" i="124"/>
  <c r="A383" i="124"/>
  <c r="A384" i="124"/>
  <c r="A385" i="124"/>
  <c r="A386" i="124"/>
  <c r="A387" i="124"/>
  <c r="A388" i="124"/>
  <c r="A389" i="124"/>
  <c r="A390" i="124"/>
  <c r="A391" i="124"/>
  <c r="A392" i="124"/>
  <c r="A393" i="124"/>
  <c r="A394" i="124"/>
  <c r="A395" i="124"/>
  <c r="A396" i="124"/>
  <c r="A397" i="124"/>
  <c r="A398" i="124"/>
  <c r="A399" i="124"/>
  <c r="A400" i="124"/>
  <c r="A401" i="124"/>
  <c r="A402" i="124"/>
  <c r="A403" i="124"/>
  <c r="A404" i="124"/>
  <c r="A405" i="124"/>
  <c r="A406" i="124"/>
  <c r="A407" i="124"/>
  <c r="A408" i="124"/>
  <c r="A409" i="124"/>
  <c r="A410" i="124"/>
  <c r="A411" i="124"/>
  <c r="A412" i="124"/>
  <c r="A413" i="124"/>
  <c r="A414" i="124"/>
  <c r="A415" i="124"/>
  <c r="A416" i="124"/>
  <c r="A417" i="124"/>
  <c r="A418" i="124"/>
  <c r="A419" i="124"/>
  <c r="A420" i="124"/>
  <c r="A421" i="124"/>
  <c r="A422" i="124"/>
  <c r="A423" i="124"/>
  <c r="A424" i="124"/>
  <c r="A425" i="124"/>
  <c r="A426" i="124"/>
  <c r="A427" i="124"/>
  <c r="A428" i="124"/>
  <c r="A429" i="124"/>
  <c r="A430" i="124"/>
  <c r="A431" i="124"/>
  <c r="A432" i="124"/>
  <c r="A433" i="124"/>
  <c r="A434" i="124"/>
  <c r="A435" i="124"/>
  <c r="A436" i="124"/>
  <c r="A437" i="124"/>
  <c r="A438" i="124"/>
  <c r="A439" i="124"/>
  <c r="A440" i="124"/>
  <c r="A441" i="124"/>
  <c r="A442" i="124"/>
  <c r="A443" i="124"/>
  <c r="A444" i="124"/>
  <c r="A445" i="124"/>
  <c r="A446" i="124"/>
  <c r="A447" i="124"/>
  <c r="A448" i="124"/>
  <c r="A449" i="124"/>
  <c r="A450" i="124"/>
  <c r="A451" i="124"/>
  <c r="A452" i="124"/>
  <c r="A453" i="124"/>
  <c r="A454" i="124"/>
  <c r="A455" i="124"/>
  <c r="A456" i="124"/>
  <c r="A457" i="124"/>
  <c r="A458" i="124"/>
  <c r="A459" i="124"/>
  <c r="B312" i="124" l="1"/>
  <c r="B263" i="124"/>
  <c r="B166" i="124"/>
  <c r="B64" i="124"/>
  <c r="B161" i="124"/>
  <c r="B240" i="124"/>
  <c r="P38" i="17" l="1"/>
  <c r="N38" i="17"/>
  <c r="P25" i="17"/>
  <c r="L20" i="127" l="1"/>
  <c r="K20" i="127"/>
  <c r="L16" i="127"/>
  <c r="K16" i="127"/>
  <c r="L12" i="127"/>
  <c r="K12" i="127"/>
  <c r="K9" i="127"/>
  <c r="A256" i="124" l="1"/>
  <c r="A255" i="124"/>
  <c r="A252" i="124" l="1"/>
  <c r="A251" i="124" l="1"/>
  <c r="A250" i="124"/>
  <c r="B224" i="124"/>
  <c r="B29" i="124"/>
  <c r="B266" i="124"/>
  <c r="B268" i="124"/>
  <c r="B269" i="124"/>
  <c r="B272" i="124"/>
  <c r="B271" i="124"/>
  <c r="B275" i="124"/>
  <c r="B276" i="124"/>
  <c r="B278" i="124"/>
  <c r="B279" i="124"/>
  <c r="B280" i="124"/>
  <c r="B281" i="124"/>
  <c r="B282" i="124"/>
  <c r="B283" i="124"/>
  <c r="B284" i="124"/>
  <c r="B285" i="124"/>
  <c r="B286" i="124"/>
  <c r="B287" i="124"/>
  <c r="B290" i="124"/>
  <c r="B291" i="124"/>
  <c r="B292" i="124"/>
  <c r="B293" i="124"/>
  <c r="B294" i="124"/>
  <c r="B295" i="124"/>
  <c r="B297" i="124"/>
  <c r="B299" i="124"/>
  <c r="B300" i="124"/>
  <c r="B305" i="124"/>
  <c r="B310" i="124"/>
  <c r="B311" i="124"/>
  <c r="B71" i="124"/>
  <c r="B72" i="124"/>
  <c r="B247" i="124"/>
  <c r="A249" i="124"/>
  <c r="G5" i="127"/>
  <c r="H5" i="127" l="1"/>
  <c r="G24" i="127" s="1"/>
  <c r="L24" i="127" s="1"/>
  <c r="D33" i="127"/>
  <c r="D23" i="127" l="1"/>
  <c r="D24" i="127"/>
  <c r="E24" i="127"/>
  <c r="K24" i="127" s="1"/>
  <c r="F14" i="127"/>
  <c r="G23" i="127"/>
  <c r="L23" i="127" s="1"/>
  <c r="H14" i="127"/>
  <c r="E23" i="127"/>
  <c r="K23" i="127" s="1"/>
  <c r="F17" i="127"/>
  <c r="K17" i="127" s="1"/>
  <c r="H19" i="127"/>
  <c r="L19" i="127" s="1"/>
  <c r="H13" i="127"/>
  <c r="F19" i="127"/>
  <c r="K19" i="127" s="1"/>
  <c r="F13" i="127"/>
  <c r="H17" i="127"/>
  <c r="L17" i="127" s="1"/>
  <c r="A248" i="124"/>
  <c r="L14" i="127" l="1"/>
  <c r="L27" i="127" s="1"/>
  <c r="K14" i="127"/>
  <c r="K27" i="127" s="1"/>
  <c r="K13" i="127"/>
  <c r="L13" i="127"/>
  <c r="G9" i="127"/>
  <c r="L21" i="127" l="1"/>
  <c r="L26" i="127" s="1"/>
  <c r="L29" i="127" s="1"/>
  <c r="K21" i="127"/>
  <c r="K26" i="127" s="1"/>
  <c r="K29" i="127" s="1"/>
  <c r="D28" i="127"/>
  <c r="D29" i="127"/>
  <c r="D26" i="127"/>
  <c r="P35" i="74"/>
  <c r="P36" i="74"/>
  <c r="N58" i="103"/>
  <c r="M58" i="103"/>
  <c r="L28" i="127" l="1"/>
  <c r="L30" i="127" s="1"/>
  <c r="K28" i="127"/>
  <c r="K30" i="127" s="1"/>
  <c r="K31" i="127" l="1"/>
  <c r="P19" i="17"/>
  <c r="A247" i="124" l="1"/>
  <c r="A240" i="124" l="1"/>
  <c r="A241" i="124"/>
  <c r="A243" i="124"/>
  <c r="A242" i="124"/>
  <c r="A244" i="124"/>
  <c r="A246" i="124"/>
  <c r="B252" i="124"/>
  <c r="B59" i="124"/>
  <c r="B155" i="124"/>
  <c r="B58" i="124"/>
  <c r="B57" i="124"/>
  <c r="B204" i="124"/>
  <c r="B256" i="124"/>
  <c r="B126" i="124"/>
  <c r="B83" i="124"/>
  <c r="B81" i="124"/>
  <c r="P26" i="17" l="1"/>
  <c r="P29" i="17"/>
  <c r="P34" i="17" s="1"/>
  <c r="A72" i="124" l="1"/>
  <c r="O35" i="17" l="1"/>
  <c r="P35" i="17"/>
  <c r="P36" i="17" s="1"/>
  <c r="P39" i="17" l="1"/>
  <c r="N39" i="17" s="1"/>
  <c r="N36" i="17"/>
  <c r="A218" i="124"/>
  <c r="A219" i="124"/>
  <c r="A220" i="124"/>
  <c r="A221" i="124"/>
  <c r="A225" i="124"/>
  <c r="A224" i="124"/>
  <c r="A228" i="124"/>
  <c r="A227" i="124"/>
  <c r="A230" i="124"/>
  <c r="A231" i="124"/>
  <c r="A233" i="124"/>
  <c r="A235" i="124"/>
  <c r="A236" i="124"/>
  <c r="A239" i="124"/>
  <c r="A238" i="124"/>
  <c r="B241" i="124"/>
  <c r="B106" i="124"/>
  <c r="B33" i="124"/>
  <c r="B31" i="124"/>
  <c r="B63" i="124"/>
  <c r="B70" i="124"/>
  <c r="B65" i="124"/>
  <c r="B68" i="124"/>
  <c r="B69" i="124"/>
  <c r="B43" i="124"/>
  <c r="B40" i="124"/>
  <c r="B108" i="124"/>
  <c r="B109" i="124"/>
  <c r="B154" i="124"/>
  <c r="B23" i="124"/>
  <c r="A214" i="124"/>
  <c r="A216" i="124"/>
  <c r="A213" i="124"/>
  <c r="A211" i="124"/>
  <c r="A210" i="124"/>
  <c r="N40" i="17" l="1"/>
  <c r="T88" i="74"/>
  <c r="U88" i="74" s="1"/>
  <c r="A205" i="124"/>
  <c r="A207" i="124"/>
  <c r="A208" i="124"/>
  <c r="A209" i="124"/>
  <c r="B115" i="124" l="1"/>
  <c r="B89" i="124"/>
  <c r="B233" i="124"/>
  <c r="B26" i="124"/>
  <c r="B24" i="124"/>
  <c r="B113" i="124"/>
  <c r="B251" i="124"/>
  <c r="B243" i="124"/>
  <c r="B250" i="124"/>
  <c r="B249" i="124"/>
  <c r="W14" i="17" l="1"/>
  <c r="B20" i="22" l="1"/>
  <c r="B171" i="124" l="1"/>
  <c r="B174" i="124"/>
  <c r="B187" i="124"/>
  <c r="B189" i="124"/>
  <c r="B188" i="124"/>
  <c r="B190" i="124"/>
  <c r="B193" i="124"/>
  <c r="B195" i="124"/>
  <c r="B196" i="124"/>
  <c r="B197" i="124"/>
  <c r="B199" i="124"/>
  <c r="B200" i="124"/>
  <c r="B198" i="124"/>
  <c r="B201" i="124"/>
  <c r="B205" i="124"/>
  <c r="B207" i="124"/>
  <c r="B209" i="124"/>
  <c r="B210" i="124"/>
  <c r="B211" i="124"/>
  <c r="B213" i="124"/>
  <c r="B214" i="124"/>
  <c r="B216" i="124"/>
  <c r="B220" i="124"/>
  <c r="B221" i="124"/>
  <c r="B223" i="124"/>
  <c r="B225" i="124"/>
  <c r="B227" i="124"/>
  <c r="B226" i="124"/>
  <c r="B230" i="124"/>
  <c r="B235" i="124"/>
  <c r="B236" i="124"/>
  <c r="B238" i="124"/>
  <c r="B242" i="124"/>
  <c r="B244" i="124"/>
  <c r="B246" i="124"/>
  <c r="B248" i="124"/>
  <c r="B257" i="124"/>
  <c r="B258" i="124"/>
  <c r="B265" i="124"/>
  <c r="B231" i="124"/>
  <c r="B239" i="124"/>
  <c r="B184" i="124"/>
  <c r="B185" i="124"/>
  <c r="B186" i="124"/>
  <c r="B182" i="124"/>
  <c r="B144" i="124"/>
  <c r="B77" i="124"/>
  <c r="B60" i="124"/>
  <c r="B30" i="124"/>
  <c r="B34" i="124"/>
  <c r="B163" i="124"/>
  <c r="B208" i="124"/>
  <c r="B219" i="124"/>
  <c r="B255" i="124"/>
  <c r="B85" i="124"/>
  <c r="B173" i="124"/>
  <c r="B218" i="124"/>
  <c r="B228" i="124"/>
  <c r="B87" i="124"/>
  <c r="B22" i="124"/>
  <c r="B8" i="124"/>
  <c r="B9" i="124"/>
  <c r="B11" i="124"/>
  <c r="B16" i="124"/>
  <c r="B13" i="124"/>
  <c r="B15" i="124"/>
  <c r="B12" i="124"/>
  <c r="B25" i="124"/>
  <c r="B35" i="124"/>
  <c r="B38" i="124"/>
  <c r="B41" i="124"/>
  <c r="B42" i="124"/>
  <c r="B39" i="124"/>
  <c r="B44" i="124"/>
  <c r="B46" i="124"/>
  <c r="B47" i="124"/>
  <c r="B49" i="124"/>
  <c r="B52" i="124"/>
  <c r="B53" i="124"/>
  <c r="B54" i="124"/>
  <c r="B55" i="124"/>
  <c r="B56" i="124"/>
  <c r="B73" i="124"/>
  <c r="B74" i="124"/>
  <c r="B76" i="124"/>
  <c r="B79" i="124"/>
  <c r="B80" i="124"/>
  <c r="B86" i="124"/>
  <c r="B90" i="124"/>
  <c r="B91" i="124"/>
  <c r="B93" i="124"/>
  <c r="B94" i="124"/>
  <c r="B96" i="124"/>
  <c r="B97" i="124"/>
  <c r="B99" i="124"/>
  <c r="B100" i="124"/>
  <c r="B101" i="124"/>
  <c r="B102" i="124"/>
  <c r="B104" i="124"/>
  <c r="B105" i="124"/>
  <c r="B118" i="124"/>
  <c r="B119" i="124"/>
  <c r="B124" i="124"/>
  <c r="B125" i="124"/>
  <c r="B127" i="124"/>
  <c r="B129" i="124"/>
  <c r="B131" i="124"/>
  <c r="B132" i="124"/>
  <c r="B135" i="124"/>
  <c r="B133" i="124"/>
  <c r="B136" i="124"/>
  <c r="B137" i="124"/>
  <c r="B138" i="124"/>
  <c r="B141" i="124"/>
  <c r="B143" i="124"/>
  <c r="B145" i="124"/>
  <c r="B148" i="124"/>
  <c r="B146" i="124"/>
  <c r="B147" i="124"/>
  <c r="B149" i="124"/>
  <c r="B150" i="124"/>
  <c r="B153" i="124"/>
  <c r="B152" i="124"/>
  <c r="B156" i="124"/>
  <c r="B157" i="124"/>
  <c r="B160" i="124"/>
  <c r="B162" i="124"/>
  <c r="B164" i="124"/>
  <c r="B165" i="124"/>
  <c r="B167" i="124"/>
  <c r="B168" i="124"/>
  <c r="C10" i="134" l="1"/>
  <c r="B2" i="124"/>
  <c r="AS40" i="138"/>
  <c r="AX41" i="138"/>
  <c r="AY41" i="138"/>
  <c r="AV41" i="138"/>
  <c r="AW41" i="138"/>
  <c r="Q2" i="134"/>
  <c r="J9" i="134"/>
  <c r="B6" i="134"/>
  <c r="H7" i="134"/>
  <c r="G17" i="138" s="1"/>
  <c r="R11" i="134"/>
  <c r="Q11" i="134"/>
  <c r="O11" i="134"/>
  <c r="O12" i="134" s="1"/>
  <c r="P11" i="134"/>
  <c r="N14" i="17"/>
  <c r="P12" i="17"/>
  <c r="O12" i="17"/>
  <c r="L2" i="124" l="1"/>
  <c r="M2" i="124"/>
  <c r="N2" i="124"/>
  <c r="K2" i="124"/>
  <c r="P12" i="134"/>
  <c r="AZ41" i="138"/>
  <c r="O15" i="17"/>
  <c r="S11" i="134"/>
  <c r="B23" i="134" s="1"/>
  <c r="O8" i="17"/>
  <c r="O10" i="17" s="1"/>
  <c r="O13" i="17"/>
  <c r="O14" i="17" s="1"/>
  <c r="O9" i="17"/>
  <c r="Q12" i="134" l="1"/>
  <c r="R12" i="134" s="1"/>
  <c r="B12" i="134"/>
  <c r="AP42" i="138"/>
  <c r="E6" i="134"/>
  <c r="H27" i="127"/>
  <c r="F27" i="127"/>
  <c r="I24" i="98"/>
  <c r="N8" i="98"/>
  <c r="AJ10" i="98" l="1"/>
  <c r="AI10" i="98"/>
  <c r="AH10" i="98"/>
  <c r="AG10" i="98"/>
  <c r="AF10" i="98"/>
  <c r="AE10" i="98"/>
  <c r="O13" i="134"/>
  <c r="B18" i="138" s="1"/>
  <c r="U17" i="98"/>
  <c r="V17" i="98"/>
  <c r="W17" i="98"/>
  <c r="T18" i="98"/>
  <c r="AK10" i="98"/>
  <c r="E28" i="29" l="1"/>
  <c r="E5" i="98" l="1"/>
  <c r="A161" i="124"/>
  <c r="B18" i="17"/>
  <c r="B16" i="17"/>
  <c r="B13" i="17"/>
  <c r="Q3" i="74"/>
  <c r="P3" i="74"/>
  <c r="P68" i="74"/>
  <c r="R13" i="74" s="1"/>
  <c r="P67" i="74"/>
  <c r="P66" i="74"/>
  <c r="R11" i="74" s="1"/>
  <c r="P65" i="74"/>
  <c r="P64" i="74"/>
  <c r="P63" i="74"/>
  <c r="P62" i="74"/>
  <c r="P61" i="74"/>
  <c r="P60" i="74"/>
  <c r="P59" i="74"/>
  <c r="P58" i="74"/>
  <c r="P57" i="74"/>
  <c r="P56" i="74"/>
  <c r="P55" i="74"/>
  <c r="P54" i="74"/>
  <c r="P53" i="74"/>
  <c r="P52" i="74"/>
  <c r="P51" i="74"/>
  <c r="P50" i="74"/>
  <c r="P49" i="74"/>
  <c r="P48" i="74"/>
  <c r="P47" i="74"/>
  <c r="P46" i="74"/>
  <c r="P45" i="74"/>
  <c r="P44" i="74"/>
  <c r="P43" i="74"/>
  <c r="P42" i="74"/>
  <c r="P41" i="74"/>
  <c r="P40" i="74"/>
  <c r="P39" i="74"/>
  <c r="P38" i="74"/>
  <c r="P37" i="74"/>
  <c r="P34" i="74"/>
  <c r="P33" i="74"/>
  <c r="P32" i="74"/>
  <c r="P31" i="74"/>
  <c r="P30" i="74"/>
  <c r="P29" i="74"/>
  <c r="P28" i="74"/>
  <c r="P27" i="74"/>
  <c r="P26" i="74"/>
  <c r="P25" i="74"/>
  <c r="P24" i="74"/>
  <c r="P23" i="74"/>
  <c r="P22" i="74"/>
  <c r="P21" i="74"/>
  <c r="P20" i="74"/>
  <c r="P19" i="74"/>
  <c r="P18" i="74"/>
  <c r="P17" i="74"/>
  <c r="P16" i="74"/>
  <c r="P15" i="74"/>
  <c r="P14" i="74"/>
  <c r="P13" i="74"/>
  <c r="P12" i="74"/>
  <c r="P11" i="74"/>
  <c r="P10" i="74"/>
  <c r="P9" i="74"/>
  <c r="P8" i="74"/>
  <c r="P7" i="74"/>
  <c r="P6" i="74"/>
  <c r="P5" i="74"/>
  <c r="P4" i="74"/>
  <c r="V9" i="74" l="1"/>
  <c r="R12" i="74"/>
  <c r="U9" i="74"/>
  <c r="P69" i="74"/>
  <c r="R14" i="74" s="1"/>
  <c r="W9" i="74"/>
  <c r="R3" i="74"/>
  <c r="W8" i="74" l="1"/>
  <c r="V8" i="74"/>
  <c r="W12" i="74"/>
  <c r="X9" i="74"/>
  <c r="P70" i="74"/>
  <c r="R15" i="74" s="1"/>
  <c r="W11" i="74"/>
  <c r="V11" i="74"/>
  <c r="A155" i="124"/>
  <c r="A156" i="124"/>
  <c r="A157" i="124"/>
  <c r="A160" i="124"/>
  <c r="A162" i="124"/>
  <c r="A163" i="124"/>
  <c r="A164" i="124"/>
  <c r="A165" i="124"/>
  <c r="A166" i="124"/>
  <c r="A167" i="124"/>
  <c r="A168" i="124"/>
  <c r="A171" i="124"/>
  <c r="A173" i="124"/>
  <c r="A174" i="124"/>
  <c r="A182" i="124"/>
  <c r="A184" i="124"/>
  <c r="A185" i="124"/>
  <c r="A186" i="124"/>
  <c r="A187" i="124"/>
  <c r="A189" i="124"/>
  <c r="A188" i="124"/>
  <c r="A190" i="124"/>
  <c r="A193" i="124"/>
  <c r="A195" i="124"/>
  <c r="A196" i="124"/>
  <c r="A197" i="124"/>
  <c r="A199" i="124"/>
  <c r="A200" i="124"/>
  <c r="A198" i="124"/>
  <c r="A201" i="124"/>
  <c r="A204" i="124"/>
  <c r="A152" i="124"/>
  <c r="A154" i="124"/>
  <c r="P71" i="74" l="1"/>
  <c r="R16" i="74" s="1"/>
  <c r="Y9" i="74"/>
  <c r="Y14" i="74" s="1"/>
  <c r="X12" i="74"/>
  <c r="X13" i="74"/>
  <c r="X11" i="74"/>
  <c r="A153" i="124"/>
  <c r="Y13" i="74" l="1"/>
  <c r="Y12" i="74"/>
  <c r="Y11" i="74"/>
  <c r="P72" i="74"/>
  <c r="R17" i="74" s="1"/>
  <c r="Z9" i="74"/>
  <c r="Z13" i="74" s="1"/>
  <c r="Z15" i="74" l="1"/>
  <c r="Z14" i="74"/>
  <c r="Z12" i="74"/>
  <c r="Z11" i="74"/>
  <c r="P73" i="74"/>
  <c r="R18" i="74" s="1"/>
  <c r="AA9" i="74"/>
  <c r="AA13" i="74" s="1"/>
  <c r="E7" i="98"/>
  <c r="D8" i="98" l="1"/>
  <c r="E8" i="98"/>
  <c r="AA16" i="74"/>
  <c r="AA12" i="74"/>
  <c r="AA14" i="74"/>
  <c r="AA15" i="74"/>
  <c r="AA11" i="74"/>
  <c r="P74" i="74"/>
  <c r="R19" i="74" s="1"/>
  <c r="AB9" i="74"/>
  <c r="AB14" i="74" s="1"/>
  <c r="R19" i="99"/>
  <c r="R20" i="99"/>
  <c r="R21" i="99"/>
  <c r="R22" i="99"/>
  <c r="R23" i="99"/>
  <c r="R24" i="99"/>
  <c r="R25" i="99"/>
  <c r="R26" i="99"/>
  <c r="R27" i="99"/>
  <c r="R28" i="99"/>
  <c r="R29" i="99"/>
  <c r="R30" i="99"/>
  <c r="R31" i="99"/>
  <c r="R32" i="99"/>
  <c r="R33" i="99"/>
  <c r="R34" i="99"/>
  <c r="R35" i="99"/>
  <c r="R36" i="99"/>
  <c r="R37" i="99"/>
  <c r="R38" i="99"/>
  <c r="R39" i="99"/>
  <c r="R40" i="99"/>
  <c r="R41" i="99"/>
  <c r="R42" i="99"/>
  <c r="R43" i="99"/>
  <c r="R44" i="99"/>
  <c r="R45" i="99"/>
  <c r="R46" i="99"/>
  <c r="R47" i="99"/>
  <c r="R48" i="99"/>
  <c r="R49" i="99"/>
  <c r="R50" i="99"/>
  <c r="R51" i="99"/>
  <c r="R52" i="99"/>
  <c r="R53" i="99"/>
  <c r="R54" i="99"/>
  <c r="R55" i="99"/>
  <c r="R56" i="99"/>
  <c r="R57" i="99"/>
  <c r="R58" i="99"/>
  <c r="R59" i="99"/>
  <c r="R60" i="99"/>
  <c r="R61" i="99"/>
  <c r="R62" i="99"/>
  <c r="R63" i="99"/>
  <c r="R64" i="99"/>
  <c r="R65" i="99"/>
  <c r="R66" i="99"/>
  <c r="R67" i="99"/>
  <c r="R68" i="99"/>
  <c r="R69" i="99"/>
  <c r="R70" i="99"/>
  <c r="R18" i="99"/>
  <c r="Q32" i="19"/>
  <c r="D11" i="98" l="1"/>
  <c r="P13" i="98"/>
  <c r="P8" i="98"/>
  <c r="P11" i="98"/>
  <c r="AB17" i="74"/>
  <c r="AB16" i="74"/>
  <c r="AB15" i="74"/>
  <c r="AB11" i="74"/>
  <c r="AB12" i="74"/>
  <c r="AB13" i="74"/>
  <c r="P75" i="74"/>
  <c r="R20" i="74" s="1"/>
  <c r="AC9" i="74"/>
  <c r="AC18" i="74" s="1"/>
  <c r="AC15" i="74" l="1"/>
  <c r="AC12" i="74"/>
  <c r="AC13" i="74"/>
  <c r="AC17" i="74"/>
  <c r="AC14" i="74"/>
  <c r="AC16" i="74"/>
  <c r="AC11" i="74"/>
  <c r="P76" i="74"/>
  <c r="R21" i="74" s="1"/>
  <c r="AD9" i="74"/>
  <c r="AD19" i="74" s="1"/>
  <c r="AA9" i="98"/>
  <c r="J22" i="98"/>
  <c r="J23" i="98"/>
  <c r="AM10" i="98"/>
  <c r="AL10" i="98"/>
  <c r="AA4" i="98"/>
  <c r="AN10" i="98"/>
  <c r="AA8" i="98"/>
  <c r="AA7" i="98"/>
  <c r="AA6" i="98"/>
  <c r="AA5" i="98"/>
  <c r="N3" i="98"/>
  <c r="O3" i="98" s="1"/>
  <c r="G8" i="29"/>
  <c r="G9" i="29"/>
  <c r="G10" i="29"/>
  <c r="G11" i="29"/>
  <c r="G12" i="29"/>
  <c r="G13" i="29"/>
  <c r="G14" i="29"/>
  <c r="G15" i="29"/>
  <c r="G16" i="29"/>
  <c r="G17" i="29"/>
  <c r="G18" i="29"/>
  <c r="G19" i="29"/>
  <c r="G20" i="29"/>
  <c r="G21" i="29"/>
  <c r="G22" i="29"/>
  <c r="G23" i="29"/>
  <c r="G24" i="29"/>
  <c r="G25" i="29"/>
  <c r="G26" i="29"/>
  <c r="G7" i="29"/>
  <c r="G27" i="29" l="1"/>
  <c r="R17" i="98"/>
  <c r="S17" i="98"/>
  <c r="P18" i="98"/>
  <c r="Q18" i="98"/>
  <c r="AD18" i="74"/>
  <c r="AD17" i="74"/>
  <c r="AD13" i="74"/>
  <c r="AD16" i="74"/>
  <c r="AD14" i="74"/>
  <c r="AD15" i="74"/>
  <c r="AD12" i="74"/>
  <c r="AD11" i="74"/>
  <c r="P77" i="74"/>
  <c r="R22" i="74" s="1"/>
  <c r="AE9" i="74"/>
  <c r="AE20" i="74" s="1"/>
  <c r="AE19" i="74" l="1"/>
  <c r="AE18" i="74"/>
  <c r="AE17" i="74"/>
  <c r="AE11" i="74"/>
  <c r="AE15" i="74"/>
  <c r="AE16" i="74"/>
  <c r="AE12" i="74"/>
  <c r="AE13" i="74"/>
  <c r="AE14" i="74"/>
  <c r="P78" i="74"/>
  <c r="R23" i="74" s="1"/>
  <c r="AF9" i="74"/>
  <c r="AF21" i="74" s="1"/>
  <c r="D6" i="126"/>
  <c r="AF13" i="74" l="1"/>
  <c r="AF12" i="74"/>
  <c r="AF11" i="74"/>
  <c r="AF20" i="74"/>
  <c r="AF17" i="74"/>
  <c r="AF16" i="74"/>
  <c r="P79" i="74"/>
  <c r="R24" i="74" s="1"/>
  <c r="AG9" i="74"/>
  <c r="AG22" i="74" s="1"/>
  <c r="AF19" i="74"/>
  <c r="AF18" i="74"/>
  <c r="AF14" i="74"/>
  <c r="AF15" i="74"/>
  <c r="C5" i="126"/>
  <c r="BD156" i="11"/>
  <c r="BE156" i="11"/>
  <c r="BF156" i="11"/>
  <c r="BG156" i="11"/>
  <c r="BD157" i="11"/>
  <c r="BE157" i="11"/>
  <c r="BF157" i="11"/>
  <c r="BG157" i="11"/>
  <c r="BD158" i="11"/>
  <c r="BE158" i="11"/>
  <c r="BF158" i="11"/>
  <c r="BG158" i="11"/>
  <c r="BD159" i="11"/>
  <c r="BE159" i="11"/>
  <c r="BF159" i="11"/>
  <c r="BG159" i="11"/>
  <c r="BD160" i="11"/>
  <c r="BE160" i="11"/>
  <c r="BF160" i="11"/>
  <c r="BG160" i="11"/>
  <c r="BD161" i="11"/>
  <c r="BE161" i="11"/>
  <c r="BF161" i="11"/>
  <c r="BG161" i="11"/>
  <c r="BD162" i="11"/>
  <c r="BE162" i="11"/>
  <c r="BF162" i="11"/>
  <c r="BG162" i="11"/>
  <c r="BD163" i="11"/>
  <c r="BE163" i="11"/>
  <c r="BF163" i="11"/>
  <c r="BG163" i="11"/>
  <c r="BD164" i="11"/>
  <c r="BE164" i="11"/>
  <c r="BF164" i="11"/>
  <c r="BG164" i="11"/>
  <c r="BD165" i="11"/>
  <c r="BE165" i="11"/>
  <c r="BF165" i="11"/>
  <c r="BG165" i="11"/>
  <c r="BE155" i="11"/>
  <c r="BF155" i="11"/>
  <c r="BG155" i="11"/>
  <c r="BD155" i="11"/>
  <c r="BD144" i="11"/>
  <c r="BE144" i="11"/>
  <c r="BF144" i="11"/>
  <c r="BG144" i="11"/>
  <c r="BD145" i="11"/>
  <c r="BE145" i="11"/>
  <c r="BF145" i="11"/>
  <c r="BG145" i="11"/>
  <c r="BD146" i="11"/>
  <c r="BE146" i="11"/>
  <c r="BF146" i="11"/>
  <c r="BG146" i="11"/>
  <c r="BD147" i="11"/>
  <c r="BE147" i="11"/>
  <c r="BF147" i="11"/>
  <c r="BG147" i="11"/>
  <c r="BD148" i="11"/>
  <c r="BE148" i="11"/>
  <c r="BF148" i="11"/>
  <c r="BG148" i="11"/>
  <c r="BD149" i="11"/>
  <c r="BE149" i="11"/>
  <c r="BF149" i="11"/>
  <c r="BG149" i="11"/>
  <c r="BD150" i="11"/>
  <c r="BE150" i="11"/>
  <c r="BF150" i="11"/>
  <c r="BG150" i="11"/>
  <c r="BD151" i="11"/>
  <c r="BE151" i="11"/>
  <c r="BF151" i="11"/>
  <c r="BG151" i="11"/>
  <c r="BD152" i="11"/>
  <c r="BE152" i="11"/>
  <c r="BF152" i="11"/>
  <c r="BG152" i="11"/>
  <c r="BD153" i="11"/>
  <c r="BE153" i="11"/>
  <c r="BF153" i="11"/>
  <c r="BG153" i="11"/>
  <c r="BE143" i="11"/>
  <c r="BF143" i="11"/>
  <c r="BG143" i="11"/>
  <c r="BD143" i="11"/>
  <c r="BD132" i="11"/>
  <c r="BE132" i="11"/>
  <c r="BF132" i="11"/>
  <c r="BG132" i="11"/>
  <c r="BD133" i="11"/>
  <c r="BE133" i="11"/>
  <c r="BF133" i="11"/>
  <c r="BG133" i="11"/>
  <c r="BD134" i="11"/>
  <c r="BE134" i="11"/>
  <c r="BF134" i="11"/>
  <c r="BG134" i="11"/>
  <c r="BD135" i="11"/>
  <c r="BE135" i="11"/>
  <c r="BF135" i="11"/>
  <c r="BG135" i="11"/>
  <c r="BD136" i="11"/>
  <c r="BE136" i="11"/>
  <c r="BF136" i="11"/>
  <c r="BG136" i="11"/>
  <c r="BD137" i="11"/>
  <c r="BE137" i="11"/>
  <c r="BF137" i="11"/>
  <c r="BG137" i="11"/>
  <c r="BD138" i="11"/>
  <c r="BE138" i="11"/>
  <c r="BF138" i="11"/>
  <c r="BG138" i="11"/>
  <c r="BD139" i="11"/>
  <c r="BE139" i="11"/>
  <c r="BF139" i="11"/>
  <c r="BG139" i="11"/>
  <c r="BD140" i="11"/>
  <c r="BE140" i="11"/>
  <c r="BF140" i="11"/>
  <c r="BG140" i="11"/>
  <c r="BD141" i="11"/>
  <c r="BE141" i="11"/>
  <c r="BF141" i="11"/>
  <c r="BG141" i="11"/>
  <c r="BE131" i="11"/>
  <c r="BF131" i="11"/>
  <c r="BG131" i="11"/>
  <c r="BD131" i="11"/>
  <c r="BD120" i="11"/>
  <c r="BE120" i="11"/>
  <c r="BF120" i="11"/>
  <c r="BG120" i="11"/>
  <c r="BD121" i="11"/>
  <c r="BE121" i="11"/>
  <c r="BF121" i="11"/>
  <c r="BG121" i="11"/>
  <c r="BD122" i="11"/>
  <c r="BE122" i="11"/>
  <c r="BF122" i="11"/>
  <c r="BG122" i="11"/>
  <c r="BD123" i="11"/>
  <c r="BE123" i="11"/>
  <c r="BF123" i="11"/>
  <c r="BG123" i="11"/>
  <c r="BD124" i="11"/>
  <c r="BE124" i="11"/>
  <c r="BF124" i="11"/>
  <c r="BG124" i="11"/>
  <c r="BD125" i="11"/>
  <c r="BE125" i="11"/>
  <c r="BF125" i="11"/>
  <c r="BG125" i="11"/>
  <c r="BD126" i="11"/>
  <c r="BE126" i="11"/>
  <c r="BF126" i="11"/>
  <c r="BG126" i="11"/>
  <c r="BD127" i="11"/>
  <c r="BE127" i="11"/>
  <c r="BF127" i="11"/>
  <c r="BG127" i="11"/>
  <c r="BD128" i="11"/>
  <c r="BE128" i="11"/>
  <c r="BF128" i="11"/>
  <c r="BG128" i="11"/>
  <c r="BD129" i="11"/>
  <c r="BE129" i="11"/>
  <c r="BF129" i="11"/>
  <c r="BG129" i="11"/>
  <c r="BE119" i="11"/>
  <c r="BF119" i="11"/>
  <c r="BG119" i="11"/>
  <c r="BD119" i="11"/>
  <c r="BD108" i="11"/>
  <c r="BE108" i="11"/>
  <c r="BF108" i="11"/>
  <c r="BG108" i="11"/>
  <c r="BD109" i="11"/>
  <c r="BE109" i="11"/>
  <c r="BF109" i="11"/>
  <c r="BG109" i="11"/>
  <c r="BD110" i="11"/>
  <c r="BE110" i="11"/>
  <c r="BF110" i="11"/>
  <c r="BG110" i="11"/>
  <c r="BD111" i="11"/>
  <c r="BE111" i="11"/>
  <c r="BF111" i="11"/>
  <c r="BG111" i="11"/>
  <c r="BD112" i="11"/>
  <c r="BE112" i="11"/>
  <c r="BF112" i="11"/>
  <c r="BG112" i="11"/>
  <c r="BD113" i="11"/>
  <c r="BE113" i="11"/>
  <c r="BF113" i="11"/>
  <c r="BG113" i="11"/>
  <c r="BD114" i="11"/>
  <c r="BE114" i="11"/>
  <c r="BF114" i="11"/>
  <c r="BG114" i="11"/>
  <c r="BD115" i="11"/>
  <c r="BE115" i="11"/>
  <c r="BF115" i="11"/>
  <c r="BG115" i="11"/>
  <c r="BD116" i="11"/>
  <c r="BE116" i="11"/>
  <c r="BF116" i="11"/>
  <c r="BG116" i="11"/>
  <c r="BD117" i="11"/>
  <c r="BE117" i="11"/>
  <c r="BF117" i="11"/>
  <c r="BG117" i="11"/>
  <c r="BE107" i="11"/>
  <c r="BF107" i="11"/>
  <c r="BG107" i="11"/>
  <c r="BD107" i="11"/>
  <c r="BE95" i="11"/>
  <c r="BF95" i="11"/>
  <c r="BG95" i="11"/>
  <c r="BE96" i="11"/>
  <c r="BF96" i="11"/>
  <c r="BG96" i="11"/>
  <c r="BE97" i="11"/>
  <c r="BF97" i="11"/>
  <c r="BG97" i="11"/>
  <c r="BE98" i="11"/>
  <c r="BF98" i="11"/>
  <c r="BG98" i="11"/>
  <c r="BE99" i="11"/>
  <c r="BF99" i="11"/>
  <c r="BG99" i="11"/>
  <c r="BE100" i="11"/>
  <c r="BF100" i="11"/>
  <c r="BG100" i="11"/>
  <c r="BE101" i="11"/>
  <c r="BF101" i="11"/>
  <c r="BG101" i="11"/>
  <c r="BE102" i="11"/>
  <c r="BF102" i="11"/>
  <c r="BG102" i="11"/>
  <c r="BE103" i="11"/>
  <c r="BF103" i="11"/>
  <c r="BG103" i="11"/>
  <c r="BE104" i="11"/>
  <c r="BF104" i="11"/>
  <c r="BG104" i="11"/>
  <c r="BE105" i="11"/>
  <c r="BF105" i="11"/>
  <c r="BG105" i="11"/>
  <c r="BD96" i="11"/>
  <c r="BD97" i="11"/>
  <c r="BD98" i="11"/>
  <c r="BD99" i="11"/>
  <c r="BD100" i="11"/>
  <c r="BD101" i="11"/>
  <c r="BD102" i="11"/>
  <c r="BD103" i="11"/>
  <c r="BD104" i="11"/>
  <c r="BD105" i="11"/>
  <c r="BD95" i="11"/>
  <c r="BD84" i="11"/>
  <c r="BE84" i="11"/>
  <c r="BF84" i="11"/>
  <c r="BG84" i="11"/>
  <c r="BD85" i="11"/>
  <c r="BE85" i="11"/>
  <c r="BF85" i="11"/>
  <c r="BG85" i="11"/>
  <c r="BD86" i="11"/>
  <c r="BE86" i="11"/>
  <c r="BF86" i="11"/>
  <c r="BG86" i="11"/>
  <c r="BD87" i="11"/>
  <c r="BE87" i="11"/>
  <c r="BF87" i="11"/>
  <c r="BG87" i="11"/>
  <c r="BD88" i="11"/>
  <c r="BE88" i="11"/>
  <c r="BF88" i="11"/>
  <c r="BG88" i="11"/>
  <c r="BD89" i="11"/>
  <c r="BE89" i="11"/>
  <c r="BF89" i="11"/>
  <c r="BG89" i="11"/>
  <c r="BD90" i="11"/>
  <c r="BE90" i="11"/>
  <c r="BF90" i="11"/>
  <c r="BG90" i="11"/>
  <c r="BD91" i="11"/>
  <c r="BE91" i="11"/>
  <c r="BF91" i="11"/>
  <c r="BG91" i="11"/>
  <c r="BD92" i="11"/>
  <c r="BE92" i="11"/>
  <c r="BF92" i="11"/>
  <c r="BG92" i="11"/>
  <c r="BD93" i="11"/>
  <c r="BE93" i="11"/>
  <c r="BF93" i="11"/>
  <c r="BG93" i="11"/>
  <c r="BE83" i="11"/>
  <c r="BF83" i="11"/>
  <c r="BG83" i="11"/>
  <c r="BD83" i="11"/>
  <c r="AG11" i="74" l="1"/>
  <c r="AG21" i="74"/>
  <c r="AG20" i="74"/>
  <c r="AG19" i="74"/>
  <c r="AG18" i="74"/>
  <c r="AG16" i="74"/>
  <c r="P80" i="74"/>
  <c r="R25" i="74" s="1"/>
  <c r="AH9" i="74"/>
  <c r="AH16" i="74" s="1"/>
  <c r="AG17" i="74"/>
  <c r="AG14" i="74"/>
  <c r="AG15" i="74"/>
  <c r="AG12" i="74"/>
  <c r="AG13" i="74"/>
  <c r="R80" i="74"/>
  <c r="P7" i="99"/>
  <c r="AH11" i="74" l="1"/>
  <c r="AH23" i="74"/>
  <c r="AH20" i="74"/>
  <c r="AH22" i="74"/>
  <c r="AH21" i="74"/>
  <c r="AH12" i="74"/>
  <c r="AH15" i="74"/>
  <c r="AH14" i="74"/>
  <c r="AH19" i="74"/>
  <c r="AH17" i="74"/>
  <c r="AH18" i="74"/>
  <c r="AH13" i="74"/>
  <c r="P81" i="74"/>
  <c r="R26" i="74" s="1"/>
  <c r="AI9" i="74"/>
  <c r="AI24" i="74" s="1"/>
  <c r="A150" i="124"/>
  <c r="P2" i="19"/>
  <c r="T11" i="17" l="1"/>
  <c r="S23" i="17"/>
  <c r="X11" i="17"/>
  <c r="X10" i="17"/>
  <c r="S11" i="17"/>
  <c r="S13" i="17" s="1"/>
  <c r="S14" i="19"/>
  <c r="U14" i="19" s="1"/>
  <c r="AI16" i="74"/>
  <c r="AI15" i="74"/>
  <c r="AI12" i="74"/>
  <c r="AI13" i="74"/>
  <c r="AI14" i="74"/>
  <c r="AI23" i="74"/>
  <c r="AI20" i="74"/>
  <c r="AI21" i="74"/>
  <c r="AI11" i="74"/>
  <c r="AI22" i="74"/>
  <c r="AJ9" i="74"/>
  <c r="P82" i="74"/>
  <c r="R27" i="74" s="1"/>
  <c r="AI19" i="74"/>
  <c r="AI18" i="74"/>
  <c r="AI17" i="74"/>
  <c r="T23" i="17" l="1"/>
  <c r="R24" i="17" s="1"/>
  <c r="T13" i="17"/>
  <c r="T18" i="17"/>
  <c r="T12" i="17"/>
  <c r="S12" i="17"/>
  <c r="S18" i="17"/>
  <c r="F6" i="157"/>
  <c r="AK9" i="74"/>
  <c r="P83" i="74"/>
  <c r="P84" i="74" s="1"/>
  <c r="P85" i="74" s="1"/>
  <c r="P86" i="74" s="1"/>
  <c r="AJ12" i="74"/>
  <c r="AJ15" i="74"/>
  <c r="AJ16" i="74"/>
  <c r="AJ14" i="74"/>
  <c r="AJ13" i="74"/>
  <c r="AJ11" i="74"/>
  <c r="AJ17" i="74"/>
  <c r="AJ18" i="74"/>
  <c r="AJ19" i="74"/>
  <c r="AJ20" i="74"/>
  <c r="AJ21" i="74"/>
  <c r="AJ22" i="74"/>
  <c r="AJ23" i="74"/>
  <c r="AJ24" i="74"/>
  <c r="AJ25" i="74"/>
  <c r="I23" i="19"/>
  <c r="T14" i="17" l="1"/>
  <c r="T15" i="17" s="1"/>
  <c r="T16" i="17" s="1"/>
  <c r="S14" i="17"/>
  <c r="S15" i="17" s="1"/>
  <c r="S16" i="17" s="1"/>
  <c r="B9" i="157"/>
  <c r="B15" i="157"/>
  <c r="C15" i="157" s="1"/>
  <c r="D15" i="157" s="1"/>
  <c r="F9" i="157"/>
  <c r="C14" i="157"/>
  <c r="D14" i="157" s="1"/>
  <c r="R28" i="74"/>
  <c r="AK15" i="74"/>
  <c r="AK14" i="74"/>
  <c r="AK13" i="74"/>
  <c r="AK16" i="74"/>
  <c r="AK12" i="74"/>
  <c r="AK11" i="74"/>
  <c r="AK17" i="74"/>
  <c r="AK18" i="74"/>
  <c r="AK19" i="74"/>
  <c r="AK20" i="74"/>
  <c r="AK21" i="74"/>
  <c r="AK22" i="74"/>
  <c r="AK23" i="74"/>
  <c r="AK24" i="74"/>
  <c r="AK25" i="74"/>
  <c r="AK26" i="74"/>
  <c r="B3" i="29"/>
  <c r="B16" i="157" l="1"/>
  <c r="C16" i="157" s="1"/>
  <c r="D16" i="157" s="1"/>
  <c r="E16" i="157" s="1"/>
  <c r="T19" i="17"/>
  <c r="S19" i="17"/>
  <c r="B17" i="157"/>
  <c r="C17" i="157" s="1"/>
  <c r="D17" i="157" s="1"/>
  <c r="E17" i="157" s="1"/>
  <c r="E14" i="157"/>
  <c r="E13" i="157"/>
  <c r="F10" i="157"/>
  <c r="B11" i="157" s="1"/>
  <c r="B10" i="157"/>
  <c r="F11" i="157"/>
  <c r="E15" i="157"/>
  <c r="B12" i="22"/>
  <c r="B18" i="157" l="1"/>
  <c r="B12" i="157"/>
  <c r="F12" i="157"/>
  <c r="A149" i="124"/>
  <c r="C18" i="157" l="1"/>
  <c r="D18" i="157" s="1"/>
  <c r="E18" i="157" s="1"/>
  <c r="F18" i="157" s="1"/>
  <c r="G18" i="157" s="1"/>
  <c r="B19" i="157"/>
  <c r="G25" i="157"/>
  <c r="B25" i="157"/>
  <c r="F16" i="157"/>
  <c r="G16" i="157" s="1"/>
  <c r="F14" i="157"/>
  <c r="G14" i="157"/>
  <c r="F15" i="157"/>
  <c r="G15" i="157" s="1"/>
  <c r="F17" i="157"/>
  <c r="G17" i="157" s="1"/>
  <c r="I27" i="117"/>
  <c r="C19" i="157" l="1"/>
  <c r="D19" i="157" s="1"/>
  <c r="E19" i="157" s="1"/>
  <c r="F19" i="157" s="1"/>
  <c r="G19" i="157" s="1"/>
  <c r="B20" i="157"/>
  <c r="J5" i="99"/>
  <c r="H7" i="99"/>
  <c r="H9" i="99"/>
  <c r="J11" i="99"/>
  <c r="B21" i="157" l="1"/>
  <c r="C20" i="157"/>
  <c r="D20" i="157" s="1"/>
  <c r="E20" i="157" s="1"/>
  <c r="F20" i="157" s="1"/>
  <c r="G20" i="157" s="1"/>
  <c r="A147" i="124"/>
  <c r="C21" i="157" l="1"/>
  <c r="D21" i="157" s="1"/>
  <c r="E21" i="157" s="1"/>
  <c r="F21" i="157" s="1"/>
  <c r="G21" i="157" s="1"/>
  <c r="B22" i="157"/>
  <c r="A146" i="124"/>
  <c r="A148" i="124"/>
  <c r="C22" i="157" l="1"/>
  <c r="D22" i="157" s="1"/>
  <c r="E22" i="157" s="1"/>
  <c r="F22" i="157" s="1"/>
  <c r="G22" i="157" s="1"/>
  <c r="B23" i="157"/>
  <c r="C23" i="157" s="1"/>
  <c r="D23" i="157" s="1"/>
  <c r="E23" i="157" s="1"/>
  <c r="F23" i="157" s="1"/>
  <c r="G23" i="157" s="1"/>
  <c r="W3" i="99"/>
  <c r="V3" i="99"/>
  <c r="G24" i="157" l="1"/>
  <c r="B26" i="157"/>
  <c r="G27" i="157"/>
  <c r="B27" i="157"/>
  <c r="I14" i="19"/>
  <c r="G28" i="157" l="1"/>
  <c r="B28" i="157"/>
  <c r="A145" i="124"/>
  <c r="A15" i="124" l="1"/>
  <c r="A12" i="124"/>
  <c r="A22" i="124"/>
  <c r="A23" i="124"/>
  <c r="A24" i="124"/>
  <c r="A26" i="124"/>
  <c r="A25" i="124"/>
  <c r="A29" i="124"/>
  <c r="A30" i="124"/>
  <c r="A31" i="124"/>
  <c r="A33" i="124"/>
  <c r="A34" i="124"/>
  <c r="A35" i="124"/>
  <c r="A38" i="124"/>
  <c r="A41" i="124"/>
  <c r="A42" i="124"/>
  <c r="A39" i="124"/>
  <c r="A40" i="124"/>
  <c r="A43" i="124"/>
  <c r="A44" i="124"/>
  <c r="A46" i="124"/>
  <c r="A47" i="124"/>
  <c r="A49" i="124"/>
  <c r="A52" i="124"/>
  <c r="A53" i="124"/>
  <c r="A54" i="124"/>
  <c r="A55" i="124"/>
  <c r="A56" i="124"/>
  <c r="A57" i="124"/>
  <c r="A58" i="124"/>
  <c r="A59" i="124"/>
  <c r="A60" i="124"/>
  <c r="A63" i="124"/>
  <c r="A65" i="124"/>
  <c r="A64" i="124"/>
  <c r="A70" i="124"/>
  <c r="A68" i="124"/>
  <c r="A69" i="124"/>
  <c r="A71" i="124"/>
  <c r="A73" i="124"/>
  <c r="A74" i="124"/>
  <c r="A77" i="124"/>
  <c r="A79" i="124"/>
  <c r="A80" i="124"/>
  <c r="A81" i="124"/>
  <c r="A83" i="124"/>
  <c r="A85" i="124"/>
  <c r="A86" i="124"/>
  <c r="A87" i="124"/>
  <c r="A89" i="124"/>
  <c r="A90" i="124"/>
  <c r="A91" i="124"/>
  <c r="A93" i="124"/>
  <c r="A94" i="124"/>
  <c r="A96" i="124"/>
  <c r="A97" i="124"/>
  <c r="A99" i="124"/>
  <c r="A100" i="124"/>
  <c r="A101" i="124"/>
  <c r="A102" i="124"/>
  <c r="A104" i="124"/>
  <c r="A105" i="124"/>
  <c r="A106" i="124"/>
  <c r="A108" i="124"/>
  <c r="A109" i="124"/>
  <c r="A113" i="124"/>
  <c r="A115" i="124"/>
  <c r="A118" i="124"/>
  <c r="A119" i="124"/>
  <c r="A124" i="124"/>
  <c r="A125" i="124"/>
  <c r="A126" i="124"/>
  <c r="A129" i="124"/>
  <c r="A131" i="124"/>
  <c r="A132" i="124"/>
  <c r="A135" i="124"/>
  <c r="A133" i="124"/>
  <c r="A136" i="124"/>
  <c r="A137" i="124"/>
  <c r="A138" i="124"/>
  <c r="A141" i="124"/>
  <c r="A143" i="124"/>
  <c r="A144" i="124"/>
  <c r="A9" i="124"/>
  <c r="S6" i="124" s="1"/>
  <c r="A11" i="124"/>
  <c r="A16" i="124"/>
  <c r="A13" i="124"/>
  <c r="S12" i="124" l="1"/>
  <c r="S7" i="124"/>
  <c r="S9" i="124"/>
  <c r="S10" i="124"/>
  <c r="S11" i="124"/>
  <c r="S15" i="124"/>
  <c r="S16" i="124"/>
  <c r="S17" i="124"/>
  <c r="S19" i="124"/>
  <c r="S18" i="124"/>
  <c r="S13" i="124"/>
  <c r="C3" i="124"/>
  <c r="P9" i="99"/>
  <c r="L34" i="115" l="1"/>
  <c r="I35" i="115"/>
  <c r="K34" i="115" l="1"/>
  <c r="I34" i="115"/>
  <c r="T15" i="96" l="1"/>
  <c r="U40" i="96" l="1"/>
  <c r="U38" i="96"/>
  <c r="U39" i="96" s="1"/>
  <c r="T38" i="96"/>
  <c r="U41" i="96" s="1"/>
  <c r="U42" i="96" l="1"/>
  <c r="T42" i="96" s="1"/>
  <c r="T39" i="96"/>
  <c r="E17" i="98" l="1"/>
  <c r="CA16" i="96" l="1"/>
  <c r="P6" i="96"/>
  <c r="O14" i="96"/>
  <c r="P14" i="96"/>
  <c r="O15" i="96"/>
  <c r="P15" i="96"/>
  <c r="O16" i="96"/>
  <c r="P16" i="96"/>
  <c r="O17" i="96"/>
  <c r="P17" i="96"/>
  <c r="O18" i="96"/>
  <c r="P18" i="96"/>
  <c r="O19" i="96"/>
  <c r="P19" i="96"/>
  <c r="O20" i="96"/>
  <c r="P20" i="96"/>
  <c r="O21" i="96"/>
  <c r="P21" i="96"/>
  <c r="O22" i="96"/>
  <c r="P22" i="96"/>
  <c r="O23" i="96"/>
  <c r="P23" i="96"/>
  <c r="O24" i="96"/>
  <c r="P24" i="96"/>
  <c r="O25" i="96"/>
  <c r="P25" i="96"/>
  <c r="O26" i="96"/>
  <c r="P26" i="96"/>
  <c r="O27" i="96"/>
  <c r="P27" i="96"/>
  <c r="O28" i="96"/>
  <c r="P28" i="96"/>
  <c r="O29" i="96"/>
  <c r="P29" i="96"/>
  <c r="O30" i="96"/>
  <c r="P30" i="96"/>
  <c r="O31" i="96"/>
  <c r="P31" i="96"/>
  <c r="O32" i="96"/>
  <c r="P32" i="96"/>
  <c r="O33" i="96"/>
  <c r="P33" i="96"/>
  <c r="O34" i="96"/>
  <c r="P34" i="96"/>
  <c r="O35" i="96"/>
  <c r="P35" i="96"/>
  <c r="O36" i="96"/>
  <c r="P36" i="96"/>
  <c r="O37" i="96"/>
  <c r="P37" i="96"/>
  <c r="O38" i="96"/>
  <c r="P38" i="96"/>
  <c r="O39" i="96"/>
  <c r="P39" i="96"/>
  <c r="O40" i="96"/>
  <c r="P40" i="96"/>
  <c r="O41" i="96"/>
  <c r="P41" i="96"/>
  <c r="O42" i="96"/>
  <c r="P42" i="96"/>
  <c r="O43" i="96"/>
  <c r="P43" i="96"/>
  <c r="O44" i="96"/>
  <c r="P44" i="96"/>
  <c r="O45" i="96"/>
  <c r="P45" i="96"/>
  <c r="O46" i="96"/>
  <c r="P46" i="96"/>
  <c r="O47" i="96"/>
  <c r="P47" i="96"/>
  <c r="O48" i="96"/>
  <c r="P48" i="96"/>
  <c r="O49" i="96"/>
  <c r="P49" i="96"/>
  <c r="O50" i="96"/>
  <c r="P50" i="96"/>
  <c r="O51" i="96"/>
  <c r="P51" i="96"/>
  <c r="O52" i="96"/>
  <c r="P52" i="96"/>
  <c r="O53" i="96"/>
  <c r="P53" i="96"/>
  <c r="O54" i="96"/>
  <c r="P54" i="96"/>
  <c r="O55" i="96"/>
  <c r="P55" i="96"/>
  <c r="O56" i="96"/>
  <c r="P56" i="96"/>
  <c r="O57" i="96"/>
  <c r="P57" i="96"/>
  <c r="O58" i="96"/>
  <c r="P58" i="96"/>
  <c r="O59" i="96"/>
  <c r="P59" i="96"/>
  <c r="O60" i="96"/>
  <c r="P60" i="96"/>
  <c r="O61" i="96"/>
  <c r="P61" i="96"/>
  <c r="O62" i="96"/>
  <c r="P62" i="96"/>
  <c r="O63" i="96"/>
  <c r="P63" i="96"/>
  <c r="O64" i="96"/>
  <c r="P64" i="96"/>
  <c r="O65" i="96"/>
  <c r="P65" i="96"/>
  <c r="O66" i="96"/>
  <c r="P66" i="96"/>
  <c r="O67" i="96"/>
  <c r="P67" i="96"/>
  <c r="O68" i="96"/>
  <c r="P68" i="96"/>
  <c r="O69" i="96"/>
  <c r="P69" i="96"/>
  <c r="O70" i="96"/>
  <c r="P70" i="96"/>
  <c r="O71" i="96"/>
  <c r="P71" i="96"/>
  <c r="O72" i="96"/>
  <c r="P72" i="96"/>
  <c r="O73" i="96"/>
  <c r="P73" i="96"/>
  <c r="O74" i="96"/>
  <c r="P74" i="96"/>
  <c r="O75" i="96"/>
  <c r="P75" i="96"/>
  <c r="O76" i="96"/>
  <c r="P76" i="96"/>
  <c r="O77" i="96"/>
  <c r="P77" i="96"/>
  <c r="O78" i="96"/>
  <c r="P78" i="96"/>
  <c r="O79" i="96"/>
  <c r="P79" i="96"/>
  <c r="O80" i="96"/>
  <c r="P80" i="96"/>
  <c r="CA17" i="96" s="1"/>
  <c r="O81" i="96"/>
  <c r="P81" i="96"/>
  <c r="O82" i="96"/>
  <c r="P82" i="96"/>
  <c r="O83" i="96"/>
  <c r="P83" i="96"/>
  <c r="O84" i="96"/>
  <c r="P84" i="96"/>
  <c r="O85" i="96"/>
  <c r="P85" i="96"/>
  <c r="O86" i="96"/>
  <c r="P86" i="96"/>
  <c r="O87" i="96"/>
  <c r="P87" i="96"/>
  <c r="O88" i="96"/>
  <c r="P88" i="96"/>
  <c r="O89" i="96"/>
  <c r="P89" i="96"/>
  <c r="O90" i="96"/>
  <c r="P90" i="96"/>
  <c r="O91" i="96"/>
  <c r="P91" i="96"/>
  <c r="O92" i="96"/>
  <c r="P92" i="96"/>
  <c r="O93" i="96"/>
  <c r="P93" i="96"/>
  <c r="O94" i="96"/>
  <c r="P94" i="96"/>
  <c r="O95" i="96"/>
  <c r="P95" i="96"/>
  <c r="O96" i="96"/>
  <c r="P96" i="96"/>
  <c r="O97" i="96"/>
  <c r="P97" i="96"/>
  <c r="O98" i="96"/>
  <c r="P98" i="96"/>
  <c r="O99" i="96"/>
  <c r="P99" i="96"/>
  <c r="O100" i="96"/>
  <c r="P100" i="96"/>
  <c r="O101" i="96"/>
  <c r="P101" i="96"/>
  <c r="O102" i="96"/>
  <c r="P102" i="96"/>
  <c r="O103" i="96"/>
  <c r="P103" i="96"/>
  <c r="O104" i="96"/>
  <c r="P104" i="96"/>
  <c r="O105" i="96"/>
  <c r="P105" i="96"/>
  <c r="O106" i="96"/>
  <c r="P106" i="96"/>
  <c r="O107" i="96"/>
  <c r="P107" i="96"/>
  <c r="O108" i="96"/>
  <c r="P108" i="96"/>
  <c r="O109" i="96"/>
  <c r="P109" i="96"/>
  <c r="O110" i="96"/>
  <c r="P110" i="96"/>
  <c r="O111" i="96"/>
  <c r="P111" i="96"/>
  <c r="O112" i="96"/>
  <c r="P112" i="96"/>
  <c r="O113" i="96"/>
  <c r="P113" i="96"/>
  <c r="P13" i="96"/>
  <c r="O13" i="96"/>
  <c r="CA15" i="96" l="1"/>
  <c r="CV52" i="96" s="1"/>
  <c r="CF43" i="96" l="1"/>
  <c r="CS13" i="96"/>
  <c r="CL32" i="96"/>
  <c r="CI22" i="96"/>
  <c r="CV14" i="96"/>
  <c r="CR16" i="96"/>
  <c r="CW39" i="96"/>
  <c r="CJ17" i="96"/>
  <c r="CM44" i="96"/>
  <c r="CJ44" i="96"/>
  <c r="CD17" i="96"/>
  <c r="CO22" i="96"/>
  <c r="CL36" i="96"/>
  <c r="CP41" i="96"/>
  <c r="CO47" i="96"/>
  <c r="CW43" i="96"/>
  <c r="CN45" i="96"/>
  <c r="CF53" i="96"/>
  <c r="CE25" i="96"/>
  <c r="CT27" i="96"/>
  <c r="CO23" i="96"/>
  <c r="CH37" i="96"/>
  <c r="CM28" i="96"/>
  <c r="CU18" i="96"/>
  <c r="CW15" i="96"/>
  <c r="CW14" i="96"/>
  <c r="CQ38" i="96"/>
  <c r="CH16" i="96"/>
  <c r="CN19" i="96"/>
  <c r="CE44" i="96"/>
  <c r="CR20" i="96"/>
  <c r="CM41" i="96"/>
  <c r="CM30" i="96"/>
  <c r="CF29" i="96"/>
  <c r="CF44" i="96"/>
  <c r="CU33" i="96"/>
  <c r="CV28" i="96"/>
  <c r="CR14" i="96"/>
  <c r="CE27" i="96"/>
  <c r="CK13" i="96"/>
  <c r="CT17" i="96"/>
  <c r="CS43" i="96"/>
  <c r="CG34" i="96"/>
  <c r="CT44" i="96"/>
  <c r="CP29" i="96"/>
  <c r="CW48" i="96"/>
  <c r="CQ29" i="96"/>
  <c r="CH47" i="96"/>
  <c r="CS46" i="96"/>
  <c r="CN48" i="96"/>
  <c r="CT48" i="96"/>
  <c r="CV38" i="96"/>
  <c r="CQ16" i="96"/>
  <c r="CM23" i="96"/>
  <c r="CH36" i="96"/>
  <c r="CJ37" i="96"/>
  <c r="CR30" i="96"/>
  <c r="CV35" i="96"/>
  <c r="CU30" i="96"/>
  <c r="CL18" i="96"/>
  <c r="CF28" i="96"/>
  <c r="CV20" i="96"/>
  <c r="CK28" i="96"/>
  <c r="CW44" i="96"/>
  <c r="CQ21" i="96"/>
  <c r="CG14" i="96"/>
  <c r="CO30" i="96"/>
  <c r="CO13" i="96"/>
  <c r="CK24" i="96"/>
  <c r="CV29" i="96"/>
  <c r="CL31" i="96"/>
  <c r="CV30" i="96"/>
  <c r="CV31" i="96"/>
  <c r="CE50" i="96"/>
  <c r="CW26" i="96"/>
  <c r="CH19" i="96"/>
  <c r="CQ46" i="96"/>
  <c r="CT39" i="96"/>
  <c r="CD31" i="96"/>
  <c r="CQ24" i="96"/>
  <c r="CJ42" i="96"/>
  <c r="CK36" i="96"/>
  <c r="CI26" i="96"/>
  <c r="CF47" i="96"/>
  <c r="CW28" i="96"/>
  <c r="CT13" i="96"/>
  <c r="CR41" i="96"/>
  <c r="CJ19" i="96"/>
  <c r="CI43" i="96"/>
  <c r="CE20" i="96"/>
  <c r="CF30" i="96"/>
  <c r="CQ43" i="96"/>
  <c r="CE18" i="96"/>
  <c r="CM35" i="96"/>
  <c r="CF15" i="96"/>
  <c r="CK34" i="96"/>
  <c r="CT42" i="96"/>
  <c r="CN13" i="96"/>
  <c r="CT52" i="96"/>
  <c r="CE49" i="96"/>
  <c r="CM29" i="96"/>
  <c r="CP20" i="96"/>
  <c r="CR48" i="96"/>
  <c r="CG42" i="96"/>
  <c r="CJ32" i="96"/>
  <c r="CL14" i="96"/>
  <c r="CN43" i="96"/>
  <c r="CO37" i="96"/>
  <c r="CS28" i="96"/>
  <c r="CD29" i="96"/>
  <c r="CK27" i="96"/>
  <c r="CO46" i="96"/>
  <c r="CV40" i="96"/>
  <c r="CN18" i="96"/>
  <c r="CM42" i="96"/>
  <c r="CM18" i="96"/>
  <c r="CR27" i="96"/>
  <c r="CI41" i="96"/>
  <c r="CQ15" i="96"/>
  <c r="CG39" i="96"/>
  <c r="CD24" i="96"/>
  <c r="CI38" i="96"/>
  <c r="CP43" i="96"/>
  <c r="CH13" i="96"/>
  <c r="CH50" i="96"/>
  <c r="CF49" i="96"/>
  <c r="CG33" i="96"/>
  <c r="CD52" i="96"/>
  <c r="CV21" i="96"/>
  <c r="CT34" i="96"/>
  <c r="CG30" i="96"/>
  <c r="CO42" i="96"/>
  <c r="CU40" i="96"/>
  <c r="CU14" i="96"/>
  <c r="CN39" i="96"/>
  <c r="CH52" i="96"/>
  <c r="CS16" i="96"/>
  <c r="CV46" i="96"/>
  <c r="CW40" i="96"/>
  <c r="CL22" i="96"/>
  <c r="CK53" i="96"/>
  <c r="CQ34" i="96"/>
  <c r="CP25" i="96"/>
  <c r="CG18" i="96"/>
  <c r="CR46" i="96"/>
  <c r="CU39" i="96"/>
  <c r="CP19" i="96"/>
  <c r="CF13" i="96"/>
  <c r="CK42" i="96"/>
  <c r="CW33" i="96"/>
  <c r="CL27" i="96"/>
  <c r="CS21" i="96"/>
  <c r="CK39" i="96"/>
  <c r="CJ35" i="96"/>
  <c r="CT37" i="96"/>
  <c r="CQ37" i="96"/>
  <c r="CI15" i="96"/>
  <c r="CR23" i="96"/>
  <c r="CM36" i="96"/>
  <c r="CT23" i="96"/>
  <c r="CE45" i="96"/>
  <c r="CL30" i="96"/>
  <c r="CO48" i="96"/>
  <c r="CD39" i="96"/>
  <c r="CM13" i="96"/>
  <c r="CL50" i="96"/>
  <c r="CG49" i="96"/>
  <c r="CW31" i="96"/>
  <c r="CH43" i="96"/>
  <c r="CQ44" i="96"/>
  <c r="CD37" i="96"/>
  <c r="CN38" i="96"/>
  <c r="CF26" i="96"/>
  <c r="CK40" i="96"/>
  <c r="CV49" i="96"/>
  <c r="CL24" i="96"/>
  <c r="CL44" i="96"/>
  <c r="CL37" i="96"/>
  <c r="CH41" i="96"/>
  <c r="CM31" i="96"/>
  <c r="CK23" i="96"/>
  <c r="CV36" i="96"/>
  <c r="CE40" i="96"/>
  <c r="CU16" i="96"/>
  <c r="CE38" i="96"/>
  <c r="CH29" i="96"/>
  <c r="CK25" i="96"/>
  <c r="CD53" i="96"/>
  <c r="CD27" i="96"/>
  <c r="CS47" i="96"/>
  <c r="CE41" i="96"/>
  <c r="CH22" i="96"/>
  <c r="CU15" i="96"/>
  <c r="CO43" i="96"/>
  <c r="CO36" i="96"/>
  <c r="CT25" i="96"/>
  <c r="CG20" i="96"/>
  <c r="CG36" i="96"/>
  <c r="CN34" i="96"/>
  <c r="CP34" i="96"/>
  <c r="CU36" i="96"/>
  <c r="CM14" i="96"/>
  <c r="CV22" i="96"/>
  <c r="CU34" i="96"/>
  <c r="CT28" i="96"/>
  <c r="CN17" i="96"/>
  <c r="CJ34" i="96"/>
  <c r="CH15" i="96"/>
  <c r="CO17" i="96"/>
  <c r="CG45" i="96"/>
  <c r="CM51" i="96"/>
  <c r="CD51" i="96"/>
  <c r="CQ51" i="96"/>
  <c r="CI14" i="96"/>
  <c r="CF17" i="96"/>
  <c r="CW38" i="96"/>
  <c r="CG24" i="96"/>
  <c r="CF16" i="96"/>
  <c r="CQ17" i="96"/>
  <c r="CM40" i="96"/>
  <c r="CL25" i="96"/>
  <c r="CE31" i="96"/>
  <c r="CT24" i="96"/>
  <c r="CK33" i="96"/>
  <c r="CJ18" i="96"/>
  <c r="CT33" i="96"/>
  <c r="CJ15" i="96"/>
  <c r="CN24" i="96"/>
  <c r="CU43" i="96"/>
  <c r="CN47" i="96"/>
  <c r="CS44" i="96"/>
  <c r="CG37" i="96"/>
  <c r="CM19" i="96"/>
  <c r="CK38" i="96"/>
  <c r="CN29" i="96"/>
  <c r="CW21" i="96"/>
  <c r="CS48" i="96"/>
  <c r="CH42" i="96"/>
  <c r="CN23" i="96"/>
  <c r="CG17" i="96"/>
  <c r="CV45" i="96"/>
  <c r="CE39" i="96"/>
  <c r="CL23" i="96"/>
  <c r="CO18" i="96"/>
  <c r="CO34" i="96"/>
  <c r="CR33" i="96"/>
  <c r="CT29" i="96"/>
  <c r="CM34" i="96"/>
  <c r="CR43" i="96"/>
  <c r="CJ21" i="96"/>
  <c r="CE34" i="96"/>
  <c r="CH30" i="96"/>
  <c r="CT18" i="96"/>
  <c r="CP35" i="96"/>
  <c r="CP16" i="96"/>
  <c r="CT46" i="96"/>
  <c r="CV15" i="96"/>
  <c r="CU53" i="96"/>
  <c r="CT51" i="96"/>
  <c r="CP39" i="96"/>
  <c r="CD32" i="96"/>
  <c r="CG23" i="96"/>
  <c r="CJ14" i="96"/>
  <c r="CO44" i="96"/>
  <c r="CR24" i="96"/>
  <c r="CK18" i="96"/>
  <c r="CW46" i="96"/>
  <c r="CI40" i="96"/>
  <c r="CP18" i="96"/>
  <c r="CG16" i="96"/>
  <c r="CS29" i="96"/>
  <c r="CF32" i="96"/>
  <c r="CP26" i="96"/>
  <c r="CU32" i="96"/>
  <c r="CV42" i="96"/>
  <c r="CN20" i="96"/>
  <c r="CI33" i="96"/>
  <c r="CD34" i="96"/>
  <c r="CR22" i="96"/>
  <c r="CD44" i="96"/>
  <c r="CL20" i="96"/>
  <c r="CW18" i="96"/>
  <c r="CI46" i="96"/>
  <c r="CQ49" i="96"/>
  <c r="CH49" i="96"/>
  <c r="CW41" i="96"/>
  <c r="CR34" i="96"/>
  <c r="CO24" i="96"/>
  <c r="CT16" i="96"/>
  <c r="CP45" i="96"/>
  <c r="CH27" i="96"/>
  <c r="CE21" i="96"/>
  <c r="CW47" i="96"/>
  <c r="CL41" i="96"/>
  <c r="CP14" i="96"/>
  <c r="CO14" i="96"/>
  <c r="CG28" i="96"/>
  <c r="CJ31" i="96"/>
  <c r="CH24" i="96"/>
  <c r="CI31" i="96"/>
  <c r="CN40" i="96"/>
  <c r="CF18" i="96"/>
  <c r="CQ31" i="96"/>
  <c r="CP36" i="96"/>
  <c r="CV23" i="96"/>
  <c r="CH45" i="96"/>
  <c r="CP21" i="96"/>
  <c r="CW34" i="96"/>
  <c r="CG27" i="96"/>
  <c r="CJ52" i="96"/>
  <c r="CD50" i="96"/>
  <c r="CI34" i="96"/>
  <c r="CN50" i="96"/>
  <c r="CW17" i="96"/>
  <c r="CP46" i="96"/>
  <c r="CS39" i="96"/>
  <c r="CO29" i="96"/>
  <c r="CD22" i="96"/>
  <c r="CK14" i="96"/>
  <c r="CP33" i="96"/>
  <c r="CG26" i="96"/>
  <c r="CQ18" i="96"/>
  <c r="CD46" i="96"/>
  <c r="CS41" i="96"/>
  <c r="CH28" i="96"/>
  <c r="CF48" i="96"/>
  <c r="CR25" i="96"/>
  <c r="CW16" i="96"/>
  <c r="CE28" i="96"/>
  <c r="CN36" i="96"/>
  <c r="CJ13" i="96"/>
  <c r="CQ27" i="96"/>
  <c r="CS18" i="96"/>
  <c r="CD38" i="96"/>
  <c r="CU17" i="96"/>
  <c r="CT35" i="96"/>
  <c r="CD30" i="96"/>
  <c r="CK41" i="96"/>
  <c r="CO51" i="96"/>
  <c r="CR52" i="96"/>
  <c r="CG19" i="96"/>
  <c r="CQ48" i="96"/>
  <c r="CT40" i="96"/>
  <c r="CI32" i="96"/>
  <c r="CP24" i="96"/>
  <c r="CS15" i="96"/>
  <c r="CD35" i="96"/>
  <c r="CM27" i="96"/>
  <c r="CU19" i="96"/>
  <c r="CH48" i="96"/>
  <c r="CO38" i="96"/>
  <c r="CD25" i="96"/>
  <c r="CJ47" i="96"/>
  <c r="CF24" i="96"/>
  <c r="CR13" i="96"/>
  <c r="CI27" i="96"/>
  <c r="CR35" i="96"/>
  <c r="CQ47" i="96"/>
  <c r="CQ23" i="96"/>
  <c r="CW19" i="96"/>
  <c r="CH39" i="96"/>
  <c r="CE19" i="96"/>
  <c r="CF37" i="96"/>
  <c r="CS36" i="96"/>
  <c r="CT19" i="96"/>
  <c r="CW53" i="96"/>
  <c r="CN53" i="96"/>
  <c r="CU50" i="96"/>
  <c r="CU21" i="96"/>
  <c r="CH14" i="96"/>
  <c r="CD42" i="96"/>
  <c r="CS34" i="96"/>
  <c r="CV25" i="96"/>
  <c r="CI18" i="96"/>
  <c r="CN37" i="96"/>
  <c r="CQ28" i="96"/>
  <c r="CG21" i="96"/>
  <c r="CI13" i="96"/>
  <c r="CK35" i="96"/>
  <c r="CT21" i="96"/>
  <c r="CN46" i="96"/>
  <c r="CN22" i="96"/>
  <c r="CI47" i="96"/>
  <c r="CU24" i="96"/>
  <c r="CF34" i="96"/>
  <c r="CU46" i="96"/>
  <c r="CE22" i="96"/>
  <c r="CU23" i="96"/>
  <c r="CS42" i="96"/>
  <c r="CW27" i="96"/>
  <c r="CR40" i="96"/>
  <c r="CK30" i="96"/>
  <c r="CD13" i="96"/>
  <c r="CS49" i="96"/>
  <c r="CV50" i="96"/>
  <c r="CE23" i="96"/>
  <c r="CN15" i="96"/>
  <c r="CK44" i="96"/>
  <c r="CK37" i="96"/>
  <c r="CF27" i="96"/>
  <c r="CS20" i="96"/>
  <c r="CT38" i="96"/>
  <c r="CG31" i="96"/>
  <c r="CS23" i="96"/>
  <c r="CJ26" i="96"/>
  <c r="CS33" i="96"/>
  <c r="CL19" i="96"/>
  <c r="CV44" i="96"/>
  <c r="CR21" i="96"/>
  <c r="CQ45" i="96"/>
  <c r="CE24" i="96"/>
  <c r="CJ33" i="96"/>
  <c r="CE46" i="96"/>
  <c r="CI21" i="96"/>
  <c r="CG25" i="96"/>
  <c r="CV43" i="96"/>
  <c r="CK29" i="96"/>
  <c r="CV41" i="96"/>
  <c r="CM37" i="96"/>
  <c r="CG51" i="96"/>
  <c r="CP50" i="96"/>
  <c r="CW51" i="96"/>
  <c r="CF52" i="96"/>
  <c r="CJ50" i="96"/>
  <c r="CK51" i="96"/>
  <c r="CU49" i="96"/>
  <c r="CT14" i="96"/>
  <c r="CN49" i="96"/>
  <c r="CV51" i="96"/>
  <c r="CS50" i="96"/>
  <c r="CI53" i="96"/>
  <c r="CR49" i="96"/>
  <c r="CP49" i="96"/>
  <c r="CH51" i="96"/>
  <c r="CO40" i="96"/>
  <c r="CS38" i="96"/>
  <c r="CL48" i="96"/>
  <c r="CF41" i="96"/>
  <c r="CS22" i="96"/>
  <c r="CL34" i="96"/>
  <c r="CD14" i="96"/>
  <c r="CU31" i="96"/>
  <c r="CM47" i="96"/>
  <c r="CV27" i="96"/>
  <c r="CO41" i="96"/>
  <c r="CL21" i="96"/>
  <c r="CW37" i="96"/>
  <c r="CM17" i="96"/>
  <c r="CP27" i="96"/>
  <c r="CQ19" i="96"/>
  <c r="CM32" i="96"/>
  <c r="CI45" i="96"/>
  <c r="CF22" i="96"/>
  <c r="CV34" i="96"/>
  <c r="CE16" i="96"/>
  <c r="CU28" i="96"/>
  <c r="CQ41" i="96"/>
  <c r="CH20" i="96"/>
  <c r="CF20" i="96"/>
  <c r="CV32" i="96"/>
  <c r="CR45" i="96"/>
  <c r="CS37" i="96"/>
  <c r="CD33" i="96"/>
  <c r="CG32" i="96"/>
  <c r="CP30" i="96"/>
  <c r="CP42" i="96"/>
  <c r="CK22" i="96"/>
  <c r="CD40" i="96"/>
  <c r="CS19" i="96"/>
  <c r="CJ36" i="96"/>
  <c r="CT15" i="96"/>
  <c r="CL43" i="96"/>
  <c r="CH23" i="96"/>
  <c r="CD41" i="96"/>
  <c r="CQ20" i="96"/>
  <c r="CL38" i="96"/>
  <c r="CD18" i="96"/>
  <c r="CU35" i="96"/>
  <c r="CM15" i="96"/>
  <c r="CR53" i="96"/>
  <c r="CF51" i="96"/>
  <c r="CW49" i="96"/>
  <c r="CM52" i="96"/>
  <c r="CV53" i="96"/>
  <c r="CT53" i="96"/>
  <c r="CS52" i="96"/>
  <c r="CV33" i="96"/>
  <c r="CS31" i="96"/>
  <c r="CM43" i="96"/>
  <c r="CN27" i="96"/>
  <c r="CK48" i="96"/>
  <c r="CH33" i="96"/>
  <c r="CP13" i="96"/>
  <c r="CQ30" i="96"/>
  <c r="CJ46" i="96"/>
  <c r="CR26" i="96"/>
  <c r="CL40" i="96"/>
  <c r="CD20" i="96"/>
  <c r="CQ36" i="96"/>
  <c r="CI16" i="96"/>
  <c r="CF25" i="96"/>
  <c r="CM20" i="96"/>
  <c r="CM49" i="96"/>
  <c r="CI49" i="96"/>
  <c r="CO52" i="96"/>
  <c r="CT49" i="96"/>
  <c r="CN51" i="96"/>
  <c r="CL51" i="96"/>
  <c r="CD48" i="96"/>
  <c r="CO33" i="96"/>
  <c r="CP44" i="96"/>
  <c r="CJ22" i="96"/>
  <c r="CH40" i="96"/>
  <c r="CU29" i="96"/>
  <c r="CL29" i="96"/>
  <c r="CK46" i="96"/>
  <c r="CS26" i="96"/>
  <c r="CW42" i="96"/>
  <c r="CT22" i="96"/>
  <c r="CR36" i="96"/>
  <c r="CJ16" i="96"/>
  <c r="CS32" i="96"/>
  <c r="CF46" i="96"/>
  <c r="CH21" i="96"/>
  <c r="CU22" i="96"/>
  <c r="CQ35" i="96"/>
  <c r="CM48" i="96"/>
  <c r="CJ25" i="96"/>
  <c r="CF38" i="96"/>
  <c r="CI19" i="96"/>
  <c r="CE32" i="96"/>
  <c r="CU44" i="96"/>
  <c r="CH32" i="96"/>
  <c r="CJ23" i="96"/>
  <c r="CF36" i="96"/>
  <c r="CV48" i="96"/>
  <c r="CG44" i="96"/>
  <c r="CS17" i="96"/>
  <c r="CG40" i="96"/>
  <c r="CI48" i="96"/>
  <c r="CU37" i="96"/>
  <c r="CK17" i="96"/>
  <c r="CE35" i="96"/>
  <c r="CQ14" i="96"/>
  <c r="CF31" i="96"/>
  <c r="CG22" i="96"/>
  <c r="CR38" i="96"/>
  <c r="CH18" i="96"/>
  <c r="CW35" i="96"/>
  <c r="CO15" i="96"/>
  <c r="CL33" i="96"/>
  <c r="CU13" i="96"/>
  <c r="CS30" i="96"/>
  <c r="CE52" i="96"/>
  <c r="CM53" i="96"/>
  <c r="CS51" i="96"/>
  <c r="CD49" i="96"/>
  <c r="CI51" i="96"/>
  <c r="CK50" i="96"/>
  <c r="CI36" i="96"/>
  <c r="CQ26" i="96"/>
  <c r="CG38" i="96"/>
  <c r="CL42" i="96"/>
  <c r="CH17" i="96"/>
  <c r="CM21" i="96"/>
  <c r="CD28" i="96"/>
  <c r="CK45" i="96"/>
  <c r="CM25" i="96"/>
  <c r="CT41" i="96"/>
  <c r="CN21" i="96"/>
  <c r="CN35" i="96"/>
  <c r="CD15" i="96"/>
  <c r="CO31" i="96"/>
  <c r="CT43" i="96"/>
  <c r="CV19" i="96"/>
  <c r="CW50" i="96"/>
  <c r="CQ52" i="96"/>
  <c r="CJ51" i="96"/>
  <c r="CH53" i="96"/>
  <c r="CR50" i="96"/>
  <c r="CO49" i="96"/>
  <c r="CF21" i="96"/>
  <c r="CV39" i="96"/>
  <c r="CH31" i="96"/>
  <c r="CG29" i="96"/>
  <c r="CW45" i="96"/>
  <c r="CL46" i="96"/>
  <c r="CT26" i="96"/>
  <c r="CH44" i="96"/>
  <c r="CI24" i="96"/>
  <c r="CP40" i="96"/>
  <c r="CJ20" i="96"/>
  <c r="CH34" i="96"/>
  <c r="CL13" i="96"/>
  <c r="CI30" i="96"/>
  <c r="CQ42" i="96"/>
  <c r="CR18" i="96"/>
  <c r="CM24" i="96"/>
  <c r="CI37" i="96"/>
  <c r="CF14" i="96"/>
  <c r="CV26" i="96"/>
  <c r="CR39" i="96"/>
  <c r="CU20" i="96"/>
  <c r="CQ33" i="96"/>
  <c r="CM46" i="96"/>
  <c r="CL35" i="96"/>
  <c r="CV24" i="96"/>
  <c r="CR37" i="96"/>
  <c r="CK15" i="96"/>
  <c r="CG48" i="96"/>
  <c r="CK19" i="96"/>
  <c r="CK43" i="96"/>
  <c r="CD45" i="96"/>
  <c r="CG35" i="96"/>
  <c r="CS14" i="96"/>
  <c r="CO32" i="96"/>
  <c r="CV47" i="96"/>
  <c r="CP28" i="96"/>
  <c r="CO19" i="96"/>
  <c r="CD36" i="96"/>
  <c r="CP15" i="96"/>
  <c r="CM33" i="96"/>
  <c r="CV13" i="96"/>
  <c r="CT30" i="96"/>
  <c r="CP47" i="96"/>
  <c r="CI28" i="96"/>
  <c r="CG50" i="96"/>
  <c r="CU51" i="96"/>
  <c r="CI50" i="96"/>
  <c r="CL52" i="96"/>
  <c r="CN52" i="96"/>
  <c r="CS53" i="96"/>
  <c r="CI42" i="96"/>
  <c r="CH26" i="96"/>
  <c r="CW23" i="96"/>
  <c r="CU47" i="96"/>
  <c r="CK16" i="96"/>
  <c r="CL45" i="96"/>
  <c r="CN25" i="96"/>
  <c r="CD43" i="96"/>
  <c r="CW22" i="96"/>
  <c r="CM39" i="96"/>
  <c r="CD19" i="96"/>
  <c r="CT32" i="96"/>
  <c r="CJ48" i="96"/>
  <c r="CE29" i="96"/>
  <c r="CJ40" i="96"/>
  <c r="CL17" i="96"/>
  <c r="CI25" i="96"/>
  <c r="CK49" i="96"/>
  <c r="CE51" i="96"/>
  <c r="CQ53" i="96"/>
  <c r="CP51" i="96"/>
  <c r="CQ50" i="96"/>
  <c r="CW52" i="96"/>
  <c r="CI20" i="96"/>
  <c r="CQ13" i="96"/>
  <c r="CE33" i="96"/>
  <c r="CO35" i="96"/>
  <c r="CT45" i="96"/>
  <c r="CI44" i="96"/>
  <c r="CJ24" i="96"/>
  <c r="CU41" i="96"/>
  <c r="CO21" i="96"/>
  <c r="CH38" i="96"/>
  <c r="CP17" i="96"/>
  <c r="CP31" i="96"/>
  <c r="CG47" i="96"/>
  <c r="CS27" i="96"/>
  <c r="CF39" i="96"/>
  <c r="CD16" i="96"/>
  <c r="CE26" i="96"/>
  <c r="CU38" i="96"/>
  <c r="CR15" i="96"/>
  <c r="CN28" i="96"/>
  <c r="CJ41" i="96"/>
  <c r="CM22" i="96"/>
  <c r="CI35" i="96"/>
  <c r="CE48" i="96"/>
  <c r="CP38" i="96"/>
  <c r="CN26" i="96"/>
  <c r="CJ39" i="96"/>
  <c r="CW24" i="96"/>
  <c r="CL15" i="96"/>
  <c r="CW20" i="96"/>
  <c r="CK47" i="96"/>
  <c r="CH35" i="96"/>
  <c r="CQ32" i="96"/>
  <c r="CG13" i="96"/>
  <c r="CW29" i="96"/>
  <c r="CU45" i="96"/>
  <c r="CD26" i="96"/>
  <c r="CE17" i="96"/>
  <c r="CN33" i="96"/>
  <c r="CW13" i="96"/>
  <c r="CW30" i="96"/>
  <c r="CR47" i="96"/>
  <c r="CJ28" i="96"/>
  <c r="CM45" i="96"/>
  <c r="CO25" i="96"/>
  <c r="CO53" i="96"/>
  <c r="CT50" i="96"/>
  <c r="CU52" i="96"/>
  <c r="CO50" i="96"/>
  <c r="CM50" i="96"/>
  <c r="CG52" i="96"/>
  <c r="CF35" i="96"/>
  <c r="CL39" i="96"/>
  <c r="CP32" i="96"/>
  <c r="CR28" i="96"/>
  <c r="CW25" i="96"/>
  <c r="CE43" i="96"/>
  <c r="CD23" i="96"/>
  <c r="CQ40" i="96"/>
  <c r="CK20" i="96"/>
  <c r="CT36" i="96"/>
  <c r="CL16" i="96"/>
  <c r="CJ30" i="96"/>
  <c r="CG46" i="96"/>
  <c r="CK26" i="96"/>
  <c r="CV37" i="96"/>
  <c r="CE14" i="96"/>
  <c r="CU26" i="96"/>
  <c r="CQ39" i="96"/>
  <c r="CN16" i="96"/>
  <c r="CJ29" i="96"/>
  <c r="CF42" i="96"/>
  <c r="CI23" i="96"/>
  <c r="CE36" i="96"/>
  <c r="CU48" i="96"/>
  <c r="CN14" i="96"/>
  <c r="CJ27" i="96"/>
  <c r="CF40" i="96"/>
  <c r="CO26" i="96"/>
  <c r="CF50" i="96"/>
  <c r="CL53" i="96"/>
  <c r="CJ53" i="96"/>
  <c r="CG53" i="96"/>
  <c r="CE53" i="96"/>
  <c r="CL49" i="96"/>
  <c r="CU27" i="96"/>
  <c r="CK32" i="96"/>
  <c r="CP23" i="96"/>
  <c r="CO28" i="96"/>
  <c r="CE13" i="96"/>
  <c r="CO39" i="96"/>
  <c r="CF19" i="96"/>
  <c r="CE37" i="96"/>
  <c r="CO16" i="96"/>
  <c r="CF33" i="96"/>
  <c r="CH46" i="96"/>
  <c r="CL26" i="96"/>
  <c r="CR42" i="96"/>
  <c r="CQ22" i="96"/>
  <c r="CR32" i="96"/>
  <c r="CM16" i="96"/>
  <c r="CI29" i="96"/>
  <c r="CE42" i="96"/>
  <c r="CV18" i="96"/>
  <c r="CR31" i="96"/>
  <c r="CN44" i="96"/>
  <c r="CQ25" i="96"/>
  <c r="CM38" i="96"/>
  <c r="CW36" i="96"/>
  <c r="CV16" i="96"/>
  <c r="CR29" i="96"/>
  <c r="CN42" i="96"/>
  <c r="CK31" i="96"/>
  <c r="CP22" i="96"/>
  <c r="CS25" i="96"/>
  <c r="CD21" i="96"/>
  <c r="CE47" i="96"/>
  <c r="CO27" i="96"/>
  <c r="CR44" i="96"/>
  <c r="CS24" i="96"/>
  <c r="CG41" i="96"/>
  <c r="CT20" i="96"/>
  <c r="CT47" i="96"/>
  <c r="CL28" i="96"/>
  <c r="CO45" i="96"/>
  <c r="CU25" i="96"/>
  <c r="CG43" i="96"/>
  <c r="CF23" i="96"/>
  <c r="CS40" i="96"/>
  <c r="CO20" i="96"/>
  <c r="CJ49" i="96"/>
  <c r="CP52" i="96"/>
  <c r="CR51" i="96"/>
  <c r="CK52" i="96"/>
  <c r="CI52" i="96"/>
  <c r="CP53" i="96"/>
  <c r="CD47" i="96"/>
  <c r="CE15" i="96"/>
  <c r="CP48" i="96"/>
  <c r="CL47" i="96"/>
  <c r="CP37" i="96"/>
  <c r="CJ38" i="96"/>
  <c r="CV17" i="96"/>
  <c r="CS35" i="96"/>
  <c r="CG15" i="96"/>
  <c r="CT31" i="96"/>
  <c r="CF45" i="96"/>
  <c r="CH25" i="96"/>
  <c r="CN41" i="96"/>
  <c r="CK21" i="96"/>
  <c r="CN31" i="96"/>
  <c r="CI17" i="96"/>
  <c r="CE30" i="96"/>
  <c r="CU42" i="96"/>
  <c r="CR19" i="96"/>
  <c r="CN32" i="96"/>
  <c r="CJ45" i="96"/>
  <c r="CM26" i="96"/>
  <c r="CI39" i="96"/>
  <c r="CS45" i="96"/>
  <c r="CR17" i="96"/>
  <c r="CN30" i="96"/>
  <c r="CJ43" i="96"/>
  <c r="CW32" i="96"/>
  <c r="P5" i="99"/>
  <c r="X54" i="103" l="1"/>
  <c r="Z54" i="103" s="1"/>
  <c r="R54" i="103"/>
  <c r="J30" i="156" s="1"/>
  <c r="N57" i="103"/>
  <c r="M57" i="103"/>
  <c r="BC11" i="138" s="1"/>
  <c r="E57" i="103"/>
  <c r="F57" i="103"/>
  <c r="B31" i="156" l="1"/>
  <c r="L31" i="156"/>
  <c r="L32" i="156" s="1"/>
  <c r="Q7" i="156" s="1"/>
  <c r="V13" i="156"/>
  <c r="J31" i="156"/>
  <c r="AA13" i="138"/>
  <c r="Z13" i="138"/>
  <c r="Z16" i="138"/>
  <c r="I5" i="19"/>
  <c r="Z15" i="138"/>
  <c r="AA16" i="138"/>
  <c r="AA15" i="138"/>
  <c r="W54" i="103"/>
  <c r="Y54" i="103" s="1"/>
  <c r="U54" i="103"/>
  <c r="V54" i="103"/>
  <c r="B32" i="156" l="1"/>
  <c r="J32" i="156"/>
  <c r="L35" i="156"/>
  <c r="L34" i="156"/>
  <c r="AP41" i="138"/>
  <c r="AQ41" i="138"/>
  <c r="E17" i="17"/>
  <c r="B20" i="17"/>
  <c r="BA31" i="138"/>
  <c r="AL5" i="138"/>
  <c r="F14" i="98"/>
  <c r="J9" i="99" s="1"/>
  <c r="F13" i="98"/>
  <c r="E14" i="98"/>
  <c r="I9" i="99" s="1"/>
  <c r="E13" i="98"/>
  <c r="V31" i="138" l="1"/>
  <c r="Q12" i="156"/>
  <c r="X39" i="156" s="1"/>
  <c r="Y39" i="156" s="1"/>
  <c r="AE39" i="156" s="1"/>
  <c r="Q13" i="156" s="1"/>
  <c r="O13" i="156" s="1"/>
  <c r="AF39" i="156"/>
  <c r="Q14" i="156" s="1"/>
  <c r="L36" i="156"/>
  <c r="V32" i="156" s="1"/>
  <c r="J34" i="156"/>
  <c r="J35" i="156"/>
  <c r="E22" i="17"/>
  <c r="AR41" i="138"/>
  <c r="K41" i="138" s="1"/>
  <c r="BI31" i="138"/>
  <c r="BJ31" i="138" s="1"/>
  <c r="BK31" i="138" s="1"/>
  <c r="S31" i="138" s="1"/>
  <c r="Y31" i="138"/>
  <c r="B22" i="17"/>
  <c r="BA20" i="138"/>
  <c r="J7" i="99"/>
  <c r="I7" i="99"/>
  <c r="H14" i="98"/>
  <c r="Q7" i="99"/>
  <c r="R7" i="99"/>
  <c r="R9" i="99"/>
  <c r="R6" i="99"/>
  <c r="R5" i="99"/>
  <c r="Q9" i="99"/>
  <c r="Q6" i="99"/>
  <c r="Q5" i="99"/>
  <c r="I7" i="98"/>
  <c r="AE31" i="138" l="1"/>
  <c r="BH31" i="138"/>
  <c r="Q31" i="138"/>
  <c r="J36" i="156"/>
  <c r="X38" i="156"/>
  <c r="Y38" i="156" s="1"/>
  <c r="AE38" i="156" s="1"/>
  <c r="AB26" i="156"/>
  <c r="L43" i="156"/>
  <c r="L44" i="156" s="1"/>
  <c r="X37" i="156"/>
  <c r="Y37" i="156" s="1"/>
  <c r="BC31" i="138"/>
  <c r="BB31" i="138"/>
  <c r="I8" i="98"/>
  <c r="O2" i="99"/>
  <c r="M18" i="99" s="1"/>
  <c r="J7" i="98"/>
  <c r="J8" i="98" s="1"/>
  <c r="Q38" i="156" l="1"/>
  <c r="U13" i="98"/>
  <c r="U12" i="98"/>
  <c r="V12" i="98"/>
  <c r="V13" i="98"/>
  <c r="AE37" i="156"/>
  <c r="L41" i="156" s="1"/>
  <c r="L42" i="156" s="1"/>
  <c r="W31" i="156"/>
  <c r="J41" i="156"/>
  <c r="B42" i="156" s="1"/>
  <c r="X32" i="156"/>
  <c r="J43" i="156" s="1"/>
  <c r="J44" i="156" s="1"/>
  <c r="V18" i="98"/>
  <c r="V11" i="98"/>
  <c r="U18" i="98"/>
  <c r="U11" i="98"/>
  <c r="M17" i="99"/>
  <c r="K7" i="98"/>
  <c r="K8" i="98" s="1"/>
  <c r="W18" i="98" l="1"/>
  <c r="W13" i="98"/>
  <c r="W12" i="98"/>
  <c r="V46" i="156"/>
  <c r="L37" i="156" s="1"/>
  <c r="L40" i="156"/>
  <c r="J42" i="156"/>
  <c r="U46" i="156"/>
  <c r="U47" i="156" s="1"/>
  <c r="Y31" i="156"/>
  <c r="I36" i="115"/>
  <c r="U3" i="99"/>
  <c r="X3" i="99"/>
  <c r="V47" i="156" l="1"/>
  <c r="B41" i="156" s="1"/>
  <c r="T3" i="99"/>
  <c r="H44" i="98"/>
  <c r="G45" i="98" s="1"/>
  <c r="AE44" i="98"/>
  <c r="AD44" i="98"/>
  <c r="AE45" i="98" l="1"/>
  <c r="AD45" i="98" s="1"/>
  <c r="F45" i="98"/>
  <c r="H23" i="117"/>
  <c r="H24" i="117" l="1"/>
  <c r="C25" i="117" s="1"/>
  <c r="I25" i="117" l="1"/>
  <c r="C26" i="117" s="1"/>
  <c r="I39" i="115"/>
  <c r="J28" i="115"/>
  <c r="J30" i="115" s="1"/>
  <c r="F14" i="19"/>
  <c r="I26" i="117" l="1"/>
  <c r="I32" i="117"/>
  <c r="C32" i="117"/>
  <c r="I30" i="115"/>
  <c r="L33" i="115"/>
  <c r="K33" i="115"/>
  <c r="J31" i="115"/>
  <c r="I32" i="115" s="1"/>
  <c r="J36" i="115"/>
  <c r="H30" i="117" l="1"/>
  <c r="I30" i="117" s="1"/>
  <c r="C34" i="117" s="1"/>
  <c r="G29" i="117"/>
  <c r="C31" i="117"/>
  <c r="O11" i="117"/>
  <c r="I33" i="117" s="1"/>
  <c r="O5" i="98"/>
  <c r="AE33" i="98"/>
  <c r="O12" i="117" l="1"/>
  <c r="I31" i="117" s="1"/>
  <c r="C33" i="117"/>
  <c r="U51" i="103"/>
  <c r="U33" i="103"/>
  <c r="U32" i="103"/>
  <c r="J32" i="115" l="1"/>
  <c r="J37" i="115" s="1"/>
  <c r="B65" i="98" l="1"/>
  <c r="G16" i="74"/>
  <c r="AG7" i="19" l="1"/>
  <c r="AG8" i="19"/>
  <c r="F60" i="98" l="1"/>
  <c r="R20" i="98"/>
  <c r="N28" i="98"/>
  <c r="N26" i="98" s="1"/>
  <c r="N27" i="98"/>
  <c r="N24" i="98" s="1"/>
  <c r="B32" i="98" l="1"/>
  <c r="AE34" i="98"/>
  <c r="AF12" i="98"/>
  <c r="AG12" i="98" s="1"/>
  <c r="B6" i="98"/>
  <c r="AE5" i="98" l="1"/>
  <c r="C6" i="126" l="1"/>
  <c r="D10" i="98"/>
  <c r="P17" i="98"/>
  <c r="H2" i="99"/>
  <c r="I2" i="99" s="1"/>
  <c r="J2" i="99" s="1"/>
  <c r="AH34" i="98"/>
  <c r="AH36" i="98"/>
  <c r="I10" i="98" l="1"/>
  <c r="J10" i="98"/>
  <c r="K10" i="98"/>
  <c r="B18" i="99"/>
  <c r="AH35" i="98"/>
  <c r="P11" i="99" l="1"/>
  <c r="U14" i="99"/>
  <c r="U11" i="99"/>
  <c r="Y11" i="99"/>
  <c r="B34" i="98" l="1"/>
  <c r="F16" i="105"/>
  <c r="F18" i="105" s="1"/>
  <c r="E17" i="105"/>
  <c r="E16" i="105"/>
  <c r="J19" i="105"/>
  <c r="N16" i="105"/>
  <c r="N4" i="105"/>
  <c r="J23" i="105"/>
  <c r="N10" i="105"/>
  <c r="N24" i="105"/>
  <c r="N27" i="105"/>
  <c r="M31" i="105"/>
  <c r="M32" i="105" s="1"/>
  <c r="M33" i="105" s="1"/>
  <c r="M34" i="105" s="1"/>
  <c r="M35" i="105" s="1"/>
  <c r="M36" i="105" s="1"/>
  <c r="M37" i="105" s="1"/>
  <c r="M38" i="105" s="1"/>
  <c r="M39" i="105" s="1"/>
  <c r="M40" i="105" s="1"/>
  <c r="M41" i="105" s="1"/>
  <c r="M42" i="105" s="1"/>
  <c r="M43" i="105" s="1"/>
  <c r="M44" i="105" s="1"/>
  <c r="M45" i="105" s="1"/>
  <c r="M46" i="105" s="1"/>
  <c r="M47" i="105" s="1"/>
  <c r="M48" i="105" s="1"/>
  <c r="M49" i="105" s="1"/>
  <c r="M50" i="105" s="1"/>
  <c r="M51" i="105" s="1"/>
  <c r="M52" i="105" s="1"/>
  <c r="M53" i="105" s="1"/>
  <c r="C22" i="105"/>
  <c r="C16" i="105"/>
  <c r="J11" i="105"/>
  <c r="J10" i="105"/>
  <c r="N11" i="105"/>
  <c r="C12" i="105"/>
  <c r="C21" i="105"/>
  <c r="E22" i="105"/>
  <c r="F21" i="105"/>
  <c r="F22" i="105" s="1"/>
  <c r="F12" i="105"/>
  <c r="F13" i="105" s="1"/>
  <c r="E12" i="105"/>
  <c r="E13" i="105" s="1"/>
  <c r="N15" i="17"/>
  <c r="N5" i="105" l="1"/>
  <c r="N18" i="105"/>
  <c r="N17" i="105"/>
  <c r="N6" i="105"/>
  <c r="N30" i="105"/>
  <c r="J9" i="105"/>
  <c r="N53" i="105"/>
  <c r="N29" i="105"/>
  <c r="N37" i="105"/>
  <c r="N51" i="105"/>
  <c r="N39" i="105"/>
  <c r="N38" i="105"/>
  <c r="N35" i="105"/>
  <c r="N45" i="105"/>
  <c r="N43" i="105"/>
  <c r="N31" i="105"/>
  <c r="N47" i="105"/>
  <c r="N46" i="105"/>
  <c r="N33" i="105"/>
  <c r="M54" i="105"/>
  <c r="N42" i="105"/>
  <c r="N49" i="105"/>
  <c r="N36" i="105"/>
  <c r="N32" i="105"/>
  <c r="N41" i="105"/>
  <c r="N50" i="105"/>
  <c r="N48" i="105"/>
  <c r="N34" i="105"/>
  <c r="N44" i="105"/>
  <c r="N52" i="105"/>
  <c r="N40" i="105"/>
  <c r="E14" i="105"/>
  <c r="F23" i="105"/>
  <c r="H13" i="98"/>
  <c r="O7" i="99" s="1"/>
  <c r="F56" i="103"/>
  <c r="E56" i="103"/>
  <c r="F55" i="103"/>
  <c r="E55" i="103"/>
  <c r="F54" i="103"/>
  <c r="E54" i="103"/>
  <c r="X53" i="103"/>
  <c r="Z53" i="103" s="1"/>
  <c r="W53" i="103"/>
  <c r="F53" i="103"/>
  <c r="E53" i="103"/>
  <c r="X52" i="103"/>
  <c r="Z52" i="103" s="1"/>
  <c r="W52" i="103"/>
  <c r="Y52" i="103" s="1"/>
  <c r="F52" i="103"/>
  <c r="E52" i="103"/>
  <c r="X51" i="103"/>
  <c r="Z51" i="103" s="1"/>
  <c r="W51" i="103"/>
  <c r="Y51" i="103" s="1"/>
  <c r="F51" i="103"/>
  <c r="E51" i="103"/>
  <c r="X50" i="103"/>
  <c r="Z50" i="103" s="1"/>
  <c r="W50" i="103"/>
  <c r="Y50" i="103" s="1"/>
  <c r="F50" i="103"/>
  <c r="E50" i="103"/>
  <c r="X49" i="103"/>
  <c r="Z49" i="103" s="1"/>
  <c r="W49" i="103"/>
  <c r="Y49" i="103" s="1"/>
  <c r="F49" i="103"/>
  <c r="E49" i="103"/>
  <c r="X48" i="103"/>
  <c r="Z48" i="103" s="1"/>
  <c r="W48" i="103"/>
  <c r="Y48" i="103" s="1"/>
  <c r="F48" i="103"/>
  <c r="E48" i="103"/>
  <c r="X47" i="103"/>
  <c r="Z47" i="103" s="1"/>
  <c r="W47" i="103"/>
  <c r="Y47" i="103" s="1"/>
  <c r="F47" i="103"/>
  <c r="E47" i="103"/>
  <c r="X46" i="103"/>
  <c r="Z46" i="103" s="1"/>
  <c r="W46" i="103"/>
  <c r="Y46" i="103" s="1"/>
  <c r="F46" i="103"/>
  <c r="E46" i="103"/>
  <c r="X45" i="103"/>
  <c r="Z45" i="103" s="1"/>
  <c r="W45" i="103"/>
  <c r="Y45" i="103" s="1"/>
  <c r="F45" i="103"/>
  <c r="E45" i="103"/>
  <c r="X44" i="103"/>
  <c r="Z44" i="103" s="1"/>
  <c r="W44" i="103"/>
  <c r="Y44" i="103" s="1"/>
  <c r="F44" i="103"/>
  <c r="E44" i="103"/>
  <c r="X43" i="103"/>
  <c r="Z43" i="103" s="1"/>
  <c r="W43" i="103"/>
  <c r="Y43" i="103" s="1"/>
  <c r="F43" i="103"/>
  <c r="E43" i="103"/>
  <c r="X42" i="103"/>
  <c r="Z42" i="103" s="1"/>
  <c r="W42" i="103"/>
  <c r="Y42" i="103" s="1"/>
  <c r="F42" i="103"/>
  <c r="E42" i="103"/>
  <c r="X41" i="103"/>
  <c r="Z41" i="103" s="1"/>
  <c r="W41" i="103"/>
  <c r="Y41" i="103" s="1"/>
  <c r="F41" i="103"/>
  <c r="E41" i="103"/>
  <c r="X40" i="103"/>
  <c r="Z40" i="103" s="1"/>
  <c r="W40" i="103"/>
  <c r="Y40" i="103" s="1"/>
  <c r="F40" i="103"/>
  <c r="E40" i="103"/>
  <c r="O5" i="117" s="1"/>
  <c r="X39" i="103"/>
  <c r="Z39" i="103" s="1"/>
  <c r="W39" i="103"/>
  <c r="Y39" i="103" s="1"/>
  <c r="F39" i="103"/>
  <c r="E39" i="103"/>
  <c r="X38" i="103"/>
  <c r="Z38" i="103" s="1"/>
  <c r="W38" i="103"/>
  <c r="Y38" i="103" s="1"/>
  <c r="F38" i="103"/>
  <c r="E38" i="103"/>
  <c r="X37" i="103"/>
  <c r="Z37" i="103" s="1"/>
  <c r="W37" i="103"/>
  <c r="Y37" i="103" s="1"/>
  <c r="F37" i="103"/>
  <c r="E37" i="103"/>
  <c r="X36" i="103"/>
  <c r="Z36" i="103" s="1"/>
  <c r="W36" i="103"/>
  <c r="Y36" i="103" s="1"/>
  <c r="F36" i="103"/>
  <c r="E36" i="103"/>
  <c r="X35" i="103"/>
  <c r="Z35" i="103" s="1"/>
  <c r="W35" i="103"/>
  <c r="Y35" i="103" s="1"/>
  <c r="F35" i="103"/>
  <c r="E35" i="103"/>
  <c r="X34" i="103"/>
  <c r="Z34" i="103" s="1"/>
  <c r="W34" i="103"/>
  <c r="Y34" i="103" s="1"/>
  <c r="F34" i="103"/>
  <c r="E34" i="103"/>
  <c r="X33" i="103"/>
  <c r="Z33" i="103" s="1"/>
  <c r="W33" i="103"/>
  <c r="Y33" i="103" s="1"/>
  <c r="F33" i="103"/>
  <c r="E33" i="103"/>
  <c r="X32" i="103"/>
  <c r="Z32" i="103" s="1"/>
  <c r="W32" i="103"/>
  <c r="Y32" i="103" s="1"/>
  <c r="F32" i="103"/>
  <c r="E32" i="103"/>
  <c r="X31" i="103"/>
  <c r="Z31" i="103" s="1"/>
  <c r="W31" i="103"/>
  <c r="Y31" i="103" s="1"/>
  <c r="F31" i="103"/>
  <c r="E31" i="103"/>
  <c r="X30" i="103"/>
  <c r="Z30" i="103" s="1"/>
  <c r="W30" i="103"/>
  <c r="Y30" i="103" s="1"/>
  <c r="F30" i="103"/>
  <c r="E30" i="103"/>
  <c r="X29" i="103"/>
  <c r="Z29" i="103" s="1"/>
  <c r="W29" i="103"/>
  <c r="Y29" i="103" s="1"/>
  <c r="F29" i="103"/>
  <c r="E29" i="103"/>
  <c r="X28" i="103"/>
  <c r="Z28" i="103" s="1"/>
  <c r="W28" i="103"/>
  <c r="Y28" i="103" s="1"/>
  <c r="F28" i="103"/>
  <c r="E28" i="103"/>
  <c r="X27" i="103"/>
  <c r="Z27" i="103" s="1"/>
  <c r="W27" i="103"/>
  <c r="Y27" i="103" s="1"/>
  <c r="F27" i="103"/>
  <c r="E27" i="103"/>
  <c r="X26" i="103"/>
  <c r="Z26" i="103" s="1"/>
  <c r="W26" i="103"/>
  <c r="Y26" i="103" s="1"/>
  <c r="F26" i="103"/>
  <c r="E26" i="103"/>
  <c r="X25" i="103"/>
  <c r="Z25" i="103" s="1"/>
  <c r="W25" i="103"/>
  <c r="Y25" i="103" s="1"/>
  <c r="F25" i="103"/>
  <c r="E25" i="103"/>
  <c r="X24" i="103"/>
  <c r="Z24" i="103" s="1"/>
  <c r="W24" i="103"/>
  <c r="Y24" i="103" s="1"/>
  <c r="F24" i="103"/>
  <c r="E24" i="103"/>
  <c r="X23" i="103"/>
  <c r="Z23" i="103" s="1"/>
  <c r="W23" i="103"/>
  <c r="Y23" i="103" s="1"/>
  <c r="F23" i="103"/>
  <c r="E23" i="103"/>
  <c r="X22" i="103"/>
  <c r="W22" i="103"/>
  <c r="Y22" i="103" s="1"/>
  <c r="F22" i="103"/>
  <c r="E22" i="103"/>
  <c r="X21" i="103"/>
  <c r="W21" i="103"/>
  <c r="Y21" i="103" s="1"/>
  <c r="F21" i="103"/>
  <c r="E21" i="103"/>
  <c r="X20" i="103"/>
  <c r="W20" i="103"/>
  <c r="Y20" i="103" s="1"/>
  <c r="F20" i="103"/>
  <c r="E20" i="103"/>
  <c r="X19" i="103"/>
  <c r="W19" i="103"/>
  <c r="Y19" i="103" s="1"/>
  <c r="F19" i="103"/>
  <c r="E19" i="103"/>
  <c r="X18" i="103"/>
  <c r="W18" i="103"/>
  <c r="Y18" i="103" s="1"/>
  <c r="F18" i="103"/>
  <c r="E18" i="103"/>
  <c r="X17" i="103"/>
  <c r="W17" i="103"/>
  <c r="Y17" i="103" s="1"/>
  <c r="F17" i="103"/>
  <c r="E17" i="103"/>
  <c r="X16" i="103"/>
  <c r="W16" i="103"/>
  <c r="Y16" i="103" s="1"/>
  <c r="F16" i="103"/>
  <c r="E16" i="103"/>
  <c r="X15" i="103"/>
  <c r="W15" i="103"/>
  <c r="Y15" i="103" s="1"/>
  <c r="F15" i="103"/>
  <c r="E15" i="103"/>
  <c r="X14" i="103"/>
  <c r="W14" i="103"/>
  <c r="Y14" i="103" s="1"/>
  <c r="F14" i="103"/>
  <c r="E14" i="103"/>
  <c r="X13" i="103"/>
  <c r="W13" i="103"/>
  <c r="Y13" i="103" s="1"/>
  <c r="F13" i="103"/>
  <c r="E13" i="103"/>
  <c r="X12" i="103"/>
  <c r="W12" i="103"/>
  <c r="Y12" i="103" s="1"/>
  <c r="X11" i="103"/>
  <c r="W11" i="103"/>
  <c r="Y11" i="103" s="1"/>
  <c r="X10" i="103"/>
  <c r="W10" i="103"/>
  <c r="Y10" i="103" s="1"/>
  <c r="X9" i="103"/>
  <c r="W9" i="103"/>
  <c r="Y9" i="103" s="1"/>
  <c r="X8" i="103"/>
  <c r="W8" i="103"/>
  <c r="Y8" i="103" s="1"/>
  <c r="X7" i="103"/>
  <c r="W7" i="103"/>
  <c r="Y7" i="103" s="1"/>
  <c r="X6" i="103"/>
  <c r="W6" i="103"/>
  <c r="Y6" i="103" s="1"/>
  <c r="X5" i="103"/>
  <c r="W5" i="103"/>
  <c r="Y5" i="103" s="1"/>
  <c r="Y53" i="103" l="1"/>
  <c r="T3" i="98"/>
  <c r="C12" i="98" s="1"/>
  <c r="U3" i="98"/>
  <c r="AA2" i="19"/>
  <c r="AB2" i="19"/>
  <c r="P30" i="105"/>
  <c r="Q30" i="105" s="1"/>
  <c r="P32" i="105"/>
  <c r="Q32" i="105" s="1"/>
  <c r="P52" i="105"/>
  <c r="Q52" i="105" s="1"/>
  <c r="P46" i="105"/>
  <c r="Q46" i="105" s="1"/>
  <c r="O9" i="99"/>
  <c r="P38" i="105"/>
  <c r="Q38" i="105" s="1"/>
  <c r="P44" i="105"/>
  <c r="Q44" i="105" s="1"/>
  <c r="P50" i="105"/>
  <c r="Q50" i="105" s="1"/>
  <c r="P36" i="105"/>
  <c r="Q36" i="105" s="1"/>
  <c r="P39" i="105"/>
  <c r="Q39" i="105" s="1"/>
  <c r="P49" i="105"/>
  <c r="Q49" i="105" s="1"/>
  <c r="P51" i="105"/>
  <c r="Q51" i="105" s="1"/>
  <c r="P40" i="105"/>
  <c r="Q40" i="105" s="1"/>
  <c r="P33" i="105"/>
  <c r="Q33" i="105" s="1"/>
  <c r="P34" i="105"/>
  <c r="Q34" i="105" s="1"/>
  <c r="P31" i="105"/>
  <c r="Q31" i="105" s="1"/>
  <c r="P48" i="105"/>
  <c r="Q48" i="105" s="1"/>
  <c r="P43" i="105"/>
  <c r="Q43" i="105" s="1"/>
  <c r="P45" i="105"/>
  <c r="Q45" i="105" s="1"/>
  <c r="P41" i="105"/>
  <c r="Q41" i="105" s="1"/>
  <c r="P35" i="105"/>
  <c r="Q35" i="105" s="1"/>
  <c r="P42" i="105"/>
  <c r="Q42" i="105" s="1"/>
  <c r="P37" i="105"/>
  <c r="Q37" i="105" s="1"/>
  <c r="P53" i="105"/>
  <c r="Q53" i="105" s="1"/>
  <c r="P47" i="105"/>
  <c r="Q47" i="105" s="1"/>
  <c r="M55" i="105"/>
  <c r="N54" i="105"/>
  <c r="P54" i="105" s="1"/>
  <c r="Q54" i="105" s="1"/>
  <c r="C15" i="105"/>
  <c r="H18" i="98"/>
  <c r="H17" i="98"/>
  <c r="X12" i="99"/>
  <c r="N55" i="105" l="1"/>
  <c r="P55" i="105" s="1"/>
  <c r="Q55" i="105" s="1"/>
  <c r="M56" i="105"/>
  <c r="N56" i="105" l="1"/>
  <c r="P56" i="105" s="1"/>
  <c r="Q56" i="105" s="1"/>
  <c r="M57" i="105"/>
  <c r="N30" i="98"/>
  <c r="N57" i="105" l="1"/>
  <c r="P57" i="105" s="1"/>
  <c r="Q57" i="105" s="1"/>
  <c r="M58" i="105"/>
  <c r="N7" i="98"/>
  <c r="N58" i="105" l="1"/>
  <c r="P58" i="105" s="1"/>
  <c r="Q58" i="105" s="1"/>
  <c r="M59" i="105"/>
  <c r="N59" i="105" l="1"/>
  <c r="P59" i="105" s="1"/>
  <c r="Q59" i="105" s="1"/>
  <c r="M60" i="105"/>
  <c r="N60" i="105" l="1"/>
  <c r="P60" i="105" s="1"/>
  <c r="Q60" i="105" s="1"/>
  <c r="M61" i="105"/>
  <c r="F50" i="98"/>
  <c r="E50" i="98"/>
  <c r="N61" i="105" l="1"/>
  <c r="P61" i="105" s="1"/>
  <c r="Q61" i="105" s="1"/>
  <c r="M62" i="105"/>
  <c r="N62" i="105" l="1"/>
  <c r="P62" i="105" s="1"/>
  <c r="Q62" i="105" s="1"/>
  <c r="M63" i="105"/>
  <c r="N63" i="105" l="1"/>
  <c r="P63" i="105" s="1"/>
  <c r="Q63" i="105" s="1"/>
  <c r="M64" i="105"/>
  <c r="K6" i="99"/>
  <c r="K5" i="99"/>
  <c r="N64" i="105" l="1"/>
  <c r="P64" i="105" s="1"/>
  <c r="Q64" i="105" s="1"/>
  <c r="M65" i="105"/>
  <c r="N65" i="105" l="1"/>
  <c r="P65" i="105" s="1"/>
  <c r="Q65" i="105" s="1"/>
  <c r="M66" i="105"/>
  <c r="N66" i="105" l="1"/>
  <c r="P66" i="105" s="1"/>
  <c r="Q66" i="105" s="1"/>
  <c r="M67" i="105"/>
  <c r="N67" i="105" l="1"/>
  <c r="P67" i="105" s="1"/>
  <c r="Q67" i="105" s="1"/>
  <c r="M68" i="105"/>
  <c r="F16" i="99"/>
  <c r="K16" i="99" s="1"/>
  <c r="C16" i="99"/>
  <c r="H16" i="99" s="1"/>
  <c r="N68" i="105" l="1"/>
  <c r="P68" i="105" s="1"/>
  <c r="Q68" i="105" s="1"/>
  <c r="M69" i="105"/>
  <c r="K9" i="99"/>
  <c r="K7" i="99"/>
  <c r="N69" i="105" l="1"/>
  <c r="P69" i="105" s="1"/>
  <c r="Q69" i="105" s="1"/>
  <c r="M70" i="105"/>
  <c r="N70" i="105" l="1"/>
  <c r="P70" i="105" s="1"/>
  <c r="Q70" i="105" s="1"/>
  <c r="M71" i="105"/>
  <c r="N71" i="105" l="1"/>
  <c r="P71" i="105" s="1"/>
  <c r="Q71" i="105" s="1"/>
  <c r="M72" i="105"/>
  <c r="N72" i="105" l="1"/>
  <c r="P72" i="105" s="1"/>
  <c r="Q72" i="105" s="1"/>
  <c r="M73" i="105"/>
  <c r="X11" i="99" l="1"/>
  <c r="K2" i="99"/>
  <c r="N73" i="105"/>
  <c r="P73" i="105" s="1"/>
  <c r="Q73" i="105" s="1"/>
  <c r="M74" i="105"/>
  <c r="K29" i="17"/>
  <c r="G29" i="17"/>
  <c r="N74" i="105" l="1"/>
  <c r="P74" i="105" s="1"/>
  <c r="Q74" i="105" s="1"/>
  <c r="M75" i="105"/>
  <c r="K26" i="17" l="1"/>
  <c r="L26" i="17"/>
  <c r="N75" i="105"/>
  <c r="P75" i="105" s="1"/>
  <c r="Q75" i="105" s="1"/>
  <c r="M76" i="105"/>
  <c r="N76" i="105" l="1"/>
  <c r="P76" i="105" s="1"/>
  <c r="Q76" i="105" s="1"/>
  <c r="Q28" i="105" l="1"/>
  <c r="F7" i="98" l="1"/>
  <c r="F8" i="98" s="1"/>
  <c r="R18" i="98" s="1"/>
  <c r="R11" i="98" l="1"/>
  <c r="G7" i="98"/>
  <c r="G8" i="98" s="1"/>
  <c r="BL83" i="96"/>
  <c r="BL82" i="96"/>
  <c r="BL81" i="96"/>
  <c r="BL80" i="96"/>
  <c r="BL79" i="96"/>
  <c r="BL78" i="96"/>
  <c r="BL77" i="96"/>
  <c r="BL76" i="96"/>
  <c r="BL75" i="96"/>
  <c r="BL74" i="96"/>
  <c r="BL73" i="96"/>
  <c r="BL72" i="96"/>
  <c r="BL71" i="96"/>
  <c r="BL70" i="96"/>
  <c r="BL69" i="96"/>
  <c r="BL68" i="96"/>
  <c r="BL67" i="96"/>
  <c r="BL66" i="96"/>
  <c r="BL65" i="96"/>
  <c r="BL64" i="96"/>
  <c r="H64" i="96"/>
  <c r="H65" i="96" s="1"/>
  <c r="H66" i="96" s="1"/>
  <c r="H67" i="96" s="1"/>
  <c r="H68" i="96" s="1"/>
  <c r="H69" i="96" s="1"/>
  <c r="H70" i="96" s="1"/>
  <c r="H71" i="96" s="1"/>
  <c r="H72" i="96" s="1"/>
  <c r="H73" i="96" s="1"/>
  <c r="H74" i="96" s="1"/>
  <c r="H75" i="96" s="1"/>
  <c r="H76" i="96" s="1"/>
  <c r="H77" i="96" s="1"/>
  <c r="H78" i="96" s="1"/>
  <c r="H79" i="96" s="1"/>
  <c r="H80" i="96" s="1"/>
  <c r="H81" i="96" s="1"/>
  <c r="H82" i="96" s="1"/>
  <c r="H83" i="96" s="1"/>
  <c r="H84" i="96" s="1"/>
  <c r="H85" i="96" s="1"/>
  <c r="H86" i="96" s="1"/>
  <c r="H87" i="96" s="1"/>
  <c r="H88" i="96" s="1"/>
  <c r="H89" i="96" s="1"/>
  <c r="H90" i="96" s="1"/>
  <c r="H91" i="96" s="1"/>
  <c r="H92" i="96" s="1"/>
  <c r="H93" i="96" s="1"/>
  <c r="H94" i="96" s="1"/>
  <c r="H95" i="96" s="1"/>
  <c r="H96" i="96" s="1"/>
  <c r="H97" i="96" s="1"/>
  <c r="H98" i="96" s="1"/>
  <c r="H99" i="96" s="1"/>
  <c r="H100" i="96" s="1"/>
  <c r="H101" i="96" s="1"/>
  <c r="H102" i="96" s="1"/>
  <c r="H103" i="96" s="1"/>
  <c r="H104" i="96" s="1"/>
  <c r="H105" i="96" s="1"/>
  <c r="H106" i="96" s="1"/>
  <c r="H107" i="96" s="1"/>
  <c r="H108" i="96" s="1"/>
  <c r="H109" i="96" s="1"/>
  <c r="H110" i="96" s="1"/>
  <c r="H111" i="96" s="1"/>
  <c r="H112" i="96" s="1"/>
  <c r="H113" i="96" s="1"/>
  <c r="BL63" i="96"/>
  <c r="M63" i="96"/>
  <c r="L63" i="96"/>
  <c r="F63" i="96"/>
  <c r="E63" i="96"/>
  <c r="BL62" i="96"/>
  <c r="M62" i="96"/>
  <c r="L62" i="96"/>
  <c r="F62" i="96"/>
  <c r="E62" i="96"/>
  <c r="BL61" i="96"/>
  <c r="M61" i="96"/>
  <c r="L61" i="96"/>
  <c r="F61" i="96"/>
  <c r="E61" i="96"/>
  <c r="BL60" i="96"/>
  <c r="M60" i="96"/>
  <c r="L60" i="96"/>
  <c r="F60" i="96"/>
  <c r="E60" i="96"/>
  <c r="BL59" i="96"/>
  <c r="M59" i="96"/>
  <c r="L59" i="96"/>
  <c r="F59" i="96"/>
  <c r="E59" i="96"/>
  <c r="BL58" i="96"/>
  <c r="M58" i="96"/>
  <c r="L58" i="96"/>
  <c r="F58" i="96"/>
  <c r="E58" i="96"/>
  <c r="BL57" i="96"/>
  <c r="M57" i="96"/>
  <c r="L57" i="96"/>
  <c r="F57" i="96"/>
  <c r="E57" i="96"/>
  <c r="BL56" i="96"/>
  <c r="M56" i="96"/>
  <c r="L56" i="96"/>
  <c r="F56" i="96"/>
  <c r="E56" i="96"/>
  <c r="BL55" i="96"/>
  <c r="M55" i="96"/>
  <c r="L55" i="96"/>
  <c r="F55" i="96"/>
  <c r="E55" i="96"/>
  <c r="BL54" i="96"/>
  <c r="M54" i="96"/>
  <c r="L54" i="96"/>
  <c r="F54" i="96"/>
  <c r="E54" i="96"/>
  <c r="BL53" i="96"/>
  <c r="M53" i="96"/>
  <c r="L53" i="96"/>
  <c r="F53" i="96"/>
  <c r="E53" i="96"/>
  <c r="BL52" i="96"/>
  <c r="M52" i="96"/>
  <c r="L52" i="96"/>
  <c r="F52" i="96"/>
  <c r="E52" i="96"/>
  <c r="BL51" i="96"/>
  <c r="M51" i="96"/>
  <c r="L51" i="96"/>
  <c r="F51" i="96"/>
  <c r="E51" i="96"/>
  <c r="BL50" i="96"/>
  <c r="M50" i="96"/>
  <c r="L50" i="96"/>
  <c r="F50" i="96"/>
  <c r="E50" i="96"/>
  <c r="BL49" i="96"/>
  <c r="M49" i="96"/>
  <c r="L49" i="96"/>
  <c r="F49" i="96"/>
  <c r="E49" i="96"/>
  <c r="BL48" i="96"/>
  <c r="M48" i="96"/>
  <c r="L48" i="96"/>
  <c r="F48" i="96"/>
  <c r="E48" i="96"/>
  <c r="BL47" i="96"/>
  <c r="Y47" i="96"/>
  <c r="M47" i="96"/>
  <c r="L47" i="96"/>
  <c r="F47" i="96"/>
  <c r="E47" i="96"/>
  <c r="BL46" i="96"/>
  <c r="Y46" i="96"/>
  <c r="M46" i="96"/>
  <c r="L46" i="96"/>
  <c r="F46" i="96"/>
  <c r="E46" i="96"/>
  <c r="BL45" i="96"/>
  <c r="Y45" i="96"/>
  <c r="M45" i="96"/>
  <c r="L45" i="96"/>
  <c r="F45" i="96"/>
  <c r="E45" i="96"/>
  <c r="BL44" i="96"/>
  <c r="Y44" i="96"/>
  <c r="M44" i="96"/>
  <c r="L44" i="96"/>
  <c r="F44" i="96"/>
  <c r="E44" i="96"/>
  <c r="BL43" i="96"/>
  <c r="Y43" i="96"/>
  <c r="M43" i="96"/>
  <c r="L43" i="96"/>
  <c r="F43" i="96"/>
  <c r="E43" i="96"/>
  <c r="Y42" i="96"/>
  <c r="M42" i="96"/>
  <c r="L42" i="96"/>
  <c r="F42" i="96"/>
  <c r="E42" i="96"/>
  <c r="Y41" i="96"/>
  <c r="M41" i="96"/>
  <c r="L41" i="96"/>
  <c r="F41" i="96"/>
  <c r="E41" i="96"/>
  <c r="Y40" i="96"/>
  <c r="M40" i="96"/>
  <c r="L40" i="96"/>
  <c r="F40" i="96"/>
  <c r="E40" i="96"/>
  <c r="Y39" i="96"/>
  <c r="M39" i="96"/>
  <c r="L39" i="96"/>
  <c r="F39" i="96"/>
  <c r="E39" i="96"/>
  <c r="Y38" i="96"/>
  <c r="M38" i="96"/>
  <c r="L38" i="96"/>
  <c r="F38" i="96"/>
  <c r="E38" i="96"/>
  <c r="Y37" i="96"/>
  <c r="M37" i="96"/>
  <c r="L37" i="96"/>
  <c r="F37" i="96"/>
  <c r="E37" i="96"/>
  <c r="Y36" i="96"/>
  <c r="M36" i="96"/>
  <c r="L36" i="96"/>
  <c r="F36" i="96"/>
  <c r="E36" i="96"/>
  <c r="Y35" i="96"/>
  <c r="M35" i="96"/>
  <c r="L35" i="96"/>
  <c r="F35" i="96"/>
  <c r="E35" i="96"/>
  <c r="Y34" i="96"/>
  <c r="M34" i="96"/>
  <c r="L34" i="96"/>
  <c r="F34" i="96"/>
  <c r="E34" i="96"/>
  <c r="Y33" i="96"/>
  <c r="M33" i="96"/>
  <c r="L33" i="96"/>
  <c r="F33" i="96"/>
  <c r="E33" i="96"/>
  <c r="Y32" i="96"/>
  <c r="T32" i="96"/>
  <c r="M32" i="96"/>
  <c r="L32" i="96"/>
  <c r="F32" i="96"/>
  <c r="E32" i="96"/>
  <c r="Y31" i="96"/>
  <c r="T31" i="96"/>
  <c r="M31" i="96"/>
  <c r="L31" i="96"/>
  <c r="F31" i="96"/>
  <c r="E31" i="96"/>
  <c r="Y30" i="96"/>
  <c r="M30" i="96"/>
  <c r="L30" i="96"/>
  <c r="F30" i="96"/>
  <c r="E30" i="96"/>
  <c r="Y29" i="96"/>
  <c r="M29" i="96"/>
  <c r="L29" i="96"/>
  <c r="F29" i="96"/>
  <c r="E29" i="96"/>
  <c r="Y28" i="96"/>
  <c r="M28" i="96"/>
  <c r="L28" i="96"/>
  <c r="F28" i="96"/>
  <c r="E28" i="96"/>
  <c r="Y27" i="96"/>
  <c r="M27" i="96"/>
  <c r="L27" i="96"/>
  <c r="F27" i="96"/>
  <c r="E27" i="96"/>
  <c r="BY26" i="96"/>
  <c r="BV26" i="96"/>
  <c r="BW26" i="96" s="1"/>
  <c r="Y26" i="96"/>
  <c r="M26" i="96"/>
  <c r="L26" i="96"/>
  <c r="F26" i="96"/>
  <c r="E26" i="96"/>
  <c r="Y25" i="96"/>
  <c r="M25" i="96"/>
  <c r="L25" i="96"/>
  <c r="F25" i="96"/>
  <c r="E25" i="96"/>
  <c r="Y24" i="96"/>
  <c r="M24" i="96"/>
  <c r="L24" i="96"/>
  <c r="F24" i="96"/>
  <c r="E24" i="96"/>
  <c r="Y23" i="96"/>
  <c r="M23" i="96"/>
  <c r="L23" i="96"/>
  <c r="F23" i="96"/>
  <c r="E23" i="96"/>
  <c r="Y22" i="96"/>
  <c r="M22" i="96"/>
  <c r="L22" i="96"/>
  <c r="F22" i="96"/>
  <c r="E22" i="96"/>
  <c r="Y21" i="96"/>
  <c r="M21" i="96"/>
  <c r="L21" i="96"/>
  <c r="F21" i="96"/>
  <c r="E21" i="96"/>
  <c r="Y20" i="96"/>
  <c r="M20" i="96"/>
  <c r="L20" i="96"/>
  <c r="F20" i="96"/>
  <c r="E20" i="96"/>
  <c r="Y19" i="96"/>
  <c r="M19" i="96"/>
  <c r="L19" i="96"/>
  <c r="F19" i="96"/>
  <c r="E19" i="96"/>
  <c r="Y18" i="96"/>
  <c r="M18" i="96"/>
  <c r="L18" i="96"/>
  <c r="F18" i="96"/>
  <c r="E18" i="96"/>
  <c r="Y17" i="96"/>
  <c r="M17" i="96"/>
  <c r="L17" i="96"/>
  <c r="F17" i="96"/>
  <c r="E17" i="96"/>
  <c r="Y16" i="96"/>
  <c r="M16" i="96"/>
  <c r="L16" i="96"/>
  <c r="F16" i="96"/>
  <c r="E16" i="96"/>
  <c r="Y15" i="96"/>
  <c r="U15" i="96"/>
  <c r="U16" i="96" s="1"/>
  <c r="T19" i="96"/>
  <c r="M15" i="96"/>
  <c r="L15" i="96"/>
  <c r="F15" i="96"/>
  <c r="E15" i="96"/>
  <c r="Y14" i="96"/>
  <c r="M14" i="96"/>
  <c r="L14" i="96"/>
  <c r="F14" i="96"/>
  <c r="E14" i="96"/>
  <c r="Y13" i="96"/>
  <c r="U13" i="96"/>
  <c r="T13" i="96"/>
  <c r="Z11" i="96"/>
  <c r="Z24" i="96" s="1"/>
  <c r="F6" i="96"/>
  <c r="J6" i="96" s="1"/>
  <c r="M6" i="96" s="1"/>
  <c r="S18" i="98" l="1"/>
  <c r="S12" i="98"/>
  <c r="S13" i="98"/>
  <c r="F10" i="98"/>
  <c r="BR43" i="96"/>
  <c r="BS43" i="96"/>
  <c r="BM43" i="96"/>
  <c r="Z16" i="96"/>
  <c r="U17" i="96"/>
  <c r="BV27" i="96"/>
  <c r="BW27" i="96" s="1"/>
  <c r="BX27" i="96" s="1"/>
  <c r="BY27" i="96" s="1"/>
  <c r="BS45" i="96"/>
  <c r="Z14" i="96"/>
  <c r="BO48" i="96"/>
  <c r="BS51" i="96"/>
  <c r="BS56" i="96"/>
  <c r="BS80" i="96"/>
  <c r="Z29" i="96"/>
  <c r="Z12" i="96"/>
  <c r="U19" i="96"/>
  <c r="T20" i="96" s="1"/>
  <c r="Z17" i="96"/>
  <c r="BR65" i="96"/>
  <c r="BR64" i="96"/>
  <c r="BR63" i="96"/>
  <c r="BN77" i="96"/>
  <c r="BN82" i="96"/>
  <c r="BN76" i="96"/>
  <c r="BN59" i="96"/>
  <c r="BN83" i="96"/>
  <c r="BN73" i="96"/>
  <c r="BN72" i="96"/>
  <c r="BN71" i="96"/>
  <c r="BN70" i="96"/>
  <c r="BN69" i="96"/>
  <c r="BN68" i="96"/>
  <c r="BN67" i="96"/>
  <c r="BN66" i="96"/>
  <c r="BN65" i="96"/>
  <c r="BN64" i="96"/>
  <c r="BR62" i="96"/>
  <c r="BR54" i="96"/>
  <c r="BN81" i="96"/>
  <c r="BR77" i="96"/>
  <c r="BN74" i="96"/>
  <c r="BN55" i="96"/>
  <c r="BR45" i="96"/>
  <c r="BR58" i="96"/>
  <c r="BN51" i="96"/>
  <c r="BN47" i="96"/>
  <c r="BN43" i="96"/>
  <c r="BN75" i="96"/>
  <c r="BR50" i="96"/>
  <c r="BN63" i="96"/>
  <c r="BN50" i="96"/>
  <c r="Z26" i="96"/>
  <c r="BM65" i="96"/>
  <c r="BM64" i="96"/>
  <c r="BM63" i="96"/>
  <c r="BM77" i="96"/>
  <c r="BM58" i="96"/>
  <c r="BM62" i="96"/>
  <c r="BQ57" i="96"/>
  <c r="BM50" i="96"/>
  <c r="BM54" i="96"/>
  <c r="BM45" i="96"/>
  <c r="BQ48" i="96"/>
  <c r="BM49" i="96"/>
  <c r="BM46" i="96"/>
  <c r="Z28" i="96"/>
  <c r="Z45" i="96"/>
  <c r="BN45" i="96"/>
  <c r="BQ63" i="96"/>
  <c r="Z20" i="96"/>
  <c r="BR52" i="96"/>
  <c r="BR73" i="96"/>
  <c r="T16" i="96"/>
  <c r="T17" i="96" s="1"/>
  <c r="Z46" i="96"/>
  <c r="Z44" i="96"/>
  <c r="Z47" i="96"/>
  <c r="Z41" i="96"/>
  <c r="Z37" i="96"/>
  <c r="Z42" i="96"/>
  <c r="Z38" i="96"/>
  <c r="Z34" i="96"/>
  <c r="Z43" i="96"/>
  <c r="Z40" i="96"/>
  <c r="Z39" i="96"/>
  <c r="Z36" i="96"/>
  <c r="Z35" i="96"/>
  <c r="Z32" i="96"/>
  <c r="Z27" i="96"/>
  <c r="Z23" i="96"/>
  <c r="Z33" i="96"/>
  <c r="Z30" i="96"/>
  <c r="Z21" i="96"/>
  <c r="Z15" i="96"/>
  <c r="AA11" i="96"/>
  <c r="Z31" i="96"/>
  <c r="Z25" i="96"/>
  <c r="Z22" i="96"/>
  <c r="Z18" i="96"/>
  <c r="Z19" i="96"/>
  <c r="BR67" i="96"/>
  <c r="BS44" i="96"/>
  <c r="BN44" i="96"/>
  <c r="BQ44" i="96"/>
  <c r="BO44" i="96"/>
  <c r="BR44" i="96"/>
  <c r="BQ65" i="96"/>
  <c r="BO77" i="96"/>
  <c r="BO54" i="96"/>
  <c r="BO83" i="96"/>
  <c r="BO82" i="96"/>
  <c r="BO81" i="96"/>
  <c r="BS77" i="96"/>
  <c r="BO76" i="96"/>
  <c r="BO75" i="96"/>
  <c r="BO74" i="96"/>
  <c r="BO73" i="96"/>
  <c r="BO72" i="96"/>
  <c r="BO71" i="96"/>
  <c r="BO70" i="96"/>
  <c r="BO69" i="96"/>
  <c r="BO68" i="96"/>
  <c r="BO67" i="96"/>
  <c r="BO66" i="96"/>
  <c r="BO65" i="96"/>
  <c r="BO64" i="96"/>
  <c r="BO63" i="96"/>
  <c r="BO59" i="96"/>
  <c r="BS83" i="96"/>
  <c r="BS73" i="96"/>
  <c r="BS72" i="96"/>
  <c r="BS71" i="96"/>
  <c r="BS70" i="96"/>
  <c r="BS69" i="96"/>
  <c r="BS68" i="96"/>
  <c r="BS67" i="96"/>
  <c r="BS66" i="96"/>
  <c r="BS65" i="96"/>
  <c r="BS64" i="96"/>
  <c r="BO60" i="96"/>
  <c r="BO79" i="96"/>
  <c r="BS74" i="96"/>
  <c r="BS63" i="96"/>
  <c r="BS55" i="96"/>
  <c r="BO50" i="96"/>
  <c r="BO51" i="96"/>
  <c r="BO47" i="96"/>
  <c r="BS82" i="96"/>
  <c r="BS75" i="96"/>
  <c r="BS50" i="96"/>
  <c r="BO45" i="96"/>
  <c r="BO43" i="96"/>
  <c r="BS81" i="96"/>
  <c r="BS59" i="96"/>
  <c r="BO52" i="96"/>
  <c r="BS76" i="96"/>
  <c r="BO56" i="96"/>
  <c r="BS47" i="96"/>
  <c r="BQ43" i="96"/>
  <c r="BM44" i="96"/>
  <c r="BR47" i="96"/>
  <c r="BO80" i="96"/>
  <c r="BQ54" i="96"/>
  <c r="BO61" i="96"/>
  <c r="BS61" i="96"/>
  <c r="BN61" i="96"/>
  <c r="BR61" i="96"/>
  <c r="BM61" i="96"/>
  <c r="BQ61" i="96"/>
  <c r="BR71" i="96"/>
  <c r="BO46" i="96"/>
  <c r="BS46" i="96"/>
  <c r="BN46" i="96"/>
  <c r="BR46" i="96"/>
  <c r="BQ46" i="96"/>
  <c r="BO49" i="96"/>
  <c r="BS49" i="96"/>
  <c r="BN49" i="96"/>
  <c r="BR49" i="96"/>
  <c r="BQ49" i="96"/>
  <c r="BR51" i="96"/>
  <c r="BR69" i="96"/>
  <c r="BQ50" i="96"/>
  <c r="BR55" i="96"/>
  <c r="BQ62" i="96"/>
  <c r="BR74" i="96"/>
  <c r="BQ45" i="96"/>
  <c r="BS48" i="96"/>
  <c r="BN48" i="96"/>
  <c r="BR48" i="96"/>
  <c r="BM48" i="96"/>
  <c r="BQ52" i="96"/>
  <c r="BN52" i="96"/>
  <c r="BS52" i="96"/>
  <c r="BM52" i="96"/>
  <c r="BO53" i="96"/>
  <c r="BS53" i="96"/>
  <c r="BN53" i="96"/>
  <c r="BR53" i="96"/>
  <c r="BM53" i="96"/>
  <c r="BQ53" i="96"/>
  <c r="BQ64" i="96"/>
  <c r="BR66" i="96"/>
  <c r="BR68" i="96"/>
  <c r="BR70" i="96"/>
  <c r="BR72" i="96"/>
  <c r="BS79" i="96"/>
  <c r="BR83" i="96"/>
  <c r="BQ47" i="96"/>
  <c r="BQ51" i="96"/>
  <c r="BQ58" i="96"/>
  <c r="BR59" i="96"/>
  <c r="BS60" i="96"/>
  <c r="BR76" i="96"/>
  <c r="BQ77" i="96"/>
  <c r="BO78" i="96"/>
  <c r="BS78" i="96"/>
  <c r="BN78" i="96"/>
  <c r="BR78" i="96"/>
  <c r="BM78" i="96"/>
  <c r="BR82" i="96"/>
  <c r="BM47" i="96"/>
  <c r="BM51" i="96"/>
  <c r="BO57" i="96"/>
  <c r="BS57" i="96"/>
  <c r="BN57" i="96"/>
  <c r="BR57" i="96"/>
  <c r="BM57" i="96"/>
  <c r="BR75" i="96"/>
  <c r="BQ78" i="96"/>
  <c r="BR81" i="96"/>
  <c r="BN54" i="96"/>
  <c r="BS54" i="96"/>
  <c r="BO55" i="96"/>
  <c r="BQ56" i="96"/>
  <c r="BN58" i="96"/>
  <c r="BS58" i="96"/>
  <c r="BQ60" i="96"/>
  <c r="BN62" i="96"/>
  <c r="BS62" i="96"/>
  <c r="BQ79" i="96"/>
  <c r="BQ80" i="96"/>
  <c r="BQ55" i="96"/>
  <c r="BM56" i="96"/>
  <c r="BR56" i="96"/>
  <c r="BO58" i="96"/>
  <c r="BQ59" i="96"/>
  <c r="BM60" i="96"/>
  <c r="BR60" i="96"/>
  <c r="BO62" i="96"/>
  <c r="BQ66" i="96"/>
  <c r="BQ67" i="96"/>
  <c r="BQ68" i="96"/>
  <c r="BQ69" i="96"/>
  <c r="BQ70" i="96"/>
  <c r="BQ71" i="96"/>
  <c r="BQ72" i="96"/>
  <c r="BQ73" i="96"/>
  <c r="BQ74" i="96"/>
  <c r="BQ75" i="96"/>
  <c r="BQ76" i="96"/>
  <c r="BM79" i="96"/>
  <c r="BR79" i="96"/>
  <c r="BM80" i="96"/>
  <c r="BR80" i="96"/>
  <c r="BQ81" i="96"/>
  <c r="BQ82" i="96"/>
  <c r="BQ83" i="96"/>
  <c r="BM55" i="96"/>
  <c r="BN56" i="96"/>
  <c r="BM59" i="96"/>
  <c r="BN60" i="96"/>
  <c r="BM66" i="96"/>
  <c r="BM67" i="96"/>
  <c r="BM68" i="96"/>
  <c r="BM69" i="96"/>
  <c r="BM70" i="96"/>
  <c r="BM71" i="96"/>
  <c r="BM72" i="96"/>
  <c r="BM73" i="96"/>
  <c r="BM74" i="96"/>
  <c r="BM75" i="96"/>
  <c r="BM76" i="96"/>
  <c r="BN79" i="96"/>
  <c r="BN80" i="96"/>
  <c r="BM81" i="96"/>
  <c r="BM82" i="96"/>
  <c r="BM83" i="96"/>
  <c r="S11" i="98" l="1"/>
  <c r="G10" i="98" s="1"/>
  <c r="T18" i="96"/>
  <c r="S21" i="96" s="1"/>
  <c r="BV28" i="96"/>
  <c r="BV29" i="96" s="1"/>
  <c r="AA44" i="96"/>
  <c r="AA42" i="96"/>
  <c r="AA38" i="96"/>
  <c r="AA34" i="96"/>
  <c r="AA45" i="96"/>
  <c r="AA43" i="96"/>
  <c r="AA39" i="96"/>
  <c r="AA35" i="96"/>
  <c r="AA33" i="96"/>
  <c r="AA28" i="96"/>
  <c r="AA24" i="96"/>
  <c r="AA31" i="96"/>
  <c r="AA27" i="96"/>
  <c r="AA25" i="96"/>
  <c r="AA22" i="96"/>
  <c r="AA20" i="96"/>
  <c r="AA19" i="96"/>
  <c r="AA13" i="96"/>
  <c r="AA47" i="96"/>
  <c r="AA40" i="96"/>
  <c r="AA36" i="96"/>
  <c r="AA29" i="96"/>
  <c r="AA26" i="96"/>
  <c r="AA23" i="96"/>
  <c r="AA17" i="96"/>
  <c r="AA30" i="96"/>
  <c r="AA41" i="96"/>
  <c r="AA37" i="96"/>
  <c r="AA32" i="96"/>
  <c r="AA12" i="96"/>
  <c r="AA21" i="96"/>
  <c r="AA16" i="96"/>
  <c r="AA46" i="96"/>
  <c r="AA18" i="96"/>
  <c r="AA15" i="96"/>
  <c r="AB11" i="96"/>
  <c r="BW28" i="96"/>
  <c r="BX28" i="96" s="1"/>
  <c r="BY28" i="96" s="1"/>
  <c r="T21" i="96" l="1"/>
  <c r="BW29" i="96"/>
  <c r="BX29" i="96" s="1"/>
  <c r="BY29" i="96" s="1"/>
  <c r="BV30" i="96"/>
  <c r="AB47" i="96"/>
  <c r="AB45" i="96"/>
  <c r="AB43" i="96"/>
  <c r="AB39" i="96"/>
  <c r="AB35" i="96"/>
  <c r="AB46" i="96"/>
  <c r="AB40" i="96"/>
  <c r="AB36" i="96"/>
  <c r="AB29" i="96"/>
  <c r="AB26" i="96"/>
  <c r="AB25" i="96"/>
  <c r="AB23" i="96"/>
  <c r="AB18" i="96"/>
  <c r="AB17" i="96"/>
  <c r="AB14" i="96"/>
  <c r="AB12" i="96"/>
  <c r="AB41" i="96"/>
  <c r="AB37" i="96"/>
  <c r="AB32" i="96"/>
  <c r="AB44" i="96"/>
  <c r="AB24" i="96"/>
  <c r="AB22" i="96"/>
  <c r="AB20" i="96"/>
  <c r="AC11" i="96"/>
  <c r="AB34" i="96"/>
  <c r="AB31" i="96"/>
  <c r="AB19" i="96"/>
  <c r="AB28" i="96"/>
  <c r="AB27" i="96"/>
  <c r="AB21" i="96"/>
  <c r="AB16" i="96"/>
  <c r="AB13" i="96"/>
  <c r="AB30" i="96"/>
  <c r="AB42" i="96"/>
  <c r="AB38" i="96"/>
  <c r="AB33" i="96"/>
  <c r="AC47" i="96" l="1"/>
  <c r="AC46" i="96"/>
  <c r="AC45" i="96"/>
  <c r="AC40" i="96"/>
  <c r="AC36" i="96"/>
  <c r="AC41" i="96"/>
  <c r="AC37" i="96"/>
  <c r="AC33" i="96"/>
  <c r="AC32" i="96"/>
  <c r="AC31" i="96"/>
  <c r="AC30" i="96"/>
  <c r="AC43" i="96"/>
  <c r="AC39" i="96"/>
  <c r="AC35" i="96"/>
  <c r="AC29" i="96"/>
  <c r="AC26" i="96"/>
  <c r="AC28" i="96"/>
  <c r="AC24" i="96"/>
  <c r="AC21" i="96"/>
  <c r="AC27" i="96"/>
  <c r="AC13" i="96"/>
  <c r="AC12" i="96"/>
  <c r="AC44" i="96"/>
  <c r="AC22" i="96"/>
  <c r="AC20" i="96"/>
  <c r="AC17" i="96"/>
  <c r="AD11" i="96"/>
  <c r="AC42" i="96"/>
  <c r="AC38" i="96"/>
  <c r="AC34" i="96"/>
  <c r="AC23" i="96"/>
  <c r="AC19" i="96"/>
  <c r="AC18" i="96"/>
  <c r="AC15" i="96"/>
  <c r="AC14" i="96"/>
  <c r="AC25" i="96"/>
  <c r="BW30" i="96"/>
  <c r="BX30" i="96" s="1"/>
  <c r="BY30" i="96" s="1"/>
  <c r="BV31" i="96"/>
  <c r="BW31" i="96" l="1"/>
  <c r="BX31" i="96" s="1"/>
  <c r="BY31" i="96" s="1"/>
  <c r="BV32" i="96"/>
  <c r="AD46" i="96"/>
  <c r="AD44" i="96"/>
  <c r="AD41" i="96"/>
  <c r="AD37" i="96"/>
  <c r="AD42" i="96"/>
  <c r="AD38" i="96"/>
  <c r="AD34" i="96"/>
  <c r="AD27" i="96"/>
  <c r="AD23" i="96"/>
  <c r="AD45" i="96"/>
  <c r="AD47" i="96"/>
  <c r="AD40" i="96"/>
  <c r="AD36" i="96"/>
  <c r="AD32" i="96"/>
  <c r="AD28" i="96"/>
  <c r="AD24" i="96"/>
  <c r="AD21" i="96"/>
  <c r="AD16" i="96"/>
  <c r="AE11" i="96"/>
  <c r="AD33" i="96"/>
  <c r="AD30" i="96"/>
  <c r="AD22" i="96"/>
  <c r="AD43" i="96"/>
  <c r="AD39" i="96"/>
  <c r="AD35" i="96"/>
  <c r="AD26" i="96"/>
  <c r="AD19" i="96"/>
  <c r="AD18" i="96"/>
  <c r="AD15" i="96"/>
  <c r="AD14" i="96"/>
  <c r="AD31" i="96"/>
  <c r="AD29" i="96"/>
  <c r="AD25" i="96"/>
  <c r="AD20" i="96"/>
  <c r="AD13" i="96"/>
  <c r="AD12" i="96"/>
  <c r="AE42" i="96" l="1"/>
  <c r="AE38" i="96"/>
  <c r="AE34" i="96"/>
  <c r="AE47" i="96"/>
  <c r="AE44" i="96"/>
  <c r="AE43" i="96"/>
  <c r="AE39" i="96"/>
  <c r="AE35" i="96"/>
  <c r="AE45" i="96"/>
  <c r="AE32" i="96"/>
  <c r="AE28" i="96"/>
  <c r="AE24" i="96"/>
  <c r="AE41" i="96"/>
  <c r="AE40" i="96"/>
  <c r="AE37" i="96"/>
  <c r="AE36" i="96"/>
  <c r="AE33" i="96"/>
  <c r="AE30" i="96"/>
  <c r="AE22" i="96"/>
  <c r="AE20" i="96"/>
  <c r="AE19" i="96"/>
  <c r="AE15" i="96"/>
  <c r="AE13" i="96"/>
  <c r="AE31" i="96"/>
  <c r="AE27" i="96"/>
  <c r="AE25" i="96"/>
  <c r="AE26" i="96"/>
  <c r="AE21" i="96"/>
  <c r="AE17" i="96"/>
  <c r="AE16" i="96"/>
  <c r="AE14" i="96"/>
  <c r="AF11" i="96"/>
  <c r="AE12" i="96"/>
  <c r="AE29" i="96"/>
  <c r="AE23" i="96"/>
  <c r="AE46" i="96"/>
  <c r="BW32" i="96"/>
  <c r="BX32" i="96" s="1"/>
  <c r="BY32" i="96" s="1"/>
  <c r="BV33" i="96"/>
  <c r="AF47" i="96" l="1"/>
  <c r="AF45" i="96"/>
  <c r="AF44" i="96"/>
  <c r="AF43" i="96"/>
  <c r="AF39" i="96"/>
  <c r="AF35" i="96"/>
  <c r="AF40" i="96"/>
  <c r="AF36" i="96"/>
  <c r="AF41" i="96"/>
  <c r="AF37" i="96"/>
  <c r="AF33" i="96"/>
  <c r="AF29" i="96"/>
  <c r="AF26" i="96"/>
  <c r="AF25" i="96"/>
  <c r="AF46" i="96"/>
  <c r="AF42" i="96"/>
  <c r="AF38" i="96"/>
  <c r="AF34" i="96"/>
  <c r="AF31" i="96"/>
  <c r="AF27" i="96"/>
  <c r="AF14" i="96"/>
  <c r="AF12" i="96"/>
  <c r="AF23" i="96"/>
  <c r="AF32" i="96"/>
  <c r="AF28" i="96"/>
  <c r="AF18" i="96"/>
  <c r="AF15" i="96"/>
  <c r="AG11" i="96"/>
  <c r="AF30" i="96"/>
  <c r="AF20" i="96"/>
  <c r="AF22" i="96"/>
  <c r="AF13" i="96"/>
  <c r="AF24" i="96"/>
  <c r="AF21" i="96"/>
  <c r="AF17" i="96"/>
  <c r="AF16" i="96"/>
  <c r="BW33" i="96"/>
  <c r="BX33" i="96" s="1"/>
  <c r="BY33" i="96" s="1"/>
  <c r="BV34" i="96"/>
  <c r="AG47" i="96" l="1"/>
  <c r="AG40" i="96"/>
  <c r="AG36" i="96"/>
  <c r="AG46" i="96"/>
  <c r="AG45" i="96"/>
  <c r="AG41" i="96"/>
  <c r="AG37" i="96"/>
  <c r="AG33" i="96"/>
  <c r="AG32" i="96"/>
  <c r="AG42" i="96"/>
  <c r="AG38" i="96"/>
  <c r="AG34" i="96"/>
  <c r="AG31" i="96"/>
  <c r="AG30" i="96"/>
  <c r="AG22" i="96"/>
  <c r="AG44" i="96"/>
  <c r="AG43" i="96"/>
  <c r="AG39" i="96"/>
  <c r="AG35" i="96"/>
  <c r="AG25" i="96"/>
  <c r="AG23" i="96"/>
  <c r="AG18" i="96"/>
  <c r="AG17" i="96"/>
  <c r="AG29" i="96"/>
  <c r="AG26" i="96"/>
  <c r="AG21" i="96"/>
  <c r="AG19" i="96"/>
  <c r="AG16" i="96"/>
  <c r="AH11" i="96"/>
  <c r="AG15" i="96"/>
  <c r="AG13" i="96"/>
  <c r="AG12" i="96"/>
  <c r="AG24" i="96"/>
  <c r="AG28" i="96"/>
  <c r="AG27" i="96"/>
  <c r="AG14" i="96"/>
  <c r="BV35" i="96"/>
  <c r="BW34" i="96"/>
  <c r="BX34" i="96" s="1"/>
  <c r="BY34" i="96" s="1"/>
  <c r="BV36" i="96" l="1"/>
  <c r="BW35" i="96"/>
  <c r="BX35" i="96" s="1"/>
  <c r="BY35" i="96" s="1"/>
  <c r="AH46" i="96"/>
  <c r="AH44" i="96"/>
  <c r="AH47" i="96"/>
  <c r="AH45" i="96"/>
  <c r="AH41" i="96"/>
  <c r="AH37" i="96"/>
  <c r="AH42" i="96"/>
  <c r="AH38" i="96"/>
  <c r="AH34" i="96"/>
  <c r="AH43" i="96"/>
  <c r="AH40" i="96"/>
  <c r="AH39" i="96"/>
  <c r="AH36" i="96"/>
  <c r="AH35" i="96"/>
  <c r="AH27" i="96"/>
  <c r="AH23" i="96"/>
  <c r="AH33" i="96"/>
  <c r="AH29" i="96"/>
  <c r="AH26" i="96"/>
  <c r="AH16" i="96"/>
  <c r="AI11" i="96"/>
  <c r="AH28" i="96"/>
  <c r="AH24" i="96"/>
  <c r="AH30" i="96"/>
  <c r="AH20" i="96"/>
  <c r="AH13" i="96"/>
  <c r="AH12" i="96"/>
  <c r="AH15" i="96"/>
  <c r="AH18" i="96"/>
  <c r="AH31" i="96"/>
  <c r="AH25" i="96"/>
  <c r="AH22" i="96"/>
  <c r="AH17" i="96"/>
  <c r="AH14" i="96"/>
  <c r="AH32" i="96"/>
  <c r="AH19" i="96"/>
  <c r="AI46" i="96" l="1"/>
  <c r="AI42" i="96"/>
  <c r="AI38" i="96"/>
  <c r="AI34" i="96"/>
  <c r="AI43" i="96"/>
  <c r="AI39" i="96"/>
  <c r="AI35" i="96"/>
  <c r="AI44" i="96"/>
  <c r="AI28" i="96"/>
  <c r="AI24" i="96"/>
  <c r="AI47" i="96"/>
  <c r="AI41" i="96"/>
  <c r="AI37" i="96"/>
  <c r="AI21" i="96"/>
  <c r="AI15" i="96"/>
  <c r="AI13" i="96"/>
  <c r="AI45" i="96"/>
  <c r="AI32" i="96"/>
  <c r="AI30" i="96"/>
  <c r="AI31" i="96"/>
  <c r="AI29" i="96"/>
  <c r="AI25" i="96"/>
  <c r="AI23" i="96"/>
  <c r="AI18" i="96"/>
  <c r="AI12" i="96"/>
  <c r="AI17" i="96"/>
  <c r="AI16" i="96"/>
  <c r="AI14" i="96"/>
  <c r="AJ11" i="96"/>
  <c r="AI40" i="96"/>
  <c r="AI36" i="96"/>
  <c r="AI33" i="96"/>
  <c r="AI27" i="96"/>
  <c r="AI19" i="96"/>
  <c r="AI26" i="96"/>
  <c r="AI20" i="96"/>
  <c r="BW36" i="96"/>
  <c r="BX36" i="96" s="1"/>
  <c r="BY36" i="96" s="1"/>
  <c r="BV37" i="96"/>
  <c r="BW37" i="96" l="1"/>
  <c r="BX37" i="96" s="1"/>
  <c r="BY37" i="96" s="1"/>
  <c r="BV38" i="96"/>
  <c r="AJ47" i="96"/>
  <c r="AJ45" i="96"/>
  <c r="AJ43" i="96"/>
  <c r="AJ39" i="96"/>
  <c r="AJ35" i="96"/>
  <c r="AJ44" i="96"/>
  <c r="AJ40" i="96"/>
  <c r="AJ36" i="96"/>
  <c r="AJ46" i="96"/>
  <c r="AJ32" i="96"/>
  <c r="AJ29" i="96"/>
  <c r="AJ26" i="96"/>
  <c r="AJ25" i="96"/>
  <c r="AJ33" i="96"/>
  <c r="AJ30" i="96"/>
  <c r="AJ28" i="96"/>
  <c r="AJ24" i="96"/>
  <c r="AJ20" i="96"/>
  <c r="AJ19" i="96"/>
  <c r="AJ14" i="96"/>
  <c r="AJ12" i="96"/>
  <c r="AJ42" i="96"/>
  <c r="AJ38" i="96"/>
  <c r="AJ34" i="96"/>
  <c r="AJ31" i="96"/>
  <c r="AJ27" i="96"/>
  <c r="AJ22" i="96"/>
  <c r="AJ41" i="96"/>
  <c r="AJ37" i="96"/>
  <c r="AJ17" i="96"/>
  <c r="AJ16" i="96"/>
  <c r="AK11" i="96"/>
  <c r="AJ18" i="96"/>
  <c r="AJ15" i="96"/>
  <c r="AJ21" i="96"/>
  <c r="AJ13" i="96"/>
  <c r="AK47" i="96" l="1"/>
  <c r="AK44" i="96"/>
  <c r="AK40" i="96"/>
  <c r="AK36" i="96"/>
  <c r="AK41" i="96"/>
  <c r="AK37" i="96"/>
  <c r="AK33" i="96"/>
  <c r="AK32" i="96"/>
  <c r="AK31" i="96"/>
  <c r="AK30" i="96"/>
  <c r="AK45" i="96"/>
  <c r="AK42" i="96"/>
  <c r="AK38" i="96"/>
  <c r="AK34" i="96"/>
  <c r="AK27" i="96"/>
  <c r="AK22" i="96"/>
  <c r="AK18" i="96"/>
  <c r="AK17" i="96"/>
  <c r="AK46" i="96"/>
  <c r="AK25" i="96"/>
  <c r="AK15" i="96"/>
  <c r="AK14" i="96"/>
  <c r="AK35" i="96"/>
  <c r="AK23" i="96"/>
  <c r="AL11" i="96"/>
  <c r="AK21" i="96"/>
  <c r="AK19" i="96"/>
  <c r="AK28" i="96"/>
  <c r="AK26" i="96"/>
  <c r="AK20" i="96"/>
  <c r="AK13" i="96"/>
  <c r="AK12" i="96"/>
  <c r="AK43" i="96"/>
  <c r="AK39" i="96"/>
  <c r="AK29" i="96"/>
  <c r="AK16" i="96"/>
  <c r="BV39" i="96"/>
  <c r="BW38" i="96"/>
  <c r="BX38" i="96" s="1"/>
  <c r="BY38" i="96" s="1"/>
  <c r="BV40" i="96" l="1"/>
  <c r="BW39" i="96"/>
  <c r="BX39" i="96" s="1"/>
  <c r="BY39" i="96" s="1"/>
  <c r="AL46" i="96"/>
  <c r="AL44" i="96"/>
  <c r="AL41" i="96"/>
  <c r="AL37" i="96"/>
  <c r="AL45" i="96"/>
  <c r="AL42" i="96"/>
  <c r="AL38" i="96"/>
  <c r="AL34" i="96"/>
  <c r="AL47" i="96"/>
  <c r="AL33" i="96"/>
  <c r="AL27" i="96"/>
  <c r="AL22" i="96"/>
  <c r="AL32" i="96"/>
  <c r="AL31" i="96"/>
  <c r="AL16" i="96"/>
  <c r="AM11" i="96"/>
  <c r="AL43" i="96"/>
  <c r="AL39" i="96"/>
  <c r="AL35" i="96"/>
  <c r="AL29" i="96"/>
  <c r="AL26" i="96"/>
  <c r="AL23" i="96"/>
  <c r="AL21" i="96"/>
  <c r="AL19" i="96"/>
  <c r="AL18" i="96"/>
  <c r="AL17" i="96"/>
  <c r="AL15" i="96"/>
  <c r="AL14" i="96"/>
  <c r="AL40" i="96"/>
  <c r="AL36" i="96"/>
  <c r="AL28" i="96"/>
  <c r="AL24" i="96"/>
  <c r="AL20" i="96"/>
  <c r="AL13" i="96"/>
  <c r="AL12" i="96"/>
  <c r="AL30" i="96"/>
  <c r="AM45" i="96" l="1"/>
  <c r="AM42" i="96"/>
  <c r="AM38" i="96"/>
  <c r="AM34" i="96"/>
  <c r="AM47" i="96"/>
  <c r="AM46" i="96"/>
  <c r="AM43" i="96"/>
  <c r="AM39" i="96"/>
  <c r="AM35" i="96"/>
  <c r="AM28" i="96"/>
  <c r="AM23" i="96"/>
  <c r="AM41" i="96"/>
  <c r="AM40" i="96"/>
  <c r="AM37" i="96"/>
  <c r="AM36" i="96"/>
  <c r="AM29" i="96"/>
  <c r="AM25" i="96"/>
  <c r="AM21" i="96"/>
  <c r="AM15" i="96"/>
  <c r="AM13" i="96"/>
  <c r="AM44" i="96"/>
  <c r="AM24" i="96"/>
  <c r="AM22" i="96"/>
  <c r="AM20" i="96"/>
  <c r="AM12" i="96"/>
  <c r="AM17" i="96"/>
  <c r="AN11" i="96"/>
  <c r="AM19" i="96"/>
  <c r="AM33" i="96"/>
  <c r="AM27" i="96"/>
  <c r="AM32" i="96"/>
  <c r="AM30" i="96"/>
  <c r="AM16" i="96"/>
  <c r="AM14" i="96"/>
  <c r="AM31" i="96"/>
  <c r="AM18" i="96"/>
  <c r="BW40" i="96"/>
  <c r="BX40" i="96" s="1"/>
  <c r="BY40" i="96" s="1"/>
  <c r="BV41" i="96"/>
  <c r="BW41" i="96" l="1"/>
  <c r="BX41" i="96" s="1"/>
  <c r="BY41" i="96" s="1"/>
  <c r="BV42" i="96"/>
  <c r="AN47" i="96"/>
  <c r="AN45" i="96"/>
  <c r="AN46" i="96"/>
  <c r="AN43" i="96"/>
  <c r="AN39" i="96"/>
  <c r="AN35" i="96"/>
  <c r="AN40" i="96"/>
  <c r="AN36" i="96"/>
  <c r="AN41" i="96"/>
  <c r="AN37" i="96"/>
  <c r="AN29" i="96"/>
  <c r="AN24" i="96"/>
  <c r="AN42" i="96"/>
  <c r="AN38" i="96"/>
  <c r="AN34" i="96"/>
  <c r="AN44" i="96"/>
  <c r="AN26" i="96"/>
  <c r="AN23" i="96"/>
  <c r="AN20" i="96"/>
  <c r="AN19" i="96"/>
  <c r="AN14" i="96"/>
  <c r="AN12" i="96"/>
  <c r="AN33" i="96"/>
  <c r="AN30" i="96"/>
  <c r="AN28" i="96"/>
  <c r="AN21" i="96"/>
  <c r="AN13" i="96"/>
  <c r="AN22" i="96"/>
  <c r="AN32" i="96"/>
  <c r="AN17" i="96"/>
  <c r="AN16" i="96"/>
  <c r="AO11" i="96"/>
  <c r="AN31" i="96"/>
  <c r="AN18" i="96"/>
  <c r="AN15" i="96"/>
  <c r="AN25" i="96"/>
  <c r="AO47" i="96" l="1"/>
  <c r="AO40" i="96"/>
  <c r="AO36" i="96"/>
  <c r="AO44" i="96"/>
  <c r="AO41" i="96"/>
  <c r="AO37" i="96"/>
  <c r="AO33" i="96"/>
  <c r="AO32" i="96"/>
  <c r="AO42" i="96"/>
  <c r="AO38" i="96"/>
  <c r="AO34" i="96"/>
  <c r="AO31" i="96"/>
  <c r="AO30" i="96"/>
  <c r="AO26" i="96"/>
  <c r="AO25" i="96"/>
  <c r="AO45" i="96"/>
  <c r="AO43" i="96"/>
  <c r="AO39" i="96"/>
  <c r="AO35" i="96"/>
  <c r="AO46" i="96"/>
  <c r="AO18" i="96"/>
  <c r="AO17" i="96"/>
  <c r="AO24" i="96"/>
  <c r="AO22" i="96"/>
  <c r="AO27" i="96"/>
  <c r="AO16" i="96"/>
  <c r="AP11" i="96"/>
  <c r="AO21" i="96"/>
  <c r="AO20" i="96"/>
  <c r="AO15" i="96"/>
  <c r="AO14" i="96"/>
  <c r="AO29" i="96"/>
  <c r="AO23" i="96"/>
  <c r="AO19" i="96"/>
  <c r="AO13" i="96"/>
  <c r="AO12" i="96"/>
  <c r="BV43" i="96"/>
  <c r="BW42" i="96"/>
  <c r="BX42" i="96" s="1"/>
  <c r="BY42" i="96" s="1"/>
  <c r="AP46" i="96" l="1"/>
  <c r="AP44" i="96"/>
  <c r="AP47" i="96"/>
  <c r="AP41" i="96"/>
  <c r="AP37" i="96"/>
  <c r="AP42" i="96"/>
  <c r="AP38" i="96"/>
  <c r="AP34" i="96"/>
  <c r="AP45" i="96"/>
  <c r="AP43" i="96"/>
  <c r="AP40" i="96"/>
  <c r="AP39" i="96"/>
  <c r="AP36" i="96"/>
  <c r="AP35" i="96"/>
  <c r="AP32" i="96"/>
  <c r="AP22" i="96"/>
  <c r="AP33" i="96"/>
  <c r="AP30" i="96"/>
  <c r="AP28" i="96"/>
  <c r="AP24" i="96"/>
  <c r="AP16" i="96"/>
  <c r="AQ11" i="96"/>
  <c r="AP31" i="96"/>
  <c r="AP27" i="96"/>
  <c r="AP21" i="96"/>
  <c r="AP17" i="96"/>
  <c r="AP15" i="96"/>
  <c r="AP14" i="96"/>
  <c r="AP12" i="96"/>
  <c r="AP26" i="96"/>
  <c r="AP23" i="96"/>
  <c r="AP19" i="96"/>
  <c r="AP18" i="96"/>
  <c r="AP25" i="96"/>
  <c r="AP20" i="96"/>
  <c r="AP13" i="96"/>
  <c r="BW43" i="96"/>
  <c r="BX43" i="96" s="1"/>
  <c r="BY43" i="96" s="1"/>
  <c r="BV44" i="96"/>
  <c r="BW44" i="96" l="1"/>
  <c r="BX44" i="96" s="1"/>
  <c r="BY44" i="96" s="1"/>
  <c r="BV45" i="96"/>
  <c r="AQ44" i="96"/>
  <c r="AQ42" i="96"/>
  <c r="AQ38" i="96"/>
  <c r="AQ34" i="96"/>
  <c r="AQ45" i="96"/>
  <c r="AQ43" i="96"/>
  <c r="AQ39" i="96"/>
  <c r="AQ35" i="96"/>
  <c r="AQ33" i="96"/>
  <c r="AQ27" i="96"/>
  <c r="AQ23" i="96"/>
  <c r="AQ46" i="96"/>
  <c r="AQ31" i="96"/>
  <c r="AQ22" i="96"/>
  <c r="AQ21" i="96"/>
  <c r="AQ15" i="96"/>
  <c r="AQ13" i="96"/>
  <c r="AQ40" i="96"/>
  <c r="AQ36" i="96"/>
  <c r="AQ32" i="96"/>
  <c r="AQ25" i="96"/>
  <c r="AQ20" i="96"/>
  <c r="AQ47" i="96"/>
  <c r="AQ28" i="96"/>
  <c r="AQ26" i="96"/>
  <c r="AQ19" i="96"/>
  <c r="AQ18" i="96"/>
  <c r="AQ29" i="96"/>
  <c r="AQ12" i="96"/>
  <c r="AQ41" i="96"/>
  <c r="AQ37" i="96"/>
  <c r="AQ24" i="96"/>
  <c r="AQ17" i="96"/>
  <c r="AQ16" i="96"/>
  <c r="AQ14" i="96"/>
  <c r="AR11" i="96"/>
  <c r="AR47" i="96" l="1"/>
  <c r="AR45" i="96"/>
  <c r="AR43" i="96"/>
  <c r="AR39" i="96"/>
  <c r="AR35" i="96"/>
  <c r="AR46" i="96"/>
  <c r="AR40" i="96"/>
  <c r="AR36" i="96"/>
  <c r="AR28" i="96"/>
  <c r="AR24" i="96"/>
  <c r="AR44" i="96"/>
  <c r="AR33" i="96"/>
  <c r="AR32" i="96"/>
  <c r="AR27" i="96"/>
  <c r="AR25" i="96"/>
  <c r="AR20" i="96"/>
  <c r="AR19" i="96"/>
  <c r="AR14" i="96"/>
  <c r="AR12" i="96"/>
  <c r="AR41" i="96"/>
  <c r="AR37" i="96"/>
  <c r="AR29" i="96"/>
  <c r="AR26" i="96"/>
  <c r="AR23" i="96"/>
  <c r="AR16" i="96"/>
  <c r="AS11" i="96"/>
  <c r="AR18" i="96"/>
  <c r="AR42" i="96"/>
  <c r="AR38" i="96"/>
  <c r="AR34" i="96"/>
  <c r="AR30" i="96"/>
  <c r="AR13" i="96"/>
  <c r="AR22" i="96"/>
  <c r="AR21" i="96"/>
  <c r="AR17" i="96"/>
  <c r="AR15" i="96"/>
  <c r="BV46" i="96"/>
  <c r="BW45" i="96"/>
  <c r="BX45" i="96" s="1"/>
  <c r="BY45" i="96" s="1"/>
  <c r="AS47" i="96" l="1"/>
  <c r="AS46" i="96"/>
  <c r="AS45" i="96"/>
  <c r="AS40" i="96"/>
  <c r="AS36" i="96"/>
  <c r="AS41" i="96"/>
  <c r="AS37" i="96"/>
  <c r="AS33" i="96"/>
  <c r="AS44" i="96"/>
  <c r="AS29" i="96"/>
  <c r="AS26" i="96"/>
  <c r="AS25" i="96"/>
  <c r="AS43" i="96"/>
  <c r="AS39" i="96"/>
  <c r="AS35" i="96"/>
  <c r="AS23" i="96"/>
  <c r="AS18" i="96"/>
  <c r="AS17" i="96"/>
  <c r="AS42" i="96"/>
  <c r="AS38" i="96"/>
  <c r="AS34" i="96"/>
  <c r="AS30" i="96"/>
  <c r="AS13" i="96"/>
  <c r="AS12" i="96"/>
  <c r="AS15" i="96"/>
  <c r="AS19" i="96"/>
  <c r="AS31" i="96"/>
  <c r="AS22" i="96"/>
  <c r="AS21" i="96"/>
  <c r="AS20" i="96"/>
  <c r="AS16" i="96"/>
  <c r="AT11" i="96"/>
  <c r="AS24" i="96"/>
  <c r="AS14" i="96"/>
  <c r="AS28" i="96"/>
  <c r="AS27" i="96"/>
  <c r="BV47" i="96"/>
  <c r="BW46" i="96"/>
  <c r="BX46" i="96" s="1"/>
  <c r="BY46" i="96" s="1"/>
  <c r="BW47" i="96" l="1"/>
  <c r="BX47" i="96" s="1"/>
  <c r="BY47" i="96" s="1"/>
  <c r="BV48" i="96"/>
  <c r="AT46" i="96"/>
  <c r="AT44" i="96"/>
  <c r="AT41" i="96"/>
  <c r="AT37" i="96"/>
  <c r="AT42" i="96"/>
  <c r="AT38" i="96"/>
  <c r="AT34" i="96"/>
  <c r="AT32" i="96"/>
  <c r="AT31" i="96"/>
  <c r="AT30" i="96"/>
  <c r="AT22" i="96"/>
  <c r="AT40" i="96"/>
  <c r="AT36" i="96"/>
  <c r="AT29" i="96"/>
  <c r="AT26" i="96"/>
  <c r="AT16" i="96"/>
  <c r="AU11" i="96"/>
  <c r="AT28" i="96"/>
  <c r="AT24" i="96"/>
  <c r="AT21" i="96"/>
  <c r="AT23" i="96"/>
  <c r="AT20" i="96"/>
  <c r="AT18" i="96"/>
  <c r="AT12" i="96"/>
  <c r="AT45" i="96"/>
  <c r="AT25" i="96"/>
  <c r="AT17" i="96"/>
  <c r="AT15" i="96"/>
  <c r="AT14" i="96"/>
  <c r="AT43" i="96"/>
  <c r="AT39" i="96"/>
  <c r="AT35" i="96"/>
  <c r="AT27" i="96"/>
  <c r="AT19" i="96"/>
  <c r="AT47" i="96"/>
  <c r="AT13" i="96"/>
  <c r="BV49" i="96" l="1"/>
  <c r="BW48" i="96"/>
  <c r="BX48" i="96" s="1"/>
  <c r="BY48" i="96" s="1"/>
  <c r="AU42" i="96"/>
  <c r="AU38" i="96"/>
  <c r="AU47" i="96"/>
  <c r="AU44" i="96"/>
  <c r="AU43" i="96"/>
  <c r="AU39" i="96"/>
  <c r="AU35" i="96"/>
  <c r="AU46" i="96"/>
  <c r="AU31" i="96"/>
  <c r="AU27" i="96"/>
  <c r="AU23" i="96"/>
  <c r="AU41" i="96"/>
  <c r="AU40" i="96"/>
  <c r="AU37" i="96"/>
  <c r="AU36" i="96"/>
  <c r="AU28" i="96"/>
  <c r="AU24" i="96"/>
  <c r="AU21" i="96"/>
  <c r="AU15" i="96"/>
  <c r="AU13" i="96"/>
  <c r="AU30" i="96"/>
  <c r="AU22" i="96"/>
  <c r="AU20" i="96"/>
  <c r="AU45" i="96"/>
  <c r="AU33" i="96"/>
  <c r="AU32" i="96"/>
  <c r="AU29" i="96"/>
  <c r="AU25" i="96"/>
  <c r="AU17" i="96"/>
  <c r="AU16" i="96"/>
  <c r="AU14" i="96"/>
  <c r="AV11" i="96"/>
  <c r="AU26" i="96"/>
  <c r="AU19" i="96"/>
  <c r="AU18" i="96"/>
  <c r="AU12" i="96"/>
  <c r="AV47" i="96" l="1"/>
  <c r="AV45" i="96"/>
  <c r="AV44" i="96"/>
  <c r="AV43" i="96"/>
  <c r="AV39" i="96"/>
  <c r="AV34" i="96"/>
  <c r="AV40" i="96"/>
  <c r="AV36" i="96"/>
  <c r="AV41" i="96"/>
  <c r="AV37" i="96"/>
  <c r="AV32" i="96"/>
  <c r="AV28" i="96"/>
  <c r="AV24" i="96"/>
  <c r="AV42" i="96"/>
  <c r="AV38" i="96"/>
  <c r="AV33" i="96"/>
  <c r="AV30" i="96"/>
  <c r="AV22" i="96"/>
  <c r="AV20" i="96"/>
  <c r="AV19" i="96"/>
  <c r="AV14" i="96"/>
  <c r="AV12" i="96"/>
  <c r="AV27" i="96"/>
  <c r="AV25" i="96"/>
  <c r="AV31" i="96"/>
  <c r="AV21" i="96"/>
  <c r="AV18" i="96"/>
  <c r="AV15" i="96"/>
  <c r="AV29" i="96"/>
  <c r="AW11" i="96"/>
  <c r="AV46" i="96"/>
  <c r="AV26" i="96"/>
  <c r="AV13" i="96"/>
  <c r="AV23" i="96"/>
  <c r="AV17" i="96"/>
  <c r="AV16" i="96"/>
  <c r="BV50" i="96"/>
  <c r="BW49" i="96"/>
  <c r="BX49" i="96" s="1"/>
  <c r="BY49" i="96" s="1"/>
  <c r="AW47" i="96" l="1"/>
  <c r="AW40" i="96"/>
  <c r="AW35" i="96"/>
  <c r="AW46" i="96"/>
  <c r="AW45" i="96"/>
  <c r="AW41" i="96"/>
  <c r="AW37" i="96"/>
  <c r="AW42" i="96"/>
  <c r="AW38" i="96"/>
  <c r="AW33" i="96"/>
  <c r="AW29" i="96"/>
  <c r="AW26" i="96"/>
  <c r="AW25" i="96"/>
  <c r="AW43" i="96"/>
  <c r="AW39" i="96"/>
  <c r="AW34" i="96"/>
  <c r="AW27" i="96"/>
  <c r="AW18" i="96"/>
  <c r="AW17" i="96"/>
  <c r="AW31" i="96"/>
  <c r="AW23" i="96"/>
  <c r="AW22" i="96"/>
  <c r="AW19" i="96"/>
  <c r="AW16" i="96"/>
  <c r="AX11" i="96"/>
  <c r="AW32" i="96"/>
  <c r="AW30" i="96"/>
  <c r="AW15" i="96"/>
  <c r="AW14" i="96"/>
  <c r="AW24" i="96"/>
  <c r="AW13" i="96"/>
  <c r="AW12" i="96"/>
  <c r="AW44" i="96"/>
  <c r="AW28" i="96"/>
  <c r="AW21" i="96"/>
  <c r="AW20" i="96"/>
  <c r="BW50" i="96"/>
  <c r="BX50" i="96" s="1"/>
  <c r="BY50" i="96" s="1"/>
  <c r="BV51" i="96"/>
  <c r="BV52" i="96" l="1"/>
  <c r="BW51" i="96"/>
  <c r="BX51" i="96" s="1"/>
  <c r="BY51" i="96" s="1"/>
  <c r="AX46" i="96"/>
  <c r="AX44" i="96"/>
  <c r="AX47" i="96"/>
  <c r="AX45" i="96"/>
  <c r="AX41" i="96"/>
  <c r="AX36" i="96"/>
  <c r="AX42" i="96"/>
  <c r="AX38" i="96"/>
  <c r="AX33" i="96"/>
  <c r="AX32" i="96"/>
  <c r="AX31" i="96"/>
  <c r="AX43" i="96"/>
  <c r="AX40" i="96"/>
  <c r="AX39" i="96"/>
  <c r="AX34" i="96"/>
  <c r="AX30" i="96"/>
  <c r="AX22" i="96"/>
  <c r="AX35" i="96"/>
  <c r="AX25" i="96"/>
  <c r="AX23" i="96"/>
  <c r="AX16" i="96"/>
  <c r="AY11" i="96"/>
  <c r="AX29" i="96"/>
  <c r="AX26" i="96"/>
  <c r="AX21" i="96"/>
  <c r="AX24" i="96"/>
  <c r="AX13" i="96"/>
  <c r="AX12" i="96"/>
  <c r="AX17" i="96"/>
  <c r="AX19" i="96"/>
  <c r="AX28" i="96"/>
  <c r="AX27" i="96"/>
  <c r="AX20" i="96"/>
  <c r="AX15" i="96"/>
  <c r="AX14" i="96"/>
  <c r="AX18" i="96"/>
  <c r="AY46" i="96" l="1"/>
  <c r="AY42" i="96"/>
  <c r="AY37" i="96"/>
  <c r="AY43" i="96"/>
  <c r="AY39" i="96"/>
  <c r="AY34" i="96"/>
  <c r="AY36" i="96"/>
  <c r="AY35" i="96"/>
  <c r="AY27" i="96"/>
  <c r="AY23" i="96"/>
  <c r="AY47" i="96"/>
  <c r="AY45" i="96"/>
  <c r="AY41" i="96"/>
  <c r="AY31" i="96"/>
  <c r="AY29" i="96"/>
  <c r="AY26" i="96"/>
  <c r="AY21" i="96"/>
  <c r="AY15" i="96"/>
  <c r="AY13" i="96"/>
  <c r="AY32" i="96"/>
  <c r="AY28" i="96"/>
  <c r="AY24" i="96"/>
  <c r="AY20" i="96"/>
  <c r="AY40" i="96"/>
  <c r="AY22" i="96"/>
  <c r="AY12" i="96"/>
  <c r="AY44" i="96"/>
  <c r="AY17" i="96"/>
  <c r="AY16" i="96"/>
  <c r="AY14" i="96"/>
  <c r="AZ11" i="96"/>
  <c r="AY30" i="96"/>
  <c r="AY19" i="96"/>
  <c r="AY18" i="96"/>
  <c r="AY33" i="96"/>
  <c r="AY25" i="96"/>
  <c r="BV53" i="96"/>
  <c r="BW52" i="96"/>
  <c r="BX52" i="96" s="1"/>
  <c r="BY52" i="96" s="1"/>
  <c r="AZ47" i="96" l="1"/>
  <c r="AZ45" i="96"/>
  <c r="AZ43" i="96"/>
  <c r="AZ38" i="96"/>
  <c r="AZ34" i="96"/>
  <c r="AZ44" i="96"/>
  <c r="AZ40" i="96"/>
  <c r="AZ35" i="96"/>
  <c r="AZ31" i="96"/>
  <c r="AZ28" i="96"/>
  <c r="AZ24" i="96"/>
  <c r="AZ32" i="96"/>
  <c r="AZ37" i="96"/>
  <c r="AZ20" i="96"/>
  <c r="AZ19" i="96"/>
  <c r="AZ14" i="96"/>
  <c r="AZ12" i="96"/>
  <c r="AZ42" i="96"/>
  <c r="AZ33" i="96"/>
  <c r="AZ30" i="96"/>
  <c r="AZ22" i="96"/>
  <c r="AZ46" i="96"/>
  <c r="AZ36" i="96"/>
  <c r="AZ27" i="96"/>
  <c r="AZ17" i="96"/>
  <c r="AZ16" i="96"/>
  <c r="BA11" i="96"/>
  <c r="AZ26" i="96"/>
  <c r="AZ18" i="96"/>
  <c r="AZ15" i="96"/>
  <c r="AZ41" i="96"/>
  <c r="AZ29" i="96"/>
  <c r="AZ25" i="96"/>
  <c r="AZ23" i="96"/>
  <c r="AZ21" i="96"/>
  <c r="AZ13" i="96"/>
  <c r="BV54" i="96"/>
  <c r="BW53" i="96"/>
  <c r="BX53" i="96" s="1"/>
  <c r="BY53" i="96" s="1"/>
  <c r="BA47" i="96" l="1"/>
  <c r="BA44" i="96"/>
  <c r="BA39" i="96"/>
  <c r="BA35" i="96"/>
  <c r="BA41" i="96"/>
  <c r="BA36" i="96"/>
  <c r="BA45" i="96"/>
  <c r="BA32" i="96"/>
  <c r="BA29" i="96"/>
  <c r="BA26" i="96"/>
  <c r="BA25" i="96"/>
  <c r="BA46" i="96"/>
  <c r="BA33" i="96"/>
  <c r="BA42" i="96"/>
  <c r="BA30" i="96"/>
  <c r="BA28" i="96"/>
  <c r="BA24" i="96"/>
  <c r="BA22" i="96"/>
  <c r="BA18" i="96"/>
  <c r="BA17" i="96"/>
  <c r="BA38" i="96"/>
  <c r="BA34" i="96"/>
  <c r="BA27" i="96"/>
  <c r="BA15" i="96"/>
  <c r="BA14" i="96"/>
  <c r="BA12" i="96"/>
  <c r="BA31" i="96"/>
  <c r="BA43" i="96"/>
  <c r="BA23" i="96"/>
  <c r="BA21" i="96"/>
  <c r="BA20" i="96"/>
  <c r="BA19" i="96"/>
  <c r="BA37" i="96"/>
  <c r="BA13" i="96"/>
  <c r="BA16" i="96"/>
  <c r="BB11" i="96"/>
  <c r="BW54" i="96"/>
  <c r="BX54" i="96" s="1"/>
  <c r="BY54" i="96" s="1"/>
  <c r="BV55" i="96"/>
  <c r="BW55" i="96" l="1"/>
  <c r="BX55" i="96" s="1"/>
  <c r="BY55" i="96" s="1"/>
  <c r="BV56" i="96"/>
  <c r="BB46" i="96"/>
  <c r="BB44" i="96"/>
  <c r="BB40" i="96"/>
  <c r="BB36" i="96"/>
  <c r="BB45" i="96"/>
  <c r="BB42" i="96"/>
  <c r="BB37" i="96"/>
  <c r="BB33" i="96"/>
  <c r="BB32" i="96"/>
  <c r="BB31" i="96"/>
  <c r="BB47" i="96"/>
  <c r="BB30" i="96"/>
  <c r="BB22" i="96"/>
  <c r="BB38" i="96"/>
  <c r="BB34" i="96"/>
  <c r="BB27" i="96"/>
  <c r="BB16" i="96"/>
  <c r="BC11" i="96"/>
  <c r="BB43" i="96"/>
  <c r="BB25" i="96"/>
  <c r="BB23" i="96"/>
  <c r="BB21" i="96"/>
  <c r="BB28" i="96"/>
  <c r="BB26" i="96"/>
  <c r="BB20" i="96"/>
  <c r="BB19" i="96"/>
  <c r="BB18" i="96"/>
  <c r="BB17" i="96"/>
  <c r="BB15" i="96"/>
  <c r="BB39" i="96"/>
  <c r="BB35" i="96"/>
  <c r="BB29" i="96"/>
  <c r="BB13" i="96"/>
  <c r="BB12" i="96"/>
  <c r="BB24" i="96"/>
  <c r="BB14" i="96"/>
  <c r="BV57" i="96" l="1"/>
  <c r="BY56" i="96"/>
  <c r="BW56" i="96"/>
  <c r="BX56" i="96" s="1"/>
  <c r="BC46" i="96"/>
  <c r="BC45" i="96"/>
  <c r="BC41" i="96"/>
  <c r="BC37" i="96"/>
  <c r="BC47" i="96"/>
  <c r="BC43" i="96"/>
  <c r="BC38" i="96"/>
  <c r="BC34" i="96"/>
  <c r="BC33" i="96"/>
  <c r="BC27" i="96"/>
  <c r="BC23" i="96"/>
  <c r="BC44" i="96"/>
  <c r="BC32" i="96"/>
  <c r="BC25" i="96"/>
  <c r="BC21" i="96"/>
  <c r="BC15" i="96"/>
  <c r="BC13" i="96"/>
  <c r="BC39" i="96"/>
  <c r="BC35" i="96"/>
  <c r="BC29" i="96"/>
  <c r="BC26" i="96"/>
  <c r="BC20" i="96"/>
  <c r="BC12" i="96"/>
  <c r="BD11" i="96"/>
  <c r="BC19" i="96"/>
  <c r="BC18" i="96"/>
  <c r="BC30" i="96"/>
  <c r="BC31" i="96"/>
  <c r="BC24" i="96"/>
  <c r="BC22" i="96"/>
  <c r="BC17" i="96"/>
  <c r="BC16" i="96"/>
  <c r="BC14" i="96"/>
  <c r="BC40" i="96"/>
  <c r="BC36" i="96"/>
  <c r="BC28" i="96"/>
  <c r="BD47" i="96" l="1"/>
  <c r="BD45" i="96"/>
  <c r="BD42" i="96"/>
  <c r="BD38" i="96"/>
  <c r="BD34" i="96"/>
  <c r="BD46" i="96"/>
  <c r="BD39" i="96"/>
  <c r="BD35" i="96"/>
  <c r="BD44" i="96"/>
  <c r="BD28" i="96"/>
  <c r="BD24" i="96"/>
  <c r="BD41" i="96"/>
  <c r="BD40" i="96"/>
  <c r="BD37" i="96"/>
  <c r="BD36" i="96"/>
  <c r="BD33" i="96"/>
  <c r="BD29" i="96"/>
  <c r="BD26" i="96"/>
  <c r="BD23" i="96"/>
  <c r="BD20" i="96"/>
  <c r="BD19" i="96"/>
  <c r="BD14" i="96"/>
  <c r="BD12" i="96"/>
  <c r="BD31" i="96"/>
  <c r="BD30" i="96"/>
  <c r="BD21" i="96"/>
  <c r="BD13" i="96"/>
  <c r="BD18" i="96"/>
  <c r="BD15" i="96"/>
  <c r="BD25" i="96"/>
  <c r="BD22" i="96"/>
  <c r="BD17" i="96"/>
  <c r="BD16" i="96"/>
  <c r="BE11" i="96"/>
  <c r="BD32" i="96"/>
  <c r="BD27" i="96"/>
  <c r="BV58" i="96"/>
  <c r="BY57" i="96"/>
  <c r="BW57" i="96"/>
  <c r="BX57" i="96" s="1"/>
  <c r="BW58" i="96" l="1"/>
  <c r="BX58" i="96" s="1"/>
  <c r="BV59" i="96"/>
  <c r="BY58" i="96"/>
  <c r="BE47" i="96"/>
  <c r="BE46" i="96"/>
  <c r="BE43" i="96"/>
  <c r="BE39" i="96"/>
  <c r="BE35" i="96"/>
  <c r="BE40" i="96"/>
  <c r="BE36" i="96"/>
  <c r="BE41" i="96"/>
  <c r="BE37" i="96"/>
  <c r="BE31" i="96"/>
  <c r="BE29" i="96"/>
  <c r="BE26" i="96"/>
  <c r="BE25" i="96"/>
  <c r="BE42" i="96"/>
  <c r="BE38" i="96"/>
  <c r="BE34" i="96"/>
  <c r="BE32" i="96"/>
  <c r="BE18" i="96"/>
  <c r="BE17" i="96"/>
  <c r="BE45" i="96"/>
  <c r="BE30" i="96"/>
  <c r="BE28" i="96"/>
  <c r="BE24" i="96"/>
  <c r="BE22" i="96"/>
  <c r="BE23" i="96"/>
  <c r="BE16" i="96"/>
  <c r="BF11" i="96"/>
  <c r="BE21" i="96"/>
  <c r="BE20" i="96"/>
  <c r="BE12" i="96"/>
  <c r="BE15" i="96"/>
  <c r="BE14" i="96"/>
  <c r="BE33" i="96"/>
  <c r="BE27" i="96"/>
  <c r="BE19" i="96"/>
  <c r="BE13" i="96"/>
  <c r="BF46" i="96" l="1"/>
  <c r="BF47" i="96"/>
  <c r="BF40" i="96"/>
  <c r="BF36" i="96"/>
  <c r="BF44" i="96"/>
  <c r="BF41" i="96"/>
  <c r="BF37" i="96"/>
  <c r="BF33" i="96"/>
  <c r="BF32" i="96"/>
  <c r="BF31" i="96"/>
  <c r="BF42" i="96"/>
  <c r="BF38" i="96"/>
  <c r="BF34" i="96"/>
  <c r="BF30" i="96"/>
  <c r="BF22" i="96"/>
  <c r="BF43" i="96"/>
  <c r="BF39" i="96"/>
  <c r="BF35" i="96"/>
  <c r="BF28" i="96"/>
  <c r="BF24" i="96"/>
  <c r="BF16" i="96"/>
  <c r="BG11" i="96"/>
  <c r="BF27" i="96"/>
  <c r="BF21" i="96"/>
  <c r="BF29" i="96"/>
  <c r="BF25" i="96"/>
  <c r="BF17" i="96"/>
  <c r="BF15" i="96"/>
  <c r="BF14" i="96"/>
  <c r="BF12" i="96"/>
  <c r="BF26" i="96"/>
  <c r="BF19" i="96"/>
  <c r="BF18" i="96"/>
  <c r="BF20" i="96"/>
  <c r="BF13" i="96"/>
  <c r="BF23" i="96"/>
  <c r="BW59" i="96"/>
  <c r="BX59" i="96" s="1"/>
  <c r="BY59" i="96"/>
  <c r="BV60" i="96"/>
  <c r="BV61" i="96" l="1"/>
  <c r="BY60" i="96"/>
  <c r="BW60" i="96"/>
  <c r="BX60" i="96" s="1"/>
  <c r="BG44" i="96"/>
  <c r="BG41" i="96"/>
  <c r="BG37" i="96"/>
  <c r="BG42" i="96"/>
  <c r="BG38" i="96"/>
  <c r="BG34" i="96"/>
  <c r="BG43" i="96"/>
  <c r="BG40" i="96"/>
  <c r="BG39" i="96"/>
  <c r="BG36" i="96"/>
  <c r="BG35" i="96"/>
  <c r="BG32" i="96"/>
  <c r="BG27" i="96"/>
  <c r="BG23" i="96"/>
  <c r="BG33" i="96"/>
  <c r="BG45" i="96"/>
  <c r="BG31" i="96"/>
  <c r="BG30" i="96"/>
  <c r="BG22" i="96"/>
  <c r="BG21" i="96"/>
  <c r="BG15" i="96"/>
  <c r="BG13" i="96"/>
  <c r="BG47" i="96"/>
  <c r="BG25" i="96"/>
  <c r="BG20" i="96"/>
  <c r="BG19" i="96"/>
  <c r="BG18" i="96"/>
  <c r="BG14" i="96"/>
  <c r="BH11" i="96"/>
  <c r="BG24" i="96"/>
  <c r="BG12" i="96"/>
  <c r="BG28" i="96"/>
  <c r="BG26" i="96"/>
  <c r="BG29" i="96"/>
  <c r="BG17" i="96"/>
  <c r="BG16" i="96"/>
  <c r="BH46" i="96" l="1"/>
  <c r="BH44" i="96"/>
  <c r="BH42" i="96"/>
  <c r="BH38" i="96"/>
  <c r="BH34" i="96"/>
  <c r="BH45" i="96"/>
  <c r="BH43" i="96"/>
  <c r="BH39" i="96"/>
  <c r="BH35" i="96"/>
  <c r="BH33" i="96"/>
  <c r="BH28" i="96"/>
  <c r="BH24" i="96"/>
  <c r="BH27" i="96"/>
  <c r="BH25" i="96"/>
  <c r="BH20" i="96"/>
  <c r="BH19" i="96"/>
  <c r="BH14" i="96"/>
  <c r="BH12" i="96"/>
  <c r="BH40" i="96"/>
  <c r="BH36" i="96"/>
  <c r="BH29" i="96"/>
  <c r="BH26" i="96"/>
  <c r="BH23" i="96"/>
  <c r="BH22" i="96"/>
  <c r="BH16" i="96"/>
  <c r="BH18" i="96"/>
  <c r="BH15" i="96"/>
  <c r="BH41" i="96"/>
  <c r="BH37" i="96"/>
  <c r="BH32" i="96"/>
  <c r="BH31" i="96"/>
  <c r="BH13" i="96"/>
  <c r="BH21" i="96"/>
  <c r="BH17" i="96"/>
  <c r="BH30" i="96"/>
  <c r="BV62" i="96"/>
  <c r="BY61" i="96"/>
  <c r="BW61" i="96"/>
  <c r="BX61" i="96" s="1"/>
  <c r="BW62" i="96" l="1"/>
  <c r="BX62" i="96" s="1"/>
  <c r="BV63" i="96"/>
  <c r="BY62" i="96"/>
  <c r="BW63" i="96" l="1"/>
  <c r="BX63" i="96" s="1"/>
  <c r="BV64" i="96"/>
  <c r="BY63" i="96"/>
  <c r="BW64" i="96" l="1"/>
  <c r="BX64" i="96" s="1"/>
  <c r="BV65" i="96"/>
  <c r="BY64" i="96"/>
  <c r="BW65" i="96" l="1"/>
  <c r="BX65" i="96" s="1"/>
  <c r="BV66" i="96"/>
  <c r="BY65" i="96"/>
  <c r="BW66" i="96" l="1"/>
  <c r="BX66" i="96" s="1"/>
  <c r="BV67" i="96"/>
  <c r="BY66" i="96"/>
  <c r="BW67" i="96" l="1"/>
  <c r="BX67" i="96" s="1"/>
  <c r="BV68" i="96"/>
  <c r="BY67" i="96"/>
  <c r="BW68" i="96" l="1"/>
  <c r="BX68" i="96" s="1"/>
  <c r="BV69" i="96"/>
  <c r="BY68" i="96"/>
  <c r="BW69" i="96" l="1"/>
  <c r="BX69" i="96" s="1"/>
  <c r="BV70" i="96"/>
  <c r="BY69" i="96"/>
  <c r="BW70" i="96" l="1"/>
  <c r="BX70" i="96" s="1"/>
  <c r="BV71" i="96"/>
  <c r="BY70" i="96"/>
  <c r="BW71" i="96" l="1"/>
  <c r="BX71" i="96" s="1"/>
  <c r="BV72" i="96"/>
  <c r="BY71" i="96"/>
  <c r="BW72" i="96" l="1"/>
  <c r="BX72" i="96" s="1"/>
  <c r="BY72" i="96"/>
  <c r="BY25" i="96" s="1"/>
  <c r="T33" i="96" s="1"/>
  <c r="W84" i="26" l="1"/>
  <c r="V84" i="26"/>
  <c r="U84" i="26"/>
  <c r="W83" i="26"/>
  <c r="V83" i="26"/>
  <c r="U83" i="26"/>
  <c r="W82" i="26"/>
  <c r="V82" i="26"/>
  <c r="U82" i="26"/>
  <c r="W81" i="26"/>
  <c r="V81" i="26"/>
  <c r="U81" i="26"/>
  <c r="W80" i="26"/>
  <c r="V80" i="26"/>
  <c r="U80" i="26"/>
  <c r="W79" i="26"/>
  <c r="V79" i="26"/>
  <c r="U79" i="26"/>
  <c r="W78" i="26"/>
  <c r="V78" i="26"/>
  <c r="U78" i="26"/>
  <c r="W77" i="26"/>
  <c r="V77" i="26"/>
  <c r="U77" i="26"/>
  <c r="W76" i="26"/>
  <c r="V76" i="26"/>
  <c r="U76" i="26"/>
  <c r="W75" i="26"/>
  <c r="V75" i="26"/>
  <c r="U75" i="26"/>
  <c r="W74" i="26"/>
  <c r="V74" i="26"/>
  <c r="U74" i="26"/>
  <c r="W73" i="26"/>
  <c r="V73" i="26"/>
  <c r="U73" i="26"/>
  <c r="W72" i="26"/>
  <c r="V72" i="26"/>
  <c r="U72" i="26"/>
  <c r="W71" i="26"/>
  <c r="V71" i="26"/>
  <c r="U71" i="26"/>
  <c r="W70" i="26"/>
  <c r="V70" i="26"/>
  <c r="U70" i="26"/>
  <c r="W69" i="26"/>
  <c r="V69" i="26"/>
  <c r="U69" i="26"/>
  <c r="W68" i="26"/>
  <c r="V68" i="26"/>
  <c r="U68" i="26"/>
  <c r="W67" i="26"/>
  <c r="V67" i="26"/>
  <c r="U67" i="26"/>
  <c r="W66" i="26"/>
  <c r="V66" i="26"/>
  <c r="U66" i="26"/>
  <c r="W65" i="26"/>
  <c r="V65" i="26"/>
  <c r="U65" i="26"/>
  <c r="W64" i="26"/>
  <c r="V64" i="26"/>
  <c r="U64" i="26"/>
  <c r="W63" i="26"/>
  <c r="V63" i="26"/>
  <c r="U63" i="26"/>
  <c r="W62" i="26"/>
  <c r="V62" i="26"/>
  <c r="U62" i="26"/>
  <c r="W61" i="26"/>
  <c r="V61" i="26"/>
  <c r="U61" i="26"/>
  <c r="W60" i="26"/>
  <c r="V60" i="26"/>
  <c r="U60" i="26"/>
  <c r="W59" i="26"/>
  <c r="V59" i="26"/>
  <c r="U59" i="26"/>
  <c r="W58" i="26"/>
  <c r="V58" i="26"/>
  <c r="U58" i="26"/>
  <c r="W57" i="26"/>
  <c r="V57" i="26"/>
  <c r="U57" i="26"/>
  <c r="W56" i="26"/>
  <c r="V56" i="26"/>
  <c r="U56" i="26"/>
  <c r="W55" i="26"/>
  <c r="V55" i="26"/>
  <c r="U55" i="26"/>
  <c r="W54" i="26"/>
  <c r="V54" i="26"/>
  <c r="U54" i="26"/>
  <c r="W53" i="26"/>
  <c r="V53" i="26"/>
  <c r="U53" i="26"/>
  <c r="W52" i="26"/>
  <c r="V52" i="26"/>
  <c r="U52" i="26"/>
  <c r="W51" i="26"/>
  <c r="V51" i="26"/>
  <c r="U51" i="26"/>
  <c r="W50" i="26"/>
  <c r="V50" i="26"/>
  <c r="U50" i="26"/>
  <c r="W49" i="26"/>
  <c r="V49" i="26"/>
  <c r="U49" i="26"/>
  <c r="W48" i="26"/>
  <c r="V48" i="26"/>
  <c r="U48" i="26"/>
  <c r="W47" i="26"/>
  <c r="V47" i="26"/>
  <c r="U47" i="26"/>
  <c r="W46" i="26"/>
  <c r="V46" i="26"/>
  <c r="U46" i="26"/>
  <c r="W45" i="26"/>
  <c r="V45" i="26"/>
  <c r="U45" i="26"/>
  <c r="W44" i="26"/>
  <c r="V44" i="26"/>
  <c r="U44" i="26"/>
  <c r="W43" i="26"/>
  <c r="V43" i="26"/>
  <c r="U43" i="26"/>
  <c r="W42" i="26"/>
  <c r="V42" i="26"/>
  <c r="U42" i="26"/>
  <c r="W41" i="26"/>
  <c r="V41" i="26"/>
  <c r="U41" i="26"/>
  <c r="W40" i="26"/>
  <c r="V40" i="26"/>
  <c r="U40" i="26"/>
  <c r="W39" i="26"/>
  <c r="V39" i="26"/>
  <c r="U39" i="26"/>
  <c r="W38" i="26"/>
  <c r="V38" i="26"/>
  <c r="U38" i="26"/>
  <c r="W37" i="26"/>
  <c r="V37" i="26"/>
  <c r="U37" i="26"/>
  <c r="W36" i="26"/>
  <c r="V36" i="26"/>
  <c r="U36" i="26"/>
  <c r="W35" i="26"/>
  <c r="V35" i="26"/>
  <c r="U35" i="26"/>
  <c r="W34" i="26"/>
  <c r="V34" i="26"/>
  <c r="U34" i="26"/>
  <c r="W33" i="26"/>
  <c r="V33" i="26"/>
  <c r="U33" i="26"/>
  <c r="W32" i="26"/>
  <c r="V32" i="26"/>
  <c r="U32" i="26"/>
  <c r="W31" i="26"/>
  <c r="V31" i="26"/>
  <c r="U31" i="26"/>
  <c r="W30" i="26"/>
  <c r="V30" i="26"/>
  <c r="U30" i="26"/>
  <c r="W29" i="26"/>
  <c r="V29" i="26"/>
  <c r="U29" i="26"/>
  <c r="W28" i="26"/>
  <c r="V28" i="26"/>
  <c r="U28" i="26"/>
  <c r="W27" i="26"/>
  <c r="V27" i="26"/>
  <c r="U27" i="26"/>
  <c r="W26" i="26"/>
  <c r="V26" i="26"/>
  <c r="U26" i="26"/>
  <c r="W25" i="26"/>
  <c r="V25" i="26"/>
  <c r="U25" i="26"/>
  <c r="W24" i="26"/>
  <c r="V24" i="26"/>
  <c r="U24" i="26"/>
  <c r="W23" i="26"/>
  <c r="V23" i="26"/>
  <c r="U23" i="26"/>
  <c r="W22" i="26"/>
  <c r="V22" i="26"/>
  <c r="U22" i="26"/>
  <c r="W21" i="26"/>
  <c r="V21" i="26"/>
  <c r="U21" i="26"/>
  <c r="W20" i="26"/>
  <c r="V20" i="26"/>
  <c r="U20" i="26"/>
  <c r="W19" i="26"/>
  <c r="V19" i="26"/>
  <c r="U19" i="26"/>
  <c r="W18" i="26"/>
  <c r="V18" i="26"/>
  <c r="U18" i="26"/>
  <c r="W17" i="26"/>
  <c r="V17" i="26"/>
  <c r="U17" i="26"/>
  <c r="W16" i="26"/>
  <c r="V16" i="26"/>
  <c r="U16" i="26"/>
  <c r="W15" i="26"/>
  <c r="V15" i="26"/>
  <c r="U15" i="26"/>
  <c r="W14" i="26"/>
  <c r="V14" i="26"/>
  <c r="U14" i="26"/>
  <c r="W13" i="26"/>
  <c r="V13" i="26"/>
  <c r="U13" i="26"/>
  <c r="W12" i="26"/>
  <c r="V12" i="26"/>
  <c r="U12" i="26"/>
  <c r="W11" i="26"/>
  <c r="V11" i="26"/>
  <c r="U11" i="26"/>
  <c r="W10" i="26"/>
  <c r="V10" i="26"/>
  <c r="U10" i="26"/>
  <c r="W9" i="26"/>
  <c r="V9" i="26"/>
  <c r="U9" i="26"/>
  <c r="W8" i="26"/>
  <c r="V8" i="26"/>
  <c r="U8" i="26"/>
  <c r="W7" i="26"/>
  <c r="V7" i="26"/>
  <c r="U7" i="26"/>
  <c r="W6" i="26"/>
  <c r="V6" i="26"/>
  <c r="U6" i="26"/>
  <c r="W5" i="26"/>
  <c r="V5" i="26"/>
  <c r="U5" i="26"/>
  <c r="W4" i="26"/>
  <c r="V4" i="26"/>
  <c r="U4" i="26"/>
  <c r="W84" i="24"/>
  <c r="V84" i="24"/>
  <c r="U84" i="24"/>
  <c r="W83" i="24"/>
  <c r="V83" i="24"/>
  <c r="U83" i="24"/>
  <c r="W82" i="24"/>
  <c r="V82" i="24"/>
  <c r="U82" i="24"/>
  <c r="W81" i="24"/>
  <c r="V81" i="24"/>
  <c r="U81" i="24"/>
  <c r="W80" i="24"/>
  <c r="V80" i="24"/>
  <c r="U80" i="24"/>
  <c r="W79" i="24"/>
  <c r="V79" i="24"/>
  <c r="U79" i="24"/>
  <c r="W78" i="24"/>
  <c r="V78" i="24"/>
  <c r="U78" i="24"/>
  <c r="W77" i="24"/>
  <c r="V77" i="24"/>
  <c r="U77" i="24"/>
  <c r="W76" i="24"/>
  <c r="V76" i="24"/>
  <c r="U76" i="24"/>
  <c r="W75" i="24"/>
  <c r="V75" i="24"/>
  <c r="U75" i="24"/>
  <c r="W74" i="24"/>
  <c r="V74" i="24"/>
  <c r="U74" i="24"/>
  <c r="W73" i="24"/>
  <c r="V73" i="24"/>
  <c r="U73" i="24"/>
  <c r="W72" i="24"/>
  <c r="V72" i="24"/>
  <c r="U72" i="24"/>
  <c r="W71" i="24"/>
  <c r="V71" i="24"/>
  <c r="U71" i="24"/>
  <c r="W70" i="24"/>
  <c r="V70" i="24"/>
  <c r="U70" i="24"/>
  <c r="W69" i="24"/>
  <c r="V69" i="24"/>
  <c r="U69" i="24"/>
  <c r="W68" i="24"/>
  <c r="V68" i="24"/>
  <c r="U68" i="24"/>
  <c r="W67" i="24"/>
  <c r="V67" i="24"/>
  <c r="U67" i="24"/>
  <c r="W66" i="24"/>
  <c r="V66" i="24"/>
  <c r="U66" i="24"/>
  <c r="W65" i="24"/>
  <c r="V65" i="24"/>
  <c r="U65" i="24"/>
  <c r="W64" i="24"/>
  <c r="V64" i="24"/>
  <c r="U64" i="24"/>
  <c r="W63" i="24"/>
  <c r="V63" i="24"/>
  <c r="U63" i="24"/>
  <c r="W62" i="24"/>
  <c r="V62" i="24"/>
  <c r="U62" i="24"/>
  <c r="W61" i="24"/>
  <c r="V61" i="24"/>
  <c r="U61" i="24"/>
  <c r="W60" i="24"/>
  <c r="V60" i="24"/>
  <c r="U60" i="24"/>
  <c r="W59" i="24"/>
  <c r="V59" i="24"/>
  <c r="U59" i="24"/>
  <c r="W58" i="24"/>
  <c r="V58" i="24"/>
  <c r="U58" i="24"/>
  <c r="W57" i="24"/>
  <c r="V57" i="24"/>
  <c r="U57" i="24"/>
  <c r="W56" i="24"/>
  <c r="V56" i="24"/>
  <c r="U56" i="24"/>
  <c r="W55" i="24"/>
  <c r="V55" i="24"/>
  <c r="U55" i="24"/>
  <c r="W54" i="24"/>
  <c r="V54" i="24"/>
  <c r="U54" i="24"/>
  <c r="W53" i="24"/>
  <c r="V53" i="24"/>
  <c r="U53" i="24"/>
  <c r="W52" i="24"/>
  <c r="V52" i="24"/>
  <c r="U52" i="24"/>
  <c r="W51" i="24"/>
  <c r="V51" i="24"/>
  <c r="U51" i="24"/>
  <c r="W50" i="24"/>
  <c r="V50" i="24"/>
  <c r="U50" i="24"/>
  <c r="W49" i="24"/>
  <c r="V49" i="24"/>
  <c r="U49" i="24"/>
  <c r="W48" i="24"/>
  <c r="V48" i="24"/>
  <c r="U48" i="24"/>
  <c r="W47" i="24"/>
  <c r="V47" i="24"/>
  <c r="U47" i="24"/>
  <c r="W46" i="24"/>
  <c r="V46" i="24"/>
  <c r="U46" i="24"/>
  <c r="W45" i="24"/>
  <c r="V45" i="24"/>
  <c r="U45" i="24"/>
  <c r="W44" i="24"/>
  <c r="V44" i="24"/>
  <c r="U44" i="24"/>
  <c r="W43" i="24"/>
  <c r="V43" i="24"/>
  <c r="U43" i="24"/>
  <c r="W42" i="24"/>
  <c r="V42" i="24"/>
  <c r="U42" i="24"/>
  <c r="W41" i="24"/>
  <c r="V41" i="24"/>
  <c r="U41" i="24"/>
  <c r="W40" i="24"/>
  <c r="V40" i="24"/>
  <c r="U40" i="24"/>
  <c r="W39" i="24"/>
  <c r="V39" i="24"/>
  <c r="U39" i="24"/>
  <c r="W38" i="24"/>
  <c r="V38" i="24"/>
  <c r="U38" i="24"/>
  <c r="W37" i="24"/>
  <c r="V37" i="24"/>
  <c r="U37" i="24"/>
  <c r="W36" i="24"/>
  <c r="V36" i="24"/>
  <c r="U36" i="24"/>
  <c r="W35" i="24"/>
  <c r="V35" i="24"/>
  <c r="U35" i="24"/>
  <c r="W34" i="24"/>
  <c r="V34" i="24"/>
  <c r="U34" i="24"/>
  <c r="W33" i="24"/>
  <c r="V33" i="24"/>
  <c r="U33" i="24"/>
  <c r="W32" i="24"/>
  <c r="V32" i="24"/>
  <c r="U32" i="24"/>
  <c r="W31" i="24"/>
  <c r="V31" i="24"/>
  <c r="U31" i="24"/>
  <c r="W30" i="24"/>
  <c r="V30" i="24"/>
  <c r="U30" i="24"/>
  <c r="W29" i="24"/>
  <c r="V29" i="24"/>
  <c r="U29" i="24"/>
  <c r="W28" i="24"/>
  <c r="V28" i="24"/>
  <c r="U28" i="24"/>
  <c r="W27" i="24"/>
  <c r="V27" i="24"/>
  <c r="U27" i="24"/>
  <c r="W26" i="24"/>
  <c r="V26" i="24"/>
  <c r="U26" i="24"/>
  <c r="W25" i="24"/>
  <c r="V25" i="24"/>
  <c r="U25" i="24"/>
  <c r="W24" i="24"/>
  <c r="V24" i="24"/>
  <c r="U24" i="24"/>
  <c r="W23" i="24"/>
  <c r="V23" i="24"/>
  <c r="U23" i="24"/>
  <c r="W22" i="24"/>
  <c r="V22" i="24"/>
  <c r="U22" i="24"/>
  <c r="W21" i="24"/>
  <c r="V21" i="24"/>
  <c r="U21" i="24"/>
  <c r="W20" i="24"/>
  <c r="V20" i="24"/>
  <c r="U20" i="24"/>
  <c r="W19" i="24"/>
  <c r="V19" i="24"/>
  <c r="U19" i="24"/>
  <c r="W18" i="24"/>
  <c r="V18" i="24"/>
  <c r="U18" i="24"/>
  <c r="W17" i="24"/>
  <c r="V17" i="24"/>
  <c r="U17" i="24"/>
  <c r="W16" i="24"/>
  <c r="V16" i="24"/>
  <c r="U16" i="24"/>
  <c r="W15" i="24"/>
  <c r="V15" i="24"/>
  <c r="U15" i="24"/>
  <c r="W14" i="24"/>
  <c r="V14" i="24"/>
  <c r="U14" i="24"/>
  <c r="W13" i="24"/>
  <c r="V13" i="24"/>
  <c r="U13" i="24"/>
  <c r="W12" i="24"/>
  <c r="V12" i="24"/>
  <c r="U12" i="24"/>
  <c r="W11" i="24"/>
  <c r="V11" i="24"/>
  <c r="U11" i="24"/>
  <c r="W10" i="24"/>
  <c r="V10" i="24"/>
  <c r="U10" i="24"/>
  <c r="W9" i="24"/>
  <c r="V9" i="24"/>
  <c r="U9" i="24"/>
  <c r="W8" i="24"/>
  <c r="V8" i="24"/>
  <c r="U8" i="24"/>
  <c r="W7" i="24"/>
  <c r="V7" i="24"/>
  <c r="U7" i="24"/>
  <c r="W6" i="24"/>
  <c r="V6" i="24"/>
  <c r="U6" i="24"/>
  <c r="W5" i="24"/>
  <c r="V5" i="24"/>
  <c r="U5" i="24"/>
  <c r="W4" i="24"/>
  <c r="V4" i="24"/>
  <c r="U4" i="24"/>
  <c r="L35" i="17"/>
  <c r="L34" i="17"/>
  <c r="K37" i="17" s="1"/>
  <c r="E6" i="17"/>
  <c r="E5" i="17"/>
  <c r="D21" i="12"/>
  <c r="AD25" i="17" s="1"/>
  <c r="D20" i="12"/>
  <c r="D19" i="12"/>
  <c r="D18" i="12"/>
  <c r="D17" i="12"/>
  <c r="D16" i="12"/>
  <c r="D15" i="12"/>
  <c r="D14" i="12"/>
  <c r="D13" i="12"/>
  <c r="D12" i="12"/>
  <c r="D11" i="12"/>
  <c r="D10" i="12"/>
  <c r="D9" i="12"/>
  <c r="D8" i="12"/>
  <c r="D7" i="12"/>
  <c r="Q34" i="19" s="1"/>
  <c r="D6" i="12"/>
  <c r="D5" i="12"/>
  <c r="D4" i="12"/>
  <c r="F84" i="9"/>
  <c r="F83" i="9"/>
  <c r="F82" i="9"/>
  <c r="F81" i="9"/>
  <c r="F80" i="9"/>
  <c r="F79" i="9"/>
  <c r="F78" i="9"/>
  <c r="F77" i="9"/>
  <c r="F76" i="9"/>
  <c r="F75" i="9"/>
  <c r="F74" i="9"/>
  <c r="F73" i="9"/>
  <c r="F72" i="9"/>
  <c r="F71" i="9"/>
  <c r="F70" i="9"/>
  <c r="F69" i="9"/>
  <c r="F68" i="9"/>
  <c r="F67" i="9"/>
  <c r="F66" i="9"/>
  <c r="F65" i="9"/>
  <c r="F64" i="9"/>
  <c r="F63" i="9"/>
  <c r="F62" i="9"/>
  <c r="F61" i="9"/>
  <c r="F60" i="9"/>
  <c r="F59" i="9"/>
  <c r="F58" i="9"/>
  <c r="F57" i="9"/>
  <c r="F56" i="9"/>
  <c r="F55" i="9"/>
  <c r="F54" i="9"/>
  <c r="F53" i="9"/>
  <c r="F52" i="9"/>
  <c r="F51" i="9"/>
  <c r="F50" i="9"/>
  <c r="F49" i="9"/>
  <c r="F48" i="9"/>
  <c r="F47" i="9"/>
  <c r="F46" i="9"/>
  <c r="F45" i="9"/>
  <c r="F44" i="9"/>
  <c r="F43" i="9"/>
  <c r="F42" i="9"/>
  <c r="F41" i="9"/>
  <c r="F40" i="9"/>
  <c r="F39" i="9"/>
  <c r="F38" i="9"/>
  <c r="F37" i="9"/>
  <c r="F36" i="9"/>
  <c r="F35" i="9"/>
  <c r="F34" i="9"/>
  <c r="F33" i="9"/>
  <c r="F32" i="9"/>
  <c r="F31" i="9"/>
  <c r="F30" i="9"/>
  <c r="F29" i="9"/>
  <c r="F28" i="9"/>
  <c r="F27" i="9"/>
  <c r="F26" i="9"/>
  <c r="F25" i="9"/>
  <c r="F24" i="9"/>
  <c r="F23" i="9"/>
  <c r="F22" i="9"/>
  <c r="F21" i="9"/>
  <c r="F20" i="9"/>
  <c r="F19" i="9"/>
  <c r="F18" i="9"/>
  <c r="F17" i="9"/>
  <c r="F16" i="9"/>
  <c r="F15" i="9"/>
  <c r="F14" i="9"/>
  <c r="F13" i="9"/>
  <c r="F12" i="9"/>
  <c r="F11" i="9"/>
  <c r="F10" i="9"/>
  <c r="F9" i="9"/>
  <c r="F8" i="9"/>
  <c r="F7" i="9"/>
  <c r="F6" i="9"/>
  <c r="F5" i="9"/>
  <c r="F4" i="9"/>
  <c r="W26" i="29"/>
  <c r="V26" i="29"/>
  <c r="AA26" i="29" s="1"/>
  <c r="K26" i="29"/>
  <c r="F26" i="29" s="1"/>
  <c r="W25" i="29"/>
  <c r="V25" i="29"/>
  <c r="AA25" i="29" s="1"/>
  <c r="K25" i="29"/>
  <c r="F25" i="29" s="1"/>
  <c r="W24" i="29"/>
  <c r="V24" i="29"/>
  <c r="X24" i="29" s="1"/>
  <c r="K24" i="29"/>
  <c r="F24" i="29" s="1"/>
  <c r="W23" i="29"/>
  <c r="V23" i="29"/>
  <c r="AA23" i="29" s="1"/>
  <c r="K23" i="29"/>
  <c r="F23" i="29" s="1"/>
  <c r="W22" i="29"/>
  <c r="V22" i="29"/>
  <c r="X22" i="29" s="1"/>
  <c r="K22" i="29"/>
  <c r="F22" i="29" s="1"/>
  <c r="W21" i="29"/>
  <c r="V21" i="29"/>
  <c r="X21" i="29" s="1"/>
  <c r="K21" i="29"/>
  <c r="F21" i="29" s="1"/>
  <c r="W20" i="29"/>
  <c r="V20" i="29"/>
  <c r="X20" i="29" s="1"/>
  <c r="K20" i="29"/>
  <c r="F20" i="29" s="1"/>
  <c r="W19" i="29"/>
  <c r="V19" i="29"/>
  <c r="AA19" i="29" s="1"/>
  <c r="K19" i="29"/>
  <c r="F19" i="29" s="1"/>
  <c r="W18" i="29"/>
  <c r="V18" i="29"/>
  <c r="X18" i="29" s="1"/>
  <c r="K18" i="29"/>
  <c r="F18" i="29" s="1"/>
  <c r="W17" i="29"/>
  <c r="V17" i="29"/>
  <c r="AA17" i="29" s="1"/>
  <c r="K17" i="29"/>
  <c r="F17" i="29" s="1"/>
  <c r="W16" i="29"/>
  <c r="V16" i="29"/>
  <c r="X16" i="29" s="1"/>
  <c r="K16" i="29"/>
  <c r="F16" i="29" s="1"/>
  <c r="V15" i="29"/>
  <c r="K15" i="29"/>
  <c r="F15" i="29" s="1"/>
  <c r="V14" i="29"/>
  <c r="K14" i="29"/>
  <c r="F14" i="29" s="1"/>
  <c r="V13" i="29"/>
  <c r="K13" i="29"/>
  <c r="F13" i="29" s="1"/>
  <c r="V12" i="29"/>
  <c r="K12" i="29"/>
  <c r="F12" i="29" s="1"/>
  <c r="V11" i="29"/>
  <c r="K11" i="29"/>
  <c r="V10" i="29"/>
  <c r="K10" i="29"/>
  <c r="V9" i="29"/>
  <c r="K9" i="29"/>
  <c r="V8" i="29"/>
  <c r="K8" i="29"/>
  <c r="V7" i="29"/>
  <c r="K7" i="29"/>
  <c r="L6" i="29"/>
  <c r="C11" i="22"/>
  <c r="B11" i="22"/>
  <c r="C10" i="22"/>
  <c r="C9" i="22"/>
  <c r="B9" i="22"/>
  <c r="B6" i="22"/>
  <c r="B5" i="22"/>
  <c r="T26" i="19"/>
  <c r="B15" i="19"/>
  <c r="AB7" i="19"/>
  <c r="AA7" i="19"/>
  <c r="V5" i="19"/>
  <c r="T3" i="19"/>
  <c r="G15" i="74"/>
  <c r="G14" i="74"/>
  <c r="G13" i="74"/>
  <c r="G12" i="74"/>
  <c r="G11" i="74"/>
  <c r="I10" i="74"/>
  <c r="G10" i="74"/>
  <c r="I9" i="74"/>
  <c r="G9" i="74"/>
  <c r="I8" i="74"/>
  <c r="G8" i="74"/>
  <c r="I7" i="74"/>
  <c r="G7" i="74"/>
  <c r="I6" i="74"/>
  <c r="G6" i="74"/>
  <c r="I5" i="74"/>
  <c r="G5" i="74"/>
  <c r="G4" i="74"/>
  <c r="A7" i="23"/>
  <c r="A6" i="23"/>
  <c r="BA147" i="11"/>
  <c r="BA146" i="11"/>
  <c r="BA145" i="11"/>
  <c r="BA144" i="11"/>
  <c r="BA143" i="11"/>
  <c r="BA142" i="11"/>
  <c r="BA141" i="11"/>
  <c r="BA140" i="11"/>
  <c r="BA139" i="11"/>
  <c r="BA138" i="11"/>
  <c r="BA137" i="11"/>
  <c r="BA136" i="11"/>
  <c r="BA135" i="11"/>
  <c r="BA134" i="11"/>
  <c r="BA133" i="11"/>
  <c r="BA132" i="11"/>
  <c r="BA131" i="11"/>
  <c r="BA130" i="11"/>
  <c r="BA129" i="11"/>
  <c r="BA128" i="11"/>
  <c r="BA127" i="11"/>
  <c r="BA126" i="11"/>
  <c r="BA125" i="11"/>
  <c r="BA124" i="11"/>
  <c r="BA123" i="11"/>
  <c r="BA122" i="11"/>
  <c r="BA121" i="11"/>
  <c r="BA120" i="11"/>
  <c r="BA119" i="11"/>
  <c r="BA118" i="11"/>
  <c r="BA117" i="11"/>
  <c r="BA116" i="11"/>
  <c r="BA115" i="11"/>
  <c r="BA114" i="11"/>
  <c r="BA113" i="11"/>
  <c r="BA112" i="11"/>
  <c r="BA111" i="11"/>
  <c r="BA110" i="11"/>
  <c r="BA109" i="11"/>
  <c r="BA108" i="11"/>
  <c r="BA107" i="11"/>
  <c r="BA106" i="11"/>
  <c r="BA105" i="11"/>
  <c r="BA104" i="11"/>
  <c r="BA103" i="11"/>
  <c r="BA102" i="11"/>
  <c r="BA101" i="11"/>
  <c r="BA100" i="11"/>
  <c r="BA99" i="11"/>
  <c r="BA98" i="11"/>
  <c r="BA97" i="11"/>
  <c r="BA96" i="11"/>
  <c r="BA95" i="11"/>
  <c r="BA94" i="11"/>
  <c r="BA93" i="11"/>
  <c r="BA92" i="11"/>
  <c r="BA91" i="11"/>
  <c r="BA90" i="11"/>
  <c r="BA89" i="11"/>
  <c r="BA88" i="11"/>
  <c r="BA87" i="11"/>
  <c r="BA86" i="11"/>
  <c r="BA85" i="11"/>
  <c r="BA84" i="11"/>
  <c r="BA83" i="11"/>
  <c r="BA82" i="11"/>
  <c r="BA81" i="11"/>
  <c r="BA80" i="11"/>
  <c r="BA79" i="11"/>
  <c r="BA78" i="11"/>
  <c r="BA77" i="11"/>
  <c r="BA76" i="11"/>
  <c r="BA75" i="11"/>
  <c r="BA74" i="11"/>
  <c r="BA73" i="11"/>
  <c r="BA72" i="11"/>
  <c r="BA71" i="11"/>
  <c r="BA70" i="11"/>
  <c r="BA69" i="11"/>
  <c r="BA68" i="11"/>
  <c r="BA67" i="11"/>
  <c r="BA66" i="11"/>
  <c r="BA65" i="11"/>
  <c r="BA64" i="11"/>
  <c r="BA63" i="11"/>
  <c r="BA62" i="11"/>
  <c r="BA61" i="11"/>
  <c r="BA60" i="11"/>
  <c r="BA59" i="11"/>
  <c r="BA58" i="11"/>
  <c r="BA57" i="11"/>
  <c r="BA56" i="11"/>
  <c r="BA55" i="11"/>
  <c r="BA54" i="11"/>
  <c r="BA53" i="11"/>
  <c r="BA52" i="11"/>
  <c r="BA51" i="11"/>
  <c r="BA50" i="11"/>
  <c r="BA49" i="11"/>
  <c r="BA48" i="11"/>
  <c r="BA47" i="11"/>
  <c r="BA46" i="11"/>
  <c r="BA45" i="11"/>
  <c r="BA44" i="11"/>
  <c r="BA43" i="11"/>
  <c r="BA42" i="11"/>
  <c r="BA41" i="11"/>
  <c r="BA40" i="11"/>
  <c r="BA39" i="11"/>
  <c r="BA38" i="11"/>
  <c r="BA37" i="11"/>
  <c r="BA36" i="11"/>
  <c r="BA35" i="11"/>
  <c r="BA34" i="11"/>
  <c r="BA33" i="11"/>
  <c r="BA32" i="11"/>
  <c r="BA31" i="11"/>
  <c r="BA30" i="11"/>
  <c r="BA29" i="11"/>
  <c r="BA28" i="11"/>
  <c r="BA27" i="11"/>
  <c r="BA26" i="11"/>
  <c r="BA25" i="11"/>
  <c r="BA24" i="11"/>
  <c r="BA23" i="11"/>
  <c r="BA22" i="11"/>
  <c r="BA21" i="11"/>
  <c r="BA20" i="11"/>
  <c r="BA19" i="11"/>
  <c r="BA18" i="11"/>
  <c r="BA17" i="11"/>
  <c r="BA16" i="11"/>
  <c r="BA15" i="11"/>
  <c r="BA14" i="11"/>
  <c r="BA13" i="11"/>
  <c r="BA12" i="11"/>
  <c r="BA11" i="11"/>
  <c r="BA10" i="11"/>
  <c r="BA9" i="11"/>
  <c r="P6" i="11"/>
  <c r="A6" i="11"/>
  <c r="R26" i="19" s="1"/>
  <c r="A3" i="11"/>
  <c r="B14" i="156" s="1"/>
  <c r="AD30" i="17" l="1"/>
  <c r="AD32" i="17" s="1"/>
  <c r="AD26" i="17"/>
  <c r="AG33" i="17" s="1"/>
  <c r="AD28" i="17"/>
  <c r="AD29" i="17"/>
  <c r="AD27" i="17"/>
  <c r="X7" i="17"/>
  <c r="Y7" i="17" s="1"/>
  <c r="S24" i="17" s="1"/>
  <c r="X8" i="17"/>
  <c r="AX28" i="138"/>
  <c r="BE28" i="138"/>
  <c r="AW28" i="138"/>
  <c r="BD28" i="138"/>
  <c r="AX27" i="138"/>
  <c r="S8" i="138"/>
  <c r="BE27" i="138"/>
  <c r="BD27" i="138"/>
  <c r="U10" i="19"/>
  <c r="S39" i="19"/>
  <c r="U39" i="19"/>
  <c r="Q10" i="19"/>
  <c r="AG14" i="19" s="1"/>
  <c r="Q36" i="19"/>
  <c r="S36" i="19" s="1"/>
  <c r="S22" i="19"/>
  <c r="Q35" i="19"/>
  <c r="S35" i="19"/>
  <c r="M15" i="19" s="1"/>
  <c r="N12" i="98"/>
  <c r="E9" i="98" s="1"/>
  <c r="N19" i="98"/>
  <c r="AS10" i="138"/>
  <c r="AZ5" i="138"/>
  <c r="BB7" i="138" s="1"/>
  <c r="AZ6" i="138"/>
  <c r="S4" i="140"/>
  <c r="R4" i="140"/>
  <c r="F10" i="19"/>
  <c r="AR10" i="138"/>
  <c r="H5" i="19"/>
  <c r="O2" i="138"/>
  <c r="G37" i="17"/>
  <c r="L37" i="17"/>
  <c r="AW27" i="138"/>
  <c r="C39" i="98"/>
  <c r="N7" i="17"/>
  <c r="W9" i="29"/>
  <c r="AA9" i="29" s="1"/>
  <c r="W11" i="29"/>
  <c r="X11" i="29" s="1"/>
  <c r="W12" i="29"/>
  <c r="X12" i="29" s="1"/>
  <c r="W13" i="29"/>
  <c r="X13" i="29" s="1"/>
  <c r="W14" i="29"/>
  <c r="AA14" i="29" s="1"/>
  <c r="W15" i="29"/>
  <c r="X15" i="29" s="1"/>
  <c r="Q39" i="19"/>
  <c r="Q29" i="19"/>
  <c r="H9" i="98"/>
  <c r="J10" i="99"/>
  <c r="J4" i="99"/>
  <c r="J3" i="99" s="1"/>
  <c r="C15" i="94"/>
  <c r="K10" i="99"/>
  <c r="K4" i="99"/>
  <c r="K3" i="99" s="1"/>
  <c r="F8" i="29"/>
  <c r="F9" i="29"/>
  <c r="F10" i="29"/>
  <c r="F11" i="29"/>
  <c r="W10" i="29"/>
  <c r="X10" i="29" s="1"/>
  <c r="W8" i="29"/>
  <c r="AA8" i="29" s="1"/>
  <c r="AC25" i="17"/>
  <c r="AC27" i="17" s="1"/>
  <c r="W7" i="29"/>
  <c r="AA7" i="29" s="1"/>
  <c r="X26" i="29"/>
  <c r="AA22" i="29"/>
  <c r="AA18" i="29"/>
  <c r="AA21" i="29"/>
  <c r="X25" i="29"/>
  <c r="F7" i="29"/>
  <c r="Q13" i="19"/>
  <c r="I13" i="19" s="1"/>
  <c r="Q2" i="19"/>
  <c r="AA20" i="29"/>
  <c r="X17" i="29"/>
  <c r="D35" i="17"/>
  <c r="E33" i="17"/>
  <c r="AA16" i="29"/>
  <c r="AA24" i="29"/>
  <c r="B26" i="19"/>
  <c r="R40" i="19"/>
  <c r="Q41" i="19" s="1"/>
  <c r="R41" i="19" s="1"/>
  <c r="C14" i="22"/>
  <c r="X19" i="29"/>
  <c r="X23" i="29"/>
  <c r="AD34" i="17" l="1"/>
  <c r="E24" i="17" s="1"/>
  <c r="R8" i="17"/>
  <c r="Y8" i="17"/>
  <c r="T24" i="17" s="1"/>
  <c r="T13" i="98"/>
  <c r="T12" i="98"/>
  <c r="Q13" i="98"/>
  <c r="Q12" i="98"/>
  <c r="Q17" i="98"/>
  <c r="Q19" i="98" s="1"/>
  <c r="BC6" i="138"/>
  <c r="BE6" i="138" s="1"/>
  <c r="AS20" i="138" s="1"/>
  <c r="BB6" i="138"/>
  <c r="BC5" i="138"/>
  <c r="BE5" i="138" s="1"/>
  <c r="AS19" i="138" s="1"/>
  <c r="BB5" i="138"/>
  <c r="W39" i="19"/>
  <c r="AX5" i="138"/>
  <c r="AY5" i="138"/>
  <c r="AX6" i="138"/>
  <c r="AY6" i="138"/>
  <c r="AT19" i="138"/>
  <c r="AU19" i="138"/>
  <c r="AT20" i="138"/>
  <c r="AU20" i="138"/>
  <c r="AA15" i="29"/>
  <c r="AA13" i="29"/>
  <c r="AA12" i="29"/>
  <c r="AA11" i="29"/>
  <c r="AA10" i="29"/>
  <c r="S23" i="19"/>
  <c r="T22" i="19" s="1"/>
  <c r="W14" i="19"/>
  <c r="S9" i="19"/>
  <c r="W11" i="19"/>
  <c r="M14" i="19"/>
  <c r="V31" i="19"/>
  <c r="F9" i="19"/>
  <c r="AS11" i="138"/>
  <c r="Z35" i="138" s="1"/>
  <c r="Q11" i="98"/>
  <c r="E10" i="98" s="1"/>
  <c r="AR11" i="138"/>
  <c r="Z37" i="138" s="1"/>
  <c r="R6" i="140"/>
  <c r="M14" i="140" s="1"/>
  <c r="S6" i="140"/>
  <c r="N31" i="140" s="1"/>
  <c r="BA6" i="138"/>
  <c r="BA5" i="138"/>
  <c r="T17" i="98"/>
  <c r="T19" i="98" s="1"/>
  <c r="H59" i="98" s="1"/>
  <c r="H11" i="98"/>
  <c r="Q11" i="19"/>
  <c r="T11" i="98"/>
  <c r="H10" i="98" s="1"/>
  <c r="Q33" i="19"/>
  <c r="Q26" i="19" s="1"/>
  <c r="I18" i="19"/>
  <c r="C15" i="22"/>
  <c r="X8" i="29"/>
  <c r="X14" i="29"/>
  <c r="P1" i="19"/>
  <c r="X7" i="29"/>
  <c r="X9" i="29"/>
  <c r="Q43" i="19"/>
  <c r="S5" i="19" s="1"/>
  <c r="S16" i="19" s="1"/>
  <c r="Q27" i="19"/>
  <c r="Q38" i="19"/>
  <c r="E29" i="29"/>
  <c r="S19" i="98"/>
  <c r="AC26" i="17"/>
  <c r="F27" i="29"/>
  <c r="H54" i="98"/>
  <c r="O5" i="99"/>
  <c r="R19" i="98"/>
  <c r="F59" i="98" s="1"/>
  <c r="Q37" i="19"/>
  <c r="Z15" i="99"/>
  <c r="E36" i="17"/>
  <c r="B38" i="17" s="1"/>
  <c r="R42" i="19"/>
  <c r="AR12" i="138" l="1"/>
  <c r="Z33" i="138"/>
  <c r="Z34" i="138"/>
  <c r="Z36" i="138"/>
  <c r="B13" i="19"/>
  <c r="F13" i="19"/>
  <c r="AA27" i="29"/>
  <c r="X27" i="29"/>
  <c r="Q27" i="29" s="1"/>
  <c r="B19" i="22"/>
  <c r="W17" i="19"/>
  <c r="Z31" i="138"/>
  <c r="AS12" i="138"/>
  <c r="B22" i="22"/>
  <c r="B16" i="22"/>
  <c r="Z32" i="138"/>
  <c r="Z30" i="138"/>
  <c r="BG30" i="138"/>
  <c r="AA30" i="138" s="1"/>
  <c r="AC30" i="138" s="1"/>
  <c r="AD30" i="138" s="1"/>
  <c r="BG32" i="138"/>
  <c r="AA32" i="138" s="1"/>
  <c r="AC32" i="138" s="1"/>
  <c r="AD32" i="138" s="1"/>
  <c r="BG37" i="138"/>
  <c r="BG36" i="138"/>
  <c r="AA36" i="138" s="1"/>
  <c r="AC36" i="138" s="1"/>
  <c r="AD36" i="138" s="1"/>
  <c r="BG33" i="138"/>
  <c r="AA33" i="138" s="1"/>
  <c r="AC33" i="138" s="1"/>
  <c r="AD33" i="138" s="1"/>
  <c r="BG34" i="138"/>
  <c r="BG35" i="138"/>
  <c r="AA35" i="138" s="1"/>
  <c r="AC35" i="138" s="1"/>
  <c r="AD35" i="138" s="1"/>
  <c r="BG38" i="138"/>
  <c r="BG31" i="138"/>
  <c r="AA31" i="138" s="1"/>
  <c r="AC31" i="138" s="1"/>
  <c r="AD31" i="138" s="1"/>
  <c r="AO19" i="138"/>
  <c r="AP20" i="138"/>
  <c r="AZ12" i="138"/>
  <c r="AX12" i="138"/>
  <c r="BB20" i="138"/>
  <c r="S8" i="19"/>
  <c r="U8" i="19" s="1"/>
  <c r="W13" i="19"/>
  <c r="X13" i="19" s="1"/>
  <c r="W10" i="19"/>
  <c r="X10" i="19" s="1"/>
  <c r="Q12" i="19"/>
  <c r="C18" i="22" s="1"/>
  <c r="U11" i="19"/>
  <c r="U12" i="19" s="1"/>
  <c r="AX10" i="138"/>
  <c r="N6" i="140"/>
  <c r="N13" i="140"/>
  <c r="N26" i="140"/>
  <c r="N12" i="140"/>
  <c r="N8" i="140"/>
  <c r="N10" i="140"/>
  <c r="N9" i="140"/>
  <c r="AW14" i="138"/>
  <c r="AP19" i="138"/>
  <c r="AY12" i="138"/>
  <c r="AW12" i="138"/>
  <c r="AW13" i="138" s="1"/>
  <c r="N25" i="140"/>
  <c r="N30" i="140"/>
  <c r="N11" i="140"/>
  <c r="N7" i="140"/>
  <c r="N28" i="140"/>
  <c r="N24" i="140"/>
  <c r="M8" i="140"/>
  <c r="M24" i="140"/>
  <c r="BF5" i="138"/>
  <c r="M31" i="140"/>
  <c r="M26" i="140"/>
  <c r="M12" i="140"/>
  <c r="M29" i="140"/>
  <c r="M11" i="140"/>
  <c r="M28" i="140"/>
  <c r="M25" i="140"/>
  <c r="BF6" i="138"/>
  <c r="M9" i="140"/>
  <c r="N29" i="140"/>
  <c r="M30" i="140"/>
  <c r="M27" i="140"/>
  <c r="N23" i="140"/>
  <c r="N14" i="140"/>
  <c r="M10" i="140"/>
  <c r="M7" i="140"/>
  <c r="N27" i="140"/>
  <c r="M13" i="140"/>
  <c r="K27" i="17"/>
  <c r="L27" i="17"/>
  <c r="I9" i="19"/>
  <c r="C20" i="22"/>
  <c r="AG10" i="19" s="1"/>
  <c r="F12" i="19"/>
  <c r="Q28" i="19"/>
  <c r="C17" i="22"/>
  <c r="G59" i="98"/>
  <c r="S11" i="19"/>
  <c r="O4" i="99"/>
  <c r="O3" i="99" s="1"/>
  <c r="M19" i="99" s="1"/>
  <c r="S26" i="19"/>
  <c r="O8" i="99"/>
  <c r="H8" i="99"/>
  <c r="I5" i="99"/>
  <c r="S14" i="98"/>
  <c r="T14" i="98"/>
  <c r="H19" i="98" s="1"/>
  <c r="H60" i="98" s="1"/>
  <c r="AA15" i="99"/>
  <c r="Y9" i="99" s="1"/>
  <c r="Y8" i="99" s="1"/>
  <c r="Y7" i="99" s="1"/>
  <c r="E11" i="98"/>
  <c r="E38" i="17"/>
  <c r="E39" i="17" s="1"/>
  <c r="V28" i="29" l="1"/>
  <c r="X28" i="29"/>
  <c r="X30" i="29" s="1"/>
  <c r="Q14" i="98"/>
  <c r="B18" i="22"/>
  <c r="AX13" i="138"/>
  <c r="V15" i="138" s="1"/>
  <c r="AX11" i="138"/>
  <c r="V13" i="138" s="1"/>
  <c r="AZ8" i="138"/>
  <c r="T15" i="138"/>
  <c r="AY13" i="138"/>
  <c r="T16" i="138" s="1"/>
  <c r="AW15" i="138"/>
  <c r="AZ13" i="138"/>
  <c r="V16" i="138" s="1"/>
  <c r="AO20" i="138"/>
  <c r="BC20" i="138"/>
  <c r="AA18" i="138" s="1"/>
  <c r="X17" i="19"/>
  <c r="Y17" i="19" s="1"/>
  <c r="Z17" i="19" s="1"/>
  <c r="Q15" i="19" s="1"/>
  <c r="L8" i="19"/>
  <c r="Z13" i="19"/>
  <c r="M12" i="19" s="1"/>
  <c r="U13" i="19"/>
  <c r="M10" i="19" s="1"/>
  <c r="Z11" i="19"/>
  <c r="M16" i="19"/>
  <c r="Y11" i="19"/>
  <c r="Y14" i="19"/>
  <c r="Q25" i="19"/>
  <c r="X23" i="19"/>
  <c r="N15" i="140"/>
  <c r="N20" i="140" s="1"/>
  <c r="AV19" i="138"/>
  <c r="AW19" i="138" s="1"/>
  <c r="AX19" i="138" s="1"/>
  <c r="N32" i="140"/>
  <c r="E4" i="98"/>
  <c r="F11" i="19"/>
  <c r="C19" i="22"/>
  <c r="AG9" i="19" s="1"/>
  <c r="I8" i="99"/>
  <c r="B39" i="17"/>
  <c r="G19" i="98"/>
  <c r="S20" i="98" s="1"/>
  <c r="O10" i="99"/>
  <c r="Z10" i="99" s="1"/>
  <c r="AG11" i="19"/>
  <c r="AG12" i="19" s="1"/>
  <c r="B12" i="99"/>
  <c r="M20" i="99"/>
  <c r="I10" i="99"/>
  <c r="Z13" i="99" s="1"/>
  <c r="I4" i="99"/>
  <c r="I3" i="99" s="1"/>
  <c r="Q19" i="19"/>
  <c r="O11" i="99"/>
  <c r="T20" i="98"/>
  <c r="E59" i="98"/>
  <c r="C16" i="22"/>
  <c r="E19" i="98"/>
  <c r="Z31" i="29" l="1"/>
  <c r="AD13" i="138"/>
  <c r="B20" i="19"/>
  <c r="B19" i="19" s="1"/>
  <c r="AG13" i="19"/>
  <c r="AG15" i="19" s="1"/>
  <c r="I6" i="19" s="1"/>
  <c r="Y14" i="99"/>
  <c r="G60" i="98"/>
  <c r="K11" i="99"/>
  <c r="X32" i="29"/>
  <c r="AA31" i="29" s="1"/>
  <c r="AA32" i="29" s="1"/>
  <c r="E60" i="98"/>
  <c r="I11" i="99"/>
  <c r="M21" i="99"/>
  <c r="Q31" i="19"/>
  <c r="Q20" i="98"/>
  <c r="Q24" i="19" l="1"/>
  <c r="Q14" i="19"/>
  <c r="AZ19" i="138"/>
  <c r="AY19" i="138"/>
  <c r="T20" i="138" s="1"/>
  <c r="B23" i="22"/>
  <c r="U28" i="19"/>
  <c r="X32" i="19"/>
  <c r="X33" i="19" s="1"/>
  <c r="X34" i="19"/>
  <c r="V34" i="19"/>
  <c r="V32" i="19"/>
  <c r="V33" i="19" s="1"/>
  <c r="M22" i="99"/>
  <c r="C13" i="22"/>
  <c r="Q18" i="19"/>
  <c r="V35" i="19" l="1"/>
  <c r="H15" i="19"/>
  <c r="I8" i="19" s="1"/>
  <c r="G38" i="19"/>
  <c r="G40" i="19" s="1"/>
  <c r="M23" i="99"/>
  <c r="B21" i="19"/>
  <c r="B25" i="22" s="1"/>
  <c r="M8" i="19" l="1"/>
  <c r="M11" i="19" s="1"/>
  <c r="M13" i="19" s="1"/>
  <c r="M17" i="19" s="1"/>
  <c r="Q16" i="19"/>
  <c r="I16" i="19"/>
  <c r="I17" i="19"/>
  <c r="U5" i="19"/>
  <c r="W6" i="19" s="1"/>
  <c r="X6" i="19" s="1"/>
  <c r="E29" i="19"/>
  <c r="E30" i="19" s="1"/>
  <c r="I25" i="19" s="1"/>
  <c r="I19" i="19"/>
  <c r="C21" i="22"/>
  <c r="Q20" i="19"/>
  <c r="B18" i="19" s="1"/>
  <c r="M24" i="99"/>
  <c r="G11" i="98"/>
  <c r="F11" i="98"/>
  <c r="X8" i="19" l="1"/>
  <c r="H17" i="19"/>
  <c r="I15" i="19" s="1"/>
  <c r="G15" i="98"/>
  <c r="G16" i="98" s="1"/>
  <c r="F15" i="98"/>
  <c r="W5" i="19"/>
  <c r="X5" i="19" s="1"/>
  <c r="B24" i="19" s="1"/>
  <c r="J8" i="99"/>
  <c r="M25" i="99"/>
  <c r="K8" i="99"/>
  <c r="E33" i="19" l="1"/>
  <c r="I24" i="19" s="1"/>
  <c r="C22" i="22"/>
  <c r="M26" i="99"/>
  <c r="M27" i="99" l="1"/>
  <c r="M28" i="99" l="1"/>
  <c r="M29" i="99" l="1"/>
  <c r="M30" i="99" l="1"/>
  <c r="M31" i="99" l="1"/>
  <c r="M32" i="99" l="1"/>
  <c r="M33" i="99" l="1"/>
  <c r="M34" i="99" s="1"/>
  <c r="M35" i="99" l="1"/>
  <c r="M36" i="99" l="1"/>
  <c r="M37" i="99" l="1"/>
  <c r="M38" i="99" l="1"/>
  <c r="M39" i="99" l="1"/>
  <c r="M40" i="99" l="1"/>
  <c r="M41" i="99" l="1"/>
  <c r="M42" i="99" l="1"/>
  <c r="M43" i="99" l="1"/>
  <c r="M44" i="99" l="1"/>
  <c r="M45" i="99" l="1"/>
  <c r="M46" i="99" l="1"/>
  <c r="M47" i="99" l="1"/>
  <c r="M48" i="99" l="1"/>
  <c r="M49" i="99" l="1"/>
  <c r="M50" i="99" l="1"/>
  <c r="M51" i="99" l="1"/>
  <c r="M52" i="99" l="1"/>
  <c r="M53" i="99" l="1"/>
  <c r="M54" i="99" l="1"/>
  <c r="M55" i="99" l="1"/>
  <c r="M56" i="99" l="1"/>
  <c r="M57" i="99" l="1"/>
  <c r="M58" i="99" l="1"/>
  <c r="M59" i="99" l="1"/>
  <c r="M60" i="99" l="1"/>
  <c r="M61" i="99" l="1"/>
  <c r="M62" i="99" l="1"/>
  <c r="M63" i="99" l="1"/>
  <c r="M64" i="99" l="1"/>
  <c r="M65" i="99" l="1"/>
  <c r="M66" i="99" l="1"/>
  <c r="M67" i="99" l="1"/>
  <c r="M68" i="99" l="1"/>
  <c r="M69" i="99" l="1"/>
  <c r="M70" i="99" l="1"/>
  <c r="M71" i="99" l="1"/>
  <c r="M72" i="99" l="1"/>
  <c r="M73" i="99" l="1"/>
  <c r="M74" i="99" l="1"/>
  <c r="M75" i="99" l="1"/>
  <c r="M76" i="99" l="1"/>
  <c r="M77" i="99" l="1"/>
  <c r="M78" i="99" l="1"/>
  <c r="M79" i="99" l="1"/>
  <c r="M80" i="99" l="1"/>
  <c r="M81" i="99" l="1"/>
  <c r="M82" i="99" l="1"/>
  <c r="M83" i="99" l="1"/>
  <c r="M84" i="99" l="1"/>
  <c r="M85" i="99" l="1"/>
  <c r="M86" i="99" l="1"/>
  <c r="M87" i="99" l="1"/>
  <c r="M88" i="99" l="1"/>
  <c r="M89" i="99" l="1"/>
  <c r="M90" i="99" l="1"/>
  <c r="M91" i="99" l="1"/>
  <c r="M92" i="99" l="1"/>
  <c r="M93" i="99" l="1"/>
  <c r="E15" i="105" l="1"/>
  <c r="E18" i="105" l="1"/>
  <c r="C19" i="105" l="1"/>
  <c r="C20" i="105"/>
  <c r="E20" i="105"/>
  <c r="E23" i="105" s="1"/>
  <c r="E24" i="105" l="1"/>
  <c r="E25" i="105" s="1"/>
  <c r="F25" i="105" s="1"/>
  <c r="K12" i="99" l="1"/>
  <c r="F18" i="99" l="1"/>
  <c r="K18" i="99" s="1"/>
  <c r="K35" i="115" l="1"/>
  <c r="K37" i="115" s="1"/>
  <c r="L35" i="115"/>
  <c r="L37" i="115" s="1"/>
  <c r="F31" i="98" l="1"/>
  <c r="U4" i="99" l="1"/>
  <c r="X18" i="98" s="1"/>
  <c r="J6" i="99" l="1"/>
  <c r="F52" i="98"/>
  <c r="BD168" i="11" l="1"/>
  <c r="BD167" i="11"/>
  <c r="BD170" i="11"/>
  <c r="BD169" i="11"/>
  <c r="BD171" i="11"/>
  <c r="BE167" i="11"/>
  <c r="BE169" i="11"/>
  <c r="BE168" i="11"/>
  <c r="BE171" i="11"/>
  <c r="BE170" i="11"/>
  <c r="BF170" i="11"/>
  <c r="BF171" i="11"/>
  <c r="BF168" i="11"/>
  <c r="BF169" i="11"/>
  <c r="BF167" i="11"/>
  <c r="BG171" i="11"/>
  <c r="BG168" i="11"/>
  <c r="BG169" i="11"/>
  <c r="BG167" i="11"/>
  <c r="BG170" i="11"/>
  <c r="J12" i="99"/>
  <c r="G52" i="98"/>
  <c r="F51" i="98"/>
  <c r="P15" i="98"/>
  <c r="B20" i="98" l="1"/>
  <c r="R16" i="98"/>
  <c r="S16" i="98"/>
  <c r="G57" i="98" s="1"/>
  <c r="G58" i="98" s="1"/>
  <c r="G61" i="98" s="1"/>
  <c r="E18" i="99"/>
  <c r="J18" i="99" s="1"/>
  <c r="P2" i="99"/>
  <c r="J11" i="98"/>
  <c r="J15" i="98" s="1"/>
  <c r="Q2" i="99"/>
  <c r="R2" i="99"/>
  <c r="V19" i="98"/>
  <c r="V21" i="98" s="1"/>
  <c r="AJ29" i="98"/>
  <c r="AL14" i="98" s="1"/>
  <c r="I11" i="98"/>
  <c r="W19" i="98"/>
  <c r="W21" i="98" s="1"/>
  <c r="U19" i="98"/>
  <c r="U21" i="98" s="1"/>
  <c r="R4" i="99"/>
  <c r="R10" i="99" s="1"/>
  <c r="K11" i="98"/>
  <c r="S21" i="98" l="1"/>
  <c r="R21" i="98"/>
  <c r="S22" i="98"/>
  <c r="S23" i="98" s="1"/>
  <c r="Q12" i="99"/>
  <c r="Q31" i="99" s="1"/>
  <c r="V31" i="99" s="1"/>
  <c r="V16" i="98"/>
  <c r="U14" i="98"/>
  <c r="I19" i="98" s="1"/>
  <c r="U20" i="98" s="1"/>
  <c r="Q8" i="99"/>
  <c r="P8" i="99"/>
  <c r="P4" i="99"/>
  <c r="R3" i="99"/>
  <c r="I15" i="98"/>
  <c r="P6" i="99"/>
  <c r="Q4" i="99"/>
  <c r="W14" i="98"/>
  <c r="K19" i="98" s="1"/>
  <c r="V14" i="98"/>
  <c r="J19" i="98" s="1"/>
  <c r="K15" i="98"/>
  <c r="R8" i="99"/>
  <c r="AK29" i="98"/>
  <c r="AL29" i="98" s="1"/>
  <c r="B30" i="98"/>
  <c r="B29" i="98"/>
  <c r="B33" i="98"/>
  <c r="C7" i="106"/>
  <c r="J16" i="98"/>
  <c r="Q71" i="99" l="1"/>
  <c r="V71" i="99" s="1"/>
  <c r="Q38" i="99"/>
  <c r="V38" i="99" s="1"/>
  <c r="Q28" i="99"/>
  <c r="V28" i="99" s="1"/>
  <c r="Q80" i="99"/>
  <c r="V80" i="99" s="1"/>
  <c r="Q24" i="99"/>
  <c r="V24" i="99" s="1"/>
  <c r="Q76" i="99"/>
  <c r="V76" i="99" s="1"/>
  <c r="Q79" i="99"/>
  <c r="V79" i="99" s="1"/>
  <c r="Q75" i="99"/>
  <c r="V75" i="99" s="1"/>
  <c r="Q32" i="99"/>
  <c r="V32" i="99" s="1"/>
  <c r="Q27" i="99"/>
  <c r="V27" i="99" s="1"/>
  <c r="Q23" i="99"/>
  <c r="V23" i="99" s="1"/>
  <c r="Q78" i="99"/>
  <c r="V78" i="99" s="1"/>
  <c r="Q74" i="99"/>
  <c r="V74" i="99" s="1"/>
  <c r="Q30" i="99"/>
  <c r="V30" i="99" s="1"/>
  <c r="Q26" i="99"/>
  <c r="V26" i="99" s="1"/>
  <c r="Q22" i="99"/>
  <c r="V22" i="99" s="1"/>
  <c r="Q77" i="99"/>
  <c r="V77" i="99" s="1"/>
  <c r="Q73" i="99"/>
  <c r="V73" i="99" s="1"/>
  <c r="Q29" i="99"/>
  <c r="V29" i="99" s="1"/>
  <c r="Q25" i="99"/>
  <c r="V25" i="99" s="1"/>
  <c r="Q93" i="99"/>
  <c r="V93" i="99" s="1"/>
  <c r="Q92" i="99"/>
  <c r="V92" i="99" s="1"/>
  <c r="Q91" i="99"/>
  <c r="V91" i="99" s="1"/>
  <c r="Q90" i="99"/>
  <c r="V90" i="99" s="1"/>
  <c r="Q88" i="99"/>
  <c r="V88" i="99" s="1"/>
  <c r="Q89" i="99"/>
  <c r="V89" i="99" s="1"/>
  <c r="Q86" i="99"/>
  <c r="V86" i="99" s="1"/>
  <c r="Q87" i="99"/>
  <c r="V87" i="99" s="1"/>
  <c r="Q85" i="99"/>
  <c r="V85" i="99" s="1"/>
  <c r="Q83" i="99"/>
  <c r="V83" i="99" s="1"/>
  <c r="Q84" i="99"/>
  <c r="V84" i="99" s="1"/>
  <c r="Q82" i="99"/>
  <c r="V82" i="99" s="1"/>
  <c r="Q81" i="99"/>
  <c r="V81" i="99" s="1"/>
  <c r="Q70" i="99"/>
  <c r="V70" i="99" s="1"/>
  <c r="Q69" i="99"/>
  <c r="V69" i="99" s="1"/>
  <c r="Q68" i="99"/>
  <c r="V68" i="99" s="1"/>
  <c r="Q67" i="99"/>
  <c r="V67" i="99" s="1"/>
  <c r="Q66" i="99"/>
  <c r="V66" i="99" s="1"/>
  <c r="Q65" i="99"/>
  <c r="V65" i="99" s="1"/>
  <c r="Q63" i="99"/>
  <c r="V63" i="99" s="1"/>
  <c r="Q62" i="99"/>
  <c r="V62" i="99" s="1"/>
  <c r="Q60" i="99"/>
  <c r="V60" i="99" s="1"/>
  <c r="Q59" i="99"/>
  <c r="V59" i="99" s="1"/>
  <c r="Q58" i="99"/>
  <c r="V58" i="99" s="1"/>
  <c r="Q57" i="99"/>
  <c r="V57" i="99" s="1"/>
  <c r="Q56" i="99"/>
  <c r="V56" i="99" s="1"/>
  <c r="Q55" i="99"/>
  <c r="V55" i="99" s="1"/>
  <c r="Q54" i="99"/>
  <c r="V54" i="99" s="1"/>
  <c r="Q53" i="99"/>
  <c r="V53" i="99" s="1"/>
  <c r="Q49" i="99"/>
  <c r="V49" i="99" s="1"/>
  <c r="Q47" i="99"/>
  <c r="V47" i="99" s="1"/>
  <c r="Q46" i="99"/>
  <c r="V46" i="99" s="1"/>
  <c r="Q45" i="99"/>
  <c r="V45" i="99" s="1"/>
  <c r="Q44" i="99"/>
  <c r="V44" i="99" s="1"/>
  <c r="Q43" i="99"/>
  <c r="V43" i="99" s="1"/>
  <c r="Q42" i="99"/>
  <c r="V42" i="99" s="1"/>
  <c r="Q61" i="99"/>
  <c r="V61" i="99" s="1"/>
  <c r="Q40" i="99"/>
  <c r="V40" i="99" s="1"/>
  <c r="Q39" i="99"/>
  <c r="V39" i="99" s="1"/>
  <c r="Q41" i="99"/>
  <c r="V41" i="99" s="1"/>
  <c r="Q21" i="99"/>
  <c r="V21" i="99" s="1"/>
  <c r="Q37" i="99"/>
  <c r="V37" i="99" s="1"/>
  <c r="Q20" i="99"/>
  <c r="V20" i="99" s="1"/>
  <c r="Q52" i="99"/>
  <c r="V52" i="99" s="1"/>
  <c r="Q36" i="99"/>
  <c r="V36" i="99" s="1"/>
  <c r="Q19" i="99"/>
  <c r="V19" i="99" s="1"/>
  <c r="Q51" i="99"/>
  <c r="V51" i="99" s="1"/>
  <c r="Q35" i="99"/>
  <c r="V35" i="99" s="1"/>
  <c r="Q18" i="99"/>
  <c r="V18" i="99" s="1"/>
  <c r="Q50" i="99"/>
  <c r="V50" i="99" s="1"/>
  <c r="Q34" i="99"/>
  <c r="V34" i="99" s="1"/>
  <c r="Q72" i="99"/>
  <c r="V72" i="99" s="1"/>
  <c r="Q64" i="99"/>
  <c r="V64" i="99" s="1"/>
  <c r="Q48" i="99"/>
  <c r="V48" i="99" s="1"/>
  <c r="Q33" i="99"/>
  <c r="V33" i="99" s="1"/>
  <c r="G22" i="98"/>
  <c r="G20" i="98"/>
  <c r="G40" i="98" s="1"/>
  <c r="P12" i="99"/>
  <c r="P31" i="99" s="1"/>
  <c r="U16" i="98"/>
  <c r="U22" i="98" s="1"/>
  <c r="U23" i="98" s="1"/>
  <c r="I20" i="98" s="1"/>
  <c r="R12" i="99"/>
  <c r="W32" i="99" s="1"/>
  <c r="W16" i="98"/>
  <c r="I16" i="98"/>
  <c r="W62" i="99"/>
  <c r="W46" i="99"/>
  <c r="W30" i="99"/>
  <c r="Q10" i="99"/>
  <c r="Q3" i="99"/>
  <c r="W61" i="99"/>
  <c r="W45" i="99"/>
  <c r="W29" i="99"/>
  <c r="W60" i="99"/>
  <c r="W44" i="99"/>
  <c r="W28" i="99"/>
  <c r="W59" i="99"/>
  <c r="W43" i="99"/>
  <c r="W27" i="99"/>
  <c r="W58" i="99"/>
  <c r="W26" i="99"/>
  <c r="W57" i="99"/>
  <c r="W25" i="99"/>
  <c r="W56" i="99"/>
  <c r="W40" i="99"/>
  <c r="W24" i="99"/>
  <c r="W55" i="99"/>
  <c r="W39" i="99"/>
  <c r="W23" i="99"/>
  <c r="W20" i="98"/>
  <c r="R11" i="99"/>
  <c r="W70" i="99"/>
  <c r="W54" i="99"/>
  <c r="W38" i="99"/>
  <c r="W22" i="99"/>
  <c r="W69" i="99"/>
  <c r="W53" i="99"/>
  <c r="W37" i="99"/>
  <c r="W21" i="99"/>
  <c r="W68" i="99"/>
  <c r="W52" i="99"/>
  <c r="W36" i="99"/>
  <c r="W20" i="99"/>
  <c r="W67" i="99"/>
  <c r="W51" i="99"/>
  <c r="W35" i="99"/>
  <c r="W19" i="99"/>
  <c r="W66" i="99"/>
  <c r="W50" i="99"/>
  <c r="W34" i="99"/>
  <c r="W65" i="99"/>
  <c r="W49" i="99"/>
  <c r="W33" i="99"/>
  <c r="V20" i="98"/>
  <c r="V22" i="98" s="1"/>
  <c r="V23" i="98" s="1"/>
  <c r="J20" i="98" s="1"/>
  <c r="J40" i="98" s="1"/>
  <c r="Q11" i="99"/>
  <c r="W64" i="99"/>
  <c r="W48" i="99"/>
  <c r="W31" i="99"/>
  <c r="P10" i="99"/>
  <c r="P3" i="99"/>
  <c r="W63" i="99"/>
  <c r="W47" i="99"/>
  <c r="K16" i="98"/>
  <c r="P19" i="99" l="1"/>
  <c r="U19" i="99" s="1"/>
  <c r="P20" i="99"/>
  <c r="U20" i="99" s="1"/>
  <c r="P22" i="99"/>
  <c r="U22" i="99" s="1"/>
  <c r="P23" i="99"/>
  <c r="U23" i="99" s="1"/>
  <c r="P72" i="99"/>
  <c r="U72" i="99" s="1"/>
  <c r="P76" i="99"/>
  <c r="R81" i="99"/>
  <c r="W81" i="99" s="1"/>
  <c r="P80" i="99"/>
  <c r="U80" i="99" s="1"/>
  <c r="R75" i="99"/>
  <c r="W75" i="99" s="1"/>
  <c r="P84" i="99"/>
  <c r="U84" i="99" s="1"/>
  <c r="R91" i="99"/>
  <c r="W91" i="99" s="1"/>
  <c r="P88" i="99"/>
  <c r="U88" i="99" s="1"/>
  <c r="P92" i="99"/>
  <c r="U92" i="99" s="1"/>
  <c r="U13" i="99"/>
  <c r="R80" i="99"/>
  <c r="W80" i="99" s="1"/>
  <c r="R71" i="99"/>
  <c r="W71" i="99" s="1"/>
  <c r="P73" i="99"/>
  <c r="U73" i="99" s="1"/>
  <c r="R87" i="99"/>
  <c r="W87" i="99" s="1"/>
  <c r="R84" i="99"/>
  <c r="W84" i="99" s="1"/>
  <c r="P24" i="99"/>
  <c r="U24" i="99" s="1"/>
  <c r="R85" i="99"/>
  <c r="W85" i="99" s="1"/>
  <c r="R88" i="99"/>
  <c r="W88" i="99" s="1"/>
  <c r="P77" i="99"/>
  <c r="U77" i="99" s="1"/>
  <c r="R79" i="99"/>
  <c r="W79" i="99" s="1"/>
  <c r="R92" i="99"/>
  <c r="W92" i="99" s="1"/>
  <c r="P79" i="99"/>
  <c r="U79" i="99" s="1"/>
  <c r="P56" i="99"/>
  <c r="U56" i="99" s="1"/>
  <c r="R76" i="99"/>
  <c r="W76" i="99" s="1"/>
  <c r="R73" i="99"/>
  <c r="W73" i="99" s="1"/>
  <c r="P27" i="99"/>
  <c r="U27" i="99" s="1"/>
  <c r="R82" i="99"/>
  <c r="W82" i="99" s="1"/>
  <c r="R86" i="99"/>
  <c r="W86" i="99" s="1"/>
  <c r="P26" i="99"/>
  <c r="U26" i="99" s="1"/>
  <c r="R83" i="99"/>
  <c r="W83" i="99" s="1"/>
  <c r="P25" i="99"/>
  <c r="U25" i="99" s="1"/>
  <c r="P85" i="99"/>
  <c r="U85" i="99" s="1"/>
  <c r="P89" i="99"/>
  <c r="U89" i="99" s="1"/>
  <c r="R89" i="99"/>
  <c r="W89" i="99" s="1"/>
  <c r="R77" i="99"/>
  <c r="W77" i="99" s="1"/>
  <c r="P93" i="99"/>
  <c r="U93" i="99" s="1"/>
  <c r="R74" i="99"/>
  <c r="W74" i="99" s="1"/>
  <c r="R90" i="99"/>
  <c r="W90" i="99" s="1"/>
  <c r="R93" i="99"/>
  <c r="W93" i="99" s="1"/>
  <c r="P78" i="99"/>
  <c r="U78" i="99" s="1"/>
  <c r="P71" i="99"/>
  <c r="U71" i="99" s="1"/>
  <c r="P21" i="99"/>
  <c r="U21" i="99" s="1"/>
  <c r="P87" i="99"/>
  <c r="U87" i="99" s="1"/>
  <c r="P83" i="99"/>
  <c r="U83" i="99" s="1"/>
  <c r="P75" i="99"/>
  <c r="U75" i="99" s="1"/>
  <c r="P91" i="99"/>
  <c r="U91" i="99" s="1"/>
  <c r="P82" i="99"/>
  <c r="U82" i="99" s="1"/>
  <c r="P67" i="99"/>
  <c r="U67" i="99" s="1"/>
  <c r="P63" i="99"/>
  <c r="U63" i="99" s="1"/>
  <c r="P61" i="99"/>
  <c r="U61" i="99" s="1"/>
  <c r="P45" i="99"/>
  <c r="U45" i="99" s="1"/>
  <c r="P60" i="99"/>
  <c r="U60" i="99" s="1"/>
  <c r="P44" i="99"/>
  <c r="U44" i="99" s="1"/>
  <c r="P49" i="99"/>
  <c r="U49" i="99" s="1"/>
  <c r="P43" i="99"/>
  <c r="U43" i="99" s="1"/>
  <c r="P86" i="99"/>
  <c r="U86" i="99" s="1"/>
  <c r="P58" i="99"/>
  <c r="U58" i="99" s="1"/>
  <c r="P40" i="99"/>
  <c r="U40" i="99" s="1"/>
  <c r="P57" i="99"/>
  <c r="U57" i="99" s="1"/>
  <c r="U12" i="99"/>
  <c r="P41" i="99"/>
  <c r="U41" i="99" s="1"/>
  <c r="P39" i="99"/>
  <c r="U39" i="99" s="1"/>
  <c r="P18" i="99"/>
  <c r="U18" i="99" s="1"/>
  <c r="P90" i="99"/>
  <c r="U90" i="99" s="1"/>
  <c r="P51" i="99"/>
  <c r="U51" i="99" s="1"/>
  <c r="P81" i="99"/>
  <c r="P74" i="99"/>
  <c r="U74" i="99" s="1"/>
  <c r="P37" i="99"/>
  <c r="U37" i="99" s="1"/>
  <c r="P54" i="99"/>
  <c r="U54" i="99" s="1"/>
  <c r="P64" i="99"/>
  <c r="U64" i="99" s="1"/>
  <c r="P42" i="99"/>
  <c r="U42" i="99" s="1"/>
  <c r="P38" i="99"/>
  <c r="U38" i="99" s="1"/>
  <c r="P55" i="99"/>
  <c r="U55" i="99" s="1"/>
  <c r="P70" i="99"/>
  <c r="U70" i="99" s="1"/>
  <c r="P36" i="99"/>
  <c r="U36" i="99" s="1"/>
  <c r="R72" i="99"/>
  <c r="W72" i="99" s="1"/>
  <c r="P69" i="99"/>
  <c r="U69" i="99" s="1"/>
  <c r="P53" i="99"/>
  <c r="U53" i="99" s="1"/>
  <c r="P35" i="99"/>
  <c r="U35" i="99" s="1"/>
  <c r="P68" i="99"/>
  <c r="U68" i="99" s="1"/>
  <c r="P52" i="99"/>
  <c r="U52" i="99" s="1"/>
  <c r="P50" i="99"/>
  <c r="U50" i="99" s="1"/>
  <c r="P48" i="99"/>
  <c r="U48" i="99" s="1"/>
  <c r="P47" i="99"/>
  <c r="U47" i="99" s="1"/>
  <c r="P65" i="99"/>
  <c r="U65" i="99" s="1"/>
  <c r="P59" i="99"/>
  <c r="U59" i="99" s="1"/>
  <c r="P62" i="99"/>
  <c r="U62" i="99" s="1"/>
  <c r="P66" i="99"/>
  <c r="U66" i="99" s="1"/>
  <c r="P33" i="99"/>
  <c r="U33" i="99" s="1"/>
  <c r="P46" i="99"/>
  <c r="U46" i="99" s="1"/>
  <c r="P34" i="99"/>
  <c r="U34" i="99" s="1"/>
  <c r="R78" i="99"/>
  <c r="W78" i="99" s="1"/>
  <c r="P32" i="99"/>
  <c r="U32" i="99" s="1"/>
  <c r="Q13" i="99"/>
  <c r="P30" i="99"/>
  <c r="U30" i="99" s="1"/>
  <c r="P29" i="99"/>
  <c r="U29" i="99" s="1"/>
  <c r="P28" i="99"/>
  <c r="U28" i="99" s="1"/>
  <c r="I40" i="98"/>
  <c r="I25" i="98"/>
  <c r="I21" i="98"/>
  <c r="U31" i="99"/>
  <c r="U76" i="99"/>
  <c r="W22" i="98"/>
  <c r="W23" i="98" s="1"/>
  <c r="K20" i="98" s="1"/>
  <c r="K40" i="98" s="1"/>
  <c r="W18" i="99"/>
  <c r="W42" i="99"/>
  <c r="W41" i="99"/>
  <c r="AO27" i="98"/>
  <c r="AO26" i="98" s="1"/>
  <c r="AH33" i="98" s="1"/>
  <c r="AH39" i="98" s="1"/>
  <c r="P19" i="98"/>
  <c r="H5" i="99"/>
  <c r="D53" i="98"/>
  <c r="E53" i="98" s="1"/>
  <c r="E52" i="98" s="1"/>
  <c r="U81" i="99" l="1"/>
  <c r="R13" i="99"/>
  <c r="P13" i="99"/>
  <c r="AI33" i="98"/>
  <c r="AI39" i="98" s="1"/>
  <c r="AO30" i="98" s="1"/>
  <c r="AO29" i="98"/>
  <c r="AO33" i="98"/>
  <c r="B18" i="98"/>
  <c r="H10" i="99"/>
  <c r="Y13" i="99" s="1"/>
  <c r="D52" i="98"/>
  <c r="F29" i="98"/>
  <c r="H4" i="99"/>
  <c r="H3" i="99" s="1"/>
  <c r="B19" i="99" s="1"/>
  <c r="F19" i="99" l="1"/>
  <c r="K19" i="99" s="1"/>
  <c r="E19" i="99"/>
  <c r="J19" i="99" s="1"/>
  <c r="AO31" i="98"/>
  <c r="B20" i="99"/>
  <c r="F20" i="99" l="1"/>
  <c r="K20" i="99" s="1"/>
  <c r="E20" i="99"/>
  <c r="J20" i="99" s="1"/>
  <c r="B21" i="99"/>
  <c r="F21" i="99" l="1"/>
  <c r="K21" i="99" s="1"/>
  <c r="E21" i="99"/>
  <c r="J21" i="99" s="1"/>
  <c r="B22" i="99"/>
  <c r="F22" i="99" l="1"/>
  <c r="K22" i="99" s="1"/>
  <c r="E22" i="99"/>
  <c r="J22" i="99" s="1"/>
  <c r="B23" i="99"/>
  <c r="F23" i="99" l="1"/>
  <c r="K23" i="99" s="1"/>
  <c r="E23" i="99"/>
  <c r="J23" i="99" s="1"/>
  <c r="B24" i="99"/>
  <c r="F24" i="99" l="1"/>
  <c r="K24" i="99" s="1"/>
  <c r="E24" i="99"/>
  <c r="J24" i="99" s="1"/>
  <c r="B25" i="99"/>
  <c r="F25" i="99" l="1"/>
  <c r="K25" i="99" s="1"/>
  <c r="E25" i="99"/>
  <c r="J25" i="99" s="1"/>
  <c r="B26" i="99"/>
  <c r="F26" i="99" l="1"/>
  <c r="K26" i="99" s="1"/>
  <c r="E26" i="99"/>
  <c r="J26" i="99" s="1"/>
  <c r="B27" i="99"/>
  <c r="F27" i="99" l="1"/>
  <c r="K27" i="99" s="1"/>
  <c r="E27" i="99"/>
  <c r="J27" i="99" s="1"/>
  <c r="B28" i="99"/>
  <c r="F28" i="99" l="1"/>
  <c r="K28" i="99" s="1"/>
  <c r="E28" i="99"/>
  <c r="J28" i="99" s="1"/>
  <c r="B29" i="99"/>
  <c r="F29" i="99" l="1"/>
  <c r="K29" i="99" s="1"/>
  <c r="E29" i="99"/>
  <c r="J29" i="99" s="1"/>
  <c r="B30" i="99"/>
  <c r="F30" i="99" l="1"/>
  <c r="K30" i="99" s="1"/>
  <c r="E30" i="99"/>
  <c r="J30" i="99" s="1"/>
  <c r="B31" i="99"/>
  <c r="F31" i="99" l="1"/>
  <c r="K31" i="99" s="1"/>
  <c r="E31" i="99"/>
  <c r="J31" i="99" s="1"/>
  <c r="B32" i="99"/>
  <c r="F32" i="99" l="1"/>
  <c r="K32" i="99" s="1"/>
  <c r="E32" i="99"/>
  <c r="J32" i="99" s="1"/>
  <c r="B33" i="99"/>
  <c r="F33" i="99" l="1"/>
  <c r="K33" i="99" s="1"/>
  <c r="E33" i="99"/>
  <c r="J33" i="99" s="1"/>
  <c r="B34" i="99"/>
  <c r="F34" i="99" l="1"/>
  <c r="K34" i="99" s="1"/>
  <c r="E34" i="99"/>
  <c r="J34" i="99" s="1"/>
  <c r="B35" i="99"/>
  <c r="F35" i="99" l="1"/>
  <c r="K35" i="99" s="1"/>
  <c r="E35" i="99"/>
  <c r="J35" i="99" s="1"/>
  <c r="B36" i="99"/>
  <c r="F36" i="99" l="1"/>
  <c r="K36" i="99" s="1"/>
  <c r="E36" i="99"/>
  <c r="J36" i="99" s="1"/>
  <c r="B37" i="99"/>
  <c r="F37" i="99" l="1"/>
  <c r="K37" i="99" s="1"/>
  <c r="E37" i="99"/>
  <c r="J37" i="99" s="1"/>
  <c r="B38" i="99"/>
  <c r="F38" i="99" l="1"/>
  <c r="K38" i="99" s="1"/>
  <c r="E38" i="99"/>
  <c r="J38" i="99" s="1"/>
  <c r="B39" i="99"/>
  <c r="F39" i="99" l="1"/>
  <c r="K39" i="99" s="1"/>
  <c r="E39" i="99"/>
  <c r="J39" i="99" s="1"/>
  <c r="B40" i="99"/>
  <c r="F40" i="99" l="1"/>
  <c r="K40" i="99" s="1"/>
  <c r="E40" i="99"/>
  <c r="J40" i="99" s="1"/>
  <c r="B41" i="99"/>
  <c r="F41" i="99" l="1"/>
  <c r="K41" i="99" s="1"/>
  <c r="E41" i="99"/>
  <c r="J41" i="99" s="1"/>
  <c r="B42" i="99"/>
  <c r="F42" i="99" l="1"/>
  <c r="K42" i="99" s="1"/>
  <c r="E42" i="99"/>
  <c r="J42" i="99" s="1"/>
  <c r="B43" i="99"/>
  <c r="F43" i="99" l="1"/>
  <c r="K43" i="99" s="1"/>
  <c r="E43" i="99"/>
  <c r="J43" i="99" s="1"/>
  <c r="B44" i="99"/>
  <c r="F44" i="99" l="1"/>
  <c r="K44" i="99" s="1"/>
  <c r="E44" i="99"/>
  <c r="J44" i="99" s="1"/>
  <c r="B45" i="99"/>
  <c r="F45" i="99" l="1"/>
  <c r="K45" i="99" s="1"/>
  <c r="E45" i="99"/>
  <c r="J45" i="99" s="1"/>
  <c r="B46" i="99"/>
  <c r="F46" i="99" l="1"/>
  <c r="K46" i="99" s="1"/>
  <c r="E46" i="99"/>
  <c r="J46" i="99" s="1"/>
  <c r="B47" i="99"/>
  <c r="F47" i="99" l="1"/>
  <c r="K47" i="99" s="1"/>
  <c r="E47" i="99"/>
  <c r="J47" i="99" s="1"/>
  <c r="B48" i="99"/>
  <c r="F48" i="99" l="1"/>
  <c r="K48" i="99" s="1"/>
  <c r="E48" i="99"/>
  <c r="J48" i="99" s="1"/>
  <c r="B49" i="99"/>
  <c r="F49" i="99" l="1"/>
  <c r="K49" i="99" s="1"/>
  <c r="E49" i="99"/>
  <c r="J49" i="99" s="1"/>
  <c r="B50" i="99"/>
  <c r="F50" i="99" l="1"/>
  <c r="K50" i="99" s="1"/>
  <c r="E50" i="99"/>
  <c r="J50" i="99" s="1"/>
  <c r="B51" i="99"/>
  <c r="F51" i="99" l="1"/>
  <c r="K51" i="99" s="1"/>
  <c r="E51" i="99"/>
  <c r="J51" i="99" s="1"/>
  <c r="B52" i="99"/>
  <c r="F52" i="99" l="1"/>
  <c r="K52" i="99" s="1"/>
  <c r="E52" i="99"/>
  <c r="J52" i="99" s="1"/>
  <c r="B53" i="99"/>
  <c r="F53" i="99" l="1"/>
  <c r="K53" i="99" s="1"/>
  <c r="E53" i="99"/>
  <c r="J53" i="99" s="1"/>
  <c r="B54" i="99"/>
  <c r="F54" i="99" l="1"/>
  <c r="K54" i="99" s="1"/>
  <c r="E54" i="99"/>
  <c r="J54" i="99" s="1"/>
  <c r="B55" i="99"/>
  <c r="F55" i="99" l="1"/>
  <c r="K55" i="99" s="1"/>
  <c r="E55" i="99"/>
  <c r="J55" i="99" s="1"/>
  <c r="B56" i="99"/>
  <c r="F56" i="99" l="1"/>
  <c r="K56" i="99" s="1"/>
  <c r="E56" i="99"/>
  <c r="J56" i="99" s="1"/>
  <c r="B57" i="99"/>
  <c r="F57" i="99" l="1"/>
  <c r="K57" i="99" s="1"/>
  <c r="E57" i="99"/>
  <c r="J57" i="99" s="1"/>
  <c r="B58" i="99"/>
  <c r="F58" i="99" l="1"/>
  <c r="K58" i="99" s="1"/>
  <c r="E58" i="99"/>
  <c r="J58" i="99" s="1"/>
  <c r="B59" i="99"/>
  <c r="F59" i="99" l="1"/>
  <c r="K59" i="99" s="1"/>
  <c r="E59" i="99"/>
  <c r="J59" i="99" s="1"/>
  <c r="B60" i="99"/>
  <c r="F60" i="99" l="1"/>
  <c r="K60" i="99" s="1"/>
  <c r="E60" i="99"/>
  <c r="J60" i="99" s="1"/>
  <c r="B61" i="99"/>
  <c r="F61" i="99" l="1"/>
  <c r="K61" i="99" s="1"/>
  <c r="E61" i="99"/>
  <c r="J61" i="99" s="1"/>
  <c r="B62" i="99"/>
  <c r="F62" i="99" l="1"/>
  <c r="K62" i="99" s="1"/>
  <c r="E62" i="99"/>
  <c r="J62" i="99" s="1"/>
  <c r="B63" i="99"/>
  <c r="F63" i="99" l="1"/>
  <c r="K63" i="99" s="1"/>
  <c r="E63" i="99"/>
  <c r="J63" i="99" s="1"/>
  <c r="B64" i="99"/>
  <c r="F64" i="99" l="1"/>
  <c r="K64" i="99" s="1"/>
  <c r="E64" i="99"/>
  <c r="J64" i="99" s="1"/>
  <c r="B65" i="99"/>
  <c r="F65" i="99" l="1"/>
  <c r="K65" i="99" s="1"/>
  <c r="E65" i="99"/>
  <c r="J65" i="99" s="1"/>
  <c r="B66" i="99"/>
  <c r="F66" i="99" l="1"/>
  <c r="K66" i="99" s="1"/>
  <c r="E66" i="99"/>
  <c r="J66" i="99" s="1"/>
  <c r="B67" i="99"/>
  <c r="F67" i="99" l="1"/>
  <c r="K67" i="99" s="1"/>
  <c r="E67" i="99"/>
  <c r="J67" i="99" s="1"/>
  <c r="B68" i="99"/>
  <c r="F68" i="99" l="1"/>
  <c r="K68" i="99" s="1"/>
  <c r="E68" i="99"/>
  <c r="J68" i="99" s="1"/>
  <c r="B69" i="99"/>
  <c r="F69" i="99" l="1"/>
  <c r="K69" i="99" s="1"/>
  <c r="E69" i="99"/>
  <c r="J69" i="99" s="1"/>
  <c r="B70" i="99"/>
  <c r="F70" i="99" l="1"/>
  <c r="K70" i="99" s="1"/>
  <c r="E70" i="99"/>
  <c r="J70" i="99" s="1"/>
  <c r="B71" i="99"/>
  <c r="F71" i="99" l="1"/>
  <c r="K71" i="99" s="1"/>
  <c r="E71" i="99"/>
  <c r="J71" i="99" s="1"/>
  <c r="B72" i="99"/>
  <c r="F72" i="99" l="1"/>
  <c r="K72" i="99" s="1"/>
  <c r="E72" i="99"/>
  <c r="J72" i="99" s="1"/>
  <c r="B73" i="99"/>
  <c r="F73" i="99" l="1"/>
  <c r="K73" i="99" s="1"/>
  <c r="E73" i="99"/>
  <c r="J73" i="99" s="1"/>
  <c r="B74" i="99"/>
  <c r="F74" i="99" l="1"/>
  <c r="K74" i="99" s="1"/>
  <c r="E74" i="99"/>
  <c r="J74" i="99" s="1"/>
  <c r="B75" i="99"/>
  <c r="F75" i="99" l="1"/>
  <c r="K75" i="99" s="1"/>
  <c r="E75" i="99"/>
  <c r="J75" i="99" s="1"/>
  <c r="B76" i="99"/>
  <c r="F76" i="99" l="1"/>
  <c r="K76" i="99" s="1"/>
  <c r="E76" i="99"/>
  <c r="J76" i="99" s="1"/>
  <c r="B77" i="99"/>
  <c r="F77" i="99" l="1"/>
  <c r="K77" i="99" s="1"/>
  <c r="E77" i="99"/>
  <c r="J77" i="99" s="1"/>
  <c r="B78" i="99"/>
  <c r="F78" i="99" l="1"/>
  <c r="K78" i="99" s="1"/>
  <c r="E78" i="99"/>
  <c r="J78" i="99" s="1"/>
  <c r="B79" i="99"/>
  <c r="F79" i="99" l="1"/>
  <c r="K79" i="99" s="1"/>
  <c r="E79" i="99"/>
  <c r="J79" i="99" s="1"/>
  <c r="B80" i="99"/>
  <c r="F80" i="99" l="1"/>
  <c r="K80" i="99" s="1"/>
  <c r="E80" i="99"/>
  <c r="J80" i="99" s="1"/>
  <c r="B81" i="99"/>
  <c r="F81" i="99" l="1"/>
  <c r="K81" i="99" s="1"/>
  <c r="E81" i="99"/>
  <c r="J81" i="99" s="1"/>
  <c r="B82" i="99"/>
  <c r="F82" i="99" l="1"/>
  <c r="K82" i="99" s="1"/>
  <c r="E82" i="99"/>
  <c r="J82" i="99" s="1"/>
  <c r="B83" i="99"/>
  <c r="F83" i="99" l="1"/>
  <c r="K83" i="99" s="1"/>
  <c r="E83" i="99"/>
  <c r="J83" i="99" s="1"/>
  <c r="B84" i="99"/>
  <c r="F84" i="99" l="1"/>
  <c r="K84" i="99" s="1"/>
  <c r="E84" i="99"/>
  <c r="J84" i="99" s="1"/>
  <c r="B85" i="99"/>
  <c r="F85" i="99" l="1"/>
  <c r="K85" i="99" s="1"/>
  <c r="E85" i="99"/>
  <c r="J85" i="99" s="1"/>
  <c r="B86" i="99"/>
  <c r="F86" i="99" l="1"/>
  <c r="K86" i="99" s="1"/>
  <c r="E86" i="99"/>
  <c r="J86" i="99" s="1"/>
  <c r="B87" i="99"/>
  <c r="F87" i="99" l="1"/>
  <c r="K87" i="99" s="1"/>
  <c r="E87" i="99"/>
  <c r="J87" i="99" s="1"/>
  <c r="B88" i="99"/>
  <c r="F88" i="99" l="1"/>
  <c r="K88" i="99" s="1"/>
  <c r="E88" i="99"/>
  <c r="J88" i="99" s="1"/>
  <c r="B89" i="99"/>
  <c r="F89" i="99" l="1"/>
  <c r="K89" i="99" s="1"/>
  <c r="E89" i="99"/>
  <c r="J89" i="99" s="1"/>
  <c r="B90" i="99"/>
  <c r="F90" i="99" l="1"/>
  <c r="K90" i="99" s="1"/>
  <c r="E90" i="99"/>
  <c r="J90" i="99" s="1"/>
  <c r="B91" i="99"/>
  <c r="F91" i="99" l="1"/>
  <c r="K91" i="99" s="1"/>
  <c r="E91" i="99"/>
  <c r="J91" i="99" s="1"/>
  <c r="B92" i="99"/>
  <c r="F92" i="99" l="1"/>
  <c r="K92" i="99" s="1"/>
  <c r="E92" i="99"/>
  <c r="J92" i="99" s="1"/>
  <c r="B93" i="99"/>
  <c r="F93" i="99" l="1"/>
  <c r="K93" i="99" s="1"/>
  <c r="K13" i="99" s="1"/>
  <c r="E93" i="99"/>
  <c r="J93" i="99" s="1"/>
  <c r="J13" i="99" s="1"/>
  <c r="B94" i="99"/>
  <c r="T1" i="99" l="1"/>
  <c r="H6" i="99"/>
  <c r="C8" i="126"/>
  <c r="B9" i="126" s="1"/>
  <c r="D15" i="98"/>
  <c r="P16" i="98" s="1"/>
  <c r="P21" i="98" l="1"/>
  <c r="H12" i="99"/>
  <c r="C49" i="99" s="1"/>
  <c r="H49" i="99" s="1"/>
  <c r="D16" i="98"/>
  <c r="N35" i="98"/>
  <c r="E29" i="98"/>
  <c r="AH30" i="98"/>
  <c r="E33" i="98"/>
  <c r="E30" i="98"/>
  <c r="AH31" i="98"/>
  <c r="P12" i="98"/>
  <c r="B17" i="98" l="1"/>
  <c r="P14" i="98"/>
  <c r="C27" i="99"/>
  <c r="H27" i="99" s="1"/>
  <c r="C25" i="99"/>
  <c r="H25" i="99" s="1"/>
  <c r="C29" i="99"/>
  <c r="H29" i="99" s="1"/>
  <c r="C28" i="99"/>
  <c r="H28" i="99" s="1"/>
  <c r="C21" i="99"/>
  <c r="H21" i="99" s="1"/>
  <c r="C31" i="99"/>
  <c r="H31" i="99" s="1"/>
  <c r="C23" i="99"/>
  <c r="H23" i="99" s="1"/>
  <c r="C69" i="99"/>
  <c r="H69" i="99" s="1"/>
  <c r="C72" i="99"/>
  <c r="H72" i="99" s="1"/>
  <c r="C56" i="99"/>
  <c r="H56" i="99" s="1"/>
  <c r="C40" i="99"/>
  <c r="H40" i="99" s="1"/>
  <c r="C78" i="99"/>
  <c r="H78" i="99" s="1"/>
  <c r="C45" i="99"/>
  <c r="H45" i="99" s="1"/>
  <c r="C67" i="99"/>
  <c r="H67" i="99" s="1"/>
  <c r="C51" i="99"/>
  <c r="H51" i="99" s="1"/>
  <c r="C35" i="99"/>
  <c r="H35" i="99" s="1"/>
  <c r="C46" i="99"/>
  <c r="H46" i="99" s="1"/>
  <c r="C68" i="99"/>
  <c r="H68" i="99" s="1"/>
  <c r="C36" i="99"/>
  <c r="H36" i="99" s="1"/>
  <c r="C34" i="99"/>
  <c r="H34" i="99" s="1"/>
  <c r="C41" i="99"/>
  <c r="H41" i="99" s="1"/>
  <c r="C64" i="99"/>
  <c r="H64" i="99" s="1"/>
  <c r="C48" i="99"/>
  <c r="H48" i="99" s="1"/>
  <c r="C32" i="99"/>
  <c r="H32" i="99" s="1"/>
  <c r="C73" i="99"/>
  <c r="H73" i="99" s="1"/>
  <c r="C75" i="99"/>
  <c r="H75" i="99" s="1"/>
  <c r="C59" i="99"/>
  <c r="H59" i="99" s="1"/>
  <c r="C43" i="99"/>
  <c r="H43" i="99" s="1"/>
  <c r="C54" i="99"/>
  <c r="H54" i="99" s="1"/>
  <c r="C77" i="99"/>
  <c r="H77" i="99" s="1"/>
  <c r="C62" i="99"/>
  <c r="H62" i="99" s="1"/>
  <c r="C57" i="99"/>
  <c r="H57" i="99" s="1"/>
  <c r="C52" i="99"/>
  <c r="H52" i="99" s="1"/>
  <c r="C66" i="99"/>
  <c r="H66" i="99" s="1"/>
  <c r="C79" i="99"/>
  <c r="H79" i="99" s="1"/>
  <c r="C63" i="99"/>
  <c r="H63" i="99" s="1"/>
  <c r="C47" i="99"/>
  <c r="H47" i="99" s="1"/>
  <c r="C58" i="99"/>
  <c r="H58" i="99" s="1"/>
  <c r="C74" i="99"/>
  <c r="H74" i="99" s="1"/>
  <c r="C76" i="99"/>
  <c r="H76" i="99" s="1"/>
  <c r="C60" i="99"/>
  <c r="H60" i="99" s="1"/>
  <c r="C44" i="99"/>
  <c r="H44" i="99" s="1"/>
  <c r="C61" i="99"/>
  <c r="H61" i="99" s="1"/>
  <c r="C71" i="99"/>
  <c r="H71" i="99" s="1"/>
  <c r="C55" i="99"/>
  <c r="H55" i="99" s="1"/>
  <c r="C39" i="99"/>
  <c r="H39" i="99" s="1"/>
  <c r="C70" i="99"/>
  <c r="H70" i="99" s="1"/>
  <c r="C50" i="99"/>
  <c r="H50" i="99" s="1"/>
  <c r="C37" i="99"/>
  <c r="H37" i="99" s="1"/>
  <c r="C81" i="99"/>
  <c r="H81" i="99" s="1"/>
  <c r="C92" i="99"/>
  <c r="H92" i="99" s="1"/>
  <c r="C85" i="99"/>
  <c r="H85" i="99" s="1"/>
  <c r="C91" i="99"/>
  <c r="H91" i="99" s="1"/>
  <c r="C93" i="99"/>
  <c r="H93" i="99" s="1"/>
  <c r="C80" i="99"/>
  <c r="H80" i="99" s="1"/>
  <c r="C90" i="99"/>
  <c r="H90" i="99" s="1"/>
  <c r="C88" i="99"/>
  <c r="H88" i="99" s="1"/>
  <c r="C94" i="99"/>
  <c r="C87" i="99"/>
  <c r="H87" i="99" s="1"/>
  <c r="C82" i="99"/>
  <c r="H82" i="99" s="1"/>
  <c r="C84" i="99"/>
  <c r="H84" i="99" s="1"/>
  <c r="C83" i="99"/>
  <c r="H83" i="99" s="1"/>
  <c r="C38" i="99"/>
  <c r="H38" i="99" s="1"/>
  <c r="C65" i="99"/>
  <c r="H65" i="99" s="1"/>
  <c r="C26" i="99"/>
  <c r="H26" i="99" s="1"/>
  <c r="C22" i="99"/>
  <c r="H22" i="99" s="1"/>
  <c r="C30" i="99"/>
  <c r="H30" i="99" s="1"/>
  <c r="C33" i="99"/>
  <c r="H33" i="99" s="1"/>
  <c r="C24" i="99"/>
  <c r="H24" i="99" s="1"/>
  <c r="C20" i="99"/>
  <c r="H20" i="99" s="1"/>
  <c r="C19" i="99"/>
  <c r="H19" i="99" s="1"/>
  <c r="C18" i="99"/>
  <c r="H18" i="99" s="1"/>
  <c r="C42" i="99"/>
  <c r="H42" i="99" s="1"/>
  <c r="C86" i="99"/>
  <c r="H86" i="99" s="1"/>
  <c r="C53" i="99"/>
  <c r="H53" i="99" s="1"/>
  <c r="C89" i="99"/>
  <c r="H89" i="99" s="1"/>
  <c r="AH32" i="98"/>
  <c r="B31" i="98"/>
  <c r="E31" i="98"/>
  <c r="D19" i="98" l="1"/>
  <c r="H11" i="99" s="1"/>
  <c r="H13" i="99"/>
  <c r="AL13" i="98"/>
  <c r="E34" i="98"/>
  <c r="P20" i="98" l="1"/>
  <c r="P22" i="98" s="1"/>
  <c r="P23" i="98" s="1"/>
  <c r="E21" i="98"/>
  <c r="D20" i="98" l="1"/>
  <c r="G23" i="98"/>
  <c r="G24" i="98" s="1"/>
  <c r="AE16" i="98" l="1"/>
  <c r="F26" i="161"/>
  <c r="F23" i="161"/>
  <c r="J23" i="161" s="1"/>
  <c r="C21" i="98"/>
  <c r="D22" i="98"/>
  <c r="E12" i="98" s="1"/>
  <c r="B43" i="98"/>
  <c r="B45" i="98"/>
  <c r="C4" i="106"/>
  <c r="B21" i="98"/>
  <c r="G63" i="98"/>
  <c r="G64" i="98" s="1"/>
  <c r="G65" i="98" s="1"/>
  <c r="C9" i="126"/>
  <c r="D14" i="126" s="1"/>
  <c r="F3" i="98"/>
  <c r="E16" i="99" s="1"/>
  <c r="J16" i="99" s="1"/>
  <c r="D43" i="98"/>
  <c r="B64" i="98"/>
  <c r="G62" i="98"/>
  <c r="I23" i="98"/>
  <c r="AE17" i="98"/>
  <c r="D40" i="98"/>
  <c r="I42" i="98" s="1"/>
  <c r="G25" i="98"/>
  <c r="D70" i="98"/>
  <c r="F16" i="98" l="1"/>
  <c r="F57" i="98" l="1"/>
  <c r="F58" i="98" s="1"/>
  <c r="F61" i="98" s="1"/>
  <c r="R22" i="98"/>
  <c r="R23" i="98" s="1"/>
  <c r="F20" i="98" s="1"/>
  <c r="F22" i="98" l="1"/>
  <c r="F40" i="98"/>
  <c r="C6" i="106"/>
  <c r="F62" i="98"/>
  <c r="F63" i="98"/>
  <c r="F64" i="98" s="1"/>
  <c r="F65" i="98" s="1"/>
  <c r="F23" i="98" l="1"/>
  <c r="F25" i="98" l="1"/>
  <c r="F24" i="98"/>
  <c r="G26" i="98" l="1"/>
  <c r="G27" i="98" s="1"/>
  <c r="AE32" i="98" s="1"/>
  <c r="F26" i="98"/>
  <c r="I22" i="98"/>
  <c r="C7" i="126"/>
  <c r="B10" i="126" s="1"/>
  <c r="H12" i="98" l="1"/>
  <c r="H15" i="98" s="1"/>
  <c r="M25" i="98"/>
  <c r="F27" i="98"/>
  <c r="D69" i="98"/>
  <c r="D45" i="98"/>
  <c r="D10" i="126"/>
  <c r="B11" i="126" s="1"/>
  <c r="C17" i="126"/>
  <c r="B48" i="98"/>
  <c r="T16" i="98" l="1"/>
  <c r="O12" i="99"/>
  <c r="B15" i="98"/>
  <c r="AE31" i="98"/>
  <c r="I6" i="99"/>
  <c r="I12" i="99" s="1"/>
  <c r="E15" i="98"/>
  <c r="Q16" i="98" s="1"/>
  <c r="Q21" i="98" s="1"/>
  <c r="O6" i="99"/>
  <c r="H52" i="98"/>
  <c r="H53" i="98" s="1"/>
  <c r="H55" i="98" s="1"/>
  <c r="H16" i="98"/>
  <c r="K26" i="98" s="1"/>
  <c r="N18" i="99" l="1"/>
  <c r="N19" i="99"/>
  <c r="N20" i="99"/>
  <c r="N21" i="99"/>
  <c r="N22" i="99"/>
  <c r="N23" i="99"/>
  <c r="O23" i="99" s="1"/>
  <c r="N24" i="99"/>
  <c r="N25" i="99"/>
  <c r="N26" i="99"/>
  <c r="N27" i="99"/>
  <c r="O27" i="99" s="1"/>
  <c r="N28" i="99"/>
  <c r="O28" i="99" s="1"/>
  <c r="N29" i="99"/>
  <c r="N30" i="99"/>
  <c r="N31" i="99"/>
  <c r="O31" i="99" s="1"/>
  <c r="N32" i="99"/>
  <c r="N34" i="99"/>
  <c r="N33" i="99"/>
  <c r="N35" i="99"/>
  <c r="N36" i="99"/>
  <c r="O36" i="99" s="1"/>
  <c r="N37" i="99"/>
  <c r="N38" i="99"/>
  <c r="N39" i="99"/>
  <c r="N40" i="99"/>
  <c r="N41" i="99"/>
  <c r="O41" i="99" s="1"/>
  <c r="N42" i="99"/>
  <c r="O42" i="99" s="1"/>
  <c r="N43" i="99"/>
  <c r="N44" i="99"/>
  <c r="N45" i="99"/>
  <c r="N46" i="99"/>
  <c r="O46" i="99" s="1"/>
  <c r="N47" i="99"/>
  <c r="N48" i="99"/>
  <c r="O48" i="99" s="1"/>
  <c r="N49" i="99"/>
  <c r="N50" i="99"/>
  <c r="N51" i="99"/>
  <c r="N52" i="99"/>
  <c r="N53" i="99"/>
  <c r="N54" i="99"/>
  <c r="N55" i="99"/>
  <c r="N56" i="99"/>
  <c r="N57" i="99"/>
  <c r="O57" i="99" s="1"/>
  <c r="N58" i="99"/>
  <c r="O58" i="99" s="1"/>
  <c r="N59" i="99"/>
  <c r="N60" i="99"/>
  <c r="O60" i="99" s="1"/>
  <c r="N61" i="99"/>
  <c r="N62" i="99"/>
  <c r="O62" i="99" s="1"/>
  <c r="N63" i="99"/>
  <c r="O63" i="99" s="1"/>
  <c r="N64" i="99"/>
  <c r="O64" i="99" s="1"/>
  <c r="N65" i="99"/>
  <c r="N66" i="99"/>
  <c r="N67" i="99"/>
  <c r="N68" i="99"/>
  <c r="O68" i="99" s="1"/>
  <c r="N69" i="99"/>
  <c r="O69" i="99" s="1"/>
  <c r="N70" i="99"/>
  <c r="O70" i="99" s="1"/>
  <c r="N71" i="99"/>
  <c r="O71" i="99" s="1"/>
  <c r="N72" i="99"/>
  <c r="N73" i="99"/>
  <c r="N74" i="99"/>
  <c r="O74" i="99" s="1"/>
  <c r="N75" i="99"/>
  <c r="N76" i="99"/>
  <c r="N77" i="99"/>
  <c r="O77" i="99" s="1"/>
  <c r="N78" i="99"/>
  <c r="N79" i="99"/>
  <c r="N80" i="99"/>
  <c r="O80" i="99" s="1"/>
  <c r="N81" i="99"/>
  <c r="N82" i="99"/>
  <c r="N83" i="99"/>
  <c r="O83" i="99" s="1"/>
  <c r="N84" i="99"/>
  <c r="N85" i="99"/>
  <c r="O85" i="99" s="1"/>
  <c r="N86" i="99"/>
  <c r="N87" i="99"/>
  <c r="O87" i="99" s="1"/>
  <c r="N88" i="99"/>
  <c r="O88" i="99" s="1"/>
  <c r="N89" i="99"/>
  <c r="O89" i="99" s="1"/>
  <c r="N90" i="99"/>
  <c r="O90" i="99" s="1"/>
  <c r="N91" i="99"/>
  <c r="N92" i="99"/>
  <c r="N93" i="99"/>
  <c r="O93" i="99" s="1"/>
  <c r="T21" i="98"/>
  <c r="H57" i="98"/>
  <c r="H58" i="98" s="1"/>
  <c r="H61" i="98" s="1"/>
  <c r="H62" i="98" s="1"/>
  <c r="O26" i="99"/>
  <c r="O20" i="99"/>
  <c r="E16" i="98"/>
  <c r="J26" i="98" s="1"/>
  <c r="D30" i="99"/>
  <c r="I30" i="99" s="1"/>
  <c r="D23" i="99"/>
  <c r="D20" i="99"/>
  <c r="D22" i="99"/>
  <c r="D26" i="99"/>
  <c r="D18" i="99"/>
  <c r="D24" i="99"/>
  <c r="D25" i="99"/>
  <c r="D19" i="99"/>
  <c r="D28" i="99"/>
  <c r="D21" i="99"/>
  <c r="D27" i="99"/>
  <c r="E49" i="98"/>
  <c r="F48" i="98"/>
  <c r="D86" i="99"/>
  <c r="I86" i="99" s="1"/>
  <c r="D37" i="99"/>
  <c r="I37" i="99" s="1"/>
  <c r="D69" i="99"/>
  <c r="I69" i="99" s="1"/>
  <c r="D52" i="99"/>
  <c r="I52" i="99" s="1"/>
  <c r="D53" i="99"/>
  <c r="I53" i="99" s="1"/>
  <c r="D56" i="99"/>
  <c r="D80" i="99"/>
  <c r="D65" i="99"/>
  <c r="I65" i="99" s="1"/>
  <c r="D93" i="99"/>
  <c r="D48" i="99"/>
  <c r="I48" i="99" s="1"/>
  <c r="D72" i="99"/>
  <c r="D81" i="99"/>
  <c r="I81" i="99" s="1"/>
  <c r="D36" i="99"/>
  <c r="I36" i="99" s="1"/>
  <c r="D51" i="99"/>
  <c r="D62" i="99"/>
  <c r="I62" i="99" s="1"/>
  <c r="D29" i="99"/>
  <c r="I29" i="99" s="1"/>
  <c r="D83" i="99"/>
  <c r="D76" i="99"/>
  <c r="D63" i="99"/>
  <c r="D33" i="99"/>
  <c r="I33" i="99" s="1"/>
  <c r="D68" i="99"/>
  <c r="D92" i="99"/>
  <c r="D85" i="99"/>
  <c r="I85" i="99" s="1"/>
  <c r="D57" i="99"/>
  <c r="I57" i="99" s="1"/>
  <c r="D91" i="99"/>
  <c r="I91" i="99" s="1"/>
  <c r="D31" i="99"/>
  <c r="I31" i="99" s="1"/>
  <c r="D38" i="99"/>
  <c r="I38" i="99" s="1"/>
  <c r="D44" i="99"/>
  <c r="I44" i="99" s="1"/>
  <c r="D46" i="99"/>
  <c r="I46" i="99" s="1"/>
  <c r="D88" i="99"/>
  <c r="D50" i="99"/>
  <c r="D70" i="99"/>
  <c r="I70" i="99" s="1"/>
  <c r="D79" i="99"/>
  <c r="I79" i="99" s="1"/>
  <c r="D58" i="99"/>
  <c r="I58" i="99" s="1"/>
  <c r="D59" i="99"/>
  <c r="I59" i="99" s="1"/>
  <c r="D73" i="99"/>
  <c r="I73" i="99" s="1"/>
  <c r="D67" i="99"/>
  <c r="D35" i="99"/>
  <c r="D41" i="99"/>
  <c r="D78" i="99"/>
  <c r="I78" i="99" s="1"/>
  <c r="D34" i="99"/>
  <c r="I34" i="99" s="1"/>
  <c r="D64" i="99"/>
  <c r="I64" i="99" s="1"/>
  <c r="D49" i="99"/>
  <c r="I49" i="99" s="1"/>
  <c r="D47" i="99"/>
  <c r="I47" i="99" s="1"/>
  <c r="D90" i="99"/>
  <c r="D77" i="99"/>
  <c r="D74" i="99"/>
  <c r="I74" i="99" s="1"/>
  <c r="D39" i="99"/>
  <c r="D66" i="99"/>
  <c r="I66" i="99" s="1"/>
  <c r="D60" i="99"/>
  <c r="D43" i="99"/>
  <c r="I43" i="99" s="1"/>
  <c r="D40" i="99"/>
  <c r="D84" i="99"/>
  <c r="I84" i="99" s="1"/>
  <c r="D82" i="99"/>
  <c r="I82" i="99" s="1"/>
  <c r="D71" i="99"/>
  <c r="I71" i="99" s="1"/>
  <c r="D55" i="99"/>
  <c r="D45" i="99"/>
  <c r="I45" i="99" s="1"/>
  <c r="D75" i="99"/>
  <c r="I75" i="99" s="1"/>
  <c r="D89" i="99"/>
  <c r="D61" i="99"/>
  <c r="I61" i="99" s="1"/>
  <c r="D87" i="99"/>
  <c r="I87" i="99" s="1"/>
  <c r="D54" i="99"/>
  <c r="I54" i="99" s="1"/>
  <c r="D42" i="99"/>
  <c r="I42" i="99" s="1"/>
  <c r="D32" i="99"/>
  <c r="I32" i="99" s="1"/>
  <c r="T22" i="98"/>
  <c r="T23" i="98" s="1"/>
  <c r="H22" i="98" s="1"/>
  <c r="H23" i="98" s="1"/>
  <c r="D71" i="98" s="1"/>
  <c r="C8" i="106" l="1"/>
  <c r="H63" i="98"/>
  <c r="H64" i="98" s="1"/>
  <c r="O59" i="99"/>
  <c r="O30" i="99"/>
  <c r="O29" i="99"/>
  <c r="O38" i="99"/>
  <c r="O75" i="99"/>
  <c r="O56" i="99"/>
  <c r="O24" i="99"/>
  <c r="O92" i="99"/>
  <c r="O51" i="99"/>
  <c r="O81" i="99"/>
  <c r="O82" i="99"/>
  <c r="O25" i="99"/>
  <c r="O39" i="99"/>
  <c r="O76" i="99"/>
  <c r="O50" i="99"/>
  <c r="O52" i="99"/>
  <c r="O84" i="99"/>
  <c r="O91" i="99"/>
  <c r="O43" i="99"/>
  <c r="O49" i="99"/>
  <c r="O54" i="99"/>
  <c r="O44" i="99"/>
  <c r="O45" i="99"/>
  <c r="O33" i="99"/>
  <c r="O65" i="99"/>
  <c r="O35" i="99"/>
  <c r="O73" i="99"/>
  <c r="O34" i="99"/>
  <c r="O72" i="99"/>
  <c r="O53" i="99"/>
  <c r="O37" i="99"/>
  <c r="O78" i="99"/>
  <c r="O66" i="99"/>
  <c r="O40" i="99"/>
  <c r="O79" i="99"/>
  <c r="O32" i="99"/>
  <c r="O47" i="99"/>
  <c r="O67" i="99"/>
  <c r="O61" i="99"/>
  <c r="O86" i="99"/>
  <c r="O55" i="99"/>
  <c r="O19" i="99"/>
  <c r="O18" i="99"/>
  <c r="O22" i="99"/>
  <c r="O21" i="99"/>
  <c r="I27" i="99"/>
  <c r="I21" i="99"/>
  <c r="I28" i="99"/>
  <c r="I19" i="99"/>
  <c r="I25" i="99"/>
  <c r="I24" i="99"/>
  <c r="I18" i="99"/>
  <c r="I26" i="99"/>
  <c r="I22" i="99"/>
  <c r="I20" i="99"/>
  <c r="I23" i="99"/>
  <c r="I77" i="99"/>
  <c r="Q22" i="98"/>
  <c r="Q23" i="98" s="1"/>
  <c r="E22" i="98" s="1"/>
  <c r="I55" i="99"/>
  <c r="I40" i="99"/>
  <c r="I50" i="99"/>
  <c r="I63" i="99"/>
  <c r="I41" i="99"/>
  <c r="I72" i="99"/>
  <c r="E57" i="98"/>
  <c r="E58" i="98" s="1"/>
  <c r="E61" i="98" s="1"/>
  <c r="E62" i="98" s="1"/>
  <c r="I90" i="99"/>
  <c r="I80" i="99"/>
  <c r="I56" i="99"/>
  <c r="I93" i="99"/>
  <c r="I67" i="99"/>
  <c r="I83" i="99"/>
  <c r="I35" i="99"/>
  <c r="I92" i="99"/>
  <c r="I88" i="99"/>
  <c r="I76" i="99"/>
  <c r="I60" i="99"/>
  <c r="I51" i="99"/>
  <c r="I68" i="99"/>
  <c r="I39" i="99"/>
  <c r="I89" i="99"/>
  <c r="H20" i="98"/>
  <c r="K22" i="98" s="1"/>
  <c r="O13" i="99" l="1"/>
  <c r="E20" i="98"/>
  <c r="E23" i="98" s="1"/>
  <c r="B22" i="98"/>
  <c r="C5" i="106"/>
  <c r="E47" i="98"/>
  <c r="E63" i="98"/>
  <c r="E64" i="98" s="1"/>
  <c r="E65" i="98" s="1"/>
  <c r="I13" i="99"/>
  <c r="H24" i="98"/>
  <c r="I26" i="98"/>
  <c r="H40" i="98"/>
  <c r="H3" i="126" l="1"/>
  <c r="B3" i="126" s="1"/>
  <c r="K23" i="98"/>
  <c r="J24" i="98" s="1"/>
  <c r="D11" i="126"/>
  <c r="E40" i="98"/>
  <c r="E43" i="98"/>
  <c r="D44" i="98" s="1"/>
  <c r="E3" i="98"/>
  <c r="D16" i="99" s="1"/>
  <c r="I16" i="99" s="1"/>
  <c r="F17" i="98"/>
  <c r="E45" i="98"/>
  <c r="D46" i="98" s="1"/>
  <c r="D68" i="98"/>
  <c r="B35" i="98"/>
  <c r="E25" i="98"/>
  <c r="E26" i="98" s="1"/>
  <c r="E27" i="98" s="1"/>
  <c r="AE30" i="98" s="1"/>
  <c r="AE29" i="98" s="1"/>
  <c r="X20" i="98" s="1"/>
  <c r="K24" i="98" l="1"/>
  <c r="D12" i="126"/>
  <c r="B16" i="126" s="1"/>
  <c r="B12" i="126"/>
  <c r="D16" i="126" l="1"/>
  <c r="B13" i="126"/>
  <c r="C15" i="126"/>
  <c r="D17" i="126"/>
  <c r="B17" i="126"/>
  <c r="B15" i="126"/>
  <c r="D13" i="126"/>
  <c r="B14" i="126" s="1"/>
  <c r="D18" i="126" l="1"/>
  <c r="D19" i="126" s="1"/>
  <c r="B18" i="126"/>
  <c r="C18" i="126"/>
  <c r="C19" i="126" l="1"/>
  <c r="B19" i="126"/>
  <c r="B23" i="126"/>
  <c r="D23" i="126"/>
  <c r="D24" i="126" l="1"/>
  <c r="B24" i="126"/>
  <c r="C20" i="126"/>
  <c r="B20" i="126"/>
  <c r="B21" i="126" l="1"/>
  <c r="C21" i="126"/>
  <c r="D24" i="98" s="1"/>
  <c r="F21" i="126" l="1"/>
  <c r="C22" i="126"/>
  <c r="B22" i="126"/>
  <c r="G11" i="127" l="1"/>
  <c r="P3" i="127"/>
  <c r="E11" i="127"/>
  <c r="Q3" i="127"/>
  <c r="H4" i="127"/>
  <c r="O3" i="127"/>
  <c r="D15" i="127" s="1"/>
  <c r="F15" i="127" l="1"/>
  <c r="F18" i="127" s="1"/>
  <c r="F21" i="127" s="1"/>
  <c r="E15" i="127"/>
  <c r="H15" i="127"/>
  <c r="H18" i="127" s="1"/>
  <c r="H21" i="127" s="1"/>
  <c r="G15" i="127"/>
  <c r="E26" i="127" l="1"/>
  <c r="F25" i="127"/>
  <c r="F26" i="127"/>
  <c r="G26" i="127"/>
  <c r="H26" i="127"/>
  <c r="H25" i="127"/>
  <c r="BA27" i="138"/>
  <c r="T27" i="138" l="1"/>
  <c r="V27" i="138"/>
  <c r="BI27" i="138"/>
  <c r="BJ27" i="138" s="1"/>
  <c r="BK27" i="138" s="1"/>
  <c r="S27" i="138" s="1"/>
  <c r="E28" i="127"/>
  <c r="F28" i="127"/>
  <c r="E29" i="127"/>
  <c r="F29" i="127"/>
  <c r="G28" i="127"/>
  <c r="H28" i="127"/>
  <c r="H29" i="127"/>
  <c r="G29" i="127"/>
  <c r="K15" i="140"/>
  <c r="M6" i="140"/>
  <c r="M15" i="140" s="1"/>
  <c r="AZ28" i="138"/>
  <c r="BH27" i="138" l="1"/>
  <c r="BC27" i="138"/>
  <c r="Q27" i="138"/>
  <c r="Y27" i="138"/>
  <c r="AE27" i="138"/>
  <c r="AW10" i="138"/>
  <c r="AW11" i="138" s="1"/>
  <c r="AK9" i="138"/>
  <c r="D30" i="127"/>
  <c r="F30" i="127"/>
  <c r="H30" i="127"/>
  <c r="K16" i="140"/>
  <c r="L17" i="140" s="1"/>
  <c r="P19" i="140" s="1"/>
  <c r="M20" i="140"/>
  <c r="M16" i="140"/>
  <c r="Q23" i="140"/>
  <c r="T27" i="140" s="1"/>
  <c r="K32" i="140"/>
  <c r="M23" i="140"/>
  <c r="M32" i="140" s="1"/>
  <c r="M33" i="140" s="1"/>
  <c r="BG21" i="138" l="1"/>
  <c r="BG27" i="138"/>
  <c r="AA27" i="138" s="1"/>
  <c r="T13" i="138"/>
  <c r="AK10" i="138"/>
  <c r="R10" i="138" s="1"/>
  <c r="Z27" i="138"/>
  <c r="R9" i="138"/>
  <c r="E31" i="127"/>
  <c r="BB27" i="138"/>
  <c r="M36" i="140"/>
  <c r="M37" i="140" s="1"/>
  <c r="M39" i="140" s="1"/>
  <c r="K17" i="140"/>
  <c r="P20" i="140" s="1"/>
  <c r="P21" i="140" s="1"/>
  <c r="K18" i="140" s="1"/>
  <c r="K33" i="140"/>
  <c r="K34" i="140" s="1"/>
  <c r="BA19" i="138" l="1"/>
  <c r="BB19" i="138" s="1"/>
  <c r="BC19" i="138" s="1"/>
  <c r="Z18" i="138" s="1"/>
  <c r="Z19" i="138" s="1"/>
  <c r="AC18" i="138" s="1"/>
  <c r="AC19" i="138" s="1"/>
  <c r="AC13" i="138"/>
  <c r="AX14" i="138"/>
  <c r="AK11" i="138"/>
  <c r="BC41" i="138"/>
  <c r="AC27" i="138"/>
  <c r="AD27" i="138" s="1"/>
  <c r="AK16" i="138"/>
  <c r="L34" i="140"/>
  <c r="K37" i="140"/>
  <c r="K36" i="140"/>
  <c r="AX15" i="138" l="1"/>
  <c r="AV20" i="138"/>
  <c r="AW20" i="138" s="1"/>
  <c r="AX20" i="138" s="1"/>
  <c r="AZ20" i="138" s="1"/>
  <c r="V20" i="138" s="1"/>
  <c r="R11" i="138"/>
  <c r="AK15" i="138"/>
  <c r="R15" i="138" s="1"/>
  <c r="R16" i="138"/>
  <c r="K39" i="140"/>
  <c r="AA19" i="138" l="1"/>
  <c r="AD18" i="138" s="1"/>
  <c r="AD19" i="138" s="1"/>
  <c r="AK19" i="138"/>
  <c r="BA28" i="138"/>
  <c r="T28" i="138" l="1"/>
  <c r="V28" i="138"/>
  <c r="R19" i="138"/>
  <c r="AK27" i="138"/>
  <c r="R27" i="138" s="1"/>
  <c r="BI28" i="138"/>
  <c r="BJ28" i="138" s="1"/>
  <c r="BK28" i="138" s="1"/>
  <c r="U28" i="138" s="1"/>
  <c r="BH28" i="138" l="1"/>
  <c r="Q28" i="138"/>
  <c r="S28" i="138"/>
  <c r="BC28" i="138"/>
  <c r="AE28" i="138"/>
  <c r="Y28" i="138"/>
  <c r="Z28" i="138" s="1"/>
  <c r="BB28" i="138" l="1"/>
  <c r="AK28" i="138"/>
  <c r="R28" i="138" s="1"/>
  <c r="BA29" i="138"/>
  <c r="T29" i="138" s="1"/>
  <c r="BH29" i="138" s="1"/>
  <c r="BG28" i="138"/>
  <c r="AA28" i="138" s="1"/>
  <c r="BA34" i="138"/>
  <c r="G39" i="138"/>
  <c r="S8" i="124" l="1"/>
  <c r="S5" i="124" s="1"/>
  <c r="B15" i="138" s="1"/>
  <c r="AC28" i="138"/>
  <c r="AD28" i="138" s="1"/>
  <c r="T39" i="138"/>
  <c r="V39" i="138"/>
  <c r="BI29" i="138"/>
  <c r="BJ29" i="138" s="1"/>
  <c r="BK29" i="138" s="1"/>
  <c r="BL29" i="138"/>
  <c r="BM29" i="138" s="1"/>
  <c r="BI34" i="138"/>
  <c r="BJ34" i="138" s="1"/>
  <c r="BK34" i="138" s="1"/>
  <c r="S34" i="138" s="1"/>
  <c r="AA34" i="138" s="1"/>
  <c r="AC34" i="138" s="1"/>
  <c r="AD34" i="138" s="1"/>
  <c r="S29" i="138" l="1"/>
  <c r="U29" i="138"/>
  <c r="BB34" i="138"/>
  <c r="U41" i="138"/>
  <c r="AC40" i="138"/>
  <c r="AD40" i="138" s="1"/>
  <c r="Y29" i="138"/>
  <c r="Z29" i="138" s="1"/>
  <c r="AE29" i="138"/>
  <c r="Q29" i="138"/>
  <c r="BC29" i="138"/>
  <c r="BC39" i="138" s="1"/>
  <c r="U40" i="138" s="1"/>
  <c r="BG29" i="138" l="1"/>
  <c r="AA29" i="138" s="1"/>
  <c r="AC29" i="138" s="1"/>
  <c r="AD29" i="138" s="1"/>
  <c r="BB29" i="138"/>
  <c r="BB39" i="138" s="1"/>
  <c r="S40" i="138" s="1"/>
  <c r="AK29" i="138"/>
  <c r="S39" i="138"/>
  <c r="U39" i="138"/>
  <c r="R29" i="138" l="1"/>
  <c r="AK30" i="138"/>
  <c r="AK31" i="138" s="1"/>
  <c r="R31" i="138" s="1"/>
  <c r="R30" i="138" l="1"/>
  <c r="AK32" i="138"/>
  <c r="R32" i="138" l="1"/>
  <c r="AK33" i="138"/>
  <c r="R33" i="138" l="1"/>
  <c r="AK34" i="138"/>
  <c r="R34" i="138" l="1"/>
  <c r="AK35" i="138"/>
  <c r="AK37" i="138"/>
  <c r="R37" i="138" s="1"/>
  <c r="R35" i="138" l="1"/>
  <c r="AK36" i="138"/>
  <c r="R36" i="138" s="1"/>
  <c r="AK38" i="138"/>
  <c r="R38" i="138" s="1"/>
  <c r="I20" i="117" l="1"/>
  <c r="I34" i="117" l="1"/>
  <c r="I35" i="117" s="1"/>
  <c r="C45" i="117" l="1"/>
  <c r="C27" i="117" l="1"/>
  <c r="O36" i="156"/>
  <c r="AI43" i="156"/>
  <c r="AJ43" i="156" s="1"/>
  <c r="Q33" i="156" l="1"/>
  <c r="O34" i="156" s="1"/>
  <c r="AK43" i="156"/>
  <c r="Q34" i="156" s="1"/>
  <c r="Q37" i="156" s="1"/>
  <c r="Q32" i="156"/>
  <c r="Q29" i="156"/>
  <c r="Q35" i="156" l="1"/>
  <c r="Q36" i="156" s="1"/>
  <c r="O33" i="15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Hauß</author>
  </authors>
  <commentList>
    <comment ref="C16" authorId="0" shapeId="0" xr:uid="{57B20EB1-E1CF-41C9-AB0A-F77DFC905363}">
      <text>
        <r>
          <rPr>
            <b/>
            <sz val="8"/>
            <color indexed="81"/>
            <rFont val="Segoe UI"/>
            <family val="2"/>
          </rPr>
          <t>Hauß:</t>
        </r>
        <r>
          <rPr>
            <sz val="8"/>
            <color indexed="81"/>
            <rFont val="Segoe UI"/>
            <family val="2"/>
          </rPr>
          <t xml:space="preserve">
Saldo der Versorgungskürzung =
Versorgungsverlust - Versorgungsgewinn (Palandt/Brudermüller § 33 VersAusglG Rn. 5)</t>
        </r>
      </text>
    </comment>
  </commentList>
</comments>
</file>

<file path=xl/sharedStrings.xml><?xml version="1.0" encoding="utf-8"?>
<sst xmlns="http://schemas.openxmlformats.org/spreadsheetml/2006/main" count="3089" uniqueCount="1977">
  <si>
    <t>Invalidenrente</t>
  </si>
  <si>
    <t>Alters und Invaliditätsrente</t>
  </si>
  <si>
    <t>Witwenrente 100%</t>
  </si>
  <si>
    <t>Witwenrente 0,6</t>
  </si>
  <si>
    <t>Anwartschafts-barwert</t>
  </si>
  <si>
    <r>
      <rPr>
        <sz val="12"/>
        <color indexed="8"/>
        <rFont val="Calibri"/>
        <family val="2"/>
      </rPr>
      <t xml:space="preserve">Zuschläge zum Barwert für </t>
    </r>
    <r>
      <rPr>
        <b/>
        <sz val="12"/>
        <color indexed="8"/>
        <rFont val="Calibri"/>
        <family val="2"/>
      </rPr>
      <t xml:space="preserve">
Invaliditäts- und Hinterbliebenenversorgung </t>
    </r>
    <r>
      <rPr>
        <sz val="11"/>
        <color theme="1"/>
        <rFont val="Arial"/>
        <family val="2"/>
      </rPr>
      <t xml:space="preserve">
- Männer -</t>
    </r>
  </si>
  <si>
    <r>
      <t xml:space="preserve">Zuschläge zum Barwert für 
</t>
    </r>
    <r>
      <rPr>
        <b/>
        <sz val="12"/>
        <color indexed="8"/>
        <rFont val="Calibri"/>
        <family val="2"/>
      </rPr>
      <t xml:space="preserve">Invaliditäts- und Hinterbliebenenversorgung </t>
    </r>
    <r>
      <rPr>
        <sz val="11"/>
        <color theme="1"/>
        <rFont val="Arial"/>
        <family val="2"/>
      </rPr>
      <t xml:space="preserve">
- Frauen -</t>
    </r>
  </si>
  <si>
    <t>Alter</t>
  </si>
  <si>
    <t>Anteil IR</t>
  </si>
  <si>
    <t>Anteil HR</t>
  </si>
  <si>
    <t>Gesamt IR + HR</t>
  </si>
  <si>
    <t>Deutschland</t>
  </si>
  <si>
    <t>ReZi 6%/0%</t>
  </si>
  <si>
    <t>x</t>
  </si>
  <si>
    <t>(12)axaiA</t>
  </si>
  <si>
    <t>(12)axaiZ</t>
  </si>
  <si>
    <t>0,6 axaaw</t>
  </si>
  <si>
    <r>
      <t>(12)a</t>
    </r>
    <r>
      <rPr>
        <vertAlign val="subscript"/>
        <sz val="9"/>
        <color indexed="8"/>
        <rFont val="Calibri"/>
        <family val="2"/>
      </rPr>
      <t>x</t>
    </r>
    <r>
      <rPr>
        <sz val="9"/>
        <color indexed="8"/>
        <rFont val="Arial"/>
        <family val="2"/>
      </rPr>
      <t>aiz</t>
    </r>
  </si>
  <si>
    <r>
      <t>(12)a</t>
    </r>
    <r>
      <rPr>
        <vertAlign val="subscript"/>
        <sz val="9"/>
        <color indexed="8"/>
        <rFont val="Calibri"/>
        <family val="2"/>
      </rPr>
      <t>x</t>
    </r>
    <r>
      <rPr>
        <sz val="9"/>
        <color indexed="8"/>
        <rFont val="Arial"/>
        <family val="2"/>
      </rPr>
      <t>aia</t>
    </r>
  </si>
  <si>
    <r>
      <t>(12)a</t>
    </r>
    <r>
      <rPr>
        <vertAlign val="subscript"/>
        <sz val="9"/>
        <color indexed="8"/>
        <rFont val="Calibri"/>
        <family val="2"/>
      </rPr>
      <t>y</t>
    </r>
    <r>
      <rPr>
        <sz val="9"/>
        <color indexed="8"/>
        <rFont val="Arial"/>
        <family val="2"/>
      </rPr>
      <t>aiz</t>
    </r>
  </si>
  <si>
    <r>
      <t>(12)a</t>
    </r>
    <r>
      <rPr>
        <vertAlign val="subscript"/>
        <sz val="9"/>
        <color indexed="8"/>
        <rFont val="Calibri"/>
        <family val="2"/>
      </rPr>
      <t>y</t>
    </r>
    <r>
      <rPr>
        <sz val="9"/>
        <color indexed="8"/>
        <rFont val="Arial"/>
        <family val="2"/>
      </rPr>
      <t>aia</t>
    </r>
  </si>
  <si>
    <t>Rente</t>
  </si>
  <si>
    <t>von</t>
  </si>
  <si>
    <t>bis</t>
  </si>
  <si>
    <r>
      <t>a</t>
    </r>
    <r>
      <rPr>
        <vertAlign val="subscript"/>
        <sz val="9"/>
        <color indexed="8"/>
        <rFont val="Calibri"/>
        <family val="2"/>
      </rPr>
      <t>x</t>
    </r>
    <r>
      <rPr>
        <sz val="9"/>
        <color indexed="8"/>
        <rFont val="Arial"/>
        <family val="2"/>
      </rPr>
      <t>aw</t>
    </r>
  </si>
  <si>
    <r>
      <t>0,6 a</t>
    </r>
    <r>
      <rPr>
        <vertAlign val="subscript"/>
        <sz val="9"/>
        <color indexed="8"/>
        <rFont val="Calibri"/>
        <family val="2"/>
      </rPr>
      <t>x</t>
    </r>
    <r>
      <rPr>
        <sz val="9"/>
        <color indexed="8"/>
        <rFont val="Arial"/>
        <family val="2"/>
      </rPr>
      <t>aw</t>
    </r>
  </si>
  <si>
    <t>ayaw</t>
  </si>
  <si>
    <t>0,6 ayaw</t>
  </si>
  <si>
    <r>
      <t>a</t>
    </r>
    <r>
      <rPr>
        <vertAlign val="subscript"/>
        <sz val="11"/>
        <color indexed="8"/>
        <rFont val="Arial"/>
        <family val="2"/>
      </rPr>
      <t>x</t>
    </r>
    <r>
      <rPr>
        <sz val="11"/>
        <color theme="1"/>
        <rFont val="Arial"/>
        <family val="2"/>
      </rPr>
      <t>aw</t>
    </r>
  </si>
  <si>
    <r>
      <t>a</t>
    </r>
    <r>
      <rPr>
        <vertAlign val="subscript"/>
        <sz val="11"/>
        <color indexed="8"/>
        <rFont val="Arial"/>
        <family val="2"/>
      </rPr>
      <t>y</t>
    </r>
    <r>
      <rPr>
        <sz val="11"/>
        <color theme="1"/>
        <rFont val="Arial"/>
        <family val="2"/>
      </rPr>
      <t>aw</t>
    </r>
  </si>
  <si>
    <t>% p.a.</t>
  </si>
  <si>
    <t>Abzinsungszinssatz gemäß §253 Abs. 2 HGB bei einer Restlaufzeit von .... Jahr(en)</t>
  </si>
  <si>
    <t>Abzinsungszinssatz gemäß §253 Abs. 2 HGB bei einer Restlaufzeit von .... Jahren</t>
  </si>
  <si>
    <t>Für den Geburtsjahrgang</t>
  </si>
  <si>
    <t>erfolgt eine Anhebung um ... Monate</t>
  </si>
  <si>
    <t>auf Vollendung eines Lebensalters von</t>
  </si>
  <si>
    <t>65 Jahre</t>
  </si>
  <si>
    <t>65 Jahren und 1 Monat</t>
  </si>
  <si>
    <t>65 Jahren und 2 Monaten</t>
  </si>
  <si>
    <t>65 Jahren und 3 Monaten</t>
  </si>
  <si>
    <t>65 Jahren und 4 Monaten</t>
  </si>
  <si>
    <t>65 Jahren und 5 Monaten</t>
  </si>
  <si>
    <t>65 Jahren und 6 Monaten</t>
  </si>
  <si>
    <t>65 Jahren und 7 Monaten</t>
  </si>
  <si>
    <t>65 Jahren und 8 Monaten</t>
  </si>
  <si>
    <t>65 Jahren und 9 Monaten</t>
  </si>
  <si>
    <t>65 Jahren und 10 Monaten</t>
  </si>
  <si>
    <t>65 Jahren und 11 Monaten</t>
  </si>
  <si>
    <t>66 Jahren</t>
  </si>
  <si>
    <t>66 Jahren und 2 Monaten</t>
  </si>
  <si>
    <t>66 Jahren und 4 Monaten</t>
  </si>
  <si>
    <t>66 Jahren und 6 Monaten</t>
  </si>
  <si>
    <t>66 Jahren und 8 Monaten</t>
  </si>
  <si>
    <t>66 Jahren und 10 Monaten</t>
  </si>
  <si>
    <t>67 Jahren</t>
  </si>
  <si>
    <t>aktueller Rentenwert in €</t>
  </si>
  <si>
    <t>1.</t>
  </si>
  <si>
    <t>Ost</t>
  </si>
  <si>
    <t>West</t>
  </si>
  <si>
    <t>Jahr</t>
  </si>
  <si>
    <t>Datum</t>
  </si>
  <si>
    <t>Kapital</t>
  </si>
  <si>
    <t>EP</t>
  </si>
  <si>
    <t>Ehezeitende</t>
  </si>
  <si>
    <t>Anwartschaftszeit bis Renteneintritt:</t>
  </si>
  <si>
    <t>Renteneintrittsalter in Jahren:</t>
  </si>
  <si>
    <t>Rechnungszins:</t>
  </si>
  <si>
    <t>Falldaten:</t>
  </si>
  <si>
    <t>Realdauer</t>
  </si>
  <si>
    <t>Die hier durchgeführte Berechnung ist automatisiert erstellt. Sie folgt versicherungsmathematischen Grundsätzen. Die mit diesem Programm gefundenen Ergebnisse bedürfen im Einzelfall sachverständiger Prüfung. Autor, Verleger und Vertreiber haften daher nicht für die ermittelten Ergebnisse</t>
  </si>
  <si>
    <t xml:space="preserve">4. </t>
  </si>
  <si>
    <t>Laufzeitbeginn</t>
  </si>
  <si>
    <t>Laufzeitende</t>
  </si>
  <si>
    <t>Geburtsdatum des/der Berechtigten</t>
  </si>
  <si>
    <t>Kohortenzahl</t>
  </si>
  <si>
    <r>
      <t>a</t>
    </r>
    <r>
      <rPr>
        <vertAlign val="subscript"/>
        <sz val="9"/>
        <color indexed="8"/>
        <rFont val="Arial"/>
        <family val="2"/>
      </rPr>
      <t>x</t>
    </r>
    <r>
      <rPr>
        <sz val="9"/>
        <color indexed="8"/>
        <rFont val="Arial"/>
        <family val="2"/>
      </rPr>
      <t>aw</t>
    </r>
  </si>
  <si>
    <r>
      <t>a</t>
    </r>
    <r>
      <rPr>
        <vertAlign val="subscript"/>
        <sz val="9"/>
        <color indexed="8"/>
        <rFont val="Arial"/>
        <family val="2"/>
      </rPr>
      <t>y</t>
    </r>
    <r>
      <rPr>
        <sz val="9"/>
        <color indexed="8"/>
        <rFont val="Arial"/>
        <family val="2"/>
      </rPr>
      <t>aw</t>
    </r>
  </si>
  <si>
    <t>E_RenteKapital</t>
  </si>
  <si>
    <t>E_Alterswahl</t>
  </si>
  <si>
    <t>E_sex</t>
  </si>
  <si>
    <t>E_VVR</t>
  </si>
  <si>
    <t>E_Alter</t>
  </si>
  <si>
    <t>E_LxyRAlter</t>
  </si>
  <si>
    <t>E_RenteausKapital</t>
  </si>
  <si>
    <t>E_BarwertderRente</t>
  </si>
  <si>
    <t>E_Invalidität</t>
  </si>
  <si>
    <t>E_Ifaktor</t>
  </si>
  <si>
    <t>E_Hinterbliebene</t>
  </si>
  <si>
    <t>E_Hfaktor</t>
  </si>
  <si>
    <t>E_Abweichung</t>
  </si>
  <si>
    <t>((E_Kapital*(1+(E_ReZins1))^(E_Rentenalter-E_Alter)*(E_ReZins1-E_ReTrend1))/(1-1/(1+(E_ReZins1-E_ReTrend1))^E_LxyRAlterI)/E_VVR/12)/WENN(ODER(E_Invalidität;E_Hinterbliebene);(1+L7);1)</t>
  </si>
  <si>
    <t>E_Anwartschaftszeit</t>
  </si>
  <si>
    <t>T_Barwert</t>
  </si>
  <si>
    <t>T_Verrentung</t>
  </si>
  <si>
    <t>E_VerrentungText</t>
  </si>
  <si>
    <t>E_ReZins</t>
  </si>
  <si>
    <t>E_Rentner</t>
  </si>
  <si>
    <t>E_Renteneintritt</t>
  </si>
  <si>
    <t>E_Rezins1</t>
  </si>
  <si>
    <t>Berechnungsstichtag</t>
  </si>
  <si>
    <t>ForderungRente</t>
  </si>
  <si>
    <t>E_VVR_T</t>
  </si>
  <si>
    <t>E_RenteausKapitalAglBer</t>
  </si>
  <si>
    <t>E_AlterABer</t>
  </si>
  <si>
    <t>E_AnwartschaftszeitABer</t>
  </si>
  <si>
    <t>E_RelegalterABer</t>
  </si>
  <si>
    <t>E_LXYAlterABer</t>
  </si>
  <si>
    <t>E_VVR1AglBer</t>
  </si>
  <si>
    <t>E_VVR2AglBer</t>
  </si>
  <si>
    <t>E_VVRAusglBer</t>
  </si>
  <si>
    <t>E_InvaliditätAusglBer</t>
  </si>
  <si>
    <t>E_IFaktorAusglBer</t>
  </si>
  <si>
    <t>E_HinterbliebeneAusglBer</t>
  </si>
  <si>
    <t>E_HFaktorAusglBer</t>
  </si>
  <si>
    <t>E_Laufzeitbegrenzung</t>
  </si>
  <si>
    <r>
      <t xml:space="preserve">4. Ist der </t>
    </r>
    <r>
      <rPr>
        <b/>
        <sz val="11"/>
        <color indexed="8"/>
        <rFont val="Arial"/>
        <family val="2"/>
      </rPr>
      <t>Barwert</t>
    </r>
    <r>
      <rPr>
        <sz val="11"/>
        <color theme="1"/>
        <rFont val="Arial"/>
        <family val="2"/>
      </rPr>
      <t xml:space="preserve"> einer Rente oder die </t>
    </r>
    <r>
      <rPr>
        <b/>
        <sz val="11"/>
        <color indexed="8"/>
        <rFont val="Arial"/>
        <family val="2"/>
      </rPr>
      <t>Verrentung</t>
    </r>
    <r>
      <rPr>
        <sz val="11"/>
        <color theme="1"/>
        <rFont val="Arial"/>
        <family val="2"/>
      </rPr>
      <t xml:space="preserve"> eines Kapitals zu berechnen?</t>
    </r>
  </si>
  <si>
    <t>VA-Kasse</t>
  </si>
  <si>
    <t>© Rechtsanwalt Jörn Hauß, Vom-Rath-Str. 10, 47051 Duisburg, Tel: 0203/286870</t>
  </si>
  <si>
    <t>Büro Glockner, Tiefentalstr. 176228 Karlsruhe, Tel: 0721/491434</t>
  </si>
  <si>
    <r>
      <t>2.</t>
    </r>
    <r>
      <rPr>
        <b/>
        <sz val="11"/>
        <color indexed="8"/>
        <rFont val="Arial"/>
        <family val="2"/>
      </rPr>
      <t xml:space="preserve"> Berechnungsdatum</t>
    </r>
    <r>
      <rPr>
        <sz val="11"/>
        <color theme="1"/>
        <rFont val="Arial"/>
        <family val="2"/>
      </rPr>
      <t xml:space="preserve"> (z.B. Ehezeitende)</t>
    </r>
  </si>
  <si>
    <r>
      <t xml:space="preserve">3. </t>
    </r>
    <r>
      <rPr>
        <b/>
        <sz val="11"/>
        <color indexed="8"/>
        <rFont val="Arial"/>
        <family val="2"/>
      </rPr>
      <t>Geschlecht</t>
    </r>
    <r>
      <rPr>
        <sz val="11"/>
        <color theme="1"/>
        <rFont val="Arial"/>
        <family val="2"/>
      </rPr>
      <t xml:space="preserve"> des Inhabers der Versorgung</t>
    </r>
  </si>
  <si>
    <r>
      <t xml:space="preserve">6. </t>
    </r>
    <r>
      <rPr>
        <b/>
        <sz val="11"/>
        <color indexed="8"/>
        <rFont val="Arial"/>
        <family val="2"/>
      </rPr>
      <t>Rentenalter</t>
    </r>
    <r>
      <rPr>
        <sz val="11"/>
        <color theme="1"/>
        <rFont val="Arial"/>
        <family val="2"/>
      </rPr>
      <t xml:space="preserve">, wenn dies von der Regelaltersgrenze abweicht
    </t>
    </r>
    <r>
      <rPr>
        <sz val="8"/>
        <color indexed="8"/>
        <rFont val="Arial"/>
        <family val="2"/>
      </rPr>
      <t>bei laufenden Renten vor der Regelaltersgrenze das Alter im Berechnungszeitpunkt eingeben</t>
    </r>
  </si>
  <si>
    <r>
      <t>7. Enthält die Versorgungszusage eine</t>
    </r>
    <r>
      <rPr>
        <b/>
        <sz val="11"/>
        <color indexed="8"/>
        <rFont val="Arial"/>
        <family val="2"/>
      </rPr>
      <t xml:space="preserve"> Invaliditätsabsicherung</t>
    </r>
    <r>
      <rPr>
        <sz val="11"/>
        <color theme="1"/>
        <rFont val="Arial"/>
        <family val="2"/>
      </rPr>
      <t>?</t>
    </r>
  </si>
  <si>
    <r>
      <t xml:space="preserve">8. Enthält die Versorgungszusage </t>
    </r>
    <r>
      <rPr>
        <b/>
        <sz val="11"/>
        <color indexed="8"/>
        <rFont val="Arial"/>
        <family val="2"/>
      </rPr>
      <t>Hinterbliebenenabsicherung</t>
    </r>
    <r>
      <rPr>
        <sz val="11"/>
        <color theme="1"/>
        <rFont val="Arial"/>
        <family val="2"/>
      </rPr>
      <t>?</t>
    </r>
  </si>
  <si>
    <t>2.</t>
  </si>
  <si>
    <t>Halbierung</t>
  </si>
  <si>
    <t>DRV</t>
  </si>
  <si>
    <t>Abzinsungszinssatz gemäß § 253 Abs. 2 HGB (10-Jahresdurchschnitt) bei einer Restlaufzeit von .... Jahr(en)</t>
  </si>
  <si>
    <t>E_BilMoG10-Test</t>
  </si>
  <si>
    <t>anzunehmende Dynamik der gesetzlichen Rentenversicherung</t>
  </si>
  <si>
    <t>Forderung, Ausgleichswert im Ehezeitende</t>
  </si>
  <si>
    <t>vom Versorgungsträger verwendeter Rechnungszins</t>
  </si>
  <si>
    <t>AufAbzinsung</t>
  </si>
  <si>
    <t>Verzinsung</t>
  </si>
  <si>
    <t>3.</t>
  </si>
  <si>
    <t>Hinterbliebenenquote (Prozentsatz der Witwen-/Witwerrente)</t>
  </si>
  <si>
    <t>Invaliditätsquote (Höhe der Invaliditätsrente zur Altersrente)</t>
  </si>
  <si>
    <r>
      <t>12. Voraussichtliche Rente für die ausgleichsberechtigte Person</t>
    </r>
    <r>
      <rPr>
        <sz val="10"/>
        <color indexed="8"/>
        <rFont val="Arial"/>
        <family val="2"/>
      </rPr>
      <t xml:space="preserve"> (bitte Halbteilung und Teilungskosten beachten)</t>
    </r>
    <r>
      <rPr>
        <sz val="11"/>
        <color theme="1"/>
        <rFont val="Arial"/>
        <family val="2"/>
      </rPr>
      <t>:</t>
    </r>
  </si>
  <si>
    <t>©Institut für Versorgungsausgleich, Jörn Hauß, Duisburg, Hauss@anwaelte-du.de</t>
  </si>
  <si>
    <t>360 Tage / Jahr</t>
  </si>
  <si>
    <t>Ehezeitanteilsbestimmung</t>
  </si>
  <si>
    <t>365 Tage / Jahr</t>
  </si>
  <si>
    <t>tragen Sie die Daten von … bis … in die weißen Felder ein</t>
  </si>
  <si>
    <t>Summen</t>
  </si>
  <si>
    <r>
      <t>Faktor</t>
    </r>
    <r>
      <rPr>
        <b/>
        <vertAlign val="superscript"/>
        <sz val="8"/>
        <color indexed="10"/>
        <rFont val="Arial"/>
        <family val="2"/>
      </rPr>
      <t>*)</t>
    </r>
    <r>
      <rPr>
        <sz val="8"/>
        <color indexed="10"/>
        <rFont val="Arial"/>
        <family val="2"/>
      </rPr>
      <t xml:space="preserve"> </t>
    </r>
    <r>
      <rPr>
        <sz val="8"/>
        <rFont val="Arial"/>
        <family val="2"/>
      </rPr>
      <t xml:space="preserve">ist stets &lt;1, bei Teilzeitbeschäftigung von Beamten. Stundenweise Berechnung möglich durch Eingabe von '=' vor den Teilzeitfaktor also bei 21 von 28 Std.: =21/28. Die Beschränkung wirkt sich nur auf die mit </t>
    </r>
    <r>
      <rPr>
        <sz val="8"/>
        <color indexed="10"/>
        <rFont val="Arial"/>
        <family val="2"/>
      </rPr>
      <t>*)</t>
    </r>
    <r>
      <rPr>
        <sz val="8"/>
        <rFont val="Arial"/>
        <family val="2"/>
      </rPr>
      <t xml:space="preserve"> gekennzeichneten Spalten aus.</t>
    </r>
  </si>
  <si>
    <t>Netto:</t>
  </si>
  <si>
    <t>© Rechtsanwalt Jörn Hauß, Fachanwalt f. Familienrecht, Duisburg, Tel: 0203/286870 Fax: 0203/2868777, Mail Hauss@anwaelte-du.de, www.anwaelte-du.de</t>
  </si>
  <si>
    <r>
      <t>(12)an</t>
    </r>
    <r>
      <rPr>
        <sz val="9"/>
        <color indexed="8"/>
        <rFont val="Arial"/>
        <family val="2"/>
      </rPr>
      <t>aiz</t>
    </r>
  </si>
  <si>
    <r>
      <t>(12)an</t>
    </r>
    <r>
      <rPr>
        <sz val="9"/>
        <color indexed="8"/>
        <rFont val="Arial"/>
        <family val="2"/>
      </rPr>
      <t>aia</t>
    </r>
  </si>
  <si>
    <t>anaw</t>
  </si>
  <si>
    <t>0,6 anaw</t>
  </si>
  <si>
    <t>n</t>
  </si>
  <si>
    <t>(12)anaiZ</t>
  </si>
  <si>
    <t>(12)anaiA</t>
  </si>
  <si>
    <r>
      <t>an</t>
    </r>
    <r>
      <rPr>
        <sz val="9"/>
        <color indexed="8"/>
        <rFont val="Arial"/>
        <family val="2"/>
      </rPr>
      <t>aw</t>
    </r>
  </si>
  <si>
    <t>E_VVR2 (Überlebende im Rentenalter)</t>
  </si>
  <si>
    <t>E_VVR1 (Überlebende im Berechnungsalter)</t>
  </si>
  <si>
    <t>E_RentenEintrittABer</t>
  </si>
  <si>
    <t>https://www.bundesbank.de/dynamic/action/de/startseite/suche/747716/allgemeine-suche?query=Abzinsungszinss%C3%A4tze</t>
  </si>
  <si>
    <t>Information:</t>
  </si>
  <si>
    <t>Rentenerwartung1</t>
  </si>
  <si>
    <t>Rentenerwartung2</t>
  </si>
  <si>
    <t>E_Halbteilung</t>
  </si>
  <si>
    <r>
      <rPr>
        <sz val="10"/>
        <color indexed="8"/>
        <rFont val="Calibri"/>
        <family val="2"/>
      </rPr>
      <t xml:space="preserve">Zuschläge zum Barwert für </t>
    </r>
    <r>
      <rPr>
        <b/>
        <sz val="10"/>
        <color indexed="8"/>
        <rFont val="Calibri"/>
        <family val="2"/>
      </rPr>
      <t xml:space="preserve">
Invaliditäts- und Hinterbliebenenversorgung </t>
    </r>
    <r>
      <rPr>
        <sz val="10"/>
        <color indexed="8"/>
        <rFont val="Arial"/>
        <family val="2"/>
      </rPr>
      <t xml:space="preserve">
- Männer -</t>
    </r>
  </si>
  <si>
    <r>
      <t xml:space="preserve">Zuschläge zum Barwert für 
</t>
    </r>
    <r>
      <rPr>
        <b/>
        <sz val="10"/>
        <color indexed="8"/>
        <rFont val="Calibri"/>
        <family val="2"/>
      </rPr>
      <t xml:space="preserve">Invaliditäts- und Hinterbliebenenversorgung </t>
    </r>
    <r>
      <rPr>
        <sz val="10"/>
        <color indexed="8"/>
        <rFont val="Arial"/>
        <family val="2"/>
      </rPr>
      <t xml:space="preserve">
- Frauen -</t>
    </r>
  </si>
  <si>
    <t>1970,3%,0%,65</t>
  </si>
  <si>
    <r>
      <t>(12)a</t>
    </r>
    <r>
      <rPr>
        <vertAlign val="subscript"/>
        <sz val="9"/>
        <color indexed="8"/>
        <rFont val="Calibri"/>
        <family val="2"/>
      </rPr>
      <t>x</t>
    </r>
    <r>
      <rPr>
        <sz val="9"/>
        <color indexed="8"/>
        <rFont val="Arial"/>
        <family val="2"/>
      </rPr>
      <t>auiz</t>
    </r>
  </si>
  <si>
    <r>
      <t>(12)a</t>
    </r>
    <r>
      <rPr>
        <vertAlign val="subscript"/>
        <sz val="9"/>
        <color indexed="8"/>
        <rFont val="Calibri"/>
        <family val="2"/>
      </rPr>
      <t>y</t>
    </r>
    <r>
      <rPr>
        <sz val="9"/>
        <color indexed="8"/>
        <rFont val="Arial"/>
        <family val="2"/>
      </rPr>
      <t>auiz</t>
    </r>
  </si>
  <si>
    <r>
      <t xml:space="preserve">Zuschläge zum Barwert für 
</t>
    </r>
    <r>
      <rPr>
        <b/>
        <sz val="10"/>
        <color indexed="8"/>
        <rFont val="Calibri"/>
        <family val="2"/>
      </rPr>
      <t xml:space="preserve">Invaliditäts- und Hinterbliebenenversorgung </t>
    </r>
    <r>
      <rPr>
        <sz val="10"/>
        <color indexed="8"/>
        <rFont val="Arial"/>
        <family val="2"/>
      </rPr>
      <t xml:space="preserve">
- Divers -</t>
    </r>
  </si>
  <si>
    <t>1970, 3%,0,67</t>
  </si>
  <si>
    <t>1970(48),3%,0%,66</t>
  </si>
  <si>
    <t>1970,3%,0,64,(48)</t>
  </si>
  <si>
    <t>1970,3%,0%,63,(48)</t>
  </si>
  <si>
    <t>1970, 3%,0%,61,(48)</t>
  </si>
  <si>
    <r>
      <rPr>
        <b/>
        <sz val="10"/>
        <rFont val="Arial"/>
        <family val="2"/>
      </rPr>
      <t xml:space="preserve">von         Ehezeit          </t>
    </r>
    <r>
      <rPr>
        <sz val="10"/>
        <rFont val="Arial"/>
        <family val="2"/>
      </rPr>
      <t>bis</t>
    </r>
  </si>
  <si>
    <t>Heubeck</t>
  </si>
  <si>
    <t>Monatsbasis</t>
  </si>
  <si>
    <t>KV- &amp; PV in %:</t>
  </si>
  <si>
    <t>Interpolation</t>
  </si>
  <si>
    <t>Rentenalter</t>
  </si>
  <si>
    <t>Mann</t>
  </si>
  <si>
    <t>Frau</t>
  </si>
  <si>
    <t>Umrechenfaktoren Entgeltpunkte in Beiträge</t>
  </si>
  <si>
    <t>1970, 3%,0%,60,(48)</t>
  </si>
  <si>
    <r>
      <t>(12)a</t>
    </r>
    <r>
      <rPr>
        <vertAlign val="subscript"/>
        <sz val="8"/>
        <color indexed="8"/>
        <rFont val="Calibri"/>
        <family val="2"/>
      </rPr>
      <t>x</t>
    </r>
    <r>
      <rPr>
        <sz val="8"/>
        <color indexed="8"/>
        <rFont val="Arial"/>
        <family val="2"/>
      </rPr>
      <t>aiz</t>
    </r>
  </si>
  <si>
    <r>
      <t>(12)a</t>
    </r>
    <r>
      <rPr>
        <vertAlign val="subscript"/>
        <sz val="8"/>
        <color indexed="8"/>
        <rFont val="Calibri"/>
        <family val="2"/>
      </rPr>
      <t>x</t>
    </r>
    <r>
      <rPr>
        <sz val="8"/>
        <color indexed="8"/>
        <rFont val="Arial"/>
        <family val="2"/>
      </rPr>
      <t>aia</t>
    </r>
  </si>
  <si>
    <r>
      <t>a</t>
    </r>
    <r>
      <rPr>
        <vertAlign val="subscript"/>
        <sz val="8"/>
        <color indexed="8"/>
        <rFont val="Calibri"/>
        <family val="2"/>
      </rPr>
      <t>x</t>
    </r>
    <r>
      <rPr>
        <sz val="8"/>
        <color indexed="8"/>
        <rFont val="Arial"/>
        <family val="2"/>
      </rPr>
      <t>aw</t>
    </r>
  </si>
  <si>
    <r>
      <t>(12)a</t>
    </r>
    <r>
      <rPr>
        <vertAlign val="subscript"/>
        <sz val="8"/>
        <color indexed="8"/>
        <rFont val="Calibri"/>
        <family val="2"/>
      </rPr>
      <t>y</t>
    </r>
    <r>
      <rPr>
        <sz val="8"/>
        <color indexed="8"/>
        <rFont val="Arial"/>
        <family val="2"/>
      </rPr>
      <t>aiz</t>
    </r>
  </si>
  <si>
    <r>
      <t>(12)a</t>
    </r>
    <r>
      <rPr>
        <vertAlign val="subscript"/>
        <sz val="8"/>
        <color indexed="8"/>
        <rFont val="Calibri"/>
        <family val="2"/>
      </rPr>
      <t>y</t>
    </r>
    <r>
      <rPr>
        <sz val="8"/>
        <color indexed="8"/>
        <rFont val="Arial"/>
        <family val="2"/>
      </rPr>
      <t>aia</t>
    </r>
  </si>
  <si>
    <t>1970, 3%,0%,62,(48)</t>
  </si>
  <si>
    <t>Längerlebigkeitszuschlag</t>
  </si>
  <si>
    <t>Witwenrente x x%</t>
  </si>
  <si>
    <t>KV_Beitrag</t>
  </si>
  <si>
    <t>KV_Beitragssatz</t>
  </si>
  <si>
    <t>Beitragszuschuss der ges. Rentenversicherung zur Krankenkasse:</t>
  </si>
  <si>
    <t>Summe</t>
  </si>
  <si>
    <t>VPI</t>
  </si>
  <si>
    <t>Forderung</t>
  </si>
  <si>
    <t>BilMoG-7</t>
  </si>
  <si>
    <t>BilMoG-10</t>
  </si>
  <si>
    <t>Aufzinsung</t>
  </si>
  <si>
    <t>5.</t>
  </si>
  <si>
    <t>6.</t>
  </si>
  <si>
    <t>7.</t>
  </si>
  <si>
    <t>VBL Altersfaktoren</t>
  </si>
  <si>
    <t>ab</t>
  </si>
  <si>
    <t>SV_Abzug</t>
  </si>
  <si>
    <t>SV-Abzug</t>
  </si>
  <si>
    <t>Basiszins</t>
  </si>
  <si>
    <t>5%&gt; Basiszins</t>
  </si>
  <si>
    <t>https://www.destatis.de/DE/Themen/Wirtschaft/Preise/Verbraucherpreisindex/Publikationen/_publikationen-verbraucherpreisindex.html?nn=206104</t>
  </si>
  <si>
    <t>Höchstrech-nungszins</t>
  </si>
  <si>
    <t>Zinsvergleich</t>
  </si>
  <si>
    <t>Vorversterben</t>
  </si>
  <si>
    <t>Dynamik:</t>
  </si>
  <si>
    <t>Beamtenversorgung</t>
  </si>
  <si>
    <t>Anpassung</t>
  </si>
  <si>
    <t>Forderungshöhe</t>
  </si>
  <si>
    <t>Programm zur Unterstützung im Versorgungsausgleich</t>
  </si>
  <si>
    <t>Jörn Hauß</t>
  </si>
  <si>
    <t>Fachanwalt für Familienrecht</t>
  </si>
  <si>
    <t>Vom-Rath-Str. 10</t>
  </si>
  <si>
    <t>47051 Duisburg</t>
  </si>
  <si>
    <t>Höchstrechnungszins</t>
  </si>
  <si>
    <t>Witwenrente</t>
  </si>
  <si>
    <t>m</t>
  </si>
  <si>
    <t>Männer</t>
  </si>
  <si>
    <t>Frauen</t>
  </si>
  <si>
    <t>Quelle, Statistisches Bundesamt</t>
  </si>
  <si>
    <t>Vollendetes Alter</t>
  </si>
  <si>
    <t>Überlebende im Alter x</t>
  </si>
  <si>
    <t>Durchschn. Lebenserwar-tung im Alter x</t>
  </si>
  <si>
    <t>Überlebende</t>
  </si>
  <si>
    <t xml:space="preserve">Durchschnittliche </t>
  </si>
  <si>
    <t>Vorversterbensrisiko nach Periodensterbetafel</t>
  </si>
  <si>
    <t>im Alter x</t>
  </si>
  <si>
    <t>Lebenserwartung</t>
  </si>
  <si>
    <t>Der 'gemeinsame Lebensabend'</t>
  </si>
  <si>
    <t>Zielalter Mann / Startalter Frau</t>
  </si>
  <si>
    <t>in Jahren</t>
  </si>
  <si>
    <r>
      <t xml:space="preserve">l </t>
    </r>
    <r>
      <rPr>
        <vertAlign val="subscript"/>
        <sz val="7"/>
        <rFont val="MetaNormalLF-Roman"/>
        <family val="2"/>
      </rPr>
      <t>x</t>
    </r>
  </si>
  <si>
    <r>
      <t xml:space="preserve"> e </t>
    </r>
    <r>
      <rPr>
        <vertAlign val="subscript"/>
        <sz val="7"/>
        <rFont val="MetaNormalLF-Roman"/>
        <family val="2"/>
      </rPr>
      <t>x</t>
    </r>
  </si>
  <si>
    <t>Startalter Mann / Zielalter Frau</t>
  </si>
  <si>
    <t>Kohortenzahl 1</t>
  </si>
  <si>
    <t>Alter bei Ruhestandsgemeinschaft</t>
  </si>
  <si>
    <t>Kohortenzahl 2</t>
  </si>
  <si>
    <t>Erlebenswahrscheinlichkeit: Kohortenzahl 2 / Kzahl 1</t>
  </si>
  <si>
    <t>gemeinsame Erlebenswahrscheinlichkeit: 0,79 x 0,91</t>
  </si>
  <si>
    <t>Lebenserwartung im Rentenalter</t>
  </si>
  <si>
    <t>gemeinsame Zeit bei Erleben gemeinsamen Renteneintritts</t>
  </si>
  <si>
    <t>Barwert einer zeitlich befristeten periodischen Forderung</t>
  </si>
  <si>
    <t>Alter des Gläubigers bei Beginn der Zahlung</t>
  </si>
  <si>
    <t>Geschlecht des Gläubigers</t>
  </si>
  <si>
    <t>f</t>
  </si>
  <si>
    <t>Laufzeit der Forderung in Jahren</t>
  </si>
  <si>
    <t>Jahresbetrag der Forderung</t>
  </si>
  <si>
    <t>Abzinsungszinssatz</t>
  </si>
  <si>
    <t>Summe aller Zahlungen</t>
  </si>
  <si>
    <t>Barwert (BW) aller Zahlungen</t>
  </si>
  <si>
    <t>Barwert aller Zahlungen bei Berücksichtigung des periodischen Vorversterbensrisikos</t>
  </si>
  <si>
    <r>
      <rPr>
        <b/>
        <sz val="11"/>
        <color theme="1"/>
        <rFont val="Arial"/>
        <family val="2"/>
      </rPr>
      <t>M ä n n e r</t>
    </r>
    <r>
      <rPr>
        <sz val="11"/>
        <color theme="1"/>
        <rFont val="Arial"/>
        <family val="2"/>
      </rPr>
      <t>, Renteneintritt mit</t>
    </r>
  </si>
  <si>
    <r>
      <rPr>
        <b/>
        <sz val="11"/>
        <color theme="1"/>
        <rFont val="Arial"/>
        <family val="2"/>
      </rPr>
      <t>F r a u e n</t>
    </r>
    <r>
      <rPr>
        <sz val="11"/>
        <color theme="1"/>
        <rFont val="Arial"/>
        <family val="2"/>
      </rPr>
      <t>, Renteneintritt mit</t>
    </r>
  </si>
  <si>
    <t>Monatliche Bezugsgröße nach § 18 SGB VI</t>
  </si>
  <si>
    <t>Geschlecht</t>
  </si>
  <si>
    <t>Leistungszeit</t>
  </si>
  <si>
    <t>Anwartschaftszeit</t>
  </si>
  <si>
    <t>Anwartschaftsdynamik</t>
  </si>
  <si>
    <t>Leistungsdynamik</t>
  </si>
  <si>
    <t>Adaequanz_Renteneintritt</t>
  </si>
  <si>
    <t>Anzunehmende Anwartschaftsdynamik der VersAusglK</t>
  </si>
  <si>
    <t>Anzunehmende Leistungsdynamik der VersAusglK</t>
  </si>
  <si>
    <t>w</t>
  </si>
  <si>
    <t>Verrentung von Kapital</t>
  </si>
  <si>
    <t>Geburtsdatum d. Vermögensinhabers</t>
  </si>
  <si>
    <t>Geschlecht (m/w)</t>
  </si>
  <si>
    <t>Höhe des zu verrentenen Vermögens</t>
  </si>
  <si>
    <t>Stichtag der Verrentung</t>
  </si>
  <si>
    <t>Rechnungszins</t>
  </si>
  <si>
    <t>Zeit in Jahren</t>
  </si>
  <si>
    <t>Verrentung lebenslang, Monatsbetrag</t>
  </si>
  <si>
    <t>Verrentung ab Regelaltersgrenze Monatsbetrag</t>
  </si>
  <si>
    <t>Verrentung über einen Zeitraum von</t>
  </si>
  <si>
    <t>Jahren</t>
  </si>
  <si>
    <t>Alter im Stichtag</t>
  </si>
  <si>
    <t>Lebenserwartung im Stichtag</t>
  </si>
  <si>
    <t>Regelaltersgrenze</t>
  </si>
  <si>
    <t>L ab Regelaltersgr</t>
  </si>
  <si>
    <t>HR</t>
  </si>
  <si>
    <t>IR</t>
  </si>
  <si>
    <t>Rezins</t>
  </si>
  <si>
    <t>Barwert in Leistungszeit</t>
  </si>
  <si>
    <t>VVR Renteneintritt</t>
  </si>
  <si>
    <t>VVR Alter</t>
  </si>
  <si>
    <t>Nebenleistungen</t>
  </si>
  <si>
    <t>Quellversorgung</t>
  </si>
  <si>
    <t>VersAusglK</t>
  </si>
  <si>
    <t>Sonst</t>
  </si>
  <si>
    <t>Renteneintrittsalter</t>
  </si>
  <si>
    <t>Restleistungszeit</t>
  </si>
  <si>
    <t>Spalte2</t>
  </si>
  <si>
    <t>Spalte4</t>
  </si>
  <si>
    <t>Spalte6</t>
  </si>
  <si>
    <t>Spalte8</t>
  </si>
  <si>
    <t>Invaliditätsrentner</t>
  </si>
  <si>
    <t>Monatliche Rentenzahlungen</t>
  </si>
  <si>
    <t>jährliche Rentenzahlungen</t>
  </si>
  <si>
    <t>Alter im Ehezeitende</t>
  </si>
  <si>
    <t>Alter d. ausglpfl. Person</t>
  </si>
  <si>
    <t>Leistungsreduktion DRV</t>
  </si>
  <si>
    <t>Differenz</t>
  </si>
  <si>
    <t>ReDifferenz</t>
  </si>
  <si>
    <t>Differenzfaktor</t>
  </si>
  <si>
    <t>DRVJa</t>
  </si>
  <si>
    <t>VersAusglKJa</t>
  </si>
  <si>
    <t>SonstJa</t>
  </si>
  <si>
    <t>Sonstige</t>
  </si>
  <si>
    <t>Summe Nebenleistung</t>
  </si>
  <si>
    <t>Adaequanz_DRVReeintritt</t>
  </si>
  <si>
    <r>
      <t xml:space="preserve">Zuschläge zum Barwert für 
</t>
    </r>
    <r>
      <rPr>
        <b/>
        <sz val="12"/>
        <color indexed="8"/>
        <rFont val="Calibri"/>
        <family val="2"/>
      </rPr>
      <t xml:space="preserve">Invaliditäts- und Hinterbliebenenversorgung </t>
    </r>
    <r>
      <rPr>
        <sz val="11"/>
        <color theme="1"/>
        <rFont val="Arial"/>
        <family val="2"/>
      </rPr>
      <t xml:space="preserve">
- Divers -</t>
    </r>
  </si>
  <si>
    <t>Adaequanz_Kapitalleistung</t>
  </si>
  <si>
    <t>vom EzE abweichendes Berechnungsdatum eingeben:</t>
  </si>
  <si>
    <t>Adaequanz_VerzinsungAusglW</t>
  </si>
  <si>
    <t>auf- bzw. verzinster AusglW</t>
  </si>
  <si>
    <t>Die Berechnungs-parameter der Ziel-Versorgung sind von dieser zu erfragen.</t>
  </si>
  <si>
    <t>Leistungsdynamik bzw. Rententrend</t>
  </si>
  <si>
    <t>BerechnetAuf</t>
  </si>
  <si>
    <t>EzE</t>
  </si>
  <si>
    <t>WO_Schalter</t>
  </si>
  <si>
    <t>EP_Ost</t>
  </si>
  <si>
    <t>Differenz:</t>
  </si>
  <si>
    <t>Rentenvolumen-Kosten-Vergleich</t>
  </si>
  <si>
    <t>2. Textdarstellung der Berechnung zu Ziff. 1.</t>
  </si>
  <si>
    <t>1. Berechnung &amp; Kontrolle von Kapitalwerten einzelner Versorgungen (Rentenbewertung)</t>
  </si>
  <si>
    <t>Leistungszeit, gemessen an Quellversorgung</t>
  </si>
  <si>
    <t>Sterbealter</t>
  </si>
  <si>
    <t>Tabelle (Feld zur Bestimmung der Rentensumme. Tabelle = wahr dann aus ADÄQUANZ-Berechnunge, sonst aus Formel</t>
  </si>
  <si>
    <t>Quell-versorgung</t>
  </si>
  <si>
    <t>DRV alternativ</t>
  </si>
  <si>
    <t>Bagatellgrenze § 18 VersAusglG in €</t>
  </si>
  <si>
    <t>Beitragssatz in gesetzlicher RV</t>
  </si>
  <si>
    <t>Umrechenfaktor Beitrag in Entgeltpunkte</t>
  </si>
  <si>
    <t>Rentenererwerb aus 1.000 € Beitrag</t>
  </si>
  <si>
    <t>West in Euro</t>
  </si>
  <si>
    <t>Ost in Euro</t>
  </si>
  <si>
    <t>Beitrags-satz</t>
  </si>
  <si>
    <t>Rechenparameter für Versorgungsausgleich und Sozialversicherung*</t>
  </si>
  <si>
    <t>*) Der Autor übernimmt keine Haftung für die aufgeführten Werte</t>
  </si>
  <si>
    <t xml:space="preserve">Ost in Euro </t>
  </si>
  <si>
    <t>© Autor: Rechtsanwalt Jörn Hauß, Vom-Rath-Str. 10, 47051 Duisburg, Tel: 0203/286870, Hauss@anwaelte-du.de</t>
  </si>
  <si>
    <t>Dynamisierungen</t>
  </si>
  <si>
    <t>AktRW</t>
  </si>
  <si>
    <t>Kapitalwertkontrolle und Kapitalwertberechnung etc.</t>
  </si>
  <si>
    <t>3. zeitratierliche Berechnung des Ehezeitanteils einer Versorgung</t>
  </si>
  <si>
    <t>anrechenbar</t>
  </si>
  <si>
    <t>gesetzl. Unterhalt</t>
  </si>
  <si>
    <t xml:space="preserve">Aussetzung der Kürzung, § 33 VersAusglG </t>
  </si>
  <si>
    <t>Euro/EP</t>
  </si>
  <si>
    <t xml:space="preserve">Bezeichnung der Sache: </t>
  </si>
  <si>
    <t xml:space="preserve">Mindestbetrag der Aussetzung gem. § 33 Abs. 2 VersAusglG </t>
  </si>
  <si>
    <t xml:space="preserve">Datum der Anpassungsberechnung: </t>
  </si>
  <si>
    <r>
      <t xml:space="preserve">Erwerbstätigenbonus </t>
    </r>
    <r>
      <rPr>
        <sz val="8"/>
        <color theme="1"/>
        <rFont val="Arial"/>
        <family val="2"/>
      </rPr>
      <t>(als Bruch eingeben, also 1/10 oder 1/7)</t>
    </r>
    <r>
      <rPr>
        <sz val="11"/>
        <color theme="1"/>
        <rFont val="Arial"/>
        <family val="2"/>
      </rPr>
      <t xml:space="preserve">: </t>
    </r>
  </si>
  <si>
    <t>unterhaltsrechtlich anrechenbares Einkommen:</t>
  </si>
  <si>
    <t>VereinbarterUnterhalt</t>
  </si>
  <si>
    <t>Geburtstag der ausgleichsberechtigten Person</t>
  </si>
  <si>
    <t>Zeitabstand zwischen Ehezeitende und Renteneintritt</t>
  </si>
  <si>
    <t>Zeitabstand zwischen Berechnungsdatum und Renteneintritt</t>
  </si>
  <si>
    <t>gezahlte Unterhaltsabfindung</t>
  </si>
  <si>
    <r>
      <t xml:space="preserve">Unterhaltsabfindung und § 33 VersAusglG 
</t>
    </r>
    <r>
      <rPr>
        <sz val="6"/>
        <color theme="1"/>
        <rFont val="Arial"/>
        <family val="2"/>
      </rPr>
      <t>auch bei Abfindung des Unterhaltsanspruchs kommt eine Anpassung der Kürzung nach § 33 VersAusglG in Betracht (vgl. Hauß in Schulz/Hauß NK-FamR § 33 Rn. 6) vgl auch Palandt/Brudermüller § 33 VersAusglG RN 3 a.E.</t>
    </r>
  </si>
  <si>
    <t>Berechnung einer Unterhaltsabfindung</t>
  </si>
  <si>
    <t>Berechnungstag</t>
  </si>
  <si>
    <t>Kohorte Stichtag</t>
  </si>
  <si>
    <t>AlterStichtag</t>
  </si>
  <si>
    <t>Jahrgang</t>
  </si>
  <si>
    <t>Quote</t>
  </si>
  <si>
    <t xml:space="preserve">Abfindungsbetrag gem. Anlage 9a zu § 13 BewertG (5,5%): </t>
  </si>
  <si>
    <t>Barwert-Summe</t>
  </si>
  <si>
    <t>angenommene Dauer der Unterhaltsabfindung eingeben</t>
  </si>
  <si>
    <t>Höhe der monatlichen Unterhaltszahlung:</t>
  </si>
  <si>
    <t>Wenn Rente jährlich steigen soll, Leistungsdynamik eingeben:</t>
  </si>
  <si>
    <t>angenommene Dauer der Unterhaltsberechtigung</t>
  </si>
  <si>
    <t xml:space="preserve">anrechenbare Rente ohne versorgungsausgleichsbedingte Kürzung: </t>
  </si>
  <si>
    <t xml:space="preserve">anrechenbares Erwerbseinkommen: </t>
  </si>
  <si>
    <t>Erweiterte Suche - Statistisches Bundesamt (destatis.de)</t>
  </si>
  <si>
    <t>Inflation</t>
  </si>
  <si>
    <t>RestleistungszeitAusglBer</t>
  </si>
  <si>
    <t>Monatsrente DRV Ausglber. Person</t>
  </si>
  <si>
    <t>Jahresrenten-volumen</t>
  </si>
  <si>
    <t>Rente an ausglber. Person aus DRV</t>
  </si>
  <si>
    <r>
      <t xml:space="preserve">Rente an </t>
    </r>
    <r>
      <rPr>
        <b/>
        <u/>
        <sz val="18"/>
        <color theme="1"/>
        <rFont val="Arial"/>
        <family val="2"/>
      </rPr>
      <t>ausglber. Person</t>
    </r>
    <r>
      <rPr>
        <b/>
        <sz val="18"/>
        <color theme="1"/>
        <rFont val="Arial"/>
        <family val="2"/>
      </rPr>
      <t xml:space="preserve"> aus DRV</t>
    </r>
  </si>
  <si>
    <t>DRVAusglBerJa</t>
  </si>
  <si>
    <t>RestleistungszeitAGlBer</t>
  </si>
  <si>
    <t>BGH XII ZB 230/16</t>
  </si>
  <si>
    <t>SexWahl</t>
  </si>
  <si>
    <t>d</t>
  </si>
  <si>
    <t>Ber.</t>
  </si>
  <si>
    <t>Pfl.</t>
  </si>
  <si>
    <t>Bitte den Rentenwert im Rechner der VersAusglK im Internet ermitteln</t>
  </si>
  <si>
    <t>Achstitel</t>
  </si>
  <si>
    <t>Rentenbericht der BuReg 2020 S. 37</t>
  </si>
  <si>
    <t>§ 315 SGB VI</t>
  </si>
  <si>
    <t>§ 241 SGB V</t>
  </si>
  <si>
    <t>Berechnungsparameter, die die Berechnungen des Programms steuern!</t>
  </si>
  <si>
    <t>Zuschlag zum Ausgleichswert zur Erreichung einer adäquaten Versorgung in der Zielversorgung:</t>
  </si>
  <si>
    <t>ZusatzWert:</t>
  </si>
  <si>
    <t>C_BilMoG10</t>
  </si>
  <si>
    <t>E_BimMoG10</t>
  </si>
  <si>
    <t>BilMoG-7 für EzE</t>
  </si>
  <si>
    <t>BilMoG-10 für EzE</t>
  </si>
  <si>
    <t>BilMoG10vorhanden</t>
  </si>
  <si>
    <t>BilMoG7vorhanden</t>
  </si>
  <si>
    <t>Barwert der Alters-Rentenleistung bei Rentenbeginn</t>
  </si>
  <si>
    <t>Vorversterbensrisiko</t>
  </si>
  <si>
    <t>Zuschlag für Nebenleistung</t>
  </si>
  <si>
    <t>Aufstockung des Ausgleichswerts zur erreichung einer Volladäquanz</t>
  </si>
  <si>
    <t>Werte ür Grafik:</t>
  </si>
  <si>
    <t>DRVAusglBer</t>
  </si>
  <si>
    <t>GrafikSchalter</t>
  </si>
  <si>
    <t>Deutsche Rentenversicherung Nord (Mecklenburg-Vorpommern)</t>
  </si>
  <si>
    <t>Platanenstr. 43, 17033 Neubrandenburg</t>
  </si>
  <si>
    <t>Deutsche Rentenversicherung Mitteldeutschland (Thüringen)</t>
  </si>
  <si>
    <t>Kranichfelder Str. 3, 99097 Erfurt</t>
  </si>
  <si>
    <t>Deutsche Rentenversicherung Berlin-Brandenburg (Brandenburg)</t>
  </si>
  <si>
    <t>Knobelsdorffstraße 92, 14059 Berlin</t>
  </si>
  <si>
    <t>Deutsche Rentenversicherung Mitteldeutschland (Sachsen-Anhalt)</t>
  </si>
  <si>
    <t>Paracelsusstr. 21, 06114 Halle</t>
  </si>
  <si>
    <t>Deutsche Rentenversicherung Mitteldeutschland (Sachsen)</t>
  </si>
  <si>
    <t>Georg-Schumann-Straße 146, 4159 Leipzig</t>
  </si>
  <si>
    <t>Deutsche Rentenversicherung Braunschweig-Hannover (Hannover)</t>
  </si>
  <si>
    <t>Lange Weihe 2, 30880 Laatzen</t>
  </si>
  <si>
    <t>Deutsche Rentenversicherung Westfalen</t>
  </si>
  <si>
    <t>Gartenstr. 194, 48147 Münster</t>
  </si>
  <si>
    <t>Deutsche Rentenversicherung Hessen</t>
  </si>
  <si>
    <t>Städelstraße 28, 60596 Frankfurt/Main</t>
  </si>
  <si>
    <t>Deutsche Rentenversicherung Rheinland (Rheinprovinz)</t>
  </si>
  <si>
    <t>40194 Düsseldorf</t>
  </si>
  <si>
    <t>Deutsche Rentenversicherung Bayern Süd (Oberbayern)</t>
  </si>
  <si>
    <t>84024 Landshut</t>
  </si>
  <si>
    <t>Deutsche Rentenversicherung Bayern Süd (Niederbayern-Oberpfalz)</t>
  </si>
  <si>
    <t>81729 München</t>
  </si>
  <si>
    <t>Deutsche Rentenversicherung Rheinland-Pfalz</t>
  </si>
  <si>
    <t>Eichendorffstr. 4-6, 67346 Speyer</t>
  </si>
  <si>
    <t>Deutsche Rentenversicherung Saarland</t>
  </si>
  <si>
    <t>Martin-Luther-Str. 2-4. 66111 Saarbrücken</t>
  </si>
  <si>
    <t>Deutsche Rentenversicherung Nordbayern (Ober- und Mittelfranken)</t>
  </si>
  <si>
    <t>95440 Bayreuth</t>
  </si>
  <si>
    <t>Deutsche Rentenversicherung Nord (Hamburg)</t>
  </si>
  <si>
    <t>Friedrich-Ebert-Damm 245, 22159 Hamburg</t>
  </si>
  <si>
    <t>Deutsche Rentenversicherung Nordbayern (Unterfranken)</t>
  </si>
  <si>
    <t>Friedenstr. 12/14, 97072 Würzburg</t>
  </si>
  <si>
    <t>Deutsche Rentenversicherung Schwaben</t>
  </si>
  <si>
    <t>70429 Stuttgart</t>
  </si>
  <si>
    <t>Deutsche Rentenversicherung Baden-Württemberg (Württemberg)</t>
  </si>
  <si>
    <t>76122 Karlsruhe</t>
  </si>
  <si>
    <t>Deutsche Rentenversicherung Baden-Württemberg (Baden)</t>
  </si>
  <si>
    <t>Deutsche Rentenversicherung Berlin-Brandenburg (Berlin)</t>
  </si>
  <si>
    <t>Knobelsdorffstr. 92, 14059 Berlin</t>
  </si>
  <si>
    <t>Deutsche Rentenversicherung Nord (Schleswig-Holstein)</t>
  </si>
  <si>
    <t>Ziegelstr. 150, 23556 Lübeck</t>
  </si>
  <si>
    <t>Deutsche Rentenversicherung Oldenburg-Bremen</t>
  </si>
  <si>
    <t>Huntestr. 11, 26135 Oldenburg</t>
  </si>
  <si>
    <t>Deutsche Rentenversicherung Braunschweig-Hannover (Braunschweig)</t>
  </si>
  <si>
    <t>Kurt-Schumacher-Str. 20, 38120 Braunschweig</t>
  </si>
  <si>
    <t>Deutsche Rentenversicherung Knappschaft-Bahn-See (Wirtschaftsbereich Bahn)</t>
  </si>
  <si>
    <t>Pieperstraße 14 - 28, 44789 Bochum</t>
  </si>
  <si>
    <t>Deutsche Rentenversicherung Knappschaft-Bahn-See (Wirtschaftsbereich Seefahrt)</t>
  </si>
  <si>
    <t>Zentrale Zulagenstelle für Altersvermögen (Zulagenummer nach § 90 I 2 EStG)</t>
  </si>
  <si>
    <t>Deutsche Rentenversicherung Bund</t>
  </si>
  <si>
    <t>10704 Berlin</t>
  </si>
  <si>
    <t>Deutsche Rentenversicherung Knappschaft-Bahn-See (Berlin, Bremen, Hamburg, Niedersachsen, Westfalen und Schleswig-Holstein)</t>
  </si>
  <si>
    <t>Deutsche Rentenversicherung Knappschaft-Bahn-See (Hessen und Rheinprovinz)</t>
  </si>
  <si>
    <t>Deutsche Rentenversicherung Knappschaft-Bahn-See (Baden-Württemberg, Bayern, Rheinland-Pfalz und Saarland)</t>
  </si>
  <si>
    <t>Deutsche Rentenversicherung Knappschaft-Bahn-See (Brandenburg, Mecklenburg-Vorpommern, Sachsen-Anhalt, Sachsen und Thüringen)</t>
  </si>
  <si>
    <t>Ja</t>
  </si>
  <si>
    <t>Baden-Württemberg</t>
  </si>
  <si>
    <t>Landesbeamtenversorgungsgesetz Baden-Württemberg (LBeamtVGBW)</t>
  </si>
  <si>
    <t>§ 13</t>
  </si>
  <si>
    <t>nein</t>
  </si>
  <si>
    <t>Bayern</t>
  </si>
  <si>
    <t>Bayerisches Beamtenversorgungsgesetz (BayBeamtVG)</t>
  </si>
  <si>
    <t>Berlin</t>
  </si>
  <si>
    <t>Beamtenversorgungsgesetz 2006 mit landesrechtlichen Änderungen</t>
  </si>
  <si>
    <t>§ 57 BeamtVG</t>
  </si>
  <si>
    <t>ja</t>
  </si>
  <si>
    <t>Brandenburg</t>
  </si>
  <si>
    <t>Bremen</t>
  </si>
  <si>
    <t>Bremisches Beamtenversorgungsgesetz vom 23. Oktober 2007</t>
  </si>
  <si>
    <t>§ 7</t>
  </si>
  <si>
    <t>bis 31.12.2010</t>
  </si>
  <si>
    <t>Hamburg</t>
  </si>
  <si>
    <t>Hamburgisches Beamtenversorgungsgesetz (HmbBeamtVG) vom 26. Januar 2010</t>
  </si>
  <si>
    <t>§ 68</t>
  </si>
  <si>
    <t>Hessen</t>
  </si>
  <si>
    <t>Hessisches Beamtenversorgungsgesetzes (HBeamtVG) vom 28. Januar 2011</t>
  </si>
  <si>
    <t>§ 57</t>
  </si>
  <si>
    <t>Mecklenburg-Vorp.</t>
  </si>
  <si>
    <t>Niedersachsen</t>
  </si>
  <si>
    <t>Nordrhein-Westfalen</t>
  </si>
  <si>
    <t>ja bis 31.5.2013</t>
  </si>
  <si>
    <t>Rheinland-Pfalz</t>
  </si>
  <si>
    <t>Saarland</t>
  </si>
  <si>
    <t>Saarländisches Beamtenversorgungsgesetz (SBeamtVG) vom 14. Mai 2008</t>
  </si>
  <si>
    <t>Sachsen</t>
  </si>
  <si>
    <t>Sachsen-Anhalt</t>
  </si>
  <si>
    <t>Schleswig-Holstein</t>
  </si>
  <si>
    <t>Beamtenversorgungsgesetz Schleswig-Holstein - SHBeamtVG</t>
  </si>
  <si>
    <t>ja bis 28.2.2012</t>
  </si>
  <si>
    <t>Thüringen</t>
  </si>
  <si>
    <t>Pensionistenprivileg</t>
  </si>
  <si>
    <t>Altersrente</t>
  </si>
  <si>
    <t>Ausgleichswert</t>
  </si>
  <si>
    <t>Teilungsart</t>
  </si>
  <si>
    <t>Zielversorgung</t>
  </si>
  <si>
    <t>Bund</t>
  </si>
  <si>
    <t>Bundesbeamtenversorgungsgesetz</t>
  </si>
  <si>
    <t>Barwertvergleich BGH XII ZB 230/16</t>
  </si>
  <si>
    <t>Datum der Altentscheidung über den Versorgungsausgleich</t>
  </si>
  <si>
    <t>alt</t>
  </si>
  <si>
    <t>neu</t>
  </si>
  <si>
    <t>Ausgleichswert alt/neu</t>
  </si>
  <si>
    <t>Datum der Prüfung</t>
  </si>
  <si>
    <t>Abänderung möglich?</t>
  </si>
  <si>
    <t>Beamtenversorgung nach Altentscheidung / Neuauskunft</t>
  </si>
  <si>
    <t>dynamisierter Wert in Altentscheidung</t>
  </si>
  <si>
    <t>aktueller Rentenwert Ehezeitende</t>
  </si>
  <si>
    <t>aktueller Rentenwert Abänderungszeitpunkt</t>
  </si>
  <si>
    <t xml:space="preserve">Betriebliche &amp; private Altersversorgung, § 51 Abs. 3 VersAusglG </t>
  </si>
  <si>
    <t>wurde bezügl. dieser Versorgung der sVA vorbehalten?</t>
  </si>
  <si>
    <t>Differenz des Ausgleichswerts</t>
  </si>
  <si>
    <t>Deutsche Rentenversicherung DRV</t>
  </si>
  <si>
    <t>Ost:</t>
  </si>
  <si>
    <t>absWGrenze</t>
  </si>
  <si>
    <t>akt.Veränderung ca.:</t>
  </si>
  <si>
    <t>Barwert der Alters-Rentenleistung im Berechnungszeitpunkt</t>
  </si>
  <si>
    <r>
      <t xml:space="preserve">Zuschlag an </t>
    </r>
    <r>
      <rPr>
        <b/>
        <sz val="11"/>
        <color theme="1"/>
        <rFont val="Arial"/>
        <family val="2"/>
      </rPr>
      <t>EP</t>
    </r>
    <r>
      <rPr>
        <sz val="11"/>
        <color theme="1"/>
        <rFont val="Arial"/>
        <family val="2"/>
      </rPr>
      <t xml:space="preserve"> für vor 1992 geborene Kinder (Mütterrente I + II)</t>
    </r>
  </si>
  <si>
    <t>Deutsche Rentenversicherung</t>
  </si>
  <si>
    <t>berufsständische Versorgung</t>
  </si>
  <si>
    <t>Altentscheidung</t>
  </si>
  <si>
    <t>Ausgleich</t>
  </si>
  <si>
    <t>Sonstige 3</t>
  </si>
  <si>
    <t>Sonstige 4</t>
  </si>
  <si>
    <t>Stammdaten</t>
  </si>
  <si>
    <t>Prüfung einzelner Versorgungen</t>
  </si>
  <si>
    <r>
      <t xml:space="preserve">mindestens 2% der mon. Bezugsgröße bei Antragstellung </t>
    </r>
    <r>
      <rPr>
        <sz val="8"/>
        <color theme="1"/>
        <rFont val="Arial"/>
        <family val="2"/>
      </rPr>
      <t>(§ 51 III S. 3 VersAusglG)</t>
    </r>
  </si>
  <si>
    <t>Abweichung des Barwerts der in der alternativen Versorgung erzielbaren Renenleistung</t>
  </si>
  <si>
    <t>Barwert der Versorgung in alternativer Zielversorgung im Berechnungszeitpunkt</t>
  </si>
  <si>
    <t>Jahre</t>
  </si>
  <si>
    <t>berufsstd. Versorgung</t>
  </si>
  <si>
    <t xml:space="preserve">Zuschlag für Invaliditäts- und Hinterbliebenenversorgung in %  </t>
  </si>
  <si>
    <t>ist einer der Ehegatten bereits oder in 12 Monaten Rentenbezieher</t>
  </si>
  <si>
    <t>Inhalt: gewünschtes Ziel anklicken</t>
  </si>
  <si>
    <t>Ausgleichswert im Ehezeitende</t>
  </si>
  <si>
    <t>Entscheidungsdatum</t>
  </si>
  <si>
    <t>keine Zinsen</t>
  </si>
  <si>
    <t>Umrechnungsfaktor im Ehezeitende</t>
  </si>
  <si>
    <t>aktueller Rentenwert im EzE</t>
  </si>
  <si>
    <t>BilMoG-7-Zins</t>
  </si>
  <si>
    <t>abweichender Zinssatz des Versorgungsträgers</t>
  </si>
  <si>
    <t>Versorgungserwerb in ges. Rentenversicherung (DRV)
aus einem Ausgleichswert mit und ohne Zinsen (§ 76 SGB VI)</t>
  </si>
  <si>
    <t>Darstellung der Berechnung:</t>
  </si>
  <si>
    <t>Ausgleichswert (Kapitalwert)</t>
  </si>
  <si>
    <t>KV</t>
  </si>
  <si>
    <t>PV</t>
  </si>
  <si>
    <t>sVAEP_Ost</t>
  </si>
  <si>
    <t>KV-Zusatz</t>
  </si>
  <si>
    <t>Ehezeitende eingeben</t>
  </si>
  <si>
    <t>SVAbgaben</t>
  </si>
  <si>
    <t>Nominalwert des ehezeitl. Versorgungserwerbs in der Altentscheidung</t>
  </si>
  <si>
    <t>Barwert</t>
  </si>
  <si>
    <t>Kosten pro € Rente</t>
  </si>
  <si>
    <t>Anteil</t>
  </si>
  <si>
    <t>gemittelter Barwert</t>
  </si>
  <si>
    <t>VerglVers</t>
  </si>
  <si>
    <t>Angezeigt wird der Versorgungserwerb in der DRV aus dem Ausglwert in der DRV bei Beitragszahlung im EzE (linke Sp.) und deren Entwicklung bis Entscheidungsdatum, sowie bei Verzinsung zwischen EzE und Entscheidung (mi) und bei Aufzinsung (re)</t>
  </si>
  <si>
    <t>VersAusglBer1</t>
  </si>
  <si>
    <t>VersAusglBer2</t>
  </si>
  <si>
    <t>AusgBer Vers 2</t>
  </si>
  <si>
    <t>AusgBer Vers 3</t>
  </si>
  <si>
    <t>AusgBer Vers 4</t>
  </si>
  <si>
    <t>Pflichtiger</t>
  </si>
  <si>
    <t>Berechtigter</t>
  </si>
  <si>
    <t>Umrechnungsfaktor 2009</t>
  </si>
  <si>
    <t>aktRW 2009</t>
  </si>
  <si>
    <t>Korrespondierender Kapitalwert</t>
  </si>
  <si>
    <t>Faktor</t>
  </si>
  <si>
    <t>Wertunterschied</t>
  </si>
  <si>
    <t>Wertdifferenz</t>
  </si>
  <si>
    <t>Ausgleich 2009</t>
  </si>
  <si>
    <t>Rente nach Ausgleich:</t>
  </si>
  <si>
    <t>errechneter Kapitalwert</t>
  </si>
  <si>
    <t>Rentenminus / Rentenplus: 
17.957 / (104805 / 300)</t>
  </si>
  <si>
    <r>
      <t>Renten +/-:</t>
    </r>
    <r>
      <rPr>
        <sz val="8"/>
        <color theme="1"/>
        <rFont val="Arial"/>
        <family val="2"/>
      </rPr>
      <t xml:space="preserve"> -6.662,43 / 6.144,9210 x 27,20</t>
    </r>
  </si>
  <si>
    <t>ausgleichsbe-rechtigte Person</t>
  </si>
  <si>
    <t>ausgleichspflich-tige Person</t>
  </si>
  <si>
    <t>Unisex</t>
  </si>
  <si>
    <t>l y</t>
  </si>
  <si>
    <t xml:space="preserve"> ey</t>
  </si>
  <si>
    <t>ld</t>
  </si>
  <si>
    <t xml:space="preserve"> ed</t>
  </si>
  <si>
    <t>Periodensterbetafel Deutschland 2018 / 2020</t>
  </si>
  <si>
    <t>Tabelle zur Bestimmung des Rentenvolumens aus einer Rente von 1 € 
im Alter …. 
bei Annahme einer Dynamik in Anwartschafts- und Leistungsstadium in Höhe von … %</t>
  </si>
  <si>
    <t>Renteneintrittsalter:</t>
  </si>
  <si>
    <t>Geschlecht m/w/d:</t>
  </si>
  <si>
    <t>Berechnung f. Tabelle</t>
  </si>
  <si>
    <t>Geburtsdatum:</t>
  </si>
  <si>
    <t>LxPerioden</t>
  </si>
  <si>
    <t>LxGenerationen</t>
  </si>
  <si>
    <t>Bei fehlendem Geburtsdatum wird die Leistungszeit aus der Periodensterbetafel, anderenfalls aus der Generationensterbetafel bestimmt</t>
  </si>
  <si>
    <t>Höhe der Rente</t>
  </si>
  <si>
    <t>Das Rentenvolumen, also die Summe der zuerwartenden Rentenleistungen errechnet sich aus der Multiplikation der monatlichen Rentenzahlung mit dem auszulesenden Multiplikationsfaktor</t>
  </si>
  <si>
    <t>KeineInvaliditätinDRV</t>
  </si>
  <si>
    <t>Barwertbergleich</t>
  </si>
  <si>
    <r>
      <rPr>
        <b/>
        <sz val="11"/>
        <color theme="4" tint="-0.249977111117893"/>
        <rFont val="Arial"/>
        <family val="2"/>
      </rPr>
      <t>Männer</t>
    </r>
    <r>
      <rPr>
        <b/>
        <sz val="11"/>
        <color rgb="FFFF0000"/>
        <rFont val="Arial"/>
        <family val="2"/>
      </rPr>
      <t xml:space="preserve"> mit</t>
    </r>
    <r>
      <rPr>
        <sz val="11"/>
        <color theme="1"/>
        <rFont val="Arial"/>
        <family val="2"/>
      </rPr>
      <t xml:space="preserve"> Einschluss von Erwerbsminderungsrente</t>
    </r>
  </si>
  <si>
    <r>
      <rPr>
        <b/>
        <sz val="11"/>
        <color theme="4" tint="-0.249977111117893"/>
        <rFont val="Arial"/>
        <family val="2"/>
      </rPr>
      <t>Männer</t>
    </r>
    <r>
      <rPr>
        <sz val="11"/>
        <color theme="1"/>
        <rFont val="Arial"/>
        <family val="2"/>
      </rPr>
      <t xml:space="preserve"> </t>
    </r>
    <r>
      <rPr>
        <b/>
        <sz val="11"/>
        <color rgb="FFFF0000"/>
        <rFont val="Arial"/>
        <family val="2"/>
      </rPr>
      <t>ohne</t>
    </r>
    <r>
      <rPr>
        <sz val="11"/>
        <color theme="1"/>
        <rFont val="Arial"/>
        <family val="2"/>
      </rPr>
      <t xml:space="preserve"> Einschluss von Erwerbsminderungsrente</t>
    </r>
  </si>
  <si>
    <r>
      <rPr>
        <b/>
        <sz val="11"/>
        <color rgb="FFFF0000"/>
        <rFont val="Arial"/>
        <family val="2"/>
      </rPr>
      <t>Frauen</t>
    </r>
    <r>
      <rPr>
        <sz val="11"/>
        <color theme="1"/>
        <rFont val="Arial"/>
        <family val="2"/>
      </rPr>
      <t xml:space="preserve"> </t>
    </r>
    <r>
      <rPr>
        <b/>
        <sz val="11"/>
        <color rgb="FFFF0000"/>
        <rFont val="Arial"/>
        <family val="2"/>
      </rPr>
      <t>ohne</t>
    </r>
    <r>
      <rPr>
        <sz val="11"/>
        <color theme="1"/>
        <rFont val="Arial"/>
        <family val="2"/>
      </rPr>
      <t xml:space="preserve"> Einschluss von Erwerbsminderungsrente</t>
    </r>
  </si>
  <si>
    <r>
      <rPr>
        <b/>
        <sz val="11"/>
        <color rgb="FFFF0000"/>
        <rFont val="Arial"/>
        <family val="2"/>
      </rPr>
      <t>Frauen mit</t>
    </r>
    <r>
      <rPr>
        <sz val="11"/>
        <color theme="1"/>
        <rFont val="Arial"/>
        <family val="2"/>
      </rPr>
      <t xml:space="preserve"> Einschluss von Erwerbsminderungsrente</t>
    </r>
  </si>
  <si>
    <r>
      <rPr>
        <b/>
        <sz val="11"/>
        <color rgb="FFFF0000"/>
        <rFont val="Arial"/>
        <family val="2"/>
      </rPr>
      <t>Frauen</t>
    </r>
    <r>
      <rPr>
        <sz val="11"/>
        <color theme="1"/>
        <rFont val="Arial"/>
        <family val="2"/>
      </rPr>
      <t xml:space="preserve"> VersAusglK vs. Interne Teilung</t>
    </r>
  </si>
  <si>
    <r>
      <rPr>
        <b/>
        <sz val="11"/>
        <color theme="4" tint="-0.249977111117893"/>
        <rFont val="Arial"/>
        <family val="2"/>
      </rPr>
      <t>Männe</t>
    </r>
    <r>
      <rPr>
        <sz val="11"/>
        <color theme="1"/>
        <rFont val="Arial"/>
        <family val="2"/>
      </rPr>
      <t>r VersAusglK vs. Interne Teilung</t>
    </r>
  </si>
  <si>
    <t>Barwertvergleich</t>
  </si>
  <si>
    <t>DFGT-Adäquanzprüfung</t>
  </si>
  <si>
    <t>Tabelle:</t>
  </si>
  <si>
    <t>TabellenAuswahlDRV</t>
  </si>
  <si>
    <t>Spalte</t>
  </si>
  <si>
    <t>Rückspalte</t>
  </si>
  <si>
    <t>TabellenKonformerZins</t>
  </si>
  <si>
    <t>AW-Dyn.</t>
  </si>
  <si>
    <t>geboren</t>
  </si>
  <si>
    <t>ReZins</t>
  </si>
  <si>
    <t>ReEintritt</t>
  </si>
  <si>
    <t>LxabRente_Alter</t>
  </si>
  <si>
    <t xml:space="preserve">Mann </t>
  </si>
  <si>
    <t>L-Dyn.</t>
  </si>
  <si>
    <r>
      <t>Bitte alle Werte</t>
    </r>
    <r>
      <rPr>
        <b/>
        <u/>
        <sz val="11"/>
        <rFont val="Arial"/>
        <family val="2"/>
      </rPr>
      <t xml:space="preserve"> auf Ehezeitende</t>
    </r>
    <r>
      <rPr>
        <sz val="11"/>
        <rFont val="Arial"/>
        <family val="2"/>
      </rPr>
      <t xml:space="preserve"> eingeben!</t>
    </r>
  </si>
  <si>
    <t>Zinsstaffel</t>
  </si>
  <si>
    <t>Alter aus Tabelle;</t>
  </si>
  <si>
    <t>Altersstaffel</t>
  </si>
  <si>
    <t>Alter + 1 Tabstufe</t>
  </si>
  <si>
    <t>Rentnerfälle</t>
  </si>
  <si>
    <t>Rentner?</t>
  </si>
  <si>
    <t>Spalten</t>
  </si>
  <si>
    <t>Abänderungssituation</t>
  </si>
  <si>
    <t>Ehezeitende (EzE)</t>
  </si>
  <si>
    <t>DRV KV-Zuschuss</t>
  </si>
  <si>
    <t>Hilfreiche Adressen im WWW</t>
  </si>
  <si>
    <t>Versorgungsausgleichskasse - Rechner</t>
  </si>
  <si>
    <t>ges. Beitragssatz Krankenversicherung:</t>
  </si>
  <si>
    <t>Generationensterbetafeln DESTATIS</t>
  </si>
  <si>
    <t>Periodensterbetafeln 2018/2020 DESTATIS</t>
  </si>
  <si>
    <r>
      <rPr>
        <b/>
        <u/>
        <sz val="11"/>
        <color indexed="12"/>
        <rFont val="Arial"/>
        <family val="2"/>
      </rPr>
      <t>FamRB-Podcast</t>
    </r>
    <r>
      <rPr>
        <u/>
        <sz val="11"/>
        <color indexed="12"/>
        <rFont val="Arial"/>
        <family val="2"/>
      </rPr>
      <t xml:space="preserve"> rund um das FamR</t>
    </r>
  </si>
  <si>
    <t>Email an RA Hauß</t>
  </si>
  <si>
    <t>Tabelle BMF zur Bewertung lebenslanger Nutzungen</t>
  </si>
  <si>
    <t xml:space="preserve">                 FamRB / Rechenhilfen &amp; Blog</t>
  </si>
  <si>
    <t>Name der Versicherung</t>
  </si>
  <si>
    <t>Fundstelle</t>
  </si>
  <si>
    <t>Bemerkung</t>
  </si>
  <si>
    <t>Hamburger Pensionskasse</t>
  </si>
  <si>
    <t>§ 25</t>
  </si>
  <si>
    <t>Rechtsprechung</t>
  </si>
  <si>
    <t>R+V ebensversicherung AG</t>
  </si>
  <si>
    <t>Ziff. 5, 6. Spiegelstr.</t>
  </si>
  <si>
    <t>ERGO</t>
  </si>
  <si>
    <t>Ziff. 5</t>
  </si>
  <si>
    <t>Internet</t>
  </si>
  <si>
    <t>AVB-F (hpv-versorgungsausgleich.de)</t>
  </si>
  <si>
    <t>Teilungsordnung_Januar_2021.pdf (union-investment.de)</t>
  </si>
  <si>
    <t>RVL_AG_TO_20200301.pdf (ruv.de)</t>
  </si>
  <si>
    <t>Deutsche Bank</t>
  </si>
  <si>
    <t>Ziff. 5.2.2.1.</t>
  </si>
  <si>
    <t>Microsoft Word - 72-337-0617.docx (sparkassenversicherung.de)</t>
  </si>
  <si>
    <t>Ziff. IV.1. 2. SpStrich;
IV.4. 2.SpStrich</t>
  </si>
  <si>
    <t>OLG FfM 1 UF 437/12</t>
  </si>
  <si>
    <t>LVM Versicherung</t>
  </si>
  <si>
    <t>081-teilungsordnung-lebensversicherung-rentenversicherung-l272.pdf (lvm.de)</t>
  </si>
  <si>
    <t>Ziff. 5.3)</t>
  </si>
  <si>
    <t>Microsoft Word - Teilungsordnung PNWL (Stand 01.2022) (provinzial.de)</t>
  </si>
  <si>
    <t>Ziff. IV.1. 6. SpStrich</t>
  </si>
  <si>
    <t>PB Lebensversicherung AG</t>
  </si>
  <si>
    <t>Ziff. 5 3. SpStrich</t>
  </si>
  <si>
    <t>Microsoft Word - Teilungsordnung_PB_2017-01-01 (pb-versicherung.de)</t>
  </si>
  <si>
    <t>Swiss Life AG</t>
  </si>
  <si>
    <t>[PDF] Stand: Swiss Life AG, Niederlassung für Deutschland (im Folgenden: Swiss Life AG) Teilungsordnung zum Versorgungsausgleich - Free Download PDF (silo.tips)</t>
  </si>
  <si>
    <t>Allianz Lebensversicherung AG</t>
  </si>
  <si>
    <t>Ziff. 5 gg)</t>
  </si>
  <si>
    <t>TO-KR-KLAS_2012-12-01_abgestimmt.doc (allianz.de)</t>
  </si>
  <si>
    <t>Neue Leben</t>
  </si>
  <si>
    <t>Ziff. 6. 3.SpStrich</t>
  </si>
  <si>
    <t>Ordnung für die interne Teilung von Lebensversicherungen aufgrund des Ge-setzes zur Strukturreform des Versorgungsausgleichs (Teilungsordnung) (neueleben.de)</t>
  </si>
  <si>
    <t>Versorgungsanstalt der Kaminkehrergesellen</t>
  </si>
  <si>
    <t>Pensionskasse des Schornsteinfegerhandwerks</t>
  </si>
  <si>
    <t>Satzung 2017.pdf</t>
  </si>
  <si>
    <t>§ 27</t>
  </si>
  <si>
    <t>§ 28</t>
  </si>
  <si>
    <t>Nestlé PK Tarif Vorsorgekonto</t>
  </si>
  <si>
    <t>Teilungsordnung</t>
  </si>
  <si>
    <t>Nestlé PK Tarif Baustein L</t>
  </si>
  <si>
    <t>Link zur Rechtsdatensammlung der DRV</t>
  </si>
  <si>
    <t>Tenorierungsvorschlag:</t>
  </si>
  <si>
    <t>Haftungsausschluss: Autor übernimmt keine Haftung für das gefundene Ergebnis</t>
  </si>
  <si>
    <t>divers</t>
  </si>
  <si>
    <t>rvRecht - Rechtsportal der DRV</t>
  </si>
  <si>
    <t>AktRWEZE</t>
  </si>
  <si>
    <t>HUK-Coburg</t>
  </si>
  <si>
    <t>AXA Leben</t>
  </si>
  <si>
    <t>Invaliditätsquote</t>
  </si>
  <si>
    <t>Hinterbliebenenquote</t>
  </si>
  <si>
    <t>OLG Schleswig FamRZ 2014, 1113; OLG Stuttgart, Beschluss vom 31.10.2014 - 15 UF 113/14</t>
  </si>
  <si>
    <t>Metall-Rente</t>
  </si>
  <si>
    <t>§ 5 2.c)</t>
  </si>
  <si>
    <t>Teilungsordnung _Direkt und private AV (volkswohl-bund.de)</t>
  </si>
  <si>
    <t>PB Pensionsfonds</t>
  </si>
  <si>
    <t>5.2. SpStrich</t>
  </si>
  <si>
    <t>https://docplayer.org/69783120-Ordnung-fuer-die-interne-und-externe-teilung-von-versorgungszusagen-aufgrund-des-versorgungsausgleichsgesetzes-teilungsordnung.html</t>
  </si>
  <si>
    <t>§ 6 (1) 3.SpStrich</t>
  </si>
  <si>
    <t>Stand: November Swiss Life AG Teilungsordnung zum Versorgungsausgleich. Inhaltsverzeichnis: Präambel. 1. Anwendungsbereich - PDF Kostenfreier Download (docplayer.org)</t>
  </si>
  <si>
    <t>SelbstHilfe PK Caritas</t>
  </si>
  <si>
    <t>§ 6 2.SpStrich</t>
  </si>
  <si>
    <t>Besondere Versicherungsbedingungen. Teilungsordnung - PDF Free Download (docplayer.org)</t>
  </si>
  <si>
    <t>Zurich Deutscher Herold</t>
  </si>
  <si>
    <t>§ 4 Abs. 2</t>
  </si>
  <si>
    <t>(Teilungsordnung) Versorgungsträger: Zurich Deutscher Herold überbetriebliche Unterstützungskasse e.v. (ZDHUK) 1 Anwendungsbereich - PDF Free Download (docplayer.org)</t>
  </si>
  <si>
    <t>Delta Lloyd Pensionskasse</t>
  </si>
  <si>
    <t>Delta Lloyd Lebensversicherung</t>
  </si>
  <si>
    <t>Hamburger Lebensversicherung AG</t>
  </si>
  <si>
    <t>5.1. Abs.3</t>
  </si>
  <si>
    <t>Tätigkeitsplan für die Teilung von Lebensversicherungen auf Grundlage des Gesetzes zur Strukturreform des Versorgungsausgleichs (Teilungsordnung) - PDF Kostenfreier Download (docplayer.org)</t>
  </si>
  <si>
    <t>5.c)aa)</t>
  </si>
  <si>
    <t>https://docplayer.org/7825648-Ordnung-fuer-die-teilung-von-lebensversicherungen-aufgrund-des-gesetzes-ueber-den-versorgungsausgleich-teilungsordnung-in-der-fassung-vom-01-09.html</t>
  </si>
  <si>
    <t>DAG Stiftung Ruhegehaltskasse</t>
  </si>
  <si>
    <t>§ 5</t>
  </si>
  <si>
    <t>Teilungsordnung. Inhaltsverzeichnis. Vorwort. 1 Anwendungsbereich. 2 Form des Versorgungsausgleichs. 3 Bestimmung des Ausgleichswertes - PDF Kostenfreier Download (docplayer.org)</t>
  </si>
  <si>
    <t>Unilever</t>
  </si>
  <si>
    <t>III. C.</t>
  </si>
  <si>
    <t>TEILUNGSORDNUNG DER UNILEVER DEUTSCHLAND GRUPPE (STAND ) - PDF Kostenfreier Download (docplayer.org)</t>
  </si>
  <si>
    <t>5.(2)</t>
  </si>
  <si>
    <t>Ordnung für die. interne und externe Teilung. von Lebensversicherungsverträgen. aufgrund des. Gesetzes über den Versorgungsausgleich - PDF Free Download (docplayer.org)</t>
  </si>
  <si>
    <t>Targo Lebensversicherung AG</t>
  </si>
  <si>
    <t>HDI Pensionskasse</t>
  </si>
  <si>
    <t>5. 3. SpStrich</t>
  </si>
  <si>
    <t>HDI Pensionskasse AG PBPK-Bestandssegment - PDF Free Download (docplayer.org)</t>
  </si>
  <si>
    <t>7. Abs. 1</t>
  </si>
  <si>
    <t>Richtlinie. zum Versorgungsausgleich gemäß 58a Abs. 1 VAPS. Richtl VersAusgl. der Versorgungsanstalt der Deutschen Bundespost - PDF Free Download (docplayer.org)</t>
  </si>
  <si>
    <t>Versorgungsanstalt der Deutschen Bundespost</t>
  </si>
  <si>
    <t>Presse-Versorgung (Allianz)</t>
  </si>
  <si>
    <t>Allianz Lebensversicherungs-AG Vertragsgesellschaft der Presse-Versorgung - PDF Free Download (docplayer.org)</t>
  </si>
  <si>
    <t>Freies Versorgungswerk e.V.</t>
  </si>
  <si>
    <t>§ 4 Abs. 4 i.V.m. § 3 Abs. 4</t>
  </si>
  <si>
    <t>TO FVW LZ01012012.doc (allianz.de)</t>
  </si>
  <si>
    <t xml:space="preserve">Continental </t>
  </si>
  <si>
    <t>OLG FfM 4 UF 49/17</t>
  </si>
  <si>
    <t>5.3. SpStich</t>
  </si>
  <si>
    <t>PensionsSicherungsVerein PSV</t>
  </si>
  <si>
    <t>4.2.</t>
  </si>
  <si>
    <t>Teilungsordnung des PSVaG aufgrund des Gesetzes zur Strukturreform des Versorgungsausgleichs für Versorgungsverpflichtungen</t>
  </si>
  <si>
    <t>Provinzial LV Hannover</t>
  </si>
  <si>
    <t>Ziff. IV.1. 3. SpStrich</t>
  </si>
  <si>
    <t>Microsoft Word - Teilungsordnung_PH_01.05.2016.doc (vgh.de)</t>
  </si>
  <si>
    <t>DWS Investment</t>
  </si>
  <si>
    <t>5. Abs. 1</t>
  </si>
  <si>
    <t>https://www.dws.de/de-DE/AssetDownload/Index/?filename=Teilungsordnung DWS Investment GmbH 2022 06.pdf&amp;assetGuid=52ca4b21-2d03-4c79-9442-da45c9531d53&amp;source=DWS</t>
  </si>
  <si>
    <t>Anzahl "Nein"</t>
  </si>
  <si>
    <t>Anzahl "Ja"</t>
  </si>
  <si>
    <t>15 UF 188/19 | Schleswig-Holsteinisches Oberlandesgericht</t>
  </si>
  <si>
    <t>5 c) aa)</t>
  </si>
  <si>
    <t xml:space="preserve">OLG FfM - 4 UF 86/17 - </t>
  </si>
  <si>
    <t>Zur Auswahl auf Pfeil klicken</t>
  </si>
  <si>
    <t>Allianz Lebensversicherung AG (Klinik-Rente)</t>
  </si>
  <si>
    <t>VolkswohlBund</t>
  </si>
  <si>
    <t>Secunda Unterstützungskasse für den Mittelstand</t>
  </si>
  <si>
    <t>§ 6 Abs. 3</t>
  </si>
  <si>
    <t>Teilungsordnung U-Kassen_boLz (volkswohl-bund.de)</t>
  </si>
  <si>
    <t>Ziff. 5.3.</t>
  </si>
  <si>
    <t>Ziff. 5.3</t>
  </si>
  <si>
    <t>Ziff. 5 a)</t>
  </si>
  <si>
    <t>real_Group_Holding_GmbH</t>
  </si>
  <si>
    <t>Ziff.5.3.</t>
  </si>
  <si>
    <t>DINEA_Gastronomie_GmbH</t>
  </si>
  <si>
    <t>§ 5.3.</t>
  </si>
  <si>
    <t>5.3.</t>
  </si>
  <si>
    <t>real_SB_Warenhaus_GmbH</t>
  </si>
  <si>
    <t>METRO_AG_EPP_FPP</t>
  </si>
  <si>
    <t>Versorgungswerk der Wohnungswirtschaft (VDW)</t>
  </si>
  <si>
    <t>Hamburger Unterstützungskasse HUK</t>
  </si>
  <si>
    <t>Hamburger Unterstützungskasse HUK Nr. 1</t>
  </si>
  <si>
    <t>Hamburger Unterstützungskasse HUK Nr. 2</t>
  </si>
  <si>
    <t>Deutsche Fertighaus Holding UK DFH</t>
  </si>
  <si>
    <t>Marktkauf Gruppen-Unterstützungskasse e.V.</t>
  </si>
  <si>
    <t>Hamburger Pensionsunterstützungskasse e.V.</t>
  </si>
  <si>
    <t>COOP Schleswig Holstein Rentenzuschusskasse</t>
  </si>
  <si>
    <t>REWE Unterstützungskasse e.V.</t>
  </si>
  <si>
    <t>BKK Mobil Oil</t>
  </si>
  <si>
    <t>BKK VBU kongruent</t>
  </si>
  <si>
    <t>BKK VBU partiell</t>
  </si>
  <si>
    <t>5,3.</t>
  </si>
  <si>
    <t>5.4.</t>
  </si>
  <si>
    <t>Netto_Direktzusagen</t>
  </si>
  <si>
    <t>Real Unterstützungskasse</t>
  </si>
  <si>
    <t>METRO_AG_ASKO</t>
  </si>
  <si>
    <t>COOP eG Gesamr Versorgungsrichtlinie</t>
  </si>
  <si>
    <t>EDEKA Süd</t>
  </si>
  <si>
    <t>EDEKA Südwest</t>
  </si>
  <si>
    <t>Nordsee GmbH</t>
  </si>
  <si>
    <t>Homann Feinkost GmbH</t>
  </si>
  <si>
    <t>IGLO GmbH</t>
  </si>
  <si>
    <t>Edelweiss GmbH &amp; Co KG (EVO)</t>
  </si>
  <si>
    <t>Edelweiss GmbH &amp; Co KG (UVO)</t>
  </si>
  <si>
    <t>Deutsche See</t>
  </si>
  <si>
    <t>Boge Elastmetall Unterstützungskasse e.V.</t>
  </si>
  <si>
    <t>EDEKA Zentrale Handel und Produktion GmbH</t>
  </si>
  <si>
    <t>EDEKA Handelsgesellschaft Nordbayern-Sachsen-Thüringen mbH</t>
  </si>
  <si>
    <t>EKN Betriebs AG &amp; Co. oHG: Direktzusagen</t>
  </si>
  <si>
    <t>EDEKA Rhein-Ruhr R11 R12</t>
  </si>
  <si>
    <t>KKH - Teilungsregeln für den Versorgungsausgleich</t>
  </si>
  <si>
    <t>5.2.1.</t>
  </si>
  <si>
    <t>Unterlagen für Familiengerichte zur Berechnung des Versorgungsausgleichs (hpv-versorgungsausgleich.de)</t>
  </si>
  <si>
    <r>
      <t xml:space="preserve">Hamburger Pensionskasse, </t>
    </r>
    <r>
      <rPr>
        <b/>
        <sz val="11"/>
        <color theme="1"/>
        <rFont val="Arial"/>
        <family val="2"/>
      </rPr>
      <t>Benutzername</t>
    </r>
    <r>
      <rPr>
        <sz val="11"/>
        <color theme="1"/>
        <rFont val="Arial"/>
        <family val="2"/>
      </rPr>
      <t xml:space="preserve">: versorg , </t>
    </r>
    <r>
      <rPr>
        <b/>
        <sz val="11"/>
        <color theme="1"/>
        <rFont val="Arial"/>
        <family val="2"/>
      </rPr>
      <t>Passwort</t>
    </r>
    <r>
      <rPr>
        <sz val="11"/>
        <color theme="1"/>
        <rFont val="Arial"/>
        <family val="2"/>
      </rPr>
      <t>: pension</t>
    </r>
  </si>
  <si>
    <t>Kapital in €</t>
  </si>
  <si>
    <t>Rente in €</t>
  </si>
  <si>
    <r>
      <t>Betriebliche, berufsständische und private Altersversorgung</t>
    </r>
    <r>
      <rPr>
        <sz val="13"/>
        <color theme="1"/>
        <rFont val="Arial"/>
        <family val="2"/>
      </rPr>
      <t xml:space="preserve"> (BarwertVO-Problem)</t>
    </r>
  </si>
  <si>
    <t>coming soon: Adäquanzprüfung nach Versorgungsausgleichskommission des DFGT, FamRZ 2022, 154</t>
  </si>
  <si>
    <t>4.3.</t>
  </si>
  <si>
    <t>Bewertungszeitpunkt EzE - Umrechnungszeitpunkt RK = Ausgleichswert muss verzinst werden!</t>
  </si>
  <si>
    <t>Jahreswerte der Vers. Der ausglber. Person 2-3</t>
  </si>
  <si>
    <t>Alter der ausglber. Person</t>
  </si>
  <si>
    <t>Rentenerwartung im Ehezeitende</t>
  </si>
  <si>
    <t>Endalter nach Sterbetafel DESTATIS (stat. Bundesamt)</t>
  </si>
  <si>
    <t>Leistungszeit ab Renteneintritt</t>
  </si>
  <si>
    <t>Hinterbliebenen- und Invaliditätszuschlag</t>
  </si>
  <si>
    <t xml:space="preserve">Gothaer Lebensversicherung AG </t>
  </si>
  <si>
    <t>Ziff. 5., 4. Spstrich</t>
  </si>
  <si>
    <t>Tage</t>
  </si>
  <si>
    <t>Monate</t>
  </si>
  <si>
    <t>TeilzeitFaktor</t>
  </si>
  <si>
    <t>Renten-Barwert ausglber. Person in DRV</t>
  </si>
  <si>
    <t>Rentenerwartung in DRV</t>
  </si>
  <si>
    <t>Zuschlag HR + IR</t>
  </si>
  <si>
    <t>Renten-Barwert ausglber. Person in Quellversorgung</t>
  </si>
  <si>
    <t>â</t>
  </si>
  <si>
    <t>VPI-10</t>
  </si>
  <si>
    <t>Ø</t>
  </si>
  <si>
    <t>DRV_10</t>
  </si>
  <si>
    <t>Provinzial Düsseldorf</t>
  </si>
  <si>
    <t>Ziff. IV Abs. 1</t>
  </si>
  <si>
    <t>leben-u-rente_alle-produkte_angaben-provinzial-teilungsordnung_pr-lebensversicherung.pdf</t>
  </si>
  <si>
    <t>Anwendung des bis zum 31.08.2009 geltenden Rechts?</t>
  </si>
  <si>
    <t>QVersJa</t>
  </si>
  <si>
    <t>Barwertdifferenz zur Quellversorgung in %</t>
  </si>
  <si>
    <r>
      <t>alternat. Rezins</t>
    </r>
    <r>
      <rPr>
        <sz val="8"/>
        <color theme="1"/>
        <rFont val="Calibri"/>
        <family val="2"/>
      </rPr>
      <t>↓</t>
    </r>
  </si>
  <si>
    <t>Rente in DRV</t>
  </si>
  <si>
    <t>Beitrag in DRV</t>
  </si>
  <si>
    <t>Barwerte</t>
  </si>
  <si>
    <t>Q-V</t>
  </si>
  <si>
    <t>Ziel: Barwertgleiche</t>
  </si>
  <si>
    <t>aus Auskunft</t>
  </si>
  <si>
    <t>berechnet</t>
  </si>
  <si>
    <t>Der Autor übernimmt keine Haftung für die gefundenen Ergebnisse.
© Rechtsanwalt Jörn Hauß, Vom-Rath-Str. 10, 47051 Duisburg, Tel: 0203/286870</t>
  </si>
  <si>
    <t>Mail an Rechtsanwalt Hauß: Hauss@Anwaelte-DU.de</t>
  </si>
  <si>
    <t>Fallbezeichnung</t>
  </si>
  <si>
    <t>Mail an Rechtsanwalt Hauß</t>
  </si>
  <si>
    <t>alternat. Ges.Rentenalter</t>
  </si>
  <si>
    <t>≙</t>
  </si>
  <si>
    <t>∑</t>
  </si>
  <si>
    <r>
      <t xml:space="preserve">Unterhaltspfl. Person </t>
    </r>
    <r>
      <rPr>
        <sz val="8"/>
        <color theme="1"/>
        <rFont val="Arial"/>
        <family val="2"/>
      </rPr>
      <t>(Versorgungsbezieher)</t>
    </r>
  </si>
  <si>
    <r>
      <t xml:space="preserve">Unterhaltsber. Person 
</t>
    </r>
    <r>
      <rPr>
        <sz val="8"/>
        <color theme="1"/>
        <rFont val="Arial"/>
        <family val="2"/>
      </rPr>
      <t>(kein Versorgungsbezieher)</t>
    </r>
  </si>
  <si>
    <t>vom Versorgungsträger mitgeteilter Ausgleichswert</t>
  </si>
  <si>
    <t>E_Rentenalter</t>
  </si>
  <si>
    <t>LxyabRente(i)</t>
  </si>
  <si>
    <t>VersGebJahrgPfl.</t>
  </si>
  <si>
    <t>E_Versicherungsjahrgang</t>
  </si>
  <si>
    <r>
      <t>Mit diesem Rechenblatt kann die Verteilung und der Ausgleich von Transfergewinnen dargestellt werden. Ob diese Gewinne - und wenn ja in welchem Umfang - auszugleichen sind ist bislang weder entschieden noch erörtert.
Die Daten der Berechnung werden aus dem Rechenblatt&lt;</t>
    </r>
    <r>
      <rPr>
        <b/>
        <sz val="8"/>
        <color rgb="FF0070C0"/>
        <rFont val="Arial"/>
        <family val="2"/>
      </rPr>
      <t>BVerfG Adäquanzprüfung</t>
    </r>
    <r>
      <rPr>
        <sz val="8"/>
        <color rgb="FF0070C0"/>
        <rFont val="Arial"/>
        <family val="2"/>
      </rPr>
      <t>&gt; übernommen.</t>
    </r>
  </si>
  <si>
    <t>Ziff. 5 5. SpStrich</t>
  </si>
  <si>
    <t>Microsoft Word - Teilungsordnung_PB_aktuell.docx (pb-versicherung.de)</t>
  </si>
  <si>
    <t>5. 5. SpStrich</t>
  </si>
  <si>
    <t>Telungsordnung_HLV_2020.pdf (hdi.de)</t>
  </si>
  <si>
    <t>HDI Lebensversicherung AG</t>
  </si>
  <si>
    <t>Teilungsordnung_HDI-Lebensversicherung_AG.pdf</t>
  </si>
  <si>
    <t>♂</t>
  </si>
  <si>
    <t>♀</t>
  </si>
  <si>
    <t>♪♫☼◄↕‼¶§▬↨↑↓→◘←○§▬Ú</t>
  </si>
  <si>
    <t>Jahresinflation</t>
  </si>
  <si>
    <t>Ø pro Jahr</t>
  </si>
  <si>
    <t>von/bis - Datum</t>
  </si>
  <si>
    <t>Inflationsberechnung Deutschland</t>
  </si>
  <si>
    <t>Ø % pro Jahr</t>
  </si>
  <si>
    <t>Proxalto Lebensversicherung</t>
  </si>
  <si>
    <t>Ziff. 3 3. SpStrich</t>
  </si>
  <si>
    <t>probAV</t>
  </si>
  <si>
    <t>§ 6. Ziff. 4</t>
  </si>
  <si>
    <t>Ziff. 7 3. SpStrich</t>
  </si>
  <si>
    <t>Zur Aktivierung der Grafik-Anzeige bitte die jeweilige Check-Box aktivieren</t>
  </si>
  <si>
    <t>Microsoft Word - 08-Teilungsordnung-Ju-VA14-2258-01-A-Anlage 2.doc (flgruppe.de)</t>
  </si>
  <si>
    <t>↓</t>
  </si>
  <si>
    <t>RentenerwerbDRV</t>
  </si>
  <si>
    <t>RentenerwerbDRVBer</t>
  </si>
  <si>
    <t>vom Versorgungsträger mitgeteilter auszugleichender Rentenanteil</t>
  </si>
  <si>
    <t>Anderer Gatte</t>
  </si>
  <si>
    <t>Versorgungserwerb des anderen 
Gatten in DRV</t>
  </si>
  <si>
    <t>Deutscher Pensionsfonds AG</t>
  </si>
  <si>
    <t>Unverbindliches Muster einer (deutscher-pensionsfonds.com)</t>
  </si>
  <si>
    <t>Microsoft Word - 2011_05_26_Entwurf Teilungsordung beitragsorient. Leistungszusage V.H. Stand 07.06. 2011.doc (vdva-unterstuetzungskasse.de)</t>
  </si>
  <si>
    <t>VdVA Unterstützungskasse</t>
  </si>
  <si>
    <t>4.5.</t>
  </si>
  <si>
    <t>5.5. SpStrich</t>
  </si>
  <si>
    <t>PSVAG (Pensions Sicherungs Verein)</t>
  </si>
  <si>
    <t>4.2</t>
  </si>
  <si>
    <t xml:space="preserve">ÖBAV Unterstützungskasse e.V. </t>
  </si>
  <si>
    <t>V.1.</t>
  </si>
  <si>
    <t>verbleibender Barwert</t>
  </si>
  <si>
    <t>Alter im EzE</t>
  </si>
  <si>
    <t>Abänderungssituation:  grün = Abänd.potential wesentlich, rot = Wesentlichkeitsgrenze § 225 Abs. 3 FamFG nicht erreicht</t>
  </si>
  <si>
    <t>Rentenausgleich nach Beschluss des FamG in DRV beim augleichspfl. Gatten mit negativem Vorzeichen eintragen</t>
  </si>
  <si>
    <t>90% des Barwerts der Quellversorgung in der angezeigten Zielversorgung wird erreicht bei Anhebung des Ausgleichswerts auf:</t>
  </si>
  <si>
    <t>Gewinn</t>
  </si>
  <si>
    <t>Jahreseinkommen</t>
  </si>
  <si>
    <t>geschätztes weiteres bis Renteneintritt in EP</t>
  </si>
  <si>
    <t>Grundrentenerwerb</t>
  </si>
  <si>
    <t>Rentengesamteinkommen</t>
  </si>
  <si>
    <t>Grundrentenrechner zur Bestimmung der Sinnhaftigkeit des Ausgleichs von GrEP</t>
  </si>
  <si>
    <t>Renteneintritt nach § 235 SGB VI</t>
  </si>
  <si>
    <t>Zeit zwischen Ehezeitende und Renteneintritt in Jahren</t>
  </si>
  <si>
    <t>Geburtstage:</t>
  </si>
  <si>
    <t>manuelle (abweichende) Eingabe des Renteneintritts:</t>
  </si>
  <si>
    <t>Stammdaten:</t>
  </si>
  <si>
    <t>Ergebnis VPI</t>
  </si>
  <si>
    <t>Ergebnis aktRW</t>
  </si>
  <si>
    <r>
      <rPr>
        <sz val="11"/>
        <color theme="1"/>
        <rFont val="Arial"/>
        <family val="2"/>
      </rPr>
      <t>Steigerung in %</t>
    </r>
  </si>
  <si>
    <t>Forderung:</t>
  </si>
  <si>
    <t>Datum:</t>
  </si>
  <si>
    <t>Cosmos Direkt</t>
  </si>
  <si>
    <t>5.3.SpStrich</t>
  </si>
  <si>
    <t>Neue Bayerische Beamten Lebensversicherung AG</t>
  </si>
  <si>
    <t>5.a)</t>
  </si>
  <si>
    <t>Test</t>
  </si>
  <si>
    <t>Unterstützungskasse der nordostdeutschen Energiewirtschaft e.V.</t>
  </si>
  <si>
    <t>§ 4, unklar. Bedingungen sind zu prüfen.</t>
  </si>
  <si>
    <t>Nürnberger Pensionskasse AG</t>
  </si>
  <si>
    <t>§ 5 (3) b)</t>
  </si>
  <si>
    <t>Nürnberger überbetriebliche Versorgungskasse e.V.</t>
  </si>
  <si>
    <t>§ 4 (5)S. 5</t>
  </si>
  <si>
    <t>https://view.officeapps.live.com/op/view.aspx?src=https%3A%2F%2Fwww.destatis.de%2FDE%2FThemen%2FGesellschaft-Umwelt%2FBevoelkerung%2FSterbefaelle-Lebenserwartung%2FPublikationen%2FDownloads-Sterbefaelle%2Fkohortensterbetafeln-5126101209005.xlsx%3F__blob%3DpublicationFile&amp;wdOrigin=BROWSELINK</t>
  </si>
  <si>
    <t>Nürnberger Lebensversicherung AG</t>
  </si>
  <si>
    <t>Entgeltpunkte</t>
  </si>
  <si>
    <t>Aktueller RW</t>
  </si>
  <si>
    <t>U-Faktor EP in Kapital</t>
  </si>
  <si>
    <t>Inflationsannahme</t>
  </si>
  <si>
    <t>Heidelberger Leben</t>
  </si>
  <si>
    <t>Damovo Deutschland GmbH &amp; Co. KG</t>
  </si>
  <si>
    <t>Baden-Badener Pensionskasse</t>
  </si>
  <si>
    <t>Bayerischer Rundfunk Tarifvertrag</t>
  </si>
  <si>
    <t>Mitteldeutscher Rundfunk Tarifvertrag</t>
  </si>
  <si>
    <t>Radio Bremen Tarifvertrag</t>
  </si>
  <si>
    <t>Saarländischer Rundfunk Tarifvertrag</t>
  </si>
  <si>
    <t>Westdeutscher Rundfunk Tarifvertrag</t>
  </si>
  <si>
    <t>Deutsche Welle Tarifvertrag</t>
  </si>
  <si>
    <t>Norddeutscher Rundfunk Tarifvertrag</t>
  </si>
  <si>
    <t>Rundfunk Berlin-Brandenburg Tarifvertrag</t>
  </si>
  <si>
    <t>Südwestrundfunk Tarifvertrag</t>
  </si>
  <si>
    <t>Deutschlandradio Tarifvertrag</t>
  </si>
  <si>
    <t>Alte Leipziger Lebensversicherung auf Gegenseitigkeit</t>
  </si>
  <si>
    <t>Nr. 5 3.SpStrich</t>
  </si>
  <si>
    <t>FOVERUKA</t>
  </si>
  <si>
    <t>DFS Deutsche Flugsicherung</t>
  </si>
  <si>
    <t>UMU-Unterstützungskasse mittelständischer Unternehmen e.V.</t>
  </si>
  <si>
    <t>10.3</t>
  </si>
  <si>
    <t>Athora Lebensversicherung AG</t>
  </si>
  <si>
    <t>Ziff. 2 Abs. 1 S. 2</t>
  </si>
  <si>
    <t>EY Ernest &amp; Young GmbH</t>
  </si>
  <si>
    <t>5.2.Absatz 3.SpStrich</t>
  </si>
  <si>
    <t>VPV Lebensversicherungs AG für Direktversicherungen</t>
  </si>
  <si>
    <t>VPV Allgemeine Versicherungs AG für Direktversicherungen</t>
  </si>
  <si>
    <t>Vereinigte Postversicherung VVaG für Direktversicherungen</t>
  </si>
  <si>
    <t xml:space="preserve">VPV Lebensversicherungs AG </t>
  </si>
  <si>
    <t xml:space="preserve">VPV Allgemeine Versicherungs AG </t>
  </si>
  <si>
    <t xml:space="preserve">Vereinigte Postversicherung VVaG </t>
  </si>
  <si>
    <t>5. Anwendungsbereich A. und B.</t>
  </si>
  <si>
    <t>6. Anwendungsbereich A. und B.</t>
  </si>
  <si>
    <t>7. Anwendungsbereich A. und B.</t>
  </si>
  <si>
    <t>Umrechnungen Kapital, Rente &amp; Entgeltpunkte</t>
  </si>
  <si>
    <t>§ 106 SGB VI</t>
  </si>
  <si>
    <t xml:space="preserve">Rentenerhöhung d. VA </t>
  </si>
  <si>
    <t>§ 101 SGB VI</t>
  </si>
  <si>
    <t>§ 76 SGB VI</t>
  </si>
  <si>
    <t>⌂</t>
  </si>
  <si>
    <t>Regelaltersgrenze 
§ 235 SGB VI und § 51 BBG</t>
  </si>
  <si>
    <t>Regelaltersgrenze alt</t>
  </si>
  <si>
    <t>Regelaltersgrenze neu</t>
  </si>
  <si>
    <t>bes. Regelaltersgr. (alt) in Jahren</t>
  </si>
  <si>
    <t>Gesamtdienstzeit (alt)</t>
  </si>
  <si>
    <t>Ehezeitanteil (alt)</t>
  </si>
  <si>
    <t>davon in Ehezeit (alt)</t>
  </si>
  <si>
    <t>Ehezeitende:</t>
  </si>
  <si>
    <t>Altersgr. Neu</t>
  </si>
  <si>
    <r>
      <t xml:space="preserve">Dienstzeitverlängerung &amp; VA 
</t>
    </r>
    <r>
      <rPr>
        <b/>
        <sz val="12"/>
        <color theme="1"/>
        <rFont val="Arial"/>
        <family val="2"/>
      </rPr>
      <t>Beamte ab 12.2.2009</t>
    </r>
  </si>
  <si>
    <t>Dienstzeitveränderung</t>
  </si>
  <si>
    <t>...mit Hilfe des Verbraucherpreisindex</t>
  </si>
  <si>
    <t>...mit Hilfe des aktuellen Rentenwerts</t>
  </si>
  <si>
    <t>BASF SE</t>
  </si>
  <si>
    <t>§ 18</t>
  </si>
  <si>
    <t>BASF Pensionskasse VVaG</t>
  </si>
  <si>
    <t>§32a</t>
  </si>
  <si>
    <t>Degussa Pensionskasse</t>
  </si>
  <si>
    <t>§ 12 Ziff. 5</t>
  </si>
  <si>
    <t>Degussa Pensionskasse Riester-Tarif</t>
  </si>
  <si>
    <t>§ 9 Ziff 5</t>
  </si>
  <si>
    <t>Degussa Pensionskasse Marl Troisdorf</t>
  </si>
  <si>
    <t>§ 30</t>
  </si>
  <si>
    <t>§ 7 Abs. 5</t>
  </si>
  <si>
    <t>Degussa UK Leistungsplan RUK vor 2018</t>
  </si>
  <si>
    <t>Bochumer Verband - Entgeldumwandlung</t>
  </si>
  <si>
    <t>Bochumer Verband - Arbeitgeberfinanzierte Versorg.</t>
  </si>
  <si>
    <t>Evonik</t>
  </si>
  <si>
    <t>§ 11</t>
  </si>
  <si>
    <t>MEDA Pharma GmbH</t>
  </si>
  <si>
    <t>Alz Chemie</t>
  </si>
  <si>
    <t xml:space="preserve">VW </t>
  </si>
  <si>
    <t>Daimler Vorsorge Kapital Teilungsordnung</t>
  </si>
  <si>
    <t>3.1.</t>
  </si>
  <si>
    <t>Mercedes Benz AG</t>
  </si>
  <si>
    <t>Daimler Truck AG</t>
  </si>
  <si>
    <t>Daimler Brand &amp; IP Management GmbH &amp; Co.KG</t>
  </si>
  <si>
    <t>Sozialkompass Europa EU-Kommission</t>
  </si>
  <si>
    <t>5.3. SpStrich</t>
  </si>
  <si>
    <t>WWK</t>
  </si>
  <si>
    <t>Renteneintrittstabelle, § 235 SGB VI, § 51 BBG</t>
  </si>
  <si>
    <t>Programmsteuerung</t>
  </si>
  <si>
    <t>Werte für gesetzl. Rentenversicherung DRV</t>
  </si>
  <si>
    <t>geschätztes sonstiges Einkommen i.S.v. § 97a Abs. 2 SGB VI in Euro*</t>
  </si>
  <si>
    <t>Berechnungsstichtag:</t>
  </si>
  <si>
    <t>bezogen auf Berechnungszeitpunkt</t>
  </si>
  <si>
    <t>Bagatellgrenze</t>
  </si>
  <si>
    <t xml:space="preserve">§ 33 VersAusglG </t>
  </si>
  <si>
    <t xml:space="preserve">Anpassungsberechnung - Unterhalt </t>
  </si>
  <si>
    <t>§ 5 c) 4.SpStrich</t>
  </si>
  <si>
    <t>verheiratet</t>
  </si>
  <si>
    <t>Geno Pensionskasse VVaG, Karlsruhe</t>
  </si>
  <si>
    <t>OLG Ka 16 UF 109/22</t>
  </si>
  <si>
    <t>Alter im Ehezeitende (EzE)</t>
  </si>
  <si>
    <r>
      <t xml:space="preserve">bis Ehezeitende </t>
    </r>
    <r>
      <rPr>
        <u/>
        <sz val="11"/>
        <color theme="1"/>
        <rFont val="Arial"/>
        <family val="2"/>
      </rPr>
      <t>außerehezeitlich</t>
    </r>
    <r>
      <rPr>
        <sz val="11"/>
        <color theme="1"/>
        <rFont val="Arial"/>
        <family val="2"/>
      </rPr>
      <t xml:space="preserve"> erworbene EP</t>
    </r>
  </si>
  <si>
    <r>
      <t xml:space="preserve">Nach der Rechtsprechung des </t>
    </r>
    <r>
      <rPr>
        <b/>
        <sz val="11"/>
        <color theme="1"/>
        <rFont val="Arial"/>
        <family val="2"/>
      </rPr>
      <t>BVerfG (1 BvL 5/18)</t>
    </r>
    <r>
      <rPr>
        <sz val="11"/>
        <color theme="1"/>
        <rFont val="Arial"/>
        <family val="2"/>
      </rPr>
      <t xml:space="preserve"> liegt eine </t>
    </r>
    <r>
      <rPr>
        <b/>
        <sz val="11"/>
        <color theme="1"/>
        <rFont val="Arial"/>
        <family val="2"/>
      </rPr>
      <t>grundrechtsverletzende Inadäquanz</t>
    </r>
    <r>
      <rPr>
        <sz val="11"/>
        <color theme="1"/>
        <rFont val="Arial"/>
        <family val="2"/>
      </rPr>
      <t xml:space="preserve"> des </t>
    </r>
    <r>
      <rPr>
        <b/>
        <sz val="11"/>
        <color theme="1"/>
        <rFont val="Arial"/>
        <family val="2"/>
      </rPr>
      <t>Versorgungsertrags</t>
    </r>
    <r>
      <rPr>
        <sz val="11"/>
        <color theme="1"/>
        <rFont val="Arial"/>
        <family val="2"/>
      </rPr>
      <t xml:space="preserve"> in der Zielversorgung vor, wenn der Rentenertrag der ausgleichspflichtigen Person in der Zielversorgung nicht mindestens 90% des Rentenertrags der Quellversorgung erreichen würde. In diesem Fall ist entweder der Ausgleichswert anzuheben oder der Versorgungsträger zur internen Teilung zu verpflichten.</t>
    </r>
  </si>
  <si>
    <r>
      <t xml:space="preserve">gesamter </t>
    </r>
    <r>
      <rPr>
        <b/>
        <sz val="11"/>
        <color theme="1"/>
        <rFont val="Arial"/>
        <family val="2"/>
      </rPr>
      <t>Grundrentenerwerb</t>
    </r>
    <r>
      <rPr>
        <sz val="11"/>
        <color theme="1"/>
        <rFont val="Arial"/>
        <family val="2"/>
      </rPr>
      <t xml:space="preserve"> in GrEP im EzE </t>
    </r>
    <r>
      <rPr>
        <sz val="8"/>
        <color theme="1"/>
        <rFont val="Arial"/>
        <family val="2"/>
      </rPr>
      <t>(aus DRV-Auskunft zu entnehmen)</t>
    </r>
  </si>
  <si>
    <r>
      <rPr>
        <b/>
        <sz val="11"/>
        <color theme="1"/>
        <rFont val="Arial"/>
        <family val="2"/>
      </rPr>
      <t xml:space="preserve">gesamter Rentenerwerb </t>
    </r>
    <r>
      <rPr>
        <sz val="11"/>
        <color theme="1"/>
        <rFont val="Arial"/>
        <family val="2"/>
      </rPr>
      <t xml:space="preserve">bis EZE in EP </t>
    </r>
    <r>
      <rPr>
        <sz val="8"/>
        <color theme="1"/>
        <rFont val="Arial"/>
        <family val="2"/>
      </rPr>
      <t>(aus der DRV-Auskunft zu entnehmen)</t>
    </r>
  </si>
  <si>
    <t>BGH XII ZB 546/10</t>
  </si>
  <si>
    <t>§ 76 SGB Abs. 4 S. 4 VI</t>
  </si>
  <si>
    <t>Mit Hilfe dieses Rechners kann der Anwender abschätzen, ob der Ausgleich von Grundrenten-EP (GrEP) sinnvoll ist, oder unterbleiben kann.
Da GrEP nur dann werthaltig sind, wenn deren Inhaber die in Zeile 23 u. 24 angegebenen dynamischen Einkommensgrenzen bei Renteneintritt nicht überschreitet, muss der Anwender eine Einkommensprognose der Beteiligten vornehmen, die in vielen Fällen allerdings einfach vorzunehmen sein wird, wenn nur Anrechte der DRV in Betracht kommen. Ansonsten ist ggfls. die unterschiedliche Versorgungsdynamik zu beachten.</t>
  </si>
  <si>
    <t>Deutsche Telekom TV Kapitalkontenplan</t>
  </si>
  <si>
    <t>Deutsche Telekom KBV bAV AT</t>
  </si>
  <si>
    <t>BilMoG-7 Zins bis ezE 31.12.2015 danach BilMoG-10 / HR-, IR-Rente Anwartsschaftsdyn. 1% daher sVA möglich; Verzinsung d. AusglWerts bei ext.Teilung beantragen! Nach Ziff. 5.2.2.1 doppelter Kostenabzug möglich</t>
  </si>
  <si>
    <t>Deka-ZukunftsPlan</t>
  </si>
  <si>
    <t>Deka-BonusRente</t>
  </si>
  <si>
    <t>Seite 1 von 4 Teilungsordnung der Dekabank für ... (yumpu.com)</t>
  </si>
  <si>
    <t>Teilungsordnungen auf dem Prüfstand: unzulässige Transferverluste bei interner Teilung</t>
  </si>
  <si>
    <t>Vodafone</t>
  </si>
  <si>
    <t>BilMoG_10</t>
  </si>
  <si>
    <t>Standard Life</t>
  </si>
  <si>
    <t>AXA Überbetriebliche Unterstützungskasse e.V.</t>
  </si>
  <si>
    <t>5. 3.SpStrich</t>
  </si>
  <si>
    <t>Tarifwechsel</t>
  </si>
  <si>
    <t>doppelter Kostenabzug</t>
  </si>
  <si>
    <t>AusglWert-Abweichung</t>
  </si>
  <si>
    <t>Dynamik-Teilhabe zwi EzE und RK anordnen</t>
  </si>
  <si>
    <t>Ziff. 5.c)</t>
  </si>
  <si>
    <t>akt. RW im EzE</t>
  </si>
  <si>
    <t>GrEP-Teilung sinnhaft?</t>
  </si>
  <si>
    <t>regelrechte Duchführung Versorgungsausgleich</t>
  </si>
  <si>
    <t>GR_EP_Teilung</t>
  </si>
  <si>
    <t>Ruhegehaltss. alt/neu</t>
  </si>
  <si>
    <t>Ehezeitanteil alt/neu</t>
  </si>
  <si>
    <r>
      <t xml:space="preserve">Dies &amp; Das - hilfreiche Rechentools für das Familienrecht und insbesondere den Versorgungsausgleich
</t>
    </r>
    <r>
      <rPr>
        <b/>
        <sz val="12"/>
        <color theme="1"/>
        <rFont val="Arial"/>
        <family val="2"/>
      </rPr>
      <t>Der Autor haftet nicht für die mit diesem Rechentool gefundenen Ergebnisse</t>
    </r>
  </si>
  <si>
    <t>Ärzteversorgung Hessen (LÄK)</t>
  </si>
  <si>
    <t>Datum unbekannt</t>
  </si>
  <si>
    <t>Ernest &amp; Young</t>
  </si>
  <si>
    <t>§ 6 (1) und (3)</t>
  </si>
  <si>
    <t xml:space="preserve">Essener Verband </t>
  </si>
  <si>
    <t>Ziff. 7</t>
  </si>
  <si>
    <t>Familienfürsorge UK</t>
  </si>
  <si>
    <t>5.2.3.1.</t>
  </si>
  <si>
    <t>Feuersozietät Berlin Brandenburg AG</t>
  </si>
  <si>
    <t>IV.</t>
  </si>
  <si>
    <t>Generali</t>
  </si>
  <si>
    <t>Generali Lebensversicherung AG</t>
  </si>
  <si>
    <t>AG Heidelberg 35 F 154/17</t>
  </si>
  <si>
    <t>GlaxoSmithKline GmbH &amp; Co KG</t>
  </si>
  <si>
    <t>4.</t>
  </si>
  <si>
    <t>Hamburger Wasserwerke GmbH</t>
  </si>
  <si>
    <t>§ 6</t>
  </si>
  <si>
    <t>Hannoversche Lebensversicherung AG</t>
  </si>
  <si>
    <t>ohne Datum</t>
  </si>
  <si>
    <t>Hewlett Packard GmbH Böblingen</t>
  </si>
  <si>
    <t>HypoVereinsbank HVB</t>
  </si>
  <si>
    <t>4.3.1.</t>
  </si>
  <si>
    <t>HypoVereinsbank Unicredit Group</t>
  </si>
  <si>
    <t>4.3.3.</t>
  </si>
  <si>
    <t>LandesBank Berlin</t>
  </si>
  <si>
    <t>LVM Lebens- und Rentenversicherungen (privat)</t>
  </si>
  <si>
    <t>LVM Pensionsfonds</t>
  </si>
  <si>
    <t>Ziff. 5)c)</t>
  </si>
  <si>
    <t>LVM Pensionsplan V</t>
  </si>
  <si>
    <t>Ziff. 5 Abs. 3 a.E.</t>
  </si>
  <si>
    <t>LVM Unterstützungskasse</t>
  </si>
  <si>
    <t>LVM Versicherung (Direktversicherung)</t>
  </si>
  <si>
    <t>MAN (KBV BAV MEV)</t>
  </si>
  <si>
    <t>Ziff, 6.3.SpStrich</t>
  </si>
  <si>
    <t>Ziff. 5.d)</t>
  </si>
  <si>
    <t>Ziff. 5 3.SpSrich</t>
  </si>
  <si>
    <t>PB Pensionsfonds AG</t>
  </si>
  <si>
    <t>Ziff. 5 2. SpStrich</t>
  </si>
  <si>
    <t>5.c)aa) gg)</t>
  </si>
  <si>
    <t>Provinzial LV</t>
  </si>
  <si>
    <t>Ziff. IV.1. 7. SpStrich</t>
  </si>
  <si>
    <t xml:space="preserve">WDR TO </t>
  </si>
  <si>
    <t>Signal Iduna</t>
  </si>
  <si>
    <t>IBM</t>
  </si>
  <si>
    <t>5.2.</t>
  </si>
  <si>
    <t>10. Grundrenten EP im Versorgungsausgleich - Berechnungshilfe</t>
  </si>
  <si>
    <t>(1) Berechnungsparameter</t>
  </si>
  <si>
    <t>(2) Umrechnungen</t>
  </si>
  <si>
    <t>(3) Barwertberechnung</t>
  </si>
  <si>
    <t>(4) Höchstrechnungszins</t>
  </si>
  <si>
    <t>(5) Kapitalverrentung</t>
  </si>
  <si>
    <t>(6) Aufzinsung</t>
  </si>
  <si>
    <t>(7) Dynamisierung VPI &amp; aktRW</t>
  </si>
  <si>
    <t>(8) Altersgrenze bestimmen</t>
  </si>
  <si>
    <t>(9) Dienstzeitverlängerung &amp; Pension</t>
  </si>
  <si>
    <t>Hoechst Pensionskasse</t>
  </si>
  <si>
    <t>umfassende Prüfung</t>
  </si>
  <si>
    <t>PB Lebensversicherung</t>
  </si>
  <si>
    <t>IV.1. 6. SpStr</t>
  </si>
  <si>
    <t>AusgleichWert-Abweichung</t>
  </si>
  <si>
    <t>Dynamik-Teilhabe-Verlust</t>
  </si>
  <si>
    <t>Wählen Sie bitte im untenstehenden Auswahlfeld eine Teilungsordnung aus. Sollte die zu prüfende Teilungsordnung nicht aufgeführt sein, senden Sie diese bitte an Hauss@Anwaelte-DU.de, damit die TO in die Liste aufgenommen werden kann.</t>
  </si>
  <si>
    <t>Fundstelle der Versorgungsbegründung in Teilungsordnung:</t>
  </si>
  <si>
    <t>GALERIA Logisitik GmbH</t>
  </si>
  <si>
    <t>GALERIA Personalservice GmbH TO</t>
  </si>
  <si>
    <t>Gothaer Pensionskasse AG</t>
  </si>
  <si>
    <t>§ 12 Nr. 12</t>
  </si>
  <si>
    <t>Imperial Logistics</t>
  </si>
  <si>
    <t>Kordoba TO KAVP TMA FHL</t>
  </si>
  <si>
    <t>Mobil Oil BKK</t>
  </si>
  <si>
    <t>Netto Direktzusagen</t>
  </si>
  <si>
    <t>Opel Direktversicherung Hannoversche</t>
  </si>
  <si>
    <t>Pro bAV Pensionskasse AG</t>
  </si>
  <si>
    <t>Ziff. 6</t>
  </si>
  <si>
    <t>Provinzial NordWest LV</t>
  </si>
  <si>
    <t>Sparkassen Pensionskasse AG</t>
  </si>
  <si>
    <t>METRO Cash Carry_Deutschland</t>
  </si>
  <si>
    <t>Union Investment Privatfonds GmbH</t>
  </si>
  <si>
    <t>Adler Modemaerkte Versorgungswerk e.V.</t>
  </si>
  <si>
    <t>allfrisch Unterstuetzungskasse e.V</t>
  </si>
  <si>
    <t>Allianz Klinik-Rente</t>
  </si>
  <si>
    <t>BKK VBU 2012 kongruent TO</t>
  </si>
  <si>
    <t>BKK VBU 2012 partiell TO</t>
  </si>
  <si>
    <t>Bombardier_TransportationTO</t>
  </si>
  <si>
    <t xml:space="preserve">Debeka Lebensversicherungsverein a.G. </t>
  </si>
  <si>
    <t>Degussa UK Leistungsplan RUK</t>
  </si>
  <si>
    <t>Zweite real SB Warenhaus GmbH</t>
  </si>
  <si>
    <t>Kapitalwertkontrolle &amp; Adäquanzprüfung
nach BVerfG 1 BvL 5/18 und BGH XII ZB 230/16</t>
  </si>
  <si>
    <t>BVerfG 1 BvL 5/18</t>
  </si>
  <si>
    <t>Die mit diesem Programmteil errechneten Rentenvolumina (Z. 15) und Barwerte (Z. 19) sind für die Versorgungen nach einheitlichen Kriterien (Sterbetafeln Stat.Bundesamt, Invalidisierungs- und Hinterbliebenenwahrscheinlichkeit und Rechnungszins) berechnet. Dadurch weichen sie von den von den VT mitgeteilten Kapitalwerten oft ab. Das macht aber nur deutlich, dass eine Saldierung auf Basis der mitgeteilten Kapwerte nicht erfolgen kann.</t>
  </si>
  <si>
    <t>Der Autor kann keine Haftung für das Prüfungsergebnis der TO übernehmen. Jeder Anwender ist für die Prüfung der TO eigenverantwortlich. Nicht aufgeführte TO bitte an Autor mailen!</t>
  </si>
  <si>
    <t>Bemerkung zur Teilungsordnung (TO):</t>
  </si>
  <si>
    <t>6. Prüfung der Teilungsordnungen der Versorgungsträger</t>
  </si>
  <si>
    <t>neu!</t>
  </si>
  <si>
    <t>Name d. Versorgungsträgers:</t>
  </si>
  <si>
    <t>VersNr.:</t>
  </si>
  <si>
    <t>Teilungsordnung vom:</t>
  </si>
  <si>
    <t>Tarifwechsel?</t>
  </si>
  <si>
    <t>Verzinsung zwischen EzE und RK notwendig?</t>
  </si>
  <si>
    <t>Teilungsordnungsfundstelle für Versorgungsbegründung</t>
  </si>
  <si>
    <t>"… abweichend von … der TO …"</t>
  </si>
  <si>
    <t>Ermöglicht die Teilungsordnung …</t>
  </si>
  <si>
    <t>doppelter Kostenabzug?</t>
  </si>
  <si>
    <t>Abweichung vom titulierten AusglWert?</t>
  </si>
  <si>
    <t>2facher Kostenabzug</t>
  </si>
  <si>
    <t>Auswertung der TO &amp; Korrekturen:</t>
  </si>
  <si>
    <t>VRK Lebensversicherung</t>
  </si>
  <si>
    <t>5. Abs. 3 3.SpStrich</t>
  </si>
  <si>
    <t>Lebensversicherung von 1871 a.G. München</t>
  </si>
  <si>
    <t>Bitte suchen Sie aus der Liste die Versicherung aus</t>
  </si>
  <si>
    <t>Essener Verband Leistungsordnung "A"</t>
  </si>
  <si>
    <t>Regelaltersgr.</t>
  </si>
  <si>
    <t>Ruhegehaltsquote</t>
  </si>
  <si>
    <t>Alt=Neu</t>
  </si>
  <si>
    <t>Ruhegehaltssatz manuell alt/neu:</t>
  </si>
  <si>
    <t>Accenture</t>
  </si>
  <si>
    <r>
      <t xml:space="preserve">anderes Alterseinkommen i.S.v. § 97a SGB VI im EzE in Euro </t>
    </r>
    <r>
      <rPr>
        <u/>
        <sz val="8"/>
        <color rgb="FF0000FF"/>
        <rFont val="Arial"/>
        <family val="2"/>
      </rPr>
      <t>z.B. Betriebsrenten</t>
    </r>
  </si>
  <si>
    <r>
      <t xml:space="preserve">Bei </t>
    </r>
    <r>
      <rPr>
        <b/>
        <sz val="9"/>
        <color theme="1"/>
        <rFont val="Arial"/>
        <family val="2"/>
      </rPr>
      <t xml:space="preserve">Halbteilung des ehezeitlichen Versorgungserwerbs </t>
    </r>
    <r>
      <rPr>
        <sz val="9"/>
        <color theme="1"/>
        <rFont val="Arial"/>
        <family val="2"/>
      </rPr>
      <t>ergäbe sich unter Berücksichtigung des außerehelichen Versorgungserwerbs folgende Nutzung der Grundrenten-Entgeltpunkte:</t>
    </r>
  </si>
  <si>
    <t>Abänderung möglich/unmöglich</t>
  </si>
  <si>
    <t xml:space="preserve">DAK Hamburg </t>
  </si>
  <si>
    <t>TO sieht in Ziff. 9. ausdrücklich eigenmächtige Änderungen des Ausgleichswerts gegenüber dem tenorierten Ausgleichswert vor</t>
  </si>
  <si>
    <t>Bemerkung2</t>
  </si>
  <si>
    <t>Hinweis:</t>
  </si>
  <si>
    <r>
      <rPr>
        <b/>
        <sz val="12"/>
        <color indexed="8"/>
        <rFont val="Arial"/>
        <family val="2"/>
      </rPr>
      <t>© Jörn Hauß, FA-FamR</t>
    </r>
    <r>
      <rPr>
        <sz val="11"/>
        <color theme="1"/>
        <rFont val="Arial"/>
        <family val="2"/>
      </rPr>
      <t xml:space="preserve">
Vom-Rath-Str. 10, 47051 Duisburg, Tel: 0203/286870, Hauss@anwaelte-du.de</t>
    </r>
  </si>
  <si>
    <t>Rechtsanwalt Hauß, Hauss@Anwaelte-DU.de</t>
  </si>
  <si>
    <t>Zeitraum bis</t>
  </si>
  <si>
    <t>ab 1.1.2022</t>
  </si>
  <si>
    <t>(pRV und Kapital-LV)</t>
  </si>
  <si>
    <t>Vertreterversorgungswerk der Allianz Beratungs- und Vertreibs AG</t>
  </si>
  <si>
    <t>§ 6; § 9</t>
  </si>
  <si>
    <t>Athora AG Pensionskasse &amp; Lebensversicherung</t>
  </si>
  <si>
    <t>3. 2. SpStrich</t>
  </si>
  <si>
    <t>Wüstenrot &amp; Württembergische DC Pensionszusagen durch Gehaltsumwandlung</t>
  </si>
  <si>
    <t>Wüstenrot &amp; Württembergische Pensionszusage LHB</t>
  </si>
  <si>
    <t>Wüstenrot &amp; Württembergische Pensionskasse</t>
  </si>
  <si>
    <t>Allianz LV</t>
  </si>
  <si>
    <t>Barwert in DRV</t>
  </si>
  <si>
    <t>IR-Zuschlag</t>
  </si>
  <si>
    <t>HR-Zuschlag</t>
  </si>
  <si>
    <t>Renteneintritt Pfl.</t>
  </si>
  <si>
    <t>Renteneintrittsalter Pfl.</t>
  </si>
  <si>
    <t>Barwert Rente ab Beginn</t>
  </si>
  <si>
    <t>Barwert ab EzE</t>
  </si>
  <si>
    <t>+HR-IR</t>
  </si>
  <si>
    <t>* VVR</t>
  </si>
  <si>
    <t>Download über FamRB</t>
  </si>
  <si>
    <t>Download über Rechtsanwalt Hauß</t>
  </si>
  <si>
    <t>§ 4</t>
  </si>
  <si>
    <t>Nach § 3 TO kann der AusglBer. Externe Teilung verlangen, die vielfach günstiger ist.</t>
  </si>
  <si>
    <t>Nordostdeutsche Energiewirtschaft Unterstützungskasse</t>
  </si>
  <si>
    <t>Zum Download neuer Version hier klicken:</t>
  </si>
  <si>
    <r>
      <rPr>
        <sz val="11"/>
        <color theme="1"/>
        <rFont val="Arial"/>
        <family val="2"/>
      </rPr>
      <t>§ 33 VersAusglG: Voraussetzung für Aussetzung der Kürzung ist, dass</t>
    </r>
    <r>
      <rPr>
        <sz val="8"/>
        <color theme="1"/>
        <rFont val="Arial"/>
        <family val="2"/>
      </rPr>
      <t xml:space="preserve">
- </t>
    </r>
    <r>
      <rPr>
        <b/>
        <sz val="8"/>
        <color theme="1"/>
        <rFont val="Arial"/>
        <family val="2"/>
      </rPr>
      <t>die unterhaltspflichtige Person</t>
    </r>
    <r>
      <rPr>
        <sz val="8"/>
        <color theme="1"/>
        <rFont val="Arial"/>
        <family val="2"/>
      </rPr>
      <t xml:space="preserve"> die gekürzte Rente bezieht und
- </t>
    </r>
    <r>
      <rPr>
        <b/>
        <sz val="8"/>
        <color theme="1"/>
        <rFont val="Arial"/>
        <family val="2"/>
      </rPr>
      <t>die unterhaltsberechtigte Person</t>
    </r>
    <r>
      <rPr>
        <sz val="8"/>
        <color theme="1"/>
        <rFont val="Arial"/>
        <family val="2"/>
      </rPr>
      <t xml:space="preserve"> aus der übertragenen Versorgung noch keine Leistungen bezieht.</t>
    </r>
  </si>
  <si>
    <t>Relative Wesentlichkeit, 5% des AusglWerts</t>
  </si>
  <si>
    <t>Abzinsungszins eingeben………BilMoG-10</t>
  </si>
  <si>
    <t>ERGO Unterstützungskasse</t>
  </si>
  <si>
    <t>TO sieht in § 7 ausdrücklich das Primat der familiengerichtlichen Entscheidung vor. Der Zeitpunkt der Begründung der Versorgung ist nicht definiert.</t>
  </si>
  <si>
    <t>E_VersGebJahrgPfl.</t>
  </si>
  <si>
    <t>E_VersGebJahrgBer.</t>
  </si>
  <si>
    <t>HRIR_Zuschalg</t>
  </si>
  <si>
    <t>Wert</t>
  </si>
  <si>
    <t>Barwert der Leistung ab Renteneintritt im Renteneintritt</t>
  </si>
  <si>
    <t>Barwert des Barwerts der Renteleistung im EzE</t>
  </si>
  <si>
    <t>Barwert EzE incl. HR-IR</t>
  </si>
  <si>
    <t>Barwert EzE incl. HR-IR x VVR</t>
  </si>
  <si>
    <t>E_Tabschritt</t>
  </si>
  <si>
    <t>VVR-Quote</t>
  </si>
  <si>
    <t>abgezinster BW in Leistung</t>
  </si>
  <si>
    <t>abgezinster Barwert incl. VVR und HRIR</t>
  </si>
  <si>
    <t xml:space="preserve">TO ist kurz und verständlich. </t>
  </si>
  <si>
    <t>Decadia GmbH</t>
  </si>
  <si>
    <t>Invaliditätsrente</t>
  </si>
  <si>
    <t>Hinterbliebenenversorgung</t>
  </si>
  <si>
    <t>bAV</t>
  </si>
  <si>
    <t>Zurich Deutsche Herold Unterstützungskasse</t>
  </si>
  <si>
    <t>ZF Friedrichshafen ZF-Rente</t>
  </si>
  <si>
    <t>ZF-MP Altersversorgung e.V. beitragsorientierte Versorgungezusage</t>
  </si>
  <si>
    <t>EPOst</t>
  </si>
  <si>
    <t>Der zur Erreichung 100%iger Adäquanz in der Zielversorgung erforderliche Ausgleichswert (Barwert) beträgt:</t>
  </si>
  <si>
    <t>aufzinsen</t>
  </si>
  <si>
    <t>verzinsen</t>
  </si>
  <si>
    <t>Download neue Version über Rechtsanwalt Hauß</t>
  </si>
  <si>
    <t>OLG Brandenbg. 6.10.22 - 9 UF 28/21 und OLG Bambg. 2.11.22 - 2 UF 136/22 FamRB 2023, 13</t>
  </si>
  <si>
    <t>5. Verteilung von Transfergewinnen oder Verlusten bei externer Teilung</t>
  </si>
  <si>
    <t xml:space="preserve">https://global.gotomeeting.com/join/205481741 </t>
  </si>
  <si>
    <t>"Kaffeerunde Versorgungsausgleich"</t>
  </si>
  <si>
    <t>4. Vergleichende Bewertung von Versorgungen (Adäquanzprüfung nach BVerfG 1 BvL 5/18)</t>
  </si>
  <si>
    <t>8. Verzinsung eines Ausgleichswerts</t>
  </si>
  <si>
    <t>9. Anpassung, § 33 VersAusglG, Unterhaltsprivileg</t>
  </si>
  <si>
    <t>11. Abänderungsampel</t>
  </si>
  <si>
    <t>Hauss@Anwaelte-DU.de</t>
  </si>
  <si>
    <t>Tel: 0203-286870    Fax: 0203-28687-77</t>
  </si>
  <si>
    <t>WWW.Anwaelte-DU.de</t>
  </si>
  <si>
    <t>12. "Dies &amp; Das" - hilfreiche kleine Berechnungstools für Familienrechtleriinen und Familienrechtler</t>
  </si>
  <si>
    <t>Für Anregungen, Verbesserungsvorschläge und Fehlermeldungen bin ich stets dankbar. Bitte einfach Mail an:</t>
  </si>
  <si>
    <t>Sie können teilnehmen und einfach den Link anklicken:</t>
  </si>
  <si>
    <t>Sie können sich auch über ein Telefon einwählen. 
(Bei Geräten, die diese Funktion unterstützen, ist die sofortige Teilnahme über eine der unten aufgeführten Direktwahlnummern möglich.)
Deutschland: +49 891 2140 2090 
- Direktwahl: tel:+4989121402090,,205481741# 
Zugangscode: 205-481-741
Themenvorschläge und Aufnahme in Verteiler per Mail an</t>
  </si>
  <si>
    <t>BW</t>
  </si>
  <si>
    <t>Math</t>
  </si>
  <si>
    <t>ExxonMobil Central Europe Holding GmbH</t>
  </si>
  <si>
    <t>Esso Deutschland GmbH</t>
  </si>
  <si>
    <t>ExxonMobil Pensions-Verwaltungsgesellschaft mbH</t>
  </si>
  <si>
    <t>ExxonMobil Production Deutschland GmbH</t>
  </si>
  <si>
    <t>ExxonMobil Gas Marketing Deuschland GmbH</t>
  </si>
  <si>
    <t>Vorzeitige Inanspruchnahme mit rel. hohen Abschlag von 0,5% pro Monat vorzeitiger Inanspruchnahme</t>
  </si>
  <si>
    <t>Bayern-Versicherung LV AG</t>
  </si>
  <si>
    <t>CSM Deutschland GmbH</t>
  </si>
  <si>
    <t>Boehringer Ingelheim KG</t>
  </si>
  <si>
    <t>Ulmer Spatz</t>
  </si>
  <si>
    <t>Diamalt</t>
  </si>
  <si>
    <t>Sera-Zusage</t>
  </si>
  <si>
    <t>Einstellung der Leistung ab Kenntnis d. Scheidungsverf. unzulässig (Ziff. 3.1.)</t>
  </si>
  <si>
    <t>Deutsche Flugsicherung</t>
  </si>
  <si>
    <t>Deutsche Telekom AG</t>
  </si>
  <si>
    <t>Diversey GmbH &amp; Co. OHG</t>
  </si>
  <si>
    <t>EDEKA Nordbayern-Schsen-Thüringen GmbH</t>
  </si>
  <si>
    <t>Edelweiss GmbH &amp; Co KG (EVO I und II)</t>
  </si>
  <si>
    <t>BarwertVO</t>
  </si>
  <si>
    <t>berstd.V</t>
  </si>
  <si>
    <t>pAV</t>
  </si>
  <si>
    <t>BeamtV</t>
  </si>
  <si>
    <t>KEZ</t>
  </si>
  <si>
    <t>12 Monate</t>
  </si>
  <si>
    <t>Ruhegehaltssatz</t>
  </si>
  <si>
    <t>§ 14 BeamtVG</t>
  </si>
  <si>
    <t xml:space="preserve">36 Monate </t>
  </si>
  <si>
    <t>linearer Ruhegehaltssatz 75%</t>
  </si>
  <si>
    <t>linearer Ruhegehaltssatz 71,75%</t>
  </si>
  <si>
    <t>Veränderung ReZins &lt;5,5%</t>
  </si>
  <si>
    <t>Veränderung d. ReZins</t>
  </si>
  <si>
    <t>&gt;65</t>
  </si>
  <si>
    <t>§ 235 SGB VI</t>
  </si>
  <si>
    <t>Veränderung Rezins</t>
  </si>
  <si>
    <t>§ 51 BBG</t>
  </si>
  <si>
    <t>BarwertVA außer Kraft</t>
  </si>
  <si>
    <t>§ 56 SGB VI</t>
  </si>
  <si>
    <t>+1 EP für vor 1992 Geborene</t>
  </si>
  <si>
    <t>+0,5 EO für vor 1992 Geborene</t>
  </si>
  <si>
    <t>Grundrente</t>
  </si>
  <si>
    <t>Grundrente für langj. Versicherte &amp; Kleinrentner</t>
  </si>
  <si>
    <t>§ 76g SGB VI</t>
  </si>
  <si>
    <t>Grund</t>
  </si>
  <si>
    <t>Betrifft</t>
  </si>
  <si>
    <t>Berstd.V; bAV; pAV</t>
  </si>
  <si>
    <t>Abänderungszeitpunkte</t>
  </si>
  <si>
    <t>Stichwort</t>
  </si>
  <si>
    <r>
      <rPr>
        <b/>
        <sz val="11"/>
        <color theme="1"/>
        <rFont val="Wingdings 3"/>
        <family val="1"/>
        <charset val="2"/>
      </rPr>
      <t xml:space="preserve">ä </t>
    </r>
    <r>
      <rPr>
        <b/>
        <sz val="11"/>
        <color theme="1"/>
        <rFont val="Arial"/>
        <family val="2"/>
      </rPr>
      <t xml:space="preserve">Abänderungsgründe &amp; -zeitpunkte </t>
    </r>
    <r>
      <rPr>
        <b/>
        <sz val="11"/>
        <color theme="1"/>
        <rFont val="Wingdings 3"/>
        <family val="1"/>
        <charset val="2"/>
      </rPr>
      <t>ä</t>
    </r>
  </si>
  <si>
    <t>11. a) Abänderungsgründe zeitlich gestaffelt</t>
  </si>
  <si>
    <t>+0,5 EP für vor 1992 Geborene</t>
  </si>
  <si>
    <t>Zusatzversorgung öffentlicher Dienst (ZVK)</t>
  </si>
  <si>
    <t>ehezeitl. Versorg.erwerb in €</t>
  </si>
  <si>
    <t xml:space="preserve">       Mann </t>
  </si>
  <si>
    <t xml:space="preserve">     Frau</t>
  </si>
  <si>
    <t>Debeka Lebensversicherungsverein a.G. AltZertG-Verträge</t>
  </si>
  <si>
    <t>Mail an RA Hauß
TO-Übersendung</t>
  </si>
  <si>
    <t>Prüfung der Teilungsordnung (TO)</t>
  </si>
  <si>
    <t>Die Prüfung der TO hat keine eindeutigen Belege für einen Verstoß der TO in den Bereichen 'Tarifwechsel', 'doppelter Kostenabzug', 'Änderung des Ausgleichswerts' und 'Teilhabe an der Wertentwicklung zwischen EzE und RK' erbracht oder konnte noch nicht abschließend durchgeführt werden.</t>
  </si>
  <si>
    <t>Sparkassen-Versicherung private AV</t>
  </si>
  <si>
    <t>8.</t>
  </si>
  <si>
    <t xml:space="preserve">Zurich </t>
  </si>
  <si>
    <t>Philip Morris GmbH</t>
  </si>
  <si>
    <t>Bewertungszeitpunkt und Umrechnungszeitpunkt nach Ziff. 2.2.2. richtigerweise das EzE</t>
  </si>
  <si>
    <t>Roche Diagnostics GmbH</t>
  </si>
  <si>
    <t xml:space="preserve">Landesbank BW (Kapitalkontenplan 2005) TO </t>
  </si>
  <si>
    <t>Inflationserwartung</t>
  </si>
  <si>
    <t xml:space="preserve">jeden 1. und 3. Mittwoch im Monat </t>
  </si>
  <si>
    <r>
      <rPr>
        <b/>
        <sz val="11"/>
        <color theme="1"/>
        <rFont val="Arial"/>
        <family val="2"/>
      </rPr>
      <t>von 14:00 bis 15:00 Uhr</t>
    </r>
    <r>
      <rPr>
        <sz val="11"/>
        <color theme="1"/>
        <rFont val="Arial"/>
        <family val="2"/>
      </rPr>
      <t xml:space="preserve">
Wir erörtern online Ihre alltäglichen und manchmal auch spezielle Fragen des VAs, kostenlos und locker.</t>
    </r>
  </si>
  <si>
    <t>Anänd_BilMog7/10</t>
  </si>
  <si>
    <t>AbänderungsReZins</t>
  </si>
  <si>
    <t>Axhtung! Nach § 18 Abs. 3 der TO wird der VA taggenau umgesetzt, weswegen es bei Unterhaltszahlungen zu überzahlungen kommen kann.</t>
  </si>
  <si>
    <t>DWS Investment GmbH Basisrentenverträge AltZertG</t>
  </si>
  <si>
    <r>
      <t xml:space="preserve">Die TO begründet Mitwirkungspflichten der ausglber. Person an einem </t>
    </r>
    <r>
      <rPr>
        <b/>
        <sz val="8"/>
        <color theme="1"/>
        <rFont val="Arial"/>
        <family val="2"/>
      </rPr>
      <t xml:space="preserve">neuen Vertrag </t>
    </r>
    <r>
      <rPr>
        <sz val="8"/>
        <color theme="1"/>
        <rFont val="Arial"/>
        <family val="2"/>
      </rPr>
      <t>zu aktuellen Bedingungen!</t>
    </r>
  </si>
  <si>
    <t xml:space="preserve">Lufthansa Group TO </t>
  </si>
  <si>
    <t>§ 8</t>
  </si>
  <si>
    <t>Lufthansa Group Versorgungskasse Kabine e.V.</t>
  </si>
  <si>
    <t>Dies&amp;Das_Ost</t>
  </si>
  <si>
    <t>TO_Sex</t>
  </si>
  <si>
    <r>
      <t xml:space="preserve">Tarifwechsel! 
</t>
    </r>
    <r>
      <rPr>
        <sz val="9"/>
        <color theme="0" tint="-4.9989318521683403E-2"/>
        <rFont val="Arial"/>
        <family val="2"/>
      </rPr>
      <t>(BGH XII ZB 359/19)</t>
    </r>
  </si>
  <si>
    <t>SGB VI</t>
  </si>
  <si>
    <r>
      <t xml:space="preserve">Wertteilhabe EzE - RK einfordern!
</t>
    </r>
    <r>
      <rPr>
        <sz val="9"/>
        <color theme="0" tint="-4.9989318521683403E-2"/>
        <rFont val="Arial"/>
        <family val="2"/>
      </rPr>
      <t>(BGH XII ZB 443/14; XII ZB 546/10)</t>
    </r>
  </si>
  <si>
    <t>LVM Lebensversicherungs-AG</t>
  </si>
  <si>
    <t>TO enthält in Ziff. V ein Bekenntnis zur Priorität der gerischtlichen Entscheidung, falls diese von TO abweicht.</t>
  </si>
  <si>
    <t>Provinzial</t>
  </si>
  <si>
    <t>TO enthält in § 8 ein Bekenntnis zur Priorität der gerischtlichen Entscheidung, falls diese von TO abweicht.</t>
  </si>
  <si>
    <t>TO sieht in Ziff. 7 ausdrücklich das Primat der familiengerichtlichen Entscheidung vor. Der Zeitpunkt der Begründung der Versorgung ist nicht definiert.</t>
  </si>
  <si>
    <t>5.2, 5.3 und 5.4</t>
  </si>
  <si>
    <t>TO enthält in § 9 ein Bekenntnis zur Priorität der gerischtlichen Entscheidung, falls diese von TO abweicht.</t>
  </si>
  <si>
    <t>SwissLife Pensionskasse</t>
  </si>
  <si>
    <t>SwissLife Unterstützungskasse</t>
  </si>
  <si>
    <t>SutorBank</t>
  </si>
  <si>
    <t>§ 3</t>
  </si>
  <si>
    <t>TO enthält in § 6 ein Bekenntnis zur Priorität der gerischtlichen Entscheidung, falls diese von TO abweicht.</t>
  </si>
  <si>
    <t>Kölner Pensionskasse</t>
  </si>
  <si>
    <t>Rosenheimer Unterstützungskasse</t>
  </si>
  <si>
    <t>Fresenius</t>
  </si>
  <si>
    <t>Ineos Phenol</t>
  </si>
  <si>
    <t>Die Versorgungs- und Teilungsordnung sieht Rentenhalbteilung vor und einen pauschalierten Zuschlag von 10% für Verzicht auf IR und HR.</t>
  </si>
  <si>
    <t>ACE European Group Limiteted</t>
  </si>
  <si>
    <t>Allianz KBV Harmonisierung BPV</t>
  </si>
  <si>
    <t>Allianz Lebensversicherungs AG</t>
  </si>
  <si>
    <t>Navh Ziff. 5.c)dd) wird der AusglWert bei bestehendem "gleichartigen" Vertrag diesem gutgeschrieben</t>
  </si>
  <si>
    <t>Allianz-Pensions-Management e.V.</t>
  </si>
  <si>
    <t>Der Zeitpunkt der Begründung des Anrechts z.G. d. ausglber. Person bleibt unklar, weswegen Verzinsung klarstellend geltend zu machen ist.</t>
  </si>
  <si>
    <t>Allianz Lebensversicherungs-AG</t>
  </si>
  <si>
    <t>Zusammenfassung mehrerer AusglW der ausglpfl Person zu einer Neuversicherung der ausglber P möglich (5.c)dd))</t>
  </si>
  <si>
    <t>Helvetia schweizerische Lebensversicherungs-AG</t>
  </si>
  <si>
    <t>Pensionskasse der Deutschen Wirtschaft</t>
  </si>
  <si>
    <t>AusglWert wird kompensatorisch um Wegfall von IR und HR bereits erhöht mitgeteilt</t>
  </si>
  <si>
    <t>Baloise Lebensversicherung AG Deutschland</t>
  </si>
  <si>
    <t>Die TO verwendet den Begriff"Ausgleichsversicherung", der in Ziff.5. Abs. 1 als die zu begründende Versicherung der ausglber. Person definiert wird</t>
  </si>
  <si>
    <t>Ziff. 5.</t>
  </si>
  <si>
    <t>Die TO ist für die verschiedenen BR-Klassen unübersichtlich. Es wird empfohlen, den Versorgungsträger zu einer Mitteilung der aus dem AusglWert resultierenden Versorgung für die auglpfl. Person zu veranlassen</t>
  </si>
  <si>
    <t>Affirmativ sollte tenoriert werden, dass der tenorierte Ausgleichswert zwischen EzE und RK zu verzinsen ist.</t>
  </si>
  <si>
    <t>Provinzial Lebensversicherungen</t>
  </si>
  <si>
    <t>IV.1.</t>
  </si>
  <si>
    <t>TO sieht in Ziff. 9 eine Befolgung abweichender famgerichtlicher Festlegungen vor.</t>
  </si>
  <si>
    <t>Signal Iduna a.G.</t>
  </si>
  <si>
    <t>Signal Iduna AG</t>
  </si>
  <si>
    <t>Signal Iduna Pensionskass AG</t>
  </si>
  <si>
    <t>VVR</t>
  </si>
  <si>
    <t>abgezinster KapWert</t>
  </si>
  <si>
    <t>Anw. Zeit</t>
  </si>
  <si>
    <t>KapWert Leistungszeit</t>
  </si>
  <si>
    <t>Sex</t>
  </si>
  <si>
    <t>i</t>
  </si>
  <si>
    <t>KapWert incl. HRIR</t>
  </si>
  <si>
    <t>e</t>
  </si>
  <si>
    <t>BilMoG10</t>
  </si>
  <si>
    <t>Ehezeit bis:</t>
  </si>
  <si>
    <t>Ehezeit von:</t>
  </si>
  <si>
    <t>Pension</t>
  </si>
  <si>
    <t>StDat_GruSiAdd</t>
  </si>
  <si>
    <t>autom.</t>
  </si>
  <si>
    <t>anzunehmende Dynamik berufsstd. Versorgungen</t>
  </si>
  <si>
    <t>berstdV</t>
  </si>
  <si>
    <t>Berufsständische Versorgungen</t>
  </si>
  <si>
    <t>Regelrentenalter</t>
  </si>
  <si>
    <t>Teilungsordnungen</t>
  </si>
  <si>
    <t>AusglWertabweichung</t>
  </si>
  <si>
    <t>Wertteilhabe</t>
  </si>
  <si>
    <t>u</t>
  </si>
  <si>
    <t>GrentwertExterneTeilung</t>
  </si>
  <si>
    <t>Gericht 1. Instanz: FamG</t>
  </si>
  <si>
    <t>Aktenzeichen:</t>
  </si>
  <si>
    <t>Gericht 2. Instanz: OLG</t>
  </si>
  <si>
    <t>GrenzW § 14</t>
  </si>
  <si>
    <t>p</t>
  </si>
  <si>
    <t>eigenes Az:</t>
  </si>
  <si>
    <t>eig. Bezeichnung:</t>
  </si>
  <si>
    <t>b</t>
  </si>
  <si>
    <t>Nr.</t>
  </si>
  <si>
    <r>
      <rPr>
        <sz val="12"/>
        <color rgb="FFFF0000"/>
        <rFont val="Wingdings 2"/>
        <family val="1"/>
        <charset val="2"/>
      </rPr>
      <t>¢</t>
    </r>
    <r>
      <rPr>
        <b/>
        <sz val="12"/>
        <color theme="1"/>
        <rFont val="Arial"/>
        <family val="2"/>
      </rPr>
      <t>=</t>
    </r>
    <r>
      <rPr>
        <sz val="10"/>
        <color theme="1"/>
        <rFont val="Arial"/>
        <family val="2"/>
      </rPr>
      <t xml:space="preserve"> § 17 VersAusglG</t>
    </r>
    <r>
      <rPr>
        <sz val="10"/>
        <color theme="1"/>
        <rFont val="Arial"/>
        <family val="1"/>
        <charset val="2"/>
      </rPr>
      <t xml:space="preserve"> / § 14 VersAusglG</t>
    </r>
  </si>
  <si>
    <t>lfd. Nr.</t>
  </si>
  <si>
    <t>A</t>
  </si>
  <si>
    <t>öffent.-rechtl. Grundversorgungen</t>
  </si>
  <si>
    <t>manuell</t>
  </si>
  <si>
    <t>man. Eing. mögl.</t>
  </si>
  <si>
    <t xml:space="preserve">Alter </t>
  </si>
  <si>
    <t>K</t>
  </si>
  <si>
    <t>P</t>
  </si>
  <si>
    <t>VersNr. Mann</t>
  </si>
  <si>
    <t>VersNr. Frau</t>
  </si>
  <si>
    <t>Text GebDat M</t>
  </si>
  <si>
    <t>Text GebDat F</t>
  </si>
  <si>
    <t>Entgeltpunkte (Ost):</t>
  </si>
  <si>
    <t>Entgeltpunkte:</t>
  </si>
  <si>
    <t>VersNr.-Kontrolle</t>
  </si>
  <si>
    <t>1 = Falsch</t>
  </si>
  <si>
    <t>Weiß hinterlegte Felder = Eingabefelder, gelbe Felder sind Pflichtfelder, rote Felder = Eingabefehler oder Achtung!, orange hinterlegte Felder = ev. zu prüfen.</t>
  </si>
  <si>
    <t>Grenzwerte</t>
  </si>
  <si>
    <t>Rentenerwerb einschl Dyn. bei ReEintritt</t>
  </si>
  <si>
    <t>aktRW EzE</t>
  </si>
  <si>
    <t>AnwZeit</t>
  </si>
  <si>
    <t>LeistZeit</t>
  </si>
  <si>
    <t>DRV-Daten für Barwertberechnung</t>
  </si>
  <si>
    <t>BW-Faktor</t>
  </si>
  <si>
    <t xml:space="preserve">
bis
von</t>
  </si>
  <si>
    <r>
      <t>§ 51 BBG</t>
    </r>
    <r>
      <rPr>
        <u/>
        <vertAlign val="superscript"/>
        <sz val="10"/>
        <color rgb="FF0000FF"/>
        <rFont val="Arial"/>
        <family val="2"/>
      </rPr>
      <t>*)</t>
    </r>
  </si>
  <si>
    <t>*) in den Bundesländern wurde die Altersgrenze für Beamte zu unterschiedlichen Daten und teilweise gar nicht verändert.</t>
  </si>
  <si>
    <t>Mann/Frau</t>
  </si>
  <si>
    <t>DRV-BW</t>
  </si>
  <si>
    <t>BW BeamtV</t>
  </si>
  <si>
    <t>Mann BeamtV</t>
  </si>
  <si>
    <t>Frau BeamtV</t>
  </si>
  <si>
    <t>BW berstdV</t>
  </si>
  <si>
    <t>Datenerfassung &amp; Kontrolle</t>
  </si>
  <si>
    <r>
      <t xml:space="preserve">Abänderungsprüfung 
</t>
    </r>
    <r>
      <rPr>
        <b/>
        <sz val="11"/>
        <color theme="1"/>
        <rFont val="Arial"/>
        <family val="2"/>
      </rPr>
      <t>(Bitte zunächst Stammdaten ausfüllen)</t>
    </r>
  </si>
  <si>
    <t>Bemessungsfaktoren AHV/IV Schweiz Skala44</t>
  </si>
  <si>
    <t>Rente im EzE</t>
  </si>
  <si>
    <t>Barwert der Rente im EzE</t>
  </si>
  <si>
    <t>TOZiffer</t>
  </si>
  <si>
    <t>Die TO enthält die Regelungen für die interne Teilung  in Ziff:</t>
  </si>
  <si>
    <t>Tabelle 1 Alters- und Invaliditätsrente</t>
  </si>
  <si>
    <t>Tabelle 2 reine Altersrente</t>
  </si>
  <si>
    <t>Renteneintritssalter</t>
  </si>
  <si>
    <t>Zu-/Abschlag</t>
  </si>
  <si>
    <t>Ldy-Zuschlag</t>
  </si>
  <si>
    <t>max</t>
  </si>
  <si>
    <t>Tab1</t>
  </si>
  <si>
    <t>Jahreswert Rente</t>
  </si>
  <si>
    <t>vor 65</t>
  </si>
  <si>
    <t>Tabelle2</t>
  </si>
  <si>
    <t>Tabelle 2</t>
  </si>
  <si>
    <t>nach 65</t>
  </si>
  <si>
    <t>LDynZuschlag</t>
  </si>
  <si>
    <t>bilanzierter Wert</t>
  </si>
  <si>
    <t>Berechnungsdatum</t>
  </si>
  <si>
    <t>aktRW Berechnungsdatum</t>
  </si>
  <si>
    <t>Abweichung:</t>
  </si>
  <si>
    <t>Absoluter Grenzwert</t>
  </si>
  <si>
    <t>Barwertfaktor</t>
  </si>
  <si>
    <t>RentnerM</t>
  </si>
  <si>
    <t>RentnerF</t>
  </si>
  <si>
    <t>Bitte tragen Sie EzA und EzE ein</t>
  </si>
  <si>
    <t>anderenfalls Übernahme aus Datenerfassung</t>
  </si>
  <si>
    <t>BilmoG-10</t>
  </si>
  <si>
    <t>BilMoG</t>
  </si>
  <si>
    <t>.</t>
  </si>
  <si>
    <t>-</t>
  </si>
  <si>
    <t>KoKa &lt; BW DRV = grün:
KoKa &gt; BW DRV = rot:</t>
  </si>
  <si>
    <t>Berechnungsschritte für betriebl. und private Versorgungen</t>
  </si>
  <si>
    <t>Deutsche Ärzteversicherung AG</t>
  </si>
  <si>
    <t>Rente bei Renten-eintritt</t>
  </si>
  <si>
    <t>Deka-Zukunftsplan und BonusRente</t>
  </si>
  <si>
    <t>Die TO fordert unzulässigerweise den Neuabschluss eines Vertrages bei gleichzeitiger freier Auswahl des Produktes d.d. ausglber. Person. Ziff. 7 sieht die Befolgung anderweitiger gerichtlicher Anordnungen vor.</t>
  </si>
  <si>
    <r>
      <rPr>
        <b/>
        <sz val="11"/>
        <color theme="1"/>
        <rFont val="Calibri"/>
        <family val="2"/>
        <scheme val="minor"/>
      </rPr>
      <t xml:space="preserve">3. </t>
    </r>
    <r>
      <rPr>
        <sz val="11"/>
        <color theme="1"/>
        <rFont val="Calibri"/>
        <family val="2"/>
        <scheme val="minor"/>
      </rPr>
      <t>Bitte geben Sie die Bezeichnung des Versorgungsträgers möglichst präzise ein</t>
    </r>
  </si>
  <si>
    <r>
      <rPr>
        <b/>
        <sz val="11"/>
        <color theme="1"/>
        <rFont val="Calibri"/>
        <family val="2"/>
        <scheme val="minor"/>
      </rPr>
      <t xml:space="preserve">14. </t>
    </r>
    <r>
      <rPr>
        <sz val="11"/>
        <color theme="1"/>
        <rFont val="Calibri"/>
        <family val="2"/>
        <scheme val="minor"/>
      </rPr>
      <t>ReZins</t>
    </r>
  </si>
  <si>
    <r>
      <rPr>
        <b/>
        <sz val="11"/>
        <color theme="1"/>
        <rFont val="Calibri"/>
        <family val="2"/>
        <scheme val="minor"/>
      </rPr>
      <t xml:space="preserve">9. </t>
    </r>
    <r>
      <rPr>
        <sz val="11"/>
        <color theme="1"/>
        <rFont val="Calibri"/>
        <family val="2"/>
        <scheme val="minor"/>
      </rPr>
      <t>Anwartschafts-
dynamik in %</t>
    </r>
  </si>
  <si>
    <r>
      <rPr>
        <b/>
        <sz val="11"/>
        <color theme="1"/>
        <rFont val="Calibri"/>
        <family val="2"/>
        <scheme val="minor"/>
      </rPr>
      <t xml:space="preserve">1. </t>
    </r>
    <r>
      <rPr>
        <sz val="11"/>
        <color theme="1"/>
        <rFont val="Calibri"/>
        <family val="2"/>
        <scheme val="minor"/>
      </rPr>
      <t xml:space="preserve">Geschlecht: </t>
    </r>
    <r>
      <rPr>
        <b/>
        <sz val="11"/>
        <color theme="1"/>
        <rFont val="Calibri"/>
        <family val="2"/>
        <scheme val="minor"/>
      </rPr>
      <t>M</t>
    </r>
    <r>
      <rPr>
        <sz val="11"/>
        <color theme="1"/>
        <rFont val="Calibri"/>
        <family val="2"/>
        <scheme val="minor"/>
      </rPr>
      <t xml:space="preserve"> oder </t>
    </r>
    <r>
      <rPr>
        <b/>
        <sz val="11"/>
        <color theme="1"/>
        <rFont val="Calibri"/>
        <family val="2"/>
        <scheme val="minor"/>
      </rPr>
      <t>W</t>
    </r>
  </si>
  <si>
    <r>
      <rPr>
        <b/>
        <sz val="11"/>
        <color theme="1"/>
        <rFont val="Calibri"/>
        <family val="2"/>
        <scheme val="minor"/>
      </rPr>
      <t xml:space="preserve">2. </t>
    </r>
    <r>
      <rPr>
        <sz val="11"/>
        <color theme="1"/>
        <rFont val="Calibri"/>
        <family val="2"/>
        <scheme val="minor"/>
      </rPr>
      <t xml:space="preserve">Art: </t>
    </r>
    <r>
      <rPr>
        <b/>
        <sz val="11"/>
        <color theme="1"/>
        <rFont val="Calibri"/>
        <family val="2"/>
        <scheme val="minor"/>
      </rPr>
      <t>b</t>
    </r>
    <r>
      <rPr>
        <sz val="11"/>
        <color theme="1"/>
        <rFont val="Calibri"/>
        <family val="2"/>
        <scheme val="minor"/>
      </rPr>
      <t xml:space="preserve"> betriebl. </t>
    </r>
    <r>
      <rPr>
        <b/>
        <sz val="11"/>
        <color theme="1"/>
        <rFont val="Calibri"/>
        <family val="2"/>
        <scheme val="minor"/>
      </rPr>
      <t xml:space="preserve"> p </t>
    </r>
    <r>
      <rPr>
        <sz val="11"/>
        <color theme="1"/>
        <rFont val="Calibri"/>
        <family val="2"/>
        <scheme val="minor"/>
      </rPr>
      <t>privat</t>
    </r>
  </si>
  <si>
    <r>
      <rPr>
        <b/>
        <sz val="11"/>
        <color theme="1"/>
        <rFont val="Calibri"/>
        <family val="2"/>
        <scheme val="minor"/>
      </rPr>
      <t xml:space="preserve">6. 
</t>
    </r>
    <r>
      <rPr>
        <sz val="11"/>
        <color theme="1"/>
        <rFont val="Calibri"/>
        <family val="2"/>
        <scheme val="minor"/>
      </rPr>
      <t>Für Berech-nung anzuneh-mender Ausglwert</t>
    </r>
  </si>
  <si>
    <t>Abweichung</t>
  </si>
  <si>
    <t>Sonstige 2</t>
  </si>
  <si>
    <t>BW ab Leistung</t>
  </si>
  <si>
    <t>abgez. BW</t>
  </si>
  <si>
    <t>BW + HRIR</t>
  </si>
  <si>
    <t>BW HRIR*VVR</t>
  </si>
  <si>
    <t>Berechnung bestd. Versorgung</t>
  </si>
  <si>
    <t>UFaktorEzE</t>
  </si>
  <si>
    <t>DRV EP f. langjährig Versicherte:</t>
  </si>
  <si>
    <t>In diesem Segment werden die Barwerte der auszugl. Versorg.  einheitlich mit einem ggfls. vom ReZins im EzE abweichend einzugebenden Zinssatz berechnet.</t>
  </si>
  <si>
    <r>
      <rPr>
        <b/>
        <sz val="11"/>
        <color theme="1"/>
        <rFont val="Calibri"/>
        <family val="2"/>
        <scheme val="minor"/>
      </rPr>
      <t xml:space="preserve">8. </t>
    </r>
    <r>
      <rPr>
        <sz val="11"/>
        <color theme="1"/>
        <rFont val="Calibri"/>
        <family val="2"/>
        <scheme val="minor"/>
      </rPr>
      <t>Renteneintritt in Jahren</t>
    </r>
  </si>
  <si>
    <t>Geschlecht Sp.B</t>
  </si>
  <si>
    <t>Mandant</t>
  </si>
  <si>
    <t xml:space="preserve">Unisex, Kapital </t>
  </si>
  <si>
    <t>sVA</t>
  </si>
  <si>
    <t>Versorgungsart: p = privat, b = betrieblich</t>
  </si>
  <si>
    <t>Datenauswahl bei Eingabebeschränkung</t>
  </si>
  <si>
    <t>Tabschritte</t>
  </si>
  <si>
    <r>
      <t xml:space="preserve">Ehezeitende </t>
    </r>
    <r>
      <rPr>
        <sz val="11"/>
        <color theme="1"/>
        <rFont val="Arial"/>
        <family val="2"/>
      </rPr>
      <t>(EzE)</t>
    </r>
    <r>
      <rPr>
        <b/>
        <sz val="11"/>
        <color theme="1"/>
        <rFont val="Arial"/>
        <family val="2"/>
      </rPr>
      <t xml:space="preserve"> eingeben:</t>
    </r>
  </si>
  <si>
    <r>
      <rPr>
        <vertAlign val="superscript"/>
        <sz val="10"/>
        <color theme="1"/>
        <rFont val="Arial"/>
        <family val="2"/>
      </rPr>
      <t>*)</t>
    </r>
    <r>
      <rPr>
        <sz val="10"/>
        <color theme="1"/>
        <rFont val="Arial"/>
        <family val="2"/>
      </rPr>
      <t xml:space="preserve"> geschlechtsspezifisch ermittelt</t>
    </r>
  </si>
  <si>
    <r>
      <rPr>
        <vertAlign val="superscript"/>
        <sz val="10"/>
        <color theme="1"/>
        <rFont val="Arial"/>
        <family val="2"/>
      </rPr>
      <t>**)</t>
    </r>
    <r>
      <rPr>
        <sz val="10"/>
        <color theme="1"/>
        <rFont val="Arial"/>
        <family val="2"/>
      </rPr>
      <t xml:space="preserve"> Unisex-Tarif</t>
    </r>
  </si>
  <si>
    <t>Kohorte ReAlter</t>
  </si>
  <si>
    <t>Kohorte Alter</t>
  </si>
  <si>
    <t>AbändBilMoG_Wahl</t>
  </si>
  <si>
    <t>VBL</t>
  </si>
  <si>
    <r>
      <rPr>
        <b/>
        <sz val="11"/>
        <color theme="1"/>
        <rFont val="Calibri"/>
        <family val="2"/>
        <scheme val="minor"/>
      </rPr>
      <t xml:space="preserve">7. </t>
    </r>
    <r>
      <rPr>
        <sz val="11"/>
        <color theme="1"/>
        <rFont val="Calibri"/>
        <family val="2"/>
        <scheme val="minor"/>
      </rPr>
      <t>"U" = Unisex
"K" = Kap.&amp;Fonds</t>
    </r>
  </si>
  <si>
    <t>VVR_EzE</t>
  </si>
  <si>
    <t>VVR_Rente</t>
  </si>
  <si>
    <t>BW Leistungszeit</t>
  </si>
  <si>
    <t>BW reine Rente im EzE</t>
  </si>
  <si>
    <t>Ausgleichswert-abweichung</t>
  </si>
  <si>
    <t>Link zum rechtswahrenden Tenorierungsvorschlag</t>
  </si>
  <si>
    <t>Zurück zur Fallerfassung</t>
  </si>
  <si>
    <t>Altersgrenzenrechner</t>
  </si>
  <si>
    <r>
      <rPr>
        <sz val="12"/>
        <color rgb="FFFFC000"/>
        <rFont val="Wingdings 2"/>
        <family val="1"/>
        <charset val="2"/>
      </rPr>
      <t>¢</t>
    </r>
    <r>
      <rPr>
        <b/>
        <sz val="12"/>
        <color theme="1"/>
        <rFont val="Arial"/>
        <family val="2"/>
      </rPr>
      <t>=</t>
    </r>
    <r>
      <rPr>
        <sz val="12"/>
        <color theme="1"/>
        <rFont val="Arial"/>
        <family val="2"/>
      </rPr>
      <t xml:space="preserve"> </t>
    </r>
    <r>
      <rPr>
        <sz val="10"/>
        <color theme="1"/>
        <rFont val="Arial"/>
        <family val="2"/>
      </rPr>
      <t>§ 14 I Nr. 2 und § 18  VersAusglG</t>
    </r>
  </si>
  <si>
    <t>Name, Vorname d. Ehemannes:</t>
  </si>
  <si>
    <t>Name, Vorname Ehefrau:</t>
  </si>
  <si>
    <t>Um ö.r. Versorg mit pAV und bAV ver-gleichbar zu machen kann zur BW-Berechnung ein vom EzE abweichender ReZins eingegeben werden (ev. 3%)</t>
  </si>
  <si>
    <t xml:space="preserve">  M a n n</t>
  </si>
  <si>
    <t xml:space="preserve">  F r a u</t>
  </si>
  <si>
    <t>Barwert:</t>
  </si>
  <si>
    <t>alternat. einheitl. ReZins:</t>
  </si>
  <si>
    <t>Renten- bzw. Barwertsumme (kein KoKa!) EzE:</t>
  </si>
  <si>
    <t>Renten- und Barwertsummen aller Versorgungen:</t>
  </si>
  <si>
    <t>Sonstige 1</t>
  </si>
  <si>
    <t>Zum Ändern der Dynamikannahmen hier klicken</t>
  </si>
  <si>
    <r>
      <rPr>
        <b/>
        <sz val="16"/>
        <color theme="1"/>
        <rFont val="Arial"/>
        <family val="2"/>
      </rPr>
      <t>Hinweis zur einfacheren Programmbedienung:</t>
    </r>
    <r>
      <rPr>
        <sz val="11"/>
        <color theme="1"/>
        <rFont val="Arial"/>
        <family val="2"/>
      </rPr>
      <t xml:space="preserve">
Es erleichtert die Arbeit mit dem Programm, wenn Sie es unter dem Namen &lt;</t>
    </r>
    <r>
      <rPr>
        <b/>
        <sz val="11"/>
        <color theme="1"/>
        <rFont val="Arial"/>
        <family val="2"/>
      </rPr>
      <t>Kapitalwertkontrolle 2023.</t>
    </r>
    <r>
      <rPr>
        <b/>
        <u/>
        <sz val="11"/>
        <color theme="1"/>
        <rFont val="Arial"/>
        <family val="2"/>
      </rPr>
      <t>xltx</t>
    </r>
    <r>
      <rPr>
        <sz val="11"/>
        <color theme="1"/>
        <rFont val="Arial"/>
        <family val="2"/>
      </rPr>
      <t>&gt; im Verzeichnis &lt;Dokumente&gt;&lt;Benutzerdefinierte Office-Vorlagen&gt; auf Ihrer Festplatte abspeichern und eine Verbindung zu dieser Datei auf Ihren Desktop legen (rechter Mausklick auf die Datei, 'Verknüpfung erstellen' und die Verknüpfung mit der Maus auf den Desktop ziehen). Die Datei ist dann eine &lt;Vorlage&gt; und ein Doppelklick auf das Desktop-Symbol startet eine Kopie der Datei im &lt;XLSX&gt;-Format. Selbst wenn Sie in dieser Kopie Änderungen vornehmen und die Datei abgespeichert wird (meist versehentlich), wird die Ursprungsdatei nicht verändert. Dadurch werden vor dem Abspeichern versehentlich nicht gelöschte Eingaben nicht in die Ursprungsdatei gespeichert. Diese steht Ihnen beim nächsten Start "jungfräulich" wieder zur Verfügung. Die XLSX-Datei ist wie der Stempel, der gegen ungewollte Veränderungen geschützt ist, die durch Anklicken gestartete Version ist das Formular, das mit dem 'Stempel' erzegt wird. Die mit Eingaben und Daten versehene Datei (das Formular) können Sie dann in einem beliebigen Verzeichnis Ihrer Festplatte unter beliebigem Namen abspeichern.</t>
    </r>
  </si>
  <si>
    <r>
      <rPr>
        <b/>
        <sz val="11"/>
        <color theme="1"/>
        <rFont val="Calibri"/>
        <family val="2"/>
        <scheme val="minor"/>
      </rPr>
      <t xml:space="preserve">12. </t>
    </r>
    <r>
      <rPr>
        <sz val="11"/>
        <color theme="1"/>
        <rFont val="Calibri"/>
        <family val="2"/>
        <scheme val="minor"/>
      </rPr>
      <t>Invaliditäts-V. (Quote in %)</t>
    </r>
  </si>
  <si>
    <r>
      <rPr>
        <b/>
        <sz val="11"/>
        <color theme="1"/>
        <rFont val="Calibri"/>
        <family val="2"/>
        <scheme val="minor"/>
      </rPr>
      <t xml:space="preserve">13. </t>
    </r>
    <r>
      <rPr>
        <sz val="11"/>
        <color theme="1"/>
        <rFont val="Calibri"/>
        <family val="2"/>
        <scheme val="minor"/>
      </rPr>
      <t>Hinterbl.-V (Quote in %)</t>
    </r>
  </si>
  <si>
    <t>Barwert in DRV aus kapAusglW</t>
  </si>
  <si>
    <t>C &amp; A Services GmbH &amp; Co. OHG</t>
  </si>
  <si>
    <t>§ 3 Ziff. 4, 6</t>
  </si>
  <si>
    <t>Zum freien Arbeitsblatt</t>
  </si>
  <si>
    <t>Bei fondsbasierter Versorgung ist die Bezugsgr. Trotz anderslautender TO der Fondsanteil (Fritsche, NZFam 2023, 370) anders aber falsch: OLG Dresden, 21 UF 687/22.</t>
  </si>
  <si>
    <t>vorauss. RK der VA-Entscheidung bzw. Abzinsungszeitpunkt</t>
  </si>
  <si>
    <t>Ehezeitende bzw. Fälligkeitszeitpunkt</t>
  </si>
  <si>
    <t>Auf- bzw. Abzinsungsergebnis einer Ausgl.forderung:</t>
  </si>
  <si>
    <t>Allianz Pensionskasse</t>
  </si>
  <si>
    <t>Ziff. 4</t>
  </si>
  <si>
    <t>Nach Ziff. 2.2 wird der Ausgleichswert bei lfd. Renten gem. BGH XII ZB 447/13 bestimmt. Das Gericht muss das bewerten u. kontrollieren.</t>
  </si>
  <si>
    <t>Württembergische Lebensversicherung AG</t>
  </si>
  <si>
    <t>Carl Zeiss AG</t>
  </si>
  <si>
    <t>Die TO folgt der familiengerichtlichen Tenorierung in § 7. Allenfalls ist die Teilhabe zwischen EzE und RK an der Wertentwicklung des Anrechts zu prüfen.</t>
  </si>
  <si>
    <t>Summen Mann:</t>
  </si>
  <si>
    <t>Summen Frau:</t>
  </si>
  <si>
    <t>vorauss. Rentensumme im ges. ReAlter:</t>
  </si>
  <si>
    <t>Debeka ZVK VaG Tarif ZVD 7</t>
  </si>
  <si>
    <t>79-2021</t>
  </si>
  <si>
    <t>Ziff 5</t>
  </si>
  <si>
    <t>Barwerterwerb des Gatten aus dem Ausgleichswert</t>
  </si>
  <si>
    <t xml:space="preserve"> KoKa </t>
  </si>
  <si>
    <t xml:space="preserve">KoKa  </t>
  </si>
  <si>
    <t>aus einem Euro Rente werden … € Brwert generiert</t>
  </si>
  <si>
    <t>Die bAV-Versorgung entspricht …. € Versorgung der DRV</t>
  </si>
  <si>
    <t>BP Europa SE</t>
  </si>
  <si>
    <t>Bei Invalidität der ausglber. Person im Zeitpunkt der Begründung des Anrechts wird Invaliditätsrente gewährt (Ziff. 5.2.)</t>
  </si>
  <si>
    <t>in DRV</t>
  </si>
  <si>
    <t>Äquivalenz-faktor</t>
  </si>
  <si>
    <t>Mecklenburgische LV AG</t>
  </si>
  <si>
    <t>TO sieht für Riester-Versorgungen einen Wechsel zu de "aktuellen Rechnungsgrundlagen vor! Der Begründungszeitpunkt ist in der TO nicht definiert, daher vorsorglich auf Wertentwicklungsteilhabe hinweisen.</t>
  </si>
  <si>
    <r>
      <t>BGH v. 25.02.2015 - XII ZB 364/14;</t>
    </r>
    <r>
      <rPr>
        <b/>
        <u/>
        <sz val="8"/>
        <color theme="1"/>
        <rFont val="Arial"/>
        <family val="2"/>
      </rPr>
      <t xml:space="preserve"> BGH v. 19.08.2015 - XII ZB 443/14</t>
    </r>
    <r>
      <rPr>
        <sz val="8"/>
        <color theme="1"/>
        <rFont val="Arial"/>
        <family val="2"/>
      </rPr>
      <t>; OLG Brandbg. v. 02.09.2020 - 9 UF 86/20; OLG Celle v. 05.04.2019 - 21 UF 202/18; OLG FfM v. 09.04.2020 - 4 UF 46/19; OLG FfM v. 17.09.2019 - 4 UF 273/17; OLG FfM v. 17.09.2019 - 4 UF 273/17; OLG FfM v. 17.09.2019 - 4 UF 273/17; OLG FfM v. 22.08.2019 - 4 UF 86/17; OLG FfM v. 22.08.2019 - 4 UF 86/17; OLG Hamm v. 20.06.2018 - 7 UF 213/17; OLG Hamm v. 20.06.2018 - 7 UF 213/17; OLG Ka v. 20.04.2021 - 5 UF 112/20; OLG Köln v. 02.10.2018 - 25 UF 34/18; OLG Nürnberg v. 18.12.2018 - 11 UF 815/18; OLG Schleswig v. 08.06.2020 - 15 UF 188/19; OLG Karlsruhe v. 16.10.2022 16 UF 109/22; OLG FfM v. 5.5.5022 - 4 UF 43/19.</t>
    </r>
  </si>
  <si>
    <t>Opel GmbH</t>
  </si>
  <si>
    <t>Barwertdifferenz</t>
  </si>
  <si>
    <t>RK</t>
  </si>
  <si>
    <t>Alter in RK</t>
  </si>
  <si>
    <t>Biometriekorrektur zur RK</t>
  </si>
  <si>
    <t>KorrekturVVR</t>
  </si>
  <si>
    <t>Korrekturfaktor</t>
  </si>
  <si>
    <t>Barwert RK AusglBer</t>
  </si>
  <si>
    <t>Berechnung Barwert d. AusglPflg</t>
  </si>
  <si>
    <t>Invaliditätskorrektur</t>
  </si>
  <si>
    <t>Nebenleistungskorrektur AusglBer RK</t>
  </si>
  <si>
    <t>Hinterbliebenenkorrektur</t>
  </si>
  <si>
    <t>Nebenleistungen AusglPfl. RK</t>
  </si>
  <si>
    <t>Korrekturfaktor Nebenleistungen</t>
  </si>
  <si>
    <t>aufgezinster korrigierter Barwert</t>
  </si>
  <si>
    <t>=E_Kapital*WENN(E_AnwartschaftszeitABer&gt;0;(1+E_ReZins1)^(E_AnwartschaftszeitABer);1)*(E_ReZins1-E_ReTrend1))/(1-1/(1+(E_ReZins1-E_ReTrend1))^E_LXYAlterABer)/E_VVRAusglBer/12)/WENN(ODER(E_InvaliditätAusglBer;E_HinterbliebeneAusglBer);1)</t>
  </si>
  <si>
    <t>E_Kapital</t>
  </si>
  <si>
    <t>(1+E_ReZins1)^(E_AnwartschaftszeitABer)</t>
  </si>
  <si>
    <t>*(E_ReZins1-E_ReTrend1))/(1-1/(1+(E_ReZins1-E_ReTrend1))^E_LXYAlterABer)/E_VVRAusglBer/12)</t>
  </si>
  <si>
    <t>RK_VVRAglBer</t>
  </si>
  <si>
    <t>RK_VVRAglBer_Faktor</t>
  </si>
  <si>
    <t>Rechtskraftdatum:</t>
  </si>
  <si>
    <t>Zeitabstand EzE - Rechtskraft</t>
  </si>
  <si>
    <t>Anwartschaftszeit RK -Rente</t>
  </si>
  <si>
    <t>Lebenserwartung ab Renteneintritt</t>
  </si>
  <si>
    <t>Nebenleistung AusglBer Person im RK-Zeitpunkt</t>
  </si>
  <si>
    <t>Rentenerwartung ausglber. Person:</t>
  </si>
  <si>
    <r>
      <t xml:space="preserve">Wertteilhabe bei interner Teilung z.Zt. der RK </t>
    </r>
    <r>
      <rPr>
        <sz val="8"/>
        <color rgb="FF000000"/>
        <rFont val="Arial"/>
        <family val="2"/>
      </rPr>
      <t>(BGH XII ZB 443/14)</t>
    </r>
  </si>
  <si>
    <t>Beta-Version</t>
  </si>
  <si>
    <t>KoKa:</t>
  </si>
  <si>
    <r>
      <t xml:space="preserve">Zuschläge zum Barwert für 
</t>
    </r>
    <r>
      <rPr>
        <b/>
        <sz val="10"/>
        <color indexed="8"/>
        <rFont val="Calibri"/>
        <family val="2"/>
      </rPr>
      <t xml:space="preserve">Invaliditäts- und Hinterbliebenenversorgung </t>
    </r>
    <r>
      <rPr>
        <sz val="10"/>
        <color indexed="8"/>
        <rFont val="Arial"/>
        <family val="2"/>
      </rPr>
      <t xml:space="preserve">
- unisex -</t>
    </r>
  </si>
  <si>
    <t>Heidelberger Cement AG, Heidelberg</t>
  </si>
  <si>
    <r>
      <rPr>
        <b/>
        <i/>
        <sz val="10"/>
        <color theme="1"/>
        <rFont val="Arial"/>
        <family val="2"/>
      </rPr>
      <t>Kursiv =</t>
    </r>
    <r>
      <rPr>
        <sz val="10"/>
        <color theme="1"/>
        <rFont val="Arial"/>
        <family val="2"/>
      </rPr>
      <t xml:space="preserve"> Wert vom Programm errechnet</t>
    </r>
  </si>
  <si>
    <t>TO ist bezüglich der Haupt-Kritikpunkte nicht zu beanstanden.</t>
  </si>
  <si>
    <t>1. Stammdatenerfassungsbogen - Ausgleichswerte eingeben</t>
  </si>
  <si>
    <r>
      <t xml:space="preserve">6. Angaben aus den Auskünften zu betrieblichen und privaten Versorgungen </t>
    </r>
    <r>
      <rPr>
        <sz val="10"/>
        <color theme="1"/>
        <rFont val="Arial"/>
        <family val="2"/>
      </rPr>
      <t>(Prüfung: grün = nicht erforderlich; orange = ratsam; rot = erforderlich)</t>
    </r>
    <r>
      <rPr>
        <b/>
        <sz val="10"/>
        <color theme="1"/>
        <rFont val="Arial"/>
        <family val="2"/>
      </rPr>
      <t xml:space="preserve"> </t>
    </r>
  </si>
  <si>
    <t>7. AusglWerte betr. &amp; private Versorgungen
ehezeitl. Versorgungserwerb Ergebnisse</t>
  </si>
  <si>
    <t>8. Barwert-Vergleichbarkeit</t>
  </si>
  <si>
    <r>
      <t>12. Äquivalenzwert</t>
    </r>
    <r>
      <rPr>
        <sz val="11"/>
        <color theme="1"/>
        <rFont val="Arial"/>
        <family val="2"/>
      </rPr>
      <t xml:space="preserve"> d. KoKa berufsständischer Versorgung: KoKa x Äquivalenzfaktor</t>
    </r>
  </si>
  <si>
    <t>12. Barwertäquivalenz</t>
  </si>
  <si>
    <r>
      <rPr>
        <b/>
        <sz val="11"/>
        <color theme="1"/>
        <rFont val="Arial"/>
        <family val="2"/>
      </rPr>
      <t>(1) Äquivalenzfaktor</t>
    </r>
    <r>
      <rPr>
        <sz val="11"/>
        <color theme="1"/>
        <rFont val="Arial"/>
        <family val="2"/>
      </rPr>
      <t>: 
BW bAV / BW DRV aus AusglW</t>
    </r>
  </si>
  <si>
    <r>
      <rPr>
        <b/>
        <sz val="11"/>
        <color theme="1"/>
        <rFont val="Arial"/>
        <family val="2"/>
      </rPr>
      <t>(2) Barwertäquivalent</t>
    </r>
    <r>
      <rPr>
        <sz val="11"/>
        <color theme="1"/>
        <rFont val="Arial"/>
        <family val="2"/>
      </rPr>
      <t xml:space="preserve"> des BW der bAV-Versrg. zum BW der DRV</t>
    </r>
  </si>
  <si>
    <r>
      <t xml:space="preserve">(3) aus dem angenomm-enen </t>
    </r>
    <r>
      <rPr>
        <b/>
        <sz val="11"/>
        <color theme="1"/>
        <rFont val="Arial"/>
        <family val="2"/>
      </rPr>
      <t>Barwert</t>
    </r>
    <r>
      <rPr>
        <sz val="11"/>
        <color theme="1"/>
        <rFont val="Arial"/>
        <family val="2"/>
      </rPr>
      <t xml:space="preserve"> resultie-rende </t>
    </r>
    <r>
      <rPr>
        <b/>
        <sz val="11"/>
        <color theme="1"/>
        <rFont val="Arial"/>
        <family val="2"/>
      </rPr>
      <t>EP in DRV</t>
    </r>
  </si>
  <si>
    <t>≈</t>
  </si>
  <si>
    <t>einer Betriebs- oder Privatrente aus Rente oder Kapital</t>
  </si>
  <si>
    <t>Berechnung des Kapital- oder Rentenwerts</t>
  </si>
  <si>
    <t>1. Beschäftigung von</t>
  </si>
  <si>
    <t>2. Beschäftigung bis</t>
  </si>
  <si>
    <r>
      <t>3. Teilzeit-Faktor</t>
    </r>
    <r>
      <rPr>
        <vertAlign val="superscript"/>
        <sz val="8"/>
        <color indexed="10"/>
        <rFont val="Arial"/>
        <family val="2"/>
      </rPr>
      <t>*)</t>
    </r>
  </si>
  <si>
    <t>4. Rechnen mit
TZ-Faktor</t>
  </si>
  <si>
    <t>6. in Ehezeit:</t>
  </si>
  <si>
    <t>11. Ehezeitanteil Rente / Forder.</t>
  </si>
  <si>
    <t>Rente im ReEintritt bei ADyn</t>
  </si>
  <si>
    <t>abgezinster BW im EzE</t>
  </si>
  <si>
    <t>BW incl. HRIR &amp; VVR im EzE</t>
  </si>
  <si>
    <t>historische Aktienkurse</t>
  </si>
  <si>
    <t>ERGO Pensionsfonds AG</t>
  </si>
  <si>
    <t>Nach § 3 Ziff. 6 ist die Verzinsung des AusglW zwischen EzE und RK ausdrücklich vom Gerichtanzuordnen.</t>
  </si>
  <si>
    <t>ERGO Lebensversicherung AG</t>
  </si>
  <si>
    <t>PV-Beitragssatz</t>
  </si>
  <si>
    <t>BBG Monat</t>
  </si>
  <si>
    <t>BBG Jahr</t>
  </si>
  <si>
    <t>KV-Beitragssatz</t>
  </si>
  <si>
    <t>Kinder</t>
  </si>
  <si>
    <t>kinderlos_Zu</t>
  </si>
  <si>
    <t>aktiviert</t>
  </si>
  <si>
    <t>Informationen zur Programmbedienung sVA</t>
  </si>
  <si>
    <t>Tabelle9a</t>
  </si>
  <si>
    <t>Victoria LV AG</t>
  </si>
  <si>
    <t>Frankfurt Münchener Lebensversicherung AG</t>
  </si>
  <si>
    <t>15.7.2017?</t>
  </si>
  <si>
    <t>InterRisk Lebensversicherungs AG Vienna Insurance Group</t>
  </si>
  <si>
    <t>TO sieht in Ziff. 6 die Befolgung einer abweichenden Tenorierung des FamG vor.</t>
  </si>
  <si>
    <t>Gesamthöhe monatl. Rente</t>
  </si>
  <si>
    <t>ehezeitlich?
&lt; 100% ?</t>
  </si>
  <si>
    <t>Versorgungsbezeichnung
eingeben</t>
  </si>
  <si>
    <t>sonst. sozverspfl. Alterseinkommen:</t>
  </si>
  <si>
    <t>SVA_Höchst3b</t>
  </si>
  <si>
    <t>Anteil an Summe bAV Einkommen</t>
  </si>
  <si>
    <t>Landesbank Berlin</t>
  </si>
  <si>
    <t>Nach Ziff. 6 der TO (letzter Absatz) wird die Versorgung z.G. der ausglber. Person "ab dem Tag der Bekanntgabe der Entscheidung des FamG über den Versorgungsausgleich" begründet.</t>
  </si>
  <si>
    <t>BVV, Banken Versicherungs Verein</t>
  </si>
  <si>
    <t>bAV 2</t>
  </si>
  <si>
    <t>bAV 3</t>
  </si>
  <si>
    <t>bAV 4</t>
  </si>
  <si>
    <t xml:space="preserve">        Zeitdifferenzbestimmung Basis:</t>
  </si>
  <si>
    <r>
      <rPr>
        <b/>
        <sz val="11"/>
        <color theme="1"/>
        <rFont val="Calibri"/>
        <family val="2"/>
        <scheme val="minor"/>
      </rPr>
      <t>4. ehezeitl. Altersrente in € zu 1/2</t>
    </r>
    <r>
      <rPr>
        <sz val="11"/>
        <color theme="1"/>
        <rFont val="Calibri"/>
        <family val="2"/>
        <scheme val="minor"/>
      </rPr>
      <t xml:space="preserve">
(Ausglwert) als Monatsrente</t>
    </r>
  </si>
  <si>
    <t>5. 
vom VT mitgeteilter Ausgleichs-wert (Kapital)</t>
  </si>
  <si>
    <t>11. Versorgungserwerb aus Barwert 
der b &amp; p Versorgungen in DRV</t>
  </si>
  <si>
    <r>
      <t xml:space="preserve">Hier wird aus </t>
    </r>
    <r>
      <rPr>
        <b/>
        <sz val="9"/>
        <color theme="1"/>
        <rFont val="Arial"/>
        <family val="2"/>
      </rPr>
      <t>Barwert der b &amp; p Versorgungen</t>
    </r>
    <r>
      <rPr>
        <sz val="9"/>
        <color theme="1"/>
        <rFont val="Arial"/>
        <family val="2"/>
      </rPr>
      <t xml:space="preserve"> Rentenerwerb und Barwert </t>
    </r>
    <r>
      <rPr>
        <b/>
        <sz val="9"/>
        <color theme="1"/>
        <rFont val="Arial"/>
        <family val="2"/>
      </rPr>
      <t>in der DRV</t>
    </r>
    <r>
      <rPr>
        <sz val="9"/>
        <color theme="1"/>
        <rFont val="Arial"/>
        <family val="2"/>
      </rPr>
      <t xml:space="preserve"> mit ReZins Sp. 14 errechnet</t>
    </r>
  </si>
  <si>
    <t>Generali Pensionsfonds AG</t>
  </si>
  <si>
    <t>IV</t>
  </si>
  <si>
    <t>9. KoKa*) (KoKa &lt;&gt;Bartwert)</t>
  </si>
  <si>
    <t>VPIMaxalt</t>
  </si>
  <si>
    <t>E_Volldynamik</t>
  </si>
  <si>
    <t>Quell-Versorgung</t>
  </si>
  <si>
    <t>Differen der Barwerte:</t>
  </si>
  <si>
    <t>KoKa-Differenz:</t>
  </si>
  <si>
    <t>KoKa-Differenz</t>
  </si>
  <si>
    <t>AusgleichDRV</t>
  </si>
  <si>
    <r>
      <t xml:space="preserve">ehezeitlicher </t>
    </r>
    <r>
      <rPr>
        <b/>
        <sz val="11"/>
        <color theme="1"/>
        <rFont val="Arial"/>
        <family val="2"/>
      </rPr>
      <t>Versorgungserwerb</t>
    </r>
    <r>
      <rPr>
        <sz val="11"/>
        <color theme="1"/>
        <rFont val="Arial"/>
        <family val="2"/>
      </rPr>
      <t xml:space="preserve"> alt/neu</t>
    </r>
  </si>
  <si>
    <t>Abänderungsdimension bezogen auf das Berechnungsdatum:</t>
  </si>
  <si>
    <t>Kern Mauch &amp; Kollegen</t>
  </si>
  <si>
    <t>HGB-Zinsprognose</t>
  </si>
  <si>
    <t>Kern Mauch &amp; Kollegen (kmkoll.de)</t>
  </si>
  <si>
    <t>Beitragskosten für
1 Euro Rente</t>
  </si>
  <si>
    <t>Ø-Entgelt ges. Renten-versicherung § 69 II SGB VI</t>
  </si>
  <si>
    <t>Beitragsbem.Grenze gRV § 159 SGB VI</t>
  </si>
  <si>
    <t>Sonstige Versorgung</t>
  </si>
  <si>
    <t>Barwertfaktor 5,5%</t>
  </si>
  <si>
    <t>Fälligkeit in Jahren</t>
  </si>
  <si>
    <t>Betrag</t>
  </si>
  <si>
    <t>Geschlecht des Berechtigten: m / f / d</t>
  </si>
  <si>
    <t>Barwert nach § 12 BewG (Rechnungszins 5,5%):</t>
  </si>
  <si>
    <r>
      <rPr>
        <b/>
        <sz val="11"/>
        <color theme="1"/>
        <rFont val="Calibri"/>
        <family val="2"/>
        <scheme val="minor"/>
      </rPr>
      <t>10. Rententrend</t>
    </r>
    <r>
      <rPr>
        <sz val="11"/>
        <color theme="1"/>
        <rFont val="Calibri"/>
        <family val="2"/>
        <scheme val="minor"/>
      </rPr>
      <t xml:space="preserve"> in % </t>
    </r>
    <r>
      <rPr>
        <sz val="8"/>
        <color theme="1"/>
        <rFont val="Calibri"/>
        <family val="2"/>
        <scheme val="minor"/>
      </rPr>
      <t>BGH XII ZB 408/13</t>
    </r>
  </si>
  <si>
    <t>ausglpfl. Person (M, 50), Rente ab 67: 500 €, ReZins BilMoG-7 ab 2008
Rentenerwerb aus Ausgl.Wert der Quellversorgung in DRV</t>
  </si>
  <si>
    <t>Geschlecht d. ausgleichspflichtigen Person (m/w/d)</t>
  </si>
  <si>
    <t>Netto-Versorgung</t>
  </si>
  <si>
    <t>∑ Barwertfaktoren</t>
  </si>
  <si>
    <t>Anwartschafts-zeit</t>
  </si>
  <si>
    <t>VVR BerZtpkt</t>
  </si>
  <si>
    <t>VVR Rente</t>
  </si>
  <si>
    <t>BW Abfindungszpkt.</t>
  </si>
  <si>
    <t xml:space="preserve">Barwertfaktor Heubeck 2018 </t>
  </si>
  <si>
    <t>Bezeichnung</t>
  </si>
  <si>
    <t>Seite</t>
  </si>
  <si>
    <t>axaw</t>
  </si>
  <si>
    <t>Invalid.V</t>
  </si>
  <si>
    <t>Hinterbl.V</t>
  </si>
  <si>
    <t>Berzpkt-10J</t>
  </si>
  <si>
    <t>VPI Berzpkt-10</t>
  </si>
  <si>
    <t>Inflation(10)</t>
  </si>
  <si>
    <t>AR+IR</t>
  </si>
  <si>
    <t>Leistungszeit bis Abfindung</t>
  </si>
  <si>
    <t>Vers.-technisches Alter EzE</t>
  </si>
  <si>
    <t>∑=</t>
  </si>
  <si>
    <t>Barwertfaktor Heubeck 2018-G Invaliditätsabsicherung</t>
  </si>
  <si>
    <t>Barwertfaktor Heubeck 2018-G Altersabsicherung</t>
  </si>
  <si>
    <t>Barwertfaktor Heubeck 2018-G Hinterbliebenenabsicherung</t>
  </si>
  <si>
    <t>Alters-R</t>
  </si>
  <si>
    <t>Invalid-R</t>
  </si>
  <si>
    <t>Witw.-R</t>
  </si>
  <si>
    <t>AusglBer</t>
  </si>
  <si>
    <t>AusglPfl</t>
  </si>
  <si>
    <t>Rente bei Renteneintritt</t>
  </si>
  <si>
    <t>Barwertfaktor Heubeck 2018</t>
  </si>
  <si>
    <t>Rentenerwerb bei Abfindung:</t>
  </si>
  <si>
    <t>**) vgl Hauß, FamRB 2023, 37</t>
  </si>
  <si>
    <t>Verbesserungsvorschläge und Fehlermeldungen nehme ich gern entgegen. Ebenso, wenn die Komplexität der Berechnung ihren praktischen Nutzen fragwürdig erscheinen lässt.</t>
  </si>
  <si>
    <t>Der Autor haftet nicht für die Ergebnisse der mit dieser Rechenhilfe gefundenen Ergebnisse!</t>
  </si>
  <si>
    <t>ZielV AusglBer</t>
  </si>
  <si>
    <t>ZielV AusglPfl.</t>
  </si>
  <si>
    <t>ReEintritt DRV Ausglpfl</t>
  </si>
  <si>
    <t>VPI BerZtpkt</t>
  </si>
  <si>
    <t>SexAusglPfl</t>
  </si>
  <si>
    <t>SexAusglBer</t>
  </si>
  <si>
    <t>Liste Sex</t>
  </si>
  <si>
    <t>Berechnung Barwertfaktoren Hauß</t>
  </si>
  <si>
    <t>Rerechnung AusglBer in ZV</t>
  </si>
  <si>
    <t>BerzZpkt</t>
  </si>
  <si>
    <t>BerZtpkt</t>
  </si>
  <si>
    <t>BW Q-Versorg Hauß</t>
  </si>
  <si>
    <t>Adäquanz_DRVRenteneintritt</t>
  </si>
  <si>
    <t>5  b)</t>
  </si>
  <si>
    <t>./. Kranken- und Pflegeversicherung:</t>
  </si>
  <si>
    <t>Geburtstag der ausglber. Person</t>
  </si>
  <si>
    <t>anderes Rentenalter d. ausglber. Person :</t>
  </si>
  <si>
    <t>Leistungsdynamik in %:</t>
  </si>
  <si>
    <t>Invaliditätsversorgung in %:</t>
  </si>
  <si>
    <t>Umrechnungsfaktor</t>
  </si>
  <si>
    <t>Hinterbl.Versorg. in :</t>
  </si>
  <si>
    <t>Volldynamik in %:</t>
  </si>
  <si>
    <t>Leistungsmerkmale der abzufindenden Versorgung</t>
  </si>
  <si>
    <t>AboderAufzinsung</t>
  </si>
  <si>
    <t xml:space="preserve">Witwenrente </t>
  </si>
  <si>
    <t xml:space="preserve"> axaw</t>
  </si>
  <si>
    <r>
      <rPr>
        <b/>
        <sz val="11"/>
        <color theme="1"/>
        <rFont val="Arial"/>
        <family val="2"/>
      </rPr>
      <t>Renteneintrittsalteralter</t>
    </r>
    <r>
      <rPr>
        <sz val="11"/>
        <color theme="1"/>
        <rFont val="Arial"/>
        <family val="2"/>
      </rPr>
      <t xml:space="preserve"> d. auszugleichenden Versorgung  ggfls. als Dezimalwert:</t>
    </r>
  </si>
  <si>
    <r>
      <rPr>
        <b/>
        <sz val="11"/>
        <color theme="1"/>
        <rFont val="Arial"/>
        <family val="2"/>
      </rPr>
      <t>Invaliditätsabsicherung</t>
    </r>
    <r>
      <rPr>
        <sz val="11"/>
        <color theme="1"/>
        <rFont val="Arial"/>
        <family val="2"/>
      </rPr>
      <t xml:space="preserve"> der auszugleichenden Versorgung in % der Altersrente</t>
    </r>
  </si>
  <si>
    <r>
      <rPr>
        <b/>
        <sz val="11"/>
        <color theme="1"/>
        <rFont val="Arial"/>
        <family val="2"/>
      </rPr>
      <t>Hinterbliebenenversorgung</t>
    </r>
    <r>
      <rPr>
        <sz val="11"/>
        <color theme="1"/>
        <rFont val="Arial"/>
        <family val="2"/>
      </rPr>
      <t xml:space="preserve"> in % der Altersrente (meist 60%)</t>
    </r>
  </si>
  <si>
    <r>
      <rPr>
        <b/>
        <sz val="11"/>
        <color theme="1"/>
        <rFont val="Arial"/>
        <family val="2"/>
      </rPr>
      <t>Leistungsdynamik</t>
    </r>
    <r>
      <rPr>
        <sz val="11"/>
        <color theme="1"/>
        <rFont val="Arial"/>
        <family val="2"/>
      </rPr>
      <t xml:space="preserve"> (mind. 1% bei betrieblichen Anrechten, § 16 BetrAVG)</t>
    </r>
  </si>
  <si>
    <r>
      <t xml:space="preserve">Ausgleichswert im EzE (= 1/2 des ehezeitlich erworbenen </t>
    </r>
    <r>
      <rPr>
        <b/>
        <u/>
        <sz val="12"/>
        <color theme="1"/>
        <rFont val="Arial"/>
        <family val="2"/>
      </rPr>
      <t>Renten</t>
    </r>
    <r>
      <rPr>
        <b/>
        <sz val="12"/>
        <color theme="1"/>
        <rFont val="Arial"/>
        <family val="2"/>
      </rPr>
      <t>anspruchs)</t>
    </r>
  </si>
  <si>
    <t>ZielVAusglberAlternativ</t>
  </si>
  <si>
    <t>ZVAusglBerAlternativ</t>
  </si>
  <si>
    <t>QV-Ertrag:</t>
  </si>
  <si>
    <t>Umrechnung</t>
  </si>
  <si>
    <t>Alter:</t>
  </si>
  <si>
    <t>Verrentung v. Kapital</t>
  </si>
  <si>
    <t>Kohorte Berechnung</t>
  </si>
  <si>
    <t>Geburtstag:</t>
  </si>
  <si>
    <t>Aufzinsungsmethode</t>
  </si>
  <si>
    <t>aufgezinster BW</t>
  </si>
  <si>
    <t>ReZins EzE</t>
  </si>
  <si>
    <t>Ufaktor</t>
  </si>
  <si>
    <t>Alters- &amp; Invalid.V</t>
  </si>
  <si>
    <t>aktRW:</t>
  </si>
  <si>
    <t>ZV-Ertrag:</t>
  </si>
  <si>
    <r>
      <rPr>
        <b/>
        <sz val="11"/>
        <color theme="1"/>
        <rFont val="Arial"/>
        <family val="2"/>
      </rPr>
      <t>Geschlecht</t>
    </r>
    <r>
      <rPr>
        <sz val="11"/>
        <color theme="1"/>
        <rFont val="Arial"/>
        <family val="2"/>
      </rPr>
      <t xml:space="preserve"> der ausglber. Persin (m/w/d)</t>
    </r>
  </si>
  <si>
    <t>Anwartschaftsdynamik in %:</t>
  </si>
  <si>
    <t>Summe der Rentenzahlungen In QV</t>
  </si>
  <si>
    <t>Hauß:</t>
  </si>
  <si>
    <t>Heubeck:</t>
  </si>
  <si>
    <t>HR- und IR berücksichtigen</t>
  </si>
  <si>
    <t>Maßgeblicher Barwert für ZV-Berechnung</t>
  </si>
  <si>
    <t>Hauß</t>
  </si>
  <si>
    <r>
      <rPr>
        <b/>
        <sz val="11"/>
        <color theme="1"/>
        <rFont val="Arial"/>
        <family val="2"/>
      </rPr>
      <t>Renteneintrittsalteralter</t>
    </r>
    <r>
      <rPr>
        <sz val="11"/>
        <color theme="1"/>
        <rFont val="Arial"/>
        <family val="2"/>
      </rPr>
      <t xml:space="preserve"> falls abweichend vom Regelrentenalter eingeben:</t>
    </r>
  </si>
  <si>
    <t>Abfindungsbetrag (Zeile 24/25):</t>
  </si>
  <si>
    <t>(((1+J12)^V33-1)/J12)*J15*(1+J11)^W33*12)/WENN(Abf_HRIR_Ja;(1+Z33+AA33);1</t>
  </si>
  <si>
    <t>Versorgungsausgleich 2024</t>
  </si>
  <si>
    <r>
      <t>Berechnung des schuldrechtlichen Ausgleichs einer</t>
    </r>
    <r>
      <rPr>
        <b/>
        <sz val="14"/>
        <color rgb="FFFF0000"/>
        <rFont val="Arial"/>
        <family val="2"/>
      </rPr>
      <t xml:space="preserve"> </t>
    </r>
    <r>
      <rPr>
        <b/>
        <u/>
        <sz val="14"/>
        <color rgb="FFFF0000"/>
        <rFont val="Arial"/>
        <family val="2"/>
      </rPr>
      <t>Kapitalzahlung</t>
    </r>
    <r>
      <rPr>
        <b/>
        <sz val="14"/>
        <color theme="1"/>
        <rFont val="Arial"/>
        <family val="2"/>
      </rPr>
      <t xml:space="preserve"> nach § 22 VersAusglG</t>
    </r>
  </si>
  <si>
    <t>Berechnungsdatum:</t>
  </si>
  <si>
    <t>volle Kapitalzahlung:</t>
  </si>
  <si>
    <r>
      <t xml:space="preserve">Berechnung des auf das Kapital entfallenden Freibetragsanteils 
</t>
    </r>
    <r>
      <rPr>
        <b/>
        <sz val="11"/>
        <color rgb="FF0066FF"/>
        <rFont val="Arial"/>
        <family val="2"/>
      </rPr>
      <t>§ 228 I SGB V</t>
    </r>
  </si>
  <si>
    <t>monatl. Beitragsbem.Grenze:</t>
  </si>
  <si>
    <t>sVA_Geschlecht</t>
  </si>
  <si>
    <r>
      <rPr>
        <b/>
        <sz val="11"/>
        <color theme="1"/>
        <rFont val="Wingdings 3"/>
        <family val="1"/>
        <charset val="2"/>
      </rPr>
      <t>ÚÚ</t>
    </r>
    <r>
      <rPr>
        <b/>
        <sz val="11"/>
        <color theme="1"/>
        <rFont val="Arial"/>
        <family val="2"/>
      </rPr>
      <t xml:space="preserve">Jahresbetrag </t>
    </r>
    <r>
      <rPr>
        <b/>
        <sz val="11"/>
        <color theme="1"/>
        <rFont val="Wingdings 3"/>
        <family val="1"/>
        <charset val="2"/>
      </rPr>
      <t>ÚÚ</t>
    </r>
  </si>
  <si>
    <t>Überlebende im Alter</t>
  </si>
  <si>
    <t>Barwert der SozBeitrags bei VVR</t>
  </si>
  <si>
    <t>Barwert d. Sozialversicherungsbeitrags, der bei der Teilhabe an der Kapitalzahlung zu berücksichtigen ist:</t>
  </si>
  <si>
    <t>O_BewG</t>
  </si>
  <si>
    <t>mehr als 101</t>
  </si>
  <si>
    <t>Geburtsjahr Ausgleichspfl :</t>
  </si>
  <si>
    <t>Geschlecht (m/w/d):</t>
  </si>
  <si>
    <t>monatl. priv. KV- &amp; PV-Beiträge:</t>
  </si>
  <si>
    <t>Der Autor übernimmt keine Haftung für die gefundenen Ergebnisse. Korrekturvorschläge, Lob &amp; Tadel an RA Jörn Hauß, Hauss@anwaelte-du.de</t>
  </si>
  <si>
    <t>weiblich</t>
  </si>
  <si>
    <t>männlich</t>
  </si>
  <si>
    <t>Summenzeichen</t>
  </si>
  <si>
    <t>Fahrrad</t>
  </si>
  <si>
    <t>Haus</t>
  </si>
  <si>
    <t>entspricht</t>
  </si>
  <si>
    <t>ungefähr</t>
  </si>
  <si>
    <t>⚩</t>
  </si>
  <si>
    <t>Delta</t>
  </si>
  <si>
    <t>Δ</t>
  </si>
  <si>
    <t>PfeilUnten, oben. Rechts, links</t>
  </si>
  <si>
    <t>Durchschnitt</t>
  </si>
  <si>
    <t></t>
  </si>
  <si>
    <t>↑</t>
  </si>
  <si>
    <t>→</t>
  </si>
  <si>
    <t>←</t>
  </si>
  <si>
    <t>Justitia</t>
  </si>
  <si>
    <t>BW bei Abfindung</t>
  </si>
  <si>
    <t>Aufzinsungszeit</t>
  </si>
  <si>
    <t>BW EzE</t>
  </si>
  <si>
    <t>VRR EzE</t>
  </si>
  <si>
    <t>Aufzinsungszeit bis Abfindung</t>
  </si>
  <si>
    <t>VRR Rente</t>
  </si>
  <si>
    <t>VRR</t>
  </si>
  <si>
    <t>Aufzinsunf AusglW EzE bis Abfindung</t>
  </si>
  <si>
    <t>VRR Abfindung</t>
  </si>
  <si>
    <t>EP bei Abfindung</t>
  </si>
  <si>
    <t xml:space="preserve"> DRV-Rente bei BerZtpkt</t>
  </si>
  <si>
    <t>Netto-Versorgung im Abfindungszeitpunktggfls. Selsbt eingeben:</t>
  </si>
  <si>
    <t>B. Bar- bzw. Abfindungswertberechnungsmethode</t>
  </si>
  <si>
    <r>
      <rPr>
        <b/>
        <sz val="14"/>
        <color theme="1"/>
        <rFont val="Arial"/>
        <family val="2"/>
      </rPr>
      <t>A. Abfindung schuldrechtlich auszugleichender Versorgungen</t>
    </r>
    <r>
      <rPr>
        <b/>
        <sz val="16"/>
        <color theme="1"/>
        <rFont val="Arial"/>
        <family val="2"/>
      </rPr>
      <t xml:space="preserve">
</t>
    </r>
    <r>
      <rPr>
        <b/>
        <sz val="14"/>
        <color theme="1"/>
        <rFont val="Arial"/>
        <family val="2"/>
      </rPr>
      <t xml:space="preserve"> </t>
    </r>
    <r>
      <rPr>
        <b/>
        <sz val="11"/>
        <color theme="1"/>
        <rFont val="Arial"/>
        <family val="2"/>
      </rPr>
      <t>§§ 23, 24 VersAusglG</t>
    </r>
  </si>
  <si>
    <t>C. Parameter der Zielversorgung:</t>
  </si>
  <si>
    <t>Versterbensrisiko zwischen Abfindungszeitpunkt und Renteneintritt:</t>
  </si>
  <si>
    <t>Abfindungsbetrag</t>
  </si>
  <si>
    <t>Anwender können statt des vom Programm errechneten, einen anderen Abfindungsbetrag in das weiße Feld eingeben:</t>
  </si>
  <si>
    <t>alternat. Betrag</t>
  </si>
  <si>
    <t>E. Aufzinsungsmethode</t>
  </si>
  <si>
    <r>
      <rPr>
        <b/>
        <sz val="11"/>
        <color theme="1"/>
        <rFont val="Calibri"/>
        <family val="2"/>
        <scheme val="minor"/>
      </rPr>
      <t>Hinweise zur Ausfüllung:</t>
    </r>
    <r>
      <rPr>
        <b/>
        <sz val="10"/>
        <color theme="1"/>
        <rFont val="Calibri"/>
        <family val="2"/>
        <scheme val="minor"/>
      </rPr>
      <t xml:space="preserve"> </t>
    </r>
    <r>
      <rPr>
        <sz val="10"/>
        <color theme="1"/>
        <rFont val="Calibri"/>
        <family val="2"/>
        <scheme val="minor"/>
      </rPr>
      <t xml:space="preserve">Das Programm erledigt sehr komplexe Berechnungen, weshalb die Eingabe einiger Daten unerlässlich ist. Die </t>
    </r>
    <r>
      <rPr>
        <b/>
        <sz val="10"/>
        <color theme="1"/>
        <rFont val="Calibri"/>
        <family val="2"/>
        <scheme val="minor"/>
      </rPr>
      <t>gelb hinterlegten Felde</t>
    </r>
    <r>
      <rPr>
        <sz val="10"/>
        <color theme="1"/>
        <rFont val="Calibri"/>
        <family val="2"/>
        <scheme val="minor"/>
      </rPr>
      <t xml:space="preserve">r müssen ausgefüllt werden, ansonsten sind Berechnunen nicht möglich.
Sind die Stammdaten im </t>
    </r>
    <r>
      <rPr>
        <b/>
        <sz val="10"/>
        <color theme="1"/>
        <rFont val="Calibri"/>
        <family val="2"/>
        <scheme val="minor"/>
      </rPr>
      <t>Blatt "Fallerfassung"</t>
    </r>
    <r>
      <rPr>
        <sz val="10"/>
        <color theme="1"/>
        <rFont val="Calibri"/>
        <family val="2"/>
        <scheme val="minor"/>
      </rPr>
      <t xml:space="preserve"> bereits erfasst, werden sie links neben dem Eingabefeld angezeigt, können aber durch Eingaben im weissen Feld überschrieben werden.</t>
    </r>
  </si>
  <si>
    <t>♂☻♀☺♀</t>
  </si>
  <si>
    <t>ó</t>
  </si>
  <si>
    <t>Zur Erreichung von Rentengleichheit wäre die Abfindungssumme (Zeile 26) zu korrigieren auf:</t>
  </si>
  <si>
    <r>
      <rPr>
        <b/>
        <sz val="12"/>
        <color rgb="FFFF0000"/>
        <rFont val="Wingdings 3"/>
        <family val="1"/>
        <charset val="2"/>
      </rPr>
      <t>ä</t>
    </r>
    <r>
      <rPr>
        <b/>
        <sz val="12"/>
        <color theme="1"/>
        <rFont val="Arial"/>
        <family val="1"/>
        <charset val="2"/>
      </rPr>
      <t>= Barwert &lt;90%;</t>
    </r>
    <r>
      <rPr>
        <b/>
        <sz val="12"/>
        <color rgb="FFFFC000"/>
        <rFont val="Wingdings 3"/>
        <family val="1"/>
        <charset val="2"/>
      </rPr>
      <t>â</t>
    </r>
    <r>
      <rPr>
        <b/>
        <sz val="12"/>
        <color theme="1"/>
        <rFont val="Arial"/>
        <family val="1"/>
        <charset val="2"/>
      </rPr>
      <t xml:space="preserve">= BW&gt;=90%, &lt;= 110%; </t>
    </r>
    <r>
      <rPr>
        <b/>
        <sz val="12"/>
        <color rgb="FF92D050"/>
        <rFont val="Wingdings 3"/>
        <family val="1"/>
        <charset val="2"/>
      </rPr>
      <t>ã</t>
    </r>
    <r>
      <rPr>
        <b/>
        <sz val="12"/>
        <color theme="1"/>
        <rFont val="Arial"/>
        <family val="1"/>
        <charset val="2"/>
      </rPr>
      <t xml:space="preserve"> = BW &gt; 110% d. Abfindung</t>
    </r>
  </si>
  <si>
    <r>
      <rPr>
        <sz val="11"/>
        <color rgb="FFFF0000"/>
        <rFont val="Wingdings 3"/>
        <family val="1"/>
        <charset val="2"/>
      </rPr>
      <t>ä</t>
    </r>
    <r>
      <rPr>
        <sz val="11"/>
        <color theme="1"/>
        <rFont val="Arial"/>
        <family val="2"/>
      </rPr>
      <t>= Barwert &lt;90%;</t>
    </r>
    <r>
      <rPr>
        <sz val="11"/>
        <color rgb="FFFFC000"/>
        <rFont val="Wingdings 3"/>
        <family val="1"/>
        <charset val="2"/>
      </rPr>
      <t>â</t>
    </r>
    <r>
      <rPr>
        <sz val="11"/>
        <color theme="1"/>
        <rFont val="Arial"/>
        <family val="2"/>
      </rPr>
      <t xml:space="preserve">= BW&gt;=90%, &lt;= 110%; </t>
    </r>
    <r>
      <rPr>
        <sz val="11"/>
        <color rgb="FF00B050"/>
        <rFont val="Wingdings 3"/>
        <family val="1"/>
        <charset val="2"/>
      </rPr>
      <t>ã</t>
    </r>
    <r>
      <rPr>
        <sz val="11"/>
        <color theme="1"/>
        <rFont val="Arial"/>
        <family val="2"/>
      </rPr>
      <t xml:space="preserve"> = BW &gt; 110% d. Abfindung (BvL 5/18)</t>
    </r>
  </si>
  <si>
    <t>Zur Erreichen von Rentengleichheit (B. Z.27) zu leistende Abfindung:</t>
  </si>
  <si>
    <t>BW des Vers.anspruchs am EzE bei ReZins</t>
  </si>
  <si>
    <t>alternativen Zins eingeben:</t>
  </si>
  <si>
    <t>Kohorte Rente</t>
  </si>
  <si>
    <r>
      <rPr>
        <sz val="10"/>
        <color theme="1"/>
        <rFont val="Calibri"/>
        <family val="2"/>
      </rPr>
      <t>Δ</t>
    </r>
    <r>
      <rPr>
        <sz val="10"/>
        <color theme="1"/>
        <rFont val="Calibri"/>
        <family val="2"/>
        <scheme val="minor"/>
      </rPr>
      <t xml:space="preserve"> d. mitgeteilen vom  errechneten KapWert in %</t>
    </r>
  </si>
  <si>
    <r>
      <t xml:space="preserve">Die im Programm vorgenommene Vergleichsberechnung anhand der </t>
    </r>
    <r>
      <rPr>
        <b/>
        <sz val="10.5"/>
        <color theme="1"/>
        <rFont val="Calibri"/>
        <family val="2"/>
        <scheme val="minor"/>
      </rPr>
      <t xml:space="preserve">Summe erwartbarer Rentenzuflüsse </t>
    </r>
    <r>
      <rPr>
        <sz val="10.5"/>
        <color theme="1"/>
        <rFont val="Calibri"/>
        <family val="2"/>
        <scheme val="minor"/>
      </rPr>
      <t>blendet den Wert von Invaliditäts- und Hinterbliebenenversorgung aus. Sie stellt aber für die Betroffenen eine fast 'haptisch' begreifbare Vergleichsgrundlage dar, weswegen sie auch angeboten wird.</t>
    </r>
  </si>
  <si>
    <t>Ob bei Abfindung einer Versorgung in der Zielversorgung ein angemessenes Versorgungsniveau erzielt wird, kann eigentlich nur auf der Ebene des Vergleichs der mittels der gleichen biometrischen Parameter (Sterbe- Invalidisierungs- und Hinterbliebenenwahrscheinlichkeit) errechneten Barwerte beurteilt werden.</t>
  </si>
  <si>
    <t>alternative Abfindung zu Zeile 26:</t>
  </si>
  <si>
    <t>Hinweise zum Barwert-bzw Rentenzuflussvergleich:</t>
  </si>
  <si>
    <t>7. Versorgungsausgleich nach der Scheidung (sVA)</t>
  </si>
  <si>
    <t>7a) §§ 23, 24 Abfindung sVA</t>
  </si>
  <si>
    <t>7b) Ausgl. Kap.zahlung § 22</t>
  </si>
  <si>
    <t>AWzeit bis Abfindung</t>
  </si>
  <si>
    <t>LPV Lebensversicherung AG PBV-Bestandssegment</t>
  </si>
  <si>
    <t>5. Abs. 3 5.SpStr</t>
  </si>
  <si>
    <t>LPV Lebensversicherung AG PBV-Bestandssegment, Bestandssystem Köln</t>
  </si>
  <si>
    <t>Zustimmung zur externenTeilung beim Zielversorgungsträger</t>
  </si>
  <si>
    <t>interne Teilung</t>
  </si>
  <si>
    <t>Monierung der Teilungsordnung</t>
  </si>
  <si>
    <t>Schriftsatz</t>
  </si>
  <si>
    <t>Schreiben</t>
  </si>
  <si>
    <t>exerne Teilung</t>
  </si>
  <si>
    <t>Aufforderung zur Auskunft</t>
  </si>
  <si>
    <t>Aufforderung zur Abfindung</t>
  </si>
  <si>
    <t>Aufforderung zur Zahlung und Abtretung</t>
  </si>
  <si>
    <t>Antrag Auskunft und Zahlung</t>
  </si>
  <si>
    <t>Erwiderung auf Zahlung, SozAbgaben</t>
  </si>
  <si>
    <t>Ausgleichsberechtigte Person</t>
  </si>
  <si>
    <t>Ausgleichspflichtige Person</t>
  </si>
  <si>
    <t>Anteilige Berücksichtigung &amp; Freibeträge</t>
  </si>
  <si>
    <t>Antrag auf Abfindung</t>
  </si>
  <si>
    <t>./. Sozialabgaben</t>
  </si>
  <si>
    <t>./. Steuern</t>
  </si>
  <si>
    <t>./. Nichtberücksichtigung der HR</t>
  </si>
  <si>
    <t>Reduktion des Ausgleichsbetrages wg. Transfergewinn</t>
  </si>
  <si>
    <t>Aufstockung der Abfindung wg. Transferverlust</t>
  </si>
  <si>
    <t>Informationsschreiben an Mdt. wg. § 25 II</t>
  </si>
  <si>
    <t>Leistungsunfähigkeitseinwand</t>
  </si>
  <si>
    <t>Berechnung der Abfindung</t>
  </si>
  <si>
    <t>Monierung der Nachvollziehbarkeit der Berechnun des AusglWerts</t>
  </si>
  <si>
    <t xml:space="preserve">Schriftsatz </t>
  </si>
  <si>
    <t>Abänderung</t>
  </si>
  <si>
    <t>Antrag § 51</t>
  </si>
  <si>
    <t>KEEZ</t>
  </si>
  <si>
    <t>Nachversicherungsfälle</t>
  </si>
  <si>
    <t>Teilhabe an Hinterbliebenenversorgung</t>
  </si>
  <si>
    <t>Antrag</t>
  </si>
  <si>
    <t>Dienstzeitverlängerung (Beamte)</t>
  </si>
  <si>
    <t>Ruhegehaltsabsenkung</t>
  </si>
  <si>
    <t>Unterhalt</t>
  </si>
  <si>
    <t>besondere Altersgrenze</t>
  </si>
  <si>
    <t>Anwartschaftzeit</t>
  </si>
  <si>
    <t>Alter im Berechnungszeitpunkt</t>
  </si>
  <si>
    <t>Rentenhöhe bei Leistungsbeginn</t>
  </si>
  <si>
    <t>Rentenvolumen</t>
  </si>
  <si>
    <t>Berechnungstag:</t>
  </si>
  <si>
    <t>Leistungsdynamik:</t>
  </si>
  <si>
    <t>Berechnung der Summe erwartbarer Altersrentenzahlungen</t>
  </si>
  <si>
    <t>Berechnungsformel:</t>
  </si>
  <si>
    <t>Summe aller Altersrentenzahlungen (Rentenvolumen) = {[(1 + Leistungsdynamik)^Leistungszeit - 1] / Leistungsdynamik} x Rente im Renteneintritt x 12</t>
  </si>
  <si>
    <t>Durchschnitt der Rentenzahlungen pro Monat</t>
  </si>
  <si>
    <t>Versterbensrisiko</t>
  </si>
  <si>
    <t>Dies&amp;Das VVR</t>
  </si>
  <si>
    <t>Höhe der monatl. Rente am Berechnungstag:</t>
  </si>
  <si>
    <t>Geburtstage in Stammdaten erfasst:</t>
  </si>
  <si>
    <t>Anwartschaftsdynamik:</t>
  </si>
  <si>
    <r>
      <rPr>
        <b/>
        <sz val="11"/>
        <color theme="1"/>
        <rFont val="Calibri"/>
        <family val="2"/>
        <scheme val="minor"/>
      </rPr>
      <t xml:space="preserve">11. </t>
    </r>
    <r>
      <rPr>
        <sz val="11"/>
        <color theme="1"/>
        <rFont val="Calibri"/>
        <family val="2"/>
        <scheme val="minor"/>
      </rPr>
      <t xml:space="preserve">Teilung: </t>
    </r>
    <r>
      <rPr>
        <b/>
        <sz val="11"/>
        <color theme="1"/>
        <rFont val="Calibri"/>
        <family val="2"/>
        <scheme val="minor"/>
      </rPr>
      <t>"i"</t>
    </r>
    <r>
      <rPr>
        <sz val="11"/>
        <color theme="1"/>
        <rFont val="Calibri"/>
        <family val="2"/>
        <scheme val="minor"/>
      </rPr>
      <t xml:space="preserve">, </t>
    </r>
    <r>
      <rPr>
        <b/>
        <sz val="11"/>
        <color theme="1"/>
        <rFont val="Calibri"/>
        <family val="2"/>
        <scheme val="minor"/>
      </rPr>
      <t>"e", "sVA",  "x"</t>
    </r>
    <r>
      <rPr>
        <sz val="11"/>
        <color theme="1"/>
        <rFont val="Calibri"/>
        <family val="2"/>
        <scheme val="minor"/>
      </rPr>
      <t xml:space="preserve">
</t>
    </r>
    <r>
      <rPr>
        <sz val="8"/>
        <color rgb="FFFFC000"/>
        <rFont val="Wingdings 2"/>
        <family val="1"/>
        <charset val="2"/>
      </rPr>
      <t>¢</t>
    </r>
    <r>
      <rPr>
        <sz val="8"/>
        <color theme="1"/>
        <rFont val="Calibri"/>
        <family val="2"/>
        <scheme val="minor"/>
      </rPr>
      <t xml:space="preserve"> = § 14 I Nr.2</t>
    </r>
  </si>
  <si>
    <t>10. volles Ruhegehalt</t>
  </si>
  <si>
    <t>11. Ehezeitanteil</t>
  </si>
  <si>
    <t>12. Ehezeitanteil nach Auskunft:</t>
  </si>
  <si>
    <t>DuD_RAltersgr1</t>
  </si>
  <si>
    <t>DuD_RAltersgr2</t>
  </si>
  <si>
    <r>
      <t>Eigeneingabe</t>
    </r>
    <r>
      <rPr>
        <sz val="11"/>
        <color theme="1"/>
        <rFont val="Calibri"/>
        <family val="2"/>
      </rPr>
      <t>→</t>
    </r>
  </si>
  <si>
    <t>(10) Summe der Altersrenten</t>
  </si>
  <si>
    <t>HanseMerkur Lebensversicherung AG</t>
  </si>
  <si>
    <t xml:space="preserve">Münchener Rückversicherungs-Gesellschaft AG </t>
  </si>
  <si>
    <t>Bei Leistungen aus einem Rückdeckungsvertrag erfolgt Tarifwechsel zum Neuvertrag der ausglber. Person</t>
  </si>
  <si>
    <t xml:space="preserve">Kinder:  </t>
  </si>
  <si>
    <t>Bei Fondsversorgungen lediglich Tarifwechsel rügen und Wertteilhabe einfordern.</t>
  </si>
  <si>
    <t>KV- &amp; PV-Beitrag</t>
  </si>
  <si>
    <r>
      <t>SV-Abzug (§ 20 Abs. 1 S. 2 VersAusglG)</t>
    </r>
    <r>
      <rPr>
        <sz val="11"/>
        <color theme="1"/>
        <rFont val="Calibri"/>
        <family val="2"/>
        <scheme val="minor"/>
      </rPr>
      <t xml:space="preserve"> alternative Dateneingabe</t>
    </r>
  </si>
  <si>
    <r>
      <t xml:space="preserve">Anteilige Verteilung des </t>
    </r>
    <r>
      <rPr>
        <b/>
        <u/>
        <sz val="14"/>
        <color theme="1"/>
        <rFont val="Calibri"/>
        <family val="2"/>
        <scheme val="minor"/>
      </rPr>
      <t>Sozialabgabenabzugs</t>
    </r>
    <r>
      <rPr>
        <b/>
        <sz val="14"/>
        <color theme="1"/>
        <rFont val="Calibri"/>
        <family val="2"/>
        <scheme val="minor"/>
      </rPr>
      <t xml:space="preserve"> auf Betriebsrenten</t>
    </r>
  </si>
  <si>
    <t>Berechnungsdatum eingeben:</t>
  </si>
  <si>
    <r>
      <rPr>
        <b/>
        <sz val="9"/>
        <color theme="1"/>
        <rFont val="Calibri"/>
        <family val="2"/>
        <scheme val="minor"/>
      </rPr>
      <t>Bei der Berechnung der schuldr. Ausgleichsrente sind KV- und PV-Beiträge zu berücksichtigen (</t>
    </r>
    <r>
      <rPr>
        <b/>
        <u/>
        <sz val="9"/>
        <color rgb="FF0066FF"/>
        <rFont val="Calibri"/>
        <family val="2"/>
        <scheme val="minor"/>
      </rPr>
      <t>§ 20 I S. 2</t>
    </r>
    <r>
      <rPr>
        <b/>
        <sz val="9"/>
        <color theme="1"/>
        <rFont val="Calibri"/>
        <family val="2"/>
        <scheme val="minor"/>
      </rPr>
      <t>)</t>
    </r>
    <r>
      <rPr>
        <sz val="9"/>
        <color theme="1"/>
        <rFont val="Calibri"/>
        <family val="2"/>
        <scheme val="minor"/>
      </rPr>
      <t xml:space="preserve">. 
Nach  </t>
    </r>
    <r>
      <rPr>
        <u/>
        <sz val="9"/>
        <color rgb="FF0066FF"/>
        <rFont val="Calibri"/>
        <family val="2"/>
        <scheme val="minor"/>
      </rPr>
      <t>§ 226 II SGB V</t>
    </r>
    <r>
      <rPr>
        <sz val="9"/>
        <color theme="1"/>
        <rFont val="Calibri"/>
        <family val="2"/>
        <scheme val="minor"/>
      </rPr>
      <t xml:space="preserve"> sind Betriebsrenten bis zu einem Betrag von 1/20tel der mon. Bezugsgröße nach </t>
    </r>
    <r>
      <rPr>
        <u/>
        <sz val="9"/>
        <color rgb="FF0066FF"/>
        <rFont val="Calibri"/>
        <family val="2"/>
        <scheme val="minor"/>
      </rPr>
      <t>§ 18 SGB IV</t>
    </r>
    <r>
      <rPr>
        <sz val="9"/>
        <color theme="1"/>
        <rFont val="Calibri"/>
        <family val="2"/>
        <scheme val="minor"/>
      </rPr>
      <t xml:space="preserve"> beitragsfrei. Bezieht die ausglpfl. Person mehrere Betriebsrenten, ist der Freibetrag anteilig  zu verteilen:</t>
    </r>
  </si>
  <si>
    <t>sVA manuell↓</t>
  </si>
  <si>
    <t>Alte im AbfZpkt</t>
  </si>
  <si>
    <t>entw. in € (anteilig):</t>
  </si>
  <si>
    <t>oder in %:</t>
  </si>
  <si>
    <t>Hier können von den ges. Vorgaben abweichende Sozversicherungsabzüge eingetragen werden</t>
  </si>
  <si>
    <t>bei privat KV- und PV Versicherten Check-Box aktivieren:</t>
  </si>
  <si>
    <t>Musterschriftsatz Adäquanzprüfung</t>
  </si>
  <si>
    <t>§ 18 II: Rente/Kap</t>
  </si>
  <si>
    <t>Musterschriftsatz
Beanstandung externe Teilung</t>
  </si>
  <si>
    <t>Musterschriftsatz
Beanstandung interne Teilung</t>
  </si>
  <si>
    <t>Musterschreiben Inhalt</t>
  </si>
  <si>
    <t>Was ist der Versorgungsausgleich und wie füllt man V10 aus?</t>
  </si>
  <si>
    <r>
      <t xml:space="preserve">Schuldrechtlicher VA, §§ 20ff. VersAusglG </t>
    </r>
    <r>
      <rPr>
        <sz val="16"/>
        <color theme="1"/>
        <rFont val="Calibri"/>
        <family val="2"/>
        <scheme val="minor"/>
      </rPr>
      <t>in Sachen</t>
    </r>
    <r>
      <rPr>
        <b/>
        <sz val="16"/>
        <color theme="1"/>
        <rFont val="Calibri"/>
        <family val="2"/>
        <scheme val="minor"/>
      </rPr>
      <t>:</t>
    </r>
  </si>
  <si>
    <t xml:space="preserve">Abschlussschreiben Versorgungsausgleich </t>
  </si>
  <si>
    <t>Abtretungsvereinbarung sVA</t>
  </si>
  <si>
    <t>Schreiben zur Einholung der Zustimmung der DRV zur externen Teilung</t>
  </si>
  <si>
    <t xml:space="preserve">Schriftsatz zur Aufstockung des AusglWerts d.d. Versorgungsträger wg. Inadäquanz des Ausgleichsergebnisses </t>
  </si>
  <si>
    <t>Schriftsatz zur Beanstandung der Unvollständigkeit einer VA-Auskunft</t>
  </si>
  <si>
    <t>Schriftsatz zur Maßgabeanordnung bei inakzeptabler Teilungsordnung</t>
  </si>
  <si>
    <t>Abtretungs-formular</t>
  </si>
  <si>
    <t>ØKV-Zusatz</t>
  </si>
  <si>
    <t>Freibetragsanteil</t>
  </si>
  <si>
    <r>
      <rPr>
        <b/>
        <sz val="11"/>
        <color theme="1"/>
        <rFont val="Arial"/>
        <family val="2"/>
      </rPr>
      <t xml:space="preserve">Summe aller Altersrentenzahlungen (Rentenvolumen) = </t>
    </r>
    <r>
      <rPr>
        <sz val="11"/>
        <color theme="1"/>
        <rFont val="Arial"/>
        <family val="2"/>
      </rPr>
      <t xml:space="preserve">
</t>
    </r>
    <r>
      <rPr>
        <sz val="10"/>
        <color theme="1"/>
        <rFont val="Arial"/>
        <family val="2"/>
      </rPr>
      <t>{[(1 + Leistungsdyn.)^Leistungszeit - 1] / Leistungsdyn.} x Rente im Renteneintritt x 12</t>
    </r>
  </si>
  <si>
    <t>Ehezeitende eingeben ggfls. alternatives Ehezeitende eingeben:</t>
  </si>
  <si>
    <t>Beispiel, Hans</t>
  </si>
  <si>
    <t>Beispiel, Eva</t>
  </si>
  <si>
    <t>Versrg. AusglPfl.</t>
  </si>
  <si>
    <t>Versorg. AusglBer</t>
  </si>
  <si>
    <t>SonstVersrg.</t>
  </si>
  <si>
    <t>Nach</t>
  </si>
  <si>
    <t>Vorwerk &amp; Co.KG</t>
  </si>
  <si>
    <t>7.2.3 i.V.m. 10.2.</t>
  </si>
  <si>
    <t>Lebenserwartungs-Rechner</t>
  </si>
  <si>
    <t>Lebenserwartung:</t>
  </si>
  <si>
    <t>bei Scheidung ausgegl. Betrag eingeben (§ 3b VAHRG):</t>
  </si>
  <si>
    <t>EGU Ergo Gruppenunterstützungskasse e.V.</t>
  </si>
  <si>
    <t>§ 5.3</t>
  </si>
  <si>
    <t>Sozialversicherungsabzüge</t>
  </si>
  <si>
    <t>Summe aller Einkommen:</t>
  </si>
  <si>
    <t>sVA_Brutto</t>
  </si>
  <si>
    <t>sVA_EZEAnteil</t>
  </si>
  <si>
    <t>§20_Brutto</t>
  </si>
  <si>
    <t>sVA_FBAnteil</t>
  </si>
  <si>
    <t>sVA_SozAbgPfl</t>
  </si>
  <si>
    <r>
      <t>bereinigte schuldrechtlich auszugleichende Versorgung (</t>
    </r>
    <r>
      <rPr>
        <u/>
        <sz val="14"/>
        <color rgb="FF0066FF"/>
        <rFont val="Calibri"/>
        <family val="2"/>
        <scheme val="minor"/>
      </rPr>
      <t>§ 20 I S. 2 VersAusglG</t>
    </r>
    <r>
      <rPr>
        <b/>
        <sz val="14"/>
        <color theme="1"/>
        <rFont val="Calibri"/>
        <family val="2"/>
        <scheme val="minor"/>
      </rPr>
      <t>)</t>
    </r>
  </si>
  <si>
    <t>sVA_KV</t>
  </si>
  <si>
    <t>Summen Einkommen / Ehezeitanteile</t>
  </si>
  <si>
    <t>Anteil sVA:</t>
  </si>
  <si>
    <t>bAV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</si>
</sst>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9">
    <numFmt numFmtId="6" formatCode="#,##0\ &quot;€&quot;;[Red]\-#,##0\ &quot;€&quot;"/>
    <numFmt numFmtId="8" formatCode="#,##0.00\ &quot;€&quot;;[Red]\-#,##0.00\ &quot;€&quot;"/>
    <numFmt numFmtId="43" formatCode="_-* #,##0.00\ _€_-;\-* #,##0.00\ _€_-;_-* &quot;-&quot;??\ _€_-;_-@_-"/>
    <numFmt numFmtId="164" formatCode="&quot;€&quot;#,##0.00_);[Red]\(&quot;€&quot;#,##0.00\)"/>
    <numFmt numFmtId="165" formatCode="_(&quot;€&quot;* #,##0.00_);_(&quot;€&quot;* \(#,##0.00\);_(&quot;€&quot;* &quot;-&quot;??_);_(@_)"/>
    <numFmt numFmtId="166" formatCode="0.0000"/>
    <numFmt numFmtId="167" formatCode="#,##0.0000"/>
    <numFmt numFmtId="168" formatCode="_-* #,##0.00\ [$€-407]_-;\-* #,##0.00\ [$€-407]_-;_-* &quot;-&quot;??\ [$€-407]_-;_-@_-"/>
    <numFmt numFmtId="169" formatCode="#,##0_ ;\-#,##0\ "/>
    <numFmt numFmtId="170" formatCode="0_ ;\-0\ "/>
    <numFmt numFmtId="171" formatCode="d/m/yy;@"/>
    <numFmt numFmtId="172" formatCode="dd/mm/yy;@"/>
    <numFmt numFmtId="173" formatCode="d/m/yyyy"/>
    <numFmt numFmtId="174" formatCode="0.0000000000"/>
    <numFmt numFmtId="175" formatCode="0.0%"/>
    <numFmt numFmtId="176" formatCode="0.000%"/>
    <numFmt numFmtId="177" formatCode="0.000"/>
    <numFmt numFmtId="178" formatCode="0.00000%"/>
    <numFmt numFmtId="179" formatCode="#,##0.00_ ;[Red]\-#,##0.00\ "/>
    <numFmt numFmtId="180" formatCode="0.0"/>
    <numFmt numFmtId="181" formatCode="#,##0.0000_)\ [$EP];[Red]\-#,##0.0000_)\ [$EP]"/>
    <numFmt numFmtId="182" formatCode="0.0000%"/>
    <numFmt numFmtId="183" formatCode="#,##0.0000_)[$EP];[Red]\-#,##0.0000\)[$EP]"/>
    <numFmt numFmtId="184" formatCode="#,##0.00\ &quot;€&quot;"/>
    <numFmt numFmtId="185" formatCode="#,##0.00\ &quot;€&quot;;[Red]#,##0.00\ &quot;€&quot;"/>
    <numFmt numFmtId="186" formatCode="#\ ##0_);\(#\ ##0\)"/>
    <numFmt numFmtId="187" formatCode="0.00_)"/>
    <numFmt numFmtId="188" formatCode="#,##0.0000\ &quot;€&quot;;[Red]\-#,##0.0000\ &quot;€&quot;"/>
    <numFmt numFmtId="189" formatCode="_-* #,##0.0000\ [$€-407]_-;\-* #,##0.0000\ [$€-407]_-;_-* &quot;-&quot;??\ [$€-407]_-;_-@_-"/>
    <numFmt numFmtId="190" formatCode="#,##0.0000\ [$EP]"/>
    <numFmt numFmtId="191" formatCode="#,##0.0\ &quot;€&quot;"/>
    <numFmt numFmtId="192" formatCode="#,##0.00\ _€"/>
    <numFmt numFmtId="193" formatCode="0.000000"/>
    <numFmt numFmtId="194" formatCode="0.00000"/>
    <numFmt numFmtId="195" formatCode="#,##0.00000000\ &quot;€&quot;;[Red]\-#,##0.00000000\ &quot;€&quot;"/>
    <numFmt numFmtId="196" formatCode="0.000000%"/>
    <numFmt numFmtId="197" formatCode="#,##0.0000\ [$EP];[Red]\-#,##0.0000\ [$EP]"/>
    <numFmt numFmtId="198" formatCode="#,##0.000\ &quot;€&quot;;[Red]\-#,##0.000\ &quot;€&quot;"/>
    <numFmt numFmtId="199" formatCode="_-* #,##0.0000\ _€_-;\-* #,##0.0000\ _€_-;_-* &quot;-&quot;??\ _€_-;_-@_-"/>
  </numFmts>
  <fonts count="275">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indexed="8"/>
      <name val="Arial"/>
      <family val="2"/>
    </font>
    <font>
      <sz val="12"/>
      <color indexed="8"/>
      <name val="Calibri"/>
      <family val="2"/>
    </font>
    <font>
      <b/>
      <sz val="12"/>
      <color indexed="8"/>
      <name val="Calibri"/>
      <family val="2"/>
    </font>
    <font>
      <sz val="10"/>
      <name val="Arial"/>
      <family val="2"/>
    </font>
    <font>
      <b/>
      <sz val="8"/>
      <name val="Arial"/>
      <family val="2"/>
    </font>
    <font>
      <sz val="8"/>
      <name val="MetaNormalLF-Roman"/>
    </font>
    <font>
      <sz val="8"/>
      <name val="Arial"/>
      <family val="2"/>
    </font>
    <font>
      <sz val="10"/>
      <name val="MetaNormalLF-Roman"/>
      <family val="2"/>
    </font>
    <font>
      <u/>
      <sz val="10"/>
      <color indexed="12"/>
      <name val="Arial"/>
      <family val="2"/>
    </font>
    <font>
      <sz val="8"/>
      <color indexed="8"/>
      <name val="Arial"/>
      <family val="2"/>
    </font>
    <font>
      <sz val="9"/>
      <color indexed="8"/>
      <name val="Arial"/>
      <family val="2"/>
    </font>
    <font>
      <vertAlign val="subscript"/>
      <sz val="9"/>
      <color indexed="8"/>
      <name val="Calibri"/>
      <family val="2"/>
    </font>
    <font>
      <b/>
      <sz val="11"/>
      <color indexed="8"/>
      <name val="Arial"/>
      <family val="2"/>
    </font>
    <font>
      <vertAlign val="subscript"/>
      <sz val="11"/>
      <color indexed="8"/>
      <name val="Arial"/>
      <family val="2"/>
    </font>
    <font>
      <b/>
      <sz val="11"/>
      <color indexed="8"/>
      <name val="Arial"/>
      <family val="2"/>
    </font>
    <font>
      <b/>
      <sz val="12"/>
      <color indexed="8"/>
      <name val="Arial"/>
      <family val="2"/>
    </font>
    <font>
      <sz val="10"/>
      <color indexed="8"/>
      <name val="Arial"/>
      <family val="2"/>
    </font>
    <font>
      <b/>
      <sz val="12"/>
      <name val="Arial"/>
      <family val="2"/>
    </font>
    <font>
      <b/>
      <sz val="8"/>
      <color indexed="8"/>
      <name val="Arial"/>
      <family val="2"/>
    </font>
    <font>
      <vertAlign val="subscript"/>
      <sz val="9"/>
      <color indexed="8"/>
      <name val="Arial"/>
      <family val="2"/>
    </font>
    <font>
      <sz val="9"/>
      <name val="Arial"/>
      <family val="2"/>
    </font>
    <font>
      <sz val="11"/>
      <color indexed="8"/>
      <name val="Arial"/>
      <family val="2"/>
    </font>
    <font>
      <sz val="10"/>
      <color indexed="8"/>
      <name val="Arial"/>
      <family val="2"/>
    </font>
    <font>
      <sz val="8"/>
      <color indexed="8"/>
      <name val="Arial"/>
      <family val="2"/>
    </font>
    <font>
      <sz val="9"/>
      <color indexed="8"/>
      <name val="Arial"/>
      <family val="2"/>
    </font>
    <font>
      <b/>
      <sz val="11"/>
      <color indexed="8"/>
      <name val="Arial"/>
      <family val="2"/>
    </font>
    <font>
      <sz val="10"/>
      <color indexed="8"/>
      <name val="Calibri"/>
      <family val="2"/>
    </font>
    <font>
      <sz val="11"/>
      <color indexed="30"/>
      <name val="Arial"/>
      <family val="2"/>
    </font>
    <font>
      <b/>
      <sz val="14"/>
      <color indexed="8"/>
      <name val="Arial"/>
      <family val="2"/>
    </font>
    <font>
      <b/>
      <sz val="12"/>
      <color indexed="8"/>
      <name val="Arial"/>
      <family val="2"/>
    </font>
    <font>
      <b/>
      <sz val="14"/>
      <color indexed="10"/>
      <name val="Arial"/>
      <family val="2"/>
    </font>
    <font>
      <b/>
      <sz val="11"/>
      <color indexed="30"/>
      <name val="Arial"/>
      <family val="2"/>
    </font>
    <font>
      <sz val="11"/>
      <color indexed="8"/>
      <name val="Calibri"/>
      <family val="2"/>
    </font>
    <font>
      <b/>
      <sz val="11"/>
      <color indexed="62"/>
      <name val="Arial"/>
      <family val="2"/>
    </font>
    <font>
      <sz val="11"/>
      <name val="Arial"/>
      <family val="2"/>
    </font>
    <font>
      <b/>
      <sz val="10"/>
      <name val="Arial"/>
      <family val="2"/>
    </font>
    <font>
      <sz val="22"/>
      <name val="Arial"/>
      <family val="2"/>
    </font>
    <font>
      <b/>
      <vertAlign val="superscript"/>
      <sz val="8"/>
      <color indexed="10"/>
      <name val="Arial"/>
      <family val="2"/>
    </font>
    <font>
      <sz val="8"/>
      <color indexed="10"/>
      <name val="Arial"/>
      <family val="2"/>
    </font>
    <font>
      <sz val="12"/>
      <color indexed="8"/>
      <name val="Arial"/>
      <family val="2"/>
    </font>
    <font>
      <b/>
      <sz val="10"/>
      <color indexed="8"/>
      <name val="Calibri"/>
      <family val="2"/>
    </font>
    <font>
      <b/>
      <sz val="14"/>
      <name val="Arial"/>
      <family val="2"/>
    </font>
    <font>
      <sz val="18"/>
      <name val="Arial"/>
      <family val="2"/>
    </font>
    <font>
      <vertAlign val="subscript"/>
      <sz val="8"/>
      <color indexed="8"/>
      <name val="Calibri"/>
      <family val="2"/>
    </font>
    <font>
      <sz val="11"/>
      <color theme="1"/>
      <name val="Arial"/>
      <family val="2"/>
    </font>
    <font>
      <b/>
      <sz val="11"/>
      <color theme="1"/>
      <name val="Arial"/>
      <family val="2"/>
    </font>
    <font>
      <sz val="11"/>
      <color theme="1"/>
      <name val="Calibri"/>
      <family val="2"/>
      <scheme val="minor"/>
    </font>
    <font>
      <sz val="10"/>
      <color theme="1"/>
      <name val="Arial"/>
      <family val="2"/>
    </font>
    <font>
      <b/>
      <sz val="24"/>
      <color theme="1"/>
      <name val="Arial"/>
      <family val="2"/>
    </font>
    <font>
      <sz val="9"/>
      <color theme="1"/>
      <name val="Arial"/>
      <family val="2"/>
    </font>
    <font>
      <sz val="8"/>
      <color theme="1"/>
      <name val="Arial"/>
      <family val="2"/>
    </font>
    <font>
      <b/>
      <sz val="10"/>
      <color theme="1"/>
      <name val="Arial"/>
      <family val="2"/>
    </font>
    <font>
      <b/>
      <sz val="16"/>
      <color theme="1"/>
      <name val="Arial"/>
      <family val="2"/>
    </font>
    <font>
      <sz val="10"/>
      <color rgb="FFFF0000"/>
      <name val="Arial"/>
      <family val="2"/>
    </font>
    <font>
      <sz val="11"/>
      <color theme="0" tint="-0.499984740745262"/>
      <name val="Arial"/>
      <family val="2"/>
    </font>
    <font>
      <b/>
      <sz val="12"/>
      <color theme="1"/>
      <name val="Arial"/>
      <family val="2"/>
    </font>
    <font>
      <b/>
      <sz val="20"/>
      <color theme="1"/>
      <name val="Arial"/>
      <family val="2"/>
    </font>
    <font>
      <sz val="12"/>
      <color theme="1"/>
      <name val="Arial"/>
      <family val="2"/>
    </font>
    <font>
      <sz val="8"/>
      <color theme="1"/>
      <name val="Calibri"/>
      <family val="2"/>
      <scheme val="minor"/>
    </font>
    <font>
      <sz val="16"/>
      <color theme="1"/>
      <name val="Arial"/>
      <family val="2"/>
    </font>
    <font>
      <b/>
      <sz val="11"/>
      <color theme="1"/>
      <name val="Calibri"/>
      <family val="2"/>
      <scheme val="minor"/>
    </font>
    <font>
      <b/>
      <sz val="18"/>
      <color theme="1"/>
      <name val="Arial"/>
      <family val="2"/>
    </font>
    <font>
      <b/>
      <u/>
      <sz val="11"/>
      <color theme="1"/>
      <name val="Arial"/>
      <family val="2"/>
    </font>
    <font>
      <sz val="9"/>
      <color rgb="FFFF0000"/>
      <name val="Arial"/>
      <family val="2"/>
    </font>
    <font>
      <sz val="8"/>
      <color rgb="FF000000"/>
      <name val="Tahoma"/>
      <family val="2"/>
    </font>
    <font>
      <sz val="8"/>
      <color rgb="FF000000"/>
      <name val="Segoe UI"/>
      <family val="2"/>
    </font>
    <font>
      <b/>
      <sz val="8"/>
      <color theme="1"/>
      <name val="Arial"/>
      <family val="2"/>
    </font>
    <font>
      <b/>
      <sz val="14"/>
      <color theme="1"/>
      <name val="Arial"/>
      <family val="2"/>
    </font>
    <font>
      <sz val="12"/>
      <color rgb="FF000000"/>
      <name val="Calibri"/>
      <family val="2"/>
      <scheme val="minor"/>
    </font>
    <font>
      <sz val="14"/>
      <color theme="1"/>
      <name val="Arial"/>
      <family val="2"/>
    </font>
    <font>
      <sz val="11"/>
      <color rgb="FF000000"/>
      <name val="Calibri"/>
      <family val="2"/>
      <scheme val="minor"/>
    </font>
    <font>
      <sz val="11"/>
      <color rgb="FF000000"/>
      <name val="Calibri"/>
      <family val="2"/>
    </font>
    <font>
      <sz val="9"/>
      <name val="MetaNormalLF-Roman"/>
      <family val="2"/>
    </font>
    <font>
      <sz val="11"/>
      <color theme="0" tint="-0.14999847407452621"/>
      <name val="Arial"/>
      <family val="2"/>
    </font>
    <font>
      <b/>
      <sz val="8"/>
      <color rgb="FF202122"/>
      <name val="Arial"/>
      <family val="2"/>
    </font>
    <font>
      <b/>
      <sz val="11"/>
      <color rgb="FFFF0000"/>
      <name val="Arial"/>
      <family val="2"/>
    </font>
    <font>
      <b/>
      <sz val="10"/>
      <name val="MetaNormalLF-Roman"/>
    </font>
    <font>
      <b/>
      <sz val="8"/>
      <name val="MetaNormalLF-Roman"/>
      <family val="2"/>
    </font>
    <font>
      <sz val="7"/>
      <name val="MetaNormalLF-Roman"/>
      <family val="2"/>
    </font>
    <font>
      <sz val="7"/>
      <name val="Arial"/>
      <family val="2"/>
    </font>
    <font>
      <vertAlign val="subscript"/>
      <sz val="7"/>
      <name val="MetaNormalLF-Roman"/>
      <family val="2"/>
    </font>
    <font>
      <sz val="7"/>
      <color theme="1"/>
      <name val="Arial"/>
      <family val="2"/>
    </font>
    <font>
      <sz val="8"/>
      <name val="MetaNormalLF-Roman"/>
      <family val="2"/>
    </font>
    <font>
      <sz val="11"/>
      <color rgb="FF202122"/>
      <name val="Arial"/>
      <family val="2"/>
    </font>
    <font>
      <b/>
      <sz val="12"/>
      <color rgb="FFFF0000"/>
      <name val="Arial"/>
      <family val="2"/>
    </font>
    <font>
      <b/>
      <sz val="9"/>
      <color theme="1"/>
      <name val="Arial"/>
      <family val="2"/>
    </font>
    <font>
      <sz val="8"/>
      <color theme="0" tint="-0.14999847407452621"/>
      <name val="Arial"/>
      <family val="2"/>
    </font>
    <font>
      <b/>
      <sz val="16"/>
      <color theme="1"/>
      <name val="Calibri"/>
      <family val="2"/>
      <scheme val="minor"/>
    </font>
    <font>
      <sz val="11"/>
      <color theme="1"/>
      <name val="Arial"/>
      <family val="2"/>
      <charset val="2"/>
    </font>
    <font>
      <u/>
      <sz val="12"/>
      <color indexed="12"/>
      <name val="Arial"/>
      <family val="2"/>
    </font>
    <font>
      <sz val="6"/>
      <color theme="1"/>
      <name val="Arial"/>
      <family val="2"/>
    </font>
    <font>
      <b/>
      <u/>
      <sz val="18"/>
      <color theme="1"/>
      <name val="Arial"/>
      <family val="2"/>
    </font>
    <font>
      <b/>
      <sz val="12"/>
      <color theme="1"/>
      <name val="Calibri"/>
      <family val="2"/>
      <scheme val="minor"/>
    </font>
    <font>
      <b/>
      <u/>
      <sz val="10"/>
      <color indexed="12"/>
      <name val="Arial"/>
      <family val="2"/>
    </font>
    <font>
      <sz val="11"/>
      <color rgb="FFFF0000"/>
      <name val="Arial"/>
      <family val="2"/>
    </font>
    <font>
      <b/>
      <sz val="8"/>
      <color indexed="81"/>
      <name val="Segoe UI"/>
      <family val="2"/>
    </font>
    <font>
      <sz val="8"/>
      <color indexed="81"/>
      <name val="Segoe UI"/>
      <family val="2"/>
    </font>
    <font>
      <sz val="10"/>
      <color rgb="FF000000"/>
      <name val="Arial"/>
      <family val="2"/>
    </font>
    <font>
      <sz val="8"/>
      <color rgb="FF000000"/>
      <name val="Arial"/>
      <family val="2"/>
    </font>
    <font>
      <b/>
      <sz val="11"/>
      <name val="Arial"/>
      <family val="2"/>
    </font>
    <font>
      <b/>
      <sz val="14"/>
      <color theme="0" tint="-0.14999847407452621"/>
      <name val="Arial"/>
      <family val="2"/>
    </font>
    <font>
      <sz val="11"/>
      <color rgb="FF000000"/>
      <name val="Arial"/>
      <family val="2"/>
    </font>
    <font>
      <b/>
      <sz val="11"/>
      <color theme="0" tint="-0.14999847407452621"/>
      <name val="Arial"/>
      <family val="2"/>
    </font>
    <font>
      <b/>
      <sz val="8"/>
      <color theme="1"/>
      <name val="Calibri"/>
      <family val="2"/>
      <scheme val="minor"/>
    </font>
    <font>
      <b/>
      <sz val="11"/>
      <color theme="4" tint="-0.249977111117893"/>
      <name val="Arial"/>
      <family val="2"/>
    </font>
    <font>
      <b/>
      <sz val="14"/>
      <color rgb="FFFF0000"/>
      <name val="Arial"/>
      <family val="2"/>
    </font>
    <font>
      <b/>
      <u/>
      <sz val="11"/>
      <name val="Arial"/>
      <family val="2"/>
    </font>
    <font>
      <b/>
      <sz val="13"/>
      <color theme="1"/>
      <name val="Arial"/>
      <family val="2"/>
    </font>
    <font>
      <sz val="13"/>
      <color theme="1"/>
      <name val="Arial"/>
      <family val="2"/>
    </font>
    <font>
      <i/>
      <sz val="11"/>
      <color theme="1"/>
      <name val="Arial"/>
      <family val="2"/>
    </font>
    <font>
      <u/>
      <sz val="11"/>
      <color indexed="12"/>
      <name val="Arial"/>
      <family val="2"/>
    </font>
    <font>
      <b/>
      <u/>
      <sz val="11"/>
      <color indexed="12"/>
      <name val="Arial"/>
      <family val="2"/>
    </font>
    <font>
      <b/>
      <u/>
      <sz val="12"/>
      <color indexed="12"/>
      <name val="Arial"/>
      <family val="2"/>
    </font>
    <font>
      <b/>
      <sz val="7"/>
      <color rgb="FF202122"/>
      <name val="Arial"/>
      <family val="2"/>
    </font>
    <font>
      <sz val="8"/>
      <color theme="4" tint="-0.499984740745262"/>
      <name val="Arial"/>
      <family val="2"/>
    </font>
    <font>
      <u/>
      <sz val="8"/>
      <color indexed="12"/>
      <name val="Arial"/>
      <family val="2"/>
    </font>
    <font>
      <sz val="8"/>
      <color rgb="FF666666"/>
      <name val="Source Sans Pro"/>
      <family val="2"/>
    </font>
    <font>
      <b/>
      <sz val="14"/>
      <color theme="1"/>
      <name val="Calibri"/>
      <family val="2"/>
      <scheme val="minor"/>
    </font>
    <font>
      <sz val="14"/>
      <color theme="1"/>
      <name val="Calibri"/>
      <family val="2"/>
      <scheme val="minor"/>
    </font>
    <font>
      <sz val="8"/>
      <color theme="1"/>
      <name val="Calibri"/>
      <family val="2"/>
    </font>
    <font>
      <sz val="14"/>
      <color rgb="FFFF0000"/>
      <name val="Wingdings 3"/>
      <family val="1"/>
      <charset val="2"/>
    </font>
    <font>
      <sz val="8"/>
      <color rgb="FF0070C0"/>
      <name val="Arial"/>
      <family val="2"/>
    </font>
    <font>
      <b/>
      <sz val="8"/>
      <color rgb="FF0070C0"/>
      <name val="Arial"/>
      <family val="2"/>
    </font>
    <font>
      <b/>
      <sz val="14"/>
      <color theme="1"/>
      <name val="Calibri"/>
      <family val="2"/>
    </font>
    <font>
      <sz val="11"/>
      <color theme="1"/>
      <name val="Webdings"/>
      <family val="1"/>
      <charset val="2"/>
    </font>
    <font>
      <b/>
      <sz val="20"/>
      <color theme="1"/>
      <name val="Calibri"/>
      <family val="2"/>
      <scheme val="minor"/>
    </font>
    <font>
      <sz val="11"/>
      <name val="MetaNormalLF-Roman"/>
      <family val="2"/>
    </font>
    <font>
      <sz val="11"/>
      <color theme="0" tint="-0.14999847407452621"/>
      <name val="Calibri"/>
      <family val="2"/>
      <scheme val="minor"/>
    </font>
    <font>
      <b/>
      <sz val="16"/>
      <color indexed="8"/>
      <name val="Arial"/>
      <family val="2"/>
    </font>
    <font>
      <b/>
      <sz val="14"/>
      <color rgb="FFC00000"/>
      <name val="Arial"/>
      <family val="2"/>
    </font>
    <font>
      <b/>
      <sz val="26"/>
      <color indexed="8"/>
      <name val="Arial"/>
      <family val="2"/>
    </font>
    <font>
      <b/>
      <u/>
      <sz val="11"/>
      <color rgb="FF0000FF"/>
      <name val="Arial"/>
      <family val="1"/>
      <charset val="2"/>
    </font>
    <font>
      <sz val="9"/>
      <color rgb="FF000000"/>
      <name val="Arial"/>
      <family val="2"/>
    </font>
    <font>
      <sz val="8"/>
      <color rgb="FF333333"/>
      <name val="Ambleregular"/>
    </font>
    <font>
      <u/>
      <sz val="14"/>
      <color indexed="12"/>
      <name val="Arial"/>
      <family val="2"/>
    </font>
    <font>
      <b/>
      <u/>
      <sz val="14"/>
      <color indexed="12"/>
      <name val="Arial"/>
      <family val="2"/>
    </font>
    <font>
      <b/>
      <u/>
      <sz val="10"/>
      <color theme="1"/>
      <name val="Arial"/>
      <family val="2"/>
    </font>
    <font>
      <u/>
      <sz val="8"/>
      <color rgb="FF0000FF"/>
      <name val="Arial"/>
      <family val="2"/>
    </font>
    <font>
      <u/>
      <sz val="11"/>
      <color theme="1"/>
      <name val="Arial"/>
      <family val="2"/>
    </font>
    <font>
      <i/>
      <u/>
      <sz val="10"/>
      <color indexed="12"/>
      <name val="Arial"/>
      <family val="2"/>
    </font>
    <font>
      <i/>
      <sz val="11"/>
      <color theme="2" tint="-0.499984740745262"/>
      <name val="Arial"/>
      <family val="2"/>
    </font>
    <font>
      <b/>
      <u/>
      <sz val="16"/>
      <color theme="1"/>
      <name val="Arial"/>
      <family val="2"/>
    </font>
    <font>
      <b/>
      <u/>
      <sz val="14"/>
      <color rgb="FFFF0000"/>
      <name val="Arial"/>
      <family val="2"/>
    </font>
    <font>
      <i/>
      <sz val="11"/>
      <color theme="1"/>
      <name val="Calibri"/>
      <family val="2"/>
      <scheme val="minor"/>
    </font>
    <font>
      <u/>
      <sz val="15"/>
      <color rgb="FFFF0000"/>
      <name val="Arial Rounded MT Bold"/>
      <family val="2"/>
    </font>
    <font>
      <b/>
      <sz val="11"/>
      <color theme="1"/>
      <name val="Arial"/>
      <family val="1"/>
      <charset val="2"/>
    </font>
    <font>
      <b/>
      <sz val="11"/>
      <color theme="1"/>
      <name val="Wingdings 3"/>
      <family val="1"/>
      <charset val="2"/>
    </font>
    <font>
      <sz val="11"/>
      <name val="Calibri"/>
      <family val="2"/>
      <scheme val="minor"/>
    </font>
    <font>
      <b/>
      <u/>
      <sz val="10"/>
      <color theme="0"/>
      <name val="Arial"/>
      <family val="2"/>
    </font>
    <font>
      <b/>
      <sz val="22"/>
      <color theme="1"/>
      <name val="Arial"/>
      <family val="2"/>
    </font>
    <font>
      <b/>
      <sz val="11"/>
      <color theme="0" tint="-4.9989318521683403E-2"/>
      <name val="Arial"/>
      <family val="2"/>
    </font>
    <font>
      <sz val="9"/>
      <color theme="0" tint="-4.9989318521683403E-2"/>
      <name val="Arial"/>
      <family val="2"/>
    </font>
    <font>
      <sz val="12"/>
      <color rgb="FFFF0000"/>
      <name val="Wingdings 2"/>
      <family val="1"/>
      <charset val="2"/>
    </font>
    <font>
      <sz val="10"/>
      <color theme="1"/>
      <name val="Arial"/>
      <family val="1"/>
      <charset val="2"/>
    </font>
    <font>
      <sz val="12"/>
      <color rgb="FFFFC000"/>
      <name val="Wingdings 2"/>
      <family val="1"/>
      <charset val="2"/>
    </font>
    <font>
      <sz val="10"/>
      <color theme="1"/>
      <name val="Calibri"/>
      <family val="2"/>
      <scheme val="minor"/>
    </font>
    <font>
      <b/>
      <sz val="10"/>
      <color theme="1"/>
      <name val="Calibri"/>
      <family val="2"/>
      <scheme val="minor"/>
    </font>
    <font>
      <sz val="10"/>
      <color theme="1"/>
      <name val="Calibri Light"/>
      <family val="2"/>
      <scheme val="major"/>
    </font>
    <font>
      <sz val="11"/>
      <color theme="1"/>
      <name val="Wingdings 3"/>
      <family val="1"/>
      <charset val="2"/>
    </font>
    <font>
      <u/>
      <vertAlign val="superscript"/>
      <sz val="10"/>
      <color rgb="FF0000FF"/>
      <name val="Arial"/>
      <family val="2"/>
    </font>
    <font>
      <sz val="12"/>
      <color rgb="FF333333"/>
      <name val="Arial"/>
      <family val="2"/>
    </font>
    <font>
      <sz val="12"/>
      <color rgb="FF333333"/>
      <name val="Courier New"/>
      <family val="3"/>
    </font>
    <font>
      <b/>
      <u/>
      <sz val="8"/>
      <color rgb="FFFF0000"/>
      <name val="Arial"/>
      <family val="2"/>
    </font>
    <font>
      <b/>
      <sz val="11"/>
      <color rgb="FF0070C0"/>
      <name val="Arial"/>
      <family val="2"/>
    </font>
    <font>
      <sz val="10"/>
      <color indexed="8"/>
      <name val="Calibri"/>
      <family val="2"/>
      <scheme val="minor"/>
    </font>
    <font>
      <sz val="10"/>
      <color theme="1"/>
      <name val="Höchstrechnungszins"/>
    </font>
    <font>
      <sz val="10"/>
      <color rgb="FF000000"/>
      <name val="Calibri"/>
      <family val="2"/>
      <scheme val="minor"/>
    </font>
    <font>
      <b/>
      <sz val="10"/>
      <color theme="1"/>
      <name val="Calibri Light"/>
      <family val="2"/>
      <scheme val="major"/>
    </font>
    <font>
      <vertAlign val="superscript"/>
      <sz val="10"/>
      <color theme="1"/>
      <name val="Arial"/>
      <family val="2"/>
    </font>
    <font>
      <b/>
      <i/>
      <sz val="10"/>
      <color theme="1"/>
      <name val="Arial"/>
      <family val="2"/>
    </font>
    <font>
      <b/>
      <u/>
      <sz val="16"/>
      <color rgb="FFFF0000"/>
      <name val="Arial"/>
      <family val="2"/>
    </font>
    <font>
      <b/>
      <sz val="12"/>
      <color rgb="FFFF0000"/>
      <name val="Calibri"/>
      <family val="2"/>
      <scheme val="minor"/>
    </font>
    <font>
      <b/>
      <sz val="26"/>
      <color theme="1"/>
      <name val="Arial"/>
      <family val="2"/>
    </font>
    <font>
      <sz val="26"/>
      <color theme="1"/>
      <name val="Arial"/>
      <family val="2"/>
    </font>
    <font>
      <b/>
      <u/>
      <sz val="8"/>
      <color theme="1"/>
      <name val="Arial"/>
      <family val="2"/>
    </font>
    <font>
      <b/>
      <sz val="8"/>
      <color indexed="62"/>
      <name val="Arial"/>
      <family val="2"/>
    </font>
    <font>
      <sz val="10"/>
      <color rgb="FF000000"/>
      <name val="Calibri Light"/>
      <family val="2"/>
      <scheme val="major"/>
    </font>
    <font>
      <u/>
      <sz val="9"/>
      <color indexed="12"/>
      <name val="Arial"/>
      <family val="2"/>
    </font>
    <font>
      <b/>
      <sz val="16"/>
      <color rgb="FFFF0000"/>
      <name val="Arial"/>
      <family val="2"/>
    </font>
    <font>
      <b/>
      <sz val="18"/>
      <color rgb="FF000000"/>
      <name val="Arial"/>
      <family val="2"/>
    </font>
    <font>
      <i/>
      <sz val="10"/>
      <name val="Arial"/>
      <family val="2"/>
    </font>
    <font>
      <vertAlign val="superscript"/>
      <sz val="8"/>
      <color indexed="10"/>
      <name val="Arial"/>
      <family val="2"/>
    </font>
    <font>
      <sz val="11"/>
      <color rgb="FF666666"/>
      <name val="Arial"/>
      <family val="2"/>
    </font>
    <font>
      <b/>
      <sz val="11"/>
      <color theme="1"/>
      <name val="Calibri"/>
      <family val="2"/>
    </font>
    <font>
      <sz val="9"/>
      <color theme="1"/>
      <name val="Calibri"/>
      <family val="2"/>
      <scheme val="minor"/>
    </font>
    <font>
      <b/>
      <u/>
      <sz val="12"/>
      <color theme="1"/>
      <name val="Arial"/>
      <family val="2"/>
    </font>
    <font>
      <sz val="11"/>
      <color indexed="12"/>
      <name val="Arial"/>
      <family val="2"/>
    </font>
    <font>
      <sz val="13.5"/>
      <color rgb="FF000000"/>
      <name val="Times New Roman"/>
      <family val="1"/>
    </font>
    <font>
      <sz val="11"/>
      <color rgb="FF00B050"/>
      <name val="Wingdings 3"/>
      <family val="1"/>
      <charset val="2"/>
    </font>
    <font>
      <u/>
      <sz val="10"/>
      <color indexed="12"/>
      <name val="Calibri"/>
      <family val="2"/>
      <scheme val="minor"/>
    </font>
    <font>
      <sz val="11"/>
      <color rgb="FFFF0000"/>
      <name val="Wingdings 3"/>
      <family val="1"/>
      <charset val="2"/>
    </font>
    <font>
      <sz val="11"/>
      <color rgb="FFFFC000"/>
      <name val="Wingdings 3"/>
      <family val="1"/>
      <charset val="2"/>
    </font>
    <font>
      <sz val="10.5"/>
      <color theme="1"/>
      <name val="Arial"/>
      <family val="2"/>
    </font>
    <font>
      <b/>
      <sz val="11"/>
      <color indexed="8"/>
      <name val="Calibri"/>
      <family val="2"/>
      <scheme val="minor"/>
    </font>
    <font>
      <sz val="8"/>
      <color theme="0" tint="-0.499984740745262"/>
      <name val="Arial"/>
      <family val="2"/>
    </font>
    <font>
      <b/>
      <sz val="18"/>
      <name val="Arial"/>
      <family val="2"/>
    </font>
    <font>
      <sz val="11"/>
      <color theme="1"/>
      <name val="Arial"/>
      <family val="1"/>
      <charset val="2"/>
    </font>
    <font>
      <b/>
      <sz val="11"/>
      <color theme="0" tint="-0.499984740745262"/>
      <name val="Arial"/>
      <family val="2"/>
    </font>
    <font>
      <b/>
      <sz val="11"/>
      <color rgb="FF0066FF"/>
      <name val="Arial"/>
      <family val="2"/>
    </font>
    <font>
      <b/>
      <sz val="11"/>
      <color theme="1"/>
      <name val="Webdings"/>
      <family val="1"/>
      <charset val="2"/>
    </font>
    <font>
      <sz val="20"/>
      <color theme="1"/>
      <name val="Arial"/>
      <family val="2"/>
    </font>
    <font>
      <sz val="11"/>
      <color theme="1"/>
      <name val="Segoe UI Symbol"/>
      <family val="2"/>
    </font>
    <font>
      <sz val="11"/>
      <color theme="1"/>
      <name val="Modern Love"/>
      <family val="5"/>
    </font>
    <font>
      <sz val="10.5"/>
      <color theme="1"/>
      <name val="Calibri"/>
      <family val="2"/>
      <scheme val="minor"/>
    </font>
    <font>
      <b/>
      <sz val="12"/>
      <color theme="1"/>
      <name val="Arial"/>
      <family val="1"/>
      <charset val="2"/>
    </font>
    <font>
      <b/>
      <sz val="12"/>
      <color rgb="FFFF0000"/>
      <name val="Wingdings 3"/>
      <family val="1"/>
      <charset val="2"/>
    </font>
    <font>
      <b/>
      <sz val="12"/>
      <color rgb="FFFFC000"/>
      <name val="Wingdings 3"/>
      <family val="1"/>
      <charset val="2"/>
    </font>
    <font>
      <b/>
      <sz val="12"/>
      <color rgb="FF92D050"/>
      <name val="Wingdings 3"/>
      <family val="1"/>
      <charset val="2"/>
    </font>
    <font>
      <sz val="10"/>
      <color theme="1" tint="0.499984740745262"/>
      <name val="Arial"/>
      <family val="2"/>
    </font>
    <font>
      <sz val="10"/>
      <color theme="1"/>
      <name val="Calibri"/>
      <family val="2"/>
    </font>
    <font>
      <b/>
      <sz val="10.5"/>
      <color theme="1"/>
      <name val="Calibri"/>
      <family val="2"/>
      <scheme val="minor"/>
    </font>
    <font>
      <sz val="72"/>
      <color theme="1"/>
      <name val="Wingdings 2"/>
      <family val="1"/>
      <charset val="2"/>
    </font>
    <font>
      <sz val="11"/>
      <color theme="1"/>
      <name val="Wingdings 2"/>
      <family val="1"/>
      <charset val="2"/>
    </font>
    <font>
      <sz val="11"/>
      <color theme="1"/>
      <name val="Segoe UI Semibold"/>
      <family val="2"/>
    </font>
    <font>
      <sz val="8"/>
      <color rgb="FFFFC000"/>
      <name val="Wingdings 2"/>
      <family val="1"/>
      <charset val="2"/>
    </font>
    <font>
      <sz val="11"/>
      <color theme="1"/>
      <name val="Calibri"/>
      <family val="2"/>
    </font>
    <font>
      <u/>
      <sz val="10"/>
      <color rgb="FF0066FF"/>
      <name val="Arial"/>
      <family val="2"/>
    </font>
    <font>
      <b/>
      <u/>
      <sz val="11"/>
      <color theme="1"/>
      <name val="Calibri"/>
      <family val="2"/>
      <scheme val="minor"/>
    </font>
    <font>
      <sz val="11"/>
      <color indexed="8"/>
      <name val="Calibri"/>
      <family val="2"/>
      <scheme val="minor"/>
    </font>
    <font>
      <b/>
      <u/>
      <sz val="14"/>
      <color theme="1"/>
      <name val="Calibri"/>
      <family val="2"/>
      <scheme val="minor"/>
    </font>
    <font>
      <u/>
      <sz val="9"/>
      <color rgb="FF0066FF"/>
      <name val="Calibri"/>
      <family val="2"/>
      <scheme val="minor"/>
    </font>
    <font>
      <b/>
      <sz val="9"/>
      <color theme="1"/>
      <name val="Calibri"/>
      <family val="2"/>
      <scheme val="minor"/>
    </font>
    <font>
      <b/>
      <u/>
      <sz val="9"/>
      <color rgb="FF0066FF"/>
      <name val="Calibri"/>
      <family val="2"/>
      <scheme val="minor"/>
    </font>
    <font>
      <b/>
      <sz val="24"/>
      <color theme="1"/>
      <name val="Calibri"/>
      <family val="2"/>
      <scheme val="minor"/>
    </font>
    <font>
      <u/>
      <sz val="8"/>
      <color theme="1"/>
      <name val="Arial"/>
      <family val="2"/>
    </font>
    <font>
      <sz val="16"/>
      <color theme="1"/>
      <name val="Calibri"/>
      <family val="2"/>
      <scheme val="minor"/>
    </font>
    <font>
      <sz val="10"/>
      <color theme="1"/>
      <name val="Calibri Light"/>
      <family val="2"/>
    </font>
    <font>
      <sz val="10"/>
      <color rgb="FF000000"/>
      <name val="Calibri Light"/>
      <family val="2"/>
    </font>
    <font>
      <b/>
      <sz val="10"/>
      <color theme="1"/>
      <name val="Calibri Light"/>
      <family val="2"/>
    </font>
    <font>
      <b/>
      <sz val="14"/>
      <color theme="1"/>
      <name val="Calibri Light"/>
      <family val="2"/>
    </font>
    <font>
      <b/>
      <sz val="12"/>
      <color theme="1"/>
      <name val="Calibri Light"/>
      <family val="2"/>
    </font>
    <font>
      <b/>
      <sz val="18"/>
      <color rgb="FFFF0000"/>
      <name val="Calibri Light"/>
      <family val="2"/>
    </font>
    <font>
      <b/>
      <sz val="12"/>
      <name val="Calibri"/>
      <family val="2"/>
      <scheme val="minor"/>
    </font>
    <font>
      <u/>
      <sz val="14"/>
      <color rgb="FF0066FF"/>
      <name val="Calibri"/>
      <family val="2"/>
      <scheme val="minor"/>
    </font>
  </fonts>
  <fills count="30">
    <fill>
      <patternFill patternType="none"/>
    </fill>
    <fill>
      <patternFill patternType="gray125"/>
    </fill>
    <fill>
      <patternFill patternType="solid">
        <fgColor indexed="9"/>
        <bgColor indexed="64"/>
      </patternFill>
    </fill>
    <fill>
      <patternFill patternType="solid">
        <fgColor theme="0" tint="-0.14996795556505021"/>
        <bgColor indexed="64"/>
      </patternFill>
    </fill>
    <fill>
      <patternFill patternType="solid">
        <fgColor theme="0" tint="-0.14999847407452621"/>
        <bgColor indexed="64"/>
      </patternFill>
    </fill>
    <fill>
      <gradientFill degree="270">
        <stop position="0">
          <color theme="0"/>
        </stop>
        <stop position="1">
          <color theme="0" tint="-0.25098422193060094"/>
        </stop>
      </gradientFill>
    </fill>
    <fill>
      <patternFill patternType="solid">
        <fgColor theme="0"/>
        <bgColor indexed="64"/>
      </patternFill>
    </fill>
    <fill>
      <patternFill patternType="solid">
        <fgColor theme="0"/>
      </patternFill>
    </fill>
    <fill>
      <patternFill patternType="solid">
        <fgColor rgb="FFFFFF00"/>
        <bgColor indexed="64"/>
      </patternFill>
    </fill>
    <fill>
      <patternFill patternType="solid">
        <fgColor theme="0" tint="-4.9989318521683403E-2"/>
        <bgColor indexed="64"/>
      </patternFill>
    </fill>
    <fill>
      <patternFill patternType="solid">
        <fgColor theme="8" tint="0.59999389629810485"/>
        <bgColor indexed="64"/>
      </patternFill>
    </fill>
    <fill>
      <gradientFill type="path" left="1" right="1" top="1" bottom="1">
        <stop position="0">
          <color theme="0" tint="-5.0965910824915313E-2"/>
        </stop>
        <stop position="1">
          <color theme="0"/>
        </stop>
      </gradientFill>
    </fill>
    <fill>
      <gradientFill degree="90">
        <stop position="0">
          <color theme="0"/>
        </stop>
        <stop position="1">
          <color theme="0" tint="-0.25098422193060094"/>
        </stop>
      </gradientFill>
    </fill>
    <fill>
      <patternFill patternType="solid">
        <fgColor theme="4" tint="0.39997558519241921"/>
        <bgColor indexed="64"/>
      </patternFill>
    </fill>
    <fill>
      <patternFill patternType="solid">
        <fgColor indexed="43"/>
        <bgColor indexed="64"/>
      </patternFill>
    </fill>
    <fill>
      <patternFill patternType="solid">
        <fgColor rgb="FFF6CBC2"/>
        <bgColor indexed="64"/>
      </patternFill>
    </fill>
    <fill>
      <patternFill patternType="solid">
        <fgColor rgb="FF92D050"/>
        <bgColor indexed="64"/>
      </patternFill>
    </fill>
    <fill>
      <patternFill patternType="solid">
        <fgColor theme="4" tint="0.79998168889431442"/>
        <bgColor theme="4" tint="0.79998168889431442"/>
      </patternFill>
    </fill>
    <fill>
      <patternFill patternType="solid">
        <fgColor theme="4" tint="0.79998168889431442"/>
        <bgColor indexed="64"/>
      </patternFill>
    </fill>
    <fill>
      <patternFill patternType="solid">
        <fgColor rgb="FFBEE395"/>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FFFFFF"/>
        <bgColor rgb="FF000000"/>
      </patternFill>
    </fill>
    <fill>
      <patternFill patternType="solid">
        <fgColor theme="5" tint="0.79998168889431442"/>
        <bgColor indexed="64"/>
      </patternFill>
    </fill>
    <fill>
      <patternFill patternType="solid">
        <fgColor rgb="FFFFFF00"/>
        <bgColor rgb="FF000000"/>
      </patternFill>
    </fill>
    <fill>
      <patternFill patternType="solid">
        <fgColor rgb="FFEEF1F6"/>
        <bgColor indexed="64"/>
      </patternFill>
    </fill>
    <fill>
      <patternFill patternType="solid">
        <fgColor theme="9" tint="0.59999389629810485"/>
        <bgColor indexed="64"/>
      </patternFill>
    </fill>
    <fill>
      <patternFill patternType="solid">
        <fgColor rgb="FF00B0F0"/>
        <bgColor indexed="64"/>
      </patternFill>
    </fill>
    <fill>
      <gradientFill>
        <stop position="0">
          <color theme="4" tint="0.59999389629810485"/>
        </stop>
        <stop position="1">
          <color theme="5" tint="0.59999389629810485"/>
        </stop>
      </gradientFill>
    </fill>
    <fill>
      <patternFill patternType="solid">
        <fgColor rgb="FFFFFFFF"/>
        <bgColor indexed="64"/>
      </patternFill>
    </fill>
  </fills>
  <borders count="308">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right style="medium">
        <color indexed="64"/>
      </right>
      <top/>
      <bottom/>
      <diagonal/>
    </border>
    <border>
      <left style="medium">
        <color indexed="64"/>
      </left>
      <right/>
      <top/>
      <bottom style="medium">
        <color indexed="64"/>
      </bottom>
      <diagonal/>
    </border>
    <border>
      <left/>
      <right/>
      <top style="dashed">
        <color indexed="64"/>
      </top>
      <bottom style="dashed">
        <color indexed="64"/>
      </bottom>
      <diagonal/>
    </border>
    <border>
      <left/>
      <right/>
      <top/>
      <bottom style="medium">
        <color indexed="64"/>
      </bottom>
      <diagonal/>
    </border>
    <border>
      <left style="medium">
        <color indexed="64"/>
      </left>
      <right/>
      <top/>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right/>
      <top/>
      <bottom style="dashed">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thin">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style="double">
        <color indexed="64"/>
      </top>
      <bottom style="thin">
        <color indexed="64"/>
      </bottom>
      <diagonal/>
    </border>
    <border>
      <left style="dashed">
        <color indexed="64"/>
      </left>
      <right style="dashed">
        <color indexed="64"/>
      </right>
      <top style="dashed">
        <color indexed="64"/>
      </top>
      <bottom style="dashed">
        <color indexed="64"/>
      </bottom>
      <diagonal/>
    </border>
    <border>
      <left style="medium">
        <color indexed="64"/>
      </left>
      <right style="thin">
        <color indexed="64"/>
      </right>
      <top style="double">
        <color indexed="64"/>
      </top>
      <bottom style="thin">
        <color indexed="64"/>
      </bottom>
      <diagonal/>
    </border>
    <border>
      <left style="medium">
        <color indexed="64"/>
      </left>
      <right style="medium">
        <color indexed="64"/>
      </right>
      <top style="double">
        <color indexed="64"/>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dashed">
        <color indexed="64"/>
      </top>
      <bottom style="dashed">
        <color indexed="64"/>
      </bottom>
      <diagonal/>
    </border>
    <border>
      <left/>
      <right style="dashed">
        <color indexed="64"/>
      </right>
      <top style="dashed">
        <color indexed="64"/>
      </top>
      <bottom style="dashed">
        <color indexed="64"/>
      </bottom>
      <diagonal/>
    </border>
    <border>
      <left style="medium">
        <color indexed="64"/>
      </left>
      <right/>
      <top style="dashed">
        <color indexed="64"/>
      </top>
      <bottom style="thick">
        <color indexed="64"/>
      </bottom>
      <diagonal/>
    </border>
    <border>
      <left/>
      <right style="dashed">
        <color indexed="64"/>
      </right>
      <top style="dashed">
        <color indexed="64"/>
      </top>
      <bottom style="thick">
        <color indexed="64"/>
      </bottom>
      <diagonal/>
    </border>
    <border>
      <left/>
      <right style="medium">
        <color indexed="64"/>
      </right>
      <top style="dashed">
        <color indexed="64"/>
      </top>
      <bottom style="dashed">
        <color indexed="64"/>
      </bottom>
      <diagonal/>
    </border>
    <border>
      <left/>
      <right/>
      <top style="dashed">
        <color indexed="64"/>
      </top>
      <bottom style="dott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thick">
        <color indexed="64"/>
      </bottom>
      <diagonal/>
    </border>
    <border>
      <left/>
      <right/>
      <top style="dashed">
        <color indexed="64"/>
      </top>
      <bottom style="thick">
        <color indexed="64"/>
      </bottom>
      <diagonal/>
    </border>
    <border>
      <left style="medium">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double">
        <color indexed="64"/>
      </top>
      <bottom/>
      <diagonal/>
    </border>
    <border>
      <left/>
      <right style="medium">
        <color indexed="64"/>
      </right>
      <top style="double">
        <color indexed="64"/>
      </top>
      <bottom/>
      <diagonal/>
    </border>
    <border>
      <left/>
      <right/>
      <top style="double">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double">
        <color indexed="64"/>
      </bottom>
      <diagonal/>
    </border>
    <border>
      <left/>
      <right style="thin">
        <color indexed="64"/>
      </right>
      <top/>
      <bottom style="medium">
        <color indexed="64"/>
      </bottom>
      <diagonal/>
    </border>
    <border>
      <left style="medium">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style="medium">
        <color indexed="64"/>
      </right>
      <top style="thin">
        <color indexed="64"/>
      </top>
      <bottom style="thin">
        <color indexed="64"/>
      </bottom>
      <diagonal/>
    </border>
    <border>
      <left/>
      <right/>
      <top style="medium">
        <color indexed="64"/>
      </top>
      <bottom style="thin">
        <color indexed="64"/>
      </bottom>
      <diagonal/>
    </border>
    <border>
      <left/>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theme="0" tint="-0.249977111117893"/>
      </left>
      <right/>
      <top style="medium">
        <color theme="0" tint="-0.249977111117893"/>
      </top>
      <bottom/>
      <diagonal/>
    </border>
    <border>
      <left/>
      <right/>
      <top style="medium">
        <color theme="0" tint="-0.249977111117893"/>
      </top>
      <bottom/>
      <diagonal/>
    </border>
    <border>
      <left/>
      <right style="medium">
        <color theme="0" tint="-0.249977111117893"/>
      </right>
      <top style="medium">
        <color theme="0" tint="-0.249977111117893"/>
      </top>
      <bottom/>
      <diagonal/>
    </border>
    <border>
      <left style="medium">
        <color theme="0" tint="-0.249977111117893"/>
      </left>
      <right/>
      <top/>
      <bottom style="medium">
        <color theme="0" tint="-0.249977111117893"/>
      </bottom>
      <diagonal/>
    </border>
    <border>
      <left/>
      <right/>
      <top/>
      <bottom style="medium">
        <color theme="0" tint="-0.249977111117893"/>
      </bottom>
      <diagonal/>
    </border>
    <border>
      <left/>
      <right style="medium">
        <color theme="0" tint="-0.249977111117893"/>
      </right>
      <top/>
      <bottom style="medium">
        <color theme="0" tint="-0.249977111117893"/>
      </bottom>
      <diagonal/>
    </border>
    <border>
      <left style="medium">
        <color theme="0" tint="-0.249977111117893"/>
      </left>
      <right/>
      <top/>
      <bottom/>
      <diagonal/>
    </border>
    <border>
      <left/>
      <right style="medium">
        <color theme="0" tint="-0.249977111117893"/>
      </right>
      <top/>
      <bottom/>
      <diagonal/>
    </border>
    <border>
      <left style="thin">
        <color indexed="64"/>
      </left>
      <right style="medium">
        <color theme="0" tint="-0.249977111117893"/>
      </right>
      <top style="thin">
        <color indexed="64"/>
      </top>
      <bottom style="thin">
        <color indexed="64"/>
      </bottom>
      <diagonal/>
    </border>
    <border>
      <left style="thin">
        <color indexed="64"/>
      </left>
      <right style="thin">
        <color indexed="64"/>
      </right>
      <top style="thin">
        <color indexed="64"/>
      </top>
      <bottom style="medium">
        <color theme="0" tint="-0.249977111117893"/>
      </bottom>
      <diagonal/>
    </border>
    <border>
      <left style="thin">
        <color indexed="64"/>
      </left>
      <right style="medium">
        <color theme="0" tint="-0.249977111117893"/>
      </right>
      <top style="thin">
        <color indexed="64"/>
      </top>
      <bottom style="medium">
        <color theme="0" tint="-0.249977111117893"/>
      </bottom>
      <diagonal/>
    </border>
    <border>
      <left/>
      <right style="thin">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diagonal/>
    </border>
    <border>
      <left style="medium">
        <color indexed="64"/>
      </left>
      <right style="medium">
        <color indexed="64"/>
      </right>
      <top style="double">
        <color indexed="64"/>
      </top>
      <bottom style="double">
        <color indexed="64"/>
      </bottom>
      <diagonal/>
    </border>
    <border>
      <left style="medium">
        <color indexed="64"/>
      </left>
      <right style="medium">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right style="medium">
        <color indexed="64"/>
      </right>
      <top style="double">
        <color indexed="64"/>
      </top>
      <bottom style="double">
        <color indexed="64"/>
      </bottom>
      <diagonal/>
    </border>
    <border>
      <left style="thin">
        <color indexed="64"/>
      </left>
      <right style="thin">
        <color indexed="64"/>
      </right>
      <top/>
      <bottom/>
      <diagonal/>
    </border>
    <border>
      <left style="thin">
        <color indexed="64"/>
      </left>
      <right style="medium">
        <color indexed="64"/>
      </right>
      <top style="double">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diagonal/>
    </border>
    <border>
      <left style="thin">
        <color indexed="64"/>
      </left>
      <right/>
      <top/>
      <bottom style="medium">
        <color indexed="64"/>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top style="double">
        <color indexed="64"/>
      </top>
      <bottom style="double">
        <color indexed="64"/>
      </bottom>
      <diagonal/>
    </border>
    <border>
      <left style="medium">
        <color indexed="64"/>
      </left>
      <right/>
      <top style="double">
        <color indexed="64"/>
      </top>
      <bottom style="medium">
        <color indexed="64"/>
      </bottom>
      <diagonal/>
    </border>
    <border>
      <left style="thick">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medium">
        <color indexed="64"/>
      </bottom>
      <diagonal/>
    </border>
    <border>
      <left style="thick">
        <color indexed="64"/>
      </left>
      <right style="thick">
        <color indexed="64"/>
      </right>
      <top style="medium">
        <color indexed="64"/>
      </top>
      <bottom style="medium">
        <color indexed="64"/>
      </bottom>
      <diagonal/>
    </border>
    <border>
      <left style="thick">
        <color indexed="64"/>
      </left>
      <right style="thick">
        <color indexed="64"/>
      </right>
      <top/>
      <bottom style="thin">
        <color indexed="64"/>
      </bottom>
      <diagonal/>
    </border>
    <border>
      <left/>
      <right style="medium">
        <color indexed="64"/>
      </right>
      <top style="thin">
        <color indexed="64"/>
      </top>
      <bottom style="double">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medium">
        <color indexed="64"/>
      </right>
      <top/>
      <bottom/>
      <diagonal/>
    </border>
    <border>
      <left style="thick">
        <color indexed="64"/>
      </left>
      <right style="medium">
        <color indexed="64"/>
      </right>
      <top/>
      <bottom style="thin">
        <color indexed="64"/>
      </bottom>
      <diagonal/>
    </border>
    <border>
      <left style="thick">
        <color indexed="64"/>
      </left>
      <right style="medium">
        <color indexed="64"/>
      </right>
      <top style="thin">
        <color indexed="64"/>
      </top>
      <bottom style="thin">
        <color indexed="64"/>
      </bottom>
      <diagonal/>
    </border>
    <border>
      <left style="thick">
        <color indexed="64"/>
      </left>
      <right style="medium">
        <color indexed="64"/>
      </right>
      <top style="thin">
        <color indexed="64"/>
      </top>
      <bottom/>
      <diagonal/>
    </border>
    <border>
      <left style="thick">
        <color indexed="64"/>
      </left>
      <right style="medium">
        <color indexed="64"/>
      </right>
      <top style="double">
        <color indexed="64"/>
      </top>
      <bottom style="double">
        <color indexed="64"/>
      </bottom>
      <diagonal/>
    </border>
    <border>
      <left style="medium">
        <color indexed="64"/>
      </left>
      <right style="thick">
        <color indexed="64"/>
      </right>
      <top style="medium">
        <color indexed="64"/>
      </top>
      <bottom/>
      <diagonal/>
    </border>
    <border>
      <left style="medium">
        <color indexed="64"/>
      </left>
      <right style="thick">
        <color indexed="64"/>
      </right>
      <top/>
      <bottom/>
      <diagonal/>
    </border>
    <border>
      <left style="medium">
        <color indexed="64"/>
      </left>
      <right style="thick">
        <color indexed="64"/>
      </right>
      <top/>
      <bottom style="thin">
        <color indexed="64"/>
      </bottom>
      <diagonal/>
    </border>
    <border>
      <left style="medium">
        <color indexed="64"/>
      </left>
      <right style="thick">
        <color indexed="64"/>
      </right>
      <top style="thin">
        <color indexed="64"/>
      </top>
      <bottom style="thin">
        <color indexed="64"/>
      </bottom>
      <diagonal/>
    </border>
    <border>
      <left style="medium">
        <color indexed="64"/>
      </left>
      <right style="thick">
        <color indexed="64"/>
      </right>
      <top style="medium">
        <color indexed="64"/>
      </top>
      <bottom style="medium">
        <color indexed="64"/>
      </bottom>
      <diagonal/>
    </border>
    <border>
      <left style="medium">
        <color indexed="64"/>
      </left>
      <right style="thick">
        <color indexed="64"/>
      </right>
      <top style="double">
        <color indexed="64"/>
      </top>
      <bottom style="double">
        <color indexed="64"/>
      </bottom>
      <diagonal/>
    </border>
    <border>
      <left style="thin">
        <color indexed="64"/>
      </left>
      <right style="thin">
        <color indexed="64"/>
      </right>
      <top style="medium">
        <color indexed="64"/>
      </top>
      <bottom/>
      <diagonal/>
    </border>
    <border>
      <left style="thin">
        <color indexed="64"/>
      </left>
      <right style="thick">
        <color indexed="64"/>
      </right>
      <top/>
      <bottom style="thin">
        <color indexed="64"/>
      </bottom>
      <diagonal/>
    </border>
    <border>
      <left/>
      <right style="thick">
        <color indexed="64"/>
      </right>
      <top style="thin">
        <color indexed="64"/>
      </top>
      <bottom style="thin">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ck">
        <color indexed="64"/>
      </left>
      <right style="medium">
        <color indexed="64"/>
      </right>
      <top/>
      <bottom style="medium">
        <color indexed="64"/>
      </bottom>
      <diagonal/>
    </border>
    <border>
      <left style="medium">
        <color indexed="64"/>
      </left>
      <right style="medium">
        <color indexed="64"/>
      </right>
      <top style="medium">
        <color indexed="64"/>
      </top>
      <bottom style="thin">
        <color auto="1"/>
      </bottom>
      <diagonal/>
    </border>
    <border>
      <left style="thin">
        <color indexed="64"/>
      </left>
      <right style="thick">
        <color indexed="64"/>
      </right>
      <top style="thin">
        <color indexed="64"/>
      </top>
      <bottom style="medium">
        <color indexed="64"/>
      </bottom>
      <diagonal/>
    </border>
    <border>
      <left/>
      <right style="thick">
        <color indexed="64"/>
      </right>
      <top/>
      <bottom/>
      <diagonal/>
    </border>
    <border>
      <left style="thick">
        <color indexed="64"/>
      </left>
      <right style="thin">
        <color indexed="64"/>
      </right>
      <top style="thin">
        <color indexed="64"/>
      </top>
      <bottom/>
      <diagonal/>
    </border>
    <border>
      <left style="thick">
        <color indexed="64"/>
      </left>
      <right style="thin">
        <color indexed="64"/>
      </right>
      <top/>
      <bottom style="thin">
        <color indexed="64"/>
      </bottom>
      <diagonal/>
    </border>
    <border>
      <left style="medium">
        <color indexed="64"/>
      </left>
      <right style="thin">
        <color indexed="64"/>
      </right>
      <top style="double">
        <color indexed="64"/>
      </top>
      <bottom style="medium">
        <color indexed="64"/>
      </bottom>
      <diagonal/>
    </border>
    <border>
      <left style="thin">
        <color indexed="64"/>
      </left>
      <right style="thick">
        <color indexed="64"/>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style="thick">
        <color indexed="64"/>
      </right>
      <top style="medium">
        <color indexed="64"/>
      </top>
      <bottom style="thin">
        <color indexed="64"/>
      </bottom>
      <diagonal/>
    </border>
    <border>
      <left style="thin">
        <color theme="1"/>
      </left>
      <right style="thin">
        <color theme="1"/>
      </right>
      <top style="thin">
        <color theme="1"/>
      </top>
      <bottom style="thin">
        <color theme="1"/>
      </bottom>
      <diagonal/>
    </border>
    <border>
      <left style="thin">
        <color theme="1"/>
      </left>
      <right style="medium">
        <color indexed="64"/>
      </right>
      <top style="thin">
        <color theme="1"/>
      </top>
      <bottom style="thin">
        <color theme="1"/>
      </bottom>
      <diagonal/>
    </border>
    <border>
      <left style="thick">
        <color indexed="64"/>
      </left>
      <right style="medium">
        <color indexed="64"/>
      </right>
      <top style="medium">
        <color indexed="64"/>
      </top>
      <bottom style="medium">
        <color indexed="64"/>
      </bottom>
      <diagonal/>
    </border>
    <border>
      <left style="thick">
        <color theme="1" tint="0.499984740745262"/>
      </left>
      <right/>
      <top style="thick">
        <color theme="1" tint="0.499984740745262"/>
      </top>
      <bottom/>
      <diagonal/>
    </border>
    <border>
      <left/>
      <right style="thick">
        <color theme="1" tint="0.499984740745262"/>
      </right>
      <top style="thick">
        <color theme="1" tint="0.499984740745262"/>
      </top>
      <bottom/>
      <diagonal/>
    </border>
    <border>
      <left style="thick">
        <color theme="1" tint="0.499984740745262"/>
      </left>
      <right/>
      <top/>
      <bottom/>
      <diagonal/>
    </border>
    <border>
      <left/>
      <right style="thick">
        <color theme="1" tint="0.499984740745262"/>
      </right>
      <top/>
      <bottom/>
      <diagonal/>
    </border>
    <border>
      <left style="thick">
        <color theme="1" tint="0.499984740745262"/>
      </left>
      <right/>
      <top/>
      <bottom style="thick">
        <color theme="1" tint="0.499984740745262"/>
      </bottom>
      <diagonal/>
    </border>
    <border>
      <left/>
      <right style="thick">
        <color theme="1" tint="0.499984740745262"/>
      </right>
      <top/>
      <bottom style="thick">
        <color theme="1" tint="0.499984740745262"/>
      </bottom>
      <diagonal/>
    </border>
    <border>
      <left/>
      <right style="thick">
        <color indexed="64"/>
      </right>
      <top style="medium">
        <color auto="1"/>
      </top>
      <bottom style="medium">
        <color indexed="64"/>
      </bottom>
      <diagonal/>
    </border>
    <border>
      <left style="thick">
        <color indexed="64"/>
      </left>
      <right/>
      <top style="thin">
        <color indexed="64"/>
      </top>
      <bottom style="thin">
        <color indexed="64"/>
      </bottom>
      <diagonal/>
    </border>
    <border>
      <left style="medium">
        <color indexed="64"/>
      </left>
      <right style="thin">
        <color indexed="64"/>
      </right>
      <top style="thick">
        <color indexed="64"/>
      </top>
      <bottom style="medium">
        <color indexed="64"/>
      </bottom>
      <diagonal/>
    </border>
    <border>
      <left style="thin">
        <color indexed="64"/>
      </left>
      <right style="medium">
        <color indexed="64"/>
      </right>
      <top style="thick">
        <color indexed="64"/>
      </top>
      <bottom style="medium">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right style="thick">
        <color indexed="64"/>
      </right>
      <top style="thin">
        <color indexed="64"/>
      </top>
      <bottom/>
      <diagonal/>
    </border>
    <border>
      <left/>
      <right style="thick">
        <color indexed="64"/>
      </right>
      <top/>
      <bottom style="thin">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n">
        <color indexed="64"/>
      </bottom>
      <diagonal/>
    </border>
    <border>
      <left style="thin">
        <color indexed="64"/>
      </left>
      <right style="thick">
        <color indexed="64"/>
      </right>
      <top style="thin">
        <color indexed="64"/>
      </top>
      <bottom/>
      <diagonal/>
    </border>
    <border>
      <left/>
      <right/>
      <top/>
      <bottom style="thick">
        <color indexed="64"/>
      </bottom>
      <diagonal/>
    </border>
    <border>
      <left style="thick">
        <color indexed="64"/>
      </left>
      <right/>
      <top/>
      <bottom/>
      <diagonal/>
    </border>
    <border>
      <left style="medium">
        <color indexed="64"/>
      </left>
      <right style="medium">
        <color indexed="64"/>
      </right>
      <top style="thin">
        <color indexed="64"/>
      </top>
      <bottom style="medium">
        <color indexed="64"/>
      </bottom>
      <diagonal/>
    </border>
    <border>
      <left style="thick">
        <color indexed="64"/>
      </left>
      <right/>
      <top style="thin">
        <color indexed="64"/>
      </top>
      <bottom/>
      <diagonal/>
    </border>
    <border>
      <left/>
      <right style="thin">
        <color indexed="64"/>
      </right>
      <top style="thick">
        <color indexed="64"/>
      </top>
      <bottom style="thin">
        <color indexed="64"/>
      </bottom>
      <diagonal/>
    </border>
    <border>
      <left style="thin">
        <color indexed="64"/>
      </left>
      <right/>
      <top style="thick">
        <color indexed="64"/>
      </top>
      <bottom/>
      <diagonal/>
    </border>
    <border>
      <left/>
      <right/>
      <top style="thin">
        <color rgb="FF000000"/>
      </top>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top style="medium">
        <color indexed="64"/>
      </top>
      <bottom style="double">
        <color indexed="64"/>
      </bottom>
      <diagonal/>
    </border>
    <border>
      <left style="thin">
        <color indexed="64"/>
      </left>
      <right/>
      <top/>
      <bottom style="double">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thin">
        <color indexed="64"/>
      </right>
      <top/>
      <bottom style="dashed">
        <color indexed="64"/>
      </bottom>
      <diagonal/>
    </border>
    <border>
      <left style="medium">
        <color rgb="FFFFFFFF"/>
      </left>
      <right style="medium">
        <color rgb="FFFFFFFF"/>
      </right>
      <top style="medium">
        <color rgb="FFFFFFFF"/>
      </top>
      <bottom style="medium">
        <color rgb="FFFFFFFF"/>
      </bottom>
      <diagonal/>
    </border>
    <border>
      <left/>
      <right style="medium">
        <color rgb="FFE1E1E1"/>
      </right>
      <top/>
      <bottom/>
      <diagonal/>
    </border>
    <border>
      <left style="medium">
        <color rgb="FFE1E1E1"/>
      </left>
      <right style="medium">
        <color rgb="FFE1E1E1"/>
      </right>
      <top style="medium">
        <color rgb="FFE1E1E1"/>
      </top>
      <bottom style="medium">
        <color rgb="FFE1E1E1"/>
      </bottom>
      <diagonal/>
    </border>
    <border>
      <left/>
      <right style="medium">
        <color rgb="FFD7E1F0"/>
      </right>
      <top/>
      <bottom/>
      <diagonal/>
    </border>
    <border>
      <left/>
      <right style="medium">
        <color rgb="FFE1E1E1"/>
      </right>
      <top/>
      <bottom style="medium">
        <color rgb="FFD7E1F0"/>
      </bottom>
      <diagonal/>
    </border>
    <border>
      <left/>
      <right/>
      <top/>
      <bottom style="medium">
        <color rgb="FFD7E1F0"/>
      </bottom>
      <diagonal/>
    </border>
    <border>
      <left/>
      <right style="medium">
        <color rgb="FFD7E1F0"/>
      </right>
      <top/>
      <bottom style="medium">
        <color rgb="FFD7E1F0"/>
      </bottom>
      <diagonal/>
    </border>
    <border>
      <left style="thick">
        <color indexed="64"/>
      </left>
      <right/>
      <top/>
      <bottom style="medium">
        <color indexed="64"/>
      </bottom>
      <diagonal/>
    </border>
    <border>
      <left style="thick">
        <color indexed="64"/>
      </left>
      <right/>
      <top style="medium">
        <color indexed="64"/>
      </top>
      <bottom style="thin">
        <color indexed="64"/>
      </bottom>
      <diagonal/>
    </border>
    <border>
      <left style="thin">
        <color indexed="64"/>
      </left>
      <right style="thick">
        <color indexed="64"/>
      </right>
      <top/>
      <bottom style="thick">
        <color indexed="64"/>
      </bottom>
      <diagonal/>
    </border>
    <border>
      <left style="dashed">
        <color indexed="64"/>
      </left>
      <right style="dashed">
        <color indexed="64"/>
      </right>
      <top style="dashed">
        <color indexed="64"/>
      </top>
      <bottom style="thick">
        <color indexed="64"/>
      </bottom>
      <diagonal/>
    </border>
    <border>
      <left style="thin">
        <color indexed="64"/>
      </left>
      <right style="thin">
        <color indexed="64"/>
      </right>
      <top/>
      <bottom style="thick">
        <color indexed="64"/>
      </bottom>
      <diagonal/>
    </border>
    <border>
      <left/>
      <right style="thin">
        <color indexed="64"/>
      </right>
      <top style="thin">
        <color indexed="64"/>
      </top>
      <bottom style="thick">
        <color indexed="64"/>
      </bottom>
      <diagonal/>
    </border>
    <border>
      <left/>
      <right style="thin">
        <color indexed="64"/>
      </right>
      <top style="thick">
        <color indexed="64"/>
      </top>
      <bottom/>
      <diagonal/>
    </border>
    <border>
      <left style="thick">
        <color indexed="64"/>
      </left>
      <right/>
      <top/>
      <bottom style="thick">
        <color indexed="64"/>
      </bottom>
      <diagonal/>
    </border>
    <border>
      <left/>
      <right style="thin">
        <color indexed="64"/>
      </right>
      <top/>
      <bottom style="thick">
        <color indexed="64"/>
      </bottom>
      <diagonal/>
    </border>
    <border>
      <left style="thick">
        <color indexed="64"/>
      </left>
      <right/>
      <top style="thin">
        <color indexed="64"/>
      </top>
      <bottom style="thick">
        <color indexed="64"/>
      </bottom>
      <diagonal/>
    </border>
    <border>
      <left style="thick">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ck">
        <color indexed="64"/>
      </right>
      <top style="thin">
        <color indexed="64"/>
      </top>
      <bottom style="double">
        <color indexed="64"/>
      </bottom>
      <diagonal/>
    </border>
    <border>
      <left style="thick">
        <color indexed="64"/>
      </left>
      <right style="thin">
        <color indexed="64"/>
      </right>
      <top style="thin">
        <color indexed="64"/>
      </top>
      <bottom style="double">
        <color indexed="64"/>
      </bottom>
      <diagonal/>
    </border>
    <border>
      <left style="thick">
        <color indexed="64"/>
      </left>
      <right/>
      <top style="medium">
        <color indexed="64"/>
      </top>
      <bottom style="medium">
        <color indexed="64"/>
      </bottom>
      <diagonal/>
    </border>
    <border>
      <left/>
      <right style="thick">
        <color indexed="64"/>
      </right>
      <top/>
      <bottom style="thick">
        <color indexed="64"/>
      </bottom>
      <diagonal/>
    </border>
    <border>
      <left style="thick">
        <color indexed="64"/>
      </left>
      <right style="thin">
        <color indexed="64"/>
      </right>
      <top/>
      <bottom/>
      <diagonal/>
    </border>
    <border>
      <left style="thick">
        <color indexed="64"/>
      </left>
      <right/>
      <top style="thick">
        <color indexed="64"/>
      </top>
      <bottom style="thin">
        <color indexed="64"/>
      </bottom>
      <diagonal/>
    </border>
    <border>
      <left style="thick">
        <color indexed="64"/>
      </left>
      <right/>
      <top style="medium">
        <color indexed="64"/>
      </top>
      <bottom/>
      <diagonal/>
    </border>
    <border>
      <left/>
      <right style="thick">
        <color indexed="64"/>
      </right>
      <top style="medium">
        <color auto="1"/>
      </top>
      <bottom/>
      <diagonal/>
    </border>
    <border>
      <left style="thin">
        <color indexed="64"/>
      </left>
      <right style="thick">
        <color indexed="64"/>
      </right>
      <top/>
      <bottom/>
      <diagonal/>
    </border>
    <border>
      <left style="thick">
        <color indexed="64"/>
      </left>
      <right style="thin">
        <color indexed="64"/>
      </right>
      <top style="medium">
        <color indexed="64"/>
      </top>
      <bottom style="thin">
        <color indexed="64"/>
      </bottom>
      <diagonal/>
    </border>
    <border>
      <left/>
      <right style="thin">
        <color indexed="64"/>
      </right>
      <top style="dashed">
        <color indexed="64"/>
      </top>
      <bottom style="dashed">
        <color indexed="64"/>
      </bottom>
      <diagonal/>
    </border>
    <border>
      <left/>
      <right style="thin">
        <color rgb="FF000000"/>
      </right>
      <top/>
      <bottom/>
      <diagonal/>
    </border>
    <border>
      <left/>
      <right style="thin">
        <color rgb="FF000000"/>
      </right>
      <top style="thin">
        <color rgb="FF000000"/>
      </top>
      <bottom/>
      <diagonal/>
    </border>
    <border>
      <left/>
      <right style="thick">
        <color indexed="64"/>
      </right>
      <top style="thin">
        <color indexed="64"/>
      </top>
      <bottom style="thick">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diagonal/>
    </border>
    <border>
      <left style="thick">
        <color rgb="FFC00000"/>
      </left>
      <right style="thin">
        <color indexed="64"/>
      </right>
      <top style="thick">
        <color rgb="FFC00000"/>
      </top>
      <bottom style="thick">
        <color rgb="FFC00000"/>
      </bottom>
      <diagonal/>
    </border>
    <border>
      <left style="thin">
        <color indexed="64"/>
      </left>
      <right style="thin">
        <color indexed="64"/>
      </right>
      <top style="thick">
        <color rgb="FFC00000"/>
      </top>
      <bottom style="thick">
        <color rgb="FFC00000"/>
      </bottom>
      <diagonal/>
    </border>
    <border>
      <left style="thin">
        <color indexed="64"/>
      </left>
      <right/>
      <top style="thick">
        <color rgb="FFC00000"/>
      </top>
      <bottom style="thick">
        <color rgb="FFC00000"/>
      </bottom>
      <diagonal/>
    </border>
    <border>
      <left/>
      <right/>
      <top style="thick">
        <color rgb="FFC00000"/>
      </top>
      <bottom style="thick">
        <color rgb="FFC00000"/>
      </bottom>
      <diagonal/>
    </border>
    <border>
      <left/>
      <right style="thick">
        <color rgb="FFC00000"/>
      </right>
      <top style="thick">
        <color rgb="FFC00000"/>
      </top>
      <bottom style="thick">
        <color rgb="FFC00000"/>
      </bottom>
      <diagonal/>
    </border>
    <border>
      <left style="medium">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style="dashed">
        <color indexed="64"/>
      </left>
      <right style="dashed">
        <color indexed="64"/>
      </right>
      <top style="dashed">
        <color indexed="64"/>
      </top>
      <bottom/>
      <diagonal/>
    </border>
    <border>
      <left style="dashed">
        <color indexed="64"/>
      </left>
      <right/>
      <top style="dashed">
        <color indexed="64"/>
      </top>
      <bottom/>
      <diagonal/>
    </border>
    <border>
      <left/>
      <right style="medium">
        <color indexed="64"/>
      </right>
      <top style="dashed">
        <color indexed="64"/>
      </top>
      <bottom/>
      <diagonal/>
    </border>
    <border>
      <left style="medium">
        <color indexed="64"/>
      </left>
      <right/>
      <top style="thick">
        <color indexed="64"/>
      </top>
      <bottom style="dashed">
        <color indexed="64"/>
      </bottom>
      <diagonal/>
    </border>
    <border>
      <left/>
      <right/>
      <top style="thick">
        <color indexed="64"/>
      </top>
      <bottom style="dashed">
        <color indexed="64"/>
      </bottom>
      <diagonal/>
    </border>
    <border>
      <left/>
      <right style="medium">
        <color indexed="64"/>
      </right>
      <top style="thick">
        <color indexed="64"/>
      </top>
      <bottom style="dashed">
        <color indexed="64"/>
      </bottom>
      <diagonal/>
    </border>
    <border>
      <left/>
      <right style="medium">
        <color indexed="64"/>
      </right>
      <top style="dashed">
        <color indexed="64"/>
      </top>
      <bottom style="thick">
        <color indexed="64"/>
      </bottom>
      <diagonal/>
    </border>
    <border>
      <left style="double">
        <color indexed="64"/>
      </left>
      <right style="thin">
        <color indexed="64"/>
      </right>
      <top style="thin">
        <color indexed="64"/>
      </top>
      <bottom/>
      <diagonal/>
    </border>
    <border>
      <left style="thin">
        <color indexed="64"/>
      </left>
      <right style="double">
        <color indexed="64"/>
      </right>
      <top/>
      <bottom style="medium">
        <color indexed="64"/>
      </bottom>
      <diagonal/>
    </border>
    <border>
      <left style="thin">
        <color indexed="64"/>
      </left>
      <right style="double">
        <color indexed="64"/>
      </right>
      <top style="thick">
        <color rgb="FFC00000"/>
      </top>
      <bottom style="thick">
        <color rgb="FFC00000"/>
      </bottom>
      <diagonal/>
    </border>
    <border>
      <left/>
      <right style="thick">
        <color indexed="64"/>
      </right>
      <top style="thin">
        <color indexed="64"/>
      </top>
      <bottom style="medium">
        <color indexed="64"/>
      </bottom>
      <diagonal/>
    </border>
    <border>
      <left/>
      <right style="thick">
        <color indexed="64"/>
      </right>
      <top style="medium">
        <color indexed="64"/>
      </top>
      <bottom style="thin">
        <color indexed="64"/>
      </bottom>
      <diagonal/>
    </border>
    <border>
      <left/>
      <right style="thick">
        <color indexed="64"/>
      </right>
      <top style="thick">
        <color indexed="64"/>
      </top>
      <bottom style="thick">
        <color rgb="FFC00000"/>
      </bottom>
      <diagonal/>
    </border>
    <border>
      <left style="thick">
        <color indexed="64"/>
      </left>
      <right style="thin">
        <color indexed="64"/>
      </right>
      <top style="thick">
        <color rgb="FFC00000"/>
      </top>
      <bottom style="thick">
        <color rgb="FFC00000"/>
      </bottom>
      <diagonal/>
    </border>
    <border>
      <left/>
      <right style="thick">
        <color indexed="64"/>
      </right>
      <top style="thick">
        <color rgb="FFC00000"/>
      </top>
      <bottom style="thick">
        <color rgb="FFC00000"/>
      </bottom>
      <diagonal/>
    </border>
    <border>
      <left style="double">
        <color indexed="64"/>
      </left>
      <right style="double">
        <color indexed="64"/>
      </right>
      <top/>
      <bottom style="medium">
        <color indexed="64"/>
      </bottom>
      <diagonal/>
    </border>
    <border>
      <left style="double">
        <color indexed="64"/>
      </left>
      <right style="medium">
        <color indexed="64"/>
      </right>
      <top/>
      <bottom style="medium">
        <color indexed="64"/>
      </bottom>
      <diagonal/>
    </border>
    <border>
      <left style="thick">
        <color theme="1"/>
      </left>
      <right style="thin">
        <color theme="1"/>
      </right>
      <top style="thin">
        <color theme="1"/>
      </top>
      <bottom style="thick">
        <color theme="1"/>
      </bottom>
      <diagonal/>
    </border>
    <border>
      <left style="thin">
        <color theme="1"/>
      </left>
      <right style="thin">
        <color theme="1"/>
      </right>
      <top style="thin">
        <color theme="1"/>
      </top>
      <bottom style="thick">
        <color theme="1"/>
      </bottom>
      <diagonal/>
    </border>
    <border>
      <left style="thin">
        <color theme="1"/>
      </left>
      <right style="thick">
        <color theme="1"/>
      </right>
      <top style="thin">
        <color theme="1"/>
      </top>
      <bottom style="thick">
        <color theme="1"/>
      </bottom>
      <diagonal/>
    </border>
    <border>
      <left style="thick">
        <color theme="1"/>
      </left>
      <right style="thin">
        <color theme="1"/>
      </right>
      <top style="thick">
        <color rgb="FFC00000"/>
      </top>
      <bottom/>
      <diagonal/>
    </border>
    <border>
      <left style="thin">
        <color theme="1"/>
      </left>
      <right style="thin">
        <color theme="1"/>
      </right>
      <top style="thick">
        <color rgb="FFC00000"/>
      </top>
      <bottom/>
      <diagonal/>
    </border>
    <border>
      <left style="thick">
        <color theme="1"/>
      </left>
      <right style="thin">
        <color theme="1"/>
      </right>
      <top style="double">
        <color theme="1"/>
      </top>
      <bottom style="thin">
        <color theme="1"/>
      </bottom>
      <diagonal/>
    </border>
    <border>
      <left style="thin">
        <color theme="1"/>
      </left>
      <right style="thin">
        <color theme="1"/>
      </right>
      <top style="double">
        <color theme="1"/>
      </top>
      <bottom style="thin">
        <color theme="1"/>
      </bottom>
      <diagonal/>
    </border>
    <border>
      <left style="thin">
        <color theme="1"/>
      </left>
      <right style="thick">
        <color theme="1"/>
      </right>
      <top style="double">
        <color theme="1"/>
      </top>
      <bottom style="thin">
        <color theme="1"/>
      </bottom>
      <diagonal/>
    </border>
    <border>
      <left style="thin">
        <color indexed="64"/>
      </left>
      <right style="thick">
        <color indexed="64"/>
      </right>
      <top style="double">
        <color indexed="64"/>
      </top>
      <bottom style="thin">
        <color indexed="64"/>
      </bottom>
      <diagonal/>
    </border>
    <border>
      <left/>
      <right/>
      <top/>
      <bottom style="thick">
        <color theme="4"/>
      </bottom>
      <diagonal/>
    </border>
    <border>
      <left style="thick">
        <color theme="4"/>
      </left>
      <right style="medium">
        <color indexed="64"/>
      </right>
      <top style="thick">
        <color theme="4"/>
      </top>
      <bottom/>
      <diagonal/>
    </border>
    <border>
      <left style="medium">
        <color indexed="64"/>
      </left>
      <right/>
      <top style="thick">
        <color theme="4"/>
      </top>
      <bottom style="thin">
        <color indexed="64"/>
      </bottom>
      <diagonal/>
    </border>
    <border>
      <left/>
      <right/>
      <top style="thick">
        <color theme="4"/>
      </top>
      <bottom style="thin">
        <color indexed="64"/>
      </bottom>
      <diagonal/>
    </border>
    <border>
      <left/>
      <right style="thick">
        <color theme="4"/>
      </right>
      <top style="thick">
        <color theme="4"/>
      </top>
      <bottom style="thin">
        <color indexed="64"/>
      </bottom>
      <diagonal/>
    </border>
    <border>
      <left style="thick">
        <color theme="4"/>
      </left>
      <right style="medium">
        <color indexed="64"/>
      </right>
      <top/>
      <bottom/>
      <diagonal/>
    </border>
    <border>
      <left style="thin">
        <color indexed="64"/>
      </left>
      <right style="thick">
        <color theme="4"/>
      </right>
      <top style="thin">
        <color indexed="64"/>
      </top>
      <bottom style="thin">
        <color indexed="64"/>
      </bottom>
      <diagonal/>
    </border>
    <border>
      <left style="thin">
        <color indexed="64"/>
      </left>
      <right style="thick">
        <color theme="4"/>
      </right>
      <top style="thin">
        <color indexed="64"/>
      </top>
      <bottom style="medium">
        <color indexed="64"/>
      </bottom>
      <diagonal/>
    </border>
    <border>
      <left style="thick">
        <color theme="4"/>
      </left>
      <right style="medium">
        <color indexed="64"/>
      </right>
      <top/>
      <bottom style="thick">
        <color theme="4"/>
      </bottom>
      <diagonal/>
    </border>
    <border>
      <left style="medium">
        <color indexed="64"/>
      </left>
      <right/>
      <top/>
      <bottom style="thick">
        <color theme="4"/>
      </bottom>
      <diagonal/>
    </border>
    <border>
      <left/>
      <right style="thick">
        <color theme="4"/>
      </right>
      <top/>
      <bottom style="thick">
        <color theme="4"/>
      </bottom>
      <diagonal/>
    </border>
    <border>
      <left style="thin">
        <color theme="1"/>
      </left>
      <right/>
      <top style="thick">
        <color rgb="FFC00000"/>
      </top>
      <bottom style="double">
        <color theme="1"/>
      </bottom>
      <diagonal/>
    </border>
    <border>
      <left/>
      <right style="thick">
        <color theme="1"/>
      </right>
      <top style="thick">
        <color rgb="FFC00000"/>
      </top>
      <bottom style="double">
        <color theme="1"/>
      </bottom>
      <diagonal/>
    </border>
    <border>
      <left style="thin">
        <color indexed="64"/>
      </left>
      <right/>
      <top/>
      <bottom style="thick">
        <color indexed="64"/>
      </bottom>
      <diagonal/>
    </border>
    <border>
      <left style="thick">
        <color rgb="FFC00000"/>
      </left>
      <right/>
      <top style="thick">
        <color rgb="FFC00000"/>
      </top>
      <bottom style="thick">
        <color rgb="FFC00000"/>
      </bottom>
      <diagonal/>
    </border>
    <border>
      <left/>
      <right style="thin">
        <color indexed="64"/>
      </right>
      <top style="thick">
        <color rgb="FFC00000"/>
      </top>
      <bottom style="thick">
        <color rgb="FFC00000"/>
      </bottom>
      <diagonal/>
    </border>
    <border>
      <left style="thin">
        <color indexed="64"/>
      </left>
      <right style="thick">
        <color rgb="FFC00000"/>
      </right>
      <top style="thick">
        <color rgb="FFC00000"/>
      </top>
      <bottom style="thick">
        <color rgb="FFC00000"/>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double">
        <color indexed="64"/>
      </top>
      <bottom style="medium">
        <color indexed="64"/>
      </bottom>
      <diagonal/>
    </border>
    <border>
      <left style="thick">
        <color indexed="64"/>
      </left>
      <right/>
      <top style="thick">
        <color rgb="FFC00000"/>
      </top>
      <bottom style="thick">
        <color indexed="64"/>
      </bottom>
      <diagonal/>
    </border>
    <border>
      <left/>
      <right/>
      <top style="thick">
        <color rgb="FFC00000"/>
      </top>
      <bottom style="thick">
        <color indexed="64"/>
      </bottom>
      <diagonal/>
    </border>
    <border>
      <left/>
      <right style="thick">
        <color indexed="64"/>
      </right>
      <top style="thick">
        <color rgb="FFC00000"/>
      </top>
      <bottom style="thick">
        <color indexed="64"/>
      </bottom>
      <diagonal/>
    </border>
    <border>
      <left style="thick">
        <color indexed="64"/>
      </left>
      <right/>
      <top style="thin">
        <color indexed="64"/>
      </top>
      <bottom style="double">
        <color indexed="64"/>
      </bottom>
      <diagonal/>
    </border>
    <border>
      <left style="thick">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ck">
        <color indexed="64"/>
      </left>
      <right/>
      <top style="thin">
        <color indexed="64"/>
      </top>
      <bottom style="medium">
        <color indexed="64"/>
      </bottom>
      <diagonal/>
    </border>
    <border>
      <left/>
      <right style="thick">
        <color indexed="64"/>
      </right>
      <top/>
      <bottom style="medium">
        <color indexed="64"/>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bottom style="thick">
        <color indexed="64"/>
      </bottom>
      <diagonal/>
    </border>
    <border>
      <left style="thin">
        <color indexed="64"/>
      </left>
      <right style="thick">
        <color indexed="64"/>
      </right>
      <top style="thick">
        <color indexed="64"/>
      </top>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ck">
        <color indexed="64"/>
      </bottom>
      <diagonal/>
    </border>
  </borders>
  <cellStyleXfs count="21">
    <xf numFmtId="0" fontId="0" fillId="0" borderId="0"/>
    <xf numFmtId="165" fontId="73" fillId="0" borderId="0" applyFont="0" applyFill="0" applyBorder="0" applyAlignment="0" applyProtection="0"/>
    <xf numFmtId="168" fontId="49" fillId="0" borderId="0" applyNumberFormat="0" applyFill="0" applyBorder="0" applyAlignment="0" applyProtection="0">
      <alignment vertical="top"/>
      <protection locked="0"/>
    </xf>
    <xf numFmtId="9" fontId="62" fillId="0" borderId="0" applyFont="0" applyFill="0" applyBorder="0" applyAlignment="0" applyProtection="0"/>
    <xf numFmtId="0" fontId="87" fillId="0" borderId="0"/>
    <xf numFmtId="0" fontId="87" fillId="0" borderId="0"/>
    <xf numFmtId="168" fontId="44" fillId="0" borderId="0"/>
    <xf numFmtId="168" fontId="44" fillId="0" borderId="0"/>
    <xf numFmtId="165" fontId="62" fillId="0" borderId="0" applyFont="0" applyFill="0" applyBorder="0" applyAlignment="0" applyProtection="0"/>
    <xf numFmtId="0" fontId="40" fillId="0" borderId="0"/>
    <xf numFmtId="0" fontId="44" fillId="0" borderId="0"/>
    <xf numFmtId="0" fontId="38" fillId="0" borderId="0"/>
    <xf numFmtId="0" fontId="112" fillId="0" borderId="0"/>
    <xf numFmtId="0" fontId="37" fillId="0" borderId="0"/>
    <xf numFmtId="0" fontId="36" fillId="0" borderId="0"/>
    <xf numFmtId="0" fontId="35" fillId="0" borderId="0"/>
    <xf numFmtId="0" fontId="34" fillId="0" borderId="0"/>
    <xf numFmtId="184" fontId="15" fillId="0" borderId="21" applyFont="0" applyBorder="0">
      <alignment horizontal="center" vertical="center"/>
      <protection locked="0"/>
    </xf>
    <xf numFmtId="177" fontId="188" fillId="0" borderId="2" applyBorder="0">
      <alignment horizontal="center" vertical="center"/>
      <protection locked="0"/>
    </xf>
    <xf numFmtId="177" fontId="188" fillId="0" borderId="2" applyBorder="0">
      <alignment horizontal="center" vertical="center"/>
      <protection hidden="1"/>
    </xf>
    <xf numFmtId="43" fontId="85" fillId="0" borderId="0" applyFont="0" applyFill="0" applyBorder="0" applyAlignment="0" applyProtection="0"/>
  </cellStyleXfs>
  <cellXfs count="3787">
    <xf numFmtId="0" fontId="0" fillId="0" borderId="0" xfId="0"/>
    <xf numFmtId="167" fontId="0" fillId="0" borderId="2" xfId="0" applyNumberFormat="1" applyBorder="1" applyAlignment="1">
      <alignment horizontal="center"/>
    </xf>
    <xf numFmtId="0" fontId="65" fillId="0" borderId="0" xfId="0" applyFont="1"/>
    <xf numFmtId="0" fontId="0" fillId="0" borderId="2" xfId="0" applyBorder="1"/>
    <xf numFmtId="0" fontId="0" fillId="0" borderId="0" xfId="0" applyAlignment="1">
      <alignment horizontal="center"/>
    </xf>
    <xf numFmtId="0" fontId="49" fillId="0" borderId="0" xfId="2" applyNumberFormat="1" applyAlignment="1" applyProtection="1"/>
    <xf numFmtId="0" fontId="0" fillId="0" borderId="4" xfId="0" applyBorder="1" applyProtection="1">
      <protection hidden="1"/>
    </xf>
    <xf numFmtId="14" fontId="0" fillId="0" borderId="3" xfId="0" applyNumberFormat="1" applyBorder="1" applyAlignment="1" applyProtection="1">
      <alignment horizontal="center"/>
      <protection hidden="1"/>
    </xf>
    <xf numFmtId="0" fontId="66" fillId="0" borderId="4" xfId="0" applyFont="1" applyBorder="1" applyProtection="1">
      <protection hidden="1"/>
    </xf>
    <xf numFmtId="2" fontId="0" fillId="0" borderId="3" xfId="0" applyNumberFormat="1" applyBorder="1" applyAlignment="1" applyProtection="1">
      <alignment horizontal="center"/>
      <protection hidden="1"/>
    </xf>
    <xf numFmtId="10" fontId="62" fillId="0" borderId="3" xfId="3" applyNumberFormat="1" applyBorder="1" applyAlignment="1" applyProtection="1">
      <alignment horizontal="center"/>
      <protection hidden="1"/>
    </xf>
    <xf numFmtId="2" fontId="62" fillId="0" borderId="3" xfId="3" applyNumberFormat="1" applyBorder="1" applyAlignment="1" applyProtection="1">
      <alignment horizontal="center"/>
      <protection hidden="1"/>
    </xf>
    <xf numFmtId="10" fontId="62" fillId="0" borderId="11" xfId="3" applyNumberFormat="1" applyBorder="1" applyAlignment="1" applyProtection="1">
      <alignment horizontal="center"/>
      <protection hidden="1"/>
    </xf>
    <xf numFmtId="0" fontId="0" fillId="0" borderId="4" xfId="0" applyBorder="1"/>
    <xf numFmtId="0" fontId="0" fillId="0" borderId="13" xfId="0" applyBorder="1"/>
    <xf numFmtId="0" fontId="0" fillId="0" borderId="0" xfId="0" applyProtection="1">
      <protection locked="0"/>
    </xf>
    <xf numFmtId="0" fontId="0" fillId="0" borderId="0" xfId="0" applyAlignment="1" applyProtection="1">
      <alignment vertical="center"/>
      <protection locked="0"/>
    </xf>
    <xf numFmtId="166" fontId="62" fillId="0" borderId="3" xfId="3" applyNumberFormat="1" applyBorder="1" applyAlignment="1" applyProtection="1">
      <alignment horizontal="center"/>
      <protection hidden="1"/>
    </xf>
    <xf numFmtId="0" fontId="0" fillId="3" borderId="0" xfId="0" applyFill="1"/>
    <xf numFmtId="0" fontId="0" fillId="3" borderId="15" xfId="0" applyFill="1" applyBorder="1" applyAlignment="1">
      <alignment vertical="center" wrapText="1"/>
    </xf>
    <xf numFmtId="0" fontId="0" fillId="3" borderId="0" xfId="0" applyFill="1" applyAlignment="1">
      <alignment vertical="center"/>
    </xf>
    <xf numFmtId="0" fontId="63" fillId="4" borderId="0" xfId="0" applyFont="1" applyFill="1"/>
    <xf numFmtId="0" fontId="63" fillId="4" borderId="0" xfId="0" applyFont="1" applyFill="1" applyAlignment="1">
      <alignment vertical="center"/>
    </xf>
    <xf numFmtId="164" fontId="63" fillId="4" borderId="0" xfId="0" applyNumberFormat="1" applyFont="1" applyFill="1"/>
    <xf numFmtId="0" fontId="49" fillId="4" borderId="16" xfId="2" applyNumberFormat="1" applyFill="1" applyBorder="1" applyAlignment="1" applyProtection="1">
      <alignment vertical="center"/>
      <protection hidden="1"/>
    </xf>
    <xf numFmtId="0" fontId="0" fillId="4" borderId="0" xfId="0" applyFill="1"/>
    <xf numFmtId="14" fontId="0" fillId="4" borderId="0" xfId="0" applyNumberFormat="1" applyFill="1"/>
    <xf numFmtId="0" fontId="68" fillId="4" borderId="17" xfId="0" applyFont="1" applyFill="1" applyBorder="1" applyAlignment="1" applyProtection="1">
      <alignment vertical="center"/>
      <protection hidden="1"/>
    </xf>
    <xf numFmtId="0" fontId="0" fillId="4" borderId="0" xfId="0" applyFill="1" applyAlignment="1">
      <alignment horizontal="center"/>
    </xf>
    <xf numFmtId="14" fontId="0" fillId="4" borderId="4" xfId="0" applyNumberFormat="1" applyFill="1" applyBorder="1"/>
    <xf numFmtId="0" fontId="0" fillId="4" borderId="2" xfId="0" applyFill="1" applyBorder="1" applyAlignment="1">
      <alignment horizontal="center"/>
    </xf>
    <xf numFmtId="0" fontId="0" fillId="3" borderId="0" xfId="0" applyFill="1" applyProtection="1">
      <protection hidden="1"/>
    </xf>
    <xf numFmtId="0" fontId="63" fillId="4" borderId="0" xfId="0" applyFont="1" applyFill="1" applyProtection="1">
      <protection hidden="1"/>
    </xf>
    <xf numFmtId="0" fontId="0" fillId="0" borderId="26" xfId="0" applyBorder="1" applyProtection="1">
      <protection hidden="1"/>
    </xf>
    <xf numFmtId="14" fontId="0" fillId="0" borderId="27" xfId="0" applyNumberFormat="1" applyBorder="1" applyAlignment="1" applyProtection="1">
      <alignment horizontal="center"/>
      <protection hidden="1"/>
    </xf>
    <xf numFmtId="0" fontId="0" fillId="8" borderId="0" xfId="0" applyFill="1"/>
    <xf numFmtId="14" fontId="0" fillId="4" borderId="27" xfId="0" applyNumberFormat="1" applyFill="1" applyBorder="1"/>
    <xf numFmtId="14" fontId="0" fillId="0" borderId="26" xfId="0" applyNumberFormat="1" applyBorder="1" applyAlignment="1" applyProtection="1">
      <alignment horizontal="center"/>
      <protection locked="0"/>
    </xf>
    <xf numFmtId="14" fontId="0" fillId="0" borderId="31" xfId="0" applyNumberFormat="1" applyBorder="1" applyAlignment="1" applyProtection="1">
      <alignment horizontal="center"/>
      <protection locked="0"/>
    </xf>
    <xf numFmtId="2" fontId="0" fillId="0" borderId="3" xfId="0" applyNumberFormat="1" applyBorder="1" applyAlignment="1" applyProtection="1">
      <alignment horizontal="center"/>
      <protection locked="0"/>
    </xf>
    <xf numFmtId="2" fontId="44" fillId="0" borderId="3" xfId="0" applyNumberFormat="1" applyFont="1" applyBorder="1" applyAlignment="1" applyProtection="1">
      <alignment horizontal="center"/>
      <protection locked="0"/>
    </xf>
    <xf numFmtId="168" fontId="0" fillId="4" borderId="0" xfId="0" applyNumberFormat="1" applyFill="1"/>
    <xf numFmtId="1" fontId="0" fillId="4" borderId="0" xfId="0" applyNumberFormat="1" applyFill="1"/>
    <xf numFmtId="14" fontId="0" fillId="6" borderId="4" xfId="0" applyNumberFormat="1" applyFill="1" applyBorder="1" applyAlignment="1" applyProtection="1">
      <alignment horizontal="center"/>
      <protection locked="0"/>
    </xf>
    <xf numFmtId="14" fontId="0" fillId="6" borderId="2" xfId="0" applyNumberFormat="1" applyFill="1" applyBorder="1" applyAlignment="1" applyProtection="1">
      <alignment horizontal="center"/>
      <protection locked="0"/>
    </xf>
    <xf numFmtId="14" fontId="0" fillId="6" borderId="3" xfId="0" applyNumberFormat="1" applyFill="1" applyBorder="1" applyAlignment="1" applyProtection="1">
      <alignment horizontal="center"/>
      <protection locked="0"/>
    </xf>
    <xf numFmtId="14" fontId="0" fillId="6" borderId="32" xfId="0" applyNumberFormat="1" applyFill="1" applyBorder="1" applyAlignment="1" applyProtection="1">
      <alignment horizontal="center"/>
      <protection locked="0"/>
    </xf>
    <xf numFmtId="14" fontId="0" fillId="6" borderId="33" xfId="0" applyNumberFormat="1" applyFill="1" applyBorder="1" applyAlignment="1" applyProtection="1">
      <alignment horizontal="center"/>
      <protection locked="0"/>
    </xf>
    <xf numFmtId="14" fontId="0" fillId="6" borderId="34" xfId="0" applyNumberFormat="1" applyFill="1" applyBorder="1" applyAlignment="1" applyProtection="1">
      <alignment horizontal="center"/>
      <protection locked="0"/>
    </xf>
    <xf numFmtId="2" fontId="88" fillId="0" borderId="35" xfId="0" applyNumberFormat="1" applyFont="1" applyBorder="1" applyAlignment="1" applyProtection="1">
      <alignment horizontal="center"/>
      <protection locked="0"/>
    </xf>
    <xf numFmtId="2" fontId="88" fillId="0" borderId="3" xfId="0" applyNumberFormat="1" applyFont="1" applyBorder="1" applyAlignment="1" applyProtection="1">
      <alignment horizontal="center"/>
      <protection locked="0"/>
    </xf>
    <xf numFmtId="0" fontId="0" fillId="0" borderId="2" xfId="0" applyBorder="1" applyAlignment="1">
      <alignment horizontal="center"/>
    </xf>
    <xf numFmtId="0" fontId="49" fillId="4" borderId="0" xfId="2" applyNumberFormat="1" applyFill="1" applyAlignment="1" applyProtection="1">
      <alignment horizontal="center" vertical="center"/>
      <protection hidden="1"/>
    </xf>
    <xf numFmtId="0" fontId="88" fillId="3" borderId="0" xfId="0" applyFont="1" applyFill="1" applyAlignment="1">
      <alignment horizontal="center" vertical="center"/>
    </xf>
    <xf numFmtId="0" fontId="41" fillId="4" borderId="0" xfId="0" applyFont="1" applyFill="1" applyAlignment="1" applyProtection="1">
      <alignment horizontal="center" vertical="center" wrapText="1"/>
      <protection hidden="1"/>
    </xf>
    <xf numFmtId="0" fontId="95" fillId="3" borderId="0" xfId="0" applyFont="1" applyFill="1" applyProtection="1">
      <protection hidden="1"/>
    </xf>
    <xf numFmtId="0" fontId="98" fillId="3" borderId="0" xfId="0" applyFont="1" applyFill="1"/>
    <xf numFmtId="179" fontId="72" fillId="2" borderId="36" xfId="8" applyNumberFormat="1" applyFont="1" applyFill="1" applyBorder="1" applyAlignment="1" applyProtection="1">
      <alignment horizontal="center" vertical="center"/>
      <protection locked="0"/>
    </xf>
    <xf numFmtId="10" fontId="72" fillId="2" borderId="36" xfId="3" applyNumberFormat="1" applyFont="1" applyFill="1" applyBorder="1" applyAlignment="1" applyProtection="1">
      <alignment horizontal="center" vertical="center"/>
      <protection locked="0"/>
    </xf>
    <xf numFmtId="14" fontId="0" fillId="0" borderId="0" xfId="0" applyNumberFormat="1"/>
    <xf numFmtId="10" fontId="0" fillId="0" borderId="0" xfId="0" applyNumberFormat="1"/>
    <xf numFmtId="14" fontId="65" fillId="0" borderId="0" xfId="0" applyNumberFormat="1" applyFont="1"/>
    <xf numFmtId="0" fontId="0" fillId="4" borderId="15" xfId="0" applyFill="1" applyBorder="1"/>
    <xf numFmtId="14" fontId="44" fillId="0" borderId="37" xfId="0" applyNumberFormat="1" applyFont="1" applyBorder="1" applyAlignment="1" applyProtection="1">
      <alignment horizontal="center" vertical="center"/>
      <protection locked="0"/>
    </xf>
    <xf numFmtId="14" fontId="88" fillId="0" borderId="26" xfId="0" applyNumberFormat="1" applyFont="1" applyBorder="1" applyAlignment="1" applyProtection="1">
      <alignment horizontal="center" vertical="center"/>
      <protection locked="0"/>
    </xf>
    <xf numFmtId="14" fontId="88" fillId="0" borderId="31" xfId="0" applyNumberFormat="1" applyFont="1" applyBorder="1" applyAlignment="1" applyProtection="1">
      <alignment horizontal="center" vertical="center"/>
      <protection locked="0"/>
    </xf>
    <xf numFmtId="10" fontId="99" fillId="0" borderId="22" xfId="3" applyNumberFormat="1" applyFont="1" applyBorder="1" applyAlignment="1" applyProtection="1">
      <alignment horizontal="center" vertical="center"/>
      <protection locked="0"/>
    </xf>
    <xf numFmtId="0" fontId="0" fillId="4" borderId="0" xfId="0" applyFill="1" applyAlignment="1">
      <alignment vertical="center"/>
    </xf>
    <xf numFmtId="174" fontId="0" fillId="0" borderId="0" xfId="0" applyNumberFormat="1"/>
    <xf numFmtId="0" fontId="0" fillId="0" borderId="2" xfId="0" applyBorder="1" applyAlignment="1">
      <alignment horizontal="center" vertical="center"/>
    </xf>
    <xf numFmtId="0" fontId="91" fillId="0" borderId="2" xfId="0" applyFont="1" applyBorder="1" applyAlignment="1">
      <alignment horizontal="center" vertical="center" wrapText="1"/>
    </xf>
    <xf numFmtId="0" fontId="50" fillId="0" borderId="2" xfId="0" applyFont="1" applyBorder="1" applyAlignment="1">
      <alignment horizontal="center"/>
    </xf>
    <xf numFmtId="9" fontId="0" fillId="0" borderId="0" xfId="3" applyFont="1"/>
    <xf numFmtId="2" fontId="0" fillId="0" borderId="2" xfId="0" applyNumberFormat="1" applyBorder="1" applyAlignment="1">
      <alignment horizontal="center"/>
    </xf>
    <xf numFmtId="0" fontId="74" fillId="8" borderId="65" xfId="0" applyFont="1" applyFill="1" applyBorder="1" applyAlignment="1" applyProtection="1">
      <alignment vertical="center"/>
      <protection locked="0"/>
    </xf>
    <xf numFmtId="0" fontId="0" fillId="0" borderId="0" xfId="0" applyAlignment="1">
      <alignment vertical="center"/>
    </xf>
    <xf numFmtId="171" fontId="39" fillId="0" borderId="0" xfId="0" applyNumberFormat="1" applyFont="1"/>
    <xf numFmtId="1" fontId="0" fillId="0" borderId="2" xfId="0" applyNumberFormat="1" applyBorder="1" applyAlignment="1">
      <alignment horizontal="center"/>
    </xf>
    <xf numFmtId="168" fontId="47" fillId="0" borderId="2" xfId="0" applyNumberFormat="1" applyFont="1" applyBorder="1" applyAlignment="1">
      <alignment horizontal="center" vertical="center" wrapText="1"/>
    </xf>
    <xf numFmtId="10" fontId="72" fillId="0" borderId="36" xfId="3" applyNumberFormat="1" applyFont="1" applyFill="1" applyBorder="1" applyAlignment="1" applyProtection="1">
      <alignment horizontal="center" vertical="center"/>
      <protection locked="0"/>
    </xf>
    <xf numFmtId="14" fontId="0" fillId="0" borderId="2" xfId="0" applyNumberFormat="1" applyBorder="1" applyAlignment="1">
      <alignment horizontal="center"/>
    </xf>
    <xf numFmtId="10" fontId="0" fillId="0" borderId="2" xfId="0" applyNumberFormat="1" applyBorder="1" applyAlignment="1">
      <alignment horizontal="center"/>
    </xf>
    <xf numFmtId="0" fontId="104" fillId="3" borderId="0" xfId="0" applyFont="1" applyFill="1" applyAlignment="1">
      <alignment horizontal="left" vertical="center" wrapText="1"/>
    </xf>
    <xf numFmtId="0" fontId="0" fillId="4" borderId="0" xfId="0" applyFill="1" applyAlignment="1" applyProtection="1">
      <alignment horizontal="center" vertical="center" wrapText="1"/>
      <protection hidden="1"/>
    </xf>
    <xf numFmtId="164" fontId="0" fillId="4" borderId="0" xfId="0" applyNumberFormat="1" applyFill="1" applyAlignment="1" applyProtection="1">
      <alignment horizontal="center" vertical="center" wrapText="1"/>
      <protection hidden="1"/>
    </xf>
    <xf numFmtId="0" fontId="80" fillId="4" borderId="0" xfId="0" applyFont="1" applyFill="1" applyAlignment="1" applyProtection="1">
      <alignment horizontal="center" vertical="center" wrapText="1"/>
      <protection hidden="1"/>
    </xf>
    <xf numFmtId="0" fontId="49" fillId="4" borderId="0" xfId="2" applyNumberFormat="1" applyFill="1" applyBorder="1" applyAlignment="1" applyProtection="1">
      <alignment horizontal="center" vertical="center"/>
      <protection hidden="1"/>
    </xf>
    <xf numFmtId="0" fontId="88" fillId="4" borderId="0" xfId="2" applyNumberFormat="1" applyFont="1" applyFill="1" applyBorder="1" applyAlignment="1" applyProtection="1">
      <alignment horizontal="center" vertical="center" wrapText="1"/>
      <protection hidden="1"/>
    </xf>
    <xf numFmtId="0" fontId="88" fillId="4" borderId="0" xfId="0" applyFont="1" applyFill="1" applyAlignment="1" applyProtection="1">
      <alignment horizontal="center" vertical="center" wrapText="1"/>
      <protection hidden="1"/>
    </xf>
    <xf numFmtId="0" fontId="0" fillId="4" borderId="0" xfId="0" applyFill="1" applyAlignment="1">
      <alignment horizontal="center" vertical="center"/>
    </xf>
    <xf numFmtId="0" fontId="90" fillId="4" borderId="0" xfId="0" applyFont="1" applyFill="1" applyAlignment="1" applyProtection="1">
      <alignment horizontal="center" vertical="center" wrapText="1"/>
      <protection hidden="1"/>
    </xf>
    <xf numFmtId="164" fontId="49" fillId="4" borderId="0" xfId="2" applyNumberFormat="1" applyFill="1" applyBorder="1" applyAlignment="1" applyProtection="1">
      <alignment horizontal="center" vertical="center"/>
      <protection hidden="1"/>
    </xf>
    <xf numFmtId="9" fontId="86" fillId="0" borderId="3" xfId="0" applyNumberFormat="1" applyFont="1" applyBorder="1" applyAlignment="1" applyProtection="1">
      <alignment horizontal="center" vertical="center"/>
      <protection locked="0"/>
    </xf>
    <xf numFmtId="0" fontId="0" fillId="0" borderId="4" xfId="0" applyBorder="1" applyAlignment="1">
      <alignment horizontal="center"/>
    </xf>
    <xf numFmtId="0" fontId="47" fillId="0" borderId="0" xfId="7" applyNumberFormat="1" applyFont="1"/>
    <xf numFmtId="2" fontId="0" fillId="0" borderId="0" xfId="0" applyNumberFormat="1"/>
    <xf numFmtId="4" fontId="48" fillId="0" borderId="0" xfId="10" applyNumberFormat="1" applyFont="1"/>
    <xf numFmtId="0" fontId="0" fillId="0" borderId="0" xfId="0" applyAlignment="1">
      <alignment horizontal="left"/>
    </xf>
    <xf numFmtId="0" fontId="55" fillId="0" borderId="0" xfId="0" applyFont="1" applyAlignment="1">
      <alignment vertical="center"/>
    </xf>
    <xf numFmtId="172" fontId="0" fillId="0" borderId="0" xfId="0" applyNumberFormat="1" applyAlignment="1">
      <alignment horizontal="left"/>
    </xf>
    <xf numFmtId="0" fontId="49" fillId="0" borderId="0" xfId="2" applyNumberFormat="1" applyFill="1" applyBorder="1" applyAlignment="1" applyProtection="1">
      <alignment vertical="center"/>
    </xf>
    <xf numFmtId="0" fontId="49" fillId="0" borderId="0" xfId="2" applyNumberFormat="1" applyFill="1" applyBorder="1" applyAlignment="1" applyProtection="1"/>
    <xf numFmtId="0" fontId="56" fillId="0" borderId="0" xfId="0" applyFont="1" applyAlignment="1">
      <alignment vertical="center"/>
    </xf>
    <xf numFmtId="173" fontId="57" fillId="0" borderId="0" xfId="0" applyNumberFormat="1" applyFont="1" applyAlignment="1">
      <alignment horizontal="left"/>
    </xf>
    <xf numFmtId="0" fontId="57" fillId="0" borderId="0" xfId="0" applyFont="1" applyAlignment="1">
      <alignment vertical="center"/>
    </xf>
    <xf numFmtId="0" fontId="0" fillId="0" borderId="0" xfId="0" applyAlignment="1">
      <alignment horizontal="left" vertical="center"/>
    </xf>
    <xf numFmtId="0" fontId="41" fillId="0" borderId="0" xfId="0" applyFont="1" applyAlignment="1">
      <alignment vertical="center"/>
    </xf>
    <xf numFmtId="172" fontId="41" fillId="0" borderId="0" xfId="0" applyNumberFormat="1" applyFont="1" applyAlignment="1">
      <alignment wrapText="1"/>
    </xf>
    <xf numFmtId="0" fontId="63" fillId="0" borderId="0" xfId="0" applyFont="1" applyAlignment="1">
      <alignment wrapText="1"/>
    </xf>
    <xf numFmtId="172" fontId="41" fillId="0" borderId="0" xfId="0" applyNumberFormat="1" applyFont="1"/>
    <xf numFmtId="0" fontId="63" fillId="0" borderId="0" xfId="0" applyFont="1"/>
    <xf numFmtId="173" fontId="41" fillId="0" borderId="0" xfId="0" applyNumberFormat="1" applyFont="1"/>
    <xf numFmtId="4" fontId="63" fillId="0" borderId="0" xfId="0" applyNumberFormat="1" applyFont="1" applyAlignment="1">
      <alignment horizontal="right"/>
    </xf>
    <xf numFmtId="173" fontId="88" fillId="0" borderId="0" xfId="0" applyNumberFormat="1" applyFont="1"/>
    <xf numFmtId="173" fontId="88" fillId="0" borderId="0" xfId="5" applyNumberFormat="1" applyFont="1"/>
    <xf numFmtId="173" fontId="88" fillId="0" borderId="0" xfId="4" applyNumberFormat="1" applyFont="1"/>
    <xf numFmtId="14" fontId="88" fillId="0" borderId="0" xfId="4" applyNumberFormat="1" applyFont="1" applyAlignment="1">
      <alignment horizontal="right"/>
    </xf>
    <xf numFmtId="0" fontId="85" fillId="0" borderId="0" xfId="0" applyFont="1"/>
    <xf numFmtId="173" fontId="63" fillId="0" borderId="0" xfId="4" applyNumberFormat="1" applyFont="1"/>
    <xf numFmtId="173" fontId="63" fillId="0" borderId="0" xfId="0" applyNumberFormat="1" applyFont="1"/>
    <xf numFmtId="0" fontId="85" fillId="0" borderId="0" xfId="4" applyFont="1" applyAlignment="1">
      <alignment horizontal="left"/>
    </xf>
    <xf numFmtId="0" fontId="85" fillId="0" borderId="0" xfId="4" applyFont="1" applyAlignment="1">
      <alignment horizontal="center" vertical="center"/>
    </xf>
    <xf numFmtId="0" fontId="53" fillId="0" borderId="0" xfId="4" applyFont="1" applyAlignment="1">
      <alignment horizontal="center" vertical="center"/>
    </xf>
    <xf numFmtId="0" fontId="56" fillId="0" borderId="0" xfId="4" applyFont="1" applyAlignment="1">
      <alignment horizontal="left"/>
    </xf>
    <xf numFmtId="0" fontId="56" fillId="0" borderId="0" xfId="4" applyFont="1" applyAlignment="1">
      <alignment horizontal="center" vertical="center"/>
    </xf>
    <xf numFmtId="173" fontId="41" fillId="0" borderId="0" xfId="4" applyNumberFormat="1" applyFont="1" applyAlignment="1">
      <alignment horizontal="left"/>
    </xf>
    <xf numFmtId="0" fontId="41" fillId="0" borderId="0" xfId="4" applyFont="1" applyAlignment="1">
      <alignment horizontal="center" vertical="center"/>
    </xf>
    <xf numFmtId="173" fontId="85" fillId="0" borderId="0" xfId="4" applyNumberFormat="1" applyFont="1" applyAlignment="1">
      <alignment horizontal="left" vertical="center"/>
    </xf>
    <xf numFmtId="0" fontId="41" fillId="0" borderId="0" xfId="4" applyFont="1" applyAlignment="1">
      <alignment horizontal="right" wrapText="1"/>
    </xf>
    <xf numFmtId="173" fontId="88" fillId="0" borderId="0" xfId="4" applyNumberFormat="1" applyFont="1" applyAlignment="1">
      <alignment wrapText="1"/>
    </xf>
    <xf numFmtId="4" fontId="88" fillId="0" borderId="0" xfId="4" applyNumberFormat="1" applyFont="1" applyAlignment="1">
      <alignment horizontal="center" vertical="center"/>
    </xf>
    <xf numFmtId="0" fontId="88" fillId="0" borderId="0" xfId="0" applyFont="1"/>
    <xf numFmtId="0" fontId="0" fillId="0" borderId="0" xfId="0" applyAlignment="1">
      <alignment horizontal="center" vertical="center"/>
    </xf>
    <xf numFmtId="1" fontId="50" fillId="0" borderId="0" xfId="0" applyNumberFormat="1" applyFont="1" applyAlignment="1">
      <alignment horizontal="center"/>
    </xf>
    <xf numFmtId="1" fontId="59" fillId="0" borderId="0" xfId="0" applyNumberFormat="1" applyFont="1" applyAlignment="1">
      <alignment horizontal="center"/>
    </xf>
    <xf numFmtId="169" fontId="50" fillId="0" borderId="0" xfId="0" applyNumberFormat="1" applyFont="1"/>
    <xf numFmtId="169" fontId="64" fillId="0" borderId="0" xfId="0" applyNumberFormat="1" applyFont="1"/>
    <xf numFmtId="0" fontId="64" fillId="0" borderId="0" xfId="0" applyFont="1"/>
    <xf numFmtId="0" fontId="50" fillId="0" borderId="0" xfId="0" applyFont="1"/>
    <xf numFmtId="170" fontId="45" fillId="0" borderId="0" xfId="0" applyNumberFormat="1" applyFont="1"/>
    <xf numFmtId="169" fontId="46" fillId="0" borderId="0" xfId="0" applyNumberFormat="1" applyFont="1"/>
    <xf numFmtId="169" fontId="47" fillId="0" borderId="0" xfId="0" applyNumberFormat="1" applyFont="1"/>
    <xf numFmtId="1" fontId="91" fillId="0" borderId="0" xfId="0" applyNumberFormat="1" applyFont="1" applyAlignment="1">
      <alignment horizontal="center" vertical="center"/>
    </xf>
    <xf numFmtId="0" fontId="91" fillId="0" borderId="0" xfId="0" applyFont="1" applyAlignment="1">
      <alignment horizontal="center" vertical="center" wrapText="1"/>
    </xf>
    <xf numFmtId="0" fontId="0" fillId="0" borderId="0" xfId="0" applyAlignment="1">
      <alignment horizontal="center" vertical="center" wrapText="1"/>
    </xf>
    <xf numFmtId="0" fontId="50" fillId="0" borderId="0" xfId="0" applyFont="1" applyAlignment="1">
      <alignment horizontal="center"/>
    </xf>
    <xf numFmtId="0" fontId="65" fillId="0" borderId="0" xfId="0" applyFont="1" applyAlignment="1">
      <alignment horizontal="center"/>
    </xf>
    <xf numFmtId="167" fontId="0" fillId="0" borderId="0" xfId="0" applyNumberFormat="1" applyAlignment="1">
      <alignment horizontal="center"/>
    </xf>
    <xf numFmtId="10" fontId="62" fillId="0" borderId="0" xfId="3" applyNumberFormat="1" applyFill="1" applyBorder="1" applyAlignment="1">
      <alignment horizontal="center"/>
    </xf>
    <xf numFmtId="166" fontId="0" fillId="0" borderId="0" xfId="0" applyNumberFormat="1" applyAlignment="1">
      <alignment horizontal="center"/>
    </xf>
    <xf numFmtId="166" fontId="62" fillId="0" borderId="0" xfId="3" applyNumberFormat="1" applyFill="1" applyBorder="1" applyAlignment="1">
      <alignment horizontal="center"/>
    </xf>
    <xf numFmtId="10" fontId="62" fillId="0" borderId="0" xfId="3" applyNumberFormat="1" applyFill="1" applyBorder="1" applyAlignment="1">
      <alignment horizontal="center" wrapText="1"/>
    </xf>
    <xf numFmtId="0" fontId="88" fillId="0" borderId="0" xfId="0" applyFont="1" applyAlignment="1">
      <alignment horizontal="center"/>
    </xf>
    <xf numFmtId="14" fontId="0" fillId="0" borderId="0" xfId="0" applyNumberFormat="1" applyAlignment="1">
      <alignment horizontal="center"/>
    </xf>
    <xf numFmtId="10" fontId="0" fillId="0" borderId="0" xfId="3" applyNumberFormat="1" applyFont="1"/>
    <xf numFmtId="10" fontId="0" fillId="0" borderId="2" xfId="3" applyNumberFormat="1" applyFont="1" applyBorder="1"/>
    <xf numFmtId="14" fontId="0" fillId="0" borderId="2" xfId="0" applyNumberFormat="1" applyBorder="1"/>
    <xf numFmtId="8" fontId="0" fillId="0" borderId="0" xfId="0" applyNumberFormat="1"/>
    <xf numFmtId="10" fontId="63" fillId="0" borderId="0" xfId="0" applyNumberFormat="1" applyFont="1" applyAlignment="1">
      <alignment wrapText="1"/>
    </xf>
    <xf numFmtId="176" fontId="0" fillId="0" borderId="0" xfId="3" applyNumberFormat="1" applyFont="1" applyAlignment="1">
      <alignment horizontal="center"/>
    </xf>
    <xf numFmtId="168" fontId="0" fillId="0" borderId="0" xfId="0" applyNumberFormat="1"/>
    <xf numFmtId="176" fontId="0" fillId="0" borderId="0" xfId="3" applyNumberFormat="1" applyFont="1" applyAlignment="1">
      <alignment horizontal="center" vertical="center"/>
    </xf>
    <xf numFmtId="8" fontId="0" fillId="0" borderId="0" xfId="0" applyNumberFormat="1" applyAlignment="1">
      <alignment vertical="center"/>
    </xf>
    <xf numFmtId="168" fontId="119" fillId="0" borderId="2" xfId="0" applyNumberFormat="1" applyFont="1" applyBorder="1" applyAlignment="1">
      <alignment horizontal="center" vertical="center"/>
    </xf>
    <xf numFmtId="168" fontId="119" fillId="0" borderId="3" xfId="0" applyNumberFormat="1" applyFont="1" applyBorder="1" applyAlignment="1">
      <alignment horizontal="center" vertical="center"/>
    </xf>
    <xf numFmtId="0" fontId="0" fillId="9" borderId="4" xfId="0" applyFill="1" applyBorder="1" applyAlignment="1">
      <alignment horizontal="right"/>
    </xf>
    <xf numFmtId="0" fontId="86" fillId="9" borderId="2" xfId="0" applyFont="1" applyFill="1" applyBorder="1" applyAlignment="1">
      <alignment horizontal="center"/>
    </xf>
    <xf numFmtId="0" fontId="86" fillId="9" borderId="3" xfId="0" applyFont="1" applyFill="1" applyBorder="1" applyAlignment="1">
      <alignment horizontal="center"/>
    </xf>
    <xf numFmtId="0" fontId="0" fillId="6" borderId="94" xfId="0" applyFill="1" applyBorder="1"/>
    <xf numFmtId="0" fontId="0" fillId="4" borderId="2" xfId="0" applyFill="1" applyBorder="1" applyAlignment="1">
      <alignment horizontal="center" vertical="center"/>
    </xf>
    <xf numFmtId="0" fontId="0" fillId="4" borderId="96" xfId="0" applyFill="1" applyBorder="1" applyAlignment="1">
      <alignment horizontal="center" vertical="center"/>
    </xf>
    <xf numFmtId="0" fontId="123" fillId="0" borderId="4" xfId="0" applyFont="1" applyBorder="1" applyAlignment="1">
      <alignment horizontal="center"/>
    </xf>
    <xf numFmtId="168" fontId="123" fillId="0" borderId="2" xfId="0" applyNumberFormat="1" applyFont="1" applyBorder="1" applyAlignment="1">
      <alignment horizontal="center"/>
    </xf>
    <xf numFmtId="168" fontId="123" fillId="0" borderId="3" xfId="0" applyNumberFormat="1" applyFont="1" applyBorder="1" applyAlignment="1">
      <alignment horizontal="center"/>
    </xf>
    <xf numFmtId="168" fontId="123" fillId="0" borderId="4" xfId="0" applyNumberFormat="1" applyFont="1" applyBorder="1" applyAlignment="1">
      <alignment horizontal="center"/>
    </xf>
    <xf numFmtId="0" fontId="0" fillId="0" borderId="4" xfId="0" applyBorder="1" applyAlignment="1">
      <alignment horizontal="right"/>
    </xf>
    <xf numFmtId="0" fontId="0" fillId="0" borderId="3" xfId="0" applyBorder="1" applyAlignment="1">
      <alignment horizontal="center"/>
    </xf>
    <xf numFmtId="177" fontId="91" fillId="0" borderId="2" xfId="0" applyNumberFormat="1" applyFont="1" applyBorder="1" applyAlignment="1">
      <alignment horizontal="center" vertical="center"/>
    </xf>
    <xf numFmtId="177" fontId="91" fillId="13" borderId="2" xfId="0" applyNumberFormat="1" applyFont="1" applyFill="1" applyBorder="1" applyAlignment="1">
      <alignment horizontal="center" vertical="center"/>
    </xf>
    <xf numFmtId="177" fontId="91" fillId="13" borderId="96" xfId="0" applyNumberFormat="1" applyFont="1" applyFill="1" applyBorder="1" applyAlignment="1">
      <alignment horizontal="center" vertical="center"/>
    </xf>
    <xf numFmtId="0" fontId="123" fillId="14" borderId="4" xfId="0" applyFont="1" applyFill="1" applyBorder="1" applyAlignment="1">
      <alignment horizontal="center"/>
    </xf>
    <xf numFmtId="1" fontId="123" fillId="14" borderId="2" xfId="0" applyNumberFormat="1" applyFont="1" applyFill="1" applyBorder="1" applyAlignment="1">
      <alignment horizontal="center"/>
    </xf>
    <xf numFmtId="2" fontId="123" fillId="14" borderId="3" xfId="0" applyNumberFormat="1" applyFont="1" applyFill="1" applyBorder="1" applyAlignment="1">
      <alignment horizontal="center"/>
    </xf>
    <xf numFmtId="168" fontId="123" fillId="14" borderId="4" xfId="0" applyNumberFormat="1" applyFont="1" applyFill="1" applyBorder="1" applyAlignment="1">
      <alignment horizontal="center"/>
    </xf>
    <xf numFmtId="0" fontId="0" fillId="9" borderId="4" xfId="0" applyFill="1" applyBorder="1" applyAlignment="1">
      <alignment horizontal="right" vertical="center"/>
    </xf>
    <xf numFmtId="3" fontId="0" fillId="9" borderId="2" xfId="0" applyNumberFormat="1" applyFill="1" applyBorder="1" applyAlignment="1">
      <alignment horizontal="center" vertical="center"/>
    </xf>
    <xf numFmtId="3" fontId="0" fillId="9" borderId="3" xfId="0" applyNumberFormat="1" applyFill="1" applyBorder="1" applyAlignment="1">
      <alignment horizontal="center" vertical="center"/>
    </xf>
    <xf numFmtId="177" fontId="91" fillId="15" borderId="2" xfId="0" applyNumberFormat="1" applyFont="1" applyFill="1" applyBorder="1" applyAlignment="1">
      <alignment horizontal="center" vertical="center"/>
    </xf>
    <xf numFmtId="1" fontId="123" fillId="0" borderId="2" xfId="0" applyNumberFormat="1" applyFont="1" applyBorder="1" applyAlignment="1">
      <alignment horizontal="center"/>
    </xf>
    <xf numFmtId="2" fontId="123" fillId="0" borderId="3" xfId="0" applyNumberFormat="1" applyFont="1" applyBorder="1" applyAlignment="1">
      <alignment horizontal="center"/>
    </xf>
    <xf numFmtId="0" fontId="0" fillId="9" borderId="2" xfId="0" applyFill="1" applyBorder="1" applyAlignment="1">
      <alignment horizontal="center"/>
    </xf>
    <xf numFmtId="0" fontId="0" fillId="9" borderId="3" xfId="0" applyFill="1" applyBorder="1" applyAlignment="1">
      <alignment horizontal="center"/>
    </xf>
    <xf numFmtId="0" fontId="0" fillId="9" borderId="4" xfId="0" quotePrefix="1" applyFill="1" applyBorder="1" applyAlignment="1">
      <alignment horizontal="right"/>
    </xf>
    <xf numFmtId="2" fontId="0" fillId="9" borderId="2" xfId="0" applyNumberFormat="1" applyFill="1" applyBorder="1" applyAlignment="1">
      <alignment horizontal="center"/>
    </xf>
    <xf numFmtId="2" fontId="0" fillId="9" borderId="3" xfId="0" applyNumberFormat="1" applyFill="1" applyBorder="1" applyAlignment="1">
      <alignment horizontal="center"/>
    </xf>
    <xf numFmtId="0" fontId="86" fillId="9" borderId="5" xfId="0" applyFont="1" applyFill="1" applyBorder="1" applyAlignment="1">
      <alignment horizontal="right"/>
    </xf>
    <xf numFmtId="0" fontId="0" fillId="9" borderId="4" xfId="0" applyFill="1" applyBorder="1"/>
    <xf numFmtId="177" fontId="91" fillId="6" borderId="2" xfId="0" applyNumberFormat="1" applyFont="1" applyFill="1" applyBorder="1" applyAlignment="1">
      <alignment horizontal="center" vertical="center"/>
    </xf>
    <xf numFmtId="0" fontId="0" fillId="4" borderId="97" xfId="0" applyFill="1" applyBorder="1" applyAlignment="1">
      <alignment horizontal="center"/>
    </xf>
    <xf numFmtId="177" fontId="91" fillId="15" borderId="97" xfId="0" applyNumberFormat="1" applyFont="1" applyFill="1" applyBorder="1" applyAlignment="1">
      <alignment horizontal="center" vertical="center"/>
    </xf>
    <xf numFmtId="177" fontId="91" fillId="0" borderId="98" xfId="0" applyNumberFormat="1" applyFont="1" applyBorder="1" applyAlignment="1">
      <alignment horizontal="center" vertical="center"/>
    </xf>
    <xf numFmtId="0" fontId="91" fillId="6" borderId="41" xfId="0" applyFont="1" applyFill="1" applyBorder="1" applyAlignment="1">
      <alignment horizontal="center" vertical="center"/>
    </xf>
    <xf numFmtId="0" fontId="123" fillId="14" borderId="5" xfId="0" applyFont="1" applyFill="1" applyBorder="1" applyAlignment="1">
      <alignment horizontal="center"/>
    </xf>
    <xf numFmtId="1" fontId="123" fillId="14" borderId="6" xfId="0" applyNumberFormat="1" applyFont="1" applyFill="1" applyBorder="1" applyAlignment="1">
      <alignment horizontal="center"/>
    </xf>
    <xf numFmtId="2" fontId="123" fillId="14" borderId="7" xfId="0" applyNumberFormat="1" applyFont="1" applyFill="1" applyBorder="1" applyAlignment="1">
      <alignment horizontal="center"/>
    </xf>
    <xf numFmtId="186" fontId="123" fillId="0" borderId="8" xfId="0" applyNumberFormat="1" applyFont="1" applyBorder="1" applyAlignment="1">
      <alignment horizontal="center"/>
    </xf>
    <xf numFmtId="187" fontId="123" fillId="0" borderId="0" xfId="0" applyNumberFormat="1" applyFont="1" applyAlignment="1">
      <alignment horizontal="center"/>
    </xf>
    <xf numFmtId="168" fontId="91" fillId="0" borderId="0" xfId="0" applyNumberFormat="1" applyFont="1"/>
    <xf numFmtId="9" fontId="123" fillId="0" borderId="8" xfId="3" applyFont="1" applyBorder="1" applyAlignment="1">
      <alignment horizontal="center"/>
    </xf>
    <xf numFmtId="6" fontId="0" fillId="0" borderId="0" xfId="0" applyNumberFormat="1"/>
    <xf numFmtId="0" fontId="0" fillId="8" borderId="0" xfId="0" applyFill="1" applyAlignment="1">
      <alignment vertical="center"/>
    </xf>
    <xf numFmtId="0" fontId="55" fillId="8" borderId="0" xfId="0" applyFont="1" applyFill="1" applyAlignment="1">
      <alignment vertical="center"/>
    </xf>
    <xf numFmtId="0" fontId="41" fillId="8" borderId="0" xfId="0" applyFont="1" applyFill="1" applyAlignment="1">
      <alignment vertical="center"/>
    </xf>
    <xf numFmtId="182" fontId="0" fillId="0" borderId="0" xfId="0" applyNumberFormat="1"/>
    <xf numFmtId="8" fontId="0" fillId="4" borderId="99" xfId="0" applyNumberFormat="1" applyFill="1" applyBorder="1" applyAlignment="1">
      <alignment horizontal="center" vertical="center" wrapText="1"/>
    </xf>
    <xf numFmtId="8" fontId="91" fillId="0" borderId="0" xfId="0" applyNumberFormat="1" applyFont="1"/>
    <xf numFmtId="2" fontId="0" fillId="4" borderId="100" xfId="0" applyNumberFormat="1" applyFill="1" applyBorder="1" applyAlignment="1">
      <alignment horizontal="center"/>
    </xf>
    <xf numFmtId="2" fontId="0" fillId="4" borderId="100" xfId="0" applyNumberFormat="1" applyFill="1" applyBorder="1" applyAlignment="1">
      <alignment horizontal="center" vertical="center" wrapText="1"/>
    </xf>
    <xf numFmtId="8" fontId="0" fillId="4" borderId="100" xfId="0" applyNumberFormat="1" applyFill="1" applyBorder="1" applyAlignment="1">
      <alignment horizontal="center" vertical="center" wrapText="1"/>
    </xf>
    <xf numFmtId="166" fontId="0" fillId="0" borderId="0" xfId="0" applyNumberFormat="1"/>
    <xf numFmtId="0" fontId="61" fillId="4" borderId="3" xfId="0" applyFont="1" applyFill="1" applyBorder="1" applyAlignment="1">
      <alignment horizontal="center" vertical="center"/>
    </xf>
    <xf numFmtId="180" fontId="61" fillId="4" borderId="3" xfId="0" applyNumberFormat="1" applyFont="1" applyFill="1" applyBorder="1" applyAlignment="1">
      <alignment horizontal="center" vertical="center"/>
    </xf>
    <xf numFmtId="2" fontId="61" fillId="4" borderId="3" xfId="0" applyNumberFormat="1" applyFont="1" applyFill="1" applyBorder="1" applyAlignment="1">
      <alignment horizontal="center" vertical="center"/>
    </xf>
    <xf numFmtId="0" fontId="107" fillId="0" borderId="0" xfId="0" applyFont="1" applyAlignment="1">
      <alignment vertical="center" wrapText="1"/>
    </xf>
    <xf numFmtId="0" fontId="0" fillId="0" borderId="0" xfId="0" applyAlignment="1">
      <alignment horizontal="center" wrapText="1"/>
    </xf>
    <xf numFmtId="0" fontId="0" fillId="0" borderId="2" xfId="0" applyBorder="1" applyAlignment="1">
      <alignment horizontal="right"/>
    </xf>
    <xf numFmtId="0" fontId="0" fillId="4" borderId="0" xfId="0" applyFill="1" applyAlignment="1" applyProtection="1">
      <alignment horizontal="center" vertical="center"/>
      <protection hidden="1"/>
    </xf>
    <xf numFmtId="0" fontId="0" fillId="4" borderId="0" xfId="0" applyFill="1" applyProtection="1">
      <protection hidden="1"/>
    </xf>
    <xf numFmtId="0" fontId="0" fillId="0" borderId="23" xfId="0" applyBorder="1" applyProtection="1">
      <protection hidden="1"/>
    </xf>
    <xf numFmtId="0" fontId="86" fillId="4" borderId="21" xfId="0" applyFont="1" applyFill="1" applyBorder="1" applyAlignment="1" applyProtection="1">
      <alignment horizontal="center" vertical="center"/>
      <protection hidden="1"/>
    </xf>
    <xf numFmtId="0" fontId="86" fillId="4" borderId="22" xfId="0" applyFont="1" applyFill="1" applyBorder="1" applyAlignment="1" applyProtection="1">
      <alignment horizontal="center" vertical="center"/>
      <protection hidden="1"/>
    </xf>
    <xf numFmtId="0" fontId="0" fillId="0" borderId="0" xfId="0" applyProtection="1">
      <protection hidden="1"/>
    </xf>
    <xf numFmtId="0" fontId="0" fillId="4" borderId="2" xfId="0" applyFill="1" applyBorder="1" applyProtection="1">
      <protection hidden="1"/>
    </xf>
    <xf numFmtId="2" fontId="0" fillId="4" borderId="2" xfId="0" applyNumberFormat="1" applyFill="1" applyBorder="1" applyAlignment="1" applyProtection="1">
      <alignment horizontal="center" vertical="center"/>
      <protection hidden="1"/>
    </xf>
    <xf numFmtId="2" fontId="86" fillId="4" borderId="2" xfId="0" applyNumberFormat="1" applyFont="1" applyFill="1" applyBorder="1" applyAlignment="1" applyProtection="1">
      <alignment horizontal="center" vertical="center"/>
      <protection hidden="1"/>
    </xf>
    <xf numFmtId="2" fontId="0" fillId="4" borderId="3" xfId="0" applyNumberFormat="1" applyFill="1" applyBorder="1" applyAlignment="1" applyProtection="1">
      <alignment horizontal="center" vertical="center"/>
      <protection hidden="1"/>
    </xf>
    <xf numFmtId="8" fontId="0" fillId="4" borderId="3" xfId="0" applyNumberFormat="1" applyFill="1" applyBorder="1" applyAlignment="1" applyProtection="1">
      <alignment horizontal="center" vertical="center"/>
      <protection hidden="1"/>
    </xf>
    <xf numFmtId="10" fontId="0" fillId="4" borderId="2" xfId="3" applyNumberFormat="1" applyFont="1" applyFill="1" applyBorder="1" applyAlignment="1" applyProtection="1">
      <alignment horizontal="center" vertical="center"/>
      <protection hidden="1"/>
    </xf>
    <xf numFmtId="10" fontId="0" fillId="4" borderId="3" xfId="3" applyNumberFormat="1" applyFont="1" applyFill="1" applyBorder="1" applyAlignment="1" applyProtection="1">
      <alignment horizontal="center" vertical="center"/>
      <protection hidden="1"/>
    </xf>
    <xf numFmtId="2" fontId="86" fillId="4" borderId="3" xfId="0" applyNumberFormat="1" applyFont="1" applyFill="1" applyBorder="1" applyAlignment="1" applyProtection="1">
      <alignment horizontal="center" vertical="center"/>
      <protection hidden="1"/>
    </xf>
    <xf numFmtId="8" fontId="0" fillId="4" borderId="12" xfId="0" applyNumberFormat="1" applyFill="1" applyBorder="1" applyAlignment="1" applyProtection="1">
      <alignment horizontal="center" vertical="center"/>
      <protection hidden="1"/>
    </xf>
    <xf numFmtId="8" fontId="0" fillId="4" borderId="11" xfId="0" applyNumberFormat="1" applyFill="1" applyBorder="1" applyAlignment="1" applyProtection="1">
      <alignment horizontal="center" vertical="center"/>
      <protection hidden="1"/>
    </xf>
    <xf numFmtId="0" fontId="86" fillId="9" borderId="106" xfId="0" applyFont="1" applyFill="1" applyBorder="1" applyProtection="1">
      <protection hidden="1"/>
    </xf>
    <xf numFmtId="0" fontId="108" fillId="0" borderId="0" xfId="0" applyFont="1" applyAlignment="1" applyProtection="1">
      <alignment vertical="center"/>
      <protection hidden="1"/>
    </xf>
    <xf numFmtId="0" fontId="86" fillId="4" borderId="3" xfId="0" applyFont="1" applyFill="1" applyBorder="1" applyAlignment="1" applyProtection="1">
      <alignment horizontal="center" vertical="center" wrapText="1"/>
      <protection hidden="1"/>
    </xf>
    <xf numFmtId="0" fontId="86" fillId="4" borderId="4" xfId="0" applyFont="1" applyFill="1" applyBorder="1" applyAlignment="1" applyProtection="1">
      <alignment horizontal="center" vertical="center" wrapText="1"/>
      <protection hidden="1"/>
    </xf>
    <xf numFmtId="1" fontId="86" fillId="4" borderId="0" xfId="0" applyNumberFormat="1" applyFont="1" applyFill="1" applyAlignment="1" applyProtection="1">
      <alignment horizontal="center"/>
      <protection hidden="1"/>
    </xf>
    <xf numFmtId="0" fontId="0" fillId="4" borderId="0" xfId="0" applyFill="1" applyAlignment="1" applyProtection="1">
      <alignment horizontal="center"/>
      <protection hidden="1"/>
    </xf>
    <xf numFmtId="1" fontId="0" fillId="0" borderId="26" xfId="0" applyNumberFormat="1" applyBorder="1" applyAlignment="1" applyProtection="1">
      <alignment horizontal="center"/>
      <protection hidden="1"/>
    </xf>
    <xf numFmtId="8" fontId="0" fillId="0" borderId="41" xfId="0" applyNumberFormat="1" applyBorder="1" applyAlignment="1" applyProtection="1">
      <alignment horizontal="center"/>
      <protection hidden="1"/>
    </xf>
    <xf numFmtId="8" fontId="0" fillId="0" borderId="27" xfId="0" applyNumberFormat="1" applyBorder="1" applyAlignment="1" applyProtection="1">
      <alignment horizontal="center"/>
      <protection hidden="1"/>
    </xf>
    <xf numFmtId="0" fontId="0" fillId="0" borderId="0" xfId="0" applyAlignment="1" applyProtection="1">
      <alignment horizontal="center"/>
      <protection hidden="1"/>
    </xf>
    <xf numFmtId="1" fontId="0" fillId="0" borderId="4" xfId="0" applyNumberFormat="1" applyBorder="1" applyAlignment="1" applyProtection="1">
      <alignment horizontal="center"/>
      <protection hidden="1"/>
    </xf>
    <xf numFmtId="2" fontId="0" fillId="0" borderId="0" xfId="0" applyNumberFormat="1" applyProtection="1">
      <protection hidden="1"/>
    </xf>
    <xf numFmtId="0" fontId="0" fillId="4" borderId="16" xfId="0" applyFill="1" applyBorder="1" applyAlignment="1" applyProtection="1">
      <alignment horizontal="center"/>
      <protection hidden="1"/>
    </xf>
    <xf numFmtId="0" fontId="0" fillId="4" borderId="18" xfId="0" applyFill="1" applyBorder="1" applyProtection="1">
      <protection hidden="1"/>
    </xf>
    <xf numFmtId="0" fontId="0" fillId="4" borderId="16" xfId="0" applyFill="1" applyBorder="1" applyProtection="1">
      <protection hidden="1"/>
    </xf>
    <xf numFmtId="0" fontId="0" fillId="4" borderId="39" xfId="0" applyFill="1" applyBorder="1" applyProtection="1">
      <protection hidden="1"/>
    </xf>
    <xf numFmtId="8" fontId="0" fillId="0" borderId="0" xfId="0" applyNumberFormat="1" applyAlignment="1">
      <alignment horizontal="center" wrapText="1"/>
    </xf>
    <xf numFmtId="9" fontId="0" fillId="0" borderId="0" xfId="0" applyNumberFormat="1" applyProtection="1">
      <protection hidden="1"/>
    </xf>
    <xf numFmtId="175" fontId="0" fillId="0" borderId="0" xfId="3" applyNumberFormat="1" applyFont="1" applyFill="1" applyBorder="1"/>
    <xf numFmtId="8" fontId="0" fillId="0" borderId="0" xfId="0" quotePrefix="1" applyNumberFormat="1"/>
    <xf numFmtId="8" fontId="0" fillId="0" borderId="0" xfId="0" applyNumberFormat="1" applyAlignment="1">
      <alignment horizontal="left"/>
    </xf>
    <xf numFmtId="174" fontId="91" fillId="0" borderId="0" xfId="0" applyNumberFormat="1" applyFont="1" applyAlignment="1">
      <alignment horizontal="center"/>
    </xf>
    <xf numFmtId="10" fontId="0" fillId="0" borderId="0" xfId="3" applyNumberFormat="1" applyFont="1" applyAlignment="1">
      <alignment horizontal="center"/>
    </xf>
    <xf numFmtId="0" fontId="47" fillId="0" borderId="0" xfId="0" applyFont="1" applyAlignment="1">
      <alignment vertical="center"/>
    </xf>
    <xf numFmtId="0" fontId="47" fillId="0" borderId="0" xfId="0" applyFont="1" applyAlignment="1">
      <alignment vertical="center" wrapText="1"/>
    </xf>
    <xf numFmtId="8" fontId="0" fillId="0" borderId="2" xfId="0" applyNumberFormat="1" applyBorder="1"/>
    <xf numFmtId="188" fontId="86" fillId="0" borderId="2" xfId="0" applyNumberFormat="1" applyFont="1" applyBorder="1" applyAlignment="1">
      <alignment horizontal="center" vertical="center" wrapText="1"/>
    </xf>
    <xf numFmtId="1" fontId="0" fillId="0" borderId="5" xfId="0" applyNumberFormat="1" applyBorder="1" applyAlignment="1" applyProtection="1">
      <alignment horizontal="center"/>
      <protection hidden="1"/>
    </xf>
    <xf numFmtId="6" fontId="96" fillId="9" borderId="106" xfId="0" applyNumberFormat="1" applyFont="1" applyFill="1" applyBorder="1" applyAlignment="1" applyProtection="1">
      <alignment horizontal="center" vertical="center"/>
      <protection hidden="1"/>
    </xf>
    <xf numFmtId="2" fontId="0" fillId="0" borderId="0" xfId="0" applyNumberFormat="1" applyAlignment="1">
      <alignment horizontal="center" wrapText="1"/>
    </xf>
    <xf numFmtId="2" fontId="91" fillId="0" borderId="0" xfId="0" applyNumberFormat="1" applyFont="1" applyAlignment="1">
      <alignment horizontal="center" vertical="center" wrapText="1"/>
    </xf>
    <xf numFmtId="0" fontId="107" fillId="0" borderId="0" xfId="0" applyFont="1" applyAlignment="1" applyProtection="1">
      <alignment vertical="center" wrapText="1"/>
      <protection locked="0"/>
    </xf>
    <xf numFmtId="0" fontId="0" fillId="4" borderId="0" xfId="0" applyFill="1" applyProtection="1">
      <protection locked="0" hidden="1"/>
    </xf>
    <xf numFmtId="2" fontId="86" fillId="0" borderId="100" xfId="0" applyNumberFormat="1" applyFont="1" applyBorder="1" applyAlignment="1" applyProtection="1">
      <alignment horizontal="center" vertical="center" wrapText="1"/>
      <protection locked="0" hidden="1"/>
    </xf>
    <xf numFmtId="4" fontId="0" fillId="0" borderId="0" xfId="0" applyNumberFormat="1"/>
    <xf numFmtId="8" fontId="0" fillId="4" borderId="0" xfId="0" applyNumberFormat="1" applyFill="1"/>
    <xf numFmtId="10" fontId="0" fillId="0" borderId="2" xfId="0" applyNumberFormat="1" applyBorder="1" applyAlignment="1">
      <alignment horizontal="center" vertical="center"/>
    </xf>
    <xf numFmtId="8" fontId="86" fillId="0" borderId="2" xfId="0" applyNumberFormat="1" applyFont="1" applyBorder="1" applyAlignment="1">
      <alignment horizontal="center" vertical="center" wrapText="1"/>
    </xf>
    <xf numFmtId="0" fontId="35" fillId="0" borderId="0" xfId="0" applyFont="1" applyAlignment="1">
      <alignment horizontal="center"/>
    </xf>
    <xf numFmtId="0" fontId="35" fillId="0" borderId="0" xfId="0" applyFont="1"/>
    <xf numFmtId="177" fontId="35" fillId="0" borderId="0" xfId="0" applyNumberFormat="1" applyFont="1" applyAlignment="1">
      <alignment horizontal="center"/>
    </xf>
    <xf numFmtId="174" fontId="35" fillId="0" borderId="0" xfId="0" applyNumberFormat="1" applyFont="1" applyAlignment="1">
      <alignment horizontal="center"/>
    </xf>
    <xf numFmtId="0" fontId="35" fillId="0" borderId="19" xfId="0" applyFont="1" applyBorder="1" applyAlignment="1">
      <alignment horizontal="center" vertical="center" wrapText="1"/>
    </xf>
    <xf numFmtId="0" fontId="35" fillId="0" borderId="0" xfId="0" applyFont="1" applyAlignment="1">
      <alignment horizontal="center" vertical="center" wrapText="1"/>
    </xf>
    <xf numFmtId="9" fontId="35" fillId="0" borderId="0" xfId="0" applyNumberFormat="1" applyFont="1" applyAlignment="1">
      <alignment horizontal="center" vertical="center" wrapText="1"/>
    </xf>
    <xf numFmtId="9" fontId="35" fillId="0" borderId="15" xfId="0" applyNumberFormat="1" applyFont="1" applyBorder="1" applyAlignment="1">
      <alignment horizontal="center" vertical="center" wrapText="1"/>
    </xf>
    <xf numFmtId="0" fontId="35" fillId="0" borderId="16" xfId="0" applyFont="1" applyBorder="1" applyAlignment="1">
      <alignment horizontal="center" vertical="center" wrapText="1"/>
    </xf>
    <xf numFmtId="0" fontId="35" fillId="0" borderId="18" xfId="0" applyFont="1" applyBorder="1" applyAlignment="1">
      <alignment horizontal="center" vertical="center" wrapText="1"/>
    </xf>
    <xf numFmtId="0" fontId="35" fillId="0" borderId="13" xfId="0" applyFont="1" applyBorder="1" applyAlignment="1">
      <alignment horizontal="center" vertical="center" wrapText="1"/>
    </xf>
    <xf numFmtId="177" fontId="35" fillId="0" borderId="12" xfId="0" applyNumberFormat="1" applyFont="1" applyBorder="1" applyAlignment="1">
      <alignment horizontal="center" vertical="center" wrapText="1"/>
    </xf>
    <xf numFmtId="177" fontId="35" fillId="0" borderId="11" xfId="0" applyNumberFormat="1" applyFont="1" applyBorder="1" applyAlignment="1">
      <alignment horizontal="center" vertical="center" wrapText="1"/>
    </xf>
    <xf numFmtId="0" fontId="35" fillId="0" borderId="43" xfId="0" applyFont="1" applyBorder="1" applyAlignment="1">
      <alignment horizontal="center"/>
    </xf>
    <xf numFmtId="4" fontId="35" fillId="0" borderId="23" xfId="0" applyNumberFormat="1" applyFont="1" applyBorder="1"/>
    <xf numFmtId="171" fontId="35" fillId="0" borderId="43" xfId="0" applyNumberFormat="1" applyFont="1" applyBorder="1" applyAlignment="1">
      <alignment horizontal="center"/>
    </xf>
    <xf numFmtId="179" fontId="35" fillId="0" borderId="23" xfId="0" applyNumberFormat="1" applyFont="1" applyBorder="1" applyAlignment="1">
      <alignment horizontal="center"/>
    </xf>
    <xf numFmtId="179" fontId="35" fillId="0" borderId="44" xfId="0" applyNumberFormat="1" applyFont="1" applyBorder="1" applyAlignment="1">
      <alignment horizontal="center"/>
    </xf>
    <xf numFmtId="4" fontId="35" fillId="0" borderId="0" xfId="0" applyNumberFormat="1" applyFont="1"/>
    <xf numFmtId="10" fontId="35" fillId="0" borderId="44" xfId="3" applyNumberFormat="1" applyFont="1" applyBorder="1" applyAlignment="1">
      <alignment horizontal="center"/>
    </xf>
    <xf numFmtId="174" fontId="35" fillId="0" borderId="23" xfId="0" applyNumberFormat="1" applyFont="1" applyBorder="1" applyAlignment="1">
      <alignment horizontal="center"/>
    </xf>
    <xf numFmtId="8" fontId="35" fillId="0" borderId="23" xfId="0" applyNumberFormat="1" applyFont="1" applyBorder="1" applyAlignment="1">
      <alignment horizontal="center"/>
    </xf>
    <xf numFmtId="8" fontId="35" fillId="0" borderId="44" xfId="0" applyNumberFormat="1" applyFont="1" applyBorder="1" applyAlignment="1">
      <alignment horizontal="center"/>
    </xf>
    <xf numFmtId="0" fontId="35" fillId="9" borderId="19" xfId="0" applyFont="1" applyFill="1" applyBorder="1" applyAlignment="1">
      <alignment horizontal="center"/>
    </xf>
    <xf numFmtId="4" fontId="35" fillId="9" borderId="0" xfId="0" applyNumberFormat="1" applyFont="1" applyFill="1"/>
    <xf numFmtId="171" fontId="35" fillId="9" borderId="19" xfId="0" applyNumberFormat="1" applyFont="1" applyFill="1" applyBorder="1" applyAlignment="1">
      <alignment horizontal="center"/>
    </xf>
    <xf numFmtId="179" fontId="35" fillId="9" borderId="0" xfId="0" applyNumberFormat="1" applyFont="1" applyFill="1" applyAlignment="1">
      <alignment horizontal="center"/>
    </xf>
    <xf numFmtId="179" fontId="35" fillId="9" borderId="15" xfId="0" applyNumberFormat="1" applyFont="1" applyFill="1" applyBorder="1" applyAlignment="1">
      <alignment horizontal="center"/>
    </xf>
    <xf numFmtId="0" fontId="35" fillId="9" borderId="0" xfId="0" applyFont="1" applyFill="1" applyAlignment="1">
      <alignment horizontal="center"/>
    </xf>
    <xf numFmtId="10" fontId="35" fillId="9" borderId="15" xfId="3" applyNumberFormat="1" applyFont="1" applyFill="1" applyBorder="1" applyAlignment="1">
      <alignment horizontal="center"/>
    </xf>
    <xf numFmtId="8" fontId="35" fillId="9" borderId="15" xfId="0" applyNumberFormat="1" applyFont="1" applyFill="1" applyBorder="1" applyAlignment="1">
      <alignment horizontal="center"/>
    </xf>
    <xf numFmtId="0" fontId="35" fillId="0" borderId="19" xfId="0" applyFont="1" applyBorder="1" applyAlignment="1">
      <alignment horizontal="center"/>
    </xf>
    <xf numFmtId="171" fontId="35" fillId="0" borderId="19" xfId="0" applyNumberFormat="1" applyFont="1" applyBorder="1" applyAlignment="1">
      <alignment horizontal="center"/>
    </xf>
    <xf numFmtId="179" fontId="35" fillId="0" borderId="0" xfId="0" applyNumberFormat="1" applyFont="1" applyAlignment="1">
      <alignment horizontal="center"/>
    </xf>
    <xf numFmtId="179" fontId="35" fillId="0" borderId="15" xfId="0" applyNumberFormat="1" applyFont="1" applyBorder="1" applyAlignment="1">
      <alignment horizontal="center"/>
    </xf>
    <xf numFmtId="10" fontId="35" fillId="0" borderId="15" xfId="3" applyNumberFormat="1" applyFont="1" applyBorder="1" applyAlignment="1">
      <alignment horizontal="center"/>
    </xf>
    <xf numFmtId="8" fontId="35" fillId="0" borderId="15" xfId="0" applyNumberFormat="1" applyFont="1" applyBorder="1" applyAlignment="1">
      <alignment horizontal="center"/>
    </xf>
    <xf numFmtId="0" fontId="101" fillId="0" borderId="21" xfId="0" applyFont="1" applyBorder="1" applyAlignment="1">
      <alignment horizontal="center" wrapText="1"/>
    </xf>
    <xf numFmtId="174" fontId="35" fillId="9" borderId="0" xfId="0" applyNumberFormat="1" applyFont="1" applyFill="1" applyAlignment="1">
      <alignment horizontal="center"/>
    </xf>
    <xf numFmtId="8" fontId="35" fillId="9" borderId="0" xfId="0" applyNumberFormat="1" applyFont="1" applyFill="1" applyAlignment="1">
      <alignment horizontal="center"/>
    </xf>
    <xf numFmtId="8" fontId="35" fillId="0" borderId="0" xfId="0" applyNumberFormat="1" applyFont="1" applyAlignment="1">
      <alignment horizontal="center"/>
    </xf>
    <xf numFmtId="166" fontId="35" fillId="0" borderId="23" xfId="0" applyNumberFormat="1" applyFont="1" applyBorder="1" applyAlignment="1">
      <alignment horizontal="center"/>
    </xf>
    <xf numFmtId="166" fontId="35" fillId="9" borderId="0" xfId="0" applyNumberFormat="1" applyFont="1" applyFill="1" applyAlignment="1">
      <alignment horizontal="center"/>
    </xf>
    <xf numFmtId="166" fontId="35" fillId="0" borderId="0" xfId="0" applyNumberFormat="1" applyFont="1" applyAlignment="1">
      <alignment horizontal="center"/>
    </xf>
    <xf numFmtId="0" fontId="0" fillId="4" borderId="4" xfId="0" applyFill="1" applyBorder="1" applyAlignment="1">
      <alignment horizontal="right" vertical="center"/>
    </xf>
    <xf numFmtId="2" fontId="0" fillId="4" borderId="2" xfId="0" applyNumberFormat="1" applyFill="1" applyBorder="1" applyAlignment="1">
      <alignment horizontal="center" vertical="center"/>
    </xf>
    <xf numFmtId="8" fontId="0" fillId="4" borderId="2" xfId="0" applyNumberFormat="1" applyFill="1" applyBorder="1" applyAlignment="1">
      <alignment horizontal="center" vertical="center"/>
    </xf>
    <xf numFmtId="0" fontId="0" fillId="4" borderId="3" xfId="0" applyFill="1" applyBorder="1" applyAlignment="1">
      <alignment horizontal="center" vertical="center"/>
    </xf>
    <xf numFmtId="0" fontId="0" fillId="4" borderId="43" xfId="0" applyFill="1" applyBorder="1"/>
    <xf numFmtId="0" fontId="0" fillId="4" borderId="18" xfId="0" applyFill="1" applyBorder="1"/>
    <xf numFmtId="0" fontId="88" fillId="0" borderId="0" xfId="0" applyFont="1" applyAlignment="1">
      <alignment horizontal="center" vertical="center"/>
    </xf>
    <xf numFmtId="0" fontId="98" fillId="0" borderId="0" xfId="0" applyFont="1"/>
    <xf numFmtId="0" fontId="98" fillId="0" borderId="0" xfId="0" applyFont="1" applyAlignment="1">
      <alignment horizontal="center" vertical="center"/>
    </xf>
    <xf numFmtId="0" fontId="0" fillId="4" borderId="2" xfId="0" applyFill="1" applyBorder="1"/>
    <xf numFmtId="181" fontId="0" fillId="6" borderId="2" xfId="0" applyNumberFormat="1" applyFill="1" applyBorder="1" applyAlignment="1" applyProtection="1">
      <alignment horizontal="center"/>
      <protection locked="0"/>
    </xf>
    <xf numFmtId="8" fontId="0" fillId="0" borderId="2" xfId="0" applyNumberFormat="1" applyBorder="1" applyProtection="1">
      <protection locked="0"/>
    </xf>
    <xf numFmtId="8" fontId="0" fillId="0" borderId="3" xfId="0" applyNumberFormat="1" applyBorder="1" applyProtection="1">
      <protection locked="0"/>
    </xf>
    <xf numFmtId="8" fontId="86" fillId="0" borderId="2" xfId="0" applyNumberFormat="1" applyFont="1" applyBorder="1" applyAlignment="1" applyProtection="1">
      <alignment horizontal="center" vertical="center"/>
      <protection locked="0"/>
    </xf>
    <xf numFmtId="0" fontId="91" fillId="4" borderId="0" xfId="0" applyFont="1" applyFill="1" applyAlignment="1">
      <alignment vertical="center"/>
    </xf>
    <xf numFmtId="0" fontId="90" fillId="0" borderId="3" xfId="0" applyFont="1"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0" fillId="0" borderId="0" xfId="0" applyAlignment="1" applyProtection="1">
      <alignment horizontal="center"/>
      <protection locked="0"/>
    </xf>
    <xf numFmtId="0" fontId="90" fillId="0" borderId="0" xfId="0" quotePrefix="1" applyFont="1" applyProtection="1">
      <protection hidden="1"/>
    </xf>
    <xf numFmtId="6" fontId="96" fillId="9" borderId="109" xfId="0" applyNumberFormat="1" applyFont="1" applyFill="1" applyBorder="1" applyAlignment="1" applyProtection="1">
      <alignment horizontal="center" vertical="center"/>
      <protection hidden="1"/>
    </xf>
    <xf numFmtId="0" fontId="0" fillId="4" borderId="19" xfId="0" applyFill="1" applyBorder="1" applyAlignment="1" applyProtection="1">
      <alignment horizontal="center"/>
      <protection hidden="1"/>
    </xf>
    <xf numFmtId="0" fontId="0" fillId="4" borderId="15" xfId="0" applyFill="1" applyBorder="1" applyAlignment="1" applyProtection="1">
      <alignment horizontal="center"/>
      <protection hidden="1"/>
    </xf>
    <xf numFmtId="0" fontId="98" fillId="4" borderId="4" xfId="0" applyFont="1" applyFill="1" applyBorder="1" applyAlignment="1" applyProtection="1">
      <alignment horizontal="center" vertical="center" wrapText="1"/>
      <protection hidden="1"/>
    </xf>
    <xf numFmtId="0" fontId="98" fillId="4" borderId="3" xfId="0" applyFont="1" applyFill="1" applyBorder="1" applyAlignment="1" applyProtection="1">
      <alignment horizontal="center" vertical="center" wrapText="1"/>
      <protection hidden="1"/>
    </xf>
    <xf numFmtId="0" fontId="86" fillId="4" borderId="21" xfId="0" applyFont="1" applyFill="1" applyBorder="1" applyAlignment="1" applyProtection="1">
      <alignment horizontal="center" vertical="center" wrapText="1"/>
      <protection hidden="1"/>
    </xf>
    <xf numFmtId="0" fontId="0" fillId="4" borderId="3" xfId="0" applyFill="1" applyBorder="1" applyAlignment="1" applyProtection="1">
      <alignment horizontal="center" vertical="center"/>
      <protection hidden="1"/>
    </xf>
    <xf numFmtId="1" fontId="0" fillId="0" borderId="0" xfId="0" applyNumberFormat="1" applyAlignment="1" applyProtection="1">
      <alignment horizontal="center"/>
      <protection hidden="1"/>
    </xf>
    <xf numFmtId="14" fontId="86" fillId="0" borderId="100" xfId="0" applyNumberFormat="1" applyFont="1" applyBorder="1" applyAlignment="1" applyProtection="1">
      <alignment horizontal="center" vertical="center" wrapText="1"/>
      <protection locked="0"/>
    </xf>
    <xf numFmtId="2" fontId="86" fillId="0" borderId="100" xfId="0" applyNumberFormat="1" applyFont="1" applyBorder="1" applyAlignment="1" applyProtection="1">
      <alignment horizontal="center" vertical="center" wrapText="1"/>
      <protection locked="0"/>
    </xf>
    <xf numFmtId="10" fontId="86" fillId="0" borderId="100" xfId="3" applyNumberFormat="1" applyFont="1" applyBorder="1" applyAlignment="1" applyProtection="1">
      <alignment horizontal="center" vertical="center" wrapText="1"/>
      <protection locked="0"/>
    </xf>
    <xf numFmtId="10" fontId="0" fillId="4" borderId="0" xfId="3" applyNumberFormat="1" applyFont="1" applyFill="1" applyBorder="1"/>
    <xf numFmtId="0" fontId="0" fillId="4" borderId="43" xfId="0" applyFill="1" applyBorder="1" applyProtection="1">
      <protection hidden="1"/>
    </xf>
    <xf numFmtId="0" fontId="0" fillId="4" borderId="23" xfId="0" applyFill="1" applyBorder="1" applyProtection="1">
      <protection hidden="1"/>
    </xf>
    <xf numFmtId="0" fontId="0" fillId="4" borderId="19" xfId="0" applyFill="1" applyBorder="1" applyProtection="1">
      <protection hidden="1"/>
    </xf>
    <xf numFmtId="1" fontId="0" fillId="4" borderId="61" xfId="0" applyNumberFormat="1" applyFill="1" applyBorder="1" applyAlignment="1" applyProtection="1">
      <alignment horizontal="center"/>
      <protection hidden="1"/>
    </xf>
    <xf numFmtId="8" fontId="0" fillId="4" borderId="18" xfId="0" applyNumberFormat="1" applyFill="1" applyBorder="1" applyProtection="1">
      <protection hidden="1"/>
    </xf>
    <xf numFmtId="0" fontId="0" fillId="4" borderId="0" xfId="0" applyFill="1" applyProtection="1">
      <protection locked="0"/>
    </xf>
    <xf numFmtId="0" fontId="75" fillId="0" borderId="0" xfId="0" applyFont="1" applyAlignment="1">
      <alignment horizontal="center" vertical="center" wrapText="1"/>
    </xf>
    <xf numFmtId="0" fontId="75" fillId="0" borderId="0" xfId="0" applyFont="1" applyAlignment="1">
      <alignment horizontal="left" vertical="center"/>
    </xf>
    <xf numFmtId="0" fontId="75" fillId="0" borderId="0" xfId="0" applyFont="1" applyAlignment="1">
      <alignment horizontal="left" vertical="center" wrapText="1"/>
    </xf>
    <xf numFmtId="0" fontId="88" fillId="4" borderId="0" xfId="0" applyFont="1" applyFill="1"/>
    <xf numFmtId="2" fontId="88" fillId="4" borderId="2" xfId="0" applyNumberFormat="1" applyFont="1" applyFill="1" applyBorder="1" applyAlignment="1">
      <alignment horizontal="center" vertical="center"/>
    </xf>
    <xf numFmtId="14" fontId="88" fillId="0" borderId="2" xfId="0" applyNumberFormat="1" applyFont="1" applyBorder="1" applyAlignment="1" applyProtection="1">
      <alignment horizontal="center" vertical="center"/>
      <protection locked="0"/>
    </xf>
    <xf numFmtId="14" fontId="88" fillId="0" borderId="2" xfId="0" applyNumberFormat="1" applyFont="1" applyBorder="1" applyAlignment="1">
      <alignment horizontal="center"/>
    </xf>
    <xf numFmtId="0" fontId="91" fillId="0" borderId="0" xfId="0" applyFont="1" applyAlignment="1">
      <alignment vertical="center"/>
    </xf>
    <xf numFmtId="0" fontId="138" fillId="0" borderId="0" xfId="0" applyFont="1" applyAlignment="1">
      <alignment horizontal="right"/>
    </xf>
    <xf numFmtId="6" fontId="0" fillId="4" borderId="2" xfId="0" applyNumberFormat="1" applyFill="1" applyBorder="1" applyAlignment="1">
      <alignment horizontal="center" vertical="center" wrapText="1"/>
    </xf>
    <xf numFmtId="166" fontId="0" fillId="4" borderId="2" xfId="0" applyNumberFormat="1" applyFill="1" applyBorder="1" applyAlignment="1">
      <alignment horizontal="center" vertical="center" wrapText="1"/>
    </xf>
    <xf numFmtId="10" fontId="0" fillId="4" borderId="2" xfId="0" applyNumberFormat="1" applyFill="1" applyBorder="1" applyAlignment="1">
      <alignment horizontal="center" vertical="center" wrapText="1"/>
    </xf>
    <xf numFmtId="6" fontId="86" fillId="4" borderId="2" xfId="0" applyNumberFormat="1" applyFont="1" applyFill="1" applyBorder="1" applyAlignment="1">
      <alignment horizontal="center" vertical="center" wrapText="1"/>
    </xf>
    <xf numFmtId="6" fontId="0" fillId="4" borderId="6" xfId="0" applyNumberFormat="1" applyFill="1" applyBorder="1" applyAlignment="1">
      <alignment horizontal="center" vertical="center" wrapText="1"/>
    </xf>
    <xf numFmtId="6" fontId="86" fillId="4" borderId="115" xfId="0" applyNumberFormat="1" applyFont="1" applyFill="1" applyBorder="1" applyAlignment="1">
      <alignment horizontal="center" vertical="center" wrapText="1"/>
    </xf>
    <xf numFmtId="6" fontId="86" fillId="4" borderId="14" xfId="0" applyNumberFormat="1" applyFont="1" applyFill="1" applyBorder="1" applyAlignment="1">
      <alignment horizontal="center" vertical="center" wrapText="1"/>
    </xf>
    <xf numFmtId="0" fontId="86" fillId="4" borderId="6" xfId="0" applyFont="1" applyFill="1" applyBorder="1" applyAlignment="1">
      <alignment horizontal="center"/>
    </xf>
    <xf numFmtId="0" fontId="0" fillId="4" borderId="4" xfId="0" applyFill="1" applyBorder="1" applyAlignment="1">
      <alignment vertical="center"/>
    </xf>
    <xf numFmtId="0" fontId="0" fillId="4" borderId="3" xfId="0" applyFill="1" applyBorder="1" applyAlignment="1">
      <alignment horizontal="center"/>
    </xf>
    <xf numFmtId="0" fontId="0" fillId="4" borderId="11" xfId="0" applyFill="1" applyBorder="1" applyAlignment="1">
      <alignment vertical="center"/>
    </xf>
    <xf numFmtId="0" fontId="0" fillId="4" borderId="103" xfId="0" applyFill="1" applyBorder="1" applyAlignment="1">
      <alignment vertical="center"/>
    </xf>
    <xf numFmtId="0" fontId="0" fillId="0" borderId="2" xfId="0" applyBorder="1" applyAlignment="1" applyProtection="1">
      <alignment horizontal="center" vertical="center"/>
      <protection locked="0"/>
    </xf>
    <xf numFmtId="0" fontId="91" fillId="0" borderId="0" xfId="0" applyFont="1"/>
    <xf numFmtId="0" fontId="91" fillId="0" borderId="0" xfId="0" applyFont="1" applyAlignment="1">
      <alignment horizontal="center"/>
    </xf>
    <xf numFmtId="0" fontId="49" fillId="0" borderId="0" xfId="2" applyNumberFormat="1" applyFill="1" applyAlignment="1" applyProtection="1">
      <alignment horizontal="left"/>
    </xf>
    <xf numFmtId="181" fontId="0" fillId="0" borderId="2" xfId="0" applyNumberFormat="1" applyBorder="1" applyAlignment="1" applyProtection="1">
      <alignment horizontal="center"/>
      <protection locked="0"/>
    </xf>
    <xf numFmtId="9" fontId="0" fillId="0" borderId="0" xfId="3" applyFont="1" applyFill="1" applyBorder="1" applyAlignment="1">
      <alignment horizontal="center" wrapText="1"/>
    </xf>
    <xf numFmtId="9" fontId="85" fillId="4" borderId="2" xfId="3" applyFont="1" applyFill="1" applyBorder="1" applyAlignment="1">
      <alignment horizontal="center" vertical="center" wrapText="1"/>
    </xf>
    <xf numFmtId="171" fontId="0" fillId="0" borderId="0" xfId="0" applyNumberFormat="1"/>
    <xf numFmtId="176" fontId="0" fillId="0" borderId="0" xfId="3" applyNumberFormat="1" applyFont="1"/>
    <xf numFmtId="0" fontId="90" fillId="0" borderId="2" xfId="0" applyFont="1" applyBorder="1" applyAlignment="1">
      <alignment horizontal="center" vertical="center" wrapText="1"/>
    </xf>
    <xf numFmtId="8" fontId="91" fillId="0" borderId="2" xfId="0" applyNumberFormat="1" applyFont="1" applyBorder="1" applyAlignment="1">
      <alignment vertical="center" wrapText="1"/>
    </xf>
    <xf numFmtId="6" fontId="0" fillId="4" borderId="1" xfId="0" applyNumberFormat="1" applyFill="1" applyBorder="1" applyAlignment="1">
      <alignment horizontal="center" vertical="center" wrapText="1"/>
    </xf>
    <xf numFmtId="166" fontId="0" fillId="4" borderId="1" xfId="0" applyNumberFormat="1" applyFill="1" applyBorder="1" applyAlignment="1">
      <alignment horizontal="center" vertical="center" wrapText="1"/>
    </xf>
    <xf numFmtId="10" fontId="0" fillId="4" borderId="1" xfId="0" applyNumberFormat="1" applyFill="1" applyBorder="1" applyAlignment="1">
      <alignment horizontal="center" vertical="center" wrapText="1"/>
    </xf>
    <xf numFmtId="6" fontId="86" fillId="4" borderId="1" xfId="0" applyNumberFormat="1" applyFont="1" applyFill="1" applyBorder="1" applyAlignment="1">
      <alignment horizontal="center" vertical="center" wrapText="1"/>
    </xf>
    <xf numFmtId="9" fontId="85" fillId="4" borderId="1" xfId="3" applyFont="1" applyFill="1" applyBorder="1" applyAlignment="1">
      <alignment horizontal="center" vertical="center" wrapText="1"/>
    </xf>
    <xf numFmtId="6" fontId="0" fillId="4" borderId="80" xfId="0" applyNumberFormat="1" applyFill="1" applyBorder="1" applyAlignment="1">
      <alignment horizontal="center" vertical="center" wrapText="1"/>
    </xf>
    <xf numFmtId="6" fontId="86" fillId="4" borderId="110" xfId="0" applyNumberFormat="1" applyFont="1" applyFill="1" applyBorder="1" applyAlignment="1">
      <alignment horizontal="center" vertical="center" wrapText="1"/>
    </xf>
    <xf numFmtId="166" fontId="0" fillId="4" borderId="119" xfId="0" applyNumberFormat="1" applyFill="1" applyBorder="1" applyAlignment="1">
      <alignment horizontal="center" vertical="center" wrapText="1"/>
    </xf>
    <xf numFmtId="10" fontId="0" fillId="4" borderId="119" xfId="0" applyNumberFormat="1" applyFill="1" applyBorder="1" applyAlignment="1">
      <alignment horizontal="center" vertical="center" wrapText="1"/>
    </xf>
    <xf numFmtId="6" fontId="86" fillId="4" borderId="119" xfId="0" applyNumberFormat="1" applyFont="1" applyFill="1" applyBorder="1" applyAlignment="1">
      <alignment horizontal="center" vertical="center" wrapText="1"/>
    </xf>
    <xf numFmtId="9" fontId="0" fillId="4" borderId="119" xfId="3" applyFont="1" applyFill="1" applyBorder="1" applyAlignment="1">
      <alignment horizontal="center" vertical="center" wrapText="1"/>
    </xf>
    <xf numFmtId="6" fontId="0" fillId="4" borderId="120" xfId="0" applyNumberFormat="1" applyFill="1" applyBorder="1" applyAlignment="1">
      <alignment horizontal="center" vertical="center" wrapText="1"/>
    </xf>
    <xf numFmtId="6" fontId="86" fillId="4" borderId="121" xfId="0" applyNumberFormat="1" applyFont="1" applyFill="1" applyBorder="1" applyAlignment="1">
      <alignment horizontal="center" vertical="center" wrapText="1"/>
    </xf>
    <xf numFmtId="0" fontId="93" fillId="4" borderId="28" xfId="0" applyFont="1" applyFill="1" applyBorder="1" applyAlignment="1">
      <alignment vertical="center" wrapText="1"/>
    </xf>
    <xf numFmtId="0" fontId="93" fillId="4" borderId="122" xfId="0" applyFont="1" applyFill="1" applyBorder="1" applyAlignment="1">
      <alignment vertical="center" wrapText="1"/>
    </xf>
    <xf numFmtId="6" fontId="86" fillId="4" borderId="104" xfId="0" applyNumberFormat="1" applyFont="1" applyFill="1" applyBorder="1" applyAlignment="1">
      <alignment horizontal="center" vertical="center" wrapText="1"/>
    </xf>
    <xf numFmtId="9" fontId="85" fillId="4" borderId="119" xfId="3" applyFont="1" applyFill="1" applyBorder="1" applyAlignment="1">
      <alignment horizontal="center" vertical="center" wrapText="1"/>
    </xf>
    <xf numFmtId="8" fontId="86" fillId="0" borderId="102" xfId="0" quotePrefix="1" applyNumberFormat="1" applyFont="1" applyBorder="1" applyAlignment="1" applyProtection="1">
      <alignment horizontal="center" vertical="center" wrapText="1"/>
      <protection locked="0"/>
    </xf>
    <xf numFmtId="9" fontId="85" fillId="0" borderId="100" xfId="3" applyFont="1" applyBorder="1" applyAlignment="1" applyProtection="1">
      <alignment horizontal="center" vertical="center" wrapText="1"/>
      <protection locked="0"/>
    </xf>
    <xf numFmtId="9" fontId="85" fillId="4" borderId="100" xfId="3" applyFont="1" applyFill="1" applyBorder="1" applyAlignment="1" applyProtection="1">
      <alignment horizontal="center" vertical="center" wrapText="1"/>
      <protection hidden="1"/>
    </xf>
    <xf numFmtId="10" fontId="85" fillId="4" borderId="100" xfId="3" applyNumberFormat="1" applyFont="1" applyFill="1" applyBorder="1" applyAlignment="1">
      <alignment horizontal="center" vertical="center" wrapText="1"/>
    </xf>
    <xf numFmtId="0" fontId="0" fillId="0" borderId="0" xfId="0" applyAlignment="1">
      <alignment vertical="center" wrapText="1"/>
    </xf>
    <xf numFmtId="9" fontId="0" fillId="0" borderId="0" xfId="3" applyFont="1" applyAlignment="1" applyProtection="1">
      <alignment vertical="center" wrapText="1"/>
      <protection locked="0"/>
    </xf>
    <xf numFmtId="168" fontId="90" fillId="0" borderId="0" xfId="0" applyNumberFormat="1" applyFont="1"/>
    <xf numFmtId="189" fontId="0" fillId="0" borderId="0" xfId="0" applyNumberFormat="1"/>
    <xf numFmtId="0" fontId="0" fillId="0" borderId="0" xfId="0" quotePrefix="1"/>
    <xf numFmtId="8" fontId="0" fillId="0" borderId="2" xfId="0" applyNumberFormat="1" applyBorder="1" applyAlignment="1" applyProtection="1">
      <alignment vertical="center"/>
      <protection locked="0"/>
    </xf>
    <xf numFmtId="0" fontId="91" fillId="0" borderId="0" xfId="0" applyFont="1" applyAlignment="1">
      <alignment horizontal="left"/>
    </xf>
    <xf numFmtId="177" fontId="0" fillId="0" borderId="0" xfId="0" applyNumberFormat="1"/>
    <xf numFmtId="181" fontId="0" fillId="0" borderId="0" xfId="0" applyNumberFormat="1"/>
    <xf numFmtId="181" fontId="91" fillId="0" borderId="0" xfId="0" applyNumberFormat="1" applyFont="1" applyAlignment="1">
      <alignment horizontal="left"/>
    </xf>
    <xf numFmtId="0" fontId="91" fillId="4" borderId="0" xfId="0" applyFont="1" applyFill="1" applyAlignment="1">
      <alignment horizontal="left"/>
    </xf>
    <xf numFmtId="0" fontId="86" fillId="4" borderId="2" xfId="0" applyFont="1" applyFill="1" applyBorder="1" applyAlignment="1" applyProtection="1">
      <alignment horizontal="center" vertical="center" wrapText="1"/>
      <protection hidden="1"/>
    </xf>
    <xf numFmtId="0" fontId="86" fillId="0" borderId="0" xfId="0" applyFont="1"/>
    <xf numFmtId="0" fontId="0" fillId="0" borderId="2" xfId="0" applyBorder="1" applyAlignment="1" applyProtection="1">
      <alignment horizontal="center"/>
      <protection hidden="1"/>
    </xf>
    <xf numFmtId="0" fontId="0" fillId="0" borderId="4" xfId="0" applyBorder="1" applyAlignment="1" applyProtection="1">
      <alignment horizontal="center"/>
      <protection hidden="1"/>
    </xf>
    <xf numFmtId="0" fontId="0" fillId="0" borderId="3" xfId="0" applyBorder="1" applyAlignment="1" applyProtection="1">
      <alignment horizontal="center"/>
      <protection hidden="1"/>
    </xf>
    <xf numFmtId="0" fontId="0" fillId="4" borderId="4" xfId="0" applyFill="1" applyBorder="1" applyAlignment="1" applyProtection="1">
      <alignment horizontal="center" vertical="center"/>
      <protection hidden="1"/>
    </xf>
    <xf numFmtId="0" fontId="0" fillId="0" borderId="68" xfId="0" applyBorder="1" applyAlignment="1" applyProtection="1">
      <alignment vertical="center"/>
      <protection locked="0"/>
    </xf>
    <xf numFmtId="0" fontId="0" fillId="0" borderId="2" xfId="0" applyBorder="1" applyProtection="1">
      <protection locked="0"/>
    </xf>
    <xf numFmtId="9" fontId="0" fillId="0" borderId="0" xfId="0" applyNumberFormat="1"/>
    <xf numFmtId="0" fontId="115" fillId="0" borderId="4" xfId="0" applyFont="1" applyBorder="1" applyAlignment="1">
      <alignment horizontal="center" vertical="center" wrapText="1"/>
    </xf>
    <xf numFmtId="14" fontId="124" fillId="0" borderId="4" xfId="0" applyNumberFormat="1" applyFont="1" applyBorder="1" applyAlignment="1">
      <alignment horizontal="center" vertical="center" wrapText="1"/>
    </xf>
    <xf numFmtId="14" fontId="124" fillId="0" borderId="13" xfId="0" applyNumberFormat="1" applyFont="1" applyBorder="1" applyAlignment="1">
      <alignment horizontal="center" vertical="center" wrapText="1"/>
    </xf>
    <xf numFmtId="188" fontId="0" fillId="0" borderId="0" xfId="0" applyNumberFormat="1" applyAlignment="1">
      <alignment vertical="center" wrapText="1"/>
    </xf>
    <xf numFmtId="182" fontId="0" fillId="0" borderId="0" xfId="3" applyNumberFormat="1" applyFont="1" applyFill="1" applyBorder="1"/>
    <xf numFmtId="188" fontId="0" fillId="0" borderId="0" xfId="0" applyNumberFormat="1"/>
    <xf numFmtId="176" fontId="0" fillId="0" borderId="0" xfId="0" applyNumberFormat="1"/>
    <xf numFmtId="6" fontId="88" fillId="4" borderId="2" xfId="0" applyNumberFormat="1" applyFont="1" applyFill="1" applyBorder="1" applyAlignment="1" applyProtection="1">
      <alignment horizontal="center" vertical="center"/>
      <protection hidden="1"/>
    </xf>
    <xf numFmtId="181" fontId="88" fillId="4" borderId="2" xfId="0" applyNumberFormat="1" applyFont="1" applyFill="1" applyBorder="1" applyAlignment="1" applyProtection="1">
      <alignment horizontal="center" vertical="center"/>
      <protection hidden="1"/>
    </xf>
    <xf numFmtId="8" fontId="88" fillId="4" borderId="2" xfId="0" applyNumberFormat="1" applyFont="1" applyFill="1" applyBorder="1" applyAlignment="1" applyProtection="1">
      <alignment horizontal="center" vertical="center"/>
      <protection hidden="1"/>
    </xf>
    <xf numFmtId="181" fontId="88" fillId="4" borderId="3" xfId="0" applyNumberFormat="1" applyFont="1" applyFill="1" applyBorder="1" applyAlignment="1" applyProtection="1">
      <alignment horizontal="center" vertical="center"/>
      <protection hidden="1"/>
    </xf>
    <xf numFmtId="8" fontId="92" fillId="9" borderId="6" xfId="0" applyNumberFormat="1" applyFont="1" applyFill="1" applyBorder="1" applyAlignment="1" applyProtection="1">
      <alignment horizontal="center" vertical="center"/>
      <protection hidden="1"/>
    </xf>
    <xf numFmtId="8" fontId="92" fillId="9" borderId="7" xfId="0" applyNumberFormat="1" applyFont="1" applyFill="1" applyBorder="1" applyAlignment="1" applyProtection="1">
      <alignment horizontal="center" vertical="center"/>
      <protection hidden="1"/>
    </xf>
    <xf numFmtId="0" fontId="91" fillId="4" borderId="2" xfId="0" applyFont="1" applyFill="1" applyBorder="1" applyAlignment="1" applyProtection="1">
      <alignment horizontal="right" vertical="center"/>
      <protection hidden="1"/>
    </xf>
    <xf numFmtId="10" fontId="91" fillId="4" borderId="3" xfId="3" applyNumberFormat="1" applyFont="1" applyFill="1" applyBorder="1" applyAlignment="1" applyProtection="1">
      <alignment horizontal="center" vertical="center"/>
      <protection hidden="1"/>
    </xf>
    <xf numFmtId="10" fontId="0" fillId="0" borderId="2" xfId="0" applyNumberFormat="1" applyBorder="1" applyAlignment="1" applyProtection="1">
      <alignment horizontal="center" vertical="center"/>
      <protection locked="0"/>
    </xf>
    <xf numFmtId="6" fontId="75" fillId="0" borderId="101" xfId="0" quotePrefix="1" applyNumberFormat="1" applyFont="1" applyBorder="1" applyAlignment="1" applyProtection="1">
      <alignment horizontal="center" vertical="center" wrapText="1"/>
      <protection locked="0"/>
    </xf>
    <xf numFmtId="166" fontId="111" fillId="0" borderId="0" xfId="0" applyNumberFormat="1" applyFont="1" applyAlignment="1">
      <alignment horizontal="center"/>
    </xf>
    <xf numFmtId="0" fontId="0" fillId="4" borderId="0" xfId="0" quotePrefix="1" applyFill="1" applyAlignment="1" applyProtection="1">
      <alignment vertical="top" wrapText="1"/>
      <protection hidden="1"/>
    </xf>
    <xf numFmtId="0" fontId="0" fillId="4" borderId="3" xfId="0" applyFill="1" applyBorder="1" applyAlignment="1" applyProtection="1">
      <alignment vertical="center" wrapText="1"/>
      <protection hidden="1"/>
    </xf>
    <xf numFmtId="0" fontId="91" fillId="4" borderId="0" xfId="0" applyFont="1" applyFill="1" applyAlignment="1" applyProtection="1">
      <alignment vertical="center"/>
      <protection hidden="1"/>
    </xf>
    <xf numFmtId="0" fontId="85" fillId="8" borderId="0" xfId="4" applyFont="1" applyFill="1" applyAlignment="1">
      <alignment horizontal="center" vertical="center"/>
    </xf>
    <xf numFmtId="0" fontId="53" fillId="8" borderId="0" xfId="4" applyFont="1" applyFill="1" applyAlignment="1">
      <alignment horizontal="center" vertical="center"/>
    </xf>
    <xf numFmtId="0" fontId="41" fillId="8" borderId="0" xfId="4" applyFont="1" applyFill="1" applyAlignment="1">
      <alignment horizontal="center" vertical="center"/>
    </xf>
    <xf numFmtId="4" fontId="88" fillId="8" borderId="0" xfId="4" applyNumberFormat="1" applyFont="1" applyFill="1" applyAlignment="1">
      <alignment horizontal="center" vertical="center"/>
    </xf>
    <xf numFmtId="0" fontId="138" fillId="8" borderId="0" xfId="0" applyFont="1" applyFill="1" applyAlignment="1">
      <alignment horizontal="right"/>
    </xf>
    <xf numFmtId="0" fontId="0" fillId="8" borderId="0" xfId="0" applyFill="1" applyAlignment="1">
      <alignment horizontal="center" vertical="center"/>
    </xf>
    <xf numFmtId="8" fontId="0" fillId="0" borderId="2" xfId="0" applyNumberFormat="1" applyBorder="1" applyAlignment="1" applyProtection="1">
      <alignment horizontal="center"/>
      <protection hidden="1"/>
    </xf>
    <xf numFmtId="8" fontId="0" fillId="17" borderId="2" xfId="0" applyNumberFormat="1" applyFill="1" applyBorder="1" applyAlignment="1">
      <alignment horizontal="center"/>
    </xf>
    <xf numFmtId="8" fontId="0" fillId="0" borderId="2" xfId="0" applyNumberFormat="1" applyBorder="1" applyAlignment="1">
      <alignment horizontal="center"/>
    </xf>
    <xf numFmtId="0" fontId="0" fillId="0" borderId="18" xfId="0" applyBorder="1" applyAlignment="1" applyProtection="1">
      <alignment horizontal="center"/>
      <protection hidden="1"/>
    </xf>
    <xf numFmtId="0" fontId="102" fillId="4" borderId="0" xfId="0" applyFont="1" applyFill="1" applyAlignment="1">
      <alignment vertical="center"/>
    </xf>
    <xf numFmtId="8" fontId="0" fillId="4" borderId="2" xfId="0" applyNumberFormat="1" applyFill="1" applyBorder="1" applyAlignment="1" applyProtection="1">
      <alignment vertical="center" wrapText="1"/>
      <protection hidden="1"/>
    </xf>
    <xf numFmtId="6" fontId="0" fillId="20" borderId="2" xfId="0" applyNumberFormat="1" applyFill="1" applyBorder="1" applyAlignment="1" applyProtection="1">
      <alignment vertical="center" wrapText="1"/>
      <protection hidden="1"/>
    </xf>
    <xf numFmtId="0" fontId="0" fillId="20" borderId="2" xfId="0" applyFill="1" applyBorder="1" applyAlignment="1" applyProtection="1">
      <alignment vertical="center" wrapText="1"/>
      <protection hidden="1"/>
    </xf>
    <xf numFmtId="8" fontId="85" fillId="9" borderId="2" xfId="3" applyNumberFormat="1" applyFont="1" applyFill="1" applyBorder="1" applyAlignment="1" applyProtection="1">
      <alignment vertical="center" wrapText="1"/>
      <protection hidden="1"/>
    </xf>
    <xf numFmtId="188" fontId="92" fillId="4" borderId="2" xfId="0" applyNumberFormat="1" applyFont="1" applyFill="1" applyBorder="1" applyAlignment="1" applyProtection="1">
      <alignment vertical="center" wrapText="1"/>
      <protection hidden="1"/>
    </xf>
    <xf numFmtId="0" fontId="0" fillId="4" borderId="2" xfId="0" applyFill="1" applyBorder="1" applyAlignment="1" applyProtection="1">
      <alignment vertical="center" wrapText="1"/>
      <protection hidden="1"/>
    </xf>
    <xf numFmtId="8" fontId="0" fillId="21" borderId="2" xfId="0" applyNumberFormat="1" applyFill="1" applyBorder="1" applyAlignment="1" applyProtection="1">
      <alignment vertical="center" wrapText="1"/>
      <protection hidden="1"/>
    </xf>
    <xf numFmtId="188" fontId="92" fillId="4" borderId="3" xfId="0" applyNumberFormat="1" applyFont="1" applyFill="1" applyBorder="1" applyAlignment="1" applyProtection="1">
      <alignment vertical="center" wrapText="1"/>
      <protection hidden="1"/>
    </xf>
    <xf numFmtId="8" fontId="0" fillId="21" borderId="3" xfId="0" applyNumberFormat="1" applyFill="1" applyBorder="1" applyAlignment="1" applyProtection="1">
      <alignment vertical="center" wrapText="1"/>
      <protection hidden="1"/>
    </xf>
    <xf numFmtId="0" fontId="93" fillId="0" borderId="0" xfId="0" applyFont="1"/>
    <xf numFmtId="8" fontId="0" fillId="0" borderId="0" xfId="0" applyNumberFormat="1" applyProtection="1">
      <protection hidden="1"/>
    </xf>
    <xf numFmtId="0" fontId="114" fillId="4" borderId="0" xfId="0" applyFont="1" applyFill="1" applyAlignment="1">
      <alignment horizontal="center" vertical="center" wrapText="1"/>
    </xf>
    <xf numFmtId="0" fontId="49" fillId="4" borderId="0" xfId="2" applyNumberFormat="1" applyFill="1" applyBorder="1" applyAlignment="1" applyProtection="1">
      <alignment horizontal="center" vertical="center" wrapText="1"/>
      <protection hidden="1"/>
    </xf>
    <xf numFmtId="8" fontId="86" fillId="0" borderId="0" xfId="0" applyNumberFormat="1" applyFont="1" applyAlignment="1">
      <alignment horizontal="center" vertical="center" wrapText="1"/>
    </xf>
    <xf numFmtId="0" fontId="93" fillId="4" borderId="0" xfId="0" applyFont="1" applyFill="1" applyAlignment="1">
      <alignment vertical="center" wrapText="1"/>
    </xf>
    <xf numFmtId="6" fontId="0" fillId="4" borderId="0" xfId="0" applyNumberFormat="1" applyFill="1" applyAlignment="1">
      <alignment horizontal="center" vertical="center" wrapText="1"/>
    </xf>
    <xf numFmtId="166" fontId="0" fillId="4" borderId="0" xfId="0" applyNumberFormat="1" applyFill="1" applyAlignment="1">
      <alignment horizontal="center" vertical="center" wrapText="1"/>
    </xf>
    <xf numFmtId="10" fontId="0" fillId="4" borderId="0" xfId="0" applyNumberFormat="1" applyFill="1" applyAlignment="1">
      <alignment horizontal="center" vertical="center" wrapText="1"/>
    </xf>
    <xf numFmtId="6" fontId="86" fillId="4" borderId="0" xfId="0" applyNumberFormat="1" applyFont="1" applyFill="1" applyAlignment="1">
      <alignment horizontal="center" vertical="center" wrapText="1"/>
    </xf>
    <xf numFmtId="9" fontId="0" fillId="4" borderId="0" xfId="3" applyFont="1" applyFill="1" applyBorder="1" applyAlignment="1">
      <alignment horizontal="center" vertical="center" wrapText="1"/>
    </xf>
    <xf numFmtId="9" fontId="85" fillId="4" borderId="0" xfId="3" applyFont="1" applyFill="1" applyBorder="1" applyAlignment="1">
      <alignment horizontal="center" vertical="center" wrapText="1"/>
    </xf>
    <xf numFmtId="188" fontId="92" fillId="4" borderId="0" xfId="0" applyNumberFormat="1" applyFont="1" applyFill="1" applyAlignment="1" applyProtection="1">
      <alignment vertical="center" wrapText="1"/>
      <protection hidden="1"/>
    </xf>
    <xf numFmtId="0" fontId="0" fillId="4" borderId="0" xfId="0" applyFill="1" applyAlignment="1" applyProtection="1">
      <alignment vertical="center" wrapText="1"/>
      <protection hidden="1"/>
    </xf>
    <xf numFmtId="8" fontId="0" fillId="21" borderId="0" xfId="0" applyNumberFormat="1" applyFill="1" applyAlignment="1" applyProtection="1">
      <alignment vertical="center" wrapText="1"/>
      <protection hidden="1"/>
    </xf>
    <xf numFmtId="1" fontId="0" fillId="0" borderId="0" xfId="0" applyNumberFormat="1" applyProtection="1">
      <protection hidden="1"/>
    </xf>
    <xf numFmtId="8" fontId="88" fillId="0" borderId="0" xfId="0" applyNumberFormat="1" applyFont="1"/>
    <xf numFmtId="2" fontId="86" fillId="0" borderId="2" xfId="0" applyNumberFormat="1" applyFont="1" applyBorder="1" applyAlignment="1" applyProtection="1">
      <alignment horizontal="center" vertical="center" wrapText="1"/>
      <protection locked="0" hidden="1"/>
    </xf>
    <xf numFmtId="8" fontId="86" fillId="0" borderId="2" xfId="0" applyNumberFormat="1" applyFont="1" applyBorder="1" applyAlignment="1" applyProtection="1">
      <alignment horizontal="center" vertical="center" wrapText="1"/>
      <protection locked="0"/>
    </xf>
    <xf numFmtId="10" fontId="86" fillId="0" borderId="2" xfId="3" applyNumberFormat="1" applyFont="1" applyBorder="1" applyAlignment="1" applyProtection="1">
      <alignment horizontal="center" vertical="center" wrapText="1"/>
      <protection locked="0"/>
    </xf>
    <xf numFmtId="9" fontId="85" fillId="0" borderId="2" xfId="3" applyFont="1" applyBorder="1" applyAlignment="1" applyProtection="1">
      <alignment horizontal="center" vertical="center" wrapText="1"/>
      <protection locked="0"/>
    </xf>
    <xf numFmtId="10" fontId="0" fillId="4" borderId="2" xfId="0" applyNumberFormat="1" applyFill="1" applyBorder="1" applyAlignment="1">
      <alignment horizontal="center" vertical="center"/>
    </xf>
    <xf numFmtId="184" fontId="75" fillId="0" borderId="2" xfId="0" applyNumberFormat="1" applyFont="1" applyBorder="1" applyAlignment="1" applyProtection="1">
      <alignment horizontal="center" vertical="center" wrapText="1"/>
      <protection locked="0"/>
    </xf>
    <xf numFmtId="2" fontId="0" fillId="4" borderId="129" xfId="0" applyNumberFormat="1" applyFill="1" applyBorder="1" applyAlignment="1">
      <alignment horizontal="center" vertical="center"/>
    </xf>
    <xf numFmtId="2" fontId="86" fillId="0" borderId="129" xfId="0" applyNumberFormat="1" applyFont="1" applyBorder="1" applyAlignment="1" applyProtection="1">
      <alignment horizontal="center" vertical="center" wrapText="1"/>
      <protection locked="0" hidden="1"/>
    </xf>
    <xf numFmtId="8" fontId="86" fillId="0" borderId="129" xfId="0" applyNumberFormat="1" applyFont="1" applyBorder="1" applyAlignment="1" applyProtection="1">
      <alignment horizontal="center" vertical="center" wrapText="1"/>
      <protection locked="0"/>
    </xf>
    <xf numFmtId="10" fontId="86" fillId="0" borderId="129" xfId="3" applyNumberFormat="1" applyFont="1" applyBorder="1" applyAlignment="1" applyProtection="1">
      <alignment horizontal="center" vertical="center" wrapText="1"/>
      <protection locked="0"/>
    </xf>
    <xf numFmtId="8" fontId="0" fillId="4" borderId="129" xfId="0" applyNumberFormat="1" applyFill="1" applyBorder="1" applyAlignment="1">
      <alignment horizontal="center" vertical="center"/>
    </xf>
    <xf numFmtId="6" fontId="0" fillId="4" borderId="129" xfId="0" applyNumberFormat="1" applyFill="1" applyBorder="1" applyAlignment="1">
      <alignment horizontal="center" vertical="center" wrapText="1"/>
    </xf>
    <xf numFmtId="9" fontId="85" fillId="0" borderId="129" xfId="3" applyFont="1" applyBorder="1" applyAlignment="1" applyProtection="1">
      <alignment horizontal="center" vertical="center" wrapText="1"/>
      <protection locked="0"/>
    </xf>
    <xf numFmtId="10" fontId="0" fillId="4" borderId="129" xfId="0" applyNumberFormat="1" applyFill="1" applyBorder="1" applyAlignment="1">
      <alignment horizontal="center" vertical="center"/>
    </xf>
    <xf numFmtId="14" fontId="0" fillId="4" borderId="2" xfId="0" applyNumberFormat="1" applyFill="1" applyBorder="1" applyAlignment="1">
      <alignment horizontal="center" vertical="center" wrapText="1"/>
    </xf>
    <xf numFmtId="14" fontId="0" fillId="4" borderId="129" xfId="0" applyNumberFormat="1" applyFill="1" applyBorder="1" applyAlignment="1">
      <alignment horizontal="center" vertical="center" wrapText="1"/>
    </xf>
    <xf numFmtId="6" fontId="86" fillId="4" borderId="2" xfId="0" applyNumberFormat="1" applyFont="1" applyFill="1" applyBorder="1" applyAlignment="1">
      <alignment horizontal="center" vertical="center"/>
    </xf>
    <xf numFmtId="6" fontId="86" fillId="4" borderId="129" xfId="0" applyNumberFormat="1" applyFont="1" applyFill="1" applyBorder="1" applyAlignment="1">
      <alignment horizontal="center" vertical="center"/>
    </xf>
    <xf numFmtId="6" fontId="0" fillId="4" borderId="129" xfId="0" applyNumberFormat="1" applyFill="1" applyBorder="1" applyAlignment="1" applyProtection="1">
      <alignment horizontal="center" vertical="center" wrapText="1"/>
      <protection hidden="1"/>
    </xf>
    <xf numFmtId="6" fontId="114" fillId="4" borderId="2" xfId="0" applyNumberFormat="1" applyFont="1" applyFill="1" applyBorder="1" applyAlignment="1">
      <alignment horizontal="center" vertical="center"/>
    </xf>
    <xf numFmtId="6" fontId="85" fillId="4" borderId="129" xfId="3" applyNumberFormat="1" applyFont="1" applyFill="1" applyBorder="1" applyAlignment="1">
      <alignment horizontal="center" vertical="center"/>
    </xf>
    <xf numFmtId="0" fontId="114" fillId="4" borderId="2" xfId="0" applyFont="1" applyFill="1" applyBorder="1" applyAlignment="1">
      <alignment horizontal="center" vertical="center"/>
    </xf>
    <xf numFmtId="0" fontId="114" fillId="4" borderId="129" xfId="0" applyFont="1" applyFill="1" applyBorder="1" applyAlignment="1">
      <alignment horizontal="center" vertical="center"/>
    </xf>
    <xf numFmtId="0" fontId="0" fillId="4" borderId="130" xfId="0" applyFill="1" applyBorder="1" applyAlignment="1">
      <alignment vertical="center"/>
    </xf>
    <xf numFmtId="0" fontId="0" fillId="4" borderId="131" xfId="0" applyFill="1" applyBorder="1" applyAlignment="1">
      <alignment vertical="center"/>
    </xf>
    <xf numFmtId="0" fontId="142" fillId="0" borderId="0" xfId="0" applyFont="1"/>
    <xf numFmtId="6" fontId="114" fillId="4" borderId="129" xfId="0" applyNumberFormat="1" applyFont="1" applyFill="1" applyBorder="1" applyAlignment="1">
      <alignment horizontal="center" vertical="center"/>
    </xf>
    <xf numFmtId="0" fontId="0" fillId="0" borderId="0" xfId="0" applyAlignment="1">
      <alignment textRotation="180"/>
    </xf>
    <xf numFmtId="0" fontId="86" fillId="0" borderId="2" xfId="0" applyFont="1" applyBorder="1"/>
    <xf numFmtId="8" fontId="86" fillId="0" borderId="2" xfId="0" applyNumberFormat="1" applyFont="1" applyBorder="1"/>
    <xf numFmtId="190" fontId="0" fillId="0" borderId="2" xfId="0" applyNumberFormat="1" applyBorder="1"/>
    <xf numFmtId="188" fontId="0" fillId="0" borderId="2" xfId="0" applyNumberFormat="1" applyBorder="1"/>
    <xf numFmtId="8" fontId="86" fillId="0" borderId="0" xfId="0" applyNumberFormat="1" applyFont="1"/>
    <xf numFmtId="6" fontId="91" fillId="4" borderId="101" xfId="0" applyNumberFormat="1" applyFont="1" applyFill="1" applyBorder="1" applyAlignment="1" applyProtection="1">
      <alignment vertical="center" wrapText="1"/>
      <protection hidden="1"/>
    </xf>
    <xf numFmtId="0" fontId="92" fillId="19" borderId="102" xfId="0" applyFont="1" applyFill="1" applyBorder="1" applyAlignment="1" applyProtection="1">
      <alignment horizontal="center" vertical="center" wrapText="1"/>
      <protection locked="0"/>
    </xf>
    <xf numFmtId="0" fontId="92" fillId="4" borderId="65" xfId="0" applyFont="1" applyFill="1" applyBorder="1" applyAlignment="1" applyProtection="1">
      <alignment horizontal="center" vertical="top" wrapText="1"/>
      <protection locked="0"/>
    </xf>
    <xf numFmtId="14" fontId="0" fillId="4" borderId="9" xfId="0" applyNumberFormat="1" applyFill="1" applyBorder="1" applyAlignment="1">
      <alignment horizontal="center" vertical="center" wrapText="1"/>
    </xf>
    <xf numFmtId="2" fontId="86" fillId="0" borderId="10" xfId="0" applyNumberFormat="1" applyFont="1" applyBorder="1" applyAlignment="1" applyProtection="1">
      <alignment horizontal="center" vertical="center" wrapText="1"/>
      <protection locked="0" hidden="1"/>
    </xf>
    <xf numFmtId="2" fontId="0" fillId="4" borderId="10" xfId="0" applyNumberFormat="1" applyFill="1" applyBorder="1" applyAlignment="1">
      <alignment horizontal="center" vertical="center"/>
    </xf>
    <xf numFmtId="10" fontId="86" fillId="0" borderId="9" xfId="3" applyNumberFormat="1" applyFont="1" applyBorder="1" applyAlignment="1" applyProtection="1">
      <alignment horizontal="center" vertical="center" wrapText="1"/>
      <protection locked="0"/>
    </xf>
    <xf numFmtId="8" fontId="0" fillId="4" borderId="9" xfId="0" applyNumberFormat="1" applyFill="1" applyBorder="1" applyAlignment="1">
      <alignment horizontal="center" vertical="center"/>
    </xf>
    <xf numFmtId="6" fontId="0" fillId="4" borderId="10" xfId="0" applyNumberFormat="1" applyFill="1" applyBorder="1" applyAlignment="1">
      <alignment horizontal="center" vertical="center" wrapText="1"/>
    </xf>
    <xf numFmtId="9" fontId="85" fillId="0" borderId="9" xfId="3" applyFont="1" applyBorder="1" applyAlignment="1" applyProtection="1">
      <alignment horizontal="center" vertical="center" wrapText="1"/>
      <protection locked="0"/>
    </xf>
    <xf numFmtId="6" fontId="86" fillId="4" borderId="0" xfId="0" applyNumberFormat="1" applyFont="1" applyFill="1" applyAlignment="1">
      <alignment horizontal="center"/>
    </xf>
    <xf numFmtId="10" fontId="0" fillId="4" borderId="9" xfId="3" applyNumberFormat="1" applyFont="1" applyFill="1" applyBorder="1" applyAlignment="1">
      <alignment horizontal="center" vertical="center"/>
    </xf>
    <xf numFmtId="0" fontId="86" fillId="0" borderId="0" xfId="0" applyFont="1" applyAlignment="1">
      <alignment horizontal="center"/>
    </xf>
    <xf numFmtId="9" fontId="0" fillId="0" borderId="9" xfId="3" applyFont="1" applyFill="1" applyBorder="1" applyAlignment="1" applyProtection="1">
      <alignment horizontal="center" vertical="center"/>
      <protection locked="0"/>
    </xf>
    <xf numFmtId="10" fontId="91" fillId="0" borderId="0" xfId="0" applyNumberFormat="1" applyFont="1"/>
    <xf numFmtId="175" fontId="91" fillId="0" borderId="0" xfId="0" applyNumberFormat="1" applyFont="1" applyAlignment="1">
      <alignment horizontal="center"/>
    </xf>
    <xf numFmtId="0" fontId="91" fillId="0" borderId="0" xfId="0" applyFont="1" applyAlignment="1">
      <alignment horizontal="center" vertical="center"/>
    </xf>
    <xf numFmtId="175" fontId="144" fillId="4" borderId="2" xfId="0" applyNumberFormat="1" applyFont="1" applyFill="1" applyBorder="1" applyAlignment="1">
      <alignment horizontal="center" vertical="center"/>
    </xf>
    <xf numFmtId="180" fontId="99" fillId="0" borderId="2" xfId="0" applyNumberFormat="1" applyFont="1" applyBorder="1" applyAlignment="1">
      <alignment horizontal="center" vertical="center"/>
    </xf>
    <xf numFmtId="180" fontId="99" fillId="4" borderId="2" xfId="0" applyNumberFormat="1" applyFont="1" applyFill="1" applyBorder="1" applyAlignment="1">
      <alignment horizontal="center" vertical="center"/>
    </xf>
    <xf numFmtId="0" fontId="144" fillId="4" borderId="4" xfId="0" applyFont="1" applyFill="1" applyBorder="1" applyAlignment="1">
      <alignment horizontal="center" vertical="center"/>
    </xf>
    <xf numFmtId="175" fontId="144" fillId="4" borderId="3" xfId="0" applyNumberFormat="1" applyFont="1" applyFill="1" applyBorder="1" applyAlignment="1">
      <alignment horizontal="center" vertical="center"/>
    </xf>
    <xf numFmtId="180" fontId="99" fillId="0" borderId="3" xfId="0" applyNumberFormat="1" applyFont="1" applyBorder="1" applyAlignment="1">
      <alignment horizontal="center" vertical="center"/>
    </xf>
    <xf numFmtId="180" fontId="99" fillId="4" borderId="3" xfId="0" applyNumberFormat="1" applyFont="1" applyFill="1" applyBorder="1" applyAlignment="1">
      <alignment horizontal="center" vertical="center"/>
    </xf>
    <xf numFmtId="0" fontId="144" fillId="4" borderId="5" xfId="0" applyFont="1" applyFill="1" applyBorder="1" applyAlignment="1">
      <alignment horizontal="center" vertical="center"/>
    </xf>
    <xf numFmtId="180" fontId="99" fillId="0" borderId="6" xfId="0" applyNumberFormat="1" applyFont="1" applyBorder="1" applyAlignment="1">
      <alignment horizontal="center" vertical="center"/>
    </xf>
    <xf numFmtId="180" fontId="99" fillId="0" borderId="7" xfId="0" applyNumberFormat="1" applyFont="1" applyBorder="1" applyAlignment="1">
      <alignment horizontal="center" vertical="center"/>
    </xf>
    <xf numFmtId="0" fontId="86" fillId="0" borderId="2" xfId="0" applyFont="1" applyBorder="1" applyAlignment="1">
      <alignment horizontal="center"/>
    </xf>
    <xf numFmtId="14" fontId="86" fillId="4" borderId="3" xfId="0" applyNumberFormat="1" applyFont="1" applyFill="1" applyBorder="1"/>
    <xf numFmtId="0" fontId="91" fillId="0" borderId="19" xfId="0" applyFont="1" applyBorder="1" applyAlignment="1">
      <alignment horizontal="center"/>
    </xf>
    <xf numFmtId="2" fontId="91" fillId="0" borderId="15" xfId="0" applyNumberFormat="1" applyFont="1" applyBorder="1" applyAlignment="1">
      <alignment horizontal="center"/>
    </xf>
    <xf numFmtId="0" fontId="91" fillId="0" borderId="16" xfId="0" applyFont="1" applyBorder="1" applyAlignment="1">
      <alignment horizontal="center"/>
    </xf>
    <xf numFmtId="8" fontId="91" fillId="0" borderId="39" xfId="0" applyNumberFormat="1" applyFont="1" applyBorder="1" applyAlignment="1">
      <alignment horizontal="center"/>
    </xf>
    <xf numFmtId="0" fontId="91" fillId="4" borderId="0" xfId="0" applyFont="1" applyFill="1"/>
    <xf numFmtId="0" fontId="91" fillId="4" borderId="0" xfId="0" applyFont="1" applyFill="1" applyAlignment="1">
      <alignment horizontal="center"/>
    </xf>
    <xf numFmtId="2" fontId="86" fillId="0" borderId="140" xfId="0" applyNumberFormat="1" applyFont="1" applyBorder="1" applyAlignment="1" applyProtection="1">
      <alignment horizontal="center" vertical="center" wrapText="1"/>
      <protection locked="0" hidden="1"/>
    </xf>
    <xf numFmtId="6" fontId="91" fillId="4" borderId="138" xfId="0" applyNumberFormat="1" applyFont="1" applyFill="1" applyBorder="1" applyAlignment="1" applyProtection="1">
      <alignment vertical="center" wrapText="1"/>
      <protection hidden="1"/>
    </xf>
    <xf numFmtId="0" fontId="0" fillId="0" borderId="2" xfId="0" applyBorder="1" applyAlignment="1">
      <alignment vertical="center"/>
    </xf>
    <xf numFmtId="0" fontId="0" fillId="0" borderId="1" xfId="0" applyBorder="1" applyAlignment="1">
      <alignment vertical="center"/>
    </xf>
    <xf numFmtId="9" fontId="0" fillId="4" borderId="0" xfId="3" applyFont="1" applyFill="1" applyBorder="1" applyAlignment="1" applyProtection="1">
      <alignment horizontal="center" vertical="center"/>
      <protection hidden="1"/>
    </xf>
    <xf numFmtId="0" fontId="0" fillId="4" borderId="2" xfId="0" applyFill="1" applyBorder="1" applyAlignment="1">
      <alignment vertical="center" wrapText="1"/>
    </xf>
    <xf numFmtId="0" fontId="91" fillId="4" borderId="21" xfId="0" applyFont="1" applyFill="1" applyBorder="1" applyAlignment="1" applyProtection="1">
      <alignment horizontal="center" vertical="center"/>
      <protection locked="0"/>
    </xf>
    <xf numFmtId="6" fontId="91" fillId="4" borderId="11" xfId="0" applyNumberFormat="1" applyFont="1" applyFill="1" applyBorder="1" applyAlignment="1" applyProtection="1">
      <alignment horizontal="center" vertical="center" wrapText="1"/>
      <protection hidden="1"/>
    </xf>
    <xf numFmtId="6" fontId="91" fillId="4" borderId="54" xfId="0" applyNumberFormat="1" applyFont="1" applyFill="1" applyBorder="1" applyAlignment="1" applyProtection="1">
      <alignment horizontal="center" vertical="center" wrapText="1"/>
      <protection hidden="1"/>
    </xf>
    <xf numFmtId="8" fontId="91" fillId="4" borderId="3" xfId="0" applyNumberFormat="1" applyFont="1" applyFill="1" applyBorder="1" applyAlignment="1" applyProtection="1">
      <alignment vertical="center"/>
      <protection hidden="1"/>
    </xf>
    <xf numFmtId="0" fontId="0" fillId="4" borderId="2" xfId="0" applyFill="1" applyBorder="1" applyAlignment="1" applyProtection="1">
      <alignment vertical="center"/>
      <protection hidden="1"/>
    </xf>
    <xf numFmtId="0" fontId="86" fillId="4" borderId="2" xfId="0" applyFont="1" applyFill="1" applyBorder="1" applyAlignment="1" applyProtection="1">
      <alignment vertical="center"/>
      <protection hidden="1"/>
    </xf>
    <xf numFmtId="8" fontId="86" fillId="4" borderId="2" xfId="0" applyNumberFormat="1" applyFont="1" applyFill="1" applyBorder="1" applyAlignment="1" applyProtection="1">
      <alignment vertical="center"/>
      <protection hidden="1"/>
    </xf>
    <xf numFmtId="0" fontId="86" fillId="0" borderId="12" xfId="0" applyFont="1" applyBorder="1" applyAlignment="1">
      <alignment vertical="center"/>
    </xf>
    <xf numFmtId="8" fontId="86" fillId="0" borderId="12" xfId="0" applyNumberFormat="1" applyFont="1" applyBorder="1" applyAlignment="1">
      <alignment vertical="center"/>
    </xf>
    <xf numFmtId="9" fontId="0" fillId="0" borderId="0" xfId="3" applyFont="1" applyFill="1" applyBorder="1"/>
    <xf numFmtId="10" fontId="0" fillId="0" borderId="0" xfId="3" applyNumberFormat="1" applyFont="1" applyFill="1" applyBorder="1"/>
    <xf numFmtId="10" fontId="0" fillId="0" borderId="0" xfId="3" applyNumberFormat="1" applyFont="1" applyAlignment="1">
      <alignment horizontal="center" vertical="center"/>
    </xf>
    <xf numFmtId="9" fontId="0" fillId="0" borderId="0" xfId="3" applyFont="1" applyFill="1" applyBorder="1" applyAlignment="1">
      <alignment horizontal="center"/>
    </xf>
    <xf numFmtId="9" fontId="114" fillId="4" borderId="0" xfId="3" quotePrefix="1" applyFont="1" applyFill="1" applyBorder="1" applyAlignment="1" applyProtection="1">
      <alignment horizontal="center" vertical="center" wrapText="1"/>
      <protection hidden="1"/>
    </xf>
    <xf numFmtId="9" fontId="114" fillId="4" borderId="0" xfId="3" applyFont="1" applyFill="1" applyBorder="1" applyAlignment="1" applyProtection="1">
      <alignment horizontal="center" vertical="center"/>
      <protection hidden="1"/>
    </xf>
    <xf numFmtId="0" fontId="91" fillId="4" borderId="0" xfId="0" applyFont="1" applyFill="1" applyProtection="1">
      <protection hidden="1"/>
    </xf>
    <xf numFmtId="14" fontId="0" fillId="0" borderId="2" xfId="0" applyNumberFormat="1" applyBorder="1" applyProtection="1">
      <protection locked="0"/>
    </xf>
    <xf numFmtId="0" fontId="86" fillId="4" borderId="24" xfId="0" applyFont="1" applyFill="1" applyBorder="1" applyAlignment="1">
      <alignment vertical="center"/>
    </xf>
    <xf numFmtId="14" fontId="0" fillId="0" borderId="6" xfId="0" applyNumberFormat="1" applyBorder="1" applyAlignment="1" applyProtection="1">
      <alignment horizontal="center" vertical="center"/>
      <protection locked="0"/>
    </xf>
    <xf numFmtId="8" fontId="149" fillId="0" borderId="2" xfId="0" applyNumberFormat="1" applyFont="1" applyBorder="1" applyAlignment="1" applyProtection="1">
      <alignment vertical="center"/>
      <protection locked="0"/>
    </xf>
    <xf numFmtId="0" fontId="149" fillId="4" borderId="0" xfId="0" applyFont="1" applyFill="1" applyAlignment="1">
      <alignment vertical="center"/>
    </xf>
    <xf numFmtId="0" fontId="149" fillId="0" borderId="0" xfId="0" applyFont="1" applyAlignment="1">
      <alignment vertical="center"/>
    </xf>
    <xf numFmtId="0" fontId="149" fillId="0" borderId="0" xfId="0" applyFont="1" applyAlignment="1">
      <alignment horizontal="center" vertical="center"/>
    </xf>
    <xf numFmtId="10" fontId="91" fillId="0" borderId="2" xfId="3" quotePrefix="1" applyNumberFormat="1" applyFont="1" applyFill="1" applyBorder="1" applyAlignment="1" applyProtection="1">
      <alignment horizontal="center" vertical="center"/>
      <protection locked="0"/>
    </xf>
    <xf numFmtId="10" fontId="0" fillId="4" borderId="2" xfId="3" applyNumberFormat="1" applyFont="1" applyFill="1" applyBorder="1"/>
    <xf numFmtId="9" fontId="0" fillId="0" borderId="2" xfId="3" applyFont="1" applyBorder="1" applyAlignment="1">
      <alignment horizontal="center" vertical="center"/>
    </xf>
    <xf numFmtId="14" fontId="124" fillId="0" borderId="5" xfId="0" applyNumberFormat="1" applyFont="1" applyBorder="1" applyAlignment="1">
      <alignment horizontal="center" vertical="center" wrapText="1"/>
    </xf>
    <xf numFmtId="0" fontId="151" fillId="4" borderId="15" xfId="2" applyNumberFormat="1" applyFont="1" applyFill="1" applyBorder="1" applyAlignment="1" applyProtection="1">
      <alignment horizontal="left" vertical="center"/>
    </xf>
    <xf numFmtId="0" fontId="0" fillId="4" borderId="19" xfId="0" applyFill="1" applyBorder="1" applyAlignment="1">
      <alignment vertical="center"/>
    </xf>
    <xf numFmtId="0" fontId="0" fillId="4" borderId="20" xfId="0" applyFill="1" applyBorder="1" applyAlignment="1">
      <alignment vertical="center"/>
    </xf>
    <xf numFmtId="175" fontId="0" fillId="4" borderId="0" xfId="3" applyNumberFormat="1" applyFont="1" applyFill="1" applyBorder="1" applyAlignment="1" applyProtection="1">
      <alignment vertical="center"/>
    </xf>
    <xf numFmtId="10" fontId="86" fillId="4" borderId="0" xfId="3" applyNumberFormat="1" applyFont="1" applyFill="1" applyBorder="1" applyAlignment="1" applyProtection="1">
      <alignment horizontal="center" vertical="center"/>
    </xf>
    <xf numFmtId="0" fontId="0" fillId="4" borderId="15" xfId="0" applyFill="1" applyBorder="1" applyAlignment="1">
      <alignment vertical="center"/>
    </xf>
    <xf numFmtId="14" fontId="75" fillId="0" borderId="2" xfId="0" applyNumberFormat="1" applyFont="1" applyBorder="1" applyAlignment="1" applyProtection="1">
      <alignment horizontal="center" vertical="center"/>
      <protection locked="0" hidden="1"/>
    </xf>
    <xf numFmtId="0" fontId="114" fillId="4" borderId="103" xfId="0" applyFont="1" applyFill="1" applyBorder="1" applyAlignment="1">
      <alignment vertical="center"/>
    </xf>
    <xf numFmtId="8" fontId="75" fillId="4" borderId="2" xfId="0" applyNumberFormat="1" applyFont="1" applyFill="1" applyBorder="1" applyAlignment="1">
      <alignment horizontal="center" vertical="center"/>
    </xf>
    <xf numFmtId="0" fontId="75" fillId="0" borderId="2" xfId="0" applyFont="1" applyBorder="1" applyAlignment="1" applyProtection="1">
      <alignment horizontal="center" vertical="center"/>
      <protection locked="0" hidden="1"/>
    </xf>
    <xf numFmtId="0" fontId="114" fillId="4" borderId="3" xfId="0" applyFont="1" applyFill="1" applyBorder="1" applyAlignment="1">
      <alignment horizontal="center" vertical="center"/>
    </xf>
    <xf numFmtId="8" fontId="88" fillId="6" borderId="41" xfId="0" applyNumberFormat="1" applyFont="1" applyFill="1" applyBorder="1" applyAlignment="1" applyProtection="1">
      <alignment horizontal="center" vertical="center"/>
      <protection locked="0"/>
    </xf>
    <xf numFmtId="0" fontId="92" fillId="4" borderId="27" xfId="0" applyFont="1" applyFill="1" applyBorder="1" applyAlignment="1">
      <alignment horizontal="center" vertical="center"/>
    </xf>
    <xf numFmtId="14" fontId="88" fillId="6" borderId="2" xfId="0" applyNumberFormat="1" applyFont="1" applyFill="1" applyBorder="1" applyAlignment="1" applyProtection="1">
      <alignment horizontal="center" vertical="center"/>
      <protection locked="0"/>
    </xf>
    <xf numFmtId="10" fontId="62" fillId="4" borderId="2" xfId="3" applyNumberFormat="1" applyFill="1" applyBorder="1" applyAlignment="1">
      <alignment horizontal="center" vertical="center"/>
    </xf>
    <xf numFmtId="10" fontId="88" fillId="6" borderId="2" xfId="0" applyNumberFormat="1" applyFont="1" applyFill="1" applyBorder="1" applyAlignment="1" applyProtection="1">
      <alignment horizontal="center" vertical="center"/>
      <protection locked="0"/>
    </xf>
    <xf numFmtId="0" fontId="91" fillId="0" borderId="0" xfId="0" applyFont="1" applyAlignment="1">
      <alignment vertical="center" wrapText="1"/>
    </xf>
    <xf numFmtId="0" fontId="154" fillId="0" borderId="3" xfId="0" applyFont="1" applyBorder="1" applyAlignment="1">
      <alignment horizontal="center" vertical="center" wrapText="1"/>
    </xf>
    <xf numFmtId="0" fontId="35" fillId="0" borderId="0" xfId="0" applyFont="1" applyProtection="1">
      <protection locked="0"/>
    </xf>
    <xf numFmtId="10" fontId="0" fillId="0" borderId="2" xfId="3" applyNumberFormat="1" applyFont="1" applyBorder="1" applyProtection="1">
      <protection locked="0"/>
    </xf>
    <xf numFmtId="10" fontId="0" fillId="8" borderId="2" xfId="3" applyNumberFormat="1" applyFont="1" applyFill="1" applyBorder="1" applyProtection="1">
      <protection locked="0"/>
    </xf>
    <xf numFmtId="0" fontId="91" fillId="4" borderId="23" xfId="0" applyFont="1" applyFill="1" applyBorder="1" applyAlignment="1">
      <alignment vertical="center" wrapText="1"/>
    </xf>
    <xf numFmtId="0" fontId="92" fillId="4" borderId="41" xfId="0" applyFont="1" applyFill="1" applyBorder="1" applyAlignment="1">
      <alignment horizontal="right" vertical="center"/>
    </xf>
    <xf numFmtId="0" fontId="92" fillId="4" borderId="27" xfId="0" applyFont="1" applyFill="1" applyBorder="1" applyAlignment="1">
      <alignment horizontal="right" vertical="center"/>
    </xf>
    <xf numFmtId="0" fontId="103" fillId="4" borderId="19" xfId="0" applyFont="1" applyFill="1" applyBorder="1" applyAlignment="1">
      <alignment vertical="center"/>
    </xf>
    <xf numFmtId="0" fontId="91" fillId="4" borderId="44" xfId="0" applyFont="1" applyFill="1" applyBorder="1" applyAlignment="1">
      <alignment vertical="center" wrapText="1"/>
    </xf>
    <xf numFmtId="6" fontId="88" fillId="4" borderId="2" xfId="0" applyNumberFormat="1" applyFont="1" applyFill="1" applyBorder="1" applyAlignment="1" applyProtection="1">
      <alignment horizontal="left" vertical="center" wrapText="1"/>
      <protection hidden="1"/>
    </xf>
    <xf numFmtId="10" fontId="88" fillId="4" borderId="21" xfId="3" applyNumberFormat="1" applyFont="1" applyFill="1" applyBorder="1" applyAlignment="1">
      <alignment horizontal="center" vertical="center" wrapText="1"/>
    </xf>
    <xf numFmtId="10" fontId="88" fillId="4" borderId="22" xfId="3" applyNumberFormat="1" applyFont="1" applyFill="1" applyBorder="1" applyAlignment="1">
      <alignment horizontal="center" vertical="center" wrapText="1"/>
    </xf>
    <xf numFmtId="184" fontId="0" fillId="0" borderId="3" xfId="0" applyNumberFormat="1" applyBorder="1" applyAlignment="1" applyProtection="1">
      <alignment horizontal="center" vertical="center" wrapText="1"/>
      <protection locked="0"/>
    </xf>
    <xf numFmtId="184" fontId="75" fillId="0" borderId="6" xfId="0" applyNumberFormat="1" applyFont="1" applyBorder="1" applyAlignment="1" applyProtection="1">
      <alignment horizontal="center" vertical="center" wrapText="1"/>
      <protection locked="0"/>
    </xf>
    <xf numFmtId="184" fontId="75" fillId="0" borderId="7" xfId="0" applyNumberFormat="1" applyFont="1" applyBorder="1" applyAlignment="1" applyProtection="1">
      <alignment horizontal="center" vertical="center" wrapText="1"/>
      <protection locked="0"/>
    </xf>
    <xf numFmtId="0" fontId="140" fillId="0" borderId="41" xfId="0" applyFont="1" applyBorder="1" applyAlignment="1" applyProtection="1">
      <alignment horizontal="center" vertical="center" wrapText="1"/>
      <protection locked="0"/>
    </xf>
    <xf numFmtId="0" fontId="140" fillId="0" borderId="144" xfId="0" applyFont="1" applyBorder="1" applyAlignment="1" applyProtection="1">
      <alignment horizontal="center" vertical="center" wrapText="1"/>
      <protection locked="0"/>
    </xf>
    <xf numFmtId="0" fontId="86" fillId="0" borderId="0" xfId="0" applyFont="1" applyAlignment="1" applyProtection="1">
      <alignment horizontal="center" vertical="center"/>
      <protection locked="0"/>
    </xf>
    <xf numFmtId="8" fontId="75" fillId="4" borderId="0" xfId="0" applyNumberFormat="1" applyFont="1" applyFill="1" applyAlignment="1" applyProtection="1">
      <alignment horizontal="center" vertical="center" wrapText="1"/>
      <protection hidden="1"/>
    </xf>
    <xf numFmtId="0" fontId="41" fillId="4" borderId="4" xfId="0" applyFont="1" applyFill="1" applyBorder="1" applyAlignment="1" applyProtection="1">
      <alignment horizontal="left" vertical="center" wrapText="1"/>
      <protection hidden="1"/>
    </xf>
    <xf numFmtId="6" fontId="0" fillId="4" borderId="129" xfId="0" applyNumberFormat="1" applyFill="1" applyBorder="1" applyAlignment="1">
      <alignment horizontal="center" vertical="center"/>
    </xf>
    <xf numFmtId="8" fontId="88" fillId="4" borderId="135" xfId="0" applyNumberFormat="1" applyFont="1" applyFill="1" applyBorder="1" applyAlignment="1" applyProtection="1">
      <alignment horizontal="center" vertical="center" wrapText="1"/>
      <protection hidden="1"/>
    </xf>
    <xf numFmtId="8" fontId="0" fillId="4" borderId="112" xfId="0" applyNumberFormat="1" applyFill="1" applyBorder="1" applyAlignment="1">
      <alignment vertical="center"/>
    </xf>
    <xf numFmtId="8" fontId="91" fillId="4" borderId="3" xfId="0" applyNumberFormat="1" applyFont="1" applyFill="1" applyBorder="1"/>
    <xf numFmtId="0" fontId="91" fillId="0" borderId="2" xfId="0" applyFont="1" applyBorder="1" applyAlignment="1">
      <alignment horizontal="left" vertical="center" wrapText="1"/>
    </xf>
    <xf numFmtId="0" fontId="88" fillId="0" borderId="2" xfId="0" applyFont="1" applyBorder="1" applyAlignment="1">
      <alignment horizontal="left" vertical="center" wrapText="1"/>
    </xf>
    <xf numFmtId="0" fontId="88" fillId="0" borderId="2" xfId="0" applyFont="1" applyBorder="1" applyAlignment="1">
      <alignment horizontal="center" vertical="center" wrapText="1"/>
    </xf>
    <xf numFmtId="0" fontId="126" fillId="0" borderId="2" xfId="0" applyFont="1" applyBorder="1" applyAlignment="1">
      <alignment horizontal="center" vertical="center" wrapText="1"/>
    </xf>
    <xf numFmtId="10" fontId="0" fillId="0" borderId="2" xfId="3" applyNumberFormat="1" applyFont="1" applyBorder="1" applyAlignment="1">
      <alignment horizontal="center" vertical="center"/>
    </xf>
    <xf numFmtId="0" fontId="0" fillId="4" borderId="23" xfId="0" applyFill="1" applyBorder="1"/>
    <xf numFmtId="0" fontId="0" fillId="0" borderId="12" xfId="0" applyBorder="1"/>
    <xf numFmtId="0" fontId="0" fillId="0" borderId="15" xfId="0" applyBorder="1"/>
    <xf numFmtId="0" fontId="0" fillId="0" borderId="0" xfId="0" applyAlignment="1" applyProtection="1">
      <alignment horizontal="left" vertical="center" wrapText="1"/>
      <protection hidden="1"/>
    </xf>
    <xf numFmtId="10" fontId="62" fillId="0" borderId="0" xfId="3" applyNumberFormat="1" applyFill="1" applyAlignment="1">
      <alignment horizontal="center"/>
    </xf>
    <xf numFmtId="2" fontId="0" fillId="0" borderId="0" xfId="0" applyNumberFormat="1" applyAlignment="1">
      <alignment vertical="center"/>
    </xf>
    <xf numFmtId="0" fontId="49" fillId="0" borderId="0" xfId="2" applyNumberFormat="1" applyBorder="1" applyAlignment="1" applyProtection="1"/>
    <xf numFmtId="171" fontId="109" fillId="0" borderId="0" xfId="0" applyNumberFormat="1" applyFont="1" applyAlignment="1">
      <alignment vertical="center"/>
    </xf>
    <xf numFmtId="0" fontId="91" fillId="11" borderId="19" xfId="0" applyFont="1" applyFill="1" applyBorder="1" applyProtection="1">
      <protection hidden="1"/>
    </xf>
    <xf numFmtId="0" fontId="91" fillId="11" borderId="0" xfId="0" applyFont="1" applyFill="1" applyProtection="1">
      <protection hidden="1"/>
    </xf>
    <xf numFmtId="0" fontId="91" fillId="11" borderId="15" xfId="0" applyFont="1" applyFill="1" applyBorder="1" applyProtection="1">
      <protection hidden="1"/>
    </xf>
    <xf numFmtId="8" fontId="66" fillId="0" borderId="3" xfId="0" applyNumberFormat="1" applyFont="1" applyBorder="1" applyAlignment="1" applyProtection="1">
      <alignment horizontal="center"/>
      <protection hidden="1"/>
    </xf>
    <xf numFmtId="0" fontId="92" fillId="4" borderId="2" xfId="0" applyFont="1" applyFill="1" applyBorder="1" applyAlignment="1" applyProtection="1">
      <alignment horizontal="left" vertical="center" wrapText="1"/>
      <protection locked="0"/>
    </xf>
    <xf numFmtId="0" fontId="92" fillId="4" borderId="2" xfId="0" applyFont="1" applyFill="1" applyBorder="1" applyAlignment="1" applyProtection="1">
      <alignment horizontal="center" vertical="center" wrapText="1"/>
      <protection locked="0"/>
    </xf>
    <xf numFmtId="0" fontId="126" fillId="4" borderId="2" xfId="0" applyFont="1" applyFill="1" applyBorder="1" applyAlignment="1" applyProtection="1">
      <alignment horizontal="center" vertical="center" wrapText="1"/>
      <protection locked="0"/>
    </xf>
    <xf numFmtId="0" fontId="107" fillId="4" borderId="2" xfId="0" applyFont="1" applyFill="1" applyBorder="1" applyAlignment="1" applyProtection="1">
      <alignment horizontal="left" vertical="center" wrapText="1"/>
      <protection locked="0"/>
    </xf>
    <xf numFmtId="16" fontId="88" fillId="0" borderId="2" xfId="0" applyNumberFormat="1" applyFont="1" applyBorder="1" applyAlignment="1">
      <alignment horizontal="center" vertical="center" wrapText="1"/>
    </xf>
    <xf numFmtId="0" fontId="0" fillId="4" borderId="19" xfId="0" applyFill="1" applyBorder="1" applyAlignment="1" applyProtection="1">
      <alignment horizontal="center" vertical="center" wrapText="1"/>
      <protection hidden="1"/>
    </xf>
    <xf numFmtId="2" fontId="0" fillId="17" borderId="68" xfId="0" applyNumberFormat="1" applyFill="1" applyBorder="1" applyAlignment="1">
      <alignment horizontal="center"/>
    </xf>
    <xf numFmtId="2" fontId="0" fillId="0" borderId="68" xfId="0" applyNumberFormat="1" applyBorder="1" applyAlignment="1">
      <alignment horizontal="center"/>
    </xf>
    <xf numFmtId="10" fontId="124" fillId="0" borderId="3" xfId="3" applyNumberFormat="1" applyFont="1" applyBorder="1" applyAlignment="1">
      <alignment horizontal="center" vertical="center" wrapText="1"/>
    </xf>
    <xf numFmtId="10" fontId="124" fillId="0" borderId="7" xfId="3" applyNumberFormat="1" applyFont="1" applyBorder="1" applyAlignment="1">
      <alignment horizontal="center" vertical="center" wrapText="1"/>
    </xf>
    <xf numFmtId="14" fontId="0" fillId="4" borderId="4" xfId="0" applyNumberFormat="1" applyFill="1" applyBorder="1" applyAlignment="1">
      <alignment horizontal="center" vertical="center"/>
    </xf>
    <xf numFmtId="14" fontId="0" fillId="4" borderId="27" xfId="0" applyNumberFormat="1" applyFill="1" applyBorder="1" applyAlignment="1">
      <alignment horizontal="center" vertical="center"/>
    </xf>
    <xf numFmtId="0" fontId="0" fillId="0" borderId="0" xfId="0" applyAlignment="1" applyProtection="1">
      <alignment vertical="center" wrapText="1"/>
      <protection hidden="1"/>
    </xf>
    <xf numFmtId="0" fontId="41" fillId="4" borderId="26" xfId="0" applyFont="1" applyFill="1" applyBorder="1" applyAlignment="1" applyProtection="1">
      <alignment horizontal="left" vertical="center" wrapText="1"/>
      <protection hidden="1"/>
    </xf>
    <xf numFmtId="9" fontId="86" fillId="0" borderId="27" xfId="0" applyNumberFormat="1" applyFont="1" applyBorder="1" applyAlignment="1" applyProtection="1">
      <alignment horizontal="center" vertical="center"/>
      <protection locked="0"/>
    </xf>
    <xf numFmtId="0" fontId="76" fillId="0" borderId="0" xfId="0" applyFont="1" applyAlignment="1">
      <alignment horizontal="center"/>
    </xf>
    <xf numFmtId="4" fontId="76" fillId="0" borderId="0" xfId="0" applyNumberFormat="1" applyFont="1" applyAlignment="1">
      <alignment horizontal="center"/>
    </xf>
    <xf numFmtId="14" fontId="76" fillId="0" borderId="0" xfId="0" applyNumberFormat="1" applyFont="1" applyAlignment="1">
      <alignment horizontal="center"/>
    </xf>
    <xf numFmtId="14" fontId="0" fillId="0" borderId="0" xfId="0" applyNumberFormat="1" applyAlignment="1" applyProtection="1">
      <alignment horizontal="center"/>
      <protection locked="0"/>
    </xf>
    <xf numFmtId="4" fontId="0" fillId="0" borderId="0" xfId="0" applyNumberFormat="1" applyAlignment="1">
      <alignment horizontal="center"/>
    </xf>
    <xf numFmtId="177" fontId="0" fillId="0" borderId="0" xfId="0" applyNumberFormat="1" applyAlignment="1">
      <alignment horizontal="center"/>
    </xf>
    <xf numFmtId="0" fontId="77" fillId="0" borderId="0" xfId="0" applyFont="1" applyAlignment="1">
      <alignment vertical="center"/>
    </xf>
    <xf numFmtId="0" fontId="77" fillId="0" borderId="0" xfId="0" applyFont="1" applyAlignment="1">
      <alignment horizontal="center" vertical="center"/>
    </xf>
    <xf numFmtId="4" fontId="76" fillId="0" borderId="0" xfId="0" applyNumberFormat="1" applyFont="1" applyAlignment="1">
      <alignment vertical="center"/>
    </xf>
    <xf numFmtId="177" fontId="76" fillId="0" borderId="0" xfId="0" applyNumberFormat="1" applyFont="1" applyAlignment="1">
      <alignment horizontal="center" vertical="center"/>
    </xf>
    <xf numFmtId="0" fontId="44" fillId="0" borderId="0" xfId="0" applyFont="1"/>
    <xf numFmtId="165" fontId="85" fillId="0" borderId="0" xfId="8" applyFont="1" applyFill="1"/>
    <xf numFmtId="0" fontId="94" fillId="0" borderId="0" xfId="0" applyFont="1" applyAlignment="1">
      <alignment horizontal="center"/>
    </xf>
    <xf numFmtId="4" fontId="94" fillId="0" borderId="0" xfId="0" applyNumberFormat="1" applyFont="1"/>
    <xf numFmtId="0" fontId="94" fillId="0" borderId="0" xfId="0" applyFont="1"/>
    <xf numFmtId="0" fontId="0" fillId="0" borderId="23" xfId="0" applyBorder="1"/>
    <xf numFmtId="0" fontId="44" fillId="0" borderId="23" xfId="0" applyFont="1" applyBorder="1"/>
    <xf numFmtId="2" fontId="0" fillId="4" borderId="0" xfId="0" applyNumberFormat="1" applyFill="1"/>
    <xf numFmtId="0" fontId="53" fillId="4" borderId="0" xfId="0" applyFont="1" applyFill="1" applyAlignment="1" applyProtection="1">
      <alignment vertical="center"/>
      <protection hidden="1"/>
    </xf>
    <xf numFmtId="0" fontId="86" fillId="4" borderId="15" xfId="0" applyFont="1" applyFill="1" applyBorder="1" applyAlignment="1" applyProtection="1">
      <alignment horizontal="center" vertical="center" wrapText="1"/>
      <protection hidden="1"/>
    </xf>
    <xf numFmtId="4" fontId="0" fillId="4" borderId="2" xfId="0" applyNumberFormat="1" applyFill="1" applyBorder="1" applyAlignment="1" applyProtection="1">
      <alignment horizontal="center" vertical="center"/>
      <protection hidden="1"/>
    </xf>
    <xf numFmtId="4" fontId="0" fillId="4" borderId="3" xfId="0" applyNumberFormat="1" applyFill="1" applyBorder="1" applyAlignment="1" applyProtection="1">
      <alignment horizontal="center" vertical="center"/>
      <protection hidden="1"/>
    </xf>
    <xf numFmtId="0" fontId="0" fillId="4" borderId="56" xfId="0" applyFill="1" applyBorder="1" applyAlignment="1">
      <alignment vertical="center" wrapText="1"/>
    </xf>
    <xf numFmtId="8" fontId="0" fillId="4" borderId="55" xfId="0" applyNumberFormat="1" applyFill="1" applyBorder="1" applyAlignment="1">
      <alignment horizontal="center" vertical="center" wrapText="1"/>
    </xf>
    <xf numFmtId="0" fontId="86" fillId="4" borderId="0" xfId="0" applyFont="1" applyFill="1" applyAlignment="1" applyProtection="1">
      <alignment horizontal="center" vertical="center" wrapText="1"/>
      <protection hidden="1"/>
    </xf>
    <xf numFmtId="1" fontId="0" fillId="17" borderId="4" xfId="0" applyNumberFormat="1" applyFill="1" applyBorder="1" applyAlignment="1">
      <alignment horizontal="center"/>
    </xf>
    <xf numFmtId="8" fontId="0" fillId="17" borderId="3" xfId="0" applyNumberFormat="1" applyFill="1" applyBorder="1" applyAlignment="1">
      <alignment horizontal="center"/>
    </xf>
    <xf numFmtId="1" fontId="0" fillId="0" borderId="4" xfId="0" applyNumberFormat="1" applyBorder="1" applyAlignment="1">
      <alignment horizontal="center"/>
    </xf>
    <xf numFmtId="8" fontId="0" fillId="0" borderId="3" xfId="0" applyNumberFormat="1" applyBorder="1" applyAlignment="1">
      <alignment horizontal="center"/>
    </xf>
    <xf numFmtId="1" fontId="0" fillId="0" borderId="5" xfId="0" applyNumberFormat="1" applyBorder="1" applyAlignment="1">
      <alignment horizontal="center"/>
    </xf>
    <xf numFmtId="8" fontId="0" fillId="4" borderId="9" xfId="0" applyNumberFormat="1" applyFill="1" applyBorder="1" applyAlignment="1">
      <alignment vertical="center"/>
    </xf>
    <xf numFmtId="6" fontId="0" fillId="4" borderId="0" xfId="0" applyNumberFormat="1" applyFill="1" applyAlignment="1">
      <alignment vertical="center" wrapText="1"/>
    </xf>
    <xf numFmtId="6" fontId="0" fillId="4" borderId="0" xfId="0" applyNumberFormat="1" applyFill="1"/>
    <xf numFmtId="0" fontId="0" fillId="4" borderId="145" xfId="0" applyFill="1" applyBorder="1"/>
    <xf numFmtId="8" fontId="0" fillId="4" borderId="148" xfId="0" applyNumberFormat="1" applyFill="1" applyBorder="1" applyAlignment="1">
      <alignment vertical="center"/>
    </xf>
    <xf numFmtId="0" fontId="138" fillId="0" borderId="0" xfId="0" applyFont="1" applyAlignment="1">
      <alignment horizontal="right" wrapText="1"/>
    </xf>
    <xf numFmtId="0" fontId="138" fillId="8" borderId="0" xfId="0" applyFont="1" applyFill="1" applyAlignment="1">
      <alignment horizontal="right" wrapText="1"/>
    </xf>
    <xf numFmtId="17" fontId="0" fillId="0" borderId="0" xfId="0" applyNumberFormat="1"/>
    <xf numFmtId="3" fontId="0" fillId="0" borderId="0" xfId="0" applyNumberFormat="1"/>
    <xf numFmtId="3" fontId="0" fillId="4" borderId="0" xfId="0" applyNumberFormat="1" applyFill="1"/>
    <xf numFmtId="0" fontId="0" fillId="4" borderId="77" xfId="0" applyFill="1" applyBorder="1" applyAlignment="1" applyProtection="1">
      <alignment horizontal="left" vertical="center"/>
      <protection hidden="1"/>
    </xf>
    <xf numFmtId="0" fontId="86" fillId="4" borderId="77" xfId="0" applyFont="1" applyFill="1" applyBorder="1" applyAlignment="1" applyProtection="1">
      <alignment horizontal="left" vertical="center"/>
      <protection hidden="1"/>
    </xf>
    <xf numFmtId="0" fontId="86" fillId="4" borderId="63" xfId="0" applyFont="1" applyFill="1" applyBorder="1" applyAlignment="1" applyProtection="1">
      <alignment horizontal="left" vertical="center"/>
      <protection hidden="1"/>
    </xf>
    <xf numFmtId="0" fontId="86" fillId="4" borderId="64" xfId="0" applyFont="1" applyFill="1" applyBorder="1" applyAlignment="1" applyProtection="1">
      <alignment horizontal="left" vertical="center"/>
      <protection hidden="1"/>
    </xf>
    <xf numFmtId="0" fontId="0" fillId="4" borderId="68" xfId="0" applyFill="1" applyBorder="1" applyAlignment="1" applyProtection="1">
      <alignment vertical="center"/>
      <protection hidden="1"/>
    </xf>
    <xf numFmtId="0" fontId="91" fillId="4" borderId="77" xfId="0" applyFont="1" applyFill="1" applyBorder="1" applyAlignment="1" applyProtection="1">
      <alignment horizontal="center" vertical="center"/>
      <protection hidden="1"/>
    </xf>
    <xf numFmtId="0" fontId="86" fillId="4" borderId="68" xfId="0" applyFont="1" applyFill="1" applyBorder="1" applyAlignment="1" applyProtection="1">
      <alignment vertical="center"/>
      <protection hidden="1"/>
    </xf>
    <xf numFmtId="9" fontId="92" fillId="4" borderId="102" xfId="3" applyFont="1" applyFill="1" applyBorder="1" applyAlignment="1" applyProtection="1">
      <alignment horizontal="center" vertical="center" wrapText="1"/>
      <protection hidden="1"/>
    </xf>
    <xf numFmtId="14" fontId="0" fillId="4" borderId="100" xfId="0" applyNumberFormat="1" applyFill="1" applyBorder="1" applyAlignment="1" applyProtection="1">
      <alignment horizontal="center" vertical="center"/>
      <protection hidden="1"/>
    </xf>
    <xf numFmtId="2" fontId="0" fillId="4" borderId="100" xfId="0" applyNumberFormat="1" applyFill="1" applyBorder="1" applyAlignment="1" applyProtection="1">
      <alignment horizontal="center" vertical="center"/>
      <protection hidden="1"/>
    </xf>
    <xf numFmtId="2" fontId="0" fillId="4" borderId="100" xfId="0" applyNumberFormat="1" applyFill="1" applyBorder="1" applyAlignment="1" applyProtection="1">
      <alignment horizontal="center" vertical="center" wrapText="1"/>
      <protection hidden="1"/>
    </xf>
    <xf numFmtId="8" fontId="86" fillId="4" borderId="102" xfId="0" applyNumberFormat="1" applyFont="1" applyFill="1" applyBorder="1" applyAlignment="1" applyProtection="1">
      <alignment horizontal="center" vertical="center"/>
      <protection hidden="1"/>
    </xf>
    <xf numFmtId="10" fontId="0" fillId="4" borderId="100" xfId="3" applyNumberFormat="1" applyFont="1" applyFill="1" applyBorder="1" applyAlignment="1" applyProtection="1">
      <alignment horizontal="center" vertical="center"/>
      <protection hidden="1"/>
    </xf>
    <xf numFmtId="8" fontId="0" fillId="4" borderId="100" xfId="0" applyNumberFormat="1" applyFill="1" applyBorder="1" applyAlignment="1" applyProtection="1">
      <alignment horizontal="center" vertical="center" wrapText="1"/>
      <protection hidden="1"/>
    </xf>
    <xf numFmtId="6" fontId="0" fillId="4" borderId="100" xfId="0" applyNumberFormat="1" applyFill="1" applyBorder="1" applyAlignment="1" applyProtection="1">
      <alignment horizontal="center" vertical="center" wrapText="1"/>
      <protection hidden="1"/>
    </xf>
    <xf numFmtId="10" fontId="85" fillId="4" borderId="100" xfId="3" applyNumberFormat="1" applyFont="1" applyFill="1" applyBorder="1" applyAlignment="1" applyProtection="1">
      <alignment horizontal="center" vertical="center" wrapText="1"/>
      <protection hidden="1"/>
    </xf>
    <xf numFmtId="6" fontId="86" fillId="4" borderId="104" xfId="0" applyNumberFormat="1" applyFont="1" applyFill="1" applyBorder="1" applyAlignment="1" applyProtection="1">
      <alignment horizontal="center" vertical="center" wrapText="1"/>
      <protection hidden="1"/>
    </xf>
    <xf numFmtId="10" fontId="85" fillId="4" borderId="29" xfId="3" applyNumberFormat="1" applyFont="1" applyFill="1" applyBorder="1" applyAlignment="1" applyProtection="1">
      <alignment horizontal="center" vertical="center"/>
      <protection hidden="1"/>
    </xf>
    <xf numFmtId="6" fontId="75" fillId="4" borderId="100" xfId="0" applyNumberFormat="1" applyFont="1" applyFill="1" applyBorder="1" applyAlignment="1" applyProtection="1">
      <alignment horizontal="center" vertical="center" wrapText="1"/>
      <protection hidden="1"/>
    </xf>
    <xf numFmtId="6" fontId="75" fillId="4" borderId="100" xfId="0" applyNumberFormat="1" applyFont="1" applyFill="1" applyBorder="1" applyAlignment="1" applyProtection="1">
      <alignment horizontal="center" vertical="center"/>
      <protection hidden="1"/>
    </xf>
    <xf numFmtId="6" fontId="75" fillId="4" borderId="68" xfId="0" applyNumberFormat="1" applyFont="1" applyFill="1" applyBorder="1" applyAlignment="1" applyProtection="1">
      <alignment horizontal="center" vertical="center"/>
      <protection hidden="1"/>
    </xf>
    <xf numFmtId="6" fontId="86" fillId="4" borderId="105" xfId="0" applyNumberFormat="1" applyFont="1" applyFill="1" applyBorder="1" applyAlignment="1" applyProtection="1">
      <alignment horizontal="center" vertical="center" wrapText="1"/>
      <protection hidden="1"/>
    </xf>
    <xf numFmtId="6" fontId="86" fillId="4" borderId="118" xfId="0" applyNumberFormat="1" applyFont="1" applyFill="1" applyBorder="1" applyAlignment="1" applyProtection="1">
      <alignment horizontal="center" vertical="center" wrapText="1"/>
      <protection hidden="1"/>
    </xf>
    <xf numFmtId="9" fontId="141" fillId="4" borderId="18" xfId="0" applyNumberFormat="1" applyFont="1" applyFill="1" applyBorder="1" applyAlignment="1" applyProtection="1">
      <alignment horizontal="center" vertical="center"/>
      <protection hidden="1"/>
    </xf>
    <xf numFmtId="0" fontId="49" fillId="4" borderId="102" xfId="2" applyNumberFormat="1" applyFill="1" applyBorder="1" applyAlignment="1" applyProtection="1">
      <alignment horizontal="center" vertical="center" wrapText="1"/>
      <protection hidden="1"/>
    </xf>
    <xf numFmtId="6" fontId="86" fillId="4" borderId="100" xfId="0" applyNumberFormat="1" applyFont="1" applyFill="1" applyBorder="1" applyAlignment="1" applyProtection="1">
      <alignment horizontal="center" vertical="center"/>
      <protection hidden="1"/>
    </xf>
    <xf numFmtId="8" fontId="90" fillId="4" borderId="100" xfId="0" applyNumberFormat="1" applyFont="1" applyFill="1" applyBorder="1" applyAlignment="1" applyProtection="1">
      <alignment horizontal="center" vertical="center" wrapText="1"/>
      <protection hidden="1"/>
    </xf>
    <xf numFmtId="6" fontId="0" fillId="4" borderId="140" xfId="0" applyNumberFormat="1" applyFill="1" applyBorder="1" applyAlignment="1" applyProtection="1">
      <alignment horizontal="center" vertical="center" wrapText="1"/>
      <protection hidden="1"/>
    </xf>
    <xf numFmtId="10" fontId="86" fillId="4" borderId="140" xfId="3" applyNumberFormat="1" applyFont="1" applyFill="1" applyBorder="1" applyAlignment="1" applyProtection="1">
      <alignment horizontal="center" vertical="center" wrapText="1"/>
      <protection hidden="1"/>
    </xf>
    <xf numFmtId="6" fontId="86" fillId="4" borderId="140" xfId="0" applyNumberFormat="1" applyFont="1" applyFill="1" applyBorder="1" applyAlignment="1" applyProtection="1">
      <alignment horizontal="center" vertical="center"/>
      <protection hidden="1"/>
    </xf>
    <xf numFmtId="6" fontId="86" fillId="4" borderId="142" xfId="0" applyNumberFormat="1" applyFont="1" applyFill="1" applyBorder="1" applyAlignment="1" applyProtection="1">
      <alignment horizontal="center" vertical="center" wrapText="1"/>
      <protection hidden="1"/>
    </xf>
    <xf numFmtId="10" fontId="85" fillId="4" borderId="139" xfId="3" applyNumberFormat="1" applyFont="1" applyFill="1" applyBorder="1" applyAlignment="1" applyProtection="1">
      <alignment horizontal="center" vertical="center"/>
      <protection hidden="1"/>
    </xf>
    <xf numFmtId="8" fontId="90" fillId="4" borderId="68" xfId="0" applyNumberFormat="1" applyFont="1" applyFill="1" applyBorder="1" applyAlignment="1" applyProtection="1">
      <alignment horizontal="center" vertical="center" wrapText="1"/>
      <protection hidden="1"/>
    </xf>
    <xf numFmtId="2" fontId="114" fillId="4" borderId="134" xfId="0" applyNumberFormat="1" applyFont="1" applyFill="1" applyBorder="1" applyAlignment="1" applyProtection="1">
      <alignment horizontal="center" vertical="center"/>
      <protection hidden="1"/>
    </xf>
    <xf numFmtId="8" fontId="114" fillId="4" borderId="134" xfId="0" applyNumberFormat="1" applyFont="1" applyFill="1" applyBorder="1" applyAlignment="1" applyProtection="1">
      <alignment horizontal="center" vertical="center"/>
      <protection hidden="1"/>
    </xf>
    <xf numFmtId="10" fontId="114" fillId="4" borderId="134" xfId="3" applyNumberFormat="1" applyFont="1" applyFill="1" applyBorder="1" applyAlignment="1" applyProtection="1">
      <alignment horizontal="center" vertical="center"/>
      <protection hidden="1"/>
    </xf>
    <xf numFmtId="10" fontId="114" fillId="4" borderId="134" xfId="0" applyNumberFormat="1" applyFont="1" applyFill="1" applyBorder="1" applyAlignment="1" applyProtection="1">
      <alignment horizontal="center" vertical="center"/>
      <protection hidden="1"/>
    </xf>
    <xf numFmtId="6" fontId="114" fillId="4" borderId="134" xfId="0" applyNumberFormat="1" applyFont="1" applyFill="1" applyBorder="1" applyAlignment="1" applyProtection="1">
      <alignment horizontal="center" vertical="center" wrapText="1"/>
      <protection hidden="1"/>
    </xf>
    <xf numFmtId="9" fontId="114" fillId="4" borderId="134" xfId="0" applyNumberFormat="1" applyFont="1" applyFill="1" applyBorder="1" applyAlignment="1" applyProtection="1">
      <alignment horizontal="center" vertical="center"/>
      <protection hidden="1"/>
    </xf>
    <xf numFmtId="6" fontId="143" fillId="4" borderId="134" xfId="0" applyNumberFormat="1" applyFont="1" applyFill="1" applyBorder="1" applyAlignment="1" applyProtection="1">
      <alignment horizontal="center" vertical="center"/>
      <protection hidden="1"/>
    </xf>
    <xf numFmtId="6" fontId="114" fillId="4" borderId="136" xfId="0" applyNumberFormat="1" applyFont="1" applyFill="1" applyBorder="1" applyAlignment="1" applyProtection="1">
      <alignment horizontal="center" vertical="center"/>
      <protection hidden="1"/>
    </xf>
    <xf numFmtId="10" fontId="114" fillId="4" borderId="133" xfId="3" applyNumberFormat="1" applyFont="1" applyFill="1" applyBorder="1" applyAlignment="1" applyProtection="1">
      <alignment horizontal="center" vertical="center"/>
      <protection hidden="1"/>
    </xf>
    <xf numFmtId="166" fontId="127" fillId="4" borderId="134" xfId="0" applyNumberFormat="1" applyFont="1" applyFill="1" applyBorder="1" applyAlignment="1" applyProtection="1">
      <alignment horizontal="center" vertical="center" wrapText="1"/>
      <protection hidden="1"/>
    </xf>
    <xf numFmtId="0" fontId="101" fillId="4" borderId="2" xfId="0" applyFont="1" applyFill="1" applyBorder="1" applyAlignment="1" applyProtection="1">
      <alignment horizontal="center" vertical="center" wrapText="1"/>
      <protection hidden="1"/>
    </xf>
    <xf numFmtId="0" fontId="101" fillId="4" borderId="3" xfId="0" applyFont="1" applyFill="1" applyBorder="1" applyAlignment="1" applyProtection="1">
      <alignment horizontal="center" vertical="center"/>
      <protection hidden="1"/>
    </xf>
    <xf numFmtId="0" fontId="91" fillId="4" borderId="2" xfId="0" applyFont="1" applyFill="1" applyBorder="1" applyAlignment="1" applyProtection="1">
      <alignment horizontal="center" vertical="center"/>
      <protection hidden="1"/>
    </xf>
    <xf numFmtId="0" fontId="101" fillId="4" borderId="4" xfId="0" applyFont="1" applyFill="1" applyBorder="1" applyAlignment="1" applyProtection="1">
      <alignment vertical="center"/>
      <protection hidden="1"/>
    </xf>
    <xf numFmtId="0" fontId="0" fillId="4" borderId="4" xfId="0" applyFill="1" applyBorder="1" applyAlignment="1" applyProtection="1">
      <alignment vertical="center"/>
      <protection hidden="1"/>
    </xf>
    <xf numFmtId="0" fontId="0" fillId="4" borderId="4" xfId="0" applyFill="1" applyBorder="1" applyAlignment="1" applyProtection="1">
      <alignment vertical="center" wrapText="1"/>
      <protection hidden="1"/>
    </xf>
    <xf numFmtId="0" fontId="0" fillId="4" borderId="4" xfId="0" quotePrefix="1" applyFill="1" applyBorder="1" applyAlignment="1" applyProtection="1">
      <alignment vertical="center"/>
      <protection hidden="1"/>
    </xf>
    <xf numFmtId="0" fontId="0" fillId="4" borderId="5" xfId="0" applyFill="1" applyBorder="1" applyAlignment="1" applyProtection="1">
      <alignment vertical="center" wrapText="1"/>
      <protection hidden="1"/>
    </xf>
    <xf numFmtId="0" fontId="0" fillId="4" borderId="24" xfId="0" applyFill="1" applyBorder="1" applyAlignment="1" applyProtection="1">
      <alignment vertical="center"/>
      <protection hidden="1"/>
    </xf>
    <xf numFmtId="0" fontId="135" fillId="4" borderId="4" xfId="0" applyFont="1" applyFill="1" applyBorder="1" applyAlignment="1">
      <alignment horizontal="center" vertical="center"/>
    </xf>
    <xf numFmtId="0" fontId="0" fillId="4" borderId="5" xfId="0" applyFill="1" applyBorder="1" applyAlignment="1" applyProtection="1">
      <alignment horizontal="center" vertical="center"/>
      <protection hidden="1"/>
    </xf>
    <xf numFmtId="14" fontId="90" fillId="0" borderId="3" xfId="0" applyNumberFormat="1" applyFont="1" applyBorder="1" applyAlignment="1" applyProtection="1">
      <alignment horizontal="center" vertical="center"/>
      <protection locked="0"/>
    </xf>
    <xf numFmtId="8" fontId="90" fillId="0" borderId="3" xfId="0" applyNumberFormat="1" applyFont="1" applyBorder="1" applyAlignment="1" applyProtection="1">
      <alignment horizontal="center" vertical="center"/>
      <protection locked="0"/>
    </xf>
    <xf numFmtId="10" fontId="90" fillId="0" borderId="3" xfId="0" applyNumberFormat="1" applyFont="1" applyBorder="1" applyAlignment="1" applyProtection="1">
      <alignment horizontal="center" vertical="center"/>
      <protection locked="0"/>
    </xf>
    <xf numFmtId="10" fontId="0" fillId="0" borderId="3" xfId="3" applyNumberFormat="1" applyFont="1" applyBorder="1" applyAlignment="1" applyProtection="1">
      <alignment horizontal="center" vertical="center"/>
      <protection locked="0"/>
    </xf>
    <xf numFmtId="2" fontId="114" fillId="4" borderId="77" xfId="0" applyNumberFormat="1" applyFont="1" applyFill="1" applyBorder="1" applyAlignment="1" applyProtection="1">
      <alignment horizontal="center" vertical="center"/>
      <protection hidden="1"/>
    </xf>
    <xf numFmtId="2" fontId="114" fillId="4" borderId="2" xfId="0" applyNumberFormat="1" applyFont="1" applyFill="1" applyBorder="1" applyAlignment="1" applyProtection="1">
      <alignment horizontal="center" vertical="center"/>
      <protection hidden="1"/>
    </xf>
    <xf numFmtId="0" fontId="48" fillId="22" borderId="0" xfId="0" applyFont="1" applyFill="1"/>
    <xf numFmtId="10" fontId="62" fillId="18" borderId="0" xfId="3" applyNumberFormat="1" applyFill="1" applyBorder="1" applyAlignment="1">
      <alignment horizontal="center"/>
    </xf>
    <xf numFmtId="10" fontId="62" fillId="23" borderId="0" xfId="3" applyNumberFormat="1" applyFill="1" applyBorder="1" applyAlignment="1">
      <alignment horizontal="center"/>
    </xf>
    <xf numFmtId="10" fontId="62" fillId="4" borderId="0" xfId="3" applyNumberFormat="1" applyFill="1" applyBorder="1" applyAlignment="1">
      <alignment horizontal="center"/>
    </xf>
    <xf numFmtId="10" fontId="62" fillId="18" borderId="2" xfId="3" applyNumberFormat="1" applyFill="1" applyBorder="1" applyAlignment="1">
      <alignment horizontal="center"/>
    </xf>
    <xf numFmtId="10" fontId="62" fillId="23" borderId="2" xfId="3" applyNumberFormat="1" applyFill="1" applyBorder="1" applyAlignment="1">
      <alignment horizontal="center"/>
    </xf>
    <xf numFmtId="166" fontId="0" fillId="0" borderId="2" xfId="0" applyNumberFormat="1" applyBorder="1" applyAlignment="1">
      <alignment horizontal="center"/>
    </xf>
    <xf numFmtId="166" fontId="62" fillId="0" borderId="2" xfId="3" applyNumberFormat="1" applyFill="1" applyBorder="1" applyAlignment="1">
      <alignment horizontal="center"/>
    </xf>
    <xf numFmtId="10" fontId="62" fillId="4" borderId="2" xfId="3" applyNumberFormat="1" applyFill="1" applyBorder="1" applyAlignment="1">
      <alignment horizontal="center"/>
    </xf>
    <xf numFmtId="10" fontId="62" fillId="0" borderId="2" xfId="3" applyNumberFormat="1" applyFill="1" applyBorder="1" applyAlignment="1">
      <alignment horizontal="center"/>
    </xf>
    <xf numFmtId="172" fontId="86" fillId="0" borderId="134" xfId="0" applyNumberFormat="1" applyFont="1" applyBorder="1" applyAlignment="1" applyProtection="1">
      <alignment horizontal="center" vertical="center"/>
      <protection locked="0"/>
    </xf>
    <xf numFmtId="0" fontId="86" fillId="4" borderId="2" xfId="0" applyFont="1" applyFill="1" applyBorder="1" applyAlignment="1">
      <alignment horizontal="center"/>
    </xf>
    <xf numFmtId="0" fontId="162" fillId="4" borderId="4" xfId="0" applyFont="1" applyFill="1" applyBorder="1" applyAlignment="1" applyProtection="1">
      <alignment horizontal="center" vertical="center" wrapText="1"/>
      <protection hidden="1"/>
    </xf>
    <xf numFmtId="8" fontId="0" fillId="0" borderId="3" xfId="0" applyNumberFormat="1" applyBorder="1" applyAlignment="1" applyProtection="1">
      <alignment horizontal="center"/>
      <protection locked="0"/>
    </xf>
    <xf numFmtId="0" fontId="0" fillId="0" borderId="0" xfId="0" applyAlignment="1">
      <alignment horizontal="right"/>
    </xf>
    <xf numFmtId="0" fontId="0" fillId="0" borderId="0" xfId="0" applyAlignment="1" applyProtection="1">
      <alignment horizontal="center" vertical="center"/>
      <protection locked="0"/>
    </xf>
    <xf numFmtId="8" fontId="0" fillId="0" borderId="0" xfId="0" applyNumberFormat="1" applyAlignment="1" applyProtection="1">
      <alignment horizontal="center" vertical="center"/>
      <protection locked="0"/>
    </xf>
    <xf numFmtId="8" fontId="143" fillId="4" borderId="134" xfId="0" applyNumberFormat="1" applyFont="1" applyFill="1" applyBorder="1" applyAlignment="1" applyProtection="1">
      <alignment horizontal="center" vertical="center"/>
      <protection hidden="1"/>
    </xf>
    <xf numFmtId="0" fontId="0" fillId="0" borderId="2" xfId="0" applyBorder="1" applyAlignment="1">
      <alignment vertical="center" wrapText="1"/>
    </xf>
    <xf numFmtId="0" fontId="0" fillId="0" borderId="2" xfId="0" applyBorder="1" applyAlignment="1">
      <alignment horizontal="left" vertical="center" wrapText="1"/>
    </xf>
    <xf numFmtId="0" fontId="86" fillId="4" borderId="2" xfId="0" applyFont="1" applyFill="1" applyBorder="1" applyAlignment="1">
      <alignment horizontal="center" vertical="center" wrapText="1"/>
    </xf>
    <xf numFmtId="0" fontId="86" fillId="4" borderId="2" xfId="0" applyFont="1" applyFill="1" applyBorder="1" applyAlignment="1" applyProtection="1">
      <alignment horizontal="left" vertical="center" wrapText="1"/>
      <protection locked="0"/>
    </xf>
    <xf numFmtId="0" fontId="91" fillId="0" borderId="2" xfId="0" applyFont="1" applyBorder="1" applyAlignment="1">
      <alignment vertical="center" wrapText="1"/>
    </xf>
    <xf numFmtId="0" fontId="49" fillId="0" borderId="2" xfId="2" applyNumberFormat="1" applyBorder="1" applyAlignment="1" applyProtection="1">
      <alignment vertical="center" wrapText="1"/>
    </xf>
    <xf numFmtId="0" fontId="157" fillId="0" borderId="2" xfId="0" applyFont="1" applyBorder="1" applyAlignment="1">
      <alignment wrapText="1"/>
    </xf>
    <xf numFmtId="0" fontId="156" fillId="0" borderId="2" xfId="2" applyNumberFormat="1" applyFont="1" applyBorder="1" applyAlignment="1" applyProtection="1">
      <alignment horizontal="left" vertical="center" wrapText="1"/>
    </xf>
    <xf numFmtId="0" fontId="49" fillId="0" borderId="2" xfId="2" applyNumberFormat="1" applyBorder="1" applyAlignment="1" applyProtection="1"/>
    <xf numFmtId="0" fontId="156" fillId="0" borderId="2" xfId="2" applyNumberFormat="1" applyFont="1" applyBorder="1" applyAlignment="1" applyProtection="1">
      <alignment vertical="center" wrapText="1"/>
    </xf>
    <xf numFmtId="14" fontId="138" fillId="0" borderId="0" xfId="0" applyNumberFormat="1" applyFont="1"/>
    <xf numFmtId="0" fontId="165" fillId="0" borderId="0" xfId="0" applyFont="1"/>
    <xf numFmtId="0" fontId="31" fillId="0" borderId="0" xfId="0" applyFont="1"/>
    <xf numFmtId="0" fontId="0" fillId="4" borderId="23" xfId="0" applyFill="1" applyBorder="1" applyAlignment="1">
      <alignment vertical="center"/>
    </xf>
    <xf numFmtId="0" fontId="0" fillId="4" borderId="28" xfId="0" applyFill="1" applyBorder="1" applyAlignment="1">
      <alignment horizontal="right" vertical="center"/>
    </xf>
    <xf numFmtId="0" fontId="75" fillId="4" borderId="81" xfId="0" applyFont="1" applyFill="1" applyBorder="1" applyAlignment="1" applyProtection="1">
      <alignment horizontal="right" vertical="center" wrapText="1"/>
      <protection locked="0"/>
    </xf>
    <xf numFmtId="2" fontId="114" fillId="4" borderId="9" xfId="0" applyNumberFormat="1" applyFont="1" applyFill="1" applyBorder="1" applyAlignment="1" applyProtection="1">
      <alignment horizontal="center" vertical="center"/>
      <protection hidden="1"/>
    </xf>
    <xf numFmtId="8" fontId="86" fillId="0" borderId="10" xfId="0" applyNumberFormat="1" applyFont="1" applyBorder="1" applyAlignment="1" applyProtection="1">
      <alignment horizontal="center" vertical="center" wrapText="1"/>
      <protection locked="0"/>
    </xf>
    <xf numFmtId="6" fontId="0" fillId="4" borderId="102" xfId="0" applyNumberFormat="1" applyFill="1" applyBorder="1" applyAlignment="1" applyProtection="1">
      <alignment horizontal="center" vertical="center" wrapText="1"/>
      <protection hidden="1"/>
    </xf>
    <xf numFmtId="6" fontId="0" fillId="4" borderId="65" xfId="0" applyNumberFormat="1" applyFill="1" applyBorder="1" applyAlignment="1" applyProtection="1">
      <alignment horizontal="center" vertical="center" wrapText="1"/>
      <protection hidden="1"/>
    </xf>
    <xf numFmtId="6" fontId="140" fillId="4" borderId="104" xfId="0" applyNumberFormat="1" applyFont="1" applyFill="1" applyBorder="1" applyAlignment="1">
      <alignment horizontal="center" vertical="center" wrapText="1"/>
    </xf>
    <xf numFmtId="10" fontId="0" fillId="4" borderId="2" xfId="3" applyNumberFormat="1" applyFont="1" applyFill="1" applyBorder="1" applyAlignment="1">
      <alignment horizontal="center" vertical="center"/>
    </xf>
    <xf numFmtId="14" fontId="0" fillId="0" borderId="2" xfId="0" applyNumberFormat="1" applyBorder="1" applyAlignment="1">
      <alignment horizontal="center" vertical="center"/>
    </xf>
    <xf numFmtId="0" fontId="86" fillId="0" borderId="31" xfId="0" applyFont="1" applyBorder="1" applyAlignment="1">
      <alignment vertical="center" wrapText="1"/>
    </xf>
    <xf numFmtId="0" fontId="86" fillId="0" borderId="28" xfId="0" applyFont="1" applyBorder="1" applyAlignment="1">
      <alignment vertical="center" wrapText="1"/>
    </xf>
    <xf numFmtId="8" fontId="107" fillId="0" borderId="0" xfId="0" applyNumberFormat="1" applyFont="1" applyAlignment="1">
      <alignment horizontal="center" vertical="center" wrapText="1"/>
    </xf>
    <xf numFmtId="188" fontId="86" fillId="0" borderId="41" xfId="0" applyNumberFormat="1" applyFont="1" applyBorder="1" applyAlignment="1">
      <alignment horizontal="center" vertical="center" wrapText="1"/>
    </xf>
    <xf numFmtId="8" fontId="107" fillId="0" borderId="2" xfId="0" applyNumberFormat="1" applyFont="1" applyBorder="1" applyAlignment="1">
      <alignment horizontal="center" vertical="center" wrapText="1"/>
    </xf>
    <xf numFmtId="9" fontId="107" fillId="0" borderId="2" xfId="3" applyFont="1" applyBorder="1" applyAlignment="1">
      <alignment horizontal="center" vertical="center" wrapText="1"/>
    </xf>
    <xf numFmtId="164" fontId="0" fillId="0" borderId="0" xfId="0" applyNumberFormat="1" applyAlignment="1">
      <alignment vertical="center"/>
    </xf>
    <xf numFmtId="9" fontId="85" fillId="0" borderId="0" xfId="3" applyFont="1" applyFill="1" applyAlignment="1">
      <alignment vertical="center"/>
    </xf>
    <xf numFmtId="175" fontId="0" fillId="0" borderId="0" xfId="0" applyNumberFormat="1" applyAlignment="1">
      <alignment vertical="center"/>
    </xf>
    <xf numFmtId="1" fontId="0" fillId="0" borderId="0" xfId="0" applyNumberFormat="1" applyAlignment="1">
      <alignment vertical="center"/>
    </xf>
    <xf numFmtId="0" fontId="0" fillId="0" borderId="0" xfId="0" quotePrefix="1" applyAlignment="1">
      <alignment vertical="center"/>
    </xf>
    <xf numFmtId="166" fontId="0" fillId="0" borderId="0" xfId="0" applyNumberFormat="1" applyAlignment="1">
      <alignment vertical="center"/>
    </xf>
    <xf numFmtId="9" fontId="0" fillId="0" borderId="0" xfId="0" quotePrefix="1" applyNumberFormat="1" applyAlignment="1">
      <alignment vertical="center"/>
    </xf>
    <xf numFmtId="14" fontId="0" fillId="0" borderId="0" xfId="0" applyNumberFormat="1" applyAlignment="1">
      <alignment vertical="center"/>
    </xf>
    <xf numFmtId="0" fontId="0" fillId="0" borderId="0" xfId="0" applyAlignment="1">
      <alignment horizontal="right" vertical="center"/>
    </xf>
    <xf numFmtId="10" fontId="0" fillId="0" borderId="0" xfId="3" applyNumberFormat="1" applyFont="1" applyFill="1" applyAlignment="1">
      <alignment vertical="center"/>
    </xf>
    <xf numFmtId="10" fontId="0" fillId="0" borderId="0" xfId="0" applyNumberFormat="1" applyAlignment="1">
      <alignment vertical="center"/>
    </xf>
    <xf numFmtId="175" fontId="0" fillId="0" borderId="0" xfId="0" applyNumberFormat="1"/>
    <xf numFmtId="178" fontId="62" fillId="0" borderId="0" xfId="3" applyNumberFormat="1" applyFill="1"/>
    <xf numFmtId="175" fontId="98" fillId="0" borderId="0" xfId="0" applyNumberFormat="1" applyFont="1"/>
    <xf numFmtId="0" fontId="98" fillId="0" borderId="0" xfId="0" applyFont="1" applyAlignment="1">
      <alignment horizontal="center"/>
    </xf>
    <xf numFmtId="0" fontId="0" fillId="0" borderId="0" xfId="0" quotePrefix="1" applyAlignment="1">
      <alignment horizontal="left" vertical="center"/>
    </xf>
    <xf numFmtId="164" fontId="0" fillId="0" borderId="0" xfId="0" applyNumberFormat="1"/>
    <xf numFmtId="0" fontId="86" fillId="0" borderId="0" xfId="0" applyFont="1" applyAlignment="1">
      <alignment horizontal="center" vertical="center"/>
    </xf>
    <xf numFmtId="0" fontId="108" fillId="0" borderId="0" xfId="0" applyFont="1" applyAlignment="1">
      <alignment horizontal="center" vertical="center"/>
    </xf>
    <xf numFmtId="8" fontId="168" fillId="4" borderId="100" xfId="0" applyNumberFormat="1" applyFont="1" applyFill="1" applyBorder="1" applyAlignment="1" applyProtection="1">
      <alignment horizontal="center" vertical="center" wrapText="1"/>
      <protection locked="0"/>
    </xf>
    <xf numFmtId="0" fontId="0" fillId="0" borderId="68" xfId="0" applyBorder="1" applyAlignment="1" applyProtection="1">
      <alignment horizontal="center" vertical="center" wrapText="1"/>
      <protection locked="0"/>
    </xf>
    <xf numFmtId="0" fontId="96" fillId="0" borderId="0" xfId="0" applyFont="1" applyAlignment="1">
      <alignment vertical="center"/>
    </xf>
    <xf numFmtId="0" fontId="0" fillId="0" borderId="0" xfId="0" quotePrefix="1" applyAlignment="1" applyProtection="1">
      <alignment horizontal="center" vertical="top" wrapText="1"/>
      <protection hidden="1"/>
    </xf>
    <xf numFmtId="0" fontId="0" fillId="0" borderId="0" xfId="0" quotePrefix="1" applyAlignment="1" applyProtection="1">
      <alignment vertical="top" wrapText="1"/>
      <protection hidden="1"/>
    </xf>
    <xf numFmtId="10" fontId="107" fillId="4" borderId="132" xfId="3" applyNumberFormat="1" applyFont="1" applyFill="1" applyBorder="1" applyAlignment="1" applyProtection="1">
      <alignment vertical="top" wrapText="1"/>
      <protection hidden="1"/>
    </xf>
    <xf numFmtId="0" fontId="86" fillId="4" borderId="4" xfId="0" applyFont="1" applyFill="1" applyBorder="1" applyAlignment="1" applyProtection="1">
      <alignment vertical="center"/>
      <protection hidden="1"/>
    </xf>
    <xf numFmtId="8" fontId="91" fillId="4" borderId="2" xfId="0" applyNumberFormat="1" applyFont="1" applyFill="1" applyBorder="1" applyAlignment="1" applyProtection="1">
      <alignment horizontal="center" vertical="center"/>
      <protection hidden="1"/>
    </xf>
    <xf numFmtId="0" fontId="91" fillId="4" borderId="3" xfId="0" applyFont="1" applyFill="1" applyBorder="1" applyAlignment="1" applyProtection="1">
      <alignment horizontal="center" vertical="center"/>
      <protection hidden="1"/>
    </xf>
    <xf numFmtId="8" fontId="101" fillId="4" borderId="2" xfId="0" applyNumberFormat="1" applyFont="1" applyFill="1" applyBorder="1" applyAlignment="1" applyProtection="1">
      <alignment horizontal="right" vertical="center"/>
      <protection hidden="1"/>
    </xf>
    <xf numFmtId="8" fontId="0" fillId="4" borderId="2" xfId="0" applyNumberFormat="1" applyFill="1" applyBorder="1" applyAlignment="1" applyProtection="1">
      <alignment horizontal="right" vertical="center"/>
      <protection hidden="1"/>
    </xf>
    <xf numFmtId="8" fontId="0" fillId="4" borderId="3" xfId="0" applyNumberFormat="1" applyFill="1" applyBorder="1" applyAlignment="1" applyProtection="1">
      <alignment horizontal="right" vertical="center"/>
      <protection hidden="1"/>
    </xf>
    <xf numFmtId="0" fontId="0" fillId="4" borderId="2" xfId="0" applyFill="1" applyBorder="1" applyAlignment="1" applyProtection="1">
      <alignment horizontal="right" vertical="center"/>
      <protection hidden="1"/>
    </xf>
    <xf numFmtId="10" fontId="0" fillId="4" borderId="2" xfId="3" applyNumberFormat="1" applyFont="1" applyFill="1" applyBorder="1" applyAlignment="1" applyProtection="1">
      <alignment horizontal="right" vertical="center"/>
      <protection hidden="1"/>
    </xf>
    <xf numFmtId="10" fontId="0" fillId="4" borderId="3" xfId="3" applyNumberFormat="1" applyFont="1" applyFill="1" applyBorder="1" applyAlignment="1" applyProtection="1">
      <alignment horizontal="right" vertical="center"/>
      <protection hidden="1"/>
    </xf>
    <xf numFmtId="0" fontId="86" fillId="4" borderId="3" xfId="0" applyFont="1" applyFill="1" applyBorder="1" applyAlignment="1" applyProtection="1">
      <alignment horizontal="right" vertical="center"/>
      <protection hidden="1"/>
    </xf>
    <xf numFmtId="8" fontId="86" fillId="4" borderId="2" xfId="0" applyNumberFormat="1" applyFont="1" applyFill="1" applyBorder="1" applyAlignment="1" applyProtection="1">
      <alignment horizontal="right" vertical="center"/>
      <protection hidden="1"/>
    </xf>
    <xf numFmtId="8" fontId="86" fillId="4" borderId="3" xfId="0" applyNumberFormat="1" applyFont="1" applyFill="1" applyBorder="1" applyAlignment="1" applyProtection="1">
      <alignment horizontal="right" vertical="center"/>
      <protection hidden="1"/>
    </xf>
    <xf numFmtId="8" fontId="0" fillId="4" borderId="6" xfId="0" applyNumberFormat="1" applyFill="1" applyBorder="1" applyAlignment="1" applyProtection="1">
      <alignment horizontal="right" vertical="center"/>
      <protection hidden="1"/>
    </xf>
    <xf numFmtId="8" fontId="0" fillId="4" borderId="7" xfId="0" applyNumberFormat="1" applyFill="1" applyBorder="1" applyAlignment="1" applyProtection="1">
      <alignment horizontal="right" vertical="center"/>
      <protection hidden="1"/>
    </xf>
    <xf numFmtId="16" fontId="88" fillId="0" borderId="2" xfId="0" quotePrefix="1" applyNumberFormat="1" applyFont="1" applyBorder="1" applyAlignment="1">
      <alignment horizontal="center" vertical="center" wrapText="1"/>
    </xf>
    <xf numFmtId="0" fontId="49" fillId="0" borderId="2" xfId="2" applyNumberFormat="1" applyBorder="1" applyAlignment="1" applyProtection="1">
      <alignment horizontal="left" vertical="center" wrapText="1"/>
    </xf>
    <xf numFmtId="8" fontId="0" fillId="4" borderId="2" xfId="0" applyNumberFormat="1" applyFill="1" applyBorder="1" applyAlignment="1" applyProtection="1">
      <alignment vertical="center"/>
      <protection hidden="1"/>
    </xf>
    <xf numFmtId="0" fontId="92" fillId="4" borderId="21" xfId="0" applyFont="1" applyFill="1" applyBorder="1" applyAlignment="1">
      <alignment horizontal="center"/>
    </xf>
    <xf numFmtId="6" fontId="90" fillId="4" borderId="3" xfId="0" applyNumberFormat="1" applyFont="1" applyFill="1" applyBorder="1" applyAlignment="1">
      <alignment vertical="center"/>
    </xf>
    <xf numFmtId="6" fontId="91" fillId="4" borderId="4" xfId="0" applyNumberFormat="1" applyFont="1" applyFill="1" applyBorder="1" applyAlignment="1" applyProtection="1">
      <alignment horizontal="center" vertical="center" wrapText="1"/>
      <protection hidden="1"/>
    </xf>
    <xf numFmtId="0" fontId="92" fillId="4" borderId="83" xfId="0" applyFont="1" applyFill="1" applyBorder="1" applyAlignment="1">
      <alignment horizontal="center"/>
    </xf>
    <xf numFmtId="8" fontId="0" fillId="0" borderId="1" xfId="0" applyNumberFormat="1" applyBorder="1" applyAlignment="1" applyProtection="1">
      <alignment vertical="center"/>
      <protection locked="0"/>
    </xf>
    <xf numFmtId="8" fontId="149" fillId="0" borderId="1" xfId="0" applyNumberFormat="1" applyFont="1" applyBorder="1" applyAlignment="1" applyProtection="1">
      <alignment vertical="center"/>
      <protection locked="0"/>
    </xf>
    <xf numFmtId="6" fontId="107" fillId="4" borderId="64" xfId="0" applyNumberFormat="1" applyFont="1" applyFill="1" applyBorder="1" applyAlignment="1" applyProtection="1">
      <alignment vertical="center"/>
      <protection hidden="1"/>
    </xf>
    <xf numFmtId="6" fontId="107" fillId="4" borderId="85" xfId="0" applyNumberFormat="1" applyFont="1" applyFill="1" applyBorder="1" applyAlignment="1" applyProtection="1">
      <alignment vertical="center"/>
      <protection hidden="1"/>
    </xf>
    <xf numFmtId="6" fontId="107" fillId="4" borderId="86" xfId="0" applyNumberFormat="1" applyFont="1" applyFill="1" applyBorder="1" applyAlignment="1" applyProtection="1">
      <alignment vertical="center"/>
      <protection hidden="1"/>
    </xf>
    <xf numFmtId="8" fontId="0" fillId="4" borderId="1" xfId="0" applyNumberFormat="1" applyFill="1" applyBorder="1" applyAlignment="1" applyProtection="1">
      <alignment vertical="center"/>
      <protection hidden="1"/>
    </xf>
    <xf numFmtId="8" fontId="86" fillId="4" borderId="1" xfId="0" applyNumberFormat="1" applyFont="1" applyFill="1" applyBorder="1" applyAlignment="1" applyProtection="1">
      <alignment vertical="center"/>
      <protection hidden="1"/>
    </xf>
    <xf numFmtId="8" fontId="91" fillId="4" borderId="4" xfId="0" applyNumberFormat="1" applyFont="1" applyFill="1" applyBorder="1" applyAlignment="1" applyProtection="1">
      <alignment vertical="center"/>
      <protection hidden="1"/>
    </xf>
    <xf numFmtId="0" fontId="107" fillId="4" borderId="43" xfId="0" applyFont="1" applyFill="1" applyBorder="1" applyAlignment="1" applyProtection="1">
      <alignment horizontal="left" vertical="center" wrapText="1"/>
      <protection hidden="1"/>
    </xf>
    <xf numFmtId="8" fontId="90" fillId="6" borderId="2" xfId="0" applyNumberFormat="1" applyFont="1" applyFill="1" applyBorder="1" applyAlignment="1" applyProtection="1">
      <alignment vertical="center"/>
      <protection locked="0"/>
    </xf>
    <xf numFmtId="6" fontId="0" fillId="4" borderId="3" xfId="0" applyNumberFormat="1" applyFill="1" applyBorder="1" applyAlignment="1" applyProtection="1">
      <alignment horizontal="right" vertical="center"/>
      <protection hidden="1"/>
    </xf>
    <xf numFmtId="6" fontId="33" fillId="4" borderId="2" xfId="0" applyNumberFormat="1" applyFont="1" applyFill="1" applyBorder="1" applyAlignment="1" applyProtection="1">
      <alignment horizontal="right" vertical="center"/>
      <protection hidden="1"/>
    </xf>
    <xf numFmtId="0" fontId="86" fillId="4" borderId="4" xfId="0" applyFont="1" applyFill="1" applyBorder="1" applyAlignment="1" applyProtection="1">
      <alignment vertical="center" wrapText="1"/>
      <protection hidden="1"/>
    </xf>
    <xf numFmtId="0" fontId="91" fillId="4" borderId="43" xfId="0" applyFont="1" applyFill="1" applyBorder="1" applyAlignment="1">
      <alignment horizontal="center" vertical="center"/>
    </xf>
    <xf numFmtId="0" fontId="91" fillId="4" borderId="19" xfId="0" applyFont="1" applyFill="1" applyBorder="1" applyAlignment="1">
      <alignment horizontal="center" vertical="center"/>
    </xf>
    <xf numFmtId="0" fontId="0" fillId="4" borderId="41" xfId="0" applyFill="1" applyBorder="1"/>
    <xf numFmtId="0" fontId="0" fillId="4" borderId="56" xfId="0" applyFill="1" applyBorder="1"/>
    <xf numFmtId="8" fontId="86" fillId="0" borderId="144" xfId="0" applyNumberFormat="1" applyFont="1" applyBorder="1" applyAlignment="1">
      <alignment horizontal="center"/>
    </xf>
    <xf numFmtId="0" fontId="0" fillId="0" borderId="3" xfId="0" applyBorder="1" applyAlignment="1">
      <alignment horizontal="right" vertical="center"/>
    </xf>
    <xf numFmtId="0" fontId="0" fillId="0" borderId="15" xfId="0" applyBorder="1" applyAlignment="1">
      <alignment vertical="center" wrapText="1"/>
    </xf>
    <xf numFmtId="0" fontId="0" fillId="0" borderId="39" xfId="0" applyBorder="1"/>
    <xf numFmtId="0" fontId="0" fillId="0" borderId="18" xfId="0" applyBorder="1"/>
    <xf numFmtId="2" fontId="167" fillId="0" borderId="0" xfId="0" applyNumberFormat="1" applyFont="1" applyAlignment="1">
      <alignment horizontal="center"/>
    </xf>
    <xf numFmtId="8" fontId="86" fillId="0" borderId="27" xfId="0" applyNumberFormat="1" applyFont="1" applyBorder="1" applyAlignment="1">
      <alignment horizontal="center"/>
    </xf>
    <xf numFmtId="0" fontId="93" fillId="0" borderId="0" xfId="0" applyFont="1" applyAlignment="1">
      <alignment vertical="center"/>
    </xf>
    <xf numFmtId="0" fontId="64" fillId="0" borderId="0" xfId="0" applyFont="1" applyAlignment="1" applyProtection="1">
      <alignment vertical="center"/>
      <protection locked="0"/>
    </xf>
    <xf numFmtId="14" fontId="0" fillId="0" borderId="3" xfId="0" applyNumberFormat="1" applyBorder="1" applyAlignment="1" applyProtection="1">
      <alignment horizontal="center" vertical="center"/>
      <protection locked="0"/>
    </xf>
    <xf numFmtId="0" fontId="0" fillId="4" borderId="18" xfId="0" applyFill="1" applyBorder="1" applyAlignment="1">
      <alignment vertical="center"/>
    </xf>
    <xf numFmtId="0" fontId="107" fillId="4" borderId="0" xfId="0" applyFont="1" applyFill="1" applyAlignment="1">
      <alignment horizontal="center" vertical="center" wrapText="1"/>
    </xf>
    <xf numFmtId="0" fontId="48" fillId="24" borderId="0" xfId="0" applyFont="1" applyFill="1"/>
    <xf numFmtId="0" fontId="123" fillId="0" borderId="26" xfId="0" applyFont="1" applyBorder="1" applyAlignment="1">
      <alignment horizontal="center"/>
    </xf>
    <xf numFmtId="1" fontId="123" fillId="0" borderId="41" xfId="0" applyNumberFormat="1" applyFont="1" applyBorder="1" applyAlignment="1">
      <alignment horizontal="center"/>
    </xf>
    <xf numFmtId="2" fontId="123" fillId="0" borderId="27" xfId="0" applyNumberFormat="1" applyFont="1" applyBorder="1" applyAlignment="1">
      <alignment horizontal="center"/>
    </xf>
    <xf numFmtId="168" fontId="120" fillId="0" borderId="0" xfId="0" applyNumberFormat="1" applyFont="1"/>
    <xf numFmtId="168" fontId="120" fillId="0" borderId="0" xfId="0" applyNumberFormat="1" applyFont="1" applyAlignment="1">
      <alignment vertical="center"/>
    </xf>
    <xf numFmtId="168" fontId="122" fillId="0" borderId="0" xfId="0" applyNumberFormat="1" applyFont="1"/>
    <xf numFmtId="168" fontId="0" fillId="0" borderId="18" xfId="0" applyNumberFormat="1" applyBorder="1"/>
    <xf numFmtId="2" fontId="91" fillId="0" borderId="0" xfId="0" applyNumberFormat="1" applyFont="1"/>
    <xf numFmtId="0" fontId="0" fillId="0" borderId="14" xfId="0" applyBorder="1" applyAlignment="1" applyProtection="1">
      <alignment horizontal="center" vertical="center"/>
      <protection locked="0"/>
    </xf>
    <xf numFmtId="10" fontId="0" fillId="0" borderId="14" xfId="3" applyNumberFormat="1" applyFont="1" applyBorder="1" applyAlignment="1" applyProtection="1">
      <alignment horizontal="center" vertical="center"/>
      <protection locked="0"/>
    </xf>
    <xf numFmtId="0" fontId="151" fillId="4" borderId="0" xfId="2" applyNumberFormat="1" applyFont="1" applyFill="1" applyBorder="1" applyAlignment="1" applyProtection="1">
      <alignment vertical="center"/>
    </xf>
    <xf numFmtId="0" fontId="49" fillId="4" borderId="0" xfId="2" applyNumberFormat="1" applyFill="1" applyBorder="1" applyAlignment="1" applyProtection="1">
      <alignment vertical="center"/>
    </xf>
    <xf numFmtId="0" fontId="134" fillId="4" borderId="0" xfId="2" applyNumberFormat="1" applyFont="1" applyFill="1" applyBorder="1" applyAlignment="1" applyProtection="1">
      <alignment vertical="center"/>
    </xf>
    <xf numFmtId="0" fontId="49" fillId="4" borderId="15" xfId="2" applyNumberFormat="1" applyFill="1" applyBorder="1" applyAlignment="1" applyProtection="1">
      <alignment vertical="center"/>
    </xf>
    <xf numFmtId="0" fontId="130" fillId="0" borderId="0" xfId="2" applyNumberFormat="1" applyFont="1" applyAlignment="1" applyProtection="1">
      <alignment horizontal="left"/>
    </xf>
    <xf numFmtId="0" fontId="0" fillId="4" borderId="0" xfId="0" applyFill="1" applyAlignment="1">
      <alignment vertical="center" textRotation="180"/>
    </xf>
    <xf numFmtId="10" fontId="91" fillId="4" borderId="0" xfId="3" applyNumberFormat="1" applyFont="1" applyFill="1" applyBorder="1" applyAlignment="1">
      <alignment vertical="center"/>
    </xf>
    <xf numFmtId="14" fontId="0" fillId="4" borderId="3" xfId="0" applyNumberFormat="1" applyFill="1" applyBorder="1" applyAlignment="1">
      <alignment horizontal="center" vertical="center"/>
    </xf>
    <xf numFmtId="0" fontId="0" fillId="4" borderId="5" xfId="0" applyFill="1" applyBorder="1" applyAlignment="1">
      <alignment horizontal="right" vertical="center"/>
    </xf>
    <xf numFmtId="14" fontId="86" fillId="4" borderId="7" xfId="0" applyNumberFormat="1" applyFont="1" applyFill="1" applyBorder="1" applyAlignment="1">
      <alignment horizontal="center" vertical="center"/>
    </xf>
    <xf numFmtId="0" fontId="0" fillId="0" borderId="19" xfId="0" applyBorder="1"/>
    <xf numFmtId="0" fontId="85" fillId="4" borderId="0" xfId="0" applyFont="1" applyFill="1" applyAlignment="1">
      <alignment vertical="center"/>
    </xf>
    <xf numFmtId="164" fontId="66" fillId="4" borderId="0" xfId="0" applyNumberFormat="1" applyFont="1" applyFill="1" applyAlignment="1">
      <alignment vertical="center"/>
    </xf>
    <xf numFmtId="2" fontId="0" fillId="4" borderId="0" xfId="0" applyNumberFormat="1" applyFill="1" applyAlignment="1">
      <alignment horizontal="center" vertical="center"/>
    </xf>
    <xf numFmtId="2" fontId="0" fillId="0" borderId="2" xfId="0" applyNumberFormat="1" applyBorder="1" applyAlignment="1" applyProtection="1">
      <alignment horizontal="center" vertical="center"/>
      <protection locked="0"/>
    </xf>
    <xf numFmtId="0" fontId="0" fillId="3" borderId="23" xfId="0" applyFill="1" applyBorder="1" applyAlignment="1">
      <alignment vertical="center"/>
    </xf>
    <xf numFmtId="0" fontId="97" fillId="0" borderId="0" xfId="0" applyFont="1" applyAlignment="1">
      <alignment horizontal="center" vertical="center"/>
    </xf>
    <xf numFmtId="0" fontId="0" fillId="0" borderId="19" xfId="0" applyBorder="1" applyAlignment="1">
      <alignment vertical="center"/>
    </xf>
    <xf numFmtId="0" fontId="0" fillId="0" borderId="15" xfId="0" applyBorder="1" applyAlignment="1">
      <alignment vertical="center"/>
    </xf>
    <xf numFmtId="0" fontId="171" fillId="4" borderId="0" xfId="0" applyFont="1" applyFill="1" applyAlignment="1" applyProtection="1">
      <alignment vertical="center"/>
      <protection hidden="1"/>
    </xf>
    <xf numFmtId="0" fontId="0" fillId="4" borderId="4" xfId="0" applyFill="1" applyBorder="1" applyAlignment="1">
      <alignment horizontal="center" vertical="center"/>
    </xf>
    <xf numFmtId="14" fontId="0" fillId="0" borderId="2" xfId="0" applyNumberFormat="1" applyBorder="1" applyAlignment="1" applyProtection="1">
      <alignment horizontal="center" vertical="center"/>
      <protection locked="0"/>
    </xf>
    <xf numFmtId="0" fontId="0" fillId="4" borderId="21" xfId="0" applyFill="1" applyBorder="1" applyAlignment="1">
      <alignment horizontal="center" vertical="center"/>
    </xf>
    <xf numFmtId="4" fontId="0" fillId="0" borderId="0" xfId="0" applyNumberFormat="1" applyAlignment="1">
      <alignment horizontal="center" vertical="center"/>
    </xf>
    <xf numFmtId="10" fontId="0" fillId="0" borderId="2" xfId="3" applyNumberFormat="1" applyFont="1" applyFill="1" applyBorder="1" applyAlignment="1">
      <alignment horizontal="center" vertical="center"/>
    </xf>
    <xf numFmtId="168" fontId="47" fillId="0" borderId="4" xfId="0" applyNumberFormat="1" applyFont="1" applyBorder="1" applyAlignment="1">
      <alignment horizontal="center" vertical="center" wrapText="1"/>
    </xf>
    <xf numFmtId="0" fontId="0" fillId="0" borderId="61" xfId="0" applyBorder="1" applyAlignment="1">
      <alignment horizontal="center"/>
    </xf>
    <xf numFmtId="1" fontId="0" fillId="0" borderId="87" xfId="0" applyNumberFormat="1" applyBorder="1" applyAlignment="1">
      <alignment horizontal="center"/>
    </xf>
    <xf numFmtId="2" fontId="0" fillId="0" borderId="87" xfId="0" applyNumberFormat="1" applyBorder="1" applyAlignment="1">
      <alignment horizontal="center"/>
    </xf>
    <xf numFmtId="0" fontId="0" fillId="0" borderId="5" xfId="0" applyBorder="1" applyAlignment="1">
      <alignment horizontal="center"/>
    </xf>
    <xf numFmtId="1" fontId="0" fillId="0" borderId="6" xfId="0" applyNumberFormat="1" applyBorder="1" applyAlignment="1">
      <alignment horizontal="center"/>
    </xf>
    <xf numFmtId="2" fontId="0" fillId="0" borderId="6" xfId="0" applyNumberFormat="1" applyBorder="1" applyAlignment="1">
      <alignment horizontal="center"/>
    </xf>
    <xf numFmtId="0" fontId="85" fillId="4" borderId="19" xfId="0" applyFont="1" applyFill="1" applyBorder="1" applyAlignment="1">
      <alignment vertical="center"/>
    </xf>
    <xf numFmtId="0" fontId="91" fillId="0" borderId="0" xfId="0" applyFont="1" applyProtection="1">
      <protection locked="0"/>
    </xf>
    <xf numFmtId="181" fontId="0" fillId="0" borderId="0" xfId="0" applyNumberFormat="1" applyProtection="1">
      <protection locked="0"/>
    </xf>
    <xf numFmtId="181" fontId="0" fillId="0" borderId="0" xfId="0" applyNumberFormat="1" applyAlignment="1" applyProtection="1">
      <alignment horizontal="center" vertical="center"/>
      <protection locked="0"/>
    </xf>
    <xf numFmtId="14" fontId="0" fillId="0" borderId="0" xfId="0" applyNumberFormat="1" applyAlignment="1" applyProtection="1">
      <alignment horizontal="center" vertical="center"/>
      <protection locked="0"/>
    </xf>
    <xf numFmtId="0" fontId="174" fillId="0" borderId="0" xfId="0" applyFont="1"/>
    <xf numFmtId="171" fontId="91" fillId="0" borderId="0" xfId="0" applyNumberFormat="1" applyFont="1" applyAlignment="1">
      <alignment horizontal="center" vertical="center"/>
    </xf>
    <xf numFmtId="10" fontId="91" fillId="0" borderId="0" xfId="3" applyNumberFormat="1" applyFont="1" applyAlignment="1">
      <alignment horizontal="center" vertical="center"/>
    </xf>
    <xf numFmtId="2" fontId="91" fillId="0" borderId="0" xfId="0" applyNumberFormat="1" applyFont="1" applyAlignment="1">
      <alignment horizontal="center" vertical="center"/>
    </xf>
    <xf numFmtId="0" fontId="108" fillId="4" borderId="24" xfId="0" applyFont="1" applyFill="1" applyBorder="1" applyAlignment="1">
      <alignment horizontal="right" vertical="center"/>
    </xf>
    <xf numFmtId="0" fontId="170" fillId="4" borderId="44" xfId="0" applyFont="1" applyFill="1" applyBorder="1" applyAlignment="1">
      <alignment vertical="center" wrapText="1"/>
    </xf>
    <xf numFmtId="0" fontId="49" fillId="4" borderId="0" xfId="2" applyNumberFormat="1" applyFill="1" applyAlignment="1" applyProtection="1">
      <alignment horizontal="center"/>
    </xf>
    <xf numFmtId="0" fontId="45" fillId="4" borderId="0" xfId="7" applyNumberFormat="1" applyFont="1" applyFill="1" applyAlignment="1">
      <alignment horizontal="center"/>
    </xf>
    <xf numFmtId="0" fontId="46" fillId="4" borderId="0" xfId="7" applyNumberFormat="1" applyFont="1" applyFill="1" applyAlignment="1">
      <alignment horizontal="center"/>
    </xf>
    <xf numFmtId="2" fontId="88" fillId="0" borderId="0" xfId="0" applyNumberFormat="1" applyFont="1" applyAlignment="1">
      <alignment vertical="center"/>
    </xf>
    <xf numFmtId="2" fontId="88" fillId="8" borderId="0" xfId="0" applyNumberFormat="1" applyFont="1" applyFill="1" applyAlignment="1">
      <alignment vertical="center"/>
    </xf>
    <xf numFmtId="0" fontId="88" fillId="8" borderId="0" xfId="0" applyFont="1" applyFill="1"/>
    <xf numFmtId="0" fontId="45" fillId="4" borderId="0" xfId="6" applyNumberFormat="1" applyFont="1" applyFill="1" applyAlignment="1">
      <alignment horizontal="center"/>
    </xf>
    <xf numFmtId="0" fontId="44" fillId="4" borderId="0" xfId="6" applyNumberFormat="1" applyFill="1" applyAlignment="1">
      <alignment horizontal="center"/>
    </xf>
    <xf numFmtId="0" fontId="46" fillId="4" borderId="0" xfId="6" applyNumberFormat="1" applyFont="1" applyFill="1" applyAlignment="1">
      <alignment horizontal="center"/>
    </xf>
    <xf numFmtId="8" fontId="0" fillId="0" borderId="129" xfId="0" applyNumberFormat="1" applyBorder="1" applyAlignment="1" applyProtection="1">
      <alignment horizontal="center"/>
      <protection locked="0"/>
    </xf>
    <xf numFmtId="183" fontId="0" fillId="0" borderId="2" xfId="0" applyNumberFormat="1" applyBorder="1" applyAlignment="1" applyProtection="1">
      <alignment wrapText="1"/>
      <protection locked="0"/>
    </xf>
    <xf numFmtId="8" fontId="0" fillId="3" borderId="129" xfId="0" applyNumberFormat="1" applyFill="1" applyBorder="1" applyAlignment="1" applyProtection="1">
      <alignment horizontal="center"/>
      <protection hidden="1"/>
    </xf>
    <xf numFmtId="8" fontId="0" fillId="3" borderId="3" xfId="0" applyNumberFormat="1" applyFill="1" applyBorder="1" applyAlignment="1" applyProtection="1">
      <alignment horizontal="center"/>
      <protection hidden="1"/>
    </xf>
    <xf numFmtId="0" fontId="86" fillId="4" borderId="23" xfId="0" applyFont="1" applyFill="1" applyBorder="1" applyAlignment="1" applyProtection="1">
      <alignment vertical="center" wrapText="1"/>
      <protection hidden="1"/>
    </xf>
    <xf numFmtId="0" fontId="86" fillId="4" borderId="44" xfId="0" applyFont="1" applyFill="1" applyBorder="1" applyAlignment="1" applyProtection="1">
      <alignment vertical="center" wrapText="1"/>
      <protection hidden="1"/>
    </xf>
    <xf numFmtId="183" fontId="0" fillId="0" borderId="2" xfId="0" applyNumberFormat="1" applyBorder="1" applyAlignment="1" applyProtection="1">
      <alignment horizontal="center"/>
      <protection locked="0"/>
    </xf>
    <xf numFmtId="183" fontId="0" fillId="0" borderId="10" xfId="0" applyNumberFormat="1" applyBorder="1" applyAlignment="1" applyProtection="1">
      <alignment horizontal="center"/>
      <protection locked="0"/>
    </xf>
    <xf numFmtId="14" fontId="0" fillId="0" borderId="14" xfId="0" applyNumberFormat="1" applyBorder="1" applyAlignment="1" applyProtection="1">
      <alignment horizontal="center" vertical="center"/>
      <protection locked="0"/>
    </xf>
    <xf numFmtId="0" fontId="49" fillId="0" borderId="2" xfId="2" applyNumberFormat="1" applyBorder="1" applyAlignment="1" applyProtection="1">
      <alignment vertical="center"/>
    </xf>
    <xf numFmtId="0" fontId="0" fillId="0" borderId="12" xfId="0" applyBorder="1" applyAlignment="1">
      <alignment vertical="center" wrapText="1"/>
    </xf>
    <xf numFmtId="14" fontId="0" fillId="0" borderId="108" xfId="0" applyNumberFormat="1" applyBorder="1" applyAlignment="1" applyProtection="1">
      <alignment horizontal="center"/>
      <protection locked="0"/>
    </xf>
    <xf numFmtId="183" fontId="181" fillId="0" borderId="2" xfId="0" applyNumberFormat="1" applyFont="1" applyBorder="1" applyAlignment="1" applyProtection="1">
      <alignment horizontal="center"/>
      <protection locked="0"/>
    </xf>
    <xf numFmtId="8" fontId="181" fillId="0" borderId="152" xfId="0" applyNumberFormat="1" applyFont="1" applyBorder="1" applyAlignment="1" applyProtection="1">
      <alignment horizontal="center"/>
      <protection locked="0"/>
    </xf>
    <xf numFmtId="183" fontId="181" fillId="0" borderId="10" xfId="0" applyNumberFormat="1" applyFont="1" applyBorder="1" applyAlignment="1" applyProtection="1">
      <alignment horizontal="center"/>
      <protection locked="0"/>
    </xf>
    <xf numFmtId="8" fontId="181" fillId="0" borderId="15" xfId="0" applyNumberFormat="1" applyFont="1" applyBorder="1" applyAlignment="1" applyProtection="1">
      <alignment horizontal="center"/>
      <protection locked="0"/>
    </xf>
    <xf numFmtId="0" fontId="0" fillId="4" borderId="5" xfId="0" applyFill="1" applyBorder="1" applyAlignment="1" applyProtection="1">
      <alignment vertical="center"/>
      <protection hidden="1"/>
    </xf>
    <xf numFmtId="0" fontId="86" fillId="4" borderId="4" xfId="0" applyFont="1" applyFill="1" applyBorder="1" applyProtection="1">
      <protection hidden="1"/>
    </xf>
    <xf numFmtId="8" fontId="0" fillId="4" borderId="3" xfId="0" applyNumberFormat="1" applyFill="1" applyBorder="1" applyAlignment="1" applyProtection="1">
      <alignment horizontal="center"/>
      <protection hidden="1"/>
    </xf>
    <xf numFmtId="0" fontId="0" fillId="4" borderId="3" xfId="0" applyFill="1" applyBorder="1" applyProtection="1">
      <protection hidden="1"/>
    </xf>
    <xf numFmtId="8" fontId="91" fillId="4" borderId="7" xfId="0" applyNumberFormat="1" applyFont="1" applyFill="1" applyBorder="1" applyAlignment="1" applyProtection="1">
      <alignment horizontal="center" vertical="center"/>
      <protection hidden="1"/>
    </xf>
    <xf numFmtId="8" fontId="0" fillId="4" borderId="2" xfId="0" applyNumberFormat="1" applyFill="1" applyBorder="1" applyProtection="1">
      <protection hidden="1"/>
    </xf>
    <xf numFmtId="0" fontId="86" fillId="4" borderId="6" xfId="0" applyFont="1" applyFill="1" applyBorder="1" applyAlignment="1" applyProtection="1">
      <alignment horizontal="center"/>
      <protection hidden="1"/>
    </xf>
    <xf numFmtId="8" fontId="75" fillId="4" borderId="2" xfId="0" applyNumberFormat="1" applyFont="1" applyFill="1" applyBorder="1" applyAlignment="1" applyProtection="1">
      <alignment vertical="center"/>
      <protection hidden="1"/>
    </xf>
    <xf numFmtId="8" fontId="140" fillId="4" borderId="2" xfId="0" applyNumberFormat="1" applyFont="1" applyFill="1" applyBorder="1" applyAlignment="1" applyProtection="1">
      <alignment vertical="center"/>
      <protection hidden="1"/>
    </xf>
    <xf numFmtId="0" fontId="91" fillId="4" borderId="103" xfId="0" applyFont="1" applyFill="1" applyBorder="1" applyAlignment="1" applyProtection="1">
      <alignment horizontal="center" vertical="center"/>
      <protection hidden="1"/>
    </xf>
    <xf numFmtId="8" fontId="0" fillId="4" borderId="7" xfId="0" applyNumberFormat="1" applyFill="1" applyBorder="1" applyAlignment="1" applyProtection="1">
      <alignment horizontal="center" vertical="center"/>
      <protection hidden="1"/>
    </xf>
    <xf numFmtId="8" fontId="86" fillId="4" borderId="6" xfId="0" applyNumberFormat="1" applyFont="1" applyFill="1" applyBorder="1" applyAlignment="1" applyProtection="1">
      <alignment vertical="center"/>
      <protection hidden="1"/>
    </xf>
    <xf numFmtId="8" fontId="86" fillId="4" borderId="80" xfId="0" applyNumberFormat="1" applyFont="1" applyFill="1" applyBorder="1" applyAlignment="1" applyProtection="1">
      <alignment vertical="center"/>
      <protection hidden="1"/>
    </xf>
    <xf numFmtId="0" fontId="130" fillId="0" borderId="0" xfId="2" applyNumberFormat="1" applyFont="1" applyFill="1" applyAlignment="1" applyProtection="1">
      <alignment horizontal="left"/>
    </xf>
    <xf numFmtId="14" fontId="0" fillId="4" borderId="3" xfId="0" applyNumberFormat="1" applyFill="1" applyBorder="1" applyAlignment="1" applyProtection="1">
      <alignment horizontal="center" vertical="center"/>
      <protection hidden="1"/>
    </xf>
    <xf numFmtId="8" fontId="0" fillId="4" borderId="4" xfId="0" applyNumberFormat="1" applyFill="1" applyBorder="1" applyAlignment="1" applyProtection="1">
      <alignment horizontal="center" vertical="center"/>
      <protection hidden="1"/>
    </xf>
    <xf numFmtId="8" fontId="86" fillId="4" borderId="4" xfId="0" applyNumberFormat="1" applyFont="1" applyFill="1" applyBorder="1" applyAlignment="1" applyProtection="1">
      <alignment horizontal="center"/>
      <protection hidden="1"/>
    </xf>
    <xf numFmtId="8" fontId="86" fillId="4" borderId="3" xfId="0" applyNumberFormat="1" applyFont="1" applyFill="1" applyBorder="1" applyAlignment="1" applyProtection="1">
      <alignment horizontal="center"/>
      <protection hidden="1"/>
    </xf>
    <xf numFmtId="6" fontId="0" fillId="4" borderId="4" xfId="0" applyNumberFormat="1" applyFill="1" applyBorder="1" applyAlignment="1" applyProtection="1">
      <alignment horizontal="center" vertical="center"/>
      <protection hidden="1"/>
    </xf>
    <xf numFmtId="8" fontId="0" fillId="4" borderId="4" xfId="0" applyNumberFormat="1" applyFill="1" applyBorder="1" applyProtection="1">
      <protection hidden="1"/>
    </xf>
    <xf numFmtId="8" fontId="0" fillId="4" borderId="3" xfId="0" applyNumberFormat="1" applyFill="1" applyBorder="1" applyProtection="1">
      <protection hidden="1"/>
    </xf>
    <xf numFmtId="8" fontId="108" fillId="4" borderId="5" xfId="0" applyNumberFormat="1" applyFont="1" applyFill="1" applyBorder="1" applyProtection="1">
      <protection hidden="1"/>
    </xf>
    <xf numFmtId="8" fontId="108" fillId="4" borderId="7" xfId="0" applyNumberFormat="1" applyFont="1" applyFill="1" applyBorder="1" applyProtection="1">
      <protection hidden="1"/>
    </xf>
    <xf numFmtId="0" fontId="86" fillId="4" borderId="4" xfId="0" applyFont="1" applyFill="1" applyBorder="1" applyAlignment="1" applyProtection="1">
      <alignment horizontal="center" vertical="center"/>
      <protection hidden="1"/>
    </xf>
    <xf numFmtId="14" fontId="86" fillId="4" borderId="3" xfId="0" applyNumberFormat="1" applyFont="1" applyFill="1" applyBorder="1" applyAlignment="1" applyProtection="1">
      <alignment horizontal="center" vertical="center"/>
      <protection hidden="1"/>
    </xf>
    <xf numFmtId="0" fontId="0" fillId="0" borderId="0" xfId="0" applyAlignment="1" applyProtection="1">
      <alignment horizontal="center" vertical="center"/>
      <protection locked="0" hidden="1"/>
    </xf>
    <xf numFmtId="0" fontId="91" fillId="0" borderId="0" xfId="0" applyFont="1" applyAlignment="1" applyProtection="1">
      <alignment horizontal="center" vertical="center" wrapText="1"/>
      <protection locked="0"/>
    </xf>
    <xf numFmtId="8" fontId="0" fillId="4" borderId="159" xfId="0" applyNumberFormat="1" applyFill="1" applyBorder="1" applyAlignment="1" applyProtection="1">
      <alignment horizontal="center" vertical="center"/>
      <protection hidden="1"/>
    </xf>
    <xf numFmtId="174" fontId="0" fillId="0" borderId="4" xfId="0" applyNumberFormat="1" applyBorder="1" applyAlignment="1">
      <alignment horizontal="center" vertical="center"/>
    </xf>
    <xf numFmtId="4" fontId="0" fillId="0" borderId="2" xfId="0" applyNumberFormat="1" applyBorder="1" applyAlignment="1">
      <alignment horizontal="center" vertical="center"/>
    </xf>
    <xf numFmtId="14" fontId="0" fillId="0" borderId="2" xfId="0" applyNumberFormat="1" applyBorder="1" applyAlignment="1">
      <alignment horizontal="center" textRotation="90"/>
    </xf>
    <xf numFmtId="4" fontId="0" fillId="0" borderId="1" xfId="0" applyNumberFormat="1" applyBorder="1" applyAlignment="1">
      <alignment horizontal="center" vertical="center"/>
    </xf>
    <xf numFmtId="4" fontId="0" fillId="0" borderId="2" xfId="0" applyNumberFormat="1" applyBorder="1"/>
    <xf numFmtId="10" fontId="0" fillId="0" borderId="2" xfId="3" applyNumberFormat="1" applyFont="1" applyFill="1" applyBorder="1" applyAlignment="1">
      <alignment horizontal="center"/>
    </xf>
    <xf numFmtId="10" fontId="0" fillId="0" borderId="3" xfId="3" applyNumberFormat="1" applyFont="1" applyFill="1" applyBorder="1" applyAlignment="1">
      <alignment horizontal="center"/>
    </xf>
    <xf numFmtId="4" fontId="0" fillId="0" borderId="6" xfId="0" applyNumberFormat="1" applyBorder="1"/>
    <xf numFmtId="10" fontId="0" fillId="0" borderId="6" xfId="3" applyNumberFormat="1" applyFont="1" applyFill="1" applyBorder="1" applyAlignment="1">
      <alignment horizontal="center"/>
    </xf>
    <xf numFmtId="10" fontId="0" fillId="0" borderId="7" xfId="3" applyNumberFormat="1" applyFont="1" applyFill="1" applyBorder="1" applyAlignment="1">
      <alignment horizontal="center"/>
    </xf>
    <xf numFmtId="6" fontId="90" fillId="4" borderId="7" xfId="0" applyNumberFormat="1" applyFont="1" applyFill="1" applyBorder="1" applyAlignment="1" applyProtection="1">
      <alignment horizontal="center" vertical="center"/>
      <protection hidden="1"/>
    </xf>
    <xf numFmtId="0" fontId="0" fillId="0" borderId="0" xfId="0" applyAlignment="1">
      <alignment horizontal="left" wrapText="1"/>
    </xf>
    <xf numFmtId="0" fontId="0" fillId="9" borderId="0" xfId="0" applyFill="1"/>
    <xf numFmtId="14" fontId="0" fillId="9" borderId="0" xfId="0" applyNumberFormat="1" applyFill="1"/>
    <xf numFmtId="0" fontId="0" fillId="9" borderId="0" xfId="0" applyFill="1" applyAlignment="1">
      <alignment vertical="center" wrapText="1"/>
    </xf>
    <xf numFmtId="0" fontId="0" fillId="9" borderId="0" xfId="0" applyFill="1" applyAlignment="1">
      <alignment horizontal="left" wrapText="1"/>
    </xf>
    <xf numFmtId="0" fontId="0" fillId="9" borderId="0" xfId="0" applyFill="1" applyAlignment="1">
      <alignment vertical="center"/>
    </xf>
    <xf numFmtId="0" fontId="107" fillId="4" borderId="0" xfId="0" applyFont="1" applyFill="1" applyAlignment="1">
      <alignment vertical="center" wrapText="1"/>
    </xf>
    <xf numFmtId="0" fontId="49" fillId="4" borderId="0" xfId="2" applyNumberFormat="1" applyFill="1" applyAlignment="1" applyProtection="1">
      <alignment vertical="center"/>
    </xf>
    <xf numFmtId="0" fontId="49" fillId="4" borderId="0" xfId="2" applyNumberFormat="1" applyFill="1" applyAlignment="1" applyProtection="1">
      <alignment horizontal="center" vertical="center" wrapText="1"/>
    </xf>
    <xf numFmtId="0" fontId="0" fillId="0" borderId="0" xfId="0" applyAlignment="1">
      <alignment horizontal="right" vertical="center" wrapText="1"/>
    </xf>
    <xf numFmtId="8" fontId="86" fillId="4" borderId="160" xfId="0" applyNumberFormat="1" applyFont="1" applyFill="1" applyBorder="1" applyAlignment="1" applyProtection="1">
      <alignment horizontal="center" vertical="center"/>
      <protection hidden="1"/>
    </xf>
    <xf numFmtId="10" fontId="0" fillId="4" borderId="27" xfId="3" applyNumberFormat="1" applyFont="1" applyFill="1" applyBorder="1" applyAlignment="1" applyProtection="1">
      <alignment horizontal="center" vertical="center"/>
      <protection hidden="1"/>
    </xf>
    <xf numFmtId="0" fontId="0" fillId="0" borderId="2" xfId="0" applyBorder="1" applyAlignment="1">
      <alignment horizontal="left" vertical="center"/>
    </xf>
    <xf numFmtId="0" fontId="0" fillId="9" borderId="13" xfId="0" applyFill="1" applyBorder="1"/>
    <xf numFmtId="8" fontId="0" fillId="0" borderId="12" xfId="0" applyNumberFormat="1" applyBorder="1" applyAlignment="1" applyProtection="1">
      <alignment horizontal="center" vertical="center"/>
      <protection locked="0"/>
    </xf>
    <xf numFmtId="0" fontId="0" fillId="9" borderId="12" xfId="0" applyFill="1" applyBorder="1"/>
    <xf numFmtId="0" fontId="0" fillId="9" borderId="0" xfId="0" applyFill="1" applyAlignment="1">
      <alignment vertical="top"/>
    </xf>
    <xf numFmtId="0" fontId="0" fillId="9" borderId="0" xfId="0" applyFill="1" applyAlignment="1">
      <alignment horizontal="left" vertical="top" wrapText="1"/>
    </xf>
    <xf numFmtId="0" fontId="0" fillId="0" borderId="0" xfId="0" applyAlignment="1">
      <alignment horizontal="right" vertical="top"/>
    </xf>
    <xf numFmtId="0" fontId="0" fillId="0" borderId="0" xfId="0" applyAlignment="1">
      <alignment horizontal="center" vertical="top"/>
    </xf>
    <xf numFmtId="0" fontId="0" fillId="0" borderId="0" xfId="0" applyAlignment="1">
      <alignment vertical="top"/>
    </xf>
    <xf numFmtId="14" fontId="0" fillId="0" borderId="0" xfId="0" applyNumberFormat="1" applyAlignment="1">
      <alignment horizontal="center" vertical="top"/>
    </xf>
    <xf numFmtId="0" fontId="91" fillId="0" borderId="0" xfId="0" applyFont="1" applyAlignment="1" applyProtection="1">
      <alignment vertical="center" wrapText="1"/>
      <protection locked="0"/>
    </xf>
    <xf numFmtId="0" fontId="0" fillId="0" borderId="0" xfId="0" applyAlignment="1">
      <alignment horizontal="left" vertical="center" wrapText="1"/>
    </xf>
    <xf numFmtId="8" fontId="0" fillId="6" borderId="3" xfId="0" applyNumberFormat="1" applyFill="1" applyBorder="1" applyAlignment="1" applyProtection="1">
      <alignment horizontal="center"/>
      <protection locked="0"/>
    </xf>
    <xf numFmtId="0" fontId="96" fillId="4" borderId="0" xfId="0" applyFont="1" applyFill="1" applyAlignment="1" applyProtection="1">
      <alignment horizontal="center" vertical="center"/>
      <protection hidden="1"/>
    </xf>
    <xf numFmtId="0" fontId="101" fillId="4" borderId="0" xfId="0" applyFont="1" applyFill="1" applyAlignment="1" applyProtection="1">
      <alignment horizontal="center" vertical="center"/>
      <protection hidden="1"/>
    </xf>
    <xf numFmtId="0" fontId="91" fillId="4" borderId="0" xfId="0" applyFont="1" applyFill="1" applyAlignment="1" applyProtection="1">
      <alignment horizontal="center" vertical="center" wrapText="1"/>
      <protection hidden="1"/>
    </xf>
    <xf numFmtId="0" fontId="91" fillId="4" borderId="0" xfId="0" applyFont="1" applyFill="1" applyAlignment="1" applyProtection="1">
      <alignment horizontal="center" vertical="center"/>
      <protection hidden="1"/>
    </xf>
    <xf numFmtId="8" fontId="0" fillId="4" borderId="0" xfId="0" applyNumberFormat="1" applyFill="1" applyAlignment="1" applyProtection="1">
      <alignment horizontal="right" vertical="center"/>
      <protection hidden="1"/>
    </xf>
    <xf numFmtId="6" fontId="0" fillId="4" borderId="0" xfId="0" applyNumberFormat="1" applyFill="1" applyAlignment="1" applyProtection="1">
      <alignment horizontal="right" vertical="center"/>
      <protection hidden="1"/>
    </xf>
    <xf numFmtId="8" fontId="86" fillId="4" borderId="0" xfId="0" applyNumberFormat="1" applyFont="1" applyFill="1" applyAlignment="1" applyProtection="1">
      <alignment horizontal="right" vertical="center"/>
      <protection hidden="1"/>
    </xf>
    <xf numFmtId="10" fontId="0" fillId="4" borderId="0" xfId="3" applyNumberFormat="1" applyFont="1" applyFill="1" applyBorder="1" applyAlignment="1" applyProtection="1">
      <alignment horizontal="right" vertical="center"/>
      <protection hidden="1"/>
    </xf>
    <xf numFmtId="0" fontId="156" fillId="4" borderId="0" xfId="2" applyNumberFormat="1" applyFont="1" applyFill="1" applyBorder="1" applyAlignment="1" applyProtection="1">
      <alignment horizontal="center" vertical="center"/>
      <protection locked="0" hidden="1"/>
    </xf>
    <xf numFmtId="0" fontId="86" fillId="4" borderId="19" xfId="0" applyFont="1" applyFill="1" applyBorder="1" applyAlignment="1" applyProtection="1">
      <alignment horizontal="right" vertical="center"/>
      <protection hidden="1"/>
    </xf>
    <xf numFmtId="171" fontId="0" fillId="4" borderId="3" xfId="0" applyNumberFormat="1" applyFill="1" applyBorder="1" applyAlignment="1" applyProtection="1">
      <alignment horizontal="center" vertical="center"/>
      <protection locked="0" hidden="1"/>
    </xf>
    <xf numFmtId="1" fontId="0" fillId="4" borderId="3" xfId="0" quotePrefix="1" applyNumberFormat="1" applyFill="1" applyBorder="1" applyAlignment="1" applyProtection="1">
      <alignment horizontal="center" vertical="center"/>
      <protection hidden="1"/>
    </xf>
    <xf numFmtId="8" fontId="0" fillId="4" borderId="3" xfId="0" applyNumberFormat="1" applyFill="1" applyBorder="1" applyAlignment="1" applyProtection="1">
      <alignment vertical="center"/>
      <protection hidden="1"/>
    </xf>
    <xf numFmtId="10" fontId="62" fillId="4" borderId="3" xfId="3" applyNumberFormat="1" applyFill="1" applyBorder="1" applyAlignment="1" applyProtection="1">
      <alignment horizontal="center" vertical="center"/>
      <protection hidden="1"/>
    </xf>
    <xf numFmtId="0" fontId="0" fillId="4" borderId="3" xfId="0" applyFill="1" applyBorder="1" applyAlignment="1" applyProtection="1">
      <alignment vertical="center"/>
      <protection hidden="1"/>
    </xf>
    <xf numFmtId="0" fontId="0" fillId="4" borderId="4" xfId="0" quotePrefix="1" applyFill="1" applyBorder="1" applyAlignment="1">
      <alignment horizontal="right" vertical="center"/>
    </xf>
    <xf numFmtId="6" fontId="91" fillId="4" borderId="19" xfId="0" applyNumberFormat="1" applyFont="1" applyFill="1" applyBorder="1" applyAlignment="1" applyProtection="1">
      <alignment vertical="center"/>
      <protection hidden="1"/>
    </xf>
    <xf numFmtId="6" fontId="91" fillId="4" borderId="15" xfId="0" applyNumberFormat="1" applyFont="1" applyFill="1" applyBorder="1" applyAlignment="1" applyProtection="1">
      <alignment vertical="center"/>
      <protection hidden="1"/>
    </xf>
    <xf numFmtId="0" fontId="47" fillId="4" borderId="0" xfId="0" applyFont="1" applyFill="1" applyAlignment="1">
      <alignment vertical="center"/>
    </xf>
    <xf numFmtId="0" fontId="90" fillId="4" borderId="12" xfId="0" applyFont="1" applyFill="1" applyBorder="1" applyAlignment="1" applyProtection="1">
      <alignment vertical="center"/>
      <protection hidden="1"/>
    </xf>
    <xf numFmtId="8" fontId="90" fillId="4" borderId="12" xfId="0" applyNumberFormat="1" applyFont="1" applyFill="1" applyBorder="1" applyAlignment="1" applyProtection="1">
      <alignment vertical="center"/>
      <protection hidden="1"/>
    </xf>
    <xf numFmtId="8" fontId="90" fillId="4" borderId="42" xfId="0" applyNumberFormat="1" applyFont="1" applyFill="1" applyBorder="1" applyAlignment="1" applyProtection="1">
      <alignment vertical="center"/>
      <protection hidden="1"/>
    </xf>
    <xf numFmtId="0" fontId="75" fillId="4" borderId="21" xfId="0" applyFont="1" applyFill="1" applyBorder="1" applyAlignment="1">
      <alignment horizontal="center" vertical="center"/>
    </xf>
    <xf numFmtId="0" fontId="0" fillId="4" borderId="83" xfId="0" applyFill="1" applyBorder="1" applyAlignment="1">
      <alignment horizontal="center" vertical="center"/>
    </xf>
    <xf numFmtId="0" fontId="107" fillId="4" borderId="24" xfId="0" applyFont="1" applyFill="1" applyBorder="1" applyAlignment="1" applyProtection="1">
      <alignment horizontal="center" vertical="center"/>
      <protection hidden="1"/>
    </xf>
    <xf numFmtId="0" fontId="107" fillId="4" borderId="22" xfId="0" applyFont="1" applyFill="1" applyBorder="1" applyAlignment="1" applyProtection="1">
      <alignment horizontal="center" vertical="center"/>
      <protection hidden="1"/>
    </xf>
    <xf numFmtId="0" fontId="134" fillId="4" borderId="4" xfId="2" applyNumberFormat="1" applyFont="1" applyFill="1" applyBorder="1" applyAlignment="1" applyProtection="1">
      <alignment horizontal="right" vertical="center"/>
    </xf>
    <xf numFmtId="0" fontId="49" fillId="4" borderId="4" xfId="2" applyNumberFormat="1" applyFill="1" applyBorder="1" applyAlignment="1" applyProtection="1">
      <alignment horizontal="right" vertical="center"/>
    </xf>
    <xf numFmtId="0" fontId="129" fillId="4" borderId="4" xfId="0" applyFont="1" applyFill="1" applyBorder="1" applyAlignment="1">
      <alignment horizontal="right" vertical="center"/>
    </xf>
    <xf numFmtId="0" fontId="0" fillId="4" borderId="13" xfId="0" applyFill="1" applyBorder="1" applyAlignment="1">
      <alignment horizontal="right" vertical="center"/>
    </xf>
    <xf numFmtId="10" fontId="88" fillId="4" borderId="3" xfId="3" applyNumberFormat="1" applyFont="1" applyFill="1" applyBorder="1" applyAlignment="1" applyProtection="1">
      <alignment horizontal="center" vertical="center"/>
      <protection hidden="1"/>
    </xf>
    <xf numFmtId="0" fontId="92" fillId="4" borderId="3" xfId="0" applyFont="1" applyFill="1" applyBorder="1" applyAlignment="1" applyProtection="1">
      <alignment horizontal="center" vertical="center"/>
      <protection hidden="1"/>
    </xf>
    <xf numFmtId="4" fontId="30" fillId="0" borderId="0" xfId="0" applyNumberFormat="1" applyFont="1"/>
    <xf numFmtId="4" fontId="184" fillId="0" borderId="0" xfId="0" applyNumberFormat="1" applyFont="1"/>
    <xf numFmtId="4" fontId="184" fillId="9" borderId="0" xfId="0" applyNumberFormat="1" applyFont="1" applyFill="1"/>
    <xf numFmtId="166" fontId="184" fillId="0" borderId="0" xfId="0" applyNumberFormat="1" applyFont="1" applyAlignment="1">
      <alignment horizontal="center"/>
    </xf>
    <xf numFmtId="174" fontId="184" fillId="0" borderId="0" xfId="0" applyNumberFormat="1" applyFont="1" applyAlignment="1">
      <alignment horizontal="center"/>
    </xf>
    <xf numFmtId="8" fontId="184" fillId="0" borderId="0" xfId="0" applyNumberFormat="1" applyFont="1" applyAlignment="1">
      <alignment horizontal="center"/>
    </xf>
    <xf numFmtId="8" fontId="184" fillId="0" borderId="15" xfId="0" applyNumberFormat="1" applyFont="1" applyBorder="1" applyAlignment="1">
      <alignment horizontal="center"/>
    </xf>
    <xf numFmtId="0" fontId="0" fillId="4" borderId="4" xfId="0" applyFill="1" applyBorder="1" applyAlignment="1" applyProtection="1">
      <alignment horizontal="left"/>
      <protection hidden="1"/>
    </xf>
    <xf numFmtId="8" fontId="86" fillId="4" borderId="2" xfId="0" applyNumberFormat="1" applyFont="1" applyFill="1" applyBorder="1" applyProtection="1">
      <protection hidden="1"/>
    </xf>
    <xf numFmtId="8" fontId="86" fillId="4" borderId="3" xfId="0" applyNumberFormat="1" applyFont="1" applyFill="1" applyBorder="1" applyProtection="1">
      <protection hidden="1"/>
    </xf>
    <xf numFmtId="8" fontId="0" fillId="4" borderId="6" xfId="0" applyNumberFormat="1" applyFill="1" applyBorder="1" applyProtection="1">
      <protection hidden="1"/>
    </xf>
    <xf numFmtId="8" fontId="0" fillId="4" borderId="7" xfId="0" applyNumberFormat="1" applyFill="1" applyBorder="1" applyProtection="1">
      <protection hidden="1"/>
    </xf>
    <xf numFmtId="0" fontId="88" fillId="4" borderId="4" xfId="0" applyFont="1" applyFill="1" applyBorder="1" applyAlignment="1" applyProtection="1">
      <alignment vertical="center" wrapText="1"/>
      <protection hidden="1"/>
    </xf>
    <xf numFmtId="0" fontId="88" fillId="4" borderId="4" xfId="0" applyFont="1" applyFill="1" applyBorder="1" applyAlignment="1" applyProtection="1">
      <alignment vertical="center"/>
      <protection hidden="1"/>
    </xf>
    <xf numFmtId="0" fontId="0" fillId="4" borderId="26" xfId="0" applyFill="1" applyBorder="1" applyAlignment="1" applyProtection="1">
      <alignment vertical="center"/>
      <protection hidden="1"/>
    </xf>
    <xf numFmtId="8" fontId="91" fillId="4" borderId="3" xfId="0" applyNumberFormat="1" applyFont="1" applyFill="1" applyBorder="1" applyAlignment="1" applyProtection="1">
      <alignment horizontal="center" vertical="center"/>
      <protection hidden="1"/>
    </xf>
    <xf numFmtId="0" fontId="86" fillId="9" borderId="65" xfId="0" applyFont="1" applyFill="1" applyBorder="1" applyAlignment="1" applyProtection="1">
      <alignment horizontal="right" vertical="center"/>
      <protection hidden="1"/>
    </xf>
    <xf numFmtId="0" fontId="182" fillId="9" borderId="19" xfId="0" applyFont="1" applyFill="1" applyBorder="1" applyAlignment="1" applyProtection="1">
      <alignment vertical="center"/>
      <protection hidden="1"/>
    </xf>
    <xf numFmtId="0" fontId="182" fillId="9" borderId="28" xfId="0" applyFont="1" applyFill="1" applyBorder="1" applyAlignment="1" applyProtection="1">
      <alignment vertical="center"/>
      <protection hidden="1"/>
    </xf>
    <xf numFmtId="167" fontId="0" fillId="4" borderId="28" xfId="0" applyNumberFormat="1" applyFill="1" applyBorder="1" applyAlignment="1" applyProtection="1">
      <alignment horizontal="center"/>
      <protection hidden="1"/>
    </xf>
    <xf numFmtId="167" fontId="0" fillId="4" borderId="29" xfId="0" applyNumberFormat="1" applyFill="1" applyBorder="1" applyAlignment="1" applyProtection="1">
      <alignment horizontal="center"/>
      <protection hidden="1"/>
    </xf>
    <xf numFmtId="177" fontId="0" fillId="4" borderId="28" xfId="0" applyNumberFormat="1" applyFill="1" applyBorder="1" applyAlignment="1" applyProtection="1">
      <alignment horizontal="center"/>
      <protection hidden="1"/>
    </xf>
    <xf numFmtId="4" fontId="44" fillId="4" borderId="38" xfId="0" applyNumberFormat="1" applyFont="1" applyFill="1" applyBorder="1" applyAlignment="1" applyProtection="1">
      <alignment horizontal="center" vertical="center"/>
      <protection hidden="1"/>
    </xf>
    <xf numFmtId="4" fontId="91" fillId="4" borderId="0" xfId="0" applyNumberFormat="1" applyFont="1" applyFill="1" applyAlignment="1" applyProtection="1">
      <alignment horizontal="center" vertical="center" wrapText="1"/>
      <protection hidden="1"/>
    </xf>
    <xf numFmtId="10" fontId="76" fillId="4" borderId="40" xfId="3" applyNumberFormat="1" applyFont="1" applyFill="1" applyBorder="1" applyAlignment="1" applyProtection="1">
      <alignment horizontal="center" vertical="center"/>
      <protection hidden="1"/>
    </xf>
    <xf numFmtId="1" fontId="0" fillId="4" borderId="29" xfId="0" applyNumberFormat="1" applyFill="1" applyBorder="1" applyAlignment="1" applyProtection="1">
      <alignment horizontal="center"/>
      <protection hidden="1"/>
    </xf>
    <xf numFmtId="1" fontId="0" fillId="4" borderId="30" xfId="0" applyNumberFormat="1" applyFill="1" applyBorder="1" applyAlignment="1" applyProtection="1">
      <alignment horizontal="center"/>
      <protection hidden="1"/>
    </xf>
    <xf numFmtId="1" fontId="0" fillId="4" borderId="26" xfId="0" applyNumberFormat="1" applyFill="1" applyBorder="1" applyAlignment="1" applyProtection="1">
      <alignment horizontal="center"/>
      <protection hidden="1"/>
    </xf>
    <xf numFmtId="1" fontId="0" fillId="4" borderId="31" xfId="0" applyNumberFormat="1" applyFill="1" applyBorder="1" applyAlignment="1" applyProtection="1">
      <alignment horizontal="center"/>
      <protection hidden="1"/>
    </xf>
    <xf numFmtId="164" fontId="99" fillId="4" borderId="3" xfId="0" applyNumberFormat="1" applyFont="1" applyFill="1" applyBorder="1" applyAlignment="1" applyProtection="1">
      <alignment vertical="center"/>
      <protection hidden="1"/>
    </xf>
    <xf numFmtId="0" fontId="99" fillId="4" borderId="6" xfId="0" applyFont="1" applyFill="1" applyBorder="1" applyAlignment="1" applyProtection="1">
      <alignment horizontal="right" vertical="center"/>
      <protection hidden="1"/>
    </xf>
    <xf numFmtId="2" fontId="0" fillId="0" borderId="2" xfId="0" quotePrefix="1" applyNumberFormat="1" applyBorder="1" applyAlignment="1">
      <alignment horizontal="center" vertical="center"/>
    </xf>
    <xf numFmtId="10" fontId="0" fillId="0" borderId="2" xfId="3" quotePrefix="1" applyNumberFormat="1" applyFont="1" applyBorder="1" applyAlignment="1">
      <alignment horizontal="center" vertical="center"/>
    </xf>
    <xf numFmtId="2" fontId="0" fillId="4" borderId="140" xfId="0" applyNumberFormat="1" applyFill="1" applyBorder="1" applyAlignment="1" applyProtection="1">
      <alignment horizontal="center" vertical="center" wrapText="1"/>
      <protection hidden="1"/>
    </xf>
    <xf numFmtId="8" fontId="0" fillId="0" borderId="0" xfId="0" quotePrefix="1" applyNumberFormat="1" applyAlignment="1">
      <alignment vertical="center"/>
    </xf>
    <xf numFmtId="0" fontId="116" fillId="0" borderId="65" xfId="0" applyFont="1" applyBorder="1" applyAlignment="1" applyProtection="1">
      <alignment vertical="center"/>
      <protection hidden="1"/>
    </xf>
    <xf numFmtId="6" fontId="107" fillId="4" borderId="78" xfId="0" applyNumberFormat="1" applyFont="1" applyFill="1" applyBorder="1" applyAlignment="1" applyProtection="1">
      <alignment vertical="center"/>
      <protection hidden="1"/>
    </xf>
    <xf numFmtId="6" fontId="90" fillId="4" borderId="10" xfId="0" applyNumberFormat="1" applyFont="1" applyFill="1" applyBorder="1" applyAlignment="1">
      <alignment vertical="center"/>
    </xf>
    <xf numFmtId="6" fontId="90" fillId="4" borderId="82" xfId="0" applyNumberFormat="1" applyFont="1" applyFill="1" applyBorder="1" applyAlignment="1" applyProtection="1">
      <alignment horizontal="center" vertical="center"/>
      <protection hidden="1"/>
    </xf>
    <xf numFmtId="8" fontId="90" fillId="6" borderId="3" xfId="0" applyNumberFormat="1" applyFont="1" applyFill="1" applyBorder="1" applyAlignment="1" applyProtection="1">
      <alignment vertical="center"/>
      <protection locked="0"/>
    </xf>
    <xf numFmtId="192" fontId="86" fillId="0" borderId="14" xfId="0" applyNumberFormat="1" applyFont="1" applyBorder="1" applyAlignment="1" applyProtection="1">
      <alignment horizontal="center" vertical="center"/>
      <protection locked="0"/>
    </xf>
    <xf numFmtId="8" fontId="0" fillId="0" borderId="3" xfId="0" applyNumberFormat="1" applyBorder="1" applyAlignment="1" applyProtection="1">
      <alignment horizontal="center" vertical="center"/>
      <protection locked="0"/>
    </xf>
    <xf numFmtId="10" fontId="85" fillId="0" borderId="2" xfId="3" applyNumberFormat="1" applyFont="1" applyBorder="1" applyAlignment="1">
      <alignment horizontal="center" vertical="center"/>
    </xf>
    <xf numFmtId="2" fontId="0" fillId="0" borderId="2" xfId="0" applyNumberFormat="1" applyBorder="1"/>
    <xf numFmtId="10" fontId="91" fillId="0" borderId="0" xfId="3" applyNumberFormat="1" applyFont="1" applyFill="1"/>
    <xf numFmtId="0" fontId="91" fillId="0" borderId="19" xfId="0" applyFont="1" applyBorder="1" applyAlignment="1">
      <alignment horizontal="center" vertical="center"/>
    </xf>
    <xf numFmtId="10" fontId="107" fillId="4" borderId="161" xfId="3" applyNumberFormat="1" applyFont="1" applyFill="1" applyBorder="1" applyAlignment="1" applyProtection="1">
      <alignment horizontal="center" vertical="top" wrapText="1"/>
      <protection hidden="1"/>
    </xf>
    <xf numFmtId="0" fontId="0" fillId="4" borderId="2" xfId="0" applyFill="1" applyBorder="1" applyAlignment="1" applyProtection="1">
      <alignment horizontal="center" vertical="center"/>
      <protection hidden="1"/>
    </xf>
    <xf numFmtId="0" fontId="0" fillId="4" borderId="4" xfId="0" applyFill="1" applyBorder="1" applyAlignment="1" applyProtection="1">
      <alignment horizontal="right"/>
      <protection hidden="1"/>
    </xf>
    <xf numFmtId="0" fontId="86" fillId="4" borderId="4" xfId="0" applyFont="1" applyFill="1" applyBorder="1" applyAlignment="1" applyProtection="1">
      <alignment horizontal="right"/>
      <protection hidden="1"/>
    </xf>
    <xf numFmtId="6" fontId="0" fillId="4" borderId="3" xfId="0" applyNumberFormat="1" applyFill="1" applyBorder="1" applyAlignment="1" applyProtection="1">
      <alignment horizontal="center" vertical="center"/>
      <protection hidden="1"/>
    </xf>
    <xf numFmtId="8" fontId="75" fillId="4" borderId="100" xfId="0" applyNumberFormat="1" applyFont="1" applyFill="1" applyBorder="1" applyAlignment="1" applyProtection="1">
      <alignment horizontal="center" vertical="center" wrapText="1"/>
      <protection hidden="1"/>
    </xf>
    <xf numFmtId="8" fontId="86" fillId="0" borderId="141" xfId="0" applyNumberFormat="1" applyFont="1" applyBorder="1" applyAlignment="1" applyProtection="1">
      <alignment horizontal="center" vertical="center" wrapText="1"/>
      <protection locked="0"/>
    </xf>
    <xf numFmtId="2" fontId="0" fillId="4" borderId="68" xfId="0" applyNumberFormat="1" applyFill="1" applyBorder="1" applyAlignment="1" applyProtection="1">
      <alignment horizontal="center" vertical="center" wrapText="1"/>
      <protection hidden="1"/>
    </xf>
    <xf numFmtId="8" fontId="86" fillId="0" borderId="65" xfId="0" applyNumberFormat="1" applyFont="1" applyBorder="1" applyAlignment="1" applyProtection="1">
      <alignment horizontal="center" vertical="center" wrapText="1"/>
      <protection locked="0"/>
    </xf>
    <xf numFmtId="10" fontId="86" fillId="4" borderId="140" xfId="3" applyNumberFormat="1" applyFont="1" applyFill="1" applyBorder="1" applyAlignment="1" applyProtection="1">
      <alignment horizontal="center" vertical="center" wrapText="1"/>
      <protection locked="0"/>
    </xf>
    <xf numFmtId="9" fontId="86" fillId="4" borderId="140" xfId="3" applyFont="1" applyFill="1" applyBorder="1" applyAlignment="1" applyProtection="1">
      <alignment horizontal="center" vertical="center" wrapText="1"/>
      <protection locked="0"/>
    </xf>
    <xf numFmtId="0" fontId="152" fillId="18" borderId="79" xfId="2" applyNumberFormat="1" applyFont="1" applyFill="1" applyBorder="1" applyAlignment="1" applyProtection="1">
      <alignment horizontal="center" vertical="center"/>
      <protection hidden="1"/>
    </xf>
    <xf numFmtId="0" fontId="0" fillId="4" borderId="24" xfId="0" applyFill="1" applyBorder="1" applyAlignment="1" applyProtection="1">
      <alignment horizontal="right"/>
      <protection hidden="1"/>
    </xf>
    <xf numFmtId="0" fontId="0" fillId="4" borderId="68" xfId="0" applyFill="1" applyBorder="1" applyAlignment="1" applyProtection="1">
      <alignment horizontal="right"/>
      <protection hidden="1"/>
    </xf>
    <xf numFmtId="0" fontId="49" fillId="4" borderId="68" xfId="2" applyNumberFormat="1" applyFill="1" applyBorder="1" applyAlignment="1" applyProtection="1">
      <alignment horizontal="right"/>
      <protection hidden="1"/>
    </xf>
    <xf numFmtId="0" fontId="0" fillId="4" borderId="85" xfId="0" applyFill="1" applyBorder="1" applyAlignment="1" applyProtection="1">
      <alignment horizontal="right"/>
      <protection hidden="1"/>
    </xf>
    <xf numFmtId="0" fontId="86" fillId="4" borderId="63" xfId="0" applyFont="1" applyFill="1" applyBorder="1" applyProtection="1">
      <protection hidden="1"/>
    </xf>
    <xf numFmtId="0" fontId="49" fillId="4" borderId="4" xfId="2" applyNumberFormat="1" applyFill="1" applyBorder="1" applyAlignment="1" applyProtection="1">
      <alignment horizontal="right"/>
      <protection hidden="1"/>
    </xf>
    <xf numFmtId="0" fontId="150" fillId="4" borderId="4" xfId="0" applyFont="1" applyFill="1" applyBorder="1" applyAlignment="1" applyProtection="1">
      <alignment horizontal="right"/>
      <protection hidden="1"/>
    </xf>
    <xf numFmtId="0" fontId="180" fillId="4" borderId="19" xfId="2" applyNumberFormat="1" applyFont="1" applyFill="1" applyBorder="1" applyAlignment="1" applyProtection="1">
      <alignment horizontal="right"/>
      <protection hidden="1"/>
    </xf>
    <xf numFmtId="0" fontId="86" fillId="4" borderId="155" xfId="0" applyFont="1" applyFill="1" applyBorder="1" applyAlignment="1" applyProtection="1">
      <alignment horizontal="right"/>
      <protection hidden="1"/>
    </xf>
    <xf numFmtId="0" fontId="86" fillId="4" borderId="26" xfId="0" applyFont="1" applyFill="1" applyBorder="1" applyAlignment="1" applyProtection="1">
      <alignment horizontal="right"/>
      <protection hidden="1"/>
    </xf>
    <xf numFmtId="0" fontId="49" fillId="4" borderId="4" xfId="2" applyNumberFormat="1" applyFill="1" applyBorder="1" applyAlignment="1" applyProtection="1">
      <alignment horizontal="right" vertical="center" wrapText="1"/>
      <protection hidden="1"/>
    </xf>
    <xf numFmtId="0" fontId="108" fillId="4" borderId="5" xfId="0" applyFont="1" applyFill="1" applyBorder="1" applyAlignment="1" applyProtection="1">
      <alignment horizontal="right"/>
      <protection hidden="1"/>
    </xf>
    <xf numFmtId="6" fontId="0" fillId="4" borderId="2" xfId="0" applyNumberFormat="1" applyFill="1" applyBorder="1" applyProtection="1">
      <protection hidden="1"/>
    </xf>
    <xf numFmtId="0" fontId="0" fillId="4" borderId="129" xfId="0" applyFill="1" applyBorder="1" applyProtection="1">
      <protection hidden="1"/>
    </xf>
    <xf numFmtId="6" fontId="0" fillId="4" borderId="10" xfId="0" applyNumberFormat="1" applyFill="1" applyBorder="1" applyProtection="1">
      <protection hidden="1"/>
    </xf>
    <xf numFmtId="8" fontId="0" fillId="4" borderId="129" xfId="0" applyNumberFormat="1" applyFill="1" applyBorder="1" applyProtection="1">
      <protection hidden="1"/>
    </xf>
    <xf numFmtId="0" fontId="0" fillId="4" borderId="10" xfId="0" applyFill="1" applyBorder="1" applyProtection="1">
      <protection hidden="1"/>
    </xf>
    <xf numFmtId="0" fontId="91" fillId="4" borderId="10" xfId="0" applyFont="1" applyFill="1" applyBorder="1" applyAlignment="1" applyProtection="1">
      <alignment horizontal="center" vertical="center"/>
      <protection hidden="1"/>
    </xf>
    <xf numFmtId="0" fontId="0" fillId="4" borderId="10" xfId="0" applyFill="1" applyBorder="1" applyAlignment="1" applyProtection="1">
      <alignment horizontal="center" vertical="center"/>
      <protection hidden="1"/>
    </xf>
    <xf numFmtId="0" fontId="108" fillId="4" borderId="6" xfId="0" applyFont="1" applyFill="1" applyBorder="1" applyAlignment="1" applyProtection="1">
      <alignment horizontal="center" vertical="center"/>
      <protection hidden="1"/>
    </xf>
    <xf numFmtId="8" fontId="108" fillId="4" borderId="151" xfId="0" applyNumberFormat="1" applyFont="1" applyFill="1" applyBorder="1" applyProtection="1">
      <protection hidden="1"/>
    </xf>
    <xf numFmtId="0" fontId="108" fillId="4" borderId="82" xfId="0" applyFont="1" applyFill="1" applyBorder="1" applyProtection="1">
      <protection hidden="1"/>
    </xf>
    <xf numFmtId="8" fontId="0" fillId="4" borderId="129" xfId="0" applyNumberFormat="1" applyFill="1" applyBorder="1" applyAlignment="1" applyProtection="1">
      <alignment horizontal="center"/>
      <protection hidden="1"/>
    </xf>
    <xf numFmtId="0" fontId="90" fillId="4" borderId="83" xfId="0" applyFont="1" applyFill="1" applyBorder="1" applyAlignment="1" applyProtection="1">
      <alignment horizontal="right"/>
      <protection hidden="1"/>
    </xf>
    <xf numFmtId="8" fontId="0" fillId="4" borderId="64" xfId="0" applyNumberFormat="1" applyFill="1" applyBorder="1" applyAlignment="1" applyProtection="1">
      <alignment horizontal="center" vertical="center"/>
      <protection hidden="1"/>
    </xf>
    <xf numFmtId="8" fontId="91" fillId="4" borderId="129" xfId="0" applyNumberFormat="1" applyFont="1" applyFill="1" applyBorder="1" applyAlignment="1" applyProtection="1">
      <alignment horizontal="center" vertical="center"/>
      <protection hidden="1"/>
    </xf>
    <xf numFmtId="8" fontId="91" fillId="4" borderId="12" xfId="0" applyNumberFormat="1" applyFont="1" applyFill="1" applyBorder="1" applyAlignment="1" applyProtection="1">
      <alignment horizontal="center" vertical="center"/>
      <protection hidden="1"/>
    </xf>
    <xf numFmtId="8" fontId="0" fillId="4" borderId="2" xfId="0" applyNumberFormat="1" applyFill="1" applyBorder="1" applyAlignment="1" applyProtection="1">
      <alignment wrapText="1"/>
      <protection hidden="1"/>
    </xf>
    <xf numFmtId="8" fontId="86" fillId="4" borderId="129" xfId="0" applyNumberFormat="1" applyFont="1" applyFill="1" applyBorder="1" applyAlignment="1" applyProtection="1">
      <alignment horizontal="center"/>
      <protection hidden="1"/>
    </xf>
    <xf numFmtId="8" fontId="150" fillId="4" borderId="129" xfId="0" applyNumberFormat="1" applyFont="1" applyFill="1" applyBorder="1" applyAlignment="1" applyProtection="1">
      <alignment horizontal="center"/>
      <protection hidden="1"/>
    </xf>
    <xf numFmtId="8" fontId="91" fillId="4" borderId="2" xfId="0" applyNumberFormat="1" applyFont="1" applyFill="1" applyBorder="1" applyAlignment="1" applyProtection="1">
      <alignment wrapText="1"/>
      <protection hidden="1"/>
    </xf>
    <xf numFmtId="0" fontId="86" fillId="4" borderId="2" xfId="0" applyFont="1" applyFill="1" applyBorder="1" applyProtection="1">
      <protection hidden="1"/>
    </xf>
    <xf numFmtId="0" fontId="0" fillId="4" borderId="106" xfId="0" applyFill="1" applyBorder="1" applyProtection="1">
      <protection hidden="1"/>
    </xf>
    <xf numFmtId="8" fontId="86" fillId="4" borderId="156" xfId="0" applyNumberFormat="1" applyFont="1" applyFill="1" applyBorder="1" applyAlignment="1" applyProtection="1">
      <alignment horizontal="center"/>
      <protection hidden="1"/>
    </xf>
    <xf numFmtId="0" fontId="0" fillId="4" borderId="153" xfId="0" applyFill="1" applyBorder="1" applyProtection="1">
      <protection hidden="1"/>
    </xf>
    <xf numFmtId="8" fontId="150" fillId="4" borderId="3" xfId="0" applyNumberFormat="1" applyFont="1" applyFill="1" applyBorder="1" applyAlignment="1" applyProtection="1">
      <alignment horizontal="center"/>
      <protection hidden="1"/>
    </xf>
    <xf numFmtId="0" fontId="0" fillId="4" borderId="154" xfId="0" applyFill="1" applyBorder="1" applyProtection="1">
      <protection hidden="1"/>
    </xf>
    <xf numFmtId="0" fontId="86" fillId="4" borderId="10" xfId="0" applyFont="1" applyFill="1" applyBorder="1" applyProtection="1">
      <protection hidden="1"/>
    </xf>
    <xf numFmtId="0" fontId="0" fillId="4" borderId="157" xfId="0" applyFill="1" applyBorder="1" applyProtection="1">
      <protection hidden="1"/>
    </xf>
    <xf numFmtId="8" fontId="86" fillId="4" borderId="109" xfId="0" applyNumberFormat="1" applyFont="1" applyFill="1" applyBorder="1" applyAlignment="1" applyProtection="1">
      <alignment horizontal="center"/>
      <protection hidden="1"/>
    </xf>
    <xf numFmtId="0" fontId="130" fillId="0" borderId="0" xfId="2" applyNumberFormat="1" applyFont="1" applyAlignment="1" applyProtection="1"/>
    <xf numFmtId="0" fontId="130" fillId="0" borderId="0" xfId="2" applyNumberFormat="1" applyFont="1" applyFill="1" applyAlignment="1" applyProtection="1"/>
    <xf numFmtId="0" fontId="110" fillId="0" borderId="0" xfId="0" applyFont="1"/>
    <xf numFmtId="0" fontId="108" fillId="0" borderId="0" xfId="0" applyFont="1"/>
    <xf numFmtId="0" fontId="102" fillId="0" borderId="0" xfId="0" applyFont="1"/>
    <xf numFmtId="0" fontId="92" fillId="0" borderId="0" xfId="0" applyFont="1"/>
    <xf numFmtId="0" fontId="49" fillId="0" borderId="0" xfId="2" applyNumberFormat="1" applyFill="1" applyAlignment="1" applyProtection="1">
      <alignment horizontal="center"/>
    </xf>
    <xf numFmtId="0" fontId="88" fillId="0" borderId="18" xfId="0" applyFont="1" applyBorder="1" applyAlignment="1">
      <alignment horizontal="center"/>
    </xf>
    <xf numFmtId="0" fontId="49" fillId="0" borderId="18" xfId="2" applyNumberFormat="1" applyFill="1" applyBorder="1" applyAlignment="1" applyProtection="1">
      <alignment horizontal="center"/>
    </xf>
    <xf numFmtId="0" fontId="116" fillId="0" borderId="23" xfId="0" applyFont="1" applyBorder="1" applyAlignment="1" applyProtection="1">
      <alignment vertical="center"/>
      <protection hidden="1"/>
    </xf>
    <xf numFmtId="0" fontId="140" fillId="0" borderId="23" xfId="0" applyFont="1" applyBorder="1" applyAlignment="1" applyProtection="1">
      <alignment horizontal="right" vertical="center"/>
      <protection hidden="1"/>
    </xf>
    <xf numFmtId="0" fontId="152" fillId="0" borderId="23" xfId="2" applyNumberFormat="1" applyFont="1" applyFill="1" applyBorder="1" applyAlignment="1" applyProtection="1">
      <alignment horizontal="center" vertical="center"/>
      <protection hidden="1"/>
    </xf>
    <xf numFmtId="0" fontId="49" fillId="0" borderId="0" xfId="2" applyNumberFormat="1" applyAlignment="1" applyProtection="1">
      <alignment horizontal="left" vertical="center"/>
    </xf>
    <xf numFmtId="0" fontId="49" fillId="0" borderId="0" xfId="2" applyNumberFormat="1" applyAlignment="1" applyProtection="1">
      <alignment vertical="center"/>
    </xf>
    <xf numFmtId="0" fontId="49" fillId="0" borderId="0" xfId="2" applyNumberFormat="1" applyFill="1" applyAlignment="1" applyProtection="1">
      <alignment vertical="center"/>
    </xf>
    <xf numFmtId="0" fontId="0" fillId="0" borderId="2" xfId="0" applyBorder="1" applyAlignment="1">
      <alignment horizontal="center" vertical="center" wrapText="1"/>
    </xf>
    <xf numFmtId="167" fontId="0" fillId="0" borderId="2" xfId="0" applyNumberFormat="1" applyBorder="1" applyAlignment="1">
      <alignment horizontal="center" vertical="center"/>
    </xf>
    <xf numFmtId="10" fontId="62" fillId="0" borderId="2" xfId="3" applyNumberFormat="1" applyFill="1" applyBorder="1" applyAlignment="1">
      <alignment horizontal="center" vertical="center"/>
    </xf>
    <xf numFmtId="10" fontId="62" fillId="0" borderId="2" xfId="3" quotePrefix="1" applyNumberFormat="1" applyFill="1" applyBorder="1" applyAlignment="1">
      <alignment horizontal="center" vertical="center"/>
    </xf>
    <xf numFmtId="166" fontId="0" fillId="0" borderId="2" xfId="0" applyNumberFormat="1" applyBorder="1" applyAlignment="1">
      <alignment horizontal="center" vertical="center"/>
    </xf>
    <xf numFmtId="166" fontId="62" fillId="0" borderId="2" xfId="3" applyNumberFormat="1" applyFill="1" applyBorder="1" applyAlignment="1">
      <alignment horizontal="center" vertical="center"/>
    </xf>
    <xf numFmtId="10" fontId="62" fillId="18" borderId="2" xfId="3" applyNumberFormat="1" applyFill="1" applyBorder="1" applyAlignment="1">
      <alignment horizontal="center" vertical="center"/>
    </xf>
    <xf numFmtId="10" fontId="62" fillId="23" borderId="2" xfId="3" applyNumberFormat="1" applyFill="1" applyBorder="1" applyAlignment="1">
      <alignment horizontal="center" vertical="center"/>
    </xf>
    <xf numFmtId="0" fontId="50" fillId="18" borderId="2" xfId="0" applyFont="1" applyFill="1" applyBorder="1" applyAlignment="1">
      <alignment horizontal="center" vertical="center"/>
    </xf>
    <xf numFmtId="0" fontId="50" fillId="0" borderId="2" xfId="0" applyFont="1" applyBorder="1" applyAlignment="1">
      <alignment horizontal="center" vertical="center"/>
    </xf>
    <xf numFmtId="0" fontId="50" fillId="23" borderId="2" xfId="0" applyFont="1" applyFill="1" applyBorder="1" applyAlignment="1">
      <alignment horizontal="center" vertical="center"/>
    </xf>
    <xf numFmtId="0" fontId="65" fillId="0" borderId="2" xfId="0" applyFont="1" applyBorder="1" applyAlignment="1">
      <alignment horizontal="center" vertical="center"/>
    </xf>
    <xf numFmtId="0" fontId="65" fillId="4" borderId="2" xfId="0" applyFont="1" applyFill="1" applyBorder="1" applyAlignment="1">
      <alignment horizontal="center" vertical="center"/>
    </xf>
    <xf numFmtId="10" fontId="0" fillId="0" borderId="0" xfId="0" applyNumberFormat="1" applyProtection="1">
      <protection locked="0"/>
    </xf>
    <xf numFmtId="0" fontId="99" fillId="4" borderId="150" xfId="0" applyFont="1" applyFill="1" applyBorder="1" applyAlignment="1" applyProtection="1">
      <alignment horizontal="center" vertical="center" wrapText="1"/>
      <protection hidden="1"/>
    </xf>
    <xf numFmtId="0" fontId="146" fillId="0" borderId="65" xfId="0" applyFont="1" applyBorder="1" applyAlignment="1" applyProtection="1">
      <alignment vertical="center"/>
      <protection hidden="1"/>
    </xf>
    <xf numFmtId="14" fontId="90" fillId="4" borderId="3" xfId="0" applyNumberFormat="1" applyFont="1" applyFill="1" applyBorder="1" applyAlignment="1" applyProtection="1">
      <alignment horizontal="center" vertical="center"/>
      <protection hidden="1"/>
    </xf>
    <xf numFmtId="2" fontId="90" fillId="4" borderId="3" xfId="0" applyNumberFormat="1" applyFont="1" applyFill="1" applyBorder="1" applyAlignment="1" applyProtection="1">
      <alignment horizontal="center" vertical="center"/>
      <protection hidden="1"/>
    </xf>
    <xf numFmtId="6" fontId="90" fillId="4" borderId="3" xfId="0" applyNumberFormat="1" applyFont="1" applyFill="1" applyBorder="1" applyAlignment="1" applyProtection="1">
      <alignment horizontal="center" vertical="center"/>
      <protection hidden="1"/>
    </xf>
    <xf numFmtId="190" fontId="0" fillId="0" borderId="0" xfId="0" applyNumberFormat="1"/>
    <xf numFmtId="0" fontId="107" fillId="4" borderId="44" xfId="0" applyFont="1" applyFill="1" applyBorder="1" applyAlignment="1" applyProtection="1">
      <alignment horizontal="center" vertical="center" wrapText="1"/>
      <protection hidden="1"/>
    </xf>
    <xf numFmtId="0" fontId="98" fillId="0" borderId="0" xfId="0" applyFont="1" applyAlignment="1">
      <alignment horizontal="center" vertical="center" wrapText="1"/>
    </xf>
    <xf numFmtId="0" fontId="98" fillId="4" borderId="2" xfId="0" applyFont="1" applyFill="1" applyBorder="1" applyAlignment="1">
      <alignment horizontal="center" vertical="center" wrapText="1"/>
    </xf>
    <xf numFmtId="0" fontId="98" fillId="0" borderId="2" xfId="0" applyFont="1" applyBorder="1" applyAlignment="1">
      <alignment horizontal="center" vertical="center" wrapText="1"/>
    </xf>
    <xf numFmtId="0" fontId="98" fillId="0" borderId="2" xfId="0" applyFont="1" applyBorder="1" applyAlignment="1">
      <alignment horizontal="left" vertical="center" wrapText="1"/>
    </xf>
    <xf numFmtId="14" fontId="88" fillId="0" borderId="2" xfId="0" applyNumberFormat="1" applyFont="1" applyBorder="1" applyAlignment="1">
      <alignment horizontal="center" vertical="center" wrapText="1"/>
    </xf>
    <xf numFmtId="17" fontId="88" fillId="0" borderId="2" xfId="0" applyNumberFormat="1" applyFont="1" applyBorder="1" applyAlignment="1">
      <alignment horizontal="center" vertical="center" wrapText="1"/>
    </xf>
    <xf numFmtId="0" fontId="188" fillId="4" borderId="100" xfId="0" applyFont="1" applyFill="1" applyBorder="1" applyAlignment="1" applyProtection="1">
      <alignment horizontal="right" vertical="center" wrapText="1"/>
      <protection hidden="1"/>
    </xf>
    <xf numFmtId="8" fontId="0" fillId="4" borderId="2" xfId="0" applyNumberFormat="1" applyFill="1" applyBorder="1" applyAlignment="1" applyProtection="1">
      <alignment horizontal="center" vertical="center"/>
      <protection hidden="1"/>
    </xf>
    <xf numFmtId="8" fontId="114" fillId="4" borderId="140" xfId="0" applyNumberFormat="1" applyFont="1" applyFill="1" applyBorder="1" applyAlignment="1" applyProtection="1">
      <alignment horizontal="center" vertical="center" wrapText="1"/>
      <protection hidden="1"/>
    </xf>
    <xf numFmtId="0" fontId="130" fillId="0" borderId="0" xfId="2" applyNumberFormat="1" applyFont="1" applyAlignment="1" applyProtection="1">
      <alignment vertical="center"/>
    </xf>
    <xf numFmtId="10" fontId="0" fillId="0" borderId="2" xfId="3" applyNumberFormat="1" applyFont="1" applyBorder="1" applyAlignment="1" applyProtection="1">
      <alignment horizontal="center" vertical="center"/>
      <protection locked="0"/>
    </xf>
    <xf numFmtId="0" fontId="0" fillId="4" borderId="79" xfId="0" applyFill="1" applyBorder="1" applyAlignment="1">
      <alignment vertical="center"/>
    </xf>
    <xf numFmtId="0" fontId="93" fillId="4" borderId="0" xfId="0" applyFont="1" applyFill="1" applyAlignment="1">
      <alignment vertical="center"/>
    </xf>
    <xf numFmtId="2" fontId="75" fillId="4" borderId="2" xfId="0" applyNumberFormat="1" applyFont="1" applyFill="1" applyBorder="1" applyAlignment="1" applyProtection="1">
      <alignment horizontal="center" vertical="center"/>
      <protection hidden="1"/>
    </xf>
    <xf numFmtId="2" fontId="75" fillId="4" borderId="3" xfId="0" applyNumberFormat="1" applyFont="1" applyFill="1" applyBorder="1" applyAlignment="1" applyProtection="1">
      <alignment horizontal="center" vertical="center"/>
      <protection hidden="1"/>
    </xf>
    <xf numFmtId="184" fontId="86" fillId="0" borderId="11" xfId="0" applyNumberFormat="1" applyFont="1" applyBorder="1" applyAlignment="1" applyProtection="1">
      <alignment horizontal="center" vertical="center"/>
      <protection locked="0"/>
    </xf>
    <xf numFmtId="0" fontId="191" fillId="9" borderId="79" xfId="0" applyFont="1" applyFill="1" applyBorder="1" applyAlignment="1" applyProtection="1">
      <alignment horizontal="center" vertical="center" wrapText="1"/>
      <protection hidden="1"/>
    </xf>
    <xf numFmtId="8" fontId="0" fillId="0" borderId="2" xfId="0" applyNumberFormat="1" applyBorder="1" applyAlignment="1">
      <alignment horizontal="center" vertical="center"/>
    </xf>
    <xf numFmtId="0" fontId="0" fillId="9" borderId="28" xfId="0" applyFill="1" applyBorder="1" applyAlignment="1" applyProtection="1">
      <alignment vertical="center"/>
      <protection hidden="1"/>
    </xf>
    <xf numFmtId="0" fontId="66" fillId="0" borderId="170" xfId="0" applyFont="1" applyBorder="1" applyAlignment="1" applyProtection="1">
      <alignment horizontal="left" vertical="center" wrapText="1"/>
      <protection hidden="1"/>
    </xf>
    <xf numFmtId="0" fontId="62" fillId="0" borderId="65" xfId="0" applyFont="1" applyBorder="1" applyAlignment="1" applyProtection="1">
      <alignment horizontal="right" vertical="center" wrapText="1"/>
      <protection hidden="1"/>
    </xf>
    <xf numFmtId="8" fontId="62" fillId="0" borderId="111" xfId="3" applyNumberFormat="1" applyFont="1" applyBorder="1" applyAlignment="1" applyProtection="1">
      <alignment horizontal="center" vertical="center" wrapText="1"/>
      <protection hidden="1"/>
    </xf>
    <xf numFmtId="0" fontId="86" fillId="4" borderId="65" xfId="0" applyFont="1" applyFill="1" applyBorder="1" applyAlignment="1" applyProtection="1">
      <alignment vertical="center"/>
      <protection hidden="1"/>
    </xf>
    <xf numFmtId="0" fontId="0" fillId="4" borderId="127" xfId="0" applyFill="1" applyBorder="1" applyAlignment="1" applyProtection="1">
      <alignment vertical="center"/>
      <protection hidden="1"/>
    </xf>
    <xf numFmtId="0" fontId="152" fillId="4" borderId="123" xfId="2" applyNumberFormat="1" applyFont="1" applyFill="1" applyBorder="1" applyAlignment="1" applyProtection="1">
      <alignment horizontal="center" vertical="center"/>
      <protection hidden="1"/>
    </xf>
    <xf numFmtId="0" fontId="152" fillId="4" borderId="20" xfId="2" applyNumberFormat="1" applyFont="1" applyFill="1" applyBorder="1" applyAlignment="1" applyProtection="1">
      <alignment horizontal="center" vertical="center"/>
      <protection hidden="1"/>
    </xf>
    <xf numFmtId="0" fontId="156" fillId="0" borderId="0" xfId="2" applyNumberFormat="1" applyFont="1" applyBorder="1" applyAlignment="1" applyProtection="1">
      <alignment vertical="center" wrapText="1"/>
    </xf>
    <xf numFmtId="0" fontId="107" fillId="4" borderId="2" xfId="0" applyFont="1" applyFill="1" applyBorder="1" applyAlignment="1" applyProtection="1">
      <alignment horizontal="center" vertical="center" wrapText="1"/>
      <protection locked="0"/>
    </xf>
    <xf numFmtId="0" fontId="86" fillId="4" borderId="2" xfId="0" applyFont="1" applyFill="1" applyBorder="1" applyAlignment="1" applyProtection="1">
      <alignment horizontal="center" vertical="center" wrapText="1"/>
      <protection locked="0"/>
    </xf>
    <xf numFmtId="0" fontId="88" fillId="0" borderId="0" xfId="0" applyFont="1" applyAlignment="1">
      <alignment vertical="center" wrapText="1"/>
    </xf>
    <xf numFmtId="0" fontId="93" fillId="0" borderId="0" xfId="0" applyFont="1" applyAlignment="1">
      <alignment vertical="center" wrapText="1"/>
    </xf>
    <xf numFmtId="8" fontId="72" fillId="2" borderId="36" xfId="8" applyNumberFormat="1" applyFont="1" applyFill="1" applyBorder="1" applyAlignment="1" applyProtection="1">
      <alignment horizontal="center" vertical="center" wrapText="1"/>
      <protection locked="0"/>
    </xf>
    <xf numFmtId="0" fontId="88" fillId="4" borderId="0" xfId="0" applyFont="1" applyFill="1" applyAlignment="1">
      <alignment vertical="center"/>
    </xf>
    <xf numFmtId="8" fontId="88" fillId="18" borderId="2" xfId="0" applyNumberFormat="1" applyFont="1" applyFill="1" applyBorder="1" applyAlignment="1">
      <alignment vertical="center"/>
    </xf>
    <xf numFmtId="8" fontId="88" fillId="23" borderId="2" xfId="0" applyNumberFormat="1" applyFont="1" applyFill="1" applyBorder="1" applyAlignment="1">
      <alignment vertical="center"/>
    </xf>
    <xf numFmtId="0" fontId="198" fillId="0" borderId="2" xfId="0" applyFont="1" applyBorder="1" applyAlignment="1" applyProtection="1">
      <alignment horizontal="center" vertical="center"/>
      <protection locked="0"/>
    </xf>
    <xf numFmtId="8" fontId="198" fillId="0" borderId="2" xfId="0" applyNumberFormat="1" applyFont="1" applyBorder="1" applyAlignment="1" applyProtection="1">
      <alignment horizontal="center" vertical="center"/>
      <protection locked="0"/>
    </xf>
    <xf numFmtId="2" fontId="48" fillId="22" borderId="0" xfId="0" applyNumberFormat="1" applyFont="1" applyFill="1"/>
    <xf numFmtId="0" fontId="88" fillId="0" borderId="2" xfId="0" applyFont="1" applyBorder="1" applyAlignment="1">
      <alignment horizontal="center" vertical="center"/>
    </xf>
    <xf numFmtId="6" fontId="88" fillId="18" borderId="2" xfId="0" applyNumberFormat="1" applyFont="1" applyFill="1" applyBorder="1" applyAlignment="1">
      <alignment vertical="center"/>
    </xf>
    <xf numFmtId="14" fontId="197" fillId="0" borderId="2" xfId="0" applyNumberFormat="1" applyFont="1" applyBorder="1" applyAlignment="1" applyProtection="1">
      <alignment horizontal="center" vertical="center"/>
      <protection locked="0" hidden="1"/>
    </xf>
    <xf numFmtId="0" fontId="88" fillId="4" borderId="0" xfId="0" applyFont="1" applyFill="1" applyAlignment="1">
      <alignment horizontal="center"/>
    </xf>
    <xf numFmtId="0" fontId="0" fillId="4" borderId="68" xfId="0" applyFill="1" applyBorder="1" applyAlignment="1" applyProtection="1">
      <alignment horizontal="left" vertical="center"/>
      <protection hidden="1"/>
    </xf>
    <xf numFmtId="0" fontId="91" fillId="4" borderId="16" xfId="0" applyFont="1" applyFill="1" applyBorder="1" applyAlignment="1" applyProtection="1">
      <alignment horizontal="center" vertical="center" wrapText="1"/>
      <protection hidden="1"/>
    </xf>
    <xf numFmtId="4" fontId="0" fillId="0" borderId="87" xfId="0" applyNumberFormat="1" applyBorder="1"/>
    <xf numFmtId="10" fontId="0" fillId="0" borderId="87" xfId="3" applyNumberFormat="1" applyFont="1" applyFill="1" applyBorder="1" applyAlignment="1">
      <alignment horizontal="center"/>
    </xf>
    <xf numFmtId="10" fontId="0" fillId="0" borderId="62" xfId="3" applyNumberFormat="1" applyFont="1" applyFill="1" applyBorder="1" applyAlignment="1">
      <alignment horizontal="center"/>
    </xf>
    <xf numFmtId="14" fontId="86" fillId="0" borderId="4" xfId="0" applyNumberFormat="1" applyFont="1" applyBorder="1" applyAlignment="1">
      <alignment horizontal="center"/>
    </xf>
    <xf numFmtId="14" fontId="86" fillId="0" borderId="191" xfId="0" applyNumberFormat="1" applyFont="1" applyBorder="1" applyAlignment="1">
      <alignment horizontal="center"/>
    </xf>
    <xf numFmtId="174" fontId="0" fillId="0" borderId="4" xfId="0" applyNumberFormat="1" applyBorder="1" applyAlignment="1">
      <alignment horizontal="center" wrapText="1"/>
    </xf>
    <xf numFmtId="0" fontId="199" fillId="0" borderId="0" xfId="0" applyFont="1"/>
    <xf numFmtId="0" fontId="49" fillId="4" borderId="20" xfId="2" applyNumberFormat="1" applyFill="1" applyBorder="1" applyAlignment="1" applyProtection="1">
      <alignment horizontal="center" vertical="center" wrapText="1"/>
    </xf>
    <xf numFmtId="0" fontId="82" fillId="4" borderId="65" xfId="0" applyFont="1" applyFill="1" applyBorder="1" applyAlignment="1" applyProtection="1">
      <alignment horizontal="center" vertical="center" wrapText="1"/>
      <protection hidden="1"/>
    </xf>
    <xf numFmtId="10" fontId="86" fillId="0" borderId="3" xfId="3" applyNumberFormat="1" applyFont="1" applyFill="1" applyBorder="1" applyAlignment="1" applyProtection="1">
      <alignment horizontal="center" vertical="center" wrapText="1"/>
      <protection locked="0"/>
    </xf>
    <xf numFmtId="0" fontId="0" fillId="4" borderId="2" xfId="0" applyFill="1" applyBorder="1" applyAlignment="1">
      <alignment vertical="center"/>
    </xf>
    <xf numFmtId="0" fontId="0" fillId="0" borderId="3" xfId="0" applyBorder="1" applyAlignment="1">
      <alignment vertical="center"/>
    </xf>
    <xf numFmtId="0" fontId="63" fillId="4" borderId="15" xfId="0" applyFont="1" applyFill="1" applyBorder="1" applyProtection="1">
      <protection hidden="1"/>
    </xf>
    <xf numFmtId="0" fontId="63" fillId="4" borderId="15" xfId="0" applyFont="1" applyFill="1" applyBorder="1"/>
    <xf numFmtId="0" fontId="92" fillId="23" borderId="2" xfId="0" applyFont="1" applyFill="1" applyBorder="1" applyAlignment="1">
      <alignment horizontal="center" vertical="center"/>
    </xf>
    <xf numFmtId="0" fontId="92" fillId="18" borderId="2" xfId="0" applyFont="1" applyFill="1" applyBorder="1" applyAlignment="1">
      <alignment horizontal="center" vertical="center"/>
    </xf>
    <xf numFmtId="0" fontId="108" fillId="0" borderId="0" xfId="0" applyFont="1" applyAlignment="1">
      <alignment horizontal="left" vertical="center"/>
    </xf>
    <xf numFmtId="0" fontId="88" fillId="4" borderId="0" xfId="0" applyFont="1" applyFill="1" applyAlignment="1">
      <alignment vertical="center" textRotation="180"/>
    </xf>
    <xf numFmtId="0" fontId="185" fillId="9" borderId="164" xfId="0" applyFont="1" applyFill="1" applyBorder="1" applyAlignment="1">
      <alignment horizontal="center" vertical="center"/>
    </xf>
    <xf numFmtId="0" fontId="185" fillId="9" borderId="165" xfId="0" applyFont="1" applyFill="1" applyBorder="1" applyAlignment="1">
      <alignment horizontal="center" vertical="center"/>
    </xf>
    <xf numFmtId="6" fontId="88" fillId="0" borderId="41" xfId="0" applyNumberFormat="1" applyFont="1" applyBorder="1" applyAlignment="1" applyProtection="1">
      <alignment horizontal="center" vertical="center"/>
      <protection locked="0"/>
    </xf>
    <xf numFmtId="8" fontId="0" fillId="0" borderId="0" xfId="0" applyNumberFormat="1" applyAlignment="1">
      <alignment horizontal="center"/>
    </xf>
    <xf numFmtId="8" fontId="0" fillId="0" borderId="2" xfId="0" applyNumberFormat="1" applyBorder="1" applyAlignment="1" applyProtection="1">
      <alignment horizontal="center"/>
      <protection locked="0"/>
    </xf>
    <xf numFmtId="6" fontId="91" fillId="4" borderId="3" xfId="0" applyNumberFormat="1" applyFont="1" applyFill="1" applyBorder="1" applyAlignment="1" applyProtection="1">
      <alignment horizontal="center" vertical="center"/>
      <protection hidden="1"/>
    </xf>
    <xf numFmtId="10" fontId="91" fillId="0" borderId="2" xfId="3" applyNumberFormat="1" applyFont="1" applyFill="1" applyBorder="1" applyAlignment="1" applyProtection="1">
      <alignment horizontal="center" vertical="center"/>
      <protection locked="0"/>
    </xf>
    <xf numFmtId="0" fontId="0" fillId="4" borderId="68" xfId="0" applyFill="1" applyBorder="1" applyAlignment="1" applyProtection="1">
      <alignment horizontal="right" vertical="center"/>
      <protection hidden="1"/>
    </xf>
    <xf numFmtId="0" fontId="161" fillId="4" borderId="0" xfId="0" applyFont="1" applyFill="1" applyAlignment="1">
      <alignment horizontal="left" wrapText="1"/>
    </xf>
    <xf numFmtId="0" fontId="44" fillId="4" borderId="114" xfId="0" applyFont="1" applyFill="1" applyBorder="1" applyAlignment="1" applyProtection="1">
      <alignment horizontal="center" wrapText="1"/>
      <protection hidden="1"/>
    </xf>
    <xf numFmtId="0" fontId="76" fillId="4" borderId="198" xfId="0" applyFont="1" applyFill="1" applyBorder="1" applyAlignment="1">
      <alignment horizontal="center"/>
    </xf>
    <xf numFmtId="14" fontId="92" fillId="3" borderId="13" xfId="0" applyNumberFormat="1" applyFont="1" applyFill="1" applyBorder="1" applyAlignment="1" applyProtection="1">
      <alignment horizontal="center" vertical="center"/>
      <protection hidden="1"/>
    </xf>
    <xf numFmtId="0" fontId="0" fillId="12" borderId="45" xfId="0" applyFill="1" applyBorder="1" applyAlignment="1" applyProtection="1">
      <alignment vertical="center"/>
      <protection hidden="1"/>
    </xf>
    <xf numFmtId="0" fontId="0" fillId="4" borderId="45" xfId="0" applyFill="1" applyBorder="1" applyAlignment="1" applyProtection="1">
      <alignment vertical="center"/>
      <protection hidden="1"/>
    </xf>
    <xf numFmtId="0" fontId="49" fillId="4" borderId="18" xfId="2" applyNumberFormat="1" applyFill="1" applyBorder="1" applyAlignment="1" applyProtection="1">
      <alignment vertical="center"/>
      <protection hidden="1"/>
    </xf>
    <xf numFmtId="14" fontId="204" fillId="0" borderId="2" xfId="0" applyNumberFormat="1" applyFont="1" applyBorder="1" applyAlignment="1" applyProtection="1">
      <alignment horizontal="center" vertical="center"/>
      <protection locked="0"/>
    </xf>
    <xf numFmtId="0" fontId="91" fillId="4" borderId="25" xfId="0" applyFont="1" applyFill="1" applyBorder="1" applyAlignment="1" applyProtection="1">
      <alignment horizontal="right" vertical="center" wrapText="1"/>
      <protection hidden="1"/>
    </xf>
    <xf numFmtId="0" fontId="125" fillId="12" borderId="17" xfId="0" applyFont="1" applyFill="1" applyBorder="1" applyAlignment="1" applyProtection="1">
      <alignment vertical="center" wrapText="1"/>
      <protection hidden="1"/>
    </xf>
    <xf numFmtId="14" fontId="88" fillId="4" borderId="2" xfId="0" applyNumberFormat="1" applyFont="1" applyFill="1" applyBorder="1" applyAlignment="1" applyProtection="1">
      <alignment horizontal="center" vertical="center"/>
      <protection hidden="1"/>
    </xf>
    <xf numFmtId="0" fontId="0" fillId="4" borderId="3" xfId="0" applyFill="1" applyBorder="1" applyAlignment="1">
      <alignment vertical="center"/>
    </xf>
    <xf numFmtId="14" fontId="0" fillId="4" borderId="21" xfId="0" applyNumberFormat="1" applyFill="1" applyBorder="1" applyAlignment="1" applyProtection="1">
      <alignment horizontal="center"/>
      <protection hidden="1"/>
    </xf>
    <xf numFmtId="0" fontId="0" fillId="4" borderId="6" xfId="0" applyFill="1" applyBorder="1" applyProtection="1">
      <protection hidden="1"/>
    </xf>
    <xf numFmtId="0" fontId="90" fillId="4" borderId="80" xfId="0" applyFont="1" applyFill="1" applyBorder="1" applyAlignment="1" applyProtection="1">
      <alignment horizontal="right"/>
      <protection hidden="1"/>
    </xf>
    <xf numFmtId="8" fontId="0" fillId="4" borderId="86" xfId="0" applyNumberFormat="1" applyFill="1" applyBorder="1" applyAlignment="1" applyProtection="1">
      <alignment horizontal="center" vertical="center"/>
      <protection hidden="1"/>
    </xf>
    <xf numFmtId="0" fontId="0" fillId="4" borderId="116" xfId="0" applyFill="1" applyBorder="1" applyAlignment="1" applyProtection="1">
      <alignment horizontal="right"/>
      <protection hidden="1"/>
    </xf>
    <xf numFmtId="0" fontId="86" fillId="4" borderId="24" xfId="0" applyFont="1" applyFill="1" applyBorder="1" applyAlignment="1" applyProtection="1">
      <alignment horizontal="left"/>
      <protection hidden="1"/>
    </xf>
    <xf numFmtId="14" fontId="0" fillId="4" borderId="129" xfId="0" applyNumberFormat="1" applyFill="1" applyBorder="1" applyAlignment="1" applyProtection="1">
      <alignment horizontal="center"/>
      <protection hidden="1"/>
    </xf>
    <xf numFmtId="14" fontId="0" fillId="0" borderId="175" xfId="0" applyNumberFormat="1" applyBorder="1" applyAlignment="1" applyProtection="1">
      <alignment horizontal="center"/>
      <protection locked="0"/>
    </xf>
    <xf numFmtId="9" fontId="86" fillId="4" borderId="0" xfId="0" applyNumberFormat="1" applyFont="1" applyFill="1" applyAlignment="1">
      <alignment horizontal="center" vertical="center"/>
    </xf>
    <xf numFmtId="14" fontId="0" fillId="3" borderId="3" xfId="0" applyNumberFormat="1" applyFill="1" applyBorder="1" applyAlignment="1" applyProtection="1">
      <alignment horizontal="center"/>
      <protection hidden="1"/>
    </xf>
    <xf numFmtId="14" fontId="0" fillId="4" borderId="3" xfId="0" applyNumberFormat="1" applyFill="1" applyBorder="1" applyAlignment="1" applyProtection="1">
      <alignment horizontal="center"/>
      <protection hidden="1"/>
    </xf>
    <xf numFmtId="176" fontId="205" fillId="0" borderId="2" xfId="3" applyNumberFormat="1" applyFont="1" applyBorder="1"/>
    <xf numFmtId="175" fontId="205" fillId="0" borderId="2" xfId="3" applyNumberFormat="1" applyFont="1" applyBorder="1" applyAlignment="1">
      <alignment horizontal="center" vertical="center"/>
    </xf>
    <xf numFmtId="0" fontId="196" fillId="0" borderId="2" xfId="0" applyFont="1" applyBorder="1" applyAlignment="1">
      <alignment horizontal="center" vertical="center"/>
    </xf>
    <xf numFmtId="0" fontId="207" fillId="29" borderId="206" xfId="0" applyFont="1" applyFill="1" applyBorder="1" applyAlignment="1">
      <alignment horizontal="right" vertical="center"/>
    </xf>
    <xf numFmtId="0" fontId="196" fillId="0" borderId="209" xfId="0" applyFont="1" applyBorder="1"/>
    <xf numFmtId="0" fontId="88" fillId="0" borderId="2" xfId="0" applyFont="1" applyBorder="1" applyAlignment="1">
      <alignment horizontal="center"/>
    </xf>
    <xf numFmtId="0" fontId="88" fillId="0" borderId="2" xfId="0" applyFont="1" applyBorder="1" applyAlignment="1">
      <alignment horizontal="center" wrapText="1"/>
    </xf>
    <xf numFmtId="9" fontId="88" fillId="0" borderId="2" xfId="0" applyNumberFormat="1" applyFont="1" applyBorder="1" applyAlignment="1">
      <alignment horizontal="center"/>
    </xf>
    <xf numFmtId="0" fontId="88" fillId="0" borderId="2" xfId="0" applyFont="1" applyBorder="1"/>
    <xf numFmtId="0" fontId="196" fillId="0" borderId="10" xfId="0" applyFont="1" applyBorder="1"/>
    <xf numFmtId="14" fontId="206" fillId="0" borderId="2" xfId="0" applyNumberFormat="1" applyFont="1" applyBorder="1" applyAlignment="1">
      <alignment horizontal="center"/>
    </xf>
    <xf numFmtId="9" fontId="206" fillId="0" borderId="2" xfId="0" applyNumberFormat="1" applyFont="1" applyBorder="1" applyAlignment="1">
      <alignment horizontal="center"/>
    </xf>
    <xf numFmtId="14" fontId="196" fillId="0" borderId="10" xfId="0" applyNumberFormat="1" applyFont="1" applyBorder="1" applyAlignment="1">
      <alignment horizontal="center" vertical="center"/>
    </xf>
    <xf numFmtId="10" fontId="206" fillId="0" borderId="2" xfId="0" applyNumberFormat="1" applyFont="1" applyBorder="1" applyAlignment="1">
      <alignment horizontal="center"/>
    </xf>
    <xf numFmtId="10" fontId="88" fillId="0" borderId="2" xfId="0" applyNumberFormat="1" applyFont="1" applyBorder="1" applyAlignment="1">
      <alignment horizontal="center"/>
    </xf>
    <xf numFmtId="175" fontId="88" fillId="0" borderId="2" xfId="3" applyNumberFormat="1" applyFont="1" applyFill="1" applyBorder="1" applyAlignment="1">
      <alignment horizontal="center"/>
    </xf>
    <xf numFmtId="0" fontId="206" fillId="0" borderId="2" xfId="0" applyFont="1" applyBorder="1" applyAlignment="1">
      <alignment horizontal="center"/>
    </xf>
    <xf numFmtId="0" fontId="196" fillId="0" borderId="10" xfId="0" applyFont="1" applyBorder="1" applyAlignment="1">
      <alignment horizontal="center" vertical="center"/>
    </xf>
    <xf numFmtId="10" fontId="88" fillId="0" borderId="0" xfId="3" applyNumberFormat="1" applyFont="1" applyFill="1"/>
    <xf numFmtId="166" fontId="88" fillId="0" borderId="0" xfId="0" applyNumberFormat="1" applyFont="1"/>
    <xf numFmtId="14" fontId="207" fillId="0" borderId="203" xfId="0" applyNumberFormat="1" applyFont="1" applyBorder="1" applyAlignment="1">
      <alignment horizontal="left" vertical="top"/>
    </xf>
    <xf numFmtId="0" fontId="207" fillId="0" borderId="204" xfId="0" applyFont="1" applyBorder="1" applyAlignment="1">
      <alignment horizontal="right" vertical="center"/>
    </xf>
    <xf numFmtId="0" fontId="207" fillId="0" borderId="205" xfId="0" applyFont="1" applyBorder="1" applyAlignment="1">
      <alignment horizontal="right" vertical="center"/>
    </xf>
    <xf numFmtId="0" fontId="207" fillId="0" borderId="207" xfId="0" applyFont="1" applyBorder="1" applyAlignment="1">
      <alignment horizontal="right" vertical="center"/>
    </xf>
    <xf numFmtId="0" fontId="196" fillId="0" borderId="208" xfId="0" applyFont="1" applyBorder="1"/>
    <xf numFmtId="0" fontId="93" fillId="4" borderId="23" xfId="0" applyFont="1" applyFill="1" applyBorder="1" applyProtection="1">
      <protection hidden="1"/>
    </xf>
    <xf numFmtId="178" fontId="0" fillId="0" borderId="2" xfId="0" applyNumberFormat="1" applyBorder="1" applyAlignment="1">
      <alignment horizontal="center" vertical="center"/>
    </xf>
    <xf numFmtId="10" fontId="62" fillId="0" borderId="0" xfId="3" applyNumberFormat="1" applyFill="1" applyBorder="1" applyAlignment="1">
      <alignment horizontal="center" vertical="center"/>
    </xf>
    <xf numFmtId="10" fontId="62" fillId="18" borderId="0" xfId="3" applyNumberFormat="1" applyFill="1" applyBorder="1" applyAlignment="1">
      <alignment horizontal="center" vertical="center"/>
    </xf>
    <xf numFmtId="10" fontId="62" fillId="23" borderId="0" xfId="3" applyNumberFormat="1" applyFill="1" applyBorder="1" applyAlignment="1">
      <alignment horizontal="center" vertical="center"/>
    </xf>
    <xf numFmtId="10" fontId="62" fillId="4" borderId="0" xfId="3" applyNumberFormat="1" applyFill="1" applyBorder="1" applyAlignment="1">
      <alignment horizontal="center" vertical="center"/>
    </xf>
    <xf numFmtId="6" fontId="88" fillId="4" borderId="0" xfId="0" applyNumberFormat="1" applyFont="1" applyFill="1" applyAlignment="1">
      <alignment vertical="center"/>
    </xf>
    <xf numFmtId="177" fontId="111" fillId="0" borderId="0" xfId="0" applyNumberFormat="1" applyFont="1" applyAlignment="1">
      <alignment horizontal="center" vertical="center"/>
    </xf>
    <xf numFmtId="177" fontId="38" fillId="0" borderId="0" xfId="0" applyNumberFormat="1" applyFont="1" applyAlignment="1">
      <alignment horizontal="center"/>
    </xf>
    <xf numFmtId="177" fontId="113" fillId="0" borderId="0" xfId="0" applyNumberFormat="1" applyFont="1" applyAlignment="1">
      <alignment horizontal="center"/>
    </xf>
    <xf numFmtId="177" fontId="39" fillId="0" borderId="0" xfId="0" applyNumberFormat="1" applyFont="1" applyAlignment="1">
      <alignment horizontal="center"/>
    </xf>
    <xf numFmtId="10" fontId="85" fillId="4" borderId="2" xfId="3" applyNumberFormat="1" applyFont="1" applyFill="1" applyBorder="1" applyAlignment="1" applyProtection="1">
      <alignment horizontal="center" vertical="center"/>
      <protection hidden="1"/>
    </xf>
    <xf numFmtId="0" fontId="0" fillId="4" borderId="4" xfId="0" quotePrefix="1" applyFill="1" applyBorder="1" applyAlignment="1" applyProtection="1">
      <alignment horizontal="right" vertical="center"/>
      <protection hidden="1"/>
    </xf>
    <xf numFmtId="0" fontId="0" fillId="4" borderId="30" xfId="0" applyFill="1" applyBorder="1" applyAlignment="1" applyProtection="1">
      <alignment horizontal="left" vertical="center"/>
      <protection hidden="1"/>
    </xf>
    <xf numFmtId="0" fontId="0" fillId="4" borderId="56" xfId="0" applyFill="1" applyBorder="1" applyAlignment="1" applyProtection="1">
      <alignment horizontal="left" vertical="center"/>
      <protection hidden="1"/>
    </xf>
    <xf numFmtId="14" fontId="86" fillId="0" borderId="0" xfId="0" applyNumberFormat="1" applyFont="1" applyAlignment="1" applyProtection="1">
      <alignment horizontal="center" vertical="center" wrapText="1"/>
      <protection locked="0"/>
    </xf>
    <xf numFmtId="14" fontId="140" fillId="4" borderId="202" xfId="0" applyNumberFormat="1" applyFont="1" applyFill="1" applyBorder="1" applyAlignment="1" applyProtection="1">
      <alignment horizontal="center" vertical="center"/>
      <protection hidden="1"/>
    </xf>
    <xf numFmtId="0" fontId="0" fillId="3" borderId="4" xfId="0" applyFill="1" applyBorder="1" applyAlignment="1">
      <alignment vertical="center"/>
    </xf>
    <xf numFmtId="0" fontId="0" fillId="3" borderId="68" xfId="0" applyFill="1" applyBorder="1" applyAlignment="1">
      <alignment vertical="center"/>
    </xf>
    <xf numFmtId="0" fontId="0" fillId="0" borderId="19" xfId="0" applyBorder="1" applyAlignment="1" applyProtection="1">
      <alignment vertical="center"/>
      <protection locked="0"/>
    </xf>
    <xf numFmtId="0" fontId="0" fillId="3" borderId="2" xfId="0" applyFill="1" applyBorder="1" applyAlignment="1">
      <alignment vertical="center"/>
    </xf>
    <xf numFmtId="0" fontId="86" fillId="4" borderId="30" xfId="0" applyFont="1" applyFill="1" applyBorder="1" applyAlignment="1" applyProtection="1">
      <alignment horizontal="left" vertical="center"/>
      <protection hidden="1"/>
    </xf>
    <xf numFmtId="0" fontId="86" fillId="4" borderId="57" xfId="0" applyFont="1" applyFill="1" applyBorder="1" applyAlignment="1" applyProtection="1">
      <alignment horizontal="left" vertical="center"/>
      <protection hidden="1"/>
    </xf>
    <xf numFmtId="1" fontId="0" fillId="0" borderId="0" xfId="0" quotePrefix="1" applyNumberFormat="1" applyAlignment="1">
      <alignment vertical="center"/>
    </xf>
    <xf numFmtId="8" fontId="0" fillId="0" borderId="2" xfId="0" applyNumberFormat="1" applyBorder="1" applyAlignment="1">
      <alignment vertical="center"/>
    </xf>
    <xf numFmtId="14" fontId="197" fillId="0" borderId="129" xfId="0" applyNumberFormat="1" applyFont="1" applyBorder="1" applyAlignment="1" applyProtection="1">
      <alignment horizontal="center" vertical="center"/>
      <protection locked="0"/>
    </xf>
    <xf numFmtId="0" fontId="92" fillId="23" borderId="129" xfId="0" applyFont="1" applyFill="1" applyBorder="1" applyAlignment="1">
      <alignment horizontal="center" vertical="center"/>
    </xf>
    <xf numFmtId="8" fontId="0" fillId="0" borderId="2" xfId="0" applyNumberFormat="1" applyBorder="1" applyAlignment="1">
      <alignment vertical="center" wrapText="1"/>
    </xf>
    <xf numFmtId="166" fontId="0" fillId="0" borderId="2" xfId="0" applyNumberFormat="1" applyBorder="1"/>
    <xf numFmtId="10" fontId="0" fillId="0" borderId="2" xfId="0" applyNumberFormat="1" applyBorder="1"/>
    <xf numFmtId="182" fontId="0" fillId="0" borderId="2" xfId="0" applyNumberFormat="1" applyBorder="1"/>
    <xf numFmtId="14" fontId="0" fillId="4" borderId="140" xfId="0" applyNumberFormat="1" applyFill="1" applyBorder="1" applyAlignment="1" applyProtection="1">
      <alignment horizontal="center" vertical="center"/>
      <protection hidden="1"/>
    </xf>
    <xf numFmtId="14" fontId="92" fillId="4" borderId="22" xfId="0" applyNumberFormat="1" applyFont="1" applyFill="1" applyBorder="1" applyAlignment="1" applyProtection="1">
      <alignment horizontal="center" vertical="center" wrapText="1"/>
      <protection hidden="1"/>
    </xf>
    <xf numFmtId="0" fontId="86" fillId="4" borderId="63" xfId="0" applyFont="1" applyFill="1" applyBorder="1" applyAlignment="1" applyProtection="1">
      <alignment horizontal="right" vertical="center" wrapText="1"/>
      <protection hidden="1"/>
    </xf>
    <xf numFmtId="14" fontId="76" fillId="4" borderId="3" xfId="0" applyNumberFormat="1" applyFont="1" applyFill="1" applyBorder="1" applyAlignment="1" applyProtection="1">
      <alignment horizontal="center" vertical="center" wrapText="1"/>
      <protection locked="0"/>
    </xf>
    <xf numFmtId="180" fontId="0" fillId="4" borderId="100" xfId="0" applyNumberFormat="1" applyFill="1" applyBorder="1" applyAlignment="1">
      <alignment horizontal="center" vertical="center" wrapText="1"/>
    </xf>
    <xf numFmtId="180" fontId="0" fillId="4" borderId="100" xfId="0" applyNumberFormat="1" applyFill="1" applyBorder="1" applyAlignment="1" applyProtection="1">
      <alignment horizontal="center" vertical="center"/>
      <protection hidden="1"/>
    </xf>
    <xf numFmtId="180" fontId="0" fillId="4" borderId="140" xfId="0" applyNumberFormat="1" applyFill="1" applyBorder="1" applyAlignment="1" applyProtection="1">
      <alignment horizontal="center" vertical="center"/>
      <protection hidden="1"/>
    </xf>
    <xf numFmtId="180" fontId="114" fillId="4" borderId="134" xfId="0" applyNumberFormat="1" applyFont="1" applyFill="1" applyBorder="1" applyAlignment="1" applyProtection="1">
      <alignment horizontal="center" vertical="center"/>
      <protection hidden="1"/>
    </xf>
    <xf numFmtId="180" fontId="0" fillId="4" borderId="9" xfId="0" applyNumberFormat="1" applyFill="1" applyBorder="1" applyAlignment="1">
      <alignment horizontal="center" vertical="center"/>
    </xf>
    <xf numFmtId="180" fontId="0" fillId="4" borderId="2" xfId="0" applyNumberFormat="1" applyFill="1" applyBorder="1" applyAlignment="1">
      <alignment horizontal="center" vertical="center"/>
    </xf>
    <xf numFmtId="180" fontId="0" fillId="4" borderId="129" xfId="0" applyNumberFormat="1" applyFill="1" applyBorder="1" applyAlignment="1">
      <alignment horizontal="center" vertical="center"/>
    </xf>
    <xf numFmtId="171" fontId="0" fillId="0" borderId="2" xfId="0" applyNumberFormat="1" applyBorder="1" applyProtection="1">
      <protection locked="0"/>
    </xf>
    <xf numFmtId="0" fontId="0" fillId="0" borderId="2" xfId="0" applyBorder="1" applyAlignment="1" applyProtection="1">
      <alignment vertical="center"/>
      <protection locked="0"/>
    </xf>
    <xf numFmtId="181" fontId="0" fillId="0" borderId="2" xfId="0" applyNumberFormat="1" applyBorder="1" applyAlignment="1">
      <alignment vertical="center"/>
    </xf>
    <xf numFmtId="0" fontId="0" fillId="0" borderId="10" xfId="0" applyBorder="1" applyAlignment="1">
      <alignment vertical="center"/>
    </xf>
    <xf numFmtId="0" fontId="0" fillId="0" borderId="12" xfId="0" applyBorder="1" applyAlignment="1">
      <alignment vertical="center"/>
    </xf>
    <xf numFmtId="0" fontId="0" fillId="0" borderId="12" xfId="0" applyBorder="1" applyAlignment="1" applyProtection="1">
      <alignment vertical="center"/>
      <protection locked="0"/>
    </xf>
    <xf numFmtId="181" fontId="0" fillId="0" borderId="12" xfId="0" applyNumberFormat="1" applyBorder="1" applyAlignment="1">
      <alignment vertical="center"/>
    </xf>
    <xf numFmtId="0" fontId="0" fillId="0" borderId="24" xfId="0" applyBorder="1" applyAlignment="1">
      <alignment vertical="center"/>
    </xf>
    <xf numFmtId="164" fontId="0" fillId="0" borderId="21" xfId="0" applyNumberFormat="1" applyBorder="1" applyAlignment="1" applyProtection="1">
      <alignment vertical="center"/>
      <protection locked="0"/>
    </xf>
    <xf numFmtId="0" fontId="0" fillId="0" borderId="21" xfId="0" applyBorder="1" applyAlignment="1">
      <alignment vertical="center"/>
    </xf>
    <xf numFmtId="0" fontId="0" fillId="0" borderId="5" xfId="0" applyBorder="1" applyAlignment="1">
      <alignment vertical="center"/>
    </xf>
    <xf numFmtId="164" fontId="0" fillId="0" borderId="6" xfId="0" applyNumberFormat="1" applyBorder="1" applyAlignment="1" applyProtection="1">
      <alignment vertical="center"/>
      <protection locked="0"/>
    </xf>
    <xf numFmtId="0" fontId="0" fillId="0" borderId="6" xfId="0" applyBorder="1" applyAlignment="1">
      <alignment vertical="center"/>
    </xf>
    <xf numFmtId="6" fontId="66" fillId="0" borderId="171" xfId="3" applyNumberFormat="1" applyFont="1" applyBorder="1" applyAlignment="1" applyProtection="1">
      <alignment horizontal="center" vertical="center" wrapText="1"/>
      <protection hidden="1"/>
    </xf>
    <xf numFmtId="0" fontId="0" fillId="4" borderId="10" xfId="0" applyFill="1" applyBorder="1" applyAlignment="1" applyProtection="1">
      <alignment vertical="center"/>
      <protection hidden="1"/>
    </xf>
    <xf numFmtId="10" fontId="92" fillId="0" borderId="151" xfId="3" applyNumberFormat="1" applyFont="1" applyFill="1" applyBorder="1" applyAlignment="1" applyProtection="1">
      <alignment horizontal="center" vertical="center"/>
      <protection locked="0"/>
    </xf>
    <xf numFmtId="8" fontId="101" fillId="0" borderId="2" xfId="0" applyNumberFormat="1" applyFont="1" applyBorder="1" applyAlignment="1" applyProtection="1">
      <alignment vertical="center"/>
      <protection locked="0"/>
    </xf>
    <xf numFmtId="0" fontId="86" fillId="0" borderId="0" xfId="0" quotePrefix="1" applyFont="1"/>
    <xf numFmtId="166" fontId="0" fillId="0" borderId="2" xfId="0" applyNumberFormat="1" applyBorder="1" applyAlignment="1">
      <alignment vertical="center"/>
    </xf>
    <xf numFmtId="14" fontId="75" fillId="4" borderId="2" xfId="0" applyNumberFormat="1" applyFont="1" applyFill="1" applyBorder="1" applyAlignment="1" applyProtection="1">
      <alignment horizontal="center" vertical="center"/>
      <protection locked="0" hidden="1"/>
    </xf>
    <xf numFmtId="9" fontId="0" fillId="0" borderId="2" xfId="3" applyFont="1" applyFill="1" applyBorder="1" applyAlignment="1" applyProtection="1">
      <alignment horizontal="center"/>
      <protection locked="0"/>
    </xf>
    <xf numFmtId="14" fontId="0" fillId="0" borderId="83" xfId="0" applyNumberFormat="1" applyBorder="1" applyAlignment="1" applyProtection="1">
      <alignment horizontal="center"/>
      <protection locked="0"/>
    </xf>
    <xf numFmtId="0" fontId="203" fillId="0" borderId="0" xfId="2" applyNumberFormat="1" applyFont="1" applyFill="1" applyAlignment="1" applyProtection="1">
      <alignment horizontal="center" vertical="center" wrapText="1"/>
    </xf>
    <xf numFmtId="0" fontId="134" fillId="9" borderId="57" xfId="2" applyNumberFormat="1" applyFont="1" applyFill="1" applyBorder="1" applyAlignment="1" applyProtection="1">
      <alignment horizontal="center" vertical="center" wrapText="1"/>
      <protection hidden="1"/>
    </xf>
    <xf numFmtId="14" fontId="88" fillId="23" borderId="212" xfId="0" applyNumberFormat="1" applyFont="1" applyFill="1" applyBorder="1" applyAlignment="1" applyProtection="1">
      <alignment horizontal="center" vertical="center"/>
      <protection hidden="1"/>
    </xf>
    <xf numFmtId="0" fontId="88" fillId="18" borderId="2" xfId="0" applyFont="1" applyFill="1" applyBorder="1" applyAlignment="1" applyProtection="1">
      <alignment horizontal="center" vertical="center"/>
      <protection hidden="1"/>
    </xf>
    <xf numFmtId="0" fontId="88" fillId="23" borderId="2" xfId="0" applyFont="1" applyFill="1" applyBorder="1" applyAlignment="1" applyProtection="1">
      <alignment horizontal="center" vertical="center"/>
      <protection hidden="1"/>
    </xf>
    <xf numFmtId="0" fontId="88" fillId="23" borderId="129" xfId="0" applyFont="1" applyFill="1" applyBorder="1" applyAlignment="1" applyProtection="1">
      <alignment horizontal="center" vertical="center"/>
      <protection hidden="1"/>
    </xf>
    <xf numFmtId="14" fontId="72" fillId="4" borderId="213" xfId="0" applyNumberFormat="1" applyFont="1" applyFill="1" applyBorder="1" applyAlignment="1" applyProtection="1">
      <alignment horizontal="center" vertical="center"/>
      <protection hidden="1"/>
    </xf>
    <xf numFmtId="14" fontId="0" fillId="0" borderId="48" xfId="0" applyNumberFormat="1" applyBorder="1" applyAlignment="1" applyProtection="1">
      <alignment horizontal="center" vertical="center"/>
      <protection locked="0"/>
    </xf>
    <xf numFmtId="0" fontId="183" fillId="0" borderId="0" xfId="2" applyNumberFormat="1" applyFont="1" applyFill="1" applyAlignment="1" applyProtection="1">
      <alignment horizontal="center" vertical="center"/>
    </xf>
    <xf numFmtId="0" fontId="211" fillId="8" borderId="0" xfId="2" applyNumberFormat="1" applyFont="1" applyFill="1" applyAlignment="1" applyProtection="1">
      <alignment horizontal="center" vertical="center"/>
    </xf>
    <xf numFmtId="14" fontId="140" fillId="0" borderId="202" xfId="0" applyNumberFormat="1" applyFont="1" applyBorder="1" applyAlignment="1" applyProtection="1">
      <alignment horizontal="center" vertical="center"/>
      <protection locked="0"/>
    </xf>
    <xf numFmtId="14" fontId="0" fillId="4" borderId="2" xfId="0" applyNumberFormat="1" applyFill="1" applyBorder="1" applyAlignment="1" applyProtection="1">
      <alignment horizontal="center" vertical="center"/>
      <protection hidden="1"/>
    </xf>
    <xf numFmtId="14" fontId="75" fillId="0" borderId="6" xfId="0" applyNumberFormat="1" applyFont="1" applyBorder="1" applyAlignment="1" applyProtection="1">
      <alignment horizontal="center" vertical="center"/>
      <protection locked="0"/>
    </xf>
    <xf numFmtId="14" fontId="0" fillId="4" borderId="2" xfId="0" applyNumberFormat="1" applyFill="1" applyBorder="1" applyAlignment="1" applyProtection="1">
      <alignment horizontal="center"/>
      <protection hidden="1"/>
    </xf>
    <xf numFmtId="14" fontId="88" fillId="0" borderId="0" xfId="0" applyNumberFormat="1" applyFont="1" applyAlignment="1" applyProtection="1">
      <alignment horizontal="center" vertical="center"/>
      <protection locked="0"/>
    </xf>
    <xf numFmtId="14" fontId="88" fillId="18" borderId="189" xfId="0" applyNumberFormat="1" applyFont="1" applyFill="1" applyBorder="1" applyAlignment="1" applyProtection="1">
      <alignment horizontal="center" vertical="center"/>
      <protection hidden="1"/>
    </xf>
    <xf numFmtId="9" fontId="91" fillId="4" borderId="0" xfId="3" applyFont="1" applyFill="1" applyAlignment="1">
      <alignment vertical="center"/>
    </xf>
    <xf numFmtId="0" fontId="45" fillId="4" borderId="200" xfId="0" applyFont="1" applyFill="1" applyBorder="1" applyAlignment="1" applyProtection="1">
      <alignment horizontal="center" vertical="center" wrapText="1"/>
      <protection hidden="1"/>
    </xf>
    <xf numFmtId="0" fontId="0" fillId="0" borderId="112" xfId="0" applyBorder="1" applyAlignment="1">
      <alignment vertical="top" wrapText="1"/>
    </xf>
    <xf numFmtId="0" fontId="0" fillId="0" borderId="0" xfId="0" applyAlignment="1">
      <alignment vertical="top" wrapText="1"/>
    </xf>
    <xf numFmtId="0" fontId="213" fillId="0" borderId="0" xfId="0" applyFont="1"/>
    <xf numFmtId="0" fontId="214" fillId="0" borderId="0" xfId="0" applyFont="1"/>
    <xf numFmtId="0" fontId="198" fillId="0" borderId="175" xfId="0" applyFont="1" applyBorder="1" applyAlignment="1" applyProtection="1">
      <alignment horizontal="center" vertical="center"/>
      <protection locked="0"/>
    </xf>
    <xf numFmtId="0" fontId="198" fillId="0" borderId="130" xfId="0" applyFont="1" applyBorder="1" applyAlignment="1" applyProtection="1">
      <alignment horizontal="center" vertical="center"/>
      <protection locked="0"/>
    </xf>
    <xf numFmtId="8" fontId="101" fillId="0" borderId="33" xfId="0" applyNumberFormat="1" applyFont="1" applyBorder="1" applyAlignment="1" applyProtection="1">
      <alignment vertical="center"/>
      <protection locked="0"/>
    </xf>
    <xf numFmtId="0" fontId="88" fillId="0" borderId="0" xfId="0" applyFont="1" applyAlignment="1">
      <alignment horizontal="left" vertical="center" wrapText="1"/>
    </xf>
    <xf numFmtId="0" fontId="176" fillId="0" borderId="0" xfId="2" applyNumberFormat="1" applyFont="1" applyFill="1" applyAlignment="1" applyProtection="1"/>
    <xf numFmtId="0" fontId="91" fillId="0" borderId="2" xfId="0" applyFont="1" applyBorder="1" applyAlignment="1">
      <alignment horizontal="left" wrapText="1"/>
    </xf>
    <xf numFmtId="14" fontId="0" fillId="0" borderId="4" xfId="0" applyNumberFormat="1" applyBorder="1" applyAlignment="1" applyProtection="1">
      <alignment horizontal="center"/>
      <protection locked="0"/>
    </xf>
    <xf numFmtId="14" fontId="0" fillId="0" borderId="3" xfId="0" applyNumberFormat="1" applyBorder="1" applyAlignment="1" applyProtection="1">
      <alignment horizontal="center"/>
      <protection locked="0"/>
    </xf>
    <xf numFmtId="192" fontId="198" fillId="0" borderId="2" xfId="0" applyNumberFormat="1" applyFont="1" applyBorder="1" applyAlignment="1" applyProtection="1">
      <alignment vertical="center"/>
      <protection locked="0"/>
    </xf>
    <xf numFmtId="0" fontId="126" fillId="4" borderId="2" xfId="0" applyFont="1" applyFill="1" applyBorder="1" applyAlignment="1" applyProtection="1">
      <alignment horizontal="center" vertical="center"/>
      <protection locked="0"/>
    </xf>
    <xf numFmtId="8" fontId="216" fillId="8" borderId="20" xfId="0" applyNumberFormat="1" applyFont="1" applyFill="1" applyBorder="1" applyAlignment="1" applyProtection="1">
      <alignment horizontal="center" vertical="center"/>
      <protection locked="0"/>
    </xf>
    <xf numFmtId="9" fontId="198" fillId="0" borderId="2" xfId="0" applyNumberFormat="1" applyFont="1" applyBorder="1" applyAlignment="1" applyProtection="1">
      <alignment horizontal="center" vertical="center"/>
      <protection locked="0"/>
    </xf>
    <xf numFmtId="8" fontId="88" fillId="18" borderId="33" xfId="0" applyNumberFormat="1" applyFont="1" applyFill="1" applyBorder="1" applyAlignment="1" applyProtection="1">
      <alignment vertical="center"/>
      <protection hidden="1"/>
    </xf>
    <xf numFmtId="8" fontId="88" fillId="23" borderId="33" xfId="0" applyNumberFormat="1" applyFont="1" applyFill="1" applyBorder="1" applyAlignment="1" applyProtection="1">
      <alignment vertical="center"/>
      <protection hidden="1"/>
    </xf>
    <xf numFmtId="168" fontId="176" fillId="0" borderId="23" xfId="2" applyNumberFormat="1" applyFont="1" applyBorder="1" applyAlignment="1" applyProtection="1">
      <alignment vertical="center"/>
    </xf>
    <xf numFmtId="168" fontId="176" fillId="0" borderId="44" xfId="2" applyNumberFormat="1" applyFont="1" applyBorder="1" applyAlignment="1" applyProtection="1">
      <alignment vertical="center"/>
    </xf>
    <xf numFmtId="168" fontId="176" fillId="0" borderId="0" xfId="2" applyNumberFormat="1" applyFont="1" applyAlignment="1" applyProtection="1">
      <alignment vertical="center"/>
    </xf>
    <xf numFmtId="168" fontId="176" fillId="0" borderId="15" xfId="2" applyNumberFormat="1" applyFont="1" applyBorder="1" applyAlignment="1" applyProtection="1">
      <alignment vertical="center"/>
    </xf>
    <xf numFmtId="6" fontId="0" fillId="4" borderId="100" xfId="0" applyNumberFormat="1" applyFill="1" applyBorder="1" applyAlignment="1">
      <alignment horizontal="center" vertical="center" wrapText="1"/>
    </xf>
    <xf numFmtId="6" fontId="86" fillId="4" borderId="3" xfId="0" applyNumberFormat="1" applyFont="1" applyFill="1" applyBorder="1" applyAlignment="1" applyProtection="1">
      <alignment horizontal="right" vertical="center"/>
      <protection hidden="1"/>
    </xf>
    <xf numFmtId="6" fontId="0" fillId="4" borderId="2" xfId="0" applyNumberFormat="1" applyFill="1" applyBorder="1" applyAlignment="1" applyProtection="1">
      <alignment horizontal="right" vertical="center"/>
      <protection hidden="1"/>
    </xf>
    <xf numFmtId="164" fontId="61" fillId="4" borderId="0" xfId="0" quotePrefix="1" applyNumberFormat="1" applyFont="1" applyFill="1" applyAlignment="1" applyProtection="1">
      <alignment horizontal="center" vertical="center" wrapText="1"/>
      <protection hidden="1"/>
    </xf>
    <xf numFmtId="8" fontId="208" fillId="0" borderId="2" xfId="0" applyNumberFormat="1" applyFont="1" applyBorder="1" applyAlignment="1" applyProtection="1">
      <alignment horizontal="center" vertical="center"/>
      <protection locked="0"/>
    </xf>
    <xf numFmtId="180" fontId="208" fillId="0" borderId="2" xfId="0" applyNumberFormat="1" applyFont="1" applyBorder="1" applyAlignment="1" applyProtection="1">
      <alignment horizontal="center" vertical="center"/>
      <protection locked="0"/>
    </xf>
    <xf numFmtId="10" fontId="198" fillId="0" borderId="2" xfId="0" applyNumberFormat="1" applyFont="1" applyBorder="1" applyAlignment="1" applyProtection="1">
      <alignment horizontal="center" vertical="center"/>
      <protection locked="0"/>
    </xf>
    <xf numFmtId="9" fontId="208" fillId="0" borderId="2" xfId="0" applyNumberFormat="1" applyFont="1" applyBorder="1" applyAlignment="1" applyProtection="1">
      <alignment horizontal="center" vertical="center"/>
      <protection locked="0"/>
    </xf>
    <xf numFmtId="9" fontId="217" fillId="0" borderId="2" xfId="0" applyNumberFormat="1" applyFont="1" applyBorder="1" applyAlignment="1" applyProtection="1">
      <alignment horizontal="center" vertical="center"/>
      <protection locked="0"/>
    </xf>
    <xf numFmtId="10" fontId="198" fillId="0" borderId="130" xfId="0" applyNumberFormat="1" applyFont="1" applyBorder="1" applyAlignment="1" applyProtection="1">
      <alignment horizontal="center" vertical="center"/>
      <protection locked="0"/>
    </xf>
    <xf numFmtId="9" fontId="208" fillId="0" borderId="130" xfId="0" applyNumberFormat="1" applyFont="1" applyBorder="1" applyAlignment="1" applyProtection="1">
      <alignment horizontal="center" vertical="center"/>
      <protection locked="0"/>
    </xf>
    <xf numFmtId="164" fontId="51" fillId="4" borderId="15" xfId="0" applyNumberFormat="1" applyFont="1" applyFill="1" applyBorder="1"/>
    <xf numFmtId="0" fontId="51" fillId="4" borderId="0" xfId="0" quotePrefix="1" applyFont="1" applyFill="1" applyAlignment="1" applyProtection="1">
      <alignment horizontal="center" vertical="center"/>
      <protection hidden="1"/>
    </xf>
    <xf numFmtId="0" fontId="51" fillId="4" borderId="15" xfId="0" applyFont="1" applyFill="1" applyBorder="1"/>
    <xf numFmtId="6" fontId="51" fillId="4" borderId="0" xfId="0" applyNumberFormat="1" applyFont="1" applyFill="1" applyAlignment="1">
      <alignment horizontal="center" vertical="center"/>
    </xf>
    <xf numFmtId="2" fontId="90" fillId="4" borderId="0" xfId="0" applyNumberFormat="1" applyFont="1" applyFill="1" applyAlignment="1">
      <alignment horizontal="center" vertical="center"/>
    </xf>
    <xf numFmtId="2" fontId="49" fillId="4" borderId="0" xfId="2" applyNumberFormat="1" applyFill="1" applyAlignment="1" applyProtection="1">
      <alignment horizontal="center" vertical="center"/>
      <protection hidden="1"/>
    </xf>
    <xf numFmtId="8" fontId="85" fillId="0" borderId="0" xfId="8" applyNumberFormat="1" applyFont="1" applyFill="1" applyAlignment="1">
      <alignment vertical="center"/>
    </xf>
    <xf numFmtId="0" fontId="0" fillId="0" borderId="112" xfId="0" applyBorder="1" applyAlignment="1">
      <alignment horizontal="center" vertical="center"/>
    </xf>
    <xf numFmtId="166" fontId="0" fillId="0" borderId="0" xfId="0" applyNumberFormat="1" applyAlignment="1">
      <alignment horizontal="right" vertical="center"/>
    </xf>
    <xf numFmtId="10" fontId="62" fillId="0" borderId="2" xfId="3" applyNumberFormat="1" applyFill="1" applyBorder="1"/>
    <xf numFmtId="10" fontId="62" fillId="0" borderId="2" xfId="3" applyNumberFormat="1" applyFill="1" applyBorder="1" applyAlignment="1">
      <alignment vertical="center"/>
    </xf>
    <xf numFmtId="6" fontId="61" fillId="4" borderId="0" xfId="0" applyNumberFormat="1" applyFont="1" applyFill="1" applyAlignment="1" applyProtection="1">
      <alignment horizontal="center" vertical="center" wrapText="1"/>
      <protection hidden="1"/>
    </xf>
    <xf numFmtId="8" fontId="140" fillId="4" borderId="0" xfId="0" applyNumberFormat="1" applyFont="1" applyFill="1" applyAlignment="1">
      <alignment horizontal="center" vertical="center"/>
    </xf>
    <xf numFmtId="6" fontId="140" fillId="4" borderId="0" xfId="0" applyNumberFormat="1" applyFont="1" applyFill="1" applyAlignment="1">
      <alignment horizontal="center" vertical="center"/>
    </xf>
    <xf numFmtId="10" fontId="75" fillId="4" borderId="0" xfId="3" applyNumberFormat="1" applyFont="1" applyFill="1" applyAlignment="1">
      <alignment horizontal="center" vertical="center"/>
    </xf>
    <xf numFmtId="177" fontId="90" fillId="3" borderId="0" xfId="0" applyNumberFormat="1" applyFont="1" applyFill="1" applyAlignment="1">
      <alignment horizontal="center" vertical="center" wrapText="1"/>
    </xf>
    <xf numFmtId="1" fontId="0" fillId="0" borderId="1" xfId="0" applyNumberFormat="1" applyBorder="1" applyAlignment="1">
      <alignment vertical="center"/>
    </xf>
    <xf numFmtId="10" fontId="0" fillId="0" borderId="2" xfId="3" applyNumberFormat="1" applyFont="1" applyBorder="1" applyAlignment="1">
      <alignment vertical="center"/>
    </xf>
    <xf numFmtId="0" fontId="90" fillId="0" borderId="2" xfId="0" applyFont="1" applyBorder="1" applyAlignment="1">
      <alignment vertical="center"/>
    </xf>
    <xf numFmtId="0" fontId="90" fillId="0" borderId="2" xfId="0" applyFont="1" applyBorder="1" applyAlignment="1">
      <alignment horizontal="right" vertical="center"/>
    </xf>
    <xf numFmtId="10" fontId="0" fillId="0" borderId="1" xfId="3" applyNumberFormat="1" applyFont="1" applyBorder="1" applyAlignment="1">
      <alignment vertical="center"/>
    </xf>
    <xf numFmtId="14" fontId="41" fillId="0" borderId="2" xfId="0" applyNumberFormat="1" applyFont="1" applyBorder="1" applyAlignment="1" applyProtection="1">
      <alignment horizontal="center" vertical="center"/>
      <protection locked="0"/>
    </xf>
    <xf numFmtId="0" fontId="41" fillId="4" borderId="2" xfId="0" applyFont="1" applyFill="1" applyBorder="1" applyAlignment="1">
      <alignment horizontal="right" vertical="center" wrapText="1"/>
    </xf>
    <xf numFmtId="179" fontId="41" fillId="4" borderId="2" xfId="0" applyNumberFormat="1" applyFont="1" applyFill="1" applyBorder="1" applyAlignment="1">
      <alignment horizontal="center" vertical="center"/>
    </xf>
    <xf numFmtId="6" fontId="41" fillId="4" borderId="2" xfId="0" applyNumberFormat="1" applyFont="1" applyFill="1" applyBorder="1" applyAlignment="1">
      <alignment horizontal="center" vertical="center"/>
    </xf>
    <xf numFmtId="0" fontId="88" fillId="3" borderId="2" xfId="0" applyFont="1" applyFill="1" applyBorder="1" applyAlignment="1">
      <alignment horizontal="right" vertical="center" wrapText="1"/>
    </xf>
    <xf numFmtId="10" fontId="88" fillId="3" borderId="2" xfId="3" applyNumberFormat="1" applyFont="1" applyFill="1" applyBorder="1" applyAlignment="1">
      <alignment horizontal="center" vertical="center" wrapText="1"/>
    </xf>
    <xf numFmtId="0" fontId="44" fillId="4" borderId="2" xfId="0" applyFont="1" applyFill="1" applyBorder="1" applyAlignment="1" applyProtection="1">
      <alignment horizontal="right" vertical="center" wrapText="1"/>
      <protection hidden="1"/>
    </xf>
    <xf numFmtId="6" fontId="44" fillId="4" borderId="2" xfId="0" applyNumberFormat="1" applyFont="1" applyFill="1" applyBorder="1" applyAlignment="1" applyProtection="1">
      <alignment horizontal="center" vertical="center" wrapText="1"/>
      <protection hidden="1"/>
    </xf>
    <xf numFmtId="9" fontId="44" fillId="4" borderId="2" xfId="0" applyNumberFormat="1" applyFont="1" applyFill="1" applyBorder="1" applyAlignment="1">
      <alignment horizontal="right" vertical="center" wrapText="1"/>
    </xf>
    <xf numFmtId="10" fontId="44" fillId="4" borderId="2" xfId="3" applyNumberFormat="1" applyFont="1" applyFill="1" applyBorder="1" applyAlignment="1">
      <alignment horizontal="center" vertical="center"/>
    </xf>
    <xf numFmtId="6" fontId="76" fillId="4" borderId="2" xfId="0" applyNumberFormat="1" applyFont="1" applyFill="1" applyBorder="1" applyAlignment="1">
      <alignment horizontal="center" vertical="center"/>
    </xf>
    <xf numFmtId="0" fontId="76" fillId="3" borderId="2" xfId="0" applyFont="1" applyFill="1" applyBorder="1" applyAlignment="1">
      <alignment horizontal="right" vertical="center" wrapText="1"/>
    </xf>
    <xf numFmtId="0" fontId="88" fillId="4" borderId="2" xfId="0" applyFont="1" applyFill="1" applyBorder="1" applyAlignment="1">
      <alignment horizontal="right" vertical="center" wrapText="1"/>
    </xf>
    <xf numFmtId="0" fontId="44" fillId="4" borderId="2" xfId="2" applyNumberFormat="1" applyFont="1" applyFill="1" applyBorder="1" applyAlignment="1" applyProtection="1">
      <alignment horizontal="right" vertical="center" wrapText="1"/>
      <protection hidden="1"/>
    </xf>
    <xf numFmtId="0" fontId="41" fillId="4" borderId="2" xfId="0" applyFont="1" applyFill="1" applyBorder="1" applyAlignment="1" applyProtection="1">
      <alignment horizontal="right" vertical="center" wrapText="1"/>
      <protection hidden="1"/>
    </xf>
    <xf numFmtId="179" fontId="44" fillId="4" borderId="2" xfId="0" applyNumberFormat="1" applyFont="1" applyFill="1" applyBorder="1" applyAlignment="1">
      <alignment horizontal="center" vertical="center"/>
    </xf>
    <xf numFmtId="14" fontId="51" fillId="4" borderId="0" xfId="0" applyNumberFormat="1" applyFont="1" applyFill="1" applyAlignment="1">
      <alignment horizontal="center" vertical="center"/>
    </xf>
    <xf numFmtId="10" fontId="75" fillId="4" borderId="0" xfId="3" applyNumberFormat="1" applyFont="1" applyFill="1" applyAlignment="1">
      <alignment vertical="center"/>
    </xf>
    <xf numFmtId="0" fontId="41" fillId="4" borderId="2" xfId="0" applyFont="1" applyFill="1" applyBorder="1" applyAlignment="1" applyProtection="1">
      <alignment horizontal="center" vertical="center"/>
      <protection hidden="1"/>
    </xf>
    <xf numFmtId="10" fontId="62" fillId="8" borderId="0" xfId="3" applyNumberFormat="1" applyFill="1" applyBorder="1" applyAlignment="1">
      <alignment horizontal="center"/>
    </xf>
    <xf numFmtId="10" fontId="62" fillId="16" borderId="0" xfId="3" applyNumberFormat="1" applyFill="1" applyBorder="1" applyAlignment="1">
      <alignment horizontal="center"/>
    </xf>
    <xf numFmtId="193" fontId="0" fillId="0" borderId="0" xfId="0" applyNumberFormat="1"/>
    <xf numFmtId="193" fontId="0" fillId="0" borderId="0" xfId="0" applyNumberFormat="1" applyAlignment="1">
      <alignment vertical="center"/>
    </xf>
    <xf numFmtId="166" fontId="0" fillId="0" borderId="0" xfId="0" applyNumberFormat="1" applyAlignment="1">
      <alignment horizontal="right"/>
    </xf>
    <xf numFmtId="10" fontId="198" fillId="0" borderId="2" xfId="3" applyNumberFormat="1" applyFont="1" applyBorder="1" applyAlignment="1" applyProtection="1">
      <alignment horizontal="center" vertical="center"/>
      <protection locked="0"/>
    </xf>
    <xf numFmtId="6" fontId="88" fillId="18" borderId="33" xfId="0" applyNumberFormat="1" applyFont="1" applyFill="1" applyBorder="1" applyAlignment="1" applyProtection="1">
      <alignment vertical="center"/>
      <protection hidden="1"/>
    </xf>
    <xf numFmtId="6" fontId="88" fillId="23" borderId="223" xfId="0" applyNumberFormat="1" applyFont="1" applyFill="1" applyBorder="1" applyAlignment="1" applyProtection="1">
      <alignment vertical="center"/>
      <protection hidden="1"/>
    </xf>
    <xf numFmtId="6" fontId="88" fillId="18" borderId="2" xfId="0" applyNumberFormat="1" applyFont="1" applyFill="1" applyBorder="1" applyAlignment="1" applyProtection="1">
      <alignment vertical="center"/>
      <protection hidden="1"/>
    </xf>
    <xf numFmtId="6" fontId="88" fillId="23" borderId="129" xfId="0" applyNumberFormat="1" applyFont="1" applyFill="1" applyBorder="1" applyAlignment="1" applyProtection="1">
      <alignment vertical="center"/>
      <protection hidden="1"/>
    </xf>
    <xf numFmtId="182" fontId="62" fillId="0" borderId="6" xfId="3" applyNumberFormat="1" applyFill="1" applyBorder="1" applyAlignment="1">
      <alignment vertical="center"/>
    </xf>
    <xf numFmtId="182" fontId="62" fillId="0" borderId="21" xfId="3" applyNumberFormat="1" applyFill="1" applyBorder="1" applyAlignment="1">
      <alignment vertical="center"/>
    </xf>
    <xf numFmtId="0" fontId="0" fillId="4" borderId="0" xfId="0" applyFill="1" applyAlignment="1">
      <alignment vertical="center" textRotation="90" wrapText="1"/>
    </xf>
    <xf numFmtId="0" fontId="86" fillId="4" borderId="130" xfId="0" applyFont="1" applyFill="1" applyBorder="1" applyAlignment="1" applyProtection="1">
      <alignment horizontal="right" vertical="center"/>
      <protection hidden="1"/>
    </xf>
    <xf numFmtId="6" fontId="88" fillId="4" borderId="180" xfId="0" applyNumberFormat="1" applyFont="1" applyFill="1" applyBorder="1" applyAlignment="1" applyProtection="1">
      <alignment vertical="center"/>
      <protection hidden="1"/>
    </xf>
    <xf numFmtId="6" fontId="88" fillId="4" borderId="131" xfId="0" applyNumberFormat="1" applyFont="1" applyFill="1" applyBorder="1" applyAlignment="1" applyProtection="1">
      <alignment vertical="center"/>
      <protection hidden="1"/>
    </xf>
    <xf numFmtId="9" fontId="88" fillId="0" borderId="0" xfId="3" applyFont="1" applyAlignment="1">
      <alignment horizontal="center" vertical="center" wrapText="1"/>
    </xf>
    <xf numFmtId="14" fontId="0" fillId="9" borderId="2" xfId="0" applyNumberFormat="1" applyFill="1" applyBorder="1" applyAlignment="1" applyProtection="1">
      <alignment horizontal="left" vertical="center"/>
      <protection locked="0"/>
    </xf>
    <xf numFmtId="0" fontId="91" fillId="12" borderId="17" xfId="0" applyFont="1" applyFill="1" applyBorder="1" applyAlignment="1" applyProtection="1">
      <alignment horizontal="right" vertical="center" wrapText="1"/>
      <protection hidden="1"/>
    </xf>
    <xf numFmtId="14" fontId="86" fillId="12" borderId="233" xfId="0" applyNumberFormat="1" applyFont="1" applyFill="1" applyBorder="1" applyAlignment="1" applyProtection="1">
      <alignment horizontal="right" vertical="center" wrapText="1"/>
      <protection hidden="1"/>
    </xf>
    <xf numFmtId="6" fontId="221" fillId="23" borderId="129" xfId="0" applyNumberFormat="1" applyFont="1" applyFill="1" applyBorder="1" applyAlignment="1">
      <alignment vertical="center"/>
    </xf>
    <xf numFmtId="8" fontId="99" fillId="4" borderId="7" xfId="0" applyNumberFormat="1" applyFont="1" applyFill="1" applyBorder="1" applyAlignment="1" applyProtection="1">
      <alignment vertical="center"/>
      <protection hidden="1"/>
    </xf>
    <xf numFmtId="167" fontId="0" fillId="4" borderId="29" xfId="0" applyNumberFormat="1" applyFill="1" applyBorder="1" applyAlignment="1" applyProtection="1">
      <alignment horizontal="center" wrapText="1"/>
      <protection hidden="1"/>
    </xf>
    <xf numFmtId="9" fontId="198" fillId="0" borderId="130" xfId="0" applyNumberFormat="1" applyFont="1" applyBorder="1" applyAlignment="1" applyProtection="1">
      <alignment horizontal="center" vertical="center"/>
      <protection locked="0"/>
    </xf>
    <xf numFmtId="0" fontId="217" fillId="0" borderId="2" xfId="0" applyFont="1" applyBorder="1" applyAlignment="1" applyProtection="1">
      <alignment horizontal="center" vertical="center" wrapText="1"/>
      <protection locked="0"/>
    </xf>
    <xf numFmtId="0" fontId="134" fillId="4" borderId="19" xfId="2" applyNumberFormat="1" applyFont="1" applyFill="1" applyBorder="1" applyAlignment="1" applyProtection="1">
      <alignment horizontal="center"/>
    </xf>
    <xf numFmtId="14" fontId="0" fillId="0" borderId="2" xfId="0" applyNumberFormat="1" applyBorder="1" applyAlignment="1">
      <alignment vertical="center"/>
    </xf>
    <xf numFmtId="14" fontId="223" fillId="29" borderId="2" xfId="0" applyNumberFormat="1" applyFont="1" applyFill="1" applyBorder="1" applyAlignment="1">
      <alignment horizontal="center" vertical="top" wrapText="1"/>
    </xf>
    <xf numFmtId="8" fontId="223" fillId="29" borderId="2" xfId="0" applyNumberFormat="1" applyFont="1" applyFill="1" applyBorder="1" applyAlignment="1">
      <alignment horizontal="center" vertical="top" wrapText="1"/>
    </xf>
    <xf numFmtId="10" fontId="223" fillId="29" borderId="2" xfId="0" applyNumberFormat="1" applyFont="1" applyFill="1" applyBorder="1" applyAlignment="1">
      <alignment horizontal="center" vertical="top" wrapText="1"/>
    </xf>
    <xf numFmtId="10" fontId="223" fillId="29" borderId="0" xfId="3" applyNumberFormat="1" applyFont="1" applyFill="1" applyBorder="1" applyAlignment="1">
      <alignment horizontal="center" vertical="center" wrapText="1"/>
    </xf>
    <xf numFmtId="10" fontId="0" fillId="0" borderId="0" xfId="3" applyNumberFormat="1" applyFont="1" applyBorder="1" applyAlignment="1">
      <alignment horizontal="center" vertical="center"/>
    </xf>
    <xf numFmtId="14" fontId="223" fillId="29" borderId="2" xfId="0" applyNumberFormat="1" applyFont="1" applyFill="1" applyBorder="1" applyAlignment="1">
      <alignment horizontal="center" vertical="center" wrapText="1"/>
    </xf>
    <xf numFmtId="8" fontId="223" fillId="29" borderId="2" xfId="0" applyNumberFormat="1" applyFont="1" applyFill="1" applyBorder="1" applyAlignment="1">
      <alignment horizontal="center" vertical="center" wrapText="1"/>
    </xf>
    <xf numFmtId="10" fontId="223" fillId="29" borderId="2" xfId="0" applyNumberFormat="1" applyFont="1" applyFill="1" applyBorder="1" applyAlignment="1">
      <alignment horizontal="center" vertical="center" wrapText="1"/>
    </xf>
    <xf numFmtId="10" fontId="223" fillId="29" borderId="2" xfId="3" applyNumberFormat="1" applyFont="1" applyFill="1" applyBorder="1" applyAlignment="1">
      <alignment horizontal="center" vertical="center" wrapText="1"/>
    </xf>
    <xf numFmtId="10" fontId="0" fillId="0" borderId="0" xfId="3" applyNumberFormat="1" applyFont="1" applyFill="1" applyBorder="1" applyAlignment="1">
      <alignment horizontal="center" vertical="center"/>
    </xf>
    <xf numFmtId="0" fontId="223" fillId="29" borderId="2" xfId="0" applyFont="1" applyFill="1" applyBorder="1" applyAlignment="1">
      <alignment horizontal="center" vertical="top" wrapText="1"/>
    </xf>
    <xf numFmtId="9" fontId="0" fillId="0" borderId="0" xfId="3" applyFont="1" applyBorder="1" applyAlignment="1">
      <alignment horizontal="center" vertical="center"/>
    </xf>
    <xf numFmtId="9" fontId="0" fillId="0" borderId="0" xfId="3" applyFont="1" applyFill="1" applyBorder="1" applyAlignment="1">
      <alignment horizontal="center" vertical="center"/>
    </xf>
    <xf numFmtId="14" fontId="223" fillId="29" borderId="41" xfId="0" applyNumberFormat="1" applyFont="1" applyFill="1" applyBorder="1" applyAlignment="1">
      <alignment horizontal="center" vertical="center" wrapText="1"/>
    </xf>
    <xf numFmtId="8" fontId="223" fillId="29" borderId="41" xfId="0" applyNumberFormat="1" applyFont="1" applyFill="1" applyBorder="1" applyAlignment="1">
      <alignment horizontal="center" vertical="center" wrapText="1"/>
    </xf>
    <xf numFmtId="10" fontId="223" fillId="29" borderId="41" xfId="0" applyNumberFormat="1" applyFont="1" applyFill="1" applyBorder="1" applyAlignment="1">
      <alignment horizontal="center" vertical="center" wrapText="1"/>
    </xf>
    <xf numFmtId="10" fontId="0" fillId="0" borderId="41" xfId="3" applyNumberFormat="1" applyFont="1" applyBorder="1" applyAlignment="1">
      <alignment horizontal="center" vertical="center"/>
    </xf>
    <xf numFmtId="9" fontId="0" fillId="0" borderId="2" xfId="3" applyFont="1" applyFill="1" applyBorder="1" applyAlignment="1">
      <alignment horizontal="center" vertical="center"/>
    </xf>
    <xf numFmtId="0" fontId="173" fillId="25" borderId="234" xfId="0" applyFont="1" applyFill="1" applyBorder="1" applyAlignment="1">
      <alignment horizontal="center" vertical="top" wrapText="1"/>
    </xf>
    <xf numFmtId="0" fontId="173" fillId="25" borderId="0" xfId="0" applyFont="1" applyFill="1" applyAlignment="1">
      <alignment horizontal="center" vertical="top" wrapText="1"/>
    </xf>
    <xf numFmtId="0" fontId="173" fillId="25" borderId="235" xfId="0" applyFont="1" applyFill="1" applyBorder="1" applyAlignment="1">
      <alignment horizontal="center" vertical="top" wrapText="1"/>
    </xf>
    <xf numFmtId="0" fontId="173" fillId="25" borderId="195" xfId="0" applyFont="1" applyFill="1" applyBorder="1" applyAlignment="1">
      <alignment horizontal="center" vertical="top" wrapText="1"/>
    </xf>
    <xf numFmtId="0" fontId="21" fillId="0" borderId="0" xfId="0" applyFont="1" applyProtection="1">
      <protection locked="0"/>
    </xf>
    <xf numFmtId="14" fontId="0" fillId="9" borderId="129" xfId="0" applyNumberFormat="1" applyFill="1" applyBorder="1" applyAlignment="1" applyProtection="1">
      <alignment horizontal="center" vertical="center"/>
      <protection hidden="1"/>
    </xf>
    <xf numFmtId="0" fontId="101" fillId="9" borderId="2" xfId="0" applyFont="1" applyFill="1" applyBorder="1" applyAlignment="1" applyProtection="1">
      <alignment horizontal="center" vertical="center"/>
      <protection hidden="1"/>
    </xf>
    <xf numFmtId="0" fontId="0" fillId="4" borderId="175" xfId="0" applyFill="1" applyBorder="1" applyAlignment="1" applyProtection="1">
      <alignment vertical="center"/>
      <protection hidden="1"/>
    </xf>
    <xf numFmtId="0" fontId="88" fillId="9" borderId="2" xfId="0" applyFont="1" applyFill="1" applyBorder="1" applyAlignment="1">
      <alignment horizontal="center" vertical="center"/>
    </xf>
    <xf numFmtId="0" fontId="0" fillId="4" borderId="0" xfId="0" applyFill="1" applyAlignment="1">
      <alignment vertical="center" wrapText="1"/>
    </xf>
    <xf numFmtId="14" fontId="126" fillId="0" borderId="2" xfId="0" applyNumberFormat="1" applyFont="1" applyBorder="1" applyAlignment="1">
      <alignment horizontal="center" textRotation="90"/>
    </xf>
    <xf numFmtId="14" fontId="126" fillId="0" borderId="3" xfId="0" applyNumberFormat="1" applyFont="1" applyBorder="1" applyAlignment="1">
      <alignment horizontal="center" textRotation="90"/>
    </xf>
    <xf numFmtId="10" fontId="150" fillId="0" borderId="2" xfId="3" applyNumberFormat="1" applyFont="1" applyBorder="1" applyAlignment="1">
      <alignment horizontal="center" vertical="center"/>
    </xf>
    <xf numFmtId="4" fontId="150" fillId="0" borderId="2" xfId="0" applyNumberFormat="1" applyFont="1" applyBorder="1" applyAlignment="1">
      <alignment horizontal="center" vertical="center"/>
    </xf>
    <xf numFmtId="4" fontId="150" fillId="0" borderId="3" xfId="0" applyNumberFormat="1" applyFont="1" applyBorder="1" applyAlignment="1">
      <alignment horizontal="center" vertical="center"/>
    </xf>
    <xf numFmtId="0" fontId="86" fillId="4" borderId="22" xfId="0" applyFont="1" applyFill="1" applyBorder="1" applyAlignment="1" applyProtection="1">
      <alignment vertical="center"/>
      <protection locked="0"/>
    </xf>
    <xf numFmtId="0" fontId="0" fillId="4" borderId="4" xfId="0" applyFill="1" applyBorder="1" applyAlignment="1" applyProtection="1">
      <alignment horizontal="left" vertical="center"/>
      <protection hidden="1"/>
    </xf>
    <xf numFmtId="0" fontId="0" fillId="4" borderId="2" xfId="0" applyFill="1" applyBorder="1" applyAlignment="1" applyProtection="1">
      <alignment horizontal="left" vertical="center"/>
      <protection hidden="1"/>
    </xf>
    <xf numFmtId="185" fontId="66" fillId="4" borderId="3" xfId="0" applyNumberFormat="1" applyFont="1" applyFill="1" applyBorder="1" applyAlignment="1" applyProtection="1">
      <alignment horizontal="center" vertical="center"/>
      <protection hidden="1"/>
    </xf>
    <xf numFmtId="10" fontId="62" fillId="4" borderId="2" xfId="3" applyNumberFormat="1" applyFill="1" applyBorder="1" applyAlignment="1" applyProtection="1">
      <alignment horizontal="center" vertical="center"/>
      <protection hidden="1"/>
    </xf>
    <xf numFmtId="0" fontId="0" fillId="0" borderId="12" xfId="0" applyBorder="1" applyAlignment="1">
      <alignment horizontal="center" vertical="center"/>
    </xf>
    <xf numFmtId="0" fontId="0" fillId="8" borderId="0" xfId="0" applyFill="1" applyAlignment="1">
      <alignment horizontal="center"/>
    </xf>
    <xf numFmtId="166" fontId="91" fillId="0" borderId="0" xfId="0" applyNumberFormat="1" applyFont="1" applyAlignment="1">
      <alignment horizontal="center" vertical="center" wrapText="1"/>
    </xf>
    <xf numFmtId="166" fontId="50" fillId="0" borderId="0" xfId="0" applyNumberFormat="1" applyFont="1" applyAlignment="1">
      <alignment horizontal="center"/>
    </xf>
    <xf numFmtId="166" fontId="0" fillId="0" borderId="0" xfId="0" applyNumberFormat="1" applyAlignment="1">
      <alignment horizontal="center" vertical="center" wrapText="1"/>
    </xf>
    <xf numFmtId="167" fontId="0" fillId="8" borderId="0" xfId="0" applyNumberFormat="1" applyFill="1" applyAlignment="1">
      <alignment horizontal="center"/>
    </xf>
    <xf numFmtId="166" fontId="0" fillId="8" borderId="0" xfId="0" applyNumberFormat="1" applyFill="1" applyAlignment="1">
      <alignment horizontal="center" vertical="center" wrapText="1"/>
    </xf>
    <xf numFmtId="10" fontId="62" fillId="8" borderId="0" xfId="3" applyNumberFormat="1" applyFill="1" applyBorder="1" applyAlignment="1">
      <alignment horizontal="center" wrapText="1"/>
    </xf>
    <xf numFmtId="166" fontId="0" fillId="8" borderId="0" xfId="0" applyNumberFormat="1" applyFill="1" applyAlignment="1">
      <alignment horizontal="center"/>
    </xf>
    <xf numFmtId="166" fontId="62" fillId="8" borderId="0" xfId="3" applyNumberFormat="1" applyFill="1" applyBorder="1" applyAlignment="1">
      <alignment horizontal="center"/>
    </xf>
    <xf numFmtId="167" fontId="0" fillId="0" borderId="12" xfId="0" applyNumberFormat="1" applyBorder="1" applyAlignment="1">
      <alignment horizontal="center" vertical="center"/>
    </xf>
    <xf numFmtId="166" fontId="0" fillId="0" borderId="12" xfId="0" applyNumberFormat="1" applyBorder="1" applyAlignment="1">
      <alignment horizontal="center" vertical="center"/>
    </xf>
    <xf numFmtId="166" fontId="62" fillId="0" borderId="12" xfId="3" applyNumberFormat="1" applyFill="1" applyBorder="1" applyAlignment="1">
      <alignment horizontal="center" vertical="center"/>
    </xf>
    <xf numFmtId="167" fontId="0" fillId="0" borderId="0" xfId="0" applyNumberFormat="1" applyAlignment="1">
      <alignment horizontal="center" vertical="center"/>
    </xf>
    <xf numFmtId="166" fontId="0" fillId="0" borderId="0" xfId="0" applyNumberFormat="1" applyAlignment="1">
      <alignment horizontal="center" vertical="center"/>
    </xf>
    <xf numFmtId="166" fontId="62" fillId="0" borderId="0" xfId="3" applyNumberFormat="1" applyFill="1" applyBorder="1" applyAlignment="1">
      <alignment horizontal="center" vertical="center"/>
    </xf>
    <xf numFmtId="10" fontId="62" fillId="0" borderId="12" xfId="3" applyNumberFormat="1" applyFill="1" applyBorder="1" applyAlignment="1">
      <alignment horizontal="center" vertical="center"/>
    </xf>
    <xf numFmtId="166" fontId="0" fillId="0" borderId="2" xfId="0" applyNumberFormat="1" applyBorder="1" applyAlignment="1">
      <alignment horizontal="center" vertical="center" wrapText="1"/>
    </xf>
    <xf numFmtId="14" fontId="101" fillId="18" borderId="2" xfId="0" applyNumberFormat="1" applyFont="1" applyFill="1" applyBorder="1" applyAlignment="1" applyProtection="1">
      <alignment horizontal="center" vertical="center"/>
      <protection hidden="1"/>
    </xf>
    <xf numFmtId="171" fontId="109" fillId="8" borderId="0" xfId="0" applyNumberFormat="1" applyFont="1" applyFill="1" applyAlignment="1">
      <alignment vertical="center"/>
    </xf>
    <xf numFmtId="177" fontId="39" fillId="8" borderId="0" xfId="0" applyNumberFormat="1" applyFont="1" applyFill="1" applyAlignment="1">
      <alignment horizontal="center"/>
    </xf>
    <xf numFmtId="15" fontId="0" fillId="0" borderId="0" xfId="0" quotePrefix="1" applyNumberFormat="1" applyAlignment="1">
      <alignment vertical="center" wrapText="1"/>
    </xf>
    <xf numFmtId="0" fontId="0" fillId="0" borderId="0" xfId="0" quotePrefix="1" applyAlignment="1">
      <alignment vertical="center" wrapText="1"/>
    </xf>
    <xf numFmtId="8" fontId="18" fillId="0" borderId="2" xfId="0" applyNumberFormat="1" applyFont="1" applyBorder="1" applyAlignment="1" applyProtection="1">
      <alignment vertical="center"/>
      <protection locked="0"/>
    </xf>
    <xf numFmtId="175" fontId="18" fillId="0" borderId="2" xfId="3" applyNumberFormat="1" applyFont="1" applyBorder="1" applyAlignment="1" applyProtection="1">
      <alignment vertical="center"/>
      <protection locked="0"/>
    </xf>
    <xf numFmtId="6" fontId="18" fillId="0" borderId="129" xfId="0" applyNumberFormat="1" applyFont="1" applyBorder="1" applyAlignment="1" applyProtection="1">
      <alignment vertical="center"/>
      <protection locked="0"/>
    </xf>
    <xf numFmtId="10" fontId="62" fillId="0" borderId="12" xfId="3" applyNumberFormat="1" applyFill="1" applyBorder="1" applyAlignment="1">
      <alignment horizontal="center"/>
    </xf>
    <xf numFmtId="8" fontId="88" fillId="0" borderId="2" xfId="0" applyNumberFormat="1" applyFont="1" applyBorder="1"/>
    <xf numFmtId="0" fontId="90" fillId="18" borderId="130" xfId="0" applyFont="1" applyFill="1" applyBorder="1" applyAlignment="1" applyProtection="1">
      <alignment horizontal="center" vertical="center"/>
      <protection hidden="1"/>
    </xf>
    <xf numFmtId="0" fontId="90" fillId="23" borderId="130" xfId="0" applyFont="1" applyFill="1" applyBorder="1" applyAlignment="1" applyProtection="1">
      <alignment horizontal="center" vertical="center"/>
      <protection hidden="1"/>
    </xf>
    <xf numFmtId="180" fontId="0" fillId="0" borderId="0" xfId="0" applyNumberFormat="1" applyAlignment="1">
      <alignment horizontal="center" vertical="center"/>
    </xf>
    <xf numFmtId="0" fontId="44" fillId="0" borderId="0" xfId="0" applyFont="1" applyAlignment="1">
      <alignment horizontal="center" vertical="center"/>
    </xf>
    <xf numFmtId="2" fontId="0" fillId="0" borderId="0" xfId="0" quotePrefix="1" applyNumberFormat="1" applyAlignment="1">
      <alignment vertical="center" wrapText="1"/>
    </xf>
    <xf numFmtId="8" fontId="92" fillId="4" borderId="2" xfId="0" applyNumberFormat="1" applyFont="1" applyFill="1" applyBorder="1" applyAlignment="1" applyProtection="1">
      <alignment horizontal="center" vertical="center"/>
      <protection hidden="1"/>
    </xf>
    <xf numFmtId="188" fontId="0" fillId="4" borderId="2" xfId="0" applyNumberFormat="1" applyFill="1" applyBorder="1" applyAlignment="1" applyProtection="1">
      <alignment horizontal="center" vertical="center"/>
      <protection hidden="1"/>
    </xf>
    <xf numFmtId="188" fontId="0" fillId="4" borderId="3" xfId="0" applyNumberFormat="1" applyFill="1" applyBorder="1" applyAlignment="1" applyProtection="1">
      <alignment horizontal="center" vertical="center"/>
      <protection hidden="1"/>
    </xf>
    <xf numFmtId="6" fontId="0" fillId="4" borderId="2" xfId="0" applyNumberFormat="1" applyFill="1" applyBorder="1" applyAlignment="1" applyProtection="1">
      <alignment horizontal="center" vertical="center"/>
      <protection hidden="1"/>
    </xf>
    <xf numFmtId="14" fontId="0" fillId="0" borderId="2" xfId="0" applyNumberFormat="1" applyBorder="1" applyAlignment="1" applyProtection="1">
      <alignment horizontal="center"/>
      <protection locked="0"/>
    </xf>
    <xf numFmtId="8" fontId="0" fillId="4" borderId="2" xfId="0" applyNumberFormat="1" applyFill="1" applyBorder="1" applyAlignment="1" applyProtection="1">
      <alignment horizontal="center"/>
      <protection hidden="1"/>
    </xf>
    <xf numFmtId="0" fontId="0" fillId="0" borderId="12" xfId="0" applyBorder="1" applyAlignment="1" applyProtection="1">
      <alignment horizontal="center"/>
      <protection locked="0"/>
    </xf>
    <xf numFmtId="0" fontId="91" fillId="4" borderId="129" xfId="0" applyFont="1" applyFill="1" applyBorder="1" applyAlignment="1" applyProtection="1">
      <alignment horizontal="center" vertical="center"/>
      <protection hidden="1"/>
    </xf>
    <xf numFmtId="191" fontId="91" fillId="4" borderId="188" xfId="0" applyNumberFormat="1" applyFont="1" applyFill="1" applyBorder="1" applyAlignment="1" applyProtection="1">
      <alignment horizontal="center" vertical="center"/>
      <protection hidden="1"/>
    </xf>
    <xf numFmtId="0" fontId="91" fillId="4" borderId="152" xfId="0" applyFont="1" applyFill="1" applyBorder="1" applyAlignment="1" applyProtection="1">
      <alignment vertical="center"/>
      <protection hidden="1"/>
    </xf>
    <xf numFmtId="0" fontId="0" fillId="4" borderId="129" xfId="0" applyFill="1" applyBorder="1" applyAlignment="1">
      <alignment horizontal="center"/>
    </xf>
    <xf numFmtId="0" fontId="88" fillId="4" borderId="129" xfId="0" applyFont="1" applyFill="1" applyBorder="1" applyAlignment="1">
      <alignment horizontal="center" vertical="center"/>
    </xf>
    <xf numFmtId="8" fontId="0" fillId="4" borderId="129" xfId="0" applyNumberFormat="1" applyFill="1" applyBorder="1" applyAlignment="1">
      <alignment horizontal="center"/>
    </xf>
    <xf numFmtId="8" fontId="0" fillId="4" borderId="131" xfId="0" applyNumberFormat="1" applyFill="1" applyBorder="1" applyAlignment="1" applyProtection="1">
      <alignment horizontal="center" vertical="center"/>
      <protection hidden="1"/>
    </xf>
    <xf numFmtId="0" fontId="47" fillId="4" borderId="15" xfId="0" applyFont="1" applyFill="1" applyBorder="1" applyAlignment="1">
      <alignment horizontal="center" vertical="center"/>
    </xf>
    <xf numFmtId="0" fontId="91" fillId="4" borderId="0" xfId="0" applyFont="1" applyFill="1" applyAlignment="1">
      <alignment horizontal="center" vertical="center"/>
    </xf>
    <xf numFmtId="0" fontId="128" fillId="0" borderId="0" xfId="0" applyFont="1" applyAlignment="1">
      <alignment horizontal="center" vertical="center"/>
    </xf>
    <xf numFmtId="8" fontId="35" fillId="0" borderId="19" xfId="0" applyNumberFormat="1" applyFont="1" applyBorder="1" applyAlignment="1">
      <alignment horizontal="center"/>
    </xf>
    <xf numFmtId="8" fontId="35" fillId="9" borderId="19" xfId="0" applyNumberFormat="1" applyFont="1" applyFill="1" applyBorder="1" applyAlignment="1">
      <alignment horizontal="center"/>
    </xf>
    <xf numFmtId="177" fontId="35" fillId="0" borderId="5" xfId="0" applyNumberFormat="1" applyFont="1" applyBorder="1" applyAlignment="1">
      <alignment horizontal="center" vertical="center" wrapText="1"/>
    </xf>
    <xf numFmtId="177" fontId="35" fillId="0" borderId="7" xfId="0" applyNumberFormat="1" applyFont="1" applyBorder="1" applyAlignment="1">
      <alignment horizontal="center" vertical="center" wrapText="1"/>
    </xf>
    <xf numFmtId="0" fontId="35" fillId="0" borderId="0" xfId="0" applyFont="1" applyProtection="1">
      <protection hidden="1"/>
    </xf>
    <xf numFmtId="0" fontId="35" fillId="0" borderId="0" xfId="0" applyFont="1" applyAlignment="1" applyProtection="1">
      <alignment horizontal="center" vertical="center" wrapText="1"/>
      <protection hidden="1"/>
    </xf>
    <xf numFmtId="0" fontId="32" fillId="0" borderId="0" xfId="0" applyFont="1" applyProtection="1">
      <protection hidden="1"/>
    </xf>
    <xf numFmtId="4" fontId="17" fillId="0" borderId="0" xfId="0" applyNumberFormat="1" applyFont="1"/>
    <xf numFmtId="166" fontId="184" fillId="9" borderId="0" xfId="0" applyNumberFormat="1" applyFont="1" applyFill="1" applyAlignment="1">
      <alignment horizontal="center"/>
    </xf>
    <xf numFmtId="0" fontId="108" fillId="0" borderId="0" xfId="0" applyFont="1" applyAlignment="1" applyProtection="1">
      <alignment horizontal="center" vertical="center" wrapText="1"/>
      <protection locked="0"/>
    </xf>
    <xf numFmtId="14" fontId="75" fillId="0" borderId="2" xfId="0" applyNumberFormat="1" applyFont="1" applyBorder="1" applyAlignment="1" applyProtection="1">
      <alignment horizontal="center" vertical="center"/>
      <protection locked="0"/>
    </xf>
    <xf numFmtId="8" fontId="75" fillId="0" borderId="2" xfId="0" applyNumberFormat="1" applyFont="1" applyBorder="1" applyAlignment="1" applyProtection="1">
      <alignment horizontal="center" vertical="center"/>
      <protection locked="0"/>
    </xf>
    <xf numFmtId="10" fontId="75" fillId="0" borderId="2" xfId="0" applyNumberFormat="1" applyFont="1" applyBorder="1" applyAlignment="1" applyProtection="1">
      <alignment horizontal="center" vertical="center"/>
      <protection locked="0"/>
    </xf>
    <xf numFmtId="198" fontId="0" fillId="0" borderId="0" xfId="0" applyNumberFormat="1"/>
    <xf numFmtId="0" fontId="228" fillId="0" borderId="0" xfId="0" applyFont="1" applyAlignment="1">
      <alignment vertical="center"/>
    </xf>
    <xf numFmtId="8" fontId="0" fillId="4" borderId="20" xfId="0" applyNumberFormat="1" applyFill="1" applyBorder="1" applyAlignment="1">
      <alignment horizontal="center" vertical="center"/>
    </xf>
    <xf numFmtId="0" fontId="88" fillId="0" borderId="0" xfId="0" applyFont="1" applyAlignment="1">
      <alignment wrapText="1"/>
    </xf>
    <xf numFmtId="0" fontId="91" fillId="9" borderId="0" xfId="0" applyFont="1" applyFill="1" applyAlignment="1">
      <alignment horizontal="center" vertical="center"/>
    </xf>
    <xf numFmtId="0" fontId="139" fillId="0" borderId="0" xfId="0" applyFont="1" applyAlignment="1">
      <alignment horizontal="left" vertical="center" wrapText="1" readingOrder="1"/>
    </xf>
    <xf numFmtId="0" fontId="139" fillId="0" borderId="0" xfId="0" applyFont="1" applyAlignment="1">
      <alignment horizontal="center" vertical="center" wrapText="1" readingOrder="1"/>
    </xf>
    <xf numFmtId="0" fontId="201" fillId="0" borderId="0" xfId="0" applyFont="1" applyAlignment="1">
      <alignment horizontal="center" vertical="top" wrapText="1"/>
    </xf>
    <xf numFmtId="0" fontId="202" fillId="0" borderId="0" xfId="0" applyFont="1" applyAlignment="1">
      <alignment horizontal="left" vertical="center"/>
    </xf>
    <xf numFmtId="175" fontId="0" fillId="0" borderId="0" xfId="3" applyNumberFormat="1" applyFont="1" applyFill="1" applyBorder="1" applyAlignment="1">
      <alignment horizontal="center"/>
    </xf>
    <xf numFmtId="0" fontId="201" fillId="0" borderId="0" xfId="0" applyFont="1" applyAlignment="1">
      <alignment horizontal="left" vertical="top" wrapText="1"/>
    </xf>
    <xf numFmtId="10" fontId="0" fillId="0" borderId="0" xfId="0" applyNumberFormat="1" applyAlignment="1">
      <alignment horizontal="center" vertical="center"/>
    </xf>
    <xf numFmtId="175" fontId="0" fillId="0" borderId="0" xfId="3" applyNumberFormat="1" applyFont="1" applyFill="1" applyBorder="1" applyAlignment="1">
      <alignment horizontal="center" vertical="center"/>
    </xf>
    <xf numFmtId="9" fontId="0" fillId="0" borderId="0" xfId="0" applyNumberFormat="1" applyAlignment="1">
      <alignment horizontal="center" vertical="center"/>
    </xf>
    <xf numFmtId="0" fontId="0" fillId="9" borderId="0" xfId="0" applyFill="1" applyAlignment="1">
      <alignment horizontal="center" vertical="center"/>
    </xf>
    <xf numFmtId="9" fontId="91" fillId="9" borderId="0" xfId="3" applyFont="1" applyFill="1" applyAlignment="1">
      <alignment horizontal="center" vertical="center"/>
    </xf>
    <xf numFmtId="0" fontId="88" fillId="9" borderId="2" xfId="0" applyFont="1" applyFill="1" applyBorder="1" applyAlignment="1" applyProtection="1">
      <alignment horizontal="right" vertical="center"/>
      <protection hidden="1"/>
    </xf>
    <xf numFmtId="0" fontId="88" fillId="9" borderId="12" xfId="0" applyFont="1" applyFill="1" applyBorder="1" applyAlignment="1" applyProtection="1">
      <alignment horizontal="right" vertical="center"/>
      <protection hidden="1"/>
    </xf>
    <xf numFmtId="0" fontId="28" fillId="9" borderId="2" xfId="0" applyFont="1" applyFill="1" applyBorder="1" applyAlignment="1" applyProtection="1">
      <alignment horizontal="center" vertical="center"/>
      <protection hidden="1"/>
    </xf>
    <xf numFmtId="9" fontId="208" fillId="9" borderId="2" xfId="3" applyFont="1" applyFill="1" applyBorder="1" applyAlignment="1" applyProtection="1">
      <alignment horizontal="center" vertical="center"/>
      <protection hidden="1"/>
    </xf>
    <xf numFmtId="10" fontId="198" fillId="9" borderId="2" xfId="3" applyNumberFormat="1" applyFont="1" applyFill="1" applyBorder="1" applyAlignment="1" applyProtection="1">
      <alignment horizontal="center" vertical="center"/>
      <protection hidden="1"/>
    </xf>
    <xf numFmtId="9" fontId="131" fillId="9" borderId="0" xfId="0" applyNumberFormat="1" applyFont="1" applyFill="1"/>
    <xf numFmtId="0" fontId="88" fillId="9" borderId="0" xfId="0" applyFont="1" applyFill="1" applyAlignment="1">
      <alignment vertical="center"/>
    </xf>
    <xf numFmtId="0" fontId="88" fillId="9" borderId="0" xfId="0" applyFont="1" applyFill="1" applyAlignment="1" applyProtection="1">
      <alignment vertical="center"/>
      <protection locked="0"/>
    </xf>
    <xf numFmtId="0" fontId="92" fillId="9" borderId="71" xfId="0" applyFont="1" applyFill="1" applyBorder="1" applyAlignment="1" applyProtection="1">
      <alignment horizontal="center" vertical="center" textRotation="90"/>
      <protection locked="0"/>
    </xf>
    <xf numFmtId="10" fontId="92" fillId="9" borderId="158" xfId="3" applyNumberFormat="1" applyFont="1" applyFill="1" applyBorder="1" applyAlignment="1">
      <alignment horizontal="center" vertical="center"/>
    </xf>
    <xf numFmtId="0" fontId="88" fillId="9" borderId="192" xfId="0" applyFont="1" applyFill="1" applyBorder="1" applyAlignment="1">
      <alignment vertical="center"/>
    </xf>
    <xf numFmtId="0" fontId="198" fillId="9" borderId="0" xfId="0" applyFont="1" applyFill="1" applyAlignment="1">
      <alignment wrapText="1"/>
    </xf>
    <xf numFmtId="0" fontId="198" fillId="9" borderId="152" xfId="0" applyFont="1" applyFill="1" applyBorder="1" applyAlignment="1">
      <alignment wrapText="1"/>
    </xf>
    <xf numFmtId="0" fontId="92" fillId="9" borderId="175" xfId="0" applyFont="1" applyFill="1" applyBorder="1" applyAlignment="1">
      <alignment horizontal="center" vertical="center"/>
    </xf>
    <xf numFmtId="0" fontId="92" fillId="9" borderId="2" xfId="0" applyFont="1" applyFill="1" applyBorder="1" applyAlignment="1">
      <alignment horizontal="center" vertical="center"/>
    </xf>
    <xf numFmtId="0" fontId="92" fillId="9" borderId="129" xfId="0" applyFont="1" applyFill="1" applyBorder="1" applyAlignment="1">
      <alignment horizontal="center" vertical="center"/>
    </xf>
    <xf numFmtId="0" fontId="86" fillId="9" borderId="224" xfId="0" applyFont="1" applyFill="1" applyBorder="1" applyAlignment="1" applyProtection="1">
      <alignment horizontal="center" vertical="center"/>
      <protection hidden="1"/>
    </xf>
    <xf numFmtId="8" fontId="88" fillId="9" borderId="33" xfId="0" applyNumberFormat="1" applyFont="1" applyFill="1" applyBorder="1" applyAlignment="1" applyProtection="1">
      <alignment vertical="center"/>
      <protection hidden="1"/>
    </xf>
    <xf numFmtId="8" fontId="88" fillId="9" borderId="223" xfId="0" applyNumberFormat="1" applyFont="1" applyFill="1" applyBorder="1" applyAlignment="1" applyProtection="1">
      <alignment vertical="center"/>
      <protection hidden="1"/>
    </xf>
    <xf numFmtId="0" fontId="92" fillId="9" borderId="154" xfId="0" applyFont="1" applyFill="1" applyBorder="1" applyAlignment="1" applyProtection="1">
      <alignment horizontal="center" vertical="center"/>
      <protection hidden="1"/>
    </xf>
    <xf numFmtId="0" fontId="92" fillId="9" borderId="41" xfId="0" applyFont="1" applyFill="1" applyBorder="1" applyAlignment="1" applyProtection="1">
      <alignment horizontal="center" vertical="center"/>
      <protection hidden="1"/>
    </xf>
    <xf numFmtId="0" fontId="92" fillId="9" borderId="144" xfId="0" applyFont="1" applyFill="1" applyBorder="1" applyAlignment="1" applyProtection="1">
      <alignment horizontal="center" vertical="center"/>
      <protection hidden="1"/>
    </xf>
    <xf numFmtId="0" fontId="88" fillId="9" borderId="175" xfId="0" applyFont="1" applyFill="1" applyBorder="1" applyAlignment="1" applyProtection="1">
      <alignment horizontal="center" vertical="center"/>
      <protection hidden="1"/>
    </xf>
    <xf numFmtId="8" fontId="88" fillId="9" borderId="2" xfId="0" applyNumberFormat="1" applyFont="1" applyFill="1" applyBorder="1" applyAlignment="1" applyProtection="1">
      <alignment vertical="center"/>
      <protection hidden="1"/>
    </xf>
    <xf numFmtId="8" fontId="88" fillId="9" borderId="129" xfId="0" applyNumberFormat="1" applyFont="1" applyFill="1" applyBorder="1" applyAlignment="1" applyProtection="1">
      <alignment vertical="center"/>
      <protection hidden="1"/>
    </xf>
    <xf numFmtId="0" fontId="88" fillId="9" borderId="153" xfId="0" applyFont="1" applyFill="1" applyBorder="1" applyAlignment="1" applyProtection="1">
      <alignment horizontal="center" vertical="center"/>
      <protection hidden="1"/>
    </xf>
    <xf numFmtId="0" fontId="91" fillId="9" borderId="2" xfId="0" applyFont="1" applyFill="1" applyBorder="1" applyAlignment="1" applyProtection="1">
      <alignment horizontal="center" vertical="center" wrapText="1"/>
      <protection hidden="1"/>
    </xf>
    <xf numFmtId="6" fontId="88" fillId="9" borderId="2" xfId="0" applyNumberFormat="1" applyFont="1" applyFill="1" applyBorder="1" applyAlignment="1" applyProtection="1">
      <alignment horizontal="center" vertical="center"/>
      <protection hidden="1"/>
    </xf>
    <xf numFmtId="6" fontId="88" fillId="9" borderId="129" xfId="0" applyNumberFormat="1" applyFont="1" applyFill="1" applyBorder="1" applyAlignment="1" applyProtection="1">
      <alignment horizontal="center" vertical="center"/>
      <protection hidden="1"/>
    </xf>
    <xf numFmtId="10" fontId="88" fillId="9" borderId="2" xfId="3" applyNumberFormat="1" applyFont="1" applyFill="1" applyBorder="1" applyAlignment="1" applyProtection="1">
      <alignment horizontal="center" vertical="center"/>
      <protection hidden="1"/>
    </xf>
    <xf numFmtId="10" fontId="88" fillId="9" borderId="151" xfId="3" applyNumberFormat="1" applyFont="1" applyFill="1" applyBorder="1" applyAlignment="1" applyProtection="1">
      <alignment horizontal="center" vertical="center"/>
      <protection hidden="1"/>
    </xf>
    <xf numFmtId="8" fontId="88" fillId="9" borderId="175" xfId="0" applyNumberFormat="1" applyFont="1" applyFill="1" applyBorder="1" applyAlignment="1" applyProtection="1">
      <alignment horizontal="center" vertical="center"/>
      <protection hidden="1"/>
    </xf>
    <xf numFmtId="8" fontId="88" fillId="9" borderId="2" xfId="0" applyNumberFormat="1" applyFont="1" applyFill="1" applyBorder="1" applyAlignment="1" applyProtection="1">
      <alignment horizontal="center" vertical="center"/>
      <protection hidden="1"/>
    </xf>
    <xf numFmtId="0" fontId="88" fillId="9" borderId="152" xfId="0" applyFont="1" applyFill="1" applyBorder="1" applyAlignment="1">
      <alignment vertical="center"/>
    </xf>
    <xf numFmtId="6" fontId="98" fillId="9" borderId="173" xfId="0" applyNumberFormat="1" applyFont="1" applyFill="1" applyBorder="1" applyAlignment="1">
      <alignment horizontal="center" vertical="top"/>
    </xf>
    <xf numFmtId="6" fontId="98" fillId="9" borderId="174" xfId="0" applyNumberFormat="1" applyFont="1" applyFill="1" applyBorder="1" applyAlignment="1">
      <alignment horizontal="center" vertical="top"/>
    </xf>
    <xf numFmtId="8" fontId="196" fillId="9" borderId="173" xfId="0" applyNumberFormat="1" applyFont="1" applyFill="1" applyBorder="1" applyAlignment="1">
      <alignment vertical="center"/>
    </xf>
    <xf numFmtId="8" fontId="196" fillId="9" borderId="174" xfId="0" applyNumberFormat="1" applyFont="1" applyFill="1" applyBorder="1" applyAlignment="1">
      <alignment vertical="center"/>
    </xf>
    <xf numFmtId="9" fontId="91" fillId="9" borderId="0" xfId="3" applyFont="1" applyFill="1" applyAlignment="1">
      <alignment vertical="center"/>
    </xf>
    <xf numFmtId="0" fontId="88" fillId="9" borderId="226" xfId="0" applyFont="1" applyFill="1" applyBorder="1" applyAlignment="1">
      <alignment vertical="center"/>
    </xf>
    <xf numFmtId="6" fontId="98" fillId="9" borderId="130" xfId="0" applyNumberFormat="1" applyFont="1" applyFill="1" applyBorder="1" applyAlignment="1">
      <alignment horizontal="center" vertical="top"/>
    </xf>
    <xf numFmtId="6" fontId="98" fillId="9" borderId="131" xfId="0" applyNumberFormat="1" applyFont="1" applyFill="1" applyBorder="1" applyAlignment="1">
      <alignment horizontal="center" vertical="top"/>
    </xf>
    <xf numFmtId="8" fontId="197" fillId="9" borderId="130" xfId="0" applyNumberFormat="1" applyFont="1" applyFill="1" applyBorder="1" applyAlignment="1">
      <alignment vertical="center"/>
    </xf>
    <xf numFmtId="0" fontId="197" fillId="9" borderId="130" xfId="0" applyFont="1" applyFill="1" applyBorder="1" applyAlignment="1">
      <alignment vertical="center"/>
    </xf>
    <xf numFmtId="0" fontId="197" fillId="9" borderId="131" xfId="0" applyFont="1" applyFill="1" applyBorder="1" applyAlignment="1">
      <alignment vertical="center"/>
    </xf>
    <xf numFmtId="0" fontId="88" fillId="9" borderId="0" xfId="0" applyFont="1" applyFill="1"/>
    <xf numFmtId="0" fontId="49" fillId="9" borderId="185" xfId="2" applyNumberFormat="1" applyFill="1" applyBorder="1" applyAlignment="1" applyProtection="1">
      <alignment vertical="center"/>
    </xf>
    <xf numFmtId="0" fontId="92" fillId="9" borderId="0" xfId="0" applyFont="1" applyFill="1" applyAlignment="1">
      <alignment vertical="center"/>
    </xf>
    <xf numFmtId="6" fontId="76" fillId="9" borderId="185" xfId="2" applyNumberFormat="1" applyFont="1" applyFill="1" applyBorder="1" applyAlignment="1" applyProtection="1">
      <alignment horizontal="center" vertical="center"/>
    </xf>
    <xf numFmtId="0" fontId="0" fillId="9" borderId="112" xfId="0" applyFill="1" applyBorder="1" applyAlignment="1">
      <alignment vertical="center" textRotation="90" wrapText="1"/>
    </xf>
    <xf numFmtId="0" fontId="0" fillId="9" borderId="0" xfId="0" applyFill="1" applyAlignment="1">
      <alignment vertical="center" textRotation="90" wrapText="1"/>
    </xf>
    <xf numFmtId="0" fontId="110" fillId="9" borderId="0" xfId="0" applyFont="1" applyFill="1" applyAlignment="1">
      <alignment horizontal="center" vertical="center" textRotation="90" wrapText="1"/>
    </xf>
    <xf numFmtId="0" fontId="88" fillId="9" borderId="0" xfId="0" applyFont="1" applyFill="1" applyAlignment="1">
      <alignment horizontal="center"/>
    </xf>
    <xf numFmtId="0" fontId="88" fillId="9" borderId="0" xfId="0" applyFont="1" applyFill="1" applyAlignment="1">
      <alignment horizontal="center" vertical="center"/>
    </xf>
    <xf numFmtId="0" fontId="88" fillId="9" borderId="2" xfId="0" applyFont="1" applyFill="1" applyBorder="1" applyAlignment="1">
      <alignment vertical="center"/>
    </xf>
    <xf numFmtId="0" fontId="0" fillId="9" borderId="231" xfId="0" applyFill="1" applyBorder="1" applyAlignment="1">
      <alignment vertical="center" textRotation="90" wrapText="1"/>
    </xf>
    <xf numFmtId="0" fontId="110" fillId="9" borderId="2" xfId="0" applyFont="1" applyFill="1" applyBorder="1" applyAlignment="1">
      <alignment horizontal="center" vertical="center" textRotation="90" wrapText="1"/>
    </xf>
    <xf numFmtId="0" fontId="88" fillId="9" borderId="2" xfId="0" applyFont="1" applyFill="1" applyBorder="1" applyAlignment="1" applyProtection="1">
      <alignment vertical="center"/>
      <protection locked="0"/>
    </xf>
    <xf numFmtId="0" fontId="88" fillId="9" borderId="2" xfId="0" applyFont="1" applyFill="1" applyBorder="1"/>
    <xf numFmtId="0" fontId="88" fillId="9" borderId="2" xfId="0" applyFont="1" applyFill="1" applyBorder="1" applyAlignment="1">
      <alignment horizontal="center"/>
    </xf>
    <xf numFmtId="0" fontId="88" fillId="9" borderId="1" xfId="0" applyFont="1" applyFill="1" applyBorder="1" applyAlignment="1">
      <alignment vertical="center"/>
    </xf>
    <xf numFmtId="0" fontId="88" fillId="9" borderId="4" xfId="0" applyFont="1" applyFill="1" applyBorder="1" applyAlignment="1">
      <alignment horizontal="center" vertical="center"/>
    </xf>
    <xf numFmtId="0" fontId="88" fillId="9" borderId="3" xfId="0" applyFont="1" applyFill="1" applyBorder="1" applyAlignment="1">
      <alignment horizontal="center" vertical="center"/>
    </xf>
    <xf numFmtId="2" fontId="88" fillId="9" borderId="2" xfId="0" applyNumberFormat="1" applyFont="1" applyFill="1" applyBorder="1" applyAlignment="1">
      <alignment horizontal="center" vertical="center"/>
    </xf>
    <xf numFmtId="14" fontId="88" fillId="9" borderId="2" xfId="0" applyNumberFormat="1" applyFont="1" applyFill="1" applyBorder="1" applyAlignment="1">
      <alignment horizontal="center" vertical="center"/>
    </xf>
    <xf numFmtId="10" fontId="88" fillId="9" borderId="2" xfId="3" applyNumberFormat="1" applyFont="1" applyFill="1" applyBorder="1" applyAlignment="1">
      <alignment horizontal="center" vertical="center"/>
    </xf>
    <xf numFmtId="166" fontId="88" fillId="9" borderId="2" xfId="0" applyNumberFormat="1" applyFont="1" applyFill="1" applyBorder="1" applyAlignment="1">
      <alignment horizontal="center" vertical="center"/>
    </xf>
    <xf numFmtId="1" fontId="88" fillId="9" borderId="2" xfId="0" applyNumberFormat="1" applyFont="1" applyFill="1" applyBorder="1" applyAlignment="1">
      <alignment horizontal="center" vertical="center"/>
    </xf>
    <xf numFmtId="194" fontId="88" fillId="9" borderId="2" xfId="0" applyNumberFormat="1" applyFont="1" applyFill="1" applyBorder="1" applyAlignment="1">
      <alignment horizontal="center" vertical="center"/>
    </xf>
    <xf numFmtId="8" fontId="98" fillId="9" borderId="3" xfId="0" applyNumberFormat="1" applyFont="1" applyFill="1" applyBorder="1" applyAlignment="1">
      <alignment horizontal="center" vertical="center"/>
    </xf>
    <xf numFmtId="0" fontId="110" fillId="9" borderId="112" xfId="0" applyFont="1" applyFill="1" applyBorder="1" applyAlignment="1">
      <alignment horizontal="center" vertical="center" textRotation="90" wrapText="1"/>
    </xf>
    <xf numFmtId="0" fontId="88" fillId="9" borderId="5" xfId="0" applyFont="1" applyFill="1" applyBorder="1" applyAlignment="1">
      <alignment horizontal="center" vertical="center"/>
    </xf>
    <xf numFmtId="0" fontId="88" fillId="9" borderId="6" xfId="0" applyFont="1" applyFill="1" applyBorder="1" applyAlignment="1">
      <alignment vertical="center"/>
    </xf>
    <xf numFmtId="0" fontId="88" fillId="9" borderId="6" xfId="0" applyFont="1" applyFill="1" applyBorder="1" applyAlignment="1" applyProtection="1">
      <alignment vertical="center"/>
      <protection locked="0"/>
    </xf>
    <xf numFmtId="2" fontId="88" fillId="9" borderId="6" xfId="0" applyNumberFormat="1" applyFont="1" applyFill="1" applyBorder="1" applyAlignment="1">
      <alignment horizontal="center" vertical="center"/>
    </xf>
    <xf numFmtId="14" fontId="88" fillId="9" borderId="6" xfId="0" applyNumberFormat="1" applyFont="1" applyFill="1" applyBorder="1" applyAlignment="1">
      <alignment horizontal="center" vertical="center"/>
    </xf>
    <xf numFmtId="10" fontId="88" fillId="9" borderId="6" xfId="3" applyNumberFormat="1" applyFont="1" applyFill="1" applyBorder="1" applyAlignment="1">
      <alignment horizontal="center" vertical="center"/>
    </xf>
    <xf numFmtId="0" fontId="88" fillId="9" borderId="6" xfId="0" applyFont="1" applyFill="1" applyBorder="1" applyAlignment="1">
      <alignment horizontal="center" vertical="center"/>
    </xf>
    <xf numFmtId="166" fontId="88" fillId="9" borderId="6" xfId="0" applyNumberFormat="1" applyFont="1" applyFill="1" applyBorder="1" applyAlignment="1">
      <alignment horizontal="center" vertical="center"/>
    </xf>
    <xf numFmtId="1" fontId="88" fillId="9" borderId="6" xfId="0" applyNumberFormat="1" applyFont="1" applyFill="1" applyBorder="1" applyAlignment="1">
      <alignment horizontal="center" vertical="center"/>
    </xf>
    <xf numFmtId="194" fontId="88" fillId="9" borderId="6" xfId="0" applyNumberFormat="1" applyFont="1" applyFill="1" applyBorder="1" applyAlignment="1">
      <alignment horizontal="center" vertical="center"/>
    </xf>
    <xf numFmtId="8" fontId="98" fillId="9" borderId="7" xfId="0" applyNumberFormat="1" applyFont="1" applyFill="1" applyBorder="1" applyAlignment="1">
      <alignment horizontal="center" vertical="center"/>
    </xf>
    <xf numFmtId="0" fontId="110" fillId="9" borderId="28" xfId="0" applyFont="1" applyFill="1" applyBorder="1" applyAlignment="1">
      <alignment horizontal="center" vertical="center" textRotation="90" wrapText="1"/>
    </xf>
    <xf numFmtId="0" fontId="88" fillId="9" borderId="0" xfId="0" applyFont="1" applyFill="1" applyAlignment="1" applyProtection="1">
      <alignment horizontal="center" vertical="center"/>
      <protection locked="0"/>
    </xf>
    <xf numFmtId="0" fontId="88" fillId="9" borderId="31" xfId="0" applyFont="1" applyFill="1" applyBorder="1" applyAlignment="1">
      <alignment horizontal="center" vertical="center"/>
    </xf>
    <xf numFmtId="8" fontId="88" fillId="9" borderId="0" xfId="0" applyNumberFormat="1" applyFont="1" applyFill="1" applyAlignment="1">
      <alignment vertical="center"/>
    </xf>
    <xf numFmtId="14" fontId="88" fillId="9" borderId="1" xfId="0" applyNumberFormat="1" applyFont="1" applyFill="1" applyBorder="1" applyAlignment="1">
      <alignment vertical="center"/>
    </xf>
    <xf numFmtId="0" fontId="88" fillId="9" borderId="1" xfId="0" applyFont="1" applyFill="1" applyBorder="1" applyAlignment="1">
      <alignment horizontal="center" vertical="center"/>
    </xf>
    <xf numFmtId="14" fontId="88" fillId="9" borderId="0" xfId="0" applyNumberFormat="1" applyFont="1" applyFill="1" applyAlignment="1">
      <alignment vertical="center"/>
    </xf>
    <xf numFmtId="14" fontId="88" fillId="9" borderId="2" xfId="0" applyNumberFormat="1" applyFont="1" applyFill="1" applyBorder="1" applyAlignment="1">
      <alignment vertical="center"/>
    </xf>
    <xf numFmtId="2" fontId="88" fillId="9" borderId="2" xfId="0" applyNumberFormat="1" applyFont="1" applyFill="1" applyBorder="1" applyAlignment="1">
      <alignment vertical="center"/>
    </xf>
    <xf numFmtId="2" fontId="88" fillId="9" borderId="1" xfId="0" applyNumberFormat="1" applyFont="1" applyFill="1" applyBorder="1" applyAlignment="1">
      <alignment vertical="center"/>
    </xf>
    <xf numFmtId="8" fontId="88" fillId="9" borderId="2" xfId="0" applyNumberFormat="1" applyFont="1" applyFill="1" applyBorder="1" applyAlignment="1">
      <alignment vertical="center"/>
    </xf>
    <xf numFmtId="166" fontId="88" fillId="9" borderId="2" xfId="0" applyNumberFormat="1" applyFont="1" applyFill="1" applyBorder="1" applyAlignment="1">
      <alignment vertical="center"/>
    </xf>
    <xf numFmtId="8" fontId="91" fillId="9" borderId="0" xfId="0" applyNumberFormat="1" applyFont="1" applyFill="1" applyAlignment="1">
      <alignment horizontal="center" vertical="center"/>
    </xf>
    <xf numFmtId="0" fontId="86" fillId="9" borderId="154" xfId="0" applyFont="1" applyFill="1" applyBorder="1" applyAlignment="1" applyProtection="1">
      <alignment horizontal="center" vertical="center" wrapText="1"/>
      <protection hidden="1"/>
    </xf>
    <xf numFmtId="0" fontId="86" fillId="9" borderId="41" xfId="0" applyFont="1" applyFill="1" applyBorder="1" applyAlignment="1" applyProtection="1">
      <alignment horizontal="center" vertical="center" wrapText="1"/>
      <protection hidden="1"/>
    </xf>
    <xf numFmtId="0" fontId="110" fillId="9" borderId="0" xfId="3" applyNumberFormat="1" applyFont="1" applyFill="1" applyBorder="1" applyAlignment="1">
      <alignment horizontal="center" vertical="center" wrapText="1"/>
    </xf>
    <xf numFmtId="10" fontId="88" fillId="9" borderId="0" xfId="0" applyNumberFormat="1" applyFont="1" applyFill="1" applyAlignment="1">
      <alignment horizontal="center" vertical="center"/>
    </xf>
    <xf numFmtId="166" fontId="88" fillId="9" borderId="1" xfId="0" applyNumberFormat="1" applyFont="1" applyFill="1" applyBorder="1" applyAlignment="1">
      <alignment vertical="center"/>
    </xf>
    <xf numFmtId="8" fontId="88" fillId="9" borderId="67" xfId="0" applyNumberFormat="1" applyFont="1" applyFill="1" applyBorder="1" applyAlignment="1">
      <alignment vertical="center"/>
    </xf>
    <xf numFmtId="8" fontId="88" fillId="9" borderId="22" xfId="0" applyNumberFormat="1" applyFont="1" applyFill="1" applyBorder="1" applyAlignment="1">
      <alignment vertical="center"/>
    </xf>
    <xf numFmtId="8" fontId="88" fillId="9" borderId="175" xfId="3" applyNumberFormat="1" applyFont="1" applyFill="1" applyBorder="1" applyAlignment="1" applyProtection="1">
      <alignment horizontal="center" vertical="center"/>
      <protection hidden="1"/>
    </xf>
    <xf numFmtId="8" fontId="88" fillId="9" borderId="2" xfId="3" applyNumberFormat="1" applyFont="1" applyFill="1" applyBorder="1" applyAlignment="1" applyProtection="1">
      <alignment horizontal="center" vertical="center"/>
      <protection hidden="1"/>
    </xf>
    <xf numFmtId="8" fontId="88" fillId="9" borderId="10" xfId="0" applyNumberFormat="1" applyFont="1" applyFill="1" applyBorder="1" applyAlignment="1">
      <alignment vertical="center"/>
    </xf>
    <xf numFmtId="8" fontId="88" fillId="9" borderId="0" xfId="0" applyNumberFormat="1" applyFont="1" applyFill="1" applyAlignment="1" applyProtection="1">
      <alignment vertical="center"/>
      <protection locked="0"/>
    </xf>
    <xf numFmtId="0" fontId="88" fillId="9" borderId="0" xfId="0" applyFont="1" applyFill="1" applyAlignment="1" applyProtection="1">
      <alignment horizontal="center" vertical="center" wrapText="1"/>
      <protection locked="0"/>
    </xf>
    <xf numFmtId="10" fontId="88" fillId="9" borderId="2" xfId="3" applyNumberFormat="1" applyFont="1" applyFill="1" applyBorder="1" applyAlignment="1">
      <alignment vertical="center"/>
    </xf>
    <xf numFmtId="10" fontId="88" fillId="9" borderId="1" xfId="3" applyNumberFormat="1" applyFont="1" applyFill="1" applyBorder="1" applyAlignment="1">
      <alignment vertical="center"/>
    </xf>
    <xf numFmtId="8" fontId="88" fillId="9" borderId="82" xfId="0" applyNumberFormat="1" applyFont="1" applyFill="1" applyBorder="1" applyAlignment="1">
      <alignment vertical="center"/>
    </xf>
    <xf numFmtId="8" fontId="88" fillId="9" borderId="7" xfId="0" applyNumberFormat="1" applyFont="1" applyFill="1" applyBorder="1" applyAlignment="1">
      <alignment vertical="center"/>
    </xf>
    <xf numFmtId="3" fontId="88" fillId="9" borderId="2" xfId="0" applyNumberFormat="1" applyFont="1" applyFill="1" applyBorder="1" applyAlignment="1">
      <alignment vertical="center"/>
    </xf>
    <xf numFmtId="175" fontId="88" fillId="9" borderId="0" xfId="3" applyNumberFormat="1" applyFont="1" applyFill="1" applyBorder="1" applyAlignment="1" applyProtection="1">
      <alignment horizontal="center" vertical="center"/>
      <protection locked="0"/>
    </xf>
    <xf numFmtId="10" fontId="88" fillId="9" borderId="0" xfId="3" applyNumberFormat="1" applyFont="1" applyFill="1" applyAlignment="1" applyProtection="1">
      <alignment horizontal="center" vertical="center"/>
      <protection locked="0"/>
    </xf>
    <xf numFmtId="8" fontId="88" fillId="9" borderId="2" xfId="0" applyNumberFormat="1" applyFont="1" applyFill="1" applyBorder="1" applyAlignment="1">
      <alignment vertical="center" wrapText="1"/>
    </xf>
    <xf numFmtId="3" fontId="88" fillId="9" borderId="2" xfId="8" applyNumberFormat="1" applyFont="1" applyFill="1" applyBorder="1" applyAlignment="1">
      <alignment vertical="center"/>
    </xf>
    <xf numFmtId="6" fontId="88" fillId="9" borderId="232" xfId="0" applyNumberFormat="1" applyFont="1" applyFill="1" applyBorder="1" applyAlignment="1" applyProtection="1">
      <alignment horizontal="center" vertical="center"/>
      <protection hidden="1"/>
    </xf>
    <xf numFmtId="6" fontId="88" fillId="9" borderId="21" xfId="0" applyNumberFormat="1" applyFont="1" applyFill="1" applyBorder="1" applyAlignment="1" applyProtection="1">
      <alignment horizontal="center" vertical="center"/>
      <protection hidden="1"/>
    </xf>
    <xf numFmtId="0" fontId="88" fillId="9" borderId="2" xfId="0" applyFont="1" applyFill="1" applyBorder="1" applyAlignment="1">
      <alignment horizontal="center" vertical="center" wrapText="1"/>
    </xf>
    <xf numFmtId="6" fontId="88" fillId="9" borderId="2" xfId="0" applyNumberFormat="1" applyFont="1" applyFill="1" applyBorder="1" applyAlignment="1">
      <alignment vertical="center"/>
    </xf>
    <xf numFmtId="190" fontId="88" fillId="9" borderId="175" xfId="0" applyNumberFormat="1" applyFont="1" applyFill="1" applyBorder="1" applyAlignment="1" applyProtection="1">
      <alignment horizontal="center" vertical="center"/>
      <protection hidden="1"/>
    </xf>
    <xf numFmtId="190" fontId="88" fillId="9" borderId="2" xfId="0" applyNumberFormat="1" applyFont="1" applyFill="1" applyBorder="1" applyAlignment="1" applyProtection="1">
      <alignment horizontal="center" vertical="center"/>
      <protection hidden="1"/>
    </xf>
    <xf numFmtId="0" fontId="0" fillId="9" borderId="144" xfId="0" applyFill="1" applyBorder="1" applyAlignment="1">
      <alignment vertical="center" textRotation="90" wrapText="1"/>
    </xf>
    <xf numFmtId="8" fontId="88" fillId="9" borderId="2" xfId="3" applyNumberFormat="1" applyFont="1" applyFill="1" applyBorder="1" applyAlignment="1">
      <alignment horizontal="center" vertical="center"/>
    </xf>
    <xf numFmtId="8" fontId="88" fillId="9" borderId="2" xfId="0" applyNumberFormat="1" applyFont="1" applyFill="1" applyBorder="1" applyAlignment="1">
      <alignment horizontal="center" vertical="center"/>
    </xf>
    <xf numFmtId="0" fontId="92" fillId="9" borderId="0" xfId="0" applyFont="1" applyFill="1" applyAlignment="1">
      <alignment horizontal="center" vertical="center"/>
    </xf>
    <xf numFmtId="166" fontId="0" fillId="9" borderId="0" xfId="0" applyNumberFormat="1" applyFill="1" applyAlignment="1" applyProtection="1">
      <alignment horizontal="center" vertical="center" textRotation="180" wrapText="1"/>
      <protection hidden="1"/>
    </xf>
    <xf numFmtId="0" fontId="90" fillId="9" borderId="0" xfId="0" applyFont="1" applyFill="1" applyAlignment="1">
      <alignment horizontal="center" vertical="center" wrapText="1"/>
    </xf>
    <xf numFmtId="2" fontId="88" fillId="9" borderId="0" xfId="0" applyNumberFormat="1" applyFont="1" applyFill="1" applyAlignment="1">
      <alignment horizontal="center" vertical="center"/>
    </xf>
    <xf numFmtId="166" fontId="88" fillId="9" borderId="0" xfId="0" applyNumberFormat="1" applyFont="1" applyFill="1" applyAlignment="1">
      <alignment horizontal="center" vertical="center"/>
    </xf>
    <xf numFmtId="10" fontId="88" fillId="9" borderId="0" xfId="3" applyNumberFormat="1" applyFont="1" applyFill="1" applyBorder="1" applyAlignment="1">
      <alignment horizontal="center" vertical="center"/>
    </xf>
    <xf numFmtId="10" fontId="88" fillId="9" borderId="0" xfId="3" quotePrefix="1" applyNumberFormat="1" applyFont="1" applyFill="1" applyBorder="1" applyAlignment="1">
      <alignment horizontal="left" vertical="center"/>
    </xf>
    <xf numFmtId="8" fontId="88" fillId="9" borderId="0" xfId="3" applyNumberFormat="1" applyFont="1" applyFill="1" applyBorder="1" applyAlignment="1">
      <alignment horizontal="center" vertical="center"/>
    </xf>
    <xf numFmtId="8" fontId="88" fillId="9" borderId="0" xfId="0" applyNumberFormat="1" applyFont="1" applyFill="1" applyAlignment="1">
      <alignment horizontal="center" vertical="center"/>
    </xf>
    <xf numFmtId="0" fontId="90" fillId="9" borderId="0" xfId="0" applyFont="1" applyFill="1" applyAlignment="1">
      <alignment horizontal="center" vertical="center"/>
    </xf>
    <xf numFmtId="9" fontId="88" fillId="9" borderId="0" xfId="0" applyNumberFormat="1" applyFont="1" applyFill="1" applyAlignment="1">
      <alignment vertical="center"/>
    </xf>
    <xf numFmtId="10" fontId="88" fillId="9" borderId="0" xfId="0" applyNumberFormat="1" applyFont="1" applyFill="1" applyAlignment="1">
      <alignment vertical="center"/>
    </xf>
    <xf numFmtId="0" fontId="90" fillId="9" borderId="0" xfId="0" applyFont="1" applyFill="1" applyAlignment="1">
      <alignment horizontal="center" vertical="center" textRotation="90" wrapText="1"/>
    </xf>
    <xf numFmtId="195" fontId="88" fillId="9" borderId="2" xfId="0" applyNumberFormat="1" applyFont="1" applyFill="1" applyBorder="1" applyAlignment="1">
      <alignment vertical="center"/>
    </xf>
    <xf numFmtId="195" fontId="88" fillId="9" borderId="0" xfId="0" applyNumberFormat="1" applyFont="1" applyFill="1" applyAlignment="1">
      <alignment vertical="center"/>
    </xf>
    <xf numFmtId="9" fontId="88" fillId="9" borderId="175" xfId="3" applyFont="1" applyFill="1" applyBorder="1" applyAlignment="1" applyProtection="1">
      <alignment horizontal="center" vertical="center"/>
      <protection hidden="1"/>
    </xf>
    <xf numFmtId="6" fontId="88" fillId="9" borderId="2" xfId="3" applyNumberFormat="1" applyFont="1" applyFill="1" applyBorder="1" applyAlignment="1" applyProtection="1">
      <alignment horizontal="center" vertical="center"/>
      <protection hidden="1"/>
    </xf>
    <xf numFmtId="190" fontId="88" fillId="9" borderId="129" xfId="0" applyNumberFormat="1" applyFont="1" applyFill="1" applyBorder="1" applyAlignment="1">
      <alignment vertical="center" wrapText="1"/>
    </xf>
    <xf numFmtId="190" fontId="88" fillId="9" borderId="0" xfId="0" applyNumberFormat="1" applyFont="1" applyFill="1" applyAlignment="1">
      <alignment vertical="center" wrapText="1"/>
    </xf>
    <xf numFmtId="182" fontId="88" fillId="9" borderId="2" xfId="3" applyNumberFormat="1" applyFont="1" applyFill="1" applyBorder="1" applyAlignment="1">
      <alignment horizontal="center" vertical="center"/>
    </xf>
    <xf numFmtId="9" fontId="88" fillId="9" borderId="153" xfId="3" applyFont="1" applyFill="1" applyBorder="1" applyAlignment="1" applyProtection="1">
      <alignment horizontal="center" vertical="center"/>
      <protection hidden="1"/>
    </xf>
    <xf numFmtId="6" fontId="88" fillId="9" borderId="12" xfId="3" applyNumberFormat="1" applyFont="1" applyFill="1" applyBorder="1" applyAlignment="1" applyProtection="1">
      <alignment horizontal="center" vertical="center"/>
      <protection hidden="1"/>
    </xf>
    <xf numFmtId="190" fontId="88" fillId="9" borderId="188" xfId="0" applyNumberFormat="1" applyFont="1" applyFill="1" applyBorder="1" applyAlignment="1">
      <alignment vertical="center" wrapText="1"/>
    </xf>
    <xf numFmtId="8" fontId="88" fillId="9" borderId="56" xfId="0" applyNumberFormat="1" applyFont="1" applyFill="1" applyBorder="1" applyAlignment="1">
      <alignment vertical="center"/>
    </xf>
    <xf numFmtId="175" fontId="88" fillId="9" borderId="0" xfId="0" applyNumberFormat="1" applyFont="1" applyFill="1" applyAlignment="1" applyProtection="1">
      <alignment vertical="center"/>
      <protection locked="0"/>
    </xf>
    <xf numFmtId="196" fontId="88" fillId="9" borderId="2" xfId="3" applyNumberFormat="1" applyFont="1" applyFill="1" applyBorder="1" applyAlignment="1">
      <alignment horizontal="center" vertical="center"/>
    </xf>
    <xf numFmtId="0" fontId="0" fillId="9" borderId="185" xfId="0" applyFill="1" applyBorder="1" applyAlignment="1">
      <alignment vertical="center" textRotation="90" wrapText="1"/>
    </xf>
    <xf numFmtId="6" fontId="88" fillId="9" borderId="0" xfId="0" applyNumberFormat="1" applyFont="1" applyFill="1" applyAlignment="1">
      <alignment vertical="center"/>
    </xf>
    <xf numFmtId="190" fontId="88" fillId="9" borderId="0" xfId="0" applyNumberFormat="1" applyFont="1" applyFill="1" applyAlignment="1">
      <alignment vertical="center"/>
    </xf>
    <xf numFmtId="9" fontId="88" fillId="9" borderId="0" xfId="3" applyFont="1" applyFill="1" applyBorder="1" applyAlignment="1">
      <alignment horizontal="center" vertical="center"/>
    </xf>
    <xf numFmtId="0" fontId="88" fillId="9" borderId="2" xfId="0" applyFont="1" applyFill="1" applyBorder="1" applyProtection="1">
      <protection locked="0"/>
    </xf>
    <xf numFmtId="0" fontId="92" fillId="9" borderId="10" xfId="0" applyFont="1" applyFill="1" applyBorder="1" applyAlignment="1" applyProtection="1">
      <alignment horizontal="right" vertical="center"/>
      <protection hidden="1"/>
    </xf>
    <xf numFmtId="0" fontId="88" fillId="9" borderId="10" xfId="0" applyFont="1" applyFill="1" applyBorder="1" applyAlignment="1" applyProtection="1">
      <alignment horizontal="center" vertical="center"/>
      <protection hidden="1"/>
    </xf>
    <xf numFmtId="0" fontId="88" fillId="9" borderId="2" xfId="0" applyFont="1" applyFill="1" applyBorder="1" applyAlignment="1" applyProtection="1">
      <alignment horizontal="center" vertical="center"/>
      <protection hidden="1"/>
    </xf>
    <xf numFmtId="0" fontId="88" fillId="9" borderId="33" xfId="0" applyFont="1" applyFill="1" applyBorder="1" applyAlignment="1" applyProtection="1">
      <alignment horizontal="center" vertical="center"/>
      <protection hidden="1"/>
    </xf>
    <xf numFmtId="0" fontId="86" fillId="9" borderId="56" xfId="0" applyFont="1" applyFill="1" applyBorder="1" applyAlignment="1" applyProtection="1">
      <alignment horizontal="center" vertical="center"/>
      <protection hidden="1"/>
    </xf>
    <xf numFmtId="0" fontId="88" fillId="9" borderId="215" xfId="0" applyFont="1" applyFill="1" applyBorder="1" applyAlignment="1" applyProtection="1">
      <alignment horizontal="center" vertical="center"/>
      <protection hidden="1"/>
    </xf>
    <xf numFmtId="8" fontId="88" fillId="9" borderId="8" xfId="0" applyNumberFormat="1" applyFont="1" applyFill="1" applyBorder="1" applyAlignment="1">
      <alignment horizontal="center" vertical="center"/>
    </xf>
    <xf numFmtId="0" fontId="92" fillId="9" borderId="2" xfId="0" applyFont="1" applyFill="1" applyBorder="1" applyAlignment="1" applyProtection="1">
      <alignment horizontal="right" vertical="center"/>
      <protection hidden="1"/>
    </xf>
    <xf numFmtId="10" fontId="0" fillId="0" borderId="2" xfId="3" applyNumberFormat="1" applyFont="1" applyBorder="1" applyAlignment="1">
      <alignment horizontal="center" vertical="center" wrapText="1"/>
    </xf>
    <xf numFmtId="6" fontId="72" fillId="2" borderId="247" xfId="0" applyNumberFormat="1" applyFont="1" applyFill="1" applyBorder="1" applyAlignment="1" applyProtection="1">
      <alignment horizontal="center" vertical="center"/>
      <protection locked="0"/>
    </xf>
    <xf numFmtId="6" fontId="93" fillId="4" borderId="249" xfId="0" applyNumberFormat="1" applyFont="1" applyFill="1" applyBorder="1" applyAlignment="1" applyProtection="1">
      <alignment horizontal="center" vertical="center"/>
      <protection hidden="1"/>
    </xf>
    <xf numFmtId="0" fontId="0" fillId="4" borderId="251" xfId="0" applyFill="1" applyBorder="1" applyAlignment="1" applyProtection="1">
      <alignment vertical="center"/>
      <protection hidden="1"/>
    </xf>
    <xf numFmtId="0" fontId="0" fillId="4" borderId="252" xfId="0" applyFill="1" applyBorder="1" applyAlignment="1" applyProtection="1">
      <alignment vertical="center"/>
      <protection hidden="1"/>
    </xf>
    <xf numFmtId="6" fontId="219" fillId="4" borderId="253" xfId="0" applyNumberFormat="1" applyFont="1" applyFill="1" applyBorder="1" applyAlignment="1">
      <alignment horizontal="center" vertical="center"/>
    </xf>
    <xf numFmtId="9" fontId="90" fillId="9" borderId="0" xfId="3" applyFont="1" applyFill="1" applyAlignment="1">
      <alignment horizontal="center" vertical="center"/>
    </xf>
    <xf numFmtId="0" fontId="0" fillId="9" borderId="0" xfId="0" applyFill="1" applyAlignment="1" applyProtection="1">
      <alignment vertical="center"/>
      <protection hidden="1"/>
    </xf>
    <xf numFmtId="0" fontId="91" fillId="0" borderId="9" xfId="0" applyFont="1" applyBorder="1" applyAlignment="1">
      <alignment horizontal="center" vertical="center" wrapText="1"/>
    </xf>
    <xf numFmtId="10" fontId="62" fillId="0" borderId="2" xfId="3" applyNumberFormat="1" applyFill="1" applyBorder="1" applyAlignment="1">
      <alignment horizontal="center" wrapText="1"/>
    </xf>
    <xf numFmtId="14" fontId="50" fillId="0" borderId="0" xfId="0" applyNumberFormat="1" applyFont="1"/>
    <xf numFmtId="182" fontId="62" fillId="0" borderId="2" xfId="3" applyNumberFormat="1" applyFill="1" applyBorder="1" applyAlignment="1">
      <alignment horizontal="center"/>
    </xf>
    <xf numFmtId="0" fontId="75" fillId="0" borderId="0" xfId="0" applyFont="1"/>
    <xf numFmtId="8" fontId="75" fillId="0" borderId="0" xfId="0" applyNumberFormat="1" applyFont="1"/>
    <xf numFmtId="8" fontId="47" fillId="0" borderId="0" xfId="0" applyNumberFormat="1" applyFont="1" applyAlignment="1">
      <alignment horizontal="center" vertical="center"/>
    </xf>
    <xf numFmtId="0" fontId="102" fillId="0" borderId="0" xfId="0" applyFont="1" applyAlignment="1">
      <alignment vertical="center"/>
    </xf>
    <xf numFmtId="14" fontId="0" fillId="0" borderId="0" xfId="0" applyNumberFormat="1" applyAlignment="1" applyProtection="1">
      <alignment horizontal="center" vertical="center"/>
      <protection hidden="1"/>
    </xf>
    <xf numFmtId="0" fontId="0" fillId="0" borderId="0" xfId="0" applyAlignment="1" applyProtection="1">
      <alignment horizontal="center" vertical="center"/>
      <protection hidden="1"/>
    </xf>
    <xf numFmtId="2" fontId="0" fillId="0" borderId="0" xfId="0" applyNumberFormat="1" applyAlignment="1" applyProtection="1">
      <alignment horizontal="center" vertical="center"/>
      <protection hidden="1"/>
    </xf>
    <xf numFmtId="10" fontId="0" fillId="0" borderId="0" xfId="3" applyNumberFormat="1" applyFont="1" applyFill="1" applyBorder="1" applyAlignment="1" applyProtection="1">
      <alignment horizontal="center" vertical="center"/>
      <protection hidden="1"/>
    </xf>
    <xf numFmtId="14" fontId="0" fillId="0" borderId="0" xfId="0" applyNumberFormat="1" applyAlignment="1">
      <alignment horizontal="center" vertical="center"/>
    </xf>
    <xf numFmtId="9" fontId="0" fillId="0" borderId="0" xfId="0" applyNumberFormat="1" applyAlignment="1" applyProtection="1">
      <alignment horizontal="center" vertical="center"/>
      <protection locked="0" hidden="1"/>
    </xf>
    <xf numFmtId="10" fontId="0" fillId="0" borderId="0" xfId="3" applyNumberFormat="1" applyFont="1" applyFill="1" applyBorder="1" applyAlignment="1" applyProtection="1">
      <alignment horizontal="center" vertical="center"/>
      <protection locked="0" hidden="1"/>
    </xf>
    <xf numFmtId="2" fontId="0" fillId="0" borderId="0" xfId="0" applyNumberFormat="1" applyAlignment="1">
      <alignment horizontal="center" vertical="center"/>
    </xf>
    <xf numFmtId="10" fontId="85" fillId="0" borderId="0" xfId="3" applyNumberFormat="1" applyFont="1" applyFill="1" applyBorder="1" applyAlignment="1">
      <alignment horizontal="center" vertical="center"/>
    </xf>
    <xf numFmtId="0" fontId="0" fillId="0" borderId="0" xfId="0" applyAlignment="1" applyProtection="1">
      <alignment vertical="center"/>
      <protection hidden="1"/>
    </xf>
    <xf numFmtId="10" fontId="75" fillId="0" borderId="0" xfId="3" applyNumberFormat="1" applyFont="1" applyFill="1" applyBorder="1" applyAlignment="1" applyProtection="1">
      <alignment horizontal="center" vertical="center"/>
      <protection hidden="1"/>
    </xf>
    <xf numFmtId="0" fontId="0" fillId="0" borderId="0" xfId="0" applyAlignment="1" applyProtection="1">
      <alignment horizontal="right" vertical="center" wrapText="1"/>
      <protection hidden="1"/>
    </xf>
    <xf numFmtId="8" fontId="0" fillId="0" borderId="0" xfId="0" applyNumberFormat="1" applyAlignment="1" applyProtection="1">
      <alignment horizontal="center" vertical="center"/>
      <protection hidden="1"/>
    </xf>
    <xf numFmtId="8" fontId="20" fillId="0" borderId="0" xfId="0" applyNumberFormat="1" applyFont="1" applyAlignment="1" applyProtection="1">
      <alignment horizontal="center" vertical="center"/>
      <protection hidden="1"/>
    </xf>
    <xf numFmtId="6" fontId="20" fillId="0" borderId="0" xfId="3" applyNumberFormat="1" applyFont="1" applyFill="1" applyBorder="1" applyAlignment="1" applyProtection="1">
      <alignment horizontal="center" vertical="center"/>
      <protection hidden="1"/>
    </xf>
    <xf numFmtId="6" fontId="101" fillId="0" borderId="0" xfId="0" applyNumberFormat="1" applyFont="1" applyAlignment="1" applyProtection="1">
      <alignment horizontal="center" vertical="center"/>
      <protection hidden="1"/>
    </xf>
    <xf numFmtId="14" fontId="0" fillId="9" borderId="2" xfId="0" applyNumberFormat="1" applyFill="1" applyBorder="1" applyAlignment="1" applyProtection="1">
      <alignment horizontal="center" vertical="center"/>
      <protection hidden="1"/>
    </xf>
    <xf numFmtId="8" fontId="86" fillId="0" borderId="2" xfId="0" applyNumberFormat="1" applyFont="1" applyBorder="1" applyAlignment="1" applyProtection="1">
      <alignment vertical="center"/>
      <protection locked="0"/>
    </xf>
    <xf numFmtId="0" fontId="0" fillId="0" borderId="2" xfId="0" applyBorder="1" applyAlignment="1" applyProtection="1">
      <alignment horizontal="center" vertical="center"/>
      <protection locked="0" hidden="1"/>
    </xf>
    <xf numFmtId="0" fontId="86" fillId="9" borderId="24" xfId="0" applyFont="1" applyFill="1" applyBorder="1" applyAlignment="1">
      <alignment horizontal="right" vertical="center"/>
    </xf>
    <xf numFmtId="9" fontId="75" fillId="0" borderId="2" xfId="0" applyNumberFormat="1" applyFont="1" applyBorder="1" applyAlignment="1" applyProtection="1">
      <alignment horizontal="center" vertical="center"/>
      <protection locked="0"/>
    </xf>
    <xf numFmtId="9" fontId="0" fillId="0" borderId="2" xfId="0" applyNumberFormat="1" applyBorder="1" applyAlignment="1" applyProtection="1">
      <alignment horizontal="center" vertical="center"/>
      <protection locked="0"/>
    </xf>
    <xf numFmtId="0" fontId="86" fillId="0" borderId="2" xfId="0" applyFont="1" applyBorder="1" applyAlignment="1" applyProtection="1">
      <alignment horizontal="center" vertical="center"/>
      <protection locked="0"/>
    </xf>
    <xf numFmtId="0" fontId="0" fillId="9" borderId="2" xfId="0" applyFill="1" applyBorder="1" applyAlignment="1" applyProtection="1">
      <alignment horizontal="center" vertical="center" wrapText="1"/>
      <protection hidden="1"/>
    </xf>
    <xf numFmtId="6" fontId="0" fillId="0" borderId="2" xfId="0" applyNumberFormat="1" applyBorder="1" applyAlignment="1">
      <alignment horizontal="center" vertical="center"/>
    </xf>
    <xf numFmtId="0" fontId="14" fillId="4" borderId="2" xfId="0" applyFont="1" applyFill="1" applyBorder="1" applyAlignment="1">
      <alignment horizontal="center" vertical="center"/>
    </xf>
    <xf numFmtId="184" fontId="14" fillId="2" borderId="2" xfId="0" applyNumberFormat="1" applyFont="1" applyFill="1" applyBorder="1" applyAlignment="1" applyProtection="1">
      <alignment horizontal="center" vertical="center"/>
      <protection locked="0"/>
    </xf>
    <xf numFmtId="190" fontId="14" fillId="0" borderId="2" xfId="0" applyNumberFormat="1" applyFont="1" applyBorder="1" applyAlignment="1" applyProtection="1">
      <alignment horizontal="center" vertical="center"/>
      <protection locked="0"/>
    </xf>
    <xf numFmtId="14" fontId="14" fillId="0" borderId="2" xfId="0" applyNumberFormat="1" applyFont="1" applyBorder="1" applyAlignment="1" applyProtection="1">
      <alignment horizontal="center" vertical="center"/>
      <protection locked="0"/>
    </xf>
    <xf numFmtId="0" fontId="86" fillId="9" borderId="4" xfId="0" applyFont="1" applyFill="1" applyBorder="1" applyAlignment="1">
      <alignment horizontal="right" vertical="center"/>
    </xf>
    <xf numFmtId="0" fontId="0" fillId="9" borderId="1" xfId="0" applyFill="1" applyBorder="1" applyAlignment="1" applyProtection="1">
      <alignment horizontal="right" vertical="center"/>
      <protection hidden="1"/>
    </xf>
    <xf numFmtId="8" fontId="75" fillId="9" borderId="77" xfId="0" applyNumberFormat="1" applyFont="1" applyFill="1" applyBorder="1" applyAlignment="1" applyProtection="1">
      <alignment horizontal="left" vertical="center"/>
      <protection hidden="1"/>
    </xf>
    <xf numFmtId="0" fontId="86" fillId="0" borderId="2" xfId="0" applyFont="1" applyBorder="1" applyAlignment="1">
      <alignment horizontal="center" vertical="center"/>
    </xf>
    <xf numFmtId="0" fontId="235" fillId="9" borderId="0" xfId="0" applyFont="1" applyFill="1" applyAlignment="1">
      <alignment horizontal="center" vertical="center"/>
    </xf>
    <xf numFmtId="0" fontId="95" fillId="9" borderId="0" xfId="0" applyFont="1" applyFill="1" applyAlignment="1">
      <alignment vertical="center"/>
    </xf>
    <xf numFmtId="0" fontId="86" fillId="9" borderId="0" xfId="0" applyFont="1" applyFill="1" applyAlignment="1">
      <alignment vertical="center"/>
    </xf>
    <xf numFmtId="0" fontId="13" fillId="9" borderId="0" xfId="0" applyFont="1" applyFill="1" applyAlignment="1" applyProtection="1">
      <alignment vertical="center"/>
      <protection hidden="1"/>
    </xf>
    <xf numFmtId="0" fontId="230" fillId="9" borderId="0" xfId="2" applyNumberFormat="1" applyFont="1" applyFill="1" applyAlignment="1" applyProtection="1">
      <alignment vertical="center"/>
      <protection hidden="1"/>
    </xf>
    <xf numFmtId="0" fontId="95" fillId="0" borderId="0" xfId="0" applyFont="1" applyAlignment="1">
      <alignment vertical="center"/>
    </xf>
    <xf numFmtId="10" fontId="0" fillId="6" borderId="21" xfId="3" applyNumberFormat="1" applyFont="1" applyFill="1" applyBorder="1" applyAlignment="1" applyProtection="1">
      <alignment horizontal="center" vertical="center"/>
      <protection hidden="1"/>
    </xf>
    <xf numFmtId="0" fontId="0" fillId="6" borderId="2" xfId="0" applyFill="1" applyBorder="1" applyAlignment="1" applyProtection="1">
      <alignment horizontal="center" vertical="center"/>
      <protection locked="0"/>
    </xf>
    <xf numFmtId="14" fontId="0" fillId="6" borderId="2" xfId="0" applyNumberFormat="1" applyFill="1" applyBorder="1" applyAlignment="1" applyProtection="1">
      <alignment horizontal="center" vertical="center"/>
      <protection locked="0"/>
    </xf>
    <xf numFmtId="8" fontId="96" fillId="6" borderId="2" xfId="0" applyNumberFormat="1" applyFont="1" applyFill="1" applyBorder="1" applyAlignment="1" applyProtection="1">
      <alignment vertical="center"/>
      <protection locked="0"/>
    </xf>
    <xf numFmtId="175" fontId="0" fillId="0" borderId="2" xfId="3" applyNumberFormat="1" applyFont="1" applyBorder="1" applyAlignment="1">
      <alignment horizontal="center" vertical="center"/>
    </xf>
    <xf numFmtId="14" fontId="12" fillId="0" borderId="2" xfId="0" applyNumberFormat="1" applyFont="1" applyBorder="1" applyAlignment="1" applyProtection="1">
      <alignment horizontal="center" vertical="center"/>
      <protection locked="0"/>
    </xf>
    <xf numFmtId="0" fontId="0" fillId="9" borderId="175" xfId="0" applyFill="1" applyBorder="1" applyAlignment="1">
      <alignment horizontal="right" vertical="center"/>
    </xf>
    <xf numFmtId="0" fontId="0" fillId="9" borderId="129" xfId="0" applyFill="1" applyBorder="1" applyAlignment="1">
      <alignment vertical="center"/>
    </xf>
    <xf numFmtId="2" fontId="86" fillId="9" borderId="129" xfId="0" applyNumberFormat="1" applyFont="1" applyFill="1" applyBorder="1" applyAlignment="1">
      <alignment horizontal="center" vertical="center"/>
    </xf>
    <xf numFmtId="0" fontId="96" fillId="9" borderId="175" xfId="0" applyFont="1" applyFill="1" applyBorder="1" applyAlignment="1">
      <alignment horizontal="right" vertical="center"/>
    </xf>
    <xf numFmtId="8" fontId="96" fillId="9" borderId="129" xfId="0" applyNumberFormat="1" applyFont="1" applyFill="1" applyBorder="1" applyAlignment="1">
      <alignment horizontal="center" vertical="center"/>
    </xf>
    <xf numFmtId="6" fontId="0" fillId="9" borderId="129" xfId="0" applyNumberFormat="1" applyFill="1" applyBorder="1" applyAlignment="1">
      <alignment horizontal="center" vertical="center"/>
    </xf>
    <xf numFmtId="0" fontId="0" fillId="9" borderId="129" xfId="0" applyFill="1" applyBorder="1" applyAlignment="1">
      <alignment horizontal="center" vertical="center"/>
    </xf>
    <xf numFmtId="2" fontId="0" fillId="9" borderId="129" xfId="0" applyNumberFormat="1" applyFill="1" applyBorder="1" applyAlignment="1">
      <alignment horizontal="center" vertical="center"/>
    </xf>
    <xf numFmtId="8" fontId="0" fillId="9" borderId="129" xfId="0" applyNumberFormat="1" applyFill="1" applyBorder="1" applyAlignment="1">
      <alignment horizontal="center" vertical="center"/>
    </xf>
    <xf numFmtId="6" fontId="96" fillId="9" borderId="129" xfId="0" applyNumberFormat="1" applyFont="1" applyFill="1" applyBorder="1" applyAlignment="1">
      <alignment horizontal="center" vertical="center"/>
    </xf>
    <xf numFmtId="194" fontId="0" fillId="0" borderId="2" xfId="0" applyNumberFormat="1" applyBorder="1" applyAlignment="1">
      <alignment horizontal="center" vertical="center"/>
    </xf>
    <xf numFmtId="176" fontId="0" fillId="0" borderId="2" xfId="3" applyNumberFormat="1" applyFont="1" applyBorder="1" applyAlignment="1">
      <alignment horizontal="center" vertical="center"/>
    </xf>
    <xf numFmtId="0" fontId="0" fillId="9" borderId="2" xfId="0" applyFill="1" applyBorder="1" applyAlignment="1" applyProtection="1">
      <alignment horizontal="right" vertical="center"/>
      <protection hidden="1"/>
    </xf>
    <xf numFmtId="0" fontId="86" fillId="9" borderId="2" xfId="0" applyFont="1" applyFill="1" applyBorder="1" applyAlignment="1" applyProtection="1">
      <alignment horizontal="right" vertical="center"/>
      <protection hidden="1"/>
    </xf>
    <xf numFmtId="8" fontId="86" fillId="9" borderId="1" xfId="0" applyNumberFormat="1" applyFont="1" applyFill="1" applyBorder="1" applyAlignment="1" applyProtection="1">
      <alignment horizontal="center" vertical="center"/>
      <protection hidden="1"/>
    </xf>
    <xf numFmtId="8" fontId="0" fillId="9" borderId="1" xfId="0" applyNumberFormat="1" applyFill="1" applyBorder="1" applyAlignment="1" applyProtection="1">
      <alignment horizontal="center" vertical="center"/>
      <protection hidden="1"/>
    </xf>
    <xf numFmtId="0" fontId="0" fillId="9" borderId="2" xfId="0" applyFill="1" applyBorder="1" applyAlignment="1">
      <alignment horizontal="right" vertical="center"/>
    </xf>
    <xf numFmtId="8" fontId="0" fillId="0" borderId="2" xfId="0" applyNumberFormat="1" applyBorder="1" applyAlignment="1" applyProtection="1">
      <alignment horizontal="center" vertical="center"/>
      <protection locked="0"/>
    </xf>
    <xf numFmtId="14" fontId="98" fillId="0" borderId="41" xfId="0" applyNumberFormat="1" applyFont="1" applyBorder="1" applyAlignment="1" applyProtection="1">
      <alignment horizontal="center" vertical="center" wrapText="1"/>
      <protection locked="0"/>
    </xf>
    <xf numFmtId="0" fontId="86" fillId="9" borderId="41" xfId="0" applyFont="1" applyFill="1" applyBorder="1" applyAlignment="1" applyProtection="1">
      <alignment horizontal="right" vertical="center"/>
      <protection hidden="1"/>
    </xf>
    <xf numFmtId="8" fontId="86" fillId="0" borderId="31" xfId="0" applyNumberFormat="1" applyFont="1" applyBorder="1" applyAlignment="1" applyProtection="1">
      <alignment horizontal="center" vertical="center"/>
      <protection locked="0"/>
    </xf>
    <xf numFmtId="0" fontId="86" fillId="0" borderId="41" xfId="0" applyFont="1" applyBorder="1" applyAlignment="1" applyProtection="1">
      <alignment horizontal="center" vertical="center"/>
      <protection locked="0"/>
    </xf>
    <xf numFmtId="10" fontId="86" fillId="0" borderId="2" xfId="0" applyNumberFormat="1" applyFont="1" applyBorder="1" applyAlignment="1" applyProtection="1">
      <alignment horizontal="center" vertical="center"/>
      <protection locked="0"/>
    </xf>
    <xf numFmtId="0" fontId="0" fillId="9" borderId="0" xfId="0" applyFill="1" applyAlignment="1" applyProtection="1">
      <alignment horizontal="right" vertical="center"/>
      <protection hidden="1"/>
    </xf>
    <xf numFmtId="8" fontId="0" fillId="0" borderId="1" xfId="0" applyNumberFormat="1" applyBorder="1" applyAlignment="1" applyProtection="1">
      <alignment horizontal="center" vertical="center"/>
      <protection locked="0"/>
    </xf>
    <xf numFmtId="0" fontId="186" fillId="9" borderId="2" xfId="0" applyFont="1" applyFill="1" applyBorder="1" applyAlignment="1" applyProtection="1">
      <alignment horizontal="center" vertical="center"/>
      <protection hidden="1"/>
    </xf>
    <xf numFmtId="8" fontId="0" fillId="0" borderId="191" xfId="0" applyNumberFormat="1" applyBorder="1" applyAlignment="1" applyProtection="1">
      <alignment horizontal="center" vertical="center"/>
      <protection locked="0"/>
    </xf>
    <xf numFmtId="8" fontId="0" fillId="9" borderId="2" xfId="0" applyNumberFormat="1" applyFill="1" applyBorder="1" applyAlignment="1" applyProtection="1">
      <alignment horizontal="center" vertical="center"/>
      <protection hidden="1"/>
    </xf>
    <xf numFmtId="0" fontId="0" fillId="9" borderId="27" xfId="0" applyFill="1" applyBorder="1" applyAlignment="1" applyProtection="1">
      <alignment horizontal="center" vertical="center" wrapText="1"/>
      <protection hidden="1"/>
    </xf>
    <xf numFmtId="8" fontId="86" fillId="9" borderId="2" xfId="0" applyNumberFormat="1" applyFont="1" applyFill="1" applyBorder="1" applyAlignment="1" applyProtection="1">
      <alignment horizontal="center" vertical="center"/>
      <protection hidden="1"/>
    </xf>
    <xf numFmtId="10" fontId="86" fillId="0" borderId="3" xfId="0" applyNumberFormat="1" applyFont="1" applyBorder="1" applyAlignment="1" applyProtection="1">
      <alignment horizontal="center" vertical="center"/>
      <protection locked="0"/>
    </xf>
    <xf numFmtId="0" fontId="224" fillId="0" borderId="0" xfId="0" applyFont="1" applyAlignment="1">
      <alignment vertical="center"/>
    </xf>
    <xf numFmtId="0" fontId="0" fillId="9" borderId="0" xfId="0" applyFill="1" applyAlignment="1">
      <alignment horizontal="center" vertical="center" wrapText="1"/>
    </xf>
    <xf numFmtId="0" fontId="0" fillId="9" borderId="4" xfId="0" applyFill="1" applyBorder="1" applyAlignment="1" applyProtection="1">
      <alignment horizontal="center" vertical="center" wrapText="1"/>
      <protection hidden="1"/>
    </xf>
    <xf numFmtId="0" fontId="0" fillId="9" borderId="3" xfId="0" applyFill="1" applyBorder="1" applyAlignment="1" applyProtection="1">
      <alignment horizontal="center" vertical="center" wrapText="1"/>
      <protection hidden="1"/>
    </xf>
    <xf numFmtId="0" fontId="0" fillId="0" borderId="0" xfId="0" applyAlignment="1" applyProtection="1">
      <alignment horizontal="center" vertical="center" wrapText="1"/>
      <protection locked="0"/>
    </xf>
    <xf numFmtId="0" fontId="0" fillId="0" borderId="4" xfId="0" applyBorder="1" applyAlignment="1" applyProtection="1">
      <alignment horizontal="center"/>
      <protection locked="0"/>
    </xf>
    <xf numFmtId="3" fontId="0" fillId="9" borderId="2" xfId="0" applyNumberFormat="1" applyFill="1" applyBorder="1" applyAlignment="1">
      <alignment horizontal="center"/>
    </xf>
    <xf numFmtId="166" fontId="0" fillId="9" borderId="2" xfId="0" applyNumberFormat="1" applyFill="1" applyBorder="1" applyAlignment="1">
      <alignment horizontal="center"/>
    </xf>
    <xf numFmtId="8" fontId="0" fillId="9" borderId="2" xfId="0" applyNumberFormat="1" applyFill="1" applyBorder="1" applyAlignment="1" applyProtection="1">
      <alignment horizontal="center"/>
      <protection hidden="1"/>
    </xf>
    <xf numFmtId="8" fontId="0" fillId="9" borderId="3" xfId="0" applyNumberFormat="1" applyFill="1" applyBorder="1" applyAlignment="1" applyProtection="1">
      <alignment horizontal="center"/>
      <protection hidden="1"/>
    </xf>
    <xf numFmtId="0" fontId="0" fillId="9" borderId="4" xfId="0" applyFill="1" applyBorder="1" applyAlignment="1" applyProtection="1">
      <alignment horizontal="center"/>
      <protection hidden="1"/>
    </xf>
    <xf numFmtId="0" fontId="0" fillId="9" borderId="2" xfId="0" applyFill="1" applyBorder="1" applyAlignment="1" applyProtection="1">
      <alignment horizontal="center"/>
      <protection hidden="1"/>
    </xf>
    <xf numFmtId="3" fontId="0" fillId="9" borderId="2" xfId="0" applyNumberFormat="1" applyFill="1" applyBorder="1" applyAlignment="1" applyProtection="1">
      <alignment horizontal="center"/>
      <protection hidden="1"/>
    </xf>
    <xf numFmtId="8" fontId="95" fillId="9" borderId="3" xfId="0" applyNumberFormat="1" applyFont="1" applyFill="1" applyBorder="1" applyAlignment="1" applyProtection="1">
      <alignment horizontal="center" vertical="center"/>
      <protection hidden="1"/>
    </xf>
    <xf numFmtId="8" fontId="0" fillId="9" borderId="3" xfId="0" applyNumberFormat="1" applyFill="1" applyBorder="1" applyAlignment="1" applyProtection="1">
      <alignment horizontal="center" vertical="center"/>
      <protection hidden="1"/>
    </xf>
    <xf numFmtId="8" fontId="108" fillId="9" borderId="7" xfId="0" applyNumberFormat="1" applyFont="1" applyFill="1" applyBorder="1" applyAlignment="1" applyProtection="1">
      <alignment horizontal="center" vertical="center"/>
      <protection hidden="1"/>
    </xf>
    <xf numFmtId="0" fontId="224" fillId="0" borderId="0" xfId="0" applyFont="1"/>
    <xf numFmtId="0" fontId="240" fillId="0" borderId="0" xfId="0" applyFont="1"/>
    <xf numFmtId="0" fontId="0" fillId="4" borderId="25" xfId="0" applyFill="1" applyBorder="1" applyAlignment="1" applyProtection="1">
      <alignment vertical="center"/>
      <protection hidden="1"/>
    </xf>
    <xf numFmtId="0" fontId="241" fillId="4" borderId="25" xfId="0" applyFont="1" applyFill="1" applyBorder="1" applyAlignment="1" applyProtection="1">
      <alignment horizontal="center" vertical="center"/>
      <protection hidden="1"/>
    </xf>
    <xf numFmtId="0" fontId="86" fillId="18" borderId="2" xfId="0" applyFont="1" applyFill="1" applyBorder="1" applyAlignment="1" applyProtection="1">
      <alignment horizontal="center" vertical="center"/>
      <protection hidden="1"/>
    </xf>
    <xf numFmtId="0" fontId="86" fillId="23" borderId="2" xfId="0" applyFont="1" applyFill="1" applyBorder="1" applyAlignment="1" applyProtection="1">
      <alignment horizontal="center" vertical="center"/>
      <protection hidden="1"/>
    </xf>
    <xf numFmtId="0" fontId="86" fillId="23" borderId="129" xfId="0" applyFont="1" applyFill="1" applyBorder="1" applyAlignment="1" applyProtection="1">
      <alignment horizontal="center" vertical="center"/>
      <protection hidden="1"/>
    </xf>
    <xf numFmtId="0" fontId="86" fillId="18" borderId="41" xfId="0" applyFont="1" applyFill="1" applyBorder="1" applyAlignment="1" applyProtection="1">
      <alignment horizontal="center" vertical="center"/>
      <protection hidden="1"/>
    </xf>
    <xf numFmtId="0" fontId="86" fillId="23" borderId="41" xfId="0" applyFont="1" applyFill="1" applyBorder="1" applyAlignment="1" applyProtection="1">
      <alignment horizontal="center" vertical="center"/>
      <protection hidden="1"/>
    </xf>
    <xf numFmtId="0" fontId="86" fillId="23" borderId="144" xfId="0" applyFont="1" applyFill="1" applyBorder="1" applyAlignment="1" applyProtection="1">
      <alignment horizontal="center" vertical="center"/>
      <protection hidden="1"/>
    </xf>
    <xf numFmtId="0" fontId="242" fillId="0" borderId="0" xfId="0" applyFont="1"/>
    <xf numFmtId="0" fontId="243" fillId="0" borderId="0" xfId="0" applyFont="1"/>
    <xf numFmtId="0" fontId="11" fillId="0" borderId="0" xfId="0" applyFont="1"/>
    <xf numFmtId="0" fontId="101" fillId="0" borderId="0" xfId="0" applyFont="1"/>
    <xf numFmtId="8" fontId="0" fillId="0" borderId="0" xfId="0" applyNumberFormat="1" applyAlignment="1">
      <alignment horizontal="center" vertical="center"/>
    </xf>
    <xf numFmtId="177" fontId="0" fillId="0" borderId="0" xfId="0" applyNumberFormat="1" applyAlignment="1">
      <alignment horizontal="center" vertical="center"/>
    </xf>
    <xf numFmtId="190" fontId="0" fillId="0" borderId="0" xfId="0" applyNumberFormat="1" applyAlignment="1">
      <alignment horizontal="center" vertical="center"/>
    </xf>
    <xf numFmtId="2" fontId="0" fillId="9" borderId="145" xfId="0" applyNumberFormat="1" applyFill="1" applyBorder="1" applyAlignment="1" applyProtection="1">
      <alignment horizontal="left" vertical="center"/>
      <protection hidden="1"/>
    </xf>
    <xf numFmtId="2" fontId="0" fillId="9" borderId="259" xfId="0" applyNumberFormat="1" applyFill="1" applyBorder="1" applyAlignment="1" applyProtection="1">
      <alignment horizontal="left" vertical="center"/>
      <protection hidden="1"/>
    </xf>
    <xf numFmtId="0" fontId="0" fillId="9" borderId="175" xfId="0" applyFill="1" applyBorder="1" applyAlignment="1">
      <alignment horizontal="left" vertical="center"/>
    </xf>
    <xf numFmtId="0" fontId="86" fillId="0" borderId="130" xfId="0" applyFont="1" applyBorder="1" applyAlignment="1" applyProtection="1">
      <alignment vertical="center"/>
      <protection locked="0"/>
    </xf>
    <xf numFmtId="6" fontId="88" fillId="9" borderId="145" xfId="0" applyNumberFormat="1" applyFont="1" applyFill="1" applyBorder="1" applyAlignment="1">
      <alignment horizontal="center" vertical="center"/>
    </xf>
    <xf numFmtId="0" fontId="233" fillId="9" borderId="0" xfId="0" applyFont="1" applyFill="1" applyAlignment="1" applyProtection="1">
      <alignment vertical="center" wrapText="1"/>
      <protection hidden="1"/>
    </xf>
    <xf numFmtId="2" fontId="86" fillId="0" borderId="2" xfId="0" applyNumberFormat="1" applyFont="1" applyBorder="1" applyAlignment="1">
      <alignment horizontal="center" vertical="center"/>
    </xf>
    <xf numFmtId="14" fontId="101" fillId="23" borderId="129" xfId="0" quotePrefix="1" applyNumberFormat="1" applyFont="1" applyFill="1" applyBorder="1" applyAlignment="1" applyProtection="1">
      <alignment horizontal="center" vertical="center"/>
      <protection hidden="1"/>
    </xf>
    <xf numFmtId="0" fontId="10" fillId="0" borderId="0" xfId="0" applyFont="1"/>
    <xf numFmtId="194" fontId="0" fillId="0" borderId="0" xfId="0" applyNumberFormat="1" applyAlignment="1">
      <alignment horizontal="center" vertical="center"/>
    </xf>
    <xf numFmtId="2" fontId="86" fillId="0" borderId="0" xfId="0" applyNumberFormat="1" applyFont="1" applyAlignment="1">
      <alignment horizontal="center" vertical="center"/>
    </xf>
    <xf numFmtId="199" fontId="0" fillId="0" borderId="2" xfId="20" applyNumberFormat="1" applyFont="1" applyBorder="1" applyAlignment="1">
      <alignment horizontal="center" vertical="center"/>
    </xf>
    <xf numFmtId="199" fontId="0" fillId="0" borderId="2" xfId="20" applyNumberFormat="1" applyFont="1" applyBorder="1" applyAlignment="1">
      <alignment vertical="center"/>
    </xf>
    <xf numFmtId="199" fontId="0" fillId="0" borderId="0" xfId="20" applyNumberFormat="1" applyFont="1" applyAlignment="1">
      <alignment vertical="center"/>
    </xf>
    <xf numFmtId="43" fontId="0" fillId="0" borderId="2" xfId="20" applyFont="1" applyBorder="1" applyAlignment="1">
      <alignment horizontal="center" vertical="center"/>
    </xf>
    <xf numFmtId="0" fontId="14" fillId="4" borderId="129" xfId="0" applyFont="1" applyFill="1" applyBorder="1" applyAlignment="1" applyProtection="1">
      <alignment horizontal="center" vertical="center"/>
      <protection hidden="1"/>
    </xf>
    <xf numFmtId="0" fontId="14" fillId="4" borderId="129" xfId="0" applyFont="1" applyFill="1" applyBorder="1" applyAlignment="1" applyProtection="1">
      <alignment vertical="center"/>
      <protection hidden="1"/>
    </xf>
    <xf numFmtId="0" fontId="101" fillId="4" borderId="129" xfId="0" applyFont="1" applyFill="1" applyBorder="1" applyAlignment="1" applyProtection="1">
      <alignment horizontal="center" vertical="center"/>
      <protection hidden="1"/>
    </xf>
    <xf numFmtId="6" fontId="101" fillId="4" borderId="129" xfId="0" applyNumberFormat="1" applyFont="1" applyFill="1" applyBorder="1" applyAlignment="1" applyProtection="1">
      <alignment horizontal="center" vertical="center"/>
      <protection hidden="1"/>
    </xf>
    <xf numFmtId="185" fontId="101" fillId="4" borderId="129" xfId="0" applyNumberFormat="1" applyFont="1" applyFill="1" applyBorder="1" applyAlignment="1" applyProtection="1">
      <alignment horizontal="center" vertical="center"/>
      <protection hidden="1"/>
    </xf>
    <xf numFmtId="190" fontId="101" fillId="4" borderId="129" xfId="0" applyNumberFormat="1" applyFont="1" applyFill="1" applyBorder="1" applyAlignment="1" applyProtection="1">
      <alignment horizontal="center" vertical="center"/>
      <protection hidden="1"/>
    </xf>
    <xf numFmtId="10" fontId="196" fillId="4" borderId="129" xfId="3" applyNumberFormat="1" applyFont="1" applyFill="1" applyBorder="1" applyAlignment="1" applyProtection="1">
      <alignment horizontal="center" vertical="center"/>
      <protection hidden="1"/>
    </xf>
    <xf numFmtId="6" fontId="101" fillId="4" borderId="131" xfId="0" applyNumberFormat="1" applyFont="1" applyFill="1" applyBorder="1" applyAlignment="1" applyProtection="1">
      <alignment horizontal="center" vertical="center"/>
      <protection hidden="1"/>
    </xf>
    <xf numFmtId="10" fontId="0" fillId="0" borderId="189" xfId="0" applyNumberFormat="1" applyBorder="1" applyAlignment="1" applyProtection="1">
      <alignment horizontal="center" vertical="center"/>
      <protection locked="0"/>
    </xf>
    <xf numFmtId="10" fontId="0" fillId="2" borderId="279" xfId="0" applyNumberFormat="1" applyFill="1" applyBorder="1" applyAlignment="1" applyProtection="1">
      <alignment horizontal="center" vertical="center"/>
      <protection locked="0" hidden="1"/>
    </xf>
    <xf numFmtId="10" fontId="0" fillId="0" borderId="279" xfId="0" applyNumberFormat="1" applyBorder="1" applyAlignment="1" applyProtection="1">
      <alignment horizontal="center" vertical="center"/>
      <protection locked="0"/>
    </xf>
    <xf numFmtId="9" fontId="75" fillId="4" borderId="279" xfId="3" applyFont="1" applyFill="1" applyBorder="1" applyAlignment="1" applyProtection="1">
      <alignment horizontal="center" vertical="center"/>
      <protection hidden="1"/>
    </xf>
    <xf numFmtId="9" fontId="75" fillId="4" borderId="279" xfId="3" applyFont="1" applyFill="1" applyBorder="1" applyAlignment="1">
      <alignment horizontal="center" vertical="center"/>
    </xf>
    <xf numFmtId="10" fontId="0" fillId="0" borderId="279" xfId="0" applyNumberFormat="1" applyBorder="1" applyAlignment="1" applyProtection="1">
      <alignment horizontal="center" vertical="center"/>
      <protection locked="0" hidden="1"/>
    </xf>
    <xf numFmtId="10" fontId="0" fillId="0" borderId="280" xfId="3" applyNumberFormat="1" applyFont="1" applyBorder="1" applyAlignment="1" applyProtection="1">
      <alignment horizontal="center" vertical="center"/>
      <protection locked="0" hidden="1"/>
    </xf>
    <xf numFmtId="0" fontId="0" fillId="4" borderId="282" xfId="0" applyFill="1" applyBorder="1" applyAlignment="1">
      <alignment vertical="center"/>
    </xf>
    <xf numFmtId="0" fontId="0" fillId="4" borderId="273" xfId="0" applyFill="1" applyBorder="1" applyAlignment="1">
      <alignment horizontal="center" vertical="center"/>
    </xf>
    <xf numFmtId="0" fontId="0" fillId="4" borderId="283" xfId="0" applyFill="1" applyBorder="1" applyAlignment="1">
      <alignment horizontal="center" vertical="center"/>
    </xf>
    <xf numFmtId="0" fontId="0" fillId="4" borderId="0" xfId="0" applyFill="1" applyAlignment="1">
      <alignment horizontal="right" vertical="center"/>
    </xf>
    <xf numFmtId="0" fontId="86" fillId="9" borderId="0" xfId="0" applyFont="1" applyFill="1" applyAlignment="1">
      <alignment vertical="center" wrapText="1"/>
    </xf>
    <xf numFmtId="0" fontId="0" fillId="9" borderId="4" xfId="0" applyFill="1" applyBorder="1" applyAlignment="1" applyProtection="1">
      <alignment horizontal="center" vertical="center"/>
      <protection hidden="1"/>
    </xf>
    <xf numFmtId="2" fontId="0" fillId="9" borderId="1" xfId="0" applyNumberFormat="1" applyFill="1" applyBorder="1" applyAlignment="1" applyProtection="1">
      <alignment horizontal="center" vertical="center"/>
      <protection hidden="1"/>
    </xf>
    <xf numFmtId="174" fontId="0" fillId="0" borderId="2" xfId="0" applyNumberFormat="1" applyBorder="1" applyAlignment="1">
      <alignment horizontal="center" vertical="center"/>
    </xf>
    <xf numFmtId="181" fontId="0" fillId="0" borderId="2" xfId="0" applyNumberFormat="1" applyBorder="1" applyAlignment="1">
      <alignment horizontal="center" vertical="center"/>
    </xf>
    <xf numFmtId="2" fontId="0" fillId="6" borderId="2" xfId="0" applyNumberFormat="1" applyFill="1" applyBorder="1" applyAlignment="1" applyProtection="1">
      <alignment horizontal="center" vertical="center"/>
      <protection locked="0"/>
    </xf>
    <xf numFmtId="2" fontId="0" fillId="0" borderId="2" xfId="0" applyNumberFormat="1" applyBorder="1" applyAlignment="1">
      <alignment horizontal="center" vertical="center"/>
    </xf>
    <xf numFmtId="2" fontId="0" fillId="6" borderId="2" xfId="0" applyNumberFormat="1" applyFill="1" applyBorder="1" applyAlignment="1" applyProtection="1">
      <alignment horizontal="center" vertical="center" wrapText="1"/>
      <protection locked="0"/>
    </xf>
    <xf numFmtId="14" fontId="0" fillId="0" borderId="2" xfId="0" applyNumberFormat="1" applyBorder="1" applyAlignment="1">
      <alignment horizontal="center" vertical="center" wrapText="1"/>
    </xf>
    <xf numFmtId="8" fontId="0" fillId="0" borderId="2" xfId="0" applyNumberFormat="1" applyBorder="1" applyAlignment="1">
      <alignment horizontal="center" vertical="center" wrapText="1"/>
    </xf>
    <xf numFmtId="177" fontId="0" fillId="0" borderId="2" xfId="0" applyNumberFormat="1" applyBorder="1" applyAlignment="1">
      <alignment horizontal="center" vertical="center"/>
    </xf>
    <xf numFmtId="8" fontId="0" fillId="0" borderId="0" xfId="0" applyNumberFormat="1" applyAlignment="1">
      <alignment horizontal="center" vertical="center" wrapText="1"/>
    </xf>
    <xf numFmtId="177" fontId="0" fillId="0" borderId="12" xfId="0" applyNumberFormat="1" applyBorder="1" applyAlignment="1">
      <alignment horizontal="center" vertical="center"/>
    </xf>
    <xf numFmtId="8" fontId="98" fillId="9" borderId="173" xfId="0" applyNumberFormat="1" applyFont="1" applyFill="1" applyBorder="1" applyAlignment="1">
      <alignment horizontal="center" vertical="top"/>
    </xf>
    <xf numFmtId="8" fontId="96" fillId="0" borderId="2" xfId="0" applyNumberFormat="1" applyFont="1" applyBorder="1" applyAlignment="1" applyProtection="1">
      <alignment horizontal="center" vertical="center"/>
      <protection locked="0"/>
    </xf>
    <xf numFmtId="0" fontId="134" fillId="8" borderId="0" xfId="2" applyNumberFormat="1" applyFont="1" applyFill="1" applyAlignment="1" applyProtection="1">
      <alignment vertical="center"/>
    </xf>
    <xf numFmtId="0" fontId="134" fillId="0" borderId="0" xfId="2" applyNumberFormat="1" applyFont="1" applyBorder="1" applyAlignment="1" applyProtection="1">
      <alignment vertical="center"/>
    </xf>
    <xf numFmtId="0" fontId="252" fillId="0" borderId="0" xfId="0" applyFont="1" applyAlignment="1">
      <alignment horizontal="left" vertical="center"/>
    </xf>
    <xf numFmtId="0" fontId="253" fillId="0" borderId="0" xfId="0" applyFont="1"/>
    <xf numFmtId="0" fontId="254" fillId="0" borderId="0" xfId="0" applyFont="1"/>
    <xf numFmtId="0" fontId="0" fillId="0" borderId="0" xfId="0" applyAlignment="1">
      <alignment wrapText="1"/>
    </xf>
    <xf numFmtId="0" fontId="86" fillId="0" borderId="0" xfId="0" applyFont="1" applyAlignment="1">
      <alignment wrapText="1"/>
    </xf>
    <xf numFmtId="0" fontId="0" fillId="0" borderId="41" xfId="0" applyBorder="1" applyAlignment="1" applyProtection="1">
      <alignment horizontal="center" vertical="center"/>
      <protection locked="0"/>
    </xf>
    <xf numFmtId="166" fontId="0" fillId="4" borderId="2" xfId="0" applyNumberFormat="1" applyFill="1" applyBorder="1" applyAlignment="1">
      <alignment horizontal="center" vertical="center"/>
    </xf>
    <xf numFmtId="0" fontId="0" fillId="4" borderId="0" xfId="0" applyFill="1" applyAlignment="1" applyProtection="1">
      <alignment vertical="center"/>
      <protection hidden="1"/>
    </xf>
    <xf numFmtId="0" fontId="196" fillId="4" borderId="2" xfId="0" applyFont="1" applyFill="1" applyBorder="1" applyAlignment="1" applyProtection="1">
      <alignment horizontal="right" vertical="center"/>
      <protection hidden="1"/>
    </xf>
    <xf numFmtId="188" fontId="90" fillId="4" borderId="2" xfId="0" applyNumberFormat="1" applyFont="1" applyFill="1" applyBorder="1" applyAlignment="1" applyProtection="1">
      <alignment horizontal="center" vertical="center"/>
      <protection hidden="1"/>
    </xf>
    <xf numFmtId="0" fontId="86" fillId="9" borderId="193" xfId="0" applyFont="1" applyFill="1" applyBorder="1" applyAlignment="1" applyProtection="1">
      <alignment horizontal="center" vertical="center"/>
      <protection hidden="1"/>
    </xf>
    <xf numFmtId="0" fontId="44" fillId="4" borderId="79" xfId="0" applyFont="1" applyFill="1" applyBorder="1" applyAlignment="1" applyProtection="1">
      <alignment vertical="center" wrapText="1"/>
      <protection hidden="1"/>
    </xf>
    <xf numFmtId="3" fontId="76" fillId="4" borderId="38" xfId="0" applyNumberFormat="1" applyFont="1" applyFill="1" applyBorder="1" applyAlignment="1" applyProtection="1">
      <alignment vertical="center"/>
      <protection hidden="1"/>
    </xf>
    <xf numFmtId="10" fontId="88" fillId="4" borderId="0" xfId="3" applyNumberFormat="1" applyFont="1" applyFill="1"/>
    <xf numFmtId="8" fontId="88" fillId="0" borderId="0" xfId="3" applyNumberFormat="1" applyFont="1" applyAlignment="1"/>
    <xf numFmtId="14" fontId="88" fillId="8" borderId="26" xfId="0" applyNumberFormat="1" applyFont="1" applyFill="1" applyBorder="1" applyAlignment="1" applyProtection="1">
      <alignment horizontal="center" vertical="center"/>
      <protection locked="0"/>
    </xf>
    <xf numFmtId="14" fontId="88" fillId="8" borderId="31" xfId="0" applyNumberFormat="1" applyFont="1" applyFill="1" applyBorder="1" applyAlignment="1" applyProtection="1">
      <alignment horizontal="center" vertical="center"/>
      <protection locked="0"/>
    </xf>
    <xf numFmtId="2" fontId="88" fillId="8" borderId="3" xfId="0" applyNumberFormat="1" applyFont="1" applyFill="1" applyBorder="1" applyAlignment="1" applyProtection="1">
      <alignment horizontal="center"/>
      <protection locked="0"/>
    </xf>
    <xf numFmtId="185" fontId="101" fillId="4" borderId="129" xfId="0" applyNumberFormat="1" applyFont="1" applyFill="1" applyBorder="1" applyAlignment="1" applyProtection="1">
      <alignment horizontal="center" vertical="center" wrapText="1"/>
      <protection hidden="1"/>
    </xf>
    <xf numFmtId="0" fontId="0" fillId="4" borderId="175" xfId="0" applyFill="1" applyBorder="1" applyAlignment="1" applyProtection="1">
      <alignment horizontal="right" vertical="center"/>
      <protection hidden="1"/>
    </xf>
    <xf numFmtId="0" fontId="0" fillId="4" borderId="129" xfId="0" applyFill="1" applyBorder="1" applyAlignment="1" applyProtection="1">
      <alignment horizontal="center" vertical="center"/>
      <protection hidden="1"/>
    </xf>
    <xf numFmtId="0" fontId="0" fillId="4" borderId="154" xfId="0" applyFill="1" applyBorder="1" applyAlignment="1" applyProtection="1">
      <alignment horizontal="right" vertical="center"/>
      <protection hidden="1"/>
    </xf>
    <xf numFmtId="0" fontId="0" fillId="0" borderId="144" xfId="0" applyBorder="1" applyAlignment="1" applyProtection="1">
      <alignment horizontal="center" vertical="center"/>
      <protection locked="0"/>
    </xf>
    <xf numFmtId="14" fontId="0" fillId="0" borderId="129" xfId="0" applyNumberFormat="1" applyBorder="1" applyAlignment="1" applyProtection="1">
      <alignment horizontal="center" vertical="center"/>
      <protection locked="0"/>
    </xf>
    <xf numFmtId="8" fontId="0" fillId="0" borderId="129" xfId="0" applyNumberFormat="1" applyBorder="1" applyAlignment="1" applyProtection="1">
      <alignment horizontal="center" vertical="center"/>
      <protection locked="0"/>
    </xf>
    <xf numFmtId="2" fontId="0" fillId="0" borderId="129" xfId="0" applyNumberFormat="1" applyBorder="1" applyAlignment="1" applyProtection="1">
      <alignment horizontal="center" vertical="center"/>
      <protection locked="0"/>
    </xf>
    <xf numFmtId="10" fontId="0" fillId="0" borderId="129" xfId="0" applyNumberFormat="1" applyBorder="1" applyAlignment="1" applyProtection="1">
      <alignment horizontal="center" vertical="center"/>
      <protection locked="0"/>
    </xf>
    <xf numFmtId="2" fontId="0" fillId="4" borderId="129" xfId="0" applyNumberFormat="1" applyFill="1" applyBorder="1" applyAlignment="1" applyProtection="1">
      <alignment horizontal="center" vertical="center"/>
      <protection hidden="1"/>
    </xf>
    <xf numFmtId="0" fontId="0" fillId="4" borderId="153" xfId="0" applyFill="1" applyBorder="1" applyAlignment="1" applyProtection="1">
      <alignment horizontal="right" vertical="center"/>
      <protection hidden="1"/>
    </xf>
    <xf numFmtId="8" fontId="0" fillId="4" borderId="188" xfId="0" applyNumberFormat="1" applyFill="1" applyBorder="1" applyAlignment="1" applyProtection="1">
      <alignment horizontal="center" vertical="center"/>
      <protection hidden="1"/>
    </xf>
    <xf numFmtId="166" fontId="0" fillId="4" borderId="129" xfId="0" applyNumberFormat="1" applyFill="1" applyBorder="1" applyAlignment="1">
      <alignment horizontal="center" vertical="center"/>
    </xf>
    <xf numFmtId="8" fontId="0" fillId="4" borderId="108" xfId="0" applyNumberFormat="1" applyFill="1" applyBorder="1" applyAlignment="1">
      <alignment horizontal="center" vertical="center"/>
    </xf>
    <xf numFmtId="8" fontId="0" fillId="4" borderId="231" xfId="0" applyNumberFormat="1" applyFill="1" applyBorder="1" applyAlignment="1">
      <alignment horizontal="center" vertical="center"/>
    </xf>
    <xf numFmtId="0" fontId="96" fillId="4" borderId="293" xfId="0" applyFont="1" applyFill="1" applyBorder="1" applyAlignment="1" applyProtection="1">
      <alignment horizontal="right" vertical="center"/>
      <protection hidden="1"/>
    </xf>
    <xf numFmtId="6" fontId="96" fillId="4" borderId="106" xfId="0" applyNumberFormat="1" applyFont="1" applyFill="1" applyBorder="1" applyAlignment="1" applyProtection="1">
      <alignment horizontal="center" vertical="center"/>
      <protection hidden="1"/>
    </xf>
    <xf numFmtId="6" fontId="96" fillId="4" borderId="156" xfId="0" applyNumberFormat="1" applyFont="1" applyFill="1" applyBorder="1" applyAlignment="1" applyProtection="1">
      <alignment horizontal="center" vertical="center"/>
      <protection hidden="1"/>
    </xf>
    <xf numFmtId="6" fontId="92" fillId="4" borderId="2" xfId="0" applyNumberFormat="1" applyFont="1" applyFill="1" applyBorder="1" applyAlignment="1" applyProtection="1">
      <alignment horizontal="center" vertical="center"/>
      <protection hidden="1"/>
    </xf>
    <xf numFmtId="6" fontId="92" fillId="4" borderId="129" xfId="0" applyNumberFormat="1" applyFont="1" applyFill="1" applyBorder="1" applyAlignment="1" applyProtection="1">
      <alignment horizontal="center" vertical="center"/>
      <protection hidden="1"/>
    </xf>
    <xf numFmtId="0" fontId="92" fillId="4" borderId="175" xfId="0" applyFont="1" applyFill="1" applyBorder="1" applyAlignment="1">
      <alignment horizontal="right" vertical="center"/>
    </xf>
    <xf numFmtId="0" fontId="0" fillId="4" borderId="227" xfId="0" applyFill="1" applyBorder="1" applyAlignment="1">
      <alignment horizontal="right" vertical="center"/>
    </xf>
    <xf numFmtId="0" fontId="0" fillId="4" borderId="175" xfId="0" applyFill="1" applyBorder="1" applyAlignment="1">
      <alignment horizontal="left" vertical="center"/>
    </xf>
    <xf numFmtId="0" fontId="0" fillId="4" borderId="175" xfId="0" applyFill="1" applyBorder="1" applyAlignment="1">
      <alignment horizontal="right" vertical="center"/>
    </xf>
    <xf numFmtId="0" fontId="257" fillId="8" borderId="0" xfId="2" applyNumberFormat="1" applyFont="1" applyFill="1" applyAlignment="1" applyProtection="1">
      <alignment horizontal="left" vertical="center"/>
    </xf>
    <xf numFmtId="9" fontId="131" fillId="9" borderId="0" xfId="0" applyNumberFormat="1" applyFont="1" applyFill="1" applyAlignment="1">
      <alignment horizontal="center" vertical="center"/>
    </xf>
    <xf numFmtId="10" fontId="8" fillId="9" borderId="2" xfId="3" applyNumberFormat="1" applyFont="1" applyFill="1" applyBorder="1" applyAlignment="1" applyProtection="1">
      <alignment vertical="center"/>
      <protection hidden="1"/>
    </xf>
    <xf numFmtId="0" fontId="8" fillId="9" borderId="9" xfId="0" quotePrefix="1" applyFont="1" applyFill="1" applyBorder="1" applyAlignment="1" applyProtection="1">
      <alignment vertical="center"/>
      <protection hidden="1"/>
    </xf>
    <xf numFmtId="0" fontId="8" fillId="9" borderId="10" xfId="0" quotePrefix="1" applyFont="1" applyFill="1" applyBorder="1" applyAlignment="1" applyProtection="1">
      <alignment vertical="center"/>
      <protection hidden="1"/>
    </xf>
    <xf numFmtId="8" fontId="8" fillId="0" borderId="2" xfId="0" applyNumberFormat="1" applyFont="1" applyBorder="1" applyAlignment="1" applyProtection="1">
      <alignment vertical="center"/>
      <protection locked="0"/>
    </xf>
    <xf numFmtId="10" fontId="8" fillId="0" borderId="10" xfId="0" applyNumberFormat="1" applyFont="1" applyBorder="1" applyAlignment="1" applyProtection="1">
      <alignment horizontal="right" vertical="center"/>
      <protection locked="0"/>
    </xf>
    <xf numFmtId="10" fontId="8" fillId="9" borderId="41" xfId="3" applyNumberFormat="1" applyFont="1" applyFill="1" applyBorder="1" applyAlignment="1" applyProtection="1">
      <alignment vertical="center"/>
      <protection hidden="1"/>
    </xf>
    <xf numFmtId="0" fontId="143" fillId="0" borderId="0" xfId="0" applyFont="1" applyAlignment="1">
      <alignment vertical="center" wrapText="1"/>
    </xf>
    <xf numFmtId="10" fontId="8" fillId="0" borderId="2" xfId="0" applyNumberFormat="1" applyFont="1" applyBorder="1" applyAlignment="1" applyProtection="1">
      <alignment horizontal="center" vertical="center"/>
      <protection locked="0"/>
    </xf>
    <xf numFmtId="10" fontId="8" fillId="0" borderId="2" xfId="3" applyNumberFormat="1" applyFont="1" applyFill="1" applyBorder="1" applyAlignment="1" applyProtection="1">
      <alignment horizontal="center" vertical="center"/>
      <protection locked="0"/>
    </xf>
    <xf numFmtId="0" fontId="8" fillId="9" borderId="153" xfId="0" applyFont="1" applyFill="1" applyBorder="1" applyAlignment="1" applyProtection="1">
      <alignment horizontal="right" vertical="center"/>
      <protection hidden="1"/>
    </xf>
    <xf numFmtId="14" fontId="8" fillId="9" borderId="12" xfId="0" applyNumberFormat="1" applyFont="1" applyFill="1" applyBorder="1" applyAlignment="1" applyProtection="1">
      <alignment horizontal="center" vertical="center"/>
      <protection hidden="1"/>
    </xf>
    <xf numFmtId="0" fontId="8" fillId="9" borderId="14" xfId="0" applyFont="1" applyFill="1" applyBorder="1" applyAlignment="1">
      <alignment vertical="center"/>
    </xf>
    <xf numFmtId="184" fontId="8" fillId="0" borderId="14" xfId="0" applyNumberFormat="1" applyFont="1" applyBorder="1" applyAlignment="1" applyProtection="1">
      <alignment horizontal="center" vertical="center"/>
      <protection locked="0"/>
    </xf>
    <xf numFmtId="10" fontId="8" fillId="9" borderId="14" xfId="0" applyNumberFormat="1" applyFont="1" applyFill="1" applyBorder="1" applyAlignment="1">
      <alignment horizontal="center" vertical="center"/>
    </xf>
    <xf numFmtId="8" fontId="8" fillId="9" borderId="2" xfId="0" applyNumberFormat="1" applyFont="1" applyFill="1" applyBorder="1" applyAlignment="1" applyProtection="1">
      <alignment vertical="center"/>
      <protection hidden="1"/>
    </xf>
    <xf numFmtId="0" fontId="196" fillId="9" borderId="2" xfId="0" applyFont="1" applyFill="1" applyBorder="1" applyAlignment="1">
      <alignment horizontal="center" vertical="center"/>
    </xf>
    <xf numFmtId="8" fontId="8" fillId="9" borderId="129" xfId="0" applyNumberFormat="1" applyFont="1" applyFill="1" applyBorder="1" applyAlignment="1" applyProtection="1">
      <alignment horizontal="center" vertical="center"/>
      <protection hidden="1"/>
    </xf>
    <xf numFmtId="8" fontId="159" fillId="0" borderId="41" xfId="0" applyNumberFormat="1" applyFont="1" applyBorder="1" applyAlignment="1" applyProtection="1">
      <alignment horizontal="center" vertical="center"/>
      <protection locked="0"/>
    </xf>
    <xf numFmtId="177" fontId="75" fillId="9" borderId="10" xfId="0" applyNumberFormat="1" applyFont="1" applyFill="1" applyBorder="1" applyAlignment="1" applyProtection="1">
      <alignment horizontal="right" vertical="center" wrapText="1"/>
      <protection hidden="1"/>
    </xf>
    <xf numFmtId="177" fontId="75" fillId="9" borderId="129" xfId="0" applyNumberFormat="1" applyFont="1" applyFill="1" applyBorder="1" applyAlignment="1" applyProtection="1">
      <alignment horizontal="center" vertical="center" wrapText="1"/>
      <protection hidden="1"/>
    </xf>
    <xf numFmtId="177" fontId="140" fillId="9" borderId="55" xfId="0" applyNumberFormat="1" applyFont="1" applyFill="1" applyBorder="1" applyAlignment="1" applyProtection="1">
      <alignment horizontal="right" vertical="center" wrapText="1"/>
      <protection hidden="1"/>
    </xf>
    <xf numFmtId="177" fontId="140" fillId="9" borderId="188" xfId="0" applyNumberFormat="1" applyFont="1" applyFill="1" applyBorder="1" applyAlignment="1" applyProtection="1">
      <alignment horizontal="center" vertical="center" wrapText="1"/>
      <protection hidden="1"/>
    </xf>
    <xf numFmtId="6" fontId="6" fillId="9" borderId="129" xfId="0" applyNumberFormat="1" applyFont="1" applyFill="1" applyBorder="1" applyAlignment="1" applyProtection="1">
      <alignment horizontal="center" vertical="center" wrapText="1"/>
      <protection hidden="1"/>
    </xf>
    <xf numFmtId="177" fontId="6" fillId="9" borderId="129" xfId="0" applyNumberFormat="1" applyFont="1" applyFill="1" applyBorder="1" applyAlignment="1" applyProtection="1">
      <alignment horizontal="center" vertical="center" wrapText="1"/>
      <protection hidden="1"/>
    </xf>
    <xf numFmtId="0" fontId="225" fillId="9" borderId="2" xfId="0" applyFont="1" applyFill="1" applyBorder="1" applyAlignment="1">
      <alignment horizontal="center" vertical="center"/>
    </xf>
    <xf numFmtId="0" fontId="225" fillId="9" borderId="129" xfId="0" applyFont="1" applyFill="1" applyBorder="1" applyAlignment="1">
      <alignment horizontal="center" vertical="center"/>
    </xf>
    <xf numFmtId="8" fontId="101" fillId="0" borderId="2" xfId="0" applyNumberFormat="1" applyFont="1" applyBorder="1" applyAlignment="1" applyProtection="1">
      <alignment horizontal="center" vertical="center" wrapText="1"/>
      <protection locked="0"/>
    </xf>
    <xf numFmtId="8" fontId="101" fillId="9" borderId="129" xfId="0" applyNumberFormat="1" applyFont="1" applyFill="1" applyBorder="1" applyAlignment="1" applyProtection="1">
      <alignment horizontal="center" vertical="center" wrapText="1"/>
      <protection hidden="1"/>
    </xf>
    <xf numFmtId="183" fontId="6" fillId="9" borderId="129" xfId="0" applyNumberFormat="1" applyFont="1" applyFill="1" applyBorder="1" applyAlignment="1" applyProtection="1">
      <alignment horizontal="center" vertical="center" wrapText="1"/>
      <protection hidden="1"/>
    </xf>
    <xf numFmtId="8" fontId="6" fillId="9" borderId="129" xfId="0" applyNumberFormat="1" applyFont="1" applyFill="1" applyBorder="1" applyAlignment="1" applyProtection="1">
      <alignment horizontal="center" vertical="center" wrapText="1"/>
      <protection hidden="1"/>
    </xf>
    <xf numFmtId="6" fontId="101" fillId="9" borderId="129" xfId="0" applyNumberFormat="1" applyFont="1" applyFill="1" applyBorder="1" applyAlignment="1" applyProtection="1">
      <alignment horizontal="center" vertical="center" wrapText="1"/>
      <protection hidden="1"/>
    </xf>
    <xf numFmtId="6" fontId="196" fillId="9" borderId="188" xfId="0" applyNumberFormat="1" applyFont="1" applyFill="1" applyBorder="1" applyAlignment="1" applyProtection="1">
      <alignment horizontal="center" vertical="center" wrapText="1"/>
      <protection hidden="1"/>
    </xf>
    <xf numFmtId="6" fontId="188" fillId="9" borderId="272" xfId="0" applyNumberFormat="1" applyFont="1" applyFill="1" applyBorder="1" applyAlignment="1" applyProtection="1">
      <alignment horizontal="center" vertical="center" wrapText="1"/>
      <protection hidden="1"/>
    </xf>
    <xf numFmtId="6" fontId="188" fillId="9" borderId="131" xfId="0" applyNumberFormat="1" applyFont="1" applyFill="1" applyBorder="1" applyAlignment="1" applyProtection="1">
      <alignment horizontal="center" vertical="center" wrapText="1"/>
      <protection hidden="1"/>
    </xf>
    <xf numFmtId="14" fontId="8" fillId="9" borderId="188" xfId="0" applyNumberFormat="1" applyFont="1" applyFill="1" applyBorder="1" applyAlignment="1" applyProtection="1">
      <alignment horizontal="center" vertical="center"/>
      <protection hidden="1"/>
    </xf>
    <xf numFmtId="0" fontId="91" fillId="9" borderId="8" xfId="0" applyFont="1" applyFill="1" applyBorder="1" applyAlignment="1">
      <alignment vertical="center"/>
    </xf>
    <xf numFmtId="0" fontId="131" fillId="9" borderId="0" xfId="0" applyFont="1" applyFill="1" applyAlignment="1">
      <alignment horizontal="left"/>
    </xf>
    <xf numFmtId="0" fontId="91" fillId="0" borderId="8" xfId="0" applyFont="1" applyBorder="1" applyAlignment="1">
      <alignment vertical="center"/>
    </xf>
    <xf numFmtId="0" fontId="49" fillId="0" borderId="0" xfId="2" applyNumberFormat="1" applyFill="1" applyAlignment="1" applyProtection="1">
      <alignment vertical="center" wrapText="1"/>
    </xf>
    <xf numFmtId="0" fontId="93" fillId="0" borderId="8" xfId="0" applyFont="1" applyBorder="1" applyAlignment="1">
      <alignment vertical="center" textRotation="90"/>
    </xf>
    <xf numFmtId="0" fontId="0" fillId="0" borderId="0" xfId="0" applyAlignment="1" applyProtection="1">
      <alignment horizontal="right" vertical="center"/>
      <protection hidden="1"/>
    </xf>
    <xf numFmtId="0" fontId="96" fillId="0" borderId="0" xfId="0" applyFont="1" applyAlignment="1" applyProtection="1">
      <alignment horizontal="right" vertical="center" wrapText="1"/>
      <protection hidden="1"/>
    </xf>
    <xf numFmtId="0" fontId="91" fillId="9" borderId="0" xfId="0" applyFont="1" applyFill="1" applyAlignment="1">
      <alignment vertical="center"/>
    </xf>
    <xf numFmtId="0" fontId="265" fillId="9" borderId="78" xfId="0" applyFont="1" applyFill="1" applyBorder="1" applyAlignment="1" applyProtection="1">
      <alignment horizontal="center" vertical="center" wrapText="1"/>
      <protection hidden="1"/>
    </xf>
    <xf numFmtId="0" fontId="91" fillId="9" borderId="78" xfId="0" applyFont="1" applyFill="1" applyBorder="1" applyAlignment="1" applyProtection="1">
      <alignment horizontal="center" vertical="center" wrapText="1"/>
      <protection hidden="1"/>
    </xf>
    <xf numFmtId="0" fontId="131" fillId="4" borderId="0" xfId="0" applyFont="1" applyFill="1"/>
    <xf numFmtId="0" fontId="131" fillId="0" borderId="0" xfId="0" applyFont="1"/>
    <xf numFmtId="9" fontId="131" fillId="9" borderId="28" xfId="0" applyNumberFormat="1" applyFont="1" applyFill="1" applyBorder="1"/>
    <xf numFmtId="0" fontId="258" fillId="9" borderId="67" xfId="0" applyFont="1" applyFill="1" applyBorder="1" applyAlignment="1" applyProtection="1">
      <alignment vertical="center"/>
      <protection hidden="1"/>
    </xf>
    <xf numFmtId="0" fontId="258" fillId="9" borderId="21" xfId="0" applyFont="1" applyFill="1" applyBorder="1" applyAlignment="1" applyProtection="1">
      <alignment vertical="center"/>
      <protection hidden="1"/>
    </xf>
    <xf numFmtId="0" fontId="8" fillId="9" borderId="10" xfId="0" applyFont="1" applyFill="1" applyBorder="1" applyAlignment="1" applyProtection="1">
      <alignment vertical="center"/>
      <protection hidden="1"/>
    </xf>
    <xf numFmtId="0" fontId="8" fillId="9" borderId="56" xfId="0" applyFont="1" applyFill="1" applyBorder="1" applyAlignment="1" applyProtection="1">
      <alignment vertical="center"/>
      <protection hidden="1"/>
    </xf>
    <xf numFmtId="0" fontId="20" fillId="0" borderId="0" xfId="0" applyFont="1" applyAlignment="1" applyProtection="1">
      <alignment vertical="center"/>
      <protection hidden="1"/>
    </xf>
    <xf numFmtId="0" fontId="101" fillId="0" borderId="0" xfId="0" applyFont="1" applyAlignment="1" applyProtection="1">
      <alignment vertical="center" wrapText="1"/>
      <protection hidden="1"/>
    </xf>
    <xf numFmtId="14" fontId="91" fillId="0" borderId="0" xfId="0" applyNumberFormat="1" applyFont="1" applyAlignment="1" applyProtection="1">
      <alignment vertical="center" wrapText="1"/>
      <protection hidden="1"/>
    </xf>
    <xf numFmtId="0" fontId="91" fillId="0" borderId="0" xfId="0" applyFont="1" applyAlignment="1" applyProtection="1">
      <alignment vertical="center" wrapText="1"/>
      <protection hidden="1"/>
    </xf>
    <xf numFmtId="0" fontId="88" fillId="0" borderId="0" xfId="0" applyFont="1" applyAlignment="1" applyProtection="1">
      <alignment vertical="center" wrapText="1"/>
      <protection hidden="1"/>
    </xf>
    <xf numFmtId="0" fontId="101" fillId="0" borderId="0" xfId="0" applyFont="1" applyAlignment="1" applyProtection="1">
      <alignment vertical="center"/>
      <protection hidden="1"/>
    </xf>
    <xf numFmtId="0" fontId="96" fillId="0" borderId="0" xfId="0" applyFont="1" applyAlignment="1" applyProtection="1">
      <alignment vertical="center" wrapText="1"/>
      <protection hidden="1"/>
    </xf>
    <xf numFmtId="6" fontId="98" fillId="0" borderId="0" xfId="0" applyNumberFormat="1" applyFont="1" applyAlignment="1" applyProtection="1">
      <alignment vertical="center"/>
      <protection locked="0"/>
    </xf>
    <xf numFmtId="6" fontId="96" fillId="0" borderId="0" xfId="0" applyNumberFormat="1" applyFont="1" applyAlignment="1" applyProtection="1">
      <alignment vertical="center"/>
      <protection hidden="1"/>
    </xf>
    <xf numFmtId="0" fontId="101" fillId="9" borderId="0" xfId="0" applyFont="1" applyFill="1" applyAlignment="1">
      <alignment vertical="center" wrapText="1"/>
    </xf>
    <xf numFmtId="8" fontId="8" fillId="6" borderId="143" xfId="0" applyNumberFormat="1" applyFont="1" applyFill="1" applyBorder="1" applyAlignment="1" applyProtection="1">
      <alignment horizontal="right" vertical="center" wrapText="1"/>
      <protection locked="0"/>
    </xf>
    <xf numFmtId="0" fontId="131" fillId="9" borderId="0" xfId="0" applyFont="1" applyFill="1"/>
    <xf numFmtId="0" fontId="134" fillId="9" borderId="176" xfId="2" applyNumberFormat="1" applyFont="1" applyFill="1" applyBorder="1" applyAlignment="1" applyProtection="1">
      <alignment horizontal="center" vertical="center" wrapText="1"/>
    </xf>
    <xf numFmtId="0" fontId="258" fillId="9" borderId="232" xfId="0" applyFont="1" applyFill="1" applyBorder="1" applyAlignment="1" applyProtection="1">
      <alignment vertical="center"/>
      <protection hidden="1"/>
    </xf>
    <xf numFmtId="0" fontId="258" fillId="9" borderId="158" xfId="0" applyFont="1" applyFill="1" applyBorder="1" applyAlignment="1" applyProtection="1">
      <alignment vertical="center"/>
      <protection hidden="1"/>
    </xf>
    <xf numFmtId="176" fontId="234" fillId="9" borderId="129" xfId="3" applyNumberFormat="1" applyFont="1" applyFill="1" applyBorder="1" applyAlignment="1" applyProtection="1">
      <alignment horizontal="center" vertical="center"/>
      <protection hidden="1"/>
    </xf>
    <xf numFmtId="10" fontId="259" fillId="9" borderId="129" xfId="3" applyNumberFormat="1" applyFont="1" applyFill="1" applyBorder="1" applyAlignment="1" applyProtection="1">
      <alignment horizontal="center" vertical="center"/>
      <protection hidden="1"/>
    </xf>
    <xf numFmtId="8" fontId="101" fillId="9" borderId="151" xfId="3" applyNumberFormat="1" applyFont="1" applyFill="1" applyBorder="1" applyAlignment="1" applyProtection="1">
      <alignment horizontal="center" vertical="center"/>
      <protection hidden="1"/>
    </xf>
    <xf numFmtId="0" fontId="0" fillId="4" borderId="175" xfId="0" applyFill="1" applyBorder="1" applyAlignment="1" applyProtection="1">
      <alignment horizontal="left" vertical="center" wrapText="1"/>
      <protection hidden="1"/>
    </xf>
    <xf numFmtId="6" fontId="0" fillId="4" borderId="2" xfId="0" applyNumberFormat="1" applyFill="1" applyBorder="1" applyAlignment="1" applyProtection="1">
      <alignment horizontal="center" vertical="center" wrapText="1"/>
      <protection hidden="1"/>
    </xf>
    <xf numFmtId="0" fontId="0" fillId="9" borderId="169" xfId="0" applyFill="1" applyBorder="1" applyAlignment="1" applyProtection="1">
      <alignment vertical="center"/>
      <protection hidden="1"/>
    </xf>
    <xf numFmtId="0" fontId="0" fillId="9" borderId="9" xfId="0" applyFill="1" applyBorder="1" applyAlignment="1" applyProtection="1">
      <alignment vertical="center"/>
      <protection hidden="1"/>
    </xf>
    <xf numFmtId="0" fontId="0" fillId="9" borderId="1" xfId="0" applyFill="1" applyBorder="1" applyAlignment="1">
      <alignment horizontal="center" vertical="center"/>
    </xf>
    <xf numFmtId="0" fontId="0" fillId="9" borderId="9" xfId="0" applyFill="1" applyBorder="1" applyAlignment="1">
      <alignment horizontal="center" vertical="center"/>
    </xf>
    <xf numFmtId="14" fontId="0" fillId="9" borderId="9" xfId="0" applyNumberFormat="1" applyFill="1" applyBorder="1" applyAlignment="1" applyProtection="1">
      <alignment horizontal="right" vertical="center" wrapText="1"/>
      <protection hidden="1"/>
    </xf>
    <xf numFmtId="0" fontId="268" fillId="0" borderId="0" xfId="3" applyNumberFormat="1" applyFont="1" applyFill="1" applyBorder="1" applyAlignment="1" applyProtection="1">
      <alignment readingOrder="1"/>
      <protection locked="0"/>
    </xf>
    <xf numFmtId="0" fontId="267" fillId="0" borderId="0" xfId="3" applyNumberFormat="1" applyFont="1" applyFill="1" applyBorder="1" applyAlignment="1" applyProtection="1">
      <protection locked="0"/>
    </xf>
    <xf numFmtId="0" fontId="49" fillId="0" borderId="0" xfId="2" applyNumberFormat="1" applyAlignment="1" applyProtection="1">
      <alignment wrapText="1"/>
    </xf>
    <xf numFmtId="0" fontId="49" fillId="0" borderId="0" xfId="2" applyNumberFormat="1" applyFill="1" applyAlignment="1" applyProtection="1"/>
    <xf numFmtId="0" fontId="0" fillId="0" borderId="0" xfId="0" applyAlignment="1" applyProtection="1">
      <alignment horizontal="center" vertical="center" wrapText="1"/>
      <protection hidden="1"/>
    </xf>
    <xf numFmtId="4" fontId="0" fillId="0" borderId="0" xfId="0" applyNumberFormat="1" applyProtection="1">
      <protection hidden="1"/>
    </xf>
    <xf numFmtId="2" fontId="0" fillId="0" borderId="0" xfId="0" applyNumberFormat="1" applyAlignment="1">
      <alignment horizontal="center"/>
    </xf>
    <xf numFmtId="0" fontId="138" fillId="0" borderId="2" xfId="0" applyFont="1" applyBorder="1" applyAlignment="1">
      <alignment horizontal="center" vertical="center" wrapText="1"/>
    </xf>
    <xf numFmtId="0" fontId="0" fillId="4" borderId="4" xfId="0" applyFill="1" applyBorder="1" applyAlignment="1" applyProtection="1">
      <alignment horizontal="right" vertical="center"/>
      <protection hidden="1"/>
    </xf>
    <xf numFmtId="14" fontId="0" fillId="0" borderId="2" xfId="0" applyNumberFormat="1" applyBorder="1" applyAlignment="1" applyProtection="1">
      <alignment vertical="center"/>
      <protection locked="0"/>
    </xf>
    <xf numFmtId="0" fontId="86" fillId="4" borderId="5" xfId="0" applyFont="1" applyFill="1" applyBorder="1" applyAlignment="1" applyProtection="1">
      <alignment horizontal="right" vertical="center"/>
      <protection hidden="1"/>
    </xf>
    <xf numFmtId="0" fontId="86" fillId="4" borderId="6" xfId="0" applyFont="1" applyFill="1" applyBorder="1" applyAlignment="1" applyProtection="1">
      <alignment horizontal="center" vertical="center"/>
      <protection hidden="1"/>
    </xf>
    <xf numFmtId="0" fontId="0" fillId="4" borderId="7" xfId="0" applyFill="1" applyBorder="1" applyAlignment="1" applyProtection="1">
      <alignment vertical="center"/>
      <protection hidden="1"/>
    </xf>
    <xf numFmtId="14" fontId="8" fillId="0" borderId="12" xfId="0" applyNumberFormat="1" applyFont="1" applyBorder="1" applyAlignment="1" applyProtection="1">
      <alignment horizontal="center" vertical="center"/>
      <protection locked="0"/>
    </xf>
    <xf numFmtId="8" fontId="101" fillId="9" borderId="189" xfId="0" applyNumberFormat="1" applyFont="1" applyFill="1" applyBorder="1" applyAlignment="1">
      <alignment vertical="center"/>
    </xf>
    <xf numFmtId="8" fontId="259" fillId="9" borderId="129" xfId="3" applyNumberFormat="1" applyFont="1" applyFill="1" applyBorder="1" applyAlignment="1" applyProtection="1">
      <alignment horizontal="center" vertical="center"/>
      <protection hidden="1"/>
    </xf>
    <xf numFmtId="8" fontId="234" fillId="9" borderId="131" xfId="3" applyNumberFormat="1" applyFont="1" applyFill="1" applyBorder="1" applyAlignment="1" applyProtection="1">
      <alignment horizontal="center" vertical="center"/>
      <protection hidden="1"/>
    </xf>
    <xf numFmtId="8" fontId="101" fillId="9" borderId="152" xfId="0" applyNumberFormat="1" applyFont="1" applyFill="1" applyBorder="1" applyAlignment="1" applyProtection="1">
      <alignment horizontal="center" vertical="center"/>
      <protection hidden="1"/>
    </xf>
    <xf numFmtId="0" fontId="225" fillId="9" borderId="0" xfId="0" applyFont="1" applyFill="1" applyAlignment="1">
      <alignment horizontal="right" vertical="center"/>
    </xf>
    <xf numFmtId="8" fontId="225" fillId="9" borderId="0" xfId="0" applyNumberFormat="1" applyFont="1" applyFill="1" applyAlignment="1">
      <alignment horizontal="center" vertical="center"/>
    </xf>
    <xf numFmtId="8" fontId="188" fillId="9" borderId="144" xfId="0" applyNumberFormat="1" applyFont="1" applyFill="1" applyBorder="1" applyAlignment="1" applyProtection="1">
      <alignment horizontal="center" vertical="center"/>
      <protection hidden="1"/>
    </xf>
    <xf numFmtId="8" fontId="101" fillId="9" borderId="129" xfId="0" applyNumberFormat="1" applyFont="1" applyFill="1" applyBorder="1" applyAlignment="1" applyProtection="1">
      <alignment horizontal="center" vertical="center"/>
      <protection hidden="1"/>
    </xf>
    <xf numFmtId="0" fontId="8" fillId="9" borderId="169" xfId="0" applyFont="1" applyFill="1" applyBorder="1" applyAlignment="1" applyProtection="1">
      <alignment horizontal="left" vertical="center"/>
      <protection hidden="1"/>
    </xf>
    <xf numFmtId="0" fontId="8" fillId="9" borderId="9" xfId="0" applyFont="1" applyFill="1" applyBorder="1" applyAlignment="1" applyProtection="1">
      <alignment horizontal="left" vertical="center"/>
      <protection hidden="1"/>
    </xf>
    <xf numFmtId="0" fontId="8" fillId="9" borderId="10" xfId="0" applyFont="1" applyFill="1" applyBorder="1" applyAlignment="1" applyProtection="1">
      <alignment horizontal="left" vertical="center"/>
      <protection hidden="1"/>
    </xf>
    <xf numFmtId="0" fontId="86" fillId="0" borderId="55" xfId="0" applyFont="1" applyBorder="1"/>
    <xf numFmtId="9" fontId="0" fillId="0" borderId="55" xfId="0" applyNumberFormat="1" applyBorder="1" applyAlignment="1" applyProtection="1">
      <alignment vertical="center"/>
      <protection hidden="1"/>
    </xf>
    <xf numFmtId="0" fontId="0" fillId="0" borderId="12" xfId="0" applyBorder="1" applyProtection="1">
      <protection locked="0"/>
    </xf>
    <xf numFmtId="0" fontId="86" fillId="0" borderId="0" xfId="0" applyFont="1" applyAlignment="1">
      <alignment vertical="center"/>
    </xf>
    <xf numFmtId="1" fontId="0" fillId="0" borderId="0" xfId="0" applyNumberFormat="1" applyAlignment="1">
      <alignment horizontal="center" vertical="center"/>
    </xf>
    <xf numFmtId="0" fontId="164" fillId="0" borderId="0" xfId="0" applyFont="1" applyAlignment="1">
      <alignment horizontal="center" vertical="center"/>
    </xf>
    <xf numFmtId="10" fontId="8" fillId="9" borderId="0" xfId="0" applyNumberFormat="1" applyFont="1" applyFill="1" applyAlignment="1" applyProtection="1">
      <alignment horizontal="center" vertical="center"/>
      <protection hidden="1"/>
    </xf>
    <xf numFmtId="8" fontId="8" fillId="9" borderId="0" xfId="0" applyNumberFormat="1" applyFont="1" applyFill="1" applyAlignment="1" applyProtection="1">
      <alignment horizontal="center" vertical="center"/>
      <protection hidden="1"/>
    </xf>
    <xf numFmtId="0" fontId="8" fillId="9" borderId="0" xfId="0" applyFont="1" applyFill="1" applyAlignment="1">
      <alignment horizontal="center" vertical="center"/>
    </xf>
    <xf numFmtId="8" fontId="8" fillId="0" borderId="173" xfId="0" applyNumberFormat="1" applyFont="1" applyBorder="1" applyAlignment="1" applyProtection="1">
      <alignment horizontal="center" vertical="center"/>
      <protection locked="0"/>
    </xf>
    <xf numFmtId="8" fontId="8" fillId="9" borderId="304" xfId="0" applyNumberFormat="1" applyFont="1" applyFill="1" applyBorder="1" applyAlignment="1" applyProtection="1">
      <alignment horizontal="center" vertical="center"/>
      <protection hidden="1"/>
    </xf>
    <xf numFmtId="164" fontId="8" fillId="9" borderId="231" xfId="0" applyNumberFormat="1" applyFont="1" applyFill="1" applyBorder="1" applyAlignment="1" applyProtection="1">
      <alignment horizontal="center" vertical="center"/>
      <protection hidden="1"/>
    </xf>
    <xf numFmtId="164" fontId="8" fillId="9" borderId="144" xfId="0" applyNumberFormat="1" applyFont="1" applyFill="1" applyBorder="1" applyAlignment="1" applyProtection="1">
      <alignment horizontal="center" vertical="center"/>
      <protection hidden="1"/>
    </xf>
    <xf numFmtId="8" fontId="158" fillId="9" borderId="129" xfId="0" applyNumberFormat="1" applyFont="1" applyFill="1" applyBorder="1" applyAlignment="1" applyProtection="1">
      <alignment horizontal="center" vertical="center"/>
      <protection hidden="1"/>
    </xf>
    <xf numFmtId="8" fontId="188" fillId="9" borderId="151" xfId="0" applyNumberFormat="1" applyFont="1" applyFill="1" applyBorder="1" applyAlignment="1" applyProtection="1">
      <alignment horizontal="center" vertical="center"/>
      <protection hidden="1"/>
    </xf>
    <xf numFmtId="0" fontId="188" fillId="9" borderId="225" xfId="0" applyFont="1" applyFill="1" applyBorder="1" applyAlignment="1" applyProtection="1">
      <alignment horizontal="left" vertical="center"/>
      <protection hidden="1"/>
    </xf>
    <xf numFmtId="8" fontId="8" fillId="9" borderId="302" xfId="0" applyNumberFormat="1" applyFont="1" applyFill="1" applyBorder="1" applyAlignment="1">
      <alignment horizontal="center" vertical="center"/>
    </xf>
    <xf numFmtId="10" fontId="8" fillId="9" borderId="2" xfId="0" applyNumberFormat="1" applyFont="1" applyFill="1" applyBorder="1" applyAlignment="1" applyProtection="1">
      <alignment horizontal="center" vertical="center"/>
      <protection hidden="1"/>
    </xf>
    <xf numFmtId="8" fontId="8" fillId="9" borderId="2" xfId="3" applyNumberFormat="1" applyFont="1" applyFill="1" applyBorder="1" applyAlignment="1" applyProtection="1">
      <alignment horizontal="center" vertical="center"/>
      <protection hidden="1"/>
    </xf>
    <xf numFmtId="10" fontId="101" fillId="9" borderId="130" xfId="0" applyNumberFormat="1" applyFont="1" applyFill="1" applyBorder="1" applyAlignment="1" applyProtection="1">
      <alignment horizontal="center" vertical="center"/>
      <protection hidden="1"/>
    </xf>
    <xf numFmtId="8" fontId="101" fillId="9" borderId="130" xfId="3" applyNumberFormat="1" applyFont="1" applyFill="1" applyBorder="1" applyAlignment="1" applyProtection="1">
      <alignment horizontal="center" vertical="center"/>
      <protection hidden="1"/>
    </xf>
    <xf numFmtId="8" fontId="8" fillId="6" borderId="2" xfId="0" applyNumberFormat="1" applyFont="1" applyFill="1" applyBorder="1" applyAlignment="1" applyProtection="1">
      <alignment horizontal="center" vertical="center"/>
      <protection locked="0"/>
    </xf>
    <xf numFmtId="9" fontId="0" fillId="0" borderId="0" xfId="3" applyFont="1" applyAlignment="1">
      <alignment vertical="center"/>
    </xf>
    <xf numFmtId="8" fontId="158" fillId="9" borderId="131" xfId="0" applyNumberFormat="1" applyFont="1" applyFill="1" applyBorder="1" applyAlignment="1">
      <alignment horizontal="center" vertical="center"/>
    </xf>
    <xf numFmtId="8" fontId="8" fillId="6" borderId="87" xfId="0" applyNumberFormat="1" applyFont="1" applyFill="1" applyBorder="1" applyAlignment="1">
      <alignment horizontal="center" vertical="center"/>
    </xf>
    <xf numFmtId="0" fontId="2" fillId="0" borderId="6" xfId="0" applyFont="1" applyBorder="1" applyAlignment="1" applyProtection="1">
      <alignment vertical="center"/>
      <protection locked="0"/>
    </xf>
    <xf numFmtId="8" fontId="101" fillId="9" borderId="215" xfId="0" applyNumberFormat="1" applyFont="1" applyFill="1" applyBorder="1" applyAlignment="1" applyProtection="1">
      <alignment horizontal="center" vertical="center"/>
      <protection hidden="1"/>
    </xf>
    <xf numFmtId="0" fontId="91" fillId="0" borderId="31" xfId="0" applyFont="1" applyBorder="1" applyAlignment="1">
      <alignment horizontal="center" vertical="center" wrapText="1"/>
    </xf>
    <xf numFmtId="0" fontId="91" fillId="0" borderId="28" xfId="0" applyFont="1" applyBorder="1" applyAlignment="1">
      <alignment horizontal="center" vertical="center" wrapText="1"/>
    </xf>
    <xf numFmtId="0" fontId="93" fillId="0" borderId="0" xfId="0" applyFont="1" applyAlignment="1">
      <alignment horizontal="center" vertical="center" wrapText="1"/>
    </xf>
    <xf numFmtId="0" fontId="91" fillId="0" borderId="0" xfId="0" applyFont="1" applyAlignment="1">
      <alignment horizontal="left" vertical="top" wrapText="1"/>
    </xf>
    <xf numFmtId="0" fontId="0" fillId="0" borderId="0" xfId="0" applyAlignment="1">
      <alignment horizontal="center"/>
    </xf>
    <xf numFmtId="0" fontId="88" fillId="0" borderId="0" xfId="0" applyFont="1" applyAlignment="1">
      <alignment horizontal="center"/>
    </xf>
    <xf numFmtId="0" fontId="108" fillId="4" borderId="2" xfId="0" applyFont="1" applyFill="1" applyBorder="1" applyAlignment="1">
      <alignment horizontal="center" vertical="center"/>
    </xf>
    <xf numFmtId="0" fontId="177" fillId="0" borderId="10" xfId="0" applyFont="1" applyBorder="1" applyAlignment="1">
      <alignment horizontal="center"/>
    </xf>
    <xf numFmtId="0" fontId="177" fillId="0" borderId="2" xfId="0" applyFont="1" applyBorder="1" applyAlignment="1">
      <alignment horizontal="center"/>
    </xf>
    <xf numFmtId="0" fontId="166" fillId="0" borderId="2" xfId="0" applyFont="1" applyBorder="1" applyAlignment="1">
      <alignment horizontal="center" vertical="center"/>
    </xf>
    <xf numFmtId="0" fontId="92" fillId="0" borderId="2" xfId="0" applyFont="1" applyBorder="1" applyAlignment="1">
      <alignment horizontal="center"/>
    </xf>
    <xf numFmtId="174" fontId="190" fillId="0" borderId="24" xfId="0" applyNumberFormat="1" applyFont="1" applyBorder="1" applyAlignment="1">
      <alignment horizontal="center" vertical="center"/>
    </xf>
    <xf numFmtId="174" fontId="190" fillId="0" borderId="21" xfId="0" applyNumberFormat="1" applyFont="1" applyBorder="1" applyAlignment="1">
      <alignment horizontal="center" vertical="center"/>
    </xf>
    <xf numFmtId="174" fontId="190" fillId="0" borderId="22" xfId="0" applyNumberFormat="1" applyFont="1" applyBorder="1" applyAlignment="1">
      <alignment horizontal="center" vertical="center"/>
    </xf>
    <xf numFmtId="174" fontId="190" fillId="0" borderId="4" xfId="0" applyNumberFormat="1" applyFont="1" applyBorder="1" applyAlignment="1">
      <alignment horizontal="center" vertical="center"/>
    </xf>
    <xf numFmtId="174" fontId="190" fillId="0" borderId="2" xfId="0" applyNumberFormat="1" applyFont="1" applyBorder="1" applyAlignment="1">
      <alignment horizontal="center" vertical="center"/>
    </xf>
    <xf numFmtId="174" fontId="190" fillId="0" borderId="3" xfId="0" applyNumberFormat="1" applyFont="1" applyBorder="1" applyAlignment="1">
      <alignment horizontal="center" vertical="center"/>
    </xf>
    <xf numFmtId="174" fontId="0" fillId="0" borderId="68" xfId="0" applyNumberFormat="1" applyBorder="1" applyAlignment="1">
      <alignment horizontal="center" vertical="center"/>
    </xf>
    <xf numFmtId="174" fontId="0" fillId="0" borderId="9" xfId="0" applyNumberFormat="1" applyBorder="1" applyAlignment="1">
      <alignment horizontal="center" vertical="center"/>
    </xf>
    <xf numFmtId="174" fontId="0" fillId="0" borderId="10" xfId="0" applyNumberFormat="1" applyBorder="1" applyAlignment="1">
      <alignment horizontal="center" vertical="center"/>
    </xf>
    <xf numFmtId="0" fontId="49" fillId="0" borderId="0" xfId="2" applyNumberFormat="1" applyFill="1" applyBorder="1" applyAlignment="1" applyProtection="1">
      <alignment horizontal="center"/>
    </xf>
    <xf numFmtId="0" fontId="213" fillId="0" borderId="0" xfId="0" applyFont="1" applyAlignment="1">
      <alignment horizontal="center"/>
    </xf>
    <xf numFmtId="0" fontId="108" fillId="0" borderId="0" xfId="0" applyFont="1" applyAlignment="1">
      <alignment horizontal="center"/>
    </xf>
    <xf numFmtId="0" fontId="102" fillId="0" borderId="0" xfId="0" applyFont="1" applyAlignment="1">
      <alignment horizontal="center"/>
    </xf>
    <xf numFmtId="0" fontId="82" fillId="0" borderId="79" xfId="0" applyFont="1" applyBorder="1" applyAlignment="1" applyProtection="1">
      <alignment horizontal="right" vertical="center"/>
      <protection hidden="1"/>
    </xf>
    <xf numFmtId="0" fontId="152" fillId="26" borderId="43" xfId="2" applyNumberFormat="1" applyFont="1" applyFill="1" applyBorder="1" applyAlignment="1" applyProtection="1">
      <alignment horizontal="center" vertical="center"/>
      <protection hidden="1"/>
    </xf>
    <xf numFmtId="0" fontId="152" fillId="26" borderId="44" xfId="2" applyNumberFormat="1" applyFont="1" applyFill="1" applyBorder="1" applyAlignment="1" applyProtection="1">
      <alignment horizontal="center" vertical="center"/>
      <protection hidden="1"/>
    </xf>
    <xf numFmtId="0" fontId="96" fillId="0" borderId="12" xfId="0" applyFont="1" applyBorder="1" applyAlignment="1">
      <alignment horizontal="center" vertical="center" wrapText="1"/>
    </xf>
    <xf numFmtId="0" fontId="96" fillId="0" borderId="12" xfId="0" applyFont="1" applyBorder="1" applyAlignment="1">
      <alignment horizontal="center" vertical="center"/>
    </xf>
    <xf numFmtId="0" fontId="96" fillId="0" borderId="108" xfId="0" applyFont="1" applyBorder="1" applyAlignment="1">
      <alignment horizontal="center" vertical="center"/>
    </xf>
    <xf numFmtId="0" fontId="151" fillId="0" borderId="0" xfId="2" applyNumberFormat="1" applyFont="1" applyFill="1" applyAlignment="1" applyProtection="1">
      <alignment horizontal="left" vertical="center"/>
    </xf>
    <xf numFmtId="0" fontId="130" fillId="0" borderId="0" xfId="2" applyNumberFormat="1" applyFont="1" applyFill="1" applyAlignment="1" applyProtection="1">
      <alignment horizontal="left" vertical="center"/>
    </xf>
    <xf numFmtId="0" fontId="130" fillId="0" borderId="0" xfId="2" applyNumberFormat="1" applyFont="1" applyFill="1" applyBorder="1" applyAlignment="1" applyProtection="1">
      <alignment horizontal="left" vertical="center"/>
    </xf>
    <xf numFmtId="0" fontId="130" fillId="0" borderId="0" xfId="2" applyNumberFormat="1" applyFont="1" applyAlignment="1" applyProtection="1">
      <alignment horizontal="left" vertical="center"/>
    </xf>
    <xf numFmtId="0" fontId="130" fillId="0" borderId="0" xfId="2" applyNumberFormat="1" applyFont="1" applyBorder="1" applyAlignment="1" applyProtection="1">
      <alignment horizontal="left" vertical="center"/>
    </xf>
    <xf numFmtId="0" fontId="130" fillId="9" borderId="166" xfId="2" applyNumberFormat="1" applyFont="1" applyFill="1" applyBorder="1" applyAlignment="1" applyProtection="1">
      <alignment horizontal="center" vertical="center"/>
    </xf>
    <xf numFmtId="0" fontId="130" fillId="9" borderId="167" xfId="2" applyNumberFormat="1" applyFont="1" applyFill="1" applyBorder="1" applyAlignment="1" applyProtection="1">
      <alignment horizontal="center" vertical="center"/>
    </xf>
    <xf numFmtId="0" fontId="92" fillId="0" borderId="0" xfId="0" applyFont="1" applyAlignment="1">
      <alignment horizontal="center"/>
    </xf>
    <xf numFmtId="0" fontId="108" fillId="0" borderId="0" xfId="0" applyFont="1" applyAlignment="1">
      <alignment horizontal="left" vertical="center"/>
    </xf>
    <xf numFmtId="0" fontId="185" fillId="9" borderId="162" xfId="0" applyFont="1" applyFill="1" applyBorder="1" applyAlignment="1">
      <alignment horizontal="center" vertical="center"/>
    </xf>
    <xf numFmtId="0" fontId="185" fillId="9" borderId="163" xfId="0" applyFont="1" applyFill="1" applyBorder="1" applyAlignment="1">
      <alignment horizontal="center" vertical="center"/>
    </xf>
    <xf numFmtId="0" fontId="96" fillId="9" borderId="164" xfId="0" applyFont="1" applyFill="1" applyBorder="1" applyAlignment="1">
      <alignment horizontal="center" vertical="center" wrapText="1"/>
    </xf>
    <xf numFmtId="0" fontId="96" fillId="9" borderId="165" xfId="0" applyFont="1" applyFill="1" applyBorder="1" applyAlignment="1">
      <alignment horizontal="center" vertical="center" wrapText="1"/>
    </xf>
    <xf numFmtId="0" fontId="130" fillId="0" borderId="0" xfId="2" applyNumberFormat="1" applyFont="1" applyFill="1" applyAlignment="1" applyProtection="1">
      <alignment horizontal="left"/>
    </xf>
    <xf numFmtId="0" fontId="0" fillId="9" borderId="164" xfId="0" applyFill="1" applyBorder="1" applyAlignment="1">
      <alignment horizontal="center" wrapText="1"/>
    </xf>
    <xf numFmtId="0" fontId="0" fillId="9" borderId="165" xfId="0" applyFill="1" applyBorder="1" applyAlignment="1">
      <alignment horizontal="center" wrapText="1"/>
    </xf>
    <xf numFmtId="0" fontId="153" fillId="9" borderId="164" xfId="2" applyNumberFormat="1" applyFont="1" applyFill="1" applyBorder="1" applyAlignment="1" applyProtection="1">
      <alignment horizontal="center" vertical="center" wrapText="1"/>
    </xf>
    <xf numFmtId="0" fontId="0" fillId="9" borderId="164" xfId="0" applyFill="1" applyBorder="1" applyAlignment="1">
      <alignment horizontal="center" vertical="top" wrapText="1"/>
    </xf>
    <xf numFmtId="0" fontId="0" fillId="9" borderId="165" xfId="0" applyFill="1" applyBorder="1" applyAlignment="1">
      <alignment horizontal="center" vertical="top"/>
    </xf>
    <xf numFmtId="0" fontId="0" fillId="9" borderId="164" xfId="0" applyFill="1" applyBorder="1" applyAlignment="1">
      <alignment horizontal="center" vertical="top"/>
    </xf>
    <xf numFmtId="0" fontId="130" fillId="0" borderId="0" xfId="2" applyNumberFormat="1" applyFont="1" applyFill="1" applyAlignment="1" applyProtection="1">
      <alignment vertical="center"/>
    </xf>
    <xf numFmtId="0" fontId="153" fillId="0" borderId="0" xfId="2" applyNumberFormat="1" applyFont="1" applyFill="1" applyAlignment="1" applyProtection="1"/>
    <xf numFmtId="0" fontId="0" fillId="0" borderId="112" xfId="0" applyBorder="1" applyAlignment="1">
      <alignment horizontal="left" vertical="top" wrapText="1"/>
    </xf>
    <xf numFmtId="0" fontId="0" fillId="0" borderId="0" xfId="0" applyAlignment="1">
      <alignment horizontal="left" vertical="top" wrapText="1"/>
    </xf>
    <xf numFmtId="0" fontId="153" fillId="0" borderId="31" xfId="2" applyNumberFormat="1" applyFont="1" applyBorder="1" applyAlignment="1" applyProtection="1">
      <alignment horizontal="center" vertical="top"/>
    </xf>
    <xf numFmtId="0" fontId="153" fillId="0" borderId="28" xfId="2" applyNumberFormat="1" applyFont="1" applyBorder="1" applyAlignment="1" applyProtection="1">
      <alignment horizontal="center" vertical="top"/>
    </xf>
    <xf numFmtId="0" fontId="153" fillId="0" borderId="56" xfId="2" applyNumberFormat="1" applyFont="1" applyBorder="1" applyAlignment="1" applyProtection="1">
      <alignment horizontal="center" vertical="top"/>
    </xf>
    <xf numFmtId="0" fontId="130" fillId="0" borderId="0" xfId="2" applyNumberFormat="1" applyFont="1" applyAlignment="1" applyProtection="1">
      <alignment horizontal="left"/>
    </xf>
    <xf numFmtId="0" fontId="153" fillId="0" borderId="0" xfId="2" applyNumberFormat="1" applyFont="1" applyFill="1" applyAlignment="1" applyProtection="1">
      <alignment horizontal="center"/>
    </xf>
    <xf numFmtId="0" fontId="88" fillId="9" borderId="19" xfId="0" applyFont="1" applyFill="1" applyBorder="1" applyAlignment="1">
      <alignment horizontal="center" vertical="center" wrapText="1"/>
    </xf>
    <xf numFmtId="0" fontId="88" fillId="9" borderId="63" xfId="0" applyFont="1" applyFill="1" applyBorder="1" applyAlignment="1">
      <alignment horizontal="center" vertical="center"/>
    </xf>
    <xf numFmtId="0" fontId="88" fillId="9" borderId="78" xfId="0" applyFont="1" applyFill="1" applyBorder="1" applyAlignment="1">
      <alignment horizontal="center" vertical="center"/>
    </xf>
    <xf numFmtId="0" fontId="88" fillId="9" borderId="64" xfId="0" applyFont="1" applyFill="1" applyBorder="1" applyAlignment="1">
      <alignment horizontal="center" vertical="center"/>
    </xf>
    <xf numFmtId="0" fontId="88" fillId="9" borderId="2" xfId="0" applyFont="1" applyFill="1" applyBorder="1" applyAlignment="1">
      <alignment horizontal="center" vertical="center"/>
    </xf>
    <xf numFmtId="0" fontId="88" fillId="9" borderId="42" xfId="0" applyFont="1" applyFill="1" applyBorder="1" applyAlignment="1">
      <alignment horizontal="center" vertical="center"/>
    </xf>
    <xf numFmtId="0" fontId="88" fillId="9" borderId="112" xfId="0" applyFont="1" applyFill="1" applyBorder="1" applyAlignment="1">
      <alignment horizontal="center" vertical="center"/>
    </xf>
    <xf numFmtId="0" fontId="88" fillId="9" borderId="55" xfId="0" applyFont="1" applyFill="1" applyBorder="1" applyAlignment="1">
      <alignment horizontal="center" vertical="center"/>
    </xf>
    <xf numFmtId="0" fontId="212" fillId="9" borderId="42" xfId="0" applyFont="1" applyFill="1" applyBorder="1" applyAlignment="1" applyProtection="1">
      <alignment horizontal="center" vertical="center" wrapText="1"/>
      <protection hidden="1"/>
    </xf>
    <xf numFmtId="0" fontId="212" fillId="9" borderId="112" xfId="0" applyFont="1" applyFill="1" applyBorder="1" applyAlignment="1" applyProtection="1">
      <alignment horizontal="center" vertical="center" wrapText="1"/>
      <protection hidden="1"/>
    </xf>
    <xf numFmtId="0" fontId="212" fillId="9" borderId="55" xfId="0" applyFont="1" applyFill="1" applyBorder="1" applyAlignment="1" applyProtection="1">
      <alignment horizontal="center" vertical="center" wrapText="1"/>
      <protection hidden="1"/>
    </xf>
    <xf numFmtId="0" fontId="212" fillId="9" borderId="31" xfId="0" applyFont="1" applyFill="1" applyBorder="1" applyAlignment="1" applyProtection="1">
      <alignment horizontal="center" vertical="center" wrapText="1"/>
      <protection hidden="1"/>
    </xf>
    <xf numFmtId="0" fontId="212" fillId="9" borderId="28" xfId="0" applyFont="1" applyFill="1" applyBorder="1" applyAlignment="1" applyProtection="1">
      <alignment horizontal="center" vertical="center" wrapText="1"/>
      <protection hidden="1"/>
    </xf>
    <xf numFmtId="0" fontId="212" fillId="9" borderId="56" xfId="0" applyFont="1" applyFill="1" applyBorder="1" applyAlignment="1" applyProtection="1">
      <alignment horizontal="center" vertical="center" wrapText="1"/>
      <protection hidden="1"/>
    </xf>
    <xf numFmtId="0" fontId="27" fillId="0" borderId="12" xfId="0" applyFont="1" applyBorder="1" applyAlignment="1" applyProtection="1">
      <alignment horizontal="center" vertical="center"/>
      <protection locked="0"/>
    </xf>
    <xf numFmtId="0" fontId="29" fillId="0" borderId="12" xfId="0" applyFont="1" applyBorder="1" applyAlignment="1" applyProtection="1">
      <alignment horizontal="center" vertical="center"/>
      <protection locked="0"/>
    </xf>
    <xf numFmtId="0" fontId="29" fillId="0" borderId="130" xfId="0" applyFont="1" applyBorder="1" applyAlignment="1" applyProtection="1">
      <alignment horizontal="center" vertical="center"/>
      <protection locked="0"/>
    </xf>
    <xf numFmtId="0" fontId="88" fillId="9" borderId="175" xfId="0" applyFont="1" applyFill="1" applyBorder="1" applyAlignment="1" applyProtection="1">
      <alignment horizontal="right" vertical="center"/>
      <protection hidden="1"/>
    </xf>
    <xf numFmtId="0" fontId="88" fillId="9" borderId="2" xfId="0" applyFont="1" applyFill="1" applyBorder="1" applyAlignment="1" applyProtection="1">
      <alignment horizontal="right" vertical="center"/>
      <protection hidden="1"/>
    </xf>
    <xf numFmtId="0" fontId="196" fillId="0" borderId="175" xfId="0" applyFont="1" applyBorder="1" applyAlignment="1" applyProtection="1">
      <alignment horizontal="left" vertical="center"/>
      <protection locked="0"/>
    </xf>
    <xf numFmtId="0" fontId="196" fillId="0" borderId="2" xfId="0" applyFont="1" applyBorder="1" applyAlignment="1" applyProtection="1">
      <alignment horizontal="left" vertical="center"/>
      <protection locked="0"/>
    </xf>
    <xf numFmtId="0" fontId="196" fillId="0" borderId="129" xfId="0" applyFont="1" applyBorder="1" applyAlignment="1" applyProtection="1">
      <alignment horizontal="left" vertical="center"/>
      <protection locked="0"/>
    </xf>
    <xf numFmtId="0" fontId="196" fillId="0" borderId="182" xfId="0" applyFont="1" applyBorder="1" applyAlignment="1" applyProtection="1">
      <alignment horizontal="left" vertical="center"/>
      <protection locked="0"/>
    </xf>
    <xf numFmtId="0" fontId="196" fillId="0" borderId="130" xfId="0" applyFont="1" applyBorder="1" applyAlignment="1" applyProtection="1">
      <alignment horizontal="left" vertical="center"/>
      <protection locked="0"/>
    </xf>
    <xf numFmtId="0" fontId="196" fillId="0" borderId="131" xfId="0" applyFont="1" applyBorder="1" applyAlignment="1" applyProtection="1">
      <alignment horizontal="left" vertical="center"/>
      <protection locked="0"/>
    </xf>
    <xf numFmtId="0" fontId="133" fillId="0" borderId="175" xfId="0" applyFont="1" applyBorder="1" applyAlignment="1" applyProtection="1">
      <alignment horizontal="left" vertical="center"/>
      <protection locked="0"/>
    </xf>
    <xf numFmtId="0" fontId="0" fillId="9" borderId="130" xfId="0" applyFill="1" applyBorder="1" applyAlignment="1" applyProtection="1">
      <alignment horizontal="right" vertical="center"/>
      <protection hidden="1"/>
    </xf>
    <xf numFmtId="0" fontId="152" fillId="9" borderId="192" xfId="2" applyNumberFormat="1" applyFont="1" applyFill="1" applyBorder="1" applyAlignment="1" applyProtection="1">
      <alignment horizontal="center" vertical="center" wrapText="1"/>
      <protection hidden="1"/>
    </xf>
    <xf numFmtId="0" fontId="152" fillId="9" borderId="112" xfId="2" applyNumberFormat="1" applyFont="1" applyFill="1" applyBorder="1" applyAlignment="1" applyProtection="1">
      <alignment horizontal="center" vertical="center" wrapText="1"/>
      <protection hidden="1"/>
    </xf>
    <xf numFmtId="0" fontId="152" fillId="9" borderId="55" xfId="2" applyNumberFormat="1" applyFont="1" applyFill="1" applyBorder="1" applyAlignment="1" applyProtection="1">
      <alignment horizontal="center" vertical="center" wrapText="1"/>
      <protection hidden="1"/>
    </xf>
    <xf numFmtId="0" fontId="152" fillId="9" borderId="220" xfId="2" applyNumberFormat="1" applyFont="1" applyFill="1" applyBorder="1" applyAlignment="1" applyProtection="1">
      <alignment horizontal="center" vertical="center" wrapText="1"/>
      <protection hidden="1"/>
    </xf>
    <xf numFmtId="0" fontId="152" fillId="9" borderId="221" xfId="2" applyNumberFormat="1" applyFont="1" applyFill="1" applyBorder="1" applyAlignment="1" applyProtection="1">
      <alignment horizontal="center" vertical="center" wrapText="1"/>
      <protection hidden="1"/>
    </xf>
    <xf numFmtId="0" fontId="152" fillId="9" borderId="222" xfId="2" applyNumberFormat="1" applyFont="1" applyFill="1" applyBorder="1" applyAlignment="1" applyProtection="1">
      <alignment horizontal="center" vertical="center" wrapText="1"/>
      <protection hidden="1"/>
    </xf>
    <xf numFmtId="0" fontId="23" fillId="6" borderId="130" xfId="0" applyFont="1" applyFill="1" applyBorder="1" applyAlignment="1" applyProtection="1">
      <alignment horizontal="center" vertical="center"/>
      <protection locked="0"/>
    </xf>
    <xf numFmtId="0" fontId="29" fillId="6" borderId="130" xfId="0" applyFont="1" applyFill="1" applyBorder="1" applyAlignment="1" applyProtection="1">
      <alignment horizontal="center" vertical="center"/>
      <protection locked="0"/>
    </xf>
    <xf numFmtId="0" fontId="22" fillId="0" borderId="2" xfId="0" applyFont="1" applyBorder="1" applyAlignment="1" applyProtection="1">
      <alignment horizontal="center" vertical="center"/>
      <protection locked="0"/>
    </xf>
    <xf numFmtId="0" fontId="29" fillId="0" borderId="2" xfId="0" applyFont="1" applyBorder="1" applyAlignment="1" applyProtection="1">
      <alignment horizontal="center" vertical="center"/>
      <protection locked="0"/>
    </xf>
    <xf numFmtId="0" fontId="110" fillId="9" borderId="2" xfId="0" applyFont="1" applyFill="1" applyBorder="1" applyAlignment="1">
      <alignment horizontal="center" vertical="center" textRotation="90" wrapText="1"/>
    </xf>
    <xf numFmtId="0" fontId="110" fillId="9" borderId="10" xfId="0" applyFont="1" applyFill="1" applyBorder="1" applyAlignment="1">
      <alignment horizontal="center" vertical="center" textRotation="90" wrapText="1"/>
    </xf>
    <xf numFmtId="0" fontId="88" fillId="9" borderId="28" xfId="0" applyFont="1" applyFill="1" applyBorder="1" applyAlignment="1">
      <alignment horizontal="center"/>
    </xf>
    <xf numFmtId="0" fontId="88" fillId="9" borderId="0" xfId="0" applyFont="1" applyFill="1" applyAlignment="1">
      <alignment horizontal="center" vertical="center"/>
    </xf>
    <xf numFmtId="0" fontId="88" fillId="0" borderId="224" xfId="0" applyFont="1" applyBorder="1" applyAlignment="1" applyProtection="1">
      <alignment horizontal="right" vertical="center"/>
      <protection locked="0"/>
    </xf>
    <xf numFmtId="0" fontId="88" fillId="0" borderId="33" xfId="0" applyFont="1" applyBorder="1" applyAlignment="1" applyProtection="1">
      <alignment horizontal="right" vertical="center"/>
      <protection locked="0"/>
    </xf>
    <xf numFmtId="0" fontId="97" fillId="4" borderId="184" xfId="0" applyFont="1" applyFill="1" applyBorder="1" applyAlignment="1" applyProtection="1">
      <alignment horizontal="center" vertical="center"/>
      <protection hidden="1"/>
    </xf>
    <xf numFmtId="0" fontId="97" fillId="4" borderId="185" xfId="0" applyFont="1" applyFill="1" applyBorder="1" applyAlignment="1" applyProtection="1">
      <alignment horizontal="center" vertical="center"/>
      <protection hidden="1"/>
    </xf>
    <xf numFmtId="0" fontId="97" fillId="4" borderId="187" xfId="0" applyFont="1" applyFill="1" applyBorder="1" applyAlignment="1" applyProtection="1">
      <alignment horizontal="center" vertical="center"/>
      <protection hidden="1"/>
    </xf>
    <xf numFmtId="0" fontId="97" fillId="4" borderId="28" xfId="0" applyFont="1" applyFill="1" applyBorder="1" applyAlignment="1" applyProtection="1">
      <alignment horizontal="center" vertical="center"/>
      <protection hidden="1"/>
    </xf>
    <xf numFmtId="14" fontId="4" fillId="0" borderId="1" xfId="0" applyNumberFormat="1" applyFont="1" applyBorder="1" applyAlignment="1" applyProtection="1">
      <alignment horizontal="center" vertical="center"/>
      <protection locked="0"/>
    </xf>
    <xf numFmtId="14" fontId="25" fillId="0" borderId="9" xfId="0" applyNumberFormat="1" applyFont="1" applyBorder="1" applyAlignment="1" applyProtection="1">
      <alignment horizontal="center" vertical="center"/>
      <protection locked="0"/>
    </xf>
    <xf numFmtId="14" fontId="25" fillId="0" borderId="10" xfId="0" applyNumberFormat="1" applyFont="1" applyBorder="1" applyAlignment="1" applyProtection="1">
      <alignment horizontal="center" vertical="center"/>
      <protection locked="0"/>
    </xf>
    <xf numFmtId="0" fontId="4" fillId="0" borderId="1" xfId="0" applyFont="1" applyBorder="1" applyAlignment="1" applyProtection="1">
      <alignment horizontal="center" vertical="center"/>
      <protection locked="0"/>
    </xf>
    <xf numFmtId="0" fontId="25" fillId="0" borderId="9" xfId="0" applyFont="1" applyBorder="1" applyAlignment="1" applyProtection="1">
      <alignment horizontal="center" vertical="center"/>
      <protection locked="0"/>
    </xf>
    <xf numFmtId="0" fontId="25" fillId="0" borderId="10" xfId="0" applyFont="1" applyBorder="1" applyAlignment="1" applyProtection="1">
      <alignment horizontal="center" vertical="center"/>
      <protection locked="0"/>
    </xf>
    <xf numFmtId="0" fontId="96" fillId="18" borderId="2" xfId="0" applyFont="1" applyFill="1" applyBorder="1" applyAlignment="1" applyProtection="1">
      <alignment horizontal="left" vertical="center"/>
      <protection hidden="1"/>
    </xf>
    <xf numFmtId="0" fontId="88" fillId="9" borderId="153" xfId="0" applyFont="1" applyFill="1" applyBorder="1" applyAlignment="1" applyProtection="1">
      <alignment horizontal="right" vertical="center"/>
      <protection hidden="1"/>
    </xf>
    <xf numFmtId="0" fontId="88" fillId="9" borderId="12" xfId="0" applyFont="1" applyFill="1" applyBorder="1" applyAlignment="1" applyProtection="1">
      <alignment horizontal="right" vertical="center"/>
      <protection hidden="1"/>
    </xf>
    <xf numFmtId="0" fontId="0" fillId="9" borderId="108" xfId="0" applyFill="1" applyBorder="1" applyAlignment="1" applyProtection="1">
      <alignment horizontal="center" vertical="center" textRotation="90" wrapText="1"/>
      <protection hidden="1"/>
    </xf>
    <xf numFmtId="0" fontId="97" fillId="4" borderId="108" xfId="0" applyFont="1" applyFill="1" applyBorder="1" applyAlignment="1">
      <alignment horizontal="center"/>
    </xf>
    <xf numFmtId="0" fontId="97" fillId="4" borderId="214" xfId="0" applyFont="1" applyFill="1" applyBorder="1" applyAlignment="1">
      <alignment horizontal="center"/>
    </xf>
    <xf numFmtId="0" fontId="88" fillId="0" borderId="1" xfId="0" applyFont="1" applyBorder="1" applyAlignment="1" applyProtection="1">
      <alignment horizontal="center" vertical="center"/>
      <protection locked="0"/>
    </xf>
    <xf numFmtId="0" fontId="88" fillId="0" borderId="9" xfId="0" applyFont="1" applyBorder="1" applyAlignment="1" applyProtection="1">
      <alignment horizontal="center" vertical="center"/>
      <protection locked="0"/>
    </xf>
    <xf numFmtId="0" fontId="88" fillId="0" borderId="10" xfId="0" applyFont="1" applyBorder="1" applyAlignment="1" applyProtection="1">
      <alignment horizontal="center" vertical="center"/>
      <protection locked="0"/>
    </xf>
    <xf numFmtId="190" fontId="101" fillId="0" borderId="2" xfId="0" applyNumberFormat="1" applyFont="1" applyBorder="1" applyAlignment="1" applyProtection="1">
      <alignment horizontal="center" vertical="center"/>
      <protection locked="0"/>
    </xf>
    <xf numFmtId="0" fontId="96" fillId="28" borderId="183" xfId="0" applyFont="1" applyFill="1" applyBorder="1" applyAlignment="1" applyProtection="1">
      <alignment horizontal="center" vertical="center"/>
      <protection hidden="1"/>
    </xf>
    <xf numFmtId="0" fontId="96" fillId="28" borderId="176" xfId="0" applyFont="1" applyFill="1" applyBorder="1" applyAlignment="1" applyProtection="1">
      <alignment horizontal="center" vertical="center"/>
      <protection hidden="1"/>
    </xf>
    <xf numFmtId="0" fontId="96" fillId="28" borderId="177" xfId="0" applyFont="1" applyFill="1" applyBorder="1" applyAlignment="1" applyProtection="1">
      <alignment horizontal="center" vertical="center"/>
      <protection hidden="1"/>
    </xf>
    <xf numFmtId="197" fontId="101" fillId="0" borderId="1" xfId="0" applyNumberFormat="1" applyFont="1" applyBorder="1" applyAlignment="1" applyProtection="1">
      <alignment horizontal="center" vertical="center"/>
      <protection locked="0"/>
    </xf>
    <xf numFmtId="197" fontId="101" fillId="0" borderId="145" xfId="0" applyNumberFormat="1" applyFont="1" applyBorder="1" applyAlignment="1" applyProtection="1">
      <alignment horizontal="center" vertical="center"/>
      <protection locked="0"/>
    </xf>
    <xf numFmtId="0" fontId="96" fillId="4" borderId="228" xfId="0" applyFont="1" applyFill="1" applyBorder="1" applyAlignment="1" applyProtection="1">
      <alignment horizontal="left" vertical="center"/>
      <protection hidden="1"/>
    </xf>
    <xf numFmtId="0" fontId="96" fillId="4" borderId="176" xfId="0" applyFont="1" applyFill="1" applyBorder="1" applyAlignment="1" applyProtection="1">
      <alignment horizontal="left" vertical="center"/>
      <protection hidden="1"/>
    </xf>
    <xf numFmtId="0" fontId="96" fillId="4" borderId="193" xfId="0" applyFont="1" applyFill="1" applyBorder="1" applyAlignment="1" applyProtection="1">
      <alignment horizontal="left" vertical="center"/>
      <protection hidden="1"/>
    </xf>
    <xf numFmtId="0" fontId="88" fillId="9" borderId="169" xfId="0" applyFont="1" applyFill="1" applyBorder="1" applyAlignment="1" applyProtection="1">
      <alignment horizontal="center" vertical="center"/>
      <protection hidden="1"/>
    </xf>
    <xf numFmtId="0" fontId="88" fillId="9" borderId="10" xfId="0" applyFont="1" applyFill="1" applyBorder="1" applyAlignment="1" applyProtection="1">
      <alignment horizontal="center" vertical="center"/>
      <protection hidden="1"/>
    </xf>
    <xf numFmtId="0" fontId="88" fillId="9" borderId="1" xfId="0" applyFont="1" applyFill="1" applyBorder="1" applyAlignment="1" applyProtection="1">
      <alignment horizontal="right" vertical="center"/>
      <protection hidden="1"/>
    </xf>
    <xf numFmtId="0" fontId="88" fillId="9" borderId="9" xfId="0" applyFont="1" applyFill="1" applyBorder="1" applyAlignment="1" applyProtection="1">
      <alignment horizontal="right" vertical="center"/>
      <protection hidden="1"/>
    </xf>
    <xf numFmtId="0" fontId="88" fillId="9" borderId="10" xfId="0" applyFont="1" applyFill="1" applyBorder="1" applyAlignment="1" applyProtection="1">
      <alignment horizontal="right" vertical="center"/>
      <protection hidden="1"/>
    </xf>
    <xf numFmtId="0" fontId="86" fillId="9" borderId="228" xfId="0" applyFont="1" applyFill="1" applyBorder="1" applyAlignment="1" applyProtection="1">
      <alignment horizontal="center" vertical="center" wrapText="1"/>
      <protection hidden="1"/>
    </xf>
    <xf numFmtId="0" fontId="86" fillId="9" borderId="176" xfId="0" applyFont="1" applyFill="1" applyBorder="1" applyAlignment="1" applyProtection="1">
      <alignment horizontal="center" vertical="center" wrapText="1"/>
      <protection hidden="1"/>
    </xf>
    <xf numFmtId="0" fontId="86" fillId="9" borderId="177" xfId="0" applyFont="1" applyFill="1" applyBorder="1" applyAlignment="1" applyProtection="1">
      <alignment horizontal="center" vertical="center" wrapText="1"/>
      <protection hidden="1"/>
    </xf>
    <xf numFmtId="0" fontId="88" fillId="4" borderId="185" xfId="0" applyFont="1" applyFill="1" applyBorder="1" applyAlignment="1" applyProtection="1">
      <alignment horizontal="center" vertical="center" wrapText="1"/>
      <protection hidden="1"/>
    </xf>
    <xf numFmtId="0" fontId="88" fillId="4" borderId="216" xfId="0" applyFont="1" applyFill="1" applyBorder="1" applyAlignment="1" applyProtection="1">
      <alignment horizontal="center" vertical="center" wrapText="1"/>
      <protection hidden="1"/>
    </xf>
    <xf numFmtId="0" fontId="88" fillId="4" borderId="28" xfId="0" applyFont="1" applyFill="1" applyBorder="1" applyAlignment="1" applyProtection="1">
      <alignment horizontal="center" vertical="center" wrapText="1"/>
      <protection hidden="1"/>
    </xf>
    <xf numFmtId="0" fontId="88" fillId="4" borderId="56" xfId="0" applyFont="1" applyFill="1" applyBorder="1" applyAlignment="1" applyProtection="1">
      <alignment horizontal="center" vertical="center" wrapText="1"/>
      <protection hidden="1"/>
    </xf>
    <xf numFmtId="190" fontId="91" fillId="4" borderId="0" xfId="3" applyNumberFormat="1" applyFont="1" applyFill="1" applyBorder="1" applyAlignment="1" applyProtection="1">
      <alignment horizontal="center" vertical="center"/>
    </xf>
    <xf numFmtId="0" fontId="88" fillId="9" borderId="185" xfId="0" applyFont="1" applyFill="1" applyBorder="1" applyAlignment="1">
      <alignment horizontal="center" vertical="center"/>
    </xf>
    <xf numFmtId="0" fontId="198" fillId="9" borderId="229" xfId="0" applyFont="1" applyFill="1" applyBorder="1" applyAlignment="1">
      <alignment horizontal="center" wrapText="1"/>
    </xf>
    <xf numFmtId="0" fontId="198" fillId="9" borderId="23" xfId="0" applyFont="1" applyFill="1" applyBorder="1" applyAlignment="1">
      <alignment horizontal="center" wrapText="1"/>
    </xf>
    <xf numFmtId="0" fontId="198" fillId="9" borderId="230" xfId="0" applyFont="1" applyFill="1" applyBorder="1" applyAlignment="1">
      <alignment horizontal="center" wrapText="1"/>
    </xf>
    <xf numFmtId="0" fontId="198" fillId="9" borderId="190" xfId="0" applyFont="1" applyFill="1" applyBorder="1" applyAlignment="1">
      <alignment horizontal="center" wrapText="1"/>
    </xf>
    <xf numFmtId="0" fontId="198" fillId="9" borderId="0" xfId="0" applyFont="1" applyFill="1" applyAlignment="1">
      <alignment horizontal="center" wrapText="1"/>
    </xf>
    <xf numFmtId="0" fontId="198" fillId="9" borderId="152" xfId="0" applyFont="1" applyFill="1" applyBorder="1" applyAlignment="1">
      <alignment horizontal="center" wrapText="1"/>
    </xf>
    <xf numFmtId="0" fontId="28" fillId="9" borderId="41" xfId="0" applyFont="1" applyFill="1" applyBorder="1" applyAlignment="1" applyProtection="1">
      <alignment horizontal="center" vertical="center"/>
      <protection hidden="1"/>
    </xf>
    <xf numFmtId="0" fontId="88" fillId="9" borderId="112" xfId="0" applyFont="1" applyFill="1" applyBorder="1" applyAlignment="1">
      <alignment horizontal="center" vertical="center" wrapText="1"/>
    </xf>
    <xf numFmtId="0" fontId="88" fillId="9" borderId="0" xfId="0" applyFont="1" applyFill="1" applyAlignment="1">
      <alignment horizontal="center" vertical="center" wrapText="1"/>
    </xf>
    <xf numFmtId="0" fontId="88" fillId="9" borderId="28" xfId="0" applyFont="1" applyFill="1" applyBorder="1" applyAlignment="1">
      <alignment horizontal="center" vertical="center" wrapText="1"/>
    </xf>
    <xf numFmtId="0" fontId="88" fillId="0" borderId="175" xfId="0" applyFont="1" applyBorder="1" applyAlignment="1" applyProtection="1">
      <alignment horizontal="right" vertical="center"/>
      <protection locked="0"/>
    </xf>
    <xf numFmtId="0" fontId="88" fillId="0" borderId="2" xfId="0" applyFont="1" applyBorder="1" applyAlignment="1" applyProtection="1">
      <alignment horizontal="right" vertical="center"/>
      <protection locked="0"/>
    </xf>
    <xf numFmtId="0" fontId="23" fillId="6" borderId="2" xfId="0" applyFont="1" applyFill="1" applyBorder="1" applyAlignment="1" applyProtection="1">
      <alignment horizontal="center" vertical="center"/>
      <protection locked="0"/>
    </xf>
    <xf numFmtId="0" fontId="29" fillId="6" borderId="2" xfId="0" applyFont="1" applyFill="1" applyBorder="1" applyAlignment="1" applyProtection="1">
      <alignment horizontal="center" vertical="center"/>
      <protection locked="0"/>
    </xf>
    <xf numFmtId="0" fontId="76" fillId="9" borderId="185" xfId="2" applyNumberFormat="1" applyFont="1" applyFill="1" applyBorder="1" applyAlignment="1" applyProtection="1">
      <alignment horizontal="center" vertical="center"/>
    </xf>
    <xf numFmtId="0" fontId="88" fillId="9" borderId="43" xfId="0" applyFont="1" applyFill="1" applyBorder="1" applyAlignment="1">
      <alignment horizontal="center" vertical="center"/>
    </xf>
    <xf numFmtId="0" fontId="88" fillId="9" borderId="23" xfId="0" applyFont="1" applyFill="1" applyBorder="1" applyAlignment="1">
      <alignment horizontal="center" vertical="center"/>
    </xf>
    <xf numFmtId="0" fontId="88" fillId="9" borderId="44" xfId="0" applyFont="1" applyFill="1" applyBorder="1" applyAlignment="1">
      <alignment horizontal="center" vertical="center"/>
    </xf>
    <xf numFmtId="0" fontId="88" fillId="9" borderId="176" xfId="0" applyFont="1" applyFill="1" applyBorder="1" applyAlignment="1">
      <alignment horizontal="right" vertical="center"/>
    </xf>
    <xf numFmtId="0" fontId="88" fillId="9" borderId="193" xfId="0" applyFont="1" applyFill="1" applyBorder="1" applyAlignment="1">
      <alignment horizontal="right" vertical="center"/>
    </xf>
    <xf numFmtId="0" fontId="198" fillId="9" borderId="190" xfId="0" applyFont="1" applyFill="1" applyBorder="1" applyAlignment="1">
      <alignment horizontal="center" vertical="center" wrapText="1"/>
    </xf>
    <xf numFmtId="0" fontId="198" fillId="9" borderId="0" xfId="0" applyFont="1" applyFill="1" applyAlignment="1">
      <alignment horizontal="center" vertical="center" wrapText="1"/>
    </xf>
    <xf numFmtId="0" fontId="198" fillId="9" borderId="152" xfId="0" applyFont="1" applyFill="1" applyBorder="1" applyAlignment="1">
      <alignment horizontal="center" vertical="center" wrapText="1"/>
    </xf>
    <xf numFmtId="8" fontId="92" fillId="9" borderId="185" xfId="0" applyNumberFormat="1" applyFont="1" applyFill="1" applyBorder="1" applyAlignment="1">
      <alignment horizontal="center" vertical="center"/>
    </xf>
    <xf numFmtId="0" fontId="0" fillId="9" borderId="2" xfId="0" applyFill="1" applyBorder="1" applyAlignment="1" applyProtection="1">
      <alignment horizontal="right" vertical="center"/>
      <protection hidden="1"/>
    </xf>
    <xf numFmtId="0" fontId="96" fillId="4" borderId="154" xfId="0" applyFont="1" applyFill="1" applyBorder="1" applyAlignment="1" applyProtection="1">
      <alignment horizontal="left" vertical="center"/>
      <protection hidden="1"/>
    </xf>
    <xf numFmtId="0" fontId="96" fillId="4" borderId="41" xfId="0" applyFont="1" applyFill="1" applyBorder="1" applyAlignment="1" applyProtection="1">
      <alignment horizontal="left" vertical="center"/>
      <protection hidden="1"/>
    </xf>
    <xf numFmtId="0" fontId="88" fillId="9" borderId="1" xfId="0" applyFont="1" applyFill="1" applyBorder="1" applyAlignment="1">
      <alignment horizontal="center" vertical="center"/>
    </xf>
    <xf numFmtId="0" fontId="86" fillId="10" borderId="229" xfId="0" applyFont="1" applyFill="1" applyBorder="1" applyAlignment="1" applyProtection="1">
      <alignment horizontal="center" vertical="center" wrapText="1"/>
      <protection hidden="1"/>
    </xf>
    <xf numFmtId="0" fontId="86" fillId="10" borderId="23" xfId="0" applyFont="1" applyFill="1" applyBorder="1" applyAlignment="1" applyProtection="1">
      <alignment horizontal="center" vertical="center" wrapText="1"/>
      <protection hidden="1"/>
    </xf>
    <xf numFmtId="0" fontId="86" fillId="10" borderId="230" xfId="0" applyFont="1" applyFill="1" applyBorder="1" applyAlignment="1" applyProtection="1">
      <alignment horizontal="center" vertical="center" wrapText="1"/>
      <protection hidden="1"/>
    </xf>
    <xf numFmtId="0" fontId="86" fillId="10" borderId="187" xfId="0" applyFont="1" applyFill="1" applyBorder="1" applyAlignment="1" applyProtection="1">
      <alignment horizontal="center" vertical="center" wrapText="1"/>
      <protection hidden="1"/>
    </xf>
    <xf numFmtId="0" fontId="86" fillId="10" borderId="28" xfId="0" applyFont="1" applyFill="1" applyBorder="1" applyAlignment="1" applyProtection="1">
      <alignment horizontal="center" vertical="center" wrapText="1"/>
      <protection hidden="1"/>
    </xf>
    <xf numFmtId="0" fontId="86" fillId="10" borderId="179" xfId="0" applyFont="1" applyFill="1" applyBorder="1" applyAlignment="1" applyProtection="1">
      <alignment horizontal="center" vertical="center" wrapText="1"/>
      <protection hidden="1"/>
    </xf>
    <xf numFmtId="0" fontId="88" fillId="9" borderId="154" xfId="0" applyFont="1" applyFill="1" applyBorder="1" applyAlignment="1" applyProtection="1">
      <alignment horizontal="center" vertical="center" textRotation="180" wrapText="1"/>
      <protection hidden="1"/>
    </xf>
    <xf numFmtId="0" fontId="88" fillId="9" borderId="175" xfId="0" applyFont="1" applyFill="1" applyBorder="1" applyAlignment="1" applyProtection="1">
      <alignment horizontal="center" vertical="center" textRotation="180" wrapText="1"/>
      <protection hidden="1"/>
    </xf>
    <xf numFmtId="197" fontId="101" fillId="0" borderId="10" xfId="0" applyNumberFormat="1" applyFont="1" applyBorder="1" applyAlignment="1" applyProtection="1">
      <alignment horizontal="center" vertical="center"/>
      <protection locked="0"/>
    </xf>
    <xf numFmtId="8" fontId="0" fillId="9" borderId="153" xfId="3" applyNumberFormat="1" applyFont="1" applyFill="1" applyBorder="1" applyAlignment="1" applyProtection="1">
      <alignment horizontal="center" vertical="center" textRotation="90" wrapText="1"/>
      <protection hidden="1"/>
    </xf>
    <xf numFmtId="8" fontId="0" fillId="9" borderId="227" xfId="3" applyNumberFormat="1" applyFont="1" applyFill="1" applyBorder="1" applyAlignment="1" applyProtection="1">
      <alignment horizontal="center" vertical="center" textRotation="90" wrapText="1"/>
      <protection hidden="1"/>
    </xf>
    <xf numFmtId="8" fontId="0" fillId="9" borderId="154" xfId="3" applyNumberFormat="1" applyFont="1" applyFill="1" applyBorder="1" applyAlignment="1" applyProtection="1">
      <alignment horizontal="center" vertical="center" textRotation="90" wrapText="1"/>
      <protection hidden="1"/>
    </xf>
    <xf numFmtId="166" fontId="0" fillId="9" borderId="12" xfId="0" applyNumberFormat="1" applyFill="1" applyBorder="1" applyAlignment="1" applyProtection="1">
      <alignment horizontal="center" vertical="center" textRotation="90" wrapText="1"/>
      <protection hidden="1"/>
    </xf>
    <xf numFmtId="166" fontId="0" fillId="9" borderId="108" xfId="0" applyNumberFormat="1" applyFill="1" applyBorder="1" applyAlignment="1" applyProtection="1">
      <alignment horizontal="center" vertical="center" textRotation="90" wrapText="1"/>
      <protection hidden="1"/>
    </xf>
    <xf numFmtId="166" fontId="0" fillId="9" borderId="41" xfId="0" applyNumberFormat="1" applyFill="1" applyBorder="1" applyAlignment="1" applyProtection="1">
      <alignment horizontal="center" vertical="center" textRotation="90" wrapText="1"/>
      <protection hidden="1"/>
    </xf>
    <xf numFmtId="0" fontId="86" fillId="10" borderId="225" xfId="0" applyFont="1" applyFill="1" applyBorder="1" applyAlignment="1">
      <alignment horizontal="center" vertical="center"/>
    </xf>
    <xf numFmtId="0" fontId="86" fillId="10" borderId="79" xfId="0" applyFont="1" applyFill="1" applyBorder="1" applyAlignment="1">
      <alignment horizontal="center" vertical="center"/>
    </xf>
    <xf numFmtId="0" fontId="86" fillId="10" borderId="168" xfId="0" applyFont="1" applyFill="1" applyBorder="1" applyAlignment="1">
      <alignment horizontal="center" vertical="center"/>
    </xf>
    <xf numFmtId="0" fontId="86" fillId="9" borderId="229" xfId="0" applyFont="1" applyFill="1" applyBorder="1" applyAlignment="1" applyProtection="1">
      <alignment horizontal="center" vertical="center" wrapText="1"/>
      <protection hidden="1"/>
    </xf>
    <xf numFmtId="0" fontId="86" fillId="9" borderId="84" xfId="0" applyFont="1" applyFill="1" applyBorder="1" applyAlignment="1" applyProtection="1">
      <alignment horizontal="center" vertical="center" wrapText="1"/>
      <protection hidden="1"/>
    </xf>
    <xf numFmtId="0" fontId="86" fillId="9" borderId="190" xfId="0" applyFont="1" applyFill="1" applyBorder="1" applyAlignment="1" applyProtection="1">
      <alignment horizontal="center" vertical="center" wrapText="1"/>
      <protection hidden="1"/>
    </xf>
    <xf numFmtId="0" fontId="86" fillId="9" borderId="99" xfId="0" applyFont="1" applyFill="1" applyBorder="1" applyAlignment="1" applyProtection="1">
      <alignment horizontal="center" vertical="center" wrapText="1"/>
      <protection hidden="1"/>
    </xf>
    <xf numFmtId="0" fontId="86" fillId="9" borderId="210" xfId="0" applyFont="1" applyFill="1" applyBorder="1" applyAlignment="1" applyProtection="1">
      <alignment horizontal="center" vertical="center" wrapText="1"/>
      <protection hidden="1"/>
    </xf>
    <xf numFmtId="0" fontId="86" fillId="9" borderId="74" xfId="0" applyFont="1" applyFill="1" applyBorder="1" applyAlignment="1" applyProtection="1">
      <alignment horizontal="center" vertical="center" wrapText="1"/>
      <protection hidden="1"/>
    </xf>
    <xf numFmtId="0" fontId="86" fillId="10" borderId="229" xfId="0" applyFont="1" applyFill="1" applyBorder="1" applyAlignment="1" applyProtection="1">
      <alignment horizontal="center" vertical="center"/>
      <protection hidden="1"/>
    </xf>
    <xf numFmtId="0" fontId="86" fillId="10" borderId="23" xfId="0" applyFont="1" applyFill="1" applyBorder="1" applyAlignment="1" applyProtection="1">
      <alignment horizontal="center" vertical="center"/>
      <protection hidden="1"/>
    </xf>
    <xf numFmtId="0" fontId="86" fillId="10" borderId="230" xfId="0" applyFont="1" applyFill="1" applyBorder="1" applyAlignment="1" applyProtection="1">
      <alignment horizontal="center" vertical="center"/>
      <protection hidden="1"/>
    </xf>
    <xf numFmtId="0" fontId="88" fillId="9" borderId="41" xfId="0" applyFont="1" applyFill="1" applyBorder="1" applyAlignment="1" applyProtection="1">
      <alignment horizontal="center" vertical="center" textRotation="180" wrapText="1"/>
      <protection hidden="1"/>
    </xf>
    <xf numFmtId="0" fontId="88" fillId="9" borderId="2" xfId="0" applyFont="1" applyFill="1" applyBorder="1" applyAlignment="1" applyProtection="1">
      <alignment horizontal="center" vertical="center" textRotation="180" wrapText="1"/>
      <protection hidden="1"/>
    </xf>
    <xf numFmtId="0" fontId="88" fillId="9" borderId="0" xfId="0" applyFont="1" applyFill="1" applyAlignment="1" applyProtection="1">
      <alignment horizontal="center" vertical="center" wrapText="1"/>
      <protection locked="0"/>
    </xf>
    <xf numFmtId="0" fontId="88" fillId="9" borderId="99" xfId="0" applyFont="1" applyFill="1" applyBorder="1" applyAlignment="1">
      <alignment horizontal="center" vertical="center" wrapText="1"/>
    </xf>
    <xf numFmtId="0" fontId="98" fillId="9" borderId="182" xfId="0" applyFont="1" applyFill="1" applyBorder="1" applyAlignment="1">
      <alignment horizontal="right" vertical="top" wrapText="1"/>
    </xf>
    <xf numFmtId="0" fontId="98" fillId="9" borderId="130" xfId="0" applyFont="1" applyFill="1" applyBorder="1" applyAlignment="1">
      <alignment horizontal="right" vertical="top" wrapText="1"/>
    </xf>
    <xf numFmtId="0" fontId="49" fillId="9" borderId="175" xfId="2" applyNumberFormat="1" applyFill="1" applyBorder="1" applyAlignment="1" applyProtection="1">
      <alignment horizontal="center" vertical="center"/>
      <protection hidden="1"/>
    </xf>
    <xf numFmtId="0" fontId="49" fillId="9" borderId="2" xfId="2" applyNumberFormat="1" applyFill="1" applyBorder="1" applyAlignment="1" applyProtection="1">
      <alignment horizontal="center" vertical="center"/>
      <protection hidden="1"/>
    </xf>
    <xf numFmtId="0" fontId="88" fillId="9" borderId="144" xfId="0" applyFont="1" applyFill="1" applyBorder="1" applyAlignment="1" applyProtection="1">
      <alignment horizontal="center" vertical="center" textRotation="180" wrapText="1"/>
      <protection hidden="1"/>
    </xf>
    <xf numFmtId="0" fontId="88" fillId="9" borderId="129" xfId="0" applyFont="1" applyFill="1" applyBorder="1" applyAlignment="1" applyProtection="1">
      <alignment horizontal="center" vertical="center" textRotation="180" wrapText="1"/>
      <protection hidden="1"/>
    </xf>
    <xf numFmtId="0" fontId="24" fillId="9" borderId="41" xfId="0" applyFont="1" applyFill="1" applyBorder="1" applyAlignment="1" applyProtection="1">
      <alignment horizontal="center" vertical="center" textRotation="90" wrapText="1"/>
      <protection hidden="1"/>
    </xf>
    <xf numFmtId="0" fontId="27" fillId="9" borderId="2" xfId="0" applyFont="1" applyFill="1" applyBorder="1" applyAlignment="1" applyProtection="1">
      <alignment horizontal="center" vertical="center" textRotation="90" wrapText="1"/>
      <protection hidden="1"/>
    </xf>
    <xf numFmtId="0" fontId="196" fillId="9" borderId="41" xfId="0" applyFont="1" applyFill="1" applyBorder="1" applyAlignment="1" applyProtection="1">
      <alignment horizontal="center" vertical="center" textRotation="90" wrapText="1"/>
      <protection hidden="1"/>
    </xf>
    <xf numFmtId="0" fontId="196" fillId="9" borderId="2" xfId="0" applyFont="1" applyFill="1" applyBorder="1" applyAlignment="1" applyProtection="1">
      <alignment horizontal="center" vertical="center" textRotation="90" wrapText="1"/>
      <protection hidden="1"/>
    </xf>
    <xf numFmtId="0" fontId="88" fillId="9" borderId="2" xfId="0" applyFont="1" applyFill="1" applyBorder="1" applyAlignment="1">
      <alignment horizontal="center" vertical="center" wrapText="1"/>
    </xf>
    <xf numFmtId="0" fontId="102" fillId="9" borderId="0" xfId="0" applyFont="1" applyFill="1" applyAlignment="1">
      <alignment horizontal="center" vertical="center"/>
    </xf>
    <xf numFmtId="0" fontId="92" fillId="9" borderId="152" xfId="0" applyFont="1" applyFill="1" applyBorder="1" applyAlignment="1">
      <alignment horizontal="center" vertical="center" textRotation="90"/>
    </xf>
    <xf numFmtId="0" fontId="98" fillId="9" borderId="172" xfId="0" applyFont="1" applyFill="1" applyBorder="1" applyAlignment="1">
      <alignment horizontal="right" vertical="top"/>
    </xf>
    <xf numFmtId="0" fontId="98" fillId="9" borderId="173" xfId="0" applyFont="1" applyFill="1" applyBorder="1" applyAlignment="1">
      <alignment horizontal="right" vertical="top"/>
    </xf>
    <xf numFmtId="0" fontId="90" fillId="9" borderId="190" xfId="0" applyFont="1" applyFill="1" applyBorder="1" applyAlignment="1" applyProtection="1">
      <alignment horizontal="center" wrapText="1"/>
      <protection hidden="1"/>
    </xf>
    <xf numFmtId="0" fontId="90" fillId="9" borderId="0" xfId="0" applyFont="1" applyFill="1" applyAlignment="1" applyProtection="1">
      <alignment horizontal="center" wrapText="1"/>
      <protection hidden="1"/>
    </xf>
    <xf numFmtId="0" fontId="90" fillId="9" borderId="152" xfId="0" applyFont="1" applyFill="1" applyBorder="1" applyAlignment="1" applyProtection="1">
      <alignment horizontal="center" wrapText="1"/>
      <protection hidden="1"/>
    </xf>
    <xf numFmtId="0" fontId="90" fillId="9" borderId="187" xfId="0" applyFont="1" applyFill="1" applyBorder="1" applyAlignment="1" applyProtection="1">
      <alignment horizontal="center" wrapText="1"/>
      <protection hidden="1"/>
    </xf>
    <xf numFmtId="0" fontId="90" fillId="9" borderId="28" xfId="0" applyFont="1" applyFill="1" applyBorder="1" applyAlignment="1" applyProtection="1">
      <alignment horizontal="center" wrapText="1"/>
      <protection hidden="1"/>
    </xf>
    <xf numFmtId="0" fontId="90" fillId="9" borderId="179" xfId="0" applyFont="1" applyFill="1" applyBorder="1" applyAlignment="1" applyProtection="1">
      <alignment horizontal="center" wrapText="1"/>
      <protection hidden="1"/>
    </xf>
    <xf numFmtId="0" fontId="27" fillId="9" borderId="41" xfId="0" applyFont="1" applyFill="1" applyBorder="1" applyAlignment="1" applyProtection="1">
      <alignment horizontal="center" vertical="center" textRotation="90" wrapText="1"/>
      <protection hidden="1"/>
    </xf>
    <xf numFmtId="0" fontId="92" fillId="9" borderId="181" xfId="0" applyFont="1" applyFill="1" applyBorder="1" applyAlignment="1">
      <alignment horizontal="right" vertical="center"/>
    </xf>
    <xf numFmtId="0" fontId="92" fillId="9" borderId="215" xfId="0" applyFont="1" applyFill="1" applyBorder="1" applyAlignment="1">
      <alignment horizontal="right" vertical="center"/>
    </xf>
    <xf numFmtId="0" fontId="92" fillId="9" borderId="184" xfId="0" applyFont="1" applyFill="1" applyBorder="1" applyAlignment="1">
      <alignment horizontal="right" vertical="center" wrapText="1"/>
    </xf>
    <xf numFmtId="0" fontId="92" fillId="9" borderId="185" xfId="0" applyFont="1" applyFill="1" applyBorder="1" applyAlignment="1">
      <alignment horizontal="right" vertical="center" wrapText="1"/>
    </xf>
    <xf numFmtId="0" fontId="92" fillId="9" borderId="216" xfId="0" applyFont="1" applyFill="1" applyBorder="1" applyAlignment="1">
      <alignment horizontal="right" vertical="center" wrapText="1"/>
    </xf>
    <xf numFmtId="0" fontId="92" fillId="9" borderId="217" xfId="0" applyFont="1" applyFill="1" applyBorder="1" applyAlignment="1">
      <alignment horizontal="right" vertical="center" wrapText="1"/>
    </xf>
    <xf numFmtId="0" fontId="92" fillId="9" borderId="189" xfId="0" applyFont="1" applyFill="1" applyBorder="1" applyAlignment="1">
      <alignment horizontal="right" vertical="center" wrapText="1"/>
    </xf>
    <xf numFmtId="0" fontId="92" fillId="9" borderId="218" xfId="0" applyFont="1" applyFill="1" applyBorder="1" applyAlignment="1">
      <alignment horizontal="right" vertical="center" wrapText="1"/>
    </xf>
    <xf numFmtId="8" fontId="88" fillId="4" borderId="28" xfId="0" applyNumberFormat="1" applyFont="1" applyFill="1" applyBorder="1" applyAlignment="1">
      <alignment horizontal="center" vertical="center"/>
    </xf>
    <xf numFmtId="8" fontId="88" fillId="4" borderId="179" xfId="0" applyNumberFormat="1" applyFont="1" applyFill="1" applyBorder="1" applyAlignment="1">
      <alignment horizontal="center" vertical="center"/>
    </xf>
    <xf numFmtId="0" fontId="86" fillId="9" borderId="12" xfId="0" applyFont="1" applyFill="1" applyBorder="1" applyAlignment="1">
      <alignment horizontal="center" textRotation="90" wrapText="1"/>
    </xf>
    <xf numFmtId="0" fontId="86" fillId="9" borderId="108" xfId="0" applyFont="1" applyFill="1" applyBorder="1" applyAlignment="1">
      <alignment horizontal="center" textRotation="90" wrapText="1"/>
    </xf>
    <xf numFmtId="0" fontId="86" fillId="9" borderId="41" xfId="0" applyFont="1" applyFill="1" applyBorder="1" applyAlignment="1">
      <alignment horizontal="center" textRotation="90" wrapText="1"/>
    </xf>
    <xf numFmtId="0" fontId="28" fillId="9" borderId="2" xfId="0" applyFont="1" applyFill="1" applyBorder="1" applyAlignment="1" applyProtection="1">
      <alignment horizontal="center" vertical="center"/>
      <protection hidden="1"/>
    </xf>
    <xf numFmtId="10" fontId="133" fillId="9" borderId="2" xfId="0" applyNumberFormat="1" applyFont="1" applyFill="1" applyBorder="1" applyAlignment="1" applyProtection="1">
      <alignment horizontal="center" vertical="center"/>
      <protection hidden="1"/>
    </xf>
    <xf numFmtId="0" fontId="133" fillId="9" borderId="2" xfId="0" applyFont="1" applyFill="1" applyBorder="1" applyAlignment="1" applyProtection="1">
      <alignment horizontal="center" vertical="center"/>
      <protection hidden="1"/>
    </xf>
    <xf numFmtId="166" fontId="0" fillId="9" borderId="178" xfId="0" applyNumberFormat="1" applyFill="1" applyBorder="1" applyAlignment="1" applyProtection="1">
      <alignment horizontal="center" vertical="center" textRotation="180" wrapText="1"/>
      <protection hidden="1"/>
    </xf>
    <xf numFmtId="166" fontId="0" fillId="9" borderId="152" xfId="0" applyNumberFormat="1" applyFill="1" applyBorder="1" applyAlignment="1" applyProtection="1">
      <alignment horizontal="center" vertical="center" textRotation="180" wrapText="1"/>
      <protection hidden="1"/>
    </xf>
    <xf numFmtId="166" fontId="0" fillId="9" borderId="179" xfId="0" applyNumberFormat="1" applyFill="1" applyBorder="1" applyAlignment="1" applyProtection="1">
      <alignment horizontal="center" vertical="center" textRotation="180" wrapText="1"/>
      <protection hidden="1"/>
    </xf>
    <xf numFmtId="0" fontId="26" fillId="9" borderId="41" xfId="0" applyFont="1" applyFill="1" applyBorder="1" applyAlignment="1" applyProtection="1">
      <alignment horizontal="center" vertical="center" textRotation="90" wrapText="1"/>
      <protection hidden="1"/>
    </xf>
    <xf numFmtId="8" fontId="88" fillId="4" borderId="192" xfId="0" applyNumberFormat="1" applyFont="1" applyFill="1" applyBorder="1" applyAlignment="1" applyProtection="1">
      <alignment horizontal="center" vertical="center"/>
      <protection hidden="1"/>
    </xf>
    <xf numFmtId="8" fontId="88" fillId="4" borderId="112" xfId="0" applyNumberFormat="1" applyFont="1" applyFill="1" applyBorder="1" applyAlignment="1" applyProtection="1">
      <alignment horizontal="center" vertical="center"/>
      <protection hidden="1"/>
    </xf>
    <xf numFmtId="0" fontId="88" fillId="9" borderId="16" xfId="0" applyFont="1" applyFill="1" applyBorder="1" applyAlignment="1">
      <alignment horizontal="center" vertical="center"/>
    </xf>
    <xf numFmtId="0" fontId="88" fillId="9" borderId="18" xfId="0" applyFont="1" applyFill="1" applyBorder="1" applyAlignment="1">
      <alignment horizontal="center" vertical="center"/>
    </xf>
    <xf numFmtId="0" fontId="88" fillId="9" borderId="39" xfId="0" applyFont="1" applyFill="1" applyBorder="1" applyAlignment="1">
      <alignment horizontal="center" vertical="center"/>
    </xf>
    <xf numFmtId="0" fontId="88" fillId="9" borderId="12" xfId="0" applyFont="1" applyFill="1" applyBorder="1" applyAlignment="1">
      <alignment horizontal="center" vertical="center" wrapText="1"/>
    </xf>
    <xf numFmtId="0" fontId="88" fillId="9" borderId="41" xfId="0" applyFont="1" applyFill="1" applyBorder="1" applyAlignment="1">
      <alignment horizontal="center" vertical="center" wrapText="1"/>
    </xf>
    <xf numFmtId="0" fontId="96" fillId="28" borderId="31" xfId="0" applyFont="1" applyFill="1" applyBorder="1" applyAlignment="1" applyProtection="1">
      <alignment horizontal="center" vertical="center"/>
      <protection hidden="1"/>
    </xf>
    <xf numFmtId="0" fontId="96" fillId="28" borderId="28" xfId="0" applyFont="1" applyFill="1" applyBorder="1" applyAlignment="1" applyProtection="1">
      <alignment horizontal="center" vertical="center"/>
      <protection hidden="1"/>
    </xf>
    <xf numFmtId="0" fontId="96" fillId="28" borderId="179" xfId="0" applyFont="1" applyFill="1" applyBorder="1" applyAlignment="1" applyProtection="1">
      <alignment horizontal="center" vertical="center"/>
      <protection hidden="1"/>
    </xf>
    <xf numFmtId="0" fontId="86" fillId="9" borderId="0" xfId="0" applyFont="1" applyFill="1" applyAlignment="1">
      <alignment horizontal="center" vertical="center" textRotation="90"/>
    </xf>
    <xf numFmtId="0" fontId="19" fillId="9" borderId="41" xfId="0" applyFont="1" applyFill="1" applyBorder="1" applyAlignment="1" applyProtection="1">
      <alignment horizontal="center" vertical="center" textRotation="90" wrapText="1"/>
      <protection hidden="1"/>
    </xf>
    <xf numFmtId="0" fontId="27" fillId="9" borderId="154" xfId="0" applyFont="1" applyFill="1" applyBorder="1" applyAlignment="1" applyProtection="1">
      <alignment horizontal="center" vertical="center" textRotation="90" wrapText="1"/>
      <protection hidden="1"/>
    </xf>
    <xf numFmtId="0" fontId="27" fillId="9" borderId="175" xfId="0" applyFont="1" applyFill="1" applyBorder="1" applyAlignment="1" applyProtection="1">
      <alignment horizontal="center" vertical="center" textRotation="90" wrapText="1"/>
      <protection hidden="1"/>
    </xf>
    <xf numFmtId="0" fontId="101" fillId="9" borderId="41" xfId="0" applyFont="1" applyFill="1" applyBorder="1" applyAlignment="1" applyProtection="1">
      <alignment horizontal="center" vertical="center" wrapText="1"/>
      <protection hidden="1"/>
    </xf>
    <xf numFmtId="0" fontId="27" fillId="9" borderId="2" xfId="0" applyFont="1" applyFill="1" applyBorder="1" applyAlignment="1" applyProtection="1">
      <alignment horizontal="center" vertical="center" wrapText="1"/>
      <protection hidden="1"/>
    </xf>
    <xf numFmtId="0" fontId="27" fillId="9" borderId="41" xfId="0" applyFont="1" applyFill="1" applyBorder="1" applyAlignment="1" applyProtection="1">
      <alignment horizontal="center" vertical="center" wrapText="1"/>
      <protection hidden="1"/>
    </xf>
    <xf numFmtId="0" fontId="96" fillId="9" borderId="184" xfId="0" applyFont="1" applyFill="1" applyBorder="1" applyAlignment="1">
      <alignment horizontal="center" vertical="center"/>
    </xf>
    <xf numFmtId="0" fontId="96" fillId="9" borderId="185" xfId="0" applyFont="1" applyFill="1" applyBorder="1" applyAlignment="1">
      <alignment horizontal="center" vertical="center"/>
    </xf>
    <xf numFmtId="0" fontId="96" fillId="9" borderId="190" xfId="0" applyFont="1" applyFill="1" applyBorder="1" applyAlignment="1">
      <alignment horizontal="center" vertical="center"/>
    </xf>
    <xf numFmtId="0" fontId="96" fillId="9" borderId="0" xfId="0" applyFont="1" applyFill="1" applyAlignment="1">
      <alignment horizontal="center" vertical="center"/>
    </xf>
    <xf numFmtId="0" fontId="90" fillId="9" borderId="194" xfId="0" applyFont="1" applyFill="1" applyBorder="1" applyAlignment="1">
      <alignment horizontal="center" wrapText="1"/>
    </xf>
    <xf numFmtId="0" fontId="90" fillId="9" borderId="185" xfId="0" applyFont="1" applyFill="1" applyBorder="1" applyAlignment="1">
      <alignment horizontal="center" wrapText="1"/>
    </xf>
    <xf numFmtId="0" fontId="90" fillId="9" borderId="186" xfId="0" applyFont="1" applyFill="1" applyBorder="1" applyAlignment="1">
      <alignment horizontal="center" wrapText="1"/>
    </xf>
    <xf numFmtId="0" fontId="90" fillId="9" borderId="8" xfId="0" applyFont="1" applyFill="1" applyBorder="1" applyAlignment="1">
      <alignment horizontal="center" wrapText="1"/>
    </xf>
    <xf numFmtId="0" fontId="90" fillId="9" borderId="0" xfId="0" applyFont="1" applyFill="1" applyAlignment="1">
      <alignment horizontal="center" wrapText="1"/>
    </xf>
    <xf numFmtId="0" fontId="90" fillId="9" borderId="152" xfId="0" applyFont="1" applyFill="1" applyBorder="1" applyAlignment="1">
      <alignment horizontal="center" wrapText="1"/>
    </xf>
    <xf numFmtId="0" fontId="86" fillId="9" borderId="31" xfId="0" applyFont="1" applyFill="1" applyBorder="1" applyAlignment="1">
      <alignment horizontal="center" vertical="center"/>
    </xf>
    <xf numFmtId="0" fontId="86" fillId="9" borderId="28" xfId="0" applyFont="1" applyFill="1" applyBorder="1" applyAlignment="1">
      <alignment horizontal="center" vertical="center"/>
    </xf>
    <xf numFmtId="0" fontId="86" fillId="9" borderId="179" xfId="0" applyFont="1" applyFill="1" applyBorder="1" applyAlignment="1">
      <alignment horizontal="center" vertical="center"/>
    </xf>
    <xf numFmtId="0" fontId="108" fillId="4" borderId="187" xfId="0" applyFont="1" applyFill="1" applyBorder="1" applyAlignment="1">
      <alignment horizontal="center" vertical="center"/>
    </xf>
    <xf numFmtId="0" fontId="108" fillId="4" borderId="28" xfId="0" applyFont="1" applyFill="1" applyBorder="1" applyAlignment="1">
      <alignment horizontal="center" vertical="center"/>
    </xf>
    <xf numFmtId="8" fontId="0" fillId="9" borderId="192" xfId="0" applyNumberFormat="1" applyFill="1" applyBorder="1" applyAlignment="1">
      <alignment horizontal="center" vertical="center" wrapText="1"/>
    </xf>
    <xf numFmtId="8" fontId="0" fillId="9" borderId="112" xfId="0" applyNumberFormat="1" applyFill="1" applyBorder="1" applyAlignment="1">
      <alignment horizontal="center" vertical="center" wrapText="1"/>
    </xf>
    <xf numFmtId="8" fontId="0" fillId="9" borderId="178" xfId="0" applyNumberFormat="1" applyFill="1" applyBorder="1" applyAlignment="1">
      <alignment horizontal="center" vertical="center" wrapText="1"/>
    </xf>
    <xf numFmtId="8" fontId="0" fillId="9" borderId="187" xfId="0" applyNumberFormat="1" applyFill="1" applyBorder="1" applyAlignment="1">
      <alignment horizontal="center" vertical="center" wrapText="1"/>
    </xf>
    <xf numFmtId="8" fontId="0" fillId="9" borderId="28" xfId="0" applyNumberFormat="1" applyFill="1" applyBorder="1" applyAlignment="1">
      <alignment horizontal="center" vertical="center" wrapText="1"/>
    </xf>
    <xf numFmtId="8" fontId="0" fillId="9" borderId="179" xfId="0" applyNumberFormat="1" applyFill="1" applyBorder="1" applyAlignment="1">
      <alignment horizontal="center" vertical="center" wrapText="1"/>
    </xf>
    <xf numFmtId="0" fontId="96" fillId="9" borderId="175" xfId="0" applyFont="1" applyFill="1" applyBorder="1" applyAlignment="1" applyProtection="1">
      <alignment horizontal="center" vertical="center"/>
      <protection hidden="1"/>
    </xf>
    <xf numFmtId="0" fontId="96" fillId="9" borderId="2" xfId="0" applyFont="1" applyFill="1" applyBorder="1" applyAlignment="1" applyProtection="1">
      <alignment horizontal="center" vertical="center"/>
      <protection hidden="1"/>
    </xf>
    <xf numFmtId="0" fontId="96" fillId="9" borderId="129" xfId="0" applyFont="1" applyFill="1" applyBorder="1" applyAlignment="1" applyProtection="1">
      <alignment horizontal="center" vertical="center"/>
      <protection hidden="1"/>
    </xf>
    <xf numFmtId="8" fontId="196" fillId="0" borderId="175" xfId="0" applyNumberFormat="1" applyFont="1" applyBorder="1" applyAlignment="1" applyProtection="1">
      <alignment horizontal="center" vertical="center"/>
      <protection locked="0"/>
    </xf>
    <xf numFmtId="8" fontId="196" fillId="0" borderId="2" xfId="0" applyNumberFormat="1" applyFont="1" applyBorder="1" applyAlignment="1" applyProtection="1">
      <alignment horizontal="center" vertical="center"/>
      <protection locked="0"/>
    </xf>
    <xf numFmtId="8" fontId="196" fillId="0" borderId="129" xfId="0" applyNumberFormat="1" applyFont="1" applyBorder="1" applyAlignment="1" applyProtection="1">
      <alignment horizontal="center" vertical="center"/>
      <protection locked="0"/>
    </xf>
    <xf numFmtId="0" fontId="96" fillId="4" borderId="228" xfId="0" applyFont="1" applyFill="1" applyBorder="1" applyAlignment="1" applyProtection="1">
      <alignment horizontal="center" vertical="center"/>
      <protection hidden="1"/>
    </xf>
    <xf numFmtId="0" fontId="96" fillId="4" borderId="176" xfId="0" applyFont="1" applyFill="1" applyBorder="1" applyAlignment="1" applyProtection="1">
      <alignment horizontal="center" vertical="center"/>
      <protection hidden="1"/>
    </xf>
    <xf numFmtId="0" fontId="96" fillId="4" borderId="193" xfId="0" applyFont="1" applyFill="1" applyBorder="1" applyAlignment="1" applyProtection="1">
      <alignment horizontal="center" vertical="center"/>
      <protection hidden="1"/>
    </xf>
    <xf numFmtId="8" fontId="152" fillId="4" borderId="192" xfId="2" applyNumberFormat="1" applyFont="1" applyFill="1" applyBorder="1" applyAlignment="1" applyProtection="1">
      <alignment horizontal="center" vertical="center" wrapText="1"/>
    </xf>
    <xf numFmtId="8" fontId="152" fillId="4" borderId="112" xfId="2" applyNumberFormat="1" applyFont="1" applyFill="1" applyBorder="1" applyAlignment="1" applyProtection="1">
      <alignment horizontal="center" vertical="center" wrapText="1"/>
    </xf>
    <xf numFmtId="8" fontId="152" fillId="4" borderId="178" xfId="2" applyNumberFormat="1" applyFont="1" applyFill="1" applyBorder="1" applyAlignment="1" applyProtection="1">
      <alignment horizontal="center" vertical="center" wrapText="1"/>
    </xf>
    <xf numFmtId="0" fontId="88" fillId="9" borderId="1" xfId="0" applyFont="1" applyFill="1" applyBorder="1" applyAlignment="1" applyProtection="1">
      <alignment horizontal="center" vertical="center"/>
      <protection hidden="1"/>
    </xf>
    <xf numFmtId="0" fontId="16" fillId="9" borderId="41" xfId="0" applyFont="1" applyFill="1" applyBorder="1" applyAlignment="1" applyProtection="1">
      <alignment horizontal="center" vertical="center" textRotation="90" wrapText="1"/>
      <protection hidden="1"/>
    </xf>
    <xf numFmtId="0" fontId="9" fillId="9" borderId="41" xfId="0" applyFont="1" applyFill="1" applyBorder="1" applyAlignment="1" applyProtection="1">
      <alignment horizontal="center" vertical="center" textRotation="90" wrapText="1"/>
      <protection hidden="1"/>
    </xf>
    <xf numFmtId="190" fontId="101" fillId="0" borderId="129" xfId="0" applyNumberFormat="1" applyFont="1" applyBorder="1" applyAlignment="1" applyProtection="1">
      <alignment horizontal="center" vertical="center"/>
      <protection locked="0"/>
    </xf>
    <xf numFmtId="0" fontId="107" fillId="4" borderId="0" xfId="0" applyFont="1" applyFill="1" applyAlignment="1">
      <alignment horizontal="center" textRotation="180" wrapText="1"/>
    </xf>
    <xf numFmtId="0" fontId="96" fillId="23" borderId="2" xfId="0" applyFont="1" applyFill="1" applyBorder="1" applyAlignment="1" applyProtection="1">
      <alignment horizontal="left" vertical="center"/>
      <protection hidden="1"/>
    </xf>
    <xf numFmtId="0" fontId="96" fillId="23" borderId="129" xfId="0" applyFont="1" applyFill="1" applyBorder="1" applyAlignment="1" applyProtection="1">
      <alignment horizontal="left" vertical="center"/>
      <protection hidden="1"/>
    </xf>
    <xf numFmtId="0" fontId="96" fillId="4" borderId="184" xfId="0" applyFont="1" applyFill="1" applyBorder="1" applyAlignment="1">
      <alignment horizontal="center" vertical="center"/>
    </xf>
    <xf numFmtId="0" fontId="96" fillId="4" borderId="185" xfId="0" applyFont="1" applyFill="1" applyBorder="1" applyAlignment="1">
      <alignment horizontal="center" vertical="center"/>
    </xf>
    <xf numFmtId="0" fontId="96" fillId="4" borderId="186" xfId="0" applyFont="1" applyFill="1" applyBorder="1" applyAlignment="1">
      <alignment horizontal="center" vertical="center"/>
    </xf>
    <xf numFmtId="0" fontId="126" fillId="9" borderId="210" xfId="0" applyFont="1" applyFill="1" applyBorder="1" applyAlignment="1">
      <alignment horizontal="right" vertical="center"/>
    </xf>
    <xf numFmtId="0" fontId="126" fillId="9" borderId="74" xfId="0" applyFont="1" applyFill="1" applyBorder="1" applyAlignment="1">
      <alignment horizontal="right" vertical="center"/>
    </xf>
    <xf numFmtId="0" fontId="198" fillId="9" borderId="211" xfId="0" applyFont="1" applyFill="1" applyBorder="1" applyAlignment="1">
      <alignment horizontal="right" vertical="center" wrapText="1"/>
    </xf>
    <xf numFmtId="0" fontId="198" fillId="9" borderId="67" xfId="0" applyFont="1" applyFill="1" applyBorder="1" applyAlignment="1">
      <alignment horizontal="right" vertical="center" wrapText="1"/>
    </xf>
    <xf numFmtId="0" fontId="0" fillId="9" borderId="227" xfId="0" applyFill="1" applyBorder="1" applyAlignment="1" applyProtection="1">
      <alignment horizontal="center" vertical="center" textRotation="90" wrapText="1"/>
      <protection hidden="1"/>
    </xf>
    <xf numFmtId="0" fontId="88" fillId="9" borderId="41" xfId="0" applyFont="1" applyFill="1" applyBorder="1" applyAlignment="1">
      <alignment horizontal="center" vertical="center"/>
    </xf>
    <xf numFmtId="8" fontId="96" fillId="28" borderId="2" xfId="0" applyNumberFormat="1" applyFont="1" applyFill="1" applyBorder="1" applyAlignment="1">
      <alignment horizontal="center" vertical="center" wrapText="1"/>
    </xf>
    <xf numFmtId="8" fontId="96" fillId="28" borderId="129" xfId="0" applyNumberFormat="1" applyFont="1" applyFill="1" applyBorder="1" applyAlignment="1">
      <alignment horizontal="center" vertical="center" wrapText="1"/>
    </xf>
    <xf numFmtId="8" fontId="194" fillId="9" borderId="2" xfId="0" applyNumberFormat="1" applyFont="1" applyFill="1" applyBorder="1" applyAlignment="1">
      <alignment horizontal="center" vertical="center"/>
    </xf>
    <xf numFmtId="8" fontId="88" fillId="9" borderId="2" xfId="0" applyNumberFormat="1" applyFont="1" applyFill="1" applyBorder="1" applyAlignment="1">
      <alignment horizontal="center" vertical="center"/>
    </xf>
    <xf numFmtId="8" fontId="88" fillId="9" borderId="129" xfId="0" applyNumberFormat="1" applyFont="1" applyFill="1" applyBorder="1" applyAlignment="1">
      <alignment horizontal="center" vertical="center"/>
    </xf>
    <xf numFmtId="0" fontId="107" fillId="4" borderId="0" xfId="0" applyFont="1" applyFill="1" applyAlignment="1">
      <alignment horizontal="center" vertical="center" textRotation="180" wrapText="1"/>
    </xf>
    <xf numFmtId="0" fontId="88" fillId="9" borderId="31" xfId="0" applyFont="1" applyFill="1" applyBorder="1" applyAlignment="1">
      <alignment horizontal="center" vertical="center"/>
    </xf>
    <xf numFmtId="0" fontId="125" fillId="3" borderId="65" xfId="0" applyFont="1" applyFill="1" applyBorder="1" applyAlignment="1" applyProtection="1">
      <alignment horizontal="center"/>
      <protection hidden="1"/>
    </xf>
    <xf numFmtId="0" fontId="125" fillId="3" borderId="20" xfId="0" applyFont="1" applyFill="1" applyBorder="1" applyAlignment="1" applyProtection="1">
      <alignment horizontal="center"/>
      <protection hidden="1"/>
    </xf>
    <xf numFmtId="10" fontId="0" fillId="0" borderId="2" xfId="0" applyNumberFormat="1" applyBorder="1" applyAlignment="1">
      <alignment horizontal="center" vertical="center"/>
    </xf>
    <xf numFmtId="0" fontId="0" fillId="0" borderId="2" xfId="0" applyBorder="1" applyAlignment="1">
      <alignment horizontal="center" vertical="center"/>
    </xf>
    <xf numFmtId="0" fontId="90" fillId="4" borderId="0" xfId="0" quotePrefix="1" applyFont="1" applyFill="1" applyAlignment="1" applyProtection="1">
      <alignment horizontal="center" vertical="center"/>
      <protection hidden="1"/>
    </xf>
    <xf numFmtId="0" fontId="53" fillId="4" borderId="41" xfId="0" applyFont="1" applyFill="1" applyBorder="1" applyAlignment="1">
      <alignment horizontal="center" vertical="center" wrapText="1"/>
    </xf>
    <xf numFmtId="0" fontId="51" fillId="4" borderId="2" xfId="0" applyFont="1" applyFill="1" applyBorder="1" applyAlignment="1">
      <alignment horizontal="center" vertical="center" wrapText="1"/>
    </xf>
    <xf numFmtId="10" fontId="0" fillId="0" borderId="22" xfId="0" applyNumberFormat="1" applyBorder="1" applyAlignment="1">
      <alignment horizontal="left" vertical="center" indent="2"/>
    </xf>
    <xf numFmtId="10" fontId="0" fillId="0" borderId="42" xfId="0" applyNumberFormat="1" applyBorder="1" applyAlignment="1">
      <alignment horizontal="left" vertical="center" indent="2"/>
    </xf>
    <xf numFmtId="0" fontId="0" fillId="0" borderId="41" xfId="0" applyBorder="1" applyAlignment="1">
      <alignment horizontal="center" vertical="center"/>
    </xf>
    <xf numFmtId="0" fontId="0" fillId="4" borderId="45" xfId="0" applyFill="1" applyBorder="1" applyAlignment="1" applyProtection="1">
      <alignment horizontal="left" vertical="center"/>
      <protection hidden="1"/>
    </xf>
    <xf numFmtId="0" fontId="0" fillId="4" borderId="17" xfId="0" applyFill="1" applyBorder="1" applyAlignment="1" applyProtection="1">
      <alignment horizontal="left" vertical="center"/>
      <protection hidden="1"/>
    </xf>
    <xf numFmtId="0" fontId="0" fillId="4" borderId="46" xfId="0" applyFill="1" applyBorder="1" applyAlignment="1" applyProtection="1">
      <alignment horizontal="left" vertical="center"/>
      <protection hidden="1"/>
    </xf>
    <xf numFmtId="0" fontId="64" fillId="4" borderId="51" xfId="0" applyFont="1" applyFill="1" applyBorder="1" applyAlignment="1" applyProtection="1">
      <alignment horizontal="left" vertical="center" wrapText="1"/>
      <protection hidden="1"/>
    </xf>
    <xf numFmtId="0" fontId="64" fillId="4" borderId="17" xfId="0" applyFont="1" applyFill="1" applyBorder="1" applyAlignment="1" applyProtection="1">
      <alignment horizontal="left" vertical="center" wrapText="1"/>
      <protection hidden="1"/>
    </xf>
    <xf numFmtId="0" fontId="64" fillId="4" borderId="49" xfId="0" applyFont="1" applyFill="1" applyBorder="1" applyAlignment="1" applyProtection="1">
      <alignment horizontal="left" vertical="center" wrapText="1"/>
      <protection hidden="1"/>
    </xf>
    <xf numFmtId="0" fontId="66" fillId="4" borderId="19" xfId="0" applyFont="1" applyFill="1" applyBorder="1" applyAlignment="1" applyProtection="1">
      <alignment horizontal="center" vertical="center" wrapText="1"/>
      <protection hidden="1"/>
    </xf>
    <xf numFmtId="0" fontId="66" fillId="4" borderId="0" xfId="0" applyFont="1" applyFill="1" applyAlignment="1" applyProtection="1">
      <alignment horizontal="center" vertical="center" wrapText="1"/>
      <protection hidden="1"/>
    </xf>
    <xf numFmtId="0" fontId="66" fillId="4" borderId="15" xfId="0" applyFont="1" applyFill="1" applyBorder="1" applyAlignment="1" applyProtection="1">
      <alignment horizontal="center" vertical="center" wrapText="1"/>
      <protection hidden="1"/>
    </xf>
    <xf numFmtId="0" fontId="70" fillId="4" borderId="248" xfId="0" applyFont="1" applyFill="1" applyBorder="1" applyAlignment="1" applyProtection="1">
      <alignment horizontal="right" vertical="center" wrapText="1"/>
      <protection hidden="1"/>
    </xf>
    <xf numFmtId="0" fontId="70" fillId="4" borderId="245" xfId="0" applyFont="1" applyFill="1" applyBorder="1" applyAlignment="1" applyProtection="1">
      <alignment horizontal="right" vertical="center" wrapText="1"/>
      <protection hidden="1"/>
    </xf>
    <xf numFmtId="0" fontId="0" fillId="4" borderId="47" xfId="0" applyFill="1" applyBorder="1" applyAlignment="1" applyProtection="1">
      <alignment horizontal="left" vertical="center"/>
      <protection hidden="1"/>
    </xf>
    <xf numFmtId="0" fontId="0" fillId="4" borderId="48" xfId="0" applyFill="1" applyBorder="1" applyAlignment="1" applyProtection="1">
      <alignment horizontal="left" vertical="center"/>
      <protection hidden="1"/>
    </xf>
    <xf numFmtId="0" fontId="49" fillId="4" borderId="68" xfId="2" applyNumberFormat="1" applyFill="1" applyBorder="1" applyAlignment="1" applyProtection="1">
      <alignment horizontal="center" wrapText="1"/>
    </xf>
    <xf numFmtId="0" fontId="49" fillId="4" borderId="77" xfId="2" applyNumberFormat="1" applyFill="1" applyBorder="1" applyAlignment="1" applyProtection="1">
      <alignment horizontal="center" wrapText="1"/>
    </xf>
    <xf numFmtId="0" fontId="0" fillId="4" borderId="45" xfId="0" applyFill="1" applyBorder="1" applyAlignment="1" applyProtection="1">
      <alignment horizontal="left" vertical="center" wrapText="1"/>
      <protection hidden="1"/>
    </xf>
    <xf numFmtId="0" fontId="0" fillId="4" borderId="17" xfId="0" applyFill="1" applyBorder="1" applyAlignment="1" applyProtection="1">
      <alignment horizontal="left" vertical="center" wrapText="1"/>
      <protection hidden="1"/>
    </xf>
    <xf numFmtId="0" fontId="0" fillId="4" borderId="46" xfId="0" applyFill="1" applyBorder="1" applyAlignment="1" applyProtection="1">
      <alignment horizontal="left" vertical="center" wrapText="1"/>
      <protection hidden="1"/>
    </xf>
    <xf numFmtId="0" fontId="0" fillId="0" borderId="21" xfId="0" applyBorder="1" applyAlignment="1">
      <alignment horizontal="center" vertical="center" wrapText="1"/>
    </xf>
    <xf numFmtId="0" fontId="0" fillId="0" borderId="12" xfId="0" applyBorder="1" applyAlignment="1">
      <alignment horizontal="center" vertical="center" wrapText="1"/>
    </xf>
    <xf numFmtId="0" fontId="51" fillId="4" borderId="85" xfId="0" applyFont="1" applyFill="1" applyBorder="1" applyAlignment="1" applyProtection="1">
      <alignment horizontal="center" vertical="center" wrapText="1"/>
      <protection hidden="1"/>
    </xf>
    <xf numFmtId="0" fontId="51" fillId="4" borderId="86" xfId="0" applyFont="1" applyFill="1" applyBorder="1" applyAlignment="1" applyProtection="1">
      <alignment horizontal="center" vertical="center" wrapText="1"/>
      <protection hidden="1"/>
    </xf>
    <xf numFmtId="0" fontId="88" fillId="3" borderId="10" xfId="0" applyFont="1" applyFill="1" applyBorder="1" applyAlignment="1">
      <alignment horizontal="right" vertical="center"/>
    </xf>
    <xf numFmtId="0" fontId="88" fillId="3" borderId="3" xfId="0" applyFont="1" applyFill="1" applyBorder="1" applyAlignment="1">
      <alignment horizontal="right" vertical="center"/>
    </xf>
    <xf numFmtId="10" fontId="90" fillId="4" borderId="10" xfId="3" applyNumberFormat="1" applyFont="1" applyFill="1" applyBorder="1" applyAlignment="1" applyProtection="1">
      <alignment horizontal="center" vertical="center" wrapText="1"/>
      <protection hidden="1"/>
    </xf>
    <xf numFmtId="10" fontId="90" fillId="4" borderId="3" xfId="3" applyNumberFormat="1" applyFont="1" applyFill="1" applyBorder="1" applyAlignment="1" applyProtection="1">
      <alignment horizontal="center" vertical="center" wrapText="1"/>
      <protection hidden="1"/>
    </xf>
    <xf numFmtId="0" fontId="156" fillId="4" borderId="17" xfId="2" applyNumberFormat="1" applyFont="1" applyFill="1" applyBorder="1" applyAlignment="1" applyProtection="1">
      <alignment horizontal="left" vertical="center" wrapText="1"/>
      <protection hidden="1"/>
    </xf>
    <xf numFmtId="0" fontId="156" fillId="4" borderId="49" xfId="2" applyNumberFormat="1" applyFont="1" applyFill="1" applyBorder="1" applyAlignment="1" applyProtection="1">
      <alignment horizontal="left" vertical="center" wrapText="1"/>
      <protection hidden="1"/>
    </xf>
    <xf numFmtId="0" fontId="90" fillId="4" borderId="10" xfId="2" applyNumberFormat="1" applyFont="1" applyFill="1" applyBorder="1" applyAlignment="1" applyProtection="1">
      <alignment horizontal="center" vertical="center" wrapText="1"/>
      <protection hidden="1"/>
    </xf>
    <xf numFmtId="0" fontId="90" fillId="4" borderId="3" xfId="2" applyNumberFormat="1" applyFont="1" applyFill="1" applyBorder="1" applyAlignment="1" applyProtection="1">
      <alignment horizontal="center" vertical="center" wrapText="1"/>
      <protection hidden="1"/>
    </xf>
    <xf numFmtId="8" fontId="90" fillId="4" borderId="85" xfId="0" applyNumberFormat="1" applyFont="1" applyFill="1" applyBorder="1" applyAlignment="1" applyProtection="1">
      <alignment horizontal="center" vertical="center"/>
      <protection hidden="1"/>
    </xf>
    <xf numFmtId="0" fontId="90" fillId="4" borderId="86" xfId="0" applyFont="1" applyFill="1" applyBorder="1" applyAlignment="1" applyProtection="1">
      <alignment horizontal="center" vertical="center"/>
      <protection hidden="1"/>
    </xf>
    <xf numFmtId="0" fontId="90" fillId="4" borderId="68" xfId="0" applyFont="1" applyFill="1" applyBorder="1" applyAlignment="1" applyProtection="1">
      <alignment horizontal="center" vertical="center"/>
      <protection hidden="1"/>
    </xf>
    <xf numFmtId="0" fontId="90" fillId="4" borderId="77" xfId="0" applyFont="1" applyFill="1" applyBorder="1" applyAlignment="1" applyProtection="1">
      <alignment horizontal="center" vertical="center"/>
      <protection hidden="1"/>
    </xf>
    <xf numFmtId="0" fontId="0" fillId="4" borderId="0" xfId="0" applyFill="1" applyAlignment="1">
      <alignment horizontal="center" vertical="center"/>
    </xf>
    <xf numFmtId="0" fontId="71" fillId="4" borderId="0" xfId="0" applyFont="1" applyFill="1" applyAlignment="1" applyProtection="1">
      <alignment horizontal="center" vertical="center" wrapText="1"/>
      <protection hidden="1"/>
    </xf>
    <xf numFmtId="0" fontId="71" fillId="4" borderId="15" xfId="0" applyFont="1" applyFill="1" applyBorder="1" applyAlignment="1" applyProtection="1">
      <alignment horizontal="center" vertical="center" wrapText="1"/>
      <protection hidden="1"/>
    </xf>
    <xf numFmtId="0" fontId="91" fillId="3" borderId="15" xfId="0" applyFont="1" applyFill="1" applyBorder="1" applyAlignment="1">
      <alignment horizontal="center" vertical="center" wrapText="1"/>
    </xf>
    <xf numFmtId="0" fontId="103" fillId="4" borderId="43" xfId="0" applyFont="1" applyFill="1" applyBorder="1" applyAlignment="1" applyProtection="1">
      <alignment horizontal="left" vertical="center"/>
      <protection hidden="1"/>
    </xf>
    <xf numFmtId="0" fontId="103" fillId="4" borderId="23" xfId="0" applyFont="1" applyFill="1" applyBorder="1" applyAlignment="1" applyProtection="1">
      <alignment horizontal="left" vertical="center"/>
      <protection hidden="1"/>
    </xf>
    <xf numFmtId="0" fontId="103" fillId="4" borderId="44" xfId="0" applyFont="1" applyFill="1" applyBorder="1" applyAlignment="1" applyProtection="1">
      <alignment horizontal="left" vertical="center"/>
      <protection hidden="1"/>
    </xf>
    <xf numFmtId="0" fontId="49" fillId="4" borderId="18" xfId="2" applyNumberFormat="1" applyFill="1" applyBorder="1" applyAlignment="1" applyProtection="1">
      <alignment horizontal="center" vertical="center"/>
      <protection hidden="1"/>
    </xf>
    <xf numFmtId="0" fontId="49" fillId="4" borderId="39" xfId="2" applyNumberFormat="1" applyFill="1" applyBorder="1" applyAlignment="1" applyProtection="1">
      <alignment horizontal="center" vertical="center"/>
      <protection hidden="1"/>
    </xf>
    <xf numFmtId="0" fontId="90" fillId="4" borderId="0" xfId="0" applyFont="1" applyFill="1" applyAlignment="1" applyProtection="1">
      <alignment horizontal="center" vertical="center" wrapText="1"/>
      <protection hidden="1"/>
    </xf>
    <xf numFmtId="0" fontId="75" fillId="4" borderId="19" xfId="0" applyFont="1" applyFill="1" applyBorder="1" applyAlignment="1" applyProtection="1">
      <alignment horizontal="left" vertical="center" wrapText="1"/>
      <protection hidden="1"/>
    </xf>
    <xf numFmtId="0" fontId="75" fillId="4" borderId="0" xfId="0" applyFont="1" applyFill="1" applyAlignment="1" applyProtection="1">
      <alignment horizontal="left" vertical="center" wrapText="1"/>
      <protection hidden="1"/>
    </xf>
    <xf numFmtId="0" fontId="75" fillId="4" borderId="15" xfId="0" applyFont="1" applyFill="1" applyBorder="1" applyAlignment="1" applyProtection="1">
      <alignment horizontal="left" vertical="center" wrapText="1"/>
      <protection hidden="1"/>
    </xf>
    <xf numFmtId="0" fontId="75" fillId="4" borderId="16" xfId="0" applyFont="1" applyFill="1" applyBorder="1" applyAlignment="1" applyProtection="1">
      <alignment horizontal="left" vertical="center" wrapText="1"/>
      <protection hidden="1"/>
    </xf>
    <xf numFmtId="0" fontId="75" fillId="4" borderId="18" xfId="0" applyFont="1" applyFill="1" applyBorder="1" applyAlignment="1" applyProtection="1">
      <alignment horizontal="left" vertical="center" wrapText="1"/>
      <protection hidden="1"/>
    </xf>
    <xf numFmtId="0" fontId="75" fillId="4" borderId="39" xfId="0" applyFont="1" applyFill="1" applyBorder="1" applyAlignment="1" applyProtection="1">
      <alignment horizontal="left" vertical="center" wrapText="1"/>
      <protection hidden="1"/>
    </xf>
    <xf numFmtId="0" fontId="63" fillId="4" borderId="19" xfId="0" quotePrefix="1" applyFont="1" applyFill="1" applyBorder="1" applyAlignment="1" applyProtection="1">
      <alignment horizontal="center" vertical="center"/>
      <protection hidden="1"/>
    </xf>
    <xf numFmtId="0" fontId="63" fillId="4" borderId="0" xfId="0" quotePrefix="1" applyFont="1" applyFill="1" applyAlignment="1" applyProtection="1">
      <alignment horizontal="center" vertical="center"/>
      <protection hidden="1"/>
    </xf>
    <xf numFmtId="0" fontId="63" fillId="4" borderId="15" xfId="0" quotePrefix="1" applyFont="1" applyFill="1" applyBorder="1" applyAlignment="1" applyProtection="1">
      <alignment horizontal="center" vertical="center"/>
      <protection hidden="1"/>
    </xf>
    <xf numFmtId="0" fontId="0" fillId="4" borderId="244" xfId="0" applyFill="1" applyBorder="1" applyAlignment="1" applyProtection="1">
      <alignment horizontal="left" vertical="center"/>
      <protection hidden="1"/>
    </xf>
    <xf numFmtId="0" fontId="0" fillId="4" borderId="245" xfId="0" applyFill="1" applyBorder="1" applyAlignment="1" applyProtection="1">
      <alignment horizontal="left" vertical="center"/>
      <protection hidden="1"/>
    </xf>
    <xf numFmtId="0" fontId="0" fillId="4" borderId="246" xfId="0" applyFill="1" applyBorder="1" applyAlignment="1" applyProtection="1">
      <alignment horizontal="left" vertical="center"/>
      <protection hidden="1"/>
    </xf>
    <xf numFmtId="0" fontId="156" fillId="4" borderId="51" xfId="2" applyNumberFormat="1" applyFont="1" applyFill="1" applyBorder="1" applyAlignment="1" applyProtection="1">
      <alignment vertical="center" wrapText="1"/>
    </xf>
    <xf numFmtId="0" fontId="156" fillId="4" borderId="17" xfId="2" applyNumberFormat="1" applyFont="1" applyFill="1" applyBorder="1" applyAlignment="1" applyProtection="1">
      <alignment vertical="center" wrapText="1"/>
    </xf>
    <xf numFmtId="0" fontId="156" fillId="4" borderId="49" xfId="2" applyNumberFormat="1" applyFont="1" applyFill="1" applyBorder="1" applyAlignment="1" applyProtection="1">
      <alignment vertical="center" wrapText="1"/>
    </xf>
    <xf numFmtId="0" fontId="0" fillId="4" borderId="19" xfId="0" applyFill="1" applyBorder="1" applyAlignment="1" applyProtection="1">
      <alignment horizontal="center" vertical="center"/>
      <protection hidden="1"/>
    </xf>
    <xf numFmtId="0" fontId="0" fillId="4" borderId="0" xfId="0" applyFill="1" applyAlignment="1" applyProtection="1">
      <alignment horizontal="center" vertical="center"/>
      <protection hidden="1"/>
    </xf>
    <xf numFmtId="0" fontId="0" fillId="4" borderId="15" xfId="0" applyFill="1" applyBorder="1" applyAlignment="1" applyProtection="1">
      <alignment horizontal="center" vertical="center"/>
      <protection hidden="1"/>
    </xf>
    <xf numFmtId="0" fontId="90" fillId="4" borderId="23" xfId="0" applyFont="1" applyFill="1" applyBorder="1" applyAlignment="1" applyProtection="1">
      <alignment horizontal="center" vertical="center" wrapText="1"/>
      <protection hidden="1"/>
    </xf>
    <xf numFmtId="0" fontId="91" fillId="4" borderId="52" xfId="0" applyFont="1" applyFill="1" applyBorder="1" applyAlignment="1" applyProtection="1">
      <alignment horizontal="right" vertical="center" wrapText="1"/>
      <protection hidden="1"/>
    </xf>
    <xf numFmtId="0" fontId="91" fillId="4" borderId="53" xfId="0" applyFont="1" applyFill="1" applyBorder="1" applyAlignment="1" applyProtection="1">
      <alignment horizontal="right" vertical="center" wrapText="1"/>
      <protection hidden="1"/>
    </xf>
    <xf numFmtId="0" fontId="0" fillId="4" borderId="250" xfId="0" applyFill="1" applyBorder="1" applyAlignment="1" applyProtection="1">
      <alignment horizontal="left" vertical="center"/>
      <protection hidden="1"/>
    </xf>
    <xf numFmtId="0" fontId="0" fillId="4" borderId="251" xfId="0" applyFill="1" applyBorder="1" applyAlignment="1" applyProtection="1">
      <alignment horizontal="left" vertical="center"/>
      <protection hidden="1"/>
    </xf>
    <xf numFmtId="164" fontId="61" fillId="4" borderId="19" xfId="0" quotePrefix="1" applyNumberFormat="1" applyFont="1" applyFill="1" applyBorder="1" applyAlignment="1" applyProtection="1">
      <alignment horizontal="center" vertical="center" wrapText="1"/>
      <protection hidden="1"/>
    </xf>
    <xf numFmtId="164" fontId="61" fillId="4" borderId="0" xfId="0" quotePrefix="1" applyNumberFormat="1" applyFont="1" applyFill="1" applyAlignment="1" applyProtection="1">
      <alignment horizontal="center" vertical="center" wrapText="1"/>
      <protection hidden="1"/>
    </xf>
    <xf numFmtId="164" fontId="61" fillId="4" borderId="15" xfId="0" quotePrefix="1" applyNumberFormat="1" applyFont="1" applyFill="1" applyBorder="1" applyAlignment="1" applyProtection="1">
      <alignment horizontal="center" vertical="center" wrapText="1"/>
      <protection hidden="1"/>
    </xf>
    <xf numFmtId="0" fontId="90" fillId="4" borderId="4" xfId="0" applyFont="1" applyFill="1" applyBorder="1" applyAlignment="1" applyProtection="1">
      <alignment horizontal="center" vertical="center" wrapText="1"/>
      <protection hidden="1"/>
    </xf>
    <xf numFmtId="0" fontId="90" fillId="4" borderId="3" xfId="0" applyFont="1" applyFill="1" applyBorder="1" applyAlignment="1" applyProtection="1">
      <alignment horizontal="center" vertical="center" wrapText="1"/>
      <protection hidden="1"/>
    </xf>
    <xf numFmtId="0" fontId="95" fillId="3" borderId="18" xfId="0" applyFont="1" applyFill="1" applyBorder="1" applyAlignment="1" applyProtection="1">
      <alignment horizontal="center" vertical="center"/>
      <protection hidden="1"/>
    </xf>
    <xf numFmtId="0" fontId="220" fillId="5" borderId="43" xfId="0" applyFont="1" applyFill="1" applyBorder="1" applyAlignment="1" applyProtection="1">
      <alignment horizontal="center" vertical="center" wrapText="1"/>
      <protection hidden="1"/>
    </xf>
    <xf numFmtId="0" fontId="102" fillId="5" borderId="23" xfId="0" applyFont="1" applyFill="1" applyBorder="1" applyAlignment="1" applyProtection="1">
      <alignment horizontal="center" vertical="center" wrapText="1"/>
      <protection hidden="1"/>
    </xf>
    <xf numFmtId="0" fontId="102" fillId="5" borderId="44" xfId="0" applyFont="1" applyFill="1" applyBorder="1" applyAlignment="1" applyProtection="1">
      <alignment horizontal="center" vertical="center" wrapText="1"/>
      <protection hidden="1"/>
    </xf>
    <xf numFmtId="0" fontId="91" fillId="4" borderId="50" xfId="0" applyFont="1" applyFill="1" applyBorder="1" applyAlignment="1" applyProtection="1">
      <alignment horizontal="left" vertical="center"/>
      <protection hidden="1"/>
    </xf>
    <xf numFmtId="0" fontId="152" fillId="4" borderId="79" xfId="2" applyNumberFormat="1" applyFont="1" applyFill="1" applyBorder="1" applyAlignment="1" applyProtection="1">
      <alignment horizontal="center" vertical="center" wrapText="1"/>
      <protection hidden="1"/>
    </xf>
    <xf numFmtId="0" fontId="152" fillId="4" borderId="20" xfId="2" applyNumberFormat="1" applyFont="1" applyFill="1" applyBorder="1" applyAlignment="1" applyProtection="1">
      <alignment horizontal="center" vertical="center" wrapText="1"/>
      <protection hidden="1"/>
    </xf>
    <xf numFmtId="0" fontId="0" fillId="4" borderId="17" xfId="0" applyFill="1" applyBorder="1" applyAlignment="1" applyProtection="1">
      <alignment horizontal="right" vertical="center"/>
      <protection hidden="1"/>
    </xf>
    <xf numFmtId="0" fontId="90" fillId="4" borderId="54" xfId="0" applyFont="1" applyFill="1" applyBorder="1" applyAlignment="1" applyProtection="1">
      <alignment horizontal="center" vertical="center" wrapText="1"/>
      <protection hidden="1"/>
    </xf>
    <xf numFmtId="0" fontId="90" fillId="4" borderId="58" xfId="0" applyFont="1" applyFill="1" applyBorder="1" applyAlignment="1" applyProtection="1">
      <alignment horizontal="center" vertical="center" wrapText="1"/>
      <protection hidden="1"/>
    </xf>
    <xf numFmtId="0" fontId="90" fillId="4" borderId="30" xfId="0" applyFont="1" applyFill="1" applyBorder="1" applyAlignment="1" applyProtection="1">
      <alignment horizontal="center" vertical="center" wrapText="1"/>
      <protection hidden="1"/>
    </xf>
    <xf numFmtId="0" fontId="90" fillId="4" borderId="57" xfId="0" applyFont="1" applyFill="1" applyBorder="1" applyAlignment="1" applyProtection="1">
      <alignment horizontal="center" vertical="center" wrapText="1"/>
      <protection hidden="1"/>
    </xf>
    <xf numFmtId="0" fontId="91" fillId="4" borderId="68" xfId="0" applyFont="1" applyFill="1" applyBorder="1" applyAlignment="1" applyProtection="1">
      <alignment horizontal="center" vertical="center" wrapText="1"/>
      <protection hidden="1"/>
    </xf>
    <xf numFmtId="0" fontId="91" fillId="4" borderId="77" xfId="0" applyFont="1" applyFill="1" applyBorder="1" applyAlignment="1" applyProtection="1">
      <alignment horizontal="center" vertical="center" wrapText="1"/>
      <protection hidden="1"/>
    </xf>
    <xf numFmtId="0" fontId="100" fillId="7" borderId="19" xfId="0" applyFont="1" applyFill="1" applyBorder="1" applyAlignment="1" applyProtection="1">
      <alignment horizontal="center" vertical="center"/>
      <protection hidden="1"/>
    </xf>
    <xf numFmtId="0" fontId="100" fillId="7" borderId="0" xfId="0" applyFont="1" applyFill="1" applyAlignment="1" applyProtection="1">
      <alignment horizontal="center" vertical="center"/>
      <protection hidden="1"/>
    </xf>
    <xf numFmtId="0" fontId="100" fillId="7" borderId="15" xfId="0" applyFont="1" applyFill="1" applyBorder="1" applyAlignment="1" applyProtection="1">
      <alignment horizontal="center" vertical="center"/>
      <protection hidden="1"/>
    </xf>
    <xf numFmtId="10" fontId="62" fillId="0" borderId="2" xfId="3" applyNumberFormat="1" applyFill="1" applyBorder="1" applyAlignment="1">
      <alignment horizontal="center" vertical="center"/>
    </xf>
    <xf numFmtId="0" fontId="51" fillId="4" borderId="54" xfId="0" applyFont="1" applyFill="1" applyBorder="1" applyAlignment="1" applyProtection="1">
      <alignment horizontal="center" vertical="center" wrapText="1"/>
      <protection hidden="1"/>
    </xf>
    <xf numFmtId="0" fontId="51" fillId="4" borderId="58" xfId="0" applyFont="1" applyFill="1" applyBorder="1" applyAlignment="1" applyProtection="1">
      <alignment horizontal="center" vertical="center" wrapText="1"/>
      <protection hidden="1"/>
    </xf>
    <xf numFmtId="0" fontId="126" fillId="4" borderId="68" xfId="0" applyFont="1" applyFill="1" applyBorder="1" applyAlignment="1" applyProtection="1">
      <alignment horizontal="center" vertical="center" wrapText="1"/>
      <protection hidden="1"/>
    </xf>
    <xf numFmtId="0" fontId="126" fillId="4" borderId="77" xfId="0" applyFont="1" applyFill="1" applyBorder="1" applyAlignment="1" applyProtection="1">
      <alignment horizontal="center" vertical="center" wrapText="1"/>
      <protection hidden="1"/>
    </xf>
    <xf numFmtId="0" fontId="218" fillId="4" borderId="30" xfId="2" applyNumberFormat="1" applyFont="1" applyFill="1" applyBorder="1" applyAlignment="1" applyProtection="1">
      <alignment horizontal="center" vertical="center" wrapText="1"/>
      <protection hidden="1"/>
    </xf>
    <xf numFmtId="0" fontId="218" fillId="4" borderId="57" xfId="2" applyNumberFormat="1" applyFont="1" applyFill="1" applyBorder="1" applyAlignment="1" applyProtection="1">
      <alignment horizontal="center" vertical="center" wrapText="1"/>
      <protection hidden="1"/>
    </xf>
    <xf numFmtId="0" fontId="90" fillId="4" borderId="9" xfId="0" applyFont="1" applyFill="1" applyBorder="1" applyAlignment="1" applyProtection="1">
      <alignment horizontal="center" vertical="center" wrapText="1"/>
      <protection hidden="1"/>
    </xf>
    <xf numFmtId="0" fontId="90" fillId="4" borderId="77" xfId="0" applyFont="1" applyFill="1" applyBorder="1" applyAlignment="1" applyProtection="1">
      <alignment horizontal="center" vertical="center" wrapText="1"/>
      <protection hidden="1"/>
    </xf>
    <xf numFmtId="164" fontId="218" fillId="4" borderId="4" xfId="2" applyNumberFormat="1" applyFont="1" applyFill="1" applyBorder="1" applyAlignment="1" applyProtection="1">
      <alignment horizontal="center" vertical="center"/>
      <protection hidden="1"/>
    </xf>
    <xf numFmtId="164" fontId="218" fillId="4" borderId="3" xfId="2" applyNumberFormat="1" applyFont="1" applyFill="1" applyBorder="1" applyAlignment="1" applyProtection="1">
      <alignment horizontal="center" vertical="center"/>
      <protection hidden="1"/>
    </xf>
    <xf numFmtId="0" fontId="0" fillId="0" borderId="23" xfId="0" applyBorder="1" applyAlignment="1">
      <alignment horizontal="center"/>
    </xf>
    <xf numFmtId="164" fontId="0" fillId="0" borderId="43" xfId="0" applyNumberFormat="1" applyBorder="1" applyAlignment="1">
      <alignment horizontal="center" vertical="center" wrapText="1"/>
    </xf>
    <xf numFmtId="164" fontId="0" fillId="0" borderId="44" xfId="0" applyNumberFormat="1" applyBorder="1" applyAlignment="1">
      <alignment horizontal="center" vertical="center" wrapText="1"/>
    </xf>
    <xf numFmtId="164" fontId="0" fillId="0" borderId="30" xfId="0" applyNumberFormat="1" applyBorder="1" applyAlignment="1">
      <alignment horizontal="center" vertical="center" wrapText="1"/>
    </xf>
    <xf numFmtId="164" fontId="0" fillId="0" borderId="57" xfId="0" applyNumberFormat="1" applyBorder="1" applyAlignment="1">
      <alignment horizontal="center" vertical="center" wrapText="1"/>
    </xf>
    <xf numFmtId="0" fontId="0" fillId="0" borderId="54" xfId="0" applyBorder="1" applyAlignment="1">
      <alignment horizontal="center" vertical="center" wrapText="1"/>
    </xf>
    <xf numFmtId="0" fontId="0" fillId="0" borderId="58" xfId="0" applyBorder="1" applyAlignment="1">
      <alignment horizontal="center" vertical="center" wrapText="1"/>
    </xf>
    <xf numFmtId="0" fontId="0" fillId="0" borderId="16" xfId="0" applyBorder="1" applyAlignment="1">
      <alignment horizontal="center" vertical="center" wrapText="1"/>
    </xf>
    <xf numFmtId="0" fontId="0" fillId="0" borderId="39" xfId="0" applyBorder="1" applyAlignment="1">
      <alignment horizontal="center" vertical="center" wrapText="1"/>
    </xf>
    <xf numFmtId="0" fontId="0" fillId="0" borderId="59" xfId="0" applyBorder="1" applyAlignment="1">
      <alignment horizontal="center" vertical="center" wrapText="1"/>
    </xf>
    <xf numFmtId="0" fontId="0" fillId="0" borderId="60" xfId="0" applyBorder="1" applyAlignment="1">
      <alignment horizontal="center" vertical="center" wrapText="1"/>
    </xf>
    <xf numFmtId="0" fontId="64" fillId="0" borderId="61" xfId="0" applyFont="1" applyBorder="1" applyAlignment="1">
      <alignment horizontal="center" vertical="center" wrapText="1"/>
    </xf>
    <xf numFmtId="0" fontId="64" fillId="0" borderId="62" xfId="0" applyFont="1" applyBorder="1" applyAlignment="1">
      <alignment horizontal="center" vertical="center" wrapText="1"/>
    </xf>
    <xf numFmtId="0" fontId="69" fillId="0" borderId="63" xfId="0" applyFont="1" applyBorder="1" applyAlignment="1" applyProtection="1">
      <alignment horizontal="left" vertical="center"/>
      <protection hidden="1"/>
    </xf>
    <xf numFmtId="0" fontId="69" fillId="0" borderId="64" xfId="0" applyFont="1" applyBorder="1" applyAlignment="1" applyProtection="1">
      <alignment horizontal="left" vertical="center"/>
      <protection hidden="1"/>
    </xf>
    <xf numFmtId="0" fontId="69" fillId="0" borderId="4" xfId="0" applyFont="1" applyBorder="1" applyAlignment="1" applyProtection="1">
      <alignment horizontal="left"/>
      <protection hidden="1"/>
    </xf>
    <xf numFmtId="0" fontId="69" fillId="0" borderId="3" xfId="0" applyFont="1" applyBorder="1" applyAlignment="1" applyProtection="1">
      <alignment horizontal="left"/>
      <protection hidden="1"/>
    </xf>
    <xf numFmtId="0" fontId="69" fillId="0" borderId="54" xfId="0" applyFont="1" applyBorder="1" applyAlignment="1" applyProtection="1">
      <alignment horizontal="left"/>
      <protection hidden="1"/>
    </xf>
    <xf numFmtId="0" fontId="69" fillId="0" borderId="58" xfId="0" applyFont="1" applyBorder="1" applyAlignment="1" applyProtection="1">
      <alignment horizontal="left"/>
      <protection hidden="1"/>
    </xf>
    <xf numFmtId="1" fontId="0" fillId="4" borderId="68" xfId="0" applyNumberFormat="1" applyFill="1" applyBorder="1" applyAlignment="1" applyProtection="1">
      <alignment horizontal="center"/>
      <protection hidden="1"/>
    </xf>
    <xf numFmtId="1" fontId="0" fillId="4" borderId="9" xfId="0" applyNumberFormat="1" applyFill="1" applyBorder="1" applyAlignment="1" applyProtection="1">
      <alignment horizontal="center"/>
      <protection hidden="1"/>
    </xf>
    <xf numFmtId="1" fontId="0" fillId="4" borderId="77" xfId="0" applyNumberFormat="1" applyFill="1" applyBorder="1" applyAlignment="1" applyProtection="1">
      <alignment horizontal="center"/>
      <protection hidden="1"/>
    </xf>
    <xf numFmtId="0" fontId="82" fillId="4" borderId="43" xfId="0" applyFont="1" applyFill="1" applyBorder="1" applyAlignment="1">
      <alignment horizontal="center"/>
    </xf>
    <xf numFmtId="0" fontId="82" fillId="4" borderId="23" xfId="0" applyFont="1" applyFill="1" applyBorder="1" applyAlignment="1">
      <alignment horizontal="center"/>
    </xf>
    <xf numFmtId="0" fontId="82" fillId="4" borderId="44" xfId="0" applyFont="1" applyFill="1" applyBorder="1" applyAlignment="1">
      <alignment horizontal="center"/>
    </xf>
    <xf numFmtId="0" fontId="44" fillId="4" borderId="30" xfId="0" applyFont="1" applyFill="1" applyBorder="1" applyAlignment="1">
      <alignment horizontal="center" wrapText="1"/>
    </xf>
    <xf numFmtId="0" fontId="44" fillId="4" borderId="28" xfId="0" applyFont="1" applyFill="1" applyBorder="1" applyAlignment="1">
      <alignment horizontal="center" wrapText="1"/>
    </xf>
    <xf numFmtId="0" fontId="47" fillId="4" borderId="75" xfId="0" applyFont="1" applyFill="1" applyBorder="1" applyAlignment="1">
      <alignment horizontal="center"/>
    </xf>
    <xf numFmtId="0" fontId="91" fillId="4" borderId="76" xfId="0" applyFont="1" applyFill="1" applyBorder="1" applyAlignment="1">
      <alignment horizontal="center"/>
    </xf>
    <xf numFmtId="1" fontId="0" fillId="4" borderId="30" xfId="0" applyNumberFormat="1" applyFill="1" applyBorder="1" applyAlignment="1" applyProtection="1">
      <alignment horizontal="center"/>
      <protection hidden="1"/>
    </xf>
    <xf numFmtId="1" fontId="0" fillId="4" borderId="28" xfId="0" applyNumberFormat="1" applyFill="1" applyBorder="1" applyAlignment="1" applyProtection="1">
      <alignment horizontal="center"/>
      <protection hidden="1"/>
    </xf>
    <xf numFmtId="1" fontId="0" fillId="4" borderId="57" xfId="0" applyNumberFormat="1" applyFill="1" applyBorder="1" applyAlignment="1" applyProtection="1">
      <alignment horizontal="center"/>
      <protection hidden="1"/>
    </xf>
    <xf numFmtId="8" fontId="88" fillId="0" borderId="0" xfId="3" applyNumberFormat="1" applyFont="1" applyAlignment="1">
      <alignment horizontal="center"/>
    </xf>
    <xf numFmtId="0" fontId="172" fillId="4" borderId="0" xfId="2" applyNumberFormat="1" applyFont="1" applyFill="1" applyBorder="1" applyAlignment="1" applyProtection="1">
      <alignment horizontal="center" vertical="center"/>
      <protection hidden="1"/>
    </xf>
    <xf numFmtId="0" fontId="152" fillId="4" borderId="0" xfId="2" applyNumberFormat="1" applyFont="1" applyFill="1" applyBorder="1" applyAlignment="1" applyProtection="1">
      <alignment horizontal="center" vertical="center"/>
      <protection hidden="1"/>
    </xf>
    <xf numFmtId="0" fontId="45" fillId="4" borderId="59" xfId="0" applyFont="1" applyFill="1" applyBorder="1" applyAlignment="1">
      <alignment horizontal="center" vertical="center" wrapText="1"/>
    </xf>
    <xf numFmtId="0" fontId="45" fillId="4" borderId="196" xfId="0" applyFont="1" applyFill="1" applyBorder="1" applyAlignment="1">
      <alignment horizontal="center" vertical="center" wrapText="1"/>
    </xf>
    <xf numFmtId="0" fontId="45" fillId="4" borderId="143" xfId="0" applyFont="1" applyFill="1" applyBorder="1" applyAlignment="1">
      <alignment horizontal="center" wrapText="1"/>
    </xf>
    <xf numFmtId="0" fontId="45" fillId="4" borderId="197" xfId="0" applyFont="1" applyFill="1" applyBorder="1" applyAlignment="1">
      <alignment horizontal="center" wrapText="1"/>
    </xf>
    <xf numFmtId="0" fontId="47" fillId="4" borderId="114" xfId="0" applyFont="1" applyFill="1" applyBorder="1" applyAlignment="1">
      <alignment horizontal="center" vertical="center" wrapText="1"/>
    </xf>
    <xf numFmtId="0" fontId="47" fillId="4" borderId="199" xfId="0" applyFont="1" applyFill="1" applyBorder="1" applyAlignment="1">
      <alignment horizontal="center" vertical="center" wrapText="1"/>
    </xf>
    <xf numFmtId="0" fontId="47" fillId="4" borderId="59" xfId="0" applyFont="1" applyFill="1" applyBorder="1" applyAlignment="1" applyProtection="1">
      <alignment horizontal="right" wrapText="1"/>
      <protection hidden="1"/>
    </xf>
    <xf numFmtId="0" fontId="47" fillId="4" borderId="196" xfId="0" applyFont="1" applyFill="1" applyBorder="1" applyAlignment="1" applyProtection="1">
      <alignment horizontal="right" wrapText="1"/>
      <protection hidden="1"/>
    </xf>
    <xf numFmtId="14" fontId="45" fillId="4" borderId="72" xfId="0" applyNumberFormat="1" applyFont="1" applyFill="1" applyBorder="1" applyAlignment="1">
      <alignment horizontal="center" vertical="center" wrapText="1"/>
    </xf>
    <xf numFmtId="14" fontId="45" fillId="4" borderId="73" xfId="0" applyNumberFormat="1" applyFont="1" applyFill="1" applyBorder="1" applyAlignment="1">
      <alignment horizontal="center" vertical="center" wrapText="1"/>
    </xf>
    <xf numFmtId="0" fontId="45" fillId="4" borderId="75" xfId="0" applyFont="1" applyFill="1" applyBorder="1" applyAlignment="1" applyProtection="1">
      <alignment horizontal="center" vertical="center"/>
      <protection hidden="1"/>
    </xf>
    <xf numFmtId="0" fontId="45" fillId="4" borderId="201" xfId="0" applyFont="1" applyFill="1" applyBorder="1" applyAlignment="1" applyProtection="1">
      <alignment horizontal="center" vertical="center"/>
      <protection hidden="1"/>
    </xf>
    <xf numFmtId="0" fontId="45" fillId="4" borderId="76" xfId="0" applyFont="1" applyFill="1" applyBorder="1" applyAlignment="1" applyProtection="1">
      <alignment horizontal="center" vertical="center"/>
      <protection hidden="1"/>
    </xf>
    <xf numFmtId="0" fontId="82" fillId="4" borderId="43" xfId="0" applyFont="1" applyFill="1" applyBorder="1" applyAlignment="1" applyProtection="1">
      <alignment horizontal="left"/>
      <protection hidden="1"/>
    </xf>
    <xf numFmtId="0" fontId="82" fillId="4" borderId="23" xfId="0" applyFont="1" applyFill="1" applyBorder="1" applyAlignment="1" applyProtection="1">
      <alignment horizontal="left"/>
      <protection hidden="1"/>
    </xf>
    <xf numFmtId="0" fontId="82" fillId="4" borderId="44" xfId="0" applyFont="1" applyFill="1" applyBorder="1" applyAlignment="1" applyProtection="1">
      <alignment horizontal="left"/>
      <protection hidden="1"/>
    </xf>
    <xf numFmtId="0" fontId="47" fillId="4" borderId="16" xfId="0" applyFont="1" applyFill="1" applyBorder="1" applyAlignment="1" applyProtection="1">
      <alignment horizontal="center" vertical="center"/>
      <protection hidden="1"/>
    </xf>
    <xf numFmtId="0" fontId="47" fillId="4" borderId="18" xfId="0" applyFont="1" applyFill="1" applyBorder="1" applyAlignment="1" applyProtection="1">
      <alignment horizontal="center" vertical="center"/>
      <protection hidden="1"/>
    </xf>
    <xf numFmtId="0" fontId="47" fillId="4" borderId="39" xfId="0" applyFont="1" applyFill="1" applyBorder="1" applyAlignment="1" applyProtection="1">
      <alignment horizontal="center" vertical="center"/>
      <protection hidden="1"/>
    </xf>
    <xf numFmtId="0" fontId="44" fillId="4" borderId="65" xfId="0" applyFont="1" applyFill="1" applyBorder="1" applyAlignment="1" applyProtection="1">
      <alignment horizontal="center" wrapText="1"/>
      <protection hidden="1"/>
    </xf>
    <xf numFmtId="0" fontId="44" fillId="4" borderId="79" xfId="0" applyFont="1" applyFill="1" applyBorder="1" applyAlignment="1" applyProtection="1">
      <alignment horizontal="center" wrapText="1"/>
      <protection hidden="1"/>
    </xf>
    <xf numFmtId="0" fontId="44" fillId="4" borderId="20" xfId="0" applyFont="1" applyFill="1" applyBorder="1" applyAlignment="1" applyProtection="1">
      <alignment horizontal="center" wrapText="1"/>
      <protection hidden="1"/>
    </xf>
    <xf numFmtId="0" fontId="0" fillId="4" borderId="0" xfId="0" applyFill="1" applyAlignment="1">
      <alignment horizontal="center"/>
    </xf>
    <xf numFmtId="0" fontId="161" fillId="4" borderId="19" xfId="0" applyFont="1" applyFill="1" applyBorder="1" applyAlignment="1">
      <alignment horizontal="left" wrapText="1"/>
    </xf>
    <xf numFmtId="0" fontId="0" fillId="4" borderId="43" xfId="0" applyFill="1" applyBorder="1" applyAlignment="1" applyProtection="1">
      <alignment horizontal="center"/>
      <protection hidden="1"/>
    </xf>
    <xf numFmtId="0" fontId="0" fillId="4" borderId="23" xfId="0" applyFill="1" applyBorder="1" applyAlignment="1" applyProtection="1">
      <alignment horizontal="center"/>
      <protection hidden="1"/>
    </xf>
    <xf numFmtId="0" fontId="0" fillId="4" borderId="44" xfId="0" applyFill="1" applyBorder="1" applyAlignment="1" applyProtection="1">
      <alignment horizontal="center"/>
      <protection hidden="1"/>
    </xf>
    <xf numFmtId="0" fontId="91" fillId="4" borderId="16" xfId="0" applyFont="1" applyFill="1" applyBorder="1" applyAlignment="1" applyProtection="1">
      <alignment horizontal="center"/>
      <protection hidden="1"/>
    </xf>
    <xf numFmtId="0" fontId="91" fillId="4" borderId="18" xfId="0" applyFont="1" applyFill="1" applyBorder="1" applyAlignment="1" applyProtection="1">
      <alignment horizontal="center"/>
      <protection hidden="1"/>
    </xf>
    <xf numFmtId="0" fontId="91" fillId="4" borderId="39" xfId="0" applyFont="1" applyFill="1" applyBorder="1" applyAlignment="1" applyProtection="1">
      <alignment horizontal="center"/>
      <protection hidden="1"/>
    </xf>
    <xf numFmtId="0" fontId="47" fillId="4" borderId="0" xfId="0" applyFont="1" applyFill="1" applyAlignment="1">
      <alignment horizontal="center"/>
    </xf>
    <xf numFmtId="0" fontId="47" fillId="4" borderId="43" xfId="0" applyFont="1" applyFill="1" applyBorder="1" applyAlignment="1" applyProtection="1">
      <alignment horizontal="center" vertical="center" wrapText="1"/>
      <protection hidden="1"/>
    </xf>
    <xf numFmtId="0" fontId="47" fillId="4" borderId="23" xfId="0" applyFont="1" applyFill="1" applyBorder="1" applyAlignment="1" applyProtection="1">
      <alignment horizontal="center" vertical="center" wrapText="1"/>
      <protection hidden="1"/>
    </xf>
    <xf numFmtId="0" fontId="47" fillId="4" borderId="19" xfId="0" applyFont="1" applyFill="1" applyBorder="1" applyAlignment="1" applyProtection="1">
      <alignment horizontal="center" vertical="center" wrapText="1"/>
      <protection hidden="1"/>
    </xf>
    <xf numFmtId="0" fontId="47" fillId="4" borderId="0" xfId="0" applyFont="1" applyFill="1" applyAlignment="1" applyProtection="1">
      <alignment horizontal="center" vertical="center" wrapText="1"/>
      <protection hidden="1"/>
    </xf>
    <xf numFmtId="0" fontId="47" fillId="4" borderId="16" xfId="0" applyFont="1" applyFill="1" applyBorder="1" applyAlignment="1" applyProtection="1">
      <alignment horizontal="center" vertical="center" wrapText="1"/>
      <protection hidden="1"/>
    </xf>
    <xf numFmtId="0" fontId="47" fillId="4" borderId="18" xfId="0" applyFont="1" applyFill="1" applyBorder="1" applyAlignment="1" applyProtection="1">
      <alignment horizontal="center" vertical="center" wrapText="1"/>
      <protection hidden="1"/>
    </xf>
    <xf numFmtId="0" fontId="83" fillId="4" borderId="69" xfId="0" applyFont="1" applyFill="1" applyBorder="1" applyAlignment="1" applyProtection="1">
      <alignment horizontal="center" vertical="center"/>
      <protection hidden="1"/>
    </xf>
    <xf numFmtId="0" fontId="83" fillId="4" borderId="71" xfId="0" applyFont="1" applyFill="1" applyBorder="1" applyAlignment="1" applyProtection="1">
      <alignment horizontal="center" vertical="center"/>
      <protection hidden="1"/>
    </xf>
    <xf numFmtId="0" fontId="83" fillId="4" borderId="70" xfId="0" applyFont="1" applyFill="1" applyBorder="1" applyAlignment="1" applyProtection="1">
      <alignment horizontal="center" vertical="center"/>
      <protection hidden="1"/>
    </xf>
    <xf numFmtId="0" fontId="83" fillId="4" borderId="19" xfId="0" applyFont="1" applyFill="1" applyBorder="1" applyAlignment="1" applyProtection="1">
      <alignment horizontal="center" vertical="center"/>
      <protection hidden="1"/>
    </xf>
    <xf numFmtId="0" fontId="83" fillId="4" borderId="0" xfId="0" applyFont="1" applyFill="1" applyAlignment="1" applyProtection="1">
      <alignment horizontal="center" vertical="center"/>
      <protection hidden="1"/>
    </xf>
    <xf numFmtId="0" fontId="83" fillId="4" borderId="15" xfId="0" applyFont="1" applyFill="1" applyBorder="1" applyAlignment="1" applyProtection="1">
      <alignment horizontal="center" vertical="center"/>
      <protection hidden="1"/>
    </xf>
    <xf numFmtId="0" fontId="83" fillId="4" borderId="16" xfId="0" applyFont="1" applyFill="1" applyBorder="1" applyAlignment="1" applyProtection="1">
      <alignment horizontal="center" vertical="center"/>
      <protection hidden="1"/>
    </xf>
    <xf numFmtId="0" fontId="83" fillId="4" borderId="18" xfId="0" applyFont="1" applyFill="1" applyBorder="1" applyAlignment="1" applyProtection="1">
      <alignment horizontal="center" vertical="center"/>
      <protection hidden="1"/>
    </xf>
    <xf numFmtId="0" fontId="83" fillId="4" borderId="39" xfId="0" applyFont="1" applyFill="1" applyBorder="1" applyAlignment="1" applyProtection="1">
      <alignment horizontal="center" vertical="center"/>
      <protection hidden="1"/>
    </xf>
    <xf numFmtId="8" fontId="88" fillId="4" borderId="82" xfId="8" applyNumberFormat="1" applyFont="1" applyFill="1" applyBorder="1" applyAlignment="1" applyProtection="1">
      <alignment horizontal="center" vertical="center"/>
      <protection hidden="1"/>
    </xf>
    <xf numFmtId="8" fontId="88" fillId="4" borderId="6" xfId="8" applyNumberFormat="1" applyFont="1" applyFill="1" applyBorder="1" applyAlignment="1" applyProtection="1">
      <alignment horizontal="center" vertical="center"/>
      <protection hidden="1"/>
    </xf>
    <xf numFmtId="0" fontId="44" fillId="4" borderId="2" xfId="0" applyFont="1" applyFill="1" applyBorder="1" applyAlignment="1" applyProtection="1">
      <alignment horizontal="left" vertical="center"/>
      <protection hidden="1"/>
    </xf>
    <xf numFmtId="0" fontId="44" fillId="4" borderId="63" xfId="0" applyFont="1" applyFill="1" applyBorder="1" applyAlignment="1" applyProtection="1">
      <alignment horizontal="left" vertical="center"/>
      <protection hidden="1"/>
    </xf>
    <xf numFmtId="0" fontId="0" fillId="4" borderId="67" xfId="0" applyFill="1" applyBorder="1" applyAlignment="1" applyProtection="1">
      <alignment horizontal="left" vertical="center"/>
      <protection hidden="1"/>
    </xf>
    <xf numFmtId="10" fontId="99" fillId="4" borderId="21" xfId="3" applyNumberFormat="1" applyFont="1" applyFill="1" applyBorder="1" applyAlignment="1" applyProtection="1">
      <alignment horizontal="right" vertical="center"/>
      <protection hidden="1"/>
    </xf>
    <xf numFmtId="0" fontId="88" fillId="4" borderId="2" xfId="0" applyFont="1" applyFill="1" applyBorder="1" applyAlignment="1">
      <alignment horizontal="left" vertical="top"/>
    </xf>
    <xf numFmtId="177" fontId="76" fillId="4" borderId="38" xfId="0" applyNumberFormat="1" applyFont="1" applyFill="1" applyBorder="1" applyAlignment="1" applyProtection="1">
      <alignment horizontal="center" vertical="center"/>
      <protection hidden="1"/>
    </xf>
    <xf numFmtId="177" fontId="76" fillId="4" borderId="66" xfId="0" applyNumberFormat="1" applyFont="1" applyFill="1" applyBorder="1" applyAlignment="1" applyProtection="1">
      <alignment horizontal="center" vertical="center"/>
      <protection hidden="1"/>
    </xf>
    <xf numFmtId="177" fontId="76" fillId="4" borderId="40" xfId="0" applyNumberFormat="1" applyFont="1" applyFill="1" applyBorder="1" applyAlignment="1" applyProtection="1">
      <alignment horizontal="center" vertical="center"/>
      <protection hidden="1"/>
    </xf>
    <xf numFmtId="3" fontId="76" fillId="4" borderId="38" xfId="0" applyNumberFormat="1" applyFont="1" applyFill="1" applyBorder="1" applyAlignment="1" applyProtection="1">
      <alignment horizontal="center" vertical="center"/>
      <protection hidden="1"/>
    </xf>
    <xf numFmtId="3" fontId="76" fillId="4" borderId="66" xfId="0" applyNumberFormat="1" applyFont="1" applyFill="1" applyBorder="1" applyAlignment="1" applyProtection="1">
      <alignment horizontal="center" vertical="center"/>
      <protection hidden="1"/>
    </xf>
    <xf numFmtId="3" fontId="76" fillId="4" borderId="40" xfId="0" applyNumberFormat="1" applyFont="1" applyFill="1" applyBorder="1" applyAlignment="1" applyProtection="1">
      <alignment horizontal="center" vertical="center"/>
      <protection hidden="1"/>
    </xf>
    <xf numFmtId="8" fontId="44" fillId="0" borderId="10" xfId="3" applyNumberFormat="1" applyFont="1" applyBorder="1" applyAlignment="1" applyProtection="1">
      <alignment horizontal="center" vertical="center"/>
      <protection locked="0"/>
    </xf>
    <xf numFmtId="8" fontId="44" fillId="0" borderId="2" xfId="3" applyNumberFormat="1" applyFont="1" applyBorder="1" applyAlignment="1" applyProtection="1">
      <alignment horizontal="center" vertical="center"/>
      <protection locked="0"/>
    </xf>
    <xf numFmtId="0" fontId="83" fillId="4" borderId="69" xfId="0" applyFont="1" applyFill="1" applyBorder="1" applyAlignment="1">
      <alignment horizontal="center" vertical="center"/>
    </xf>
    <xf numFmtId="0" fontId="83" fillId="4" borderId="70" xfId="0" applyFont="1" applyFill="1" applyBorder="1" applyAlignment="1">
      <alignment horizontal="center" vertical="center"/>
    </xf>
    <xf numFmtId="3" fontId="44" fillId="4" borderId="69" xfId="0" applyNumberFormat="1" applyFont="1" applyFill="1" applyBorder="1" applyAlignment="1" applyProtection="1">
      <alignment horizontal="center" vertical="center"/>
      <protection hidden="1"/>
    </xf>
    <xf numFmtId="3" fontId="44" fillId="4" borderId="71" xfId="0" applyNumberFormat="1" applyFont="1" applyFill="1" applyBorder="1" applyAlignment="1" applyProtection="1">
      <alignment horizontal="center" vertical="center"/>
      <protection hidden="1"/>
    </xf>
    <xf numFmtId="3" fontId="44" fillId="4" borderId="70" xfId="0" applyNumberFormat="1" applyFont="1" applyFill="1" applyBorder="1" applyAlignment="1" applyProtection="1">
      <alignment horizontal="center" vertical="center"/>
      <protection hidden="1"/>
    </xf>
    <xf numFmtId="0" fontId="88" fillId="4" borderId="2" xfId="0" applyFont="1" applyFill="1" applyBorder="1" applyAlignment="1">
      <alignment horizontal="left"/>
    </xf>
    <xf numFmtId="0" fontId="88" fillId="4" borderId="1" xfId="0" applyFont="1" applyFill="1" applyBorder="1" applyAlignment="1">
      <alignment horizontal="left" vertical="top"/>
    </xf>
    <xf numFmtId="0" fontId="88" fillId="4" borderId="10" xfId="0" applyFont="1" applyFill="1" applyBorder="1" applyAlignment="1">
      <alignment horizontal="left" vertical="top"/>
    </xf>
    <xf numFmtId="8" fontId="88" fillId="4" borderId="28" xfId="0" applyNumberFormat="1" applyFont="1" applyFill="1" applyBorder="1" applyAlignment="1">
      <alignment horizontal="center"/>
    </xf>
    <xf numFmtId="0" fontId="91" fillId="4" borderId="4" xfId="0" applyFont="1" applyFill="1" applyBorder="1" applyAlignment="1">
      <alignment horizontal="center" vertical="center" wrapText="1"/>
    </xf>
    <xf numFmtId="0" fontId="91" fillId="4" borderId="2" xfId="0" applyFont="1" applyFill="1" applyBorder="1" applyAlignment="1">
      <alignment horizontal="center" vertical="center" wrapText="1"/>
    </xf>
    <xf numFmtId="0" fontId="91" fillId="4" borderId="3" xfId="0" applyFont="1" applyFill="1" applyBorder="1" applyAlignment="1">
      <alignment horizontal="center" vertical="center" wrapText="1"/>
    </xf>
    <xf numFmtId="14" fontId="86" fillId="0" borderId="2" xfId="0" applyNumberFormat="1" applyFont="1" applyBorder="1" applyAlignment="1">
      <alignment horizontal="center"/>
    </xf>
    <xf numFmtId="0" fontId="86" fillId="4" borderId="43" xfId="0" applyFont="1" applyFill="1" applyBorder="1" applyAlignment="1">
      <alignment horizontal="center" vertical="center" wrapText="1"/>
    </xf>
    <xf numFmtId="0" fontId="86" fillId="4" borderId="23" xfId="0" applyFont="1" applyFill="1" applyBorder="1" applyAlignment="1">
      <alignment horizontal="center" vertical="center" wrapText="1"/>
    </xf>
    <xf numFmtId="0" fontId="86" fillId="4" borderId="44" xfId="0" applyFont="1" applyFill="1" applyBorder="1" applyAlignment="1">
      <alignment horizontal="center" vertical="center" wrapText="1"/>
    </xf>
    <xf numFmtId="0" fontId="86" fillId="4" borderId="19" xfId="0" applyFont="1" applyFill="1" applyBorder="1" applyAlignment="1">
      <alignment horizontal="center" vertical="center" wrapText="1"/>
    </xf>
    <xf numFmtId="0" fontId="86" fillId="4" borderId="0" xfId="0" applyFont="1" applyFill="1" applyAlignment="1">
      <alignment horizontal="center" vertical="center" wrapText="1"/>
    </xf>
    <xf numFmtId="0" fontId="86" fillId="4" borderId="15" xfId="0" applyFont="1" applyFill="1" applyBorder="1" applyAlignment="1">
      <alignment horizontal="center" vertical="center" wrapText="1"/>
    </xf>
    <xf numFmtId="0" fontId="86" fillId="4" borderId="30" xfId="0" applyFont="1" applyFill="1" applyBorder="1" applyAlignment="1">
      <alignment horizontal="center" vertical="center" wrapText="1"/>
    </xf>
    <xf numFmtId="0" fontId="86" fillId="4" borderId="28" xfId="0" applyFont="1" applyFill="1" applyBorder="1" applyAlignment="1">
      <alignment horizontal="center" vertical="center" wrapText="1"/>
    </xf>
    <xf numFmtId="0" fontId="86" fillId="4" borderId="57" xfId="0" applyFont="1" applyFill="1" applyBorder="1" applyAlignment="1">
      <alignment horizontal="center" vertical="center" wrapText="1"/>
    </xf>
    <xf numFmtId="0" fontId="0" fillId="0" borderId="15" xfId="0" applyBorder="1" applyAlignment="1">
      <alignment horizontal="center"/>
    </xf>
    <xf numFmtId="168" fontId="119" fillId="0" borderId="21" xfId="0" applyNumberFormat="1" applyFont="1" applyBorder="1" applyAlignment="1">
      <alignment horizontal="center" vertical="center" wrapText="1"/>
    </xf>
    <xf numFmtId="168" fontId="119" fillId="0" borderId="2" xfId="0" applyNumberFormat="1" applyFont="1" applyBorder="1" applyAlignment="1">
      <alignment horizontal="center" vertical="center" wrapText="1"/>
    </xf>
    <xf numFmtId="168" fontId="119" fillId="0" borderId="22" xfId="0" applyNumberFormat="1" applyFont="1" applyBorder="1" applyAlignment="1">
      <alignment horizontal="center" vertical="center" wrapText="1"/>
    </xf>
    <xf numFmtId="168" fontId="119" fillId="0" borderId="3" xfId="0" applyNumberFormat="1" applyFont="1" applyBorder="1" applyAlignment="1">
      <alignment horizontal="center" vertical="center" wrapText="1"/>
    </xf>
    <xf numFmtId="0" fontId="110" fillId="0" borderId="88" xfId="0" applyFont="1" applyBorder="1" applyAlignment="1">
      <alignment horizontal="center" vertical="center"/>
    </xf>
    <xf numFmtId="0" fontId="110" fillId="0" borderId="89" xfId="0" applyFont="1" applyBorder="1" applyAlignment="1">
      <alignment horizontal="center" vertical="center"/>
    </xf>
    <xf numFmtId="0" fontId="110" fillId="0" borderId="90" xfId="0" applyFont="1" applyBorder="1" applyAlignment="1">
      <alignment horizontal="center" vertical="center"/>
    </xf>
    <xf numFmtId="0" fontId="110" fillId="0" borderId="91" xfId="0" applyFont="1" applyBorder="1" applyAlignment="1">
      <alignment horizontal="center" vertical="center"/>
    </xf>
    <xf numFmtId="0" fontId="110" fillId="0" borderId="92" xfId="0" applyFont="1" applyBorder="1" applyAlignment="1">
      <alignment horizontal="center" vertical="center"/>
    </xf>
    <xf numFmtId="0" fontId="110" fillId="0" borderId="93" xfId="0" applyFont="1" applyBorder="1" applyAlignment="1">
      <alignment horizontal="center" vertical="center"/>
    </xf>
    <xf numFmtId="0" fontId="91" fillId="4" borderId="43" xfId="0" applyFont="1" applyFill="1" applyBorder="1" applyAlignment="1">
      <alignment horizontal="center" vertical="center" wrapText="1"/>
    </xf>
    <xf numFmtId="0" fontId="91" fillId="4" borderId="23" xfId="0" applyFont="1" applyFill="1" applyBorder="1" applyAlignment="1">
      <alignment horizontal="center" vertical="center" wrapText="1"/>
    </xf>
    <xf numFmtId="0" fontId="91" fillId="4" borderId="44" xfId="0" applyFont="1" applyFill="1" applyBorder="1" applyAlignment="1">
      <alignment horizontal="center" vertical="center" wrapText="1"/>
    </xf>
    <xf numFmtId="0" fontId="91" fillId="4" borderId="16" xfId="0" applyFont="1" applyFill="1" applyBorder="1" applyAlignment="1">
      <alignment horizontal="center" vertical="center" wrapText="1"/>
    </xf>
    <xf numFmtId="0" fontId="91" fillId="4" borderId="18" xfId="0" applyFont="1" applyFill="1" applyBorder="1" applyAlignment="1">
      <alignment horizontal="center" vertical="center" wrapText="1"/>
    </xf>
    <xf numFmtId="0" fontId="91" fillId="4" borderId="39" xfId="0" applyFont="1" applyFill="1" applyBorder="1" applyAlignment="1">
      <alignment horizontal="center" vertical="center" wrapText="1"/>
    </xf>
    <xf numFmtId="0" fontId="0" fillId="0" borderId="43" xfId="0" applyBorder="1" applyAlignment="1">
      <alignment horizontal="center"/>
    </xf>
    <xf numFmtId="0" fontId="0" fillId="0" borderId="44" xfId="0" applyBorder="1" applyAlignment="1">
      <alignment horizontal="center"/>
    </xf>
    <xf numFmtId="0" fontId="86" fillId="4" borderId="2" xfId="0" applyFont="1" applyFill="1" applyBorder="1" applyAlignment="1">
      <alignment horizontal="right" vertical="center"/>
    </xf>
    <xf numFmtId="0" fontId="86" fillId="4" borderId="4" xfId="0" applyFont="1" applyFill="1" applyBorder="1" applyAlignment="1">
      <alignment horizontal="right"/>
    </xf>
    <xf numFmtId="0" fontId="86" fillId="4" borderId="2" xfId="0" applyFont="1" applyFill="1" applyBorder="1" applyAlignment="1">
      <alignment horizontal="right"/>
    </xf>
    <xf numFmtId="168" fontId="119" fillId="0" borderId="24" xfId="0" applyNumberFormat="1" applyFont="1" applyBorder="1" applyAlignment="1">
      <alignment horizontal="center" vertical="center" textRotation="90" wrapText="1"/>
    </xf>
    <xf numFmtId="168" fontId="119" fillId="0" borderId="4" xfId="0" applyNumberFormat="1" applyFont="1" applyBorder="1" applyAlignment="1">
      <alignment horizontal="center" vertical="center" textRotation="90" wrapText="1"/>
    </xf>
    <xf numFmtId="0" fontId="97" fillId="9" borderId="43" xfId="0" applyFont="1" applyFill="1" applyBorder="1" applyAlignment="1">
      <alignment horizontal="center" vertical="center"/>
    </xf>
    <xf numFmtId="0" fontId="97" fillId="9" borderId="23" xfId="0" applyFont="1" applyFill="1" applyBorder="1" applyAlignment="1">
      <alignment horizontal="center" vertical="center"/>
    </xf>
    <xf numFmtId="0" fontId="97" fillId="9" borderId="44" xfId="0" applyFont="1" applyFill="1" applyBorder="1" applyAlignment="1">
      <alignment horizontal="center" vertical="center"/>
    </xf>
    <xf numFmtId="0" fontId="97" fillId="9" borderId="19" xfId="0" applyFont="1" applyFill="1" applyBorder="1" applyAlignment="1">
      <alignment horizontal="center" vertical="center"/>
    </xf>
    <xf numFmtId="0" fontId="97" fillId="9" borderId="0" xfId="0" applyFont="1" applyFill="1" applyAlignment="1">
      <alignment horizontal="center" vertical="center"/>
    </xf>
    <xf numFmtId="0" fontId="97" fillId="9" borderId="15" xfId="0" applyFont="1" applyFill="1" applyBorder="1" applyAlignment="1">
      <alignment horizontal="center" vertical="center"/>
    </xf>
    <xf numFmtId="0" fontId="97" fillId="9" borderId="30" xfId="0" applyFont="1" applyFill="1" applyBorder="1" applyAlignment="1">
      <alignment horizontal="center" vertical="center"/>
    </xf>
    <xf numFmtId="0" fontId="97" fillId="9" borderId="28" xfId="0" applyFont="1" applyFill="1" applyBorder="1" applyAlignment="1">
      <alignment horizontal="center" vertical="center"/>
    </xf>
    <xf numFmtId="0" fontId="97" fillId="9" borderId="57" xfId="0" applyFont="1" applyFill="1" applyBorder="1" applyAlignment="1">
      <alignment horizontal="center" vertical="center"/>
    </xf>
    <xf numFmtId="168" fontId="118" fillId="0" borderId="5" xfId="0" applyNumberFormat="1" applyFont="1" applyBorder="1" applyAlignment="1">
      <alignment horizontal="center"/>
    </xf>
    <xf numFmtId="168" fontId="118" fillId="0" borderId="6" xfId="0" applyNumberFormat="1" applyFont="1" applyBorder="1" applyAlignment="1">
      <alignment horizontal="center"/>
    </xf>
    <xf numFmtId="168" fontId="118" fillId="0" borderId="7" xfId="0" applyNumberFormat="1" applyFont="1" applyBorder="1" applyAlignment="1">
      <alignment horizontal="center"/>
    </xf>
    <xf numFmtId="0" fontId="86" fillId="6" borderId="88" xfId="0" applyFont="1" applyFill="1" applyBorder="1" applyAlignment="1">
      <alignment horizontal="center" vertical="center"/>
    </xf>
    <xf numFmtId="0" fontId="86" fillId="6" borderId="89" xfId="0" applyFont="1" applyFill="1" applyBorder="1" applyAlignment="1">
      <alignment horizontal="center" vertical="center"/>
    </xf>
    <xf numFmtId="0" fontId="86" fillId="6" borderId="90" xfId="0" applyFont="1" applyFill="1" applyBorder="1" applyAlignment="1">
      <alignment horizontal="center" vertical="center"/>
    </xf>
    <xf numFmtId="0" fontId="86" fillId="6" borderId="94" xfId="0" applyFont="1" applyFill="1" applyBorder="1" applyAlignment="1">
      <alignment horizontal="center" vertical="center"/>
    </xf>
    <xf numFmtId="0" fontId="86" fillId="6" borderId="0" xfId="0" applyFont="1" applyFill="1" applyAlignment="1">
      <alignment horizontal="center" vertical="center"/>
    </xf>
    <xf numFmtId="0" fontId="86" fillId="6" borderId="95" xfId="0" applyFont="1" applyFill="1" applyBorder="1" applyAlignment="1">
      <alignment horizontal="center" vertical="center"/>
    </xf>
    <xf numFmtId="0" fontId="0" fillId="0" borderId="2" xfId="0" applyBorder="1" applyAlignment="1">
      <alignment horizontal="center"/>
    </xf>
    <xf numFmtId="0" fontId="86" fillId="6" borderId="94" xfId="0" applyFont="1" applyFill="1" applyBorder="1" applyAlignment="1">
      <alignment horizontal="center" vertical="center" textRotation="90"/>
    </xf>
    <xf numFmtId="0" fontId="86" fillId="6" borderId="91" xfId="0" applyFont="1" applyFill="1" applyBorder="1" applyAlignment="1">
      <alignment horizontal="center" vertical="center" textRotation="90"/>
    </xf>
    <xf numFmtId="10" fontId="86" fillId="9" borderId="2" xfId="3" applyNumberFormat="1" applyFont="1" applyFill="1" applyBorder="1" applyAlignment="1">
      <alignment horizontal="center"/>
    </xf>
    <xf numFmtId="10" fontId="86" fillId="9" borderId="3" xfId="3" applyNumberFormat="1" applyFont="1" applyFill="1" applyBorder="1" applyAlignment="1">
      <alignment horizontal="center"/>
    </xf>
    <xf numFmtId="2" fontId="0" fillId="9" borderId="2" xfId="0" applyNumberFormat="1" applyFill="1" applyBorder="1" applyAlignment="1">
      <alignment horizontal="center"/>
    </xf>
    <xf numFmtId="0" fontId="0" fillId="9" borderId="3" xfId="0" applyFill="1" applyBorder="1" applyAlignment="1">
      <alignment horizontal="center"/>
    </xf>
    <xf numFmtId="2" fontId="86" fillId="9" borderId="6" xfId="0" applyNumberFormat="1" applyFont="1" applyFill="1" applyBorder="1" applyAlignment="1">
      <alignment horizontal="center"/>
    </xf>
    <xf numFmtId="2" fontId="86" fillId="9" borderId="7" xfId="0" applyNumberFormat="1" applyFont="1" applyFill="1" applyBorder="1" applyAlignment="1">
      <alignment horizontal="center"/>
    </xf>
    <xf numFmtId="0" fontId="86" fillId="9" borderId="24" xfId="0" applyFont="1" applyFill="1" applyBorder="1" applyAlignment="1">
      <alignment horizontal="center" vertical="center"/>
    </xf>
    <xf numFmtId="0" fontId="86" fillId="9" borderId="21" xfId="0" applyFont="1" applyFill="1" applyBorder="1" applyAlignment="1">
      <alignment horizontal="center" vertical="center"/>
    </xf>
    <xf numFmtId="0" fontId="86" fillId="9" borderId="22" xfId="0" applyFont="1" applyFill="1" applyBorder="1" applyAlignment="1">
      <alignment horizontal="center" vertical="center"/>
    </xf>
    <xf numFmtId="0" fontId="86" fillId="9" borderId="4" xfId="0" applyFont="1" applyFill="1" applyBorder="1" applyAlignment="1">
      <alignment horizontal="center" vertical="center"/>
    </xf>
    <xf numFmtId="0" fontId="86" fillId="9" borderId="2" xfId="0" applyFont="1" applyFill="1" applyBorder="1" applyAlignment="1">
      <alignment horizontal="center" vertical="center"/>
    </xf>
    <xf numFmtId="0" fontId="86" fillId="9" borderId="3" xfId="0" applyFont="1" applyFill="1" applyBorder="1" applyAlignment="1">
      <alignment horizontal="center" vertical="center"/>
    </xf>
    <xf numFmtId="0" fontId="0" fillId="0" borderId="2" xfId="0" applyBorder="1" applyAlignment="1" applyProtection="1">
      <alignment horizontal="center"/>
      <protection locked="0"/>
    </xf>
    <xf numFmtId="0" fontId="0" fillId="0" borderId="3" xfId="0" applyBorder="1" applyAlignment="1" applyProtection="1">
      <alignment horizontal="center"/>
      <protection locked="0"/>
    </xf>
    <xf numFmtId="8" fontId="0" fillId="0" borderId="2" xfId="0" applyNumberFormat="1" applyBorder="1" applyAlignment="1" applyProtection="1">
      <alignment horizontal="center"/>
      <protection locked="0"/>
    </xf>
    <xf numFmtId="8" fontId="0" fillId="0" borderId="3" xfId="0" applyNumberFormat="1" applyBorder="1" applyAlignment="1" applyProtection="1">
      <alignment horizontal="center"/>
      <protection locked="0"/>
    </xf>
    <xf numFmtId="9" fontId="0" fillId="0" borderId="2" xfId="0" applyNumberFormat="1" applyBorder="1" applyAlignment="1" applyProtection="1">
      <alignment horizontal="center"/>
      <protection locked="0"/>
    </xf>
    <xf numFmtId="9" fontId="0" fillId="0" borderId="3" xfId="0" applyNumberFormat="1" applyBorder="1" applyAlignment="1" applyProtection="1">
      <alignment horizontal="center"/>
      <protection locked="0"/>
    </xf>
    <xf numFmtId="8" fontId="0" fillId="9" borderId="2" xfId="0" applyNumberFormat="1" applyFill="1" applyBorder="1" applyAlignment="1">
      <alignment horizontal="center"/>
    </xf>
    <xf numFmtId="8" fontId="0" fillId="9" borderId="3" xfId="0" applyNumberFormat="1" applyFill="1" applyBorder="1" applyAlignment="1">
      <alignment horizontal="center"/>
    </xf>
    <xf numFmtId="8" fontId="86" fillId="9" borderId="42" xfId="0" applyNumberFormat="1" applyFont="1" applyFill="1" applyBorder="1" applyAlignment="1">
      <alignment horizontal="center" vertical="center"/>
    </xf>
    <xf numFmtId="8" fontId="86" fillId="9" borderId="58" xfId="0" applyNumberFormat="1" applyFont="1" applyFill="1" applyBorder="1" applyAlignment="1">
      <alignment horizontal="center" vertical="center"/>
    </xf>
    <xf numFmtId="8" fontId="86" fillId="9" borderId="31" xfId="0" applyNumberFormat="1" applyFont="1" applyFill="1" applyBorder="1" applyAlignment="1">
      <alignment horizontal="center" vertical="center"/>
    </xf>
    <xf numFmtId="8" fontId="86" fillId="9" borderId="57" xfId="0" applyNumberFormat="1" applyFont="1" applyFill="1" applyBorder="1" applyAlignment="1">
      <alignment horizontal="center" vertical="center"/>
    </xf>
    <xf numFmtId="0" fontId="86" fillId="9" borderId="13" xfId="0" applyFont="1" applyFill="1" applyBorder="1" applyAlignment="1">
      <alignment horizontal="center" wrapText="1"/>
    </xf>
    <xf numFmtId="0" fontId="86" fillId="9" borderId="26" xfId="0" applyFont="1" applyFill="1" applyBorder="1" applyAlignment="1">
      <alignment horizontal="center" wrapText="1"/>
    </xf>
    <xf numFmtId="0" fontId="119" fillId="0" borderId="24" xfId="0" applyFont="1" applyBorder="1" applyAlignment="1">
      <alignment horizontal="center" vertical="center" textRotation="90" wrapText="1"/>
    </xf>
    <xf numFmtId="0" fontId="119" fillId="0" borderId="4" xfId="0" applyFont="1" applyBorder="1" applyAlignment="1">
      <alignment horizontal="center" vertical="center" textRotation="90" wrapText="1"/>
    </xf>
    <xf numFmtId="168" fontId="176" fillId="0" borderId="43" xfId="2" applyNumberFormat="1" applyFont="1" applyBorder="1" applyAlignment="1" applyProtection="1">
      <alignment horizontal="center" vertical="center"/>
    </xf>
    <xf numFmtId="168" fontId="176" fillId="0" borderId="23" xfId="2" applyNumberFormat="1" applyFont="1" applyBorder="1" applyAlignment="1" applyProtection="1">
      <alignment horizontal="center" vertical="center"/>
    </xf>
    <xf numFmtId="168" fontId="176" fillId="0" borderId="19" xfId="2" applyNumberFormat="1" applyFont="1" applyBorder="1" applyAlignment="1" applyProtection="1">
      <alignment horizontal="center" vertical="center"/>
    </xf>
    <xf numFmtId="168" fontId="176" fillId="0" borderId="0" xfId="2" applyNumberFormat="1" applyFont="1" applyBorder="1" applyAlignment="1" applyProtection="1">
      <alignment horizontal="center" vertical="center"/>
    </xf>
    <xf numFmtId="168" fontId="48" fillId="0" borderId="4" xfId="0" applyNumberFormat="1" applyFont="1" applyBorder="1" applyAlignment="1">
      <alignment horizontal="center"/>
    </xf>
    <xf numFmtId="168" fontId="48" fillId="0" borderId="2" xfId="0" applyNumberFormat="1" applyFont="1" applyBorder="1" applyAlignment="1">
      <alignment horizontal="center"/>
    </xf>
    <xf numFmtId="168" fontId="48" fillId="0" borderId="3" xfId="0" applyNumberFormat="1" applyFont="1" applyBorder="1" applyAlignment="1">
      <alignment horizontal="center"/>
    </xf>
    <xf numFmtId="168" fontId="117" fillId="0" borderId="4" xfId="0" applyNumberFormat="1" applyFont="1" applyBorder="1" applyAlignment="1">
      <alignment horizontal="center"/>
    </xf>
    <xf numFmtId="168" fontId="117" fillId="0" borderId="2" xfId="0" applyNumberFormat="1" applyFont="1" applyBorder="1" applyAlignment="1">
      <alignment horizontal="center"/>
    </xf>
    <xf numFmtId="168" fontId="117" fillId="0" borderId="3" xfId="0" applyNumberFormat="1" applyFont="1" applyBorder="1" applyAlignment="1">
      <alignment horizontal="center"/>
    </xf>
    <xf numFmtId="0" fontId="0" fillId="0" borderId="0" xfId="0" applyAlignment="1" applyProtection="1">
      <alignment horizontal="center" wrapText="1"/>
      <protection hidden="1"/>
    </xf>
    <xf numFmtId="0" fontId="86" fillId="4" borderId="19" xfId="0" applyFont="1" applyFill="1" applyBorder="1" applyAlignment="1" applyProtection="1">
      <alignment horizontal="center" vertical="center" wrapText="1"/>
      <protection hidden="1"/>
    </xf>
    <xf numFmtId="0" fontId="86" fillId="4" borderId="15" xfId="0" applyFont="1" applyFill="1" applyBorder="1" applyAlignment="1" applyProtection="1">
      <alignment horizontal="center" vertical="center" wrapText="1"/>
      <protection hidden="1"/>
    </xf>
    <xf numFmtId="0" fontId="86" fillId="4" borderId="30" xfId="0" applyFont="1" applyFill="1" applyBorder="1" applyAlignment="1" applyProtection="1">
      <alignment horizontal="center" vertical="center" wrapText="1"/>
      <protection hidden="1"/>
    </xf>
    <xf numFmtId="0" fontId="86" fillId="4" borderId="57" xfId="0" applyFont="1" applyFill="1" applyBorder="1" applyAlignment="1" applyProtection="1">
      <alignment horizontal="center" vertical="center" wrapText="1"/>
      <protection hidden="1"/>
    </xf>
    <xf numFmtId="0" fontId="108" fillId="4" borderId="24" xfId="0" applyFont="1" applyFill="1" applyBorder="1" applyAlignment="1" applyProtection="1">
      <alignment horizontal="center" vertical="center"/>
      <protection hidden="1"/>
    </xf>
    <xf numFmtId="0" fontId="108" fillId="4" borderId="21" xfId="0" applyFont="1" applyFill="1" applyBorder="1" applyAlignment="1" applyProtection="1">
      <alignment horizontal="center" vertical="center"/>
      <protection hidden="1"/>
    </xf>
    <xf numFmtId="0" fontId="108" fillId="4" borderId="22" xfId="0" applyFont="1" applyFill="1" applyBorder="1" applyAlignment="1" applyProtection="1">
      <alignment horizontal="center" vertical="center"/>
      <protection hidden="1"/>
    </xf>
    <xf numFmtId="0" fontId="108" fillId="4" borderId="78" xfId="0" applyFont="1" applyFill="1" applyBorder="1" applyAlignment="1" applyProtection="1">
      <alignment horizontal="center" vertical="center"/>
      <protection hidden="1"/>
    </xf>
    <xf numFmtId="0" fontId="108" fillId="4" borderId="64" xfId="0" applyFont="1" applyFill="1" applyBorder="1" applyAlignment="1" applyProtection="1">
      <alignment horizontal="center" vertical="center"/>
      <protection hidden="1"/>
    </xf>
    <xf numFmtId="0" fontId="0" fillId="4" borderId="72" xfId="0" applyFill="1" applyBorder="1" applyAlignment="1" applyProtection="1">
      <alignment horizontal="center" vertical="center" textRotation="90" wrapText="1"/>
      <protection hidden="1"/>
    </xf>
    <xf numFmtId="0" fontId="0" fillId="4" borderId="29" xfId="0" applyFill="1" applyBorder="1" applyAlignment="1" applyProtection="1">
      <alignment horizontal="center" vertical="center" textRotation="90" wrapText="1"/>
      <protection hidden="1"/>
    </xf>
    <xf numFmtId="0" fontId="98" fillId="4" borderId="19" xfId="0" quotePrefix="1" applyFont="1" applyFill="1" applyBorder="1" applyAlignment="1" applyProtection="1">
      <alignment horizontal="center" vertical="center" wrapText="1"/>
      <protection hidden="1"/>
    </xf>
    <xf numFmtId="0" fontId="98" fillId="4" borderId="0" xfId="0" applyFont="1" applyFill="1" applyAlignment="1" applyProtection="1">
      <alignment horizontal="center" vertical="center" wrapText="1"/>
      <protection hidden="1"/>
    </xf>
    <xf numFmtId="0" fontId="98" fillId="4" borderId="15" xfId="0" applyFont="1" applyFill="1" applyBorder="1" applyAlignment="1" applyProtection="1">
      <alignment horizontal="center" vertical="center" wrapText="1"/>
      <protection hidden="1"/>
    </xf>
    <xf numFmtId="0" fontId="0" fillId="0" borderId="23" xfId="0" applyBorder="1" applyAlignment="1" applyProtection="1">
      <alignment horizontal="right"/>
      <protection hidden="1"/>
    </xf>
    <xf numFmtId="0" fontId="0" fillId="4" borderId="9" xfId="0" applyFill="1" applyBorder="1" applyAlignment="1" applyProtection="1">
      <alignment horizontal="right"/>
      <protection hidden="1"/>
    </xf>
    <xf numFmtId="0" fontId="0" fillId="4" borderId="10" xfId="0" applyFill="1" applyBorder="1" applyAlignment="1" applyProtection="1">
      <alignment horizontal="right"/>
      <protection hidden="1"/>
    </xf>
    <xf numFmtId="0" fontId="0" fillId="0" borderId="0" xfId="0" applyAlignment="1" applyProtection="1">
      <alignment horizontal="center"/>
      <protection hidden="1"/>
    </xf>
    <xf numFmtId="0" fontId="102" fillId="4" borderId="43" xfId="0" applyFont="1" applyFill="1" applyBorder="1" applyAlignment="1" applyProtection="1">
      <alignment horizontal="center" vertical="center" textRotation="90" wrapText="1"/>
      <protection hidden="1"/>
    </xf>
    <xf numFmtId="0" fontId="102" fillId="4" borderId="19" xfId="0" applyFont="1" applyFill="1" applyBorder="1" applyAlignment="1" applyProtection="1">
      <alignment horizontal="center" vertical="center" textRotation="90" wrapText="1"/>
      <protection hidden="1"/>
    </xf>
    <xf numFmtId="0" fontId="97" fillId="9" borderId="106" xfId="0" applyFont="1" applyFill="1" applyBorder="1" applyAlignment="1" applyProtection="1">
      <alignment horizontal="center" vertical="center" wrapText="1"/>
      <protection hidden="1"/>
    </xf>
    <xf numFmtId="0" fontId="89" fillId="4" borderId="78" xfId="0" applyFont="1" applyFill="1" applyBorder="1" applyAlignment="1" applyProtection="1">
      <alignment horizontal="center" vertical="center"/>
      <protection hidden="1"/>
    </xf>
    <xf numFmtId="0" fontId="89" fillId="4" borderId="67" xfId="0" applyFont="1" applyFill="1" applyBorder="1" applyAlignment="1" applyProtection="1">
      <alignment horizontal="center" vertical="center"/>
      <protection hidden="1"/>
    </xf>
    <xf numFmtId="0" fontId="0" fillId="4" borderId="126" xfId="0" applyFill="1" applyBorder="1" applyAlignment="1" applyProtection="1">
      <alignment horizontal="right"/>
      <protection hidden="1"/>
    </xf>
    <xf numFmtId="0" fontId="0" fillId="4" borderId="128" xfId="0" applyFill="1" applyBorder="1" applyAlignment="1" applyProtection="1">
      <alignment horizontal="right"/>
      <protection hidden="1"/>
    </xf>
    <xf numFmtId="0" fontId="91" fillId="4" borderId="23" xfId="0" applyFont="1" applyFill="1" applyBorder="1" applyAlignment="1">
      <alignment horizontal="center" vertical="center"/>
    </xf>
    <xf numFmtId="0" fontId="140" fillId="4" borderId="79" xfId="0" applyFont="1" applyFill="1" applyBorder="1" applyAlignment="1">
      <alignment horizontal="center" vertical="center"/>
    </xf>
    <xf numFmtId="0" fontId="140" fillId="4" borderId="168" xfId="0" applyFont="1" applyFill="1" applyBorder="1" applyAlignment="1">
      <alignment horizontal="center" vertical="center"/>
    </xf>
    <xf numFmtId="14" fontId="91" fillId="4" borderId="137" xfId="0" applyNumberFormat="1" applyFont="1" applyFill="1" applyBorder="1" applyAlignment="1" applyProtection="1">
      <alignment horizontal="center" vertical="center" wrapText="1"/>
      <protection hidden="1"/>
    </xf>
    <xf numFmtId="14" fontId="91" fillId="4" borderId="138" xfId="0" applyNumberFormat="1" applyFont="1" applyFill="1" applyBorder="1" applyAlignment="1" applyProtection="1">
      <alignment horizontal="center" vertical="center" wrapText="1"/>
      <protection hidden="1"/>
    </xf>
    <xf numFmtId="14" fontId="91" fillId="4" borderId="139" xfId="0" applyNumberFormat="1" applyFont="1" applyFill="1" applyBorder="1" applyAlignment="1" applyProtection="1">
      <alignment horizontal="center" vertical="center" wrapText="1"/>
      <protection hidden="1"/>
    </xf>
    <xf numFmtId="0" fontId="86" fillId="4" borderId="118" xfId="0" applyFont="1" applyFill="1" applyBorder="1" applyAlignment="1" applyProtection="1">
      <alignment horizontal="right" vertical="center" wrapText="1"/>
      <protection hidden="1"/>
    </xf>
    <xf numFmtId="0" fontId="86" fillId="4" borderId="124" xfId="0" applyFont="1" applyFill="1" applyBorder="1" applyAlignment="1" applyProtection="1">
      <alignment horizontal="right" vertical="center" wrapText="1"/>
      <protection hidden="1"/>
    </xf>
    <xf numFmtId="0" fontId="86" fillId="4" borderId="125" xfId="0" applyFont="1" applyFill="1" applyBorder="1" applyAlignment="1" applyProtection="1">
      <alignment horizontal="right" vertical="center" wrapText="1"/>
      <protection hidden="1"/>
    </xf>
    <xf numFmtId="0" fontId="91" fillId="4" borderId="29" xfId="0" applyFont="1" applyFill="1" applyBorder="1" applyAlignment="1" applyProtection="1">
      <alignment horizontal="center" vertical="center" wrapText="1"/>
      <protection hidden="1"/>
    </xf>
    <xf numFmtId="0" fontId="91" fillId="4" borderId="100" xfId="0" applyFont="1" applyFill="1" applyBorder="1" applyAlignment="1" applyProtection="1">
      <alignment horizontal="center" vertical="center" wrapText="1"/>
      <protection hidden="1"/>
    </xf>
    <xf numFmtId="0" fontId="86" fillId="4" borderId="117" xfId="0" quotePrefix="1" applyFont="1" applyFill="1" applyBorder="1" applyAlignment="1" applyProtection="1">
      <alignment horizontal="right" vertical="center"/>
      <protection hidden="1"/>
    </xf>
    <xf numFmtId="0" fontId="86" fillId="4" borderId="107" xfId="0" quotePrefix="1" applyFont="1" applyFill="1" applyBorder="1" applyAlignment="1" applyProtection="1">
      <alignment horizontal="right" vertical="center"/>
      <protection hidden="1"/>
    </xf>
    <xf numFmtId="0" fontId="0" fillId="4" borderId="13" xfId="0" applyFill="1" applyBorder="1" applyAlignment="1" applyProtection="1">
      <alignment horizontal="right" vertical="center" wrapText="1"/>
      <protection hidden="1"/>
    </xf>
    <xf numFmtId="0" fontId="0" fillId="4" borderId="112" xfId="0" applyFill="1" applyBorder="1" applyAlignment="1" applyProtection="1">
      <alignment horizontal="right" vertical="center" wrapText="1"/>
      <protection hidden="1"/>
    </xf>
    <xf numFmtId="0" fontId="0" fillId="4" borderId="11" xfId="0" applyFill="1" applyBorder="1" applyAlignment="1" applyProtection="1">
      <alignment horizontal="right" vertical="center" wrapText="1"/>
      <protection hidden="1"/>
    </xf>
    <xf numFmtId="0" fontId="0" fillId="0" borderId="44" xfId="0" applyBorder="1" applyAlignment="1">
      <alignment horizontal="center" vertical="center" wrapText="1"/>
    </xf>
    <xf numFmtId="0" fontId="0" fillId="0" borderId="57" xfId="0" applyBorder="1" applyAlignment="1">
      <alignment horizontal="center" vertical="center" wrapText="1"/>
    </xf>
    <xf numFmtId="0" fontId="44" fillId="4" borderId="65" xfId="0" applyFont="1" applyFill="1" applyBorder="1" applyAlignment="1" applyProtection="1">
      <alignment horizontal="center" vertical="center" wrapText="1"/>
      <protection hidden="1"/>
    </xf>
    <xf numFmtId="0" fontId="44" fillId="4" borderId="79" xfId="0" applyFont="1" applyFill="1" applyBorder="1" applyAlignment="1" applyProtection="1">
      <alignment horizontal="center" vertical="center" wrapText="1"/>
      <protection hidden="1"/>
    </xf>
    <xf numFmtId="8" fontId="0" fillId="0" borderId="0" xfId="3" applyNumberFormat="1" applyFont="1" applyAlignment="1">
      <alignment horizontal="center"/>
    </xf>
    <xf numFmtId="0" fontId="86" fillId="4" borderId="68" xfId="0" applyFont="1" applyFill="1" applyBorder="1" applyAlignment="1" applyProtection="1">
      <alignment horizontal="right" vertical="center" wrapText="1"/>
      <protection hidden="1"/>
    </xf>
    <xf numFmtId="0" fontId="86" fillId="4" borderId="77" xfId="0" applyFont="1" applyFill="1" applyBorder="1" applyAlignment="1" applyProtection="1">
      <alignment horizontal="right" vertical="center" wrapText="1"/>
      <protection hidden="1"/>
    </xf>
    <xf numFmtId="0" fontId="0" fillId="4" borderId="68" xfId="0" applyFill="1" applyBorder="1" applyAlignment="1" applyProtection="1">
      <alignment horizontal="right" vertical="center"/>
      <protection hidden="1"/>
    </xf>
    <xf numFmtId="0" fontId="0" fillId="4" borderId="77" xfId="0" applyFill="1" applyBorder="1" applyAlignment="1" applyProtection="1">
      <alignment horizontal="right" vertical="center"/>
      <protection hidden="1"/>
    </xf>
    <xf numFmtId="0" fontId="91" fillId="4" borderId="101" xfId="0" applyFont="1" applyFill="1" applyBorder="1" applyAlignment="1" applyProtection="1">
      <alignment horizontal="center" vertical="center" wrapText="1"/>
      <protection hidden="1"/>
    </xf>
    <xf numFmtId="0" fontId="91" fillId="4" borderId="66" xfId="0" applyFont="1" applyFill="1" applyBorder="1" applyAlignment="1" applyProtection="1">
      <alignment horizontal="center" vertical="center" wrapText="1"/>
      <protection hidden="1"/>
    </xf>
    <xf numFmtId="0" fontId="0" fillId="4" borderId="68" xfId="0" applyFill="1" applyBorder="1" applyAlignment="1" applyProtection="1">
      <alignment horizontal="left" vertical="center" wrapText="1"/>
      <protection hidden="1"/>
    </xf>
    <xf numFmtId="0" fontId="0" fillId="4" borderId="77" xfId="0" applyFill="1" applyBorder="1" applyAlignment="1" applyProtection="1">
      <alignment horizontal="left" vertical="center" wrapText="1"/>
      <protection hidden="1"/>
    </xf>
    <xf numFmtId="8" fontId="0" fillId="4" borderId="4" xfId="0" applyNumberFormat="1" applyFill="1" applyBorder="1" applyAlignment="1">
      <alignment horizontal="right" vertical="center" wrapText="1"/>
    </xf>
    <xf numFmtId="8" fontId="0" fillId="4" borderId="2" xfId="0" applyNumberFormat="1" applyFill="1" applyBorder="1" applyAlignment="1">
      <alignment horizontal="right" vertical="center" wrapText="1"/>
    </xf>
    <xf numFmtId="0" fontId="0" fillId="4" borderId="4" xfId="0" applyFill="1" applyBorder="1" applyAlignment="1">
      <alignment horizontal="right" vertical="center" wrapText="1"/>
    </xf>
    <xf numFmtId="0" fontId="0" fillId="4" borderId="2" xfId="0" applyFill="1" applyBorder="1" applyAlignment="1">
      <alignment horizontal="right" vertical="center" wrapText="1"/>
    </xf>
    <xf numFmtId="0" fontId="86" fillId="4" borderId="65" xfId="0" applyFont="1" applyFill="1" applyBorder="1" applyAlignment="1">
      <alignment horizontal="right" vertical="center" wrapText="1"/>
    </xf>
    <xf numFmtId="0" fontId="86" fillId="4" borderId="79" xfId="0" applyFont="1" applyFill="1" applyBorder="1" applyAlignment="1">
      <alignment horizontal="right" vertical="center" wrapText="1"/>
    </xf>
    <xf numFmtId="0" fontId="86" fillId="4" borderId="20" xfId="0" applyFont="1" applyFill="1" applyBorder="1" applyAlignment="1">
      <alignment horizontal="right" vertical="center" wrapText="1"/>
    </xf>
    <xf numFmtId="0" fontId="0" fillId="4" borderId="5" xfId="0" applyFill="1" applyBorder="1" applyAlignment="1">
      <alignment horizontal="right" vertical="center" wrapText="1"/>
    </xf>
    <xf numFmtId="0" fontId="0" fillId="4" borderId="6" xfId="0" applyFill="1" applyBorder="1" applyAlignment="1">
      <alignment horizontal="right" vertical="center" wrapText="1"/>
    </xf>
    <xf numFmtId="0" fontId="86" fillId="4" borderId="4" xfId="0" applyFont="1" applyFill="1" applyBorder="1" applyAlignment="1">
      <alignment horizontal="right" vertical="center" wrapText="1"/>
    </xf>
    <xf numFmtId="0" fontId="86" fillId="4" borderId="2" xfId="0" applyFont="1" applyFill="1" applyBorder="1" applyAlignment="1">
      <alignment horizontal="right" vertical="center" wrapText="1"/>
    </xf>
    <xf numFmtId="0" fontId="86" fillId="4" borderId="68" xfId="0" applyFont="1" applyFill="1" applyBorder="1" applyAlignment="1">
      <alignment horizontal="right" vertical="center" wrapText="1"/>
    </xf>
    <xf numFmtId="0" fontId="86" fillId="4" borderId="9" xfId="0" applyFont="1" applyFill="1" applyBorder="1" applyAlignment="1">
      <alignment horizontal="right" vertical="center" wrapText="1"/>
    </xf>
    <xf numFmtId="0" fontId="86" fillId="4" borderId="10" xfId="0" applyFont="1" applyFill="1" applyBorder="1" applyAlignment="1">
      <alignment horizontal="right" vertical="center" wrapText="1"/>
    </xf>
    <xf numFmtId="0" fontId="0" fillId="4" borderId="146" xfId="0" applyFill="1" applyBorder="1" applyAlignment="1">
      <alignment horizontal="right" vertical="center"/>
    </xf>
    <xf numFmtId="0" fontId="0" fillId="4" borderId="147" xfId="0" applyFill="1" applyBorder="1" applyAlignment="1">
      <alignment horizontal="right" vertical="center"/>
    </xf>
    <xf numFmtId="0" fontId="0" fillId="4" borderId="148" xfId="0" applyFill="1" applyBorder="1" applyAlignment="1">
      <alignment horizontal="right" vertical="center"/>
    </xf>
    <xf numFmtId="0" fontId="127" fillId="4" borderId="135" xfId="0" applyFont="1" applyFill="1" applyBorder="1" applyAlignment="1" applyProtection="1">
      <alignment horizontal="center" vertical="center" wrapText="1"/>
      <protection hidden="1"/>
    </xf>
    <xf numFmtId="0" fontId="127" fillId="4" borderId="132" xfId="0" applyFont="1" applyFill="1" applyBorder="1" applyAlignment="1" applyProtection="1">
      <alignment horizontal="center" vertical="center" wrapText="1"/>
      <protection hidden="1"/>
    </xf>
    <xf numFmtId="0" fontId="127" fillId="4" borderId="149" xfId="0" applyFont="1" applyFill="1" applyBorder="1" applyAlignment="1" applyProtection="1">
      <alignment horizontal="center" vertical="center" wrapText="1"/>
      <protection hidden="1"/>
    </xf>
    <xf numFmtId="175" fontId="0" fillId="0" borderId="2" xfId="3" applyNumberFormat="1" applyFont="1" applyFill="1" applyBorder="1" applyAlignment="1">
      <alignment horizontal="center" vertical="center" wrapText="1"/>
    </xf>
    <xf numFmtId="0" fontId="86" fillId="0" borderId="1" xfId="0" applyFont="1" applyBorder="1" applyAlignment="1">
      <alignment horizontal="right" vertical="center" wrapText="1"/>
    </xf>
    <xf numFmtId="0" fontId="86" fillId="0" borderId="10" xfId="0" applyFont="1" applyBorder="1" applyAlignment="1">
      <alignment horizontal="right" vertical="center" wrapText="1"/>
    </xf>
    <xf numFmtId="0" fontId="93" fillId="4" borderId="30" xfId="0" applyFont="1" applyFill="1" applyBorder="1" applyAlignment="1">
      <alignment horizontal="center" vertical="center" wrapText="1"/>
    </xf>
    <xf numFmtId="0" fontId="93" fillId="4" borderId="28" xfId="0" applyFont="1" applyFill="1" applyBorder="1" applyAlignment="1">
      <alignment horizontal="center" vertical="center" wrapText="1"/>
    </xf>
    <xf numFmtId="0" fontId="91" fillId="0" borderId="2" xfId="0" applyFont="1" applyBorder="1" applyAlignment="1">
      <alignment horizontal="right" vertical="center" wrapText="1"/>
    </xf>
    <xf numFmtId="0" fontId="0" fillId="0" borderId="0" xfId="0" applyAlignment="1">
      <alignment horizontal="left" vertical="center" wrapText="1"/>
    </xf>
    <xf numFmtId="0" fontId="114" fillId="4" borderId="19" xfId="0" applyFont="1" applyFill="1" applyBorder="1" applyAlignment="1" applyProtection="1">
      <alignment horizontal="left" vertical="center"/>
      <protection hidden="1"/>
    </xf>
    <xf numFmtId="0" fontId="114" fillId="4" borderId="0" xfId="0" applyFont="1" applyFill="1" applyAlignment="1" applyProtection="1">
      <alignment horizontal="left" vertical="center"/>
      <protection hidden="1"/>
    </xf>
    <xf numFmtId="0" fontId="0" fillId="4" borderId="68" xfId="0" applyFill="1" applyBorder="1" applyAlignment="1" applyProtection="1">
      <alignment horizontal="center" vertical="center" wrapText="1"/>
      <protection hidden="1"/>
    </xf>
    <xf numFmtId="0" fontId="0" fillId="4" borderId="10" xfId="0" applyFill="1" applyBorder="1" applyAlignment="1" applyProtection="1">
      <alignment horizontal="center" vertical="center" wrapText="1"/>
      <protection hidden="1"/>
    </xf>
    <xf numFmtId="8" fontId="91" fillId="4" borderId="1" xfId="0" applyNumberFormat="1" applyFont="1" applyFill="1" applyBorder="1" applyAlignment="1" applyProtection="1">
      <alignment horizontal="center" vertical="center" wrapText="1"/>
      <protection hidden="1"/>
    </xf>
    <xf numFmtId="8" fontId="91" fillId="4" borderId="77" xfId="0" applyNumberFormat="1" applyFont="1" applyFill="1" applyBorder="1" applyAlignment="1" applyProtection="1">
      <alignment horizontal="center" vertical="center" wrapText="1"/>
      <protection hidden="1"/>
    </xf>
    <xf numFmtId="0" fontId="75" fillId="4" borderId="19" xfId="0" applyFont="1" applyFill="1" applyBorder="1" applyAlignment="1" applyProtection="1">
      <alignment horizontal="center" vertical="center" wrapText="1"/>
      <protection hidden="1"/>
    </xf>
    <xf numFmtId="0" fontId="75" fillId="4" borderId="0" xfId="0" applyFont="1" applyFill="1" applyAlignment="1" applyProtection="1">
      <alignment horizontal="center" vertical="center" wrapText="1"/>
      <protection hidden="1"/>
    </xf>
    <xf numFmtId="0" fontId="108" fillId="4" borderId="43" xfId="0" applyFont="1" applyFill="1" applyBorder="1" applyAlignment="1" applyProtection="1">
      <alignment horizontal="center" vertical="center" wrapText="1"/>
      <protection hidden="1"/>
    </xf>
    <xf numFmtId="0" fontId="108" fillId="4" borderId="44" xfId="0" applyFont="1" applyFill="1" applyBorder="1" applyAlignment="1" applyProtection="1">
      <alignment horizontal="center" vertical="center" wrapText="1"/>
      <protection hidden="1"/>
    </xf>
    <xf numFmtId="0" fontId="108" fillId="4" borderId="19" xfId="0" applyFont="1" applyFill="1" applyBorder="1" applyAlignment="1" applyProtection="1">
      <alignment horizontal="center" vertical="center" wrapText="1"/>
      <protection hidden="1"/>
    </xf>
    <xf numFmtId="0" fontId="108" fillId="4" borderId="15" xfId="0" applyFont="1" applyFill="1" applyBorder="1" applyAlignment="1" applyProtection="1">
      <alignment horizontal="center" vertical="center" wrapText="1"/>
      <protection hidden="1"/>
    </xf>
    <xf numFmtId="0" fontId="0" fillId="4" borderId="19" xfId="0" quotePrefix="1" applyFill="1" applyBorder="1" applyAlignment="1" applyProtection="1">
      <alignment horizontal="center" vertical="top" wrapText="1"/>
      <protection hidden="1"/>
    </xf>
    <xf numFmtId="0" fontId="0" fillId="4" borderId="15" xfId="0" quotePrefix="1" applyFill="1" applyBorder="1" applyAlignment="1" applyProtection="1">
      <alignment horizontal="center" vertical="top" wrapText="1"/>
      <protection hidden="1"/>
    </xf>
    <xf numFmtId="0" fontId="0" fillId="4" borderId="16" xfId="0" quotePrefix="1" applyFill="1" applyBorder="1" applyAlignment="1" applyProtection="1">
      <alignment horizontal="center" vertical="top" wrapText="1"/>
      <protection hidden="1"/>
    </xf>
    <xf numFmtId="0" fontId="0" fillId="4" borderId="39" xfId="0" quotePrefix="1" applyFill="1" applyBorder="1" applyAlignment="1" applyProtection="1">
      <alignment horizontal="center" vertical="top" wrapText="1"/>
      <protection hidden="1"/>
    </xf>
    <xf numFmtId="0" fontId="75" fillId="4" borderId="19" xfId="0" applyFont="1" applyFill="1" applyBorder="1" applyAlignment="1">
      <alignment horizontal="center" vertical="center" wrapText="1"/>
    </xf>
    <xf numFmtId="0" fontId="75" fillId="4" borderId="0" xfId="0" applyFont="1" applyFill="1" applyAlignment="1">
      <alignment horizontal="center" vertical="center" wrapText="1"/>
    </xf>
    <xf numFmtId="0" fontId="75" fillId="4" borderId="15" xfId="0" applyFont="1" applyFill="1" applyBorder="1" applyAlignment="1">
      <alignment horizontal="center" vertical="center" wrapText="1"/>
    </xf>
    <xf numFmtId="9" fontId="143" fillId="4" borderId="0" xfId="3" applyFont="1" applyFill="1" applyBorder="1" applyAlignment="1" applyProtection="1">
      <alignment horizontal="center" vertical="center" wrapText="1"/>
      <protection hidden="1"/>
    </xf>
    <xf numFmtId="9" fontId="143" fillId="4" borderId="15" xfId="3" applyFont="1" applyFill="1" applyBorder="1" applyAlignment="1" applyProtection="1">
      <alignment horizontal="center" vertical="center" wrapText="1"/>
      <protection hidden="1"/>
    </xf>
    <xf numFmtId="0" fontId="143" fillId="4" borderId="0" xfId="0" applyFont="1" applyFill="1" applyAlignment="1" applyProtection="1">
      <alignment horizontal="center" vertical="center" wrapText="1"/>
      <protection hidden="1"/>
    </xf>
    <xf numFmtId="0" fontId="143" fillId="4" borderId="15" xfId="0" applyFont="1" applyFill="1" applyBorder="1" applyAlignment="1" applyProtection="1">
      <alignment horizontal="center" vertical="center" wrapText="1"/>
      <protection hidden="1"/>
    </xf>
    <xf numFmtId="0" fontId="143" fillId="4" borderId="18" xfId="0" applyFont="1" applyFill="1" applyBorder="1" applyAlignment="1" applyProtection="1">
      <alignment horizontal="center" vertical="center" wrapText="1"/>
      <protection hidden="1"/>
    </xf>
    <xf numFmtId="0" fontId="143" fillId="4" borderId="39" xfId="0" applyFont="1" applyFill="1" applyBorder="1" applyAlignment="1" applyProtection="1">
      <alignment horizontal="center" vertical="center" wrapText="1"/>
      <protection hidden="1"/>
    </xf>
    <xf numFmtId="0" fontId="86" fillId="4" borderId="102" xfId="0" applyFont="1" applyFill="1" applyBorder="1" applyAlignment="1" applyProtection="1">
      <alignment horizontal="right" vertical="center" wrapText="1"/>
      <protection hidden="1"/>
    </xf>
    <xf numFmtId="0" fontId="114" fillId="4" borderId="19" xfId="0" applyFont="1" applyFill="1" applyBorder="1" applyAlignment="1" applyProtection="1">
      <alignment horizontal="left" vertical="center" wrapText="1"/>
      <protection hidden="1"/>
    </xf>
    <xf numFmtId="0" fontId="114" fillId="4" borderId="0" xfId="0" applyFont="1" applyFill="1" applyAlignment="1" applyProtection="1">
      <alignment horizontal="left" vertical="center" wrapText="1"/>
      <protection hidden="1"/>
    </xf>
    <xf numFmtId="0" fontId="175" fillId="4" borderId="65" xfId="2" applyNumberFormat="1" applyFont="1" applyFill="1" applyBorder="1" applyAlignment="1" applyProtection="1">
      <alignment horizontal="center" vertical="center" wrapText="1"/>
      <protection hidden="1"/>
    </xf>
    <xf numFmtId="0" fontId="175" fillId="4" borderId="79" xfId="2" applyNumberFormat="1" applyFont="1" applyFill="1" applyBorder="1" applyAlignment="1" applyProtection="1">
      <alignment horizontal="center" vertical="center" wrapText="1"/>
      <protection hidden="1"/>
    </xf>
    <xf numFmtId="0" fontId="175" fillId="4" borderId="20" xfId="2" applyNumberFormat="1" applyFont="1" applyFill="1" applyBorder="1" applyAlignment="1" applyProtection="1">
      <alignment horizontal="center" vertical="center" wrapText="1"/>
      <protection hidden="1"/>
    </xf>
    <xf numFmtId="0" fontId="141" fillId="4" borderId="16" xfId="0" applyFont="1" applyFill="1" applyBorder="1" applyAlignment="1" applyProtection="1">
      <alignment horizontal="left" vertical="center"/>
      <protection hidden="1"/>
    </xf>
    <xf numFmtId="0" fontId="141" fillId="4" borderId="18" xfId="0" applyFont="1" applyFill="1" applyBorder="1" applyAlignment="1" applyProtection="1">
      <alignment horizontal="left" vertical="center"/>
      <protection hidden="1"/>
    </xf>
    <xf numFmtId="0" fontId="0" fillId="0" borderId="0" xfId="0" applyAlignment="1">
      <alignment horizontal="center" wrapText="1"/>
    </xf>
    <xf numFmtId="0" fontId="156" fillId="4" borderId="23" xfId="2" applyNumberFormat="1" applyFont="1" applyFill="1" applyBorder="1" applyAlignment="1" applyProtection="1">
      <alignment horizontal="center" vertical="center" wrapText="1"/>
      <protection locked="0" hidden="1"/>
    </xf>
    <xf numFmtId="0" fontId="156" fillId="4" borderId="23" xfId="2" applyNumberFormat="1" applyFont="1" applyFill="1" applyBorder="1" applyAlignment="1" applyProtection="1">
      <alignment horizontal="center" vertical="center"/>
      <protection locked="0" hidden="1"/>
    </xf>
    <xf numFmtId="14" fontId="0" fillId="4" borderId="21" xfId="0" applyNumberFormat="1" applyFill="1" applyBorder="1" applyAlignment="1" applyProtection="1">
      <alignment horizontal="center" vertical="center"/>
      <protection hidden="1"/>
    </xf>
    <xf numFmtId="0" fontId="0" fillId="4" borderId="22" xfId="0" applyFill="1" applyBorder="1" applyAlignment="1" applyProtection="1">
      <alignment horizontal="center" vertical="center"/>
      <protection hidden="1"/>
    </xf>
    <xf numFmtId="6" fontId="0" fillId="4" borderId="2" xfId="0" applyNumberFormat="1" applyFill="1" applyBorder="1" applyAlignment="1" applyProtection="1">
      <alignment horizontal="right" vertical="center"/>
      <protection hidden="1"/>
    </xf>
    <xf numFmtId="6" fontId="0" fillId="4" borderId="3" xfId="0" applyNumberFormat="1" applyFill="1" applyBorder="1" applyAlignment="1" applyProtection="1">
      <alignment horizontal="right" vertical="center"/>
      <protection hidden="1"/>
    </xf>
    <xf numFmtId="0" fontId="96" fillId="4" borderId="43" xfId="0" applyFont="1" applyFill="1" applyBorder="1" applyAlignment="1" applyProtection="1">
      <alignment horizontal="center" vertical="center"/>
      <protection hidden="1"/>
    </xf>
    <xf numFmtId="0" fontId="96" fillId="4" borderId="23" xfId="0" applyFont="1" applyFill="1" applyBorder="1" applyAlignment="1" applyProtection="1">
      <alignment horizontal="center" vertical="center"/>
      <protection hidden="1"/>
    </xf>
    <xf numFmtId="0" fontId="96" fillId="4" borderId="44" xfId="0" applyFont="1" applyFill="1" applyBorder="1" applyAlignment="1" applyProtection="1">
      <alignment horizontal="center" vertical="center"/>
      <protection hidden="1"/>
    </xf>
    <xf numFmtId="0" fontId="0" fillId="4" borderId="16" xfId="0" applyFill="1" applyBorder="1" applyAlignment="1" applyProtection="1">
      <alignment horizontal="center" vertical="center"/>
      <protection hidden="1"/>
    </xf>
    <xf numFmtId="0" fontId="0" fillId="4" borderId="18" xfId="0" applyFill="1" applyBorder="1" applyAlignment="1" applyProtection="1">
      <alignment horizontal="center" vertical="center"/>
      <protection hidden="1"/>
    </xf>
    <xf numFmtId="0" fontId="0" fillId="4" borderId="39" xfId="0" applyFill="1" applyBorder="1" applyAlignment="1" applyProtection="1">
      <alignment horizontal="center" vertical="center"/>
      <protection hidden="1"/>
    </xf>
    <xf numFmtId="0" fontId="91" fillId="4" borderId="11" xfId="0" applyFont="1" applyFill="1" applyBorder="1" applyAlignment="1" applyProtection="1">
      <alignment horizontal="center" vertical="center" wrapText="1"/>
      <protection hidden="1"/>
    </xf>
    <xf numFmtId="0" fontId="91" fillId="4" borderId="27" xfId="0" applyFont="1" applyFill="1" applyBorder="1" applyAlignment="1" applyProtection="1">
      <alignment horizontal="center" vertical="center" wrapText="1"/>
      <protection hidden="1"/>
    </xf>
    <xf numFmtId="0" fontId="108" fillId="9" borderId="4" xfId="0" applyFont="1" applyFill="1" applyBorder="1" applyAlignment="1" applyProtection="1">
      <alignment horizontal="center" vertical="center" wrapText="1"/>
      <protection hidden="1"/>
    </xf>
    <xf numFmtId="0" fontId="108" fillId="9" borderId="2" xfId="0" applyFont="1" applyFill="1" applyBorder="1" applyAlignment="1" applyProtection="1">
      <alignment horizontal="center" vertical="center" wrapText="1"/>
      <protection hidden="1"/>
    </xf>
    <xf numFmtId="0" fontId="97" fillId="9" borderId="24" xfId="0" applyFont="1" applyFill="1" applyBorder="1" applyAlignment="1" applyProtection="1">
      <alignment horizontal="center" vertical="center"/>
      <protection hidden="1"/>
    </xf>
    <xf numFmtId="0" fontId="97" fillId="9" borderId="21" xfId="0" applyFont="1" applyFill="1" applyBorder="1" applyAlignment="1" applyProtection="1">
      <alignment horizontal="center" vertical="center"/>
      <protection hidden="1"/>
    </xf>
    <xf numFmtId="0" fontId="97" fillId="9" borderId="22" xfId="0" applyFont="1" applyFill="1" applyBorder="1" applyAlignment="1" applyProtection="1">
      <alignment horizontal="center" vertical="center"/>
      <protection hidden="1"/>
    </xf>
    <xf numFmtId="0" fontId="0" fillId="9" borderId="54" xfId="0" applyFill="1" applyBorder="1" applyAlignment="1" applyProtection="1">
      <alignment horizontal="left" vertical="top" wrapText="1"/>
      <protection hidden="1"/>
    </xf>
    <xf numFmtId="0" fontId="0" fillId="9" borderId="112" xfId="0" applyFill="1" applyBorder="1" applyAlignment="1" applyProtection="1">
      <alignment horizontal="left" vertical="top" wrapText="1"/>
      <protection hidden="1"/>
    </xf>
    <xf numFmtId="0" fontId="0" fillId="9" borderId="58" xfId="0" applyFill="1" applyBorder="1" applyAlignment="1" applyProtection="1">
      <alignment horizontal="left" vertical="top" wrapText="1"/>
      <protection hidden="1"/>
    </xf>
    <xf numFmtId="0" fontId="0" fillId="9" borderId="19" xfId="0" applyFill="1" applyBorder="1" applyAlignment="1" applyProtection="1">
      <alignment horizontal="left" vertical="top" wrapText="1"/>
      <protection hidden="1"/>
    </xf>
    <xf numFmtId="0" fontId="0" fillId="9" borderId="0" xfId="0" applyFill="1" applyAlignment="1" applyProtection="1">
      <alignment horizontal="left" vertical="top" wrapText="1"/>
      <protection hidden="1"/>
    </xf>
    <xf numFmtId="0" fontId="0" fillId="9" borderId="15" xfId="0" applyFill="1" applyBorder="1" applyAlignment="1" applyProtection="1">
      <alignment horizontal="left" vertical="top" wrapText="1"/>
      <protection hidden="1"/>
    </xf>
    <xf numFmtId="0" fontId="0" fillId="9" borderId="16" xfId="0" applyFill="1" applyBorder="1" applyAlignment="1" applyProtection="1">
      <alignment horizontal="left" vertical="top" wrapText="1"/>
      <protection hidden="1"/>
    </xf>
    <xf numFmtId="0" fontId="0" fillId="9" borderId="18" xfId="0" applyFill="1" applyBorder="1" applyAlignment="1" applyProtection="1">
      <alignment horizontal="left" vertical="top" wrapText="1"/>
      <protection hidden="1"/>
    </xf>
    <xf numFmtId="0" fontId="0" fillId="9" borderId="39" xfId="0" applyFill="1" applyBorder="1" applyAlignment="1" applyProtection="1">
      <alignment horizontal="left" vertical="top" wrapText="1"/>
      <protection hidden="1"/>
    </xf>
    <xf numFmtId="0" fontId="0" fillId="9" borderId="58" xfId="0" applyFill="1" applyBorder="1" applyAlignment="1" applyProtection="1">
      <alignment horizontal="left" vertical="center"/>
      <protection hidden="1"/>
    </xf>
    <xf numFmtId="0" fontId="0" fillId="9" borderId="39" xfId="0" applyFill="1" applyBorder="1" applyAlignment="1" applyProtection="1">
      <alignment horizontal="left" vertical="center"/>
      <protection hidden="1"/>
    </xf>
    <xf numFmtId="0" fontId="0" fillId="9" borderId="42" xfId="0" applyFill="1" applyBorder="1" applyAlignment="1" applyProtection="1">
      <alignment horizontal="right" vertical="center" wrapText="1"/>
      <protection hidden="1"/>
    </xf>
    <xf numFmtId="0" fontId="0" fillId="9" borderId="112" xfId="0" applyFill="1" applyBorder="1" applyAlignment="1" applyProtection="1">
      <alignment horizontal="right" vertical="center" wrapText="1"/>
      <protection hidden="1"/>
    </xf>
    <xf numFmtId="0" fontId="0" fillId="9" borderId="113" xfId="0" applyFill="1" applyBorder="1" applyAlignment="1" applyProtection="1">
      <alignment horizontal="right" vertical="center" wrapText="1"/>
      <protection hidden="1"/>
    </xf>
    <xf numFmtId="0" fontId="0" fillId="9" borderId="18" xfId="0" applyFill="1" applyBorder="1" applyAlignment="1" applyProtection="1">
      <alignment horizontal="right" vertical="center" wrapText="1"/>
      <protection hidden="1"/>
    </xf>
    <xf numFmtId="0" fontId="88" fillId="9" borderId="1" xfId="0" applyFont="1" applyFill="1" applyBorder="1" applyAlignment="1" applyProtection="1">
      <alignment horizontal="center" vertical="center" wrapText="1"/>
      <protection hidden="1"/>
    </xf>
    <xf numFmtId="0" fontId="88" fillId="9" borderId="9" xfId="0" applyFont="1" applyFill="1" applyBorder="1" applyAlignment="1" applyProtection="1">
      <alignment horizontal="center" vertical="center" wrapText="1"/>
      <protection hidden="1"/>
    </xf>
    <xf numFmtId="0" fontId="88" fillId="9" borderId="77" xfId="0" applyFont="1" applyFill="1" applyBorder="1" applyAlignment="1" applyProtection="1">
      <alignment horizontal="center" vertical="center" wrapText="1"/>
      <protection hidden="1"/>
    </xf>
    <xf numFmtId="0" fontId="108" fillId="9" borderId="1" xfId="0" applyFont="1" applyFill="1" applyBorder="1" applyAlignment="1">
      <alignment horizontal="center"/>
    </xf>
    <xf numFmtId="0" fontId="108" fillId="9" borderId="9" xfId="0" applyFont="1" applyFill="1" applyBorder="1" applyAlignment="1">
      <alignment horizontal="center"/>
    </xf>
    <xf numFmtId="0" fontId="108" fillId="9" borderId="77" xfId="0" applyFont="1" applyFill="1" applyBorder="1" applyAlignment="1">
      <alignment horizontal="center"/>
    </xf>
    <xf numFmtId="14" fontId="0" fillId="8" borderId="68" xfId="0" applyNumberFormat="1" applyFill="1" applyBorder="1" applyAlignment="1">
      <alignment horizontal="center"/>
    </xf>
    <xf numFmtId="14" fontId="0" fillId="8" borderId="9" xfId="0" applyNumberFormat="1" applyFill="1" applyBorder="1" applyAlignment="1">
      <alignment horizontal="center"/>
    </xf>
    <xf numFmtId="14" fontId="0" fillId="8" borderId="10" xfId="0" applyNumberFormat="1" applyFill="1" applyBorder="1" applyAlignment="1">
      <alignment horizontal="center"/>
    </xf>
    <xf numFmtId="0" fontId="90" fillId="9" borderId="79" xfId="0" applyFont="1" applyFill="1" applyBorder="1" applyAlignment="1" applyProtection="1">
      <alignment horizontal="center" vertical="center" wrapText="1"/>
      <protection hidden="1"/>
    </xf>
    <xf numFmtId="0" fontId="90" fillId="9" borderId="20" xfId="0" applyFont="1" applyFill="1" applyBorder="1" applyAlignment="1" applyProtection="1">
      <alignment horizontal="center" vertical="center" wrapText="1"/>
      <protection hidden="1"/>
    </xf>
    <xf numFmtId="0" fontId="0" fillId="9" borderId="54" xfId="0" applyFill="1" applyBorder="1" applyAlignment="1" applyProtection="1">
      <alignment horizontal="center" vertical="center" wrapText="1"/>
      <protection hidden="1"/>
    </xf>
    <xf numFmtId="0" fontId="0" fillId="9" borderId="112" xfId="0" applyFill="1" applyBorder="1" applyAlignment="1" applyProtection="1">
      <alignment horizontal="center" vertical="center" wrapText="1"/>
      <protection hidden="1"/>
    </xf>
    <xf numFmtId="0" fontId="0" fillId="9" borderId="55" xfId="0" applyFill="1" applyBorder="1" applyAlignment="1" applyProtection="1">
      <alignment horizontal="center" vertical="center" wrapText="1"/>
      <protection hidden="1"/>
    </xf>
    <xf numFmtId="0" fontId="0" fillId="9" borderId="30" xfId="0" applyFill="1" applyBorder="1" applyAlignment="1" applyProtection="1">
      <alignment horizontal="center" vertical="center" wrapText="1"/>
      <protection hidden="1"/>
    </xf>
    <xf numFmtId="0" fontId="0" fillId="9" borderId="28" xfId="0" applyFill="1" applyBorder="1" applyAlignment="1" applyProtection="1">
      <alignment horizontal="center" vertical="center" wrapText="1"/>
      <protection hidden="1"/>
    </xf>
    <xf numFmtId="0" fontId="0" fillId="9" borderId="56" xfId="0" applyFill="1" applyBorder="1" applyAlignment="1" applyProtection="1">
      <alignment horizontal="center" vertical="center" wrapText="1"/>
      <protection hidden="1"/>
    </xf>
    <xf numFmtId="0" fontId="189" fillId="27" borderId="11" xfId="2" applyNumberFormat="1" applyFont="1" applyFill="1" applyBorder="1" applyAlignment="1" applyProtection="1">
      <alignment horizontal="center" vertical="center" wrapText="1"/>
      <protection hidden="1"/>
    </xf>
    <xf numFmtId="0" fontId="189" fillId="27" borderId="27" xfId="2" applyNumberFormat="1" applyFont="1" applyFill="1" applyBorder="1" applyAlignment="1" applyProtection="1">
      <alignment horizontal="center" vertical="center" wrapText="1"/>
      <protection hidden="1"/>
    </xf>
    <xf numFmtId="0" fontId="0" fillId="0" borderId="0" xfId="0" applyAlignment="1">
      <alignment horizontal="right" vertical="top" wrapText="1"/>
    </xf>
    <xf numFmtId="0" fontId="191" fillId="9" borderId="79" xfId="0" applyFont="1" applyFill="1" applyBorder="1" applyAlignment="1" applyProtection="1">
      <alignment horizontal="center" vertical="center" wrapText="1"/>
      <protection hidden="1"/>
    </xf>
    <xf numFmtId="0" fontId="191" fillId="9" borderId="20" xfId="0" applyFont="1" applyFill="1" applyBorder="1" applyAlignment="1" applyProtection="1">
      <alignment horizontal="center" vertical="center" wrapText="1"/>
      <protection hidden="1"/>
    </xf>
    <xf numFmtId="0" fontId="86" fillId="9" borderId="65" xfId="0" applyFont="1" applyFill="1" applyBorder="1" applyAlignment="1" applyProtection="1">
      <alignment horizontal="center" vertical="center" wrapText="1"/>
      <protection hidden="1"/>
    </xf>
    <xf numFmtId="0" fontId="86" fillId="9" borderId="79" xfId="0" applyFont="1" applyFill="1" applyBorder="1" applyAlignment="1" applyProtection="1">
      <alignment horizontal="center" vertical="center" wrapText="1"/>
      <protection hidden="1"/>
    </xf>
    <xf numFmtId="0" fontId="91" fillId="9" borderId="0" xfId="0" applyFont="1" applyFill="1" applyAlignment="1">
      <alignment horizontal="center" vertical="center" wrapText="1"/>
    </xf>
    <xf numFmtId="0" fontId="49" fillId="9" borderId="169" xfId="2" quotePrefix="1" applyNumberFormat="1" applyFill="1" applyBorder="1" applyAlignment="1" applyProtection="1">
      <alignment horizontal="left" vertical="center"/>
      <protection hidden="1"/>
    </xf>
    <xf numFmtId="0" fontId="49" fillId="9" borderId="9" xfId="2" quotePrefix="1" applyNumberFormat="1" applyFill="1" applyBorder="1" applyAlignment="1" applyProtection="1">
      <alignment horizontal="left" vertical="center"/>
      <protection hidden="1"/>
    </xf>
    <xf numFmtId="0" fontId="8" fillId="9" borderId="187" xfId="0" applyFont="1" applyFill="1" applyBorder="1" applyAlignment="1" applyProtection="1">
      <alignment horizontal="left" vertical="center"/>
      <protection hidden="1"/>
    </xf>
    <xf numFmtId="0" fontId="8" fillId="9" borderId="28" xfId="0" applyFont="1" applyFill="1" applyBorder="1" applyAlignment="1" applyProtection="1">
      <alignment horizontal="left" vertical="center"/>
      <protection hidden="1"/>
    </xf>
    <xf numFmtId="0" fontId="8" fillId="9" borderId="78" xfId="0" applyFont="1" applyFill="1" applyBorder="1" applyAlignment="1" applyProtection="1">
      <alignment horizontal="left" vertical="center"/>
      <protection hidden="1"/>
    </xf>
    <xf numFmtId="0" fontId="8" fillId="9" borderId="169" xfId="0" applyFont="1" applyFill="1" applyBorder="1" applyAlignment="1" applyProtection="1">
      <alignment horizontal="left" vertical="center"/>
      <protection hidden="1"/>
    </xf>
    <xf numFmtId="0" fontId="8" fillId="9" borderId="9" xfId="0" applyFont="1" applyFill="1" applyBorder="1" applyAlignment="1" applyProtection="1">
      <alignment horizontal="left" vertical="center"/>
      <protection hidden="1"/>
    </xf>
    <xf numFmtId="0" fontId="8" fillId="9" borderId="10" xfId="0" applyFont="1" applyFill="1" applyBorder="1" applyAlignment="1" applyProtection="1">
      <alignment horizontal="left" vertical="center"/>
      <protection hidden="1"/>
    </xf>
    <xf numFmtId="0" fontId="158" fillId="9" borderId="169" xfId="0" applyFont="1" applyFill="1" applyBorder="1" applyAlignment="1" applyProtection="1">
      <alignment horizontal="left" vertical="center"/>
      <protection hidden="1"/>
    </xf>
    <xf numFmtId="0" fontId="158" fillId="9" borderId="9" xfId="0" applyFont="1" applyFill="1" applyBorder="1" applyAlignment="1" applyProtection="1">
      <alignment horizontal="left" vertical="center"/>
      <protection hidden="1"/>
    </xf>
    <xf numFmtId="0" fontId="158" fillId="9" borderId="10" xfId="0" applyFont="1" applyFill="1" applyBorder="1" applyAlignment="1" applyProtection="1">
      <alignment horizontal="left" vertical="center"/>
      <protection hidden="1"/>
    </xf>
    <xf numFmtId="0" fontId="273" fillId="9" borderId="78" xfId="0" applyFont="1" applyFill="1" applyBorder="1" applyAlignment="1" applyProtection="1">
      <alignment horizontal="center" vertical="center"/>
      <protection hidden="1"/>
    </xf>
    <xf numFmtId="0" fontId="273" fillId="9" borderId="258" xfId="0" applyFont="1" applyFill="1" applyBorder="1" applyAlignment="1" applyProtection="1">
      <alignment horizontal="center" vertical="center"/>
      <protection hidden="1"/>
    </xf>
    <xf numFmtId="0" fontId="3" fillId="9" borderId="169" xfId="0" applyFont="1" applyFill="1" applyBorder="1" applyAlignment="1">
      <alignment horizontal="right" vertical="center"/>
    </xf>
    <xf numFmtId="0" fontId="3" fillId="9" borderId="10" xfId="0" applyFont="1" applyFill="1" applyBorder="1" applyAlignment="1">
      <alignment horizontal="right" vertical="center"/>
    </xf>
    <xf numFmtId="0" fontId="101" fillId="9" borderId="305" xfId="0" applyFont="1" applyFill="1" applyBorder="1" applyAlignment="1" applyProtection="1">
      <alignment horizontal="right" vertical="center"/>
      <protection hidden="1"/>
    </xf>
    <xf numFmtId="0" fontId="101" fillId="9" borderId="306" xfId="0" applyFont="1" applyFill="1" applyBorder="1" applyAlignment="1" applyProtection="1">
      <alignment horizontal="right" vertical="center"/>
      <protection hidden="1"/>
    </xf>
    <xf numFmtId="0" fontId="101" fillId="9" borderId="307" xfId="0" applyFont="1" applyFill="1" applyBorder="1" applyAlignment="1" applyProtection="1">
      <alignment horizontal="right" vertical="center"/>
      <protection hidden="1"/>
    </xf>
    <xf numFmtId="0" fontId="158" fillId="9" borderId="176" xfId="0" applyFont="1" applyFill="1" applyBorder="1" applyAlignment="1">
      <alignment horizontal="center" vertical="center"/>
    </xf>
    <xf numFmtId="0" fontId="158" fillId="9" borderId="177" xfId="0" applyFont="1" applyFill="1" applyBorder="1" applyAlignment="1">
      <alignment horizontal="center" vertical="center"/>
    </xf>
    <xf numFmtId="0" fontId="101" fillId="9" borderId="228" xfId="0" applyFont="1" applyFill="1" applyBorder="1" applyAlignment="1">
      <alignment horizontal="left" vertical="center"/>
    </xf>
    <xf numFmtId="0" fontId="101" fillId="9" borderId="176" xfId="0" applyFont="1" applyFill="1" applyBorder="1" applyAlignment="1">
      <alignment horizontal="left" vertical="center"/>
    </xf>
    <xf numFmtId="0" fontId="8" fillId="9" borderId="80" xfId="0" applyFont="1" applyFill="1" applyBorder="1" applyAlignment="1">
      <alignment horizontal="right" vertical="center"/>
    </xf>
    <xf numFmtId="0" fontId="8" fillId="9" borderId="82" xfId="0" applyFont="1" applyFill="1" applyBorder="1" applyAlignment="1">
      <alignment horizontal="right" vertical="center"/>
    </xf>
    <xf numFmtId="8" fontId="7" fillId="6" borderId="10" xfId="0" applyNumberFormat="1" applyFont="1" applyFill="1" applyBorder="1" applyAlignment="1" applyProtection="1">
      <alignment horizontal="center" vertical="center"/>
      <protection locked="0"/>
    </xf>
    <xf numFmtId="8" fontId="8" fillId="6" borderId="169" xfId="0" applyNumberFormat="1" applyFont="1" applyFill="1" applyBorder="1" applyAlignment="1" applyProtection="1">
      <alignment horizontal="center" vertical="center"/>
      <protection locked="0"/>
    </xf>
    <xf numFmtId="8" fontId="8" fillId="6" borderId="10" xfId="0" applyNumberFormat="1" applyFont="1" applyFill="1" applyBorder="1" applyAlignment="1" applyProtection="1">
      <alignment horizontal="center" vertical="center"/>
      <protection locked="0"/>
    </xf>
    <xf numFmtId="14" fontId="196" fillId="9" borderId="192" xfId="0" applyNumberFormat="1" applyFont="1" applyFill="1" applyBorder="1" applyAlignment="1" applyProtection="1">
      <alignment horizontal="center" vertical="center" wrapText="1"/>
      <protection hidden="1"/>
    </xf>
    <xf numFmtId="14" fontId="196" fillId="9" borderId="55" xfId="0" applyNumberFormat="1" applyFont="1" applyFill="1" applyBorder="1" applyAlignment="1" applyProtection="1">
      <alignment horizontal="center" vertical="center" wrapText="1"/>
      <protection hidden="1"/>
    </xf>
    <xf numFmtId="14" fontId="196" fillId="9" borderId="187" xfId="0" applyNumberFormat="1" applyFont="1" applyFill="1" applyBorder="1" applyAlignment="1" applyProtection="1">
      <alignment horizontal="center" vertical="center" wrapText="1"/>
      <protection hidden="1"/>
    </xf>
    <xf numFmtId="14" fontId="196" fillId="9" borderId="56" xfId="0" applyNumberFormat="1" applyFont="1" applyFill="1" applyBorder="1" applyAlignment="1" applyProtection="1">
      <alignment horizontal="center" vertical="center" wrapText="1"/>
      <protection hidden="1"/>
    </xf>
    <xf numFmtId="14" fontId="49" fillId="9" borderId="169" xfId="2" applyNumberFormat="1" applyFill="1" applyBorder="1" applyAlignment="1" applyProtection="1">
      <alignment horizontal="right" vertical="center"/>
      <protection hidden="1"/>
    </xf>
    <xf numFmtId="14" fontId="49" fillId="9" borderId="9" xfId="2" applyNumberFormat="1" applyFill="1" applyBorder="1" applyAlignment="1" applyProtection="1">
      <alignment horizontal="right" vertical="center"/>
      <protection hidden="1"/>
    </xf>
    <xf numFmtId="14" fontId="49" fillId="9" borderId="10" xfId="2" applyNumberFormat="1" applyFill="1" applyBorder="1" applyAlignment="1" applyProtection="1">
      <alignment horizontal="right" vertical="center"/>
      <protection hidden="1"/>
    </xf>
    <xf numFmtId="14" fontId="49" fillId="9" borderId="300" xfId="2" applyNumberFormat="1" applyFill="1" applyBorder="1" applyAlignment="1" applyProtection="1">
      <alignment horizontal="right" vertical="center"/>
      <protection hidden="1"/>
    </xf>
    <xf numFmtId="14" fontId="49" fillId="9" borderId="81" xfId="2" applyNumberFormat="1" applyFill="1" applyBorder="1" applyAlignment="1" applyProtection="1">
      <alignment horizontal="right" vertical="center"/>
      <protection hidden="1"/>
    </xf>
    <xf numFmtId="14" fontId="49" fillId="9" borderId="82" xfId="2" applyNumberFormat="1" applyFill="1" applyBorder="1" applyAlignment="1" applyProtection="1">
      <alignment horizontal="right" vertical="center"/>
      <protection hidden="1"/>
    </xf>
    <xf numFmtId="0" fontId="5" fillId="9" borderId="192" xfId="0" applyFont="1" applyFill="1" applyBorder="1" applyAlignment="1" applyProtection="1">
      <alignment horizontal="right" vertical="center" wrapText="1"/>
      <protection hidden="1"/>
    </xf>
    <xf numFmtId="0" fontId="5" fillId="9" borderId="112" xfId="0" applyFont="1" applyFill="1" applyBorder="1" applyAlignment="1" applyProtection="1">
      <alignment horizontal="right" vertical="center" wrapText="1"/>
      <protection hidden="1"/>
    </xf>
    <xf numFmtId="0" fontId="5" fillId="9" borderId="55" xfId="0" applyFont="1" applyFill="1" applyBorder="1" applyAlignment="1" applyProtection="1">
      <alignment horizontal="right" vertical="center" wrapText="1"/>
      <protection hidden="1"/>
    </xf>
    <xf numFmtId="0" fontId="5" fillId="9" borderId="187" xfId="0" applyFont="1" applyFill="1" applyBorder="1" applyAlignment="1" applyProtection="1">
      <alignment horizontal="right" vertical="center" wrapText="1"/>
      <protection hidden="1"/>
    </xf>
    <xf numFmtId="0" fontId="5" fillId="9" borderId="28" xfId="0" applyFont="1" applyFill="1" applyBorder="1" applyAlignment="1" applyProtection="1">
      <alignment horizontal="right" vertical="center" wrapText="1"/>
      <protection hidden="1"/>
    </xf>
    <xf numFmtId="0" fontId="5" fillId="9" borderId="56" xfId="0" applyFont="1" applyFill="1" applyBorder="1" applyAlignment="1" applyProtection="1">
      <alignment horizontal="right" vertical="center" wrapText="1"/>
      <protection hidden="1"/>
    </xf>
    <xf numFmtId="0" fontId="128" fillId="9" borderId="169" xfId="0" applyFont="1" applyFill="1" applyBorder="1" applyAlignment="1" applyProtection="1">
      <alignment horizontal="left" vertical="center"/>
      <protection hidden="1"/>
    </xf>
    <xf numFmtId="0" fontId="128" fillId="9" borderId="9" xfId="0" applyFont="1" applyFill="1" applyBorder="1" applyAlignment="1" applyProtection="1">
      <alignment horizontal="left" vertical="center"/>
      <protection hidden="1"/>
    </xf>
    <xf numFmtId="0" fontId="128" fillId="9" borderId="10" xfId="0" applyFont="1" applyFill="1" applyBorder="1" applyAlignment="1" applyProtection="1">
      <alignment horizontal="left" vertical="center"/>
      <protection hidden="1"/>
    </xf>
    <xf numFmtId="0" fontId="158" fillId="0" borderId="1" xfId="0" applyFont="1" applyBorder="1" applyAlignment="1" applyProtection="1">
      <alignment horizontal="center" vertical="center"/>
      <protection hidden="1"/>
    </xf>
    <xf numFmtId="0" fontId="158" fillId="0" borderId="9" xfId="0" applyFont="1" applyBorder="1" applyAlignment="1" applyProtection="1">
      <alignment horizontal="center" vertical="center"/>
      <protection hidden="1"/>
    </xf>
    <xf numFmtId="0" fontId="158" fillId="0" borderId="145" xfId="0" applyFont="1" applyBorder="1" applyAlignment="1" applyProtection="1">
      <alignment horizontal="center" vertical="center"/>
      <protection hidden="1"/>
    </xf>
    <xf numFmtId="0" fontId="158" fillId="9" borderId="229" xfId="0" applyFont="1" applyFill="1" applyBorder="1" applyAlignment="1" applyProtection="1">
      <alignment horizontal="center" vertical="center"/>
      <protection hidden="1"/>
    </xf>
    <xf numFmtId="0" fontId="158" fillId="9" borderId="23" xfId="0" applyFont="1" applyFill="1" applyBorder="1" applyAlignment="1" applyProtection="1">
      <alignment horizontal="center" vertical="center"/>
      <protection hidden="1"/>
    </xf>
    <xf numFmtId="0" fontId="158" fillId="9" borderId="230" xfId="0" applyFont="1" applyFill="1" applyBorder="1" applyAlignment="1" applyProtection="1">
      <alignment horizontal="center" vertical="center"/>
      <protection hidden="1"/>
    </xf>
    <xf numFmtId="0" fontId="225" fillId="9" borderId="190" xfId="0" applyFont="1" applyFill="1" applyBorder="1" applyAlignment="1" applyProtection="1">
      <alignment horizontal="center" vertical="center" wrapText="1"/>
      <protection hidden="1"/>
    </xf>
    <xf numFmtId="0" fontId="225" fillId="9" borderId="0" xfId="0" applyFont="1" applyFill="1" applyAlignment="1" applyProtection="1">
      <alignment horizontal="center" vertical="center" wrapText="1"/>
      <protection hidden="1"/>
    </xf>
    <xf numFmtId="0" fontId="225" fillId="9" borderId="152" xfId="0" applyFont="1" applyFill="1" applyBorder="1" applyAlignment="1" applyProtection="1">
      <alignment horizontal="center" vertical="center" wrapText="1"/>
      <protection hidden="1"/>
    </xf>
    <xf numFmtId="0" fontId="225" fillId="9" borderId="210" xfId="0" applyFont="1" applyFill="1" applyBorder="1" applyAlignment="1" applyProtection="1">
      <alignment horizontal="center" vertical="center" wrapText="1"/>
      <protection hidden="1"/>
    </xf>
    <xf numFmtId="0" fontId="225" fillId="9" borderId="18" xfId="0" applyFont="1" applyFill="1" applyBorder="1" applyAlignment="1" applyProtection="1">
      <alignment horizontal="center" vertical="center" wrapText="1"/>
      <protection hidden="1"/>
    </xf>
    <xf numFmtId="0" fontId="225" fillId="9" borderId="301" xfId="0" applyFont="1" applyFill="1" applyBorder="1" applyAlignment="1" applyProtection="1">
      <alignment horizontal="center" vertical="center" wrapText="1"/>
      <protection hidden="1"/>
    </xf>
    <xf numFmtId="0" fontId="99" fillId="9" borderId="114" xfId="0" quotePrefix="1" applyFont="1" applyFill="1" applyBorder="1" applyAlignment="1" applyProtection="1">
      <alignment horizontal="center" vertical="center" wrapText="1"/>
      <protection hidden="1"/>
    </xf>
    <xf numFmtId="0" fontId="99" fillId="9" borderId="23" xfId="0" quotePrefix="1" applyFont="1" applyFill="1" applyBorder="1" applyAlignment="1" applyProtection="1">
      <alignment horizontal="center" vertical="center" wrapText="1"/>
      <protection hidden="1"/>
    </xf>
    <xf numFmtId="14" fontId="196" fillId="9" borderId="12" xfId="0" applyNumberFormat="1" applyFont="1" applyFill="1" applyBorder="1" applyAlignment="1" applyProtection="1">
      <alignment horizontal="center" vertical="center" wrapText="1"/>
      <protection hidden="1"/>
    </xf>
    <xf numFmtId="14" fontId="196" fillId="9" borderId="41" xfId="0" applyNumberFormat="1" applyFont="1" applyFill="1" applyBorder="1" applyAlignment="1" applyProtection="1">
      <alignment horizontal="center" vertical="center" wrapText="1"/>
      <protection hidden="1"/>
    </xf>
    <xf numFmtId="8" fontId="196" fillId="9" borderId="12" xfId="3" applyNumberFormat="1" applyFont="1" applyFill="1" applyBorder="1" applyAlignment="1" applyProtection="1">
      <alignment horizontal="center" vertical="center" wrapText="1"/>
      <protection hidden="1"/>
    </xf>
    <xf numFmtId="8" fontId="196" fillId="9" borderId="41" xfId="3" applyNumberFormat="1" applyFont="1" applyFill="1" applyBorder="1" applyAlignment="1" applyProtection="1">
      <alignment horizontal="center" vertical="center" wrapText="1"/>
      <protection hidden="1"/>
    </xf>
    <xf numFmtId="0" fontId="8" fillId="9" borderId="169" xfId="0" applyFont="1" applyFill="1" applyBorder="1" applyAlignment="1">
      <alignment horizontal="left" vertical="center"/>
    </xf>
    <xf numFmtId="0" fontId="8" fillId="9" borderId="9" xfId="0" applyFont="1" applyFill="1" applyBorder="1" applyAlignment="1">
      <alignment horizontal="left" vertical="center"/>
    </xf>
    <xf numFmtId="0" fontId="8" fillId="9" borderId="10" xfId="0" applyFont="1" applyFill="1" applyBorder="1" applyAlignment="1">
      <alignment horizontal="left" vertical="center"/>
    </xf>
    <xf numFmtId="0" fontId="8" fillId="9" borderId="18" xfId="0" applyFont="1" applyFill="1" applyBorder="1" applyAlignment="1">
      <alignment horizontal="center" vertical="center"/>
    </xf>
    <xf numFmtId="0" fontId="8" fillId="9" borderId="301" xfId="0" applyFont="1" applyFill="1" applyBorder="1" applyAlignment="1">
      <alignment horizontal="center" vertical="center"/>
    </xf>
    <xf numFmtId="10" fontId="205" fillId="9" borderId="230" xfId="3" applyNumberFormat="1" applyFont="1" applyFill="1" applyBorder="1" applyAlignment="1" applyProtection="1">
      <alignment horizontal="center" vertical="center" wrapText="1"/>
      <protection hidden="1"/>
    </xf>
    <xf numFmtId="10" fontId="205" fillId="9" borderId="152" xfId="3" applyNumberFormat="1" applyFont="1" applyFill="1" applyBorder="1" applyAlignment="1" applyProtection="1">
      <alignment horizontal="center" vertical="center" wrapText="1"/>
      <protection hidden="1"/>
    </xf>
    <xf numFmtId="10" fontId="205" fillId="9" borderId="179" xfId="3" applyNumberFormat="1" applyFont="1" applyFill="1" applyBorder="1" applyAlignment="1" applyProtection="1">
      <alignment horizontal="center" vertical="center" wrapText="1"/>
      <protection hidden="1"/>
    </xf>
    <xf numFmtId="0" fontId="8" fillId="9" borderId="229" xfId="0" applyFont="1" applyFill="1" applyBorder="1" applyAlignment="1" applyProtection="1">
      <alignment horizontal="right" vertical="center" wrapText="1"/>
      <protection hidden="1"/>
    </xf>
    <xf numFmtId="0" fontId="8" fillId="9" borderId="23" xfId="0" applyFont="1" applyFill="1" applyBorder="1" applyAlignment="1" applyProtection="1">
      <alignment horizontal="right" vertical="center" wrapText="1"/>
      <protection hidden="1"/>
    </xf>
    <xf numFmtId="0" fontId="8" fillId="9" borderId="84" xfId="0" applyFont="1" applyFill="1" applyBorder="1" applyAlignment="1" applyProtection="1">
      <alignment horizontal="right" vertical="center" wrapText="1"/>
      <protection hidden="1"/>
    </xf>
    <xf numFmtId="0" fontId="5" fillId="9" borderId="190" xfId="0" applyFont="1" applyFill="1" applyBorder="1" applyAlignment="1">
      <alignment horizontal="center" vertical="center"/>
    </xf>
    <xf numFmtId="0" fontId="5" fillId="9" borderId="0" xfId="0" applyFont="1" applyFill="1" applyBorder="1" applyAlignment="1">
      <alignment horizontal="center" vertical="center"/>
    </xf>
    <xf numFmtId="0" fontId="49" fillId="9" borderId="169" xfId="2" applyNumberFormat="1" applyFill="1" applyBorder="1" applyAlignment="1" applyProtection="1">
      <alignment horizontal="left" vertical="center"/>
      <protection hidden="1"/>
    </xf>
    <xf numFmtId="0" fontId="49" fillId="9" borderId="9" xfId="2" applyNumberFormat="1" applyFill="1" applyBorder="1" applyAlignment="1" applyProtection="1">
      <alignment horizontal="left" vertical="center"/>
      <protection hidden="1"/>
    </xf>
    <xf numFmtId="14" fontId="101" fillId="9" borderId="219" xfId="0" applyNumberFormat="1" applyFont="1" applyFill="1" applyBorder="1" applyAlignment="1" applyProtection="1">
      <alignment horizontal="right" vertical="center"/>
      <protection hidden="1"/>
    </xf>
    <xf numFmtId="14" fontId="101" fillId="9" borderId="181" xfId="0" applyNumberFormat="1" applyFont="1" applyFill="1" applyBorder="1" applyAlignment="1" applyProtection="1">
      <alignment horizontal="right" vertical="center"/>
      <protection hidden="1"/>
    </xf>
    <xf numFmtId="0" fontId="188" fillId="9" borderId="300" xfId="0" applyFont="1" applyFill="1" applyBorder="1" applyAlignment="1" applyProtection="1">
      <alignment horizontal="left" vertical="center"/>
      <protection hidden="1"/>
    </xf>
    <xf numFmtId="0" fontId="188" fillId="9" borderId="81" xfId="0" applyFont="1" applyFill="1" applyBorder="1" applyAlignment="1" applyProtection="1">
      <alignment horizontal="left" vertical="center"/>
      <protection hidden="1"/>
    </xf>
    <xf numFmtId="0" fontId="188" fillId="9" borderId="82" xfId="0" applyFont="1" applyFill="1" applyBorder="1" applyAlignment="1" applyProtection="1">
      <alignment horizontal="left" vertical="center"/>
      <protection hidden="1"/>
    </xf>
    <xf numFmtId="0" fontId="225" fillId="9" borderId="183" xfId="0" applyFont="1" applyFill="1" applyBorder="1" applyAlignment="1" applyProtection="1">
      <alignment horizontal="right" vertical="center"/>
      <protection hidden="1"/>
    </xf>
    <xf numFmtId="0" fontId="225" fillId="9" borderId="193" xfId="0" applyFont="1" applyFill="1" applyBorder="1" applyAlignment="1" applyProtection="1">
      <alignment horizontal="right" vertical="center"/>
      <protection hidden="1"/>
    </xf>
    <xf numFmtId="0" fontId="101" fillId="9" borderId="228" xfId="0" applyFont="1" applyFill="1" applyBorder="1" applyAlignment="1" applyProtection="1">
      <alignment horizontal="right" vertical="center"/>
      <protection hidden="1"/>
    </xf>
    <xf numFmtId="0" fontId="101" fillId="9" borderId="176" xfId="0" applyFont="1" applyFill="1" applyBorder="1" applyAlignment="1" applyProtection="1">
      <alignment horizontal="right" vertical="center"/>
      <protection hidden="1"/>
    </xf>
    <xf numFmtId="0" fontId="101" fillId="9" borderId="193" xfId="0" applyFont="1" applyFill="1" applyBorder="1" applyAlignment="1" applyProtection="1">
      <alignment horizontal="right" vertical="center"/>
      <protection hidden="1"/>
    </xf>
    <xf numFmtId="0" fontId="86" fillId="0" borderId="0" xfId="0" applyFont="1" applyAlignment="1">
      <alignment horizontal="center" vertical="center"/>
    </xf>
    <xf numFmtId="10" fontId="0" fillId="0" borderId="0" xfId="0" applyNumberFormat="1" applyAlignment="1">
      <alignment horizontal="center" vertical="center"/>
    </xf>
    <xf numFmtId="0" fontId="158" fillId="9" borderId="219" xfId="0" applyFont="1" applyFill="1" applyBorder="1" applyAlignment="1" applyProtection="1">
      <alignment horizontal="left" vertical="center"/>
      <protection hidden="1"/>
    </xf>
    <xf numFmtId="0" fontId="158" fillId="9" borderId="181" xfId="0" applyFont="1" applyFill="1" applyBorder="1" applyAlignment="1" applyProtection="1">
      <alignment horizontal="left" vertical="center"/>
      <protection hidden="1"/>
    </xf>
    <xf numFmtId="0" fontId="158" fillId="9" borderId="215" xfId="0" applyFont="1" applyFill="1" applyBorder="1" applyAlignment="1" applyProtection="1">
      <alignment horizontal="left" vertical="center"/>
      <protection hidden="1"/>
    </xf>
    <xf numFmtId="0" fontId="8" fillId="9" borderId="0" xfId="0" applyFont="1" applyFill="1" applyAlignment="1" applyProtection="1">
      <alignment horizontal="left" vertical="center"/>
      <protection hidden="1"/>
    </xf>
    <xf numFmtId="0" fontId="0" fillId="0" borderId="0" xfId="0" applyAlignment="1">
      <alignment horizontal="center" vertical="center"/>
    </xf>
    <xf numFmtId="0" fontId="101" fillId="9" borderId="219" xfId="0" applyFont="1" applyFill="1" applyBorder="1" applyAlignment="1">
      <alignment horizontal="center" vertical="center"/>
    </xf>
    <xf numFmtId="0" fontId="101" fillId="9" borderId="181" xfId="0" applyFont="1" applyFill="1" applyBorder="1" applyAlignment="1">
      <alignment horizontal="center" vertical="center"/>
    </xf>
    <xf numFmtId="0" fontId="101" fillId="9" borderId="236" xfId="0" applyFont="1" applyFill="1" applyBorder="1" applyAlignment="1">
      <alignment horizontal="center" vertical="center"/>
    </xf>
    <xf numFmtId="197" fontId="75" fillId="9" borderId="2" xfId="0" applyNumberFormat="1" applyFont="1" applyFill="1" applyBorder="1" applyAlignment="1" applyProtection="1">
      <alignment horizontal="center" vertical="center"/>
      <protection hidden="1"/>
    </xf>
    <xf numFmtId="197" fontId="75" fillId="9" borderId="237" xfId="0" applyNumberFormat="1" applyFont="1" applyFill="1" applyBorder="1" applyAlignment="1" applyProtection="1">
      <alignment horizontal="center" vertical="center"/>
      <protection hidden="1"/>
    </xf>
    <xf numFmtId="197" fontId="0" fillId="9" borderId="10" xfId="0" applyNumberFormat="1" applyFill="1" applyBorder="1" applyAlignment="1" applyProtection="1">
      <alignment horizontal="center" vertical="center"/>
      <protection hidden="1"/>
    </xf>
    <xf numFmtId="197" fontId="0" fillId="9" borderId="3" xfId="0" applyNumberFormat="1" applyFill="1" applyBorder="1" applyAlignment="1" applyProtection="1">
      <alignment horizontal="center" vertical="center"/>
      <protection hidden="1"/>
    </xf>
    <xf numFmtId="0" fontId="44" fillId="9" borderId="294" xfId="0" applyFont="1" applyFill="1" applyBorder="1" applyAlignment="1">
      <alignment horizontal="center" vertical="center" wrapText="1"/>
    </xf>
    <xf numFmtId="0" fontId="44" fillId="9" borderId="295" xfId="0" applyFont="1" applyFill="1" applyBorder="1" applyAlignment="1">
      <alignment horizontal="center" vertical="center" wrapText="1"/>
    </xf>
    <xf numFmtId="0" fontId="44" fillId="9" borderId="296" xfId="0" applyFont="1" applyFill="1" applyBorder="1" applyAlignment="1">
      <alignment horizontal="center" vertical="center" wrapText="1"/>
    </xf>
    <xf numFmtId="0" fontId="6" fillId="9" borderId="169" xfId="0" applyFont="1" applyFill="1" applyBorder="1" applyAlignment="1" applyProtection="1">
      <alignment horizontal="right" vertical="center" wrapText="1"/>
      <protection hidden="1"/>
    </xf>
    <xf numFmtId="0" fontId="6" fillId="9" borderId="10" xfId="0" applyFont="1" applyFill="1" applyBorder="1" applyAlignment="1" applyProtection="1">
      <alignment horizontal="right" vertical="center" wrapText="1"/>
      <protection hidden="1"/>
    </xf>
    <xf numFmtId="0" fontId="0" fillId="4" borderId="1" xfId="0" applyFill="1" applyBorder="1" applyAlignment="1" applyProtection="1">
      <alignment horizontal="center" vertical="center" wrapText="1"/>
      <protection hidden="1"/>
    </xf>
    <xf numFmtId="0" fontId="0" fillId="4" borderId="9" xfId="0" applyFill="1" applyBorder="1" applyAlignment="1" applyProtection="1">
      <alignment horizontal="center" vertical="center" wrapText="1"/>
      <protection hidden="1"/>
    </xf>
    <xf numFmtId="0" fontId="0" fillId="4" borderId="145" xfId="0" applyFill="1" applyBorder="1" applyAlignment="1" applyProtection="1">
      <alignment horizontal="center" vertical="center" wrapText="1"/>
      <protection hidden="1"/>
    </xf>
    <xf numFmtId="0" fontId="13" fillId="9" borderId="0" xfId="0" applyFont="1" applyFill="1" applyAlignment="1" applyProtection="1">
      <alignment horizontal="left" vertical="center"/>
      <protection hidden="1"/>
    </xf>
    <xf numFmtId="0" fontId="245" fillId="9" borderId="0" xfId="0" applyFont="1" applyFill="1" applyAlignment="1" applyProtection="1">
      <alignment horizontal="center" vertical="center" wrapText="1"/>
      <protection hidden="1"/>
    </xf>
    <xf numFmtId="0" fontId="108" fillId="4" borderId="18" xfId="0" applyFont="1" applyFill="1" applyBorder="1" applyAlignment="1" applyProtection="1">
      <alignment horizontal="left" vertical="center"/>
      <protection locked="0" hidden="1"/>
    </xf>
    <xf numFmtId="0" fontId="0" fillId="9" borderId="74" xfId="0" applyFill="1" applyBorder="1" applyAlignment="1" applyProtection="1">
      <alignment horizontal="right" vertical="center" wrapText="1"/>
      <protection hidden="1"/>
    </xf>
    <xf numFmtId="0" fontId="237" fillId="9" borderId="182" xfId="0" applyFont="1" applyFill="1" applyBorder="1" applyAlignment="1" applyProtection="1">
      <alignment horizontal="center" vertical="center"/>
      <protection hidden="1"/>
    </xf>
    <xf numFmtId="0" fontId="0" fillId="9" borderId="130" xfId="0" applyFill="1" applyBorder="1" applyAlignment="1" applyProtection="1">
      <alignment horizontal="center" vertical="center"/>
      <protection hidden="1"/>
    </xf>
    <xf numFmtId="0" fontId="0" fillId="9" borderId="131" xfId="0" applyFill="1" applyBorder="1" applyAlignment="1" applyProtection="1">
      <alignment horizontal="center" vertical="center"/>
      <protection hidden="1"/>
    </xf>
    <xf numFmtId="0" fontId="96" fillId="9" borderId="260" xfId="0" applyFont="1" applyFill="1" applyBorder="1" applyAlignment="1" applyProtection="1">
      <alignment horizontal="right" vertical="center" wrapText="1"/>
      <protection hidden="1"/>
    </xf>
    <xf numFmtId="0" fontId="96" fillId="9" borderId="240" xfId="0" applyFont="1" applyFill="1" applyBorder="1" applyAlignment="1" applyProtection="1">
      <alignment horizontal="right" vertical="center" wrapText="1"/>
      <protection hidden="1"/>
    </xf>
    <xf numFmtId="10" fontId="236" fillId="6" borderId="241" xfId="3" applyNumberFormat="1" applyFont="1" applyFill="1" applyBorder="1" applyAlignment="1" applyProtection="1">
      <alignment horizontal="center" vertical="center" wrapText="1"/>
      <protection locked="0"/>
    </xf>
    <xf numFmtId="10" fontId="236" fillId="6" borderId="242" xfId="3" applyNumberFormat="1" applyFont="1" applyFill="1" applyBorder="1" applyAlignment="1" applyProtection="1">
      <alignment horizontal="center" vertical="center" wrapText="1"/>
      <protection locked="0"/>
    </xf>
    <xf numFmtId="10" fontId="236" fillId="6" borderId="261" xfId="3" applyNumberFormat="1" applyFont="1" applyFill="1" applyBorder="1" applyAlignment="1" applyProtection="1">
      <alignment horizontal="center" vertical="center" wrapText="1"/>
      <protection locked="0"/>
    </xf>
    <xf numFmtId="0" fontId="86" fillId="9" borderId="169" xfId="0" applyFont="1" applyFill="1" applyBorder="1" applyAlignment="1" applyProtection="1">
      <alignment horizontal="right" vertical="center" wrapText="1"/>
      <protection hidden="1"/>
    </xf>
    <xf numFmtId="0" fontId="0" fillId="9" borderId="9" xfId="0" applyFill="1" applyBorder="1" applyAlignment="1" applyProtection="1">
      <alignment horizontal="right" vertical="center" wrapText="1"/>
      <protection hidden="1"/>
    </xf>
    <xf numFmtId="0" fontId="0" fillId="9" borderId="10" xfId="0" applyFill="1" applyBorder="1" applyAlignment="1" applyProtection="1">
      <alignment horizontal="right" vertical="center" wrapText="1"/>
      <protection hidden="1"/>
    </xf>
    <xf numFmtId="10" fontId="0" fillId="6" borderId="1" xfId="3" applyNumberFormat="1" applyFont="1" applyFill="1" applyBorder="1" applyAlignment="1" applyProtection="1">
      <alignment horizontal="center" vertical="center"/>
      <protection locked="0"/>
    </xf>
    <xf numFmtId="10" fontId="0" fillId="6" borderId="9" xfId="3" applyNumberFormat="1" applyFont="1" applyFill="1" applyBorder="1" applyAlignment="1" applyProtection="1">
      <alignment horizontal="center" vertical="center"/>
      <protection locked="0"/>
    </xf>
    <xf numFmtId="10" fontId="0" fillId="6" borderId="145" xfId="3" applyNumberFormat="1" applyFont="1" applyFill="1" applyBorder="1" applyAlignment="1" applyProtection="1">
      <alignment horizontal="center" vertical="center"/>
      <protection locked="0"/>
    </xf>
    <xf numFmtId="0" fontId="0" fillId="9" borderId="175" xfId="0" applyFill="1" applyBorder="1" applyAlignment="1">
      <alignment horizontal="right" vertical="center"/>
    </xf>
    <xf numFmtId="0" fontId="0" fillId="9" borderId="2" xfId="0" applyFill="1" applyBorder="1" applyAlignment="1">
      <alignment horizontal="right" vertical="center"/>
    </xf>
    <xf numFmtId="0" fontId="0" fillId="9" borderId="192" xfId="0" applyFill="1" applyBorder="1" applyAlignment="1" applyProtection="1">
      <alignment horizontal="right" vertical="center" wrapText="1"/>
      <protection hidden="1"/>
    </xf>
    <xf numFmtId="0" fontId="0" fillId="9" borderId="55" xfId="0" applyFill="1" applyBorder="1" applyAlignment="1" applyProtection="1">
      <alignment horizontal="right" vertical="center" wrapText="1"/>
      <protection hidden="1"/>
    </xf>
    <xf numFmtId="10" fontId="0" fillId="0" borderId="42" xfId="3" applyNumberFormat="1" applyFont="1" applyBorder="1" applyAlignment="1" applyProtection="1">
      <alignment horizontal="center" vertical="center"/>
      <protection locked="0"/>
    </xf>
    <xf numFmtId="10" fontId="0" fillId="0" borderId="112" xfId="3" applyNumberFormat="1" applyFont="1" applyBorder="1" applyAlignment="1" applyProtection="1">
      <alignment horizontal="center" vertical="center"/>
      <protection locked="0"/>
    </xf>
    <xf numFmtId="10" fontId="0" fillId="0" borderId="178" xfId="3" applyNumberFormat="1" applyFont="1" applyBorder="1" applyAlignment="1" applyProtection="1">
      <alignment horizontal="center" vertical="center"/>
      <protection locked="0"/>
    </xf>
    <xf numFmtId="0" fontId="96" fillId="9" borderId="175" xfId="0" applyFont="1" applyFill="1" applyBorder="1" applyAlignment="1">
      <alignment horizontal="right" vertical="center"/>
    </xf>
    <xf numFmtId="0" fontId="96" fillId="9" borderId="2" xfId="0" applyFont="1" applyFill="1" applyBorder="1" applyAlignment="1">
      <alignment horizontal="right" vertical="center"/>
    </xf>
    <xf numFmtId="0" fontId="0" fillId="9" borderId="169" xfId="0" applyFill="1" applyBorder="1" applyAlignment="1" applyProtection="1">
      <alignment horizontal="right" vertical="center" wrapText="1"/>
      <protection hidden="1"/>
    </xf>
    <xf numFmtId="9" fontId="0" fillId="6" borderId="1" xfId="3" applyFont="1" applyFill="1" applyBorder="1" applyAlignment="1" applyProtection="1">
      <alignment horizontal="center" vertical="center"/>
      <protection locked="0"/>
    </xf>
    <xf numFmtId="9" fontId="0" fillId="6" borderId="9" xfId="3" applyFont="1" applyFill="1" applyBorder="1" applyAlignment="1" applyProtection="1">
      <alignment horizontal="center" vertical="center"/>
      <protection locked="0"/>
    </xf>
    <xf numFmtId="9" fontId="0" fillId="6" borderId="145" xfId="3" applyFont="1" applyFill="1" applyBorder="1" applyAlignment="1" applyProtection="1">
      <alignment horizontal="center" vertical="center"/>
      <protection locked="0"/>
    </xf>
    <xf numFmtId="0" fontId="13" fillId="9" borderId="0" xfId="0" applyFont="1" applyFill="1" applyAlignment="1" applyProtection="1">
      <alignment horizontal="center" vertical="center"/>
      <protection hidden="1"/>
    </xf>
    <xf numFmtId="177" fontId="238" fillId="9" borderId="254" xfId="0" applyNumberFormat="1" applyFont="1" applyFill="1" applyBorder="1" applyAlignment="1" applyProtection="1">
      <alignment horizontal="center" vertical="center"/>
      <protection hidden="1"/>
    </xf>
    <xf numFmtId="177" fontId="238" fillId="9" borderId="11" xfId="0" applyNumberFormat="1" applyFont="1" applyFill="1" applyBorder="1" applyAlignment="1" applyProtection="1">
      <alignment horizontal="center" vertical="center"/>
      <protection hidden="1"/>
    </xf>
    <xf numFmtId="0" fontId="148" fillId="9" borderId="239" xfId="0" applyFont="1" applyFill="1" applyBorder="1" applyAlignment="1" applyProtection="1">
      <alignment horizontal="right" vertical="center" wrapText="1"/>
      <protection hidden="1"/>
    </xf>
    <xf numFmtId="0" fontId="148" fillId="9" borderId="240" xfId="0" applyFont="1" applyFill="1" applyBorder="1" applyAlignment="1" applyProtection="1">
      <alignment horizontal="right" vertical="center" wrapText="1"/>
      <protection hidden="1"/>
    </xf>
    <xf numFmtId="6" fontId="108" fillId="9" borderId="240" xfId="0" applyNumberFormat="1" applyFont="1" applyFill="1" applyBorder="1" applyAlignment="1" applyProtection="1">
      <alignment horizontal="center" vertical="center"/>
      <protection hidden="1"/>
    </xf>
    <xf numFmtId="6" fontId="108" fillId="9" borderId="256" xfId="0" applyNumberFormat="1" applyFont="1" applyFill="1" applyBorder="1" applyAlignment="1" applyProtection="1">
      <alignment horizontal="center" vertical="center"/>
      <protection hidden="1"/>
    </xf>
    <xf numFmtId="6" fontId="108" fillId="9" borderId="242" xfId="3" applyNumberFormat="1" applyFont="1" applyFill="1" applyBorder="1" applyAlignment="1" applyProtection="1">
      <alignment horizontal="center" vertical="center"/>
      <protection hidden="1"/>
    </xf>
    <xf numFmtId="6" fontId="108" fillId="9" borderId="243" xfId="3" applyNumberFormat="1" applyFont="1" applyFill="1" applyBorder="1" applyAlignment="1" applyProtection="1">
      <alignment horizontal="center" vertical="center"/>
      <protection hidden="1"/>
    </xf>
    <xf numFmtId="177" fontId="75" fillId="0" borderId="2" xfId="0" applyNumberFormat="1" applyFont="1" applyBorder="1" applyAlignment="1" applyProtection="1">
      <alignment horizontal="center" vertical="center"/>
      <protection locked="0"/>
    </xf>
    <xf numFmtId="0" fontId="75" fillId="0" borderId="237" xfId="0" applyFont="1" applyBorder="1" applyAlignment="1" applyProtection="1">
      <alignment horizontal="center" vertical="center"/>
      <protection locked="0"/>
    </xf>
    <xf numFmtId="0" fontId="0" fillId="9" borderId="4" xfId="0" applyFill="1" applyBorder="1" applyAlignment="1" applyProtection="1">
      <alignment horizontal="right" vertical="center"/>
      <protection hidden="1"/>
    </xf>
    <xf numFmtId="0" fontId="86" fillId="9" borderId="13" xfId="0" applyFont="1" applyFill="1" applyBorder="1" applyAlignment="1" applyProtection="1">
      <alignment horizontal="right" vertical="center"/>
      <protection hidden="1"/>
    </xf>
    <xf numFmtId="0" fontId="86" fillId="9" borderId="12" xfId="0" applyFont="1" applyFill="1" applyBorder="1" applyAlignment="1" applyProtection="1">
      <alignment horizontal="right" vertical="center"/>
      <protection hidden="1"/>
    </xf>
    <xf numFmtId="177" fontId="86" fillId="9" borderId="12" xfId="0" applyNumberFormat="1" applyFont="1" applyFill="1" applyBorder="1" applyAlignment="1" applyProtection="1">
      <alignment horizontal="center" vertical="center"/>
      <protection hidden="1"/>
    </xf>
    <xf numFmtId="177" fontId="86" fillId="9" borderId="238" xfId="0" applyNumberFormat="1" applyFont="1" applyFill="1" applyBorder="1" applyAlignment="1" applyProtection="1">
      <alignment horizontal="center" vertical="center"/>
      <protection hidden="1"/>
    </xf>
    <xf numFmtId="6" fontId="88" fillId="9" borderId="268" xfId="0" applyNumberFormat="1" applyFont="1" applyFill="1" applyBorder="1" applyAlignment="1" applyProtection="1">
      <alignment horizontal="center" vertical="center"/>
      <protection hidden="1"/>
    </xf>
    <xf numFmtId="6" fontId="88" fillId="9" borderId="284" xfId="0" applyNumberFormat="1" applyFont="1" applyFill="1" applyBorder="1" applyAlignment="1" applyProtection="1">
      <alignment horizontal="center" vertical="center"/>
      <protection hidden="1"/>
    </xf>
    <xf numFmtId="6" fontId="88" fillId="9" borderId="285" xfId="0" applyNumberFormat="1" applyFont="1" applyFill="1" applyBorder="1" applyAlignment="1" applyProtection="1">
      <alignment horizontal="center" vertical="center"/>
      <protection hidden="1"/>
    </xf>
    <xf numFmtId="0" fontId="88" fillId="9" borderId="267" xfId="0" applyFont="1" applyFill="1" applyBorder="1" applyAlignment="1" applyProtection="1">
      <alignment horizontal="right" vertical="center" wrapText="1"/>
      <protection hidden="1"/>
    </xf>
    <xf numFmtId="0" fontId="88" fillId="9" borderId="268" xfId="0" applyFont="1" applyFill="1" applyBorder="1" applyAlignment="1" applyProtection="1">
      <alignment horizontal="right" vertical="center" wrapText="1"/>
      <protection hidden="1"/>
    </xf>
    <xf numFmtId="0" fontId="75" fillId="9" borderId="264" xfId="0" applyFont="1" applyFill="1" applyBorder="1" applyAlignment="1">
      <alignment horizontal="right" vertical="center"/>
    </xf>
    <xf numFmtId="0" fontId="75" fillId="9" borderId="265" xfId="0" applyFont="1" applyFill="1" applyBorder="1" applyAlignment="1">
      <alignment horizontal="right" vertical="center"/>
    </xf>
    <xf numFmtId="6" fontId="75" fillId="9" borderId="265" xfId="0" applyNumberFormat="1" applyFont="1" applyFill="1" applyBorder="1" applyAlignment="1">
      <alignment horizontal="center" vertical="center"/>
    </xf>
    <xf numFmtId="6" fontId="75" fillId="9" borderId="266" xfId="0" applyNumberFormat="1" applyFont="1" applyFill="1" applyBorder="1" applyAlignment="1">
      <alignment horizontal="center" vertical="center"/>
    </xf>
    <xf numFmtId="0" fontId="75" fillId="9" borderId="265" xfId="0" applyFont="1" applyFill="1" applyBorder="1" applyAlignment="1">
      <alignment horizontal="center" vertical="center"/>
    </xf>
    <xf numFmtId="0" fontId="44" fillId="9" borderId="269" xfId="0" applyFont="1" applyFill="1" applyBorder="1" applyAlignment="1" applyProtection="1">
      <alignment horizontal="right" vertical="center" wrapText="1"/>
      <protection hidden="1"/>
    </xf>
    <xf numFmtId="0" fontId="44" fillId="9" borderId="270" xfId="0" applyFont="1" applyFill="1" applyBorder="1" applyAlignment="1" applyProtection="1">
      <alignment horizontal="right" vertical="center" wrapText="1"/>
      <protection hidden="1"/>
    </xf>
    <xf numFmtId="6" fontId="44" fillId="9" borderId="270" xfId="0" applyNumberFormat="1" applyFont="1" applyFill="1" applyBorder="1" applyAlignment="1" applyProtection="1">
      <alignment horizontal="center" vertical="center"/>
      <protection hidden="1"/>
    </xf>
    <xf numFmtId="6" fontId="44" fillId="9" borderId="270" xfId="3" applyNumberFormat="1" applyFont="1" applyFill="1" applyBorder="1" applyAlignment="1" applyProtection="1">
      <alignment horizontal="center" vertical="center"/>
      <protection hidden="1"/>
    </xf>
    <xf numFmtId="6" fontId="44" fillId="9" borderId="271" xfId="3" applyNumberFormat="1" applyFont="1" applyFill="1" applyBorder="1" applyAlignment="1" applyProtection="1">
      <alignment horizontal="center" vertical="center"/>
      <protection hidden="1"/>
    </xf>
    <xf numFmtId="0" fontId="108" fillId="4" borderId="184" xfId="0" applyFont="1" applyFill="1" applyBorder="1" applyAlignment="1" applyProtection="1">
      <alignment horizontal="center" vertical="center" wrapText="1"/>
      <protection hidden="1"/>
    </xf>
    <xf numFmtId="0" fontId="108" fillId="4" borderId="185" xfId="0" applyFont="1" applyFill="1" applyBorder="1" applyAlignment="1" applyProtection="1">
      <alignment horizontal="center" vertical="center" wrapText="1"/>
      <protection hidden="1"/>
    </xf>
    <xf numFmtId="0" fontId="108" fillId="4" borderId="186" xfId="0" applyFont="1" applyFill="1" applyBorder="1" applyAlignment="1" applyProtection="1">
      <alignment horizontal="center" vertical="center" wrapText="1"/>
      <protection hidden="1"/>
    </xf>
    <xf numFmtId="0" fontId="108" fillId="4" borderId="187" xfId="0" applyFont="1" applyFill="1" applyBorder="1" applyAlignment="1" applyProtection="1">
      <alignment horizontal="center" vertical="center" wrapText="1"/>
      <protection hidden="1"/>
    </xf>
    <xf numFmtId="0" fontId="108" fillId="4" borderId="28" xfId="0" applyFont="1" applyFill="1" applyBorder="1" applyAlignment="1" applyProtection="1">
      <alignment horizontal="center" vertical="center" wrapText="1"/>
      <protection hidden="1"/>
    </xf>
    <xf numFmtId="0" fontId="108" fillId="4" borderId="179" xfId="0" applyFont="1" applyFill="1" applyBorder="1" applyAlignment="1" applyProtection="1">
      <alignment horizontal="center" vertical="center" wrapText="1"/>
      <protection hidden="1"/>
    </xf>
    <xf numFmtId="0" fontId="88" fillId="9" borderId="169" xfId="0" applyFont="1" applyFill="1" applyBorder="1" applyAlignment="1">
      <alignment horizontal="right" vertical="center"/>
    </xf>
    <xf numFmtId="0" fontId="88" fillId="9" borderId="10" xfId="0" applyFont="1" applyFill="1" applyBorder="1" applyAlignment="1">
      <alignment horizontal="right" vertical="center"/>
    </xf>
    <xf numFmtId="14" fontId="82" fillId="0" borderId="241" xfId="0" applyNumberFormat="1" applyFont="1" applyBorder="1" applyAlignment="1" applyProtection="1">
      <alignment horizontal="center" vertical="center"/>
      <protection locked="0"/>
    </xf>
    <xf numFmtId="14" fontId="82" fillId="0" borderId="242" xfId="0" applyNumberFormat="1" applyFont="1" applyBorder="1" applyAlignment="1" applyProtection="1">
      <alignment horizontal="center" vertical="center"/>
      <protection locked="0"/>
    </xf>
    <xf numFmtId="14" fontId="82" fillId="0" borderId="243" xfId="0" applyNumberFormat="1" applyFont="1" applyBorder="1" applyAlignment="1" applyProtection="1">
      <alignment horizontal="center" vertical="center"/>
      <protection locked="0"/>
    </xf>
    <xf numFmtId="0" fontId="108" fillId="4" borderId="211" xfId="0" applyFont="1" applyFill="1" applyBorder="1" applyAlignment="1">
      <alignment horizontal="center" vertical="center" wrapText="1"/>
    </xf>
    <xf numFmtId="0" fontId="108" fillId="4" borderId="78" xfId="0" applyFont="1" applyFill="1" applyBorder="1" applyAlignment="1">
      <alignment horizontal="center" vertical="center" wrapText="1"/>
    </xf>
    <xf numFmtId="0" fontId="108" fillId="4" borderId="258" xfId="0" applyFont="1" applyFill="1" applyBorder="1" applyAlignment="1">
      <alignment horizontal="center" vertical="center" wrapText="1"/>
    </xf>
    <xf numFmtId="0" fontId="108" fillId="9" borderId="287" xfId="0" applyFont="1" applyFill="1" applyBorder="1" applyAlignment="1" applyProtection="1">
      <alignment horizontal="right" vertical="center"/>
      <protection hidden="1"/>
    </xf>
    <xf numFmtId="0" fontId="108" fillId="9" borderId="242" xfId="0" applyFont="1" applyFill="1" applyBorder="1" applyAlignment="1" applyProtection="1">
      <alignment horizontal="right" vertical="center"/>
      <protection hidden="1"/>
    </xf>
    <xf numFmtId="0" fontId="108" fillId="9" borderId="288" xfId="0" applyFont="1" applyFill="1" applyBorder="1" applyAlignment="1" applyProtection="1">
      <alignment horizontal="right" vertical="center"/>
      <protection hidden="1"/>
    </xf>
    <xf numFmtId="14" fontId="0" fillId="0" borderId="1" xfId="0" applyNumberFormat="1" applyBorder="1" applyAlignment="1" applyProtection="1">
      <alignment horizontal="center" vertical="center"/>
      <protection locked="0"/>
    </xf>
    <xf numFmtId="14" fontId="0" fillId="0" borderId="9" xfId="0" applyNumberFormat="1" applyBorder="1" applyAlignment="1" applyProtection="1">
      <alignment horizontal="center" vertical="center"/>
      <protection locked="0"/>
    </xf>
    <xf numFmtId="0" fontId="0" fillId="9" borderId="169" xfId="0" applyFill="1" applyBorder="1" applyAlignment="1">
      <alignment horizontal="right" vertical="center"/>
    </xf>
    <xf numFmtId="0" fontId="0" fillId="9" borderId="10" xfId="0" applyFill="1" applyBorder="1" applyAlignment="1">
      <alignment horizontal="right" vertical="center"/>
    </xf>
    <xf numFmtId="0" fontId="96" fillId="9" borderId="153" xfId="0" applyFont="1" applyFill="1" applyBorder="1" applyAlignment="1" applyProtection="1">
      <alignment horizontal="right" vertical="center"/>
      <protection hidden="1"/>
    </xf>
    <xf numFmtId="0" fontId="96" fillId="9" borderId="12" xfId="0" applyFont="1" applyFill="1" applyBorder="1" applyAlignment="1" applyProtection="1">
      <alignment horizontal="right" vertical="center"/>
      <protection hidden="1"/>
    </xf>
    <xf numFmtId="8" fontId="96" fillId="0" borderId="80" xfId="0" applyNumberFormat="1" applyFont="1" applyBorder="1" applyAlignment="1" applyProtection="1">
      <alignment horizontal="center" vertical="center"/>
      <protection locked="0"/>
    </xf>
    <xf numFmtId="8" fontId="96" fillId="0" borderId="81" xfId="0" applyNumberFormat="1" applyFont="1" applyBorder="1" applyAlignment="1" applyProtection="1">
      <alignment horizontal="center" vertical="center"/>
      <protection locked="0"/>
    </xf>
    <xf numFmtId="8" fontId="96" fillId="0" borderId="257" xfId="0" applyNumberFormat="1" applyFont="1" applyBorder="1" applyAlignment="1" applyProtection="1">
      <alignment horizontal="center" vertical="center"/>
      <protection locked="0"/>
    </xf>
    <xf numFmtId="0" fontId="108" fillId="4" borderId="183" xfId="0" applyFont="1" applyFill="1" applyBorder="1" applyAlignment="1" applyProtection="1">
      <alignment horizontal="center" vertical="center" wrapText="1"/>
      <protection hidden="1"/>
    </xf>
    <xf numFmtId="0" fontId="108" fillId="4" borderId="176" xfId="0" applyFont="1" applyFill="1" applyBorder="1" applyAlignment="1" applyProtection="1">
      <alignment horizontal="center" vertical="center" wrapText="1"/>
      <protection hidden="1"/>
    </xf>
    <xf numFmtId="0" fontId="108" fillId="4" borderId="177" xfId="0" applyFont="1" applyFill="1" applyBorder="1" applyAlignment="1" applyProtection="1">
      <alignment horizontal="center" vertical="center" wrapText="1"/>
      <protection hidden="1"/>
    </xf>
    <xf numFmtId="0" fontId="0" fillId="9" borderId="175" xfId="0" applyFill="1" applyBorder="1" applyAlignment="1" applyProtection="1">
      <alignment horizontal="right" vertical="center"/>
      <protection hidden="1"/>
    </xf>
    <xf numFmtId="14" fontId="0" fillId="0" borderId="145" xfId="0" applyNumberFormat="1" applyBorder="1" applyAlignment="1" applyProtection="1">
      <alignment horizontal="center" vertical="center"/>
      <protection locked="0"/>
    </xf>
    <xf numFmtId="0" fontId="86" fillId="9" borderId="175" xfId="0" applyFont="1" applyFill="1" applyBorder="1" applyAlignment="1" applyProtection="1">
      <alignment horizontal="right" vertical="center" wrapText="1"/>
      <protection hidden="1"/>
    </xf>
    <xf numFmtId="0" fontId="86" fillId="9" borderId="2" xfId="0" applyFont="1" applyFill="1" applyBorder="1" applyAlignment="1" applyProtection="1">
      <alignment horizontal="right" vertical="center" wrapText="1"/>
      <protection hidden="1"/>
    </xf>
    <xf numFmtId="0" fontId="86" fillId="6" borderId="1" xfId="0" applyFont="1" applyFill="1" applyBorder="1" applyAlignment="1" applyProtection="1">
      <alignment horizontal="center" vertical="center"/>
      <protection locked="0"/>
    </xf>
    <xf numFmtId="0" fontId="86" fillId="6" borderId="9" xfId="0" applyFont="1" applyFill="1" applyBorder="1" applyAlignment="1" applyProtection="1">
      <alignment horizontal="center" vertical="center"/>
      <protection locked="0"/>
    </xf>
    <xf numFmtId="0" fontId="86" fillId="6" borderId="145" xfId="0" applyFont="1" applyFill="1" applyBorder="1" applyAlignment="1" applyProtection="1">
      <alignment horizontal="center" vertical="center"/>
      <protection locked="0"/>
    </xf>
    <xf numFmtId="0" fontId="93" fillId="4" borderId="184" xfId="0" applyFont="1" applyFill="1" applyBorder="1" applyAlignment="1" applyProtection="1">
      <alignment horizontal="center" vertical="center" wrapText="1"/>
      <protection hidden="1"/>
    </xf>
    <xf numFmtId="0" fontId="93" fillId="4" borderId="185" xfId="0" applyFont="1" applyFill="1" applyBorder="1" applyAlignment="1" applyProtection="1">
      <alignment horizontal="center" vertical="center" wrapText="1"/>
      <protection hidden="1"/>
    </xf>
    <xf numFmtId="0" fontId="93" fillId="4" borderId="216" xfId="0" applyFont="1" applyFill="1" applyBorder="1" applyAlignment="1" applyProtection="1">
      <alignment horizontal="center" vertical="center" wrapText="1"/>
      <protection hidden="1"/>
    </xf>
    <xf numFmtId="0" fontId="93" fillId="4" borderId="187" xfId="0" applyFont="1" applyFill="1" applyBorder="1" applyAlignment="1" applyProtection="1">
      <alignment horizontal="center" vertical="center" wrapText="1"/>
      <protection hidden="1"/>
    </xf>
    <xf numFmtId="0" fontId="93" fillId="4" borderId="28" xfId="0" applyFont="1" applyFill="1" applyBorder="1" applyAlignment="1" applyProtection="1">
      <alignment horizontal="center" vertical="center" wrapText="1"/>
      <protection hidden="1"/>
    </xf>
    <xf numFmtId="0" fontId="93" fillId="4" borderId="56" xfId="0" applyFont="1" applyFill="1" applyBorder="1" applyAlignment="1" applyProtection="1">
      <alignment horizontal="center" vertical="center" wrapText="1"/>
      <protection hidden="1"/>
    </xf>
    <xf numFmtId="14" fontId="0" fillId="9" borderId="1" xfId="0" applyNumberFormat="1" applyFill="1" applyBorder="1" applyAlignment="1" applyProtection="1">
      <alignment horizontal="center" vertical="center"/>
      <protection hidden="1"/>
    </xf>
    <xf numFmtId="14" fontId="0" fillId="9" borderId="9" xfId="0" applyNumberFormat="1" applyFill="1" applyBorder="1" applyAlignment="1" applyProtection="1">
      <alignment horizontal="center" vertical="center"/>
      <protection hidden="1"/>
    </xf>
    <xf numFmtId="0" fontId="0" fillId="9" borderId="169" xfId="0" applyFill="1" applyBorder="1" applyAlignment="1" applyProtection="1">
      <alignment horizontal="right" vertical="center"/>
      <protection hidden="1"/>
    </xf>
    <xf numFmtId="0" fontId="0" fillId="9" borderId="9" xfId="0" applyFill="1" applyBorder="1" applyAlignment="1" applyProtection="1">
      <alignment horizontal="right" vertical="center"/>
      <protection hidden="1"/>
    </xf>
    <xf numFmtId="0" fontId="0" fillId="9" borderId="10" xfId="0" applyFill="1" applyBorder="1" applyAlignment="1" applyProtection="1">
      <alignment horizontal="right" vertical="center"/>
      <protection hidden="1"/>
    </xf>
    <xf numFmtId="0" fontId="0" fillId="9" borderId="1" xfId="0" applyFill="1" applyBorder="1" applyAlignment="1" applyProtection="1">
      <alignment horizontal="right" vertical="center"/>
      <protection hidden="1"/>
    </xf>
    <xf numFmtId="0" fontId="188" fillId="9" borderId="219" xfId="0" applyFont="1" applyFill="1" applyBorder="1" applyAlignment="1" applyProtection="1">
      <alignment horizontal="right" vertical="center" wrapText="1"/>
      <protection hidden="1"/>
    </xf>
    <xf numFmtId="0" fontId="188" fillId="9" borderId="215" xfId="0" applyFont="1" applyFill="1" applyBorder="1" applyAlignment="1" applyProtection="1">
      <alignment horizontal="right" vertical="center" wrapText="1"/>
      <protection hidden="1"/>
    </xf>
    <xf numFmtId="0" fontId="264" fillId="4" borderId="184" xfId="0" applyFont="1" applyFill="1" applyBorder="1" applyAlignment="1" applyProtection="1">
      <alignment horizontal="center" vertical="center" wrapText="1"/>
      <protection hidden="1"/>
    </xf>
    <xf numFmtId="0" fontId="264" fillId="4" borderId="185" xfId="0" applyFont="1" applyFill="1" applyBorder="1" applyAlignment="1" applyProtection="1">
      <alignment horizontal="center" vertical="center" wrapText="1"/>
      <protection hidden="1"/>
    </xf>
    <xf numFmtId="0" fontId="264" fillId="4" borderId="186" xfId="0" applyFont="1" applyFill="1" applyBorder="1" applyAlignment="1" applyProtection="1">
      <alignment horizontal="center" vertical="center" wrapText="1"/>
      <protection hidden="1"/>
    </xf>
    <xf numFmtId="0" fontId="264" fillId="4" borderId="187" xfId="0" applyFont="1" applyFill="1" applyBorder="1" applyAlignment="1" applyProtection="1">
      <alignment horizontal="center" vertical="center" wrapText="1"/>
      <protection hidden="1"/>
    </xf>
    <xf numFmtId="0" fontId="264" fillId="4" borderId="28" xfId="0" applyFont="1" applyFill="1" applyBorder="1" applyAlignment="1" applyProtection="1">
      <alignment horizontal="center" vertical="center" wrapText="1"/>
      <protection hidden="1"/>
    </xf>
    <xf numFmtId="0" fontId="264" fillId="4" borderId="179" xfId="0" applyFont="1" applyFill="1" applyBorder="1" applyAlignment="1" applyProtection="1">
      <alignment horizontal="center" vertical="center" wrapText="1"/>
      <protection hidden="1"/>
    </xf>
    <xf numFmtId="8" fontId="86" fillId="9" borderId="10" xfId="0" applyNumberFormat="1" applyFont="1" applyFill="1" applyBorder="1" applyAlignment="1" applyProtection="1">
      <alignment horizontal="center" vertical="center"/>
      <protection hidden="1"/>
    </xf>
    <xf numFmtId="8" fontId="86" fillId="9" borderId="3" xfId="0" applyNumberFormat="1" applyFont="1" applyFill="1" applyBorder="1" applyAlignment="1" applyProtection="1">
      <alignment horizontal="center" vertical="center"/>
      <protection hidden="1"/>
    </xf>
    <xf numFmtId="0" fontId="91" fillId="9" borderId="112" xfId="0" applyFont="1" applyFill="1" applyBorder="1" applyAlignment="1" applyProtection="1">
      <alignment horizontal="center" vertical="center" wrapText="1"/>
      <protection hidden="1"/>
    </xf>
    <xf numFmtId="0" fontId="91" fillId="9" borderId="58" xfId="0" applyFont="1" applyFill="1" applyBorder="1" applyAlignment="1" applyProtection="1">
      <alignment horizontal="center" vertical="center" wrapText="1"/>
      <protection hidden="1"/>
    </xf>
    <xf numFmtId="0" fontId="91" fillId="9" borderId="0" xfId="0" applyFont="1" applyFill="1" applyAlignment="1" applyProtection="1">
      <alignment horizontal="center" vertical="center" wrapText="1"/>
      <protection hidden="1"/>
    </xf>
    <xf numFmtId="0" fontId="91" fillId="9" borderId="15" xfId="0" applyFont="1" applyFill="1" applyBorder="1" applyAlignment="1" applyProtection="1">
      <alignment horizontal="center" vertical="center" wrapText="1"/>
      <protection hidden="1"/>
    </xf>
    <xf numFmtId="0" fontId="91" fillId="9" borderId="28" xfId="0" applyFont="1" applyFill="1" applyBorder="1" applyAlignment="1" applyProtection="1">
      <alignment horizontal="center" vertical="center" wrapText="1"/>
      <protection hidden="1"/>
    </xf>
    <xf numFmtId="0" fontId="91" fillId="9" borderId="57" xfId="0" applyFont="1" applyFill="1" applyBorder="1" applyAlignment="1" applyProtection="1">
      <alignment horizontal="center" vertical="center" wrapText="1"/>
      <protection hidden="1"/>
    </xf>
    <xf numFmtId="2" fontId="0" fillId="9" borderId="10" xfId="0" applyNumberFormat="1" applyFill="1" applyBorder="1" applyAlignment="1" applyProtection="1">
      <alignment horizontal="center" vertical="center"/>
      <protection hidden="1"/>
    </xf>
    <xf numFmtId="2" fontId="0" fillId="9" borderId="3" xfId="0" applyNumberFormat="1" applyFill="1" applyBorder="1" applyAlignment="1" applyProtection="1">
      <alignment horizontal="center" vertical="center"/>
      <protection hidden="1"/>
    </xf>
    <xf numFmtId="8" fontId="140" fillId="9" borderId="2" xfId="0" applyNumberFormat="1" applyFont="1" applyFill="1" applyBorder="1" applyAlignment="1" applyProtection="1">
      <alignment horizontal="center" vertical="center"/>
      <protection hidden="1"/>
    </xf>
    <xf numFmtId="8" fontId="140" fillId="9" borderId="237" xfId="0" applyNumberFormat="1" applyFont="1" applyFill="1" applyBorder="1" applyAlignment="1" applyProtection="1">
      <alignment horizontal="center" vertical="center"/>
      <protection hidden="1"/>
    </xf>
    <xf numFmtId="0" fontId="86" fillId="9" borderId="68" xfId="0" applyFont="1" applyFill="1" applyBorder="1" applyAlignment="1" applyProtection="1">
      <alignment horizontal="right" vertical="center"/>
      <protection hidden="1"/>
    </xf>
    <xf numFmtId="0" fontId="86" fillId="9" borderId="9" xfId="0" applyFont="1" applyFill="1" applyBorder="1" applyAlignment="1" applyProtection="1">
      <alignment horizontal="right" vertical="center"/>
      <protection hidden="1"/>
    </xf>
    <xf numFmtId="0" fontId="86" fillId="9" borderId="10" xfId="0" applyFont="1" applyFill="1" applyBorder="1" applyAlignment="1" applyProtection="1">
      <alignment horizontal="right" vertical="center"/>
      <protection hidden="1"/>
    </xf>
    <xf numFmtId="0" fontId="244" fillId="9" borderId="185" xfId="0" applyFont="1" applyFill="1" applyBorder="1" applyAlignment="1" applyProtection="1">
      <alignment horizontal="left" vertical="center" wrapText="1"/>
      <protection hidden="1"/>
    </xf>
    <xf numFmtId="0" fontId="244" fillId="9" borderId="0" xfId="0" applyFont="1" applyFill="1" applyAlignment="1" applyProtection="1">
      <alignment horizontal="left" vertical="center" wrapText="1"/>
      <protection hidden="1"/>
    </xf>
    <xf numFmtId="0" fontId="244" fillId="9" borderId="189" xfId="0" applyFont="1" applyFill="1" applyBorder="1" applyAlignment="1" applyProtection="1">
      <alignment horizontal="left" vertical="center" wrapText="1"/>
      <protection hidden="1"/>
    </xf>
    <xf numFmtId="0" fontId="86" fillId="9" borderId="153" xfId="0" applyFont="1" applyFill="1" applyBorder="1" applyAlignment="1">
      <alignment horizontal="right" vertical="center"/>
    </xf>
    <xf numFmtId="0" fontId="86" fillId="9" borderId="12" xfId="0" applyFont="1" applyFill="1" applyBorder="1" applyAlignment="1">
      <alignment horizontal="right" vertical="center"/>
    </xf>
    <xf numFmtId="177" fontId="140" fillId="9" borderId="12" xfId="0" applyNumberFormat="1" applyFont="1" applyFill="1" applyBorder="1" applyAlignment="1" applyProtection="1">
      <alignment horizontal="center" vertical="center"/>
      <protection hidden="1"/>
    </xf>
    <xf numFmtId="177" fontId="140" fillId="9" borderId="238" xfId="0" applyNumberFormat="1" applyFont="1" applyFill="1" applyBorder="1" applyAlignment="1" applyProtection="1">
      <alignment horizontal="center" vertical="center"/>
      <protection hidden="1"/>
    </xf>
    <xf numFmtId="0" fontId="108" fillId="4" borderId="16" xfId="0" applyFont="1" applyFill="1" applyBorder="1" applyAlignment="1">
      <alignment horizontal="left" vertical="center"/>
    </xf>
    <xf numFmtId="0" fontId="108" fillId="4" borderId="18" xfId="0" applyFont="1" applyFill="1" applyBorder="1" applyAlignment="1">
      <alignment horizontal="left" vertical="center"/>
    </xf>
    <xf numFmtId="10" fontId="0" fillId="0" borderId="21" xfId="0" applyNumberFormat="1" applyBorder="1" applyAlignment="1" applyProtection="1">
      <alignment horizontal="center" vertical="center"/>
      <protection locked="0"/>
    </xf>
    <xf numFmtId="10" fontId="0" fillId="0" borderId="22" xfId="0" applyNumberFormat="1" applyBorder="1" applyAlignment="1" applyProtection="1">
      <alignment horizontal="center" vertical="center"/>
      <protection locked="0"/>
    </xf>
    <xf numFmtId="0" fontId="244" fillId="9" borderId="0" xfId="0" applyFont="1" applyFill="1" applyAlignment="1">
      <alignment horizontal="left" vertical="top" wrapText="1"/>
    </xf>
    <xf numFmtId="0" fontId="6" fillId="9" borderId="153" xfId="0" applyFont="1" applyFill="1" applyBorder="1" applyAlignment="1" applyProtection="1">
      <alignment horizontal="right" vertical="center" wrapText="1"/>
      <protection hidden="1"/>
    </xf>
    <xf numFmtId="0" fontId="6" fillId="9" borderId="154" xfId="0" applyFont="1" applyFill="1" applyBorder="1" applyAlignment="1" applyProtection="1">
      <alignment horizontal="right" vertical="center" wrapText="1"/>
      <protection hidden="1"/>
    </xf>
    <xf numFmtId="0" fontId="101" fillId="9" borderId="169" xfId="0" applyFont="1" applyFill="1" applyBorder="1" applyAlignment="1" applyProtection="1">
      <alignment horizontal="right" vertical="center" wrapText="1"/>
      <protection hidden="1"/>
    </xf>
    <xf numFmtId="0" fontId="101" fillId="9" borderId="10" xfId="0" applyFont="1" applyFill="1" applyBorder="1" applyAlignment="1" applyProtection="1">
      <alignment horizontal="right" vertical="center" wrapText="1"/>
      <protection hidden="1"/>
    </xf>
    <xf numFmtId="0" fontId="196" fillId="9" borderId="297" xfId="0" applyFont="1" applyFill="1" applyBorder="1" applyAlignment="1" applyProtection="1">
      <alignment horizontal="right" vertical="center" wrapText="1"/>
      <protection hidden="1"/>
    </xf>
    <xf numFmtId="0" fontId="196" fillId="9" borderId="128" xfId="0" applyFont="1" applyFill="1" applyBorder="1" applyAlignment="1" applyProtection="1">
      <alignment horizontal="right" vertical="center" wrapText="1"/>
      <protection hidden="1"/>
    </xf>
    <xf numFmtId="8" fontId="86" fillId="9" borderId="180" xfId="0" applyNumberFormat="1" applyFont="1" applyFill="1" applyBorder="1" applyAlignment="1" applyProtection="1">
      <alignment horizontal="center" vertical="center"/>
      <protection hidden="1"/>
    </xf>
    <xf numFmtId="8" fontId="86" fillId="9" borderId="181" xfId="0" applyNumberFormat="1" applyFont="1" applyFill="1" applyBorder="1" applyAlignment="1" applyProtection="1">
      <alignment horizontal="center" vertical="center"/>
      <protection hidden="1"/>
    </xf>
    <xf numFmtId="8" fontId="86" fillId="9" borderId="236" xfId="0" applyNumberFormat="1" applyFont="1" applyFill="1" applyBorder="1" applyAlignment="1" applyProtection="1">
      <alignment horizontal="center" vertical="center"/>
      <protection hidden="1"/>
    </xf>
    <xf numFmtId="8" fontId="0" fillId="0" borderId="0" xfId="0" applyNumberFormat="1" applyAlignment="1">
      <alignment horizontal="center" vertical="center" wrapText="1"/>
    </xf>
    <xf numFmtId="0" fontId="0" fillId="0" borderId="0" xfId="0" applyAlignment="1">
      <alignment horizontal="center" vertical="center" wrapText="1"/>
    </xf>
    <xf numFmtId="0" fontId="0" fillId="0" borderId="1" xfId="0" applyBorder="1" applyAlignment="1">
      <alignment horizontal="center" vertical="center"/>
    </xf>
    <xf numFmtId="0" fontId="0" fillId="0" borderId="10" xfId="0" applyBorder="1" applyAlignment="1">
      <alignment horizontal="center" vertical="center"/>
    </xf>
    <xf numFmtId="6" fontId="82" fillId="9" borderId="240" xfId="0" applyNumberFormat="1" applyFont="1" applyFill="1" applyBorder="1" applyAlignment="1" applyProtection="1">
      <alignment horizontal="center" vertical="center"/>
      <protection hidden="1"/>
    </xf>
    <xf numFmtId="6" fontId="82" fillId="9" borderId="256" xfId="0" applyNumberFormat="1" applyFont="1" applyFill="1" applyBorder="1" applyAlignment="1" applyProtection="1">
      <alignment horizontal="center" vertical="center"/>
      <protection hidden="1"/>
    </xf>
    <xf numFmtId="177" fontId="0" fillId="0" borderId="2" xfId="0" applyNumberFormat="1" applyBorder="1" applyAlignment="1" applyProtection="1">
      <alignment horizontal="center" vertical="center"/>
      <protection locked="0"/>
    </xf>
    <xf numFmtId="177" fontId="0" fillId="0" borderId="237" xfId="0" applyNumberFormat="1" applyBorder="1" applyAlignment="1" applyProtection="1">
      <alignment horizontal="center" vertical="center"/>
      <protection locked="0"/>
    </xf>
    <xf numFmtId="8" fontId="0" fillId="9" borderId="1" xfId="0" applyNumberFormat="1" applyFill="1" applyBorder="1" applyAlignment="1" applyProtection="1">
      <alignment horizontal="center" vertical="center"/>
      <protection hidden="1"/>
    </xf>
    <xf numFmtId="8" fontId="0" fillId="9" borderId="9" xfId="0" applyNumberFormat="1" applyFill="1" applyBorder="1" applyAlignment="1" applyProtection="1">
      <alignment horizontal="center" vertical="center"/>
      <protection hidden="1"/>
    </xf>
    <xf numFmtId="8" fontId="0" fillId="9" borderId="145" xfId="0" applyNumberFormat="1" applyFill="1" applyBorder="1" applyAlignment="1" applyProtection="1">
      <alignment horizontal="center" vertical="center"/>
      <protection hidden="1"/>
    </xf>
    <xf numFmtId="6" fontId="108" fillId="9" borderId="288" xfId="0" applyNumberFormat="1" applyFont="1" applyFill="1" applyBorder="1" applyAlignment="1" applyProtection="1">
      <alignment horizontal="center" vertical="center"/>
      <protection hidden="1"/>
    </xf>
    <xf numFmtId="6" fontId="108" fillId="9" borderId="289" xfId="0" applyNumberFormat="1" applyFont="1" applyFill="1" applyBorder="1" applyAlignment="1" applyProtection="1">
      <alignment horizontal="center" vertical="center"/>
      <protection hidden="1"/>
    </xf>
    <xf numFmtId="2" fontId="75" fillId="9" borderId="2" xfId="0" applyNumberFormat="1" applyFont="1" applyFill="1" applyBorder="1" applyAlignment="1" applyProtection="1">
      <alignment horizontal="center" vertical="center"/>
      <protection hidden="1"/>
    </xf>
    <xf numFmtId="2" fontId="75" fillId="9" borderId="237" xfId="0" applyNumberFormat="1" applyFont="1" applyFill="1" applyBorder="1" applyAlignment="1" applyProtection="1">
      <alignment horizontal="center" vertical="center"/>
      <protection hidden="1"/>
    </xf>
    <xf numFmtId="6" fontId="249" fillId="9" borderId="286" xfId="0" applyNumberFormat="1" applyFont="1" applyFill="1" applyBorder="1" applyAlignment="1" applyProtection="1">
      <alignment horizontal="center" vertical="center"/>
      <protection hidden="1"/>
    </xf>
    <xf numFmtId="6" fontId="249" fillId="9" borderId="189" xfId="0" applyNumberFormat="1" applyFont="1" applyFill="1" applyBorder="1" applyAlignment="1" applyProtection="1">
      <alignment horizontal="center" vertical="center"/>
      <protection hidden="1"/>
    </xf>
    <xf numFmtId="6" fontId="108" fillId="0" borderId="255" xfId="0" applyNumberFormat="1" applyFont="1" applyBorder="1" applyAlignment="1" applyProtection="1">
      <alignment horizontal="center" vertical="center" wrapText="1"/>
      <protection locked="0" hidden="1"/>
    </xf>
    <xf numFmtId="6" fontId="108" fillId="0" borderId="262" xfId="0" applyNumberFormat="1" applyFont="1" applyBorder="1" applyAlignment="1" applyProtection="1">
      <alignment horizontal="center" vertical="center" wrapText="1"/>
      <protection locked="0" hidden="1"/>
    </xf>
    <xf numFmtId="6" fontId="108" fillId="0" borderId="263" xfId="0" applyNumberFormat="1" applyFont="1" applyBorder="1" applyAlignment="1" applyProtection="1">
      <alignment horizontal="center" vertical="center" wrapText="1"/>
      <protection locked="0" hidden="1"/>
    </xf>
    <xf numFmtId="0" fontId="96" fillId="9" borderId="169" xfId="0" applyFont="1" applyFill="1" applyBorder="1" applyAlignment="1" applyProtection="1">
      <alignment horizontal="right" vertical="center" wrapText="1"/>
      <protection hidden="1"/>
    </xf>
    <xf numFmtId="0" fontId="96" fillId="9" borderId="9" xfId="0" applyFont="1" applyFill="1" applyBorder="1" applyAlignment="1" applyProtection="1">
      <alignment horizontal="right" vertical="center" wrapText="1"/>
      <protection hidden="1"/>
    </xf>
    <xf numFmtId="0" fontId="96" fillId="9" borderId="10" xfId="0" applyFont="1" applyFill="1" applyBorder="1" applyAlignment="1" applyProtection="1">
      <alignment horizontal="right" vertical="center" wrapText="1"/>
      <protection hidden="1"/>
    </xf>
    <xf numFmtId="8" fontId="108" fillId="9" borderId="1" xfId="0" quotePrefix="1" applyNumberFormat="1" applyFont="1" applyFill="1" applyBorder="1" applyAlignment="1" applyProtection="1">
      <alignment horizontal="center" vertical="center"/>
      <protection hidden="1"/>
    </xf>
    <xf numFmtId="8" fontId="108" fillId="9" borderId="9" xfId="0" quotePrefix="1" applyNumberFormat="1" applyFont="1" applyFill="1" applyBorder="1" applyAlignment="1" applyProtection="1">
      <alignment horizontal="center" vertical="center"/>
      <protection hidden="1"/>
    </xf>
    <xf numFmtId="8" fontId="108" fillId="9" borderId="145" xfId="0" quotePrefix="1" applyNumberFormat="1" applyFont="1" applyFill="1" applyBorder="1" applyAlignment="1" applyProtection="1">
      <alignment horizontal="center" vertical="center"/>
      <protection hidden="1"/>
    </xf>
    <xf numFmtId="8" fontId="92" fillId="4" borderId="194" xfId="0" applyNumberFormat="1" applyFont="1" applyFill="1" applyBorder="1" applyAlignment="1" applyProtection="1">
      <alignment horizontal="center" vertical="center" wrapText="1"/>
      <protection hidden="1"/>
    </xf>
    <xf numFmtId="8" fontId="92" fillId="4" borderId="185" xfId="0" applyNumberFormat="1" applyFont="1" applyFill="1" applyBorder="1" applyAlignment="1" applyProtection="1">
      <alignment horizontal="center" vertical="center" wrapText="1"/>
      <protection hidden="1"/>
    </xf>
    <xf numFmtId="8" fontId="92" fillId="4" borderId="186" xfId="0" applyNumberFormat="1" applyFont="1" applyFill="1" applyBorder="1" applyAlignment="1" applyProtection="1">
      <alignment horizontal="center" vertical="center" wrapText="1"/>
      <protection hidden="1"/>
    </xf>
    <xf numFmtId="8" fontId="92" fillId="4" borderId="31" xfId="0" applyNumberFormat="1" applyFont="1" applyFill="1" applyBorder="1" applyAlignment="1" applyProtection="1">
      <alignment horizontal="center" vertical="center" wrapText="1"/>
      <protection hidden="1"/>
    </xf>
    <xf numFmtId="8" fontId="92" fillId="4" borderId="28" xfId="0" applyNumberFormat="1" applyFont="1" applyFill="1" applyBorder="1" applyAlignment="1" applyProtection="1">
      <alignment horizontal="center" vertical="center" wrapText="1"/>
      <protection hidden="1"/>
    </xf>
    <xf numFmtId="8" fontId="92" fillId="4" borderId="179" xfId="0" applyNumberFormat="1" applyFont="1" applyFill="1" applyBorder="1" applyAlignment="1" applyProtection="1">
      <alignment horizontal="center" vertical="center" wrapText="1"/>
      <protection hidden="1"/>
    </xf>
    <xf numFmtId="0" fontId="188" fillId="9" borderId="298" xfId="0" applyFont="1" applyFill="1" applyBorder="1" applyAlignment="1" applyProtection="1">
      <alignment horizontal="right" vertical="center" wrapText="1"/>
      <protection hidden="1"/>
    </xf>
    <xf numFmtId="0" fontId="188" fillId="9" borderId="299" xfId="0" applyFont="1" applyFill="1" applyBorder="1" applyAlignment="1" applyProtection="1">
      <alignment horizontal="right" vertical="center" wrapText="1"/>
      <protection hidden="1"/>
    </xf>
    <xf numFmtId="0" fontId="0" fillId="0" borderId="28" xfId="0" applyBorder="1" applyAlignment="1">
      <alignment horizontal="center" vertical="center" wrapText="1"/>
    </xf>
    <xf numFmtId="0" fontId="0" fillId="0" borderId="2" xfId="0" applyBorder="1" applyAlignment="1">
      <alignment horizontal="center" vertical="center" wrapText="1"/>
    </xf>
    <xf numFmtId="0" fontId="86" fillId="9" borderId="4" xfId="0" applyFont="1" applyFill="1" applyBorder="1" applyAlignment="1" applyProtection="1">
      <alignment horizontal="right" vertical="center"/>
      <protection hidden="1"/>
    </xf>
    <xf numFmtId="0" fontId="86" fillId="9" borderId="2" xfId="0" applyFont="1" applyFill="1" applyBorder="1" applyAlignment="1" applyProtection="1">
      <alignment horizontal="right" vertical="center"/>
      <protection hidden="1"/>
    </xf>
    <xf numFmtId="0" fontId="86" fillId="9" borderId="21" xfId="0" applyFont="1" applyFill="1" applyBorder="1" applyAlignment="1">
      <alignment horizontal="right" vertical="center"/>
    </xf>
    <xf numFmtId="0" fontId="108" fillId="9" borderId="287" xfId="0" applyFont="1" applyFill="1" applyBorder="1" applyAlignment="1">
      <alignment horizontal="right" vertical="center" wrapText="1"/>
    </xf>
    <xf numFmtId="0" fontId="108" fillId="9" borderId="242" xfId="0" applyFont="1" applyFill="1" applyBorder="1" applyAlignment="1">
      <alignment horizontal="right" vertical="center" wrapText="1"/>
    </xf>
    <xf numFmtId="0" fontId="108" fillId="9" borderId="288" xfId="0" applyFont="1" applyFill="1" applyBorder="1" applyAlignment="1">
      <alignment horizontal="right" vertical="center" wrapText="1"/>
    </xf>
    <xf numFmtId="0" fontId="108" fillId="4" borderId="184" xfId="0" applyFont="1" applyFill="1" applyBorder="1" applyAlignment="1">
      <alignment horizontal="left" vertical="center"/>
    </xf>
    <xf numFmtId="0" fontId="108" fillId="4" borderId="185" xfId="0" applyFont="1" applyFill="1" applyBorder="1" applyAlignment="1">
      <alignment horizontal="left" vertical="center"/>
    </xf>
    <xf numFmtId="0" fontId="108" fillId="4" borderId="216" xfId="0" applyFont="1" applyFill="1" applyBorder="1" applyAlignment="1">
      <alignment horizontal="left" vertical="center"/>
    </xf>
    <xf numFmtId="0" fontId="108" fillId="4" borderId="187" xfId="0" applyFont="1" applyFill="1" applyBorder="1" applyAlignment="1">
      <alignment horizontal="left" vertical="center"/>
    </xf>
    <xf numFmtId="0" fontId="108" fillId="4" borderId="28" xfId="0" applyFont="1" applyFill="1" applyBorder="1" applyAlignment="1">
      <alignment horizontal="left" vertical="center"/>
    </xf>
    <xf numFmtId="0" fontId="108" fillId="4" borderId="56" xfId="0" applyFont="1" applyFill="1" applyBorder="1" applyAlignment="1">
      <alignment horizontal="left" vertical="center"/>
    </xf>
    <xf numFmtId="0" fontId="86" fillId="9" borderId="219" xfId="0" applyFont="1" applyFill="1" applyBorder="1" applyAlignment="1" applyProtection="1">
      <alignment horizontal="right" vertical="center"/>
      <protection hidden="1"/>
    </xf>
    <xf numFmtId="0" fontId="86" fillId="9" borderId="181" xfId="0" applyFont="1" applyFill="1" applyBorder="1" applyAlignment="1" applyProtection="1">
      <alignment horizontal="right" vertical="center"/>
      <protection hidden="1"/>
    </xf>
    <xf numFmtId="0" fontId="86" fillId="9" borderId="215" xfId="0" applyFont="1" applyFill="1" applyBorder="1" applyAlignment="1" applyProtection="1">
      <alignment horizontal="right" vertical="center"/>
      <protection hidden="1"/>
    </xf>
    <xf numFmtId="0" fontId="86" fillId="9" borderId="2" xfId="0" applyFont="1" applyFill="1" applyBorder="1" applyAlignment="1">
      <alignment horizontal="right" vertical="center"/>
    </xf>
    <xf numFmtId="188" fontId="75" fillId="9" borderId="2" xfId="0" applyNumberFormat="1" applyFont="1" applyFill="1" applyBorder="1" applyAlignment="1" applyProtection="1">
      <alignment horizontal="center" vertical="center"/>
      <protection hidden="1"/>
    </xf>
    <xf numFmtId="0" fontId="49" fillId="9" borderId="0" xfId="2" applyNumberFormat="1" applyFill="1" applyBorder="1" applyAlignment="1" applyProtection="1">
      <alignment horizontal="center" vertical="center"/>
    </xf>
    <xf numFmtId="0" fontId="95" fillId="9" borderId="68" xfId="0" applyFont="1" applyFill="1" applyBorder="1" applyAlignment="1" applyProtection="1">
      <alignment horizontal="right" vertical="center" wrapText="1"/>
      <protection hidden="1"/>
    </xf>
    <xf numFmtId="0" fontId="95" fillId="9" borderId="9" xfId="0" applyFont="1" applyFill="1" applyBorder="1" applyAlignment="1" applyProtection="1">
      <alignment horizontal="right" vertical="center" wrapText="1"/>
      <protection hidden="1"/>
    </xf>
    <xf numFmtId="0" fontId="95" fillId="9" borderId="10" xfId="0" applyFont="1" applyFill="1" applyBorder="1" applyAlignment="1" applyProtection="1">
      <alignment horizontal="right" vertical="center" wrapText="1"/>
      <protection hidden="1"/>
    </xf>
    <xf numFmtId="0" fontId="95" fillId="9" borderId="68" xfId="0" applyFont="1" applyFill="1" applyBorder="1" applyAlignment="1" applyProtection="1">
      <alignment horizontal="right" vertical="center"/>
      <protection hidden="1"/>
    </xf>
    <xf numFmtId="0" fontId="95" fillId="9" borderId="9" xfId="0" applyFont="1" applyFill="1" applyBorder="1" applyAlignment="1" applyProtection="1">
      <alignment horizontal="right" vertical="center"/>
      <protection hidden="1"/>
    </xf>
    <xf numFmtId="0" fontId="95" fillId="9" borderId="10" xfId="0" applyFont="1" applyFill="1" applyBorder="1" applyAlignment="1" applyProtection="1">
      <alignment horizontal="right" vertical="center"/>
      <protection hidden="1"/>
    </xf>
    <xf numFmtId="0" fontId="0" fillId="9" borderId="68" xfId="0" applyFill="1" applyBorder="1" applyAlignment="1" applyProtection="1">
      <alignment horizontal="right" vertical="center"/>
      <protection hidden="1"/>
    </xf>
    <xf numFmtId="0" fontId="108" fillId="9" borderId="85" xfId="0" applyFont="1" applyFill="1" applyBorder="1" applyAlignment="1" applyProtection="1">
      <alignment horizontal="right" vertical="center"/>
      <protection hidden="1"/>
    </xf>
    <xf numFmtId="0" fontId="108" fillId="9" borderId="81" xfId="0" applyFont="1" applyFill="1" applyBorder="1" applyAlignment="1" applyProtection="1">
      <alignment horizontal="right" vertical="center"/>
      <protection hidden="1"/>
    </xf>
    <xf numFmtId="0" fontId="108" fillId="9" borderId="82" xfId="0" applyFont="1" applyFill="1" applyBorder="1" applyAlignment="1" applyProtection="1">
      <alignment horizontal="right" vertical="center"/>
      <protection hidden="1"/>
    </xf>
    <xf numFmtId="0" fontId="108" fillId="9" borderId="43" xfId="0" applyFont="1" applyFill="1" applyBorder="1" applyAlignment="1">
      <alignment horizontal="center" vertical="center" wrapText="1"/>
    </xf>
    <xf numFmtId="0" fontId="108" fillId="9" borderId="23" xfId="0" applyFont="1" applyFill="1" applyBorder="1" applyAlignment="1">
      <alignment horizontal="center" vertical="center" wrapText="1"/>
    </xf>
    <xf numFmtId="0" fontId="108" fillId="9" borderId="44" xfId="0" applyFont="1" applyFill="1" applyBorder="1" applyAlignment="1">
      <alignment horizontal="center" vertical="center" wrapText="1"/>
    </xf>
    <xf numFmtId="0" fontId="108" fillId="9" borderId="16" xfId="0" applyFont="1" applyFill="1" applyBorder="1" applyAlignment="1">
      <alignment horizontal="center" vertical="center"/>
    </xf>
    <xf numFmtId="0" fontId="108" fillId="9" borderId="18" xfId="0" applyFont="1" applyFill="1" applyBorder="1" applyAlignment="1">
      <alignment horizontal="center" vertical="center"/>
    </xf>
    <xf numFmtId="0" fontId="108" fillId="9" borderId="39" xfId="0" applyFont="1" applyFill="1" applyBorder="1" applyAlignment="1">
      <alignment horizontal="center" vertical="center"/>
    </xf>
    <xf numFmtId="0" fontId="98" fillId="9" borderId="26" xfId="0" applyFont="1" applyFill="1" applyBorder="1" applyAlignment="1" applyProtection="1">
      <alignment horizontal="right" vertical="center" wrapText="1"/>
      <protection hidden="1"/>
    </xf>
    <xf numFmtId="0" fontId="98" fillId="9" borderId="41" xfId="0" applyFont="1" applyFill="1" applyBorder="1" applyAlignment="1" applyProtection="1">
      <alignment horizontal="right" vertical="center" wrapText="1"/>
      <protection hidden="1"/>
    </xf>
    <xf numFmtId="0" fontId="0" fillId="9" borderId="66" xfId="0" applyFill="1" applyBorder="1" applyAlignment="1" applyProtection="1">
      <alignment horizontal="center" vertical="center" wrapText="1"/>
      <protection hidden="1"/>
    </xf>
    <xf numFmtId="0" fontId="86" fillId="9" borderId="26" xfId="0" applyFont="1" applyFill="1" applyBorder="1" applyAlignment="1" applyProtection="1">
      <alignment horizontal="right" vertical="center"/>
      <protection hidden="1"/>
    </xf>
    <xf numFmtId="0" fontId="86" fillId="9" borderId="41" xfId="0" applyFont="1" applyFill="1" applyBorder="1" applyAlignment="1" applyProtection="1">
      <alignment horizontal="right" vertical="center"/>
      <protection hidden="1"/>
    </xf>
    <xf numFmtId="0" fontId="92" fillId="9" borderId="66" xfId="0" applyFont="1" applyFill="1" applyBorder="1" applyAlignment="1" applyProtection="1">
      <alignment horizontal="center" vertical="center" wrapText="1"/>
      <protection hidden="1"/>
    </xf>
    <xf numFmtId="0" fontId="92" fillId="9" borderId="29" xfId="0" applyFont="1" applyFill="1" applyBorder="1" applyAlignment="1" applyProtection="1">
      <alignment horizontal="center" vertical="center" wrapText="1"/>
      <protection hidden="1"/>
    </xf>
    <xf numFmtId="0" fontId="91" fillId="4" borderId="42" xfId="0" applyFont="1" applyFill="1" applyBorder="1" applyAlignment="1" applyProtection="1">
      <alignment horizontal="center" vertical="center" wrapText="1"/>
      <protection hidden="1"/>
    </xf>
    <xf numFmtId="0" fontId="91" fillId="4" borderId="58" xfId="0" applyFont="1" applyFill="1" applyBorder="1" applyAlignment="1" applyProtection="1">
      <alignment horizontal="center" vertical="center" wrapText="1"/>
      <protection hidden="1"/>
    </xf>
    <xf numFmtId="0" fontId="91" fillId="4" borderId="8" xfId="0" applyFont="1" applyFill="1" applyBorder="1" applyAlignment="1" applyProtection="1">
      <alignment horizontal="center" vertical="center" wrapText="1"/>
      <protection hidden="1"/>
    </xf>
    <xf numFmtId="0" fontId="91" fillId="4" borderId="15" xfId="0" applyFont="1" applyFill="1" applyBorder="1" applyAlignment="1" applyProtection="1">
      <alignment horizontal="center" vertical="center" wrapText="1"/>
      <protection hidden="1"/>
    </xf>
    <xf numFmtId="0" fontId="91" fillId="4" borderId="31" xfId="0" applyFont="1" applyFill="1" applyBorder="1" applyAlignment="1" applyProtection="1">
      <alignment horizontal="center" vertical="center" wrapText="1"/>
      <protection hidden="1"/>
    </xf>
    <xf numFmtId="0" fontId="91" fillId="4" borderId="57" xfId="0" applyFont="1" applyFill="1" applyBorder="1" applyAlignment="1" applyProtection="1">
      <alignment horizontal="center" vertical="center" wrapText="1"/>
      <protection hidden="1"/>
    </xf>
    <xf numFmtId="0" fontId="91" fillId="4" borderId="19" xfId="0" applyFont="1" applyFill="1" applyBorder="1" applyAlignment="1" applyProtection="1">
      <alignment horizontal="center" vertical="center" wrapText="1"/>
      <protection hidden="1"/>
    </xf>
    <xf numFmtId="0" fontId="91" fillId="4" borderId="0" xfId="0" applyFont="1" applyFill="1" applyAlignment="1" applyProtection="1">
      <alignment horizontal="center" vertical="center" wrapText="1"/>
      <protection hidden="1"/>
    </xf>
    <xf numFmtId="0" fontId="91" fillId="4" borderId="16" xfId="0" applyFont="1" applyFill="1" applyBorder="1" applyAlignment="1" applyProtection="1">
      <alignment horizontal="center" vertical="center" wrapText="1"/>
      <protection hidden="1"/>
    </xf>
    <xf numFmtId="0" fontId="91" fillId="4" borderId="18" xfId="0" applyFont="1" applyFill="1" applyBorder="1" applyAlignment="1" applyProtection="1">
      <alignment horizontal="center" vertical="center" wrapText="1"/>
      <protection hidden="1"/>
    </xf>
    <xf numFmtId="0" fontId="91" fillId="4" borderId="39" xfId="0" applyFont="1" applyFill="1" applyBorder="1" applyAlignment="1" applyProtection="1">
      <alignment horizontal="center" vertical="center" wrapText="1"/>
      <protection hidden="1"/>
    </xf>
    <xf numFmtId="0" fontId="155" fillId="4" borderId="23" xfId="0" applyFont="1" applyFill="1" applyBorder="1" applyAlignment="1">
      <alignment horizontal="center"/>
    </xf>
    <xf numFmtId="0" fontId="0" fillId="4" borderId="68" xfId="0" applyFill="1" applyBorder="1" applyAlignment="1" applyProtection="1">
      <alignment horizontal="left" vertical="center"/>
      <protection hidden="1"/>
    </xf>
    <xf numFmtId="0" fontId="0" fillId="4" borderId="10" xfId="0" applyFill="1" applyBorder="1" applyAlignment="1" applyProtection="1">
      <alignment horizontal="left" vertical="center"/>
      <protection hidden="1"/>
    </xf>
    <xf numFmtId="0" fontId="88" fillId="4" borderId="1" xfId="0" applyFont="1" applyFill="1" applyBorder="1" applyAlignment="1" applyProtection="1">
      <alignment horizontal="center" vertical="center"/>
      <protection hidden="1"/>
    </xf>
    <xf numFmtId="0" fontId="88" fillId="4" borderId="9" xfId="0" applyFont="1" applyFill="1" applyBorder="1" applyAlignment="1" applyProtection="1">
      <alignment horizontal="center" vertical="center"/>
      <protection hidden="1"/>
    </xf>
    <xf numFmtId="0" fontId="88" fillId="4" borderId="77" xfId="0" applyFont="1" applyFill="1" applyBorder="1" applyAlignment="1" applyProtection="1">
      <alignment horizontal="center" vertical="center"/>
      <protection hidden="1"/>
    </xf>
    <xf numFmtId="9" fontId="0" fillId="0" borderId="0" xfId="3" applyFont="1" applyAlignment="1" applyProtection="1">
      <alignment horizontal="center" vertical="center"/>
      <protection locked="0"/>
    </xf>
    <xf numFmtId="0" fontId="91" fillId="4" borderId="68" xfId="0" applyFont="1" applyFill="1" applyBorder="1" applyAlignment="1" applyProtection="1">
      <alignment horizontal="left" vertical="center"/>
      <protection hidden="1"/>
    </xf>
    <xf numFmtId="0" fontId="91" fillId="4" borderId="10" xfId="0" applyFont="1" applyFill="1" applyBorder="1" applyAlignment="1" applyProtection="1">
      <alignment horizontal="left" vertical="center"/>
      <protection hidden="1"/>
    </xf>
    <xf numFmtId="0" fontId="49" fillId="4" borderId="18" xfId="2" applyNumberFormat="1" applyFill="1" applyBorder="1" applyAlignment="1" applyProtection="1">
      <alignment horizontal="center"/>
    </xf>
    <xf numFmtId="0" fontId="49" fillId="4" borderId="39" xfId="2" applyNumberFormat="1" applyFill="1" applyBorder="1" applyAlignment="1" applyProtection="1">
      <alignment horizontal="center"/>
    </xf>
    <xf numFmtId="0" fontId="86" fillId="4" borderId="43" xfId="0" applyFont="1" applyFill="1" applyBorder="1" applyAlignment="1" applyProtection="1">
      <alignment horizontal="center" vertical="center" wrapText="1"/>
      <protection hidden="1"/>
    </xf>
    <xf numFmtId="0" fontId="86" fillId="4" borderId="23" xfId="0" applyFont="1" applyFill="1" applyBorder="1" applyAlignment="1" applyProtection="1">
      <alignment horizontal="center" vertical="center" wrapText="1"/>
      <protection hidden="1"/>
    </xf>
    <xf numFmtId="0" fontId="86" fillId="4" borderId="0" xfId="0" applyFont="1" applyFill="1" applyAlignment="1" applyProtection="1">
      <alignment horizontal="center" vertical="center" wrapText="1"/>
      <protection hidden="1"/>
    </xf>
    <xf numFmtId="0" fontId="86" fillId="4" borderId="16" xfId="0" applyFont="1" applyFill="1" applyBorder="1" applyAlignment="1" applyProtection="1">
      <alignment horizontal="center" vertical="center" wrapText="1"/>
      <protection hidden="1"/>
    </xf>
    <xf numFmtId="0" fontId="86" fillId="4" borderId="18" xfId="0" applyFont="1" applyFill="1" applyBorder="1" applyAlignment="1" applyProtection="1">
      <alignment horizontal="center" vertical="center" wrapText="1"/>
      <protection hidden="1"/>
    </xf>
    <xf numFmtId="0" fontId="49" fillId="3" borderId="0" xfId="2" applyNumberFormat="1" applyFill="1" applyBorder="1" applyAlignment="1" applyProtection="1">
      <alignment horizontal="center"/>
    </xf>
    <xf numFmtId="0" fontId="49" fillId="3" borderId="15" xfId="2" applyNumberFormat="1" applyFill="1" applyBorder="1" applyAlignment="1" applyProtection="1">
      <alignment horizontal="center"/>
    </xf>
    <xf numFmtId="0" fontId="0" fillId="4" borderId="114" xfId="0" applyFill="1" applyBorder="1" applyAlignment="1">
      <alignment horizontal="center" vertical="center"/>
    </xf>
    <xf numFmtId="0" fontId="0" fillId="4" borderId="44" xfId="0" applyFill="1" applyBorder="1" applyAlignment="1">
      <alignment horizontal="center" vertical="center"/>
    </xf>
    <xf numFmtId="0" fontId="0" fillId="0" borderId="0" xfId="0" applyAlignment="1" applyProtection="1">
      <alignment horizontal="center"/>
      <protection locked="0"/>
    </xf>
    <xf numFmtId="0" fontId="176" fillId="4" borderId="83" xfId="2" applyNumberFormat="1" applyFont="1" applyFill="1" applyBorder="1" applyAlignment="1" applyProtection="1">
      <alignment horizontal="center" vertical="center"/>
      <protection hidden="1"/>
    </xf>
    <xf numFmtId="0" fontId="176" fillId="4" borderId="78" xfId="2" applyNumberFormat="1" applyFont="1" applyFill="1" applyBorder="1" applyAlignment="1" applyProtection="1">
      <alignment horizontal="center" vertical="center"/>
      <protection hidden="1"/>
    </xf>
    <xf numFmtId="0" fontId="176" fillId="4" borderId="64" xfId="2" applyNumberFormat="1" applyFont="1" applyFill="1" applyBorder="1" applyAlignment="1" applyProtection="1">
      <alignment horizontal="center" vertical="center"/>
      <protection hidden="1"/>
    </xf>
    <xf numFmtId="0" fontId="90" fillId="4" borderId="4" xfId="0" applyFont="1" applyFill="1" applyBorder="1" applyAlignment="1" applyProtection="1">
      <alignment horizontal="right" vertical="center"/>
      <protection hidden="1"/>
    </xf>
    <xf numFmtId="0" fontId="90" fillId="4" borderId="2" xfId="0" applyFont="1" applyFill="1" applyBorder="1" applyAlignment="1" applyProtection="1">
      <alignment horizontal="right" vertical="center"/>
      <protection hidden="1"/>
    </xf>
    <xf numFmtId="0" fontId="90" fillId="4" borderId="5" xfId="0" applyFont="1" applyFill="1" applyBorder="1" applyAlignment="1" applyProtection="1">
      <alignment horizontal="right" vertical="center"/>
      <protection hidden="1"/>
    </xf>
    <xf numFmtId="0" fontId="90" fillId="4" borderId="6" xfId="0" applyFont="1" applyFill="1" applyBorder="1" applyAlignment="1" applyProtection="1">
      <alignment horizontal="right" vertical="center"/>
      <protection hidden="1"/>
    </xf>
    <xf numFmtId="0" fontId="49" fillId="4" borderId="0" xfId="2" applyNumberFormat="1" applyFill="1" applyAlignment="1" applyProtection="1">
      <alignment horizontal="center"/>
    </xf>
    <xf numFmtId="0" fontId="88" fillId="4" borderId="54" xfId="0" applyFont="1" applyFill="1" applyBorder="1" applyAlignment="1" applyProtection="1">
      <alignment horizontal="right" vertical="center" wrapText="1"/>
      <protection hidden="1"/>
    </xf>
    <xf numFmtId="0" fontId="92" fillId="4" borderId="55" xfId="0" applyFont="1" applyFill="1" applyBorder="1" applyAlignment="1" applyProtection="1">
      <alignment horizontal="right" vertical="center"/>
      <protection hidden="1"/>
    </xf>
    <xf numFmtId="0" fontId="92" fillId="4" borderId="19" xfId="0" applyFont="1" applyFill="1" applyBorder="1" applyAlignment="1" applyProtection="1">
      <alignment horizontal="right" vertical="center"/>
      <protection hidden="1"/>
    </xf>
    <xf numFmtId="0" fontId="92" fillId="4" borderId="99" xfId="0" applyFont="1" applyFill="1" applyBorder="1" applyAlignment="1" applyProtection="1">
      <alignment horizontal="right" vertical="center"/>
      <protection hidden="1"/>
    </xf>
    <xf numFmtId="0" fontId="92" fillId="4" borderId="30" xfId="0" applyFont="1" applyFill="1" applyBorder="1" applyAlignment="1" applyProtection="1">
      <alignment horizontal="right" vertical="center"/>
      <protection hidden="1"/>
    </xf>
    <xf numFmtId="0" fontId="92" fillId="4" borderId="56" xfId="0" applyFont="1" applyFill="1" applyBorder="1" applyAlignment="1" applyProtection="1">
      <alignment horizontal="right" vertical="center"/>
      <protection hidden="1"/>
    </xf>
    <xf numFmtId="0" fontId="0" fillId="4" borderId="12" xfId="0" applyFill="1" applyBorder="1" applyAlignment="1" applyProtection="1">
      <alignment horizontal="center" vertical="center" wrapText="1"/>
      <protection hidden="1"/>
    </xf>
    <xf numFmtId="0" fontId="0" fillId="4" borderId="108" xfId="0" applyFill="1" applyBorder="1" applyAlignment="1" applyProtection="1">
      <alignment horizontal="center" vertical="center" wrapText="1"/>
      <protection hidden="1"/>
    </xf>
    <xf numFmtId="0" fontId="0" fillId="4" borderId="41" xfId="0" applyFill="1" applyBorder="1" applyAlignment="1" applyProtection="1">
      <alignment horizontal="center" vertical="center" wrapText="1"/>
      <protection hidden="1"/>
    </xf>
    <xf numFmtId="0" fontId="0" fillId="4" borderId="11" xfId="0" applyFill="1" applyBorder="1" applyAlignment="1" applyProtection="1">
      <alignment horizontal="center" vertical="center" wrapText="1"/>
      <protection hidden="1"/>
    </xf>
    <xf numFmtId="0" fontId="0" fillId="4" borderId="103" xfId="0" applyFill="1" applyBorder="1" applyAlignment="1" applyProtection="1">
      <alignment horizontal="center" vertical="center" wrapText="1"/>
      <protection hidden="1"/>
    </xf>
    <xf numFmtId="0" fontId="0" fillId="4" borderId="27" xfId="0" applyFill="1" applyBorder="1" applyAlignment="1" applyProtection="1">
      <alignment horizontal="center" vertical="center" wrapText="1"/>
      <protection hidden="1"/>
    </xf>
    <xf numFmtId="0" fontId="90" fillId="4" borderId="68" xfId="0" applyFont="1" applyFill="1" applyBorder="1" applyAlignment="1" applyProtection="1">
      <alignment horizontal="right" vertical="center"/>
      <protection hidden="1"/>
    </xf>
    <xf numFmtId="0" fontId="90" fillId="4" borderId="9" xfId="0" applyFont="1" applyFill="1" applyBorder="1" applyAlignment="1" applyProtection="1">
      <alignment horizontal="right" vertical="center"/>
      <protection hidden="1"/>
    </xf>
    <xf numFmtId="0" fontId="90" fillId="4" borderId="10" xfId="0" applyFont="1" applyFill="1" applyBorder="1" applyAlignment="1" applyProtection="1">
      <alignment horizontal="right" vertical="center"/>
      <protection hidden="1"/>
    </xf>
    <xf numFmtId="0" fontId="90" fillId="4" borderId="85" xfId="0" applyFont="1" applyFill="1" applyBorder="1" applyAlignment="1" applyProtection="1">
      <alignment horizontal="right" vertical="center"/>
      <protection hidden="1"/>
    </xf>
    <xf numFmtId="0" fontId="90" fillId="4" borderId="81" xfId="0" applyFont="1" applyFill="1" applyBorder="1" applyAlignment="1" applyProtection="1">
      <alignment horizontal="right" vertical="center"/>
      <protection hidden="1"/>
    </xf>
    <xf numFmtId="0" fontId="90" fillId="4" borderId="82" xfId="0" applyFont="1" applyFill="1" applyBorder="1" applyAlignment="1" applyProtection="1">
      <alignment horizontal="right" vertical="center"/>
      <protection hidden="1"/>
    </xf>
    <xf numFmtId="0" fontId="86" fillId="4" borderId="63" xfId="0" applyFont="1" applyFill="1" applyBorder="1" applyAlignment="1" applyProtection="1">
      <alignment horizontal="center" vertical="center" wrapText="1"/>
      <protection hidden="1"/>
    </xf>
    <xf numFmtId="0" fontId="86" fillId="4" borderId="78" xfId="0" applyFont="1" applyFill="1" applyBorder="1" applyAlignment="1" applyProtection="1">
      <alignment horizontal="center" vertical="center" wrapText="1"/>
      <protection hidden="1"/>
    </xf>
    <xf numFmtId="0" fontId="86" fillId="4" borderId="64" xfId="0" applyFont="1" applyFill="1" applyBorder="1" applyAlignment="1" applyProtection="1">
      <alignment horizontal="center" vertical="center" wrapText="1"/>
      <protection hidden="1"/>
    </xf>
    <xf numFmtId="0" fontId="96" fillId="4" borderId="43" xfId="0" applyFont="1" applyFill="1" applyBorder="1" applyAlignment="1" applyProtection="1">
      <alignment horizontal="center"/>
      <protection hidden="1"/>
    </xf>
    <xf numFmtId="0" fontId="96" fillId="4" borderId="23" xfId="0" applyFont="1" applyFill="1" applyBorder="1" applyAlignment="1" applyProtection="1">
      <alignment horizontal="center"/>
      <protection hidden="1"/>
    </xf>
    <xf numFmtId="0" fontId="96" fillId="4" borderId="44" xfId="0" applyFont="1" applyFill="1" applyBorder="1" applyAlignment="1" applyProtection="1">
      <alignment horizontal="center"/>
      <protection hidden="1"/>
    </xf>
    <xf numFmtId="0" fontId="96" fillId="4" borderId="30" xfId="0" applyFont="1" applyFill="1" applyBorder="1" applyAlignment="1" applyProtection="1">
      <alignment horizontal="center"/>
      <protection hidden="1"/>
    </xf>
    <xf numFmtId="0" fontId="96" fillId="4" borderId="28" xfId="0" applyFont="1" applyFill="1" applyBorder="1" applyAlignment="1" applyProtection="1">
      <alignment horizontal="center"/>
      <protection hidden="1"/>
    </xf>
    <xf numFmtId="0" fontId="96" fillId="4" borderId="57" xfId="0" applyFont="1" applyFill="1" applyBorder="1" applyAlignment="1" applyProtection="1">
      <alignment horizontal="center"/>
      <protection hidden="1"/>
    </xf>
    <xf numFmtId="0" fontId="0" fillId="4" borderId="4" xfId="0" applyFill="1" applyBorder="1" applyAlignment="1" applyProtection="1">
      <alignment horizontal="right"/>
      <protection hidden="1"/>
    </xf>
    <xf numFmtId="0" fontId="0" fillId="4" borderId="2" xfId="0" applyFill="1" applyBorder="1" applyAlignment="1" applyProtection="1">
      <alignment horizontal="right"/>
      <protection hidden="1"/>
    </xf>
    <xf numFmtId="0" fontId="108" fillId="6" borderId="2" xfId="0" applyFont="1" applyFill="1" applyBorder="1" applyAlignment="1" applyProtection="1">
      <alignment horizontal="center" vertical="center"/>
      <protection locked="0"/>
    </xf>
    <xf numFmtId="0" fontId="108" fillId="6" borderId="3" xfId="0" applyFont="1" applyFill="1" applyBorder="1" applyAlignment="1" applyProtection="1">
      <alignment horizontal="center" vertical="center"/>
      <protection locked="0"/>
    </xf>
    <xf numFmtId="14" fontId="0" fillId="0" borderId="2" xfId="0" applyNumberFormat="1" applyBorder="1" applyAlignment="1" applyProtection="1">
      <alignment horizontal="center"/>
      <protection locked="0"/>
    </xf>
    <xf numFmtId="8" fontId="0" fillId="4" borderId="2" xfId="0" applyNumberFormat="1" applyFill="1" applyBorder="1" applyAlignment="1" applyProtection="1">
      <alignment horizontal="center"/>
      <protection hidden="1"/>
    </xf>
    <xf numFmtId="8" fontId="0" fillId="4" borderId="3" xfId="0" applyNumberFormat="1" applyFill="1" applyBorder="1" applyAlignment="1" applyProtection="1">
      <alignment horizontal="center"/>
      <protection hidden="1"/>
    </xf>
    <xf numFmtId="13" fontId="0" fillId="0" borderId="2" xfId="0" applyNumberFormat="1" applyBorder="1" applyAlignment="1" applyProtection="1">
      <alignment horizontal="center"/>
      <protection locked="0"/>
    </xf>
    <xf numFmtId="13" fontId="0" fillId="0" borderId="3" xfId="0" applyNumberFormat="1" applyBorder="1" applyAlignment="1" applyProtection="1">
      <alignment horizontal="center"/>
      <protection locked="0"/>
    </xf>
    <xf numFmtId="0" fontId="86" fillId="4" borderId="4" xfId="0" applyFont="1" applyFill="1" applyBorder="1" applyAlignment="1" applyProtection="1">
      <alignment horizontal="right"/>
      <protection hidden="1"/>
    </xf>
    <xf numFmtId="0" fontId="86" fillId="4" borderId="2" xfId="0" applyFont="1" applyFill="1" applyBorder="1" applyAlignment="1" applyProtection="1">
      <alignment horizontal="right"/>
      <protection hidden="1"/>
    </xf>
    <xf numFmtId="0" fontId="0" fillId="4" borderId="5" xfId="0" applyFill="1" applyBorder="1" applyAlignment="1" applyProtection="1">
      <alignment horizontal="right"/>
      <protection hidden="1"/>
    </xf>
    <xf numFmtId="0" fontId="0" fillId="4" borderId="6" xfId="0" applyFill="1" applyBorder="1" applyAlignment="1" applyProtection="1">
      <alignment horizontal="right"/>
      <protection hidden="1"/>
    </xf>
    <xf numFmtId="0" fontId="0" fillId="4" borderId="4" xfId="0" applyFill="1" applyBorder="1" applyAlignment="1" applyProtection="1">
      <alignment horizontal="right" vertical="center"/>
      <protection hidden="1"/>
    </xf>
    <xf numFmtId="0" fontId="0" fillId="4" borderId="2" xfId="0" applyFill="1" applyBorder="1" applyAlignment="1" applyProtection="1">
      <alignment horizontal="right" vertical="center"/>
      <protection hidden="1"/>
    </xf>
    <xf numFmtId="0" fontId="86" fillId="4" borderId="4" xfId="0" applyFont="1" applyFill="1" applyBorder="1" applyAlignment="1" applyProtection="1">
      <alignment horizontal="center"/>
      <protection hidden="1"/>
    </xf>
    <xf numFmtId="0" fontId="86" fillId="4" borderId="2" xfId="0" applyFont="1" applyFill="1" applyBorder="1" applyAlignment="1" applyProtection="1">
      <alignment horizontal="center"/>
      <protection hidden="1"/>
    </xf>
    <xf numFmtId="0" fontId="86" fillId="4" borderId="3" xfId="0" applyFont="1" applyFill="1" applyBorder="1" applyAlignment="1" applyProtection="1">
      <alignment horizontal="center"/>
      <protection hidden="1"/>
    </xf>
    <xf numFmtId="168" fontId="44" fillId="0" borderId="1" xfId="0" applyNumberFormat="1" applyFont="1" applyBorder="1"/>
    <xf numFmtId="168" fontId="44" fillId="0" borderId="77" xfId="0" applyNumberFormat="1" applyFont="1" applyBorder="1"/>
    <xf numFmtId="168" fontId="58" fillId="0" borderId="24" xfId="0" applyNumberFormat="1" applyFont="1" applyBorder="1" applyAlignment="1">
      <alignment horizontal="center"/>
    </xf>
    <xf numFmtId="168" fontId="58" fillId="0" borderId="21" xfId="0" applyNumberFormat="1" applyFont="1" applyBorder="1" applyAlignment="1">
      <alignment horizontal="center"/>
    </xf>
    <xf numFmtId="168" fontId="58" fillId="0" borderId="22" xfId="0" applyNumberFormat="1" applyFont="1" applyBorder="1" applyAlignment="1">
      <alignment horizontal="center"/>
    </xf>
    <xf numFmtId="168" fontId="47" fillId="0" borderId="1" xfId="0" applyNumberFormat="1" applyFont="1" applyBorder="1" applyAlignment="1">
      <alignment vertical="center"/>
    </xf>
    <xf numFmtId="168" fontId="47" fillId="0" borderId="77" xfId="0" applyNumberFormat="1" applyFont="1" applyBorder="1" applyAlignment="1">
      <alignment vertical="center"/>
    </xf>
    <xf numFmtId="168" fontId="44" fillId="0" borderId="113" xfId="0" applyNumberFormat="1" applyFont="1" applyBorder="1"/>
    <xf numFmtId="168" fontId="44" fillId="0" borderId="39" xfId="0" applyNumberFormat="1" applyFont="1" applyBorder="1"/>
    <xf numFmtId="168" fontId="44" fillId="0" borderId="80" xfId="0" applyNumberFormat="1" applyFont="1" applyBorder="1"/>
    <xf numFmtId="168" fontId="44" fillId="0" borderId="86" xfId="0" applyNumberFormat="1" applyFont="1" applyBorder="1"/>
    <xf numFmtId="0" fontId="88" fillId="4" borderId="30" xfId="0" applyFont="1" applyFill="1" applyBorder="1" applyAlignment="1" applyProtection="1">
      <alignment horizontal="right" vertical="center" wrapText="1"/>
      <protection hidden="1"/>
    </xf>
    <xf numFmtId="0" fontId="88" fillId="4" borderId="57" xfId="0" applyFont="1" applyFill="1" applyBorder="1" applyAlignment="1" applyProtection="1">
      <alignment horizontal="right" vertical="center" wrapText="1"/>
      <protection hidden="1"/>
    </xf>
    <xf numFmtId="0" fontId="86" fillId="4" borderId="4" xfId="0" applyFont="1" applyFill="1" applyBorder="1" applyAlignment="1" applyProtection="1">
      <alignment horizontal="center" vertical="center" wrapText="1"/>
      <protection hidden="1"/>
    </xf>
    <xf numFmtId="0" fontId="86" fillId="4" borderId="3" xfId="0" applyFont="1" applyFill="1" applyBorder="1" applyAlignment="1" applyProtection="1">
      <alignment horizontal="center" vertical="center" wrapText="1"/>
      <protection hidden="1"/>
    </xf>
    <xf numFmtId="0" fontId="96" fillId="4" borderId="65" xfId="0" applyFont="1" applyFill="1" applyBorder="1" applyAlignment="1" applyProtection="1">
      <alignment horizontal="center" vertical="center" wrapText="1"/>
      <protection hidden="1"/>
    </xf>
    <xf numFmtId="0" fontId="96" fillId="4" borderId="20" xfId="0" applyFont="1" applyFill="1" applyBorder="1" applyAlignment="1" applyProtection="1">
      <alignment horizontal="center" vertical="center" wrapText="1"/>
      <protection hidden="1"/>
    </xf>
    <xf numFmtId="0" fontId="49" fillId="0" borderId="0" xfId="2" applyNumberFormat="1" applyFill="1" applyAlignment="1" applyProtection="1">
      <alignment horizontal="center"/>
    </xf>
    <xf numFmtId="14" fontId="0" fillId="0" borderId="10" xfId="0" applyNumberFormat="1" applyBorder="1" applyAlignment="1" applyProtection="1">
      <alignment horizontal="center"/>
      <protection locked="0"/>
    </xf>
    <xf numFmtId="14" fontId="0" fillId="4" borderId="10" xfId="0" applyNumberFormat="1" applyFill="1" applyBorder="1" applyAlignment="1" applyProtection="1">
      <alignment horizontal="center" vertical="center"/>
      <protection hidden="1"/>
    </xf>
    <xf numFmtId="14" fontId="0" fillId="4" borderId="3" xfId="0" applyNumberFormat="1" applyFill="1" applyBorder="1" applyAlignment="1" applyProtection="1">
      <alignment horizontal="center" vertical="center"/>
      <protection hidden="1"/>
    </xf>
    <xf numFmtId="14" fontId="0" fillId="4" borderId="2" xfId="0" applyNumberFormat="1" applyFill="1" applyBorder="1" applyAlignment="1" applyProtection="1">
      <alignment horizontal="center" vertical="center"/>
      <protection hidden="1"/>
    </xf>
    <xf numFmtId="14" fontId="0" fillId="4" borderId="129" xfId="0" applyNumberFormat="1" applyFill="1" applyBorder="1" applyAlignment="1" applyProtection="1">
      <alignment horizontal="center" vertical="center"/>
      <protection hidden="1"/>
    </xf>
    <xf numFmtId="14" fontId="0" fillId="0" borderId="129" xfId="0" applyNumberFormat="1" applyBorder="1" applyAlignment="1" applyProtection="1">
      <alignment horizontal="center"/>
      <protection locked="0"/>
    </xf>
    <xf numFmtId="180" fontId="0" fillId="4" borderId="6" xfId="0" applyNumberFormat="1" applyFill="1" applyBorder="1" applyAlignment="1" applyProtection="1">
      <alignment horizontal="center" vertical="center"/>
      <protection hidden="1"/>
    </xf>
    <xf numFmtId="180" fontId="0" fillId="4" borderId="151" xfId="0" applyNumberFormat="1" applyFill="1" applyBorder="1" applyAlignment="1" applyProtection="1">
      <alignment horizontal="center" vertical="center"/>
      <protection hidden="1"/>
    </xf>
    <xf numFmtId="180" fontId="0" fillId="4" borderId="82" xfId="0" applyNumberFormat="1" applyFill="1" applyBorder="1" applyAlignment="1" applyProtection="1">
      <alignment horizontal="center" vertical="center"/>
      <protection hidden="1"/>
    </xf>
    <xf numFmtId="180" fontId="0" fillId="4" borderId="7" xfId="0" applyNumberFormat="1" applyFill="1" applyBorder="1" applyAlignment="1" applyProtection="1">
      <alignment horizontal="center" vertical="center"/>
      <protection hidden="1"/>
    </xf>
    <xf numFmtId="0" fontId="0" fillId="4" borderId="78" xfId="0" applyFill="1" applyBorder="1" applyAlignment="1" applyProtection="1">
      <alignment horizontal="center"/>
      <protection hidden="1"/>
    </xf>
    <xf numFmtId="0" fontId="0" fillId="4" borderId="64" xfId="0" applyFill="1" applyBorder="1" applyAlignment="1" applyProtection="1">
      <alignment horizontal="center"/>
      <protection hidden="1"/>
    </xf>
    <xf numFmtId="0" fontId="0" fillId="4" borderId="65" xfId="0" applyFill="1" applyBorder="1" applyAlignment="1" applyProtection="1">
      <alignment horizontal="center" vertical="center" wrapText="1"/>
      <protection hidden="1"/>
    </xf>
    <xf numFmtId="0" fontId="0" fillId="4" borderId="79" xfId="0" applyFill="1" applyBorder="1" applyAlignment="1" applyProtection="1">
      <alignment horizontal="center" vertical="center" wrapText="1"/>
      <protection hidden="1"/>
    </xf>
    <xf numFmtId="0" fontId="0" fillId="4" borderId="20" xfId="0" applyFill="1" applyBorder="1" applyAlignment="1" applyProtection="1">
      <alignment horizontal="center" vertical="center" wrapText="1"/>
      <protection hidden="1"/>
    </xf>
    <xf numFmtId="0" fontId="93" fillId="4" borderId="79" xfId="0" applyFont="1" applyFill="1" applyBorder="1" applyAlignment="1" applyProtection="1">
      <alignment horizontal="center"/>
      <protection hidden="1"/>
    </xf>
    <xf numFmtId="0" fontId="91" fillId="0" borderId="0" xfId="0" applyFont="1" applyAlignment="1" applyProtection="1">
      <alignment horizontal="center" vertical="center" wrapText="1"/>
      <protection locked="0"/>
    </xf>
    <xf numFmtId="180" fontId="0" fillId="4" borderId="2" xfId="0" applyNumberFormat="1" applyFill="1" applyBorder="1" applyAlignment="1" applyProtection="1">
      <alignment horizontal="center" vertical="center"/>
      <protection hidden="1"/>
    </xf>
    <xf numFmtId="180" fontId="0" fillId="4" borderId="129" xfId="0" applyNumberFormat="1" applyFill="1" applyBorder="1" applyAlignment="1" applyProtection="1">
      <alignment horizontal="center" vertical="center"/>
      <protection hidden="1"/>
    </xf>
    <xf numFmtId="180" fontId="0" fillId="4" borderId="10" xfId="0" applyNumberFormat="1" applyFill="1" applyBorder="1" applyAlignment="1" applyProtection="1">
      <alignment horizontal="center" vertical="center"/>
      <protection hidden="1"/>
    </xf>
    <xf numFmtId="180" fontId="0" fillId="4" borderId="3" xfId="0" applyNumberFormat="1" applyFill="1" applyBorder="1" applyAlignment="1" applyProtection="1">
      <alignment horizontal="center" vertical="center"/>
      <protection hidden="1"/>
    </xf>
    <xf numFmtId="0" fontId="86" fillId="4" borderId="21" xfId="0" applyFont="1" applyFill="1" applyBorder="1" applyAlignment="1" applyProtection="1">
      <alignment horizontal="center"/>
      <protection hidden="1"/>
    </xf>
    <xf numFmtId="0" fontId="86" fillId="4" borderId="158" xfId="0" applyFont="1" applyFill="1" applyBorder="1" applyAlignment="1" applyProtection="1">
      <alignment horizontal="center"/>
      <protection hidden="1"/>
    </xf>
    <xf numFmtId="0" fontId="86" fillId="4" borderId="78" xfId="0" applyFont="1" applyFill="1" applyBorder="1" applyAlignment="1" applyProtection="1">
      <alignment horizontal="center"/>
      <protection hidden="1"/>
    </xf>
    <xf numFmtId="0" fontId="86" fillId="4" borderId="64" xfId="0" applyFont="1" applyFill="1" applyBorder="1" applyAlignment="1" applyProtection="1">
      <alignment horizontal="center"/>
      <protection hidden="1"/>
    </xf>
    <xf numFmtId="0" fontId="91" fillId="4" borderId="43" xfId="0" applyFont="1" applyFill="1" applyBorder="1" applyAlignment="1" applyProtection="1">
      <alignment horizontal="center" vertical="top" wrapText="1"/>
      <protection hidden="1"/>
    </xf>
    <xf numFmtId="0" fontId="91" fillId="4" borderId="23" xfId="0" applyFont="1" applyFill="1" applyBorder="1" applyAlignment="1" applyProtection="1">
      <alignment horizontal="center" vertical="top" wrapText="1"/>
      <protection hidden="1"/>
    </xf>
    <xf numFmtId="0" fontId="91" fillId="4" borderId="44" xfId="0" applyFont="1" applyFill="1" applyBorder="1" applyAlignment="1" applyProtection="1">
      <alignment horizontal="center" vertical="top" wrapText="1"/>
      <protection hidden="1"/>
    </xf>
    <xf numFmtId="0" fontId="91" fillId="4" borderId="19" xfId="0" applyFont="1" applyFill="1" applyBorder="1" applyAlignment="1" applyProtection="1">
      <alignment horizontal="center" vertical="top" wrapText="1"/>
      <protection hidden="1"/>
    </xf>
    <xf numFmtId="0" fontId="91" fillId="4" borderId="0" xfId="0" applyFont="1" applyFill="1" applyAlignment="1" applyProtection="1">
      <alignment horizontal="center" vertical="top" wrapText="1"/>
      <protection hidden="1"/>
    </xf>
    <xf numFmtId="0" fontId="91" fillId="4" borderId="15" xfId="0" applyFont="1" applyFill="1" applyBorder="1" applyAlignment="1" applyProtection="1">
      <alignment horizontal="center" vertical="top" wrapText="1"/>
      <protection hidden="1"/>
    </xf>
    <xf numFmtId="0" fontId="96" fillId="4" borderId="0" xfId="0" applyFont="1" applyFill="1" applyAlignment="1">
      <alignment horizontal="center" vertical="center"/>
    </xf>
    <xf numFmtId="0" fontId="96" fillId="4" borderId="99" xfId="0" applyFont="1" applyFill="1" applyBorder="1" applyAlignment="1">
      <alignment horizontal="center" vertical="center"/>
    </xf>
    <xf numFmtId="0" fontId="90" fillId="4" borderId="19" xfId="0" applyFont="1" applyFill="1" applyBorder="1" applyAlignment="1" applyProtection="1">
      <alignment horizontal="center" wrapText="1"/>
      <protection hidden="1"/>
    </xf>
    <xf numFmtId="0" fontId="90" fillId="4" borderId="15" xfId="0" applyFont="1" applyFill="1" applyBorder="1" applyAlignment="1" applyProtection="1">
      <alignment horizontal="center" wrapText="1"/>
      <protection hidden="1"/>
    </xf>
    <xf numFmtId="0" fontId="156" fillId="4" borderId="43" xfId="2" applyNumberFormat="1" applyFont="1" applyFill="1" applyBorder="1" applyAlignment="1" applyProtection="1">
      <alignment horizontal="center" vertical="center" wrapText="1"/>
    </xf>
    <xf numFmtId="0" fontId="156" fillId="4" borderId="44" xfId="2" applyNumberFormat="1" applyFont="1" applyFill="1" applyBorder="1" applyAlignment="1" applyProtection="1">
      <alignment horizontal="center" vertical="center" wrapText="1"/>
    </xf>
    <xf numFmtId="0" fontId="156" fillId="4" borderId="16" xfId="2" applyNumberFormat="1" applyFont="1" applyFill="1" applyBorder="1" applyAlignment="1" applyProtection="1">
      <alignment horizontal="center" vertical="center" wrapText="1"/>
    </xf>
    <xf numFmtId="0" fontId="156" fillId="4" borderId="39" xfId="2" applyNumberFormat="1" applyFont="1" applyFill="1" applyBorder="1" applyAlignment="1" applyProtection="1">
      <alignment horizontal="center" vertical="center" wrapText="1"/>
    </xf>
    <xf numFmtId="0" fontId="0" fillId="4" borderId="169" xfId="0" applyFill="1" applyBorder="1" applyAlignment="1" applyProtection="1">
      <alignment horizontal="left"/>
      <protection hidden="1"/>
    </xf>
    <xf numFmtId="0" fontId="0" fillId="4" borderId="10" xfId="0" applyFill="1" applyBorder="1" applyAlignment="1" applyProtection="1">
      <alignment horizontal="left"/>
      <protection hidden="1"/>
    </xf>
    <xf numFmtId="0" fontId="0" fillId="4" borderId="169" xfId="0" applyFill="1" applyBorder="1" applyAlignment="1" applyProtection="1">
      <alignment horizontal="left" vertical="center"/>
      <protection hidden="1"/>
    </xf>
    <xf numFmtId="0" fontId="148" fillId="4" borderId="30" xfId="0" applyFont="1" applyFill="1" applyBorder="1" applyAlignment="1">
      <alignment horizontal="center" vertical="center"/>
    </xf>
    <xf numFmtId="0" fontId="148" fillId="4" borderId="56" xfId="0" applyFont="1" applyFill="1" applyBorder="1" applyAlignment="1">
      <alignment horizontal="center" vertical="center"/>
    </xf>
    <xf numFmtId="10" fontId="91" fillId="0" borderId="2" xfId="3" applyNumberFormat="1" applyFont="1" applyFill="1" applyBorder="1" applyAlignment="1" applyProtection="1">
      <alignment horizontal="center" vertical="center"/>
      <protection locked="0"/>
    </xf>
    <xf numFmtId="0" fontId="91" fillId="4" borderId="188" xfId="0" applyFont="1" applyFill="1" applyBorder="1" applyAlignment="1" applyProtection="1">
      <alignment horizontal="center" vertical="center" wrapText="1"/>
      <protection hidden="1"/>
    </xf>
    <xf numFmtId="0" fontId="91" fillId="4" borderId="231" xfId="0" applyFont="1" applyFill="1" applyBorder="1" applyAlignment="1" applyProtection="1">
      <alignment horizontal="center" vertical="center" wrapText="1"/>
      <protection hidden="1"/>
    </xf>
    <xf numFmtId="0" fontId="148" fillId="4" borderId="232" xfId="0" applyFont="1" applyFill="1" applyBorder="1" applyAlignment="1">
      <alignment horizontal="center" vertical="center"/>
    </xf>
    <xf numFmtId="0" fontId="148" fillId="4" borderId="21" xfId="0" applyFont="1" applyFill="1" applyBorder="1" applyAlignment="1">
      <alignment horizontal="center" vertical="center"/>
    </xf>
    <xf numFmtId="0" fontId="148" fillId="4" borderId="158" xfId="0" applyFont="1" applyFill="1" applyBorder="1" applyAlignment="1">
      <alignment horizontal="center" vertical="center"/>
    </xf>
    <xf numFmtId="0" fontId="0" fillId="4" borderId="175" xfId="0" applyFill="1" applyBorder="1" applyAlignment="1" applyProtection="1">
      <alignment horizontal="left" vertical="center"/>
      <protection hidden="1"/>
    </xf>
    <xf numFmtId="0" fontId="0" fillId="4" borderId="2" xfId="0" applyFill="1" applyBorder="1" applyAlignment="1" applyProtection="1">
      <alignment horizontal="left" vertical="center"/>
      <protection hidden="1"/>
    </xf>
    <xf numFmtId="0" fontId="86" fillId="4" borderId="175" xfId="0" applyFont="1" applyFill="1" applyBorder="1" applyAlignment="1" applyProtection="1">
      <alignment horizontal="left" vertical="center"/>
      <protection hidden="1"/>
    </xf>
    <xf numFmtId="0" fontId="86" fillId="4" borderId="2" xfId="0" applyFont="1" applyFill="1" applyBorder="1" applyAlignment="1" applyProtection="1">
      <alignment horizontal="left" vertical="center"/>
      <protection hidden="1"/>
    </xf>
    <xf numFmtId="0" fontId="49" fillId="4" borderId="31" xfId="2" applyNumberFormat="1" applyFill="1" applyBorder="1" applyAlignment="1" applyProtection="1">
      <alignment horizontal="center" vertical="center"/>
    </xf>
    <xf numFmtId="0" fontId="49" fillId="4" borderId="57" xfId="2" applyNumberFormat="1" applyFill="1" applyBorder="1" applyAlignment="1" applyProtection="1">
      <alignment horizontal="center" vertical="center"/>
    </xf>
    <xf numFmtId="0" fontId="0" fillId="4" borderId="68" xfId="0" applyFill="1" applyBorder="1" applyAlignment="1">
      <alignment horizontal="left" vertical="center"/>
    </xf>
    <xf numFmtId="0" fontId="0" fillId="4" borderId="9" xfId="0" applyFill="1" applyBorder="1" applyAlignment="1">
      <alignment horizontal="left" vertical="center"/>
    </xf>
    <xf numFmtId="0" fontId="0" fillId="4" borderId="10" xfId="0" applyFill="1" applyBorder="1" applyAlignment="1">
      <alignment horizontal="left" vertical="center"/>
    </xf>
    <xf numFmtId="0" fontId="86" fillId="4" borderId="63" xfId="0" applyFont="1" applyFill="1" applyBorder="1" applyAlignment="1">
      <alignment horizontal="center" vertical="center"/>
    </xf>
    <xf numFmtId="0" fontId="86" fillId="4" borderId="78" xfId="0" applyFont="1" applyFill="1" applyBorder="1" applyAlignment="1">
      <alignment horizontal="center" vertical="center"/>
    </xf>
    <xf numFmtId="0" fontId="86" fillId="4" borderId="67" xfId="0" applyFont="1" applyFill="1" applyBorder="1" applyAlignment="1">
      <alignment horizontal="center" vertical="center"/>
    </xf>
    <xf numFmtId="0" fontId="91" fillId="4" borderId="8" xfId="0" applyFont="1" applyFill="1" applyBorder="1" applyAlignment="1">
      <alignment horizontal="center" vertical="center"/>
    </xf>
    <xf numFmtId="0" fontId="91" fillId="4" borderId="99" xfId="0" applyFont="1" applyFill="1" applyBorder="1" applyAlignment="1">
      <alignment horizontal="center" vertical="center"/>
    </xf>
    <xf numFmtId="0" fontId="93" fillId="4" borderId="184" xfId="0" applyFont="1" applyFill="1" applyBorder="1" applyAlignment="1">
      <alignment horizontal="center" vertical="center" wrapText="1"/>
    </xf>
    <xf numFmtId="0" fontId="93" fillId="4" borderId="216" xfId="0" applyFont="1" applyFill="1" applyBorder="1" applyAlignment="1">
      <alignment horizontal="center" vertical="center" wrapText="1"/>
    </xf>
    <xf numFmtId="0" fontId="93" fillId="4" borderId="190" xfId="0" applyFont="1" applyFill="1" applyBorder="1" applyAlignment="1">
      <alignment horizontal="center" vertical="center" wrapText="1"/>
    </xf>
    <xf numFmtId="0" fontId="93" fillId="4" borderId="99" xfId="0" applyFont="1" applyFill="1" applyBorder="1" applyAlignment="1">
      <alignment horizontal="center" vertical="center" wrapText="1"/>
    </xf>
    <xf numFmtId="0" fontId="93" fillId="4" borderId="187" xfId="0" applyFont="1" applyFill="1" applyBorder="1" applyAlignment="1">
      <alignment horizontal="center" vertical="center" wrapText="1"/>
    </xf>
    <xf numFmtId="0" fontId="93" fillId="4" borderId="56" xfId="0" applyFont="1" applyFill="1" applyBorder="1" applyAlignment="1">
      <alignment horizontal="center" vertical="center" wrapText="1"/>
    </xf>
    <xf numFmtId="0" fontId="93" fillId="4" borderId="63" xfId="0" applyFont="1" applyFill="1" applyBorder="1" applyAlignment="1">
      <alignment horizontal="center" vertical="center" textRotation="90"/>
    </xf>
    <xf numFmtId="0" fontId="93" fillId="4" borderId="30" xfId="0" applyFont="1" applyFill="1" applyBorder="1" applyAlignment="1">
      <alignment horizontal="center" vertical="center" textRotation="90"/>
    </xf>
    <xf numFmtId="0" fontId="93" fillId="4" borderId="68" xfId="0" applyFont="1" applyFill="1" applyBorder="1" applyAlignment="1">
      <alignment horizontal="center" vertical="center" textRotation="90"/>
    </xf>
    <xf numFmtId="0" fontId="93" fillId="4" borderId="85" xfId="0" applyFont="1" applyFill="1" applyBorder="1" applyAlignment="1">
      <alignment horizontal="center" vertical="center" textRotation="90"/>
    </xf>
    <xf numFmtId="0" fontId="86" fillId="4" borderId="59" xfId="0" applyFont="1" applyFill="1" applyBorder="1" applyAlignment="1">
      <alignment horizontal="center" vertical="center" wrapText="1"/>
    </xf>
    <xf numFmtId="0" fontId="86" fillId="4" borderId="143" xfId="0" applyFont="1" applyFill="1" applyBorder="1" applyAlignment="1">
      <alignment horizontal="center" vertical="center" wrapText="1"/>
    </xf>
    <xf numFmtId="0" fontId="86" fillId="4" borderId="116" xfId="0" applyFont="1" applyFill="1" applyBorder="1" applyAlignment="1">
      <alignment horizontal="center" vertical="center" wrapText="1"/>
    </xf>
    <xf numFmtId="0" fontId="86" fillId="4" borderId="108" xfId="0" applyFont="1" applyFill="1" applyBorder="1" applyAlignment="1">
      <alignment horizontal="center" vertical="center" wrapText="1"/>
    </xf>
    <xf numFmtId="0" fontId="86" fillId="4" borderId="61" xfId="0" applyFont="1" applyFill="1" applyBorder="1" applyAlignment="1">
      <alignment horizontal="center" vertical="center" wrapText="1"/>
    </xf>
    <xf numFmtId="0" fontId="86" fillId="4" borderId="87" xfId="0" applyFont="1" applyFill="1" applyBorder="1" applyAlignment="1">
      <alignment horizontal="center" vertical="center" wrapText="1"/>
    </xf>
    <xf numFmtId="0" fontId="91" fillId="4" borderId="143" xfId="0" applyFont="1" applyFill="1" applyBorder="1" applyAlignment="1">
      <alignment horizontal="right" vertical="center"/>
    </xf>
    <xf numFmtId="0" fontId="186" fillId="4" borderId="19" xfId="0" applyFont="1" applyFill="1" applyBorder="1" applyAlignment="1">
      <alignment horizontal="right" vertical="center" textRotation="90"/>
    </xf>
    <xf numFmtId="0" fontId="86" fillId="4" borderId="19" xfId="0" applyFont="1" applyFill="1" applyBorder="1" applyAlignment="1">
      <alignment horizontal="right" vertical="center" textRotation="90"/>
    </xf>
    <xf numFmtId="0" fontId="98" fillId="0" borderId="1" xfId="0" applyFont="1" applyBorder="1" applyAlignment="1" applyProtection="1">
      <alignment horizontal="center" vertical="center" wrapText="1"/>
      <protection locked="0"/>
    </xf>
    <xf numFmtId="0" fontId="98" fillId="0" borderId="145" xfId="0" applyFont="1" applyBorder="1" applyAlignment="1" applyProtection="1">
      <alignment horizontal="center" vertical="center" wrapText="1"/>
      <protection locked="0"/>
    </xf>
    <xf numFmtId="0" fontId="0" fillId="4" borderId="87" xfId="0" applyFill="1" applyBorder="1" applyAlignment="1">
      <alignment horizontal="right" vertical="center"/>
    </xf>
    <xf numFmtId="0" fontId="96" fillId="4" borderId="72" xfId="0" applyFont="1" applyFill="1" applyBorder="1" applyAlignment="1">
      <alignment horizontal="center" vertical="top" textRotation="90"/>
    </xf>
    <xf numFmtId="0" fontId="96" fillId="4" borderId="66" xfId="0" applyFont="1" applyFill="1" applyBorder="1" applyAlignment="1">
      <alignment horizontal="center" vertical="top" textRotation="90"/>
    </xf>
    <xf numFmtId="0" fontId="96" fillId="4" borderId="40" xfId="0" applyFont="1" applyFill="1" applyBorder="1" applyAlignment="1">
      <alignment horizontal="center" vertical="top" textRotation="90"/>
    </xf>
    <xf numFmtId="0" fontId="88" fillId="4" borderId="31" xfId="0" applyFont="1" applyFill="1" applyBorder="1" applyAlignment="1">
      <alignment horizontal="center" vertical="center"/>
    </xf>
    <xf numFmtId="0" fontId="88" fillId="4" borderId="28" xfId="0" applyFont="1" applyFill="1" applyBorder="1" applyAlignment="1">
      <alignment horizontal="center" vertical="center"/>
    </xf>
    <xf numFmtId="10" fontId="91" fillId="4" borderId="1" xfId="0" applyNumberFormat="1" applyFont="1" applyFill="1" applyBorder="1" applyAlignment="1">
      <alignment horizontal="center" vertical="center"/>
    </xf>
    <xf numFmtId="10" fontId="91" fillId="4" borderId="10" xfId="0" applyNumberFormat="1" applyFont="1" applyFill="1" applyBorder="1" applyAlignment="1">
      <alignment horizontal="center" vertical="center"/>
    </xf>
    <xf numFmtId="0" fontId="0" fillId="4" borderId="187" xfId="0" applyFill="1" applyBorder="1" applyAlignment="1">
      <alignment horizontal="center" vertical="center" wrapText="1"/>
    </xf>
    <xf numFmtId="0" fontId="0" fillId="4" borderId="28" xfId="0" applyFill="1" applyBorder="1" applyAlignment="1">
      <alignment horizontal="center" vertical="center" wrapText="1"/>
    </xf>
    <xf numFmtId="0" fontId="0" fillId="4" borderId="179" xfId="0" applyFill="1" applyBorder="1" applyAlignment="1">
      <alignment horizontal="center" vertical="center" wrapText="1"/>
    </xf>
    <xf numFmtId="0" fontId="0" fillId="4" borderId="192" xfId="0" applyFill="1" applyBorder="1" applyAlignment="1" applyProtection="1">
      <alignment horizontal="left" vertical="center"/>
      <protection hidden="1"/>
    </xf>
    <xf numFmtId="0" fontId="0" fillId="4" borderId="55" xfId="0" applyFill="1" applyBorder="1" applyAlignment="1" applyProtection="1">
      <alignment horizontal="left" vertical="center"/>
      <protection hidden="1"/>
    </xf>
    <xf numFmtId="0" fontId="93" fillId="4" borderId="23" xfId="0" applyFont="1" applyFill="1" applyBorder="1" applyAlignment="1">
      <alignment horizontal="center" vertical="center" textRotation="90"/>
    </xf>
    <xf numFmtId="0" fontId="93" fillId="4" borderId="0" xfId="0" applyFont="1" applyFill="1" applyAlignment="1">
      <alignment horizontal="center" vertical="center" textRotation="90"/>
    </xf>
    <xf numFmtId="0" fontId="93" fillId="4" borderId="15" xfId="0" applyFont="1" applyFill="1" applyBorder="1" applyAlignment="1">
      <alignment horizontal="center" vertical="center" textRotation="90"/>
    </xf>
    <xf numFmtId="0" fontId="0" fillId="4" borderId="68" xfId="0" applyFill="1" applyBorder="1" applyAlignment="1" applyProtection="1">
      <alignment horizontal="left"/>
      <protection hidden="1"/>
    </xf>
    <xf numFmtId="8" fontId="0" fillId="0" borderId="2" xfId="0" applyNumberFormat="1" applyBorder="1" applyAlignment="1">
      <alignment horizontal="center"/>
    </xf>
    <xf numFmtId="0" fontId="75" fillId="4" borderId="2" xfId="0" applyFont="1" applyFill="1" applyBorder="1" applyAlignment="1">
      <alignment horizontal="right" vertical="center"/>
    </xf>
    <xf numFmtId="0" fontId="96" fillId="4" borderId="59" xfId="0" applyFont="1" applyFill="1" applyBorder="1" applyAlignment="1">
      <alignment horizontal="center" vertical="center" textRotation="90" wrapText="1"/>
    </xf>
    <xf numFmtId="0" fontId="96" fillId="4" borderId="116" xfId="0" applyFont="1" applyFill="1" applyBorder="1" applyAlignment="1">
      <alignment horizontal="center" vertical="center" textRotation="90" wrapText="1"/>
    </xf>
    <xf numFmtId="0" fontId="0" fillId="4" borderId="3" xfId="0" applyFill="1" applyBorder="1" applyAlignment="1" applyProtection="1">
      <alignment horizontal="center"/>
      <protection hidden="1"/>
    </xf>
    <xf numFmtId="6" fontId="91" fillId="4" borderId="4" xfId="0" applyNumberFormat="1" applyFont="1" applyFill="1" applyBorder="1" applyAlignment="1" applyProtection="1">
      <alignment horizontal="center" vertical="center"/>
      <protection hidden="1"/>
    </xf>
    <xf numFmtId="6" fontId="91" fillId="4" borderId="3" xfId="0" applyNumberFormat="1" applyFont="1" applyFill="1" applyBorder="1" applyAlignment="1" applyProtection="1">
      <alignment horizontal="center" vertical="center"/>
      <protection hidden="1"/>
    </xf>
    <xf numFmtId="0" fontId="86" fillId="4" borderId="85" xfId="0" applyFont="1" applyFill="1" applyBorder="1" applyAlignment="1">
      <alignment horizontal="left" vertical="center"/>
    </xf>
    <xf numFmtId="0" fontId="86" fillId="4" borderId="81" xfId="0" applyFont="1" applyFill="1" applyBorder="1" applyAlignment="1">
      <alignment horizontal="left" vertical="center"/>
    </xf>
    <xf numFmtId="0" fontId="86" fillId="4" borderId="82" xfId="0" applyFont="1" applyFill="1" applyBorder="1" applyAlignment="1">
      <alignment horizontal="left" vertical="center"/>
    </xf>
    <xf numFmtId="0" fontId="0" fillId="4" borderId="43" xfId="0" applyFill="1" applyBorder="1" applyAlignment="1" applyProtection="1">
      <alignment horizontal="left" vertical="center" wrapText="1"/>
      <protection hidden="1"/>
    </xf>
    <xf numFmtId="0" fontId="0" fillId="4" borderId="23" xfId="0" applyFill="1" applyBorder="1" applyAlignment="1" applyProtection="1">
      <alignment horizontal="left" vertical="center" wrapText="1"/>
      <protection hidden="1"/>
    </xf>
    <xf numFmtId="0" fontId="0" fillId="4" borderId="19" xfId="0" applyFill="1" applyBorder="1" applyAlignment="1" applyProtection="1">
      <alignment horizontal="left" vertical="center" wrapText="1"/>
      <protection hidden="1"/>
    </xf>
    <xf numFmtId="0" fontId="0" fillId="4" borderId="0" xfId="0" applyFill="1" applyAlignment="1" applyProtection="1">
      <alignment horizontal="left" vertical="center" wrapText="1"/>
      <protection hidden="1"/>
    </xf>
    <xf numFmtId="0" fontId="0" fillId="4" borderId="99" xfId="0" applyFill="1" applyBorder="1" applyAlignment="1" applyProtection="1">
      <alignment horizontal="left" vertical="center" wrapText="1"/>
      <protection hidden="1"/>
    </xf>
    <xf numFmtId="10" fontId="75" fillId="4" borderId="2" xfId="3" applyNumberFormat="1" applyFont="1" applyFill="1" applyBorder="1" applyAlignment="1">
      <alignment horizontal="center" vertical="center"/>
    </xf>
    <xf numFmtId="10" fontId="75" fillId="4" borderId="3" xfId="3" applyNumberFormat="1" applyFont="1" applyFill="1" applyBorder="1" applyAlignment="1">
      <alignment horizontal="center" vertical="center"/>
    </xf>
    <xf numFmtId="0" fontId="0" fillId="0" borderId="112" xfId="0" applyBorder="1" applyAlignment="1">
      <alignment horizontal="center"/>
    </xf>
    <xf numFmtId="0" fontId="148" fillId="4" borderId="24" xfId="0" applyFont="1" applyFill="1" applyBorder="1" applyAlignment="1">
      <alignment horizontal="center" vertical="center"/>
    </xf>
    <xf numFmtId="0" fontId="148" fillId="4" borderId="67" xfId="0" applyFont="1" applyFill="1" applyBorder="1" applyAlignment="1">
      <alignment horizontal="center" vertical="center"/>
    </xf>
    <xf numFmtId="0" fontId="148" fillId="4" borderId="22" xfId="0" applyFont="1" applyFill="1" applyBorder="1" applyAlignment="1">
      <alignment horizontal="center" vertical="center"/>
    </xf>
    <xf numFmtId="0" fontId="151" fillId="4" borderId="4" xfId="2" applyNumberFormat="1" applyFont="1" applyFill="1" applyBorder="1" applyAlignment="1" applyProtection="1">
      <alignment horizontal="center" vertical="center"/>
      <protection hidden="1"/>
    </xf>
    <xf numFmtId="0" fontId="151" fillId="4" borderId="10" xfId="2" applyNumberFormat="1" applyFont="1" applyFill="1" applyBorder="1" applyAlignment="1" applyProtection="1">
      <alignment horizontal="center" vertical="center"/>
      <protection hidden="1"/>
    </xf>
    <xf numFmtId="0" fontId="151" fillId="4" borderId="2" xfId="2" applyNumberFormat="1" applyFont="1" applyFill="1" applyBorder="1" applyAlignment="1" applyProtection="1">
      <alignment horizontal="center" vertical="center"/>
      <protection hidden="1"/>
    </xf>
    <xf numFmtId="0" fontId="151" fillId="4" borderId="3" xfId="2" applyNumberFormat="1" applyFont="1" applyFill="1" applyBorder="1" applyAlignment="1" applyProtection="1">
      <alignment horizontal="center" vertical="center"/>
      <protection hidden="1"/>
    </xf>
    <xf numFmtId="0" fontId="0" fillId="0" borderId="0" xfId="0" applyAlignment="1">
      <alignment horizontal="left" vertical="center" textRotation="180"/>
    </xf>
    <xf numFmtId="0" fontId="86" fillId="4" borderId="169" xfId="0" applyFont="1" applyFill="1" applyBorder="1" applyAlignment="1" applyProtection="1">
      <alignment horizontal="center" vertical="center"/>
      <protection hidden="1"/>
    </xf>
    <xf numFmtId="0" fontId="86" fillId="4" borderId="10" xfId="0" applyFont="1" applyFill="1" applyBorder="1" applyAlignment="1" applyProtection="1">
      <alignment horizontal="center" vertical="center"/>
      <protection hidden="1"/>
    </xf>
    <xf numFmtId="0" fontId="176" fillId="4" borderId="23" xfId="2" applyNumberFormat="1" applyFont="1" applyFill="1" applyBorder="1" applyAlignment="1" applyProtection="1">
      <alignment horizontal="center" vertical="center"/>
    </xf>
    <xf numFmtId="0" fontId="86" fillId="4" borderId="85" xfId="0" applyFont="1" applyFill="1" applyBorder="1" applyAlignment="1" applyProtection="1">
      <alignment horizontal="right"/>
      <protection hidden="1"/>
    </xf>
    <xf numFmtId="0" fontId="86" fillId="4" borderId="82" xfId="0" applyFont="1" applyFill="1" applyBorder="1" applyAlignment="1" applyProtection="1">
      <alignment horizontal="right"/>
      <protection hidden="1"/>
    </xf>
    <xf numFmtId="0" fontId="140" fillId="4" borderId="68" xfId="0" applyFont="1" applyFill="1" applyBorder="1" applyAlignment="1" applyProtection="1">
      <alignment horizontal="left" vertical="center"/>
      <protection hidden="1"/>
    </xf>
    <xf numFmtId="0" fontId="140" fillId="4" borderId="10" xfId="0" applyFont="1" applyFill="1" applyBorder="1" applyAlignment="1" applyProtection="1">
      <alignment horizontal="left" vertical="center"/>
      <protection hidden="1"/>
    </xf>
    <xf numFmtId="6" fontId="75" fillId="4" borderId="21" xfId="0" applyNumberFormat="1" applyFont="1" applyFill="1" applyBorder="1" applyAlignment="1">
      <alignment horizontal="center" vertical="center"/>
    </xf>
    <xf numFmtId="0" fontId="75" fillId="4" borderId="22" xfId="0" applyFont="1" applyFill="1" applyBorder="1" applyAlignment="1">
      <alignment horizontal="center" vertical="center"/>
    </xf>
    <xf numFmtId="8" fontId="75" fillId="4" borderId="21" xfId="0" applyNumberFormat="1" applyFont="1" applyFill="1" applyBorder="1" applyAlignment="1">
      <alignment horizontal="center" vertical="center"/>
    </xf>
    <xf numFmtId="0" fontId="86" fillId="4" borderId="194" xfId="0" applyFont="1" applyFill="1" applyBorder="1" applyAlignment="1">
      <alignment horizontal="center" wrapText="1"/>
    </xf>
    <xf numFmtId="0" fontId="86" fillId="4" borderId="186" xfId="0" applyFont="1" applyFill="1" applyBorder="1" applyAlignment="1">
      <alignment horizontal="center" wrapText="1"/>
    </xf>
    <xf numFmtId="0" fontId="86" fillId="4" borderId="31" xfId="0" applyFont="1" applyFill="1" applyBorder="1" applyAlignment="1">
      <alignment horizontal="center" wrapText="1"/>
    </xf>
    <xf numFmtId="0" fontId="86" fillId="4" borderId="179" xfId="0" applyFont="1" applyFill="1" applyBorder="1" applyAlignment="1">
      <alignment horizontal="center" wrapText="1"/>
    </xf>
    <xf numFmtId="0" fontId="86" fillId="4" borderId="68" xfId="0" applyFont="1" applyFill="1" applyBorder="1" applyAlignment="1" applyProtection="1">
      <alignment horizontal="left"/>
      <protection hidden="1"/>
    </xf>
    <xf numFmtId="0" fontId="86" fillId="4" borderId="10" xfId="0" applyFont="1" applyFill="1" applyBorder="1" applyAlignment="1" applyProtection="1">
      <alignment horizontal="left"/>
      <protection hidden="1"/>
    </xf>
    <xf numFmtId="0" fontId="151" fillId="4" borderId="68" xfId="2" applyNumberFormat="1" applyFont="1" applyFill="1" applyBorder="1" applyAlignment="1" applyProtection="1">
      <alignment horizontal="left"/>
      <protection hidden="1"/>
    </xf>
    <xf numFmtId="0" fontId="151" fillId="4" borderId="10" xfId="2" applyNumberFormat="1" applyFont="1" applyFill="1" applyBorder="1" applyAlignment="1" applyProtection="1">
      <alignment horizontal="left"/>
      <protection hidden="1"/>
    </xf>
    <xf numFmtId="0" fontId="0" fillId="4" borderId="169" xfId="0" applyFill="1" applyBorder="1" applyAlignment="1">
      <alignment horizontal="left" vertical="center"/>
    </xf>
    <xf numFmtId="0" fontId="0" fillId="4" borderId="219" xfId="0" applyFill="1" applyBorder="1" applyAlignment="1">
      <alignment horizontal="right"/>
    </xf>
    <xf numFmtId="0" fontId="0" fillId="4" borderId="181" xfId="0" applyFill="1" applyBorder="1" applyAlignment="1">
      <alignment horizontal="right"/>
    </xf>
    <xf numFmtId="0" fontId="0" fillId="4" borderId="215" xfId="0" applyFill="1" applyBorder="1" applyAlignment="1">
      <alignment horizontal="right"/>
    </xf>
    <xf numFmtId="0" fontId="0" fillId="4" borderId="175" xfId="0" applyFill="1" applyBorder="1" applyAlignment="1" applyProtection="1">
      <alignment horizontal="left"/>
      <protection hidden="1"/>
    </xf>
    <xf numFmtId="0" fontId="0" fillId="4" borderId="2" xfId="0" applyFill="1" applyBorder="1" applyAlignment="1" applyProtection="1">
      <alignment horizontal="left"/>
      <protection hidden="1"/>
    </xf>
    <xf numFmtId="0" fontId="227" fillId="4" borderId="169" xfId="2" applyNumberFormat="1" applyFont="1" applyFill="1" applyBorder="1" applyAlignment="1" applyProtection="1">
      <alignment horizontal="left"/>
      <protection hidden="1"/>
    </xf>
    <xf numFmtId="0" fontId="227" fillId="4" borderId="10" xfId="2" applyNumberFormat="1" applyFont="1" applyFill="1" applyBorder="1" applyAlignment="1" applyProtection="1">
      <alignment horizontal="left"/>
      <protection hidden="1"/>
    </xf>
    <xf numFmtId="8" fontId="0" fillId="0" borderId="0" xfId="0" applyNumberFormat="1" applyAlignment="1">
      <alignment horizontal="center"/>
    </xf>
    <xf numFmtId="8" fontId="75" fillId="4" borderId="2" xfId="0" applyNumberFormat="1" applyFont="1" applyFill="1" applyBorder="1" applyAlignment="1">
      <alignment horizontal="center" vertical="center"/>
    </xf>
    <xf numFmtId="0" fontId="75" fillId="4" borderId="2" xfId="0" applyFont="1" applyFill="1" applyBorder="1" applyAlignment="1">
      <alignment horizontal="center" vertical="center"/>
    </xf>
    <xf numFmtId="8" fontId="75" fillId="4" borderId="3" xfId="0" applyNumberFormat="1" applyFont="1" applyFill="1" applyBorder="1" applyAlignment="1">
      <alignment horizontal="center" vertical="center"/>
    </xf>
    <xf numFmtId="0" fontId="75" fillId="4" borderId="6" xfId="0" applyFont="1" applyFill="1" applyBorder="1" applyAlignment="1">
      <alignment horizontal="right" vertical="center"/>
    </xf>
    <xf numFmtId="0" fontId="75" fillId="4" borderId="6" xfId="0" applyFont="1" applyFill="1" applyBorder="1" applyAlignment="1">
      <alignment horizontal="center" vertical="center"/>
    </xf>
    <xf numFmtId="0" fontId="75" fillId="4" borderId="7" xfId="0" applyFont="1" applyFill="1" applyBorder="1" applyAlignment="1">
      <alignment horizontal="center" vertical="center"/>
    </xf>
    <xf numFmtId="8" fontId="0" fillId="4" borderId="2" xfId="0" applyNumberFormat="1" applyFill="1" applyBorder="1" applyAlignment="1" applyProtection="1">
      <alignment horizontal="center" vertical="center"/>
      <protection hidden="1"/>
    </xf>
    <xf numFmtId="0" fontId="0" fillId="4" borderId="1" xfId="0" applyFill="1" applyBorder="1" applyAlignment="1" applyProtection="1">
      <alignment horizontal="center" vertical="center"/>
      <protection hidden="1"/>
    </xf>
    <xf numFmtId="0" fontId="91" fillId="4" borderId="67" xfId="0" applyFont="1" applyFill="1" applyBorder="1" applyAlignment="1">
      <alignment horizontal="center" vertical="center"/>
    </xf>
    <xf numFmtId="0" fontId="91" fillId="4" borderId="22" xfId="0" applyFont="1" applyFill="1" applyBorder="1" applyAlignment="1">
      <alignment horizontal="center" vertical="center"/>
    </xf>
    <xf numFmtId="0" fontId="47" fillId="4" borderId="24" xfId="0" applyFont="1" applyFill="1" applyBorder="1" applyAlignment="1">
      <alignment horizontal="center" vertical="center"/>
    </xf>
    <xf numFmtId="0" fontId="47" fillId="4" borderId="4" xfId="0" applyFont="1" applyFill="1" applyBorder="1" applyAlignment="1">
      <alignment horizontal="center" vertical="center"/>
    </xf>
    <xf numFmtId="0" fontId="47" fillId="4" borderId="5" xfId="0" applyFont="1" applyFill="1" applyBorder="1" applyAlignment="1">
      <alignment horizontal="center" vertical="center"/>
    </xf>
    <xf numFmtId="0" fontId="75" fillId="4" borderId="21" xfId="0" applyFont="1" applyFill="1" applyBorder="1" applyAlignment="1">
      <alignment horizontal="right" vertical="center"/>
    </xf>
    <xf numFmtId="10" fontId="91" fillId="0" borderId="1" xfId="3" applyNumberFormat="1" applyFont="1" applyFill="1" applyBorder="1" applyAlignment="1" applyProtection="1">
      <alignment horizontal="center" vertical="center"/>
      <protection locked="0"/>
    </xf>
    <xf numFmtId="10" fontId="91" fillId="0" borderId="10" xfId="3" applyNumberFormat="1" applyFont="1" applyFill="1" applyBorder="1" applyAlignment="1" applyProtection="1">
      <alignment horizontal="center" vertical="center"/>
      <protection locked="0"/>
    </xf>
    <xf numFmtId="0" fontId="126" fillId="4" borderId="65" xfId="0" applyFont="1" applyFill="1" applyBorder="1" applyAlignment="1">
      <alignment horizontal="center" vertical="center"/>
    </xf>
    <xf numFmtId="0" fontId="126" fillId="4" borderId="79" xfId="0" applyFont="1" applyFill="1" applyBorder="1" applyAlignment="1">
      <alignment horizontal="center" vertical="center"/>
    </xf>
    <xf numFmtId="0" fontId="126" fillId="4" borderId="20" xfId="0" applyFont="1" applyFill="1" applyBorder="1" applyAlignment="1">
      <alignment horizontal="center" vertical="center"/>
    </xf>
    <xf numFmtId="0" fontId="0" fillId="4" borderId="16" xfId="0" applyFill="1" applyBorder="1" applyAlignment="1">
      <alignment horizontal="right" vertical="center"/>
    </xf>
    <xf numFmtId="0" fontId="0" fillId="4" borderId="18" xfId="0" applyFill="1" applyBorder="1" applyAlignment="1">
      <alignment horizontal="right" vertical="center"/>
    </xf>
    <xf numFmtId="0" fontId="0" fillId="4" borderId="39" xfId="0" applyFill="1" applyBorder="1" applyAlignment="1">
      <alignment horizontal="right" vertical="center"/>
    </xf>
    <xf numFmtId="0" fontId="128" fillId="0" borderId="18" xfId="0" applyFont="1" applyBorder="1" applyAlignment="1">
      <alignment horizontal="center" vertical="center"/>
    </xf>
    <xf numFmtId="177" fontId="35" fillId="0" borderId="0" xfId="0" applyNumberFormat="1" applyFont="1" applyAlignment="1">
      <alignment horizontal="center"/>
    </xf>
    <xf numFmtId="0" fontId="101" fillId="0" borderId="43" xfId="0" applyFont="1" applyBorder="1" applyAlignment="1">
      <alignment horizontal="center" wrapText="1"/>
    </xf>
    <xf numFmtId="0" fontId="101" fillId="0" borderId="23" xfId="0" applyFont="1" applyBorder="1" applyAlignment="1">
      <alignment horizontal="center" wrapText="1"/>
    </xf>
    <xf numFmtId="0" fontId="101" fillId="0" borderId="44" xfId="0" applyFont="1" applyBorder="1" applyAlignment="1">
      <alignment horizontal="center" wrapText="1"/>
    </xf>
    <xf numFmtId="0" fontId="101" fillId="0" borderId="43" xfId="0" applyFont="1" applyBorder="1" applyAlignment="1">
      <alignment horizontal="center" vertical="center"/>
    </xf>
    <xf numFmtId="0" fontId="101" fillId="0" borderId="23" xfId="0" applyFont="1" applyBorder="1" applyAlignment="1">
      <alignment horizontal="center" vertical="center"/>
    </xf>
    <xf numFmtId="0" fontId="49" fillId="0" borderId="0" xfId="2" applyNumberFormat="1" applyFill="1" applyAlignment="1" applyProtection="1">
      <alignment horizontal="center" wrapText="1"/>
    </xf>
    <xf numFmtId="0" fontId="49" fillId="0" borderId="23" xfId="2" applyNumberFormat="1" applyBorder="1" applyAlignment="1" applyProtection="1">
      <alignment horizontal="center" vertical="center" wrapText="1"/>
    </xf>
    <xf numFmtId="0" fontId="0" fillId="0" borderId="1" xfId="0" applyBorder="1" applyAlignment="1">
      <alignment horizontal="center"/>
    </xf>
    <xf numFmtId="0" fontId="0" fillId="0" borderId="10" xfId="0" applyBorder="1" applyAlignment="1">
      <alignment horizontal="center"/>
    </xf>
    <xf numFmtId="0" fontId="101" fillId="0" borderId="24" xfId="0" applyFont="1" applyBorder="1" applyAlignment="1">
      <alignment horizontal="center" wrapText="1"/>
    </xf>
    <xf numFmtId="0" fontId="101" fillId="0" borderId="21" xfId="0" applyFont="1" applyBorder="1" applyAlignment="1">
      <alignment horizontal="center" wrapText="1"/>
    </xf>
    <xf numFmtId="174" fontId="101" fillId="0" borderId="21" xfId="0" applyNumberFormat="1" applyFont="1" applyBorder="1" applyAlignment="1">
      <alignment horizontal="center" vertical="center" wrapText="1"/>
    </xf>
    <xf numFmtId="174" fontId="101" fillId="0" borderId="22" xfId="0" applyNumberFormat="1" applyFont="1" applyBorder="1" applyAlignment="1">
      <alignment horizontal="center" vertical="center" wrapText="1"/>
    </xf>
    <xf numFmtId="174" fontId="101" fillId="0" borderId="24" xfId="0" applyNumberFormat="1" applyFont="1" applyBorder="1" applyAlignment="1">
      <alignment horizontal="center" vertical="center" wrapText="1"/>
    </xf>
    <xf numFmtId="0" fontId="66" fillId="4" borderId="4" xfId="0" applyFont="1" applyFill="1" applyBorder="1" applyAlignment="1" applyProtection="1">
      <alignment horizontal="left" vertical="center"/>
      <protection hidden="1"/>
    </xf>
    <xf numFmtId="0" fontId="66" fillId="4" borderId="2" xfId="0" applyFont="1" applyFill="1" applyBorder="1" applyAlignment="1" applyProtection="1">
      <alignment horizontal="left" vertical="center"/>
      <protection hidden="1"/>
    </xf>
    <xf numFmtId="0" fontId="69" fillId="16" borderId="24" xfId="0" applyFont="1" applyFill="1" applyBorder="1" applyAlignment="1">
      <alignment horizontal="center" vertical="center"/>
    </xf>
    <xf numFmtId="0" fontId="69" fillId="16" borderId="21" xfId="0" applyFont="1" applyFill="1" applyBorder="1" applyAlignment="1">
      <alignment horizontal="center" vertical="center"/>
    </xf>
    <xf numFmtId="0" fontId="69" fillId="16" borderId="22" xfId="0" applyFont="1" applyFill="1" applyBorder="1" applyAlignment="1">
      <alignment horizontal="center" vertical="center"/>
    </xf>
    <xf numFmtId="0" fontId="69" fillId="16" borderId="4" xfId="0" applyFont="1" applyFill="1" applyBorder="1" applyAlignment="1">
      <alignment horizontal="center" vertical="center"/>
    </xf>
    <xf numFmtId="0" fontId="69" fillId="16" borderId="2" xfId="0" applyFont="1" applyFill="1" applyBorder="1" applyAlignment="1">
      <alignment horizontal="center" vertical="center"/>
    </xf>
    <xf numFmtId="0" fontId="69" fillId="16" borderId="3" xfId="0" applyFont="1" applyFill="1" applyBorder="1" applyAlignment="1">
      <alignment horizontal="center" vertical="center"/>
    </xf>
    <xf numFmtId="0" fontId="0" fillId="4" borderId="10" xfId="0" applyFill="1" applyBorder="1" applyAlignment="1" applyProtection="1">
      <alignment horizontal="right" vertical="center"/>
      <protection hidden="1"/>
    </xf>
    <xf numFmtId="0" fontId="0" fillId="4" borderId="68" xfId="0" applyFill="1" applyBorder="1" applyAlignment="1" applyProtection="1">
      <alignment horizontal="center" vertical="center"/>
      <protection hidden="1"/>
    </xf>
    <xf numFmtId="0" fontId="0" fillId="4" borderId="9" xfId="0" applyFill="1" applyBorder="1" applyAlignment="1" applyProtection="1">
      <alignment horizontal="center" vertical="center"/>
      <protection hidden="1"/>
    </xf>
    <xf numFmtId="0" fontId="0" fillId="4" borderId="10" xfId="0" applyFill="1" applyBorder="1" applyAlignment="1" applyProtection="1">
      <alignment horizontal="center" vertical="center"/>
      <protection hidden="1"/>
    </xf>
    <xf numFmtId="0" fontId="88" fillId="4" borderId="4" xfId="0" applyFont="1" applyFill="1" applyBorder="1" applyAlignment="1">
      <alignment horizontal="left" vertical="center"/>
    </xf>
    <xf numFmtId="0" fontId="88" fillId="4" borderId="2" xfId="0" applyFont="1" applyFill="1" applyBorder="1" applyAlignment="1">
      <alignment horizontal="left" vertical="center"/>
    </xf>
    <xf numFmtId="0" fontId="0" fillId="4" borderId="4" xfId="0" applyFill="1" applyBorder="1" applyAlignment="1" applyProtection="1">
      <alignment horizontal="left" vertical="center"/>
      <protection hidden="1"/>
    </xf>
    <xf numFmtId="14" fontId="0" fillId="4" borderId="4" xfId="0" applyNumberFormat="1" applyFill="1" applyBorder="1" applyAlignment="1">
      <alignment horizontal="right" vertical="center"/>
    </xf>
    <xf numFmtId="14" fontId="0" fillId="4" borderId="2" xfId="0" applyNumberFormat="1" applyFill="1" applyBorder="1" applyAlignment="1">
      <alignment horizontal="right" vertical="center"/>
    </xf>
    <xf numFmtId="0" fontId="88" fillId="4" borderId="26" xfId="0" applyFont="1" applyFill="1" applyBorder="1" applyAlignment="1">
      <alignment horizontal="left" vertical="center"/>
    </xf>
    <xf numFmtId="0" fontId="88" fillId="4" borderId="41" xfId="0" applyFont="1" applyFill="1" applyBorder="1" applyAlignment="1">
      <alignment horizontal="left" vertical="center"/>
    </xf>
    <xf numFmtId="0" fontId="90" fillId="4" borderId="85" xfId="0" applyFont="1" applyFill="1" applyBorder="1" applyAlignment="1">
      <alignment horizontal="center" vertical="center"/>
    </xf>
    <xf numFmtId="0" fontId="90" fillId="4" borderId="81" xfId="0" applyFont="1" applyFill="1" applyBorder="1" applyAlignment="1">
      <alignment horizontal="center" vertical="center"/>
    </xf>
    <xf numFmtId="0" fontId="90" fillId="4" borderId="86" xfId="0" applyFont="1" applyFill="1" applyBorder="1" applyAlignment="1">
      <alignment horizontal="center" vertical="center"/>
    </xf>
    <xf numFmtId="0" fontId="93" fillId="16" borderId="43" xfId="0" applyFont="1" applyFill="1" applyBorder="1" applyAlignment="1">
      <alignment horizontal="center" vertical="center"/>
    </xf>
    <xf numFmtId="0" fontId="93" fillId="16" borderId="23" xfId="0" applyFont="1" applyFill="1" applyBorder="1" applyAlignment="1">
      <alignment horizontal="center" vertical="center"/>
    </xf>
    <xf numFmtId="0" fontId="93" fillId="16" borderId="44" xfId="0" applyFont="1" applyFill="1" applyBorder="1" applyAlignment="1">
      <alignment horizontal="center" vertical="center"/>
    </xf>
    <xf numFmtId="0" fontId="93" fillId="16" borderId="16" xfId="0" applyFont="1" applyFill="1" applyBorder="1" applyAlignment="1">
      <alignment horizontal="center" vertical="center"/>
    </xf>
    <xf numFmtId="0" fontId="93" fillId="16" borderId="18" xfId="0" applyFont="1" applyFill="1" applyBorder="1" applyAlignment="1">
      <alignment horizontal="center" vertical="center"/>
    </xf>
    <xf numFmtId="0" fontId="93" fillId="16" borderId="39" xfId="0" applyFont="1" applyFill="1" applyBorder="1" applyAlignment="1">
      <alignment horizontal="center" vertical="center"/>
    </xf>
    <xf numFmtId="0" fontId="93" fillId="4" borderId="274" xfId="0" applyFont="1" applyFill="1" applyBorder="1" applyAlignment="1">
      <alignment horizontal="center" vertical="center" textRotation="90"/>
    </xf>
    <xf numFmtId="0" fontId="93" fillId="4" borderId="278" xfId="0" applyFont="1" applyFill="1" applyBorder="1" applyAlignment="1">
      <alignment horizontal="center" vertical="center" textRotation="90"/>
    </xf>
    <xf numFmtId="0" fontId="93" fillId="4" borderId="281" xfId="0" applyFont="1" applyFill="1" applyBorder="1" applyAlignment="1">
      <alignment horizontal="center" vertical="center" textRotation="90"/>
    </xf>
    <xf numFmtId="0" fontId="14" fillId="4" borderId="175" xfId="0" applyFont="1" applyFill="1" applyBorder="1" applyAlignment="1" applyProtection="1">
      <alignment horizontal="right" vertical="center"/>
      <protection hidden="1"/>
    </xf>
    <xf numFmtId="0" fontId="14" fillId="4" borderId="2" xfId="0" applyFont="1" applyFill="1" applyBorder="1" applyAlignment="1" applyProtection="1">
      <alignment horizontal="right" vertical="center"/>
      <protection hidden="1"/>
    </xf>
    <xf numFmtId="0" fontId="102" fillId="4" borderId="19" xfId="0" applyFont="1" applyFill="1" applyBorder="1" applyAlignment="1">
      <alignment horizontal="center" vertical="center" textRotation="90"/>
    </xf>
    <xf numFmtId="0" fontId="102" fillId="4" borderId="16" xfId="0" applyFont="1" applyFill="1" applyBorder="1" applyAlignment="1">
      <alignment horizontal="center" vertical="center" textRotation="90"/>
    </xf>
    <xf numFmtId="0" fontId="91" fillId="4" borderId="1" xfId="0" applyFont="1" applyFill="1" applyBorder="1" applyAlignment="1">
      <alignment horizontal="left" vertical="center"/>
    </xf>
    <xf numFmtId="0" fontId="91" fillId="4" borderId="10" xfId="0" applyFont="1" applyFill="1" applyBorder="1" applyAlignment="1">
      <alignment horizontal="left" vertical="center"/>
    </xf>
    <xf numFmtId="0" fontId="146" fillId="16" borderId="275" xfId="0" applyFont="1" applyFill="1" applyBorder="1" applyAlignment="1">
      <alignment horizontal="center" vertical="center" wrapText="1"/>
    </xf>
    <xf numFmtId="0" fontId="146" fillId="16" borderId="276" xfId="0" applyFont="1" applyFill="1" applyBorder="1" applyAlignment="1">
      <alignment horizontal="center" vertical="center" wrapText="1"/>
    </xf>
    <xf numFmtId="0" fontId="146" fillId="16" borderId="277" xfId="0" applyFont="1" applyFill="1" applyBorder="1" applyAlignment="1">
      <alignment horizontal="center" vertical="center" wrapText="1"/>
    </xf>
    <xf numFmtId="0" fontId="101" fillId="4" borderId="175" xfId="0" applyFont="1" applyFill="1" applyBorder="1" applyAlignment="1" applyProtection="1">
      <alignment horizontal="center" vertical="center"/>
      <protection hidden="1"/>
    </xf>
    <xf numFmtId="0" fontId="101" fillId="4" borderId="2" xfId="0" applyFont="1" applyFill="1" applyBorder="1" applyAlignment="1" applyProtection="1">
      <alignment horizontal="center" vertical="center"/>
      <protection hidden="1"/>
    </xf>
    <xf numFmtId="0" fontId="196" fillId="4" borderId="182" xfId="0" applyFont="1" applyFill="1" applyBorder="1" applyAlignment="1" applyProtection="1">
      <alignment horizontal="right" vertical="center"/>
      <protection hidden="1"/>
    </xf>
    <xf numFmtId="0" fontId="196" fillId="4" borderId="130" xfId="0" applyFont="1" applyFill="1" applyBorder="1" applyAlignment="1" applyProtection="1">
      <alignment horizontal="right" vertical="center"/>
      <protection hidden="1"/>
    </xf>
    <xf numFmtId="0" fontId="14" fillId="4" borderId="175" xfId="0" applyFont="1" applyFill="1" applyBorder="1" applyAlignment="1" applyProtection="1">
      <alignment horizontal="center" vertical="center" wrapText="1"/>
      <protection hidden="1"/>
    </xf>
    <xf numFmtId="0" fontId="14" fillId="4" borderId="2" xfId="0" applyFont="1" applyFill="1" applyBorder="1" applyAlignment="1" applyProtection="1">
      <alignment horizontal="center" vertical="center" wrapText="1"/>
      <protection hidden="1"/>
    </xf>
    <xf numFmtId="0" fontId="96" fillId="4" borderId="68" xfId="0" applyFont="1" applyFill="1" applyBorder="1" applyAlignment="1">
      <alignment horizontal="center" vertical="center"/>
    </xf>
    <xf numFmtId="0" fontId="96" fillId="4" borderId="9" xfId="0" applyFont="1" applyFill="1" applyBorder="1" applyAlignment="1">
      <alignment horizontal="center" vertical="center"/>
    </xf>
    <xf numFmtId="0" fontId="96" fillId="4" borderId="77" xfId="0" applyFont="1" applyFill="1" applyBorder="1" applyAlignment="1">
      <alignment horizontal="center" vertical="center"/>
    </xf>
    <xf numFmtId="0" fontId="153" fillId="16" borderId="63" xfId="2" applyNumberFormat="1" applyFont="1" applyFill="1" applyBorder="1" applyAlignment="1" applyProtection="1">
      <alignment horizontal="center" vertical="center" wrapText="1"/>
    </xf>
    <xf numFmtId="0" fontId="153" fillId="16" borderId="64" xfId="2" applyNumberFormat="1" applyFont="1" applyFill="1" applyBorder="1" applyAlignment="1" applyProtection="1">
      <alignment horizontal="center" vertical="center" wrapText="1"/>
    </xf>
    <xf numFmtId="0" fontId="85" fillId="4" borderId="19" xfId="0" applyFont="1" applyFill="1" applyBorder="1" applyAlignment="1">
      <alignment horizontal="left" vertical="center"/>
    </xf>
    <xf numFmtId="0" fontId="85" fillId="4" borderId="0" xfId="0" applyFont="1" applyFill="1" applyAlignment="1">
      <alignment horizontal="left" vertical="center"/>
    </xf>
    <xf numFmtId="0" fontId="0" fillId="4" borderId="9" xfId="0" applyFill="1" applyBorder="1" applyAlignment="1" applyProtection="1">
      <alignment horizontal="left" vertical="center"/>
      <protection hidden="1"/>
    </xf>
    <xf numFmtId="0" fontId="234" fillId="4" borderId="175" xfId="0" applyFont="1" applyFill="1" applyBorder="1" applyAlignment="1">
      <alignment horizontal="center" vertical="center"/>
    </xf>
    <xf numFmtId="0" fontId="234" fillId="4" borderId="2" xfId="0" applyFont="1" applyFill="1" applyBorder="1" applyAlignment="1">
      <alignment horizontal="center" vertical="center"/>
    </xf>
    <xf numFmtId="0" fontId="234" fillId="4" borderId="129" xfId="0" applyFont="1" applyFill="1" applyBorder="1" applyAlignment="1">
      <alignment horizontal="center" vertical="center"/>
    </xf>
    <xf numFmtId="0" fontId="196" fillId="4" borderId="175" xfId="0" applyFont="1" applyFill="1" applyBorder="1" applyAlignment="1" applyProtection="1">
      <alignment horizontal="right" vertical="center"/>
      <protection hidden="1"/>
    </xf>
    <xf numFmtId="0" fontId="196" fillId="4" borderId="2" xfId="0" applyFont="1" applyFill="1" applyBorder="1" applyAlignment="1" applyProtection="1">
      <alignment horizontal="right" vertical="center"/>
      <protection hidden="1"/>
    </xf>
    <xf numFmtId="0" fontId="169" fillId="16" borderId="154" xfId="0" applyFont="1" applyFill="1" applyBorder="1" applyAlignment="1">
      <alignment horizontal="center" vertical="center"/>
    </xf>
    <xf numFmtId="0" fontId="169" fillId="16" borderId="41" xfId="0" applyFont="1" applyFill="1" applyBorder="1" applyAlignment="1">
      <alignment horizontal="center" vertical="center"/>
    </xf>
    <xf numFmtId="0" fontId="169" fillId="16" borderId="144" xfId="0" applyFont="1" applyFill="1" applyBorder="1" applyAlignment="1">
      <alignment horizontal="center" vertical="center"/>
    </xf>
    <xf numFmtId="0" fontId="169" fillId="16" borderId="175" xfId="0" applyFont="1" applyFill="1" applyBorder="1" applyAlignment="1">
      <alignment horizontal="center" vertical="center"/>
    </xf>
    <xf numFmtId="0" fontId="169" fillId="16" borderId="2" xfId="0" applyFont="1" applyFill="1" applyBorder="1" applyAlignment="1">
      <alignment horizontal="center" vertical="center"/>
    </xf>
    <xf numFmtId="0" fontId="169" fillId="16" borderId="129" xfId="0" applyFont="1" applyFill="1" applyBorder="1" applyAlignment="1">
      <alignment horizontal="center" vertical="center"/>
    </xf>
    <xf numFmtId="0" fontId="93" fillId="16" borderId="24" xfId="0" applyFont="1" applyFill="1" applyBorder="1" applyAlignment="1">
      <alignment horizontal="center" vertical="center"/>
    </xf>
    <xf numFmtId="0" fontId="93" fillId="16" borderId="21" xfId="0" applyFont="1" applyFill="1" applyBorder="1" applyAlignment="1">
      <alignment horizontal="center" vertical="center"/>
    </xf>
    <xf numFmtId="0" fontId="93" fillId="16" borderId="22" xfId="0" applyFont="1" applyFill="1" applyBorder="1" applyAlignment="1">
      <alignment horizontal="center" vertical="center"/>
    </xf>
    <xf numFmtId="10" fontId="0" fillId="4" borderId="2" xfId="3" applyNumberFormat="1" applyFont="1" applyFill="1" applyBorder="1" applyAlignment="1" applyProtection="1">
      <alignment horizontal="center" vertical="center"/>
      <protection hidden="1"/>
    </xf>
    <xf numFmtId="10" fontId="0" fillId="4" borderId="3" xfId="3" applyNumberFormat="1" applyFont="1" applyFill="1" applyBorder="1" applyAlignment="1" applyProtection="1">
      <alignment horizontal="center" vertical="center"/>
      <protection hidden="1"/>
    </xf>
    <xf numFmtId="10" fontId="0" fillId="4" borderId="6" xfId="3" applyNumberFormat="1" applyFont="1" applyFill="1" applyBorder="1" applyAlignment="1" applyProtection="1">
      <alignment horizontal="center" vertical="center"/>
      <protection hidden="1"/>
    </xf>
    <xf numFmtId="10" fontId="0" fillId="4" borderId="7" xfId="3" applyNumberFormat="1" applyFont="1" applyFill="1" applyBorder="1" applyAlignment="1" applyProtection="1">
      <alignment horizontal="center" vertical="center"/>
      <protection hidden="1"/>
    </xf>
    <xf numFmtId="0" fontId="151" fillId="4" borderId="19" xfId="2" applyNumberFormat="1" applyFont="1" applyFill="1" applyBorder="1" applyAlignment="1" applyProtection="1">
      <alignment horizontal="center" vertical="center"/>
    </xf>
    <xf numFmtId="0" fontId="151" fillId="4" borderId="0" xfId="2" applyNumberFormat="1" applyFont="1" applyFill="1" applyBorder="1" applyAlignment="1" applyProtection="1">
      <alignment horizontal="center" vertical="center"/>
    </xf>
    <xf numFmtId="0" fontId="151" fillId="4" borderId="15" xfId="2" applyNumberFormat="1" applyFont="1" applyFill="1" applyBorder="1" applyAlignment="1" applyProtection="1">
      <alignment horizontal="center" vertical="center"/>
    </xf>
    <xf numFmtId="0" fontId="49" fillId="4" borderId="19" xfId="2" applyNumberFormat="1" applyFill="1" applyBorder="1" applyAlignment="1" applyProtection="1">
      <alignment horizontal="left" vertical="center" textRotation="180" wrapText="1"/>
    </xf>
    <xf numFmtId="0" fontId="115" fillId="4" borderId="19" xfId="0" applyFont="1" applyFill="1" applyBorder="1" applyAlignment="1">
      <alignment horizontal="left" vertical="center" textRotation="180" wrapText="1"/>
    </xf>
    <xf numFmtId="14" fontId="153" fillId="4" borderId="16" xfId="2" applyNumberFormat="1" applyFont="1" applyFill="1" applyBorder="1" applyAlignment="1" applyProtection="1">
      <alignment horizontal="center" vertical="center"/>
    </xf>
    <xf numFmtId="14" fontId="153" fillId="4" borderId="18" xfId="2" applyNumberFormat="1" applyFont="1" applyFill="1" applyBorder="1" applyAlignment="1" applyProtection="1">
      <alignment horizontal="center" vertical="center"/>
    </xf>
    <xf numFmtId="14" fontId="153" fillId="4" borderId="39" xfId="2" applyNumberFormat="1" applyFont="1" applyFill="1" applyBorder="1" applyAlignment="1" applyProtection="1">
      <alignment horizontal="center" vertical="center"/>
    </xf>
    <xf numFmtId="8" fontId="0" fillId="0" borderId="2" xfId="0" applyNumberFormat="1" applyBorder="1" applyAlignment="1" applyProtection="1">
      <alignment horizontal="center" vertical="center"/>
      <protection locked="0"/>
    </xf>
    <xf numFmtId="8" fontId="0" fillId="0" borderId="3" xfId="0" applyNumberFormat="1" applyBorder="1" applyAlignment="1" applyProtection="1">
      <alignment horizontal="center" vertical="center"/>
      <protection locked="0"/>
    </xf>
    <xf numFmtId="0" fontId="169" fillId="16" borderId="43" xfId="0" applyFont="1" applyFill="1" applyBorder="1" applyAlignment="1">
      <alignment horizontal="center" vertical="center"/>
    </xf>
    <xf numFmtId="0" fontId="169" fillId="16" borderId="23" xfId="0" applyFont="1" applyFill="1" applyBorder="1" applyAlignment="1">
      <alignment horizontal="center" vertical="center"/>
    </xf>
    <xf numFmtId="0" fontId="169" fillId="16" borderId="44" xfId="0" applyFont="1" applyFill="1" applyBorder="1" applyAlignment="1">
      <alignment horizontal="center" vertical="center"/>
    </xf>
    <xf numFmtId="14" fontId="151" fillId="4" borderId="19" xfId="2" applyNumberFormat="1" applyFont="1" applyFill="1" applyBorder="1" applyAlignment="1" applyProtection="1">
      <alignment horizontal="right" vertical="center"/>
    </xf>
    <xf numFmtId="14" fontId="151" fillId="4" borderId="0" xfId="2" applyNumberFormat="1" applyFont="1" applyFill="1" applyBorder="1" applyAlignment="1" applyProtection="1">
      <alignment horizontal="right" vertical="center"/>
    </xf>
    <xf numFmtId="14" fontId="151" fillId="4" borderId="15" xfId="2" applyNumberFormat="1" applyFont="1" applyFill="1" applyBorder="1" applyAlignment="1" applyProtection="1">
      <alignment horizontal="right" vertical="center"/>
    </xf>
    <xf numFmtId="0" fontId="0" fillId="4" borderId="4" xfId="0" applyFill="1" applyBorder="1" applyAlignment="1">
      <alignment horizontal="right" vertical="center"/>
    </xf>
    <xf numFmtId="0" fontId="0" fillId="4" borderId="2" xfId="0" applyFill="1" applyBorder="1" applyAlignment="1">
      <alignment horizontal="right" vertical="center"/>
    </xf>
    <xf numFmtId="0" fontId="93" fillId="16" borderId="4" xfId="0" applyFont="1" applyFill="1" applyBorder="1" applyAlignment="1">
      <alignment horizontal="center" vertical="center"/>
    </xf>
    <xf numFmtId="0" fontId="93" fillId="16" borderId="2" xfId="0" applyFont="1" applyFill="1" applyBorder="1" applyAlignment="1">
      <alignment horizontal="center" vertical="center"/>
    </xf>
    <xf numFmtId="0" fontId="93" fillId="16" borderId="3" xfId="0" applyFont="1" applyFill="1" applyBorder="1" applyAlignment="1">
      <alignment horizontal="center" vertical="center"/>
    </xf>
    <xf numFmtId="14" fontId="134" fillId="4" borderId="19" xfId="2" applyNumberFormat="1" applyFont="1" applyFill="1" applyBorder="1" applyAlignment="1" applyProtection="1">
      <alignment horizontal="center" vertical="center"/>
    </xf>
    <xf numFmtId="14" fontId="134" fillId="4" borderId="0" xfId="2" applyNumberFormat="1" applyFont="1" applyFill="1" applyBorder="1" applyAlignment="1" applyProtection="1">
      <alignment horizontal="center" vertical="center"/>
    </xf>
    <xf numFmtId="14" fontId="134" fillId="4" borderId="15" xfId="2" applyNumberFormat="1" applyFont="1" applyFill="1" applyBorder="1" applyAlignment="1" applyProtection="1">
      <alignment horizontal="center" vertical="center"/>
    </xf>
    <xf numFmtId="0" fontId="96" fillId="16" borderId="24" xfId="0" applyFont="1" applyFill="1" applyBorder="1" applyAlignment="1">
      <alignment horizontal="center" vertical="center" wrapText="1"/>
    </xf>
    <xf numFmtId="0" fontId="96" fillId="16" borderId="21" xfId="0" applyFont="1" applyFill="1" applyBorder="1" applyAlignment="1">
      <alignment horizontal="center" vertical="center" wrapText="1"/>
    </xf>
    <xf numFmtId="0" fontId="96" fillId="16" borderId="22" xfId="0" applyFont="1" applyFill="1" applyBorder="1" applyAlignment="1">
      <alignment horizontal="center" vertical="center" wrapText="1"/>
    </xf>
    <xf numFmtId="0" fontId="96" fillId="16" borderId="4" xfId="0" applyFont="1" applyFill="1" applyBorder="1" applyAlignment="1">
      <alignment horizontal="center" vertical="center" wrapText="1"/>
    </xf>
    <xf numFmtId="0" fontId="96" fillId="16" borderId="2" xfId="0" applyFont="1" applyFill="1" applyBorder="1" applyAlignment="1">
      <alignment horizontal="center" vertical="center" wrapText="1"/>
    </xf>
    <xf numFmtId="0" fontId="96" fillId="16" borderId="3" xfId="0" applyFont="1" applyFill="1" applyBorder="1" applyAlignment="1">
      <alignment horizontal="center" vertical="center" wrapText="1"/>
    </xf>
    <xf numFmtId="0" fontId="49" fillId="4" borderId="4" xfId="2" applyNumberFormat="1" applyFill="1" applyBorder="1" applyAlignment="1" applyProtection="1">
      <alignment horizontal="center" vertical="center"/>
    </xf>
    <xf numFmtId="0" fontId="49" fillId="4" borderId="2" xfId="2" applyNumberFormat="1" applyFill="1" applyBorder="1" applyAlignment="1" applyProtection="1">
      <alignment horizontal="center" vertical="center"/>
    </xf>
    <xf numFmtId="0" fontId="93" fillId="16" borderId="19" xfId="0" applyFont="1" applyFill="1" applyBorder="1" applyAlignment="1">
      <alignment horizontal="center" vertical="center" wrapText="1"/>
    </xf>
    <xf numFmtId="0" fontId="93" fillId="16" borderId="0" xfId="0" applyFont="1" applyFill="1" applyAlignment="1">
      <alignment horizontal="center" vertical="center" wrapText="1"/>
    </xf>
    <xf numFmtId="0" fontId="93" fillId="16" borderId="15" xfId="0" applyFont="1" applyFill="1" applyBorder="1" applyAlignment="1">
      <alignment horizontal="center" vertical="center" wrapText="1"/>
    </xf>
    <xf numFmtId="0" fontId="0" fillId="4" borderId="68" xfId="0" applyFill="1" applyBorder="1" applyAlignment="1">
      <alignment horizontal="right" vertical="center"/>
    </xf>
    <xf numFmtId="0" fontId="0" fillId="4" borderId="10" xfId="0" applyFill="1" applyBorder="1" applyAlignment="1">
      <alignment horizontal="right" vertical="center"/>
    </xf>
    <xf numFmtId="14" fontId="0" fillId="4" borderId="11" xfId="0" applyNumberFormat="1" applyFill="1" applyBorder="1" applyAlignment="1" applyProtection="1">
      <alignment horizontal="center" vertical="center" wrapText="1"/>
      <protection hidden="1"/>
    </xf>
    <xf numFmtId="14" fontId="0" fillId="4" borderId="27" xfId="0" applyNumberFormat="1" applyFill="1" applyBorder="1" applyAlignment="1" applyProtection="1">
      <alignment horizontal="center" vertical="center" wrapText="1"/>
      <protection hidden="1"/>
    </xf>
    <xf numFmtId="0" fontId="96" fillId="4" borderId="63" xfId="0" applyFont="1" applyFill="1" applyBorder="1" applyAlignment="1">
      <alignment horizontal="center" vertical="center"/>
    </xf>
    <xf numFmtId="0" fontId="96" fillId="4" borderId="78" xfId="0" applyFont="1" applyFill="1" applyBorder="1" applyAlignment="1">
      <alignment horizontal="center" vertical="center"/>
    </xf>
    <xf numFmtId="0" fontId="96" fillId="4" borderId="64" xfId="0" applyFont="1" applyFill="1" applyBorder="1" applyAlignment="1">
      <alignment horizontal="center" vertical="center"/>
    </xf>
    <xf numFmtId="14" fontId="151" fillId="4" borderId="19" xfId="2" applyNumberFormat="1" applyFont="1" applyFill="1" applyBorder="1" applyAlignment="1" applyProtection="1">
      <alignment horizontal="center" vertical="center"/>
    </xf>
    <xf numFmtId="14" fontId="151" fillId="4" borderId="0" xfId="2" applyNumberFormat="1" applyFont="1" applyFill="1" applyBorder="1" applyAlignment="1" applyProtection="1">
      <alignment horizontal="center" vertical="center"/>
    </xf>
    <xf numFmtId="14" fontId="151" fillId="4" borderId="15" xfId="2" applyNumberFormat="1" applyFont="1" applyFill="1" applyBorder="1" applyAlignment="1" applyProtection="1">
      <alignment horizontal="center" vertical="center"/>
    </xf>
    <xf numFmtId="8" fontId="0" fillId="4" borderId="2" xfId="3" applyNumberFormat="1" applyFont="1" applyFill="1" applyBorder="1" applyAlignment="1" applyProtection="1">
      <alignment horizontal="center" vertical="center"/>
      <protection hidden="1"/>
    </xf>
    <xf numFmtId="8" fontId="0" fillId="4" borderId="3" xfId="3" applyNumberFormat="1" applyFont="1" applyFill="1" applyBorder="1" applyAlignment="1" applyProtection="1">
      <alignment horizontal="center" vertical="center"/>
      <protection hidden="1"/>
    </xf>
    <xf numFmtId="8" fontId="0" fillId="4" borderId="3" xfId="0" applyNumberFormat="1" applyFill="1" applyBorder="1" applyAlignment="1" applyProtection="1">
      <alignment horizontal="center" vertical="center"/>
      <protection hidden="1"/>
    </xf>
    <xf numFmtId="10" fontId="0" fillId="4" borderId="12" xfId="3" applyNumberFormat="1" applyFont="1" applyFill="1" applyBorder="1" applyAlignment="1" applyProtection="1">
      <alignment horizontal="center" vertical="center"/>
      <protection hidden="1"/>
    </xf>
    <xf numFmtId="10" fontId="0" fillId="4" borderId="11" xfId="3" applyNumberFormat="1" applyFont="1" applyFill="1" applyBorder="1" applyAlignment="1" applyProtection="1">
      <alignment horizontal="center" vertical="center"/>
      <protection hidden="1"/>
    </xf>
    <xf numFmtId="0" fontId="134" fillId="4" borderId="0" xfId="2" applyNumberFormat="1" applyFont="1" applyFill="1" applyAlignment="1" applyProtection="1">
      <alignment horizontal="center"/>
    </xf>
    <xf numFmtId="14" fontId="152" fillId="4" borderId="19" xfId="2" applyNumberFormat="1" applyFont="1" applyFill="1" applyBorder="1" applyAlignment="1" applyProtection="1">
      <alignment horizontal="center" vertical="center"/>
    </xf>
    <xf numFmtId="14" fontId="152" fillId="4" borderId="0" xfId="2" applyNumberFormat="1" applyFont="1" applyFill="1" applyBorder="1" applyAlignment="1" applyProtection="1">
      <alignment horizontal="center" vertical="center"/>
    </xf>
    <xf numFmtId="14" fontId="152" fillId="4" borderId="15" xfId="2" applyNumberFormat="1" applyFont="1" applyFill="1" applyBorder="1" applyAlignment="1" applyProtection="1">
      <alignment horizontal="center" vertical="center"/>
    </xf>
    <xf numFmtId="14" fontId="49" fillId="4" borderId="19" xfId="2" applyNumberFormat="1" applyFill="1" applyBorder="1" applyAlignment="1" applyProtection="1">
      <alignment horizontal="center" vertical="center"/>
    </xf>
    <xf numFmtId="14" fontId="49" fillId="4" borderId="0" xfId="2" applyNumberFormat="1" applyFill="1" applyAlignment="1" applyProtection="1">
      <alignment horizontal="center" vertical="center"/>
    </xf>
    <xf numFmtId="14" fontId="49" fillId="4" borderId="15" xfId="2" applyNumberFormat="1" applyFill="1" applyBorder="1" applyAlignment="1" applyProtection="1">
      <alignment horizontal="center" vertical="center"/>
    </xf>
    <xf numFmtId="0" fontId="0" fillId="4" borderId="153" xfId="0" applyFill="1" applyBorder="1" applyAlignment="1" applyProtection="1">
      <alignment horizontal="left" vertical="center" wrapText="1"/>
      <protection hidden="1"/>
    </xf>
    <xf numFmtId="0" fontId="0" fillId="4" borderId="303" xfId="0" applyFill="1" applyBorder="1" applyAlignment="1" applyProtection="1">
      <alignment horizontal="left" vertical="center" wrapText="1"/>
      <protection hidden="1"/>
    </xf>
    <xf numFmtId="6" fontId="0" fillId="4" borderId="12" xfId="0" applyNumberFormat="1" applyFill="1" applyBorder="1" applyAlignment="1" applyProtection="1">
      <alignment horizontal="center" vertical="center" wrapText="1"/>
      <protection hidden="1"/>
    </xf>
    <xf numFmtId="6" fontId="0" fillId="4" borderId="214" xfId="0" applyNumberFormat="1" applyFill="1" applyBorder="1" applyAlignment="1" applyProtection="1">
      <alignment horizontal="center" vertical="center" wrapText="1"/>
      <protection hidden="1"/>
    </xf>
    <xf numFmtId="6" fontId="0" fillId="4" borderId="188" xfId="0" applyNumberFormat="1" applyFill="1" applyBorder="1" applyAlignment="1" applyProtection="1">
      <alignment horizontal="center" vertical="center" wrapText="1"/>
      <protection hidden="1"/>
    </xf>
    <xf numFmtId="6" fontId="0" fillId="4" borderId="212" xfId="0" applyNumberFormat="1" applyFill="1" applyBorder="1" applyAlignment="1" applyProtection="1">
      <alignment horizontal="center" vertical="center" wrapText="1"/>
      <protection hidden="1"/>
    </xf>
    <xf numFmtId="0" fontId="0" fillId="4" borderId="227" xfId="0" applyFill="1" applyBorder="1" applyAlignment="1" applyProtection="1">
      <alignment horizontal="left" vertical="top" wrapText="1"/>
      <protection hidden="1"/>
    </xf>
    <xf numFmtId="0" fontId="0" fillId="4" borderId="108" xfId="0" applyFill="1" applyBorder="1" applyAlignment="1" applyProtection="1">
      <alignment horizontal="left" vertical="top" wrapText="1"/>
      <protection hidden="1"/>
    </xf>
    <xf numFmtId="0" fontId="0" fillId="4" borderId="231" xfId="0" applyFill="1" applyBorder="1" applyAlignment="1" applyProtection="1">
      <alignment horizontal="left" vertical="top" wrapText="1"/>
      <protection hidden="1"/>
    </xf>
    <xf numFmtId="0" fontId="0" fillId="4" borderId="154" xfId="0" applyFill="1" applyBorder="1" applyAlignment="1" applyProtection="1">
      <alignment horizontal="left" vertical="top" wrapText="1"/>
      <protection hidden="1"/>
    </xf>
    <xf numFmtId="0" fontId="0" fillId="4" borderId="41" xfId="0" applyFill="1" applyBorder="1" applyAlignment="1" applyProtection="1">
      <alignment horizontal="left" vertical="top" wrapText="1"/>
      <protection hidden="1"/>
    </xf>
    <xf numFmtId="0" fontId="0" fillId="4" borderId="144" xfId="0" applyFill="1" applyBorder="1" applyAlignment="1" applyProtection="1">
      <alignment horizontal="left" vertical="top" wrapText="1"/>
      <protection hidden="1"/>
    </xf>
    <xf numFmtId="0" fontId="128" fillId="16" borderId="290" xfId="0" applyFont="1" applyFill="1" applyBorder="1" applyAlignment="1">
      <alignment horizontal="center" vertical="center" wrapText="1"/>
    </xf>
    <xf numFmtId="0" fontId="128" fillId="16" borderId="291" xfId="0" applyFont="1" applyFill="1" applyBorder="1" applyAlignment="1">
      <alignment horizontal="center" vertical="center" wrapText="1"/>
    </xf>
    <xf numFmtId="0" fontId="128" fillId="16" borderId="292" xfId="0" applyFont="1" applyFill="1" applyBorder="1" applyAlignment="1">
      <alignment horizontal="center" vertical="center" wrapText="1"/>
    </xf>
    <xf numFmtId="0" fontId="86" fillId="4" borderId="192" xfId="0" applyFont="1" applyFill="1" applyBorder="1" applyAlignment="1" applyProtection="1">
      <alignment horizontal="left" vertical="center"/>
      <protection hidden="1"/>
    </xf>
    <xf numFmtId="0" fontId="86" fillId="4" borderId="112" xfId="0" applyFont="1" applyFill="1" applyBorder="1" applyAlignment="1" applyProtection="1">
      <alignment horizontal="left" vertical="center"/>
      <protection hidden="1"/>
    </xf>
    <xf numFmtId="0" fontId="86" fillId="4" borderId="178" xfId="0" applyFont="1" applyFill="1" applyBorder="1" applyAlignment="1" applyProtection="1">
      <alignment horizontal="left" vertical="center"/>
      <protection hidden="1"/>
    </xf>
    <xf numFmtId="0" fontId="97" fillId="3" borderId="19" xfId="0" applyFont="1" applyFill="1" applyBorder="1" applyAlignment="1">
      <alignment horizontal="center" vertical="center" wrapText="1"/>
    </xf>
    <xf numFmtId="0" fontId="97" fillId="3" borderId="0" xfId="0" applyFont="1" applyFill="1" applyAlignment="1">
      <alignment horizontal="center" vertical="center" wrapText="1"/>
    </xf>
    <xf numFmtId="0" fontId="0" fillId="4" borderId="65" xfId="0" applyFill="1" applyBorder="1" applyAlignment="1">
      <alignment horizontal="right" vertical="center"/>
    </xf>
    <xf numFmtId="0" fontId="0" fillId="4" borderId="79" xfId="0" applyFill="1" applyBorder="1" applyAlignment="1">
      <alignment horizontal="right" vertical="center"/>
    </xf>
    <xf numFmtId="0" fontId="0" fillId="4" borderId="85" xfId="0" applyFill="1" applyBorder="1" applyAlignment="1" applyProtection="1">
      <alignment horizontal="center" vertical="center"/>
      <protection hidden="1"/>
    </xf>
    <xf numFmtId="0" fontId="0" fillId="4" borderId="81" xfId="0" applyFill="1" applyBorder="1" applyAlignment="1" applyProtection="1">
      <alignment horizontal="center" vertical="center"/>
      <protection hidden="1"/>
    </xf>
    <xf numFmtId="0" fontId="0" fillId="4" borderId="86" xfId="0" applyFill="1" applyBorder="1" applyAlignment="1" applyProtection="1">
      <alignment horizontal="center" vertical="center"/>
      <protection hidden="1"/>
    </xf>
    <xf numFmtId="0" fontId="0" fillId="4" borderId="30" xfId="0" applyFill="1" applyBorder="1" applyAlignment="1" applyProtection="1">
      <alignment horizontal="left" vertical="center"/>
      <protection hidden="1"/>
    </xf>
    <xf numFmtId="0" fontId="0" fillId="4" borderId="56" xfId="0" applyFill="1" applyBorder="1" applyAlignment="1" applyProtection="1">
      <alignment horizontal="left" vertical="center"/>
      <protection hidden="1"/>
    </xf>
    <xf numFmtId="6" fontId="0" fillId="4" borderId="3" xfId="0" applyNumberFormat="1" applyFill="1" applyBorder="1" applyAlignment="1" applyProtection="1">
      <alignment horizontal="center" vertical="center"/>
      <protection hidden="1"/>
    </xf>
    <xf numFmtId="0" fontId="92" fillId="4" borderId="85" xfId="0" applyFont="1" applyFill="1" applyBorder="1" applyAlignment="1" applyProtection="1">
      <alignment horizontal="center" vertical="center" wrapText="1"/>
      <protection hidden="1"/>
    </xf>
    <xf numFmtId="0" fontId="92" fillId="4" borderId="81" xfId="0" applyFont="1" applyFill="1" applyBorder="1" applyAlignment="1" applyProtection="1">
      <alignment horizontal="center" vertical="center" wrapText="1"/>
      <protection hidden="1"/>
    </xf>
    <xf numFmtId="0" fontId="92" fillId="4" borderId="86" xfId="0" applyFont="1" applyFill="1" applyBorder="1" applyAlignment="1" applyProtection="1">
      <alignment horizontal="center" vertical="center" wrapText="1"/>
      <protection hidden="1"/>
    </xf>
    <xf numFmtId="164" fontId="66" fillId="4" borderId="4" xfId="0" applyNumberFormat="1" applyFont="1" applyFill="1" applyBorder="1" applyAlignment="1" applyProtection="1">
      <alignment horizontal="left" vertical="center" wrapText="1"/>
      <protection hidden="1"/>
    </xf>
    <xf numFmtId="164" fontId="66" fillId="4" borderId="2" xfId="0" applyNumberFormat="1" applyFont="1" applyFill="1" applyBorder="1" applyAlignment="1" applyProtection="1">
      <alignment horizontal="left" vertical="center" wrapText="1"/>
      <protection hidden="1"/>
    </xf>
    <xf numFmtId="164" fontId="66" fillId="4" borderId="5" xfId="0" applyNumberFormat="1" applyFont="1" applyFill="1" applyBorder="1" applyAlignment="1" applyProtection="1">
      <alignment horizontal="left" vertical="center" wrapText="1"/>
      <protection hidden="1"/>
    </xf>
    <xf numFmtId="164" fontId="66" fillId="4" borderId="6" xfId="0" applyNumberFormat="1" applyFont="1" applyFill="1" applyBorder="1" applyAlignment="1" applyProtection="1">
      <alignment horizontal="left" vertical="center" wrapText="1"/>
      <protection hidden="1"/>
    </xf>
    <xf numFmtId="185" fontId="66" fillId="4" borderId="3" xfId="0" applyNumberFormat="1" applyFont="1" applyFill="1" applyBorder="1" applyAlignment="1" applyProtection="1">
      <alignment horizontal="center" vertical="center"/>
      <protection hidden="1"/>
    </xf>
    <xf numFmtId="185" fontId="66" fillId="4" borderId="7" xfId="0" applyNumberFormat="1" applyFont="1" applyFill="1" applyBorder="1" applyAlignment="1" applyProtection="1">
      <alignment horizontal="center" vertical="center"/>
      <protection hidden="1"/>
    </xf>
    <xf numFmtId="0" fontId="92" fillId="4" borderId="4" xfId="0" applyFont="1" applyFill="1" applyBorder="1" applyAlignment="1" applyProtection="1">
      <alignment horizontal="right" vertical="center" wrapText="1"/>
      <protection hidden="1"/>
    </xf>
    <xf numFmtId="0" fontId="92" fillId="4" borderId="2" xfId="0" applyFont="1" applyFill="1" applyBorder="1" applyAlignment="1" applyProtection="1">
      <alignment horizontal="right" vertical="center" wrapText="1"/>
      <protection hidden="1"/>
    </xf>
    <xf numFmtId="6" fontId="86" fillId="4" borderId="2" xfId="0" applyNumberFormat="1" applyFont="1" applyFill="1" applyBorder="1" applyAlignment="1" applyProtection="1">
      <alignment horizontal="center" vertical="center"/>
      <protection hidden="1"/>
    </xf>
    <xf numFmtId="10" fontId="0" fillId="0" borderId="8" xfId="3" applyNumberFormat="1" applyFont="1" applyBorder="1" applyAlignment="1">
      <alignment horizontal="center" vertical="center"/>
    </xf>
    <xf numFmtId="10" fontId="0" fillId="0" borderId="0" xfId="3" applyNumberFormat="1" applyFont="1" applyBorder="1" applyAlignment="1">
      <alignment horizontal="center" vertical="center"/>
    </xf>
    <xf numFmtId="0" fontId="0" fillId="4" borderId="2" xfId="0" applyFill="1" applyBorder="1" applyAlignment="1">
      <alignment horizontal="center" vertical="center" textRotation="90"/>
    </xf>
    <xf numFmtId="0" fontId="0" fillId="4" borderId="2" xfId="0" applyFill="1" applyBorder="1" applyAlignment="1">
      <alignment horizontal="center"/>
    </xf>
    <xf numFmtId="0" fontId="0" fillId="4" borderId="2" xfId="0" applyFill="1" applyBorder="1" applyAlignment="1">
      <alignment horizontal="right"/>
    </xf>
    <xf numFmtId="0" fontId="0" fillId="4" borderId="12" xfId="0" applyFill="1" applyBorder="1" applyAlignment="1">
      <alignment horizontal="center"/>
    </xf>
    <xf numFmtId="0" fontId="0" fillId="4" borderId="41" xfId="0" applyFill="1" applyBorder="1" applyAlignment="1">
      <alignment horizontal="center"/>
    </xf>
    <xf numFmtId="0" fontId="0" fillId="4" borderId="42" xfId="0" applyFill="1" applyBorder="1" applyAlignment="1">
      <alignment horizontal="center"/>
    </xf>
    <xf numFmtId="0" fontId="0" fillId="4" borderId="112" xfId="0" applyFill="1" applyBorder="1" applyAlignment="1">
      <alignment horizontal="center"/>
    </xf>
    <xf numFmtId="0" fontId="0" fillId="4" borderId="55" xfId="0" applyFill="1" applyBorder="1" applyAlignment="1">
      <alignment horizontal="center"/>
    </xf>
    <xf numFmtId="0" fontId="88" fillId="4" borderId="1" xfId="0" applyFont="1" applyFill="1" applyBorder="1" applyAlignment="1">
      <alignment horizontal="right"/>
    </xf>
    <xf numFmtId="0" fontId="88" fillId="4" borderId="10" xfId="0" applyFont="1" applyFill="1" applyBorder="1" applyAlignment="1">
      <alignment horizontal="right"/>
    </xf>
    <xf numFmtId="0" fontId="0" fillId="4" borderId="31" xfId="0" applyFill="1" applyBorder="1" applyAlignment="1">
      <alignment horizontal="center"/>
    </xf>
    <xf numFmtId="0" fontId="0" fillId="4" borderId="28" xfId="0" applyFill="1" applyBorder="1" applyAlignment="1">
      <alignment horizontal="center"/>
    </xf>
    <xf numFmtId="0" fontId="0" fillId="4" borderId="56" xfId="0" applyFill="1" applyBorder="1" applyAlignment="1">
      <alignment horizontal="center"/>
    </xf>
    <xf numFmtId="0" fontId="0" fillId="4" borderId="1" xfId="0" applyFill="1" applyBorder="1" applyAlignment="1">
      <alignment horizontal="right"/>
    </xf>
    <xf numFmtId="0" fontId="0" fillId="4" borderId="10" xfId="0" applyFill="1" applyBorder="1" applyAlignment="1">
      <alignment horizontal="right"/>
    </xf>
    <xf numFmtId="0" fontId="65" fillId="0" borderId="0" xfId="0" applyFont="1" applyAlignment="1">
      <alignment horizontal="center"/>
    </xf>
    <xf numFmtId="0" fontId="0" fillId="18" borderId="2" xfId="0" applyFill="1" applyBorder="1" applyAlignment="1">
      <alignment horizontal="center" vertical="center" wrapText="1"/>
    </xf>
    <xf numFmtId="0" fontId="0" fillId="23" borderId="2" xfId="0" applyFill="1" applyBorder="1" applyAlignment="1">
      <alignment horizontal="center" vertical="center" wrapText="1"/>
    </xf>
    <xf numFmtId="0" fontId="65" fillId="0" borderId="2" xfId="0" applyFont="1" applyBorder="1" applyAlignment="1">
      <alignment horizontal="center"/>
    </xf>
    <xf numFmtId="0" fontId="0" fillId="4" borderId="2" xfId="0" applyFill="1" applyBorder="1" applyAlignment="1">
      <alignment horizontal="center" vertical="center" wrapText="1"/>
    </xf>
    <xf numFmtId="0" fontId="65" fillId="0" borderId="42" xfId="0" applyFont="1" applyBorder="1" applyAlignment="1">
      <alignment horizontal="center"/>
    </xf>
    <xf numFmtId="0" fontId="65" fillId="0" borderId="31" xfId="0" applyFont="1" applyBorder="1" applyAlignment="1">
      <alignment horizontal="center"/>
    </xf>
    <xf numFmtId="0" fontId="0" fillId="0" borderId="9" xfId="0" applyBorder="1" applyAlignment="1">
      <alignment horizontal="center" vertical="center" wrapText="1"/>
    </xf>
    <xf numFmtId="0" fontId="0" fillId="0" borderId="10" xfId="0" applyBorder="1" applyAlignment="1">
      <alignment horizontal="center" vertical="center" wrapText="1"/>
    </xf>
    <xf numFmtId="8" fontId="1" fillId="6" borderId="169" xfId="0" applyNumberFormat="1" applyFont="1" applyFill="1" applyBorder="1" applyAlignment="1" applyProtection="1">
      <alignment horizontal="center" vertical="center"/>
      <protection locked="0"/>
    </xf>
    <xf numFmtId="0" fontId="267" fillId="0" borderId="0" xfId="0" applyNumberFormat="1" applyFont="1" applyAlignment="1" applyProtection="1">
      <alignment readingOrder="1"/>
      <protection locked="0"/>
    </xf>
    <xf numFmtId="0" fontId="267" fillId="0" borderId="0" xfId="0" applyNumberFormat="1" applyFont="1" applyProtection="1">
      <protection locked="0"/>
    </xf>
    <xf numFmtId="0" fontId="267" fillId="0" borderId="0" xfId="0" applyNumberFormat="1" applyFont="1" applyAlignment="1" applyProtection="1">
      <alignment horizontal="center"/>
      <protection locked="0"/>
    </xf>
    <xf numFmtId="0" fontId="268" fillId="0" borderId="0" xfId="0" applyNumberFormat="1" applyFont="1" applyAlignment="1" applyProtection="1">
      <alignment readingOrder="1"/>
      <protection locked="0"/>
    </xf>
    <xf numFmtId="0" fontId="267" fillId="0" borderId="0" xfId="0" applyNumberFormat="1" applyFont="1" applyBorder="1" applyAlignment="1" applyProtection="1">
      <alignment readingOrder="1"/>
      <protection locked="0"/>
    </xf>
    <xf numFmtId="0" fontId="269" fillId="0" borderId="0" xfId="0" applyNumberFormat="1" applyFont="1" applyBorder="1" applyAlignment="1" applyProtection="1">
      <alignment horizontal="center" vertical="center"/>
      <protection locked="0"/>
    </xf>
    <xf numFmtId="0" fontId="269" fillId="0" borderId="0" xfId="0" applyNumberFormat="1" applyFont="1" applyBorder="1" applyAlignment="1" applyProtection="1">
      <alignment horizontal="center" vertical="center" wrapText="1"/>
      <protection locked="0"/>
    </xf>
    <xf numFmtId="0" fontId="267" fillId="0" borderId="0" xfId="0" applyNumberFormat="1" applyFont="1" applyBorder="1" applyAlignment="1" applyProtection="1">
      <alignment horizontal="center" readingOrder="1"/>
      <protection locked="0"/>
    </xf>
    <xf numFmtId="0" fontId="267" fillId="0" borderId="0" xfId="0" applyNumberFormat="1" applyFont="1" applyBorder="1" applyAlignment="1" applyProtection="1">
      <alignment horizontal="center"/>
      <protection locked="0"/>
    </xf>
    <xf numFmtId="0" fontId="270" fillId="0" borderId="0" xfId="3" applyNumberFormat="1" applyFont="1" applyBorder="1" applyAlignment="1" applyProtection="1">
      <alignment vertical="center" textRotation="180" wrapText="1"/>
      <protection locked="0"/>
    </xf>
    <xf numFmtId="0" fontId="267" fillId="0" borderId="0" xfId="0" applyNumberFormat="1" applyFont="1" applyBorder="1" applyProtection="1">
      <protection locked="0"/>
    </xf>
    <xf numFmtId="0" fontId="269" fillId="0" borderId="0" xfId="0" applyNumberFormat="1" applyFont="1" applyBorder="1" applyAlignment="1" applyProtection="1">
      <alignment horizontal="right"/>
      <protection locked="0"/>
    </xf>
    <xf numFmtId="0" fontId="269" fillId="0" borderId="0" xfId="0" applyNumberFormat="1" applyFont="1" applyBorder="1" applyAlignment="1" applyProtection="1">
      <alignment horizontal="center"/>
      <protection locked="0"/>
    </xf>
    <xf numFmtId="0" fontId="267" fillId="0" borderId="0" xfId="3" applyNumberFormat="1" applyFont="1" applyProtection="1">
      <protection locked="0"/>
    </xf>
    <xf numFmtId="0" fontId="271" fillId="0" borderId="0" xfId="0" applyNumberFormat="1" applyFont="1" applyBorder="1" applyAlignment="1" applyProtection="1">
      <alignment vertical="center"/>
      <protection locked="0"/>
    </xf>
    <xf numFmtId="0" fontId="272" fillId="0" borderId="0" xfId="3" applyNumberFormat="1" applyFont="1" applyBorder="1" applyAlignment="1" applyProtection="1">
      <alignment vertical="center"/>
      <protection locked="0"/>
    </xf>
    <xf numFmtId="0" fontId="267" fillId="0" borderId="0" xfId="3" applyNumberFormat="1" applyFont="1" applyBorder="1" applyAlignment="1" applyProtection="1">
      <protection locked="0"/>
    </xf>
    <xf numFmtId="0" fontId="267" fillId="0" borderId="0" xfId="3" applyNumberFormat="1" applyFont="1" applyFill="1" applyBorder="1" applyAlignment="1" applyProtection="1">
      <alignment horizontal="center"/>
      <protection locked="0"/>
    </xf>
    <xf numFmtId="0" fontId="267" fillId="0" borderId="0" xfId="0" applyNumberFormat="1" applyFont="1"/>
    <xf numFmtId="0" fontId="269" fillId="0" borderId="0" xfId="0" applyNumberFormat="1" applyFont="1" applyProtection="1">
      <protection locked="0"/>
    </xf>
    <xf numFmtId="0" fontId="269" fillId="0" borderId="0" xfId="0" applyNumberFormat="1" applyFont="1" applyAlignment="1" applyProtection="1">
      <alignment horizontal="center"/>
      <protection locked="0"/>
    </xf>
    <xf numFmtId="0" fontId="267" fillId="0" borderId="0" xfId="0" quotePrefix="1" applyNumberFormat="1" applyFont="1" applyProtection="1">
      <protection locked="0"/>
    </xf>
  </cellXfs>
  <cellStyles count="21">
    <cellStyle name="EingabeEuro" xfId="17" xr:uid="{26163BAC-85F4-4590-93FB-187EB5C4193D}"/>
    <cellStyle name="Euro" xfId="1" xr:uid="{00000000-0005-0000-0000-000000000000}"/>
    <cellStyle name="Gesperrt" xfId="19" xr:uid="{CCCB0CD7-6920-43B8-9204-C5517526AE8A}"/>
    <cellStyle name="Komma" xfId="20" builtinId="3"/>
    <cellStyle name="Link" xfId="2" builtinId="8"/>
    <cellStyle name="Prozent" xfId="3" builtinId="5"/>
    <cellStyle name="Standard" xfId="0" builtinId="0"/>
    <cellStyle name="Standard 10" xfId="16" xr:uid="{4B7BBCBF-1245-4FD0-93D4-35DBBC7CB6CA}"/>
    <cellStyle name="Standard 2" xfId="4" xr:uid="{00000000-0005-0000-0000-000004000000}"/>
    <cellStyle name="Standard 3" xfId="5" xr:uid="{00000000-0005-0000-0000-000005000000}"/>
    <cellStyle name="Standard 4" xfId="9" xr:uid="{00000000-0005-0000-0000-000006000000}"/>
    <cellStyle name="Standard 5" xfId="11" xr:uid="{00000000-0005-0000-0000-000007000000}"/>
    <cellStyle name="Standard 6" xfId="12" xr:uid="{00000000-0005-0000-0000-000008000000}"/>
    <cellStyle name="Standard 7" xfId="13" xr:uid="{00000000-0005-0000-0000-000009000000}"/>
    <cellStyle name="Standard 8" xfId="14" xr:uid="{00000000-0005-0000-0000-00000A000000}"/>
    <cellStyle name="Standard 9" xfId="15" xr:uid="{00000000-0005-0000-0000-00000B000000}"/>
    <cellStyle name="Standard_G_Sterbetafel_FV2" xfId="6" xr:uid="{00000000-0005-0000-0000-00000C000000}"/>
    <cellStyle name="Standard_Sterbetafel_2009_11_D" xfId="10" xr:uid="{00000000-0005-0000-0000-00000E000000}"/>
    <cellStyle name="Standard_Tabelle3" xfId="7" xr:uid="{00000000-0005-0000-0000-00000F000000}"/>
    <cellStyle name="Stil 1" xfId="18" xr:uid="{D0E30724-B99D-47A8-8BEC-2911F48FDFBE}"/>
    <cellStyle name="Währung" xfId="8" builtinId="4"/>
  </cellStyles>
  <dxfs count="712">
    <dxf>
      <font>
        <b/>
        <i val="0"/>
      </font>
      <fill>
        <patternFill>
          <bgColor rgb="FFFF0000"/>
        </patternFill>
      </fill>
    </dxf>
    <dxf>
      <fill>
        <patternFill>
          <bgColor theme="4" tint="0.59996337778862885"/>
        </patternFill>
      </fill>
    </dxf>
    <dxf>
      <fill>
        <patternFill>
          <bgColor rgb="FF92D050"/>
        </patternFill>
      </fill>
    </dxf>
    <dxf>
      <font>
        <b/>
        <i val="0"/>
      </font>
    </dxf>
    <dxf>
      <border>
        <left style="thin">
          <color auto="1"/>
        </left>
        <vertical/>
        <horizontal/>
      </border>
    </dxf>
    <dxf>
      <font>
        <color theme="0"/>
      </font>
      <fill>
        <patternFill>
          <bgColor rgb="FFFF0000"/>
        </patternFill>
      </fill>
    </dxf>
    <dxf>
      <font>
        <color theme="0" tint="-4.9989318521683403E-2"/>
      </font>
    </dxf>
    <dxf>
      <fill>
        <patternFill>
          <bgColor rgb="FFFFFF00"/>
        </patternFill>
      </fill>
    </dxf>
    <dxf>
      <border>
        <right style="thin">
          <color auto="1"/>
        </right>
        <vertical/>
        <horizontal/>
      </border>
    </dxf>
    <dxf>
      <font>
        <color theme="0" tint="-4.9989318521683403E-2"/>
      </font>
      <fill>
        <patternFill>
          <bgColor theme="0" tint="-4.9989318521683403E-2"/>
        </patternFill>
      </fill>
      <border>
        <left/>
        <right/>
        <top style="thin">
          <color auto="1"/>
        </top>
        <bottom style="thin">
          <color auto="1"/>
        </bottom>
      </border>
    </dxf>
    <dxf>
      <fill>
        <patternFill patternType="none">
          <bgColor auto="1"/>
        </patternFill>
      </fill>
    </dxf>
    <dxf>
      <fill>
        <patternFill>
          <bgColor rgb="FFFFFF00"/>
        </patternFill>
      </fill>
    </dxf>
    <dxf>
      <fill>
        <patternFill>
          <bgColor rgb="FFFFFF00"/>
        </patternFill>
      </fill>
    </dxf>
    <dxf>
      <fill>
        <patternFill>
          <bgColor rgb="FFFFFF00"/>
        </patternFill>
      </fill>
    </dxf>
    <dxf>
      <font>
        <color auto="1"/>
      </font>
    </dxf>
    <dxf>
      <font>
        <color theme="0"/>
      </font>
      <fill>
        <patternFill>
          <bgColor rgb="FFFF0000"/>
        </patternFill>
      </fill>
    </dxf>
    <dxf>
      <fill>
        <patternFill>
          <bgColor rgb="FF92D050"/>
        </patternFill>
      </fill>
    </dxf>
    <dxf>
      <font>
        <b/>
        <i val="0"/>
        <strike val="0"/>
      </font>
    </dxf>
    <dxf>
      <font>
        <b/>
        <i val="0"/>
        <strike val="0"/>
      </font>
    </dxf>
    <dxf>
      <font>
        <b/>
        <i val="0"/>
      </font>
    </dxf>
    <dxf>
      <font>
        <b/>
        <i val="0"/>
      </font>
    </dxf>
    <dxf>
      <border>
        <right style="thin">
          <color auto="1"/>
        </right>
        <vertical/>
        <horizontal/>
      </border>
    </dxf>
    <dxf>
      <fill>
        <patternFill>
          <bgColor rgb="FFFFFF00"/>
        </patternFill>
      </fill>
    </dxf>
    <dxf>
      <font>
        <color theme="0" tint="-0.14996795556505021"/>
      </font>
    </dxf>
    <dxf>
      <fill>
        <patternFill>
          <bgColor rgb="FFFFFF00"/>
        </patternFill>
      </fill>
    </dxf>
    <dxf>
      <fill>
        <patternFill>
          <bgColor theme="4" tint="0.79998168889431442"/>
        </patternFill>
      </fill>
    </dxf>
    <dxf>
      <fill>
        <patternFill>
          <bgColor theme="5" tint="0.79998168889431442"/>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ont>
        <b/>
        <i val="0"/>
        <color theme="0"/>
      </font>
      <fill>
        <patternFill>
          <bgColor rgb="FFFF0000"/>
        </patternFill>
      </fill>
    </dxf>
    <dxf>
      <font>
        <b/>
        <i val="0"/>
      </font>
      <fill>
        <patternFill>
          <bgColor rgb="FF92D050"/>
        </patternFill>
      </fill>
    </dxf>
    <dxf>
      <fill>
        <patternFill>
          <bgColor theme="0" tint="-0.14996795556505021"/>
        </patternFill>
      </fill>
    </dxf>
    <dxf>
      <font>
        <color auto="1"/>
      </font>
      <fill>
        <patternFill>
          <bgColor rgb="FF92D050"/>
        </patternFill>
      </fill>
    </dxf>
    <dxf>
      <font>
        <color theme="0"/>
      </font>
      <fill>
        <patternFill>
          <bgColor rgb="FFFF0000"/>
        </patternFill>
      </fill>
    </dxf>
    <dxf>
      <fill>
        <patternFill>
          <bgColor theme="0" tint="-0.14996795556505021"/>
        </patternFill>
      </fill>
    </dxf>
    <dxf>
      <fill>
        <patternFill>
          <bgColor rgb="FFFF0000"/>
        </patternFill>
      </fill>
    </dxf>
    <dxf>
      <fill>
        <patternFill>
          <bgColor rgb="FF92D050"/>
        </patternFill>
      </fill>
    </dxf>
    <dxf>
      <fill>
        <patternFill>
          <bgColor theme="0" tint="-0.14996795556505021"/>
        </patternFill>
      </fill>
    </dxf>
    <dxf>
      <fill>
        <patternFill>
          <bgColor theme="4" tint="0.59996337778862885"/>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ont>
        <color theme="0" tint="-0.499984740745262"/>
      </font>
    </dxf>
    <dxf>
      <fill>
        <patternFill>
          <bgColor rgb="FFFF7C80"/>
        </patternFill>
      </fill>
    </dxf>
    <dxf>
      <fill>
        <patternFill>
          <bgColor rgb="FF92D050"/>
        </patternFill>
      </fill>
    </dxf>
    <dxf>
      <fill>
        <patternFill>
          <bgColor rgb="FFFF7C80"/>
        </patternFill>
      </fill>
    </dxf>
    <dxf>
      <fill>
        <patternFill>
          <bgColor rgb="FF92D050"/>
        </patternFill>
      </fill>
    </dxf>
    <dxf>
      <fill>
        <patternFill>
          <bgColor rgb="FFFF7C80"/>
        </patternFill>
      </fill>
    </dxf>
    <dxf>
      <fill>
        <patternFill>
          <bgColor rgb="FF92D050"/>
        </patternFill>
      </fill>
    </dxf>
    <dxf>
      <fill>
        <patternFill>
          <bgColor rgb="FFFF7C80"/>
        </patternFill>
      </fill>
    </dxf>
    <dxf>
      <fill>
        <patternFill>
          <bgColor rgb="FF92D050"/>
        </patternFill>
      </fill>
    </dxf>
    <dxf>
      <fill>
        <patternFill>
          <bgColor theme="9" tint="0.59996337778862885"/>
        </patternFill>
      </fill>
    </dxf>
    <dxf>
      <fill>
        <patternFill>
          <bgColor theme="5" tint="0.59996337778862885"/>
        </patternFill>
      </fill>
    </dxf>
    <dxf>
      <fill>
        <patternFill>
          <bgColor theme="4" tint="0.59996337778862885"/>
        </patternFill>
      </fill>
    </dxf>
    <dxf>
      <fill>
        <patternFill>
          <bgColor rgb="FFFF0000"/>
        </patternFill>
      </fill>
    </dxf>
    <dxf>
      <fill>
        <patternFill>
          <bgColor rgb="FF92D050"/>
        </patternFill>
      </fill>
    </dxf>
    <dxf>
      <fill>
        <patternFill>
          <bgColor theme="0" tint="-0.14996795556505021"/>
        </patternFill>
      </fill>
    </dxf>
    <dxf>
      <fill>
        <patternFill>
          <bgColor rgb="FFFFFF00"/>
        </patternFill>
      </fill>
    </dxf>
    <dxf>
      <fill>
        <patternFill>
          <bgColor theme="5"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4" tint="0.59996337778862885"/>
        </patternFill>
      </fill>
    </dxf>
    <dxf>
      <font>
        <color theme="0" tint="-0.14996795556505021"/>
      </font>
      <fill>
        <patternFill>
          <bgColor theme="0" tint="-0.14996795556505021"/>
        </patternFill>
      </fill>
      <border>
        <left style="thin">
          <color theme="1"/>
        </left>
        <right style="thin">
          <color theme="1"/>
        </right>
        <top style="thin">
          <color theme="1"/>
        </top>
        <bottom style="thin">
          <color theme="1"/>
        </bottom>
        <vertical/>
        <horizontal/>
      </border>
    </dxf>
    <dxf>
      <font>
        <color theme="0" tint="-0.499984740745262"/>
      </font>
      <fill>
        <patternFill>
          <bgColor theme="0" tint="-0.14996795556505021"/>
        </patternFill>
      </fill>
    </dxf>
    <dxf>
      <font>
        <color rgb="FFFF0000"/>
      </font>
    </dxf>
    <dxf>
      <fill>
        <patternFill>
          <bgColor rgb="FFFFFF00"/>
        </patternFill>
      </fill>
    </dxf>
    <dxf>
      <fill>
        <patternFill>
          <bgColor theme="0" tint="-0.14996795556505021"/>
        </patternFill>
      </fill>
    </dxf>
    <dxf>
      <fill>
        <patternFill>
          <bgColor rgb="FF92D050"/>
        </patternFill>
      </fill>
    </dxf>
    <dxf>
      <fill>
        <patternFill>
          <bgColor rgb="FFFF0000"/>
        </patternFill>
      </fill>
    </dxf>
    <dxf>
      <fill>
        <patternFill>
          <bgColor rgb="FFFFFF00"/>
        </patternFill>
      </fill>
    </dxf>
    <dxf>
      <fill>
        <patternFill>
          <bgColor theme="0" tint="-0.14996795556505021"/>
        </patternFill>
      </fill>
    </dxf>
    <dxf>
      <fill>
        <patternFill>
          <bgColor theme="0" tint="-0.14996795556505021"/>
        </patternFill>
      </fill>
    </dxf>
    <dxf>
      <numFmt numFmtId="197" formatCode="#,##0.0000\ [$EP];[Red]\-#,##0.0000\ [$EP]"/>
    </dxf>
    <dxf>
      <fill>
        <patternFill>
          <bgColor rgb="FF92D050"/>
        </patternFill>
      </fill>
    </dxf>
    <dxf>
      <fill>
        <patternFill>
          <bgColor rgb="FF92D050"/>
        </patternFill>
      </fill>
    </dxf>
    <dxf>
      <fill>
        <patternFill>
          <bgColor theme="0" tint="-0.14996795556505021"/>
        </patternFill>
      </fill>
    </dxf>
    <dxf>
      <fill>
        <patternFill>
          <bgColor rgb="FFFF0000"/>
        </patternFill>
      </fill>
    </dxf>
    <dxf>
      <fill>
        <patternFill>
          <bgColor rgb="FFFFFF00"/>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00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92D050"/>
        </patternFill>
      </fill>
    </dxf>
    <dxf>
      <fill>
        <patternFill>
          <bgColor rgb="FFFF0000"/>
        </patternFill>
      </fill>
    </dxf>
    <dxf>
      <fill>
        <patternFill>
          <bgColor theme="0" tint="-0.14996795556505021"/>
        </patternFill>
      </fill>
    </dxf>
    <dxf>
      <numFmt numFmtId="197" formatCode="#,##0.0000\ [$EP];[Red]\-#,##0.0000\ [$EP]"/>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theme="0" tint="-0.14996795556505021"/>
        </patternFill>
      </fill>
    </dxf>
    <dxf>
      <numFmt numFmtId="181" formatCode="#,##0.0000_)\ [$EP];[Red]\-#,##0.0000_)\ [$EP]"/>
    </dxf>
    <dxf>
      <fill>
        <patternFill>
          <bgColor theme="5" tint="0.79998168889431442"/>
        </patternFill>
      </fill>
    </dxf>
    <dxf>
      <fill>
        <patternFill>
          <bgColor rgb="FFFFFF00"/>
        </patternFill>
      </fill>
    </dxf>
    <dxf>
      <fill>
        <patternFill>
          <bgColor rgb="FFFFFF00"/>
        </patternFill>
      </fill>
    </dxf>
    <dxf>
      <fill>
        <patternFill>
          <bgColor theme="4" tint="0.59996337778862885"/>
        </patternFill>
      </fill>
    </dxf>
    <dxf>
      <fill>
        <patternFill>
          <bgColor rgb="FFFFC000"/>
        </patternFill>
      </fill>
    </dxf>
    <dxf>
      <fill>
        <patternFill>
          <bgColor rgb="FF92D050"/>
        </patternFill>
      </fill>
    </dxf>
    <dxf>
      <fill>
        <patternFill>
          <bgColor rgb="FFFF0000"/>
        </patternFill>
      </fill>
    </dxf>
    <dxf>
      <fill>
        <patternFill>
          <bgColor theme="0" tint="-0.14996795556505021"/>
        </patternFill>
      </fill>
    </dxf>
    <dxf>
      <fill>
        <patternFill>
          <bgColor rgb="FF92D050"/>
        </patternFill>
      </fill>
    </dxf>
    <dxf>
      <fill>
        <patternFill>
          <bgColor theme="0" tint="-0.14996795556505021"/>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rgb="FFFF0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0" tint="-0.1499679555650502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0" tint="-0.14996795556505021"/>
        </patternFill>
      </fill>
    </dxf>
    <dxf>
      <fill>
        <patternFill>
          <bgColor rgb="FFFFC000"/>
        </patternFill>
      </fill>
    </dxf>
    <dxf>
      <fill>
        <patternFill>
          <bgColor rgb="FF92D050"/>
        </patternFill>
      </fill>
    </dxf>
    <dxf>
      <fill>
        <patternFill>
          <bgColor theme="4" tint="0.59996337778862885"/>
        </patternFill>
      </fill>
    </dxf>
    <dxf>
      <fill>
        <patternFill>
          <bgColor rgb="FFFFFF00"/>
        </patternFill>
      </fill>
    </dxf>
    <dxf>
      <fill>
        <patternFill>
          <bgColor rgb="FFFFFF00"/>
        </patternFill>
      </fill>
    </dxf>
    <dxf>
      <fill>
        <patternFill>
          <bgColor rgb="FFFFFF00"/>
        </patternFill>
      </fill>
    </dxf>
    <dxf>
      <fill>
        <patternFill>
          <bgColor rgb="FFFFFF00"/>
        </patternFill>
      </fill>
    </dxf>
    <dxf>
      <numFmt numFmtId="184" formatCode="#,##0.00\ &quot;€&quot;"/>
    </dxf>
    <dxf>
      <fill>
        <patternFill>
          <bgColor rgb="FFFFFF00"/>
        </patternFill>
      </fill>
    </dxf>
    <dxf>
      <fill>
        <patternFill>
          <bgColor rgb="FF92D050"/>
        </patternFill>
      </fill>
    </dxf>
    <dxf>
      <fill>
        <patternFill>
          <bgColor rgb="FFFF0000"/>
        </patternFill>
      </fill>
    </dxf>
    <dxf>
      <fill>
        <patternFill>
          <bgColor theme="4" tint="0.59996337778862885"/>
        </patternFill>
      </fill>
    </dxf>
    <dxf>
      <font>
        <color theme="1"/>
      </font>
      <fill>
        <patternFill>
          <bgColor theme="4" tint="0.59996337778862885"/>
        </patternFill>
      </fill>
    </dxf>
    <dxf>
      <fill>
        <patternFill>
          <bgColor rgb="FFFFFF00"/>
        </patternFill>
      </fill>
    </dxf>
    <dxf>
      <fill>
        <patternFill>
          <bgColor rgb="FFFFFF00"/>
        </patternFill>
      </fill>
    </dxf>
    <dxf>
      <fill>
        <patternFill>
          <bgColor rgb="FFFFFF00"/>
        </patternFill>
      </fill>
    </dxf>
    <dxf>
      <font>
        <strike val="0"/>
        <color theme="1"/>
      </font>
      <fill>
        <patternFill patternType="none">
          <bgColor auto="1"/>
        </patternFill>
      </fill>
    </dxf>
    <dxf>
      <font>
        <strike val="0"/>
        <color theme="0" tint="-4.9989318521683403E-2"/>
      </font>
      <fill>
        <patternFill>
          <bgColor theme="0" tint="-4.9989318521683403E-2"/>
        </patternFill>
      </fill>
    </dxf>
    <dxf>
      <font>
        <color theme="0" tint="-4.9989318521683403E-2"/>
      </font>
      <fill>
        <patternFill>
          <bgColor theme="0" tint="-4.9989318521683403E-2"/>
        </patternFill>
      </fill>
    </dxf>
    <dxf>
      <font>
        <strike val="0"/>
        <color theme="0" tint="-4.9989318521683403E-2"/>
      </font>
      <fill>
        <patternFill>
          <bgColor theme="0" tint="-4.9989318521683403E-2"/>
        </patternFill>
      </fill>
    </dxf>
    <dxf>
      <font>
        <b/>
        <i val="0"/>
        <color theme="0"/>
      </font>
      <fill>
        <patternFill>
          <bgColor rgb="FFFF0000"/>
        </patternFill>
      </fill>
    </dxf>
    <dxf>
      <font>
        <color theme="0" tint="-4.9989318521683403E-2"/>
      </font>
    </dxf>
    <dxf>
      <fill>
        <patternFill>
          <bgColor rgb="FFFFFF00"/>
        </patternFill>
      </fill>
    </dxf>
    <dxf>
      <fill>
        <patternFill>
          <bgColor rgb="FFFFFF00"/>
        </patternFill>
      </fill>
    </dxf>
    <dxf>
      <font>
        <color theme="0" tint="-4.9989318521683403E-2"/>
      </font>
    </dxf>
    <dxf>
      <fill>
        <patternFill>
          <bgColor rgb="FFFFFF00"/>
        </patternFill>
      </fill>
    </dxf>
    <dxf>
      <fill>
        <patternFill>
          <bgColor rgb="FFFFFF00"/>
        </patternFill>
      </fill>
    </dxf>
    <dxf>
      <fill>
        <patternFill>
          <bgColor theme="0" tint="-4.9989318521683403E-2"/>
        </patternFill>
      </fill>
    </dxf>
    <dxf>
      <fill>
        <patternFill>
          <bgColor theme="4" tint="0.79998168889431442"/>
        </patternFill>
      </fill>
    </dxf>
    <dxf>
      <fill>
        <patternFill>
          <bgColor theme="5" tint="0.79998168889431442"/>
        </patternFill>
      </fill>
    </dxf>
    <dxf>
      <fill>
        <patternFill>
          <bgColor theme="9" tint="0.79998168889431442"/>
        </patternFill>
      </fill>
    </dxf>
    <dxf>
      <fill>
        <patternFill>
          <bgColor rgb="FFFFFF00"/>
        </patternFill>
      </fill>
    </dxf>
    <dxf>
      <font>
        <b/>
        <i val="0"/>
        <color theme="1"/>
      </font>
    </dxf>
    <dxf>
      <font>
        <b/>
        <i val="0"/>
        <color theme="1"/>
      </font>
    </dxf>
    <dxf>
      <fill>
        <patternFill>
          <bgColor rgb="FFFFFF00"/>
        </patternFill>
      </fill>
    </dxf>
    <dxf>
      <fill>
        <patternFill>
          <bgColor theme="4" tint="0.79998168889431442"/>
        </patternFill>
      </fill>
    </dxf>
    <dxf>
      <fill>
        <patternFill>
          <bgColor theme="5" tint="0.79998168889431442"/>
        </patternFill>
      </fill>
    </dxf>
    <dxf>
      <fill>
        <patternFill>
          <bgColor theme="9" tint="0.79998168889431442"/>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theme="0" tint="-4.9989318521683403E-2"/>
        </patternFill>
      </fill>
    </dxf>
    <dxf>
      <fill>
        <patternFill>
          <bgColor rgb="FFFFFF00"/>
        </patternFill>
      </fill>
    </dxf>
    <dxf>
      <fill>
        <patternFill>
          <bgColor rgb="FFFFFF00"/>
        </patternFill>
      </fill>
    </dxf>
    <dxf>
      <fill>
        <patternFill>
          <bgColor theme="8" tint="0.79998168889431442"/>
        </patternFill>
      </fill>
    </dxf>
    <dxf>
      <fill>
        <patternFill>
          <bgColor theme="5" tint="0.79998168889431442"/>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theme="8" tint="0.79998168889431442"/>
        </patternFill>
      </fill>
    </dxf>
    <dxf>
      <fill>
        <patternFill>
          <bgColor theme="5" tint="0.79998168889431442"/>
        </patternFill>
      </fill>
    </dxf>
    <dxf>
      <fill>
        <patternFill>
          <bgColor theme="9" tint="0.79998168889431442"/>
        </patternFill>
      </fill>
    </dxf>
    <dxf>
      <font>
        <color theme="0" tint="-4.9989318521683403E-2"/>
      </font>
      <fill>
        <patternFill>
          <bgColor theme="0" tint="-4.9989318521683403E-2"/>
        </patternFill>
      </fill>
    </dxf>
    <dxf>
      <font>
        <strike/>
        <color rgb="FFFF0000"/>
      </font>
      <fill>
        <patternFill>
          <bgColor theme="0" tint="-4.9989318521683403E-2"/>
        </patternFill>
      </fill>
    </dxf>
    <dxf>
      <fill>
        <patternFill>
          <bgColor rgb="FFFFFF00"/>
        </patternFill>
      </fill>
    </dxf>
    <dxf>
      <font>
        <strike/>
        <color rgb="FFFF3300"/>
      </font>
      <fill>
        <patternFill>
          <bgColor theme="0" tint="-4.9989318521683403E-2"/>
        </patternFill>
      </fill>
    </dxf>
    <dxf>
      <font>
        <b/>
        <i val="0"/>
        <color auto="1"/>
      </font>
      <fill>
        <patternFill>
          <bgColor rgb="FFFFC000"/>
        </patternFill>
      </fill>
      <border>
        <left style="thin">
          <color auto="1"/>
        </left>
      </border>
    </dxf>
    <dxf>
      <font>
        <b/>
        <i val="0"/>
        <color auto="1"/>
      </font>
      <fill>
        <patternFill>
          <bgColor rgb="FFFFC000"/>
        </patternFill>
      </fill>
      <border>
        <left style="thin">
          <color auto="1"/>
        </left>
        <right style="thin">
          <color auto="1"/>
        </right>
      </border>
    </dxf>
    <dxf>
      <font>
        <b/>
        <i val="0"/>
        <color theme="0"/>
      </font>
      <fill>
        <patternFill>
          <bgColor rgb="FFFF0000"/>
        </patternFill>
      </fill>
    </dxf>
    <dxf>
      <font>
        <b/>
        <i val="0"/>
        <color auto="1"/>
      </font>
      <fill>
        <patternFill>
          <bgColor rgb="FFFFC000"/>
        </patternFill>
      </fill>
      <border>
        <left style="thin">
          <color auto="1"/>
        </left>
        <right style="thin">
          <color auto="1"/>
        </right>
      </border>
    </dxf>
    <dxf>
      <font>
        <b/>
        <i val="0"/>
        <color theme="0"/>
      </font>
      <fill>
        <patternFill>
          <bgColor rgb="FFFF0000"/>
        </patternFill>
      </fill>
    </dxf>
    <dxf>
      <fill>
        <patternFill>
          <bgColor theme="8" tint="0.79998168889431442"/>
        </patternFill>
      </fill>
    </dxf>
    <dxf>
      <fill>
        <patternFill>
          <bgColor rgb="FFFFC000"/>
        </patternFill>
      </fill>
    </dxf>
    <dxf>
      <fill>
        <patternFill>
          <bgColor theme="0" tint="-4.9989318521683403E-2"/>
        </patternFill>
      </fill>
    </dxf>
    <dxf>
      <fill>
        <patternFill>
          <bgColor theme="0" tint="-4.9989318521683403E-2"/>
        </patternFill>
      </fill>
    </dxf>
    <dxf>
      <font>
        <color theme="0" tint="-0.14996795556505021"/>
      </font>
    </dxf>
    <dxf>
      <font>
        <color theme="0" tint="-0.14996795556505021"/>
      </font>
    </dxf>
    <dxf>
      <fill>
        <patternFill>
          <bgColor theme="4" tint="0.59996337778862885"/>
        </patternFill>
      </fill>
    </dxf>
    <dxf>
      <border>
        <bottom style="thin">
          <color auto="1"/>
        </bottom>
        <vertical/>
        <horizontal/>
      </border>
    </dxf>
    <dxf>
      <font>
        <color theme="1"/>
      </font>
      <fill>
        <patternFill>
          <bgColor theme="0" tint="-0.14996795556505021"/>
        </patternFill>
      </fill>
    </dxf>
    <dxf>
      <border>
        <bottom style="thin">
          <color auto="1"/>
        </bottom>
        <vertical/>
        <horizontal/>
      </border>
    </dxf>
    <dxf>
      <fill>
        <patternFill>
          <bgColor theme="5" tint="0.79998168889431442"/>
        </patternFill>
      </fill>
    </dxf>
    <dxf>
      <fill>
        <patternFill>
          <bgColor theme="5" tint="0.79998168889431442"/>
        </patternFill>
      </fill>
    </dxf>
    <dxf>
      <font>
        <color theme="1"/>
      </font>
      <fill>
        <patternFill>
          <bgColor theme="0" tint="-0.14996795556505021"/>
        </patternFill>
      </fill>
    </dxf>
    <dxf>
      <font>
        <color theme="1"/>
      </font>
    </dxf>
    <dxf>
      <font>
        <color theme="0" tint="-0.14996795556505021"/>
      </font>
      <fill>
        <patternFill>
          <bgColor theme="0" tint="-0.14996795556505021"/>
        </patternFill>
      </fill>
      <border>
        <top/>
        <bottom/>
      </border>
    </dxf>
    <dxf>
      <fill>
        <patternFill>
          <bgColor rgb="FFFFFF00"/>
        </patternFill>
      </fill>
      <border>
        <top style="thin">
          <color auto="1"/>
        </top>
        <bottom style="thin">
          <color auto="1"/>
        </bottom>
      </border>
    </dxf>
    <dxf>
      <font>
        <color theme="1"/>
      </font>
      <fill>
        <patternFill patternType="none">
          <bgColor auto="1"/>
        </patternFill>
      </fill>
      <border>
        <top style="thin">
          <color auto="1"/>
        </top>
        <bottom style="thin">
          <color auto="1"/>
        </bottom>
      </border>
    </dxf>
    <dxf>
      <font>
        <color auto="1"/>
      </font>
      <fill>
        <patternFill patternType="none">
          <bgColor auto="1"/>
        </patternFill>
      </fill>
    </dxf>
    <dxf>
      <border>
        <bottom style="thin">
          <color auto="1"/>
        </bottom>
        <vertical/>
        <horizontal/>
      </border>
    </dxf>
    <dxf>
      <font>
        <color theme="0" tint="-0.14996795556505021"/>
      </font>
    </dxf>
    <dxf>
      <font>
        <color theme="0" tint="-0.14996795556505021"/>
      </font>
      <fill>
        <patternFill>
          <bgColor theme="0" tint="-0.14996795556505021"/>
        </patternFill>
      </fill>
    </dxf>
    <dxf>
      <fill>
        <patternFill patternType="none">
          <bgColor auto="1"/>
        </patternFill>
      </fill>
    </dxf>
    <dxf>
      <font>
        <color theme="1"/>
      </font>
    </dxf>
    <dxf>
      <fill>
        <patternFill patternType="none">
          <bgColor auto="1"/>
        </patternFill>
      </fill>
    </dxf>
    <dxf>
      <fill>
        <patternFill>
          <bgColor theme="0" tint="-0.14996795556505021"/>
        </patternFill>
      </fill>
    </dxf>
    <dxf>
      <font>
        <color theme="0" tint="-0.14996795556505021"/>
      </font>
    </dxf>
    <dxf>
      <font>
        <color theme="0" tint="-0.14996795556505021"/>
      </font>
      <fill>
        <patternFill>
          <bgColor theme="0" tint="-0.14996795556505021"/>
        </patternFill>
      </fill>
      <border>
        <top/>
        <bottom style="thin">
          <color auto="1"/>
        </bottom>
      </border>
    </dxf>
    <dxf>
      <fill>
        <patternFill>
          <bgColor theme="0" tint="-0.14996795556505021"/>
        </patternFill>
      </fill>
      <border>
        <top style="thin">
          <color auto="1"/>
        </top>
        <bottom style="thin">
          <color auto="1"/>
        </bottom>
      </border>
    </dxf>
    <dxf>
      <font>
        <color theme="0" tint="-0.14996795556505021"/>
      </font>
    </dxf>
    <dxf>
      <fill>
        <patternFill>
          <bgColor theme="5" tint="0.79998168889431442"/>
        </patternFill>
      </fill>
    </dxf>
    <dxf>
      <fill>
        <patternFill>
          <bgColor theme="5" tint="0.79998168889431442"/>
        </patternFill>
      </fill>
    </dxf>
    <dxf>
      <border>
        <bottom style="thin">
          <color auto="1"/>
        </bottom>
        <vertical/>
        <horizontal/>
      </border>
    </dxf>
    <dxf>
      <font>
        <color theme="0" tint="-0.14996795556505021"/>
      </font>
    </dxf>
    <dxf>
      <font>
        <color theme="0" tint="-0.14996795556505021"/>
      </font>
    </dxf>
    <dxf>
      <fill>
        <patternFill>
          <bgColor theme="0" tint="-0.14996795556505021"/>
        </patternFill>
      </fill>
    </dxf>
    <dxf>
      <font>
        <color theme="0" tint="-0.14996795556505021"/>
      </font>
    </dxf>
    <dxf>
      <font>
        <color theme="0" tint="-0.14996795556505021"/>
      </font>
      <fill>
        <patternFill>
          <bgColor theme="0" tint="-0.14996795556505021"/>
        </patternFill>
      </fill>
      <border>
        <top/>
        <bottom style="thin">
          <color auto="1"/>
        </bottom>
      </border>
    </dxf>
    <dxf>
      <font>
        <color theme="0" tint="-0.14996795556505021"/>
      </font>
      <fill>
        <patternFill>
          <bgColor theme="0" tint="-0.14996795556505021"/>
        </patternFill>
      </fill>
      <border>
        <bottom style="thin">
          <color auto="1"/>
        </bottom>
      </border>
    </dxf>
    <dxf>
      <font>
        <color theme="0" tint="-0.14996795556505021"/>
      </font>
      <border>
        <top style="thin">
          <color auto="1"/>
        </top>
        <bottom style="thin">
          <color auto="1"/>
        </bottom>
      </border>
    </dxf>
    <dxf>
      <font>
        <color theme="0" tint="-0.14996795556505021"/>
      </font>
      <fill>
        <patternFill>
          <bgColor theme="0" tint="-0.14996795556505021"/>
        </patternFill>
      </fill>
      <border>
        <top style="thin">
          <color auto="1"/>
        </top>
        <bottom/>
      </border>
    </dxf>
    <dxf>
      <font>
        <color theme="0" tint="-0.14996795556505021"/>
      </font>
      <border>
        <top style="thin">
          <color auto="1"/>
        </top>
        <bottom/>
      </border>
    </dxf>
    <dxf>
      <numFmt numFmtId="184" formatCode="#,##0.00\ &quot;€&quot;"/>
    </dxf>
    <dxf>
      <font>
        <color theme="0" tint="-0.14996795556505021"/>
      </font>
      <fill>
        <patternFill>
          <bgColor theme="0" tint="-0.14996795556505021"/>
        </patternFill>
      </fill>
    </dxf>
    <dxf>
      <fill>
        <patternFill>
          <bgColor theme="0" tint="-0.14996795556505021"/>
        </patternFill>
      </fill>
    </dxf>
    <dxf>
      <font>
        <color theme="0" tint="-0.14996795556505021"/>
      </font>
    </dxf>
    <dxf>
      <fill>
        <patternFill>
          <bgColor theme="5" tint="0.79998168889431442"/>
        </patternFill>
      </fill>
    </dxf>
    <dxf>
      <font>
        <color theme="0" tint="-0.14996795556505021"/>
      </font>
      <border>
        <top/>
        <bottom/>
        <vertical/>
        <horizontal/>
      </border>
    </dxf>
    <dxf>
      <font>
        <color theme="0" tint="-0.14996795556505021"/>
      </font>
      <border>
        <top style="thin">
          <color auto="1"/>
        </top>
        <bottom style="thin">
          <color auto="1"/>
        </bottom>
        <vertical/>
        <horizontal/>
      </border>
    </dxf>
    <dxf>
      <font>
        <color theme="1"/>
      </font>
      <fill>
        <patternFill patternType="none">
          <bgColor auto="1"/>
        </patternFill>
      </fill>
    </dxf>
    <dxf>
      <font>
        <b/>
        <i val="0"/>
        <color theme="0"/>
      </font>
      <fill>
        <patternFill>
          <bgColor rgb="FFFF0000"/>
        </patternFill>
      </fill>
    </dxf>
    <dxf>
      <font>
        <color theme="0" tint="-0.14996795556505021"/>
      </font>
      <fill>
        <patternFill>
          <bgColor theme="0" tint="-0.14996795556505021"/>
        </patternFill>
      </fill>
      <border>
        <top style="thin">
          <color auto="1"/>
        </top>
        <bottom/>
      </border>
    </dxf>
    <dxf>
      <fill>
        <patternFill>
          <bgColor rgb="FF92D050"/>
        </patternFill>
      </fill>
    </dxf>
    <dxf>
      <fill>
        <patternFill>
          <bgColor theme="0" tint="-0.14996795556505021"/>
        </patternFill>
      </fill>
    </dxf>
    <dxf>
      <border>
        <bottom style="thin">
          <color auto="1"/>
        </bottom>
        <vertical/>
        <horizontal/>
      </border>
    </dxf>
    <dxf>
      <fill>
        <patternFill>
          <bgColor rgb="FFFFC000"/>
        </patternFill>
      </fill>
    </dxf>
    <dxf>
      <fill>
        <patternFill>
          <bgColor rgb="FFFFFF00"/>
        </patternFill>
      </fill>
    </dxf>
    <dxf>
      <fill>
        <patternFill>
          <bgColor rgb="FFFFC000"/>
        </patternFill>
      </fill>
    </dxf>
    <dxf>
      <fill>
        <patternFill>
          <bgColor rgb="FFFFC000"/>
        </patternFill>
      </fill>
    </dxf>
    <dxf>
      <fill>
        <patternFill>
          <bgColor theme="9" tint="0.79998168889431442"/>
        </patternFill>
      </fill>
    </dxf>
    <dxf>
      <fill>
        <patternFill>
          <bgColor theme="9" tint="0.79998168889431442"/>
        </patternFill>
      </fill>
    </dxf>
    <dxf>
      <fill>
        <patternFill>
          <bgColor rgb="FFFFFF00"/>
        </patternFill>
      </fill>
    </dxf>
    <dxf>
      <fill>
        <patternFill>
          <bgColor rgb="FFFFC000"/>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E7F72"/>
        </patternFill>
      </fill>
    </dxf>
    <dxf>
      <font>
        <color theme="0" tint="-0.34998626667073579"/>
      </font>
    </dxf>
    <dxf>
      <fill>
        <patternFill>
          <bgColor rgb="FFFFFF00"/>
        </patternFill>
      </fill>
    </dxf>
    <dxf>
      <font>
        <color theme="0" tint="-0.34998626667073579"/>
      </font>
    </dxf>
    <dxf>
      <font>
        <color theme="0"/>
      </font>
      <fill>
        <patternFill>
          <bgColor rgb="FFFF0000"/>
        </patternFill>
      </fill>
    </dxf>
    <dxf>
      <font>
        <color auto="1"/>
      </font>
      <fill>
        <patternFill>
          <bgColor rgb="FF92D050"/>
        </patternFill>
      </fill>
    </dxf>
    <dxf>
      <font>
        <color theme="0" tint="-0.14996795556505021"/>
      </font>
      <fill>
        <patternFill>
          <bgColor theme="0" tint="-0.14996795556505021"/>
        </patternFill>
      </fill>
    </dxf>
    <dxf>
      <fill>
        <patternFill>
          <bgColor rgb="FFFFC000"/>
        </patternFill>
      </fill>
    </dxf>
    <dxf>
      <border>
        <bottom style="thin">
          <color auto="1"/>
        </bottom>
        <vertical/>
        <horizontal/>
      </border>
    </dxf>
    <dxf>
      <fill>
        <patternFill>
          <bgColor rgb="FFFFC000"/>
        </patternFill>
      </fill>
    </dxf>
    <dxf>
      <fill>
        <patternFill>
          <bgColor rgb="FFFFC000"/>
        </patternFill>
      </fill>
    </dxf>
    <dxf>
      <font>
        <color theme="0" tint="-0.14996795556505021"/>
      </font>
      <fill>
        <patternFill>
          <bgColor theme="0" tint="-0.14996795556505021"/>
        </patternFill>
      </fill>
    </dxf>
    <dxf>
      <fill>
        <patternFill>
          <bgColor theme="4" tint="0.59996337778862885"/>
        </patternFill>
      </fill>
    </dxf>
    <dxf>
      <font>
        <color theme="0" tint="-0.14996795556505021"/>
      </font>
    </dxf>
    <dxf>
      <fill>
        <patternFill>
          <bgColor rgb="FFFFFF00"/>
        </patternFill>
      </fill>
    </dxf>
    <dxf>
      <font>
        <b/>
        <i val="0"/>
      </font>
    </dxf>
    <dxf>
      <font>
        <color theme="1"/>
      </font>
    </dxf>
    <dxf>
      <font>
        <color auto="1"/>
      </font>
    </dxf>
    <dxf>
      <font>
        <color rgb="FFFF0000"/>
      </font>
    </dxf>
    <dxf>
      <font>
        <color theme="0" tint="-0.14996795556505021"/>
      </font>
      <border>
        <left/>
        <right/>
        <top/>
        <bottom/>
        <vertical/>
        <horizontal/>
      </border>
    </dxf>
    <dxf>
      <border>
        <bottom style="thin">
          <color auto="1"/>
        </bottom>
        <vertical/>
        <horizontal/>
      </border>
    </dxf>
    <dxf>
      <fill>
        <patternFill>
          <bgColor theme="4" tint="0.59996337778862885"/>
        </patternFill>
      </fill>
    </dxf>
    <dxf>
      <fill>
        <patternFill>
          <bgColor theme="4" tint="0.59996337778862885"/>
        </patternFill>
      </fill>
    </dxf>
    <dxf>
      <fill>
        <patternFill>
          <bgColor rgb="FFFFFF00"/>
        </patternFill>
      </fill>
    </dxf>
    <dxf>
      <fill>
        <patternFill>
          <bgColor rgb="FFFFFF00"/>
        </patternFill>
      </fill>
    </dxf>
    <dxf>
      <font>
        <color theme="0" tint="-0.14996795556505021"/>
      </font>
    </dxf>
    <dxf>
      <numFmt numFmtId="4" formatCode="#,##0.00"/>
    </dxf>
    <dxf>
      <numFmt numFmtId="1" formatCode="0"/>
    </dxf>
    <dxf>
      <font>
        <color theme="0" tint="-0.499984740745262"/>
      </font>
      <fill>
        <patternFill>
          <bgColor theme="0" tint="-0.14996795556505021"/>
        </patternFill>
      </fill>
    </dxf>
    <dxf>
      <font>
        <color theme="0" tint="-0.14996795556505021"/>
      </font>
    </dxf>
    <dxf>
      <font>
        <color theme="0" tint="-0.499984740745262"/>
      </font>
      <fill>
        <patternFill>
          <bgColor theme="0" tint="-0.14996795556505021"/>
        </patternFill>
      </fill>
    </dxf>
    <dxf>
      <fill>
        <patternFill>
          <bgColor theme="5" tint="0.59996337778862885"/>
        </patternFill>
      </fill>
    </dxf>
    <dxf>
      <fill>
        <patternFill>
          <bgColor rgb="FFFFFF00"/>
        </patternFill>
      </fill>
    </dxf>
    <dxf>
      <fill>
        <patternFill>
          <bgColor theme="0" tint="-0.14996795556505021"/>
        </patternFill>
      </fill>
    </dxf>
    <dxf>
      <fill>
        <patternFill>
          <bgColor theme="4" tint="0.59996337778862885"/>
        </patternFill>
      </fill>
    </dxf>
    <dxf>
      <fill>
        <patternFill>
          <bgColor theme="4" tint="0.59996337778862885"/>
        </patternFill>
      </fill>
    </dxf>
    <dxf>
      <font>
        <color theme="0" tint="-0.14996795556505021"/>
      </font>
      <fill>
        <patternFill>
          <bgColor theme="0" tint="-0.14996795556505021"/>
        </patternFill>
      </fill>
      <border>
        <left/>
        <right/>
        <top/>
        <bottom/>
      </border>
    </dxf>
    <dxf>
      <fill>
        <patternFill>
          <bgColor rgb="FFFFC000"/>
        </patternFill>
      </fill>
    </dxf>
    <dxf>
      <fill>
        <patternFill>
          <bgColor rgb="FFFFFF00"/>
        </patternFill>
      </fill>
    </dxf>
    <dxf>
      <font>
        <color theme="1"/>
      </font>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FF00"/>
        </patternFill>
      </fill>
    </dxf>
    <dxf>
      <fill>
        <patternFill>
          <bgColor rgb="FFFFC000"/>
        </patternFill>
      </fill>
    </dxf>
    <dxf>
      <font>
        <color theme="0" tint="-0.14996795556505021"/>
      </font>
      <fill>
        <patternFill>
          <bgColor theme="0" tint="-0.14996795556505021"/>
        </patternFill>
      </fill>
    </dxf>
    <dxf>
      <fill>
        <patternFill>
          <bgColor rgb="FFFFFF00"/>
        </patternFill>
      </fill>
    </dxf>
    <dxf>
      <fill>
        <patternFill>
          <bgColor rgb="FFFFFF00"/>
        </patternFill>
      </fill>
    </dxf>
    <dxf>
      <fill>
        <patternFill>
          <bgColor theme="5" tint="0.79998168889431442"/>
        </patternFill>
      </fill>
    </dxf>
    <dxf>
      <fill>
        <patternFill>
          <bgColor theme="4" tint="0.79998168889431442"/>
        </patternFill>
      </fill>
    </dxf>
    <dxf>
      <fill>
        <patternFill>
          <bgColor theme="9" tint="0.79998168889431442"/>
        </patternFill>
      </fill>
    </dxf>
    <dxf>
      <fill>
        <patternFill>
          <bgColor rgb="FFFF0000"/>
        </patternFill>
      </fill>
    </dxf>
    <dxf>
      <fill>
        <patternFill>
          <bgColor rgb="FF92D050"/>
        </patternFill>
      </fill>
    </dxf>
    <dxf>
      <fill>
        <patternFill>
          <bgColor rgb="FFFFC000"/>
        </patternFill>
      </fill>
    </dxf>
    <dxf>
      <fill>
        <patternFill>
          <bgColor theme="4" tint="0.79998168889431442"/>
        </patternFill>
      </fill>
    </dxf>
    <dxf>
      <fill>
        <patternFill>
          <bgColor theme="5" tint="0.79998168889431442"/>
        </patternFill>
      </fill>
    </dxf>
    <dxf>
      <fill>
        <patternFill>
          <bgColor theme="7"/>
        </patternFill>
      </fill>
    </dxf>
    <dxf>
      <fill>
        <patternFill>
          <bgColor theme="7" tint="0.59996337778862885"/>
        </patternFill>
      </fill>
    </dxf>
    <dxf>
      <fill>
        <patternFill>
          <bgColor theme="7"/>
        </patternFill>
      </fill>
    </dxf>
    <dxf>
      <fill>
        <patternFill>
          <bgColor theme="7"/>
        </patternFill>
      </fill>
    </dxf>
    <dxf>
      <fill>
        <patternFill>
          <bgColor theme="7" tint="0.59996337778862885"/>
        </patternFill>
      </fill>
    </dxf>
    <dxf>
      <fill>
        <patternFill>
          <bgColor theme="9" tint="0.59996337778862885"/>
        </patternFill>
      </fill>
    </dxf>
    <dxf>
      <fill>
        <patternFill>
          <bgColor theme="5" tint="0.79998168889431442"/>
        </patternFill>
      </fill>
    </dxf>
    <dxf>
      <fill>
        <patternFill>
          <bgColor theme="9" tint="0.59996337778862885"/>
        </patternFill>
      </fill>
    </dxf>
    <dxf>
      <font>
        <color theme="0"/>
      </font>
      <fill>
        <patternFill>
          <bgColor rgb="FFFF0000"/>
        </patternFill>
      </fill>
    </dxf>
    <dxf>
      <fill>
        <patternFill>
          <bgColor theme="9" tint="0.39994506668294322"/>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C000"/>
        </patternFill>
      </fill>
    </dxf>
    <dxf>
      <font>
        <b/>
        <i/>
        <color rgb="FFFF0000"/>
      </font>
    </dxf>
    <dxf>
      <font>
        <b val="0"/>
        <i/>
        <color theme="0"/>
      </font>
      <fill>
        <patternFill>
          <bgColor rgb="FFFF0000"/>
        </patternFill>
      </fill>
    </dxf>
    <dxf>
      <font>
        <b val="0"/>
        <i/>
      </font>
    </dxf>
    <dxf>
      <fill>
        <patternFill>
          <bgColor rgb="FFFFFF00"/>
        </patternFill>
      </fill>
    </dxf>
    <dxf>
      <fill>
        <patternFill>
          <bgColor rgb="FFFF0000"/>
        </patternFill>
      </fill>
    </dxf>
    <dxf>
      <font>
        <color theme="0" tint="-0.14996795556505021"/>
      </font>
      <fill>
        <patternFill>
          <bgColor theme="0" tint="-0.14996795556505021"/>
        </patternFill>
      </fill>
      <border>
        <left/>
        <right/>
        <top/>
        <bottom/>
      </border>
    </dxf>
    <dxf>
      <fill>
        <patternFill>
          <bgColor rgb="FFFFFF00"/>
        </patternFill>
      </fill>
    </dxf>
    <dxf>
      <fill>
        <patternFill>
          <bgColor rgb="FFFFC000"/>
        </patternFill>
      </fill>
    </dxf>
    <dxf>
      <font>
        <b/>
        <i/>
        <color rgb="FFFF0000"/>
      </font>
    </dxf>
    <dxf>
      <font>
        <b val="0"/>
        <i/>
        <color theme="0"/>
      </font>
      <fill>
        <patternFill>
          <bgColor rgb="FFFF0000"/>
        </patternFill>
      </fill>
    </dxf>
    <dxf>
      <font>
        <b val="0"/>
        <i/>
      </font>
    </dxf>
    <dxf>
      <font>
        <color theme="0" tint="-0.14996795556505021"/>
      </font>
      <fill>
        <patternFill>
          <bgColor theme="0" tint="-0.14996795556505021"/>
        </patternFill>
      </fill>
      <border>
        <left/>
        <right/>
        <top/>
        <bottom/>
      </border>
    </dxf>
    <dxf>
      <font>
        <b val="0"/>
        <i/>
      </font>
    </dxf>
    <dxf>
      <font>
        <color theme="0" tint="-0.14996795556505021"/>
      </font>
      <fill>
        <patternFill>
          <bgColor theme="0" tint="-0.14996795556505021"/>
        </patternFill>
      </fill>
      <border>
        <left/>
        <right/>
        <top/>
        <bottom/>
      </border>
    </dxf>
    <dxf>
      <fill>
        <patternFill>
          <bgColor rgb="FFFFFF00"/>
        </patternFill>
      </fill>
    </dxf>
    <dxf>
      <font>
        <color theme="0" tint="-0.14996795556505021"/>
      </font>
      <fill>
        <patternFill>
          <bgColor theme="0" tint="-0.14996795556505021"/>
        </patternFill>
      </fill>
      <border>
        <left/>
        <right/>
        <top/>
        <bottom/>
        <vertical/>
        <horizontal/>
      </border>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C000"/>
        </patternFill>
      </fill>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border>
    </dxf>
    <dxf>
      <font>
        <color theme="0" tint="-0.14996795556505021"/>
      </font>
      <fill>
        <patternFill>
          <bgColor theme="0" tint="-0.14996795556505021"/>
        </patternFill>
      </fill>
      <border>
        <left/>
        <right/>
        <top/>
        <bottom/>
      </border>
    </dxf>
    <dxf>
      <fill>
        <patternFill>
          <bgColor rgb="FFFFFF00"/>
        </patternFill>
      </fill>
    </dxf>
    <dxf>
      <fill>
        <patternFill>
          <bgColor rgb="FFFFFF00"/>
        </patternFill>
      </fill>
    </dxf>
    <dxf>
      <fill>
        <patternFill>
          <bgColor theme="9" tint="0.7999816888943144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FF0000"/>
        </patternFill>
      </fill>
    </dxf>
    <dxf>
      <fill>
        <patternFill>
          <bgColor rgb="FFFF0000"/>
        </patternFill>
      </fill>
    </dxf>
    <dxf>
      <font>
        <color theme="0"/>
      </font>
      <fill>
        <patternFill>
          <bgColor rgb="FFFF0000"/>
        </patternFill>
      </fill>
    </dxf>
    <dxf>
      <fill>
        <patternFill>
          <bgColor rgb="FFFFC000"/>
        </patternFill>
      </fill>
    </dxf>
    <dxf>
      <fill>
        <patternFill>
          <bgColor theme="9" tint="0.59996337778862885"/>
        </patternFill>
      </fill>
    </dxf>
    <dxf>
      <fill>
        <patternFill>
          <bgColor rgb="FFFFFF00"/>
        </patternFill>
      </fill>
    </dxf>
    <dxf>
      <fill>
        <patternFill>
          <bgColor rgb="FFFF0000"/>
        </patternFill>
      </fill>
    </dxf>
    <dxf>
      <fill>
        <patternFill>
          <bgColor rgb="FFFF0000"/>
        </patternFill>
      </fill>
    </dxf>
    <dxf>
      <font>
        <color theme="0"/>
      </font>
      <fill>
        <patternFill>
          <bgColor rgb="FFFF0000"/>
        </patternFill>
      </fill>
    </dxf>
    <dxf>
      <fill>
        <patternFill>
          <bgColor rgb="FFFFC000"/>
        </patternFill>
      </fill>
    </dxf>
    <dxf>
      <fill>
        <patternFill>
          <bgColor theme="9" tint="0.59996337778862885"/>
        </patternFill>
      </fill>
    </dxf>
    <dxf>
      <fill>
        <patternFill>
          <bgColor rgb="FFFFFF00"/>
        </patternFill>
      </fill>
    </dxf>
    <dxf>
      <font>
        <color theme="0"/>
      </font>
      <fill>
        <patternFill>
          <bgColor rgb="FFFF0000"/>
        </patternFill>
      </fill>
    </dxf>
    <dxf>
      <fill>
        <patternFill>
          <bgColor rgb="FFFF0000"/>
        </patternFill>
      </fill>
    </dxf>
    <dxf>
      <fill>
        <patternFill>
          <bgColor rgb="FFFF0000"/>
        </patternFill>
      </fill>
    </dxf>
    <dxf>
      <fill>
        <patternFill>
          <bgColor rgb="FFFFC000"/>
        </patternFill>
      </fill>
    </dxf>
    <dxf>
      <fill>
        <patternFill>
          <bgColor theme="9" tint="0.59996337778862885"/>
        </patternFill>
      </fill>
    </dxf>
    <dxf>
      <fill>
        <patternFill>
          <bgColor rgb="FFFFFF00"/>
        </patternFill>
      </fill>
    </dxf>
    <dxf>
      <fill>
        <patternFill>
          <bgColor rgb="FFFF0000"/>
        </patternFill>
      </fill>
    </dxf>
    <dxf>
      <fill>
        <patternFill>
          <bgColor rgb="FFFF0000"/>
        </patternFill>
      </fill>
    </dxf>
    <dxf>
      <font>
        <color theme="0"/>
      </font>
      <fill>
        <patternFill>
          <bgColor rgb="FFFF0000"/>
        </patternFill>
      </fill>
    </dxf>
    <dxf>
      <fill>
        <patternFill>
          <bgColor rgb="FFFFC000"/>
        </patternFill>
      </fill>
    </dxf>
    <dxf>
      <fill>
        <patternFill>
          <bgColor theme="9" tint="0.59996337778862885"/>
        </patternFill>
      </fill>
    </dxf>
    <dxf>
      <fill>
        <patternFill>
          <bgColor rgb="FFFFFF00"/>
        </patternFill>
      </fill>
    </dxf>
    <dxf>
      <fill>
        <patternFill>
          <bgColor rgb="FFFF0000"/>
        </patternFill>
      </fill>
    </dxf>
    <dxf>
      <fill>
        <patternFill>
          <bgColor rgb="FFFF0000"/>
        </patternFill>
      </fill>
    </dxf>
    <dxf>
      <font>
        <color theme="0"/>
      </font>
      <fill>
        <patternFill>
          <bgColor rgb="FFFF0000"/>
        </patternFill>
      </fill>
    </dxf>
    <dxf>
      <fill>
        <patternFill>
          <bgColor rgb="FFFFC000"/>
        </patternFill>
      </fill>
    </dxf>
    <dxf>
      <fill>
        <patternFill>
          <bgColor theme="9" tint="0.59996337778862885"/>
        </patternFill>
      </fill>
    </dxf>
    <dxf>
      <fill>
        <patternFill>
          <bgColor rgb="FFFFFF00"/>
        </patternFill>
      </fill>
    </dxf>
    <dxf>
      <fill>
        <patternFill>
          <bgColor rgb="FFFF0000"/>
        </patternFill>
      </fill>
    </dxf>
    <dxf>
      <fill>
        <patternFill>
          <bgColor rgb="FFFF0000"/>
        </patternFill>
      </fill>
    </dxf>
    <dxf>
      <font>
        <color theme="0"/>
      </font>
      <fill>
        <patternFill>
          <bgColor rgb="FFFF0000"/>
        </patternFill>
      </fill>
    </dxf>
    <dxf>
      <fill>
        <patternFill>
          <bgColor rgb="FFFFC000"/>
        </patternFill>
      </fill>
    </dxf>
    <dxf>
      <fill>
        <patternFill>
          <bgColor theme="9" tint="0.59996337778862885"/>
        </patternFill>
      </fill>
    </dxf>
    <dxf>
      <fill>
        <patternFill>
          <bgColor rgb="FFFFFF00"/>
        </patternFill>
      </fill>
    </dxf>
    <dxf>
      <fill>
        <patternFill>
          <bgColor rgb="FFFF0000"/>
        </patternFill>
      </fill>
    </dxf>
    <dxf>
      <fill>
        <patternFill>
          <bgColor rgb="FFFF0000"/>
        </patternFill>
      </fill>
    </dxf>
    <dxf>
      <font>
        <color theme="0"/>
      </font>
      <fill>
        <patternFill>
          <bgColor rgb="FFFF0000"/>
        </patternFill>
      </fill>
    </dxf>
    <dxf>
      <fill>
        <patternFill>
          <bgColor rgb="FFFFC000"/>
        </patternFill>
      </fill>
    </dxf>
    <dxf>
      <fill>
        <patternFill>
          <bgColor theme="9" tint="0.59996337778862885"/>
        </patternFill>
      </fill>
    </dxf>
    <dxf>
      <fill>
        <patternFill>
          <bgColor rgb="FFFFFF00"/>
        </patternFill>
      </fill>
    </dxf>
    <dxf>
      <fill>
        <patternFill>
          <bgColor rgb="FFFF0000"/>
        </patternFill>
      </fill>
    </dxf>
    <dxf>
      <fill>
        <patternFill>
          <bgColor rgb="FFFF0000"/>
        </patternFill>
      </fill>
    </dxf>
    <dxf>
      <font>
        <color theme="0"/>
      </font>
      <fill>
        <patternFill>
          <bgColor rgb="FFFF0000"/>
        </patternFill>
      </fill>
    </dxf>
    <dxf>
      <fill>
        <patternFill>
          <bgColor rgb="FFFFC000"/>
        </patternFill>
      </fill>
    </dxf>
    <dxf>
      <fill>
        <patternFill>
          <bgColor theme="9" tint="0.59996337778862885"/>
        </patternFill>
      </fill>
    </dxf>
    <dxf>
      <fill>
        <patternFill>
          <bgColor rgb="FFFFFF00"/>
        </patternFill>
      </fill>
    </dxf>
    <dxf>
      <fill>
        <patternFill>
          <bgColor rgb="FFFF0000"/>
        </patternFill>
      </fill>
    </dxf>
    <dxf>
      <fill>
        <patternFill>
          <bgColor rgb="FFFF0000"/>
        </patternFill>
      </fill>
    </dxf>
    <dxf>
      <font>
        <color theme="0"/>
      </font>
      <fill>
        <patternFill>
          <bgColor rgb="FFFF0000"/>
        </patternFill>
      </fill>
    </dxf>
    <dxf>
      <fill>
        <patternFill>
          <bgColor rgb="FFFFC000"/>
        </patternFill>
      </fill>
    </dxf>
    <dxf>
      <fill>
        <patternFill>
          <bgColor theme="9" tint="0.59996337778862885"/>
        </patternFill>
      </fill>
    </dxf>
    <dxf>
      <fill>
        <patternFill>
          <bgColor rgb="FFFFFF00"/>
        </patternFill>
      </fill>
    </dxf>
    <dxf>
      <font>
        <color theme="0"/>
      </font>
      <fill>
        <patternFill>
          <bgColor rgb="FFFF0000"/>
        </patternFill>
      </fill>
    </dxf>
    <dxf>
      <fill>
        <patternFill>
          <bgColor rgb="FFFF0000"/>
        </patternFill>
      </fill>
    </dxf>
    <dxf>
      <fill>
        <patternFill>
          <bgColor rgb="FFFF0000"/>
        </patternFill>
      </fill>
    </dxf>
    <dxf>
      <fill>
        <patternFill>
          <bgColor rgb="FFFFC000"/>
        </patternFill>
      </fill>
    </dxf>
    <dxf>
      <fill>
        <patternFill>
          <bgColor theme="9" tint="0.59996337778862885"/>
        </patternFill>
      </fill>
    </dxf>
    <dxf>
      <fill>
        <patternFill>
          <bgColor rgb="FFFFFF00"/>
        </patternFill>
      </fill>
    </dxf>
    <dxf>
      <fill>
        <patternFill>
          <bgColor rgb="FFFF0000"/>
        </patternFill>
      </fill>
    </dxf>
    <dxf>
      <fill>
        <patternFill>
          <bgColor rgb="FFFF0000"/>
        </patternFill>
      </fill>
    </dxf>
    <dxf>
      <font>
        <color theme="0"/>
      </font>
      <fill>
        <patternFill>
          <bgColor rgb="FFFF0000"/>
        </patternFill>
      </fill>
    </dxf>
    <dxf>
      <fill>
        <patternFill>
          <bgColor rgb="FFFFC000"/>
        </patternFill>
      </fill>
    </dxf>
    <dxf>
      <fill>
        <patternFill>
          <bgColor theme="9" tint="0.59996337778862885"/>
        </patternFill>
      </fill>
    </dxf>
    <dxf>
      <fill>
        <patternFill>
          <bgColor rgb="FFFFFF00"/>
        </patternFill>
      </fill>
    </dxf>
    <dxf>
      <fill>
        <patternFill>
          <bgColor rgb="FFFF0000"/>
        </patternFill>
      </fill>
    </dxf>
    <dxf>
      <fill>
        <patternFill>
          <bgColor rgb="FFFF0000"/>
        </patternFill>
      </fill>
    </dxf>
    <dxf>
      <font>
        <color theme="0"/>
      </font>
      <fill>
        <patternFill>
          <bgColor rgb="FFFF0000"/>
        </patternFill>
      </fill>
    </dxf>
    <dxf>
      <fill>
        <patternFill>
          <bgColor rgb="FFFFC000"/>
        </patternFill>
      </fill>
    </dxf>
    <dxf>
      <fill>
        <patternFill>
          <bgColor theme="9" tint="0.59996337778862885"/>
        </patternFill>
      </fill>
    </dxf>
    <dxf>
      <fill>
        <patternFill>
          <bgColor rgb="FFFFFF00"/>
        </patternFill>
      </fill>
    </dxf>
    <dxf>
      <fill>
        <patternFill>
          <bgColor rgb="FFFF0000"/>
        </patternFill>
      </fill>
    </dxf>
    <dxf>
      <fill>
        <patternFill>
          <bgColor rgb="FFFF0000"/>
        </patternFill>
      </fill>
    </dxf>
    <dxf>
      <font>
        <color theme="0"/>
      </font>
      <fill>
        <patternFill>
          <bgColor rgb="FFFF0000"/>
        </patternFill>
      </fill>
    </dxf>
    <dxf>
      <fill>
        <patternFill>
          <bgColor rgb="FFFFC000"/>
        </patternFill>
      </fill>
    </dxf>
    <dxf>
      <fill>
        <patternFill>
          <bgColor theme="9" tint="0.59996337778862885"/>
        </patternFill>
      </fill>
    </dxf>
    <dxf>
      <fill>
        <patternFill>
          <bgColor rgb="FFFFFF00"/>
        </patternFill>
      </fill>
    </dxf>
    <dxf>
      <fill>
        <patternFill>
          <bgColor rgb="FFFF0000"/>
        </patternFill>
      </fill>
    </dxf>
    <dxf>
      <fill>
        <patternFill>
          <bgColor rgb="FFFF0000"/>
        </patternFill>
      </fill>
    </dxf>
    <dxf>
      <font>
        <color theme="0"/>
      </font>
      <fill>
        <patternFill>
          <bgColor rgb="FFFF0000"/>
        </patternFill>
      </fill>
    </dxf>
    <dxf>
      <fill>
        <patternFill>
          <bgColor rgb="FFFFC000"/>
        </patternFill>
      </fill>
    </dxf>
    <dxf>
      <fill>
        <patternFill>
          <bgColor theme="9" tint="0.59996337778862885"/>
        </patternFill>
      </fill>
    </dxf>
    <dxf>
      <fill>
        <patternFill>
          <bgColor rgb="FFFFFF00"/>
        </patternFill>
      </fill>
    </dxf>
    <dxf>
      <fill>
        <patternFill>
          <bgColor rgb="FFFF0000"/>
        </patternFill>
      </fill>
    </dxf>
    <dxf>
      <fill>
        <patternFill>
          <bgColor rgb="FFFF0000"/>
        </patternFill>
      </fill>
    </dxf>
    <dxf>
      <font>
        <color theme="0"/>
      </font>
      <fill>
        <patternFill>
          <bgColor rgb="FFFF0000"/>
        </patternFill>
      </fill>
    </dxf>
    <dxf>
      <fill>
        <patternFill>
          <bgColor rgb="FFFFC000"/>
        </patternFill>
      </fill>
    </dxf>
    <dxf>
      <fill>
        <patternFill>
          <bgColor theme="9" tint="0.59996337778862885"/>
        </patternFill>
      </fill>
    </dxf>
    <dxf>
      <fill>
        <patternFill>
          <bgColor rgb="FFFFFF00"/>
        </patternFill>
      </fill>
    </dxf>
    <dxf>
      <font>
        <color theme="0"/>
      </font>
      <fill>
        <patternFill>
          <bgColor rgb="FFFF0000"/>
        </patternFill>
      </fill>
    </dxf>
    <dxf>
      <fill>
        <patternFill>
          <bgColor rgb="FFFF0000"/>
        </patternFill>
      </fill>
    </dxf>
    <dxf>
      <fill>
        <patternFill>
          <bgColor rgb="FFFF0000"/>
        </patternFill>
      </fill>
    </dxf>
    <dxf>
      <fill>
        <patternFill>
          <bgColor rgb="FFFFC000"/>
        </patternFill>
      </fill>
    </dxf>
    <dxf>
      <fill>
        <patternFill>
          <bgColor theme="9" tint="0.59996337778862885"/>
        </patternFill>
      </fill>
    </dxf>
    <dxf>
      <fill>
        <patternFill>
          <bgColor rgb="FFFFFF00"/>
        </patternFill>
      </fill>
    </dxf>
    <dxf>
      <fill>
        <patternFill>
          <bgColor rgb="FFFF0000"/>
        </patternFill>
      </fill>
    </dxf>
    <dxf>
      <fill>
        <patternFill>
          <bgColor rgb="FFFF0000"/>
        </patternFill>
      </fill>
    </dxf>
    <dxf>
      <font>
        <color theme="0"/>
      </font>
      <fill>
        <patternFill>
          <bgColor rgb="FFFF0000"/>
        </patternFill>
      </fill>
    </dxf>
    <dxf>
      <fill>
        <patternFill>
          <bgColor rgb="FFFFC000"/>
        </patternFill>
      </fill>
    </dxf>
    <dxf>
      <fill>
        <patternFill>
          <bgColor theme="9" tint="0.59996337778862885"/>
        </patternFill>
      </fill>
    </dxf>
    <dxf>
      <fill>
        <patternFill>
          <bgColor rgb="FFFFFF00"/>
        </patternFill>
      </fill>
    </dxf>
    <dxf>
      <fill>
        <patternFill>
          <bgColor rgb="FFFF0000"/>
        </patternFill>
      </fill>
    </dxf>
    <dxf>
      <fill>
        <patternFill>
          <bgColor rgb="FFFF0000"/>
        </patternFill>
      </fill>
    </dxf>
    <dxf>
      <font>
        <color theme="0"/>
      </font>
      <fill>
        <patternFill>
          <bgColor rgb="FFFF0000"/>
        </patternFill>
      </fill>
    </dxf>
    <dxf>
      <fill>
        <patternFill>
          <bgColor rgb="FFFFC000"/>
        </patternFill>
      </fill>
    </dxf>
    <dxf>
      <fill>
        <patternFill>
          <bgColor theme="9" tint="0.59996337778862885"/>
        </patternFill>
      </fill>
    </dxf>
    <dxf>
      <fill>
        <patternFill>
          <bgColor rgb="FFFFFF00"/>
        </patternFill>
      </fill>
    </dxf>
    <dxf>
      <fill>
        <patternFill>
          <bgColor rgb="FFFF0000"/>
        </patternFill>
      </fill>
    </dxf>
    <dxf>
      <fill>
        <patternFill>
          <bgColor rgb="FFFF0000"/>
        </patternFill>
      </fill>
    </dxf>
    <dxf>
      <fill>
        <patternFill>
          <bgColor rgb="FFFFC000"/>
        </patternFill>
      </fill>
    </dxf>
    <dxf>
      <fill>
        <patternFill>
          <bgColor theme="9" tint="0.59996337778862885"/>
        </patternFill>
      </fill>
    </dxf>
    <dxf>
      <fill>
        <patternFill>
          <bgColor rgb="FFFFFF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C000"/>
        </patternFill>
      </fill>
    </dxf>
    <dxf>
      <fill>
        <patternFill>
          <bgColor theme="9" tint="0.59996337778862885"/>
        </patternFill>
      </fill>
    </dxf>
    <dxf>
      <fill>
        <patternFill>
          <bgColor rgb="FFFFFF00"/>
        </patternFill>
      </fill>
    </dxf>
    <dxf>
      <fill>
        <patternFill>
          <bgColor rgb="FFFF0000"/>
        </patternFill>
      </fill>
    </dxf>
    <dxf>
      <fill>
        <patternFill>
          <bgColor rgb="FFFF0000"/>
        </patternFill>
      </fill>
    </dxf>
    <dxf>
      <font>
        <color theme="0"/>
      </font>
      <fill>
        <patternFill>
          <bgColor rgb="FFFF0000"/>
        </patternFill>
      </fill>
    </dxf>
    <dxf>
      <fill>
        <patternFill>
          <bgColor rgb="FFFFC000"/>
        </patternFill>
      </fill>
    </dxf>
    <dxf>
      <fill>
        <patternFill>
          <bgColor theme="9" tint="0.59996337778862885"/>
        </patternFill>
      </fill>
    </dxf>
    <dxf>
      <fill>
        <patternFill>
          <bgColor rgb="FFFFFF00"/>
        </patternFill>
      </fill>
    </dxf>
    <dxf>
      <fill>
        <patternFill>
          <bgColor rgb="FFFF0000"/>
        </patternFill>
      </fill>
    </dxf>
    <dxf>
      <fill>
        <patternFill>
          <bgColor rgb="FFFF0000"/>
        </patternFill>
      </fill>
    </dxf>
    <dxf>
      <font>
        <color theme="0"/>
      </font>
      <fill>
        <patternFill>
          <bgColor rgb="FFFF0000"/>
        </patternFill>
      </fill>
    </dxf>
    <dxf>
      <fill>
        <patternFill>
          <bgColor rgb="FFFFC000"/>
        </patternFill>
      </fill>
    </dxf>
    <dxf>
      <fill>
        <patternFill>
          <bgColor theme="9" tint="0.59996337778862885"/>
        </patternFill>
      </fill>
    </dxf>
    <dxf>
      <fill>
        <patternFill>
          <bgColor rgb="FFFFFF00"/>
        </patternFill>
      </fill>
    </dxf>
    <dxf>
      <font>
        <color theme="0"/>
      </font>
      <fill>
        <patternFill>
          <bgColor rgb="FFFF0000"/>
        </patternFill>
      </fill>
    </dxf>
    <dxf>
      <fill>
        <patternFill>
          <bgColor rgb="FFFF0000"/>
        </patternFill>
      </fill>
    </dxf>
    <dxf>
      <fill>
        <patternFill>
          <bgColor rgb="FFFF0000"/>
        </patternFill>
      </fill>
    </dxf>
    <dxf>
      <fill>
        <patternFill>
          <bgColor rgb="FFFFC000"/>
        </patternFill>
      </fill>
    </dxf>
    <dxf>
      <fill>
        <patternFill>
          <bgColor theme="9" tint="0.59996337778862885"/>
        </patternFill>
      </fill>
    </dxf>
    <dxf>
      <fill>
        <patternFill>
          <bgColor rgb="FFFFFF00"/>
        </patternFill>
      </fill>
    </dxf>
    <dxf>
      <fill>
        <patternFill>
          <bgColor rgb="FFFF0000"/>
        </patternFill>
      </fill>
    </dxf>
    <dxf>
      <fill>
        <patternFill>
          <bgColor rgb="FFFF0000"/>
        </patternFill>
      </fill>
    </dxf>
    <dxf>
      <font>
        <color theme="0"/>
      </font>
      <fill>
        <patternFill>
          <bgColor rgb="FFFF0000"/>
        </patternFill>
      </fill>
    </dxf>
    <dxf>
      <fill>
        <patternFill>
          <bgColor rgb="FFFFC000"/>
        </patternFill>
      </fill>
    </dxf>
    <dxf>
      <fill>
        <patternFill>
          <bgColor theme="9" tint="0.59996337778862885"/>
        </patternFill>
      </fill>
    </dxf>
    <dxf>
      <fill>
        <patternFill>
          <bgColor rgb="FFFFFF00"/>
        </patternFill>
      </fill>
    </dxf>
    <dxf>
      <fill>
        <patternFill>
          <bgColor rgb="FFFF0000"/>
        </patternFill>
      </fill>
    </dxf>
    <dxf>
      <fill>
        <patternFill>
          <bgColor rgb="FFFF0000"/>
        </patternFill>
      </fill>
    </dxf>
    <dxf>
      <font>
        <color theme="0"/>
      </font>
      <fill>
        <patternFill>
          <bgColor rgb="FFFF0000"/>
        </patternFill>
      </fill>
    </dxf>
    <dxf>
      <fill>
        <patternFill>
          <bgColor rgb="FFFFC000"/>
        </patternFill>
      </fill>
    </dxf>
    <dxf>
      <fill>
        <patternFill>
          <bgColor theme="9" tint="0.59996337778862885"/>
        </patternFill>
      </fill>
    </dxf>
    <dxf>
      <fill>
        <patternFill>
          <bgColor rgb="FFFFFF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C000"/>
        </patternFill>
      </fill>
    </dxf>
    <dxf>
      <fill>
        <patternFill>
          <bgColor theme="9" tint="0.59996337778862885"/>
        </patternFill>
      </fill>
    </dxf>
    <dxf>
      <fill>
        <patternFill>
          <bgColor rgb="FFFFFF00"/>
        </patternFill>
      </fill>
    </dxf>
    <dxf>
      <fill>
        <patternFill>
          <bgColor rgb="FFFF0000"/>
        </patternFill>
      </fill>
    </dxf>
    <dxf>
      <fill>
        <patternFill>
          <bgColor rgb="FFFF0000"/>
        </patternFill>
      </fill>
    </dxf>
    <dxf>
      <fill>
        <patternFill>
          <bgColor rgb="FFFFC000"/>
        </patternFill>
      </fill>
    </dxf>
    <dxf>
      <fill>
        <patternFill>
          <bgColor theme="9" tint="0.59996337778862885"/>
        </patternFill>
      </fill>
    </dxf>
    <dxf>
      <fill>
        <patternFill>
          <bgColor rgb="FFFFFF00"/>
        </patternFill>
      </fill>
    </dxf>
    <dxf>
      <fill>
        <patternFill>
          <bgColor rgb="FFFF0000"/>
        </patternFill>
      </fill>
    </dxf>
    <dxf>
      <fill>
        <patternFill>
          <bgColor rgb="FFFF0000"/>
        </patternFill>
      </fill>
    </dxf>
    <dxf>
      <font>
        <color theme="0"/>
      </font>
      <fill>
        <patternFill>
          <bgColor rgb="FFFF0000"/>
        </patternFill>
      </fill>
    </dxf>
    <dxf>
      <fill>
        <patternFill>
          <bgColor rgb="FFFFC000"/>
        </patternFill>
      </fill>
    </dxf>
    <dxf>
      <fill>
        <patternFill>
          <bgColor theme="9" tint="0.59996337778862885"/>
        </patternFill>
      </fill>
    </dxf>
    <dxf>
      <fill>
        <patternFill>
          <bgColor rgb="FFFFFF00"/>
        </patternFill>
      </fill>
    </dxf>
    <dxf>
      <font>
        <color theme="0"/>
      </font>
      <fill>
        <patternFill>
          <bgColor rgb="FFFF0000"/>
        </patternFill>
      </fill>
    </dxf>
    <dxf>
      <fill>
        <patternFill>
          <bgColor rgb="FFFF0000"/>
        </patternFill>
      </fill>
    </dxf>
    <dxf>
      <fill>
        <patternFill>
          <bgColor rgb="FFFF0000"/>
        </patternFill>
      </fill>
    </dxf>
    <dxf>
      <fill>
        <patternFill>
          <bgColor rgb="FFFFC000"/>
        </patternFill>
      </fill>
    </dxf>
    <dxf>
      <fill>
        <patternFill>
          <bgColor theme="9" tint="0.59996337778862885"/>
        </patternFill>
      </fill>
    </dxf>
    <dxf>
      <fill>
        <patternFill>
          <bgColor rgb="FFFFFF00"/>
        </patternFill>
      </fill>
    </dxf>
    <dxf>
      <fill>
        <patternFill>
          <bgColor rgb="FFFF0000"/>
        </patternFill>
      </fill>
    </dxf>
    <dxf>
      <fill>
        <patternFill>
          <bgColor rgb="FFFF0000"/>
        </patternFill>
      </fill>
    </dxf>
    <dxf>
      <font>
        <color theme="0"/>
      </font>
      <fill>
        <patternFill>
          <bgColor rgb="FFFF0000"/>
        </patternFill>
      </fill>
    </dxf>
    <dxf>
      <fill>
        <patternFill>
          <bgColor rgb="FFFFC000"/>
        </patternFill>
      </fill>
    </dxf>
    <dxf>
      <fill>
        <patternFill>
          <bgColor theme="9" tint="0.59996337778862885"/>
        </patternFill>
      </fill>
    </dxf>
    <dxf>
      <fill>
        <patternFill>
          <bgColor rgb="FFFFFF00"/>
        </patternFill>
      </fill>
    </dxf>
    <dxf>
      <fill>
        <patternFill>
          <bgColor rgb="FFFF0000"/>
        </patternFill>
      </fill>
    </dxf>
    <dxf>
      <fill>
        <patternFill>
          <bgColor rgb="FFFF0000"/>
        </patternFill>
      </fill>
    </dxf>
    <dxf>
      <font>
        <color theme="0"/>
      </font>
      <fill>
        <patternFill>
          <bgColor rgb="FFFF0000"/>
        </patternFill>
      </fill>
    </dxf>
    <dxf>
      <fill>
        <patternFill>
          <bgColor rgb="FFFFC000"/>
        </patternFill>
      </fill>
    </dxf>
    <dxf>
      <fill>
        <patternFill>
          <bgColor theme="9" tint="0.59996337778862885"/>
        </patternFill>
      </fill>
    </dxf>
    <dxf>
      <fill>
        <patternFill>
          <bgColor rgb="FFFFFF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C000"/>
        </patternFill>
      </fill>
    </dxf>
    <dxf>
      <fill>
        <patternFill>
          <bgColor theme="9" tint="0.59996337778862885"/>
        </patternFill>
      </fill>
    </dxf>
    <dxf>
      <fill>
        <patternFill>
          <bgColor rgb="FFFFFF00"/>
        </patternFill>
      </fill>
    </dxf>
    <dxf>
      <fill>
        <patternFill>
          <bgColor rgb="FFFF0000"/>
        </patternFill>
      </fill>
    </dxf>
    <dxf>
      <fill>
        <patternFill>
          <bgColor rgb="FFFF0000"/>
        </patternFill>
      </fill>
    </dxf>
    <dxf>
      <font>
        <color theme="0"/>
      </font>
      <fill>
        <patternFill>
          <bgColor rgb="FFFF0000"/>
        </patternFill>
      </fill>
    </dxf>
    <dxf>
      <fill>
        <patternFill>
          <bgColor rgb="FFFFC000"/>
        </patternFill>
      </fill>
    </dxf>
    <dxf>
      <fill>
        <patternFill>
          <bgColor theme="9" tint="0.59996337778862885"/>
        </patternFill>
      </fill>
    </dxf>
    <dxf>
      <fill>
        <patternFill>
          <bgColor rgb="FFFFFF00"/>
        </patternFill>
      </fill>
    </dxf>
    <dxf>
      <font>
        <color theme="0"/>
      </font>
      <fill>
        <patternFill>
          <bgColor rgb="FFFF0000"/>
        </patternFill>
      </fill>
    </dxf>
    <dxf>
      <fill>
        <patternFill>
          <bgColor rgb="FFFF0000"/>
        </patternFill>
      </fill>
    </dxf>
    <dxf>
      <fill>
        <patternFill>
          <bgColor rgb="FFFF0000"/>
        </patternFill>
      </fill>
    </dxf>
    <dxf>
      <fill>
        <patternFill>
          <bgColor rgb="FFFFC000"/>
        </patternFill>
      </fill>
    </dxf>
    <dxf>
      <fill>
        <patternFill>
          <bgColor theme="9" tint="0.59996337778862885"/>
        </patternFill>
      </fill>
    </dxf>
    <dxf>
      <fill>
        <patternFill>
          <bgColor rgb="FFFFFF00"/>
        </patternFill>
      </fill>
    </dxf>
    <dxf>
      <fill>
        <patternFill>
          <bgColor rgb="FFFF0000"/>
        </patternFill>
      </fill>
    </dxf>
    <dxf>
      <fill>
        <patternFill>
          <bgColor rgb="FFFF0000"/>
        </patternFill>
      </fill>
    </dxf>
    <dxf>
      <font>
        <color theme="0"/>
      </font>
      <fill>
        <patternFill>
          <bgColor rgb="FFFF0000"/>
        </patternFill>
      </fill>
    </dxf>
    <dxf>
      <fill>
        <patternFill>
          <bgColor rgb="FFFFC000"/>
        </patternFill>
      </fill>
    </dxf>
    <dxf>
      <fill>
        <patternFill>
          <bgColor theme="9" tint="0.59996337778862885"/>
        </patternFill>
      </fill>
    </dxf>
    <dxf>
      <fill>
        <patternFill>
          <bgColor rgb="FFFFFF00"/>
        </patternFill>
      </fill>
    </dxf>
    <dxf>
      <fill>
        <patternFill>
          <bgColor rgb="FFFF0000"/>
        </patternFill>
      </fill>
    </dxf>
    <dxf>
      <fill>
        <patternFill>
          <bgColor rgb="FFFF0000"/>
        </patternFill>
      </fill>
    </dxf>
    <dxf>
      <font>
        <color theme="0"/>
      </font>
      <fill>
        <patternFill>
          <bgColor rgb="FFFF0000"/>
        </patternFill>
      </fill>
    </dxf>
    <dxf>
      <fill>
        <patternFill>
          <bgColor rgb="FFFFC000"/>
        </patternFill>
      </fill>
    </dxf>
    <dxf>
      <fill>
        <patternFill>
          <bgColor theme="9" tint="0.59996337778862885"/>
        </patternFill>
      </fill>
    </dxf>
    <dxf>
      <fill>
        <patternFill>
          <bgColor rgb="FFFFFF00"/>
        </patternFill>
      </fill>
    </dxf>
    <dxf>
      <fill>
        <patternFill>
          <bgColor rgb="FFFF0000"/>
        </patternFill>
      </fill>
    </dxf>
    <dxf>
      <fill>
        <patternFill>
          <bgColor rgb="FFFF0000"/>
        </patternFill>
      </fill>
    </dxf>
    <dxf>
      <font>
        <color theme="0"/>
      </font>
      <fill>
        <patternFill>
          <bgColor rgb="FFFF0000"/>
        </patternFill>
      </fill>
    </dxf>
    <dxf>
      <fill>
        <patternFill>
          <bgColor rgb="FFFFC000"/>
        </patternFill>
      </fill>
    </dxf>
    <dxf>
      <fill>
        <patternFill>
          <bgColor theme="9" tint="0.59996337778862885"/>
        </patternFill>
      </fill>
    </dxf>
    <dxf>
      <fill>
        <patternFill>
          <bgColor rgb="FFFFFF00"/>
        </patternFill>
      </fill>
    </dxf>
    <dxf>
      <fill>
        <patternFill>
          <bgColor rgb="FFFF0000"/>
        </patternFill>
      </fill>
    </dxf>
    <dxf>
      <fill>
        <patternFill>
          <bgColor rgb="FFFF0000"/>
        </patternFill>
      </fill>
    </dxf>
    <dxf>
      <fill>
        <patternFill>
          <bgColor rgb="FFFFC000"/>
        </patternFill>
      </fill>
    </dxf>
    <dxf>
      <fill>
        <patternFill>
          <bgColor theme="9" tint="0.59996337778862885"/>
        </patternFill>
      </fill>
    </dxf>
    <dxf>
      <fill>
        <patternFill>
          <bgColor rgb="FFFFFF00"/>
        </patternFill>
      </fill>
    </dxf>
    <dxf>
      <fill>
        <patternFill>
          <bgColor rgb="FFFF0000"/>
        </patternFill>
      </fill>
    </dxf>
    <dxf>
      <fill>
        <patternFill>
          <bgColor rgb="FFFF0000"/>
        </patternFill>
      </fill>
    </dxf>
    <dxf>
      <font>
        <color theme="0"/>
      </font>
      <fill>
        <patternFill>
          <bgColor rgb="FFFF0000"/>
        </patternFill>
      </fill>
    </dxf>
    <dxf>
      <fill>
        <patternFill>
          <bgColor rgb="FFFFC000"/>
        </patternFill>
      </fill>
    </dxf>
    <dxf>
      <fill>
        <patternFill>
          <bgColor theme="9" tint="0.59996337778862885"/>
        </patternFill>
      </fill>
    </dxf>
    <dxf>
      <fill>
        <patternFill>
          <bgColor rgb="FFFFFF00"/>
        </patternFill>
      </fill>
    </dxf>
    <dxf>
      <fill>
        <patternFill>
          <bgColor rgb="FFFF0000"/>
        </patternFill>
      </fill>
    </dxf>
    <dxf>
      <fill>
        <patternFill>
          <bgColor rgb="FFFF0000"/>
        </patternFill>
      </fill>
    </dxf>
    <dxf>
      <font>
        <color theme="0"/>
      </font>
      <fill>
        <patternFill>
          <bgColor rgb="FFFF0000"/>
        </patternFill>
      </fill>
    </dxf>
    <dxf>
      <fill>
        <patternFill>
          <bgColor rgb="FFFFC000"/>
        </patternFill>
      </fill>
    </dxf>
    <dxf>
      <fill>
        <patternFill>
          <bgColor theme="9" tint="0.59996337778862885"/>
        </patternFill>
      </fill>
    </dxf>
    <dxf>
      <fill>
        <patternFill>
          <bgColor rgb="FFFFFF00"/>
        </patternFill>
      </fill>
    </dxf>
    <dxf>
      <fill>
        <patternFill>
          <bgColor rgb="FFFF0000"/>
        </patternFill>
      </fill>
    </dxf>
    <dxf>
      <fill>
        <patternFill>
          <bgColor rgb="FFFF0000"/>
        </patternFill>
      </fill>
    </dxf>
    <dxf>
      <fill>
        <patternFill>
          <bgColor rgb="FFFFC000"/>
        </patternFill>
      </fill>
    </dxf>
    <dxf>
      <fill>
        <patternFill>
          <bgColor theme="9" tint="0.59996337778862885"/>
        </patternFill>
      </fill>
    </dxf>
    <dxf>
      <fill>
        <patternFill>
          <bgColor rgb="FFFFFF00"/>
        </patternFill>
      </fill>
    </dxf>
    <dxf>
      <fill>
        <patternFill>
          <bgColor rgb="FFFF0000"/>
        </patternFill>
      </fill>
    </dxf>
    <dxf>
      <fill>
        <patternFill>
          <bgColor rgb="FFFF0000"/>
        </patternFill>
      </fill>
    </dxf>
    <dxf>
      <fill>
        <patternFill>
          <bgColor rgb="FFFFC000"/>
        </patternFill>
      </fill>
    </dxf>
    <dxf>
      <fill>
        <patternFill>
          <bgColor theme="9" tint="0.59996337778862885"/>
        </patternFill>
      </fill>
    </dxf>
    <dxf>
      <fill>
        <patternFill>
          <bgColor rgb="FFFFFF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C000"/>
        </patternFill>
      </fill>
    </dxf>
    <dxf>
      <fill>
        <patternFill>
          <bgColor theme="9" tint="0.59996337778862885"/>
        </patternFill>
      </fill>
    </dxf>
    <dxf>
      <fill>
        <patternFill>
          <bgColor rgb="FFFFFF00"/>
        </patternFill>
      </fill>
    </dxf>
    <dxf>
      <font>
        <color theme="0"/>
      </font>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C000"/>
        </patternFill>
      </fill>
    </dxf>
    <dxf>
      <fill>
        <patternFill>
          <bgColor theme="9" tint="0.59996337778862885"/>
        </patternFill>
      </fill>
    </dxf>
    <dxf>
      <fill>
        <patternFill>
          <bgColor rgb="FFFFFF00"/>
        </patternFill>
      </fill>
    </dxf>
    <dxf>
      <fill>
        <patternFill>
          <bgColor rgb="FFFF0000"/>
        </patternFill>
      </fill>
    </dxf>
    <dxf>
      <fill>
        <patternFill>
          <bgColor rgb="FFFF0000"/>
        </patternFill>
      </fill>
    </dxf>
    <dxf>
      <fill>
        <patternFill>
          <bgColor rgb="FFFFC000"/>
        </patternFill>
      </fill>
    </dxf>
    <dxf>
      <fill>
        <patternFill>
          <bgColor theme="9" tint="0.59996337778862885"/>
        </patternFill>
      </fill>
    </dxf>
    <dxf>
      <fill>
        <patternFill>
          <bgColor rgb="FFFFFF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C000"/>
        </patternFill>
      </fill>
    </dxf>
    <dxf>
      <fill>
        <patternFill>
          <bgColor theme="9" tint="0.59996337778862885"/>
        </patternFill>
      </fill>
    </dxf>
    <dxf>
      <fill>
        <patternFill>
          <bgColor rgb="FFFFFF00"/>
        </patternFill>
      </fill>
    </dxf>
    <dxf>
      <fill>
        <patternFill>
          <bgColor rgb="FFFF0000"/>
        </patternFill>
      </fill>
    </dxf>
    <dxf>
      <fill>
        <patternFill>
          <bgColor rgb="FFFF0000"/>
        </patternFill>
      </fill>
    </dxf>
    <dxf>
      <fill>
        <patternFill>
          <bgColor rgb="FFFFC000"/>
        </patternFill>
      </fill>
    </dxf>
    <dxf>
      <fill>
        <patternFill>
          <bgColor theme="9" tint="0.59996337778862885"/>
        </patternFill>
      </fill>
    </dxf>
    <dxf>
      <fill>
        <patternFill>
          <bgColor rgb="FFFFFF00"/>
        </patternFill>
      </fill>
    </dxf>
    <dxf>
      <font>
        <color theme="0" tint="-0.14996795556505021"/>
      </font>
      <fill>
        <patternFill>
          <bgColor theme="0" tint="-0.14996795556505021"/>
        </patternFill>
      </fill>
      <border>
        <left/>
        <right/>
        <top/>
        <bottom/>
      </border>
    </dxf>
    <dxf>
      <font>
        <color theme="0" tint="-0.14996795556505021"/>
      </font>
      <fill>
        <patternFill>
          <bgColor theme="0" tint="-0.14996795556505021"/>
        </patternFill>
      </fill>
      <border>
        <left style="thin">
          <color theme="0" tint="-0.14996795556505021"/>
        </left>
        <right style="thin">
          <color theme="0" tint="-0.14996795556505021"/>
        </right>
        <top style="thin">
          <color theme="0" tint="-0.14996795556505021"/>
        </top>
        <bottom style="thin">
          <color theme="0" tint="-0.14996795556505021"/>
        </bottom>
      </border>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C000"/>
        </patternFill>
      </fill>
    </dxf>
    <dxf>
      <fill>
        <patternFill>
          <bgColor theme="9" tint="0.59996337778862885"/>
        </patternFill>
      </fill>
    </dxf>
    <dxf>
      <fill>
        <patternFill>
          <bgColor rgb="FFFFFF00"/>
        </patternFill>
      </fill>
    </dxf>
    <dxf>
      <fill>
        <patternFill>
          <bgColor rgb="FFFF0000"/>
        </patternFill>
      </fill>
    </dxf>
    <dxf>
      <fill>
        <patternFill>
          <bgColor rgb="FFFF0000"/>
        </patternFill>
      </fill>
    </dxf>
    <dxf>
      <font>
        <color theme="0"/>
      </font>
      <fill>
        <patternFill>
          <bgColor rgb="FFFF0000"/>
        </patternFill>
      </fill>
    </dxf>
    <dxf>
      <fill>
        <patternFill>
          <bgColor rgb="FFFFC000"/>
        </patternFill>
      </fill>
    </dxf>
    <dxf>
      <fill>
        <patternFill>
          <bgColor theme="9" tint="0.59996337778862885"/>
        </patternFill>
      </fill>
    </dxf>
    <dxf>
      <fill>
        <patternFill>
          <bgColor rgb="FFFFFF00"/>
        </patternFill>
      </fill>
    </dxf>
    <dxf>
      <font>
        <color theme="0"/>
      </font>
      <fill>
        <patternFill>
          <bgColor rgb="FFFF0000"/>
        </patternFill>
      </fill>
    </dxf>
    <dxf>
      <font>
        <color theme="0" tint="-0.14996795556505021"/>
      </font>
      <fill>
        <patternFill>
          <bgColor theme="0" tint="-0.14996795556505021"/>
        </patternFill>
      </fill>
      <border>
        <left/>
        <right/>
        <top/>
        <bottom/>
      </border>
    </dxf>
    <dxf>
      <fill>
        <patternFill>
          <bgColor rgb="FFFFC000"/>
        </patternFill>
      </fill>
    </dxf>
    <dxf>
      <fill>
        <patternFill>
          <bgColor theme="9" tint="0.59996337778862885"/>
        </patternFill>
      </fill>
    </dxf>
    <dxf>
      <fill>
        <patternFill>
          <bgColor rgb="FFFFFF00"/>
        </patternFill>
      </fill>
    </dxf>
    <dxf>
      <fill>
        <patternFill>
          <bgColor theme="7" tint="0.59996337778862885"/>
        </patternFill>
      </fill>
    </dxf>
    <dxf>
      <font>
        <b/>
        <i val="0"/>
      </font>
    </dxf>
    <dxf>
      <font>
        <b/>
        <i val="0"/>
      </font>
    </dxf>
    <dxf>
      <fill>
        <patternFill>
          <bgColor theme="4" tint="0.79998168889431442"/>
        </patternFill>
      </fill>
    </dxf>
    <dxf>
      <fill>
        <patternFill>
          <bgColor theme="5" tint="0.79998168889431442"/>
        </patternFill>
      </fill>
    </dxf>
    <dxf>
      <font>
        <color theme="0" tint="-0.14996795556505021"/>
      </font>
      <fill>
        <patternFill>
          <bgColor theme="0" tint="-0.14996795556505021"/>
        </patternFill>
      </fill>
      <border>
        <left style="thin">
          <color theme="0" tint="-0.14996795556505021"/>
        </left>
        <right style="thin">
          <color theme="0" tint="-0.14996795556505021"/>
        </right>
        <top style="thin">
          <color theme="0" tint="-0.14996795556505021"/>
        </top>
        <bottom style="thin">
          <color theme="0" tint="-0.14996795556505021"/>
        </bottom>
      </border>
    </dxf>
    <dxf>
      <fill>
        <patternFill>
          <bgColor rgb="FFFFFF00"/>
        </patternFill>
      </fill>
    </dxf>
    <dxf>
      <numFmt numFmtId="12" formatCode="#,##0.00\ &quot;€&quot;;[Red]\-#,##0.00\ &quot;€&quot;"/>
      <border diagonalUp="0" diagonalDown="0">
        <left/>
        <right/>
        <top style="thin">
          <color auto="1"/>
        </top>
        <bottom style="thin">
          <color auto="1"/>
        </bottom>
        <vertical/>
        <horizontal style="thin">
          <color auto="1"/>
        </horizontal>
      </border>
      <protection locked="1" hidden="1"/>
    </dxf>
    <dxf>
      <numFmt numFmtId="12" formatCode="#,##0.00\ &quot;€&quot;;[Red]\-#,##0.00\ &quot;€&quot;"/>
      <border diagonalUp="0" diagonalDown="0">
        <left/>
        <right/>
        <top style="thin">
          <color auto="1"/>
        </top>
        <bottom style="thin">
          <color auto="1"/>
        </bottom>
        <vertical/>
        <horizontal style="thin">
          <color auto="1"/>
        </horizontal>
      </border>
      <protection locked="1" hidden="1"/>
    </dxf>
    <dxf>
      <numFmt numFmtId="12" formatCode="#,##0.00\ &quot;€&quot;;[Red]\-#,##0.00\ &quot;€&quot;"/>
      <border diagonalUp="0" diagonalDown="0">
        <left/>
        <right/>
        <top style="thin">
          <color auto="1"/>
        </top>
        <bottom style="thin">
          <color auto="1"/>
        </bottom>
        <vertical/>
        <horizontal style="thin">
          <color auto="1"/>
        </horizontal>
      </border>
      <protection locked="1" hidden="1"/>
    </dxf>
    <dxf>
      <numFmt numFmtId="12" formatCode="#,##0.00\ &quot;€&quot;;[Red]\-#,##0.00\ &quot;€&quot;"/>
      <border diagonalUp="0" diagonalDown="0">
        <left/>
        <right/>
        <top style="thin">
          <color auto="1"/>
        </top>
        <bottom style="thin">
          <color auto="1"/>
        </bottom>
        <vertical/>
        <horizontal style="thin">
          <color auto="1"/>
        </horizontal>
      </border>
      <protection locked="1" hidden="1"/>
    </dxf>
    <dxf>
      <alignment horizontal="center" vertical="bottom" textRotation="0" wrapText="0" indent="0" justifyLastLine="0" shrinkToFit="0" readingOrder="0"/>
      <border diagonalUp="0" diagonalDown="0">
        <left/>
        <right/>
        <top style="thin">
          <color auto="1"/>
        </top>
        <bottom style="thin">
          <color auto="1"/>
        </bottom>
        <vertical/>
        <horizontal style="thin">
          <color auto="1"/>
        </horizontal>
      </border>
      <protection locked="1" hidden="1"/>
    </dxf>
    <dxf>
      <border outline="0">
        <top style="thin">
          <color indexed="64"/>
        </top>
      </border>
    </dxf>
    <dxf>
      <border outline="0">
        <left style="thin">
          <color indexed="64"/>
        </left>
        <right style="thin">
          <color indexed="64"/>
        </right>
        <top style="thin">
          <color indexed="64"/>
        </top>
        <bottom style="thin">
          <color indexed="64"/>
        </bottom>
      </border>
    </dxf>
    <dxf>
      <protection locked="1" hidden="1"/>
    </dxf>
    <dxf>
      <border outline="0">
        <bottom style="thin">
          <color indexed="64"/>
        </bottom>
      </border>
    </dxf>
    <dxf>
      <numFmt numFmtId="12" formatCode="#,##0.00\ &quot;€&quot;;[Red]\-#,##0.00\ &quot;€&quot;"/>
      <alignment horizontal="center" vertical="bottom" textRotation="0" wrapText="0" indent="0" justifyLastLine="0" shrinkToFit="0" readingOrder="0"/>
      <border diagonalUp="0" diagonalDown="0">
        <left style="thin">
          <color indexed="64"/>
        </left>
        <right style="thin">
          <color indexed="64"/>
        </right>
        <top/>
        <bottom/>
      </border>
      <protection locked="1" hidden="1"/>
    </dxf>
  </dxfs>
  <tableStyles count="0" defaultTableStyle="TableStyleMedium2" defaultPivotStyle="PivotStyleLight16"/>
  <colors>
    <mruColors>
      <color rgb="FF0066FF"/>
      <color rgb="FFFF0000"/>
      <color rgb="FFDD9575"/>
      <color rgb="FFFF3300"/>
      <color rgb="FFF8CBAD"/>
      <color rgb="FFF48C84"/>
      <color rgb="FFF9A5A7"/>
      <color rgb="FF3399FF"/>
      <color rgb="FFE39289"/>
      <color rgb="FFE982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5.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4.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7.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sz="2000" b="1"/>
              <a:t>Versorgungsertrag bei externer Teilung</a:t>
            </a:r>
          </a:p>
          <a:p>
            <a:pPr>
              <a:defRPr/>
            </a:pPr>
            <a:r>
              <a:rPr lang="de-DE"/>
              <a:t>BilMoG-7 vs. BilMoG-10</a:t>
            </a:r>
          </a:p>
          <a:p>
            <a:pPr>
              <a:defRPr/>
            </a:pPr>
            <a:r>
              <a:rPr lang="de-DE"/>
              <a:t>in Quellversorgung bAV 50Jahre alter M und Zielversorgung DRV</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BilMoG-7-Zins</c:v>
          </c:tx>
          <c:spPr>
            <a:ln w="28575" cap="rnd">
              <a:solidFill>
                <a:schemeClr val="accent1"/>
              </a:solidFill>
              <a:round/>
            </a:ln>
            <a:effectLst/>
          </c:spPr>
          <c:marker>
            <c:symbol val="triangle"/>
            <c:size val="5"/>
            <c:spPr>
              <a:solidFill>
                <a:schemeClr val="accent1"/>
              </a:solidFill>
              <a:ln w="9525">
                <a:solidFill>
                  <a:schemeClr val="accent1"/>
                </a:solidFill>
              </a:ln>
              <a:effectLst/>
            </c:spPr>
          </c:marker>
          <c:cat>
            <c:numRef>
              <c:f>BilMoG10!$A$9:$A$99</c:f>
              <c:numCache>
                <c:formatCode>d/m/yyyy</c:formatCode>
                <c:ptCount val="91"/>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formatCode="m/d/yyyy">
                  <c:v>43312</c:v>
                </c:pt>
                <c:pt idx="43">
                  <c:v>43343</c:v>
                </c:pt>
                <c:pt idx="44" formatCode="m/d/yyyy">
                  <c:v>43373</c:v>
                </c:pt>
                <c:pt idx="45">
                  <c:v>43404</c:v>
                </c:pt>
                <c:pt idx="46" formatCode="m/d/yyyy">
                  <c:v>43434</c:v>
                </c:pt>
                <c:pt idx="47">
                  <c:v>43465</c:v>
                </c:pt>
                <c:pt idx="48" formatCode="m/d/yyyy">
                  <c:v>43496</c:v>
                </c:pt>
                <c:pt idx="49">
                  <c:v>43524</c:v>
                </c:pt>
                <c:pt idx="50" formatCode="m/d/yyyy">
                  <c:v>43555</c:v>
                </c:pt>
                <c:pt idx="51">
                  <c:v>43585</c:v>
                </c:pt>
                <c:pt idx="52" formatCode="m/d/yyyy">
                  <c:v>43616</c:v>
                </c:pt>
                <c:pt idx="53">
                  <c:v>43646</c:v>
                </c:pt>
                <c:pt idx="54" formatCode="m/d/yyyy">
                  <c:v>43677</c:v>
                </c:pt>
                <c:pt idx="55">
                  <c:v>43708</c:v>
                </c:pt>
                <c:pt idx="56" formatCode="m/d/yyyy">
                  <c:v>43738</c:v>
                </c:pt>
                <c:pt idx="57">
                  <c:v>43769</c:v>
                </c:pt>
                <c:pt idx="58" formatCode="m/d/yyyy">
                  <c:v>43799</c:v>
                </c:pt>
                <c:pt idx="59">
                  <c:v>43830</c:v>
                </c:pt>
                <c:pt idx="60" formatCode="m/d/yyyy">
                  <c:v>43861</c:v>
                </c:pt>
                <c:pt idx="61">
                  <c:v>43890</c:v>
                </c:pt>
                <c:pt idx="62" formatCode="m/d/yyyy">
                  <c:v>43921</c:v>
                </c:pt>
                <c:pt idx="63">
                  <c:v>43951</c:v>
                </c:pt>
                <c:pt idx="64" formatCode="m/d/yyyy">
                  <c:v>43982</c:v>
                </c:pt>
                <c:pt idx="65">
                  <c:v>44012</c:v>
                </c:pt>
                <c:pt idx="66" formatCode="m/d/yyyy">
                  <c:v>44043</c:v>
                </c:pt>
                <c:pt idx="67">
                  <c:v>44074</c:v>
                </c:pt>
                <c:pt idx="68" formatCode="m/d/yyyy">
                  <c:v>44104</c:v>
                </c:pt>
                <c:pt idx="69">
                  <c:v>44135</c:v>
                </c:pt>
                <c:pt idx="70" formatCode="m/d/yyyy">
                  <c:v>44165</c:v>
                </c:pt>
                <c:pt idx="71">
                  <c:v>44196</c:v>
                </c:pt>
                <c:pt idx="72" formatCode="m/d/yyyy">
                  <c:v>44227</c:v>
                </c:pt>
                <c:pt idx="73">
                  <c:v>44255</c:v>
                </c:pt>
                <c:pt idx="74" formatCode="m/d/yyyy">
                  <c:v>44286</c:v>
                </c:pt>
                <c:pt idx="75">
                  <c:v>44316</c:v>
                </c:pt>
                <c:pt idx="76" formatCode="m/d/yyyy">
                  <c:v>44347</c:v>
                </c:pt>
                <c:pt idx="77">
                  <c:v>44377</c:v>
                </c:pt>
                <c:pt idx="78" formatCode="m/d/yyyy">
                  <c:v>44408</c:v>
                </c:pt>
                <c:pt idx="79">
                  <c:v>44439</c:v>
                </c:pt>
                <c:pt idx="80" formatCode="m/d/yyyy">
                  <c:v>44469</c:v>
                </c:pt>
                <c:pt idx="81">
                  <c:v>44500</c:v>
                </c:pt>
                <c:pt idx="82" formatCode="m/d/yyyy">
                  <c:v>44530</c:v>
                </c:pt>
                <c:pt idx="83">
                  <c:v>44561</c:v>
                </c:pt>
                <c:pt idx="84" formatCode="m/d/yyyy">
                  <c:v>44592</c:v>
                </c:pt>
                <c:pt idx="85">
                  <c:v>44620</c:v>
                </c:pt>
                <c:pt idx="86" formatCode="m/d/yyyy">
                  <c:v>44651</c:v>
                </c:pt>
                <c:pt idx="87">
                  <c:v>44681</c:v>
                </c:pt>
                <c:pt idx="88" formatCode="m/d/yyyy">
                  <c:v>44712</c:v>
                </c:pt>
                <c:pt idx="89">
                  <c:v>44742</c:v>
                </c:pt>
                <c:pt idx="90" formatCode="m/d/yyyy">
                  <c:v>44773</c:v>
                </c:pt>
              </c:numCache>
            </c:numRef>
          </c:cat>
          <c:val>
            <c:numRef>
              <c:f>BilMoG10!$BB$9:$BB$100</c:f>
              <c:numCache>
                <c:formatCode>General</c:formatCode>
                <c:ptCount val="92"/>
                <c:pt idx="0">
                  <c:v>4.4800000000000004</c:v>
                </c:pt>
                <c:pt idx="1">
                  <c:v>4.43</c:v>
                </c:pt>
                <c:pt idx="2">
                  <c:v>4.37</c:v>
                </c:pt>
                <c:pt idx="3">
                  <c:v>4.3099999999999996</c:v>
                </c:pt>
                <c:pt idx="4">
                  <c:v>4.26</c:v>
                </c:pt>
                <c:pt idx="5">
                  <c:v>4.21</c:v>
                </c:pt>
                <c:pt idx="6">
                  <c:v>4.17</c:v>
                </c:pt>
                <c:pt idx="7">
                  <c:v>4.12</c:v>
                </c:pt>
                <c:pt idx="8">
                  <c:v>4.07</c:v>
                </c:pt>
                <c:pt idx="9">
                  <c:v>4</c:v>
                </c:pt>
                <c:pt idx="10">
                  <c:v>3.94</c:v>
                </c:pt>
                <c:pt idx="11">
                  <c:v>3.89</c:v>
                </c:pt>
                <c:pt idx="12">
                  <c:v>3.83</c:v>
                </c:pt>
                <c:pt idx="13">
                  <c:v>3.76</c:v>
                </c:pt>
                <c:pt idx="14">
                  <c:v>3.7</c:v>
                </c:pt>
                <c:pt idx="15">
                  <c:v>3.64</c:v>
                </c:pt>
                <c:pt idx="16">
                  <c:v>3.58</c:v>
                </c:pt>
                <c:pt idx="17">
                  <c:v>3.52</c:v>
                </c:pt>
                <c:pt idx="18">
                  <c:v>3.47</c:v>
                </c:pt>
                <c:pt idx="19">
                  <c:v>3.42</c:v>
                </c:pt>
                <c:pt idx="20">
                  <c:v>3.37</c:v>
                </c:pt>
                <c:pt idx="21">
                  <c:v>3.32</c:v>
                </c:pt>
                <c:pt idx="22">
                  <c:v>3.28</c:v>
                </c:pt>
                <c:pt idx="23">
                  <c:v>3.24</c:v>
                </c:pt>
                <c:pt idx="24">
                  <c:v>3.2</c:v>
                </c:pt>
                <c:pt idx="25">
                  <c:v>3.16</c:v>
                </c:pt>
                <c:pt idx="26">
                  <c:v>3.12</c:v>
                </c:pt>
                <c:pt idx="27">
                  <c:v>3.08</c:v>
                </c:pt>
                <c:pt idx="28">
                  <c:v>3.04</c:v>
                </c:pt>
                <c:pt idx="29">
                  <c:v>3</c:v>
                </c:pt>
                <c:pt idx="30">
                  <c:v>2.97</c:v>
                </c:pt>
                <c:pt idx="31">
                  <c:v>2.94</c:v>
                </c:pt>
                <c:pt idx="32">
                  <c:v>2.91</c:v>
                </c:pt>
                <c:pt idx="33">
                  <c:v>2.88</c:v>
                </c:pt>
                <c:pt idx="34">
                  <c:v>2.84</c:v>
                </c:pt>
                <c:pt idx="35">
                  <c:v>2.8</c:v>
                </c:pt>
                <c:pt idx="36">
                  <c:v>2.76</c:v>
                </c:pt>
                <c:pt idx="37">
                  <c:v>2.72</c:v>
                </c:pt>
                <c:pt idx="38">
                  <c:v>2.68</c:v>
                </c:pt>
                <c:pt idx="39">
                  <c:v>2.64</c:v>
                </c:pt>
                <c:pt idx="40">
                  <c:v>2.6</c:v>
                </c:pt>
                <c:pt idx="41">
                  <c:v>2.56</c:v>
                </c:pt>
                <c:pt idx="42">
                  <c:v>2.52</c:v>
                </c:pt>
                <c:pt idx="43">
                  <c:v>2.48</c:v>
                </c:pt>
                <c:pt idx="44">
                  <c:v>2.4300000000000002</c:v>
                </c:pt>
                <c:pt idx="45">
                  <c:v>2.4</c:v>
                </c:pt>
                <c:pt idx="46">
                  <c:v>2.36</c:v>
                </c:pt>
                <c:pt idx="47">
                  <c:v>2.3199999999999998</c:v>
                </c:pt>
                <c:pt idx="48">
                  <c:v>2.29</c:v>
                </c:pt>
                <c:pt idx="49">
                  <c:v>2.2599999999999998</c:v>
                </c:pt>
                <c:pt idx="50">
                  <c:v>2.23</c:v>
                </c:pt>
                <c:pt idx="51">
                  <c:v>2.2000000000000002</c:v>
                </c:pt>
                <c:pt idx="52">
                  <c:v>2.1800000000000002</c:v>
                </c:pt>
                <c:pt idx="53">
                  <c:v>2.15</c:v>
                </c:pt>
                <c:pt idx="54">
                  <c:v>2.12</c:v>
                </c:pt>
                <c:pt idx="55">
                  <c:v>2.08</c:v>
                </c:pt>
                <c:pt idx="56">
                  <c:v>2.0499999999999998</c:v>
                </c:pt>
                <c:pt idx="57">
                  <c:v>2.02</c:v>
                </c:pt>
                <c:pt idx="58">
                  <c:v>2</c:v>
                </c:pt>
                <c:pt idx="59">
                  <c:v>1.97</c:v>
                </c:pt>
                <c:pt idx="60">
                  <c:v>1.94</c:v>
                </c:pt>
                <c:pt idx="61">
                  <c:v>1.91</c:v>
                </c:pt>
                <c:pt idx="62">
                  <c:v>1.89</c:v>
                </c:pt>
                <c:pt idx="63">
                  <c:v>1.87</c:v>
                </c:pt>
                <c:pt idx="64">
                  <c:v>1.84</c:v>
                </c:pt>
                <c:pt idx="65">
                  <c:v>1.81</c:v>
                </c:pt>
                <c:pt idx="66">
                  <c:v>1.78</c:v>
                </c:pt>
                <c:pt idx="67">
                  <c:v>1.74</c:v>
                </c:pt>
                <c:pt idx="68">
                  <c:v>1.71</c:v>
                </c:pt>
                <c:pt idx="69">
                  <c:v>1.68</c:v>
                </c:pt>
                <c:pt idx="70">
                  <c:v>1.64</c:v>
                </c:pt>
                <c:pt idx="71">
                  <c:v>1.6</c:v>
                </c:pt>
                <c:pt idx="72">
                  <c:v>1.57</c:v>
                </c:pt>
                <c:pt idx="73">
                  <c:v>1.54</c:v>
                </c:pt>
                <c:pt idx="74">
                  <c:v>1.51</c:v>
                </c:pt>
                <c:pt idx="75">
                  <c:v>1.49</c:v>
                </c:pt>
                <c:pt idx="76">
                  <c:v>1.47</c:v>
                </c:pt>
                <c:pt idx="77">
                  <c:v>1.45</c:v>
                </c:pt>
                <c:pt idx="78">
                  <c:v>1.42</c:v>
                </c:pt>
                <c:pt idx="79">
                  <c:v>1.41</c:v>
                </c:pt>
                <c:pt idx="80">
                  <c:v>1.39</c:v>
                </c:pt>
                <c:pt idx="81">
                  <c:v>1.37</c:v>
                </c:pt>
                <c:pt idx="82">
                  <c:v>1.36</c:v>
                </c:pt>
                <c:pt idx="83">
                  <c:v>1.35</c:v>
                </c:pt>
                <c:pt idx="84">
                  <c:v>1.34</c:v>
                </c:pt>
                <c:pt idx="85">
                  <c:v>1.35</c:v>
                </c:pt>
                <c:pt idx="86">
                  <c:v>1.35</c:v>
                </c:pt>
                <c:pt idx="87">
                  <c:v>1.36</c:v>
                </c:pt>
                <c:pt idx="88">
                  <c:v>1.37</c:v>
                </c:pt>
                <c:pt idx="89">
                  <c:v>1.38</c:v>
                </c:pt>
                <c:pt idx="90">
                  <c:v>1.38</c:v>
                </c:pt>
                <c:pt idx="91">
                  <c:v>1.38</c:v>
                </c:pt>
              </c:numCache>
            </c:numRef>
          </c:val>
          <c:smooth val="0"/>
          <c:extLst>
            <c:ext xmlns:c16="http://schemas.microsoft.com/office/drawing/2014/chart" uri="{C3380CC4-5D6E-409C-BE32-E72D297353CC}">
              <c16:uniqueId val="{00000000-C5AE-4471-ADF0-9C6DB64C9265}"/>
            </c:ext>
          </c:extLst>
        </c:ser>
        <c:ser>
          <c:idx val="1"/>
          <c:order val="1"/>
          <c:tx>
            <c:v>BilMoG-10-Zins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BilMoG10!$A$9:$A$99</c:f>
              <c:numCache>
                <c:formatCode>d/m/yyyy</c:formatCode>
                <c:ptCount val="91"/>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formatCode="m/d/yyyy">
                  <c:v>43312</c:v>
                </c:pt>
                <c:pt idx="43">
                  <c:v>43343</c:v>
                </c:pt>
                <c:pt idx="44" formatCode="m/d/yyyy">
                  <c:v>43373</c:v>
                </c:pt>
                <c:pt idx="45">
                  <c:v>43404</c:v>
                </c:pt>
                <c:pt idx="46" formatCode="m/d/yyyy">
                  <c:v>43434</c:v>
                </c:pt>
                <c:pt idx="47">
                  <c:v>43465</c:v>
                </c:pt>
                <c:pt idx="48" formatCode="m/d/yyyy">
                  <c:v>43496</c:v>
                </c:pt>
                <c:pt idx="49">
                  <c:v>43524</c:v>
                </c:pt>
                <c:pt idx="50" formatCode="m/d/yyyy">
                  <c:v>43555</c:v>
                </c:pt>
                <c:pt idx="51">
                  <c:v>43585</c:v>
                </c:pt>
                <c:pt idx="52" formatCode="m/d/yyyy">
                  <c:v>43616</c:v>
                </c:pt>
                <c:pt idx="53">
                  <c:v>43646</c:v>
                </c:pt>
                <c:pt idx="54" formatCode="m/d/yyyy">
                  <c:v>43677</c:v>
                </c:pt>
                <c:pt idx="55">
                  <c:v>43708</c:v>
                </c:pt>
                <c:pt idx="56" formatCode="m/d/yyyy">
                  <c:v>43738</c:v>
                </c:pt>
                <c:pt idx="57">
                  <c:v>43769</c:v>
                </c:pt>
                <c:pt idx="58" formatCode="m/d/yyyy">
                  <c:v>43799</c:v>
                </c:pt>
                <c:pt idx="59">
                  <c:v>43830</c:v>
                </c:pt>
                <c:pt idx="60" formatCode="m/d/yyyy">
                  <c:v>43861</c:v>
                </c:pt>
                <c:pt idx="61">
                  <c:v>43890</c:v>
                </c:pt>
                <c:pt idx="62" formatCode="m/d/yyyy">
                  <c:v>43921</c:v>
                </c:pt>
                <c:pt idx="63">
                  <c:v>43951</c:v>
                </c:pt>
                <c:pt idx="64" formatCode="m/d/yyyy">
                  <c:v>43982</c:v>
                </c:pt>
                <c:pt idx="65">
                  <c:v>44012</c:v>
                </c:pt>
                <c:pt idx="66" formatCode="m/d/yyyy">
                  <c:v>44043</c:v>
                </c:pt>
                <c:pt idx="67">
                  <c:v>44074</c:v>
                </c:pt>
                <c:pt idx="68" formatCode="m/d/yyyy">
                  <c:v>44104</c:v>
                </c:pt>
                <c:pt idx="69">
                  <c:v>44135</c:v>
                </c:pt>
                <c:pt idx="70" formatCode="m/d/yyyy">
                  <c:v>44165</c:v>
                </c:pt>
                <c:pt idx="71">
                  <c:v>44196</c:v>
                </c:pt>
                <c:pt idx="72" formatCode="m/d/yyyy">
                  <c:v>44227</c:v>
                </c:pt>
                <c:pt idx="73">
                  <c:v>44255</c:v>
                </c:pt>
                <c:pt idx="74" formatCode="m/d/yyyy">
                  <c:v>44286</c:v>
                </c:pt>
                <c:pt idx="75">
                  <c:v>44316</c:v>
                </c:pt>
                <c:pt idx="76" formatCode="m/d/yyyy">
                  <c:v>44347</c:v>
                </c:pt>
                <c:pt idx="77">
                  <c:v>44377</c:v>
                </c:pt>
                <c:pt idx="78" formatCode="m/d/yyyy">
                  <c:v>44408</c:v>
                </c:pt>
                <c:pt idx="79">
                  <c:v>44439</c:v>
                </c:pt>
                <c:pt idx="80" formatCode="m/d/yyyy">
                  <c:v>44469</c:v>
                </c:pt>
                <c:pt idx="81">
                  <c:v>44500</c:v>
                </c:pt>
                <c:pt idx="82" formatCode="m/d/yyyy">
                  <c:v>44530</c:v>
                </c:pt>
                <c:pt idx="83">
                  <c:v>44561</c:v>
                </c:pt>
                <c:pt idx="84" formatCode="m/d/yyyy">
                  <c:v>44592</c:v>
                </c:pt>
                <c:pt idx="85">
                  <c:v>44620</c:v>
                </c:pt>
                <c:pt idx="86" formatCode="m/d/yyyy">
                  <c:v>44651</c:v>
                </c:pt>
                <c:pt idx="87">
                  <c:v>44681</c:v>
                </c:pt>
                <c:pt idx="88" formatCode="m/d/yyyy">
                  <c:v>44712</c:v>
                </c:pt>
                <c:pt idx="89">
                  <c:v>44742</c:v>
                </c:pt>
                <c:pt idx="90" formatCode="m/d/yyyy">
                  <c:v>44773</c:v>
                </c:pt>
              </c:numCache>
            </c:numRef>
          </c:cat>
          <c:val>
            <c:numRef>
              <c:f>BilMoG10!$P$9:$P$99</c:f>
              <c:numCache>
                <c:formatCode>General</c:formatCode>
                <c:ptCount val="91"/>
                <c:pt idx="0">
                  <c:v>4.51</c:v>
                </c:pt>
                <c:pt idx="1">
                  <c:v>4.4800000000000004</c:v>
                </c:pt>
                <c:pt idx="2">
                  <c:v>4.46</c:v>
                </c:pt>
                <c:pt idx="3">
                  <c:v>4.43</c:v>
                </c:pt>
                <c:pt idx="4">
                  <c:v>4.41</c:v>
                </c:pt>
                <c:pt idx="5">
                  <c:v>4.3899999999999997</c:v>
                </c:pt>
                <c:pt idx="6">
                  <c:v>4.38</c:v>
                </c:pt>
                <c:pt idx="7">
                  <c:v>4.3600000000000003</c:v>
                </c:pt>
                <c:pt idx="8">
                  <c:v>4.3499999999999996</c:v>
                </c:pt>
                <c:pt idx="9">
                  <c:v>4.33</c:v>
                </c:pt>
                <c:pt idx="10">
                  <c:v>4.32</c:v>
                </c:pt>
                <c:pt idx="11">
                  <c:v>4.3099999999999996</c:v>
                </c:pt>
                <c:pt idx="12">
                  <c:v>4.29</c:v>
                </c:pt>
                <c:pt idx="13">
                  <c:v>4.2699999999999996</c:v>
                </c:pt>
                <c:pt idx="14">
                  <c:v>4.24</c:v>
                </c:pt>
                <c:pt idx="15">
                  <c:v>4.22</c:v>
                </c:pt>
                <c:pt idx="16">
                  <c:v>4.2</c:v>
                </c:pt>
                <c:pt idx="17">
                  <c:v>4.17</c:v>
                </c:pt>
                <c:pt idx="18">
                  <c:v>4.1399999999999997</c:v>
                </c:pt>
                <c:pt idx="19">
                  <c:v>4.1100000000000003</c:v>
                </c:pt>
                <c:pt idx="20">
                  <c:v>4.08</c:v>
                </c:pt>
                <c:pt idx="21">
                  <c:v>4.0599999999999996</c:v>
                </c:pt>
                <c:pt idx="22">
                  <c:v>4.03</c:v>
                </c:pt>
                <c:pt idx="23">
                  <c:v>4.01</c:v>
                </c:pt>
                <c:pt idx="24">
                  <c:v>3.99</c:v>
                </c:pt>
                <c:pt idx="25">
                  <c:v>3.96</c:v>
                </c:pt>
                <c:pt idx="26">
                  <c:v>3.94</c:v>
                </c:pt>
                <c:pt idx="27">
                  <c:v>3.91</c:v>
                </c:pt>
                <c:pt idx="28">
                  <c:v>3.88</c:v>
                </c:pt>
                <c:pt idx="29">
                  <c:v>3.86</c:v>
                </c:pt>
                <c:pt idx="30">
                  <c:v>3.83</c:v>
                </c:pt>
                <c:pt idx="31">
                  <c:v>3.8</c:v>
                </c:pt>
                <c:pt idx="32">
                  <c:v>3.77</c:v>
                </c:pt>
                <c:pt idx="33">
                  <c:v>3.74</c:v>
                </c:pt>
                <c:pt idx="34">
                  <c:v>3.71</c:v>
                </c:pt>
                <c:pt idx="35">
                  <c:v>3.68</c:v>
                </c:pt>
                <c:pt idx="36">
                  <c:v>3.64</c:v>
                </c:pt>
                <c:pt idx="37">
                  <c:v>3.61</c:v>
                </c:pt>
                <c:pt idx="38">
                  <c:v>3.57</c:v>
                </c:pt>
                <c:pt idx="39">
                  <c:v>3.53</c:v>
                </c:pt>
                <c:pt idx="40">
                  <c:v>3.5</c:v>
                </c:pt>
                <c:pt idx="41">
                  <c:v>3.46</c:v>
                </c:pt>
                <c:pt idx="42">
                  <c:v>3.42</c:v>
                </c:pt>
                <c:pt idx="43">
                  <c:v>3.39</c:v>
                </c:pt>
                <c:pt idx="44">
                  <c:v>3.34</c:v>
                </c:pt>
                <c:pt idx="45">
                  <c:v>3.29</c:v>
                </c:pt>
                <c:pt idx="46">
                  <c:v>3.25</c:v>
                </c:pt>
                <c:pt idx="47">
                  <c:v>3.21</c:v>
                </c:pt>
                <c:pt idx="48">
                  <c:v>3.16</c:v>
                </c:pt>
                <c:pt idx="49">
                  <c:v>3.12</c:v>
                </c:pt>
                <c:pt idx="50">
                  <c:v>3.07</c:v>
                </c:pt>
                <c:pt idx="51">
                  <c:v>3.03</c:v>
                </c:pt>
                <c:pt idx="52">
                  <c:v>2.98</c:v>
                </c:pt>
                <c:pt idx="53">
                  <c:v>2.94</c:v>
                </c:pt>
                <c:pt idx="54">
                  <c:v>2.9</c:v>
                </c:pt>
                <c:pt idx="55">
                  <c:v>2.86</c:v>
                </c:pt>
                <c:pt idx="56">
                  <c:v>2.82</c:v>
                </c:pt>
                <c:pt idx="57">
                  <c:v>2.79</c:v>
                </c:pt>
                <c:pt idx="58">
                  <c:v>2.75</c:v>
                </c:pt>
                <c:pt idx="59">
                  <c:v>2.71</c:v>
                </c:pt>
                <c:pt idx="60">
                  <c:v>2.68</c:v>
                </c:pt>
                <c:pt idx="61">
                  <c:v>2.64</c:v>
                </c:pt>
                <c:pt idx="62">
                  <c:v>2.61</c:v>
                </c:pt>
                <c:pt idx="63">
                  <c:v>2.58</c:v>
                </c:pt>
                <c:pt idx="64">
                  <c:v>2.54</c:v>
                </c:pt>
                <c:pt idx="65">
                  <c:v>2.5099999999999998</c:v>
                </c:pt>
                <c:pt idx="66">
                  <c:v>2.4700000000000002</c:v>
                </c:pt>
                <c:pt idx="67">
                  <c:v>2.4500000000000002</c:v>
                </c:pt>
                <c:pt idx="68">
                  <c:v>2.41</c:v>
                </c:pt>
                <c:pt idx="69">
                  <c:v>2.38</c:v>
                </c:pt>
                <c:pt idx="70">
                  <c:v>2.34</c:v>
                </c:pt>
                <c:pt idx="71">
                  <c:v>2.2999999999999998</c:v>
                </c:pt>
                <c:pt idx="72">
                  <c:v>2.2599999999999998</c:v>
                </c:pt>
                <c:pt idx="73">
                  <c:v>2.23</c:v>
                </c:pt>
                <c:pt idx="74">
                  <c:v>2.19</c:v>
                </c:pt>
                <c:pt idx="75">
                  <c:v>2.16</c:v>
                </c:pt>
                <c:pt idx="76">
                  <c:v>2.12</c:v>
                </c:pt>
                <c:pt idx="77">
                  <c:v>2.09</c:v>
                </c:pt>
                <c:pt idx="78">
                  <c:v>2.0499999999999998</c:v>
                </c:pt>
                <c:pt idx="79">
                  <c:v>2.0099999999999998</c:v>
                </c:pt>
                <c:pt idx="80">
                  <c:v>1.98</c:v>
                </c:pt>
                <c:pt idx="81">
                  <c:v>1.94</c:v>
                </c:pt>
                <c:pt idx="82">
                  <c:v>1.9</c:v>
                </c:pt>
                <c:pt idx="83">
                  <c:v>1.87</c:v>
                </c:pt>
                <c:pt idx="84">
                  <c:v>1.85</c:v>
                </c:pt>
                <c:pt idx="85">
                  <c:v>1.82</c:v>
                </c:pt>
                <c:pt idx="86">
                  <c:v>1.81</c:v>
                </c:pt>
                <c:pt idx="87">
                  <c:v>1.79</c:v>
                </c:pt>
                <c:pt idx="88">
                  <c:v>1.79</c:v>
                </c:pt>
                <c:pt idx="89">
                  <c:v>1.78</c:v>
                </c:pt>
                <c:pt idx="90">
                  <c:v>1.78</c:v>
                </c:pt>
              </c:numCache>
            </c:numRef>
          </c:val>
          <c:smooth val="0"/>
          <c:extLst>
            <c:ext xmlns:c16="http://schemas.microsoft.com/office/drawing/2014/chart" uri="{C3380CC4-5D6E-409C-BE32-E72D297353CC}">
              <c16:uniqueId val="{00000001-C5AE-4471-ADF0-9C6DB64C9265}"/>
            </c:ext>
          </c:extLst>
        </c:ser>
        <c:dLbls>
          <c:showLegendKey val="0"/>
          <c:showVal val="0"/>
          <c:showCatName val="0"/>
          <c:showSerName val="0"/>
          <c:showPercent val="0"/>
          <c:showBubbleSize val="0"/>
        </c:dLbls>
        <c:marker val="1"/>
        <c:smooth val="0"/>
        <c:axId val="496450616"/>
        <c:axId val="496451600"/>
      </c:lineChart>
      <c:lineChart>
        <c:grouping val="standard"/>
        <c:varyColors val="0"/>
        <c:ser>
          <c:idx val="2"/>
          <c:order val="2"/>
          <c:tx>
            <c:v>BW BilMoG-7 QV</c:v>
          </c:tx>
          <c:spPr>
            <a:ln w="50800" cap="rnd">
              <a:solidFill>
                <a:schemeClr val="accent3"/>
              </a:solidFill>
              <a:round/>
            </a:ln>
            <a:effectLst/>
          </c:spPr>
          <c:marker>
            <c:symbol val="none"/>
          </c:marker>
          <c:val>
            <c:numRef>
              <c:f>'BilMoG-7'!$BD$82:$BD$172</c:f>
              <c:numCache>
                <c:formatCode>#,##0</c:formatCode>
                <c:ptCount val="91"/>
                <c:pt idx="0">
                  <c:v>20818</c:v>
                </c:pt>
                <c:pt idx="1">
                  <c:v>21119.583333333332</c:v>
                </c:pt>
                <c:pt idx="2">
                  <c:v>21421.166666666668</c:v>
                </c:pt>
                <c:pt idx="3">
                  <c:v>21722.75</c:v>
                </c:pt>
                <c:pt idx="4">
                  <c:v>22024.333333333332</c:v>
                </c:pt>
                <c:pt idx="5">
                  <c:v>22325.916666666668</c:v>
                </c:pt>
                <c:pt idx="6">
                  <c:v>22627.5</c:v>
                </c:pt>
                <c:pt idx="7">
                  <c:v>22929.083333333332</c:v>
                </c:pt>
                <c:pt idx="8">
                  <c:v>23230.666666666668</c:v>
                </c:pt>
                <c:pt idx="9">
                  <c:v>23532.25</c:v>
                </c:pt>
                <c:pt idx="10">
                  <c:v>23833.833333333332</c:v>
                </c:pt>
                <c:pt idx="11">
                  <c:v>24135.416666666668</c:v>
                </c:pt>
                <c:pt idx="12">
                  <c:v>24437</c:v>
                </c:pt>
                <c:pt idx="13">
                  <c:v>24802.916666666668</c:v>
                </c:pt>
                <c:pt idx="14">
                  <c:v>25168.833333333332</c:v>
                </c:pt>
                <c:pt idx="15">
                  <c:v>25534.75</c:v>
                </c:pt>
                <c:pt idx="16">
                  <c:v>25900.666666666668</c:v>
                </c:pt>
                <c:pt idx="17">
                  <c:v>26266.583333333332</c:v>
                </c:pt>
                <c:pt idx="18">
                  <c:v>26632.5</c:v>
                </c:pt>
                <c:pt idx="19">
                  <c:v>26998.416666666668</c:v>
                </c:pt>
                <c:pt idx="20">
                  <c:v>27364.333333333332</c:v>
                </c:pt>
                <c:pt idx="21">
                  <c:v>27730.25</c:v>
                </c:pt>
                <c:pt idx="22">
                  <c:v>28096.166666666668</c:v>
                </c:pt>
                <c:pt idx="23">
                  <c:v>28462.083333333332</c:v>
                </c:pt>
                <c:pt idx="24">
                  <c:v>28828</c:v>
                </c:pt>
                <c:pt idx="25">
                  <c:v>29123.916666666668</c:v>
                </c:pt>
                <c:pt idx="26">
                  <c:v>29419.833333333332</c:v>
                </c:pt>
                <c:pt idx="27">
                  <c:v>29715.75</c:v>
                </c:pt>
                <c:pt idx="28">
                  <c:v>30011.666666666668</c:v>
                </c:pt>
                <c:pt idx="29">
                  <c:v>30307.583333333332</c:v>
                </c:pt>
                <c:pt idx="30">
                  <c:v>30603.5</c:v>
                </c:pt>
                <c:pt idx="31">
                  <c:v>30899.416666666668</c:v>
                </c:pt>
                <c:pt idx="32">
                  <c:v>31195.333333333332</c:v>
                </c:pt>
                <c:pt idx="33">
                  <c:v>31491.25</c:v>
                </c:pt>
                <c:pt idx="34">
                  <c:v>31787.166666666668</c:v>
                </c:pt>
                <c:pt idx="35">
                  <c:v>32083.083333333332</c:v>
                </c:pt>
                <c:pt idx="36">
                  <c:v>32379</c:v>
                </c:pt>
                <c:pt idx="37">
                  <c:v>32746.916666666668</c:v>
                </c:pt>
                <c:pt idx="38">
                  <c:v>33114.833333333336</c:v>
                </c:pt>
                <c:pt idx="39">
                  <c:v>33482.75</c:v>
                </c:pt>
                <c:pt idx="40">
                  <c:v>33850.666666666664</c:v>
                </c:pt>
                <c:pt idx="41">
                  <c:v>34218.583333333336</c:v>
                </c:pt>
                <c:pt idx="42">
                  <c:v>34586.5</c:v>
                </c:pt>
                <c:pt idx="43">
                  <c:v>34954.416666666664</c:v>
                </c:pt>
                <c:pt idx="44">
                  <c:v>35322.333333333336</c:v>
                </c:pt>
                <c:pt idx="45">
                  <c:v>35690.25</c:v>
                </c:pt>
                <c:pt idx="46">
                  <c:v>36058.166666666664</c:v>
                </c:pt>
                <c:pt idx="47">
                  <c:v>36426.083333333336</c:v>
                </c:pt>
                <c:pt idx="48">
                  <c:v>36794</c:v>
                </c:pt>
                <c:pt idx="49">
                  <c:v>37103.25</c:v>
                </c:pt>
                <c:pt idx="50">
                  <c:v>37412.5</c:v>
                </c:pt>
                <c:pt idx="51">
                  <c:v>37721.75</c:v>
                </c:pt>
                <c:pt idx="52">
                  <c:v>38031</c:v>
                </c:pt>
                <c:pt idx="53">
                  <c:v>38340.25</c:v>
                </c:pt>
                <c:pt idx="54">
                  <c:v>38649.5</c:v>
                </c:pt>
                <c:pt idx="55">
                  <c:v>38958.75</c:v>
                </c:pt>
                <c:pt idx="56">
                  <c:v>39268</c:v>
                </c:pt>
                <c:pt idx="57">
                  <c:v>39577.25</c:v>
                </c:pt>
                <c:pt idx="58">
                  <c:v>39886.5</c:v>
                </c:pt>
                <c:pt idx="59">
                  <c:v>40195.75</c:v>
                </c:pt>
                <c:pt idx="60">
                  <c:v>40505</c:v>
                </c:pt>
                <c:pt idx="61">
                  <c:v>40870.166666666664</c:v>
                </c:pt>
                <c:pt idx="62">
                  <c:v>41235.333333333336</c:v>
                </c:pt>
                <c:pt idx="63">
                  <c:v>41600.5</c:v>
                </c:pt>
                <c:pt idx="64">
                  <c:v>41965.666666666664</c:v>
                </c:pt>
                <c:pt idx="65">
                  <c:v>42330.833333333336</c:v>
                </c:pt>
                <c:pt idx="66">
                  <c:v>42696</c:v>
                </c:pt>
                <c:pt idx="67">
                  <c:v>43061.166666666664</c:v>
                </c:pt>
                <c:pt idx="68">
                  <c:v>43426.333333333336</c:v>
                </c:pt>
                <c:pt idx="69">
                  <c:v>43791.5</c:v>
                </c:pt>
                <c:pt idx="70">
                  <c:v>44156.666666666664</c:v>
                </c:pt>
                <c:pt idx="71">
                  <c:v>44521.833333333336</c:v>
                </c:pt>
                <c:pt idx="72">
                  <c:v>44887</c:v>
                </c:pt>
                <c:pt idx="73">
                  <c:v>45168.25</c:v>
                </c:pt>
                <c:pt idx="74">
                  <c:v>45449.5</c:v>
                </c:pt>
                <c:pt idx="75">
                  <c:v>45730.75</c:v>
                </c:pt>
                <c:pt idx="76">
                  <c:v>46012</c:v>
                </c:pt>
                <c:pt idx="77">
                  <c:v>46293.25</c:v>
                </c:pt>
                <c:pt idx="78">
                  <c:v>46574.5</c:v>
                </c:pt>
                <c:pt idx="79">
                  <c:v>46855.75</c:v>
                </c:pt>
                <c:pt idx="80">
                  <c:v>47137</c:v>
                </c:pt>
                <c:pt idx="81">
                  <c:v>47418.25</c:v>
                </c:pt>
                <c:pt idx="82">
                  <c:v>47699.5</c:v>
                </c:pt>
                <c:pt idx="83">
                  <c:v>47980.75</c:v>
                </c:pt>
                <c:pt idx="84">
                  <c:v>48262</c:v>
                </c:pt>
                <c:pt idx="85">
                  <c:v>48255.142857142855</c:v>
                </c:pt>
                <c:pt idx="86">
                  <c:v>48248.285714285717</c:v>
                </c:pt>
                <c:pt idx="87">
                  <c:v>48241.428571428572</c:v>
                </c:pt>
                <c:pt idx="88">
                  <c:v>48234.571428571428</c:v>
                </c:pt>
                <c:pt idx="89">
                  <c:v>48227.714285714283</c:v>
                </c:pt>
                <c:pt idx="90">
                  <c:v>48214</c:v>
                </c:pt>
              </c:numCache>
            </c:numRef>
          </c:val>
          <c:smooth val="0"/>
          <c:extLst>
            <c:ext xmlns:c16="http://schemas.microsoft.com/office/drawing/2014/chart" uri="{C3380CC4-5D6E-409C-BE32-E72D297353CC}">
              <c16:uniqueId val="{00000005-C5AE-4471-ADF0-9C6DB64C9265}"/>
            </c:ext>
          </c:extLst>
        </c:ser>
        <c:ser>
          <c:idx val="3"/>
          <c:order val="3"/>
          <c:tx>
            <c:v>BW BilMoG-7 DRV</c:v>
          </c:tx>
          <c:spPr>
            <a:ln w="50800" cap="rnd">
              <a:solidFill>
                <a:schemeClr val="accent4"/>
              </a:solidFill>
              <a:round/>
            </a:ln>
            <a:effectLst/>
          </c:spPr>
          <c:marker>
            <c:symbol val="none"/>
          </c:marker>
          <c:val>
            <c:numRef>
              <c:f>'BilMoG-7'!$BE$82:$BE$172</c:f>
              <c:numCache>
                <c:formatCode>#,##0</c:formatCode>
                <c:ptCount val="91"/>
                <c:pt idx="0">
                  <c:v>12675</c:v>
                </c:pt>
                <c:pt idx="1">
                  <c:v>13070.083333333334</c:v>
                </c:pt>
                <c:pt idx="2">
                  <c:v>13465.166666666666</c:v>
                </c:pt>
                <c:pt idx="3">
                  <c:v>13860.25</c:v>
                </c:pt>
                <c:pt idx="4">
                  <c:v>14255.333333333334</c:v>
                </c:pt>
                <c:pt idx="5">
                  <c:v>14650.416666666666</c:v>
                </c:pt>
                <c:pt idx="6">
                  <c:v>15045.5</c:v>
                </c:pt>
                <c:pt idx="7">
                  <c:v>15440.583333333332</c:v>
                </c:pt>
                <c:pt idx="8">
                  <c:v>15835.666666666666</c:v>
                </c:pt>
                <c:pt idx="9">
                  <c:v>16230.75</c:v>
                </c:pt>
                <c:pt idx="10">
                  <c:v>16625.833333333332</c:v>
                </c:pt>
                <c:pt idx="11">
                  <c:v>17020.916666666664</c:v>
                </c:pt>
                <c:pt idx="12">
                  <c:v>17416</c:v>
                </c:pt>
                <c:pt idx="13">
                  <c:v>18048.833333333332</c:v>
                </c:pt>
                <c:pt idx="14">
                  <c:v>18681.666666666668</c:v>
                </c:pt>
                <c:pt idx="15">
                  <c:v>19314.5</c:v>
                </c:pt>
                <c:pt idx="16">
                  <c:v>19947.333333333332</c:v>
                </c:pt>
                <c:pt idx="17">
                  <c:v>20580.166666666668</c:v>
                </c:pt>
                <c:pt idx="18">
                  <c:v>21213</c:v>
                </c:pt>
                <c:pt idx="19">
                  <c:v>21845.833333333336</c:v>
                </c:pt>
                <c:pt idx="20">
                  <c:v>22478.666666666668</c:v>
                </c:pt>
                <c:pt idx="21">
                  <c:v>23111.5</c:v>
                </c:pt>
                <c:pt idx="22">
                  <c:v>23744.333333333336</c:v>
                </c:pt>
                <c:pt idx="23">
                  <c:v>24377.166666666668</c:v>
                </c:pt>
                <c:pt idx="24">
                  <c:v>25010</c:v>
                </c:pt>
                <c:pt idx="25">
                  <c:v>25587.5</c:v>
                </c:pt>
                <c:pt idx="26">
                  <c:v>26165</c:v>
                </c:pt>
                <c:pt idx="27">
                  <c:v>26742.5</c:v>
                </c:pt>
                <c:pt idx="28">
                  <c:v>27320</c:v>
                </c:pt>
                <c:pt idx="29">
                  <c:v>27897.5</c:v>
                </c:pt>
                <c:pt idx="30">
                  <c:v>28475</c:v>
                </c:pt>
                <c:pt idx="31">
                  <c:v>29052.5</c:v>
                </c:pt>
                <c:pt idx="32">
                  <c:v>29630</c:v>
                </c:pt>
                <c:pt idx="33">
                  <c:v>30207.5</c:v>
                </c:pt>
                <c:pt idx="34">
                  <c:v>30785</c:v>
                </c:pt>
                <c:pt idx="35">
                  <c:v>31362.5</c:v>
                </c:pt>
                <c:pt idx="36">
                  <c:v>31940</c:v>
                </c:pt>
                <c:pt idx="37">
                  <c:v>32764.333333333332</c:v>
                </c:pt>
                <c:pt idx="38">
                  <c:v>33588.666666666664</c:v>
                </c:pt>
                <c:pt idx="39">
                  <c:v>34413</c:v>
                </c:pt>
                <c:pt idx="40">
                  <c:v>35237.333333333336</c:v>
                </c:pt>
                <c:pt idx="41">
                  <c:v>36061.666666666664</c:v>
                </c:pt>
                <c:pt idx="42">
                  <c:v>36886</c:v>
                </c:pt>
                <c:pt idx="43">
                  <c:v>37710.333333333336</c:v>
                </c:pt>
                <c:pt idx="44">
                  <c:v>38534.666666666664</c:v>
                </c:pt>
                <c:pt idx="45">
                  <c:v>39359</c:v>
                </c:pt>
                <c:pt idx="46">
                  <c:v>40183.333333333336</c:v>
                </c:pt>
                <c:pt idx="47">
                  <c:v>41007.666666666672</c:v>
                </c:pt>
                <c:pt idx="48">
                  <c:v>41832</c:v>
                </c:pt>
                <c:pt idx="49">
                  <c:v>42558.416666666664</c:v>
                </c:pt>
                <c:pt idx="50">
                  <c:v>43284.833333333336</c:v>
                </c:pt>
                <c:pt idx="51">
                  <c:v>44011.25</c:v>
                </c:pt>
                <c:pt idx="52">
                  <c:v>44737.666666666664</c:v>
                </c:pt>
                <c:pt idx="53">
                  <c:v>45464.083333333336</c:v>
                </c:pt>
                <c:pt idx="54">
                  <c:v>46190.5</c:v>
                </c:pt>
                <c:pt idx="55">
                  <c:v>46916.916666666664</c:v>
                </c:pt>
                <c:pt idx="56">
                  <c:v>47643.333333333336</c:v>
                </c:pt>
                <c:pt idx="57">
                  <c:v>48369.75</c:v>
                </c:pt>
                <c:pt idx="58">
                  <c:v>49096.166666666664</c:v>
                </c:pt>
                <c:pt idx="59">
                  <c:v>49822.583333333336</c:v>
                </c:pt>
                <c:pt idx="60">
                  <c:v>50549</c:v>
                </c:pt>
                <c:pt idx="61">
                  <c:v>51598.083333333336</c:v>
                </c:pt>
                <c:pt idx="62">
                  <c:v>52647.166666666664</c:v>
                </c:pt>
                <c:pt idx="63">
                  <c:v>53696.25</c:v>
                </c:pt>
                <c:pt idx="64">
                  <c:v>54745.333333333336</c:v>
                </c:pt>
                <c:pt idx="65">
                  <c:v>55794.416666666664</c:v>
                </c:pt>
                <c:pt idx="66">
                  <c:v>56843.5</c:v>
                </c:pt>
                <c:pt idx="67">
                  <c:v>57892.583333333336</c:v>
                </c:pt>
                <c:pt idx="68">
                  <c:v>58941.666666666664</c:v>
                </c:pt>
                <c:pt idx="69">
                  <c:v>59990.75</c:v>
                </c:pt>
                <c:pt idx="70">
                  <c:v>61039.833333333328</c:v>
                </c:pt>
                <c:pt idx="71">
                  <c:v>62088.916666666664</c:v>
                </c:pt>
                <c:pt idx="72">
                  <c:v>63138</c:v>
                </c:pt>
                <c:pt idx="73">
                  <c:v>64405.916666666664</c:v>
                </c:pt>
                <c:pt idx="74">
                  <c:v>65673.833333333328</c:v>
                </c:pt>
                <c:pt idx="75">
                  <c:v>66941.75</c:v>
                </c:pt>
                <c:pt idx="76">
                  <c:v>68209.666666666672</c:v>
                </c:pt>
                <c:pt idx="77">
                  <c:v>69477.583333333328</c:v>
                </c:pt>
                <c:pt idx="78">
                  <c:v>70745.5</c:v>
                </c:pt>
                <c:pt idx="79">
                  <c:v>72013.416666666672</c:v>
                </c:pt>
                <c:pt idx="80">
                  <c:v>73281.333333333328</c:v>
                </c:pt>
                <c:pt idx="81">
                  <c:v>74549.25</c:v>
                </c:pt>
                <c:pt idx="82">
                  <c:v>75817.166666666672</c:v>
                </c:pt>
                <c:pt idx="83">
                  <c:v>77085.083333333328</c:v>
                </c:pt>
                <c:pt idx="84">
                  <c:v>78353</c:v>
                </c:pt>
                <c:pt idx="85">
                  <c:v>78807.571428571435</c:v>
                </c:pt>
                <c:pt idx="86">
                  <c:v>79262.142857142855</c:v>
                </c:pt>
                <c:pt idx="87">
                  <c:v>79716.71428571429</c:v>
                </c:pt>
                <c:pt idx="88">
                  <c:v>80171.28571428571</c:v>
                </c:pt>
                <c:pt idx="89">
                  <c:v>80625.857142857145</c:v>
                </c:pt>
                <c:pt idx="90">
                  <c:v>81535</c:v>
                </c:pt>
              </c:numCache>
            </c:numRef>
          </c:val>
          <c:smooth val="0"/>
          <c:extLst>
            <c:ext xmlns:c16="http://schemas.microsoft.com/office/drawing/2014/chart" uri="{C3380CC4-5D6E-409C-BE32-E72D297353CC}">
              <c16:uniqueId val="{00000006-C5AE-4471-ADF0-9C6DB64C9265}"/>
            </c:ext>
          </c:extLst>
        </c:ser>
        <c:ser>
          <c:idx val="4"/>
          <c:order val="4"/>
          <c:tx>
            <c:v>BW BilMoG-10 QV</c:v>
          </c:tx>
          <c:spPr>
            <a:ln w="50800" cap="rnd">
              <a:solidFill>
                <a:schemeClr val="accent5"/>
              </a:solidFill>
              <a:round/>
            </a:ln>
            <a:effectLst/>
          </c:spPr>
          <c:marker>
            <c:symbol val="none"/>
          </c:marker>
          <c:val>
            <c:numRef>
              <c:f>'BilMoG-7'!$BF$82:$BF$172</c:f>
              <c:numCache>
                <c:formatCode>#,##0</c:formatCode>
                <c:ptCount val="91"/>
                <c:pt idx="0">
                  <c:v>16565</c:v>
                </c:pt>
                <c:pt idx="1">
                  <c:v>17024.75</c:v>
                </c:pt>
                <c:pt idx="2">
                  <c:v>17484.5</c:v>
                </c:pt>
                <c:pt idx="3">
                  <c:v>17944.25</c:v>
                </c:pt>
                <c:pt idx="4">
                  <c:v>18404</c:v>
                </c:pt>
                <c:pt idx="5">
                  <c:v>18863.75</c:v>
                </c:pt>
                <c:pt idx="6">
                  <c:v>19323.5</c:v>
                </c:pt>
                <c:pt idx="7">
                  <c:v>19783.25</c:v>
                </c:pt>
                <c:pt idx="8">
                  <c:v>20243</c:v>
                </c:pt>
                <c:pt idx="9">
                  <c:v>20702.75</c:v>
                </c:pt>
                <c:pt idx="10">
                  <c:v>21162.5</c:v>
                </c:pt>
                <c:pt idx="11">
                  <c:v>21622.25</c:v>
                </c:pt>
                <c:pt idx="12">
                  <c:v>22082</c:v>
                </c:pt>
                <c:pt idx="13">
                  <c:v>22231.833333333332</c:v>
                </c:pt>
                <c:pt idx="14">
                  <c:v>22381.666666666668</c:v>
                </c:pt>
                <c:pt idx="15">
                  <c:v>22531.5</c:v>
                </c:pt>
                <c:pt idx="16">
                  <c:v>22681.333333333332</c:v>
                </c:pt>
                <c:pt idx="17">
                  <c:v>22831.166666666668</c:v>
                </c:pt>
                <c:pt idx="18">
                  <c:v>22981</c:v>
                </c:pt>
                <c:pt idx="19">
                  <c:v>23130.833333333332</c:v>
                </c:pt>
                <c:pt idx="20">
                  <c:v>23280.666666666668</c:v>
                </c:pt>
                <c:pt idx="21">
                  <c:v>23430.5</c:v>
                </c:pt>
                <c:pt idx="22">
                  <c:v>23580.333333333332</c:v>
                </c:pt>
                <c:pt idx="23">
                  <c:v>23730.166666666668</c:v>
                </c:pt>
                <c:pt idx="24">
                  <c:v>23880</c:v>
                </c:pt>
                <c:pt idx="25">
                  <c:v>24060.333333333332</c:v>
                </c:pt>
                <c:pt idx="26">
                  <c:v>24240.666666666668</c:v>
                </c:pt>
                <c:pt idx="27">
                  <c:v>24421</c:v>
                </c:pt>
                <c:pt idx="28">
                  <c:v>24601.333333333332</c:v>
                </c:pt>
                <c:pt idx="29">
                  <c:v>24781.666666666668</c:v>
                </c:pt>
                <c:pt idx="30">
                  <c:v>24962</c:v>
                </c:pt>
                <c:pt idx="31">
                  <c:v>25142.333333333332</c:v>
                </c:pt>
                <c:pt idx="32">
                  <c:v>25322.666666666668</c:v>
                </c:pt>
                <c:pt idx="33">
                  <c:v>25503</c:v>
                </c:pt>
                <c:pt idx="34">
                  <c:v>25683.333333333332</c:v>
                </c:pt>
                <c:pt idx="35">
                  <c:v>25863.666666666668</c:v>
                </c:pt>
                <c:pt idx="36">
                  <c:v>26044</c:v>
                </c:pt>
                <c:pt idx="37">
                  <c:v>26326.25</c:v>
                </c:pt>
                <c:pt idx="38">
                  <c:v>26608.5</c:v>
                </c:pt>
                <c:pt idx="39">
                  <c:v>26890.75</c:v>
                </c:pt>
                <c:pt idx="40">
                  <c:v>27173</c:v>
                </c:pt>
                <c:pt idx="41">
                  <c:v>27455.25</c:v>
                </c:pt>
                <c:pt idx="42">
                  <c:v>27737.5</c:v>
                </c:pt>
                <c:pt idx="43">
                  <c:v>28019.75</c:v>
                </c:pt>
                <c:pt idx="44">
                  <c:v>28302</c:v>
                </c:pt>
                <c:pt idx="45">
                  <c:v>28584.25</c:v>
                </c:pt>
                <c:pt idx="46">
                  <c:v>28866.5</c:v>
                </c:pt>
                <c:pt idx="47">
                  <c:v>29148.75</c:v>
                </c:pt>
                <c:pt idx="48">
                  <c:v>29431</c:v>
                </c:pt>
                <c:pt idx="49">
                  <c:v>29775.333333333332</c:v>
                </c:pt>
                <c:pt idx="50">
                  <c:v>30119.666666666668</c:v>
                </c:pt>
                <c:pt idx="51">
                  <c:v>30464</c:v>
                </c:pt>
                <c:pt idx="52">
                  <c:v>30808.333333333332</c:v>
                </c:pt>
                <c:pt idx="53">
                  <c:v>31152.666666666668</c:v>
                </c:pt>
                <c:pt idx="54">
                  <c:v>31497</c:v>
                </c:pt>
                <c:pt idx="55">
                  <c:v>31841.333333333332</c:v>
                </c:pt>
                <c:pt idx="56">
                  <c:v>32185.666666666668</c:v>
                </c:pt>
                <c:pt idx="57">
                  <c:v>32530</c:v>
                </c:pt>
                <c:pt idx="58">
                  <c:v>32874.333333333336</c:v>
                </c:pt>
                <c:pt idx="59">
                  <c:v>33218.666666666664</c:v>
                </c:pt>
                <c:pt idx="60">
                  <c:v>33563</c:v>
                </c:pt>
                <c:pt idx="61">
                  <c:v>33890.5</c:v>
                </c:pt>
                <c:pt idx="62">
                  <c:v>34218</c:v>
                </c:pt>
                <c:pt idx="63">
                  <c:v>34545.5</c:v>
                </c:pt>
                <c:pt idx="64">
                  <c:v>34873</c:v>
                </c:pt>
                <c:pt idx="65">
                  <c:v>35200.5</c:v>
                </c:pt>
                <c:pt idx="66">
                  <c:v>35528</c:v>
                </c:pt>
                <c:pt idx="67">
                  <c:v>35855.5</c:v>
                </c:pt>
                <c:pt idx="68">
                  <c:v>36183</c:v>
                </c:pt>
                <c:pt idx="69">
                  <c:v>36510.5</c:v>
                </c:pt>
                <c:pt idx="70">
                  <c:v>36838</c:v>
                </c:pt>
                <c:pt idx="71">
                  <c:v>37165.5</c:v>
                </c:pt>
                <c:pt idx="72">
                  <c:v>37493</c:v>
                </c:pt>
                <c:pt idx="73">
                  <c:v>37881.833333333336</c:v>
                </c:pt>
                <c:pt idx="74">
                  <c:v>38270.666666666664</c:v>
                </c:pt>
                <c:pt idx="75">
                  <c:v>38659.5</c:v>
                </c:pt>
                <c:pt idx="76">
                  <c:v>39048.333333333336</c:v>
                </c:pt>
                <c:pt idx="77">
                  <c:v>39437.166666666664</c:v>
                </c:pt>
                <c:pt idx="78">
                  <c:v>39826</c:v>
                </c:pt>
                <c:pt idx="79">
                  <c:v>40214.833333333336</c:v>
                </c:pt>
                <c:pt idx="80">
                  <c:v>40603.666666666664</c:v>
                </c:pt>
                <c:pt idx="81">
                  <c:v>40992.5</c:v>
                </c:pt>
                <c:pt idx="82">
                  <c:v>41381.333333333336</c:v>
                </c:pt>
                <c:pt idx="83">
                  <c:v>41770.166666666664</c:v>
                </c:pt>
                <c:pt idx="84">
                  <c:v>42159</c:v>
                </c:pt>
                <c:pt idx="85">
                  <c:v>42355.428571428572</c:v>
                </c:pt>
                <c:pt idx="86">
                  <c:v>42551.857142857145</c:v>
                </c:pt>
                <c:pt idx="87">
                  <c:v>42748.285714285717</c:v>
                </c:pt>
                <c:pt idx="88">
                  <c:v>42944.714285714283</c:v>
                </c:pt>
                <c:pt idx="89">
                  <c:v>43141.142857142855</c:v>
                </c:pt>
                <c:pt idx="90">
                  <c:v>43534</c:v>
                </c:pt>
              </c:numCache>
            </c:numRef>
          </c:val>
          <c:smooth val="0"/>
          <c:extLst>
            <c:ext xmlns:c16="http://schemas.microsoft.com/office/drawing/2014/chart" uri="{C3380CC4-5D6E-409C-BE32-E72D297353CC}">
              <c16:uniqueId val="{00000008-C5AE-4471-ADF0-9C6DB64C9265}"/>
            </c:ext>
          </c:extLst>
        </c:ser>
        <c:ser>
          <c:idx val="5"/>
          <c:order val="5"/>
          <c:tx>
            <c:v>BimMoG-10 DRV</c:v>
          </c:tx>
          <c:spPr>
            <a:ln w="50800" cap="rnd">
              <a:solidFill>
                <a:schemeClr val="accent6"/>
              </a:solidFill>
              <a:round/>
            </a:ln>
            <a:effectLst/>
          </c:spPr>
          <c:marker>
            <c:symbol val="none"/>
          </c:marker>
          <c:val>
            <c:numRef>
              <c:f>'BilMoG-7'!$BG$82:$BG$172</c:f>
              <c:numCache>
                <c:formatCode>#,##0</c:formatCode>
                <c:ptCount val="91"/>
                <c:pt idx="0">
                  <c:v>7890</c:v>
                </c:pt>
                <c:pt idx="1">
                  <c:v>8409</c:v>
                </c:pt>
                <c:pt idx="2">
                  <c:v>8928</c:v>
                </c:pt>
                <c:pt idx="3">
                  <c:v>9447</c:v>
                </c:pt>
                <c:pt idx="4">
                  <c:v>9966</c:v>
                </c:pt>
                <c:pt idx="5">
                  <c:v>10485</c:v>
                </c:pt>
                <c:pt idx="6">
                  <c:v>11004</c:v>
                </c:pt>
                <c:pt idx="7">
                  <c:v>11523</c:v>
                </c:pt>
                <c:pt idx="8">
                  <c:v>12042</c:v>
                </c:pt>
                <c:pt idx="9">
                  <c:v>12561</c:v>
                </c:pt>
                <c:pt idx="10">
                  <c:v>13080</c:v>
                </c:pt>
                <c:pt idx="11">
                  <c:v>13599</c:v>
                </c:pt>
                <c:pt idx="12">
                  <c:v>14118</c:v>
                </c:pt>
                <c:pt idx="13">
                  <c:v>14352.75</c:v>
                </c:pt>
                <c:pt idx="14">
                  <c:v>14587.5</c:v>
                </c:pt>
                <c:pt idx="15">
                  <c:v>14822.25</c:v>
                </c:pt>
                <c:pt idx="16">
                  <c:v>15057</c:v>
                </c:pt>
                <c:pt idx="17">
                  <c:v>15291.75</c:v>
                </c:pt>
                <c:pt idx="18">
                  <c:v>15526.5</c:v>
                </c:pt>
                <c:pt idx="19">
                  <c:v>15761.25</c:v>
                </c:pt>
                <c:pt idx="20">
                  <c:v>15996</c:v>
                </c:pt>
                <c:pt idx="21">
                  <c:v>16230.75</c:v>
                </c:pt>
                <c:pt idx="22">
                  <c:v>16465.5</c:v>
                </c:pt>
                <c:pt idx="23">
                  <c:v>16700.25</c:v>
                </c:pt>
                <c:pt idx="24">
                  <c:v>16935</c:v>
                </c:pt>
                <c:pt idx="25">
                  <c:v>17220</c:v>
                </c:pt>
                <c:pt idx="26">
                  <c:v>17505</c:v>
                </c:pt>
                <c:pt idx="27">
                  <c:v>17790</c:v>
                </c:pt>
                <c:pt idx="28">
                  <c:v>18075</c:v>
                </c:pt>
                <c:pt idx="29">
                  <c:v>18360</c:v>
                </c:pt>
                <c:pt idx="30">
                  <c:v>18645</c:v>
                </c:pt>
                <c:pt idx="31">
                  <c:v>18930</c:v>
                </c:pt>
                <c:pt idx="32">
                  <c:v>19215</c:v>
                </c:pt>
                <c:pt idx="33">
                  <c:v>19500</c:v>
                </c:pt>
                <c:pt idx="34">
                  <c:v>19785</c:v>
                </c:pt>
                <c:pt idx="35">
                  <c:v>20070</c:v>
                </c:pt>
                <c:pt idx="36">
                  <c:v>20355</c:v>
                </c:pt>
                <c:pt idx="37">
                  <c:v>20855.583333333332</c:v>
                </c:pt>
                <c:pt idx="38">
                  <c:v>21356.166666666668</c:v>
                </c:pt>
                <c:pt idx="39">
                  <c:v>21856.75</c:v>
                </c:pt>
                <c:pt idx="40">
                  <c:v>22357.333333333332</c:v>
                </c:pt>
                <c:pt idx="41">
                  <c:v>22857.916666666668</c:v>
                </c:pt>
                <c:pt idx="42">
                  <c:v>23358.5</c:v>
                </c:pt>
                <c:pt idx="43">
                  <c:v>23859.083333333332</c:v>
                </c:pt>
                <c:pt idx="44">
                  <c:v>24359.666666666668</c:v>
                </c:pt>
                <c:pt idx="45">
                  <c:v>24860.25</c:v>
                </c:pt>
                <c:pt idx="46">
                  <c:v>25360.833333333332</c:v>
                </c:pt>
                <c:pt idx="47">
                  <c:v>25861.416666666664</c:v>
                </c:pt>
                <c:pt idx="48">
                  <c:v>26362</c:v>
                </c:pt>
                <c:pt idx="49">
                  <c:v>27021.333333333332</c:v>
                </c:pt>
                <c:pt idx="50">
                  <c:v>27680.666666666668</c:v>
                </c:pt>
                <c:pt idx="51">
                  <c:v>28340</c:v>
                </c:pt>
                <c:pt idx="52">
                  <c:v>28999.333333333332</c:v>
                </c:pt>
                <c:pt idx="53">
                  <c:v>29658.666666666668</c:v>
                </c:pt>
                <c:pt idx="54">
                  <c:v>30318</c:v>
                </c:pt>
                <c:pt idx="55">
                  <c:v>30977.333333333336</c:v>
                </c:pt>
                <c:pt idx="56">
                  <c:v>31636.666666666668</c:v>
                </c:pt>
                <c:pt idx="57">
                  <c:v>32296</c:v>
                </c:pt>
                <c:pt idx="58">
                  <c:v>32955.333333333336</c:v>
                </c:pt>
                <c:pt idx="59">
                  <c:v>33614.666666666664</c:v>
                </c:pt>
                <c:pt idx="60">
                  <c:v>34274</c:v>
                </c:pt>
                <c:pt idx="61">
                  <c:v>35045.666666666664</c:v>
                </c:pt>
                <c:pt idx="62">
                  <c:v>35817.333333333336</c:v>
                </c:pt>
                <c:pt idx="63">
                  <c:v>36589</c:v>
                </c:pt>
                <c:pt idx="64">
                  <c:v>37360.666666666664</c:v>
                </c:pt>
                <c:pt idx="65">
                  <c:v>38132.333333333336</c:v>
                </c:pt>
                <c:pt idx="66">
                  <c:v>38904</c:v>
                </c:pt>
                <c:pt idx="67">
                  <c:v>39675.666666666664</c:v>
                </c:pt>
                <c:pt idx="68">
                  <c:v>40447.333333333336</c:v>
                </c:pt>
                <c:pt idx="69">
                  <c:v>41219</c:v>
                </c:pt>
                <c:pt idx="70">
                  <c:v>41990.666666666664</c:v>
                </c:pt>
                <c:pt idx="71">
                  <c:v>42762.333333333328</c:v>
                </c:pt>
                <c:pt idx="72">
                  <c:v>43534</c:v>
                </c:pt>
                <c:pt idx="73">
                  <c:v>44845.5</c:v>
                </c:pt>
                <c:pt idx="74">
                  <c:v>46157</c:v>
                </c:pt>
                <c:pt idx="75">
                  <c:v>47468.5</c:v>
                </c:pt>
                <c:pt idx="76">
                  <c:v>48780</c:v>
                </c:pt>
                <c:pt idx="77">
                  <c:v>50091.5</c:v>
                </c:pt>
                <c:pt idx="78">
                  <c:v>51403</c:v>
                </c:pt>
                <c:pt idx="79">
                  <c:v>52714.5</c:v>
                </c:pt>
                <c:pt idx="80">
                  <c:v>54026</c:v>
                </c:pt>
                <c:pt idx="81">
                  <c:v>55337.5</c:v>
                </c:pt>
                <c:pt idx="82">
                  <c:v>56649</c:v>
                </c:pt>
                <c:pt idx="83">
                  <c:v>57960.5</c:v>
                </c:pt>
                <c:pt idx="84">
                  <c:v>59272</c:v>
                </c:pt>
                <c:pt idx="85">
                  <c:v>60237.285714285717</c:v>
                </c:pt>
                <c:pt idx="86">
                  <c:v>61202.571428571428</c:v>
                </c:pt>
                <c:pt idx="87">
                  <c:v>62167.857142857145</c:v>
                </c:pt>
                <c:pt idx="88">
                  <c:v>63133.142857142855</c:v>
                </c:pt>
                <c:pt idx="89">
                  <c:v>64098.428571428572</c:v>
                </c:pt>
                <c:pt idx="90">
                  <c:v>66029</c:v>
                </c:pt>
              </c:numCache>
            </c:numRef>
          </c:val>
          <c:smooth val="0"/>
          <c:extLst>
            <c:ext xmlns:c16="http://schemas.microsoft.com/office/drawing/2014/chart" uri="{C3380CC4-5D6E-409C-BE32-E72D297353CC}">
              <c16:uniqueId val="{00000009-C5AE-4471-ADF0-9C6DB64C9265}"/>
            </c:ext>
          </c:extLst>
        </c:ser>
        <c:dLbls>
          <c:showLegendKey val="0"/>
          <c:showVal val="0"/>
          <c:showCatName val="0"/>
          <c:showSerName val="0"/>
          <c:showPercent val="0"/>
          <c:showBubbleSize val="0"/>
        </c:dLbls>
        <c:marker val="1"/>
        <c:smooth val="0"/>
        <c:axId val="822645648"/>
        <c:axId val="822645320"/>
      </c:lineChart>
      <c:dateAx>
        <c:axId val="496450616"/>
        <c:scaling>
          <c:orientation val="minMax"/>
        </c:scaling>
        <c:delete val="0"/>
        <c:axPos val="b"/>
        <c:numFmt formatCode="d/m/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de-DE"/>
          </a:p>
        </c:txPr>
        <c:crossAx val="496451600"/>
        <c:crosses val="autoZero"/>
        <c:auto val="1"/>
        <c:lblOffset val="100"/>
        <c:baseTimeUnit val="months"/>
        <c:majorUnit val="12"/>
      </c:dateAx>
      <c:valAx>
        <c:axId val="49645160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de-DE"/>
          </a:p>
        </c:txPr>
        <c:crossAx val="496450616"/>
        <c:crosses val="autoZero"/>
        <c:crossBetween val="between"/>
      </c:valAx>
      <c:valAx>
        <c:axId val="82264532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de-DE"/>
          </a:p>
        </c:txPr>
        <c:crossAx val="822645648"/>
        <c:crosses val="max"/>
        <c:crossBetween val="between"/>
      </c:valAx>
      <c:catAx>
        <c:axId val="822645648"/>
        <c:scaling>
          <c:orientation val="minMax"/>
        </c:scaling>
        <c:delete val="1"/>
        <c:axPos val="b"/>
        <c:majorTickMark val="out"/>
        <c:minorTickMark val="none"/>
        <c:tickLblPos val="nextTo"/>
        <c:crossAx val="82264532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'BVerfG 1 BvL 5-18'!$AE$16</c:f>
          <c:strCache>
            <c:ptCount val="1"/>
            <c:pt idx="0">
              <c:v>Rentenhöhe in unterschiedlichen Versorgungssystemen aus einem Ausgleichswert i.H.v. 0 €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de-DE"/>
        </a:p>
      </c:txPr>
    </c:title>
    <c:autoTitleDeleted val="0"/>
    <c:plotArea>
      <c:layout>
        <c:manualLayout>
          <c:layoutTarget val="inner"/>
          <c:xMode val="edge"/>
          <c:yMode val="edge"/>
          <c:x val="0.14048990512922388"/>
          <c:y val="0.22564313464095476"/>
          <c:w val="0.83957006564749226"/>
          <c:h val="0.55880766534409199"/>
        </c:manualLayout>
      </c:layout>
      <c:barChart>
        <c:barDir val="col"/>
        <c:grouping val="stacked"/>
        <c:varyColors val="0"/>
        <c:ser>
          <c:idx val="0"/>
          <c:order val="0"/>
          <c:tx>
            <c:strRef>
              <c:f>'BVerfG 1 BvL 5-18'!$AE$10</c:f>
              <c:strCache>
                <c:ptCount val="1"/>
                <c:pt idx="0">
                  <c:v>Quell-Versorgung </c:v>
                </c:pt>
              </c:strCache>
              <c:extLst xmlns:c15="http://schemas.microsoft.com/office/drawing/2012/chart"/>
            </c:strRef>
          </c:tx>
          <c:spPr>
            <a:solidFill>
              <a:schemeClr val="accent1"/>
            </a:solidFill>
            <a:ln>
              <a:noFill/>
            </a:ln>
            <a:effectLst/>
          </c:spPr>
          <c:invertIfNegative val="0"/>
          <c:cat>
            <c:strRef>
              <c:f>'Berechnungen BVerfG'!$B$18:$B$68</c:f>
              <c:strCache>
                <c:ptCount val="1"/>
                <c:pt idx="0">
                  <c:v>0</c:v>
                </c:pt>
              </c:strCache>
            </c:strRef>
          </c:cat>
          <c:val>
            <c:numRef>
              <c:f>'Berechnungen BVerfG'!$C$18:$C$68</c:f>
              <c:numCache>
                <c:formatCode>"€"#,##0.00_);[Red]\("€"#,##0.00\)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extLst xmlns:c15="http://schemas.microsoft.com/office/drawing/2012/chart"/>
            </c:numRef>
          </c:val>
          <c:extLst xmlns:c15="http://schemas.microsoft.com/office/drawing/2012/chart">
            <c:ext xmlns:c16="http://schemas.microsoft.com/office/drawing/2014/chart" uri="{C3380CC4-5D6E-409C-BE32-E72D297353CC}">
              <c16:uniqueId val="{00000000-43CC-4CB2-A88D-F39EA4993B2A}"/>
            </c:ext>
          </c:extLst>
        </c:ser>
        <c:dLbls>
          <c:showLegendKey val="0"/>
          <c:showVal val="0"/>
          <c:showCatName val="0"/>
          <c:showSerName val="0"/>
          <c:showPercent val="0"/>
          <c:showBubbleSize val="0"/>
        </c:dLbls>
        <c:gapWidth val="74"/>
        <c:overlap val="6"/>
        <c:axId val="642996520"/>
        <c:axId val="643002792"/>
      </c:barChart>
      <c:lineChart>
        <c:grouping val="standard"/>
        <c:varyColors val="0"/>
        <c:ser>
          <c:idx val="1"/>
          <c:order val="1"/>
          <c:tx>
            <c:strRef>
              <c:f>'BVerfG 1 BvL 5-18'!$AF$10</c:f>
              <c:strCache>
                <c:ptCount val="1"/>
                <c:pt idx="0">
                  <c:v>DRV </c:v>
                </c:pt>
              </c:strCache>
              <c:extLst xmlns:c15="http://schemas.microsoft.com/office/drawing/2012/chart"/>
            </c:strRef>
          </c:tx>
          <c:spPr>
            <a:ln w="38100" cap="rnd">
              <a:solidFill>
                <a:srgbClr val="00B050"/>
              </a:solidFill>
              <a:round/>
            </a:ln>
            <a:effectLst/>
          </c:spPr>
          <c:marker>
            <c:symbol val="none"/>
          </c:marker>
          <c:cat>
            <c:strRef>
              <c:f>'Berechnungen BVerfG'!$B$18:$B$68</c:f>
              <c:strCache>
                <c:ptCount val="1"/>
                <c:pt idx="0">
                  <c:v>0</c:v>
                </c:pt>
              </c:strCache>
            </c:strRef>
          </c:cat>
          <c:val>
            <c:numRef>
              <c:f>'Berechnungen BVerfG'!$D$18:$D$68</c:f>
              <c:numCache>
                <c:formatCode>"€"#,##0.00_);[Red]\("€"#,##0.00\)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1-43CC-4CB2-A88D-F39EA4993B2A}"/>
            </c:ext>
          </c:extLst>
        </c:ser>
        <c:ser>
          <c:idx val="2"/>
          <c:order val="2"/>
          <c:tx>
            <c:strRef>
              <c:f>'BVerfG 1 BvL 5-18'!$AG$10</c:f>
              <c:strCache>
                <c:ptCount val="1"/>
                <c:pt idx="0">
                  <c:v>VersAusglK </c:v>
                </c:pt>
              </c:strCache>
              <c:extLst xmlns:c15="http://schemas.microsoft.com/office/drawing/2012/chart"/>
            </c:strRef>
          </c:tx>
          <c:spPr>
            <a:ln w="38100" cap="rnd">
              <a:solidFill>
                <a:schemeClr val="bg1">
                  <a:lumMod val="50000"/>
                </a:schemeClr>
              </a:solidFill>
              <a:round/>
            </a:ln>
            <a:effectLst/>
          </c:spPr>
          <c:marker>
            <c:symbol val="none"/>
          </c:marker>
          <c:cat>
            <c:strRef>
              <c:f>'Berechnungen BVerfG'!$B$18:$B$68</c:f>
              <c:strCache>
                <c:ptCount val="1"/>
                <c:pt idx="0">
                  <c:v>0</c:v>
                </c:pt>
              </c:strCache>
            </c:strRef>
          </c:cat>
          <c:val>
            <c:numRef>
              <c:f>'Berechnungen BVerfG'!$E$18:$E$68</c:f>
              <c:numCache>
                <c:formatCode>"€"#,##0.00_);[Red]\("€"#,##0.00\)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2-43CC-4CB2-A88D-F39EA4993B2A}"/>
            </c:ext>
          </c:extLst>
        </c:ser>
        <c:ser>
          <c:idx val="3"/>
          <c:order val="3"/>
          <c:tx>
            <c:strRef>
              <c:f>'BVerfG 1 BvL 5-18'!$AH$10</c:f>
              <c:strCache>
                <c:ptCount val="1"/>
                <c:pt idx="0">
                  <c:v>Sonstige </c:v>
                </c:pt>
              </c:strCache>
              <c:extLst xmlns:c15="http://schemas.microsoft.com/office/drawing/2012/chart"/>
            </c:strRef>
          </c:tx>
          <c:spPr>
            <a:ln w="38100" cap="rnd">
              <a:solidFill>
                <a:schemeClr val="accent4"/>
              </a:solidFill>
              <a:round/>
            </a:ln>
            <a:effectLst/>
          </c:spPr>
          <c:marker>
            <c:symbol val="none"/>
          </c:marker>
          <c:cat>
            <c:strRef>
              <c:f>'Berechnungen BVerfG'!$B$18:$B$68</c:f>
              <c:strCache>
                <c:ptCount val="1"/>
                <c:pt idx="0">
                  <c:v>0</c:v>
                </c:pt>
              </c:strCache>
            </c:strRef>
          </c:cat>
          <c:val>
            <c:numRef>
              <c:f>'Berechnungen BVerfG'!$F$18:$F$68</c:f>
              <c:numCache>
                <c:formatCode>"€"#,##0.00_);[Red]\("€"#,##0.00\)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3-43CC-4CB2-A88D-F39EA4993B2A}"/>
            </c:ext>
          </c:extLst>
        </c:ser>
        <c:ser>
          <c:idx val="5"/>
          <c:order val="4"/>
          <c:tx>
            <c:strRef>
              <c:f>'BVerfG 1 BvL 5-18'!$AI$10</c:f>
              <c:strCache>
                <c:ptCount val="1"/>
                <c:pt idx="0">
                  <c:v>∑ Versorg. </c:v>
                </c:pt>
              </c:strCache>
              <c:extLst xmlns:c15="http://schemas.microsoft.com/office/drawing/2012/chart"/>
            </c:strRef>
          </c:tx>
          <c:spPr>
            <a:ln w="41275" cap="rnd">
              <a:solidFill>
                <a:schemeClr val="accent6"/>
              </a:solidFill>
              <a:prstDash val="sysDash"/>
              <a:round/>
            </a:ln>
            <a:effectLst/>
          </c:spPr>
          <c:marker>
            <c:symbol val="none"/>
          </c:marker>
          <c:val>
            <c:numRef>
              <c:f>#REF!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1-8A3A-44BF-9A69-BBC462BE28E4}"/>
            </c:ext>
          </c:extLst>
        </c:ser>
        <c:ser>
          <c:idx val="6"/>
          <c:order val="5"/>
          <c:tx>
            <c:strRef>
              <c:f>'BVerfG 1 BvL 5-18'!$AJ$10</c:f>
              <c:strCache>
                <c:ptCount val="1"/>
                <c:pt idx="0">
                  <c:v>DRV-Ber.</c:v>
                </c:pt>
              </c:strCache>
              <c:extLst xmlns:c15="http://schemas.microsoft.com/office/drawing/2012/chart"/>
            </c:strRef>
          </c:tx>
          <c:spPr>
            <a:ln w="44450" cap="rnd">
              <a:solidFill>
                <a:srgbClr val="C00000"/>
              </a:solidFill>
              <a:prstDash val="sysDash"/>
              <a:round/>
            </a:ln>
            <a:effectLst/>
          </c:spPr>
          <c:marker>
            <c:symbol val="none"/>
          </c:marker>
          <c:val>
            <c:numRef>
              <c:f>'Berechnungen BVerfG'!$N$18:$N$93</c:f>
              <c:numCache>
                <c:formatCode>"€"#,##0.00_);[Red]\("€"#,##0.00\)</c:formatCode>
                <c:ptCount val="7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numCache>
            </c:numRef>
          </c:val>
          <c:smooth val="0"/>
          <c:extLst xmlns:c15="http://schemas.microsoft.com/office/drawing/2012/chart">
            <c:ext xmlns:c16="http://schemas.microsoft.com/office/drawing/2014/chart" uri="{C3380CC4-5D6E-409C-BE32-E72D297353CC}">
              <c16:uniqueId val="{00000000-F6FD-405D-9A46-9584F1294251}"/>
            </c:ext>
          </c:extLst>
        </c:ser>
        <c:dLbls>
          <c:showLegendKey val="0"/>
          <c:showVal val="0"/>
          <c:showCatName val="0"/>
          <c:showSerName val="0"/>
          <c:showPercent val="0"/>
          <c:showBubbleSize val="0"/>
        </c:dLbls>
        <c:marker val="1"/>
        <c:smooth val="0"/>
        <c:axId val="642996520"/>
        <c:axId val="643002792"/>
        <c:extLst/>
      </c:lineChart>
      <c:catAx>
        <c:axId val="642996520"/>
        <c:scaling>
          <c:orientation val="minMax"/>
        </c:scaling>
        <c:delete val="0"/>
        <c:axPos val="b"/>
        <c:title>
          <c:tx>
            <c:strRef>
              <c:f>'BVerfG 1 BvL 5-18'!$AF$12</c:f>
              <c:strCache>
                <c:ptCount val="1"/>
                <c:pt idx="0">
                  <c:v>AlterAusglPfl.</c:v>
                </c:pt>
              </c:strCache>
            </c:strRef>
          </c:tx>
          <c:layout>
            <c:manualLayout>
              <c:xMode val="edge"/>
              <c:yMode val="edge"/>
              <c:x val="7.6486207021974192E-3"/>
              <c:y val="0.802498182880105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out"/>
        <c:minorTickMark val="none"/>
        <c:tickLblPos val="nextTo"/>
        <c:spPr>
          <a:noFill/>
          <a:ln w="9525" cap="flat" cmpd="sng" algn="ctr">
            <a:solidFill>
              <a:schemeClr val="tx1">
                <a:lumMod val="65000"/>
                <a:lumOff val="3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643002792"/>
        <c:crosses val="autoZero"/>
        <c:auto val="0"/>
        <c:lblAlgn val="ctr"/>
        <c:lblOffset val="100"/>
        <c:tickLblSkip val="2"/>
        <c:noMultiLvlLbl val="0"/>
      </c:catAx>
      <c:valAx>
        <c:axId val="643002792"/>
        <c:scaling>
          <c:orientation val="minMax"/>
        </c:scaling>
        <c:delete val="0"/>
        <c:axPos val="l"/>
        <c:majorGridlines>
          <c:spPr>
            <a:ln w="9525" cap="flat" cmpd="sng" algn="ctr">
              <a:solidFill>
                <a:schemeClr val="tx1">
                  <a:lumMod val="50000"/>
                  <a:lumOff val="50000"/>
                </a:schemeClr>
              </a:solidFill>
              <a:round/>
            </a:ln>
            <a:effectLst/>
          </c:spPr>
        </c:majorGridlines>
        <c:numFmt formatCode="#,##0\ &quot;€&quot;"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e-DE"/>
          </a:p>
        </c:txPr>
        <c:crossAx val="642996520"/>
        <c:crosses val="autoZero"/>
        <c:crossBetween val="between"/>
      </c:valAx>
      <c:spPr>
        <a:noFill/>
        <a:ln>
          <a:noFill/>
        </a:ln>
        <a:effectLst/>
      </c:spPr>
    </c:plotArea>
    <c:legend>
      <c:legendPos val="b"/>
      <c:layout>
        <c:manualLayout>
          <c:xMode val="edge"/>
          <c:yMode val="edge"/>
          <c:x val="5.2823729916844218E-2"/>
          <c:y val="0.84233750118109441"/>
          <c:w val="0.91633930363290894"/>
          <c:h val="0.15202061889859964"/>
        </c:manualLayout>
      </c:layout>
      <c:overlay val="0"/>
      <c:spPr>
        <a:noFill/>
        <a:ln>
          <a:noFill/>
          <a:prstDash val="lgDashDot"/>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lumMod val="65000"/>
          <a:lumOff val="35000"/>
        </a:schemeClr>
      </a:solidFill>
      <a:round/>
    </a:ln>
    <a:effectLst/>
  </c:spPr>
  <c:txPr>
    <a:bodyPr/>
    <a:lstStyle/>
    <a:p>
      <a:pPr>
        <a:defRPr/>
      </a:pPr>
      <a:endParaRPr lang="de-DE"/>
    </a:p>
  </c:txPr>
  <c:printSettings>
    <c:headerFooter/>
    <c:pageMargins b="0.78740157499999996" l="0.7" r="0.7" t="0.78740157499999996"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60675355811996"/>
          <c:y val="0.22919744018738875"/>
          <c:w val="0.8453061023382149"/>
          <c:h val="0.61197564244777225"/>
        </c:manualLayout>
      </c:layout>
      <c:lineChart>
        <c:grouping val="standard"/>
        <c:varyColors val="0"/>
        <c:ser>
          <c:idx val="0"/>
          <c:order val="0"/>
          <c:spPr>
            <a:ln w="28575" cap="rnd">
              <a:solidFill>
                <a:schemeClr val="accent1">
                  <a:shade val="50000"/>
                  <a:alpha val="0"/>
                </a:schemeClr>
              </a:solidFill>
              <a:round/>
            </a:ln>
            <a:effectLst/>
          </c:spPr>
          <c:marker>
            <c:symbol val="none"/>
          </c:marker>
          <c:cat>
            <c:strRef>
              <c:f>'Berechnungen BVerfG'!$M$18:$M$68</c:f>
              <c:strCache>
                <c:ptCount val="1"/>
                <c:pt idx="0">
                  <c:v>0</c:v>
                </c:pt>
              </c:strCache>
            </c:strRef>
          </c:cat>
          <c:val>
            <c:numRef>
              <c:f>#REF!</c:f>
              <c:numCache>
                <c:formatCode>General</c:formatCode>
                <c:ptCount val="1"/>
                <c:pt idx="0">
                  <c:v>1</c:v>
                </c:pt>
              </c:numCache>
            </c:numRef>
          </c:val>
          <c:smooth val="0"/>
          <c:extLst>
            <c:ext xmlns:c16="http://schemas.microsoft.com/office/drawing/2014/chart" uri="{C3380CC4-5D6E-409C-BE32-E72D297353CC}">
              <c16:uniqueId val="{00000002-C21D-4441-96C0-F8264985E322}"/>
            </c:ext>
          </c:extLst>
        </c:ser>
        <c:dLbls>
          <c:showLegendKey val="0"/>
          <c:showVal val="0"/>
          <c:showCatName val="0"/>
          <c:showSerName val="0"/>
          <c:showPercent val="0"/>
          <c:showBubbleSize val="0"/>
        </c:dLbls>
        <c:smooth val="0"/>
        <c:axId val="350027040"/>
        <c:axId val="308064464"/>
        <c:extLst/>
      </c:lineChart>
      <c:valAx>
        <c:axId val="308064464"/>
        <c:scaling>
          <c:orientation val="minMax"/>
        </c:scaling>
        <c:delete val="1"/>
        <c:axPos val="r"/>
        <c:numFmt formatCode="General" sourceLinked="1"/>
        <c:majorTickMark val="out"/>
        <c:minorTickMark val="none"/>
        <c:tickLblPos val="nextTo"/>
        <c:crossAx val="350027040"/>
        <c:crosses val="max"/>
        <c:crossBetween val="midCat"/>
      </c:valAx>
      <c:catAx>
        <c:axId val="350027040"/>
        <c:scaling>
          <c:orientation val="minMax"/>
        </c:scaling>
        <c:delete val="0"/>
        <c:axPos val="t"/>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308064464"/>
        <c:crosses val="max"/>
        <c:auto val="0"/>
        <c:lblAlgn val="ctr"/>
        <c:lblOffset val="100"/>
        <c:tickLblSkip val="2"/>
        <c:tickMarkSkip val="2"/>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12700" cap="flat" cmpd="sng" algn="ctr">
      <a:solidFill>
        <a:schemeClr val="accent1">
          <a:shade val="50000"/>
        </a:schemeClr>
      </a:solidFill>
      <a:round/>
    </a:ln>
    <a:effectLst/>
  </c:spPr>
  <c:txPr>
    <a:bodyPr/>
    <a:lstStyle/>
    <a:p>
      <a:pPr>
        <a:defRPr/>
      </a:pPr>
      <a:endParaRPr lang="de-DE"/>
    </a:p>
  </c:txPr>
  <c:printSettings>
    <c:headerFooter/>
    <c:pageMargins b="0.78740157499999996" l="0.7" r="0.7" t="0.78740157499999996" header="0.3" footer="0.3"/>
    <c:pageSetup orientation="portrait"/>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checked="Checked" fmlaLink="StDat_GrusiAdd" lockText="1" noThreeD="1"/>
</file>

<file path=xl/ctrlProps/ctrlProp10.xml><?xml version="1.0" encoding="utf-8"?>
<formControlPr xmlns="http://schemas.microsoft.com/office/spreadsheetml/2009/9/main" objectType="CheckBox" checked="Checked" fmlaLink="E_Hinterbliebene" lockText="1" noThreeD="1"/>
</file>

<file path=xl/ctrlProps/ctrlProp11.xml><?xml version="1.0" encoding="utf-8"?>
<formControlPr xmlns="http://schemas.microsoft.com/office/spreadsheetml/2009/9/main" objectType="Radio" checked="Checked" firstButton="1" fmlaLink="E_sex" lockText="1" noThreeD="1"/>
</file>

<file path=xl/ctrlProps/ctrlProp12.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GBox" noThreeD="1"/>
</file>

<file path=xl/ctrlProps/ctrlProp14.xml><?xml version="1.0" encoding="utf-8"?>
<formControlPr xmlns="http://schemas.microsoft.com/office/spreadsheetml/2009/9/main" objectType="GBox" noThreeD="1"/>
</file>

<file path=xl/ctrlProps/ctrlProp15.xml><?xml version="1.0" encoding="utf-8"?>
<formControlPr xmlns="http://schemas.microsoft.com/office/spreadsheetml/2009/9/main" objectType="CheckBox" fmlaLink="E_InvaliditätAusglBer" lockText="1" noThreeD="1"/>
</file>

<file path=xl/ctrlProps/ctrlProp16.xml><?xml version="1.0" encoding="utf-8"?>
<formControlPr xmlns="http://schemas.microsoft.com/office/spreadsheetml/2009/9/main" objectType="CheckBox" fmlaLink="E_HinterbliebeneAusglBer" lockText="1" noThreeD="1"/>
</file>

<file path=xl/ctrlProps/ctrlProp17.xml><?xml version="1.0" encoding="utf-8"?>
<formControlPr xmlns="http://schemas.microsoft.com/office/spreadsheetml/2009/9/main" objectType="Radio" firstButton="1" fmlaLink="E_RenteKapital" lockText="1" noThreeD="1"/>
</file>

<file path=xl/ctrlProps/ctrlProp18.xml><?xml version="1.0" encoding="utf-8"?>
<formControlPr xmlns="http://schemas.microsoft.com/office/spreadsheetml/2009/9/main" objectType="CheckBox" fmlaLink="E_Halbteilung" lockText="1" noThreeD="1"/>
</file>

<file path=xl/ctrlProps/ctrlProp19.xml><?xml version="1.0" encoding="utf-8"?>
<formControlPr xmlns="http://schemas.microsoft.com/office/spreadsheetml/2009/9/main" objectType="Radio" checked="Checked" lockText="1" noThreeD="1"/>
</file>

<file path=xl/ctrlProps/ctrlProp2.xml><?xml version="1.0" encoding="utf-8"?>
<formControlPr xmlns="http://schemas.microsoft.com/office/spreadsheetml/2009/9/main" objectType="Drop" dropLines="25" dropStyle="combo" dx="22" fmlaLink="'TO-Prüfung'!$K$2" fmlaRange="'TO Ziff.5'!$A$5:$A$427" sel="1" val="114"/>
</file>

<file path=xl/ctrlProps/ctrlProp20.xml><?xml version="1.0" encoding="utf-8"?>
<formControlPr xmlns="http://schemas.microsoft.com/office/spreadsheetml/2009/9/main" objectType="CheckBox" fmlaLink="E_BilMoG10" lockText="1" noThreeD="1"/>
</file>

<file path=xl/ctrlProps/ctrlProp21.xml><?xml version="1.0" encoding="utf-8"?>
<formControlPr xmlns="http://schemas.microsoft.com/office/spreadsheetml/2009/9/main" objectType="CheckBox" fmlaLink="Ost" lockText="1" noThreeD="1"/>
</file>

<file path=xl/ctrlProps/ctrlProp22.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CheckBox" fmlaLink="E_Volldynamik" lockText="1" noThreeD="1"/>
</file>

<file path=xl/ctrlProps/ctrlProp24.xml><?xml version="1.0" encoding="utf-8"?>
<formControlPr xmlns="http://schemas.microsoft.com/office/spreadsheetml/2009/9/main" objectType="Drop" dropStyle="combo" dx="22" fmlaLink="$AE$4" fmlaRange="$AE$1:$AE$3" noThreeD="1" sel="3" val="0"/>
</file>

<file path=xl/ctrlProps/ctrlProp25.xml><?xml version="1.0" encoding="utf-8"?>
<formControlPr xmlns="http://schemas.microsoft.com/office/spreadsheetml/2009/9/main" objectType="CheckBox" fmlaLink="TZ_Faktor" lockText="1" noThreeD="1"/>
</file>

<file path=xl/ctrlProps/ctrlProp26.xml><?xml version="1.0" encoding="utf-8"?>
<formControlPr xmlns="http://schemas.microsoft.com/office/spreadsheetml/2009/9/main" objectType="CheckBox" fmlaLink="VersAusglKJa" lockText="1" noThreeD="1"/>
</file>

<file path=xl/ctrlProps/ctrlProp27.xml><?xml version="1.0" encoding="utf-8"?>
<formControlPr xmlns="http://schemas.microsoft.com/office/spreadsheetml/2009/9/main" objectType="CheckBox" fmlaLink="SonstJa" lockText="1" noThreeD="1"/>
</file>

<file path=xl/ctrlProps/ctrlProp28.xml><?xml version="1.0" encoding="utf-8"?>
<formControlPr xmlns="http://schemas.microsoft.com/office/spreadsheetml/2009/9/main" objectType="CheckBox" fmlaLink="EP_Ost" lockText="1" noThreeD="1"/>
</file>

<file path=xl/ctrlProps/ctrlProp29.xml><?xml version="1.0" encoding="utf-8"?>
<formControlPr xmlns="http://schemas.microsoft.com/office/spreadsheetml/2009/9/main" objectType="CheckBox" fmlaLink="DRVAusglBerJa" lockText="1" noThreeD="1"/>
</file>

<file path=xl/ctrlProps/ctrlProp3.xml><?xml version="1.0" encoding="utf-8"?>
<formControlPr xmlns="http://schemas.microsoft.com/office/spreadsheetml/2009/9/main" objectType="Radio" firstButton="1" fmlaLink="$AL$3"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checked="Checked" fmlaLink="QuellVersrg" lockText="1" noThreeD="1"/>
</file>

<file path=xl/ctrlProps/ctrlProp32.xml><?xml version="1.0" encoding="utf-8"?>
<formControlPr xmlns="http://schemas.microsoft.com/office/spreadsheetml/2009/9/main" objectType="CheckBox" fmlaLink="RentenerwerbDRVBer" lockText="1" noThreeD="1"/>
</file>

<file path=xl/ctrlProps/ctrlProp33.xml><?xml version="1.0" encoding="utf-8"?>
<formControlPr xmlns="http://schemas.microsoft.com/office/spreadsheetml/2009/9/main" objectType="CheckBox" checked="Checked" fmlaLink="DRVPfl" lockText="1" noThreeD="1"/>
</file>

<file path=xl/ctrlProps/ctrlProp34.xml><?xml version="1.0" encoding="utf-8"?>
<formControlPr xmlns="http://schemas.microsoft.com/office/spreadsheetml/2009/9/main" objectType="CheckBox" checked="Checked" fmlaLink="GesVersrgPfl" lockText="1" noThreeD="1"/>
</file>

<file path=xl/ctrlProps/ctrlProp35.xml><?xml version="1.0" encoding="utf-8"?>
<formControlPr xmlns="http://schemas.microsoft.com/office/spreadsheetml/2009/9/main" objectType="CheckBox" checked="Checked" fmlaLink="SonstPfl" lockText="1" noThreeD="1"/>
</file>

<file path=xl/ctrlProps/ctrlProp36.xml><?xml version="1.0" encoding="utf-8"?>
<formControlPr xmlns="http://schemas.microsoft.com/office/spreadsheetml/2009/9/main" objectType="CheckBox" checked="Checked" fmlaLink="VersBer" lockText="1" noThreeD="1"/>
</file>

<file path=xl/ctrlProps/ctrlProp37.xml><?xml version="1.0" encoding="utf-8"?>
<formControlPr xmlns="http://schemas.microsoft.com/office/spreadsheetml/2009/9/main" objectType="CheckBox" checked="Checked" fmlaLink="VersAusglKPfl" lockText="1" noThreeD="1"/>
</file>

<file path=xl/ctrlProps/ctrlProp38.xml><?xml version="1.0" encoding="utf-8"?>
<formControlPr xmlns="http://schemas.microsoft.com/office/spreadsheetml/2009/9/main" objectType="CheckBox" fmlaLink="Adaequanz_DRV_Werte" lockText="1" noThreeD="1"/>
</file>

<file path=xl/ctrlProps/ctrlProp39.xml><?xml version="1.0" encoding="utf-8"?>
<formControlPr xmlns="http://schemas.microsoft.com/office/spreadsheetml/2009/9/main" objectType="CheckBox" fmlaLink="Invaliditätsrente" lockText="1" noThreeD="1"/>
</file>

<file path=xl/ctrlProps/ctrlProp4.xml><?xml version="1.0" encoding="utf-8"?>
<formControlPr xmlns="http://schemas.microsoft.com/office/spreadsheetml/2009/9/main" objectType="Radio" checked="Checked" lockText="1" noThreeD="1"/>
</file>

<file path=xl/ctrlProps/ctrlProp40.xml><?xml version="1.0" encoding="utf-8"?>
<formControlPr xmlns="http://schemas.microsoft.com/office/spreadsheetml/2009/9/main" objectType="CheckBox" checked="Checked" fmlaLink="DRVJa" lockText="1" noThreeD="1"/>
</file>

<file path=xl/ctrlProps/ctrlProp41.xml><?xml version="1.0" encoding="utf-8"?>
<formControlPr xmlns="http://schemas.microsoft.com/office/spreadsheetml/2009/9/main" objectType="Drop" dropLines="3" dropStyle="combo" dx="22" fmlaLink="Adaequanz_VerzinsungAusglW" fmlaRange="$P$25:$P$27" sel="1" val="0"/>
</file>

<file path=xl/ctrlProps/ctrlProp42.xml><?xml version="1.0" encoding="utf-8"?>
<formControlPr xmlns="http://schemas.microsoft.com/office/spreadsheetml/2009/9/main" objectType="Radio" checked="Checked" firstButton="1" fmlaLink="BerechnetAuf" lockText="1" noThreeD="1"/>
</file>

<file path=xl/ctrlProps/ctrlProp43.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CheckBox" fmlaLink="BGHXIIZB23016" lockText="1" noThreeD="1"/>
</file>

<file path=xl/ctrlProps/ctrlProp45.xml><?xml version="1.0" encoding="utf-8"?>
<formControlPr xmlns="http://schemas.microsoft.com/office/spreadsheetml/2009/9/main" objectType="CheckBox" fmlaLink="Adaequanz_DRV_Werte" lockText="1" noThreeD="1"/>
</file>

<file path=xl/ctrlProps/ctrlProp46.xml><?xml version="1.0" encoding="utf-8"?>
<formControlPr xmlns="http://schemas.microsoft.com/office/spreadsheetml/2009/9/main" objectType="Drop" dropLines="3" dropStyle="combo" dx="22" fmlaLink="Adaequanz_VerzinsungAusglW" fmlaRange="$P$25:$P$27" sel="1" val="0"/>
</file>

<file path=xl/ctrlProps/ctrlProp47.xml><?xml version="1.0" encoding="utf-8"?>
<formControlPr xmlns="http://schemas.microsoft.com/office/spreadsheetml/2009/9/main" objectType="CheckBox" fmlaLink="KeineInvaliditätinDRV" lockText="1" noThreeD="1"/>
</file>

<file path=xl/ctrlProps/ctrlProp48.xml><?xml version="1.0" encoding="utf-8"?>
<formControlPr xmlns="http://schemas.microsoft.com/office/spreadsheetml/2009/9/main" objectType="CheckBox" checked="Checked" fmlaLink="QVersJa" lockText="1" noThreeD="1"/>
</file>

<file path=xl/ctrlProps/ctrlProp49.xml><?xml version="1.0" encoding="utf-8"?>
<formControlPr xmlns="http://schemas.microsoft.com/office/spreadsheetml/2009/9/main" objectType="CheckBox" checked="Checked" fmlaLink="C_BilMoG10" lockText="1" noThreeD="1"/>
</file>

<file path=xl/ctrlProps/ctrlProp5.xml><?xml version="1.0" encoding="utf-8"?>
<formControlPr xmlns="http://schemas.microsoft.com/office/spreadsheetml/2009/9/main" objectType="CheckBox" checked="Checked" fmlaLink="Bilanz_BilMoG10" lockText="1" noThreeD="1"/>
</file>

<file path=xl/ctrlProps/ctrlProp50.xml><?xml version="1.0" encoding="utf-8"?>
<formControlPr xmlns="http://schemas.microsoft.com/office/spreadsheetml/2009/9/main" objectType="CheckBox" fmlaLink="RentenerwerbDRV" lockText="1" noThreeD="1"/>
</file>

<file path=xl/ctrlProps/ctrlProp51.xml><?xml version="1.0" encoding="utf-8"?>
<formControlPr xmlns="http://schemas.microsoft.com/office/spreadsheetml/2009/9/main" objectType="Drop" dropLines="25" dropStyle="combo" dx="22" fmlaLink="$K$2" fmlaRange="'TO Ziff.5'!$A$5:$A$348" sel="1" val="0"/>
</file>

<file path=xl/ctrlProps/ctrlProp52.xml><?xml version="1.0" encoding="utf-8"?>
<formControlPr xmlns="http://schemas.microsoft.com/office/spreadsheetml/2009/9/main" objectType="Radio" checked="Checked" firstButton="1" fmlaLink="K3" lockText="1" noThreeD="1"/>
</file>

<file path=xl/ctrlProps/ctrlProp53.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Radio" lockText="1" noThreeD="1"/>
</file>

<file path=xl/ctrlProps/ctrlProp55.xml><?xml version="1.0" encoding="utf-8"?>
<formControlPr xmlns="http://schemas.microsoft.com/office/spreadsheetml/2009/9/main" objectType="CheckBox" checked="Checked" fmlaLink="FB_Aktiv" lockText="1" noThreeD="1"/>
</file>

<file path=xl/ctrlProps/ctrlProp56.xml><?xml version="1.0" encoding="utf-8"?>
<formControlPr xmlns="http://schemas.microsoft.com/office/spreadsheetml/2009/9/main" objectType="CheckBox" fmlaLink="sVA_EPOst" lockText="1" noThreeD="1"/>
</file>

<file path=xl/ctrlProps/ctrlProp57.xml><?xml version="1.0" encoding="utf-8"?>
<formControlPr xmlns="http://schemas.microsoft.com/office/spreadsheetml/2009/9/main" objectType="Radio" checked="Checked" firstButton="1" fmlaLink="$M$37" lockText="1" noThreeD="1"/>
</file>

<file path=xl/ctrlProps/ctrlProp58.xml><?xml version="1.0" encoding="utf-8"?>
<formControlPr xmlns="http://schemas.microsoft.com/office/spreadsheetml/2009/9/main" objectType="Radio" lockText="1" noThreeD="1"/>
</file>

<file path=xl/ctrlProps/ctrlProp59.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CheckBox" fmlaLink="Dat_RentnerF" lockText="1" noThreeD="1"/>
</file>

<file path=xl/ctrlProps/ctrlProp60.xml><?xml version="1.0" encoding="utf-8"?>
<formControlPr xmlns="http://schemas.microsoft.com/office/spreadsheetml/2009/9/main" objectType="CheckBox" checked="Checked" fmlaLink="N36" lockText="1" noThreeD="1"/>
</file>

<file path=xl/ctrlProps/ctrlProp61.xml><?xml version="1.0" encoding="utf-8"?>
<formControlPr xmlns="http://schemas.microsoft.com/office/spreadsheetml/2009/9/main" objectType="CheckBox" checked="Checked" fmlaLink="N37" lockText="1" noThreeD="1"/>
</file>

<file path=xl/ctrlProps/ctrlProp62.xml><?xml version="1.0" encoding="utf-8"?>
<formControlPr xmlns="http://schemas.microsoft.com/office/spreadsheetml/2009/9/main" objectType="CheckBox" checked="Checked" fmlaLink="N38" lockText="1" noThreeD="1"/>
</file>

<file path=xl/ctrlProps/ctrlProp63.xml><?xml version="1.0" encoding="utf-8"?>
<formControlPr xmlns="http://schemas.microsoft.com/office/spreadsheetml/2009/9/main" objectType="Radio" lockText="1" noThreeD="1"/>
</file>

<file path=xl/ctrlProps/ctrlProp64.xml><?xml version="1.0" encoding="utf-8"?>
<formControlPr xmlns="http://schemas.microsoft.com/office/spreadsheetml/2009/9/main" objectType="CheckBox" checked="Checked" fmlaLink="N35" lockText="1" noThreeD="1"/>
</file>

<file path=xl/ctrlProps/ctrlProp65.xml><?xml version="1.0" encoding="utf-8"?>
<formControlPr xmlns="http://schemas.microsoft.com/office/spreadsheetml/2009/9/main" objectType="CheckBox" fmlaLink="SVAbgaben" lockText="1" noThreeD="1"/>
</file>

<file path=xl/ctrlProps/ctrlProp66.xml><?xml version="1.0" encoding="utf-8"?>
<formControlPr xmlns="http://schemas.microsoft.com/office/spreadsheetml/2009/9/main" objectType="Drop" dropLines="6" dropStyle="combo" dx="22" fmlaLink="$M$44" fmlaRange="$M$38:$M$43" noThreeD="1" sel="4" val="0"/>
</file>

<file path=xl/ctrlProps/ctrlProp67.xml><?xml version="1.0" encoding="utf-8"?>
<formControlPr xmlns="http://schemas.microsoft.com/office/spreadsheetml/2009/9/main" objectType="CheckBox" checked="Checked" fmlaLink="sVA_Privat" lockText="1" noThreeD="1"/>
</file>

<file path=xl/ctrlProps/ctrlProp68.xml><?xml version="1.0" encoding="utf-8"?>
<formControlPr xmlns="http://schemas.microsoft.com/office/spreadsheetml/2009/9/main" objectType="Radio" firstButton="1" fmlaLink="O_BewG" lockText="1" noThreeD="1"/>
</file>

<file path=xl/ctrlProps/ctrlProp69.xml><?xml version="1.0" encoding="utf-8"?>
<formControlPr xmlns="http://schemas.microsoft.com/office/spreadsheetml/2009/9/main" objectType="Radio" checked="Checked" lockText="1" noThreeD="1"/>
</file>

<file path=xl/ctrlProps/ctrlProp7.xml><?xml version="1.0" encoding="utf-8"?>
<formControlPr xmlns="http://schemas.microsoft.com/office/spreadsheetml/2009/9/main" objectType="CheckBox" fmlaLink="Dat_RentnerM" lockText="1" noThreeD="1"/>
</file>

<file path=xl/ctrlProps/ctrlProp70.xml><?xml version="1.0" encoding="utf-8"?>
<formControlPr xmlns="http://schemas.microsoft.com/office/spreadsheetml/2009/9/main" objectType="CheckBox" fmlaLink="EPOst" lockText="1" noThreeD="1"/>
</file>

<file path=xl/ctrlProps/ctrlProp71.xml><?xml version="1.0" encoding="utf-8"?>
<formControlPr xmlns="http://schemas.microsoft.com/office/spreadsheetml/2009/9/main" objectType="CheckBox" fmlaLink="$O$22" lockText="1" noThreeD="1"/>
</file>

<file path=xl/ctrlProps/ctrlProp72.xml><?xml version="1.0" encoding="utf-8"?>
<formControlPr xmlns="http://schemas.microsoft.com/office/spreadsheetml/2009/9/main" objectType="Radio" firstButton="1" fmlaLink="N27" lockText="1" noThreeD="1"/>
</file>

<file path=xl/ctrlProps/ctrlProp73.xml><?xml version="1.0" encoding="utf-8"?>
<formControlPr xmlns="http://schemas.microsoft.com/office/spreadsheetml/2009/9/main" objectType="Radio" lockText="1" noThreeD="1"/>
</file>

<file path=xl/ctrlProps/ctrlProp74.xml><?xml version="1.0" encoding="utf-8"?>
<formControlPr xmlns="http://schemas.microsoft.com/office/spreadsheetml/2009/9/main" objectType="Radio" checked="Checked" lockText="1" noThreeD="1"/>
</file>

<file path=xl/ctrlProps/ctrlProp75.xml><?xml version="1.0" encoding="utf-8"?>
<formControlPr xmlns="http://schemas.microsoft.com/office/spreadsheetml/2009/9/main" objectType="CheckBox" fmlaLink="Vertins_BilMoG10" lockText="1" noThreeD="1"/>
</file>

<file path=xl/ctrlProps/ctrlProp76.xml><?xml version="1.0" encoding="utf-8"?>
<formControlPr xmlns="http://schemas.microsoft.com/office/spreadsheetml/2009/9/main" objectType="CheckBox" checked="Checked" fmlaLink="Euro_EP" lockText="1" noThreeD="1"/>
</file>

<file path=xl/ctrlProps/ctrlProp77.xml><?xml version="1.0" encoding="utf-8"?>
<formControlPr xmlns="http://schemas.microsoft.com/office/spreadsheetml/2009/9/main" objectType="CheckBox" fmlaLink="VereinbarterUnterhalt" lockText="1" noThreeD="1"/>
</file>

<file path=xl/ctrlProps/ctrlProp78.xml><?xml version="1.0" encoding="utf-8"?>
<formControlPr xmlns="http://schemas.microsoft.com/office/spreadsheetml/2009/9/main" objectType="Radio" firstButton="1" fmlaLink="Geschlecht" lockText="1" noThreeD="1"/>
</file>

<file path=xl/ctrlProps/ctrlProp79.xml><?xml version="1.0" encoding="utf-8"?>
<formControlPr xmlns="http://schemas.microsoft.com/office/spreadsheetml/2009/9/main" objectType="Radio" checked="Checked" lockText="1" noThreeD="1"/>
</file>

<file path=xl/ctrlProps/ctrlProp8.xml><?xml version="1.0" encoding="utf-8"?>
<formControlPr xmlns="http://schemas.microsoft.com/office/spreadsheetml/2009/9/main" objectType="CheckBox" fmlaLink="Dat_Unisex" lockText="1" noThreeD="1"/>
</file>

<file path=xl/ctrlProps/ctrlProp80.xml><?xml version="1.0" encoding="utf-8"?>
<formControlPr xmlns="http://schemas.microsoft.com/office/spreadsheetml/2009/9/main" objectType="CheckBox" fmlaLink="O2" lockText="1" noThreeD="1"/>
</file>

<file path=xl/ctrlProps/ctrlProp81.xml><?xml version="1.0" encoding="utf-8"?>
<formControlPr xmlns="http://schemas.microsoft.com/office/spreadsheetml/2009/9/main" objectType="CheckBox" fmlaLink="verheiratet" lockText="1" noThreeD="1"/>
</file>

<file path=xl/ctrlProps/ctrlProp82.xml><?xml version="1.0" encoding="utf-8"?>
<formControlPr xmlns="http://schemas.microsoft.com/office/spreadsheetml/2009/9/main" objectType="CheckBox" fmlaLink="Verheiratet2" lockText="1" noThreeD="1"/>
</file>

<file path=xl/ctrlProps/ctrlProp83.xml><?xml version="1.0" encoding="utf-8"?>
<formControlPr xmlns="http://schemas.microsoft.com/office/spreadsheetml/2009/9/main" objectType="CheckBox" checked="Checked" fmlaLink="GR_EP_Teilung" lockText="1" noThreeD="1"/>
</file>

<file path=xl/ctrlProps/ctrlProp84.xml><?xml version="1.0" encoding="utf-8"?>
<formControlPr xmlns="http://schemas.microsoft.com/office/spreadsheetml/2009/9/main" objectType="CheckBox" fmlaLink="divers" lockText="1" noThreeD="1"/>
</file>

<file path=xl/ctrlProps/ctrlProp85.xml><?xml version="1.0" encoding="utf-8"?>
<formControlPr xmlns="http://schemas.microsoft.com/office/spreadsheetml/2009/9/main" objectType="CheckBox" fmlaLink="AbändBilMoG_Wahl" lockText="1" noThreeD="1"/>
</file>

<file path=xl/ctrlProps/ctrlProp86.xml><?xml version="1.0" encoding="utf-8"?>
<formControlPr xmlns="http://schemas.microsoft.com/office/spreadsheetml/2009/9/main" objectType="CheckBox" fmlaLink="S13" lockText="1" noThreeD="1"/>
</file>

<file path=xl/ctrlProps/ctrlProp87.xml><?xml version="1.0" encoding="utf-8"?>
<formControlPr xmlns="http://schemas.microsoft.com/office/spreadsheetml/2009/9/main" objectType="CheckBox" checked="Checked" fmlaLink="VVR" lockText="1" noThreeD="1"/>
</file>

<file path=xl/ctrlProps/ctrlProp88.xml><?xml version="1.0" encoding="utf-8"?>
<formControlPr xmlns="http://schemas.microsoft.com/office/spreadsheetml/2009/9/main" objectType="CheckBox" fmlaLink="Ost" lockText="1" noThreeD="1"/>
</file>

<file path=xl/ctrlProps/ctrlProp89.xml><?xml version="1.0" encoding="utf-8"?>
<formControlPr xmlns="http://schemas.microsoft.com/office/spreadsheetml/2009/9/main" objectType="CheckBox" fmlaLink="BilMoG_10" lockText="1" noThreeD="1"/>
</file>

<file path=xl/ctrlProps/ctrlProp9.xml><?xml version="1.0" encoding="utf-8"?>
<formControlPr xmlns="http://schemas.microsoft.com/office/spreadsheetml/2009/9/main" objectType="CheckBox" checked="Checked" fmlaLink="E_Invalidität" lockText="1" noThreeD="1"/>
</file>

<file path=xl/ctrlProps/ctrlProp90.xml><?xml version="1.0" encoding="utf-8"?>
<formControlPr xmlns="http://schemas.microsoft.com/office/spreadsheetml/2009/9/main" objectType="Radio" checked="Checked" firstButton="1" fmlaLink="DiesuDas_AboderAuf" lockText="1" noThreeD="1"/>
</file>

<file path=xl/ctrlProps/ctrlProp91.xml><?xml version="1.0" encoding="utf-8"?>
<formControlPr xmlns="http://schemas.microsoft.com/office/spreadsheetml/2009/9/main" objectType="Radio" lockText="1" noThreeD="1"/>
</file>

<file path=xl/ctrlProps/ctrlProp92.xml><?xml version="1.0" encoding="utf-8"?>
<formControlPr xmlns="http://schemas.microsoft.com/office/spreadsheetml/2009/9/main" objectType="CheckBox" checked="Checked" fmlaLink="O_BilMoG" lockText="1" noThreeD="1"/>
</file>

<file path=xl/ctrlProps/ctrlProp93.xml><?xml version="1.0" encoding="utf-8"?>
<formControlPr xmlns="http://schemas.microsoft.com/office/spreadsheetml/2009/9/main" objectType="CheckBox" fmlaLink="Dies_und_Das_Ost" lockText="1" noThreeD="1"/>
</file>

<file path=xl/ctrlProps/ctrlProp94.xml><?xml version="1.0" encoding="utf-8"?>
<formControlPr xmlns="http://schemas.microsoft.com/office/spreadsheetml/2009/9/main" objectType="CheckBox" checked="Checked" fmlaLink="DuD_VVR1" lockText="1" noThreeD="1"/>
</file>

<file path=xl/ctrlProps/ctrlProp95.xml><?xml version="1.0" encoding="utf-8"?>
<formControlPr xmlns="http://schemas.microsoft.com/office/spreadsheetml/2009/9/main" objectType="Drop" dropStyle="combo" dx="22" fmlaLink="$Y$9" fmlaRange="$W$10:$X$12" noThreeD="1" sel="3" val="0"/>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3" Type="http://schemas.openxmlformats.org/officeDocument/2006/relationships/hyperlink" Target="https://www.anwaelte-du.de/media/files/abfindung-von-versorgungen.pdf#page=5" TargetMode="External"/><Relationship Id="rId2" Type="http://schemas.openxmlformats.org/officeDocument/2006/relationships/image" Target="../media/image5.png"/><Relationship Id="rId1" Type="http://schemas.openxmlformats.org/officeDocument/2006/relationships/hyperlink" Target="https://www.anwaelte-du.de/media/files/abfindung-von-versorgungen.pdf#Page 1" TargetMode="External"/><Relationship Id="rId5" Type="http://schemas.openxmlformats.org/officeDocument/2006/relationships/hyperlink" Target="https://www.anwaelte-du.de/media/files/abfindung-von-versorgungen.pdf#page=2" TargetMode="External"/><Relationship Id="rId4" Type="http://schemas.openxmlformats.org/officeDocument/2006/relationships/hyperlink" Target="https://www.anwaelte-du.de/media/files/abfindung-von-versorgungen.pdf#page=3" TargetMode="External"/></Relationships>
</file>

<file path=xl/drawings/_rels/drawing12.xml.rels><?xml version="1.0" encoding="UTF-8" standalone="yes"?>
<Relationships xmlns="http://schemas.openxmlformats.org/package/2006/relationships"><Relationship Id="rId3" Type="http://schemas.openxmlformats.org/officeDocument/2006/relationships/hyperlink" Target="https://juris.bundesgerichtshof.de/cgi-bin/rechtsprechung/document.py?Gericht=bgh&amp;Art=en&amp;sid=d61a551998c0128c37e6ae16c0f2a616&amp;nr=57802&amp;pos=0&amp;anz=1" TargetMode="External"/><Relationship Id="rId2" Type="http://schemas.openxmlformats.org/officeDocument/2006/relationships/hyperlink" Target="https://www.gesetze-im-internet.de/sgb_6/__76.html" TargetMode="External"/><Relationship Id="rId1" Type="http://schemas.openxmlformats.org/officeDocument/2006/relationships/hyperlink" Target="#Inhalt"/></Relationships>
</file>

<file path=xl/drawings/_rels/drawing13.xml.rels><?xml version="1.0" encoding="UTF-8" standalone="yes"?>
<Relationships xmlns="http://schemas.openxmlformats.org/package/2006/relationships"><Relationship Id="rId2" Type="http://schemas.openxmlformats.org/officeDocument/2006/relationships/hyperlink" Target="https://www.gesetze-im-internet.de/versausglg/__33.html" TargetMode="External"/><Relationship Id="rId1" Type="http://schemas.openxmlformats.org/officeDocument/2006/relationships/hyperlink" Target="#Inhalt"/></Relationships>
</file>

<file path=xl/drawings/_rels/drawing14.xml.rels><?xml version="1.0" encoding="UTF-8" standalone="yes"?>
<Relationships xmlns="http://schemas.openxmlformats.org/package/2006/relationships"><Relationship Id="rId3" Type="http://schemas.openxmlformats.org/officeDocument/2006/relationships/hyperlink" Target="https://www.gesetze-im-internet.de/sgb_6/__235.html" TargetMode="External"/><Relationship Id="rId2" Type="http://schemas.openxmlformats.org/officeDocument/2006/relationships/hyperlink" Target="https://www.juris.de/perma?d=jzs-FamRB-2023-01-015-13" TargetMode="External"/><Relationship Id="rId1" Type="http://schemas.openxmlformats.org/officeDocument/2006/relationships/hyperlink" Target="#Inhalt"/><Relationship Id="rId4" Type="http://schemas.openxmlformats.org/officeDocument/2006/relationships/hyperlink" Target="https://www.gesetze-im-internet.de/sgb_6/__97a.html" TargetMode="External"/></Relationships>
</file>

<file path=xl/drawings/_rels/drawing15.xml.rels><?xml version="1.0" encoding="UTF-8" standalone="yes"?>
<Relationships xmlns="http://schemas.openxmlformats.org/package/2006/relationships"><Relationship Id="rId3" Type="http://schemas.openxmlformats.org/officeDocument/2006/relationships/hyperlink" Target="https://www.gesetze-im-internet.de/versausglg/__51.html" TargetMode="External"/><Relationship Id="rId2" Type="http://schemas.openxmlformats.org/officeDocument/2006/relationships/hyperlink" Target="https://www.gesetze-im-internet.de/famfg/__225.html" TargetMode="External"/><Relationship Id="rId1" Type="http://schemas.openxmlformats.org/officeDocument/2006/relationships/hyperlink" Target="#Inhalt"/><Relationship Id="rId4" Type="http://schemas.openxmlformats.org/officeDocument/2006/relationships/hyperlink" Target="#Dienstzeitverl&#228;ngerung"/></Relationships>
</file>

<file path=xl/drawings/_rels/drawing16.xml.rels><?xml version="1.0" encoding="UTF-8" standalone="yes"?>
<Relationships xmlns="http://schemas.openxmlformats.org/package/2006/relationships"><Relationship Id="rId1" Type="http://schemas.openxmlformats.org/officeDocument/2006/relationships/hyperlink" Target="#Inhalt"/></Relationships>
</file>

<file path=xl/drawings/_rels/drawing17.xml.rels><?xml version="1.0" encoding="UTF-8" standalone="yes"?>
<Relationships xmlns="http://schemas.openxmlformats.org/package/2006/relationships"><Relationship Id="rId8" Type="http://schemas.openxmlformats.org/officeDocument/2006/relationships/hyperlink" Target="https://www.gesetze-im-internet.de/sgb_6/__101.html" TargetMode="External"/><Relationship Id="rId13" Type="http://schemas.openxmlformats.org/officeDocument/2006/relationships/hyperlink" Target="https://view.officeapps.live.com/op/view.aspx?src=https%3A%2F%2Fwww.destatis.de%2FDE%2FThemen%2FGesellschaft-Umwelt%2FBevoelkerung%2FSterbefaelle-Lebenserwartung%2FPublikationen%2FDownloads-Sterbefaelle%2Fkohortensterbetafeln-5126101209005.xlsx%3F__blob%3DpublicationFile&amp;wdOrigin=BROWSELINK" TargetMode="External"/><Relationship Id="rId18" Type="http://schemas.openxmlformats.org/officeDocument/2006/relationships/hyperlink" Target="mailto:Hauss@Anwaelte-DU.de?subject=Kapitalwertkontrolle%202023%20-%20Dies%20&amp;%20Das" TargetMode="External"/><Relationship Id="rId3" Type="http://schemas.openxmlformats.org/officeDocument/2006/relationships/hyperlink" Target="https://dserver.bundestag.de/btd/19/249/1924925.pdf" TargetMode="External"/><Relationship Id="rId21" Type="http://schemas.openxmlformats.org/officeDocument/2006/relationships/hyperlink" Target="https://www.destatis.de/DE/Themen/Wirtschaft/Preise/Verbraucherpreisindex/Publikationen/_publikationen-verbraucherpreisindex.html?nn=206104" TargetMode="External"/><Relationship Id="rId7" Type="http://schemas.openxmlformats.org/officeDocument/2006/relationships/hyperlink" Target="https://www.gesetze-im-internet.de/sgb_6/__106.html" TargetMode="External"/><Relationship Id="rId12" Type="http://schemas.openxmlformats.org/officeDocument/2006/relationships/hyperlink" Target="https://www.bundesfinanzministerium.de/Content/DE/Downloads/BMF_Schreiben/Steuerarten/Erbschaft_Schenkungsteuerrecht/2021-10-04-bewertung-einer-lebenslaenglichen-nutzung-oder-leistung-stichtage-ab-1-1-2022.pdf?__blob=publicationFile&amp;v=2" TargetMode="External"/><Relationship Id="rId17" Type="http://schemas.openxmlformats.org/officeDocument/2006/relationships/hyperlink" Target="https://www.gesetze-im-internet.de/sgb_6/index.html" TargetMode="External"/><Relationship Id="rId2" Type="http://schemas.openxmlformats.org/officeDocument/2006/relationships/hyperlink" Target="#Inhalt"/><Relationship Id="rId16" Type="http://schemas.openxmlformats.org/officeDocument/2006/relationships/hyperlink" Target="https://www.missoc.org/missoc-information/missoc-vergleichende-tabellen-datenbank/?lang=de" TargetMode="External"/><Relationship Id="rId20" Type="http://schemas.openxmlformats.org/officeDocument/2006/relationships/hyperlink" Target="#aktRW"/><Relationship Id="rId1" Type="http://schemas.openxmlformats.org/officeDocument/2006/relationships/image" Target="../media/image6.png"/><Relationship Id="rId6" Type="http://schemas.openxmlformats.org/officeDocument/2006/relationships/hyperlink" Target="https://www.gesetze-im-internet.de/sgb_6/__315.html" TargetMode="External"/><Relationship Id="rId11" Type="http://schemas.openxmlformats.org/officeDocument/2006/relationships/hyperlink" Target="https://www.otto-schmidt.de/podcast/familienrecht" TargetMode="External"/><Relationship Id="rId5" Type="http://schemas.openxmlformats.org/officeDocument/2006/relationships/hyperlink" Target="https://www.gesetze-im-internet.de/sgb_6/__76.html" TargetMode="External"/><Relationship Id="rId15" Type="http://schemas.openxmlformats.org/officeDocument/2006/relationships/hyperlink" Target="https://rvrecht.deutsche-rentenversicherung.de/SiteGlobals/Forms/Suche/DokumentSuche/dokumentSuche_Formular.html?nn=1506092&amp;pathNonRecursive=%2FLitInternet%2FSharedDocs%2FrvRecht+%2FLitInternet%2FSharedDocs%2FrvRecht_Ergaenzungen" TargetMode="External"/><Relationship Id="rId10" Type="http://schemas.openxmlformats.org/officeDocument/2006/relationships/hyperlink" Target="https://www.famrb.de/" TargetMode="External"/><Relationship Id="rId19" Type="http://schemas.openxmlformats.org/officeDocument/2006/relationships/hyperlink" Target="https://www.ahv-iv.ch/Portals/0/adam/AHV-IV/WZuPffYb1UatWSmbYCJcYQ/Document/Monatliche%20Vollrenten,%20Skala%2044%2012.pdf" TargetMode="External"/><Relationship Id="rId4" Type="http://schemas.openxmlformats.org/officeDocument/2006/relationships/hyperlink" Target="https://www.gesetze-im-internet.de/sgb_5/__241.html" TargetMode="External"/><Relationship Id="rId9" Type="http://schemas.openxmlformats.org/officeDocument/2006/relationships/hyperlink" Target="https://alms.allianz.de/anonym/pages/start.xhtml?esales=VAUKAS" TargetMode="External"/><Relationship Id="rId14" Type="http://schemas.openxmlformats.org/officeDocument/2006/relationships/hyperlink" Target="https://www.destatis.de/DE/Themen/Gesellschaft-Umwelt/Bevoelkerung/Sterbefaelle-Lebenserwartung/Publikationen/Downloads-Sterbefaelle/periodensterbetafeln-bundeslaender-5126204207004.pdf?__blob=publicationFile" TargetMode="External"/><Relationship Id="rId22" Type="http://schemas.openxmlformats.org/officeDocument/2006/relationships/hyperlink" Target="#Stammdatenerfassung"/></Relationships>
</file>

<file path=xl/drawings/_rels/drawing18.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svg"/><Relationship Id="rId1" Type="http://schemas.openxmlformats.org/officeDocument/2006/relationships/image" Target="../media/image7.png"/><Relationship Id="rId6" Type="http://schemas.openxmlformats.org/officeDocument/2006/relationships/image" Target="../media/image12.svg"/><Relationship Id="rId5" Type="http://schemas.openxmlformats.org/officeDocument/2006/relationships/image" Target="../media/image11.png"/><Relationship Id="rId4" Type="http://schemas.openxmlformats.org/officeDocument/2006/relationships/image" Target="../media/image10.svg"/></Relationships>
</file>

<file path=xl/drawings/_rels/drawing2.xml.rels><?xml version="1.0" encoding="UTF-8" standalone="yes"?>
<Relationships xmlns="http://schemas.openxmlformats.org/package/2006/relationships"><Relationship Id="rId3" Type="http://schemas.openxmlformats.org/officeDocument/2006/relationships/hyperlink" Target="#Berechnungsparameter"/><Relationship Id="rId2" Type="http://schemas.openxmlformats.org/officeDocument/2006/relationships/hyperlink" Target="#Inhalt"/><Relationship Id="rId1" Type="http://schemas.openxmlformats.org/officeDocument/2006/relationships/hyperlink" Target="#Tenorierungsvorschlag"/><Relationship Id="rId5" Type="http://schemas.openxmlformats.org/officeDocument/2006/relationships/image" Target="../media/image2.png"/><Relationship Id="rId4" Type="http://schemas.openxmlformats.org/officeDocument/2006/relationships/hyperlink" Target="https://www.anwaelte-du.de/media/files/fallerfassung-programmerlaeuterung.pdf" TargetMode="External"/></Relationships>
</file>

<file path=xl/drawings/_rels/drawing3.xml.rels><?xml version="1.0" encoding="UTF-8" standalone="yes"?>
<Relationships xmlns="http://schemas.openxmlformats.org/package/2006/relationships"><Relationship Id="rId8" Type="http://schemas.openxmlformats.org/officeDocument/2006/relationships/hyperlink" Target="https://www.anwaelte-du.de/" TargetMode="External"/><Relationship Id="rId3" Type="http://schemas.openxmlformats.org/officeDocument/2006/relationships/hyperlink" Target="https://www.anwaelte-du.de/kapitalwertkontrolle.html" TargetMode="External"/><Relationship Id="rId7" Type="http://schemas.openxmlformats.org/officeDocument/2006/relationships/hyperlink" Target="https://alms.allianz.de/anonym/pages/start.xhtml?esales=VAUKAS" TargetMode="External"/><Relationship Id="rId12"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http://versorgungsausgleich-karlsruhe.de/" TargetMode="External"/><Relationship Id="rId6" Type="http://schemas.openxmlformats.org/officeDocument/2006/relationships/hyperlink" Target="https://www.gesetze-im-internet.de/sgb_6/__187.html" TargetMode="External"/><Relationship Id="rId11" Type="http://schemas.openxmlformats.org/officeDocument/2006/relationships/hyperlink" Target="https://www.anwaelte-du.de/media/files/einzel-bewertung-programmerlaeuterung.pdf" TargetMode="External"/><Relationship Id="rId5" Type="http://schemas.openxmlformats.org/officeDocument/2006/relationships/hyperlink" Target="https://juris.bundesgerichtshof.de/cgi-bin/rechtsprechung/document.py?Gericht=bgh&amp;Art=en&amp;sid=f28bdc1b110fe1b388bfb41ec9f0ab37&amp;nr=117991&amp;pos=0&amp;anz=1" TargetMode="External"/><Relationship Id="rId10" Type="http://schemas.openxmlformats.org/officeDocument/2006/relationships/hyperlink" Target="#Inhalt"/><Relationship Id="rId4" Type="http://schemas.openxmlformats.org/officeDocument/2006/relationships/image" Target="../media/image4.png"/><Relationship Id="rId9" Type="http://schemas.openxmlformats.org/officeDocument/2006/relationships/hyperlink" Target="mailto:Hauss@anwaelte-DU.de?subject=Kapitalwertkontrolle%20-%20Rentenbewertung" TargetMode="External"/></Relationships>
</file>

<file path=xl/drawings/_rels/drawing4.xml.rels><?xml version="1.0" encoding="UTF-8" standalone="yes"?>
<Relationships xmlns="http://schemas.openxmlformats.org/package/2006/relationships"><Relationship Id="rId1" Type="http://schemas.openxmlformats.org/officeDocument/2006/relationships/hyperlink" Target="#Inhalt"/></Relationships>
</file>

<file path=xl/drawings/_rels/drawing5.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hyperlink" Target="https://juris.bundesgerichtshof.de/cgi-bin/rechtsprechung/document.py?Gericht=bgh&amp;Art=en&amp;sid=05616f0f60cc93000f0a3aeabac8af89&amp;nr=117991&amp;pos=0&amp;anz=1" TargetMode="External"/><Relationship Id="rId7" Type="http://schemas.openxmlformats.org/officeDocument/2006/relationships/hyperlink" Target="https://www.famrb.de/media/Ad%c3%a4quanzpr%c3%bcfung%20nach%20BVerfG%20und%20BGH%20v%202-6-2021.pdf" TargetMode="External"/><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hyperlink" Target="#Inhalt"/><Relationship Id="rId5" Type="http://schemas.openxmlformats.org/officeDocument/2006/relationships/hyperlink" Target="https://alms.allianz.de/anonym/pages/start.xhtml?esales=VAUKAS" TargetMode="External"/><Relationship Id="rId4" Type="http://schemas.openxmlformats.org/officeDocument/2006/relationships/hyperlink" Target="https://www.bundesverfassungsgericht.de/SharedDocs/Entscheidungen/DE/2020/05/ls20200526_1bvl000518.html" TargetMode="External"/></Relationships>
</file>

<file path=xl/drawings/_rels/drawing7.xml.rels><?xml version="1.0" encoding="UTF-8" standalone="yes"?>
<Relationships xmlns="http://schemas.openxmlformats.org/package/2006/relationships"><Relationship Id="rId1" Type="http://schemas.openxmlformats.org/officeDocument/2006/relationships/hyperlink" Target="#Inhalt"/></Relationships>
</file>

<file path=xl/drawings/_rels/drawing8.xml.rels><?xml version="1.0" encoding="UTF-8" standalone="yes"?>
<Relationships xmlns="http://schemas.openxmlformats.org/package/2006/relationships"><Relationship Id="rId3" Type="http://schemas.openxmlformats.org/officeDocument/2006/relationships/hyperlink" Target="mailto:Hauss@Anwaelte-DU.de?subject=Kapitalwertkontrolle%202023%20-%20Teilungsordnungen" TargetMode="External"/><Relationship Id="rId2" Type="http://schemas.openxmlformats.org/officeDocument/2006/relationships/hyperlink" Target="#Stammdatenerfassung"/><Relationship Id="rId1" Type="http://schemas.openxmlformats.org/officeDocument/2006/relationships/hyperlink" Target="#Inhalt"/></Relationships>
</file>

<file path=xl/drawings/_rels/drawing9.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hyperlink" Target="https://www.gesetze-im-internet.de/sgb_4/__18.html" TargetMode="External"/><Relationship Id="rId7" Type="http://schemas.openxmlformats.org/officeDocument/2006/relationships/hyperlink" Target="https://www.anwaelte-du.de/media/files/sva-programmerlaeuterung.pdf" TargetMode="External"/><Relationship Id="rId2" Type="http://schemas.openxmlformats.org/officeDocument/2006/relationships/hyperlink" Target="https://www.gesetze-im-internet.de/sgb_5/__226.html" TargetMode="External"/><Relationship Id="rId1" Type="http://schemas.openxmlformats.org/officeDocument/2006/relationships/hyperlink" Target="#Inhalt"/><Relationship Id="rId6" Type="http://schemas.openxmlformats.org/officeDocument/2006/relationships/hyperlink" Target="https://www.gesetze-im-internet.de/versausglg/__51.html" TargetMode="External"/><Relationship Id="rId5" Type="http://schemas.openxmlformats.org/officeDocument/2006/relationships/hyperlink" Target="http://www.lexsoft.de/cgi-bin/lexsoft/justizportal_nrw.cgi?t=169488347202738020&amp;sessionID=295501000881055877&amp;templateID=document&amp;source=lawnavi&amp;chosenIndex=Dummy_nv_68&amp;xid=140298,6" TargetMode="External"/><Relationship Id="rId4" Type="http://schemas.openxmlformats.org/officeDocument/2006/relationships/hyperlink" Target="https://www.gesetze-im-internet.de/versausglg/__20.html" TargetMode="External"/><Relationship Id="rId9" Type="http://schemas.openxmlformats.org/officeDocument/2006/relationships/hyperlink" Target="https://www.bmas.de/SharedDocs/Downloads/DE/Gesetze/Regierungsentwuerfe/reg-sozialversicherungsrechengroessen-verordnung-2024.pdf?__blob=publicationFile&amp;v=2" TargetMode="External"/></Relationships>
</file>

<file path=xl/drawings/drawing1.xml><?xml version="1.0" encoding="utf-8"?>
<xdr:wsDr xmlns:xdr="http://schemas.openxmlformats.org/drawingml/2006/spreadsheetDrawing" xmlns:a="http://schemas.openxmlformats.org/drawingml/2006/main">
  <xdr:twoCellAnchor editAs="oneCell">
    <xdr:from>
      <xdr:col>54</xdr:col>
      <xdr:colOff>0</xdr:colOff>
      <xdr:row>11</xdr:row>
      <xdr:rowOff>0</xdr:rowOff>
    </xdr:from>
    <xdr:to>
      <xdr:col>55</xdr:col>
      <xdr:colOff>796925</xdr:colOff>
      <xdr:row>22</xdr:row>
      <xdr:rowOff>41275</xdr:rowOff>
    </xdr:to>
    <xdr:pic>
      <xdr:nvPicPr>
        <xdr:cNvPr id="4" name="Grafik 3">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561550" y="1943100"/>
          <a:ext cx="1631950" cy="178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61</xdr:col>
      <xdr:colOff>514350</xdr:colOff>
      <xdr:row>88</xdr:row>
      <xdr:rowOff>19049</xdr:rowOff>
    </xdr:from>
    <xdr:to>
      <xdr:col>72</xdr:col>
      <xdr:colOff>396875</xdr:colOff>
      <xdr:row>116</xdr:row>
      <xdr:rowOff>60324</xdr:rowOff>
    </xdr:to>
    <xdr:graphicFrame macro="">
      <xdr:nvGraphicFramePr>
        <xdr:cNvPr id="7" name="Diagramm 6">
          <a:extLst>
            <a:ext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457240</xdr:colOff>
      <xdr:row>2</xdr:row>
      <xdr:rowOff>207429</xdr:rowOff>
    </xdr:to>
    <xdr:pic>
      <xdr:nvPicPr>
        <xdr:cNvPr id="5" name="Grafik 4">
          <a:hlinkClick xmlns:r="http://schemas.openxmlformats.org/officeDocument/2006/relationships" r:id="rId1"/>
          <a:extLst>
            <a:ext uri="{FF2B5EF4-FFF2-40B4-BE49-F238E27FC236}">
              <a16:creationId xmlns:a16="http://schemas.microsoft.com/office/drawing/2014/main" id="{00000000-0008-0000-1A00-000005000000}"/>
            </a:ext>
          </a:extLst>
        </xdr:cNvPr>
        <xdr:cNvPicPr>
          <a:picLocks noChangeAspect="1"/>
        </xdr:cNvPicPr>
      </xdr:nvPicPr>
      <xdr:blipFill>
        <a:blip xmlns:r="http://schemas.openxmlformats.org/officeDocument/2006/relationships" r:embed="rId2"/>
        <a:stretch>
          <a:fillRect/>
        </a:stretch>
      </xdr:blipFill>
      <xdr:spPr>
        <a:xfrm>
          <a:off x="190500" y="203200"/>
          <a:ext cx="457240" cy="439204"/>
        </a:xfrm>
        <a:prstGeom prst="rect">
          <a:avLst/>
        </a:prstGeom>
      </xdr:spPr>
    </xdr:pic>
    <xdr:clientData/>
  </xdr:twoCellAnchor>
  <xdr:twoCellAnchor editAs="oneCell">
    <xdr:from>
      <xdr:col>16</xdr:col>
      <xdr:colOff>669924</xdr:colOff>
      <xdr:row>25</xdr:row>
      <xdr:rowOff>79418</xdr:rowOff>
    </xdr:from>
    <xdr:to>
      <xdr:col>16</xdr:col>
      <xdr:colOff>955714</xdr:colOff>
      <xdr:row>26</xdr:row>
      <xdr:rowOff>36313</xdr:rowOff>
    </xdr:to>
    <xdr:pic>
      <xdr:nvPicPr>
        <xdr:cNvPr id="8" name="Grafik 7">
          <a:hlinkClick xmlns:r="http://schemas.openxmlformats.org/officeDocument/2006/relationships" r:id="rId3"/>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2"/>
        <a:stretch>
          <a:fillRect/>
        </a:stretch>
      </xdr:blipFill>
      <xdr:spPr>
        <a:xfrm>
          <a:off x="15154274" y="4702218"/>
          <a:ext cx="285790" cy="280411"/>
        </a:xfrm>
        <a:prstGeom prst="rect">
          <a:avLst/>
        </a:prstGeom>
      </xdr:spPr>
    </xdr:pic>
    <xdr:clientData/>
  </xdr:twoCellAnchor>
  <xdr:twoCellAnchor editAs="oneCell">
    <xdr:from>
      <xdr:col>16</xdr:col>
      <xdr:colOff>650874</xdr:colOff>
      <xdr:row>1</xdr:row>
      <xdr:rowOff>120693</xdr:rowOff>
    </xdr:from>
    <xdr:to>
      <xdr:col>16</xdr:col>
      <xdr:colOff>936664</xdr:colOff>
      <xdr:row>2</xdr:row>
      <xdr:rowOff>162979</xdr:rowOff>
    </xdr:to>
    <xdr:pic>
      <xdr:nvPicPr>
        <xdr:cNvPr id="9" name="Grafik 8">
          <a:hlinkClick xmlns:r="http://schemas.openxmlformats.org/officeDocument/2006/relationships" r:id="rId3"/>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2"/>
        <a:stretch>
          <a:fillRect/>
        </a:stretch>
      </xdr:blipFill>
      <xdr:spPr>
        <a:xfrm>
          <a:off x="15135224" y="323893"/>
          <a:ext cx="285790" cy="283586"/>
        </a:xfrm>
        <a:prstGeom prst="rect">
          <a:avLst/>
        </a:prstGeom>
      </xdr:spPr>
    </xdr:pic>
    <xdr:clientData/>
  </xdr:twoCellAnchor>
  <xdr:twoCellAnchor editAs="oneCell">
    <xdr:from>
      <xdr:col>8</xdr:col>
      <xdr:colOff>508000</xdr:colOff>
      <xdr:row>19</xdr:row>
      <xdr:rowOff>57150</xdr:rowOff>
    </xdr:from>
    <xdr:to>
      <xdr:col>8</xdr:col>
      <xdr:colOff>793790</xdr:colOff>
      <xdr:row>20</xdr:row>
      <xdr:rowOff>137536</xdr:rowOff>
    </xdr:to>
    <xdr:pic>
      <xdr:nvPicPr>
        <xdr:cNvPr id="10" name="Grafik 9">
          <a:hlinkClick xmlns:r="http://schemas.openxmlformats.org/officeDocument/2006/relationships" r:id="rId4"/>
          <a:extLst>
            <a:ext uri="{FF2B5EF4-FFF2-40B4-BE49-F238E27FC236}">
              <a16:creationId xmlns:a16="http://schemas.microsoft.com/office/drawing/2014/main" id="{00000000-0008-0000-1A00-00000A000000}"/>
            </a:ext>
          </a:extLst>
        </xdr:cNvPr>
        <xdr:cNvPicPr>
          <a:picLocks noChangeAspect="1"/>
        </xdr:cNvPicPr>
      </xdr:nvPicPr>
      <xdr:blipFill>
        <a:blip xmlns:r="http://schemas.openxmlformats.org/officeDocument/2006/relationships" r:embed="rId2"/>
        <a:stretch>
          <a:fillRect/>
        </a:stretch>
      </xdr:blipFill>
      <xdr:spPr>
        <a:xfrm>
          <a:off x="6781800" y="4679950"/>
          <a:ext cx="285790" cy="283586"/>
        </a:xfrm>
        <a:prstGeom prst="rect">
          <a:avLst/>
        </a:prstGeom>
      </xdr:spPr>
    </xdr:pic>
    <xdr:clientData/>
  </xdr:twoCellAnchor>
  <xdr:twoCellAnchor editAs="oneCell">
    <xdr:from>
      <xdr:col>12</xdr:col>
      <xdr:colOff>177800</xdr:colOff>
      <xdr:row>6</xdr:row>
      <xdr:rowOff>273050</xdr:rowOff>
    </xdr:from>
    <xdr:to>
      <xdr:col>12</xdr:col>
      <xdr:colOff>463590</xdr:colOff>
      <xdr:row>8</xdr:row>
      <xdr:rowOff>29586</xdr:rowOff>
    </xdr:to>
    <xdr:pic>
      <xdr:nvPicPr>
        <xdr:cNvPr id="11" name="Grafik 10">
          <a:hlinkClick xmlns:r="http://schemas.openxmlformats.org/officeDocument/2006/relationships" r:id="rId5"/>
          <a:extLst>
            <a:ext uri="{FF2B5EF4-FFF2-40B4-BE49-F238E27FC236}">
              <a16:creationId xmlns:a16="http://schemas.microsoft.com/office/drawing/2014/main" id="{00000000-0008-0000-1A00-00000B000000}"/>
            </a:ext>
          </a:extLst>
        </xdr:cNvPr>
        <xdr:cNvPicPr>
          <a:picLocks noChangeAspect="1"/>
        </xdr:cNvPicPr>
      </xdr:nvPicPr>
      <xdr:blipFill>
        <a:blip xmlns:r="http://schemas.openxmlformats.org/officeDocument/2006/relationships" r:embed="rId2"/>
        <a:stretch>
          <a:fillRect/>
        </a:stretch>
      </xdr:blipFill>
      <xdr:spPr>
        <a:xfrm>
          <a:off x="9201150" y="1568450"/>
          <a:ext cx="285790" cy="28358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171450</xdr:colOff>
          <xdr:row>23</xdr:row>
          <xdr:rowOff>247650</xdr:rowOff>
        </xdr:from>
        <xdr:to>
          <xdr:col>2</xdr:col>
          <xdr:colOff>323850</xdr:colOff>
          <xdr:row>23</xdr:row>
          <xdr:rowOff>409575</xdr:rowOff>
        </xdr:to>
        <xdr:sp macro="" textlink="">
          <xdr:nvSpPr>
            <xdr:cNvPr id="2019329" name="Option Button 1" hidden="1">
              <a:extLst>
                <a:ext uri="{63B3BB69-23CF-44E3-9099-C40C66FF867C}">
                  <a14:compatExt spid="_x0000_s2019329"/>
                </a:ext>
                <a:ext uri="{FF2B5EF4-FFF2-40B4-BE49-F238E27FC236}">
                  <a16:creationId xmlns:a16="http://schemas.microsoft.com/office/drawing/2014/main" id="{00000000-0008-0000-1B00-000001D01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VVR einrechnechnen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23</xdr:row>
          <xdr:rowOff>419100</xdr:rowOff>
        </xdr:from>
        <xdr:to>
          <xdr:col>2</xdr:col>
          <xdr:colOff>371475</xdr:colOff>
          <xdr:row>25</xdr:row>
          <xdr:rowOff>38100</xdr:rowOff>
        </xdr:to>
        <xdr:sp macro="" textlink="">
          <xdr:nvSpPr>
            <xdr:cNvPr id="2019330" name="Option Button 2" hidden="1">
              <a:extLst>
                <a:ext uri="{63B3BB69-23CF-44E3-9099-C40C66FF867C}">
                  <a14:compatExt spid="_x0000_s2019330"/>
                </a:ext>
                <a:ext uri="{FF2B5EF4-FFF2-40B4-BE49-F238E27FC236}">
                  <a16:creationId xmlns:a16="http://schemas.microsoft.com/office/drawing/2014/main" id="{00000000-0008-0000-1B00-000002D01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Berechnung nach BewG</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19050</xdr:colOff>
          <xdr:row>25</xdr:row>
          <xdr:rowOff>152400</xdr:rowOff>
        </xdr:from>
        <xdr:to>
          <xdr:col>8</xdr:col>
          <xdr:colOff>19050</xdr:colOff>
          <xdr:row>27</xdr:row>
          <xdr:rowOff>38100</xdr:rowOff>
        </xdr:to>
        <xdr:sp macro="" textlink="">
          <xdr:nvSpPr>
            <xdr:cNvPr id="1864705" name="Check Box 1" hidden="1">
              <a:extLst>
                <a:ext uri="{63B3BB69-23CF-44E3-9099-C40C66FF867C}">
                  <a14:compatExt spid="_x0000_s1864705"/>
                </a:ext>
                <a:ext uri="{FF2B5EF4-FFF2-40B4-BE49-F238E27FC236}">
                  <a16:creationId xmlns:a16="http://schemas.microsoft.com/office/drawing/2014/main" id="{00000000-0008-0000-1C00-00000174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Entgeltpunkte Ost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21</xdr:row>
          <xdr:rowOff>0</xdr:rowOff>
        </xdr:from>
        <xdr:to>
          <xdr:col>11</xdr:col>
          <xdr:colOff>1085850</xdr:colOff>
          <xdr:row>21</xdr:row>
          <xdr:rowOff>171450</xdr:rowOff>
        </xdr:to>
        <xdr:sp macro="" textlink="">
          <xdr:nvSpPr>
            <xdr:cNvPr id="1864710" name="Check Box 6" hidden="1">
              <a:extLst>
                <a:ext uri="{63B3BB69-23CF-44E3-9099-C40C66FF867C}">
                  <a14:compatExt spid="_x0000_s1864710"/>
                </a:ext>
                <a:ext uri="{FF2B5EF4-FFF2-40B4-BE49-F238E27FC236}">
                  <a16:creationId xmlns:a16="http://schemas.microsoft.com/office/drawing/2014/main" id="{00000000-0008-0000-1C00-00000674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Entgeltpunkte (Ost)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25</xdr:row>
          <xdr:rowOff>152400</xdr:rowOff>
        </xdr:from>
        <xdr:to>
          <xdr:col>9</xdr:col>
          <xdr:colOff>323850</xdr:colOff>
          <xdr:row>27</xdr:row>
          <xdr:rowOff>19050</xdr:rowOff>
        </xdr:to>
        <xdr:sp macro="" textlink="">
          <xdr:nvSpPr>
            <xdr:cNvPr id="1864711" name="Option Button 7" hidden="1">
              <a:extLst>
                <a:ext uri="{63B3BB69-23CF-44E3-9099-C40C66FF867C}">
                  <a14:compatExt spid="_x0000_s1864711"/>
                </a:ext>
                <a:ext uri="{FF2B5EF4-FFF2-40B4-BE49-F238E27FC236}">
                  <a16:creationId xmlns:a16="http://schemas.microsoft.com/office/drawing/2014/main" id="{00000000-0008-0000-1C00-00000774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25</xdr:row>
          <xdr:rowOff>152400</xdr:rowOff>
        </xdr:from>
        <xdr:to>
          <xdr:col>10</xdr:col>
          <xdr:colOff>266700</xdr:colOff>
          <xdr:row>27</xdr:row>
          <xdr:rowOff>19050</xdr:rowOff>
        </xdr:to>
        <xdr:sp macro="" textlink="">
          <xdr:nvSpPr>
            <xdr:cNvPr id="1864713" name="Option Button 9" hidden="1">
              <a:extLst>
                <a:ext uri="{63B3BB69-23CF-44E3-9099-C40C66FF867C}">
                  <a14:compatExt spid="_x0000_s1864713"/>
                </a:ext>
                <a:ext uri="{FF2B5EF4-FFF2-40B4-BE49-F238E27FC236}">
                  <a16:creationId xmlns:a16="http://schemas.microsoft.com/office/drawing/2014/main" id="{00000000-0008-0000-1C00-00000974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25</xdr:row>
          <xdr:rowOff>152400</xdr:rowOff>
        </xdr:from>
        <xdr:to>
          <xdr:col>11</xdr:col>
          <xdr:colOff>247650</xdr:colOff>
          <xdr:row>27</xdr:row>
          <xdr:rowOff>19050</xdr:rowOff>
        </xdr:to>
        <xdr:sp macro="" textlink="">
          <xdr:nvSpPr>
            <xdr:cNvPr id="1864714" name="Option Button 10" hidden="1">
              <a:extLst>
                <a:ext uri="{63B3BB69-23CF-44E3-9099-C40C66FF867C}">
                  <a14:compatExt spid="_x0000_s1864714"/>
                </a:ext>
                <a:ext uri="{FF2B5EF4-FFF2-40B4-BE49-F238E27FC236}">
                  <a16:creationId xmlns:a16="http://schemas.microsoft.com/office/drawing/2014/main" id="{00000000-0008-0000-1C00-00000A74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803671</xdr:colOff>
      <xdr:row>0</xdr:row>
      <xdr:rowOff>0</xdr:rowOff>
    </xdr:from>
    <xdr:to>
      <xdr:col>11</xdr:col>
      <xdr:colOff>1046734</xdr:colOff>
      <xdr:row>20</xdr:row>
      <xdr:rowOff>142874</xdr:rowOff>
    </xdr:to>
    <xdr:sp macro="" textlink="">
      <xdr:nvSpPr>
        <xdr:cNvPr id="8" name="Pfeil: gestreift nach rechts 7">
          <a:hlinkClick xmlns:r="http://schemas.openxmlformats.org/officeDocument/2006/relationships" r:id="rId1"/>
          <a:extLst>
            <a:ext uri="{FF2B5EF4-FFF2-40B4-BE49-F238E27FC236}">
              <a16:creationId xmlns:a16="http://schemas.microsoft.com/office/drawing/2014/main" id="{00000000-0008-0000-1C00-000008000000}"/>
            </a:ext>
          </a:extLst>
        </xdr:cNvPr>
        <xdr:cNvSpPr/>
      </xdr:nvSpPr>
      <xdr:spPr>
        <a:xfrm rot="16200000">
          <a:off x="6595554" y="36226"/>
          <a:ext cx="315515" cy="243063"/>
        </a:xfrm>
        <a:prstGeom prst="stripedRightArrow">
          <a:avLst/>
        </a:prstGeom>
        <a:solidFill>
          <a:srgbClr val="BEE395"/>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28575</xdr:colOff>
          <xdr:row>23</xdr:row>
          <xdr:rowOff>19050</xdr:rowOff>
        </xdr:from>
        <xdr:to>
          <xdr:col>10</xdr:col>
          <xdr:colOff>742950</xdr:colOff>
          <xdr:row>23</xdr:row>
          <xdr:rowOff>171450</xdr:rowOff>
        </xdr:to>
        <xdr:sp macro="" textlink="">
          <xdr:nvSpPr>
            <xdr:cNvPr id="1864715" name="Check Box 11" hidden="1">
              <a:extLst>
                <a:ext uri="{63B3BB69-23CF-44E3-9099-C40C66FF867C}">
                  <a14:compatExt spid="_x0000_s1864715"/>
                </a:ext>
                <a:ext uri="{FF2B5EF4-FFF2-40B4-BE49-F238E27FC236}">
                  <a16:creationId xmlns:a16="http://schemas.microsoft.com/office/drawing/2014/main" id="{00000000-0008-0000-1C00-00000B74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BilMoG-10</a:t>
              </a:r>
            </a:p>
          </xdr:txBody>
        </xdr:sp>
        <xdr:clientData/>
      </xdr:twoCellAnchor>
    </mc:Choice>
    <mc:Fallback/>
  </mc:AlternateContent>
  <xdr:twoCellAnchor>
    <xdr:from>
      <xdr:col>10</xdr:col>
      <xdr:colOff>4330</xdr:colOff>
      <xdr:row>19</xdr:row>
      <xdr:rowOff>17318</xdr:rowOff>
    </xdr:from>
    <xdr:to>
      <xdr:col>11</xdr:col>
      <xdr:colOff>785813</xdr:colOff>
      <xdr:row>20</xdr:row>
      <xdr:rowOff>8659</xdr:rowOff>
    </xdr:to>
    <xdr:sp macro="" textlink="">
      <xdr:nvSpPr>
        <xdr:cNvPr id="2" name="Rechteck 1">
          <a:hlinkClick xmlns:r="http://schemas.openxmlformats.org/officeDocument/2006/relationships" r:id="rId2"/>
          <a:extLst>
            <a:ext uri="{FF2B5EF4-FFF2-40B4-BE49-F238E27FC236}">
              <a16:creationId xmlns:a16="http://schemas.microsoft.com/office/drawing/2014/main" id="{00000000-0008-0000-1C00-000002000000}"/>
            </a:ext>
          </a:extLst>
        </xdr:cNvPr>
        <xdr:cNvSpPr/>
      </xdr:nvSpPr>
      <xdr:spPr>
        <a:xfrm>
          <a:off x="4719205" y="17318"/>
          <a:ext cx="1894717" cy="16398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9</xdr:col>
      <xdr:colOff>1104034</xdr:colOff>
      <xdr:row>20</xdr:row>
      <xdr:rowOff>4330</xdr:rowOff>
    </xdr:from>
    <xdr:to>
      <xdr:col>11</xdr:col>
      <xdr:colOff>1091046</xdr:colOff>
      <xdr:row>20</xdr:row>
      <xdr:rowOff>168853</xdr:rowOff>
    </xdr:to>
    <xdr:sp macro="" textlink="">
      <xdr:nvSpPr>
        <xdr:cNvPr id="3" name="Rechteck 2">
          <a:hlinkClick xmlns:r="http://schemas.openxmlformats.org/officeDocument/2006/relationships" r:id="rId3"/>
          <a:extLst>
            <a:ext uri="{FF2B5EF4-FFF2-40B4-BE49-F238E27FC236}">
              <a16:creationId xmlns:a16="http://schemas.microsoft.com/office/drawing/2014/main" id="{00000000-0008-0000-1C00-000003000000}"/>
            </a:ext>
          </a:extLst>
        </xdr:cNvPr>
        <xdr:cNvSpPr/>
      </xdr:nvSpPr>
      <xdr:spPr>
        <a:xfrm>
          <a:off x="4407477" y="177512"/>
          <a:ext cx="2195080" cy="16452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2914650</xdr:colOff>
          <xdr:row>14</xdr:row>
          <xdr:rowOff>180975</xdr:rowOff>
        </xdr:from>
        <xdr:to>
          <xdr:col>2</xdr:col>
          <xdr:colOff>3600450</xdr:colOff>
          <xdr:row>16</xdr:row>
          <xdr:rowOff>28575</xdr:rowOff>
        </xdr:to>
        <xdr:sp macro="" textlink="">
          <xdr:nvSpPr>
            <xdr:cNvPr id="1789953" name="Check Box 1" hidden="1">
              <a:extLst>
                <a:ext uri="{63B3BB69-23CF-44E3-9099-C40C66FF867C}">
                  <a14:compatExt spid="_x0000_s1789953"/>
                </a:ext>
                <a:ext uri="{FF2B5EF4-FFF2-40B4-BE49-F238E27FC236}">
                  <a16:creationId xmlns:a16="http://schemas.microsoft.com/office/drawing/2014/main" id="{00000000-0008-0000-1D00-00000150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in Euro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2914650</xdr:colOff>
          <xdr:row>13</xdr:row>
          <xdr:rowOff>180975</xdr:rowOff>
        </xdr:from>
        <xdr:to>
          <xdr:col>2</xdr:col>
          <xdr:colOff>3600450</xdr:colOff>
          <xdr:row>15</xdr:row>
          <xdr:rowOff>28575</xdr:rowOff>
        </xdr:to>
        <xdr:sp macro="" textlink="">
          <xdr:nvSpPr>
            <xdr:cNvPr id="1789954" name="Check Box 2" hidden="1">
              <a:extLst>
                <a:ext uri="{63B3BB69-23CF-44E3-9099-C40C66FF867C}">
                  <a14:compatExt spid="_x0000_s1789954"/>
                </a:ext>
                <a:ext uri="{FF2B5EF4-FFF2-40B4-BE49-F238E27FC236}">
                  <a16:creationId xmlns:a16="http://schemas.microsoft.com/office/drawing/2014/main" id="{00000000-0008-0000-1D00-00000250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vereinbart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219075</xdr:colOff>
          <xdr:row>12</xdr:row>
          <xdr:rowOff>180975</xdr:rowOff>
        </xdr:from>
        <xdr:to>
          <xdr:col>9</xdr:col>
          <xdr:colOff>371475</xdr:colOff>
          <xdr:row>14</xdr:row>
          <xdr:rowOff>28575</xdr:rowOff>
        </xdr:to>
        <xdr:sp macro="" textlink="">
          <xdr:nvSpPr>
            <xdr:cNvPr id="1789958" name="Option Button 6" hidden="1">
              <a:extLst>
                <a:ext uri="{63B3BB69-23CF-44E3-9099-C40C66FF867C}">
                  <a14:compatExt spid="_x0000_s1789958"/>
                </a:ext>
                <a:ext uri="{FF2B5EF4-FFF2-40B4-BE49-F238E27FC236}">
                  <a16:creationId xmlns:a16="http://schemas.microsoft.com/office/drawing/2014/main" id="{00000000-0008-0000-1D00-00000650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409575</xdr:colOff>
          <xdr:row>12</xdr:row>
          <xdr:rowOff>180975</xdr:rowOff>
        </xdr:from>
        <xdr:to>
          <xdr:col>9</xdr:col>
          <xdr:colOff>800100</xdr:colOff>
          <xdr:row>14</xdr:row>
          <xdr:rowOff>28575</xdr:rowOff>
        </xdr:to>
        <xdr:sp macro="" textlink="">
          <xdr:nvSpPr>
            <xdr:cNvPr id="1789959" name="Option Button 7" hidden="1">
              <a:extLst>
                <a:ext uri="{63B3BB69-23CF-44E3-9099-C40C66FF867C}">
                  <a14:compatExt spid="_x0000_s1789959"/>
                </a:ext>
                <a:ext uri="{FF2B5EF4-FFF2-40B4-BE49-F238E27FC236}">
                  <a16:creationId xmlns:a16="http://schemas.microsoft.com/office/drawing/2014/main" id="{00000000-0008-0000-1D00-00000750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a:t>
              </a:r>
            </a:p>
          </xdr:txBody>
        </xdr:sp>
        <xdr:clientData/>
      </xdr:twoCellAnchor>
    </mc:Choice>
    <mc:Fallback/>
  </mc:AlternateContent>
  <xdr:twoCellAnchor>
    <xdr:from>
      <xdr:col>6</xdr:col>
      <xdr:colOff>0</xdr:colOff>
      <xdr:row>1</xdr:row>
      <xdr:rowOff>0</xdr:rowOff>
    </xdr:from>
    <xdr:to>
      <xdr:col>9</xdr:col>
      <xdr:colOff>23256</xdr:colOff>
      <xdr:row>1</xdr:row>
      <xdr:rowOff>215348</xdr:rowOff>
    </xdr:to>
    <xdr:sp macro="" textlink="">
      <xdr:nvSpPr>
        <xdr:cNvPr id="7" name="Pfeil: gestreift nach rechts 6">
          <a:hlinkClick xmlns:r="http://schemas.openxmlformats.org/officeDocument/2006/relationships" r:id="rId1"/>
          <a:extLst>
            <a:ext uri="{FF2B5EF4-FFF2-40B4-BE49-F238E27FC236}">
              <a16:creationId xmlns:a16="http://schemas.microsoft.com/office/drawing/2014/main" id="{00000000-0008-0000-1D00-000007000000}"/>
            </a:ext>
          </a:extLst>
        </xdr:cNvPr>
        <xdr:cNvSpPr/>
      </xdr:nvSpPr>
      <xdr:spPr>
        <a:xfrm rot="16200000">
          <a:off x="7384743" y="176642"/>
          <a:ext cx="215348" cy="243063"/>
        </a:xfrm>
        <a:prstGeom prst="stripedRightArrow">
          <a:avLst/>
        </a:prstGeom>
        <a:solidFill>
          <a:srgbClr val="BEE395"/>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3</xdr:col>
      <xdr:colOff>939362</xdr:colOff>
      <xdr:row>1</xdr:row>
      <xdr:rowOff>78828</xdr:rowOff>
    </xdr:from>
    <xdr:to>
      <xdr:col>5</xdr:col>
      <xdr:colOff>381000</xdr:colOff>
      <xdr:row>1</xdr:row>
      <xdr:rowOff>367862</xdr:rowOff>
    </xdr:to>
    <xdr:sp macro="" textlink="">
      <xdr:nvSpPr>
        <xdr:cNvPr id="2" name="Rechteck 1">
          <a:hlinkClick xmlns:r="http://schemas.openxmlformats.org/officeDocument/2006/relationships" r:id="rId2"/>
          <a:extLst>
            <a:ext uri="{FF2B5EF4-FFF2-40B4-BE49-F238E27FC236}">
              <a16:creationId xmlns:a16="http://schemas.microsoft.com/office/drawing/2014/main" id="{00000000-0008-0000-1D00-000002000000}"/>
            </a:ext>
          </a:extLst>
        </xdr:cNvPr>
        <xdr:cNvSpPr/>
      </xdr:nvSpPr>
      <xdr:spPr>
        <a:xfrm>
          <a:off x="4775638" y="269328"/>
          <a:ext cx="1799896" cy="28903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3638550</xdr:colOff>
          <xdr:row>4</xdr:row>
          <xdr:rowOff>171450</xdr:rowOff>
        </xdr:from>
        <xdr:to>
          <xdr:col>4</xdr:col>
          <xdr:colOff>28575</xdr:colOff>
          <xdr:row>6</xdr:row>
          <xdr:rowOff>28575</xdr:rowOff>
        </xdr:to>
        <xdr:sp macro="" textlink="">
          <xdr:nvSpPr>
            <xdr:cNvPr id="1916929" name="Check Box 1" hidden="1">
              <a:extLst>
                <a:ext uri="{63B3BB69-23CF-44E3-9099-C40C66FF867C}">
                  <a14:compatExt spid="_x0000_s1916929"/>
                </a:ext>
                <a:ext uri="{FF2B5EF4-FFF2-40B4-BE49-F238E27FC236}">
                  <a16:creationId xmlns:a16="http://schemas.microsoft.com/office/drawing/2014/main" id="{00000000-0008-0000-1F00-00000140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Entgeltpunkte Ost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19</xdr:row>
          <xdr:rowOff>190500</xdr:rowOff>
        </xdr:from>
        <xdr:to>
          <xdr:col>4</xdr:col>
          <xdr:colOff>895350</xdr:colOff>
          <xdr:row>22</xdr:row>
          <xdr:rowOff>0</xdr:rowOff>
        </xdr:to>
        <xdr:sp macro="" textlink="">
          <xdr:nvSpPr>
            <xdr:cNvPr id="1916930" name="Check Box 2" hidden="1">
              <a:extLst>
                <a:ext uri="{63B3BB69-23CF-44E3-9099-C40C66FF867C}">
                  <a14:compatExt spid="_x0000_s1916930"/>
                </a:ext>
                <a:ext uri="{FF2B5EF4-FFF2-40B4-BE49-F238E27FC236}">
                  <a16:creationId xmlns:a16="http://schemas.microsoft.com/office/drawing/2014/main" id="{00000000-0008-0000-1F00-00000240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verheiratet?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19</xdr:row>
          <xdr:rowOff>190500</xdr:rowOff>
        </xdr:from>
        <xdr:to>
          <xdr:col>6</xdr:col>
          <xdr:colOff>895350</xdr:colOff>
          <xdr:row>22</xdr:row>
          <xdr:rowOff>0</xdr:rowOff>
        </xdr:to>
        <xdr:sp macro="" textlink="">
          <xdr:nvSpPr>
            <xdr:cNvPr id="1916931" name="Check Box 3" hidden="1">
              <a:extLst>
                <a:ext uri="{63B3BB69-23CF-44E3-9099-C40C66FF867C}">
                  <a14:compatExt spid="_x0000_s1916931"/>
                </a:ext>
                <a:ext uri="{FF2B5EF4-FFF2-40B4-BE49-F238E27FC236}">
                  <a16:creationId xmlns:a16="http://schemas.microsoft.com/office/drawing/2014/main" id="{00000000-0008-0000-1F00-00000340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verheiratet?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7</xdr:row>
          <xdr:rowOff>171450</xdr:rowOff>
        </xdr:from>
        <xdr:to>
          <xdr:col>10</xdr:col>
          <xdr:colOff>219075</xdr:colOff>
          <xdr:row>9</xdr:row>
          <xdr:rowOff>0</xdr:rowOff>
        </xdr:to>
        <xdr:sp macro="" textlink="">
          <xdr:nvSpPr>
            <xdr:cNvPr id="1916932" name="Check Box 4" hidden="1">
              <a:extLst>
                <a:ext uri="{63B3BB69-23CF-44E3-9099-C40C66FF867C}">
                  <a14:compatExt spid="_x0000_s1916932"/>
                </a:ext>
                <a:ext uri="{FF2B5EF4-FFF2-40B4-BE49-F238E27FC236}">
                  <a16:creationId xmlns:a16="http://schemas.microsoft.com/office/drawing/2014/main" id="{00000000-0008-0000-1F00-00000440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12</xdr:col>
      <xdr:colOff>20707</xdr:colOff>
      <xdr:row>0</xdr:row>
      <xdr:rowOff>12424</xdr:rowOff>
    </xdr:from>
    <xdr:to>
      <xdr:col>13</xdr:col>
      <xdr:colOff>0</xdr:colOff>
      <xdr:row>0</xdr:row>
      <xdr:rowOff>227772</xdr:rowOff>
    </xdr:to>
    <xdr:sp macro="" textlink="">
      <xdr:nvSpPr>
        <xdr:cNvPr id="2" name="Pfeil: gestreift nach rechts 1">
          <a:hlinkClick xmlns:r="http://schemas.openxmlformats.org/officeDocument/2006/relationships" r:id="rId1"/>
          <a:extLst>
            <a:ext uri="{FF2B5EF4-FFF2-40B4-BE49-F238E27FC236}">
              <a16:creationId xmlns:a16="http://schemas.microsoft.com/office/drawing/2014/main" id="{00000000-0008-0000-1F00-000002000000}"/>
            </a:ext>
          </a:extLst>
        </xdr:cNvPr>
        <xdr:cNvSpPr/>
      </xdr:nvSpPr>
      <xdr:spPr>
        <a:xfrm rot="16200000">
          <a:off x="12641332" y="-2071"/>
          <a:ext cx="215348" cy="244337"/>
        </a:xfrm>
        <a:prstGeom prst="stripedRightArrow">
          <a:avLst/>
        </a:prstGeom>
        <a:solidFill>
          <a:srgbClr val="BEE395"/>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10</xdr:col>
      <xdr:colOff>21981</xdr:colOff>
      <xdr:row>1</xdr:row>
      <xdr:rowOff>14654</xdr:rowOff>
    </xdr:from>
    <xdr:to>
      <xdr:col>11</xdr:col>
      <xdr:colOff>1003789</xdr:colOff>
      <xdr:row>2</xdr:row>
      <xdr:rowOff>197827</xdr:rowOff>
    </xdr:to>
    <xdr:sp macro="" textlink="">
      <xdr:nvSpPr>
        <xdr:cNvPr id="3" name="Rechteck 2">
          <a:hlinkClick xmlns:r="http://schemas.openxmlformats.org/officeDocument/2006/relationships" r:id="rId2"/>
          <a:extLst>
            <a:ext uri="{FF2B5EF4-FFF2-40B4-BE49-F238E27FC236}">
              <a16:creationId xmlns:a16="http://schemas.microsoft.com/office/drawing/2014/main" id="{00000000-0008-0000-1F00-000003000000}"/>
            </a:ext>
          </a:extLst>
        </xdr:cNvPr>
        <xdr:cNvSpPr/>
      </xdr:nvSpPr>
      <xdr:spPr>
        <a:xfrm>
          <a:off x="9561635" y="278423"/>
          <a:ext cx="2000250" cy="41030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3</xdr:col>
      <xdr:colOff>2850171</xdr:colOff>
      <xdr:row>8</xdr:row>
      <xdr:rowOff>14654</xdr:rowOff>
    </xdr:from>
    <xdr:to>
      <xdr:col>3</xdr:col>
      <xdr:colOff>4630614</xdr:colOff>
      <xdr:row>9</xdr:row>
      <xdr:rowOff>1</xdr:rowOff>
    </xdr:to>
    <xdr:sp macro="" textlink="">
      <xdr:nvSpPr>
        <xdr:cNvPr id="4" name="Rechteck 3">
          <a:hlinkClick xmlns:r="http://schemas.openxmlformats.org/officeDocument/2006/relationships" r:id="rId3"/>
          <a:extLst>
            <a:ext uri="{FF2B5EF4-FFF2-40B4-BE49-F238E27FC236}">
              <a16:creationId xmlns:a16="http://schemas.microsoft.com/office/drawing/2014/main" id="{00000000-0008-0000-1F00-000004000000}"/>
            </a:ext>
          </a:extLst>
        </xdr:cNvPr>
        <xdr:cNvSpPr/>
      </xdr:nvSpPr>
      <xdr:spPr>
        <a:xfrm>
          <a:off x="3069979" y="1648558"/>
          <a:ext cx="1780443" cy="168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3</xdr:col>
      <xdr:colOff>276956</xdr:colOff>
      <xdr:row>14</xdr:row>
      <xdr:rowOff>13188</xdr:rowOff>
    </xdr:from>
    <xdr:to>
      <xdr:col>3</xdr:col>
      <xdr:colOff>4601307</xdr:colOff>
      <xdr:row>14</xdr:row>
      <xdr:rowOff>175846</xdr:rowOff>
    </xdr:to>
    <xdr:sp macro="" textlink="">
      <xdr:nvSpPr>
        <xdr:cNvPr id="9" name="Rechteck 8">
          <a:hlinkClick xmlns:r="http://schemas.openxmlformats.org/officeDocument/2006/relationships" r:id="rId4"/>
          <a:extLst>
            <a:ext uri="{FF2B5EF4-FFF2-40B4-BE49-F238E27FC236}">
              <a16:creationId xmlns:a16="http://schemas.microsoft.com/office/drawing/2014/main" id="{00000000-0008-0000-1F00-000009000000}"/>
            </a:ext>
          </a:extLst>
        </xdr:cNvPr>
        <xdr:cNvSpPr/>
      </xdr:nvSpPr>
      <xdr:spPr>
        <a:xfrm>
          <a:off x="496764" y="2768111"/>
          <a:ext cx="4324351" cy="16265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3</xdr:col>
      <xdr:colOff>696057</xdr:colOff>
      <xdr:row>19</xdr:row>
      <xdr:rowOff>19049</xdr:rowOff>
    </xdr:from>
    <xdr:to>
      <xdr:col>4</xdr:col>
      <xdr:colOff>0</xdr:colOff>
      <xdr:row>19</xdr:row>
      <xdr:rowOff>183172</xdr:rowOff>
    </xdr:to>
    <xdr:sp macro="" textlink="">
      <xdr:nvSpPr>
        <xdr:cNvPr id="10" name="Rechteck 9">
          <a:hlinkClick xmlns:r="http://schemas.openxmlformats.org/officeDocument/2006/relationships" r:id="rId4"/>
          <a:extLst>
            <a:ext uri="{FF2B5EF4-FFF2-40B4-BE49-F238E27FC236}">
              <a16:creationId xmlns:a16="http://schemas.microsoft.com/office/drawing/2014/main" id="{00000000-0008-0000-1F00-00000A000000}"/>
            </a:ext>
          </a:extLst>
        </xdr:cNvPr>
        <xdr:cNvSpPr/>
      </xdr:nvSpPr>
      <xdr:spPr>
        <a:xfrm>
          <a:off x="915865" y="3697164"/>
          <a:ext cx="3941885" cy="16412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3</xdr:col>
      <xdr:colOff>728294</xdr:colOff>
      <xdr:row>22</xdr:row>
      <xdr:rowOff>17585</xdr:rowOff>
    </xdr:from>
    <xdr:to>
      <xdr:col>3</xdr:col>
      <xdr:colOff>4630615</xdr:colOff>
      <xdr:row>23</xdr:row>
      <xdr:rowOff>0</xdr:rowOff>
    </xdr:to>
    <xdr:sp macro="" textlink="">
      <xdr:nvSpPr>
        <xdr:cNvPr id="11" name="Rechteck 10">
          <a:hlinkClick xmlns:r="http://schemas.openxmlformats.org/officeDocument/2006/relationships" r:id="rId4"/>
          <a:extLst>
            <a:ext uri="{FF2B5EF4-FFF2-40B4-BE49-F238E27FC236}">
              <a16:creationId xmlns:a16="http://schemas.microsoft.com/office/drawing/2014/main" id="{00000000-0008-0000-1F00-00000B000000}"/>
            </a:ext>
          </a:extLst>
        </xdr:cNvPr>
        <xdr:cNvSpPr/>
      </xdr:nvSpPr>
      <xdr:spPr>
        <a:xfrm>
          <a:off x="948102" y="4106008"/>
          <a:ext cx="3902321" cy="1655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3</xdr:col>
      <xdr:colOff>726829</xdr:colOff>
      <xdr:row>23</xdr:row>
      <xdr:rowOff>23446</xdr:rowOff>
    </xdr:from>
    <xdr:to>
      <xdr:col>3</xdr:col>
      <xdr:colOff>4629150</xdr:colOff>
      <xdr:row>24</xdr:row>
      <xdr:rowOff>5861</xdr:rowOff>
    </xdr:to>
    <xdr:sp macro="" textlink="">
      <xdr:nvSpPr>
        <xdr:cNvPr id="16" name="Rechteck 15">
          <a:hlinkClick xmlns:r="http://schemas.openxmlformats.org/officeDocument/2006/relationships" r:id="rId4"/>
          <a:extLst>
            <a:ext uri="{FF2B5EF4-FFF2-40B4-BE49-F238E27FC236}">
              <a16:creationId xmlns:a16="http://schemas.microsoft.com/office/drawing/2014/main" id="{00000000-0008-0000-1F00-000010000000}"/>
            </a:ext>
          </a:extLst>
        </xdr:cNvPr>
        <xdr:cNvSpPr/>
      </xdr:nvSpPr>
      <xdr:spPr>
        <a:xfrm>
          <a:off x="946637" y="4295042"/>
          <a:ext cx="3902321" cy="1655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3</xdr:col>
      <xdr:colOff>732690</xdr:colOff>
      <xdr:row>27</xdr:row>
      <xdr:rowOff>14654</xdr:rowOff>
    </xdr:from>
    <xdr:to>
      <xdr:col>3</xdr:col>
      <xdr:colOff>4635011</xdr:colOff>
      <xdr:row>27</xdr:row>
      <xdr:rowOff>180242</xdr:rowOff>
    </xdr:to>
    <xdr:sp macro="" textlink="">
      <xdr:nvSpPr>
        <xdr:cNvPr id="17" name="Rechteck 16">
          <a:hlinkClick xmlns:r="http://schemas.openxmlformats.org/officeDocument/2006/relationships" r:id="rId4"/>
          <a:extLst>
            <a:ext uri="{FF2B5EF4-FFF2-40B4-BE49-F238E27FC236}">
              <a16:creationId xmlns:a16="http://schemas.microsoft.com/office/drawing/2014/main" id="{00000000-0008-0000-1F00-000011000000}"/>
            </a:ext>
          </a:extLst>
        </xdr:cNvPr>
        <xdr:cNvSpPr/>
      </xdr:nvSpPr>
      <xdr:spPr>
        <a:xfrm>
          <a:off x="952498" y="5018942"/>
          <a:ext cx="3902321" cy="1655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3</xdr:col>
      <xdr:colOff>723898</xdr:colOff>
      <xdr:row>28</xdr:row>
      <xdr:rowOff>20515</xdr:rowOff>
    </xdr:from>
    <xdr:to>
      <xdr:col>3</xdr:col>
      <xdr:colOff>4626219</xdr:colOff>
      <xdr:row>29</xdr:row>
      <xdr:rowOff>2930</xdr:rowOff>
    </xdr:to>
    <xdr:sp macro="" textlink="">
      <xdr:nvSpPr>
        <xdr:cNvPr id="18" name="Rechteck 17">
          <a:hlinkClick xmlns:r="http://schemas.openxmlformats.org/officeDocument/2006/relationships" r:id="rId4"/>
          <a:extLst>
            <a:ext uri="{FF2B5EF4-FFF2-40B4-BE49-F238E27FC236}">
              <a16:creationId xmlns:a16="http://schemas.microsoft.com/office/drawing/2014/main" id="{00000000-0008-0000-1F00-000012000000}"/>
            </a:ext>
          </a:extLst>
        </xdr:cNvPr>
        <xdr:cNvSpPr/>
      </xdr:nvSpPr>
      <xdr:spPr>
        <a:xfrm>
          <a:off x="943706" y="5207977"/>
          <a:ext cx="3902321" cy="1655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552450</xdr:colOff>
          <xdr:row>4</xdr:row>
          <xdr:rowOff>28575</xdr:rowOff>
        </xdr:from>
        <xdr:to>
          <xdr:col>12</xdr:col>
          <xdr:colOff>552450</xdr:colOff>
          <xdr:row>4</xdr:row>
          <xdr:rowOff>171450</xdr:rowOff>
        </xdr:to>
        <xdr:sp macro="" textlink="">
          <xdr:nvSpPr>
            <xdr:cNvPr id="1982466" name="Check Box 2" hidden="1">
              <a:extLst>
                <a:ext uri="{63B3BB69-23CF-44E3-9099-C40C66FF867C}">
                  <a14:compatExt spid="_x0000_s1982466"/>
                </a:ext>
                <a:ext uri="{FF2B5EF4-FFF2-40B4-BE49-F238E27FC236}">
                  <a16:creationId xmlns:a16="http://schemas.microsoft.com/office/drawing/2014/main" id="{00000000-0008-0000-2200-000002401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  divers</a:t>
              </a:r>
            </a:p>
          </xdr:txBody>
        </xdr:sp>
        <xdr:clientData/>
      </xdr:twoCellAnchor>
    </mc:Choice>
    <mc:Fallback/>
  </mc:AlternateContent>
  <xdr:twoCellAnchor>
    <xdr:from>
      <xdr:col>4</xdr:col>
      <xdr:colOff>908539</xdr:colOff>
      <xdr:row>0</xdr:row>
      <xdr:rowOff>2</xdr:rowOff>
    </xdr:from>
    <xdr:to>
      <xdr:col>6</xdr:col>
      <xdr:colOff>59891</xdr:colOff>
      <xdr:row>1</xdr:row>
      <xdr:rowOff>24850</xdr:rowOff>
    </xdr:to>
    <xdr:sp macro="" textlink="">
      <xdr:nvSpPr>
        <xdr:cNvPr id="4" name="Pfeil: gestreift nach rechts 3">
          <a:hlinkClick xmlns:r="http://schemas.openxmlformats.org/officeDocument/2006/relationships" r:id="rId1"/>
          <a:extLst>
            <a:ext uri="{FF2B5EF4-FFF2-40B4-BE49-F238E27FC236}">
              <a16:creationId xmlns:a16="http://schemas.microsoft.com/office/drawing/2014/main" id="{00000000-0008-0000-2200-000004000000}"/>
            </a:ext>
          </a:extLst>
        </xdr:cNvPr>
        <xdr:cNvSpPr/>
      </xdr:nvSpPr>
      <xdr:spPr>
        <a:xfrm rot="16200000">
          <a:off x="6772578" y="-6162"/>
          <a:ext cx="224873" cy="237202"/>
        </a:xfrm>
        <a:prstGeom prst="stripedRightArrow">
          <a:avLst/>
        </a:prstGeom>
        <a:solidFill>
          <a:srgbClr val="BEE395"/>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12</xdr:col>
          <xdr:colOff>95250</xdr:colOff>
          <xdr:row>2</xdr:row>
          <xdr:rowOff>133350</xdr:rowOff>
        </xdr:from>
        <xdr:to>
          <xdr:col>13</xdr:col>
          <xdr:colOff>57150</xdr:colOff>
          <xdr:row>3</xdr:row>
          <xdr:rowOff>133350</xdr:rowOff>
        </xdr:to>
        <xdr:sp macro="" textlink="">
          <xdr:nvSpPr>
            <xdr:cNvPr id="1982467" name="Check Box 3" hidden="1">
              <a:extLst>
                <a:ext uri="{63B3BB69-23CF-44E3-9099-C40C66FF867C}">
                  <a14:compatExt spid="_x0000_s1982467"/>
                </a:ext>
                <a:ext uri="{FF2B5EF4-FFF2-40B4-BE49-F238E27FC236}">
                  <a16:creationId xmlns:a16="http://schemas.microsoft.com/office/drawing/2014/main" id="{00000000-0008-0000-2200-000003401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BilMoG-10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3562350</xdr:colOff>
          <xdr:row>13</xdr:row>
          <xdr:rowOff>0</xdr:rowOff>
        </xdr:from>
        <xdr:to>
          <xdr:col>2</xdr:col>
          <xdr:colOff>523875</xdr:colOff>
          <xdr:row>13</xdr:row>
          <xdr:rowOff>171450</xdr:rowOff>
        </xdr:to>
        <xdr:sp macro="" textlink="">
          <xdr:nvSpPr>
            <xdr:cNvPr id="1982469" name="Check Box 5" hidden="1">
              <a:extLst>
                <a:ext uri="{63B3BB69-23CF-44E3-9099-C40C66FF867C}">
                  <a14:compatExt spid="_x0000_s1982469"/>
                </a:ext>
                <a:ext uri="{FF2B5EF4-FFF2-40B4-BE49-F238E27FC236}">
                  <a16:creationId xmlns:a16="http://schemas.microsoft.com/office/drawing/2014/main" id="{00000000-0008-0000-2200-000005401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 EP Ost</a:t>
              </a:r>
            </a:p>
          </xdr:txBody>
        </xdr:sp>
        <xdr:clientData/>
      </xdr:twoCellAnchor>
    </mc:Choice>
    <mc:Fallback/>
  </mc:AlternateContent>
  <xdr:twoCellAnchor>
    <xdr:from>
      <xdr:col>1</xdr:col>
      <xdr:colOff>14655</xdr:colOff>
      <xdr:row>17</xdr:row>
      <xdr:rowOff>14654</xdr:rowOff>
    </xdr:from>
    <xdr:to>
      <xdr:col>2</xdr:col>
      <xdr:colOff>73269</xdr:colOff>
      <xdr:row>17</xdr:row>
      <xdr:rowOff>161194</xdr:rowOff>
    </xdr:to>
    <xdr:sp macro="" textlink="">
      <xdr:nvSpPr>
        <xdr:cNvPr id="2" name="Rechteck 1">
          <a:hlinkClick xmlns:r="http://schemas.openxmlformats.org/officeDocument/2006/relationships" r:id="rId2"/>
          <a:extLst>
            <a:ext uri="{FF2B5EF4-FFF2-40B4-BE49-F238E27FC236}">
              <a16:creationId xmlns:a16="http://schemas.microsoft.com/office/drawing/2014/main" id="{00000000-0008-0000-2200-000002000000}"/>
            </a:ext>
          </a:extLst>
        </xdr:cNvPr>
        <xdr:cNvSpPr/>
      </xdr:nvSpPr>
      <xdr:spPr>
        <a:xfrm>
          <a:off x="278424" y="3253154"/>
          <a:ext cx="4022480" cy="1465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0</xdr:col>
      <xdr:colOff>262304</xdr:colOff>
      <xdr:row>24</xdr:row>
      <xdr:rowOff>181707</xdr:rowOff>
    </xdr:from>
    <xdr:to>
      <xdr:col>2</xdr:col>
      <xdr:colOff>57149</xdr:colOff>
      <xdr:row>25</xdr:row>
      <xdr:rowOff>183172</xdr:rowOff>
    </xdr:to>
    <xdr:sp macro="" textlink="">
      <xdr:nvSpPr>
        <xdr:cNvPr id="8" name="Rechteck 7">
          <a:hlinkClick xmlns:r="http://schemas.openxmlformats.org/officeDocument/2006/relationships" r:id="rId2"/>
          <a:extLst>
            <a:ext uri="{FF2B5EF4-FFF2-40B4-BE49-F238E27FC236}">
              <a16:creationId xmlns:a16="http://schemas.microsoft.com/office/drawing/2014/main" id="{00000000-0008-0000-2200-000008000000}"/>
            </a:ext>
          </a:extLst>
        </xdr:cNvPr>
        <xdr:cNvSpPr/>
      </xdr:nvSpPr>
      <xdr:spPr>
        <a:xfrm>
          <a:off x="262304" y="4519245"/>
          <a:ext cx="4022480" cy="18463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1</xdr:col>
      <xdr:colOff>1301261</xdr:colOff>
      <xdr:row>28</xdr:row>
      <xdr:rowOff>4394</xdr:rowOff>
    </xdr:from>
    <xdr:to>
      <xdr:col>3</xdr:col>
      <xdr:colOff>524606</xdr:colOff>
      <xdr:row>29</xdr:row>
      <xdr:rowOff>5860</xdr:rowOff>
    </xdr:to>
    <xdr:sp macro="" textlink="">
      <xdr:nvSpPr>
        <xdr:cNvPr id="9" name="Rechteck 8">
          <a:hlinkClick xmlns:r="http://schemas.openxmlformats.org/officeDocument/2006/relationships" r:id="rId3"/>
          <a:extLst>
            <a:ext uri="{FF2B5EF4-FFF2-40B4-BE49-F238E27FC236}">
              <a16:creationId xmlns:a16="http://schemas.microsoft.com/office/drawing/2014/main" id="{00000000-0008-0000-2200-000009000000}"/>
            </a:ext>
          </a:extLst>
        </xdr:cNvPr>
        <xdr:cNvSpPr/>
      </xdr:nvSpPr>
      <xdr:spPr>
        <a:xfrm>
          <a:off x="1565030" y="5074625"/>
          <a:ext cx="4022480" cy="184639"/>
        </a:xfrm>
        <a:prstGeom prst="rect">
          <a:avLst/>
        </a:prstGeom>
        <a:noFill/>
        <a:ln>
          <a:solidFill>
            <a:schemeClr val="accent1">
              <a:shade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3</xdr:col>
      <xdr:colOff>36635</xdr:colOff>
      <xdr:row>20</xdr:row>
      <xdr:rowOff>14653</xdr:rowOff>
    </xdr:from>
    <xdr:to>
      <xdr:col>4</xdr:col>
      <xdr:colOff>996462</xdr:colOff>
      <xdr:row>21</xdr:row>
      <xdr:rowOff>14653</xdr:rowOff>
    </xdr:to>
    <xdr:sp macro="" textlink="">
      <xdr:nvSpPr>
        <xdr:cNvPr id="3" name="Rechteck 2">
          <a:hlinkClick xmlns:r="http://schemas.openxmlformats.org/officeDocument/2006/relationships" r:id="rId4"/>
          <a:extLst>
            <a:ext uri="{FF2B5EF4-FFF2-40B4-BE49-F238E27FC236}">
              <a16:creationId xmlns:a16="http://schemas.microsoft.com/office/drawing/2014/main" id="{00000000-0008-0000-2200-000003000000}"/>
            </a:ext>
          </a:extLst>
        </xdr:cNvPr>
        <xdr:cNvSpPr/>
      </xdr:nvSpPr>
      <xdr:spPr>
        <a:xfrm>
          <a:off x="5099539" y="3619499"/>
          <a:ext cx="1795096" cy="18317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25</xdr:col>
      <xdr:colOff>567581</xdr:colOff>
      <xdr:row>0</xdr:row>
      <xdr:rowOff>41460</xdr:rowOff>
    </xdr:from>
    <xdr:to>
      <xdr:col>26</xdr:col>
      <xdr:colOff>440956</xdr:colOff>
      <xdr:row>2</xdr:row>
      <xdr:rowOff>257174</xdr:rowOff>
    </xdr:to>
    <xdr:sp macro="" textlink="">
      <xdr:nvSpPr>
        <xdr:cNvPr id="5" name="Pfeil: gestreift nach rechts 4">
          <a:hlinkClick xmlns:r="http://schemas.openxmlformats.org/officeDocument/2006/relationships" r:id="rId1"/>
          <a:extLst>
            <a:ext uri="{FF2B5EF4-FFF2-40B4-BE49-F238E27FC236}">
              <a16:creationId xmlns:a16="http://schemas.microsoft.com/office/drawing/2014/main" id="{00000000-0008-0000-2300-000005000000}"/>
            </a:ext>
          </a:extLst>
        </xdr:cNvPr>
        <xdr:cNvSpPr/>
      </xdr:nvSpPr>
      <xdr:spPr>
        <a:xfrm rot="16200000">
          <a:off x="17227087" y="184054"/>
          <a:ext cx="749114" cy="463925"/>
        </a:xfrm>
        <a:prstGeom prst="stripedRightArrow">
          <a:avLst/>
        </a:prstGeom>
        <a:solidFill>
          <a:srgbClr val="BEE395"/>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solidFill>
                <a:schemeClr val="tx1"/>
              </a:solidFill>
            </a:rPr>
            <a:t>Inhalt</a:t>
          </a:r>
        </a:p>
      </xdr:txBody>
    </xdr:sp>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57150</xdr:colOff>
          <xdr:row>12</xdr:row>
          <xdr:rowOff>19050</xdr:rowOff>
        </xdr:from>
        <xdr:to>
          <xdr:col>2</xdr:col>
          <xdr:colOff>19050</xdr:colOff>
          <xdr:row>12</xdr:row>
          <xdr:rowOff>190500</xdr:rowOff>
        </xdr:to>
        <xdr:sp macro="" textlink="">
          <xdr:nvSpPr>
            <xdr:cNvPr id="4101" name="Kontrollkästchen 5" hidden="1">
              <a:extLst>
                <a:ext uri="{63B3BB69-23CF-44E3-9099-C40C66FF867C}">
                  <a14:compatExt spid="_x0000_s4101"/>
                </a:ext>
                <a:ext uri="{FF2B5EF4-FFF2-40B4-BE49-F238E27FC236}">
                  <a16:creationId xmlns:a16="http://schemas.microsoft.com/office/drawing/2014/main" id="{00000000-0008-0000-2400-00000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Ost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33</xdr:row>
          <xdr:rowOff>209550</xdr:rowOff>
        </xdr:from>
        <xdr:to>
          <xdr:col>1</xdr:col>
          <xdr:colOff>247650</xdr:colOff>
          <xdr:row>34</xdr:row>
          <xdr:rowOff>209550</xdr:rowOff>
        </xdr:to>
        <xdr:sp macro="" textlink="">
          <xdr:nvSpPr>
            <xdr:cNvPr id="4105" name="Vorversterben" hidden="1">
              <a:extLst>
                <a:ext uri="{63B3BB69-23CF-44E3-9099-C40C66FF867C}">
                  <a14:compatExt spid="_x0000_s4105"/>
                </a:ext>
                <a:ext uri="{FF2B5EF4-FFF2-40B4-BE49-F238E27FC236}">
                  <a16:creationId xmlns:a16="http://schemas.microsoft.com/office/drawing/2014/main" id="{00000000-0008-0000-2400-00000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523875</xdr:colOff>
          <xdr:row>11</xdr:row>
          <xdr:rowOff>28575</xdr:rowOff>
        </xdr:from>
        <xdr:to>
          <xdr:col>13</xdr:col>
          <xdr:colOff>866775</xdr:colOff>
          <xdr:row>12</xdr:row>
          <xdr:rowOff>0</xdr:rowOff>
        </xdr:to>
        <xdr:sp macro="" textlink="">
          <xdr:nvSpPr>
            <xdr:cNvPr id="4106" name="Kontrollkästchen 5" hidden="1">
              <a:extLst>
                <a:ext uri="{63B3BB69-23CF-44E3-9099-C40C66FF867C}">
                  <a14:compatExt spid="_x0000_s4106"/>
                </a:ext>
                <a:ext uri="{FF2B5EF4-FFF2-40B4-BE49-F238E27FC236}">
                  <a16:creationId xmlns:a16="http://schemas.microsoft.com/office/drawing/2014/main" id="{00000000-0008-0000-2400-00000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Ost</a:t>
              </a:r>
            </a:p>
          </xdr:txBody>
        </xdr:sp>
        <xdr:clientData/>
      </xdr:twoCellAnchor>
    </mc:Choice>
    <mc:Fallback/>
  </mc:AlternateContent>
  <xdr:twoCellAnchor editAs="oneCell">
    <xdr:from>
      <xdr:col>6</xdr:col>
      <xdr:colOff>15241</xdr:colOff>
      <xdr:row>7</xdr:row>
      <xdr:rowOff>1</xdr:rowOff>
    </xdr:from>
    <xdr:to>
      <xdr:col>7</xdr:col>
      <xdr:colOff>227075</xdr:colOff>
      <xdr:row>8</xdr:row>
      <xdr:rowOff>186054</xdr:rowOff>
    </xdr:to>
    <xdr:pic>
      <xdr:nvPicPr>
        <xdr:cNvPr id="2" name="Grafik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xfrm>
          <a:off x="6096001" y="1851661"/>
          <a:ext cx="1050034" cy="396239"/>
        </a:xfrm>
        <a:prstGeom prst="rect">
          <a:avLst/>
        </a:prstGeom>
        <a:ln>
          <a:solidFill>
            <a:schemeClr val="accent1"/>
          </a:solidFill>
        </a:ln>
      </xdr:spPr>
    </xdr:pic>
    <xdr:clientData/>
  </xdr:twoCellAnchor>
  <mc:AlternateContent xmlns:mc="http://schemas.openxmlformats.org/markup-compatibility/2006">
    <mc:Choice xmlns:a14="http://schemas.microsoft.com/office/drawing/2010/main" Requires="a14">
      <xdr:twoCellAnchor editAs="oneCell">
        <xdr:from>
          <xdr:col>2</xdr:col>
          <xdr:colOff>1400175</xdr:colOff>
          <xdr:row>32</xdr:row>
          <xdr:rowOff>209550</xdr:rowOff>
        </xdr:from>
        <xdr:to>
          <xdr:col>2</xdr:col>
          <xdr:colOff>2305050</xdr:colOff>
          <xdr:row>33</xdr:row>
          <xdr:rowOff>209550</xdr:rowOff>
        </xdr:to>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2400-00000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17</xdr:col>
      <xdr:colOff>2084870</xdr:colOff>
      <xdr:row>0</xdr:row>
      <xdr:rowOff>44174</xdr:rowOff>
    </xdr:from>
    <xdr:to>
      <xdr:col>17</xdr:col>
      <xdr:colOff>2462695</xdr:colOff>
      <xdr:row>0</xdr:row>
      <xdr:rowOff>568739</xdr:rowOff>
    </xdr:to>
    <xdr:sp macro="" textlink="">
      <xdr:nvSpPr>
        <xdr:cNvPr id="10" name="Pfeil: gestreift nach rechts 9">
          <a:hlinkClick xmlns:r="http://schemas.openxmlformats.org/officeDocument/2006/relationships" r:id="rId2"/>
          <a:extLst>
            <a:ext uri="{FF2B5EF4-FFF2-40B4-BE49-F238E27FC236}">
              <a16:creationId xmlns:a16="http://schemas.microsoft.com/office/drawing/2014/main" id="{00000000-0008-0000-2400-00000A000000}"/>
            </a:ext>
          </a:extLst>
        </xdr:cNvPr>
        <xdr:cNvSpPr/>
      </xdr:nvSpPr>
      <xdr:spPr>
        <a:xfrm rot="16200000">
          <a:off x="17544152" y="117544"/>
          <a:ext cx="524565" cy="377825"/>
        </a:xfrm>
        <a:prstGeom prst="stripedRightArrow">
          <a:avLst/>
        </a:prstGeom>
        <a:solidFill>
          <a:srgbClr val="BEE395"/>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6</xdr:col>
      <xdr:colOff>28574</xdr:colOff>
      <xdr:row>2</xdr:row>
      <xdr:rowOff>9526</xdr:rowOff>
    </xdr:from>
    <xdr:to>
      <xdr:col>9</xdr:col>
      <xdr:colOff>923925</xdr:colOff>
      <xdr:row>3</xdr:row>
      <xdr:rowOff>9526</xdr:rowOff>
    </xdr:to>
    <xdr:sp macro="" textlink="">
      <xdr:nvSpPr>
        <xdr:cNvPr id="3" name="Rechteck 2">
          <a:hlinkClick xmlns:r="http://schemas.openxmlformats.org/officeDocument/2006/relationships" r:id="rId3"/>
          <a:extLst>
            <a:ext uri="{FF2B5EF4-FFF2-40B4-BE49-F238E27FC236}">
              <a16:creationId xmlns:a16="http://schemas.microsoft.com/office/drawing/2014/main" id="{00000000-0008-0000-2400-000003000000}"/>
            </a:ext>
          </a:extLst>
        </xdr:cNvPr>
        <xdr:cNvSpPr/>
      </xdr:nvSpPr>
      <xdr:spPr>
        <a:xfrm>
          <a:off x="5438774" y="1066801"/>
          <a:ext cx="3419476" cy="209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8</xdr:col>
      <xdr:colOff>866774</xdr:colOff>
      <xdr:row>2</xdr:row>
      <xdr:rowOff>200026</xdr:rowOff>
    </xdr:from>
    <xdr:to>
      <xdr:col>9</xdr:col>
      <xdr:colOff>962024</xdr:colOff>
      <xdr:row>4</xdr:row>
      <xdr:rowOff>0</xdr:rowOff>
    </xdr:to>
    <xdr:sp macro="" textlink="">
      <xdr:nvSpPr>
        <xdr:cNvPr id="9" name="Rechteck 8">
          <a:hlinkClick xmlns:r="http://schemas.openxmlformats.org/officeDocument/2006/relationships" r:id="rId4"/>
          <a:extLst>
            <a:ext uri="{FF2B5EF4-FFF2-40B4-BE49-F238E27FC236}">
              <a16:creationId xmlns:a16="http://schemas.microsoft.com/office/drawing/2014/main" id="{00000000-0008-0000-2400-000009000000}"/>
            </a:ext>
          </a:extLst>
        </xdr:cNvPr>
        <xdr:cNvSpPr/>
      </xdr:nvSpPr>
      <xdr:spPr>
        <a:xfrm>
          <a:off x="7915274" y="1257301"/>
          <a:ext cx="981075" cy="21907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7</xdr:col>
      <xdr:colOff>657224</xdr:colOff>
      <xdr:row>5</xdr:row>
      <xdr:rowOff>3573</xdr:rowOff>
    </xdr:from>
    <xdr:to>
      <xdr:col>8</xdr:col>
      <xdr:colOff>838199</xdr:colOff>
      <xdr:row>6</xdr:row>
      <xdr:rowOff>13097</xdr:rowOff>
    </xdr:to>
    <xdr:sp macro="" textlink="">
      <xdr:nvSpPr>
        <xdr:cNvPr id="11" name="Rechteck 10">
          <a:hlinkClick xmlns:r="http://schemas.openxmlformats.org/officeDocument/2006/relationships" r:id="rId5"/>
          <a:extLst>
            <a:ext uri="{FF2B5EF4-FFF2-40B4-BE49-F238E27FC236}">
              <a16:creationId xmlns:a16="http://schemas.microsoft.com/office/drawing/2014/main" id="{00000000-0008-0000-2400-00000B000000}"/>
            </a:ext>
          </a:extLst>
        </xdr:cNvPr>
        <xdr:cNvSpPr/>
      </xdr:nvSpPr>
      <xdr:spPr>
        <a:xfrm>
          <a:off x="6908005" y="1688307"/>
          <a:ext cx="978694" cy="21788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8</xdr:col>
      <xdr:colOff>866774</xdr:colOff>
      <xdr:row>3</xdr:row>
      <xdr:rowOff>190501</xdr:rowOff>
    </xdr:from>
    <xdr:to>
      <xdr:col>9</xdr:col>
      <xdr:colOff>962024</xdr:colOff>
      <xdr:row>4</xdr:row>
      <xdr:rowOff>200025</xdr:rowOff>
    </xdr:to>
    <xdr:sp macro="" textlink="">
      <xdr:nvSpPr>
        <xdr:cNvPr id="12" name="Rechteck 11">
          <a:hlinkClick xmlns:r="http://schemas.openxmlformats.org/officeDocument/2006/relationships" r:id="rId6"/>
          <a:extLst>
            <a:ext uri="{FF2B5EF4-FFF2-40B4-BE49-F238E27FC236}">
              <a16:creationId xmlns:a16="http://schemas.microsoft.com/office/drawing/2014/main" id="{00000000-0008-0000-2400-00000C000000}"/>
            </a:ext>
          </a:extLst>
        </xdr:cNvPr>
        <xdr:cNvSpPr/>
      </xdr:nvSpPr>
      <xdr:spPr>
        <a:xfrm>
          <a:off x="7915274" y="1457326"/>
          <a:ext cx="981075" cy="21907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7</xdr:col>
      <xdr:colOff>666749</xdr:colOff>
      <xdr:row>3</xdr:row>
      <xdr:rowOff>190501</xdr:rowOff>
    </xdr:from>
    <xdr:to>
      <xdr:col>8</xdr:col>
      <xdr:colOff>847724</xdr:colOff>
      <xdr:row>4</xdr:row>
      <xdr:rowOff>200025</xdr:rowOff>
    </xdr:to>
    <xdr:sp macro="" textlink="">
      <xdr:nvSpPr>
        <xdr:cNvPr id="13" name="Rechteck 12">
          <a:hlinkClick xmlns:r="http://schemas.openxmlformats.org/officeDocument/2006/relationships" r:id="rId7"/>
          <a:extLst>
            <a:ext uri="{FF2B5EF4-FFF2-40B4-BE49-F238E27FC236}">
              <a16:creationId xmlns:a16="http://schemas.microsoft.com/office/drawing/2014/main" id="{00000000-0008-0000-2400-00000D000000}"/>
            </a:ext>
          </a:extLst>
        </xdr:cNvPr>
        <xdr:cNvSpPr/>
      </xdr:nvSpPr>
      <xdr:spPr>
        <a:xfrm>
          <a:off x="6915149" y="1457326"/>
          <a:ext cx="981075" cy="21907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8</xdr:col>
      <xdr:colOff>857249</xdr:colOff>
      <xdr:row>5</xdr:row>
      <xdr:rowOff>1</xdr:rowOff>
    </xdr:from>
    <xdr:to>
      <xdr:col>9</xdr:col>
      <xdr:colOff>952499</xdr:colOff>
      <xdr:row>6</xdr:row>
      <xdr:rowOff>9525</xdr:rowOff>
    </xdr:to>
    <xdr:sp macro="" textlink="">
      <xdr:nvSpPr>
        <xdr:cNvPr id="14" name="Rechteck 13">
          <a:hlinkClick xmlns:r="http://schemas.openxmlformats.org/officeDocument/2006/relationships" r:id="rId8"/>
          <a:extLst>
            <a:ext uri="{FF2B5EF4-FFF2-40B4-BE49-F238E27FC236}">
              <a16:creationId xmlns:a16="http://schemas.microsoft.com/office/drawing/2014/main" id="{00000000-0008-0000-2400-00000E000000}"/>
            </a:ext>
          </a:extLst>
        </xdr:cNvPr>
        <xdr:cNvSpPr/>
      </xdr:nvSpPr>
      <xdr:spPr>
        <a:xfrm>
          <a:off x="7905749" y="1685926"/>
          <a:ext cx="981075" cy="21907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6</xdr:col>
      <xdr:colOff>315513</xdr:colOff>
      <xdr:row>6</xdr:row>
      <xdr:rowOff>11907</xdr:rowOff>
    </xdr:from>
    <xdr:to>
      <xdr:col>9</xdr:col>
      <xdr:colOff>565545</xdr:colOff>
      <xdr:row>6</xdr:row>
      <xdr:rowOff>184547</xdr:rowOff>
    </xdr:to>
    <xdr:sp macro="" textlink="">
      <xdr:nvSpPr>
        <xdr:cNvPr id="4" name="Rechteck 3">
          <a:hlinkClick xmlns:r="http://schemas.openxmlformats.org/officeDocument/2006/relationships" r:id="rId9"/>
          <a:extLst>
            <a:ext uri="{FF2B5EF4-FFF2-40B4-BE49-F238E27FC236}">
              <a16:creationId xmlns:a16="http://schemas.microsoft.com/office/drawing/2014/main" id="{00000000-0008-0000-2400-000004000000}"/>
            </a:ext>
          </a:extLst>
        </xdr:cNvPr>
        <xdr:cNvSpPr/>
      </xdr:nvSpPr>
      <xdr:spPr>
        <a:xfrm>
          <a:off x="5726904" y="1905001"/>
          <a:ext cx="2774157" cy="1726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7</xdr:col>
      <xdr:colOff>255984</xdr:colOff>
      <xdr:row>6</xdr:row>
      <xdr:rowOff>205979</xdr:rowOff>
    </xdr:from>
    <xdr:to>
      <xdr:col>9</xdr:col>
      <xdr:colOff>634600</xdr:colOff>
      <xdr:row>7</xdr:row>
      <xdr:rowOff>170260</xdr:rowOff>
    </xdr:to>
    <xdr:sp macro="" textlink="">
      <xdr:nvSpPr>
        <xdr:cNvPr id="15" name="Rechteck 14">
          <a:hlinkClick xmlns:r="http://schemas.openxmlformats.org/officeDocument/2006/relationships" r:id="rId10"/>
          <a:extLst>
            <a:ext uri="{FF2B5EF4-FFF2-40B4-BE49-F238E27FC236}">
              <a16:creationId xmlns:a16="http://schemas.microsoft.com/office/drawing/2014/main" id="{00000000-0008-0000-2400-00000F000000}"/>
            </a:ext>
          </a:extLst>
        </xdr:cNvPr>
        <xdr:cNvSpPr/>
      </xdr:nvSpPr>
      <xdr:spPr>
        <a:xfrm>
          <a:off x="6506765" y="2099073"/>
          <a:ext cx="2063351" cy="1726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7</xdr:col>
      <xdr:colOff>257173</xdr:colOff>
      <xdr:row>8</xdr:row>
      <xdr:rowOff>7143</xdr:rowOff>
    </xdr:from>
    <xdr:to>
      <xdr:col>9</xdr:col>
      <xdr:colOff>970360</xdr:colOff>
      <xdr:row>8</xdr:row>
      <xdr:rowOff>179783</xdr:rowOff>
    </xdr:to>
    <xdr:sp macro="" textlink="">
      <xdr:nvSpPr>
        <xdr:cNvPr id="16" name="Rechteck 15">
          <a:hlinkClick xmlns:r="http://schemas.openxmlformats.org/officeDocument/2006/relationships" r:id="rId11"/>
          <a:extLst>
            <a:ext uri="{FF2B5EF4-FFF2-40B4-BE49-F238E27FC236}">
              <a16:creationId xmlns:a16="http://schemas.microsoft.com/office/drawing/2014/main" id="{00000000-0008-0000-2400-000010000000}"/>
            </a:ext>
          </a:extLst>
        </xdr:cNvPr>
        <xdr:cNvSpPr/>
      </xdr:nvSpPr>
      <xdr:spPr>
        <a:xfrm>
          <a:off x="6507954" y="2316956"/>
          <a:ext cx="2397922" cy="1726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6</xdr:col>
      <xdr:colOff>195259</xdr:colOff>
      <xdr:row>9</xdr:row>
      <xdr:rowOff>10716</xdr:rowOff>
    </xdr:from>
    <xdr:to>
      <xdr:col>9</xdr:col>
      <xdr:colOff>821531</xdr:colOff>
      <xdr:row>9</xdr:row>
      <xdr:rowOff>183356</xdr:rowOff>
    </xdr:to>
    <xdr:sp macro="" textlink="">
      <xdr:nvSpPr>
        <xdr:cNvPr id="17" name="Rechteck 16">
          <a:hlinkClick xmlns:r="http://schemas.openxmlformats.org/officeDocument/2006/relationships" r:id="rId12"/>
          <a:extLst>
            <a:ext uri="{FF2B5EF4-FFF2-40B4-BE49-F238E27FC236}">
              <a16:creationId xmlns:a16="http://schemas.microsoft.com/office/drawing/2014/main" id="{00000000-0008-0000-2400-000011000000}"/>
            </a:ext>
          </a:extLst>
        </xdr:cNvPr>
        <xdr:cNvSpPr/>
      </xdr:nvSpPr>
      <xdr:spPr>
        <a:xfrm>
          <a:off x="5606650" y="2528888"/>
          <a:ext cx="3150397" cy="1726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6</xdr:col>
      <xdr:colOff>204784</xdr:colOff>
      <xdr:row>10</xdr:row>
      <xdr:rowOff>14288</xdr:rowOff>
    </xdr:from>
    <xdr:to>
      <xdr:col>9</xdr:col>
      <xdr:colOff>815578</xdr:colOff>
      <xdr:row>10</xdr:row>
      <xdr:rowOff>186928</xdr:rowOff>
    </xdr:to>
    <xdr:sp macro="" textlink="">
      <xdr:nvSpPr>
        <xdr:cNvPr id="18" name="Rechteck 17">
          <a:hlinkClick xmlns:r="http://schemas.openxmlformats.org/officeDocument/2006/relationships" r:id="rId13"/>
          <a:extLst>
            <a:ext uri="{FF2B5EF4-FFF2-40B4-BE49-F238E27FC236}">
              <a16:creationId xmlns:a16="http://schemas.microsoft.com/office/drawing/2014/main" id="{00000000-0008-0000-2400-000012000000}"/>
            </a:ext>
          </a:extLst>
        </xdr:cNvPr>
        <xdr:cNvSpPr/>
      </xdr:nvSpPr>
      <xdr:spPr>
        <a:xfrm>
          <a:off x="5616175" y="2740819"/>
          <a:ext cx="3134919" cy="1726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6</xdr:col>
      <xdr:colOff>196450</xdr:colOff>
      <xdr:row>11</xdr:row>
      <xdr:rowOff>5953</xdr:rowOff>
    </xdr:from>
    <xdr:to>
      <xdr:col>9</xdr:col>
      <xdr:colOff>797718</xdr:colOff>
      <xdr:row>11</xdr:row>
      <xdr:rowOff>178593</xdr:rowOff>
    </xdr:to>
    <xdr:sp macro="" textlink="">
      <xdr:nvSpPr>
        <xdr:cNvPr id="19" name="Rechteck 18">
          <a:hlinkClick xmlns:r="http://schemas.openxmlformats.org/officeDocument/2006/relationships" r:id="rId14"/>
          <a:extLst>
            <a:ext uri="{FF2B5EF4-FFF2-40B4-BE49-F238E27FC236}">
              <a16:creationId xmlns:a16="http://schemas.microsoft.com/office/drawing/2014/main" id="{00000000-0008-0000-2400-000013000000}"/>
            </a:ext>
          </a:extLst>
        </xdr:cNvPr>
        <xdr:cNvSpPr/>
      </xdr:nvSpPr>
      <xdr:spPr>
        <a:xfrm>
          <a:off x="5607841" y="2940844"/>
          <a:ext cx="3125393" cy="1726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6</xdr:col>
      <xdr:colOff>194068</xdr:colOff>
      <xdr:row>12</xdr:row>
      <xdr:rowOff>3572</xdr:rowOff>
    </xdr:from>
    <xdr:to>
      <xdr:col>9</xdr:col>
      <xdr:colOff>797718</xdr:colOff>
      <xdr:row>12</xdr:row>
      <xdr:rowOff>176212</xdr:rowOff>
    </xdr:to>
    <xdr:sp macro="" textlink="">
      <xdr:nvSpPr>
        <xdr:cNvPr id="20" name="Rechteck 19">
          <a:hlinkClick xmlns:r="http://schemas.openxmlformats.org/officeDocument/2006/relationships" r:id="rId15"/>
          <a:extLst>
            <a:ext uri="{FF2B5EF4-FFF2-40B4-BE49-F238E27FC236}">
              <a16:creationId xmlns:a16="http://schemas.microsoft.com/office/drawing/2014/main" id="{00000000-0008-0000-2400-000014000000}"/>
            </a:ext>
          </a:extLst>
        </xdr:cNvPr>
        <xdr:cNvSpPr/>
      </xdr:nvSpPr>
      <xdr:spPr>
        <a:xfrm>
          <a:off x="5605459" y="3146822"/>
          <a:ext cx="3127775" cy="1726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6</xdr:col>
      <xdr:colOff>197640</xdr:colOff>
      <xdr:row>13</xdr:row>
      <xdr:rowOff>13097</xdr:rowOff>
    </xdr:from>
    <xdr:to>
      <xdr:col>9</xdr:col>
      <xdr:colOff>803671</xdr:colOff>
      <xdr:row>13</xdr:row>
      <xdr:rowOff>185737</xdr:rowOff>
    </xdr:to>
    <xdr:sp macro="" textlink="">
      <xdr:nvSpPr>
        <xdr:cNvPr id="21" name="Rechteck 20">
          <a:hlinkClick xmlns:r="http://schemas.openxmlformats.org/officeDocument/2006/relationships" r:id="rId16"/>
          <a:extLst>
            <a:ext uri="{FF2B5EF4-FFF2-40B4-BE49-F238E27FC236}">
              <a16:creationId xmlns:a16="http://schemas.microsoft.com/office/drawing/2014/main" id="{00000000-0008-0000-2400-000015000000}"/>
            </a:ext>
          </a:extLst>
        </xdr:cNvPr>
        <xdr:cNvSpPr/>
      </xdr:nvSpPr>
      <xdr:spPr>
        <a:xfrm>
          <a:off x="5609031" y="3364706"/>
          <a:ext cx="3130156" cy="1726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6</xdr:col>
      <xdr:colOff>201212</xdr:colOff>
      <xdr:row>14</xdr:row>
      <xdr:rowOff>22621</xdr:rowOff>
    </xdr:from>
    <xdr:to>
      <xdr:col>6</xdr:col>
      <xdr:colOff>790575</xdr:colOff>
      <xdr:row>14</xdr:row>
      <xdr:rowOff>200024</xdr:rowOff>
    </xdr:to>
    <xdr:sp macro="" textlink="">
      <xdr:nvSpPr>
        <xdr:cNvPr id="22" name="Rechteck 21">
          <a:hlinkClick xmlns:r="http://schemas.openxmlformats.org/officeDocument/2006/relationships" r:id="rId17"/>
          <a:extLst>
            <a:ext uri="{FF2B5EF4-FFF2-40B4-BE49-F238E27FC236}">
              <a16:creationId xmlns:a16="http://schemas.microsoft.com/office/drawing/2014/main" id="{00000000-0008-0000-2400-000016000000}"/>
            </a:ext>
          </a:extLst>
        </xdr:cNvPr>
        <xdr:cNvSpPr/>
      </xdr:nvSpPr>
      <xdr:spPr>
        <a:xfrm>
          <a:off x="5611412" y="3594496"/>
          <a:ext cx="589363" cy="17740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6</xdr:col>
      <xdr:colOff>210737</xdr:colOff>
      <xdr:row>16</xdr:row>
      <xdr:rowOff>20240</xdr:rowOff>
    </xdr:from>
    <xdr:to>
      <xdr:col>9</xdr:col>
      <xdr:colOff>807243</xdr:colOff>
      <xdr:row>16</xdr:row>
      <xdr:rowOff>192880</xdr:rowOff>
    </xdr:to>
    <xdr:sp macro="" textlink="">
      <xdr:nvSpPr>
        <xdr:cNvPr id="23" name="Rechteck 22">
          <a:hlinkClick xmlns:r="http://schemas.openxmlformats.org/officeDocument/2006/relationships" r:id="rId18"/>
          <a:extLst>
            <a:ext uri="{FF2B5EF4-FFF2-40B4-BE49-F238E27FC236}">
              <a16:creationId xmlns:a16="http://schemas.microsoft.com/office/drawing/2014/main" id="{00000000-0008-0000-2400-000017000000}"/>
            </a:ext>
          </a:extLst>
        </xdr:cNvPr>
        <xdr:cNvSpPr/>
      </xdr:nvSpPr>
      <xdr:spPr>
        <a:xfrm>
          <a:off x="5622128" y="3996928"/>
          <a:ext cx="3120631" cy="1726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6</xdr:col>
      <xdr:colOff>202403</xdr:colOff>
      <xdr:row>15</xdr:row>
      <xdr:rowOff>23813</xdr:rowOff>
    </xdr:from>
    <xdr:to>
      <xdr:col>9</xdr:col>
      <xdr:colOff>798909</xdr:colOff>
      <xdr:row>15</xdr:row>
      <xdr:rowOff>196453</xdr:rowOff>
    </xdr:to>
    <xdr:sp macro="" textlink="">
      <xdr:nvSpPr>
        <xdr:cNvPr id="24" name="Rechteck 23">
          <a:hlinkClick xmlns:r="http://schemas.openxmlformats.org/officeDocument/2006/relationships" r:id="rId19"/>
          <a:extLst>
            <a:ext uri="{FF2B5EF4-FFF2-40B4-BE49-F238E27FC236}">
              <a16:creationId xmlns:a16="http://schemas.microsoft.com/office/drawing/2014/main" id="{00000000-0008-0000-2400-000018000000}"/>
            </a:ext>
          </a:extLst>
        </xdr:cNvPr>
        <xdr:cNvSpPr/>
      </xdr:nvSpPr>
      <xdr:spPr>
        <a:xfrm>
          <a:off x="5613794" y="3792141"/>
          <a:ext cx="3120631" cy="1726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13</xdr:col>
      <xdr:colOff>1452562</xdr:colOff>
      <xdr:row>11</xdr:row>
      <xdr:rowOff>23812</xdr:rowOff>
    </xdr:from>
    <xdr:to>
      <xdr:col>13</xdr:col>
      <xdr:colOff>2101453</xdr:colOff>
      <xdr:row>11</xdr:row>
      <xdr:rowOff>190500</xdr:rowOff>
    </xdr:to>
    <xdr:sp macro="" textlink="">
      <xdr:nvSpPr>
        <xdr:cNvPr id="5" name="Rechteck 4">
          <a:hlinkClick xmlns:r="http://schemas.openxmlformats.org/officeDocument/2006/relationships" r:id="rId20"/>
          <a:extLst>
            <a:ext uri="{FF2B5EF4-FFF2-40B4-BE49-F238E27FC236}">
              <a16:creationId xmlns:a16="http://schemas.microsoft.com/office/drawing/2014/main" id="{00000000-0008-0000-2400-000005000000}"/>
            </a:ext>
          </a:extLst>
        </xdr:cNvPr>
        <xdr:cNvSpPr/>
      </xdr:nvSpPr>
      <xdr:spPr>
        <a:xfrm>
          <a:off x="12573000" y="2958703"/>
          <a:ext cx="648891" cy="1666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13</xdr:col>
      <xdr:colOff>1523996</xdr:colOff>
      <xdr:row>6</xdr:row>
      <xdr:rowOff>17860</xdr:rowOff>
    </xdr:from>
    <xdr:to>
      <xdr:col>13</xdr:col>
      <xdr:colOff>2083590</xdr:colOff>
      <xdr:row>6</xdr:row>
      <xdr:rowOff>202406</xdr:rowOff>
    </xdr:to>
    <xdr:sp macro="" textlink="">
      <xdr:nvSpPr>
        <xdr:cNvPr id="6" name="Rechteck 5">
          <a:hlinkClick xmlns:r="http://schemas.openxmlformats.org/officeDocument/2006/relationships" r:id="rId21"/>
          <a:extLst>
            <a:ext uri="{FF2B5EF4-FFF2-40B4-BE49-F238E27FC236}">
              <a16:creationId xmlns:a16="http://schemas.microsoft.com/office/drawing/2014/main" id="{00000000-0008-0000-2400-000006000000}"/>
            </a:ext>
          </a:extLst>
        </xdr:cNvPr>
        <xdr:cNvSpPr/>
      </xdr:nvSpPr>
      <xdr:spPr>
        <a:xfrm>
          <a:off x="12644434" y="1910954"/>
          <a:ext cx="559594" cy="18454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3</xdr:col>
      <xdr:colOff>455542</xdr:colOff>
      <xdr:row>8</xdr:row>
      <xdr:rowOff>168412</xdr:rowOff>
    </xdr:from>
    <xdr:to>
      <xdr:col>5</xdr:col>
      <xdr:colOff>36304</xdr:colOff>
      <xdr:row>10</xdr:row>
      <xdr:rowOff>3174</xdr:rowOff>
    </xdr:to>
    <xdr:sp macro="" textlink="">
      <xdr:nvSpPr>
        <xdr:cNvPr id="27" name="Flussdiagramm: Prozess 26">
          <a:hlinkClick xmlns:r="http://schemas.openxmlformats.org/officeDocument/2006/relationships" r:id="rId22"/>
          <a:extLst>
            <a:ext uri="{FF2B5EF4-FFF2-40B4-BE49-F238E27FC236}">
              <a16:creationId xmlns:a16="http://schemas.microsoft.com/office/drawing/2014/main" id="{00000000-0008-0000-2400-00001B000000}"/>
            </a:ext>
          </a:extLst>
        </xdr:cNvPr>
        <xdr:cNvSpPr/>
      </xdr:nvSpPr>
      <xdr:spPr>
        <a:xfrm>
          <a:off x="3586092" y="2486162"/>
          <a:ext cx="1625462" cy="253862"/>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b="1" u="sng">
              <a:solidFill>
                <a:srgbClr val="0066FF"/>
              </a:solidFill>
            </a:rPr>
            <a:t>Zurück zur Fallerfassung</a:t>
          </a:r>
        </a:p>
      </xdr:txBody>
    </xdr:sp>
    <xdr:clientData/>
  </xdr:twoCellAnchor>
  <mc:AlternateContent xmlns:mc="http://schemas.openxmlformats.org/markup-compatibility/2006">
    <mc:Choice xmlns:a14="http://schemas.microsoft.com/office/drawing/2010/main" Requires="a14">
      <xdr:twoCellAnchor editAs="oneCell">
        <xdr:from>
          <xdr:col>4</xdr:col>
          <xdr:colOff>0</xdr:colOff>
          <xdr:row>26</xdr:row>
          <xdr:rowOff>209550</xdr:rowOff>
        </xdr:from>
        <xdr:to>
          <xdr:col>4</xdr:col>
          <xdr:colOff>933450</xdr:colOff>
          <xdr:row>28</xdr:row>
          <xdr:rowOff>0</xdr:rowOff>
        </xdr:to>
        <xdr:sp macro="" textlink="">
          <xdr:nvSpPr>
            <xdr:cNvPr id="4109" name="Option Button 13" hidden="1">
              <a:extLst>
                <a:ext uri="{63B3BB69-23CF-44E3-9099-C40C66FF867C}">
                  <a14:compatExt spid="_x0000_s4109"/>
                </a:ext>
                <a:ext uri="{FF2B5EF4-FFF2-40B4-BE49-F238E27FC236}">
                  <a16:creationId xmlns:a16="http://schemas.microsoft.com/office/drawing/2014/main" id="{00000000-0008-0000-2400-00000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Abzinsung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27</xdr:row>
          <xdr:rowOff>190500</xdr:rowOff>
        </xdr:from>
        <xdr:to>
          <xdr:col>4</xdr:col>
          <xdr:colOff>933450</xdr:colOff>
          <xdr:row>28</xdr:row>
          <xdr:rowOff>209550</xdr:rowOff>
        </xdr:to>
        <xdr:sp macro="" textlink="">
          <xdr:nvSpPr>
            <xdr:cNvPr id="4110" name="Option Button 14" hidden="1">
              <a:extLst>
                <a:ext uri="{63B3BB69-23CF-44E3-9099-C40C66FF867C}">
                  <a14:compatExt spid="_x0000_s4110"/>
                </a:ext>
                <a:ext uri="{FF2B5EF4-FFF2-40B4-BE49-F238E27FC236}">
                  <a16:creationId xmlns:a16="http://schemas.microsoft.com/office/drawing/2014/main" id="{00000000-0008-0000-24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Aufzinsung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22</xdr:row>
          <xdr:rowOff>19050</xdr:rowOff>
        </xdr:from>
        <xdr:to>
          <xdr:col>3</xdr:col>
          <xdr:colOff>904875</xdr:colOff>
          <xdr:row>22</xdr:row>
          <xdr:rowOff>190500</xdr:rowOff>
        </xdr:to>
        <xdr:sp macro="" textlink="">
          <xdr:nvSpPr>
            <xdr:cNvPr id="4117" name="Check Box 21" hidden="1">
              <a:extLst>
                <a:ext uri="{63B3BB69-23CF-44E3-9099-C40C66FF867C}">
                  <a14:compatExt spid="_x0000_s4117"/>
                </a:ext>
                <a:ext uri="{FF2B5EF4-FFF2-40B4-BE49-F238E27FC236}">
                  <a16:creationId xmlns:a16="http://schemas.microsoft.com/office/drawing/2014/main" id="{00000000-0008-0000-2400-00001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BilMoG-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16</xdr:row>
          <xdr:rowOff>209550</xdr:rowOff>
        </xdr:from>
        <xdr:to>
          <xdr:col>17</xdr:col>
          <xdr:colOff>1238250</xdr:colOff>
          <xdr:row>18</xdr:row>
          <xdr:rowOff>19050</xdr:rowOff>
        </xdr:to>
        <xdr:sp macro="" textlink="">
          <xdr:nvSpPr>
            <xdr:cNvPr id="4139" name="Check Box 43" hidden="1">
              <a:extLst>
                <a:ext uri="{63B3BB69-23CF-44E3-9099-C40C66FF867C}">
                  <a14:compatExt spid="_x0000_s4139"/>
                </a:ext>
                <a:ext uri="{FF2B5EF4-FFF2-40B4-BE49-F238E27FC236}">
                  <a16:creationId xmlns:a16="http://schemas.microsoft.com/office/drawing/2014/main" id="{00000000-0008-0000-2400-00002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berücksichtigen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2228850</xdr:colOff>
          <xdr:row>16</xdr:row>
          <xdr:rowOff>19050</xdr:rowOff>
        </xdr:from>
        <xdr:to>
          <xdr:col>17</xdr:col>
          <xdr:colOff>3219450</xdr:colOff>
          <xdr:row>16</xdr:row>
          <xdr:rowOff>190500</xdr:rowOff>
        </xdr:to>
        <xdr:sp macro="" textlink="">
          <xdr:nvSpPr>
            <xdr:cNvPr id="4147" name="Drop Down 51" hidden="1">
              <a:extLst>
                <a:ext uri="{63B3BB69-23CF-44E3-9099-C40C66FF867C}">
                  <a14:compatExt spid="_x0000_s4147"/>
                </a:ext>
                <a:ext uri="{FF2B5EF4-FFF2-40B4-BE49-F238E27FC236}">
                  <a16:creationId xmlns:a16="http://schemas.microsoft.com/office/drawing/2014/main" id="{00000000-0008-0000-2400-000033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editAs="oneCell">
    <xdr:from>
      <xdr:col>1</xdr:col>
      <xdr:colOff>788571</xdr:colOff>
      <xdr:row>10</xdr:row>
      <xdr:rowOff>30973</xdr:rowOff>
    </xdr:from>
    <xdr:to>
      <xdr:col>2</xdr:col>
      <xdr:colOff>668253</xdr:colOff>
      <xdr:row>10</xdr:row>
      <xdr:rowOff>757655</xdr:rowOff>
    </xdr:to>
    <xdr:pic>
      <xdr:nvPicPr>
        <xdr:cNvPr id="8" name="Grafik 7" descr="Dokument">
          <a:extLst>
            <a:ext uri="{FF2B5EF4-FFF2-40B4-BE49-F238E27FC236}">
              <a16:creationId xmlns:a16="http://schemas.microsoft.com/office/drawing/2014/main" id="{00000000-0008-0000-25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954255" y="1942657"/>
          <a:ext cx="718551" cy="717157"/>
        </a:xfrm>
        <a:prstGeom prst="rect">
          <a:avLst/>
        </a:prstGeom>
      </xdr:spPr>
    </xdr:pic>
    <xdr:clientData/>
  </xdr:twoCellAnchor>
  <xdr:twoCellAnchor editAs="oneCell">
    <xdr:from>
      <xdr:col>3</xdr:col>
      <xdr:colOff>0</xdr:colOff>
      <xdr:row>10</xdr:row>
      <xdr:rowOff>0</xdr:rowOff>
    </xdr:from>
    <xdr:to>
      <xdr:col>3</xdr:col>
      <xdr:colOff>914400</xdr:colOff>
      <xdr:row>10</xdr:row>
      <xdr:rowOff>914400</xdr:rowOff>
    </xdr:to>
    <xdr:pic>
      <xdr:nvPicPr>
        <xdr:cNvPr id="3" name="Grafik 2" descr="Informationen">
          <a:extLst>
            <a:ext uri="{FF2B5EF4-FFF2-40B4-BE49-F238E27FC236}">
              <a16:creationId xmlns:a16="http://schemas.microsoft.com/office/drawing/2014/main" id="{00000000-0008-0000-25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3843421" y="1911684"/>
          <a:ext cx="914400" cy="914400"/>
        </a:xfrm>
        <a:prstGeom prst="rect">
          <a:avLst/>
        </a:prstGeom>
      </xdr:spPr>
    </xdr:pic>
    <xdr:clientData/>
  </xdr:twoCellAnchor>
  <xdr:twoCellAnchor editAs="oneCell">
    <xdr:from>
      <xdr:col>5</xdr:col>
      <xdr:colOff>838868</xdr:colOff>
      <xdr:row>10</xdr:row>
      <xdr:rowOff>0</xdr:rowOff>
    </xdr:from>
    <xdr:to>
      <xdr:col>7</xdr:col>
      <xdr:colOff>75531</xdr:colOff>
      <xdr:row>10</xdr:row>
      <xdr:rowOff>914400</xdr:rowOff>
    </xdr:to>
    <xdr:pic>
      <xdr:nvPicPr>
        <xdr:cNvPr id="14" name="Grafik 13" descr="Waage der Justitia">
          <a:extLst>
            <a:ext uri="{FF2B5EF4-FFF2-40B4-BE49-F238E27FC236}">
              <a16:creationId xmlns:a16="http://schemas.microsoft.com/office/drawing/2014/main" id="{00000000-0008-0000-2500-00000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587289" y="1911684"/>
          <a:ext cx="914400" cy="9144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15</xdr:col>
      <xdr:colOff>206375</xdr:colOff>
      <xdr:row>24</xdr:row>
      <xdr:rowOff>57150</xdr:rowOff>
    </xdr:from>
    <xdr:ext cx="65" cy="172227"/>
    <xdr:sp macro="" textlink="">
      <xdr:nvSpPr>
        <xdr:cNvPr id="2" name="Textfeld 1">
          <a:extLst>
            <a:ext uri="{FF2B5EF4-FFF2-40B4-BE49-F238E27FC236}">
              <a16:creationId xmlns:a16="http://schemas.microsoft.com/office/drawing/2014/main" id="{00000000-0008-0000-2800-000002000000}"/>
            </a:ext>
          </a:extLst>
        </xdr:cNvPr>
        <xdr:cNvSpPr txBox="1"/>
      </xdr:nvSpPr>
      <xdr:spPr>
        <a:xfrm>
          <a:off x="11503025" y="4400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24</xdr:col>
          <xdr:colOff>19050</xdr:colOff>
          <xdr:row>5</xdr:row>
          <xdr:rowOff>19050</xdr:rowOff>
        </xdr:from>
        <xdr:to>
          <xdr:col>24</xdr:col>
          <xdr:colOff>704850</xdr:colOff>
          <xdr:row>5</xdr:row>
          <xdr:rowOff>209550</xdr:rowOff>
        </xdr:to>
        <xdr:sp macro="" textlink="">
          <xdr:nvSpPr>
            <xdr:cNvPr id="1931265" name="Check Box 1" hidden="1">
              <a:extLst>
                <a:ext uri="{63B3BB69-23CF-44E3-9099-C40C66FF867C}">
                  <a14:compatExt spid="_x0000_s1931265"/>
                </a:ext>
                <a:ext uri="{FF2B5EF4-FFF2-40B4-BE49-F238E27FC236}">
                  <a16:creationId xmlns:a16="http://schemas.microsoft.com/office/drawing/2014/main" id="{00000000-0008-0000-0B00-00000178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BiMoG-10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10</xdr:row>
          <xdr:rowOff>19050</xdr:rowOff>
        </xdr:from>
        <xdr:to>
          <xdr:col>12</xdr:col>
          <xdr:colOff>228600</xdr:colOff>
          <xdr:row>10</xdr:row>
          <xdr:rowOff>209550</xdr:rowOff>
        </xdr:to>
        <xdr:sp macro="" textlink="">
          <xdr:nvSpPr>
            <xdr:cNvPr id="1931285" name="Check Box 21" hidden="1">
              <a:extLst>
                <a:ext uri="{63B3BB69-23CF-44E3-9099-C40C66FF867C}">
                  <a14:compatExt spid="_x0000_s1931285"/>
                </a:ext>
                <a:ext uri="{FF2B5EF4-FFF2-40B4-BE49-F238E27FC236}">
                  <a16:creationId xmlns:a16="http://schemas.microsoft.com/office/drawing/2014/main" id="{00000000-0008-0000-0B00-00001578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GruSi-EP zur Rente addieren</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19050</xdr:colOff>
          <xdr:row>15</xdr:row>
          <xdr:rowOff>142875</xdr:rowOff>
        </xdr:from>
        <xdr:to>
          <xdr:col>6</xdr:col>
          <xdr:colOff>19050</xdr:colOff>
          <xdr:row>16</xdr:row>
          <xdr:rowOff>190500</xdr:rowOff>
        </xdr:to>
        <xdr:sp macro="" textlink="">
          <xdr:nvSpPr>
            <xdr:cNvPr id="1931394" name="TO_Auswahl" hidden="1">
              <a:extLst>
                <a:ext uri="{63B3BB69-23CF-44E3-9099-C40C66FF867C}">
                  <a14:compatExt spid="_x0000_s1931394"/>
                </a:ext>
                <a:ext uri="{FF2B5EF4-FFF2-40B4-BE49-F238E27FC236}">
                  <a16:creationId xmlns:a16="http://schemas.microsoft.com/office/drawing/2014/main" id="{00000000-0008-0000-0B00-000082781D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3</xdr:row>
          <xdr:rowOff>19050</xdr:rowOff>
        </xdr:from>
        <xdr:to>
          <xdr:col>3</xdr:col>
          <xdr:colOff>19050</xdr:colOff>
          <xdr:row>4</xdr:row>
          <xdr:rowOff>0</xdr:rowOff>
        </xdr:to>
        <xdr:sp macro="" textlink="">
          <xdr:nvSpPr>
            <xdr:cNvPr id="1931403" name="Option Button 139" hidden="1">
              <a:extLst>
                <a:ext uri="{63B3BB69-23CF-44E3-9099-C40C66FF867C}">
                  <a14:compatExt spid="_x0000_s1931403"/>
                </a:ext>
                <a:ext uri="{FF2B5EF4-FFF2-40B4-BE49-F238E27FC236}">
                  <a16:creationId xmlns:a16="http://schemas.microsoft.com/office/drawing/2014/main" id="{00000000-0008-0000-0B00-00008B78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Mdt.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4</xdr:row>
          <xdr:rowOff>19050</xdr:rowOff>
        </xdr:from>
        <xdr:to>
          <xdr:col>3</xdr:col>
          <xdr:colOff>28575</xdr:colOff>
          <xdr:row>5</xdr:row>
          <xdr:rowOff>19050</xdr:rowOff>
        </xdr:to>
        <xdr:sp macro="" textlink="">
          <xdr:nvSpPr>
            <xdr:cNvPr id="1931404" name="Option Button 140" hidden="1">
              <a:extLst>
                <a:ext uri="{63B3BB69-23CF-44E3-9099-C40C66FF867C}">
                  <a14:compatExt spid="_x0000_s1931404"/>
                </a:ext>
                <a:ext uri="{FF2B5EF4-FFF2-40B4-BE49-F238E27FC236}">
                  <a16:creationId xmlns:a16="http://schemas.microsoft.com/office/drawing/2014/main" id="{00000000-0008-0000-0B00-00008C78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Mdt.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638175</xdr:colOff>
          <xdr:row>3</xdr:row>
          <xdr:rowOff>19050</xdr:rowOff>
        </xdr:from>
        <xdr:to>
          <xdr:col>21</xdr:col>
          <xdr:colOff>857250</xdr:colOff>
          <xdr:row>3</xdr:row>
          <xdr:rowOff>219075</xdr:rowOff>
        </xdr:to>
        <xdr:sp macro="" textlink="">
          <xdr:nvSpPr>
            <xdr:cNvPr id="1931406" name="Check Box 142" hidden="1">
              <a:extLst>
                <a:ext uri="{63B3BB69-23CF-44E3-9099-C40C66FF867C}">
                  <a14:compatExt spid="_x0000_s1931406"/>
                </a:ext>
                <a:ext uri="{FF2B5EF4-FFF2-40B4-BE49-F238E27FC236}">
                  <a16:creationId xmlns:a16="http://schemas.microsoft.com/office/drawing/2014/main" id="{00000000-0008-0000-0B00-00008E78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ist bereits Rentnerin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666750</xdr:colOff>
          <xdr:row>3</xdr:row>
          <xdr:rowOff>19050</xdr:rowOff>
        </xdr:from>
        <xdr:to>
          <xdr:col>20</xdr:col>
          <xdr:colOff>19050</xdr:colOff>
          <xdr:row>3</xdr:row>
          <xdr:rowOff>219075</xdr:rowOff>
        </xdr:to>
        <xdr:sp macro="" textlink="">
          <xdr:nvSpPr>
            <xdr:cNvPr id="1931407" name="Check Box 143" hidden="1">
              <a:extLst>
                <a:ext uri="{63B3BB69-23CF-44E3-9099-C40C66FF867C}">
                  <a14:compatExt spid="_x0000_s1931407"/>
                </a:ext>
                <a:ext uri="{FF2B5EF4-FFF2-40B4-BE49-F238E27FC236}">
                  <a16:creationId xmlns:a16="http://schemas.microsoft.com/office/drawing/2014/main" id="{00000000-0008-0000-0B00-00008F78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ist bereits Rentner</a:t>
              </a:r>
            </a:p>
          </xdr:txBody>
        </xdr:sp>
        <xdr:clientData/>
      </xdr:twoCellAnchor>
    </mc:Choice>
    <mc:Fallback/>
  </mc:AlternateContent>
  <xdr:twoCellAnchor>
    <xdr:from>
      <xdr:col>3</xdr:col>
      <xdr:colOff>290287</xdr:colOff>
      <xdr:row>19</xdr:row>
      <xdr:rowOff>1</xdr:rowOff>
    </xdr:from>
    <xdr:to>
      <xdr:col>6</xdr:col>
      <xdr:colOff>843644</xdr:colOff>
      <xdr:row>20</xdr:row>
      <xdr:rowOff>9072</xdr:rowOff>
    </xdr:to>
    <xdr:sp macro="" textlink="">
      <xdr:nvSpPr>
        <xdr:cNvPr id="2" name="Flussdiagramm: Prozess 1">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1206501" y="4254501"/>
          <a:ext cx="4091214" cy="217714"/>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de-DE" sz="1200" b="1">
            <a:solidFill>
              <a:srgbClr val="0070C0"/>
            </a:solidFill>
          </a:endParaRPr>
        </a:p>
      </xdr:txBody>
    </xdr:sp>
    <xdr:clientData/>
  </xdr:twoCellAnchor>
  <xdr:twoCellAnchor>
    <xdr:from>
      <xdr:col>16</xdr:col>
      <xdr:colOff>381002</xdr:colOff>
      <xdr:row>1</xdr:row>
      <xdr:rowOff>206187</xdr:rowOff>
    </xdr:from>
    <xdr:to>
      <xdr:col>18</xdr:col>
      <xdr:colOff>97921</xdr:colOff>
      <xdr:row>6</xdr:row>
      <xdr:rowOff>218165</xdr:rowOff>
    </xdr:to>
    <xdr:sp macro="" textlink="">
      <xdr:nvSpPr>
        <xdr:cNvPr id="13" name="Pfeil: gestreift nach rechts 12">
          <a:hlinkClick xmlns:r="http://schemas.openxmlformats.org/officeDocument/2006/relationships" r:id="rId2"/>
          <a:extLst>
            <a:ext uri="{FF2B5EF4-FFF2-40B4-BE49-F238E27FC236}">
              <a16:creationId xmlns:a16="http://schemas.microsoft.com/office/drawing/2014/main" id="{00000000-0008-0000-0B00-00000D000000}"/>
            </a:ext>
          </a:extLst>
        </xdr:cNvPr>
        <xdr:cNvSpPr/>
      </xdr:nvSpPr>
      <xdr:spPr>
        <a:xfrm rot="16200000">
          <a:off x="9843637" y="757129"/>
          <a:ext cx="1141531" cy="469954"/>
        </a:xfrm>
        <a:prstGeom prst="stripedRightArrow">
          <a:avLst/>
        </a:prstGeom>
        <a:solidFill>
          <a:srgbClr val="BEE395"/>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400" b="1">
              <a:solidFill>
                <a:schemeClr val="tx1"/>
              </a:solidFill>
            </a:rPr>
            <a:t>Inhalt</a:t>
          </a:r>
        </a:p>
      </xdr:txBody>
    </xdr:sp>
    <xdr:clientData fPrintsWithSheet="0"/>
  </xdr:twoCellAnchor>
  <xdr:twoCellAnchor>
    <xdr:from>
      <xdr:col>9</xdr:col>
      <xdr:colOff>399143</xdr:colOff>
      <xdr:row>11</xdr:row>
      <xdr:rowOff>81643</xdr:rowOff>
    </xdr:from>
    <xdr:to>
      <xdr:col>16</xdr:col>
      <xdr:colOff>90715</xdr:colOff>
      <xdr:row>12</xdr:row>
      <xdr:rowOff>145143</xdr:rowOff>
    </xdr:to>
    <xdr:sp macro="" textlink="">
      <xdr:nvSpPr>
        <xdr:cNvPr id="3" name="Rechteck 2">
          <a:hlinkClick xmlns:r="http://schemas.openxmlformats.org/officeDocument/2006/relationships" r:id="rId3"/>
          <a:extLst>
            <a:ext uri="{FF2B5EF4-FFF2-40B4-BE49-F238E27FC236}">
              <a16:creationId xmlns:a16="http://schemas.microsoft.com/office/drawing/2014/main" id="{00000000-0008-0000-0B00-000003000000}"/>
            </a:ext>
          </a:extLst>
        </xdr:cNvPr>
        <xdr:cNvSpPr/>
      </xdr:nvSpPr>
      <xdr:spPr>
        <a:xfrm>
          <a:off x="6767286" y="2521857"/>
          <a:ext cx="3175000" cy="2902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editAs="oneCell">
    <xdr:from>
      <xdr:col>0</xdr:col>
      <xdr:colOff>231775</xdr:colOff>
      <xdr:row>0</xdr:row>
      <xdr:rowOff>206375</xdr:rowOff>
    </xdr:from>
    <xdr:to>
      <xdr:col>2</xdr:col>
      <xdr:colOff>115926</xdr:colOff>
      <xdr:row>3</xdr:row>
      <xdr:rowOff>3174</xdr:rowOff>
    </xdr:to>
    <xdr:pic>
      <xdr:nvPicPr>
        <xdr:cNvPr id="4" name="Grafik 3">
          <a:hlinkClick xmlns:r="http://schemas.openxmlformats.org/officeDocument/2006/relationships" r:id="rId4"/>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5"/>
        <a:stretch>
          <a:fillRect/>
        </a:stretch>
      </xdr:blipFill>
      <xdr:spPr>
        <a:xfrm>
          <a:off x="231775" y="206375"/>
          <a:ext cx="455651" cy="42544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24</xdr:col>
          <xdr:colOff>19050</xdr:colOff>
          <xdr:row>5</xdr:row>
          <xdr:rowOff>209550</xdr:rowOff>
        </xdr:from>
        <xdr:to>
          <xdr:col>26</xdr:col>
          <xdr:colOff>876300</xdr:colOff>
          <xdr:row>6</xdr:row>
          <xdr:rowOff>209550</xdr:rowOff>
        </xdr:to>
        <xdr:sp macro="" textlink="">
          <xdr:nvSpPr>
            <xdr:cNvPr id="1931420" name="Check Box 156" hidden="1">
              <a:extLst>
                <a:ext uri="{63B3BB69-23CF-44E3-9099-C40C66FF867C}">
                  <a14:compatExt spid="_x0000_s1931420"/>
                </a:ext>
                <a:ext uri="{FF2B5EF4-FFF2-40B4-BE49-F238E27FC236}">
                  <a16:creationId xmlns:a16="http://schemas.microsoft.com/office/drawing/2014/main" id="{00000000-0008-0000-0B00-00009C78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Barwerte aller ö-r-Versorg. mit Unisex-Tarifen beechnen</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333375</xdr:colOff>
          <xdr:row>10</xdr:row>
          <xdr:rowOff>104775</xdr:rowOff>
        </xdr:from>
        <xdr:to>
          <xdr:col>4</xdr:col>
          <xdr:colOff>723900</xdr:colOff>
          <xdr:row>10</xdr:row>
          <xdr:rowOff>295275</xdr:rowOff>
        </xdr:to>
        <xdr:sp macro="" textlink="">
          <xdr:nvSpPr>
            <xdr:cNvPr id="5121" name="Kontrollkästchen 1" hidden="1">
              <a:extLst>
                <a:ext uri="{63B3BB69-23CF-44E3-9099-C40C66FF867C}">
                  <a14:compatExt spid="_x0000_s5121"/>
                </a:ext>
                <a:ext uri="{FF2B5EF4-FFF2-40B4-BE49-F238E27FC236}">
                  <a16:creationId xmlns:a16="http://schemas.microsoft.com/office/drawing/2014/main" id="{00000000-0008-0000-0C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333375</xdr:colOff>
          <xdr:row>11</xdr:row>
          <xdr:rowOff>104775</xdr:rowOff>
        </xdr:from>
        <xdr:to>
          <xdr:col>4</xdr:col>
          <xdr:colOff>723900</xdr:colOff>
          <xdr:row>11</xdr:row>
          <xdr:rowOff>295275</xdr:rowOff>
        </xdr:to>
        <xdr:sp macro="" textlink="">
          <xdr:nvSpPr>
            <xdr:cNvPr id="5122" name="Kontrollkästchen 2" hidden="1">
              <a:extLst>
                <a:ext uri="{63B3BB69-23CF-44E3-9099-C40C66FF867C}">
                  <a14:compatExt spid="_x0000_s5122"/>
                </a:ext>
                <a:ext uri="{FF2B5EF4-FFF2-40B4-BE49-F238E27FC236}">
                  <a16:creationId xmlns:a16="http://schemas.microsoft.com/office/drawing/2014/main" id="{00000000-0008-0000-0C00-00000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6</xdr:row>
          <xdr:rowOff>104775</xdr:rowOff>
        </xdr:from>
        <xdr:to>
          <xdr:col>4</xdr:col>
          <xdr:colOff>942975</xdr:colOff>
          <xdr:row>6</xdr:row>
          <xdr:rowOff>295275</xdr:rowOff>
        </xdr:to>
        <xdr:sp macro="" textlink="">
          <xdr:nvSpPr>
            <xdr:cNvPr id="5143" name="Optionsfeld 23" hidden="1">
              <a:extLst>
                <a:ext uri="{63B3BB69-23CF-44E3-9099-C40C66FF867C}">
                  <a14:compatExt spid="_x0000_s5143"/>
                </a:ext>
                <a:ext uri="{FF2B5EF4-FFF2-40B4-BE49-F238E27FC236}">
                  <a16:creationId xmlns:a16="http://schemas.microsoft.com/office/drawing/2014/main" id="{00000000-0008-0000-0C00-00001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männlich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285750</xdr:colOff>
          <xdr:row>6</xdr:row>
          <xdr:rowOff>95250</xdr:rowOff>
        </xdr:from>
        <xdr:to>
          <xdr:col>6</xdr:col>
          <xdr:colOff>342900</xdr:colOff>
          <xdr:row>6</xdr:row>
          <xdr:rowOff>295275</xdr:rowOff>
        </xdr:to>
        <xdr:sp macro="" textlink="">
          <xdr:nvSpPr>
            <xdr:cNvPr id="5147" name="Optionsfeld 27" hidden="1">
              <a:extLst>
                <a:ext uri="{63B3BB69-23CF-44E3-9099-C40C66FF867C}">
                  <a14:compatExt spid="_x0000_s5147"/>
                </a:ext>
                <a:ext uri="{FF2B5EF4-FFF2-40B4-BE49-F238E27FC236}">
                  <a16:creationId xmlns:a16="http://schemas.microsoft.com/office/drawing/2014/main" id="{00000000-0008-0000-0C00-00001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weiblich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6</xdr:row>
          <xdr:rowOff>28575</xdr:rowOff>
        </xdr:from>
        <xdr:to>
          <xdr:col>7</xdr:col>
          <xdr:colOff>485775</xdr:colOff>
          <xdr:row>7</xdr:row>
          <xdr:rowOff>0</xdr:rowOff>
        </xdr:to>
        <xdr:sp macro="" textlink="">
          <xdr:nvSpPr>
            <xdr:cNvPr id="5149" name="Gruppenfeld 29" hidden="1">
              <a:extLst>
                <a:ext uri="{63B3BB69-23CF-44E3-9099-C40C66FF867C}">
                  <a14:compatExt spid="_x0000_s5149"/>
                </a:ext>
                <a:ext uri="{FF2B5EF4-FFF2-40B4-BE49-F238E27FC236}">
                  <a16:creationId xmlns:a16="http://schemas.microsoft.com/office/drawing/2014/main" id="{00000000-0008-0000-0C00-00001D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7</xdr:row>
          <xdr:rowOff>19050</xdr:rowOff>
        </xdr:from>
        <xdr:to>
          <xdr:col>7</xdr:col>
          <xdr:colOff>485775</xdr:colOff>
          <xdr:row>7</xdr:row>
          <xdr:rowOff>333375</xdr:rowOff>
        </xdr:to>
        <xdr:sp macro="" textlink="">
          <xdr:nvSpPr>
            <xdr:cNvPr id="5150" name="Gruppenfeld 30" hidden="1">
              <a:extLst>
                <a:ext uri="{63B3BB69-23CF-44E3-9099-C40C66FF867C}">
                  <a14:compatExt spid="_x0000_s5150"/>
                </a:ext>
                <a:ext uri="{FF2B5EF4-FFF2-40B4-BE49-F238E27FC236}">
                  <a16:creationId xmlns:a16="http://schemas.microsoft.com/office/drawing/2014/main" id="{00000000-0008-0000-0C00-00001E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790575</xdr:colOff>
          <xdr:row>15</xdr:row>
          <xdr:rowOff>38100</xdr:rowOff>
        </xdr:from>
        <xdr:to>
          <xdr:col>7</xdr:col>
          <xdr:colOff>295275</xdr:colOff>
          <xdr:row>15</xdr:row>
          <xdr:rowOff>295275</xdr:rowOff>
        </xdr:to>
        <xdr:sp macro="" textlink="">
          <xdr:nvSpPr>
            <xdr:cNvPr id="5207" name="Kontrollkästchen 87" hidden="1">
              <a:extLst>
                <a:ext uri="{63B3BB69-23CF-44E3-9099-C40C66FF867C}">
                  <a14:compatExt spid="_x0000_s5207"/>
                </a:ext>
                <a:ext uri="{FF2B5EF4-FFF2-40B4-BE49-F238E27FC236}">
                  <a16:creationId xmlns:a16="http://schemas.microsoft.com/office/drawing/2014/main" id="{00000000-0008-0000-0C00-00005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Invaliditätsversorgung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15</xdr:row>
          <xdr:rowOff>66675</xdr:rowOff>
        </xdr:from>
        <xdr:to>
          <xdr:col>6</xdr:col>
          <xdr:colOff>752475</xdr:colOff>
          <xdr:row>15</xdr:row>
          <xdr:rowOff>295275</xdr:rowOff>
        </xdr:to>
        <xdr:sp macro="" textlink="">
          <xdr:nvSpPr>
            <xdr:cNvPr id="5208" name="Kontrollkästchen 88" hidden="1">
              <a:extLst>
                <a:ext uri="{63B3BB69-23CF-44E3-9099-C40C66FF867C}">
                  <a14:compatExt spid="_x0000_s5208"/>
                </a:ext>
                <a:ext uri="{FF2B5EF4-FFF2-40B4-BE49-F238E27FC236}">
                  <a16:creationId xmlns:a16="http://schemas.microsoft.com/office/drawing/2014/main" id="{00000000-0008-0000-0C00-00005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Hinterbliebenen- und/oder</a:t>
              </a:r>
            </a:p>
          </xdr:txBody>
        </xdr:sp>
        <xdr:clientData/>
      </xdr:twoCellAnchor>
    </mc:Choice>
    <mc:Fallback/>
  </mc:AlternateContent>
  <xdr:twoCellAnchor editAs="absolute">
    <xdr:from>
      <xdr:col>1</xdr:col>
      <xdr:colOff>16917</xdr:colOff>
      <xdr:row>0</xdr:row>
      <xdr:rowOff>187781</xdr:rowOff>
    </xdr:from>
    <xdr:to>
      <xdr:col>1</xdr:col>
      <xdr:colOff>1972311</xdr:colOff>
      <xdr:row>2</xdr:row>
      <xdr:rowOff>296636</xdr:rowOff>
    </xdr:to>
    <xdr:pic>
      <xdr:nvPicPr>
        <xdr:cNvPr id="1879178" name="Grafik 1">
          <a:hlinkClick xmlns:r="http://schemas.openxmlformats.org/officeDocument/2006/relationships" r:id="rId1"/>
          <a:extLst>
            <a:ext uri="{FF2B5EF4-FFF2-40B4-BE49-F238E27FC236}">
              <a16:creationId xmlns:a16="http://schemas.microsoft.com/office/drawing/2014/main" id="{00000000-0008-0000-0C00-00008AAC1C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4149"/>
        <a:stretch>
          <a:fillRect/>
        </a:stretch>
      </xdr:blipFill>
      <xdr:spPr bwMode="auto">
        <a:xfrm>
          <a:off x="200090" y="190502"/>
          <a:ext cx="1949044" cy="761998"/>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6</xdr:col>
          <xdr:colOff>762000</xdr:colOff>
          <xdr:row>7</xdr:row>
          <xdr:rowOff>66675</xdr:rowOff>
        </xdr:from>
        <xdr:to>
          <xdr:col>7</xdr:col>
          <xdr:colOff>152400</xdr:colOff>
          <xdr:row>7</xdr:row>
          <xdr:rowOff>295275</xdr:rowOff>
        </xdr:to>
        <xdr:sp macro="" textlink="">
          <xdr:nvSpPr>
            <xdr:cNvPr id="5342" name="Option Button 222" hidden="1">
              <a:extLst>
                <a:ext uri="{63B3BB69-23CF-44E3-9099-C40C66FF867C}">
                  <a14:compatExt spid="_x0000_s5342"/>
                </a:ext>
                <a:ext uri="{FF2B5EF4-FFF2-40B4-BE49-F238E27FC236}">
                  <a16:creationId xmlns:a16="http://schemas.microsoft.com/office/drawing/2014/main" id="{00000000-0008-0000-0C00-0000D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Rente aus Kapital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16</xdr:row>
          <xdr:rowOff>66675</xdr:rowOff>
        </xdr:from>
        <xdr:to>
          <xdr:col>7</xdr:col>
          <xdr:colOff>38100</xdr:colOff>
          <xdr:row>16</xdr:row>
          <xdr:rowOff>295275</xdr:rowOff>
        </xdr:to>
        <xdr:sp macro="" textlink="">
          <xdr:nvSpPr>
            <xdr:cNvPr id="5801" name="Check Box 681" hidden="1">
              <a:extLst>
                <a:ext uri="{63B3BB69-23CF-44E3-9099-C40C66FF867C}">
                  <a14:compatExt spid="_x0000_s5801"/>
                </a:ext>
                <a:ext uri="{FF2B5EF4-FFF2-40B4-BE49-F238E27FC236}">
                  <a16:creationId xmlns:a16="http://schemas.microsoft.com/office/drawing/2014/main" id="{00000000-0008-0000-0C00-0000A9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Interne Teilung: Rente aus 1/2 des Kapitalwerts=</a:t>
              </a:r>
            </a:p>
          </xdr:txBody>
        </xdr:sp>
        <xdr:clientData/>
      </xdr:twoCellAnchor>
    </mc:Choice>
    <mc:Fallback/>
  </mc:AlternateContent>
  <xdr:oneCellAnchor>
    <xdr:from>
      <xdr:col>1</xdr:col>
      <xdr:colOff>1331595</xdr:colOff>
      <xdr:row>9</xdr:row>
      <xdr:rowOff>146685</xdr:rowOff>
    </xdr:from>
    <xdr:ext cx="184731" cy="264560"/>
    <xdr:sp macro="" textlink="">
      <xdr:nvSpPr>
        <xdr:cNvPr id="5" name="Textfeld 4">
          <a:extLst>
            <a:ext uri="{FF2B5EF4-FFF2-40B4-BE49-F238E27FC236}">
              <a16:creationId xmlns:a16="http://schemas.microsoft.com/office/drawing/2014/main" id="{00000000-0008-0000-0C00-000005000000}"/>
            </a:ext>
          </a:extLst>
        </xdr:cNvPr>
        <xdr:cNvSpPr txBox="1"/>
      </xdr:nvSpPr>
      <xdr:spPr>
        <a:xfrm>
          <a:off x="1604921" y="2780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editAs="oneCell">
        <xdr:from>
          <xdr:col>4</xdr:col>
          <xdr:colOff>66675</xdr:colOff>
          <xdr:row>7</xdr:row>
          <xdr:rowOff>95250</xdr:rowOff>
        </xdr:from>
        <xdr:to>
          <xdr:col>5</xdr:col>
          <xdr:colOff>514350</xdr:colOff>
          <xdr:row>7</xdr:row>
          <xdr:rowOff>257175</xdr:rowOff>
        </xdr:to>
        <xdr:sp macro="" textlink="">
          <xdr:nvSpPr>
            <xdr:cNvPr id="589771" name="Optionsfeld 26" hidden="1">
              <a:extLst>
                <a:ext uri="{63B3BB69-23CF-44E3-9099-C40C66FF867C}">
                  <a14:compatExt spid="_x0000_s589771"/>
                </a:ext>
                <a:ext uri="{FF2B5EF4-FFF2-40B4-BE49-F238E27FC236}">
                  <a16:creationId xmlns:a16="http://schemas.microsoft.com/office/drawing/2014/main" id="{00000000-0008-0000-0C00-0000CBFF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Barwertberechnung aus Rente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12</xdr:row>
          <xdr:rowOff>66675</xdr:rowOff>
        </xdr:from>
        <xdr:to>
          <xdr:col>8</xdr:col>
          <xdr:colOff>828675</xdr:colOff>
          <xdr:row>12</xdr:row>
          <xdr:rowOff>295275</xdr:rowOff>
        </xdr:to>
        <xdr:sp macro="" textlink="">
          <xdr:nvSpPr>
            <xdr:cNvPr id="589777" name="Check Box 2001" hidden="1">
              <a:extLst>
                <a:ext uri="{63B3BB69-23CF-44E3-9099-C40C66FF867C}">
                  <a14:compatExt spid="_x0000_s589777"/>
                </a:ext>
                <a:ext uri="{FF2B5EF4-FFF2-40B4-BE49-F238E27FC236}">
                  <a16:creationId xmlns:a16="http://schemas.microsoft.com/office/drawing/2014/main" id="{00000000-0008-0000-0C00-0000D1FF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BilMoG-10</a:t>
              </a:r>
            </a:p>
          </xdr:txBody>
        </xdr:sp>
        <xdr:clientData/>
      </xdr:twoCellAnchor>
    </mc:Choice>
    <mc:Fallback/>
  </mc:AlternateContent>
  <xdr:twoCellAnchor>
    <xdr:from>
      <xdr:col>6</xdr:col>
      <xdr:colOff>1622687</xdr:colOff>
      <xdr:row>1</xdr:row>
      <xdr:rowOff>17117</xdr:rowOff>
    </xdr:from>
    <xdr:to>
      <xdr:col>7</xdr:col>
      <xdr:colOff>1368071</xdr:colOff>
      <xdr:row>3</xdr:row>
      <xdr:rowOff>0</xdr:rowOff>
    </xdr:to>
    <xdr:grpSp>
      <xdr:nvGrpSpPr>
        <xdr:cNvPr id="10" name="Gruppieren 9">
          <a:extLst>
            <a:ext uri="{FF2B5EF4-FFF2-40B4-BE49-F238E27FC236}">
              <a16:creationId xmlns:a16="http://schemas.microsoft.com/office/drawing/2014/main" id="{00000000-0008-0000-0C00-00000A000000}"/>
            </a:ext>
          </a:extLst>
        </xdr:cNvPr>
        <xdr:cNvGrpSpPr/>
      </xdr:nvGrpSpPr>
      <xdr:grpSpPr>
        <a:xfrm>
          <a:off x="9267535" y="224182"/>
          <a:ext cx="1517862" cy="744883"/>
          <a:chOff x="9269901" y="225760"/>
          <a:chExt cx="1518849" cy="744883"/>
        </a:xfrm>
      </xdr:grpSpPr>
      <xdr:pic>
        <xdr:nvPicPr>
          <xdr:cNvPr id="1879179" name="Grafik 10">
            <a:hlinkClick xmlns:r="http://schemas.openxmlformats.org/officeDocument/2006/relationships" r:id="rId3"/>
            <a:extLst>
              <a:ext uri="{FF2B5EF4-FFF2-40B4-BE49-F238E27FC236}">
                <a16:creationId xmlns:a16="http://schemas.microsoft.com/office/drawing/2014/main" id="{00000000-0008-0000-0C00-00008BAC1C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269901" y="225760"/>
            <a:ext cx="1518849" cy="744883"/>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sp macro="" textlink="">
        <xdr:nvSpPr>
          <xdr:cNvPr id="2" name="Textfeld 1">
            <a:extLst>
              <a:ext uri="{FF2B5EF4-FFF2-40B4-BE49-F238E27FC236}">
                <a16:creationId xmlns:a16="http://schemas.microsoft.com/office/drawing/2014/main" id="{00000000-0008-0000-0C00-000002000000}"/>
              </a:ext>
            </a:extLst>
          </xdr:cNvPr>
          <xdr:cNvSpPr txBox="1"/>
        </xdr:nvSpPr>
        <xdr:spPr>
          <a:xfrm>
            <a:off x="9282066" y="241983"/>
            <a:ext cx="958997" cy="70448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36000" tIns="0" rIns="36000" bIns="0" rtlCol="0" anchor="ctr">
            <a:noAutofit/>
          </a:bodyPr>
          <a:lstStyle/>
          <a:p>
            <a:pPr algn="ctr"/>
            <a:r>
              <a:rPr lang="de-DE" sz="1400" b="0">
                <a:solidFill>
                  <a:schemeClr val="tx1">
                    <a:lumMod val="65000"/>
                    <a:lumOff val="35000"/>
                  </a:schemeClr>
                </a:solidFill>
                <a:latin typeface="Microsoft Sans Serif" panose="020B0604020202020204" pitchFamily="34" charset="0"/>
                <a:ea typeface="Microsoft Sans Serif" panose="020B0604020202020204" pitchFamily="34" charset="0"/>
                <a:cs typeface="Microsoft Sans Serif" panose="020B0604020202020204" pitchFamily="34" charset="0"/>
              </a:rPr>
              <a:t>Jörn Hauß</a:t>
            </a:r>
          </a:p>
          <a:p>
            <a:pPr algn="ctr"/>
            <a:r>
              <a:rPr lang="de-DE" sz="700">
                <a:solidFill>
                  <a:schemeClr val="tx1">
                    <a:lumMod val="65000"/>
                    <a:lumOff val="35000"/>
                  </a:schemeClr>
                </a:solidFill>
                <a:latin typeface="Microsoft Sans Serif" panose="020B0604020202020204" pitchFamily="34" charset="0"/>
                <a:ea typeface="Microsoft Sans Serif" panose="020B0604020202020204" pitchFamily="34" charset="0"/>
                <a:cs typeface="Microsoft Sans Serif" panose="020B0604020202020204" pitchFamily="34" charset="0"/>
              </a:rPr>
              <a:t>Fachanwalt f. FamR</a:t>
            </a:r>
          </a:p>
          <a:p>
            <a:pPr algn="ctr"/>
            <a:r>
              <a:rPr lang="de-DE" sz="700">
                <a:solidFill>
                  <a:schemeClr val="tx1">
                    <a:lumMod val="65000"/>
                    <a:lumOff val="35000"/>
                  </a:schemeClr>
                </a:solidFill>
                <a:latin typeface="Microsoft Sans Serif" panose="020B0604020202020204" pitchFamily="34" charset="0"/>
                <a:ea typeface="Microsoft Sans Serif" panose="020B0604020202020204" pitchFamily="34" charset="0"/>
                <a:cs typeface="Microsoft Sans Serif" panose="020B0604020202020204" pitchFamily="34" charset="0"/>
              </a:rPr>
              <a:t>Duisburg</a:t>
            </a:r>
          </a:p>
          <a:p>
            <a:endParaRPr lang="de-DE" sz="1100"/>
          </a:p>
        </xdr:txBody>
      </xdr:sp>
    </xdr:grpSp>
    <xdr:clientData/>
  </xdr:twoCellAnchor>
  <mc:AlternateContent xmlns:mc="http://schemas.openxmlformats.org/markup-compatibility/2006">
    <mc:Choice xmlns:a14="http://schemas.microsoft.com/office/drawing/2010/main" Requires="a14">
      <xdr:twoCellAnchor editAs="oneCell">
        <xdr:from>
          <xdr:col>8</xdr:col>
          <xdr:colOff>19050</xdr:colOff>
          <xdr:row>2</xdr:row>
          <xdr:rowOff>57150</xdr:rowOff>
        </xdr:from>
        <xdr:to>
          <xdr:col>10</xdr:col>
          <xdr:colOff>0</xdr:colOff>
          <xdr:row>2</xdr:row>
          <xdr:rowOff>295275</xdr:rowOff>
        </xdr:to>
        <xdr:sp macro="" textlink="">
          <xdr:nvSpPr>
            <xdr:cNvPr id="589782" name="Check Box 2006" hidden="1">
              <a:extLst>
                <a:ext uri="{63B3BB69-23CF-44E3-9099-C40C66FF867C}">
                  <a14:compatExt spid="_x0000_s589782"/>
                </a:ext>
                <a:ext uri="{FF2B5EF4-FFF2-40B4-BE49-F238E27FC236}">
                  <a16:creationId xmlns:a16="http://schemas.microsoft.com/office/drawing/2014/main" id="{00000000-0008-0000-0C00-0000D6FF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DRV-Werte in EP-Ost?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752475</xdr:colOff>
          <xdr:row>6</xdr:row>
          <xdr:rowOff>95250</xdr:rowOff>
        </xdr:from>
        <xdr:to>
          <xdr:col>7</xdr:col>
          <xdr:colOff>0</xdr:colOff>
          <xdr:row>6</xdr:row>
          <xdr:rowOff>323850</xdr:rowOff>
        </xdr:to>
        <xdr:sp macro="" textlink="">
          <xdr:nvSpPr>
            <xdr:cNvPr id="589784" name="Option Button 2008" hidden="1">
              <a:extLst>
                <a:ext uri="{63B3BB69-23CF-44E3-9099-C40C66FF867C}">
                  <a14:compatExt spid="_x0000_s589784"/>
                </a:ext>
                <a:ext uri="{FF2B5EF4-FFF2-40B4-BE49-F238E27FC236}">
                  <a16:creationId xmlns:a16="http://schemas.microsoft.com/office/drawing/2014/main" id="{00000000-0008-0000-0C00-0000D8FF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unisex = (m + w)/2</a:t>
              </a:r>
            </a:p>
          </xdr:txBody>
        </xdr:sp>
        <xdr:clientData/>
      </xdr:twoCellAnchor>
    </mc:Choice>
    <mc:Fallback/>
  </mc:AlternateContent>
  <xdr:twoCellAnchor>
    <xdr:from>
      <xdr:col>8</xdr:col>
      <xdr:colOff>58616</xdr:colOff>
      <xdr:row>1</xdr:row>
      <xdr:rowOff>29308</xdr:rowOff>
    </xdr:from>
    <xdr:to>
      <xdr:col>9</xdr:col>
      <xdr:colOff>344365</xdr:colOff>
      <xdr:row>1</xdr:row>
      <xdr:rowOff>439615</xdr:rowOff>
    </xdr:to>
    <xdr:sp macro="" textlink="">
      <xdr:nvSpPr>
        <xdr:cNvPr id="4" name="Flussdiagramm: Prozess 3">
          <a:hlinkClick xmlns:r="http://schemas.openxmlformats.org/officeDocument/2006/relationships" r:id="rId3"/>
          <a:extLst>
            <a:ext uri="{FF2B5EF4-FFF2-40B4-BE49-F238E27FC236}">
              <a16:creationId xmlns:a16="http://schemas.microsoft.com/office/drawing/2014/main" id="{00000000-0008-0000-0C00-000004000000}"/>
            </a:ext>
          </a:extLst>
        </xdr:cNvPr>
        <xdr:cNvSpPr/>
      </xdr:nvSpPr>
      <xdr:spPr>
        <a:xfrm>
          <a:off x="10887808" y="219808"/>
          <a:ext cx="1846384" cy="410307"/>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5</xdr:col>
      <xdr:colOff>0</xdr:colOff>
      <xdr:row>12</xdr:row>
      <xdr:rowOff>0</xdr:rowOff>
    </xdr:from>
    <xdr:to>
      <xdr:col>7</xdr:col>
      <xdr:colOff>1377461</xdr:colOff>
      <xdr:row>13</xdr:row>
      <xdr:rowOff>7327</xdr:rowOff>
    </xdr:to>
    <xdr:sp macro="" textlink="">
      <xdr:nvSpPr>
        <xdr:cNvPr id="6" name="Flussdiagramm: Prozess 5">
          <a:hlinkClick xmlns:r="http://schemas.openxmlformats.org/officeDocument/2006/relationships" r:id="rId5"/>
          <a:extLst>
            <a:ext uri="{FF2B5EF4-FFF2-40B4-BE49-F238E27FC236}">
              <a16:creationId xmlns:a16="http://schemas.microsoft.com/office/drawing/2014/main" id="{00000000-0008-0000-0C00-000006000000}"/>
            </a:ext>
          </a:extLst>
        </xdr:cNvPr>
        <xdr:cNvSpPr/>
      </xdr:nvSpPr>
      <xdr:spPr>
        <a:xfrm>
          <a:off x="6967904" y="3707423"/>
          <a:ext cx="3853961" cy="351692"/>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8</xdr:col>
      <xdr:colOff>8282</xdr:colOff>
      <xdr:row>17</xdr:row>
      <xdr:rowOff>16565</xdr:rowOff>
    </xdr:from>
    <xdr:to>
      <xdr:col>10</xdr:col>
      <xdr:colOff>8283</xdr:colOff>
      <xdr:row>18</xdr:row>
      <xdr:rowOff>0</xdr:rowOff>
    </xdr:to>
    <xdr:sp macro="" textlink="">
      <xdr:nvSpPr>
        <xdr:cNvPr id="7" name="Flussdiagramm: Prozess 6">
          <a:hlinkClick xmlns:r="http://schemas.openxmlformats.org/officeDocument/2006/relationships" r:id="rId6"/>
          <a:extLst>
            <a:ext uri="{FF2B5EF4-FFF2-40B4-BE49-F238E27FC236}">
              <a16:creationId xmlns:a16="http://schemas.microsoft.com/office/drawing/2014/main" id="{00000000-0008-0000-0C00-000007000000}"/>
            </a:ext>
          </a:extLst>
        </xdr:cNvPr>
        <xdr:cNvSpPr/>
      </xdr:nvSpPr>
      <xdr:spPr>
        <a:xfrm>
          <a:off x="10833652" y="5441674"/>
          <a:ext cx="2020957" cy="447261"/>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8</xdr:col>
      <xdr:colOff>41411</xdr:colOff>
      <xdr:row>21</xdr:row>
      <xdr:rowOff>16565</xdr:rowOff>
    </xdr:from>
    <xdr:to>
      <xdr:col>9</xdr:col>
      <xdr:colOff>414129</xdr:colOff>
      <xdr:row>21</xdr:row>
      <xdr:rowOff>248478</xdr:rowOff>
    </xdr:to>
    <xdr:sp macro="" textlink="">
      <xdr:nvSpPr>
        <xdr:cNvPr id="8" name="Flussdiagramm: Prozess 7">
          <a:hlinkClick xmlns:r="http://schemas.openxmlformats.org/officeDocument/2006/relationships" r:id="rId7"/>
          <a:extLst>
            <a:ext uri="{FF2B5EF4-FFF2-40B4-BE49-F238E27FC236}">
              <a16:creationId xmlns:a16="http://schemas.microsoft.com/office/drawing/2014/main" id="{00000000-0008-0000-0C00-000008000000}"/>
            </a:ext>
          </a:extLst>
        </xdr:cNvPr>
        <xdr:cNvSpPr/>
      </xdr:nvSpPr>
      <xdr:spPr>
        <a:xfrm>
          <a:off x="10866781" y="5905500"/>
          <a:ext cx="1938131" cy="231913"/>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1</xdr:col>
      <xdr:colOff>16567</xdr:colOff>
      <xdr:row>21</xdr:row>
      <xdr:rowOff>66260</xdr:rowOff>
    </xdr:from>
    <xdr:to>
      <xdr:col>2</xdr:col>
      <xdr:colOff>778566</xdr:colOff>
      <xdr:row>22</xdr:row>
      <xdr:rowOff>8282</xdr:rowOff>
    </xdr:to>
    <xdr:sp macro="" textlink="">
      <xdr:nvSpPr>
        <xdr:cNvPr id="9" name="Flussdiagramm: Prozess 8">
          <a:hlinkClick xmlns:r="http://schemas.openxmlformats.org/officeDocument/2006/relationships" r:id="rId8"/>
          <a:extLst>
            <a:ext uri="{FF2B5EF4-FFF2-40B4-BE49-F238E27FC236}">
              <a16:creationId xmlns:a16="http://schemas.microsoft.com/office/drawing/2014/main" id="{00000000-0008-0000-0C00-000009000000}"/>
            </a:ext>
          </a:extLst>
        </xdr:cNvPr>
        <xdr:cNvSpPr/>
      </xdr:nvSpPr>
      <xdr:spPr>
        <a:xfrm>
          <a:off x="198784" y="5955195"/>
          <a:ext cx="4422912" cy="198783"/>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3</xdr:col>
      <xdr:colOff>235227</xdr:colOff>
      <xdr:row>21</xdr:row>
      <xdr:rowOff>36444</xdr:rowOff>
    </xdr:from>
    <xdr:to>
      <xdr:col>4</xdr:col>
      <xdr:colOff>1101587</xdr:colOff>
      <xdr:row>21</xdr:row>
      <xdr:rowOff>235227</xdr:rowOff>
    </xdr:to>
    <xdr:sp macro="" textlink="">
      <xdr:nvSpPr>
        <xdr:cNvPr id="27" name="Flussdiagramm: Prozess 26">
          <a:hlinkClick xmlns:r="http://schemas.openxmlformats.org/officeDocument/2006/relationships" r:id="rId9"/>
          <a:extLst>
            <a:ext uri="{FF2B5EF4-FFF2-40B4-BE49-F238E27FC236}">
              <a16:creationId xmlns:a16="http://schemas.microsoft.com/office/drawing/2014/main" id="{00000000-0008-0000-0C00-00001B000000}"/>
            </a:ext>
          </a:extLst>
        </xdr:cNvPr>
        <xdr:cNvSpPr/>
      </xdr:nvSpPr>
      <xdr:spPr>
        <a:xfrm>
          <a:off x="5146814" y="5925379"/>
          <a:ext cx="1694621" cy="198783"/>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5</xdr:col>
      <xdr:colOff>205409</xdr:colOff>
      <xdr:row>21</xdr:row>
      <xdr:rowOff>39757</xdr:rowOff>
    </xdr:from>
    <xdr:to>
      <xdr:col>7</xdr:col>
      <xdr:colOff>1209260</xdr:colOff>
      <xdr:row>21</xdr:row>
      <xdr:rowOff>238540</xdr:rowOff>
    </xdr:to>
    <xdr:sp macro="" textlink="">
      <xdr:nvSpPr>
        <xdr:cNvPr id="28" name="Flussdiagramm: Prozess 27">
          <a:hlinkClick xmlns:r="http://schemas.openxmlformats.org/officeDocument/2006/relationships" r:id="rId1"/>
          <a:extLst>
            <a:ext uri="{FF2B5EF4-FFF2-40B4-BE49-F238E27FC236}">
              <a16:creationId xmlns:a16="http://schemas.microsoft.com/office/drawing/2014/main" id="{00000000-0008-0000-0C00-00001C000000}"/>
            </a:ext>
          </a:extLst>
        </xdr:cNvPr>
        <xdr:cNvSpPr/>
      </xdr:nvSpPr>
      <xdr:spPr>
        <a:xfrm>
          <a:off x="7171083" y="5928692"/>
          <a:ext cx="3480351" cy="198783"/>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6</xdr:col>
      <xdr:colOff>1283805</xdr:colOff>
      <xdr:row>1</xdr:row>
      <xdr:rowOff>8280</xdr:rowOff>
    </xdr:from>
    <xdr:to>
      <xdr:col>6</xdr:col>
      <xdr:colOff>1581979</xdr:colOff>
      <xdr:row>2</xdr:row>
      <xdr:rowOff>289890</xdr:rowOff>
    </xdr:to>
    <xdr:sp macro="" textlink="">
      <xdr:nvSpPr>
        <xdr:cNvPr id="29" name="Pfeil: gestreift nach rechts 28">
          <a:hlinkClick xmlns:r="http://schemas.openxmlformats.org/officeDocument/2006/relationships" r:id="rId10"/>
          <a:extLst>
            <a:ext uri="{FF2B5EF4-FFF2-40B4-BE49-F238E27FC236}">
              <a16:creationId xmlns:a16="http://schemas.microsoft.com/office/drawing/2014/main" id="{00000000-0008-0000-0C00-00001D000000}"/>
            </a:ext>
          </a:extLst>
        </xdr:cNvPr>
        <xdr:cNvSpPr/>
      </xdr:nvSpPr>
      <xdr:spPr>
        <a:xfrm rot="16200000">
          <a:off x="8725728" y="418270"/>
          <a:ext cx="737153" cy="298174"/>
        </a:xfrm>
        <a:prstGeom prst="stripedRightArrow">
          <a:avLst/>
        </a:prstGeom>
        <a:solidFill>
          <a:srgbClr val="BEE395"/>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de-DE" sz="1100" b="1">
              <a:solidFill>
                <a:schemeClr val="tx1"/>
              </a:solidFill>
            </a:rPr>
            <a:t>Inhalt</a:t>
          </a:r>
        </a:p>
      </xdr:txBody>
    </xdr:sp>
    <xdr:clientData/>
  </xdr:twoCellAnchor>
  <xdr:twoCellAnchor editAs="oneCell">
    <xdr:from>
      <xdr:col>6</xdr:col>
      <xdr:colOff>849923</xdr:colOff>
      <xdr:row>1</xdr:row>
      <xdr:rowOff>205153</xdr:rowOff>
    </xdr:from>
    <xdr:to>
      <xdr:col>6</xdr:col>
      <xdr:colOff>1311924</xdr:colOff>
      <xdr:row>2</xdr:row>
      <xdr:rowOff>186418</xdr:rowOff>
    </xdr:to>
    <xdr:pic>
      <xdr:nvPicPr>
        <xdr:cNvPr id="30" name="Grafik 29">
          <a:hlinkClick xmlns:r="http://schemas.openxmlformats.org/officeDocument/2006/relationships" r:id="rId11"/>
          <a:extLst>
            <a:ext uri="{FF2B5EF4-FFF2-40B4-BE49-F238E27FC236}">
              <a16:creationId xmlns:a16="http://schemas.microsoft.com/office/drawing/2014/main" id="{00000000-0008-0000-0C00-00001E000000}"/>
            </a:ext>
          </a:extLst>
        </xdr:cNvPr>
        <xdr:cNvPicPr>
          <a:picLocks noChangeAspect="1"/>
        </xdr:cNvPicPr>
      </xdr:nvPicPr>
      <xdr:blipFill>
        <a:blip xmlns:r="http://schemas.openxmlformats.org/officeDocument/2006/relationships" r:embed="rId12"/>
        <a:stretch>
          <a:fillRect/>
        </a:stretch>
      </xdr:blipFill>
      <xdr:spPr>
        <a:xfrm>
          <a:off x="8491904" y="417634"/>
          <a:ext cx="455651" cy="43553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1047750</xdr:colOff>
          <xdr:row>13</xdr:row>
          <xdr:rowOff>66675</xdr:rowOff>
        </xdr:from>
        <xdr:to>
          <xdr:col>3</xdr:col>
          <xdr:colOff>752475</xdr:colOff>
          <xdr:row>13</xdr:row>
          <xdr:rowOff>295275</xdr:rowOff>
        </xdr:to>
        <xdr:sp macro="" textlink="">
          <xdr:nvSpPr>
            <xdr:cNvPr id="589785" name="Check Box 2009" hidden="1">
              <a:extLst>
                <a:ext uri="{63B3BB69-23CF-44E3-9099-C40C66FF867C}">
                  <a14:compatExt spid="_x0000_s589785"/>
                </a:ext>
                <a:ext uri="{FF2B5EF4-FFF2-40B4-BE49-F238E27FC236}">
                  <a16:creationId xmlns:a16="http://schemas.microsoft.com/office/drawing/2014/main" id="{00000000-0008-0000-0C00-0000D9FF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Volldynamik</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857250</xdr:colOff>
          <xdr:row>1</xdr:row>
          <xdr:rowOff>19050</xdr:rowOff>
        </xdr:from>
        <xdr:to>
          <xdr:col>7</xdr:col>
          <xdr:colOff>66675</xdr:colOff>
          <xdr:row>1</xdr:row>
          <xdr:rowOff>209550</xdr:rowOff>
        </xdr:to>
        <xdr:sp macro="" textlink="">
          <xdr:nvSpPr>
            <xdr:cNvPr id="31773" name="Drop Down 29" hidden="1">
              <a:extLst>
                <a:ext uri="{63B3BB69-23CF-44E3-9099-C40C66FF867C}">
                  <a14:compatExt spid="_x0000_s31773"/>
                </a:ext>
                <a:ext uri="{FF2B5EF4-FFF2-40B4-BE49-F238E27FC236}">
                  <a16:creationId xmlns:a16="http://schemas.microsoft.com/office/drawing/2014/main" id="{00000000-0008-0000-0F00-00001D7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xdr:row>
          <xdr:rowOff>142875</xdr:rowOff>
        </xdr:from>
        <xdr:to>
          <xdr:col>4</xdr:col>
          <xdr:colOff>742950</xdr:colOff>
          <xdr:row>5</xdr:row>
          <xdr:rowOff>171450</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0F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26</xdr:col>
      <xdr:colOff>674345</xdr:colOff>
      <xdr:row>0</xdr:row>
      <xdr:rowOff>35092</xdr:rowOff>
    </xdr:from>
    <xdr:to>
      <xdr:col>28</xdr:col>
      <xdr:colOff>0</xdr:colOff>
      <xdr:row>3</xdr:row>
      <xdr:rowOff>54518</xdr:rowOff>
    </xdr:to>
    <xdr:sp macro="" textlink="">
      <xdr:nvSpPr>
        <xdr:cNvPr id="6" name="Pfeil: gestreift nach rechts 5">
          <a:hlinkClick xmlns:r="http://schemas.openxmlformats.org/officeDocument/2006/relationships" r:id="rId1"/>
          <a:extLst>
            <a:ext uri="{FF2B5EF4-FFF2-40B4-BE49-F238E27FC236}">
              <a16:creationId xmlns:a16="http://schemas.microsoft.com/office/drawing/2014/main" id="{00000000-0008-0000-0F00-000006000000}"/>
            </a:ext>
          </a:extLst>
        </xdr:cNvPr>
        <xdr:cNvSpPr/>
      </xdr:nvSpPr>
      <xdr:spPr>
        <a:xfrm rot="16200000">
          <a:off x="8265795" y="229076"/>
          <a:ext cx="631031" cy="243063"/>
        </a:xfrm>
        <a:prstGeom prst="stripedRightArrow">
          <a:avLst/>
        </a:prstGeom>
        <a:solidFill>
          <a:srgbClr val="BEE395"/>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de-DE" sz="1100" b="1">
              <a:solidFill>
                <a:schemeClr val="tx1"/>
              </a:solidFill>
            </a:rPr>
            <a:t>Inhalt</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12</xdr:col>
      <xdr:colOff>0</xdr:colOff>
      <xdr:row>1</xdr:row>
      <xdr:rowOff>1681</xdr:rowOff>
    </xdr:from>
    <xdr:to>
      <xdr:col>25</xdr:col>
      <xdr:colOff>89647</xdr:colOff>
      <xdr:row>17</xdr:row>
      <xdr:rowOff>21421</xdr:rowOff>
    </xdr:to>
    <xdr:graphicFrame macro="">
      <xdr:nvGraphicFramePr>
        <xdr:cNvPr id="4" name="Diagramm 3">
          <a:extLst>
            <a:ext uri="{FF2B5EF4-FFF2-40B4-BE49-F238E27FC236}">
              <a16:creationId xmlns:a16="http://schemas.microsoft.com/office/drawing/2014/main" id="{00000000-0008-0000-1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xdr:colOff>
      <xdr:row>1</xdr:row>
      <xdr:rowOff>22411</xdr:rowOff>
    </xdr:from>
    <xdr:to>
      <xdr:col>25</xdr:col>
      <xdr:colOff>56030</xdr:colOff>
      <xdr:row>17</xdr:row>
      <xdr:rowOff>50140</xdr:rowOff>
    </xdr:to>
    <xdr:graphicFrame macro="">
      <xdr:nvGraphicFramePr>
        <xdr:cNvPr id="22" name="Rentenhöhe_Adäquanz">
          <a:extLst>
            <a:ext uri="{FF2B5EF4-FFF2-40B4-BE49-F238E27FC236}">
              <a16:creationId xmlns:a16="http://schemas.microsoft.com/office/drawing/2014/main" id="{00000000-0008-0000-1400-00001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2362200</xdr:colOff>
          <xdr:row>17</xdr:row>
          <xdr:rowOff>171450</xdr:rowOff>
        </xdr:from>
        <xdr:to>
          <xdr:col>1</xdr:col>
          <xdr:colOff>3800475</xdr:colOff>
          <xdr:row>18</xdr:row>
          <xdr:rowOff>152400</xdr:rowOff>
        </xdr:to>
        <xdr:sp macro="" textlink="">
          <xdr:nvSpPr>
            <xdr:cNvPr id="1787987" name="Check Box 83" hidden="1">
              <a:extLst>
                <a:ext uri="{63B3BB69-23CF-44E3-9099-C40C66FF867C}">
                  <a14:compatExt spid="_x0000_s1787987"/>
                </a:ext>
                <a:ext uri="{FF2B5EF4-FFF2-40B4-BE49-F238E27FC236}">
                  <a16:creationId xmlns:a16="http://schemas.microsoft.com/office/drawing/2014/main" id="{00000000-0008-0000-1400-00005348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DRV-Werte Durchschnitt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4676775</xdr:colOff>
          <xdr:row>8</xdr:row>
          <xdr:rowOff>0</xdr:rowOff>
        </xdr:from>
        <xdr:to>
          <xdr:col>2</xdr:col>
          <xdr:colOff>800100</xdr:colOff>
          <xdr:row>9</xdr:row>
          <xdr:rowOff>19050</xdr:rowOff>
        </xdr:to>
        <xdr:sp macro="" textlink="">
          <xdr:nvSpPr>
            <xdr:cNvPr id="1787992" name="Check Box 88" hidden="1">
              <a:extLst>
                <a:ext uri="{63B3BB69-23CF-44E3-9099-C40C66FF867C}">
                  <a14:compatExt spid="_x0000_s1787992"/>
                </a:ext>
                <a:ext uri="{FF2B5EF4-FFF2-40B4-BE49-F238E27FC236}">
                  <a16:creationId xmlns:a16="http://schemas.microsoft.com/office/drawing/2014/main" id="{00000000-0008-0000-1400-00005848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Invaliditätsrentenbezieher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xdr:row>
          <xdr:rowOff>361950</xdr:rowOff>
        </xdr:from>
        <xdr:to>
          <xdr:col>4</xdr:col>
          <xdr:colOff>247650</xdr:colOff>
          <xdr:row>3</xdr:row>
          <xdr:rowOff>38100</xdr:rowOff>
        </xdr:to>
        <xdr:sp macro="" textlink="">
          <xdr:nvSpPr>
            <xdr:cNvPr id="1787993" name="Check Box 89" hidden="1">
              <a:extLst>
                <a:ext uri="{63B3BB69-23CF-44E3-9099-C40C66FF867C}">
                  <a14:compatExt spid="_x0000_s1787993"/>
                </a:ext>
                <a:ext uri="{FF2B5EF4-FFF2-40B4-BE49-F238E27FC236}">
                  <a16:creationId xmlns:a16="http://schemas.microsoft.com/office/drawing/2014/main" id="{00000000-0008-0000-1400-00005948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xdr:row>
          <xdr:rowOff>371475</xdr:rowOff>
        </xdr:from>
        <xdr:to>
          <xdr:col>5</xdr:col>
          <xdr:colOff>228600</xdr:colOff>
          <xdr:row>3</xdr:row>
          <xdr:rowOff>19050</xdr:rowOff>
        </xdr:to>
        <xdr:sp macro="" textlink="">
          <xdr:nvSpPr>
            <xdr:cNvPr id="1787994" name="Check Box 90" hidden="1">
              <a:extLst>
                <a:ext uri="{63B3BB69-23CF-44E3-9099-C40C66FF867C}">
                  <a14:compatExt spid="_x0000_s1787994"/>
                </a:ext>
                <a:ext uri="{FF2B5EF4-FFF2-40B4-BE49-F238E27FC236}">
                  <a16:creationId xmlns:a16="http://schemas.microsoft.com/office/drawing/2014/main" id="{00000000-0008-0000-1400-00005A48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xdr:row>
          <xdr:rowOff>371475</xdr:rowOff>
        </xdr:from>
        <xdr:to>
          <xdr:col>6</xdr:col>
          <xdr:colOff>266700</xdr:colOff>
          <xdr:row>3</xdr:row>
          <xdr:rowOff>19050</xdr:rowOff>
        </xdr:to>
        <xdr:sp macro="" textlink="">
          <xdr:nvSpPr>
            <xdr:cNvPr id="1787995" name="Check Box 91" hidden="1">
              <a:extLst>
                <a:ext uri="{63B3BB69-23CF-44E3-9099-C40C66FF867C}">
                  <a14:compatExt spid="_x0000_s1787995"/>
                </a:ext>
                <a:ext uri="{FF2B5EF4-FFF2-40B4-BE49-F238E27FC236}">
                  <a16:creationId xmlns:a16="http://schemas.microsoft.com/office/drawing/2014/main" id="{00000000-0008-0000-1400-00005B48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4286250</xdr:colOff>
          <xdr:row>19</xdr:row>
          <xdr:rowOff>19050</xdr:rowOff>
        </xdr:from>
        <xdr:to>
          <xdr:col>2</xdr:col>
          <xdr:colOff>0</xdr:colOff>
          <xdr:row>19</xdr:row>
          <xdr:rowOff>190500</xdr:rowOff>
        </xdr:to>
        <xdr:sp macro="" textlink="">
          <xdr:nvSpPr>
            <xdr:cNvPr id="1788010" name="Drop Down 106" hidden="1">
              <a:extLst>
                <a:ext uri="{63B3BB69-23CF-44E3-9099-C40C66FF867C}">
                  <a14:compatExt spid="_x0000_s1788010"/>
                </a:ext>
                <a:ext uri="{FF2B5EF4-FFF2-40B4-BE49-F238E27FC236}">
                  <a16:creationId xmlns:a16="http://schemas.microsoft.com/office/drawing/2014/main" id="{00000000-0008-0000-1400-00006A481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3</xdr:row>
          <xdr:rowOff>57150</xdr:rowOff>
        </xdr:from>
        <xdr:to>
          <xdr:col>1</xdr:col>
          <xdr:colOff>1476375</xdr:colOff>
          <xdr:row>3</xdr:row>
          <xdr:rowOff>180975</xdr:rowOff>
        </xdr:to>
        <xdr:sp macro="" textlink="">
          <xdr:nvSpPr>
            <xdr:cNvPr id="1788029" name="Option Button 125" hidden="1">
              <a:extLst>
                <a:ext uri="{63B3BB69-23CF-44E3-9099-C40C66FF867C}">
                  <a14:compatExt spid="_x0000_s1788029"/>
                </a:ext>
                <a:ext uri="{FF2B5EF4-FFF2-40B4-BE49-F238E27FC236}">
                  <a16:creationId xmlns:a16="http://schemas.microsoft.com/office/drawing/2014/main" id="{00000000-0008-0000-1400-00007D48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Berechnet auf Ehezeitende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4</xdr:row>
          <xdr:rowOff>19050</xdr:rowOff>
        </xdr:from>
        <xdr:to>
          <xdr:col>1</xdr:col>
          <xdr:colOff>1866900</xdr:colOff>
          <xdr:row>5</xdr:row>
          <xdr:rowOff>0</xdr:rowOff>
        </xdr:to>
        <xdr:sp macro="" textlink="">
          <xdr:nvSpPr>
            <xdr:cNvPr id="1788030" name="Option Button 126" hidden="1">
              <a:extLst>
                <a:ext uri="{63B3BB69-23CF-44E3-9099-C40C66FF867C}">
                  <a14:compatExt spid="_x0000_s1788030"/>
                </a:ext>
                <a:ext uri="{FF2B5EF4-FFF2-40B4-BE49-F238E27FC236}">
                  <a16:creationId xmlns:a16="http://schemas.microsoft.com/office/drawing/2014/main" id="{00000000-0008-0000-1400-00007E48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Berechnet auf alternat. Datum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1104900</xdr:colOff>
          <xdr:row>3</xdr:row>
          <xdr:rowOff>19050</xdr:rowOff>
        </xdr:from>
        <xdr:to>
          <xdr:col>7</xdr:col>
          <xdr:colOff>1009650</xdr:colOff>
          <xdr:row>4</xdr:row>
          <xdr:rowOff>0</xdr:rowOff>
        </xdr:to>
        <xdr:sp macro="" textlink="">
          <xdr:nvSpPr>
            <xdr:cNvPr id="1788042" name="Check Box 138" hidden="1">
              <a:extLst>
                <a:ext uri="{63B3BB69-23CF-44E3-9099-C40C66FF867C}">
                  <a14:compatExt spid="_x0000_s1788042"/>
                </a:ext>
                <a:ext uri="{FF2B5EF4-FFF2-40B4-BE49-F238E27FC236}">
                  <a16:creationId xmlns:a16="http://schemas.microsoft.com/office/drawing/2014/main" id="{00000000-0008-0000-1400-00008A481B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EP-Ost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1104900</xdr:colOff>
          <xdr:row>2</xdr:row>
          <xdr:rowOff>371475</xdr:rowOff>
        </xdr:from>
        <xdr:to>
          <xdr:col>7</xdr:col>
          <xdr:colOff>1019175</xdr:colOff>
          <xdr:row>3</xdr:row>
          <xdr:rowOff>19050</xdr:rowOff>
        </xdr:to>
        <xdr:sp macro="" textlink="">
          <xdr:nvSpPr>
            <xdr:cNvPr id="1788044" name="Check Box 140" hidden="1">
              <a:extLst>
                <a:ext uri="{63B3BB69-23CF-44E3-9099-C40C66FF867C}">
                  <a14:compatExt spid="_x0000_s1788044"/>
                </a:ext>
                <a:ext uri="{FF2B5EF4-FFF2-40B4-BE49-F238E27FC236}">
                  <a16:creationId xmlns:a16="http://schemas.microsoft.com/office/drawing/2014/main" id="{00000000-0008-0000-1400-00008C48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DRV f. and. Gatten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4438650</xdr:colOff>
          <xdr:row>4</xdr:row>
          <xdr:rowOff>190500</xdr:rowOff>
        </xdr:from>
        <xdr:to>
          <xdr:col>2</xdr:col>
          <xdr:colOff>990600</xdr:colOff>
          <xdr:row>6</xdr:row>
          <xdr:rowOff>38100</xdr:rowOff>
        </xdr:to>
        <xdr:sp macro="" textlink="">
          <xdr:nvSpPr>
            <xdr:cNvPr id="1788047" name="Check Box 143" hidden="1">
              <a:extLst>
                <a:ext uri="{63B3BB69-23CF-44E3-9099-C40C66FF867C}">
                  <a14:compatExt spid="_x0000_s1788047"/>
                </a:ext>
                <a:ext uri="{FF2B5EF4-FFF2-40B4-BE49-F238E27FC236}">
                  <a16:creationId xmlns:a16="http://schemas.microsoft.com/office/drawing/2014/main" id="{00000000-0008-0000-1400-00008F48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BGH XII ZB 230/16 "ausgleichsber. Person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2362200</xdr:colOff>
          <xdr:row>17</xdr:row>
          <xdr:rowOff>171450</xdr:rowOff>
        </xdr:from>
        <xdr:to>
          <xdr:col>1</xdr:col>
          <xdr:colOff>3810000</xdr:colOff>
          <xdr:row>18</xdr:row>
          <xdr:rowOff>152400</xdr:rowOff>
        </xdr:to>
        <xdr:sp macro="" textlink="">
          <xdr:nvSpPr>
            <xdr:cNvPr id="1788102" name="Check Box 198" hidden="1">
              <a:extLst>
                <a:ext uri="{63B3BB69-23CF-44E3-9099-C40C66FF867C}">
                  <a14:compatExt spid="_x0000_s1788102"/>
                </a:ext>
                <a:ext uri="{FF2B5EF4-FFF2-40B4-BE49-F238E27FC236}">
                  <a16:creationId xmlns:a16="http://schemas.microsoft.com/office/drawing/2014/main" id="{00000000-0008-0000-1400-0000C648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DRV-Werte Durchschnitt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4286250</xdr:colOff>
          <xdr:row>19</xdr:row>
          <xdr:rowOff>19050</xdr:rowOff>
        </xdr:from>
        <xdr:to>
          <xdr:col>2</xdr:col>
          <xdr:colOff>0</xdr:colOff>
          <xdr:row>19</xdr:row>
          <xdr:rowOff>190500</xdr:rowOff>
        </xdr:to>
        <xdr:sp macro="" textlink="">
          <xdr:nvSpPr>
            <xdr:cNvPr id="1788106" name="Drop Down 202" hidden="1">
              <a:extLst>
                <a:ext uri="{63B3BB69-23CF-44E3-9099-C40C66FF867C}">
                  <a14:compatExt spid="_x0000_s1788106"/>
                </a:ext>
                <a:ext uri="{FF2B5EF4-FFF2-40B4-BE49-F238E27FC236}">
                  <a16:creationId xmlns:a16="http://schemas.microsoft.com/office/drawing/2014/main" id="{00000000-0008-0000-1400-0000CA481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4705350</xdr:colOff>
          <xdr:row>16</xdr:row>
          <xdr:rowOff>19050</xdr:rowOff>
        </xdr:from>
        <xdr:to>
          <xdr:col>2</xdr:col>
          <xdr:colOff>485775</xdr:colOff>
          <xdr:row>17</xdr:row>
          <xdr:rowOff>19050</xdr:rowOff>
        </xdr:to>
        <xdr:sp macro="" textlink="">
          <xdr:nvSpPr>
            <xdr:cNvPr id="1788112" name="Check Box 208" hidden="1">
              <a:extLst>
                <a:ext uri="{63B3BB69-23CF-44E3-9099-C40C66FF867C}">
                  <a14:compatExt spid="_x0000_s1788112"/>
                </a:ext>
                <a:ext uri="{FF2B5EF4-FFF2-40B4-BE49-F238E27FC236}">
                  <a16:creationId xmlns:a16="http://schemas.microsoft.com/office/drawing/2014/main" id="{00000000-0008-0000-1400-0000D048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keine Invalidität in DRV</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27</xdr:row>
          <xdr:rowOff>28575</xdr:rowOff>
        </xdr:from>
        <xdr:to>
          <xdr:col>1</xdr:col>
          <xdr:colOff>571500</xdr:colOff>
          <xdr:row>28</xdr:row>
          <xdr:rowOff>0</xdr:rowOff>
        </xdr:to>
        <xdr:sp macro="" textlink="">
          <xdr:nvSpPr>
            <xdr:cNvPr id="1788161" name="Check Box 257" hidden="1">
              <a:extLst>
                <a:ext uri="{63B3BB69-23CF-44E3-9099-C40C66FF867C}">
                  <a14:compatExt spid="_x0000_s1788161"/>
                </a:ext>
                <a:ext uri="{FF2B5EF4-FFF2-40B4-BE49-F238E27FC236}">
                  <a16:creationId xmlns:a16="http://schemas.microsoft.com/office/drawing/2014/main" id="{00000000-0008-0000-1400-00000149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xdr:row>
          <xdr:rowOff>381000</xdr:rowOff>
        </xdr:from>
        <xdr:to>
          <xdr:col>3</xdr:col>
          <xdr:colOff>209550</xdr:colOff>
          <xdr:row>3</xdr:row>
          <xdr:rowOff>0</xdr:rowOff>
        </xdr:to>
        <xdr:sp macro="" textlink="">
          <xdr:nvSpPr>
            <xdr:cNvPr id="1788183" name="Check Box 279" hidden="1">
              <a:extLst>
                <a:ext uri="{63B3BB69-23CF-44E3-9099-C40C66FF867C}">
                  <a14:compatExt spid="_x0000_s1788183"/>
                </a:ext>
                <a:ext uri="{FF2B5EF4-FFF2-40B4-BE49-F238E27FC236}">
                  <a16:creationId xmlns:a16="http://schemas.microsoft.com/office/drawing/2014/main" id="{00000000-0008-0000-1400-00001749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3571875</xdr:colOff>
          <xdr:row>19</xdr:row>
          <xdr:rowOff>0</xdr:rowOff>
        </xdr:from>
        <xdr:to>
          <xdr:col>1</xdr:col>
          <xdr:colOff>4295775</xdr:colOff>
          <xdr:row>20</xdr:row>
          <xdr:rowOff>0</xdr:rowOff>
        </xdr:to>
        <xdr:sp macro="" textlink="">
          <xdr:nvSpPr>
            <xdr:cNvPr id="1788201" name="Check Box 297" hidden="1">
              <a:extLst>
                <a:ext uri="{63B3BB69-23CF-44E3-9099-C40C66FF867C}">
                  <a14:compatExt spid="_x0000_s1788201"/>
                </a:ext>
                <a:ext uri="{FF2B5EF4-FFF2-40B4-BE49-F238E27FC236}">
                  <a16:creationId xmlns:a16="http://schemas.microsoft.com/office/drawing/2014/main" id="{00000000-0008-0000-1400-00002949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BilMoG-10</a:t>
              </a:r>
            </a:p>
          </xdr:txBody>
        </xdr:sp>
        <xdr:clientData/>
      </xdr:twoCellAnchor>
    </mc:Choice>
    <mc:Fallback/>
  </mc:AlternateContent>
  <xdr:twoCellAnchor>
    <xdr:from>
      <xdr:col>26</xdr:col>
      <xdr:colOff>303231</xdr:colOff>
      <xdr:row>3</xdr:row>
      <xdr:rowOff>117343</xdr:rowOff>
    </xdr:from>
    <xdr:to>
      <xdr:col>26</xdr:col>
      <xdr:colOff>836631</xdr:colOff>
      <xdr:row>3</xdr:row>
      <xdr:rowOff>117343</xdr:rowOff>
    </xdr:to>
    <xdr:cxnSp macro="">
      <xdr:nvCxnSpPr>
        <xdr:cNvPr id="7" name="Gerader Verbinder 6">
          <a:extLst>
            <a:ext uri="{FF2B5EF4-FFF2-40B4-BE49-F238E27FC236}">
              <a16:creationId xmlns:a16="http://schemas.microsoft.com/office/drawing/2014/main" id="{00000000-0008-0000-1400-000007000000}"/>
            </a:ext>
          </a:extLst>
        </xdr:cNvPr>
        <xdr:cNvCxnSpPr/>
      </xdr:nvCxnSpPr>
      <xdr:spPr>
        <a:xfrm>
          <a:off x="17580753" y="1271386"/>
          <a:ext cx="533400" cy="0"/>
        </a:xfrm>
        <a:prstGeom prst="line">
          <a:avLst/>
        </a:prstGeom>
        <a:ln w="762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304501</xdr:colOff>
      <xdr:row>4</xdr:row>
      <xdr:rowOff>118389</xdr:rowOff>
    </xdr:from>
    <xdr:to>
      <xdr:col>26</xdr:col>
      <xdr:colOff>837901</xdr:colOff>
      <xdr:row>4</xdr:row>
      <xdr:rowOff>118389</xdr:rowOff>
    </xdr:to>
    <xdr:cxnSp macro="">
      <xdr:nvCxnSpPr>
        <xdr:cNvPr id="8" name="Gerader Verbinder 7">
          <a:extLst>
            <a:ext uri="{FF2B5EF4-FFF2-40B4-BE49-F238E27FC236}">
              <a16:creationId xmlns:a16="http://schemas.microsoft.com/office/drawing/2014/main" id="{00000000-0008-0000-1400-000008000000}"/>
            </a:ext>
          </a:extLst>
        </xdr:cNvPr>
        <xdr:cNvCxnSpPr/>
      </xdr:nvCxnSpPr>
      <xdr:spPr>
        <a:xfrm>
          <a:off x="17582023" y="1482259"/>
          <a:ext cx="533400" cy="0"/>
        </a:xfrm>
        <a:prstGeom prst="line">
          <a:avLst/>
        </a:prstGeom>
        <a:ln w="50800">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308420</xdr:colOff>
      <xdr:row>5</xdr:row>
      <xdr:rowOff>110041</xdr:rowOff>
    </xdr:from>
    <xdr:to>
      <xdr:col>26</xdr:col>
      <xdr:colOff>841820</xdr:colOff>
      <xdr:row>5</xdr:row>
      <xdr:rowOff>110041</xdr:rowOff>
    </xdr:to>
    <xdr:cxnSp macro="">
      <xdr:nvCxnSpPr>
        <xdr:cNvPr id="9" name="Gerader Verbinder 8">
          <a:extLst>
            <a:ext uri="{FF2B5EF4-FFF2-40B4-BE49-F238E27FC236}">
              <a16:creationId xmlns:a16="http://schemas.microsoft.com/office/drawing/2014/main" id="{00000000-0008-0000-1400-000009000000}"/>
            </a:ext>
          </a:extLst>
        </xdr:cNvPr>
        <xdr:cNvCxnSpPr/>
      </xdr:nvCxnSpPr>
      <xdr:spPr>
        <a:xfrm>
          <a:off x="17585942" y="1694780"/>
          <a:ext cx="533400" cy="0"/>
        </a:xfrm>
        <a:prstGeom prst="line">
          <a:avLst/>
        </a:prstGeom>
        <a:ln w="5080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309736</xdr:colOff>
      <xdr:row>6</xdr:row>
      <xdr:rowOff>110970</xdr:rowOff>
    </xdr:from>
    <xdr:to>
      <xdr:col>26</xdr:col>
      <xdr:colOff>842536</xdr:colOff>
      <xdr:row>6</xdr:row>
      <xdr:rowOff>110970</xdr:rowOff>
    </xdr:to>
    <xdr:cxnSp macro="">
      <xdr:nvCxnSpPr>
        <xdr:cNvPr id="10" name="Gerader Verbinder 9">
          <a:extLst>
            <a:ext uri="{FF2B5EF4-FFF2-40B4-BE49-F238E27FC236}">
              <a16:creationId xmlns:a16="http://schemas.microsoft.com/office/drawing/2014/main" id="{00000000-0008-0000-1400-00000A000000}"/>
            </a:ext>
          </a:extLst>
        </xdr:cNvPr>
        <xdr:cNvCxnSpPr/>
      </xdr:nvCxnSpPr>
      <xdr:spPr>
        <a:xfrm flipV="1">
          <a:off x="17587258" y="1916579"/>
          <a:ext cx="532800" cy="0"/>
        </a:xfrm>
        <a:prstGeom prst="line">
          <a:avLst/>
        </a:prstGeom>
        <a:ln w="50800">
          <a:solidFill>
            <a:schemeClr val="accent4"/>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308250</xdr:colOff>
      <xdr:row>7</xdr:row>
      <xdr:rowOff>110041</xdr:rowOff>
    </xdr:from>
    <xdr:to>
      <xdr:col>26</xdr:col>
      <xdr:colOff>841650</xdr:colOff>
      <xdr:row>7</xdr:row>
      <xdr:rowOff>110041</xdr:rowOff>
    </xdr:to>
    <xdr:cxnSp macro="">
      <xdr:nvCxnSpPr>
        <xdr:cNvPr id="11" name="Gerader Verbinder 10">
          <a:extLst>
            <a:ext uri="{FF2B5EF4-FFF2-40B4-BE49-F238E27FC236}">
              <a16:creationId xmlns:a16="http://schemas.microsoft.com/office/drawing/2014/main" id="{00000000-0008-0000-1400-00000B000000}"/>
            </a:ext>
          </a:extLst>
        </xdr:cNvPr>
        <xdr:cNvCxnSpPr/>
      </xdr:nvCxnSpPr>
      <xdr:spPr>
        <a:xfrm>
          <a:off x="17585772" y="2136519"/>
          <a:ext cx="533400" cy="0"/>
        </a:xfrm>
        <a:prstGeom prst="line">
          <a:avLst/>
        </a:prstGeom>
        <a:ln w="50800">
          <a:solidFill>
            <a:schemeClr val="accent6"/>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308622</xdr:colOff>
      <xdr:row>8</xdr:row>
      <xdr:rowOff>109669</xdr:rowOff>
    </xdr:from>
    <xdr:to>
      <xdr:col>26</xdr:col>
      <xdr:colOff>842022</xdr:colOff>
      <xdr:row>8</xdr:row>
      <xdr:rowOff>109669</xdr:rowOff>
    </xdr:to>
    <xdr:cxnSp macro="">
      <xdr:nvCxnSpPr>
        <xdr:cNvPr id="12" name="Gerader Verbinder 11">
          <a:extLst>
            <a:ext uri="{FF2B5EF4-FFF2-40B4-BE49-F238E27FC236}">
              <a16:creationId xmlns:a16="http://schemas.microsoft.com/office/drawing/2014/main" id="{00000000-0008-0000-1400-00000C000000}"/>
            </a:ext>
          </a:extLst>
        </xdr:cNvPr>
        <xdr:cNvCxnSpPr/>
      </xdr:nvCxnSpPr>
      <xdr:spPr>
        <a:xfrm>
          <a:off x="17586144" y="2357017"/>
          <a:ext cx="533400" cy="0"/>
        </a:xfrm>
        <a:prstGeom prst="line">
          <a:avLst/>
        </a:prstGeom>
        <a:ln w="50800">
          <a:solidFill>
            <a:srgbClr val="FF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4</xdr:col>
          <xdr:colOff>0</xdr:colOff>
          <xdr:row>4</xdr:row>
          <xdr:rowOff>19050</xdr:rowOff>
        </xdr:from>
        <xdr:to>
          <xdr:col>4</xdr:col>
          <xdr:colOff>180975</xdr:colOff>
          <xdr:row>5</xdr:row>
          <xdr:rowOff>0</xdr:rowOff>
        </xdr:to>
        <xdr:sp macro="" textlink="">
          <xdr:nvSpPr>
            <xdr:cNvPr id="1788203" name="Check Box 299" hidden="1">
              <a:extLst>
                <a:ext uri="{63B3BB69-23CF-44E3-9099-C40C66FF867C}">
                  <a14:compatExt spid="_x0000_s1788203"/>
                </a:ext>
                <a:ext uri="{FF2B5EF4-FFF2-40B4-BE49-F238E27FC236}">
                  <a16:creationId xmlns:a16="http://schemas.microsoft.com/office/drawing/2014/main" id="{00000000-0008-0000-1400-00002B49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2</xdr:row>
          <xdr:rowOff>561975</xdr:rowOff>
        </xdr:from>
        <xdr:to>
          <xdr:col>26</xdr:col>
          <xdr:colOff>247650</xdr:colOff>
          <xdr:row>4</xdr:row>
          <xdr:rowOff>19050</xdr:rowOff>
        </xdr:to>
        <xdr:sp macro="" textlink="">
          <xdr:nvSpPr>
            <xdr:cNvPr id="1788204" name="Check Box 300" hidden="1">
              <a:extLst>
                <a:ext uri="{63B3BB69-23CF-44E3-9099-C40C66FF867C}">
                  <a14:compatExt spid="_x0000_s1788204"/>
                </a:ext>
                <a:ext uri="{FF2B5EF4-FFF2-40B4-BE49-F238E27FC236}">
                  <a16:creationId xmlns:a16="http://schemas.microsoft.com/office/drawing/2014/main" id="{00000000-0008-0000-1400-00002C49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1104900</xdr:colOff>
          <xdr:row>4</xdr:row>
          <xdr:rowOff>19050</xdr:rowOff>
        </xdr:from>
        <xdr:to>
          <xdr:col>7</xdr:col>
          <xdr:colOff>228600</xdr:colOff>
          <xdr:row>5</xdr:row>
          <xdr:rowOff>0</xdr:rowOff>
        </xdr:to>
        <xdr:sp macro="" textlink="">
          <xdr:nvSpPr>
            <xdr:cNvPr id="1788205" name="Check Box 301" hidden="1">
              <a:extLst>
                <a:ext uri="{63B3BB69-23CF-44E3-9099-C40C66FF867C}">
                  <a14:compatExt spid="_x0000_s1788205"/>
                </a:ext>
                <a:ext uri="{FF2B5EF4-FFF2-40B4-BE49-F238E27FC236}">
                  <a16:creationId xmlns:a16="http://schemas.microsoft.com/office/drawing/2014/main" id="{00000000-0008-0000-1400-00002D49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18491</xdr:colOff>
      <xdr:row>2</xdr:row>
      <xdr:rowOff>178734</xdr:rowOff>
    </xdr:from>
    <xdr:to>
      <xdr:col>3</xdr:col>
      <xdr:colOff>7285</xdr:colOff>
      <xdr:row>2</xdr:row>
      <xdr:rowOff>371475</xdr:rowOff>
    </xdr:to>
    <xdr:sp macro="" textlink="">
      <xdr:nvSpPr>
        <xdr:cNvPr id="5" name="Rechteck 4">
          <a:hlinkClick xmlns:r="http://schemas.openxmlformats.org/officeDocument/2006/relationships" r:id="rId3"/>
          <a:extLst>
            <a:ext uri="{FF2B5EF4-FFF2-40B4-BE49-F238E27FC236}">
              <a16:creationId xmlns:a16="http://schemas.microsoft.com/office/drawing/2014/main" id="{00000000-0008-0000-1400-000005000000}"/>
            </a:ext>
          </a:extLst>
        </xdr:cNvPr>
        <xdr:cNvSpPr/>
      </xdr:nvSpPr>
      <xdr:spPr>
        <a:xfrm>
          <a:off x="5685866" y="750234"/>
          <a:ext cx="1103219" cy="19274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2</xdr:col>
      <xdr:colOff>11206</xdr:colOff>
      <xdr:row>1</xdr:row>
      <xdr:rowOff>62193</xdr:rowOff>
    </xdr:from>
    <xdr:to>
      <xdr:col>2</xdr:col>
      <xdr:colOff>1098177</xdr:colOff>
      <xdr:row>1</xdr:row>
      <xdr:rowOff>454399</xdr:rowOff>
    </xdr:to>
    <xdr:sp macro="" textlink="">
      <xdr:nvSpPr>
        <xdr:cNvPr id="6" name="Rechteck 5">
          <a:hlinkClick xmlns:r="http://schemas.openxmlformats.org/officeDocument/2006/relationships" r:id="rId4"/>
          <a:extLst>
            <a:ext uri="{FF2B5EF4-FFF2-40B4-BE49-F238E27FC236}">
              <a16:creationId xmlns:a16="http://schemas.microsoft.com/office/drawing/2014/main" id="{00000000-0008-0000-1400-000006000000}"/>
            </a:ext>
          </a:extLst>
        </xdr:cNvPr>
        <xdr:cNvSpPr/>
      </xdr:nvSpPr>
      <xdr:spPr>
        <a:xfrm>
          <a:off x="5678581" y="147918"/>
          <a:ext cx="1086971" cy="3922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5</xdr:col>
      <xdr:colOff>100854</xdr:colOff>
      <xdr:row>2</xdr:row>
      <xdr:rowOff>134470</xdr:rowOff>
    </xdr:from>
    <xdr:to>
      <xdr:col>5</xdr:col>
      <xdr:colOff>1015254</xdr:colOff>
      <xdr:row>2</xdr:row>
      <xdr:rowOff>381000</xdr:rowOff>
    </xdr:to>
    <xdr:sp macro="" textlink="">
      <xdr:nvSpPr>
        <xdr:cNvPr id="14" name="Rechteck 13">
          <a:hlinkClick xmlns:r="http://schemas.openxmlformats.org/officeDocument/2006/relationships" r:id="rId5"/>
          <a:extLst>
            <a:ext uri="{FF2B5EF4-FFF2-40B4-BE49-F238E27FC236}">
              <a16:creationId xmlns:a16="http://schemas.microsoft.com/office/drawing/2014/main" id="{00000000-0008-0000-1400-00000E000000}"/>
            </a:ext>
          </a:extLst>
        </xdr:cNvPr>
        <xdr:cNvSpPr/>
      </xdr:nvSpPr>
      <xdr:spPr>
        <a:xfrm>
          <a:off x="8931089" y="705970"/>
          <a:ext cx="914400" cy="2465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25</xdr:col>
      <xdr:colOff>1</xdr:colOff>
      <xdr:row>21</xdr:row>
      <xdr:rowOff>209545</xdr:rowOff>
    </xdr:from>
    <xdr:to>
      <xdr:col>26</xdr:col>
      <xdr:colOff>1126191</xdr:colOff>
      <xdr:row>28</xdr:row>
      <xdr:rowOff>67047</xdr:rowOff>
    </xdr:to>
    <xdr:sp macro="" textlink="">
      <xdr:nvSpPr>
        <xdr:cNvPr id="42" name="Pfeil: gestreift nach rechts 41">
          <a:hlinkClick xmlns:r="http://schemas.openxmlformats.org/officeDocument/2006/relationships" r:id="rId6"/>
          <a:extLst>
            <a:ext uri="{FF2B5EF4-FFF2-40B4-BE49-F238E27FC236}">
              <a16:creationId xmlns:a16="http://schemas.microsoft.com/office/drawing/2014/main" id="{00000000-0008-0000-1400-00002A000000}"/>
            </a:ext>
          </a:extLst>
        </xdr:cNvPr>
        <xdr:cNvSpPr/>
      </xdr:nvSpPr>
      <xdr:spPr>
        <a:xfrm rot="16200000">
          <a:off x="19639895" y="6033151"/>
          <a:ext cx="2391152" cy="1221440"/>
        </a:xfrm>
        <a:prstGeom prst="stripedRightArrow">
          <a:avLst/>
        </a:prstGeom>
        <a:solidFill>
          <a:srgbClr val="BEE395"/>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solidFill>
                <a:schemeClr val="tx1"/>
              </a:solidFill>
            </a:rPr>
            <a:t>Zum</a:t>
          </a:r>
          <a:r>
            <a:rPr lang="de-DE" sz="1600" b="1" baseline="0">
              <a:solidFill>
                <a:schemeClr val="tx1"/>
              </a:solidFill>
            </a:rPr>
            <a:t> Inhaltsverzeichnis</a:t>
          </a:r>
          <a:endParaRPr lang="de-DE" sz="1600" b="1">
            <a:solidFill>
              <a:schemeClr val="tx1"/>
            </a:solidFill>
          </a:endParaRPr>
        </a:p>
      </xdr:txBody>
    </xdr:sp>
    <xdr:clientData/>
  </xdr:twoCellAnchor>
  <xdr:twoCellAnchor editAs="oneCell">
    <xdr:from>
      <xdr:col>1</xdr:col>
      <xdr:colOff>11206</xdr:colOff>
      <xdr:row>1</xdr:row>
      <xdr:rowOff>11206</xdr:rowOff>
    </xdr:from>
    <xdr:to>
      <xdr:col>1</xdr:col>
      <xdr:colOff>471621</xdr:colOff>
      <xdr:row>1</xdr:row>
      <xdr:rowOff>453585</xdr:rowOff>
    </xdr:to>
    <xdr:pic>
      <xdr:nvPicPr>
        <xdr:cNvPr id="13" name="Grafik 12">
          <a:hlinkClick xmlns:r="http://schemas.openxmlformats.org/officeDocument/2006/relationships" r:id="rId7"/>
          <a:extLst>
            <a:ext uri="{FF2B5EF4-FFF2-40B4-BE49-F238E27FC236}">
              <a16:creationId xmlns:a16="http://schemas.microsoft.com/office/drawing/2014/main" id="{00000000-0008-0000-1400-00000D000000}"/>
            </a:ext>
          </a:extLst>
        </xdr:cNvPr>
        <xdr:cNvPicPr>
          <a:picLocks noChangeAspect="1"/>
        </xdr:cNvPicPr>
      </xdr:nvPicPr>
      <xdr:blipFill>
        <a:blip xmlns:r="http://schemas.openxmlformats.org/officeDocument/2006/relationships" r:embed="rId8"/>
        <a:stretch>
          <a:fillRect/>
        </a:stretch>
      </xdr:blipFill>
      <xdr:spPr>
        <a:xfrm>
          <a:off x="179294" y="100853"/>
          <a:ext cx="457240" cy="436029"/>
        </a:xfrm>
        <a:prstGeom prst="rect">
          <a:avLst/>
        </a:prstGeom>
      </xdr:spPr>
    </xdr:pic>
    <xdr:clientData/>
  </xdr:twoCellAnchor>
  <mc:AlternateContent xmlns:mc="http://schemas.openxmlformats.org/markup-compatibility/2006">
    <mc:Choice xmlns:a14="http://schemas.microsoft.com/office/drawing/2010/main" Requires="a14">
      <xdr:twoCellAnchor>
        <xdr:from>
          <xdr:col>26</xdr:col>
          <xdr:colOff>19050</xdr:colOff>
          <xdr:row>4</xdr:row>
          <xdr:rowOff>19050</xdr:rowOff>
        </xdr:from>
        <xdr:to>
          <xdr:col>26</xdr:col>
          <xdr:colOff>266700</xdr:colOff>
          <xdr:row>5</xdr:row>
          <xdr:rowOff>19050</xdr:rowOff>
        </xdr:to>
        <xdr:sp macro="" textlink="">
          <xdr:nvSpPr>
            <xdr:cNvPr id="1788206" name="Check Box 302" hidden="1">
              <a:extLst>
                <a:ext uri="{63B3BB69-23CF-44E3-9099-C40C66FF867C}">
                  <a14:compatExt spid="_x0000_s1788206"/>
                </a:ext>
                <a:ext uri="{FF2B5EF4-FFF2-40B4-BE49-F238E27FC236}">
                  <a16:creationId xmlns:a16="http://schemas.microsoft.com/office/drawing/2014/main" id="{00000000-0008-0000-1400-00002E49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19050</xdr:colOff>
          <xdr:row>6</xdr:row>
          <xdr:rowOff>209550</xdr:rowOff>
        </xdr:from>
        <xdr:to>
          <xdr:col>26</xdr:col>
          <xdr:colOff>285750</xdr:colOff>
          <xdr:row>7</xdr:row>
          <xdr:rowOff>209550</xdr:rowOff>
        </xdr:to>
        <xdr:sp macro="" textlink="">
          <xdr:nvSpPr>
            <xdr:cNvPr id="1788207" name="Check Box 303" hidden="1">
              <a:extLst>
                <a:ext uri="{63B3BB69-23CF-44E3-9099-C40C66FF867C}">
                  <a14:compatExt spid="_x0000_s1788207"/>
                </a:ext>
                <a:ext uri="{FF2B5EF4-FFF2-40B4-BE49-F238E27FC236}">
                  <a16:creationId xmlns:a16="http://schemas.microsoft.com/office/drawing/2014/main" id="{00000000-0008-0000-1400-00002F49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19050</xdr:colOff>
          <xdr:row>5</xdr:row>
          <xdr:rowOff>209550</xdr:rowOff>
        </xdr:from>
        <xdr:to>
          <xdr:col>26</xdr:col>
          <xdr:colOff>266700</xdr:colOff>
          <xdr:row>6</xdr:row>
          <xdr:rowOff>219075</xdr:rowOff>
        </xdr:to>
        <xdr:sp macro="" textlink="">
          <xdr:nvSpPr>
            <xdr:cNvPr id="1788208" name="Check Box 304" hidden="1">
              <a:extLst>
                <a:ext uri="{63B3BB69-23CF-44E3-9099-C40C66FF867C}">
                  <a14:compatExt spid="_x0000_s1788208"/>
                </a:ext>
                <a:ext uri="{FF2B5EF4-FFF2-40B4-BE49-F238E27FC236}">
                  <a16:creationId xmlns:a16="http://schemas.microsoft.com/office/drawing/2014/main" id="{00000000-0008-0000-1400-00003049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19050</xdr:colOff>
          <xdr:row>7</xdr:row>
          <xdr:rowOff>209550</xdr:rowOff>
        </xdr:from>
        <xdr:to>
          <xdr:col>26</xdr:col>
          <xdr:colOff>285750</xdr:colOff>
          <xdr:row>9</xdr:row>
          <xdr:rowOff>0</xdr:rowOff>
        </xdr:to>
        <xdr:sp macro="" textlink="">
          <xdr:nvSpPr>
            <xdr:cNvPr id="1788209" name="Check Box 305" hidden="1">
              <a:extLst>
                <a:ext uri="{63B3BB69-23CF-44E3-9099-C40C66FF867C}">
                  <a14:compatExt spid="_x0000_s1788209"/>
                </a:ext>
                <a:ext uri="{FF2B5EF4-FFF2-40B4-BE49-F238E27FC236}">
                  <a16:creationId xmlns:a16="http://schemas.microsoft.com/office/drawing/2014/main" id="{00000000-0008-0000-1400-00003149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19050</xdr:colOff>
          <xdr:row>5</xdr:row>
          <xdr:rowOff>19050</xdr:rowOff>
        </xdr:from>
        <xdr:to>
          <xdr:col>26</xdr:col>
          <xdr:colOff>219075</xdr:colOff>
          <xdr:row>5</xdr:row>
          <xdr:rowOff>219075</xdr:rowOff>
        </xdr:to>
        <xdr:sp macro="" textlink="">
          <xdr:nvSpPr>
            <xdr:cNvPr id="1788210" name="Check Box 306" hidden="1">
              <a:extLst>
                <a:ext uri="{63B3BB69-23CF-44E3-9099-C40C66FF867C}">
                  <a14:compatExt spid="_x0000_s1788210"/>
                </a:ext>
                <a:ext uri="{FF2B5EF4-FFF2-40B4-BE49-F238E27FC236}">
                  <a16:creationId xmlns:a16="http://schemas.microsoft.com/office/drawing/2014/main" id="{00000000-0008-0000-1400-00003249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c:userShapes xmlns:c="http://schemas.openxmlformats.org/drawingml/2006/chart">
  <cdr:relSizeAnchor xmlns:cdr="http://schemas.openxmlformats.org/drawingml/2006/chartDrawing">
    <cdr:from>
      <cdr:x>0.00167</cdr:x>
      <cdr:y>0.15851</cdr:y>
    </cdr:from>
    <cdr:to>
      <cdr:x>0.11604</cdr:x>
      <cdr:y>0.22042</cdr:y>
    </cdr:to>
    <cdr:sp macro="" textlink="">
      <cdr:nvSpPr>
        <cdr:cNvPr id="2" name="Textfeld 1">
          <a:extLst xmlns:a="http://schemas.openxmlformats.org/drawingml/2006/main">
            <a:ext uri="{FF2B5EF4-FFF2-40B4-BE49-F238E27FC236}">
              <a16:creationId xmlns:a16="http://schemas.microsoft.com/office/drawing/2014/main" id="{D00D213D-7692-4D23-AD72-1B3CD51A186B}"/>
            </a:ext>
          </a:extLst>
        </cdr:cNvPr>
        <cdr:cNvSpPr txBox="1"/>
      </cdr:nvSpPr>
      <cdr:spPr>
        <a:xfrm xmlns:a="http://schemas.openxmlformats.org/drawingml/2006/main">
          <a:off x="11205" y="688600"/>
          <a:ext cx="766482" cy="26894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900"/>
            <a:t>Alter AusglBer.</a:t>
          </a:r>
        </a:p>
      </cdr:txBody>
    </cdr:sp>
  </cdr:relSizeAnchor>
</c:userShapes>
</file>

<file path=xl/drawings/drawing7.xml><?xml version="1.0" encoding="utf-8"?>
<xdr:wsDr xmlns:xdr="http://schemas.openxmlformats.org/drawingml/2006/spreadsheetDrawing" xmlns:a="http://schemas.openxmlformats.org/drawingml/2006/main">
  <xdr:twoCellAnchor>
    <xdr:from>
      <xdr:col>4</xdr:col>
      <xdr:colOff>0</xdr:colOff>
      <xdr:row>0</xdr:row>
      <xdr:rowOff>0</xdr:rowOff>
    </xdr:from>
    <xdr:to>
      <xdr:col>16384</xdr:col>
      <xdr:colOff>30583</xdr:colOff>
      <xdr:row>2</xdr:row>
      <xdr:rowOff>24848</xdr:rowOff>
    </xdr:to>
    <xdr:sp macro="" textlink="">
      <xdr:nvSpPr>
        <xdr:cNvPr id="4" name="Pfeil: gestreift nach rechts 3">
          <a:hlinkClick xmlns:r="http://schemas.openxmlformats.org/officeDocument/2006/relationships" r:id="rId1"/>
          <a:extLst>
            <a:ext uri="{FF2B5EF4-FFF2-40B4-BE49-F238E27FC236}">
              <a16:creationId xmlns:a16="http://schemas.microsoft.com/office/drawing/2014/main" id="{00000000-0008-0000-1700-000004000000}"/>
            </a:ext>
          </a:extLst>
        </xdr:cNvPr>
        <xdr:cNvSpPr/>
      </xdr:nvSpPr>
      <xdr:spPr>
        <a:xfrm rot="16200000">
          <a:off x="8425166" y="-13858"/>
          <a:ext cx="215348" cy="243063"/>
        </a:xfrm>
        <a:prstGeom prst="stripedRightArrow">
          <a:avLst/>
        </a:prstGeom>
        <a:solidFill>
          <a:srgbClr val="BEE395"/>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xdr:col>
          <xdr:colOff>28575</xdr:colOff>
          <xdr:row>4</xdr:row>
          <xdr:rowOff>38100</xdr:rowOff>
        </xdr:from>
        <xdr:to>
          <xdr:col>3</xdr:col>
          <xdr:colOff>1581150</xdr:colOff>
          <xdr:row>4</xdr:row>
          <xdr:rowOff>333375</xdr:rowOff>
        </xdr:to>
        <xdr:sp macro="" textlink="">
          <xdr:nvSpPr>
            <xdr:cNvPr id="1921026" name="Drop Down 2" hidden="1">
              <a:extLst>
                <a:ext uri="{63B3BB69-23CF-44E3-9099-C40C66FF867C}">
                  <a14:compatExt spid="_x0000_s1921026"/>
                </a:ext>
                <a:ext uri="{FF2B5EF4-FFF2-40B4-BE49-F238E27FC236}">
                  <a16:creationId xmlns:a16="http://schemas.microsoft.com/office/drawing/2014/main" id="{00000000-0008-0000-1800-000002501D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xdr:row>
          <xdr:rowOff>19050</xdr:rowOff>
        </xdr:from>
        <xdr:to>
          <xdr:col>3</xdr:col>
          <xdr:colOff>590550</xdr:colOff>
          <xdr:row>7</xdr:row>
          <xdr:rowOff>171450</xdr:rowOff>
        </xdr:to>
        <xdr:sp macro="" textlink="">
          <xdr:nvSpPr>
            <xdr:cNvPr id="1921027" name="Option Button 3" hidden="1">
              <a:extLst>
                <a:ext uri="{63B3BB69-23CF-44E3-9099-C40C66FF867C}">
                  <a14:compatExt spid="_x0000_s1921027"/>
                </a:ext>
                <a:ext uri="{FF2B5EF4-FFF2-40B4-BE49-F238E27FC236}">
                  <a16:creationId xmlns:a16="http://schemas.microsoft.com/office/drawing/2014/main" id="{00000000-0008-0000-1800-00000350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Kapital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1323975</xdr:colOff>
          <xdr:row>7</xdr:row>
          <xdr:rowOff>19050</xdr:rowOff>
        </xdr:from>
        <xdr:to>
          <xdr:col>3</xdr:col>
          <xdr:colOff>1857375</xdr:colOff>
          <xdr:row>7</xdr:row>
          <xdr:rowOff>171450</xdr:rowOff>
        </xdr:to>
        <xdr:sp macro="" textlink="">
          <xdr:nvSpPr>
            <xdr:cNvPr id="1921028" name="Option Button 4" hidden="1">
              <a:extLst>
                <a:ext uri="{63B3BB69-23CF-44E3-9099-C40C66FF867C}">
                  <a14:compatExt spid="_x0000_s1921028"/>
                </a:ext>
                <a:ext uri="{FF2B5EF4-FFF2-40B4-BE49-F238E27FC236}">
                  <a16:creationId xmlns:a16="http://schemas.microsoft.com/office/drawing/2014/main" id="{00000000-0008-0000-1800-00000450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Rente</a:t>
              </a:r>
            </a:p>
          </xdr:txBody>
        </xdr:sp>
        <xdr:clientData/>
      </xdr:twoCellAnchor>
    </mc:Choice>
    <mc:Fallback/>
  </mc:AlternateContent>
  <xdr:twoCellAnchor>
    <xdr:from>
      <xdr:col>8</xdr:col>
      <xdr:colOff>1</xdr:colOff>
      <xdr:row>1</xdr:row>
      <xdr:rowOff>0</xdr:rowOff>
    </xdr:from>
    <xdr:to>
      <xdr:col>8</xdr:col>
      <xdr:colOff>243064</xdr:colOff>
      <xdr:row>3</xdr:row>
      <xdr:rowOff>11906</xdr:rowOff>
    </xdr:to>
    <xdr:sp macro="" textlink="">
      <xdr:nvSpPr>
        <xdr:cNvPr id="6" name="Pfeil: gestreift nach rechts 5">
          <a:hlinkClick xmlns:r="http://schemas.openxmlformats.org/officeDocument/2006/relationships" r:id="rId1"/>
          <a:extLst>
            <a:ext uri="{FF2B5EF4-FFF2-40B4-BE49-F238E27FC236}">
              <a16:creationId xmlns:a16="http://schemas.microsoft.com/office/drawing/2014/main" id="{00000000-0008-0000-1800-000006000000}"/>
            </a:ext>
          </a:extLst>
        </xdr:cNvPr>
        <xdr:cNvSpPr/>
      </xdr:nvSpPr>
      <xdr:spPr>
        <a:xfrm rot="16200000">
          <a:off x="9670345" y="384484"/>
          <a:ext cx="631031" cy="243063"/>
        </a:xfrm>
        <a:prstGeom prst="stripedRightArrow">
          <a:avLst/>
        </a:prstGeom>
        <a:solidFill>
          <a:srgbClr val="BEE395"/>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de-DE" sz="1100" b="1">
              <a:solidFill>
                <a:schemeClr val="tx1"/>
              </a:solidFill>
            </a:rPr>
            <a:t>Inhalt</a:t>
          </a:r>
        </a:p>
      </xdr:txBody>
    </xdr:sp>
    <xdr:clientData/>
  </xdr:twoCellAnchor>
  <xdr:twoCellAnchor>
    <xdr:from>
      <xdr:col>6</xdr:col>
      <xdr:colOff>1121019</xdr:colOff>
      <xdr:row>10</xdr:row>
      <xdr:rowOff>0</xdr:rowOff>
    </xdr:from>
    <xdr:to>
      <xdr:col>7</xdr:col>
      <xdr:colOff>1238250</xdr:colOff>
      <xdr:row>10</xdr:row>
      <xdr:rowOff>373673</xdr:rowOff>
    </xdr:to>
    <xdr:sp macro="" textlink="">
      <xdr:nvSpPr>
        <xdr:cNvPr id="2" name="Flussdiagramm: Prozess 1">
          <a:hlinkClick xmlns:r="http://schemas.openxmlformats.org/officeDocument/2006/relationships" r:id="rId2"/>
          <a:extLst>
            <a:ext uri="{FF2B5EF4-FFF2-40B4-BE49-F238E27FC236}">
              <a16:creationId xmlns:a16="http://schemas.microsoft.com/office/drawing/2014/main" id="{00000000-0008-0000-1800-000002000000}"/>
            </a:ext>
          </a:extLst>
        </xdr:cNvPr>
        <xdr:cNvSpPr/>
      </xdr:nvSpPr>
      <xdr:spPr>
        <a:xfrm>
          <a:off x="8455269" y="3275135"/>
          <a:ext cx="1392116" cy="373673"/>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7</xdr:col>
      <xdr:colOff>7327</xdr:colOff>
      <xdr:row>1</xdr:row>
      <xdr:rowOff>366346</xdr:rowOff>
    </xdr:from>
    <xdr:to>
      <xdr:col>7</xdr:col>
      <xdr:colOff>1252903</xdr:colOff>
      <xdr:row>3</xdr:row>
      <xdr:rowOff>241789</xdr:rowOff>
    </xdr:to>
    <xdr:sp macro="" textlink="">
      <xdr:nvSpPr>
        <xdr:cNvPr id="3" name="Rechteck 2">
          <a:hlinkClick xmlns:r="http://schemas.openxmlformats.org/officeDocument/2006/relationships" r:id="rId3"/>
          <a:extLst>
            <a:ext uri="{FF2B5EF4-FFF2-40B4-BE49-F238E27FC236}">
              <a16:creationId xmlns:a16="http://schemas.microsoft.com/office/drawing/2014/main" id="{00000000-0008-0000-1800-000003000000}"/>
            </a:ext>
          </a:extLst>
        </xdr:cNvPr>
        <xdr:cNvSpPr/>
      </xdr:nvSpPr>
      <xdr:spPr>
        <a:xfrm>
          <a:off x="8616462" y="556846"/>
          <a:ext cx="1245576" cy="49823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3</xdr:col>
          <xdr:colOff>666750</xdr:colOff>
          <xdr:row>7</xdr:row>
          <xdr:rowOff>19050</xdr:rowOff>
        </xdr:from>
        <xdr:to>
          <xdr:col>3</xdr:col>
          <xdr:colOff>1219200</xdr:colOff>
          <xdr:row>7</xdr:row>
          <xdr:rowOff>171450</xdr:rowOff>
        </xdr:to>
        <xdr:sp macro="" textlink="">
          <xdr:nvSpPr>
            <xdr:cNvPr id="1921029" name="Option Button 5" hidden="1">
              <a:extLst>
                <a:ext uri="{63B3BB69-23CF-44E3-9099-C40C66FF867C}">
                  <a14:compatExt spid="_x0000_s1921029"/>
                </a:ext>
                <a:ext uri="{FF2B5EF4-FFF2-40B4-BE49-F238E27FC236}">
                  <a16:creationId xmlns:a16="http://schemas.microsoft.com/office/drawing/2014/main" id="{00000000-0008-0000-1800-00000550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Fonds</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114300</xdr:colOff>
          <xdr:row>22</xdr:row>
          <xdr:rowOff>19050</xdr:rowOff>
        </xdr:from>
        <xdr:to>
          <xdr:col>6</xdr:col>
          <xdr:colOff>866775</xdr:colOff>
          <xdr:row>22</xdr:row>
          <xdr:rowOff>209550</xdr:rowOff>
        </xdr:to>
        <xdr:sp macro="" textlink="">
          <xdr:nvSpPr>
            <xdr:cNvPr id="1886209" name="Check Box 1" hidden="1">
              <a:extLst>
                <a:ext uri="{63B3BB69-23CF-44E3-9099-C40C66FF867C}">
                  <a14:compatExt spid="_x0000_s1886209"/>
                </a:ext>
                <a:ext uri="{FF2B5EF4-FFF2-40B4-BE49-F238E27FC236}">
                  <a16:creationId xmlns:a16="http://schemas.microsoft.com/office/drawing/2014/main" id="{00000000-0008-0000-1900-000001C81C00}"/>
                </a:ext>
              </a:extLst>
            </xdr:cNvPr>
            <xdr:cNvSpPr/>
          </xdr:nvSpPr>
          <xdr:spPr bwMode="auto">
            <a:xfrm>
              <a:off x="0" y="0"/>
              <a:ext cx="0" cy="0"/>
            </a:xfrm>
            <a:prstGeom prst="rect">
              <a:avLst/>
            </a:prstGeom>
            <a:noFill/>
            <a:ln>
              <a:noFill/>
            </a:ln>
            <a:extLst>
              <a:ext uri="{909E8E84-426E-40DD-AFC4-6F175D3DCCD1}">
                <a14:hiddenFill>
                  <a:solidFill>
                    <a:srgbClr val="FF0000" mc:Ignorable="a14" a14:legacySpreadsheetColorIndex="1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EP-Ost?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495300</xdr:colOff>
          <xdr:row>30</xdr:row>
          <xdr:rowOff>19050</xdr:rowOff>
        </xdr:from>
        <xdr:to>
          <xdr:col>6</xdr:col>
          <xdr:colOff>1028700</xdr:colOff>
          <xdr:row>32</xdr:row>
          <xdr:rowOff>209550</xdr:rowOff>
        </xdr:to>
        <xdr:sp macro="" textlink="">
          <xdr:nvSpPr>
            <xdr:cNvPr id="1886210" name="Check Box 2" hidden="1">
              <a:extLst>
                <a:ext uri="{63B3BB69-23CF-44E3-9099-C40C66FF867C}">
                  <a14:compatExt spid="_x0000_s1886210"/>
                </a:ext>
                <a:ext uri="{FF2B5EF4-FFF2-40B4-BE49-F238E27FC236}">
                  <a16:creationId xmlns:a16="http://schemas.microsoft.com/office/drawing/2014/main" id="{00000000-0008-0000-1900-000002C81C00}"/>
                </a:ext>
              </a:extLst>
            </xdr:cNvPr>
            <xdr:cNvSpPr/>
          </xdr:nvSpPr>
          <xdr:spPr bwMode="auto">
            <a:xfrm>
              <a:off x="0" y="0"/>
              <a:ext cx="0" cy="0"/>
            </a:xfrm>
            <a:prstGeom prst="rect">
              <a:avLst/>
            </a:prstGeom>
            <a:solidFill>
              <a:srgbClr val="EAEAEA"/>
            </a:solidFill>
            <a:ln w="9525">
              <a:solidFill>
                <a:srgbClr val="C0C0C0" mc:Ignorable="a14" a14:legacySpreadsheetColorIndex="22"/>
              </a:solidFill>
              <a:miter lim="800000"/>
              <a:headEnd/>
              <a:tailEnd/>
            </a:ln>
          </xdr:spPr>
          <xdr:txBody>
            <a:bodyPr vertOverflow="clip" wrap="square" lIns="27432" tIns="22860" rIns="0" bIns="22860" anchor="ctr" upright="1"/>
            <a:lstStyle/>
            <a:p>
              <a:pPr algn="l" rtl="0">
                <a:defRPr sz="1000"/>
              </a:pPr>
              <a:r>
                <a:rPr lang="de-DE" sz="1100" b="0" i="0" u="none" strike="noStrike" baseline="0">
                  <a:solidFill>
                    <a:srgbClr val="000000"/>
                  </a:solidFill>
                  <a:latin typeface="Arial"/>
                  <a:cs typeface="Arial"/>
                </a:rPr>
                <a:t>automatischen Sozialabgabenabzug hier deaktivieren!</a:t>
              </a:r>
            </a:p>
          </xdr:txBody>
        </xdr:sp>
        <xdr:clientData fPrintsWithSheet="0"/>
      </xdr:twoCellAnchor>
    </mc:Choice>
    <mc:Fallback/>
  </mc:AlternateContent>
  <xdr:twoCellAnchor>
    <xdr:from>
      <xdr:col>8</xdr:col>
      <xdr:colOff>835271</xdr:colOff>
      <xdr:row>1</xdr:row>
      <xdr:rowOff>16563</xdr:rowOff>
    </xdr:from>
    <xdr:to>
      <xdr:col>8</xdr:col>
      <xdr:colOff>1150328</xdr:colOff>
      <xdr:row>1</xdr:row>
      <xdr:rowOff>351692</xdr:rowOff>
    </xdr:to>
    <xdr:sp macro="" textlink="">
      <xdr:nvSpPr>
        <xdr:cNvPr id="6" name="Pfeil: gestreift nach rechts 5">
          <a:hlinkClick xmlns:r="http://schemas.openxmlformats.org/officeDocument/2006/relationships" r:id="rId1"/>
          <a:extLst>
            <a:ext uri="{FF2B5EF4-FFF2-40B4-BE49-F238E27FC236}">
              <a16:creationId xmlns:a16="http://schemas.microsoft.com/office/drawing/2014/main" id="{00000000-0008-0000-1900-000006000000}"/>
            </a:ext>
          </a:extLst>
        </xdr:cNvPr>
        <xdr:cNvSpPr/>
      </xdr:nvSpPr>
      <xdr:spPr>
        <a:xfrm rot="16200000">
          <a:off x="7675908" y="173137"/>
          <a:ext cx="335129" cy="315057"/>
        </a:xfrm>
        <a:prstGeom prst="stripedRightArrow">
          <a:avLst/>
        </a:prstGeom>
        <a:solidFill>
          <a:srgbClr val="BEE395"/>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4</xdr:col>
          <xdr:colOff>790575</xdr:colOff>
          <xdr:row>31</xdr:row>
          <xdr:rowOff>19050</xdr:rowOff>
        </xdr:from>
        <xdr:to>
          <xdr:col>5</xdr:col>
          <xdr:colOff>171450</xdr:colOff>
          <xdr:row>31</xdr:row>
          <xdr:rowOff>219075</xdr:rowOff>
        </xdr:to>
        <xdr:sp macro="" textlink="">
          <xdr:nvSpPr>
            <xdr:cNvPr id="1886215" name="Drop Down 7" hidden="1">
              <a:extLst>
                <a:ext uri="{63B3BB69-23CF-44E3-9099-C40C66FF867C}">
                  <a14:compatExt spid="_x0000_s1886215"/>
                </a:ext>
                <a:ext uri="{FF2B5EF4-FFF2-40B4-BE49-F238E27FC236}">
                  <a16:creationId xmlns:a16="http://schemas.microsoft.com/office/drawing/2014/main" id="{00000000-0008-0000-1900-000007C81C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xdr:row>
          <xdr:rowOff>0</xdr:rowOff>
        </xdr:from>
        <xdr:to>
          <xdr:col>2</xdr:col>
          <xdr:colOff>333375</xdr:colOff>
          <xdr:row>19</xdr:row>
          <xdr:rowOff>0</xdr:rowOff>
        </xdr:to>
        <xdr:sp macro="" textlink="">
          <xdr:nvSpPr>
            <xdr:cNvPr id="1886219" name="Option Button 11" hidden="1">
              <a:extLst>
                <a:ext uri="{63B3BB69-23CF-44E3-9099-C40C66FF867C}">
                  <a14:compatExt spid="_x0000_s1886219"/>
                </a:ext>
                <a:ext uri="{FF2B5EF4-FFF2-40B4-BE49-F238E27FC236}">
                  <a16:creationId xmlns:a16="http://schemas.microsoft.com/office/drawing/2014/main" id="{00000000-0008-0000-1900-00000BC81C00}"/>
                </a:ext>
              </a:extLst>
            </xdr:cNvPr>
            <xdr:cNvSpPr/>
          </xdr:nvSpPr>
          <xdr:spPr bwMode="auto">
            <a:xfrm>
              <a:off x="0" y="0"/>
              <a:ext cx="0" cy="0"/>
            </a:xfrm>
            <a:prstGeom prst="rect">
              <a:avLst/>
            </a:prstGeom>
            <a:noFill/>
            <a:ln>
              <a:noFill/>
            </a:ln>
            <a:extLst>
              <a:ext uri="{909E8E84-426E-40DD-AFC4-6F175D3DCCD1}">
                <a14:hiddenFill>
                  <a:solidFill>
                    <a:srgbClr val="FF0000" mc:Ignorable="a14" a14:legacySpreadsheetColorIndex="10"/>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15</xdr:row>
          <xdr:rowOff>19050</xdr:rowOff>
        </xdr:from>
        <xdr:to>
          <xdr:col>2</xdr:col>
          <xdr:colOff>323850</xdr:colOff>
          <xdr:row>16</xdr:row>
          <xdr:rowOff>19050</xdr:rowOff>
        </xdr:to>
        <xdr:sp macro="" textlink="">
          <xdr:nvSpPr>
            <xdr:cNvPr id="1886220" name="Option Button 12" hidden="1">
              <a:extLst>
                <a:ext uri="{63B3BB69-23CF-44E3-9099-C40C66FF867C}">
                  <a14:compatExt spid="_x0000_s1886220"/>
                </a:ext>
                <a:ext uri="{FF2B5EF4-FFF2-40B4-BE49-F238E27FC236}">
                  <a16:creationId xmlns:a16="http://schemas.microsoft.com/office/drawing/2014/main" id="{00000000-0008-0000-1900-00000CC81C00}"/>
                </a:ext>
              </a:extLst>
            </xdr:cNvPr>
            <xdr:cNvSpPr/>
          </xdr:nvSpPr>
          <xdr:spPr bwMode="auto">
            <a:xfrm>
              <a:off x="0" y="0"/>
              <a:ext cx="0" cy="0"/>
            </a:xfrm>
            <a:prstGeom prst="rect">
              <a:avLst/>
            </a:prstGeom>
            <a:noFill/>
            <a:ln>
              <a:noFill/>
            </a:ln>
            <a:extLst>
              <a:ext uri="{909E8E84-426E-40DD-AFC4-6F175D3DCCD1}">
                <a14:hiddenFill>
                  <a:solidFill>
                    <a:srgbClr val="FF0000" mc:Ignorable="a14" a14:legacySpreadsheetColorIndex="10"/>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16</xdr:row>
          <xdr:rowOff>19050</xdr:rowOff>
        </xdr:from>
        <xdr:to>
          <xdr:col>2</xdr:col>
          <xdr:colOff>323850</xdr:colOff>
          <xdr:row>17</xdr:row>
          <xdr:rowOff>0</xdr:rowOff>
        </xdr:to>
        <xdr:sp macro="" textlink="">
          <xdr:nvSpPr>
            <xdr:cNvPr id="1886221" name="Option Button 13" hidden="1">
              <a:extLst>
                <a:ext uri="{63B3BB69-23CF-44E3-9099-C40C66FF867C}">
                  <a14:compatExt spid="_x0000_s1886221"/>
                </a:ext>
                <a:ext uri="{FF2B5EF4-FFF2-40B4-BE49-F238E27FC236}">
                  <a16:creationId xmlns:a16="http://schemas.microsoft.com/office/drawing/2014/main" id="{00000000-0008-0000-1900-00000DC8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16</xdr:row>
          <xdr:rowOff>219075</xdr:rowOff>
        </xdr:from>
        <xdr:to>
          <xdr:col>2</xdr:col>
          <xdr:colOff>314325</xdr:colOff>
          <xdr:row>17</xdr:row>
          <xdr:rowOff>219075</xdr:rowOff>
        </xdr:to>
        <xdr:sp macro="" textlink="">
          <xdr:nvSpPr>
            <xdr:cNvPr id="1886222" name="Option Button 14" hidden="1">
              <a:extLst>
                <a:ext uri="{63B3BB69-23CF-44E3-9099-C40C66FF867C}">
                  <a14:compatExt spid="_x0000_s1886222"/>
                </a:ext>
                <a:ext uri="{FF2B5EF4-FFF2-40B4-BE49-F238E27FC236}">
                  <a16:creationId xmlns:a16="http://schemas.microsoft.com/office/drawing/2014/main" id="{00000000-0008-0000-1900-00000EC8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396450</xdr:colOff>
      <xdr:row>10</xdr:row>
      <xdr:rowOff>160005</xdr:rowOff>
    </xdr:from>
    <xdr:to>
      <xdr:col>2</xdr:col>
      <xdr:colOff>1121815</xdr:colOff>
      <xdr:row>11</xdr:row>
      <xdr:rowOff>84922</xdr:rowOff>
    </xdr:to>
    <xdr:sp macro="" textlink="">
      <xdr:nvSpPr>
        <xdr:cNvPr id="4" name="Rechteck 3">
          <a:hlinkClick xmlns:r="http://schemas.openxmlformats.org/officeDocument/2006/relationships" r:id="rId2"/>
          <a:extLst>
            <a:ext uri="{FF2B5EF4-FFF2-40B4-BE49-F238E27FC236}">
              <a16:creationId xmlns:a16="http://schemas.microsoft.com/office/drawing/2014/main" id="{00000000-0008-0000-1900-000004000000}"/>
            </a:ext>
          </a:extLst>
        </xdr:cNvPr>
        <xdr:cNvSpPr/>
      </xdr:nvSpPr>
      <xdr:spPr>
        <a:xfrm>
          <a:off x="700059" y="2600786"/>
          <a:ext cx="725365" cy="1511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8</xdr:col>
      <xdr:colOff>254907</xdr:colOff>
      <xdr:row>10</xdr:row>
      <xdr:rowOff>148910</xdr:rowOff>
    </xdr:from>
    <xdr:to>
      <xdr:col>8</xdr:col>
      <xdr:colOff>841061</xdr:colOff>
      <xdr:row>11</xdr:row>
      <xdr:rowOff>110462</xdr:rowOff>
    </xdr:to>
    <xdr:sp macro="" textlink="">
      <xdr:nvSpPr>
        <xdr:cNvPr id="5" name="Rechteck 4">
          <a:hlinkClick xmlns:r="http://schemas.openxmlformats.org/officeDocument/2006/relationships" r:id="rId3"/>
          <a:extLst>
            <a:ext uri="{FF2B5EF4-FFF2-40B4-BE49-F238E27FC236}">
              <a16:creationId xmlns:a16="http://schemas.microsoft.com/office/drawing/2014/main" id="{00000000-0008-0000-1900-000005000000}"/>
            </a:ext>
          </a:extLst>
        </xdr:cNvPr>
        <xdr:cNvSpPr/>
      </xdr:nvSpPr>
      <xdr:spPr>
        <a:xfrm>
          <a:off x="12679136" y="1411653"/>
          <a:ext cx="586154" cy="153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8</xdr:col>
      <xdr:colOff>41867</xdr:colOff>
      <xdr:row>9</xdr:row>
      <xdr:rowOff>187778</xdr:rowOff>
    </xdr:from>
    <xdr:to>
      <xdr:col>8</xdr:col>
      <xdr:colOff>629348</xdr:colOff>
      <xdr:row>10</xdr:row>
      <xdr:rowOff>151144</xdr:rowOff>
    </xdr:to>
    <xdr:sp macro="" textlink="">
      <xdr:nvSpPr>
        <xdr:cNvPr id="15" name="Rechteck 14">
          <a:hlinkClick xmlns:r="http://schemas.openxmlformats.org/officeDocument/2006/relationships" r:id="rId4"/>
          <a:extLst>
            <a:ext uri="{FF2B5EF4-FFF2-40B4-BE49-F238E27FC236}">
              <a16:creationId xmlns:a16="http://schemas.microsoft.com/office/drawing/2014/main" id="{00000000-0008-0000-1900-00000F000000}"/>
            </a:ext>
          </a:extLst>
        </xdr:cNvPr>
        <xdr:cNvSpPr/>
      </xdr:nvSpPr>
      <xdr:spPr>
        <a:xfrm>
          <a:off x="12466096" y="1258207"/>
          <a:ext cx="587481" cy="15568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2</xdr:col>
      <xdr:colOff>2451652</xdr:colOff>
      <xdr:row>21</xdr:row>
      <xdr:rowOff>24847</xdr:rowOff>
    </xdr:from>
    <xdr:to>
      <xdr:col>2</xdr:col>
      <xdr:colOff>3329609</xdr:colOff>
      <xdr:row>21</xdr:row>
      <xdr:rowOff>182216</xdr:rowOff>
    </xdr:to>
    <xdr:sp macro="" textlink="">
      <xdr:nvSpPr>
        <xdr:cNvPr id="18" name="Rechteck 17">
          <a:hlinkClick xmlns:r="http://schemas.openxmlformats.org/officeDocument/2006/relationships" r:id="rId5"/>
          <a:extLst>
            <a:ext uri="{FF2B5EF4-FFF2-40B4-BE49-F238E27FC236}">
              <a16:creationId xmlns:a16="http://schemas.microsoft.com/office/drawing/2014/main" id="{00000000-0008-0000-1900-000012000000}"/>
            </a:ext>
          </a:extLst>
        </xdr:cNvPr>
        <xdr:cNvSpPr/>
      </xdr:nvSpPr>
      <xdr:spPr>
        <a:xfrm>
          <a:off x="2658717" y="2998304"/>
          <a:ext cx="877957" cy="15736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2</xdr:col>
      <xdr:colOff>2724978</xdr:colOff>
      <xdr:row>24</xdr:row>
      <xdr:rowOff>33131</xdr:rowOff>
    </xdr:from>
    <xdr:to>
      <xdr:col>2</xdr:col>
      <xdr:colOff>4248978</xdr:colOff>
      <xdr:row>24</xdr:row>
      <xdr:rowOff>173935</xdr:rowOff>
    </xdr:to>
    <xdr:sp macro="" textlink="">
      <xdr:nvSpPr>
        <xdr:cNvPr id="19" name="Rechteck 18">
          <a:hlinkClick xmlns:r="http://schemas.openxmlformats.org/officeDocument/2006/relationships" r:id="rId6"/>
          <a:extLst>
            <a:ext uri="{FF2B5EF4-FFF2-40B4-BE49-F238E27FC236}">
              <a16:creationId xmlns:a16="http://schemas.microsoft.com/office/drawing/2014/main" id="{00000000-0008-0000-1900-000013000000}"/>
            </a:ext>
          </a:extLst>
        </xdr:cNvPr>
        <xdr:cNvSpPr/>
      </xdr:nvSpPr>
      <xdr:spPr>
        <a:xfrm>
          <a:off x="2932043" y="3578088"/>
          <a:ext cx="1524000" cy="14080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2</xdr:col>
      <xdr:colOff>3735456</xdr:colOff>
      <xdr:row>34</xdr:row>
      <xdr:rowOff>24848</xdr:rowOff>
    </xdr:from>
    <xdr:to>
      <xdr:col>2</xdr:col>
      <xdr:colOff>5168348</xdr:colOff>
      <xdr:row>35</xdr:row>
      <xdr:rowOff>0</xdr:rowOff>
    </xdr:to>
    <xdr:sp macro="" textlink="">
      <xdr:nvSpPr>
        <xdr:cNvPr id="21" name="Rechteck 20">
          <a:hlinkClick xmlns:r="http://schemas.openxmlformats.org/officeDocument/2006/relationships" r:id="rId4"/>
          <a:extLst>
            <a:ext uri="{FF2B5EF4-FFF2-40B4-BE49-F238E27FC236}">
              <a16:creationId xmlns:a16="http://schemas.microsoft.com/office/drawing/2014/main" id="{00000000-0008-0000-1900-000015000000}"/>
            </a:ext>
          </a:extLst>
        </xdr:cNvPr>
        <xdr:cNvSpPr/>
      </xdr:nvSpPr>
      <xdr:spPr>
        <a:xfrm>
          <a:off x="3942521" y="2236305"/>
          <a:ext cx="1432892" cy="16565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editAs="oneCell">
    <xdr:from>
      <xdr:col>4</xdr:col>
      <xdr:colOff>291316</xdr:colOff>
      <xdr:row>1</xdr:row>
      <xdr:rowOff>23989</xdr:rowOff>
    </xdr:from>
    <xdr:to>
      <xdr:col>4</xdr:col>
      <xdr:colOff>649297</xdr:colOff>
      <xdr:row>1</xdr:row>
      <xdr:rowOff>371475</xdr:rowOff>
    </xdr:to>
    <xdr:pic>
      <xdr:nvPicPr>
        <xdr:cNvPr id="23" name="Grafik 22">
          <a:hlinkClick xmlns:r="http://schemas.openxmlformats.org/officeDocument/2006/relationships" r:id="rId7"/>
          <a:extLst>
            <a:ext uri="{FF2B5EF4-FFF2-40B4-BE49-F238E27FC236}">
              <a16:creationId xmlns:a16="http://schemas.microsoft.com/office/drawing/2014/main" id="{00000000-0008-0000-1900-000017000000}"/>
            </a:ext>
          </a:extLst>
        </xdr:cNvPr>
        <xdr:cNvPicPr>
          <a:picLocks noChangeAspect="1"/>
        </xdr:cNvPicPr>
      </xdr:nvPicPr>
      <xdr:blipFill>
        <a:blip xmlns:r="http://schemas.openxmlformats.org/officeDocument/2006/relationships" r:embed="rId8"/>
        <a:stretch>
          <a:fillRect/>
        </a:stretch>
      </xdr:blipFill>
      <xdr:spPr>
        <a:xfrm>
          <a:off x="3101191" y="166864"/>
          <a:ext cx="357981" cy="34748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28575</xdr:colOff>
          <xdr:row>15</xdr:row>
          <xdr:rowOff>19050</xdr:rowOff>
        </xdr:from>
        <xdr:to>
          <xdr:col>5</xdr:col>
          <xdr:colOff>285750</xdr:colOff>
          <xdr:row>16</xdr:row>
          <xdr:rowOff>0</xdr:rowOff>
        </xdr:to>
        <xdr:sp macro="" textlink="">
          <xdr:nvSpPr>
            <xdr:cNvPr id="1886375" name="Check Box 167" hidden="1">
              <a:extLst>
                <a:ext uri="{63B3BB69-23CF-44E3-9099-C40C66FF867C}">
                  <a14:compatExt spid="_x0000_s1886375"/>
                </a:ext>
                <a:ext uri="{FF2B5EF4-FFF2-40B4-BE49-F238E27FC236}">
                  <a16:creationId xmlns:a16="http://schemas.microsoft.com/office/drawing/2014/main" id="{00000000-0008-0000-1900-0000A7C8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16</xdr:row>
          <xdr:rowOff>19050</xdr:rowOff>
        </xdr:from>
        <xdr:to>
          <xdr:col>5</xdr:col>
          <xdr:colOff>285750</xdr:colOff>
          <xdr:row>17</xdr:row>
          <xdr:rowOff>0</xdr:rowOff>
        </xdr:to>
        <xdr:sp macro="" textlink="">
          <xdr:nvSpPr>
            <xdr:cNvPr id="1886376" name="Check Box 168" hidden="1">
              <a:extLst>
                <a:ext uri="{63B3BB69-23CF-44E3-9099-C40C66FF867C}">
                  <a14:compatExt spid="_x0000_s1886376"/>
                </a:ext>
                <a:ext uri="{FF2B5EF4-FFF2-40B4-BE49-F238E27FC236}">
                  <a16:creationId xmlns:a16="http://schemas.microsoft.com/office/drawing/2014/main" id="{00000000-0008-0000-1900-0000A8C8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17</xdr:row>
          <xdr:rowOff>19050</xdr:rowOff>
        </xdr:from>
        <xdr:to>
          <xdr:col>5</xdr:col>
          <xdr:colOff>285750</xdr:colOff>
          <xdr:row>18</xdr:row>
          <xdr:rowOff>0</xdr:rowOff>
        </xdr:to>
        <xdr:sp macro="" textlink="">
          <xdr:nvSpPr>
            <xdr:cNvPr id="1886377" name="Check Box 169" hidden="1">
              <a:extLst>
                <a:ext uri="{63B3BB69-23CF-44E3-9099-C40C66FF867C}">
                  <a14:compatExt spid="_x0000_s1886377"/>
                </a:ext>
                <a:ext uri="{FF2B5EF4-FFF2-40B4-BE49-F238E27FC236}">
                  <a16:creationId xmlns:a16="http://schemas.microsoft.com/office/drawing/2014/main" id="{00000000-0008-0000-1900-0000A9C8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18</xdr:row>
          <xdr:rowOff>19050</xdr:rowOff>
        </xdr:from>
        <xdr:to>
          <xdr:col>5</xdr:col>
          <xdr:colOff>285750</xdr:colOff>
          <xdr:row>19</xdr:row>
          <xdr:rowOff>0</xdr:rowOff>
        </xdr:to>
        <xdr:sp macro="" textlink="">
          <xdr:nvSpPr>
            <xdr:cNvPr id="1886378" name="Check Box 170" hidden="1">
              <a:extLst>
                <a:ext uri="{63B3BB69-23CF-44E3-9099-C40C66FF867C}">
                  <a14:compatExt spid="_x0000_s1886378"/>
                </a:ext>
                <a:ext uri="{FF2B5EF4-FFF2-40B4-BE49-F238E27FC236}">
                  <a16:creationId xmlns:a16="http://schemas.microsoft.com/office/drawing/2014/main" id="{00000000-0008-0000-1900-0000AAC8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27</xdr:row>
          <xdr:rowOff>9525</xdr:rowOff>
        </xdr:from>
        <xdr:to>
          <xdr:col>3</xdr:col>
          <xdr:colOff>38100</xdr:colOff>
          <xdr:row>27</xdr:row>
          <xdr:rowOff>200025</xdr:rowOff>
        </xdr:to>
        <xdr:sp macro="" textlink="">
          <xdr:nvSpPr>
            <xdr:cNvPr id="1886379" name="Check Box 171" hidden="1">
              <a:extLst>
                <a:ext uri="{63B3BB69-23CF-44E3-9099-C40C66FF867C}">
                  <a14:compatExt spid="_x0000_s1886379"/>
                </a:ext>
                <a:ext uri="{FF2B5EF4-FFF2-40B4-BE49-F238E27FC236}">
                  <a16:creationId xmlns:a16="http://schemas.microsoft.com/office/drawing/2014/main" id="{00000000-0008-0000-1900-0000ABC81C00}"/>
                </a:ext>
              </a:extLst>
            </xdr:cNvPr>
            <xdr:cNvSpPr/>
          </xdr:nvSpPr>
          <xdr:spPr bwMode="auto">
            <a:xfrm>
              <a:off x="0" y="0"/>
              <a:ext cx="0" cy="0"/>
            </a:xfrm>
            <a:prstGeom prst="rect">
              <a:avLst/>
            </a:prstGeom>
            <a:solidFill>
              <a:srgbClr val="EAEAEA"/>
            </a:solidFill>
            <a:ln w="9525">
              <a:solidFill>
                <a:srgbClr val="C0C0C0" mc:Ignorable="a14" a14:legacySpreadsheetColorIndex="22"/>
              </a:solidFill>
              <a:miter lim="800000"/>
              <a:headEnd/>
              <a:tailEnd/>
            </a:ln>
          </xdr:spPr>
          <xdr:txBody>
            <a:bodyPr vertOverflow="clip" wrap="square" lIns="27432" tIns="22860" rIns="0" bIns="22860" anchor="ctr" upright="1"/>
            <a:lstStyle/>
            <a:p>
              <a:pPr algn="l" rtl="0">
                <a:defRPr sz="1000"/>
              </a:pPr>
              <a:r>
                <a:rPr lang="de-DE" sz="1100" b="0" i="0" u="none" strike="noStrike" baseline="0">
                  <a:solidFill>
                    <a:srgbClr val="000000"/>
                  </a:solidFill>
                  <a:latin typeface="Arial"/>
                  <a:cs typeface="Arial"/>
                </a:rPr>
                <a:t>Privat Versicherte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8</xdr:row>
          <xdr:rowOff>19050</xdr:rowOff>
        </xdr:from>
        <xdr:to>
          <xdr:col>2</xdr:col>
          <xdr:colOff>247650</xdr:colOff>
          <xdr:row>9</xdr:row>
          <xdr:rowOff>0</xdr:rowOff>
        </xdr:to>
        <xdr:sp macro="" textlink="">
          <xdr:nvSpPr>
            <xdr:cNvPr id="1886389" name="Check Box 181" hidden="1">
              <a:extLst>
                <a:ext uri="{63B3BB69-23CF-44E3-9099-C40C66FF867C}">
                  <a14:compatExt spid="_x0000_s1886389"/>
                </a:ext>
                <a:ext uri="{FF2B5EF4-FFF2-40B4-BE49-F238E27FC236}">
                  <a16:creationId xmlns:a16="http://schemas.microsoft.com/office/drawing/2014/main" id="{00000000-0008-0000-1900-0000B5C81C00}"/>
                </a:ext>
              </a:extLst>
            </xdr:cNvPr>
            <xdr:cNvSpPr/>
          </xdr:nvSpPr>
          <xdr:spPr bwMode="auto">
            <a:xfrm>
              <a:off x="0" y="0"/>
              <a:ext cx="0" cy="0"/>
            </a:xfrm>
            <a:prstGeom prst="rect">
              <a:avLst/>
            </a:prstGeom>
            <a:noFill/>
            <a:ln>
              <a:noFill/>
            </a:ln>
            <a:extLst>
              <a:ext uri="{909E8E84-426E-40DD-AFC4-6F175D3DCCD1}">
                <a14:hiddenFill>
                  <a:solidFill>
                    <a:srgbClr val="FF0000" mc:Ignorable="a14" a14:legacySpreadsheetColorIndex="10"/>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660797</xdr:colOff>
      <xdr:row>7</xdr:row>
      <xdr:rowOff>17859</xdr:rowOff>
    </xdr:from>
    <xdr:to>
      <xdr:col>7</xdr:col>
      <xdr:colOff>946546</xdr:colOff>
      <xdr:row>7</xdr:row>
      <xdr:rowOff>208359</xdr:rowOff>
    </xdr:to>
    <xdr:sp macro="" textlink="">
      <xdr:nvSpPr>
        <xdr:cNvPr id="2" name="Rechteck 1">
          <a:hlinkClick xmlns:r="http://schemas.openxmlformats.org/officeDocument/2006/relationships" r:id="rId9"/>
          <a:extLst>
            <a:ext uri="{FF2B5EF4-FFF2-40B4-BE49-F238E27FC236}">
              <a16:creationId xmlns:a16="http://schemas.microsoft.com/office/drawing/2014/main" id="{00000000-0008-0000-1900-000002000000}"/>
            </a:ext>
          </a:extLst>
        </xdr:cNvPr>
        <xdr:cNvSpPr/>
      </xdr:nvSpPr>
      <xdr:spPr>
        <a:xfrm>
          <a:off x="2411016" y="1779984"/>
          <a:ext cx="4423171" cy="19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3</xdr:col>
      <xdr:colOff>664369</xdr:colOff>
      <xdr:row>8</xdr:row>
      <xdr:rowOff>9524</xdr:rowOff>
    </xdr:from>
    <xdr:to>
      <xdr:col>7</xdr:col>
      <xdr:colOff>950118</xdr:colOff>
      <xdr:row>8</xdr:row>
      <xdr:rowOff>200024</xdr:rowOff>
    </xdr:to>
    <xdr:sp macro="" textlink="">
      <xdr:nvSpPr>
        <xdr:cNvPr id="26" name="Rechteck 25">
          <a:hlinkClick xmlns:r="http://schemas.openxmlformats.org/officeDocument/2006/relationships" r:id="rId2"/>
          <a:extLst>
            <a:ext uri="{FF2B5EF4-FFF2-40B4-BE49-F238E27FC236}">
              <a16:creationId xmlns:a16="http://schemas.microsoft.com/office/drawing/2014/main" id="{00000000-0008-0000-1900-00001A000000}"/>
            </a:ext>
          </a:extLst>
        </xdr:cNvPr>
        <xdr:cNvSpPr/>
      </xdr:nvSpPr>
      <xdr:spPr>
        <a:xfrm>
          <a:off x="2414588" y="1997868"/>
          <a:ext cx="4423171" cy="19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7</xdr:col>
      <xdr:colOff>267890</xdr:colOff>
      <xdr:row>10</xdr:row>
      <xdr:rowOff>35719</xdr:rowOff>
    </xdr:from>
    <xdr:to>
      <xdr:col>7</xdr:col>
      <xdr:colOff>708421</xdr:colOff>
      <xdr:row>10</xdr:row>
      <xdr:rowOff>154781</xdr:rowOff>
    </xdr:to>
    <xdr:sp macro="" textlink="">
      <xdr:nvSpPr>
        <xdr:cNvPr id="8" name="Rechteck 7">
          <a:hlinkClick xmlns:r="http://schemas.openxmlformats.org/officeDocument/2006/relationships" r:id="rId4"/>
          <a:extLst>
            <a:ext uri="{FF2B5EF4-FFF2-40B4-BE49-F238E27FC236}">
              <a16:creationId xmlns:a16="http://schemas.microsoft.com/office/drawing/2014/main" id="{00000000-0008-0000-1900-000008000000}"/>
            </a:ext>
          </a:extLst>
        </xdr:cNvPr>
        <xdr:cNvSpPr/>
      </xdr:nvSpPr>
      <xdr:spPr>
        <a:xfrm>
          <a:off x="6155531" y="2476500"/>
          <a:ext cx="440531" cy="11906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6</xdr:col>
      <xdr:colOff>229790</xdr:colOff>
      <xdr:row>10</xdr:row>
      <xdr:rowOff>188119</xdr:rowOff>
    </xdr:from>
    <xdr:to>
      <xdr:col>6</xdr:col>
      <xdr:colOff>803671</xdr:colOff>
      <xdr:row>11</xdr:row>
      <xdr:rowOff>71437</xdr:rowOff>
    </xdr:to>
    <xdr:sp macro="" textlink="">
      <xdr:nvSpPr>
        <xdr:cNvPr id="29" name="Rechteck 28">
          <a:hlinkClick xmlns:r="http://schemas.openxmlformats.org/officeDocument/2006/relationships" r:id="rId3"/>
          <a:extLst>
            <a:ext uri="{FF2B5EF4-FFF2-40B4-BE49-F238E27FC236}">
              <a16:creationId xmlns:a16="http://schemas.microsoft.com/office/drawing/2014/main" id="{00000000-0008-0000-1900-00001D000000}"/>
            </a:ext>
          </a:extLst>
        </xdr:cNvPr>
        <xdr:cNvSpPr/>
      </xdr:nvSpPr>
      <xdr:spPr>
        <a:xfrm>
          <a:off x="5069681" y="2628900"/>
          <a:ext cx="573881" cy="10953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4</xdr:col>
      <xdr:colOff>696516</xdr:colOff>
      <xdr:row>34</xdr:row>
      <xdr:rowOff>59531</xdr:rowOff>
    </xdr:from>
    <xdr:to>
      <xdr:col>5</xdr:col>
      <xdr:colOff>940593</xdr:colOff>
      <xdr:row>34</xdr:row>
      <xdr:rowOff>208359</xdr:rowOff>
    </xdr:to>
    <xdr:sp macro="" textlink="">
      <xdr:nvSpPr>
        <xdr:cNvPr id="30" name="Rechteck 29">
          <a:hlinkClick xmlns:r="http://schemas.openxmlformats.org/officeDocument/2006/relationships" r:id="rId4"/>
          <a:extLst>
            <a:ext uri="{FF2B5EF4-FFF2-40B4-BE49-F238E27FC236}">
              <a16:creationId xmlns:a16="http://schemas.microsoft.com/office/drawing/2014/main" id="{00000000-0008-0000-1900-00001E000000}"/>
            </a:ext>
          </a:extLst>
        </xdr:cNvPr>
        <xdr:cNvSpPr/>
      </xdr:nvSpPr>
      <xdr:spPr>
        <a:xfrm>
          <a:off x="3524250" y="6346031"/>
          <a:ext cx="1208484" cy="14882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Zu%20bearbeiten/Bomn&#252;ter,%20Anette,%203052-2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Hauss\Mandanten%20&amp;%20Akten\Excel\Versorgungsausgleich\W\Wessling-Benkhoff,%20Andrea,%203097-2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Users/Joern/Downloads/Kapitalwertkontrolle-01%2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Kapitalwertkontrolle%202024%20f&#252;r%20die%20Kaffeerunde%20VA%2017-01-202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B:\Templates\VA-Erfassung%20und%20Bewertung%20Vers-2-2.xlt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Plausibilit&#228;tspr&#252;fung\Kapitalwertkontrolle%204xBVerfG.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B:\Hauss\Mandanten%20&amp;%20Akten\Excel\Versorgungsausgleich\W\Wiers.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Seminare/2024/Siegen/Kapitalwertkontrolle%202024.xlt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nweise"/>
      <sheetName val="Lebenserwartung_M"/>
      <sheetName val="1. Lebenserwartung"/>
      <sheetName val="2. Barwertfaktor"/>
      <sheetName val="Lebenserwartung_F"/>
      <sheetName val="3. Vorversterbensrisiko"/>
      <sheetName val="Sterbetafel"/>
      <sheetName val="4. Invaliditätszuschlag"/>
      <sheetName val="5. Abzinsung"/>
      <sheetName val="Vorblatt"/>
      <sheetName val="Erfassungsbogen"/>
      <sheetName val="Berechnungsblatt"/>
      <sheetName val="Zeitdifferenz"/>
      <sheetName val="Parameter"/>
      <sheetName val="G_Kohorte_M"/>
      <sheetName val="G_Kohorte_F"/>
      <sheetName val="Versorgungen"/>
      <sheetName val="Grafik"/>
      <sheetName val="Heubeck"/>
      <sheetName val="HR_IR_Anteil_M"/>
      <sheetName val="HR_IR_Anteil_W"/>
      <sheetName val="Zuschlagsfaktoren"/>
      <sheetName val="BilmoG-Zins"/>
      <sheetName val="Engbroks"/>
      <sheetName val="Werkzeuge"/>
      <sheetName val="§ 51 III"/>
      <sheetName val="Abänderung"/>
      <sheetName val="KEZ-Abänderung"/>
      <sheetName val="Daten zur Abänderung"/>
      <sheetName val="PLZ"/>
      <sheetName val="Tabelle1"/>
      <sheetName val="Tabelle2"/>
      <sheetName val="VBL-Kürzung"/>
      <sheetName val="sVA"/>
      <sheetName val="Prognose"/>
      <sheetName val="Tabelle4"/>
      <sheetName val="Tabelle3"/>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nweise"/>
      <sheetName val="Lebenserwartung_M"/>
      <sheetName val="1. Lebenserwartung"/>
      <sheetName val="2. Barwertfaktor"/>
      <sheetName val="Lebenserwartung_F"/>
      <sheetName val="3. Vorversterbensrisiko"/>
      <sheetName val="Sterbetafel"/>
      <sheetName val="4. Invaliditätszuschlag"/>
      <sheetName val="5. Abzinsung"/>
      <sheetName val="Vorblatt"/>
      <sheetName val="Erfassungsbogen"/>
      <sheetName val="Berechnungsblatt"/>
      <sheetName val="Zeitdifferenz"/>
      <sheetName val="Parameter"/>
      <sheetName val="G_Kohorte_M"/>
      <sheetName val="G_Kohorte_F"/>
      <sheetName val="Versorgungen"/>
      <sheetName val="Grafik"/>
      <sheetName val="Heubeck"/>
      <sheetName val="HR_IR_Anteil_M"/>
      <sheetName val="HR_IR_Anteil_W"/>
      <sheetName val="Zuschlagsfaktoren"/>
      <sheetName val="BilmoG-Zins"/>
      <sheetName val="Engbroks"/>
      <sheetName val="Werkzeuge"/>
      <sheetName val="§ 51 III"/>
      <sheetName val="Abänderung"/>
      <sheetName val="KEZ-Abänderung"/>
      <sheetName val="Daten zur Abänderung"/>
      <sheetName val="PLZ"/>
      <sheetName val="Tabelle1"/>
      <sheetName val="Tabelle2"/>
      <sheetName val="VBL-Kürzung"/>
      <sheetName val="sVA"/>
      <sheetName val="Prognose"/>
      <sheetName val="Tabelle4"/>
      <sheetName val="Tabelle3"/>
    </sheetNames>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benserwartung_M"/>
      <sheetName val="Lebenserwartung_F"/>
      <sheetName val="Sterbetafel"/>
      <sheetName val="G_Kohorte_M"/>
      <sheetName val="G_Kohorte_F"/>
      <sheetName val="G_Kohorte_N"/>
      <sheetName val="Lebenserwartung_N"/>
      <sheetName val="Programmbeschreibung"/>
      <sheetName val="Eingabemaske"/>
      <sheetName val="Tabelle1"/>
      <sheetName val="Perioden"/>
      <sheetName val="Dokumentation"/>
      <sheetName val="Berechnungstext I"/>
      <sheetName val="Rentenerwartung"/>
      <sheetName val="HRIR-Zuschläge"/>
      <sheetName val="HIRI-Zuschläge66"/>
      <sheetName val="HIRI-Zuschläge67"/>
      <sheetName val="BilMoG-7"/>
      <sheetName val="Renteneintrittstabelle"/>
      <sheetName val="Fallrechnung"/>
      <sheetName val="RentenwerteDRV"/>
      <sheetName val="Berechnungstext"/>
      <sheetName val="BilMoG10"/>
      <sheetName val="Ehezeitanteil"/>
      <sheetName val="BVV ARLEPoG-V"/>
      <sheetName val="Parameter &amp; Berechnungen"/>
      <sheetName val="Tabelle2"/>
      <sheetName val="HRIR64"/>
      <sheetName val="HRIR63"/>
      <sheetName val="HRIR62"/>
      <sheetName val="HRIR61"/>
      <sheetName val="HRIR60"/>
    </sheetNames>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 Ziff.5"/>
      <sheetName val="VPI &amp; Zins"/>
      <sheetName val="BilMoG-7"/>
      <sheetName val="BilMoG10"/>
      <sheetName val="Lebenserwartung_M"/>
      <sheetName val="Lebenserwartung_F"/>
      <sheetName val="Lebenserwartung_N"/>
      <sheetName val="G_Kohorte_M"/>
      <sheetName val="G_Kohorte_F"/>
      <sheetName val="G_Kohorte_N"/>
      <sheetName val="Inhalt"/>
      <sheetName val="Fallerfassung"/>
      <sheetName val="Einzel-Bewertung"/>
      <sheetName val="Links"/>
      <sheetName val="Berechnungstext"/>
      <sheetName val="Ehezeitanteil"/>
      <sheetName val="BVerfG 1 BvL 5-18"/>
      <sheetName val="Sterbetafel_P"/>
      <sheetName val="Adressen DRV"/>
      <sheetName val="Hilfstabelle für Grafik"/>
      <sheetName val="Experten-Diagrammdaten"/>
      <sheetName val="Expertendiagramm"/>
      <sheetName val="Berechnungen BVerfG"/>
      <sheetName val="Gewinn &amp; Verlust"/>
      <sheetName val="TO-Prüfung"/>
      <sheetName val="sVA § 20"/>
      <sheetName val="§§ 23, 24"/>
      <sheetName val="Verzinsung"/>
      <sheetName val="§ 33"/>
      <sheetName val="Renteneintritt"/>
      <sheetName val="Grundrentenrechner"/>
      <sheetName val="BarwertVO"/>
      <sheetName val="Abänderungsgründe"/>
      <sheetName val="Abänderungsampel"/>
      <sheetName val="Parameter"/>
      <sheetName val="Dies &amp; Das"/>
      <sheetName val="Tabelle1"/>
      <sheetName val="Unbesetzt"/>
      <sheetName val="KV&amp;PV"/>
      <sheetName val="BarwertVglDFGT"/>
      <sheetName val="HIRI-Zuschläge66"/>
      <sheetName val="HRIR-Zuschläge"/>
      <sheetName val="HIRI-Zuschläge67"/>
      <sheetName val="HRIR64"/>
      <sheetName val="HRIR63"/>
      <sheetName val="HRIR62"/>
      <sheetName val="HRIR61"/>
      <sheetName val="HRIR60"/>
    </sheetNames>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nweise"/>
      <sheetName val="Lebenserwartung_M"/>
      <sheetName val="1. Lebenserwartung"/>
      <sheetName val="2. Barwertfaktor"/>
      <sheetName val="Lebenserwartung_F"/>
      <sheetName val="3. Vorversterbensrisiko"/>
      <sheetName val="Sterbetafel"/>
      <sheetName val="4. Invaliditätszuschlag"/>
      <sheetName val="5. Abzinsung"/>
      <sheetName val="Erfassungsbogen"/>
      <sheetName val="Berechnungsblatt"/>
      <sheetName val="Zeitdifferenz"/>
      <sheetName val="Parameter"/>
      <sheetName val="G_Kohorte_M"/>
      <sheetName val="G_Kohorte_F"/>
      <sheetName val="Versorgungen"/>
      <sheetName val="Tabelle1"/>
      <sheetName val="Tabelle2"/>
      <sheetName val="Vorblatt"/>
      <sheetName val="Grafik"/>
      <sheetName val="Heubeck"/>
      <sheetName val="HR_IR_Anteil_M"/>
      <sheetName val="HR_IR_Anteil_W"/>
      <sheetName val="Zuschlagsfaktoren"/>
      <sheetName val="BilmoG-Zins"/>
      <sheetName val="Engbroks"/>
      <sheetName val="Werkzeuge"/>
      <sheetName val="§ 51 III"/>
      <sheetName val="Abänderung"/>
      <sheetName val="KEZ-Abänderung"/>
      <sheetName val="Daten zur Abänderung"/>
      <sheetName val="PLZ"/>
      <sheetName val="sVA"/>
    </sheetNames>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benserwartung_M"/>
      <sheetName val="Lebenserwartung_F"/>
      <sheetName val="BilMoG-7"/>
      <sheetName val="BilMoG10"/>
      <sheetName val="Inhalt"/>
      <sheetName val="G_Kohorte_M"/>
      <sheetName val="G_Kohorte_F"/>
      <sheetName val="G_Kohorte_N"/>
      <sheetName val="Lebenserwartung_N"/>
      <sheetName val="Parameter"/>
      <sheetName val="Programmbeschreibung"/>
      <sheetName val="Rentenbewertung"/>
      <sheetName val="Einheitliche Bewertung"/>
      <sheetName val="Dynamik matters"/>
      <sheetName val="Tabelle BVerfG"/>
      <sheetName val="Berufsständische"/>
      <sheetName val="BerStdV-Versorgungsdynamik"/>
      <sheetName val="BerStd"/>
      <sheetName val="Fortbildung Dynamikuntersch."/>
      <sheetName val="Lebenserwartung_M_05"/>
      <sheetName val="G_Kohorte_M_05"/>
      <sheetName val="G_Kohorte_F_05"/>
      <sheetName val="G_Kohorte_N_05"/>
      <sheetName val="Lebenserwartung_F_05"/>
      <sheetName val="Lebenserwartung_N_05"/>
      <sheetName val="HRIR-Zuschläge66_05"/>
      <sheetName val="Kapita- und Rentenentwicklung"/>
      <sheetName val="BGH XII ZB 499-17"/>
      <sheetName val="Berechnungstext I"/>
      <sheetName val="Abänderungsprognose"/>
      <sheetName val="HIRI-Zuschläge66"/>
      <sheetName val="HIRI-Zuschläge67"/>
      <sheetName val="Renteneintritt"/>
      <sheetName val="Rententrend DRV"/>
      <sheetName val="RentenwerteDRV"/>
      <sheetName val="Abänderungsampel"/>
      <sheetName val="HRIR-Zuschläge_05"/>
      <sheetName val="HRIR-Zuschläge67_05"/>
      <sheetName val="HRIR-Zuschläge64_05"/>
      <sheetName val="HRIR-Zuschläge63_05"/>
      <sheetName val="HRIR-Zuschläge62_05"/>
      <sheetName val="HRIR-Zuschläge61_05"/>
      <sheetName val="HRIR-Zuschläge60_05"/>
      <sheetName val="Ehezeitanteil"/>
      <sheetName val="Zielversorgung"/>
      <sheetName val="BVV ARLEPoG-V"/>
      <sheetName val="BVVTabellen"/>
      <sheetName val="Dynamikvergleich 2 Versorgungen"/>
      <sheetName val="Dynamikausgleich"/>
      <sheetName val="Abänderung Berechnung"/>
      <sheetName val="Tabelle7"/>
      <sheetName val="Abänderung"/>
      <sheetName val="SterbetafelVVR"/>
      <sheetName val="Anlage 9a zu § 13 BewG"/>
      <sheetName val="Rentenbemessungsgrundlagen"/>
      <sheetName val="lebenslg. Nutzungsrecht BMF"/>
      <sheetName val="Wohnvorteil"/>
      <sheetName val="Tabelle3"/>
      <sheetName val="Tabelle2"/>
      <sheetName val="Verrentungstabelle"/>
      <sheetName val="VerbundeneLeben"/>
      <sheetName val="VPI"/>
      <sheetName val="Parameter &amp; Berechnungen"/>
      <sheetName val="Barwert befristeter Nutzung"/>
      <sheetName val="HRIR-Zuschläge"/>
      <sheetName val="HRIR64"/>
      <sheetName val="HRIR63"/>
      <sheetName val="HRIR62"/>
      <sheetName val="HRIR61"/>
      <sheetName val="HRIR60"/>
    </sheetNames>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nweise"/>
      <sheetName val="Lebenserwartung_M"/>
      <sheetName val="1. Lebenserwartung"/>
      <sheetName val="2. Barwertfaktor"/>
      <sheetName val="Lebenserwartung_F"/>
      <sheetName val="3. Vorversterbensrisiko"/>
      <sheetName val="Sterbetafel"/>
      <sheetName val="4. Invaliditätszuschlag"/>
      <sheetName val="5. Abzinsung"/>
      <sheetName val="Vorblatt"/>
      <sheetName val="Erfassungsbogen"/>
      <sheetName val="Berechnungsblatt"/>
      <sheetName val="Zeitdifferenz"/>
      <sheetName val="Parameter"/>
      <sheetName val="G_Kohorte_M"/>
      <sheetName val="G_Kohorte_F"/>
      <sheetName val="Versorgungen"/>
      <sheetName val="Grafik"/>
      <sheetName val="Heubeck"/>
      <sheetName val="HR_IR_Anteil_M"/>
      <sheetName val="HR_IR_Anteil_W"/>
      <sheetName val="Zuschlagsfaktoren"/>
      <sheetName val="BilmoG-Zins"/>
      <sheetName val="Engbroks"/>
      <sheetName val="Tabelle1"/>
    </sheetNames>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 Ziff.5"/>
      <sheetName val="VPI &amp; Zins"/>
      <sheetName val="BilMoG-7"/>
      <sheetName val="BilMoG10"/>
      <sheetName val="Lebenserwartung_M"/>
      <sheetName val="Lebenserwartung_F"/>
      <sheetName val="Lebenserwartung_N"/>
      <sheetName val="G_Kohorte_M"/>
      <sheetName val="G_Kohorte_F"/>
      <sheetName val="G_Kohorte_N"/>
      <sheetName val="Inhalt"/>
      <sheetName val="Fallerfassung"/>
      <sheetName val="Einzel-Bewertung"/>
      <sheetName val="Links"/>
      <sheetName val="Berechnungstext"/>
      <sheetName val="Ehezeitanteil"/>
      <sheetName val="Sterbetafel_P"/>
      <sheetName val="Adressen DRV"/>
      <sheetName val="Hilfstabelle für Grafik"/>
      <sheetName val="Experten-Diagrammdaten"/>
      <sheetName val="Expertendiagramm"/>
      <sheetName val="Berechnungen BVerfG"/>
      <sheetName val="BVerfG 1 BvL 5-18"/>
      <sheetName val="Gewinn &amp; Verlust"/>
      <sheetName val="TO-Prüfung"/>
      <sheetName val="sVA § 20"/>
      <sheetName val="§§ 23, 24"/>
      <sheetName val="§ 22"/>
      <sheetName val="Verzinsung"/>
      <sheetName val="§ 33"/>
      <sheetName val="Renteneintritt"/>
      <sheetName val="Grundrentenrechner"/>
      <sheetName val="BarwertVO"/>
      <sheetName val="Abänderungsgründe"/>
      <sheetName val="Abänderungsampel"/>
      <sheetName val="Parameter"/>
      <sheetName val="Dies &amp; Das"/>
      <sheetName val="Zeichen"/>
      <sheetName val="Tabelle1"/>
      <sheetName val="Muster Schreiben"/>
      <sheetName val="Unbesetzt"/>
      <sheetName val="Formulare &amp; Muster"/>
      <sheetName val="KV&amp;PV"/>
      <sheetName val="BarwertVglDFGT"/>
      <sheetName val="HIRI-Zuschläge66"/>
      <sheetName val="HRIR-Zuschläge"/>
      <sheetName val="HIRI-Zuschläge67"/>
      <sheetName val="HRIR64"/>
      <sheetName val="HRIR63"/>
      <sheetName val="HRIR62"/>
      <sheetName val="HRIR61"/>
      <sheetName val="HRIR60"/>
      <sheetName val="Kapitalwertkontrolle 2024"/>
    </sheetNames>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le2" displayName="Tabelle2" ref="B17:F94" totalsRowShown="0" headerRowDxfId="711" dataDxfId="709" headerRowBorderDxfId="710" tableBorderDxfId="708" totalsRowBorderDxfId="707">
  <tableColumns count="5">
    <tableColumn id="1" xr3:uid="{00000000-0010-0000-0000-000001000000}" name="Alter" dataDxfId="706">
      <calculatedColumnFormula>IFERROR(IF(B17+1&lt;Endalter,B17+1,""),"")</calculatedColumnFormula>
    </tableColumn>
    <tableColumn id="2" xr3:uid="{00000000-0010-0000-0000-000002000000}" name="Spalte2" dataDxfId="705">
      <calculatedColumnFormula>IFERROR(IF(QuellVersrg,IF($B18&lt;INT(H$5),0,IF($B18=INT(H$2),H$12,IF($B18&gt;INT(H$2),H$12*(1+H$9)^(IF($B18-H$5&lt;=0,0,$B18-IF(H$5&lt;H$2,H$2,H$5))),0))),0),0)</calculatedColumnFormula>
    </tableColumn>
    <tableColumn id="4" xr3:uid="{00000000-0010-0000-0000-000004000000}" name="Spalte4" dataDxfId="704">
      <calculatedColumnFormula>IF($B18&lt;I$5,0,IF($B18=INT(I$5),I$12,IF($B18&gt;INT(I$5),I$12*(1+I$9)^(IF($B18-I$5&lt;=0,0,1)),0)))</calculatedColumnFormula>
    </tableColumn>
    <tableColumn id="6" xr3:uid="{00000000-0010-0000-0000-000006000000}" name="Spalte6" dataDxfId="703">
      <calculatedColumnFormula>IF(#REF!=0,0,IF(AND(#REF!&gt;0,$B18&gt;0),J$12*(1+J$9)^(#REF!-1),0))</calculatedColumnFormula>
    </tableColumn>
    <tableColumn id="8" xr3:uid="{00000000-0010-0000-0000-000008000000}" name="Spalte8" dataDxfId="702">
      <calculatedColumnFormula>IF(#REF!=0,0,IF(AND(#REF!&gt;0,$B18&gt;0),J$12*(1+J$9)^(#REF!-1),0))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bodyPr vertOverflow="clip" horzOverflow="clip" rtlCol="0" anchor="t"/>
      <a:lstStyle>
        <a:defPPr algn="l">
          <a:defRPr sz="1100">
            <a:solidFill>
              <a:schemeClr val="tx1"/>
            </a:solidFill>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525" row="6">
    <wetp:webextensionref xmlns:r="http://schemas.openxmlformats.org/officeDocument/2006/relationships" r:id="rId1"/>
  </wetp:taskpane>
</wetp:taskpanes>
</file>

<file path=xl/webextensions/webextension1.xml><?xml version="1.0" encoding="utf-8"?>
<we:webextension xmlns:we="http://schemas.microsoft.com/office/webextensions/webextension/2010/11" id="{E8902938-05BD-4796-96EE-E25576EB228D}">
  <we:reference id="wa104380955" version="3.4.3.0" store="de-DE" storeType="OMEX"/>
  <we:alternateReferences>
    <we:reference id="WA104380955" version="3.4.3.0" store="" storeType="OMEX"/>
  </we:alternateReferences>
  <we:properties/>
  <we:bindings/>
  <we:snapshot xmlns:r="http://schemas.openxmlformats.org/officeDocument/2006/relationships"/>
</we:webextension>
</file>

<file path=xl/worksheets/_rels/sheet1.xml.rels><?xml version="1.0" encoding="UTF-8" standalone="yes"?>
<Relationships xmlns="http://schemas.openxmlformats.org/package/2006/relationships"><Relationship Id="rId13" Type="http://schemas.openxmlformats.org/officeDocument/2006/relationships/hyperlink" Target="https://d.docs.live.net/Hau&#223;/AppData/Roaming/Hau&#223;/AppData/Roaming/Microsoft/Versorgungsordnungen/Nestle/Nestl&#233;%20Pensionskasse%20Tarif%20Vorsorgekonto%20Teilungsordnung001.pdf" TargetMode="External"/><Relationship Id="rId18" Type="http://schemas.openxmlformats.org/officeDocument/2006/relationships/hyperlink" Target="https://docplayer.org/7085059-Stand-november-2013-swiss-life-ag-teilungsordnung-zum-versorgungsausgleich-inhaltsverzeichnis-praeambel-1-anwendungsbereich.html" TargetMode="External"/><Relationship Id="rId26" Type="http://schemas.openxmlformats.org/officeDocument/2006/relationships/hyperlink" Target="https://docplayer.org/23644555-Teilungsordnung-der-unilever-deutschland-gruppe-stand.html" TargetMode="External"/><Relationship Id="rId39" Type="http://schemas.openxmlformats.org/officeDocument/2006/relationships/hyperlink" Target="http://www.hpv-versorgungsausgleich.de/index.php?id=4779" TargetMode="External"/><Relationship Id="rId21" Type="http://schemas.openxmlformats.org/officeDocument/2006/relationships/hyperlink" Target="https://docplayer.org/898437-Taetigkeitsplan-fuer-die-teilung-von-lebensversicherungen-auf-grundlage-des-gesetzes-zur-strukturreform-des-versorgungsausgleichs-teilungsordnung.html" TargetMode="External"/><Relationship Id="rId34" Type="http://schemas.openxmlformats.org/officeDocument/2006/relationships/hyperlink" Target="https://www.vgh.de/export/sites/vgh/_resources/downloads/pdf/privat_versicherungen/vorsorgeundvermoegen/Teilungsordnung_PH_01.05.2016.pdf" TargetMode="External"/><Relationship Id="rId42" Type="http://schemas.openxmlformats.org/officeDocument/2006/relationships/hyperlink" Target="http://www.hpv-versorgungsausgleich.de/index.php?id=4779" TargetMode="External"/><Relationship Id="rId47" Type="http://schemas.openxmlformats.org/officeDocument/2006/relationships/hyperlink" Target="http://www.hpv-versorgungsausgleich.de/index.php?id=4779" TargetMode="External"/><Relationship Id="rId50" Type="http://schemas.openxmlformats.org/officeDocument/2006/relationships/hyperlink" Target="http://www.hpv-versorgungsausgleich.de/index.php?id=4779" TargetMode="External"/><Relationship Id="rId55" Type="http://schemas.openxmlformats.org/officeDocument/2006/relationships/hyperlink" Target="http://www.hpv-versorgungsausgleich.de/index.php?id=4779" TargetMode="External"/><Relationship Id="rId63" Type="http://schemas.openxmlformats.org/officeDocument/2006/relationships/hyperlink" Target="https://www.deutscher-pensionsfonds.com/-/media/project/zwp/deutscher-pensionsfonds/docs/dpag-teilungsordnung-pensionsfonds-3-63_2021_11.pdf" TargetMode="External"/><Relationship Id="rId68" Type="http://schemas.openxmlformats.org/officeDocument/2006/relationships/printerSettings" Target="../printerSettings/printerSettings1.bin"/><Relationship Id="rId7" Type="http://schemas.openxmlformats.org/officeDocument/2006/relationships/hyperlink" Target="https://www.pb-versicherung.de/documents/Teilungsordnung%20PB%20Lebensversicherung%20Ja-1.pdf" TargetMode="External"/><Relationship Id="rId2" Type="http://schemas.openxmlformats.org/officeDocument/2006/relationships/hyperlink" Target="https://www.union-investment.de/Magnolia/Shared/Broschueren/a2f040e1f7e49c74c587b3f78cdd0856.0.0/Teilungsordnung_Januar_2021.pdf" TargetMode="External"/><Relationship Id="rId16" Type="http://schemas.openxmlformats.org/officeDocument/2006/relationships/hyperlink" Target="https://druckstuecke.volkswohl-bund.de/api/products/411/documents/Teilungsordnung_Direktversicherung_und_private_Altersversorgung_.pdf" TargetMode="External"/><Relationship Id="rId29" Type="http://schemas.openxmlformats.org/officeDocument/2006/relationships/hyperlink" Target="https://docplayer.org/6838556-Richtlinie-zum-versorgungsausgleich-gemaess-58a-abs-1-vaps-richtl-versausgl-der-versorgungsanstalt-der-deutschen-bundespost.html" TargetMode="External"/><Relationship Id="rId1" Type="http://schemas.openxmlformats.org/officeDocument/2006/relationships/hyperlink" Target="https://hpv-versorgungsausgleich.de/fileadmin/nd_hpv-versorgungsausgleich/download/gd/avb_f.pdf" TargetMode="External"/><Relationship Id="rId6" Type="http://schemas.openxmlformats.org/officeDocument/2006/relationships/hyperlink" Target="https://www.provinzial.de/export/sites/pvn/_resources/download/privat_vorsorge/teilungsordnung/Teilungsordnung_Nord.pdf" TargetMode="External"/><Relationship Id="rId11" Type="http://schemas.openxmlformats.org/officeDocument/2006/relationships/hyperlink" Target="https://d.docs.live.net/Hau&#223;/AppData/Roaming/Hau%25C3%259F/Downloads/Satzung%202017.pdf" TargetMode="External"/><Relationship Id="rId24" Type="http://schemas.openxmlformats.org/officeDocument/2006/relationships/hyperlink" Target="https://docplayer.org/7825648-Ordnung-fuer-die-teilung-von-lebensversicherungen-aufgrund-des-gesetzes-ueber-den-versorgungsausgleich-teilungsordnung-in-der-fassung-vom-01-09.html" TargetMode="External"/><Relationship Id="rId32" Type="http://schemas.openxmlformats.org/officeDocument/2006/relationships/hyperlink" Target="https://www.neueleben.de/static/files/Service/Teilungsordnung_nl_20180801.pdf" TargetMode="External"/><Relationship Id="rId37" Type="http://schemas.openxmlformats.org/officeDocument/2006/relationships/hyperlink" Target="https://www.juris.de/r3/document/KORE231412019/format/xsl/part/L/anchor/rd_31?oi=W57bES679k&amp;sourceP=%7B%22source%22%3A%22SameDoc%22%7D" TargetMode="External"/><Relationship Id="rId40" Type="http://schemas.openxmlformats.org/officeDocument/2006/relationships/hyperlink" Target="http://www.hpv-versorgungsausgleich.de/index.php?id=4779" TargetMode="External"/><Relationship Id="rId45" Type="http://schemas.openxmlformats.org/officeDocument/2006/relationships/hyperlink" Target="http://www.hpv-versorgungsausgleich.de/index.php?id=4779" TargetMode="External"/><Relationship Id="rId53" Type="http://schemas.openxmlformats.org/officeDocument/2006/relationships/hyperlink" Target="http://www.hpv-versorgungsausgleich.de/index.php?id=4779" TargetMode="External"/><Relationship Id="rId58" Type="http://schemas.openxmlformats.org/officeDocument/2006/relationships/hyperlink" Target="https://www.pb-versicherung.de/documents/Teilungsordnung%20PB%20Lebensversicherung%20Ok.pdf" TargetMode="External"/><Relationship Id="rId66" Type="http://schemas.openxmlformats.org/officeDocument/2006/relationships/hyperlink" Target="https://www.yumpu.com/de/document/read/2556832/seite-1-von-4-teilungsordnung-der-dekabank-fur-" TargetMode="External"/><Relationship Id="rId5" Type="http://schemas.openxmlformats.org/officeDocument/2006/relationships/hyperlink" Target="https://www.lvm.de/cms/061637b8-3f2b-4571-93b4-3d4d4480acb4/081-teilungsordnung-lebensversicherung-rentenversicherung-l272.pdf" TargetMode="External"/><Relationship Id="rId15" Type="http://schemas.openxmlformats.org/officeDocument/2006/relationships/hyperlink" Target="https://d.docs.live.net/Hau&#223;/AppData/Roaming/Hau&#223;/AppData/Roaming/Microsoft/Versorgungsordnungen/Nestle/Nestl&#233;%20Pensionskasse%20Tarif%20Baustein%20L%20Teilungsordnung001.pdf" TargetMode="External"/><Relationship Id="rId23" Type="http://schemas.openxmlformats.org/officeDocument/2006/relationships/hyperlink" Target="https://docplayer.org/898437-Taetigkeitsplan-fuer-die-teilung-von-lebensversicherungen-auf-grundlage-des-gesetzes-zur-strukturreform-des-versorgungsausgleichs-teilungsordnung.html" TargetMode="External"/><Relationship Id="rId28" Type="http://schemas.openxmlformats.org/officeDocument/2006/relationships/hyperlink" Target="https://docplayer.org/8153720-Hdi-pensionskasse-ag-pbpk-bestandssegment.html" TargetMode="External"/><Relationship Id="rId36" Type="http://schemas.openxmlformats.org/officeDocument/2006/relationships/hyperlink" Target="https://www.juris.de/r3/document/BJNR070010009BJNE001200000/format/xsl/part/S?oi=W57bES679k&amp;sourceP=%7B%22source%22%3A%22Link%22%7D" TargetMode="External"/><Relationship Id="rId49" Type="http://schemas.openxmlformats.org/officeDocument/2006/relationships/hyperlink" Target="http://www.hpv-versorgungsausgleich.de/index.php?id=4779" TargetMode="External"/><Relationship Id="rId57" Type="http://schemas.openxmlformats.org/officeDocument/2006/relationships/hyperlink" Target="https://d.docs.live.net/Hau&#223;/AppData/Roaming/Hau%25C3%259F/Downloads/leben-u-rente_alle-produkte_angaben-provinzial-teilungsordnung_pr-lebensversicherung.pdf" TargetMode="External"/><Relationship Id="rId61" Type="http://schemas.openxmlformats.org/officeDocument/2006/relationships/hyperlink" Target="https://www.hdi.de/downloads/de/privatkunden/service/Telungsordnung_HLV_2020.pdf" TargetMode="External"/><Relationship Id="rId10" Type="http://schemas.openxmlformats.org/officeDocument/2006/relationships/hyperlink" Target="https://www.neueleben.de/static/files/Service/Teilungsordnung_nl_20180801.pdf" TargetMode="External"/><Relationship Id="rId19" Type="http://schemas.openxmlformats.org/officeDocument/2006/relationships/hyperlink" Target="https://docplayer.org/15092608-Besondere-versicherungsbedingungen-teilungsordnung.html" TargetMode="External"/><Relationship Id="rId31" Type="http://schemas.openxmlformats.org/officeDocument/2006/relationships/hyperlink" Target="https://www.allianz.de/content/dam/onemarketing/azde/azd/teilungsordnung/fvwlz012012.pdf" TargetMode="External"/><Relationship Id="rId44" Type="http://schemas.openxmlformats.org/officeDocument/2006/relationships/hyperlink" Target="http://www.hpv-versorgungsausgleich.de/index.php?id=4779" TargetMode="External"/><Relationship Id="rId52" Type="http://schemas.openxmlformats.org/officeDocument/2006/relationships/hyperlink" Target="http://www.hpv-versorgungsausgleich.de/index.php?id=4779" TargetMode="External"/><Relationship Id="rId60" Type="http://schemas.openxmlformats.org/officeDocument/2006/relationships/hyperlink" Target="https://d.docs.live.net/Hau&#223;/AppData/Roaming/Hau%25C3%259F/Downloads/Teilungsordnung_HDI-Lebensversicherung_AG.pdf" TargetMode="External"/><Relationship Id="rId65" Type="http://schemas.openxmlformats.org/officeDocument/2006/relationships/hyperlink" Target="https://www.psvag.de/fileadmin/doc/220/rechtliche_grundlagen/teilungsordnung.pdf" TargetMode="External"/><Relationship Id="rId4" Type="http://schemas.openxmlformats.org/officeDocument/2006/relationships/hyperlink" Target="https://www.sparkassenversicherung.de/export/sites/svag/_resources/download_galerien/service/daten/72-337-0617.pdf" TargetMode="External"/><Relationship Id="rId9" Type="http://schemas.openxmlformats.org/officeDocument/2006/relationships/hyperlink" Target="https://www.allianz.de/content/dam/onemarketing/azde/azd/teilungsordnung/krklas122012.pdf" TargetMode="External"/><Relationship Id="rId14" Type="http://schemas.openxmlformats.org/officeDocument/2006/relationships/hyperlink" Target="https://d.docs.live.net/Hau&#223;/AppData/Roaming/Hau&#223;/AppData/Roaming/Microsoft/Versorgungsordnungen/Nestle/Nestl&#233;%20Pensionskasse%20Tarif%20Vorsorgekonto%20Teilungsordnung001.pdf" TargetMode="External"/><Relationship Id="rId22" Type="http://schemas.openxmlformats.org/officeDocument/2006/relationships/hyperlink" Target="https://docplayer.org/898437-Taetigkeitsplan-fuer-die-teilung-von-lebensversicherungen-auf-grundlage-des-gesetzes-zur-strukturreform-des-versorgungsausgleichs-teilungsordnung.html" TargetMode="External"/><Relationship Id="rId27" Type="http://schemas.openxmlformats.org/officeDocument/2006/relationships/hyperlink" Target="https://docplayer.org/6126612-Ordnung-fuer-die-interne-und-externe-teilung-von-lebensversicherungsvertraegen-aufgrund-des-gesetzes-ueber-den-versorgungsausgleich.html" TargetMode="External"/><Relationship Id="rId30" Type="http://schemas.openxmlformats.org/officeDocument/2006/relationships/hyperlink" Target="https://docplayer.org/42705354-Allianz-lebensversicherungs-ag-vertragsgesellschaft-der-presse-versorgung.html" TargetMode="External"/><Relationship Id="rId35" Type="http://schemas.openxmlformats.org/officeDocument/2006/relationships/hyperlink" Target="https://www.dws.de/de-DE/AssetDownload/Index/?filename=Teilungsordnung%20DWS%20Investment%20GmbH%202022%2006.pdf&amp;assetGuid=52ca4b21-2d03-4c79-9442-da45c9531d53&amp;source=DWS" TargetMode="External"/><Relationship Id="rId43" Type="http://schemas.openxmlformats.org/officeDocument/2006/relationships/hyperlink" Target="http://www.hpv-versorgungsausgleich.de/index.php?id=4779" TargetMode="External"/><Relationship Id="rId48" Type="http://schemas.openxmlformats.org/officeDocument/2006/relationships/hyperlink" Target="http://www.hpv-versorgungsausgleich.de/index.php?id=4779" TargetMode="External"/><Relationship Id="rId56" Type="http://schemas.openxmlformats.org/officeDocument/2006/relationships/hyperlink" Target="http://www.hpv-versorgungsausgleich.de/index.php?id=4779" TargetMode="External"/><Relationship Id="rId64" Type="http://schemas.openxmlformats.org/officeDocument/2006/relationships/hyperlink" Target="https://www.vdva-unterstuetzungskasse.de/rmedia/media/vdva_unterstuetzungskasse/dokumente_3/vdva-teilungsordnung_to-bolz.pdf" TargetMode="External"/><Relationship Id="rId8" Type="http://schemas.openxmlformats.org/officeDocument/2006/relationships/hyperlink" Target="https://silo.tips/download/stand-swiss-life-ag-niederlassung-fr-deutschland-im-folgenden-swiss-life-ag-teil" TargetMode="External"/><Relationship Id="rId51" Type="http://schemas.openxmlformats.org/officeDocument/2006/relationships/hyperlink" Target="http://www.hpv-versorgungsausgleich.de/index.php?id=4779" TargetMode="External"/><Relationship Id="rId3" Type="http://schemas.openxmlformats.org/officeDocument/2006/relationships/hyperlink" Target="https://www.ruv.de/dam/privatkunden/downloads/teilungsordnungen/RVL_AG_TO_20200301.pdf" TargetMode="External"/><Relationship Id="rId12" Type="http://schemas.openxmlformats.org/officeDocument/2006/relationships/hyperlink" Target="https://d.docs.live.net/Hau&#223;/AppData/Roaming/Hau%25C3%259F/Downloads/Satzung%202017.pdf" TargetMode="External"/><Relationship Id="rId17" Type="http://schemas.openxmlformats.org/officeDocument/2006/relationships/hyperlink" Target="https://docplayer.org/69783120-Ordnung-fuer-die-interne-und-externe-teilung-von-versorgungszusagen-aufgrund-des-versorgungsausgleichsgesetzes-teilungsordnung.html" TargetMode="External"/><Relationship Id="rId25" Type="http://schemas.openxmlformats.org/officeDocument/2006/relationships/hyperlink" Target="https://docplayer.org/30893347-Teilungsordnung-inhaltsverzeichnis-vorwort-1-anwendungsbereich-2-form-des-versorgungsausgleichs-3-bestimmung-des-ausgleichswertes.html" TargetMode="External"/><Relationship Id="rId33" Type="http://schemas.openxmlformats.org/officeDocument/2006/relationships/hyperlink" Target="https://www.psvag.de/fileadmin/doc/220/rechtliche_grundlagen/teilungsordnung.pdf" TargetMode="External"/><Relationship Id="rId38" Type="http://schemas.openxmlformats.org/officeDocument/2006/relationships/hyperlink" Target="https://druckstuecke.volkswohl-bund.de/api/products/412/documents/Teilungsordnung_Unterst%C3%BCtzungskassen_BOLZ_.pdf" TargetMode="External"/><Relationship Id="rId46" Type="http://schemas.openxmlformats.org/officeDocument/2006/relationships/hyperlink" Target="http://www.hpv-versorgungsausgleich.de/index.php?id=4779" TargetMode="External"/><Relationship Id="rId59" Type="http://schemas.openxmlformats.org/officeDocument/2006/relationships/hyperlink" Target="http://www.hpv-versorgungsausgleich.de/index.php?id=4779" TargetMode="External"/><Relationship Id="rId67" Type="http://schemas.openxmlformats.org/officeDocument/2006/relationships/hyperlink" Target="https://www.yumpu.com/de/document/read/2556832/seite-1-von-4-teilungsordnung-der-dekabank-fur-" TargetMode="External"/><Relationship Id="rId20" Type="http://schemas.openxmlformats.org/officeDocument/2006/relationships/hyperlink" Target="https://docplayer.org/23644504-Teilungsordnung-versorgungstraeger-zurich-deutscher-herold-ueberbetriebliche-unterstuetzungskasse-e-v-zdhuk-1-anwendungsbereich.html" TargetMode="External"/><Relationship Id="rId41" Type="http://schemas.openxmlformats.org/officeDocument/2006/relationships/hyperlink" Target="http://www.hpv-versorgungsausgleich.de/index.php?id=4779" TargetMode="External"/><Relationship Id="rId54" Type="http://schemas.openxmlformats.org/officeDocument/2006/relationships/hyperlink" Target="http://www.hpv-versorgungsausgleich.de/index.php?id=4779" TargetMode="External"/><Relationship Id="rId62" Type="http://schemas.openxmlformats.org/officeDocument/2006/relationships/hyperlink" Target="https://flgruppe.de/wp-content/uploads/2021/03/Teilungsordnung_Pro_bAV_Pensionskasse_AG_27.08.2018_.pdf"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www.anwaelte-du.de/" TargetMode="External"/><Relationship Id="rId3" Type="http://schemas.openxmlformats.org/officeDocument/2006/relationships/hyperlink" Target="https://www.anwaelte-du.de/kapitalwertkontrolle.html" TargetMode="External"/><Relationship Id="rId7" Type="http://schemas.openxmlformats.org/officeDocument/2006/relationships/hyperlink" Target="mailto:Hauss@Anwaelte-DU.de" TargetMode="External"/><Relationship Id="rId2" Type="http://schemas.openxmlformats.org/officeDocument/2006/relationships/hyperlink" Target="https://www.famrb.de/muster_formulare.html" TargetMode="External"/><Relationship Id="rId1" Type="http://schemas.openxmlformats.org/officeDocument/2006/relationships/hyperlink" Target="mailto:Hauss@Anwaelte-DU.de?subject=Programm%20Kapitalwertkoltrolle" TargetMode="External"/><Relationship Id="rId6" Type="http://schemas.openxmlformats.org/officeDocument/2006/relationships/hyperlink" Target="mailto:Hauss@Anwaelte-DU.de?subject=Themenvorschlag%20zur%20Kaffeerunde%20VA" TargetMode="External"/><Relationship Id="rId5" Type="http://schemas.openxmlformats.org/officeDocument/2006/relationships/hyperlink" Target="mailto:Hauss@Anwaelte-DU.de" TargetMode="External"/><Relationship Id="rId10" Type="http://schemas.openxmlformats.org/officeDocument/2006/relationships/printerSettings" Target="../printerSettings/printerSettings5.bin"/><Relationship Id="rId4" Type="http://schemas.openxmlformats.org/officeDocument/2006/relationships/hyperlink" Target="https://global.gotomeeting.com/join/205481741" TargetMode="External"/><Relationship Id="rId9" Type="http://schemas.openxmlformats.org/officeDocument/2006/relationships/hyperlink" Target="mailto:Hauss@Anwaelte-DU.de?subject=Programm%20Kapitalwertkoltrolle%20Anregung,%20Verbesserungsvorschlag%20&amp;%20Fehlermeldung" TargetMode="Externa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6.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3.xml.rels><?xml version="1.0" encoding="UTF-8" standalone="yes"?>
<Relationships xmlns="http://schemas.openxmlformats.org/package/2006/relationships"><Relationship Id="rId8" Type="http://schemas.openxmlformats.org/officeDocument/2006/relationships/hyperlink" Target="https://juris.bundesgerichtshof.de/cgi-bin/rechtsprechung/document.py?Gericht=bgh&amp;Art=en&amp;sid=53c3a989ad9cee0d8b28cc75365b87c0&amp;nr=76197&amp;pos=0&amp;anz=1" TargetMode="Externa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hyperlink" Target="mailto:Hauss@anwaelte-DU.de?subject=Kapitalwertkontrolle%20Rentenbewertung" TargetMode="External"/><Relationship Id="rId21" Type="http://schemas.openxmlformats.org/officeDocument/2006/relationships/ctrlProp" Target="../ctrlProps/ctrlProp18.xml"/><Relationship Id="rId7" Type="http://schemas.openxmlformats.org/officeDocument/2006/relationships/hyperlink" Target="https://juris.bundesgerichtshof.de/cgi-bin/rechtsprechung/document.py?Gericht=bgh&amp;Art=en&amp;sid=112808a87d072f9363b1a5b84dc00e67&amp;nr=82918&amp;pos=0&amp;anz=1" TargetMode="Externa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hyperlink" Target="https://www.va-kasse.de/Online-Rechner/" TargetMode="Externa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hyperlink" Target="https://www.anwaelte-du.de/" TargetMode="External"/><Relationship Id="rId6" Type="http://schemas.openxmlformats.org/officeDocument/2006/relationships/hyperlink" Target="https://juris.bundesgerichtshof.de/cgi-bin/rechtsprechung/document.py?Gericht=bgh&amp;Art=en&amp;sid=71f83d96929445805a9bb9d022abe257&amp;nr=74127&amp;pos=0&amp;anz=1" TargetMode="External"/><Relationship Id="rId11" Type="http://schemas.openxmlformats.org/officeDocument/2006/relationships/vmlDrawing" Target="../drawings/vmlDrawing2.vml"/><Relationship Id="rId24" Type="http://schemas.openxmlformats.org/officeDocument/2006/relationships/ctrlProp" Target="../ctrlProps/ctrlProp21.xml"/><Relationship Id="rId5" Type="http://schemas.openxmlformats.org/officeDocument/2006/relationships/hyperlink" Target="https://www.gesetze-im-internet.de/sgb_6/__187.html" TargetMode="Externa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drawing" Target="../drawings/drawing3.xml"/><Relationship Id="rId19" Type="http://schemas.openxmlformats.org/officeDocument/2006/relationships/ctrlProp" Target="../ctrlProps/ctrlProp16.xml"/><Relationship Id="rId4" Type="http://schemas.openxmlformats.org/officeDocument/2006/relationships/hyperlink" Target="https://www.anwaelte-du.de/kapitalwertkontrolle.html" TargetMode="External"/><Relationship Id="rId9" Type="http://schemas.openxmlformats.org/officeDocument/2006/relationships/printerSettings" Target="../printerSettings/printerSettings7.bin"/><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14.xml.rels><?xml version="1.0" encoding="UTF-8" standalone="yes"?>
<Relationships xmlns="http://schemas.openxmlformats.org/package/2006/relationships"><Relationship Id="rId1" Type="http://schemas.openxmlformats.org/officeDocument/2006/relationships/hyperlink" Target="https://www.kmkoll.de/TabelleHGBZins.aspx?AspxAutoDetectCookieSupport=1"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9.bin"/><Relationship Id="rId5" Type="http://schemas.openxmlformats.org/officeDocument/2006/relationships/ctrlProp" Target="../ctrlProps/ctrlProp25.xml"/><Relationship Id="rId4" Type="http://schemas.openxmlformats.org/officeDocument/2006/relationships/ctrlProp" Target="../ctrlProps/ctrlProp24.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destatis.de/DE/Themen/Wirtschaft/Preise/Verbraucherpreisindex/Publikationen/_publikationen-verbraucherpreisindex.html?nn=206104" TargetMode="External"/></Relationships>
</file>

<file path=xl/worksheets/_rels/sheet20.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12.bin"/><Relationship Id="rId13" Type="http://schemas.openxmlformats.org/officeDocument/2006/relationships/ctrlProp" Target="../ctrlProps/ctrlProp28.xml"/><Relationship Id="rId18" Type="http://schemas.openxmlformats.org/officeDocument/2006/relationships/ctrlProp" Target="../ctrlProps/ctrlProp33.xml"/><Relationship Id="rId26" Type="http://schemas.openxmlformats.org/officeDocument/2006/relationships/ctrlProp" Target="../ctrlProps/ctrlProp41.xml"/><Relationship Id="rId3" Type="http://schemas.openxmlformats.org/officeDocument/2006/relationships/hyperlink" Target="https://www.juris.de/perma?d=jzs-FamRB-2022-03-029-116" TargetMode="External"/><Relationship Id="rId21" Type="http://schemas.openxmlformats.org/officeDocument/2006/relationships/ctrlProp" Target="../ctrlProps/ctrlProp36.xml"/><Relationship Id="rId34" Type="http://schemas.openxmlformats.org/officeDocument/2006/relationships/ctrlProp" Target="../ctrlProps/ctrlProp49.xml"/><Relationship Id="rId7" Type="http://schemas.openxmlformats.org/officeDocument/2006/relationships/hyperlink" Target="https://www.bundesverfassungsgericht.de/SharedDocs/Entscheidungen/DE/2020/05/ls20200526_1bvl000518.html" TargetMode="External"/><Relationship Id="rId12" Type="http://schemas.openxmlformats.org/officeDocument/2006/relationships/ctrlProp" Target="../ctrlProps/ctrlProp27.xml"/><Relationship Id="rId17" Type="http://schemas.openxmlformats.org/officeDocument/2006/relationships/ctrlProp" Target="../ctrlProps/ctrlProp32.xml"/><Relationship Id="rId25" Type="http://schemas.openxmlformats.org/officeDocument/2006/relationships/ctrlProp" Target="../ctrlProps/ctrlProp40.xml"/><Relationship Id="rId33" Type="http://schemas.openxmlformats.org/officeDocument/2006/relationships/ctrlProp" Target="../ctrlProps/ctrlProp48.xml"/><Relationship Id="rId2" Type="http://schemas.openxmlformats.org/officeDocument/2006/relationships/hyperlink" Target="mailto:Hauss@Anwaelte-DU.de?subject=Kapitalwertkontrolle%20Blatt%20BVerfG%20Ad&#228;quanzpr&#252;fung" TargetMode="External"/><Relationship Id="rId16" Type="http://schemas.openxmlformats.org/officeDocument/2006/relationships/ctrlProp" Target="../ctrlProps/ctrlProp31.xml"/><Relationship Id="rId20" Type="http://schemas.openxmlformats.org/officeDocument/2006/relationships/ctrlProp" Target="../ctrlProps/ctrlProp35.xml"/><Relationship Id="rId29" Type="http://schemas.openxmlformats.org/officeDocument/2006/relationships/ctrlProp" Target="../ctrlProps/ctrlProp44.xml"/><Relationship Id="rId1" Type="http://schemas.openxmlformats.org/officeDocument/2006/relationships/hyperlink" Target="https://alms.allianz.de/anonym/pages/start.xhtml?esales=VAUKAS" TargetMode="External"/><Relationship Id="rId6" Type="http://schemas.openxmlformats.org/officeDocument/2006/relationships/hyperlink" Target="https://juris.bundesgerichtshof.de/cgi-bin/rechtsprechung/document.py?Gericht=bgh&amp;Art=en&amp;sid=05616f0f60cc93000f0a3aeabac8af89&amp;nr=117991&amp;pos=0&amp;anz=1" TargetMode="External"/><Relationship Id="rId11" Type="http://schemas.openxmlformats.org/officeDocument/2006/relationships/ctrlProp" Target="../ctrlProps/ctrlProp26.xml"/><Relationship Id="rId24" Type="http://schemas.openxmlformats.org/officeDocument/2006/relationships/ctrlProp" Target="../ctrlProps/ctrlProp39.xml"/><Relationship Id="rId32" Type="http://schemas.openxmlformats.org/officeDocument/2006/relationships/ctrlProp" Target="../ctrlProps/ctrlProp47.xml"/><Relationship Id="rId5" Type="http://schemas.openxmlformats.org/officeDocument/2006/relationships/hyperlink" Target="https://www.gesetze-im-internet.de/versausglg/__18.html" TargetMode="External"/><Relationship Id="rId15" Type="http://schemas.openxmlformats.org/officeDocument/2006/relationships/ctrlProp" Target="../ctrlProps/ctrlProp30.xml"/><Relationship Id="rId23" Type="http://schemas.openxmlformats.org/officeDocument/2006/relationships/ctrlProp" Target="../ctrlProps/ctrlProp38.xml"/><Relationship Id="rId28" Type="http://schemas.openxmlformats.org/officeDocument/2006/relationships/ctrlProp" Target="../ctrlProps/ctrlProp43.xml"/><Relationship Id="rId10" Type="http://schemas.openxmlformats.org/officeDocument/2006/relationships/vmlDrawing" Target="../drawings/vmlDrawing4.vml"/><Relationship Id="rId19" Type="http://schemas.openxmlformats.org/officeDocument/2006/relationships/ctrlProp" Target="../ctrlProps/ctrlProp34.xml"/><Relationship Id="rId31" Type="http://schemas.openxmlformats.org/officeDocument/2006/relationships/ctrlProp" Target="../ctrlProps/ctrlProp46.xml"/><Relationship Id="rId4" Type="http://schemas.openxmlformats.org/officeDocument/2006/relationships/hyperlink" Target="https://www.gesetze-im-internet.de/versausglg/__18.html" TargetMode="External"/><Relationship Id="rId9" Type="http://schemas.openxmlformats.org/officeDocument/2006/relationships/drawing" Target="../drawings/drawing5.xml"/><Relationship Id="rId14" Type="http://schemas.openxmlformats.org/officeDocument/2006/relationships/ctrlProp" Target="../ctrlProps/ctrlProp29.xml"/><Relationship Id="rId22" Type="http://schemas.openxmlformats.org/officeDocument/2006/relationships/ctrlProp" Target="../ctrlProps/ctrlProp37.xml"/><Relationship Id="rId27" Type="http://schemas.openxmlformats.org/officeDocument/2006/relationships/ctrlProp" Target="../ctrlProps/ctrlProp42.xml"/><Relationship Id="rId30" Type="http://schemas.openxmlformats.org/officeDocument/2006/relationships/ctrlProp" Target="../ctrlProps/ctrlProp45.xml"/><Relationship Id="rId35" Type="http://schemas.openxmlformats.org/officeDocument/2006/relationships/ctrlProp" Target="../ctrlProps/ctrlProp50.x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3.bin"/><Relationship Id="rId1" Type="http://schemas.openxmlformats.org/officeDocument/2006/relationships/hyperlink" Target="mailto:Hauss@Anwaelte-DU.de?subject=Programm%20Kapitalwertkontrolle%20hier:%20Transfergewinne" TargetMode="External"/></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54.xml"/><Relationship Id="rId3" Type="http://schemas.openxmlformats.org/officeDocument/2006/relationships/drawing" Target="../drawings/drawing8.xml"/><Relationship Id="rId7" Type="http://schemas.openxmlformats.org/officeDocument/2006/relationships/ctrlProp" Target="../ctrlProps/ctrlProp53.xml"/><Relationship Id="rId2" Type="http://schemas.openxmlformats.org/officeDocument/2006/relationships/printerSettings" Target="../printerSettings/printerSettings14.bin"/><Relationship Id="rId1" Type="http://schemas.openxmlformats.org/officeDocument/2006/relationships/hyperlink" Target="mailto:Hauss@Anwaelte-du.de?subject=&#220;bersendung%20einer%20Teilungsordnung" TargetMode="External"/><Relationship Id="rId6" Type="http://schemas.openxmlformats.org/officeDocument/2006/relationships/ctrlProp" Target="../ctrlProps/ctrlProp52.xml"/><Relationship Id="rId5" Type="http://schemas.openxmlformats.org/officeDocument/2006/relationships/ctrlProp" Target="../ctrlProps/ctrlProp51.xml"/><Relationship Id="rId4" Type="http://schemas.openxmlformats.org/officeDocument/2006/relationships/vmlDrawing" Target="../drawings/vmlDrawing5.vml"/></Relationships>
</file>

<file path=xl/worksheets/_rels/sheet26.xml.rels><?xml version="1.0" encoding="UTF-8" standalone="yes"?>
<Relationships xmlns="http://schemas.openxmlformats.org/package/2006/relationships"><Relationship Id="rId8" Type="http://schemas.openxmlformats.org/officeDocument/2006/relationships/vmlDrawing" Target="../drawings/vmlDrawing6.vml"/><Relationship Id="rId13" Type="http://schemas.openxmlformats.org/officeDocument/2006/relationships/ctrlProp" Target="../ctrlProps/ctrlProp59.xml"/><Relationship Id="rId18" Type="http://schemas.openxmlformats.org/officeDocument/2006/relationships/ctrlProp" Target="../ctrlProps/ctrlProp64.xml"/><Relationship Id="rId3" Type="http://schemas.openxmlformats.org/officeDocument/2006/relationships/hyperlink" Target="https://www.gesetze-im-internet.de/sgb_5/__226.html" TargetMode="External"/><Relationship Id="rId21" Type="http://schemas.openxmlformats.org/officeDocument/2006/relationships/ctrlProp" Target="../ctrlProps/ctrlProp67.xml"/><Relationship Id="rId7" Type="http://schemas.openxmlformats.org/officeDocument/2006/relationships/drawing" Target="../drawings/drawing9.xml"/><Relationship Id="rId12" Type="http://schemas.openxmlformats.org/officeDocument/2006/relationships/ctrlProp" Target="../ctrlProps/ctrlProp58.xml"/><Relationship Id="rId17" Type="http://schemas.openxmlformats.org/officeDocument/2006/relationships/ctrlProp" Target="../ctrlProps/ctrlProp63.xml"/><Relationship Id="rId2" Type="http://schemas.openxmlformats.org/officeDocument/2006/relationships/hyperlink" Target="https://www.bundesanzeiger.de/pub/de/amtliche-veroeffentlichung?8" TargetMode="External"/><Relationship Id="rId16" Type="http://schemas.openxmlformats.org/officeDocument/2006/relationships/ctrlProp" Target="../ctrlProps/ctrlProp62.xml"/><Relationship Id="rId20" Type="http://schemas.openxmlformats.org/officeDocument/2006/relationships/ctrlProp" Target="../ctrlProps/ctrlProp66.xml"/><Relationship Id="rId1" Type="http://schemas.openxmlformats.org/officeDocument/2006/relationships/hyperlink" Target="https://d.docs.live.net/Daten%20J&#246;rn/Plausibilit&#228;tspr&#252;fung/Musterschrifts&#228;tze/Abtretungsvereinbarung%20gem%20&#167;%2021%20VersAusglG.dotx" TargetMode="External"/><Relationship Id="rId6" Type="http://schemas.openxmlformats.org/officeDocument/2006/relationships/printerSettings" Target="../printerSettings/printerSettings15.bin"/><Relationship Id="rId11" Type="http://schemas.openxmlformats.org/officeDocument/2006/relationships/ctrlProp" Target="../ctrlProps/ctrlProp57.xml"/><Relationship Id="rId5" Type="http://schemas.openxmlformats.org/officeDocument/2006/relationships/hyperlink" Target="https://www.gesetze-im-internet.de/sgb_11/__55.html" TargetMode="External"/><Relationship Id="rId15" Type="http://schemas.openxmlformats.org/officeDocument/2006/relationships/ctrlProp" Target="../ctrlProps/ctrlProp61.xml"/><Relationship Id="rId10" Type="http://schemas.openxmlformats.org/officeDocument/2006/relationships/ctrlProp" Target="../ctrlProps/ctrlProp56.xml"/><Relationship Id="rId19" Type="http://schemas.openxmlformats.org/officeDocument/2006/relationships/ctrlProp" Target="../ctrlProps/ctrlProp65.xml"/><Relationship Id="rId4" Type="http://schemas.openxmlformats.org/officeDocument/2006/relationships/hyperlink" Target="https://www.bmas.de/SharedDocs/Downloads/DE/Gesetze/Regierungsentwuerfe/reg-sozialversicherungsrechengroessen-verordnung-2024.pdf?__blob=publicationFile&amp;v=2" TargetMode="External"/><Relationship Id="rId9" Type="http://schemas.openxmlformats.org/officeDocument/2006/relationships/ctrlProp" Target="../ctrlProps/ctrlProp55.xml"/><Relationship Id="rId14" Type="http://schemas.openxmlformats.org/officeDocument/2006/relationships/ctrlProp" Target="../ctrlProps/ctrlProp60.xm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6.bin"/><Relationship Id="rId1" Type="http://schemas.openxmlformats.org/officeDocument/2006/relationships/hyperlink" Target="https://www.juris.de/perma?d=jzs-FamRB-2024-1-025-37" TargetMode="Externa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1.xml"/><Relationship Id="rId1" Type="http://schemas.openxmlformats.org/officeDocument/2006/relationships/hyperlink" Target="mailto:Hauss@Anwaelte-du.de?subject=Kapitalwertkontrolle%202024%20&#167;%2022%20VersAusglG" TargetMode="External"/><Relationship Id="rId5" Type="http://schemas.openxmlformats.org/officeDocument/2006/relationships/ctrlProp" Target="../ctrlProps/ctrlProp69.xml"/><Relationship Id="rId4" Type="http://schemas.openxmlformats.org/officeDocument/2006/relationships/ctrlProp" Target="../ctrlProps/ctrlProp68.xml"/></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72.xml"/><Relationship Id="rId3" Type="http://schemas.openxmlformats.org/officeDocument/2006/relationships/printerSettings" Target="../printerSettings/printerSettings17.bin"/><Relationship Id="rId7" Type="http://schemas.openxmlformats.org/officeDocument/2006/relationships/ctrlProp" Target="../ctrlProps/ctrlProp71.xml"/><Relationship Id="rId2" Type="http://schemas.openxmlformats.org/officeDocument/2006/relationships/hyperlink" Target="https://juris.bundesgerichtshof.de/cgi-bin/rechtsprechung/document.py?Gericht=bgh&amp;Art=en&amp;sid=d61a551998c0128c37e6ae16c0f2a616&amp;nr=57802&amp;pos=0&amp;anz=1" TargetMode="External"/><Relationship Id="rId1" Type="http://schemas.openxmlformats.org/officeDocument/2006/relationships/hyperlink" Target="https://www.gesetze-im-internet.de/sgb_6/__76.html" TargetMode="External"/><Relationship Id="rId6" Type="http://schemas.openxmlformats.org/officeDocument/2006/relationships/ctrlProp" Target="../ctrlProps/ctrlProp70.xml"/><Relationship Id="rId11" Type="http://schemas.openxmlformats.org/officeDocument/2006/relationships/ctrlProp" Target="../ctrlProps/ctrlProp75.xml"/><Relationship Id="rId5" Type="http://schemas.openxmlformats.org/officeDocument/2006/relationships/vmlDrawing" Target="../drawings/vmlDrawing8.vml"/><Relationship Id="rId10" Type="http://schemas.openxmlformats.org/officeDocument/2006/relationships/ctrlProp" Target="../ctrlProps/ctrlProp74.xml"/><Relationship Id="rId4" Type="http://schemas.openxmlformats.org/officeDocument/2006/relationships/drawing" Target="../drawings/drawing12.xml"/><Relationship Id="rId9" Type="http://schemas.openxmlformats.org/officeDocument/2006/relationships/ctrlProp" Target="../ctrlProps/ctrlProp73.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bundesbank.de/dynamic/action/de/startseite/suche/747716/allgemeine-suche?query=Abzinsungszinss%C3%A4tze" TargetMode="External"/><Relationship Id="rId1" Type="http://schemas.openxmlformats.org/officeDocument/2006/relationships/hyperlink" Target="http://www.bundesbank.de/Navigation/DE/Statistiken/Geld_und_Kapitalmaerkte/Zinssaetze_und_Renditen/Abzinsungssaetze/Tabellen/tabellen.html" TargetMode="External"/></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79.xml"/><Relationship Id="rId3" Type="http://schemas.openxmlformats.org/officeDocument/2006/relationships/drawing" Target="../drawings/drawing13.xml"/><Relationship Id="rId7" Type="http://schemas.openxmlformats.org/officeDocument/2006/relationships/ctrlProp" Target="../ctrlProps/ctrlProp78.xml"/><Relationship Id="rId2" Type="http://schemas.openxmlformats.org/officeDocument/2006/relationships/printerSettings" Target="../printerSettings/printerSettings18.bin"/><Relationship Id="rId1" Type="http://schemas.openxmlformats.org/officeDocument/2006/relationships/hyperlink" Target="https://www.gesetze-im-internet.de/versausglg/__33.html" TargetMode="External"/><Relationship Id="rId6" Type="http://schemas.openxmlformats.org/officeDocument/2006/relationships/ctrlProp" Target="../ctrlProps/ctrlProp77.xml"/><Relationship Id="rId5" Type="http://schemas.openxmlformats.org/officeDocument/2006/relationships/ctrlProp" Target="../ctrlProps/ctrlProp76.xml"/><Relationship Id="rId4" Type="http://schemas.openxmlformats.org/officeDocument/2006/relationships/vmlDrawing" Target="../drawings/vmlDrawing9.vml"/><Relationship Id="rId9" Type="http://schemas.openxmlformats.org/officeDocument/2006/relationships/comments" Target="../comments1.xml"/></Relationships>
</file>

<file path=xl/worksheets/_rels/sheet32.xml.rels><?xml version="1.0" encoding="UTF-8" standalone="yes"?>
<Relationships xmlns="http://schemas.openxmlformats.org/package/2006/relationships"><Relationship Id="rId8" Type="http://schemas.openxmlformats.org/officeDocument/2006/relationships/hyperlink" Target="https://www.gesetze-im-internet.de/sgb_6/__97a.html" TargetMode="External"/><Relationship Id="rId13" Type="http://schemas.openxmlformats.org/officeDocument/2006/relationships/ctrlProp" Target="../ctrlProps/ctrlProp80.xml"/><Relationship Id="rId3" Type="http://schemas.openxmlformats.org/officeDocument/2006/relationships/hyperlink" Target="https://www.juris.de/perma?d=KORE273832022" TargetMode="External"/><Relationship Id="rId7" Type="http://schemas.openxmlformats.org/officeDocument/2006/relationships/hyperlink" Target="https://www.gesetze-im-internet.de/sgb_6/__97a.html" TargetMode="External"/><Relationship Id="rId12" Type="http://schemas.openxmlformats.org/officeDocument/2006/relationships/vmlDrawing" Target="../drawings/vmlDrawing10.vml"/><Relationship Id="rId2" Type="http://schemas.openxmlformats.org/officeDocument/2006/relationships/hyperlink" Target="https://www.gesetze-im-internet.de/sgb_6/__97a.html" TargetMode="External"/><Relationship Id="rId16" Type="http://schemas.openxmlformats.org/officeDocument/2006/relationships/ctrlProp" Target="../ctrlProps/ctrlProp83.xml"/><Relationship Id="rId1" Type="http://schemas.openxmlformats.org/officeDocument/2006/relationships/hyperlink" Target="https://www.gesetze-im-internet.de/sgb_6/__235.html" TargetMode="External"/><Relationship Id="rId6" Type="http://schemas.openxmlformats.org/officeDocument/2006/relationships/hyperlink" Target="https://www.gesetze-im-internet.de/sgb_6/__97a.html" TargetMode="External"/><Relationship Id="rId11" Type="http://schemas.openxmlformats.org/officeDocument/2006/relationships/drawing" Target="../drawings/drawing14.xml"/><Relationship Id="rId5" Type="http://schemas.openxmlformats.org/officeDocument/2006/relationships/hyperlink" Target="https://www.gesetze-im-internet.de/sgb_6/__97a.html" TargetMode="External"/><Relationship Id="rId15" Type="http://schemas.openxmlformats.org/officeDocument/2006/relationships/ctrlProp" Target="../ctrlProps/ctrlProp82.xml"/><Relationship Id="rId10" Type="http://schemas.openxmlformats.org/officeDocument/2006/relationships/printerSettings" Target="../printerSettings/printerSettings19.bin"/><Relationship Id="rId4" Type="http://schemas.openxmlformats.org/officeDocument/2006/relationships/hyperlink" Target="https://www.gesetze-im-internet.de/sgb_6/__97a.html" TargetMode="External"/><Relationship Id="rId9" Type="http://schemas.openxmlformats.org/officeDocument/2006/relationships/hyperlink" Target="https://www.juris.de/perma?d=jzs-FamRB-2023-01-015-13" TargetMode="External"/><Relationship Id="rId14" Type="http://schemas.openxmlformats.org/officeDocument/2006/relationships/ctrlProp" Target="../ctrlProps/ctrlProp81.xml"/></Relationships>
</file>

<file path=xl/worksheets/_rels/sheet35.xml.rels><?xml version="1.0" encoding="UTF-8" standalone="yes"?>
<Relationships xmlns="http://schemas.openxmlformats.org/package/2006/relationships"><Relationship Id="rId8" Type="http://schemas.openxmlformats.org/officeDocument/2006/relationships/hyperlink" Target="https://www.gesetze-im-internet.de/famfg/__225.html" TargetMode="External"/><Relationship Id="rId13" Type="http://schemas.openxmlformats.org/officeDocument/2006/relationships/vmlDrawing" Target="../drawings/vmlDrawing11.vml"/><Relationship Id="rId3" Type="http://schemas.openxmlformats.org/officeDocument/2006/relationships/hyperlink" Target="https://www.gesetze-im-internet.de/sgb_6/__76g.html" TargetMode="External"/><Relationship Id="rId7" Type="http://schemas.openxmlformats.org/officeDocument/2006/relationships/hyperlink" Target="https://www.gesetze-im-internet.de/bbg_2009/__51.html" TargetMode="External"/><Relationship Id="rId12" Type="http://schemas.openxmlformats.org/officeDocument/2006/relationships/drawing" Target="../drawings/drawing15.xml"/><Relationship Id="rId2" Type="http://schemas.openxmlformats.org/officeDocument/2006/relationships/hyperlink" Target="https://www.gesetze-im-internet.de/sgb_6/__235.html" TargetMode="External"/><Relationship Id="rId16" Type="http://schemas.openxmlformats.org/officeDocument/2006/relationships/ctrlProp" Target="../ctrlProps/ctrlProp86.xml"/><Relationship Id="rId1" Type="http://schemas.openxmlformats.org/officeDocument/2006/relationships/hyperlink" Target="https://www.gesetze-im-internet.de/beamtvg/__14.html" TargetMode="External"/><Relationship Id="rId6" Type="http://schemas.openxmlformats.org/officeDocument/2006/relationships/hyperlink" Target="https://www.gesetze-im-internet.de/beamtvg/__14.html" TargetMode="External"/><Relationship Id="rId11" Type="http://schemas.openxmlformats.org/officeDocument/2006/relationships/printerSettings" Target="../printerSettings/printerSettings20.bin"/><Relationship Id="rId5" Type="http://schemas.openxmlformats.org/officeDocument/2006/relationships/hyperlink" Target="https://www.gesetze-im-internet.de/sgb_6/__56.html" TargetMode="External"/><Relationship Id="rId15" Type="http://schemas.openxmlformats.org/officeDocument/2006/relationships/ctrlProp" Target="../ctrlProps/ctrlProp85.xml"/><Relationship Id="rId10" Type="http://schemas.openxmlformats.org/officeDocument/2006/relationships/hyperlink" Target="https://www.gesetze-im-internet.de/versausglg/__51.html" TargetMode="External"/><Relationship Id="rId4" Type="http://schemas.openxmlformats.org/officeDocument/2006/relationships/hyperlink" Target="https://www.gesetze-im-internet.de/sgb_6/__56.html" TargetMode="External"/><Relationship Id="rId9" Type="http://schemas.openxmlformats.org/officeDocument/2006/relationships/hyperlink" Target="https://www.gesetze-im-internet.de/famfg/__225.html" TargetMode="External"/><Relationship Id="rId14" Type="http://schemas.openxmlformats.org/officeDocument/2006/relationships/ctrlProp" Target="../ctrlProps/ctrlProp84.xml"/></Relationships>
</file>

<file path=xl/worksheets/_rels/sheet36.xml.rels><?xml version="1.0" encoding="UTF-8" standalone="yes"?>
<Relationships xmlns="http://schemas.openxmlformats.org/package/2006/relationships"><Relationship Id="rId3" Type="http://schemas.openxmlformats.org/officeDocument/2006/relationships/hyperlink" Target="https://www.gesetze-im-internet.de/sgb_6/anlage_1.html" TargetMode="External"/><Relationship Id="rId2" Type="http://schemas.openxmlformats.org/officeDocument/2006/relationships/hyperlink" Target="https://www.gesetze-im-internet.de/sgb_6/__159.html" TargetMode="External"/><Relationship Id="rId1" Type="http://schemas.openxmlformats.org/officeDocument/2006/relationships/hyperlink" Target="https://rvrecht.deutsche-rentenversicherung.de/SiteGlobals/Forms/Suche/DokumentSuche/dokumentSuche_Formular.html?nn=1506092&amp;pathNonRecursive=%2FLitInternet%2FSharedDocs%2FrvRecht+%2FLitInternet%2FSharedDocs%2FrvRecht_Ergaenzungen" TargetMode="External"/><Relationship Id="rId5" Type="http://schemas.openxmlformats.org/officeDocument/2006/relationships/drawing" Target="../drawings/drawing16.xml"/><Relationship Id="rId4"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8" Type="http://schemas.openxmlformats.org/officeDocument/2006/relationships/hyperlink" Target="https://www.destatis.de/DE/Themen/Gesellschaft-Umwelt/Bevoelkerung/Sterbefaelle-Lebenserwartung/Publikationen/Downloads-Sterbefaelle/periodensterbetafeln-bundeslaender-5126204207004.pdf?__blob=publicationFile" TargetMode="External"/><Relationship Id="rId13" Type="http://schemas.openxmlformats.org/officeDocument/2006/relationships/hyperlink" Target="https://de.wikipedia.org/wiki/H%C3%B6chstrechnungszins" TargetMode="External"/><Relationship Id="rId18" Type="http://schemas.openxmlformats.org/officeDocument/2006/relationships/hyperlink" Target="https://www.missoc.org/missoc-information/missoc-vergleichende-tabellen-datenbank/?lang=de" TargetMode="External"/><Relationship Id="rId26" Type="http://schemas.openxmlformats.org/officeDocument/2006/relationships/ctrlProp" Target="../ctrlProps/ctrlProp88.xml"/><Relationship Id="rId3" Type="http://schemas.openxmlformats.org/officeDocument/2006/relationships/hyperlink" Target="https://www.gesetze-im-internet.de/sgb_6/__315.html" TargetMode="External"/><Relationship Id="rId21" Type="http://schemas.openxmlformats.org/officeDocument/2006/relationships/hyperlink" Target="https://www.boerse-frankfurt.de/zertifikate/historische-daten/historische-quotes" TargetMode="External"/><Relationship Id="rId7" Type="http://schemas.openxmlformats.org/officeDocument/2006/relationships/hyperlink" Target="https://view.officeapps.live.com/op/view.aspx?src=https%3A%2F%2Fwww.destatis.de%2FDE%2FThemen%2FGesellschaft-Umwelt%2FBevoelkerung%2FSterbefaelle-Lebenserwartung%2FPublikationen%2FDownloads-Sterbefaelle%2Fkohortensterbetafeln-5126101209005.xlsx%3F__blob%3DpublicationFile&amp;wdOrigin=BROWSELINK" TargetMode="External"/><Relationship Id="rId12" Type="http://schemas.openxmlformats.org/officeDocument/2006/relationships/hyperlink" Target="https://rvrecht.deutsche-rentenversicherung.de/SiteGlobals/Forms/Suche/DokumentSuche/dokumentSuche_Formular.html?nn=1506092&amp;pathNonRecursive=%2FLitInternet%2FSharedDocs%2FrvRecht+%2FLitInternet%2FSharedDocs%2FrvRecht_Ergaenzungen" TargetMode="External"/><Relationship Id="rId17" Type="http://schemas.openxmlformats.org/officeDocument/2006/relationships/hyperlink" Target="https://www.gesetze-im-internet.de/sgb_6/__101.html" TargetMode="External"/><Relationship Id="rId25" Type="http://schemas.openxmlformats.org/officeDocument/2006/relationships/ctrlProp" Target="../ctrlProps/ctrlProp87.xml"/><Relationship Id="rId33" Type="http://schemas.openxmlformats.org/officeDocument/2006/relationships/ctrlProp" Target="../ctrlProps/ctrlProp95.xml"/><Relationship Id="rId2" Type="http://schemas.openxmlformats.org/officeDocument/2006/relationships/hyperlink" Target="https://www.gesetze-im-internet.de/sgb_5/__241.html" TargetMode="External"/><Relationship Id="rId16" Type="http://schemas.openxmlformats.org/officeDocument/2006/relationships/hyperlink" Target="https://www.gesetze-im-internet.de/sgb_6/__76.html" TargetMode="External"/><Relationship Id="rId20" Type="http://schemas.openxmlformats.org/officeDocument/2006/relationships/hyperlink" Target="https://www.gesetze-im-internet.de/sgb_6/index.html" TargetMode="External"/><Relationship Id="rId29" Type="http://schemas.openxmlformats.org/officeDocument/2006/relationships/ctrlProp" Target="../ctrlProps/ctrlProp91.xml"/><Relationship Id="rId1" Type="http://schemas.openxmlformats.org/officeDocument/2006/relationships/hyperlink" Target="https://dip21.bundestag.de/dip21/btd/19/249/1924925.pdf" TargetMode="External"/><Relationship Id="rId6" Type="http://schemas.openxmlformats.org/officeDocument/2006/relationships/hyperlink" Target="https://www.bundesfinanzministerium.de/Content/DE/Downloads/BMF_Schreiben/Steuerarten/Erbschaft_Schenkungsteuerrecht/2021-10-04-bewertung-einer-lebenslaenglichen-nutzung-oder-leistung-stichtage-ab-1-1-2022.pdf?__blob=publicationFile&amp;v=2" TargetMode="External"/><Relationship Id="rId11" Type="http://schemas.openxmlformats.org/officeDocument/2006/relationships/hyperlink" Target="https://www.famrb.de/" TargetMode="External"/><Relationship Id="rId24" Type="http://schemas.openxmlformats.org/officeDocument/2006/relationships/vmlDrawing" Target="../drawings/vmlDrawing12.vml"/><Relationship Id="rId32" Type="http://schemas.openxmlformats.org/officeDocument/2006/relationships/ctrlProp" Target="../ctrlProps/ctrlProp94.xml"/><Relationship Id="rId5" Type="http://schemas.openxmlformats.org/officeDocument/2006/relationships/hyperlink" Target="https://www.otto-schmidt.de/podcast/familienrecht" TargetMode="External"/><Relationship Id="rId15" Type="http://schemas.openxmlformats.org/officeDocument/2006/relationships/hyperlink" Target="https://www.gesetze-im-internet.de/sgb_6/__106.html" TargetMode="External"/><Relationship Id="rId23" Type="http://schemas.openxmlformats.org/officeDocument/2006/relationships/drawing" Target="../drawings/drawing17.xml"/><Relationship Id="rId28" Type="http://schemas.openxmlformats.org/officeDocument/2006/relationships/ctrlProp" Target="../ctrlProps/ctrlProp90.xml"/><Relationship Id="rId10" Type="http://schemas.openxmlformats.org/officeDocument/2006/relationships/hyperlink" Target="https://www.otto-schmidt.de/podcast/familienrecht" TargetMode="External"/><Relationship Id="rId19" Type="http://schemas.openxmlformats.org/officeDocument/2006/relationships/hyperlink" Target="https://www.ahv-iv.ch/Portals/0/adam/AHV-IV/WZuPffYb1UatWSmbYCJcYQ/Document/Monatliche%20Vollrenten,%20Skala%2044%2012.pdf" TargetMode="External"/><Relationship Id="rId31" Type="http://schemas.openxmlformats.org/officeDocument/2006/relationships/ctrlProp" Target="../ctrlProps/ctrlProp93.xml"/><Relationship Id="rId4" Type="http://schemas.openxmlformats.org/officeDocument/2006/relationships/hyperlink" Target="https://alms.allianz.de/anonym/pages/start.xhtml?esales=VAUKAS" TargetMode="External"/><Relationship Id="rId9" Type="http://schemas.openxmlformats.org/officeDocument/2006/relationships/hyperlink" Target="mailto:Hauss@anwaelte-du.de?subject=Versorgungsausgleich" TargetMode="External"/><Relationship Id="rId14" Type="http://schemas.openxmlformats.org/officeDocument/2006/relationships/hyperlink" Target="https://www.destatis.de/DE/Themen/Wirtschaft/Preise/Verbraucherpreisindex/Publikationen/_publikationen-verbraucherpreisindex.html?nn=206104" TargetMode="External"/><Relationship Id="rId22" Type="http://schemas.openxmlformats.org/officeDocument/2006/relationships/printerSettings" Target="../printerSettings/printerSettings22.bin"/><Relationship Id="rId27" Type="http://schemas.openxmlformats.org/officeDocument/2006/relationships/ctrlProp" Target="../ctrlProps/ctrlProp89.xml"/><Relationship Id="rId30" Type="http://schemas.openxmlformats.org/officeDocument/2006/relationships/ctrlProp" Target="../ctrlProps/ctrlProp92.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40.xml.rels><?xml version="1.0" encoding="UTF-8" standalone="yes"?>
<Relationships xmlns="http://schemas.openxmlformats.org/package/2006/relationships"><Relationship Id="rId3" Type="http://schemas.openxmlformats.org/officeDocument/2006/relationships/hyperlink" Target="https://d.docs.live.net/Daten%20J&#246;rn/Plausibilit&#228;tspr&#252;fung/Musterschrifts&#228;tze/VA%20Einholung%20der%20Zustimmung%20zur%20externen%20Teilung%20beim%20Zielversorgungstr&#228;ger.docx" TargetMode="External"/><Relationship Id="rId2" Type="http://schemas.openxmlformats.org/officeDocument/2006/relationships/hyperlink" Target="https://d.docs.live.net/Daten%20J&#246;rn/Plausibilit&#228;tspr&#252;fung/Musterschrifts&#228;tze/Abtretungsvereinbarung%20gem%20&#167;%2021%20VersAusglG.dotx" TargetMode="External"/><Relationship Id="rId1" Type="http://schemas.openxmlformats.org/officeDocument/2006/relationships/hyperlink" Target="https://d.docs.live.net/Daten%20J&#246;rn/Plausibilit&#228;tspr&#252;fung/Musterschrifts&#228;tze/Abschlussschreiben%20VA%20Endfassung.docx" TargetMode="External"/><Relationship Id="rId6" Type="http://schemas.openxmlformats.org/officeDocument/2006/relationships/hyperlink" Target="https://d.docs.live.net/Daten%20J&#246;rn/Plausibilit&#228;tspr&#252;fung/Musterschrifts&#228;tze/VA%20Schriftsatz%20zur%20Veranlassung%20von%20Ma&#223;gabeanordnungen%20bei%20interner%20Teilung.docx" TargetMode="External"/><Relationship Id="rId5" Type="http://schemas.openxmlformats.org/officeDocument/2006/relationships/hyperlink" Target="https://d.docs.live.net/Daten%20J&#246;rn/Plausibilit&#228;tspr&#252;fung/Musterschrifts&#228;tze" TargetMode="External"/><Relationship Id="rId4" Type="http://schemas.openxmlformats.org/officeDocument/2006/relationships/hyperlink" Target="https://d.docs.live.net/Daten%20J&#246;rn/Plausibilit&#228;tspr&#252;fung/Musterschrifts&#228;tze/VA%20Schriftsatz%20zur%20Ad&#228;quanzpr&#252;fung.docx" TargetMode="Externa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4.bin"/></Relationships>
</file>

<file path=xl/worksheets/_rels/sheet42.xml.rels><?xml version="1.0" encoding="UTF-8" standalone="yes"?>
<Relationships xmlns="http://schemas.openxmlformats.org/package/2006/relationships"><Relationship Id="rId3" Type="http://schemas.openxmlformats.org/officeDocument/2006/relationships/hyperlink" Target="https://d.docs.live.net/Daten%20J&#246;rn/Plausibilit&#228;tspr&#252;fung/Musterschrifts&#228;tze/VA%20Schriftsatz%20zur%20Veranlassung%20von%20Ma&#223;gabeanordnungen%20bei%20interner%20Teilung.docx" TargetMode="External"/><Relationship Id="rId2" Type="http://schemas.openxmlformats.org/officeDocument/2006/relationships/hyperlink" Target="https://d.docs.live.net/Daten%20J&#246;rn/Plausibilit&#228;tspr&#252;fung/Musterschrifts&#228;tze/VA%20Einholung%20der%20Zustimmung%20zur%20externen%20Teilung%20beim%20Zielversorgungstr&#228;ger.docx" TargetMode="External"/><Relationship Id="rId1" Type="http://schemas.openxmlformats.org/officeDocument/2006/relationships/hyperlink" Target="https://d.docs.live.net/Daten%20J&#246;rn/Plausibilit&#228;tspr&#252;fung/Musterschrifts&#228;tze/VA%20Schriftsatz%20zur%20Anforderung%20vollst&#228;ndiger%20Information%20vom%20VT.docx" TargetMode="Externa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view.officeapps.live.com/op/view.aspx?src=https%3A%2F%2Fwww.destatis.de%2FDE%2FThemen%2FGesellschaft-Umwelt%2FBevoelkerung%2FSterbefaelle-Lebenserwartung%2FPublikationen%2FDownloads-Sterbefaelle%2Fkohortensterbetafeln-5126101209005.xlsx%3F__blob%3DpublicationFile&amp;wdOrigin=BROWSELINK" TargetMode="External"/><Relationship Id="rId1" Type="http://schemas.openxmlformats.org/officeDocument/2006/relationships/hyperlink" Target="https://www.destatis.de/SiteGlobals/Forms/Suche/Expertensuche_Formular.html?resourceId=2402&amp;input_=2408&amp;pageLocale=de&amp;templateQueryString=generationensterbetafeln&amp;submit.x=0&amp;submit.y=0"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s://view.officeapps.live.com/op/view.aspx?src=https%3A%2F%2Fwww.destatis.de%2FDE%2FThemen%2FGesellschaft-Umwelt%2FBevoelkerung%2FSterbefaelle-Lebenserwartung%2FPublikationen%2FDownloads-Sterbefaelle%2Fkohortensterbetafeln-5126101209005.xlsx%3F__blob%3DpublicationFile&amp;wdOrigin=BROWSELINK"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A34A7B-76C4-433E-AF43-FEB34A7D8107}">
  <sheetPr codeName="Tabelle6">
    <pageSetUpPr fitToPage="1"/>
  </sheetPr>
  <dimension ref="A1:XFA924"/>
  <sheetViews>
    <sheetView topLeftCell="E96" zoomScale="115" zoomScaleNormal="115" workbookViewId="0">
      <selection activeCell="N111" sqref="N111"/>
    </sheetView>
  </sheetViews>
  <sheetFormatPr baseColWidth="10" defaultColWidth="17.25" defaultRowHeight="15"/>
  <cols>
    <col min="1" max="1" width="33.25" style="609" customWidth="1"/>
    <col min="2" max="2" width="5.25" style="609" customWidth="1"/>
    <col min="3" max="3" width="43" style="635" customWidth="1"/>
    <col min="4" max="4" width="10.25" style="636" customWidth="1"/>
    <col min="5" max="5" width="13.625" style="636" customWidth="1"/>
    <col min="6" max="6" width="5.625" style="391" customWidth="1"/>
    <col min="7" max="7" width="49.25" style="634" customWidth="1"/>
    <col min="9" max="9" width="39.625" style="634" customWidth="1"/>
    <col min="10" max="10" width="25.75" style="784" customWidth="1"/>
    <col min="11" max="13" width="13.25" style="1197" customWidth="1"/>
    <col min="14" max="14" width="10.625" style="1197" customWidth="1"/>
    <col min="15" max="15" width="64" style="785" customWidth="1"/>
    <col min="16" max="16" width="11.125" style="414" customWidth="1"/>
    <col min="17" max="16384" width="17.25" style="414"/>
  </cols>
  <sheetData>
    <row r="1" spans="1:16381" ht="37.5" customHeight="1">
      <c r="C1" s="2129" t="s">
        <v>1048</v>
      </c>
      <c r="D1" s="2129"/>
      <c r="E1" s="2129"/>
      <c r="F1" s="2129"/>
      <c r="G1" s="2129"/>
      <c r="I1" s="1227"/>
      <c r="J1" s="1227"/>
      <c r="K1" s="1227"/>
      <c r="L1" s="1227"/>
      <c r="M1" s="1227"/>
      <c r="N1" s="1227"/>
      <c r="O1" s="1227"/>
    </row>
    <row r="2" spans="1:16381" ht="66.75" customHeight="1">
      <c r="A2" s="1028"/>
      <c r="B2" s="1028">
        <f>COUNT(B6:B337)</f>
        <v>326</v>
      </c>
      <c r="C2" s="2127" t="s">
        <v>1576</v>
      </c>
      <c r="D2" s="2128"/>
      <c r="E2" s="2128"/>
      <c r="F2" s="2128"/>
      <c r="G2" s="2128"/>
      <c r="I2" s="1226"/>
      <c r="J2" s="1226"/>
      <c r="K2" s="1486">
        <f>+K5/$B$2</f>
        <v>0.34969325153374231</v>
      </c>
      <c r="L2" s="1486">
        <f>+L5/$B$2</f>
        <v>0.6380368098159509</v>
      </c>
      <c r="M2" s="1486">
        <f>+M5/$B$2</f>
        <v>0.25766871165644173</v>
      </c>
      <c r="N2" s="1486">
        <f>+N5/$B$2</f>
        <v>0.48773006134969327</v>
      </c>
      <c r="O2" s="414" t="s">
        <v>813</v>
      </c>
    </row>
    <row r="3" spans="1:16381" ht="27" hidden="1" customHeight="1">
      <c r="C3" s="635" t="e">
        <f>TEXT(#REF!+F3,0)</f>
        <v>#REF!</v>
      </c>
      <c r="D3" s="636" t="s">
        <v>759</v>
      </c>
      <c r="E3" s="636" t="s">
        <v>758</v>
      </c>
      <c r="F3" s="391">
        <f>COUNTIF(F7:F330,"Ja")</f>
        <v>113</v>
      </c>
      <c r="J3" s="961"/>
      <c r="K3" s="1197">
        <f>SUM(K6:K430)</f>
        <v>114</v>
      </c>
      <c r="L3" s="1197">
        <f>SUM(L6:L430)/2</f>
        <v>208</v>
      </c>
      <c r="M3" s="1197">
        <f>SUM(M6:M430)/2</f>
        <v>126</v>
      </c>
      <c r="N3" s="1197">
        <f>SUM(N6:N430)/4</f>
        <v>159</v>
      </c>
    </row>
    <row r="4" spans="1:16381" s="144" customFormat="1" ht="25.5" customHeight="1">
      <c r="A4" s="887" t="s">
        <v>763</v>
      </c>
      <c r="B4" s="887"/>
      <c r="C4" s="652" t="s">
        <v>651</v>
      </c>
      <c r="D4" s="652" t="s">
        <v>60</v>
      </c>
      <c r="E4" s="652" t="s">
        <v>652</v>
      </c>
      <c r="F4" s="1410" t="s">
        <v>1163</v>
      </c>
      <c r="G4" s="1224" t="s">
        <v>653</v>
      </c>
      <c r="I4" s="1224" t="s">
        <v>1187</v>
      </c>
      <c r="J4" s="786" t="s">
        <v>656</v>
      </c>
      <c r="K4" s="1198" t="s">
        <v>1054</v>
      </c>
      <c r="L4" s="1198" t="s">
        <v>1055</v>
      </c>
      <c r="M4" s="1198" t="s">
        <v>1056</v>
      </c>
      <c r="N4" s="1198" t="s">
        <v>1057</v>
      </c>
      <c r="O4" s="1225" t="s">
        <v>661</v>
      </c>
      <c r="P4" s="144" t="s">
        <v>1122</v>
      </c>
    </row>
    <row r="5" spans="1:16381" s="609" customFormat="1" ht="22.5">
      <c r="A5" s="887" t="str">
        <f>+C5</f>
        <v>Bitte suchen Sie aus der Liste die Versicherung aus</v>
      </c>
      <c r="B5" s="887"/>
      <c r="C5" s="651" t="s">
        <v>1175</v>
      </c>
      <c r="D5" s="652"/>
      <c r="E5" s="652"/>
      <c r="F5" s="653"/>
      <c r="G5" s="654"/>
      <c r="I5" s="654"/>
      <c r="J5" s="786"/>
      <c r="K5" s="1198">
        <f>SUM(K6:K337)</f>
        <v>114</v>
      </c>
      <c r="L5" s="1198">
        <f>SUM(L6:L337)/2</f>
        <v>208</v>
      </c>
      <c r="M5" s="1198">
        <f>SUM(M6:M337)/3</f>
        <v>84</v>
      </c>
      <c r="N5" s="1198">
        <f>SUM(N6:N337)/4</f>
        <v>159</v>
      </c>
      <c r="O5" s="787"/>
      <c r="S5" s="609">
        <f>SUM(S7:S19)</f>
        <v>12</v>
      </c>
    </row>
    <row r="6" spans="1:16381" s="144" customFormat="1" ht="14.1" customHeight="1">
      <c r="A6" s="609" t="str">
        <f t="shared" ref="A6:A76" si="0">C6&amp;IF(D6=0,""," v. "&amp;TEXT(D6,"TT.MM.JJJ"))</f>
        <v>Accenture v. 01.01.2015</v>
      </c>
      <c r="B6" s="609">
        <f>ROW()</f>
        <v>6</v>
      </c>
      <c r="C6" s="635" t="s">
        <v>1181</v>
      </c>
      <c r="D6" s="1201">
        <v>42005</v>
      </c>
      <c r="E6" s="636" t="s">
        <v>201</v>
      </c>
      <c r="F6" s="637" t="str">
        <f t="shared" ref="F6:F26" si="1">IF(K6=1,"Ja","")</f>
        <v/>
      </c>
      <c r="G6" s="634" t="str">
        <f t="shared" ref="G6:G76" si="2">IF(SUM(K6:N6)=0,"","TO ermöglicht: "&amp;IF(K6&gt;0,"Tarifwechel; ","")&amp;IF(L6&gt;0,"doppelten Kostenabzug; ","")&amp;IF(M6&gt;0," Abweichungen vom gerichtl. festgelegten Ausgleichswert; ","")&amp;IF(N6&gt;0," Verzinsung zwischen EzE und RK geltend machen",""))</f>
        <v>TO ermöglicht: doppelten Kostenabzug;  Abweichungen vom gerichtl. festgelegten Ausgleichswert;  Verzinsung zwischen EzE und RK geltend machen</v>
      </c>
      <c r="I6" s="634"/>
      <c r="J6" s="784"/>
      <c r="K6" s="1199"/>
      <c r="L6" s="1199">
        <v>2</v>
      </c>
      <c r="M6" s="1199">
        <v>3</v>
      </c>
      <c r="N6" s="1199">
        <v>4</v>
      </c>
      <c r="O6" s="785"/>
      <c r="P6" s="144">
        <f t="shared" ref="P6:P17" si="3">SUM(K6:N6)</f>
        <v>9</v>
      </c>
      <c r="S6" s="2130" t="str">
        <f>_xlfn.CONCAT(A6:A411)</f>
        <v>Accenture v. 01.01.2015ACE European Group Limiteted v. 01.09.2009Adler Modemaerkte Versorgungswerk e.V. v. 01.01.2019allfrisch Unterstuetzungskasse e.V v. 28.12.2017Allianz KBV Harmonisierung BPV v. 07.01.2010Allianz Klinik-Rente v. 01.12.2012Allianz Lebensversicherung AG (Klinik-Rente) v. 01.12.2012Allianz Lebensversicherung AG v. 01.12.2012Allianz Lebensversicherung AG v. 01.12.2018Allianz Lebensversicherung AG v. 01.12.2020Allianz Lebensversicherung AG v. 21.07.2021Allianz Lebensversicherungs AG v. 01.09.2009Allianz Lebensversicherungs-AG v. 01.07.2010Allianz LV v. 01.02.2010Allianz-Pensions-Management e.V. v. 21.12.2009Allianz Pensionskasse v. 01.12.2020Alte Leipziger Lebensversicherung auf Gegenseitigkeit v. 01.04.2010Alz Chemie v. 05.11.2011Ärzteversorgung Hessen (LÄK) v. Datum unbekanntAthora AG Pensionskasse &amp; Lebensversicherung v. 11.09.2019Athora Lebensversicherung AG v. 11.09.2019AXA Leben v. 01.06.2020AXA Leben v. 01.05.2020AXA Leben v. 01.08.2020AXA Überbetriebliche Unterstützungskasse e.V. v. 01.01.2018Baden-Badener Pensionskasse v. 30.11.2009Baloise Lebensversicherung AG Deutschland v. 01.10.2009BASF Pensionskasse VVaG v. 01.07.2019BASF SE v. 01.07.2019Bayerischer Rundfunk Tarifvertrag v. 01.12.2009Bayern-Versicherung LV AG v. 12.12.2020Bayern-Versicherung LV AG v. 22.10.2022BKK Mobil Oil v. 01.09.2009BKK VBU 2012 kongruent TO v. 01.11.2012BKK VBU 2012 partiell TO v. 01.11.2012BKK VBU kongruent v. 01.11.2012BKK VBU partiell v. 01.11.2012Bochumer Verband - Arbeitgeberfinanzierte Versorg. v. 01.09.2009Bochumer Verband - Entgeldumwandlung v. 01.09.2009Boehringer Ingelheim KG v. 01.07.2021Boge Elastmetall Unterstützungskasse e.V. v. 01.01.2018Bombardier_TransportationTO v. 01.09.2009BP Europa SE v. 01.09.2009BVV, Banken Versicherungs Verein v. 01.07.2016C &amp; A Services GmbH &amp; Co. OHG v. 01.02.2017Carl Zeiss AG v. 27.10.2016Continental COOP eG Gesamr Versorgungsrichtlinie v. 01.09.2009COOP Schleswig Holstein Rentenzuschusskasse v. 01.01.2019Cosmos Direkt v. 01.01.2010CSM Deutschland GmbH v. 01.07.2021DAG Stiftung Ruhegehaltskasse v. 10.12.2015Daimler Brand &amp; IP Management GmbH &amp; Co.KG v. 01.04.2021Daimler Truck AG v. 01.04.2021Daimler Vorsorge Kapital Teilungsordnung v. 01.04.2021DAK Hamburg  v. 01.01.2022DAK Hamburg  v. 10.07.2013Damovo Deutschland GmbH &amp; Co. KG v. 24.08.2009Debeka Lebensversicherungsverein a.G.  v. 01.08.2020Debeka Lebensversicherungsverein a.G. AltZertG-Verträge v. 01.01.2017Debeka ZVK VaG Tarif ZVD 7 v. 79-2021Decadia GmbH v. 16.09.2016Degussa Pensionskasse Marl Troisdorf v. 01.07.2016Degussa Pensionskasse Riester-Tarif v. 01.06.2016Degussa Pensionskasse v. 01.06.2016Degussa UK Leistungsplan RUK v. 01.07.2018Degussa UK Leistungsplan RUK vor 2018Deka-BonusRenteDeka-ZukunftsPlanDeka-Zukunftsplan und BonusRente v. 01.01.2019Delta Lloyd LebensversicherungDelta Lloyd PensionskasseDeutsche Ärzteversicherung AG v. 01.05.2020Deutsche Bank v. 01.04.2016Deutsche Bank v. 01.07.2021Deutsche Fertighaus Holding UK DFH v. 01.09.2009Deutsche Flugsicherung v. 09.12.2016Deutsche See v. 01.09.2009Deutsche Telekom AG v. 01.07.2022Deutsche Telekom KBV bAV AT v. 19.03.2021Deutsche Telekom TV Kapitalkontenplan v. 01.02.2022Deutsche Welle Tarifvertrag v. 06.12.2009Deutscher Pensionsfonds AG v. 01.01.2013Deutscher Pensionsfonds AG v. 06.12.2020Deutschlandradio Tarifvertrag v. 10.12.2009DFS Deutsche Flugsicherung v. 09.12.2016Diamalt v. 01.07.2021DINEA_Gastronomie_GmbH v. 01.07.2012Diversey GmbH &amp; Co. OHG v. 01.01.2010DWS Investment GmbH Basisrentenverträge AltZertG v. 01.11.2018DWS Investment v. 01.06.2022EDEKA Handelsgesellschaft Nordbayern-Sachsen-Thüringen mbH v. 01.09.2009EDEKA Nordbayern-Schsen-Thüringen GmbH v. 01.09.2009EDEKA Rhein-Ruhr R11 R12 v. 01.09.2018EDEKA Süd v. 01.09.2009EDEKA Südwest v. 01.09.2009EDEKA Zentrale Handel und Produktion GmbH v. 01.07.2016Edelweiss GmbH &amp; Co KG (EVO I und II) v. 01.07.2011Edelweiss GmbH &amp; Co KG (EVO) v. 22.12.2012Edelweiss GmbH &amp; Co KG (UVO) v. 01.09.2009EKN Betriebs AG &amp; Co. oHG: Direktzusagen v. 01.04.2017ERGO Unterstützungskasse v. 01.03.2010ERGO v. 16.01.2020ERGO v. 25.02.2020ERGO Pensionsfonds AG v. 18.08.2021EGU Ergo Gruppenunterstützungskasse e.V. v. 12.01.2011ERGO Lebensversicherung AG v. 12.01.2012Ernest &amp; Young v. 12.04.2010Ernest &amp; Young v. 22.07.2016Essener Verband  v. 10.11.2009Essener Verband Leistungsordnung "A" v. 01.01.2012Esso Deutschland GmbH v. 09.02.2010Evonik v. 04.12.2009Evonik v. 15.05.2015ExxonMobil Central Europe Holding GmbH v. 09.02.2010ExxonMobil Gas Marketing Deuschland GmbH v. 09.02.2010ExxonMobil Pensions-Verwaltungsgesellschaft mbH v. 09.02.2010ExxonMobil Production Deutschland GmbH v. 09.02.2010EY Ernest &amp; Young GmbH v. 22.07.2016Familienfürsorge UK v. 01.01.2011Feuersozietät Berlin Brandenburg AG v. 01.09.2009FOVERUKA v. 13.12.2016Frankfurt Münchener Lebensversicherung AG v. 15.7.2017?Freies Versorgungswerk e.V. v. 01.02.2012Fresenius v. 01.03.2017GALERIA Logisitik GmbH v. 01.07.2012GALERIA Personalservice GmbH TO v. 01.07.2012Generali Lebensversicherung AG v. 01.12.2009Generali Pensionsfonds AG v. 07.07.2016Generali v. 01.07.2020Geno Pensionskasse VVaG, Karlsruhe v. 31.12.2020GlaxoSmithKline GmbH &amp; Co KG v. 01.09.2009Gothaer Lebensversicherung AG  v. 19.02.2010Gothaer Pensionskasse AG v. 10.01.2013Gothaer Pensionskasse AG v. 19.02.2010Hamburger Lebensversicherung AGHamburger Pensionskasse v. 01.08.2011Hamburger Pensionskasse v. 29.04.2021Hamburger Pensionsunterstützungskasse e.V. v. 01.01.2018Hamburger Pensionsunterstützungskasse e.V. v. 01.06.2010Hamburger Unterstützungskasse HUK Nr. 1 v. 01.09.2009Hamburger Unterstützungskasse HUK Nr. 2 v. 01.01.2018Hamburger Unterstützungskasse HUK v. 01.06.2015Hamburger Wasserwerke GmbH v. 01.09.2009Hannoversche Lebensversicherung AG v. 01.02.2022HanseMerkur Lebensversicherung AG v. 01.04.2017HDI Lebensversicherung AG v. 02.01.2020HDI Lebensversicherung AG v. 14.01.2013HDI Lebensversicherung AG v. ohne DatumHDI Pensionskasse v. 01.04.2015HDI Pensionskasse v. 14.01.2013Heidelberger Leben v. 01.01.2014Heidelberger Cement AG, Heidelberg v. 23.03.2013Helvetia schweizerische Lebensversicherungs-AG v. 01.04.2019Hewlett Packard GmbH Böblingen v. 18.12.2009Hoechst Pensionskasse v. 01.01.2022Homann Feinkost GmbH v. 01.09.2009HUK-Coburg v. 01.01.2015HypoVereinsbank HVB v. 05.10.2016HypoVereinsbank Unicredit Group v. 05.10.2016IBM v. 01.09.2009IGLO GmbH v. 01.09.2009Imperial Logistics v. 14.02.2022Ineos Phenol v. 25.09.2009InterRisk Lebensversicherungs AG Vienna Insurance Group v. 02.08.2012KKH - Teilungsregeln für den Versorgungsausgleich v. 26.05.2011Kölner Pensionskasse v. 01.01.2016Kordoba TO KAVP TMA FHL v. 14.12.2010LandesBank Berlin v. 22.03.2010Landesbank Berlin v. 17.09.2021Landesbank BW (Kapitalkontenplan 2005) TO  v. 02.05.2015Lebensversicherung von 1871 a.G. München v. 01.09.2009LPV Lebensversicherung AG PBV-Bestandssegment, Bestandssystem Köln v. 01.09.2023LPV Lebensversicherung AG PBV-Bestandssegment v. 01.09.2023Lufthansa Group TO  v. 28.06.2018Lufthansa Group Versorgungskasse Kabine e.V. v. 01.01.2012LVM Lebens- und Rentenversicherungen (privat) v. 01.10.2009LVM Lebensversicherungs-AG v. 01.07.2017LVM Pensionsfonds v. 01.09.2009LVM Pensionsplan V v. 01.01.2010LVM Unterstützungskasse v. 01.03.2010LVM Unterstützungskasse v. 01.09.2009LVM Versicherung (Direktversicherung) v. 01.10.2009LVM Versicherung v. 01.07.2017MAN (KBV BAV MEV) v. 01.09.2009MAN (KBV BAV MEV) v. 04.04.2011MAN (KBV BAV MEV) v. 15.03.2011Marktkauf Gruppen-Unterstützungskasse e.V. v. 01.01.2018Mecklenburgische LV AG v. 01.06.2013MEDA Pharma GmbH v. 02.11.2009Mercedes Benz AG v. 01.04.2021Metall-Rente v. 01.09.2009METRO Cash Carry_Deutschland v. 01.07.2012METRO_AG_ASKO v. 01.09.2009METRO_AG_EPP_FPP v. 01.07.2012Mitteldeutscher Rundfunk Tarifvertrag v. 02.12.2009Mobil Oil BKK v. 01.01.2019Münchener Rückversicherungs-Gesellschaft AG  v. 01.10.2021Nestlé PK Tarif Baustein L v. 22.09.2010Nestlé PK Tarif Vorsorgekonto v. 21.09.2010Netto Direktzusagen v. 05.01.2019Netto_Direktzusagen v. 01.05.2019Neue Bayerische Beamten Lebensversicherung AG v. 01.01.2013Neue Leben v. 01.08.2018Neue Leben v. 07.10.2012Norddeutscher Rundfunk Tarifvertrag v. 07.12.2009Nordostdeutsche Energiewirtschaft Unterstützungskasse v. 30.03.2020Nordsee GmbH v. 01.09.2009Nürnberger Lebensversicherung AG v. 01.01.2022Nürnberger Pensionskasse AG v. 01.01.2022Nürnberger Pensionskasse AG v. 01.05.2010Nürnberger überbetriebliche Versorgungskasse e.V. v. 01.01.2022Nürnberger überbetriebliche Versorgungskasse e.V. v. 06.12.2018Nürnberger überbetriebliche Versorgungskasse e.V. v. 18.12.2009ÖBAV Unterstützungskasse e.V.  v. 01.05.2018Opel Direktversicherung Hannoversche v. 01.01.2010Opel GmbH v. 16.08.20181PB Lebensversicherung AG v. 01.03.2010PB Lebensversicherung AG v. 01.10.2019PB Lebensversicherung v. 01.03.2010PB Pensionsfonds AG v. 01.01.2010PB Pensionsfonds v. 01.04.2015Pensionskasse der Deutschen Wirtschaft v. 29.09.2016Pensionskasse des SchornsteinfegerhandwerksPensionsSicherungsVerein PSV v. 03.05.2017Philip Morris GmbH v. 30.10.1919Presse-Versorgung (Allianz) v. 01.12.2012Pro bAV Pensionskasse AG v. 27.08.2018probAV v. 06.08.2018Provinzial Düsseldorf v. 20.04.2021Provinzial Lebensversicherungen v. 03.05.2010Provinzial LV Hannover v. 01.05.2016Provinzial LV v. 01.01.2017Provinzial NordWest LV v. 01.01.2017Provinzial v. 01.01.2022Proxalto Lebensversicherung v. 01.07.2022Proxalto Lebensversicherung v. 05.04.2019PSVAG (Pensions Sicherungs Verein) v. 03.05.2017R+V ebensversicherung AGR+V ebensversicherung AG v. 01.03.2020Radio Bremen Tarifvertrag v. 03.12.2009Real Unterstützungskasse v. 01.01.2018real_Group_Holding_GmbH v. 01.07.2012real_SB_Warenhaus_GmbH v. 01.07.2012REWE Unterstützungskasse e.V. v. 01.01.2018REWE Unterstützungskasse e.V. v. 01.01.2018Roche Diagnostics GmbH v. 27.09.2011Rosenheimer Unterstützungskasse v. 01.05.2022Rundfunk Berlin-Brandenburg Tarifvertrag v. 08.12.2009Saarländischer Rundfunk Tarifvertrag v. 04.12.2009Secunda Unterstützungskasse für den Mittelstand v. 01.01.2010SelbstHilfe PK Caritas v. 01.01.2014Sera-Zusage v. 01.07.2021Signal Iduna a.G. v. 01.05.2022Signal Iduna AG v. 01.05.2022Signal Iduna Pensionskass AG v. 01.05.2022Signal Iduna v. 01.01.2010Sparkassen Pensionskasse AG v. 01.05.2021Sparkassen Pensionskasse AG v. 11.04.2016Sparkassen-Versicherung private AV v. 01.06.2017Sparkassen-Versicherung private AV v. 01.05.2023Standard Life v. 30.06.2011Südwestrundfunk Tarifvertrag v. 09.12.2009SutorBank v. 01.05.2022Swiss Life AG v. 01.11.2013Swiss Life AG v. 16.12.2014SwissLife Pensionskasse v. 23.09.2014SwissLife Unterstützungskasse v. 02.11.2010Targo Lebensversicherung AG v. 01.09.2013TestUlmer Spatz v. 01.07.2021UMU-Unterstützungskasse mittelständischer Unternehmen e.V. v. 01.12.2013Unilever v. 01.06.2016Union Investment Privatfonds GmbH v. 01.01.2021Unterstützungskasse der nordostdeutschen Energiewirtschaft e.V. v. 30.03.2020VdVA Unterstützungskasse v. 01.01.2022Vereinigte Postversicherung VVaG  v. 11.07.2022Vereinigte Postversicherung VVaG für Direktversicherungen v. 11.07.2022Versorgungsanstalt der Deutschen Bundespost v. 05.10.2010Versorgungsanstalt der KaminkehrergesellenVersorgungswerk der Wohnungswirtschaft (VDW) v. 01.01.2018Vertreterversorgungswerk der Allianz Beratungs- und Vertreibs AG v. 13.12.2010Victoria LV AG v. 16.01.2020Vodafone v. 01.04.2019VolkswohlBundVPV Allgemeine Versicherungs AG  v. 11.07.2022VPV Allgemeine Versicherungs AG für Direktversicherungen v. 11.07.2022VPV Lebensversicherungs AG  v. 11.07.2022VPV Lebensversicherungs AG für Direktversicherungen v. 11.07.2022VRK Lebensversicherung v. 01.01.2015VW  v. 01.12.2017Vorwerk &amp; Co.KG v. 31.08.2012WDR TO  v. 01.03.2022Westdeutscher Rundfunk Tarifvertrag v. 05.12.2009Württembergische Lebensversicherung AG v. 01.07.2020Wüstenrot &amp; Württembergische DC Pensionszusagen durch Gehaltsumwandlung v. ohne DatumWüstenrot &amp; Württembergische Pensionskasse v. ohne DatumWüstenrot &amp; Württembergische Pensionszusage LHB v. ohne DatumWWK v. 01.08.2014ZF Friedrichshafen ZF-Rente v. 02.11.2010ZF-MP Altersversorgung e.V. beitragsorientierte Versorgungezusage v. 01.06.2011Zurich  v. 01.02.2013Zurich Deutsche Herold Unterstützungskasse v. 19.05.2016Zurich Deutscher Herold v. 01.01.2015Zurich Deutscher Herold v. 19.05.2016Zweite real SB Warenhaus GmbH v. 01.07.2012</v>
      </c>
      <c r="T6" s="2130"/>
      <c r="U6" s="2130"/>
      <c r="V6" s="2130"/>
      <c r="W6" s="2130"/>
      <c r="X6" s="2130"/>
      <c r="Y6" s="2130"/>
      <c r="Z6" s="2130"/>
      <c r="AA6" s="2130"/>
      <c r="AB6" s="2130"/>
      <c r="AC6" s="2130"/>
      <c r="AD6" s="2130"/>
      <c r="AE6" s="2130"/>
      <c r="AF6" s="2130"/>
      <c r="AG6" s="2130"/>
      <c r="AH6" s="2130"/>
      <c r="AI6" s="2130"/>
      <c r="AJ6" s="2130"/>
    </row>
    <row r="7" spans="1:16381" s="609" customFormat="1">
      <c r="A7" s="609" t="str">
        <f t="shared" si="0"/>
        <v>ACE European Group Limiteted v. 01.09.2009</v>
      </c>
      <c r="B7" s="609">
        <f>ROW()</f>
        <v>7</v>
      </c>
      <c r="C7" s="635" t="s">
        <v>1362</v>
      </c>
      <c r="D7" s="1201">
        <v>40057</v>
      </c>
      <c r="E7" s="636" t="s">
        <v>1213</v>
      </c>
      <c r="F7" s="637" t="str">
        <f t="shared" si="1"/>
        <v/>
      </c>
      <c r="G7" s="634" t="str">
        <f t="shared" si="2"/>
        <v/>
      </c>
      <c r="I7" s="634"/>
      <c r="J7" s="784"/>
      <c r="K7" s="1199"/>
      <c r="L7" s="1199"/>
      <c r="M7" s="1199"/>
      <c r="N7" s="1199"/>
      <c r="O7" s="785"/>
      <c r="P7" s="144">
        <f t="shared" si="3"/>
        <v>0</v>
      </c>
      <c r="Q7" s="414"/>
      <c r="R7" s="414"/>
      <c r="S7" s="609">
        <f>IFERROR(SEARCH(MID(+Fallerfassung!D27,1,5),S$6),1)</f>
        <v>1</v>
      </c>
      <c r="T7" s="414"/>
      <c r="U7" s="414"/>
      <c r="V7" s="414"/>
      <c r="W7" s="414"/>
      <c r="X7" s="414"/>
      <c r="Y7" s="414"/>
      <c r="Z7" s="414"/>
      <c r="AA7" s="414"/>
      <c r="AB7" s="414"/>
      <c r="AC7" s="414"/>
      <c r="AD7" s="414"/>
      <c r="AE7" s="414"/>
      <c r="AF7" s="414"/>
      <c r="AG7" s="414"/>
      <c r="AH7" s="414"/>
      <c r="AI7" s="414"/>
      <c r="AJ7" s="414"/>
      <c r="AK7" s="414"/>
      <c r="AL7" s="414"/>
      <c r="AM7" s="414"/>
      <c r="AN7" s="414"/>
      <c r="AO7" s="414"/>
      <c r="AP7" s="414"/>
      <c r="AQ7" s="414"/>
      <c r="AR7" s="414"/>
      <c r="AS7" s="414"/>
      <c r="AT7" s="414"/>
      <c r="AU7" s="414"/>
      <c r="AV7" s="414"/>
      <c r="AW7" s="414"/>
      <c r="AX7" s="414"/>
      <c r="AY7" s="414"/>
      <c r="AZ7" s="414"/>
      <c r="BA7" s="414"/>
      <c r="BB7" s="414"/>
      <c r="BC7" s="414"/>
      <c r="BD7" s="414"/>
      <c r="BE7" s="414"/>
      <c r="BF7" s="414"/>
      <c r="BG7" s="414"/>
      <c r="BH7" s="414"/>
      <c r="BI7" s="414"/>
      <c r="BJ7" s="414"/>
      <c r="BK7" s="414"/>
      <c r="BL7" s="414"/>
      <c r="BM7" s="414"/>
      <c r="BN7" s="414"/>
      <c r="BO7" s="414"/>
      <c r="BP7" s="414"/>
      <c r="BQ7" s="414"/>
      <c r="BR7" s="414"/>
      <c r="BS7" s="414"/>
      <c r="BT7" s="414"/>
      <c r="BU7" s="414"/>
      <c r="BV7" s="414"/>
      <c r="BW7" s="414"/>
      <c r="BX7" s="414"/>
      <c r="BY7" s="414"/>
      <c r="BZ7" s="414"/>
      <c r="CA7" s="414"/>
      <c r="CB7" s="414"/>
      <c r="CC7" s="414"/>
      <c r="CD7" s="414"/>
      <c r="CE7" s="414"/>
      <c r="CF7" s="414"/>
      <c r="CG7" s="414"/>
      <c r="CH7" s="414"/>
      <c r="CI7" s="414"/>
      <c r="CJ7" s="414"/>
      <c r="CK7" s="414"/>
      <c r="CL7" s="414"/>
      <c r="CM7" s="414"/>
      <c r="CN7" s="414"/>
      <c r="CO7" s="414"/>
      <c r="CP7" s="414"/>
      <c r="CQ7" s="414"/>
      <c r="CR7" s="414"/>
      <c r="CS7" s="414"/>
      <c r="CT7" s="414"/>
      <c r="CU7" s="414"/>
      <c r="CV7" s="414"/>
      <c r="CW7" s="414"/>
      <c r="CX7" s="414"/>
      <c r="CY7" s="414"/>
      <c r="CZ7" s="414"/>
      <c r="DA7" s="414"/>
      <c r="DB7" s="414"/>
      <c r="DC7" s="414"/>
      <c r="DD7" s="414"/>
      <c r="DE7" s="414"/>
      <c r="DF7" s="414"/>
      <c r="DG7" s="414"/>
      <c r="DH7" s="414"/>
      <c r="DI7" s="414"/>
      <c r="DJ7" s="414"/>
      <c r="DK7" s="414"/>
      <c r="DL7" s="414"/>
      <c r="DM7" s="414"/>
      <c r="DN7" s="414"/>
      <c r="DO7" s="414"/>
      <c r="DP7" s="414"/>
      <c r="DQ7" s="414"/>
      <c r="DR7" s="414"/>
      <c r="DS7" s="414"/>
      <c r="DT7" s="414"/>
      <c r="DU7" s="414"/>
      <c r="DV7" s="414"/>
      <c r="DW7" s="414"/>
      <c r="DX7" s="414"/>
      <c r="DY7" s="414"/>
      <c r="DZ7" s="414"/>
      <c r="EA7" s="414"/>
      <c r="EB7" s="414"/>
      <c r="EC7" s="414"/>
      <c r="ED7" s="414"/>
      <c r="EE7" s="414"/>
      <c r="EF7" s="414"/>
      <c r="EG7" s="414"/>
      <c r="EH7" s="414"/>
      <c r="EI7" s="414"/>
      <c r="EJ7" s="414"/>
      <c r="EK7" s="414"/>
      <c r="EL7" s="414"/>
      <c r="EM7" s="414"/>
      <c r="EN7" s="414"/>
      <c r="EO7" s="414"/>
      <c r="EP7" s="414"/>
      <c r="EQ7" s="414"/>
      <c r="ER7" s="414"/>
      <c r="ES7" s="414"/>
      <c r="ET7" s="414"/>
      <c r="EU7" s="414"/>
      <c r="EV7" s="414"/>
      <c r="EW7" s="414"/>
      <c r="EX7" s="414"/>
      <c r="EY7" s="414"/>
      <c r="EZ7" s="414"/>
      <c r="FA7" s="414"/>
      <c r="FB7" s="414"/>
      <c r="FC7" s="414"/>
      <c r="FD7" s="414"/>
      <c r="FE7" s="414"/>
      <c r="FF7" s="414"/>
      <c r="FG7" s="414"/>
      <c r="FH7" s="414"/>
      <c r="FI7" s="414"/>
      <c r="FJ7" s="414"/>
      <c r="FK7" s="414"/>
      <c r="FL7" s="414"/>
      <c r="FM7" s="414"/>
      <c r="FN7" s="414"/>
      <c r="FO7" s="414"/>
      <c r="FP7" s="414"/>
      <c r="FQ7" s="414"/>
      <c r="FR7" s="414"/>
      <c r="FS7" s="414"/>
      <c r="FT7" s="414"/>
      <c r="FU7" s="414"/>
      <c r="FV7" s="414"/>
      <c r="FW7" s="414"/>
      <c r="FX7" s="414"/>
      <c r="FY7" s="414"/>
      <c r="FZ7" s="414"/>
      <c r="GA7" s="414"/>
      <c r="GB7" s="414"/>
      <c r="GC7" s="414"/>
      <c r="GD7" s="414"/>
      <c r="GE7" s="414"/>
      <c r="GF7" s="414"/>
      <c r="GG7" s="414"/>
      <c r="GH7" s="414"/>
      <c r="GI7" s="414"/>
      <c r="GJ7" s="414"/>
      <c r="GK7" s="414"/>
      <c r="GL7" s="414"/>
      <c r="GM7" s="414"/>
      <c r="GN7" s="414"/>
      <c r="GO7" s="414"/>
      <c r="GP7" s="414"/>
      <c r="GQ7" s="414"/>
      <c r="GR7" s="414"/>
      <c r="GS7" s="414"/>
      <c r="GT7" s="414"/>
      <c r="GU7" s="414"/>
      <c r="GV7" s="414"/>
      <c r="GW7" s="414"/>
      <c r="GX7" s="414"/>
      <c r="GY7" s="414"/>
      <c r="GZ7" s="414"/>
      <c r="HA7" s="414"/>
      <c r="HB7" s="414"/>
      <c r="HC7" s="414"/>
      <c r="HD7" s="414"/>
      <c r="HE7" s="414"/>
      <c r="HF7" s="414"/>
      <c r="HG7" s="414"/>
      <c r="HH7" s="414"/>
      <c r="HI7" s="414"/>
      <c r="HJ7" s="414"/>
      <c r="HK7" s="414"/>
      <c r="HL7" s="414"/>
      <c r="HM7" s="414"/>
      <c r="HN7" s="414"/>
      <c r="HO7" s="414"/>
      <c r="HP7" s="414"/>
      <c r="HQ7" s="414"/>
      <c r="HR7" s="414"/>
      <c r="HS7" s="414"/>
      <c r="HT7" s="414"/>
      <c r="HU7" s="414"/>
      <c r="HV7" s="414"/>
      <c r="HW7" s="414"/>
      <c r="HX7" s="414"/>
      <c r="HY7" s="414"/>
      <c r="HZ7" s="414"/>
      <c r="IA7" s="414"/>
      <c r="IB7" s="414"/>
      <c r="IC7" s="414"/>
      <c r="ID7" s="414"/>
      <c r="IE7" s="414"/>
      <c r="IF7" s="414"/>
      <c r="IG7" s="414"/>
      <c r="IH7" s="414"/>
      <c r="II7" s="414"/>
      <c r="IJ7" s="414"/>
      <c r="IK7" s="414"/>
      <c r="IL7" s="414"/>
      <c r="IM7" s="414"/>
      <c r="IN7" s="414"/>
      <c r="IO7" s="414"/>
      <c r="IP7" s="414"/>
      <c r="IQ7" s="414"/>
      <c r="IR7" s="414"/>
      <c r="IS7" s="414"/>
      <c r="IT7" s="414"/>
      <c r="IU7" s="414"/>
      <c r="IV7" s="414"/>
      <c r="IW7" s="414"/>
      <c r="IX7" s="414"/>
      <c r="IY7" s="414"/>
      <c r="IZ7" s="414"/>
      <c r="JA7" s="414"/>
      <c r="JB7" s="414"/>
      <c r="JC7" s="414"/>
      <c r="JD7" s="414"/>
      <c r="JE7" s="414"/>
      <c r="JF7" s="414"/>
      <c r="JG7" s="414"/>
      <c r="JH7" s="414"/>
      <c r="JI7" s="414"/>
      <c r="JJ7" s="414"/>
      <c r="JK7" s="414"/>
      <c r="JL7" s="414"/>
      <c r="JM7" s="414"/>
      <c r="JN7" s="414"/>
      <c r="JO7" s="414"/>
      <c r="JP7" s="414"/>
      <c r="JQ7" s="414"/>
      <c r="JR7" s="414"/>
      <c r="JS7" s="414"/>
      <c r="JT7" s="414"/>
      <c r="JU7" s="414"/>
      <c r="JV7" s="414"/>
      <c r="JW7" s="414"/>
      <c r="JX7" s="414"/>
      <c r="JY7" s="414"/>
      <c r="JZ7" s="414"/>
      <c r="KA7" s="414"/>
      <c r="KB7" s="414"/>
      <c r="KC7" s="414"/>
      <c r="KD7" s="414"/>
      <c r="KE7" s="414"/>
      <c r="KF7" s="414"/>
      <c r="KG7" s="414"/>
      <c r="KH7" s="414"/>
      <c r="KI7" s="414"/>
      <c r="KJ7" s="414"/>
      <c r="KK7" s="414"/>
      <c r="KL7" s="414"/>
      <c r="KM7" s="414"/>
      <c r="KN7" s="414"/>
      <c r="KO7" s="414"/>
      <c r="KP7" s="414"/>
      <c r="KQ7" s="414"/>
      <c r="KR7" s="414"/>
      <c r="KS7" s="414"/>
      <c r="KT7" s="414"/>
      <c r="KU7" s="414"/>
      <c r="KV7" s="414"/>
      <c r="KW7" s="414"/>
      <c r="KX7" s="414"/>
      <c r="KY7" s="414"/>
      <c r="KZ7" s="414"/>
      <c r="LA7" s="414"/>
      <c r="LB7" s="414"/>
      <c r="LC7" s="414"/>
      <c r="LD7" s="414"/>
      <c r="LE7" s="414"/>
      <c r="LF7" s="414"/>
      <c r="LG7" s="414"/>
      <c r="LH7" s="414"/>
      <c r="LI7" s="414"/>
      <c r="LJ7" s="414"/>
      <c r="LK7" s="414"/>
      <c r="LL7" s="414"/>
      <c r="LM7" s="414"/>
      <c r="LN7" s="414"/>
      <c r="LO7" s="414"/>
      <c r="LP7" s="414"/>
      <c r="LQ7" s="414"/>
      <c r="LR7" s="414"/>
      <c r="LS7" s="414"/>
      <c r="LT7" s="414"/>
      <c r="LU7" s="414"/>
      <c r="LV7" s="414"/>
      <c r="LW7" s="414"/>
      <c r="LX7" s="414"/>
      <c r="LY7" s="414"/>
      <c r="LZ7" s="414"/>
      <c r="MA7" s="414"/>
      <c r="MB7" s="414"/>
      <c r="MC7" s="414"/>
      <c r="MD7" s="414"/>
      <c r="ME7" s="414"/>
      <c r="MF7" s="414"/>
      <c r="MG7" s="414"/>
      <c r="MH7" s="414"/>
      <c r="MI7" s="414"/>
      <c r="MJ7" s="414"/>
      <c r="MK7" s="414"/>
      <c r="ML7" s="414"/>
      <c r="MM7" s="414"/>
      <c r="MN7" s="414"/>
      <c r="MO7" s="414"/>
      <c r="MP7" s="414"/>
      <c r="MQ7" s="414"/>
      <c r="MR7" s="414"/>
      <c r="MS7" s="414"/>
      <c r="MT7" s="414"/>
      <c r="MU7" s="414"/>
      <c r="MV7" s="414"/>
      <c r="MW7" s="414"/>
      <c r="MX7" s="414"/>
      <c r="MY7" s="414"/>
      <c r="MZ7" s="414"/>
      <c r="NA7" s="414"/>
      <c r="NB7" s="414"/>
      <c r="NC7" s="414"/>
      <c r="ND7" s="414"/>
      <c r="NE7" s="414"/>
      <c r="NF7" s="414"/>
      <c r="NG7" s="414"/>
      <c r="NH7" s="414"/>
      <c r="NI7" s="414"/>
      <c r="NJ7" s="414"/>
      <c r="NK7" s="414"/>
      <c r="NL7" s="414"/>
      <c r="NM7" s="414"/>
      <c r="NN7" s="414"/>
      <c r="NO7" s="414"/>
      <c r="NP7" s="414"/>
      <c r="NQ7" s="414"/>
      <c r="NR7" s="414"/>
      <c r="NS7" s="414"/>
      <c r="NT7" s="414"/>
      <c r="NU7" s="414"/>
      <c r="NV7" s="414"/>
      <c r="NW7" s="414"/>
      <c r="NX7" s="414"/>
      <c r="NY7" s="414"/>
      <c r="NZ7" s="414"/>
      <c r="OA7" s="414"/>
      <c r="OB7" s="414"/>
      <c r="OC7" s="414"/>
      <c r="OD7" s="414"/>
      <c r="OE7" s="414"/>
      <c r="OF7" s="414"/>
      <c r="OG7" s="414"/>
      <c r="OH7" s="414"/>
      <c r="OI7" s="414"/>
      <c r="OJ7" s="414"/>
      <c r="OK7" s="414"/>
      <c r="OL7" s="414"/>
      <c r="OM7" s="414"/>
      <c r="ON7" s="414"/>
      <c r="OO7" s="414"/>
      <c r="OP7" s="414"/>
      <c r="OQ7" s="414"/>
      <c r="OR7" s="414"/>
      <c r="OS7" s="414"/>
      <c r="OT7" s="414"/>
      <c r="OU7" s="414"/>
      <c r="OV7" s="414"/>
      <c r="OW7" s="414"/>
      <c r="OX7" s="414"/>
      <c r="OY7" s="414"/>
      <c r="OZ7" s="414"/>
      <c r="PA7" s="414"/>
      <c r="PB7" s="414"/>
      <c r="PC7" s="414"/>
      <c r="PD7" s="414"/>
      <c r="PE7" s="414"/>
      <c r="PF7" s="414"/>
      <c r="PG7" s="414"/>
      <c r="PH7" s="414"/>
      <c r="PI7" s="414"/>
      <c r="PJ7" s="414"/>
      <c r="PK7" s="414"/>
      <c r="PL7" s="414"/>
      <c r="PM7" s="414"/>
      <c r="PN7" s="414"/>
      <c r="PO7" s="414"/>
      <c r="PP7" s="414"/>
      <c r="PQ7" s="414"/>
      <c r="PR7" s="414"/>
      <c r="PS7" s="414"/>
      <c r="PT7" s="414"/>
      <c r="PU7" s="414"/>
      <c r="PV7" s="414"/>
      <c r="PW7" s="414"/>
      <c r="PX7" s="414"/>
      <c r="PY7" s="414"/>
      <c r="PZ7" s="414"/>
      <c r="QA7" s="414"/>
      <c r="QB7" s="414"/>
      <c r="QC7" s="414"/>
      <c r="QD7" s="414"/>
      <c r="QE7" s="414"/>
      <c r="QF7" s="414"/>
      <c r="QG7" s="414"/>
      <c r="QH7" s="414"/>
      <c r="QI7" s="414"/>
      <c r="QJ7" s="414"/>
      <c r="QK7" s="414"/>
      <c r="QL7" s="414"/>
      <c r="QM7" s="414"/>
      <c r="QN7" s="414"/>
      <c r="QO7" s="414"/>
      <c r="QP7" s="414"/>
      <c r="QQ7" s="414"/>
      <c r="QR7" s="414"/>
      <c r="QS7" s="414"/>
      <c r="QT7" s="414"/>
      <c r="QU7" s="414"/>
      <c r="QV7" s="414"/>
      <c r="QW7" s="414"/>
      <c r="QX7" s="414"/>
      <c r="QY7" s="414"/>
      <c r="QZ7" s="414"/>
      <c r="RA7" s="414"/>
      <c r="RB7" s="414"/>
      <c r="RC7" s="414"/>
      <c r="RD7" s="414"/>
      <c r="RE7" s="414"/>
      <c r="RF7" s="414"/>
      <c r="RG7" s="414"/>
      <c r="RH7" s="414"/>
      <c r="RI7" s="414"/>
      <c r="RJ7" s="414"/>
      <c r="RK7" s="414"/>
      <c r="RL7" s="414"/>
      <c r="RM7" s="414"/>
      <c r="RN7" s="414"/>
      <c r="RO7" s="414"/>
      <c r="RP7" s="414"/>
      <c r="RQ7" s="414"/>
      <c r="RR7" s="414"/>
      <c r="RS7" s="414"/>
      <c r="RT7" s="414"/>
      <c r="RU7" s="414"/>
      <c r="RV7" s="414"/>
      <c r="RW7" s="414"/>
      <c r="RX7" s="414"/>
      <c r="RY7" s="414"/>
      <c r="RZ7" s="414"/>
      <c r="SA7" s="414"/>
      <c r="SB7" s="414"/>
      <c r="SC7" s="414"/>
      <c r="SD7" s="414"/>
      <c r="SE7" s="414"/>
      <c r="SF7" s="414"/>
      <c r="SG7" s="414"/>
      <c r="SH7" s="414"/>
      <c r="SI7" s="414"/>
      <c r="SJ7" s="414"/>
      <c r="SK7" s="414"/>
      <c r="SL7" s="414"/>
      <c r="SM7" s="414"/>
      <c r="SN7" s="414"/>
      <c r="SO7" s="414"/>
      <c r="SP7" s="414"/>
      <c r="SQ7" s="414"/>
      <c r="SR7" s="414"/>
      <c r="SS7" s="414"/>
      <c r="ST7" s="414"/>
      <c r="SU7" s="414"/>
      <c r="SV7" s="414"/>
      <c r="SW7" s="414"/>
      <c r="SX7" s="414"/>
      <c r="SY7" s="414"/>
      <c r="SZ7" s="414"/>
      <c r="TA7" s="414"/>
      <c r="TB7" s="414"/>
      <c r="TC7" s="414"/>
      <c r="TD7" s="414"/>
      <c r="TE7" s="414"/>
      <c r="TF7" s="414"/>
      <c r="TG7" s="414"/>
      <c r="TH7" s="414"/>
      <c r="TI7" s="414"/>
      <c r="TJ7" s="414"/>
      <c r="TK7" s="414"/>
      <c r="TL7" s="414"/>
      <c r="TM7" s="414"/>
      <c r="TN7" s="414"/>
      <c r="TO7" s="414"/>
      <c r="TP7" s="414"/>
      <c r="TQ7" s="414"/>
      <c r="TR7" s="414"/>
      <c r="TS7" s="414"/>
      <c r="TT7" s="414"/>
      <c r="TU7" s="414"/>
      <c r="TV7" s="414"/>
      <c r="TW7" s="414"/>
      <c r="TX7" s="414"/>
      <c r="TY7" s="414"/>
      <c r="TZ7" s="414"/>
      <c r="UA7" s="414"/>
      <c r="UB7" s="414"/>
      <c r="UC7" s="414"/>
      <c r="UD7" s="414"/>
      <c r="UE7" s="414"/>
      <c r="UF7" s="414"/>
      <c r="UG7" s="414"/>
      <c r="UH7" s="414"/>
      <c r="UI7" s="414"/>
      <c r="UJ7" s="414"/>
      <c r="UK7" s="414"/>
      <c r="UL7" s="414"/>
      <c r="UM7" s="414"/>
      <c r="UN7" s="414"/>
      <c r="UO7" s="414"/>
      <c r="UP7" s="414"/>
      <c r="UQ7" s="414"/>
      <c r="UR7" s="414"/>
      <c r="US7" s="414"/>
      <c r="UT7" s="414"/>
      <c r="UU7" s="414"/>
      <c r="UV7" s="414"/>
      <c r="UW7" s="414"/>
      <c r="UX7" s="414"/>
      <c r="UY7" s="414"/>
      <c r="UZ7" s="414"/>
      <c r="VA7" s="414"/>
      <c r="VB7" s="414"/>
      <c r="VC7" s="414"/>
      <c r="VD7" s="414"/>
      <c r="VE7" s="414"/>
      <c r="VF7" s="414"/>
      <c r="VG7" s="414"/>
      <c r="VH7" s="414"/>
      <c r="VI7" s="414"/>
      <c r="VJ7" s="414"/>
      <c r="VK7" s="414"/>
      <c r="VL7" s="414"/>
      <c r="VM7" s="414"/>
      <c r="VN7" s="414"/>
      <c r="VO7" s="414"/>
      <c r="VP7" s="414"/>
      <c r="VQ7" s="414"/>
      <c r="VR7" s="414"/>
      <c r="VS7" s="414"/>
      <c r="VT7" s="414"/>
      <c r="VU7" s="414"/>
      <c r="VV7" s="414"/>
      <c r="VW7" s="414"/>
      <c r="VX7" s="414"/>
      <c r="VY7" s="414"/>
      <c r="VZ7" s="414"/>
      <c r="WA7" s="414"/>
      <c r="WB7" s="414"/>
      <c r="WC7" s="414"/>
      <c r="WD7" s="414"/>
      <c r="WE7" s="414"/>
      <c r="WF7" s="414"/>
      <c r="WG7" s="414"/>
      <c r="WH7" s="414"/>
      <c r="WI7" s="414"/>
      <c r="WJ7" s="414"/>
      <c r="WK7" s="414"/>
      <c r="WL7" s="414"/>
      <c r="WM7" s="414"/>
      <c r="WN7" s="414"/>
      <c r="WO7" s="414"/>
      <c r="WP7" s="414"/>
      <c r="WQ7" s="414"/>
      <c r="WR7" s="414"/>
      <c r="WS7" s="414"/>
      <c r="WT7" s="414"/>
      <c r="WU7" s="414"/>
      <c r="WV7" s="414"/>
      <c r="WW7" s="414"/>
      <c r="WX7" s="414"/>
      <c r="WY7" s="414"/>
      <c r="WZ7" s="414"/>
      <c r="XA7" s="414"/>
      <c r="XB7" s="414"/>
      <c r="XC7" s="414"/>
      <c r="XD7" s="414"/>
      <c r="XE7" s="414"/>
      <c r="XF7" s="414"/>
      <c r="XG7" s="414"/>
      <c r="XH7" s="414"/>
      <c r="XI7" s="414"/>
      <c r="XJ7" s="414"/>
      <c r="XK7" s="414"/>
      <c r="XL7" s="414"/>
      <c r="XM7" s="414"/>
      <c r="XN7" s="414"/>
      <c r="XO7" s="414"/>
      <c r="XP7" s="414"/>
      <c r="XQ7" s="414"/>
      <c r="XR7" s="414"/>
      <c r="XS7" s="414"/>
      <c r="XT7" s="414"/>
      <c r="XU7" s="414"/>
      <c r="XV7" s="414"/>
      <c r="XW7" s="414"/>
      <c r="XX7" s="414"/>
      <c r="XY7" s="414"/>
      <c r="XZ7" s="414"/>
      <c r="YA7" s="414"/>
      <c r="YB7" s="414"/>
      <c r="YC7" s="414"/>
      <c r="YD7" s="414"/>
      <c r="YE7" s="414"/>
      <c r="YF7" s="414"/>
      <c r="YG7" s="414"/>
      <c r="YH7" s="414"/>
      <c r="YI7" s="414"/>
      <c r="YJ7" s="414"/>
      <c r="YK7" s="414"/>
      <c r="YL7" s="414"/>
      <c r="YM7" s="414"/>
      <c r="YN7" s="414"/>
      <c r="YO7" s="414"/>
      <c r="YP7" s="414"/>
      <c r="YQ7" s="414"/>
      <c r="YR7" s="414"/>
      <c r="YS7" s="414"/>
      <c r="YT7" s="414"/>
      <c r="YU7" s="414"/>
      <c r="YV7" s="414"/>
      <c r="YW7" s="414"/>
      <c r="YX7" s="414"/>
      <c r="YY7" s="414"/>
      <c r="YZ7" s="414"/>
      <c r="ZA7" s="414"/>
      <c r="ZB7" s="414"/>
      <c r="ZC7" s="414"/>
      <c r="ZD7" s="414"/>
      <c r="ZE7" s="414"/>
      <c r="ZF7" s="414"/>
      <c r="ZG7" s="414"/>
      <c r="ZH7" s="414"/>
      <c r="ZI7" s="414"/>
      <c r="ZJ7" s="414"/>
      <c r="ZK7" s="414"/>
      <c r="ZL7" s="414"/>
      <c r="ZM7" s="414"/>
      <c r="ZN7" s="414"/>
      <c r="ZO7" s="414"/>
      <c r="ZP7" s="414"/>
      <c r="ZQ7" s="414"/>
      <c r="ZR7" s="414"/>
      <c r="ZS7" s="414"/>
      <c r="ZT7" s="414"/>
      <c r="ZU7" s="414"/>
      <c r="ZV7" s="414"/>
      <c r="ZW7" s="414"/>
      <c r="ZX7" s="414"/>
      <c r="ZY7" s="414"/>
      <c r="ZZ7" s="414"/>
      <c r="AAA7" s="414"/>
      <c r="AAB7" s="414"/>
      <c r="AAC7" s="414"/>
      <c r="AAD7" s="414"/>
      <c r="AAE7" s="414"/>
      <c r="AAF7" s="414"/>
      <c r="AAG7" s="414"/>
      <c r="AAH7" s="414"/>
      <c r="AAI7" s="414"/>
      <c r="AAJ7" s="414"/>
      <c r="AAK7" s="414"/>
      <c r="AAL7" s="414"/>
      <c r="AAM7" s="414"/>
      <c r="AAN7" s="414"/>
      <c r="AAO7" s="414"/>
      <c r="AAP7" s="414"/>
      <c r="AAQ7" s="414"/>
      <c r="AAR7" s="414"/>
      <c r="AAS7" s="414"/>
      <c r="AAT7" s="414"/>
      <c r="AAU7" s="414"/>
      <c r="AAV7" s="414"/>
      <c r="AAW7" s="414"/>
      <c r="AAX7" s="414"/>
      <c r="AAY7" s="414"/>
      <c r="AAZ7" s="414"/>
      <c r="ABA7" s="414"/>
      <c r="ABB7" s="414"/>
      <c r="ABC7" s="414"/>
      <c r="ABD7" s="414"/>
      <c r="ABE7" s="414"/>
      <c r="ABF7" s="414"/>
      <c r="ABG7" s="414"/>
      <c r="ABH7" s="414"/>
      <c r="ABI7" s="414"/>
      <c r="ABJ7" s="414"/>
      <c r="ABK7" s="414"/>
      <c r="ABL7" s="414"/>
      <c r="ABM7" s="414"/>
      <c r="ABN7" s="414"/>
      <c r="ABO7" s="414"/>
      <c r="ABP7" s="414"/>
      <c r="ABQ7" s="414"/>
      <c r="ABR7" s="414"/>
      <c r="ABS7" s="414"/>
      <c r="ABT7" s="414"/>
      <c r="ABU7" s="414"/>
      <c r="ABV7" s="414"/>
      <c r="ABW7" s="414"/>
      <c r="ABX7" s="414"/>
      <c r="ABY7" s="414"/>
      <c r="ABZ7" s="414"/>
      <c r="ACA7" s="414"/>
      <c r="ACB7" s="414"/>
      <c r="ACC7" s="414"/>
      <c r="ACD7" s="414"/>
      <c r="ACE7" s="414"/>
      <c r="ACF7" s="414"/>
      <c r="ACG7" s="414"/>
      <c r="ACH7" s="414"/>
      <c r="ACI7" s="414"/>
      <c r="ACJ7" s="414"/>
      <c r="ACK7" s="414"/>
      <c r="ACL7" s="414"/>
      <c r="ACM7" s="414"/>
      <c r="ACN7" s="414"/>
      <c r="ACO7" s="414"/>
      <c r="ACP7" s="414"/>
      <c r="ACQ7" s="414"/>
      <c r="ACR7" s="414"/>
      <c r="ACS7" s="414"/>
      <c r="ACT7" s="414"/>
      <c r="ACU7" s="414"/>
      <c r="ACV7" s="414"/>
      <c r="ACW7" s="414"/>
      <c r="ACX7" s="414"/>
      <c r="ACY7" s="414"/>
      <c r="ACZ7" s="414"/>
      <c r="ADA7" s="414"/>
      <c r="ADB7" s="414"/>
      <c r="ADC7" s="414"/>
      <c r="ADD7" s="414"/>
      <c r="ADE7" s="414"/>
      <c r="ADF7" s="414"/>
      <c r="ADG7" s="414"/>
      <c r="ADH7" s="414"/>
      <c r="ADI7" s="414"/>
      <c r="ADJ7" s="414"/>
      <c r="ADK7" s="414"/>
      <c r="ADL7" s="414"/>
      <c r="ADM7" s="414"/>
      <c r="ADN7" s="414"/>
      <c r="ADO7" s="414"/>
      <c r="ADP7" s="414"/>
      <c r="ADQ7" s="414"/>
      <c r="ADR7" s="414"/>
      <c r="ADS7" s="414"/>
      <c r="ADT7" s="414"/>
      <c r="ADU7" s="414"/>
      <c r="ADV7" s="414"/>
      <c r="ADW7" s="414"/>
      <c r="ADX7" s="414"/>
      <c r="ADY7" s="414"/>
      <c r="ADZ7" s="414"/>
      <c r="AEA7" s="414"/>
      <c r="AEB7" s="414"/>
      <c r="AEC7" s="414"/>
      <c r="AED7" s="414"/>
      <c r="AEE7" s="414"/>
      <c r="AEF7" s="414"/>
      <c r="AEG7" s="414"/>
      <c r="AEH7" s="414"/>
      <c r="AEI7" s="414"/>
      <c r="AEJ7" s="414"/>
      <c r="AEK7" s="414"/>
      <c r="AEL7" s="414"/>
      <c r="AEM7" s="414"/>
      <c r="AEN7" s="414"/>
      <c r="AEO7" s="414"/>
      <c r="AEP7" s="414"/>
      <c r="AEQ7" s="414"/>
      <c r="AER7" s="414"/>
      <c r="AES7" s="414"/>
      <c r="AET7" s="414"/>
      <c r="AEU7" s="414"/>
      <c r="AEV7" s="414"/>
      <c r="AEW7" s="414"/>
      <c r="AEX7" s="414"/>
      <c r="AEY7" s="414"/>
      <c r="AEZ7" s="414"/>
      <c r="AFA7" s="414"/>
      <c r="AFB7" s="414"/>
      <c r="AFC7" s="414"/>
      <c r="AFD7" s="414"/>
      <c r="AFE7" s="414"/>
      <c r="AFF7" s="414"/>
      <c r="AFG7" s="414"/>
      <c r="AFH7" s="414"/>
      <c r="AFI7" s="414"/>
      <c r="AFJ7" s="414"/>
      <c r="AFK7" s="414"/>
      <c r="AFL7" s="414"/>
      <c r="AFM7" s="414"/>
      <c r="AFN7" s="414"/>
      <c r="AFO7" s="414"/>
      <c r="AFP7" s="414"/>
      <c r="AFQ7" s="414"/>
      <c r="AFR7" s="414"/>
      <c r="AFS7" s="414"/>
      <c r="AFT7" s="414"/>
      <c r="AFU7" s="414"/>
      <c r="AFV7" s="414"/>
      <c r="AFW7" s="414"/>
      <c r="AFX7" s="414"/>
      <c r="AFY7" s="414"/>
      <c r="AFZ7" s="414"/>
      <c r="AGA7" s="414"/>
      <c r="AGB7" s="414"/>
      <c r="AGC7" s="414"/>
      <c r="AGD7" s="414"/>
      <c r="AGE7" s="414"/>
      <c r="AGF7" s="414"/>
      <c r="AGG7" s="414"/>
      <c r="AGH7" s="414"/>
      <c r="AGI7" s="414"/>
      <c r="AGJ7" s="414"/>
      <c r="AGK7" s="414"/>
      <c r="AGL7" s="414"/>
      <c r="AGM7" s="414"/>
      <c r="AGN7" s="414"/>
      <c r="AGO7" s="414"/>
      <c r="AGP7" s="414"/>
      <c r="AGQ7" s="414"/>
      <c r="AGR7" s="414"/>
      <c r="AGS7" s="414"/>
      <c r="AGT7" s="414"/>
      <c r="AGU7" s="414"/>
      <c r="AGV7" s="414"/>
      <c r="AGW7" s="414"/>
      <c r="AGX7" s="414"/>
      <c r="AGY7" s="414"/>
      <c r="AGZ7" s="414"/>
      <c r="AHA7" s="414"/>
      <c r="AHB7" s="414"/>
      <c r="AHC7" s="414"/>
      <c r="AHD7" s="414"/>
      <c r="AHE7" s="414"/>
      <c r="AHF7" s="414"/>
      <c r="AHG7" s="414"/>
      <c r="AHH7" s="414"/>
      <c r="AHI7" s="414"/>
      <c r="AHJ7" s="414"/>
      <c r="AHK7" s="414"/>
      <c r="AHL7" s="414"/>
      <c r="AHM7" s="414"/>
      <c r="AHN7" s="414"/>
      <c r="AHO7" s="414"/>
      <c r="AHP7" s="414"/>
      <c r="AHQ7" s="414"/>
      <c r="AHR7" s="414"/>
      <c r="AHS7" s="414"/>
      <c r="AHT7" s="414"/>
      <c r="AHU7" s="414"/>
      <c r="AHV7" s="414"/>
      <c r="AHW7" s="414"/>
      <c r="AHX7" s="414"/>
      <c r="AHY7" s="414"/>
      <c r="AHZ7" s="414"/>
      <c r="AIA7" s="414"/>
      <c r="AIB7" s="414"/>
      <c r="AIC7" s="414"/>
      <c r="AID7" s="414"/>
      <c r="AIE7" s="414"/>
      <c r="AIF7" s="414"/>
      <c r="AIG7" s="414"/>
      <c r="AIH7" s="414"/>
      <c r="AII7" s="414"/>
      <c r="AIJ7" s="414"/>
      <c r="AIK7" s="414"/>
      <c r="AIL7" s="414"/>
      <c r="AIM7" s="414"/>
      <c r="AIN7" s="414"/>
      <c r="AIO7" s="414"/>
      <c r="AIP7" s="414"/>
      <c r="AIQ7" s="414"/>
      <c r="AIR7" s="414"/>
      <c r="AIS7" s="414"/>
      <c r="AIT7" s="414"/>
      <c r="AIU7" s="414"/>
      <c r="AIV7" s="414"/>
      <c r="AIW7" s="414"/>
      <c r="AIX7" s="414"/>
      <c r="AIY7" s="414"/>
      <c r="AIZ7" s="414"/>
      <c r="AJA7" s="414"/>
      <c r="AJB7" s="414"/>
      <c r="AJC7" s="414"/>
      <c r="AJD7" s="414"/>
      <c r="AJE7" s="414"/>
      <c r="AJF7" s="414"/>
      <c r="AJG7" s="414"/>
      <c r="AJH7" s="414"/>
      <c r="AJI7" s="414"/>
      <c r="AJJ7" s="414"/>
      <c r="AJK7" s="414"/>
      <c r="AJL7" s="414"/>
      <c r="AJM7" s="414"/>
      <c r="AJN7" s="414"/>
      <c r="AJO7" s="414"/>
      <c r="AJP7" s="414"/>
      <c r="AJQ7" s="414"/>
      <c r="AJR7" s="414"/>
      <c r="AJS7" s="414"/>
      <c r="AJT7" s="414"/>
      <c r="AJU7" s="414"/>
      <c r="AJV7" s="414"/>
      <c r="AJW7" s="414"/>
      <c r="AJX7" s="414"/>
      <c r="AJY7" s="414"/>
      <c r="AJZ7" s="414"/>
      <c r="AKA7" s="414"/>
      <c r="AKB7" s="414"/>
      <c r="AKC7" s="414"/>
      <c r="AKD7" s="414"/>
      <c r="AKE7" s="414"/>
      <c r="AKF7" s="414"/>
      <c r="AKG7" s="414"/>
      <c r="AKH7" s="414"/>
      <c r="AKI7" s="414"/>
      <c r="AKJ7" s="414"/>
      <c r="AKK7" s="414"/>
      <c r="AKL7" s="414"/>
      <c r="AKM7" s="414"/>
      <c r="AKN7" s="414"/>
      <c r="AKO7" s="414"/>
      <c r="AKP7" s="414"/>
      <c r="AKQ7" s="414"/>
      <c r="AKR7" s="414"/>
      <c r="AKS7" s="414"/>
      <c r="AKT7" s="414"/>
      <c r="AKU7" s="414"/>
      <c r="AKV7" s="414"/>
      <c r="AKW7" s="414"/>
      <c r="AKX7" s="414"/>
      <c r="AKY7" s="414"/>
      <c r="AKZ7" s="414"/>
      <c r="ALA7" s="414"/>
      <c r="ALB7" s="414"/>
      <c r="ALC7" s="414"/>
      <c r="ALD7" s="414"/>
      <c r="ALE7" s="414"/>
      <c r="ALF7" s="414"/>
      <c r="ALG7" s="414"/>
      <c r="ALH7" s="414"/>
      <c r="ALI7" s="414"/>
      <c r="ALJ7" s="414"/>
      <c r="ALK7" s="414"/>
      <c r="ALL7" s="414"/>
      <c r="ALM7" s="414"/>
      <c r="ALN7" s="414"/>
      <c r="ALO7" s="414"/>
      <c r="ALP7" s="414"/>
      <c r="ALQ7" s="414"/>
      <c r="ALR7" s="414"/>
      <c r="ALS7" s="414"/>
      <c r="ALT7" s="414"/>
      <c r="ALU7" s="414"/>
      <c r="ALV7" s="414"/>
      <c r="ALW7" s="414"/>
      <c r="ALX7" s="414"/>
      <c r="ALY7" s="414"/>
      <c r="ALZ7" s="414"/>
      <c r="AMA7" s="414"/>
      <c r="AMB7" s="414"/>
      <c r="AMC7" s="414"/>
      <c r="AMD7" s="414"/>
      <c r="AME7" s="414"/>
      <c r="AMF7" s="414"/>
      <c r="AMG7" s="414"/>
      <c r="AMH7" s="414"/>
      <c r="AMI7" s="414"/>
      <c r="AMJ7" s="414"/>
      <c r="AMK7" s="414"/>
      <c r="AML7" s="414"/>
      <c r="AMM7" s="414"/>
      <c r="AMN7" s="414"/>
      <c r="AMO7" s="414"/>
      <c r="AMP7" s="414"/>
      <c r="AMQ7" s="414"/>
      <c r="AMR7" s="414"/>
      <c r="AMS7" s="414"/>
      <c r="AMT7" s="414"/>
      <c r="AMU7" s="414"/>
      <c r="AMV7" s="414"/>
      <c r="AMW7" s="414"/>
      <c r="AMX7" s="414"/>
      <c r="AMY7" s="414"/>
      <c r="AMZ7" s="414"/>
      <c r="ANA7" s="414"/>
      <c r="ANB7" s="414"/>
      <c r="ANC7" s="414"/>
      <c r="AND7" s="414"/>
      <c r="ANE7" s="414"/>
      <c r="ANF7" s="414"/>
      <c r="ANG7" s="414"/>
      <c r="ANH7" s="414"/>
      <c r="ANI7" s="414"/>
      <c r="ANJ7" s="414"/>
      <c r="ANK7" s="414"/>
      <c r="ANL7" s="414"/>
      <c r="ANM7" s="414"/>
      <c r="ANN7" s="414"/>
      <c r="ANO7" s="414"/>
      <c r="ANP7" s="414"/>
      <c r="ANQ7" s="414"/>
      <c r="ANR7" s="414"/>
      <c r="ANS7" s="414"/>
      <c r="ANT7" s="414"/>
      <c r="ANU7" s="414"/>
      <c r="ANV7" s="414"/>
      <c r="ANW7" s="414"/>
      <c r="ANX7" s="414"/>
      <c r="ANY7" s="414"/>
      <c r="ANZ7" s="414"/>
      <c r="AOA7" s="414"/>
      <c r="AOB7" s="414"/>
      <c r="AOC7" s="414"/>
      <c r="AOD7" s="414"/>
      <c r="AOE7" s="414"/>
      <c r="AOF7" s="414"/>
      <c r="AOG7" s="414"/>
      <c r="AOH7" s="414"/>
      <c r="AOI7" s="414"/>
      <c r="AOJ7" s="414"/>
      <c r="AOK7" s="414"/>
      <c r="AOL7" s="414"/>
      <c r="AOM7" s="414"/>
      <c r="AON7" s="414"/>
      <c r="AOO7" s="414"/>
      <c r="AOP7" s="414"/>
      <c r="AOQ7" s="414"/>
      <c r="AOR7" s="414"/>
      <c r="AOS7" s="414"/>
      <c r="AOT7" s="414"/>
      <c r="AOU7" s="414"/>
      <c r="AOV7" s="414"/>
      <c r="AOW7" s="414"/>
      <c r="AOX7" s="414"/>
      <c r="AOY7" s="414"/>
      <c r="AOZ7" s="414"/>
      <c r="APA7" s="414"/>
      <c r="APB7" s="414"/>
      <c r="APC7" s="414"/>
      <c r="APD7" s="414"/>
      <c r="APE7" s="414"/>
      <c r="APF7" s="414"/>
      <c r="APG7" s="414"/>
      <c r="APH7" s="414"/>
      <c r="API7" s="414"/>
      <c r="APJ7" s="414"/>
      <c r="APK7" s="414"/>
      <c r="APL7" s="414"/>
      <c r="APM7" s="414"/>
      <c r="APN7" s="414"/>
      <c r="APO7" s="414"/>
      <c r="APP7" s="414"/>
      <c r="APQ7" s="414"/>
      <c r="APR7" s="414"/>
      <c r="APS7" s="414"/>
      <c r="APT7" s="414"/>
      <c r="APU7" s="414"/>
      <c r="APV7" s="414"/>
      <c r="APW7" s="414"/>
      <c r="APX7" s="414"/>
      <c r="APY7" s="414"/>
      <c r="APZ7" s="414"/>
      <c r="AQA7" s="414"/>
      <c r="AQB7" s="414"/>
      <c r="AQC7" s="414"/>
      <c r="AQD7" s="414"/>
      <c r="AQE7" s="414"/>
      <c r="AQF7" s="414"/>
      <c r="AQG7" s="414"/>
      <c r="AQH7" s="414"/>
      <c r="AQI7" s="414"/>
      <c r="AQJ7" s="414"/>
      <c r="AQK7" s="414"/>
      <c r="AQL7" s="414"/>
      <c r="AQM7" s="414"/>
      <c r="AQN7" s="414"/>
      <c r="AQO7" s="414"/>
      <c r="AQP7" s="414"/>
      <c r="AQQ7" s="414"/>
      <c r="AQR7" s="414"/>
      <c r="AQS7" s="414"/>
      <c r="AQT7" s="414"/>
      <c r="AQU7" s="414"/>
      <c r="AQV7" s="414"/>
      <c r="AQW7" s="414"/>
      <c r="AQX7" s="414"/>
      <c r="AQY7" s="414"/>
      <c r="AQZ7" s="414"/>
      <c r="ARA7" s="414"/>
      <c r="ARB7" s="414"/>
      <c r="ARC7" s="414"/>
      <c r="ARD7" s="414"/>
      <c r="ARE7" s="414"/>
      <c r="ARF7" s="414"/>
      <c r="ARG7" s="414"/>
      <c r="ARH7" s="414"/>
      <c r="ARI7" s="414"/>
      <c r="ARJ7" s="414"/>
      <c r="ARK7" s="414"/>
      <c r="ARL7" s="414"/>
      <c r="ARM7" s="414"/>
      <c r="ARN7" s="414"/>
      <c r="ARO7" s="414"/>
      <c r="ARP7" s="414"/>
      <c r="ARQ7" s="414"/>
      <c r="ARR7" s="414"/>
      <c r="ARS7" s="414"/>
      <c r="ART7" s="414"/>
      <c r="ARU7" s="414"/>
      <c r="ARV7" s="414"/>
      <c r="ARW7" s="414"/>
      <c r="ARX7" s="414"/>
      <c r="ARY7" s="414"/>
      <c r="ARZ7" s="414"/>
      <c r="ASA7" s="414"/>
      <c r="ASB7" s="414"/>
      <c r="ASC7" s="414"/>
      <c r="ASD7" s="414"/>
      <c r="ASE7" s="414"/>
      <c r="ASF7" s="414"/>
      <c r="ASG7" s="414"/>
      <c r="ASH7" s="414"/>
      <c r="ASI7" s="414"/>
      <c r="ASJ7" s="414"/>
      <c r="ASK7" s="414"/>
      <c r="ASL7" s="414"/>
      <c r="ASM7" s="414"/>
      <c r="ASN7" s="414"/>
      <c r="ASO7" s="414"/>
      <c r="ASP7" s="414"/>
      <c r="ASQ7" s="414"/>
      <c r="ASR7" s="414"/>
      <c r="ASS7" s="414"/>
      <c r="AST7" s="414"/>
      <c r="ASU7" s="414"/>
      <c r="ASV7" s="414"/>
      <c r="ASW7" s="414"/>
      <c r="ASX7" s="414"/>
      <c r="ASY7" s="414"/>
      <c r="ASZ7" s="414"/>
      <c r="ATA7" s="414"/>
      <c r="ATB7" s="414"/>
      <c r="ATC7" s="414"/>
      <c r="ATD7" s="414"/>
      <c r="ATE7" s="414"/>
      <c r="ATF7" s="414"/>
      <c r="ATG7" s="414"/>
      <c r="ATH7" s="414"/>
      <c r="ATI7" s="414"/>
      <c r="ATJ7" s="414"/>
      <c r="ATK7" s="414"/>
      <c r="ATL7" s="414"/>
      <c r="ATM7" s="414"/>
      <c r="ATN7" s="414"/>
      <c r="ATO7" s="414"/>
      <c r="ATP7" s="414"/>
      <c r="ATQ7" s="414"/>
      <c r="ATR7" s="414"/>
      <c r="ATS7" s="414"/>
      <c r="ATT7" s="414"/>
      <c r="ATU7" s="414"/>
      <c r="ATV7" s="414"/>
      <c r="ATW7" s="414"/>
      <c r="ATX7" s="414"/>
      <c r="ATY7" s="414"/>
      <c r="ATZ7" s="414"/>
      <c r="AUA7" s="414"/>
      <c r="AUB7" s="414"/>
      <c r="AUC7" s="414"/>
      <c r="AUD7" s="414"/>
      <c r="AUE7" s="414"/>
      <c r="AUF7" s="414"/>
      <c r="AUG7" s="414"/>
      <c r="AUH7" s="414"/>
      <c r="AUI7" s="414"/>
      <c r="AUJ7" s="414"/>
      <c r="AUK7" s="414"/>
      <c r="AUL7" s="414"/>
      <c r="AUM7" s="414"/>
      <c r="AUN7" s="414"/>
      <c r="AUO7" s="414"/>
      <c r="AUP7" s="414"/>
      <c r="AUQ7" s="414"/>
      <c r="AUR7" s="414"/>
      <c r="AUS7" s="414"/>
      <c r="AUT7" s="414"/>
      <c r="AUU7" s="414"/>
      <c r="AUV7" s="414"/>
      <c r="AUW7" s="414"/>
      <c r="AUX7" s="414"/>
      <c r="AUY7" s="414"/>
      <c r="AUZ7" s="414"/>
      <c r="AVA7" s="414"/>
      <c r="AVB7" s="414"/>
      <c r="AVC7" s="414"/>
      <c r="AVD7" s="414"/>
      <c r="AVE7" s="414"/>
      <c r="AVF7" s="414"/>
      <c r="AVG7" s="414"/>
      <c r="AVH7" s="414"/>
      <c r="AVI7" s="414"/>
      <c r="AVJ7" s="414"/>
      <c r="AVK7" s="414"/>
      <c r="AVL7" s="414"/>
      <c r="AVM7" s="414"/>
      <c r="AVN7" s="414"/>
      <c r="AVO7" s="414"/>
      <c r="AVP7" s="414"/>
      <c r="AVQ7" s="414"/>
      <c r="AVR7" s="414"/>
      <c r="AVS7" s="414"/>
      <c r="AVT7" s="414"/>
      <c r="AVU7" s="414"/>
      <c r="AVV7" s="414"/>
      <c r="AVW7" s="414"/>
      <c r="AVX7" s="414"/>
      <c r="AVY7" s="414"/>
      <c r="AVZ7" s="414"/>
      <c r="AWA7" s="414"/>
      <c r="AWB7" s="414"/>
      <c r="AWC7" s="414"/>
      <c r="AWD7" s="414"/>
      <c r="AWE7" s="414"/>
      <c r="AWF7" s="414"/>
      <c r="AWG7" s="414"/>
      <c r="AWH7" s="414"/>
      <c r="AWI7" s="414"/>
      <c r="AWJ7" s="414"/>
      <c r="AWK7" s="414"/>
      <c r="AWL7" s="414"/>
      <c r="AWM7" s="414"/>
      <c r="AWN7" s="414"/>
      <c r="AWO7" s="414"/>
      <c r="AWP7" s="414"/>
      <c r="AWQ7" s="414"/>
      <c r="AWR7" s="414"/>
      <c r="AWS7" s="414"/>
      <c r="AWT7" s="414"/>
      <c r="AWU7" s="414"/>
      <c r="AWV7" s="414"/>
      <c r="AWW7" s="414"/>
      <c r="AWX7" s="414"/>
      <c r="AWY7" s="414"/>
      <c r="AWZ7" s="414"/>
      <c r="AXA7" s="414"/>
      <c r="AXB7" s="414"/>
      <c r="AXC7" s="414"/>
      <c r="AXD7" s="414"/>
      <c r="AXE7" s="414"/>
      <c r="AXF7" s="414"/>
      <c r="AXG7" s="414"/>
      <c r="AXH7" s="414"/>
      <c r="AXI7" s="414"/>
      <c r="AXJ7" s="414"/>
      <c r="AXK7" s="414"/>
      <c r="AXL7" s="414"/>
      <c r="AXM7" s="414"/>
      <c r="AXN7" s="414"/>
      <c r="AXO7" s="414"/>
      <c r="AXP7" s="414"/>
      <c r="AXQ7" s="414"/>
      <c r="AXR7" s="414"/>
      <c r="AXS7" s="414"/>
      <c r="AXT7" s="414"/>
      <c r="AXU7" s="414"/>
      <c r="AXV7" s="414"/>
      <c r="AXW7" s="414"/>
      <c r="AXX7" s="414"/>
      <c r="AXY7" s="414"/>
      <c r="AXZ7" s="414"/>
      <c r="AYA7" s="414"/>
      <c r="AYB7" s="414"/>
      <c r="AYC7" s="414"/>
      <c r="AYD7" s="414"/>
      <c r="AYE7" s="414"/>
      <c r="AYF7" s="414"/>
      <c r="AYG7" s="414"/>
      <c r="AYH7" s="414"/>
      <c r="AYI7" s="414"/>
      <c r="AYJ7" s="414"/>
      <c r="AYK7" s="414"/>
      <c r="AYL7" s="414"/>
      <c r="AYM7" s="414"/>
      <c r="AYN7" s="414"/>
      <c r="AYO7" s="414"/>
      <c r="AYP7" s="414"/>
      <c r="AYQ7" s="414"/>
      <c r="AYR7" s="414"/>
      <c r="AYS7" s="414"/>
      <c r="AYT7" s="414"/>
      <c r="AYU7" s="414"/>
      <c r="AYV7" s="414"/>
      <c r="AYW7" s="414"/>
      <c r="AYX7" s="414"/>
      <c r="AYY7" s="414"/>
      <c r="AYZ7" s="414"/>
      <c r="AZA7" s="414"/>
      <c r="AZB7" s="414"/>
      <c r="AZC7" s="414"/>
      <c r="AZD7" s="414"/>
      <c r="AZE7" s="414"/>
      <c r="AZF7" s="414"/>
      <c r="AZG7" s="414"/>
      <c r="AZH7" s="414"/>
      <c r="AZI7" s="414"/>
      <c r="AZJ7" s="414"/>
      <c r="AZK7" s="414"/>
      <c r="AZL7" s="414"/>
      <c r="AZM7" s="414"/>
      <c r="AZN7" s="414"/>
      <c r="AZO7" s="414"/>
      <c r="AZP7" s="414"/>
      <c r="AZQ7" s="414"/>
      <c r="AZR7" s="414"/>
      <c r="AZS7" s="414"/>
      <c r="AZT7" s="414"/>
      <c r="AZU7" s="414"/>
      <c r="AZV7" s="414"/>
      <c r="AZW7" s="414"/>
      <c r="AZX7" s="414"/>
      <c r="AZY7" s="414"/>
      <c r="AZZ7" s="414"/>
      <c r="BAA7" s="414"/>
      <c r="BAB7" s="414"/>
      <c r="BAC7" s="414"/>
      <c r="BAD7" s="414"/>
      <c r="BAE7" s="414"/>
      <c r="BAF7" s="414"/>
      <c r="BAG7" s="414"/>
      <c r="BAH7" s="414"/>
      <c r="BAI7" s="414"/>
      <c r="BAJ7" s="414"/>
      <c r="BAK7" s="414"/>
      <c r="BAL7" s="414"/>
      <c r="BAM7" s="414"/>
      <c r="BAN7" s="414"/>
      <c r="BAO7" s="414"/>
      <c r="BAP7" s="414"/>
      <c r="BAQ7" s="414"/>
      <c r="BAR7" s="414"/>
      <c r="BAS7" s="414"/>
      <c r="BAT7" s="414"/>
      <c r="BAU7" s="414"/>
      <c r="BAV7" s="414"/>
      <c r="BAW7" s="414"/>
      <c r="BAX7" s="414"/>
      <c r="BAY7" s="414"/>
      <c r="BAZ7" s="414"/>
      <c r="BBA7" s="414"/>
      <c r="BBB7" s="414"/>
      <c r="BBC7" s="414"/>
      <c r="BBD7" s="414"/>
      <c r="BBE7" s="414"/>
      <c r="BBF7" s="414"/>
      <c r="BBG7" s="414"/>
      <c r="BBH7" s="414"/>
      <c r="BBI7" s="414"/>
      <c r="BBJ7" s="414"/>
      <c r="BBK7" s="414"/>
      <c r="BBL7" s="414"/>
      <c r="BBM7" s="414"/>
      <c r="BBN7" s="414"/>
      <c r="BBO7" s="414"/>
      <c r="BBP7" s="414"/>
      <c r="BBQ7" s="414"/>
      <c r="BBR7" s="414"/>
      <c r="BBS7" s="414"/>
      <c r="BBT7" s="414"/>
      <c r="BBU7" s="414"/>
      <c r="BBV7" s="414"/>
      <c r="BBW7" s="414"/>
      <c r="BBX7" s="414"/>
      <c r="BBY7" s="414"/>
      <c r="BBZ7" s="414"/>
      <c r="BCA7" s="414"/>
      <c r="BCB7" s="414"/>
      <c r="BCC7" s="414"/>
      <c r="BCD7" s="414"/>
      <c r="BCE7" s="414"/>
      <c r="BCF7" s="414"/>
      <c r="BCG7" s="414"/>
      <c r="BCH7" s="414"/>
      <c r="BCI7" s="414"/>
      <c r="BCJ7" s="414"/>
      <c r="BCK7" s="414"/>
      <c r="BCL7" s="414"/>
      <c r="BCM7" s="414"/>
      <c r="BCN7" s="414"/>
      <c r="BCO7" s="414"/>
      <c r="BCP7" s="414"/>
      <c r="BCQ7" s="414"/>
      <c r="BCR7" s="414"/>
      <c r="BCS7" s="414"/>
      <c r="BCT7" s="414"/>
      <c r="BCU7" s="414"/>
      <c r="BCV7" s="414"/>
      <c r="BCW7" s="414"/>
      <c r="BCX7" s="414"/>
      <c r="BCY7" s="414"/>
      <c r="BCZ7" s="414"/>
      <c r="BDA7" s="414"/>
      <c r="BDB7" s="414"/>
      <c r="BDC7" s="414"/>
      <c r="BDD7" s="414"/>
      <c r="BDE7" s="414"/>
      <c r="BDF7" s="414"/>
      <c r="BDG7" s="414"/>
      <c r="BDH7" s="414"/>
      <c r="BDI7" s="414"/>
      <c r="BDJ7" s="414"/>
      <c r="BDK7" s="414"/>
      <c r="BDL7" s="414"/>
      <c r="BDM7" s="414"/>
      <c r="BDN7" s="414"/>
      <c r="BDO7" s="414"/>
      <c r="BDP7" s="414"/>
      <c r="BDQ7" s="414"/>
      <c r="BDR7" s="414"/>
      <c r="BDS7" s="414"/>
      <c r="BDT7" s="414"/>
      <c r="BDU7" s="414"/>
      <c r="BDV7" s="414"/>
      <c r="BDW7" s="414"/>
      <c r="BDX7" s="414"/>
      <c r="BDY7" s="414"/>
      <c r="BDZ7" s="414"/>
      <c r="BEA7" s="414"/>
      <c r="BEB7" s="414"/>
      <c r="BEC7" s="414"/>
      <c r="BED7" s="414"/>
      <c r="BEE7" s="414"/>
      <c r="BEF7" s="414"/>
      <c r="BEG7" s="414"/>
      <c r="BEH7" s="414"/>
      <c r="BEI7" s="414"/>
      <c r="BEJ7" s="414"/>
      <c r="BEK7" s="414"/>
      <c r="BEL7" s="414"/>
      <c r="BEM7" s="414"/>
      <c r="BEN7" s="414"/>
      <c r="BEO7" s="414"/>
      <c r="BEP7" s="414"/>
      <c r="BEQ7" s="414"/>
      <c r="BER7" s="414"/>
      <c r="BES7" s="414"/>
      <c r="BET7" s="414"/>
      <c r="BEU7" s="414"/>
      <c r="BEV7" s="414"/>
      <c r="BEW7" s="414"/>
      <c r="BEX7" s="414"/>
      <c r="BEY7" s="414"/>
      <c r="BEZ7" s="414"/>
      <c r="BFA7" s="414"/>
      <c r="BFB7" s="414"/>
      <c r="BFC7" s="414"/>
      <c r="BFD7" s="414"/>
      <c r="BFE7" s="414"/>
      <c r="BFF7" s="414"/>
      <c r="BFG7" s="414"/>
      <c r="BFH7" s="414"/>
      <c r="BFI7" s="414"/>
      <c r="BFJ7" s="414"/>
      <c r="BFK7" s="414"/>
      <c r="BFL7" s="414"/>
      <c r="BFM7" s="414"/>
      <c r="BFN7" s="414"/>
      <c r="BFO7" s="414"/>
      <c r="BFP7" s="414"/>
      <c r="BFQ7" s="414"/>
      <c r="BFR7" s="414"/>
      <c r="BFS7" s="414"/>
      <c r="BFT7" s="414"/>
      <c r="BFU7" s="414"/>
      <c r="BFV7" s="414"/>
      <c r="BFW7" s="414"/>
      <c r="BFX7" s="414"/>
      <c r="BFY7" s="414"/>
      <c r="BFZ7" s="414"/>
      <c r="BGA7" s="414"/>
      <c r="BGB7" s="414"/>
      <c r="BGC7" s="414"/>
      <c r="BGD7" s="414"/>
      <c r="BGE7" s="414"/>
      <c r="BGF7" s="414"/>
      <c r="BGG7" s="414"/>
      <c r="BGH7" s="414"/>
      <c r="BGI7" s="414"/>
      <c r="BGJ7" s="414"/>
      <c r="BGK7" s="414"/>
      <c r="BGL7" s="414"/>
      <c r="BGM7" s="414"/>
      <c r="BGN7" s="414"/>
      <c r="BGO7" s="414"/>
      <c r="BGP7" s="414"/>
      <c r="BGQ7" s="414"/>
      <c r="BGR7" s="414"/>
      <c r="BGS7" s="414"/>
      <c r="BGT7" s="414"/>
      <c r="BGU7" s="414"/>
      <c r="BGV7" s="414"/>
      <c r="BGW7" s="414"/>
      <c r="BGX7" s="414"/>
      <c r="BGY7" s="414"/>
      <c r="BGZ7" s="414"/>
      <c r="BHA7" s="414"/>
      <c r="BHB7" s="414"/>
      <c r="BHC7" s="414"/>
      <c r="BHD7" s="414"/>
      <c r="BHE7" s="414"/>
      <c r="BHF7" s="414"/>
      <c r="BHG7" s="414"/>
      <c r="BHH7" s="414"/>
      <c r="BHI7" s="414"/>
      <c r="BHJ7" s="414"/>
      <c r="BHK7" s="414"/>
      <c r="BHL7" s="414"/>
      <c r="BHM7" s="414"/>
      <c r="BHN7" s="414"/>
      <c r="BHO7" s="414"/>
      <c r="BHP7" s="414"/>
      <c r="BHQ7" s="414"/>
      <c r="BHR7" s="414"/>
      <c r="BHS7" s="414"/>
      <c r="BHT7" s="414"/>
      <c r="BHU7" s="414"/>
      <c r="BHV7" s="414"/>
      <c r="BHW7" s="414"/>
      <c r="BHX7" s="414"/>
      <c r="BHY7" s="414"/>
      <c r="BHZ7" s="414"/>
      <c r="BIA7" s="414"/>
      <c r="BIB7" s="414"/>
      <c r="BIC7" s="414"/>
      <c r="BID7" s="414"/>
      <c r="BIE7" s="414"/>
      <c r="BIF7" s="414"/>
      <c r="BIG7" s="414"/>
      <c r="BIH7" s="414"/>
      <c r="BII7" s="414"/>
      <c r="BIJ7" s="414"/>
      <c r="BIK7" s="414"/>
      <c r="BIL7" s="414"/>
      <c r="BIM7" s="414"/>
      <c r="BIN7" s="414"/>
      <c r="BIO7" s="414"/>
      <c r="BIP7" s="414"/>
      <c r="BIQ7" s="414"/>
      <c r="BIR7" s="414"/>
      <c r="BIS7" s="414"/>
      <c r="BIT7" s="414"/>
      <c r="BIU7" s="414"/>
      <c r="BIV7" s="414"/>
      <c r="BIW7" s="414"/>
      <c r="BIX7" s="414"/>
      <c r="BIY7" s="414"/>
      <c r="BIZ7" s="414"/>
      <c r="BJA7" s="414"/>
      <c r="BJB7" s="414"/>
      <c r="BJC7" s="414"/>
      <c r="BJD7" s="414"/>
      <c r="BJE7" s="414"/>
      <c r="BJF7" s="414"/>
      <c r="BJG7" s="414"/>
      <c r="BJH7" s="414"/>
      <c r="BJI7" s="414"/>
      <c r="BJJ7" s="414"/>
      <c r="BJK7" s="414"/>
      <c r="BJL7" s="414"/>
      <c r="BJM7" s="414"/>
      <c r="BJN7" s="414"/>
      <c r="BJO7" s="414"/>
      <c r="BJP7" s="414"/>
      <c r="BJQ7" s="414"/>
      <c r="BJR7" s="414"/>
      <c r="BJS7" s="414"/>
      <c r="BJT7" s="414"/>
      <c r="BJU7" s="414"/>
      <c r="BJV7" s="414"/>
      <c r="BJW7" s="414"/>
      <c r="BJX7" s="414"/>
      <c r="BJY7" s="414"/>
      <c r="BJZ7" s="414"/>
      <c r="BKA7" s="414"/>
      <c r="BKB7" s="414"/>
      <c r="BKC7" s="414"/>
      <c r="BKD7" s="414"/>
      <c r="BKE7" s="414"/>
      <c r="BKF7" s="414"/>
      <c r="BKG7" s="414"/>
      <c r="BKH7" s="414"/>
      <c r="BKI7" s="414"/>
      <c r="BKJ7" s="414"/>
      <c r="BKK7" s="414"/>
      <c r="BKL7" s="414"/>
      <c r="BKM7" s="414"/>
      <c r="BKN7" s="414"/>
      <c r="BKO7" s="414"/>
      <c r="BKP7" s="414"/>
      <c r="BKQ7" s="414"/>
      <c r="BKR7" s="414"/>
      <c r="BKS7" s="414"/>
      <c r="BKT7" s="414"/>
      <c r="BKU7" s="414"/>
      <c r="BKV7" s="414"/>
      <c r="BKW7" s="414"/>
      <c r="BKX7" s="414"/>
      <c r="BKY7" s="414"/>
      <c r="BKZ7" s="414"/>
      <c r="BLA7" s="414"/>
      <c r="BLB7" s="414"/>
      <c r="BLC7" s="414"/>
      <c r="BLD7" s="414"/>
      <c r="BLE7" s="414"/>
      <c r="BLF7" s="414"/>
      <c r="BLG7" s="414"/>
      <c r="BLH7" s="414"/>
      <c r="BLI7" s="414"/>
      <c r="BLJ7" s="414"/>
      <c r="BLK7" s="414"/>
      <c r="BLL7" s="414"/>
      <c r="BLM7" s="414"/>
      <c r="BLN7" s="414"/>
      <c r="BLO7" s="414"/>
      <c r="BLP7" s="414"/>
      <c r="BLQ7" s="414"/>
      <c r="BLR7" s="414"/>
      <c r="BLS7" s="414"/>
      <c r="BLT7" s="414"/>
      <c r="BLU7" s="414"/>
      <c r="BLV7" s="414"/>
      <c r="BLW7" s="414"/>
      <c r="BLX7" s="414"/>
      <c r="BLY7" s="414"/>
      <c r="BLZ7" s="414"/>
      <c r="BMA7" s="414"/>
      <c r="BMB7" s="414"/>
      <c r="BMC7" s="414"/>
      <c r="BMD7" s="414"/>
      <c r="BME7" s="414"/>
      <c r="BMF7" s="414"/>
      <c r="BMG7" s="414"/>
      <c r="BMH7" s="414"/>
      <c r="BMI7" s="414"/>
      <c r="BMJ7" s="414"/>
      <c r="BMK7" s="414"/>
      <c r="BML7" s="414"/>
      <c r="BMM7" s="414"/>
      <c r="BMN7" s="414"/>
      <c r="BMO7" s="414"/>
      <c r="BMP7" s="414"/>
      <c r="BMQ7" s="414"/>
      <c r="BMR7" s="414"/>
      <c r="BMS7" s="414"/>
      <c r="BMT7" s="414"/>
      <c r="BMU7" s="414"/>
      <c r="BMV7" s="414"/>
      <c r="BMW7" s="414"/>
      <c r="BMX7" s="414"/>
      <c r="BMY7" s="414"/>
      <c r="BMZ7" s="414"/>
      <c r="BNA7" s="414"/>
      <c r="BNB7" s="414"/>
      <c r="BNC7" s="414"/>
      <c r="BND7" s="414"/>
      <c r="BNE7" s="414"/>
      <c r="BNF7" s="414"/>
      <c r="BNG7" s="414"/>
      <c r="BNH7" s="414"/>
      <c r="BNI7" s="414"/>
      <c r="BNJ7" s="414"/>
      <c r="BNK7" s="414"/>
      <c r="BNL7" s="414"/>
      <c r="BNM7" s="414"/>
      <c r="BNN7" s="414"/>
      <c r="BNO7" s="414"/>
      <c r="BNP7" s="414"/>
      <c r="BNQ7" s="414"/>
      <c r="BNR7" s="414"/>
      <c r="BNS7" s="414"/>
      <c r="BNT7" s="414"/>
      <c r="BNU7" s="414"/>
      <c r="BNV7" s="414"/>
      <c r="BNW7" s="414"/>
      <c r="BNX7" s="414"/>
      <c r="BNY7" s="414"/>
      <c r="BNZ7" s="414"/>
      <c r="BOA7" s="414"/>
      <c r="BOB7" s="414"/>
      <c r="BOC7" s="414"/>
      <c r="BOD7" s="414"/>
      <c r="BOE7" s="414"/>
      <c r="BOF7" s="414"/>
      <c r="BOG7" s="414"/>
      <c r="BOH7" s="414"/>
      <c r="BOI7" s="414"/>
      <c r="BOJ7" s="414"/>
      <c r="BOK7" s="414"/>
      <c r="BOL7" s="414"/>
      <c r="BOM7" s="414"/>
      <c r="BON7" s="414"/>
      <c r="BOO7" s="414"/>
      <c r="BOP7" s="414"/>
      <c r="BOQ7" s="414"/>
      <c r="BOR7" s="414"/>
      <c r="BOS7" s="414"/>
      <c r="BOT7" s="414"/>
      <c r="BOU7" s="414"/>
      <c r="BOV7" s="414"/>
      <c r="BOW7" s="414"/>
      <c r="BOX7" s="414"/>
      <c r="BOY7" s="414"/>
      <c r="BOZ7" s="414"/>
      <c r="BPA7" s="414"/>
      <c r="BPB7" s="414"/>
      <c r="BPC7" s="414"/>
      <c r="BPD7" s="414"/>
      <c r="BPE7" s="414"/>
      <c r="BPF7" s="414"/>
      <c r="BPG7" s="414"/>
      <c r="BPH7" s="414"/>
      <c r="BPI7" s="414"/>
      <c r="BPJ7" s="414"/>
      <c r="BPK7" s="414"/>
      <c r="BPL7" s="414"/>
      <c r="BPM7" s="414"/>
      <c r="BPN7" s="414"/>
      <c r="BPO7" s="414"/>
      <c r="BPP7" s="414"/>
      <c r="BPQ7" s="414"/>
      <c r="BPR7" s="414"/>
      <c r="BPS7" s="414"/>
      <c r="BPT7" s="414"/>
      <c r="BPU7" s="414"/>
      <c r="BPV7" s="414"/>
      <c r="BPW7" s="414"/>
      <c r="BPX7" s="414"/>
      <c r="BPY7" s="414"/>
      <c r="BPZ7" s="414"/>
      <c r="BQA7" s="414"/>
      <c r="BQB7" s="414"/>
      <c r="BQC7" s="414"/>
      <c r="BQD7" s="414"/>
      <c r="BQE7" s="414"/>
      <c r="BQF7" s="414"/>
      <c r="BQG7" s="414"/>
      <c r="BQH7" s="414"/>
      <c r="BQI7" s="414"/>
      <c r="BQJ7" s="414"/>
      <c r="BQK7" s="414"/>
      <c r="BQL7" s="414"/>
      <c r="BQM7" s="414"/>
      <c r="BQN7" s="414"/>
      <c r="BQO7" s="414"/>
      <c r="BQP7" s="414"/>
      <c r="BQQ7" s="414"/>
      <c r="BQR7" s="414"/>
      <c r="BQS7" s="414"/>
      <c r="BQT7" s="414"/>
      <c r="BQU7" s="414"/>
      <c r="BQV7" s="414"/>
      <c r="BQW7" s="414"/>
      <c r="BQX7" s="414"/>
      <c r="BQY7" s="414"/>
      <c r="BQZ7" s="414"/>
      <c r="BRA7" s="414"/>
      <c r="BRB7" s="414"/>
      <c r="BRC7" s="414"/>
      <c r="BRD7" s="414"/>
      <c r="BRE7" s="414"/>
      <c r="BRF7" s="414"/>
      <c r="BRG7" s="414"/>
      <c r="BRH7" s="414"/>
      <c r="BRI7" s="414"/>
      <c r="BRJ7" s="414"/>
      <c r="BRK7" s="414"/>
      <c r="BRL7" s="414"/>
      <c r="BRM7" s="414"/>
      <c r="BRN7" s="414"/>
      <c r="BRO7" s="414"/>
      <c r="BRP7" s="414"/>
      <c r="BRQ7" s="414"/>
      <c r="BRR7" s="414"/>
      <c r="BRS7" s="414"/>
      <c r="BRT7" s="414"/>
      <c r="BRU7" s="414"/>
      <c r="BRV7" s="414"/>
      <c r="BRW7" s="414"/>
      <c r="BRX7" s="414"/>
      <c r="BRY7" s="414"/>
      <c r="BRZ7" s="414"/>
      <c r="BSA7" s="414"/>
      <c r="BSB7" s="414"/>
      <c r="BSC7" s="414"/>
      <c r="BSD7" s="414"/>
      <c r="BSE7" s="414"/>
      <c r="BSF7" s="414"/>
      <c r="BSG7" s="414"/>
      <c r="BSH7" s="414"/>
      <c r="BSI7" s="414"/>
      <c r="BSJ7" s="414"/>
      <c r="BSK7" s="414"/>
      <c r="BSL7" s="414"/>
      <c r="BSM7" s="414"/>
      <c r="BSN7" s="414"/>
      <c r="BSO7" s="414"/>
      <c r="BSP7" s="414"/>
      <c r="BSQ7" s="414"/>
      <c r="BSR7" s="414"/>
      <c r="BSS7" s="414"/>
      <c r="BST7" s="414"/>
      <c r="BSU7" s="414"/>
      <c r="BSV7" s="414"/>
      <c r="BSW7" s="414"/>
      <c r="BSX7" s="414"/>
      <c r="BSY7" s="414"/>
      <c r="BSZ7" s="414"/>
      <c r="BTA7" s="414"/>
      <c r="BTB7" s="414"/>
      <c r="BTC7" s="414"/>
      <c r="BTD7" s="414"/>
      <c r="BTE7" s="414"/>
      <c r="BTF7" s="414"/>
      <c r="BTG7" s="414"/>
      <c r="BTH7" s="414"/>
      <c r="BTI7" s="414"/>
      <c r="BTJ7" s="414"/>
      <c r="BTK7" s="414"/>
      <c r="BTL7" s="414"/>
      <c r="BTM7" s="414"/>
      <c r="BTN7" s="414"/>
      <c r="BTO7" s="414"/>
      <c r="BTP7" s="414"/>
      <c r="BTQ7" s="414"/>
      <c r="BTR7" s="414"/>
      <c r="BTS7" s="414"/>
      <c r="BTT7" s="414"/>
      <c r="BTU7" s="414"/>
      <c r="BTV7" s="414"/>
      <c r="BTW7" s="414"/>
      <c r="BTX7" s="414"/>
      <c r="BTY7" s="414"/>
      <c r="BTZ7" s="414"/>
      <c r="BUA7" s="414"/>
      <c r="BUB7" s="414"/>
      <c r="BUC7" s="414"/>
      <c r="BUD7" s="414"/>
      <c r="BUE7" s="414"/>
      <c r="BUF7" s="414"/>
      <c r="BUG7" s="414"/>
      <c r="BUH7" s="414"/>
      <c r="BUI7" s="414"/>
      <c r="BUJ7" s="414"/>
      <c r="BUK7" s="414"/>
      <c r="BUL7" s="414"/>
      <c r="BUM7" s="414"/>
      <c r="BUN7" s="414"/>
      <c r="BUO7" s="414"/>
      <c r="BUP7" s="414"/>
      <c r="BUQ7" s="414"/>
      <c r="BUR7" s="414"/>
      <c r="BUS7" s="414"/>
      <c r="BUT7" s="414"/>
      <c r="BUU7" s="414"/>
      <c r="BUV7" s="414"/>
      <c r="BUW7" s="414"/>
      <c r="BUX7" s="414"/>
      <c r="BUY7" s="414"/>
      <c r="BUZ7" s="414"/>
      <c r="BVA7" s="414"/>
      <c r="BVB7" s="414"/>
      <c r="BVC7" s="414"/>
      <c r="BVD7" s="414"/>
      <c r="BVE7" s="414"/>
      <c r="BVF7" s="414"/>
      <c r="BVG7" s="414"/>
      <c r="BVH7" s="414"/>
      <c r="BVI7" s="414"/>
      <c r="BVJ7" s="414"/>
      <c r="BVK7" s="414"/>
      <c r="BVL7" s="414"/>
      <c r="BVM7" s="414"/>
      <c r="BVN7" s="414"/>
      <c r="BVO7" s="414"/>
      <c r="BVP7" s="414"/>
      <c r="BVQ7" s="414"/>
      <c r="BVR7" s="414"/>
      <c r="BVS7" s="414"/>
      <c r="BVT7" s="414"/>
      <c r="BVU7" s="414"/>
      <c r="BVV7" s="414"/>
      <c r="BVW7" s="414"/>
      <c r="BVX7" s="414"/>
      <c r="BVY7" s="414"/>
      <c r="BVZ7" s="414"/>
      <c r="BWA7" s="414"/>
      <c r="BWB7" s="414"/>
      <c r="BWC7" s="414"/>
      <c r="BWD7" s="414"/>
      <c r="BWE7" s="414"/>
      <c r="BWF7" s="414"/>
      <c r="BWG7" s="414"/>
      <c r="BWH7" s="414"/>
      <c r="BWI7" s="414"/>
      <c r="BWJ7" s="414"/>
      <c r="BWK7" s="414"/>
      <c r="BWL7" s="414"/>
      <c r="BWM7" s="414"/>
      <c r="BWN7" s="414"/>
      <c r="BWO7" s="414"/>
      <c r="BWP7" s="414"/>
      <c r="BWQ7" s="414"/>
      <c r="BWR7" s="414"/>
      <c r="BWS7" s="414"/>
      <c r="BWT7" s="414"/>
      <c r="BWU7" s="414"/>
      <c r="BWV7" s="414"/>
      <c r="BWW7" s="414"/>
      <c r="BWX7" s="414"/>
      <c r="BWY7" s="414"/>
      <c r="BWZ7" s="414"/>
      <c r="BXA7" s="414"/>
      <c r="BXB7" s="414"/>
      <c r="BXC7" s="414"/>
      <c r="BXD7" s="414"/>
      <c r="BXE7" s="414"/>
      <c r="BXF7" s="414"/>
      <c r="BXG7" s="414"/>
      <c r="BXH7" s="414"/>
      <c r="BXI7" s="414"/>
      <c r="BXJ7" s="414"/>
      <c r="BXK7" s="414"/>
      <c r="BXL7" s="414"/>
      <c r="BXM7" s="414"/>
      <c r="BXN7" s="414"/>
      <c r="BXO7" s="414"/>
      <c r="BXP7" s="414"/>
      <c r="BXQ7" s="414"/>
      <c r="BXR7" s="414"/>
      <c r="BXS7" s="414"/>
      <c r="BXT7" s="414"/>
      <c r="BXU7" s="414"/>
      <c r="BXV7" s="414"/>
      <c r="BXW7" s="414"/>
      <c r="BXX7" s="414"/>
      <c r="BXY7" s="414"/>
      <c r="BXZ7" s="414"/>
      <c r="BYA7" s="414"/>
      <c r="BYB7" s="414"/>
      <c r="BYC7" s="414"/>
      <c r="BYD7" s="414"/>
      <c r="BYE7" s="414"/>
      <c r="BYF7" s="414"/>
      <c r="BYG7" s="414"/>
      <c r="BYH7" s="414"/>
      <c r="BYI7" s="414"/>
      <c r="BYJ7" s="414"/>
      <c r="BYK7" s="414"/>
      <c r="BYL7" s="414"/>
      <c r="BYM7" s="414"/>
      <c r="BYN7" s="414"/>
      <c r="BYO7" s="414"/>
      <c r="BYP7" s="414"/>
      <c r="BYQ7" s="414"/>
      <c r="BYR7" s="414"/>
      <c r="BYS7" s="414"/>
      <c r="BYT7" s="414"/>
      <c r="BYU7" s="414"/>
      <c r="BYV7" s="414"/>
      <c r="BYW7" s="414"/>
      <c r="BYX7" s="414"/>
      <c r="BYY7" s="414"/>
      <c r="BYZ7" s="414"/>
      <c r="BZA7" s="414"/>
      <c r="BZB7" s="414"/>
      <c r="BZC7" s="414"/>
      <c r="BZD7" s="414"/>
      <c r="BZE7" s="414"/>
      <c r="BZF7" s="414"/>
      <c r="BZG7" s="414"/>
      <c r="BZH7" s="414"/>
      <c r="BZI7" s="414"/>
      <c r="BZJ7" s="414"/>
      <c r="BZK7" s="414"/>
      <c r="BZL7" s="414"/>
      <c r="BZM7" s="414"/>
      <c r="BZN7" s="414"/>
      <c r="BZO7" s="414"/>
      <c r="BZP7" s="414"/>
      <c r="BZQ7" s="414"/>
      <c r="BZR7" s="414"/>
      <c r="BZS7" s="414"/>
      <c r="BZT7" s="414"/>
      <c r="BZU7" s="414"/>
      <c r="BZV7" s="414"/>
      <c r="BZW7" s="414"/>
      <c r="BZX7" s="414"/>
      <c r="BZY7" s="414"/>
      <c r="BZZ7" s="414"/>
      <c r="CAA7" s="414"/>
      <c r="CAB7" s="414"/>
      <c r="CAC7" s="414"/>
      <c r="CAD7" s="414"/>
      <c r="CAE7" s="414"/>
      <c r="CAF7" s="414"/>
      <c r="CAG7" s="414"/>
      <c r="CAH7" s="414"/>
      <c r="CAI7" s="414"/>
      <c r="CAJ7" s="414"/>
      <c r="CAK7" s="414"/>
      <c r="CAL7" s="414"/>
      <c r="CAM7" s="414"/>
      <c r="CAN7" s="414"/>
      <c r="CAO7" s="414"/>
      <c r="CAP7" s="414"/>
      <c r="CAQ7" s="414"/>
      <c r="CAR7" s="414"/>
      <c r="CAS7" s="414"/>
      <c r="CAT7" s="414"/>
      <c r="CAU7" s="414"/>
      <c r="CAV7" s="414"/>
      <c r="CAW7" s="414"/>
      <c r="CAX7" s="414"/>
      <c r="CAY7" s="414"/>
      <c r="CAZ7" s="414"/>
      <c r="CBA7" s="414"/>
      <c r="CBB7" s="414"/>
      <c r="CBC7" s="414"/>
      <c r="CBD7" s="414"/>
      <c r="CBE7" s="414"/>
      <c r="CBF7" s="414"/>
      <c r="CBG7" s="414"/>
      <c r="CBH7" s="414"/>
      <c r="CBI7" s="414"/>
      <c r="CBJ7" s="414"/>
      <c r="CBK7" s="414"/>
      <c r="CBL7" s="414"/>
      <c r="CBM7" s="414"/>
      <c r="CBN7" s="414"/>
      <c r="CBO7" s="414"/>
      <c r="CBP7" s="414"/>
      <c r="CBQ7" s="414"/>
      <c r="CBR7" s="414"/>
      <c r="CBS7" s="414"/>
      <c r="CBT7" s="414"/>
      <c r="CBU7" s="414"/>
      <c r="CBV7" s="414"/>
      <c r="CBW7" s="414"/>
      <c r="CBX7" s="414"/>
      <c r="CBY7" s="414"/>
      <c r="CBZ7" s="414"/>
      <c r="CCA7" s="414"/>
      <c r="CCB7" s="414"/>
      <c r="CCC7" s="414"/>
      <c r="CCD7" s="414"/>
      <c r="CCE7" s="414"/>
      <c r="CCF7" s="414"/>
      <c r="CCG7" s="414"/>
      <c r="CCH7" s="414"/>
      <c r="CCI7" s="414"/>
      <c r="CCJ7" s="414"/>
      <c r="CCK7" s="414"/>
      <c r="CCL7" s="414"/>
      <c r="CCM7" s="414"/>
      <c r="CCN7" s="414"/>
      <c r="CCO7" s="414"/>
      <c r="CCP7" s="414"/>
      <c r="CCQ7" s="414"/>
      <c r="CCR7" s="414"/>
      <c r="CCS7" s="414"/>
      <c r="CCT7" s="414"/>
      <c r="CCU7" s="414"/>
      <c r="CCV7" s="414"/>
      <c r="CCW7" s="414"/>
      <c r="CCX7" s="414"/>
      <c r="CCY7" s="414"/>
      <c r="CCZ7" s="414"/>
      <c r="CDA7" s="414"/>
      <c r="CDB7" s="414"/>
      <c r="CDC7" s="414"/>
      <c r="CDD7" s="414"/>
      <c r="CDE7" s="414"/>
      <c r="CDF7" s="414"/>
      <c r="CDG7" s="414"/>
      <c r="CDH7" s="414"/>
      <c r="CDI7" s="414"/>
      <c r="CDJ7" s="414"/>
      <c r="CDK7" s="414"/>
      <c r="CDL7" s="414"/>
      <c r="CDM7" s="414"/>
      <c r="CDN7" s="414"/>
      <c r="CDO7" s="414"/>
      <c r="CDP7" s="414"/>
      <c r="CDQ7" s="414"/>
      <c r="CDR7" s="414"/>
      <c r="CDS7" s="414"/>
      <c r="CDT7" s="414"/>
      <c r="CDU7" s="414"/>
      <c r="CDV7" s="414"/>
      <c r="CDW7" s="414"/>
      <c r="CDX7" s="414"/>
      <c r="CDY7" s="414"/>
      <c r="CDZ7" s="414"/>
      <c r="CEA7" s="414"/>
      <c r="CEB7" s="414"/>
      <c r="CEC7" s="414"/>
      <c r="CED7" s="414"/>
      <c r="CEE7" s="414"/>
      <c r="CEF7" s="414"/>
      <c r="CEG7" s="414"/>
      <c r="CEH7" s="414"/>
      <c r="CEI7" s="414"/>
      <c r="CEJ7" s="414"/>
      <c r="CEK7" s="414"/>
      <c r="CEL7" s="414"/>
      <c r="CEM7" s="414"/>
      <c r="CEN7" s="414"/>
      <c r="CEO7" s="414"/>
      <c r="CEP7" s="414"/>
      <c r="CEQ7" s="414"/>
      <c r="CER7" s="414"/>
      <c r="CES7" s="414"/>
      <c r="CET7" s="414"/>
      <c r="CEU7" s="414"/>
      <c r="CEV7" s="414"/>
      <c r="CEW7" s="414"/>
      <c r="CEX7" s="414"/>
      <c r="CEY7" s="414"/>
      <c r="CEZ7" s="414"/>
      <c r="CFA7" s="414"/>
      <c r="CFB7" s="414"/>
      <c r="CFC7" s="414"/>
      <c r="CFD7" s="414"/>
      <c r="CFE7" s="414"/>
      <c r="CFF7" s="414"/>
      <c r="CFG7" s="414"/>
      <c r="CFH7" s="414"/>
      <c r="CFI7" s="414"/>
      <c r="CFJ7" s="414"/>
      <c r="CFK7" s="414"/>
      <c r="CFL7" s="414"/>
      <c r="CFM7" s="414"/>
      <c r="CFN7" s="414"/>
      <c r="CFO7" s="414"/>
      <c r="CFP7" s="414"/>
      <c r="CFQ7" s="414"/>
      <c r="CFR7" s="414"/>
      <c r="CFS7" s="414"/>
      <c r="CFT7" s="414"/>
      <c r="CFU7" s="414"/>
      <c r="CFV7" s="414"/>
      <c r="CFW7" s="414"/>
      <c r="CFX7" s="414"/>
      <c r="CFY7" s="414"/>
      <c r="CFZ7" s="414"/>
      <c r="CGA7" s="414"/>
      <c r="CGB7" s="414"/>
      <c r="CGC7" s="414"/>
      <c r="CGD7" s="414"/>
      <c r="CGE7" s="414"/>
      <c r="CGF7" s="414"/>
      <c r="CGG7" s="414"/>
      <c r="CGH7" s="414"/>
      <c r="CGI7" s="414"/>
      <c r="CGJ7" s="414"/>
      <c r="CGK7" s="414"/>
      <c r="CGL7" s="414"/>
      <c r="CGM7" s="414"/>
      <c r="CGN7" s="414"/>
      <c r="CGO7" s="414"/>
      <c r="CGP7" s="414"/>
      <c r="CGQ7" s="414"/>
      <c r="CGR7" s="414"/>
      <c r="CGS7" s="414"/>
      <c r="CGT7" s="414"/>
      <c r="CGU7" s="414"/>
      <c r="CGV7" s="414"/>
      <c r="CGW7" s="414"/>
      <c r="CGX7" s="414"/>
      <c r="CGY7" s="414"/>
      <c r="CGZ7" s="414"/>
      <c r="CHA7" s="414"/>
      <c r="CHB7" s="414"/>
      <c r="CHC7" s="414"/>
      <c r="CHD7" s="414"/>
      <c r="CHE7" s="414"/>
      <c r="CHF7" s="414"/>
      <c r="CHG7" s="414"/>
      <c r="CHH7" s="414"/>
      <c r="CHI7" s="414"/>
      <c r="CHJ7" s="414"/>
      <c r="CHK7" s="414"/>
      <c r="CHL7" s="414"/>
      <c r="CHM7" s="414"/>
      <c r="CHN7" s="414"/>
      <c r="CHO7" s="414"/>
      <c r="CHP7" s="414"/>
      <c r="CHQ7" s="414"/>
      <c r="CHR7" s="414"/>
      <c r="CHS7" s="414"/>
      <c r="CHT7" s="414"/>
      <c r="CHU7" s="414"/>
      <c r="CHV7" s="414"/>
      <c r="CHW7" s="414"/>
      <c r="CHX7" s="414"/>
      <c r="CHY7" s="414"/>
      <c r="CHZ7" s="414"/>
      <c r="CIA7" s="414"/>
      <c r="CIB7" s="414"/>
      <c r="CIC7" s="414"/>
      <c r="CID7" s="414"/>
      <c r="CIE7" s="414"/>
      <c r="CIF7" s="414"/>
      <c r="CIG7" s="414"/>
      <c r="CIH7" s="414"/>
      <c r="CII7" s="414"/>
      <c r="CIJ7" s="414"/>
      <c r="CIK7" s="414"/>
      <c r="CIL7" s="414"/>
      <c r="CIM7" s="414"/>
      <c r="CIN7" s="414"/>
      <c r="CIO7" s="414"/>
      <c r="CIP7" s="414"/>
      <c r="CIQ7" s="414"/>
      <c r="CIR7" s="414"/>
      <c r="CIS7" s="414"/>
      <c r="CIT7" s="414"/>
      <c r="CIU7" s="414"/>
      <c r="CIV7" s="414"/>
      <c r="CIW7" s="414"/>
      <c r="CIX7" s="414"/>
      <c r="CIY7" s="414"/>
      <c r="CIZ7" s="414"/>
      <c r="CJA7" s="414"/>
      <c r="CJB7" s="414"/>
      <c r="CJC7" s="414"/>
      <c r="CJD7" s="414"/>
      <c r="CJE7" s="414"/>
      <c r="CJF7" s="414"/>
      <c r="CJG7" s="414"/>
      <c r="CJH7" s="414"/>
      <c r="CJI7" s="414"/>
      <c r="CJJ7" s="414"/>
      <c r="CJK7" s="414"/>
      <c r="CJL7" s="414"/>
      <c r="CJM7" s="414"/>
      <c r="CJN7" s="414"/>
      <c r="CJO7" s="414"/>
      <c r="CJP7" s="414"/>
      <c r="CJQ7" s="414"/>
      <c r="CJR7" s="414"/>
      <c r="CJS7" s="414"/>
      <c r="CJT7" s="414"/>
      <c r="CJU7" s="414"/>
      <c r="CJV7" s="414"/>
      <c r="CJW7" s="414"/>
      <c r="CJX7" s="414"/>
      <c r="CJY7" s="414"/>
      <c r="CJZ7" s="414"/>
      <c r="CKA7" s="414"/>
      <c r="CKB7" s="414"/>
      <c r="CKC7" s="414"/>
      <c r="CKD7" s="414"/>
      <c r="CKE7" s="414"/>
      <c r="CKF7" s="414"/>
      <c r="CKG7" s="414"/>
      <c r="CKH7" s="414"/>
      <c r="CKI7" s="414"/>
      <c r="CKJ7" s="414"/>
      <c r="CKK7" s="414"/>
      <c r="CKL7" s="414"/>
      <c r="CKM7" s="414"/>
      <c r="CKN7" s="414"/>
      <c r="CKO7" s="414"/>
      <c r="CKP7" s="414"/>
      <c r="CKQ7" s="414"/>
      <c r="CKR7" s="414"/>
      <c r="CKS7" s="414"/>
      <c r="CKT7" s="414"/>
      <c r="CKU7" s="414"/>
      <c r="CKV7" s="414"/>
      <c r="CKW7" s="414"/>
      <c r="CKX7" s="414"/>
      <c r="CKY7" s="414"/>
      <c r="CKZ7" s="414"/>
      <c r="CLA7" s="414"/>
      <c r="CLB7" s="414"/>
      <c r="CLC7" s="414"/>
      <c r="CLD7" s="414"/>
      <c r="CLE7" s="414"/>
      <c r="CLF7" s="414"/>
      <c r="CLG7" s="414"/>
      <c r="CLH7" s="414"/>
      <c r="CLI7" s="414"/>
      <c r="CLJ7" s="414"/>
      <c r="CLK7" s="414"/>
      <c r="CLL7" s="414"/>
      <c r="CLM7" s="414"/>
      <c r="CLN7" s="414"/>
      <c r="CLO7" s="414"/>
      <c r="CLP7" s="414"/>
      <c r="CLQ7" s="414"/>
      <c r="CLR7" s="414"/>
      <c r="CLS7" s="414"/>
      <c r="CLT7" s="414"/>
      <c r="CLU7" s="414"/>
      <c r="CLV7" s="414"/>
      <c r="CLW7" s="414"/>
      <c r="CLX7" s="414"/>
      <c r="CLY7" s="414"/>
      <c r="CLZ7" s="414"/>
      <c r="CMA7" s="414"/>
      <c r="CMB7" s="414"/>
      <c r="CMC7" s="414"/>
      <c r="CMD7" s="414"/>
      <c r="CME7" s="414"/>
      <c r="CMF7" s="414"/>
      <c r="CMG7" s="414"/>
      <c r="CMH7" s="414"/>
      <c r="CMI7" s="414"/>
      <c r="CMJ7" s="414"/>
      <c r="CMK7" s="414"/>
      <c r="CML7" s="414"/>
      <c r="CMM7" s="414"/>
      <c r="CMN7" s="414"/>
      <c r="CMO7" s="414"/>
      <c r="CMP7" s="414"/>
      <c r="CMQ7" s="414"/>
      <c r="CMR7" s="414"/>
      <c r="CMS7" s="414"/>
      <c r="CMT7" s="414"/>
      <c r="CMU7" s="414"/>
      <c r="CMV7" s="414"/>
      <c r="CMW7" s="414"/>
      <c r="CMX7" s="414"/>
      <c r="CMY7" s="414"/>
      <c r="CMZ7" s="414"/>
      <c r="CNA7" s="414"/>
      <c r="CNB7" s="414"/>
      <c r="CNC7" s="414"/>
      <c r="CND7" s="414"/>
      <c r="CNE7" s="414"/>
      <c r="CNF7" s="414"/>
      <c r="CNG7" s="414"/>
      <c r="CNH7" s="414"/>
      <c r="CNI7" s="414"/>
      <c r="CNJ7" s="414"/>
      <c r="CNK7" s="414"/>
      <c r="CNL7" s="414"/>
      <c r="CNM7" s="414"/>
      <c r="CNN7" s="414"/>
      <c r="CNO7" s="414"/>
      <c r="CNP7" s="414"/>
      <c r="CNQ7" s="414"/>
      <c r="CNR7" s="414"/>
      <c r="CNS7" s="414"/>
      <c r="CNT7" s="414"/>
      <c r="CNU7" s="414"/>
      <c r="CNV7" s="414"/>
      <c r="CNW7" s="414"/>
      <c r="CNX7" s="414"/>
      <c r="CNY7" s="414"/>
      <c r="CNZ7" s="414"/>
      <c r="COA7" s="414"/>
      <c r="COB7" s="414"/>
      <c r="COC7" s="414"/>
      <c r="COD7" s="414"/>
      <c r="COE7" s="414"/>
      <c r="COF7" s="414"/>
      <c r="COG7" s="414"/>
      <c r="COH7" s="414"/>
      <c r="COI7" s="414"/>
      <c r="COJ7" s="414"/>
      <c r="COK7" s="414"/>
      <c r="COL7" s="414"/>
      <c r="COM7" s="414"/>
      <c r="CON7" s="414"/>
      <c r="COO7" s="414"/>
      <c r="COP7" s="414"/>
      <c r="COQ7" s="414"/>
      <c r="COR7" s="414"/>
      <c r="COS7" s="414"/>
      <c r="COT7" s="414"/>
      <c r="COU7" s="414"/>
      <c r="COV7" s="414"/>
      <c r="COW7" s="414"/>
      <c r="COX7" s="414"/>
      <c r="COY7" s="414"/>
      <c r="COZ7" s="414"/>
      <c r="CPA7" s="414"/>
      <c r="CPB7" s="414"/>
      <c r="CPC7" s="414"/>
      <c r="CPD7" s="414"/>
      <c r="CPE7" s="414"/>
      <c r="CPF7" s="414"/>
      <c r="CPG7" s="414"/>
      <c r="CPH7" s="414"/>
      <c r="CPI7" s="414"/>
      <c r="CPJ7" s="414"/>
      <c r="CPK7" s="414"/>
      <c r="CPL7" s="414"/>
      <c r="CPM7" s="414"/>
      <c r="CPN7" s="414"/>
      <c r="CPO7" s="414"/>
      <c r="CPP7" s="414"/>
      <c r="CPQ7" s="414"/>
      <c r="CPR7" s="414"/>
      <c r="CPS7" s="414"/>
      <c r="CPT7" s="414"/>
      <c r="CPU7" s="414"/>
      <c r="CPV7" s="414"/>
      <c r="CPW7" s="414"/>
      <c r="CPX7" s="414"/>
      <c r="CPY7" s="414"/>
      <c r="CPZ7" s="414"/>
      <c r="CQA7" s="414"/>
      <c r="CQB7" s="414"/>
      <c r="CQC7" s="414"/>
      <c r="CQD7" s="414"/>
      <c r="CQE7" s="414"/>
      <c r="CQF7" s="414"/>
      <c r="CQG7" s="414"/>
      <c r="CQH7" s="414"/>
      <c r="CQI7" s="414"/>
      <c r="CQJ7" s="414"/>
      <c r="CQK7" s="414"/>
      <c r="CQL7" s="414"/>
      <c r="CQM7" s="414"/>
      <c r="CQN7" s="414"/>
      <c r="CQO7" s="414"/>
      <c r="CQP7" s="414"/>
      <c r="CQQ7" s="414"/>
      <c r="CQR7" s="414"/>
      <c r="CQS7" s="414"/>
      <c r="CQT7" s="414"/>
      <c r="CQU7" s="414"/>
      <c r="CQV7" s="414"/>
      <c r="CQW7" s="414"/>
      <c r="CQX7" s="414"/>
      <c r="CQY7" s="414"/>
      <c r="CQZ7" s="414"/>
      <c r="CRA7" s="414"/>
      <c r="CRB7" s="414"/>
      <c r="CRC7" s="414"/>
      <c r="CRD7" s="414"/>
      <c r="CRE7" s="414"/>
      <c r="CRF7" s="414"/>
      <c r="CRG7" s="414"/>
      <c r="CRH7" s="414"/>
      <c r="CRI7" s="414"/>
      <c r="CRJ7" s="414"/>
      <c r="CRK7" s="414"/>
      <c r="CRL7" s="414"/>
      <c r="CRM7" s="414"/>
      <c r="CRN7" s="414"/>
      <c r="CRO7" s="414"/>
      <c r="CRP7" s="414"/>
      <c r="CRQ7" s="414"/>
      <c r="CRR7" s="414"/>
      <c r="CRS7" s="414"/>
      <c r="CRT7" s="414"/>
      <c r="CRU7" s="414"/>
      <c r="CRV7" s="414"/>
      <c r="CRW7" s="414"/>
      <c r="CRX7" s="414"/>
      <c r="CRY7" s="414"/>
      <c r="CRZ7" s="414"/>
      <c r="CSA7" s="414"/>
      <c r="CSB7" s="414"/>
      <c r="CSC7" s="414"/>
      <c r="CSD7" s="414"/>
      <c r="CSE7" s="414"/>
      <c r="CSF7" s="414"/>
      <c r="CSG7" s="414"/>
      <c r="CSH7" s="414"/>
      <c r="CSI7" s="414"/>
      <c r="CSJ7" s="414"/>
      <c r="CSK7" s="414"/>
      <c r="CSL7" s="414"/>
      <c r="CSM7" s="414"/>
      <c r="CSN7" s="414"/>
      <c r="CSO7" s="414"/>
      <c r="CSP7" s="414"/>
      <c r="CSQ7" s="414"/>
      <c r="CSR7" s="414"/>
      <c r="CSS7" s="414"/>
      <c r="CST7" s="414"/>
      <c r="CSU7" s="414"/>
      <c r="CSV7" s="414"/>
      <c r="CSW7" s="414"/>
      <c r="CSX7" s="414"/>
      <c r="CSY7" s="414"/>
      <c r="CSZ7" s="414"/>
      <c r="CTA7" s="414"/>
      <c r="CTB7" s="414"/>
      <c r="CTC7" s="414"/>
      <c r="CTD7" s="414"/>
      <c r="CTE7" s="414"/>
      <c r="CTF7" s="414"/>
      <c r="CTG7" s="414"/>
      <c r="CTH7" s="414"/>
      <c r="CTI7" s="414"/>
      <c r="CTJ7" s="414"/>
      <c r="CTK7" s="414"/>
      <c r="CTL7" s="414"/>
      <c r="CTM7" s="414"/>
      <c r="CTN7" s="414"/>
      <c r="CTO7" s="414"/>
      <c r="CTP7" s="414"/>
      <c r="CTQ7" s="414"/>
      <c r="CTR7" s="414"/>
      <c r="CTS7" s="414"/>
      <c r="CTT7" s="414"/>
      <c r="CTU7" s="414"/>
      <c r="CTV7" s="414"/>
      <c r="CTW7" s="414"/>
      <c r="CTX7" s="414"/>
      <c r="CTY7" s="414"/>
      <c r="CTZ7" s="414"/>
      <c r="CUA7" s="414"/>
      <c r="CUB7" s="414"/>
      <c r="CUC7" s="414"/>
      <c r="CUD7" s="414"/>
      <c r="CUE7" s="414"/>
      <c r="CUF7" s="414"/>
      <c r="CUG7" s="414"/>
      <c r="CUH7" s="414"/>
      <c r="CUI7" s="414"/>
      <c r="CUJ7" s="414"/>
      <c r="CUK7" s="414"/>
      <c r="CUL7" s="414"/>
      <c r="CUM7" s="414"/>
      <c r="CUN7" s="414"/>
      <c r="CUO7" s="414"/>
      <c r="CUP7" s="414"/>
      <c r="CUQ7" s="414"/>
      <c r="CUR7" s="414"/>
      <c r="CUS7" s="414"/>
      <c r="CUT7" s="414"/>
      <c r="CUU7" s="414"/>
      <c r="CUV7" s="414"/>
      <c r="CUW7" s="414"/>
      <c r="CUX7" s="414"/>
      <c r="CUY7" s="414"/>
      <c r="CUZ7" s="414"/>
      <c r="CVA7" s="414"/>
      <c r="CVB7" s="414"/>
      <c r="CVC7" s="414"/>
      <c r="CVD7" s="414"/>
      <c r="CVE7" s="414"/>
      <c r="CVF7" s="414"/>
      <c r="CVG7" s="414"/>
      <c r="CVH7" s="414"/>
      <c r="CVI7" s="414"/>
      <c r="CVJ7" s="414"/>
      <c r="CVK7" s="414"/>
      <c r="CVL7" s="414"/>
      <c r="CVM7" s="414"/>
      <c r="CVN7" s="414"/>
      <c r="CVO7" s="414"/>
      <c r="CVP7" s="414"/>
      <c r="CVQ7" s="414"/>
      <c r="CVR7" s="414"/>
      <c r="CVS7" s="414"/>
      <c r="CVT7" s="414"/>
      <c r="CVU7" s="414"/>
      <c r="CVV7" s="414"/>
      <c r="CVW7" s="414"/>
      <c r="CVX7" s="414"/>
      <c r="CVY7" s="414"/>
      <c r="CVZ7" s="414"/>
      <c r="CWA7" s="414"/>
      <c r="CWB7" s="414"/>
      <c r="CWC7" s="414"/>
      <c r="CWD7" s="414"/>
      <c r="CWE7" s="414"/>
      <c r="CWF7" s="414"/>
      <c r="CWG7" s="414"/>
      <c r="CWH7" s="414"/>
      <c r="CWI7" s="414"/>
      <c r="CWJ7" s="414"/>
      <c r="CWK7" s="414"/>
      <c r="CWL7" s="414"/>
      <c r="CWM7" s="414"/>
      <c r="CWN7" s="414"/>
      <c r="CWO7" s="414"/>
      <c r="CWP7" s="414"/>
      <c r="CWQ7" s="414"/>
      <c r="CWR7" s="414"/>
      <c r="CWS7" s="414"/>
      <c r="CWT7" s="414"/>
      <c r="CWU7" s="414"/>
      <c r="CWV7" s="414"/>
      <c r="CWW7" s="414"/>
      <c r="CWX7" s="414"/>
      <c r="CWY7" s="414"/>
      <c r="CWZ7" s="414"/>
      <c r="CXA7" s="414"/>
      <c r="CXB7" s="414"/>
      <c r="CXC7" s="414"/>
      <c r="CXD7" s="414"/>
      <c r="CXE7" s="414"/>
      <c r="CXF7" s="414"/>
      <c r="CXG7" s="414"/>
      <c r="CXH7" s="414"/>
      <c r="CXI7" s="414"/>
      <c r="CXJ7" s="414"/>
      <c r="CXK7" s="414"/>
      <c r="CXL7" s="414"/>
      <c r="CXM7" s="414"/>
      <c r="CXN7" s="414"/>
      <c r="CXO7" s="414"/>
      <c r="CXP7" s="414"/>
      <c r="CXQ7" s="414"/>
      <c r="CXR7" s="414"/>
      <c r="CXS7" s="414"/>
      <c r="CXT7" s="414"/>
      <c r="CXU7" s="414"/>
      <c r="CXV7" s="414"/>
      <c r="CXW7" s="414"/>
      <c r="CXX7" s="414"/>
      <c r="CXY7" s="414"/>
      <c r="CXZ7" s="414"/>
      <c r="CYA7" s="414"/>
      <c r="CYB7" s="414"/>
      <c r="CYC7" s="414"/>
      <c r="CYD7" s="414"/>
      <c r="CYE7" s="414"/>
      <c r="CYF7" s="414"/>
      <c r="CYG7" s="414"/>
      <c r="CYH7" s="414"/>
      <c r="CYI7" s="414"/>
      <c r="CYJ7" s="414"/>
      <c r="CYK7" s="414"/>
      <c r="CYL7" s="414"/>
      <c r="CYM7" s="414"/>
      <c r="CYN7" s="414"/>
      <c r="CYO7" s="414"/>
      <c r="CYP7" s="414"/>
      <c r="CYQ7" s="414"/>
      <c r="CYR7" s="414"/>
      <c r="CYS7" s="414"/>
      <c r="CYT7" s="414"/>
      <c r="CYU7" s="414"/>
      <c r="CYV7" s="414"/>
      <c r="CYW7" s="414"/>
      <c r="CYX7" s="414"/>
      <c r="CYY7" s="414"/>
      <c r="CYZ7" s="414"/>
      <c r="CZA7" s="414"/>
      <c r="CZB7" s="414"/>
      <c r="CZC7" s="414"/>
      <c r="CZD7" s="414"/>
      <c r="CZE7" s="414"/>
      <c r="CZF7" s="414"/>
      <c r="CZG7" s="414"/>
      <c r="CZH7" s="414"/>
      <c r="CZI7" s="414"/>
      <c r="CZJ7" s="414"/>
      <c r="CZK7" s="414"/>
      <c r="CZL7" s="414"/>
      <c r="CZM7" s="414"/>
      <c r="CZN7" s="414"/>
      <c r="CZO7" s="414"/>
      <c r="CZP7" s="414"/>
      <c r="CZQ7" s="414"/>
      <c r="CZR7" s="414"/>
      <c r="CZS7" s="414"/>
      <c r="CZT7" s="414"/>
      <c r="CZU7" s="414"/>
      <c r="CZV7" s="414"/>
      <c r="CZW7" s="414"/>
      <c r="CZX7" s="414"/>
      <c r="CZY7" s="414"/>
      <c r="CZZ7" s="414"/>
      <c r="DAA7" s="414"/>
      <c r="DAB7" s="414"/>
      <c r="DAC7" s="414"/>
      <c r="DAD7" s="414"/>
      <c r="DAE7" s="414"/>
      <c r="DAF7" s="414"/>
      <c r="DAG7" s="414"/>
      <c r="DAH7" s="414"/>
      <c r="DAI7" s="414"/>
      <c r="DAJ7" s="414"/>
      <c r="DAK7" s="414"/>
      <c r="DAL7" s="414"/>
      <c r="DAM7" s="414"/>
      <c r="DAN7" s="414"/>
      <c r="DAO7" s="414"/>
      <c r="DAP7" s="414"/>
      <c r="DAQ7" s="414"/>
      <c r="DAR7" s="414"/>
      <c r="DAS7" s="414"/>
      <c r="DAT7" s="414"/>
      <c r="DAU7" s="414"/>
      <c r="DAV7" s="414"/>
      <c r="DAW7" s="414"/>
      <c r="DAX7" s="414"/>
      <c r="DAY7" s="414"/>
      <c r="DAZ7" s="414"/>
      <c r="DBA7" s="414"/>
      <c r="DBB7" s="414"/>
      <c r="DBC7" s="414"/>
      <c r="DBD7" s="414"/>
      <c r="DBE7" s="414"/>
      <c r="DBF7" s="414"/>
      <c r="DBG7" s="414"/>
      <c r="DBH7" s="414"/>
      <c r="DBI7" s="414"/>
      <c r="DBJ7" s="414"/>
      <c r="DBK7" s="414"/>
      <c r="DBL7" s="414"/>
      <c r="DBM7" s="414"/>
      <c r="DBN7" s="414"/>
      <c r="DBO7" s="414"/>
      <c r="DBP7" s="414"/>
      <c r="DBQ7" s="414"/>
      <c r="DBR7" s="414"/>
      <c r="DBS7" s="414"/>
      <c r="DBT7" s="414"/>
      <c r="DBU7" s="414"/>
      <c r="DBV7" s="414"/>
      <c r="DBW7" s="414"/>
      <c r="DBX7" s="414"/>
      <c r="DBY7" s="414"/>
      <c r="DBZ7" s="414"/>
      <c r="DCA7" s="414"/>
      <c r="DCB7" s="414"/>
      <c r="DCC7" s="414"/>
      <c r="DCD7" s="414"/>
      <c r="DCE7" s="414"/>
      <c r="DCF7" s="414"/>
      <c r="DCG7" s="414"/>
      <c r="DCH7" s="414"/>
      <c r="DCI7" s="414"/>
      <c r="DCJ7" s="414"/>
      <c r="DCK7" s="414"/>
      <c r="DCL7" s="414"/>
      <c r="DCM7" s="414"/>
      <c r="DCN7" s="414"/>
      <c r="DCO7" s="414"/>
      <c r="DCP7" s="414"/>
      <c r="DCQ7" s="414"/>
      <c r="DCR7" s="414"/>
      <c r="DCS7" s="414"/>
      <c r="DCT7" s="414"/>
      <c r="DCU7" s="414"/>
      <c r="DCV7" s="414"/>
      <c r="DCW7" s="414"/>
      <c r="DCX7" s="414"/>
      <c r="DCY7" s="414"/>
      <c r="DCZ7" s="414"/>
      <c r="DDA7" s="414"/>
      <c r="DDB7" s="414"/>
      <c r="DDC7" s="414"/>
      <c r="DDD7" s="414"/>
      <c r="DDE7" s="414"/>
      <c r="DDF7" s="414"/>
      <c r="DDG7" s="414"/>
      <c r="DDH7" s="414"/>
      <c r="DDI7" s="414"/>
      <c r="DDJ7" s="414"/>
      <c r="DDK7" s="414"/>
      <c r="DDL7" s="414"/>
      <c r="DDM7" s="414"/>
      <c r="DDN7" s="414"/>
      <c r="DDO7" s="414"/>
      <c r="DDP7" s="414"/>
      <c r="DDQ7" s="414"/>
      <c r="DDR7" s="414"/>
      <c r="DDS7" s="414"/>
      <c r="DDT7" s="414"/>
      <c r="DDU7" s="414"/>
      <c r="DDV7" s="414"/>
      <c r="DDW7" s="414"/>
      <c r="DDX7" s="414"/>
      <c r="DDY7" s="414"/>
      <c r="DDZ7" s="414"/>
      <c r="DEA7" s="414"/>
      <c r="DEB7" s="414"/>
      <c r="DEC7" s="414"/>
      <c r="DED7" s="414"/>
      <c r="DEE7" s="414"/>
      <c r="DEF7" s="414"/>
      <c r="DEG7" s="414"/>
      <c r="DEH7" s="414"/>
      <c r="DEI7" s="414"/>
      <c r="DEJ7" s="414"/>
      <c r="DEK7" s="414"/>
      <c r="DEL7" s="414"/>
      <c r="DEM7" s="414"/>
      <c r="DEN7" s="414"/>
      <c r="DEO7" s="414"/>
      <c r="DEP7" s="414"/>
      <c r="DEQ7" s="414"/>
      <c r="DER7" s="414"/>
      <c r="DES7" s="414"/>
      <c r="DET7" s="414"/>
      <c r="DEU7" s="414"/>
      <c r="DEV7" s="414"/>
      <c r="DEW7" s="414"/>
      <c r="DEX7" s="414"/>
      <c r="DEY7" s="414"/>
      <c r="DEZ7" s="414"/>
      <c r="DFA7" s="414"/>
      <c r="DFB7" s="414"/>
      <c r="DFC7" s="414"/>
      <c r="DFD7" s="414"/>
      <c r="DFE7" s="414"/>
      <c r="DFF7" s="414"/>
      <c r="DFG7" s="414"/>
      <c r="DFH7" s="414"/>
      <c r="DFI7" s="414"/>
      <c r="DFJ7" s="414"/>
      <c r="DFK7" s="414"/>
      <c r="DFL7" s="414"/>
      <c r="DFM7" s="414"/>
      <c r="DFN7" s="414"/>
      <c r="DFO7" s="414"/>
      <c r="DFP7" s="414"/>
      <c r="DFQ7" s="414"/>
      <c r="DFR7" s="414"/>
      <c r="DFS7" s="414"/>
      <c r="DFT7" s="414"/>
      <c r="DFU7" s="414"/>
      <c r="DFV7" s="414"/>
      <c r="DFW7" s="414"/>
      <c r="DFX7" s="414"/>
      <c r="DFY7" s="414"/>
      <c r="DFZ7" s="414"/>
      <c r="DGA7" s="414"/>
      <c r="DGB7" s="414"/>
      <c r="DGC7" s="414"/>
      <c r="DGD7" s="414"/>
      <c r="DGE7" s="414"/>
      <c r="DGF7" s="414"/>
      <c r="DGG7" s="414"/>
      <c r="DGH7" s="414"/>
      <c r="DGI7" s="414"/>
      <c r="DGJ7" s="414"/>
      <c r="DGK7" s="414"/>
      <c r="DGL7" s="414"/>
      <c r="DGM7" s="414"/>
      <c r="DGN7" s="414"/>
      <c r="DGO7" s="414"/>
      <c r="DGP7" s="414"/>
      <c r="DGQ7" s="414"/>
      <c r="DGR7" s="414"/>
      <c r="DGS7" s="414"/>
      <c r="DGT7" s="414"/>
      <c r="DGU7" s="414"/>
      <c r="DGV7" s="414"/>
      <c r="DGW7" s="414"/>
      <c r="DGX7" s="414"/>
      <c r="DGY7" s="414"/>
      <c r="DGZ7" s="414"/>
      <c r="DHA7" s="414"/>
      <c r="DHB7" s="414"/>
      <c r="DHC7" s="414"/>
      <c r="DHD7" s="414"/>
      <c r="DHE7" s="414"/>
      <c r="DHF7" s="414"/>
      <c r="DHG7" s="414"/>
      <c r="DHH7" s="414"/>
      <c r="DHI7" s="414"/>
      <c r="DHJ7" s="414"/>
      <c r="DHK7" s="414"/>
      <c r="DHL7" s="414"/>
      <c r="DHM7" s="414"/>
      <c r="DHN7" s="414"/>
      <c r="DHO7" s="414"/>
      <c r="DHP7" s="414"/>
      <c r="DHQ7" s="414"/>
      <c r="DHR7" s="414"/>
      <c r="DHS7" s="414"/>
      <c r="DHT7" s="414"/>
      <c r="DHU7" s="414"/>
      <c r="DHV7" s="414"/>
      <c r="DHW7" s="414"/>
      <c r="DHX7" s="414"/>
      <c r="DHY7" s="414"/>
      <c r="DHZ7" s="414"/>
      <c r="DIA7" s="414"/>
      <c r="DIB7" s="414"/>
      <c r="DIC7" s="414"/>
      <c r="DID7" s="414"/>
      <c r="DIE7" s="414"/>
      <c r="DIF7" s="414"/>
      <c r="DIG7" s="414"/>
      <c r="DIH7" s="414"/>
      <c r="DII7" s="414"/>
      <c r="DIJ7" s="414"/>
      <c r="DIK7" s="414"/>
      <c r="DIL7" s="414"/>
      <c r="DIM7" s="414"/>
      <c r="DIN7" s="414"/>
      <c r="DIO7" s="414"/>
      <c r="DIP7" s="414"/>
      <c r="DIQ7" s="414"/>
      <c r="DIR7" s="414"/>
      <c r="DIS7" s="414"/>
      <c r="DIT7" s="414"/>
      <c r="DIU7" s="414"/>
      <c r="DIV7" s="414"/>
      <c r="DIW7" s="414"/>
      <c r="DIX7" s="414"/>
      <c r="DIY7" s="414"/>
      <c r="DIZ7" s="414"/>
      <c r="DJA7" s="414"/>
      <c r="DJB7" s="414"/>
      <c r="DJC7" s="414"/>
      <c r="DJD7" s="414"/>
      <c r="DJE7" s="414"/>
      <c r="DJF7" s="414"/>
      <c r="DJG7" s="414"/>
      <c r="DJH7" s="414"/>
      <c r="DJI7" s="414"/>
      <c r="DJJ7" s="414"/>
      <c r="DJK7" s="414"/>
      <c r="DJL7" s="414"/>
      <c r="DJM7" s="414"/>
      <c r="DJN7" s="414"/>
      <c r="DJO7" s="414"/>
      <c r="DJP7" s="414"/>
      <c r="DJQ7" s="414"/>
      <c r="DJR7" s="414"/>
      <c r="DJS7" s="414"/>
      <c r="DJT7" s="414"/>
      <c r="DJU7" s="414"/>
      <c r="DJV7" s="414"/>
      <c r="DJW7" s="414"/>
      <c r="DJX7" s="414"/>
      <c r="DJY7" s="414"/>
      <c r="DJZ7" s="414"/>
      <c r="DKA7" s="414"/>
      <c r="DKB7" s="414"/>
      <c r="DKC7" s="414"/>
      <c r="DKD7" s="414"/>
      <c r="DKE7" s="414"/>
      <c r="DKF7" s="414"/>
      <c r="DKG7" s="414"/>
      <c r="DKH7" s="414"/>
      <c r="DKI7" s="414"/>
      <c r="DKJ7" s="414"/>
      <c r="DKK7" s="414"/>
      <c r="DKL7" s="414"/>
      <c r="DKM7" s="414"/>
      <c r="DKN7" s="414"/>
      <c r="DKO7" s="414"/>
      <c r="DKP7" s="414"/>
      <c r="DKQ7" s="414"/>
      <c r="DKR7" s="414"/>
      <c r="DKS7" s="414"/>
      <c r="DKT7" s="414"/>
      <c r="DKU7" s="414"/>
      <c r="DKV7" s="414"/>
      <c r="DKW7" s="414"/>
      <c r="DKX7" s="414"/>
      <c r="DKY7" s="414"/>
      <c r="DKZ7" s="414"/>
      <c r="DLA7" s="414"/>
      <c r="DLB7" s="414"/>
      <c r="DLC7" s="414"/>
      <c r="DLD7" s="414"/>
      <c r="DLE7" s="414"/>
      <c r="DLF7" s="414"/>
      <c r="DLG7" s="414"/>
      <c r="DLH7" s="414"/>
      <c r="DLI7" s="414"/>
      <c r="DLJ7" s="414"/>
      <c r="DLK7" s="414"/>
      <c r="DLL7" s="414"/>
      <c r="DLM7" s="414"/>
      <c r="DLN7" s="414"/>
      <c r="DLO7" s="414"/>
      <c r="DLP7" s="414"/>
      <c r="DLQ7" s="414"/>
      <c r="DLR7" s="414"/>
      <c r="DLS7" s="414"/>
      <c r="DLT7" s="414"/>
      <c r="DLU7" s="414"/>
      <c r="DLV7" s="414"/>
      <c r="DLW7" s="414"/>
      <c r="DLX7" s="414"/>
      <c r="DLY7" s="414"/>
      <c r="DLZ7" s="414"/>
      <c r="DMA7" s="414"/>
      <c r="DMB7" s="414"/>
      <c r="DMC7" s="414"/>
      <c r="DMD7" s="414"/>
      <c r="DME7" s="414"/>
      <c r="DMF7" s="414"/>
      <c r="DMG7" s="414"/>
      <c r="DMH7" s="414"/>
      <c r="DMI7" s="414"/>
      <c r="DMJ7" s="414"/>
      <c r="DMK7" s="414"/>
      <c r="DML7" s="414"/>
      <c r="DMM7" s="414"/>
      <c r="DMN7" s="414"/>
      <c r="DMO7" s="414"/>
      <c r="DMP7" s="414"/>
      <c r="DMQ7" s="414"/>
      <c r="DMR7" s="414"/>
      <c r="DMS7" s="414"/>
      <c r="DMT7" s="414"/>
      <c r="DMU7" s="414"/>
      <c r="DMV7" s="414"/>
      <c r="DMW7" s="414"/>
      <c r="DMX7" s="414"/>
      <c r="DMY7" s="414"/>
      <c r="DMZ7" s="414"/>
      <c r="DNA7" s="414"/>
      <c r="DNB7" s="414"/>
      <c r="DNC7" s="414"/>
      <c r="DND7" s="414"/>
      <c r="DNE7" s="414"/>
      <c r="DNF7" s="414"/>
      <c r="DNG7" s="414"/>
      <c r="DNH7" s="414"/>
      <c r="DNI7" s="414"/>
      <c r="DNJ7" s="414"/>
      <c r="DNK7" s="414"/>
      <c r="DNL7" s="414"/>
      <c r="DNM7" s="414"/>
      <c r="DNN7" s="414"/>
      <c r="DNO7" s="414"/>
      <c r="DNP7" s="414"/>
      <c r="DNQ7" s="414"/>
      <c r="DNR7" s="414"/>
      <c r="DNS7" s="414"/>
      <c r="DNT7" s="414"/>
      <c r="DNU7" s="414"/>
      <c r="DNV7" s="414"/>
      <c r="DNW7" s="414"/>
      <c r="DNX7" s="414"/>
      <c r="DNY7" s="414"/>
      <c r="DNZ7" s="414"/>
      <c r="DOA7" s="414"/>
      <c r="DOB7" s="414"/>
      <c r="DOC7" s="414"/>
      <c r="DOD7" s="414"/>
      <c r="DOE7" s="414"/>
      <c r="DOF7" s="414"/>
      <c r="DOG7" s="414"/>
      <c r="DOH7" s="414"/>
      <c r="DOI7" s="414"/>
      <c r="DOJ7" s="414"/>
      <c r="DOK7" s="414"/>
      <c r="DOL7" s="414"/>
      <c r="DOM7" s="414"/>
      <c r="DON7" s="414"/>
      <c r="DOO7" s="414"/>
      <c r="DOP7" s="414"/>
      <c r="DOQ7" s="414"/>
      <c r="DOR7" s="414"/>
      <c r="DOS7" s="414"/>
      <c r="DOT7" s="414"/>
      <c r="DOU7" s="414"/>
      <c r="DOV7" s="414"/>
      <c r="DOW7" s="414"/>
      <c r="DOX7" s="414"/>
      <c r="DOY7" s="414"/>
      <c r="DOZ7" s="414"/>
      <c r="DPA7" s="414"/>
      <c r="DPB7" s="414"/>
      <c r="DPC7" s="414"/>
      <c r="DPD7" s="414"/>
      <c r="DPE7" s="414"/>
      <c r="DPF7" s="414"/>
      <c r="DPG7" s="414"/>
      <c r="DPH7" s="414"/>
      <c r="DPI7" s="414"/>
      <c r="DPJ7" s="414"/>
      <c r="DPK7" s="414"/>
      <c r="DPL7" s="414"/>
      <c r="DPM7" s="414"/>
      <c r="DPN7" s="414"/>
      <c r="DPO7" s="414"/>
      <c r="DPP7" s="414"/>
      <c r="DPQ7" s="414"/>
      <c r="DPR7" s="414"/>
      <c r="DPS7" s="414"/>
      <c r="DPT7" s="414"/>
      <c r="DPU7" s="414"/>
      <c r="DPV7" s="414"/>
      <c r="DPW7" s="414"/>
      <c r="DPX7" s="414"/>
      <c r="DPY7" s="414"/>
      <c r="DPZ7" s="414"/>
      <c r="DQA7" s="414"/>
      <c r="DQB7" s="414"/>
      <c r="DQC7" s="414"/>
      <c r="DQD7" s="414"/>
      <c r="DQE7" s="414"/>
      <c r="DQF7" s="414"/>
      <c r="DQG7" s="414"/>
      <c r="DQH7" s="414"/>
      <c r="DQI7" s="414"/>
      <c r="DQJ7" s="414"/>
      <c r="DQK7" s="414"/>
      <c r="DQL7" s="414"/>
      <c r="DQM7" s="414"/>
      <c r="DQN7" s="414"/>
      <c r="DQO7" s="414"/>
      <c r="DQP7" s="414"/>
      <c r="DQQ7" s="414"/>
      <c r="DQR7" s="414"/>
      <c r="DQS7" s="414"/>
      <c r="DQT7" s="414"/>
      <c r="DQU7" s="414"/>
      <c r="DQV7" s="414"/>
      <c r="DQW7" s="414"/>
      <c r="DQX7" s="414"/>
      <c r="DQY7" s="414"/>
      <c r="DQZ7" s="414"/>
      <c r="DRA7" s="414"/>
      <c r="DRB7" s="414"/>
      <c r="DRC7" s="414"/>
      <c r="DRD7" s="414"/>
      <c r="DRE7" s="414"/>
      <c r="DRF7" s="414"/>
      <c r="DRG7" s="414"/>
      <c r="DRH7" s="414"/>
      <c r="DRI7" s="414"/>
      <c r="DRJ7" s="414"/>
      <c r="DRK7" s="414"/>
      <c r="DRL7" s="414"/>
      <c r="DRM7" s="414"/>
      <c r="DRN7" s="414"/>
      <c r="DRO7" s="414"/>
      <c r="DRP7" s="414"/>
      <c r="DRQ7" s="414"/>
      <c r="DRR7" s="414"/>
      <c r="DRS7" s="414"/>
      <c r="DRT7" s="414"/>
      <c r="DRU7" s="414"/>
      <c r="DRV7" s="414"/>
      <c r="DRW7" s="414"/>
      <c r="DRX7" s="414"/>
      <c r="DRY7" s="414"/>
      <c r="DRZ7" s="414"/>
      <c r="DSA7" s="414"/>
      <c r="DSB7" s="414"/>
      <c r="DSC7" s="414"/>
      <c r="DSD7" s="414"/>
      <c r="DSE7" s="414"/>
      <c r="DSF7" s="414"/>
      <c r="DSG7" s="414"/>
      <c r="DSH7" s="414"/>
      <c r="DSI7" s="414"/>
      <c r="DSJ7" s="414"/>
      <c r="DSK7" s="414"/>
      <c r="DSL7" s="414"/>
      <c r="DSM7" s="414"/>
      <c r="DSN7" s="414"/>
      <c r="DSO7" s="414"/>
      <c r="DSP7" s="414"/>
      <c r="DSQ7" s="414"/>
      <c r="DSR7" s="414"/>
      <c r="DSS7" s="414"/>
      <c r="DST7" s="414"/>
      <c r="DSU7" s="414"/>
      <c r="DSV7" s="414"/>
      <c r="DSW7" s="414"/>
      <c r="DSX7" s="414"/>
      <c r="DSY7" s="414"/>
      <c r="DSZ7" s="414"/>
      <c r="DTA7" s="414"/>
      <c r="DTB7" s="414"/>
      <c r="DTC7" s="414"/>
      <c r="DTD7" s="414"/>
      <c r="DTE7" s="414"/>
      <c r="DTF7" s="414"/>
      <c r="DTG7" s="414"/>
      <c r="DTH7" s="414"/>
      <c r="DTI7" s="414"/>
      <c r="DTJ7" s="414"/>
      <c r="DTK7" s="414"/>
      <c r="DTL7" s="414"/>
      <c r="DTM7" s="414"/>
      <c r="DTN7" s="414"/>
      <c r="DTO7" s="414"/>
      <c r="DTP7" s="414"/>
      <c r="DTQ7" s="414"/>
      <c r="DTR7" s="414"/>
      <c r="DTS7" s="414"/>
      <c r="DTT7" s="414"/>
      <c r="DTU7" s="414"/>
      <c r="DTV7" s="414"/>
      <c r="DTW7" s="414"/>
      <c r="DTX7" s="414"/>
      <c r="DTY7" s="414"/>
      <c r="DTZ7" s="414"/>
      <c r="DUA7" s="414"/>
      <c r="DUB7" s="414"/>
      <c r="DUC7" s="414"/>
      <c r="DUD7" s="414"/>
      <c r="DUE7" s="414"/>
      <c r="DUF7" s="414"/>
      <c r="DUG7" s="414"/>
      <c r="DUH7" s="414"/>
      <c r="DUI7" s="414"/>
      <c r="DUJ7" s="414"/>
      <c r="DUK7" s="414"/>
      <c r="DUL7" s="414"/>
      <c r="DUM7" s="414"/>
      <c r="DUN7" s="414"/>
      <c r="DUO7" s="414"/>
      <c r="DUP7" s="414"/>
      <c r="DUQ7" s="414"/>
      <c r="DUR7" s="414"/>
      <c r="DUS7" s="414"/>
      <c r="DUT7" s="414"/>
      <c r="DUU7" s="414"/>
      <c r="DUV7" s="414"/>
      <c r="DUW7" s="414"/>
      <c r="DUX7" s="414"/>
      <c r="DUY7" s="414"/>
      <c r="DUZ7" s="414"/>
      <c r="DVA7" s="414"/>
      <c r="DVB7" s="414"/>
      <c r="DVC7" s="414"/>
      <c r="DVD7" s="414"/>
      <c r="DVE7" s="414"/>
      <c r="DVF7" s="414"/>
      <c r="DVG7" s="414"/>
      <c r="DVH7" s="414"/>
      <c r="DVI7" s="414"/>
      <c r="DVJ7" s="414"/>
      <c r="DVK7" s="414"/>
      <c r="DVL7" s="414"/>
      <c r="DVM7" s="414"/>
      <c r="DVN7" s="414"/>
      <c r="DVO7" s="414"/>
      <c r="DVP7" s="414"/>
      <c r="DVQ7" s="414"/>
      <c r="DVR7" s="414"/>
      <c r="DVS7" s="414"/>
      <c r="DVT7" s="414"/>
      <c r="DVU7" s="414"/>
      <c r="DVV7" s="414"/>
      <c r="DVW7" s="414"/>
      <c r="DVX7" s="414"/>
      <c r="DVY7" s="414"/>
      <c r="DVZ7" s="414"/>
      <c r="DWA7" s="414"/>
      <c r="DWB7" s="414"/>
      <c r="DWC7" s="414"/>
      <c r="DWD7" s="414"/>
      <c r="DWE7" s="414"/>
      <c r="DWF7" s="414"/>
      <c r="DWG7" s="414"/>
      <c r="DWH7" s="414"/>
      <c r="DWI7" s="414"/>
      <c r="DWJ7" s="414"/>
      <c r="DWK7" s="414"/>
      <c r="DWL7" s="414"/>
      <c r="DWM7" s="414"/>
      <c r="DWN7" s="414"/>
      <c r="DWO7" s="414"/>
      <c r="DWP7" s="414"/>
      <c r="DWQ7" s="414"/>
      <c r="DWR7" s="414"/>
      <c r="DWS7" s="414"/>
      <c r="DWT7" s="414"/>
      <c r="DWU7" s="414"/>
      <c r="DWV7" s="414"/>
      <c r="DWW7" s="414"/>
      <c r="DWX7" s="414"/>
      <c r="DWY7" s="414"/>
      <c r="DWZ7" s="414"/>
      <c r="DXA7" s="414"/>
      <c r="DXB7" s="414"/>
      <c r="DXC7" s="414"/>
      <c r="DXD7" s="414"/>
      <c r="DXE7" s="414"/>
      <c r="DXF7" s="414"/>
      <c r="DXG7" s="414"/>
      <c r="DXH7" s="414"/>
      <c r="DXI7" s="414"/>
      <c r="DXJ7" s="414"/>
      <c r="DXK7" s="414"/>
      <c r="DXL7" s="414"/>
      <c r="DXM7" s="414"/>
      <c r="DXN7" s="414"/>
      <c r="DXO7" s="414"/>
      <c r="DXP7" s="414"/>
      <c r="DXQ7" s="414"/>
      <c r="DXR7" s="414"/>
      <c r="DXS7" s="414"/>
      <c r="DXT7" s="414"/>
      <c r="DXU7" s="414"/>
      <c r="DXV7" s="414"/>
      <c r="DXW7" s="414"/>
      <c r="DXX7" s="414"/>
      <c r="DXY7" s="414"/>
      <c r="DXZ7" s="414"/>
      <c r="DYA7" s="414"/>
      <c r="DYB7" s="414"/>
      <c r="DYC7" s="414"/>
      <c r="DYD7" s="414"/>
      <c r="DYE7" s="414"/>
      <c r="DYF7" s="414"/>
      <c r="DYG7" s="414"/>
      <c r="DYH7" s="414"/>
      <c r="DYI7" s="414"/>
      <c r="DYJ7" s="414"/>
      <c r="DYK7" s="414"/>
      <c r="DYL7" s="414"/>
      <c r="DYM7" s="414"/>
      <c r="DYN7" s="414"/>
      <c r="DYO7" s="414"/>
      <c r="DYP7" s="414"/>
      <c r="DYQ7" s="414"/>
      <c r="DYR7" s="414"/>
      <c r="DYS7" s="414"/>
      <c r="DYT7" s="414"/>
      <c r="DYU7" s="414"/>
      <c r="DYV7" s="414"/>
      <c r="DYW7" s="414"/>
      <c r="DYX7" s="414"/>
      <c r="DYY7" s="414"/>
      <c r="DYZ7" s="414"/>
      <c r="DZA7" s="414"/>
      <c r="DZB7" s="414"/>
      <c r="DZC7" s="414"/>
      <c r="DZD7" s="414"/>
      <c r="DZE7" s="414"/>
      <c r="DZF7" s="414"/>
      <c r="DZG7" s="414"/>
      <c r="DZH7" s="414"/>
      <c r="DZI7" s="414"/>
      <c r="DZJ7" s="414"/>
      <c r="DZK7" s="414"/>
      <c r="DZL7" s="414"/>
      <c r="DZM7" s="414"/>
      <c r="DZN7" s="414"/>
      <c r="DZO7" s="414"/>
      <c r="DZP7" s="414"/>
      <c r="DZQ7" s="414"/>
      <c r="DZR7" s="414"/>
      <c r="DZS7" s="414"/>
      <c r="DZT7" s="414"/>
      <c r="DZU7" s="414"/>
      <c r="DZV7" s="414"/>
      <c r="DZW7" s="414"/>
      <c r="DZX7" s="414"/>
      <c r="DZY7" s="414"/>
      <c r="DZZ7" s="414"/>
      <c r="EAA7" s="414"/>
      <c r="EAB7" s="414"/>
      <c r="EAC7" s="414"/>
      <c r="EAD7" s="414"/>
      <c r="EAE7" s="414"/>
      <c r="EAF7" s="414"/>
      <c r="EAG7" s="414"/>
      <c r="EAH7" s="414"/>
      <c r="EAI7" s="414"/>
      <c r="EAJ7" s="414"/>
      <c r="EAK7" s="414"/>
      <c r="EAL7" s="414"/>
      <c r="EAM7" s="414"/>
      <c r="EAN7" s="414"/>
      <c r="EAO7" s="414"/>
      <c r="EAP7" s="414"/>
      <c r="EAQ7" s="414"/>
      <c r="EAR7" s="414"/>
      <c r="EAS7" s="414"/>
      <c r="EAT7" s="414"/>
      <c r="EAU7" s="414"/>
      <c r="EAV7" s="414"/>
      <c r="EAW7" s="414"/>
      <c r="EAX7" s="414"/>
      <c r="EAY7" s="414"/>
      <c r="EAZ7" s="414"/>
      <c r="EBA7" s="414"/>
      <c r="EBB7" s="414"/>
      <c r="EBC7" s="414"/>
      <c r="EBD7" s="414"/>
      <c r="EBE7" s="414"/>
      <c r="EBF7" s="414"/>
      <c r="EBG7" s="414"/>
      <c r="EBH7" s="414"/>
      <c r="EBI7" s="414"/>
      <c r="EBJ7" s="414"/>
      <c r="EBK7" s="414"/>
      <c r="EBL7" s="414"/>
      <c r="EBM7" s="414"/>
      <c r="EBN7" s="414"/>
      <c r="EBO7" s="414"/>
      <c r="EBP7" s="414"/>
      <c r="EBQ7" s="414"/>
      <c r="EBR7" s="414"/>
      <c r="EBS7" s="414"/>
      <c r="EBT7" s="414"/>
      <c r="EBU7" s="414"/>
      <c r="EBV7" s="414"/>
      <c r="EBW7" s="414"/>
      <c r="EBX7" s="414"/>
      <c r="EBY7" s="414"/>
      <c r="EBZ7" s="414"/>
      <c r="ECA7" s="414"/>
      <c r="ECB7" s="414"/>
      <c r="ECC7" s="414"/>
      <c r="ECD7" s="414"/>
      <c r="ECE7" s="414"/>
      <c r="ECF7" s="414"/>
      <c r="ECG7" s="414"/>
      <c r="ECH7" s="414"/>
      <c r="ECI7" s="414"/>
      <c r="ECJ7" s="414"/>
      <c r="ECK7" s="414"/>
      <c r="ECL7" s="414"/>
      <c r="ECM7" s="414"/>
      <c r="ECN7" s="414"/>
      <c r="ECO7" s="414"/>
      <c r="ECP7" s="414"/>
      <c r="ECQ7" s="414"/>
      <c r="ECR7" s="414"/>
      <c r="ECS7" s="414"/>
      <c r="ECT7" s="414"/>
      <c r="ECU7" s="414"/>
      <c r="ECV7" s="414"/>
      <c r="ECW7" s="414"/>
      <c r="ECX7" s="414"/>
      <c r="ECY7" s="414"/>
      <c r="ECZ7" s="414"/>
      <c r="EDA7" s="414"/>
      <c r="EDB7" s="414"/>
      <c r="EDC7" s="414"/>
      <c r="EDD7" s="414"/>
      <c r="EDE7" s="414"/>
      <c r="EDF7" s="414"/>
      <c r="EDG7" s="414"/>
      <c r="EDH7" s="414"/>
      <c r="EDI7" s="414"/>
      <c r="EDJ7" s="414"/>
      <c r="EDK7" s="414"/>
      <c r="EDL7" s="414"/>
      <c r="EDM7" s="414"/>
      <c r="EDN7" s="414"/>
      <c r="EDO7" s="414"/>
      <c r="EDP7" s="414"/>
      <c r="EDQ7" s="414"/>
      <c r="EDR7" s="414"/>
      <c r="EDS7" s="414"/>
      <c r="EDT7" s="414"/>
      <c r="EDU7" s="414"/>
      <c r="EDV7" s="414"/>
      <c r="EDW7" s="414"/>
      <c r="EDX7" s="414"/>
      <c r="EDY7" s="414"/>
      <c r="EDZ7" s="414"/>
      <c r="EEA7" s="414"/>
      <c r="EEB7" s="414"/>
      <c r="EEC7" s="414"/>
      <c r="EED7" s="414"/>
      <c r="EEE7" s="414"/>
      <c r="EEF7" s="414"/>
      <c r="EEG7" s="414"/>
      <c r="EEH7" s="414"/>
      <c r="EEI7" s="414"/>
      <c r="EEJ7" s="414"/>
      <c r="EEK7" s="414"/>
      <c r="EEL7" s="414"/>
      <c r="EEM7" s="414"/>
      <c r="EEN7" s="414"/>
      <c r="EEO7" s="414"/>
      <c r="EEP7" s="414"/>
      <c r="EEQ7" s="414"/>
      <c r="EER7" s="414"/>
      <c r="EES7" s="414"/>
      <c r="EET7" s="414"/>
      <c r="EEU7" s="414"/>
      <c r="EEV7" s="414"/>
      <c r="EEW7" s="414"/>
      <c r="EEX7" s="414"/>
      <c r="EEY7" s="414"/>
      <c r="EEZ7" s="414"/>
      <c r="EFA7" s="414"/>
      <c r="EFB7" s="414"/>
      <c r="EFC7" s="414"/>
      <c r="EFD7" s="414"/>
      <c r="EFE7" s="414"/>
      <c r="EFF7" s="414"/>
      <c r="EFG7" s="414"/>
      <c r="EFH7" s="414"/>
      <c r="EFI7" s="414"/>
      <c r="EFJ7" s="414"/>
      <c r="EFK7" s="414"/>
      <c r="EFL7" s="414"/>
      <c r="EFM7" s="414"/>
      <c r="EFN7" s="414"/>
      <c r="EFO7" s="414"/>
      <c r="EFP7" s="414"/>
      <c r="EFQ7" s="414"/>
      <c r="EFR7" s="414"/>
      <c r="EFS7" s="414"/>
      <c r="EFT7" s="414"/>
      <c r="EFU7" s="414"/>
      <c r="EFV7" s="414"/>
      <c r="EFW7" s="414"/>
      <c r="EFX7" s="414"/>
      <c r="EFY7" s="414"/>
      <c r="EFZ7" s="414"/>
      <c r="EGA7" s="414"/>
      <c r="EGB7" s="414"/>
      <c r="EGC7" s="414"/>
      <c r="EGD7" s="414"/>
      <c r="EGE7" s="414"/>
      <c r="EGF7" s="414"/>
      <c r="EGG7" s="414"/>
      <c r="EGH7" s="414"/>
      <c r="EGI7" s="414"/>
      <c r="EGJ7" s="414"/>
      <c r="EGK7" s="414"/>
      <c r="EGL7" s="414"/>
      <c r="EGM7" s="414"/>
      <c r="EGN7" s="414"/>
      <c r="EGO7" s="414"/>
      <c r="EGP7" s="414"/>
      <c r="EGQ7" s="414"/>
      <c r="EGR7" s="414"/>
      <c r="EGS7" s="414"/>
      <c r="EGT7" s="414"/>
      <c r="EGU7" s="414"/>
      <c r="EGV7" s="414"/>
      <c r="EGW7" s="414"/>
      <c r="EGX7" s="414"/>
      <c r="EGY7" s="414"/>
      <c r="EGZ7" s="414"/>
      <c r="EHA7" s="414"/>
      <c r="EHB7" s="414"/>
      <c r="EHC7" s="414"/>
      <c r="EHD7" s="414"/>
      <c r="EHE7" s="414"/>
      <c r="EHF7" s="414"/>
      <c r="EHG7" s="414"/>
      <c r="EHH7" s="414"/>
      <c r="EHI7" s="414"/>
      <c r="EHJ7" s="414"/>
      <c r="EHK7" s="414"/>
      <c r="EHL7" s="414"/>
      <c r="EHM7" s="414"/>
      <c r="EHN7" s="414"/>
      <c r="EHO7" s="414"/>
      <c r="EHP7" s="414"/>
      <c r="EHQ7" s="414"/>
      <c r="EHR7" s="414"/>
      <c r="EHS7" s="414"/>
      <c r="EHT7" s="414"/>
      <c r="EHU7" s="414"/>
      <c r="EHV7" s="414"/>
      <c r="EHW7" s="414"/>
      <c r="EHX7" s="414"/>
      <c r="EHY7" s="414"/>
      <c r="EHZ7" s="414"/>
      <c r="EIA7" s="414"/>
      <c r="EIB7" s="414"/>
      <c r="EIC7" s="414"/>
      <c r="EID7" s="414"/>
      <c r="EIE7" s="414"/>
      <c r="EIF7" s="414"/>
      <c r="EIG7" s="414"/>
      <c r="EIH7" s="414"/>
      <c r="EII7" s="414"/>
      <c r="EIJ7" s="414"/>
      <c r="EIK7" s="414"/>
      <c r="EIL7" s="414"/>
      <c r="EIM7" s="414"/>
      <c r="EIN7" s="414"/>
      <c r="EIO7" s="414"/>
      <c r="EIP7" s="414"/>
      <c r="EIQ7" s="414"/>
      <c r="EIR7" s="414"/>
      <c r="EIS7" s="414"/>
      <c r="EIT7" s="414"/>
      <c r="EIU7" s="414"/>
      <c r="EIV7" s="414"/>
      <c r="EIW7" s="414"/>
      <c r="EIX7" s="414"/>
      <c r="EIY7" s="414"/>
      <c r="EIZ7" s="414"/>
      <c r="EJA7" s="414"/>
      <c r="EJB7" s="414"/>
      <c r="EJC7" s="414"/>
      <c r="EJD7" s="414"/>
      <c r="EJE7" s="414"/>
      <c r="EJF7" s="414"/>
      <c r="EJG7" s="414"/>
      <c r="EJH7" s="414"/>
      <c r="EJI7" s="414"/>
      <c r="EJJ7" s="414"/>
      <c r="EJK7" s="414"/>
      <c r="EJL7" s="414"/>
      <c r="EJM7" s="414"/>
      <c r="EJN7" s="414"/>
      <c r="EJO7" s="414"/>
      <c r="EJP7" s="414"/>
      <c r="EJQ7" s="414"/>
      <c r="EJR7" s="414"/>
      <c r="EJS7" s="414"/>
      <c r="EJT7" s="414"/>
      <c r="EJU7" s="414"/>
      <c r="EJV7" s="414"/>
      <c r="EJW7" s="414"/>
      <c r="EJX7" s="414"/>
      <c r="EJY7" s="414"/>
      <c r="EJZ7" s="414"/>
      <c r="EKA7" s="414"/>
      <c r="EKB7" s="414"/>
      <c r="EKC7" s="414"/>
      <c r="EKD7" s="414"/>
      <c r="EKE7" s="414"/>
      <c r="EKF7" s="414"/>
      <c r="EKG7" s="414"/>
      <c r="EKH7" s="414"/>
      <c r="EKI7" s="414"/>
      <c r="EKJ7" s="414"/>
      <c r="EKK7" s="414"/>
      <c r="EKL7" s="414"/>
      <c r="EKM7" s="414"/>
      <c r="EKN7" s="414"/>
      <c r="EKO7" s="414"/>
      <c r="EKP7" s="414"/>
      <c r="EKQ7" s="414"/>
      <c r="EKR7" s="414"/>
      <c r="EKS7" s="414"/>
      <c r="EKT7" s="414"/>
      <c r="EKU7" s="414"/>
      <c r="EKV7" s="414"/>
      <c r="EKW7" s="414"/>
      <c r="EKX7" s="414"/>
      <c r="EKY7" s="414"/>
      <c r="EKZ7" s="414"/>
      <c r="ELA7" s="414"/>
      <c r="ELB7" s="414"/>
      <c r="ELC7" s="414"/>
      <c r="ELD7" s="414"/>
      <c r="ELE7" s="414"/>
      <c r="ELF7" s="414"/>
      <c r="ELG7" s="414"/>
      <c r="ELH7" s="414"/>
      <c r="ELI7" s="414"/>
      <c r="ELJ7" s="414"/>
      <c r="ELK7" s="414"/>
      <c r="ELL7" s="414"/>
      <c r="ELM7" s="414"/>
      <c r="ELN7" s="414"/>
      <c r="ELO7" s="414"/>
      <c r="ELP7" s="414"/>
      <c r="ELQ7" s="414"/>
      <c r="ELR7" s="414"/>
      <c r="ELS7" s="414"/>
      <c r="ELT7" s="414"/>
      <c r="ELU7" s="414"/>
      <c r="ELV7" s="414"/>
      <c r="ELW7" s="414"/>
      <c r="ELX7" s="414"/>
      <c r="ELY7" s="414"/>
      <c r="ELZ7" s="414"/>
      <c r="EMA7" s="414"/>
      <c r="EMB7" s="414"/>
      <c r="EMC7" s="414"/>
      <c r="EMD7" s="414"/>
      <c r="EME7" s="414"/>
      <c r="EMF7" s="414"/>
      <c r="EMG7" s="414"/>
      <c r="EMH7" s="414"/>
      <c r="EMI7" s="414"/>
      <c r="EMJ7" s="414"/>
      <c r="EMK7" s="414"/>
      <c r="EML7" s="414"/>
      <c r="EMM7" s="414"/>
      <c r="EMN7" s="414"/>
      <c r="EMO7" s="414"/>
      <c r="EMP7" s="414"/>
      <c r="EMQ7" s="414"/>
      <c r="EMR7" s="414"/>
      <c r="EMS7" s="414"/>
      <c r="EMT7" s="414"/>
      <c r="EMU7" s="414"/>
      <c r="EMV7" s="414"/>
      <c r="EMW7" s="414"/>
      <c r="EMX7" s="414"/>
      <c r="EMY7" s="414"/>
      <c r="EMZ7" s="414"/>
      <c r="ENA7" s="414"/>
      <c r="ENB7" s="414"/>
      <c r="ENC7" s="414"/>
      <c r="END7" s="414"/>
      <c r="ENE7" s="414"/>
      <c r="ENF7" s="414"/>
      <c r="ENG7" s="414"/>
      <c r="ENH7" s="414"/>
      <c r="ENI7" s="414"/>
      <c r="ENJ7" s="414"/>
      <c r="ENK7" s="414"/>
      <c r="ENL7" s="414"/>
      <c r="ENM7" s="414"/>
      <c r="ENN7" s="414"/>
      <c r="ENO7" s="414"/>
      <c r="ENP7" s="414"/>
      <c r="ENQ7" s="414"/>
      <c r="ENR7" s="414"/>
      <c r="ENS7" s="414"/>
      <c r="ENT7" s="414"/>
      <c r="ENU7" s="414"/>
      <c r="ENV7" s="414"/>
      <c r="ENW7" s="414"/>
      <c r="ENX7" s="414"/>
      <c r="ENY7" s="414"/>
      <c r="ENZ7" s="414"/>
      <c r="EOA7" s="414"/>
      <c r="EOB7" s="414"/>
      <c r="EOC7" s="414"/>
      <c r="EOD7" s="414"/>
      <c r="EOE7" s="414"/>
      <c r="EOF7" s="414"/>
      <c r="EOG7" s="414"/>
      <c r="EOH7" s="414"/>
      <c r="EOI7" s="414"/>
      <c r="EOJ7" s="414"/>
      <c r="EOK7" s="414"/>
      <c r="EOL7" s="414"/>
      <c r="EOM7" s="414"/>
      <c r="EON7" s="414"/>
      <c r="EOO7" s="414"/>
      <c r="EOP7" s="414"/>
      <c r="EOQ7" s="414"/>
      <c r="EOR7" s="414"/>
      <c r="EOS7" s="414"/>
      <c r="EOT7" s="414"/>
      <c r="EOU7" s="414"/>
      <c r="EOV7" s="414"/>
      <c r="EOW7" s="414"/>
      <c r="EOX7" s="414"/>
      <c r="EOY7" s="414"/>
      <c r="EOZ7" s="414"/>
      <c r="EPA7" s="414"/>
      <c r="EPB7" s="414"/>
      <c r="EPC7" s="414"/>
      <c r="EPD7" s="414"/>
      <c r="EPE7" s="414"/>
      <c r="EPF7" s="414"/>
      <c r="EPG7" s="414"/>
      <c r="EPH7" s="414"/>
      <c r="EPI7" s="414"/>
      <c r="EPJ7" s="414"/>
      <c r="EPK7" s="414"/>
      <c r="EPL7" s="414"/>
      <c r="EPM7" s="414"/>
      <c r="EPN7" s="414"/>
      <c r="EPO7" s="414"/>
      <c r="EPP7" s="414"/>
      <c r="EPQ7" s="414"/>
      <c r="EPR7" s="414"/>
      <c r="EPS7" s="414"/>
      <c r="EPT7" s="414"/>
      <c r="EPU7" s="414"/>
      <c r="EPV7" s="414"/>
      <c r="EPW7" s="414"/>
      <c r="EPX7" s="414"/>
      <c r="EPY7" s="414"/>
      <c r="EPZ7" s="414"/>
      <c r="EQA7" s="414"/>
      <c r="EQB7" s="414"/>
      <c r="EQC7" s="414"/>
      <c r="EQD7" s="414"/>
      <c r="EQE7" s="414"/>
      <c r="EQF7" s="414"/>
      <c r="EQG7" s="414"/>
      <c r="EQH7" s="414"/>
      <c r="EQI7" s="414"/>
      <c r="EQJ7" s="414"/>
      <c r="EQK7" s="414"/>
      <c r="EQL7" s="414"/>
      <c r="EQM7" s="414"/>
      <c r="EQN7" s="414"/>
      <c r="EQO7" s="414"/>
      <c r="EQP7" s="414"/>
      <c r="EQQ7" s="414"/>
      <c r="EQR7" s="414"/>
      <c r="EQS7" s="414"/>
      <c r="EQT7" s="414"/>
      <c r="EQU7" s="414"/>
      <c r="EQV7" s="414"/>
      <c r="EQW7" s="414"/>
      <c r="EQX7" s="414"/>
      <c r="EQY7" s="414"/>
      <c r="EQZ7" s="414"/>
      <c r="ERA7" s="414"/>
      <c r="ERB7" s="414"/>
      <c r="ERC7" s="414"/>
      <c r="ERD7" s="414"/>
      <c r="ERE7" s="414"/>
      <c r="ERF7" s="414"/>
      <c r="ERG7" s="414"/>
      <c r="ERH7" s="414"/>
      <c r="ERI7" s="414"/>
      <c r="ERJ7" s="414"/>
      <c r="ERK7" s="414"/>
      <c r="ERL7" s="414"/>
      <c r="ERM7" s="414"/>
      <c r="ERN7" s="414"/>
      <c r="ERO7" s="414"/>
      <c r="ERP7" s="414"/>
      <c r="ERQ7" s="414"/>
      <c r="ERR7" s="414"/>
      <c r="ERS7" s="414"/>
      <c r="ERT7" s="414"/>
      <c r="ERU7" s="414"/>
      <c r="ERV7" s="414"/>
      <c r="ERW7" s="414"/>
      <c r="ERX7" s="414"/>
      <c r="ERY7" s="414"/>
      <c r="ERZ7" s="414"/>
      <c r="ESA7" s="414"/>
      <c r="ESB7" s="414"/>
      <c r="ESC7" s="414"/>
      <c r="ESD7" s="414"/>
      <c r="ESE7" s="414"/>
      <c r="ESF7" s="414"/>
      <c r="ESG7" s="414"/>
      <c r="ESH7" s="414"/>
      <c r="ESI7" s="414"/>
      <c r="ESJ7" s="414"/>
      <c r="ESK7" s="414"/>
      <c r="ESL7" s="414"/>
      <c r="ESM7" s="414"/>
      <c r="ESN7" s="414"/>
      <c r="ESO7" s="414"/>
      <c r="ESP7" s="414"/>
      <c r="ESQ7" s="414"/>
      <c r="ESR7" s="414"/>
      <c r="ESS7" s="414"/>
      <c r="EST7" s="414"/>
      <c r="ESU7" s="414"/>
      <c r="ESV7" s="414"/>
      <c r="ESW7" s="414"/>
      <c r="ESX7" s="414"/>
      <c r="ESY7" s="414"/>
      <c r="ESZ7" s="414"/>
      <c r="ETA7" s="414"/>
      <c r="ETB7" s="414"/>
      <c r="ETC7" s="414"/>
      <c r="ETD7" s="414"/>
      <c r="ETE7" s="414"/>
      <c r="ETF7" s="414"/>
      <c r="ETG7" s="414"/>
      <c r="ETH7" s="414"/>
      <c r="ETI7" s="414"/>
      <c r="ETJ7" s="414"/>
      <c r="ETK7" s="414"/>
      <c r="ETL7" s="414"/>
      <c r="ETM7" s="414"/>
      <c r="ETN7" s="414"/>
      <c r="ETO7" s="414"/>
      <c r="ETP7" s="414"/>
      <c r="ETQ7" s="414"/>
      <c r="ETR7" s="414"/>
      <c r="ETS7" s="414"/>
      <c r="ETT7" s="414"/>
      <c r="ETU7" s="414"/>
      <c r="ETV7" s="414"/>
      <c r="ETW7" s="414"/>
      <c r="ETX7" s="414"/>
      <c r="ETY7" s="414"/>
      <c r="ETZ7" s="414"/>
      <c r="EUA7" s="414"/>
      <c r="EUB7" s="414"/>
      <c r="EUC7" s="414"/>
      <c r="EUD7" s="414"/>
      <c r="EUE7" s="414"/>
      <c r="EUF7" s="414"/>
      <c r="EUG7" s="414"/>
      <c r="EUH7" s="414"/>
      <c r="EUI7" s="414"/>
      <c r="EUJ7" s="414"/>
      <c r="EUK7" s="414"/>
      <c r="EUL7" s="414"/>
      <c r="EUM7" s="414"/>
      <c r="EUN7" s="414"/>
      <c r="EUO7" s="414"/>
      <c r="EUP7" s="414"/>
      <c r="EUQ7" s="414"/>
      <c r="EUR7" s="414"/>
      <c r="EUS7" s="414"/>
      <c r="EUT7" s="414"/>
      <c r="EUU7" s="414"/>
      <c r="EUV7" s="414"/>
      <c r="EUW7" s="414"/>
      <c r="EUX7" s="414"/>
      <c r="EUY7" s="414"/>
      <c r="EUZ7" s="414"/>
      <c r="EVA7" s="414"/>
      <c r="EVB7" s="414"/>
      <c r="EVC7" s="414"/>
      <c r="EVD7" s="414"/>
      <c r="EVE7" s="414"/>
      <c r="EVF7" s="414"/>
      <c r="EVG7" s="414"/>
      <c r="EVH7" s="414"/>
      <c r="EVI7" s="414"/>
      <c r="EVJ7" s="414"/>
      <c r="EVK7" s="414"/>
      <c r="EVL7" s="414"/>
      <c r="EVM7" s="414"/>
      <c r="EVN7" s="414"/>
      <c r="EVO7" s="414"/>
      <c r="EVP7" s="414"/>
      <c r="EVQ7" s="414"/>
      <c r="EVR7" s="414"/>
      <c r="EVS7" s="414"/>
      <c r="EVT7" s="414"/>
      <c r="EVU7" s="414"/>
      <c r="EVV7" s="414"/>
      <c r="EVW7" s="414"/>
      <c r="EVX7" s="414"/>
      <c r="EVY7" s="414"/>
      <c r="EVZ7" s="414"/>
      <c r="EWA7" s="414"/>
      <c r="EWB7" s="414"/>
      <c r="EWC7" s="414"/>
      <c r="EWD7" s="414"/>
      <c r="EWE7" s="414"/>
      <c r="EWF7" s="414"/>
      <c r="EWG7" s="414"/>
      <c r="EWH7" s="414"/>
      <c r="EWI7" s="414"/>
      <c r="EWJ7" s="414"/>
      <c r="EWK7" s="414"/>
      <c r="EWL7" s="414"/>
      <c r="EWM7" s="414"/>
      <c r="EWN7" s="414"/>
      <c r="EWO7" s="414"/>
      <c r="EWP7" s="414"/>
      <c r="EWQ7" s="414"/>
      <c r="EWR7" s="414"/>
      <c r="EWS7" s="414"/>
      <c r="EWT7" s="414"/>
      <c r="EWU7" s="414"/>
      <c r="EWV7" s="414"/>
      <c r="EWW7" s="414"/>
      <c r="EWX7" s="414"/>
      <c r="EWY7" s="414"/>
      <c r="EWZ7" s="414"/>
      <c r="EXA7" s="414"/>
      <c r="EXB7" s="414"/>
      <c r="EXC7" s="414"/>
      <c r="EXD7" s="414"/>
      <c r="EXE7" s="414"/>
      <c r="EXF7" s="414"/>
      <c r="EXG7" s="414"/>
      <c r="EXH7" s="414"/>
      <c r="EXI7" s="414"/>
      <c r="EXJ7" s="414"/>
      <c r="EXK7" s="414"/>
      <c r="EXL7" s="414"/>
      <c r="EXM7" s="414"/>
      <c r="EXN7" s="414"/>
      <c r="EXO7" s="414"/>
      <c r="EXP7" s="414"/>
      <c r="EXQ7" s="414"/>
      <c r="EXR7" s="414"/>
      <c r="EXS7" s="414"/>
      <c r="EXT7" s="414"/>
      <c r="EXU7" s="414"/>
      <c r="EXV7" s="414"/>
      <c r="EXW7" s="414"/>
      <c r="EXX7" s="414"/>
      <c r="EXY7" s="414"/>
      <c r="EXZ7" s="414"/>
      <c r="EYA7" s="414"/>
      <c r="EYB7" s="414"/>
      <c r="EYC7" s="414"/>
      <c r="EYD7" s="414"/>
      <c r="EYE7" s="414"/>
      <c r="EYF7" s="414"/>
      <c r="EYG7" s="414"/>
      <c r="EYH7" s="414"/>
      <c r="EYI7" s="414"/>
      <c r="EYJ7" s="414"/>
      <c r="EYK7" s="414"/>
      <c r="EYL7" s="414"/>
      <c r="EYM7" s="414"/>
      <c r="EYN7" s="414"/>
      <c r="EYO7" s="414"/>
      <c r="EYP7" s="414"/>
      <c r="EYQ7" s="414"/>
      <c r="EYR7" s="414"/>
      <c r="EYS7" s="414"/>
      <c r="EYT7" s="414"/>
      <c r="EYU7" s="414"/>
      <c r="EYV7" s="414"/>
      <c r="EYW7" s="414"/>
      <c r="EYX7" s="414"/>
      <c r="EYY7" s="414"/>
      <c r="EYZ7" s="414"/>
      <c r="EZA7" s="414"/>
      <c r="EZB7" s="414"/>
      <c r="EZC7" s="414"/>
      <c r="EZD7" s="414"/>
      <c r="EZE7" s="414"/>
      <c r="EZF7" s="414"/>
      <c r="EZG7" s="414"/>
      <c r="EZH7" s="414"/>
      <c r="EZI7" s="414"/>
      <c r="EZJ7" s="414"/>
      <c r="EZK7" s="414"/>
      <c r="EZL7" s="414"/>
      <c r="EZM7" s="414"/>
      <c r="EZN7" s="414"/>
      <c r="EZO7" s="414"/>
      <c r="EZP7" s="414"/>
      <c r="EZQ7" s="414"/>
      <c r="EZR7" s="414"/>
      <c r="EZS7" s="414"/>
      <c r="EZT7" s="414"/>
      <c r="EZU7" s="414"/>
      <c r="EZV7" s="414"/>
      <c r="EZW7" s="414"/>
      <c r="EZX7" s="414"/>
      <c r="EZY7" s="414"/>
      <c r="EZZ7" s="414"/>
      <c r="FAA7" s="414"/>
      <c r="FAB7" s="414"/>
      <c r="FAC7" s="414"/>
      <c r="FAD7" s="414"/>
      <c r="FAE7" s="414"/>
      <c r="FAF7" s="414"/>
      <c r="FAG7" s="414"/>
      <c r="FAH7" s="414"/>
      <c r="FAI7" s="414"/>
      <c r="FAJ7" s="414"/>
      <c r="FAK7" s="414"/>
      <c r="FAL7" s="414"/>
      <c r="FAM7" s="414"/>
      <c r="FAN7" s="414"/>
      <c r="FAO7" s="414"/>
      <c r="FAP7" s="414"/>
      <c r="FAQ7" s="414"/>
      <c r="FAR7" s="414"/>
      <c r="FAS7" s="414"/>
      <c r="FAT7" s="414"/>
      <c r="FAU7" s="414"/>
      <c r="FAV7" s="414"/>
      <c r="FAW7" s="414"/>
      <c r="FAX7" s="414"/>
      <c r="FAY7" s="414"/>
      <c r="FAZ7" s="414"/>
      <c r="FBA7" s="414"/>
      <c r="FBB7" s="414"/>
      <c r="FBC7" s="414"/>
      <c r="FBD7" s="414"/>
      <c r="FBE7" s="414"/>
      <c r="FBF7" s="414"/>
      <c r="FBG7" s="414"/>
      <c r="FBH7" s="414"/>
      <c r="FBI7" s="414"/>
      <c r="FBJ7" s="414"/>
      <c r="FBK7" s="414"/>
      <c r="FBL7" s="414"/>
      <c r="FBM7" s="414"/>
      <c r="FBN7" s="414"/>
      <c r="FBO7" s="414"/>
      <c r="FBP7" s="414"/>
      <c r="FBQ7" s="414"/>
      <c r="FBR7" s="414"/>
      <c r="FBS7" s="414"/>
      <c r="FBT7" s="414"/>
      <c r="FBU7" s="414"/>
      <c r="FBV7" s="414"/>
      <c r="FBW7" s="414"/>
      <c r="FBX7" s="414"/>
      <c r="FBY7" s="414"/>
      <c r="FBZ7" s="414"/>
      <c r="FCA7" s="414"/>
      <c r="FCB7" s="414"/>
      <c r="FCC7" s="414"/>
      <c r="FCD7" s="414"/>
      <c r="FCE7" s="414"/>
      <c r="FCF7" s="414"/>
      <c r="FCG7" s="414"/>
      <c r="FCH7" s="414"/>
      <c r="FCI7" s="414"/>
      <c r="FCJ7" s="414"/>
      <c r="FCK7" s="414"/>
      <c r="FCL7" s="414"/>
      <c r="FCM7" s="414"/>
      <c r="FCN7" s="414"/>
      <c r="FCO7" s="414"/>
      <c r="FCP7" s="414"/>
      <c r="FCQ7" s="414"/>
      <c r="FCR7" s="414"/>
      <c r="FCS7" s="414"/>
      <c r="FCT7" s="414"/>
      <c r="FCU7" s="414"/>
      <c r="FCV7" s="414"/>
      <c r="FCW7" s="414"/>
      <c r="FCX7" s="414"/>
      <c r="FCY7" s="414"/>
      <c r="FCZ7" s="414"/>
      <c r="FDA7" s="414"/>
      <c r="FDB7" s="414"/>
      <c r="FDC7" s="414"/>
      <c r="FDD7" s="414"/>
      <c r="FDE7" s="414"/>
      <c r="FDF7" s="414"/>
      <c r="FDG7" s="414"/>
      <c r="FDH7" s="414"/>
      <c r="FDI7" s="414"/>
      <c r="FDJ7" s="414"/>
      <c r="FDK7" s="414"/>
      <c r="FDL7" s="414"/>
      <c r="FDM7" s="414"/>
      <c r="FDN7" s="414"/>
      <c r="FDO7" s="414"/>
      <c r="FDP7" s="414"/>
      <c r="FDQ7" s="414"/>
      <c r="FDR7" s="414"/>
      <c r="FDS7" s="414"/>
      <c r="FDT7" s="414"/>
      <c r="FDU7" s="414"/>
      <c r="FDV7" s="414"/>
      <c r="FDW7" s="414"/>
      <c r="FDX7" s="414"/>
      <c r="FDY7" s="414"/>
      <c r="FDZ7" s="414"/>
      <c r="FEA7" s="414"/>
      <c r="FEB7" s="414"/>
      <c r="FEC7" s="414"/>
      <c r="FED7" s="414"/>
      <c r="FEE7" s="414"/>
      <c r="FEF7" s="414"/>
      <c r="FEG7" s="414"/>
      <c r="FEH7" s="414"/>
      <c r="FEI7" s="414"/>
      <c r="FEJ7" s="414"/>
      <c r="FEK7" s="414"/>
      <c r="FEL7" s="414"/>
      <c r="FEM7" s="414"/>
      <c r="FEN7" s="414"/>
      <c r="FEO7" s="414"/>
      <c r="FEP7" s="414"/>
      <c r="FEQ7" s="414"/>
      <c r="FER7" s="414"/>
      <c r="FES7" s="414"/>
      <c r="FET7" s="414"/>
      <c r="FEU7" s="414"/>
      <c r="FEV7" s="414"/>
      <c r="FEW7" s="414"/>
      <c r="FEX7" s="414"/>
      <c r="FEY7" s="414"/>
      <c r="FEZ7" s="414"/>
      <c r="FFA7" s="414"/>
      <c r="FFB7" s="414"/>
      <c r="FFC7" s="414"/>
      <c r="FFD7" s="414"/>
      <c r="FFE7" s="414"/>
      <c r="FFF7" s="414"/>
      <c r="FFG7" s="414"/>
      <c r="FFH7" s="414"/>
      <c r="FFI7" s="414"/>
      <c r="FFJ7" s="414"/>
      <c r="FFK7" s="414"/>
      <c r="FFL7" s="414"/>
      <c r="FFM7" s="414"/>
      <c r="FFN7" s="414"/>
      <c r="FFO7" s="414"/>
      <c r="FFP7" s="414"/>
      <c r="FFQ7" s="414"/>
      <c r="FFR7" s="414"/>
      <c r="FFS7" s="414"/>
      <c r="FFT7" s="414"/>
      <c r="FFU7" s="414"/>
      <c r="FFV7" s="414"/>
      <c r="FFW7" s="414"/>
      <c r="FFX7" s="414"/>
      <c r="FFY7" s="414"/>
      <c r="FFZ7" s="414"/>
      <c r="FGA7" s="414"/>
      <c r="FGB7" s="414"/>
      <c r="FGC7" s="414"/>
      <c r="FGD7" s="414"/>
      <c r="FGE7" s="414"/>
      <c r="FGF7" s="414"/>
      <c r="FGG7" s="414"/>
      <c r="FGH7" s="414"/>
      <c r="FGI7" s="414"/>
      <c r="FGJ7" s="414"/>
      <c r="FGK7" s="414"/>
      <c r="FGL7" s="414"/>
      <c r="FGM7" s="414"/>
      <c r="FGN7" s="414"/>
      <c r="FGO7" s="414"/>
      <c r="FGP7" s="414"/>
      <c r="FGQ7" s="414"/>
      <c r="FGR7" s="414"/>
      <c r="FGS7" s="414"/>
      <c r="FGT7" s="414"/>
      <c r="FGU7" s="414"/>
      <c r="FGV7" s="414"/>
      <c r="FGW7" s="414"/>
      <c r="FGX7" s="414"/>
      <c r="FGY7" s="414"/>
      <c r="FGZ7" s="414"/>
      <c r="FHA7" s="414"/>
      <c r="FHB7" s="414"/>
      <c r="FHC7" s="414"/>
      <c r="FHD7" s="414"/>
      <c r="FHE7" s="414"/>
      <c r="FHF7" s="414"/>
      <c r="FHG7" s="414"/>
      <c r="FHH7" s="414"/>
      <c r="FHI7" s="414"/>
      <c r="FHJ7" s="414"/>
      <c r="FHK7" s="414"/>
      <c r="FHL7" s="414"/>
      <c r="FHM7" s="414"/>
      <c r="FHN7" s="414"/>
      <c r="FHO7" s="414"/>
      <c r="FHP7" s="414"/>
      <c r="FHQ7" s="414"/>
      <c r="FHR7" s="414"/>
      <c r="FHS7" s="414"/>
      <c r="FHT7" s="414"/>
      <c r="FHU7" s="414"/>
      <c r="FHV7" s="414"/>
      <c r="FHW7" s="414"/>
      <c r="FHX7" s="414"/>
      <c r="FHY7" s="414"/>
      <c r="FHZ7" s="414"/>
      <c r="FIA7" s="414"/>
      <c r="FIB7" s="414"/>
      <c r="FIC7" s="414"/>
      <c r="FID7" s="414"/>
      <c r="FIE7" s="414"/>
      <c r="FIF7" s="414"/>
      <c r="FIG7" s="414"/>
      <c r="FIH7" s="414"/>
      <c r="FII7" s="414"/>
      <c r="FIJ7" s="414"/>
      <c r="FIK7" s="414"/>
      <c r="FIL7" s="414"/>
      <c r="FIM7" s="414"/>
      <c r="FIN7" s="414"/>
      <c r="FIO7" s="414"/>
      <c r="FIP7" s="414"/>
      <c r="FIQ7" s="414"/>
      <c r="FIR7" s="414"/>
      <c r="FIS7" s="414"/>
      <c r="FIT7" s="414"/>
      <c r="FIU7" s="414"/>
      <c r="FIV7" s="414"/>
      <c r="FIW7" s="414"/>
      <c r="FIX7" s="414"/>
      <c r="FIY7" s="414"/>
      <c r="FIZ7" s="414"/>
      <c r="FJA7" s="414"/>
      <c r="FJB7" s="414"/>
      <c r="FJC7" s="414"/>
      <c r="FJD7" s="414"/>
      <c r="FJE7" s="414"/>
      <c r="FJF7" s="414"/>
      <c r="FJG7" s="414"/>
      <c r="FJH7" s="414"/>
      <c r="FJI7" s="414"/>
      <c r="FJJ7" s="414"/>
      <c r="FJK7" s="414"/>
      <c r="FJL7" s="414"/>
      <c r="FJM7" s="414"/>
      <c r="FJN7" s="414"/>
      <c r="FJO7" s="414"/>
      <c r="FJP7" s="414"/>
      <c r="FJQ7" s="414"/>
      <c r="FJR7" s="414"/>
      <c r="FJS7" s="414"/>
      <c r="FJT7" s="414"/>
      <c r="FJU7" s="414"/>
      <c r="FJV7" s="414"/>
      <c r="FJW7" s="414"/>
      <c r="FJX7" s="414"/>
      <c r="FJY7" s="414"/>
      <c r="FJZ7" s="414"/>
      <c r="FKA7" s="414"/>
      <c r="FKB7" s="414"/>
      <c r="FKC7" s="414"/>
      <c r="FKD7" s="414"/>
      <c r="FKE7" s="414"/>
      <c r="FKF7" s="414"/>
      <c r="FKG7" s="414"/>
      <c r="FKH7" s="414"/>
      <c r="FKI7" s="414"/>
      <c r="FKJ7" s="414"/>
      <c r="FKK7" s="414"/>
      <c r="FKL7" s="414"/>
      <c r="FKM7" s="414"/>
      <c r="FKN7" s="414"/>
      <c r="FKO7" s="414"/>
      <c r="FKP7" s="414"/>
      <c r="FKQ7" s="414"/>
      <c r="FKR7" s="414"/>
      <c r="FKS7" s="414"/>
      <c r="FKT7" s="414"/>
      <c r="FKU7" s="414"/>
      <c r="FKV7" s="414"/>
      <c r="FKW7" s="414"/>
      <c r="FKX7" s="414"/>
      <c r="FKY7" s="414"/>
      <c r="FKZ7" s="414"/>
      <c r="FLA7" s="414"/>
      <c r="FLB7" s="414"/>
      <c r="FLC7" s="414"/>
      <c r="FLD7" s="414"/>
      <c r="FLE7" s="414"/>
      <c r="FLF7" s="414"/>
      <c r="FLG7" s="414"/>
      <c r="FLH7" s="414"/>
      <c r="FLI7" s="414"/>
      <c r="FLJ7" s="414"/>
      <c r="FLK7" s="414"/>
      <c r="FLL7" s="414"/>
      <c r="FLM7" s="414"/>
      <c r="FLN7" s="414"/>
      <c r="FLO7" s="414"/>
      <c r="FLP7" s="414"/>
      <c r="FLQ7" s="414"/>
      <c r="FLR7" s="414"/>
      <c r="FLS7" s="414"/>
      <c r="FLT7" s="414"/>
      <c r="FLU7" s="414"/>
      <c r="FLV7" s="414"/>
      <c r="FLW7" s="414"/>
      <c r="FLX7" s="414"/>
      <c r="FLY7" s="414"/>
      <c r="FLZ7" s="414"/>
      <c r="FMA7" s="414"/>
      <c r="FMB7" s="414"/>
      <c r="FMC7" s="414"/>
      <c r="FMD7" s="414"/>
      <c r="FME7" s="414"/>
      <c r="FMF7" s="414"/>
      <c r="FMG7" s="414"/>
      <c r="FMH7" s="414"/>
      <c r="FMI7" s="414"/>
      <c r="FMJ7" s="414"/>
      <c r="FMK7" s="414"/>
      <c r="FML7" s="414"/>
      <c r="FMM7" s="414"/>
      <c r="FMN7" s="414"/>
      <c r="FMO7" s="414"/>
      <c r="FMP7" s="414"/>
      <c r="FMQ7" s="414"/>
      <c r="FMR7" s="414"/>
      <c r="FMS7" s="414"/>
      <c r="FMT7" s="414"/>
      <c r="FMU7" s="414"/>
      <c r="FMV7" s="414"/>
      <c r="FMW7" s="414"/>
      <c r="FMX7" s="414"/>
      <c r="FMY7" s="414"/>
      <c r="FMZ7" s="414"/>
      <c r="FNA7" s="414"/>
      <c r="FNB7" s="414"/>
      <c r="FNC7" s="414"/>
      <c r="FND7" s="414"/>
      <c r="FNE7" s="414"/>
      <c r="FNF7" s="414"/>
      <c r="FNG7" s="414"/>
      <c r="FNH7" s="414"/>
      <c r="FNI7" s="414"/>
      <c r="FNJ7" s="414"/>
      <c r="FNK7" s="414"/>
      <c r="FNL7" s="414"/>
      <c r="FNM7" s="414"/>
      <c r="FNN7" s="414"/>
      <c r="FNO7" s="414"/>
      <c r="FNP7" s="414"/>
      <c r="FNQ7" s="414"/>
      <c r="FNR7" s="414"/>
      <c r="FNS7" s="414"/>
      <c r="FNT7" s="414"/>
      <c r="FNU7" s="414"/>
      <c r="FNV7" s="414"/>
      <c r="FNW7" s="414"/>
      <c r="FNX7" s="414"/>
      <c r="FNY7" s="414"/>
      <c r="FNZ7" s="414"/>
      <c r="FOA7" s="414"/>
      <c r="FOB7" s="414"/>
      <c r="FOC7" s="414"/>
      <c r="FOD7" s="414"/>
      <c r="FOE7" s="414"/>
      <c r="FOF7" s="414"/>
      <c r="FOG7" s="414"/>
      <c r="FOH7" s="414"/>
      <c r="FOI7" s="414"/>
      <c r="FOJ7" s="414"/>
      <c r="FOK7" s="414"/>
      <c r="FOL7" s="414"/>
      <c r="FOM7" s="414"/>
      <c r="FON7" s="414"/>
      <c r="FOO7" s="414"/>
      <c r="FOP7" s="414"/>
      <c r="FOQ7" s="414"/>
      <c r="FOR7" s="414"/>
      <c r="FOS7" s="414"/>
      <c r="FOT7" s="414"/>
      <c r="FOU7" s="414"/>
      <c r="FOV7" s="414"/>
      <c r="FOW7" s="414"/>
      <c r="FOX7" s="414"/>
      <c r="FOY7" s="414"/>
      <c r="FOZ7" s="414"/>
      <c r="FPA7" s="414"/>
      <c r="FPB7" s="414"/>
      <c r="FPC7" s="414"/>
      <c r="FPD7" s="414"/>
      <c r="FPE7" s="414"/>
      <c r="FPF7" s="414"/>
      <c r="FPG7" s="414"/>
      <c r="FPH7" s="414"/>
      <c r="FPI7" s="414"/>
      <c r="FPJ7" s="414"/>
      <c r="FPK7" s="414"/>
      <c r="FPL7" s="414"/>
      <c r="FPM7" s="414"/>
      <c r="FPN7" s="414"/>
      <c r="FPO7" s="414"/>
      <c r="FPP7" s="414"/>
      <c r="FPQ7" s="414"/>
      <c r="FPR7" s="414"/>
      <c r="FPS7" s="414"/>
      <c r="FPT7" s="414"/>
      <c r="FPU7" s="414"/>
      <c r="FPV7" s="414"/>
      <c r="FPW7" s="414"/>
      <c r="FPX7" s="414"/>
      <c r="FPY7" s="414"/>
      <c r="FPZ7" s="414"/>
      <c r="FQA7" s="414"/>
      <c r="FQB7" s="414"/>
      <c r="FQC7" s="414"/>
      <c r="FQD7" s="414"/>
      <c r="FQE7" s="414"/>
      <c r="FQF7" s="414"/>
      <c r="FQG7" s="414"/>
      <c r="FQH7" s="414"/>
      <c r="FQI7" s="414"/>
      <c r="FQJ7" s="414"/>
      <c r="FQK7" s="414"/>
      <c r="FQL7" s="414"/>
      <c r="FQM7" s="414"/>
      <c r="FQN7" s="414"/>
      <c r="FQO7" s="414"/>
      <c r="FQP7" s="414"/>
      <c r="FQQ7" s="414"/>
      <c r="FQR7" s="414"/>
      <c r="FQS7" s="414"/>
      <c r="FQT7" s="414"/>
      <c r="FQU7" s="414"/>
      <c r="FQV7" s="414"/>
      <c r="FQW7" s="414"/>
      <c r="FQX7" s="414"/>
      <c r="FQY7" s="414"/>
      <c r="FQZ7" s="414"/>
      <c r="FRA7" s="414"/>
      <c r="FRB7" s="414"/>
      <c r="FRC7" s="414"/>
      <c r="FRD7" s="414"/>
      <c r="FRE7" s="414"/>
      <c r="FRF7" s="414"/>
      <c r="FRG7" s="414"/>
      <c r="FRH7" s="414"/>
      <c r="FRI7" s="414"/>
      <c r="FRJ7" s="414"/>
      <c r="FRK7" s="414"/>
      <c r="FRL7" s="414"/>
      <c r="FRM7" s="414"/>
      <c r="FRN7" s="414"/>
      <c r="FRO7" s="414"/>
      <c r="FRP7" s="414"/>
      <c r="FRQ7" s="414"/>
      <c r="FRR7" s="414"/>
      <c r="FRS7" s="414"/>
      <c r="FRT7" s="414"/>
      <c r="FRU7" s="414"/>
      <c r="FRV7" s="414"/>
      <c r="FRW7" s="414"/>
      <c r="FRX7" s="414"/>
      <c r="FRY7" s="414"/>
      <c r="FRZ7" s="414"/>
      <c r="FSA7" s="414"/>
      <c r="FSB7" s="414"/>
      <c r="FSC7" s="414"/>
      <c r="FSD7" s="414"/>
      <c r="FSE7" s="414"/>
      <c r="FSF7" s="414"/>
      <c r="FSG7" s="414"/>
      <c r="FSH7" s="414"/>
      <c r="FSI7" s="414"/>
      <c r="FSJ7" s="414"/>
      <c r="FSK7" s="414"/>
      <c r="FSL7" s="414"/>
      <c r="FSM7" s="414"/>
      <c r="FSN7" s="414"/>
      <c r="FSO7" s="414"/>
      <c r="FSP7" s="414"/>
      <c r="FSQ7" s="414"/>
      <c r="FSR7" s="414"/>
      <c r="FSS7" s="414"/>
      <c r="FST7" s="414"/>
      <c r="FSU7" s="414"/>
      <c r="FSV7" s="414"/>
      <c r="FSW7" s="414"/>
      <c r="FSX7" s="414"/>
      <c r="FSY7" s="414"/>
      <c r="FSZ7" s="414"/>
      <c r="FTA7" s="414"/>
      <c r="FTB7" s="414"/>
      <c r="FTC7" s="414"/>
      <c r="FTD7" s="414"/>
      <c r="FTE7" s="414"/>
      <c r="FTF7" s="414"/>
      <c r="FTG7" s="414"/>
      <c r="FTH7" s="414"/>
      <c r="FTI7" s="414"/>
      <c r="FTJ7" s="414"/>
      <c r="FTK7" s="414"/>
      <c r="FTL7" s="414"/>
      <c r="FTM7" s="414"/>
      <c r="FTN7" s="414"/>
      <c r="FTO7" s="414"/>
      <c r="FTP7" s="414"/>
      <c r="FTQ7" s="414"/>
      <c r="FTR7" s="414"/>
      <c r="FTS7" s="414"/>
      <c r="FTT7" s="414"/>
      <c r="FTU7" s="414"/>
      <c r="FTV7" s="414"/>
      <c r="FTW7" s="414"/>
      <c r="FTX7" s="414"/>
      <c r="FTY7" s="414"/>
      <c r="FTZ7" s="414"/>
      <c r="FUA7" s="414"/>
      <c r="FUB7" s="414"/>
      <c r="FUC7" s="414"/>
      <c r="FUD7" s="414"/>
      <c r="FUE7" s="414"/>
      <c r="FUF7" s="414"/>
      <c r="FUG7" s="414"/>
      <c r="FUH7" s="414"/>
      <c r="FUI7" s="414"/>
      <c r="FUJ7" s="414"/>
      <c r="FUK7" s="414"/>
      <c r="FUL7" s="414"/>
      <c r="FUM7" s="414"/>
      <c r="FUN7" s="414"/>
      <c r="FUO7" s="414"/>
      <c r="FUP7" s="414"/>
      <c r="FUQ7" s="414"/>
      <c r="FUR7" s="414"/>
      <c r="FUS7" s="414"/>
      <c r="FUT7" s="414"/>
      <c r="FUU7" s="414"/>
      <c r="FUV7" s="414"/>
      <c r="FUW7" s="414"/>
      <c r="FUX7" s="414"/>
      <c r="FUY7" s="414"/>
      <c r="FUZ7" s="414"/>
      <c r="FVA7" s="414"/>
      <c r="FVB7" s="414"/>
      <c r="FVC7" s="414"/>
      <c r="FVD7" s="414"/>
      <c r="FVE7" s="414"/>
      <c r="FVF7" s="414"/>
      <c r="FVG7" s="414"/>
      <c r="FVH7" s="414"/>
      <c r="FVI7" s="414"/>
      <c r="FVJ7" s="414"/>
      <c r="FVK7" s="414"/>
      <c r="FVL7" s="414"/>
      <c r="FVM7" s="414"/>
      <c r="FVN7" s="414"/>
      <c r="FVO7" s="414"/>
      <c r="FVP7" s="414"/>
      <c r="FVQ7" s="414"/>
      <c r="FVR7" s="414"/>
      <c r="FVS7" s="414"/>
      <c r="FVT7" s="414"/>
      <c r="FVU7" s="414"/>
      <c r="FVV7" s="414"/>
      <c r="FVW7" s="414"/>
      <c r="FVX7" s="414"/>
      <c r="FVY7" s="414"/>
      <c r="FVZ7" s="414"/>
      <c r="FWA7" s="414"/>
      <c r="FWB7" s="414"/>
      <c r="FWC7" s="414"/>
      <c r="FWD7" s="414"/>
      <c r="FWE7" s="414"/>
      <c r="FWF7" s="414"/>
      <c r="FWG7" s="414"/>
      <c r="FWH7" s="414"/>
      <c r="FWI7" s="414"/>
      <c r="FWJ7" s="414"/>
      <c r="FWK7" s="414"/>
      <c r="FWL7" s="414"/>
      <c r="FWM7" s="414"/>
      <c r="FWN7" s="414"/>
      <c r="FWO7" s="414"/>
      <c r="FWP7" s="414"/>
      <c r="FWQ7" s="414"/>
      <c r="FWR7" s="414"/>
      <c r="FWS7" s="414"/>
      <c r="FWT7" s="414"/>
      <c r="FWU7" s="414"/>
      <c r="FWV7" s="414"/>
      <c r="FWW7" s="414"/>
      <c r="FWX7" s="414"/>
      <c r="FWY7" s="414"/>
      <c r="FWZ7" s="414"/>
      <c r="FXA7" s="414"/>
      <c r="FXB7" s="414"/>
      <c r="FXC7" s="414"/>
      <c r="FXD7" s="414"/>
      <c r="FXE7" s="414"/>
      <c r="FXF7" s="414"/>
      <c r="FXG7" s="414"/>
      <c r="FXH7" s="414"/>
      <c r="FXI7" s="414"/>
      <c r="FXJ7" s="414"/>
      <c r="FXK7" s="414"/>
      <c r="FXL7" s="414"/>
      <c r="FXM7" s="414"/>
      <c r="FXN7" s="414"/>
      <c r="FXO7" s="414"/>
      <c r="FXP7" s="414"/>
      <c r="FXQ7" s="414"/>
      <c r="FXR7" s="414"/>
      <c r="FXS7" s="414"/>
      <c r="FXT7" s="414"/>
      <c r="FXU7" s="414"/>
      <c r="FXV7" s="414"/>
      <c r="FXW7" s="414"/>
      <c r="FXX7" s="414"/>
      <c r="FXY7" s="414"/>
      <c r="FXZ7" s="414"/>
      <c r="FYA7" s="414"/>
      <c r="FYB7" s="414"/>
      <c r="FYC7" s="414"/>
      <c r="FYD7" s="414"/>
      <c r="FYE7" s="414"/>
      <c r="FYF7" s="414"/>
      <c r="FYG7" s="414"/>
      <c r="FYH7" s="414"/>
      <c r="FYI7" s="414"/>
      <c r="FYJ7" s="414"/>
      <c r="FYK7" s="414"/>
      <c r="FYL7" s="414"/>
      <c r="FYM7" s="414"/>
      <c r="FYN7" s="414"/>
      <c r="FYO7" s="414"/>
      <c r="FYP7" s="414"/>
      <c r="FYQ7" s="414"/>
      <c r="FYR7" s="414"/>
      <c r="FYS7" s="414"/>
      <c r="FYT7" s="414"/>
      <c r="FYU7" s="414"/>
      <c r="FYV7" s="414"/>
      <c r="FYW7" s="414"/>
      <c r="FYX7" s="414"/>
      <c r="FYY7" s="414"/>
      <c r="FYZ7" s="414"/>
      <c r="FZA7" s="414"/>
      <c r="FZB7" s="414"/>
      <c r="FZC7" s="414"/>
      <c r="FZD7" s="414"/>
      <c r="FZE7" s="414"/>
      <c r="FZF7" s="414"/>
      <c r="FZG7" s="414"/>
      <c r="FZH7" s="414"/>
      <c r="FZI7" s="414"/>
      <c r="FZJ7" s="414"/>
      <c r="FZK7" s="414"/>
      <c r="FZL7" s="414"/>
      <c r="FZM7" s="414"/>
      <c r="FZN7" s="414"/>
      <c r="FZO7" s="414"/>
      <c r="FZP7" s="414"/>
      <c r="FZQ7" s="414"/>
      <c r="FZR7" s="414"/>
      <c r="FZS7" s="414"/>
      <c r="FZT7" s="414"/>
      <c r="FZU7" s="414"/>
      <c r="FZV7" s="414"/>
      <c r="FZW7" s="414"/>
      <c r="FZX7" s="414"/>
      <c r="FZY7" s="414"/>
      <c r="FZZ7" s="414"/>
      <c r="GAA7" s="414"/>
      <c r="GAB7" s="414"/>
      <c r="GAC7" s="414"/>
      <c r="GAD7" s="414"/>
      <c r="GAE7" s="414"/>
      <c r="GAF7" s="414"/>
      <c r="GAG7" s="414"/>
      <c r="GAH7" s="414"/>
      <c r="GAI7" s="414"/>
      <c r="GAJ7" s="414"/>
      <c r="GAK7" s="414"/>
      <c r="GAL7" s="414"/>
      <c r="GAM7" s="414"/>
      <c r="GAN7" s="414"/>
      <c r="GAO7" s="414"/>
      <c r="GAP7" s="414"/>
      <c r="GAQ7" s="414"/>
      <c r="GAR7" s="414"/>
      <c r="GAS7" s="414"/>
      <c r="GAT7" s="414"/>
      <c r="GAU7" s="414"/>
      <c r="GAV7" s="414"/>
      <c r="GAW7" s="414"/>
      <c r="GAX7" s="414"/>
      <c r="GAY7" s="414"/>
      <c r="GAZ7" s="414"/>
      <c r="GBA7" s="414"/>
      <c r="GBB7" s="414"/>
      <c r="GBC7" s="414"/>
      <c r="GBD7" s="414"/>
      <c r="GBE7" s="414"/>
      <c r="GBF7" s="414"/>
      <c r="GBG7" s="414"/>
      <c r="GBH7" s="414"/>
      <c r="GBI7" s="414"/>
      <c r="GBJ7" s="414"/>
      <c r="GBK7" s="414"/>
      <c r="GBL7" s="414"/>
      <c r="GBM7" s="414"/>
      <c r="GBN7" s="414"/>
      <c r="GBO7" s="414"/>
      <c r="GBP7" s="414"/>
      <c r="GBQ7" s="414"/>
      <c r="GBR7" s="414"/>
      <c r="GBS7" s="414"/>
      <c r="GBT7" s="414"/>
      <c r="GBU7" s="414"/>
      <c r="GBV7" s="414"/>
      <c r="GBW7" s="414"/>
      <c r="GBX7" s="414"/>
      <c r="GBY7" s="414"/>
      <c r="GBZ7" s="414"/>
      <c r="GCA7" s="414"/>
      <c r="GCB7" s="414"/>
      <c r="GCC7" s="414"/>
      <c r="GCD7" s="414"/>
      <c r="GCE7" s="414"/>
      <c r="GCF7" s="414"/>
      <c r="GCG7" s="414"/>
      <c r="GCH7" s="414"/>
      <c r="GCI7" s="414"/>
      <c r="GCJ7" s="414"/>
      <c r="GCK7" s="414"/>
      <c r="GCL7" s="414"/>
      <c r="GCM7" s="414"/>
      <c r="GCN7" s="414"/>
      <c r="GCO7" s="414"/>
      <c r="GCP7" s="414"/>
      <c r="GCQ7" s="414"/>
      <c r="GCR7" s="414"/>
      <c r="GCS7" s="414"/>
      <c r="GCT7" s="414"/>
      <c r="GCU7" s="414"/>
      <c r="GCV7" s="414"/>
      <c r="GCW7" s="414"/>
      <c r="GCX7" s="414"/>
      <c r="GCY7" s="414"/>
      <c r="GCZ7" s="414"/>
      <c r="GDA7" s="414"/>
      <c r="GDB7" s="414"/>
      <c r="GDC7" s="414"/>
      <c r="GDD7" s="414"/>
      <c r="GDE7" s="414"/>
      <c r="GDF7" s="414"/>
      <c r="GDG7" s="414"/>
      <c r="GDH7" s="414"/>
      <c r="GDI7" s="414"/>
      <c r="GDJ7" s="414"/>
      <c r="GDK7" s="414"/>
      <c r="GDL7" s="414"/>
      <c r="GDM7" s="414"/>
      <c r="GDN7" s="414"/>
      <c r="GDO7" s="414"/>
      <c r="GDP7" s="414"/>
      <c r="GDQ7" s="414"/>
      <c r="GDR7" s="414"/>
      <c r="GDS7" s="414"/>
      <c r="GDT7" s="414"/>
      <c r="GDU7" s="414"/>
      <c r="GDV7" s="414"/>
      <c r="GDW7" s="414"/>
      <c r="GDX7" s="414"/>
      <c r="GDY7" s="414"/>
      <c r="GDZ7" s="414"/>
      <c r="GEA7" s="414"/>
      <c r="GEB7" s="414"/>
      <c r="GEC7" s="414"/>
      <c r="GED7" s="414"/>
      <c r="GEE7" s="414"/>
      <c r="GEF7" s="414"/>
      <c r="GEG7" s="414"/>
      <c r="GEH7" s="414"/>
      <c r="GEI7" s="414"/>
      <c r="GEJ7" s="414"/>
      <c r="GEK7" s="414"/>
      <c r="GEL7" s="414"/>
      <c r="GEM7" s="414"/>
      <c r="GEN7" s="414"/>
      <c r="GEO7" s="414"/>
      <c r="GEP7" s="414"/>
      <c r="GEQ7" s="414"/>
      <c r="GER7" s="414"/>
      <c r="GES7" s="414"/>
      <c r="GET7" s="414"/>
      <c r="GEU7" s="414"/>
      <c r="GEV7" s="414"/>
      <c r="GEW7" s="414"/>
      <c r="GEX7" s="414"/>
      <c r="GEY7" s="414"/>
      <c r="GEZ7" s="414"/>
      <c r="GFA7" s="414"/>
      <c r="GFB7" s="414"/>
      <c r="GFC7" s="414"/>
      <c r="GFD7" s="414"/>
      <c r="GFE7" s="414"/>
      <c r="GFF7" s="414"/>
      <c r="GFG7" s="414"/>
      <c r="GFH7" s="414"/>
      <c r="GFI7" s="414"/>
      <c r="GFJ7" s="414"/>
      <c r="GFK7" s="414"/>
      <c r="GFL7" s="414"/>
      <c r="GFM7" s="414"/>
      <c r="GFN7" s="414"/>
      <c r="GFO7" s="414"/>
      <c r="GFP7" s="414"/>
      <c r="GFQ7" s="414"/>
      <c r="GFR7" s="414"/>
      <c r="GFS7" s="414"/>
      <c r="GFT7" s="414"/>
      <c r="GFU7" s="414"/>
      <c r="GFV7" s="414"/>
      <c r="GFW7" s="414"/>
      <c r="GFX7" s="414"/>
      <c r="GFY7" s="414"/>
      <c r="GFZ7" s="414"/>
      <c r="GGA7" s="414"/>
      <c r="GGB7" s="414"/>
      <c r="GGC7" s="414"/>
      <c r="GGD7" s="414"/>
      <c r="GGE7" s="414"/>
      <c r="GGF7" s="414"/>
      <c r="GGG7" s="414"/>
      <c r="GGH7" s="414"/>
      <c r="GGI7" s="414"/>
      <c r="GGJ7" s="414"/>
      <c r="GGK7" s="414"/>
      <c r="GGL7" s="414"/>
      <c r="GGM7" s="414"/>
      <c r="GGN7" s="414"/>
      <c r="GGO7" s="414"/>
      <c r="GGP7" s="414"/>
      <c r="GGQ7" s="414"/>
      <c r="GGR7" s="414"/>
      <c r="GGS7" s="414"/>
      <c r="GGT7" s="414"/>
      <c r="GGU7" s="414"/>
      <c r="GGV7" s="414"/>
      <c r="GGW7" s="414"/>
      <c r="GGX7" s="414"/>
      <c r="GGY7" s="414"/>
      <c r="GGZ7" s="414"/>
      <c r="GHA7" s="414"/>
      <c r="GHB7" s="414"/>
      <c r="GHC7" s="414"/>
      <c r="GHD7" s="414"/>
      <c r="GHE7" s="414"/>
      <c r="GHF7" s="414"/>
      <c r="GHG7" s="414"/>
      <c r="GHH7" s="414"/>
      <c r="GHI7" s="414"/>
      <c r="GHJ7" s="414"/>
      <c r="GHK7" s="414"/>
      <c r="GHL7" s="414"/>
      <c r="GHM7" s="414"/>
      <c r="GHN7" s="414"/>
      <c r="GHO7" s="414"/>
      <c r="GHP7" s="414"/>
      <c r="GHQ7" s="414"/>
      <c r="GHR7" s="414"/>
      <c r="GHS7" s="414"/>
      <c r="GHT7" s="414"/>
      <c r="GHU7" s="414"/>
      <c r="GHV7" s="414"/>
      <c r="GHW7" s="414"/>
      <c r="GHX7" s="414"/>
      <c r="GHY7" s="414"/>
      <c r="GHZ7" s="414"/>
      <c r="GIA7" s="414"/>
      <c r="GIB7" s="414"/>
      <c r="GIC7" s="414"/>
      <c r="GID7" s="414"/>
      <c r="GIE7" s="414"/>
      <c r="GIF7" s="414"/>
      <c r="GIG7" s="414"/>
      <c r="GIH7" s="414"/>
      <c r="GII7" s="414"/>
      <c r="GIJ7" s="414"/>
      <c r="GIK7" s="414"/>
      <c r="GIL7" s="414"/>
      <c r="GIM7" s="414"/>
      <c r="GIN7" s="414"/>
      <c r="GIO7" s="414"/>
      <c r="GIP7" s="414"/>
      <c r="GIQ7" s="414"/>
      <c r="GIR7" s="414"/>
      <c r="GIS7" s="414"/>
      <c r="GIT7" s="414"/>
      <c r="GIU7" s="414"/>
      <c r="GIV7" s="414"/>
      <c r="GIW7" s="414"/>
      <c r="GIX7" s="414"/>
      <c r="GIY7" s="414"/>
      <c r="GIZ7" s="414"/>
      <c r="GJA7" s="414"/>
      <c r="GJB7" s="414"/>
      <c r="GJC7" s="414"/>
      <c r="GJD7" s="414"/>
      <c r="GJE7" s="414"/>
      <c r="GJF7" s="414"/>
      <c r="GJG7" s="414"/>
      <c r="GJH7" s="414"/>
      <c r="GJI7" s="414"/>
      <c r="GJJ7" s="414"/>
      <c r="GJK7" s="414"/>
      <c r="GJL7" s="414"/>
      <c r="GJM7" s="414"/>
      <c r="GJN7" s="414"/>
      <c r="GJO7" s="414"/>
      <c r="GJP7" s="414"/>
      <c r="GJQ7" s="414"/>
      <c r="GJR7" s="414"/>
      <c r="GJS7" s="414"/>
      <c r="GJT7" s="414"/>
      <c r="GJU7" s="414"/>
      <c r="GJV7" s="414"/>
      <c r="GJW7" s="414"/>
      <c r="GJX7" s="414"/>
      <c r="GJY7" s="414"/>
      <c r="GJZ7" s="414"/>
      <c r="GKA7" s="414"/>
      <c r="GKB7" s="414"/>
      <c r="GKC7" s="414"/>
      <c r="GKD7" s="414"/>
      <c r="GKE7" s="414"/>
      <c r="GKF7" s="414"/>
      <c r="GKG7" s="414"/>
      <c r="GKH7" s="414"/>
      <c r="GKI7" s="414"/>
      <c r="GKJ7" s="414"/>
      <c r="GKK7" s="414"/>
      <c r="GKL7" s="414"/>
      <c r="GKM7" s="414"/>
      <c r="GKN7" s="414"/>
      <c r="GKO7" s="414"/>
      <c r="GKP7" s="414"/>
      <c r="GKQ7" s="414"/>
      <c r="GKR7" s="414"/>
      <c r="GKS7" s="414"/>
      <c r="GKT7" s="414"/>
      <c r="GKU7" s="414"/>
      <c r="GKV7" s="414"/>
      <c r="GKW7" s="414"/>
      <c r="GKX7" s="414"/>
      <c r="GKY7" s="414"/>
      <c r="GKZ7" s="414"/>
      <c r="GLA7" s="414"/>
      <c r="GLB7" s="414"/>
      <c r="GLC7" s="414"/>
      <c r="GLD7" s="414"/>
      <c r="GLE7" s="414"/>
      <c r="GLF7" s="414"/>
      <c r="GLG7" s="414"/>
      <c r="GLH7" s="414"/>
      <c r="GLI7" s="414"/>
      <c r="GLJ7" s="414"/>
      <c r="GLK7" s="414"/>
      <c r="GLL7" s="414"/>
      <c r="GLM7" s="414"/>
      <c r="GLN7" s="414"/>
      <c r="GLO7" s="414"/>
      <c r="GLP7" s="414"/>
      <c r="GLQ7" s="414"/>
      <c r="GLR7" s="414"/>
      <c r="GLS7" s="414"/>
      <c r="GLT7" s="414"/>
      <c r="GLU7" s="414"/>
      <c r="GLV7" s="414"/>
      <c r="GLW7" s="414"/>
      <c r="GLX7" s="414"/>
      <c r="GLY7" s="414"/>
      <c r="GLZ7" s="414"/>
      <c r="GMA7" s="414"/>
      <c r="GMB7" s="414"/>
      <c r="GMC7" s="414"/>
      <c r="GMD7" s="414"/>
      <c r="GME7" s="414"/>
      <c r="GMF7" s="414"/>
      <c r="GMG7" s="414"/>
      <c r="GMH7" s="414"/>
      <c r="GMI7" s="414"/>
      <c r="GMJ7" s="414"/>
      <c r="GMK7" s="414"/>
      <c r="GML7" s="414"/>
      <c r="GMM7" s="414"/>
      <c r="GMN7" s="414"/>
      <c r="GMO7" s="414"/>
      <c r="GMP7" s="414"/>
      <c r="GMQ7" s="414"/>
      <c r="GMR7" s="414"/>
      <c r="GMS7" s="414"/>
      <c r="GMT7" s="414"/>
      <c r="GMU7" s="414"/>
      <c r="GMV7" s="414"/>
      <c r="GMW7" s="414"/>
      <c r="GMX7" s="414"/>
      <c r="GMY7" s="414"/>
      <c r="GMZ7" s="414"/>
      <c r="GNA7" s="414"/>
      <c r="GNB7" s="414"/>
      <c r="GNC7" s="414"/>
      <c r="GND7" s="414"/>
      <c r="GNE7" s="414"/>
      <c r="GNF7" s="414"/>
      <c r="GNG7" s="414"/>
      <c r="GNH7" s="414"/>
      <c r="GNI7" s="414"/>
      <c r="GNJ7" s="414"/>
      <c r="GNK7" s="414"/>
      <c r="GNL7" s="414"/>
      <c r="GNM7" s="414"/>
      <c r="GNN7" s="414"/>
      <c r="GNO7" s="414"/>
      <c r="GNP7" s="414"/>
      <c r="GNQ7" s="414"/>
      <c r="GNR7" s="414"/>
      <c r="GNS7" s="414"/>
      <c r="GNT7" s="414"/>
      <c r="GNU7" s="414"/>
      <c r="GNV7" s="414"/>
      <c r="GNW7" s="414"/>
      <c r="GNX7" s="414"/>
      <c r="GNY7" s="414"/>
      <c r="GNZ7" s="414"/>
      <c r="GOA7" s="414"/>
      <c r="GOB7" s="414"/>
      <c r="GOC7" s="414"/>
      <c r="GOD7" s="414"/>
      <c r="GOE7" s="414"/>
      <c r="GOF7" s="414"/>
      <c r="GOG7" s="414"/>
      <c r="GOH7" s="414"/>
      <c r="GOI7" s="414"/>
      <c r="GOJ7" s="414"/>
      <c r="GOK7" s="414"/>
      <c r="GOL7" s="414"/>
      <c r="GOM7" s="414"/>
      <c r="GON7" s="414"/>
      <c r="GOO7" s="414"/>
      <c r="GOP7" s="414"/>
      <c r="GOQ7" s="414"/>
      <c r="GOR7" s="414"/>
      <c r="GOS7" s="414"/>
      <c r="GOT7" s="414"/>
      <c r="GOU7" s="414"/>
      <c r="GOV7" s="414"/>
      <c r="GOW7" s="414"/>
      <c r="GOX7" s="414"/>
      <c r="GOY7" s="414"/>
      <c r="GOZ7" s="414"/>
      <c r="GPA7" s="414"/>
      <c r="GPB7" s="414"/>
      <c r="GPC7" s="414"/>
      <c r="GPD7" s="414"/>
      <c r="GPE7" s="414"/>
      <c r="GPF7" s="414"/>
      <c r="GPG7" s="414"/>
      <c r="GPH7" s="414"/>
      <c r="GPI7" s="414"/>
      <c r="GPJ7" s="414"/>
      <c r="GPK7" s="414"/>
      <c r="GPL7" s="414"/>
      <c r="GPM7" s="414"/>
      <c r="GPN7" s="414"/>
      <c r="GPO7" s="414"/>
      <c r="GPP7" s="414"/>
      <c r="GPQ7" s="414"/>
      <c r="GPR7" s="414"/>
      <c r="GPS7" s="414"/>
      <c r="GPT7" s="414"/>
      <c r="GPU7" s="414"/>
      <c r="GPV7" s="414"/>
      <c r="GPW7" s="414"/>
      <c r="GPX7" s="414"/>
      <c r="GPY7" s="414"/>
      <c r="GPZ7" s="414"/>
      <c r="GQA7" s="414"/>
      <c r="GQB7" s="414"/>
      <c r="GQC7" s="414"/>
      <c r="GQD7" s="414"/>
      <c r="GQE7" s="414"/>
      <c r="GQF7" s="414"/>
      <c r="GQG7" s="414"/>
      <c r="GQH7" s="414"/>
      <c r="GQI7" s="414"/>
      <c r="GQJ7" s="414"/>
      <c r="GQK7" s="414"/>
      <c r="GQL7" s="414"/>
      <c r="GQM7" s="414"/>
      <c r="GQN7" s="414"/>
      <c r="GQO7" s="414"/>
      <c r="GQP7" s="414"/>
      <c r="GQQ7" s="414"/>
      <c r="GQR7" s="414"/>
      <c r="GQS7" s="414"/>
      <c r="GQT7" s="414"/>
      <c r="GQU7" s="414"/>
      <c r="GQV7" s="414"/>
      <c r="GQW7" s="414"/>
      <c r="GQX7" s="414"/>
      <c r="GQY7" s="414"/>
      <c r="GQZ7" s="414"/>
      <c r="GRA7" s="414"/>
      <c r="GRB7" s="414"/>
      <c r="GRC7" s="414"/>
      <c r="GRD7" s="414"/>
      <c r="GRE7" s="414"/>
      <c r="GRF7" s="414"/>
      <c r="GRG7" s="414"/>
      <c r="GRH7" s="414"/>
      <c r="GRI7" s="414"/>
      <c r="GRJ7" s="414"/>
      <c r="GRK7" s="414"/>
      <c r="GRL7" s="414"/>
      <c r="GRM7" s="414"/>
      <c r="GRN7" s="414"/>
      <c r="GRO7" s="414"/>
      <c r="GRP7" s="414"/>
      <c r="GRQ7" s="414"/>
      <c r="GRR7" s="414"/>
      <c r="GRS7" s="414"/>
      <c r="GRT7" s="414"/>
      <c r="GRU7" s="414"/>
      <c r="GRV7" s="414"/>
      <c r="GRW7" s="414"/>
      <c r="GRX7" s="414"/>
      <c r="GRY7" s="414"/>
      <c r="GRZ7" s="414"/>
      <c r="GSA7" s="414"/>
      <c r="GSB7" s="414"/>
      <c r="GSC7" s="414"/>
      <c r="GSD7" s="414"/>
      <c r="GSE7" s="414"/>
      <c r="GSF7" s="414"/>
      <c r="GSG7" s="414"/>
      <c r="GSH7" s="414"/>
      <c r="GSI7" s="414"/>
      <c r="GSJ7" s="414"/>
      <c r="GSK7" s="414"/>
      <c r="GSL7" s="414"/>
      <c r="GSM7" s="414"/>
      <c r="GSN7" s="414"/>
      <c r="GSO7" s="414"/>
      <c r="GSP7" s="414"/>
      <c r="GSQ7" s="414"/>
      <c r="GSR7" s="414"/>
      <c r="GSS7" s="414"/>
      <c r="GST7" s="414"/>
      <c r="GSU7" s="414"/>
      <c r="GSV7" s="414"/>
      <c r="GSW7" s="414"/>
      <c r="GSX7" s="414"/>
      <c r="GSY7" s="414"/>
      <c r="GSZ7" s="414"/>
      <c r="GTA7" s="414"/>
      <c r="GTB7" s="414"/>
      <c r="GTC7" s="414"/>
      <c r="GTD7" s="414"/>
      <c r="GTE7" s="414"/>
      <c r="GTF7" s="414"/>
      <c r="GTG7" s="414"/>
      <c r="GTH7" s="414"/>
      <c r="GTI7" s="414"/>
      <c r="GTJ7" s="414"/>
      <c r="GTK7" s="414"/>
      <c r="GTL7" s="414"/>
      <c r="GTM7" s="414"/>
      <c r="GTN7" s="414"/>
      <c r="GTO7" s="414"/>
      <c r="GTP7" s="414"/>
      <c r="GTQ7" s="414"/>
      <c r="GTR7" s="414"/>
      <c r="GTS7" s="414"/>
      <c r="GTT7" s="414"/>
      <c r="GTU7" s="414"/>
      <c r="GTV7" s="414"/>
      <c r="GTW7" s="414"/>
      <c r="GTX7" s="414"/>
      <c r="GTY7" s="414"/>
      <c r="GTZ7" s="414"/>
      <c r="GUA7" s="414"/>
      <c r="GUB7" s="414"/>
      <c r="GUC7" s="414"/>
      <c r="GUD7" s="414"/>
      <c r="GUE7" s="414"/>
      <c r="GUF7" s="414"/>
      <c r="GUG7" s="414"/>
      <c r="GUH7" s="414"/>
      <c r="GUI7" s="414"/>
      <c r="GUJ7" s="414"/>
      <c r="GUK7" s="414"/>
      <c r="GUL7" s="414"/>
      <c r="GUM7" s="414"/>
      <c r="GUN7" s="414"/>
      <c r="GUO7" s="414"/>
      <c r="GUP7" s="414"/>
      <c r="GUQ7" s="414"/>
      <c r="GUR7" s="414"/>
      <c r="GUS7" s="414"/>
      <c r="GUT7" s="414"/>
      <c r="GUU7" s="414"/>
      <c r="GUV7" s="414"/>
      <c r="GUW7" s="414"/>
      <c r="GUX7" s="414"/>
      <c r="GUY7" s="414"/>
      <c r="GUZ7" s="414"/>
      <c r="GVA7" s="414"/>
      <c r="GVB7" s="414"/>
      <c r="GVC7" s="414"/>
      <c r="GVD7" s="414"/>
      <c r="GVE7" s="414"/>
      <c r="GVF7" s="414"/>
      <c r="GVG7" s="414"/>
      <c r="GVH7" s="414"/>
      <c r="GVI7" s="414"/>
      <c r="GVJ7" s="414"/>
      <c r="GVK7" s="414"/>
      <c r="GVL7" s="414"/>
      <c r="GVM7" s="414"/>
      <c r="GVN7" s="414"/>
      <c r="GVO7" s="414"/>
      <c r="GVP7" s="414"/>
      <c r="GVQ7" s="414"/>
      <c r="GVR7" s="414"/>
      <c r="GVS7" s="414"/>
      <c r="GVT7" s="414"/>
      <c r="GVU7" s="414"/>
      <c r="GVV7" s="414"/>
      <c r="GVW7" s="414"/>
      <c r="GVX7" s="414"/>
      <c r="GVY7" s="414"/>
      <c r="GVZ7" s="414"/>
      <c r="GWA7" s="414"/>
      <c r="GWB7" s="414"/>
      <c r="GWC7" s="414"/>
      <c r="GWD7" s="414"/>
      <c r="GWE7" s="414"/>
      <c r="GWF7" s="414"/>
      <c r="GWG7" s="414"/>
      <c r="GWH7" s="414"/>
      <c r="GWI7" s="414"/>
      <c r="GWJ7" s="414"/>
      <c r="GWK7" s="414"/>
      <c r="GWL7" s="414"/>
      <c r="GWM7" s="414"/>
      <c r="GWN7" s="414"/>
      <c r="GWO7" s="414"/>
      <c r="GWP7" s="414"/>
      <c r="GWQ7" s="414"/>
      <c r="GWR7" s="414"/>
      <c r="GWS7" s="414"/>
      <c r="GWT7" s="414"/>
      <c r="GWU7" s="414"/>
      <c r="GWV7" s="414"/>
      <c r="GWW7" s="414"/>
      <c r="GWX7" s="414"/>
      <c r="GWY7" s="414"/>
      <c r="GWZ7" s="414"/>
      <c r="GXA7" s="414"/>
      <c r="GXB7" s="414"/>
      <c r="GXC7" s="414"/>
      <c r="GXD7" s="414"/>
      <c r="GXE7" s="414"/>
      <c r="GXF7" s="414"/>
      <c r="GXG7" s="414"/>
      <c r="GXH7" s="414"/>
      <c r="GXI7" s="414"/>
      <c r="GXJ7" s="414"/>
      <c r="GXK7" s="414"/>
      <c r="GXL7" s="414"/>
      <c r="GXM7" s="414"/>
      <c r="GXN7" s="414"/>
      <c r="GXO7" s="414"/>
      <c r="GXP7" s="414"/>
      <c r="GXQ7" s="414"/>
      <c r="GXR7" s="414"/>
      <c r="GXS7" s="414"/>
      <c r="GXT7" s="414"/>
      <c r="GXU7" s="414"/>
      <c r="GXV7" s="414"/>
      <c r="GXW7" s="414"/>
      <c r="GXX7" s="414"/>
      <c r="GXY7" s="414"/>
      <c r="GXZ7" s="414"/>
      <c r="GYA7" s="414"/>
      <c r="GYB7" s="414"/>
      <c r="GYC7" s="414"/>
      <c r="GYD7" s="414"/>
      <c r="GYE7" s="414"/>
      <c r="GYF7" s="414"/>
      <c r="GYG7" s="414"/>
      <c r="GYH7" s="414"/>
      <c r="GYI7" s="414"/>
      <c r="GYJ7" s="414"/>
      <c r="GYK7" s="414"/>
      <c r="GYL7" s="414"/>
      <c r="GYM7" s="414"/>
      <c r="GYN7" s="414"/>
      <c r="GYO7" s="414"/>
      <c r="GYP7" s="414"/>
      <c r="GYQ7" s="414"/>
      <c r="GYR7" s="414"/>
      <c r="GYS7" s="414"/>
      <c r="GYT7" s="414"/>
      <c r="GYU7" s="414"/>
      <c r="GYV7" s="414"/>
      <c r="GYW7" s="414"/>
      <c r="GYX7" s="414"/>
      <c r="GYY7" s="414"/>
      <c r="GYZ7" s="414"/>
      <c r="GZA7" s="414"/>
      <c r="GZB7" s="414"/>
      <c r="GZC7" s="414"/>
      <c r="GZD7" s="414"/>
      <c r="GZE7" s="414"/>
      <c r="GZF7" s="414"/>
      <c r="GZG7" s="414"/>
      <c r="GZH7" s="414"/>
      <c r="GZI7" s="414"/>
      <c r="GZJ7" s="414"/>
      <c r="GZK7" s="414"/>
      <c r="GZL7" s="414"/>
      <c r="GZM7" s="414"/>
      <c r="GZN7" s="414"/>
      <c r="GZO7" s="414"/>
      <c r="GZP7" s="414"/>
      <c r="GZQ7" s="414"/>
      <c r="GZR7" s="414"/>
      <c r="GZS7" s="414"/>
      <c r="GZT7" s="414"/>
      <c r="GZU7" s="414"/>
      <c r="GZV7" s="414"/>
      <c r="GZW7" s="414"/>
      <c r="GZX7" s="414"/>
      <c r="GZY7" s="414"/>
      <c r="GZZ7" s="414"/>
      <c r="HAA7" s="414"/>
      <c r="HAB7" s="414"/>
      <c r="HAC7" s="414"/>
      <c r="HAD7" s="414"/>
      <c r="HAE7" s="414"/>
      <c r="HAF7" s="414"/>
      <c r="HAG7" s="414"/>
      <c r="HAH7" s="414"/>
      <c r="HAI7" s="414"/>
      <c r="HAJ7" s="414"/>
      <c r="HAK7" s="414"/>
      <c r="HAL7" s="414"/>
      <c r="HAM7" s="414"/>
      <c r="HAN7" s="414"/>
      <c r="HAO7" s="414"/>
      <c r="HAP7" s="414"/>
      <c r="HAQ7" s="414"/>
      <c r="HAR7" s="414"/>
      <c r="HAS7" s="414"/>
      <c r="HAT7" s="414"/>
      <c r="HAU7" s="414"/>
      <c r="HAV7" s="414"/>
      <c r="HAW7" s="414"/>
      <c r="HAX7" s="414"/>
      <c r="HAY7" s="414"/>
      <c r="HAZ7" s="414"/>
      <c r="HBA7" s="414"/>
      <c r="HBB7" s="414"/>
      <c r="HBC7" s="414"/>
      <c r="HBD7" s="414"/>
      <c r="HBE7" s="414"/>
      <c r="HBF7" s="414"/>
      <c r="HBG7" s="414"/>
      <c r="HBH7" s="414"/>
      <c r="HBI7" s="414"/>
      <c r="HBJ7" s="414"/>
      <c r="HBK7" s="414"/>
      <c r="HBL7" s="414"/>
      <c r="HBM7" s="414"/>
      <c r="HBN7" s="414"/>
      <c r="HBO7" s="414"/>
      <c r="HBP7" s="414"/>
      <c r="HBQ7" s="414"/>
      <c r="HBR7" s="414"/>
      <c r="HBS7" s="414"/>
      <c r="HBT7" s="414"/>
      <c r="HBU7" s="414"/>
      <c r="HBV7" s="414"/>
      <c r="HBW7" s="414"/>
      <c r="HBX7" s="414"/>
      <c r="HBY7" s="414"/>
      <c r="HBZ7" s="414"/>
      <c r="HCA7" s="414"/>
      <c r="HCB7" s="414"/>
      <c r="HCC7" s="414"/>
      <c r="HCD7" s="414"/>
      <c r="HCE7" s="414"/>
      <c r="HCF7" s="414"/>
      <c r="HCG7" s="414"/>
      <c r="HCH7" s="414"/>
      <c r="HCI7" s="414"/>
      <c r="HCJ7" s="414"/>
      <c r="HCK7" s="414"/>
      <c r="HCL7" s="414"/>
      <c r="HCM7" s="414"/>
      <c r="HCN7" s="414"/>
      <c r="HCO7" s="414"/>
      <c r="HCP7" s="414"/>
      <c r="HCQ7" s="414"/>
      <c r="HCR7" s="414"/>
      <c r="HCS7" s="414"/>
      <c r="HCT7" s="414"/>
      <c r="HCU7" s="414"/>
      <c r="HCV7" s="414"/>
      <c r="HCW7" s="414"/>
      <c r="HCX7" s="414"/>
      <c r="HCY7" s="414"/>
      <c r="HCZ7" s="414"/>
      <c r="HDA7" s="414"/>
      <c r="HDB7" s="414"/>
      <c r="HDC7" s="414"/>
      <c r="HDD7" s="414"/>
      <c r="HDE7" s="414"/>
      <c r="HDF7" s="414"/>
      <c r="HDG7" s="414"/>
      <c r="HDH7" s="414"/>
      <c r="HDI7" s="414"/>
      <c r="HDJ7" s="414"/>
      <c r="HDK7" s="414"/>
      <c r="HDL7" s="414"/>
      <c r="HDM7" s="414"/>
      <c r="HDN7" s="414"/>
      <c r="HDO7" s="414"/>
      <c r="HDP7" s="414"/>
      <c r="HDQ7" s="414"/>
      <c r="HDR7" s="414"/>
      <c r="HDS7" s="414"/>
      <c r="HDT7" s="414"/>
      <c r="HDU7" s="414"/>
      <c r="HDV7" s="414"/>
      <c r="HDW7" s="414"/>
      <c r="HDX7" s="414"/>
      <c r="HDY7" s="414"/>
      <c r="HDZ7" s="414"/>
      <c r="HEA7" s="414"/>
      <c r="HEB7" s="414"/>
      <c r="HEC7" s="414"/>
      <c r="HED7" s="414"/>
      <c r="HEE7" s="414"/>
      <c r="HEF7" s="414"/>
      <c r="HEG7" s="414"/>
      <c r="HEH7" s="414"/>
      <c r="HEI7" s="414"/>
      <c r="HEJ7" s="414"/>
      <c r="HEK7" s="414"/>
      <c r="HEL7" s="414"/>
      <c r="HEM7" s="414"/>
      <c r="HEN7" s="414"/>
      <c r="HEO7" s="414"/>
      <c r="HEP7" s="414"/>
      <c r="HEQ7" s="414"/>
      <c r="HER7" s="414"/>
      <c r="HES7" s="414"/>
      <c r="HET7" s="414"/>
      <c r="HEU7" s="414"/>
      <c r="HEV7" s="414"/>
      <c r="HEW7" s="414"/>
      <c r="HEX7" s="414"/>
      <c r="HEY7" s="414"/>
      <c r="HEZ7" s="414"/>
      <c r="HFA7" s="414"/>
      <c r="HFB7" s="414"/>
      <c r="HFC7" s="414"/>
      <c r="HFD7" s="414"/>
      <c r="HFE7" s="414"/>
      <c r="HFF7" s="414"/>
      <c r="HFG7" s="414"/>
      <c r="HFH7" s="414"/>
      <c r="HFI7" s="414"/>
      <c r="HFJ7" s="414"/>
      <c r="HFK7" s="414"/>
      <c r="HFL7" s="414"/>
      <c r="HFM7" s="414"/>
      <c r="HFN7" s="414"/>
      <c r="HFO7" s="414"/>
      <c r="HFP7" s="414"/>
      <c r="HFQ7" s="414"/>
      <c r="HFR7" s="414"/>
      <c r="HFS7" s="414"/>
      <c r="HFT7" s="414"/>
      <c r="HFU7" s="414"/>
      <c r="HFV7" s="414"/>
      <c r="HFW7" s="414"/>
      <c r="HFX7" s="414"/>
      <c r="HFY7" s="414"/>
      <c r="HFZ7" s="414"/>
      <c r="HGA7" s="414"/>
      <c r="HGB7" s="414"/>
      <c r="HGC7" s="414"/>
      <c r="HGD7" s="414"/>
      <c r="HGE7" s="414"/>
      <c r="HGF7" s="414"/>
      <c r="HGG7" s="414"/>
      <c r="HGH7" s="414"/>
      <c r="HGI7" s="414"/>
      <c r="HGJ7" s="414"/>
      <c r="HGK7" s="414"/>
      <c r="HGL7" s="414"/>
      <c r="HGM7" s="414"/>
      <c r="HGN7" s="414"/>
      <c r="HGO7" s="414"/>
      <c r="HGP7" s="414"/>
      <c r="HGQ7" s="414"/>
      <c r="HGR7" s="414"/>
      <c r="HGS7" s="414"/>
      <c r="HGT7" s="414"/>
      <c r="HGU7" s="414"/>
      <c r="HGV7" s="414"/>
      <c r="HGW7" s="414"/>
      <c r="HGX7" s="414"/>
      <c r="HGY7" s="414"/>
      <c r="HGZ7" s="414"/>
      <c r="HHA7" s="414"/>
      <c r="HHB7" s="414"/>
      <c r="HHC7" s="414"/>
      <c r="HHD7" s="414"/>
      <c r="HHE7" s="414"/>
      <c r="HHF7" s="414"/>
      <c r="HHG7" s="414"/>
      <c r="HHH7" s="414"/>
      <c r="HHI7" s="414"/>
      <c r="HHJ7" s="414"/>
      <c r="HHK7" s="414"/>
      <c r="HHL7" s="414"/>
      <c r="HHM7" s="414"/>
      <c r="HHN7" s="414"/>
      <c r="HHO7" s="414"/>
      <c r="HHP7" s="414"/>
      <c r="HHQ7" s="414"/>
      <c r="HHR7" s="414"/>
      <c r="HHS7" s="414"/>
      <c r="HHT7" s="414"/>
      <c r="HHU7" s="414"/>
      <c r="HHV7" s="414"/>
      <c r="HHW7" s="414"/>
      <c r="HHX7" s="414"/>
      <c r="HHY7" s="414"/>
      <c r="HHZ7" s="414"/>
      <c r="HIA7" s="414"/>
      <c r="HIB7" s="414"/>
      <c r="HIC7" s="414"/>
      <c r="HID7" s="414"/>
      <c r="HIE7" s="414"/>
      <c r="HIF7" s="414"/>
      <c r="HIG7" s="414"/>
      <c r="HIH7" s="414"/>
      <c r="HII7" s="414"/>
      <c r="HIJ7" s="414"/>
      <c r="HIK7" s="414"/>
      <c r="HIL7" s="414"/>
      <c r="HIM7" s="414"/>
      <c r="HIN7" s="414"/>
      <c r="HIO7" s="414"/>
      <c r="HIP7" s="414"/>
      <c r="HIQ7" s="414"/>
      <c r="HIR7" s="414"/>
      <c r="HIS7" s="414"/>
      <c r="HIT7" s="414"/>
      <c r="HIU7" s="414"/>
      <c r="HIV7" s="414"/>
      <c r="HIW7" s="414"/>
      <c r="HIX7" s="414"/>
      <c r="HIY7" s="414"/>
      <c r="HIZ7" s="414"/>
      <c r="HJA7" s="414"/>
      <c r="HJB7" s="414"/>
      <c r="HJC7" s="414"/>
      <c r="HJD7" s="414"/>
      <c r="HJE7" s="414"/>
      <c r="HJF7" s="414"/>
      <c r="HJG7" s="414"/>
      <c r="HJH7" s="414"/>
      <c r="HJI7" s="414"/>
      <c r="HJJ7" s="414"/>
      <c r="HJK7" s="414"/>
      <c r="HJL7" s="414"/>
      <c r="HJM7" s="414"/>
      <c r="HJN7" s="414"/>
      <c r="HJO7" s="414"/>
      <c r="HJP7" s="414"/>
      <c r="HJQ7" s="414"/>
      <c r="HJR7" s="414"/>
      <c r="HJS7" s="414"/>
      <c r="HJT7" s="414"/>
      <c r="HJU7" s="414"/>
      <c r="HJV7" s="414"/>
      <c r="HJW7" s="414"/>
      <c r="HJX7" s="414"/>
      <c r="HJY7" s="414"/>
      <c r="HJZ7" s="414"/>
      <c r="HKA7" s="414"/>
      <c r="HKB7" s="414"/>
      <c r="HKC7" s="414"/>
      <c r="HKD7" s="414"/>
      <c r="HKE7" s="414"/>
      <c r="HKF7" s="414"/>
      <c r="HKG7" s="414"/>
      <c r="HKH7" s="414"/>
      <c r="HKI7" s="414"/>
      <c r="HKJ7" s="414"/>
      <c r="HKK7" s="414"/>
      <c r="HKL7" s="414"/>
      <c r="HKM7" s="414"/>
      <c r="HKN7" s="414"/>
      <c r="HKO7" s="414"/>
      <c r="HKP7" s="414"/>
      <c r="HKQ7" s="414"/>
      <c r="HKR7" s="414"/>
      <c r="HKS7" s="414"/>
      <c r="HKT7" s="414"/>
      <c r="HKU7" s="414"/>
      <c r="HKV7" s="414"/>
      <c r="HKW7" s="414"/>
      <c r="HKX7" s="414"/>
      <c r="HKY7" s="414"/>
      <c r="HKZ7" s="414"/>
      <c r="HLA7" s="414"/>
      <c r="HLB7" s="414"/>
      <c r="HLC7" s="414"/>
      <c r="HLD7" s="414"/>
      <c r="HLE7" s="414"/>
      <c r="HLF7" s="414"/>
      <c r="HLG7" s="414"/>
      <c r="HLH7" s="414"/>
      <c r="HLI7" s="414"/>
      <c r="HLJ7" s="414"/>
      <c r="HLK7" s="414"/>
      <c r="HLL7" s="414"/>
      <c r="HLM7" s="414"/>
      <c r="HLN7" s="414"/>
      <c r="HLO7" s="414"/>
      <c r="HLP7" s="414"/>
      <c r="HLQ7" s="414"/>
      <c r="HLR7" s="414"/>
      <c r="HLS7" s="414"/>
      <c r="HLT7" s="414"/>
      <c r="HLU7" s="414"/>
      <c r="HLV7" s="414"/>
      <c r="HLW7" s="414"/>
      <c r="HLX7" s="414"/>
      <c r="HLY7" s="414"/>
      <c r="HLZ7" s="414"/>
      <c r="HMA7" s="414"/>
      <c r="HMB7" s="414"/>
      <c r="HMC7" s="414"/>
      <c r="HMD7" s="414"/>
      <c r="HME7" s="414"/>
      <c r="HMF7" s="414"/>
      <c r="HMG7" s="414"/>
      <c r="HMH7" s="414"/>
      <c r="HMI7" s="414"/>
      <c r="HMJ7" s="414"/>
      <c r="HMK7" s="414"/>
      <c r="HML7" s="414"/>
      <c r="HMM7" s="414"/>
      <c r="HMN7" s="414"/>
      <c r="HMO7" s="414"/>
      <c r="HMP7" s="414"/>
      <c r="HMQ7" s="414"/>
      <c r="HMR7" s="414"/>
      <c r="HMS7" s="414"/>
      <c r="HMT7" s="414"/>
      <c r="HMU7" s="414"/>
      <c r="HMV7" s="414"/>
      <c r="HMW7" s="414"/>
      <c r="HMX7" s="414"/>
      <c r="HMY7" s="414"/>
      <c r="HMZ7" s="414"/>
      <c r="HNA7" s="414"/>
      <c r="HNB7" s="414"/>
      <c r="HNC7" s="414"/>
      <c r="HND7" s="414"/>
      <c r="HNE7" s="414"/>
      <c r="HNF7" s="414"/>
      <c r="HNG7" s="414"/>
      <c r="HNH7" s="414"/>
      <c r="HNI7" s="414"/>
      <c r="HNJ7" s="414"/>
      <c r="HNK7" s="414"/>
      <c r="HNL7" s="414"/>
      <c r="HNM7" s="414"/>
      <c r="HNN7" s="414"/>
      <c r="HNO7" s="414"/>
      <c r="HNP7" s="414"/>
      <c r="HNQ7" s="414"/>
      <c r="HNR7" s="414"/>
      <c r="HNS7" s="414"/>
      <c r="HNT7" s="414"/>
      <c r="HNU7" s="414"/>
      <c r="HNV7" s="414"/>
      <c r="HNW7" s="414"/>
      <c r="HNX7" s="414"/>
      <c r="HNY7" s="414"/>
      <c r="HNZ7" s="414"/>
      <c r="HOA7" s="414"/>
      <c r="HOB7" s="414"/>
      <c r="HOC7" s="414"/>
      <c r="HOD7" s="414"/>
      <c r="HOE7" s="414"/>
      <c r="HOF7" s="414"/>
      <c r="HOG7" s="414"/>
      <c r="HOH7" s="414"/>
      <c r="HOI7" s="414"/>
      <c r="HOJ7" s="414"/>
      <c r="HOK7" s="414"/>
      <c r="HOL7" s="414"/>
      <c r="HOM7" s="414"/>
      <c r="HON7" s="414"/>
      <c r="HOO7" s="414"/>
      <c r="HOP7" s="414"/>
      <c r="HOQ7" s="414"/>
      <c r="HOR7" s="414"/>
      <c r="HOS7" s="414"/>
      <c r="HOT7" s="414"/>
      <c r="HOU7" s="414"/>
      <c r="HOV7" s="414"/>
      <c r="HOW7" s="414"/>
      <c r="HOX7" s="414"/>
      <c r="HOY7" s="414"/>
      <c r="HOZ7" s="414"/>
      <c r="HPA7" s="414"/>
      <c r="HPB7" s="414"/>
      <c r="HPC7" s="414"/>
      <c r="HPD7" s="414"/>
      <c r="HPE7" s="414"/>
      <c r="HPF7" s="414"/>
      <c r="HPG7" s="414"/>
      <c r="HPH7" s="414"/>
      <c r="HPI7" s="414"/>
      <c r="HPJ7" s="414"/>
      <c r="HPK7" s="414"/>
      <c r="HPL7" s="414"/>
      <c r="HPM7" s="414"/>
      <c r="HPN7" s="414"/>
      <c r="HPO7" s="414"/>
      <c r="HPP7" s="414"/>
      <c r="HPQ7" s="414"/>
      <c r="HPR7" s="414"/>
      <c r="HPS7" s="414"/>
      <c r="HPT7" s="414"/>
      <c r="HPU7" s="414"/>
      <c r="HPV7" s="414"/>
      <c r="HPW7" s="414"/>
      <c r="HPX7" s="414"/>
      <c r="HPY7" s="414"/>
      <c r="HPZ7" s="414"/>
      <c r="HQA7" s="414"/>
      <c r="HQB7" s="414"/>
      <c r="HQC7" s="414"/>
      <c r="HQD7" s="414"/>
      <c r="HQE7" s="414"/>
      <c r="HQF7" s="414"/>
      <c r="HQG7" s="414"/>
      <c r="HQH7" s="414"/>
      <c r="HQI7" s="414"/>
      <c r="HQJ7" s="414"/>
      <c r="HQK7" s="414"/>
      <c r="HQL7" s="414"/>
      <c r="HQM7" s="414"/>
      <c r="HQN7" s="414"/>
      <c r="HQO7" s="414"/>
      <c r="HQP7" s="414"/>
      <c r="HQQ7" s="414"/>
      <c r="HQR7" s="414"/>
      <c r="HQS7" s="414"/>
      <c r="HQT7" s="414"/>
      <c r="HQU7" s="414"/>
      <c r="HQV7" s="414"/>
      <c r="HQW7" s="414"/>
      <c r="HQX7" s="414"/>
      <c r="HQY7" s="414"/>
      <c r="HQZ7" s="414"/>
      <c r="HRA7" s="414"/>
      <c r="HRB7" s="414"/>
      <c r="HRC7" s="414"/>
      <c r="HRD7" s="414"/>
      <c r="HRE7" s="414"/>
      <c r="HRF7" s="414"/>
      <c r="HRG7" s="414"/>
      <c r="HRH7" s="414"/>
      <c r="HRI7" s="414"/>
      <c r="HRJ7" s="414"/>
      <c r="HRK7" s="414"/>
      <c r="HRL7" s="414"/>
      <c r="HRM7" s="414"/>
      <c r="HRN7" s="414"/>
      <c r="HRO7" s="414"/>
      <c r="HRP7" s="414"/>
      <c r="HRQ7" s="414"/>
      <c r="HRR7" s="414"/>
      <c r="HRS7" s="414"/>
      <c r="HRT7" s="414"/>
      <c r="HRU7" s="414"/>
      <c r="HRV7" s="414"/>
      <c r="HRW7" s="414"/>
      <c r="HRX7" s="414"/>
      <c r="HRY7" s="414"/>
      <c r="HRZ7" s="414"/>
      <c r="HSA7" s="414"/>
      <c r="HSB7" s="414"/>
      <c r="HSC7" s="414"/>
      <c r="HSD7" s="414"/>
      <c r="HSE7" s="414"/>
      <c r="HSF7" s="414"/>
      <c r="HSG7" s="414"/>
      <c r="HSH7" s="414"/>
      <c r="HSI7" s="414"/>
      <c r="HSJ7" s="414"/>
      <c r="HSK7" s="414"/>
      <c r="HSL7" s="414"/>
      <c r="HSM7" s="414"/>
      <c r="HSN7" s="414"/>
      <c r="HSO7" s="414"/>
      <c r="HSP7" s="414"/>
      <c r="HSQ7" s="414"/>
      <c r="HSR7" s="414"/>
      <c r="HSS7" s="414"/>
      <c r="HST7" s="414"/>
      <c r="HSU7" s="414"/>
      <c r="HSV7" s="414"/>
      <c r="HSW7" s="414"/>
      <c r="HSX7" s="414"/>
      <c r="HSY7" s="414"/>
      <c r="HSZ7" s="414"/>
      <c r="HTA7" s="414"/>
      <c r="HTB7" s="414"/>
      <c r="HTC7" s="414"/>
      <c r="HTD7" s="414"/>
      <c r="HTE7" s="414"/>
      <c r="HTF7" s="414"/>
      <c r="HTG7" s="414"/>
      <c r="HTH7" s="414"/>
      <c r="HTI7" s="414"/>
      <c r="HTJ7" s="414"/>
      <c r="HTK7" s="414"/>
      <c r="HTL7" s="414"/>
      <c r="HTM7" s="414"/>
      <c r="HTN7" s="414"/>
      <c r="HTO7" s="414"/>
      <c r="HTP7" s="414"/>
      <c r="HTQ7" s="414"/>
      <c r="HTR7" s="414"/>
      <c r="HTS7" s="414"/>
      <c r="HTT7" s="414"/>
      <c r="HTU7" s="414"/>
      <c r="HTV7" s="414"/>
      <c r="HTW7" s="414"/>
      <c r="HTX7" s="414"/>
      <c r="HTY7" s="414"/>
      <c r="HTZ7" s="414"/>
      <c r="HUA7" s="414"/>
      <c r="HUB7" s="414"/>
      <c r="HUC7" s="414"/>
      <c r="HUD7" s="414"/>
      <c r="HUE7" s="414"/>
      <c r="HUF7" s="414"/>
      <c r="HUG7" s="414"/>
      <c r="HUH7" s="414"/>
      <c r="HUI7" s="414"/>
      <c r="HUJ7" s="414"/>
      <c r="HUK7" s="414"/>
      <c r="HUL7" s="414"/>
      <c r="HUM7" s="414"/>
      <c r="HUN7" s="414"/>
      <c r="HUO7" s="414"/>
      <c r="HUP7" s="414"/>
      <c r="HUQ7" s="414"/>
      <c r="HUR7" s="414"/>
      <c r="HUS7" s="414"/>
      <c r="HUT7" s="414"/>
      <c r="HUU7" s="414"/>
      <c r="HUV7" s="414"/>
      <c r="HUW7" s="414"/>
      <c r="HUX7" s="414"/>
      <c r="HUY7" s="414"/>
      <c r="HUZ7" s="414"/>
      <c r="HVA7" s="414"/>
      <c r="HVB7" s="414"/>
      <c r="HVC7" s="414"/>
      <c r="HVD7" s="414"/>
      <c r="HVE7" s="414"/>
      <c r="HVF7" s="414"/>
      <c r="HVG7" s="414"/>
      <c r="HVH7" s="414"/>
      <c r="HVI7" s="414"/>
      <c r="HVJ7" s="414"/>
      <c r="HVK7" s="414"/>
      <c r="HVL7" s="414"/>
      <c r="HVM7" s="414"/>
      <c r="HVN7" s="414"/>
      <c r="HVO7" s="414"/>
      <c r="HVP7" s="414"/>
      <c r="HVQ7" s="414"/>
      <c r="HVR7" s="414"/>
      <c r="HVS7" s="414"/>
      <c r="HVT7" s="414"/>
      <c r="HVU7" s="414"/>
      <c r="HVV7" s="414"/>
      <c r="HVW7" s="414"/>
      <c r="HVX7" s="414"/>
      <c r="HVY7" s="414"/>
      <c r="HVZ7" s="414"/>
      <c r="HWA7" s="414"/>
      <c r="HWB7" s="414"/>
      <c r="HWC7" s="414"/>
      <c r="HWD7" s="414"/>
      <c r="HWE7" s="414"/>
      <c r="HWF7" s="414"/>
      <c r="HWG7" s="414"/>
      <c r="HWH7" s="414"/>
      <c r="HWI7" s="414"/>
      <c r="HWJ7" s="414"/>
      <c r="HWK7" s="414"/>
      <c r="HWL7" s="414"/>
      <c r="HWM7" s="414"/>
      <c r="HWN7" s="414"/>
      <c r="HWO7" s="414"/>
      <c r="HWP7" s="414"/>
      <c r="HWQ7" s="414"/>
      <c r="HWR7" s="414"/>
      <c r="HWS7" s="414"/>
      <c r="HWT7" s="414"/>
      <c r="HWU7" s="414"/>
      <c r="HWV7" s="414"/>
      <c r="HWW7" s="414"/>
      <c r="HWX7" s="414"/>
      <c r="HWY7" s="414"/>
      <c r="HWZ7" s="414"/>
      <c r="HXA7" s="414"/>
      <c r="HXB7" s="414"/>
      <c r="HXC7" s="414"/>
      <c r="HXD7" s="414"/>
      <c r="HXE7" s="414"/>
      <c r="HXF7" s="414"/>
      <c r="HXG7" s="414"/>
      <c r="HXH7" s="414"/>
      <c r="HXI7" s="414"/>
      <c r="HXJ7" s="414"/>
      <c r="HXK7" s="414"/>
      <c r="HXL7" s="414"/>
      <c r="HXM7" s="414"/>
      <c r="HXN7" s="414"/>
      <c r="HXO7" s="414"/>
      <c r="HXP7" s="414"/>
      <c r="HXQ7" s="414"/>
      <c r="HXR7" s="414"/>
      <c r="HXS7" s="414"/>
      <c r="HXT7" s="414"/>
      <c r="HXU7" s="414"/>
      <c r="HXV7" s="414"/>
      <c r="HXW7" s="414"/>
      <c r="HXX7" s="414"/>
      <c r="HXY7" s="414"/>
      <c r="HXZ7" s="414"/>
      <c r="HYA7" s="414"/>
      <c r="HYB7" s="414"/>
      <c r="HYC7" s="414"/>
      <c r="HYD7" s="414"/>
      <c r="HYE7" s="414"/>
      <c r="HYF7" s="414"/>
      <c r="HYG7" s="414"/>
      <c r="HYH7" s="414"/>
      <c r="HYI7" s="414"/>
      <c r="HYJ7" s="414"/>
      <c r="HYK7" s="414"/>
      <c r="HYL7" s="414"/>
      <c r="HYM7" s="414"/>
      <c r="HYN7" s="414"/>
      <c r="HYO7" s="414"/>
      <c r="HYP7" s="414"/>
      <c r="HYQ7" s="414"/>
      <c r="HYR7" s="414"/>
      <c r="HYS7" s="414"/>
      <c r="HYT7" s="414"/>
      <c r="HYU7" s="414"/>
      <c r="HYV7" s="414"/>
      <c r="HYW7" s="414"/>
      <c r="HYX7" s="414"/>
      <c r="HYY7" s="414"/>
      <c r="HYZ7" s="414"/>
      <c r="HZA7" s="414"/>
      <c r="HZB7" s="414"/>
      <c r="HZC7" s="414"/>
      <c r="HZD7" s="414"/>
      <c r="HZE7" s="414"/>
      <c r="HZF7" s="414"/>
      <c r="HZG7" s="414"/>
      <c r="HZH7" s="414"/>
      <c r="HZI7" s="414"/>
      <c r="HZJ7" s="414"/>
      <c r="HZK7" s="414"/>
      <c r="HZL7" s="414"/>
      <c r="HZM7" s="414"/>
      <c r="HZN7" s="414"/>
      <c r="HZO7" s="414"/>
      <c r="HZP7" s="414"/>
      <c r="HZQ7" s="414"/>
      <c r="HZR7" s="414"/>
      <c r="HZS7" s="414"/>
      <c r="HZT7" s="414"/>
      <c r="HZU7" s="414"/>
      <c r="HZV7" s="414"/>
      <c r="HZW7" s="414"/>
      <c r="HZX7" s="414"/>
      <c r="HZY7" s="414"/>
      <c r="HZZ7" s="414"/>
      <c r="IAA7" s="414"/>
      <c r="IAB7" s="414"/>
      <c r="IAC7" s="414"/>
      <c r="IAD7" s="414"/>
      <c r="IAE7" s="414"/>
      <c r="IAF7" s="414"/>
      <c r="IAG7" s="414"/>
      <c r="IAH7" s="414"/>
      <c r="IAI7" s="414"/>
      <c r="IAJ7" s="414"/>
      <c r="IAK7" s="414"/>
      <c r="IAL7" s="414"/>
      <c r="IAM7" s="414"/>
      <c r="IAN7" s="414"/>
      <c r="IAO7" s="414"/>
      <c r="IAP7" s="414"/>
      <c r="IAQ7" s="414"/>
      <c r="IAR7" s="414"/>
      <c r="IAS7" s="414"/>
      <c r="IAT7" s="414"/>
      <c r="IAU7" s="414"/>
      <c r="IAV7" s="414"/>
      <c r="IAW7" s="414"/>
      <c r="IAX7" s="414"/>
      <c r="IAY7" s="414"/>
      <c r="IAZ7" s="414"/>
      <c r="IBA7" s="414"/>
      <c r="IBB7" s="414"/>
      <c r="IBC7" s="414"/>
      <c r="IBD7" s="414"/>
      <c r="IBE7" s="414"/>
      <c r="IBF7" s="414"/>
      <c r="IBG7" s="414"/>
      <c r="IBH7" s="414"/>
      <c r="IBI7" s="414"/>
      <c r="IBJ7" s="414"/>
      <c r="IBK7" s="414"/>
      <c r="IBL7" s="414"/>
      <c r="IBM7" s="414"/>
      <c r="IBN7" s="414"/>
      <c r="IBO7" s="414"/>
      <c r="IBP7" s="414"/>
      <c r="IBQ7" s="414"/>
      <c r="IBR7" s="414"/>
      <c r="IBS7" s="414"/>
      <c r="IBT7" s="414"/>
      <c r="IBU7" s="414"/>
      <c r="IBV7" s="414"/>
      <c r="IBW7" s="414"/>
      <c r="IBX7" s="414"/>
      <c r="IBY7" s="414"/>
      <c r="IBZ7" s="414"/>
      <c r="ICA7" s="414"/>
      <c r="ICB7" s="414"/>
      <c r="ICC7" s="414"/>
      <c r="ICD7" s="414"/>
      <c r="ICE7" s="414"/>
      <c r="ICF7" s="414"/>
      <c r="ICG7" s="414"/>
      <c r="ICH7" s="414"/>
      <c r="ICI7" s="414"/>
      <c r="ICJ7" s="414"/>
      <c r="ICK7" s="414"/>
      <c r="ICL7" s="414"/>
      <c r="ICM7" s="414"/>
      <c r="ICN7" s="414"/>
      <c r="ICO7" s="414"/>
      <c r="ICP7" s="414"/>
      <c r="ICQ7" s="414"/>
      <c r="ICR7" s="414"/>
      <c r="ICS7" s="414"/>
      <c r="ICT7" s="414"/>
      <c r="ICU7" s="414"/>
      <c r="ICV7" s="414"/>
      <c r="ICW7" s="414"/>
      <c r="ICX7" s="414"/>
      <c r="ICY7" s="414"/>
      <c r="ICZ7" s="414"/>
      <c r="IDA7" s="414"/>
      <c r="IDB7" s="414"/>
      <c r="IDC7" s="414"/>
      <c r="IDD7" s="414"/>
      <c r="IDE7" s="414"/>
      <c r="IDF7" s="414"/>
      <c r="IDG7" s="414"/>
      <c r="IDH7" s="414"/>
      <c r="IDI7" s="414"/>
      <c r="IDJ7" s="414"/>
      <c r="IDK7" s="414"/>
      <c r="IDL7" s="414"/>
      <c r="IDM7" s="414"/>
      <c r="IDN7" s="414"/>
      <c r="IDO7" s="414"/>
      <c r="IDP7" s="414"/>
      <c r="IDQ7" s="414"/>
      <c r="IDR7" s="414"/>
      <c r="IDS7" s="414"/>
      <c r="IDT7" s="414"/>
      <c r="IDU7" s="414"/>
      <c r="IDV7" s="414"/>
      <c r="IDW7" s="414"/>
      <c r="IDX7" s="414"/>
      <c r="IDY7" s="414"/>
      <c r="IDZ7" s="414"/>
      <c r="IEA7" s="414"/>
      <c r="IEB7" s="414"/>
      <c r="IEC7" s="414"/>
      <c r="IED7" s="414"/>
      <c r="IEE7" s="414"/>
      <c r="IEF7" s="414"/>
      <c r="IEG7" s="414"/>
      <c r="IEH7" s="414"/>
      <c r="IEI7" s="414"/>
      <c r="IEJ7" s="414"/>
      <c r="IEK7" s="414"/>
      <c r="IEL7" s="414"/>
      <c r="IEM7" s="414"/>
      <c r="IEN7" s="414"/>
      <c r="IEO7" s="414"/>
      <c r="IEP7" s="414"/>
      <c r="IEQ7" s="414"/>
      <c r="IER7" s="414"/>
      <c r="IES7" s="414"/>
      <c r="IET7" s="414"/>
      <c r="IEU7" s="414"/>
      <c r="IEV7" s="414"/>
      <c r="IEW7" s="414"/>
      <c r="IEX7" s="414"/>
      <c r="IEY7" s="414"/>
      <c r="IEZ7" s="414"/>
      <c r="IFA7" s="414"/>
      <c r="IFB7" s="414"/>
      <c r="IFC7" s="414"/>
      <c r="IFD7" s="414"/>
      <c r="IFE7" s="414"/>
      <c r="IFF7" s="414"/>
      <c r="IFG7" s="414"/>
      <c r="IFH7" s="414"/>
      <c r="IFI7" s="414"/>
      <c r="IFJ7" s="414"/>
      <c r="IFK7" s="414"/>
      <c r="IFL7" s="414"/>
      <c r="IFM7" s="414"/>
      <c r="IFN7" s="414"/>
      <c r="IFO7" s="414"/>
      <c r="IFP7" s="414"/>
      <c r="IFQ7" s="414"/>
      <c r="IFR7" s="414"/>
      <c r="IFS7" s="414"/>
      <c r="IFT7" s="414"/>
      <c r="IFU7" s="414"/>
      <c r="IFV7" s="414"/>
      <c r="IFW7" s="414"/>
      <c r="IFX7" s="414"/>
      <c r="IFY7" s="414"/>
      <c r="IFZ7" s="414"/>
      <c r="IGA7" s="414"/>
      <c r="IGB7" s="414"/>
      <c r="IGC7" s="414"/>
      <c r="IGD7" s="414"/>
      <c r="IGE7" s="414"/>
      <c r="IGF7" s="414"/>
      <c r="IGG7" s="414"/>
      <c r="IGH7" s="414"/>
      <c r="IGI7" s="414"/>
      <c r="IGJ7" s="414"/>
      <c r="IGK7" s="414"/>
      <c r="IGL7" s="414"/>
      <c r="IGM7" s="414"/>
      <c r="IGN7" s="414"/>
      <c r="IGO7" s="414"/>
      <c r="IGP7" s="414"/>
      <c r="IGQ7" s="414"/>
      <c r="IGR7" s="414"/>
      <c r="IGS7" s="414"/>
      <c r="IGT7" s="414"/>
      <c r="IGU7" s="414"/>
      <c r="IGV7" s="414"/>
      <c r="IGW7" s="414"/>
      <c r="IGX7" s="414"/>
      <c r="IGY7" s="414"/>
      <c r="IGZ7" s="414"/>
      <c r="IHA7" s="414"/>
      <c r="IHB7" s="414"/>
      <c r="IHC7" s="414"/>
      <c r="IHD7" s="414"/>
      <c r="IHE7" s="414"/>
      <c r="IHF7" s="414"/>
      <c r="IHG7" s="414"/>
      <c r="IHH7" s="414"/>
      <c r="IHI7" s="414"/>
      <c r="IHJ7" s="414"/>
      <c r="IHK7" s="414"/>
      <c r="IHL7" s="414"/>
      <c r="IHM7" s="414"/>
      <c r="IHN7" s="414"/>
      <c r="IHO7" s="414"/>
      <c r="IHP7" s="414"/>
      <c r="IHQ7" s="414"/>
      <c r="IHR7" s="414"/>
      <c r="IHS7" s="414"/>
      <c r="IHT7" s="414"/>
      <c r="IHU7" s="414"/>
      <c r="IHV7" s="414"/>
      <c r="IHW7" s="414"/>
      <c r="IHX7" s="414"/>
      <c r="IHY7" s="414"/>
      <c r="IHZ7" s="414"/>
      <c r="IIA7" s="414"/>
      <c r="IIB7" s="414"/>
      <c r="IIC7" s="414"/>
      <c r="IID7" s="414"/>
      <c r="IIE7" s="414"/>
      <c r="IIF7" s="414"/>
      <c r="IIG7" s="414"/>
      <c r="IIH7" s="414"/>
      <c r="III7" s="414"/>
      <c r="IIJ7" s="414"/>
      <c r="IIK7" s="414"/>
      <c r="IIL7" s="414"/>
      <c r="IIM7" s="414"/>
      <c r="IIN7" s="414"/>
      <c r="IIO7" s="414"/>
      <c r="IIP7" s="414"/>
      <c r="IIQ7" s="414"/>
      <c r="IIR7" s="414"/>
      <c r="IIS7" s="414"/>
      <c r="IIT7" s="414"/>
      <c r="IIU7" s="414"/>
      <c r="IIV7" s="414"/>
      <c r="IIW7" s="414"/>
      <c r="IIX7" s="414"/>
      <c r="IIY7" s="414"/>
      <c r="IIZ7" s="414"/>
      <c r="IJA7" s="414"/>
      <c r="IJB7" s="414"/>
      <c r="IJC7" s="414"/>
      <c r="IJD7" s="414"/>
      <c r="IJE7" s="414"/>
      <c r="IJF7" s="414"/>
      <c r="IJG7" s="414"/>
      <c r="IJH7" s="414"/>
      <c r="IJI7" s="414"/>
      <c r="IJJ7" s="414"/>
      <c r="IJK7" s="414"/>
      <c r="IJL7" s="414"/>
      <c r="IJM7" s="414"/>
      <c r="IJN7" s="414"/>
      <c r="IJO7" s="414"/>
      <c r="IJP7" s="414"/>
      <c r="IJQ7" s="414"/>
      <c r="IJR7" s="414"/>
      <c r="IJS7" s="414"/>
      <c r="IJT7" s="414"/>
      <c r="IJU7" s="414"/>
      <c r="IJV7" s="414"/>
      <c r="IJW7" s="414"/>
      <c r="IJX7" s="414"/>
      <c r="IJY7" s="414"/>
      <c r="IJZ7" s="414"/>
      <c r="IKA7" s="414"/>
      <c r="IKB7" s="414"/>
      <c r="IKC7" s="414"/>
      <c r="IKD7" s="414"/>
      <c r="IKE7" s="414"/>
      <c r="IKF7" s="414"/>
      <c r="IKG7" s="414"/>
      <c r="IKH7" s="414"/>
      <c r="IKI7" s="414"/>
      <c r="IKJ7" s="414"/>
      <c r="IKK7" s="414"/>
      <c r="IKL7" s="414"/>
      <c r="IKM7" s="414"/>
      <c r="IKN7" s="414"/>
      <c r="IKO7" s="414"/>
      <c r="IKP7" s="414"/>
      <c r="IKQ7" s="414"/>
      <c r="IKR7" s="414"/>
      <c r="IKS7" s="414"/>
      <c r="IKT7" s="414"/>
      <c r="IKU7" s="414"/>
      <c r="IKV7" s="414"/>
      <c r="IKW7" s="414"/>
      <c r="IKX7" s="414"/>
      <c r="IKY7" s="414"/>
      <c r="IKZ7" s="414"/>
      <c r="ILA7" s="414"/>
      <c r="ILB7" s="414"/>
      <c r="ILC7" s="414"/>
      <c r="ILD7" s="414"/>
      <c r="ILE7" s="414"/>
      <c r="ILF7" s="414"/>
      <c r="ILG7" s="414"/>
      <c r="ILH7" s="414"/>
      <c r="ILI7" s="414"/>
      <c r="ILJ7" s="414"/>
      <c r="ILK7" s="414"/>
      <c r="ILL7" s="414"/>
      <c r="ILM7" s="414"/>
      <c r="ILN7" s="414"/>
      <c r="ILO7" s="414"/>
      <c r="ILP7" s="414"/>
      <c r="ILQ7" s="414"/>
      <c r="ILR7" s="414"/>
      <c r="ILS7" s="414"/>
      <c r="ILT7" s="414"/>
      <c r="ILU7" s="414"/>
      <c r="ILV7" s="414"/>
      <c r="ILW7" s="414"/>
      <c r="ILX7" s="414"/>
      <c r="ILY7" s="414"/>
      <c r="ILZ7" s="414"/>
      <c r="IMA7" s="414"/>
      <c r="IMB7" s="414"/>
      <c r="IMC7" s="414"/>
      <c r="IMD7" s="414"/>
      <c r="IME7" s="414"/>
      <c r="IMF7" s="414"/>
      <c r="IMG7" s="414"/>
      <c r="IMH7" s="414"/>
      <c r="IMI7" s="414"/>
      <c r="IMJ7" s="414"/>
      <c r="IMK7" s="414"/>
      <c r="IML7" s="414"/>
      <c r="IMM7" s="414"/>
      <c r="IMN7" s="414"/>
      <c r="IMO7" s="414"/>
      <c r="IMP7" s="414"/>
      <c r="IMQ7" s="414"/>
      <c r="IMR7" s="414"/>
      <c r="IMS7" s="414"/>
      <c r="IMT7" s="414"/>
      <c r="IMU7" s="414"/>
      <c r="IMV7" s="414"/>
      <c r="IMW7" s="414"/>
      <c r="IMX7" s="414"/>
      <c r="IMY7" s="414"/>
      <c r="IMZ7" s="414"/>
      <c r="INA7" s="414"/>
      <c r="INB7" s="414"/>
      <c r="INC7" s="414"/>
      <c r="IND7" s="414"/>
      <c r="INE7" s="414"/>
      <c r="INF7" s="414"/>
      <c r="ING7" s="414"/>
      <c r="INH7" s="414"/>
      <c r="INI7" s="414"/>
      <c r="INJ7" s="414"/>
      <c r="INK7" s="414"/>
      <c r="INL7" s="414"/>
      <c r="INM7" s="414"/>
      <c r="INN7" s="414"/>
      <c r="INO7" s="414"/>
      <c r="INP7" s="414"/>
      <c r="INQ7" s="414"/>
      <c r="INR7" s="414"/>
      <c r="INS7" s="414"/>
      <c r="INT7" s="414"/>
      <c r="INU7" s="414"/>
      <c r="INV7" s="414"/>
      <c r="INW7" s="414"/>
      <c r="INX7" s="414"/>
      <c r="INY7" s="414"/>
      <c r="INZ7" s="414"/>
      <c r="IOA7" s="414"/>
      <c r="IOB7" s="414"/>
      <c r="IOC7" s="414"/>
      <c r="IOD7" s="414"/>
      <c r="IOE7" s="414"/>
      <c r="IOF7" s="414"/>
      <c r="IOG7" s="414"/>
      <c r="IOH7" s="414"/>
      <c r="IOI7" s="414"/>
      <c r="IOJ7" s="414"/>
      <c r="IOK7" s="414"/>
      <c r="IOL7" s="414"/>
      <c r="IOM7" s="414"/>
      <c r="ION7" s="414"/>
      <c r="IOO7" s="414"/>
      <c r="IOP7" s="414"/>
      <c r="IOQ7" s="414"/>
      <c r="IOR7" s="414"/>
      <c r="IOS7" s="414"/>
      <c r="IOT7" s="414"/>
      <c r="IOU7" s="414"/>
      <c r="IOV7" s="414"/>
      <c r="IOW7" s="414"/>
      <c r="IOX7" s="414"/>
      <c r="IOY7" s="414"/>
      <c r="IOZ7" s="414"/>
      <c r="IPA7" s="414"/>
      <c r="IPB7" s="414"/>
      <c r="IPC7" s="414"/>
      <c r="IPD7" s="414"/>
      <c r="IPE7" s="414"/>
      <c r="IPF7" s="414"/>
      <c r="IPG7" s="414"/>
      <c r="IPH7" s="414"/>
      <c r="IPI7" s="414"/>
      <c r="IPJ7" s="414"/>
      <c r="IPK7" s="414"/>
      <c r="IPL7" s="414"/>
      <c r="IPM7" s="414"/>
      <c r="IPN7" s="414"/>
      <c r="IPO7" s="414"/>
      <c r="IPP7" s="414"/>
      <c r="IPQ7" s="414"/>
      <c r="IPR7" s="414"/>
      <c r="IPS7" s="414"/>
      <c r="IPT7" s="414"/>
      <c r="IPU7" s="414"/>
      <c r="IPV7" s="414"/>
      <c r="IPW7" s="414"/>
      <c r="IPX7" s="414"/>
      <c r="IPY7" s="414"/>
      <c r="IPZ7" s="414"/>
      <c r="IQA7" s="414"/>
      <c r="IQB7" s="414"/>
      <c r="IQC7" s="414"/>
      <c r="IQD7" s="414"/>
      <c r="IQE7" s="414"/>
      <c r="IQF7" s="414"/>
      <c r="IQG7" s="414"/>
      <c r="IQH7" s="414"/>
      <c r="IQI7" s="414"/>
      <c r="IQJ7" s="414"/>
      <c r="IQK7" s="414"/>
      <c r="IQL7" s="414"/>
      <c r="IQM7" s="414"/>
      <c r="IQN7" s="414"/>
      <c r="IQO7" s="414"/>
      <c r="IQP7" s="414"/>
      <c r="IQQ7" s="414"/>
      <c r="IQR7" s="414"/>
      <c r="IQS7" s="414"/>
      <c r="IQT7" s="414"/>
      <c r="IQU7" s="414"/>
      <c r="IQV7" s="414"/>
      <c r="IQW7" s="414"/>
      <c r="IQX7" s="414"/>
      <c r="IQY7" s="414"/>
      <c r="IQZ7" s="414"/>
      <c r="IRA7" s="414"/>
      <c r="IRB7" s="414"/>
      <c r="IRC7" s="414"/>
      <c r="IRD7" s="414"/>
      <c r="IRE7" s="414"/>
      <c r="IRF7" s="414"/>
      <c r="IRG7" s="414"/>
      <c r="IRH7" s="414"/>
      <c r="IRI7" s="414"/>
      <c r="IRJ7" s="414"/>
      <c r="IRK7" s="414"/>
      <c r="IRL7" s="414"/>
      <c r="IRM7" s="414"/>
      <c r="IRN7" s="414"/>
      <c r="IRO7" s="414"/>
      <c r="IRP7" s="414"/>
      <c r="IRQ7" s="414"/>
      <c r="IRR7" s="414"/>
      <c r="IRS7" s="414"/>
      <c r="IRT7" s="414"/>
      <c r="IRU7" s="414"/>
      <c r="IRV7" s="414"/>
      <c r="IRW7" s="414"/>
      <c r="IRX7" s="414"/>
      <c r="IRY7" s="414"/>
      <c r="IRZ7" s="414"/>
      <c r="ISA7" s="414"/>
      <c r="ISB7" s="414"/>
      <c r="ISC7" s="414"/>
      <c r="ISD7" s="414"/>
      <c r="ISE7" s="414"/>
      <c r="ISF7" s="414"/>
      <c r="ISG7" s="414"/>
      <c r="ISH7" s="414"/>
      <c r="ISI7" s="414"/>
      <c r="ISJ7" s="414"/>
      <c r="ISK7" s="414"/>
      <c r="ISL7" s="414"/>
      <c r="ISM7" s="414"/>
      <c r="ISN7" s="414"/>
      <c r="ISO7" s="414"/>
      <c r="ISP7" s="414"/>
      <c r="ISQ7" s="414"/>
      <c r="ISR7" s="414"/>
      <c r="ISS7" s="414"/>
      <c r="IST7" s="414"/>
      <c r="ISU7" s="414"/>
      <c r="ISV7" s="414"/>
      <c r="ISW7" s="414"/>
      <c r="ISX7" s="414"/>
      <c r="ISY7" s="414"/>
      <c r="ISZ7" s="414"/>
      <c r="ITA7" s="414"/>
      <c r="ITB7" s="414"/>
      <c r="ITC7" s="414"/>
      <c r="ITD7" s="414"/>
      <c r="ITE7" s="414"/>
      <c r="ITF7" s="414"/>
      <c r="ITG7" s="414"/>
      <c r="ITH7" s="414"/>
      <c r="ITI7" s="414"/>
      <c r="ITJ7" s="414"/>
      <c r="ITK7" s="414"/>
      <c r="ITL7" s="414"/>
      <c r="ITM7" s="414"/>
      <c r="ITN7" s="414"/>
      <c r="ITO7" s="414"/>
      <c r="ITP7" s="414"/>
      <c r="ITQ7" s="414"/>
      <c r="ITR7" s="414"/>
      <c r="ITS7" s="414"/>
      <c r="ITT7" s="414"/>
      <c r="ITU7" s="414"/>
      <c r="ITV7" s="414"/>
      <c r="ITW7" s="414"/>
      <c r="ITX7" s="414"/>
      <c r="ITY7" s="414"/>
      <c r="ITZ7" s="414"/>
      <c r="IUA7" s="414"/>
      <c r="IUB7" s="414"/>
      <c r="IUC7" s="414"/>
      <c r="IUD7" s="414"/>
      <c r="IUE7" s="414"/>
      <c r="IUF7" s="414"/>
      <c r="IUG7" s="414"/>
      <c r="IUH7" s="414"/>
      <c r="IUI7" s="414"/>
      <c r="IUJ7" s="414"/>
      <c r="IUK7" s="414"/>
      <c r="IUL7" s="414"/>
      <c r="IUM7" s="414"/>
      <c r="IUN7" s="414"/>
      <c r="IUO7" s="414"/>
      <c r="IUP7" s="414"/>
      <c r="IUQ7" s="414"/>
      <c r="IUR7" s="414"/>
      <c r="IUS7" s="414"/>
      <c r="IUT7" s="414"/>
      <c r="IUU7" s="414"/>
      <c r="IUV7" s="414"/>
      <c r="IUW7" s="414"/>
      <c r="IUX7" s="414"/>
      <c r="IUY7" s="414"/>
      <c r="IUZ7" s="414"/>
      <c r="IVA7" s="414"/>
      <c r="IVB7" s="414"/>
      <c r="IVC7" s="414"/>
      <c r="IVD7" s="414"/>
      <c r="IVE7" s="414"/>
      <c r="IVF7" s="414"/>
      <c r="IVG7" s="414"/>
      <c r="IVH7" s="414"/>
      <c r="IVI7" s="414"/>
      <c r="IVJ7" s="414"/>
      <c r="IVK7" s="414"/>
      <c r="IVL7" s="414"/>
      <c r="IVM7" s="414"/>
      <c r="IVN7" s="414"/>
      <c r="IVO7" s="414"/>
      <c r="IVP7" s="414"/>
      <c r="IVQ7" s="414"/>
      <c r="IVR7" s="414"/>
      <c r="IVS7" s="414"/>
      <c r="IVT7" s="414"/>
      <c r="IVU7" s="414"/>
      <c r="IVV7" s="414"/>
      <c r="IVW7" s="414"/>
      <c r="IVX7" s="414"/>
      <c r="IVY7" s="414"/>
      <c r="IVZ7" s="414"/>
      <c r="IWA7" s="414"/>
      <c r="IWB7" s="414"/>
      <c r="IWC7" s="414"/>
      <c r="IWD7" s="414"/>
      <c r="IWE7" s="414"/>
      <c r="IWF7" s="414"/>
      <c r="IWG7" s="414"/>
      <c r="IWH7" s="414"/>
      <c r="IWI7" s="414"/>
      <c r="IWJ7" s="414"/>
      <c r="IWK7" s="414"/>
      <c r="IWL7" s="414"/>
      <c r="IWM7" s="414"/>
      <c r="IWN7" s="414"/>
      <c r="IWO7" s="414"/>
      <c r="IWP7" s="414"/>
      <c r="IWQ7" s="414"/>
      <c r="IWR7" s="414"/>
      <c r="IWS7" s="414"/>
      <c r="IWT7" s="414"/>
      <c r="IWU7" s="414"/>
      <c r="IWV7" s="414"/>
      <c r="IWW7" s="414"/>
      <c r="IWX7" s="414"/>
      <c r="IWY7" s="414"/>
      <c r="IWZ7" s="414"/>
      <c r="IXA7" s="414"/>
      <c r="IXB7" s="414"/>
      <c r="IXC7" s="414"/>
      <c r="IXD7" s="414"/>
      <c r="IXE7" s="414"/>
      <c r="IXF7" s="414"/>
      <c r="IXG7" s="414"/>
      <c r="IXH7" s="414"/>
      <c r="IXI7" s="414"/>
      <c r="IXJ7" s="414"/>
      <c r="IXK7" s="414"/>
      <c r="IXL7" s="414"/>
      <c r="IXM7" s="414"/>
      <c r="IXN7" s="414"/>
      <c r="IXO7" s="414"/>
      <c r="IXP7" s="414"/>
      <c r="IXQ7" s="414"/>
      <c r="IXR7" s="414"/>
      <c r="IXS7" s="414"/>
      <c r="IXT7" s="414"/>
      <c r="IXU7" s="414"/>
      <c r="IXV7" s="414"/>
      <c r="IXW7" s="414"/>
      <c r="IXX7" s="414"/>
      <c r="IXY7" s="414"/>
      <c r="IXZ7" s="414"/>
      <c r="IYA7" s="414"/>
      <c r="IYB7" s="414"/>
      <c r="IYC7" s="414"/>
      <c r="IYD7" s="414"/>
      <c r="IYE7" s="414"/>
      <c r="IYF7" s="414"/>
      <c r="IYG7" s="414"/>
      <c r="IYH7" s="414"/>
      <c r="IYI7" s="414"/>
      <c r="IYJ7" s="414"/>
      <c r="IYK7" s="414"/>
      <c r="IYL7" s="414"/>
      <c r="IYM7" s="414"/>
      <c r="IYN7" s="414"/>
      <c r="IYO7" s="414"/>
      <c r="IYP7" s="414"/>
      <c r="IYQ7" s="414"/>
      <c r="IYR7" s="414"/>
      <c r="IYS7" s="414"/>
      <c r="IYT7" s="414"/>
      <c r="IYU7" s="414"/>
      <c r="IYV7" s="414"/>
      <c r="IYW7" s="414"/>
      <c r="IYX7" s="414"/>
      <c r="IYY7" s="414"/>
      <c r="IYZ7" s="414"/>
      <c r="IZA7" s="414"/>
      <c r="IZB7" s="414"/>
      <c r="IZC7" s="414"/>
      <c r="IZD7" s="414"/>
      <c r="IZE7" s="414"/>
      <c r="IZF7" s="414"/>
      <c r="IZG7" s="414"/>
      <c r="IZH7" s="414"/>
      <c r="IZI7" s="414"/>
      <c r="IZJ7" s="414"/>
      <c r="IZK7" s="414"/>
      <c r="IZL7" s="414"/>
      <c r="IZM7" s="414"/>
      <c r="IZN7" s="414"/>
      <c r="IZO7" s="414"/>
      <c r="IZP7" s="414"/>
      <c r="IZQ7" s="414"/>
      <c r="IZR7" s="414"/>
      <c r="IZS7" s="414"/>
      <c r="IZT7" s="414"/>
      <c r="IZU7" s="414"/>
      <c r="IZV7" s="414"/>
      <c r="IZW7" s="414"/>
      <c r="IZX7" s="414"/>
      <c r="IZY7" s="414"/>
      <c r="IZZ7" s="414"/>
      <c r="JAA7" s="414"/>
      <c r="JAB7" s="414"/>
      <c r="JAC7" s="414"/>
      <c r="JAD7" s="414"/>
      <c r="JAE7" s="414"/>
      <c r="JAF7" s="414"/>
      <c r="JAG7" s="414"/>
      <c r="JAH7" s="414"/>
      <c r="JAI7" s="414"/>
      <c r="JAJ7" s="414"/>
      <c r="JAK7" s="414"/>
      <c r="JAL7" s="414"/>
      <c r="JAM7" s="414"/>
      <c r="JAN7" s="414"/>
      <c r="JAO7" s="414"/>
      <c r="JAP7" s="414"/>
      <c r="JAQ7" s="414"/>
      <c r="JAR7" s="414"/>
      <c r="JAS7" s="414"/>
      <c r="JAT7" s="414"/>
      <c r="JAU7" s="414"/>
      <c r="JAV7" s="414"/>
      <c r="JAW7" s="414"/>
      <c r="JAX7" s="414"/>
      <c r="JAY7" s="414"/>
      <c r="JAZ7" s="414"/>
      <c r="JBA7" s="414"/>
      <c r="JBB7" s="414"/>
      <c r="JBC7" s="414"/>
      <c r="JBD7" s="414"/>
      <c r="JBE7" s="414"/>
      <c r="JBF7" s="414"/>
      <c r="JBG7" s="414"/>
      <c r="JBH7" s="414"/>
      <c r="JBI7" s="414"/>
      <c r="JBJ7" s="414"/>
      <c r="JBK7" s="414"/>
      <c r="JBL7" s="414"/>
      <c r="JBM7" s="414"/>
      <c r="JBN7" s="414"/>
      <c r="JBO7" s="414"/>
      <c r="JBP7" s="414"/>
      <c r="JBQ7" s="414"/>
      <c r="JBR7" s="414"/>
      <c r="JBS7" s="414"/>
      <c r="JBT7" s="414"/>
      <c r="JBU7" s="414"/>
      <c r="JBV7" s="414"/>
      <c r="JBW7" s="414"/>
      <c r="JBX7" s="414"/>
      <c r="JBY7" s="414"/>
      <c r="JBZ7" s="414"/>
      <c r="JCA7" s="414"/>
      <c r="JCB7" s="414"/>
      <c r="JCC7" s="414"/>
      <c r="JCD7" s="414"/>
      <c r="JCE7" s="414"/>
      <c r="JCF7" s="414"/>
      <c r="JCG7" s="414"/>
      <c r="JCH7" s="414"/>
      <c r="JCI7" s="414"/>
      <c r="JCJ7" s="414"/>
      <c r="JCK7" s="414"/>
      <c r="JCL7" s="414"/>
      <c r="JCM7" s="414"/>
      <c r="JCN7" s="414"/>
      <c r="JCO7" s="414"/>
      <c r="JCP7" s="414"/>
      <c r="JCQ7" s="414"/>
      <c r="JCR7" s="414"/>
      <c r="JCS7" s="414"/>
      <c r="JCT7" s="414"/>
      <c r="JCU7" s="414"/>
      <c r="JCV7" s="414"/>
      <c r="JCW7" s="414"/>
      <c r="JCX7" s="414"/>
      <c r="JCY7" s="414"/>
      <c r="JCZ7" s="414"/>
      <c r="JDA7" s="414"/>
      <c r="JDB7" s="414"/>
      <c r="JDC7" s="414"/>
      <c r="JDD7" s="414"/>
      <c r="JDE7" s="414"/>
      <c r="JDF7" s="414"/>
      <c r="JDG7" s="414"/>
      <c r="JDH7" s="414"/>
      <c r="JDI7" s="414"/>
      <c r="JDJ7" s="414"/>
      <c r="JDK7" s="414"/>
      <c r="JDL7" s="414"/>
      <c r="JDM7" s="414"/>
      <c r="JDN7" s="414"/>
      <c r="JDO7" s="414"/>
      <c r="JDP7" s="414"/>
      <c r="JDQ7" s="414"/>
      <c r="JDR7" s="414"/>
      <c r="JDS7" s="414"/>
      <c r="JDT7" s="414"/>
      <c r="JDU7" s="414"/>
      <c r="JDV7" s="414"/>
      <c r="JDW7" s="414"/>
      <c r="JDX7" s="414"/>
      <c r="JDY7" s="414"/>
      <c r="JDZ7" s="414"/>
      <c r="JEA7" s="414"/>
      <c r="JEB7" s="414"/>
      <c r="JEC7" s="414"/>
      <c r="JED7" s="414"/>
      <c r="JEE7" s="414"/>
      <c r="JEF7" s="414"/>
      <c r="JEG7" s="414"/>
      <c r="JEH7" s="414"/>
      <c r="JEI7" s="414"/>
      <c r="JEJ7" s="414"/>
      <c r="JEK7" s="414"/>
      <c r="JEL7" s="414"/>
      <c r="JEM7" s="414"/>
      <c r="JEN7" s="414"/>
      <c r="JEO7" s="414"/>
      <c r="JEP7" s="414"/>
      <c r="JEQ7" s="414"/>
      <c r="JER7" s="414"/>
      <c r="JES7" s="414"/>
      <c r="JET7" s="414"/>
      <c r="JEU7" s="414"/>
      <c r="JEV7" s="414"/>
      <c r="JEW7" s="414"/>
      <c r="JEX7" s="414"/>
      <c r="JEY7" s="414"/>
      <c r="JEZ7" s="414"/>
      <c r="JFA7" s="414"/>
      <c r="JFB7" s="414"/>
      <c r="JFC7" s="414"/>
      <c r="JFD7" s="414"/>
      <c r="JFE7" s="414"/>
      <c r="JFF7" s="414"/>
      <c r="JFG7" s="414"/>
      <c r="JFH7" s="414"/>
      <c r="JFI7" s="414"/>
      <c r="JFJ7" s="414"/>
      <c r="JFK7" s="414"/>
      <c r="JFL7" s="414"/>
      <c r="JFM7" s="414"/>
      <c r="JFN7" s="414"/>
      <c r="JFO7" s="414"/>
      <c r="JFP7" s="414"/>
      <c r="JFQ7" s="414"/>
      <c r="JFR7" s="414"/>
      <c r="JFS7" s="414"/>
      <c r="JFT7" s="414"/>
      <c r="JFU7" s="414"/>
      <c r="JFV7" s="414"/>
      <c r="JFW7" s="414"/>
      <c r="JFX7" s="414"/>
      <c r="JFY7" s="414"/>
      <c r="JFZ7" s="414"/>
      <c r="JGA7" s="414"/>
      <c r="JGB7" s="414"/>
      <c r="JGC7" s="414"/>
      <c r="JGD7" s="414"/>
      <c r="JGE7" s="414"/>
      <c r="JGF7" s="414"/>
      <c r="JGG7" s="414"/>
      <c r="JGH7" s="414"/>
      <c r="JGI7" s="414"/>
      <c r="JGJ7" s="414"/>
      <c r="JGK7" s="414"/>
      <c r="JGL7" s="414"/>
      <c r="JGM7" s="414"/>
      <c r="JGN7" s="414"/>
      <c r="JGO7" s="414"/>
      <c r="JGP7" s="414"/>
      <c r="JGQ7" s="414"/>
      <c r="JGR7" s="414"/>
      <c r="JGS7" s="414"/>
      <c r="JGT7" s="414"/>
      <c r="JGU7" s="414"/>
      <c r="JGV7" s="414"/>
      <c r="JGW7" s="414"/>
      <c r="JGX7" s="414"/>
      <c r="JGY7" s="414"/>
      <c r="JGZ7" s="414"/>
      <c r="JHA7" s="414"/>
      <c r="JHB7" s="414"/>
      <c r="JHC7" s="414"/>
      <c r="JHD7" s="414"/>
      <c r="JHE7" s="414"/>
      <c r="JHF7" s="414"/>
      <c r="JHG7" s="414"/>
      <c r="JHH7" s="414"/>
      <c r="JHI7" s="414"/>
      <c r="JHJ7" s="414"/>
      <c r="JHK7" s="414"/>
      <c r="JHL7" s="414"/>
      <c r="JHM7" s="414"/>
      <c r="JHN7" s="414"/>
      <c r="JHO7" s="414"/>
      <c r="JHP7" s="414"/>
      <c r="JHQ7" s="414"/>
      <c r="JHR7" s="414"/>
      <c r="JHS7" s="414"/>
      <c r="JHT7" s="414"/>
      <c r="JHU7" s="414"/>
      <c r="JHV7" s="414"/>
      <c r="JHW7" s="414"/>
      <c r="JHX7" s="414"/>
      <c r="JHY7" s="414"/>
      <c r="JHZ7" s="414"/>
      <c r="JIA7" s="414"/>
      <c r="JIB7" s="414"/>
      <c r="JIC7" s="414"/>
      <c r="JID7" s="414"/>
      <c r="JIE7" s="414"/>
      <c r="JIF7" s="414"/>
      <c r="JIG7" s="414"/>
      <c r="JIH7" s="414"/>
      <c r="JII7" s="414"/>
      <c r="JIJ7" s="414"/>
      <c r="JIK7" s="414"/>
      <c r="JIL7" s="414"/>
      <c r="JIM7" s="414"/>
      <c r="JIN7" s="414"/>
      <c r="JIO7" s="414"/>
      <c r="JIP7" s="414"/>
      <c r="JIQ7" s="414"/>
      <c r="JIR7" s="414"/>
      <c r="JIS7" s="414"/>
      <c r="JIT7" s="414"/>
      <c r="JIU7" s="414"/>
      <c r="JIV7" s="414"/>
      <c r="JIW7" s="414"/>
      <c r="JIX7" s="414"/>
      <c r="JIY7" s="414"/>
      <c r="JIZ7" s="414"/>
      <c r="JJA7" s="414"/>
      <c r="JJB7" s="414"/>
      <c r="JJC7" s="414"/>
      <c r="JJD7" s="414"/>
      <c r="JJE7" s="414"/>
      <c r="JJF7" s="414"/>
      <c r="JJG7" s="414"/>
      <c r="JJH7" s="414"/>
      <c r="JJI7" s="414"/>
      <c r="JJJ7" s="414"/>
      <c r="JJK7" s="414"/>
      <c r="JJL7" s="414"/>
      <c r="JJM7" s="414"/>
      <c r="JJN7" s="414"/>
      <c r="JJO7" s="414"/>
      <c r="JJP7" s="414"/>
      <c r="JJQ7" s="414"/>
      <c r="JJR7" s="414"/>
      <c r="JJS7" s="414"/>
      <c r="JJT7" s="414"/>
      <c r="JJU7" s="414"/>
      <c r="JJV7" s="414"/>
      <c r="JJW7" s="414"/>
      <c r="JJX7" s="414"/>
      <c r="JJY7" s="414"/>
      <c r="JJZ7" s="414"/>
      <c r="JKA7" s="414"/>
      <c r="JKB7" s="414"/>
      <c r="JKC7" s="414"/>
      <c r="JKD7" s="414"/>
      <c r="JKE7" s="414"/>
      <c r="JKF7" s="414"/>
      <c r="JKG7" s="414"/>
      <c r="JKH7" s="414"/>
      <c r="JKI7" s="414"/>
      <c r="JKJ7" s="414"/>
      <c r="JKK7" s="414"/>
      <c r="JKL7" s="414"/>
      <c r="JKM7" s="414"/>
      <c r="JKN7" s="414"/>
      <c r="JKO7" s="414"/>
      <c r="JKP7" s="414"/>
      <c r="JKQ7" s="414"/>
      <c r="JKR7" s="414"/>
      <c r="JKS7" s="414"/>
      <c r="JKT7" s="414"/>
      <c r="JKU7" s="414"/>
      <c r="JKV7" s="414"/>
      <c r="JKW7" s="414"/>
      <c r="JKX7" s="414"/>
      <c r="JKY7" s="414"/>
      <c r="JKZ7" s="414"/>
      <c r="JLA7" s="414"/>
      <c r="JLB7" s="414"/>
      <c r="JLC7" s="414"/>
      <c r="JLD7" s="414"/>
      <c r="JLE7" s="414"/>
      <c r="JLF7" s="414"/>
      <c r="JLG7" s="414"/>
      <c r="JLH7" s="414"/>
      <c r="JLI7" s="414"/>
      <c r="JLJ7" s="414"/>
      <c r="JLK7" s="414"/>
      <c r="JLL7" s="414"/>
      <c r="JLM7" s="414"/>
      <c r="JLN7" s="414"/>
      <c r="JLO7" s="414"/>
      <c r="JLP7" s="414"/>
      <c r="JLQ7" s="414"/>
      <c r="JLR7" s="414"/>
      <c r="JLS7" s="414"/>
      <c r="JLT7" s="414"/>
      <c r="JLU7" s="414"/>
      <c r="JLV7" s="414"/>
      <c r="JLW7" s="414"/>
      <c r="JLX7" s="414"/>
      <c r="JLY7" s="414"/>
      <c r="JLZ7" s="414"/>
      <c r="JMA7" s="414"/>
      <c r="JMB7" s="414"/>
      <c r="JMC7" s="414"/>
      <c r="JMD7" s="414"/>
      <c r="JME7" s="414"/>
      <c r="JMF7" s="414"/>
      <c r="JMG7" s="414"/>
      <c r="JMH7" s="414"/>
      <c r="JMI7" s="414"/>
      <c r="JMJ7" s="414"/>
      <c r="JMK7" s="414"/>
      <c r="JML7" s="414"/>
      <c r="JMM7" s="414"/>
      <c r="JMN7" s="414"/>
      <c r="JMO7" s="414"/>
      <c r="JMP7" s="414"/>
      <c r="JMQ7" s="414"/>
      <c r="JMR7" s="414"/>
      <c r="JMS7" s="414"/>
      <c r="JMT7" s="414"/>
      <c r="JMU7" s="414"/>
      <c r="JMV7" s="414"/>
      <c r="JMW7" s="414"/>
      <c r="JMX7" s="414"/>
      <c r="JMY7" s="414"/>
      <c r="JMZ7" s="414"/>
      <c r="JNA7" s="414"/>
      <c r="JNB7" s="414"/>
      <c r="JNC7" s="414"/>
      <c r="JND7" s="414"/>
      <c r="JNE7" s="414"/>
      <c r="JNF7" s="414"/>
      <c r="JNG7" s="414"/>
      <c r="JNH7" s="414"/>
      <c r="JNI7" s="414"/>
      <c r="JNJ7" s="414"/>
      <c r="JNK7" s="414"/>
      <c r="JNL7" s="414"/>
      <c r="JNM7" s="414"/>
      <c r="JNN7" s="414"/>
      <c r="JNO7" s="414"/>
      <c r="JNP7" s="414"/>
      <c r="JNQ7" s="414"/>
      <c r="JNR7" s="414"/>
      <c r="JNS7" s="414"/>
      <c r="JNT7" s="414"/>
      <c r="JNU7" s="414"/>
      <c r="JNV7" s="414"/>
      <c r="JNW7" s="414"/>
      <c r="JNX7" s="414"/>
      <c r="JNY7" s="414"/>
      <c r="JNZ7" s="414"/>
      <c r="JOA7" s="414"/>
      <c r="JOB7" s="414"/>
      <c r="JOC7" s="414"/>
      <c r="JOD7" s="414"/>
      <c r="JOE7" s="414"/>
      <c r="JOF7" s="414"/>
      <c r="JOG7" s="414"/>
      <c r="JOH7" s="414"/>
      <c r="JOI7" s="414"/>
      <c r="JOJ7" s="414"/>
      <c r="JOK7" s="414"/>
      <c r="JOL7" s="414"/>
      <c r="JOM7" s="414"/>
      <c r="JON7" s="414"/>
      <c r="JOO7" s="414"/>
      <c r="JOP7" s="414"/>
      <c r="JOQ7" s="414"/>
      <c r="JOR7" s="414"/>
      <c r="JOS7" s="414"/>
      <c r="JOT7" s="414"/>
      <c r="JOU7" s="414"/>
      <c r="JOV7" s="414"/>
      <c r="JOW7" s="414"/>
      <c r="JOX7" s="414"/>
      <c r="JOY7" s="414"/>
      <c r="JOZ7" s="414"/>
      <c r="JPA7" s="414"/>
      <c r="JPB7" s="414"/>
      <c r="JPC7" s="414"/>
      <c r="JPD7" s="414"/>
      <c r="JPE7" s="414"/>
      <c r="JPF7" s="414"/>
      <c r="JPG7" s="414"/>
      <c r="JPH7" s="414"/>
      <c r="JPI7" s="414"/>
      <c r="JPJ7" s="414"/>
      <c r="JPK7" s="414"/>
      <c r="JPL7" s="414"/>
      <c r="JPM7" s="414"/>
      <c r="JPN7" s="414"/>
      <c r="JPO7" s="414"/>
      <c r="JPP7" s="414"/>
      <c r="JPQ7" s="414"/>
      <c r="JPR7" s="414"/>
      <c r="JPS7" s="414"/>
      <c r="JPT7" s="414"/>
      <c r="JPU7" s="414"/>
      <c r="JPV7" s="414"/>
      <c r="JPW7" s="414"/>
      <c r="JPX7" s="414"/>
      <c r="JPY7" s="414"/>
      <c r="JPZ7" s="414"/>
      <c r="JQA7" s="414"/>
      <c r="JQB7" s="414"/>
      <c r="JQC7" s="414"/>
      <c r="JQD7" s="414"/>
      <c r="JQE7" s="414"/>
      <c r="JQF7" s="414"/>
      <c r="JQG7" s="414"/>
      <c r="JQH7" s="414"/>
      <c r="JQI7" s="414"/>
      <c r="JQJ7" s="414"/>
      <c r="JQK7" s="414"/>
      <c r="JQL7" s="414"/>
      <c r="JQM7" s="414"/>
      <c r="JQN7" s="414"/>
      <c r="JQO7" s="414"/>
      <c r="JQP7" s="414"/>
      <c r="JQQ7" s="414"/>
      <c r="JQR7" s="414"/>
      <c r="JQS7" s="414"/>
      <c r="JQT7" s="414"/>
      <c r="JQU7" s="414"/>
      <c r="JQV7" s="414"/>
      <c r="JQW7" s="414"/>
      <c r="JQX7" s="414"/>
      <c r="JQY7" s="414"/>
      <c r="JQZ7" s="414"/>
      <c r="JRA7" s="414"/>
      <c r="JRB7" s="414"/>
      <c r="JRC7" s="414"/>
      <c r="JRD7" s="414"/>
      <c r="JRE7" s="414"/>
      <c r="JRF7" s="414"/>
      <c r="JRG7" s="414"/>
      <c r="JRH7" s="414"/>
      <c r="JRI7" s="414"/>
      <c r="JRJ7" s="414"/>
      <c r="JRK7" s="414"/>
      <c r="JRL7" s="414"/>
      <c r="JRM7" s="414"/>
      <c r="JRN7" s="414"/>
      <c r="JRO7" s="414"/>
      <c r="JRP7" s="414"/>
      <c r="JRQ7" s="414"/>
      <c r="JRR7" s="414"/>
      <c r="JRS7" s="414"/>
      <c r="JRT7" s="414"/>
      <c r="JRU7" s="414"/>
      <c r="JRV7" s="414"/>
      <c r="JRW7" s="414"/>
      <c r="JRX7" s="414"/>
      <c r="JRY7" s="414"/>
      <c r="JRZ7" s="414"/>
      <c r="JSA7" s="414"/>
      <c r="JSB7" s="414"/>
      <c r="JSC7" s="414"/>
      <c r="JSD7" s="414"/>
      <c r="JSE7" s="414"/>
      <c r="JSF7" s="414"/>
      <c r="JSG7" s="414"/>
      <c r="JSH7" s="414"/>
      <c r="JSI7" s="414"/>
      <c r="JSJ7" s="414"/>
      <c r="JSK7" s="414"/>
      <c r="JSL7" s="414"/>
      <c r="JSM7" s="414"/>
      <c r="JSN7" s="414"/>
      <c r="JSO7" s="414"/>
      <c r="JSP7" s="414"/>
      <c r="JSQ7" s="414"/>
      <c r="JSR7" s="414"/>
      <c r="JSS7" s="414"/>
      <c r="JST7" s="414"/>
      <c r="JSU7" s="414"/>
      <c r="JSV7" s="414"/>
      <c r="JSW7" s="414"/>
      <c r="JSX7" s="414"/>
      <c r="JSY7" s="414"/>
      <c r="JSZ7" s="414"/>
      <c r="JTA7" s="414"/>
      <c r="JTB7" s="414"/>
      <c r="JTC7" s="414"/>
      <c r="JTD7" s="414"/>
      <c r="JTE7" s="414"/>
      <c r="JTF7" s="414"/>
      <c r="JTG7" s="414"/>
      <c r="JTH7" s="414"/>
      <c r="JTI7" s="414"/>
      <c r="JTJ7" s="414"/>
      <c r="JTK7" s="414"/>
      <c r="JTL7" s="414"/>
      <c r="JTM7" s="414"/>
      <c r="JTN7" s="414"/>
      <c r="JTO7" s="414"/>
      <c r="JTP7" s="414"/>
      <c r="JTQ7" s="414"/>
      <c r="JTR7" s="414"/>
      <c r="JTS7" s="414"/>
      <c r="JTT7" s="414"/>
      <c r="JTU7" s="414"/>
      <c r="JTV7" s="414"/>
      <c r="JTW7" s="414"/>
      <c r="JTX7" s="414"/>
      <c r="JTY7" s="414"/>
      <c r="JTZ7" s="414"/>
      <c r="JUA7" s="414"/>
      <c r="JUB7" s="414"/>
      <c r="JUC7" s="414"/>
      <c r="JUD7" s="414"/>
      <c r="JUE7" s="414"/>
      <c r="JUF7" s="414"/>
      <c r="JUG7" s="414"/>
      <c r="JUH7" s="414"/>
      <c r="JUI7" s="414"/>
      <c r="JUJ7" s="414"/>
      <c r="JUK7" s="414"/>
      <c r="JUL7" s="414"/>
      <c r="JUM7" s="414"/>
      <c r="JUN7" s="414"/>
      <c r="JUO7" s="414"/>
      <c r="JUP7" s="414"/>
      <c r="JUQ7" s="414"/>
      <c r="JUR7" s="414"/>
      <c r="JUS7" s="414"/>
      <c r="JUT7" s="414"/>
      <c r="JUU7" s="414"/>
      <c r="JUV7" s="414"/>
      <c r="JUW7" s="414"/>
      <c r="JUX7" s="414"/>
      <c r="JUY7" s="414"/>
      <c r="JUZ7" s="414"/>
      <c r="JVA7" s="414"/>
      <c r="JVB7" s="414"/>
      <c r="JVC7" s="414"/>
      <c r="JVD7" s="414"/>
      <c r="JVE7" s="414"/>
      <c r="JVF7" s="414"/>
      <c r="JVG7" s="414"/>
      <c r="JVH7" s="414"/>
      <c r="JVI7" s="414"/>
      <c r="JVJ7" s="414"/>
      <c r="JVK7" s="414"/>
      <c r="JVL7" s="414"/>
      <c r="JVM7" s="414"/>
      <c r="JVN7" s="414"/>
      <c r="JVO7" s="414"/>
      <c r="JVP7" s="414"/>
      <c r="JVQ7" s="414"/>
      <c r="JVR7" s="414"/>
      <c r="JVS7" s="414"/>
      <c r="JVT7" s="414"/>
      <c r="JVU7" s="414"/>
      <c r="JVV7" s="414"/>
      <c r="JVW7" s="414"/>
      <c r="JVX7" s="414"/>
      <c r="JVY7" s="414"/>
      <c r="JVZ7" s="414"/>
      <c r="JWA7" s="414"/>
      <c r="JWB7" s="414"/>
      <c r="JWC7" s="414"/>
      <c r="JWD7" s="414"/>
      <c r="JWE7" s="414"/>
      <c r="JWF7" s="414"/>
      <c r="JWG7" s="414"/>
      <c r="JWH7" s="414"/>
      <c r="JWI7" s="414"/>
      <c r="JWJ7" s="414"/>
      <c r="JWK7" s="414"/>
      <c r="JWL7" s="414"/>
      <c r="JWM7" s="414"/>
      <c r="JWN7" s="414"/>
      <c r="JWO7" s="414"/>
      <c r="JWP7" s="414"/>
      <c r="JWQ7" s="414"/>
      <c r="JWR7" s="414"/>
      <c r="JWS7" s="414"/>
      <c r="JWT7" s="414"/>
      <c r="JWU7" s="414"/>
      <c r="JWV7" s="414"/>
      <c r="JWW7" s="414"/>
      <c r="JWX7" s="414"/>
      <c r="JWY7" s="414"/>
      <c r="JWZ7" s="414"/>
      <c r="JXA7" s="414"/>
      <c r="JXB7" s="414"/>
      <c r="JXC7" s="414"/>
      <c r="JXD7" s="414"/>
      <c r="JXE7" s="414"/>
      <c r="JXF7" s="414"/>
      <c r="JXG7" s="414"/>
      <c r="JXH7" s="414"/>
      <c r="JXI7" s="414"/>
      <c r="JXJ7" s="414"/>
      <c r="JXK7" s="414"/>
      <c r="JXL7" s="414"/>
      <c r="JXM7" s="414"/>
      <c r="JXN7" s="414"/>
      <c r="JXO7" s="414"/>
      <c r="JXP7" s="414"/>
      <c r="JXQ7" s="414"/>
      <c r="JXR7" s="414"/>
      <c r="JXS7" s="414"/>
      <c r="JXT7" s="414"/>
      <c r="JXU7" s="414"/>
      <c r="JXV7" s="414"/>
      <c r="JXW7" s="414"/>
      <c r="JXX7" s="414"/>
      <c r="JXY7" s="414"/>
      <c r="JXZ7" s="414"/>
      <c r="JYA7" s="414"/>
      <c r="JYB7" s="414"/>
      <c r="JYC7" s="414"/>
      <c r="JYD7" s="414"/>
      <c r="JYE7" s="414"/>
      <c r="JYF7" s="414"/>
      <c r="JYG7" s="414"/>
      <c r="JYH7" s="414"/>
      <c r="JYI7" s="414"/>
      <c r="JYJ7" s="414"/>
      <c r="JYK7" s="414"/>
      <c r="JYL7" s="414"/>
      <c r="JYM7" s="414"/>
      <c r="JYN7" s="414"/>
      <c r="JYO7" s="414"/>
      <c r="JYP7" s="414"/>
      <c r="JYQ7" s="414"/>
      <c r="JYR7" s="414"/>
      <c r="JYS7" s="414"/>
      <c r="JYT7" s="414"/>
      <c r="JYU7" s="414"/>
      <c r="JYV7" s="414"/>
      <c r="JYW7" s="414"/>
      <c r="JYX7" s="414"/>
      <c r="JYY7" s="414"/>
      <c r="JYZ7" s="414"/>
      <c r="JZA7" s="414"/>
      <c r="JZB7" s="414"/>
      <c r="JZC7" s="414"/>
      <c r="JZD7" s="414"/>
      <c r="JZE7" s="414"/>
      <c r="JZF7" s="414"/>
      <c r="JZG7" s="414"/>
      <c r="JZH7" s="414"/>
      <c r="JZI7" s="414"/>
      <c r="JZJ7" s="414"/>
      <c r="JZK7" s="414"/>
      <c r="JZL7" s="414"/>
      <c r="JZM7" s="414"/>
      <c r="JZN7" s="414"/>
      <c r="JZO7" s="414"/>
      <c r="JZP7" s="414"/>
      <c r="JZQ7" s="414"/>
      <c r="JZR7" s="414"/>
      <c r="JZS7" s="414"/>
      <c r="JZT7" s="414"/>
      <c r="JZU7" s="414"/>
      <c r="JZV7" s="414"/>
      <c r="JZW7" s="414"/>
      <c r="JZX7" s="414"/>
      <c r="JZY7" s="414"/>
      <c r="JZZ7" s="414"/>
      <c r="KAA7" s="414"/>
      <c r="KAB7" s="414"/>
      <c r="KAC7" s="414"/>
      <c r="KAD7" s="414"/>
      <c r="KAE7" s="414"/>
      <c r="KAF7" s="414"/>
      <c r="KAG7" s="414"/>
      <c r="KAH7" s="414"/>
      <c r="KAI7" s="414"/>
      <c r="KAJ7" s="414"/>
      <c r="KAK7" s="414"/>
      <c r="KAL7" s="414"/>
      <c r="KAM7" s="414"/>
      <c r="KAN7" s="414"/>
      <c r="KAO7" s="414"/>
      <c r="KAP7" s="414"/>
      <c r="KAQ7" s="414"/>
      <c r="KAR7" s="414"/>
      <c r="KAS7" s="414"/>
      <c r="KAT7" s="414"/>
      <c r="KAU7" s="414"/>
      <c r="KAV7" s="414"/>
      <c r="KAW7" s="414"/>
      <c r="KAX7" s="414"/>
      <c r="KAY7" s="414"/>
      <c r="KAZ7" s="414"/>
      <c r="KBA7" s="414"/>
      <c r="KBB7" s="414"/>
      <c r="KBC7" s="414"/>
      <c r="KBD7" s="414"/>
      <c r="KBE7" s="414"/>
      <c r="KBF7" s="414"/>
      <c r="KBG7" s="414"/>
      <c r="KBH7" s="414"/>
      <c r="KBI7" s="414"/>
      <c r="KBJ7" s="414"/>
      <c r="KBK7" s="414"/>
      <c r="KBL7" s="414"/>
      <c r="KBM7" s="414"/>
      <c r="KBN7" s="414"/>
      <c r="KBO7" s="414"/>
      <c r="KBP7" s="414"/>
      <c r="KBQ7" s="414"/>
      <c r="KBR7" s="414"/>
      <c r="KBS7" s="414"/>
      <c r="KBT7" s="414"/>
      <c r="KBU7" s="414"/>
      <c r="KBV7" s="414"/>
      <c r="KBW7" s="414"/>
      <c r="KBX7" s="414"/>
      <c r="KBY7" s="414"/>
      <c r="KBZ7" s="414"/>
      <c r="KCA7" s="414"/>
      <c r="KCB7" s="414"/>
      <c r="KCC7" s="414"/>
      <c r="KCD7" s="414"/>
      <c r="KCE7" s="414"/>
      <c r="KCF7" s="414"/>
      <c r="KCG7" s="414"/>
      <c r="KCH7" s="414"/>
      <c r="KCI7" s="414"/>
      <c r="KCJ7" s="414"/>
      <c r="KCK7" s="414"/>
      <c r="KCL7" s="414"/>
      <c r="KCM7" s="414"/>
      <c r="KCN7" s="414"/>
      <c r="KCO7" s="414"/>
      <c r="KCP7" s="414"/>
      <c r="KCQ7" s="414"/>
      <c r="KCR7" s="414"/>
      <c r="KCS7" s="414"/>
      <c r="KCT7" s="414"/>
      <c r="KCU7" s="414"/>
      <c r="KCV7" s="414"/>
      <c r="KCW7" s="414"/>
      <c r="KCX7" s="414"/>
      <c r="KCY7" s="414"/>
      <c r="KCZ7" s="414"/>
      <c r="KDA7" s="414"/>
      <c r="KDB7" s="414"/>
      <c r="KDC7" s="414"/>
      <c r="KDD7" s="414"/>
      <c r="KDE7" s="414"/>
      <c r="KDF7" s="414"/>
      <c r="KDG7" s="414"/>
      <c r="KDH7" s="414"/>
      <c r="KDI7" s="414"/>
      <c r="KDJ7" s="414"/>
      <c r="KDK7" s="414"/>
      <c r="KDL7" s="414"/>
      <c r="KDM7" s="414"/>
      <c r="KDN7" s="414"/>
      <c r="KDO7" s="414"/>
      <c r="KDP7" s="414"/>
      <c r="KDQ7" s="414"/>
      <c r="KDR7" s="414"/>
      <c r="KDS7" s="414"/>
      <c r="KDT7" s="414"/>
      <c r="KDU7" s="414"/>
      <c r="KDV7" s="414"/>
      <c r="KDW7" s="414"/>
      <c r="KDX7" s="414"/>
      <c r="KDY7" s="414"/>
      <c r="KDZ7" s="414"/>
      <c r="KEA7" s="414"/>
      <c r="KEB7" s="414"/>
      <c r="KEC7" s="414"/>
      <c r="KED7" s="414"/>
      <c r="KEE7" s="414"/>
      <c r="KEF7" s="414"/>
      <c r="KEG7" s="414"/>
      <c r="KEH7" s="414"/>
      <c r="KEI7" s="414"/>
      <c r="KEJ7" s="414"/>
      <c r="KEK7" s="414"/>
      <c r="KEL7" s="414"/>
      <c r="KEM7" s="414"/>
      <c r="KEN7" s="414"/>
      <c r="KEO7" s="414"/>
      <c r="KEP7" s="414"/>
      <c r="KEQ7" s="414"/>
      <c r="KER7" s="414"/>
      <c r="KES7" s="414"/>
      <c r="KET7" s="414"/>
      <c r="KEU7" s="414"/>
      <c r="KEV7" s="414"/>
      <c r="KEW7" s="414"/>
      <c r="KEX7" s="414"/>
      <c r="KEY7" s="414"/>
      <c r="KEZ7" s="414"/>
      <c r="KFA7" s="414"/>
      <c r="KFB7" s="414"/>
      <c r="KFC7" s="414"/>
      <c r="KFD7" s="414"/>
      <c r="KFE7" s="414"/>
      <c r="KFF7" s="414"/>
      <c r="KFG7" s="414"/>
      <c r="KFH7" s="414"/>
      <c r="KFI7" s="414"/>
      <c r="KFJ7" s="414"/>
      <c r="KFK7" s="414"/>
      <c r="KFL7" s="414"/>
      <c r="KFM7" s="414"/>
      <c r="KFN7" s="414"/>
      <c r="KFO7" s="414"/>
      <c r="KFP7" s="414"/>
      <c r="KFQ7" s="414"/>
      <c r="KFR7" s="414"/>
      <c r="KFS7" s="414"/>
      <c r="KFT7" s="414"/>
      <c r="KFU7" s="414"/>
      <c r="KFV7" s="414"/>
      <c r="KFW7" s="414"/>
      <c r="KFX7" s="414"/>
      <c r="KFY7" s="414"/>
      <c r="KFZ7" s="414"/>
      <c r="KGA7" s="414"/>
      <c r="KGB7" s="414"/>
      <c r="KGC7" s="414"/>
      <c r="KGD7" s="414"/>
      <c r="KGE7" s="414"/>
      <c r="KGF7" s="414"/>
      <c r="KGG7" s="414"/>
      <c r="KGH7" s="414"/>
      <c r="KGI7" s="414"/>
      <c r="KGJ7" s="414"/>
      <c r="KGK7" s="414"/>
      <c r="KGL7" s="414"/>
      <c r="KGM7" s="414"/>
      <c r="KGN7" s="414"/>
      <c r="KGO7" s="414"/>
      <c r="KGP7" s="414"/>
      <c r="KGQ7" s="414"/>
      <c r="KGR7" s="414"/>
      <c r="KGS7" s="414"/>
      <c r="KGT7" s="414"/>
      <c r="KGU7" s="414"/>
      <c r="KGV7" s="414"/>
      <c r="KGW7" s="414"/>
      <c r="KGX7" s="414"/>
      <c r="KGY7" s="414"/>
      <c r="KGZ7" s="414"/>
      <c r="KHA7" s="414"/>
      <c r="KHB7" s="414"/>
      <c r="KHC7" s="414"/>
      <c r="KHD7" s="414"/>
      <c r="KHE7" s="414"/>
      <c r="KHF7" s="414"/>
      <c r="KHG7" s="414"/>
      <c r="KHH7" s="414"/>
      <c r="KHI7" s="414"/>
      <c r="KHJ7" s="414"/>
      <c r="KHK7" s="414"/>
      <c r="KHL7" s="414"/>
      <c r="KHM7" s="414"/>
      <c r="KHN7" s="414"/>
      <c r="KHO7" s="414"/>
      <c r="KHP7" s="414"/>
      <c r="KHQ7" s="414"/>
      <c r="KHR7" s="414"/>
      <c r="KHS7" s="414"/>
      <c r="KHT7" s="414"/>
      <c r="KHU7" s="414"/>
      <c r="KHV7" s="414"/>
      <c r="KHW7" s="414"/>
      <c r="KHX7" s="414"/>
      <c r="KHY7" s="414"/>
      <c r="KHZ7" s="414"/>
      <c r="KIA7" s="414"/>
      <c r="KIB7" s="414"/>
      <c r="KIC7" s="414"/>
      <c r="KID7" s="414"/>
      <c r="KIE7" s="414"/>
      <c r="KIF7" s="414"/>
      <c r="KIG7" s="414"/>
      <c r="KIH7" s="414"/>
      <c r="KII7" s="414"/>
      <c r="KIJ7" s="414"/>
      <c r="KIK7" s="414"/>
      <c r="KIL7" s="414"/>
      <c r="KIM7" s="414"/>
      <c r="KIN7" s="414"/>
      <c r="KIO7" s="414"/>
      <c r="KIP7" s="414"/>
      <c r="KIQ7" s="414"/>
      <c r="KIR7" s="414"/>
      <c r="KIS7" s="414"/>
      <c r="KIT7" s="414"/>
      <c r="KIU7" s="414"/>
      <c r="KIV7" s="414"/>
      <c r="KIW7" s="414"/>
      <c r="KIX7" s="414"/>
      <c r="KIY7" s="414"/>
      <c r="KIZ7" s="414"/>
      <c r="KJA7" s="414"/>
      <c r="KJB7" s="414"/>
      <c r="KJC7" s="414"/>
      <c r="KJD7" s="414"/>
      <c r="KJE7" s="414"/>
      <c r="KJF7" s="414"/>
      <c r="KJG7" s="414"/>
      <c r="KJH7" s="414"/>
      <c r="KJI7" s="414"/>
      <c r="KJJ7" s="414"/>
      <c r="KJK7" s="414"/>
      <c r="KJL7" s="414"/>
      <c r="KJM7" s="414"/>
      <c r="KJN7" s="414"/>
      <c r="KJO7" s="414"/>
      <c r="KJP7" s="414"/>
      <c r="KJQ7" s="414"/>
      <c r="KJR7" s="414"/>
      <c r="KJS7" s="414"/>
      <c r="KJT7" s="414"/>
      <c r="KJU7" s="414"/>
      <c r="KJV7" s="414"/>
      <c r="KJW7" s="414"/>
      <c r="KJX7" s="414"/>
      <c r="KJY7" s="414"/>
      <c r="KJZ7" s="414"/>
      <c r="KKA7" s="414"/>
      <c r="KKB7" s="414"/>
      <c r="KKC7" s="414"/>
      <c r="KKD7" s="414"/>
      <c r="KKE7" s="414"/>
      <c r="KKF7" s="414"/>
      <c r="KKG7" s="414"/>
      <c r="KKH7" s="414"/>
      <c r="KKI7" s="414"/>
      <c r="KKJ7" s="414"/>
      <c r="KKK7" s="414"/>
      <c r="KKL7" s="414"/>
      <c r="KKM7" s="414"/>
      <c r="KKN7" s="414"/>
      <c r="KKO7" s="414"/>
      <c r="KKP7" s="414"/>
      <c r="KKQ7" s="414"/>
      <c r="KKR7" s="414"/>
      <c r="KKS7" s="414"/>
      <c r="KKT7" s="414"/>
      <c r="KKU7" s="414"/>
      <c r="KKV7" s="414"/>
      <c r="KKW7" s="414"/>
      <c r="KKX7" s="414"/>
      <c r="KKY7" s="414"/>
      <c r="KKZ7" s="414"/>
      <c r="KLA7" s="414"/>
      <c r="KLB7" s="414"/>
      <c r="KLC7" s="414"/>
      <c r="KLD7" s="414"/>
      <c r="KLE7" s="414"/>
      <c r="KLF7" s="414"/>
      <c r="KLG7" s="414"/>
      <c r="KLH7" s="414"/>
      <c r="KLI7" s="414"/>
      <c r="KLJ7" s="414"/>
      <c r="KLK7" s="414"/>
      <c r="KLL7" s="414"/>
      <c r="KLM7" s="414"/>
      <c r="KLN7" s="414"/>
      <c r="KLO7" s="414"/>
      <c r="KLP7" s="414"/>
      <c r="KLQ7" s="414"/>
      <c r="KLR7" s="414"/>
      <c r="KLS7" s="414"/>
      <c r="KLT7" s="414"/>
      <c r="KLU7" s="414"/>
      <c r="KLV7" s="414"/>
      <c r="KLW7" s="414"/>
      <c r="KLX7" s="414"/>
      <c r="KLY7" s="414"/>
      <c r="KLZ7" s="414"/>
      <c r="KMA7" s="414"/>
      <c r="KMB7" s="414"/>
      <c r="KMC7" s="414"/>
      <c r="KMD7" s="414"/>
      <c r="KME7" s="414"/>
      <c r="KMF7" s="414"/>
      <c r="KMG7" s="414"/>
      <c r="KMH7" s="414"/>
      <c r="KMI7" s="414"/>
      <c r="KMJ7" s="414"/>
      <c r="KMK7" s="414"/>
      <c r="KML7" s="414"/>
      <c r="KMM7" s="414"/>
      <c r="KMN7" s="414"/>
      <c r="KMO7" s="414"/>
      <c r="KMP7" s="414"/>
      <c r="KMQ7" s="414"/>
      <c r="KMR7" s="414"/>
      <c r="KMS7" s="414"/>
      <c r="KMT7" s="414"/>
      <c r="KMU7" s="414"/>
      <c r="KMV7" s="414"/>
      <c r="KMW7" s="414"/>
      <c r="KMX7" s="414"/>
      <c r="KMY7" s="414"/>
      <c r="KMZ7" s="414"/>
      <c r="KNA7" s="414"/>
      <c r="KNB7" s="414"/>
      <c r="KNC7" s="414"/>
      <c r="KND7" s="414"/>
      <c r="KNE7" s="414"/>
      <c r="KNF7" s="414"/>
      <c r="KNG7" s="414"/>
      <c r="KNH7" s="414"/>
      <c r="KNI7" s="414"/>
      <c r="KNJ7" s="414"/>
      <c r="KNK7" s="414"/>
      <c r="KNL7" s="414"/>
      <c r="KNM7" s="414"/>
      <c r="KNN7" s="414"/>
      <c r="KNO7" s="414"/>
      <c r="KNP7" s="414"/>
      <c r="KNQ7" s="414"/>
      <c r="KNR7" s="414"/>
      <c r="KNS7" s="414"/>
      <c r="KNT7" s="414"/>
      <c r="KNU7" s="414"/>
      <c r="KNV7" s="414"/>
      <c r="KNW7" s="414"/>
      <c r="KNX7" s="414"/>
      <c r="KNY7" s="414"/>
      <c r="KNZ7" s="414"/>
      <c r="KOA7" s="414"/>
      <c r="KOB7" s="414"/>
      <c r="KOC7" s="414"/>
      <c r="KOD7" s="414"/>
      <c r="KOE7" s="414"/>
      <c r="KOF7" s="414"/>
      <c r="KOG7" s="414"/>
      <c r="KOH7" s="414"/>
      <c r="KOI7" s="414"/>
      <c r="KOJ7" s="414"/>
      <c r="KOK7" s="414"/>
      <c r="KOL7" s="414"/>
      <c r="KOM7" s="414"/>
      <c r="KON7" s="414"/>
      <c r="KOO7" s="414"/>
      <c r="KOP7" s="414"/>
      <c r="KOQ7" s="414"/>
      <c r="KOR7" s="414"/>
      <c r="KOS7" s="414"/>
      <c r="KOT7" s="414"/>
      <c r="KOU7" s="414"/>
      <c r="KOV7" s="414"/>
      <c r="KOW7" s="414"/>
      <c r="KOX7" s="414"/>
      <c r="KOY7" s="414"/>
      <c r="KOZ7" s="414"/>
      <c r="KPA7" s="414"/>
      <c r="KPB7" s="414"/>
      <c r="KPC7" s="414"/>
      <c r="KPD7" s="414"/>
      <c r="KPE7" s="414"/>
      <c r="KPF7" s="414"/>
      <c r="KPG7" s="414"/>
      <c r="KPH7" s="414"/>
      <c r="KPI7" s="414"/>
      <c r="KPJ7" s="414"/>
      <c r="KPK7" s="414"/>
      <c r="KPL7" s="414"/>
      <c r="KPM7" s="414"/>
      <c r="KPN7" s="414"/>
      <c r="KPO7" s="414"/>
      <c r="KPP7" s="414"/>
      <c r="KPQ7" s="414"/>
      <c r="KPR7" s="414"/>
      <c r="KPS7" s="414"/>
      <c r="KPT7" s="414"/>
      <c r="KPU7" s="414"/>
      <c r="KPV7" s="414"/>
      <c r="KPW7" s="414"/>
      <c r="KPX7" s="414"/>
      <c r="KPY7" s="414"/>
      <c r="KPZ7" s="414"/>
      <c r="KQA7" s="414"/>
      <c r="KQB7" s="414"/>
      <c r="KQC7" s="414"/>
      <c r="KQD7" s="414"/>
      <c r="KQE7" s="414"/>
      <c r="KQF7" s="414"/>
      <c r="KQG7" s="414"/>
      <c r="KQH7" s="414"/>
      <c r="KQI7" s="414"/>
      <c r="KQJ7" s="414"/>
      <c r="KQK7" s="414"/>
      <c r="KQL7" s="414"/>
      <c r="KQM7" s="414"/>
      <c r="KQN7" s="414"/>
      <c r="KQO7" s="414"/>
      <c r="KQP7" s="414"/>
      <c r="KQQ7" s="414"/>
      <c r="KQR7" s="414"/>
      <c r="KQS7" s="414"/>
      <c r="KQT7" s="414"/>
      <c r="KQU7" s="414"/>
      <c r="KQV7" s="414"/>
      <c r="KQW7" s="414"/>
      <c r="KQX7" s="414"/>
      <c r="KQY7" s="414"/>
      <c r="KQZ7" s="414"/>
      <c r="KRA7" s="414"/>
      <c r="KRB7" s="414"/>
      <c r="KRC7" s="414"/>
      <c r="KRD7" s="414"/>
      <c r="KRE7" s="414"/>
      <c r="KRF7" s="414"/>
      <c r="KRG7" s="414"/>
      <c r="KRH7" s="414"/>
      <c r="KRI7" s="414"/>
      <c r="KRJ7" s="414"/>
      <c r="KRK7" s="414"/>
      <c r="KRL7" s="414"/>
      <c r="KRM7" s="414"/>
      <c r="KRN7" s="414"/>
      <c r="KRO7" s="414"/>
      <c r="KRP7" s="414"/>
      <c r="KRQ7" s="414"/>
      <c r="KRR7" s="414"/>
      <c r="KRS7" s="414"/>
      <c r="KRT7" s="414"/>
      <c r="KRU7" s="414"/>
      <c r="KRV7" s="414"/>
      <c r="KRW7" s="414"/>
      <c r="KRX7" s="414"/>
      <c r="KRY7" s="414"/>
      <c r="KRZ7" s="414"/>
      <c r="KSA7" s="414"/>
      <c r="KSB7" s="414"/>
      <c r="KSC7" s="414"/>
      <c r="KSD7" s="414"/>
      <c r="KSE7" s="414"/>
      <c r="KSF7" s="414"/>
      <c r="KSG7" s="414"/>
      <c r="KSH7" s="414"/>
      <c r="KSI7" s="414"/>
      <c r="KSJ7" s="414"/>
      <c r="KSK7" s="414"/>
      <c r="KSL7" s="414"/>
      <c r="KSM7" s="414"/>
      <c r="KSN7" s="414"/>
      <c r="KSO7" s="414"/>
      <c r="KSP7" s="414"/>
      <c r="KSQ7" s="414"/>
      <c r="KSR7" s="414"/>
      <c r="KSS7" s="414"/>
      <c r="KST7" s="414"/>
      <c r="KSU7" s="414"/>
      <c r="KSV7" s="414"/>
      <c r="KSW7" s="414"/>
      <c r="KSX7" s="414"/>
      <c r="KSY7" s="414"/>
      <c r="KSZ7" s="414"/>
      <c r="KTA7" s="414"/>
      <c r="KTB7" s="414"/>
      <c r="KTC7" s="414"/>
      <c r="KTD7" s="414"/>
      <c r="KTE7" s="414"/>
      <c r="KTF7" s="414"/>
      <c r="KTG7" s="414"/>
      <c r="KTH7" s="414"/>
      <c r="KTI7" s="414"/>
      <c r="KTJ7" s="414"/>
      <c r="KTK7" s="414"/>
      <c r="KTL7" s="414"/>
      <c r="KTM7" s="414"/>
      <c r="KTN7" s="414"/>
      <c r="KTO7" s="414"/>
      <c r="KTP7" s="414"/>
      <c r="KTQ7" s="414"/>
      <c r="KTR7" s="414"/>
      <c r="KTS7" s="414"/>
      <c r="KTT7" s="414"/>
      <c r="KTU7" s="414"/>
      <c r="KTV7" s="414"/>
      <c r="KTW7" s="414"/>
      <c r="KTX7" s="414"/>
      <c r="KTY7" s="414"/>
      <c r="KTZ7" s="414"/>
      <c r="KUA7" s="414"/>
      <c r="KUB7" s="414"/>
      <c r="KUC7" s="414"/>
      <c r="KUD7" s="414"/>
      <c r="KUE7" s="414"/>
      <c r="KUF7" s="414"/>
      <c r="KUG7" s="414"/>
      <c r="KUH7" s="414"/>
      <c r="KUI7" s="414"/>
      <c r="KUJ7" s="414"/>
      <c r="KUK7" s="414"/>
      <c r="KUL7" s="414"/>
      <c r="KUM7" s="414"/>
      <c r="KUN7" s="414"/>
      <c r="KUO7" s="414"/>
      <c r="KUP7" s="414"/>
      <c r="KUQ7" s="414"/>
      <c r="KUR7" s="414"/>
      <c r="KUS7" s="414"/>
      <c r="KUT7" s="414"/>
      <c r="KUU7" s="414"/>
      <c r="KUV7" s="414"/>
      <c r="KUW7" s="414"/>
      <c r="KUX7" s="414"/>
      <c r="KUY7" s="414"/>
      <c r="KUZ7" s="414"/>
      <c r="KVA7" s="414"/>
      <c r="KVB7" s="414"/>
      <c r="KVC7" s="414"/>
      <c r="KVD7" s="414"/>
      <c r="KVE7" s="414"/>
      <c r="KVF7" s="414"/>
      <c r="KVG7" s="414"/>
      <c r="KVH7" s="414"/>
      <c r="KVI7" s="414"/>
      <c r="KVJ7" s="414"/>
      <c r="KVK7" s="414"/>
      <c r="KVL7" s="414"/>
      <c r="KVM7" s="414"/>
      <c r="KVN7" s="414"/>
      <c r="KVO7" s="414"/>
      <c r="KVP7" s="414"/>
      <c r="KVQ7" s="414"/>
      <c r="KVR7" s="414"/>
      <c r="KVS7" s="414"/>
      <c r="KVT7" s="414"/>
      <c r="KVU7" s="414"/>
      <c r="KVV7" s="414"/>
      <c r="KVW7" s="414"/>
      <c r="KVX7" s="414"/>
      <c r="KVY7" s="414"/>
      <c r="KVZ7" s="414"/>
      <c r="KWA7" s="414"/>
      <c r="KWB7" s="414"/>
      <c r="KWC7" s="414"/>
      <c r="KWD7" s="414"/>
      <c r="KWE7" s="414"/>
      <c r="KWF7" s="414"/>
      <c r="KWG7" s="414"/>
      <c r="KWH7" s="414"/>
      <c r="KWI7" s="414"/>
      <c r="KWJ7" s="414"/>
      <c r="KWK7" s="414"/>
      <c r="KWL7" s="414"/>
      <c r="KWM7" s="414"/>
      <c r="KWN7" s="414"/>
      <c r="KWO7" s="414"/>
      <c r="KWP7" s="414"/>
      <c r="KWQ7" s="414"/>
      <c r="KWR7" s="414"/>
      <c r="KWS7" s="414"/>
      <c r="KWT7" s="414"/>
      <c r="KWU7" s="414"/>
      <c r="KWV7" s="414"/>
      <c r="KWW7" s="414"/>
      <c r="KWX7" s="414"/>
      <c r="KWY7" s="414"/>
      <c r="KWZ7" s="414"/>
      <c r="KXA7" s="414"/>
      <c r="KXB7" s="414"/>
      <c r="KXC7" s="414"/>
      <c r="KXD7" s="414"/>
      <c r="KXE7" s="414"/>
      <c r="KXF7" s="414"/>
      <c r="KXG7" s="414"/>
      <c r="KXH7" s="414"/>
      <c r="KXI7" s="414"/>
      <c r="KXJ7" s="414"/>
      <c r="KXK7" s="414"/>
      <c r="KXL7" s="414"/>
      <c r="KXM7" s="414"/>
      <c r="KXN7" s="414"/>
      <c r="KXO7" s="414"/>
      <c r="KXP7" s="414"/>
      <c r="KXQ7" s="414"/>
      <c r="KXR7" s="414"/>
      <c r="KXS7" s="414"/>
      <c r="KXT7" s="414"/>
      <c r="KXU7" s="414"/>
      <c r="KXV7" s="414"/>
      <c r="KXW7" s="414"/>
      <c r="KXX7" s="414"/>
      <c r="KXY7" s="414"/>
      <c r="KXZ7" s="414"/>
      <c r="KYA7" s="414"/>
      <c r="KYB7" s="414"/>
      <c r="KYC7" s="414"/>
      <c r="KYD7" s="414"/>
      <c r="KYE7" s="414"/>
      <c r="KYF7" s="414"/>
      <c r="KYG7" s="414"/>
      <c r="KYH7" s="414"/>
      <c r="KYI7" s="414"/>
      <c r="KYJ7" s="414"/>
      <c r="KYK7" s="414"/>
      <c r="KYL7" s="414"/>
      <c r="KYM7" s="414"/>
      <c r="KYN7" s="414"/>
      <c r="KYO7" s="414"/>
      <c r="KYP7" s="414"/>
      <c r="KYQ7" s="414"/>
      <c r="KYR7" s="414"/>
      <c r="KYS7" s="414"/>
      <c r="KYT7" s="414"/>
      <c r="KYU7" s="414"/>
      <c r="KYV7" s="414"/>
      <c r="KYW7" s="414"/>
      <c r="KYX7" s="414"/>
      <c r="KYY7" s="414"/>
      <c r="KYZ7" s="414"/>
      <c r="KZA7" s="414"/>
      <c r="KZB7" s="414"/>
      <c r="KZC7" s="414"/>
      <c r="KZD7" s="414"/>
      <c r="KZE7" s="414"/>
      <c r="KZF7" s="414"/>
      <c r="KZG7" s="414"/>
      <c r="KZH7" s="414"/>
      <c r="KZI7" s="414"/>
      <c r="KZJ7" s="414"/>
      <c r="KZK7" s="414"/>
      <c r="KZL7" s="414"/>
      <c r="KZM7" s="414"/>
      <c r="KZN7" s="414"/>
      <c r="KZO7" s="414"/>
      <c r="KZP7" s="414"/>
      <c r="KZQ7" s="414"/>
      <c r="KZR7" s="414"/>
      <c r="KZS7" s="414"/>
      <c r="KZT7" s="414"/>
      <c r="KZU7" s="414"/>
      <c r="KZV7" s="414"/>
      <c r="KZW7" s="414"/>
      <c r="KZX7" s="414"/>
      <c r="KZY7" s="414"/>
      <c r="KZZ7" s="414"/>
      <c r="LAA7" s="414"/>
      <c r="LAB7" s="414"/>
      <c r="LAC7" s="414"/>
      <c r="LAD7" s="414"/>
      <c r="LAE7" s="414"/>
      <c r="LAF7" s="414"/>
      <c r="LAG7" s="414"/>
      <c r="LAH7" s="414"/>
      <c r="LAI7" s="414"/>
      <c r="LAJ7" s="414"/>
      <c r="LAK7" s="414"/>
      <c r="LAL7" s="414"/>
      <c r="LAM7" s="414"/>
      <c r="LAN7" s="414"/>
      <c r="LAO7" s="414"/>
      <c r="LAP7" s="414"/>
      <c r="LAQ7" s="414"/>
      <c r="LAR7" s="414"/>
      <c r="LAS7" s="414"/>
      <c r="LAT7" s="414"/>
      <c r="LAU7" s="414"/>
      <c r="LAV7" s="414"/>
      <c r="LAW7" s="414"/>
      <c r="LAX7" s="414"/>
      <c r="LAY7" s="414"/>
      <c r="LAZ7" s="414"/>
      <c r="LBA7" s="414"/>
      <c r="LBB7" s="414"/>
      <c r="LBC7" s="414"/>
      <c r="LBD7" s="414"/>
      <c r="LBE7" s="414"/>
      <c r="LBF7" s="414"/>
      <c r="LBG7" s="414"/>
      <c r="LBH7" s="414"/>
      <c r="LBI7" s="414"/>
      <c r="LBJ7" s="414"/>
      <c r="LBK7" s="414"/>
      <c r="LBL7" s="414"/>
      <c r="LBM7" s="414"/>
      <c r="LBN7" s="414"/>
      <c r="LBO7" s="414"/>
      <c r="LBP7" s="414"/>
      <c r="LBQ7" s="414"/>
      <c r="LBR7" s="414"/>
      <c r="LBS7" s="414"/>
      <c r="LBT7" s="414"/>
      <c r="LBU7" s="414"/>
      <c r="LBV7" s="414"/>
      <c r="LBW7" s="414"/>
      <c r="LBX7" s="414"/>
      <c r="LBY7" s="414"/>
      <c r="LBZ7" s="414"/>
      <c r="LCA7" s="414"/>
      <c r="LCB7" s="414"/>
      <c r="LCC7" s="414"/>
      <c r="LCD7" s="414"/>
      <c r="LCE7" s="414"/>
      <c r="LCF7" s="414"/>
      <c r="LCG7" s="414"/>
      <c r="LCH7" s="414"/>
      <c r="LCI7" s="414"/>
      <c r="LCJ7" s="414"/>
      <c r="LCK7" s="414"/>
      <c r="LCL7" s="414"/>
      <c r="LCM7" s="414"/>
      <c r="LCN7" s="414"/>
      <c r="LCO7" s="414"/>
      <c r="LCP7" s="414"/>
      <c r="LCQ7" s="414"/>
      <c r="LCR7" s="414"/>
      <c r="LCS7" s="414"/>
      <c r="LCT7" s="414"/>
      <c r="LCU7" s="414"/>
      <c r="LCV7" s="414"/>
      <c r="LCW7" s="414"/>
      <c r="LCX7" s="414"/>
      <c r="LCY7" s="414"/>
      <c r="LCZ7" s="414"/>
      <c r="LDA7" s="414"/>
      <c r="LDB7" s="414"/>
      <c r="LDC7" s="414"/>
      <c r="LDD7" s="414"/>
      <c r="LDE7" s="414"/>
      <c r="LDF7" s="414"/>
      <c r="LDG7" s="414"/>
      <c r="LDH7" s="414"/>
      <c r="LDI7" s="414"/>
      <c r="LDJ7" s="414"/>
      <c r="LDK7" s="414"/>
      <c r="LDL7" s="414"/>
      <c r="LDM7" s="414"/>
      <c r="LDN7" s="414"/>
      <c r="LDO7" s="414"/>
      <c r="LDP7" s="414"/>
      <c r="LDQ7" s="414"/>
      <c r="LDR7" s="414"/>
      <c r="LDS7" s="414"/>
      <c r="LDT7" s="414"/>
      <c r="LDU7" s="414"/>
      <c r="LDV7" s="414"/>
      <c r="LDW7" s="414"/>
      <c r="LDX7" s="414"/>
      <c r="LDY7" s="414"/>
      <c r="LDZ7" s="414"/>
      <c r="LEA7" s="414"/>
      <c r="LEB7" s="414"/>
      <c r="LEC7" s="414"/>
      <c r="LED7" s="414"/>
      <c r="LEE7" s="414"/>
      <c r="LEF7" s="414"/>
      <c r="LEG7" s="414"/>
      <c r="LEH7" s="414"/>
      <c r="LEI7" s="414"/>
      <c r="LEJ7" s="414"/>
      <c r="LEK7" s="414"/>
      <c r="LEL7" s="414"/>
      <c r="LEM7" s="414"/>
      <c r="LEN7" s="414"/>
      <c r="LEO7" s="414"/>
      <c r="LEP7" s="414"/>
      <c r="LEQ7" s="414"/>
      <c r="LER7" s="414"/>
      <c r="LES7" s="414"/>
      <c r="LET7" s="414"/>
      <c r="LEU7" s="414"/>
      <c r="LEV7" s="414"/>
      <c r="LEW7" s="414"/>
      <c r="LEX7" s="414"/>
      <c r="LEY7" s="414"/>
      <c r="LEZ7" s="414"/>
      <c r="LFA7" s="414"/>
      <c r="LFB7" s="414"/>
      <c r="LFC7" s="414"/>
      <c r="LFD7" s="414"/>
      <c r="LFE7" s="414"/>
      <c r="LFF7" s="414"/>
      <c r="LFG7" s="414"/>
      <c r="LFH7" s="414"/>
      <c r="LFI7" s="414"/>
      <c r="LFJ7" s="414"/>
      <c r="LFK7" s="414"/>
      <c r="LFL7" s="414"/>
      <c r="LFM7" s="414"/>
      <c r="LFN7" s="414"/>
      <c r="LFO7" s="414"/>
      <c r="LFP7" s="414"/>
      <c r="LFQ7" s="414"/>
      <c r="LFR7" s="414"/>
      <c r="LFS7" s="414"/>
      <c r="LFT7" s="414"/>
      <c r="LFU7" s="414"/>
      <c r="LFV7" s="414"/>
      <c r="LFW7" s="414"/>
      <c r="LFX7" s="414"/>
      <c r="LFY7" s="414"/>
      <c r="LFZ7" s="414"/>
      <c r="LGA7" s="414"/>
      <c r="LGB7" s="414"/>
      <c r="LGC7" s="414"/>
      <c r="LGD7" s="414"/>
      <c r="LGE7" s="414"/>
      <c r="LGF7" s="414"/>
      <c r="LGG7" s="414"/>
      <c r="LGH7" s="414"/>
      <c r="LGI7" s="414"/>
      <c r="LGJ7" s="414"/>
      <c r="LGK7" s="414"/>
      <c r="LGL7" s="414"/>
      <c r="LGM7" s="414"/>
      <c r="LGN7" s="414"/>
      <c r="LGO7" s="414"/>
      <c r="LGP7" s="414"/>
      <c r="LGQ7" s="414"/>
      <c r="LGR7" s="414"/>
      <c r="LGS7" s="414"/>
      <c r="LGT7" s="414"/>
      <c r="LGU7" s="414"/>
      <c r="LGV7" s="414"/>
      <c r="LGW7" s="414"/>
      <c r="LGX7" s="414"/>
      <c r="LGY7" s="414"/>
      <c r="LGZ7" s="414"/>
      <c r="LHA7" s="414"/>
      <c r="LHB7" s="414"/>
      <c r="LHC7" s="414"/>
      <c r="LHD7" s="414"/>
      <c r="LHE7" s="414"/>
      <c r="LHF7" s="414"/>
      <c r="LHG7" s="414"/>
      <c r="LHH7" s="414"/>
      <c r="LHI7" s="414"/>
      <c r="LHJ7" s="414"/>
      <c r="LHK7" s="414"/>
      <c r="LHL7" s="414"/>
      <c r="LHM7" s="414"/>
      <c r="LHN7" s="414"/>
      <c r="LHO7" s="414"/>
      <c r="LHP7" s="414"/>
      <c r="LHQ7" s="414"/>
      <c r="LHR7" s="414"/>
      <c r="LHS7" s="414"/>
      <c r="LHT7" s="414"/>
      <c r="LHU7" s="414"/>
      <c r="LHV7" s="414"/>
      <c r="LHW7" s="414"/>
      <c r="LHX7" s="414"/>
      <c r="LHY7" s="414"/>
      <c r="LHZ7" s="414"/>
      <c r="LIA7" s="414"/>
      <c r="LIB7" s="414"/>
      <c r="LIC7" s="414"/>
      <c r="LID7" s="414"/>
      <c r="LIE7" s="414"/>
      <c r="LIF7" s="414"/>
      <c r="LIG7" s="414"/>
      <c r="LIH7" s="414"/>
      <c r="LII7" s="414"/>
      <c r="LIJ7" s="414"/>
      <c r="LIK7" s="414"/>
      <c r="LIL7" s="414"/>
      <c r="LIM7" s="414"/>
      <c r="LIN7" s="414"/>
      <c r="LIO7" s="414"/>
      <c r="LIP7" s="414"/>
      <c r="LIQ7" s="414"/>
      <c r="LIR7" s="414"/>
      <c r="LIS7" s="414"/>
      <c r="LIT7" s="414"/>
      <c r="LIU7" s="414"/>
      <c r="LIV7" s="414"/>
      <c r="LIW7" s="414"/>
      <c r="LIX7" s="414"/>
      <c r="LIY7" s="414"/>
      <c r="LIZ7" s="414"/>
      <c r="LJA7" s="414"/>
      <c r="LJB7" s="414"/>
      <c r="LJC7" s="414"/>
      <c r="LJD7" s="414"/>
      <c r="LJE7" s="414"/>
      <c r="LJF7" s="414"/>
      <c r="LJG7" s="414"/>
      <c r="LJH7" s="414"/>
      <c r="LJI7" s="414"/>
      <c r="LJJ7" s="414"/>
      <c r="LJK7" s="414"/>
      <c r="LJL7" s="414"/>
      <c r="LJM7" s="414"/>
      <c r="LJN7" s="414"/>
      <c r="LJO7" s="414"/>
      <c r="LJP7" s="414"/>
      <c r="LJQ7" s="414"/>
      <c r="LJR7" s="414"/>
      <c r="LJS7" s="414"/>
      <c r="LJT7" s="414"/>
      <c r="LJU7" s="414"/>
      <c r="LJV7" s="414"/>
      <c r="LJW7" s="414"/>
      <c r="LJX7" s="414"/>
      <c r="LJY7" s="414"/>
      <c r="LJZ7" s="414"/>
      <c r="LKA7" s="414"/>
      <c r="LKB7" s="414"/>
      <c r="LKC7" s="414"/>
      <c r="LKD7" s="414"/>
      <c r="LKE7" s="414"/>
      <c r="LKF7" s="414"/>
      <c r="LKG7" s="414"/>
      <c r="LKH7" s="414"/>
      <c r="LKI7" s="414"/>
      <c r="LKJ7" s="414"/>
      <c r="LKK7" s="414"/>
      <c r="LKL7" s="414"/>
      <c r="LKM7" s="414"/>
      <c r="LKN7" s="414"/>
      <c r="LKO7" s="414"/>
      <c r="LKP7" s="414"/>
      <c r="LKQ7" s="414"/>
      <c r="LKR7" s="414"/>
      <c r="LKS7" s="414"/>
      <c r="LKT7" s="414"/>
      <c r="LKU7" s="414"/>
      <c r="LKV7" s="414"/>
      <c r="LKW7" s="414"/>
      <c r="LKX7" s="414"/>
      <c r="LKY7" s="414"/>
      <c r="LKZ7" s="414"/>
      <c r="LLA7" s="414"/>
      <c r="LLB7" s="414"/>
      <c r="LLC7" s="414"/>
      <c r="LLD7" s="414"/>
      <c r="LLE7" s="414"/>
      <c r="LLF7" s="414"/>
      <c r="LLG7" s="414"/>
      <c r="LLH7" s="414"/>
      <c r="LLI7" s="414"/>
      <c r="LLJ7" s="414"/>
      <c r="LLK7" s="414"/>
      <c r="LLL7" s="414"/>
      <c r="LLM7" s="414"/>
      <c r="LLN7" s="414"/>
      <c r="LLO7" s="414"/>
      <c r="LLP7" s="414"/>
      <c r="LLQ7" s="414"/>
      <c r="LLR7" s="414"/>
      <c r="LLS7" s="414"/>
      <c r="LLT7" s="414"/>
      <c r="LLU7" s="414"/>
      <c r="LLV7" s="414"/>
      <c r="LLW7" s="414"/>
      <c r="LLX7" s="414"/>
      <c r="LLY7" s="414"/>
      <c r="LLZ7" s="414"/>
      <c r="LMA7" s="414"/>
      <c r="LMB7" s="414"/>
      <c r="LMC7" s="414"/>
      <c r="LMD7" s="414"/>
      <c r="LME7" s="414"/>
      <c r="LMF7" s="414"/>
      <c r="LMG7" s="414"/>
      <c r="LMH7" s="414"/>
      <c r="LMI7" s="414"/>
      <c r="LMJ7" s="414"/>
      <c r="LMK7" s="414"/>
      <c r="LML7" s="414"/>
      <c r="LMM7" s="414"/>
      <c r="LMN7" s="414"/>
      <c r="LMO7" s="414"/>
      <c r="LMP7" s="414"/>
      <c r="LMQ7" s="414"/>
      <c r="LMR7" s="414"/>
      <c r="LMS7" s="414"/>
      <c r="LMT7" s="414"/>
      <c r="LMU7" s="414"/>
      <c r="LMV7" s="414"/>
      <c r="LMW7" s="414"/>
      <c r="LMX7" s="414"/>
      <c r="LMY7" s="414"/>
      <c r="LMZ7" s="414"/>
      <c r="LNA7" s="414"/>
      <c r="LNB7" s="414"/>
      <c r="LNC7" s="414"/>
      <c r="LND7" s="414"/>
      <c r="LNE7" s="414"/>
      <c r="LNF7" s="414"/>
      <c r="LNG7" s="414"/>
      <c r="LNH7" s="414"/>
      <c r="LNI7" s="414"/>
      <c r="LNJ7" s="414"/>
      <c r="LNK7" s="414"/>
      <c r="LNL7" s="414"/>
      <c r="LNM7" s="414"/>
      <c r="LNN7" s="414"/>
      <c r="LNO7" s="414"/>
      <c r="LNP7" s="414"/>
      <c r="LNQ7" s="414"/>
      <c r="LNR7" s="414"/>
      <c r="LNS7" s="414"/>
      <c r="LNT7" s="414"/>
      <c r="LNU7" s="414"/>
      <c r="LNV7" s="414"/>
      <c r="LNW7" s="414"/>
      <c r="LNX7" s="414"/>
      <c r="LNY7" s="414"/>
      <c r="LNZ7" s="414"/>
      <c r="LOA7" s="414"/>
      <c r="LOB7" s="414"/>
      <c r="LOC7" s="414"/>
      <c r="LOD7" s="414"/>
      <c r="LOE7" s="414"/>
      <c r="LOF7" s="414"/>
      <c r="LOG7" s="414"/>
      <c r="LOH7" s="414"/>
      <c r="LOI7" s="414"/>
      <c r="LOJ7" s="414"/>
      <c r="LOK7" s="414"/>
      <c r="LOL7" s="414"/>
      <c r="LOM7" s="414"/>
      <c r="LON7" s="414"/>
      <c r="LOO7" s="414"/>
      <c r="LOP7" s="414"/>
      <c r="LOQ7" s="414"/>
      <c r="LOR7" s="414"/>
      <c r="LOS7" s="414"/>
      <c r="LOT7" s="414"/>
      <c r="LOU7" s="414"/>
      <c r="LOV7" s="414"/>
      <c r="LOW7" s="414"/>
      <c r="LOX7" s="414"/>
      <c r="LOY7" s="414"/>
      <c r="LOZ7" s="414"/>
      <c r="LPA7" s="414"/>
      <c r="LPB7" s="414"/>
      <c r="LPC7" s="414"/>
      <c r="LPD7" s="414"/>
      <c r="LPE7" s="414"/>
      <c r="LPF7" s="414"/>
      <c r="LPG7" s="414"/>
      <c r="LPH7" s="414"/>
      <c r="LPI7" s="414"/>
      <c r="LPJ7" s="414"/>
      <c r="LPK7" s="414"/>
      <c r="LPL7" s="414"/>
      <c r="LPM7" s="414"/>
      <c r="LPN7" s="414"/>
      <c r="LPO7" s="414"/>
      <c r="LPP7" s="414"/>
      <c r="LPQ7" s="414"/>
      <c r="LPR7" s="414"/>
      <c r="LPS7" s="414"/>
      <c r="LPT7" s="414"/>
      <c r="LPU7" s="414"/>
      <c r="LPV7" s="414"/>
      <c r="LPW7" s="414"/>
      <c r="LPX7" s="414"/>
      <c r="LPY7" s="414"/>
      <c r="LPZ7" s="414"/>
      <c r="LQA7" s="414"/>
      <c r="LQB7" s="414"/>
      <c r="LQC7" s="414"/>
      <c r="LQD7" s="414"/>
      <c r="LQE7" s="414"/>
      <c r="LQF7" s="414"/>
      <c r="LQG7" s="414"/>
      <c r="LQH7" s="414"/>
      <c r="LQI7" s="414"/>
      <c r="LQJ7" s="414"/>
      <c r="LQK7" s="414"/>
      <c r="LQL7" s="414"/>
      <c r="LQM7" s="414"/>
      <c r="LQN7" s="414"/>
      <c r="LQO7" s="414"/>
      <c r="LQP7" s="414"/>
      <c r="LQQ7" s="414"/>
      <c r="LQR7" s="414"/>
      <c r="LQS7" s="414"/>
      <c r="LQT7" s="414"/>
      <c r="LQU7" s="414"/>
      <c r="LQV7" s="414"/>
      <c r="LQW7" s="414"/>
      <c r="LQX7" s="414"/>
      <c r="LQY7" s="414"/>
      <c r="LQZ7" s="414"/>
      <c r="LRA7" s="414"/>
      <c r="LRB7" s="414"/>
      <c r="LRC7" s="414"/>
      <c r="LRD7" s="414"/>
      <c r="LRE7" s="414"/>
      <c r="LRF7" s="414"/>
      <c r="LRG7" s="414"/>
      <c r="LRH7" s="414"/>
      <c r="LRI7" s="414"/>
      <c r="LRJ7" s="414"/>
      <c r="LRK7" s="414"/>
      <c r="LRL7" s="414"/>
      <c r="LRM7" s="414"/>
      <c r="LRN7" s="414"/>
      <c r="LRO7" s="414"/>
      <c r="LRP7" s="414"/>
      <c r="LRQ7" s="414"/>
      <c r="LRR7" s="414"/>
      <c r="LRS7" s="414"/>
      <c r="LRT7" s="414"/>
      <c r="LRU7" s="414"/>
      <c r="LRV7" s="414"/>
      <c r="LRW7" s="414"/>
      <c r="LRX7" s="414"/>
      <c r="LRY7" s="414"/>
      <c r="LRZ7" s="414"/>
      <c r="LSA7" s="414"/>
      <c r="LSB7" s="414"/>
      <c r="LSC7" s="414"/>
      <c r="LSD7" s="414"/>
      <c r="LSE7" s="414"/>
      <c r="LSF7" s="414"/>
      <c r="LSG7" s="414"/>
      <c r="LSH7" s="414"/>
      <c r="LSI7" s="414"/>
      <c r="LSJ7" s="414"/>
      <c r="LSK7" s="414"/>
      <c r="LSL7" s="414"/>
      <c r="LSM7" s="414"/>
      <c r="LSN7" s="414"/>
      <c r="LSO7" s="414"/>
      <c r="LSP7" s="414"/>
      <c r="LSQ7" s="414"/>
      <c r="LSR7" s="414"/>
      <c r="LSS7" s="414"/>
      <c r="LST7" s="414"/>
      <c r="LSU7" s="414"/>
      <c r="LSV7" s="414"/>
      <c r="LSW7" s="414"/>
      <c r="LSX7" s="414"/>
      <c r="LSY7" s="414"/>
      <c r="LSZ7" s="414"/>
      <c r="LTA7" s="414"/>
      <c r="LTB7" s="414"/>
      <c r="LTC7" s="414"/>
      <c r="LTD7" s="414"/>
      <c r="LTE7" s="414"/>
      <c r="LTF7" s="414"/>
      <c r="LTG7" s="414"/>
      <c r="LTH7" s="414"/>
      <c r="LTI7" s="414"/>
      <c r="LTJ7" s="414"/>
      <c r="LTK7" s="414"/>
      <c r="LTL7" s="414"/>
      <c r="LTM7" s="414"/>
      <c r="LTN7" s="414"/>
      <c r="LTO7" s="414"/>
      <c r="LTP7" s="414"/>
      <c r="LTQ7" s="414"/>
      <c r="LTR7" s="414"/>
      <c r="LTS7" s="414"/>
      <c r="LTT7" s="414"/>
      <c r="LTU7" s="414"/>
      <c r="LTV7" s="414"/>
      <c r="LTW7" s="414"/>
      <c r="LTX7" s="414"/>
      <c r="LTY7" s="414"/>
      <c r="LTZ7" s="414"/>
      <c r="LUA7" s="414"/>
      <c r="LUB7" s="414"/>
      <c r="LUC7" s="414"/>
      <c r="LUD7" s="414"/>
      <c r="LUE7" s="414"/>
      <c r="LUF7" s="414"/>
      <c r="LUG7" s="414"/>
      <c r="LUH7" s="414"/>
      <c r="LUI7" s="414"/>
      <c r="LUJ7" s="414"/>
      <c r="LUK7" s="414"/>
      <c r="LUL7" s="414"/>
      <c r="LUM7" s="414"/>
      <c r="LUN7" s="414"/>
      <c r="LUO7" s="414"/>
      <c r="LUP7" s="414"/>
      <c r="LUQ7" s="414"/>
      <c r="LUR7" s="414"/>
      <c r="LUS7" s="414"/>
      <c r="LUT7" s="414"/>
      <c r="LUU7" s="414"/>
      <c r="LUV7" s="414"/>
      <c r="LUW7" s="414"/>
      <c r="LUX7" s="414"/>
      <c r="LUY7" s="414"/>
      <c r="LUZ7" s="414"/>
      <c r="LVA7" s="414"/>
      <c r="LVB7" s="414"/>
      <c r="LVC7" s="414"/>
      <c r="LVD7" s="414"/>
      <c r="LVE7" s="414"/>
      <c r="LVF7" s="414"/>
      <c r="LVG7" s="414"/>
      <c r="LVH7" s="414"/>
      <c r="LVI7" s="414"/>
      <c r="LVJ7" s="414"/>
      <c r="LVK7" s="414"/>
      <c r="LVL7" s="414"/>
      <c r="LVM7" s="414"/>
      <c r="LVN7" s="414"/>
      <c r="LVO7" s="414"/>
      <c r="LVP7" s="414"/>
      <c r="LVQ7" s="414"/>
      <c r="LVR7" s="414"/>
      <c r="LVS7" s="414"/>
      <c r="LVT7" s="414"/>
      <c r="LVU7" s="414"/>
      <c r="LVV7" s="414"/>
      <c r="LVW7" s="414"/>
      <c r="LVX7" s="414"/>
      <c r="LVY7" s="414"/>
      <c r="LVZ7" s="414"/>
      <c r="LWA7" s="414"/>
      <c r="LWB7" s="414"/>
      <c r="LWC7" s="414"/>
      <c r="LWD7" s="414"/>
      <c r="LWE7" s="414"/>
      <c r="LWF7" s="414"/>
      <c r="LWG7" s="414"/>
      <c r="LWH7" s="414"/>
      <c r="LWI7" s="414"/>
      <c r="LWJ7" s="414"/>
      <c r="LWK7" s="414"/>
      <c r="LWL7" s="414"/>
      <c r="LWM7" s="414"/>
      <c r="LWN7" s="414"/>
      <c r="LWO7" s="414"/>
      <c r="LWP7" s="414"/>
      <c r="LWQ7" s="414"/>
      <c r="LWR7" s="414"/>
      <c r="LWS7" s="414"/>
      <c r="LWT7" s="414"/>
      <c r="LWU7" s="414"/>
      <c r="LWV7" s="414"/>
      <c r="LWW7" s="414"/>
      <c r="LWX7" s="414"/>
      <c r="LWY7" s="414"/>
      <c r="LWZ7" s="414"/>
      <c r="LXA7" s="414"/>
      <c r="LXB7" s="414"/>
      <c r="LXC7" s="414"/>
      <c r="LXD7" s="414"/>
      <c r="LXE7" s="414"/>
      <c r="LXF7" s="414"/>
      <c r="LXG7" s="414"/>
      <c r="LXH7" s="414"/>
      <c r="LXI7" s="414"/>
      <c r="LXJ7" s="414"/>
      <c r="LXK7" s="414"/>
      <c r="LXL7" s="414"/>
      <c r="LXM7" s="414"/>
      <c r="LXN7" s="414"/>
      <c r="LXO7" s="414"/>
      <c r="LXP7" s="414"/>
      <c r="LXQ7" s="414"/>
      <c r="LXR7" s="414"/>
      <c r="LXS7" s="414"/>
      <c r="LXT7" s="414"/>
      <c r="LXU7" s="414"/>
      <c r="LXV7" s="414"/>
      <c r="LXW7" s="414"/>
      <c r="LXX7" s="414"/>
      <c r="LXY7" s="414"/>
      <c r="LXZ7" s="414"/>
      <c r="LYA7" s="414"/>
      <c r="LYB7" s="414"/>
      <c r="LYC7" s="414"/>
      <c r="LYD7" s="414"/>
      <c r="LYE7" s="414"/>
      <c r="LYF7" s="414"/>
      <c r="LYG7" s="414"/>
      <c r="LYH7" s="414"/>
      <c r="LYI7" s="414"/>
      <c r="LYJ7" s="414"/>
      <c r="LYK7" s="414"/>
      <c r="LYL7" s="414"/>
      <c r="LYM7" s="414"/>
      <c r="LYN7" s="414"/>
      <c r="LYO7" s="414"/>
      <c r="LYP7" s="414"/>
      <c r="LYQ7" s="414"/>
      <c r="LYR7" s="414"/>
      <c r="LYS7" s="414"/>
      <c r="LYT7" s="414"/>
      <c r="LYU7" s="414"/>
      <c r="LYV7" s="414"/>
      <c r="LYW7" s="414"/>
      <c r="LYX7" s="414"/>
      <c r="LYY7" s="414"/>
      <c r="LYZ7" s="414"/>
      <c r="LZA7" s="414"/>
      <c r="LZB7" s="414"/>
      <c r="LZC7" s="414"/>
      <c r="LZD7" s="414"/>
      <c r="LZE7" s="414"/>
      <c r="LZF7" s="414"/>
      <c r="LZG7" s="414"/>
      <c r="LZH7" s="414"/>
      <c r="LZI7" s="414"/>
      <c r="LZJ7" s="414"/>
      <c r="LZK7" s="414"/>
      <c r="LZL7" s="414"/>
      <c r="LZM7" s="414"/>
      <c r="LZN7" s="414"/>
      <c r="LZO7" s="414"/>
      <c r="LZP7" s="414"/>
      <c r="LZQ7" s="414"/>
      <c r="LZR7" s="414"/>
      <c r="LZS7" s="414"/>
      <c r="LZT7" s="414"/>
      <c r="LZU7" s="414"/>
      <c r="LZV7" s="414"/>
      <c r="LZW7" s="414"/>
      <c r="LZX7" s="414"/>
      <c r="LZY7" s="414"/>
      <c r="LZZ7" s="414"/>
      <c r="MAA7" s="414"/>
      <c r="MAB7" s="414"/>
      <c r="MAC7" s="414"/>
      <c r="MAD7" s="414"/>
      <c r="MAE7" s="414"/>
      <c r="MAF7" s="414"/>
      <c r="MAG7" s="414"/>
      <c r="MAH7" s="414"/>
      <c r="MAI7" s="414"/>
      <c r="MAJ7" s="414"/>
      <c r="MAK7" s="414"/>
      <c r="MAL7" s="414"/>
      <c r="MAM7" s="414"/>
      <c r="MAN7" s="414"/>
      <c r="MAO7" s="414"/>
      <c r="MAP7" s="414"/>
      <c r="MAQ7" s="414"/>
      <c r="MAR7" s="414"/>
      <c r="MAS7" s="414"/>
      <c r="MAT7" s="414"/>
      <c r="MAU7" s="414"/>
      <c r="MAV7" s="414"/>
      <c r="MAW7" s="414"/>
      <c r="MAX7" s="414"/>
      <c r="MAY7" s="414"/>
      <c r="MAZ7" s="414"/>
      <c r="MBA7" s="414"/>
      <c r="MBB7" s="414"/>
      <c r="MBC7" s="414"/>
      <c r="MBD7" s="414"/>
      <c r="MBE7" s="414"/>
      <c r="MBF7" s="414"/>
      <c r="MBG7" s="414"/>
      <c r="MBH7" s="414"/>
      <c r="MBI7" s="414"/>
      <c r="MBJ7" s="414"/>
      <c r="MBK7" s="414"/>
      <c r="MBL7" s="414"/>
      <c r="MBM7" s="414"/>
      <c r="MBN7" s="414"/>
      <c r="MBO7" s="414"/>
      <c r="MBP7" s="414"/>
      <c r="MBQ7" s="414"/>
      <c r="MBR7" s="414"/>
      <c r="MBS7" s="414"/>
      <c r="MBT7" s="414"/>
      <c r="MBU7" s="414"/>
      <c r="MBV7" s="414"/>
      <c r="MBW7" s="414"/>
      <c r="MBX7" s="414"/>
      <c r="MBY7" s="414"/>
      <c r="MBZ7" s="414"/>
      <c r="MCA7" s="414"/>
      <c r="MCB7" s="414"/>
      <c r="MCC7" s="414"/>
      <c r="MCD7" s="414"/>
      <c r="MCE7" s="414"/>
      <c r="MCF7" s="414"/>
      <c r="MCG7" s="414"/>
      <c r="MCH7" s="414"/>
      <c r="MCI7" s="414"/>
      <c r="MCJ7" s="414"/>
      <c r="MCK7" s="414"/>
      <c r="MCL7" s="414"/>
      <c r="MCM7" s="414"/>
      <c r="MCN7" s="414"/>
      <c r="MCO7" s="414"/>
      <c r="MCP7" s="414"/>
      <c r="MCQ7" s="414"/>
      <c r="MCR7" s="414"/>
      <c r="MCS7" s="414"/>
      <c r="MCT7" s="414"/>
      <c r="MCU7" s="414"/>
      <c r="MCV7" s="414"/>
      <c r="MCW7" s="414"/>
      <c r="MCX7" s="414"/>
      <c r="MCY7" s="414"/>
      <c r="MCZ7" s="414"/>
      <c r="MDA7" s="414"/>
      <c r="MDB7" s="414"/>
      <c r="MDC7" s="414"/>
      <c r="MDD7" s="414"/>
      <c r="MDE7" s="414"/>
      <c r="MDF7" s="414"/>
      <c r="MDG7" s="414"/>
      <c r="MDH7" s="414"/>
      <c r="MDI7" s="414"/>
      <c r="MDJ7" s="414"/>
      <c r="MDK7" s="414"/>
      <c r="MDL7" s="414"/>
      <c r="MDM7" s="414"/>
      <c r="MDN7" s="414"/>
      <c r="MDO7" s="414"/>
      <c r="MDP7" s="414"/>
      <c r="MDQ7" s="414"/>
      <c r="MDR7" s="414"/>
      <c r="MDS7" s="414"/>
      <c r="MDT7" s="414"/>
      <c r="MDU7" s="414"/>
      <c r="MDV7" s="414"/>
      <c r="MDW7" s="414"/>
      <c r="MDX7" s="414"/>
      <c r="MDY7" s="414"/>
      <c r="MDZ7" s="414"/>
      <c r="MEA7" s="414"/>
      <c r="MEB7" s="414"/>
      <c r="MEC7" s="414"/>
      <c r="MED7" s="414"/>
      <c r="MEE7" s="414"/>
      <c r="MEF7" s="414"/>
      <c r="MEG7" s="414"/>
      <c r="MEH7" s="414"/>
      <c r="MEI7" s="414"/>
      <c r="MEJ7" s="414"/>
      <c r="MEK7" s="414"/>
      <c r="MEL7" s="414"/>
      <c r="MEM7" s="414"/>
      <c r="MEN7" s="414"/>
      <c r="MEO7" s="414"/>
      <c r="MEP7" s="414"/>
      <c r="MEQ7" s="414"/>
      <c r="MER7" s="414"/>
      <c r="MES7" s="414"/>
      <c r="MET7" s="414"/>
      <c r="MEU7" s="414"/>
      <c r="MEV7" s="414"/>
      <c r="MEW7" s="414"/>
      <c r="MEX7" s="414"/>
      <c r="MEY7" s="414"/>
      <c r="MEZ7" s="414"/>
      <c r="MFA7" s="414"/>
      <c r="MFB7" s="414"/>
      <c r="MFC7" s="414"/>
      <c r="MFD7" s="414"/>
      <c r="MFE7" s="414"/>
      <c r="MFF7" s="414"/>
      <c r="MFG7" s="414"/>
      <c r="MFH7" s="414"/>
      <c r="MFI7" s="414"/>
      <c r="MFJ7" s="414"/>
      <c r="MFK7" s="414"/>
      <c r="MFL7" s="414"/>
      <c r="MFM7" s="414"/>
      <c r="MFN7" s="414"/>
      <c r="MFO7" s="414"/>
      <c r="MFP7" s="414"/>
      <c r="MFQ7" s="414"/>
      <c r="MFR7" s="414"/>
      <c r="MFS7" s="414"/>
      <c r="MFT7" s="414"/>
      <c r="MFU7" s="414"/>
      <c r="MFV7" s="414"/>
      <c r="MFW7" s="414"/>
      <c r="MFX7" s="414"/>
      <c r="MFY7" s="414"/>
      <c r="MFZ7" s="414"/>
      <c r="MGA7" s="414"/>
      <c r="MGB7" s="414"/>
      <c r="MGC7" s="414"/>
      <c r="MGD7" s="414"/>
      <c r="MGE7" s="414"/>
      <c r="MGF7" s="414"/>
      <c r="MGG7" s="414"/>
      <c r="MGH7" s="414"/>
      <c r="MGI7" s="414"/>
      <c r="MGJ7" s="414"/>
      <c r="MGK7" s="414"/>
      <c r="MGL7" s="414"/>
      <c r="MGM7" s="414"/>
      <c r="MGN7" s="414"/>
      <c r="MGO7" s="414"/>
      <c r="MGP7" s="414"/>
      <c r="MGQ7" s="414"/>
      <c r="MGR7" s="414"/>
      <c r="MGS7" s="414"/>
      <c r="MGT7" s="414"/>
      <c r="MGU7" s="414"/>
      <c r="MGV7" s="414"/>
      <c r="MGW7" s="414"/>
      <c r="MGX7" s="414"/>
      <c r="MGY7" s="414"/>
      <c r="MGZ7" s="414"/>
      <c r="MHA7" s="414"/>
      <c r="MHB7" s="414"/>
      <c r="MHC7" s="414"/>
      <c r="MHD7" s="414"/>
      <c r="MHE7" s="414"/>
      <c r="MHF7" s="414"/>
      <c r="MHG7" s="414"/>
      <c r="MHH7" s="414"/>
      <c r="MHI7" s="414"/>
      <c r="MHJ7" s="414"/>
      <c r="MHK7" s="414"/>
      <c r="MHL7" s="414"/>
      <c r="MHM7" s="414"/>
      <c r="MHN7" s="414"/>
      <c r="MHO7" s="414"/>
      <c r="MHP7" s="414"/>
      <c r="MHQ7" s="414"/>
      <c r="MHR7" s="414"/>
      <c r="MHS7" s="414"/>
      <c r="MHT7" s="414"/>
      <c r="MHU7" s="414"/>
      <c r="MHV7" s="414"/>
      <c r="MHW7" s="414"/>
      <c r="MHX7" s="414"/>
      <c r="MHY7" s="414"/>
      <c r="MHZ7" s="414"/>
      <c r="MIA7" s="414"/>
      <c r="MIB7" s="414"/>
      <c r="MIC7" s="414"/>
      <c r="MID7" s="414"/>
      <c r="MIE7" s="414"/>
      <c r="MIF7" s="414"/>
      <c r="MIG7" s="414"/>
      <c r="MIH7" s="414"/>
      <c r="MII7" s="414"/>
      <c r="MIJ7" s="414"/>
      <c r="MIK7" s="414"/>
      <c r="MIL7" s="414"/>
      <c r="MIM7" s="414"/>
      <c r="MIN7" s="414"/>
      <c r="MIO7" s="414"/>
      <c r="MIP7" s="414"/>
      <c r="MIQ7" s="414"/>
      <c r="MIR7" s="414"/>
      <c r="MIS7" s="414"/>
      <c r="MIT7" s="414"/>
      <c r="MIU7" s="414"/>
      <c r="MIV7" s="414"/>
      <c r="MIW7" s="414"/>
      <c r="MIX7" s="414"/>
      <c r="MIY7" s="414"/>
      <c r="MIZ7" s="414"/>
      <c r="MJA7" s="414"/>
      <c r="MJB7" s="414"/>
      <c r="MJC7" s="414"/>
      <c r="MJD7" s="414"/>
      <c r="MJE7" s="414"/>
      <c r="MJF7" s="414"/>
      <c r="MJG7" s="414"/>
      <c r="MJH7" s="414"/>
      <c r="MJI7" s="414"/>
      <c r="MJJ7" s="414"/>
      <c r="MJK7" s="414"/>
      <c r="MJL7" s="414"/>
      <c r="MJM7" s="414"/>
      <c r="MJN7" s="414"/>
      <c r="MJO7" s="414"/>
      <c r="MJP7" s="414"/>
      <c r="MJQ7" s="414"/>
      <c r="MJR7" s="414"/>
      <c r="MJS7" s="414"/>
      <c r="MJT7" s="414"/>
      <c r="MJU7" s="414"/>
      <c r="MJV7" s="414"/>
      <c r="MJW7" s="414"/>
      <c r="MJX7" s="414"/>
      <c r="MJY7" s="414"/>
      <c r="MJZ7" s="414"/>
      <c r="MKA7" s="414"/>
      <c r="MKB7" s="414"/>
      <c r="MKC7" s="414"/>
      <c r="MKD7" s="414"/>
      <c r="MKE7" s="414"/>
      <c r="MKF7" s="414"/>
      <c r="MKG7" s="414"/>
      <c r="MKH7" s="414"/>
      <c r="MKI7" s="414"/>
      <c r="MKJ7" s="414"/>
      <c r="MKK7" s="414"/>
      <c r="MKL7" s="414"/>
      <c r="MKM7" s="414"/>
      <c r="MKN7" s="414"/>
      <c r="MKO7" s="414"/>
      <c r="MKP7" s="414"/>
      <c r="MKQ7" s="414"/>
      <c r="MKR7" s="414"/>
      <c r="MKS7" s="414"/>
      <c r="MKT7" s="414"/>
      <c r="MKU7" s="414"/>
      <c r="MKV7" s="414"/>
      <c r="MKW7" s="414"/>
      <c r="MKX7" s="414"/>
      <c r="MKY7" s="414"/>
      <c r="MKZ7" s="414"/>
      <c r="MLA7" s="414"/>
      <c r="MLB7" s="414"/>
      <c r="MLC7" s="414"/>
      <c r="MLD7" s="414"/>
      <c r="MLE7" s="414"/>
      <c r="MLF7" s="414"/>
      <c r="MLG7" s="414"/>
      <c r="MLH7" s="414"/>
      <c r="MLI7" s="414"/>
      <c r="MLJ7" s="414"/>
      <c r="MLK7" s="414"/>
      <c r="MLL7" s="414"/>
      <c r="MLM7" s="414"/>
      <c r="MLN7" s="414"/>
      <c r="MLO7" s="414"/>
      <c r="MLP7" s="414"/>
      <c r="MLQ7" s="414"/>
      <c r="MLR7" s="414"/>
      <c r="MLS7" s="414"/>
      <c r="MLT7" s="414"/>
      <c r="MLU7" s="414"/>
      <c r="MLV7" s="414"/>
      <c r="MLW7" s="414"/>
      <c r="MLX7" s="414"/>
      <c r="MLY7" s="414"/>
      <c r="MLZ7" s="414"/>
      <c r="MMA7" s="414"/>
      <c r="MMB7" s="414"/>
      <c r="MMC7" s="414"/>
      <c r="MMD7" s="414"/>
      <c r="MME7" s="414"/>
      <c r="MMF7" s="414"/>
      <c r="MMG7" s="414"/>
      <c r="MMH7" s="414"/>
      <c r="MMI7" s="414"/>
      <c r="MMJ7" s="414"/>
      <c r="MMK7" s="414"/>
      <c r="MML7" s="414"/>
      <c r="MMM7" s="414"/>
      <c r="MMN7" s="414"/>
      <c r="MMO7" s="414"/>
      <c r="MMP7" s="414"/>
      <c r="MMQ7" s="414"/>
      <c r="MMR7" s="414"/>
      <c r="MMS7" s="414"/>
      <c r="MMT7" s="414"/>
      <c r="MMU7" s="414"/>
      <c r="MMV7" s="414"/>
      <c r="MMW7" s="414"/>
      <c r="MMX7" s="414"/>
      <c r="MMY7" s="414"/>
      <c r="MMZ7" s="414"/>
      <c r="MNA7" s="414"/>
      <c r="MNB7" s="414"/>
      <c r="MNC7" s="414"/>
      <c r="MND7" s="414"/>
      <c r="MNE7" s="414"/>
      <c r="MNF7" s="414"/>
      <c r="MNG7" s="414"/>
      <c r="MNH7" s="414"/>
      <c r="MNI7" s="414"/>
      <c r="MNJ7" s="414"/>
      <c r="MNK7" s="414"/>
      <c r="MNL7" s="414"/>
      <c r="MNM7" s="414"/>
      <c r="MNN7" s="414"/>
      <c r="MNO7" s="414"/>
      <c r="MNP7" s="414"/>
      <c r="MNQ7" s="414"/>
      <c r="MNR7" s="414"/>
      <c r="MNS7" s="414"/>
      <c r="MNT7" s="414"/>
      <c r="MNU7" s="414"/>
      <c r="MNV7" s="414"/>
      <c r="MNW7" s="414"/>
      <c r="MNX7" s="414"/>
      <c r="MNY7" s="414"/>
      <c r="MNZ7" s="414"/>
      <c r="MOA7" s="414"/>
      <c r="MOB7" s="414"/>
      <c r="MOC7" s="414"/>
      <c r="MOD7" s="414"/>
      <c r="MOE7" s="414"/>
      <c r="MOF7" s="414"/>
      <c r="MOG7" s="414"/>
      <c r="MOH7" s="414"/>
      <c r="MOI7" s="414"/>
      <c r="MOJ7" s="414"/>
      <c r="MOK7" s="414"/>
      <c r="MOL7" s="414"/>
      <c r="MOM7" s="414"/>
      <c r="MON7" s="414"/>
      <c r="MOO7" s="414"/>
      <c r="MOP7" s="414"/>
      <c r="MOQ7" s="414"/>
      <c r="MOR7" s="414"/>
      <c r="MOS7" s="414"/>
      <c r="MOT7" s="414"/>
      <c r="MOU7" s="414"/>
      <c r="MOV7" s="414"/>
      <c r="MOW7" s="414"/>
      <c r="MOX7" s="414"/>
      <c r="MOY7" s="414"/>
      <c r="MOZ7" s="414"/>
      <c r="MPA7" s="414"/>
      <c r="MPB7" s="414"/>
      <c r="MPC7" s="414"/>
      <c r="MPD7" s="414"/>
      <c r="MPE7" s="414"/>
      <c r="MPF7" s="414"/>
      <c r="MPG7" s="414"/>
      <c r="MPH7" s="414"/>
      <c r="MPI7" s="414"/>
      <c r="MPJ7" s="414"/>
      <c r="MPK7" s="414"/>
      <c r="MPL7" s="414"/>
      <c r="MPM7" s="414"/>
      <c r="MPN7" s="414"/>
      <c r="MPO7" s="414"/>
      <c r="MPP7" s="414"/>
      <c r="MPQ7" s="414"/>
      <c r="MPR7" s="414"/>
      <c r="MPS7" s="414"/>
      <c r="MPT7" s="414"/>
      <c r="MPU7" s="414"/>
      <c r="MPV7" s="414"/>
      <c r="MPW7" s="414"/>
      <c r="MPX7" s="414"/>
      <c r="MPY7" s="414"/>
      <c r="MPZ7" s="414"/>
      <c r="MQA7" s="414"/>
      <c r="MQB7" s="414"/>
      <c r="MQC7" s="414"/>
      <c r="MQD7" s="414"/>
      <c r="MQE7" s="414"/>
      <c r="MQF7" s="414"/>
      <c r="MQG7" s="414"/>
      <c r="MQH7" s="414"/>
      <c r="MQI7" s="414"/>
      <c r="MQJ7" s="414"/>
      <c r="MQK7" s="414"/>
      <c r="MQL7" s="414"/>
      <c r="MQM7" s="414"/>
      <c r="MQN7" s="414"/>
      <c r="MQO7" s="414"/>
      <c r="MQP7" s="414"/>
      <c r="MQQ7" s="414"/>
      <c r="MQR7" s="414"/>
      <c r="MQS7" s="414"/>
      <c r="MQT7" s="414"/>
      <c r="MQU7" s="414"/>
      <c r="MQV7" s="414"/>
      <c r="MQW7" s="414"/>
      <c r="MQX7" s="414"/>
      <c r="MQY7" s="414"/>
      <c r="MQZ7" s="414"/>
      <c r="MRA7" s="414"/>
      <c r="MRB7" s="414"/>
      <c r="MRC7" s="414"/>
      <c r="MRD7" s="414"/>
      <c r="MRE7" s="414"/>
      <c r="MRF7" s="414"/>
      <c r="MRG7" s="414"/>
      <c r="MRH7" s="414"/>
      <c r="MRI7" s="414"/>
      <c r="MRJ7" s="414"/>
      <c r="MRK7" s="414"/>
      <c r="MRL7" s="414"/>
      <c r="MRM7" s="414"/>
      <c r="MRN7" s="414"/>
      <c r="MRO7" s="414"/>
      <c r="MRP7" s="414"/>
      <c r="MRQ7" s="414"/>
      <c r="MRR7" s="414"/>
      <c r="MRS7" s="414"/>
      <c r="MRT7" s="414"/>
      <c r="MRU7" s="414"/>
      <c r="MRV7" s="414"/>
      <c r="MRW7" s="414"/>
      <c r="MRX7" s="414"/>
      <c r="MRY7" s="414"/>
      <c r="MRZ7" s="414"/>
      <c r="MSA7" s="414"/>
      <c r="MSB7" s="414"/>
      <c r="MSC7" s="414"/>
      <c r="MSD7" s="414"/>
      <c r="MSE7" s="414"/>
      <c r="MSF7" s="414"/>
      <c r="MSG7" s="414"/>
      <c r="MSH7" s="414"/>
      <c r="MSI7" s="414"/>
      <c r="MSJ7" s="414"/>
      <c r="MSK7" s="414"/>
      <c r="MSL7" s="414"/>
      <c r="MSM7" s="414"/>
      <c r="MSN7" s="414"/>
      <c r="MSO7" s="414"/>
      <c r="MSP7" s="414"/>
      <c r="MSQ7" s="414"/>
      <c r="MSR7" s="414"/>
      <c r="MSS7" s="414"/>
      <c r="MST7" s="414"/>
      <c r="MSU7" s="414"/>
      <c r="MSV7" s="414"/>
      <c r="MSW7" s="414"/>
      <c r="MSX7" s="414"/>
      <c r="MSY7" s="414"/>
      <c r="MSZ7" s="414"/>
      <c r="MTA7" s="414"/>
      <c r="MTB7" s="414"/>
      <c r="MTC7" s="414"/>
      <c r="MTD7" s="414"/>
      <c r="MTE7" s="414"/>
      <c r="MTF7" s="414"/>
      <c r="MTG7" s="414"/>
      <c r="MTH7" s="414"/>
      <c r="MTI7" s="414"/>
      <c r="MTJ7" s="414"/>
      <c r="MTK7" s="414"/>
      <c r="MTL7" s="414"/>
      <c r="MTM7" s="414"/>
      <c r="MTN7" s="414"/>
      <c r="MTO7" s="414"/>
      <c r="MTP7" s="414"/>
      <c r="MTQ7" s="414"/>
      <c r="MTR7" s="414"/>
      <c r="MTS7" s="414"/>
      <c r="MTT7" s="414"/>
      <c r="MTU7" s="414"/>
      <c r="MTV7" s="414"/>
      <c r="MTW7" s="414"/>
      <c r="MTX7" s="414"/>
      <c r="MTY7" s="414"/>
      <c r="MTZ7" s="414"/>
      <c r="MUA7" s="414"/>
      <c r="MUB7" s="414"/>
      <c r="MUC7" s="414"/>
      <c r="MUD7" s="414"/>
      <c r="MUE7" s="414"/>
      <c r="MUF7" s="414"/>
      <c r="MUG7" s="414"/>
      <c r="MUH7" s="414"/>
      <c r="MUI7" s="414"/>
      <c r="MUJ7" s="414"/>
      <c r="MUK7" s="414"/>
      <c r="MUL7" s="414"/>
      <c r="MUM7" s="414"/>
      <c r="MUN7" s="414"/>
      <c r="MUO7" s="414"/>
      <c r="MUP7" s="414"/>
      <c r="MUQ7" s="414"/>
      <c r="MUR7" s="414"/>
      <c r="MUS7" s="414"/>
      <c r="MUT7" s="414"/>
      <c r="MUU7" s="414"/>
      <c r="MUV7" s="414"/>
      <c r="MUW7" s="414"/>
      <c r="MUX7" s="414"/>
      <c r="MUY7" s="414"/>
      <c r="MUZ7" s="414"/>
      <c r="MVA7" s="414"/>
      <c r="MVB7" s="414"/>
      <c r="MVC7" s="414"/>
      <c r="MVD7" s="414"/>
      <c r="MVE7" s="414"/>
      <c r="MVF7" s="414"/>
      <c r="MVG7" s="414"/>
      <c r="MVH7" s="414"/>
      <c r="MVI7" s="414"/>
      <c r="MVJ7" s="414"/>
      <c r="MVK7" s="414"/>
      <c r="MVL7" s="414"/>
      <c r="MVM7" s="414"/>
      <c r="MVN7" s="414"/>
      <c r="MVO7" s="414"/>
      <c r="MVP7" s="414"/>
      <c r="MVQ7" s="414"/>
      <c r="MVR7" s="414"/>
      <c r="MVS7" s="414"/>
      <c r="MVT7" s="414"/>
      <c r="MVU7" s="414"/>
      <c r="MVV7" s="414"/>
      <c r="MVW7" s="414"/>
      <c r="MVX7" s="414"/>
      <c r="MVY7" s="414"/>
      <c r="MVZ7" s="414"/>
      <c r="MWA7" s="414"/>
      <c r="MWB7" s="414"/>
      <c r="MWC7" s="414"/>
      <c r="MWD7" s="414"/>
      <c r="MWE7" s="414"/>
      <c r="MWF7" s="414"/>
      <c r="MWG7" s="414"/>
      <c r="MWH7" s="414"/>
      <c r="MWI7" s="414"/>
      <c r="MWJ7" s="414"/>
      <c r="MWK7" s="414"/>
      <c r="MWL7" s="414"/>
      <c r="MWM7" s="414"/>
      <c r="MWN7" s="414"/>
      <c r="MWO7" s="414"/>
      <c r="MWP7" s="414"/>
      <c r="MWQ7" s="414"/>
      <c r="MWR7" s="414"/>
      <c r="MWS7" s="414"/>
      <c r="MWT7" s="414"/>
      <c r="MWU7" s="414"/>
      <c r="MWV7" s="414"/>
      <c r="MWW7" s="414"/>
      <c r="MWX7" s="414"/>
      <c r="MWY7" s="414"/>
      <c r="MWZ7" s="414"/>
      <c r="MXA7" s="414"/>
      <c r="MXB7" s="414"/>
      <c r="MXC7" s="414"/>
      <c r="MXD7" s="414"/>
      <c r="MXE7" s="414"/>
      <c r="MXF7" s="414"/>
      <c r="MXG7" s="414"/>
      <c r="MXH7" s="414"/>
      <c r="MXI7" s="414"/>
      <c r="MXJ7" s="414"/>
      <c r="MXK7" s="414"/>
      <c r="MXL7" s="414"/>
      <c r="MXM7" s="414"/>
      <c r="MXN7" s="414"/>
      <c r="MXO7" s="414"/>
      <c r="MXP7" s="414"/>
      <c r="MXQ7" s="414"/>
      <c r="MXR7" s="414"/>
      <c r="MXS7" s="414"/>
      <c r="MXT7" s="414"/>
      <c r="MXU7" s="414"/>
      <c r="MXV7" s="414"/>
      <c r="MXW7" s="414"/>
      <c r="MXX7" s="414"/>
      <c r="MXY7" s="414"/>
      <c r="MXZ7" s="414"/>
      <c r="MYA7" s="414"/>
      <c r="MYB7" s="414"/>
      <c r="MYC7" s="414"/>
      <c r="MYD7" s="414"/>
      <c r="MYE7" s="414"/>
      <c r="MYF7" s="414"/>
      <c r="MYG7" s="414"/>
      <c r="MYH7" s="414"/>
      <c r="MYI7" s="414"/>
      <c r="MYJ7" s="414"/>
      <c r="MYK7" s="414"/>
      <c r="MYL7" s="414"/>
      <c r="MYM7" s="414"/>
      <c r="MYN7" s="414"/>
      <c r="MYO7" s="414"/>
      <c r="MYP7" s="414"/>
      <c r="MYQ7" s="414"/>
      <c r="MYR7" s="414"/>
      <c r="MYS7" s="414"/>
      <c r="MYT7" s="414"/>
      <c r="MYU7" s="414"/>
      <c r="MYV7" s="414"/>
      <c r="MYW7" s="414"/>
      <c r="MYX7" s="414"/>
      <c r="MYY7" s="414"/>
      <c r="MYZ7" s="414"/>
      <c r="MZA7" s="414"/>
      <c r="MZB7" s="414"/>
      <c r="MZC7" s="414"/>
      <c r="MZD7" s="414"/>
      <c r="MZE7" s="414"/>
      <c r="MZF7" s="414"/>
      <c r="MZG7" s="414"/>
      <c r="MZH7" s="414"/>
      <c r="MZI7" s="414"/>
      <c r="MZJ7" s="414"/>
      <c r="MZK7" s="414"/>
      <c r="MZL7" s="414"/>
      <c r="MZM7" s="414"/>
      <c r="MZN7" s="414"/>
      <c r="MZO7" s="414"/>
      <c r="MZP7" s="414"/>
      <c r="MZQ7" s="414"/>
      <c r="MZR7" s="414"/>
      <c r="MZS7" s="414"/>
      <c r="MZT7" s="414"/>
      <c r="MZU7" s="414"/>
      <c r="MZV7" s="414"/>
      <c r="MZW7" s="414"/>
      <c r="MZX7" s="414"/>
      <c r="MZY7" s="414"/>
      <c r="MZZ7" s="414"/>
      <c r="NAA7" s="414"/>
      <c r="NAB7" s="414"/>
      <c r="NAC7" s="414"/>
      <c r="NAD7" s="414"/>
      <c r="NAE7" s="414"/>
      <c r="NAF7" s="414"/>
      <c r="NAG7" s="414"/>
      <c r="NAH7" s="414"/>
      <c r="NAI7" s="414"/>
      <c r="NAJ7" s="414"/>
      <c r="NAK7" s="414"/>
      <c r="NAL7" s="414"/>
      <c r="NAM7" s="414"/>
      <c r="NAN7" s="414"/>
      <c r="NAO7" s="414"/>
      <c r="NAP7" s="414"/>
      <c r="NAQ7" s="414"/>
      <c r="NAR7" s="414"/>
      <c r="NAS7" s="414"/>
      <c r="NAT7" s="414"/>
      <c r="NAU7" s="414"/>
      <c r="NAV7" s="414"/>
      <c r="NAW7" s="414"/>
      <c r="NAX7" s="414"/>
      <c r="NAY7" s="414"/>
      <c r="NAZ7" s="414"/>
      <c r="NBA7" s="414"/>
      <c r="NBB7" s="414"/>
      <c r="NBC7" s="414"/>
      <c r="NBD7" s="414"/>
      <c r="NBE7" s="414"/>
      <c r="NBF7" s="414"/>
      <c r="NBG7" s="414"/>
      <c r="NBH7" s="414"/>
      <c r="NBI7" s="414"/>
      <c r="NBJ7" s="414"/>
      <c r="NBK7" s="414"/>
      <c r="NBL7" s="414"/>
      <c r="NBM7" s="414"/>
      <c r="NBN7" s="414"/>
      <c r="NBO7" s="414"/>
      <c r="NBP7" s="414"/>
      <c r="NBQ7" s="414"/>
      <c r="NBR7" s="414"/>
      <c r="NBS7" s="414"/>
      <c r="NBT7" s="414"/>
      <c r="NBU7" s="414"/>
      <c r="NBV7" s="414"/>
      <c r="NBW7" s="414"/>
      <c r="NBX7" s="414"/>
      <c r="NBY7" s="414"/>
      <c r="NBZ7" s="414"/>
      <c r="NCA7" s="414"/>
      <c r="NCB7" s="414"/>
      <c r="NCC7" s="414"/>
      <c r="NCD7" s="414"/>
      <c r="NCE7" s="414"/>
      <c r="NCF7" s="414"/>
      <c r="NCG7" s="414"/>
      <c r="NCH7" s="414"/>
      <c r="NCI7" s="414"/>
      <c r="NCJ7" s="414"/>
      <c r="NCK7" s="414"/>
      <c r="NCL7" s="414"/>
      <c r="NCM7" s="414"/>
      <c r="NCN7" s="414"/>
      <c r="NCO7" s="414"/>
      <c r="NCP7" s="414"/>
      <c r="NCQ7" s="414"/>
      <c r="NCR7" s="414"/>
      <c r="NCS7" s="414"/>
      <c r="NCT7" s="414"/>
      <c r="NCU7" s="414"/>
      <c r="NCV7" s="414"/>
      <c r="NCW7" s="414"/>
      <c r="NCX7" s="414"/>
      <c r="NCY7" s="414"/>
      <c r="NCZ7" s="414"/>
      <c r="NDA7" s="414"/>
      <c r="NDB7" s="414"/>
      <c r="NDC7" s="414"/>
      <c r="NDD7" s="414"/>
      <c r="NDE7" s="414"/>
      <c r="NDF7" s="414"/>
      <c r="NDG7" s="414"/>
      <c r="NDH7" s="414"/>
      <c r="NDI7" s="414"/>
      <c r="NDJ7" s="414"/>
      <c r="NDK7" s="414"/>
      <c r="NDL7" s="414"/>
      <c r="NDM7" s="414"/>
      <c r="NDN7" s="414"/>
      <c r="NDO7" s="414"/>
      <c r="NDP7" s="414"/>
      <c r="NDQ7" s="414"/>
      <c r="NDR7" s="414"/>
      <c r="NDS7" s="414"/>
      <c r="NDT7" s="414"/>
      <c r="NDU7" s="414"/>
      <c r="NDV7" s="414"/>
      <c r="NDW7" s="414"/>
      <c r="NDX7" s="414"/>
      <c r="NDY7" s="414"/>
      <c r="NDZ7" s="414"/>
      <c r="NEA7" s="414"/>
      <c r="NEB7" s="414"/>
      <c r="NEC7" s="414"/>
      <c r="NED7" s="414"/>
      <c r="NEE7" s="414"/>
      <c r="NEF7" s="414"/>
      <c r="NEG7" s="414"/>
      <c r="NEH7" s="414"/>
      <c r="NEI7" s="414"/>
      <c r="NEJ7" s="414"/>
      <c r="NEK7" s="414"/>
      <c r="NEL7" s="414"/>
      <c r="NEM7" s="414"/>
      <c r="NEN7" s="414"/>
      <c r="NEO7" s="414"/>
      <c r="NEP7" s="414"/>
      <c r="NEQ7" s="414"/>
      <c r="NER7" s="414"/>
      <c r="NES7" s="414"/>
      <c r="NET7" s="414"/>
      <c r="NEU7" s="414"/>
      <c r="NEV7" s="414"/>
      <c r="NEW7" s="414"/>
      <c r="NEX7" s="414"/>
      <c r="NEY7" s="414"/>
      <c r="NEZ7" s="414"/>
      <c r="NFA7" s="414"/>
      <c r="NFB7" s="414"/>
      <c r="NFC7" s="414"/>
      <c r="NFD7" s="414"/>
      <c r="NFE7" s="414"/>
      <c r="NFF7" s="414"/>
      <c r="NFG7" s="414"/>
      <c r="NFH7" s="414"/>
      <c r="NFI7" s="414"/>
      <c r="NFJ7" s="414"/>
      <c r="NFK7" s="414"/>
      <c r="NFL7" s="414"/>
      <c r="NFM7" s="414"/>
      <c r="NFN7" s="414"/>
      <c r="NFO7" s="414"/>
      <c r="NFP7" s="414"/>
      <c r="NFQ7" s="414"/>
      <c r="NFR7" s="414"/>
      <c r="NFS7" s="414"/>
      <c r="NFT7" s="414"/>
      <c r="NFU7" s="414"/>
      <c r="NFV7" s="414"/>
      <c r="NFW7" s="414"/>
      <c r="NFX7" s="414"/>
      <c r="NFY7" s="414"/>
      <c r="NFZ7" s="414"/>
      <c r="NGA7" s="414"/>
      <c r="NGB7" s="414"/>
      <c r="NGC7" s="414"/>
      <c r="NGD7" s="414"/>
      <c r="NGE7" s="414"/>
      <c r="NGF7" s="414"/>
      <c r="NGG7" s="414"/>
      <c r="NGH7" s="414"/>
      <c r="NGI7" s="414"/>
      <c r="NGJ7" s="414"/>
      <c r="NGK7" s="414"/>
      <c r="NGL7" s="414"/>
      <c r="NGM7" s="414"/>
      <c r="NGN7" s="414"/>
      <c r="NGO7" s="414"/>
      <c r="NGP7" s="414"/>
      <c r="NGQ7" s="414"/>
      <c r="NGR7" s="414"/>
      <c r="NGS7" s="414"/>
      <c r="NGT7" s="414"/>
      <c r="NGU7" s="414"/>
      <c r="NGV7" s="414"/>
      <c r="NGW7" s="414"/>
      <c r="NGX7" s="414"/>
      <c r="NGY7" s="414"/>
      <c r="NGZ7" s="414"/>
      <c r="NHA7" s="414"/>
      <c r="NHB7" s="414"/>
      <c r="NHC7" s="414"/>
      <c r="NHD7" s="414"/>
      <c r="NHE7" s="414"/>
      <c r="NHF7" s="414"/>
      <c r="NHG7" s="414"/>
      <c r="NHH7" s="414"/>
      <c r="NHI7" s="414"/>
      <c r="NHJ7" s="414"/>
      <c r="NHK7" s="414"/>
      <c r="NHL7" s="414"/>
      <c r="NHM7" s="414"/>
      <c r="NHN7" s="414"/>
      <c r="NHO7" s="414"/>
      <c r="NHP7" s="414"/>
      <c r="NHQ7" s="414"/>
      <c r="NHR7" s="414"/>
      <c r="NHS7" s="414"/>
      <c r="NHT7" s="414"/>
      <c r="NHU7" s="414"/>
      <c r="NHV7" s="414"/>
      <c r="NHW7" s="414"/>
      <c r="NHX7" s="414"/>
      <c r="NHY7" s="414"/>
      <c r="NHZ7" s="414"/>
      <c r="NIA7" s="414"/>
      <c r="NIB7" s="414"/>
      <c r="NIC7" s="414"/>
      <c r="NID7" s="414"/>
      <c r="NIE7" s="414"/>
      <c r="NIF7" s="414"/>
      <c r="NIG7" s="414"/>
      <c r="NIH7" s="414"/>
      <c r="NII7" s="414"/>
      <c r="NIJ7" s="414"/>
      <c r="NIK7" s="414"/>
      <c r="NIL7" s="414"/>
      <c r="NIM7" s="414"/>
      <c r="NIN7" s="414"/>
      <c r="NIO7" s="414"/>
      <c r="NIP7" s="414"/>
      <c r="NIQ7" s="414"/>
      <c r="NIR7" s="414"/>
      <c r="NIS7" s="414"/>
      <c r="NIT7" s="414"/>
      <c r="NIU7" s="414"/>
      <c r="NIV7" s="414"/>
      <c r="NIW7" s="414"/>
      <c r="NIX7" s="414"/>
      <c r="NIY7" s="414"/>
      <c r="NIZ7" s="414"/>
      <c r="NJA7" s="414"/>
      <c r="NJB7" s="414"/>
      <c r="NJC7" s="414"/>
      <c r="NJD7" s="414"/>
      <c r="NJE7" s="414"/>
      <c r="NJF7" s="414"/>
      <c r="NJG7" s="414"/>
      <c r="NJH7" s="414"/>
      <c r="NJI7" s="414"/>
      <c r="NJJ7" s="414"/>
      <c r="NJK7" s="414"/>
      <c r="NJL7" s="414"/>
      <c r="NJM7" s="414"/>
      <c r="NJN7" s="414"/>
      <c r="NJO7" s="414"/>
      <c r="NJP7" s="414"/>
      <c r="NJQ7" s="414"/>
      <c r="NJR7" s="414"/>
      <c r="NJS7" s="414"/>
      <c r="NJT7" s="414"/>
      <c r="NJU7" s="414"/>
      <c r="NJV7" s="414"/>
      <c r="NJW7" s="414"/>
      <c r="NJX7" s="414"/>
      <c r="NJY7" s="414"/>
      <c r="NJZ7" s="414"/>
      <c r="NKA7" s="414"/>
      <c r="NKB7" s="414"/>
      <c r="NKC7" s="414"/>
      <c r="NKD7" s="414"/>
      <c r="NKE7" s="414"/>
      <c r="NKF7" s="414"/>
      <c r="NKG7" s="414"/>
      <c r="NKH7" s="414"/>
      <c r="NKI7" s="414"/>
      <c r="NKJ7" s="414"/>
      <c r="NKK7" s="414"/>
      <c r="NKL7" s="414"/>
      <c r="NKM7" s="414"/>
      <c r="NKN7" s="414"/>
      <c r="NKO7" s="414"/>
      <c r="NKP7" s="414"/>
      <c r="NKQ7" s="414"/>
      <c r="NKR7" s="414"/>
      <c r="NKS7" s="414"/>
      <c r="NKT7" s="414"/>
      <c r="NKU7" s="414"/>
      <c r="NKV7" s="414"/>
      <c r="NKW7" s="414"/>
      <c r="NKX7" s="414"/>
      <c r="NKY7" s="414"/>
      <c r="NKZ7" s="414"/>
      <c r="NLA7" s="414"/>
      <c r="NLB7" s="414"/>
      <c r="NLC7" s="414"/>
      <c r="NLD7" s="414"/>
      <c r="NLE7" s="414"/>
      <c r="NLF7" s="414"/>
      <c r="NLG7" s="414"/>
      <c r="NLH7" s="414"/>
      <c r="NLI7" s="414"/>
      <c r="NLJ7" s="414"/>
      <c r="NLK7" s="414"/>
      <c r="NLL7" s="414"/>
      <c r="NLM7" s="414"/>
      <c r="NLN7" s="414"/>
      <c r="NLO7" s="414"/>
      <c r="NLP7" s="414"/>
      <c r="NLQ7" s="414"/>
      <c r="NLR7" s="414"/>
      <c r="NLS7" s="414"/>
      <c r="NLT7" s="414"/>
      <c r="NLU7" s="414"/>
      <c r="NLV7" s="414"/>
      <c r="NLW7" s="414"/>
      <c r="NLX7" s="414"/>
      <c r="NLY7" s="414"/>
      <c r="NLZ7" s="414"/>
      <c r="NMA7" s="414"/>
      <c r="NMB7" s="414"/>
      <c r="NMC7" s="414"/>
      <c r="NMD7" s="414"/>
      <c r="NME7" s="414"/>
      <c r="NMF7" s="414"/>
      <c r="NMG7" s="414"/>
      <c r="NMH7" s="414"/>
      <c r="NMI7" s="414"/>
      <c r="NMJ7" s="414"/>
      <c r="NMK7" s="414"/>
      <c r="NML7" s="414"/>
      <c r="NMM7" s="414"/>
      <c r="NMN7" s="414"/>
      <c r="NMO7" s="414"/>
      <c r="NMP7" s="414"/>
      <c r="NMQ7" s="414"/>
      <c r="NMR7" s="414"/>
      <c r="NMS7" s="414"/>
      <c r="NMT7" s="414"/>
      <c r="NMU7" s="414"/>
      <c r="NMV7" s="414"/>
      <c r="NMW7" s="414"/>
      <c r="NMX7" s="414"/>
      <c r="NMY7" s="414"/>
      <c r="NMZ7" s="414"/>
      <c r="NNA7" s="414"/>
      <c r="NNB7" s="414"/>
      <c r="NNC7" s="414"/>
      <c r="NND7" s="414"/>
      <c r="NNE7" s="414"/>
      <c r="NNF7" s="414"/>
      <c r="NNG7" s="414"/>
      <c r="NNH7" s="414"/>
      <c r="NNI7" s="414"/>
      <c r="NNJ7" s="414"/>
      <c r="NNK7" s="414"/>
      <c r="NNL7" s="414"/>
      <c r="NNM7" s="414"/>
      <c r="NNN7" s="414"/>
      <c r="NNO7" s="414"/>
      <c r="NNP7" s="414"/>
      <c r="NNQ7" s="414"/>
      <c r="NNR7" s="414"/>
      <c r="NNS7" s="414"/>
      <c r="NNT7" s="414"/>
      <c r="NNU7" s="414"/>
      <c r="NNV7" s="414"/>
      <c r="NNW7" s="414"/>
      <c r="NNX7" s="414"/>
      <c r="NNY7" s="414"/>
      <c r="NNZ7" s="414"/>
      <c r="NOA7" s="414"/>
      <c r="NOB7" s="414"/>
      <c r="NOC7" s="414"/>
      <c r="NOD7" s="414"/>
      <c r="NOE7" s="414"/>
      <c r="NOF7" s="414"/>
      <c r="NOG7" s="414"/>
      <c r="NOH7" s="414"/>
      <c r="NOI7" s="414"/>
      <c r="NOJ7" s="414"/>
      <c r="NOK7" s="414"/>
      <c r="NOL7" s="414"/>
      <c r="NOM7" s="414"/>
      <c r="NON7" s="414"/>
      <c r="NOO7" s="414"/>
      <c r="NOP7" s="414"/>
      <c r="NOQ7" s="414"/>
      <c r="NOR7" s="414"/>
      <c r="NOS7" s="414"/>
      <c r="NOT7" s="414"/>
      <c r="NOU7" s="414"/>
      <c r="NOV7" s="414"/>
      <c r="NOW7" s="414"/>
      <c r="NOX7" s="414"/>
      <c r="NOY7" s="414"/>
      <c r="NOZ7" s="414"/>
      <c r="NPA7" s="414"/>
      <c r="NPB7" s="414"/>
      <c r="NPC7" s="414"/>
      <c r="NPD7" s="414"/>
      <c r="NPE7" s="414"/>
      <c r="NPF7" s="414"/>
      <c r="NPG7" s="414"/>
      <c r="NPH7" s="414"/>
      <c r="NPI7" s="414"/>
      <c r="NPJ7" s="414"/>
      <c r="NPK7" s="414"/>
      <c r="NPL7" s="414"/>
      <c r="NPM7" s="414"/>
      <c r="NPN7" s="414"/>
      <c r="NPO7" s="414"/>
      <c r="NPP7" s="414"/>
      <c r="NPQ7" s="414"/>
      <c r="NPR7" s="414"/>
      <c r="NPS7" s="414"/>
      <c r="NPT7" s="414"/>
      <c r="NPU7" s="414"/>
      <c r="NPV7" s="414"/>
      <c r="NPW7" s="414"/>
      <c r="NPX7" s="414"/>
      <c r="NPY7" s="414"/>
      <c r="NPZ7" s="414"/>
      <c r="NQA7" s="414"/>
      <c r="NQB7" s="414"/>
      <c r="NQC7" s="414"/>
      <c r="NQD7" s="414"/>
      <c r="NQE7" s="414"/>
      <c r="NQF7" s="414"/>
      <c r="NQG7" s="414"/>
      <c r="NQH7" s="414"/>
      <c r="NQI7" s="414"/>
      <c r="NQJ7" s="414"/>
      <c r="NQK7" s="414"/>
      <c r="NQL7" s="414"/>
      <c r="NQM7" s="414"/>
      <c r="NQN7" s="414"/>
      <c r="NQO7" s="414"/>
      <c r="NQP7" s="414"/>
      <c r="NQQ7" s="414"/>
      <c r="NQR7" s="414"/>
      <c r="NQS7" s="414"/>
      <c r="NQT7" s="414"/>
      <c r="NQU7" s="414"/>
      <c r="NQV7" s="414"/>
      <c r="NQW7" s="414"/>
      <c r="NQX7" s="414"/>
      <c r="NQY7" s="414"/>
      <c r="NQZ7" s="414"/>
      <c r="NRA7" s="414"/>
      <c r="NRB7" s="414"/>
      <c r="NRC7" s="414"/>
      <c r="NRD7" s="414"/>
      <c r="NRE7" s="414"/>
      <c r="NRF7" s="414"/>
      <c r="NRG7" s="414"/>
      <c r="NRH7" s="414"/>
      <c r="NRI7" s="414"/>
      <c r="NRJ7" s="414"/>
      <c r="NRK7" s="414"/>
      <c r="NRL7" s="414"/>
      <c r="NRM7" s="414"/>
      <c r="NRN7" s="414"/>
      <c r="NRO7" s="414"/>
      <c r="NRP7" s="414"/>
      <c r="NRQ7" s="414"/>
      <c r="NRR7" s="414"/>
      <c r="NRS7" s="414"/>
      <c r="NRT7" s="414"/>
      <c r="NRU7" s="414"/>
      <c r="NRV7" s="414"/>
      <c r="NRW7" s="414"/>
      <c r="NRX7" s="414"/>
      <c r="NRY7" s="414"/>
      <c r="NRZ7" s="414"/>
      <c r="NSA7" s="414"/>
      <c r="NSB7" s="414"/>
      <c r="NSC7" s="414"/>
      <c r="NSD7" s="414"/>
      <c r="NSE7" s="414"/>
      <c r="NSF7" s="414"/>
      <c r="NSG7" s="414"/>
      <c r="NSH7" s="414"/>
      <c r="NSI7" s="414"/>
      <c r="NSJ7" s="414"/>
      <c r="NSK7" s="414"/>
      <c r="NSL7" s="414"/>
      <c r="NSM7" s="414"/>
      <c r="NSN7" s="414"/>
      <c r="NSO7" s="414"/>
      <c r="NSP7" s="414"/>
      <c r="NSQ7" s="414"/>
      <c r="NSR7" s="414"/>
      <c r="NSS7" s="414"/>
      <c r="NST7" s="414"/>
      <c r="NSU7" s="414"/>
      <c r="NSV7" s="414"/>
      <c r="NSW7" s="414"/>
      <c r="NSX7" s="414"/>
      <c r="NSY7" s="414"/>
      <c r="NSZ7" s="414"/>
      <c r="NTA7" s="414"/>
      <c r="NTB7" s="414"/>
      <c r="NTC7" s="414"/>
      <c r="NTD7" s="414"/>
      <c r="NTE7" s="414"/>
      <c r="NTF7" s="414"/>
      <c r="NTG7" s="414"/>
      <c r="NTH7" s="414"/>
      <c r="NTI7" s="414"/>
      <c r="NTJ7" s="414"/>
      <c r="NTK7" s="414"/>
      <c r="NTL7" s="414"/>
      <c r="NTM7" s="414"/>
      <c r="NTN7" s="414"/>
      <c r="NTO7" s="414"/>
      <c r="NTP7" s="414"/>
      <c r="NTQ7" s="414"/>
      <c r="NTR7" s="414"/>
      <c r="NTS7" s="414"/>
      <c r="NTT7" s="414"/>
      <c r="NTU7" s="414"/>
      <c r="NTV7" s="414"/>
      <c r="NTW7" s="414"/>
      <c r="NTX7" s="414"/>
      <c r="NTY7" s="414"/>
      <c r="NTZ7" s="414"/>
      <c r="NUA7" s="414"/>
      <c r="NUB7" s="414"/>
      <c r="NUC7" s="414"/>
      <c r="NUD7" s="414"/>
      <c r="NUE7" s="414"/>
      <c r="NUF7" s="414"/>
      <c r="NUG7" s="414"/>
      <c r="NUH7" s="414"/>
      <c r="NUI7" s="414"/>
      <c r="NUJ7" s="414"/>
      <c r="NUK7" s="414"/>
      <c r="NUL7" s="414"/>
      <c r="NUM7" s="414"/>
      <c r="NUN7" s="414"/>
      <c r="NUO7" s="414"/>
      <c r="NUP7" s="414"/>
      <c r="NUQ7" s="414"/>
      <c r="NUR7" s="414"/>
      <c r="NUS7" s="414"/>
      <c r="NUT7" s="414"/>
      <c r="NUU7" s="414"/>
      <c r="NUV7" s="414"/>
      <c r="NUW7" s="414"/>
      <c r="NUX7" s="414"/>
      <c r="NUY7" s="414"/>
      <c r="NUZ7" s="414"/>
      <c r="NVA7" s="414"/>
      <c r="NVB7" s="414"/>
      <c r="NVC7" s="414"/>
      <c r="NVD7" s="414"/>
      <c r="NVE7" s="414"/>
      <c r="NVF7" s="414"/>
      <c r="NVG7" s="414"/>
      <c r="NVH7" s="414"/>
      <c r="NVI7" s="414"/>
      <c r="NVJ7" s="414"/>
      <c r="NVK7" s="414"/>
      <c r="NVL7" s="414"/>
      <c r="NVM7" s="414"/>
      <c r="NVN7" s="414"/>
      <c r="NVO7" s="414"/>
      <c r="NVP7" s="414"/>
      <c r="NVQ7" s="414"/>
      <c r="NVR7" s="414"/>
      <c r="NVS7" s="414"/>
      <c r="NVT7" s="414"/>
      <c r="NVU7" s="414"/>
      <c r="NVV7" s="414"/>
      <c r="NVW7" s="414"/>
      <c r="NVX7" s="414"/>
      <c r="NVY7" s="414"/>
      <c r="NVZ7" s="414"/>
      <c r="NWA7" s="414"/>
      <c r="NWB7" s="414"/>
      <c r="NWC7" s="414"/>
      <c r="NWD7" s="414"/>
      <c r="NWE7" s="414"/>
      <c r="NWF7" s="414"/>
      <c r="NWG7" s="414"/>
      <c r="NWH7" s="414"/>
      <c r="NWI7" s="414"/>
      <c r="NWJ7" s="414"/>
      <c r="NWK7" s="414"/>
      <c r="NWL7" s="414"/>
      <c r="NWM7" s="414"/>
      <c r="NWN7" s="414"/>
      <c r="NWO7" s="414"/>
      <c r="NWP7" s="414"/>
      <c r="NWQ7" s="414"/>
      <c r="NWR7" s="414"/>
      <c r="NWS7" s="414"/>
      <c r="NWT7" s="414"/>
      <c r="NWU7" s="414"/>
      <c r="NWV7" s="414"/>
      <c r="NWW7" s="414"/>
      <c r="NWX7" s="414"/>
      <c r="NWY7" s="414"/>
      <c r="NWZ7" s="414"/>
      <c r="NXA7" s="414"/>
      <c r="NXB7" s="414"/>
      <c r="NXC7" s="414"/>
      <c r="NXD7" s="414"/>
      <c r="NXE7" s="414"/>
      <c r="NXF7" s="414"/>
      <c r="NXG7" s="414"/>
      <c r="NXH7" s="414"/>
      <c r="NXI7" s="414"/>
      <c r="NXJ7" s="414"/>
      <c r="NXK7" s="414"/>
      <c r="NXL7" s="414"/>
      <c r="NXM7" s="414"/>
      <c r="NXN7" s="414"/>
      <c r="NXO7" s="414"/>
      <c r="NXP7" s="414"/>
      <c r="NXQ7" s="414"/>
      <c r="NXR7" s="414"/>
      <c r="NXS7" s="414"/>
      <c r="NXT7" s="414"/>
      <c r="NXU7" s="414"/>
      <c r="NXV7" s="414"/>
      <c r="NXW7" s="414"/>
      <c r="NXX7" s="414"/>
      <c r="NXY7" s="414"/>
      <c r="NXZ7" s="414"/>
      <c r="NYA7" s="414"/>
      <c r="NYB7" s="414"/>
      <c r="NYC7" s="414"/>
      <c r="NYD7" s="414"/>
      <c r="NYE7" s="414"/>
      <c r="NYF7" s="414"/>
      <c r="NYG7" s="414"/>
      <c r="NYH7" s="414"/>
      <c r="NYI7" s="414"/>
      <c r="NYJ7" s="414"/>
      <c r="NYK7" s="414"/>
      <c r="NYL7" s="414"/>
      <c r="NYM7" s="414"/>
      <c r="NYN7" s="414"/>
      <c r="NYO7" s="414"/>
      <c r="NYP7" s="414"/>
      <c r="NYQ7" s="414"/>
      <c r="NYR7" s="414"/>
      <c r="NYS7" s="414"/>
      <c r="NYT7" s="414"/>
      <c r="NYU7" s="414"/>
      <c r="NYV7" s="414"/>
      <c r="NYW7" s="414"/>
      <c r="NYX7" s="414"/>
      <c r="NYY7" s="414"/>
      <c r="NYZ7" s="414"/>
      <c r="NZA7" s="414"/>
      <c r="NZB7" s="414"/>
      <c r="NZC7" s="414"/>
      <c r="NZD7" s="414"/>
      <c r="NZE7" s="414"/>
      <c r="NZF7" s="414"/>
      <c r="NZG7" s="414"/>
      <c r="NZH7" s="414"/>
      <c r="NZI7" s="414"/>
      <c r="NZJ7" s="414"/>
      <c r="NZK7" s="414"/>
      <c r="NZL7" s="414"/>
      <c r="NZM7" s="414"/>
      <c r="NZN7" s="414"/>
      <c r="NZO7" s="414"/>
      <c r="NZP7" s="414"/>
      <c r="NZQ7" s="414"/>
      <c r="NZR7" s="414"/>
      <c r="NZS7" s="414"/>
      <c r="NZT7" s="414"/>
      <c r="NZU7" s="414"/>
      <c r="NZV7" s="414"/>
      <c r="NZW7" s="414"/>
      <c r="NZX7" s="414"/>
      <c r="NZY7" s="414"/>
      <c r="NZZ7" s="414"/>
      <c r="OAA7" s="414"/>
      <c r="OAB7" s="414"/>
      <c r="OAC7" s="414"/>
      <c r="OAD7" s="414"/>
      <c r="OAE7" s="414"/>
      <c r="OAF7" s="414"/>
      <c r="OAG7" s="414"/>
      <c r="OAH7" s="414"/>
      <c r="OAI7" s="414"/>
      <c r="OAJ7" s="414"/>
      <c r="OAK7" s="414"/>
      <c r="OAL7" s="414"/>
      <c r="OAM7" s="414"/>
      <c r="OAN7" s="414"/>
      <c r="OAO7" s="414"/>
      <c r="OAP7" s="414"/>
      <c r="OAQ7" s="414"/>
      <c r="OAR7" s="414"/>
      <c r="OAS7" s="414"/>
      <c r="OAT7" s="414"/>
      <c r="OAU7" s="414"/>
      <c r="OAV7" s="414"/>
      <c r="OAW7" s="414"/>
      <c r="OAX7" s="414"/>
      <c r="OAY7" s="414"/>
      <c r="OAZ7" s="414"/>
      <c r="OBA7" s="414"/>
      <c r="OBB7" s="414"/>
      <c r="OBC7" s="414"/>
      <c r="OBD7" s="414"/>
      <c r="OBE7" s="414"/>
      <c r="OBF7" s="414"/>
      <c r="OBG7" s="414"/>
      <c r="OBH7" s="414"/>
      <c r="OBI7" s="414"/>
      <c r="OBJ7" s="414"/>
      <c r="OBK7" s="414"/>
      <c r="OBL7" s="414"/>
      <c r="OBM7" s="414"/>
      <c r="OBN7" s="414"/>
      <c r="OBO7" s="414"/>
      <c r="OBP7" s="414"/>
      <c r="OBQ7" s="414"/>
      <c r="OBR7" s="414"/>
      <c r="OBS7" s="414"/>
      <c r="OBT7" s="414"/>
      <c r="OBU7" s="414"/>
      <c r="OBV7" s="414"/>
      <c r="OBW7" s="414"/>
      <c r="OBX7" s="414"/>
      <c r="OBY7" s="414"/>
      <c r="OBZ7" s="414"/>
      <c r="OCA7" s="414"/>
      <c r="OCB7" s="414"/>
      <c r="OCC7" s="414"/>
      <c r="OCD7" s="414"/>
      <c r="OCE7" s="414"/>
      <c r="OCF7" s="414"/>
      <c r="OCG7" s="414"/>
      <c r="OCH7" s="414"/>
      <c r="OCI7" s="414"/>
      <c r="OCJ7" s="414"/>
      <c r="OCK7" s="414"/>
      <c r="OCL7" s="414"/>
      <c r="OCM7" s="414"/>
      <c r="OCN7" s="414"/>
      <c r="OCO7" s="414"/>
      <c r="OCP7" s="414"/>
      <c r="OCQ7" s="414"/>
      <c r="OCR7" s="414"/>
      <c r="OCS7" s="414"/>
      <c r="OCT7" s="414"/>
      <c r="OCU7" s="414"/>
      <c r="OCV7" s="414"/>
      <c r="OCW7" s="414"/>
      <c r="OCX7" s="414"/>
      <c r="OCY7" s="414"/>
      <c r="OCZ7" s="414"/>
      <c r="ODA7" s="414"/>
      <c r="ODB7" s="414"/>
      <c r="ODC7" s="414"/>
      <c r="ODD7" s="414"/>
      <c r="ODE7" s="414"/>
      <c r="ODF7" s="414"/>
      <c r="ODG7" s="414"/>
      <c r="ODH7" s="414"/>
      <c r="ODI7" s="414"/>
      <c r="ODJ7" s="414"/>
      <c r="ODK7" s="414"/>
      <c r="ODL7" s="414"/>
      <c r="ODM7" s="414"/>
      <c r="ODN7" s="414"/>
      <c r="ODO7" s="414"/>
      <c r="ODP7" s="414"/>
      <c r="ODQ7" s="414"/>
      <c r="ODR7" s="414"/>
      <c r="ODS7" s="414"/>
      <c r="ODT7" s="414"/>
      <c r="ODU7" s="414"/>
      <c r="ODV7" s="414"/>
      <c r="ODW7" s="414"/>
      <c r="ODX7" s="414"/>
      <c r="ODY7" s="414"/>
      <c r="ODZ7" s="414"/>
      <c r="OEA7" s="414"/>
      <c r="OEB7" s="414"/>
      <c r="OEC7" s="414"/>
      <c r="OED7" s="414"/>
      <c r="OEE7" s="414"/>
      <c r="OEF7" s="414"/>
      <c r="OEG7" s="414"/>
      <c r="OEH7" s="414"/>
      <c r="OEI7" s="414"/>
      <c r="OEJ7" s="414"/>
      <c r="OEK7" s="414"/>
      <c r="OEL7" s="414"/>
      <c r="OEM7" s="414"/>
      <c r="OEN7" s="414"/>
      <c r="OEO7" s="414"/>
      <c r="OEP7" s="414"/>
      <c r="OEQ7" s="414"/>
      <c r="OER7" s="414"/>
      <c r="OES7" s="414"/>
      <c r="OET7" s="414"/>
      <c r="OEU7" s="414"/>
      <c r="OEV7" s="414"/>
      <c r="OEW7" s="414"/>
      <c r="OEX7" s="414"/>
      <c r="OEY7" s="414"/>
      <c r="OEZ7" s="414"/>
      <c r="OFA7" s="414"/>
      <c r="OFB7" s="414"/>
      <c r="OFC7" s="414"/>
      <c r="OFD7" s="414"/>
      <c r="OFE7" s="414"/>
      <c r="OFF7" s="414"/>
      <c r="OFG7" s="414"/>
      <c r="OFH7" s="414"/>
      <c r="OFI7" s="414"/>
      <c r="OFJ7" s="414"/>
      <c r="OFK7" s="414"/>
      <c r="OFL7" s="414"/>
      <c r="OFM7" s="414"/>
      <c r="OFN7" s="414"/>
      <c r="OFO7" s="414"/>
      <c r="OFP7" s="414"/>
      <c r="OFQ7" s="414"/>
      <c r="OFR7" s="414"/>
      <c r="OFS7" s="414"/>
      <c r="OFT7" s="414"/>
      <c r="OFU7" s="414"/>
      <c r="OFV7" s="414"/>
      <c r="OFW7" s="414"/>
      <c r="OFX7" s="414"/>
      <c r="OFY7" s="414"/>
      <c r="OFZ7" s="414"/>
      <c r="OGA7" s="414"/>
      <c r="OGB7" s="414"/>
      <c r="OGC7" s="414"/>
      <c r="OGD7" s="414"/>
      <c r="OGE7" s="414"/>
      <c r="OGF7" s="414"/>
      <c r="OGG7" s="414"/>
      <c r="OGH7" s="414"/>
      <c r="OGI7" s="414"/>
      <c r="OGJ7" s="414"/>
      <c r="OGK7" s="414"/>
      <c r="OGL7" s="414"/>
      <c r="OGM7" s="414"/>
      <c r="OGN7" s="414"/>
      <c r="OGO7" s="414"/>
      <c r="OGP7" s="414"/>
      <c r="OGQ7" s="414"/>
      <c r="OGR7" s="414"/>
      <c r="OGS7" s="414"/>
      <c r="OGT7" s="414"/>
      <c r="OGU7" s="414"/>
      <c r="OGV7" s="414"/>
      <c r="OGW7" s="414"/>
      <c r="OGX7" s="414"/>
      <c r="OGY7" s="414"/>
      <c r="OGZ7" s="414"/>
      <c r="OHA7" s="414"/>
      <c r="OHB7" s="414"/>
      <c r="OHC7" s="414"/>
      <c r="OHD7" s="414"/>
      <c r="OHE7" s="414"/>
      <c r="OHF7" s="414"/>
      <c r="OHG7" s="414"/>
      <c r="OHH7" s="414"/>
      <c r="OHI7" s="414"/>
      <c r="OHJ7" s="414"/>
      <c r="OHK7" s="414"/>
      <c r="OHL7" s="414"/>
      <c r="OHM7" s="414"/>
      <c r="OHN7" s="414"/>
      <c r="OHO7" s="414"/>
      <c r="OHP7" s="414"/>
      <c r="OHQ7" s="414"/>
      <c r="OHR7" s="414"/>
      <c r="OHS7" s="414"/>
      <c r="OHT7" s="414"/>
      <c r="OHU7" s="414"/>
      <c r="OHV7" s="414"/>
      <c r="OHW7" s="414"/>
      <c r="OHX7" s="414"/>
      <c r="OHY7" s="414"/>
      <c r="OHZ7" s="414"/>
      <c r="OIA7" s="414"/>
      <c r="OIB7" s="414"/>
      <c r="OIC7" s="414"/>
      <c r="OID7" s="414"/>
      <c r="OIE7" s="414"/>
      <c r="OIF7" s="414"/>
      <c r="OIG7" s="414"/>
      <c r="OIH7" s="414"/>
      <c r="OII7" s="414"/>
      <c r="OIJ7" s="414"/>
      <c r="OIK7" s="414"/>
      <c r="OIL7" s="414"/>
      <c r="OIM7" s="414"/>
      <c r="OIN7" s="414"/>
      <c r="OIO7" s="414"/>
      <c r="OIP7" s="414"/>
      <c r="OIQ7" s="414"/>
      <c r="OIR7" s="414"/>
      <c r="OIS7" s="414"/>
      <c r="OIT7" s="414"/>
      <c r="OIU7" s="414"/>
      <c r="OIV7" s="414"/>
      <c r="OIW7" s="414"/>
      <c r="OIX7" s="414"/>
      <c r="OIY7" s="414"/>
      <c r="OIZ7" s="414"/>
      <c r="OJA7" s="414"/>
      <c r="OJB7" s="414"/>
      <c r="OJC7" s="414"/>
      <c r="OJD7" s="414"/>
      <c r="OJE7" s="414"/>
      <c r="OJF7" s="414"/>
      <c r="OJG7" s="414"/>
      <c r="OJH7" s="414"/>
      <c r="OJI7" s="414"/>
      <c r="OJJ7" s="414"/>
      <c r="OJK7" s="414"/>
      <c r="OJL7" s="414"/>
      <c r="OJM7" s="414"/>
      <c r="OJN7" s="414"/>
      <c r="OJO7" s="414"/>
      <c r="OJP7" s="414"/>
      <c r="OJQ7" s="414"/>
      <c r="OJR7" s="414"/>
      <c r="OJS7" s="414"/>
      <c r="OJT7" s="414"/>
      <c r="OJU7" s="414"/>
      <c r="OJV7" s="414"/>
      <c r="OJW7" s="414"/>
      <c r="OJX7" s="414"/>
      <c r="OJY7" s="414"/>
      <c r="OJZ7" s="414"/>
      <c r="OKA7" s="414"/>
      <c r="OKB7" s="414"/>
      <c r="OKC7" s="414"/>
      <c r="OKD7" s="414"/>
      <c r="OKE7" s="414"/>
      <c r="OKF7" s="414"/>
      <c r="OKG7" s="414"/>
      <c r="OKH7" s="414"/>
      <c r="OKI7" s="414"/>
      <c r="OKJ7" s="414"/>
      <c r="OKK7" s="414"/>
      <c r="OKL7" s="414"/>
      <c r="OKM7" s="414"/>
      <c r="OKN7" s="414"/>
      <c r="OKO7" s="414"/>
      <c r="OKP7" s="414"/>
      <c r="OKQ7" s="414"/>
      <c r="OKR7" s="414"/>
      <c r="OKS7" s="414"/>
      <c r="OKT7" s="414"/>
      <c r="OKU7" s="414"/>
      <c r="OKV7" s="414"/>
      <c r="OKW7" s="414"/>
      <c r="OKX7" s="414"/>
      <c r="OKY7" s="414"/>
      <c r="OKZ7" s="414"/>
      <c r="OLA7" s="414"/>
      <c r="OLB7" s="414"/>
      <c r="OLC7" s="414"/>
      <c r="OLD7" s="414"/>
      <c r="OLE7" s="414"/>
      <c r="OLF7" s="414"/>
      <c r="OLG7" s="414"/>
      <c r="OLH7" s="414"/>
      <c r="OLI7" s="414"/>
      <c r="OLJ7" s="414"/>
      <c r="OLK7" s="414"/>
      <c r="OLL7" s="414"/>
      <c r="OLM7" s="414"/>
      <c r="OLN7" s="414"/>
      <c r="OLO7" s="414"/>
      <c r="OLP7" s="414"/>
      <c r="OLQ7" s="414"/>
      <c r="OLR7" s="414"/>
      <c r="OLS7" s="414"/>
      <c r="OLT7" s="414"/>
      <c r="OLU7" s="414"/>
      <c r="OLV7" s="414"/>
      <c r="OLW7" s="414"/>
      <c r="OLX7" s="414"/>
      <c r="OLY7" s="414"/>
      <c r="OLZ7" s="414"/>
      <c r="OMA7" s="414"/>
      <c r="OMB7" s="414"/>
      <c r="OMC7" s="414"/>
      <c r="OMD7" s="414"/>
      <c r="OME7" s="414"/>
      <c r="OMF7" s="414"/>
      <c r="OMG7" s="414"/>
      <c r="OMH7" s="414"/>
      <c r="OMI7" s="414"/>
      <c r="OMJ7" s="414"/>
      <c r="OMK7" s="414"/>
      <c r="OML7" s="414"/>
      <c r="OMM7" s="414"/>
      <c r="OMN7" s="414"/>
      <c r="OMO7" s="414"/>
      <c r="OMP7" s="414"/>
      <c r="OMQ7" s="414"/>
      <c r="OMR7" s="414"/>
      <c r="OMS7" s="414"/>
      <c r="OMT7" s="414"/>
      <c r="OMU7" s="414"/>
      <c r="OMV7" s="414"/>
      <c r="OMW7" s="414"/>
      <c r="OMX7" s="414"/>
      <c r="OMY7" s="414"/>
      <c r="OMZ7" s="414"/>
      <c r="ONA7" s="414"/>
      <c r="ONB7" s="414"/>
      <c r="ONC7" s="414"/>
      <c r="OND7" s="414"/>
      <c r="ONE7" s="414"/>
      <c r="ONF7" s="414"/>
      <c r="ONG7" s="414"/>
      <c r="ONH7" s="414"/>
      <c r="ONI7" s="414"/>
      <c r="ONJ7" s="414"/>
      <c r="ONK7" s="414"/>
      <c r="ONL7" s="414"/>
      <c r="ONM7" s="414"/>
      <c r="ONN7" s="414"/>
      <c r="ONO7" s="414"/>
      <c r="ONP7" s="414"/>
      <c r="ONQ7" s="414"/>
      <c r="ONR7" s="414"/>
      <c r="ONS7" s="414"/>
      <c r="ONT7" s="414"/>
      <c r="ONU7" s="414"/>
      <c r="ONV7" s="414"/>
      <c r="ONW7" s="414"/>
      <c r="ONX7" s="414"/>
      <c r="ONY7" s="414"/>
      <c r="ONZ7" s="414"/>
      <c r="OOA7" s="414"/>
      <c r="OOB7" s="414"/>
      <c r="OOC7" s="414"/>
      <c r="OOD7" s="414"/>
      <c r="OOE7" s="414"/>
      <c r="OOF7" s="414"/>
      <c r="OOG7" s="414"/>
      <c r="OOH7" s="414"/>
      <c r="OOI7" s="414"/>
      <c r="OOJ7" s="414"/>
      <c r="OOK7" s="414"/>
      <c r="OOL7" s="414"/>
      <c r="OOM7" s="414"/>
      <c r="OON7" s="414"/>
      <c r="OOO7" s="414"/>
      <c r="OOP7" s="414"/>
      <c r="OOQ7" s="414"/>
      <c r="OOR7" s="414"/>
      <c r="OOS7" s="414"/>
      <c r="OOT7" s="414"/>
      <c r="OOU7" s="414"/>
      <c r="OOV7" s="414"/>
      <c r="OOW7" s="414"/>
      <c r="OOX7" s="414"/>
      <c r="OOY7" s="414"/>
      <c r="OOZ7" s="414"/>
      <c r="OPA7" s="414"/>
      <c r="OPB7" s="414"/>
      <c r="OPC7" s="414"/>
      <c r="OPD7" s="414"/>
      <c r="OPE7" s="414"/>
      <c r="OPF7" s="414"/>
      <c r="OPG7" s="414"/>
      <c r="OPH7" s="414"/>
      <c r="OPI7" s="414"/>
      <c r="OPJ7" s="414"/>
      <c r="OPK7" s="414"/>
      <c r="OPL7" s="414"/>
      <c r="OPM7" s="414"/>
      <c r="OPN7" s="414"/>
      <c r="OPO7" s="414"/>
      <c r="OPP7" s="414"/>
      <c r="OPQ7" s="414"/>
      <c r="OPR7" s="414"/>
      <c r="OPS7" s="414"/>
      <c r="OPT7" s="414"/>
      <c r="OPU7" s="414"/>
      <c r="OPV7" s="414"/>
      <c r="OPW7" s="414"/>
      <c r="OPX7" s="414"/>
      <c r="OPY7" s="414"/>
      <c r="OPZ7" s="414"/>
      <c r="OQA7" s="414"/>
      <c r="OQB7" s="414"/>
      <c r="OQC7" s="414"/>
      <c r="OQD7" s="414"/>
      <c r="OQE7" s="414"/>
      <c r="OQF7" s="414"/>
      <c r="OQG7" s="414"/>
      <c r="OQH7" s="414"/>
      <c r="OQI7" s="414"/>
      <c r="OQJ7" s="414"/>
      <c r="OQK7" s="414"/>
      <c r="OQL7" s="414"/>
      <c r="OQM7" s="414"/>
      <c r="OQN7" s="414"/>
      <c r="OQO7" s="414"/>
      <c r="OQP7" s="414"/>
      <c r="OQQ7" s="414"/>
      <c r="OQR7" s="414"/>
      <c r="OQS7" s="414"/>
      <c r="OQT7" s="414"/>
      <c r="OQU7" s="414"/>
      <c r="OQV7" s="414"/>
      <c r="OQW7" s="414"/>
      <c r="OQX7" s="414"/>
      <c r="OQY7" s="414"/>
      <c r="OQZ7" s="414"/>
      <c r="ORA7" s="414"/>
      <c r="ORB7" s="414"/>
      <c r="ORC7" s="414"/>
      <c r="ORD7" s="414"/>
      <c r="ORE7" s="414"/>
      <c r="ORF7" s="414"/>
      <c r="ORG7" s="414"/>
      <c r="ORH7" s="414"/>
      <c r="ORI7" s="414"/>
      <c r="ORJ7" s="414"/>
      <c r="ORK7" s="414"/>
      <c r="ORL7" s="414"/>
      <c r="ORM7" s="414"/>
      <c r="ORN7" s="414"/>
      <c r="ORO7" s="414"/>
      <c r="ORP7" s="414"/>
      <c r="ORQ7" s="414"/>
      <c r="ORR7" s="414"/>
      <c r="ORS7" s="414"/>
      <c r="ORT7" s="414"/>
      <c r="ORU7" s="414"/>
      <c r="ORV7" s="414"/>
      <c r="ORW7" s="414"/>
      <c r="ORX7" s="414"/>
      <c r="ORY7" s="414"/>
      <c r="ORZ7" s="414"/>
      <c r="OSA7" s="414"/>
      <c r="OSB7" s="414"/>
      <c r="OSC7" s="414"/>
      <c r="OSD7" s="414"/>
      <c r="OSE7" s="414"/>
      <c r="OSF7" s="414"/>
      <c r="OSG7" s="414"/>
      <c r="OSH7" s="414"/>
      <c r="OSI7" s="414"/>
      <c r="OSJ7" s="414"/>
      <c r="OSK7" s="414"/>
      <c r="OSL7" s="414"/>
      <c r="OSM7" s="414"/>
      <c r="OSN7" s="414"/>
      <c r="OSO7" s="414"/>
      <c r="OSP7" s="414"/>
      <c r="OSQ7" s="414"/>
      <c r="OSR7" s="414"/>
      <c r="OSS7" s="414"/>
      <c r="OST7" s="414"/>
      <c r="OSU7" s="414"/>
      <c r="OSV7" s="414"/>
      <c r="OSW7" s="414"/>
      <c r="OSX7" s="414"/>
      <c r="OSY7" s="414"/>
      <c r="OSZ7" s="414"/>
      <c r="OTA7" s="414"/>
      <c r="OTB7" s="414"/>
      <c r="OTC7" s="414"/>
      <c r="OTD7" s="414"/>
      <c r="OTE7" s="414"/>
      <c r="OTF7" s="414"/>
      <c r="OTG7" s="414"/>
      <c r="OTH7" s="414"/>
      <c r="OTI7" s="414"/>
      <c r="OTJ7" s="414"/>
      <c r="OTK7" s="414"/>
      <c r="OTL7" s="414"/>
      <c r="OTM7" s="414"/>
      <c r="OTN7" s="414"/>
      <c r="OTO7" s="414"/>
      <c r="OTP7" s="414"/>
      <c r="OTQ7" s="414"/>
      <c r="OTR7" s="414"/>
      <c r="OTS7" s="414"/>
      <c r="OTT7" s="414"/>
      <c r="OTU7" s="414"/>
      <c r="OTV7" s="414"/>
      <c r="OTW7" s="414"/>
      <c r="OTX7" s="414"/>
      <c r="OTY7" s="414"/>
      <c r="OTZ7" s="414"/>
      <c r="OUA7" s="414"/>
      <c r="OUB7" s="414"/>
      <c r="OUC7" s="414"/>
      <c r="OUD7" s="414"/>
      <c r="OUE7" s="414"/>
      <c r="OUF7" s="414"/>
      <c r="OUG7" s="414"/>
      <c r="OUH7" s="414"/>
      <c r="OUI7" s="414"/>
      <c r="OUJ7" s="414"/>
      <c r="OUK7" s="414"/>
      <c r="OUL7" s="414"/>
      <c r="OUM7" s="414"/>
      <c r="OUN7" s="414"/>
      <c r="OUO7" s="414"/>
      <c r="OUP7" s="414"/>
      <c r="OUQ7" s="414"/>
      <c r="OUR7" s="414"/>
      <c r="OUS7" s="414"/>
      <c r="OUT7" s="414"/>
      <c r="OUU7" s="414"/>
      <c r="OUV7" s="414"/>
      <c r="OUW7" s="414"/>
      <c r="OUX7" s="414"/>
      <c r="OUY7" s="414"/>
      <c r="OUZ7" s="414"/>
      <c r="OVA7" s="414"/>
      <c r="OVB7" s="414"/>
      <c r="OVC7" s="414"/>
      <c r="OVD7" s="414"/>
      <c r="OVE7" s="414"/>
      <c r="OVF7" s="414"/>
      <c r="OVG7" s="414"/>
      <c r="OVH7" s="414"/>
      <c r="OVI7" s="414"/>
      <c r="OVJ7" s="414"/>
      <c r="OVK7" s="414"/>
      <c r="OVL7" s="414"/>
      <c r="OVM7" s="414"/>
      <c r="OVN7" s="414"/>
      <c r="OVO7" s="414"/>
      <c r="OVP7" s="414"/>
      <c r="OVQ7" s="414"/>
      <c r="OVR7" s="414"/>
      <c r="OVS7" s="414"/>
      <c r="OVT7" s="414"/>
      <c r="OVU7" s="414"/>
      <c r="OVV7" s="414"/>
      <c r="OVW7" s="414"/>
      <c r="OVX7" s="414"/>
      <c r="OVY7" s="414"/>
      <c r="OVZ7" s="414"/>
      <c r="OWA7" s="414"/>
      <c r="OWB7" s="414"/>
      <c r="OWC7" s="414"/>
      <c r="OWD7" s="414"/>
      <c r="OWE7" s="414"/>
      <c r="OWF7" s="414"/>
      <c r="OWG7" s="414"/>
      <c r="OWH7" s="414"/>
      <c r="OWI7" s="414"/>
      <c r="OWJ7" s="414"/>
      <c r="OWK7" s="414"/>
      <c r="OWL7" s="414"/>
      <c r="OWM7" s="414"/>
      <c r="OWN7" s="414"/>
      <c r="OWO7" s="414"/>
      <c r="OWP7" s="414"/>
      <c r="OWQ7" s="414"/>
      <c r="OWR7" s="414"/>
      <c r="OWS7" s="414"/>
      <c r="OWT7" s="414"/>
      <c r="OWU7" s="414"/>
      <c r="OWV7" s="414"/>
      <c r="OWW7" s="414"/>
      <c r="OWX7" s="414"/>
      <c r="OWY7" s="414"/>
      <c r="OWZ7" s="414"/>
      <c r="OXA7" s="414"/>
      <c r="OXB7" s="414"/>
      <c r="OXC7" s="414"/>
      <c r="OXD7" s="414"/>
      <c r="OXE7" s="414"/>
      <c r="OXF7" s="414"/>
      <c r="OXG7" s="414"/>
      <c r="OXH7" s="414"/>
      <c r="OXI7" s="414"/>
      <c r="OXJ7" s="414"/>
      <c r="OXK7" s="414"/>
      <c r="OXL7" s="414"/>
      <c r="OXM7" s="414"/>
      <c r="OXN7" s="414"/>
      <c r="OXO7" s="414"/>
      <c r="OXP7" s="414"/>
      <c r="OXQ7" s="414"/>
      <c r="OXR7" s="414"/>
      <c r="OXS7" s="414"/>
      <c r="OXT7" s="414"/>
      <c r="OXU7" s="414"/>
      <c r="OXV7" s="414"/>
      <c r="OXW7" s="414"/>
      <c r="OXX7" s="414"/>
      <c r="OXY7" s="414"/>
      <c r="OXZ7" s="414"/>
      <c r="OYA7" s="414"/>
      <c r="OYB7" s="414"/>
      <c r="OYC7" s="414"/>
      <c r="OYD7" s="414"/>
      <c r="OYE7" s="414"/>
      <c r="OYF7" s="414"/>
      <c r="OYG7" s="414"/>
      <c r="OYH7" s="414"/>
      <c r="OYI7" s="414"/>
      <c r="OYJ7" s="414"/>
      <c r="OYK7" s="414"/>
      <c r="OYL7" s="414"/>
      <c r="OYM7" s="414"/>
      <c r="OYN7" s="414"/>
      <c r="OYO7" s="414"/>
      <c r="OYP7" s="414"/>
      <c r="OYQ7" s="414"/>
      <c r="OYR7" s="414"/>
      <c r="OYS7" s="414"/>
      <c r="OYT7" s="414"/>
      <c r="OYU7" s="414"/>
      <c r="OYV7" s="414"/>
      <c r="OYW7" s="414"/>
      <c r="OYX7" s="414"/>
      <c r="OYY7" s="414"/>
      <c r="OYZ7" s="414"/>
      <c r="OZA7" s="414"/>
      <c r="OZB7" s="414"/>
      <c r="OZC7" s="414"/>
      <c r="OZD7" s="414"/>
      <c r="OZE7" s="414"/>
      <c r="OZF7" s="414"/>
      <c r="OZG7" s="414"/>
      <c r="OZH7" s="414"/>
      <c r="OZI7" s="414"/>
      <c r="OZJ7" s="414"/>
      <c r="OZK7" s="414"/>
      <c r="OZL7" s="414"/>
      <c r="OZM7" s="414"/>
      <c r="OZN7" s="414"/>
      <c r="OZO7" s="414"/>
      <c r="OZP7" s="414"/>
      <c r="OZQ7" s="414"/>
      <c r="OZR7" s="414"/>
      <c r="OZS7" s="414"/>
      <c r="OZT7" s="414"/>
      <c r="OZU7" s="414"/>
      <c r="OZV7" s="414"/>
      <c r="OZW7" s="414"/>
      <c r="OZX7" s="414"/>
      <c r="OZY7" s="414"/>
      <c r="OZZ7" s="414"/>
      <c r="PAA7" s="414"/>
      <c r="PAB7" s="414"/>
      <c r="PAC7" s="414"/>
      <c r="PAD7" s="414"/>
      <c r="PAE7" s="414"/>
      <c r="PAF7" s="414"/>
      <c r="PAG7" s="414"/>
      <c r="PAH7" s="414"/>
      <c r="PAI7" s="414"/>
      <c r="PAJ7" s="414"/>
      <c r="PAK7" s="414"/>
      <c r="PAL7" s="414"/>
      <c r="PAM7" s="414"/>
      <c r="PAN7" s="414"/>
      <c r="PAO7" s="414"/>
      <c r="PAP7" s="414"/>
      <c r="PAQ7" s="414"/>
      <c r="PAR7" s="414"/>
      <c r="PAS7" s="414"/>
      <c r="PAT7" s="414"/>
      <c r="PAU7" s="414"/>
      <c r="PAV7" s="414"/>
      <c r="PAW7" s="414"/>
      <c r="PAX7" s="414"/>
      <c r="PAY7" s="414"/>
      <c r="PAZ7" s="414"/>
      <c r="PBA7" s="414"/>
      <c r="PBB7" s="414"/>
      <c r="PBC7" s="414"/>
      <c r="PBD7" s="414"/>
      <c r="PBE7" s="414"/>
      <c r="PBF7" s="414"/>
      <c r="PBG7" s="414"/>
      <c r="PBH7" s="414"/>
      <c r="PBI7" s="414"/>
      <c r="PBJ7" s="414"/>
      <c r="PBK7" s="414"/>
      <c r="PBL7" s="414"/>
      <c r="PBM7" s="414"/>
      <c r="PBN7" s="414"/>
      <c r="PBO7" s="414"/>
      <c r="PBP7" s="414"/>
      <c r="PBQ7" s="414"/>
      <c r="PBR7" s="414"/>
      <c r="PBS7" s="414"/>
      <c r="PBT7" s="414"/>
      <c r="PBU7" s="414"/>
      <c r="PBV7" s="414"/>
      <c r="PBW7" s="414"/>
      <c r="PBX7" s="414"/>
      <c r="PBY7" s="414"/>
      <c r="PBZ7" s="414"/>
      <c r="PCA7" s="414"/>
      <c r="PCB7" s="414"/>
      <c r="PCC7" s="414"/>
      <c r="PCD7" s="414"/>
      <c r="PCE7" s="414"/>
      <c r="PCF7" s="414"/>
      <c r="PCG7" s="414"/>
      <c r="PCH7" s="414"/>
      <c r="PCI7" s="414"/>
      <c r="PCJ7" s="414"/>
      <c r="PCK7" s="414"/>
      <c r="PCL7" s="414"/>
      <c r="PCM7" s="414"/>
      <c r="PCN7" s="414"/>
      <c r="PCO7" s="414"/>
      <c r="PCP7" s="414"/>
      <c r="PCQ7" s="414"/>
      <c r="PCR7" s="414"/>
      <c r="PCS7" s="414"/>
      <c r="PCT7" s="414"/>
      <c r="PCU7" s="414"/>
      <c r="PCV7" s="414"/>
      <c r="PCW7" s="414"/>
      <c r="PCX7" s="414"/>
      <c r="PCY7" s="414"/>
      <c r="PCZ7" s="414"/>
      <c r="PDA7" s="414"/>
      <c r="PDB7" s="414"/>
      <c r="PDC7" s="414"/>
      <c r="PDD7" s="414"/>
      <c r="PDE7" s="414"/>
      <c r="PDF7" s="414"/>
      <c r="PDG7" s="414"/>
      <c r="PDH7" s="414"/>
      <c r="PDI7" s="414"/>
      <c r="PDJ7" s="414"/>
      <c r="PDK7" s="414"/>
      <c r="PDL7" s="414"/>
      <c r="PDM7" s="414"/>
      <c r="PDN7" s="414"/>
      <c r="PDO7" s="414"/>
      <c r="PDP7" s="414"/>
      <c r="PDQ7" s="414"/>
      <c r="PDR7" s="414"/>
      <c r="PDS7" s="414"/>
      <c r="PDT7" s="414"/>
      <c r="PDU7" s="414"/>
      <c r="PDV7" s="414"/>
      <c r="PDW7" s="414"/>
      <c r="PDX7" s="414"/>
      <c r="PDY7" s="414"/>
      <c r="PDZ7" s="414"/>
      <c r="PEA7" s="414"/>
      <c r="PEB7" s="414"/>
      <c r="PEC7" s="414"/>
      <c r="PED7" s="414"/>
      <c r="PEE7" s="414"/>
      <c r="PEF7" s="414"/>
      <c r="PEG7" s="414"/>
      <c r="PEH7" s="414"/>
      <c r="PEI7" s="414"/>
      <c r="PEJ7" s="414"/>
      <c r="PEK7" s="414"/>
      <c r="PEL7" s="414"/>
      <c r="PEM7" s="414"/>
      <c r="PEN7" s="414"/>
      <c r="PEO7" s="414"/>
      <c r="PEP7" s="414"/>
      <c r="PEQ7" s="414"/>
      <c r="PER7" s="414"/>
      <c r="PES7" s="414"/>
      <c r="PET7" s="414"/>
      <c r="PEU7" s="414"/>
      <c r="PEV7" s="414"/>
      <c r="PEW7" s="414"/>
      <c r="PEX7" s="414"/>
      <c r="PEY7" s="414"/>
      <c r="PEZ7" s="414"/>
      <c r="PFA7" s="414"/>
      <c r="PFB7" s="414"/>
      <c r="PFC7" s="414"/>
      <c r="PFD7" s="414"/>
      <c r="PFE7" s="414"/>
      <c r="PFF7" s="414"/>
      <c r="PFG7" s="414"/>
      <c r="PFH7" s="414"/>
      <c r="PFI7" s="414"/>
      <c r="PFJ7" s="414"/>
      <c r="PFK7" s="414"/>
      <c r="PFL7" s="414"/>
      <c r="PFM7" s="414"/>
      <c r="PFN7" s="414"/>
      <c r="PFO7" s="414"/>
      <c r="PFP7" s="414"/>
      <c r="PFQ7" s="414"/>
      <c r="PFR7" s="414"/>
      <c r="PFS7" s="414"/>
      <c r="PFT7" s="414"/>
      <c r="PFU7" s="414"/>
      <c r="PFV7" s="414"/>
      <c r="PFW7" s="414"/>
      <c r="PFX7" s="414"/>
      <c r="PFY7" s="414"/>
      <c r="PFZ7" s="414"/>
      <c r="PGA7" s="414"/>
      <c r="PGB7" s="414"/>
      <c r="PGC7" s="414"/>
      <c r="PGD7" s="414"/>
      <c r="PGE7" s="414"/>
      <c r="PGF7" s="414"/>
      <c r="PGG7" s="414"/>
      <c r="PGH7" s="414"/>
      <c r="PGI7" s="414"/>
      <c r="PGJ7" s="414"/>
      <c r="PGK7" s="414"/>
      <c r="PGL7" s="414"/>
      <c r="PGM7" s="414"/>
      <c r="PGN7" s="414"/>
      <c r="PGO7" s="414"/>
      <c r="PGP7" s="414"/>
      <c r="PGQ7" s="414"/>
      <c r="PGR7" s="414"/>
      <c r="PGS7" s="414"/>
      <c r="PGT7" s="414"/>
      <c r="PGU7" s="414"/>
      <c r="PGV7" s="414"/>
      <c r="PGW7" s="414"/>
      <c r="PGX7" s="414"/>
      <c r="PGY7" s="414"/>
      <c r="PGZ7" s="414"/>
      <c r="PHA7" s="414"/>
      <c r="PHB7" s="414"/>
      <c r="PHC7" s="414"/>
      <c r="PHD7" s="414"/>
      <c r="PHE7" s="414"/>
      <c r="PHF7" s="414"/>
      <c r="PHG7" s="414"/>
      <c r="PHH7" s="414"/>
      <c r="PHI7" s="414"/>
      <c r="PHJ7" s="414"/>
      <c r="PHK7" s="414"/>
      <c r="PHL7" s="414"/>
      <c r="PHM7" s="414"/>
      <c r="PHN7" s="414"/>
      <c r="PHO7" s="414"/>
      <c r="PHP7" s="414"/>
      <c r="PHQ7" s="414"/>
      <c r="PHR7" s="414"/>
      <c r="PHS7" s="414"/>
      <c r="PHT7" s="414"/>
      <c r="PHU7" s="414"/>
      <c r="PHV7" s="414"/>
      <c r="PHW7" s="414"/>
      <c r="PHX7" s="414"/>
      <c r="PHY7" s="414"/>
      <c r="PHZ7" s="414"/>
      <c r="PIA7" s="414"/>
      <c r="PIB7" s="414"/>
      <c r="PIC7" s="414"/>
      <c r="PID7" s="414"/>
      <c r="PIE7" s="414"/>
      <c r="PIF7" s="414"/>
      <c r="PIG7" s="414"/>
      <c r="PIH7" s="414"/>
      <c r="PII7" s="414"/>
      <c r="PIJ7" s="414"/>
      <c r="PIK7" s="414"/>
      <c r="PIL7" s="414"/>
      <c r="PIM7" s="414"/>
      <c r="PIN7" s="414"/>
      <c r="PIO7" s="414"/>
      <c r="PIP7" s="414"/>
      <c r="PIQ7" s="414"/>
      <c r="PIR7" s="414"/>
      <c r="PIS7" s="414"/>
      <c r="PIT7" s="414"/>
      <c r="PIU7" s="414"/>
      <c r="PIV7" s="414"/>
      <c r="PIW7" s="414"/>
      <c r="PIX7" s="414"/>
      <c r="PIY7" s="414"/>
      <c r="PIZ7" s="414"/>
      <c r="PJA7" s="414"/>
      <c r="PJB7" s="414"/>
      <c r="PJC7" s="414"/>
      <c r="PJD7" s="414"/>
      <c r="PJE7" s="414"/>
      <c r="PJF7" s="414"/>
      <c r="PJG7" s="414"/>
      <c r="PJH7" s="414"/>
      <c r="PJI7" s="414"/>
      <c r="PJJ7" s="414"/>
      <c r="PJK7" s="414"/>
      <c r="PJL7" s="414"/>
      <c r="PJM7" s="414"/>
      <c r="PJN7" s="414"/>
      <c r="PJO7" s="414"/>
      <c r="PJP7" s="414"/>
      <c r="PJQ7" s="414"/>
      <c r="PJR7" s="414"/>
      <c r="PJS7" s="414"/>
      <c r="PJT7" s="414"/>
      <c r="PJU7" s="414"/>
      <c r="PJV7" s="414"/>
      <c r="PJW7" s="414"/>
      <c r="PJX7" s="414"/>
      <c r="PJY7" s="414"/>
      <c r="PJZ7" s="414"/>
      <c r="PKA7" s="414"/>
      <c r="PKB7" s="414"/>
      <c r="PKC7" s="414"/>
      <c r="PKD7" s="414"/>
      <c r="PKE7" s="414"/>
      <c r="PKF7" s="414"/>
      <c r="PKG7" s="414"/>
      <c r="PKH7" s="414"/>
      <c r="PKI7" s="414"/>
      <c r="PKJ7" s="414"/>
      <c r="PKK7" s="414"/>
      <c r="PKL7" s="414"/>
      <c r="PKM7" s="414"/>
      <c r="PKN7" s="414"/>
      <c r="PKO7" s="414"/>
      <c r="PKP7" s="414"/>
      <c r="PKQ7" s="414"/>
      <c r="PKR7" s="414"/>
      <c r="PKS7" s="414"/>
      <c r="PKT7" s="414"/>
      <c r="PKU7" s="414"/>
      <c r="PKV7" s="414"/>
      <c r="PKW7" s="414"/>
      <c r="PKX7" s="414"/>
      <c r="PKY7" s="414"/>
      <c r="PKZ7" s="414"/>
      <c r="PLA7" s="414"/>
      <c r="PLB7" s="414"/>
      <c r="PLC7" s="414"/>
      <c r="PLD7" s="414"/>
      <c r="PLE7" s="414"/>
      <c r="PLF7" s="414"/>
      <c r="PLG7" s="414"/>
      <c r="PLH7" s="414"/>
      <c r="PLI7" s="414"/>
      <c r="PLJ7" s="414"/>
      <c r="PLK7" s="414"/>
      <c r="PLL7" s="414"/>
      <c r="PLM7" s="414"/>
      <c r="PLN7" s="414"/>
      <c r="PLO7" s="414"/>
      <c r="PLP7" s="414"/>
      <c r="PLQ7" s="414"/>
      <c r="PLR7" s="414"/>
      <c r="PLS7" s="414"/>
      <c r="PLT7" s="414"/>
      <c r="PLU7" s="414"/>
      <c r="PLV7" s="414"/>
      <c r="PLW7" s="414"/>
      <c r="PLX7" s="414"/>
      <c r="PLY7" s="414"/>
      <c r="PLZ7" s="414"/>
      <c r="PMA7" s="414"/>
      <c r="PMB7" s="414"/>
      <c r="PMC7" s="414"/>
      <c r="PMD7" s="414"/>
      <c r="PME7" s="414"/>
      <c r="PMF7" s="414"/>
      <c r="PMG7" s="414"/>
      <c r="PMH7" s="414"/>
      <c r="PMI7" s="414"/>
      <c r="PMJ7" s="414"/>
      <c r="PMK7" s="414"/>
      <c r="PML7" s="414"/>
      <c r="PMM7" s="414"/>
      <c r="PMN7" s="414"/>
      <c r="PMO7" s="414"/>
      <c r="PMP7" s="414"/>
      <c r="PMQ7" s="414"/>
      <c r="PMR7" s="414"/>
      <c r="PMS7" s="414"/>
      <c r="PMT7" s="414"/>
      <c r="PMU7" s="414"/>
      <c r="PMV7" s="414"/>
      <c r="PMW7" s="414"/>
      <c r="PMX7" s="414"/>
      <c r="PMY7" s="414"/>
      <c r="PMZ7" s="414"/>
      <c r="PNA7" s="414"/>
      <c r="PNB7" s="414"/>
      <c r="PNC7" s="414"/>
      <c r="PND7" s="414"/>
      <c r="PNE7" s="414"/>
      <c r="PNF7" s="414"/>
      <c r="PNG7" s="414"/>
      <c r="PNH7" s="414"/>
      <c r="PNI7" s="414"/>
      <c r="PNJ7" s="414"/>
      <c r="PNK7" s="414"/>
      <c r="PNL7" s="414"/>
      <c r="PNM7" s="414"/>
      <c r="PNN7" s="414"/>
      <c r="PNO7" s="414"/>
      <c r="PNP7" s="414"/>
      <c r="PNQ7" s="414"/>
      <c r="PNR7" s="414"/>
      <c r="PNS7" s="414"/>
      <c r="PNT7" s="414"/>
      <c r="PNU7" s="414"/>
      <c r="PNV7" s="414"/>
      <c r="PNW7" s="414"/>
      <c r="PNX7" s="414"/>
      <c r="PNY7" s="414"/>
      <c r="PNZ7" s="414"/>
      <c r="POA7" s="414"/>
      <c r="POB7" s="414"/>
      <c r="POC7" s="414"/>
      <c r="POD7" s="414"/>
      <c r="POE7" s="414"/>
      <c r="POF7" s="414"/>
      <c r="POG7" s="414"/>
      <c r="POH7" s="414"/>
      <c r="POI7" s="414"/>
      <c r="POJ7" s="414"/>
      <c r="POK7" s="414"/>
      <c r="POL7" s="414"/>
      <c r="POM7" s="414"/>
      <c r="PON7" s="414"/>
      <c r="POO7" s="414"/>
      <c r="POP7" s="414"/>
      <c r="POQ7" s="414"/>
      <c r="POR7" s="414"/>
      <c r="POS7" s="414"/>
      <c r="POT7" s="414"/>
      <c r="POU7" s="414"/>
      <c r="POV7" s="414"/>
      <c r="POW7" s="414"/>
      <c r="POX7" s="414"/>
      <c r="POY7" s="414"/>
      <c r="POZ7" s="414"/>
      <c r="PPA7" s="414"/>
      <c r="PPB7" s="414"/>
      <c r="PPC7" s="414"/>
      <c r="PPD7" s="414"/>
      <c r="PPE7" s="414"/>
      <c r="PPF7" s="414"/>
      <c r="PPG7" s="414"/>
      <c r="PPH7" s="414"/>
      <c r="PPI7" s="414"/>
      <c r="PPJ7" s="414"/>
      <c r="PPK7" s="414"/>
      <c r="PPL7" s="414"/>
      <c r="PPM7" s="414"/>
      <c r="PPN7" s="414"/>
      <c r="PPO7" s="414"/>
      <c r="PPP7" s="414"/>
      <c r="PPQ7" s="414"/>
      <c r="PPR7" s="414"/>
      <c r="PPS7" s="414"/>
      <c r="PPT7" s="414"/>
      <c r="PPU7" s="414"/>
      <c r="PPV7" s="414"/>
      <c r="PPW7" s="414"/>
      <c r="PPX7" s="414"/>
      <c r="PPY7" s="414"/>
      <c r="PPZ7" s="414"/>
      <c r="PQA7" s="414"/>
      <c r="PQB7" s="414"/>
      <c r="PQC7" s="414"/>
      <c r="PQD7" s="414"/>
      <c r="PQE7" s="414"/>
      <c r="PQF7" s="414"/>
      <c r="PQG7" s="414"/>
      <c r="PQH7" s="414"/>
      <c r="PQI7" s="414"/>
      <c r="PQJ7" s="414"/>
      <c r="PQK7" s="414"/>
      <c r="PQL7" s="414"/>
      <c r="PQM7" s="414"/>
      <c r="PQN7" s="414"/>
      <c r="PQO7" s="414"/>
      <c r="PQP7" s="414"/>
      <c r="PQQ7" s="414"/>
      <c r="PQR7" s="414"/>
      <c r="PQS7" s="414"/>
      <c r="PQT7" s="414"/>
      <c r="PQU7" s="414"/>
      <c r="PQV7" s="414"/>
      <c r="PQW7" s="414"/>
      <c r="PQX7" s="414"/>
      <c r="PQY7" s="414"/>
      <c r="PQZ7" s="414"/>
      <c r="PRA7" s="414"/>
      <c r="PRB7" s="414"/>
      <c r="PRC7" s="414"/>
      <c r="PRD7" s="414"/>
      <c r="PRE7" s="414"/>
      <c r="PRF7" s="414"/>
      <c r="PRG7" s="414"/>
      <c r="PRH7" s="414"/>
      <c r="PRI7" s="414"/>
      <c r="PRJ7" s="414"/>
      <c r="PRK7" s="414"/>
      <c r="PRL7" s="414"/>
      <c r="PRM7" s="414"/>
      <c r="PRN7" s="414"/>
      <c r="PRO7" s="414"/>
      <c r="PRP7" s="414"/>
      <c r="PRQ7" s="414"/>
      <c r="PRR7" s="414"/>
      <c r="PRS7" s="414"/>
      <c r="PRT7" s="414"/>
      <c r="PRU7" s="414"/>
      <c r="PRV7" s="414"/>
      <c r="PRW7" s="414"/>
      <c r="PRX7" s="414"/>
      <c r="PRY7" s="414"/>
      <c r="PRZ7" s="414"/>
      <c r="PSA7" s="414"/>
      <c r="PSB7" s="414"/>
      <c r="PSC7" s="414"/>
      <c r="PSD7" s="414"/>
      <c r="PSE7" s="414"/>
      <c r="PSF7" s="414"/>
      <c r="PSG7" s="414"/>
      <c r="PSH7" s="414"/>
      <c r="PSI7" s="414"/>
      <c r="PSJ7" s="414"/>
      <c r="PSK7" s="414"/>
      <c r="PSL7" s="414"/>
      <c r="PSM7" s="414"/>
      <c r="PSN7" s="414"/>
      <c r="PSO7" s="414"/>
      <c r="PSP7" s="414"/>
      <c r="PSQ7" s="414"/>
      <c r="PSR7" s="414"/>
      <c r="PSS7" s="414"/>
      <c r="PST7" s="414"/>
      <c r="PSU7" s="414"/>
      <c r="PSV7" s="414"/>
      <c r="PSW7" s="414"/>
      <c r="PSX7" s="414"/>
      <c r="PSY7" s="414"/>
      <c r="PSZ7" s="414"/>
      <c r="PTA7" s="414"/>
      <c r="PTB7" s="414"/>
      <c r="PTC7" s="414"/>
      <c r="PTD7" s="414"/>
      <c r="PTE7" s="414"/>
      <c r="PTF7" s="414"/>
      <c r="PTG7" s="414"/>
      <c r="PTH7" s="414"/>
      <c r="PTI7" s="414"/>
      <c r="PTJ7" s="414"/>
      <c r="PTK7" s="414"/>
      <c r="PTL7" s="414"/>
      <c r="PTM7" s="414"/>
      <c r="PTN7" s="414"/>
      <c r="PTO7" s="414"/>
      <c r="PTP7" s="414"/>
      <c r="PTQ7" s="414"/>
      <c r="PTR7" s="414"/>
      <c r="PTS7" s="414"/>
      <c r="PTT7" s="414"/>
      <c r="PTU7" s="414"/>
      <c r="PTV7" s="414"/>
      <c r="PTW7" s="414"/>
      <c r="PTX7" s="414"/>
      <c r="PTY7" s="414"/>
      <c r="PTZ7" s="414"/>
      <c r="PUA7" s="414"/>
      <c r="PUB7" s="414"/>
      <c r="PUC7" s="414"/>
      <c r="PUD7" s="414"/>
      <c r="PUE7" s="414"/>
      <c r="PUF7" s="414"/>
      <c r="PUG7" s="414"/>
      <c r="PUH7" s="414"/>
      <c r="PUI7" s="414"/>
      <c r="PUJ7" s="414"/>
      <c r="PUK7" s="414"/>
      <c r="PUL7" s="414"/>
      <c r="PUM7" s="414"/>
      <c r="PUN7" s="414"/>
      <c r="PUO7" s="414"/>
      <c r="PUP7" s="414"/>
      <c r="PUQ7" s="414"/>
      <c r="PUR7" s="414"/>
      <c r="PUS7" s="414"/>
      <c r="PUT7" s="414"/>
      <c r="PUU7" s="414"/>
      <c r="PUV7" s="414"/>
      <c r="PUW7" s="414"/>
      <c r="PUX7" s="414"/>
      <c r="PUY7" s="414"/>
      <c r="PUZ7" s="414"/>
      <c r="PVA7" s="414"/>
      <c r="PVB7" s="414"/>
      <c r="PVC7" s="414"/>
      <c r="PVD7" s="414"/>
      <c r="PVE7" s="414"/>
      <c r="PVF7" s="414"/>
      <c r="PVG7" s="414"/>
      <c r="PVH7" s="414"/>
      <c r="PVI7" s="414"/>
      <c r="PVJ7" s="414"/>
      <c r="PVK7" s="414"/>
      <c r="PVL7" s="414"/>
      <c r="PVM7" s="414"/>
      <c r="PVN7" s="414"/>
      <c r="PVO7" s="414"/>
      <c r="PVP7" s="414"/>
      <c r="PVQ7" s="414"/>
      <c r="PVR7" s="414"/>
      <c r="PVS7" s="414"/>
      <c r="PVT7" s="414"/>
      <c r="PVU7" s="414"/>
      <c r="PVV7" s="414"/>
      <c r="PVW7" s="414"/>
      <c r="PVX7" s="414"/>
      <c r="PVY7" s="414"/>
      <c r="PVZ7" s="414"/>
      <c r="PWA7" s="414"/>
      <c r="PWB7" s="414"/>
      <c r="PWC7" s="414"/>
      <c r="PWD7" s="414"/>
      <c r="PWE7" s="414"/>
      <c r="PWF7" s="414"/>
      <c r="PWG7" s="414"/>
      <c r="PWH7" s="414"/>
      <c r="PWI7" s="414"/>
      <c r="PWJ7" s="414"/>
      <c r="PWK7" s="414"/>
      <c r="PWL7" s="414"/>
      <c r="PWM7" s="414"/>
      <c r="PWN7" s="414"/>
      <c r="PWO7" s="414"/>
      <c r="PWP7" s="414"/>
      <c r="PWQ7" s="414"/>
      <c r="PWR7" s="414"/>
      <c r="PWS7" s="414"/>
      <c r="PWT7" s="414"/>
      <c r="PWU7" s="414"/>
      <c r="PWV7" s="414"/>
      <c r="PWW7" s="414"/>
      <c r="PWX7" s="414"/>
      <c r="PWY7" s="414"/>
      <c r="PWZ7" s="414"/>
      <c r="PXA7" s="414"/>
      <c r="PXB7" s="414"/>
      <c r="PXC7" s="414"/>
      <c r="PXD7" s="414"/>
      <c r="PXE7" s="414"/>
      <c r="PXF7" s="414"/>
      <c r="PXG7" s="414"/>
      <c r="PXH7" s="414"/>
      <c r="PXI7" s="414"/>
      <c r="PXJ7" s="414"/>
      <c r="PXK7" s="414"/>
      <c r="PXL7" s="414"/>
      <c r="PXM7" s="414"/>
      <c r="PXN7" s="414"/>
      <c r="PXO7" s="414"/>
      <c r="PXP7" s="414"/>
      <c r="PXQ7" s="414"/>
      <c r="PXR7" s="414"/>
      <c r="PXS7" s="414"/>
      <c r="PXT7" s="414"/>
      <c r="PXU7" s="414"/>
      <c r="PXV7" s="414"/>
      <c r="PXW7" s="414"/>
      <c r="PXX7" s="414"/>
      <c r="PXY7" s="414"/>
      <c r="PXZ7" s="414"/>
      <c r="PYA7" s="414"/>
      <c r="PYB7" s="414"/>
      <c r="PYC7" s="414"/>
      <c r="PYD7" s="414"/>
      <c r="PYE7" s="414"/>
      <c r="PYF7" s="414"/>
      <c r="PYG7" s="414"/>
      <c r="PYH7" s="414"/>
      <c r="PYI7" s="414"/>
      <c r="PYJ7" s="414"/>
      <c r="PYK7" s="414"/>
      <c r="PYL7" s="414"/>
      <c r="PYM7" s="414"/>
      <c r="PYN7" s="414"/>
      <c r="PYO7" s="414"/>
      <c r="PYP7" s="414"/>
      <c r="PYQ7" s="414"/>
      <c r="PYR7" s="414"/>
      <c r="PYS7" s="414"/>
      <c r="PYT7" s="414"/>
      <c r="PYU7" s="414"/>
      <c r="PYV7" s="414"/>
      <c r="PYW7" s="414"/>
      <c r="PYX7" s="414"/>
      <c r="PYY7" s="414"/>
      <c r="PYZ7" s="414"/>
      <c r="PZA7" s="414"/>
      <c r="PZB7" s="414"/>
      <c r="PZC7" s="414"/>
      <c r="PZD7" s="414"/>
      <c r="PZE7" s="414"/>
      <c r="PZF7" s="414"/>
      <c r="PZG7" s="414"/>
      <c r="PZH7" s="414"/>
      <c r="PZI7" s="414"/>
      <c r="PZJ7" s="414"/>
      <c r="PZK7" s="414"/>
      <c r="PZL7" s="414"/>
      <c r="PZM7" s="414"/>
      <c r="PZN7" s="414"/>
      <c r="PZO7" s="414"/>
      <c r="PZP7" s="414"/>
      <c r="PZQ7" s="414"/>
      <c r="PZR7" s="414"/>
      <c r="PZS7" s="414"/>
      <c r="PZT7" s="414"/>
      <c r="PZU7" s="414"/>
      <c r="PZV7" s="414"/>
      <c r="PZW7" s="414"/>
      <c r="PZX7" s="414"/>
      <c r="PZY7" s="414"/>
      <c r="PZZ7" s="414"/>
      <c r="QAA7" s="414"/>
      <c r="QAB7" s="414"/>
      <c r="QAC7" s="414"/>
      <c r="QAD7" s="414"/>
      <c r="QAE7" s="414"/>
      <c r="QAF7" s="414"/>
      <c r="QAG7" s="414"/>
      <c r="QAH7" s="414"/>
      <c r="QAI7" s="414"/>
      <c r="QAJ7" s="414"/>
      <c r="QAK7" s="414"/>
      <c r="QAL7" s="414"/>
      <c r="QAM7" s="414"/>
      <c r="QAN7" s="414"/>
      <c r="QAO7" s="414"/>
      <c r="QAP7" s="414"/>
      <c r="QAQ7" s="414"/>
      <c r="QAR7" s="414"/>
      <c r="QAS7" s="414"/>
      <c r="QAT7" s="414"/>
      <c r="QAU7" s="414"/>
      <c r="QAV7" s="414"/>
      <c r="QAW7" s="414"/>
      <c r="QAX7" s="414"/>
      <c r="QAY7" s="414"/>
      <c r="QAZ7" s="414"/>
      <c r="QBA7" s="414"/>
      <c r="QBB7" s="414"/>
      <c r="QBC7" s="414"/>
      <c r="QBD7" s="414"/>
      <c r="QBE7" s="414"/>
      <c r="QBF7" s="414"/>
      <c r="QBG7" s="414"/>
      <c r="QBH7" s="414"/>
      <c r="QBI7" s="414"/>
      <c r="QBJ7" s="414"/>
      <c r="QBK7" s="414"/>
      <c r="QBL7" s="414"/>
      <c r="QBM7" s="414"/>
      <c r="QBN7" s="414"/>
      <c r="QBO7" s="414"/>
      <c r="QBP7" s="414"/>
      <c r="QBQ7" s="414"/>
      <c r="QBR7" s="414"/>
      <c r="QBS7" s="414"/>
      <c r="QBT7" s="414"/>
      <c r="QBU7" s="414"/>
      <c r="QBV7" s="414"/>
      <c r="QBW7" s="414"/>
      <c r="QBX7" s="414"/>
      <c r="QBY7" s="414"/>
      <c r="QBZ7" s="414"/>
      <c r="QCA7" s="414"/>
      <c r="QCB7" s="414"/>
      <c r="QCC7" s="414"/>
      <c r="QCD7" s="414"/>
      <c r="QCE7" s="414"/>
      <c r="QCF7" s="414"/>
      <c r="QCG7" s="414"/>
      <c r="QCH7" s="414"/>
      <c r="QCI7" s="414"/>
      <c r="QCJ7" s="414"/>
      <c r="QCK7" s="414"/>
      <c r="QCL7" s="414"/>
      <c r="QCM7" s="414"/>
      <c r="QCN7" s="414"/>
      <c r="QCO7" s="414"/>
      <c r="QCP7" s="414"/>
      <c r="QCQ7" s="414"/>
      <c r="QCR7" s="414"/>
      <c r="QCS7" s="414"/>
      <c r="QCT7" s="414"/>
      <c r="QCU7" s="414"/>
      <c r="QCV7" s="414"/>
      <c r="QCW7" s="414"/>
      <c r="QCX7" s="414"/>
      <c r="QCY7" s="414"/>
      <c r="QCZ7" s="414"/>
      <c r="QDA7" s="414"/>
      <c r="QDB7" s="414"/>
      <c r="QDC7" s="414"/>
      <c r="QDD7" s="414"/>
      <c r="QDE7" s="414"/>
      <c r="QDF7" s="414"/>
      <c r="QDG7" s="414"/>
      <c r="QDH7" s="414"/>
      <c r="QDI7" s="414"/>
      <c r="QDJ7" s="414"/>
      <c r="QDK7" s="414"/>
      <c r="QDL7" s="414"/>
      <c r="QDM7" s="414"/>
      <c r="QDN7" s="414"/>
      <c r="QDO7" s="414"/>
      <c r="QDP7" s="414"/>
      <c r="QDQ7" s="414"/>
      <c r="QDR7" s="414"/>
      <c r="QDS7" s="414"/>
      <c r="QDT7" s="414"/>
      <c r="QDU7" s="414"/>
      <c r="QDV7" s="414"/>
      <c r="QDW7" s="414"/>
      <c r="QDX7" s="414"/>
      <c r="QDY7" s="414"/>
      <c r="QDZ7" s="414"/>
      <c r="QEA7" s="414"/>
      <c r="QEB7" s="414"/>
      <c r="QEC7" s="414"/>
      <c r="QED7" s="414"/>
      <c r="QEE7" s="414"/>
      <c r="QEF7" s="414"/>
      <c r="QEG7" s="414"/>
      <c r="QEH7" s="414"/>
      <c r="QEI7" s="414"/>
      <c r="QEJ7" s="414"/>
      <c r="QEK7" s="414"/>
      <c r="QEL7" s="414"/>
      <c r="QEM7" s="414"/>
      <c r="QEN7" s="414"/>
      <c r="QEO7" s="414"/>
      <c r="QEP7" s="414"/>
      <c r="QEQ7" s="414"/>
      <c r="QER7" s="414"/>
      <c r="QES7" s="414"/>
      <c r="QET7" s="414"/>
      <c r="QEU7" s="414"/>
      <c r="QEV7" s="414"/>
      <c r="QEW7" s="414"/>
      <c r="QEX7" s="414"/>
      <c r="QEY7" s="414"/>
      <c r="QEZ7" s="414"/>
      <c r="QFA7" s="414"/>
      <c r="QFB7" s="414"/>
      <c r="QFC7" s="414"/>
      <c r="QFD7" s="414"/>
      <c r="QFE7" s="414"/>
      <c r="QFF7" s="414"/>
      <c r="QFG7" s="414"/>
      <c r="QFH7" s="414"/>
      <c r="QFI7" s="414"/>
      <c r="QFJ7" s="414"/>
      <c r="QFK7" s="414"/>
      <c r="QFL7" s="414"/>
      <c r="QFM7" s="414"/>
      <c r="QFN7" s="414"/>
      <c r="QFO7" s="414"/>
      <c r="QFP7" s="414"/>
      <c r="QFQ7" s="414"/>
      <c r="QFR7" s="414"/>
      <c r="QFS7" s="414"/>
      <c r="QFT7" s="414"/>
      <c r="QFU7" s="414"/>
      <c r="QFV7" s="414"/>
      <c r="QFW7" s="414"/>
      <c r="QFX7" s="414"/>
      <c r="QFY7" s="414"/>
      <c r="QFZ7" s="414"/>
      <c r="QGA7" s="414"/>
      <c r="QGB7" s="414"/>
      <c r="QGC7" s="414"/>
      <c r="QGD7" s="414"/>
      <c r="QGE7" s="414"/>
      <c r="QGF7" s="414"/>
      <c r="QGG7" s="414"/>
      <c r="QGH7" s="414"/>
      <c r="QGI7" s="414"/>
      <c r="QGJ7" s="414"/>
      <c r="QGK7" s="414"/>
      <c r="QGL7" s="414"/>
      <c r="QGM7" s="414"/>
      <c r="QGN7" s="414"/>
      <c r="QGO7" s="414"/>
      <c r="QGP7" s="414"/>
      <c r="QGQ7" s="414"/>
      <c r="QGR7" s="414"/>
      <c r="QGS7" s="414"/>
      <c r="QGT7" s="414"/>
      <c r="QGU7" s="414"/>
      <c r="QGV7" s="414"/>
      <c r="QGW7" s="414"/>
      <c r="QGX7" s="414"/>
      <c r="QGY7" s="414"/>
      <c r="QGZ7" s="414"/>
      <c r="QHA7" s="414"/>
      <c r="QHB7" s="414"/>
      <c r="QHC7" s="414"/>
      <c r="QHD7" s="414"/>
      <c r="QHE7" s="414"/>
      <c r="QHF7" s="414"/>
      <c r="QHG7" s="414"/>
      <c r="QHH7" s="414"/>
      <c r="QHI7" s="414"/>
      <c r="QHJ7" s="414"/>
      <c r="QHK7" s="414"/>
      <c r="QHL7" s="414"/>
      <c r="QHM7" s="414"/>
      <c r="QHN7" s="414"/>
      <c r="QHO7" s="414"/>
      <c r="QHP7" s="414"/>
      <c r="QHQ7" s="414"/>
      <c r="QHR7" s="414"/>
      <c r="QHS7" s="414"/>
      <c r="QHT7" s="414"/>
      <c r="QHU7" s="414"/>
      <c r="QHV7" s="414"/>
      <c r="QHW7" s="414"/>
      <c r="QHX7" s="414"/>
      <c r="QHY7" s="414"/>
      <c r="QHZ7" s="414"/>
      <c r="QIA7" s="414"/>
      <c r="QIB7" s="414"/>
      <c r="QIC7" s="414"/>
      <c r="QID7" s="414"/>
      <c r="QIE7" s="414"/>
      <c r="QIF7" s="414"/>
      <c r="QIG7" s="414"/>
      <c r="QIH7" s="414"/>
      <c r="QII7" s="414"/>
      <c r="QIJ7" s="414"/>
      <c r="QIK7" s="414"/>
      <c r="QIL7" s="414"/>
      <c r="QIM7" s="414"/>
      <c r="QIN7" s="414"/>
      <c r="QIO7" s="414"/>
      <c r="QIP7" s="414"/>
      <c r="QIQ7" s="414"/>
      <c r="QIR7" s="414"/>
      <c r="QIS7" s="414"/>
      <c r="QIT7" s="414"/>
      <c r="QIU7" s="414"/>
      <c r="QIV7" s="414"/>
      <c r="QIW7" s="414"/>
      <c r="QIX7" s="414"/>
      <c r="QIY7" s="414"/>
      <c r="QIZ7" s="414"/>
      <c r="QJA7" s="414"/>
      <c r="QJB7" s="414"/>
      <c r="QJC7" s="414"/>
      <c r="QJD7" s="414"/>
      <c r="QJE7" s="414"/>
      <c r="QJF7" s="414"/>
      <c r="QJG7" s="414"/>
      <c r="QJH7" s="414"/>
      <c r="QJI7" s="414"/>
      <c r="QJJ7" s="414"/>
      <c r="QJK7" s="414"/>
      <c r="QJL7" s="414"/>
      <c r="QJM7" s="414"/>
      <c r="QJN7" s="414"/>
      <c r="QJO7" s="414"/>
      <c r="QJP7" s="414"/>
      <c r="QJQ7" s="414"/>
      <c r="QJR7" s="414"/>
      <c r="QJS7" s="414"/>
      <c r="QJT7" s="414"/>
      <c r="QJU7" s="414"/>
      <c r="QJV7" s="414"/>
      <c r="QJW7" s="414"/>
      <c r="QJX7" s="414"/>
      <c r="QJY7" s="414"/>
      <c r="QJZ7" s="414"/>
      <c r="QKA7" s="414"/>
      <c r="QKB7" s="414"/>
      <c r="QKC7" s="414"/>
      <c r="QKD7" s="414"/>
      <c r="QKE7" s="414"/>
      <c r="QKF7" s="414"/>
      <c r="QKG7" s="414"/>
      <c r="QKH7" s="414"/>
      <c r="QKI7" s="414"/>
      <c r="QKJ7" s="414"/>
      <c r="QKK7" s="414"/>
      <c r="QKL7" s="414"/>
      <c r="QKM7" s="414"/>
      <c r="QKN7" s="414"/>
      <c r="QKO7" s="414"/>
      <c r="QKP7" s="414"/>
      <c r="QKQ7" s="414"/>
      <c r="QKR7" s="414"/>
      <c r="QKS7" s="414"/>
      <c r="QKT7" s="414"/>
      <c r="QKU7" s="414"/>
      <c r="QKV7" s="414"/>
      <c r="QKW7" s="414"/>
      <c r="QKX7" s="414"/>
      <c r="QKY7" s="414"/>
      <c r="QKZ7" s="414"/>
      <c r="QLA7" s="414"/>
      <c r="QLB7" s="414"/>
      <c r="QLC7" s="414"/>
      <c r="QLD7" s="414"/>
      <c r="QLE7" s="414"/>
      <c r="QLF7" s="414"/>
      <c r="QLG7" s="414"/>
      <c r="QLH7" s="414"/>
      <c r="QLI7" s="414"/>
      <c r="QLJ7" s="414"/>
      <c r="QLK7" s="414"/>
      <c r="QLL7" s="414"/>
      <c r="QLM7" s="414"/>
      <c r="QLN7" s="414"/>
      <c r="QLO7" s="414"/>
      <c r="QLP7" s="414"/>
      <c r="QLQ7" s="414"/>
      <c r="QLR7" s="414"/>
      <c r="QLS7" s="414"/>
      <c r="QLT7" s="414"/>
      <c r="QLU7" s="414"/>
      <c r="QLV7" s="414"/>
      <c r="QLW7" s="414"/>
      <c r="QLX7" s="414"/>
      <c r="QLY7" s="414"/>
      <c r="QLZ7" s="414"/>
      <c r="QMA7" s="414"/>
      <c r="QMB7" s="414"/>
      <c r="QMC7" s="414"/>
      <c r="QMD7" s="414"/>
      <c r="QME7" s="414"/>
      <c r="QMF7" s="414"/>
      <c r="QMG7" s="414"/>
      <c r="QMH7" s="414"/>
      <c r="QMI7" s="414"/>
      <c r="QMJ7" s="414"/>
      <c r="QMK7" s="414"/>
      <c r="QML7" s="414"/>
      <c r="QMM7" s="414"/>
      <c r="QMN7" s="414"/>
      <c r="QMO7" s="414"/>
      <c r="QMP7" s="414"/>
      <c r="QMQ7" s="414"/>
      <c r="QMR7" s="414"/>
      <c r="QMS7" s="414"/>
      <c r="QMT7" s="414"/>
      <c r="QMU7" s="414"/>
      <c r="QMV7" s="414"/>
      <c r="QMW7" s="414"/>
      <c r="QMX7" s="414"/>
      <c r="QMY7" s="414"/>
      <c r="QMZ7" s="414"/>
      <c r="QNA7" s="414"/>
      <c r="QNB7" s="414"/>
      <c r="QNC7" s="414"/>
      <c r="QND7" s="414"/>
      <c r="QNE7" s="414"/>
      <c r="QNF7" s="414"/>
      <c r="QNG7" s="414"/>
      <c r="QNH7" s="414"/>
      <c r="QNI7" s="414"/>
      <c r="QNJ7" s="414"/>
      <c r="QNK7" s="414"/>
      <c r="QNL7" s="414"/>
      <c r="QNM7" s="414"/>
      <c r="QNN7" s="414"/>
      <c r="QNO7" s="414"/>
      <c r="QNP7" s="414"/>
      <c r="QNQ7" s="414"/>
      <c r="QNR7" s="414"/>
      <c r="QNS7" s="414"/>
      <c r="QNT7" s="414"/>
      <c r="QNU7" s="414"/>
      <c r="QNV7" s="414"/>
      <c r="QNW7" s="414"/>
      <c r="QNX7" s="414"/>
      <c r="QNY7" s="414"/>
      <c r="QNZ7" s="414"/>
      <c r="QOA7" s="414"/>
      <c r="QOB7" s="414"/>
      <c r="QOC7" s="414"/>
      <c r="QOD7" s="414"/>
      <c r="QOE7" s="414"/>
      <c r="QOF7" s="414"/>
      <c r="QOG7" s="414"/>
      <c r="QOH7" s="414"/>
      <c r="QOI7" s="414"/>
      <c r="QOJ7" s="414"/>
      <c r="QOK7" s="414"/>
      <c r="QOL7" s="414"/>
      <c r="QOM7" s="414"/>
      <c r="QON7" s="414"/>
      <c r="QOO7" s="414"/>
      <c r="QOP7" s="414"/>
      <c r="QOQ7" s="414"/>
      <c r="QOR7" s="414"/>
      <c r="QOS7" s="414"/>
      <c r="QOT7" s="414"/>
      <c r="QOU7" s="414"/>
      <c r="QOV7" s="414"/>
      <c r="QOW7" s="414"/>
      <c r="QOX7" s="414"/>
      <c r="QOY7" s="414"/>
      <c r="QOZ7" s="414"/>
      <c r="QPA7" s="414"/>
      <c r="QPB7" s="414"/>
      <c r="QPC7" s="414"/>
      <c r="QPD7" s="414"/>
      <c r="QPE7" s="414"/>
      <c r="QPF7" s="414"/>
      <c r="QPG7" s="414"/>
      <c r="QPH7" s="414"/>
      <c r="QPI7" s="414"/>
      <c r="QPJ7" s="414"/>
      <c r="QPK7" s="414"/>
      <c r="QPL7" s="414"/>
      <c r="QPM7" s="414"/>
      <c r="QPN7" s="414"/>
      <c r="QPO7" s="414"/>
      <c r="QPP7" s="414"/>
      <c r="QPQ7" s="414"/>
      <c r="QPR7" s="414"/>
      <c r="QPS7" s="414"/>
      <c r="QPT7" s="414"/>
      <c r="QPU7" s="414"/>
      <c r="QPV7" s="414"/>
      <c r="QPW7" s="414"/>
      <c r="QPX7" s="414"/>
      <c r="QPY7" s="414"/>
      <c r="QPZ7" s="414"/>
      <c r="QQA7" s="414"/>
      <c r="QQB7" s="414"/>
      <c r="QQC7" s="414"/>
      <c r="QQD7" s="414"/>
      <c r="QQE7" s="414"/>
      <c r="QQF7" s="414"/>
      <c r="QQG7" s="414"/>
      <c r="QQH7" s="414"/>
      <c r="QQI7" s="414"/>
      <c r="QQJ7" s="414"/>
      <c r="QQK7" s="414"/>
      <c r="QQL7" s="414"/>
      <c r="QQM7" s="414"/>
      <c r="QQN7" s="414"/>
      <c r="QQO7" s="414"/>
      <c r="QQP7" s="414"/>
      <c r="QQQ7" s="414"/>
      <c r="QQR7" s="414"/>
      <c r="QQS7" s="414"/>
      <c r="QQT7" s="414"/>
      <c r="QQU7" s="414"/>
      <c r="QQV7" s="414"/>
      <c r="QQW7" s="414"/>
      <c r="QQX7" s="414"/>
      <c r="QQY7" s="414"/>
      <c r="QQZ7" s="414"/>
      <c r="QRA7" s="414"/>
      <c r="QRB7" s="414"/>
      <c r="QRC7" s="414"/>
      <c r="QRD7" s="414"/>
      <c r="QRE7" s="414"/>
      <c r="QRF7" s="414"/>
      <c r="QRG7" s="414"/>
      <c r="QRH7" s="414"/>
      <c r="QRI7" s="414"/>
      <c r="QRJ7" s="414"/>
      <c r="QRK7" s="414"/>
      <c r="QRL7" s="414"/>
      <c r="QRM7" s="414"/>
      <c r="QRN7" s="414"/>
      <c r="QRO7" s="414"/>
      <c r="QRP7" s="414"/>
      <c r="QRQ7" s="414"/>
      <c r="QRR7" s="414"/>
      <c r="QRS7" s="414"/>
      <c r="QRT7" s="414"/>
      <c r="QRU7" s="414"/>
      <c r="QRV7" s="414"/>
      <c r="QRW7" s="414"/>
      <c r="QRX7" s="414"/>
      <c r="QRY7" s="414"/>
      <c r="QRZ7" s="414"/>
      <c r="QSA7" s="414"/>
      <c r="QSB7" s="414"/>
      <c r="QSC7" s="414"/>
      <c r="QSD7" s="414"/>
      <c r="QSE7" s="414"/>
      <c r="QSF7" s="414"/>
      <c r="QSG7" s="414"/>
      <c r="QSH7" s="414"/>
      <c r="QSI7" s="414"/>
      <c r="QSJ7" s="414"/>
      <c r="QSK7" s="414"/>
      <c r="QSL7" s="414"/>
      <c r="QSM7" s="414"/>
      <c r="QSN7" s="414"/>
      <c r="QSO7" s="414"/>
      <c r="QSP7" s="414"/>
      <c r="QSQ7" s="414"/>
      <c r="QSR7" s="414"/>
      <c r="QSS7" s="414"/>
      <c r="QST7" s="414"/>
      <c r="QSU7" s="414"/>
      <c r="QSV7" s="414"/>
      <c r="QSW7" s="414"/>
      <c r="QSX7" s="414"/>
      <c r="QSY7" s="414"/>
      <c r="QSZ7" s="414"/>
      <c r="QTA7" s="414"/>
      <c r="QTB7" s="414"/>
      <c r="QTC7" s="414"/>
      <c r="QTD7" s="414"/>
      <c r="QTE7" s="414"/>
      <c r="QTF7" s="414"/>
      <c r="QTG7" s="414"/>
      <c r="QTH7" s="414"/>
      <c r="QTI7" s="414"/>
      <c r="QTJ7" s="414"/>
      <c r="QTK7" s="414"/>
      <c r="QTL7" s="414"/>
      <c r="QTM7" s="414"/>
      <c r="QTN7" s="414"/>
      <c r="QTO7" s="414"/>
      <c r="QTP7" s="414"/>
      <c r="QTQ7" s="414"/>
      <c r="QTR7" s="414"/>
      <c r="QTS7" s="414"/>
      <c r="QTT7" s="414"/>
      <c r="QTU7" s="414"/>
      <c r="QTV7" s="414"/>
      <c r="QTW7" s="414"/>
      <c r="QTX7" s="414"/>
      <c r="QTY7" s="414"/>
      <c r="QTZ7" s="414"/>
      <c r="QUA7" s="414"/>
      <c r="QUB7" s="414"/>
      <c r="QUC7" s="414"/>
      <c r="QUD7" s="414"/>
      <c r="QUE7" s="414"/>
      <c r="QUF7" s="414"/>
      <c r="QUG7" s="414"/>
      <c r="QUH7" s="414"/>
      <c r="QUI7" s="414"/>
      <c r="QUJ7" s="414"/>
      <c r="QUK7" s="414"/>
      <c r="QUL7" s="414"/>
      <c r="QUM7" s="414"/>
      <c r="QUN7" s="414"/>
      <c r="QUO7" s="414"/>
      <c r="QUP7" s="414"/>
      <c r="QUQ7" s="414"/>
      <c r="QUR7" s="414"/>
      <c r="QUS7" s="414"/>
      <c r="QUT7" s="414"/>
      <c r="QUU7" s="414"/>
      <c r="QUV7" s="414"/>
      <c r="QUW7" s="414"/>
      <c r="QUX7" s="414"/>
      <c r="QUY7" s="414"/>
      <c r="QUZ7" s="414"/>
      <c r="QVA7" s="414"/>
      <c r="QVB7" s="414"/>
      <c r="QVC7" s="414"/>
      <c r="QVD7" s="414"/>
      <c r="QVE7" s="414"/>
      <c r="QVF7" s="414"/>
      <c r="QVG7" s="414"/>
      <c r="QVH7" s="414"/>
      <c r="QVI7" s="414"/>
      <c r="QVJ7" s="414"/>
      <c r="QVK7" s="414"/>
      <c r="QVL7" s="414"/>
      <c r="QVM7" s="414"/>
      <c r="QVN7" s="414"/>
      <c r="QVO7" s="414"/>
      <c r="QVP7" s="414"/>
      <c r="QVQ7" s="414"/>
      <c r="QVR7" s="414"/>
      <c r="QVS7" s="414"/>
      <c r="QVT7" s="414"/>
      <c r="QVU7" s="414"/>
      <c r="QVV7" s="414"/>
      <c r="QVW7" s="414"/>
      <c r="QVX7" s="414"/>
      <c r="QVY7" s="414"/>
      <c r="QVZ7" s="414"/>
      <c r="QWA7" s="414"/>
      <c r="QWB7" s="414"/>
      <c r="QWC7" s="414"/>
      <c r="QWD7" s="414"/>
      <c r="QWE7" s="414"/>
      <c r="QWF7" s="414"/>
      <c r="QWG7" s="414"/>
      <c r="QWH7" s="414"/>
      <c r="QWI7" s="414"/>
      <c r="QWJ7" s="414"/>
      <c r="QWK7" s="414"/>
      <c r="QWL7" s="414"/>
      <c r="QWM7" s="414"/>
      <c r="QWN7" s="414"/>
      <c r="QWO7" s="414"/>
      <c r="QWP7" s="414"/>
      <c r="QWQ7" s="414"/>
      <c r="QWR7" s="414"/>
      <c r="QWS7" s="414"/>
      <c r="QWT7" s="414"/>
      <c r="QWU7" s="414"/>
      <c r="QWV7" s="414"/>
      <c r="QWW7" s="414"/>
      <c r="QWX7" s="414"/>
      <c r="QWY7" s="414"/>
      <c r="QWZ7" s="414"/>
      <c r="QXA7" s="414"/>
      <c r="QXB7" s="414"/>
      <c r="QXC7" s="414"/>
      <c r="QXD7" s="414"/>
      <c r="QXE7" s="414"/>
      <c r="QXF7" s="414"/>
      <c r="QXG7" s="414"/>
      <c r="QXH7" s="414"/>
      <c r="QXI7" s="414"/>
      <c r="QXJ7" s="414"/>
      <c r="QXK7" s="414"/>
      <c r="QXL7" s="414"/>
      <c r="QXM7" s="414"/>
      <c r="QXN7" s="414"/>
      <c r="QXO7" s="414"/>
      <c r="QXP7" s="414"/>
      <c r="QXQ7" s="414"/>
      <c r="QXR7" s="414"/>
      <c r="QXS7" s="414"/>
      <c r="QXT7" s="414"/>
      <c r="QXU7" s="414"/>
      <c r="QXV7" s="414"/>
      <c r="QXW7" s="414"/>
      <c r="QXX7" s="414"/>
      <c r="QXY7" s="414"/>
      <c r="QXZ7" s="414"/>
      <c r="QYA7" s="414"/>
      <c r="QYB7" s="414"/>
      <c r="QYC7" s="414"/>
      <c r="QYD7" s="414"/>
      <c r="QYE7" s="414"/>
      <c r="QYF7" s="414"/>
      <c r="QYG7" s="414"/>
      <c r="QYH7" s="414"/>
      <c r="QYI7" s="414"/>
      <c r="QYJ7" s="414"/>
      <c r="QYK7" s="414"/>
      <c r="QYL7" s="414"/>
      <c r="QYM7" s="414"/>
      <c r="QYN7" s="414"/>
      <c r="QYO7" s="414"/>
      <c r="QYP7" s="414"/>
      <c r="QYQ7" s="414"/>
      <c r="QYR7" s="414"/>
      <c r="QYS7" s="414"/>
      <c r="QYT7" s="414"/>
      <c r="QYU7" s="414"/>
      <c r="QYV7" s="414"/>
      <c r="QYW7" s="414"/>
      <c r="QYX7" s="414"/>
      <c r="QYY7" s="414"/>
      <c r="QYZ7" s="414"/>
      <c r="QZA7" s="414"/>
      <c r="QZB7" s="414"/>
      <c r="QZC7" s="414"/>
      <c r="QZD7" s="414"/>
      <c r="QZE7" s="414"/>
      <c r="QZF7" s="414"/>
      <c r="QZG7" s="414"/>
      <c r="QZH7" s="414"/>
      <c r="QZI7" s="414"/>
      <c r="QZJ7" s="414"/>
      <c r="QZK7" s="414"/>
      <c r="QZL7" s="414"/>
      <c r="QZM7" s="414"/>
      <c r="QZN7" s="414"/>
      <c r="QZO7" s="414"/>
      <c r="QZP7" s="414"/>
      <c r="QZQ7" s="414"/>
      <c r="QZR7" s="414"/>
      <c r="QZS7" s="414"/>
      <c r="QZT7" s="414"/>
      <c r="QZU7" s="414"/>
      <c r="QZV7" s="414"/>
      <c r="QZW7" s="414"/>
      <c r="QZX7" s="414"/>
      <c r="QZY7" s="414"/>
      <c r="QZZ7" s="414"/>
      <c r="RAA7" s="414"/>
      <c r="RAB7" s="414"/>
      <c r="RAC7" s="414"/>
      <c r="RAD7" s="414"/>
      <c r="RAE7" s="414"/>
      <c r="RAF7" s="414"/>
      <c r="RAG7" s="414"/>
      <c r="RAH7" s="414"/>
      <c r="RAI7" s="414"/>
      <c r="RAJ7" s="414"/>
      <c r="RAK7" s="414"/>
      <c r="RAL7" s="414"/>
      <c r="RAM7" s="414"/>
      <c r="RAN7" s="414"/>
      <c r="RAO7" s="414"/>
      <c r="RAP7" s="414"/>
      <c r="RAQ7" s="414"/>
      <c r="RAR7" s="414"/>
      <c r="RAS7" s="414"/>
      <c r="RAT7" s="414"/>
      <c r="RAU7" s="414"/>
      <c r="RAV7" s="414"/>
      <c r="RAW7" s="414"/>
      <c r="RAX7" s="414"/>
      <c r="RAY7" s="414"/>
      <c r="RAZ7" s="414"/>
      <c r="RBA7" s="414"/>
      <c r="RBB7" s="414"/>
      <c r="RBC7" s="414"/>
      <c r="RBD7" s="414"/>
      <c r="RBE7" s="414"/>
      <c r="RBF7" s="414"/>
      <c r="RBG7" s="414"/>
      <c r="RBH7" s="414"/>
      <c r="RBI7" s="414"/>
      <c r="RBJ7" s="414"/>
      <c r="RBK7" s="414"/>
      <c r="RBL7" s="414"/>
      <c r="RBM7" s="414"/>
      <c r="RBN7" s="414"/>
      <c r="RBO7" s="414"/>
      <c r="RBP7" s="414"/>
      <c r="RBQ7" s="414"/>
      <c r="RBR7" s="414"/>
      <c r="RBS7" s="414"/>
      <c r="RBT7" s="414"/>
      <c r="RBU7" s="414"/>
      <c r="RBV7" s="414"/>
      <c r="RBW7" s="414"/>
      <c r="RBX7" s="414"/>
      <c r="RBY7" s="414"/>
      <c r="RBZ7" s="414"/>
      <c r="RCA7" s="414"/>
      <c r="RCB7" s="414"/>
      <c r="RCC7" s="414"/>
      <c r="RCD7" s="414"/>
      <c r="RCE7" s="414"/>
      <c r="RCF7" s="414"/>
      <c r="RCG7" s="414"/>
      <c r="RCH7" s="414"/>
      <c r="RCI7" s="414"/>
      <c r="RCJ7" s="414"/>
      <c r="RCK7" s="414"/>
      <c r="RCL7" s="414"/>
      <c r="RCM7" s="414"/>
      <c r="RCN7" s="414"/>
      <c r="RCO7" s="414"/>
      <c r="RCP7" s="414"/>
      <c r="RCQ7" s="414"/>
      <c r="RCR7" s="414"/>
      <c r="RCS7" s="414"/>
      <c r="RCT7" s="414"/>
      <c r="RCU7" s="414"/>
      <c r="RCV7" s="414"/>
      <c r="RCW7" s="414"/>
      <c r="RCX7" s="414"/>
      <c r="RCY7" s="414"/>
      <c r="RCZ7" s="414"/>
      <c r="RDA7" s="414"/>
      <c r="RDB7" s="414"/>
      <c r="RDC7" s="414"/>
      <c r="RDD7" s="414"/>
      <c r="RDE7" s="414"/>
      <c r="RDF7" s="414"/>
      <c r="RDG7" s="414"/>
      <c r="RDH7" s="414"/>
      <c r="RDI7" s="414"/>
      <c r="RDJ7" s="414"/>
      <c r="RDK7" s="414"/>
      <c r="RDL7" s="414"/>
      <c r="RDM7" s="414"/>
      <c r="RDN7" s="414"/>
      <c r="RDO7" s="414"/>
      <c r="RDP7" s="414"/>
      <c r="RDQ7" s="414"/>
      <c r="RDR7" s="414"/>
      <c r="RDS7" s="414"/>
      <c r="RDT7" s="414"/>
      <c r="RDU7" s="414"/>
      <c r="RDV7" s="414"/>
      <c r="RDW7" s="414"/>
      <c r="RDX7" s="414"/>
      <c r="RDY7" s="414"/>
      <c r="RDZ7" s="414"/>
      <c r="REA7" s="414"/>
      <c r="REB7" s="414"/>
      <c r="REC7" s="414"/>
      <c r="RED7" s="414"/>
      <c r="REE7" s="414"/>
      <c r="REF7" s="414"/>
      <c r="REG7" s="414"/>
      <c r="REH7" s="414"/>
      <c r="REI7" s="414"/>
      <c r="REJ7" s="414"/>
      <c r="REK7" s="414"/>
      <c r="REL7" s="414"/>
      <c r="REM7" s="414"/>
      <c r="REN7" s="414"/>
      <c r="REO7" s="414"/>
      <c r="REP7" s="414"/>
      <c r="REQ7" s="414"/>
      <c r="RER7" s="414"/>
      <c r="RES7" s="414"/>
      <c r="RET7" s="414"/>
      <c r="REU7" s="414"/>
      <c r="REV7" s="414"/>
      <c r="REW7" s="414"/>
      <c r="REX7" s="414"/>
      <c r="REY7" s="414"/>
      <c r="REZ7" s="414"/>
      <c r="RFA7" s="414"/>
      <c r="RFB7" s="414"/>
      <c r="RFC7" s="414"/>
      <c r="RFD7" s="414"/>
      <c r="RFE7" s="414"/>
      <c r="RFF7" s="414"/>
      <c r="RFG7" s="414"/>
      <c r="RFH7" s="414"/>
      <c r="RFI7" s="414"/>
      <c r="RFJ7" s="414"/>
      <c r="RFK7" s="414"/>
      <c r="RFL7" s="414"/>
      <c r="RFM7" s="414"/>
      <c r="RFN7" s="414"/>
      <c r="RFO7" s="414"/>
      <c r="RFP7" s="414"/>
      <c r="RFQ7" s="414"/>
      <c r="RFR7" s="414"/>
      <c r="RFS7" s="414"/>
      <c r="RFT7" s="414"/>
      <c r="RFU7" s="414"/>
      <c r="RFV7" s="414"/>
      <c r="RFW7" s="414"/>
      <c r="RFX7" s="414"/>
      <c r="RFY7" s="414"/>
      <c r="RFZ7" s="414"/>
      <c r="RGA7" s="414"/>
      <c r="RGB7" s="414"/>
      <c r="RGC7" s="414"/>
      <c r="RGD7" s="414"/>
      <c r="RGE7" s="414"/>
      <c r="RGF7" s="414"/>
      <c r="RGG7" s="414"/>
      <c r="RGH7" s="414"/>
      <c r="RGI7" s="414"/>
      <c r="RGJ7" s="414"/>
      <c r="RGK7" s="414"/>
      <c r="RGL7" s="414"/>
      <c r="RGM7" s="414"/>
      <c r="RGN7" s="414"/>
      <c r="RGO7" s="414"/>
      <c r="RGP7" s="414"/>
      <c r="RGQ7" s="414"/>
      <c r="RGR7" s="414"/>
      <c r="RGS7" s="414"/>
      <c r="RGT7" s="414"/>
      <c r="RGU7" s="414"/>
      <c r="RGV7" s="414"/>
      <c r="RGW7" s="414"/>
      <c r="RGX7" s="414"/>
      <c r="RGY7" s="414"/>
      <c r="RGZ7" s="414"/>
      <c r="RHA7" s="414"/>
      <c r="RHB7" s="414"/>
      <c r="RHC7" s="414"/>
      <c r="RHD7" s="414"/>
      <c r="RHE7" s="414"/>
      <c r="RHF7" s="414"/>
      <c r="RHG7" s="414"/>
      <c r="RHH7" s="414"/>
      <c r="RHI7" s="414"/>
      <c r="RHJ7" s="414"/>
      <c r="RHK7" s="414"/>
      <c r="RHL7" s="414"/>
      <c r="RHM7" s="414"/>
      <c r="RHN7" s="414"/>
      <c r="RHO7" s="414"/>
      <c r="RHP7" s="414"/>
      <c r="RHQ7" s="414"/>
      <c r="RHR7" s="414"/>
      <c r="RHS7" s="414"/>
      <c r="RHT7" s="414"/>
      <c r="RHU7" s="414"/>
      <c r="RHV7" s="414"/>
      <c r="RHW7" s="414"/>
      <c r="RHX7" s="414"/>
      <c r="RHY7" s="414"/>
      <c r="RHZ7" s="414"/>
      <c r="RIA7" s="414"/>
      <c r="RIB7" s="414"/>
      <c r="RIC7" s="414"/>
      <c r="RID7" s="414"/>
      <c r="RIE7" s="414"/>
      <c r="RIF7" s="414"/>
      <c r="RIG7" s="414"/>
      <c r="RIH7" s="414"/>
      <c r="RII7" s="414"/>
      <c r="RIJ7" s="414"/>
      <c r="RIK7" s="414"/>
      <c r="RIL7" s="414"/>
      <c r="RIM7" s="414"/>
      <c r="RIN7" s="414"/>
      <c r="RIO7" s="414"/>
      <c r="RIP7" s="414"/>
      <c r="RIQ7" s="414"/>
      <c r="RIR7" s="414"/>
      <c r="RIS7" s="414"/>
      <c r="RIT7" s="414"/>
      <c r="RIU7" s="414"/>
      <c r="RIV7" s="414"/>
      <c r="RIW7" s="414"/>
      <c r="RIX7" s="414"/>
      <c r="RIY7" s="414"/>
      <c r="RIZ7" s="414"/>
      <c r="RJA7" s="414"/>
      <c r="RJB7" s="414"/>
      <c r="RJC7" s="414"/>
      <c r="RJD7" s="414"/>
      <c r="RJE7" s="414"/>
      <c r="RJF7" s="414"/>
      <c r="RJG7" s="414"/>
      <c r="RJH7" s="414"/>
      <c r="RJI7" s="414"/>
      <c r="RJJ7" s="414"/>
      <c r="RJK7" s="414"/>
      <c r="RJL7" s="414"/>
      <c r="RJM7" s="414"/>
      <c r="RJN7" s="414"/>
      <c r="RJO7" s="414"/>
      <c r="RJP7" s="414"/>
      <c r="RJQ7" s="414"/>
      <c r="RJR7" s="414"/>
      <c r="RJS7" s="414"/>
      <c r="RJT7" s="414"/>
      <c r="RJU7" s="414"/>
      <c r="RJV7" s="414"/>
      <c r="RJW7" s="414"/>
      <c r="RJX7" s="414"/>
      <c r="RJY7" s="414"/>
      <c r="RJZ7" s="414"/>
      <c r="RKA7" s="414"/>
      <c r="RKB7" s="414"/>
      <c r="RKC7" s="414"/>
      <c r="RKD7" s="414"/>
      <c r="RKE7" s="414"/>
      <c r="RKF7" s="414"/>
      <c r="RKG7" s="414"/>
      <c r="RKH7" s="414"/>
      <c r="RKI7" s="414"/>
      <c r="RKJ7" s="414"/>
      <c r="RKK7" s="414"/>
      <c r="RKL7" s="414"/>
      <c r="RKM7" s="414"/>
      <c r="RKN7" s="414"/>
      <c r="RKO7" s="414"/>
      <c r="RKP7" s="414"/>
      <c r="RKQ7" s="414"/>
      <c r="RKR7" s="414"/>
      <c r="RKS7" s="414"/>
      <c r="RKT7" s="414"/>
      <c r="RKU7" s="414"/>
      <c r="RKV7" s="414"/>
      <c r="RKW7" s="414"/>
      <c r="RKX7" s="414"/>
      <c r="RKY7" s="414"/>
      <c r="RKZ7" s="414"/>
      <c r="RLA7" s="414"/>
      <c r="RLB7" s="414"/>
      <c r="RLC7" s="414"/>
      <c r="RLD7" s="414"/>
      <c r="RLE7" s="414"/>
      <c r="RLF7" s="414"/>
      <c r="RLG7" s="414"/>
      <c r="RLH7" s="414"/>
      <c r="RLI7" s="414"/>
      <c r="RLJ7" s="414"/>
      <c r="RLK7" s="414"/>
      <c r="RLL7" s="414"/>
      <c r="RLM7" s="414"/>
      <c r="RLN7" s="414"/>
      <c r="RLO7" s="414"/>
      <c r="RLP7" s="414"/>
      <c r="RLQ7" s="414"/>
      <c r="RLR7" s="414"/>
      <c r="RLS7" s="414"/>
      <c r="RLT7" s="414"/>
      <c r="RLU7" s="414"/>
      <c r="RLV7" s="414"/>
      <c r="RLW7" s="414"/>
      <c r="RLX7" s="414"/>
      <c r="RLY7" s="414"/>
      <c r="RLZ7" s="414"/>
      <c r="RMA7" s="414"/>
      <c r="RMB7" s="414"/>
      <c r="RMC7" s="414"/>
      <c r="RMD7" s="414"/>
      <c r="RME7" s="414"/>
      <c r="RMF7" s="414"/>
      <c r="RMG7" s="414"/>
      <c r="RMH7" s="414"/>
      <c r="RMI7" s="414"/>
      <c r="RMJ7" s="414"/>
      <c r="RMK7" s="414"/>
      <c r="RML7" s="414"/>
      <c r="RMM7" s="414"/>
      <c r="RMN7" s="414"/>
      <c r="RMO7" s="414"/>
      <c r="RMP7" s="414"/>
      <c r="RMQ7" s="414"/>
      <c r="RMR7" s="414"/>
      <c r="RMS7" s="414"/>
      <c r="RMT7" s="414"/>
      <c r="RMU7" s="414"/>
      <c r="RMV7" s="414"/>
      <c r="RMW7" s="414"/>
      <c r="RMX7" s="414"/>
      <c r="RMY7" s="414"/>
      <c r="RMZ7" s="414"/>
      <c r="RNA7" s="414"/>
      <c r="RNB7" s="414"/>
      <c r="RNC7" s="414"/>
      <c r="RND7" s="414"/>
      <c r="RNE7" s="414"/>
      <c r="RNF7" s="414"/>
      <c r="RNG7" s="414"/>
      <c r="RNH7" s="414"/>
      <c r="RNI7" s="414"/>
      <c r="RNJ7" s="414"/>
      <c r="RNK7" s="414"/>
      <c r="RNL7" s="414"/>
      <c r="RNM7" s="414"/>
      <c r="RNN7" s="414"/>
      <c r="RNO7" s="414"/>
      <c r="RNP7" s="414"/>
      <c r="RNQ7" s="414"/>
      <c r="RNR7" s="414"/>
      <c r="RNS7" s="414"/>
      <c r="RNT7" s="414"/>
      <c r="RNU7" s="414"/>
      <c r="RNV7" s="414"/>
      <c r="RNW7" s="414"/>
      <c r="RNX7" s="414"/>
      <c r="RNY7" s="414"/>
      <c r="RNZ7" s="414"/>
      <c r="ROA7" s="414"/>
      <c r="ROB7" s="414"/>
      <c r="ROC7" s="414"/>
      <c r="ROD7" s="414"/>
      <c r="ROE7" s="414"/>
      <c r="ROF7" s="414"/>
      <c r="ROG7" s="414"/>
      <c r="ROH7" s="414"/>
      <c r="ROI7" s="414"/>
      <c r="ROJ7" s="414"/>
      <c r="ROK7" s="414"/>
      <c r="ROL7" s="414"/>
      <c r="ROM7" s="414"/>
      <c r="RON7" s="414"/>
      <c r="ROO7" s="414"/>
      <c r="ROP7" s="414"/>
      <c r="ROQ7" s="414"/>
      <c r="ROR7" s="414"/>
      <c r="ROS7" s="414"/>
      <c r="ROT7" s="414"/>
      <c r="ROU7" s="414"/>
      <c r="ROV7" s="414"/>
      <c r="ROW7" s="414"/>
      <c r="ROX7" s="414"/>
      <c r="ROY7" s="414"/>
      <c r="ROZ7" s="414"/>
      <c r="RPA7" s="414"/>
      <c r="RPB7" s="414"/>
      <c r="RPC7" s="414"/>
      <c r="RPD7" s="414"/>
      <c r="RPE7" s="414"/>
      <c r="RPF7" s="414"/>
      <c r="RPG7" s="414"/>
      <c r="RPH7" s="414"/>
      <c r="RPI7" s="414"/>
      <c r="RPJ7" s="414"/>
      <c r="RPK7" s="414"/>
      <c r="RPL7" s="414"/>
      <c r="RPM7" s="414"/>
      <c r="RPN7" s="414"/>
      <c r="RPO7" s="414"/>
      <c r="RPP7" s="414"/>
      <c r="RPQ7" s="414"/>
      <c r="RPR7" s="414"/>
      <c r="RPS7" s="414"/>
      <c r="RPT7" s="414"/>
      <c r="RPU7" s="414"/>
      <c r="RPV7" s="414"/>
      <c r="RPW7" s="414"/>
      <c r="RPX7" s="414"/>
      <c r="RPY7" s="414"/>
      <c r="RPZ7" s="414"/>
      <c r="RQA7" s="414"/>
      <c r="RQB7" s="414"/>
      <c r="RQC7" s="414"/>
      <c r="RQD7" s="414"/>
      <c r="RQE7" s="414"/>
      <c r="RQF7" s="414"/>
      <c r="RQG7" s="414"/>
      <c r="RQH7" s="414"/>
      <c r="RQI7" s="414"/>
      <c r="RQJ7" s="414"/>
      <c r="RQK7" s="414"/>
      <c r="RQL7" s="414"/>
      <c r="RQM7" s="414"/>
      <c r="RQN7" s="414"/>
      <c r="RQO7" s="414"/>
      <c r="RQP7" s="414"/>
      <c r="RQQ7" s="414"/>
      <c r="RQR7" s="414"/>
      <c r="RQS7" s="414"/>
      <c r="RQT7" s="414"/>
      <c r="RQU7" s="414"/>
      <c r="RQV7" s="414"/>
      <c r="RQW7" s="414"/>
      <c r="RQX7" s="414"/>
      <c r="RQY7" s="414"/>
      <c r="RQZ7" s="414"/>
      <c r="RRA7" s="414"/>
      <c r="RRB7" s="414"/>
      <c r="RRC7" s="414"/>
      <c r="RRD7" s="414"/>
      <c r="RRE7" s="414"/>
      <c r="RRF7" s="414"/>
      <c r="RRG7" s="414"/>
      <c r="RRH7" s="414"/>
      <c r="RRI7" s="414"/>
      <c r="RRJ7" s="414"/>
      <c r="RRK7" s="414"/>
      <c r="RRL7" s="414"/>
      <c r="RRM7" s="414"/>
      <c r="RRN7" s="414"/>
      <c r="RRO7" s="414"/>
      <c r="RRP7" s="414"/>
      <c r="RRQ7" s="414"/>
      <c r="RRR7" s="414"/>
      <c r="RRS7" s="414"/>
      <c r="RRT7" s="414"/>
      <c r="RRU7" s="414"/>
      <c r="RRV7" s="414"/>
      <c r="RRW7" s="414"/>
      <c r="RRX7" s="414"/>
      <c r="RRY7" s="414"/>
      <c r="RRZ7" s="414"/>
      <c r="RSA7" s="414"/>
      <c r="RSB7" s="414"/>
      <c r="RSC7" s="414"/>
      <c r="RSD7" s="414"/>
      <c r="RSE7" s="414"/>
      <c r="RSF7" s="414"/>
      <c r="RSG7" s="414"/>
      <c r="RSH7" s="414"/>
      <c r="RSI7" s="414"/>
      <c r="RSJ7" s="414"/>
      <c r="RSK7" s="414"/>
      <c r="RSL7" s="414"/>
      <c r="RSM7" s="414"/>
      <c r="RSN7" s="414"/>
      <c r="RSO7" s="414"/>
      <c r="RSP7" s="414"/>
      <c r="RSQ7" s="414"/>
      <c r="RSR7" s="414"/>
      <c r="RSS7" s="414"/>
      <c r="RST7" s="414"/>
      <c r="RSU7" s="414"/>
      <c r="RSV7" s="414"/>
      <c r="RSW7" s="414"/>
      <c r="RSX7" s="414"/>
      <c r="RSY7" s="414"/>
      <c r="RSZ7" s="414"/>
      <c r="RTA7" s="414"/>
      <c r="RTB7" s="414"/>
      <c r="RTC7" s="414"/>
      <c r="RTD7" s="414"/>
      <c r="RTE7" s="414"/>
      <c r="RTF7" s="414"/>
      <c r="RTG7" s="414"/>
      <c r="RTH7" s="414"/>
      <c r="RTI7" s="414"/>
      <c r="RTJ7" s="414"/>
      <c r="RTK7" s="414"/>
      <c r="RTL7" s="414"/>
      <c r="RTM7" s="414"/>
      <c r="RTN7" s="414"/>
      <c r="RTO7" s="414"/>
      <c r="RTP7" s="414"/>
      <c r="RTQ7" s="414"/>
      <c r="RTR7" s="414"/>
      <c r="RTS7" s="414"/>
      <c r="RTT7" s="414"/>
      <c r="RTU7" s="414"/>
      <c r="RTV7" s="414"/>
      <c r="RTW7" s="414"/>
      <c r="RTX7" s="414"/>
      <c r="RTY7" s="414"/>
      <c r="RTZ7" s="414"/>
      <c r="RUA7" s="414"/>
      <c r="RUB7" s="414"/>
      <c r="RUC7" s="414"/>
      <c r="RUD7" s="414"/>
      <c r="RUE7" s="414"/>
      <c r="RUF7" s="414"/>
      <c r="RUG7" s="414"/>
      <c r="RUH7" s="414"/>
      <c r="RUI7" s="414"/>
      <c r="RUJ7" s="414"/>
      <c r="RUK7" s="414"/>
      <c r="RUL7" s="414"/>
      <c r="RUM7" s="414"/>
      <c r="RUN7" s="414"/>
      <c r="RUO7" s="414"/>
      <c r="RUP7" s="414"/>
      <c r="RUQ7" s="414"/>
      <c r="RUR7" s="414"/>
      <c r="RUS7" s="414"/>
      <c r="RUT7" s="414"/>
      <c r="RUU7" s="414"/>
      <c r="RUV7" s="414"/>
      <c r="RUW7" s="414"/>
      <c r="RUX7" s="414"/>
      <c r="RUY7" s="414"/>
      <c r="RUZ7" s="414"/>
      <c r="RVA7" s="414"/>
      <c r="RVB7" s="414"/>
      <c r="RVC7" s="414"/>
      <c r="RVD7" s="414"/>
      <c r="RVE7" s="414"/>
      <c r="RVF7" s="414"/>
      <c r="RVG7" s="414"/>
      <c r="RVH7" s="414"/>
      <c r="RVI7" s="414"/>
      <c r="RVJ7" s="414"/>
      <c r="RVK7" s="414"/>
      <c r="RVL7" s="414"/>
      <c r="RVM7" s="414"/>
      <c r="RVN7" s="414"/>
      <c r="RVO7" s="414"/>
      <c r="RVP7" s="414"/>
      <c r="RVQ7" s="414"/>
      <c r="RVR7" s="414"/>
      <c r="RVS7" s="414"/>
      <c r="RVT7" s="414"/>
      <c r="RVU7" s="414"/>
      <c r="RVV7" s="414"/>
      <c r="RVW7" s="414"/>
      <c r="RVX7" s="414"/>
      <c r="RVY7" s="414"/>
      <c r="RVZ7" s="414"/>
      <c r="RWA7" s="414"/>
      <c r="RWB7" s="414"/>
      <c r="RWC7" s="414"/>
      <c r="RWD7" s="414"/>
      <c r="RWE7" s="414"/>
      <c r="RWF7" s="414"/>
      <c r="RWG7" s="414"/>
      <c r="RWH7" s="414"/>
      <c r="RWI7" s="414"/>
      <c r="RWJ7" s="414"/>
      <c r="RWK7" s="414"/>
      <c r="RWL7" s="414"/>
      <c r="RWM7" s="414"/>
      <c r="RWN7" s="414"/>
      <c r="RWO7" s="414"/>
      <c r="RWP7" s="414"/>
      <c r="RWQ7" s="414"/>
      <c r="RWR7" s="414"/>
      <c r="RWS7" s="414"/>
      <c r="RWT7" s="414"/>
      <c r="RWU7" s="414"/>
      <c r="RWV7" s="414"/>
      <c r="RWW7" s="414"/>
      <c r="RWX7" s="414"/>
      <c r="RWY7" s="414"/>
      <c r="RWZ7" s="414"/>
      <c r="RXA7" s="414"/>
      <c r="RXB7" s="414"/>
      <c r="RXC7" s="414"/>
      <c r="RXD7" s="414"/>
      <c r="RXE7" s="414"/>
      <c r="RXF7" s="414"/>
      <c r="RXG7" s="414"/>
      <c r="RXH7" s="414"/>
      <c r="RXI7" s="414"/>
      <c r="RXJ7" s="414"/>
      <c r="RXK7" s="414"/>
      <c r="RXL7" s="414"/>
      <c r="RXM7" s="414"/>
      <c r="RXN7" s="414"/>
      <c r="RXO7" s="414"/>
      <c r="RXP7" s="414"/>
      <c r="RXQ7" s="414"/>
      <c r="RXR7" s="414"/>
      <c r="RXS7" s="414"/>
      <c r="RXT7" s="414"/>
      <c r="RXU7" s="414"/>
      <c r="RXV7" s="414"/>
      <c r="RXW7" s="414"/>
      <c r="RXX7" s="414"/>
      <c r="RXY7" s="414"/>
      <c r="RXZ7" s="414"/>
      <c r="RYA7" s="414"/>
      <c r="RYB7" s="414"/>
      <c r="RYC7" s="414"/>
      <c r="RYD7" s="414"/>
      <c r="RYE7" s="414"/>
      <c r="RYF7" s="414"/>
      <c r="RYG7" s="414"/>
      <c r="RYH7" s="414"/>
      <c r="RYI7" s="414"/>
      <c r="RYJ7" s="414"/>
      <c r="RYK7" s="414"/>
      <c r="RYL7" s="414"/>
      <c r="RYM7" s="414"/>
      <c r="RYN7" s="414"/>
      <c r="RYO7" s="414"/>
      <c r="RYP7" s="414"/>
      <c r="RYQ7" s="414"/>
      <c r="RYR7" s="414"/>
      <c r="RYS7" s="414"/>
      <c r="RYT7" s="414"/>
      <c r="RYU7" s="414"/>
      <c r="RYV7" s="414"/>
      <c r="RYW7" s="414"/>
      <c r="RYX7" s="414"/>
      <c r="RYY7" s="414"/>
      <c r="RYZ7" s="414"/>
      <c r="RZA7" s="414"/>
      <c r="RZB7" s="414"/>
      <c r="RZC7" s="414"/>
      <c r="RZD7" s="414"/>
      <c r="RZE7" s="414"/>
      <c r="RZF7" s="414"/>
      <c r="RZG7" s="414"/>
      <c r="RZH7" s="414"/>
      <c r="RZI7" s="414"/>
      <c r="RZJ7" s="414"/>
      <c r="RZK7" s="414"/>
      <c r="RZL7" s="414"/>
      <c r="RZM7" s="414"/>
      <c r="RZN7" s="414"/>
      <c r="RZO7" s="414"/>
      <c r="RZP7" s="414"/>
      <c r="RZQ7" s="414"/>
      <c r="RZR7" s="414"/>
      <c r="RZS7" s="414"/>
      <c r="RZT7" s="414"/>
      <c r="RZU7" s="414"/>
      <c r="RZV7" s="414"/>
      <c r="RZW7" s="414"/>
      <c r="RZX7" s="414"/>
      <c r="RZY7" s="414"/>
      <c r="RZZ7" s="414"/>
      <c r="SAA7" s="414"/>
      <c r="SAB7" s="414"/>
      <c r="SAC7" s="414"/>
      <c r="SAD7" s="414"/>
      <c r="SAE7" s="414"/>
      <c r="SAF7" s="414"/>
      <c r="SAG7" s="414"/>
      <c r="SAH7" s="414"/>
      <c r="SAI7" s="414"/>
      <c r="SAJ7" s="414"/>
      <c r="SAK7" s="414"/>
      <c r="SAL7" s="414"/>
      <c r="SAM7" s="414"/>
      <c r="SAN7" s="414"/>
      <c r="SAO7" s="414"/>
      <c r="SAP7" s="414"/>
      <c r="SAQ7" s="414"/>
      <c r="SAR7" s="414"/>
      <c r="SAS7" s="414"/>
      <c r="SAT7" s="414"/>
      <c r="SAU7" s="414"/>
      <c r="SAV7" s="414"/>
      <c r="SAW7" s="414"/>
      <c r="SAX7" s="414"/>
      <c r="SAY7" s="414"/>
      <c r="SAZ7" s="414"/>
      <c r="SBA7" s="414"/>
      <c r="SBB7" s="414"/>
      <c r="SBC7" s="414"/>
      <c r="SBD7" s="414"/>
      <c r="SBE7" s="414"/>
      <c r="SBF7" s="414"/>
      <c r="SBG7" s="414"/>
      <c r="SBH7" s="414"/>
      <c r="SBI7" s="414"/>
      <c r="SBJ7" s="414"/>
      <c r="SBK7" s="414"/>
      <c r="SBL7" s="414"/>
      <c r="SBM7" s="414"/>
      <c r="SBN7" s="414"/>
      <c r="SBO7" s="414"/>
      <c r="SBP7" s="414"/>
      <c r="SBQ7" s="414"/>
      <c r="SBR7" s="414"/>
      <c r="SBS7" s="414"/>
      <c r="SBT7" s="414"/>
      <c r="SBU7" s="414"/>
      <c r="SBV7" s="414"/>
      <c r="SBW7" s="414"/>
      <c r="SBX7" s="414"/>
      <c r="SBY7" s="414"/>
      <c r="SBZ7" s="414"/>
      <c r="SCA7" s="414"/>
      <c r="SCB7" s="414"/>
      <c r="SCC7" s="414"/>
      <c r="SCD7" s="414"/>
      <c r="SCE7" s="414"/>
      <c r="SCF7" s="414"/>
      <c r="SCG7" s="414"/>
      <c r="SCH7" s="414"/>
      <c r="SCI7" s="414"/>
      <c r="SCJ7" s="414"/>
      <c r="SCK7" s="414"/>
      <c r="SCL7" s="414"/>
      <c r="SCM7" s="414"/>
      <c r="SCN7" s="414"/>
      <c r="SCO7" s="414"/>
      <c r="SCP7" s="414"/>
      <c r="SCQ7" s="414"/>
      <c r="SCR7" s="414"/>
      <c r="SCS7" s="414"/>
      <c r="SCT7" s="414"/>
      <c r="SCU7" s="414"/>
      <c r="SCV7" s="414"/>
      <c r="SCW7" s="414"/>
      <c r="SCX7" s="414"/>
      <c r="SCY7" s="414"/>
      <c r="SCZ7" s="414"/>
      <c r="SDA7" s="414"/>
      <c r="SDB7" s="414"/>
      <c r="SDC7" s="414"/>
      <c r="SDD7" s="414"/>
      <c r="SDE7" s="414"/>
      <c r="SDF7" s="414"/>
      <c r="SDG7" s="414"/>
      <c r="SDH7" s="414"/>
      <c r="SDI7" s="414"/>
      <c r="SDJ7" s="414"/>
      <c r="SDK7" s="414"/>
      <c r="SDL7" s="414"/>
      <c r="SDM7" s="414"/>
      <c r="SDN7" s="414"/>
      <c r="SDO7" s="414"/>
      <c r="SDP7" s="414"/>
      <c r="SDQ7" s="414"/>
      <c r="SDR7" s="414"/>
      <c r="SDS7" s="414"/>
      <c r="SDT7" s="414"/>
      <c r="SDU7" s="414"/>
      <c r="SDV7" s="414"/>
      <c r="SDW7" s="414"/>
      <c r="SDX7" s="414"/>
      <c r="SDY7" s="414"/>
      <c r="SDZ7" s="414"/>
      <c r="SEA7" s="414"/>
      <c r="SEB7" s="414"/>
      <c r="SEC7" s="414"/>
      <c r="SED7" s="414"/>
      <c r="SEE7" s="414"/>
      <c r="SEF7" s="414"/>
      <c r="SEG7" s="414"/>
      <c r="SEH7" s="414"/>
      <c r="SEI7" s="414"/>
      <c r="SEJ7" s="414"/>
      <c r="SEK7" s="414"/>
      <c r="SEL7" s="414"/>
      <c r="SEM7" s="414"/>
      <c r="SEN7" s="414"/>
      <c r="SEO7" s="414"/>
      <c r="SEP7" s="414"/>
      <c r="SEQ7" s="414"/>
      <c r="SER7" s="414"/>
      <c r="SES7" s="414"/>
      <c r="SET7" s="414"/>
      <c r="SEU7" s="414"/>
      <c r="SEV7" s="414"/>
      <c r="SEW7" s="414"/>
      <c r="SEX7" s="414"/>
      <c r="SEY7" s="414"/>
      <c r="SEZ7" s="414"/>
      <c r="SFA7" s="414"/>
      <c r="SFB7" s="414"/>
      <c r="SFC7" s="414"/>
      <c r="SFD7" s="414"/>
      <c r="SFE7" s="414"/>
      <c r="SFF7" s="414"/>
      <c r="SFG7" s="414"/>
      <c r="SFH7" s="414"/>
      <c r="SFI7" s="414"/>
      <c r="SFJ7" s="414"/>
      <c r="SFK7" s="414"/>
      <c r="SFL7" s="414"/>
      <c r="SFM7" s="414"/>
      <c r="SFN7" s="414"/>
      <c r="SFO7" s="414"/>
      <c r="SFP7" s="414"/>
      <c r="SFQ7" s="414"/>
      <c r="SFR7" s="414"/>
      <c r="SFS7" s="414"/>
      <c r="SFT7" s="414"/>
      <c r="SFU7" s="414"/>
      <c r="SFV7" s="414"/>
      <c r="SFW7" s="414"/>
      <c r="SFX7" s="414"/>
      <c r="SFY7" s="414"/>
      <c r="SFZ7" s="414"/>
      <c r="SGA7" s="414"/>
      <c r="SGB7" s="414"/>
      <c r="SGC7" s="414"/>
      <c r="SGD7" s="414"/>
      <c r="SGE7" s="414"/>
      <c r="SGF7" s="414"/>
      <c r="SGG7" s="414"/>
      <c r="SGH7" s="414"/>
      <c r="SGI7" s="414"/>
      <c r="SGJ7" s="414"/>
      <c r="SGK7" s="414"/>
      <c r="SGL7" s="414"/>
      <c r="SGM7" s="414"/>
      <c r="SGN7" s="414"/>
      <c r="SGO7" s="414"/>
      <c r="SGP7" s="414"/>
      <c r="SGQ7" s="414"/>
      <c r="SGR7" s="414"/>
      <c r="SGS7" s="414"/>
      <c r="SGT7" s="414"/>
      <c r="SGU7" s="414"/>
      <c r="SGV7" s="414"/>
      <c r="SGW7" s="414"/>
      <c r="SGX7" s="414"/>
      <c r="SGY7" s="414"/>
      <c r="SGZ7" s="414"/>
      <c r="SHA7" s="414"/>
      <c r="SHB7" s="414"/>
      <c r="SHC7" s="414"/>
      <c r="SHD7" s="414"/>
      <c r="SHE7" s="414"/>
      <c r="SHF7" s="414"/>
      <c r="SHG7" s="414"/>
      <c r="SHH7" s="414"/>
      <c r="SHI7" s="414"/>
      <c r="SHJ7" s="414"/>
      <c r="SHK7" s="414"/>
      <c r="SHL7" s="414"/>
      <c r="SHM7" s="414"/>
      <c r="SHN7" s="414"/>
      <c r="SHO7" s="414"/>
      <c r="SHP7" s="414"/>
      <c r="SHQ7" s="414"/>
      <c r="SHR7" s="414"/>
      <c r="SHS7" s="414"/>
      <c r="SHT7" s="414"/>
      <c r="SHU7" s="414"/>
      <c r="SHV7" s="414"/>
      <c r="SHW7" s="414"/>
      <c r="SHX7" s="414"/>
      <c r="SHY7" s="414"/>
      <c r="SHZ7" s="414"/>
      <c r="SIA7" s="414"/>
      <c r="SIB7" s="414"/>
      <c r="SIC7" s="414"/>
      <c r="SID7" s="414"/>
      <c r="SIE7" s="414"/>
      <c r="SIF7" s="414"/>
      <c r="SIG7" s="414"/>
      <c r="SIH7" s="414"/>
      <c r="SII7" s="414"/>
      <c r="SIJ7" s="414"/>
      <c r="SIK7" s="414"/>
      <c r="SIL7" s="414"/>
      <c r="SIM7" s="414"/>
      <c r="SIN7" s="414"/>
      <c r="SIO7" s="414"/>
      <c r="SIP7" s="414"/>
      <c r="SIQ7" s="414"/>
      <c r="SIR7" s="414"/>
      <c r="SIS7" s="414"/>
      <c r="SIT7" s="414"/>
      <c r="SIU7" s="414"/>
      <c r="SIV7" s="414"/>
      <c r="SIW7" s="414"/>
      <c r="SIX7" s="414"/>
      <c r="SIY7" s="414"/>
      <c r="SIZ7" s="414"/>
      <c r="SJA7" s="414"/>
      <c r="SJB7" s="414"/>
      <c r="SJC7" s="414"/>
      <c r="SJD7" s="414"/>
      <c r="SJE7" s="414"/>
      <c r="SJF7" s="414"/>
      <c r="SJG7" s="414"/>
      <c r="SJH7" s="414"/>
      <c r="SJI7" s="414"/>
      <c r="SJJ7" s="414"/>
      <c r="SJK7" s="414"/>
      <c r="SJL7" s="414"/>
      <c r="SJM7" s="414"/>
      <c r="SJN7" s="414"/>
      <c r="SJO7" s="414"/>
      <c r="SJP7" s="414"/>
      <c r="SJQ7" s="414"/>
      <c r="SJR7" s="414"/>
      <c r="SJS7" s="414"/>
      <c r="SJT7" s="414"/>
      <c r="SJU7" s="414"/>
      <c r="SJV7" s="414"/>
      <c r="SJW7" s="414"/>
      <c r="SJX7" s="414"/>
      <c r="SJY7" s="414"/>
      <c r="SJZ7" s="414"/>
      <c r="SKA7" s="414"/>
      <c r="SKB7" s="414"/>
      <c r="SKC7" s="414"/>
      <c r="SKD7" s="414"/>
      <c r="SKE7" s="414"/>
      <c r="SKF7" s="414"/>
      <c r="SKG7" s="414"/>
      <c r="SKH7" s="414"/>
      <c r="SKI7" s="414"/>
      <c r="SKJ7" s="414"/>
      <c r="SKK7" s="414"/>
      <c r="SKL7" s="414"/>
      <c r="SKM7" s="414"/>
      <c r="SKN7" s="414"/>
      <c r="SKO7" s="414"/>
      <c r="SKP7" s="414"/>
      <c r="SKQ7" s="414"/>
      <c r="SKR7" s="414"/>
      <c r="SKS7" s="414"/>
      <c r="SKT7" s="414"/>
      <c r="SKU7" s="414"/>
      <c r="SKV7" s="414"/>
      <c r="SKW7" s="414"/>
      <c r="SKX7" s="414"/>
      <c r="SKY7" s="414"/>
      <c r="SKZ7" s="414"/>
      <c r="SLA7" s="414"/>
      <c r="SLB7" s="414"/>
      <c r="SLC7" s="414"/>
      <c r="SLD7" s="414"/>
      <c r="SLE7" s="414"/>
      <c r="SLF7" s="414"/>
      <c r="SLG7" s="414"/>
      <c r="SLH7" s="414"/>
      <c r="SLI7" s="414"/>
      <c r="SLJ7" s="414"/>
      <c r="SLK7" s="414"/>
      <c r="SLL7" s="414"/>
      <c r="SLM7" s="414"/>
      <c r="SLN7" s="414"/>
      <c r="SLO7" s="414"/>
      <c r="SLP7" s="414"/>
      <c r="SLQ7" s="414"/>
      <c r="SLR7" s="414"/>
      <c r="SLS7" s="414"/>
      <c r="SLT7" s="414"/>
      <c r="SLU7" s="414"/>
      <c r="SLV7" s="414"/>
      <c r="SLW7" s="414"/>
      <c r="SLX7" s="414"/>
      <c r="SLY7" s="414"/>
      <c r="SLZ7" s="414"/>
      <c r="SMA7" s="414"/>
      <c r="SMB7" s="414"/>
      <c r="SMC7" s="414"/>
      <c r="SMD7" s="414"/>
      <c r="SME7" s="414"/>
      <c r="SMF7" s="414"/>
      <c r="SMG7" s="414"/>
      <c r="SMH7" s="414"/>
      <c r="SMI7" s="414"/>
      <c r="SMJ7" s="414"/>
      <c r="SMK7" s="414"/>
      <c r="SML7" s="414"/>
      <c r="SMM7" s="414"/>
      <c r="SMN7" s="414"/>
      <c r="SMO7" s="414"/>
      <c r="SMP7" s="414"/>
      <c r="SMQ7" s="414"/>
      <c r="SMR7" s="414"/>
      <c r="SMS7" s="414"/>
      <c r="SMT7" s="414"/>
      <c r="SMU7" s="414"/>
      <c r="SMV7" s="414"/>
      <c r="SMW7" s="414"/>
      <c r="SMX7" s="414"/>
      <c r="SMY7" s="414"/>
      <c r="SMZ7" s="414"/>
      <c r="SNA7" s="414"/>
      <c r="SNB7" s="414"/>
      <c r="SNC7" s="414"/>
      <c r="SND7" s="414"/>
      <c r="SNE7" s="414"/>
      <c r="SNF7" s="414"/>
      <c r="SNG7" s="414"/>
      <c r="SNH7" s="414"/>
      <c r="SNI7" s="414"/>
      <c r="SNJ7" s="414"/>
      <c r="SNK7" s="414"/>
      <c r="SNL7" s="414"/>
      <c r="SNM7" s="414"/>
      <c r="SNN7" s="414"/>
      <c r="SNO7" s="414"/>
      <c r="SNP7" s="414"/>
      <c r="SNQ7" s="414"/>
      <c r="SNR7" s="414"/>
      <c r="SNS7" s="414"/>
      <c r="SNT7" s="414"/>
      <c r="SNU7" s="414"/>
      <c r="SNV7" s="414"/>
      <c r="SNW7" s="414"/>
      <c r="SNX7" s="414"/>
      <c r="SNY7" s="414"/>
      <c r="SNZ7" s="414"/>
      <c r="SOA7" s="414"/>
      <c r="SOB7" s="414"/>
      <c r="SOC7" s="414"/>
      <c r="SOD7" s="414"/>
      <c r="SOE7" s="414"/>
      <c r="SOF7" s="414"/>
      <c r="SOG7" s="414"/>
      <c r="SOH7" s="414"/>
      <c r="SOI7" s="414"/>
      <c r="SOJ7" s="414"/>
      <c r="SOK7" s="414"/>
      <c r="SOL7" s="414"/>
      <c r="SOM7" s="414"/>
      <c r="SON7" s="414"/>
      <c r="SOO7" s="414"/>
      <c r="SOP7" s="414"/>
      <c r="SOQ7" s="414"/>
      <c r="SOR7" s="414"/>
      <c r="SOS7" s="414"/>
      <c r="SOT7" s="414"/>
      <c r="SOU7" s="414"/>
      <c r="SOV7" s="414"/>
      <c r="SOW7" s="414"/>
      <c r="SOX7" s="414"/>
      <c r="SOY7" s="414"/>
      <c r="SOZ7" s="414"/>
      <c r="SPA7" s="414"/>
      <c r="SPB7" s="414"/>
      <c r="SPC7" s="414"/>
      <c r="SPD7" s="414"/>
      <c r="SPE7" s="414"/>
      <c r="SPF7" s="414"/>
      <c r="SPG7" s="414"/>
      <c r="SPH7" s="414"/>
      <c r="SPI7" s="414"/>
      <c r="SPJ7" s="414"/>
      <c r="SPK7" s="414"/>
      <c r="SPL7" s="414"/>
      <c r="SPM7" s="414"/>
      <c r="SPN7" s="414"/>
      <c r="SPO7" s="414"/>
      <c r="SPP7" s="414"/>
      <c r="SPQ7" s="414"/>
      <c r="SPR7" s="414"/>
      <c r="SPS7" s="414"/>
      <c r="SPT7" s="414"/>
      <c r="SPU7" s="414"/>
      <c r="SPV7" s="414"/>
      <c r="SPW7" s="414"/>
      <c r="SPX7" s="414"/>
      <c r="SPY7" s="414"/>
      <c r="SPZ7" s="414"/>
      <c r="SQA7" s="414"/>
      <c r="SQB7" s="414"/>
      <c r="SQC7" s="414"/>
      <c r="SQD7" s="414"/>
      <c r="SQE7" s="414"/>
      <c r="SQF7" s="414"/>
      <c r="SQG7" s="414"/>
      <c r="SQH7" s="414"/>
      <c r="SQI7" s="414"/>
      <c r="SQJ7" s="414"/>
      <c r="SQK7" s="414"/>
      <c r="SQL7" s="414"/>
      <c r="SQM7" s="414"/>
      <c r="SQN7" s="414"/>
      <c r="SQO7" s="414"/>
      <c r="SQP7" s="414"/>
      <c r="SQQ7" s="414"/>
      <c r="SQR7" s="414"/>
      <c r="SQS7" s="414"/>
      <c r="SQT7" s="414"/>
      <c r="SQU7" s="414"/>
      <c r="SQV7" s="414"/>
      <c r="SQW7" s="414"/>
      <c r="SQX7" s="414"/>
      <c r="SQY7" s="414"/>
      <c r="SQZ7" s="414"/>
      <c r="SRA7" s="414"/>
      <c r="SRB7" s="414"/>
      <c r="SRC7" s="414"/>
      <c r="SRD7" s="414"/>
      <c r="SRE7" s="414"/>
      <c r="SRF7" s="414"/>
      <c r="SRG7" s="414"/>
      <c r="SRH7" s="414"/>
      <c r="SRI7" s="414"/>
      <c r="SRJ7" s="414"/>
      <c r="SRK7" s="414"/>
      <c r="SRL7" s="414"/>
      <c r="SRM7" s="414"/>
      <c r="SRN7" s="414"/>
      <c r="SRO7" s="414"/>
      <c r="SRP7" s="414"/>
      <c r="SRQ7" s="414"/>
      <c r="SRR7" s="414"/>
      <c r="SRS7" s="414"/>
      <c r="SRT7" s="414"/>
      <c r="SRU7" s="414"/>
      <c r="SRV7" s="414"/>
      <c r="SRW7" s="414"/>
      <c r="SRX7" s="414"/>
      <c r="SRY7" s="414"/>
      <c r="SRZ7" s="414"/>
      <c r="SSA7" s="414"/>
      <c r="SSB7" s="414"/>
      <c r="SSC7" s="414"/>
      <c r="SSD7" s="414"/>
      <c r="SSE7" s="414"/>
      <c r="SSF7" s="414"/>
      <c r="SSG7" s="414"/>
      <c r="SSH7" s="414"/>
      <c r="SSI7" s="414"/>
      <c r="SSJ7" s="414"/>
      <c r="SSK7" s="414"/>
      <c r="SSL7" s="414"/>
      <c r="SSM7" s="414"/>
      <c r="SSN7" s="414"/>
      <c r="SSO7" s="414"/>
      <c r="SSP7" s="414"/>
      <c r="SSQ7" s="414"/>
      <c r="SSR7" s="414"/>
      <c r="SSS7" s="414"/>
      <c r="SST7" s="414"/>
      <c r="SSU7" s="414"/>
      <c r="SSV7" s="414"/>
      <c r="SSW7" s="414"/>
      <c r="SSX7" s="414"/>
      <c r="SSY7" s="414"/>
      <c r="SSZ7" s="414"/>
      <c r="STA7" s="414"/>
      <c r="STB7" s="414"/>
      <c r="STC7" s="414"/>
      <c r="STD7" s="414"/>
      <c r="STE7" s="414"/>
      <c r="STF7" s="414"/>
      <c r="STG7" s="414"/>
      <c r="STH7" s="414"/>
      <c r="STI7" s="414"/>
      <c r="STJ7" s="414"/>
      <c r="STK7" s="414"/>
      <c r="STL7" s="414"/>
      <c r="STM7" s="414"/>
      <c r="STN7" s="414"/>
      <c r="STO7" s="414"/>
      <c r="STP7" s="414"/>
      <c r="STQ7" s="414"/>
      <c r="STR7" s="414"/>
      <c r="STS7" s="414"/>
      <c r="STT7" s="414"/>
      <c r="STU7" s="414"/>
      <c r="STV7" s="414"/>
      <c r="STW7" s="414"/>
      <c r="STX7" s="414"/>
      <c r="STY7" s="414"/>
      <c r="STZ7" s="414"/>
      <c r="SUA7" s="414"/>
      <c r="SUB7" s="414"/>
      <c r="SUC7" s="414"/>
      <c r="SUD7" s="414"/>
      <c r="SUE7" s="414"/>
      <c r="SUF7" s="414"/>
      <c r="SUG7" s="414"/>
      <c r="SUH7" s="414"/>
      <c r="SUI7" s="414"/>
      <c r="SUJ7" s="414"/>
      <c r="SUK7" s="414"/>
      <c r="SUL7" s="414"/>
      <c r="SUM7" s="414"/>
      <c r="SUN7" s="414"/>
      <c r="SUO7" s="414"/>
      <c r="SUP7" s="414"/>
      <c r="SUQ7" s="414"/>
      <c r="SUR7" s="414"/>
      <c r="SUS7" s="414"/>
      <c r="SUT7" s="414"/>
      <c r="SUU7" s="414"/>
      <c r="SUV7" s="414"/>
      <c r="SUW7" s="414"/>
      <c r="SUX7" s="414"/>
      <c r="SUY7" s="414"/>
      <c r="SUZ7" s="414"/>
      <c r="SVA7" s="414"/>
      <c r="SVB7" s="414"/>
      <c r="SVC7" s="414"/>
      <c r="SVD7" s="414"/>
      <c r="SVE7" s="414"/>
      <c r="SVF7" s="414"/>
      <c r="SVG7" s="414"/>
      <c r="SVH7" s="414"/>
      <c r="SVI7" s="414"/>
      <c r="SVJ7" s="414"/>
      <c r="SVK7" s="414"/>
      <c r="SVL7" s="414"/>
      <c r="SVM7" s="414"/>
      <c r="SVN7" s="414"/>
      <c r="SVO7" s="414"/>
      <c r="SVP7" s="414"/>
      <c r="SVQ7" s="414"/>
      <c r="SVR7" s="414"/>
      <c r="SVS7" s="414"/>
      <c r="SVT7" s="414"/>
      <c r="SVU7" s="414"/>
      <c r="SVV7" s="414"/>
      <c r="SVW7" s="414"/>
      <c r="SVX7" s="414"/>
      <c r="SVY7" s="414"/>
      <c r="SVZ7" s="414"/>
      <c r="SWA7" s="414"/>
      <c r="SWB7" s="414"/>
      <c r="SWC7" s="414"/>
      <c r="SWD7" s="414"/>
      <c r="SWE7" s="414"/>
      <c r="SWF7" s="414"/>
      <c r="SWG7" s="414"/>
      <c r="SWH7" s="414"/>
      <c r="SWI7" s="414"/>
      <c r="SWJ7" s="414"/>
      <c r="SWK7" s="414"/>
      <c r="SWL7" s="414"/>
      <c r="SWM7" s="414"/>
      <c r="SWN7" s="414"/>
      <c r="SWO7" s="414"/>
      <c r="SWP7" s="414"/>
      <c r="SWQ7" s="414"/>
      <c r="SWR7" s="414"/>
      <c r="SWS7" s="414"/>
      <c r="SWT7" s="414"/>
      <c r="SWU7" s="414"/>
      <c r="SWV7" s="414"/>
      <c r="SWW7" s="414"/>
      <c r="SWX7" s="414"/>
      <c r="SWY7" s="414"/>
      <c r="SWZ7" s="414"/>
      <c r="SXA7" s="414"/>
      <c r="SXB7" s="414"/>
      <c r="SXC7" s="414"/>
      <c r="SXD7" s="414"/>
      <c r="SXE7" s="414"/>
      <c r="SXF7" s="414"/>
      <c r="SXG7" s="414"/>
      <c r="SXH7" s="414"/>
      <c r="SXI7" s="414"/>
      <c r="SXJ7" s="414"/>
      <c r="SXK7" s="414"/>
      <c r="SXL7" s="414"/>
      <c r="SXM7" s="414"/>
      <c r="SXN7" s="414"/>
      <c r="SXO7" s="414"/>
      <c r="SXP7" s="414"/>
      <c r="SXQ7" s="414"/>
      <c r="SXR7" s="414"/>
      <c r="SXS7" s="414"/>
      <c r="SXT7" s="414"/>
      <c r="SXU7" s="414"/>
      <c r="SXV7" s="414"/>
      <c r="SXW7" s="414"/>
      <c r="SXX7" s="414"/>
      <c r="SXY7" s="414"/>
      <c r="SXZ7" s="414"/>
      <c r="SYA7" s="414"/>
      <c r="SYB7" s="414"/>
      <c r="SYC7" s="414"/>
      <c r="SYD7" s="414"/>
      <c r="SYE7" s="414"/>
      <c r="SYF7" s="414"/>
      <c r="SYG7" s="414"/>
      <c r="SYH7" s="414"/>
      <c r="SYI7" s="414"/>
      <c r="SYJ7" s="414"/>
      <c r="SYK7" s="414"/>
      <c r="SYL7" s="414"/>
      <c r="SYM7" s="414"/>
      <c r="SYN7" s="414"/>
      <c r="SYO7" s="414"/>
      <c r="SYP7" s="414"/>
      <c r="SYQ7" s="414"/>
      <c r="SYR7" s="414"/>
      <c r="SYS7" s="414"/>
      <c r="SYT7" s="414"/>
      <c r="SYU7" s="414"/>
      <c r="SYV7" s="414"/>
      <c r="SYW7" s="414"/>
      <c r="SYX7" s="414"/>
      <c r="SYY7" s="414"/>
      <c r="SYZ7" s="414"/>
      <c r="SZA7" s="414"/>
      <c r="SZB7" s="414"/>
      <c r="SZC7" s="414"/>
      <c r="SZD7" s="414"/>
      <c r="SZE7" s="414"/>
      <c r="SZF7" s="414"/>
      <c r="SZG7" s="414"/>
      <c r="SZH7" s="414"/>
      <c r="SZI7" s="414"/>
      <c r="SZJ7" s="414"/>
      <c r="SZK7" s="414"/>
      <c r="SZL7" s="414"/>
      <c r="SZM7" s="414"/>
      <c r="SZN7" s="414"/>
      <c r="SZO7" s="414"/>
      <c r="SZP7" s="414"/>
      <c r="SZQ7" s="414"/>
      <c r="SZR7" s="414"/>
      <c r="SZS7" s="414"/>
      <c r="SZT7" s="414"/>
      <c r="SZU7" s="414"/>
      <c r="SZV7" s="414"/>
      <c r="SZW7" s="414"/>
      <c r="SZX7" s="414"/>
      <c r="SZY7" s="414"/>
      <c r="SZZ7" s="414"/>
      <c r="TAA7" s="414"/>
      <c r="TAB7" s="414"/>
      <c r="TAC7" s="414"/>
      <c r="TAD7" s="414"/>
      <c r="TAE7" s="414"/>
      <c r="TAF7" s="414"/>
      <c r="TAG7" s="414"/>
      <c r="TAH7" s="414"/>
      <c r="TAI7" s="414"/>
      <c r="TAJ7" s="414"/>
      <c r="TAK7" s="414"/>
      <c r="TAL7" s="414"/>
      <c r="TAM7" s="414"/>
      <c r="TAN7" s="414"/>
      <c r="TAO7" s="414"/>
      <c r="TAP7" s="414"/>
      <c r="TAQ7" s="414"/>
      <c r="TAR7" s="414"/>
      <c r="TAS7" s="414"/>
      <c r="TAT7" s="414"/>
      <c r="TAU7" s="414"/>
      <c r="TAV7" s="414"/>
      <c r="TAW7" s="414"/>
      <c r="TAX7" s="414"/>
      <c r="TAY7" s="414"/>
      <c r="TAZ7" s="414"/>
      <c r="TBA7" s="414"/>
      <c r="TBB7" s="414"/>
      <c r="TBC7" s="414"/>
      <c r="TBD7" s="414"/>
      <c r="TBE7" s="414"/>
      <c r="TBF7" s="414"/>
      <c r="TBG7" s="414"/>
      <c r="TBH7" s="414"/>
      <c r="TBI7" s="414"/>
      <c r="TBJ7" s="414"/>
      <c r="TBK7" s="414"/>
      <c r="TBL7" s="414"/>
      <c r="TBM7" s="414"/>
      <c r="TBN7" s="414"/>
      <c r="TBO7" s="414"/>
      <c r="TBP7" s="414"/>
      <c r="TBQ7" s="414"/>
      <c r="TBR7" s="414"/>
      <c r="TBS7" s="414"/>
      <c r="TBT7" s="414"/>
      <c r="TBU7" s="414"/>
      <c r="TBV7" s="414"/>
      <c r="TBW7" s="414"/>
      <c r="TBX7" s="414"/>
      <c r="TBY7" s="414"/>
      <c r="TBZ7" s="414"/>
      <c r="TCA7" s="414"/>
      <c r="TCB7" s="414"/>
      <c r="TCC7" s="414"/>
      <c r="TCD7" s="414"/>
      <c r="TCE7" s="414"/>
      <c r="TCF7" s="414"/>
      <c r="TCG7" s="414"/>
      <c r="TCH7" s="414"/>
      <c r="TCI7" s="414"/>
      <c r="TCJ7" s="414"/>
      <c r="TCK7" s="414"/>
      <c r="TCL7" s="414"/>
      <c r="TCM7" s="414"/>
      <c r="TCN7" s="414"/>
      <c r="TCO7" s="414"/>
      <c r="TCP7" s="414"/>
      <c r="TCQ7" s="414"/>
      <c r="TCR7" s="414"/>
      <c r="TCS7" s="414"/>
      <c r="TCT7" s="414"/>
      <c r="TCU7" s="414"/>
      <c r="TCV7" s="414"/>
      <c r="TCW7" s="414"/>
      <c r="TCX7" s="414"/>
      <c r="TCY7" s="414"/>
      <c r="TCZ7" s="414"/>
      <c r="TDA7" s="414"/>
      <c r="TDB7" s="414"/>
      <c r="TDC7" s="414"/>
      <c r="TDD7" s="414"/>
      <c r="TDE7" s="414"/>
      <c r="TDF7" s="414"/>
      <c r="TDG7" s="414"/>
      <c r="TDH7" s="414"/>
      <c r="TDI7" s="414"/>
      <c r="TDJ7" s="414"/>
      <c r="TDK7" s="414"/>
      <c r="TDL7" s="414"/>
      <c r="TDM7" s="414"/>
      <c r="TDN7" s="414"/>
      <c r="TDO7" s="414"/>
      <c r="TDP7" s="414"/>
      <c r="TDQ7" s="414"/>
      <c r="TDR7" s="414"/>
      <c r="TDS7" s="414"/>
      <c r="TDT7" s="414"/>
      <c r="TDU7" s="414"/>
      <c r="TDV7" s="414"/>
      <c r="TDW7" s="414"/>
      <c r="TDX7" s="414"/>
      <c r="TDY7" s="414"/>
      <c r="TDZ7" s="414"/>
      <c r="TEA7" s="414"/>
      <c r="TEB7" s="414"/>
      <c r="TEC7" s="414"/>
      <c r="TED7" s="414"/>
      <c r="TEE7" s="414"/>
      <c r="TEF7" s="414"/>
      <c r="TEG7" s="414"/>
      <c r="TEH7" s="414"/>
      <c r="TEI7" s="414"/>
      <c r="TEJ7" s="414"/>
      <c r="TEK7" s="414"/>
      <c r="TEL7" s="414"/>
      <c r="TEM7" s="414"/>
      <c r="TEN7" s="414"/>
      <c r="TEO7" s="414"/>
      <c r="TEP7" s="414"/>
      <c r="TEQ7" s="414"/>
      <c r="TER7" s="414"/>
      <c r="TES7" s="414"/>
      <c r="TET7" s="414"/>
      <c r="TEU7" s="414"/>
      <c r="TEV7" s="414"/>
      <c r="TEW7" s="414"/>
      <c r="TEX7" s="414"/>
      <c r="TEY7" s="414"/>
      <c r="TEZ7" s="414"/>
      <c r="TFA7" s="414"/>
      <c r="TFB7" s="414"/>
      <c r="TFC7" s="414"/>
      <c r="TFD7" s="414"/>
      <c r="TFE7" s="414"/>
      <c r="TFF7" s="414"/>
      <c r="TFG7" s="414"/>
      <c r="TFH7" s="414"/>
      <c r="TFI7" s="414"/>
      <c r="TFJ7" s="414"/>
      <c r="TFK7" s="414"/>
      <c r="TFL7" s="414"/>
      <c r="TFM7" s="414"/>
      <c r="TFN7" s="414"/>
      <c r="TFO7" s="414"/>
      <c r="TFP7" s="414"/>
      <c r="TFQ7" s="414"/>
      <c r="TFR7" s="414"/>
      <c r="TFS7" s="414"/>
      <c r="TFT7" s="414"/>
      <c r="TFU7" s="414"/>
      <c r="TFV7" s="414"/>
      <c r="TFW7" s="414"/>
      <c r="TFX7" s="414"/>
      <c r="TFY7" s="414"/>
      <c r="TFZ7" s="414"/>
      <c r="TGA7" s="414"/>
      <c r="TGB7" s="414"/>
      <c r="TGC7" s="414"/>
      <c r="TGD7" s="414"/>
      <c r="TGE7" s="414"/>
      <c r="TGF7" s="414"/>
      <c r="TGG7" s="414"/>
      <c r="TGH7" s="414"/>
      <c r="TGI7" s="414"/>
      <c r="TGJ7" s="414"/>
      <c r="TGK7" s="414"/>
      <c r="TGL7" s="414"/>
      <c r="TGM7" s="414"/>
      <c r="TGN7" s="414"/>
      <c r="TGO7" s="414"/>
      <c r="TGP7" s="414"/>
      <c r="TGQ7" s="414"/>
      <c r="TGR7" s="414"/>
      <c r="TGS7" s="414"/>
      <c r="TGT7" s="414"/>
      <c r="TGU7" s="414"/>
      <c r="TGV7" s="414"/>
      <c r="TGW7" s="414"/>
      <c r="TGX7" s="414"/>
      <c r="TGY7" s="414"/>
      <c r="TGZ7" s="414"/>
      <c r="THA7" s="414"/>
      <c r="THB7" s="414"/>
      <c r="THC7" s="414"/>
      <c r="THD7" s="414"/>
      <c r="THE7" s="414"/>
      <c r="THF7" s="414"/>
      <c r="THG7" s="414"/>
      <c r="THH7" s="414"/>
      <c r="THI7" s="414"/>
      <c r="THJ7" s="414"/>
      <c r="THK7" s="414"/>
      <c r="THL7" s="414"/>
      <c r="THM7" s="414"/>
      <c r="THN7" s="414"/>
      <c r="THO7" s="414"/>
      <c r="THP7" s="414"/>
      <c r="THQ7" s="414"/>
      <c r="THR7" s="414"/>
      <c r="THS7" s="414"/>
      <c r="THT7" s="414"/>
      <c r="THU7" s="414"/>
      <c r="THV7" s="414"/>
      <c r="THW7" s="414"/>
      <c r="THX7" s="414"/>
      <c r="THY7" s="414"/>
      <c r="THZ7" s="414"/>
      <c r="TIA7" s="414"/>
      <c r="TIB7" s="414"/>
      <c r="TIC7" s="414"/>
      <c r="TID7" s="414"/>
      <c r="TIE7" s="414"/>
      <c r="TIF7" s="414"/>
      <c r="TIG7" s="414"/>
      <c r="TIH7" s="414"/>
      <c r="TII7" s="414"/>
      <c r="TIJ7" s="414"/>
      <c r="TIK7" s="414"/>
      <c r="TIL7" s="414"/>
      <c r="TIM7" s="414"/>
      <c r="TIN7" s="414"/>
      <c r="TIO7" s="414"/>
      <c r="TIP7" s="414"/>
      <c r="TIQ7" s="414"/>
      <c r="TIR7" s="414"/>
      <c r="TIS7" s="414"/>
      <c r="TIT7" s="414"/>
      <c r="TIU7" s="414"/>
      <c r="TIV7" s="414"/>
      <c r="TIW7" s="414"/>
      <c r="TIX7" s="414"/>
      <c r="TIY7" s="414"/>
      <c r="TIZ7" s="414"/>
      <c r="TJA7" s="414"/>
      <c r="TJB7" s="414"/>
      <c r="TJC7" s="414"/>
      <c r="TJD7" s="414"/>
      <c r="TJE7" s="414"/>
      <c r="TJF7" s="414"/>
      <c r="TJG7" s="414"/>
      <c r="TJH7" s="414"/>
      <c r="TJI7" s="414"/>
      <c r="TJJ7" s="414"/>
      <c r="TJK7" s="414"/>
      <c r="TJL7" s="414"/>
      <c r="TJM7" s="414"/>
      <c r="TJN7" s="414"/>
      <c r="TJO7" s="414"/>
      <c r="TJP7" s="414"/>
      <c r="TJQ7" s="414"/>
      <c r="TJR7" s="414"/>
      <c r="TJS7" s="414"/>
      <c r="TJT7" s="414"/>
      <c r="TJU7" s="414"/>
      <c r="TJV7" s="414"/>
      <c r="TJW7" s="414"/>
      <c r="TJX7" s="414"/>
      <c r="TJY7" s="414"/>
      <c r="TJZ7" s="414"/>
      <c r="TKA7" s="414"/>
      <c r="TKB7" s="414"/>
      <c r="TKC7" s="414"/>
      <c r="TKD7" s="414"/>
      <c r="TKE7" s="414"/>
      <c r="TKF7" s="414"/>
      <c r="TKG7" s="414"/>
      <c r="TKH7" s="414"/>
      <c r="TKI7" s="414"/>
      <c r="TKJ7" s="414"/>
      <c r="TKK7" s="414"/>
      <c r="TKL7" s="414"/>
      <c r="TKM7" s="414"/>
      <c r="TKN7" s="414"/>
      <c r="TKO7" s="414"/>
      <c r="TKP7" s="414"/>
      <c r="TKQ7" s="414"/>
      <c r="TKR7" s="414"/>
      <c r="TKS7" s="414"/>
      <c r="TKT7" s="414"/>
      <c r="TKU7" s="414"/>
      <c r="TKV7" s="414"/>
      <c r="TKW7" s="414"/>
      <c r="TKX7" s="414"/>
      <c r="TKY7" s="414"/>
      <c r="TKZ7" s="414"/>
      <c r="TLA7" s="414"/>
      <c r="TLB7" s="414"/>
      <c r="TLC7" s="414"/>
      <c r="TLD7" s="414"/>
      <c r="TLE7" s="414"/>
      <c r="TLF7" s="414"/>
      <c r="TLG7" s="414"/>
      <c r="TLH7" s="414"/>
      <c r="TLI7" s="414"/>
      <c r="TLJ7" s="414"/>
      <c r="TLK7" s="414"/>
      <c r="TLL7" s="414"/>
      <c r="TLM7" s="414"/>
      <c r="TLN7" s="414"/>
      <c r="TLO7" s="414"/>
      <c r="TLP7" s="414"/>
      <c r="TLQ7" s="414"/>
      <c r="TLR7" s="414"/>
      <c r="TLS7" s="414"/>
      <c r="TLT7" s="414"/>
      <c r="TLU7" s="414"/>
      <c r="TLV7" s="414"/>
      <c r="TLW7" s="414"/>
      <c r="TLX7" s="414"/>
      <c r="TLY7" s="414"/>
      <c r="TLZ7" s="414"/>
      <c r="TMA7" s="414"/>
      <c r="TMB7" s="414"/>
      <c r="TMC7" s="414"/>
      <c r="TMD7" s="414"/>
      <c r="TME7" s="414"/>
      <c r="TMF7" s="414"/>
      <c r="TMG7" s="414"/>
      <c r="TMH7" s="414"/>
      <c r="TMI7" s="414"/>
      <c r="TMJ7" s="414"/>
      <c r="TMK7" s="414"/>
      <c r="TML7" s="414"/>
      <c r="TMM7" s="414"/>
      <c r="TMN7" s="414"/>
      <c r="TMO7" s="414"/>
      <c r="TMP7" s="414"/>
      <c r="TMQ7" s="414"/>
      <c r="TMR7" s="414"/>
      <c r="TMS7" s="414"/>
      <c r="TMT7" s="414"/>
      <c r="TMU7" s="414"/>
      <c r="TMV7" s="414"/>
      <c r="TMW7" s="414"/>
      <c r="TMX7" s="414"/>
      <c r="TMY7" s="414"/>
      <c r="TMZ7" s="414"/>
      <c r="TNA7" s="414"/>
      <c r="TNB7" s="414"/>
      <c r="TNC7" s="414"/>
      <c r="TND7" s="414"/>
      <c r="TNE7" s="414"/>
      <c r="TNF7" s="414"/>
      <c r="TNG7" s="414"/>
      <c r="TNH7" s="414"/>
      <c r="TNI7" s="414"/>
      <c r="TNJ7" s="414"/>
      <c r="TNK7" s="414"/>
      <c r="TNL7" s="414"/>
      <c r="TNM7" s="414"/>
      <c r="TNN7" s="414"/>
      <c r="TNO7" s="414"/>
      <c r="TNP7" s="414"/>
      <c r="TNQ7" s="414"/>
      <c r="TNR7" s="414"/>
      <c r="TNS7" s="414"/>
      <c r="TNT7" s="414"/>
      <c r="TNU7" s="414"/>
      <c r="TNV7" s="414"/>
      <c r="TNW7" s="414"/>
      <c r="TNX7" s="414"/>
      <c r="TNY7" s="414"/>
      <c r="TNZ7" s="414"/>
      <c r="TOA7" s="414"/>
      <c r="TOB7" s="414"/>
      <c r="TOC7" s="414"/>
      <c r="TOD7" s="414"/>
      <c r="TOE7" s="414"/>
      <c r="TOF7" s="414"/>
      <c r="TOG7" s="414"/>
      <c r="TOH7" s="414"/>
      <c r="TOI7" s="414"/>
      <c r="TOJ7" s="414"/>
      <c r="TOK7" s="414"/>
      <c r="TOL7" s="414"/>
      <c r="TOM7" s="414"/>
      <c r="TON7" s="414"/>
      <c r="TOO7" s="414"/>
      <c r="TOP7" s="414"/>
      <c r="TOQ7" s="414"/>
      <c r="TOR7" s="414"/>
      <c r="TOS7" s="414"/>
      <c r="TOT7" s="414"/>
      <c r="TOU7" s="414"/>
      <c r="TOV7" s="414"/>
      <c r="TOW7" s="414"/>
      <c r="TOX7" s="414"/>
      <c r="TOY7" s="414"/>
      <c r="TOZ7" s="414"/>
      <c r="TPA7" s="414"/>
      <c r="TPB7" s="414"/>
      <c r="TPC7" s="414"/>
      <c r="TPD7" s="414"/>
      <c r="TPE7" s="414"/>
      <c r="TPF7" s="414"/>
      <c r="TPG7" s="414"/>
      <c r="TPH7" s="414"/>
      <c r="TPI7" s="414"/>
      <c r="TPJ7" s="414"/>
      <c r="TPK7" s="414"/>
      <c r="TPL7" s="414"/>
      <c r="TPM7" s="414"/>
      <c r="TPN7" s="414"/>
      <c r="TPO7" s="414"/>
      <c r="TPP7" s="414"/>
      <c r="TPQ7" s="414"/>
      <c r="TPR7" s="414"/>
      <c r="TPS7" s="414"/>
      <c r="TPT7" s="414"/>
      <c r="TPU7" s="414"/>
      <c r="TPV7" s="414"/>
      <c r="TPW7" s="414"/>
      <c r="TPX7" s="414"/>
      <c r="TPY7" s="414"/>
      <c r="TPZ7" s="414"/>
      <c r="TQA7" s="414"/>
      <c r="TQB7" s="414"/>
      <c r="TQC7" s="414"/>
      <c r="TQD7" s="414"/>
      <c r="TQE7" s="414"/>
      <c r="TQF7" s="414"/>
      <c r="TQG7" s="414"/>
      <c r="TQH7" s="414"/>
      <c r="TQI7" s="414"/>
      <c r="TQJ7" s="414"/>
      <c r="TQK7" s="414"/>
      <c r="TQL7" s="414"/>
      <c r="TQM7" s="414"/>
      <c r="TQN7" s="414"/>
      <c r="TQO7" s="414"/>
      <c r="TQP7" s="414"/>
      <c r="TQQ7" s="414"/>
      <c r="TQR7" s="414"/>
      <c r="TQS7" s="414"/>
      <c r="TQT7" s="414"/>
      <c r="TQU7" s="414"/>
      <c r="TQV7" s="414"/>
      <c r="TQW7" s="414"/>
      <c r="TQX7" s="414"/>
      <c r="TQY7" s="414"/>
      <c r="TQZ7" s="414"/>
      <c r="TRA7" s="414"/>
      <c r="TRB7" s="414"/>
      <c r="TRC7" s="414"/>
      <c r="TRD7" s="414"/>
      <c r="TRE7" s="414"/>
      <c r="TRF7" s="414"/>
      <c r="TRG7" s="414"/>
      <c r="TRH7" s="414"/>
      <c r="TRI7" s="414"/>
      <c r="TRJ7" s="414"/>
      <c r="TRK7" s="414"/>
      <c r="TRL7" s="414"/>
      <c r="TRM7" s="414"/>
      <c r="TRN7" s="414"/>
      <c r="TRO7" s="414"/>
      <c r="TRP7" s="414"/>
      <c r="TRQ7" s="414"/>
      <c r="TRR7" s="414"/>
      <c r="TRS7" s="414"/>
      <c r="TRT7" s="414"/>
      <c r="TRU7" s="414"/>
      <c r="TRV7" s="414"/>
      <c r="TRW7" s="414"/>
      <c r="TRX7" s="414"/>
      <c r="TRY7" s="414"/>
      <c r="TRZ7" s="414"/>
      <c r="TSA7" s="414"/>
      <c r="TSB7" s="414"/>
      <c r="TSC7" s="414"/>
      <c r="TSD7" s="414"/>
      <c r="TSE7" s="414"/>
      <c r="TSF7" s="414"/>
      <c r="TSG7" s="414"/>
      <c r="TSH7" s="414"/>
      <c r="TSI7" s="414"/>
      <c r="TSJ7" s="414"/>
      <c r="TSK7" s="414"/>
      <c r="TSL7" s="414"/>
      <c r="TSM7" s="414"/>
      <c r="TSN7" s="414"/>
      <c r="TSO7" s="414"/>
      <c r="TSP7" s="414"/>
      <c r="TSQ7" s="414"/>
      <c r="TSR7" s="414"/>
      <c r="TSS7" s="414"/>
      <c r="TST7" s="414"/>
      <c r="TSU7" s="414"/>
      <c r="TSV7" s="414"/>
      <c r="TSW7" s="414"/>
      <c r="TSX7" s="414"/>
      <c r="TSY7" s="414"/>
      <c r="TSZ7" s="414"/>
      <c r="TTA7" s="414"/>
      <c r="TTB7" s="414"/>
      <c r="TTC7" s="414"/>
      <c r="TTD7" s="414"/>
      <c r="TTE7" s="414"/>
      <c r="TTF7" s="414"/>
      <c r="TTG7" s="414"/>
      <c r="TTH7" s="414"/>
      <c r="TTI7" s="414"/>
      <c r="TTJ7" s="414"/>
      <c r="TTK7" s="414"/>
      <c r="TTL7" s="414"/>
      <c r="TTM7" s="414"/>
      <c r="TTN7" s="414"/>
      <c r="TTO7" s="414"/>
      <c r="TTP7" s="414"/>
      <c r="TTQ7" s="414"/>
      <c r="TTR7" s="414"/>
      <c r="TTS7" s="414"/>
      <c r="TTT7" s="414"/>
      <c r="TTU7" s="414"/>
      <c r="TTV7" s="414"/>
      <c r="TTW7" s="414"/>
      <c r="TTX7" s="414"/>
      <c r="TTY7" s="414"/>
      <c r="TTZ7" s="414"/>
      <c r="TUA7" s="414"/>
      <c r="TUB7" s="414"/>
      <c r="TUC7" s="414"/>
      <c r="TUD7" s="414"/>
      <c r="TUE7" s="414"/>
      <c r="TUF7" s="414"/>
      <c r="TUG7" s="414"/>
      <c r="TUH7" s="414"/>
      <c r="TUI7" s="414"/>
      <c r="TUJ7" s="414"/>
      <c r="TUK7" s="414"/>
      <c r="TUL7" s="414"/>
      <c r="TUM7" s="414"/>
      <c r="TUN7" s="414"/>
      <c r="TUO7" s="414"/>
      <c r="TUP7" s="414"/>
      <c r="TUQ7" s="414"/>
      <c r="TUR7" s="414"/>
      <c r="TUS7" s="414"/>
      <c r="TUT7" s="414"/>
      <c r="TUU7" s="414"/>
      <c r="TUV7" s="414"/>
      <c r="TUW7" s="414"/>
      <c r="TUX7" s="414"/>
      <c r="TUY7" s="414"/>
      <c r="TUZ7" s="414"/>
      <c r="TVA7" s="414"/>
      <c r="TVB7" s="414"/>
      <c r="TVC7" s="414"/>
      <c r="TVD7" s="414"/>
      <c r="TVE7" s="414"/>
      <c r="TVF7" s="414"/>
      <c r="TVG7" s="414"/>
      <c r="TVH7" s="414"/>
      <c r="TVI7" s="414"/>
      <c r="TVJ7" s="414"/>
      <c r="TVK7" s="414"/>
      <c r="TVL7" s="414"/>
      <c r="TVM7" s="414"/>
      <c r="TVN7" s="414"/>
      <c r="TVO7" s="414"/>
      <c r="TVP7" s="414"/>
      <c r="TVQ7" s="414"/>
      <c r="TVR7" s="414"/>
      <c r="TVS7" s="414"/>
      <c r="TVT7" s="414"/>
      <c r="TVU7" s="414"/>
      <c r="TVV7" s="414"/>
      <c r="TVW7" s="414"/>
      <c r="TVX7" s="414"/>
      <c r="TVY7" s="414"/>
      <c r="TVZ7" s="414"/>
      <c r="TWA7" s="414"/>
      <c r="TWB7" s="414"/>
      <c r="TWC7" s="414"/>
      <c r="TWD7" s="414"/>
      <c r="TWE7" s="414"/>
      <c r="TWF7" s="414"/>
      <c r="TWG7" s="414"/>
      <c r="TWH7" s="414"/>
      <c r="TWI7" s="414"/>
      <c r="TWJ7" s="414"/>
      <c r="TWK7" s="414"/>
      <c r="TWL7" s="414"/>
      <c r="TWM7" s="414"/>
      <c r="TWN7" s="414"/>
      <c r="TWO7" s="414"/>
      <c r="TWP7" s="414"/>
      <c r="TWQ7" s="414"/>
      <c r="TWR7" s="414"/>
      <c r="TWS7" s="414"/>
      <c r="TWT7" s="414"/>
      <c r="TWU7" s="414"/>
      <c r="TWV7" s="414"/>
      <c r="TWW7" s="414"/>
      <c r="TWX7" s="414"/>
      <c r="TWY7" s="414"/>
      <c r="TWZ7" s="414"/>
      <c r="TXA7" s="414"/>
      <c r="TXB7" s="414"/>
      <c r="TXC7" s="414"/>
      <c r="TXD7" s="414"/>
      <c r="TXE7" s="414"/>
      <c r="TXF7" s="414"/>
      <c r="TXG7" s="414"/>
      <c r="TXH7" s="414"/>
      <c r="TXI7" s="414"/>
      <c r="TXJ7" s="414"/>
      <c r="TXK7" s="414"/>
      <c r="TXL7" s="414"/>
      <c r="TXM7" s="414"/>
      <c r="TXN7" s="414"/>
      <c r="TXO7" s="414"/>
      <c r="TXP7" s="414"/>
      <c r="TXQ7" s="414"/>
      <c r="TXR7" s="414"/>
      <c r="TXS7" s="414"/>
      <c r="TXT7" s="414"/>
      <c r="TXU7" s="414"/>
      <c r="TXV7" s="414"/>
      <c r="TXW7" s="414"/>
      <c r="TXX7" s="414"/>
      <c r="TXY7" s="414"/>
      <c r="TXZ7" s="414"/>
      <c r="TYA7" s="414"/>
      <c r="TYB7" s="414"/>
      <c r="TYC7" s="414"/>
      <c r="TYD7" s="414"/>
      <c r="TYE7" s="414"/>
      <c r="TYF7" s="414"/>
      <c r="TYG7" s="414"/>
      <c r="TYH7" s="414"/>
      <c r="TYI7" s="414"/>
      <c r="TYJ7" s="414"/>
      <c r="TYK7" s="414"/>
      <c r="TYL7" s="414"/>
      <c r="TYM7" s="414"/>
      <c r="TYN7" s="414"/>
      <c r="TYO7" s="414"/>
      <c r="TYP7" s="414"/>
      <c r="TYQ7" s="414"/>
      <c r="TYR7" s="414"/>
      <c r="TYS7" s="414"/>
      <c r="TYT7" s="414"/>
      <c r="TYU7" s="414"/>
      <c r="TYV7" s="414"/>
      <c r="TYW7" s="414"/>
      <c r="TYX7" s="414"/>
      <c r="TYY7" s="414"/>
      <c r="TYZ7" s="414"/>
      <c r="TZA7" s="414"/>
      <c r="TZB7" s="414"/>
      <c r="TZC7" s="414"/>
      <c r="TZD7" s="414"/>
      <c r="TZE7" s="414"/>
      <c r="TZF7" s="414"/>
      <c r="TZG7" s="414"/>
      <c r="TZH7" s="414"/>
      <c r="TZI7" s="414"/>
      <c r="TZJ7" s="414"/>
      <c r="TZK7" s="414"/>
      <c r="TZL7" s="414"/>
      <c r="TZM7" s="414"/>
      <c r="TZN7" s="414"/>
      <c r="TZO7" s="414"/>
      <c r="TZP7" s="414"/>
      <c r="TZQ7" s="414"/>
      <c r="TZR7" s="414"/>
      <c r="TZS7" s="414"/>
      <c r="TZT7" s="414"/>
      <c r="TZU7" s="414"/>
      <c r="TZV7" s="414"/>
      <c r="TZW7" s="414"/>
      <c r="TZX7" s="414"/>
      <c r="TZY7" s="414"/>
      <c r="TZZ7" s="414"/>
      <c r="UAA7" s="414"/>
      <c r="UAB7" s="414"/>
      <c r="UAC7" s="414"/>
      <c r="UAD7" s="414"/>
      <c r="UAE7" s="414"/>
      <c r="UAF7" s="414"/>
      <c r="UAG7" s="414"/>
      <c r="UAH7" s="414"/>
      <c r="UAI7" s="414"/>
      <c r="UAJ7" s="414"/>
      <c r="UAK7" s="414"/>
      <c r="UAL7" s="414"/>
      <c r="UAM7" s="414"/>
      <c r="UAN7" s="414"/>
      <c r="UAO7" s="414"/>
      <c r="UAP7" s="414"/>
      <c r="UAQ7" s="414"/>
      <c r="UAR7" s="414"/>
      <c r="UAS7" s="414"/>
      <c r="UAT7" s="414"/>
      <c r="UAU7" s="414"/>
      <c r="UAV7" s="414"/>
      <c r="UAW7" s="414"/>
      <c r="UAX7" s="414"/>
      <c r="UAY7" s="414"/>
      <c r="UAZ7" s="414"/>
      <c r="UBA7" s="414"/>
      <c r="UBB7" s="414"/>
      <c r="UBC7" s="414"/>
      <c r="UBD7" s="414"/>
      <c r="UBE7" s="414"/>
      <c r="UBF7" s="414"/>
      <c r="UBG7" s="414"/>
      <c r="UBH7" s="414"/>
      <c r="UBI7" s="414"/>
      <c r="UBJ7" s="414"/>
      <c r="UBK7" s="414"/>
      <c r="UBL7" s="414"/>
      <c r="UBM7" s="414"/>
      <c r="UBN7" s="414"/>
      <c r="UBO7" s="414"/>
      <c r="UBP7" s="414"/>
      <c r="UBQ7" s="414"/>
      <c r="UBR7" s="414"/>
      <c r="UBS7" s="414"/>
      <c r="UBT7" s="414"/>
      <c r="UBU7" s="414"/>
      <c r="UBV7" s="414"/>
      <c r="UBW7" s="414"/>
      <c r="UBX7" s="414"/>
      <c r="UBY7" s="414"/>
      <c r="UBZ7" s="414"/>
      <c r="UCA7" s="414"/>
      <c r="UCB7" s="414"/>
      <c r="UCC7" s="414"/>
      <c r="UCD7" s="414"/>
      <c r="UCE7" s="414"/>
      <c r="UCF7" s="414"/>
      <c r="UCG7" s="414"/>
      <c r="UCH7" s="414"/>
      <c r="UCI7" s="414"/>
      <c r="UCJ7" s="414"/>
      <c r="UCK7" s="414"/>
      <c r="UCL7" s="414"/>
      <c r="UCM7" s="414"/>
      <c r="UCN7" s="414"/>
      <c r="UCO7" s="414"/>
      <c r="UCP7" s="414"/>
      <c r="UCQ7" s="414"/>
      <c r="UCR7" s="414"/>
      <c r="UCS7" s="414"/>
      <c r="UCT7" s="414"/>
      <c r="UCU7" s="414"/>
      <c r="UCV7" s="414"/>
      <c r="UCW7" s="414"/>
      <c r="UCX7" s="414"/>
      <c r="UCY7" s="414"/>
      <c r="UCZ7" s="414"/>
      <c r="UDA7" s="414"/>
      <c r="UDB7" s="414"/>
      <c r="UDC7" s="414"/>
      <c r="UDD7" s="414"/>
      <c r="UDE7" s="414"/>
      <c r="UDF7" s="414"/>
      <c r="UDG7" s="414"/>
      <c r="UDH7" s="414"/>
      <c r="UDI7" s="414"/>
      <c r="UDJ7" s="414"/>
      <c r="UDK7" s="414"/>
      <c r="UDL7" s="414"/>
      <c r="UDM7" s="414"/>
      <c r="UDN7" s="414"/>
      <c r="UDO7" s="414"/>
      <c r="UDP7" s="414"/>
      <c r="UDQ7" s="414"/>
      <c r="UDR7" s="414"/>
      <c r="UDS7" s="414"/>
      <c r="UDT7" s="414"/>
      <c r="UDU7" s="414"/>
      <c r="UDV7" s="414"/>
      <c r="UDW7" s="414"/>
      <c r="UDX7" s="414"/>
      <c r="UDY7" s="414"/>
      <c r="UDZ7" s="414"/>
      <c r="UEA7" s="414"/>
      <c r="UEB7" s="414"/>
      <c r="UEC7" s="414"/>
      <c r="UED7" s="414"/>
      <c r="UEE7" s="414"/>
      <c r="UEF7" s="414"/>
      <c r="UEG7" s="414"/>
      <c r="UEH7" s="414"/>
      <c r="UEI7" s="414"/>
      <c r="UEJ7" s="414"/>
      <c r="UEK7" s="414"/>
      <c r="UEL7" s="414"/>
      <c r="UEM7" s="414"/>
      <c r="UEN7" s="414"/>
      <c r="UEO7" s="414"/>
      <c r="UEP7" s="414"/>
      <c r="UEQ7" s="414"/>
      <c r="UER7" s="414"/>
      <c r="UES7" s="414"/>
      <c r="UET7" s="414"/>
      <c r="UEU7" s="414"/>
      <c r="UEV7" s="414"/>
      <c r="UEW7" s="414"/>
      <c r="UEX7" s="414"/>
      <c r="UEY7" s="414"/>
      <c r="UEZ7" s="414"/>
      <c r="UFA7" s="414"/>
      <c r="UFB7" s="414"/>
      <c r="UFC7" s="414"/>
      <c r="UFD7" s="414"/>
      <c r="UFE7" s="414"/>
      <c r="UFF7" s="414"/>
      <c r="UFG7" s="414"/>
      <c r="UFH7" s="414"/>
      <c r="UFI7" s="414"/>
      <c r="UFJ7" s="414"/>
      <c r="UFK7" s="414"/>
      <c r="UFL7" s="414"/>
      <c r="UFM7" s="414"/>
      <c r="UFN7" s="414"/>
      <c r="UFO7" s="414"/>
      <c r="UFP7" s="414"/>
      <c r="UFQ7" s="414"/>
      <c r="UFR7" s="414"/>
      <c r="UFS7" s="414"/>
      <c r="UFT7" s="414"/>
      <c r="UFU7" s="414"/>
      <c r="UFV7" s="414"/>
      <c r="UFW7" s="414"/>
      <c r="UFX7" s="414"/>
      <c r="UFY7" s="414"/>
      <c r="UFZ7" s="414"/>
      <c r="UGA7" s="414"/>
      <c r="UGB7" s="414"/>
      <c r="UGC7" s="414"/>
      <c r="UGD7" s="414"/>
      <c r="UGE7" s="414"/>
      <c r="UGF7" s="414"/>
      <c r="UGG7" s="414"/>
      <c r="UGH7" s="414"/>
      <c r="UGI7" s="414"/>
      <c r="UGJ7" s="414"/>
      <c r="UGK7" s="414"/>
      <c r="UGL7" s="414"/>
      <c r="UGM7" s="414"/>
      <c r="UGN7" s="414"/>
      <c r="UGO7" s="414"/>
      <c r="UGP7" s="414"/>
      <c r="UGQ7" s="414"/>
      <c r="UGR7" s="414"/>
      <c r="UGS7" s="414"/>
      <c r="UGT7" s="414"/>
      <c r="UGU7" s="414"/>
      <c r="UGV7" s="414"/>
      <c r="UGW7" s="414"/>
      <c r="UGX7" s="414"/>
      <c r="UGY7" s="414"/>
      <c r="UGZ7" s="414"/>
      <c r="UHA7" s="414"/>
      <c r="UHB7" s="414"/>
      <c r="UHC7" s="414"/>
      <c r="UHD7" s="414"/>
      <c r="UHE7" s="414"/>
      <c r="UHF7" s="414"/>
      <c r="UHG7" s="414"/>
      <c r="UHH7" s="414"/>
      <c r="UHI7" s="414"/>
      <c r="UHJ7" s="414"/>
      <c r="UHK7" s="414"/>
      <c r="UHL7" s="414"/>
      <c r="UHM7" s="414"/>
      <c r="UHN7" s="414"/>
      <c r="UHO7" s="414"/>
      <c r="UHP7" s="414"/>
      <c r="UHQ7" s="414"/>
      <c r="UHR7" s="414"/>
      <c r="UHS7" s="414"/>
      <c r="UHT7" s="414"/>
      <c r="UHU7" s="414"/>
      <c r="UHV7" s="414"/>
      <c r="UHW7" s="414"/>
      <c r="UHX7" s="414"/>
      <c r="UHY7" s="414"/>
      <c r="UHZ7" s="414"/>
      <c r="UIA7" s="414"/>
      <c r="UIB7" s="414"/>
      <c r="UIC7" s="414"/>
      <c r="UID7" s="414"/>
      <c r="UIE7" s="414"/>
      <c r="UIF7" s="414"/>
      <c r="UIG7" s="414"/>
      <c r="UIH7" s="414"/>
      <c r="UII7" s="414"/>
      <c r="UIJ7" s="414"/>
      <c r="UIK7" s="414"/>
      <c r="UIL7" s="414"/>
      <c r="UIM7" s="414"/>
      <c r="UIN7" s="414"/>
      <c r="UIO7" s="414"/>
      <c r="UIP7" s="414"/>
      <c r="UIQ7" s="414"/>
      <c r="UIR7" s="414"/>
      <c r="UIS7" s="414"/>
      <c r="UIT7" s="414"/>
      <c r="UIU7" s="414"/>
      <c r="UIV7" s="414"/>
      <c r="UIW7" s="414"/>
      <c r="UIX7" s="414"/>
      <c r="UIY7" s="414"/>
      <c r="UIZ7" s="414"/>
      <c r="UJA7" s="414"/>
      <c r="UJB7" s="414"/>
      <c r="UJC7" s="414"/>
      <c r="UJD7" s="414"/>
      <c r="UJE7" s="414"/>
      <c r="UJF7" s="414"/>
      <c r="UJG7" s="414"/>
      <c r="UJH7" s="414"/>
      <c r="UJI7" s="414"/>
      <c r="UJJ7" s="414"/>
      <c r="UJK7" s="414"/>
      <c r="UJL7" s="414"/>
      <c r="UJM7" s="414"/>
      <c r="UJN7" s="414"/>
      <c r="UJO7" s="414"/>
      <c r="UJP7" s="414"/>
      <c r="UJQ7" s="414"/>
      <c r="UJR7" s="414"/>
      <c r="UJS7" s="414"/>
      <c r="UJT7" s="414"/>
      <c r="UJU7" s="414"/>
      <c r="UJV7" s="414"/>
      <c r="UJW7" s="414"/>
      <c r="UJX7" s="414"/>
      <c r="UJY7" s="414"/>
      <c r="UJZ7" s="414"/>
      <c r="UKA7" s="414"/>
      <c r="UKB7" s="414"/>
      <c r="UKC7" s="414"/>
      <c r="UKD7" s="414"/>
      <c r="UKE7" s="414"/>
      <c r="UKF7" s="414"/>
      <c r="UKG7" s="414"/>
      <c r="UKH7" s="414"/>
      <c r="UKI7" s="414"/>
      <c r="UKJ7" s="414"/>
      <c r="UKK7" s="414"/>
      <c r="UKL7" s="414"/>
      <c r="UKM7" s="414"/>
      <c r="UKN7" s="414"/>
      <c r="UKO7" s="414"/>
      <c r="UKP7" s="414"/>
      <c r="UKQ7" s="414"/>
      <c r="UKR7" s="414"/>
      <c r="UKS7" s="414"/>
      <c r="UKT7" s="414"/>
      <c r="UKU7" s="414"/>
      <c r="UKV7" s="414"/>
      <c r="UKW7" s="414"/>
      <c r="UKX7" s="414"/>
      <c r="UKY7" s="414"/>
      <c r="UKZ7" s="414"/>
      <c r="ULA7" s="414"/>
      <c r="ULB7" s="414"/>
      <c r="ULC7" s="414"/>
      <c r="ULD7" s="414"/>
      <c r="ULE7" s="414"/>
      <c r="ULF7" s="414"/>
      <c r="ULG7" s="414"/>
      <c r="ULH7" s="414"/>
      <c r="ULI7" s="414"/>
      <c r="ULJ7" s="414"/>
      <c r="ULK7" s="414"/>
      <c r="ULL7" s="414"/>
      <c r="ULM7" s="414"/>
      <c r="ULN7" s="414"/>
      <c r="ULO7" s="414"/>
      <c r="ULP7" s="414"/>
      <c r="ULQ7" s="414"/>
      <c r="ULR7" s="414"/>
      <c r="ULS7" s="414"/>
      <c r="ULT7" s="414"/>
      <c r="ULU7" s="414"/>
      <c r="ULV7" s="414"/>
      <c r="ULW7" s="414"/>
      <c r="ULX7" s="414"/>
      <c r="ULY7" s="414"/>
      <c r="ULZ7" s="414"/>
      <c r="UMA7" s="414"/>
      <c r="UMB7" s="414"/>
      <c r="UMC7" s="414"/>
      <c r="UMD7" s="414"/>
      <c r="UME7" s="414"/>
      <c r="UMF7" s="414"/>
      <c r="UMG7" s="414"/>
      <c r="UMH7" s="414"/>
      <c r="UMI7" s="414"/>
      <c r="UMJ7" s="414"/>
      <c r="UMK7" s="414"/>
      <c r="UML7" s="414"/>
      <c r="UMM7" s="414"/>
      <c r="UMN7" s="414"/>
      <c r="UMO7" s="414"/>
      <c r="UMP7" s="414"/>
      <c r="UMQ7" s="414"/>
      <c r="UMR7" s="414"/>
      <c r="UMS7" s="414"/>
      <c r="UMT7" s="414"/>
      <c r="UMU7" s="414"/>
      <c r="UMV7" s="414"/>
      <c r="UMW7" s="414"/>
      <c r="UMX7" s="414"/>
      <c r="UMY7" s="414"/>
      <c r="UMZ7" s="414"/>
      <c r="UNA7" s="414"/>
      <c r="UNB7" s="414"/>
      <c r="UNC7" s="414"/>
      <c r="UND7" s="414"/>
      <c r="UNE7" s="414"/>
      <c r="UNF7" s="414"/>
      <c r="UNG7" s="414"/>
      <c r="UNH7" s="414"/>
      <c r="UNI7" s="414"/>
      <c r="UNJ7" s="414"/>
      <c r="UNK7" s="414"/>
      <c r="UNL7" s="414"/>
      <c r="UNM7" s="414"/>
      <c r="UNN7" s="414"/>
      <c r="UNO7" s="414"/>
      <c r="UNP7" s="414"/>
      <c r="UNQ7" s="414"/>
      <c r="UNR7" s="414"/>
      <c r="UNS7" s="414"/>
      <c r="UNT7" s="414"/>
      <c r="UNU7" s="414"/>
      <c r="UNV7" s="414"/>
      <c r="UNW7" s="414"/>
      <c r="UNX7" s="414"/>
      <c r="UNY7" s="414"/>
      <c r="UNZ7" s="414"/>
      <c r="UOA7" s="414"/>
      <c r="UOB7" s="414"/>
      <c r="UOC7" s="414"/>
      <c r="UOD7" s="414"/>
      <c r="UOE7" s="414"/>
      <c r="UOF7" s="414"/>
      <c r="UOG7" s="414"/>
      <c r="UOH7" s="414"/>
      <c r="UOI7" s="414"/>
      <c r="UOJ7" s="414"/>
      <c r="UOK7" s="414"/>
      <c r="UOL7" s="414"/>
      <c r="UOM7" s="414"/>
      <c r="UON7" s="414"/>
      <c r="UOO7" s="414"/>
      <c r="UOP7" s="414"/>
      <c r="UOQ7" s="414"/>
      <c r="UOR7" s="414"/>
      <c r="UOS7" s="414"/>
      <c r="UOT7" s="414"/>
      <c r="UOU7" s="414"/>
      <c r="UOV7" s="414"/>
      <c r="UOW7" s="414"/>
      <c r="UOX7" s="414"/>
      <c r="UOY7" s="414"/>
      <c r="UOZ7" s="414"/>
      <c r="UPA7" s="414"/>
      <c r="UPB7" s="414"/>
      <c r="UPC7" s="414"/>
      <c r="UPD7" s="414"/>
      <c r="UPE7" s="414"/>
      <c r="UPF7" s="414"/>
      <c r="UPG7" s="414"/>
      <c r="UPH7" s="414"/>
      <c r="UPI7" s="414"/>
      <c r="UPJ7" s="414"/>
      <c r="UPK7" s="414"/>
      <c r="UPL7" s="414"/>
      <c r="UPM7" s="414"/>
      <c r="UPN7" s="414"/>
      <c r="UPO7" s="414"/>
      <c r="UPP7" s="414"/>
      <c r="UPQ7" s="414"/>
      <c r="UPR7" s="414"/>
      <c r="UPS7" s="414"/>
      <c r="UPT7" s="414"/>
      <c r="UPU7" s="414"/>
      <c r="UPV7" s="414"/>
      <c r="UPW7" s="414"/>
      <c r="UPX7" s="414"/>
      <c r="UPY7" s="414"/>
      <c r="UPZ7" s="414"/>
      <c r="UQA7" s="414"/>
      <c r="UQB7" s="414"/>
      <c r="UQC7" s="414"/>
      <c r="UQD7" s="414"/>
      <c r="UQE7" s="414"/>
      <c r="UQF7" s="414"/>
      <c r="UQG7" s="414"/>
      <c r="UQH7" s="414"/>
      <c r="UQI7" s="414"/>
      <c r="UQJ7" s="414"/>
      <c r="UQK7" s="414"/>
      <c r="UQL7" s="414"/>
      <c r="UQM7" s="414"/>
      <c r="UQN7" s="414"/>
      <c r="UQO7" s="414"/>
      <c r="UQP7" s="414"/>
      <c r="UQQ7" s="414"/>
      <c r="UQR7" s="414"/>
      <c r="UQS7" s="414"/>
      <c r="UQT7" s="414"/>
      <c r="UQU7" s="414"/>
      <c r="UQV7" s="414"/>
      <c r="UQW7" s="414"/>
      <c r="UQX7" s="414"/>
      <c r="UQY7" s="414"/>
      <c r="UQZ7" s="414"/>
      <c r="URA7" s="414"/>
      <c r="URB7" s="414"/>
      <c r="URC7" s="414"/>
      <c r="URD7" s="414"/>
      <c r="URE7" s="414"/>
      <c r="URF7" s="414"/>
      <c r="URG7" s="414"/>
      <c r="URH7" s="414"/>
      <c r="URI7" s="414"/>
      <c r="URJ7" s="414"/>
      <c r="URK7" s="414"/>
      <c r="URL7" s="414"/>
      <c r="URM7" s="414"/>
      <c r="URN7" s="414"/>
      <c r="URO7" s="414"/>
      <c r="URP7" s="414"/>
      <c r="URQ7" s="414"/>
      <c r="URR7" s="414"/>
      <c r="URS7" s="414"/>
      <c r="URT7" s="414"/>
      <c r="URU7" s="414"/>
      <c r="URV7" s="414"/>
      <c r="URW7" s="414"/>
      <c r="URX7" s="414"/>
      <c r="URY7" s="414"/>
      <c r="URZ7" s="414"/>
      <c r="USA7" s="414"/>
      <c r="USB7" s="414"/>
      <c r="USC7" s="414"/>
      <c r="USD7" s="414"/>
      <c r="USE7" s="414"/>
      <c r="USF7" s="414"/>
      <c r="USG7" s="414"/>
      <c r="USH7" s="414"/>
      <c r="USI7" s="414"/>
      <c r="USJ7" s="414"/>
      <c r="USK7" s="414"/>
      <c r="USL7" s="414"/>
      <c r="USM7" s="414"/>
      <c r="USN7" s="414"/>
      <c r="USO7" s="414"/>
      <c r="USP7" s="414"/>
      <c r="USQ7" s="414"/>
      <c r="USR7" s="414"/>
      <c r="USS7" s="414"/>
      <c r="UST7" s="414"/>
      <c r="USU7" s="414"/>
      <c r="USV7" s="414"/>
      <c r="USW7" s="414"/>
      <c r="USX7" s="414"/>
      <c r="USY7" s="414"/>
      <c r="USZ7" s="414"/>
      <c r="UTA7" s="414"/>
      <c r="UTB7" s="414"/>
      <c r="UTC7" s="414"/>
      <c r="UTD7" s="414"/>
      <c r="UTE7" s="414"/>
      <c r="UTF7" s="414"/>
      <c r="UTG7" s="414"/>
      <c r="UTH7" s="414"/>
      <c r="UTI7" s="414"/>
      <c r="UTJ7" s="414"/>
      <c r="UTK7" s="414"/>
      <c r="UTL7" s="414"/>
      <c r="UTM7" s="414"/>
      <c r="UTN7" s="414"/>
      <c r="UTO7" s="414"/>
      <c r="UTP7" s="414"/>
      <c r="UTQ7" s="414"/>
      <c r="UTR7" s="414"/>
      <c r="UTS7" s="414"/>
      <c r="UTT7" s="414"/>
      <c r="UTU7" s="414"/>
      <c r="UTV7" s="414"/>
      <c r="UTW7" s="414"/>
      <c r="UTX7" s="414"/>
      <c r="UTY7" s="414"/>
      <c r="UTZ7" s="414"/>
      <c r="UUA7" s="414"/>
      <c r="UUB7" s="414"/>
      <c r="UUC7" s="414"/>
      <c r="UUD7" s="414"/>
      <c r="UUE7" s="414"/>
      <c r="UUF7" s="414"/>
      <c r="UUG7" s="414"/>
      <c r="UUH7" s="414"/>
      <c r="UUI7" s="414"/>
      <c r="UUJ7" s="414"/>
      <c r="UUK7" s="414"/>
      <c r="UUL7" s="414"/>
      <c r="UUM7" s="414"/>
      <c r="UUN7" s="414"/>
      <c r="UUO7" s="414"/>
      <c r="UUP7" s="414"/>
      <c r="UUQ7" s="414"/>
      <c r="UUR7" s="414"/>
      <c r="UUS7" s="414"/>
      <c r="UUT7" s="414"/>
      <c r="UUU7" s="414"/>
      <c r="UUV7" s="414"/>
      <c r="UUW7" s="414"/>
      <c r="UUX7" s="414"/>
      <c r="UUY7" s="414"/>
      <c r="UUZ7" s="414"/>
      <c r="UVA7" s="414"/>
      <c r="UVB7" s="414"/>
      <c r="UVC7" s="414"/>
      <c r="UVD7" s="414"/>
      <c r="UVE7" s="414"/>
      <c r="UVF7" s="414"/>
      <c r="UVG7" s="414"/>
      <c r="UVH7" s="414"/>
      <c r="UVI7" s="414"/>
      <c r="UVJ7" s="414"/>
      <c r="UVK7" s="414"/>
      <c r="UVL7" s="414"/>
      <c r="UVM7" s="414"/>
      <c r="UVN7" s="414"/>
      <c r="UVO7" s="414"/>
      <c r="UVP7" s="414"/>
      <c r="UVQ7" s="414"/>
      <c r="UVR7" s="414"/>
      <c r="UVS7" s="414"/>
      <c r="UVT7" s="414"/>
      <c r="UVU7" s="414"/>
      <c r="UVV7" s="414"/>
      <c r="UVW7" s="414"/>
      <c r="UVX7" s="414"/>
      <c r="UVY7" s="414"/>
      <c r="UVZ7" s="414"/>
      <c r="UWA7" s="414"/>
      <c r="UWB7" s="414"/>
      <c r="UWC7" s="414"/>
      <c r="UWD7" s="414"/>
      <c r="UWE7" s="414"/>
      <c r="UWF7" s="414"/>
      <c r="UWG7" s="414"/>
      <c r="UWH7" s="414"/>
      <c r="UWI7" s="414"/>
      <c r="UWJ7" s="414"/>
      <c r="UWK7" s="414"/>
      <c r="UWL7" s="414"/>
      <c r="UWM7" s="414"/>
      <c r="UWN7" s="414"/>
      <c r="UWO7" s="414"/>
      <c r="UWP7" s="414"/>
      <c r="UWQ7" s="414"/>
      <c r="UWR7" s="414"/>
      <c r="UWS7" s="414"/>
      <c r="UWT7" s="414"/>
      <c r="UWU7" s="414"/>
      <c r="UWV7" s="414"/>
      <c r="UWW7" s="414"/>
      <c r="UWX7" s="414"/>
      <c r="UWY7" s="414"/>
      <c r="UWZ7" s="414"/>
      <c r="UXA7" s="414"/>
      <c r="UXB7" s="414"/>
      <c r="UXC7" s="414"/>
      <c r="UXD7" s="414"/>
      <c r="UXE7" s="414"/>
      <c r="UXF7" s="414"/>
      <c r="UXG7" s="414"/>
      <c r="UXH7" s="414"/>
      <c r="UXI7" s="414"/>
      <c r="UXJ7" s="414"/>
      <c r="UXK7" s="414"/>
      <c r="UXL7" s="414"/>
      <c r="UXM7" s="414"/>
      <c r="UXN7" s="414"/>
      <c r="UXO7" s="414"/>
      <c r="UXP7" s="414"/>
      <c r="UXQ7" s="414"/>
      <c r="UXR7" s="414"/>
      <c r="UXS7" s="414"/>
      <c r="UXT7" s="414"/>
      <c r="UXU7" s="414"/>
      <c r="UXV7" s="414"/>
      <c r="UXW7" s="414"/>
      <c r="UXX7" s="414"/>
      <c r="UXY7" s="414"/>
      <c r="UXZ7" s="414"/>
      <c r="UYA7" s="414"/>
      <c r="UYB7" s="414"/>
      <c r="UYC7" s="414"/>
      <c r="UYD7" s="414"/>
      <c r="UYE7" s="414"/>
      <c r="UYF7" s="414"/>
      <c r="UYG7" s="414"/>
      <c r="UYH7" s="414"/>
      <c r="UYI7" s="414"/>
      <c r="UYJ7" s="414"/>
      <c r="UYK7" s="414"/>
      <c r="UYL7" s="414"/>
      <c r="UYM7" s="414"/>
      <c r="UYN7" s="414"/>
      <c r="UYO7" s="414"/>
      <c r="UYP7" s="414"/>
      <c r="UYQ7" s="414"/>
      <c r="UYR7" s="414"/>
      <c r="UYS7" s="414"/>
      <c r="UYT7" s="414"/>
      <c r="UYU7" s="414"/>
      <c r="UYV7" s="414"/>
      <c r="UYW7" s="414"/>
      <c r="UYX7" s="414"/>
      <c r="UYY7" s="414"/>
      <c r="UYZ7" s="414"/>
      <c r="UZA7" s="414"/>
      <c r="UZB7" s="414"/>
      <c r="UZC7" s="414"/>
      <c r="UZD7" s="414"/>
      <c r="UZE7" s="414"/>
      <c r="UZF7" s="414"/>
      <c r="UZG7" s="414"/>
      <c r="UZH7" s="414"/>
      <c r="UZI7" s="414"/>
      <c r="UZJ7" s="414"/>
      <c r="UZK7" s="414"/>
      <c r="UZL7" s="414"/>
      <c r="UZM7" s="414"/>
      <c r="UZN7" s="414"/>
      <c r="UZO7" s="414"/>
      <c r="UZP7" s="414"/>
      <c r="UZQ7" s="414"/>
      <c r="UZR7" s="414"/>
      <c r="UZS7" s="414"/>
      <c r="UZT7" s="414"/>
      <c r="UZU7" s="414"/>
      <c r="UZV7" s="414"/>
      <c r="UZW7" s="414"/>
      <c r="UZX7" s="414"/>
      <c r="UZY7" s="414"/>
      <c r="UZZ7" s="414"/>
      <c r="VAA7" s="414"/>
      <c r="VAB7" s="414"/>
      <c r="VAC7" s="414"/>
      <c r="VAD7" s="414"/>
      <c r="VAE7" s="414"/>
      <c r="VAF7" s="414"/>
      <c r="VAG7" s="414"/>
      <c r="VAH7" s="414"/>
      <c r="VAI7" s="414"/>
      <c r="VAJ7" s="414"/>
      <c r="VAK7" s="414"/>
      <c r="VAL7" s="414"/>
      <c r="VAM7" s="414"/>
      <c r="VAN7" s="414"/>
      <c r="VAO7" s="414"/>
      <c r="VAP7" s="414"/>
      <c r="VAQ7" s="414"/>
      <c r="VAR7" s="414"/>
      <c r="VAS7" s="414"/>
      <c r="VAT7" s="414"/>
      <c r="VAU7" s="414"/>
      <c r="VAV7" s="414"/>
      <c r="VAW7" s="414"/>
      <c r="VAX7" s="414"/>
      <c r="VAY7" s="414"/>
      <c r="VAZ7" s="414"/>
      <c r="VBA7" s="414"/>
      <c r="VBB7" s="414"/>
      <c r="VBC7" s="414"/>
      <c r="VBD7" s="414"/>
      <c r="VBE7" s="414"/>
      <c r="VBF7" s="414"/>
      <c r="VBG7" s="414"/>
      <c r="VBH7" s="414"/>
      <c r="VBI7" s="414"/>
      <c r="VBJ7" s="414"/>
      <c r="VBK7" s="414"/>
      <c r="VBL7" s="414"/>
      <c r="VBM7" s="414"/>
      <c r="VBN7" s="414"/>
      <c r="VBO7" s="414"/>
      <c r="VBP7" s="414"/>
      <c r="VBQ7" s="414"/>
      <c r="VBR7" s="414"/>
      <c r="VBS7" s="414"/>
      <c r="VBT7" s="414"/>
      <c r="VBU7" s="414"/>
      <c r="VBV7" s="414"/>
      <c r="VBW7" s="414"/>
      <c r="VBX7" s="414"/>
      <c r="VBY7" s="414"/>
      <c r="VBZ7" s="414"/>
      <c r="VCA7" s="414"/>
      <c r="VCB7" s="414"/>
      <c r="VCC7" s="414"/>
      <c r="VCD7" s="414"/>
      <c r="VCE7" s="414"/>
      <c r="VCF7" s="414"/>
      <c r="VCG7" s="414"/>
      <c r="VCH7" s="414"/>
      <c r="VCI7" s="414"/>
      <c r="VCJ7" s="414"/>
      <c r="VCK7" s="414"/>
      <c r="VCL7" s="414"/>
      <c r="VCM7" s="414"/>
      <c r="VCN7" s="414"/>
      <c r="VCO7" s="414"/>
      <c r="VCP7" s="414"/>
      <c r="VCQ7" s="414"/>
      <c r="VCR7" s="414"/>
      <c r="VCS7" s="414"/>
      <c r="VCT7" s="414"/>
      <c r="VCU7" s="414"/>
      <c r="VCV7" s="414"/>
      <c r="VCW7" s="414"/>
      <c r="VCX7" s="414"/>
      <c r="VCY7" s="414"/>
      <c r="VCZ7" s="414"/>
      <c r="VDA7" s="414"/>
      <c r="VDB7" s="414"/>
      <c r="VDC7" s="414"/>
      <c r="VDD7" s="414"/>
      <c r="VDE7" s="414"/>
      <c r="VDF7" s="414"/>
      <c r="VDG7" s="414"/>
      <c r="VDH7" s="414"/>
      <c r="VDI7" s="414"/>
      <c r="VDJ7" s="414"/>
      <c r="VDK7" s="414"/>
      <c r="VDL7" s="414"/>
      <c r="VDM7" s="414"/>
      <c r="VDN7" s="414"/>
      <c r="VDO7" s="414"/>
      <c r="VDP7" s="414"/>
      <c r="VDQ7" s="414"/>
      <c r="VDR7" s="414"/>
      <c r="VDS7" s="414"/>
      <c r="VDT7" s="414"/>
      <c r="VDU7" s="414"/>
      <c r="VDV7" s="414"/>
      <c r="VDW7" s="414"/>
      <c r="VDX7" s="414"/>
      <c r="VDY7" s="414"/>
      <c r="VDZ7" s="414"/>
      <c r="VEA7" s="414"/>
      <c r="VEB7" s="414"/>
      <c r="VEC7" s="414"/>
      <c r="VED7" s="414"/>
      <c r="VEE7" s="414"/>
      <c r="VEF7" s="414"/>
      <c r="VEG7" s="414"/>
      <c r="VEH7" s="414"/>
      <c r="VEI7" s="414"/>
      <c r="VEJ7" s="414"/>
      <c r="VEK7" s="414"/>
      <c r="VEL7" s="414"/>
      <c r="VEM7" s="414"/>
      <c r="VEN7" s="414"/>
      <c r="VEO7" s="414"/>
      <c r="VEP7" s="414"/>
      <c r="VEQ7" s="414"/>
      <c r="VER7" s="414"/>
      <c r="VES7" s="414"/>
      <c r="VET7" s="414"/>
      <c r="VEU7" s="414"/>
      <c r="VEV7" s="414"/>
      <c r="VEW7" s="414"/>
      <c r="VEX7" s="414"/>
      <c r="VEY7" s="414"/>
      <c r="VEZ7" s="414"/>
      <c r="VFA7" s="414"/>
      <c r="VFB7" s="414"/>
      <c r="VFC7" s="414"/>
      <c r="VFD7" s="414"/>
      <c r="VFE7" s="414"/>
      <c r="VFF7" s="414"/>
      <c r="VFG7" s="414"/>
      <c r="VFH7" s="414"/>
      <c r="VFI7" s="414"/>
      <c r="VFJ7" s="414"/>
      <c r="VFK7" s="414"/>
      <c r="VFL7" s="414"/>
      <c r="VFM7" s="414"/>
      <c r="VFN7" s="414"/>
      <c r="VFO7" s="414"/>
      <c r="VFP7" s="414"/>
      <c r="VFQ7" s="414"/>
      <c r="VFR7" s="414"/>
      <c r="VFS7" s="414"/>
      <c r="VFT7" s="414"/>
      <c r="VFU7" s="414"/>
      <c r="VFV7" s="414"/>
      <c r="VFW7" s="414"/>
      <c r="VFX7" s="414"/>
      <c r="VFY7" s="414"/>
      <c r="VFZ7" s="414"/>
      <c r="VGA7" s="414"/>
      <c r="VGB7" s="414"/>
      <c r="VGC7" s="414"/>
      <c r="VGD7" s="414"/>
      <c r="VGE7" s="414"/>
      <c r="VGF7" s="414"/>
      <c r="VGG7" s="414"/>
      <c r="VGH7" s="414"/>
      <c r="VGI7" s="414"/>
      <c r="VGJ7" s="414"/>
      <c r="VGK7" s="414"/>
      <c r="VGL7" s="414"/>
      <c r="VGM7" s="414"/>
      <c r="VGN7" s="414"/>
      <c r="VGO7" s="414"/>
      <c r="VGP7" s="414"/>
      <c r="VGQ7" s="414"/>
      <c r="VGR7" s="414"/>
      <c r="VGS7" s="414"/>
      <c r="VGT7" s="414"/>
      <c r="VGU7" s="414"/>
      <c r="VGV7" s="414"/>
      <c r="VGW7" s="414"/>
      <c r="VGX7" s="414"/>
      <c r="VGY7" s="414"/>
      <c r="VGZ7" s="414"/>
      <c r="VHA7" s="414"/>
      <c r="VHB7" s="414"/>
      <c r="VHC7" s="414"/>
      <c r="VHD7" s="414"/>
      <c r="VHE7" s="414"/>
      <c r="VHF7" s="414"/>
      <c r="VHG7" s="414"/>
      <c r="VHH7" s="414"/>
      <c r="VHI7" s="414"/>
      <c r="VHJ7" s="414"/>
      <c r="VHK7" s="414"/>
      <c r="VHL7" s="414"/>
      <c r="VHM7" s="414"/>
      <c r="VHN7" s="414"/>
      <c r="VHO7" s="414"/>
      <c r="VHP7" s="414"/>
      <c r="VHQ7" s="414"/>
      <c r="VHR7" s="414"/>
      <c r="VHS7" s="414"/>
      <c r="VHT7" s="414"/>
      <c r="VHU7" s="414"/>
      <c r="VHV7" s="414"/>
      <c r="VHW7" s="414"/>
      <c r="VHX7" s="414"/>
      <c r="VHY7" s="414"/>
      <c r="VHZ7" s="414"/>
      <c r="VIA7" s="414"/>
      <c r="VIB7" s="414"/>
      <c r="VIC7" s="414"/>
      <c r="VID7" s="414"/>
      <c r="VIE7" s="414"/>
      <c r="VIF7" s="414"/>
      <c r="VIG7" s="414"/>
      <c r="VIH7" s="414"/>
      <c r="VII7" s="414"/>
      <c r="VIJ7" s="414"/>
      <c r="VIK7" s="414"/>
      <c r="VIL7" s="414"/>
      <c r="VIM7" s="414"/>
      <c r="VIN7" s="414"/>
      <c r="VIO7" s="414"/>
      <c r="VIP7" s="414"/>
      <c r="VIQ7" s="414"/>
      <c r="VIR7" s="414"/>
      <c r="VIS7" s="414"/>
      <c r="VIT7" s="414"/>
      <c r="VIU7" s="414"/>
      <c r="VIV7" s="414"/>
      <c r="VIW7" s="414"/>
      <c r="VIX7" s="414"/>
      <c r="VIY7" s="414"/>
      <c r="VIZ7" s="414"/>
      <c r="VJA7" s="414"/>
      <c r="VJB7" s="414"/>
      <c r="VJC7" s="414"/>
      <c r="VJD7" s="414"/>
      <c r="VJE7" s="414"/>
      <c r="VJF7" s="414"/>
      <c r="VJG7" s="414"/>
      <c r="VJH7" s="414"/>
      <c r="VJI7" s="414"/>
      <c r="VJJ7" s="414"/>
      <c r="VJK7" s="414"/>
      <c r="VJL7" s="414"/>
      <c r="VJM7" s="414"/>
      <c r="VJN7" s="414"/>
      <c r="VJO7" s="414"/>
      <c r="VJP7" s="414"/>
      <c r="VJQ7" s="414"/>
      <c r="VJR7" s="414"/>
      <c r="VJS7" s="414"/>
      <c r="VJT7" s="414"/>
      <c r="VJU7" s="414"/>
      <c r="VJV7" s="414"/>
      <c r="VJW7" s="414"/>
      <c r="VJX7" s="414"/>
      <c r="VJY7" s="414"/>
      <c r="VJZ7" s="414"/>
      <c r="VKA7" s="414"/>
      <c r="VKB7" s="414"/>
      <c r="VKC7" s="414"/>
      <c r="VKD7" s="414"/>
      <c r="VKE7" s="414"/>
      <c r="VKF7" s="414"/>
      <c r="VKG7" s="414"/>
      <c r="VKH7" s="414"/>
      <c r="VKI7" s="414"/>
      <c r="VKJ7" s="414"/>
      <c r="VKK7" s="414"/>
      <c r="VKL7" s="414"/>
      <c r="VKM7" s="414"/>
      <c r="VKN7" s="414"/>
      <c r="VKO7" s="414"/>
      <c r="VKP7" s="414"/>
      <c r="VKQ7" s="414"/>
      <c r="VKR7" s="414"/>
      <c r="VKS7" s="414"/>
      <c r="VKT7" s="414"/>
      <c r="VKU7" s="414"/>
      <c r="VKV7" s="414"/>
      <c r="VKW7" s="414"/>
      <c r="VKX7" s="414"/>
      <c r="VKY7" s="414"/>
      <c r="VKZ7" s="414"/>
      <c r="VLA7" s="414"/>
      <c r="VLB7" s="414"/>
      <c r="VLC7" s="414"/>
      <c r="VLD7" s="414"/>
      <c r="VLE7" s="414"/>
      <c r="VLF7" s="414"/>
      <c r="VLG7" s="414"/>
      <c r="VLH7" s="414"/>
      <c r="VLI7" s="414"/>
      <c r="VLJ7" s="414"/>
      <c r="VLK7" s="414"/>
      <c r="VLL7" s="414"/>
      <c r="VLM7" s="414"/>
      <c r="VLN7" s="414"/>
      <c r="VLO7" s="414"/>
      <c r="VLP7" s="414"/>
      <c r="VLQ7" s="414"/>
      <c r="VLR7" s="414"/>
      <c r="VLS7" s="414"/>
      <c r="VLT7" s="414"/>
      <c r="VLU7" s="414"/>
      <c r="VLV7" s="414"/>
      <c r="VLW7" s="414"/>
      <c r="VLX7" s="414"/>
      <c r="VLY7" s="414"/>
      <c r="VLZ7" s="414"/>
      <c r="VMA7" s="414"/>
      <c r="VMB7" s="414"/>
      <c r="VMC7" s="414"/>
      <c r="VMD7" s="414"/>
      <c r="VME7" s="414"/>
      <c r="VMF7" s="414"/>
      <c r="VMG7" s="414"/>
      <c r="VMH7" s="414"/>
      <c r="VMI7" s="414"/>
      <c r="VMJ7" s="414"/>
      <c r="VMK7" s="414"/>
      <c r="VML7" s="414"/>
      <c r="VMM7" s="414"/>
      <c r="VMN7" s="414"/>
      <c r="VMO7" s="414"/>
      <c r="VMP7" s="414"/>
      <c r="VMQ7" s="414"/>
      <c r="VMR7" s="414"/>
      <c r="VMS7" s="414"/>
      <c r="VMT7" s="414"/>
      <c r="VMU7" s="414"/>
      <c r="VMV7" s="414"/>
      <c r="VMW7" s="414"/>
      <c r="VMX7" s="414"/>
      <c r="VMY7" s="414"/>
      <c r="VMZ7" s="414"/>
      <c r="VNA7" s="414"/>
      <c r="VNB7" s="414"/>
      <c r="VNC7" s="414"/>
      <c r="VND7" s="414"/>
      <c r="VNE7" s="414"/>
      <c r="VNF7" s="414"/>
      <c r="VNG7" s="414"/>
      <c r="VNH7" s="414"/>
      <c r="VNI7" s="414"/>
      <c r="VNJ7" s="414"/>
      <c r="VNK7" s="414"/>
      <c r="VNL7" s="414"/>
      <c r="VNM7" s="414"/>
      <c r="VNN7" s="414"/>
      <c r="VNO7" s="414"/>
      <c r="VNP7" s="414"/>
      <c r="VNQ7" s="414"/>
      <c r="VNR7" s="414"/>
      <c r="VNS7" s="414"/>
      <c r="VNT7" s="414"/>
      <c r="VNU7" s="414"/>
      <c r="VNV7" s="414"/>
      <c r="VNW7" s="414"/>
      <c r="VNX7" s="414"/>
      <c r="VNY7" s="414"/>
      <c r="VNZ7" s="414"/>
      <c r="VOA7" s="414"/>
      <c r="VOB7" s="414"/>
      <c r="VOC7" s="414"/>
      <c r="VOD7" s="414"/>
      <c r="VOE7" s="414"/>
      <c r="VOF7" s="414"/>
      <c r="VOG7" s="414"/>
      <c r="VOH7" s="414"/>
      <c r="VOI7" s="414"/>
      <c r="VOJ7" s="414"/>
      <c r="VOK7" s="414"/>
      <c r="VOL7" s="414"/>
      <c r="VOM7" s="414"/>
      <c r="VON7" s="414"/>
      <c r="VOO7" s="414"/>
      <c r="VOP7" s="414"/>
      <c r="VOQ7" s="414"/>
      <c r="VOR7" s="414"/>
      <c r="VOS7" s="414"/>
      <c r="VOT7" s="414"/>
      <c r="VOU7" s="414"/>
      <c r="VOV7" s="414"/>
      <c r="VOW7" s="414"/>
      <c r="VOX7" s="414"/>
      <c r="VOY7" s="414"/>
      <c r="VOZ7" s="414"/>
      <c r="VPA7" s="414"/>
      <c r="VPB7" s="414"/>
      <c r="VPC7" s="414"/>
      <c r="VPD7" s="414"/>
      <c r="VPE7" s="414"/>
      <c r="VPF7" s="414"/>
      <c r="VPG7" s="414"/>
      <c r="VPH7" s="414"/>
      <c r="VPI7" s="414"/>
      <c r="VPJ7" s="414"/>
      <c r="VPK7" s="414"/>
      <c r="VPL7" s="414"/>
      <c r="VPM7" s="414"/>
      <c r="VPN7" s="414"/>
      <c r="VPO7" s="414"/>
      <c r="VPP7" s="414"/>
      <c r="VPQ7" s="414"/>
      <c r="VPR7" s="414"/>
      <c r="VPS7" s="414"/>
      <c r="VPT7" s="414"/>
      <c r="VPU7" s="414"/>
      <c r="VPV7" s="414"/>
      <c r="VPW7" s="414"/>
      <c r="VPX7" s="414"/>
      <c r="VPY7" s="414"/>
      <c r="VPZ7" s="414"/>
      <c r="VQA7" s="414"/>
      <c r="VQB7" s="414"/>
      <c r="VQC7" s="414"/>
      <c r="VQD7" s="414"/>
      <c r="VQE7" s="414"/>
      <c r="VQF7" s="414"/>
      <c r="VQG7" s="414"/>
      <c r="VQH7" s="414"/>
      <c r="VQI7" s="414"/>
      <c r="VQJ7" s="414"/>
      <c r="VQK7" s="414"/>
      <c r="VQL7" s="414"/>
      <c r="VQM7" s="414"/>
      <c r="VQN7" s="414"/>
      <c r="VQO7" s="414"/>
      <c r="VQP7" s="414"/>
      <c r="VQQ7" s="414"/>
      <c r="VQR7" s="414"/>
      <c r="VQS7" s="414"/>
      <c r="VQT7" s="414"/>
      <c r="VQU7" s="414"/>
      <c r="VQV7" s="414"/>
      <c r="VQW7" s="414"/>
      <c r="VQX7" s="414"/>
      <c r="VQY7" s="414"/>
      <c r="VQZ7" s="414"/>
      <c r="VRA7" s="414"/>
      <c r="VRB7" s="414"/>
      <c r="VRC7" s="414"/>
      <c r="VRD7" s="414"/>
      <c r="VRE7" s="414"/>
      <c r="VRF7" s="414"/>
      <c r="VRG7" s="414"/>
      <c r="VRH7" s="414"/>
      <c r="VRI7" s="414"/>
      <c r="VRJ7" s="414"/>
      <c r="VRK7" s="414"/>
      <c r="VRL7" s="414"/>
      <c r="VRM7" s="414"/>
      <c r="VRN7" s="414"/>
      <c r="VRO7" s="414"/>
      <c r="VRP7" s="414"/>
      <c r="VRQ7" s="414"/>
      <c r="VRR7" s="414"/>
      <c r="VRS7" s="414"/>
      <c r="VRT7" s="414"/>
      <c r="VRU7" s="414"/>
      <c r="VRV7" s="414"/>
      <c r="VRW7" s="414"/>
      <c r="VRX7" s="414"/>
      <c r="VRY7" s="414"/>
      <c r="VRZ7" s="414"/>
      <c r="VSA7" s="414"/>
      <c r="VSB7" s="414"/>
      <c r="VSC7" s="414"/>
      <c r="VSD7" s="414"/>
      <c r="VSE7" s="414"/>
      <c r="VSF7" s="414"/>
      <c r="VSG7" s="414"/>
      <c r="VSH7" s="414"/>
      <c r="VSI7" s="414"/>
      <c r="VSJ7" s="414"/>
      <c r="VSK7" s="414"/>
      <c r="VSL7" s="414"/>
      <c r="VSM7" s="414"/>
      <c r="VSN7" s="414"/>
      <c r="VSO7" s="414"/>
      <c r="VSP7" s="414"/>
      <c r="VSQ7" s="414"/>
      <c r="VSR7" s="414"/>
      <c r="VSS7" s="414"/>
      <c r="VST7" s="414"/>
      <c r="VSU7" s="414"/>
      <c r="VSV7" s="414"/>
      <c r="VSW7" s="414"/>
      <c r="VSX7" s="414"/>
      <c r="VSY7" s="414"/>
      <c r="VSZ7" s="414"/>
      <c r="VTA7" s="414"/>
      <c r="VTB7" s="414"/>
      <c r="VTC7" s="414"/>
      <c r="VTD7" s="414"/>
      <c r="VTE7" s="414"/>
      <c r="VTF7" s="414"/>
      <c r="VTG7" s="414"/>
      <c r="VTH7" s="414"/>
      <c r="VTI7" s="414"/>
      <c r="VTJ7" s="414"/>
      <c r="VTK7" s="414"/>
      <c r="VTL7" s="414"/>
      <c r="VTM7" s="414"/>
      <c r="VTN7" s="414"/>
      <c r="VTO7" s="414"/>
      <c r="VTP7" s="414"/>
      <c r="VTQ7" s="414"/>
      <c r="VTR7" s="414"/>
      <c r="VTS7" s="414"/>
      <c r="VTT7" s="414"/>
      <c r="VTU7" s="414"/>
      <c r="VTV7" s="414"/>
      <c r="VTW7" s="414"/>
      <c r="VTX7" s="414"/>
      <c r="VTY7" s="414"/>
      <c r="VTZ7" s="414"/>
      <c r="VUA7" s="414"/>
      <c r="VUB7" s="414"/>
      <c r="VUC7" s="414"/>
      <c r="VUD7" s="414"/>
      <c r="VUE7" s="414"/>
      <c r="VUF7" s="414"/>
      <c r="VUG7" s="414"/>
      <c r="VUH7" s="414"/>
      <c r="VUI7" s="414"/>
      <c r="VUJ7" s="414"/>
      <c r="VUK7" s="414"/>
      <c r="VUL7" s="414"/>
      <c r="VUM7" s="414"/>
      <c r="VUN7" s="414"/>
      <c r="VUO7" s="414"/>
      <c r="VUP7" s="414"/>
      <c r="VUQ7" s="414"/>
      <c r="VUR7" s="414"/>
      <c r="VUS7" s="414"/>
      <c r="VUT7" s="414"/>
      <c r="VUU7" s="414"/>
      <c r="VUV7" s="414"/>
      <c r="VUW7" s="414"/>
      <c r="VUX7" s="414"/>
      <c r="VUY7" s="414"/>
      <c r="VUZ7" s="414"/>
      <c r="VVA7" s="414"/>
      <c r="VVB7" s="414"/>
      <c r="VVC7" s="414"/>
      <c r="VVD7" s="414"/>
      <c r="VVE7" s="414"/>
      <c r="VVF7" s="414"/>
      <c r="VVG7" s="414"/>
      <c r="VVH7" s="414"/>
      <c r="VVI7" s="414"/>
      <c r="VVJ7" s="414"/>
      <c r="VVK7" s="414"/>
      <c r="VVL7" s="414"/>
      <c r="VVM7" s="414"/>
      <c r="VVN7" s="414"/>
      <c r="VVO7" s="414"/>
      <c r="VVP7" s="414"/>
      <c r="VVQ7" s="414"/>
      <c r="VVR7" s="414"/>
      <c r="VVS7" s="414"/>
      <c r="VVT7" s="414"/>
      <c r="VVU7" s="414"/>
      <c r="VVV7" s="414"/>
      <c r="VVW7" s="414"/>
      <c r="VVX7" s="414"/>
      <c r="VVY7" s="414"/>
      <c r="VVZ7" s="414"/>
      <c r="VWA7" s="414"/>
      <c r="VWB7" s="414"/>
      <c r="VWC7" s="414"/>
      <c r="VWD7" s="414"/>
      <c r="VWE7" s="414"/>
      <c r="VWF7" s="414"/>
      <c r="VWG7" s="414"/>
      <c r="VWH7" s="414"/>
      <c r="VWI7" s="414"/>
      <c r="VWJ7" s="414"/>
      <c r="VWK7" s="414"/>
      <c r="VWL7" s="414"/>
      <c r="VWM7" s="414"/>
      <c r="VWN7" s="414"/>
      <c r="VWO7" s="414"/>
      <c r="VWP7" s="414"/>
      <c r="VWQ7" s="414"/>
      <c r="VWR7" s="414"/>
      <c r="VWS7" s="414"/>
      <c r="VWT7" s="414"/>
      <c r="VWU7" s="414"/>
      <c r="VWV7" s="414"/>
      <c r="VWW7" s="414"/>
      <c r="VWX7" s="414"/>
      <c r="VWY7" s="414"/>
      <c r="VWZ7" s="414"/>
      <c r="VXA7" s="414"/>
      <c r="VXB7" s="414"/>
      <c r="VXC7" s="414"/>
      <c r="VXD7" s="414"/>
      <c r="VXE7" s="414"/>
      <c r="VXF7" s="414"/>
      <c r="VXG7" s="414"/>
      <c r="VXH7" s="414"/>
      <c r="VXI7" s="414"/>
      <c r="VXJ7" s="414"/>
      <c r="VXK7" s="414"/>
      <c r="VXL7" s="414"/>
      <c r="VXM7" s="414"/>
      <c r="VXN7" s="414"/>
      <c r="VXO7" s="414"/>
      <c r="VXP7" s="414"/>
      <c r="VXQ7" s="414"/>
      <c r="VXR7" s="414"/>
      <c r="VXS7" s="414"/>
      <c r="VXT7" s="414"/>
      <c r="VXU7" s="414"/>
      <c r="VXV7" s="414"/>
      <c r="VXW7" s="414"/>
      <c r="VXX7" s="414"/>
      <c r="VXY7" s="414"/>
      <c r="VXZ7" s="414"/>
      <c r="VYA7" s="414"/>
      <c r="VYB7" s="414"/>
      <c r="VYC7" s="414"/>
      <c r="VYD7" s="414"/>
      <c r="VYE7" s="414"/>
      <c r="VYF7" s="414"/>
      <c r="VYG7" s="414"/>
      <c r="VYH7" s="414"/>
      <c r="VYI7" s="414"/>
      <c r="VYJ7" s="414"/>
      <c r="VYK7" s="414"/>
      <c r="VYL7" s="414"/>
      <c r="VYM7" s="414"/>
      <c r="VYN7" s="414"/>
      <c r="VYO7" s="414"/>
      <c r="VYP7" s="414"/>
      <c r="VYQ7" s="414"/>
      <c r="VYR7" s="414"/>
      <c r="VYS7" s="414"/>
      <c r="VYT7" s="414"/>
      <c r="VYU7" s="414"/>
      <c r="VYV7" s="414"/>
      <c r="VYW7" s="414"/>
      <c r="VYX7" s="414"/>
      <c r="VYY7" s="414"/>
      <c r="VYZ7" s="414"/>
      <c r="VZA7" s="414"/>
      <c r="VZB7" s="414"/>
      <c r="VZC7" s="414"/>
      <c r="VZD7" s="414"/>
      <c r="VZE7" s="414"/>
      <c r="VZF7" s="414"/>
      <c r="VZG7" s="414"/>
      <c r="VZH7" s="414"/>
      <c r="VZI7" s="414"/>
      <c r="VZJ7" s="414"/>
      <c r="VZK7" s="414"/>
      <c r="VZL7" s="414"/>
      <c r="VZM7" s="414"/>
      <c r="VZN7" s="414"/>
      <c r="VZO7" s="414"/>
      <c r="VZP7" s="414"/>
      <c r="VZQ7" s="414"/>
      <c r="VZR7" s="414"/>
      <c r="VZS7" s="414"/>
      <c r="VZT7" s="414"/>
      <c r="VZU7" s="414"/>
      <c r="VZV7" s="414"/>
      <c r="VZW7" s="414"/>
      <c r="VZX7" s="414"/>
      <c r="VZY7" s="414"/>
      <c r="VZZ7" s="414"/>
      <c r="WAA7" s="414"/>
      <c r="WAB7" s="414"/>
      <c r="WAC7" s="414"/>
      <c r="WAD7" s="414"/>
      <c r="WAE7" s="414"/>
      <c r="WAF7" s="414"/>
      <c r="WAG7" s="414"/>
      <c r="WAH7" s="414"/>
      <c r="WAI7" s="414"/>
      <c r="WAJ7" s="414"/>
      <c r="WAK7" s="414"/>
      <c r="WAL7" s="414"/>
      <c r="WAM7" s="414"/>
      <c r="WAN7" s="414"/>
      <c r="WAO7" s="414"/>
      <c r="WAP7" s="414"/>
      <c r="WAQ7" s="414"/>
      <c r="WAR7" s="414"/>
      <c r="WAS7" s="414"/>
      <c r="WAT7" s="414"/>
      <c r="WAU7" s="414"/>
      <c r="WAV7" s="414"/>
      <c r="WAW7" s="414"/>
      <c r="WAX7" s="414"/>
      <c r="WAY7" s="414"/>
      <c r="WAZ7" s="414"/>
      <c r="WBA7" s="414"/>
      <c r="WBB7" s="414"/>
      <c r="WBC7" s="414"/>
      <c r="WBD7" s="414"/>
      <c r="WBE7" s="414"/>
      <c r="WBF7" s="414"/>
      <c r="WBG7" s="414"/>
      <c r="WBH7" s="414"/>
      <c r="WBI7" s="414"/>
      <c r="WBJ7" s="414"/>
      <c r="WBK7" s="414"/>
      <c r="WBL7" s="414"/>
      <c r="WBM7" s="414"/>
      <c r="WBN7" s="414"/>
      <c r="WBO7" s="414"/>
      <c r="WBP7" s="414"/>
      <c r="WBQ7" s="414"/>
      <c r="WBR7" s="414"/>
      <c r="WBS7" s="414"/>
      <c r="WBT7" s="414"/>
      <c r="WBU7" s="414"/>
      <c r="WBV7" s="414"/>
      <c r="WBW7" s="414"/>
      <c r="WBX7" s="414"/>
      <c r="WBY7" s="414"/>
      <c r="WBZ7" s="414"/>
      <c r="WCA7" s="414"/>
      <c r="WCB7" s="414"/>
      <c r="WCC7" s="414"/>
      <c r="WCD7" s="414"/>
      <c r="WCE7" s="414"/>
      <c r="WCF7" s="414"/>
      <c r="WCG7" s="414"/>
      <c r="WCH7" s="414"/>
      <c r="WCI7" s="414"/>
      <c r="WCJ7" s="414"/>
      <c r="WCK7" s="414"/>
      <c r="WCL7" s="414"/>
      <c r="WCM7" s="414"/>
      <c r="WCN7" s="414"/>
      <c r="WCO7" s="414"/>
      <c r="WCP7" s="414"/>
      <c r="WCQ7" s="414"/>
      <c r="WCR7" s="414"/>
      <c r="WCS7" s="414"/>
      <c r="WCT7" s="414"/>
      <c r="WCU7" s="414"/>
      <c r="WCV7" s="414"/>
      <c r="WCW7" s="414"/>
      <c r="WCX7" s="414"/>
      <c r="WCY7" s="414"/>
      <c r="WCZ7" s="414"/>
      <c r="WDA7" s="414"/>
      <c r="WDB7" s="414"/>
      <c r="WDC7" s="414"/>
      <c r="WDD7" s="414"/>
      <c r="WDE7" s="414"/>
      <c r="WDF7" s="414"/>
      <c r="WDG7" s="414"/>
      <c r="WDH7" s="414"/>
      <c r="WDI7" s="414"/>
      <c r="WDJ7" s="414"/>
      <c r="WDK7" s="414"/>
      <c r="WDL7" s="414"/>
      <c r="WDM7" s="414"/>
      <c r="WDN7" s="414"/>
      <c r="WDO7" s="414"/>
      <c r="WDP7" s="414"/>
      <c r="WDQ7" s="414"/>
      <c r="WDR7" s="414"/>
      <c r="WDS7" s="414"/>
      <c r="WDT7" s="414"/>
      <c r="WDU7" s="414"/>
      <c r="WDV7" s="414"/>
      <c r="WDW7" s="414"/>
      <c r="WDX7" s="414"/>
      <c r="WDY7" s="414"/>
      <c r="WDZ7" s="414"/>
      <c r="WEA7" s="414"/>
      <c r="WEB7" s="414"/>
      <c r="WEC7" s="414"/>
      <c r="WED7" s="414"/>
      <c r="WEE7" s="414"/>
      <c r="WEF7" s="414"/>
      <c r="WEG7" s="414"/>
      <c r="WEH7" s="414"/>
      <c r="WEI7" s="414"/>
      <c r="WEJ7" s="414"/>
      <c r="WEK7" s="414"/>
      <c r="WEL7" s="414"/>
      <c r="WEM7" s="414"/>
      <c r="WEN7" s="414"/>
      <c r="WEO7" s="414"/>
      <c r="WEP7" s="414"/>
      <c r="WEQ7" s="414"/>
      <c r="WER7" s="414"/>
      <c r="WES7" s="414"/>
      <c r="WET7" s="414"/>
      <c r="WEU7" s="414"/>
      <c r="WEV7" s="414"/>
      <c r="WEW7" s="414"/>
      <c r="WEX7" s="414"/>
      <c r="WEY7" s="414"/>
      <c r="WEZ7" s="414"/>
      <c r="WFA7" s="414"/>
      <c r="WFB7" s="414"/>
      <c r="WFC7" s="414"/>
      <c r="WFD7" s="414"/>
      <c r="WFE7" s="414"/>
      <c r="WFF7" s="414"/>
      <c r="WFG7" s="414"/>
      <c r="WFH7" s="414"/>
      <c r="WFI7" s="414"/>
      <c r="WFJ7" s="414"/>
      <c r="WFK7" s="414"/>
      <c r="WFL7" s="414"/>
      <c r="WFM7" s="414"/>
      <c r="WFN7" s="414"/>
      <c r="WFO7" s="414"/>
      <c r="WFP7" s="414"/>
      <c r="WFQ7" s="414"/>
      <c r="WFR7" s="414"/>
      <c r="WFS7" s="414"/>
      <c r="WFT7" s="414"/>
      <c r="WFU7" s="414"/>
      <c r="WFV7" s="414"/>
      <c r="WFW7" s="414"/>
      <c r="WFX7" s="414"/>
      <c r="WFY7" s="414"/>
      <c r="WFZ7" s="414"/>
      <c r="WGA7" s="414"/>
      <c r="WGB7" s="414"/>
      <c r="WGC7" s="414"/>
      <c r="WGD7" s="414"/>
      <c r="WGE7" s="414"/>
      <c r="WGF7" s="414"/>
      <c r="WGG7" s="414"/>
      <c r="WGH7" s="414"/>
      <c r="WGI7" s="414"/>
      <c r="WGJ7" s="414"/>
      <c r="WGK7" s="414"/>
      <c r="WGL7" s="414"/>
      <c r="WGM7" s="414"/>
      <c r="WGN7" s="414"/>
      <c r="WGO7" s="414"/>
      <c r="WGP7" s="414"/>
      <c r="WGQ7" s="414"/>
      <c r="WGR7" s="414"/>
      <c r="WGS7" s="414"/>
      <c r="WGT7" s="414"/>
      <c r="WGU7" s="414"/>
      <c r="WGV7" s="414"/>
      <c r="WGW7" s="414"/>
      <c r="WGX7" s="414"/>
      <c r="WGY7" s="414"/>
      <c r="WGZ7" s="414"/>
      <c r="WHA7" s="414"/>
      <c r="WHB7" s="414"/>
      <c r="WHC7" s="414"/>
      <c r="WHD7" s="414"/>
      <c r="WHE7" s="414"/>
      <c r="WHF7" s="414"/>
      <c r="WHG7" s="414"/>
      <c r="WHH7" s="414"/>
      <c r="WHI7" s="414"/>
      <c r="WHJ7" s="414"/>
      <c r="WHK7" s="414"/>
      <c r="WHL7" s="414"/>
      <c r="WHM7" s="414"/>
      <c r="WHN7" s="414"/>
      <c r="WHO7" s="414"/>
      <c r="WHP7" s="414"/>
      <c r="WHQ7" s="414"/>
      <c r="WHR7" s="414"/>
      <c r="WHS7" s="414"/>
      <c r="WHT7" s="414"/>
      <c r="WHU7" s="414"/>
      <c r="WHV7" s="414"/>
      <c r="WHW7" s="414"/>
      <c r="WHX7" s="414"/>
      <c r="WHY7" s="414"/>
      <c r="WHZ7" s="414"/>
      <c r="WIA7" s="414"/>
      <c r="WIB7" s="414"/>
      <c r="WIC7" s="414"/>
      <c r="WID7" s="414"/>
      <c r="WIE7" s="414"/>
      <c r="WIF7" s="414"/>
      <c r="WIG7" s="414"/>
      <c r="WIH7" s="414"/>
      <c r="WII7" s="414"/>
      <c r="WIJ7" s="414"/>
      <c r="WIK7" s="414"/>
      <c r="WIL7" s="414"/>
      <c r="WIM7" s="414"/>
      <c r="WIN7" s="414"/>
      <c r="WIO7" s="414"/>
      <c r="WIP7" s="414"/>
      <c r="WIQ7" s="414"/>
      <c r="WIR7" s="414"/>
      <c r="WIS7" s="414"/>
      <c r="WIT7" s="414"/>
      <c r="WIU7" s="414"/>
      <c r="WIV7" s="414"/>
      <c r="WIW7" s="414"/>
      <c r="WIX7" s="414"/>
      <c r="WIY7" s="414"/>
      <c r="WIZ7" s="414"/>
      <c r="WJA7" s="414"/>
      <c r="WJB7" s="414"/>
      <c r="WJC7" s="414"/>
      <c r="WJD7" s="414"/>
      <c r="WJE7" s="414"/>
      <c r="WJF7" s="414"/>
      <c r="WJG7" s="414"/>
      <c r="WJH7" s="414"/>
      <c r="WJI7" s="414"/>
      <c r="WJJ7" s="414"/>
      <c r="WJK7" s="414"/>
      <c r="WJL7" s="414"/>
      <c r="WJM7" s="414"/>
      <c r="WJN7" s="414"/>
      <c r="WJO7" s="414"/>
      <c r="WJP7" s="414"/>
      <c r="WJQ7" s="414"/>
      <c r="WJR7" s="414"/>
      <c r="WJS7" s="414"/>
      <c r="WJT7" s="414"/>
      <c r="WJU7" s="414"/>
      <c r="WJV7" s="414"/>
      <c r="WJW7" s="414"/>
      <c r="WJX7" s="414"/>
      <c r="WJY7" s="414"/>
      <c r="WJZ7" s="414"/>
      <c r="WKA7" s="414"/>
      <c r="WKB7" s="414"/>
      <c r="WKC7" s="414"/>
      <c r="WKD7" s="414"/>
      <c r="WKE7" s="414"/>
      <c r="WKF7" s="414"/>
      <c r="WKG7" s="414"/>
      <c r="WKH7" s="414"/>
      <c r="WKI7" s="414"/>
      <c r="WKJ7" s="414"/>
      <c r="WKK7" s="414"/>
      <c r="WKL7" s="414"/>
      <c r="WKM7" s="414"/>
      <c r="WKN7" s="414"/>
      <c r="WKO7" s="414"/>
      <c r="WKP7" s="414"/>
      <c r="WKQ7" s="414"/>
      <c r="WKR7" s="414"/>
      <c r="WKS7" s="414"/>
      <c r="WKT7" s="414"/>
      <c r="WKU7" s="414"/>
      <c r="WKV7" s="414"/>
      <c r="WKW7" s="414"/>
      <c r="WKX7" s="414"/>
      <c r="WKY7" s="414"/>
      <c r="WKZ7" s="414"/>
      <c r="WLA7" s="414"/>
      <c r="WLB7" s="414"/>
      <c r="WLC7" s="414"/>
      <c r="WLD7" s="414"/>
      <c r="WLE7" s="414"/>
      <c r="WLF7" s="414"/>
      <c r="WLG7" s="414"/>
      <c r="WLH7" s="414"/>
      <c r="WLI7" s="414"/>
      <c r="WLJ7" s="414"/>
      <c r="WLK7" s="414"/>
      <c r="WLL7" s="414"/>
      <c r="WLM7" s="414"/>
      <c r="WLN7" s="414"/>
      <c r="WLO7" s="414"/>
      <c r="WLP7" s="414"/>
      <c r="WLQ7" s="414"/>
      <c r="WLR7" s="414"/>
      <c r="WLS7" s="414"/>
      <c r="WLT7" s="414"/>
      <c r="WLU7" s="414"/>
      <c r="WLV7" s="414"/>
      <c r="WLW7" s="414"/>
      <c r="WLX7" s="414"/>
      <c r="WLY7" s="414"/>
      <c r="WLZ7" s="414"/>
      <c r="WMA7" s="414"/>
      <c r="WMB7" s="414"/>
      <c r="WMC7" s="414"/>
      <c r="WMD7" s="414"/>
      <c r="WME7" s="414"/>
      <c r="WMF7" s="414"/>
      <c r="WMG7" s="414"/>
      <c r="WMH7" s="414"/>
      <c r="WMI7" s="414"/>
      <c r="WMJ7" s="414"/>
      <c r="WMK7" s="414"/>
      <c r="WML7" s="414"/>
      <c r="WMM7" s="414"/>
      <c r="WMN7" s="414"/>
      <c r="WMO7" s="414"/>
      <c r="WMP7" s="414"/>
      <c r="WMQ7" s="414"/>
      <c r="WMR7" s="414"/>
      <c r="WMS7" s="414"/>
      <c r="WMT7" s="414"/>
      <c r="WMU7" s="414"/>
      <c r="WMV7" s="414"/>
      <c r="WMW7" s="414"/>
      <c r="WMX7" s="414"/>
      <c r="WMY7" s="414"/>
      <c r="WMZ7" s="414"/>
      <c r="WNA7" s="414"/>
      <c r="WNB7" s="414"/>
      <c r="WNC7" s="414"/>
      <c r="WND7" s="414"/>
      <c r="WNE7" s="414"/>
      <c r="WNF7" s="414"/>
      <c r="WNG7" s="414"/>
      <c r="WNH7" s="414"/>
      <c r="WNI7" s="414"/>
      <c r="WNJ7" s="414"/>
      <c r="WNK7" s="414"/>
      <c r="WNL7" s="414"/>
      <c r="WNM7" s="414"/>
      <c r="WNN7" s="414"/>
      <c r="WNO7" s="414"/>
      <c r="WNP7" s="414"/>
      <c r="WNQ7" s="414"/>
      <c r="WNR7" s="414"/>
      <c r="WNS7" s="414"/>
      <c r="WNT7" s="414"/>
      <c r="WNU7" s="414"/>
      <c r="WNV7" s="414"/>
      <c r="WNW7" s="414"/>
      <c r="WNX7" s="414"/>
      <c r="WNY7" s="414"/>
      <c r="WNZ7" s="414"/>
      <c r="WOA7" s="414"/>
      <c r="WOB7" s="414"/>
      <c r="WOC7" s="414"/>
      <c r="WOD7" s="414"/>
      <c r="WOE7" s="414"/>
      <c r="WOF7" s="414"/>
      <c r="WOG7" s="414"/>
      <c r="WOH7" s="414"/>
      <c r="WOI7" s="414"/>
      <c r="WOJ7" s="414"/>
      <c r="WOK7" s="414"/>
      <c r="WOL7" s="414"/>
      <c r="WOM7" s="414"/>
      <c r="WON7" s="414"/>
      <c r="WOO7" s="414"/>
      <c r="WOP7" s="414"/>
      <c r="WOQ7" s="414"/>
      <c r="WOR7" s="414"/>
      <c r="WOS7" s="414"/>
      <c r="WOT7" s="414"/>
      <c r="WOU7" s="414"/>
      <c r="WOV7" s="414"/>
      <c r="WOW7" s="414"/>
      <c r="WOX7" s="414"/>
      <c r="WOY7" s="414"/>
      <c r="WOZ7" s="414"/>
      <c r="WPA7" s="414"/>
      <c r="WPB7" s="414"/>
      <c r="WPC7" s="414"/>
      <c r="WPD7" s="414"/>
      <c r="WPE7" s="414"/>
      <c r="WPF7" s="414"/>
      <c r="WPG7" s="414"/>
      <c r="WPH7" s="414"/>
      <c r="WPI7" s="414"/>
      <c r="WPJ7" s="414"/>
      <c r="WPK7" s="414"/>
      <c r="WPL7" s="414"/>
      <c r="WPM7" s="414"/>
      <c r="WPN7" s="414"/>
      <c r="WPO7" s="414"/>
      <c r="WPP7" s="414"/>
      <c r="WPQ7" s="414"/>
      <c r="WPR7" s="414"/>
      <c r="WPS7" s="414"/>
      <c r="WPT7" s="414"/>
      <c r="WPU7" s="414"/>
      <c r="WPV7" s="414"/>
      <c r="WPW7" s="414"/>
      <c r="WPX7" s="414"/>
      <c r="WPY7" s="414"/>
      <c r="WPZ7" s="414"/>
      <c r="WQA7" s="414"/>
      <c r="WQB7" s="414"/>
      <c r="WQC7" s="414"/>
      <c r="WQD7" s="414"/>
      <c r="WQE7" s="414"/>
      <c r="WQF7" s="414"/>
      <c r="WQG7" s="414"/>
      <c r="WQH7" s="414"/>
      <c r="WQI7" s="414"/>
      <c r="WQJ7" s="414"/>
      <c r="WQK7" s="414"/>
      <c r="WQL7" s="414"/>
      <c r="WQM7" s="414"/>
      <c r="WQN7" s="414"/>
      <c r="WQO7" s="414"/>
      <c r="WQP7" s="414"/>
      <c r="WQQ7" s="414"/>
      <c r="WQR7" s="414"/>
      <c r="WQS7" s="414"/>
      <c r="WQT7" s="414"/>
      <c r="WQU7" s="414"/>
      <c r="WQV7" s="414"/>
      <c r="WQW7" s="414"/>
      <c r="WQX7" s="414"/>
      <c r="WQY7" s="414"/>
      <c r="WQZ7" s="414"/>
      <c r="WRA7" s="414"/>
      <c r="WRB7" s="414"/>
      <c r="WRC7" s="414"/>
      <c r="WRD7" s="414"/>
      <c r="WRE7" s="414"/>
      <c r="WRF7" s="414"/>
      <c r="WRG7" s="414"/>
      <c r="WRH7" s="414"/>
      <c r="WRI7" s="414"/>
      <c r="WRJ7" s="414"/>
      <c r="WRK7" s="414"/>
      <c r="WRL7" s="414"/>
      <c r="WRM7" s="414"/>
      <c r="WRN7" s="414"/>
      <c r="WRO7" s="414"/>
      <c r="WRP7" s="414"/>
      <c r="WRQ7" s="414"/>
      <c r="WRR7" s="414"/>
      <c r="WRS7" s="414"/>
      <c r="WRT7" s="414"/>
      <c r="WRU7" s="414"/>
      <c r="WRV7" s="414"/>
      <c r="WRW7" s="414"/>
      <c r="WRX7" s="414"/>
      <c r="WRY7" s="414"/>
      <c r="WRZ7" s="414"/>
      <c r="WSA7" s="414"/>
      <c r="WSB7" s="414"/>
      <c r="WSC7" s="414"/>
      <c r="WSD7" s="414"/>
      <c r="WSE7" s="414"/>
      <c r="WSF7" s="414"/>
      <c r="WSG7" s="414"/>
      <c r="WSH7" s="414"/>
      <c r="WSI7" s="414"/>
      <c r="WSJ7" s="414"/>
      <c r="WSK7" s="414"/>
      <c r="WSL7" s="414"/>
      <c r="WSM7" s="414"/>
      <c r="WSN7" s="414"/>
      <c r="WSO7" s="414"/>
      <c r="WSP7" s="414"/>
      <c r="WSQ7" s="414"/>
      <c r="WSR7" s="414"/>
      <c r="WSS7" s="414"/>
      <c r="WST7" s="414"/>
      <c r="WSU7" s="414"/>
      <c r="WSV7" s="414"/>
      <c r="WSW7" s="414"/>
      <c r="WSX7" s="414"/>
      <c r="WSY7" s="414"/>
      <c r="WSZ7" s="414"/>
      <c r="WTA7" s="414"/>
      <c r="WTB7" s="414"/>
      <c r="WTC7" s="414"/>
      <c r="WTD7" s="414"/>
      <c r="WTE7" s="414"/>
      <c r="WTF7" s="414"/>
      <c r="WTG7" s="414"/>
      <c r="WTH7" s="414"/>
      <c r="WTI7" s="414"/>
      <c r="WTJ7" s="414"/>
      <c r="WTK7" s="414"/>
      <c r="WTL7" s="414"/>
      <c r="WTM7" s="414"/>
      <c r="WTN7" s="414"/>
      <c r="WTO7" s="414"/>
      <c r="WTP7" s="414"/>
      <c r="WTQ7" s="414"/>
      <c r="WTR7" s="414"/>
      <c r="WTS7" s="414"/>
      <c r="WTT7" s="414"/>
      <c r="WTU7" s="414"/>
      <c r="WTV7" s="414"/>
      <c r="WTW7" s="414"/>
      <c r="WTX7" s="414"/>
      <c r="WTY7" s="414"/>
      <c r="WTZ7" s="414"/>
      <c r="WUA7" s="414"/>
      <c r="WUB7" s="414"/>
      <c r="WUC7" s="414"/>
      <c r="WUD7" s="414"/>
      <c r="WUE7" s="414"/>
      <c r="WUF7" s="414"/>
      <c r="WUG7" s="414"/>
      <c r="WUH7" s="414"/>
      <c r="WUI7" s="414"/>
      <c r="WUJ7" s="414"/>
      <c r="WUK7" s="414"/>
      <c r="WUL7" s="414"/>
      <c r="WUM7" s="414"/>
      <c r="WUN7" s="414"/>
      <c r="WUO7" s="414"/>
      <c r="WUP7" s="414"/>
      <c r="WUQ7" s="414"/>
      <c r="WUR7" s="414"/>
      <c r="WUS7" s="414"/>
      <c r="WUT7" s="414"/>
      <c r="WUU7" s="414"/>
      <c r="WUV7" s="414"/>
      <c r="WUW7" s="414"/>
      <c r="WUX7" s="414"/>
      <c r="WUY7" s="414"/>
      <c r="WUZ7" s="414"/>
      <c r="WVA7" s="414"/>
      <c r="WVB7" s="414"/>
      <c r="WVC7" s="414"/>
      <c r="WVD7" s="414"/>
      <c r="WVE7" s="414"/>
      <c r="WVF7" s="414"/>
      <c r="WVG7" s="414"/>
      <c r="WVH7" s="414"/>
      <c r="WVI7" s="414"/>
      <c r="WVJ7" s="414"/>
      <c r="WVK7" s="414"/>
      <c r="WVL7" s="414"/>
      <c r="WVM7" s="414"/>
      <c r="WVN7" s="414"/>
      <c r="WVO7" s="414"/>
      <c r="WVP7" s="414"/>
      <c r="WVQ7" s="414"/>
      <c r="WVR7" s="414"/>
      <c r="WVS7" s="414"/>
      <c r="WVT7" s="414"/>
      <c r="WVU7" s="414"/>
      <c r="WVV7" s="414"/>
      <c r="WVW7" s="414"/>
      <c r="WVX7" s="414"/>
      <c r="WVY7" s="414"/>
      <c r="WVZ7" s="414"/>
      <c r="WWA7" s="414"/>
      <c r="WWB7" s="414"/>
      <c r="WWC7" s="414"/>
      <c r="WWD7" s="414"/>
      <c r="WWE7" s="414"/>
      <c r="WWF7" s="414"/>
      <c r="WWG7" s="414"/>
      <c r="WWH7" s="414"/>
      <c r="WWI7" s="414"/>
      <c r="WWJ7" s="414"/>
      <c r="WWK7" s="414"/>
      <c r="WWL7" s="414"/>
      <c r="WWM7" s="414"/>
      <c r="WWN7" s="414"/>
      <c r="WWO7" s="414"/>
      <c r="WWP7" s="414"/>
      <c r="WWQ7" s="414"/>
      <c r="WWR7" s="414"/>
      <c r="WWS7" s="414"/>
      <c r="WWT7" s="414"/>
      <c r="WWU7" s="414"/>
      <c r="WWV7" s="414"/>
      <c r="WWW7" s="414"/>
      <c r="WWX7" s="414"/>
      <c r="WWY7" s="414"/>
      <c r="WWZ7" s="414"/>
      <c r="WXA7" s="414"/>
      <c r="WXB7" s="414"/>
      <c r="WXC7" s="414"/>
      <c r="WXD7" s="414"/>
      <c r="WXE7" s="414"/>
      <c r="WXF7" s="414"/>
      <c r="WXG7" s="414"/>
      <c r="WXH7" s="414"/>
      <c r="WXI7" s="414"/>
      <c r="WXJ7" s="414"/>
      <c r="WXK7" s="414"/>
      <c r="WXL7" s="414"/>
      <c r="WXM7" s="414"/>
      <c r="WXN7" s="414"/>
      <c r="WXO7" s="414"/>
      <c r="WXP7" s="414"/>
      <c r="WXQ7" s="414"/>
      <c r="WXR7" s="414"/>
      <c r="WXS7" s="414"/>
      <c r="WXT7" s="414"/>
      <c r="WXU7" s="414"/>
      <c r="WXV7" s="414"/>
      <c r="WXW7" s="414"/>
      <c r="WXX7" s="414"/>
      <c r="WXY7" s="414"/>
      <c r="WXZ7" s="414"/>
      <c r="WYA7" s="414"/>
      <c r="WYB7" s="414"/>
      <c r="WYC7" s="414"/>
      <c r="WYD7" s="414"/>
      <c r="WYE7" s="414"/>
      <c r="WYF7" s="414"/>
      <c r="WYG7" s="414"/>
      <c r="WYH7" s="414"/>
      <c r="WYI7" s="414"/>
      <c r="WYJ7" s="414"/>
      <c r="WYK7" s="414"/>
      <c r="WYL7" s="414"/>
      <c r="WYM7" s="414"/>
      <c r="WYN7" s="414"/>
      <c r="WYO7" s="414"/>
      <c r="WYP7" s="414"/>
      <c r="WYQ7" s="414"/>
      <c r="WYR7" s="414"/>
      <c r="WYS7" s="414"/>
      <c r="WYT7" s="414"/>
      <c r="WYU7" s="414"/>
      <c r="WYV7" s="414"/>
      <c r="WYW7" s="414"/>
      <c r="WYX7" s="414"/>
      <c r="WYY7" s="414"/>
      <c r="WYZ7" s="414"/>
      <c r="WZA7" s="414"/>
      <c r="WZB7" s="414"/>
      <c r="WZC7" s="414"/>
      <c r="WZD7" s="414"/>
      <c r="WZE7" s="414"/>
      <c r="WZF7" s="414"/>
      <c r="WZG7" s="414"/>
      <c r="WZH7" s="414"/>
      <c r="WZI7" s="414"/>
      <c r="WZJ7" s="414"/>
      <c r="WZK7" s="414"/>
      <c r="WZL7" s="414"/>
      <c r="WZM7" s="414"/>
      <c r="WZN7" s="414"/>
      <c r="WZO7" s="414"/>
      <c r="WZP7" s="414"/>
      <c r="WZQ7" s="414"/>
      <c r="WZR7" s="414"/>
      <c r="WZS7" s="414"/>
      <c r="WZT7" s="414"/>
      <c r="WZU7" s="414"/>
      <c r="WZV7" s="414"/>
      <c r="WZW7" s="414"/>
      <c r="WZX7" s="414"/>
      <c r="WZY7" s="414"/>
      <c r="WZZ7" s="414"/>
      <c r="XAA7" s="414"/>
      <c r="XAB7" s="414"/>
      <c r="XAC7" s="414"/>
      <c r="XAD7" s="414"/>
      <c r="XAE7" s="414"/>
      <c r="XAF7" s="414"/>
      <c r="XAG7" s="414"/>
      <c r="XAH7" s="414"/>
      <c r="XAI7" s="414"/>
      <c r="XAJ7" s="414"/>
      <c r="XAK7" s="414"/>
      <c r="XAL7" s="414"/>
      <c r="XAM7" s="414"/>
      <c r="XAN7" s="414"/>
      <c r="XAO7" s="414"/>
      <c r="XAP7" s="414"/>
      <c r="XAQ7" s="414"/>
      <c r="XAR7" s="414"/>
      <c r="XAS7" s="414"/>
      <c r="XAT7" s="414"/>
      <c r="XAU7" s="414"/>
      <c r="XAV7" s="414"/>
      <c r="XAW7" s="414"/>
      <c r="XAX7" s="414"/>
      <c r="XAY7" s="414"/>
      <c r="XAZ7" s="414"/>
      <c r="XBA7" s="414"/>
      <c r="XBB7" s="414"/>
      <c r="XBC7" s="414"/>
      <c r="XBD7" s="414"/>
      <c r="XBE7" s="414"/>
      <c r="XBF7" s="414"/>
      <c r="XBG7" s="414"/>
      <c r="XBH7" s="414"/>
      <c r="XBI7" s="414"/>
      <c r="XBJ7" s="414"/>
      <c r="XBK7" s="414"/>
      <c r="XBL7" s="414"/>
      <c r="XBM7" s="414"/>
      <c r="XBN7" s="414"/>
      <c r="XBO7" s="414"/>
      <c r="XBP7" s="414"/>
      <c r="XBQ7" s="414"/>
      <c r="XBR7" s="414"/>
      <c r="XBS7" s="414"/>
      <c r="XBT7" s="414"/>
      <c r="XBU7" s="414"/>
      <c r="XBV7" s="414"/>
      <c r="XBW7" s="414"/>
      <c r="XBX7" s="414"/>
      <c r="XBY7" s="414"/>
      <c r="XBZ7" s="414"/>
      <c r="XCA7" s="414"/>
      <c r="XCB7" s="414"/>
      <c r="XCC7" s="414"/>
      <c r="XCD7" s="414"/>
      <c r="XCE7" s="414"/>
      <c r="XCF7" s="414"/>
      <c r="XCG7" s="414"/>
      <c r="XCH7" s="414"/>
      <c r="XCI7" s="414"/>
      <c r="XCJ7" s="414"/>
      <c r="XCK7" s="414"/>
      <c r="XCL7" s="414"/>
      <c r="XCM7" s="414"/>
      <c r="XCN7" s="414"/>
      <c r="XCO7" s="414"/>
      <c r="XCP7" s="414"/>
      <c r="XCQ7" s="414"/>
      <c r="XCR7" s="414"/>
      <c r="XCS7" s="414"/>
      <c r="XCT7" s="414"/>
      <c r="XCU7" s="414"/>
      <c r="XCV7" s="414"/>
      <c r="XCW7" s="414"/>
      <c r="XCX7" s="414"/>
      <c r="XCY7" s="414"/>
      <c r="XCZ7" s="414"/>
      <c r="XDA7" s="414"/>
      <c r="XDB7" s="414"/>
      <c r="XDC7" s="414"/>
      <c r="XDD7" s="414"/>
      <c r="XDE7" s="414"/>
      <c r="XDF7" s="414"/>
      <c r="XDG7" s="414"/>
      <c r="XDH7" s="414"/>
      <c r="XDI7" s="414"/>
      <c r="XDJ7" s="414"/>
      <c r="XDK7" s="414"/>
      <c r="XDL7" s="414"/>
      <c r="XDM7" s="414"/>
      <c r="XDN7" s="414"/>
      <c r="XDO7" s="414"/>
      <c r="XDP7" s="414"/>
      <c r="XDQ7" s="414"/>
      <c r="XDR7" s="414"/>
      <c r="XDS7" s="414"/>
      <c r="XDT7" s="414"/>
      <c r="XDU7" s="414"/>
      <c r="XDV7" s="414"/>
      <c r="XDW7" s="414"/>
      <c r="XDX7" s="414"/>
      <c r="XDY7" s="414"/>
      <c r="XDZ7" s="414"/>
      <c r="XEA7" s="414"/>
      <c r="XEB7" s="414"/>
      <c r="XEC7" s="414"/>
      <c r="XED7" s="414"/>
      <c r="XEE7" s="414"/>
      <c r="XEF7" s="414"/>
      <c r="XEG7" s="414"/>
      <c r="XEH7" s="414"/>
      <c r="XEI7" s="414"/>
      <c r="XEJ7" s="414"/>
      <c r="XEK7" s="414"/>
      <c r="XEL7" s="414"/>
      <c r="XEM7" s="414"/>
      <c r="XEN7" s="414"/>
      <c r="XEO7" s="414"/>
      <c r="XEP7" s="414"/>
      <c r="XEQ7" s="414"/>
      <c r="XER7" s="414"/>
      <c r="XES7" s="414"/>
      <c r="XET7" s="414"/>
      <c r="XEU7" s="414"/>
      <c r="XEV7" s="414"/>
      <c r="XEW7" s="414"/>
      <c r="XEX7" s="414"/>
      <c r="XEY7" s="414"/>
      <c r="XEZ7" s="414"/>
      <c r="XFA7" s="414"/>
    </row>
    <row r="8" spans="1:16381" s="609" customFormat="1" ht="25.5">
      <c r="A8" s="609" t="str">
        <f t="shared" si="0"/>
        <v>Adler Modemaerkte Versorgungswerk e.V. v. 01.01.2019</v>
      </c>
      <c r="B8" s="609">
        <f>ROW()</f>
        <v>8</v>
      </c>
      <c r="C8" s="635" t="s">
        <v>1144</v>
      </c>
      <c r="D8" s="1201">
        <v>43466</v>
      </c>
      <c r="E8" s="636" t="s">
        <v>776</v>
      </c>
      <c r="F8" s="637" t="str">
        <f t="shared" si="1"/>
        <v/>
      </c>
      <c r="G8" s="634" t="str">
        <f t="shared" si="2"/>
        <v xml:space="preserve">TO ermöglicht: doppelten Kostenabzug; </v>
      </c>
      <c r="I8" s="634"/>
      <c r="J8" s="784"/>
      <c r="K8" s="1199"/>
      <c r="L8" s="1199">
        <v>2</v>
      </c>
      <c r="M8" s="1199"/>
      <c r="N8" s="1199"/>
      <c r="O8" s="789" t="s">
        <v>812</v>
      </c>
      <c r="P8" s="144">
        <f t="shared" si="3"/>
        <v>2</v>
      </c>
      <c r="S8" s="609">
        <f>IFERROR(SEARCH(MID(+Fallerfassung!D28,1,5),S$6),1)</f>
        <v>1</v>
      </c>
    </row>
    <row r="9" spans="1:16381" s="609" customFormat="1" ht="25.5">
      <c r="A9" s="609" t="str">
        <f t="shared" si="0"/>
        <v>allfrisch Unterstuetzungskasse e.V v. 28.12.2017</v>
      </c>
      <c r="B9" s="609">
        <f>ROW()</f>
        <v>9</v>
      </c>
      <c r="C9" s="635" t="s">
        <v>1145</v>
      </c>
      <c r="D9" s="1201">
        <v>43097</v>
      </c>
      <c r="E9" s="636" t="s">
        <v>770</v>
      </c>
      <c r="F9" s="637" t="str">
        <f t="shared" si="1"/>
        <v/>
      </c>
      <c r="G9" s="634" t="str">
        <f t="shared" si="2"/>
        <v xml:space="preserve">TO ermöglicht: doppelten Kostenabzug; </v>
      </c>
      <c r="I9" s="634"/>
      <c r="J9" s="788"/>
      <c r="K9" s="1199"/>
      <c r="L9" s="1199">
        <v>2</v>
      </c>
      <c r="M9" s="1199"/>
      <c r="N9" s="1199"/>
      <c r="O9" s="789" t="s">
        <v>812</v>
      </c>
      <c r="P9" s="144">
        <f t="shared" si="3"/>
        <v>2</v>
      </c>
      <c r="S9" s="609">
        <f>IFERROR(SEARCH(MID(+Fallerfassung!D29,1,5),S$6),1)</f>
        <v>1</v>
      </c>
    </row>
    <row r="10" spans="1:16381" s="609" customFormat="1">
      <c r="A10" s="609" t="str">
        <f t="shared" si="0"/>
        <v>Allianz KBV Harmonisierung BPV v. 07.01.2010</v>
      </c>
      <c r="B10" s="609">
        <f>ROW()</f>
        <v>10</v>
      </c>
      <c r="C10" s="635" t="s">
        <v>1363</v>
      </c>
      <c r="D10" s="1201">
        <v>40185</v>
      </c>
      <c r="E10" s="636"/>
      <c r="F10" s="637" t="str">
        <f t="shared" si="1"/>
        <v/>
      </c>
      <c r="G10" s="634" t="str">
        <f t="shared" si="2"/>
        <v/>
      </c>
      <c r="I10" s="634"/>
      <c r="J10" s="784"/>
      <c r="K10" s="1199"/>
      <c r="L10" s="1199"/>
      <c r="M10" s="1199"/>
      <c r="N10" s="1199"/>
      <c r="O10" s="785"/>
      <c r="P10" s="144">
        <f t="shared" si="3"/>
        <v>0</v>
      </c>
      <c r="Q10" s="414"/>
      <c r="R10" s="414"/>
      <c r="S10" s="609">
        <f>IFERROR(SEARCH(MID(+Fallerfassung!D30,1,5),S$6),1)</f>
        <v>1</v>
      </c>
      <c r="T10" s="414"/>
      <c r="U10" s="414"/>
      <c r="V10" s="414"/>
      <c r="W10" s="414"/>
      <c r="X10" s="414"/>
      <c r="Y10" s="414"/>
      <c r="Z10" s="414"/>
      <c r="AA10" s="414"/>
      <c r="AB10" s="414"/>
      <c r="AC10" s="414"/>
      <c r="AD10" s="414"/>
      <c r="AE10" s="414"/>
      <c r="AF10" s="414"/>
      <c r="AG10" s="414"/>
      <c r="AH10" s="414"/>
      <c r="AI10" s="414"/>
      <c r="AJ10" s="414"/>
      <c r="AK10" s="414"/>
      <c r="AL10" s="414"/>
      <c r="AM10" s="414"/>
      <c r="AN10" s="414"/>
      <c r="AO10" s="414"/>
      <c r="AP10" s="414"/>
      <c r="AQ10" s="414"/>
      <c r="AR10" s="414"/>
      <c r="AS10" s="414"/>
      <c r="AT10" s="414"/>
      <c r="AU10" s="414"/>
      <c r="AV10" s="414"/>
      <c r="AW10" s="414"/>
      <c r="AX10" s="414"/>
      <c r="AY10" s="414"/>
      <c r="AZ10" s="414"/>
      <c r="BA10" s="414"/>
      <c r="BB10" s="414"/>
      <c r="BC10" s="414"/>
      <c r="BD10" s="414"/>
      <c r="BE10" s="414"/>
      <c r="BF10" s="414"/>
      <c r="BG10" s="414"/>
      <c r="BH10" s="414"/>
      <c r="BI10" s="414"/>
      <c r="BJ10" s="414"/>
      <c r="BK10" s="414"/>
      <c r="BL10" s="414"/>
      <c r="BM10" s="414"/>
      <c r="BN10" s="414"/>
      <c r="BO10" s="414"/>
      <c r="BP10" s="414"/>
      <c r="BQ10" s="414"/>
      <c r="BR10" s="414"/>
      <c r="BS10" s="414"/>
      <c r="BT10" s="414"/>
      <c r="BU10" s="414"/>
      <c r="BV10" s="414"/>
      <c r="BW10" s="414"/>
      <c r="BX10" s="414"/>
      <c r="BY10" s="414"/>
      <c r="BZ10" s="414"/>
      <c r="CA10" s="414"/>
      <c r="CB10" s="414"/>
      <c r="CC10" s="414"/>
      <c r="CD10" s="414"/>
      <c r="CE10" s="414"/>
      <c r="CF10" s="414"/>
      <c r="CG10" s="414"/>
      <c r="CH10" s="414"/>
      <c r="CI10" s="414"/>
      <c r="CJ10" s="414"/>
      <c r="CK10" s="414"/>
      <c r="CL10" s="414"/>
      <c r="CM10" s="414"/>
      <c r="CN10" s="414"/>
      <c r="CO10" s="414"/>
      <c r="CP10" s="414"/>
      <c r="CQ10" s="414"/>
      <c r="CR10" s="414"/>
      <c r="CS10" s="414"/>
      <c r="CT10" s="414"/>
      <c r="CU10" s="414"/>
      <c r="CV10" s="414"/>
      <c r="CW10" s="414"/>
      <c r="CX10" s="414"/>
      <c r="CY10" s="414"/>
      <c r="CZ10" s="414"/>
      <c r="DA10" s="414"/>
      <c r="DB10" s="414"/>
      <c r="DC10" s="414"/>
      <c r="DD10" s="414"/>
      <c r="DE10" s="414"/>
      <c r="DF10" s="414"/>
      <c r="DG10" s="414"/>
      <c r="DH10" s="414"/>
      <c r="DI10" s="414"/>
      <c r="DJ10" s="414"/>
      <c r="DK10" s="414"/>
      <c r="DL10" s="414"/>
      <c r="DM10" s="414"/>
      <c r="DN10" s="414"/>
      <c r="DO10" s="414"/>
      <c r="DP10" s="414"/>
      <c r="DQ10" s="414"/>
      <c r="DR10" s="414"/>
      <c r="DS10" s="414"/>
      <c r="DT10" s="414"/>
      <c r="DU10" s="414"/>
      <c r="DV10" s="414"/>
      <c r="DW10" s="414"/>
      <c r="DX10" s="414"/>
      <c r="DY10" s="414"/>
      <c r="DZ10" s="414"/>
      <c r="EA10" s="414"/>
      <c r="EB10" s="414"/>
      <c r="EC10" s="414"/>
      <c r="ED10" s="414"/>
      <c r="EE10" s="414"/>
      <c r="EF10" s="414"/>
      <c r="EG10" s="414"/>
      <c r="EH10" s="414"/>
      <c r="EI10" s="414"/>
      <c r="EJ10" s="414"/>
      <c r="EK10" s="414"/>
      <c r="EL10" s="414"/>
      <c r="EM10" s="414"/>
      <c r="EN10" s="414"/>
      <c r="EO10" s="414"/>
      <c r="EP10" s="414"/>
      <c r="EQ10" s="414"/>
      <c r="ER10" s="414"/>
      <c r="ES10" s="414"/>
      <c r="ET10" s="414"/>
      <c r="EU10" s="414"/>
      <c r="EV10" s="414"/>
      <c r="EW10" s="414"/>
      <c r="EX10" s="414"/>
      <c r="EY10" s="414"/>
      <c r="EZ10" s="414"/>
      <c r="FA10" s="414"/>
      <c r="FB10" s="414"/>
      <c r="FC10" s="414"/>
      <c r="FD10" s="414"/>
      <c r="FE10" s="414"/>
      <c r="FF10" s="414"/>
      <c r="FG10" s="414"/>
      <c r="FH10" s="414"/>
      <c r="FI10" s="414"/>
      <c r="FJ10" s="414"/>
      <c r="FK10" s="414"/>
      <c r="FL10" s="414"/>
      <c r="FM10" s="414"/>
      <c r="FN10" s="414"/>
      <c r="FO10" s="414"/>
      <c r="FP10" s="414"/>
      <c r="FQ10" s="414"/>
      <c r="FR10" s="414"/>
      <c r="FS10" s="414"/>
      <c r="FT10" s="414"/>
      <c r="FU10" s="414"/>
      <c r="FV10" s="414"/>
      <c r="FW10" s="414"/>
      <c r="FX10" s="414"/>
      <c r="FY10" s="414"/>
      <c r="FZ10" s="414"/>
      <c r="GA10" s="414"/>
      <c r="GB10" s="414"/>
      <c r="GC10" s="414"/>
      <c r="GD10" s="414"/>
      <c r="GE10" s="414"/>
      <c r="GF10" s="414"/>
      <c r="GG10" s="414"/>
      <c r="GH10" s="414"/>
      <c r="GI10" s="414"/>
      <c r="GJ10" s="414"/>
      <c r="GK10" s="414"/>
      <c r="GL10" s="414"/>
      <c r="GM10" s="414"/>
      <c r="GN10" s="414"/>
      <c r="GO10" s="414"/>
      <c r="GP10" s="414"/>
      <c r="GQ10" s="414"/>
      <c r="GR10" s="414"/>
      <c r="GS10" s="414"/>
      <c r="GT10" s="414"/>
      <c r="GU10" s="414"/>
      <c r="GV10" s="414"/>
      <c r="GW10" s="414"/>
      <c r="GX10" s="414"/>
      <c r="GY10" s="414"/>
      <c r="GZ10" s="414"/>
      <c r="HA10" s="414"/>
      <c r="HB10" s="414"/>
      <c r="HC10" s="414"/>
      <c r="HD10" s="414"/>
      <c r="HE10" s="414"/>
      <c r="HF10" s="414"/>
      <c r="HG10" s="414"/>
      <c r="HH10" s="414"/>
      <c r="HI10" s="414"/>
      <c r="HJ10" s="414"/>
      <c r="HK10" s="414"/>
      <c r="HL10" s="414"/>
      <c r="HM10" s="414"/>
      <c r="HN10" s="414"/>
      <c r="HO10" s="414"/>
      <c r="HP10" s="414"/>
      <c r="HQ10" s="414"/>
      <c r="HR10" s="414"/>
      <c r="HS10" s="414"/>
      <c r="HT10" s="414"/>
      <c r="HU10" s="414"/>
      <c r="HV10" s="414"/>
      <c r="HW10" s="414"/>
      <c r="HX10" s="414"/>
      <c r="HY10" s="414"/>
      <c r="HZ10" s="414"/>
      <c r="IA10" s="414"/>
      <c r="IB10" s="414"/>
      <c r="IC10" s="414"/>
      <c r="ID10" s="414"/>
      <c r="IE10" s="414"/>
      <c r="IF10" s="414"/>
      <c r="IG10" s="414"/>
      <c r="IH10" s="414"/>
      <c r="II10" s="414"/>
      <c r="IJ10" s="414"/>
      <c r="IK10" s="414"/>
      <c r="IL10" s="414"/>
      <c r="IM10" s="414"/>
      <c r="IN10" s="414"/>
      <c r="IO10" s="414"/>
      <c r="IP10" s="414"/>
      <c r="IQ10" s="414"/>
      <c r="IR10" s="414"/>
      <c r="IS10" s="414"/>
      <c r="IT10" s="414"/>
      <c r="IU10" s="414"/>
      <c r="IV10" s="414"/>
      <c r="IW10" s="414"/>
      <c r="IX10" s="414"/>
      <c r="IY10" s="414"/>
      <c r="IZ10" s="414"/>
      <c r="JA10" s="414"/>
      <c r="JB10" s="414"/>
      <c r="JC10" s="414"/>
      <c r="JD10" s="414"/>
      <c r="JE10" s="414"/>
      <c r="JF10" s="414"/>
      <c r="JG10" s="414"/>
      <c r="JH10" s="414"/>
      <c r="JI10" s="414"/>
      <c r="JJ10" s="414"/>
      <c r="JK10" s="414"/>
      <c r="JL10" s="414"/>
      <c r="JM10" s="414"/>
      <c r="JN10" s="414"/>
      <c r="JO10" s="414"/>
      <c r="JP10" s="414"/>
      <c r="JQ10" s="414"/>
      <c r="JR10" s="414"/>
      <c r="JS10" s="414"/>
      <c r="JT10" s="414"/>
      <c r="JU10" s="414"/>
      <c r="JV10" s="414"/>
      <c r="JW10" s="414"/>
      <c r="JX10" s="414"/>
      <c r="JY10" s="414"/>
      <c r="JZ10" s="414"/>
      <c r="KA10" s="414"/>
      <c r="KB10" s="414"/>
      <c r="KC10" s="414"/>
      <c r="KD10" s="414"/>
      <c r="KE10" s="414"/>
      <c r="KF10" s="414"/>
      <c r="KG10" s="414"/>
      <c r="KH10" s="414"/>
      <c r="KI10" s="414"/>
      <c r="KJ10" s="414"/>
      <c r="KK10" s="414"/>
      <c r="KL10" s="414"/>
      <c r="KM10" s="414"/>
      <c r="KN10" s="414"/>
      <c r="KO10" s="414"/>
      <c r="KP10" s="414"/>
      <c r="KQ10" s="414"/>
      <c r="KR10" s="414"/>
      <c r="KS10" s="414"/>
      <c r="KT10" s="414"/>
      <c r="KU10" s="414"/>
      <c r="KV10" s="414"/>
      <c r="KW10" s="414"/>
      <c r="KX10" s="414"/>
      <c r="KY10" s="414"/>
      <c r="KZ10" s="414"/>
      <c r="LA10" s="414"/>
      <c r="LB10" s="414"/>
      <c r="LC10" s="414"/>
      <c r="LD10" s="414"/>
      <c r="LE10" s="414"/>
      <c r="LF10" s="414"/>
      <c r="LG10" s="414"/>
      <c r="LH10" s="414"/>
      <c r="LI10" s="414"/>
      <c r="LJ10" s="414"/>
      <c r="LK10" s="414"/>
      <c r="LL10" s="414"/>
      <c r="LM10" s="414"/>
      <c r="LN10" s="414"/>
      <c r="LO10" s="414"/>
      <c r="LP10" s="414"/>
      <c r="LQ10" s="414"/>
      <c r="LR10" s="414"/>
      <c r="LS10" s="414"/>
      <c r="LT10" s="414"/>
      <c r="LU10" s="414"/>
      <c r="LV10" s="414"/>
      <c r="LW10" s="414"/>
      <c r="LX10" s="414"/>
      <c r="LY10" s="414"/>
      <c r="LZ10" s="414"/>
      <c r="MA10" s="414"/>
      <c r="MB10" s="414"/>
      <c r="MC10" s="414"/>
      <c r="MD10" s="414"/>
      <c r="ME10" s="414"/>
      <c r="MF10" s="414"/>
      <c r="MG10" s="414"/>
      <c r="MH10" s="414"/>
      <c r="MI10" s="414"/>
      <c r="MJ10" s="414"/>
      <c r="MK10" s="414"/>
      <c r="ML10" s="414"/>
      <c r="MM10" s="414"/>
      <c r="MN10" s="414"/>
      <c r="MO10" s="414"/>
      <c r="MP10" s="414"/>
      <c r="MQ10" s="414"/>
      <c r="MR10" s="414"/>
      <c r="MS10" s="414"/>
      <c r="MT10" s="414"/>
      <c r="MU10" s="414"/>
      <c r="MV10" s="414"/>
      <c r="MW10" s="414"/>
      <c r="MX10" s="414"/>
      <c r="MY10" s="414"/>
      <c r="MZ10" s="414"/>
      <c r="NA10" s="414"/>
      <c r="NB10" s="414"/>
      <c r="NC10" s="414"/>
      <c r="ND10" s="414"/>
      <c r="NE10" s="414"/>
      <c r="NF10" s="414"/>
      <c r="NG10" s="414"/>
      <c r="NH10" s="414"/>
      <c r="NI10" s="414"/>
      <c r="NJ10" s="414"/>
      <c r="NK10" s="414"/>
      <c r="NL10" s="414"/>
      <c r="NM10" s="414"/>
      <c r="NN10" s="414"/>
      <c r="NO10" s="414"/>
      <c r="NP10" s="414"/>
      <c r="NQ10" s="414"/>
      <c r="NR10" s="414"/>
      <c r="NS10" s="414"/>
      <c r="NT10" s="414"/>
      <c r="NU10" s="414"/>
      <c r="NV10" s="414"/>
      <c r="NW10" s="414"/>
      <c r="NX10" s="414"/>
      <c r="NY10" s="414"/>
      <c r="NZ10" s="414"/>
      <c r="OA10" s="414"/>
      <c r="OB10" s="414"/>
      <c r="OC10" s="414"/>
      <c r="OD10" s="414"/>
      <c r="OE10" s="414"/>
      <c r="OF10" s="414"/>
      <c r="OG10" s="414"/>
      <c r="OH10" s="414"/>
      <c r="OI10" s="414"/>
      <c r="OJ10" s="414"/>
      <c r="OK10" s="414"/>
      <c r="OL10" s="414"/>
      <c r="OM10" s="414"/>
      <c r="ON10" s="414"/>
      <c r="OO10" s="414"/>
      <c r="OP10" s="414"/>
      <c r="OQ10" s="414"/>
      <c r="OR10" s="414"/>
      <c r="OS10" s="414"/>
      <c r="OT10" s="414"/>
      <c r="OU10" s="414"/>
      <c r="OV10" s="414"/>
      <c r="OW10" s="414"/>
      <c r="OX10" s="414"/>
      <c r="OY10" s="414"/>
      <c r="OZ10" s="414"/>
      <c r="PA10" s="414"/>
      <c r="PB10" s="414"/>
      <c r="PC10" s="414"/>
      <c r="PD10" s="414"/>
      <c r="PE10" s="414"/>
      <c r="PF10" s="414"/>
      <c r="PG10" s="414"/>
      <c r="PH10" s="414"/>
      <c r="PI10" s="414"/>
      <c r="PJ10" s="414"/>
      <c r="PK10" s="414"/>
      <c r="PL10" s="414"/>
      <c r="PM10" s="414"/>
      <c r="PN10" s="414"/>
      <c r="PO10" s="414"/>
      <c r="PP10" s="414"/>
      <c r="PQ10" s="414"/>
      <c r="PR10" s="414"/>
      <c r="PS10" s="414"/>
      <c r="PT10" s="414"/>
      <c r="PU10" s="414"/>
      <c r="PV10" s="414"/>
      <c r="PW10" s="414"/>
      <c r="PX10" s="414"/>
      <c r="PY10" s="414"/>
      <c r="PZ10" s="414"/>
      <c r="QA10" s="414"/>
      <c r="QB10" s="414"/>
      <c r="QC10" s="414"/>
      <c r="QD10" s="414"/>
      <c r="QE10" s="414"/>
      <c r="QF10" s="414"/>
      <c r="QG10" s="414"/>
      <c r="QH10" s="414"/>
      <c r="QI10" s="414"/>
      <c r="QJ10" s="414"/>
      <c r="QK10" s="414"/>
      <c r="QL10" s="414"/>
      <c r="QM10" s="414"/>
      <c r="QN10" s="414"/>
      <c r="QO10" s="414"/>
      <c r="QP10" s="414"/>
      <c r="QQ10" s="414"/>
      <c r="QR10" s="414"/>
      <c r="QS10" s="414"/>
      <c r="QT10" s="414"/>
      <c r="QU10" s="414"/>
      <c r="QV10" s="414"/>
      <c r="QW10" s="414"/>
      <c r="QX10" s="414"/>
      <c r="QY10" s="414"/>
      <c r="QZ10" s="414"/>
      <c r="RA10" s="414"/>
      <c r="RB10" s="414"/>
      <c r="RC10" s="414"/>
      <c r="RD10" s="414"/>
      <c r="RE10" s="414"/>
      <c r="RF10" s="414"/>
      <c r="RG10" s="414"/>
      <c r="RH10" s="414"/>
      <c r="RI10" s="414"/>
      <c r="RJ10" s="414"/>
      <c r="RK10" s="414"/>
      <c r="RL10" s="414"/>
      <c r="RM10" s="414"/>
      <c r="RN10" s="414"/>
      <c r="RO10" s="414"/>
      <c r="RP10" s="414"/>
      <c r="RQ10" s="414"/>
      <c r="RR10" s="414"/>
      <c r="RS10" s="414"/>
      <c r="RT10" s="414"/>
      <c r="RU10" s="414"/>
      <c r="RV10" s="414"/>
      <c r="RW10" s="414"/>
      <c r="RX10" s="414"/>
      <c r="RY10" s="414"/>
      <c r="RZ10" s="414"/>
      <c r="SA10" s="414"/>
      <c r="SB10" s="414"/>
      <c r="SC10" s="414"/>
      <c r="SD10" s="414"/>
      <c r="SE10" s="414"/>
      <c r="SF10" s="414"/>
      <c r="SG10" s="414"/>
      <c r="SH10" s="414"/>
      <c r="SI10" s="414"/>
      <c r="SJ10" s="414"/>
      <c r="SK10" s="414"/>
      <c r="SL10" s="414"/>
      <c r="SM10" s="414"/>
      <c r="SN10" s="414"/>
      <c r="SO10" s="414"/>
      <c r="SP10" s="414"/>
      <c r="SQ10" s="414"/>
      <c r="SR10" s="414"/>
      <c r="SS10" s="414"/>
      <c r="ST10" s="414"/>
      <c r="SU10" s="414"/>
      <c r="SV10" s="414"/>
      <c r="SW10" s="414"/>
      <c r="SX10" s="414"/>
      <c r="SY10" s="414"/>
      <c r="SZ10" s="414"/>
      <c r="TA10" s="414"/>
      <c r="TB10" s="414"/>
      <c r="TC10" s="414"/>
      <c r="TD10" s="414"/>
      <c r="TE10" s="414"/>
      <c r="TF10" s="414"/>
      <c r="TG10" s="414"/>
      <c r="TH10" s="414"/>
      <c r="TI10" s="414"/>
      <c r="TJ10" s="414"/>
      <c r="TK10" s="414"/>
      <c r="TL10" s="414"/>
      <c r="TM10" s="414"/>
      <c r="TN10" s="414"/>
      <c r="TO10" s="414"/>
      <c r="TP10" s="414"/>
      <c r="TQ10" s="414"/>
      <c r="TR10" s="414"/>
      <c r="TS10" s="414"/>
      <c r="TT10" s="414"/>
      <c r="TU10" s="414"/>
      <c r="TV10" s="414"/>
      <c r="TW10" s="414"/>
      <c r="TX10" s="414"/>
      <c r="TY10" s="414"/>
      <c r="TZ10" s="414"/>
      <c r="UA10" s="414"/>
      <c r="UB10" s="414"/>
      <c r="UC10" s="414"/>
      <c r="UD10" s="414"/>
      <c r="UE10" s="414"/>
      <c r="UF10" s="414"/>
      <c r="UG10" s="414"/>
      <c r="UH10" s="414"/>
      <c r="UI10" s="414"/>
      <c r="UJ10" s="414"/>
      <c r="UK10" s="414"/>
      <c r="UL10" s="414"/>
      <c r="UM10" s="414"/>
      <c r="UN10" s="414"/>
      <c r="UO10" s="414"/>
      <c r="UP10" s="414"/>
      <c r="UQ10" s="414"/>
      <c r="UR10" s="414"/>
      <c r="US10" s="414"/>
      <c r="UT10" s="414"/>
      <c r="UU10" s="414"/>
      <c r="UV10" s="414"/>
      <c r="UW10" s="414"/>
      <c r="UX10" s="414"/>
      <c r="UY10" s="414"/>
      <c r="UZ10" s="414"/>
      <c r="VA10" s="414"/>
      <c r="VB10" s="414"/>
      <c r="VC10" s="414"/>
      <c r="VD10" s="414"/>
      <c r="VE10" s="414"/>
      <c r="VF10" s="414"/>
      <c r="VG10" s="414"/>
      <c r="VH10" s="414"/>
      <c r="VI10" s="414"/>
      <c r="VJ10" s="414"/>
      <c r="VK10" s="414"/>
      <c r="VL10" s="414"/>
      <c r="VM10" s="414"/>
      <c r="VN10" s="414"/>
      <c r="VO10" s="414"/>
      <c r="VP10" s="414"/>
      <c r="VQ10" s="414"/>
      <c r="VR10" s="414"/>
      <c r="VS10" s="414"/>
      <c r="VT10" s="414"/>
      <c r="VU10" s="414"/>
      <c r="VV10" s="414"/>
      <c r="VW10" s="414"/>
      <c r="VX10" s="414"/>
      <c r="VY10" s="414"/>
      <c r="VZ10" s="414"/>
      <c r="WA10" s="414"/>
      <c r="WB10" s="414"/>
      <c r="WC10" s="414"/>
      <c r="WD10" s="414"/>
      <c r="WE10" s="414"/>
      <c r="WF10" s="414"/>
      <c r="WG10" s="414"/>
      <c r="WH10" s="414"/>
      <c r="WI10" s="414"/>
      <c r="WJ10" s="414"/>
      <c r="WK10" s="414"/>
      <c r="WL10" s="414"/>
      <c r="WM10" s="414"/>
      <c r="WN10" s="414"/>
      <c r="WO10" s="414"/>
      <c r="WP10" s="414"/>
      <c r="WQ10" s="414"/>
      <c r="WR10" s="414"/>
      <c r="WS10" s="414"/>
      <c r="WT10" s="414"/>
      <c r="WU10" s="414"/>
      <c r="WV10" s="414"/>
      <c r="WW10" s="414"/>
      <c r="WX10" s="414"/>
      <c r="WY10" s="414"/>
      <c r="WZ10" s="414"/>
      <c r="XA10" s="414"/>
      <c r="XB10" s="414"/>
      <c r="XC10" s="414"/>
      <c r="XD10" s="414"/>
      <c r="XE10" s="414"/>
      <c r="XF10" s="414"/>
      <c r="XG10" s="414"/>
      <c r="XH10" s="414"/>
      <c r="XI10" s="414"/>
      <c r="XJ10" s="414"/>
      <c r="XK10" s="414"/>
      <c r="XL10" s="414"/>
      <c r="XM10" s="414"/>
      <c r="XN10" s="414"/>
      <c r="XO10" s="414"/>
      <c r="XP10" s="414"/>
      <c r="XQ10" s="414"/>
      <c r="XR10" s="414"/>
      <c r="XS10" s="414"/>
      <c r="XT10" s="414"/>
      <c r="XU10" s="414"/>
      <c r="XV10" s="414"/>
      <c r="XW10" s="414"/>
      <c r="XX10" s="414"/>
      <c r="XY10" s="414"/>
      <c r="XZ10" s="414"/>
      <c r="YA10" s="414"/>
      <c r="YB10" s="414"/>
      <c r="YC10" s="414"/>
      <c r="YD10" s="414"/>
      <c r="YE10" s="414"/>
      <c r="YF10" s="414"/>
      <c r="YG10" s="414"/>
      <c r="YH10" s="414"/>
      <c r="YI10" s="414"/>
      <c r="YJ10" s="414"/>
      <c r="YK10" s="414"/>
      <c r="YL10" s="414"/>
      <c r="YM10" s="414"/>
      <c r="YN10" s="414"/>
      <c r="YO10" s="414"/>
      <c r="YP10" s="414"/>
      <c r="YQ10" s="414"/>
      <c r="YR10" s="414"/>
      <c r="YS10" s="414"/>
      <c r="YT10" s="414"/>
      <c r="YU10" s="414"/>
      <c r="YV10" s="414"/>
      <c r="YW10" s="414"/>
      <c r="YX10" s="414"/>
      <c r="YY10" s="414"/>
      <c r="YZ10" s="414"/>
      <c r="ZA10" s="414"/>
      <c r="ZB10" s="414"/>
      <c r="ZC10" s="414"/>
      <c r="ZD10" s="414"/>
      <c r="ZE10" s="414"/>
      <c r="ZF10" s="414"/>
      <c r="ZG10" s="414"/>
      <c r="ZH10" s="414"/>
      <c r="ZI10" s="414"/>
      <c r="ZJ10" s="414"/>
      <c r="ZK10" s="414"/>
      <c r="ZL10" s="414"/>
      <c r="ZM10" s="414"/>
      <c r="ZN10" s="414"/>
      <c r="ZO10" s="414"/>
      <c r="ZP10" s="414"/>
      <c r="ZQ10" s="414"/>
      <c r="ZR10" s="414"/>
      <c r="ZS10" s="414"/>
      <c r="ZT10" s="414"/>
      <c r="ZU10" s="414"/>
      <c r="ZV10" s="414"/>
      <c r="ZW10" s="414"/>
      <c r="ZX10" s="414"/>
      <c r="ZY10" s="414"/>
      <c r="ZZ10" s="414"/>
      <c r="AAA10" s="414"/>
      <c r="AAB10" s="414"/>
      <c r="AAC10" s="414"/>
      <c r="AAD10" s="414"/>
      <c r="AAE10" s="414"/>
      <c r="AAF10" s="414"/>
      <c r="AAG10" s="414"/>
      <c r="AAH10" s="414"/>
      <c r="AAI10" s="414"/>
      <c r="AAJ10" s="414"/>
      <c r="AAK10" s="414"/>
      <c r="AAL10" s="414"/>
      <c r="AAM10" s="414"/>
      <c r="AAN10" s="414"/>
      <c r="AAO10" s="414"/>
      <c r="AAP10" s="414"/>
      <c r="AAQ10" s="414"/>
      <c r="AAR10" s="414"/>
      <c r="AAS10" s="414"/>
      <c r="AAT10" s="414"/>
      <c r="AAU10" s="414"/>
      <c r="AAV10" s="414"/>
      <c r="AAW10" s="414"/>
      <c r="AAX10" s="414"/>
      <c r="AAY10" s="414"/>
      <c r="AAZ10" s="414"/>
      <c r="ABA10" s="414"/>
      <c r="ABB10" s="414"/>
      <c r="ABC10" s="414"/>
      <c r="ABD10" s="414"/>
      <c r="ABE10" s="414"/>
      <c r="ABF10" s="414"/>
      <c r="ABG10" s="414"/>
      <c r="ABH10" s="414"/>
      <c r="ABI10" s="414"/>
      <c r="ABJ10" s="414"/>
      <c r="ABK10" s="414"/>
      <c r="ABL10" s="414"/>
      <c r="ABM10" s="414"/>
      <c r="ABN10" s="414"/>
      <c r="ABO10" s="414"/>
      <c r="ABP10" s="414"/>
      <c r="ABQ10" s="414"/>
      <c r="ABR10" s="414"/>
      <c r="ABS10" s="414"/>
      <c r="ABT10" s="414"/>
      <c r="ABU10" s="414"/>
      <c r="ABV10" s="414"/>
      <c r="ABW10" s="414"/>
      <c r="ABX10" s="414"/>
      <c r="ABY10" s="414"/>
      <c r="ABZ10" s="414"/>
      <c r="ACA10" s="414"/>
      <c r="ACB10" s="414"/>
      <c r="ACC10" s="414"/>
      <c r="ACD10" s="414"/>
      <c r="ACE10" s="414"/>
      <c r="ACF10" s="414"/>
      <c r="ACG10" s="414"/>
      <c r="ACH10" s="414"/>
      <c r="ACI10" s="414"/>
      <c r="ACJ10" s="414"/>
      <c r="ACK10" s="414"/>
      <c r="ACL10" s="414"/>
      <c r="ACM10" s="414"/>
      <c r="ACN10" s="414"/>
      <c r="ACO10" s="414"/>
      <c r="ACP10" s="414"/>
      <c r="ACQ10" s="414"/>
      <c r="ACR10" s="414"/>
      <c r="ACS10" s="414"/>
      <c r="ACT10" s="414"/>
      <c r="ACU10" s="414"/>
      <c r="ACV10" s="414"/>
      <c r="ACW10" s="414"/>
      <c r="ACX10" s="414"/>
      <c r="ACY10" s="414"/>
      <c r="ACZ10" s="414"/>
      <c r="ADA10" s="414"/>
      <c r="ADB10" s="414"/>
      <c r="ADC10" s="414"/>
      <c r="ADD10" s="414"/>
      <c r="ADE10" s="414"/>
      <c r="ADF10" s="414"/>
      <c r="ADG10" s="414"/>
      <c r="ADH10" s="414"/>
      <c r="ADI10" s="414"/>
      <c r="ADJ10" s="414"/>
      <c r="ADK10" s="414"/>
      <c r="ADL10" s="414"/>
      <c r="ADM10" s="414"/>
      <c r="ADN10" s="414"/>
      <c r="ADO10" s="414"/>
      <c r="ADP10" s="414"/>
      <c r="ADQ10" s="414"/>
      <c r="ADR10" s="414"/>
      <c r="ADS10" s="414"/>
      <c r="ADT10" s="414"/>
      <c r="ADU10" s="414"/>
      <c r="ADV10" s="414"/>
      <c r="ADW10" s="414"/>
      <c r="ADX10" s="414"/>
      <c r="ADY10" s="414"/>
      <c r="ADZ10" s="414"/>
      <c r="AEA10" s="414"/>
      <c r="AEB10" s="414"/>
      <c r="AEC10" s="414"/>
      <c r="AED10" s="414"/>
      <c r="AEE10" s="414"/>
      <c r="AEF10" s="414"/>
      <c r="AEG10" s="414"/>
      <c r="AEH10" s="414"/>
      <c r="AEI10" s="414"/>
      <c r="AEJ10" s="414"/>
      <c r="AEK10" s="414"/>
      <c r="AEL10" s="414"/>
      <c r="AEM10" s="414"/>
      <c r="AEN10" s="414"/>
      <c r="AEO10" s="414"/>
      <c r="AEP10" s="414"/>
      <c r="AEQ10" s="414"/>
      <c r="AER10" s="414"/>
      <c r="AES10" s="414"/>
      <c r="AET10" s="414"/>
      <c r="AEU10" s="414"/>
      <c r="AEV10" s="414"/>
      <c r="AEW10" s="414"/>
      <c r="AEX10" s="414"/>
      <c r="AEY10" s="414"/>
      <c r="AEZ10" s="414"/>
      <c r="AFA10" s="414"/>
      <c r="AFB10" s="414"/>
      <c r="AFC10" s="414"/>
      <c r="AFD10" s="414"/>
      <c r="AFE10" s="414"/>
      <c r="AFF10" s="414"/>
      <c r="AFG10" s="414"/>
      <c r="AFH10" s="414"/>
      <c r="AFI10" s="414"/>
      <c r="AFJ10" s="414"/>
      <c r="AFK10" s="414"/>
      <c r="AFL10" s="414"/>
      <c r="AFM10" s="414"/>
      <c r="AFN10" s="414"/>
      <c r="AFO10" s="414"/>
      <c r="AFP10" s="414"/>
      <c r="AFQ10" s="414"/>
      <c r="AFR10" s="414"/>
      <c r="AFS10" s="414"/>
      <c r="AFT10" s="414"/>
      <c r="AFU10" s="414"/>
      <c r="AFV10" s="414"/>
      <c r="AFW10" s="414"/>
      <c r="AFX10" s="414"/>
      <c r="AFY10" s="414"/>
      <c r="AFZ10" s="414"/>
      <c r="AGA10" s="414"/>
      <c r="AGB10" s="414"/>
      <c r="AGC10" s="414"/>
      <c r="AGD10" s="414"/>
      <c r="AGE10" s="414"/>
      <c r="AGF10" s="414"/>
      <c r="AGG10" s="414"/>
      <c r="AGH10" s="414"/>
      <c r="AGI10" s="414"/>
      <c r="AGJ10" s="414"/>
      <c r="AGK10" s="414"/>
      <c r="AGL10" s="414"/>
      <c r="AGM10" s="414"/>
      <c r="AGN10" s="414"/>
      <c r="AGO10" s="414"/>
      <c r="AGP10" s="414"/>
      <c r="AGQ10" s="414"/>
      <c r="AGR10" s="414"/>
      <c r="AGS10" s="414"/>
      <c r="AGT10" s="414"/>
      <c r="AGU10" s="414"/>
      <c r="AGV10" s="414"/>
      <c r="AGW10" s="414"/>
      <c r="AGX10" s="414"/>
      <c r="AGY10" s="414"/>
      <c r="AGZ10" s="414"/>
      <c r="AHA10" s="414"/>
      <c r="AHB10" s="414"/>
      <c r="AHC10" s="414"/>
      <c r="AHD10" s="414"/>
      <c r="AHE10" s="414"/>
      <c r="AHF10" s="414"/>
      <c r="AHG10" s="414"/>
      <c r="AHH10" s="414"/>
      <c r="AHI10" s="414"/>
      <c r="AHJ10" s="414"/>
      <c r="AHK10" s="414"/>
      <c r="AHL10" s="414"/>
      <c r="AHM10" s="414"/>
      <c r="AHN10" s="414"/>
      <c r="AHO10" s="414"/>
      <c r="AHP10" s="414"/>
      <c r="AHQ10" s="414"/>
      <c r="AHR10" s="414"/>
      <c r="AHS10" s="414"/>
      <c r="AHT10" s="414"/>
      <c r="AHU10" s="414"/>
      <c r="AHV10" s="414"/>
      <c r="AHW10" s="414"/>
      <c r="AHX10" s="414"/>
      <c r="AHY10" s="414"/>
      <c r="AHZ10" s="414"/>
      <c r="AIA10" s="414"/>
      <c r="AIB10" s="414"/>
      <c r="AIC10" s="414"/>
      <c r="AID10" s="414"/>
      <c r="AIE10" s="414"/>
      <c r="AIF10" s="414"/>
      <c r="AIG10" s="414"/>
      <c r="AIH10" s="414"/>
      <c r="AII10" s="414"/>
      <c r="AIJ10" s="414"/>
      <c r="AIK10" s="414"/>
      <c r="AIL10" s="414"/>
      <c r="AIM10" s="414"/>
      <c r="AIN10" s="414"/>
      <c r="AIO10" s="414"/>
      <c r="AIP10" s="414"/>
      <c r="AIQ10" s="414"/>
      <c r="AIR10" s="414"/>
      <c r="AIS10" s="414"/>
      <c r="AIT10" s="414"/>
      <c r="AIU10" s="414"/>
      <c r="AIV10" s="414"/>
      <c r="AIW10" s="414"/>
      <c r="AIX10" s="414"/>
      <c r="AIY10" s="414"/>
      <c r="AIZ10" s="414"/>
      <c r="AJA10" s="414"/>
      <c r="AJB10" s="414"/>
      <c r="AJC10" s="414"/>
      <c r="AJD10" s="414"/>
      <c r="AJE10" s="414"/>
      <c r="AJF10" s="414"/>
      <c r="AJG10" s="414"/>
      <c r="AJH10" s="414"/>
      <c r="AJI10" s="414"/>
      <c r="AJJ10" s="414"/>
      <c r="AJK10" s="414"/>
      <c r="AJL10" s="414"/>
      <c r="AJM10" s="414"/>
      <c r="AJN10" s="414"/>
      <c r="AJO10" s="414"/>
      <c r="AJP10" s="414"/>
      <c r="AJQ10" s="414"/>
      <c r="AJR10" s="414"/>
      <c r="AJS10" s="414"/>
      <c r="AJT10" s="414"/>
      <c r="AJU10" s="414"/>
      <c r="AJV10" s="414"/>
      <c r="AJW10" s="414"/>
      <c r="AJX10" s="414"/>
      <c r="AJY10" s="414"/>
      <c r="AJZ10" s="414"/>
      <c r="AKA10" s="414"/>
      <c r="AKB10" s="414"/>
      <c r="AKC10" s="414"/>
      <c r="AKD10" s="414"/>
      <c r="AKE10" s="414"/>
      <c r="AKF10" s="414"/>
      <c r="AKG10" s="414"/>
      <c r="AKH10" s="414"/>
      <c r="AKI10" s="414"/>
      <c r="AKJ10" s="414"/>
      <c r="AKK10" s="414"/>
      <c r="AKL10" s="414"/>
      <c r="AKM10" s="414"/>
      <c r="AKN10" s="414"/>
      <c r="AKO10" s="414"/>
      <c r="AKP10" s="414"/>
      <c r="AKQ10" s="414"/>
      <c r="AKR10" s="414"/>
      <c r="AKS10" s="414"/>
      <c r="AKT10" s="414"/>
      <c r="AKU10" s="414"/>
      <c r="AKV10" s="414"/>
      <c r="AKW10" s="414"/>
      <c r="AKX10" s="414"/>
      <c r="AKY10" s="414"/>
      <c r="AKZ10" s="414"/>
      <c r="ALA10" s="414"/>
      <c r="ALB10" s="414"/>
      <c r="ALC10" s="414"/>
      <c r="ALD10" s="414"/>
      <c r="ALE10" s="414"/>
      <c r="ALF10" s="414"/>
      <c r="ALG10" s="414"/>
      <c r="ALH10" s="414"/>
      <c r="ALI10" s="414"/>
      <c r="ALJ10" s="414"/>
      <c r="ALK10" s="414"/>
      <c r="ALL10" s="414"/>
      <c r="ALM10" s="414"/>
      <c r="ALN10" s="414"/>
      <c r="ALO10" s="414"/>
      <c r="ALP10" s="414"/>
      <c r="ALQ10" s="414"/>
      <c r="ALR10" s="414"/>
      <c r="ALS10" s="414"/>
      <c r="ALT10" s="414"/>
      <c r="ALU10" s="414"/>
      <c r="ALV10" s="414"/>
      <c r="ALW10" s="414"/>
      <c r="ALX10" s="414"/>
      <c r="ALY10" s="414"/>
      <c r="ALZ10" s="414"/>
      <c r="AMA10" s="414"/>
      <c r="AMB10" s="414"/>
      <c r="AMC10" s="414"/>
      <c r="AMD10" s="414"/>
      <c r="AME10" s="414"/>
      <c r="AMF10" s="414"/>
      <c r="AMG10" s="414"/>
      <c r="AMH10" s="414"/>
      <c r="AMI10" s="414"/>
      <c r="AMJ10" s="414"/>
      <c r="AMK10" s="414"/>
      <c r="AML10" s="414"/>
      <c r="AMM10" s="414"/>
      <c r="AMN10" s="414"/>
      <c r="AMO10" s="414"/>
      <c r="AMP10" s="414"/>
      <c r="AMQ10" s="414"/>
      <c r="AMR10" s="414"/>
      <c r="AMS10" s="414"/>
      <c r="AMT10" s="414"/>
      <c r="AMU10" s="414"/>
      <c r="AMV10" s="414"/>
      <c r="AMW10" s="414"/>
      <c r="AMX10" s="414"/>
      <c r="AMY10" s="414"/>
      <c r="AMZ10" s="414"/>
      <c r="ANA10" s="414"/>
      <c r="ANB10" s="414"/>
      <c r="ANC10" s="414"/>
      <c r="AND10" s="414"/>
      <c r="ANE10" s="414"/>
      <c r="ANF10" s="414"/>
      <c r="ANG10" s="414"/>
      <c r="ANH10" s="414"/>
      <c r="ANI10" s="414"/>
      <c r="ANJ10" s="414"/>
      <c r="ANK10" s="414"/>
      <c r="ANL10" s="414"/>
      <c r="ANM10" s="414"/>
      <c r="ANN10" s="414"/>
      <c r="ANO10" s="414"/>
      <c r="ANP10" s="414"/>
      <c r="ANQ10" s="414"/>
      <c r="ANR10" s="414"/>
      <c r="ANS10" s="414"/>
      <c r="ANT10" s="414"/>
      <c r="ANU10" s="414"/>
      <c r="ANV10" s="414"/>
      <c r="ANW10" s="414"/>
      <c r="ANX10" s="414"/>
      <c r="ANY10" s="414"/>
      <c r="ANZ10" s="414"/>
      <c r="AOA10" s="414"/>
      <c r="AOB10" s="414"/>
      <c r="AOC10" s="414"/>
      <c r="AOD10" s="414"/>
      <c r="AOE10" s="414"/>
      <c r="AOF10" s="414"/>
      <c r="AOG10" s="414"/>
      <c r="AOH10" s="414"/>
      <c r="AOI10" s="414"/>
      <c r="AOJ10" s="414"/>
      <c r="AOK10" s="414"/>
      <c r="AOL10" s="414"/>
      <c r="AOM10" s="414"/>
      <c r="AON10" s="414"/>
      <c r="AOO10" s="414"/>
      <c r="AOP10" s="414"/>
      <c r="AOQ10" s="414"/>
      <c r="AOR10" s="414"/>
      <c r="AOS10" s="414"/>
      <c r="AOT10" s="414"/>
      <c r="AOU10" s="414"/>
      <c r="AOV10" s="414"/>
      <c r="AOW10" s="414"/>
      <c r="AOX10" s="414"/>
      <c r="AOY10" s="414"/>
      <c r="AOZ10" s="414"/>
      <c r="APA10" s="414"/>
      <c r="APB10" s="414"/>
      <c r="APC10" s="414"/>
      <c r="APD10" s="414"/>
      <c r="APE10" s="414"/>
      <c r="APF10" s="414"/>
      <c r="APG10" s="414"/>
      <c r="APH10" s="414"/>
      <c r="API10" s="414"/>
      <c r="APJ10" s="414"/>
      <c r="APK10" s="414"/>
      <c r="APL10" s="414"/>
      <c r="APM10" s="414"/>
      <c r="APN10" s="414"/>
      <c r="APO10" s="414"/>
      <c r="APP10" s="414"/>
      <c r="APQ10" s="414"/>
      <c r="APR10" s="414"/>
      <c r="APS10" s="414"/>
      <c r="APT10" s="414"/>
      <c r="APU10" s="414"/>
      <c r="APV10" s="414"/>
      <c r="APW10" s="414"/>
      <c r="APX10" s="414"/>
      <c r="APY10" s="414"/>
      <c r="APZ10" s="414"/>
      <c r="AQA10" s="414"/>
      <c r="AQB10" s="414"/>
      <c r="AQC10" s="414"/>
      <c r="AQD10" s="414"/>
      <c r="AQE10" s="414"/>
      <c r="AQF10" s="414"/>
      <c r="AQG10" s="414"/>
      <c r="AQH10" s="414"/>
      <c r="AQI10" s="414"/>
      <c r="AQJ10" s="414"/>
      <c r="AQK10" s="414"/>
      <c r="AQL10" s="414"/>
      <c r="AQM10" s="414"/>
      <c r="AQN10" s="414"/>
      <c r="AQO10" s="414"/>
      <c r="AQP10" s="414"/>
      <c r="AQQ10" s="414"/>
      <c r="AQR10" s="414"/>
      <c r="AQS10" s="414"/>
      <c r="AQT10" s="414"/>
      <c r="AQU10" s="414"/>
      <c r="AQV10" s="414"/>
      <c r="AQW10" s="414"/>
      <c r="AQX10" s="414"/>
      <c r="AQY10" s="414"/>
      <c r="AQZ10" s="414"/>
      <c r="ARA10" s="414"/>
      <c r="ARB10" s="414"/>
      <c r="ARC10" s="414"/>
      <c r="ARD10" s="414"/>
      <c r="ARE10" s="414"/>
      <c r="ARF10" s="414"/>
      <c r="ARG10" s="414"/>
      <c r="ARH10" s="414"/>
      <c r="ARI10" s="414"/>
      <c r="ARJ10" s="414"/>
      <c r="ARK10" s="414"/>
      <c r="ARL10" s="414"/>
      <c r="ARM10" s="414"/>
      <c r="ARN10" s="414"/>
      <c r="ARO10" s="414"/>
      <c r="ARP10" s="414"/>
      <c r="ARQ10" s="414"/>
      <c r="ARR10" s="414"/>
      <c r="ARS10" s="414"/>
      <c r="ART10" s="414"/>
      <c r="ARU10" s="414"/>
      <c r="ARV10" s="414"/>
      <c r="ARW10" s="414"/>
      <c r="ARX10" s="414"/>
      <c r="ARY10" s="414"/>
      <c r="ARZ10" s="414"/>
      <c r="ASA10" s="414"/>
      <c r="ASB10" s="414"/>
      <c r="ASC10" s="414"/>
      <c r="ASD10" s="414"/>
      <c r="ASE10" s="414"/>
      <c r="ASF10" s="414"/>
      <c r="ASG10" s="414"/>
      <c r="ASH10" s="414"/>
      <c r="ASI10" s="414"/>
      <c r="ASJ10" s="414"/>
      <c r="ASK10" s="414"/>
      <c r="ASL10" s="414"/>
      <c r="ASM10" s="414"/>
      <c r="ASN10" s="414"/>
      <c r="ASO10" s="414"/>
      <c r="ASP10" s="414"/>
      <c r="ASQ10" s="414"/>
      <c r="ASR10" s="414"/>
      <c r="ASS10" s="414"/>
      <c r="AST10" s="414"/>
      <c r="ASU10" s="414"/>
      <c r="ASV10" s="414"/>
      <c r="ASW10" s="414"/>
      <c r="ASX10" s="414"/>
      <c r="ASY10" s="414"/>
      <c r="ASZ10" s="414"/>
      <c r="ATA10" s="414"/>
      <c r="ATB10" s="414"/>
      <c r="ATC10" s="414"/>
      <c r="ATD10" s="414"/>
      <c r="ATE10" s="414"/>
      <c r="ATF10" s="414"/>
      <c r="ATG10" s="414"/>
      <c r="ATH10" s="414"/>
      <c r="ATI10" s="414"/>
      <c r="ATJ10" s="414"/>
      <c r="ATK10" s="414"/>
      <c r="ATL10" s="414"/>
      <c r="ATM10" s="414"/>
      <c r="ATN10" s="414"/>
      <c r="ATO10" s="414"/>
      <c r="ATP10" s="414"/>
      <c r="ATQ10" s="414"/>
      <c r="ATR10" s="414"/>
      <c r="ATS10" s="414"/>
      <c r="ATT10" s="414"/>
      <c r="ATU10" s="414"/>
      <c r="ATV10" s="414"/>
      <c r="ATW10" s="414"/>
      <c r="ATX10" s="414"/>
      <c r="ATY10" s="414"/>
      <c r="ATZ10" s="414"/>
      <c r="AUA10" s="414"/>
      <c r="AUB10" s="414"/>
      <c r="AUC10" s="414"/>
      <c r="AUD10" s="414"/>
      <c r="AUE10" s="414"/>
      <c r="AUF10" s="414"/>
      <c r="AUG10" s="414"/>
      <c r="AUH10" s="414"/>
      <c r="AUI10" s="414"/>
      <c r="AUJ10" s="414"/>
      <c r="AUK10" s="414"/>
      <c r="AUL10" s="414"/>
      <c r="AUM10" s="414"/>
      <c r="AUN10" s="414"/>
      <c r="AUO10" s="414"/>
      <c r="AUP10" s="414"/>
      <c r="AUQ10" s="414"/>
      <c r="AUR10" s="414"/>
      <c r="AUS10" s="414"/>
      <c r="AUT10" s="414"/>
      <c r="AUU10" s="414"/>
      <c r="AUV10" s="414"/>
      <c r="AUW10" s="414"/>
      <c r="AUX10" s="414"/>
      <c r="AUY10" s="414"/>
      <c r="AUZ10" s="414"/>
      <c r="AVA10" s="414"/>
      <c r="AVB10" s="414"/>
      <c r="AVC10" s="414"/>
      <c r="AVD10" s="414"/>
      <c r="AVE10" s="414"/>
      <c r="AVF10" s="414"/>
      <c r="AVG10" s="414"/>
      <c r="AVH10" s="414"/>
      <c r="AVI10" s="414"/>
      <c r="AVJ10" s="414"/>
      <c r="AVK10" s="414"/>
      <c r="AVL10" s="414"/>
      <c r="AVM10" s="414"/>
      <c r="AVN10" s="414"/>
      <c r="AVO10" s="414"/>
      <c r="AVP10" s="414"/>
      <c r="AVQ10" s="414"/>
      <c r="AVR10" s="414"/>
      <c r="AVS10" s="414"/>
      <c r="AVT10" s="414"/>
      <c r="AVU10" s="414"/>
      <c r="AVV10" s="414"/>
      <c r="AVW10" s="414"/>
      <c r="AVX10" s="414"/>
      <c r="AVY10" s="414"/>
      <c r="AVZ10" s="414"/>
      <c r="AWA10" s="414"/>
      <c r="AWB10" s="414"/>
      <c r="AWC10" s="414"/>
      <c r="AWD10" s="414"/>
      <c r="AWE10" s="414"/>
      <c r="AWF10" s="414"/>
      <c r="AWG10" s="414"/>
      <c r="AWH10" s="414"/>
      <c r="AWI10" s="414"/>
      <c r="AWJ10" s="414"/>
      <c r="AWK10" s="414"/>
      <c r="AWL10" s="414"/>
      <c r="AWM10" s="414"/>
      <c r="AWN10" s="414"/>
      <c r="AWO10" s="414"/>
      <c r="AWP10" s="414"/>
      <c r="AWQ10" s="414"/>
      <c r="AWR10" s="414"/>
      <c r="AWS10" s="414"/>
      <c r="AWT10" s="414"/>
      <c r="AWU10" s="414"/>
      <c r="AWV10" s="414"/>
      <c r="AWW10" s="414"/>
      <c r="AWX10" s="414"/>
      <c r="AWY10" s="414"/>
      <c r="AWZ10" s="414"/>
      <c r="AXA10" s="414"/>
      <c r="AXB10" s="414"/>
      <c r="AXC10" s="414"/>
      <c r="AXD10" s="414"/>
      <c r="AXE10" s="414"/>
      <c r="AXF10" s="414"/>
      <c r="AXG10" s="414"/>
      <c r="AXH10" s="414"/>
      <c r="AXI10" s="414"/>
      <c r="AXJ10" s="414"/>
      <c r="AXK10" s="414"/>
      <c r="AXL10" s="414"/>
      <c r="AXM10" s="414"/>
      <c r="AXN10" s="414"/>
      <c r="AXO10" s="414"/>
      <c r="AXP10" s="414"/>
      <c r="AXQ10" s="414"/>
      <c r="AXR10" s="414"/>
      <c r="AXS10" s="414"/>
      <c r="AXT10" s="414"/>
      <c r="AXU10" s="414"/>
      <c r="AXV10" s="414"/>
      <c r="AXW10" s="414"/>
      <c r="AXX10" s="414"/>
      <c r="AXY10" s="414"/>
      <c r="AXZ10" s="414"/>
      <c r="AYA10" s="414"/>
      <c r="AYB10" s="414"/>
      <c r="AYC10" s="414"/>
      <c r="AYD10" s="414"/>
      <c r="AYE10" s="414"/>
      <c r="AYF10" s="414"/>
      <c r="AYG10" s="414"/>
      <c r="AYH10" s="414"/>
      <c r="AYI10" s="414"/>
      <c r="AYJ10" s="414"/>
      <c r="AYK10" s="414"/>
      <c r="AYL10" s="414"/>
      <c r="AYM10" s="414"/>
      <c r="AYN10" s="414"/>
      <c r="AYO10" s="414"/>
      <c r="AYP10" s="414"/>
      <c r="AYQ10" s="414"/>
      <c r="AYR10" s="414"/>
      <c r="AYS10" s="414"/>
      <c r="AYT10" s="414"/>
      <c r="AYU10" s="414"/>
      <c r="AYV10" s="414"/>
      <c r="AYW10" s="414"/>
      <c r="AYX10" s="414"/>
      <c r="AYY10" s="414"/>
      <c r="AYZ10" s="414"/>
      <c r="AZA10" s="414"/>
      <c r="AZB10" s="414"/>
      <c r="AZC10" s="414"/>
      <c r="AZD10" s="414"/>
      <c r="AZE10" s="414"/>
      <c r="AZF10" s="414"/>
      <c r="AZG10" s="414"/>
      <c r="AZH10" s="414"/>
      <c r="AZI10" s="414"/>
      <c r="AZJ10" s="414"/>
      <c r="AZK10" s="414"/>
      <c r="AZL10" s="414"/>
      <c r="AZM10" s="414"/>
      <c r="AZN10" s="414"/>
      <c r="AZO10" s="414"/>
      <c r="AZP10" s="414"/>
      <c r="AZQ10" s="414"/>
      <c r="AZR10" s="414"/>
      <c r="AZS10" s="414"/>
      <c r="AZT10" s="414"/>
      <c r="AZU10" s="414"/>
      <c r="AZV10" s="414"/>
      <c r="AZW10" s="414"/>
      <c r="AZX10" s="414"/>
      <c r="AZY10" s="414"/>
      <c r="AZZ10" s="414"/>
      <c r="BAA10" s="414"/>
      <c r="BAB10" s="414"/>
      <c r="BAC10" s="414"/>
      <c r="BAD10" s="414"/>
      <c r="BAE10" s="414"/>
      <c r="BAF10" s="414"/>
      <c r="BAG10" s="414"/>
      <c r="BAH10" s="414"/>
      <c r="BAI10" s="414"/>
      <c r="BAJ10" s="414"/>
      <c r="BAK10" s="414"/>
      <c r="BAL10" s="414"/>
      <c r="BAM10" s="414"/>
      <c r="BAN10" s="414"/>
      <c r="BAO10" s="414"/>
      <c r="BAP10" s="414"/>
      <c r="BAQ10" s="414"/>
      <c r="BAR10" s="414"/>
      <c r="BAS10" s="414"/>
      <c r="BAT10" s="414"/>
      <c r="BAU10" s="414"/>
      <c r="BAV10" s="414"/>
      <c r="BAW10" s="414"/>
      <c r="BAX10" s="414"/>
      <c r="BAY10" s="414"/>
      <c r="BAZ10" s="414"/>
      <c r="BBA10" s="414"/>
      <c r="BBB10" s="414"/>
      <c r="BBC10" s="414"/>
      <c r="BBD10" s="414"/>
      <c r="BBE10" s="414"/>
      <c r="BBF10" s="414"/>
      <c r="BBG10" s="414"/>
      <c r="BBH10" s="414"/>
      <c r="BBI10" s="414"/>
      <c r="BBJ10" s="414"/>
      <c r="BBK10" s="414"/>
      <c r="BBL10" s="414"/>
      <c r="BBM10" s="414"/>
      <c r="BBN10" s="414"/>
      <c r="BBO10" s="414"/>
      <c r="BBP10" s="414"/>
      <c r="BBQ10" s="414"/>
      <c r="BBR10" s="414"/>
      <c r="BBS10" s="414"/>
      <c r="BBT10" s="414"/>
      <c r="BBU10" s="414"/>
      <c r="BBV10" s="414"/>
      <c r="BBW10" s="414"/>
      <c r="BBX10" s="414"/>
      <c r="BBY10" s="414"/>
      <c r="BBZ10" s="414"/>
      <c r="BCA10" s="414"/>
      <c r="BCB10" s="414"/>
      <c r="BCC10" s="414"/>
      <c r="BCD10" s="414"/>
      <c r="BCE10" s="414"/>
      <c r="BCF10" s="414"/>
      <c r="BCG10" s="414"/>
      <c r="BCH10" s="414"/>
      <c r="BCI10" s="414"/>
      <c r="BCJ10" s="414"/>
      <c r="BCK10" s="414"/>
      <c r="BCL10" s="414"/>
      <c r="BCM10" s="414"/>
      <c r="BCN10" s="414"/>
      <c r="BCO10" s="414"/>
      <c r="BCP10" s="414"/>
      <c r="BCQ10" s="414"/>
      <c r="BCR10" s="414"/>
      <c r="BCS10" s="414"/>
      <c r="BCT10" s="414"/>
      <c r="BCU10" s="414"/>
      <c r="BCV10" s="414"/>
      <c r="BCW10" s="414"/>
      <c r="BCX10" s="414"/>
      <c r="BCY10" s="414"/>
      <c r="BCZ10" s="414"/>
      <c r="BDA10" s="414"/>
      <c r="BDB10" s="414"/>
      <c r="BDC10" s="414"/>
      <c r="BDD10" s="414"/>
      <c r="BDE10" s="414"/>
      <c r="BDF10" s="414"/>
      <c r="BDG10" s="414"/>
      <c r="BDH10" s="414"/>
      <c r="BDI10" s="414"/>
      <c r="BDJ10" s="414"/>
      <c r="BDK10" s="414"/>
      <c r="BDL10" s="414"/>
      <c r="BDM10" s="414"/>
      <c r="BDN10" s="414"/>
      <c r="BDO10" s="414"/>
      <c r="BDP10" s="414"/>
      <c r="BDQ10" s="414"/>
      <c r="BDR10" s="414"/>
      <c r="BDS10" s="414"/>
      <c r="BDT10" s="414"/>
      <c r="BDU10" s="414"/>
      <c r="BDV10" s="414"/>
      <c r="BDW10" s="414"/>
      <c r="BDX10" s="414"/>
      <c r="BDY10" s="414"/>
      <c r="BDZ10" s="414"/>
      <c r="BEA10" s="414"/>
      <c r="BEB10" s="414"/>
      <c r="BEC10" s="414"/>
      <c r="BED10" s="414"/>
      <c r="BEE10" s="414"/>
      <c r="BEF10" s="414"/>
      <c r="BEG10" s="414"/>
      <c r="BEH10" s="414"/>
      <c r="BEI10" s="414"/>
      <c r="BEJ10" s="414"/>
      <c r="BEK10" s="414"/>
      <c r="BEL10" s="414"/>
      <c r="BEM10" s="414"/>
      <c r="BEN10" s="414"/>
      <c r="BEO10" s="414"/>
      <c r="BEP10" s="414"/>
      <c r="BEQ10" s="414"/>
      <c r="BER10" s="414"/>
      <c r="BES10" s="414"/>
      <c r="BET10" s="414"/>
      <c r="BEU10" s="414"/>
      <c r="BEV10" s="414"/>
      <c r="BEW10" s="414"/>
      <c r="BEX10" s="414"/>
      <c r="BEY10" s="414"/>
      <c r="BEZ10" s="414"/>
      <c r="BFA10" s="414"/>
      <c r="BFB10" s="414"/>
      <c r="BFC10" s="414"/>
      <c r="BFD10" s="414"/>
      <c r="BFE10" s="414"/>
      <c r="BFF10" s="414"/>
      <c r="BFG10" s="414"/>
      <c r="BFH10" s="414"/>
      <c r="BFI10" s="414"/>
      <c r="BFJ10" s="414"/>
      <c r="BFK10" s="414"/>
      <c r="BFL10" s="414"/>
      <c r="BFM10" s="414"/>
      <c r="BFN10" s="414"/>
      <c r="BFO10" s="414"/>
      <c r="BFP10" s="414"/>
      <c r="BFQ10" s="414"/>
      <c r="BFR10" s="414"/>
      <c r="BFS10" s="414"/>
      <c r="BFT10" s="414"/>
      <c r="BFU10" s="414"/>
      <c r="BFV10" s="414"/>
      <c r="BFW10" s="414"/>
      <c r="BFX10" s="414"/>
      <c r="BFY10" s="414"/>
      <c r="BFZ10" s="414"/>
      <c r="BGA10" s="414"/>
      <c r="BGB10" s="414"/>
      <c r="BGC10" s="414"/>
      <c r="BGD10" s="414"/>
      <c r="BGE10" s="414"/>
      <c r="BGF10" s="414"/>
      <c r="BGG10" s="414"/>
      <c r="BGH10" s="414"/>
      <c r="BGI10" s="414"/>
      <c r="BGJ10" s="414"/>
      <c r="BGK10" s="414"/>
      <c r="BGL10" s="414"/>
      <c r="BGM10" s="414"/>
      <c r="BGN10" s="414"/>
      <c r="BGO10" s="414"/>
      <c r="BGP10" s="414"/>
      <c r="BGQ10" s="414"/>
      <c r="BGR10" s="414"/>
      <c r="BGS10" s="414"/>
      <c r="BGT10" s="414"/>
      <c r="BGU10" s="414"/>
      <c r="BGV10" s="414"/>
      <c r="BGW10" s="414"/>
      <c r="BGX10" s="414"/>
      <c r="BGY10" s="414"/>
      <c r="BGZ10" s="414"/>
      <c r="BHA10" s="414"/>
      <c r="BHB10" s="414"/>
      <c r="BHC10" s="414"/>
      <c r="BHD10" s="414"/>
      <c r="BHE10" s="414"/>
      <c r="BHF10" s="414"/>
      <c r="BHG10" s="414"/>
      <c r="BHH10" s="414"/>
      <c r="BHI10" s="414"/>
      <c r="BHJ10" s="414"/>
      <c r="BHK10" s="414"/>
      <c r="BHL10" s="414"/>
      <c r="BHM10" s="414"/>
      <c r="BHN10" s="414"/>
      <c r="BHO10" s="414"/>
      <c r="BHP10" s="414"/>
      <c r="BHQ10" s="414"/>
      <c r="BHR10" s="414"/>
      <c r="BHS10" s="414"/>
      <c r="BHT10" s="414"/>
      <c r="BHU10" s="414"/>
      <c r="BHV10" s="414"/>
      <c r="BHW10" s="414"/>
      <c r="BHX10" s="414"/>
      <c r="BHY10" s="414"/>
      <c r="BHZ10" s="414"/>
      <c r="BIA10" s="414"/>
      <c r="BIB10" s="414"/>
      <c r="BIC10" s="414"/>
      <c r="BID10" s="414"/>
      <c r="BIE10" s="414"/>
      <c r="BIF10" s="414"/>
      <c r="BIG10" s="414"/>
      <c r="BIH10" s="414"/>
      <c r="BII10" s="414"/>
      <c r="BIJ10" s="414"/>
      <c r="BIK10" s="414"/>
      <c r="BIL10" s="414"/>
      <c r="BIM10" s="414"/>
      <c r="BIN10" s="414"/>
      <c r="BIO10" s="414"/>
      <c r="BIP10" s="414"/>
      <c r="BIQ10" s="414"/>
      <c r="BIR10" s="414"/>
      <c r="BIS10" s="414"/>
      <c r="BIT10" s="414"/>
      <c r="BIU10" s="414"/>
      <c r="BIV10" s="414"/>
      <c r="BIW10" s="414"/>
      <c r="BIX10" s="414"/>
      <c r="BIY10" s="414"/>
      <c r="BIZ10" s="414"/>
      <c r="BJA10" s="414"/>
      <c r="BJB10" s="414"/>
      <c r="BJC10" s="414"/>
      <c r="BJD10" s="414"/>
      <c r="BJE10" s="414"/>
      <c r="BJF10" s="414"/>
      <c r="BJG10" s="414"/>
      <c r="BJH10" s="414"/>
      <c r="BJI10" s="414"/>
      <c r="BJJ10" s="414"/>
      <c r="BJK10" s="414"/>
      <c r="BJL10" s="414"/>
      <c r="BJM10" s="414"/>
      <c r="BJN10" s="414"/>
      <c r="BJO10" s="414"/>
      <c r="BJP10" s="414"/>
      <c r="BJQ10" s="414"/>
      <c r="BJR10" s="414"/>
      <c r="BJS10" s="414"/>
      <c r="BJT10" s="414"/>
      <c r="BJU10" s="414"/>
      <c r="BJV10" s="414"/>
      <c r="BJW10" s="414"/>
      <c r="BJX10" s="414"/>
      <c r="BJY10" s="414"/>
      <c r="BJZ10" s="414"/>
      <c r="BKA10" s="414"/>
      <c r="BKB10" s="414"/>
      <c r="BKC10" s="414"/>
      <c r="BKD10" s="414"/>
      <c r="BKE10" s="414"/>
      <c r="BKF10" s="414"/>
      <c r="BKG10" s="414"/>
      <c r="BKH10" s="414"/>
      <c r="BKI10" s="414"/>
      <c r="BKJ10" s="414"/>
      <c r="BKK10" s="414"/>
      <c r="BKL10" s="414"/>
      <c r="BKM10" s="414"/>
      <c r="BKN10" s="414"/>
      <c r="BKO10" s="414"/>
      <c r="BKP10" s="414"/>
      <c r="BKQ10" s="414"/>
      <c r="BKR10" s="414"/>
      <c r="BKS10" s="414"/>
      <c r="BKT10" s="414"/>
      <c r="BKU10" s="414"/>
      <c r="BKV10" s="414"/>
      <c r="BKW10" s="414"/>
      <c r="BKX10" s="414"/>
      <c r="BKY10" s="414"/>
      <c r="BKZ10" s="414"/>
      <c r="BLA10" s="414"/>
      <c r="BLB10" s="414"/>
      <c r="BLC10" s="414"/>
      <c r="BLD10" s="414"/>
      <c r="BLE10" s="414"/>
      <c r="BLF10" s="414"/>
      <c r="BLG10" s="414"/>
      <c r="BLH10" s="414"/>
      <c r="BLI10" s="414"/>
      <c r="BLJ10" s="414"/>
      <c r="BLK10" s="414"/>
      <c r="BLL10" s="414"/>
      <c r="BLM10" s="414"/>
      <c r="BLN10" s="414"/>
      <c r="BLO10" s="414"/>
      <c r="BLP10" s="414"/>
      <c r="BLQ10" s="414"/>
      <c r="BLR10" s="414"/>
      <c r="BLS10" s="414"/>
      <c r="BLT10" s="414"/>
      <c r="BLU10" s="414"/>
      <c r="BLV10" s="414"/>
      <c r="BLW10" s="414"/>
      <c r="BLX10" s="414"/>
      <c r="BLY10" s="414"/>
      <c r="BLZ10" s="414"/>
      <c r="BMA10" s="414"/>
      <c r="BMB10" s="414"/>
      <c r="BMC10" s="414"/>
      <c r="BMD10" s="414"/>
      <c r="BME10" s="414"/>
      <c r="BMF10" s="414"/>
      <c r="BMG10" s="414"/>
      <c r="BMH10" s="414"/>
      <c r="BMI10" s="414"/>
      <c r="BMJ10" s="414"/>
      <c r="BMK10" s="414"/>
      <c r="BML10" s="414"/>
      <c r="BMM10" s="414"/>
      <c r="BMN10" s="414"/>
      <c r="BMO10" s="414"/>
      <c r="BMP10" s="414"/>
      <c r="BMQ10" s="414"/>
      <c r="BMR10" s="414"/>
      <c r="BMS10" s="414"/>
      <c r="BMT10" s="414"/>
      <c r="BMU10" s="414"/>
      <c r="BMV10" s="414"/>
      <c r="BMW10" s="414"/>
      <c r="BMX10" s="414"/>
      <c r="BMY10" s="414"/>
      <c r="BMZ10" s="414"/>
      <c r="BNA10" s="414"/>
      <c r="BNB10" s="414"/>
      <c r="BNC10" s="414"/>
      <c r="BND10" s="414"/>
      <c r="BNE10" s="414"/>
      <c r="BNF10" s="414"/>
      <c r="BNG10" s="414"/>
      <c r="BNH10" s="414"/>
      <c r="BNI10" s="414"/>
      <c r="BNJ10" s="414"/>
      <c r="BNK10" s="414"/>
      <c r="BNL10" s="414"/>
      <c r="BNM10" s="414"/>
      <c r="BNN10" s="414"/>
      <c r="BNO10" s="414"/>
      <c r="BNP10" s="414"/>
      <c r="BNQ10" s="414"/>
      <c r="BNR10" s="414"/>
      <c r="BNS10" s="414"/>
      <c r="BNT10" s="414"/>
      <c r="BNU10" s="414"/>
      <c r="BNV10" s="414"/>
      <c r="BNW10" s="414"/>
      <c r="BNX10" s="414"/>
      <c r="BNY10" s="414"/>
      <c r="BNZ10" s="414"/>
      <c r="BOA10" s="414"/>
      <c r="BOB10" s="414"/>
      <c r="BOC10" s="414"/>
      <c r="BOD10" s="414"/>
      <c r="BOE10" s="414"/>
      <c r="BOF10" s="414"/>
      <c r="BOG10" s="414"/>
      <c r="BOH10" s="414"/>
      <c r="BOI10" s="414"/>
      <c r="BOJ10" s="414"/>
      <c r="BOK10" s="414"/>
      <c r="BOL10" s="414"/>
      <c r="BOM10" s="414"/>
      <c r="BON10" s="414"/>
      <c r="BOO10" s="414"/>
      <c r="BOP10" s="414"/>
      <c r="BOQ10" s="414"/>
      <c r="BOR10" s="414"/>
      <c r="BOS10" s="414"/>
      <c r="BOT10" s="414"/>
      <c r="BOU10" s="414"/>
      <c r="BOV10" s="414"/>
      <c r="BOW10" s="414"/>
      <c r="BOX10" s="414"/>
      <c r="BOY10" s="414"/>
      <c r="BOZ10" s="414"/>
      <c r="BPA10" s="414"/>
      <c r="BPB10" s="414"/>
      <c r="BPC10" s="414"/>
      <c r="BPD10" s="414"/>
      <c r="BPE10" s="414"/>
      <c r="BPF10" s="414"/>
      <c r="BPG10" s="414"/>
      <c r="BPH10" s="414"/>
      <c r="BPI10" s="414"/>
      <c r="BPJ10" s="414"/>
      <c r="BPK10" s="414"/>
      <c r="BPL10" s="414"/>
      <c r="BPM10" s="414"/>
      <c r="BPN10" s="414"/>
      <c r="BPO10" s="414"/>
      <c r="BPP10" s="414"/>
      <c r="BPQ10" s="414"/>
      <c r="BPR10" s="414"/>
      <c r="BPS10" s="414"/>
      <c r="BPT10" s="414"/>
      <c r="BPU10" s="414"/>
      <c r="BPV10" s="414"/>
      <c r="BPW10" s="414"/>
      <c r="BPX10" s="414"/>
      <c r="BPY10" s="414"/>
      <c r="BPZ10" s="414"/>
      <c r="BQA10" s="414"/>
      <c r="BQB10" s="414"/>
      <c r="BQC10" s="414"/>
      <c r="BQD10" s="414"/>
      <c r="BQE10" s="414"/>
      <c r="BQF10" s="414"/>
      <c r="BQG10" s="414"/>
      <c r="BQH10" s="414"/>
      <c r="BQI10" s="414"/>
      <c r="BQJ10" s="414"/>
      <c r="BQK10" s="414"/>
      <c r="BQL10" s="414"/>
      <c r="BQM10" s="414"/>
      <c r="BQN10" s="414"/>
      <c r="BQO10" s="414"/>
      <c r="BQP10" s="414"/>
      <c r="BQQ10" s="414"/>
      <c r="BQR10" s="414"/>
      <c r="BQS10" s="414"/>
      <c r="BQT10" s="414"/>
      <c r="BQU10" s="414"/>
      <c r="BQV10" s="414"/>
      <c r="BQW10" s="414"/>
      <c r="BQX10" s="414"/>
      <c r="BQY10" s="414"/>
      <c r="BQZ10" s="414"/>
      <c r="BRA10" s="414"/>
      <c r="BRB10" s="414"/>
      <c r="BRC10" s="414"/>
      <c r="BRD10" s="414"/>
      <c r="BRE10" s="414"/>
      <c r="BRF10" s="414"/>
      <c r="BRG10" s="414"/>
      <c r="BRH10" s="414"/>
      <c r="BRI10" s="414"/>
      <c r="BRJ10" s="414"/>
      <c r="BRK10" s="414"/>
      <c r="BRL10" s="414"/>
      <c r="BRM10" s="414"/>
      <c r="BRN10" s="414"/>
      <c r="BRO10" s="414"/>
      <c r="BRP10" s="414"/>
      <c r="BRQ10" s="414"/>
      <c r="BRR10" s="414"/>
      <c r="BRS10" s="414"/>
      <c r="BRT10" s="414"/>
      <c r="BRU10" s="414"/>
      <c r="BRV10" s="414"/>
      <c r="BRW10" s="414"/>
      <c r="BRX10" s="414"/>
      <c r="BRY10" s="414"/>
      <c r="BRZ10" s="414"/>
      <c r="BSA10" s="414"/>
      <c r="BSB10" s="414"/>
      <c r="BSC10" s="414"/>
      <c r="BSD10" s="414"/>
      <c r="BSE10" s="414"/>
      <c r="BSF10" s="414"/>
      <c r="BSG10" s="414"/>
      <c r="BSH10" s="414"/>
      <c r="BSI10" s="414"/>
      <c r="BSJ10" s="414"/>
      <c r="BSK10" s="414"/>
      <c r="BSL10" s="414"/>
      <c r="BSM10" s="414"/>
      <c r="BSN10" s="414"/>
      <c r="BSO10" s="414"/>
      <c r="BSP10" s="414"/>
      <c r="BSQ10" s="414"/>
      <c r="BSR10" s="414"/>
      <c r="BSS10" s="414"/>
      <c r="BST10" s="414"/>
      <c r="BSU10" s="414"/>
      <c r="BSV10" s="414"/>
      <c r="BSW10" s="414"/>
      <c r="BSX10" s="414"/>
      <c r="BSY10" s="414"/>
      <c r="BSZ10" s="414"/>
      <c r="BTA10" s="414"/>
      <c r="BTB10" s="414"/>
      <c r="BTC10" s="414"/>
      <c r="BTD10" s="414"/>
      <c r="BTE10" s="414"/>
      <c r="BTF10" s="414"/>
      <c r="BTG10" s="414"/>
      <c r="BTH10" s="414"/>
      <c r="BTI10" s="414"/>
      <c r="BTJ10" s="414"/>
      <c r="BTK10" s="414"/>
      <c r="BTL10" s="414"/>
      <c r="BTM10" s="414"/>
      <c r="BTN10" s="414"/>
      <c r="BTO10" s="414"/>
      <c r="BTP10" s="414"/>
      <c r="BTQ10" s="414"/>
      <c r="BTR10" s="414"/>
      <c r="BTS10" s="414"/>
      <c r="BTT10" s="414"/>
      <c r="BTU10" s="414"/>
      <c r="BTV10" s="414"/>
      <c r="BTW10" s="414"/>
      <c r="BTX10" s="414"/>
      <c r="BTY10" s="414"/>
      <c r="BTZ10" s="414"/>
      <c r="BUA10" s="414"/>
      <c r="BUB10" s="414"/>
      <c r="BUC10" s="414"/>
      <c r="BUD10" s="414"/>
      <c r="BUE10" s="414"/>
      <c r="BUF10" s="414"/>
      <c r="BUG10" s="414"/>
      <c r="BUH10" s="414"/>
      <c r="BUI10" s="414"/>
      <c r="BUJ10" s="414"/>
      <c r="BUK10" s="414"/>
      <c r="BUL10" s="414"/>
      <c r="BUM10" s="414"/>
      <c r="BUN10" s="414"/>
      <c r="BUO10" s="414"/>
      <c r="BUP10" s="414"/>
      <c r="BUQ10" s="414"/>
      <c r="BUR10" s="414"/>
      <c r="BUS10" s="414"/>
      <c r="BUT10" s="414"/>
      <c r="BUU10" s="414"/>
      <c r="BUV10" s="414"/>
      <c r="BUW10" s="414"/>
      <c r="BUX10" s="414"/>
      <c r="BUY10" s="414"/>
      <c r="BUZ10" s="414"/>
      <c r="BVA10" s="414"/>
      <c r="BVB10" s="414"/>
      <c r="BVC10" s="414"/>
      <c r="BVD10" s="414"/>
      <c r="BVE10" s="414"/>
      <c r="BVF10" s="414"/>
      <c r="BVG10" s="414"/>
      <c r="BVH10" s="414"/>
      <c r="BVI10" s="414"/>
      <c r="BVJ10" s="414"/>
      <c r="BVK10" s="414"/>
      <c r="BVL10" s="414"/>
      <c r="BVM10" s="414"/>
      <c r="BVN10" s="414"/>
      <c r="BVO10" s="414"/>
      <c r="BVP10" s="414"/>
      <c r="BVQ10" s="414"/>
      <c r="BVR10" s="414"/>
      <c r="BVS10" s="414"/>
      <c r="BVT10" s="414"/>
      <c r="BVU10" s="414"/>
      <c r="BVV10" s="414"/>
      <c r="BVW10" s="414"/>
      <c r="BVX10" s="414"/>
      <c r="BVY10" s="414"/>
      <c r="BVZ10" s="414"/>
      <c r="BWA10" s="414"/>
      <c r="BWB10" s="414"/>
      <c r="BWC10" s="414"/>
      <c r="BWD10" s="414"/>
      <c r="BWE10" s="414"/>
      <c r="BWF10" s="414"/>
      <c r="BWG10" s="414"/>
      <c r="BWH10" s="414"/>
      <c r="BWI10" s="414"/>
      <c r="BWJ10" s="414"/>
      <c r="BWK10" s="414"/>
      <c r="BWL10" s="414"/>
      <c r="BWM10" s="414"/>
      <c r="BWN10" s="414"/>
      <c r="BWO10" s="414"/>
      <c r="BWP10" s="414"/>
      <c r="BWQ10" s="414"/>
      <c r="BWR10" s="414"/>
      <c r="BWS10" s="414"/>
      <c r="BWT10" s="414"/>
      <c r="BWU10" s="414"/>
      <c r="BWV10" s="414"/>
      <c r="BWW10" s="414"/>
      <c r="BWX10" s="414"/>
      <c r="BWY10" s="414"/>
      <c r="BWZ10" s="414"/>
      <c r="BXA10" s="414"/>
      <c r="BXB10" s="414"/>
      <c r="BXC10" s="414"/>
      <c r="BXD10" s="414"/>
      <c r="BXE10" s="414"/>
      <c r="BXF10" s="414"/>
      <c r="BXG10" s="414"/>
      <c r="BXH10" s="414"/>
      <c r="BXI10" s="414"/>
      <c r="BXJ10" s="414"/>
      <c r="BXK10" s="414"/>
      <c r="BXL10" s="414"/>
      <c r="BXM10" s="414"/>
      <c r="BXN10" s="414"/>
      <c r="BXO10" s="414"/>
      <c r="BXP10" s="414"/>
      <c r="BXQ10" s="414"/>
      <c r="BXR10" s="414"/>
      <c r="BXS10" s="414"/>
      <c r="BXT10" s="414"/>
      <c r="BXU10" s="414"/>
      <c r="BXV10" s="414"/>
      <c r="BXW10" s="414"/>
      <c r="BXX10" s="414"/>
      <c r="BXY10" s="414"/>
      <c r="BXZ10" s="414"/>
      <c r="BYA10" s="414"/>
      <c r="BYB10" s="414"/>
      <c r="BYC10" s="414"/>
      <c r="BYD10" s="414"/>
      <c r="BYE10" s="414"/>
      <c r="BYF10" s="414"/>
      <c r="BYG10" s="414"/>
      <c r="BYH10" s="414"/>
      <c r="BYI10" s="414"/>
      <c r="BYJ10" s="414"/>
      <c r="BYK10" s="414"/>
      <c r="BYL10" s="414"/>
      <c r="BYM10" s="414"/>
      <c r="BYN10" s="414"/>
      <c r="BYO10" s="414"/>
      <c r="BYP10" s="414"/>
      <c r="BYQ10" s="414"/>
      <c r="BYR10" s="414"/>
      <c r="BYS10" s="414"/>
      <c r="BYT10" s="414"/>
      <c r="BYU10" s="414"/>
      <c r="BYV10" s="414"/>
      <c r="BYW10" s="414"/>
      <c r="BYX10" s="414"/>
      <c r="BYY10" s="414"/>
      <c r="BYZ10" s="414"/>
      <c r="BZA10" s="414"/>
      <c r="BZB10" s="414"/>
      <c r="BZC10" s="414"/>
      <c r="BZD10" s="414"/>
      <c r="BZE10" s="414"/>
      <c r="BZF10" s="414"/>
      <c r="BZG10" s="414"/>
      <c r="BZH10" s="414"/>
      <c r="BZI10" s="414"/>
      <c r="BZJ10" s="414"/>
      <c r="BZK10" s="414"/>
      <c r="BZL10" s="414"/>
      <c r="BZM10" s="414"/>
      <c r="BZN10" s="414"/>
      <c r="BZO10" s="414"/>
      <c r="BZP10" s="414"/>
      <c r="BZQ10" s="414"/>
      <c r="BZR10" s="414"/>
      <c r="BZS10" s="414"/>
      <c r="BZT10" s="414"/>
      <c r="BZU10" s="414"/>
      <c r="BZV10" s="414"/>
      <c r="BZW10" s="414"/>
      <c r="BZX10" s="414"/>
      <c r="BZY10" s="414"/>
      <c r="BZZ10" s="414"/>
      <c r="CAA10" s="414"/>
      <c r="CAB10" s="414"/>
      <c r="CAC10" s="414"/>
      <c r="CAD10" s="414"/>
      <c r="CAE10" s="414"/>
      <c r="CAF10" s="414"/>
      <c r="CAG10" s="414"/>
      <c r="CAH10" s="414"/>
      <c r="CAI10" s="414"/>
      <c r="CAJ10" s="414"/>
      <c r="CAK10" s="414"/>
      <c r="CAL10" s="414"/>
      <c r="CAM10" s="414"/>
      <c r="CAN10" s="414"/>
      <c r="CAO10" s="414"/>
      <c r="CAP10" s="414"/>
      <c r="CAQ10" s="414"/>
      <c r="CAR10" s="414"/>
      <c r="CAS10" s="414"/>
      <c r="CAT10" s="414"/>
      <c r="CAU10" s="414"/>
      <c r="CAV10" s="414"/>
      <c r="CAW10" s="414"/>
      <c r="CAX10" s="414"/>
      <c r="CAY10" s="414"/>
      <c r="CAZ10" s="414"/>
      <c r="CBA10" s="414"/>
      <c r="CBB10" s="414"/>
      <c r="CBC10" s="414"/>
      <c r="CBD10" s="414"/>
      <c r="CBE10" s="414"/>
      <c r="CBF10" s="414"/>
      <c r="CBG10" s="414"/>
      <c r="CBH10" s="414"/>
      <c r="CBI10" s="414"/>
      <c r="CBJ10" s="414"/>
      <c r="CBK10" s="414"/>
      <c r="CBL10" s="414"/>
      <c r="CBM10" s="414"/>
      <c r="CBN10" s="414"/>
      <c r="CBO10" s="414"/>
      <c r="CBP10" s="414"/>
      <c r="CBQ10" s="414"/>
      <c r="CBR10" s="414"/>
      <c r="CBS10" s="414"/>
      <c r="CBT10" s="414"/>
      <c r="CBU10" s="414"/>
      <c r="CBV10" s="414"/>
      <c r="CBW10" s="414"/>
      <c r="CBX10" s="414"/>
      <c r="CBY10" s="414"/>
      <c r="CBZ10" s="414"/>
      <c r="CCA10" s="414"/>
      <c r="CCB10" s="414"/>
      <c r="CCC10" s="414"/>
      <c r="CCD10" s="414"/>
      <c r="CCE10" s="414"/>
      <c r="CCF10" s="414"/>
      <c r="CCG10" s="414"/>
      <c r="CCH10" s="414"/>
      <c r="CCI10" s="414"/>
      <c r="CCJ10" s="414"/>
      <c r="CCK10" s="414"/>
      <c r="CCL10" s="414"/>
      <c r="CCM10" s="414"/>
      <c r="CCN10" s="414"/>
      <c r="CCO10" s="414"/>
      <c r="CCP10" s="414"/>
      <c r="CCQ10" s="414"/>
      <c r="CCR10" s="414"/>
      <c r="CCS10" s="414"/>
      <c r="CCT10" s="414"/>
      <c r="CCU10" s="414"/>
      <c r="CCV10" s="414"/>
      <c r="CCW10" s="414"/>
      <c r="CCX10" s="414"/>
      <c r="CCY10" s="414"/>
      <c r="CCZ10" s="414"/>
      <c r="CDA10" s="414"/>
      <c r="CDB10" s="414"/>
      <c r="CDC10" s="414"/>
      <c r="CDD10" s="414"/>
      <c r="CDE10" s="414"/>
      <c r="CDF10" s="414"/>
      <c r="CDG10" s="414"/>
      <c r="CDH10" s="414"/>
      <c r="CDI10" s="414"/>
      <c r="CDJ10" s="414"/>
      <c r="CDK10" s="414"/>
      <c r="CDL10" s="414"/>
      <c r="CDM10" s="414"/>
      <c r="CDN10" s="414"/>
      <c r="CDO10" s="414"/>
      <c r="CDP10" s="414"/>
      <c r="CDQ10" s="414"/>
      <c r="CDR10" s="414"/>
      <c r="CDS10" s="414"/>
      <c r="CDT10" s="414"/>
      <c r="CDU10" s="414"/>
      <c r="CDV10" s="414"/>
      <c r="CDW10" s="414"/>
      <c r="CDX10" s="414"/>
      <c r="CDY10" s="414"/>
      <c r="CDZ10" s="414"/>
      <c r="CEA10" s="414"/>
      <c r="CEB10" s="414"/>
      <c r="CEC10" s="414"/>
      <c r="CED10" s="414"/>
      <c r="CEE10" s="414"/>
      <c r="CEF10" s="414"/>
      <c r="CEG10" s="414"/>
      <c r="CEH10" s="414"/>
      <c r="CEI10" s="414"/>
      <c r="CEJ10" s="414"/>
      <c r="CEK10" s="414"/>
      <c r="CEL10" s="414"/>
      <c r="CEM10" s="414"/>
      <c r="CEN10" s="414"/>
      <c r="CEO10" s="414"/>
      <c r="CEP10" s="414"/>
      <c r="CEQ10" s="414"/>
      <c r="CER10" s="414"/>
      <c r="CES10" s="414"/>
      <c r="CET10" s="414"/>
      <c r="CEU10" s="414"/>
      <c r="CEV10" s="414"/>
      <c r="CEW10" s="414"/>
      <c r="CEX10" s="414"/>
      <c r="CEY10" s="414"/>
      <c r="CEZ10" s="414"/>
      <c r="CFA10" s="414"/>
      <c r="CFB10" s="414"/>
      <c r="CFC10" s="414"/>
      <c r="CFD10" s="414"/>
      <c r="CFE10" s="414"/>
      <c r="CFF10" s="414"/>
      <c r="CFG10" s="414"/>
      <c r="CFH10" s="414"/>
      <c r="CFI10" s="414"/>
      <c r="CFJ10" s="414"/>
      <c r="CFK10" s="414"/>
      <c r="CFL10" s="414"/>
      <c r="CFM10" s="414"/>
      <c r="CFN10" s="414"/>
      <c r="CFO10" s="414"/>
      <c r="CFP10" s="414"/>
      <c r="CFQ10" s="414"/>
      <c r="CFR10" s="414"/>
      <c r="CFS10" s="414"/>
      <c r="CFT10" s="414"/>
      <c r="CFU10" s="414"/>
      <c r="CFV10" s="414"/>
      <c r="CFW10" s="414"/>
      <c r="CFX10" s="414"/>
      <c r="CFY10" s="414"/>
      <c r="CFZ10" s="414"/>
      <c r="CGA10" s="414"/>
      <c r="CGB10" s="414"/>
      <c r="CGC10" s="414"/>
      <c r="CGD10" s="414"/>
      <c r="CGE10" s="414"/>
      <c r="CGF10" s="414"/>
      <c r="CGG10" s="414"/>
      <c r="CGH10" s="414"/>
      <c r="CGI10" s="414"/>
      <c r="CGJ10" s="414"/>
      <c r="CGK10" s="414"/>
      <c r="CGL10" s="414"/>
      <c r="CGM10" s="414"/>
      <c r="CGN10" s="414"/>
      <c r="CGO10" s="414"/>
      <c r="CGP10" s="414"/>
      <c r="CGQ10" s="414"/>
      <c r="CGR10" s="414"/>
      <c r="CGS10" s="414"/>
      <c r="CGT10" s="414"/>
      <c r="CGU10" s="414"/>
      <c r="CGV10" s="414"/>
      <c r="CGW10" s="414"/>
      <c r="CGX10" s="414"/>
      <c r="CGY10" s="414"/>
      <c r="CGZ10" s="414"/>
      <c r="CHA10" s="414"/>
      <c r="CHB10" s="414"/>
      <c r="CHC10" s="414"/>
      <c r="CHD10" s="414"/>
      <c r="CHE10" s="414"/>
      <c r="CHF10" s="414"/>
      <c r="CHG10" s="414"/>
      <c r="CHH10" s="414"/>
      <c r="CHI10" s="414"/>
      <c r="CHJ10" s="414"/>
      <c r="CHK10" s="414"/>
      <c r="CHL10" s="414"/>
      <c r="CHM10" s="414"/>
      <c r="CHN10" s="414"/>
      <c r="CHO10" s="414"/>
      <c r="CHP10" s="414"/>
      <c r="CHQ10" s="414"/>
      <c r="CHR10" s="414"/>
      <c r="CHS10" s="414"/>
      <c r="CHT10" s="414"/>
      <c r="CHU10" s="414"/>
      <c r="CHV10" s="414"/>
      <c r="CHW10" s="414"/>
      <c r="CHX10" s="414"/>
      <c r="CHY10" s="414"/>
      <c r="CHZ10" s="414"/>
      <c r="CIA10" s="414"/>
      <c r="CIB10" s="414"/>
      <c r="CIC10" s="414"/>
      <c r="CID10" s="414"/>
      <c r="CIE10" s="414"/>
      <c r="CIF10" s="414"/>
      <c r="CIG10" s="414"/>
      <c r="CIH10" s="414"/>
      <c r="CII10" s="414"/>
      <c r="CIJ10" s="414"/>
      <c r="CIK10" s="414"/>
      <c r="CIL10" s="414"/>
      <c r="CIM10" s="414"/>
      <c r="CIN10" s="414"/>
      <c r="CIO10" s="414"/>
      <c r="CIP10" s="414"/>
      <c r="CIQ10" s="414"/>
      <c r="CIR10" s="414"/>
      <c r="CIS10" s="414"/>
      <c r="CIT10" s="414"/>
      <c r="CIU10" s="414"/>
      <c r="CIV10" s="414"/>
      <c r="CIW10" s="414"/>
      <c r="CIX10" s="414"/>
      <c r="CIY10" s="414"/>
      <c r="CIZ10" s="414"/>
      <c r="CJA10" s="414"/>
      <c r="CJB10" s="414"/>
      <c r="CJC10" s="414"/>
      <c r="CJD10" s="414"/>
      <c r="CJE10" s="414"/>
      <c r="CJF10" s="414"/>
      <c r="CJG10" s="414"/>
      <c r="CJH10" s="414"/>
      <c r="CJI10" s="414"/>
      <c r="CJJ10" s="414"/>
      <c r="CJK10" s="414"/>
      <c r="CJL10" s="414"/>
      <c r="CJM10" s="414"/>
      <c r="CJN10" s="414"/>
      <c r="CJO10" s="414"/>
      <c r="CJP10" s="414"/>
      <c r="CJQ10" s="414"/>
      <c r="CJR10" s="414"/>
      <c r="CJS10" s="414"/>
      <c r="CJT10" s="414"/>
      <c r="CJU10" s="414"/>
      <c r="CJV10" s="414"/>
      <c r="CJW10" s="414"/>
      <c r="CJX10" s="414"/>
      <c r="CJY10" s="414"/>
      <c r="CJZ10" s="414"/>
      <c r="CKA10" s="414"/>
      <c r="CKB10" s="414"/>
      <c r="CKC10" s="414"/>
      <c r="CKD10" s="414"/>
      <c r="CKE10" s="414"/>
      <c r="CKF10" s="414"/>
      <c r="CKG10" s="414"/>
      <c r="CKH10" s="414"/>
      <c r="CKI10" s="414"/>
      <c r="CKJ10" s="414"/>
      <c r="CKK10" s="414"/>
      <c r="CKL10" s="414"/>
      <c r="CKM10" s="414"/>
      <c r="CKN10" s="414"/>
      <c r="CKO10" s="414"/>
      <c r="CKP10" s="414"/>
      <c r="CKQ10" s="414"/>
      <c r="CKR10" s="414"/>
      <c r="CKS10" s="414"/>
      <c r="CKT10" s="414"/>
      <c r="CKU10" s="414"/>
      <c r="CKV10" s="414"/>
      <c r="CKW10" s="414"/>
      <c r="CKX10" s="414"/>
      <c r="CKY10" s="414"/>
      <c r="CKZ10" s="414"/>
      <c r="CLA10" s="414"/>
      <c r="CLB10" s="414"/>
      <c r="CLC10" s="414"/>
      <c r="CLD10" s="414"/>
      <c r="CLE10" s="414"/>
      <c r="CLF10" s="414"/>
      <c r="CLG10" s="414"/>
      <c r="CLH10" s="414"/>
      <c r="CLI10" s="414"/>
      <c r="CLJ10" s="414"/>
      <c r="CLK10" s="414"/>
      <c r="CLL10" s="414"/>
      <c r="CLM10" s="414"/>
      <c r="CLN10" s="414"/>
      <c r="CLO10" s="414"/>
      <c r="CLP10" s="414"/>
      <c r="CLQ10" s="414"/>
      <c r="CLR10" s="414"/>
      <c r="CLS10" s="414"/>
      <c r="CLT10" s="414"/>
      <c r="CLU10" s="414"/>
      <c r="CLV10" s="414"/>
      <c r="CLW10" s="414"/>
      <c r="CLX10" s="414"/>
      <c r="CLY10" s="414"/>
      <c r="CLZ10" s="414"/>
      <c r="CMA10" s="414"/>
      <c r="CMB10" s="414"/>
      <c r="CMC10" s="414"/>
      <c r="CMD10" s="414"/>
      <c r="CME10" s="414"/>
      <c r="CMF10" s="414"/>
      <c r="CMG10" s="414"/>
      <c r="CMH10" s="414"/>
      <c r="CMI10" s="414"/>
      <c r="CMJ10" s="414"/>
      <c r="CMK10" s="414"/>
      <c r="CML10" s="414"/>
      <c r="CMM10" s="414"/>
      <c r="CMN10" s="414"/>
      <c r="CMO10" s="414"/>
      <c r="CMP10" s="414"/>
      <c r="CMQ10" s="414"/>
      <c r="CMR10" s="414"/>
      <c r="CMS10" s="414"/>
      <c r="CMT10" s="414"/>
      <c r="CMU10" s="414"/>
      <c r="CMV10" s="414"/>
      <c r="CMW10" s="414"/>
      <c r="CMX10" s="414"/>
      <c r="CMY10" s="414"/>
      <c r="CMZ10" s="414"/>
      <c r="CNA10" s="414"/>
      <c r="CNB10" s="414"/>
      <c r="CNC10" s="414"/>
      <c r="CND10" s="414"/>
      <c r="CNE10" s="414"/>
      <c r="CNF10" s="414"/>
      <c r="CNG10" s="414"/>
      <c r="CNH10" s="414"/>
      <c r="CNI10" s="414"/>
      <c r="CNJ10" s="414"/>
      <c r="CNK10" s="414"/>
      <c r="CNL10" s="414"/>
      <c r="CNM10" s="414"/>
      <c r="CNN10" s="414"/>
      <c r="CNO10" s="414"/>
      <c r="CNP10" s="414"/>
      <c r="CNQ10" s="414"/>
      <c r="CNR10" s="414"/>
      <c r="CNS10" s="414"/>
      <c r="CNT10" s="414"/>
      <c r="CNU10" s="414"/>
      <c r="CNV10" s="414"/>
      <c r="CNW10" s="414"/>
      <c r="CNX10" s="414"/>
      <c r="CNY10" s="414"/>
      <c r="CNZ10" s="414"/>
      <c r="COA10" s="414"/>
      <c r="COB10" s="414"/>
      <c r="COC10" s="414"/>
      <c r="COD10" s="414"/>
      <c r="COE10" s="414"/>
      <c r="COF10" s="414"/>
      <c r="COG10" s="414"/>
      <c r="COH10" s="414"/>
      <c r="COI10" s="414"/>
      <c r="COJ10" s="414"/>
      <c r="COK10" s="414"/>
      <c r="COL10" s="414"/>
      <c r="COM10" s="414"/>
      <c r="CON10" s="414"/>
      <c r="COO10" s="414"/>
      <c r="COP10" s="414"/>
      <c r="COQ10" s="414"/>
      <c r="COR10" s="414"/>
      <c r="COS10" s="414"/>
      <c r="COT10" s="414"/>
      <c r="COU10" s="414"/>
      <c r="COV10" s="414"/>
      <c r="COW10" s="414"/>
      <c r="COX10" s="414"/>
      <c r="COY10" s="414"/>
      <c r="COZ10" s="414"/>
      <c r="CPA10" s="414"/>
      <c r="CPB10" s="414"/>
      <c r="CPC10" s="414"/>
      <c r="CPD10" s="414"/>
      <c r="CPE10" s="414"/>
      <c r="CPF10" s="414"/>
      <c r="CPG10" s="414"/>
      <c r="CPH10" s="414"/>
      <c r="CPI10" s="414"/>
      <c r="CPJ10" s="414"/>
      <c r="CPK10" s="414"/>
      <c r="CPL10" s="414"/>
      <c r="CPM10" s="414"/>
      <c r="CPN10" s="414"/>
      <c r="CPO10" s="414"/>
      <c r="CPP10" s="414"/>
      <c r="CPQ10" s="414"/>
      <c r="CPR10" s="414"/>
      <c r="CPS10" s="414"/>
      <c r="CPT10" s="414"/>
      <c r="CPU10" s="414"/>
      <c r="CPV10" s="414"/>
      <c r="CPW10" s="414"/>
      <c r="CPX10" s="414"/>
      <c r="CPY10" s="414"/>
      <c r="CPZ10" s="414"/>
      <c r="CQA10" s="414"/>
      <c r="CQB10" s="414"/>
      <c r="CQC10" s="414"/>
      <c r="CQD10" s="414"/>
      <c r="CQE10" s="414"/>
      <c r="CQF10" s="414"/>
      <c r="CQG10" s="414"/>
      <c r="CQH10" s="414"/>
      <c r="CQI10" s="414"/>
      <c r="CQJ10" s="414"/>
      <c r="CQK10" s="414"/>
      <c r="CQL10" s="414"/>
      <c r="CQM10" s="414"/>
      <c r="CQN10" s="414"/>
      <c r="CQO10" s="414"/>
      <c r="CQP10" s="414"/>
      <c r="CQQ10" s="414"/>
      <c r="CQR10" s="414"/>
      <c r="CQS10" s="414"/>
      <c r="CQT10" s="414"/>
      <c r="CQU10" s="414"/>
      <c r="CQV10" s="414"/>
      <c r="CQW10" s="414"/>
      <c r="CQX10" s="414"/>
      <c r="CQY10" s="414"/>
      <c r="CQZ10" s="414"/>
      <c r="CRA10" s="414"/>
      <c r="CRB10" s="414"/>
      <c r="CRC10" s="414"/>
      <c r="CRD10" s="414"/>
      <c r="CRE10" s="414"/>
      <c r="CRF10" s="414"/>
      <c r="CRG10" s="414"/>
      <c r="CRH10" s="414"/>
      <c r="CRI10" s="414"/>
      <c r="CRJ10" s="414"/>
      <c r="CRK10" s="414"/>
      <c r="CRL10" s="414"/>
      <c r="CRM10" s="414"/>
      <c r="CRN10" s="414"/>
      <c r="CRO10" s="414"/>
      <c r="CRP10" s="414"/>
      <c r="CRQ10" s="414"/>
      <c r="CRR10" s="414"/>
      <c r="CRS10" s="414"/>
      <c r="CRT10" s="414"/>
      <c r="CRU10" s="414"/>
      <c r="CRV10" s="414"/>
      <c r="CRW10" s="414"/>
      <c r="CRX10" s="414"/>
      <c r="CRY10" s="414"/>
      <c r="CRZ10" s="414"/>
      <c r="CSA10" s="414"/>
      <c r="CSB10" s="414"/>
      <c r="CSC10" s="414"/>
      <c r="CSD10" s="414"/>
      <c r="CSE10" s="414"/>
      <c r="CSF10" s="414"/>
      <c r="CSG10" s="414"/>
      <c r="CSH10" s="414"/>
      <c r="CSI10" s="414"/>
      <c r="CSJ10" s="414"/>
      <c r="CSK10" s="414"/>
      <c r="CSL10" s="414"/>
      <c r="CSM10" s="414"/>
      <c r="CSN10" s="414"/>
      <c r="CSO10" s="414"/>
      <c r="CSP10" s="414"/>
      <c r="CSQ10" s="414"/>
      <c r="CSR10" s="414"/>
      <c r="CSS10" s="414"/>
      <c r="CST10" s="414"/>
      <c r="CSU10" s="414"/>
      <c r="CSV10" s="414"/>
      <c r="CSW10" s="414"/>
      <c r="CSX10" s="414"/>
      <c r="CSY10" s="414"/>
      <c r="CSZ10" s="414"/>
      <c r="CTA10" s="414"/>
      <c r="CTB10" s="414"/>
      <c r="CTC10" s="414"/>
      <c r="CTD10" s="414"/>
      <c r="CTE10" s="414"/>
      <c r="CTF10" s="414"/>
      <c r="CTG10" s="414"/>
      <c r="CTH10" s="414"/>
      <c r="CTI10" s="414"/>
      <c r="CTJ10" s="414"/>
      <c r="CTK10" s="414"/>
      <c r="CTL10" s="414"/>
      <c r="CTM10" s="414"/>
      <c r="CTN10" s="414"/>
      <c r="CTO10" s="414"/>
      <c r="CTP10" s="414"/>
      <c r="CTQ10" s="414"/>
      <c r="CTR10" s="414"/>
      <c r="CTS10" s="414"/>
      <c r="CTT10" s="414"/>
      <c r="CTU10" s="414"/>
      <c r="CTV10" s="414"/>
      <c r="CTW10" s="414"/>
      <c r="CTX10" s="414"/>
      <c r="CTY10" s="414"/>
      <c r="CTZ10" s="414"/>
      <c r="CUA10" s="414"/>
      <c r="CUB10" s="414"/>
      <c r="CUC10" s="414"/>
      <c r="CUD10" s="414"/>
      <c r="CUE10" s="414"/>
      <c r="CUF10" s="414"/>
      <c r="CUG10" s="414"/>
      <c r="CUH10" s="414"/>
      <c r="CUI10" s="414"/>
      <c r="CUJ10" s="414"/>
      <c r="CUK10" s="414"/>
      <c r="CUL10" s="414"/>
      <c r="CUM10" s="414"/>
      <c r="CUN10" s="414"/>
      <c r="CUO10" s="414"/>
      <c r="CUP10" s="414"/>
      <c r="CUQ10" s="414"/>
      <c r="CUR10" s="414"/>
      <c r="CUS10" s="414"/>
      <c r="CUT10" s="414"/>
      <c r="CUU10" s="414"/>
      <c r="CUV10" s="414"/>
      <c r="CUW10" s="414"/>
      <c r="CUX10" s="414"/>
      <c r="CUY10" s="414"/>
      <c r="CUZ10" s="414"/>
      <c r="CVA10" s="414"/>
      <c r="CVB10" s="414"/>
      <c r="CVC10" s="414"/>
      <c r="CVD10" s="414"/>
      <c r="CVE10" s="414"/>
      <c r="CVF10" s="414"/>
      <c r="CVG10" s="414"/>
      <c r="CVH10" s="414"/>
      <c r="CVI10" s="414"/>
      <c r="CVJ10" s="414"/>
      <c r="CVK10" s="414"/>
      <c r="CVL10" s="414"/>
      <c r="CVM10" s="414"/>
      <c r="CVN10" s="414"/>
      <c r="CVO10" s="414"/>
      <c r="CVP10" s="414"/>
      <c r="CVQ10" s="414"/>
      <c r="CVR10" s="414"/>
      <c r="CVS10" s="414"/>
      <c r="CVT10" s="414"/>
      <c r="CVU10" s="414"/>
      <c r="CVV10" s="414"/>
      <c r="CVW10" s="414"/>
      <c r="CVX10" s="414"/>
      <c r="CVY10" s="414"/>
      <c r="CVZ10" s="414"/>
      <c r="CWA10" s="414"/>
      <c r="CWB10" s="414"/>
      <c r="CWC10" s="414"/>
      <c r="CWD10" s="414"/>
      <c r="CWE10" s="414"/>
      <c r="CWF10" s="414"/>
      <c r="CWG10" s="414"/>
      <c r="CWH10" s="414"/>
      <c r="CWI10" s="414"/>
      <c r="CWJ10" s="414"/>
      <c r="CWK10" s="414"/>
      <c r="CWL10" s="414"/>
      <c r="CWM10" s="414"/>
      <c r="CWN10" s="414"/>
      <c r="CWO10" s="414"/>
      <c r="CWP10" s="414"/>
      <c r="CWQ10" s="414"/>
      <c r="CWR10" s="414"/>
      <c r="CWS10" s="414"/>
      <c r="CWT10" s="414"/>
      <c r="CWU10" s="414"/>
      <c r="CWV10" s="414"/>
      <c r="CWW10" s="414"/>
      <c r="CWX10" s="414"/>
      <c r="CWY10" s="414"/>
      <c r="CWZ10" s="414"/>
      <c r="CXA10" s="414"/>
      <c r="CXB10" s="414"/>
      <c r="CXC10" s="414"/>
      <c r="CXD10" s="414"/>
      <c r="CXE10" s="414"/>
      <c r="CXF10" s="414"/>
      <c r="CXG10" s="414"/>
      <c r="CXH10" s="414"/>
      <c r="CXI10" s="414"/>
      <c r="CXJ10" s="414"/>
      <c r="CXK10" s="414"/>
      <c r="CXL10" s="414"/>
      <c r="CXM10" s="414"/>
      <c r="CXN10" s="414"/>
      <c r="CXO10" s="414"/>
      <c r="CXP10" s="414"/>
      <c r="CXQ10" s="414"/>
      <c r="CXR10" s="414"/>
      <c r="CXS10" s="414"/>
      <c r="CXT10" s="414"/>
      <c r="CXU10" s="414"/>
      <c r="CXV10" s="414"/>
      <c r="CXW10" s="414"/>
      <c r="CXX10" s="414"/>
      <c r="CXY10" s="414"/>
      <c r="CXZ10" s="414"/>
      <c r="CYA10" s="414"/>
      <c r="CYB10" s="414"/>
      <c r="CYC10" s="414"/>
      <c r="CYD10" s="414"/>
      <c r="CYE10" s="414"/>
      <c r="CYF10" s="414"/>
      <c r="CYG10" s="414"/>
      <c r="CYH10" s="414"/>
      <c r="CYI10" s="414"/>
      <c r="CYJ10" s="414"/>
      <c r="CYK10" s="414"/>
      <c r="CYL10" s="414"/>
      <c r="CYM10" s="414"/>
      <c r="CYN10" s="414"/>
      <c r="CYO10" s="414"/>
      <c r="CYP10" s="414"/>
      <c r="CYQ10" s="414"/>
      <c r="CYR10" s="414"/>
      <c r="CYS10" s="414"/>
      <c r="CYT10" s="414"/>
      <c r="CYU10" s="414"/>
      <c r="CYV10" s="414"/>
      <c r="CYW10" s="414"/>
      <c r="CYX10" s="414"/>
      <c r="CYY10" s="414"/>
      <c r="CYZ10" s="414"/>
      <c r="CZA10" s="414"/>
      <c r="CZB10" s="414"/>
      <c r="CZC10" s="414"/>
      <c r="CZD10" s="414"/>
      <c r="CZE10" s="414"/>
      <c r="CZF10" s="414"/>
      <c r="CZG10" s="414"/>
      <c r="CZH10" s="414"/>
      <c r="CZI10" s="414"/>
      <c r="CZJ10" s="414"/>
      <c r="CZK10" s="414"/>
      <c r="CZL10" s="414"/>
      <c r="CZM10" s="414"/>
      <c r="CZN10" s="414"/>
      <c r="CZO10" s="414"/>
      <c r="CZP10" s="414"/>
      <c r="CZQ10" s="414"/>
      <c r="CZR10" s="414"/>
      <c r="CZS10" s="414"/>
      <c r="CZT10" s="414"/>
      <c r="CZU10" s="414"/>
      <c r="CZV10" s="414"/>
      <c r="CZW10" s="414"/>
      <c r="CZX10" s="414"/>
      <c r="CZY10" s="414"/>
      <c r="CZZ10" s="414"/>
      <c r="DAA10" s="414"/>
      <c r="DAB10" s="414"/>
      <c r="DAC10" s="414"/>
      <c r="DAD10" s="414"/>
      <c r="DAE10" s="414"/>
      <c r="DAF10" s="414"/>
      <c r="DAG10" s="414"/>
      <c r="DAH10" s="414"/>
      <c r="DAI10" s="414"/>
      <c r="DAJ10" s="414"/>
      <c r="DAK10" s="414"/>
      <c r="DAL10" s="414"/>
      <c r="DAM10" s="414"/>
      <c r="DAN10" s="414"/>
      <c r="DAO10" s="414"/>
      <c r="DAP10" s="414"/>
      <c r="DAQ10" s="414"/>
      <c r="DAR10" s="414"/>
      <c r="DAS10" s="414"/>
      <c r="DAT10" s="414"/>
      <c r="DAU10" s="414"/>
      <c r="DAV10" s="414"/>
      <c r="DAW10" s="414"/>
      <c r="DAX10" s="414"/>
      <c r="DAY10" s="414"/>
      <c r="DAZ10" s="414"/>
      <c r="DBA10" s="414"/>
      <c r="DBB10" s="414"/>
      <c r="DBC10" s="414"/>
      <c r="DBD10" s="414"/>
      <c r="DBE10" s="414"/>
      <c r="DBF10" s="414"/>
      <c r="DBG10" s="414"/>
      <c r="DBH10" s="414"/>
      <c r="DBI10" s="414"/>
      <c r="DBJ10" s="414"/>
      <c r="DBK10" s="414"/>
      <c r="DBL10" s="414"/>
      <c r="DBM10" s="414"/>
      <c r="DBN10" s="414"/>
      <c r="DBO10" s="414"/>
      <c r="DBP10" s="414"/>
      <c r="DBQ10" s="414"/>
      <c r="DBR10" s="414"/>
      <c r="DBS10" s="414"/>
      <c r="DBT10" s="414"/>
      <c r="DBU10" s="414"/>
      <c r="DBV10" s="414"/>
      <c r="DBW10" s="414"/>
      <c r="DBX10" s="414"/>
      <c r="DBY10" s="414"/>
      <c r="DBZ10" s="414"/>
      <c r="DCA10" s="414"/>
      <c r="DCB10" s="414"/>
      <c r="DCC10" s="414"/>
      <c r="DCD10" s="414"/>
      <c r="DCE10" s="414"/>
      <c r="DCF10" s="414"/>
      <c r="DCG10" s="414"/>
      <c r="DCH10" s="414"/>
      <c r="DCI10" s="414"/>
      <c r="DCJ10" s="414"/>
      <c r="DCK10" s="414"/>
      <c r="DCL10" s="414"/>
      <c r="DCM10" s="414"/>
      <c r="DCN10" s="414"/>
      <c r="DCO10" s="414"/>
      <c r="DCP10" s="414"/>
      <c r="DCQ10" s="414"/>
      <c r="DCR10" s="414"/>
      <c r="DCS10" s="414"/>
      <c r="DCT10" s="414"/>
      <c r="DCU10" s="414"/>
      <c r="DCV10" s="414"/>
      <c r="DCW10" s="414"/>
      <c r="DCX10" s="414"/>
      <c r="DCY10" s="414"/>
      <c r="DCZ10" s="414"/>
      <c r="DDA10" s="414"/>
      <c r="DDB10" s="414"/>
      <c r="DDC10" s="414"/>
      <c r="DDD10" s="414"/>
      <c r="DDE10" s="414"/>
      <c r="DDF10" s="414"/>
      <c r="DDG10" s="414"/>
      <c r="DDH10" s="414"/>
      <c r="DDI10" s="414"/>
      <c r="DDJ10" s="414"/>
      <c r="DDK10" s="414"/>
      <c r="DDL10" s="414"/>
      <c r="DDM10" s="414"/>
      <c r="DDN10" s="414"/>
      <c r="DDO10" s="414"/>
      <c r="DDP10" s="414"/>
      <c r="DDQ10" s="414"/>
      <c r="DDR10" s="414"/>
      <c r="DDS10" s="414"/>
      <c r="DDT10" s="414"/>
      <c r="DDU10" s="414"/>
      <c r="DDV10" s="414"/>
      <c r="DDW10" s="414"/>
      <c r="DDX10" s="414"/>
      <c r="DDY10" s="414"/>
      <c r="DDZ10" s="414"/>
      <c r="DEA10" s="414"/>
      <c r="DEB10" s="414"/>
      <c r="DEC10" s="414"/>
      <c r="DED10" s="414"/>
      <c r="DEE10" s="414"/>
      <c r="DEF10" s="414"/>
      <c r="DEG10" s="414"/>
      <c r="DEH10" s="414"/>
      <c r="DEI10" s="414"/>
      <c r="DEJ10" s="414"/>
      <c r="DEK10" s="414"/>
      <c r="DEL10" s="414"/>
      <c r="DEM10" s="414"/>
      <c r="DEN10" s="414"/>
      <c r="DEO10" s="414"/>
      <c r="DEP10" s="414"/>
      <c r="DEQ10" s="414"/>
      <c r="DER10" s="414"/>
      <c r="DES10" s="414"/>
      <c r="DET10" s="414"/>
      <c r="DEU10" s="414"/>
      <c r="DEV10" s="414"/>
      <c r="DEW10" s="414"/>
      <c r="DEX10" s="414"/>
      <c r="DEY10" s="414"/>
      <c r="DEZ10" s="414"/>
      <c r="DFA10" s="414"/>
      <c r="DFB10" s="414"/>
      <c r="DFC10" s="414"/>
      <c r="DFD10" s="414"/>
      <c r="DFE10" s="414"/>
      <c r="DFF10" s="414"/>
      <c r="DFG10" s="414"/>
      <c r="DFH10" s="414"/>
      <c r="DFI10" s="414"/>
      <c r="DFJ10" s="414"/>
      <c r="DFK10" s="414"/>
      <c r="DFL10" s="414"/>
      <c r="DFM10" s="414"/>
      <c r="DFN10" s="414"/>
      <c r="DFO10" s="414"/>
      <c r="DFP10" s="414"/>
      <c r="DFQ10" s="414"/>
      <c r="DFR10" s="414"/>
      <c r="DFS10" s="414"/>
      <c r="DFT10" s="414"/>
      <c r="DFU10" s="414"/>
      <c r="DFV10" s="414"/>
      <c r="DFW10" s="414"/>
      <c r="DFX10" s="414"/>
      <c r="DFY10" s="414"/>
      <c r="DFZ10" s="414"/>
      <c r="DGA10" s="414"/>
      <c r="DGB10" s="414"/>
      <c r="DGC10" s="414"/>
      <c r="DGD10" s="414"/>
      <c r="DGE10" s="414"/>
      <c r="DGF10" s="414"/>
      <c r="DGG10" s="414"/>
      <c r="DGH10" s="414"/>
      <c r="DGI10" s="414"/>
      <c r="DGJ10" s="414"/>
      <c r="DGK10" s="414"/>
      <c r="DGL10" s="414"/>
      <c r="DGM10" s="414"/>
      <c r="DGN10" s="414"/>
      <c r="DGO10" s="414"/>
      <c r="DGP10" s="414"/>
      <c r="DGQ10" s="414"/>
      <c r="DGR10" s="414"/>
      <c r="DGS10" s="414"/>
      <c r="DGT10" s="414"/>
      <c r="DGU10" s="414"/>
      <c r="DGV10" s="414"/>
      <c r="DGW10" s="414"/>
      <c r="DGX10" s="414"/>
      <c r="DGY10" s="414"/>
      <c r="DGZ10" s="414"/>
      <c r="DHA10" s="414"/>
      <c r="DHB10" s="414"/>
      <c r="DHC10" s="414"/>
      <c r="DHD10" s="414"/>
      <c r="DHE10" s="414"/>
      <c r="DHF10" s="414"/>
      <c r="DHG10" s="414"/>
      <c r="DHH10" s="414"/>
      <c r="DHI10" s="414"/>
      <c r="DHJ10" s="414"/>
      <c r="DHK10" s="414"/>
      <c r="DHL10" s="414"/>
      <c r="DHM10" s="414"/>
      <c r="DHN10" s="414"/>
      <c r="DHO10" s="414"/>
      <c r="DHP10" s="414"/>
      <c r="DHQ10" s="414"/>
      <c r="DHR10" s="414"/>
      <c r="DHS10" s="414"/>
      <c r="DHT10" s="414"/>
      <c r="DHU10" s="414"/>
      <c r="DHV10" s="414"/>
      <c r="DHW10" s="414"/>
      <c r="DHX10" s="414"/>
      <c r="DHY10" s="414"/>
      <c r="DHZ10" s="414"/>
      <c r="DIA10" s="414"/>
      <c r="DIB10" s="414"/>
      <c r="DIC10" s="414"/>
      <c r="DID10" s="414"/>
      <c r="DIE10" s="414"/>
      <c r="DIF10" s="414"/>
      <c r="DIG10" s="414"/>
      <c r="DIH10" s="414"/>
      <c r="DII10" s="414"/>
      <c r="DIJ10" s="414"/>
      <c r="DIK10" s="414"/>
      <c r="DIL10" s="414"/>
      <c r="DIM10" s="414"/>
      <c r="DIN10" s="414"/>
      <c r="DIO10" s="414"/>
      <c r="DIP10" s="414"/>
      <c r="DIQ10" s="414"/>
      <c r="DIR10" s="414"/>
      <c r="DIS10" s="414"/>
      <c r="DIT10" s="414"/>
      <c r="DIU10" s="414"/>
      <c r="DIV10" s="414"/>
      <c r="DIW10" s="414"/>
      <c r="DIX10" s="414"/>
      <c r="DIY10" s="414"/>
      <c r="DIZ10" s="414"/>
      <c r="DJA10" s="414"/>
      <c r="DJB10" s="414"/>
      <c r="DJC10" s="414"/>
      <c r="DJD10" s="414"/>
      <c r="DJE10" s="414"/>
      <c r="DJF10" s="414"/>
      <c r="DJG10" s="414"/>
      <c r="DJH10" s="414"/>
      <c r="DJI10" s="414"/>
      <c r="DJJ10" s="414"/>
      <c r="DJK10" s="414"/>
      <c r="DJL10" s="414"/>
      <c r="DJM10" s="414"/>
      <c r="DJN10" s="414"/>
      <c r="DJO10" s="414"/>
      <c r="DJP10" s="414"/>
      <c r="DJQ10" s="414"/>
      <c r="DJR10" s="414"/>
      <c r="DJS10" s="414"/>
      <c r="DJT10" s="414"/>
      <c r="DJU10" s="414"/>
      <c r="DJV10" s="414"/>
      <c r="DJW10" s="414"/>
      <c r="DJX10" s="414"/>
      <c r="DJY10" s="414"/>
      <c r="DJZ10" s="414"/>
      <c r="DKA10" s="414"/>
      <c r="DKB10" s="414"/>
      <c r="DKC10" s="414"/>
      <c r="DKD10" s="414"/>
      <c r="DKE10" s="414"/>
      <c r="DKF10" s="414"/>
      <c r="DKG10" s="414"/>
      <c r="DKH10" s="414"/>
      <c r="DKI10" s="414"/>
      <c r="DKJ10" s="414"/>
      <c r="DKK10" s="414"/>
      <c r="DKL10" s="414"/>
      <c r="DKM10" s="414"/>
      <c r="DKN10" s="414"/>
      <c r="DKO10" s="414"/>
      <c r="DKP10" s="414"/>
      <c r="DKQ10" s="414"/>
      <c r="DKR10" s="414"/>
      <c r="DKS10" s="414"/>
      <c r="DKT10" s="414"/>
      <c r="DKU10" s="414"/>
      <c r="DKV10" s="414"/>
      <c r="DKW10" s="414"/>
      <c r="DKX10" s="414"/>
      <c r="DKY10" s="414"/>
      <c r="DKZ10" s="414"/>
      <c r="DLA10" s="414"/>
      <c r="DLB10" s="414"/>
      <c r="DLC10" s="414"/>
      <c r="DLD10" s="414"/>
      <c r="DLE10" s="414"/>
      <c r="DLF10" s="414"/>
      <c r="DLG10" s="414"/>
      <c r="DLH10" s="414"/>
      <c r="DLI10" s="414"/>
      <c r="DLJ10" s="414"/>
      <c r="DLK10" s="414"/>
      <c r="DLL10" s="414"/>
      <c r="DLM10" s="414"/>
      <c r="DLN10" s="414"/>
      <c r="DLO10" s="414"/>
      <c r="DLP10" s="414"/>
      <c r="DLQ10" s="414"/>
      <c r="DLR10" s="414"/>
      <c r="DLS10" s="414"/>
      <c r="DLT10" s="414"/>
      <c r="DLU10" s="414"/>
      <c r="DLV10" s="414"/>
      <c r="DLW10" s="414"/>
      <c r="DLX10" s="414"/>
      <c r="DLY10" s="414"/>
      <c r="DLZ10" s="414"/>
      <c r="DMA10" s="414"/>
      <c r="DMB10" s="414"/>
      <c r="DMC10" s="414"/>
      <c r="DMD10" s="414"/>
      <c r="DME10" s="414"/>
      <c r="DMF10" s="414"/>
      <c r="DMG10" s="414"/>
      <c r="DMH10" s="414"/>
      <c r="DMI10" s="414"/>
      <c r="DMJ10" s="414"/>
      <c r="DMK10" s="414"/>
      <c r="DML10" s="414"/>
      <c r="DMM10" s="414"/>
      <c r="DMN10" s="414"/>
      <c r="DMO10" s="414"/>
      <c r="DMP10" s="414"/>
      <c r="DMQ10" s="414"/>
      <c r="DMR10" s="414"/>
      <c r="DMS10" s="414"/>
      <c r="DMT10" s="414"/>
      <c r="DMU10" s="414"/>
      <c r="DMV10" s="414"/>
      <c r="DMW10" s="414"/>
      <c r="DMX10" s="414"/>
      <c r="DMY10" s="414"/>
      <c r="DMZ10" s="414"/>
      <c r="DNA10" s="414"/>
      <c r="DNB10" s="414"/>
      <c r="DNC10" s="414"/>
      <c r="DND10" s="414"/>
      <c r="DNE10" s="414"/>
      <c r="DNF10" s="414"/>
      <c r="DNG10" s="414"/>
      <c r="DNH10" s="414"/>
      <c r="DNI10" s="414"/>
      <c r="DNJ10" s="414"/>
      <c r="DNK10" s="414"/>
      <c r="DNL10" s="414"/>
      <c r="DNM10" s="414"/>
      <c r="DNN10" s="414"/>
      <c r="DNO10" s="414"/>
      <c r="DNP10" s="414"/>
      <c r="DNQ10" s="414"/>
      <c r="DNR10" s="414"/>
      <c r="DNS10" s="414"/>
      <c r="DNT10" s="414"/>
      <c r="DNU10" s="414"/>
      <c r="DNV10" s="414"/>
      <c r="DNW10" s="414"/>
      <c r="DNX10" s="414"/>
      <c r="DNY10" s="414"/>
      <c r="DNZ10" s="414"/>
      <c r="DOA10" s="414"/>
      <c r="DOB10" s="414"/>
      <c r="DOC10" s="414"/>
      <c r="DOD10" s="414"/>
      <c r="DOE10" s="414"/>
      <c r="DOF10" s="414"/>
      <c r="DOG10" s="414"/>
      <c r="DOH10" s="414"/>
      <c r="DOI10" s="414"/>
      <c r="DOJ10" s="414"/>
      <c r="DOK10" s="414"/>
      <c r="DOL10" s="414"/>
      <c r="DOM10" s="414"/>
      <c r="DON10" s="414"/>
      <c r="DOO10" s="414"/>
      <c r="DOP10" s="414"/>
      <c r="DOQ10" s="414"/>
      <c r="DOR10" s="414"/>
      <c r="DOS10" s="414"/>
      <c r="DOT10" s="414"/>
      <c r="DOU10" s="414"/>
      <c r="DOV10" s="414"/>
      <c r="DOW10" s="414"/>
      <c r="DOX10" s="414"/>
      <c r="DOY10" s="414"/>
      <c r="DOZ10" s="414"/>
      <c r="DPA10" s="414"/>
      <c r="DPB10" s="414"/>
      <c r="DPC10" s="414"/>
      <c r="DPD10" s="414"/>
      <c r="DPE10" s="414"/>
      <c r="DPF10" s="414"/>
      <c r="DPG10" s="414"/>
      <c r="DPH10" s="414"/>
      <c r="DPI10" s="414"/>
      <c r="DPJ10" s="414"/>
      <c r="DPK10" s="414"/>
      <c r="DPL10" s="414"/>
      <c r="DPM10" s="414"/>
      <c r="DPN10" s="414"/>
      <c r="DPO10" s="414"/>
      <c r="DPP10" s="414"/>
      <c r="DPQ10" s="414"/>
      <c r="DPR10" s="414"/>
      <c r="DPS10" s="414"/>
      <c r="DPT10" s="414"/>
      <c r="DPU10" s="414"/>
      <c r="DPV10" s="414"/>
      <c r="DPW10" s="414"/>
      <c r="DPX10" s="414"/>
      <c r="DPY10" s="414"/>
      <c r="DPZ10" s="414"/>
      <c r="DQA10" s="414"/>
      <c r="DQB10" s="414"/>
      <c r="DQC10" s="414"/>
      <c r="DQD10" s="414"/>
      <c r="DQE10" s="414"/>
      <c r="DQF10" s="414"/>
      <c r="DQG10" s="414"/>
      <c r="DQH10" s="414"/>
      <c r="DQI10" s="414"/>
      <c r="DQJ10" s="414"/>
      <c r="DQK10" s="414"/>
      <c r="DQL10" s="414"/>
      <c r="DQM10" s="414"/>
      <c r="DQN10" s="414"/>
      <c r="DQO10" s="414"/>
      <c r="DQP10" s="414"/>
      <c r="DQQ10" s="414"/>
      <c r="DQR10" s="414"/>
      <c r="DQS10" s="414"/>
      <c r="DQT10" s="414"/>
      <c r="DQU10" s="414"/>
      <c r="DQV10" s="414"/>
      <c r="DQW10" s="414"/>
      <c r="DQX10" s="414"/>
      <c r="DQY10" s="414"/>
      <c r="DQZ10" s="414"/>
      <c r="DRA10" s="414"/>
      <c r="DRB10" s="414"/>
      <c r="DRC10" s="414"/>
      <c r="DRD10" s="414"/>
      <c r="DRE10" s="414"/>
      <c r="DRF10" s="414"/>
      <c r="DRG10" s="414"/>
      <c r="DRH10" s="414"/>
      <c r="DRI10" s="414"/>
      <c r="DRJ10" s="414"/>
      <c r="DRK10" s="414"/>
      <c r="DRL10" s="414"/>
      <c r="DRM10" s="414"/>
      <c r="DRN10" s="414"/>
      <c r="DRO10" s="414"/>
      <c r="DRP10" s="414"/>
      <c r="DRQ10" s="414"/>
      <c r="DRR10" s="414"/>
      <c r="DRS10" s="414"/>
      <c r="DRT10" s="414"/>
      <c r="DRU10" s="414"/>
      <c r="DRV10" s="414"/>
      <c r="DRW10" s="414"/>
      <c r="DRX10" s="414"/>
      <c r="DRY10" s="414"/>
      <c r="DRZ10" s="414"/>
      <c r="DSA10" s="414"/>
      <c r="DSB10" s="414"/>
      <c r="DSC10" s="414"/>
      <c r="DSD10" s="414"/>
      <c r="DSE10" s="414"/>
      <c r="DSF10" s="414"/>
      <c r="DSG10" s="414"/>
      <c r="DSH10" s="414"/>
      <c r="DSI10" s="414"/>
      <c r="DSJ10" s="414"/>
      <c r="DSK10" s="414"/>
      <c r="DSL10" s="414"/>
      <c r="DSM10" s="414"/>
      <c r="DSN10" s="414"/>
      <c r="DSO10" s="414"/>
      <c r="DSP10" s="414"/>
      <c r="DSQ10" s="414"/>
      <c r="DSR10" s="414"/>
      <c r="DSS10" s="414"/>
      <c r="DST10" s="414"/>
      <c r="DSU10" s="414"/>
      <c r="DSV10" s="414"/>
      <c r="DSW10" s="414"/>
      <c r="DSX10" s="414"/>
      <c r="DSY10" s="414"/>
      <c r="DSZ10" s="414"/>
      <c r="DTA10" s="414"/>
      <c r="DTB10" s="414"/>
      <c r="DTC10" s="414"/>
      <c r="DTD10" s="414"/>
      <c r="DTE10" s="414"/>
      <c r="DTF10" s="414"/>
      <c r="DTG10" s="414"/>
      <c r="DTH10" s="414"/>
      <c r="DTI10" s="414"/>
      <c r="DTJ10" s="414"/>
      <c r="DTK10" s="414"/>
      <c r="DTL10" s="414"/>
      <c r="DTM10" s="414"/>
      <c r="DTN10" s="414"/>
      <c r="DTO10" s="414"/>
      <c r="DTP10" s="414"/>
      <c r="DTQ10" s="414"/>
      <c r="DTR10" s="414"/>
      <c r="DTS10" s="414"/>
      <c r="DTT10" s="414"/>
      <c r="DTU10" s="414"/>
      <c r="DTV10" s="414"/>
      <c r="DTW10" s="414"/>
      <c r="DTX10" s="414"/>
      <c r="DTY10" s="414"/>
      <c r="DTZ10" s="414"/>
      <c r="DUA10" s="414"/>
      <c r="DUB10" s="414"/>
      <c r="DUC10" s="414"/>
      <c r="DUD10" s="414"/>
      <c r="DUE10" s="414"/>
      <c r="DUF10" s="414"/>
      <c r="DUG10" s="414"/>
      <c r="DUH10" s="414"/>
      <c r="DUI10" s="414"/>
      <c r="DUJ10" s="414"/>
      <c r="DUK10" s="414"/>
      <c r="DUL10" s="414"/>
      <c r="DUM10" s="414"/>
      <c r="DUN10" s="414"/>
      <c r="DUO10" s="414"/>
      <c r="DUP10" s="414"/>
      <c r="DUQ10" s="414"/>
      <c r="DUR10" s="414"/>
      <c r="DUS10" s="414"/>
      <c r="DUT10" s="414"/>
      <c r="DUU10" s="414"/>
      <c r="DUV10" s="414"/>
      <c r="DUW10" s="414"/>
      <c r="DUX10" s="414"/>
      <c r="DUY10" s="414"/>
      <c r="DUZ10" s="414"/>
      <c r="DVA10" s="414"/>
      <c r="DVB10" s="414"/>
      <c r="DVC10" s="414"/>
      <c r="DVD10" s="414"/>
      <c r="DVE10" s="414"/>
      <c r="DVF10" s="414"/>
      <c r="DVG10" s="414"/>
      <c r="DVH10" s="414"/>
      <c r="DVI10" s="414"/>
      <c r="DVJ10" s="414"/>
      <c r="DVK10" s="414"/>
      <c r="DVL10" s="414"/>
      <c r="DVM10" s="414"/>
      <c r="DVN10" s="414"/>
      <c r="DVO10" s="414"/>
      <c r="DVP10" s="414"/>
      <c r="DVQ10" s="414"/>
      <c r="DVR10" s="414"/>
      <c r="DVS10" s="414"/>
      <c r="DVT10" s="414"/>
      <c r="DVU10" s="414"/>
      <c r="DVV10" s="414"/>
      <c r="DVW10" s="414"/>
      <c r="DVX10" s="414"/>
      <c r="DVY10" s="414"/>
      <c r="DVZ10" s="414"/>
      <c r="DWA10" s="414"/>
      <c r="DWB10" s="414"/>
      <c r="DWC10" s="414"/>
      <c r="DWD10" s="414"/>
      <c r="DWE10" s="414"/>
      <c r="DWF10" s="414"/>
      <c r="DWG10" s="414"/>
      <c r="DWH10" s="414"/>
      <c r="DWI10" s="414"/>
      <c r="DWJ10" s="414"/>
      <c r="DWK10" s="414"/>
      <c r="DWL10" s="414"/>
      <c r="DWM10" s="414"/>
      <c r="DWN10" s="414"/>
      <c r="DWO10" s="414"/>
      <c r="DWP10" s="414"/>
      <c r="DWQ10" s="414"/>
      <c r="DWR10" s="414"/>
      <c r="DWS10" s="414"/>
      <c r="DWT10" s="414"/>
      <c r="DWU10" s="414"/>
      <c r="DWV10" s="414"/>
      <c r="DWW10" s="414"/>
      <c r="DWX10" s="414"/>
      <c r="DWY10" s="414"/>
      <c r="DWZ10" s="414"/>
      <c r="DXA10" s="414"/>
      <c r="DXB10" s="414"/>
      <c r="DXC10" s="414"/>
      <c r="DXD10" s="414"/>
      <c r="DXE10" s="414"/>
      <c r="DXF10" s="414"/>
      <c r="DXG10" s="414"/>
      <c r="DXH10" s="414"/>
      <c r="DXI10" s="414"/>
      <c r="DXJ10" s="414"/>
      <c r="DXK10" s="414"/>
      <c r="DXL10" s="414"/>
      <c r="DXM10" s="414"/>
      <c r="DXN10" s="414"/>
      <c r="DXO10" s="414"/>
      <c r="DXP10" s="414"/>
      <c r="DXQ10" s="414"/>
      <c r="DXR10" s="414"/>
      <c r="DXS10" s="414"/>
      <c r="DXT10" s="414"/>
      <c r="DXU10" s="414"/>
      <c r="DXV10" s="414"/>
      <c r="DXW10" s="414"/>
      <c r="DXX10" s="414"/>
      <c r="DXY10" s="414"/>
      <c r="DXZ10" s="414"/>
      <c r="DYA10" s="414"/>
      <c r="DYB10" s="414"/>
      <c r="DYC10" s="414"/>
      <c r="DYD10" s="414"/>
      <c r="DYE10" s="414"/>
      <c r="DYF10" s="414"/>
      <c r="DYG10" s="414"/>
      <c r="DYH10" s="414"/>
      <c r="DYI10" s="414"/>
      <c r="DYJ10" s="414"/>
      <c r="DYK10" s="414"/>
      <c r="DYL10" s="414"/>
      <c r="DYM10" s="414"/>
      <c r="DYN10" s="414"/>
      <c r="DYO10" s="414"/>
      <c r="DYP10" s="414"/>
      <c r="DYQ10" s="414"/>
      <c r="DYR10" s="414"/>
      <c r="DYS10" s="414"/>
      <c r="DYT10" s="414"/>
      <c r="DYU10" s="414"/>
      <c r="DYV10" s="414"/>
      <c r="DYW10" s="414"/>
      <c r="DYX10" s="414"/>
      <c r="DYY10" s="414"/>
      <c r="DYZ10" s="414"/>
      <c r="DZA10" s="414"/>
      <c r="DZB10" s="414"/>
      <c r="DZC10" s="414"/>
      <c r="DZD10" s="414"/>
      <c r="DZE10" s="414"/>
      <c r="DZF10" s="414"/>
      <c r="DZG10" s="414"/>
      <c r="DZH10" s="414"/>
      <c r="DZI10" s="414"/>
      <c r="DZJ10" s="414"/>
      <c r="DZK10" s="414"/>
      <c r="DZL10" s="414"/>
      <c r="DZM10" s="414"/>
      <c r="DZN10" s="414"/>
      <c r="DZO10" s="414"/>
      <c r="DZP10" s="414"/>
      <c r="DZQ10" s="414"/>
      <c r="DZR10" s="414"/>
      <c r="DZS10" s="414"/>
      <c r="DZT10" s="414"/>
      <c r="DZU10" s="414"/>
      <c r="DZV10" s="414"/>
      <c r="DZW10" s="414"/>
      <c r="DZX10" s="414"/>
      <c r="DZY10" s="414"/>
      <c r="DZZ10" s="414"/>
      <c r="EAA10" s="414"/>
      <c r="EAB10" s="414"/>
      <c r="EAC10" s="414"/>
      <c r="EAD10" s="414"/>
      <c r="EAE10" s="414"/>
      <c r="EAF10" s="414"/>
      <c r="EAG10" s="414"/>
      <c r="EAH10" s="414"/>
      <c r="EAI10" s="414"/>
      <c r="EAJ10" s="414"/>
      <c r="EAK10" s="414"/>
      <c r="EAL10" s="414"/>
      <c r="EAM10" s="414"/>
      <c r="EAN10" s="414"/>
      <c r="EAO10" s="414"/>
      <c r="EAP10" s="414"/>
      <c r="EAQ10" s="414"/>
      <c r="EAR10" s="414"/>
      <c r="EAS10" s="414"/>
      <c r="EAT10" s="414"/>
      <c r="EAU10" s="414"/>
      <c r="EAV10" s="414"/>
      <c r="EAW10" s="414"/>
      <c r="EAX10" s="414"/>
      <c r="EAY10" s="414"/>
      <c r="EAZ10" s="414"/>
      <c r="EBA10" s="414"/>
      <c r="EBB10" s="414"/>
      <c r="EBC10" s="414"/>
      <c r="EBD10" s="414"/>
      <c r="EBE10" s="414"/>
      <c r="EBF10" s="414"/>
      <c r="EBG10" s="414"/>
      <c r="EBH10" s="414"/>
      <c r="EBI10" s="414"/>
      <c r="EBJ10" s="414"/>
      <c r="EBK10" s="414"/>
      <c r="EBL10" s="414"/>
      <c r="EBM10" s="414"/>
      <c r="EBN10" s="414"/>
      <c r="EBO10" s="414"/>
      <c r="EBP10" s="414"/>
      <c r="EBQ10" s="414"/>
      <c r="EBR10" s="414"/>
      <c r="EBS10" s="414"/>
      <c r="EBT10" s="414"/>
      <c r="EBU10" s="414"/>
      <c r="EBV10" s="414"/>
      <c r="EBW10" s="414"/>
      <c r="EBX10" s="414"/>
      <c r="EBY10" s="414"/>
      <c r="EBZ10" s="414"/>
      <c r="ECA10" s="414"/>
      <c r="ECB10" s="414"/>
      <c r="ECC10" s="414"/>
      <c r="ECD10" s="414"/>
      <c r="ECE10" s="414"/>
      <c r="ECF10" s="414"/>
      <c r="ECG10" s="414"/>
      <c r="ECH10" s="414"/>
      <c r="ECI10" s="414"/>
      <c r="ECJ10" s="414"/>
      <c r="ECK10" s="414"/>
      <c r="ECL10" s="414"/>
      <c r="ECM10" s="414"/>
      <c r="ECN10" s="414"/>
      <c r="ECO10" s="414"/>
      <c r="ECP10" s="414"/>
      <c r="ECQ10" s="414"/>
      <c r="ECR10" s="414"/>
      <c r="ECS10" s="414"/>
      <c r="ECT10" s="414"/>
      <c r="ECU10" s="414"/>
      <c r="ECV10" s="414"/>
      <c r="ECW10" s="414"/>
      <c r="ECX10" s="414"/>
      <c r="ECY10" s="414"/>
      <c r="ECZ10" s="414"/>
      <c r="EDA10" s="414"/>
      <c r="EDB10" s="414"/>
      <c r="EDC10" s="414"/>
      <c r="EDD10" s="414"/>
      <c r="EDE10" s="414"/>
      <c r="EDF10" s="414"/>
      <c r="EDG10" s="414"/>
      <c r="EDH10" s="414"/>
      <c r="EDI10" s="414"/>
      <c r="EDJ10" s="414"/>
      <c r="EDK10" s="414"/>
      <c r="EDL10" s="414"/>
      <c r="EDM10" s="414"/>
      <c r="EDN10" s="414"/>
      <c r="EDO10" s="414"/>
      <c r="EDP10" s="414"/>
      <c r="EDQ10" s="414"/>
      <c r="EDR10" s="414"/>
      <c r="EDS10" s="414"/>
      <c r="EDT10" s="414"/>
      <c r="EDU10" s="414"/>
      <c r="EDV10" s="414"/>
      <c r="EDW10" s="414"/>
      <c r="EDX10" s="414"/>
      <c r="EDY10" s="414"/>
      <c r="EDZ10" s="414"/>
      <c r="EEA10" s="414"/>
      <c r="EEB10" s="414"/>
      <c r="EEC10" s="414"/>
      <c r="EED10" s="414"/>
      <c r="EEE10" s="414"/>
      <c r="EEF10" s="414"/>
      <c r="EEG10" s="414"/>
      <c r="EEH10" s="414"/>
      <c r="EEI10" s="414"/>
      <c r="EEJ10" s="414"/>
      <c r="EEK10" s="414"/>
      <c r="EEL10" s="414"/>
      <c r="EEM10" s="414"/>
      <c r="EEN10" s="414"/>
      <c r="EEO10" s="414"/>
      <c r="EEP10" s="414"/>
      <c r="EEQ10" s="414"/>
      <c r="EER10" s="414"/>
      <c r="EES10" s="414"/>
      <c r="EET10" s="414"/>
      <c r="EEU10" s="414"/>
      <c r="EEV10" s="414"/>
      <c r="EEW10" s="414"/>
      <c r="EEX10" s="414"/>
      <c r="EEY10" s="414"/>
      <c r="EEZ10" s="414"/>
      <c r="EFA10" s="414"/>
      <c r="EFB10" s="414"/>
      <c r="EFC10" s="414"/>
      <c r="EFD10" s="414"/>
      <c r="EFE10" s="414"/>
      <c r="EFF10" s="414"/>
      <c r="EFG10" s="414"/>
      <c r="EFH10" s="414"/>
      <c r="EFI10" s="414"/>
      <c r="EFJ10" s="414"/>
      <c r="EFK10" s="414"/>
      <c r="EFL10" s="414"/>
      <c r="EFM10" s="414"/>
      <c r="EFN10" s="414"/>
      <c r="EFO10" s="414"/>
      <c r="EFP10" s="414"/>
      <c r="EFQ10" s="414"/>
      <c r="EFR10" s="414"/>
      <c r="EFS10" s="414"/>
      <c r="EFT10" s="414"/>
      <c r="EFU10" s="414"/>
      <c r="EFV10" s="414"/>
      <c r="EFW10" s="414"/>
      <c r="EFX10" s="414"/>
      <c r="EFY10" s="414"/>
      <c r="EFZ10" s="414"/>
      <c r="EGA10" s="414"/>
      <c r="EGB10" s="414"/>
      <c r="EGC10" s="414"/>
      <c r="EGD10" s="414"/>
      <c r="EGE10" s="414"/>
      <c r="EGF10" s="414"/>
      <c r="EGG10" s="414"/>
      <c r="EGH10" s="414"/>
      <c r="EGI10" s="414"/>
      <c r="EGJ10" s="414"/>
      <c r="EGK10" s="414"/>
      <c r="EGL10" s="414"/>
      <c r="EGM10" s="414"/>
      <c r="EGN10" s="414"/>
      <c r="EGO10" s="414"/>
      <c r="EGP10" s="414"/>
      <c r="EGQ10" s="414"/>
      <c r="EGR10" s="414"/>
      <c r="EGS10" s="414"/>
      <c r="EGT10" s="414"/>
      <c r="EGU10" s="414"/>
      <c r="EGV10" s="414"/>
      <c r="EGW10" s="414"/>
      <c r="EGX10" s="414"/>
      <c r="EGY10" s="414"/>
      <c r="EGZ10" s="414"/>
      <c r="EHA10" s="414"/>
      <c r="EHB10" s="414"/>
      <c r="EHC10" s="414"/>
      <c r="EHD10" s="414"/>
      <c r="EHE10" s="414"/>
      <c r="EHF10" s="414"/>
      <c r="EHG10" s="414"/>
      <c r="EHH10" s="414"/>
      <c r="EHI10" s="414"/>
      <c r="EHJ10" s="414"/>
      <c r="EHK10" s="414"/>
      <c r="EHL10" s="414"/>
      <c r="EHM10" s="414"/>
      <c r="EHN10" s="414"/>
      <c r="EHO10" s="414"/>
      <c r="EHP10" s="414"/>
      <c r="EHQ10" s="414"/>
      <c r="EHR10" s="414"/>
      <c r="EHS10" s="414"/>
      <c r="EHT10" s="414"/>
      <c r="EHU10" s="414"/>
      <c r="EHV10" s="414"/>
      <c r="EHW10" s="414"/>
      <c r="EHX10" s="414"/>
      <c r="EHY10" s="414"/>
      <c r="EHZ10" s="414"/>
      <c r="EIA10" s="414"/>
      <c r="EIB10" s="414"/>
      <c r="EIC10" s="414"/>
      <c r="EID10" s="414"/>
      <c r="EIE10" s="414"/>
      <c r="EIF10" s="414"/>
      <c r="EIG10" s="414"/>
      <c r="EIH10" s="414"/>
      <c r="EII10" s="414"/>
      <c r="EIJ10" s="414"/>
      <c r="EIK10" s="414"/>
      <c r="EIL10" s="414"/>
      <c r="EIM10" s="414"/>
      <c r="EIN10" s="414"/>
      <c r="EIO10" s="414"/>
      <c r="EIP10" s="414"/>
      <c r="EIQ10" s="414"/>
      <c r="EIR10" s="414"/>
      <c r="EIS10" s="414"/>
      <c r="EIT10" s="414"/>
      <c r="EIU10" s="414"/>
      <c r="EIV10" s="414"/>
      <c r="EIW10" s="414"/>
      <c r="EIX10" s="414"/>
      <c r="EIY10" s="414"/>
      <c r="EIZ10" s="414"/>
      <c r="EJA10" s="414"/>
      <c r="EJB10" s="414"/>
      <c r="EJC10" s="414"/>
      <c r="EJD10" s="414"/>
      <c r="EJE10" s="414"/>
      <c r="EJF10" s="414"/>
      <c r="EJG10" s="414"/>
      <c r="EJH10" s="414"/>
      <c r="EJI10" s="414"/>
      <c r="EJJ10" s="414"/>
      <c r="EJK10" s="414"/>
      <c r="EJL10" s="414"/>
      <c r="EJM10" s="414"/>
      <c r="EJN10" s="414"/>
      <c r="EJO10" s="414"/>
      <c r="EJP10" s="414"/>
      <c r="EJQ10" s="414"/>
      <c r="EJR10" s="414"/>
      <c r="EJS10" s="414"/>
      <c r="EJT10" s="414"/>
      <c r="EJU10" s="414"/>
      <c r="EJV10" s="414"/>
      <c r="EJW10" s="414"/>
      <c r="EJX10" s="414"/>
      <c r="EJY10" s="414"/>
      <c r="EJZ10" s="414"/>
      <c r="EKA10" s="414"/>
      <c r="EKB10" s="414"/>
      <c r="EKC10" s="414"/>
      <c r="EKD10" s="414"/>
      <c r="EKE10" s="414"/>
      <c r="EKF10" s="414"/>
      <c r="EKG10" s="414"/>
      <c r="EKH10" s="414"/>
      <c r="EKI10" s="414"/>
      <c r="EKJ10" s="414"/>
      <c r="EKK10" s="414"/>
      <c r="EKL10" s="414"/>
      <c r="EKM10" s="414"/>
      <c r="EKN10" s="414"/>
      <c r="EKO10" s="414"/>
      <c r="EKP10" s="414"/>
      <c r="EKQ10" s="414"/>
      <c r="EKR10" s="414"/>
      <c r="EKS10" s="414"/>
      <c r="EKT10" s="414"/>
      <c r="EKU10" s="414"/>
      <c r="EKV10" s="414"/>
      <c r="EKW10" s="414"/>
      <c r="EKX10" s="414"/>
      <c r="EKY10" s="414"/>
      <c r="EKZ10" s="414"/>
      <c r="ELA10" s="414"/>
      <c r="ELB10" s="414"/>
      <c r="ELC10" s="414"/>
      <c r="ELD10" s="414"/>
      <c r="ELE10" s="414"/>
      <c r="ELF10" s="414"/>
      <c r="ELG10" s="414"/>
      <c r="ELH10" s="414"/>
      <c r="ELI10" s="414"/>
      <c r="ELJ10" s="414"/>
      <c r="ELK10" s="414"/>
      <c r="ELL10" s="414"/>
      <c r="ELM10" s="414"/>
      <c r="ELN10" s="414"/>
      <c r="ELO10" s="414"/>
      <c r="ELP10" s="414"/>
      <c r="ELQ10" s="414"/>
      <c r="ELR10" s="414"/>
      <c r="ELS10" s="414"/>
      <c r="ELT10" s="414"/>
      <c r="ELU10" s="414"/>
      <c r="ELV10" s="414"/>
      <c r="ELW10" s="414"/>
      <c r="ELX10" s="414"/>
      <c r="ELY10" s="414"/>
      <c r="ELZ10" s="414"/>
      <c r="EMA10" s="414"/>
      <c r="EMB10" s="414"/>
      <c r="EMC10" s="414"/>
      <c r="EMD10" s="414"/>
      <c r="EME10" s="414"/>
      <c r="EMF10" s="414"/>
      <c r="EMG10" s="414"/>
      <c r="EMH10" s="414"/>
      <c r="EMI10" s="414"/>
      <c r="EMJ10" s="414"/>
      <c r="EMK10" s="414"/>
      <c r="EML10" s="414"/>
      <c r="EMM10" s="414"/>
      <c r="EMN10" s="414"/>
      <c r="EMO10" s="414"/>
      <c r="EMP10" s="414"/>
      <c r="EMQ10" s="414"/>
      <c r="EMR10" s="414"/>
      <c r="EMS10" s="414"/>
      <c r="EMT10" s="414"/>
      <c r="EMU10" s="414"/>
      <c r="EMV10" s="414"/>
      <c r="EMW10" s="414"/>
      <c r="EMX10" s="414"/>
      <c r="EMY10" s="414"/>
      <c r="EMZ10" s="414"/>
      <c r="ENA10" s="414"/>
      <c r="ENB10" s="414"/>
      <c r="ENC10" s="414"/>
      <c r="END10" s="414"/>
      <c r="ENE10" s="414"/>
      <c r="ENF10" s="414"/>
      <c r="ENG10" s="414"/>
      <c r="ENH10" s="414"/>
      <c r="ENI10" s="414"/>
      <c r="ENJ10" s="414"/>
      <c r="ENK10" s="414"/>
      <c r="ENL10" s="414"/>
      <c r="ENM10" s="414"/>
      <c r="ENN10" s="414"/>
      <c r="ENO10" s="414"/>
      <c r="ENP10" s="414"/>
      <c r="ENQ10" s="414"/>
      <c r="ENR10" s="414"/>
      <c r="ENS10" s="414"/>
      <c r="ENT10" s="414"/>
      <c r="ENU10" s="414"/>
      <c r="ENV10" s="414"/>
      <c r="ENW10" s="414"/>
      <c r="ENX10" s="414"/>
      <c r="ENY10" s="414"/>
      <c r="ENZ10" s="414"/>
      <c r="EOA10" s="414"/>
      <c r="EOB10" s="414"/>
      <c r="EOC10" s="414"/>
      <c r="EOD10" s="414"/>
      <c r="EOE10" s="414"/>
      <c r="EOF10" s="414"/>
      <c r="EOG10" s="414"/>
      <c r="EOH10" s="414"/>
      <c r="EOI10" s="414"/>
      <c r="EOJ10" s="414"/>
      <c r="EOK10" s="414"/>
      <c r="EOL10" s="414"/>
      <c r="EOM10" s="414"/>
      <c r="EON10" s="414"/>
      <c r="EOO10" s="414"/>
      <c r="EOP10" s="414"/>
      <c r="EOQ10" s="414"/>
      <c r="EOR10" s="414"/>
      <c r="EOS10" s="414"/>
      <c r="EOT10" s="414"/>
      <c r="EOU10" s="414"/>
      <c r="EOV10" s="414"/>
      <c r="EOW10" s="414"/>
      <c r="EOX10" s="414"/>
      <c r="EOY10" s="414"/>
      <c r="EOZ10" s="414"/>
      <c r="EPA10" s="414"/>
      <c r="EPB10" s="414"/>
      <c r="EPC10" s="414"/>
      <c r="EPD10" s="414"/>
      <c r="EPE10" s="414"/>
      <c r="EPF10" s="414"/>
      <c r="EPG10" s="414"/>
      <c r="EPH10" s="414"/>
      <c r="EPI10" s="414"/>
      <c r="EPJ10" s="414"/>
      <c r="EPK10" s="414"/>
      <c r="EPL10" s="414"/>
      <c r="EPM10" s="414"/>
      <c r="EPN10" s="414"/>
      <c r="EPO10" s="414"/>
      <c r="EPP10" s="414"/>
      <c r="EPQ10" s="414"/>
      <c r="EPR10" s="414"/>
      <c r="EPS10" s="414"/>
      <c r="EPT10" s="414"/>
      <c r="EPU10" s="414"/>
      <c r="EPV10" s="414"/>
      <c r="EPW10" s="414"/>
      <c r="EPX10" s="414"/>
      <c r="EPY10" s="414"/>
      <c r="EPZ10" s="414"/>
      <c r="EQA10" s="414"/>
      <c r="EQB10" s="414"/>
      <c r="EQC10" s="414"/>
      <c r="EQD10" s="414"/>
      <c r="EQE10" s="414"/>
      <c r="EQF10" s="414"/>
      <c r="EQG10" s="414"/>
      <c r="EQH10" s="414"/>
      <c r="EQI10" s="414"/>
      <c r="EQJ10" s="414"/>
      <c r="EQK10" s="414"/>
      <c r="EQL10" s="414"/>
      <c r="EQM10" s="414"/>
      <c r="EQN10" s="414"/>
      <c r="EQO10" s="414"/>
      <c r="EQP10" s="414"/>
      <c r="EQQ10" s="414"/>
      <c r="EQR10" s="414"/>
      <c r="EQS10" s="414"/>
      <c r="EQT10" s="414"/>
      <c r="EQU10" s="414"/>
      <c r="EQV10" s="414"/>
      <c r="EQW10" s="414"/>
      <c r="EQX10" s="414"/>
      <c r="EQY10" s="414"/>
      <c r="EQZ10" s="414"/>
      <c r="ERA10" s="414"/>
      <c r="ERB10" s="414"/>
      <c r="ERC10" s="414"/>
      <c r="ERD10" s="414"/>
      <c r="ERE10" s="414"/>
      <c r="ERF10" s="414"/>
      <c r="ERG10" s="414"/>
      <c r="ERH10" s="414"/>
      <c r="ERI10" s="414"/>
      <c r="ERJ10" s="414"/>
      <c r="ERK10" s="414"/>
      <c r="ERL10" s="414"/>
      <c r="ERM10" s="414"/>
      <c r="ERN10" s="414"/>
      <c r="ERO10" s="414"/>
      <c r="ERP10" s="414"/>
      <c r="ERQ10" s="414"/>
      <c r="ERR10" s="414"/>
      <c r="ERS10" s="414"/>
      <c r="ERT10" s="414"/>
      <c r="ERU10" s="414"/>
      <c r="ERV10" s="414"/>
      <c r="ERW10" s="414"/>
      <c r="ERX10" s="414"/>
      <c r="ERY10" s="414"/>
      <c r="ERZ10" s="414"/>
      <c r="ESA10" s="414"/>
      <c r="ESB10" s="414"/>
      <c r="ESC10" s="414"/>
      <c r="ESD10" s="414"/>
      <c r="ESE10" s="414"/>
      <c r="ESF10" s="414"/>
      <c r="ESG10" s="414"/>
      <c r="ESH10" s="414"/>
      <c r="ESI10" s="414"/>
      <c r="ESJ10" s="414"/>
      <c r="ESK10" s="414"/>
      <c r="ESL10" s="414"/>
      <c r="ESM10" s="414"/>
      <c r="ESN10" s="414"/>
      <c r="ESO10" s="414"/>
      <c r="ESP10" s="414"/>
      <c r="ESQ10" s="414"/>
      <c r="ESR10" s="414"/>
      <c r="ESS10" s="414"/>
      <c r="EST10" s="414"/>
      <c r="ESU10" s="414"/>
      <c r="ESV10" s="414"/>
      <c r="ESW10" s="414"/>
      <c r="ESX10" s="414"/>
      <c r="ESY10" s="414"/>
      <c r="ESZ10" s="414"/>
      <c r="ETA10" s="414"/>
      <c r="ETB10" s="414"/>
      <c r="ETC10" s="414"/>
      <c r="ETD10" s="414"/>
      <c r="ETE10" s="414"/>
      <c r="ETF10" s="414"/>
      <c r="ETG10" s="414"/>
      <c r="ETH10" s="414"/>
      <c r="ETI10" s="414"/>
      <c r="ETJ10" s="414"/>
      <c r="ETK10" s="414"/>
      <c r="ETL10" s="414"/>
      <c r="ETM10" s="414"/>
      <c r="ETN10" s="414"/>
      <c r="ETO10" s="414"/>
      <c r="ETP10" s="414"/>
      <c r="ETQ10" s="414"/>
      <c r="ETR10" s="414"/>
      <c r="ETS10" s="414"/>
      <c r="ETT10" s="414"/>
      <c r="ETU10" s="414"/>
      <c r="ETV10" s="414"/>
      <c r="ETW10" s="414"/>
      <c r="ETX10" s="414"/>
      <c r="ETY10" s="414"/>
      <c r="ETZ10" s="414"/>
      <c r="EUA10" s="414"/>
      <c r="EUB10" s="414"/>
      <c r="EUC10" s="414"/>
      <c r="EUD10" s="414"/>
      <c r="EUE10" s="414"/>
      <c r="EUF10" s="414"/>
      <c r="EUG10" s="414"/>
      <c r="EUH10" s="414"/>
      <c r="EUI10" s="414"/>
      <c r="EUJ10" s="414"/>
      <c r="EUK10" s="414"/>
      <c r="EUL10" s="414"/>
      <c r="EUM10" s="414"/>
      <c r="EUN10" s="414"/>
      <c r="EUO10" s="414"/>
      <c r="EUP10" s="414"/>
      <c r="EUQ10" s="414"/>
      <c r="EUR10" s="414"/>
      <c r="EUS10" s="414"/>
      <c r="EUT10" s="414"/>
      <c r="EUU10" s="414"/>
      <c r="EUV10" s="414"/>
      <c r="EUW10" s="414"/>
      <c r="EUX10" s="414"/>
      <c r="EUY10" s="414"/>
      <c r="EUZ10" s="414"/>
      <c r="EVA10" s="414"/>
      <c r="EVB10" s="414"/>
      <c r="EVC10" s="414"/>
      <c r="EVD10" s="414"/>
      <c r="EVE10" s="414"/>
      <c r="EVF10" s="414"/>
      <c r="EVG10" s="414"/>
      <c r="EVH10" s="414"/>
      <c r="EVI10" s="414"/>
      <c r="EVJ10" s="414"/>
      <c r="EVK10" s="414"/>
      <c r="EVL10" s="414"/>
      <c r="EVM10" s="414"/>
      <c r="EVN10" s="414"/>
      <c r="EVO10" s="414"/>
      <c r="EVP10" s="414"/>
      <c r="EVQ10" s="414"/>
      <c r="EVR10" s="414"/>
      <c r="EVS10" s="414"/>
      <c r="EVT10" s="414"/>
      <c r="EVU10" s="414"/>
      <c r="EVV10" s="414"/>
      <c r="EVW10" s="414"/>
      <c r="EVX10" s="414"/>
      <c r="EVY10" s="414"/>
      <c r="EVZ10" s="414"/>
      <c r="EWA10" s="414"/>
      <c r="EWB10" s="414"/>
      <c r="EWC10" s="414"/>
      <c r="EWD10" s="414"/>
      <c r="EWE10" s="414"/>
      <c r="EWF10" s="414"/>
      <c r="EWG10" s="414"/>
      <c r="EWH10" s="414"/>
      <c r="EWI10" s="414"/>
      <c r="EWJ10" s="414"/>
      <c r="EWK10" s="414"/>
      <c r="EWL10" s="414"/>
      <c r="EWM10" s="414"/>
      <c r="EWN10" s="414"/>
      <c r="EWO10" s="414"/>
      <c r="EWP10" s="414"/>
      <c r="EWQ10" s="414"/>
      <c r="EWR10" s="414"/>
      <c r="EWS10" s="414"/>
      <c r="EWT10" s="414"/>
      <c r="EWU10" s="414"/>
      <c r="EWV10" s="414"/>
      <c r="EWW10" s="414"/>
      <c r="EWX10" s="414"/>
      <c r="EWY10" s="414"/>
      <c r="EWZ10" s="414"/>
      <c r="EXA10" s="414"/>
      <c r="EXB10" s="414"/>
      <c r="EXC10" s="414"/>
      <c r="EXD10" s="414"/>
      <c r="EXE10" s="414"/>
      <c r="EXF10" s="414"/>
      <c r="EXG10" s="414"/>
      <c r="EXH10" s="414"/>
      <c r="EXI10" s="414"/>
      <c r="EXJ10" s="414"/>
      <c r="EXK10" s="414"/>
      <c r="EXL10" s="414"/>
      <c r="EXM10" s="414"/>
      <c r="EXN10" s="414"/>
      <c r="EXO10" s="414"/>
      <c r="EXP10" s="414"/>
      <c r="EXQ10" s="414"/>
      <c r="EXR10" s="414"/>
      <c r="EXS10" s="414"/>
      <c r="EXT10" s="414"/>
      <c r="EXU10" s="414"/>
      <c r="EXV10" s="414"/>
      <c r="EXW10" s="414"/>
      <c r="EXX10" s="414"/>
      <c r="EXY10" s="414"/>
      <c r="EXZ10" s="414"/>
      <c r="EYA10" s="414"/>
      <c r="EYB10" s="414"/>
      <c r="EYC10" s="414"/>
      <c r="EYD10" s="414"/>
      <c r="EYE10" s="414"/>
      <c r="EYF10" s="414"/>
      <c r="EYG10" s="414"/>
      <c r="EYH10" s="414"/>
      <c r="EYI10" s="414"/>
      <c r="EYJ10" s="414"/>
      <c r="EYK10" s="414"/>
      <c r="EYL10" s="414"/>
      <c r="EYM10" s="414"/>
      <c r="EYN10" s="414"/>
      <c r="EYO10" s="414"/>
      <c r="EYP10" s="414"/>
      <c r="EYQ10" s="414"/>
      <c r="EYR10" s="414"/>
      <c r="EYS10" s="414"/>
      <c r="EYT10" s="414"/>
      <c r="EYU10" s="414"/>
      <c r="EYV10" s="414"/>
      <c r="EYW10" s="414"/>
      <c r="EYX10" s="414"/>
      <c r="EYY10" s="414"/>
      <c r="EYZ10" s="414"/>
      <c r="EZA10" s="414"/>
      <c r="EZB10" s="414"/>
      <c r="EZC10" s="414"/>
      <c r="EZD10" s="414"/>
      <c r="EZE10" s="414"/>
      <c r="EZF10" s="414"/>
      <c r="EZG10" s="414"/>
      <c r="EZH10" s="414"/>
      <c r="EZI10" s="414"/>
      <c r="EZJ10" s="414"/>
      <c r="EZK10" s="414"/>
      <c r="EZL10" s="414"/>
      <c r="EZM10" s="414"/>
      <c r="EZN10" s="414"/>
      <c r="EZO10" s="414"/>
      <c r="EZP10" s="414"/>
      <c r="EZQ10" s="414"/>
      <c r="EZR10" s="414"/>
      <c r="EZS10" s="414"/>
      <c r="EZT10" s="414"/>
      <c r="EZU10" s="414"/>
      <c r="EZV10" s="414"/>
      <c r="EZW10" s="414"/>
      <c r="EZX10" s="414"/>
      <c r="EZY10" s="414"/>
      <c r="EZZ10" s="414"/>
      <c r="FAA10" s="414"/>
      <c r="FAB10" s="414"/>
      <c r="FAC10" s="414"/>
      <c r="FAD10" s="414"/>
      <c r="FAE10" s="414"/>
      <c r="FAF10" s="414"/>
      <c r="FAG10" s="414"/>
      <c r="FAH10" s="414"/>
      <c r="FAI10" s="414"/>
      <c r="FAJ10" s="414"/>
      <c r="FAK10" s="414"/>
      <c r="FAL10" s="414"/>
      <c r="FAM10" s="414"/>
      <c r="FAN10" s="414"/>
      <c r="FAO10" s="414"/>
      <c r="FAP10" s="414"/>
      <c r="FAQ10" s="414"/>
      <c r="FAR10" s="414"/>
      <c r="FAS10" s="414"/>
      <c r="FAT10" s="414"/>
      <c r="FAU10" s="414"/>
      <c r="FAV10" s="414"/>
      <c r="FAW10" s="414"/>
      <c r="FAX10" s="414"/>
      <c r="FAY10" s="414"/>
      <c r="FAZ10" s="414"/>
      <c r="FBA10" s="414"/>
      <c r="FBB10" s="414"/>
      <c r="FBC10" s="414"/>
      <c r="FBD10" s="414"/>
      <c r="FBE10" s="414"/>
      <c r="FBF10" s="414"/>
      <c r="FBG10" s="414"/>
      <c r="FBH10" s="414"/>
      <c r="FBI10" s="414"/>
      <c r="FBJ10" s="414"/>
      <c r="FBK10" s="414"/>
      <c r="FBL10" s="414"/>
      <c r="FBM10" s="414"/>
      <c r="FBN10" s="414"/>
      <c r="FBO10" s="414"/>
      <c r="FBP10" s="414"/>
      <c r="FBQ10" s="414"/>
      <c r="FBR10" s="414"/>
      <c r="FBS10" s="414"/>
      <c r="FBT10" s="414"/>
      <c r="FBU10" s="414"/>
      <c r="FBV10" s="414"/>
      <c r="FBW10" s="414"/>
      <c r="FBX10" s="414"/>
      <c r="FBY10" s="414"/>
      <c r="FBZ10" s="414"/>
      <c r="FCA10" s="414"/>
      <c r="FCB10" s="414"/>
      <c r="FCC10" s="414"/>
      <c r="FCD10" s="414"/>
      <c r="FCE10" s="414"/>
      <c r="FCF10" s="414"/>
      <c r="FCG10" s="414"/>
      <c r="FCH10" s="414"/>
      <c r="FCI10" s="414"/>
      <c r="FCJ10" s="414"/>
      <c r="FCK10" s="414"/>
      <c r="FCL10" s="414"/>
      <c r="FCM10" s="414"/>
      <c r="FCN10" s="414"/>
      <c r="FCO10" s="414"/>
      <c r="FCP10" s="414"/>
      <c r="FCQ10" s="414"/>
      <c r="FCR10" s="414"/>
      <c r="FCS10" s="414"/>
      <c r="FCT10" s="414"/>
      <c r="FCU10" s="414"/>
      <c r="FCV10" s="414"/>
      <c r="FCW10" s="414"/>
      <c r="FCX10" s="414"/>
      <c r="FCY10" s="414"/>
      <c r="FCZ10" s="414"/>
      <c r="FDA10" s="414"/>
      <c r="FDB10" s="414"/>
      <c r="FDC10" s="414"/>
      <c r="FDD10" s="414"/>
      <c r="FDE10" s="414"/>
      <c r="FDF10" s="414"/>
      <c r="FDG10" s="414"/>
      <c r="FDH10" s="414"/>
      <c r="FDI10" s="414"/>
      <c r="FDJ10" s="414"/>
      <c r="FDK10" s="414"/>
      <c r="FDL10" s="414"/>
      <c r="FDM10" s="414"/>
      <c r="FDN10" s="414"/>
      <c r="FDO10" s="414"/>
      <c r="FDP10" s="414"/>
      <c r="FDQ10" s="414"/>
      <c r="FDR10" s="414"/>
      <c r="FDS10" s="414"/>
      <c r="FDT10" s="414"/>
      <c r="FDU10" s="414"/>
      <c r="FDV10" s="414"/>
      <c r="FDW10" s="414"/>
      <c r="FDX10" s="414"/>
      <c r="FDY10" s="414"/>
      <c r="FDZ10" s="414"/>
      <c r="FEA10" s="414"/>
      <c r="FEB10" s="414"/>
      <c r="FEC10" s="414"/>
      <c r="FED10" s="414"/>
      <c r="FEE10" s="414"/>
      <c r="FEF10" s="414"/>
      <c r="FEG10" s="414"/>
      <c r="FEH10" s="414"/>
      <c r="FEI10" s="414"/>
      <c r="FEJ10" s="414"/>
      <c r="FEK10" s="414"/>
      <c r="FEL10" s="414"/>
      <c r="FEM10" s="414"/>
      <c r="FEN10" s="414"/>
      <c r="FEO10" s="414"/>
      <c r="FEP10" s="414"/>
      <c r="FEQ10" s="414"/>
      <c r="FER10" s="414"/>
      <c r="FES10" s="414"/>
      <c r="FET10" s="414"/>
      <c r="FEU10" s="414"/>
      <c r="FEV10" s="414"/>
      <c r="FEW10" s="414"/>
      <c r="FEX10" s="414"/>
      <c r="FEY10" s="414"/>
      <c r="FEZ10" s="414"/>
      <c r="FFA10" s="414"/>
      <c r="FFB10" s="414"/>
      <c r="FFC10" s="414"/>
      <c r="FFD10" s="414"/>
      <c r="FFE10" s="414"/>
      <c r="FFF10" s="414"/>
      <c r="FFG10" s="414"/>
      <c r="FFH10" s="414"/>
      <c r="FFI10" s="414"/>
      <c r="FFJ10" s="414"/>
      <c r="FFK10" s="414"/>
      <c r="FFL10" s="414"/>
      <c r="FFM10" s="414"/>
      <c r="FFN10" s="414"/>
      <c r="FFO10" s="414"/>
      <c r="FFP10" s="414"/>
      <c r="FFQ10" s="414"/>
      <c r="FFR10" s="414"/>
      <c r="FFS10" s="414"/>
      <c r="FFT10" s="414"/>
      <c r="FFU10" s="414"/>
      <c r="FFV10" s="414"/>
      <c r="FFW10" s="414"/>
      <c r="FFX10" s="414"/>
      <c r="FFY10" s="414"/>
      <c r="FFZ10" s="414"/>
      <c r="FGA10" s="414"/>
      <c r="FGB10" s="414"/>
      <c r="FGC10" s="414"/>
      <c r="FGD10" s="414"/>
      <c r="FGE10" s="414"/>
      <c r="FGF10" s="414"/>
      <c r="FGG10" s="414"/>
      <c r="FGH10" s="414"/>
      <c r="FGI10" s="414"/>
      <c r="FGJ10" s="414"/>
      <c r="FGK10" s="414"/>
      <c r="FGL10" s="414"/>
      <c r="FGM10" s="414"/>
      <c r="FGN10" s="414"/>
      <c r="FGO10" s="414"/>
      <c r="FGP10" s="414"/>
      <c r="FGQ10" s="414"/>
      <c r="FGR10" s="414"/>
      <c r="FGS10" s="414"/>
      <c r="FGT10" s="414"/>
      <c r="FGU10" s="414"/>
      <c r="FGV10" s="414"/>
      <c r="FGW10" s="414"/>
      <c r="FGX10" s="414"/>
      <c r="FGY10" s="414"/>
      <c r="FGZ10" s="414"/>
      <c r="FHA10" s="414"/>
      <c r="FHB10" s="414"/>
      <c r="FHC10" s="414"/>
      <c r="FHD10" s="414"/>
      <c r="FHE10" s="414"/>
      <c r="FHF10" s="414"/>
      <c r="FHG10" s="414"/>
      <c r="FHH10" s="414"/>
      <c r="FHI10" s="414"/>
      <c r="FHJ10" s="414"/>
      <c r="FHK10" s="414"/>
      <c r="FHL10" s="414"/>
      <c r="FHM10" s="414"/>
      <c r="FHN10" s="414"/>
      <c r="FHO10" s="414"/>
      <c r="FHP10" s="414"/>
      <c r="FHQ10" s="414"/>
      <c r="FHR10" s="414"/>
      <c r="FHS10" s="414"/>
      <c r="FHT10" s="414"/>
      <c r="FHU10" s="414"/>
      <c r="FHV10" s="414"/>
      <c r="FHW10" s="414"/>
      <c r="FHX10" s="414"/>
      <c r="FHY10" s="414"/>
      <c r="FHZ10" s="414"/>
      <c r="FIA10" s="414"/>
      <c r="FIB10" s="414"/>
      <c r="FIC10" s="414"/>
      <c r="FID10" s="414"/>
      <c r="FIE10" s="414"/>
      <c r="FIF10" s="414"/>
      <c r="FIG10" s="414"/>
      <c r="FIH10" s="414"/>
      <c r="FII10" s="414"/>
      <c r="FIJ10" s="414"/>
      <c r="FIK10" s="414"/>
      <c r="FIL10" s="414"/>
      <c r="FIM10" s="414"/>
      <c r="FIN10" s="414"/>
      <c r="FIO10" s="414"/>
      <c r="FIP10" s="414"/>
      <c r="FIQ10" s="414"/>
      <c r="FIR10" s="414"/>
      <c r="FIS10" s="414"/>
      <c r="FIT10" s="414"/>
      <c r="FIU10" s="414"/>
      <c r="FIV10" s="414"/>
      <c r="FIW10" s="414"/>
      <c r="FIX10" s="414"/>
      <c r="FIY10" s="414"/>
      <c r="FIZ10" s="414"/>
      <c r="FJA10" s="414"/>
      <c r="FJB10" s="414"/>
      <c r="FJC10" s="414"/>
      <c r="FJD10" s="414"/>
      <c r="FJE10" s="414"/>
      <c r="FJF10" s="414"/>
      <c r="FJG10" s="414"/>
      <c r="FJH10" s="414"/>
      <c r="FJI10" s="414"/>
      <c r="FJJ10" s="414"/>
      <c r="FJK10" s="414"/>
      <c r="FJL10" s="414"/>
      <c r="FJM10" s="414"/>
      <c r="FJN10" s="414"/>
      <c r="FJO10" s="414"/>
      <c r="FJP10" s="414"/>
      <c r="FJQ10" s="414"/>
      <c r="FJR10" s="414"/>
      <c r="FJS10" s="414"/>
      <c r="FJT10" s="414"/>
      <c r="FJU10" s="414"/>
      <c r="FJV10" s="414"/>
      <c r="FJW10" s="414"/>
      <c r="FJX10" s="414"/>
      <c r="FJY10" s="414"/>
      <c r="FJZ10" s="414"/>
      <c r="FKA10" s="414"/>
      <c r="FKB10" s="414"/>
      <c r="FKC10" s="414"/>
      <c r="FKD10" s="414"/>
      <c r="FKE10" s="414"/>
      <c r="FKF10" s="414"/>
      <c r="FKG10" s="414"/>
      <c r="FKH10" s="414"/>
      <c r="FKI10" s="414"/>
      <c r="FKJ10" s="414"/>
      <c r="FKK10" s="414"/>
      <c r="FKL10" s="414"/>
      <c r="FKM10" s="414"/>
      <c r="FKN10" s="414"/>
      <c r="FKO10" s="414"/>
      <c r="FKP10" s="414"/>
      <c r="FKQ10" s="414"/>
      <c r="FKR10" s="414"/>
      <c r="FKS10" s="414"/>
      <c r="FKT10" s="414"/>
      <c r="FKU10" s="414"/>
      <c r="FKV10" s="414"/>
      <c r="FKW10" s="414"/>
      <c r="FKX10" s="414"/>
      <c r="FKY10" s="414"/>
      <c r="FKZ10" s="414"/>
      <c r="FLA10" s="414"/>
      <c r="FLB10" s="414"/>
      <c r="FLC10" s="414"/>
      <c r="FLD10" s="414"/>
      <c r="FLE10" s="414"/>
      <c r="FLF10" s="414"/>
      <c r="FLG10" s="414"/>
      <c r="FLH10" s="414"/>
      <c r="FLI10" s="414"/>
      <c r="FLJ10" s="414"/>
      <c r="FLK10" s="414"/>
      <c r="FLL10" s="414"/>
      <c r="FLM10" s="414"/>
      <c r="FLN10" s="414"/>
      <c r="FLO10" s="414"/>
      <c r="FLP10" s="414"/>
      <c r="FLQ10" s="414"/>
      <c r="FLR10" s="414"/>
      <c r="FLS10" s="414"/>
      <c r="FLT10" s="414"/>
      <c r="FLU10" s="414"/>
      <c r="FLV10" s="414"/>
      <c r="FLW10" s="414"/>
      <c r="FLX10" s="414"/>
      <c r="FLY10" s="414"/>
      <c r="FLZ10" s="414"/>
      <c r="FMA10" s="414"/>
      <c r="FMB10" s="414"/>
      <c r="FMC10" s="414"/>
      <c r="FMD10" s="414"/>
      <c r="FME10" s="414"/>
      <c r="FMF10" s="414"/>
      <c r="FMG10" s="414"/>
      <c r="FMH10" s="414"/>
      <c r="FMI10" s="414"/>
      <c r="FMJ10" s="414"/>
      <c r="FMK10" s="414"/>
      <c r="FML10" s="414"/>
      <c r="FMM10" s="414"/>
      <c r="FMN10" s="414"/>
      <c r="FMO10" s="414"/>
      <c r="FMP10" s="414"/>
      <c r="FMQ10" s="414"/>
      <c r="FMR10" s="414"/>
      <c r="FMS10" s="414"/>
      <c r="FMT10" s="414"/>
      <c r="FMU10" s="414"/>
      <c r="FMV10" s="414"/>
      <c r="FMW10" s="414"/>
      <c r="FMX10" s="414"/>
      <c r="FMY10" s="414"/>
      <c r="FMZ10" s="414"/>
      <c r="FNA10" s="414"/>
      <c r="FNB10" s="414"/>
      <c r="FNC10" s="414"/>
      <c r="FND10" s="414"/>
      <c r="FNE10" s="414"/>
      <c r="FNF10" s="414"/>
      <c r="FNG10" s="414"/>
      <c r="FNH10" s="414"/>
      <c r="FNI10" s="414"/>
      <c r="FNJ10" s="414"/>
      <c r="FNK10" s="414"/>
      <c r="FNL10" s="414"/>
      <c r="FNM10" s="414"/>
      <c r="FNN10" s="414"/>
      <c r="FNO10" s="414"/>
      <c r="FNP10" s="414"/>
      <c r="FNQ10" s="414"/>
      <c r="FNR10" s="414"/>
      <c r="FNS10" s="414"/>
      <c r="FNT10" s="414"/>
      <c r="FNU10" s="414"/>
      <c r="FNV10" s="414"/>
      <c r="FNW10" s="414"/>
      <c r="FNX10" s="414"/>
      <c r="FNY10" s="414"/>
      <c r="FNZ10" s="414"/>
      <c r="FOA10" s="414"/>
      <c r="FOB10" s="414"/>
      <c r="FOC10" s="414"/>
      <c r="FOD10" s="414"/>
      <c r="FOE10" s="414"/>
      <c r="FOF10" s="414"/>
      <c r="FOG10" s="414"/>
      <c r="FOH10" s="414"/>
      <c r="FOI10" s="414"/>
      <c r="FOJ10" s="414"/>
      <c r="FOK10" s="414"/>
      <c r="FOL10" s="414"/>
      <c r="FOM10" s="414"/>
      <c r="FON10" s="414"/>
      <c r="FOO10" s="414"/>
      <c r="FOP10" s="414"/>
      <c r="FOQ10" s="414"/>
      <c r="FOR10" s="414"/>
      <c r="FOS10" s="414"/>
      <c r="FOT10" s="414"/>
      <c r="FOU10" s="414"/>
      <c r="FOV10" s="414"/>
      <c r="FOW10" s="414"/>
      <c r="FOX10" s="414"/>
      <c r="FOY10" s="414"/>
      <c r="FOZ10" s="414"/>
      <c r="FPA10" s="414"/>
      <c r="FPB10" s="414"/>
      <c r="FPC10" s="414"/>
      <c r="FPD10" s="414"/>
      <c r="FPE10" s="414"/>
      <c r="FPF10" s="414"/>
      <c r="FPG10" s="414"/>
      <c r="FPH10" s="414"/>
      <c r="FPI10" s="414"/>
      <c r="FPJ10" s="414"/>
      <c r="FPK10" s="414"/>
      <c r="FPL10" s="414"/>
      <c r="FPM10" s="414"/>
      <c r="FPN10" s="414"/>
      <c r="FPO10" s="414"/>
      <c r="FPP10" s="414"/>
      <c r="FPQ10" s="414"/>
      <c r="FPR10" s="414"/>
      <c r="FPS10" s="414"/>
      <c r="FPT10" s="414"/>
      <c r="FPU10" s="414"/>
      <c r="FPV10" s="414"/>
      <c r="FPW10" s="414"/>
      <c r="FPX10" s="414"/>
      <c r="FPY10" s="414"/>
      <c r="FPZ10" s="414"/>
      <c r="FQA10" s="414"/>
      <c r="FQB10" s="414"/>
      <c r="FQC10" s="414"/>
      <c r="FQD10" s="414"/>
      <c r="FQE10" s="414"/>
      <c r="FQF10" s="414"/>
      <c r="FQG10" s="414"/>
      <c r="FQH10" s="414"/>
      <c r="FQI10" s="414"/>
      <c r="FQJ10" s="414"/>
      <c r="FQK10" s="414"/>
      <c r="FQL10" s="414"/>
      <c r="FQM10" s="414"/>
      <c r="FQN10" s="414"/>
      <c r="FQO10" s="414"/>
      <c r="FQP10" s="414"/>
      <c r="FQQ10" s="414"/>
      <c r="FQR10" s="414"/>
      <c r="FQS10" s="414"/>
      <c r="FQT10" s="414"/>
      <c r="FQU10" s="414"/>
      <c r="FQV10" s="414"/>
      <c r="FQW10" s="414"/>
      <c r="FQX10" s="414"/>
      <c r="FQY10" s="414"/>
      <c r="FQZ10" s="414"/>
      <c r="FRA10" s="414"/>
      <c r="FRB10" s="414"/>
      <c r="FRC10" s="414"/>
      <c r="FRD10" s="414"/>
      <c r="FRE10" s="414"/>
      <c r="FRF10" s="414"/>
      <c r="FRG10" s="414"/>
      <c r="FRH10" s="414"/>
      <c r="FRI10" s="414"/>
      <c r="FRJ10" s="414"/>
      <c r="FRK10" s="414"/>
      <c r="FRL10" s="414"/>
      <c r="FRM10" s="414"/>
      <c r="FRN10" s="414"/>
      <c r="FRO10" s="414"/>
      <c r="FRP10" s="414"/>
      <c r="FRQ10" s="414"/>
      <c r="FRR10" s="414"/>
      <c r="FRS10" s="414"/>
      <c r="FRT10" s="414"/>
      <c r="FRU10" s="414"/>
      <c r="FRV10" s="414"/>
      <c r="FRW10" s="414"/>
      <c r="FRX10" s="414"/>
      <c r="FRY10" s="414"/>
      <c r="FRZ10" s="414"/>
      <c r="FSA10" s="414"/>
      <c r="FSB10" s="414"/>
      <c r="FSC10" s="414"/>
      <c r="FSD10" s="414"/>
      <c r="FSE10" s="414"/>
      <c r="FSF10" s="414"/>
      <c r="FSG10" s="414"/>
      <c r="FSH10" s="414"/>
      <c r="FSI10" s="414"/>
      <c r="FSJ10" s="414"/>
      <c r="FSK10" s="414"/>
      <c r="FSL10" s="414"/>
      <c r="FSM10" s="414"/>
      <c r="FSN10" s="414"/>
      <c r="FSO10" s="414"/>
      <c r="FSP10" s="414"/>
      <c r="FSQ10" s="414"/>
      <c r="FSR10" s="414"/>
      <c r="FSS10" s="414"/>
      <c r="FST10" s="414"/>
      <c r="FSU10" s="414"/>
      <c r="FSV10" s="414"/>
      <c r="FSW10" s="414"/>
      <c r="FSX10" s="414"/>
      <c r="FSY10" s="414"/>
      <c r="FSZ10" s="414"/>
      <c r="FTA10" s="414"/>
      <c r="FTB10" s="414"/>
      <c r="FTC10" s="414"/>
      <c r="FTD10" s="414"/>
      <c r="FTE10" s="414"/>
      <c r="FTF10" s="414"/>
      <c r="FTG10" s="414"/>
      <c r="FTH10" s="414"/>
      <c r="FTI10" s="414"/>
      <c r="FTJ10" s="414"/>
      <c r="FTK10" s="414"/>
      <c r="FTL10" s="414"/>
      <c r="FTM10" s="414"/>
      <c r="FTN10" s="414"/>
      <c r="FTO10" s="414"/>
      <c r="FTP10" s="414"/>
      <c r="FTQ10" s="414"/>
      <c r="FTR10" s="414"/>
      <c r="FTS10" s="414"/>
      <c r="FTT10" s="414"/>
      <c r="FTU10" s="414"/>
      <c r="FTV10" s="414"/>
      <c r="FTW10" s="414"/>
      <c r="FTX10" s="414"/>
      <c r="FTY10" s="414"/>
      <c r="FTZ10" s="414"/>
      <c r="FUA10" s="414"/>
      <c r="FUB10" s="414"/>
      <c r="FUC10" s="414"/>
      <c r="FUD10" s="414"/>
      <c r="FUE10" s="414"/>
      <c r="FUF10" s="414"/>
      <c r="FUG10" s="414"/>
      <c r="FUH10" s="414"/>
      <c r="FUI10" s="414"/>
      <c r="FUJ10" s="414"/>
      <c r="FUK10" s="414"/>
      <c r="FUL10" s="414"/>
      <c r="FUM10" s="414"/>
      <c r="FUN10" s="414"/>
      <c r="FUO10" s="414"/>
      <c r="FUP10" s="414"/>
      <c r="FUQ10" s="414"/>
      <c r="FUR10" s="414"/>
      <c r="FUS10" s="414"/>
      <c r="FUT10" s="414"/>
      <c r="FUU10" s="414"/>
      <c r="FUV10" s="414"/>
      <c r="FUW10" s="414"/>
      <c r="FUX10" s="414"/>
      <c r="FUY10" s="414"/>
      <c r="FUZ10" s="414"/>
      <c r="FVA10" s="414"/>
      <c r="FVB10" s="414"/>
      <c r="FVC10" s="414"/>
      <c r="FVD10" s="414"/>
      <c r="FVE10" s="414"/>
      <c r="FVF10" s="414"/>
      <c r="FVG10" s="414"/>
      <c r="FVH10" s="414"/>
      <c r="FVI10" s="414"/>
      <c r="FVJ10" s="414"/>
      <c r="FVK10" s="414"/>
      <c r="FVL10" s="414"/>
      <c r="FVM10" s="414"/>
      <c r="FVN10" s="414"/>
      <c r="FVO10" s="414"/>
      <c r="FVP10" s="414"/>
      <c r="FVQ10" s="414"/>
      <c r="FVR10" s="414"/>
      <c r="FVS10" s="414"/>
      <c r="FVT10" s="414"/>
      <c r="FVU10" s="414"/>
      <c r="FVV10" s="414"/>
      <c r="FVW10" s="414"/>
      <c r="FVX10" s="414"/>
      <c r="FVY10" s="414"/>
      <c r="FVZ10" s="414"/>
      <c r="FWA10" s="414"/>
      <c r="FWB10" s="414"/>
      <c r="FWC10" s="414"/>
      <c r="FWD10" s="414"/>
      <c r="FWE10" s="414"/>
      <c r="FWF10" s="414"/>
      <c r="FWG10" s="414"/>
      <c r="FWH10" s="414"/>
      <c r="FWI10" s="414"/>
      <c r="FWJ10" s="414"/>
      <c r="FWK10" s="414"/>
      <c r="FWL10" s="414"/>
      <c r="FWM10" s="414"/>
      <c r="FWN10" s="414"/>
      <c r="FWO10" s="414"/>
      <c r="FWP10" s="414"/>
      <c r="FWQ10" s="414"/>
      <c r="FWR10" s="414"/>
      <c r="FWS10" s="414"/>
      <c r="FWT10" s="414"/>
      <c r="FWU10" s="414"/>
      <c r="FWV10" s="414"/>
      <c r="FWW10" s="414"/>
      <c r="FWX10" s="414"/>
      <c r="FWY10" s="414"/>
      <c r="FWZ10" s="414"/>
      <c r="FXA10" s="414"/>
      <c r="FXB10" s="414"/>
      <c r="FXC10" s="414"/>
      <c r="FXD10" s="414"/>
      <c r="FXE10" s="414"/>
      <c r="FXF10" s="414"/>
      <c r="FXG10" s="414"/>
      <c r="FXH10" s="414"/>
      <c r="FXI10" s="414"/>
      <c r="FXJ10" s="414"/>
      <c r="FXK10" s="414"/>
      <c r="FXL10" s="414"/>
      <c r="FXM10" s="414"/>
      <c r="FXN10" s="414"/>
      <c r="FXO10" s="414"/>
      <c r="FXP10" s="414"/>
      <c r="FXQ10" s="414"/>
      <c r="FXR10" s="414"/>
      <c r="FXS10" s="414"/>
      <c r="FXT10" s="414"/>
      <c r="FXU10" s="414"/>
      <c r="FXV10" s="414"/>
      <c r="FXW10" s="414"/>
      <c r="FXX10" s="414"/>
      <c r="FXY10" s="414"/>
      <c r="FXZ10" s="414"/>
      <c r="FYA10" s="414"/>
      <c r="FYB10" s="414"/>
      <c r="FYC10" s="414"/>
      <c r="FYD10" s="414"/>
      <c r="FYE10" s="414"/>
      <c r="FYF10" s="414"/>
      <c r="FYG10" s="414"/>
      <c r="FYH10" s="414"/>
      <c r="FYI10" s="414"/>
      <c r="FYJ10" s="414"/>
      <c r="FYK10" s="414"/>
      <c r="FYL10" s="414"/>
      <c r="FYM10" s="414"/>
      <c r="FYN10" s="414"/>
      <c r="FYO10" s="414"/>
      <c r="FYP10" s="414"/>
      <c r="FYQ10" s="414"/>
      <c r="FYR10" s="414"/>
      <c r="FYS10" s="414"/>
      <c r="FYT10" s="414"/>
      <c r="FYU10" s="414"/>
      <c r="FYV10" s="414"/>
      <c r="FYW10" s="414"/>
      <c r="FYX10" s="414"/>
      <c r="FYY10" s="414"/>
      <c r="FYZ10" s="414"/>
      <c r="FZA10" s="414"/>
      <c r="FZB10" s="414"/>
      <c r="FZC10" s="414"/>
      <c r="FZD10" s="414"/>
      <c r="FZE10" s="414"/>
      <c r="FZF10" s="414"/>
      <c r="FZG10" s="414"/>
      <c r="FZH10" s="414"/>
      <c r="FZI10" s="414"/>
      <c r="FZJ10" s="414"/>
      <c r="FZK10" s="414"/>
      <c r="FZL10" s="414"/>
      <c r="FZM10" s="414"/>
      <c r="FZN10" s="414"/>
      <c r="FZO10" s="414"/>
      <c r="FZP10" s="414"/>
      <c r="FZQ10" s="414"/>
      <c r="FZR10" s="414"/>
      <c r="FZS10" s="414"/>
      <c r="FZT10" s="414"/>
      <c r="FZU10" s="414"/>
      <c r="FZV10" s="414"/>
      <c r="FZW10" s="414"/>
      <c r="FZX10" s="414"/>
      <c r="FZY10" s="414"/>
      <c r="FZZ10" s="414"/>
      <c r="GAA10" s="414"/>
      <c r="GAB10" s="414"/>
      <c r="GAC10" s="414"/>
      <c r="GAD10" s="414"/>
      <c r="GAE10" s="414"/>
      <c r="GAF10" s="414"/>
      <c r="GAG10" s="414"/>
      <c r="GAH10" s="414"/>
      <c r="GAI10" s="414"/>
      <c r="GAJ10" s="414"/>
      <c r="GAK10" s="414"/>
      <c r="GAL10" s="414"/>
      <c r="GAM10" s="414"/>
      <c r="GAN10" s="414"/>
      <c r="GAO10" s="414"/>
      <c r="GAP10" s="414"/>
      <c r="GAQ10" s="414"/>
      <c r="GAR10" s="414"/>
      <c r="GAS10" s="414"/>
      <c r="GAT10" s="414"/>
      <c r="GAU10" s="414"/>
      <c r="GAV10" s="414"/>
      <c r="GAW10" s="414"/>
      <c r="GAX10" s="414"/>
      <c r="GAY10" s="414"/>
      <c r="GAZ10" s="414"/>
      <c r="GBA10" s="414"/>
      <c r="GBB10" s="414"/>
      <c r="GBC10" s="414"/>
      <c r="GBD10" s="414"/>
      <c r="GBE10" s="414"/>
      <c r="GBF10" s="414"/>
      <c r="GBG10" s="414"/>
      <c r="GBH10" s="414"/>
      <c r="GBI10" s="414"/>
      <c r="GBJ10" s="414"/>
      <c r="GBK10" s="414"/>
      <c r="GBL10" s="414"/>
      <c r="GBM10" s="414"/>
      <c r="GBN10" s="414"/>
      <c r="GBO10" s="414"/>
      <c r="GBP10" s="414"/>
      <c r="GBQ10" s="414"/>
      <c r="GBR10" s="414"/>
      <c r="GBS10" s="414"/>
      <c r="GBT10" s="414"/>
      <c r="GBU10" s="414"/>
      <c r="GBV10" s="414"/>
      <c r="GBW10" s="414"/>
      <c r="GBX10" s="414"/>
      <c r="GBY10" s="414"/>
      <c r="GBZ10" s="414"/>
      <c r="GCA10" s="414"/>
      <c r="GCB10" s="414"/>
      <c r="GCC10" s="414"/>
      <c r="GCD10" s="414"/>
      <c r="GCE10" s="414"/>
      <c r="GCF10" s="414"/>
      <c r="GCG10" s="414"/>
      <c r="GCH10" s="414"/>
      <c r="GCI10" s="414"/>
      <c r="GCJ10" s="414"/>
      <c r="GCK10" s="414"/>
      <c r="GCL10" s="414"/>
      <c r="GCM10" s="414"/>
      <c r="GCN10" s="414"/>
      <c r="GCO10" s="414"/>
      <c r="GCP10" s="414"/>
      <c r="GCQ10" s="414"/>
      <c r="GCR10" s="414"/>
      <c r="GCS10" s="414"/>
      <c r="GCT10" s="414"/>
      <c r="GCU10" s="414"/>
      <c r="GCV10" s="414"/>
      <c r="GCW10" s="414"/>
      <c r="GCX10" s="414"/>
      <c r="GCY10" s="414"/>
      <c r="GCZ10" s="414"/>
      <c r="GDA10" s="414"/>
      <c r="GDB10" s="414"/>
      <c r="GDC10" s="414"/>
      <c r="GDD10" s="414"/>
      <c r="GDE10" s="414"/>
      <c r="GDF10" s="414"/>
      <c r="GDG10" s="414"/>
      <c r="GDH10" s="414"/>
      <c r="GDI10" s="414"/>
      <c r="GDJ10" s="414"/>
      <c r="GDK10" s="414"/>
      <c r="GDL10" s="414"/>
      <c r="GDM10" s="414"/>
      <c r="GDN10" s="414"/>
      <c r="GDO10" s="414"/>
      <c r="GDP10" s="414"/>
      <c r="GDQ10" s="414"/>
      <c r="GDR10" s="414"/>
      <c r="GDS10" s="414"/>
      <c r="GDT10" s="414"/>
      <c r="GDU10" s="414"/>
      <c r="GDV10" s="414"/>
      <c r="GDW10" s="414"/>
      <c r="GDX10" s="414"/>
      <c r="GDY10" s="414"/>
      <c r="GDZ10" s="414"/>
      <c r="GEA10" s="414"/>
      <c r="GEB10" s="414"/>
      <c r="GEC10" s="414"/>
      <c r="GED10" s="414"/>
      <c r="GEE10" s="414"/>
      <c r="GEF10" s="414"/>
      <c r="GEG10" s="414"/>
      <c r="GEH10" s="414"/>
      <c r="GEI10" s="414"/>
      <c r="GEJ10" s="414"/>
      <c r="GEK10" s="414"/>
      <c r="GEL10" s="414"/>
      <c r="GEM10" s="414"/>
      <c r="GEN10" s="414"/>
      <c r="GEO10" s="414"/>
      <c r="GEP10" s="414"/>
      <c r="GEQ10" s="414"/>
      <c r="GER10" s="414"/>
      <c r="GES10" s="414"/>
      <c r="GET10" s="414"/>
      <c r="GEU10" s="414"/>
      <c r="GEV10" s="414"/>
      <c r="GEW10" s="414"/>
      <c r="GEX10" s="414"/>
      <c r="GEY10" s="414"/>
      <c r="GEZ10" s="414"/>
      <c r="GFA10" s="414"/>
      <c r="GFB10" s="414"/>
      <c r="GFC10" s="414"/>
      <c r="GFD10" s="414"/>
      <c r="GFE10" s="414"/>
      <c r="GFF10" s="414"/>
      <c r="GFG10" s="414"/>
      <c r="GFH10" s="414"/>
      <c r="GFI10" s="414"/>
      <c r="GFJ10" s="414"/>
      <c r="GFK10" s="414"/>
      <c r="GFL10" s="414"/>
      <c r="GFM10" s="414"/>
      <c r="GFN10" s="414"/>
      <c r="GFO10" s="414"/>
      <c r="GFP10" s="414"/>
      <c r="GFQ10" s="414"/>
      <c r="GFR10" s="414"/>
      <c r="GFS10" s="414"/>
      <c r="GFT10" s="414"/>
      <c r="GFU10" s="414"/>
      <c r="GFV10" s="414"/>
      <c r="GFW10" s="414"/>
      <c r="GFX10" s="414"/>
      <c r="GFY10" s="414"/>
      <c r="GFZ10" s="414"/>
      <c r="GGA10" s="414"/>
      <c r="GGB10" s="414"/>
      <c r="GGC10" s="414"/>
      <c r="GGD10" s="414"/>
      <c r="GGE10" s="414"/>
      <c r="GGF10" s="414"/>
      <c r="GGG10" s="414"/>
      <c r="GGH10" s="414"/>
      <c r="GGI10" s="414"/>
      <c r="GGJ10" s="414"/>
      <c r="GGK10" s="414"/>
      <c r="GGL10" s="414"/>
      <c r="GGM10" s="414"/>
      <c r="GGN10" s="414"/>
      <c r="GGO10" s="414"/>
      <c r="GGP10" s="414"/>
      <c r="GGQ10" s="414"/>
      <c r="GGR10" s="414"/>
      <c r="GGS10" s="414"/>
      <c r="GGT10" s="414"/>
      <c r="GGU10" s="414"/>
      <c r="GGV10" s="414"/>
      <c r="GGW10" s="414"/>
      <c r="GGX10" s="414"/>
      <c r="GGY10" s="414"/>
      <c r="GGZ10" s="414"/>
      <c r="GHA10" s="414"/>
      <c r="GHB10" s="414"/>
      <c r="GHC10" s="414"/>
      <c r="GHD10" s="414"/>
      <c r="GHE10" s="414"/>
      <c r="GHF10" s="414"/>
      <c r="GHG10" s="414"/>
      <c r="GHH10" s="414"/>
      <c r="GHI10" s="414"/>
      <c r="GHJ10" s="414"/>
      <c r="GHK10" s="414"/>
      <c r="GHL10" s="414"/>
      <c r="GHM10" s="414"/>
      <c r="GHN10" s="414"/>
      <c r="GHO10" s="414"/>
      <c r="GHP10" s="414"/>
      <c r="GHQ10" s="414"/>
      <c r="GHR10" s="414"/>
      <c r="GHS10" s="414"/>
      <c r="GHT10" s="414"/>
      <c r="GHU10" s="414"/>
      <c r="GHV10" s="414"/>
      <c r="GHW10" s="414"/>
      <c r="GHX10" s="414"/>
      <c r="GHY10" s="414"/>
      <c r="GHZ10" s="414"/>
      <c r="GIA10" s="414"/>
      <c r="GIB10" s="414"/>
      <c r="GIC10" s="414"/>
      <c r="GID10" s="414"/>
      <c r="GIE10" s="414"/>
      <c r="GIF10" s="414"/>
      <c r="GIG10" s="414"/>
      <c r="GIH10" s="414"/>
      <c r="GII10" s="414"/>
      <c r="GIJ10" s="414"/>
      <c r="GIK10" s="414"/>
      <c r="GIL10" s="414"/>
      <c r="GIM10" s="414"/>
      <c r="GIN10" s="414"/>
      <c r="GIO10" s="414"/>
      <c r="GIP10" s="414"/>
      <c r="GIQ10" s="414"/>
      <c r="GIR10" s="414"/>
      <c r="GIS10" s="414"/>
      <c r="GIT10" s="414"/>
      <c r="GIU10" s="414"/>
      <c r="GIV10" s="414"/>
      <c r="GIW10" s="414"/>
      <c r="GIX10" s="414"/>
      <c r="GIY10" s="414"/>
      <c r="GIZ10" s="414"/>
      <c r="GJA10" s="414"/>
      <c r="GJB10" s="414"/>
      <c r="GJC10" s="414"/>
      <c r="GJD10" s="414"/>
      <c r="GJE10" s="414"/>
      <c r="GJF10" s="414"/>
      <c r="GJG10" s="414"/>
      <c r="GJH10" s="414"/>
      <c r="GJI10" s="414"/>
      <c r="GJJ10" s="414"/>
      <c r="GJK10" s="414"/>
      <c r="GJL10" s="414"/>
      <c r="GJM10" s="414"/>
      <c r="GJN10" s="414"/>
      <c r="GJO10" s="414"/>
      <c r="GJP10" s="414"/>
      <c r="GJQ10" s="414"/>
      <c r="GJR10" s="414"/>
      <c r="GJS10" s="414"/>
      <c r="GJT10" s="414"/>
      <c r="GJU10" s="414"/>
      <c r="GJV10" s="414"/>
      <c r="GJW10" s="414"/>
      <c r="GJX10" s="414"/>
      <c r="GJY10" s="414"/>
      <c r="GJZ10" s="414"/>
      <c r="GKA10" s="414"/>
      <c r="GKB10" s="414"/>
      <c r="GKC10" s="414"/>
      <c r="GKD10" s="414"/>
      <c r="GKE10" s="414"/>
      <c r="GKF10" s="414"/>
      <c r="GKG10" s="414"/>
      <c r="GKH10" s="414"/>
      <c r="GKI10" s="414"/>
      <c r="GKJ10" s="414"/>
      <c r="GKK10" s="414"/>
      <c r="GKL10" s="414"/>
      <c r="GKM10" s="414"/>
      <c r="GKN10" s="414"/>
      <c r="GKO10" s="414"/>
      <c r="GKP10" s="414"/>
      <c r="GKQ10" s="414"/>
      <c r="GKR10" s="414"/>
      <c r="GKS10" s="414"/>
      <c r="GKT10" s="414"/>
      <c r="GKU10" s="414"/>
      <c r="GKV10" s="414"/>
      <c r="GKW10" s="414"/>
      <c r="GKX10" s="414"/>
      <c r="GKY10" s="414"/>
      <c r="GKZ10" s="414"/>
      <c r="GLA10" s="414"/>
      <c r="GLB10" s="414"/>
      <c r="GLC10" s="414"/>
      <c r="GLD10" s="414"/>
      <c r="GLE10" s="414"/>
      <c r="GLF10" s="414"/>
      <c r="GLG10" s="414"/>
      <c r="GLH10" s="414"/>
      <c r="GLI10" s="414"/>
      <c r="GLJ10" s="414"/>
      <c r="GLK10" s="414"/>
      <c r="GLL10" s="414"/>
      <c r="GLM10" s="414"/>
      <c r="GLN10" s="414"/>
      <c r="GLO10" s="414"/>
      <c r="GLP10" s="414"/>
      <c r="GLQ10" s="414"/>
      <c r="GLR10" s="414"/>
      <c r="GLS10" s="414"/>
      <c r="GLT10" s="414"/>
      <c r="GLU10" s="414"/>
      <c r="GLV10" s="414"/>
      <c r="GLW10" s="414"/>
      <c r="GLX10" s="414"/>
      <c r="GLY10" s="414"/>
      <c r="GLZ10" s="414"/>
      <c r="GMA10" s="414"/>
      <c r="GMB10" s="414"/>
      <c r="GMC10" s="414"/>
      <c r="GMD10" s="414"/>
      <c r="GME10" s="414"/>
      <c r="GMF10" s="414"/>
      <c r="GMG10" s="414"/>
      <c r="GMH10" s="414"/>
      <c r="GMI10" s="414"/>
      <c r="GMJ10" s="414"/>
      <c r="GMK10" s="414"/>
      <c r="GML10" s="414"/>
      <c r="GMM10" s="414"/>
      <c r="GMN10" s="414"/>
      <c r="GMO10" s="414"/>
      <c r="GMP10" s="414"/>
      <c r="GMQ10" s="414"/>
      <c r="GMR10" s="414"/>
      <c r="GMS10" s="414"/>
      <c r="GMT10" s="414"/>
      <c r="GMU10" s="414"/>
      <c r="GMV10" s="414"/>
      <c r="GMW10" s="414"/>
      <c r="GMX10" s="414"/>
      <c r="GMY10" s="414"/>
      <c r="GMZ10" s="414"/>
      <c r="GNA10" s="414"/>
      <c r="GNB10" s="414"/>
      <c r="GNC10" s="414"/>
      <c r="GND10" s="414"/>
      <c r="GNE10" s="414"/>
      <c r="GNF10" s="414"/>
      <c r="GNG10" s="414"/>
      <c r="GNH10" s="414"/>
      <c r="GNI10" s="414"/>
      <c r="GNJ10" s="414"/>
      <c r="GNK10" s="414"/>
      <c r="GNL10" s="414"/>
      <c r="GNM10" s="414"/>
      <c r="GNN10" s="414"/>
      <c r="GNO10" s="414"/>
      <c r="GNP10" s="414"/>
      <c r="GNQ10" s="414"/>
      <c r="GNR10" s="414"/>
      <c r="GNS10" s="414"/>
      <c r="GNT10" s="414"/>
      <c r="GNU10" s="414"/>
      <c r="GNV10" s="414"/>
      <c r="GNW10" s="414"/>
      <c r="GNX10" s="414"/>
      <c r="GNY10" s="414"/>
      <c r="GNZ10" s="414"/>
      <c r="GOA10" s="414"/>
      <c r="GOB10" s="414"/>
      <c r="GOC10" s="414"/>
      <c r="GOD10" s="414"/>
      <c r="GOE10" s="414"/>
      <c r="GOF10" s="414"/>
      <c r="GOG10" s="414"/>
      <c r="GOH10" s="414"/>
      <c r="GOI10" s="414"/>
      <c r="GOJ10" s="414"/>
      <c r="GOK10" s="414"/>
      <c r="GOL10" s="414"/>
      <c r="GOM10" s="414"/>
      <c r="GON10" s="414"/>
      <c r="GOO10" s="414"/>
      <c r="GOP10" s="414"/>
      <c r="GOQ10" s="414"/>
      <c r="GOR10" s="414"/>
      <c r="GOS10" s="414"/>
      <c r="GOT10" s="414"/>
      <c r="GOU10" s="414"/>
      <c r="GOV10" s="414"/>
      <c r="GOW10" s="414"/>
      <c r="GOX10" s="414"/>
      <c r="GOY10" s="414"/>
      <c r="GOZ10" s="414"/>
      <c r="GPA10" s="414"/>
      <c r="GPB10" s="414"/>
      <c r="GPC10" s="414"/>
      <c r="GPD10" s="414"/>
      <c r="GPE10" s="414"/>
      <c r="GPF10" s="414"/>
      <c r="GPG10" s="414"/>
      <c r="GPH10" s="414"/>
      <c r="GPI10" s="414"/>
      <c r="GPJ10" s="414"/>
      <c r="GPK10" s="414"/>
      <c r="GPL10" s="414"/>
      <c r="GPM10" s="414"/>
      <c r="GPN10" s="414"/>
      <c r="GPO10" s="414"/>
      <c r="GPP10" s="414"/>
      <c r="GPQ10" s="414"/>
      <c r="GPR10" s="414"/>
      <c r="GPS10" s="414"/>
      <c r="GPT10" s="414"/>
      <c r="GPU10" s="414"/>
      <c r="GPV10" s="414"/>
      <c r="GPW10" s="414"/>
      <c r="GPX10" s="414"/>
      <c r="GPY10" s="414"/>
      <c r="GPZ10" s="414"/>
      <c r="GQA10" s="414"/>
      <c r="GQB10" s="414"/>
      <c r="GQC10" s="414"/>
      <c r="GQD10" s="414"/>
      <c r="GQE10" s="414"/>
      <c r="GQF10" s="414"/>
      <c r="GQG10" s="414"/>
      <c r="GQH10" s="414"/>
      <c r="GQI10" s="414"/>
      <c r="GQJ10" s="414"/>
      <c r="GQK10" s="414"/>
      <c r="GQL10" s="414"/>
      <c r="GQM10" s="414"/>
      <c r="GQN10" s="414"/>
      <c r="GQO10" s="414"/>
      <c r="GQP10" s="414"/>
      <c r="GQQ10" s="414"/>
      <c r="GQR10" s="414"/>
      <c r="GQS10" s="414"/>
      <c r="GQT10" s="414"/>
      <c r="GQU10" s="414"/>
      <c r="GQV10" s="414"/>
      <c r="GQW10" s="414"/>
      <c r="GQX10" s="414"/>
      <c r="GQY10" s="414"/>
      <c r="GQZ10" s="414"/>
      <c r="GRA10" s="414"/>
      <c r="GRB10" s="414"/>
      <c r="GRC10" s="414"/>
      <c r="GRD10" s="414"/>
      <c r="GRE10" s="414"/>
      <c r="GRF10" s="414"/>
      <c r="GRG10" s="414"/>
      <c r="GRH10" s="414"/>
      <c r="GRI10" s="414"/>
      <c r="GRJ10" s="414"/>
      <c r="GRK10" s="414"/>
      <c r="GRL10" s="414"/>
      <c r="GRM10" s="414"/>
      <c r="GRN10" s="414"/>
      <c r="GRO10" s="414"/>
      <c r="GRP10" s="414"/>
      <c r="GRQ10" s="414"/>
      <c r="GRR10" s="414"/>
      <c r="GRS10" s="414"/>
      <c r="GRT10" s="414"/>
      <c r="GRU10" s="414"/>
      <c r="GRV10" s="414"/>
      <c r="GRW10" s="414"/>
      <c r="GRX10" s="414"/>
      <c r="GRY10" s="414"/>
      <c r="GRZ10" s="414"/>
      <c r="GSA10" s="414"/>
      <c r="GSB10" s="414"/>
      <c r="GSC10" s="414"/>
      <c r="GSD10" s="414"/>
      <c r="GSE10" s="414"/>
      <c r="GSF10" s="414"/>
      <c r="GSG10" s="414"/>
      <c r="GSH10" s="414"/>
      <c r="GSI10" s="414"/>
      <c r="GSJ10" s="414"/>
      <c r="GSK10" s="414"/>
      <c r="GSL10" s="414"/>
      <c r="GSM10" s="414"/>
      <c r="GSN10" s="414"/>
      <c r="GSO10" s="414"/>
      <c r="GSP10" s="414"/>
      <c r="GSQ10" s="414"/>
      <c r="GSR10" s="414"/>
      <c r="GSS10" s="414"/>
      <c r="GST10" s="414"/>
      <c r="GSU10" s="414"/>
      <c r="GSV10" s="414"/>
      <c r="GSW10" s="414"/>
      <c r="GSX10" s="414"/>
      <c r="GSY10" s="414"/>
      <c r="GSZ10" s="414"/>
      <c r="GTA10" s="414"/>
      <c r="GTB10" s="414"/>
      <c r="GTC10" s="414"/>
      <c r="GTD10" s="414"/>
      <c r="GTE10" s="414"/>
      <c r="GTF10" s="414"/>
      <c r="GTG10" s="414"/>
      <c r="GTH10" s="414"/>
      <c r="GTI10" s="414"/>
      <c r="GTJ10" s="414"/>
      <c r="GTK10" s="414"/>
      <c r="GTL10" s="414"/>
      <c r="GTM10" s="414"/>
      <c r="GTN10" s="414"/>
      <c r="GTO10" s="414"/>
      <c r="GTP10" s="414"/>
      <c r="GTQ10" s="414"/>
      <c r="GTR10" s="414"/>
      <c r="GTS10" s="414"/>
      <c r="GTT10" s="414"/>
      <c r="GTU10" s="414"/>
      <c r="GTV10" s="414"/>
      <c r="GTW10" s="414"/>
      <c r="GTX10" s="414"/>
      <c r="GTY10" s="414"/>
      <c r="GTZ10" s="414"/>
      <c r="GUA10" s="414"/>
      <c r="GUB10" s="414"/>
      <c r="GUC10" s="414"/>
      <c r="GUD10" s="414"/>
      <c r="GUE10" s="414"/>
      <c r="GUF10" s="414"/>
      <c r="GUG10" s="414"/>
      <c r="GUH10" s="414"/>
      <c r="GUI10" s="414"/>
      <c r="GUJ10" s="414"/>
      <c r="GUK10" s="414"/>
      <c r="GUL10" s="414"/>
      <c r="GUM10" s="414"/>
      <c r="GUN10" s="414"/>
      <c r="GUO10" s="414"/>
      <c r="GUP10" s="414"/>
      <c r="GUQ10" s="414"/>
      <c r="GUR10" s="414"/>
      <c r="GUS10" s="414"/>
      <c r="GUT10" s="414"/>
      <c r="GUU10" s="414"/>
      <c r="GUV10" s="414"/>
      <c r="GUW10" s="414"/>
      <c r="GUX10" s="414"/>
      <c r="GUY10" s="414"/>
      <c r="GUZ10" s="414"/>
      <c r="GVA10" s="414"/>
      <c r="GVB10" s="414"/>
      <c r="GVC10" s="414"/>
      <c r="GVD10" s="414"/>
      <c r="GVE10" s="414"/>
      <c r="GVF10" s="414"/>
      <c r="GVG10" s="414"/>
      <c r="GVH10" s="414"/>
      <c r="GVI10" s="414"/>
      <c r="GVJ10" s="414"/>
      <c r="GVK10" s="414"/>
      <c r="GVL10" s="414"/>
      <c r="GVM10" s="414"/>
      <c r="GVN10" s="414"/>
      <c r="GVO10" s="414"/>
      <c r="GVP10" s="414"/>
      <c r="GVQ10" s="414"/>
      <c r="GVR10" s="414"/>
      <c r="GVS10" s="414"/>
      <c r="GVT10" s="414"/>
      <c r="GVU10" s="414"/>
      <c r="GVV10" s="414"/>
      <c r="GVW10" s="414"/>
      <c r="GVX10" s="414"/>
      <c r="GVY10" s="414"/>
      <c r="GVZ10" s="414"/>
      <c r="GWA10" s="414"/>
      <c r="GWB10" s="414"/>
      <c r="GWC10" s="414"/>
      <c r="GWD10" s="414"/>
      <c r="GWE10" s="414"/>
      <c r="GWF10" s="414"/>
      <c r="GWG10" s="414"/>
      <c r="GWH10" s="414"/>
      <c r="GWI10" s="414"/>
      <c r="GWJ10" s="414"/>
      <c r="GWK10" s="414"/>
      <c r="GWL10" s="414"/>
      <c r="GWM10" s="414"/>
      <c r="GWN10" s="414"/>
      <c r="GWO10" s="414"/>
      <c r="GWP10" s="414"/>
      <c r="GWQ10" s="414"/>
      <c r="GWR10" s="414"/>
      <c r="GWS10" s="414"/>
      <c r="GWT10" s="414"/>
      <c r="GWU10" s="414"/>
      <c r="GWV10" s="414"/>
      <c r="GWW10" s="414"/>
      <c r="GWX10" s="414"/>
      <c r="GWY10" s="414"/>
      <c r="GWZ10" s="414"/>
      <c r="GXA10" s="414"/>
      <c r="GXB10" s="414"/>
      <c r="GXC10" s="414"/>
      <c r="GXD10" s="414"/>
      <c r="GXE10" s="414"/>
      <c r="GXF10" s="414"/>
      <c r="GXG10" s="414"/>
      <c r="GXH10" s="414"/>
      <c r="GXI10" s="414"/>
      <c r="GXJ10" s="414"/>
      <c r="GXK10" s="414"/>
      <c r="GXL10" s="414"/>
      <c r="GXM10" s="414"/>
      <c r="GXN10" s="414"/>
      <c r="GXO10" s="414"/>
      <c r="GXP10" s="414"/>
      <c r="GXQ10" s="414"/>
      <c r="GXR10" s="414"/>
      <c r="GXS10" s="414"/>
      <c r="GXT10" s="414"/>
      <c r="GXU10" s="414"/>
      <c r="GXV10" s="414"/>
      <c r="GXW10" s="414"/>
      <c r="GXX10" s="414"/>
      <c r="GXY10" s="414"/>
      <c r="GXZ10" s="414"/>
      <c r="GYA10" s="414"/>
      <c r="GYB10" s="414"/>
      <c r="GYC10" s="414"/>
      <c r="GYD10" s="414"/>
      <c r="GYE10" s="414"/>
      <c r="GYF10" s="414"/>
      <c r="GYG10" s="414"/>
      <c r="GYH10" s="414"/>
      <c r="GYI10" s="414"/>
      <c r="GYJ10" s="414"/>
      <c r="GYK10" s="414"/>
      <c r="GYL10" s="414"/>
      <c r="GYM10" s="414"/>
      <c r="GYN10" s="414"/>
      <c r="GYO10" s="414"/>
      <c r="GYP10" s="414"/>
      <c r="GYQ10" s="414"/>
      <c r="GYR10" s="414"/>
      <c r="GYS10" s="414"/>
      <c r="GYT10" s="414"/>
      <c r="GYU10" s="414"/>
      <c r="GYV10" s="414"/>
      <c r="GYW10" s="414"/>
      <c r="GYX10" s="414"/>
      <c r="GYY10" s="414"/>
      <c r="GYZ10" s="414"/>
      <c r="GZA10" s="414"/>
      <c r="GZB10" s="414"/>
      <c r="GZC10" s="414"/>
      <c r="GZD10" s="414"/>
      <c r="GZE10" s="414"/>
      <c r="GZF10" s="414"/>
      <c r="GZG10" s="414"/>
      <c r="GZH10" s="414"/>
      <c r="GZI10" s="414"/>
      <c r="GZJ10" s="414"/>
      <c r="GZK10" s="414"/>
      <c r="GZL10" s="414"/>
      <c r="GZM10" s="414"/>
      <c r="GZN10" s="414"/>
      <c r="GZO10" s="414"/>
      <c r="GZP10" s="414"/>
      <c r="GZQ10" s="414"/>
      <c r="GZR10" s="414"/>
      <c r="GZS10" s="414"/>
      <c r="GZT10" s="414"/>
      <c r="GZU10" s="414"/>
      <c r="GZV10" s="414"/>
      <c r="GZW10" s="414"/>
      <c r="GZX10" s="414"/>
      <c r="GZY10" s="414"/>
      <c r="GZZ10" s="414"/>
      <c r="HAA10" s="414"/>
      <c r="HAB10" s="414"/>
      <c r="HAC10" s="414"/>
      <c r="HAD10" s="414"/>
      <c r="HAE10" s="414"/>
      <c r="HAF10" s="414"/>
      <c r="HAG10" s="414"/>
      <c r="HAH10" s="414"/>
      <c r="HAI10" s="414"/>
      <c r="HAJ10" s="414"/>
      <c r="HAK10" s="414"/>
      <c r="HAL10" s="414"/>
      <c r="HAM10" s="414"/>
      <c r="HAN10" s="414"/>
      <c r="HAO10" s="414"/>
      <c r="HAP10" s="414"/>
      <c r="HAQ10" s="414"/>
      <c r="HAR10" s="414"/>
      <c r="HAS10" s="414"/>
      <c r="HAT10" s="414"/>
      <c r="HAU10" s="414"/>
      <c r="HAV10" s="414"/>
      <c r="HAW10" s="414"/>
      <c r="HAX10" s="414"/>
      <c r="HAY10" s="414"/>
      <c r="HAZ10" s="414"/>
      <c r="HBA10" s="414"/>
      <c r="HBB10" s="414"/>
      <c r="HBC10" s="414"/>
      <c r="HBD10" s="414"/>
      <c r="HBE10" s="414"/>
      <c r="HBF10" s="414"/>
      <c r="HBG10" s="414"/>
      <c r="HBH10" s="414"/>
      <c r="HBI10" s="414"/>
      <c r="HBJ10" s="414"/>
      <c r="HBK10" s="414"/>
      <c r="HBL10" s="414"/>
      <c r="HBM10" s="414"/>
      <c r="HBN10" s="414"/>
      <c r="HBO10" s="414"/>
      <c r="HBP10" s="414"/>
      <c r="HBQ10" s="414"/>
      <c r="HBR10" s="414"/>
      <c r="HBS10" s="414"/>
      <c r="HBT10" s="414"/>
      <c r="HBU10" s="414"/>
      <c r="HBV10" s="414"/>
      <c r="HBW10" s="414"/>
      <c r="HBX10" s="414"/>
      <c r="HBY10" s="414"/>
      <c r="HBZ10" s="414"/>
      <c r="HCA10" s="414"/>
      <c r="HCB10" s="414"/>
      <c r="HCC10" s="414"/>
      <c r="HCD10" s="414"/>
      <c r="HCE10" s="414"/>
      <c r="HCF10" s="414"/>
      <c r="HCG10" s="414"/>
      <c r="HCH10" s="414"/>
      <c r="HCI10" s="414"/>
      <c r="HCJ10" s="414"/>
      <c r="HCK10" s="414"/>
      <c r="HCL10" s="414"/>
      <c r="HCM10" s="414"/>
      <c r="HCN10" s="414"/>
      <c r="HCO10" s="414"/>
      <c r="HCP10" s="414"/>
      <c r="HCQ10" s="414"/>
      <c r="HCR10" s="414"/>
      <c r="HCS10" s="414"/>
      <c r="HCT10" s="414"/>
      <c r="HCU10" s="414"/>
      <c r="HCV10" s="414"/>
      <c r="HCW10" s="414"/>
      <c r="HCX10" s="414"/>
      <c r="HCY10" s="414"/>
      <c r="HCZ10" s="414"/>
      <c r="HDA10" s="414"/>
      <c r="HDB10" s="414"/>
      <c r="HDC10" s="414"/>
      <c r="HDD10" s="414"/>
      <c r="HDE10" s="414"/>
      <c r="HDF10" s="414"/>
      <c r="HDG10" s="414"/>
      <c r="HDH10" s="414"/>
      <c r="HDI10" s="414"/>
      <c r="HDJ10" s="414"/>
      <c r="HDK10" s="414"/>
      <c r="HDL10" s="414"/>
      <c r="HDM10" s="414"/>
      <c r="HDN10" s="414"/>
      <c r="HDO10" s="414"/>
      <c r="HDP10" s="414"/>
      <c r="HDQ10" s="414"/>
      <c r="HDR10" s="414"/>
      <c r="HDS10" s="414"/>
      <c r="HDT10" s="414"/>
      <c r="HDU10" s="414"/>
      <c r="HDV10" s="414"/>
      <c r="HDW10" s="414"/>
      <c r="HDX10" s="414"/>
      <c r="HDY10" s="414"/>
      <c r="HDZ10" s="414"/>
      <c r="HEA10" s="414"/>
      <c r="HEB10" s="414"/>
      <c r="HEC10" s="414"/>
      <c r="HED10" s="414"/>
      <c r="HEE10" s="414"/>
      <c r="HEF10" s="414"/>
      <c r="HEG10" s="414"/>
      <c r="HEH10" s="414"/>
      <c r="HEI10" s="414"/>
      <c r="HEJ10" s="414"/>
      <c r="HEK10" s="414"/>
      <c r="HEL10" s="414"/>
      <c r="HEM10" s="414"/>
      <c r="HEN10" s="414"/>
      <c r="HEO10" s="414"/>
      <c r="HEP10" s="414"/>
      <c r="HEQ10" s="414"/>
      <c r="HER10" s="414"/>
      <c r="HES10" s="414"/>
      <c r="HET10" s="414"/>
      <c r="HEU10" s="414"/>
      <c r="HEV10" s="414"/>
      <c r="HEW10" s="414"/>
      <c r="HEX10" s="414"/>
      <c r="HEY10" s="414"/>
      <c r="HEZ10" s="414"/>
      <c r="HFA10" s="414"/>
      <c r="HFB10" s="414"/>
      <c r="HFC10" s="414"/>
      <c r="HFD10" s="414"/>
      <c r="HFE10" s="414"/>
      <c r="HFF10" s="414"/>
      <c r="HFG10" s="414"/>
      <c r="HFH10" s="414"/>
      <c r="HFI10" s="414"/>
      <c r="HFJ10" s="414"/>
      <c r="HFK10" s="414"/>
      <c r="HFL10" s="414"/>
      <c r="HFM10" s="414"/>
      <c r="HFN10" s="414"/>
      <c r="HFO10" s="414"/>
      <c r="HFP10" s="414"/>
      <c r="HFQ10" s="414"/>
      <c r="HFR10" s="414"/>
      <c r="HFS10" s="414"/>
      <c r="HFT10" s="414"/>
      <c r="HFU10" s="414"/>
      <c r="HFV10" s="414"/>
      <c r="HFW10" s="414"/>
      <c r="HFX10" s="414"/>
      <c r="HFY10" s="414"/>
      <c r="HFZ10" s="414"/>
      <c r="HGA10" s="414"/>
      <c r="HGB10" s="414"/>
      <c r="HGC10" s="414"/>
      <c r="HGD10" s="414"/>
      <c r="HGE10" s="414"/>
      <c r="HGF10" s="414"/>
      <c r="HGG10" s="414"/>
      <c r="HGH10" s="414"/>
      <c r="HGI10" s="414"/>
      <c r="HGJ10" s="414"/>
      <c r="HGK10" s="414"/>
      <c r="HGL10" s="414"/>
      <c r="HGM10" s="414"/>
      <c r="HGN10" s="414"/>
      <c r="HGO10" s="414"/>
      <c r="HGP10" s="414"/>
      <c r="HGQ10" s="414"/>
      <c r="HGR10" s="414"/>
      <c r="HGS10" s="414"/>
      <c r="HGT10" s="414"/>
      <c r="HGU10" s="414"/>
      <c r="HGV10" s="414"/>
      <c r="HGW10" s="414"/>
      <c r="HGX10" s="414"/>
      <c r="HGY10" s="414"/>
      <c r="HGZ10" s="414"/>
      <c r="HHA10" s="414"/>
      <c r="HHB10" s="414"/>
      <c r="HHC10" s="414"/>
      <c r="HHD10" s="414"/>
      <c r="HHE10" s="414"/>
      <c r="HHF10" s="414"/>
      <c r="HHG10" s="414"/>
      <c r="HHH10" s="414"/>
      <c r="HHI10" s="414"/>
      <c r="HHJ10" s="414"/>
      <c r="HHK10" s="414"/>
      <c r="HHL10" s="414"/>
      <c r="HHM10" s="414"/>
      <c r="HHN10" s="414"/>
      <c r="HHO10" s="414"/>
      <c r="HHP10" s="414"/>
      <c r="HHQ10" s="414"/>
      <c r="HHR10" s="414"/>
      <c r="HHS10" s="414"/>
      <c r="HHT10" s="414"/>
      <c r="HHU10" s="414"/>
      <c r="HHV10" s="414"/>
      <c r="HHW10" s="414"/>
      <c r="HHX10" s="414"/>
      <c r="HHY10" s="414"/>
      <c r="HHZ10" s="414"/>
      <c r="HIA10" s="414"/>
      <c r="HIB10" s="414"/>
      <c r="HIC10" s="414"/>
      <c r="HID10" s="414"/>
      <c r="HIE10" s="414"/>
      <c r="HIF10" s="414"/>
      <c r="HIG10" s="414"/>
      <c r="HIH10" s="414"/>
      <c r="HII10" s="414"/>
      <c r="HIJ10" s="414"/>
      <c r="HIK10" s="414"/>
      <c r="HIL10" s="414"/>
      <c r="HIM10" s="414"/>
      <c r="HIN10" s="414"/>
      <c r="HIO10" s="414"/>
      <c r="HIP10" s="414"/>
      <c r="HIQ10" s="414"/>
      <c r="HIR10" s="414"/>
      <c r="HIS10" s="414"/>
      <c r="HIT10" s="414"/>
      <c r="HIU10" s="414"/>
      <c r="HIV10" s="414"/>
      <c r="HIW10" s="414"/>
      <c r="HIX10" s="414"/>
      <c r="HIY10" s="414"/>
      <c r="HIZ10" s="414"/>
      <c r="HJA10" s="414"/>
      <c r="HJB10" s="414"/>
      <c r="HJC10" s="414"/>
      <c r="HJD10" s="414"/>
      <c r="HJE10" s="414"/>
      <c r="HJF10" s="414"/>
      <c r="HJG10" s="414"/>
      <c r="HJH10" s="414"/>
      <c r="HJI10" s="414"/>
      <c r="HJJ10" s="414"/>
      <c r="HJK10" s="414"/>
      <c r="HJL10" s="414"/>
      <c r="HJM10" s="414"/>
      <c r="HJN10" s="414"/>
      <c r="HJO10" s="414"/>
      <c r="HJP10" s="414"/>
      <c r="HJQ10" s="414"/>
      <c r="HJR10" s="414"/>
      <c r="HJS10" s="414"/>
      <c r="HJT10" s="414"/>
      <c r="HJU10" s="414"/>
      <c r="HJV10" s="414"/>
      <c r="HJW10" s="414"/>
      <c r="HJX10" s="414"/>
      <c r="HJY10" s="414"/>
      <c r="HJZ10" s="414"/>
      <c r="HKA10" s="414"/>
      <c r="HKB10" s="414"/>
      <c r="HKC10" s="414"/>
      <c r="HKD10" s="414"/>
      <c r="HKE10" s="414"/>
      <c r="HKF10" s="414"/>
      <c r="HKG10" s="414"/>
      <c r="HKH10" s="414"/>
      <c r="HKI10" s="414"/>
      <c r="HKJ10" s="414"/>
      <c r="HKK10" s="414"/>
      <c r="HKL10" s="414"/>
      <c r="HKM10" s="414"/>
      <c r="HKN10" s="414"/>
      <c r="HKO10" s="414"/>
      <c r="HKP10" s="414"/>
      <c r="HKQ10" s="414"/>
      <c r="HKR10" s="414"/>
      <c r="HKS10" s="414"/>
      <c r="HKT10" s="414"/>
      <c r="HKU10" s="414"/>
      <c r="HKV10" s="414"/>
      <c r="HKW10" s="414"/>
      <c r="HKX10" s="414"/>
      <c r="HKY10" s="414"/>
      <c r="HKZ10" s="414"/>
      <c r="HLA10" s="414"/>
      <c r="HLB10" s="414"/>
      <c r="HLC10" s="414"/>
      <c r="HLD10" s="414"/>
      <c r="HLE10" s="414"/>
      <c r="HLF10" s="414"/>
      <c r="HLG10" s="414"/>
      <c r="HLH10" s="414"/>
      <c r="HLI10" s="414"/>
      <c r="HLJ10" s="414"/>
      <c r="HLK10" s="414"/>
      <c r="HLL10" s="414"/>
      <c r="HLM10" s="414"/>
      <c r="HLN10" s="414"/>
      <c r="HLO10" s="414"/>
      <c r="HLP10" s="414"/>
      <c r="HLQ10" s="414"/>
      <c r="HLR10" s="414"/>
      <c r="HLS10" s="414"/>
      <c r="HLT10" s="414"/>
      <c r="HLU10" s="414"/>
      <c r="HLV10" s="414"/>
      <c r="HLW10" s="414"/>
      <c r="HLX10" s="414"/>
      <c r="HLY10" s="414"/>
      <c r="HLZ10" s="414"/>
      <c r="HMA10" s="414"/>
      <c r="HMB10" s="414"/>
      <c r="HMC10" s="414"/>
      <c r="HMD10" s="414"/>
      <c r="HME10" s="414"/>
      <c r="HMF10" s="414"/>
      <c r="HMG10" s="414"/>
      <c r="HMH10" s="414"/>
      <c r="HMI10" s="414"/>
      <c r="HMJ10" s="414"/>
      <c r="HMK10" s="414"/>
      <c r="HML10" s="414"/>
      <c r="HMM10" s="414"/>
      <c r="HMN10" s="414"/>
      <c r="HMO10" s="414"/>
      <c r="HMP10" s="414"/>
      <c r="HMQ10" s="414"/>
      <c r="HMR10" s="414"/>
      <c r="HMS10" s="414"/>
      <c r="HMT10" s="414"/>
      <c r="HMU10" s="414"/>
      <c r="HMV10" s="414"/>
      <c r="HMW10" s="414"/>
      <c r="HMX10" s="414"/>
      <c r="HMY10" s="414"/>
      <c r="HMZ10" s="414"/>
      <c r="HNA10" s="414"/>
      <c r="HNB10" s="414"/>
      <c r="HNC10" s="414"/>
      <c r="HND10" s="414"/>
      <c r="HNE10" s="414"/>
      <c r="HNF10" s="414"/>
      <c r="HNG10" s="414"/>
      <c r="HNH10" s="414"/>
      <c r="HNI10" s="414"/>
      <c r="HNJ10" s="414"/>
      <c r="HNK10" s="414"/>
      <c r="HNL10" s="414"/>
      <c r="HNM10" s="414"/>
      <c r="HNN10" s="414"/>
      <c r="HNO10" s="414"/>
      <c r="HNP10" s="414"/>
      <c r="HNQ10" s="414"/>
      <c r="HNR10" s="414"/>
      <c r="HNS10" s="414"/>
      <c r="HNT10" s="414"/>
      <c r="HNU10" s="414"/>
      <c r="HNV10" s="414"/>
      <c r="HNW10" s="414"/>
      <c r="HNX10" s="414"/>
      <c r="HNY10" s="414"/>
      <c r="HNZ10" s="414"/>
      <c r="HOA10" s="414"/>
      <c r="HOB10" s="414"/>
      <c r="HOC10" s="414"/>
      <c r="HOD10" s="414"/>
      <c r="HOE10" s="414"/>
      <c r="HOF10" s="414"/>
      <c r="HOG10" s="414"/>
      <c r="HOH10" s="414"/>
      <c r="HOI10" s="414"/>
      <c r="HOJ10" s="414"/>
      <c r="HOK10" s="414"/>
      <c r="HOL10" s="414"/>
      <c r="HOM10" s="414"/>
      <c r="HON10" s="414"/>
      <c r="HOO10" s="414"/>
      <c r="HOP10" s="414"/>
      <c r="HOQ10" s="414"/>
      <c r="HOR10" s="414"/>
      <c r="HOS10" s="414"/>
      <c r="HOT10" s="414"/>
      <c r="HOU10" s="414"/>
      <c r="HOV10" s="414"/>
      <c r="HOW10" s="414"/>
      <c r="HOX10" s="414"/>
      <c r="HOY10" s="414"/>
      <c r="HOZ10" s="414"/>
      <c r="HPA10" s="414"/>
      <c r="HPB10" s="414"/>
      <c r="HPC10" s="414"/>
      <c r="HPD10" s="414"/>
      <c r="HPE10" s="414"/>
      <c r="HPF10" s="414"/>
      <c r="HPG10" s="414"/>
      <c r="HPH10" s="414"/>
      <c r="HPI10" s="414"/>
      <c r="HPJ10" s="414"/>
      <c r="HPK10" s="414"/>
      <c r="HPL10" s="414"/>
      <c r="HPM10" s="414"/>
      <c r="HPN10" s="414"/>
      <c r="HPO10" s="414"/>
      <c r="HPP10" s="414"/>
      <c r="HPQ10" s="414"/>
      <c r="HPR10" s="414"/>
      <c r="HPS10" s="414"/>
      <c r="HPT10" s="414"/>
      <c r="HPU10" s="414"/>
      <c r="HPV10" s="414"/>
      <c r="HPW10" s="414"/>
      <c r="HPX10" s="414"/>
      <c r="HPY10" s="414"/>
      <c r="HPZ10" s="414"/>
      <c r="HQA10" s="414"/>
      <c r="HQB10" s="414"/>
      <c r="HQC10" s="414"/>
      <c r="HQD10" s="414"/>
      <c r="HQE10" s="414"/>
      <c r="HQF10" s="414"/>
      <c r="HQG10" s="414"/>
      <c r="HQH10" s="414"/>
      <c r="HQI10" s="414"/>
      <c r="HQJ10" s="414"/>
      <c r="HQK10" s="414"/>
      <c r="HQL10" s="414"/>
      <c r="HQM10" s="414"/>
      <c r="HQN10" s="414"/>
      <c r="HQO10" s="414"/>
      <c r="HQP10" s="414"/>
      <c r="HQQ10" s="414"/>
      <c r="HQR10" s="414"/>
      <c r="HQS10" s="414"/>
      <c r="HQT10" s="414"/>
      <c r="HQU10" s="414"/>
      <c r="HQV10" s="414"/>
      <c r="HQW10" s="414"/>
      <c r="HQX10" s="414"/>
      <c r="HQY10" s="414"/>
      <c r="HQZ10" s="414"/>
      <c r="HRA10" s="414"/>
      <c r="HRB10" s="414"/>
      <c r="HRC10" s="414"/>
      <c r="HRD10" s="414"/>
      <c r="HRE10" s="414"/>
      <c r="HRF10" s="414"/>
      <c r="HRG10" s="414"/>
      <c r="HRH10" s="414"/>
      <c r="HRI10" s="414"/>
      <c r="HRJ10" s="414"/>
      <c r="HRK10" s="414"/>
      <c r="HRL10" s="414"/>
      <c r="HRM10" s="414"/>
      <c r="HRN10" s="414"/>
      <c r="HRO10" s="414"/>
      <c r="HRP10" s="414"/>
      <c r="HRQ10" s="414"/>
      <c r="HRR10" s="414"/>
      <c r="HRS10" s="414"/>
      <c r="HRT10" s="414"/>
      <c r="HRU10" s="414"/>
      <c r="HRV10" s="414"/>
      <c r="HRW10" s="414"/>
      <c r="HRX10" s="414"/>
      <c r="HRY10" s="414"/>
      <c r="HRZ10" s="414"/>
      <c r="HSA10" s="414"/>
      <c r="HSB10" s="414"/>
      <c r="HSC10" s="414"/>
      <c r="HSD10" s="414"/>
      <c r="HSE10" s="414"/>
      <c r="HSF10" s="414"/>
      <c r="HSG10" s="414"/>
      <c r="HSH10" s="414"/>
      <c r="HSI10" s="414"/>
      <c r="HSJ10" s="414"/>
      <c r="HSK10" s="414"/>
      <c r="HSL10" s="414"/>
      <c r="HSM10" s="414"/>
      <c r="HSN10" s="414"/>
      <c r="HSO10" s="414"/>
      <c r="HSP10" s="414"/>
      <c r="HSQ10" s="414"/>
      <c r="HSR10" s="414"/>
      <c r="HSS10" s="414"/>
      <c r="HST10" s="414"/>
      <c r="HSU10" s="414"/>
      <c r="HSV10" s="414"/>
      <c r="HSW10" s="414"/>
      <c r="HSX10" s="414"/>
      <c r="HSY10" s="414"/>
      <c r="HSZ10" s="414"/>
      <c r="HTA10" s="414"/>
      <c r="HTB10" s="414"/>
      <c r="HTC10" s="414"/>
      <c r="HTD10" s="414"/>
      <c r="HTE10" s="414"/>
      <c r="HTF10" s="414"/>
      <c r="HTG10" s="414"/>
      <c r="HTH10" s="414"/>
      <c r="HTI10" s="414"/>
      <c r="HTJ10" s="414"/>
      <c r="HTK10" s="414"/>
      <c r="HTL10" s="414"/>
      <c r="HTM10" s="414"/>
      <c r="HTN10" s="414"/>
      <c r="HTO10" s="414"/>
      <c r="HTP10" s="414"/>
      <c r="HTQ10" s="414"/>
      <c r="HTR10" s="414"/>
      <c r="HTS10" s="414"/>
      <c r="HTT10" s="414"/>
      <c r="HTU10" s="414"/>
      <c r="HTV10" s="414"/>
      <c r="HTW10" s="414"/>
      <c r="HTX10" s="414"/>
      <c r="HTY10" s="414"/>
      <c r="HTZ10" s="414"/>
      <c r="HUA10" s="414"/>
      <c r="HUB10" s="414"/>
      <c r="HUC10" s="414"/>
      <c r="HUD10" s="414"/>
      <c r="HUE10" s="414"/>
      <c r="HUF10" s="414"/>
      <c r="HUG10" s="414"/>
      <c r="HUH10" s="414"/>
      <c r="HUI10" s="414"/>
      <c r="HUJ10" s="414"/>
      <c r="HUK10" s="414"/>
      <c r="HUL10" s="414"/>
      <c r="HUM10" s="414"/>
      <c r="HUN10" s="414"/>
      <c r="HUO10" s="414"/>
      <c r="HUP10" s="414"/>
      <c r="HUQ10" s="414"/>
      <c r="HUR10" s="414"/>
      <c r="HUS10" s="414"/>
      <c r="HUT10" s="414"/>
      <c r="HUU10" s="414"/>
      <c r="HUV10" s="414"/>
      <c r="HUW10" s="414"/>
      <c r="HUX10" s="414"/>
      <c r="HUY10" s="414"/>
      <c r="HUZ10" s="414"/>
      <c r="HVA10" s="414"/>
      <c r="HVB10" s="414"/>
      <c r="HVC10" s="414"/>
      <c r="HVD10" s="414"/>
      <c r="HVE10" s="414"/>
      <c r="HVF10" s="414"/>
      <c r="HVG10" s="414"/>
      <c r="HVH10" s="414"/>
      <c r="HVI10" s="414"/>
      <c r="HVJ10" s="414"/>
      <c r="HVK10" s="414"/>
      <c r="HVL10" s="414"/>
      <c r="HVM10" s="414"/>
      <c r="HVN10" s="414"/>
      <c r="HVO10" s="414"/>
      <c r="HVP10" s="414"/>
      <c r="HVQ10" s="414"/>
      <c r="HVR10" s="414"/>
      <c r="HVS10" s="414"/>
      <c r="HVT10" s="414"/>
      <c r="HVU10" s="414"/>
      <c r="HVV10" s="414"/>
      <c r="HVW10" s="414"/>
      <c r="HVX10" s="414"/>
      <c r="HVY10" s="414"/>
      <c r="HVZ10" s="414"/>
      <c r="HWA10" s="414"/>
      <c r="HWB10" s="414"/>
      <c r="HWC10" s="414"/>
      <c r="HWD10" s="414"/>
      <c r="HWE10" s="414"/>
      <c r="HWF10" s="414"/>
      <c r="HWG10" s="414"/>
      <c r="HWH10" s="414"/>
      <c r="HWI10" s="414"/>
      <c r="HWJ10" s="414"/>
      <c r="HWK10" s="414"/>
      <c r="HWL10" s="414"/>
      <c r="HWM10" s="414"/>
      <c r="HWN10" s="414"/>
      <c r="HWO10" s="414"/>
      <c r="HWP10" s="414"/>
      <c r="HWQ10" s="414"/>
      <c r="HWR10" s="414"/>
      <c r="HWS10" s="414"/>
      <c r="HWT10" s="414"/>
      <c r="HWU10" s="414"/>
      <c r="HWV10" s="414"/>
      <c r="HWW10" s="414"/>
      <c r="HWX10" s="414"/>
      <c r="HWY10" s="414"/>
      <c r="HWZ10" s="414"/>
      <c r="HXA10" s="414"/>
      <c r="HXB10" s="414"/>
      <c r="HXC10" s="414"/>
      <c r="HXD10" s="414"/>
      <c r="HXE10" s="414"/>
      <c r="HXF10" s="414"/>
      <c r="HXG10" s="414"/>
      <c r="HXH10" s="414"/>
      <c r="HXI10" s="414"/>
      <c r="HXJ10" s="414"/>
      <c r="HXK10" s="414"/>
      <c r="HXL10" s="414"/>
      <c r="HXM10" s="414"/>
      <c r="HXN10" s="414"/>
      <c r="HXO10" s="414"/>
      <c r="HXP10" s="414"/>
      <c r="HXQ10" s="414"/>
      <c r="HXR10" s="414"/>
      <c r="HXS10" s="414"/>
      <c r="HXT10" s="414"/>
      <c r="HXU10" s="414"/>
      <c r="HXV10" s="414"/>
      <c r="HXW10" s="414"/>
      <c r="HXX10" s="414"/>
      <c r="HXY10" s="414"/>
      <c r="HXZ10" s="414"/>
      <c r="HYA10" s="414"/>
      <c r="HYB10" s="414"/>
      <c r="HYC10" s="414"/>
      <c r="HYD10" s="414"/>
      <c r="HYE10" s="414"/>
      <c r="HYF10" s="414"/>
      <c r="HYG10" s="414"/>
      <c r="HYH10" s="414"/>
      <c r="HYI10" s="414"/>
      <c r="HYJ10" s="414"/>
      <c r="HYK10" s="414"/>
      <c r="HYL10" s="414"/>
      <c r="HYM10" s="414"/>
      <c r="HYN10" s="414"/>
      <c r="HYO10" s="414"/>
      <c r="HYP10" s="414"/>
      <c r="HYQ10" s="414"/>
      <c r="HYR10" s="414"/>
      <c r="HYS10" s="414"/>
      <c r="HYT10" s="414"/>
      <c r="HYU10" s="414"/>
      <c r="HYV10" s="414"/>
      <c r="HYW10" s="414"/>
      <c r="HYX10" s="414"/>
      <c r="HYY10" s="414"/>
      <c r="HYZ10" s="414"/>
      <c r="HZA10" s="414"/>
      <c r="HZB10" s="414"/>
      <c r="HZC10" s="414"/>
      <c r="HZD10" s="414"/>
      <c r="HZE10" s="414"/>
      <c r="HZF10" s="414"/>
      <c r="HZG10" s="414"/>
      <c r="HZH10" s="414"/>
      <c r="HZI10" s="414"/>
      <c r="HZJ10" s="414"/>
      <c r="HZK10" s="414"/>
      <c r="HZL10" s="414"/>
      <c r="HZM10" s="414"/>
      <c r="HZN10" s="414"/>
      <c r="HZO10" s="414"/>
      <c r="HZP10" s="414"/>
      <c r="HZQ10" s="414"/>
      <c r="HZR10" s="414"/>
      <c r="HZS10" s="414"/>
      <c r="HZT10" s="414"/>
      <c r="HZU10" s="414"/>
      <c r="HZV10" s="414"/>
      <c r="HZW10" s="414"/>
      <c r="HZX10" s="414"/>
      <c r="HZY10" s="414"/>
      <c r="HZZ10" s="414"/>
      <c r="IAA10" s="414"/>
      <c r="IAB10" s="414"/>
      <c r="IAC10" s="414"/>
      <c r="IAD10" s="414"/>
      <c r="IAE10" s="414"/>
      <c r="IAF10" s="414"/>
      <c r="IAG10" s="414"/>
      <c r="IAH10" s="414"/>
      <c r="IAI10" s="414"/>
      <c r="IAJ10" s="414"/>
      <c r="IAK10" s="414"/>
      <c r="IAL10" s="414"/>
      <c r="IAM10" s="414"/>
      <c r="IAN10" s="414"/>
      <c r="IAO10" s="414"/>
      <c r="IAP10" s="414"/>
      <c r="IAQ10" s="414"/>
      <c r="IAR10" s="414"/>
      <c r="IAS10" s="414"/>
      <c r="IAT10" s="414"/>
      <c r="IAU10" s="414"/>
      <c r="IAV10" s="414"/>
      <c r="IAW10" s="414"/>
      <c r="IAX10" s="414"/>
      <c r="IAY10" s="414"/>
      <c r="IAZ10" s="414"/>
      <c r="IBA10" s="414"/>
      <c r="IBB10" s="414"/>
      <c r="IBC10" s="414"/>
      <c r="IBD10" s="414"/>
      <c r="IBE10" s="414"/>
      <c r="IBF10" s="414"/>
      <c r="IBG10" s="414"/>
      <c r="IBH10" s="414"/>
      <c r="IBI10" s="414"/>
      <c r="IBJ10" s="414"/>
      <c r="IBK10" s="414"/>
      <c r="IBL10" s="414"/>
      <c r="IBM10" s="414"/>
      <c r="IBN10" s="414"/>
      <c r="IBO10" s="414"/>
      <c r="IBP10" s="414"/>
      <c r="IBQ10" s="414"/>
      <c r="IBR10" s="414"/>
      <c r="IBS10" s="414"/>
      <c r="IBT10" s="414"/>
      <c r="IBU10" s="414"/>
      <c r="IBV10" s="414"/>
      <c r="IBW10" s="414"/>
      <c r="IBX10" s="414"/>
      <c r="IBY10" s="414"/>
      <c r="IBZ10" s="414"/>
      <c r="ICA10" s="414"/>
      <c r="ICB10" s="414"/>
      <c r="ICC10" s="414"/>
      <c r="ICD10" s="414"/>
      <c r="ICE10" s="414"/>
      <c r="ICF10" s="414"/>
      <c r="ICG10" s="414"/>
      <c r="ICH10" s="414"/>
      <c r="ICI10" s="414"/>
      <c r="ICJ10" s="414"/>
      <c r="ICK10" s="414"/>
      <c r="ICL10" s="414"/>
      <c r="ICM10" s="414"/>
      <c r="ICN10" s="414"/>
      <c r="ICO10" s="414"/>
      <c r="ICP10" s="414"/>
      <c r="ICQ10" s="414"/>
      <c r="ICR10" s="414"/>
      <c r="ICS10" s="414"/>
      <c r="ICT10" s="414"/>
      <c r="ICU10" s="414"/>
      <c r="ICV10" s="414"/>
      <c r="ICW10" s="414"/>
      <c r="ICX10" s="414"/>
      <c r="ICY10" s="414"/>
      <c r="ICZ10" s="414"/>
      <c r="IDA10" s="414"/>
      <c r="IDB10" s="414"/>
      <c r="IDC10" s="414"/>
      <c r="IDD10" s="414"/>
      <c r="IDE10" s="414"/>
      <c r="IDF10" s="414"/>
      <c r="IDG10" s="414"/>
      <c r="IDH10" s="414"/>
      <c r="IDI10" s="414"/>
      <c r="IDJ10" s="414"/>
      <c r="IDK10" s="414"/>
      <c r="IDL10" s="414"/>
      <c r="IDM10" s="414"/>
      <c r="IDN10" s="414"/>
      <c r="IDO10" s="414"/>
      <c r="IDP10" s="414"/>
      <c r="IDQ10" s="414"/>
      <c r="IDR10" s="414"/>
      <c r="IDS10" s="414"/>
      <c r="IDT10" s="414"/>
      <c r="IDU10" s="414"/>
      <c r="IDV10" s="414"/>
      <c r="IDW10" s="414"/>
      <c r="IDX10" s="414"/>
      <c r="IDY10" s="414"/>
      <c r="IDZ10" s="414"/>
      <c r="IEA10" s="414"/>
      <c r="IEB10" s="414"/>
      <c r="IEC10" s="414"/>
      <c r="IED10" s="414"/>
      <c r="IEE10" s="414"/>
      <c r="IEF10" s="414"/>
      <c r="IEG10" s="414"/>
      <c r="IEH10" s="414"/>
      <c r="IEI10" s="414"/>
      <c r="IEJ10" s="414"/>
      <c r="IEK10" s="414"/>
      <c r="IEL10" s="414"/>
      <c r="IEM10" s="414"/>
      <c r="IEN10" s="414"/>
      <c r="IEO10" s="414"/>
      <c r="IEP10" s="414"/>
      <c r="IEQ10" s="414"/>
      <c r="IER10" s="414"/>
      <c r="IES10" s="414"/>
      <c r="IET10" s="414"/>
      <c r="IEU10" s="414"/>
      <c r="IEV10" s="414"/>
      <c r="IEW10" s="414"/>
      <c r="IEX10" s="414"/>
      <c r="IEY10" s="414"/>
      <c r="IEZ10" s="414"/>
      <c r="IFA10" s="414"/>
      <c r="IFB10" s="414"/>
      <c r="IFC10" s="414"/>
      <c r="IFD10" s="414"/>
      <c r="IFE10" s="414"/>
      <c r="IFF10" s="414"/>
      <c r="IFG10" s="414"/>
      <c r="IFH10" s="414"/>
      <c r="IFI10" s="414"/>
      <c r="IFJ10" s="414"/>
      <c r="IFK10" s="414"/>
      <c r="IFL10" s="414"/>
      <c r="IFM10" s="414"/>
      <c r="IFN10" s="414"/>
      <c r="IFO10" s="414"/>
      <c r="IFP10" s="414"/>
      <c r="IFQ10" s="414"/>
      <c r="IFR10" s="414"/>
      <c r="IFS10" s="414"/>
      <c r="IFT10" s="414"/>
      <c r="IFU10" s="414"/>
      <c r="IFV10" s="414"/>
      <c r="IFW10" s="414"/>
      <c r="IFX10" s="414"/>
      <c r="IFY10" s="414"/>
      <c r="IFZ10" s="414"/>
      <c r="IGA10" s="414"/>
      <c r="IGB10" s="414"/>
      <c r="IGC10" s="414"/>
      <c r="IGD10" s="414"/>
      <c r="IGE10" s="414"/>
      <c r="IGF10" s="414"/>
      <c r="IGG10" s="414"/>
      <c r="IGH10" s="414"/>
      <c r="IGI10" s="414"/>
      <c r="IGJ10" s="414"/>
      <c r="IGK10" s="414"/>
      <c r="IGL10" s="414"/>
      <c r="IGM10" s="414"/>
      <c r="IGN10" s="414"/>
      <c r="IGO10" s="414"/>
      <c r="IGP10" s="414"/>
      <c r="IGQ10" s="414"/>
      <c r="IGR10" s="414"/>
      <c r="IGS10" s="414"/>
      <c r="IGT10" s="414"/>
      <c r="IGU10" s="414"/>
      <c r="IGV10" s="414"/>
      <c r="IGW10" s="414"/>
      <c r="IGX10" s="414"/>
      <c r="IGY10" s="414"/>
      <c r="IGZ10" s="414"/>
      <c r="IHA10" s="414"/>
      <c r="IHB10" s="414"/>
      <c r="IHC10" s="414"/>
      <c r="IHD10" s="414"/>
      <c r="IHE10" s="414"/>
      <c r="IHF10" s="414"/>
      <c r="IHG10" s="414"/>
      <c r="IHH10" s="414"/>
      <c r="IHI10" s="414"/>
      <c r="IHJ10" s="414"/>
      <c r="IHK10" s="414"/>
      <c r="IHL10" s="414"/>
      <c r="IHM10" s="414"/>
      <c r="IHN10" s="414"/>
      <c r="IHO10" s="414"/>
      <c r="IHP10" s="414"/>
      <c r="IHQ10" s="414"/>
      <c r="IHR10" s="414"/>
      <c r="IHS10" s="414"/>
      <c r="IHT10" s="414"/>
      <c r="IHU10" s="414"/>
      <c r="IHV10" s="414"/>
      <c r="IHW10" s="414"/>
      <c r="IHX10" s="414"/>
      <c r="IHY10" s="414"/>
      <c r="IHZ10" s="414"/>
      <c r="IIA10" s="414"/>
      <c r="IIB10" s="414"/>
      <c r="IIC10" s="414"/>
      <c r="IID10" s="414"/>
      <c r="IIE10" s="414"/>
      <c r="IIF10" s="414"/>
      <c r="IIG10" s="414"/>
      <c r="IIH10" s="414"/>
      <c r="III10" s="414"/>
      <c r="IIJ10" s="414"/>
      <c r="IIK10" s="414"/>
      <c r="IIL10" s="414"/>
      <c r="IIM10" s="414"/>
      <c r="IIN10" s="414"/>
      <c r="IIO10" s="414"/>
      <c r="IIP10" s="414"/>
      <c r="IIQ10" s="414"/>
      <c r="IIR10" s="414"/>
      <c r="IIS10" s="414"/>
      <c r="IIT10" s="414"/>
      <c r="IIU10" s="414"/>
      <c r="IIV10" s="414"/>
      <c r="IIW10" s="414"/>
      <c r="IIX10" s="414"/>
      <c r="IIY10" s="414"/>
      <c r="IIZ10" s="414"/>
      <c r="IJA10" s="414"/>
      <c r="IJB10" s="414"/>
      <c r="IJC10" s="414"/>
      <c r="IJD10" s="414"/>
      <c r="IJE10" s="414"/>
      <c r="IJF10" s="414"/>
      <c r="IJG10" s="414"/>
      <c r="IJH10" s="414"/>
      <c r="IJI10" s="414"/>
      <c r="IJJ10" s="414"/>
      <c r="IJK10" s="414"/>
      <c r="IJL10" s="414"/>
      <c r="IJM10" s="414"/>
      <c r="IJN10" s="414"/>
      <c r="IJO10" s="414"/>
      <c r="IJP10" s="414"/>
      <c r="IJQ10" s="414"/>
      <c r="IJR10" s="414"/>
      <c r="IJS10" s="414"/>
      <c r="IJT10" s="414"/>
      <c r="IJU10" s="414"/>
      <c r="IJV10" s="414"/>
      <c r="IJW10" s="414"/>
      <c r="IJX10" s="414"/>
      <c r="IJY10" s="414"/>
      <c r="IJZ10" s="414"/>
      <c r="IKA10" s="414"/>
      <c r="IKB10" s="414"/>
      <c r="IKC10" s="414"/>
      <c r="IKD10" s="414"/>
      <c r="IKE10" s="414"/>
      <c r="IKF10" s="414"/>
      <c r="IKG10" s="414"/>
      <c r="IKH10" s="414"/>
      <c r="IKI10" s="414"/>
      <c r="IKJ10" s="414"/>
      <c r="IKK10" s="414"/>
      <c r="IKL10" s="414"/>
      <c r="IKM10" s="414"/>
      <c r="IKN10" s="414"/>
      <c r="IKO10" s="414"/>
      <c r="IKP10" s="414"/>
      <c r="IKQ10" s="414"/>
      <c r="IKR10" s="414"/>
      <c r="IKS10" s="414"/>
      <c r="IKT10" s="414"/>
      <c r="IKU10" s="414"/>
      <c r="IKV10" s="414"/>
      <c r="IKW10" s="414"/>
      <c r="IKX10" s="414"/>
      <c r="IKY10" s="414"/>
      <c r="IKZ10" s="414"/>
      <c r="ILA10" s="414"/>
      <c r="ILB10" s="414"/>
      <c r="ILC10" s="414"/>
      <c r="ILD10" s="414"/>
      <c r="ILE10" s="414"/>
      <c r="ILF10" s="414"/>
      <c r="ILG10" s="414"/>
      <c r="ILH10" s="414"/>
      <c r="ILI10" s="414"/>
      <c r="ILJ10" s="414"/>
      <c r="ILK10" s="414"/>
      <c r="ILL10" s="414"/>
      <c r="ILM10" s="414"/>
      <c r="ILN10" s="414"/>
      <c r="ILO10" s="414"/>
      <c r="ILP10" s="414"/>
      <c r="ILQ10" s="414"/>
      <c r="ILR10" s="414"/>
      <c r="ILS10" s="414"/>
      <c r="ILT10" s="414"/>
      <c r="ILU10" s="414"/>
      <c r="ILV10" s="414"/>
      <c r="ILW10" s="414"/>
      <c r="ILX10" s="414"/>
      <c r="ILY10" s="414"/>
      <c r="ILZ10" s="414"/>
      <c r="IMA10" s="414"/>
      <c r="IMB10" s="414"/>
      <c r="IMC10" s="414"/>
      <c r="IMD10" s="414"/>
      <c r="IME10" s="414"/>
      <c r="IMF10" s="414"/>
      <c r="IMG10" s="414"/>
      <c r="IMH10" s="414"/>
      <c r="IMI10" s="414"/>
      <c r="IMJ10" s="414"/>
      <c r="IMK10" s="414"/>
      <c r="IML10" s="414"/>
      <c r="IMM10" s="414"/>
      <c r="IMN10" s="414"/>
      <c r="IMO10" s="414"/>
      <c r="IMP10" s="414"/>
      <c r="IMQ10" s="414"/>
      <c r="IMR10" s="414"/>
      <c r="IMS10" s="414"/>
      <c r="IMT10" s="414"/>
      <c r="IMU10" s="414"/>
      <c r="IMV10" s="414"/>
      <c r="IMW10" s="414"/>
      <c r="IMX10" s="414"/>
      <c r="IMY10" s="414"/>
      <c r="IMZ10" s="414"/>
      <c r="INA10" s="414"/>
      <c r="INB10" s="414"/>
      <c r="INC10" s="414"/>
      <c r="IND10" s="414"/>
      <c r="INE10" s="414"/>
      <c r="INF10" s="414"/>
      <c r="ING10" s="414"/>
      <c r="INH10" s="414"/>
      <c r="INI10" s="414"/>
      <c r="INJ10" s="414"/>
      <c r="INK10" s="414"/>
      <c r="INL10" s="414"/>
      <c r="INM10" s="414"/>
      <c r="INN10" s="414"/>
      <c r="INO10" s="414"/>
      <c r="INP10" s="414"/>
      <c r="INQ10" s="414"/>
      <c r="INR10" s="414"/>
      <c r="INS10" s="414"/>
      <c r="INT10" s="414"/>
      <c r="INU10" s="414"/>
      <c r="INV10" s="414"/>
      <c r="INW10" s="414"/>
      <c r="INX10" s="414"/>
      <c r="INY10" s="414"/>
      <c r="INZ10" s="414"/>
      <c r="IOA10" s="414"/>
      <c r="IOB10" s="414"/>
      <c r="IOC10" s="414"/>
      <c r="IOD10" s="414"/>
      <c r="IOE10" s="414"/>
      <c r="IOF10" s="414"/>
      <c r="IOG10" s="414"/>
      <c r="IOH10" s="414"/>
      <c r="IOI10" s="414"/>
      <c r="IOJ10" s="414"/>
      <c r="IOK10" s="414"/>
      <c r="IOL10" s="414"/>
      <c r="IOM10" s="414"/>
      <c r="ION10" s="414"/>
      <c r="IOO10" s="414"/>
      <c r="IOP10" s="414"/>
      <c r="IOQ10" s="414"/>
      <c r="IOR10" s="414"/>
      <c r="IOS10" s="414"/>
      <c r="IOT10" s="414"/>
      <c r="IOU10" s="414"/>
      <c r="IOV10" s="414"/>
      <c r="IOW10" s="414"/>
      <c r="IOX10" s="414"/>
      <c r="IOY10" s="414"/>
      <c r="IOZ10" s="414"/>
      <c r="IPA10" s="414"/>
      <c r="IPB10" s="414"/>
      <c r="IPC10" s="414"/>
      <c r="IPD10" s="414"/>
      <c r="IPE10" s="414"/>
      <c r="IPF10" s="414"/>
      <c r="IPG10" s="414"/>
      <c r="IPH10" s="414"/>
      <c r="IPI10" s="414"/>
      <c r="IPJ10" s="414"/>
      <c r="IPK10" s="414"/>
      <c r="IPL10" s="414"/>
      <c r="IPM10" s="414"/>
      <c r="IPN10" s="414"/>
      <c r="IPO10" s="414"/>
      <c r="IPP10" s="414"/>
      <c r="IPQ10" s="414"/>
      <c r="IPR10" s="414"/>
      <c r="IPS10" s="414"/>
      <c r="IPT10" s="414"/>
      <c r="IPU10" s="414"/>
      <c r="IPV10" s="414"/>
      <c r="IPW10" s="414"/>
      <c r="IPX10" s="414"/>
      <c r="IPY10" s="414"/>
      <c r="IPZ10" s="414"/>
      <c r="IQA10" s="414"/>
      <c r="IQB10" s="414"/>
      <c r="IQC10" s="414"/>
      <c r="IQD10" s="414"/>
      <c r="IQE10" s="414"/>
      <c r="IQF10" s="414"/>
      <c r="IQG10" s="414"/>
      <c r="IQH10" s="414"/>
      <c r="IQI10" s="414"/>
      <c r="IQJ10" s="414"/>
      <c r="IQK10" s="414"/>
      <c r="IQL10" s="414"/>
      <c r="IQM10" s="414"/>
      <c r="IQN10" s="414"/>
      <c r="IQO10" s="414"/>
      <c r="IQP10" s="414"/>
      <c r="IQQ10" s="414"/>
      <c r="IQR10" s="414"/>
      <c r="IQS10" s="414"/>
      <c r="IQT10" s="414"/>
      <c r="IQU10" s="414"/>
      <c r="IQV10" s="414"/>
      <c r="IQW10" s="414"/>
      <c r="IQX10" s="414"/>
      <c r="IQY10" s="414"/>
      <c r="IQZ10" s="414"/>
      <c r="IRA10" s="414"/>
      <c r="IRB10" s="414"/>
      <c r="IRC10" s="414"/>
      <c r="IRD10" s="414"/>
      <c r="IRE10" s="414"/>
      <c r="IRF10" s="414"/>
      <c r="IRG10" s="414"/>
      <c r="IRH10" s="414"/>
      <c r="IRI10" s="414"/>
      <c r="IRJ10" s="414"/>
      <c r="IRK10" s="414"/>
      <c r="IRL10" s="414"/>
      <c r="IRM10" s="414"/>
      <c r="IRN10" s="414"/>
      <c r="IRO10" s="414"/>
      <c r="IRP10" s="414"/>
      <c r="IRQ10" s="414"/>
      <c r="IRR10" s="414"/>
      <c r="IRS10" s="414"/>
      <c r="IRT10" s="414"/>
      <c r="IRU10" s="414"/>
      <c r="IRV10" s="414"/>
      <c r="IRW10" s="414"/>
      <c r="IRX10" s="414"/>
      <c r="IRY10" s="414"/>
      <c r="IRZ10" s="414"/>
      <c r="ISA10" s="414"/>
      <c r="ISB10" s="414"/>
      <c r="ISC10" s="414"/>
      <c r="ISD10" s="414"/>
      <c r="ISE10" s="414"/>
      <c r="ISF10" s="414"/>
      <c r="ISG10" s="414"/>
      <c r="ISH10" s="414"/>
      <c r="ISI10" s="414"/>
      <c r="ISJ10" s="414"/>
      <c r="ISK10" s="414"/>
      <c r="ISL10" s="414"/>
      <c r="ISM10" s="414"/>
      <c r="ISN10" s="414"/>
      <c r="ISO10" s="414"/>
      <c r="ISP10" s="414"/>
      <c r="ISQ10" s="414"/>
      <c r="ISR10" s="414"/>
      <c r="ISS10" s="414"/>
      <c r="IST10" s="414"/>
      <c r="ISU10" s="414"/>
      <c r="ISV10" s="414"/>
      <c r="ISW10" s="414"/>
      <c r="ISX10" s="414"/>
      <c r="ISY10" s="414"/>
      <c r="ISZ10" s="414"/>
      <c r="ITA10" s="414"/>
      <c r="ITB10" s="414"/>
      <c r="ITC10" s="414"/>
      <c r="ITD10" s="414"/>
      <c r="ITE10" s="414"/>
      <c r="ITF10" s="414"/>
      <c r="ITG10" s="414"/>
      <c r="ITH10" s="414"/>
      <c r="ITI10" s="414"/>
      <c r="ITJ10" s="414"/>
      <c r="ITK10" s="414"/>
      <c r="ITL10" s="414"/>
      <c r="ITM10" s="414"/>
      <c r="ITN10" s="414"/>
      <c r="ITO10" s="414"/>
      <c r="ITP10" s="414"/>
      <c r="ITQ10" s="414"/>
      <c r="ITR10" s="414"/>
      <c r="ITS10" s="414"/>
      <c r="ITT10" s="414"/>
      <c r="ITU10" s="414"/>
      <c r="ITV10" s="414"/>
      <c r="ITW10" s="414"/>
      <c r="ITX10" s="414"/>
      <c r="ITY10" s="414"/>
      <c r="ITZ10" s="414"/>
      <c r="IUA10" s="414"/>
      <c r="IUB10" s="414"/>
      <c r="IUC10" s="414"/>
      <c r="IUD10" s="414"/>
      <c r="IUE10" s="414"/>
      <c r="IUF10" s="414"/>
      <c r="IUG10" s="414"/>
      <c r="IUH10" s="414"/>
      <c r="IUI10" s="414"/>
      <c r="IUJ10" s="414"/>
      <c r="IUK10" s="414"/>
      <c r="IUL10" s="414"/>
      <c r="IUM10" s="414"/>
      <c r="IUN10" s="414"/>
      <c r="IUO10" s="414"/>
      <c r="IUP10" s="414"/>
      <c r="IUQ10" s="414"/>
      <c r="IUR10" s="414"/>
      <c r="IUS10" s="414"/>
      <c r="IUT10" s="414"/>
      <c r="IUU10" s="414"/>
      <c r="IUV10" s="414"/>
      <c r="IUW10" s="414"/>
      <c r="IUX10" s="414"/>
      <c r="IUY10" s="414"/>
      <c r="IUZ10" s="414"/>
      <c r="IVA10" s="414"/>
      <c r="IVB10" s="414"/>
      <c r="IVC10" s="414"/>
      <c r="IVD10" s="414"/>
      <c r="IVE10" s="414"/>
      <c r="IVF10" s="414"/>
      <c r="IVG10" s="414"/>
      <c r="IVH10" s="414"/>
      <c r="IVI10" s="414"/>
      <c r="IVJ10" s="414"/>
      <c r="IVK10" s="414"/>
      <c r="IVL10" s="414"/>
      <c r="IVM10" s="414"/>
      <c r="IVN10" s="414"/>
      <c r="IVO10" s="414"/>
      <c r="IVP10" s="414"/>
      <c r="IVQ10" s="414"/>
      <c r="IVR10" s="414"/>
      <c r="IVS10" s="414"/>
      <c r="IVT10" s="414"/>
      <c r="IVU10" s="414"/>
      <c r="IVV10" s="414"/>
      <c r="IVW10" s="414"/>
      <c r="IVX10" s="414"/>
      <c r="IVY10" s="414"/>
      <c r="IVZ10" s="414"/>
      <c r="IWA10" s="414"/>
      <c r="IWB10" s="414"/>
      <c r="IWC10" s="414"/>
      <c r="IWD10" s="414"/>
      <c r="IWE10" s="414"/>
      <c r="IWF10" s="414"/>
      <c r="IWG10" s="414"/>
      <c r="IWH10" s="414"/>
      <c r="IWI10" s="414"/>
      <c r="IWJ10" s="414"/>
      <c r="IWK10" s="414"/>
      <c r="IWL10" s="414"/>
      <c r="IWM10" s="414"/>
      <c r="IWN10" s="414"/>
      <c r="IWO10" s="414"/>
      <c r="IWP10" s="414"/>
      <c r="IWQ10" s="414"/>
      <c r="IWR10" s="414"/>
      <c r="IWS10" s="414"/>
      <c r="IWT10" s="414"/>
      <c r="IWU10" s="414"/>
      <c r="IWV10" s="414"/>
      <c r="IWW10" s="414"/>
      <c r="IWX10" s="414"/>
      <c r="IWY10" s="414"/>
      <c r="IWZ10" s="414"/>
      <c r="IXA10" s="414"/>
      <c r="IXB10" s="414"/>
      <c r="IXC10" s="414"/>
      <c r="IXD10" s="414"/>
      <c r="IXE10" s="414"/>
      <c r="IXF10" s="414"/>
      <c r="IXG10" s="414"/>
      <c r="IXH10" s="414"/>
      <c r="IXI10" s="414"/>
      <c r="IXJ10" s="414"/>
      <c r="IXK10" s="414"/>
      <c r="IXL10" s="414"/>
      <c r="IXM10" s="414"/>
      <c r="IXN10" s="414"/>
      <c r="IXO10" s="414"/>
      <c r="IXP10" s="414"/>
      <c r="IXQ10" s="414"/>
      <c r="IXR10" s="414"/>
      <c r="IXS10" s="414"/>
      <c r="IXT10" s="414"/>
      <c r="IXU10" s="414"/>
      <c r="IXV10" s="414"/>
      <c r="IXW10" s="414"/>
      <c r="IXX10" s="414"/>
      <c r="IXY10" s="414"/>
      <c r="IXZ10" s="414"/>
      <c r="IYA10" s="414"/>
      <c r="IYB10" s="414"/>
      <c r="IYC10" s="414"/>
      <c r="IYD10" s="414"/>
      <c r="IYE10" s="414"/>
      <c r="IYF10" s="414"/>
      <c r="IYG10" s="414"/>
      <c r="IYH10" s="414"/>
      <c r="IYI10" s="414"/>
      <c r="IYJ10" s="414"/>
      <c r="IYK10" s="414"/>
      <c r="IYL10" s="414"/>
      <c r="IYM10" s="414"/>
      <c r="IYN10" s="414"/>
      <c r="IYO10" s="414"/>
      <c r="IYP10" s="414"/>
      <c r="IYQ10" s="414"/>
      <c r="IYR10" s="414"/>
      <c r="IYS10" s="414"/>
      <c r="IYT10" s="414"/>
      <c r="IYU10" s="414"/>
      <c r="IYV10" s="414"/>
      <c r="IYW10" s="414"/>
      <c r="IYX10" s="414"/>
      <c r="IYY10" s="414"/>
      <c r="IYZ10" s="414"/>
      <c r="IZA10" s="414"/>
      <c r="IZB10" s="414"/>
      <c r="IZC10" s="414"/>
      <c r="IZD10" s="414"/>
      <c r="IZE10" s="414"/>
      <c r="IZF10" s="414"/>
      <c r="IZG10" s="414"/>
      <c r="IZH10" s="414"/>
      <c r="IZI10" s="414"/>
      <c r="IZJ10" s="414"/>
      <c r="IZK10" s="414"/>
      <c r="IZL10" s="414"/>
      <c r="IZM10" s="414"/>
      <c r="IZN10" s="414"/>
      <c r="IZO10" s="414"/>
      <c r="IZP10" s="414"/>
      <c r="IZQ10" s="414"/>
      <c r="IZR10" s="414"/>
      <c r="IZS10" s="414"/>
      <c r="IZT10" s="414"/>
      <c r="IZU10" s="414"/>
      <c r="IZV10" s="414"/>
      <c r="IZW10" s="414"/>
      <c r="IZX10" s="414"/>
      <c r="IZY10" s="414"/>
      <c r="IZZ10" s="414"/>
      <c r="JAA10" s="414"/>
      <c r="JAB10" s="414"/>
      <c r="JAC10" s="414"/>
      <c r="JAD10" s="414"/>
      <c r="JAE10" s="414"/>
      <c r="JAF10" s="414"/>
      <c r="JAG10" s="414"/>
      <c r="JAH10" s="414"/>
      <c r="JAI10" s="414"/>
      <c r="JAJ10" s="414"/>
      <c r="JAK10" s="414"/>
      <c r="JAL10" s="414"/>
      <c r="JAM10" s="414"/>
      <c r="JAN10" s="414"/>
      <c r="JAO10" s="414"/>
      <c r="JAP10" s="414"/>
      <c r="JAQ10" s="414"/>
      <c r="JAR10" s="414"/>
      <c r="JAS10" s="414"/>
      <c r="JAT10" s="414"/>
      <c r="JAU10" s="414"/>
      <c r="JAV10" s="414"/>
      <c r="JAW10" s="414"/>
      <c r="JAX10" s="414"/>
      <c r="JAY10" s="414"/>
      <c r="JAZ10" s="414"/>
      <c r="JBA10" s="414"/>
      <c r="JBB10" s="414"/>
      <c r="JBC10" s="414"/>
      <c r="JBD10" s="414"/>
      <c r="JBE10" s="414"/>
      <c r="JBF10" s="414"/>
      <c r="JBG10" s="414"/>
      <c r="JBH10" s="414"/>
      <c r="JBI10" s="414"/>
      <c r="JBJ10" s="414"/>
      <c r="JBK10" s="414"/>
      <c r="JBL10" s="414"/>
      <c r="JBM10" s="414"/>
      <c r="JBN10" s="414"/>
      <c r="JBO10" s="414"/>
      <c r="JBP10" s="414"/>
      <c r="JBQ10" s="414"/>
      <c r="JBR10" s="414"/>
      <c r="JBS10" s="414"/>
      <c r="JBT10" s="414"/>
      <c r="JBU10" s="414"/>
      <c r="JBV10" s="414"/>
      <c r="JBW10" s="414"/>
      <c r="JBX10" s="414"/>
      <c r="JBY10" s="414"/>
      <c r="JBZ10" s="414"/>
      <c r="JCA10" s="414"/>
      <c r="JCB10" s="414"/>
      <c r="JCC10" s="414"/>
      <c r="JCD10" s="414"/>
      <c r="JCE10" s="414"/>
      <c r="JCF10" s="414"/>
      <c r="JCG10" s="414"/>
      <c r="JCH10" s="414"/>
      <c r="JCI10" s="414"/>
      <c r="JCJ10" s="414"/>
      <c r="JCK10" s="414"/>
      <c r="JCL10" s="414"/>
      <c r="JCM10" s="414"/>
      <c r="JCN10" s="414"/>
      <c r="JCO10" s="414"/>
      <c r="JCP10" s="414"/>
      <c r="JCQ10" s="414"/>
      <c r="JCR10" s="414"/>
      <c r="JCS10" s="414"/>
      <c r="JCT10" s="414"/>
      <c r="JCU10" s="414"/>
      <c r="JCV10" s="414"/>
      <c r="JCW10" s="414"/>
      <c r="JCX10" s="414"/>
      <c r="JCY10" s="414"/>
      <c r="JCZ10" s="414"/>
      <c r="JDA10" s="414"/>
      <c r="JDB10" s="414"/>
      <c r="JDC10" s="414"/>
      <c r="JDD10" s="414"/>
      <c r="JDE10" s="414"/>
      <c r="JDF10" s="414"/>
      <c r="JDG10" s="414"/>
      <c r="JDH10" s="414"/>
      <c r="JDI10" s="414"/>
      <c r="JDJ10" s="414"/>
      <c r="JDK10" s="414"/>
      <c r="JDL10" s="414"/>
      <c r="JDM10" s="414"/>
      <c r="JDN10" s="414"/>
      <c r="JDO10" s="414"/>
      <c r="JDP10" s="414"/>
      <c r="JDQ10" s="414"/>
      <c r="JDR10" s="414"/>
      <c r="JDS10" s="414"/>
      <c r="JDT10" s="414"/>
      <c r="JDU10" s="414"/>
      <c r="JDV10" s="414"/>
      <c r="JDW10" s="414"/>
      <c r="JDX10" s="414"/>
      <c r="JDY10" s="414"/>
      <c r="JDZ10" s="414"/>
      <c r="JEA10" s="414"/>
      <c r="JEB10" s="414"/>
      <c r="JEC10" s="414"/>
      <c r="JED10" s="414"/>
      <c r="JEE10" s="414"/>
      <c r="JEF10" s="414"/>
      <c r="JEG10" s="414"/>
      <c r="JEH10" s="414"/>
      <c r="JEI10" s="414"/>
      <c r="JEJ10" s="414"/>
      <c r="JEK10" s="414"/>
      <c r="JEL10" s="414"/>
      <c r="JEM10" s="414"/>
      <c r="JEN10" s="414"/>
      <c r="JEO10" s="414"/>
      <c r="JEP10" s="414"/>
      <c r="JEQ10" s="414"/>
      <c r="JER10" s="414"/>
      <c r="JES10" s="414"/>
      <c r="JET10" s="414"/>
      <c r="JEU10" s="414"/>
      <c r="JEV10" s="414"/>
      <c r="JEW10" s="414"/>
      <c r="JEX10" s="414"/>
      <c r="JEY10" s="414"/>
      <c r="JEZ10" s="414"/>
      <c r="JFA10" s="414"/>
      <c r="JFB10" s="414"/>
      <c r="JFC10" s="414"/>
      <c r="JFD10" s="414"/>
      <c r="JFE10" s="414"/>
      <c r="JFF10" s="414"/>
      <c r="JFG10" s="414"/>
      <c r="JFH10" s="414"/>
      <c r="JFI10" s="414"/>
      <c r="JFJ10" s="414"/>
      <c r="JFK10" s="414"/>
      <c r="JFL10" s="414"/>
      <c r="JFM10" s="414"/>
      <c r="JFN10" s="414"/>
      <c r="JFO10" s="414"/>
      <c r="JFP10" s="414"/>
      <c r="JFQ10" s="414"/>
      <c r="JFR10" s="414"/>
      <c r="JFS10" s="414"/>
      <c r="JFT10" s="414"/>
      <c r="JFU10" s="414"/>
      <c r="JFV10" s="414"/>
      <c r="JFW10" s="414"/>
      <c r="JFX10" s="414"/>
      <c r="JFY10" s="414"/>
      <c r="JFZ10" s="414"/>
      <c r="JGA10" s="414"/>
      <c r="JGB10" s="414"/>
      <c r="JGC10" s="414"/>
      <c r="JGD10" s="414"/>
      <c r="JGE10" s="414"/>
      <c r="JGF10" s="414"/>
      <c r="JGG10" s="414"/>
      <c r="JGH10" s="414"/>
      <c r="JGI10" s="414"/>
      <c r="JGJ10" s="414"/>
      <c r="JGK10" s="414"/>
      <c r="JGL10" s="414"/>
      <c r="JGM10" s="414"/>
      <c r="JGN10" s="414"/>
      <c r="JGO10" s="414"/>
      <c r="JGP10" s="414"/>
      <c r="JGQ10" s="414"/>
      <c r="JGR10" s="414"/>
      <c r="JGS10" s="414"/>
      <c r="JGT10" s="414"/>
      <c r="JGU10" s="414"/>
      <c r="JGV10" s="414"/>
      <c r="JGW10" s="414"/>
      <c r="JGX10" s="414"/>
      <c r="JGY10" s="414"/>
      <c r="JGZ10" s="414"/>
      <c r="JHA10" s="414"/>
      <c r="JHB10" s="414"/>
      <c r="JHC10" s="414"/>
      <c r="JHD10" s="414"/>
      <c r="JHE10" s="414"/>
      <c r="JHF10" s="414"/>
      <c r="JHG10" s="414"/>
      <c r="JHH10" s="414"/>
      <c r="JHI10" s="414"/>
      <c r="JHJ10" s="414"/>
      <c r="JHK10" s="414"/>
      <c r="JHL10" s="414"/>
      <c r="JHM10" s="414"/>
      <c r="JHN10" s="414"/>
      <c r="JHO10" s="414"/>
      <c r="JHP10" s="414"/>
      <c r="JHQ10" s="414"/>
      <c r="JHR10" s="414"/>
      <c r="JHS10" s="414"/>
      <c r="JHT10" s="414"/>
      <c r="JHU10" s="414"/>
      <c r="JHV10" s="414"/>
      <c r="JHW10" s="414"/>
      <c r="JHX10" s="414"/>
      <c r="JHY10" s="414"/>
      <c r="JHZ10" s="414"/>
      <c r="JIA10" s="414"/>
      <c r="JIB10" s="414"/>
      <c r="JIC10" s="414"/>
      <c r="JID10" s="414"/>
      <c r="JIE10" s="414"/>
      <c r="JIF10" s="414"/>
      <c r="JIG10" s="414"/>
      <c r="JIH10" s="414"/>
      <c r="JII10" s="414"/>
      <c r="JIJ10" s="414"/>
      <c r="JIK10" s="414"/>
      <c r="JIL10" s="414"/>
      <c r="JIM10" s="414"/>
      <c r="JIN10" s="414"/>
      <c r="JIO10" s="414"/>
      <c r="JIP10" s="414"/>
      <c r="JIQ10" s="414"/>
      <c r="JIR10" s="414"/>
      <c r="JIS10" s="414"/>
      <c r="JIT10" s="414"/>
      <c r="JIU10" s="414"/>
      <c r="JIV10" s="414"/>
      <c r="JIW10" s="414"/>
      <c r="JIX10" s="414"/>
      <c r="JIY10" s="414"/>
      <c r="JIZ10" s="414"/>
      <c r="JJA10" s="414"/>
      <c r="JJB10" s="414"/>
      <c r="JJC10" s="414"/>
      <c r="JJD10" s="414"/>
      <c r="JJE10" s="414"/>
      <c r="JJF10" s="414"/>
      <c r="JJG10" s="414"/>
      <c r="JJH10" s="414"/>
      <c r="JJI10" s="414"/>
      <c r="JJJ10" s="414"/>
      <c r="JJK10" s="414"/>
      <c r="JJL10" s="414"/>
      <c r="JJM10" s="414"/>
      <c r="JJN10" s="414"/>
      <c r="JJO10" s="414"/>
      <c r="JJP10" s="414"/>
      <c r="JJQ10" s="414"/>
      <c r="JJR10" s="414"/>
      <c r="JJS10" s="414"/>
      <c r="JJT10" s="414"/>
      <c r="JJU10" s="414"/>
      <c r="JJV10" s="414"/>
      <c r="JJW10" s="414"/>
      <c r="JJX10" s="414"/>
      <c r="JJY10" s="414"/>
      <c r="JJZ10" s="414"/>
      <c r="JKA10" s="414"/>
      <c r="JKB10" s="414"/>
      <c r="JKC10" s="414"/>
      <c r="JKD10" s="414"/>
      <c r="JKE10" s="414"/>
      <c r="JKF10" s="414"/>
      <c r="JKG10" s="414"/>
      <c r="JKH10" s="414"/>
      <c r="JKI10" s="414"/>
      <c r="JKJ10" s="414"/>
      <c r="JKK10" s="414"/>
      <c r="JKL10" s="414"/>
      <c r="JKM10" s="414"/>
      <c r="JKN10" s="414"/>
      <c r="JKO10" s="414"/>
      <c r="JKP10" s="414"/>
      <c r="JKQ10" s="414"/>
      <c r="JKR10" s="414"/>
      <c r="JKS10" s="414"/>
      <c r="JKT10" s="414"/>
      <c r="JKU10" s="414"/>
      <c r="JKV10" s="414"/>
      <c r="JKW10" s="414"/>
      <c r="JKX10" s="414"/>
      <c r="JKY10" s="414"/>
      <c r="JKZ10" s="414"/>
      <c r="JLA10" s="414"/>
      <c r="JLB10" s="414"/>
      <c r="JLC10" s="414"/>
      <c r="JLD10" s="414"/>
      <c r="JLE10" s="414"/>
      <c r="JLF10" s="414"/>
      <c r="JLG10" s="414"/>
      <c r="JLH10" s="414"/>
      <c r="JLI10" s="414"/>
      <c r="JLJ10" s="414"/>
      <c r="JLK10" s="414"/>
      <c r="JLL10" s="414"/>
      <c r="JLM10" s="414"/>
      <c r="JLN10" s="414"/>
      <c r="JLO10" s="414"/>
      <c r="JLP10" s="414"/>
      <c r="JLQ10" s="414"/>
      <c r="JLR10" s="414"/>
      <c r="JLS10" s="414"/>
      <c r="JLT10" s="414"/>
      <c r="JLU10" s="414"/>
      <c r="JLV10" s="414"/>
      <c r="JLW10" s="414"/>
      <c r="JLX10" s="414"/>
      <c r="JLY10" s="414"/>
      <c r="JLZ10" s="414"/>
      <c r="JMA10" s="414"/>
      <c r="JMB10" s="414"/>
      <c r="JMC10" s="414"/>
      <c r="JMD10" s="414"/>
      <c r="JME10" s="414"/>
      <c r="JMF10" s="414"/>
      <c r="JMG10" s="414"/>
      <c r="JMH10" s="414"/>
      <c r="JMI10" s="414"/>
      <c r="JMJ10" s="414"/>
      <c r="JMK10" s="414"/>
      <c r="JML10" s="414"/>
      <c r="JMM10" s="414"/>
      <c r="JMN10" s="414"/>
      <c r="JMO10" s="414"/>
      <c r="JMP10" s="414"/>
      <c r="JMQ10" s="414"/>
      <c r="JMR10" s="414"/>
      <c r="JMS10" s="414"/>
      <c r="JMT10" s="414"/>
      <c r="JMU10" s="414"/>
      <c r="JMV10" s="414"/>
      <c r="JMW10" s="414"/>
      <c r="JMX10" s="414"/>
      <c r="JMY10" s="414"/>
      <c r="JMZ10" s="414"/>
      <c r="JNA10" s="414"/>
      <c r="JNB10" s="414"/>
      <c r="JNC10" s="414"/>
      <c r="JND10" s="414"/>
      <c r="JNE10" s="414"/>
      <c r="JNF10" s="414"/>
      <c r="JNG10" s="414"/>
      <c r="JNH10" s="414"/>
      <c r="JNI10" s="414"/>
      <c r="JNJ10" s="414"/>
      <c r="JNK10" s="414"/>
      <c r="JNL10" s="414"/>
      <c r="JNM10" s="414"/>
      <c r="JNN10" s="414"/>
      <c r="JNO10" s="414"/>
      <c r="JNP10" s="414"/>
      <c r="JNQ10" s="414"/>
      <c r="JNR10" s="414"/>
      <c r="JNS10" s="414"/>
      <c r="JNT10" s="414"/>
      <c r="JNU10" s="414"/>
      <c r="JNV10" s="414"/>
      <c r="JNW10" s="414"/>
      <c r="JNX10" s="414"/>
      <c r="JNY10" s="414"/>
      <c r="JNZ10" s="414"/>
      <c r="JOA10" s="414"/>
      <c r="JOB10" s="414"/>
      <c r="JOC10" s="414"/>
      <c r="JOD10" s="414"/>
      <c r="JOE10" s="414"/>
      <c r="JOF10" s="414"/>
      <c r="JOG10" s="414"/>
      <c r="JOH10" s="414"/>
      <c r="JOI10" s="414"/>
      <c r="JOJ10" s="414"/>
      <c r="JOK10" s="414"/>
      <c r="JOL10" s="414"/>
      <c r="JOM10" s="414"/>
      <c r="JON10" s="414"/>
      <c r="JOO10" s="414"/>
      <c r="JOP10" s="414"/>
      <c r="JOQ10" s="414"/>
      <c r="JOR10" s="414"/>
      <c r="JOS10" s="414"/>
      <c r="JOT10" s="414"/>
      <c r="JOU10" s="414"/>
      <c r="JOV10" s="414"/>
      <c r="JOW10" s="414"/>
      <c r="JOX10" s="414"/>
      <c r="JOY10" s="414"/>
      <c r="JOZ10" s="414"/>
      <c r="JPA10" s="414"/>
      <c r="JPB10" s="414"/>
      <c r="JPC10" s="414"/>
      <c r="JPD10" s="414"/>
      <c r="JPE10" s="414"/>
      <c r="JPF10" s="414"/>
      <c r="JPG10" s="414"/>
      <c r="JPH10" s="414"/>
      <c r="JPI10" s="414"/>
      <c r="JPJ10" s="414"/>
      <c r="JPK10" s="414"/>
      <c r="JPL10" s="414"/>
      <c r="JPM10" s="414"/>
      <c r="JPN10" s="414"/>
      <c r="JPO10" s="414"/>
      <c r="JPP10" s="414"/>
      <c r="JPQ10" s="414"/>
      <c r="JPR10" s="414"/>
      <c r="JPS10" s="414"/>
      <c r="JPT10" s="414"/>
      <c r="JPU10" s="414"/>
      <c r="JPV10" s="414"/>
      <c r="JPW10" s="414"/>
      <c r="JPX10" s="414"/>
      <c r="JPY10" s="414"/>
      <c r="JPZ10" s="414"/>
      <c r="JQA10" s="414"/>
      <c r="JQB10" s="414"/>
      <c r="JQC10" s="414"/>
      <c r="JQD10" s="414"/>
      <c r="JQE10" s="414"/>
      <c r="JQF10" s="414"/>
      <c r="JQG10" s="414"/>
      <c r="JQH10" s="414"/>
      <c r="JQI10" s="414"/>
      <c r="JQJ10" s="414"/>
      <c r="JQK10" s="414"/>
      <c r="JQL10" s="414"/>
      <c r="JQM10" s="414"/>
      <c r="JQN10" s="414"/>
      <c r="JQO10" s="414"/>
      <c r="JQP10" s="414"/>
      <c r="JQQ10" s="414"/>
      <c r="JQR10" s="414"/>
      <c r="JQS10" s="414"/>
      <c r="JQT10" s="414"/>
      <c r="JQU10" s="414"/>
      <c r="JQV10" s="414"/>
      <c r="JQW10" s="414"/>
      <c r="JQX10" s="414"/>
      <c r="JQY10" s="414"/>
      <c r="JQZ10" s="414"/>
      <c r="JRA10" s="414"/>
      <c r="JRB10" s="414"/>
      <c r="JRC10" s="414"/>
      <c r="JRD10" s="414"/>
      <c r="JRE10" s="414"/>
      <c r="JRF10" s="414"/>
      <c r="JRG10" s="414"/>
      <c r="JRH10" s="414"/>
      <c r="JRI10" s="414"/>
      <c r="JRJ10" s="414"/>
      <c r="JRK10" s="414"/>
      <c r="JRL10" s="414"/>
      <c r="JRM10" s="414"/>
      <c r="JRN10" s="414"/>
      <c r="JRO10" s="414"/>
      <c r="JRP10" s="414"/>
      <c r="JRQ10" s="414"/>
      <c r="JRR10" s="414"/>
      <c r="JRS10" s="414"/>
      <c r="JRT10" s="414"/>
      <c r="JRU10" s="414"/>
      <c r="JRV10" s="414"/>
      <c r="JRW10" s="414"/>
      <c r="JRX10" s="414"/>
      <c r="JRY10" s="414"/>
      <c r="JRZ10" s="414"/>
      <c r="JSA10" s="414"/>
      <c r="JSB10" s="414"/>
      <c r="JSC10" s="414"/>
      <c r="JSD10" s="414"/>
      <c r="JSE10" s="414"/>
      <c r="JSF10" s="414"/>
      <c r="JSG10" s="414"/>
      <c r="JSH10" s="414"/>
      <c r="JSI10" s="414"/>
      <c r="JSJ10" s="414"/>
      <c r="JSK10" s="414"/>
      <c r="JSL10" s="414"/>
      <c r="JSM10" s="414"/>
      <c r="JSN10" s="414"/>
      <c r="JSO10" s="414"/>
      <c r="JSP10" s="414"/>
      <c r="JSQ10" s="414"/>
      <c r="JSR10" s="414"/>
      <c r="JSS10" s="414"/>
      <c r="JST10" s="414"/>
      <c r="JSU10" s="414"/>
      <c r="JSV10" s="414"/>
      <c r="JSW10" s="414"/>
      <c r="JSX10" s="414"/>
      <c r="JSY10" s="414"/>
      <c r="JSZ10" s="414"/>
      <c r="JTA10" s="414"/>
      <c r="JTB10" s="414"/>
      <c r="JTC10" s="414"/>
      <c r="JTD10" s="414"/>
      <c r="JTE10" s="414"/>
      <c r="JTF10" s="414"/>
      <c r="JTG10" s="414"/>
      <c r="JTH10" s="414"/>
      <c r="JTI10" s="414"/>
      <c r="JTJ10" s="414"/>
      <c r="JTK10" s="414"/>
      <c r="JTL10" s="414"/>
      <c r="JTM10" s="414"/>
      <c r="JTN10" s="414"/>
      <c r="JTO10" s="414"/>
      <c r="JTP10" s="414"/>
      <c r="JTQ10" s="414"/>
      <c r="JTR10" s="414"/>
      <c r="JTS10" s="414"/>
      <c r="JTT10" s="414"/>
      <c r="JTU10" s="414"/>
      <c r="JTV10" s="414"/>
      <c r="JTW10" s="414"/>
      <c r="JTX10" s="414"/>
      <c r="JTY10" s="414"/>
      <c r="JTZ10" s="414"/>
      <c r="JUA10" s="414"/>
      <c r="JUB10" s="414"/>
      <c r="JUC10" s="414"/>
      <c r="JUD10" s="414"/>
      <c r="JUE10" s="414"/>
      <c r="JUF10" s="414"/>
      <c r="JUG10" s="414"/>
      <c r="JUH10" s="414"/>
      <c r="JUI10" s="414"/>
      <c r="JUJ10" s="414"/>
      <c r="JUK10" s="414"/>
      <c r="JUL10" s="414"/>
      <c r="JUM10" s="414"/>
      <c r="JUN10" s="414"/>
      <c r="JUO10" s="414"/>
      <c r="JUP10" s="414"/>
      <c r="JUQ10" s="414"/>
      <c r="JUR10" s="414"/>
      <c r="JUS10" s="414"/>
      <c r="JUT10" s="414"/>
      <c r="JUU10" s="414"/>
      <c r="JUV10" s="414"/>
      <c r="JUW10" s="414"/>
      <c r="JUX10" s="414"/>
      <c r="JUY10" s="414"/>
      <c r="JUZ10" s="414"/>
      <c r="JVA10" s="414"/>
      <c r="JVB10" s="414"/>
      <c r="JVC10" s="414"/>
      <c r="JVD10" s="414"/>
      <c r="JVE10" s="414"/>
      <c r="JVF10" s="414"/>
      <c r="JVG10" s="414"/>
      <c r="JVH10" s="414"/>
      <c r="JVI10" s="414"/>
      <c r="JVJ10" s="414"/>
      <c r="JVK10" s="414"/>
      <c r="JVL10" s="414"/>
      <c r="JVM10" s="414"/>
      <c r="JVN10" s="414"/>
      <c r="JVO10" s="414"/>
      <c r="JVP10" s="414"/>
      <c r="JVQ10" s="414"/>
      <c r="JVR10" s="414"/>
      <c r="JVS10" s="414"/>
      <c r="JVT10" s="414"/>
      <c r="JVU10" s="414"/>
      <c r="JVV10" s="414"/>
      <c r="JVW10" s="414"/>
      <c r="JVX10" s="414"/>
      <c r="JVY10" s="414"/>
      <c r="JVZ10" s="414"/>
      <c r="JWA10" s="414"/>
      <c r="JWB10" s="414"/>
      <c r="JWC10" s="414"/>
      <c r="JWD10" s="414"/>
      <c r="JWE10" s="414"/>
      <c r="JWF10" s="414"/>
      <c r="JWG10" s="414"/>
      <c r="JWH10" s="414"/>
      <c r="JWI10" s="414"/>
      <c r="JWJ10" s="414"/>
      <c r="JWK10" s="414"/>
      <c r="JWL10" s="414"/>
      <c r="JWM10" s="414"/>
      <c r="JWN10" s="414"/>
      <c r="JWO10" s="414"/>
      <c r="JWP10" s="414"/>
      <c r="JWQ10" s="414"/>
      <c r="JWR10" s="414"/>
      <c r="JWS10" s="414"/>
      <c r="JWT10" s="414"/>
      <c r="JWU10" s="414"/>
      <c r="JWV10" s="414"/>
      <c r="JWW10" s="414"/>
      <c r="JWX10" s="414"/>
      <c r="JWY10" s="414"/>
      <c r="JWZ10" s="414"/>
      <c r="JXA10" s="414"/>
      <c r="JXB10" s="414"/>
      <c r="JXC10" s="414"/>
      <c r="JXD10" s="414"/>
      <c r="JXE10" s="414"/>
      <c r="JXF10" s="414"/>
      <c r="JXG10" s="414"/>
      <c r="JXH10" s="414"/>
      <c r="JXI10" s="414"/>
      <c r="JXJ10" s="414"/>
      <c r="JXK10" s="414"/>
      <c r="JXL10" s="414"/>
      <c r="JXM10" s="414"/>
      <c r="JXN10" s="414"/>
      <c r="JXO10" s="414"/>
      <c r="JXP10" s="414"/>
      <c r="JXQ10" s="414"/>
      <c r="JXR10" s="414"/>
      <c r="JXS10" s="414"/>
      <c r="JXT10" s="414"/>
      <c r="JXU10" s="414"/>
      <c r="JXV10" s="414"/>
      <c r="JXW10" s="414"/>
      <c r="JXX10" s="414"/>
      <c r="JXY10" s="414"/>
      <c r="JXZ10" s="414"/>
      <c r="JYA10" s="414"/>
      <c r="JYB10" s="414"/>
      <c r="JYC10" s="414"/>
      <c r="JYD10" s="414"/>
      <c r="JYE10" s="414"/>
      <c r="JYF10" s="414"/>
      <c r="JYG10" s="414"/>
      <c r="JYH10" s="414"/>
      <c r="JYI10" s="414"/>
      <c r="JYJ10" s="414"/>
      <c r="JYK10" s="414"/>
      <c r="JYL10" s="414"/>
      <c r="JYM10" s="414"/>
      <c r="JYN10" s="414"/>
      <c r="JYO10" s="414"/>
      <c r="JYP10" s="414"/>
      <c r="JYQ10" s="414"/>
      <c r="JYR10" s="414"/>
      <c r="JYS10" s="414"/>
      <c r="JYT10" s="414"/>
      <c r="JYU10" s="414"/>
      <c r="JYV10" s="414"/>
      <c r="JYW10" s="414"/>
      <c r="JYX10" s="414"/>
      <c r="JYY10" s="414"/>
      <c r="JYZ10" s="414"/>
      <c r="JZA10" s="414"/>
      <c r="JZB10" s="414"/>
      <c r="JZC10" s="414"/>
      <c r="JZD10" s="414"/>
      <c r="JZE10" s="414"/>
      <c r="JZF10" s="414"/>
      <c r="JZG10" s="414"/>
      <c r="JZH10" s="414"/>
      <c r="JZI10" s="414"/>
      <c r="JZJ10" s="414"/>
      <c r="JZK10" s="414"/>
      <c r="JZL10" s="414"/>
      <c r="JZM10" s="414"/>
      <c r="JZN10" s="414"/>
      <c r="JZO10" s="414"/>
      <c r="JZP10" s="414"/>
      <c r="JZQ10" s="414"/>
      <c r="JZR10" s="414"/>
      <c r="JZS10" s="414"/>
      <c r="JZT10" s="414"/>
      <c r="JZU10" s="414"/>
      <c r="JZV10" s="414"/>
      <c r="JZW10" s="414"/>
      <c r="JZX10" s="414"/>
      <c r="JZY10" s="414"/>
      <c r="JZZ10" s="414"/>
      <c r="KAA10" s="414"/>
      <c r="KAB10" s="414"/>
      <c r="KAC10" s="414"/>
      <c r="KAD10" s="414"/>
      <c r="KAE10" s="414"/>
      <c r="KAF10" s="414"/>
      <c r="KAG10" s="414"/>
      <c r="KAH10" s="414"/>
      <c r="KAI10" s="414"/>
      <c r="KAJ10" s="414"/>
      <c r="KAK10" s="414"/>
      <c r="KAL10" s="414"/>
      <c r="KAM10" s="414"/>
      <c r="KAN10" s="414"/>
      <c r="KAO10" s="414"/>
      <c r="KAP10" s="414"/>
      <c r="KAQ10" s="414"/>
      <c r="KAR10" s="414"/>
      <c r="KAS10" s="414"/>
      <c r="KAT10" s="414"/>
      <c r="KAU10" s="414"/>
      <c r="KAV10" s="414"/>
      <c r="KAW10" s="414"/>
      <c r="KAX10" s="414"/>
      <c r="KAY10" s="414"/>
      <c r="KAZ10" s="414"/>
      <c r="KBA10" s="414"/>
      <c r="KBB10" s="414"/>
      <c r="KBC10" s="414"/>
      <c r="KBD10" s="414"/>
      <c r="KBE10" s="414"/>
      <c r="KBF10" s="414"/>
      <c r="KBG10" s="414"/>
      <c r="KBH10" s="414"/>
      <c r="KBI10" s="414"/>
      <c r="KBJ10" s="414"/>
      <c r="KBK10" s="414"/>
      <c r="KBL10" s="414"/>
      <c r="KBM10" s="414"/>
      <c r="KBN10" s="414"/>
      <c r="KBO10" s="414"/>
      <c r="KBP10" s="414"/>
      <c r="KBQ10" s="414"/>
      <c r="KBR10" s="414"/>
      <c r="KBS10" s="414"/>
      <c r="KBT10" s="414"/>
      <c r="KBU10" s="414"/>
      <c r="KBV10" s="414"/>
      <c r="KBW10" s="414"/>
      <c r="KBX10" s="414"/>
      <c r="KBY10" s="414"/>
      <c r="KBZ10" s="414"/>
      <c r="KCA10" s="414"/>
      <c r="KCB10" s="414"/>
      <c r="KCC10" s="414"/>
      <c r="KCD10" s="414"/>
      <c r="KCE10" s="414"/>
      <c r="KCF10" s="414"/>
      <c r="KCG10" s="414"/>
      <c r="KCH10" s="414"/>
      <c r="KCI10" s="414"/>
      <c r="KCJ10" s="414"/>
      <c r="KCK10" s="414"/>
      <c r="KCL10" s="414"/>
      <c r="KCM10" s="414"/>
      <c r="KCN10" s="414"/>
      <c r="KCO10" s="414"/>
      <c r="KCP10" s="414"/>
      <c r="KCQ10" s="414"/>
      <c r="KCR10" s="414"/>
      <c r="KCS10" s="414"/>
      <c r="KCT10" s="414"/>
      <c r="KCU10" s="414"/>
      <c r="KCV10" s="414"/>
      <c r="KCW10" s="414"/>
      <c r="KCX10" s="414"/>
      <c r="KCY10" s="414"/>
      <c r="KCZ10" s="414"/>
      <c r="KDA10" s="414"/>
      <c r="KDB10" s="414"/>
      <c r="KDC10" s="414"/>
      <c r="KDD10" s="414"/>
      <c r="KDE10" s="414"/>
      <c r="KDF10" s="414"/>
      <c r="KDG10" s="414"/>
      <c r="KDH10" s="414"/>
      <c r="KDI10" s="414"/>
      <c r="KDJ10" s="414"/>
      <c r="KDK10" s="414"/>
      <c r="KDL10" s="414"/>
      <c r="KDM10" s="414"/>
      <c r="KDN10" s="414"/>
      <c r="KDO10" s="414"/>
      <c r="KDP10" s="414"/>
      <c r="KDQ10" s="414"/>
      <c r="KDR10" s="414"/>
      <c r="KDS10" s="414"/>
      <c r="KDT10" s="414"/>
      <c r="KDU10" s="414"/>
      <c r="KDV10" s="414"/>
      <c r="KDW10" s="414"/>
      <c r="KDX10" s="414"/>
      <c r="KDY10" s="414"/>
      <c r="KDZ10" s="414"/>
      <c r="KEA10" s="414"/>
      <c r="KEB10" s="414"/>
      <c r="KEC10" s="414"/>
      <c r="KED10" s="414"/>
      <c r="KEE10" s="414"/>
      <c r="KEF10" s="414"/>
      <c r="KEG10" s="414"/>
      <c r="KEH10" s="414"/>
      <c r="KEI10" s="414"/>
      <c r="KEJ10" s="414"/>
      <c r="KEK10" s="414"/>
      <c r="KEL10" s="414"/>
      <c r="KEM10" s="414"/>
      <c r="KEN10" s="414"/>
      <c r="KEO10" s="414"/>
      <c r="KEP10" s="414"/>
      <c r="KEQ10" s="414"/>
      <c r="KER10" s="414"/>
      <c r="KES10" s="414"/>
      <c r="KET10" s="414"/>
      <c r="KEU10" s="414"/>
      <c r="KEV10" s="414"/>
      <c r="KEW10" s="414"/>
      <c r="KEX10" s="414"/>
      <c r="KEY10" s="414"/>
      <c r="KEZ10" s="414"/>
      <c r="KFA10" s="414"/>
      <c r="KFB10" s="414"/>
      <c r="KFC10" s="414"/>
      <c r="KFD10" s="414"/>
      <c r="KFE10" s="414"/>
      <c r="KFF10" s="414"/>
      <c r="KFG10" s="414"/>
      <c r="KFH10" s="414"/>
      <c r="KFI10" s="414"/>
      <c r="KFJ10" s="414"/>
      <c r="KFK10" s="414"/>
      <c r="KFL10" s="414"/>
      <c r="KFM10" s="414"/>
      <c r="KFN10" s="414"/>
      <c r="KFO10" s="414"/>
      <c r="KFP10" s="414"/>
      <c r="KFQ10" s="414"/>
      <c r="KFR10" s="414"/>
      <c r="KFS10" s="414"/>
      <c r="KFT10" s="414"/>
      <c r="KFU10" s="414"/>
      <c r="KFV10" s="414"/>
      <c r="KFW10" s="414"/>
      <c r="KFX10" s="414"/>
      <c r="KFY10" s="414"/>
      <c r="KFZ10" s="414"/>
      <c r="KGA10" s="414"/>
      <c r="KGB10" s="414"/>
      <c r="KGC10" s="414"/>
      <c r="KGD10" s="414"/>
      <c r="KGE10" s="414"/>
      <c r="KGF10" s="414"/>
      <c r="KGG10" s="414"/>
      <c r="KGH10" s="414"/>
      <c r="KGI10" s="414"/>
      <c r="KGJ10" s="414"/>
      <c r="KGK10" s="414"/>
      <c r="KGL10" s="414"/>
      <c r="KGM10" s="414"/>
      <c r="KGN10" s="414"/>
      <c r="KGO10" s="414"/>
      <c r="KGP10" s="414"/>
      <c r="KGQ10" s="414"/>
      <c r="KGR10" s="414"/>
      <c r="KGS10" s="414"/>
      <c r="KGT10" s="414"/>
      <c r="KGU10" s="414"/>
      <c r="KGV10" s="414"/>
      <c r="KGW10" s="414"/>
      <c r="KGX10" s="414"/>
      <c r="KGY10" s="414"/>
      <c r="KGZ10" s="414"/>
      <c r="KHA10" s="414"/>
      <c r="KHB10" s="414"/>
      <c r="KHC10" s="414"/>
      <c r="KHD10" s="414"/>
      <c r="KHE10" s="414"/>
      <c r="KHF10" s="414"/>
      <c r="KHG10" s="414"/>
      <c r="KHH10" s="414"/>
      <c r="KHI10" s="414"/>
      <c r="KHJ10" s="414"/>
      <c r="KHK10" s="414"/>
      <c r="KHL10" s="414"/>
      <c r="KHM10" s="414"/>
      <c r="KHN10" s="414"/>
      <c r="KHO10" s="414"/>
      <c r="KHP10" s="414"/>
      <c r="KHQ10" s="414"/>
      <c r="KHR10" s="414"/>
      <c r="KHS10" s="414"/>
      <c r="KHT10" s="414"/>
      <c r="KHU10" s="414"/>
      <c r="KHV10" s="414"/>
      <c r="KHW10" s="414"/>
      <c r="KHX10" s="414"/>
      <c r="KHY10" s="414"/>
      <c r="KHZ10" s="414"/>
      <c r="KIA10" s="414"/>
      <c r="KIB10" s="414"/>
      <c r="KIC10" s="414"/>
      <c r="KID10" s="414"/>
      <c r="KIE10" s="414"/>
      <c r="KIF10" s="414"/>
      <c r="KIG10" s="414"/>
      <c r="KIH10" s="414"/>
      <c r="KII10" s="414"/>
      <c r="KIJ10" s="414"/>
      <c r="KIK10" s="414"/>
      <c r="KIL10" s="414"/>
      <c r="KIM10" s="414"/>
      <c r="KIN10" s="414"/>
      <c r="KIO10" s="414"/>
      <c r="KIP10" s="414"/>
      <c r="KIQ10" s="414"/>
      <c r="KIR10" s="414"/>
      <c r="KIS10" s="414"/>
      <c r="KIT10" s="414"/>
      <c r="KIU10" s="414"/>
      <c r="KIV10" s="414"/>
      <c r="KIW10" s="414"/>
      <c r="KIX10" s="414"/>
      <c r="KIY10" s="414"/>
      <c r="KIZ10" s="414"/>
      <c r="KJA10" s="414"/>
      <c r="KJB10" s="414"/>
      <c r="KJC10" s="414"/>
      <c r="KJD10" s="414"/>
      <c r="KJE10" s="414"/>
      <c r="KJF10" s="414"/>
      <c r="KJG10" s="414"/>
      <c r="KJH10" s="414"/>
      <c r="KJI10" s="414"/>
      <c r="KJJ10" s="414"/>
      <c r="KJK10" s="414"/>
      <c r="KJL10" s="414"/>
      <c r="KJM10" s="414"/>
      <c r="KJN10" s="414"/>
      <c r="KJO10" s="414"/>
      <c r="KJP10" s="414"/>
      <c r="KJQ10" s="414"/>
      <c r="KJR10" s="414"/>
      <c r="KJS10" s="414"/>
      <c r="KJT10" s="414"/>
      <c r="KJU10" s="414"/>
      <c r="KJV10" s="414"/>
      <c r="KJW10" s="414"/>
      <c r="KJX10" s="414"/>
      <c r="KJY10" s="414"/>
      <c r="KJZ10" s="414"/>
      <c r="KKA10" s="414"/>
      <c r="KKB10" s="414"/>
      <c r="KKC10" s="414"/>
      <c r="KKD10" s="414"/>
      <c r="KKE10" s="414"/>
      <c r="KKF10" s="414"/>
      <c r="KKG10" s="414"/>
      <c r="KKH10" s="414"/>
      <c r="KKI10" s="414"/>
      <c r="KKJ10" s="414"/>
      <c r="KKK10" s="414"/>
      <c r="KKL10" s="414"/>
      <c r="KKM10" s="414"/>
      <c r="KKN10" s="414"/>
      <c r="KKO10" s="414"/>
      <c r="KKP10" s="414"/>
      <c r="KKQ10" s="414"/>
      <c r="KKR10" s="414"/>
      <c r="KKS10" s="414"/>
      <c r="KKT10" s="414"/>
      <c r="KKU10" s="414"/>
      <c r="KKV10" s="414"/>
      <c r="KKW10" s="414"/>
      <c r="KKX10" s="414"/>
      <c r="KKY10" s="414"/>
      <c r="KKZ10" s="414"/>
      <c r="KLA10" s="414"/>
      <c r="KLB10" s="414"/>
      <c r="KLC10" s="414"/>
      <c r="KLD10" s="414"/>
      <c r="KLE10" s="414"/>
      <c r="KLF10" s="414"/>
      <c r="KLG10" s="414"/>
      <c r="KLH10" s="414"/>
      <c r="KLI10" s="414"/>
      <c r="KLJ10" s="414"/>
      <c r="KLK10" s="414"/>
      <c r="KLL10" s="414"/>
      <c r="KLM10" s="414"/>
      <c r="KLN10" s="414"/>
      <c r="KLO10" s="414"/>
      <c r="KLP10" s="414"/>
      <c r="KLQ10" s="414"/>
      <c r="KLR10" s="414"/>
      <c r="KLS10" s="414"/>
      <c r="KLT10" s="414"/>
      <c r="KLU10" s="414"/>
      <c r="KLV10" s="414"/>
      <c r="KLW10" s="414"/>
      <c r="KLX10" s="414"/>
      <c r="KLY10" s="414"/>
      <c r="KLZ10" s="414"/>
      <c r="KMA10" s="414"/>
      <c r="KMB10" s="414"/>
      <c r="KMC10" s="414"/>
      <c r="KMD10" s="414"/>
      <c r="KME10" s="414"/>
      <c r="KMF10" s="414"/>
      <c r="KMG10" s="414"/>
      <c r="KMH10" s="414"/>
      <c r="KMI10" s="414"/>
      <c r="KMJ10" s="414"/>
      <c r="KMK10" s="414"/>
      <c r="KML10" s="414"/>
      <c r="KMM10" s="414"/>
      <c r="KMN10" s="414"/>
      <c r="KMO10" s="414"/>
      <c r="KMP10" s="414"/>
      <c r="KMQ10" s="414"/>
      <c r="KMR10" s="414"/>
      <c r="KMS10" s="414"/>
      <c r="KMT10" s="414"/>
      <c r="KMU10" s="414"/>
      <c r="KMV10" s="414"/>
      <c r="KMW10" s="414"/>
      <c r="KMX10" s="414"/>
      <c r="KMY10" s="414"/>
      <c r="KMZ10" s="414"/>
      <c r="KNA10" s="414"/>
      <c r="KNB10" s="414"/>
      <c r="KNC10" s="414"/>
      <c r="KND10" s="414"/>
      <c r="KNE10" s="414"/>
      <c r="KNF10" s="414"/>
      <c r="KNG10" s="414"/>
      <c r="KNH10" s="414"/>
      <c r="KNI10" s="414"/>
      <c r="KNJ10" s="414"/>
      <c r="KNK10" s="414"/>
      <c r="KNL10" s="414"/>
      <c r="KNM10" s="414"/>
      <c r="KNN10" s="414"/>
      <c r="KNO10" s="414"/>
      <c r="KNP10" s="414"/>
      <c r="KNQ10" s="414"/>
      <c r="KNR10" s="414"/>
      <c r="KNS10" s="414"/>
      <c r="KNT10" s="414"/>
      <c r="KNU10" s="414"/>
      <c r="KNV10" s="414"/>
      <c r="KNW10" s="414"/>
      <c r="KNX10" s="414"/>
      <c r="KNY10" s="414"/>
      <c r="KNZ10" s="414"/>
      <c r="KOA10" s="414"/>
      <c r="KOB10" s="414"/>
      <c r="KOC10" s="414"/>
      <c r="KOD10" s="414"/>
      <c r="KOE10" s="414"/>
      <c r="KOF10" s="414"/>
      <c r="KOG10" s="414"/>
      <c r="KOH10" s="414"/>
      <c r="KOI10" s="414"/>
      <c r="KOJ10" s="414"/>
      <c r="KOK10" s="414"/>
      <c r="KOL10" s="414"/>
      <c r="KOM10" s="414"/>
      <c r="KON10" s="414"/>
      <c r="KOO10" s="414"/>
      <c r="KOP10" s="414"/>
      <c r="KOQ10" s="414"/>
      <c r="KOR10" s="414"/>
      <c r="KOS10" s="414"/>
      <c r="KOT10" s="414"/>
      <c r="KOU10" s="414"/>
      <c r="KOV10" s="414"/>
      <c r="KOW10" s="414"/>
      <c r="KOX10" s="414"/>
      <c r="KOY10" s="414"/>
      <c r="KOZ10" s="414"/>
      <c r="KPA10" s="414"/>
      <c r="KPB10" s="414"/>
      <c r="KPC10" s="414"/>
      <c r="KPD10" s="414"/>
      <c r="KPE10" s="414"/>
      <c r="KPF10" s="414"/>
      <c r="KPG10" s="414"/>
      <c r="KPH10" s="414"/>
      <c r="KPI10" s="414"/>
      <c r="KPJ10" s="414"/>
      <c r="KPK10" s="414"/>
      <c r="KPL10" s="414"/>
      <c r="KPM10" s="414"/>
      <c r="KPN10" s="414"/>
      <c r="KPO10" s="414"/>
      <c r="KPP10" s="414"/>
      <c r="KPQ10" s="414"/>
      <c r="KPR10" s="414"/>
      <c r="KPS10" s="414"/>
      <c r="KPT10" s="414"/>
      <c r="KPU10" s="414"/>
      <c r="KPV10" s="414"/>
      <c r="KPW10" s="414"/>
      <c r="KPX10" s="414"/>
      <c r="KPY10" s="414"/>
      <c r="KPZ10" s="414"/>
      <c r="KQA10" s="414"/>
      <c r="KQB10" s="414"/>
      <c r="KQC10" s="414"/>
      <c r="KQD10" s="414"/>
      <c r="KQE10" s="414"/>
      <c r="KQF10" s="414"/>
      <c r="KQG10" s="414"/>
      <c r="KQH10" s="414"/>
      <c r="KQI10" s="414"/>
      <c r="KQJ10" s="414"/>
      <c r="KQK10" s="414"/>
      <c r="KQL10" s="414"/>
      <c r="KQM10" s="414"/>
      <c r="KQN10" s="414"/>
      <c r="KQO10" s="414"/>
      <c r="KQP10" s="414"/>
      <c r="KQQ10" s="414"/>
      <c r="KQR10" s="414"/>
      <c r="KQS10" s="414"/>
      <c r="KQT10" s="414"/>
      <c r="KQU10" s="414"/>
      <c r="KQV10" s="414"/>
      <c r="KQW10" s="414"/>
      <c r="KQX10" s="414"/>
      <c r="KQY10" s="414"/>
      <c r="KQZ10" s="414"/>
      <c r="KRA10" s="414"/>
      <c r="KRB10" s="414"/>
      <c r="KRC10" s="414"/>
      <c r="KRD10" s="414"/>
      <c r="KRE10" s="414"/>
      <c r="KRF10" s="414"/>
      <c r="KRG10" s="414"/>
      <c r="KRH10" s="414"/>
      <c r="KRI10" s="414"/>
      <c r="KRJ10" s="414"/>
      <c r="KRK10" s="414"/>
      <c r="KRL10" s="414"/>
      <c r="KRM10" s="414"/>
      <c r="KRN10" s="414"/>
      <c r="KRO10" s="414"/>
      <c r="KRP10" s="414"/>
      <c r="KRQ10" s="414"/>
      <c r="KRR10" s="414"/>
      <c r="KRS10" s="414"/>
      <c r="KRT10" s="414"/>
      <c r="KRU10" s="414"/>
      <c r="KRV10" s="414"/>
      <c r="KRW10" s="414"/>
      <c r="KRX10" s="414"/>
      <c r="KRY10" s="414"/>
      <c r="KRZ10" s="414"/>
      <c r="KSA10" s="414"/>
      <c r="KSB10" s="414"/>
      <c r="KSC10" s="414"/>
      <c r="KSD10" s="414"/>
      <c r="KSE10" s="414"/>
      <c r="KSF10" s="414"/>
      <c r="KSG10" s="414"/>
      <c r="KSH10" s="414"/>
      <c r="KSI10" s="414"/>
      <c r="KSJ10" s="414"/>
      <c r="KSK10" s="414"/>
      <c r="KSL10" s="414"/>
      <c r="KSM10" s="414"/>
      <c r="KSN10" s="414"/>
      <c r="KSO10" s="414"/>
      <c r="KSP10" s="414"/>
      <c r="KSQ10" s="414"/>
      <c r="KSR10" s="414"/>
      <c r="KSS10" s="414"/>
      <c r="KST10" s="414"/>
      <c r="KSU10" s="414"/>
      <c r="KSV10" s="414"/>
      <c r="KSW10" s="414"/>
      <c r="KSX10" s="414"/>
      <c r="KSY10" s="414"/>
      <c r="KSZ10" s="414"/>
      <c r="KTA10" s="414"/>
      <c r="KTB10" s="414"/>
      <c r="KTC10" s="414"/>
      <c r="KTD10" s="414"/>
      <c r="KTE10" s="414"/>
      <c r="KTF10" s="414"/>
      <c r="KTG10" s="414"/>
      <c r="KTH10" s="414"/>
      <c r="KTI10" s="414"/>
      <c r="KTJ10" s="414"/>
      <c r="KTK10" s="414"/>
      <c r="KTL10" s="414"/>
      <c r="KTM10" s="414"/>
      <c r="KTN10" s="414"/>
      <c r="KTO10" s="414"/>
      <c r="KTP10" s="414"/>
      <c r="KTQ10" s="414"/>
      <c r="KTR10" s="414"/>
      <c r="KTS10" s="414"/>
      <c r="KTT10" s="414"/>
      <c r="KTU10" s="414"/>
      <c r="KTV10" s="414"/>
      <c r="KTW10" s="414"/>
      <c r="KTX10" s="414"/>
      <c r="KTY10" s="414"/>
      <c r="KTZ10" s="414"/>
      <c r="KUA10" s="414"/>
      <c r="KUB10" s="414"/>
      <c r="KUC10" s="414"/>
      <c r="KUD10" s="414"/>
      <c r="KUE10" s="414"/>
      <c r="KUF10" s="414"/>
      <c r="KUG10" s="414"/>
      <c r="KUH10" s="414"/>
      <c r="KUI10" s="414"/>
      <c r="KUJ10" s="414"/>
      <c r="KUK10" s="414"/>
      <c r="KUL10" s="414"/>
      <c r="KUM10" s="414"/>
      <c r="KUN10" s="414"/>
      <c r="KUO10" s="414"/>
      <c r="KUP10" s="414"/>
      <c r="KUQ10" s="414"/>
      <c r="KUR10" s="414"/>
      <c r="KUS10" s="414"/>
      <c r="KUT10" s="414"/>
      <c r="KUU10" s="414"/>
      <c r="KUV10" s="414"/>
      <c r="KUW10" s="414"/>
      <c r="KUX10" s="414"/>
      <c r="KUY10" s="414"/>
      <c r="KUZ10" s="414"/>
      <c r="KVA10" s="414"/>
      <c r="KVB10" s="414"/>
      <c r="KVC10" s="414"/>
      <c r="KVD10" s="414"/>
      <c r="KVE10" s="414"/>
      <c r="KVF10" s="414"/>
      <c r="KVG10" s="414"/>
      <c r="KVH10" s="414"/>
      <c r="KVI10" s="414"/>
      <c r="KVJ10" s="414"/>
      <c r="KVK10" s="414"/>
      <c r="KVL10" s="414"/>
      <c r="KVM10" s="414"/>
      <c r="KVN10" s="414"/>
      <c r="KVO10" s="414"/>
      <c r="KVP10" s="414"/>
      <c r="KVQ10" s="414"/>
      <c r="KVR10" s="414"/>
      <c r="KVS10" s="414"/>
      <c r="KVT10" s="414"/>
      <c r="KVU10" s="414"/>
      <c r="KVV10" s="414"/>
      <c r="KVW10" s="414"/>
      <c r="KVX10" s="414"/>
      <c r="KVY10" s="414"/>
      <c r="KVZ10" s="414"/>
      <c r="KWA10" s="414"/>
      <c r="KWB10" s="414"/>
      <c r="KWC10" s="414"/>
      <c r="KWD10" s="414"/>
      <c r="KWE10" s="414"/>
      <c r="KWF10" s="414"/>
      <c r="KWG10" s="414"/>
      <c r="KWH10" s="414"/>
      <c r="KWI10" s="414"/>
      <c r="KWJ10" s="414"/>
      <c r="KWK10" s="414"/>
      <c r="KWL10" s="414"/>
      <c r="KWM10" s="414"/>
      <c r="KWN10" s="414"/>
      <c r="KWO10" s="414"/>
      <c r="KWP10" s="414"/>
      <c r="KWQ10" s="414"/>
      <c r="KWR10" s="414"/>
      <c r="KWS10" s="414"/>
      <c r="KWT10" s="414"/>
      <c r="KWU10" s="414"/>
      <c r="KWV10" s="414"/>
      <c r="KWW10" s="414"/>
      <c r="KWX10" s="414"/>
      <c r="KWY10" s="414"/>
      <c r="KWZ10" s="414"/>
      <c r="KXA10" s="414"/>
      <c r="KXB10" s="414"/>
      <c r="KXC10" s="414"/>
      <c r="KXD10" s="414"/>
      <c r="KXE10" s="414"/>
      <c r="KXF10" s="414"/>
      <c r="KXG10" s="414"/>
      <c r="KXH10" s="414"/>
      <c r="KXI10" s="414"/>
      <c r="KXJ10" s="414"/>
      <c r="KXK10" s="414"/>
      <c r="KXL10" s="414"/>
      <c r="KXM10" s="414"/>
      <c r="KXN10" s="414"/>
      <c r="KXO10" s="414"/>
      <c r="KXP10" s="414"/>
      <c r="KXQ10" s="414"/>
      <c r="KXR10" s="414"/>
      <c r="KXS10" s="414"/>
      <c r="KXT10" s="414"/>
      <c r="KXU10" s="414"/>
      <c r="KXV10" s="414"/>
      <c r="KXW10" s="414"/>
      <c r="KXX10" s="414"/>
      <c r="KXY10" s="414"/>
      <c r="KXZ10" s="414"/>
      <c r="KYA10" s="414"/>
      <c r="KYB10" s="414"/>
      <c r="KYC10" s="414"/>
      <c r="KYD10" s="414"/>
      <c r="KYE10" s="414"/>
      <c r="KYF10" s="414"/>
      <c r="KYG10" s="414"/>
      <c r="KYH10" s="414"/>
      <c r="KYI10" s="414"/>
      <c r="KYJ10" s="414"/>
      <c r="KYK10" s="414"/>
      <c r="KYL10" s="414"/>
      <c r="KYM10" s="414"/>
      <c r="KYN10" s="414"/>
      <c r="KYO10" s="414"/>
      <c r="KYP10" s="414"/>
      <c r="KYQ10" s="414"/>
      <c r="KYR10" s="414"/>
      <c r="KYS10" s="414"/>
      <c r="KYT10" s="414"/>
      <c r="KYU10" s="414"/>
      <c r="KYV10" s="414"/>
      <c r="KYW10" s="414"/>
      <c r="KYX10" s="414"/>
      <c r="KYY10" s="414"/>
      <c r="KYZ10" s="414"/>
      <c r="KZA10" s="414"/>
      <c r="KZB10" s="414"/>
      <c r="KZC10" s="414"/>
      <c r="KZD10" s="414"/>
      <c r="KZE10" s="414"/>
      <c r="KZF10" s="414"/>
      <c r="KZG10" s="414"/>
      <c r="KZH10" s="414"/>
      <c r="KZI10" s="414"/>
      <c r="KZJ10" s="414"/>
      <c r="KZK10" s="414"/>
      <c r="KZL10" s="414"/>
      <c r="KZM10" s="414"/>
      <c r="KZN10" s="414"/>
      <c r="KZO10" s="414"/>
      <c r="KZP10" s="414"/>
      <c r="KZQ10" s="414"/>
      <c r="KZR10" s="414"/>
      <c r="KZS10" s="414"/>
      <c r="KZT10" s="414"/>
      <c r="KZU10" s="414"/>
      <c r="KZV10" s="414"/>
      <c r="KZW10" s="414"/>
      <c r="KZX10" s="414"/>
      <c r="KZY10" s="414"/>
      <c r="KZZ10" s="414"/>
      <c r="LAA10" s="414"/>
      <c r="LAB10" s="414"/>
      <c r="LAC10" s="414"/>
      <c r="LAD10" s="414"/>
      <c r="LAE10" s="414"/>
      <c r="LAF10" s="414"/>
      <c r="LAG10" s="414"/>
      <c r="LAH10" s="414"/>
      <c r="LAI10" s="414"/>
      <c r="LAJ10" s="414"/>
      <c r="LAK10" s="414"/>
      <c r="LAL10" s="414"/>
      <c r="LAM10" s="414"/>
      <c r="LAN10" s="414"/>
      <c r="LAO10" s="414"/>
      <c r="LAP10" s="414"/>
      <c r="LAQ10" s="414"/>
      <c r="LAR10" s="414"/>
      <c r="LAS10" s="414"/>
      <c r="LAT10" s="414"/>
      <c r="LAU10" s="414"/>
      <c r="LAV10" s="414"/>
      <c r="LAW10" s="414"/>
      <c r="LAX10" s="414"/>
      <c r="LAY10" s="414"/>
      <c r="LAZ10" s="414"/>
      <c r="LBA10" s="414"/>
      <c r="LBB10" s="414"/>
      <c r="LBC10" s="414"/>
      <c r="LBD10" s="414"/>
      <c r="LBE10" s="414"/>
      <c r="LBF10" s="414"/>
      <c r="LBG10" s="414"/>
      <c r="LBH10" s="414"/>
      <c r="LBI10" s="414"/>
      <c r="LBJ10" s="414"/>
      <c r="LBK10" s="414"/>
      <c r="LBL10" s="414"/>
      <c r="LBM10" s="414"/>
      <c r="LBN10" s="414"/>
      <c r="LBO10" s="414"/>
      <c r="LBP10" s="414"/>
      <c r="LBQ10" s="414"/>
      <c r="LBR10" s="414"/>
      <c r="LBS10" s="414"/>
      <c r="LBT10" s="414"/>
      <c r="LBU10" s="414"/>
      <c r="LBV10" s="414"/>
      <c r="LBW10" s="414"/>
      <c r="LBX10" s="414"/>
      <c r="LBY10" s="414"/>
      <c r="LBZ10" s="414"/>
      <c r="LCA10" s="414"/>
      <c r="LCB10" s="414"/>
      <c r="LCC10" s="414"/>
      <c r="LCD10" s="414"/>
      <c r="LCE10" s="414"/>
      <c r="LCF10" s="414"/>
      <c r="LCG10" s="414"/>
      <c r="LCH10" s="414"/>
      <c r="LCI10" s="414"/>
      <c r="LCJ10" s="414"/>
      <c r="LCK10" s="414"/>
      <c r="LCL10" s="414"/>
      <c r="LCM10" s="414"/>
      <c r="LCN10" s="414"/>
      <c r="LCO10" s="414"/>
      <c r="LCP10" s="414"/>
      <c r="LCQ10" s="414"/>
      <c r="LCR10" s="414"/>
      <c r="LCS10" s="414"/>
      <c r="LCT10" s="414"/>
      <c r="LCU10" s="414"/>
      <c r="LCV10" s="414"/>
      <c r="LCW10" s="414"/>
      <c r="LCX10" s="414"/>
      <c r="LCY10" s="414"/>
      <c r="LCZ10" s="414"/>
      <c r="LDA10" s="414"/>
      <c r="LDB10" s="414"/>
      <c r="LDC10" s="414"/>
      <c r="LDD10" s="414"/>
      <c r="LDE10" s="414"/>
      <c r="LDF10" s="414"/>
      <c r="LDG10" s="414"/>
      <c r="LDH10" s="414"/>
      <c r="LDI10" s="414"/>
      <c r="LDJ10" s="414"/>
      <c r="LDK10" s="414"/>
      <c r="LDL10" s="414"/>
      <c r="LDM10" s="414"/>
      <c r="LDN10" s="414"/>
      <c r="LDO10" s="414"/>
      <c r="LDP10" s="414"/>
      <c r="LDQ10" s="414"/>
      <c r="LDR10" s="414"/>
      <c r="LDS10" s="414"/>
      <c r="LDT10" s="414"/>
      <c r="LDU10" s="414"/>
      <c r="LDV10" s="414"/>
      <c r="LDW10" s="414"/>
      <c r="LDX10" s="414"/>
      <c r="LDY10" s="414"/>
      <c r="LDZ10" s="414"/>
      <c r="LEA10" s="414"/>
      <c r="LEB10" s="414"/>
      <c r="LEC10" s="414"/>
      <c r="LED10" s="414"/>
      <c r="LEE10" s="414"/>
      <c r="LEF10" s="414"/>
      <c r="LEG10" s="414"/>
      <c r="LEH10" s="414"/>
      <c r="LEI10" s="414"/>
      <c r="LEJ10" s="414"/>
      <c r="LEK10" s="414"/>
      <c r="LEL10" s="414"/>
      <c r="LEM10" s="414"/>
      <c r="LEN10" s="414"/>
      <c r="LEO10" s="414"/>
      <c r="LEP10" s="414"/>
      <c r="LEQ10" s="414"/>
      <c r="LER10" s="414"/>
      <c r="LES10" s="414"/>
      <c r="LET10" s="414"/>
      <c r="LEU10" s="414"/>
      <c r="LEV10" s="414"/>
      <c r="LEW10" s="414"/>
      <c r="LEX10" s="414"/>
      <c r="LEY10" s="414"/>
      <c r="LEZ10" s="414"/>
      <c r="LFA10" s="414"/>
      <c r="LFB10" s="414"/>
      <c r="LFC10" s="414"/>
      <c r="LFD10" s="414"/>
      <c r="LFE10" s="414"/>
      <c r="LFF10" s="414"/>
      <c r="LFG10" s="414"/>
      <c r="LFH10" s="414"/>
      <c r="LFI10" s="414"/>
      <c r="LFJ10" s="414"/>
      <c r="LFK10" s="414"/>
      <c r="LFL10" s="414"/>
      <c r="LFM10" s="414"/>
      <c r="LFN10" s="414"/>
      <c r="LFO10" s="414"/>
      <c r="LFP10" s="414"/>
      <c r="LFQ10" s="414"/>
      <c r="LFR10" s="414"/>
      <c r="LFS10" s="414"/>
      <c r="LFT10" s="414"/>
      <c r="LFU10" s="414"/>
      <c r="LFV10" s="414"/>
      <c r="LFW10" s="414"/>
      <c r="LFX10" s="414"/>
      <c r="LFY10" s="414"/>
      <c r="LFZ10" s="414"/>
      <c r="LGA10" s="414"/>
      <c r="LGB10" s="414"/>
      <c r="LGC10" s="414"/>
      <c r="LGD10" s="414"/>
      <c r="LGE10" s="414"/>
      <c r="LGF10" s="414"/>
      <c r="LGG10" s="414"/>
      <c r="LGH10" s="414"/>
      <c r="LGI10" s="414"/>
      <c r="LGJ10" s="414"/>
      <c r="LGK10" s="414"/>
      <c r="LGL10" s="414"/>
      <c r="LGM10" s="414"/>
      <c r="LGN10" s="414"/>
      <c r="LGO10" s="414"/>
      <c r="LGP10" s="414"/>
      <c r="LGQ10" s="414"/>
      <c r="LGR10" s="414"/>
      <c r="LGS10" s="414"/>
      <c r="LGT10" s="414"/>
      <c r="LGU10" s="414"/>
      <c r="LGV10" s="414"/>
      <c r="LGW10" s="414"/>
      <c r="LGX10" s="414"/>
      <c r="LGY10" s="414"/>
      <c r="LGZ10" s="414"/>
      <c r="LHA10" s="414"/>
      <c r="LHB10" s="414"/>
      <c r="LHC10" s="414"/>
      <c r="LHD10" s="414"/>
      <c r="LHE10" s="414"/>
      <c r="LHF10" s="414"/>
      <c r="LHG10" s="414"/>
      <c r="LHH10" s="414"/>
      <c r="LHI10" s="414"/>
      <c r="LHJ10" s="414"/>
      <c r="LHK10" s="414"/>
      <c r="LHL10" s="414"/>
      <c r="LHM10" s="414"/>
      <c r="LHN10" s="414"/>
      <c r="LHO10" s="414"/>
      <c r="LHP10" s="414"/>
      <c r="LHQ10" s="414"/>
      <c r="LHR10" s="414"/>
      <c r="LHS10" s="414"/>
      <c r="LHT10" s="414"/>
      <c r="LHU10" s="414"/>
      <c r="LHV10" s="414"/>
      <c r="LHW10" s="414"/>
      <c r="LHX10" s="414"/>
      <c r="LHY10" s="414"/>
      <c r="LHZ10" s="414"/>
      <c r="LIA10" s="414"/>
      <c r="LIB10" s="414"/>
      <c r="LIC10" s="414"/>
      <c r="LID10" s="414"/>
      <c r="LIE10" s="414"/>
      <c r="LIF10" s="414"/>
      <c r="LIG10" s="414"/>
      <c r="LIH10" s="414"/>
      <c r="LII10" s="414"/>
      <c r="LIJ10" s="414"/>
      <c r="LIK10" s="414"/>
      <c r="LIL10" s="414"/>
      <c r="LIM10" s="414"/>
      <c r="LIN10" s="414"/>
      <c r="LIO10" s="414"/>
      <c r="LIP10" s="414"/>
      <c r="LIQ10" s="414"/>
      <c r="LIR10" s="414"/>
      <c r="LIS10" s="414"/>
      <c r="LIT10" s="414"/>
      <c r="LIU10" s="414"/>
      <c r="LIV10" s="414"/>
      <c r="LIW10" s="414"/>
      <c r="LIX10" s="414"/>
      <c r="LIY10" s="414"/>
      <c r="LIZ10" s="414"/>
      <c r="LJA10" s="414"/>
      <c r="LJB10" s="414"/>
      <c r="LJC10" s="414"/>
      <c r="LJD10" s="414"/>
      <c r="LJE10" s="414"/>
      <c r="LJF10" s="414"/>
      <c r="LJG10" s="414"/>
      <c r="LJH10" s="414"/>
      <c r="LJI10" s="414"/>
      <c r="LJJ10" s="414"/>
      <c r="LJK10" s="414"/>
      <c r="LJL10" s="414"/>
      <c r="LJM10" s="414"/>
      <c r="LJN10" s="414"/>
      <c r="LJO10" s="414"/>
      <c r="LJP10" s="414"/>
      <c r="LJQ10" s="414"/>
      <c r="LJR10" s="414"/>
      <c r="LJS10" s="414"/>
      <c r="LJT10" s="414"/>
      <c r="LJU10" s="414"/>
      <c r="LJV10" s="414"/>
      <c r="LJW10" s="414"/>
      <c r="LJX10" s="414"/>
      <c r="LJY10" s="414"/>
      <c r="LJZ10" s="414"/>
      <c r="LKA10" s="414"/>
      <c r="LKB10" s="414"/>
      <c r="LKC10" s="414"/>
      <c r="LKD10" s="414"/>
      <c r="LKE10" s="414"/>
      <c r="LKF10" s="414"/>
      <c r="LKG10" s="414"/>
      <c r="LKH10" s="414"/>
      <c r="LKI10" s="414"/>
      <c r="LKJ10" s="414"/>
      <c r="LKK10" s="414"/>
      <c r="LKL10" s="414"/>
      <c r="LKM10" s="414"/>
      <c r="LKN10" s="414"/>
      <c r="LKO10" s="414"/>
      <c r="LKP10" s="414"/>
      <c r="LKQ10" s="414"/>
      <c r="LKR10" s="414"/>
      <c r="LKS10" s="414"/>
      <c r="LKT10" s="414"/>
      <c r="LKU10" s="414"/>
      <c r="LKV10" s="414"/>
      <c r="LKW10" s="414"/>
      <c r="LKX10" s="414"/>
      <c r="LKY10" s="414"/>
      <c r="LKZ10" s="414"/>
      <c r="LLA10" s="414"/>
      <c r="LLB10" s="414"/>
      <c r="LLC10" s="414"/>
      <c r="LLD10" s="414"/>
      <c r="LLE10" s="414"/>
      <c r="LLF10" s="414"/>
      <c r="LLG10" s="414"/>
      <c r="LLH10" s="414"/>
      <c r="LLI10" s="414"/>
      <c r="LLJ10" s="414"/>
      <c r="LLK10" s="414"/>
      <c r="LLL10" s="414"/>
      <c r="LLM10" s="414"/>
      <c r="LLN10" s="414"/>
      <c r="LLO10" s="414"/>
      <c r="LLP10" s="414"/>
      <c r="LLQ10" s="414"/>
      <c r="LLR10" s="414"/>
      <c r="LLS10" s="414"/>
      <c r="LLT10" s="414"/>
      <c r="LLU10" s="414"/>
      <c r="LLV10" s="414"/>
      <c r="LLW10" s="414"/>
      <c r="LLX10" s="414"/>
      <c r="LLY10" s="414"/>
      <c r="LLZ10" s="414"/>
      <c r="LMA10" s="414"/>
      <c r="LMB10" s="414"/>
      <c r="LMC10" s="414"/>
      <c r="LMD10" s="414"/>
      <c r="LME10" s="414"/>
      <c r="LMF10" s="414"/>
      <c r="LMG10" s="414"/>
      <c r="LMH10" s="414"/>
      <c r="LMI10" s="414"/>
      <c r="LMJ10" s="414"/>
      <c r="LMK10" s="414"/>
      <c r="LML10" s="414"/>
      <c r="LMM10" s="414"/>
      <c r="LMN10" s="414"/>
      <c r="LMO10" s="414"/>
      <c r="LMP10" s="414"/>
      <c r="LMQ10" s="414"/>
      <c r="LMR10" s="414"/>
      <c r="LMS10" s="414"/>
      <c r="LMT10" s="414"/>
      <c r="LMU10" s="414"/>
      <c r="LMV10" s="414"/>
      <c r="LMW10" s="414"/>
      <c r="LMX10" s="414"/>
      <c r="LMY10" s="414"/>
      <c r="LMZ10" s="414"/>
      <c r="LNA10" s="414"/>
      <c r="LNB10" s="414"/>
      <c r="LNC10" s="414"/>
      <c r="LND10" s="414"/>
      <c r="LNE10" s="414"/>
      <c r="LNF10" s="414"/>
      <c r="LNG10" s="414"/>
      <c r="LNH10" s="414"/>
      <c r="LNI10" s="414"/>
      <c r="LNJ10" s="414"/>
      <c r="LNK10" s="414"/>
      <c r="LNL10" s="414"/>
      <c r="LNM10" s="414"/>
      <c r="LNN10" s="414"/>
      <c r="LNO10" s="414"/>
      <c r="LNP10" s="414"/>
      <c r="LNQ10" s="414"/>
      <c r="LNR10" s="414"/>
      <c r="LNS10" s="414"/>
      <c r="LNT10" s="414"/>
      <c r="LNU10" s="414"/>
      <c r="LNV10" s="414"/>
      <c r="LNW10" s="414"/>
      <c r="LNX10" s="414"/>
      <c r="LNY10" s="414"/>
      <c r="LNZ10" s="414"/>
      <c r="LOA10" s="414"/>
      <c r="LOB10" s="414"/>
      <c r="LOC10" s="414"/>
      <c r="LOD10" s="414"/>
      <c r="LOE10" s="414"/>
      <c r="LOF10" s="414"/>
      <c r="LOG10" s="414"/>
      <c r="LOH10" s="414"/>
      <c r="LOI10" s="414"/>
      <c r="LOJ10" s="414"/>
      <c r="LOK10" s="414"/>
      <c r="LOL10" s="414"/>
      <c r="LOM10" s="414"/>
      <c r="LON10" s="414"/>
      <c r="LOO10" s="414"/>
      <c r="LOP10" s="414"/>
      <c r="LOQ10" s="414"/>
      <c r="LOR10" s="414"/>
      <c r="LOS10" s="414"/>
      <c r="LOT10" s="414"/>
      <c r="LOU10" s="414"/>
      <c r="LOV10" s="414"/>
      <c r="LOW10" s="414"/>
      <c r="LOX10" s="414"/>
      <c r="LOY10" s="414"/>
      <c r="LOZ10" s="414"/>
      <c r="LPA10" s="414"/>
      <c r="LPB10" s="414"/>
      <c r="LPC10" s="414"/>
      <c r="LPD10" s="414"/>
      <c r="LPE10" s="414"/>
      <c r="LPF10" s="414"/>
      <c r="LPG10" s="414"/>
      <c r="LPH10" s="414"/>
      <c r="LPI10" s="414"/>
      <c r="LPJ10" s="414"/>
      <c r="LPK10" s="414"/>
      <c r="LPL10" s="414"/>
      <c r="LPM10" s="414"/>
      <c r="LPN10" s="414"/>
      <c r="LPO10" s="414"/>
      <c r="LPP10" s="414"/>
      <c r="LPQ10" s="414"/>
      <c r="LPR10" s="414"/>
      <c r="LPS10" s="414"/>
      <c r="LPT10" s="414"/>
      <c r="LPU10" s="414"/>
      <c r="LPV10" s="414"/>
      <c r="LPW10" s="414"/>
      <c r="LPX10" s="414"/>
      <c r="LPY10" s="414"/>
      <c r="LPZ10" s="414"/>
      <c r="LQA10" s="414"/>
      <c r="LQB10" s="414"/>
      <c r="LQC10" s="414"/>
      <c r="LQD10" s="414"/>
      <c r="LQE10" s="414"/>
      <c r="LQF10" s="414"/>
      <c r="LQG10" s="414"/>
      <c r="LQH10" s="414"/>
      <c r="LQI10" s="414"/>
      <c r="LQJ10" s="414"/>
      <c r="LQK10" s="414"/>
      <c r="LQL10" s="414"/>
      <c r="LQM10" s="414"/>
      <c r="LQN10" s="414"/>
      <c r="LQO10" s="414"/>
      <c r="LQP10" s="414"/>
      <c r="LQQ10" s="414"/>
      <c r="LQR10" s="414"/>
      <c r="LQS10" s="414"/>
      <c r="LQT10" s="414"/>
      <c r="LQU10" s="414"/>
      <c r="LQV10" s="414"/>
      <c r="LQW10" s="414"/>
      <c r="LQX10" s="414"/>
      <c r="LQY10" s="414"/>
      <c r="LQZ10" s="414"/>
      <c r="LRA10" s="414"/>
      <c r="LRB10" s="414"/>
      <c r="LRC10" s="414"/>
      <c r="LRD10" s="414"/>
      <c r="LRE10" s="414"/>
      <c r="LRF10" s="414"/>
      <c r="LRG10" s="414"/>
      <c r="LRH10" s="414"/>
      <c r="LRI10" s="414"/>
      <c r="LRJ10" s="414"/>
      <c r="LRK10" s="414"/>
      <c r="LRL10" s="414"/>
      <c r="LRM10" s="414"/>
      <c r="LRN10" s="414"/>
      <c r="LRO10" s="414"/>
      <c r="LRP10" s="414"/>
      <c r="LRQ10" s="414"/>
      <c r="LRR10" s="414"/>
      <c r="LRS10" s="414"/>
      <c r="LRT10" s="414"/>
      <c r="LRU10" s="414"/>
      <c r="LRV10" s="414"/>
      <c r="LRW10" s="414"/>
      <c r="LRX10" s="414"/>
      <c r="LRY10" s="414"/>
      <c r="LRZ10" s="414"/>
      <c r="LSA10" s="414"/>
      <c r="LSB10" s="414"/>
      <c r="LSC10" s="414"/>
      <c r="LSD10" s="414"/>
      <c r="LSE10" s="414"/>
      <c r="LSF10" s="414"/>
      <c r="LSG10" s="414"/>
      <c r="LSH10" s="414"/>
      <c r="LSI10" s="414"/>
      <c r="LSJ10" s="414"/>
      <c r="LSK10" s="414"/>
      <c r="LSL10" s="414"/>
      <c r="LSM10" s="414"/>
      <c r="LSN10" s="414"/>
      <c r="LSO10" s="414"/>
      <c r="LSP10" s="414"/>
      <c r="LSQ10" s="414"/>
      <c r="LSR10" s="414"/>
      <c r="LSS10" s="414"/>
      <c r="LST10" s="414"/>
      <c r="LSU10" s="414"/>
      <c r="LSV10" s="414"/>
      <c r="LSW10" s="414"/>
      <c r="LSX10" s="414"/>
      <c r="LSY10" s="414"/>
      <c r="LSZ10" s="414"/>
      <c r="LTA10" s="414"/>
      <c r="LTB10" s="414"/>
      <c r="LTC10" s="414"/>
      <c r="LTD10" s="414"/>
      <c r="LTE10" s="414"/>
      <c r="LTF10" s="414"/>
      <c r="LTG10" s="414"/>
      <c r="LTH10" s="414"/>
      <c r="LTI10" s="414"/>
      <c r="LTJ10" s="414"/>
      <c r="LTK10" s="414"/>
      <c r="LTL10" s="414"/>
      <c r="LTM10" s="414"/>
      <c r="LTN10" s="414"/>
      <c r="LTO10" s="414"/>
      <c r="LTP10" s="414"/>
      <c r="LTQ10" s="414"/>
      <c r="LTR10" s="414"/>
      <c r="LTS10" s="414"/>
      <c r="LTT10" s="414"/>
      <c r="LTU10" s="414"/>
      <c r="LTV10" s="414"/>
      <c r="LTW10" s="414"/>
      <c r="LTX10" s="414"/>
      <c r="LTY10" s="414"/>
      <c r="LTZ10" s="414"/>
      <c r="LUA10" s="414"/>
      <c r="LUB10" s="414"/>
      <c r="LUC10" s="414"/>
      <c r="LUD10" s="414"/>
      <c r="LUE10" s="414"/>
      <c r="LUF10" s="414"/>
      <c r="LUG10" s="414"/>
      <c r="LUH10" s="414"/>
      <c r="LUI10" s="414"/>
      <c r="LUJ10" s="414"/>
      <c r="LUK10" s="414"/>
      <c r="LUL10" s="414"/>
      <c r="LUM10" s="414"/>
      <c r="LUN10" s="414"/>
      <c r="LUO10" s="414"/>
      <c r="LUP10" s="414"/>
      <c r="LUQ10" s="414"/>
      <c r="LUR10" s="414"/>
      <c r="LUS10" s="414"/>
      <c r="LUT10" s="414"/>
      <c r="LUU10" s="414"/>
      <c r="LUV10" s="414"/>
      <c r="LUW10" s="414"/>
      <c r="LUX10" s="414"/>
      <c r="LUY10" s="414"/>
      <c r="LUZ10" s="414"/>
      <c r="LVA10" s="414"/>
      <c r="LVB10" s="414"/>
      <c r="LVC10" s="414"/>
      <c r="LVD10" s="414"/>
      <c r="LVE10" s="414"/>
      <c r="LVF10" s="414"/>
      <c r="LVG10" s="414"/>
      <c r="LVH10" s="414"/>
      <c r="LVI10" s="414"/>
      <c r="LVJ10" s="414"/>
      <c r="LVK10" s="414"/>
      <c r="LVL10" s="414"/>
      <c r="LVM10" s="414"/>
      <c r="LVN10" s="414"/>
      <c r="LVO10" s="414"/>
      <c r="LVP10" s="414"/>
      <c r="LVQ10" s="414"/>
      <c r="LVR10" s="414"/>
      <c r="LVS10" s="414"/>
      <c r="LVT10" s="414"/>
      <c r="LVU10" s="414"/>
      <c r="LVV10" s="414"/>
      <c r="LVW10" s="414"/>
      <c r="LVX10" s="414"/>
      <c r="LVY10" s="414"/>
      <c r="LVZ10" s="414"/>
      <c r="LWA10" s="414"/>
      <c r="LWB10" s="414"/>
      <c r="LWC10" s="414"/>
      <c r="LWD10" s="414"/>
      <c r="LWE10" s="414"/>
      <c r="LWF10" s="414"/>
      <c r="LWG10" s="414"/>
      <c r="LWH10" s="414"/>
      <c r="LWI10" s="414"/>
      <c r="LWJ10" s="414"/>
      <c r="LWK10" s="414"/>
      <c r="LWL10" s="414"/>
      <c r="LWM10" s="414"/>
      <c r="LWN10" s="414"/>
      <c r="LWO10" s="414"/>
      <c r="LWP10" s="414"/>
      <c r="LWQ10" s="414"/>
      <c r="LWR10" s="414"/>
      <c r="LWS10" s="414"/>
      <c r="LWT10" s="414"/>
      <c r="LWU10" s="414"/>
      <c r="LWV10" s="414"/>
      <c r="LWW10" s="414"/>
      <c r="LWX10" s="414"/>
      <c r="LWY10" s="414"/>
      <c r="LWZ10" s="414"/>
      <c r="LXA10" s="414"/>
      <c r="LXB10" s="414"/>
      <c r="LXC10" s="414"/>
      <c r="LXD10" s="414"/>
      <c r="LXE10" s="414"/>
      <c r="LXF10" s="414"/>
      <c r="LXG10" s="414"/>
      <c r="LXH10" s="414"/>
      <c r="LXI10" s="414"/>
      <c r="LXJ10" s="414"/>
      <c r="LXK10" s="414"/>
      <c r="LXL10" s="414"/>
      <c r="LXM10" s="414"/>
      <c r="LXN10" s="414"/>
      <c r="LXO10" s="414"/>
      <c r="LXP10" s="414"/>
      <c r="LXQ10" s="414"/>
      <c r="LXR10" s="414"/>
      <c r="LXS10" s="414"/>
      <c r="LXT10" s="414"/>
      <c r="LXU10" s="414"/>
      <c r="LXV10" s="414"/>
      <c r="LXW10" s="414"/>
      <c r="LXX10" s="414"/>
      <c r="LXY10" s="414"/>
      <c r="LXZ10" s="414"/>
      <c r="LYA10" s="414"/>
      <c r="LYB10" s="414"/>
      <c r="LYC10" s="414"/>
      <c r="LYD10" s="414"/>
      <c r="LYE10" s="414"/>
      <c r="LYF10" s="414"/>
      <c r="LYG10" s="414"/>
      <c r="LYH10" s="414"/>
      <c r="LYI10" s="414"/>
      <c r="LYJ10" s="414"/>
      <c r="LYK10" s="414"/>
      <c r="LYL10" s="414"/>
      <c r="LYM10" s="414"/>
      <c r="LYN10" s="414"/>
      <c r="LYO10" s="414"/>
      <c r="LYP10" s="414"/>
      <c r="LYQ10" s="414"/>
      <c r="LYR10" s="414"/>
      <c r="LYS10" s="414"/>
      <c r="LYT10" s="414"/>
      <c r="LYU10" s="414"/>
      <c r="LYV10" s="414"/>
      <c r="LYW10" s="414"/>
      <c r="LYX10" s="414"/>
      <c r="LYY10" s="414"/>
      <c r="LYZ10" s="414"/>
      <c r="LZA10" s="414"/>
      <c r="LZB10" s="414"/>
      <c r="LZC10" s="414"/>
      <c r="LZD10" s="414"/>
      <c r="LZE10" s="414"/>
      <c r="LZF10" s="414"/>
      <c r="LZG10" s="414"/>
      <c r="LZH10" s="414"/>
      <c r="LZI10" s="414"/>
      <c r="LZJ10" s="414"/>
      <c r="LZK10" s="414"/>
      <c r="LZL10" s="414"/>
      <c r="LZM10" s="414"/>
      <c r="LZN10" s="414"/>
      <c r="LZO10" s="414"/>
      <c r="LZP10" s="414"/>
      <c r="LZQ10" s="414"/>
      <c r="LZR10" s="414"/>
      <c r="LZS10" s="414"/>
      <c r="LZT10" s="414"/>
      <c r="LZU10" s="414"/>
      <c r="LZV10" s="414"/>
      <c r="LZW10" s="414"/>
      <c r="LZX10" s="414"/>
      <c r="LZY10" s="414"/>
      <c r="LZZ10" s="414"/>
      <c r="MAA10" s="414"/>
      <c r="MAB10" s="414"/>
      <c r="MAC10" s="414"/>
      <c r="MAD10" s="414"/>
      <c r="MAE10" s="414"/>
      <c r="MAF10" s="414"/>
      <c r="MAG10" s="414"/>
      <c r="MAH10" s="414"/>
      <c r="MAI10" s="414"/>
      <c r="MAJ10" s="414"/>
      <c r="MAK10" s="414"/>
      <c r="MAL10" s="414"/>
      <c r="MAM10" s="414"/>
      <c r="MAN10" s="414"/>
      <c r="MAO10" s="414"/>
      <c r="MAP10" s="414"/>
      <c r="MAQ10" s="414"/>
      <c r="MAR10" s="414"/>
      <c r="MAS10" s="414"/>
      <c r="MAT10" s="414"/>
      <c r="MAU10" s="414"/>
      <c r="MAV10" s="414"/>
      <c r="MAW10" s="414"/>
      <c r="MAX10" s="414"/>
      <c r="MAY10" s="414"/>
      <c r="MAZ10" s="414"/>
      <c r="MBA10" s="414"/>
      <c r="MBB10" s="414"/>
      <c r="MBC10" s="414"/>
      <c r="MBD10" s="414"/>
      <c r="MBE10" s="414"/>
      <c r="MBF10" s="414"/>
      <c r="MBG10" s="414"/>
      <c r="MBH10" s="414"/>
      <c r="MBI10" s="414"/>
      <c r="MBJ10" s="414"/>
      <c r="MBK10" s="414"/>
      <c r="MBL10" s="414"/>
      <c r="MBM10" s="414"/>
      <c r="MBN10" s="414"/>
      <c r="MBO10" s="414"/>
      <c r="MBP10" s="414"/>
      <c r="MBQ10" s="414"/>
      <c r="MBR10" s="414"/>
      <c r="MBS10" s="414"/>
      <c r="MBT10" s="414"/>
      <c r="MBU10" s="414"/>
      <c r="MBV10" s="414"/>
      <c r="MBW10" s="414"/>
      <c r="MBX10" s="414"/>
      <c r="MBY10" s="414"/>
      <c r="MBZ10" s="414"/>
      <c r="MCA10" s="414"/>
      <c r="MCB10" s="414"/>
      <c r="MCC10" s="414"/>
      <c r="MCD10" s="414"/>
      <c r="MCE10" s="414"/>
      <c r="MCF10" s="414"/>
      <c r="MCG10" s="414"/>
      <c r="MCH10" s="414"/>
      <c r="MCI10" s="414"/>
      <c r="MCJ10" s="414"/>
      <c r="MCK10" s="414"/>
      <c r="MCL10" s="414"/>
      <c r="MCM10" s="414"/>
      <c r="MCN10" s="414"/>
      <c r="MCO10" s="414"/>
      <c r="MCP10" s="414"/>
      <c r="MCQ10" s="414"/>
      <c r="MCR10" s="414"/>
      <c r="MCS10" s="414"/>
      <c r="MCT10" s="414"/>
      <c r="MCU10" s="414"/>
      <c r="MCV10" s="414"/>
      <c r="MCW10" s="414"/>
      <c r="MCX10" s="414"/>
      <c r="MCY10" s="414"/>
      <c r="MCZ10" s="414"/>
      <c r="MDA10" s="414"/>
      <c r="MDB10" s="414"/>
      <c r="MDC10" s="414"/>
      <c r="MDD10" s="414"/>
      <c r="MDE10" s="414"/>
      <c r="MDF10" s="414"/>
      <c r="MDG10" s="414"/>
      <c r="MDH10" s="414"/>
      <c r="MDI10" s="414"/>
      <c r="MDJ10" s="414"/>
      <c r="MDK10" s="414"/>
      <c r="MDL10" s="414"/>
      <c r="MDM10" s="414"/>
      <c r="MDN10" s="414"/>
      <c r="MDO10" s="414"/>
      <c r="MDP10" s="414"/>
      <c r="MDQ10" s="414"/>
      <c r="MDR10" s="414"/>
      <c r="MDS10" s="414"/>
      <c r="MDT10" s="414"/>
      <c r="MDU10" s="414"/>
      <c r="MDV10" s="414"/>
      <c r="MDW10" s="414"/>
      <c r="MDX10" s="414"/>
      <c r="MDY10" s="414"/>
      <c r="MDZ10" s="414"/>
      <c r="MEA10" s="414"/>
      <c r="MEB10" s="414"/>
      <c r="MEC10" s="414"/>
      <c r="MED10" s="414"/>
      <c r="MEE10" s="414"/>
      <c r="MEF10" s="414"/>
      <c r="MEG10" s="414"/>
      <c r="MEH10" s="414"/>
      <c r="MEI10" s="414"/>
      <c r="MEJ10" s="414"/>
      <c r="MEK10" s="414"/>
      <c r="MEL10" s="414"/>
      <c r="MEM10" s="414"/>
      <c r="MEN10" s="414"/>
      <c r="MEO10" s="414"/>
      <c r="MEP10" s="414"/>
      <c r="MEQ10" s="414"/>
      <c r="MER10" s="414"/>
      <c r="MES10" s="414"/>
      <c r="MET10" s="414"/>
      <c r="MEU10" s="414"/>
      <c r="MEV10" s="414"/>
      <c r="MEW10" s="414"/>
      <c r="MEX10" s="414"/>
      <c r="MEY10" s="414"/>
      <c r="MEZ10" s="414"/>
      <c r="MFA10" s="414"/>
      <c r="MFB10" s="414"/>
      <c r="MFC10" s="414"/>
      <c r="MFD10" s="414"/>
      <c r="MFE10" s="414"/>
      <c r="MFF10" s="414"/>
      <c r="MFG10" s="414"/>
      <c r="MFH10" s="414"/>
      <c r="MFI10" s="414"/>
      <c r="MFJ10" s="414"/>
      <c r="MFK10" s="414"/>
      <c r="MFL10" s="414"/>
      <c r="MFM10" s="414"/>
      <c r="MFN10" s="414"/>
      <c r="MFO10" s="414"/>
      <c r="MFP10" s="414"/>
      <c r="MFQ10" s="414"/>
      <c r="MFR10" s="414"/>
      <c r="MFS10" s="414"/>
      <c r="MFT10" s="414"/>
      <c r="MFU10" s="414"/>
      <c r="MFV10" s="414"/>
      <c r="MFW10" s="414"/>
      <c r="MFX10" s="414"/>
      <c r="MFY10" s="414"/>
      <c r="MFZ10" s="414"/>
      <c r="MGA10" s="414"/>
      <c r="MGB10" s="414"/>
      <c r="MGC10" s="414"/>
      <c r="MGD10" s="414"/>
      <c r="MGE10" s="414"/>
      <c r="MGF10" s="414"/>
      <c r="MGG10" s="414"/>
      <c r="MGH10" s="414"/>
      <c r="MGI10" s="414"/>
      <c r="MGJ10" s="414"/>
      <c r="MGK10" s="414"/>
      <c r="MGL10" s="414"/>
      <c r="MGM10" s="414"/>
      <c r="MGN10" s="414"/>
      <c r="MGO10" s="414"/>
      <c r="MGP10" s="414"/>
      <c r="MGQ10" s="414"/>
      <c r="MGR10" s="414"/>
      <c r="MGS10" s="414"/>
      <c r="MGT10" s="414"/>
      <c r="MGU10" s="414"/>
      <c r="MGV10" s="414"/>
      <c r="MGW10" s="414"/>
      <c r="MGX10" s="414"/>
      <c r="MGY10" s="414"/>
      <c r="MGZ10" s="414"/>
      <c r="MHA10" s="414"/>
      <c r="MHB10" s="414"/>
      <c r="MHC10" s="414"/>
      <c r="MHD10" s="414"/>
      <c r="MHE10" s="414"/>
      <c r="MHF10" s="414"/>
      <c r="MHG10" s="414"/>
      <c r="MHH10" s="414"/>
      <c r="MHI10" s="414"/>
      <c r="MHJ10" s="414"/>
      <c r="MHK10" s="414"/>
      <c r="MHL10" s="414"/>
      <c r="MHM10" s="414"/>
      <c r="MHN10" s="414"/>
      <c r="MHO10" s="414"/>
      <c r="MHP10" s="414"/>
      <c r="MHQ10" s="414"/>
      <c r="MHR10" s="414"/>
      <c r="MHS10" s="414"/>
      <c r="MHT10" s="414"/>
      <c r="MHU10" s="414"/>
      <c r="MHV10" s="414"/>
      <c r="MHW10" s="414"/>
      <c r="MHX10" s="414"/>
      <c r="MHY10" s="414"/>
      <c r="MHZ10" s="414"/>
      <c r="MIA10" s="414"/>
      <c r="MIB10" s="414"/>
      <c r="MIC10" s="414"/>
      <c r="MID10" s="414"/>
      <c r="MIE10" s="414"/>
      <c r="MIF10" s="414"/>
      <c r="MIG10" s="414"/>
      <c r="MIH10" s="414"/>
      <c r="MII10" s="414"/>
      <c r="MIJ10" s="414"/>
      <c r="MIK10" s="414"/>
      <c r="MIL10" s="414"/>
      <c r="MIM10" s="414"/>
      <c r="MIN10" s="414"/>
      <c r="MIO10" s="414"/>
      <c r="MIP10" s="414"/>
      <c r="MIQ10" s="414"/>
      <c r="MIR10" s="414"/>
      <c r="MIS10" s="414"/>
      <c r="MIT10" s="414"/>
      <c r="MIU10" s="414"/>
      <c r="MIV10" s="414"/>
      <c r="MIW10" s="414"/>
      <c r="MIX10" s="414"/>
      <c r="MIY10" s="414"/>
      <c r="MIZ10" s="414"/>
      <c r="MJA10" s="414"/>
      <c r="MJB10" s="414"/>
      <c r="MJC10" s="414"/>
      <c r="MJD10" s="414"/>
      <c r="MJE10" s="414"/>
      <c r="MJF10" s="414"/>
      <c r="MJG10" s="414"/>
      <c r="MJH10" s="414"/>
      <c r="MJI10" s="414"/>
      <c r="MJJ10" s="414"/>
      <c r="MJK10" s="414"/>
      <c r="MJL10" s="414"/>
      <c r="MJM10" s="414"/>
      <c r="MJN10" s="414"/>
      <c r="MJO10" s="414"/>
      <c r="MJP10" s="414"/>
      <c r="MJQ10" s="414"/>
      <c r="MJR10" s="414"/>
      <c r="MJS10" s="414"/>
      <c r="MJT10" s="414"/>
      <c r="MJU10" s="414"/>
      <c r="MJV10" s="414"/>
      <c r="MJW10" s="414"/>
      <c r="MJX10" s="414"/>
      <c r="MJY10" s="414"/>
      <c r="MJZ10" s="414"/>
      <c r="MKA10" s="414"/>
      <c r="MKB10" s="414"/>
      <c r="MKC10" s="414"/>
      <c r="MKD10" s="414"/>
      <c r="MKE10" s="414"/>
      <c r="MKF10" s="414"/>
      <c r="MKG10" s="414"/>
      <c r="MKH10" s="414"/>
      <c r="MKI10" s="414"/>
      <c r="MKJ10" s="414"/>
      <c r="MKK10" s="414"/>
      <c r="MKL10" s="414"/>
      <c r="MKM10" s="414"/>
      <c r="MKN10" s="414"/>
      <c r="MKO10" s="414"/>
      <c r="MKP10" s="414"/>
      <c r="MKQ10" s="414"/>
      <c r="MKR10" s="414"/>
      <c r="MKS10" s="414"/>
      <c r="MKT10" s="414"/>
      <c r="MKU10" s="414"/>
      <c r="MKV10" s="414"/>
      <c r="MKW10" s="414"/>
      <c r="MKX10" s="414"/>
      <c r="MKY10" s="414"/>
      <c r="MKZ10" s="414"/>
      <c r="MLA10" s="414"/>
      <c r="MLB10" s="414"/>
      <c r="MLC10" s="414"/>
      <c r="MLD10" s="414"/>
      <c r="MLE10" s="414"/>
      <c r="MLF10" s="414"/>
      <c r="MLG10" s="414"/>
      <c r="MLH10" s="414"/>
      <c r="MLI10" s="414"/>
      <c r="MLJ10" s="414"/>
      <c r="MLK10" s="414"/>
      <c r="MLL10" s="414"/>
      <c r="MLM10" s="414"/>
      <c r="MLN10" s="414"/>
      <c r="MLO10" s="414"/>
      <c r="MLP10" s="414"/>
      <c r="MLQ10" s="414"/>
      <c r="MLR10" s="414"/>
      <c r="MLS10" s="414"/>
      <c r="MLT10" s="414"/>
      <c r="MLU10" s="414"/>
      <c r="MLV10" s="414"/>
      <c r="MLW10" s="414"/>
      <c r="MLX10" s="414"/>
      <c r="MLY10" s="414"/>
      <c r="MLZ10" s="414"/>
      <c r="MMA10" s="414"/>
      <c r="MMB10" s="414"/>
      <c r="MMC10" s="414"/>
      <c r="MMD10" s="414"/>
      <c r="MME10" s="414"/>
      <c r="MMF10" s="414"/>
      <c r="MMG10" s="414"/>
      <c r="MMH10" s="414"/>
      <c r="MMI10" s="414"/>
      <c r="MMJ10" s="414"/>
      <c r="MMK10" s="414"/>
      <c r="MML10" s="414"/>
      <c r="MMM10" s="414"/>
      <c r="MMN10" s="414"/>
      <c r="MMO10" s="414"/>
      <c r="MMP10" s="414"/>
      <c r="MMQ10" s="414"/>
      <c r="MMR10" s="414"/>
      <c r="MMS10" s="414"/>
      <c r="MMT10" s="414"/>
      <c r="MMU10" s="414"/>
      <c r="MMV10" s="414"/>
      <c r="MMW10" s="414"/>
      <c r="MMX10" s="414"/>
      <c r="MMY10" s="414"/>
      <c r="MMZ10" s="414"/>
      <c r="MNA10" s="414"/>
      <c r="MNB10" s="414"/>
      <c r="MNC10" s="414"/>
      <c r="MND10" s="414"/>
      <c r="MNE10" s="414"/>
      <c r="MNF10" s="414"/>
      <c r="MNG10" s="414"/>
      <c r="MNH10" s="414"/>
      <c r="MNI10" s="414"/>
      <c r="MNJ10" s="414"/>
      <c r="MNK10" s="414"/>
      <c r="MNL10" s="414"/>
      <c r="MNM10" s="414"/>
      <c r="MNN10" s="414"/>
      <c r="MNO10" s="414"/>
      <c r="MNP10" s="414"/>
      <c r="MNQ10" s="414"/>
      <c r="MNR10" s="414"/>
      <c r="MNS10" s="414"/>
      <c r="MNT10" s="414"/>
      <c r="MNU10" s="414"/>
      <c r="MNV10" s="414"/>
      <c r="MNW10" s="414"/>
      <c r="MNX10" s="414"/>
      <c r="MNY10" s="414"/>
      <c r="MNZ10" s="414"/>
      <c r="MOA10" s="414"/>
      <c r="MOB10" s="414"/>
      <c r="MOC10" s="414"/>
      <c r="MOD10" s="414"/>
      <c r="MOE10" s="414"/>
      <c r="MOF10" s="414"/>
      <c r="MOG10" s="414"/>
      <c r="MOH10" s="414"/>
      <c r="MOI10" s="414"/>
      <c r="MOJ10" s="414"/>
      <c r="MOK10" s="414"/>
      <c r="MOL10" s="414"/>
      <c r="MOM10" s="414"/>
      <c r="MON10" s="414"/>
      <c r="MOO10" s="414"/>
      <c r="MOP10" s="414"/>
      <c r="MOQ10" s="414"/>
      <c r="MOR10" s="414"/>
      <c r="MOS10" s="414"/>
      <c r="MOT10" s="414"/>
      <c r="MOU10" s="414"/>
      <c r="MOV10" s="414"/>
      <c r="MOW10" s="414"/>
      <c r="MOX10" s="414"/>
      <c r="MOY10" s="414"/>
      <c r="MOZ10" s="414"/>
      <c r="MPA10" s="414"/>
      <c r="MPB10" s="414"/>
      <c r="MPC10" s="414"/>
      <c r="MPD10" s="414"/>
      <c r="MPE10" s="414"/>
      <c r="MPF10" s="414"/>
      <c r="MPG10" s="414"/>
      <c r="MPH10" s="414"/>
      <c r="MPI10" s="414"/>
      <c r="MPJ10" s="414"/>
      <c r="MPK10" s="414"/>
      <c r="MPL10" s="414"/>
      <c r="MPM10" s="414"/>
      <c r="MPN10" s="414"/>
      <c r="MPO10" s="414"/>
      <c r="MPP10" s="414"/>
      <c r="MPQ10" s="414"/>
      <c r="MPR10" s="414"/>
      <c r="MPS10" s="414"/>
      <c r="MPT10" s="414"/>
      <c r="MPU10" s="414"/>
      <c r="MPV10" s="414"/>
      <c r="MPW10" s="414"/>
      <c r="MPX10" s="414"/>
      <c r="MPY10" s="414"/>
      <c r="MPZ10" s="414"/>
      <c r="MQA10" s="414"/>
      <c r="MQB10" s="414"/>
      <c r="MQC10" s="414"/>
      <c r="MQD10" s="414"/>
      <c r="MQE10" s="414"/>
      <c r="MQF10" s="414"/>
      <c r="MQG10" s="414"/>
      <c r="MQH10" s="414"/>
      <c r="MQI10" s="414"/>
      <c r="MQJ10" s="414"/>
      <c r="MQK10" s="414"/>
      <c r="MQL10" s="414"/>
      <c r="MQM10" s="414"/>
      <c r="MQN10" s="414"/>
      <c r="MQO10" s="414"/>
      <c r="MQP10" s="414"/>
      <c r="MQQ10" s="414"/>
      <c r="MQR10" s="414"/>
      <c r="MQS10" s="414"/>
      <c r="MQT10" s="414"/>
      <c r="MQU10" s="414"/>
      <c r="MQV10" s="414"/>
      <c r="MQW10" s="414"/>
      <c r="MQX10" s="414"/>
      <c r="MQY10" s="414"/>
      <c r="MQZ10" s="414"/>
      <c r="MRA10" s="414"/>
      <c r="MRB10" s="414"/>
      <c r="MRC10" s="414"/>
      <c r="MRD10" s="414"/>
      <c r="MRE10" s="414"/>
      <c r="MRF10" s="414"/>
      <c r="MRG10" s="414"/>
      <c r="MRH10" s="414"/>
      <c r="MRI10" s="414"/>
      <c r="MRJ10" s="414"/>
      <c r="MRK10" s="414"/>
      <c r="MRL10" s="414"/>
      <c r="MRM10" s="414"/>
      <c r="MRN10" s="414"/>
      <c r="MRO10" s="414"/>
      <c r="MRP10" s="414"/>
      <c r="MRQ10" s="414"/>
      <c r="MRR10" s="414"/>
      <c r="MRS10" s="414"/>
      <c r="MRT10" s="414"/>
      <c r="MRU10" s="414"/>
      <c r="MRV10" s="414"/>
      <c r="MRW10" s="414"/>
      <c r="MRX10" s="414"/>
      <c r="MRY10" s="414"/>
      <c r="MRZ10" s="414"/>
      <c r="MSA10" s="414"/>
      <c r="MSB10" s="414"/>
      <c r="MSC10" s="414"/>
      <c r="MSD10" s="414"/>
      <c r="MSE10" s="414"/>
      <c r="MSF10" s="414"/>
      <c r="MSG10" s="414"/>
      <c r="MSH10" s="414"/>
      <c r="MSI10" s="414"/>
      <c r="MSJ10" s="414"/>
      <c r="MSK10" s="414"/>
      <c r="MSL10" s="414"/>
      <c r="MSM10" s="414"/>
      <c r="MSN10" s="414"/>
      <c r="MSO10" s="414"/>
      <c r="MSP10" s="414"/>
      <c r="MSQ10" s="414"/>
      <c r="MSR10" s="414"/>
      <c r="MSS10" s="414"/>
      <c r="MST10" s="414"/>
      <c r="MSU10" s="414"/>
      <c r="MSV10" s="414"/>
      <c r="MSW10" s="414"/>
      <c r="MSX10" s="414"/>
      <c r="MSY10" s="414"/>
      <c r="MSZ10" s="414"/>
      <c r="MTA10" s="414"/>
      <c r="MTB10" s="414"/>
      <c r="MTC10" s="414"/>
      <c r="MTD10" s="414"/>
      <c r="MTE10" s="414"/>
      <c r="MTF10" s="414"/>
      <c r="MTG10" s="414"/>
      <c r="MTH10" s="414"/>
      <c r="MTI10" s="414"/>
      <c r="MTJ10" s="414"/>
      <c r="MTK10" s="414"/>
      <c r="MTL10" s="414"/>
      <c r="MTM10" s="414"/>
      <c r="MTN10" s="414"/>
      <c r="MTO10" s="414"/>
      <c r="MTP10" s="414"/>
      <c r="MTQ10" s="414"/>
      <c r="MTR10" s="414"/>
      <c r="MTS10" s="414"/>
      <c r="MTT10" s="414"/>
      <c r="MTU10" s="414"/>
      <c r="MTV10" s="414"/>
      <c r="MTW10" s="414"/>
      <c r="MTX10" s="414"/>
      <c r="MTY10" s="414"/>
      <c r="MTZ10" s="414"/>
      <c r="MUA10" s="414"/>
      <c r="MUB10" s="414"/>
      <c r="MUC10" s="414"/>
      <c r="MUD10" s="414"/>
      <c r="MUE10" s="414"/>
      <c r="MUF10" s="414"/>
      <c r="MUG10" s="414"/>
      <c r="MUH10" s="414"/>
      <c r="MUI10" s="414"/>
      <c r="MUJ10" s="414"/>
      <c r="MUK10" s="414"/>
      <c r="MUL10" s="414"/>
      <c r="MUM10" s="414"/>
      <c r="MUN10" s="414"/>
      <c r="MUO10" s="414"/>
      <c r="MUP10" s="414"/>
      <c r="MUQ10" s="414"/>
      <c r="MUR10" s="414"/>
      <c r="MUS10" s="414"/>
      <c r="MUT10" s="414"/>
      <c r="MUU10" s="414"/>
      <c r="MUV10" s="414"/>
      <c r="MUW10" s="414"/>
      <c r="MUX10" s="414"/>
      <c r="MUY10" s="414"/>
      <c r="MUZ10" s="414"/>
      <c r="MVA10" s="414"/>
      <c r="MVB10" s="414"/>
      <c r="MVC10" s="414"/>
      <c r="MVD10" s="414"/>
      <c r="MVE10" s="414"/>
      <c r="MVF10" s="414"/>
      <c r="MVG10" s="414"/>
      <c r="MVH10" s="414"/>
      <c r="MVI10" s="414"/>
      <c r="MVJ10" s="414"/>
      <c r="MVK10" s="414"/>
      <c r="MVL10" s="414"/>
      <c r="MVM10" s="414"/>
      <c r="MVN10" s="414"/>
      <c r="MVO10" s="414"/>
      <c r="MVP10" s="414"/>
      <c r="MVQ10" s="414"/>
      <c r="MVR10" s="414"/>
      <c r="MVS10" s="414"/>
      <c r="MVT10" s="414"/>
      <c r="MVU10" s="414"/>
      <c r="MVV10" s="414"/>
      <c r="MVW10" s="414"/>
      <c r="MVX10" s="414"/>
      <c r="MVY10" s="414"/>
      <c r="MVZ10" s="414"/>
      <c r="MWA10" s="414"/>
      <c r="MWB10" s="414"/>
      <c r="MWC10" s="414"/>
      <c r="MWD10" s="414"/>
      <c r="MWE10" s="414"/>
      <c r="MWF10" s="414"/>
      <c r="MWG10" s="414"/>
      <c r="MWH10" s="414"/>
      <c r="MWI10" s="414"/>
      <c r="MWJ10" s="414"/>
      <c r="MWK10" s="414"/>
      <c r="MWL10" s="414"/>
      <c r="MWM10" s="414"/>
      <c r="MWN10" s="414"/>
      <c r="MWO10" s="414"/>
      <c r="MWP10" s="414"/>
      <c r="MWQ10" s="414"/>
      <c r="MWR10" s="414"/>
      <c r="MWS10" s="414"/>
      <c r="MWT10" s="414"/>
      <c r="MWU10" s="414"/>
      <c r="MWV10" s="414"/>
      <c r="MWW10" s="414"/>
      <c r="MWX10" s="414"/>
      <c r="MWY10" s="414"/>
      <c r="MWZ10" s="414"/>
      <c r="MXA10" s="414"/>
      <c r="MXB10" s="414"/>
      <c r="MXC10" s="414"/>
      <c r="MXD10" s="414"/>
      <c r="MXE10" s="414"/>
      <c r="MXF10" s="414"/>
      <c r="MXG10" s="414"/>
      <c r="MXH10" s="414"/>
      <c r="MXI10" s="414"/>
      <c r="MXJ10" s="414"/>
      <c r="MXK10" s="414"/>
      <c r="MXL10" s="414"/>
      <c r="MXM10" s="414"/>
      <c r="MXN10" s="414"/>
      <c r="MXO10" s="414"/>
      <c r="MXP10" s="414"/>
      <c r="MXQ10" s="414"/>
      <c r="MXR10" s="414"/>
      <c r="MXS10" s="414"/>
      <c r="MXT10" s="414"/>
      <c r="MXU10" s="414"/>
      <c r="MXV10" s="414"/>
      <c r="MXW10" s="414"/>
      <c r="MXX10" s="414"/>
      <c r="MXY10" s="414"/>
      <c r="MXZ10" s="414"/>
      <c r="MYA10" s="414"/>
      <c r="MYB10" s="414"/>
      <c r="MYC10" s="414"/>
      <c r="MYD10" s="414"/>
      <c r="MYE10" s="414"/>
      <c r="MYF10" s="414"/>
      <c r="MYG10" s="414"/>
      <c r="MYH10" s="414"/>
      <c r="MYI10" s="414"/>
      <c r="MYJ10" s="414"/>
      <c r="MYK10" s="414"/>
      <c r="MYL10" s="414"/>
      <c r="MYM10" s="414"/>
      <c r="MYN10" s="414"/>
      <c r="MYO10" s="414"/>
      <c r="MYP10" s="414"/>
      <c r="MYQ10" s="414"/>
      <c r="MYR10" s="414"/>
      <c r="MYS10" s="414"/>
      <c r="MYT10" s="414"/>
      <c r="MYU10" s="414"/>
      <c r="MYV10" s="414"/>
      <c r="MYW10" s="414"/>
      <c r="MYX10" s="414"/>
      <c r="MYY10" s="414"/>
      <c r="MYZ10" s="414"/>
      <c r="MZA10" s="414"/>
      <c r="MZB10" s="414"/>
      <c r="MZC10" s="414"/>
      <c r="MZD10" s="414"/>
      <c r="MZE10" s="414"/>
      <c r="MZF10" s="414"/>
      <c r="MZG10" s="414"/>
      <c r="MZH10" s="414"/>
      <c r="MZI10" s="414"/>
      <c r="MZJ10" s="414"/>
      <c r="MZK10" s="414"/>
      <c r="MZL10" s="414"/>
      <c r="MZM10" s="414"/>
      <c r="MZN10" s="414"/>
      <c r="MZO10" s="414"/>
      <c r="MZP10" s="414"/>
      <c r="MZQ10" s="414"/>
      <c r="MZR10" s="414"/>
      <c r="MZS10" s="414"/>
      <c r="MZT10" s="414"/>
      <c r="MZU10" s="414"/>
      <c r="MZV10" s="414"/>
      <c r="MZW10" s="414"/>
      <c r="MZX10" s="414"/>
      <c r="MZY10" s="414"/>
      <c r="MZZ10" s="414"/>
      <c r="NAA10" s="414"/>
      <c r="NAB10" s="414"/>
      <c r="NAC10" s="414"/>
      <c r="NAD10" s="414"/>
      <c r="NAE10" s="414"/>
      <c r="NAF10" s="414"/>
      <c r="NAG10" s="414"/>
      <c r="NAH10" s="414"/>
      <c r="NAI10" s="414"/>
      <c r="NAJ10" s="414"/>
      <c r="NAK10" s="414"/>
      <c r="NAL10" s="414"/>
      <c r="NAM10" s="414"/>
      <c r="NAN10" s="414"/>
      <c r="NAO10" s="414"/>
      <c r="NAP10" s="414"/>
      <c r="NAQ10" s="414"/>
      <c r="NAR10" s="414"/>
      <c r="NAS10" s="414"/>
      <c r="NAT10" s="414"/>
      <c r="NAU10" s="414"/>
      <c r="NAV10" s="414"/>
      <c r="NAW10" s="414"/>
      <c r="NAX10" s="414"/>
      <c r="NAY10" s="414"/>
      <c r="NAZ10" s="414"/>
      <c r="NBA10" s="414"/>
      <c r="NBB10" s="414"/>
      <c r="NBC10" s="414"/>
      <c r="NBD10" s="414"/>
      <c r="NBE10" s="414"/>
      <c r="NBF10" s="414"/>
      <c r="NBG10" s="414"/>
      <c r="NBH10" s="414"/>
      <c r="NBI10" s="414"/>
      <c r="NBJ10" s="414"/>
      <c r="NBK10" s="414"/>
      <c r="NBL10" s="414"/>
      <c r="NBM10" s="414"/>
      <c r="NBN10" s="414"/>
      <c r="NBO10" s="414"/>
      <c r="NBP10" s="414"/>
      <c r="NBQ10" s="414"/>
      <c r="NBR10" s="414"/>
      <c r="NBS10" s="414"/>
      <c r="NBT10" s="414"/>
      <c r="NBU10" s="414"/>
      <c r="NBV10" s="414"/>
      <c r="NBW10" s="414"/>
      <c r="NBX10" s="414"/>
      <c r="NBY10" s="414"/>
      <c r="NBZ10" s="414"/>
      <c r="NCA10" s="414"/>
      <c r="NCB10" s="414"/>
      <c r="NCC10" s="414"/>
      <c r="NCD10" s="414"/>
      <c r="NCE10" s="414"/>
      <c r="NCF10" s="414"/>
      <c r="NCG10" s="414"/>
      <c r="NCH10" s="414"/>
      <c r="NCI10" s="414"/>
      <c r="NCJ10" s="414"/>
      <c r="NCK10" s="414"/>
      <c r="NCL10" s="414"/>
      <c r="NCM10" s="414"/>
      <c r="NCN10" s="414"/>
      <c r="NCO10" s="414"/>
      <c r="NCP10" s="414"/>
      <c r="NCQ10" s="414"/>
      <c r="NCR10" s="414"/>
      <c r="NCS10" s="414"/>
      <c r="NCT10" s="414"/>
      <c r="NCU10" s="414"/>
      <c r="NCV10" s="414"/>
      <c r="NCW10" s="414"/>
      <c r="NCX10" s="414"/>
      <c r="NCY10" s="414"/>
      <c r="NCZ10" s="414"/>
      <c r="NDA10" s="414"/>
      <c r="NDB10" s="414"/>
      <c r="NDC10" s="414"/>
      <c r="NDD10" s="414"/>
      <c r="NDE10" s="414"/>
      <c r="NDF10" s="414"/>
      <c r="NDG10" s="414"/>
      <c r="NDH10" s="414"/>
      <c r="NDI10" s="414"/>
      <c r="NDJ10" s="414"/>
      <c r="NDK10" s="414"/>
      <c r="NDL10" s="414"/>
      <c r="NDM10" s="414"/>
      <c r="NDN10" s="414"/>
      <c r="NDO10" s="414"/>
      <c r="NDP10" s="414"/>
      <c r="NDQ10" s="414"/>
      <c r="NDR10" s="414"/>
      <c r="NDS10" s="414"/>
      <c r="NDT10" s="414"/>
      <c r="NDU10" s="414"/>
      <c r="NDV10" s="414"/>
      <c r="NDW10" s="414"/>
      <c r="NDX10" s="414"/>
      <c r="NDY10" s="414"/>
      <c r="NDZ10" s="414"/>
      <c r="NEA10" s="414"/>
      <c r="NEB10" s="414"/>
      <c r="NEC10" s="414"/>
      <c r="NED10" s="414"/>
      <c r="NEE10" s="414"/>
      <c r="NEF10" s="414"/>
      <c r="NEG10" s="414"/>
      <c r="NEH10" s="414"/>
      <c r="NEI10" s="414"/>
      <c r="NEJ10" s="414"/>
      <c r="NEK10" s="414"/>
      <c r="NEL10" s="414"/>
      <c r="NEM10" s="414"/>
      <c r="NEN10" s="414"/>
      <c r="NEO10" s="414"/>
      <c r="NEP10" s="414"/>
      <c r="NEQ10" s="414"/>
      <c r="NER10" s="414"/>
      <c r="NES10" s="414"/>
      <c r="NET10" s="414"/>
      <c r="NEU10" s="414"/>
      <c r="NEV10" s="414"/>
      <c r="NEW10" s="414"/>
      <c r="NEX10" s="414"/>
      <c r="NEY10" s="414"/>
      <c r="NEZ10" s="414"/>
      <c r="NFA10" s="414"/>
      <c r="NFB10" s="414"/>
      <c r="NFC10" s="414"/>
      <c r="NFD10" s="414"/>
      <c r="NFE10" s="414"/>
      <c r="NFF10" s="414"/>
      <c r="NFG10" s="414"/>
      <c r="NFH10" s="414"/>
      <c r="NFI10" s="414"/>
      <c r="NFJ10" s="414"/>
      <c r="NFK10" s="414"/>
      <c r="NFL10" s="414"/>
      <c r="NFM10" s="414"/>
      <c r="NFN10" s="414"/>
      <c r="NFO10" s="414"/>
      <c r="NFP10" s="414"/>
      <c r="NFQ10" s="414"/>
      <c r="NFR10" s="414"/>
      <c r="NFS10" s="414"/>
      <c r="NFT10" s="414"/>
      <c r="NFU10" s="414"/>
      <c r="NFV10" s="414"/>
      <c r="NFW10" s="414"/>
      <c r="NFX10" s="414"/>
      <c r="NFY10" s="414"/>
      <c r="NFZ10" s="414"/>
      <c r="NGA10" s="414"/>
      <c r="NGB10" s="414"/>
      <c r="NGC10" s="414"/>
      <c r="NGD10" s="414"/>
      <c r="NGE10" s="414"/>
      <c r="NGF10" s="414"/>
      <c r="NGG10" s="414"/>
      <c r="NGH10" s="414"/>
      <c r="NGI10" s="414"/>
      <c r="NGJ10" s="414"/>
      <c r="NGK10" s="414"/>
      <c r="NGL10" s="414"/>
      <c r="NGM10" s="414"/>
      <c r="NGN10" s="414"/>
      <c r="NGO10" s="414"/>
      <c r="NGP10" s="414"/>
      <c r="NGQ10" s="414"/>
      <c r="NGR10" s="414"/>
      <c r="NGS10" s="414"/>
      <c r="NGT10" s="414"/>
      <c r="NGU10" s="414"/>
      <c r="NGV10" s="414"/>
      <c r="NGW10" s="414"/>
      <c r="NGX10" s="414"/>
      <c r="NGY10" s="414"/>
      <c r="NGZ10" s="414"/>
      <c r="NHA10" s="414"/>
      <c r="NHB10" s="414"/>
      <c r="NHC10" s="414"/>
      <c r="NHD10" s="414"/>
      <c r="NHE10" s="414"/>
      <c r="NHF10" s="414"/>
      <c r="NHG10" s="414"/>
      <c r="NHH10" s="414"/>
      <c r="NHI10" s="414"/>
      <c r="NHJ10" s="414"/>
      <c r="NHK10" s="414"/>
      <c r="NHL10" s="414"/>
      <c r="NHM10" s="414"/>
      <c r="NHN10" s="414"/>
      <c r="NHO10" s="414"/>
      <c r="NHP10" s="414"/>
      <c r="NHQ10" s="414"/>
      <c r="NHR10" s="414"/>
      <c r="NHS10" s="414"/>
      <c r="NHT10" s="414"/>
      <c r="NHU10" s="414"/>
      <c r="NHV10" s="414"/>
      <c r="NHW10" s="414"/>
      <c r="NHX10" s="414"/>
      <c r="NHY10" s="414"/>
      <c r="NHZ10" s="414"/>
      <c r="NIA10" s="414"/>
      <c r="NIB10" s="414"/>
      <c r="NIC10" s="414"/>
      <c r="NID10" s="414"/>
      <c r="NIE10" s="414"/>
      <c r="NIF10" s="414"/>
      <c r="NIG10" s="414"/>
      <c r="NIH10" s="414"/>
      <c r="NII10" s="414"/>
      <c r="NIJ10" s="414"/>
      <c r="NIK10" s="414"/>
      <c r="NIL10" s="414"/>
      <c r="NIM10" s="414"/>
      <c r="NIN10" s="414"/>
      <c r="NIO10" s="414"/>
      <c r="NIP10" s="414"/>
      <c r="NIQ10" s="414"/>
      <c r="NIR10" s="414"/>
      <c r="NIS10" s="414"/>
      <c r="NIT10" s="414"/>
      <c r="NIU10" s="414"/>
      <c r="NIV10" s="414"/>
      <c r="NIW10" s="414"/>
      <c r="NIX10" s="414"/>
      <c r="NIY10" s="414"/>
      <c r="NIZ10" s="414"/>
      <c r="NJA10" s="414"/>
      <c r="NJB10" s="414"/>
      <c r="NJC10" s="414"/>
      <c r="NJD10" s="414"/>
      <c r="NJE10" s="414"/>
      <c r="NJF10" s="414"/>
      <c r="NJG10" s="414"/>
      <c r="NJH10" s="414"/>
      <c r="NJI10" s="414"/>
      <c r="NJJ10" s="414"/>
      <c r="NJK10" s="414"/>
      <c r="NJL10" s="414"/>
      <c r="NJM10" s="414"/>
      <c r="NJN10" s="414"/>
      <c r="NJO10" s="414"/>
      <c r="NJP10" s="414"/>
      <c r="NJQ10" s="414"/>
      <c r="NJR10" s="414"/>
      <c r="NJS10" s="414"/>
      <c r="NJT10" s="414"/>
      <c r="NJU10" s="414"/>
      <c r="NJV10" s="414"/>
      <c r="NJW10" s="414"/>
      <c r="NJX10" s="414"/>
      <c r="NJY10" s="414"/>
      <c r="NJZ10" s="414"/>
      <c r="NKA10" s="414"/>
      <c r="NKB10" s="414"/>
      <c r="NKC10" s="414"/>
      <c r="NKD10" s="414"/>
      <c r="NKE10" s="414"/>
      <c r="NKF10" s="414"/>
      <c r="NKG10" s="414"/>
      <c r="NKH10" s="414"/>
      <c r="NKI10" s="414"/>
      <c r="NKJ10" s="414"/>
      <c r="NKK10" s="414"/>
      <c r="NKL10" s="414"/>
      <c r="NKM10" s="414"/>
      <c r="NKN10" s="414"/>
      <c r="NKO10" s="414"/>
      <c r="NKP10" s="414"/>
      <c r="NKQ10" s="414"/>
      <c r="NKR10" s="414"/>
      <c r="NKS10" s="414"/>
      <c r="NKT10" s="414"/>
      <c r="NKU10" s="414"/>
      <c r="NKV10" s="414"/>
      <c r="NKW10" s="414"/>
      <c r="NKX10" s="414"/>
      <c r="NKY10" s="414"/>
      <c r="NKZ10" s="414"/>
      <c r="NLA10" s="414"/>
      <c r="NLB10" s="414"/>
      <c r="NLC10" s="414"/>
      <c r="NLD10" s="414"/>
      <c r="NLE10" s="414"/>
      <c r="NLF10" s="414"/>
      <c r="NLG10" s="414"/>
      <c r="NLH10" s="414"/>
      <c r="NLI10" s="414"/>
      <c r="NLJ10" s="414"/>
      <c r="NLK10" s="414"/>
      <c r="NLL10" s="414"/>
      <c r="NLM10" s="414"/>
      <c r="NLN10" s="414"/>
      <c r="NLO10" s="414"/>
      <c r="NLP10" s="414"/>
      <c r="NLQ10" s="414"/>
      <c r="NLR10" s="414"/>
      <c r="NLS10" s="414"/>
      <c r="NLT10" s="414"/>
      <c r="NLU10" s="414"/>
      <c r="NLV10" s="414"/>
      <c r="NLW10" s="414"/>
      <c r="NLX10" s="414"/>
      <c r="NLY10" s="414"/>
      <c r="NLZ10" s="414"/>
      <c r="NMA10" s="414"/>
      <c r="NMB10" s="414"/>
      <c r="NMC10" s="414"/>
      <c r="NMD10" s="414"/>
      <c r="NME10" s="414"/>
      <c r="NMF10" s="414"/>
      <c r="NMG10" s="414"/>
      <c r="NMH10" s="414"/>
      <c r="NMI10" s="414"/>
      <c r="NMJ10" s="414"/>
      <c r="NMK10" s="414"/>
      <c r="NML10" s="414"/>
      <c r="NMM10" s="414"/>
      <c r="NMN10" s="414"/>
      <c r="NMO10" s="414"/>
      <c r="NMP10" s="414"/>
      <c r="NMQ10" s="414"/>
      <c r="NMR10" s="414"/>
      <c r="NMS10" s="414"/>
      <c r="NMT10" s="414"/>
      <c r="NMU10" s="414"/>
      <c r="NMV10" s="414"/>
      <c r="NMW10" s="414"/>
      <c r="NMX10" s="414"/>
      <c r="NMY10" s="414"/>
      <c r="NMZ10" s="414"/>
      <c r="NNA10" s="414"/>
      <c r="NNB10" s="414"/>
      <c r="NNC10" s="414"/>
      <c r="NND10" s="414"/>
      <c r="NNE10" s="414"/>
      <c r="NNF10" s="414"/>
      <c r="NNG10" s="414"/>
      <c r="NNH10" s="414"/>
      <c r="NNI10" s="414"/>
      <c r="NNJ10" s="414"/>
      <c r="NNK10" s="414"/>
      <c r="NNL10" s="414"/>
      <c r="NNM10" s="414"/>
      <c r="NNN10" s="414"/>
      <c r="NNO10" s="414"/>
      <c r="NNP10" s="414"/>
      <c r="NNQ10" s="414"/>
      <c r="NNR10" s="414"/>
      <c r="NNS10" s="414"/>
      <c r="NNT10" s="414"/>
      <c r="NNU10" s="414"/>
      <c r="NNV10" s="414"/>
      <c r="NNW10" s="414"/>
      <c r="NNX10" s="414"/>
      <c r="NNY10" s="414"/>
      <c r="NNZ10" s="414"/>
      <c r="NOA10" s="414"/>
      <c r="NOB10" s="414"/>
      <c r="NOC10" s="414"/>
      <c r="NOD10" s="414"/>
      <c r="NOE10" s="414"/>
      <c r="NOF10" s="414"/>
      <c r="NOG10" s="414"/>
      <c r="NOH10" s="414"/>
      <c r="NOI10" s="414"/>
      <c r="NOJ10" s="414"/>
      <c r="NOK10" s="414"/>
      <c r="NOL10" s="414"/>
      <c r="NOM10" s="414"/>
      <c r="NON10" s="414"/>
      <c r="NOO10" s="414"/>
      <c r="NOP10" s="414"/>
      <c r="NOQ10" s="414"/>
      <c r="NOR10" s="414"/>
      <c r="NOS10" s="414"/>
      <c r="NOT10" s="414"/>
      <c r="NOU10" s="414"/>
      <c r="NOV10" s="414"/>
      <c r="NOW10" s="414"/>
      <c r="NOX10" s="414"/>
      <c r="NOY10" s="414"/>
      <c r="NOZ10" s="414"/>
      <c r="NPA10" s="414"/>
      <c r="NPB10" s="414"/>
      <c r="NPC10" s="414"/>
      <c r="NPD10" s="414"/>
      <c r="NPE10" s="414"/>
      <c r="NPF10" s="414"/>
      <c r="NPG10" s="414"/>
      <c r="NPH10" s="414"/>
      <c r="NPI10" s="414"/>
      <c r="NPJ10" s="414"/>
      <c r="NPK10" s="414"/>
      <c r="NPL10" s="414"/>
      <c r="NPM10" s="414"/>
      <c r="NPN10" s="414"/>
      <c r="NPO10" s="414"/>
      <c r="NPP10" s="414"/>
      <c r="NPQ10" s="414"/>
      <c r="NPR10" s="414"/>
      <c r="NPS10" s="414"/>
      <c r="NPT10" s="414"/>
      <c r="NPU10" s="414"/>
      <c r="NPV10" s="414"/>
      <c r="NPW10" s="414"/>
      <c r="NPX10" s="414"/>
      <c r="NPY10" s="414"/>
      <c r="NPZ10" s="414"/>
      <c r="NQA10" s="414"/>
      <c r="NQB10" s="414"/>
      <c r="NQC10" s="414"/>
      <c r="NQD10" s="414"/>
      <c r="NQE10" s="414"/>
      <c r="NQF10" s="414"/>
      <c r="NQG10" s="414"/>
      <c r="NQH10" s="414"/>
      <c r="NQI10" s="414"/>
      <c r="NQJ10" s="414"/>
      <c r="NQK10" s="414"/>
      <c r="NQL10" s="414"/>
      <c r="NQM10" s="414"/>
      <c r="NQN10" s="414"/>
      <c r="NQO10" s="414"/>
      <c r="NQP10" s="414"/>
      <c r="NQQ10" s="414"/>
      <c r="NQR10" s="414"/>
      <c r="NQS10" s="414"/>
      <c r="NQT10" s="414"/>
      <c r="NQU10" s="414"/>
      <c r="NQV10" s="414"/>
      <c r="NQW10" s="414"/>
      <c r="NQX10" s="414"/>
      <c r="NQY10" s="414"/>
      <c r="NQZ10" s="414"/>
      <c r="NRA10" s="414"/>
      <c r="NRB10" s="414"/>
      <c r="NRC10" s="414"/>
      <c r="NRD10" s="414"/>
      <c r="NRE10" s="414"/>
      <c r="NRF10" s="414"/>
      <c r="NRG10" s="414"/>
      <c r="NRH10" s="414"/>
      <c r="NRI10" s="414"/>
      <c r="NRJ10" s="414"/>
      <c r="NRK10" s="414"/>
      <c r="NRL10" s="414"/>
      <c r="NRM10" s="414"/>
      <c r="NRN10" s="414"/>
      <c r="NRO10" s="414"/>
      <c r="NRP10" s="414"/>
      <c r="NRQ10" s="414"/>
      <c r="NRR10" s="414"/>
      <c r="NRS10" s="414"/>
      <c r="NRT10" s="414"/>
      <c r="NRU10" s="414"/>
      <c r="NRV10" s="414"/>
      <c r="NRW10" s="414"/>
      <c r="NRX10" s="414"/>
      <c r="NRY10" s="414"/>
      <c r="NRZ10" s="414"/>
      <c r="NSA10" s="414"/>
      <c r="NSB10" s="414"/>
      <c r="NSC10" s="414"/>
      <c r="NSD10" s="414"/>
      <c r="NSE10" s="414"/>
      <c r="NSF10" s="414"/>
      <c r="NSG10" s="414"/>
      <c r="NSH10" s="414"/>
      <c r="NSI10" s="414"/>
      <c r="NSJ10" s="414"/>
      <c r="NSK10" s="414"/>
      <c r="NSL10" s="414"/>
      <c r="NSM10" s="414"/>
      <c r="NSN10" s="414"/>
      <c r="NSO10" s="414"/>
      <c r="NSP10" s="414"/>
      <c r="NSQ10" s="414"/>
      <c r="NSR10" s="414"/>
      <c r="NSS10" s="414"/>
      <c r="NST10" s="414"/>
      <c r="NSU10" s="414"/>
      <c r="NSV10" s="414"/>
      <c r="NSW10" s="414"/>
      <c r="NSX10" s="414"/>
      <c r="NSY10" s="414"/>
      <c r="NSZ10" s="414"/>
      <c r="NTA10" s="414"/>
      <c r="NTB10" s="414"/>
      <c r="NTC10" s="414"/>
      <c r="NTD10" s="414"/>
      <c r="NTE10" s="414"/>
      <c r="NTF10" s="414"/>
      <c r="NTG10" s="414"/>
      <c r="NTH10" s="414"/>
      <c r="NTI10" s="414"/>
      <c r="NTJ10" s="414"/>
      <c r="NTK10" s="414"/>
      <c r="NTL10" s="414"/>
      <c r="NTM10" s="414"/>
      <c r="NTN10" s="414"/>
      <c r="NTO10" s="414"/>
      <c r="NTP10" s="414"/>
      <c r="NTQ10" s="414"/>
      <c r="NTR10" s="414"/>
      <c r="NTS10" s="414"/>
      <c r="NTT10" s="414"/>
      <c r="NTU10" s="414"/>
      <c r="NTV10" s="414"/>
      <c r="NTW10" s="414"/>
      <c r="NTX10" s="414"/>
      <c r="NTY10" s="414"/>
      <c r="NTZ10" s="414"/>
      <c r="NUA10" s="414"/>
      <c r="NUB10" s="414"/>
      <c r="NUC10" s="414"/>
      <c r="NUD10" s="414"/>
      <c r="NUE10" s="414"/>
      <c r="NUF10" s="414"/>
      <c r="NUG10" s="414"/>
      <c r="NUH10" s="414"/>
      <c r="NUI10" s="414"/>
      <c r="NUJ10" s="414"/>
      <c r="NUK10" s="414"/>
      <c r="NUL10" s="414"/>
      <c r="NUM10" s="414"/>
      <c r="NUN10" s="414"/>
      <c r="NUO10" s="414"/>
      <c r="NUP10" s="414"/>
      <c r="NUQ10" s="414"/>
      <c r="NUR10" s="414"/>
      <c r="NUS10" s="414"/>
      <c r="NUT10" s="414"/>
      <c r="NUU10" s="414"/>
      <c r="NUV10" s="414"/>
      <c r="NUW10" s="414"/>
      <c r="NUX10" s="414"/>
      <c r="NUY10" s="414"/>
      <c r="NUZ10" s="414"/>
      <c r="NVA10" s="414"/>
      <c r="NVB10" s="414"/>
      <c r="NVC10" s="414"/>
      <c r="NVD10" s="414"/>
      <c r="NVE10" s="414"/>
      <c r="NVF10" s="414"/>
      <c r="NVG10" s="414"/>
      <c r="NVH10" s="414"/>
      <c r="NVI10" s="414"/>
      <c r="NVJ10" s="414"/>
      <c r="NVK10" s="414"/>
      <c r="NVL10" s="414"/>
      <c r="NVM10" s="414"/>
      <c r="NVN10" s="414"/>
      <c r="NVO10" s="414"/>
      <c r="NVP10" s="414"/>
      <c r="NVQ10" s="414"/>
      <c r="NVR10" s="414"/>
      <c r="NVS10" s="414"/>
      <c r="NVT10" s="414"/>
      <c r="NVU10" s="414"/>
      <c r="NVV10" s="414"/>
      <c r="NVW10" s="414"/>
      <c r="NVX10" s="414"/>
      <c r="NVY10" s="414"/>
      <c r="NVZ10" s="414"/>
      <c r="NWA10" s="414"/>
      <c r="NWB10" s="414"/>
      <c r="NWC10" s="414"/>
      <c r="NWD10" s="414"/>
      <c r="NWE10" s="414"/>
      <c r="NWF10" s="414"/>
      <c r="NWG10" s="414"/>
      <c r="NWH10" s="414"/>
      <c r="NWI10" s="414"/>
      <c r="NWJ10" s="414"/>
      <c r="NWK10" s="414"/>
      <c r="NWL10" s="414"/>
      <c r="NWM10" s="414"/>
      <c r="NWN10" s="414"/>
      <c r="NWO10" s="414"/>
      <c r="NWP10" s="414"/>
      <c r="NWQ10" s="414"/>
      <c r="NWR10" s="414"/>
      <c r="NWS10" s="414"/>
      <c r="NWT10" s="414"/>
      <c r="NWU10" s="414"/>
      <c r="NWV10" s="414"/>
      <c r="NWW10" s="414"/>
      <c r="NWX10" s="414"/>
      <c r="NWY10" s="414"/>
      <c r="NWZ10" s="414"/>
      <c r="NXA10" s="414"/>
      <c r="NXB10" s="414"/>
      <c r="NXC10" s="414"/>
      <c r="NXD10" s="414"/>
      <c r="NXE10" s="414"/>
      <c r="NXF10" s="414"/>
      <c r="NXG10" s="414"/>
      <c r="NXH10" s="414"/>
      <c r="NXI10" s="414"/>
      <c r="NXJ10" s="414"/>
      <c r="NXK10" s="414"/>
      <c r="NXL10" s="414"/>
      <c r="NXM10" s="414"/>
      <c r="NXN10" s="414"/>
      <c r="NXO10" s="414"/>
      <c r="NXP10" s="414"/>
      <c r="NXQ10" s="414"/>
      <c r="NXR10" s="414"/>
      <c r="NXS10" s="414"/>
      <c r="NXT10" s="414"/>
      <c r="NXU10" s="414"/>
      <c r="NXV10" s="414"/>
      <c r="NXW10" s="414"/>
      <c r="NXX10" s="414"/>
      <c r="NXY10" s="414"/>
      <c r="NXZ10" s="414"/>
      <c r="NYA10" s="414"/>
      <c r="NYB10" s="414"/>
      <c r="NYC10" s="414"/>
      <c r="NYD10" s="414"/>
      <c r="NYE10" s="414"/>
      <c r="NYF10" s="414"/>
      <c r="NYG10" s="414"/>
      <c r="NYH10" s="414"/>
      <c r="NYI10" s="414"/>
      <c r="NYJ10" s="414"/>
      <c r="NYK10" s="414"/>
      <c r="NYL10" s="414"/>
      <c r="NYM10" s="414"/>
      <c r="NYN10" s="414"/>
      <c r="NYO10" s="414"/>
      <c r="NYP10" s="414"/>
      <c r="NYQ10" s="414"/>
      <c r="NYR10" s="414"/>
      <c r="NYS10" s="414"/>
      <c r="NYT10" s="414"/>
      <c r="NYU10" s="414"/>
      <c r="NYV10" s="414"/>
      <c r="NYW10" s="414"/>
      <c r="NYX10" s="414"/>
      <c r="NYY10" s="414"/>
      <c r="NYZ10" s="414"/>
      <c r="NZA10" s="414"/>
      <c r="NZB10" s="414"/>
      <c r="NZC10" s="414"/>
      <c r="NZD10" s="414"/>
      <c r="NZE10" s="414"/>
      <c r="NZF10" s="414"/>
      <c r="NZG10" s="414"/>
      <c r="NZH10" s="414"/>
      <c r="NZI10" s="414"/>
      <c r="NZJ10" s="414"/>
      <c r="NZK10" s="414"/>
      <c r="NZL10" s="414"/>
      <c r="NZM10" s="414"/>
      <c r="NZN10" s="414"/>
      <c r="NZO10" s="414"/>
      <c r="NZP10" s="414"/>
      <c r="NZQ10" s="414"/>
      <c r="NZR10" s="414"/>
      <c r="NZS10" s="414"/>
      <c r="NZT10" s="414"/>
      <c r="NZU10" s="414"/>
      <c r="NZV10" s="414"/>
      <c r="NZW10" s="414"/>
      <c r="NZX10" s="414"/>
      <c r="NZY10" s="414"/>
      <c r="NZZ10" s="414"/>
      <c r="OAA10" s="414"/>
      <c r="OAB10" s="414"/>
      <c r="OAC10" s="414"/>
      <c r="OAD10" s="414"/>
      <c r="OAE10" s="414"/>
      <c r="OAF10" s="414"/>
      <c r="OAG10" s="414"/>
      <c r="OAH10" s="414"/>
      <c r="OAI10" s="414"/>
      <c r="OAJ10" s="414"/>
      <c r="OAK10" s="414"/>
      <c r="OAL10" s="414"/>
      <c r="OAM10" s="414"/>
      <c r="OAN10" s="414"/>
      <c r="OAO10" s="414"/>
      <c r="OAP10" s="414"/>
      <c r="OAQ10" s="414"/>
      <c r="OAR10" s="414"/>
      <c r="OAS10" s="414"/>
      <c r="OAT10" s="414"/>
      <c r="OAU10" s="414"/>
      <c r="OAV10" s="414"/>
      <c r="OAW10" s="414"/>
      <c r="OAX10" s="414"/>
      <c r="OAY10" s="414"/>
      <c r="OAZ10" s="414"/>
      <c r="OBA10" s="414"/>
      <c r="OBB10" s="414"/>
      <c r="OBC10" s="414"/>
      <c r="OBD10" s="414"/>
      <c r="OBE10" s="414"/>
      <c r="OBF10" s="414"/>
      <c r="OBG10" s="414"/>
      <c r="OBH10" s="414"/>
      <c r="OBI10" s="414"/>
      <c r="OBJ10" s="414"/>
      <c r="OBK10" s="414"/>
      <c r="OBL10" s="414"/>
      <c r="OBM10" s="414"/>
      <c r="OBN10" s="414"/>
      <c r="OBO10" s="414"/>
      <c r="OBP10" s="414"/>
      <c r="OBQ10" s="414"/>
      <c r="OBR10" s="414"/>
      <c r="OBS10" s="414"/>
      <c r="OBT10" s="414"/>
      <c r="OBU10" s="414"/>
      <c r="OBV10" s="414"/>
      <c r="OBW10" s="414"/>
      <c r="OBX10" s="414"/>
      <c r="OBY10" s="414"/>
      <c r="OBZ10" s="414"/>
      <c r="OCA10" s="414"/>
      <c r="OCB10" s="414"/>
      <c r="OCC10" s="414"/>
      <c r="OCD10" s="414"/>
      <c r="OCE10" s="414"/>
      <c r="OCF10" s="414"/>
      <c r="OCG10" s="414"/>
      <c r="OCH10" s="414"/>
      <c r="OCI10" s="414"/>
      <c r="OCJ10" s="414"/>
      <c r="OCK10" s="414"/>
      <c r="OCL10" s="414"/>
      <c r="OCM10" s="414"/>
      <c r="OCN10" s="414"/>
      <c r="OCO10" s="414"/>
      <c r="OCP10" s="414"/>
      <c r="OCQ10" s="414"/>
      <c r="OCR10" s="414"/>
      <c r="OCS10" s="414"/>
      <c r="OCT10" s="414"/>
      <c r="OCU10" s="414"/>
      <c r="OCV10" s="414"/>
      <c r="OCW10" s="414"/>
      <c r="OCX10" s="414"/>
      <c r="OCY10" s="414"/>
      <c r="OCZ10" s="414"/>
      <c r="ODA10" s="414"/>
      <c r="ODB10" s="414"/>
      <c r="ODC10" s="414"/>
      <c r="ODD10" s="414"/>
      <c r="ODE10" s="414"/>
      <c r="ODF10" s="414"/>
      <c r="ODG10" s="414"/>
      <c r="ODH10" s="414"/>
      <c r="ODI10" s="414"/>
      <c r="ODJ10" s="414"/>
      <c r="ODK10" s="414"/>
      <c r="ODL10" s="414"/>
      <c r="ODM10" s="414"/>
      <c r="ODN10" s="414"/>
      <c r="ODO10" s="414"/>
      <c r="ODP10" s="414"/>
      <c r="ODQ10" s="414"/>
      <c r="ODR10" s="414"/>
      <c r="ODS10" s="414"/>
      <c r="ODT10" s="414"/>
      <c r="ODU10" s="414"/>
      <c r="ODV10" s="414"/>
      <c r="ODW10" s="414"/>
      <c r="ODX10" s="414"/>
      <c r="ODY10" s="414"/>
      <c r="ODZ10" s="414"/>
      <c r="OEA10" s="414"/>
      <c r="OEB10" s="414"/>
      <c r="OEC10" s="414"/>
      <c r="OED10" s="414"/>
      <c r="OEE10" s="414"/>
      <c r="OEF10" s="414"/>
      <c r="OEG10" s="414"/>
      <c r="OEH10" s="414"/>
      <c r="OEI10" s="414"/>
      <c r="OEJ10" s="414"/>
      <c r="OEK10" s="414"/>
      <c r="OEL10" s="414"/>
      <c r="OEM10" s="414"/>
      <c r="OEN10" s="414"/>
      <c r="OEO10" s="414"/>
      <c r="OEP10" s="414"/>
      <c r="OEQ10" s="414"/>
      <c r="OER10" s="414"/>
      <c r="OES10" s="414"/>
      <c r="OET10" s="414"/>
      <c r="OEU10" s="414"/>
      <c r="OEV10" s="414"/>
      <c r="OEW10" s="414"/>
      <c r="OEX10" s="414"/>
      <c r="OEY10" s="414"/>
      <c r="OEZ10" s="414"/>
      <c r="OFA10" s="414"/>
      <c r="OFB10" s="414"/>
      <c r="OFC10" s="414"/>
      <c r="OFD10" s="414"/>
      <c r="OFE10" s="414"/>
      <c r="OFF10" s="414"/>
      <c r="OFG10" s="414"/>
      <c r="OFH10" s="414"/>
      <c r="OFI10" s="414"/>
      <c r="OFJ10" s="414"/>
      <c r="OFK10" s="414"/>
      <c r="OFL10" s="414"/>
      <c r="OFM10" s="414"/>
      <c r="OFN10" s="414"/>
      <c r="OFO10" s="414"/>
      <c r="OFP10" s="414"/>
      <c r="OFQ10" s="414"/>
      <c r="OFR10" s="414"/>
      <c r="OFS10" s="414"/>
      <c r="OFT10" s="414"/>
      <c r="OFU10" s="414"/>
      <c r="OFV10" s="414"/>
      <c r="OFW10" s="414"/>
      <c r="OFX10" s="414"/>
      <c r="OFY10" s="414"/>
      <c r="OFZ10" s="414"/>
      <c r="OGA10" s="414"/>
      <c r="OGB10" s="414"/>
      <c r="OGC10" s="414"/>
      <c r="OGD10" s="414"/>
      <c r="OGE10" s="414"/>
      <c r="OGF10" s="414"/>
      <c r="OGG10" s="414"/>
      <c r="OGH10" s="414"/>
      <c r="OGI10" s="414"/>
      <c r="OGJ10" s="414"/>
      <c r="OGK10" s="414"/>
      <c r="OGL10" s="414"/>
      <c r="OGM10" s="414"/>
      <c r="OGN10" s="414"/>
      <c r="OGO10" s="414"/>
      <c r="OGP10" s="414"/>
      <c r="OGQ10" s="414"/>
      <c r="OGR10" s="414"/>
      <c r="OGS10" s="414"/>
      <c r="OGT10" s="414"/>
      <c r="OGU10" s="414"/>
      <c r="OGV10" s="414"/>
      <c r="OGW10" s="414"/>
      <c r="OGX10" s="414"/>
      <c r="OGY10" s="414"/>
      <c r="OGZ10" s="414"/>
      <c r="OHA10" s="414"/>
      <c r="OHB10" s="414"/>
      <c r="OHC10" s="414"/>
      <c r="OHD10" s="414"/>
      <c r="OHE10" s="414"/>
      <c r="OHF10" s="414"/>
      <c r="OHG10" s="414"/>
      <c r="OHH10" s="414"/>
      <c r="OHI10" s="414"/>
      <c r="OHJ10" s="414"/>
      <c r="OHK10" s="414"/>
      <c r="OHL10" s="414"/>
      <c r="OHM10" s="414"/>
      <c r="OHN10" s="414"/>
      <c r="OHO10" s="414"/>
      <c r="OHP10" s="414"/>
      <c r="OHQ10" s="414"/>
      <c r="OHR10" s="414"/>
      <c r="OHS10" s="414"/>
      <c r="OHT10" s="414"/>
      <c r="OHU10" s="414"/>
      <c r="OHV10" s="414"/>
      <c r="OHW10" s="414"/>
      <c r="OHX10" s="414"/>
      <c r="OHY10" s="414"/>
      <c r="OHZ10" s="414"/>
      <c r="OIA10" s="414"/>
      <c r="OIB10" s="414"/>
      <c r="OIC10" s="414"/>
      <c r="OID10" s="414"/>
      <c r="OIE10" s="414"/>
      <c r="OIF10" s="414"/>
      <c r="OIG10" s="414"/>
      <c r="OIH10" s="414"/>
      <c r="OII10" s="414"/>
      <c r="OIJ10" s="414"/>
      <c r="OIK10" s="414"/>
      <c r="OIL10" s="414"/>
      <c r="OIM10" s="414"/>
      <c r="OIN10" s="414"/>
      <c r="OIO10" s="414"/>
      <c r="OIP10" s="414"/>
      <c r="OIQ10" s="414"/>
      <c r="OIR10" s="414"/>
      <c r="OIS10" s="414"/>
      <c r="OIT10" s="414"/>
      <c r="OIU10" s="414"/>
      <c r="OIV10" s="414"/>
      <c r="OIW10" s="414"/>
      <c r="OIX10" s="414"/>
      <c r="OIY10" s="414"/>
      <c r="OIZ10" s="414"/>
      <c r="OJA10" s="414"/>
      <c r="OJB10" s="414"/>
      <c r="OJC10" s="414"/>
      <c r="OJD10" s="414"/>
      <c r="OJE10" s="414"/>
      <c r="OJF10" s="414"/>
      <c r="OJG10" s="414"/>
      <c r="OJH10" s="414"/>
      <c r="OJI10" s="414"/>
      <c r="OJJ10" s="414"/>
      <c r="OJK10" s="414"/>
      <c r="OJL10" s="414"/>
      <c r="OJM10" s="414"/>
      <c r="OJN10" s="414"/>
      <c r="OJO10" s="414"/>
      <c r="OJP10" s="414"/>
      <c r="OJQ10" s="414"/>
      <c r="OJR10" s="414"/>
      <c r="OJS10" s="414"/>
      <c r="OJT10" s="414"/>
      <c r="OJU10" s="414"/>
      <c r="OJV10" s="414"/>
      <c r="OJW10" s="414"/>
      <c r="OJX10" s="414"/>
      <c r="OJY10" s="414"/>
      <c r="OJZ10" s="414"/>
      <c r="OKA10" s="414"/>
      <c r="OKB10" s="414"/>
      <c r="OKC10" s="414"/>
      <c r="OKD10" s="414"/>
      <c r="OKE10" s="414"/>
      <c r="OKF10" s="414"/>
      <c r="OKG10" s="414"/>
      <c r="OKH10" s="414"/>
      <c r="OKI10" s="414"/>
      <c r="OKJ10" s="414"/>
      <c r="OKK10" s="414"/>
      <c r="OKL10" s="414"/>
      <c r="OKM10" s="414"/>
      <c r="OKN10" s="414"/>
      <c r="OKO10" s="414"/>
      <c r="OKP10" s="414"/>
      <c r="OKQ10" s="414"/>
      <c r="OKR10" s="414"/>
      <c r="OKS10" s="414"/>
      <c r="OKT10" s="414"/>
      <c r="OKU10" s="414"/>
      <c r="OKV10" s="414"/>
      <c r="OKW10" s="414"/>
      <c r="OKX10" s="414"/>
      <c r="OKY10" s="414"/>
      <c r="OKZ10" s="414"/>
      <c r="OLA10" s="414"/>
      <c r="OLB10" s="414"/>
      <c r="OLC10" s="414"/>
      <c r="OLD10" s="414"/>
      <c r="OLE10" s="414"/>
      <c r="OLF10" s="414"/>
      <c r="OLG10" s="414"/>
      <c r="OLH10" s="414"/>
      <c r="OLI10" s="414"/>
      <c r="OLJ10" s="414"/>
      <c r="OLK10" s="414"/>
      <c r="OLL10" s="414"/>
      <c r="OLM10" s="414"/>
      <c r="OLN10" s="414"/>
      <c r="OLO10" s="414"/>
      <c r="OLP10" s="414"/>
      <c r="OLQ10" s="414"/>
      <c r="OLR10" s="414"/>
      <c r="OLS10" s="414"/>
      <c r="OLT10" s="414"/>
      <c r="OLU10" s="414"/>
      <c r="OLV10" s="414"/>
      <c r="OLW10" s="414"/>
      <c r="OLX10" s="414"/>
      <c r="OLY10" s="414"/>
      <c r="OLZ10" s="414"/>
      <c r="OMA10" s="414"/>
      <c r="OMB10" s="414"/>
      <c r="OMC10" s="414"/>
      <c r="OMD10" s="414"/>
      <c r="OME10" s="414"/>
      <c r="OMF10" s="414"/>
      <c r="OMG10" s="414"/>
      <c r="OMH10" s="414"/>
      <c r="OMI10" s="414"/>
      <c r="OMJ10" s="414"/>
      <c r="OMK10" s="414"/>
      <c r="OML10" s="414"/>
      <c r="OMM10" s="414"/>
      <c r="OMN10" s="414"/>
      <c r="OMO10" s="414"/>
      <c r="OMP10" s="414"/>
      <c r="OMQ10" s="414"/>
      <c r="OMR10" s="414"/>
      <c r="OMS10" s="414"/>
      <c r="OMT10" s="414"/>
      <c r="OMU10" s="414"/>
      <c r="OMV10" s="414"/>
      <c r="OMW10" s="414"/>
      <c r="OMX10" s="414"/>
      <c r="OMY10" s="414"/>
      <c r="OMZ10" s="414"/>
      <c r="ONA10" s="414"/>
      <c r="ONB10" s="414"/>
      <c r="ONC10" s="414"/>
      <c r="OND10" s="414"/>
      <c r="ONE10" s="414"/>
      <c r="ONF10" s="414"/>
      <c r="ONG10" s="414"/>
      <c r="ONH10" s="414"/>
      <c r="ONI10" s="414"/>
      <c r="ONJ10" s="414"/>
      <c r="ONK10" s="414"/>
      <c r="ONL10" s="414"/>
      <c r="ONM10" s="414"/>
      <c r="ONN10" s="414"/>
      <c r="ONO10" s="414"/>
      <c r="ONP10" s="414"/>
      <c r="ONQ10" s="414"/>
      <c r="ONR10" s="414"/>
      <c r="ONS10" s="414"/>
      <c r="ONT10" s="414"/>
      <c r="ONU10" s="414"/>
      <c r="ONV10" s="414"/>
      <c r="ONW10" s="414"/>
      <c r="ONX10" s="414"/>
      <c r="ONY10" s="414"/>
      <c r="ONZ10" s="414"/>
      <c r="OOA10" s="414"/>
      <c r="OOB10" s="414"/>
      <c r="OOC10" s="414"/>
      <c r="OOD10" s="414"/>
      <c r="OOE10" s="414"/>
      <c r="OOF10" s="414"/>
      <c r="OOG10" s="414"/>
      <c r="OOH10" s="414"/>
      <c r="OOI10" s="414"/>
      <c r="OOJ10" s="414"/>
      <c r="OOK10" s="414"/>
      <c r="OOL10" s="414"/>
      <c r="OOM10" s="414"/>
      <c r="OON10" s="414"/>
      <c r="OOO10" s="414"/>
      <c r="OOP10" s="414"/>
      <c r="OOQ10" s="414"/>
      <c r="OOR10" s="414"/>
      <c r="OOS10" s="414"/>
      <c r="OOT10" s="414"/>
      <c r="OOU10" s="414"/>
      <c r="OOV10" s="414"/>
      <c r="OOW10" s="414"/>
      <c r="OOX10" s="414"/>
      <c r="OOY10" s="414"/>
      <c r="OOZ10" s="414"/>
      <c r="OPA10" s="414"/>
      <c r="OPB10" s="414"/>
      <c r="OPC10" s="414"/>
      <c r="OPD10" s="414"/>
      <c r="OPE10" s="414"/>
      <c r="OPF10" s="414"/>
      <c r="OPG10" s="414"/>
      <c r="OPH10" s="414"/>
      <c r="OPI10" s="414"/>
      <c r="OPJ10" s="414"/>
      <c r="OPK10" s="414"/>
      <c r="OPL10" s="414"/>
      <c r="OPM10" s="414"/>
      <c r="OPN10" s="414"/>
      <c r="OPO10" s="414"/>
      <c r="OPP10" s="414"/>
      <c r="OPQ10" s="414"/>
      <c r="OPR10" s="414"/>
      <c r="OPS10" s="414"/>
      <c r="OPT10" s="414"/>
      <c r="OPU10" s="414"/>
      <c r="OPV10" s="414"/>
      <c r="OPW10" s="414"/>
      <c r="OPX10" s="414"/>
      <c r="OPY10" s="414"/>
      <c r="OPZ10" s="414"/>
      <c r="OQA10" s="414"/>
      <c r="OQB10" s="414"/>
      <c r="OQC10" s="414"/>
      <c r="OQD10" s="414"/>
      <c r="OQE10" s="414"/>
      <c r="OQF10" s="414"/>
      <c r="OQG10" s="414"/>
      <c r="OQH10" s="414"/>
      <c r="OQI10" s="414"/>
      <c r="OQJ10" s="414"/>
      <c r="OQK10" s="414"/>
      <c r="OQL10" s="414"/>
      <c r="OQM10" s="414"/>
      <c r="OQN10" s="414"/>
      <c r="OQO10" s="414"/>
      <c r="OQP10" s="414"/>
      <c r="OQQ10" s="414"/>
      <c r="OQR10" s="414"/>
      <c r="OQS10" s="414"/>
      <c r="OQT10" s="414"/>
      <c r="OQU10" s="414"/>
      <c r="OQV10" s="414"/>
      <c r="OQW10" s="414"/>
      <c r="OQX10" s="414"/>
      <c r="OQY10" s="414"/>
      <c r="OQZ10" s="414"/>
      <c r="ORA10" s="414"/>
      <c r="ORB10" s="414"/>
      <c r="ORC10" s="414"/>
      <c r="ORD10" s="414"/>
      <c r="ORE10" s="414"/>
      <c r="ORF10" s="414"/>
      <c r="ORG10" s="414"/>
      <c r="ORH10" s="414"/>
      <c r="ORI10" s="414"/>
      <c r="ORJ10" s="414"/>
      <c r="ORK10" s="414"/>
      <c r="ORL10" s="414"/>
      <c r="ORM10" s="414"/>
      <c r="ORN10" s="414"/>
      <c r="ORO10" s="414"/>
      <c r="ORP10" s="414"/>
      <c r="ORQ10" s="414"/>
      <c r="ORR10" s="414"/>
      <c r="ORS10" s="414"/>
      <c r="ORT10" s="414"/>
      <c r="ORU10" s="414"/>
      <c r="ORV10" s="414"/>
      <c r="ORW10" s="414"/>
      <c r="ORX10" s="414"/>
      <c r="ORY10" s="414"/>
      <c r="ORZ10" s="414"/>
      <c r="OSA10" s="414"/>
      <c r="OSB10" s="414"/>
      <c r="OSC10" s="414"/>
      <c r="OSD10" s="414"/>
      <c r="OSE10" s="414"/>
      <c r="OSF10" s="414"/>
      <c r="OSG10" s="414"/>
      <c r="OSH10" s="414"/>
      <c r="OSI10" s="414"/>
      <c r="OSJ10" s="414"/>
      <c r="OSK10" s="414"/>
      <c r="OSL10" s="414"/>
      <c r="OSM10" s="414"/>
      <c r="OSN10" s="414"/>
      <c r="OSO10" s="414"/>
      <c r="OSP10" s="414"/>
      <c r="OSQ10" s="414"/>
      <c r="OSR10" s="414"/>
      <c r="OSS10" s="414"/>
      <c r="OST10" s="414"/>
      <c r="OSU10" s="414"/>
      <c r="OSV10" s="414"/>
      <c r="OSW10" s="414"/>
      <c r="OSX10" s="414"/>
      <c r="OSY10" s="414"/>
      <c r="OSZ10" s="414"/>
      <c r="OTA10" s="414"/>
      <c r="OTB10" s="414"/>
      <c r="OTC10" s="414"/>
      <c r="OTD10" s="414"/>
      <c r="OTE10" s="414"/>
      <c r="OTF10" s="414"/>
      <c r="OTG10" s="414"/>
      <c r="OTH10" s="414"/>
      <c r="OTI10" s="414"/>
      <c r="OTJ10" s="414"/>
      <c r="OTK10" s="414"/>
      <c r="OTL10" s="414"/>
      <c r="OTM10" s="414"/>
      <c r="OTN10" s="414"/>
      <c r="OTO10" s="414"/>
      <c r="OTP10" s="414"/>
      <c r="OTQ10" s="414"/>
      <c r="OTR10" s="414"/>
      <c r="OTS10" s="414"/>
      <c r="OTT10" s="414"/>
      <c r="OTU10" s="414"/>
      <c r="OTV10" s="414"/>
      <c r="OTW10" s="414"/>
      <c r="OTX10" s="414"/>
      <c r="OTY10" s="414"/>
      <c r="OTZ10" s="414"/>
      <c r="OUA10" s="414"/>
      <c r="OUB10" s="414"/>
      <c r="OUC10" s="414"/>
      <c r="OUD10" s="414"/>
      <c r="OUE10" s="414"/>
      <c r="OUF10" s="414"/>
      <c r="OUG10" s="414"/>
      <c r="OUH10" s="414"/>
      <c r="OUI10" s="414"/>
      <c r="OUJ10" s="414"/>
      <c r="OUK10" s="414"/>
      <c r="OUL10" s="414"/>
      <c r="OUM10" s="414"/>
      <c r="OUN10" s="414"/>
      <c r="OUO10" s="414"/>
      <c r="OUP10" s="414"/>
      <c r="OUQ10" s="414"/>
      <c r="OUR10" s="414"/>
      <c r="OUS10" s="414"/>
      <c r="OUT10" s="414"/>
      <c r="OUU10" s="414"/>
      <c r="OUV10" s="414"/>
      <c r="OUW10" s="414"/>
      <c r="OUX10" s="414"/>
      <c r="OUY10" s="414"/>
      <c r="OUZ10" s="414"/>
      <c r="OVA10" s="414"/>
      <c r="OVB10" s="414"/>
      <c r="OVC10" s="414"/>
      <c r="OVD10" s="414"/>
      <c r="OVE10" s="414"/>
      <c r="OVF10" s="414"/>
      <c r="OVG10" s="414"/>
      <c r="OVH10" s="414"/>
      <c r="OVI10" s="414"/>
      <c r="OVJ10" s="414"/>
      <c r="OVK10" s="414"/>
      <c r="OVL10" s="414"/>
      <c r="OVM10" s="414"/>
      <c r="OVN10" s="414"/>
      <c r="OVO10" s="414"/>
      <c r="OVP10" s="414"/>
      <c r="OVQ10" s="414"/>
      <c r="OVR10" s="414"/>
      <c r="OVS10" s="414"/>
      <c r="OVT10" s="414"/>
      <c r="OVU10" s="414"/>
      <c r="OVV10" s="414"/>
      <c r="OVW10" s="414"/>
      <c r="OVX10" s="414"/>
      <c r="OVY10" s="414"/>
      <c r="OVZ10" s="414"/>
      <c r="OWA10" s="414"/>
      <c r="OWB10" s="414"/>
      <c r="OWC10" s="414"/>
      <c r="OWD10" s="414"/>
      <c r="OWE10" s="414"/>
      <c r="OWF10" s="414"/>
      <c r="OWG10" s="414"/>
      <c r="OWH10" s="414"/>
      <c r="OWI10" s="414"/>
      <c r="OWJ10" s="414"/>
      <c r="OWK10" s="414"/>
      <c r="OWL10" s="414"/>
      <c r="OWM10" s="414"/>
      <c r="OWN10" s="414"/>
      <c r="OWO10" s="414"/>
      <c r="OWP10" s="414"/>
      <c r="OWQ10" s="414"/>
      <c r="OWR10" s="414"/>
      <c r="OWS10" s="414"/>
      <c r="OWT10" s="414"/>
      <c r="OWU10" s="414"/>
      <c r="OWV10" s="414"/>
      <c r="OWW10" s="414"/>
      <c r="OWX10" s="414"/>
      <c r="OWY10" s="414"/>
      <c r="OWZ10" s="414"/>
      <c r="OXA10" s="414"/>
      <c r="OXB10" s="414"/>
      <c r="OXC10" s="414"/>
      <c r="OXD10" s="414"/>
      <c r="OXE10" s="414"/>
      <c r="OXF10" s="414"/>
      <c r="OXG10" s="414"/>
      <c r="OXH10" s="414"/>
      <c r="OXI10" s="414"/>
      <c r="OXJ10" s="414"/>
      <c r="OXK10" s="414"/>
      <c r="OXL10" s="414"/>
      <c r="OXM10" s="414"/>
      <c r="OXN10" s="414"/>
      <c r="OXO10" s="414"/>
      <c r="OXP10" s="414"/>
      <c r="OXQ10" s="414"/>
      <c r="OXR10" s="414"/>
      <c r="OXS10" s="414"/>
      <c r="OXT10" s="414"/>
      <c r="OXU10" s="414"/>
      <c r="OXV10" s="414"/>
      <c r="OXW10" s="414"/>
      <c r="OXX10" s="414"/>
      <c r="OXY10" s="414"/>
      <c r="OXZ10" s="414"/>
      <c r="OYA10" s="414"/>
      <c r="OYB10" s="414"/>
      <c r="OYC10" s="414"/>
      <c r="OYD10" s="414"/>
      <c r="OYE10" s="414"/>
      <c r="OYF10" s="414"/>
      <c r="OYG10" s="414"/>
      <c r="OYH10" s="414"/>
      <c r="OYI10" s="414"/>
      <c r="OYJ10" s="414"/>
      <c r="OYK10" s="414"/>
      <c r="OYL10" s="414"/>
      <c r="OYM10" s="414"/>
      <c r="OYN10" s="414"/>
      <c r="OYO10" s="414"/>
      <c r="OYP10" s="414"/>
      <c r="OYQ10" s="414"/>
      <c r="OYR10" s="414"/>
      <c r="OYS10" s="414"/>
      <c r="OYT10" s="414"/>
      <c r="OYU10" s="414"/>
      <c r="OYV10" s="414"/>
      <c r="OYW10" s="414"/>
      <c r="OYX10" s="414"/>
      <c r="OYY10" s="414"/>
      <c r="OYZ10" s="414"/>
      <c r="OZA10" s="414"/>
      <c r="OZB10" s="414"/>
      <c r="OZC10" s="414"/>
      <c r="OZD10" s="414"/>
      <c r="OZE10" s="414"/>
      <c r="OZF10" s="414"/>
      <c r="OZG10" s="414"/>
      <c r="OZH10" s="414"/>
      <c r="OZI10" s="414"/>
      <c r="OZJ10" s="414"/>
      <c r="OZK10" s="414"/>
      <c r="OZL10" s="414"/>
      <c r="OZM10" s="414"/>
      <c r="OZN10" s="414"/>
      <c r="OZO10" s="414"/>
      <c r="OZP10" s="414"/>
      <c r="OZQ10" s="414"/>
      <c r="OZR10" s="414"/>
      <c r="OZS10" s="414"/>
      <c r="OZT10" s="414"/>
      <c r="OZU10" s="414"/>
      <c r="OZV10" s="414"/>
      <c r="OZW10" s="414"/>
      <c r="OZX10" s="414"/>
      <c r="OZY10" s="414"/>
      <c r="OZZ10" s="414"/>
      <c r="PAA10" s="414"/>
      <c r="PAB10" s="414"/>
      <c r="PAC10" s="414"/>
      <c r="PAD10" s="414"/>
      <c r="PAE10" s="414"/>
      <c r="PAF10" s="414"/>
      <c r="PAG10" s="414"/>
      <c r="PAH10" s="414"/>
      <c r="PAI10" s="414"/>
      <c r="PAJ10" s="414"/>
      <c r="PAK10" s="414"/>
      <c r="PAL10" s="414"/>
      <c r="PAM10" s="414"/>
      <c r="PAN10" s="414"/>
      <c r="PAO10" s="414"/>
      <c r="PAP10" s="414"/>
      <c r="PAQ10" s="414"/>
      <c r="PAR10" s="414"/>
      <c r="PAS10" s="414"/>
      <c r="PAT10" s="414"/>
      <c r="PAU10" s="414"/>
      <c r="PAV10" s="414"/>
      <c r="PAW10" s="414"/>
      <c r="PAX10" s="414"/>
      <c r="PAY10" s="414"/>
      <c r="PAZ10" s="414"/>
      <c r="PBA10" s="414"/>
      <c r="PBB10" s="414"/>
      <c r="PBC10" s="414"/>
      <c r="PBD10" s="414"/>
      <c r="PBE10" s="414"/>
      <c r="PBF10" s="414"/>
      <c r="PBG10" s="414"/>
      <c r="PBH10" s="414"/>
      <c r="PBI10" s="414"/>
      <c r="PBJ10" s="414"/>
      <c r="PBK10" s="414"/>
      <c r="PBL10" s="414"/>
      <c r="PBM10" s="414"/>
      <c r="PBN10" s="414"/>
      <c r="PBO10" s="414"/>
      <c r="PBP10" s="414"/>
      <c r="PBQ10" s="414"/>
      <c r="PBR10" s="414"/>
      <c r="PBS10" s="414"/>
      <c r="PBT10" s="414"/>
      <c r="PBU10" s="414"/>
      <c r="PBV10" s="414"/>
      <c r="PBW10" s="414"/>
      <c r="PBX10" s="414"/>
      <c r="PBY10" s="414"/>
      <c r="PBZ10" s="414"/>
      <c r="PCA10" s="414"/>
      <c r="PCB10" s="414"/>
      <c r="PCC10" s="414"/>
      <c r="PCD10" s="414"/>
      <c r="PCE10" s="414"/>
      <c r="PCF10" s="414"/>
      <c r="PCG10" s="414"/>
      <c r="PCH10" s="414"/>
      <c r="PCI10" s="414"/>
      <c r="PCJ10" s="414"/>
      <c r="PCK10" s="414"/>
      <c r="PCL10" s="414"/>
      <c r="PCM10" s="414"/>
      <c r="PCN10" s="414"/>
      <c r="PCO10" s="414"/>
      <c r="PCP10" s="414"/>
      <c r="PCQ10" s="414"/>
      <c r="PCR10" s="414"/>
      <c r="PCS10" s="414"/>
      <c r="PCT10" s="414"/>
      <c r="PCU10" s="414"/>
      <c r="PCV10" s="414"/>
      <c r="PCW10" s="414"/>
      <c r="PCX10" s="414"/>
      <c r="PCY10" s="414"/>
      <c r="PCZ10" s="414"/>
      <c r="PDA10" s="414"/>
      <c r="PDB10" s="414"/>
      <c r="PDC10" s="414"/>
      <c r="PDD10" s="414"/>
      <c r="PDE10" s="414"/>
      <c r="PDF10" s="414"/>
      <c r="PDG10" s="414"/>
      <c r="PDH10" s="414"/>
      <c r="PDI10" s="414"/>
      <c r="PDJ10" s="414"/>
      <c r="PDK10" s="414"/>
      <c r="PDL10" s="414"/>
      <c r="PDM10" s="414"/>
      <c r="PDN10" s="414"/>
      <c r="PDO10" s="414"/>
      <c r="PDP10" s="414"/>
      <c r="PDQ10" s="414"/>
      <c r="PDR10" s="414"/>
      <c r="PDS10" s="414"/>
      <c r="PDT10" s="414"/>
      <c r="PDU10" s="414"/>
      <c r="PDV10" s="414"/>
      <c r="PDW10" s="414"/>
      <c r="PDX10" s="414"/>
      <c r="PDY10" s="414"/>
      <c r="PDZ10" s="414"/>
      <c r="PEA10" s="414"/>
      <c r="PEB10" s="414"/>
      <c r="PEC10" s="414"/>
      <c r="PED10" s="414"/>
      <c r="PEE10" s="414"/>
      <c r="PEF10" s="414"/>
      <c r="PEG10" s="414"/>
      <c r="PEH10" s="414"/>
      <c r="PEI10" s="414"/>
      <c r="PEJ10" s="414"/>
      <c r="PEK10" s="414"/>
      <c r="PEL10" s="414"/>
      <c r="PEM10" s="414"/>
      <c r="PEN10" s="414"/>
      <c r="PEO10" s="414"/>
      <c r="PEP10" s="414"/>
      <c r="PEQ10" s="414"/>
      <c r="PER10" s="414"/>
      <c r="PES10" s="414"/>
      <c r="PET10" s="414"/>
      <c r="PEU10" s="414"/>
      <c r="PEV10" s="414"/>
      <c r="PEW10" s="414"/>
      <c r="PEX10" s="414"/>
      <c r="PEY10" s="414"/>
      <c r="PEZ10" s="414"/>
      <c r="PFA10" s="414"/>
      <c r="PFB10" s="414"/>
      <c r="PFC10" s="414"/>
      <c r="PFD10" s="414"/>
      <c r="PFE10" s="414"/>
      <c r="PFF10" s="414"/>
      <c r="PFG10" s="414"/>
      <c r="PFH10" s="414"/>
      <c r="PFI10" s="414"/>
      <c r="PFJ10" s="414"/>
      <c r="PFK10" s="414"/>
      <c r="PFL10" s="414"/>
      <c r="PFM10" s="414"/>
      <c r="PFN10" s="414"/>
      <c r="PFO10" s="414"/>
      <c r="PFP10" s="414"/>
      <c r="PFQ10" s="414"/>
      <c r="PFR10" s="414"/>
      <c r="PFS10" s="414"/>
      <c r="PFT10" s="414"/>
      <c r="PFU10" s="414"/>
      <c r="PFV10" s="414"/>
      <c r="PFW10" s="414"/>
      <c r="PFX10" s="414"/>
      <c r="PFY10" s="414"/>
      <c r="PFZ10" s="414"/>
      <c r="PGA10" s="414"/>
      <c r="PGB10" s="414"/>
      <c r="PGC10" s="414"/>
      <c r="PGD10" s="414"/>
      <c r="PGE10" s="414"/>
      <c r="PGF10" s="414"/>
      <c r="PGG10" s="414"/>
      <c r="PGH10" s="414"/>
      <c r="PGI10" s="414"/>
      <c r="PGJ10" s="414"/>
      <c r="PGK10" s="414"/>
      <c r="PGL10" s="414"/>
      <c r="PGM10" s="414"/>
      <c r="PGN10" s="414"/>
      <c r="PGO10" s="414"/>
      <c r="PGP10" s="414"/>
      <c r="PGQ10" s="414"/>
      <c r="PGR10" s="414"/>
      <c r="PGS10" s="414"/>
      <c r="PGT10" s="414"/>
      <c r="PGU10" s="414"/>
      <c r="PGV10" s="414"/>
      <c r="PGW10" s="414"/>
      <c r="PGX10" s="414"/>
      <c r="PGY10" s="414"/>
      <c r="PGZ10" s="414"/>
      <c r="PHA10" s="414"/>
      <c r="PHB10" s="414"/>
      <c r="PHC10" s="414"/>
      <c r="PHD10" s="414"/>
      <c r="PHE10" s="414"/>
      <c r="PHF10" s="414"/>
      <c r="PHG10" s="414"/>
      <c r="PHH10" s="414"/>
      <c r="PHI10" s="414"/>
      <c r="PHJ10" s="414"/>
      <c r="PHK10" s="414"/>
      <c r="PHL10" s="414"/>
      <c r="PHM10" s="414"/>
      <c r="PHN10" s="414"/>
      <c r="PHO10" s="414"/>
      <c r="PHP10" s="414"/>
      <c r="PHQ10" s="414"/>
      <c r="PHR10" s="414"/>
      <c r="PHS10" s="414"/>
      <c r="PHT10" s="414"/>
      <c r="PHU10" s="414"/>
      <c r="PHV10" s="414"/>
      <c r="PHW10" s="414"/>
      <c r="PHX10" s="414"/>
      <c r="PHY10" s="414"/>
      <c r="PHZ10" s="414"/>
      <c r="PIA10" s="414"/>
      <c r="PIB10" s="414"/>
      <c r="PIC10" s="414"/>
      <c r="PID10" s="414"/>
      <c r="PIE10" s="414"/>
      <c r="PIF10" s="414"/>
      <c r="PIG10" s="414"/>
      <c r="PIH10" s="414"/>
      <c r="PII10" s="414"/>
      <c r="PIJ10" s="414"/>
      <c r="PIK10" s="414"/>
      <c r="PIL10" s="414"/>
      <c r="PIM10" s="414"/>
      <c r="PIN10" s="414"/>
      <c r="PIO10" s="414"/>
      <c r="PIP10" s="414"/>
      <c r="PIQ10" s="414"/>
      <c r="PIR10" s="414"/>
      <c r="PIS10" s="414"/>
      <c r="PIT10" s="414"/>
      <c r="PIU10" s="414"/>
      <c r="PIV10" s="414"/>
      <c r="PIW10" s="414"/>
      <c r="PIX10" s="414"/>
      <c r="PIY10" s="414"/>
      <c r="PIZ10" s="414"/>
      <c r="PJA10" s="414"/>
      <c r="PJB10" s="414"/>
      <c r="PJC10" s="414"/>
      <c r="PJD10" s="414"/>
      <c r="PJE10" s="414"/>
      <c r="PJF10" s="414"/>
      <c r="PJG10" s="414"/>
      <c r="PJH10" s="414"/>
      <c r="PJI10" s="414"/>
      <c r="PJJ10" s="414"/>
      <c r="PJK10" s="414"/>
      <c r="PJL10" s="414"/>
      <c r="PJM10" s="414"/>
      <c r="PJN10" s="414"/>
      <c r="PJO10" s="414"/>
      <c r="PJP10" s="414"/>
      <c r="PJQ10" s="414"/>
      <c r="PJR10" s="414"/>
      <c r="PJS10" s="414"/>
      <c r="PJT10" s="414"/>
      <c r="PJU10" s="414"/>
      <c r="PJV10" s="414"/>
      <c r="PJW10" s="414"/>
      <c r="PJX10" s="414"/>
      <c r="PJY10" s="414"/>
      <c r="PJZ10" s="414"/>
      <c r="PKA10" s="414"/>
      <c r="PKB10" s="414"/>
      <c r="PKC10" s="414"/>
      <c r="PKD10" s="414"/>
      <c r="PKE10" s="414"/>
      <c r="PKF10" s="414"/>
      <c r="PKG10" s="414"/>
      <c r="PKH10" s="414"/>
      <c r="PKI10" s="414"/>
      <c r="PKJ10" s="414"/>
      <c r="PKK10" s="414"/>
      <c r="PKL10" s="414"/>
      <c r="PKM10" s="414"/>
      <c r="PKN10" s="414"/>
      <c r="PKO10" s="414"/>
      <c r="PKP10" s="414"/>
      <c r="PKQ10" s="414"/>
      <c r="PKR10" s="414"/>
      <c r="PKS10" s="414"/>
      <c r="PKT10" s="414"/>
      <c r="PKU10" s="414"/>
      <c r="PKV10" s="414"/>
      <c r="PKW10" s="414"/>
      <c r="PKX10" s="414"/>
      <c r="PKY10" s="414"/>
      <c r="PKZ10" s="414"/>
      <c r="PLA10" s="414"/>
      <c r="PLB10" s="414"/>
      <c r="PLC10" s="414"/>
      <c r="PLD10" s="414"/>
      <c r="PLE10" s="414"/>
      <c r="PLF10" s="414"/>
      <c r="PLG10" s="414"/>
      <c r="PLH10" s="414"/>
      <c r="PLI10" s="414"/>
      <c r="PLJ10" s="414"/>
      <c r="PLK10" s="414"/>
      <c r="PLL10" s="414"/>
      <c r="PLM10" s="414"/>
      <c r="PLN10" s="414"/>
      <c r="PLO10" s="414"/>
      <c r="PLP10" s="414"/>
      <c r="PLQ10" s="414"/>
      <c r="PLR10" s="414"/>
      <c r="PLS10" s="414"/>
      <c r="PLT10" s="414"/>
      <c r="PLU10" s="414"/>
      <c r="PLV10" s="414"/>
      <c r="PLW10" s="414"/>
      <c r="PLX10" s="414"/>
      <c r="PLY10" s="414"/>
      <c r="PLZ10" s="414"/>
      <c r="PMA10" s="414"/>
      <c r="PMB10" s="414"/>
      <c r="PMC10" s="414"/>
      <c r="PMD10" s="414"/>
      <c r="PME10" s="414"/>
      <c r="PMF10" s="414"/>
      <c r="PMG10" s="414"/>
      <c r="PMH10" s="414"/>
      <c r="PMI10" s="414"/>
      <c r="PMJ10" s="414"/>
      <c r="PMK10" s="414"/>
      <c r="PML10" s="414"/>
      <c r="PMM10" s="414"/>
      <c r="PMN10" s="414"/>
      <c r="PMO10" s="414"/>
      <c r="PMP10" s="414"/>
      <c r="PMQ10" s="414"/>
      <c r="PMR10" s="414"/>
      <c r="PMS10" s="414"/>
      <c r="PMT10" s="414"/>
      <c r="PMU10" s="414"/>
      <c r="PMV10" s="414"/>
      <c r="PMW10" s="414"/>
      <c r="PMX10" s="414"/>
      <c r="PMY10" s="414"/>
      <c r="PMZ10" s="414"/>
      <c r="PNA10" s="414"/>
      <c r="PNB10" s="414"/>
      <c r="PNC10" s="414"/>
      <c r="PND10" s="414"/>
      <c r="PNE10" s="414"/>
      <c r="PNF10" s="414"/>
      <c r="PNG10" s="414"/>
      <c r="PNH10" s="414"/>
      <c r="PNI10" s="414"/>
      <c r="PNJ10" s="414"/>
      <c r="PNK10" s="414"/>
      <c r="PNL10" s="414"/>
      <c r="PNM10" s="414"/>
      <c r="PNN10" s="414"/>
      <c r="PNO10" s="414"/>
      <c r="PNP10" s="414"/>
      <c r="PNQ10" s="414"/>
      <c r="PNR10" s="414"/>
      <c r="PNS10" s="414"/>
      <c r="PNT10" s="414"/>
      <c r="PNU10" s="414"/>
      <c r="PNV10" s="414"/>
      <c r="PNW10" s="414"/>
      <c r="PNX10" s="414"/>
      <c r="PNY10" s="414"/>
      <c r="PNZ10" s="414"/>
      <c r="POA10" s="414"/>
      <c r="POB10" s="414"/>
      <c r="POC10" s="414"/>
      <c r="POD10" s="414"/>
      <c r="POE10" s="414"/>
      <c r="POF10" s="414"/>
      <c r="POG10" s="414"/>
      <c r="POH10" s="414"/>
      <c r="POI10" s="414"/>
      <c r="POJ10" s="414"/>
      <c r="POK10" s="414"/>
      <c r="POL10" s="414"/>
      <c r="POM10" s="414"/>
      <c r="PON10" s="414"/>
      <c r="POO10" s="414"/>
      <c r="POP10" s="414"/>
      <c r="POQ10" s="414"/>
      <c r="POR10" s="414"/>
      <c r="POS10" s="414"/>
      <c r="POT10" s="414"/>
      <c r="POU10" s="414"/>
      <c r="POV10" s="414"/>
      <c r="POW10" s="414"/>
      <c r="POX10" s="414"/>
      <c r="POY10" s="414"/>
      <c r="POZ10" s="414"/>
      <c r="PPA10" s="414"/>
      <c r="PPB10" s="414"/>
      <c r="PPC10" s="414"/>
      <c r="PPD10" s="414"/>
      <c r="PPE10" s="414"/>
      <c r="PPF10" s="414"/>
      <c r="PPG10" s="414"/>
      <c r="PPH10" s="414"/>
      <c r="PPI10" s="414"/>
      <c r="PPJ10" s="414"/>
      <c r="PPK10" s="414"/>
      <c r="PPL10" s="414"/>
      <c r="PPM10" s="414"/>
      <c r="PPN10" s="414"/>
      <c r="PPO10" s="414"/>
      <c r="PPP10" s="414"/>
      <c r="PPQ10" s="414"/>
      <c r="PPR10" s="414"/>
      <c r="PPS10" s="414"/>
      <c r="PPT10" s="414"/>
      <c r="PPU10" s="414"/>
      <c r="PPV10" s="414"/>
      <c r="PPW10" s="414"/>
      <c r="PPX10" s="414"/>
      <c r="PPY10" s="414"/>
      <c r="PPZ10" s="414"/>
      <c r="PQA10" s="414"/>
      <c r="PQB10" s="414"/>
      <c r="PQC10" s="414"/>
      <c r="PQD10" s="414"/>
      <c r="PQE10" s="414"/>
      <c r="PQF10" s="414"/>
      <c r="PQG10" s="414"/>
      <c r="PQH10" s="414"/>
      <c r="PQI10" s="414"/>
      <c r="PQJ10" s="414"/>
      <c r="PQK10" s="414"/>
      <c r="PQL10" s="414"/>
      <c r="PQM10" s="414"/>
      <c r="PQN10" s="414"/>
      <c r="PQO10" s="414"/>
      <c r="PQP10" s="414"/>
      <c r="PQQ10" s="414"/>
      <c r="PQR10" s="414"/>
      <c r="PQS10" s="414"/>
      <c r="PQT10" s="414"/>
      <c r="PQU10" s="414"/>
      <c r="PQV10" s="414"/>
      <c r="PQW10" s="414"/>
      <c r="PQX10" s="414"/>
      <c r="PQY10" s="414"/>
      <c r="PQZ10" s="414"/>
      <c r="PRA10" s="414"/>
      <c r="PRB10" s="414"/>
      <c r="PRC10" s="414"/>
      <c r="PRD10" s="414"/>
      <c r="PRE10" s="414"/>
      <c r="PRF10" s="414"/>
      <c r="PRG10" s="414"/>
      <c r="PRH10" s="414"/>
      <c r="PRI10" s="414"/>
      <c r="PRJ10" s="414"/>
      <c r="PRK10" s="414"/>
      <c r="PRL10" s="414"/>
      <c r="PRM10" s="414"/>
      <c r="PRN10" s="414"/>
      <c r="PRO10" s="414"/>
      <c r="PRP10" s="414"/>
      <c r="PRQ10" s="414"/>
      <c r="PRR10" s="414"/>
      <c r="PRS10" s="414"/>
      <c r="PRT10" s="414"/>
      <c r="PRU10" s="414"/>
      <c r="PRV10" s="414"/>
      <c r="PRW10" s="414"/>
      <c r="PRX10" s="414"/>
      <c r="PRY10" s="414"/>
      <c r="PRZ10" s="414"/>
      <c r="PSA10" s="414"/>
      <c r="PSB10" s="414"/>
      <c r="PSC10" s="414"/>
      <c r="PSD10" s="414"/>
      <c r="PSE10" s="414"/>
      <c r="PSF10" s="414"/>
      <c r="PSG10" s="414"/>
      <c r="PSH10" s="414"/>
      <c r="PSI10" s="414"/>
      <c r="PSJ10" s="414"/>
      <c r="PSK10" s="414"/>
      <c r="PSL10" s="414"/>
      <c r="PSM10" s="414"/>
      <c r="PSN10" s="414"/>
      <c r="PSO10" s="414"/>
      <c r="PSP10" s="414"/>
      <c r="PSQ10" s="414"/>
      <c r="PSR10" s="414"/>
      <c r="PSS10" s="414"/>
      <c r="PST10" s="414"/>
      <c r="PSU10" s="414"/>
      <c r="PSV10" s="414"/>
      <c r="PSW10" s="414"/>
      <c r="PSX10" s="414"/>
      <c r="PSY10" s="414"/>
      <c r="PSZ10" s="414"/>
      <c r="PTA10" s="414"/>
      <c r="PTB10" s="414"/>
      <c r="PTC10" s="414"/>
      <c r="PTD10" s="414"/>
      <c r="PTE10" s="414"/>
      <c r="PTF10" s="414"/>
      <c r="PTG10" s="414"/>
      <c r="PTH10" s="414"/>
      <c r="PTI10" s="414"/>
      <c r="PTJ10" s="414"/>
      <c r="PTK10" s="414"/>
      <c r="PTL10" s="414"/>
      <c r="PTM10" s="414"/>
      <c r="PTN10" s="414"/>
      <c r="PTO10" s="414"/>
      <c r="PTP10" s="414"/>
      <c r="PTQ10" s="414"/>
      <c r="PTR10" s="414"/>
      <c r="PTS10" s="414"/>
      <c r="PTT10" s="414"/>
      <c r="PTU10" s="414"/>
      <c r="PTV10" s="414"/>
      <c r="PTW10" s="414"/>
      <c r="PTX10" s="414"/>
      <c r="PTY10" s="414"/>
      <c r="PTZ10" s="414"/>
      <c r="PUA10" s="414"/>
      <c r="PUB10" s="414"/>
      <c r="PUC10" s="414"/>
      <c r="PUD10" s="414"/>
      <c r="PUE10" s="414"/>
      <c r="PUF10" s="414"/>
      <c r="PUG10" s="414"/>
      <c r="PUH10" s="414"/>
      <c r="PUI10" s="414"/>
      <c r="PUJ10" s="414"/>
      <c r="PUK10" s="414"/>
      <c r="PUL10" s="414"/>
      <c r="PUM10" s="414"/>
      <c r="PUN10" s="414"/>
      <c r="PUO10" s="414"/>
      <c r="PUP10" s="414"/>
      <c r="PUQ10" s="414"/>
      <c r="PUR10" s="414"/>
      <c r="PUS10" s="414"/>
      <c r="PUT10" s="414"/>
      <c r="PUU10" s="414"/>
      <c r="PUV10" s="414"/>
      <c r="PUW10" s="414"/>
      <c r="PUX10" s="414"/>
      <c r="PUY10" s="414"/>
      <c r="PUZ10" s="414"/>
      <c r="PVA10" s="414"/>
      <c r="PVB10" s="414"/>
      <c r="PVC10" s="414"/>
      <c r="PVD10" s="414"/>
      <c r="PVE10" s="414"/>
      <c r="PVF10" s="414"/>
      <c r="PVG10" s="414"/>
      <c r="PVH10" s="414"/>
      <c r="PVI10" s="414"/>
      <c r="PVJ10" s="414"/>
      <c r="PVK10" s="414"/>
      <c r="PVL10" s="414"/>
      <c r="PVM10" s="414"/>
      <c r="PVN10" s="414"/>
      <c r="PVO10" s="414"/>
      <c r="PVP10" s="414"/>
      <c r="PVQ10" s="414"/>
      <c r="PVR10" s="414"/>
      <c r="PVS10" s="414"/>
      <c r="PVT10" s="414"/>
      <c r="PVU10" s="414"/>
      <c r="PVV10" s="414"/>
      <c r="PVW10" s="414"/>
      <c r="PVX10" s="414"/>
      <c r="PVY10" s="414"/>
      <c r="PVZ10" s="414"/>
      <c r="PWA10" s="414"/>
      <c r="PWB10" s="414"/>
      <c r="PWC10" s="414"/>
      <c r="PWD10" s="414"/>
      <c r="PWE10" s="414"/>
      <c r="PWF10" s="414"/>
      <c r="PWG10" s="414"/>
      <c r="PWH10" s="414"/>
      <c r="PWI10" s="414"/>
      <c r="PWJ10" s="414"/>
      <c r="PWK10" s="414"/>
      <c r="PWL10" s="414"/>
      <c r="PWM10" s="414"/>
      <c r="PWN10" s="414"/>
      <c r="PWO10" s="414"/>
      <c r="PWP10" s="414"/>
      <c r="PWQ10" s="414"/>
      <c r="PWR10" s="414"/>
      <c r="PWS10" s="414"/>
      <c r="PWT10" s="414"/>
      <c r="PWU10" s="414"/>
      <c r="PWV10" s="414"/>
      <c r="PWW10" s="414"/>
      <c r="PWX10" s="414"/>
      <c r="PWY10" s="414"/>
      <c r="PWZ10" s="414"/>
      <c r="PXA10" s="414"/>
      <c r="PXB10" s="414"/>
      <c r="PXC10" s="414"/>
      <c r="PXD10" s="414"/>
      <c r="PXE10" s="414"/>
      <c r="PXF10" s="414"/>
      <c r="PXG10" s="414"/>
      <c r="PXH10" s="414"/>
      <c r="PXI10" s="414"/>
      <c r="PXJ10" s="414"/>
      <c r="PXK10" s="414"/>
      <c r="PXL10" s="414"/>
      <c r="PXM10" s="414"/>
      <c r="PXN10" s="414"/>
      <c r="PXO10" s="414"/>
      <c r="PXP10" s="414"/>
      <c r="PXQ10" s="414"/>
      <c r="PXR10" s="414"/>
      <c r="PXS10" s="414"/>
      <c r="PXT10" s="414"/>
      <c r="PXU10" s="414"/>
      <c r="PXV10" s="414"/>
      <c r="PXW10" s="414"/>
      <c r="PXX10" s="414"/>
      <c r="PXY10" s="414"/>
      <c r="PXZ10" s="414"/>
      <c r="PYA10" s="414"/>
      <c r="PYB10" s="414"/>
      <c r="PYC10" s="414"/>
      <c r="PYD10" s="414"/>
      <c r="PYE10" s="414"/>
      <c r="PYF10" s="414"/>
      <c r="PYG10" s="414"/>
      <c r="PYH10" s="414"/>
      <c r="PYI10" s="414"/>
      <c r="PYJ10" s="414"/>
      <c r="PYK10" s="414"/>
      <c r="PYL10" s="414"/>
      <c r="PYM10" s="414"/>
      <c r="PYN10" s="414"/>
      <c r="PYO10" s="414"/>
      <c r="PYP10" s="414"/>
      <c r="PYQ10" s="414"/>
      <c r="PYR10" s="414"/>
      <c r="PYS10" s="414"/>
      <c r="PYT10" s="414"/>
      <c r="PYU10" s="414"/>
      <c r="PYV10" s="414"/>
      <c r="PYW10" s="414"/>
      <c r="PYX10" s="414"/>
      <c r="PYY10" s="414"/>
      <c r="PYZ10" s="414"/>
      <c r="PZA10" s="414"/>
      <c r="PZB10" s="414"/>
      <c r="PZC10" s="414"/>
      <c r="PZD10" s="414"/>
      <c r="PZE10" s="414"/>
      <c r="PZF10" s="414"/>
      <c r="PZG10" s="414"/>
      <c r="PZH10" s="414"/>
      <c r="PZI10" s="414"/>
      <c r="PZJ10" s="414"/>
      <c r="PZK10" s="414"/>
      <c r="PZL10" s="414"/>
      <c r="PZM10" s="414"/>
      <c r="PZN10" s="414"/>
      <c r="PZO10" s="414"/>
      <c r="PZP10" s="414"/>
      <c r="PZQ10" s="414"/>
      <c r="PZR10" s="414"/>
      <c r="PZS10" s="414"/>
      <c r="PZT10" s="414"/>
      <c r="PZU10" s="414"/>
      <c r="PZV10" s="414"/>
      <c r="PZW10" s="414"/>
      <c r="PZX10" s="414"/>
      <c r="PZY10" s="414"/>
      <c r="PZZ10" s="414"/>
      <c r="QAA10" s="414"/>
      <c r="QAB10" s="414"/>
      <c r="QAC10" s="414"/>
      <c r="QAD10" s="414"/>
      <c r="QAE10" s="414"/>
      <c r="QAF10" s="414"/>
      <c r="QAG10" s="414"/>
      <c r="QAH10" s="414"/>
      <c r="QAI10" s="414"/>
      <c r="QAJ10" s="414"/>
      <c r="QAK10" s="414"/>
      <c r="QAL10" s="414"/>
      <c r="QAM10" s="414"/>
      <c r="QAN10" s="414"/>
      <c r="QAO10" s="414"/>
      <c r="QAP10" s="414"/>
      <c r="QAQ10" s="414"/>
      <c r="QAR10" s="414"/>
      <c r="QAS10" s="414"/>
      <c r="QAT10" s="414"/>
      <c r="QAU10" s="414"/>
      <c r="QAV10" s="414"/>
      <c r="QAW10" s="414"/>
      <c r="QAX10" s="414"/>
      <c r="QAY10" s="414"/>
      <c r="QAZ10" s="414"/>
      <c r="QBA10" s="414"/>
      <c r="QBB10" s="414"/>
      <c r="QBC10" s="414"/>
      <c r="QBD10" s="414"/>
      <c r="QBE10" s="414"/>
      <c r="QBF10" s="414"/>
      <c r="QBG10" s="414"/>
      <c r="QBH10" s="414"/>
      <c r="QBI10" s="414"/>
      <c r="QBJ10" s="414"/>
      <c r="QBK10" s="414"/>
      <c r="QBL10" s="414"/>
      <c r="QBM10" s="414"/>
      <c r="QBN10" s="414"/>
      <c r="QBO10" s="414"/>
      <c r="QBP10" s="414"/>
      <c r="QBQ10" s="414"/>
      <c r="QBR10" s="414"/>
      <c r="QBS10" s="414"/>
      <c r="QBT10" s="414"/>
      <c r="QBU10" s="414"/>
      <c r="QBV10" s="414"/>
      <c r="QBW10" s="414"/>
      <c r="QBX10" s="414"/>
      <c r="QBY10" s="414"/>
      <c r="QBZ10" s="414"/>
      <c r="QCA10" s="414"/>
      <c r="QCB10" s="414"/>
      <c r="QCC10" s="414"/>
      <c r="QCD10" s="414"/>
      <c r="QCE10" s="414"/>
      <c r="QCF10" s="414"/>
      <c r="QCG10" s="414"/>
      <c r="QCH10" s="414"/>
      <c r="QCI10" s="414"/>
      <c r="QCJ10" s="414"/>
      <c r="QCK10" s="414"/>
      <c r="QCL10" s="414"/>
      <c r="QCM10" s="414"/>
      <c r="QCN10" s="414"/>
      <c r="QCO10" s="414"/>
      <c r="QCP10" s="414"/>
      <c r="QCQ10" s="414"/>
      <c r="QCR10" s="414"/>
      <c r="QCS10" s="414"/>
      <c r="QCT10" s="414"/>
      <c r="QCU10" s="414"/>
      <c r="QCV10" s="414"/>
      <c r="QCW10" s="414"/>
      <c r="QCX10" s="414"/>
      <c r="QCY10" s="414"/>
      <c r="QCZ10" s="414"/>
      <c r="QDA10" s="414"/>
      <c r="QDB10" s="414"/>
      <c r="QDC10" s="414"/>
      <c r="QDD10" s="414"/>
      <c r="QDE10" s="414"/>
      <c r="QDF10" s="414"/>
      <c r="QDG10" s="414"/>
      <c r="QDH10" s="414"/>
      <c r="QDI10" s="414"/>
      <c r="QDJ10" s="414"/>
      <c r="QDK10" s="414"/>
      <c r="QDL10" s="414"/>
      <c r="QDM10" s="414"/>
      <c r="QDN10" s="414"/>
      <c r="QDO10" s="414"/>
      <c r="QDP10" s="414"/>
      <c r="QDQ10" s="414"/>
      <c r="QDR10" s="414"/>
      <c r="QDS10" s="414"/>
      <c r="QDT10" s="414"/>
      <c r="QDU10" s="414"/>
      <c r="QDV10" s="414"/>
      <c r="QDW10" s="414"/>
      <c r="QDX10" s="414"/>
      <c r="QDY10" s="414"/>
      <c r="QDZ10" s="414"/>
      <c r="QEA10" s="414"/>
      <c r="QEB10" s="414"/>
      <c r="QEC10" s="414"/>
      <c r="QED10" s="414"/>
      <c r="QEE10" s="414"/>
      <c r="QEF10" s="414"/>
      <c r="QEG10" s="414"/>
      <c r="QEH10" s="414"/>
      <c r="QEI10" s="414"/>
      <c r="QEJ10" s="414"/>
      <c r="QEK10" s="414"/>
      <c r="QEL10" s="414"/>
      <c r="QEM10" s="414"/>
      <c r="QEN10" s="414"/>
      <c r="QEO10" s="414"/>
      <c r="QEP10" s="414"/>
      <c r="QEQ10" s="414"/>
      <c r="QER10" s="414"/>
      <c r="QES10" s="414"/>
      <c r="QET10" s="414"/>
      <c r="QEU10" s="414"/>
      <c r="QEV10" s="414"/>
      <c r="QEW10" s="414"/>
      <c r="QEX10" s="414"/>
      <c r="QEY10" s="414"/>
      <c r="QEZ10" s="414"/>
      <c r="QFA10" s="414"/>
      <c r="QFB10" s="414"/>
      <c r="QFC10" s="414"/>
      <c r="QFD10" s="414"/>
      <c r="QFE10" s="414"/>
      <c r="QFF10" s="414"/>
      <c r="QFG10" s="414"/>
      <c r="QFH10" s="414"/>
      <c r="QFI10" s="414"/>
      <c r="QFJ10" s="414"/>
      <c r="QFK10" s="414"/>
      <c r="QFL10" s="414"/>
      <c r="QFM10" s="414"/>
      <c r="QFN10" s="414"/>
      <c r="QFO10" s="414"/>
      <c r="QFP10" s="414"/>
      <c r="QFQ10" s="414"/>
      <c r="QFR10" s="414"/>
      <c r="QFS10" s="414"/>
      <c r="QFT10" s="414"/>
      <c r="QFU10" s="414"/>
      <c r="QFV10" s="414"/>
      <c r="QFW10" s="414"/>
      <c r="QFX10" s="414"/>
      <c r="QFY10" s="414"/>
      <c r="QFZ10" s="414"/>
      <c r="QGA10" s="414"/>
      <c r="QGB10" s="414"/>
      <c r="QGC10" s="414"/>
      <c r="QGD10" s="414"/>
      <c r="QGE10" s="414"/>
      <c r="QGF10" s="414"/>
      <c r="QGG10" s="414"/>
      <c r="QGH10" s="414"/>
      <c r="QGI10" s="414"/>
      <c r="QGJ10" s="414"/>
      <c r="QGK10" s="414"/>
      <c r="QGL10" s="414"/>
      <c r="QGM10" s="414"/>
      <c r="QGN10" s="414"/>
      <c r="QGO10" s="414"/>
      <c r="QGP10" s="414"/>
      <c r="QGQ10" s="414"/>
      <c r="QGR10" s="414"/>
      <c r="QGS10" s="414"/>
      <c r="QGT10" s="414"/>
      <c r="QGU10" s="414"/>
      <c r="QGV10" s="414"/>
      <c r="QGW10" s="414"/>
      <c r="QGX10" s="414"/>
      <c r="QGY10" s="414"/>
      <c r="QGZ10" s="414"/>
      <c r="QHA10" s="414"/>
      <c r="QHB10" s="414"/>
      <c r="QHC10" s="414"/>
      <c r="QHD10" s="414"/>
      <c r="QHE10" s="414"/>
      <c r="QHF10" s="414"/>
      <c r="QHG10" s="414"/>
      <c r="QHH10" s="414"/>
      <c r="QHI10" s="414"/>
      <c r="QHJ10" s="414"/>
      <c r="QHK10" s="414"/>
      <c r="QHL10" s="414"/>
      <c r="QHM10" s="414"/>
      <c r="QHN10" s="414"/>
      <c r="QHO10" s="414"/>
      <c r="QHP10" s="414"/>
      <c r="QHQ10" s="414"/>
      <c r="QHR10" s="414"/>
      <c r="QHS10" s="414"/>
      <c r="QHT10" s="414"/>
      <c r="QHU10" s="414"/>
      <c r="QHV10" s="414"/>
      <c r="QHW10" s="414"/>
      <c r="QHX10" s="414"/>
      <c r="QHY10" s="414"/>
      <c r="QHZ10" s="414"/>
      <c r="QIA10" s="414"/>
      <c r="QIB10" s="414"/>
      <c r="QIC10" s="414"/>
      <c r="QID10" s="414"/>
      <c r="QIE10" s="414"/>
      <c r="QIF10" s="414"/>
      <c r="QIG10" s="414"/>
      <c r="QIH10" s="414"/>
      <c r="QII10" s="414"/>
      <c r="QIJ10" s="414"/>
      <c r="QIK10" s="414"/>
      <c r="QIL10" s="414"/>
      <c r="QIM10" s="414"/>
      <c r="QIN10" s="414"/>
      <c r="QIO10" s="414"/>
      <c r="QIP10" s="414"/>
      <c r="QIQ10" s="414"/>
      <c r="QIR10" s="414"/>
      <c r="QIS10" s="414"/>
      <c r="QIT10" s="414"/>
      <c r="QIU10" s="414"/>
      <c r="QIV10" s="414"/>
      <c r="QIW10" s="414"/>
      <c r="QIX10" s="414"/>
      <c r="QIY10" s="414"/>
      <c r="QIZ10" s="414"/>
      <c r="QJA10" s="414"/>
      <c r="QJB10" s="414"/>
      <c r="QJC10" s="414"/>
      <c r="QJD10" s="414"/>
      <c r="QJE10" s="414"/>
      <c r="QJF10" s="414"/>
      <c r="QJG10" s="414"/>
      <c r="QJH10" s="414"/>
      <c r="QJI10" s="414"/>
      <c r="QJJ10" s="414"/>
      <c r="QJK10" s="414"/>
      <c r="QJL10" s="414"/>
      <c r="QJM10" s="414"/>
      <c r="QJN10" s="414"/>
      <c r="QJO10" s="414"/>
      <c r="QJP10" s="414"/>
      <c r="QJQ10" s="414"/>
      <c r="QJR10" s="414"/>
      <c r="QJS10" s="414"/>
      <c r="QJT10" s="414"/>
      <c r="QJU10" s="414"/>
      <c r="QJV10" s="414"/>
      <c r="QJW10" s="414"/>
      <c r="QJX10" s="414"/>
      <c r="QJY10" s="414"/>
      <c r="QJZ10" s="414"/>
      <c r="QKA10" s="414"/>
      <c r="QKB10" s="414"/>
      <c r="QKC10" s="414"/>
      <c r="QKD10" s="414"/>
      <c r="QKE10" s="414"/>
      <c r="QKF10" s="414"/>
      <c r="QKG10" s="414"/>
      <c r="QKH10" s="414"/>
      <c r="QKI10" s="414"/>
      <c r="QKJ10" s="414"/>
      <c r="QKK10" s="414"/>
      <c r="QKL10" s="414"/>
      <c r="QKM10" s="414"/>
      <c r="QKN10" s="414"/>
      <c r="QKO10" s="414"/>
      <c r="QKP10" s="414"/>
      <c r="QKQ10" s="414"/>
      <c r="QKR10" s="414"/>
      <c r="QKS10" s="414"/>
      <c r="QKT10" s="414"/>
      <c r="QKU10" s="414"/>
      <c r="QKV10" s="414"/>
      <c r="QKW10" s="414"/>
      <c r="QKX10" s="414"/>
      <c r="QKY10" s="414"/>
      <c r="QKZ10" s="414"/>
      <c r="QLA10" s="414"/>
      <c r="QLB10" s="414"/>
      <c r="QLC10" s="414"/>
      <c r="QLD10" s="414"/>
      <c r="QLE10" s="414"/>
      <c r="QLF10" s="414"/>
      <c r="QLG10" s="414"/>
      <c r="QLH10" s="414"/>
      <c r="QLI10" s="414"/>
      <c r="QLJ10" s="414"/>
      <c r="QLK10" s="414"/>
      <c r="QLL10" s="414"/>
      <c r="QLM10" s="414"/>
      <c r="QLN10" s="414"/>
      <c r="QLO10" s="414"/>
      <c r="QLP10" s="414"/>
      <c r="QLQ10" s="414"/>
      <c r="QLR10" s="414"/>
      <c r="QLS10" s="414"/>
      <c r="QLT10" s="414"/>
      <c r="QLU10" s="414"/>
      <c r="QLV10" s="414"/>
      <c r="QLW10" s="414"/>
      <c r="QLX10" s="414"/>
      <c r="QLY10" s="414"/>
      <c r="QLZ10" s="414"/>
      <c r="QMA10" s="414"/>
      <c r="QMB10" s="414"/>
      <c r="QMC10" s="414"/>
      <c r="QMD10" s="414"/>
      <c r="QME10" s="414"/>
      <c r="QMF10" s="414"/>
      <c r="QMG10" s="414"/>
      <c r="QMH10" s="414"/>
      <c r="QMI10" s="414"/>
      <c r="QMJ10" s="414"/>
      <c r="QMK10" s="414"/>
      <c r="QML10" s="414"/>
      <c r="QMM10" s="414"/>
      <c r="QMN10" s="414"/>
      <c r="QMO10" s="414"/>
      <c r="QMP10" s="414"/>
      <c r="QMQ10" s="414"/>
      <c r="QMR10" s="414"/>
      <c r="QMS10" s="414"/>
      <c r="QMT10" s="414"/>
      <c r="QMU10" s="414"/>
      <c r="QMV10" s="414"/>
      <c r="QMW10" s="414"/>
      <c r="QMX10" s="414"/>
      <c r="QMY10" s="414"/>
      <c r="QMZ10" s="414"/>
      <c r="QNA10" s="414"/>
      <c r="QNB10" s="414"/>
      <c r="QNC10" s="414"/>
      <c r="QND10" s="414"/>
      <c r="QNE10" s="414"/>
      <c r="QNF10" s="414"/>
      <c r="QNG10" s="414"/>
      <c r="QNH10" s="414"/>
      <c r="QNI10" s="414"/>
      <c r="QNJ10" s="414"/>
      <c r="QNK10" s="414"/>
      <c r="QNL10" s="414"/>
      <c r="QNM10" s="414"/>
      <c r="QNN10" s="414"/>
      <c r="QNO10" s="414"/>
      <c r="QNP10" s="414"/>
      <c r="QNQ10" s="414"/>
      <c r="QNR10" s="414"/>
      <c r="QNS10" s="414"/>
      <c r="QNT10" s="414"/>
      <c r="QNU10" s="414"/>
      <c r="QNV10" s="414"/>
      <c r="QNW10" s="414"/>
      <c r="QNX10" s="414"/>
      <c r="QNY10" s="414"/>
      <c r="QNZ10" s="414"/>
      <c r="QOA10" s="414"/>
      <c r="QOB10" s="414"/>
      <c r="QOC10" s="414"/>
      <c r="QOD10" s="414"/>
      <c r="QOE10" s="414"/>
      <c r="QOF10" s="414"/>
      <c r="QOG10" s="414"/>
      <c r="QOH10" s="414"/>
      <c r="QOI10" s="414"/>
      <c r="QOJ10" s="414"/>
      <c r="QOK10" s="414"/>
      <c r="QOL10" s="414"/>
      <c r="QOM10" s="414"/>
      <c r="QON10" s="414"/>
      <c r="QOO10" s="414"/>
      <c r="QOP10" s="414"/>
      <c r="QOQ10" s="414"/>
      <c r="QOR10" s="414"/>
      <c r="QOS10" s="414"/>
      <c r="QOT10" s="414"/>
      <c r="QOU10" s="414"/>
      <c r="QOV10" s="414"/>
      <c r="QOW10" s="414"/>
      <c r="QOX10" s="414"/>
      <c r="QOY10" s="414"/>
      <c r="QOZ10" s="414"/>
      <c r="QPA10" s="414"/>
      <c r="QPB10" s="414"/>
      <c r="QPC10" s="414"/>
      <c r="QPD10" s="414"/>
      <c r="QPE10" s="414"/>
      <c r="QPF10" s="414"/>
      <c r="QPG10" s="414"/>
      <c r="QPH10" s="414"/>
      <c r="QPI10" s="414"/>
      <c r="QPJ10" s="414"/>
      <c r="QPK10" s="414"/>
      <c r="QPL10" s="414"/>
      <c r="QPM10" s="414"/>
      <c r="QPN10" s="414"/>
      <c r="QPO10" s="414"/>
      <c r="QPP10" s="414"/>
      <c r="QPQ10" s="414"/>
      <c r="QPR10" s="414"/>
      <c r="QPS10" s="414"/>
      <c r="QPT10" s="414"/>
      <c r="QPU10" s="414"/>
      <c r="QPV10" s="414"/>
      <c r="QPW10" s="414"/>
      <c r="QPX10" s="414"/>
      <c r="QPY10" s="414"/>
      <c r="QPZ10" s="414"/>
      <c r="QQA10" s="414"/>
      <c r="QQB10" s="414"/>
      <c r="QQC10" s="414"/>
      <c r="QQD10" s="414"/>
      <c r="QQE10" s="414"/>
      <c r="QQF10" s="414"/>
      <c r="QQG10" s="414"/>
      <c r="QQH10" s="414"/>
      <c r="QQI10" s="414"/>
      <c r="QQJ10" s="414"/>
      <c r="QQK10" s="414"/>
      <c r="QQL10" s="414"/>
      <c r="QQM10" s="414"/>
      <c r="QQN10" s="414"/>
      <c r="QQO10" s="414"/>
      <c r="QQP10" s="414"/>
      <c r="QQQ10" s="414"/>
      <c r="QQR10" s="414"/>
      <c r="QQS10" s="414"/>
      <c r="QQT10" s="414"/>
      <c r="QQU10" s="414"/>
      <c r="QQV10" s="414"/>
      <c r="QQW10" s="414"/>
      <c r="QQX10" s="414"/>
      <c r="QQY10" s="414"/>
      <c r="QQZ10" s="414"/>
      <c r="QRA10" s="414"/>
      <c r="QRB10" s="414"/>
      <c r="QRC10" s="414"/>
      <c r="QRD10" s="414"/>
      <c r="QRE10" s="414"/>
      <c r="QRF10" s="414"/>
      <c r="QRG10" s="414"/>
      <c r="QRH10" s="414"/>
      <c r="QRI10" s="414"/>
      <c r="QRJ10" s="414"/>
      <c r="QRK10" s="414"/>
      <c r="QRL10" s="414"/>
      <c r="QRM10" s="414"/>
      <c r="QRN10" s="414"/>
      <c r="QRO10" s="414"/>
      <c r="QRP10" s="414"/>
      <c r="QRQ10" s="414"/>
      <c r="QRR10" s="414"/>
      <c r="QRS10" s="414"/>
      <c r="QRT10" s="414"/>
      <c r="QRU10" s="414"/>
      <c r="QRV10" s="414"/>
      <c r="QRW10" s="414"/>
      <c r="QRX10" s="414"/>
      <c r="QRY10" s="414"/>
      <c r="QRZ10" s="414"/>
      <c r="QSA10" s="414"/>
      <c r="QSB10" s="414"/>
      <c r="QSC10" s="414"/>
      <c r="QSD10" s="414"/>
      <c r="QSE10" s="414"/>
      <c r="QSF10" s="414"/>
      <c r="QSG10" s="414"/>
      <c r="QSH10" s="414"/>
      <c r="QSI10" s="414"/>
      <c r="QSJ10" s="414"/>
      <c r="QSK10" s="414"/>
      <c r="QSL10" s="414"/>
      <c r="QSM10" s="414"/>
      <c r="QSN10" s="414"/>
      <c r="QSO10" s="414"/>
      <c r="QSP10" s="414"/>
      <c r="QSQ10" s="414"/>
      <c r="QSR10" s="414"/>
      <c r="QSS10" s="414"/>
      <c r="QST10" s="414"/>
      <c r="QSU10" s="414"/>
      <c r="QSV10" s="414"/>
      <c r="QSW10" s="414"/>
      <c r="QSX10" s="414"/>
      <c r="QSY10" s="414"/>
      <c r="QSZ10" s="414"/>
      <c r="QTA10" s="414"/>
      <c r="QTB10" s="414"/>
      <c r="QTC10" s="414"/>
      <c r="QTD10" s="414"/>
      <c r="QTE10" s="414"/>
      <c r="QTF10" s="414"/>
      <c r="QTG10" s="414"/>
      <c r="QTH10" s="414"/>
      <c r="QTI10" s="414"/>
      <c r="QTJ10" s="414"/>
      <c r="QTK10" s="414"/>
      <c r="QTL10" s="414"/>
      <c r="QTM10" s="414"/>
      <c r="QTN10" s="414"/>
      <c r="QTO10" s="414"/>
      <c r="QTP10" s="414"/>
      <c r="QTQ10" s="414"/>
      <c r="QTR10" s="414"/>
      <c r="QTS10" s="414"/>
      <c r="QTT10" s="414"/>
      <c r="QTU10" s="414"/>
      <c r="QTV10" s="414"/>
      <c r="QTW10" s="414"/>
      <c r="QTX10" s="414"/>
      <c r="QTY10" s="414"/>
      <c r="QTZ10" s="414"/>
      <c r="QUA10" s="414"/>
      <c r="QUB10" s="414"/>
      <c r="QUC10" s="414"/>
      <c r="QUD10" s="414"/>
      <c r="QUE10" s="414"/>
      <c r="QUF10" s="414"/>
      <c r="QUG10" s="414"/>
      <c r="QUH10" s="414"/>
      <c r="QUI10" s="414"/>
      <c r="QUJ10" s="414"/>
      <c r="QUK10" s="414"/>
      <c r="QUL10" s="414"/>
      <c r="QUM10" s="414"/>
      <c r="QUN10" s="414"/>
      <c r="QUO10" s="414"/>
      <c r="QUP10" s="414"/>
      <c r="QUQ10" s="414"/>
      <c r="QUR10" s="414"/>
      <c r="QUS10" s="414"/>
      <c r="QUT10" s="414"/>
      <c r="QUU10" s="414"/>
      <c r="QUV10" s="414"/>
      <c r="QUW10" s="414"/>
      <c r="QUX10" s="414"/>
      <c r="QUY10" s="414"/>
      <c r="QUZ10" s="414"/>
      <c r="QVA10" s="414"/>
      <c r="QVB10" s="414"/>
      <c r="QVC10" s="414"/>
      <c r="QVD10" s="414"/>
      <c r="QVE10" s="414"/>
      <c r="QVF10" s="414"/>
      <c r="QVG10" s="414"/>
      <c r="QVH10" s="414"/>
      <c r="QVI10" s="414"/>
      <c r="QVJ10" s="414"/>
      <c r="QVK10" s="414"/>
      <c r="QVL10" s="414"/>
      <c r="QVM10" s="414"/>
      <c r="QVN10" s="414"/>
      <c r="QVO10" s="414"/>
      <c r="QVP10" s="414"/>
      <c r="QVQ10" s="414"/>
      <c r="QVR10" s="414"/>
      <c r="QVS10" s="414"/>
      <c r="QVT10" s="414"/>
      <c r="QVU10" s="414"/>
      <c r="QVV10" s="414"/>
      <c r="QVW10" s="414"/>
      <c r="QVX10" s="414"/>
      <c r="QVY10" s="414"/>
      <c r="QVZ10" s="414"/>
      <c r="QWA10" s="414"/>
      <c r="QWB10" s="414"/>
      <c r="QWC10" s="414"/>
      <c r="QWD10" s="414"/>
      <c r="QWE10" s="414"/>
      <c r="QWF10" s="414"/>
      <c r="QWG10" s="414"/>
      <c r="QWH10" s="414"/>
      <c r="QWI10" s="414"/>
      <c r="QWJ10" s="414"/>
      <c r="QWK10" s="414"/>
      <c r="QWL10" s="414"/>
      <c r="QWM10" s="414"/>
      <c r="QWN10" s="414"/>
      <c r="QWO10" s="414"/>
      <c r="QWP10" s="414"/>
      <c r="QWQ10" s="414"/>
      <c r="QWR10" s="414"/>
      <c r="QWS10" s="414"/>
      <c r="QWT10" s="414"/>
      <c r="QWU10" s="414"/>
      <c r="QWV10" s="414"/>
      <c r="QWW10" s="414"/>
      <c r="QWX10" s="414"/>
      <c r="QWY10" s="414"/>
      <c r="QWZ10" s="414"/>
      <c r="QXA10" s="414"/>
      <c r="QXB10" s="414"/>
      <c r="QXC10" s="414"/>
      <c r="QXD10" s="414"/>
      <c r="QXE10" s="414"/>
      <c r="QXF10" s="414"/>
      <c r="QXG10" s="414"/>
      <c r="QXH10" s="414"/>
      <c r="QXI10" s="414"/>
      <c r="QXJ10" s="414"/>
      <c r="QXK10" s="414"/>
      <c r="QXL10" s="414"/>
      <c r="QXM10" s="414"/>
      <c r="QXN10" s="414"/>
      <c r="QXO10" s="414"/>
      <c r="QXP10" s="414"/>
      <c r="QXQ10" s="414"/>
      <c r="QXR10" s="414"/>
      <c r="QXS10" s="414"/>
      <c r="QXT10" s="414"/>
      <c r="QXU10" s="414"/>
      <c r="QXV10" s="414"/>
      <c r="QXW10" s="414"/>
      <c r="QXX10" s="414"/>
      <c r="QXY10" s="414"/>
      <c r="QXZ10" s="414"/>
      <c r="QYA10" s="414"/>
      <c r="QYB10" s="414"/>
      <c r="QYC10" s="414"/>
      <c r="QYD10" s="414"/>
      <c r="QYE10" s="414"/>
      <c r="QYF10" s="414"/>
      <c r="QYG10" s="414"/>
      <c r="QYH10" s="414"/>
      <c r="QYI10" s="414"/>
      <c r="QYJ10" s="414"/>
      <c r="QYK10" s="414"/>
      <c r="QYL10" s="414"/>
      <c r="QYM10" s="414"/>
      <c r="QYN10" s="414"/>
      <c r="QYO10" s="414"/>
      <c r="QYP10" s="414"/>
      <c r="QYQ10" s="414"/>
      <c r="QYR10" s="414"/>
      <c r="QYS10" s="414"/>
      <c r="QYT10" s="414"/>
      <c r="QYU10" s="414"/>
      <c r="QYV10" s="414"/>
      <c r="QYW10" s="414"/>
      <c r="QYX10" s="414"/>
      <c r="QYY10" s="414"/>
      <c r="QYZ10" s="414"/>
      <c r="QZA10" s="414"/>
      <c r="QZB10" s="414"/>
      <c r="QZC10" s="414"/>
      <c r="QZD10" s="414"/>
      <c r="QZE10" s="414"/>
      <c r="QZF10" s="414"/>
      <c r="QZG10" s="414"/>
      <c r="QZH10" s="414"/>
      <c r="QZI10" s="414"/>
      <c r="QZJ10" s="414"/>
      <c r="QZK10" s="414"/>
      <c r="QZL10" s="414"/>
      <c r="QZM10" s="414"/>
      <c r="QZN10" s="414"/>
      <c r="QZO10" s="414"/>
      <c r="QZP10" s="414"/>
      <c r="QZQ10" s="414"/>
      <c r="QZR10" s="414"/>
      <c r="QZS10" s="414"/>
      <c r="QZT10" s="414"/>
      <c r="QZU10" s="414"/>
      <c r="QZV10" s="414"/>
      <c r="QZW10" s="414"/>
      <c r="QZX10" s="414"/>
      <c r="QZY10" s="414"/>
      <c r="QZZ10" s="414"/>
      <c r="RAA10" s="414"/>
      <c r="RAB10" s="414"/>
      <c r="RAC10" s="414"/>
      <c r="RAD10" s="414"/>
      <c r="RAE10" s="414"/>
      <c r="RAF10" s="414"/>
      <c r="RAG10" s="414"/>
      <c r="RAH10" s="414"/>
      <c r="RAI10" s="414"/>
      <c r="RAJ10" s="414"/>
      <c r="RAK10" s="414"/>
      <c r="RAL10" s="414"/>
      <c r="RAM10" s="414"/>
      <c r="RAN10" s="414"/>
      <c r="RAO10" s="414"/>
      <c r="RAP10" s="414"/>
      <c r="RAQ10" s="414"/>
      <c r="RAR10" s="414"/>
      <c r="RAS10" s="414"/>
      <c r="RAT10" s="414"/>
      <c r="RAU10" s="414"/>
      <c r="RAV10" s="414"/>
      <c r="RAW10" s="414"/>
      <c r="RAX10" s="414"/>
      <c r="RAY10" s="414"/>
      <c r="RAZ10" s="414"/>
      <c r="RBA10" s="414"/>
      <c r="RBB10" s="414"/>
      <c r="RBC10" s="414"/>
      <c r="RBD10" s="414"/>
      <c r="RBE10" s="414"/>
      <c r="RBF10" s="414"/>
      <c r="RBG10" s="414"/>
      <c r="RBH10" s="414"/>
      <c r="RBI10" s="414"/>
      <c r="RBJ10" s="414"/>
      <c r="RBK10" s="414"/>
      <c r="RBL10" s="414"/>
      <c r="RBM10" s="414"/>
      <c r="RBN10" s="414"/>
      <c r="RBO10" s="414"/>
      <c r="RBP10" s="414"/>
      <c r="RBQ10" s="414"/>
      <c r="RBR10" s="414"/>
      <c r="RBS10" s="414"/>
      <c r="RBT10" s="414"/>
      <c r="RBU10" s="414"/>
      <c r="RBV10" s="414"/>
      <c r="RBW10" s="414"/>
      <c r="RBX10" s="414"/>
      <c r="RBY10" s="414"/>
      <c r="RBZ10" s="414"/>
      <c r="RCA10" s="414"/>
      <c r="RCB10" s="414"/>
      <c r="RCC10" s="414"/>
      <c r="RCD10" s="414"/>
      <c r="RCE10" s="414"/>
      <c r="RCF10" s="414"/>
      <c r="RCG10" s="414"/>
      <c r="RCH10" s="414"/>
      <c r="RCI10" s="414"/>
      <c r="RCJ10" s="414"/>
      <c r="RCK10" s="414"/>
      <c r="RCL10" s="414"/>
      <c r="RCM10" s="414"/>
      <c r="RCN10" s="414"/>
      <c r="RCO10" s="414"/>
      <c r="RCP10" s="414"/>
      <c r="RCQ10" s="414"/>
      <c r="RCR10" s="414"/>
      <c r="RCS10" s="414"/>
      <c r="RCT10" s="414"/>
      <c r="RCU10" s="414"/>
      <c r="RCV10" s="414"/>
      <c r="RCW10" s="414"/>
      <c r="RCX10" s="414"/>
      <c r="RCY10" s="414"/>
      <c r="RCZ10" s="414"/>
      <c r="RDA10" s="414"/>
      <c r="RDB10" s="414"/>
      <c r="RDC10" s="414"/>
      <c r="RDD10" s="414"/>
      <c r="RDE10" s="414"/>
      <c r="RDF10" s="414"/>
      <c r="RDG10" s="414"/>
      <c r="RDH10" s="414"/>
      <c r="RDI10" s="414"/>
      <c r="RDJ10" s="414"/>
      <c r="RDK10" s="414"/>
      <c r="RDL10" s="414"/>
      <c r="RDM10" s="414"/>
      <c r="RDN10" s="414"/>
      <c r="RDO10" s="414"/>
      <c r="RDP10" s="414"/>
      <c r="RDQ10" s="414"/>
      <c r="RDR10" s="414"/>
      <c r="RDS10" s="414"/>
      <c r="RDT10" s="414"/>
      <c r="RDU10" s="414"/>
      <c r="RDV10" s="414"/>
      <c r="RDW10" s="414"/>
      <c r="RDX10" s="414"/>
      <c r="RDY10" s="414"/>
      <c r="RDZ10" s="414"/>
      <c r="REA10" s="414"/>
      <c r="REB10" s="414"/>
      <c r="REC10" s="414"/>
      <c r="RED10" s="414"/>
      <c r="REE10" s="414"/>
      <c r="REF10" s="414"/>
      <c r="REG10" s="414"/>
      <c r="REH10" s="414"/>
      <c r="REI10" s="414"/>
      <c r="REJ10" s="414"/>
      <c r="REK10" s="414"/>
      <c r="REL10" s="414"/>
      <c r="REM10" s="414"/>
      <c r="REN10" s="414"/>
      <c r="REO10" s="414"/>
      <c r="REP10" s="414"/>
      <c r="REQ10" s="414"/>
      <c r="RER10" s="414"/>
      <c r="RES10" s="414"/>
      <c r="RET10" s="414"/>
      <c r="REU10" s="414"/>
      <c r="REV10" s="414"/>
      <c r="REW10" s="414"/>
      <c r="REX10" s="414"/>
      <c r="REY10" s="414"/>
      <c r="REZ10" s="414"/>
      <c r="RFA10" s="414"/>
      <c r="RFB10" s="414"/>
      <c r="RFC10" s="414"/>
      <c r="RFD10" s="414"/>
      <c r="RFE10" s="414"/>
      <c r="RFF10" s="414"/>
      <c r="RFG10" s="414"/>
      <c r="RFH10" s="414"/>
      <c r="RFI10" s="414"/>
      <c r="RFJ10" s="414"/>
      <c r="RFK10" s="414"/>
      <c r="RFL10" s="414"/>
      <c r="RFM10" s="414"/>
      <c r="RFN10" s="414"/>
      <c r="RFO10" s="414"/>
      <c r="RFP10" s="414"/>
      <c r="RFQ10" s="414"/>
      <c r="RFR10" s="414"/>
      <c r="RFS10" s="414"/>
      <c r="RFT10" s="414"/>
      <c r="RFU10" s="414"/>
      <c r="RFV10" s="414"/>
      <c r="RFW10" s="414"/>
      <c r="RFX10" s="414"/>
      <c r="RFY10" s="414"/>
      <c r="RFZ10" s="414"/>
      <c r="RGA10" s="414"/>
      <c r="RGB10" s="414"/>
      <c r="RGC10" s="414"/>
      <c r="RGD10" s="414"/>
      <c r="RGE10" s="414"/>
      <c r="RGF10" s="414"/>
      <c r="RGG10" s="414"/>
      <c r="RGH10" s="414"/>
      <c r="RGI10" s="414"/>
      <c r="RGJ10" s="414"/>
      <c r="RGK10" s="414"/>
      <c r="RGL10" s="414"/>
      <c r="RGM10" s="414"/>
      <c r="RGN10" s="414"/>
      <c r="RGO10" s="414"/>
      <c r="RGP10" s="414"/>
      <c r="RGQ10" s="414"/>
      <c r="RGR10" s="414"/>
      <c r="RGS10" s="414"/>
      <c r="RGT10" s="414"/>
      <c r="RGU10" s="414"/>
      <c r="RGV10" s="414"/>
      <c r="RGW10" s="414"/>
      <c r="RGX10" s="414"/>
      <c r="RGY10" s="414"/>
      <c r="RGZ10" s="414"/>
      <c r="RHA10" s="414"/>
      <c r="RHB10" s="414"/>
      <c r="RHC10" s="414"/>
      <c r="RHD10" s="414"/>
      <c r="RHE10" s="414"/>
      <c r="RHF10" s="414"/>
      <c r="RHG10" s="414"/>
      <c r="RHH10" s="414"/>
      <c r="RHI10" s="414"/>
      <c r="RHJ10" s="414"/>
      <c r="RHK10" s="414"/>
      <c r="RHL10" s="414"/>
      <c r="RHM10" s="414"/>
      <c r="RHN10" s="414"/>
      <c r="RHO10" s="414"/>
      <c r="RHP10" s="414"/>
      <c r="RHQ10" s="414"/>
      <c r="RHR10" s="414"/>
      <c r="RHS10" s="414"/>
      <c r="RHT10" s="414"/>
      <c r="RHU10" s="414"/>
      <c r="RHV10" s="414"/>
      <c r="RHW10" s="414"/>
      <c r="RHX10" s="414"/>
      <c r="RHY10" s="414"/>
      <c r="RHZ10" s="414"/>
      <c r="RIA10" s="414"/>
      <c r="RIB10" s="414"/>
      <c r="RIC10" s="414"/>
      <c r="RID10" s="414"/>
      <c r="RIE10" s="414"/>
      <c r="RIF10" s="414"/>
      <c r="RIG10" s="414"/>
      <c r="RIH10" s="414"/>
      <c r="RII10" s="414"/>
      <c r="RIJ10" s="414"/>
      <c r="RIK10" s="414"/>
      <c r="RIL10" s="414"/>
      <c r="RIM10" s="414"/>
      <c r="RIN10" s="414"/>
      <c r="RIO10" s="414"/>
      <c r="RIP10" s="414"/>
      <c r="RIQ10" s="414"/>
      <c r="RIR10" s="414"/>
      <c r="RIS10" s="414"/>
      <c r="RIT10" s="414"/>
      <c r="RIU10" s="414"/>
      <c r="RIV10" s="414"/>
      <c r="RIW10" s="414"/>
      <c r="RIX10" s="414"/>
      <c r="RIY10" s="414"/>
      <c r="RIZ10" s="414"/>
      <c r="RJA10" s="414"/>
      <c r="RJB10" s="414"/>
      <c r="RJC10" s="414"/>
      <c r="RJD10" s="414"/>
      <c r="RJE10" s="414"/>
      <c r="RJF10" s="414"/>
      <c r="RJG10" s="414"/>
      <c r="RJH10" s="414"/>
      <c r="RJI10" s="414"/>
      <c r="RJJ10" s="414"/>
      <c r="RJK10" s="414"/>
      <c r="RJL10" s="414"/>
      <c r="RJM10" s="414"/>
      <c r="RJN10" s="414"/>
      <c r="RJO10" s="414"/>
      <c r="RJP10" s="414"/>
      <c r="RJQ10" s="414"/>
      <c r="RJR10" s="414"/>
      <c r="RJS10" s="414"/>
      <c r="RJT10" s="414"/>
      <c r="RJU10" s="414"/>
      <c r="RJV10" s="414"/>
      <c r="RJW10" s="414"/>
      <c r="RJX10" s="414"/>
      <c r="RJY10" s="414"/>
      <c r="RJZ10" s="414"/>
      <c r="RKA10" s="414"/>
      <c r="RKB10" s="414"/>
      <c r="RKC10" s="414"/>
      <c r="RKD10" s="414"/>
      <c r="RKE10" s="414"/>
      <c r="RKF10" s="414"/>
      <c r="RKG10" s="414"/>
      <c r="RKH10" s="414"/>
      <c r="RKI10" s="414"/>
      <c r="RKJ10" s="414"/>
      <c r="RKK10" s="414"/>
      <c r="RKL10" s="414"/>
      <c r="RKM10" s="414"/>
      <c r="RKN10" s="414"/>
      <c r="RKO10" s="414"/>
      <c r="RKP10" s="414"/>
      <c r="RKQ10" s="414"/>
      <c r="RKR10" s="414"/>
      <c r="RKS10" s="414"/>
      <c r="RKT10" s="414"/>
      <c r="RKU10" s="414"/>
      <c r="RKV10" s="414"/>
      <c r="RKW10" s="414"/>
      <c r="RKX10" s="414"/>
      <c r="RKY10" s="414"/>
      <c r="RKZ10" s="414"/>
      <c r="RLA10" s="414"/>
      <c r="RLB10" s="414"/>
      <c r="RLC10" s="414"/>
      <c r="RLD10" s="414"/>
      <c r="RLE10" s="414"/>
      <c r="RLF10" s="414"/>
      <c r="RLG10" s="414"/>
      <c r="RLH10" s="414"/>
      <c r="RLI10" s="414"/>
      <c r="RLJ10" s="414"/>
      <c r="RLK10" s="414"/>
      <c r="RLL10" s="414"/>
      <c r="RLM10" s="414"/>
      <c r="RLN10" s="414"/>
      <c r="RLO10" s="414"/>
      <c r="RLP10" s="414"/>
      <c r="RLQ10" s="414"/>
      <c r="RLR10" s="414"/>
      <c r="RLS10" s="414"/>
      <c r="RLT10" s="414"/>
      <c r="RLU10" s="414"/>
      <c r="RLV10" s="414"/>
      <c r="RLW10" s="414"/>
      <c r="RLX10" s="414"/>
      <c r="RLY10" s="414"/>
      <c r="RLZ10" s="414"/>
      <c r="RMA10" s="414"/>
      <c r="RMB10" s="414"/>
      <c r="RMC10" s="414"/>
      <c r="RMD10" s="414"/>
      <c r="RME10" s="414"/>
      <c r="RMF10" s="414"/>
      <c r="RMG10" s="414"/>
      <c r="RMH10" s="414"/>
      <c r="RMI10" s="414"/>
      <c r="RMJ10" s="414"/>
      <c r="RMK10" s="414"/>
      <c r="RML10" s="414"/>
      <c r="RMM10" s="414"/>
      <c r="RMN10" s="414"/>
      <c r="RMO10" s="414"/>
      <c r="RMP10" s="414"/>
      <c r="RMQ10" s="414"/>
      <c r="RMR10" s="414"/>
      <c r="RMS10" s="414"/>
      <c r="RMT10" s="414"/>
      <c r="RMU10" s="414"/>
      <c r="RMV10" s="414"/>
      <c r="RMW10" s="414"/>
      <c r="RMX10" s="414"/>
      <c r="RMY10" s="414"/>
      <c r="RMZ10" s="414"/>
      <c r="RNA10" s="414"/>
      <c r="RNB10" s="414"/>
      <c r="RNC10" s="414"/>
      <c r="RND10" s="414"/>
      <c r="RNE10" s="414"/>
      <c r="RNF10" s="414"/>
      <c r="RNG10" s="414"/>
      <c r="RNH10" s="414"/>
      <c r="RNI10" s="414"/>
      <c r="RNJ10" s="414"/>
      <c r="RNK10" s="414"/>
      <c r="RNL10" s="414"/>
      <c r="RNM10" s="414"/>
      <c r="RNN10" s="414"/>
      <c r="RNO10" s="414"/>
      <c r="RNP10" s="414"/>
      <c r="RNQ10" s="414"/>
      <c r="RNR10" s="414"/>
      <c r="RNS10" s="414"/>
      <c r="RNT10" s="414"/>
      <c r="RNU10" s="414"/>
      <c r="RNV10" s="414"/>
      <c r="RNW10" s="414"/>
      <c r="RNX10" s="414"/>
      <c r="RNY10" s="414"/>
      <c r="RNZ10" s="414"/>
      <c r="ROA10" s="414"/>
      <c r="ROB10" s="414"/>
      <c r="ROC10" s="414"/>
      <c r="ROD10" s="414"/>
      <c r="ROE10" s="414"/>
      <c r="ROF10" s="414"/>
      <c r="ROG10" s="414"/>
      <c r="ROH10" s="414"/>
      <c r="ROI10" s="414"/>
      <c r="ROJ10" s="414"/>
      <c r="ROK10" s="414"/>
      <c r="ROL10" s="414"/>
      <c r="ROM10" s="414"/>
      <c r="RON10" s="414"/>
      <c r="ROO10" s="414"/>
      <c r="ROP10" s="414"/>
      <c r="ROQ10" s="414"/>
      <c r="ROR10" s="414"/>
      <c r="ROS10" s="414"/>
      <c r="ROT10" s="414"/>
      <c r="ROU10" s="414"/>
      <c r="ROV10" s="414"/>
      <c r="ROW10" s="414"/>
      <c r="ROX10" s="414"/>
      <c r="ROY10" s="414"/>
      <c r="ROZ10" s="414"/>
      <c r="RPA10" s="414"/>
      <c r="RPB10" s="414"/>
      <c r="RPC10" s="414"/>
      <c r="RPD10" s="414"/>
      <c r="RPE10" s="414"/>
      <c r="RPF10" s="414"/>
      <c r="RPG10" s="414"/>
      <c r="RPH10" s="414"/>
      <c r="RPI10" s="414"/>
      <c r="RPJ10" s="414"/>
      <c r="RPK10" s="414"/>
      <c r="RPL10" s="414"/>
      <c r="RPM10" s="414"/>
      <c r="RPN10" s="414"/>
      <c r="RPO10" s="414"/>
      <c r="RPP10" s="414"/>
      <c r="RPQ10" s="414"/>
      <c r="RPR10" s="414"/>
      <c r="RPS10" s="414"/>
      <c r="RPT10" s="414"/>
      <c r="RPU10" s="414"/>
      <c r="RPV10" s="414"/>
      <c r="RPW10" s="414"/>
      <c r="RPX10" s="414"/>
      <c r="RPY10" s="414"/>
      <c r="RPZ10" s="414"/>
      <c r="RQA10" s="414"/>
      <c r="RQB10" s="414"/>
      <c r="RQC10" s="414"/>
      <c r="RQD10" s="414"/>
      <c r="RQE10" s="414"/>
      <c r="RQF10" s="414"/>
      <c r="RQG10" s="414"/>
      <c r="RQH10" s="414"/>
      <c r="RQI10" s="414"/>
      <c r="RQJ10" s="414"/>
      <c r="RQK10" s="414"/>
      <c r="RQL10" s="414"/>
      <c r="RQM10" s="414"/>
      <c r="RQN10" s="414"/>
      <c r="RQO10" s="414"/>
      <c r="RQP10" s="414"/>
      <c r="RQQ10" s="414"/>
      <c r="RQR10" s="414"/>
      <c r="RQS10" s="414"/>
      <c r="RQT10" s="414"/>
      <c r="RQU10" s="414"/>
      <c r="RQV10" s="414"/>
      <c r="RQW10" s="414"/>
      <c r="RQX10" s="414"/>
      <c r="RQY10" s="414"/>
      <c r="RQZ10" s="414"/>
      <c r="RRA10" s="414"/>
      <c r="RRB10" s="414"/>
      <c r="RRC10" s="414"/>
      <c r="RRD10" s="414"/>
      <c r="RRE10" s="414"/>
      <c r="RRF10" s="414"/>
      <c r="RRG10" s="414"/>
      <c r="RRH10" s="414"/>
      <c r="RRI10" s="414"/>
      <c r="RRJ10" s="414"/>
      <c r="RRK10" s="414"/>
      <c r="RRL10" s="414"/>
      <c r="RRM10" s="414"/>
      <c r="RRN10" s="414"/>
      <c r="RRO10" s="414"/>
      <c r="RRP10" s="414"/>
      <c r="RRQ10" s="414"/>
      <c r="RRR10" s="414"/>
      <c r="RRS10" s="414"/>
      <c r="RRT10" s="414"/>
      <c r="RRU10" s="414"/>
      <c r="RRV10" s="414"/>
      <c r="RRW10" s="414"/>
      <c r="RRX10" s="414"/>
      <c r="RRY10" s="414"/>
      <c r="RRZ10" s="414"/>
      <c r="RSA10" s="414"/>
      <c r="RSB10" s="414"/>
      <c r="RSC10" s="414"/>
      <c r="RSD10" s="414"/>
      <c r="RSE10" s="414"/>
      <c r="RSF10" s="414"/>
      <c r="RSG10" s="414"/>
      <c r="RSH10" s="414"/>
      <c r="RSI10" s="414"/>
      <c r="RSJ10" s="414"/>
      <c r="RSK10" s="414"/>
      <c r="RSL10" s="414"/>
      <c r="RSM10" s="414"/>
      <c r="RSN10" s="414"/>
      <c r="RSO10" s="414"/>
      <c r="RSP10" s="414"/>
      <c r="RSQ10" s="414"/>
      <c r="RSR10" s="414"/>
      <c r="RSS10" s="414"/>
      <c r="RST10" s="414"/>
      <c r="RSU10" s="414"/>
      <c r="RSV10" s="414"/>
      <c r="RSW10" s="414"/>
      <c r="RSX10" s="414"/>
      <c r="RSY10" s="414"/>
      <c r="RSZ10" s="414"/>
      <c r="RTA10" s="414"/>
      <c r="RTB10" s="414"/>
      <c r="RTC10" s="414"/>
      <c r="RTD10" s="414"/>
      <c r="RTE10" s="414"/>
      <c r="RTF10" s="414"/>
      <c r="RTG10" s="414"/>
      <c r="RTH10" s="414"/>
      <c r="RTI10" s="414"/>
      <c r="RTJ10" s="414"/>
      <c r="RTK10" s="414"/>
      <c r="RTL10" s="414"/>
      <c r="RTM10" s="414"/>
      <c r="RTN10" s="414"/>
      <c r="RTO10" s="414"/>
      <c r="RTP10" s="414"/>
      <c r="RTQ10" s="414"/>
      <c r="RTR10" s="414"/>
      <c r="RTS10" s="414"/>
      <c r="RTT10" s="414"/>
      <c r="RTU10" s="414"/>
      <c r="RTV10" s="414"/>
      <c r="RTW10" s="414"/>
      <c r="RTX10" s="414"/>
      <c r="RTY10" s="414"/>
      <c r="RTZ10" s="414"/>
      <c r="RUA10" s="414"/>
      <c r="RUB10" s="414"/>
      <c r="RUC10" s="414"/>
      <c r="RUD10" s="414"/>
      <c r="RUE10" s="414"/>
      <c r="RUF10" s="414"/>
      <c r="RUG10" s="414"/>
      <c r="RUH10" s="414"/>
      <c r="RUI10" s="414"/>
      <c r="RUJ10" s="414"/>
      <c r="RUK10" s="414"/>
      <c r="RUL10" s="414"/>
      <c r="RUM10" s="414"/>
      <c r="RUN10" s="414"/>
      <c r="RUO10" s="414"/>
      <c r="RUP10" s="414"/>
      <c r="RUQ10" s="414"/>
      <c r="RUR10" s="414"/>
      <c r="RUS10" s="414"/>
      <c r="RUT10" s="414"/>
      <c r="RUU10" s="414"/>
      <c r="RUV10" s="414"/>
      <c r="RUW10" s="414"/>
      <c r="RUX10" s="414"/>
      <c r="RUY10" s="414"/>
      <c r="RUZ10" s="414"/>
      <c r="RVA10" s="414"/>
      <c r="RVB10" s="414"/>
      <c r="RVC10" s="414"/>
      <c r="RVD10" s="414"/>
      <c r="RVE10" s="414"/>
      <c r="RVF10" s="414"/>
      <c r="RVG10" s="414"/>
      <c r="RVH10" s="414"/>
      <c r="RVI10" s="414"/>
      <c r="RVJ10" s="414"/>
      <c r="RVK10" s="414"/>
      <c r="RVL10" s="414"/>
      <c r="RVM10" s="414"/>
      <c r="RVN10" s="414"/>
      <c r="RVO10" s="414"/>
      <c r="RVP10" s="414"/>
      <c r="RVQ10" s="414"/>
      <c r="RVR10" s="414"/>
      <c r="RVS10" s="414"/>
      <c r="RVT10" s="414"/>
      <c r="RVU10" s="414"/>
      <c r="RVV10" s="414"/>
      <c r="RVW10" s="414"/>
      <c r="RVX10" s="414"/>
      <c r="RVY10" s="414"/>
      <c r="RVZ10" s="414"/>
      <c r="RWA10" s="414"/>
      <c r="RWB10" s="414"/>
      <c r="RWC10" s="414"/>
      <c r="RWD10" s="414"/>
      <c r="RWE10" s="414"/>
      <c r="RWF10" s="414"/>
      <c r="RWG10" s="414"/>
      <c r="RWH10" s="414"/>
      <c r="RWI10" s="414"/>
      <c r="RWJ10" s="414"/>
      <c r="RWK10" s="414"/>
      <c r="RWL10" s="414"/>
      <c r="RWM10" s="414"/>
      <c r="RWN10" s="414"/>
      <c r="RWO10" s="414"/>
      <c r="RWP10" s="414"/>
      <c r="RWQ10" s="414"/>
      <c r="RWR10" s="414"/>
      <c r="RWS10" s="414"/>
      <c r="RWT10" s="414"/>
      <c r="RWU10" s="414"/>
      <c r="RWV10" s="414"/>
      <c r="RWW10" s="414"/>
      <c r="RWX10" s="414"/>
      <c r="RWY10" s="414"/>
      <c r="RWZ10" s="414"/>
      <c r="RXA10" s="414"/>
      <c r="RXB10" s="414"/>
      <c r="RXC10" s="414"/>
      <c r="RXD10" s="414"/>
      <c r="RXE10" s="414"/>
      <c r="RXF10" s="414"/>
      <c r="RXG10" s="414"/>
      <c r="RXH10" s="414"/>
      <c r="RXI10" s="414"/>
      <c r="RXJ10" s="414"/>
      <c r="RXK10" s="414"/>
      <c r="RXL10" s="414"/>
      <c r="RXM10" s="414"/>
      <c r="RXN10" s="414"/>
      <c r="RXO10" s="414"/>
      <c r="RXP10" s="414"/>
      <c r="RXQ10" s="414"/>
      <c r="RXR10" s="414"/>
      <c r="RXS10" s="414"/>
      <c r="RXT10" s="414"/>
      <c r="RXU10" s="414"/>
      <c r="RXV10" s="414"/>
      <c r="RXW10" s="414"/>
      <c r="RXX10" s="414"/>
      <c r="RXY10" s="414"/>
      <c r="RXZ10" s="414"/>
      <c r="RYA10" s="414"/>
      <c r="RYB10" s="414"/>
      <c r="RYC10" s="414"/>
      <c r="RYD10" s="414"/>
      <c r="RYE10" s="414"/>
      <c r="RYF10" s="414"/>
      <c r="RYG10" s="414"/>
      <c r="RYH10" s="414"/>
      <c r="RYI10" s="414"/>
      <c r="RYJ10" s="414"/>
      <c r="RYK10" s="414"/>
      <c r="RYL10" s="414"/>
      <c r="RYM10" s="414"/>
      <c r="RYN10" s="414"/>
      <c r="RYO10" s="414"/>
      <c r="RYP10" s="414"/>
      <c r="RYQ10" s="414"/>
      <c r="RYR10" s="414"/>
      <c r="RYS10" s="414"/>
      <c r="RYT10" s="414"/>
      <c r="RYU10" s="414"/>
      <c r="RYV10" s="414"/>
      <c r="RYW10" s="414"/>
      <c r="RYX10" s="414"/>
      <c r="RYY10" s="414"/>
      <c r="RYZ10" s="414"/>
      <c r="RZA10" s="414"/>
      <c r="RZB10" s="414"/>
      <c r="RZC10" s="414"/>
      <c r="RZD10" s="414"/>
      <c r="RZE10" s="414"/>
      <c r="RZF10" s="414"/>
      <c r="RZG10" s="414"/>
      <c r="RZH10" s="414"/>
      <c r="RZI10" s="414"/>
      <c r="RZJ10" s="414"/>
      <c r="RZK10" s="414"/>
      <c r="RZL10" s="414"/>
      <c r="RZM10" s="414"/>
      <c r="RZN10" s="414"/>
      <c r="RZO10" s="414"/>
      <c r="RZP10" s="414"/>
      <c r="RZQ10" s="414"/>
      <c r="RZR10" s="414"/>
      <c r="RZS10" s="414"/>
      <c r="RZT10" s="414"/>
      <c r="RZU10" s="414"/>
      <c r="RZV10" s="414"/>
      <c r="RZW10" s="414"/>
      <c r="RZX10" s="414"/>
      <c r="RZY10" s="414"/>
      <c r="RZZ10" s="414"/>
      <c r="SAA10" s="414"/>
      <c r="SAB10" s="414"/>
      <c r="SAC10" s="414"/>
      <c r="SAD10" s="414"/>
      <c r="SAE10" s="414"/>
      <c r="SAF10" s="414"/>
      <c r="SAG10" s="414"/>
      <c r="SAH10" s="414"/>
      <c r="SAI10" s="414"/>
      <c r="SAJ10" s="414"/>
      <c r="SAK10" s="414"/>
      <c r="SAL10" s="414"/>
      <c r="SAM10" s="414"/>
      <c r="SAN10" s="414"/>
      <c r="SAO10" s="414"/>
      <c r="SAP10" s="414"/>
      <c r="SAQ10" s="414"/>
      <c r="SAR10" s="414"/>
      <c r="SAS10" s="414"/>
      <c r="SAT10" s="414"/>
      <c r="SAU10" s="414"/>
      <c r="SAV10" s="414"/>
      <c r="SAW10" s="414"/>
      <c r="SAX10" s="414"/>
      <c r="SAY10" s="414"/>
      <c r="SAZ10" s="414"/>
      <c r="SBA10" s="414"/>
      <c r="SBB10" s="414"/>
      <c r="SBC10" s="414"/>
      <c r="SBD10" s="414"/>
      <c r="SBE10" s="414"/>
      <c r="SBF10" s="414"/>
      <c r="SBG10" s="414"/>
      <c r="SBH10" s="414"/>
      <c r="SBI10" s="414"/>
      <c r="SBJ10" s="414"/>
      <c r="SBK10" s="414"/>
      <c r="SBL10" s="414"/>
      <c r="SBM10" s="414"/>
      <c r="SBN10" s="414"/>
      <c r="SBO10" s="414"/>
      <c r="SBP10" s="414"/>
      <c r="SBQ10" s="414"/>
      <c r="SBR10" s="414"/>
      <c r="SBS10" s="414"/>
      <c r="SBT10" s="414"/>
      <c r="SBU10" s="414"/>
      <c r="SBV10" s="414"/>
      <c r="SBW10" s="414"/>
      <c r="SBX10" s="414"/>
      <c r="SBY10" s="414"/>
      <c r="SBZ10" s="414"/>
      <c r="SCA10" s="414"/>
      <c r="SCB10" s="414"/>
      <c r="SCC10" s="414"/>
      <c r="SCD10" s="414"/>
      <c r="SCE10" s="414"/>
      <c r="SCF10" s="414"/>
      <c r="SCG10" s="414"/>
      <c r="SCH10" s="414"/>
      <c r="SCI10" s="414"/>
      <c r="SCJ10" s="414"/>
      <c r="SCK10" s="414"/>
      <c r="SCL10" s="414"/>
      <c r="SCM10" s="414"/>
      <c r="SCN10" s="414"/>
      <c r="SCO10" s="414"/>
      <c r="SCP10" s="414"/>
      <c r="SCQ10" s="414"/>
      <c r="SCR10" s="414"/>
      <c r="SCS10" s="414"/>
      <c r="SCT10" s="414"/>
      <c r="SCU10" s="414"/>
      <c r="SCV10" s="414"/>
      <c r="SCW10" s="414"/>
      <c r="SCX10" s="414"/>
      <c r="SCY10" s="414"/>
      <c r="SCZ10" s="414"/>
      <c r="SDA10" s="414"/>
      <c r="SDB10" s="414"/>
      <c r="SDC10" s="414"/>
      <c r="SDD10" s="414"/>
      <c r="SDE10" s="414"/>
      <c r="SDF10" s="414"/>
      <c r="SDG10" s="414"/>
      <c r="SDH10" s="414"/>
      <c r="SDI10" s="414"/>
      <c r="SDJ10" s="414"/>
      <c r="SDK10" s="414"/>
      <c r="SDL10" s="414"/>
      <c r="SDM10" s="414"/>
      <c r="SDN10" s="414"/>
      <c r="SDO10" s="414"/>
      <c r="SDP10" s="414"/>
      <c r="SDQ10" s="414"/>
      <c r="SDR10" s="414"/>
      <c r="SDS10" s="414"/>
      <c r="SDT10" s="414"/>
      <c r="SDU10" s="414"/>
      <c r="SDV10" s="414"/>
      <c r="SDW10" s="414"/>
      <c r="SDX10" s="414"/>
      <c r="SDY10" s="414"/>
      <c r="SDZ10" s="414"/>
      <c r="SEA10" s="414"/>
      <c r="SEB10" s="414"/>
      <c r="SEC10" s="414"/>
      <c r="SED10" s="414"/>
      <c r="SEE10" s="414"/>
      <c r="SEF10" s="414"/>
      <c r="SEG10" s="414"/>
      <c r="SEH10" s="414"/>
      <c r="SEI10" s="414"/>
      <c r="SEJ10" s="414"/>
      <c r="SEK10" s="414"/>
      <c r="SEL10" s="414"/>
      <c r="SEM10" s="414"/>
      <c r="SEN10" s="414"/>
      <c r="SEO10" s="414"/>
      <c r="SEP10" s="414"/>
      <c r="SEQ10" s="414"/>
      <c r="SER10" s="414"/>
      <c r="SES10" s="414"/>
      <c r="SET10" s="414"/>
      <c r="SEU10" s="414"/>
      <c r="SEV10" s="414"/>
      <c r="SEW10" s="414"/>
      <c r="SEX10" s="414"/>
      <c r="SEY10" s="414"/>
      <c r="SEZ10" s="414"/>
      <c r="SFA10" s="414"/>
      <c r="SFB10" s="414"/>
      <c r="SFC10" s="414"/>
      <c r="SFD10" s="414"/>
      <c r="SFE10" s="414"/>
      <c r="SFF10" s="414"/>
      <c r="SFG10" s="414"/>
      <c r="SFH10" s="414"/>
      <c r="SFI10" s="414"/>
      <c r="SFJ10" s="414"/>
      <c r="SFK10" s="414"/>
      <c r="SFL10" s="414"/>
      <c r="SFM10" s="414"/>
      <c r="SFN10" s="414"/>
      <c r="SFO10" s="414"/>
      <c r="SFP10" s="414"/>
      <c r="SFQ10" s="414"/>
      <c r="SFR10" s="414"/>
      <c r="SFS10" s="414"/>
      <c r="SFT10" s="414"/>
      <c r="SFU10" s="414"/>
      <c r="SFV10" s="414"/>
      <c r="SFW10" s="414"/>
      <c r="SFX10" s="414"/>
      <c r="SFY10" s="414"/>
      <c r="SFZ10" s="414"/>
      <c r="SGA10" s="414"/>
      <c r="SGB10" s="414"/>
      <c r="SGC10" s="414"/>
      <c r="SGD10" s="414"/>
      <c r="SGE10" s="414"/>
      <c r="SGF10" s="414"/>
      <c r="SGG10" s="414"/>
      <c r="SGH10" s="414"/>
      <c r="SGI10" s="414"/>
      <c r="SGJ10" s="414"/>
      <c r="SGK10" s="414"/>
      <c r="SGL10" s="414"/>
      <c r="SGM10" s="414"/>
      <c r="SGN10" s="414"/>
      <c r="SGO10" s="414"/>
      <c r="SGP10" s="414"/>
      <c r="SGQ10" s="414"/>
      <c r="SGR10" s="414"/>
      <c r="SGS10" s="414"/>
      <c r="SGT10" s="414"/>
      <c r="SGU10" s="414"/>
      <c r="SGV10" s="414"/>
      <c r="SGW10" s="414"/>
      <c r="SGX10" s="414"/>
      <c r="SGY10" s="414"/>
      <c r="SGZ10" s="414"/>
      <c r="SHA10" s="414"/>
      <c r="SHB10" s="414"/>
      <c r="SHC10" s="414"/>
      <c r="SHD10" s="414"/>
      <c r="SHE10" s="414"/>
      <c r="SHF10" s="414"/>
      <c r="SHG10" s="414"/>
      <c r="SHH10" s="414"/>
      <c r="SHI10" s="414"/>
      <c r="SHJ10" s="414"/>
      <c r="SHK10" s="414"/>
      <c r="SHL10" s="414"/>
      <c r="SHM10" s="414"/>
      <c r="SHN10" s="414"/>
      <c r="SHO10" s="414"/>
      <c r="SHP10" s="414"/>
      <c r="SHQ10" s="414"/>
      <c r="SHR10" s="414"/>
      <c r="SHS10" s="414"/>
      <c r="SHT10" s="414"/>
      <c r="SHU10" s="414"/>
      <c r="SHV10" s="414"/>
      <c r="SHW10" s="414"/>
      <c r="SHX10" s="414"/>
      <c r="SHY10" s="414"/>
      <c r="SHZ10" s="414"/>
      <c r="SIA10" s="414"/>
      <c r="SIB10" s="414"/>
      <c r="SIC10" s="414"/>
      <c r="SID10" s="414"/>
      <c r="SIE10" s="414"/>
      <c r="SIF10" s="414"/>
      <c r="SIG10" s="414"/>
      <c r="SIH10" s="414"/>
      <c r="SII10" s="414"/>
      <c r="SIJ10" s="414"/>
      <c r="SIK10" s="414"/>
      <c r="SIL10" s="414"/>
      <c r="SIM10" s="414"/>
      <c r="SIN10" s="414"/>
      <c r="SIO10" s="414"/>
      <c r="SIP10" s="414"/>
      <c r="SIQ10" s="414"/>
      <c r="SIR10" s="414"/>
      <c r="SIS10" s="414"/>
      <c r="SIT10" s="414"/>
      <c r="SIU10" s="414"/>
      <c r="SIV10" s="414"/>
      <c r="SIW10" s="414"/>
      <c r="SIX10" s="414"/>
      <c r="SIY10" s="414"/>
      <c r="SIZ10" s="414"/>
      <c r="SJA10" s="414"/>
      <c r="SJB10" s="414"/>
      <c r="SJC10" s="414"/>
      <c r="SJD10" s="414"/>
      <c r="SJE10" s="414"/>
      <c r="SJF10" s="414"/>
      <c r="SJG10" s="414"/>
      <c r="SJH10" s="414"/>
      <c r="SJI10" s="414"/>
      <c r="SJJ10" s="414"/>
      <c r="SJK10" s="414"/>
      <c r="SJL10" s="414"/>
      <c r="SJM10" s="414"/>
      <c r="SJN10" s="414"/>
      <c r="SJO10" s="414"/>
      <c r="SJP10" s="414"/>
      <c r="SJQ10" s="414"/>
      <c r="SJR10" s="414"/>
      <c r="SJS10" s="414"/>
      <c r="SJT10" s="414"/>
      <c r="SJU10" s="414"/>
      <c r="SJV10" s="414"/>
      <c r="SJW10" s="414"/>
      <c r="SJX10" s="414"/>
      <c r="SJY10" s="414"/>
      <c r="SJZ10" s="414"/>
      <c r="SKA10" s="414"/>
      <c r="SKB10" s="414"/>
      <c r="SKC10" s="414"/>
      <c r="SKD10" s="414"/>
      <c r="SKE10" s="414"/>
      <c r="SKF10" s="414"/>
      <c r="SKG10" s="414"/>
      <c r="SKH10" s="414"/>
      <c r="SKI10" s="414"/>
      <c r="SKJ10" s="414"/>
      <c r="SKK10" s="414"/>
      <c r="SKL10" s="414"/>
      <c r="SKM10" s="414"/>
      <c r="SKN10" s="414"/>
      <c r="SKO10" s="414"/>
      <c r="SKP10" s="414"/>
      <c r="SKQ10" s="414"/>
      <c r="SKR10" s="414"/>
      <c r="SKS10" s="414"/>
      <c r="SKT10" s="414"/>
      <c r="SKU10" s="414"/>
      <c r="SKV10" s="414"/>
      <c r="SKW10" s="414"/>
      <c r="SKX10" s="414"/>
      <c r="SKY10" s="414"/>
      <c r="SKZ10" s="414"/>
      <c r="SLA10" s="414"/>
      <c r="SLB10" s="414"/>
      <c r="SLC10" s="414"/>
      <c r="SLD10" s="414"/>
      <c r="SLE10" s="414"/>
      <c r="SLF10" s="414"/>
      <c r="SLG10" s="414"/>
      <c r="SLH10" s="414"/>
      <c r="SLI10" s="414"/>
      <c r="SLJ10" s="414"/>
      <c r="SLK10" s="414"/>
      <c r="SLL10" s="414"/>
      <c r="SLM10" s="414"/>
      <c r="SLN10" s="414"/>
      <c r="SLO10" s="414"/>
      <c r="SLP10" s="414"/>
      <c r="SLQ10" s="414"/>
      <c r="SLR10" s="414"/>
      <c r="SLS10" s="414"/>
      <c r="SLT10" s="414"/>
      <c r="SLU10" s="414"/>
      <c r="SLV10" s="414"/>
      <c r="SLW10" s="414"/>
      <c r="SLX10" s="414"/>
      <c r="SLY10" s="414"/>
      <c r="SLZ10" s="414"/>
      <c r="SMA10" s="414"/>
      <c r="SMB10" s="414"/>
      <c r="SMC10" s="414"/>
      <c r="SMD10" s="414"/>
      <c r="SME10" s="414"/>
      <c r="SMF10" s="414"/>
      <c r="SMG10" s="414"/>
      <c r="SMH10" s="414"/>
      <c r="SMI10" s="414"/>
      <c r="SMJ10" s="414"/>
      <c r="SMK10" s="414"/>
      <c r="SML10" s="414"/>
      <c r="SMM10" s="414"/>
      <c r="SMN10" s="414"/>
      <c r="SMO10" s="414"/>
      <c r="SMP10" s="414"/>
      <c r="SMQ10" s="414"/>
      <c r="SMR10" s="414"/>
      <c r="SMS10" s="414"/>
      <c r="SMT10" s="414"/>
      <c r="SMU10" s="414"/>
      <c r="SMV10" s="414"/>
      <c r="SMW10" s="414"/>
      <c r="SMX10" s="414"/>
      <c r="SMY10" s="414"/>
      <c r="SMZ10" s="414"/>
      <c r="SNA10" s="414"/>
      <c r="SNB10" s="414"/>
      <c r="SNC10" s="414"/>
      <c r="SND10" s="414"/>
      <c r="SNE10" s="414"/>
      <c r="SNF10" s="414"/>
      <c r="SNG10" s="414"/>
      <c r="SNH10" s="414"/>
      <c r="SNI10" s="414"/>
      <c r="SNJ10" s="414"/>
      <c r="SNK10" s="414"/>
      <c r="SNL10" s="414"/>
      <c r="SNM10" s="414"/>
      <c r="SNN10" s="414"/>
      <c r="SNO10" s="414"/>
      <c r="SNP10" s="414"/>
      <c r="SNQ10" s="414"/>
      <c r="SNR10" s="414"/>
      <c r="SNS10" s="414"/>
      <c r="SNT10" s="414"/>
      <c r="SNU10" s="414"/>
      <c r="SNV10" s="414"/>
      <c r="SNW10" s="414"/>
      <c r="SNX10" s="414"/>
      <c r="SNY10" s="414"/>
      <c r="SNZ10" s="414"/>
      <c r="SOA10" s="414"/>
      <c r="SOB10" s="414"/>
      <c r="SOC10" s="414"/>
      <c r="SOD10" s="414"/>
      <c r="SOE10" s="414"/>
      <c r="SOF10" s="414"/>
      <c r="SOG10" s="414"/>
      <c r="SOH10" s="414"/>
      <c r="SOI10" s="414"/>
      <c r="SOJ10" s="414"/>
      <c r="SOK10" s="414"/>
      <c r="SOL10" s="414"/>
      <c r="SOM10" s="414"/>
      <c r="SON10" s="414"/>
      <c r="SOO10" s="414"/>
      <c r="SOP10" s="414"/>
      <c r="SOQ10" s="414"/>
      <c r="SOR10" s="414"/>
      <c r="SOS10" s="414"/>
      <c r="SOT10" s="414"/>
      <c r="SOU10" s="414"/>
      <c r="SOV10" s="414"/>
      <c r="SOW10" s="414"/>
      <c r="SOX10" s="414"/>
      <c r="SOY10" s="414"/>
      <c r="SOZ10" s="414"/>
      <c r="SPA10" s="414"/>
      <c r="SPB10" s="414"/>
      <c r="SPC10" s="414"/>
      <c r="SPD10" s="414"/>
      <c r="SPE10" s="414"/>
      <c r="SPF10" s="414"/>
      <c r="SPG10" s="414"/>
      <c r="SPH10" s="414"/>
      <c r="SPI10" s="414"/>
      <c r="SPJ10" s="414"/>
      <c r="SPK10" s="414"/>
      <c r="SPL10" s="414"/>
      <c r="SPM10" s="414"/>
      <c r="SPN10" s="414"/>
      <c r="SPO10" s="414"/>
      <c r="SPP10" s="414"/>
      <c r="SPQ10" s="414"/>
      <c r="SPR10" s="414"/>
      <c r="SPS10" s="414"/>
      <c r="SPT10" s="414"/>
      <c r="SPU10" s="414"/>
      <c r="SPV10" s="414"/>
      <c r="SPW10" s="414"/>
      <c r="SPX10" s="414"/>
      <c r="SPY10" s="414"/>
      <c r="SPZ10" s="414"/>
      <c r="SQA10" s="414"/>
      <c r="SQB10" s="414"/>
      <c r="SQC10" s="414"/>
      <c r="SQD10" s="414"/>
      <c r="SQE10" s="414"/>
      <c r="SQF10" s="414"/>
      <c r="SQG10" s="414"/>
      <c r="SQH10" s="414"/>
      <c r="SQI10" s="414"/>
      <c r="SQJ10" s="414"/>
      <c r="SQK10" s="414"/>
      <c r="SQL10" s="414"/>
      <c r="SQM10" s="414"/>
      <c r="SQN10" s="414"/>
      <c r="SQO10" s="414"/>
      <c r="SQP10" s="414"/>
      <c r="SQQ10" s="414"/>
      <c r="SQR10" s="414"/>
      <c r="SQS10" s="414"/>
      <c r="SQT10" s="414"/>
      <c r="SQU10" s="414"/>
      <c r="SQV10" s="414"/>
      <c r="SQW10" s="414"/>
      <c r="SQX10" s="414"/>
      <c r="SQY10" s="414"/>
      <c r="SQZ10" s="414"/>
      <c r="SRA10" s="414"/>
      <c r="SRB10" s="414"/>
      <c r="SRC10" s="414"/>
      <c r="SRD10" s="414"/>
      <c r="SRE10" s="414"/>
      <c r="SRF10" s="414"/>
      <c r="SRG10" s="414"/>
      <c r="SRH10" s="414"/>
      <c r="SRI10" s="414"/>
      <c r="SRJ10" s="414"/>
      <c r="SRK10" s="414"/>
      <c r="SRL10" s="414"/>
      <c r="SRM10" s="414"/>
      <c r="SRN10" s="414"/>
      <c r="SRO10" s="414"/>
      <c r="SRP10" s="414"/>
      <c r="SRQ10" s="414"/>
      <c r="SRR10" s="414"/>
      <c r="SRS10" s="414"/>
      <c r="SRT10" s="414"/>
      <c r="SRU10" s="414"/>
      <c r="SRV10" s="414"/>
      <c r="SRW10" s="414"/>
      <c r="SRX10" s="414"/>
      <c r="SRY10" s="414"/>
      <c r="SRZ10" s="414"/>
      <c r="SSA10" s="414"/>
      <c r="SSB10" s="414"/>
      <c r="SSC10" s="414"/>
      <c r="SSD10" s="414"/>
      <c r="SSE10" s="414"/>
      <c r="SSF10" s="414"/>
      <c r="SSG10" s="414"/>
      <c r="SSH10" s="414"/>
      <c r="SSI10" s="414"/>
      <c r="SSJ10" s="414"/>
      <c r="SSK10" s="414"/>
      <c r="SSL10" s="414"/>
      <c r="SSM10" s="414"/>
      <c r="SSN10" s="414"/>
      <c r="SSO10" s="414"/>
      <c r="SSP10" s="414"/>
      <c r="SSQ10" s="414"/>
      <c r="SSR10" s="414"/>
      <c r="SSS10" s="414"/>
      <c r="SST10" s="414"/>
      <c r="SSU10" s="414"/>
      <c r="SSV10" s="414"/>
      <c r="SSW10" s="414"/>
      <c r="SSX10" s="414"/>
      <c r="SSY10" s="414"/>
      <c r="SSZ10" s="414"/>
      <c r="STA10" s="414"/>
      <c r="STB10" s="414"/>
      <c r="STC10" s="414"/>
      <c r="STD10" s="414"/>
      <c r="STE10" s="414"/>
      <c r="STF10" s="414"/>
      <c r="STG10" s="414"/>
      <c r="STH10" s="414"/>
      <c r="STI10" s="414"/>
      <c r="STJ10" s="414"/>
      <c r="STK10" s="414"/>
      <c r="STL10" s="414"/>
      <c r="STM10" s="414"/>
      <c r="STN10" s="414"/>
      <c r="STO10" s="414"/>
      <c r="STP10" s="414"/>
      <c r="STQ10" s="414"/>
      <c r="STR10" s="414"/>
      <c r="STS10" s="414"/>
      <c r="STT10" s="414"/>
      <c r="STU10" s="414"/>
      <c r="STV10" s="414"/>
      <c r="STW10" s="414"/>
      <c r="STX10" s="414"/>
      <c r="STY10" s="414"/>
      <c r="STZ10" s="414"/>
      <c r="SUA10" s="414"/>
      <c r="SUB10" s="414"/>
      <c r="SUC10" s="414"/>
      <c r="SUD10" s="414"/>
      <c r="SUE10" s="414"/>
      <c r="SUF10" s="414"/>
      <c r="SUG10" s="414"/>
      <c r="SUH10" s="414"/>
      <c r="SUI10" s="414"/>
      <c r="SUJ10" s="414"/>
      <c r="SUK10" s="414"/>
      <c r="SUL10" s="414"/>
      <c r="SUM10" s="414"/>
      <c r="SUN10" s="414"/>
      <c r="SUO10" s="414"/>
      <c r="SUP10" s="414"/>
      <c r="SUQ10" s="414"/>
      <c r="SUR10" s="414"/>
      <c r="SUS10" s="414"/>
      <c r="SUT10" s="414"/>
      <c r="SUU10" s="414"/>
      <c r="SUV10" s="414"/>
      <c r="SUW10" s="414"/>
      <c r="SUX10" s="414"/>
      <c r="SUY10" s="414"/>
      <c r="SUZ10" s="414"/>
      <c r="SVA10" s="414"/>
      <c r="SVB10" s="414"/>
      <c r="SVC10" s="414"/>
      <c r="SVD10" s="414"/>
      <c r="SVE10" s="414"/>
      <c r="SVF10" s="414"/>
      <c r="SVG10" s="414"/>
      <c r="SVH10" s="414"/>
      <c r="SVI10" s="414"/>
      <c r="SVJ10" s="414"/>
      <c r="SVK10" s="414"/>
      <c r="SVL10" s="414"/>
      <c r="SVM10" s="414"/>
      <c r="SVN10" s="414"/>
      <c r="SVO10" s="414"/>
      <c r="SVP10" s="414"/>
      <c r="SVQ10" s="414"/>
      <c r="SVR10" s="414"/>
      <c r="SVS10" s="414"/>
      <c r="SVT10" s="414"/>
      <c r="SVU10" s="414"/>
      <c r="SVV10" s="414"/>
      <c r="SVW10" s="414"/>
      <c r="SVX10" s="414"/>
      <c r="SVY10" s="414"/>
      <c r="SVZ10" s="414"/>
      <c r="SWA10" s="414"/>
      <c r="SWB10" s="414"/>
      <c r="SWC10" s="414"/>
      <c r="SWD10" s="414"/>
      <c r="SWE10" s="414"/>
      <c r="SWF10" s="414"/>
      <c r="SWG10" s="414"/>
      <c r="SWH10" s="414"/>
      <c r="SWI10" s="414"/>
      <c r="SWJ10" s="414"/>
      <c r="SWK10" s="414"/>
      <c r="SWL10" s="414"/>
      <c r="SWM10" s="414"/>
      <c r="SWN10" s="414"/>
      <c r="SWO10" s="414"/>
      <c r="SWP10" s="414"/>
      <c r="SWQ10" s="414"/>
      <c r="SWR10" s="414"/>
      <c r="SWS10" s="414"/>
      <c r="SWT10" s="414"/>
      <c r="SWU10" s="414"/>
      <c r="SWV10" s="414"/>
      <c r="SWW10" s="414"/>
      <c r="SWX10" s="414"/>
      <c r="SWY10" s="414"/>
      <c r="SWZ10" s="414"/>
      <c r="SXA10" s="414"/>
      <c r="SXB10" s="414"/>
      <c r="SXC10" s="414"/>
      <c r="SXD10" s="414"/>
      <c r="SXE10" s="414"/>
      <c r="SXF10" s="414"/>
      <c r="SXG10" s="414"/>
      <c r="SXH10" s="414"/>
      <c r="SXI10" s="414"/>
      <c r="SXJ10" s="414"/>
      <c r="SXK10" s="414"/>
      <c r="SXL10" s="414"/>
      <c r="SXM10" s="414"/>
      <c r="SXN10" s="414"/>
      <c r="SXO10" s="414"/>
      <c r="SXP10" s="414"/>
      <c r="SXQ10" s="414"/>
      <c r="SXR10" s="414"/>
      <c r="SXS10" s="414"/>
      <c r="SXT10" s="414"/>
      <c r="SXU10" s="414"/>
      <c r="SXV10" s="414"/>
      <c r="SXW10" s="414"/>
      <c r="SXX10" s="414"/>
      <c r="SXY10" s="414"/>
      <c r="SXZ10" s="414"/>
      <c r="SYA10" s="414"/>
      <c r="SYB10" s="414"/>
      <c r="SYC10" s="414"/>
      <c r="SYD10" s="414"/>
      <c r="SYE10" s="414"/>
      <c r="SYF10" s="414"/>
      <c r="SYG10" s="414"/>
      <c r="SYH10" s="414"/>
      <c r="SYI10" s="414"/>
      <c r="SYJ10" s="414"/>
      <c r="SYK10" s="414"/>
      <c r="SYL10" s="414"/>
      <c r="SYM10" s="414"/>
      <c r="SYN10" s="414"/>
      <c r="SYO10" s="414"/>
      <c r="SYP10" s="414"/>
      <c r="SYQ10" s="414"/>
      <c r="SYR10" s="414"/>
      <c r="SYS10" s="414"/>
      <c r="SYT10" s="414"/>
      <c r="SYU10" s="414"/>
      <c r="SYV10" s="414"/>
      <c r="SYW10" s="414"/>
      <c r="SYX10" s="414"/>
      <c r="SYY10" s="414"/>
      <c r="SYZ10" s="414"/>
      <c r="SZA10" s="414"/>
      <c r="SZB10" s="414"/>
      <c r="SZC10" s="414"/>
      <c r="SZD10" s="414"/>
      <c r="SZE10" s="414"/>
      <c r="SZF10" s="414"/>
      <c r="SZG10" s="414"/>
      <c r="SZH10" s="414"/>
      <c r="SZI10" s="414"/>
      <c r="SZJ10" s="414"/>
      <c r="SZK10" s="414"/>
      <c r="SZL10" s="414"/>
      <c r="SZM10" s="414"/>
      <c r="SZN10" s="414"/>
      <c r="SZO10" s="414"/>
      <c r="SZP10" s="414"/>
      <c r="SZQ10" s="414"/>
      <c r="SZR10" s="414"/>
      <c r="SZS10" s="414"/>
      <c r="SZT10" s="414"/>
      <c r="SZU10" s="414"/>
      <c r="SZV10" s="414"/>
      <c r="SZW10" s="414"/>
      <c r="SZX10" s="414"/>
      <c r="SZY10" s="414"/>
      <c r="SZZ10" s="414"/>
      <c r="TAA10" s="414"/>
      <c r="TAB10" s="414"/>
      <c r="TAC10" s="414"/>
      <c r="TAD10" s="414"/>
      <c r="TAE10" s="414"/>
      <c r="TAF10" s="414"/>
      <c r="TAG10" s="414"/>
      <c r="TAH10" s="414"/>
      <c r="TAI10" s="414"/>
      <c r="TAJ10" s="414"/>
      <c r="TAK10" s="414"/>
      <c r="TAL10" s="414"/>
      <c r="TAM10" s="414"/>
      <c r="TAN10" s="414"/>
      <c r="TAO10" s="414"/>
      <c r="TAP10" s="414"/>
      <c r="TAQ10" s="414"/>
      <c r="TAR10" s="414"/>
      <c r="TAS10" s="414"/>
      <c r="TAT10" s="414"/>
      <c r="TAU10" s="414"/>
      <c r="TAV10" s="414"/>
      <c r="TAW10" s="414"/>
      <c r="TAX10" s="414"/>
      <c r="TAY10" s="414"/>
      <c r="TAZ10" s="414"/>
      <c r="TBA10" s="414"/>
      <c r="TBB10" s="414"/>
      <c r="TBC10" s="414"/>
      <c r="TBD10" s="414"/>
      <c r="TBE10" s="414"/>
      <c r="TBF10" s="414"/>
      <c r="TBG10" s="414"/>
      <c r="TBH10" s="414"/>
      <c r="TBI10" s="414"/>
      <c r="TBJ10" s="414"/>
      <c r="TBK10" s="414"/>
      <c r="TBL10" s="414"/>
      <c r="TBM10" s="414"/>
      <c r="TBN10" s="414"/>
      <c r="TBO10" s="414"/>
      <c r="TBP10" s="414"/>
      <c r="TBQ10" s="414"/>
      <c r="TBR10" s="414"/>
      <c r="TBS10" s="414"/>
      <c r="TBT10" s="414"/>
      <c r="TBU10" s="414"/>
      <c r="TBV10" s="414"/>
      <c r="TBW10" s="414"/>
      <c r="TBX10" s="414"/>
      <c r="TBY10" s="414"/>
      <c r="TBZ10" s="414"/>
      <c r="TCA10" s="414"/>
      <c r="TCB10" s="414"/>
      <c r="TCC10" s="414"/>
      <c r="TCD10" s="414"/>
      <c r="TCE10" s="414"/>
      <c r="TCF10" s="414"/>
      <c r="TCG10" s="414"/>
      <c r="TCH10" s="414"/>
      <c r="TCI10" s="414"/>
      <c r="TCJ10" s="414"/>
      <c r="TCK10" s="414"/>
      <c r="TCL10" s="414"/>
      <c r="TCM10" s="414"/>
      <c r="TCN10" s="414"/>
      <c r="TCO10" s="414"/>
      <c r="TCP10" s="414"/>
      <c r="TCQ10" s="414"/>
      <c r="TCR10" s="414"/>
      <c r="TCS10" s="414"/>
      <c r="TCT10" s="414"/>
      <c r="TCU10" s="414"/>
      <c r="TCV10" s="414"/>
      <c r="TCW10" s="414"/>
      <c r="TCX10" s="414"/>
      <c r="TCY10" s="414"/>
      <c r="TCZ10" s="414"/>
      <c r="TDA10" s="414"/>
      <c r="TDB10" s="414"/>
      <c r="TDC10" s="414"/>
      <c r="TDD10" s="414"/>
      <c r="TDE10" s="414"/>
      <c r="TDF10" s="414"/>
      <c r="TDG10" s="414"/>
      <c r="TDH10" s="414"/>
      <c r="TDI10" s="414"/>
      <c r="TDJ10" s="414"/>
      <c r="TDK10" s="414"/>
      <c r="TDL10" s="414"/>
      <c r="TDM10" s="414"/>
      <c r="TDN10" s="414"/>
      <c r="TDO10" s="414"/>
      <c r="TDP10" s="414"/>
      <c r="TDQ10" s="414"/>
      <c r="TDR10" s="414"/>
      <c r="TDS10" s="414"/>
      <c r="TDT10" s="414"/>
      <c r="TDU10" s="414"/>
      <c r="TDV10" s="414"/>
      <c r="TDW10" s="414"/>
      <c r="TDX10" s="414"/>
      <c r="TDY10" s="414"/>
      <c r="TDZ10" s="414"/>
      <c r="TEA10" s="414"/>
      <c r="TEB10" s="414"/>
      <c r="TEC10" s="414"/>
      <c r="TED10" s="414"/>
      <c r="TEE10" s="414"/>
      <c r="TEF10" s="414"/>
      <c r="TEG10" s="414"/>
      <c r="TEH10" s="414"/>
      <c r="TEI10" s="414"/>
      <c r="TEJ10" s="414"/>
      <c r="TEK10" s="414"/>
      <c r="TEL10" s="414"/>
      <c r="TEM10" s="414"/>
      <c r="TEN10" s="414"/>
      <c r="TEO10" s="414"/>
      <c r="TEP10" s="414"/>
      <c r="TEQ10" s="414"/>
      <c r="TER10" s="414"/>
      <c r="TES10" s="414"/>
      <c r="TET10" s="414"/>
      <c r="TEU10" s="414"/>
      <c r="TEV10" s="414"/>
      <c r="TEW10" s="414"/>
      <c r="TEX10" s="414"/>
      <c r="TEY10" s="414"/>
      <c r="TEZ10" s="414"/>
      <c r="TFA10" s="414"/>
      <c r="TFB10" s="414"/>
      <c r="TFC10" s="414"/>
      <c r="TFD10" s="414"/>
      <c r="TFE10" s="414"/>
      <c r="TFF10" s="414"/>
      <c r="TFG10" s="414"/>
      <c r="TFH10" s="414"/>
      <c r="TFI10" s="414"/>
      <c r="TFJ10" s="414"/>
      <c r="TFK10" s="414"/>
      <c r="TFL10" s="414"/>
      <c r="TFM10" s="414"/>
      <c r="TFN10" s="414"/>
      <c r="TFO10" s="414"/>
      <c r="TFP10" s="414"/>
      <c r="TFQ10" s="414"/>
      <c r="TFR10" s="414"/>
      <c r="TFS10" s="414"/>
      <c r="TFT10" s="414"/>
      <c r="TFU10" s="414"/>
      <c r="TFV10" s="414"/>
      <c r="TFW10" s="414"/>
      <c r="TFX10" s="414"/>
      <c r="TFY10" s="414"/>
      <c r="TFZ10" s="414"/>
      <c r="TGA10" s="414"/>
      <c r="TGB10" s="414"/>
      <c r="TGC10" s="414"/>
      <c r="TGD10" s="414"/>
      <c r="TGE10" s="414"/>
      <c r="TGF10" s="414"/>
      <c r="TGG10" s="414"/>
      <c r="TGH10" s="414"/>
      <c r="TGI10" s="414"/>
      <c r="TGJ10" s="414"/>
      <c r="TGK10" s="414"/>
      <c r="TGL10" s="414"/>
      <c r="TGM10" s="414"/>
      <c r="TGN10" s="414"/>
      <c r="TGO10" s="414"/>
      <c r="TGP10" s="414"/>
      <c r="TGQ10" s="414"/>
      <c r="TGR10" s="414"/>
      <c r="TGS10" s="414"/>
      <c r="TGT10" s="414"/>
      <c r="TGU10" s="414"/>
      <c r="TGV10" s="414"/>
      <c r="TGW10" s="414"/>
      <c r="TGX10" s="414"/>
      <c r="TGY10" s="414"/>
      <c r="TGZ10" s="414"/>
      <c r="THA10" s="414"/>
      <c r="THB10" s="414"/>
      <c r="THC10" s="414"/>
      <c r="THD10" s="414"/>
      <c r="THE10" s="414"/>
      <c r="THF10" s="414"/>
      <c r="THG10" s="414"/>
      <c r="THH10" s="414"/>
      <c r="THI10" s="414"/>
      <c r="THJ10" s="414"/>
      <c r="THK10" s="414"/>
      <c r="THL10" s="414"/>
      <c r="THM10" s="414"/>
      <c r="THN10" s="414"/>
      <c r="THO10" s="414"/>
      <c r="THP10" s="414"/>
      <c r="THQ10" s="414"/>
      <c r="THR10" s="414"/>
      <c r="THS10" s="414"/>
      <c r="THT10" s="414"/>
      <c r="THU10" s="414"/>
      <c r="THV10" s="414"/>
      <c r="THW10" s="414"/>
      <c r="THX10" s="414"/>
      <c r="THY10" s="414"/>
      <c r="THZ10" s="414"/>
      <c r="TIA10" s="414"/>
      <c r="TIB10" s="414"/>
      <c r="TIC10" s="414"/>
      <c r="TID10" s="414"/>
      <c r="TIE10" s="414"/>
      <c r="TIF10" s="414"/>
      <c r="TIG10" s="414"/>
      <c r="TIH10" s="414"/>
      <c r="TII10" s="414"/>
      <c r="TIJ10" s="414"/>
      <c r="TIK10" s="414"/>
      <c r="TIL10" s="414"/>
      <c r="TIM10" s="414"/>
      <c r="TIN10" s="414"/>
      <c r="TIO10" s="414"/>
      <c r="TIP10" s="414"/>
      <c r="TIQ10" s="414"/>
      <c r="TIR10" s="414"/>
      <c r="TIS10" s="414"/>
      <c r="TIT10" s="414"/>
      <c r="TIU10" s="414"/>
      <c r="TIV10" s="414"/>
      <c r="TIW10" s="414"/>
      <c r="TIX10" s="414"/>
      <c r="TIY10" s="414"/>
      <c r="TIZ10" s="414"/>
      <c r="TJA10" s="414"/>
      <c r="TJB10" s="414"/>
      <c r="TJC10" s="414"/>
      <c r="TJD10" s="414"/>
      <c r="TJE10" s="414"/>
      <c r="TJF10" s="414"/>
      <c r="TJG10" s="414"/>
      <c r="TJH10" s="414"/>
      <c r="TJI10" s="414"/>
      <c r="TJJ10" s="414"/>
      <c r="TJK10" s="414"/>
      <c r="TJL10" s="414"/>
      <c r="TJM10" s="414"/>
      <c r="TJN10" s="414"/>
      <c r="TJO10" s="414"/>
      <c r="TJP10" s="414"/>
      <c r="TJQ10" s="414"/>
      <c r="TJR10" s="414"/>
      <c r="TJS10" s="414"/>
      <c r="TJT10" s="414"/>
      <c r="TJU10" s="414"/>
      <c r="TJV10" s="414"/>
      <c r="TJW10" s="414"/>
      <c r="TJX10" s="414"/>
      <c r="TJY10" s="414"/>
      <c r="TJZ10" s="414"/>
      <c r="TKA10" s="414"/>
      <c r="TKB10" s="414"/>
      <c r="TKC10" s="414"/>
      <c r="TKD10" s="414"/>
      <c r="TKE10" s="414"/>
      <c r="TKF10" s="414"/>
      <c r="TKG10" s="414"/>
      <c r="TKH10" s="414"/>
      <c r="TKI10" s="414"/>
      <c r="TKJ10" s="414"/>
      <c r="TKK10" s="414"/>
      <c r="TKL10" s="414"/>
      <c r="TKM10" s="414"/>
      <c r="TKN10" s="414"/>
      <c r="TKO10" s="414"/>
      <c r="TKP10" s="414"/>
      <c r="TKQ10" s="414"/>
      <c r="TKR10" s="414"/>
      <c r="TKS10" s="414"/>
      <c r="TKT10" s="414"/>
      <c r="TKU10" s="414"/>
      <c r="TKV10" s="414"/>
      <c r="TKW10" s="414"/>
      <c r="TKX10" s="414"/>
      <c r="TKY10" s="414"/>
      <c r="TKZ10" s="414"/>
      <c r="TLA10" s="414"/>
      <c r="TLB10" s="414"/>
      <c r="TLC10" s="414"/>
      <c r="TLD10" s="414"/>
      <c r="TLE10" s="414"/>
      <c r="TLF10" s="414"/>
      <c r="TLG10" s="414"/>
      <c r="TLH10" s="414"/>
      <c r="TLI10" s="414"/>
      <c r="TLJ10" s="414"/>
      <c r="TLK10" s="414"/>
      <c r="TLL10" s="414"/>
      <c r="TLM10" s="414"/>
      <c r="TLN10" s="414"/>
      <c r="TLO10" s="414"/>
      <c r="TLP10" s="414"/>
      <c r="TLQ10" s="414"/>
      <c r="TLR10" s="414"/>
      <c r="TLS10" s="414"/>
      <c r="TLT10" s="414"/>
      <c r="TLU10" s="414"/>
      <c r="TLV10" s="414"/>
      <c r="TLW10" s="414"/>
      <c r="TLX10" s="414"/>
      <c r="TLY10" s="414"/>
      <c r="TLZ10" s="414"/>
      <c r="TMA10" s="414"/>
      <c r="TMB10" s="414"/>
      <c r="TMC10" s="414"/>
      <c r="TMD10" s="414"/>
      <c r="TME10" s="414"/>
      <c r="TMF10" s="414"/>
      <c r="TMG10" s="414"/>
      <c r="TMH10" s="414"/>
      <c r="TMI10" s="414"/>
      <c r="TMJ10" s="414"/>
      <c r="TMK10" s="414"/>
      <c r="TML10" s="414"/>
      <c r="TMM10" s="414"/>
      <c r="TMN10" s="414"/>
      <c r="TMO10" s="414"/>
      <c r="TMP10" s="414"/>
      <c r="TMQ10" s="414"/>
      <c r="TMR10" s="414"/>
      <c r="TMS10" s="414"/>
      <c r="TMT10" s="414"/>
      <c r="TMU10" s="414"/>
      <c r="TMV10" s="414"/>
      <c r="TMW10" s="414"/>
      <c r="TMX10" s="414"/>
      <c r="TMY10" s="414"/>
      <c r="TMZ10" s="414"/>
      <c r="TNA10" s="414"/>
      <c r="TNB10" s="414"/>
      <c r="TNC10" s="414"/>
      <c r="TND10" s="414"/>
      <c r="TNE10" s="414"/>
      <c r="TNF10" s="414"/>
      <c r="TNG10" s="414"/>
      <c r="TNH10" s="414"/>
      <c r="TNI10" s="414"/>
      <c r="TNJ10" s="414"/>
      <c r="TNK10" s="414"/>
      <c r="TNL10" s="414"/>
      <c r="TNM10" s="414"/>
      <c r="TNN10" s="414"/>
      <c r="TNO10" s="414"/>
      <c r="TNP10" s="414"/>
      <c r="TNQ10" s="414"/>
      <c r="TNR10" s="414"/>
      <c r="TNS10" s="414"/>
      <c r="TNT10" s="414"/>
      <c r="TNU10" s="414"/>
      <c r="TNV10" s="414"/>
      <c r="TNW10" s="414"/>
      <c r="TNX10" s="414"/>
      <c r="TNY10" s="414"/>
      <c r="TNZ10" s="414"/>
      <c r="TOA10" s="414"/>
      <c r="TOB10" s="414"/>
      <c r="TOC10" s="414"/>
      <c r="TOD10" s="414"/>
      <c r="TOE10" s="414"/>
      <c r="TOF10" s="414"/>
      <c r="TOG10" s="414"/>
      <c r="TOH10" s="414"/>
      <c r="TOI10" s="414"/>
      <c r="TOJ10" s="414"/>
      <c r="TOK10" s="414"/>
      <c r="TOL10" s="414"/>
      <c r="TOM10" s="414"/>
      <c r="TON10" s="414"/>
      <c r="TOO10" s="414"/>
      <c r="TOP10" s="414"/>
      <c r="TOQ10" s="414"/>
      <c r="TOR10" s="414"/>
      <c r="TOS10" s="414"/>
      <c r="TOT10" s="414"/>
      <c r="TOU10" s="414"/>
      <c r="TOV10" s="414"/>
      <c r="TOW10" s="414"/>
      <c r="TOX10" s="414"/>
      <c r="TOY10" s="414"/>
      <c r="TOZ10" s="414"/>
      <c r="TPA10" s="414"/>
      <c r="TPB10" s="414"/>
      <c r="TPC10" s="414"/>
      <c r="TPD10" s="414"/>
      <c r="TPE10" s="414"/>
      <c r="TPF10" s="414"/>
      <c r="TPG10" s="414"/>
      <c r="TPH10" s="414"/>
      <c r="TPI10" s="414"/>
      <c r="TPJ10" s="414"/>
      <c r="TPK10" s="414"/>
      <c r="TPL10" s="414"/>
      <c r="TPM10" s="414"/>
      <c r="TPN10" s="414"/>
      <c r="TPO10" s="414"/>
      <c r="TPP10" s="414"/>
      <c r="TPQ10" s="414"/>
      <c r="TPR10" s="414"/>
      <c r="TPS10" s="414"/>
      <c r="TPT10" s="414"/>
      <c r="TPU10" s="414"/>
      <c r="TPV10" s="414"/>
      <c r="TPW10" s="414"/>
      <c r="TPX10" s="414"/>
      <c r="TPY10" s="414"/>
      <c r="TPZ10" s="414"/>
      <c r="TQA10" s="414"/>
      <c r="TQB10" s="414"/>
      <c r="TQC10" s="414"/>
      <c r="TQD10" s="414"/>
      <c r="TQE10" s="414"/>
      <c r="TQF10" s="414"/>
      <c r="TQG10" s="414"/>
      <c r="TQH10" s="414"/>
      <c r="TQI10" s="414"/>
      <c r="TQJ10" s="414"/>
      <c r="TQK10" s="414"/>
      <c r="TQL10" s="414"/>
      <c r="TQM10" s="414"/>
      <c r="TQN10" s="414"/>
      <c r="TQO10" s="414"/>
      <c r="TQP10" s="414"/>
      <c r="TQQ10" s="414"/>
      <c r="TQR10" s="414"/>
      <c r="TQS10" s="414"/>
      <c r="TQT10" s="414"/>
      <c r="TQU10" s="414"/>
      <c r="TQV10" s="414"/>
      <c r="TQW10" s="414"/>
      <c r="TQX10" s="414"/>
      <c r="TQY10" s="414"/>
      <c r="TQZ10" s="414"/>
      <c r="TRA10" s="414"/>
      <c r="TRB10" s="414"/>
      <c r="TRC10" s="414"/>
      <c r="TRD10" s="414"/>
      <c r="TRE10" s="414"/>
      <c r="TRF10" s="414"/>
      <c r="TRG10" s="414"/>
      <c r="TRH10" s="414"/>
      <c r="TRI10" s="414"/>
      <c r="TRJ10" s="414"/>
      <c r="TRK10" s="414"/>
      <c r="TRL10" s="414"/>
      <c r="TRM10" s="414"/>
      <c r="TRN10" s="414"/>
      <c r="TRO10" s="414"/>
      <c r="TRP10" s="414"/>
      <c r="TRQ10" s="414"/>
      <c r="TRR10" s="414"/>
      <c r="TRS10" s="414"/>
      <c r="TRT10" s="414"/>
      <c r="TRU10" s="414"/>
      <c r="TRV10" s="414"/>
      <c r="TRW10" s="414"/>
      <c r="TRX10" s="414"/>
      <c r="TRY10" s="414"/>
      <c r="TRZ10" s="414"/>
      <c r="TSA10" s="414"/>
      <c r="TSB10" s="414"/>
      <c r="TSC10" s="414"/>
      <c r="TSD10" s="414"/>
      <c r="TSE10" s="414"/>
      <c r="TSF10" s="414"/>
      <c r="TSG10" s="414"/>
      <c r="TSH10" s="414"/>
      <c r="TSI10" s="414"/>
      <c r="TSJ10" s="414"/>
      <c r="TSK10" s="414"/>
      <c r="TSL10" s="414"/>
      <c r="TSM10" s="414"/>
      <c r="TSN10" s="414"/>
      <c r="TSO10" s="414"/>
      <c r="TSP10" s="414"/>
      <c r="TSQ10" s="414"/>
      <c r="TSR10" s="414"/>
      <c r="TSS10" s="414"/>
      <c r="TST10" s="414"/>
      <c r="TSU10" s="414"/>
      <c r="TSV10" s="414"/>
      <c r="TSW10" s="414"/>
      <c r="TSX10" s="414"/>
      <c r="TSY10" s="414"/>
      <c r="TSZ10" s="414"/>
      <c r="TTA10" s="414"/>
      <c r="TTB10" s="414"/>
      <c r="TTC10" s="414"/>
      <c r="TTD10" s="414"/>
      <c r="TTE10" s="414"/>
      <c r="TTF10" s="414"/>
      <c r="TTG10" s="414"/>
      <c r="TTH10" s="414"/>
      <c r="TTI10" s="414"/>
      <c r="TTJ10" s="414"/>
      <c r="TTK10" s="414"/>
      <c r="TTL10" s="414"/>
      <c r="TTM10" s="414"/>
      <c r="TTN10" s="414"/>
      <c r="TTO10" s="414"/>
      <c r="TTP10" s="414"/>
      <c r="TTQ10" s="414"/>
      <c r="TTR10" s="414"/>
      <c r="TTS10" s="414"/>
      <c r="TTT10" s="414"/>
      <c r="TTU10" s="414"/>
      <c r="TTV10" s="414"/>
      <c r="TTW10" s="414"/>
      <c r="TTX10" s="414"/>
      <c r="TTY10" s="414"/>
      <c r="TTZ10" s="414"/>
      <c r="TUA10" s="414"/>
      <c r="TUB10" s="414"/>
      <c r="TUC10" s="414"/>
      <c r="TUD10" s="414"/>
      <c r="TUE10" s="414"/>
      <c r="TUF10" s="414"/>
      <c r="TUG10" s="414"/>
      <c r="TUH10" s="414"/>
      <c r="TUI10" s="414"/>
      <c r="TUJ10" s="414"/>
      <c r="TUK10" s="414"/>
      <c r="TUL10" s="414"/>
      <c r="TUM10" s="414"/>
      <c r="TUN10" s="414"/>
      <c r="TUO10" s="414"/>
      <c r="TUP10" s="414"/>
      <c r="TUQ10" s="414"/>
      <c r="TUR10" s="414"/>
      <c r="TUS10" s="414"/>
      <c r="TUT10" s="414"/>
      <c r="TUU10" s="414"/>
      <c r="TUV10" s="414"/>
      <c r="TUW10" s="414"/>
      <c r="TUX10" s="414"/>
      <c r="TUY10" s="414"/>
      <c r="TUZ10" s="414"/>
      <c r="TVA10" s="414"/>
      <c r="TVB10" s="414"/>
      <c r="TVC10" s="414"/>
      <c r="TVD10" s="414"/>
      <c r="TVE10" s="414"/>
      <c r="TVF10" s="414"/>
      <c r="TVG10" s="414"/>
      <c r="TVH10" s="414"/>
      <c r="TVI10" s="414"/>
      <c r="TVJ10" s="414"/>
      <c r="TVK10" s="414"/>
      <c r="TVL10" s="414"/>
      <c r="TVM10" s="414"/>
      <c r="TVN10" s="414"/>
      <c r="TVO10" s="414"/>
      <c r="TVP10" s="414"/>
      <c r="TVQ10" s="414"/>
      <c r="TVR10" s="414"/>
      <c r="TVS10" s="414"/>
      <c r="TVT10" s="414"/>
      <c r="TVU10" s="414"/>
      <c r="TVV10" s="414"/>
      <c r="TVW10" s="414"/>
      <c r="TVX10" s="414"/>
      <c r="TVY10" s="414"/>
      <c r="TVZ10" s="414"/>
      <c r="TWA10" s="414"/>
      <c r="TWB10" s="414"/>
      <c r="TWC10" s="414"/>
      <c r="TWD10" s="414"/>
      <c r="TWE10" s="414"/>
      <c r="TWF10" s="414"/>
      <c r="TWG10" s="414"/>
      <c r="TWH10" s="414"/>
      <c r="TWI10" s="414"/>
      <c r="TWJ10" s="414"/>
      <c r="TWK10" s="414"/>
      <c r="TWL10" s="414"/>
      <c r="TWM10" s="414"/>
      <c r="TWN10" s="414"/>
      <c r="TWO10" s="414"/>
      <c r="TWP10" s="414"/>
      <c r="TWQ10" s="414"/>
      <c r="TWR10" s="414"/>
      <c r="TWS10" s="414"/>
      <c r="TWT10" s="414"/>
      <c r="TWU10" s="414"/>
      <c r="TWV10" s="414"/>
      <c r="TWW10" s="414"/>
      <c r="TWX10" s="414"/>
      <c r="TWY10" s="414"/>
      <c r="TWZ10" s="414"/>
      <c r="TXA10" s="414"/>
      <c r="TXB10" s="414"/>
      <c r="TXC10" s="414"/>
      <c r="TXD10" s="414"/>
      <c r="TXE10" s="414"/>
      <c r="TXF10" s="414"/>
      <c r="TXG10" s="414"/>
      <c r="TXH10" s="414"/>
      <c r="TXI10" s="414"/>
      <c r="TXJ10" s="414"/>
      <c r="TXK10" s="414"/>
      <c r="TXL10" s="414"/>
      <c r="TXM10" s="414"/>
      <c r="TXN10" s="414"/>
      <c r="TXO10" s="414"/>
      <c r="TXP10" s="414"/>
      <c r="TXQ10" s="414"/>
      <c r="TXR10" s="414"/>
      <c r="TXS10" s="414"/>
      <c r="TXT10" s="414"/>
      <c r="TXU10" s="414"/>
      <c r="TXV10" s="414"/>
      <c r="TXW10" s="414"/>
      <c r="TXX10" s="414"/>
      <c r="TXY10" s="414"/>
      <c r="TXZ10" s="414"/>
      <c r="TYA10" s="414"/>
      <c r="TYB10" s="414"/>
      <c r="TYC10" s="414"/>
      <c r="TYD10" s="414"/>
      <c r="TYE10" s="414"/>
      <c r="TYF10" s="414"/>
      <c r="TYG10" s="414"/>
      <c r="TYH10" s="414"/>
      <c r="TYI10" s="414"/>
      <c r="TYJ10" s="414"/>
      <c r="TYK10" s="414"/>
      <c r="TYL10" s="414"/>
      <c r="TYM10" s="414"/>
      <c r="TYN10" s="414"/>
      <c r="TYO10" s="414"/>
      <c r="TYP10" s="414"/>
      <c r="TYQ10" s="414"/>
      <c r="TYR10" s="414"/>
      <c r="TYS10" s="414"/>
      <c r="TYT10" s="414"/>
      <c r="TYU10" s="414"/>
      <c r="TYV10" s="414"/>
      <c r="TYW10" s="414"/>
      <c r="TYX10" s="414"/>
      <c r="TYY10" s="414"/>
      <c r="TYZ10" s="414"/>
      <c r="TZA10" s="414"/>
      <c r="TZB10" s="414"/>
      <c r="TZC10" s="414"/>
      <c r="TZD10" s="414"/>
      <c r="TZE10" s="414"/>
      <c r="TZF10" s="414"/>
      <c r="TZG10" s="414"/>
      <c r="TZH10" s="414"/>
      <c r="TZI10" s="414"/>
      <c r="TZJ10" s="414"/>
      <c r="TZK10" s="414"/>
      <c r="TZL10" s="414"/>
      <c r="TZM10" s="414"/>
      <c r="TZN10" s="414"/>
      <c r="TZO10" s="414"/>
      <c r="TZP10" s="414"/>
      <c r="TZQ10" s="414"/>
      <c r="TZR10" s="414"/>
      <c r="TZS10" s="414"/>
      <c r="TZT10" s="414"/>
      <c r="TZU10" s="414"/>
      <c r="TZV10" s="414"/>
      <c r="TZW10" s="414"/>
      <c r="TZX10" s="414"/>
      <c r="TZY10" s="414"/>
      <c r="TZZ10" s="414"/>
      <c r="UAA10" s="414"/>
      <c r="UAB10" s="414"/>
      <c r="UAC10" s="414"/>
      <c r="UAD10" s="414"/>
      <c r="UAE10" s="414"/>
      <c r="UAF10" s="414"/>
      <c r="UAG10" s="414"/>
      <c r="UAH10" s="414"/>
      <c r="UAI10" s="414"/>
      <c r="UAJ10" s="414"/>
      <c r="UAK10" s="414"/>
      <c r="UAL10" s="414"/>
      <c r="UAM10" s="414"/>
      <c r="UAN10" s="414"/>
      <c r="UAO10" s="414"/>
      <c r="UAP10" s="414"/>
      <c r="UAQ10" s="414"/>
      <c r="UAR10" s="414"/>
      <c r="UAS10" s="414"/>
      <c r="UAT10" s="414"/>
      <c r="UAU10" s="414"/>
      <c r="UAV10" s="414"/>
      <c r="UAW10" s="414"/>
      <c r="UAX10" s="414"/>
      <c r="UAY10" s="414"/>
      <c r="UAZ10" s="414"/>
      <c r="UBA10" s="414"/>
      <c r="UBB10" s="414"/>
      <c r="UBC10" s="414"/>
      <c r="UBD10" s="414"/>
      <c r="UBE10" s="414"/>
      <c r="UBF10" s="414"/>
      <c r="UBG10" s="414"/>
      <c r="UBH10" s="414"/>
      <c r="UBI10" s="414"/>
      <c r="UBJ10" s="414"/>
      <c r="UBK10" s="414"/>
      <c r="UBL10" s="414"/>
      <c r="UBM10" s="414"/>
      <c r="UBN10" s="414"/>
      <c r="UBO10" s="414"/>
      <c r="UBP10" s="414"/>
      <c r="UBQ10" s="414"/>
      <c r="UBR10" s="414"/>
      <c r="UBS10" s="414"/>
      <c r="UBT10" s="414"/>
      <c r="UBU10" s="414"/>
      <c r="UBV10" s="414"/>
      <c r="UBW10" s="414"/>
      <c r="UBX10" s="414"/>
      <c r="UBY10" s="414"/>
      <c r="UBZ10" s="414"/>
      <c r="UCA10" s="414"/>
      <c r="UCB10" s="414"/>
      <c r="UCC10" s="414"/>
      <c r="UCD10" s="414"/>
      <c r="UCE10" s="414"/>
      <c r="UCF10" s="414"/>
      <c r="UCG10" s="414"/>
      <c r="UCH10" s="414"/>
      <c r="UCI10" s="414"/>
      <c r="UCJ10" s="414"/>
      <c r="UCK10" s="414"/>
      <c r="UCL10" s="414"/>
      <c r="UCM10" s="414"/>
      <c r="UCN10" s="414"/>
      <c r="UCO10" s="414"/>
      <c r="UCP10" s="414"/>
      <c r="UCQ10" s="414"/>
      <c r="UCR10" s="414"/>
      <c r="UCS10" s="414"/>
      <c r="UCT10" s="414"/>
      <c r="UCU10" s="414"/>
      <c r="UCV10" s="414"/>
      <c r="UCW10" s="414"/>
      <c r="UCX10" s="414"/>
      <c r="UCY10" s="414"/>
      <c r="UCZ10" s="414"/>
      <c r="UDA10" s="414"/>
      <c r="UDB10" s="414"/>
      <c r="UDC10" s="414"/>
      <c r="UDD10" s="414"/>
      <c r="UDE10" s="414"/>
      <c r="UDF10" s="414"/>
      <c r="UDG10" s="414"/>
      <c r="UDH10" s="414"/>
      <c r="UDI10" s="414"/>
      <c r="UDJ10" s="414"/>
      <c r="UDK10" s="414"/>
      <c r="UDL10" s="414"/>
      <c r="UDM10" s="414"/>
      <c r="UDN10" s="414"/>
      <c r="UDO10" s="414"/>
      <c r="UDP10" s="414"/>
      <c r="UDQ10" s="414"/>
      <c r="UDR10" s="414"/>
      <c r="UDS10" s="414"/>
      <c r="UDT10" s="414"/>
      <c r="UDU10" s="414"/>
      <c r="UDV10" s="414"/>
      <c r="UDW10" s="414"/>
      <c r="UDX10" s="414"/>
      <c r="UDY10" s="414"/>
      <c r="UDZ10" s="414"/>
      <c r="UEA10" s="414"/>
      <c r="UEB10" s="414"/>
      <c r="UEC10" s="414"/>
      <c r="UED10" s="414"/>
      <c r="UEE10" s="414"/>
      <c r="UEF10" s="414"/>
      <c r="UEG10" s="414"/>
      <c r="UEH10" s="414"/>
      <c r="UEI10" s="414"/>
      <c r="UEJ10" s="414"/>
      <c r="UEK10" s="414"/>
      <c r="UEL10" s="414"/>
      <c r="UEM10" s="414"/>
      <c r="UEN10" s="414"/>
      <c r="UEO10" s="414"/>
      <c r="UEP10" s="414"/>
      <c r="UEQ10" s="414"/>
      <c r="UER10" s="414"/>
      <c r="UES10" s="414"/>
      <c r="UET10" s="414"/>
      <c r="UEU10" s="414"/>
      <c r="UEV10" s="414"/>
      <c r="UEW10" s="414"/>
      <c r="UEX10" s="414"/>
      <c r="UEY10" s="414"/>
      <c r="UEZ10" s="414"/>
      <c r="UFA10" s="414"/>
      <c r="UFB10" s="414"/>
      <c r="UFC10" s="414"/>
      <c r="UFD10" s="414"/>
      <c r="UFE10" s="414"/>
      <c r="UFF10" s="414"/>
      <c r="UFG10" s="414"/>
      <c r="UFH10" s="414"/>
      <c r="UFI10" s="414"/>
      <c r="UFJ10" s="414"/>
      <c r="UFK10" s="414"/>
      <c r="UFL10" s="414"/>
      <c r="UFM10" s="414"/>
      <c r="UFN10" s="414"/>
      <c r="UFO10" s="414"/>
      <c r="UFP10" s="414"/>
      <c r="UFQ10" s="414"/>
      <c r="UFR10" s="414"/>
      <c r="UFS10" s="414"/>
      <c r="UFT10" s="414"/>
      <c r="UFU10" s="414"/>
      <c r="UFV10" s="414"/>
      <c r="UFW10" s="414"/>
      <c r="UFX10" s="414"/>
      <c r="UFY10" s="414"/>
      <c r="UFZ10" s="414"/>
      <c r="UGA10" s="414"/>
      <c r="UGB10" s="414"/>
      <c r="UGC10" s="414"/>
      <c r="UGD10" s="414"/>
      <c r="UGE10" s="414"/>
      <c r="UGF10" s="414"/>
      <c r="UGG10" s="414"/>
      <c r="UGH10" s="414"/>
      <c r="UGI10" s="414"/>
      <c r="UGJ10" s="414"/>
      <c r="UGK10" s="414"/>
      <c r="UGL10" s="414"/>
      <c r="UGM10" s="414"/>
      <c r="UGN10" s="414"/>
      <c r="UGO10" s="414"/>
      <c r="UGP10" s="414"/>
      <c r="UGQ10" s="414"/>
      <c r="UGR10" s="414"/>
      <c r="UGS10" s="414"/>
      <c r="UGT10" s="414"/>
      <c r="UGU10" s="414"/>
      <c r="UGV10" s="414"/>
      <c r="UGW10" s="414"/>
      <c r="UGX10" s="414"/>
      <c r="UGY10" s="414"/>
      <c r="UGZ10" s="414"/>
      <c r="UHA10" s="414"/>
      <c r="UHB10" s="414"/>
      <c r="UHC10" s="414"/>
      <c r="UHD10" s="414"/>
      <c r="UHE10" s="414"/>
      <c r="UHF10" s="414"/>
      <c r="UHG10" s="414"/>
      <c r="UHH10" s="414"/>
      <c r="UHI10" s="414"/>
      <c r="UHJ10" s="414"/>
      <c r="UHK10" s="414"/>
      <c r="UHL10" s="414"/>
      <c r="UHM10" s="414"/>
      <c r="UHN10" s="414"/>
      <c r="UHO10" s="414"/>
      <c r="UHP10" s="414"/>
      <c r="UHQ10" s="414"/>
      <c r="UHR10" s="414"/>
      <c r="UHS10" s="414"/>
      <c r="UHT10" s="414"/>
      <c r="UHU10" s="414"/>
      <c r="UHV10" s="414"/>
      <c r="UHW10" s="414"/>
      <c r="UHX10" s="414"/>
      <c r="UHY10" s="414"/>
      <c r="UHZ10" s="414"/>
      <c r="UIA10" s="414"/>
      <c r="UIB10" s="414"/>
      <c r="UIC10" s="414"/>
      <c r="UID10" s="414"/>
      <c r="UIE10" s="414"/>
      <c r="UIF10" s="414"/>
      <c r="UIG10" s="414"/>
      <c r="UIH10" s="414"/>
      <c r="UII10" s="414"/>
      <c r="UIJ10" s="414"/>
      <c r="UIK10" s="414"/>
      <c r="UIL10" s="414"/>
      <c r="UIM10" s="414"/>
      <c r="UIN10" s="414"/>
      <c r="UIO10" s="414"/>
      <c r="UIP10" s="414"/>
      <c r="UIQ10" s="414"/>
      <c r="UIR10" s="414"/>
      <c r="UIS10" s="414"/>
      <c r="UIT10" s="414"/>
      <c r="UIU10" s="414"/>
      <c r="UIV10" s="414"/>
      <c r="UIW10" s="414"/>
      <c r="UIX10" s="414"/>
      <c r="UIY10" s="414"/>
      <c r="UIZ10" s="414"/>
      <c r="UJA10" s="414"/>
      <c r="UJB10" s="414"/>
      <c r="UJC10" s="414"/>
      <c r="UJD10" s="414"/>
      <c r="UJE10" s="414"/>
      <c r="UJF10" s="414"/>
      <c r="UJG10" s="414"/>
      <c r="UJH10" s="414"/>
      <c r="UJI10" s="414"/>
      <c r="UJJ10" s="414"/>
      <c r="UJK10" s="414"/>
      <c r="UJL10" s="414"/>
      <c r="UJM10" s="414"/>
      <c r="UJN10" s="414"/>
      <c r="UJO10" s="414"/>
      <c r="UJP10" s="414"/>
      <c r="UJQ10" s="414"/>
      <c r="UJR10" s="414"/>
      <c r="UJS10" s="414"/>
      <c r="UJT10" s="414"/>
      <c r="UJU10" s="414"/>
      <c r="UJV10" s="414"/>
      <c r="UJW10" s="414"/>
      <c r="UJX10" s="414"/>
      <c r="UJY10" s="414"/>
      <c r="UJZ10" s="414"/>
      <c r="UKA10" s="414"/>
      <c r="UKB10" s="414"/>
      <c r="UKC10" s="414"/>
      <c r="UKD10" s="414"/>
      <c r="UKE10" s="414"/>
      <c r="UKF10" s="414"/>
      <c r="UKG10" s="414"/>
      <c r="UKH10" s="414"/>
      <c r="UKI10" s="414"/>
      <c r="UKJ10" s="414"/>
      <c r="UKK10" s="414"/>
      <c r="UKL10" s="414"/>
      <c r="UKM10" s="414"/>
      <c r="UKN10" s="414"/>
      <c r="UKO10" s="414"/>
      <c r="UKP10" s="414"/>
      <c r="UKQ10" s="414"/>
      <c r="UKR10" s="414"/>
      <c r="UKS10" s="414"/>
      <c r="UKT10" s="414"/>
      <c r="UKU10" s="414"/>
      <c r="UKV10" s="414"/>
      <c r="UKW10" s="414"/>
      <c r="UKX10" s="414"/>
      <c r="UKY10" s="414"/>
      <c r="UKZ10" s="414"/>
      <c r="ULA10" s="414"/>
      <c r="ULB10" s="414"/>
      <c r="ULC10" s="414"/>
      <c r="ULD10" s="414"/>
      <c r="ULE10" s="414"/>
      <c r="ULF10" s="414"/>
      <c r="ULG10" s="414"/>
      <c r="ULH10" s="414"/>
      <c r="ULI10" s="414"/>
      <c r="ULJ10" s="414"/>
      <c r="ULK10" s="414"/>
      <c r="ULL10" s="414"/>
      <c r="ULM10" s="414"/>
      <c r="ULN10" s="414"/>
      <c r="ULO10" s="414"/>
      <c r="ULP10" s="414"/>
      <c r="ULQ10" s="414"/>
      <c r="ULR10" s="414"/>
      <c r="ULS10" s="414"/>
      <c r="ULT10" s="414"/>
      <c r="ULU10" s="414"/>
      <c r="ULV10" s="414"/>
      <c r="ULW10" s="414"/>
      <c r="ULX10" s="414"/>
      <c r="ULY10" s="414"/>
      <c r="ULZ10" s="414"/>
      <c r="UMA10" s="414"/>
      <c r="UMB10" s="414"/>
      <c r="UMC10" s="414"/>
      <c r="UMD10" s="414"/>
      <c r="UME10" s="414"/>
      <c r="UMF10" s="414"/>
      <c r="UMG10" s="414"/>
      <c r="UMH10" s="414"/>
      <c r="UMI10" s="414"/>
      <c r="UMJ10" s="414"/>
      <c r="UMK10" s="414"/>
      <c r="UML10" s="414"/>
      <c r="UMM10" s="414"/>
      <c r="UMN10" s="414"/>
      <c r="UMO10" s="414"/>
      <c r="UMP10" s="414"/>
      <c r="UMQ10" s="414"/>
      <c r="UMR10" s="414"/>
      <c r="UMS10" s="414"/>
      <c r="UMT10" s="414"/>
      <c r="UMU10" s="414"/>
      <c r="UMV10" s="414"/>
      <c r="UMW10" s="414"/>
      <c r="UMX10" s="414"/>
      <c r="UMY10" s="414"/>
      <c r="UMZ10" s="414"/>
      <c r="UNA10" s="414"/>
      <c r="UNB10" s="414"/>
      <c r="UNC10" s="414"/>
      <c r="UND10" s="414"/>
      <c r="UNE10" s="414"/>
      <c r="UNF10" s="414"/>
      <c r="UNG10" s="414"/>
      <c r="UNH10" s="414"/>
      <c r="UNI10" s="414"/>
      <c r="UNJ10" s="414"/>
      <c r="UNK10" s="414"/>
      <c r="UNL10" s="414"/>
      <c r="UNM10" s="414"/>
      <c r="UNN10" s="414"/>
      <c r="UNO10" s="414"/>
      <c r="UNP10" s="414"/>
      <c r="UNQ10" s="414"/>
      <c r="UNR10" s="414"/>
      <c r="UNS10" s="414"/>
      <c r="UNT10" s="414"/>
      <c r="UNU10" s="414"/>
      <c r="UNV10" s="414"/>
      <c r="UNW10" s="414"/>
      <c r="UNX10" s="414"/>
      <c r="UNY10" s="414"/>
      <c r="UNZ10" s="414"/>
      <c r="UOA10" s="414"/>
      <c r="UOB10" s="414"/>
      <c r="UOC10" s="414"/>
      <c r="UOD10" s="414"/>
      <c r="UOE10" s="414"/>
      <c r="UOF10" s="414"/>
      <c r="UOG10" s="414"/>
      <c r="UOH10" s="414"/>
      <c r="UOI10" s="414"/>
      <c r="UOJ10" s="414"/>
      <c r="UOK10" s="414"/>
      <c r="UOL10" s="414"/>
      <c r="UOM10" s="414"/>
      <c r="UON10" s="414"/>
      <c r="UOO10" s="414"/>
      <c r="UOP10" s="414"/>
      <c r="UOQ10" s="414"/>
      <c r="UOR10" s="414"/>
      <c r="UOS10" s="414"/>
      <c r="UOT10" s="414"/>
      <c r="UOU10" s="414"/>
      <c r="UOV10" s="414"/>
      <c r="UOW10" s="414"/>
      <c r="UOX10" s="414"/>
      <c r="UOY10" s="414"/>
      <c r="UOZ10" s="414"/>
      <c r="UPA10" s="414"/>
      <c r="UPB10" s="414"/>
      <c r="UPC10" s="414"/>
      <c r="UPD10" s="414"/>
      <c r="UPE10" s="414"/>
      <c r="UPF10" s="414"/>
      <c r="UPG10" s="414"/>
      <c r="UPH10" s="414"/>
      <c r="UPI10" s="414"/>
      <c r="UPJ10" s="414"/>
      <c r="UPK10" s="414"/>
      <c r="UPL10" s="414"/>
      <c r="UPM10" s="414"/>
      <c r="UPN10" s="414"/>
      <c r="UPO10" s="414"/>
      <c r="UPP10" s="414"/>
      <c r="UPQ10" s="414"/>
      <c r="UPR10" s="414"/>
      <c r="UPS10" s="414"/>
      <c r="UPT10" s="414"/>
      <c r="UPU10" s="414"/>
      <c r="UPV10" s="414"/>
      <c r="UPW10" s="414"/>
      <c r="UPX10" s="414"/>
      <c r="UPY10" s="414"/>
      <c r="UPZ10" s="414"/>
      <c r="UQA10" s="414"/>
      <c r="UQB10" s="414"/>
      <c r="UQC10" s="414"/>
      <c r="UQD10" s="414"/>
      <c r="UQE10" s="414"/>
      <c r="UQF10" s="414"/>
      <c r="UQG10" s="414"/>
      <c r="UQH10" s="414"/>
      <c r="UQI10" s="414"/>
      <c r="UQJ10" s="414"/>
      <c r="UQK10" s="414"/>
      <c r="UQL10" s="414"/>
      <c r="UQM10" s="414"/>
      <c r="UQN10" s="414"/>
      <c r="UQO10" s="414"/>
      <c r="UQP10" s="414"/>
      <c r="UQQ10" s="414"/>
      <c r="UQR10" s="414"/>
      <c r="UQS10" s="414"/>
      <c r="UQT10" s="414"/>
      <c r="UQU10" s="414"/>
      <c r="UQV10" s="414"/>
      <c r="UQW10" s="414"/>
      <c r="UQX10" s="414"/>
      <c r="UQY10" s="414"/>
      <c r="UQZ10" s="414"/>
      <c r="URA10" s="414"/>
      <c r="URB10" s="414"/>
      <c r="URC10" s="414"/>
      <c r="URD10" s="414"/>
      <c r="URE10" s="414"/>
      <c r="URF10" s="414"/>
      <c r="URG10" s="414"/>
      <c r="URH10" s="414"/>
      <c r="URI10" s="414"/>
      <c r="URJ10" s="414"/>
      <c r="URK10" s="414"/>
      <c r="URL10" s="414"/>
      <c r="URM10" s="414"/>
      <c r="URN10" s="414"/>
      <c r="URO10" s="414"/>
      <c r="URP10" s="414"/>
      <c r="URQ10" s="414"/>
      <c r="URR10" s="414"/>
      <c r="URS10" s="414"/>
      <c r="URT10" s="414"/>
      <c r="URU10" s="414"/>
      <c r="URV10" s="414"/>
      <c r="URW10" s="414"/>
      <c r="URX10" s="414"/>
      <c r="URY10" s="414"/>
      <c r="URZ10" s="414"/>
      <c r="USA10" s="414"/>
      <c r="USB10" s="414"/>
      <c r="USC10" s="414"/>
      <c r="USD10" s="414"/>
      <c r="USE10" s="414"/>
      <c r="USF10" s="414"/>
      <c r="USG10" s="414"/>
      <c r="USH10" s="414"/>
      <c r="USI10" s="414"/>
      <c r="USJ10" s="414"/>
      <c r="USK10" s="414"/>
      <c r="USL10" s="414"/>
      <c r="USM10" s="414"/>
      <c r="USN10" s="414"/>
      <c r="USO10" s="414"/>
      <c r="USP10" s="414"/>
      <c r="USQ10" s="414"/>
      <c r="USR10" s="414"/>
      <c r="USS10" s="414"/>
      <c r="UST10" s="414"/>
      <c r="USU10" s="414"/>
      <c r="USV10" s="414"/>
      <c r="USW10" s="414"/>
      <c r="USX10" s="414"/>
      <c r="USY10" s="414"/>
      <c r="USZ10" s="414"/>
      <c r="UTA10" s="414"/>
      <c r="UTB10" s="414"/>
      <c r="UTC10" s="414"/>
      <c r="UTD10" s="414"/>
      <c r="UTE10" s="414"/>
      <c r="UTF10" s="414"/>
      <c r="UTG10" s="414"/>
      <c r="UTH10" s="414"/>
      <c r="UTI10" s="414"/>
      <c r="UTJ10" s="414"/>
      <c r="UTK10" s="414"/>
      <c r="UTL10" s="414"/>
      <c r="UTM10" s="414"/>
      <c r="UTN10" s="414"/>
      <c r="UTO10" s="414"/>
      <c r="UTP10" s="414"/>
      <c r="UTQ10" s="414"/>
      <c r="UTR10" s="414"/>
      <c r="UTS10" s="414"/>
      <c r="UTT10" s="414"/>
      <c r="UTU10" s="414"/>
      <c r="UTV10" s="414"/>
      <c r="UTW10" s="414"/>
      <c r="UTX10" s="414"/>
      <c r="UTY10" s="414"/>
      <c r="UTZ10" s="414"/>
      <c r="UUA10" s="414"/>
      <c r="UUB10" s="414"/>
      <c r="UUC10" s="414"/>
      <c r="UUD10" s="414"/>
      <c r="UUE10" s="414"/>
      <c r="UUF10" s="414"/>
      <c r="UUG10" s="414"/>
      <c r="UUH10" s="414"/>
      <c r="UUI10" s="414"/>
      <c r="UUJ10" s="414"/>
      <c r="UUK10" s="414"/>
      <c r="UUL10" s="414"/>
      <c r="UUM10" s="414"/>
      <c r="UUN10" s="414"/>
      <c r="UUO10" s="414"/>
      <c r="UUP10" s="414"/>
      <c r="UUQ10" s="414"/>
      <c r="UUR10" s="414"/>
      <c r="UUS10" s="414"/>
      <c r="UUT10" s="414"/>
      <c r="UUU10" s="414"/>
      <c r="UUV10" s="414"/>
      <c r="UUW10" s="414"/>
      <c r="UUX10" s="414"/>
      <c r="UUY10" s="414"/>
      <c r="UUZ10" s="414"/>
      <c r="UVA10" s="414"/>
      <c r="UVB10" s="414"/>
      <c r="UVC10" s="414"/>
      <c r="UVD10" s="414"/>
      <c r="UVE10" s="414"/>
      <c r="UVF10" s="414"/>
      <c r="UVG10" s="414"/>
      <c r="UVH10" s="414"/>
      <c r="UVI10" s="414"/>
      <c r="UVJ10" s="414"/>
      <c r="UVK10" s="414"/>
      <c r="UVL10" s="414"/>
      <c r="UVM10" s="414"/>
      <c r="UVN10" s="414"/>
      <c r="UVO10" s="414"/>
      <c r="UVP10" s="414"/>
      <c r="UVQ10" s="414"/>
      <c r="UVR10" s="414"/>
      <c r="UVS10" s="414"/>
      <c r="UVT10" s="414"/>
      <c r="UVU10" s="414"/>
      <c r="UVV10" s="414"/>
      <c r="UVW10" s="414"/>
      <c r="UVX10" s="414"/>
      <c r="UVY10" s="414"/>
      <c r="UVZ10" s="414"/>
      <c r="UWA10" s="414"/>
      <c r="UWB10" s="414"/>
      <c r="UWC10" s="414"/>
      <c r="UWD10" s="414"/>
      <c r="UWE10" s="414"/>
      <c r="UWF10" s="414"/>
      <c r="UWG10" s="414"/>
      <c r="UWH10" s="414"/>
      <c r="UWI10" s="414"/>
      <c r="UWJ10" s="414"/>
      <c r="UWK10" s="414"/>
      <c r="UWL10" s="414"/>
      <c r="UWM10" s="414"/>
      <c r="UWN10" s="414"/>
      <c r="UWO10" s="414"/>
      <c r="UWP10" s="414"/>
      <c r="UWQ10" s="414"/>
      <c r="UWR10" s="414"/>
      <c r="UWS10" s="414"/>
      <c r="UWT10" s="414"/>
      <c r="UWU10" s="414"/>
      <c r="UWV10" s="414"/>
      <c r="UWW10" s="414"/>
      <c r="UWX10" s="414"/>
      <c r="UWY10" s="414"/>
      <c r="UWZ10" s="414"/>
      <c r="UXA10" s="414"/>
      <c r="UXB10" s="414"/>
      <c r="UXC10" s="414"/>
      <c r="UXD10" s="414"/>
      <c r="UXE10" s="414"/>
      <c r="UXF10" s="414"/>
      <c r="UXG10" s="414"/>
      <c r="UXH10" s="414"/>
      <c r="UXI10" s="414"/>
      <c r="UXJ10" s="414"/>
      <c r="UXK10" s="414"/>
      <c r="UXL10" s="414"/>
      <c r="UXM10" s="414"/>
      <c r="UXN10" s="414"/>
      <c r="UXO10" s="414"/>
      <c r="UXP10" s="414"/>
      <c r="UXQ10" s="414"/>
      <c r="UXR10" s="414"/>
      <c r="UXS10" s="414"/>
      <c r="UXT10" s="414"/>
      <c r="UXU10" s="414"/>
      <c r="UXV10" s="414"/>
      <c r="UXW10" s="414"/>
      <c r="UXX10" s="414"/>
      <c r="UXY10" s="414"/>
      <c r="UXZ10" s="414"/>
      <c r="UYA10" s="414"/>
      <c r="UYB10" s="414"/>
      <c r="UYC10" s="414"/>
      <c r="UYD10" s="414"/>
      <c r="UYE10" s="414"/>
      <c r="UYF10" s="414"/>
      <c r="UYG10" s="414"/>
      <c r="UYH10" s="414"/>
      <c r="UYI10" s="414"/>
      <c r="UYJ10" s="414"/>
      <c r="UYK10" s="414"/>
      <c r="UYL10" s="414"/>
      <c r="UYM10" s="414"/>
      <c r="UYN10" s="414"/>
      <c r="UYO10" s="414"/>
      <c r="UYP10" s="414"/>
      <c r="UYQ10" s="414"/>
      <c r="UYR10" s="414"/>
      <c r="UYS10" s="414"/>
      <c r="UYT10" s="414"/>
      <c r="UYU10" s="414"/>
      <c r="UYV10" s="414"/>
      <c r="UYW10" s="414"/>
      <c r="UYX10" s="414"/>
      <c r="UYY10" s="414"/>
      <c r="UYZ10" s="414"/>
      <c r="UZA10" s="414"/>
      <c r="UZB10" s="414"/>
      <c r="UZC10" s="414"/>
      <c r="UZD10" s="414"/>
      <c r="UZE10" s="414"/>
      <c r="UZF10" s="414"/>
      <c r="UZG10" s="414"/>
      <c r="UZH10" s="414"/>
      <c r="UZI10" s="414"/>
      <c r="UZJ10" s="414"/>
      <c r="UZK10" s="414"/>
      <c r="UZL10" s="414"/>
      <c r="UZM10" s="414"/>
      <c r="UZN10" s="414"/>
      <c r="UZO10" s="414"/>
      <c r="UZP10" s="414"/>
      <c r="UZQ10" s="414"/>
      <c r="UZR10" s="414"/>
      <c r="UZS10" s="414"/>
      <c r="UZT10" s="414"/>
      <c r="UZU10" s="414"/>
      <c r="UZV10" s="414"/>
      <c r="UZW10" s="414"/>
      <c r="UZX10" s="414"/>
      <c r="UZY10" s="414"/>
      <c r="UZZ10" s="414"/>
      <c r="VAA10" s="414"/>
      <c r="VAB10" s="414"/>
      <c r="VAC10" s="414"/>
      <c r="VAD10" s="414"/>
      <c r="VAE10" s="414"/>
      <c r="VAF10" s="414"/>
      <c r="VAG10" s="414"/>
      <c r="VAH10" s="414"/>
      <c r="VAI10" s="414"/>
      <c r="VAJ10" s="414"/>
      <c r="VAK10" s="414"/>
      <c r="VAL10" s="414"/>
      <c r="VAM10" s="414"/>
      <c r="VAN10" s="414"/>
      <c r="VAO10" s="414"/>
      <c r="VAP10" s="414"/>
      <c r="VAQ10" s="414"/>
      <c r="VAR10" s="414"/>
      <c r="VAS10" s="414"/>
      <c r="VAT10" s="414"/>
      <c r="VAU10" s="414"/>
      <c r="VAV10" s="414"/>
      <c r="VAW10" s="414"/>
      <c r="VAX10" s="414"/>
      <c r="VAY10" s="414"/>
      <c r="VAZ10" s="414"/>
      <c r="VBA10" s="414"/>
      <c r="VBB10" s="414"/>
      <c r="VBC10" s="414"/>
      <c r="VBD10" s="414"/>
      <c r="VBE10" s="414"/>
      <c r="VBF10" s="414"/>
      <c r="VBG10" s="414"/>
      <c r="VBH10" s="414"/>
      <c r="VBI10" s="414"/>
      <c r="VBJ10" s="414"/>
      <c r="VBK10" s="414"/>
      <c r="VBL10" s="414"/>
      <c r="VBM10" s="414"/>
      <c r="VBN10" s="414"/>
      <c r="VBO10" s="414"/>
      <c r="VBP10" s="414"/>
      <c r="VBQ10" s="414"/>
      <c r="VBR10" s="414"/>
      <c r="VBS10" s="414"/>
      <c r="VBT10" s="414"/>
      <c r="VBU10" s="414"/>
      <c r="VBV10" s="414"/>
      <c r="VBW10" s="414"/>
      <c r="VBX10" s="414"/>
      <c r="VBY10" s="414"/>
      <c r="VBZ10" s="414"/>
      <c r="VCA10" s="414"/>
      <c r="VCB10" s="414"/>
      <c r="VCC10" s="414"/>
      <c r="VCD10" s="414"/>
      <c r="VCE10" s="414"/>
      <c r="VCF10" s="414"/>
      <c r="VCG10" s="414"/>
      <c r="VCH10" s="414"/>
      <c r="VCI10" s="414"/>
      <c r="VCJ10" s="414"/>
      <c r="VCK10" s="414"/>
      <c r="VCL10" s="414"/>
      <c r="VCM10" s="414"/>
      <c r="VCN10" s="414"/>
      <c r="VCO10" s="414"/>
      <c r="VCP10" s="414"/>
      <c r="VCQ10" s="414"/>
      <c r="VCR10" s="414"/>
      <c r="VCS10" s="414"/>
      <c r="VCT10" s="414"/>
      <c r="VCU10" s="414"/>
      <c r="VCV10" s="414"/>
      <c r="VCW10" s="414"/>
      <c r="VCX10" s="414"/>
      <c r="VCY10" s="414"/>
      <c r="VCZ10" s="414"/>
      <c r="VDA10" s="414"/>
      <c r="VDB10" s="414"/>
      <c r="VDC10" s="414"/>
      <c r="VDD10" s="414"/>
      <c r="VDE10" s="414"/>
      <c r="VDF10" s="414"/>
      <c r="VDG10" s="414"/>
      <c r="VDH10" s="414"/>
      <c r="VDI10" s="414"/>
      <c r="VDJ10" s="414"/>
      <c r="VDK10" s="414"/>
      <c r="VDL10" s="414"/>
      <c r="VDM10" s="414"/>
      <c r="VDN10" s="414"/>
      <c r="VDO10" s="414"/>
      <c r="VDP10" s="414"/>
      <c r="VDQ10" s="414"/>
      <c r="VDR10" s="414"/>
      <c r="VDS10" s="414"/>
      <c r="VDT10" s="414"/>
      <c r="VDU10" s="414"/>
      <c r="VDV10" s="414"/>
      <c r="VDW10" s="414"/>
      <c r="VDX10" s="414"/>
      <c r="VDY10" s="414"/>
      <c r="VDZ10" s="414"/>
      <c r="VEA10" s="414"/>
      <c r="VEB10" s="414"/>
      <c r="VEC10" s="414"/>
      <c r="VED10" s="414"/>
      <c r="VEE10" s="414"/>
      <c r="VEF10" s="414"/>
      <c r="VEG10" s="414"/>
      <c r="VEH10" s="414"/>
      <c r="VEI10" s="414"/>
      <c r="VEJ10" s="414"/>
      <c r="VEK10" s="414"/>
      <c r="VEL10" s="414"/>
      <c r="VEM10" s="414"/>
      <c r="VEN10" s="414"/>
      <c r="VEO10" s="414"/>
      <c r="VEP10" s="414"/>
      <c r="VEQ10" s="414"/>
      <c r="VER10" s="414"/>
      <c r="VES10" s="414"/>
      <c r="VET10" s="414"/>
      <c r="VEU10" s="414"/>
      <c r="VEV10" s="414"/>
      <c r="VEW10" s="414"/>
      <c r="VEX10" s="414"/>
      <c r="VEY10" s="414"/>
      <c r="VEZ10" s="414"/>
      <c r="VFA10" s="414"/>
      <c r="VFB10" s="414"/>
      <c r="VFC10" s="414"/>
      <c r="VFD10" s="414"/>
      <c r="VFE10" s="414"/>
      <c r="VFF10" s="414"/>
      <c r="VFG10" s="414"/>
      <c r="VFH10" s="414"/>
      <c r="VFI10" s="414"/>
      <c r="VFJ10" s="414"/>
      <c r="VFK10" s="414"/>
      <c r="VFL10" s="414"/>
      <c r="VFM10" s="414"/>
      <c r="VFN10" s="414"/>
      <c r="VFO10" s="414"/>
      <c r="VFP10" s="414"/>
      <c r="VFQ10" s="414"/>
      <c r="VFR10" s="414"/>
      <c r="VFS10" s="414"/>
      <c r="VFT10" s="414"/>
      <c r="VFU10" s="414"/>
      <c r="VFV10" s="414"/>
      <c r="VFW10" s="414"/>
      <c r="VFX10" s="414"/>
      <c r="VFY10" s="414"/>
      <c r="VFZ10" s="414"/>
      <c r="VGA10" s="414"/>
      <c r="VGB10" s="414"/>
      <c r="VGC10" s="414"/>
      <c r="VGD10" s="414"/>
      <c r="VGE10" s="414"/>
      <c r="VGF10" s="414"/>
      <c r="VGG10" s="414"/>
      <c r="VGH10" s="414"/>
      <c r="VGI10" s="414"/>
      <c r="VGJ10" s="414"/>
      <c r="VGK10" s="414"/>
      <c r="VGL10" s="414"/>
      <c r="VGM10" s="414"/>
      <c r="VGN10" s="414"/>
      <c r="VGO10" s="414"/>
      <c r="VGP10" s="414"/>
      <c r="VGQ10" s="414"/>
      <c r="VGR10" s="414"/>
      <c r="VGS10" s="414"/>
      <c r="VGT10" s="414"/>
      <c r="VGU10" s="414"/>
      <c r="VGV10" s="414"/>
      <c r="VGW10" s="414"/>
      <c r="VGX10" s="414"/>
      <c r="VGY10" s="414"/>
      <c r="VGZ10" s="414"/>
      <c r="VHA10" s="414"/>
      <c r="VHB10" s="414"/>
      <c r="VHC10" s="414"/>
      <c r="VHD10" s="414"/>
      <c r="VHE10" s="414"/>
      <c r="VHF10" s="414"/>
      <c r="VHG10" s="414"/>
      <c r="VHH10" s="414"/>
      <c r="VHI10" s="414"/>
      <c r="VHJ10" s="414"/>
      <c r="VHK10" s="414"/>
      <c r="VHL10" s="414"/>
      <c r="VHM10" s="414"/>
      <c r="VHN10" s="414"/>
      <c r="VHO10" s="414"/>
      <c r="VHP10" s="414"/>
      <c r="VHQ10" s="414"/>
      <c r="VHR10" s="414"/>
      <c r="VHS10" s="414"/>
      <c r="VHT10" s="414"/>
      <c r="VHU10" s="414"/>
      <c r="VHV10" s="414"/>
      <c r="VHW10" s="414"/>
      <c r="VHX10" s="414"/>
      <c r="VHY10" s="414"/>
      <c r="VHZ10" s="414"/>
      <c r="VIA10" s="414"/>
      <c r="VIB10" s="414"/>
      <c r="VIC10" s="414"/>
      <c r="VID10" s="414"/>
      <c r="VIE10" s="414"/>
      <c r="VIF10" s="414"/>
      <c r="VIG10" s="414"/>
      <c r="VIH10" s="414"/>
      <c r="VII10" s="414"/>
      <c r="VIJ10" s="414"/>
      <c r="VIK10" s="414"/>
      <c r="VIL10" s="414"/>
      <c r="VIM10" s="414"/>
      <c r="VIN10" s="414"/>
      <c r="VIO10" s="414"/>
      <c r="VIP10" s="414"/>
      <c r="VIQ10" s="414"/>
      <c r="VIR10" s="414"/>
      <c r="VIS10" s="414"/>
      <c r="VIT10" s="414"/>
      <c r="VIU10" s="414"/>
      <c r="VIV10" s="414"/>
      <c r="VIW10" s="414"/>
      <c r="VIX10" s="414"/>
      <c r="VIY10" s="414"/>
      <c r="VIZ10" s="414"/>
      <c r="VJA10" s="414"/>
      <c r="VJB10" s="414"/>
      <c r="VJC10" s="414"/>
      <c r="VJD10" s="414"/>
      <c r="VJE10" s="414"/>
      <c r="VJF10" s="414"/>
      <c r="VJG10" s="414"/>
      <c r="VJH10" s="414"/>
      <c r="VJI10" s="414"/>
      <c r="VJJ10" s="414"/>
      <c r="VJK10" s="414"/>
      <c r="VJL10" s="414"/>
      <c r="VJM10" s="414"/>
      <c r="VJN10" s="414"/>
      <c r="VJO10" s="414"/>
      <c r="VJP10" s="414"/>
      <c r="VJQ10" s="414"/>
      <c r="VJR10" s="414"/>
      <c r="VJS10" s="414"/>
      <c r="VJT10" s="414"/>
      <c r="VJU10" s="414"/>
      <c r="VJV10" s="414"/>
      <c r="VJW10" s="414"/>
      <c r="VJX10" s="414"/>
      <c r="VJY10" s="414"/>
      <c r="VJZ10" s="414"/>
      <c r="VKA10" s="414"/>
      <c r="VKB10" s="414"/>
      <c r="VKC10" s="414"/>
      <c r="VKD10" s="414"/>
      <c r="VKE10" s="414"/>
      <c r="VKF10" s="414"/>
      <c r="VKG10" s="414"/>
      <c r="VKH10" s="414"/>
      <c r="VKI10" s="414"/>
      <c r="VKJ10" s="414"/>
      <c r="VKK10" s="414"/>
      <c r="VKL10" s="414"/>
      <c r="VKM10" s="414"/>
      <c r="VKN10" s="414"/>
      <c r="VKO10" s="414"/>
      <c r="VKP10" s="414"/>
      <c r="VKQ10" s="414"/>
      <c r="VKR10" s="414"/>
      <c r="VKS10" s="414"/>
      <c r="VKT10" s="414"/>
      <c r="VKU10" s="414"/>
      <c r="VKV10" s="414"/>
      <c r="VKW10" s="414"/>
      <c r="VKX10" s="414"/>
      <c r="VKY10" s="414"/>
      <c r="VKZ10" s="414"/>
      <c r="VLA10" s="414"/>
      <c r="VLB10" s="414"/>
      <c r="VLC10" s="414"/>
      <c r="VLD10" s="414"/>
      <c r="VLE10" s="414"/>
      <c r="VLF10" s="414"/>
      <c r="VLG10" s="414"/>
      <c r="VLH10" s="414"/>
      <c r="VLI10" s="414"/>
      <c r="VLJ10" s="414"/>
      <c r="VLK10" s="414"/>
      <c r="VLL10" s="414"/>
      <c r="VLM10" s="414"/>
      <c r="VLN10" s="414"/>
      <c r="VLO10" s="414"/>
      <c r="VLP10" s="414"/>
      <c r="VLQ10" s="414"/>
      <c r="VLR10" s="414"/>
      <c r="VLS10" s="414"/>
      <c r="VLT10" s="414"/>
      <c r="VLU10" s="414"/>
      <c r="VLV10" s="414"/>
      <c r="VLW10" s="414"/>
      <c r="VLX10" s="414"/>
      <c r="VLY10" s="414"/>
      <c r="VLZ10" s="414"/>
      <c r="VMA10" s="414"/>
      <c r="VMB10" s="414"/>
      <c r="VMC10" s="414"/>
      <c r="VMD10" s="414"/>
      <c r="VME10" s="414"/>
      <c r="VMF10" s="414"/>
      <c r="VMG10" s="414"/>
      <c r="VMH10" s="414"/>
      <c r="VMI10" s="414"/>
      <c r="VMJ10" s="414"/>
      <c r="VMK10" s="414"/>
      <c r="VML10" s="414"/>
      <c r="VMM10" s="414"/>
      <c r="VMN10" s="414"/>
      <c r="VMO10" s="414"/>
      <c r="VMP10" s="414"/>
      <c r="VMQ10" s="414"/>
      <c r="VMR10" s="414"/>
      <c r="VMS10" s="414"/>
      <c r="VMT10" s="414"/>
      <c r="VMU10" s="414"/>
      <c r="VMV10" s="414"/>
      <c r="VMW10" s="414"/>
      <c r="VMX10" s="414"/>
      <c r="VMY10" s="414"/>
      <c r="VMZ10" s="414"/>
      <c r="VNA10" s="414"/>
      <c r="VNB10" s="414"/>
      <c r="VNC10" s="414"/>
      <c r="VND10" s="414"/>
      <c r="VNE10" s="414"/>
      <c r="VNF10" s="414"/>
      <c r="VNG10" s="414"/>
      <c r="VNH10" s="414"/>
      <c r="VNI10" s="414"/>
      <c r="VNJ10" s="414"/>
      <c r="VNK10" s="414"/>
      <c r="VNL10" s="414"/>
      <c r="VNM10" s="414"/>
      <c r="VNN10" s="414"/>
      <c r="VNO10" s="414"/>
      <c r="VNP10" s="414"/>
      <c r="VNQ10" s="414"/>
      <c r="VNR10" s="414"/>
      <c r="VNS10" s="414"/>
      <c r="VNT10" s="414"/>
      <c r="VNU10" s="414"/>
      <c r="VNV10" s="414"/>
      <c r="VNW10" s="414"/>
      <c r="VNX10" s="414"/>
      <c r="VNY10" s="414"/>
      <c r="VNZ10" s="414"/>
      <c r="VOA10" s="414"/>
      <c r="VOB10" s="414"/>
      <c r="VOC10" s="414"/>
      <c r="VOD10" s="414"/>
      <c r="VOE10" s="414"/>
      <c r="VOF10" s="414"/>
      <c r="VOG10" s="414"/>
      <c r="VOH10" s="414"/>
      <c r="VOI10" s="414"/>
      <c r="VOJ10" s="414"/>
      <c r="VOK10" s="414"/>
      <c r="VOL10" s="414"/>
      <c r="VOM10" s="414"/>
      <c r="VON10" s="414"/>
      <c r="VOO10" s="414"/>
      <c r="VOP10" s="414"/>
      <c r="VOQ10" s="414"/>
      <c r="VOR10" s="414"/>
      <c r="VOS10" s="414"/>
      <c r="VOT10" s="414"/>
      <c r="VOU10" s="414"/>
      <c r="VOV10" s="414"/>
      <c r="VOW10" s="414"/>
      <c r="VOX10" s="414"/>
      <c r="VOY10" s="414"/>
      <c r="VOZ10" s="414"/>
      <c r="VPA10" s="414"/>
      <c r="VPB10" s="414"/>
      <c r="VPC10" s="414"/>
      <c r="VPD10" s="414"/>
      <c r="VPE10" s="414"/>
      <c r="VPF10" s="414"/>
      <c r="VPG10" s="414"/>
      <c r="VPH10" s="414"/>
      <c r="VPI10" s="414"/>
      <c r="VPJ10" s="414"/>
      <c r="VPK10" s="414"/>
      <c r="VPL10" s="414"/>
      <c r="VPM10" s="414"/>
      <c r="VPN10" s="414"/>
      <c r="VPO10" s="414"/>
      <c r="VPP10" s="414"/>
      <c r="VPQ10" s="414"/>
      <c r="VPR10" s="414"/>
      <c r="VPS10" s="414"/>
      <c r="VPT10" s="414"/>
      <c r="VPU10" s="414"/>
      <c r="VPV10" s="414"/>
      <c r="VPW10" s="414"/>
      <c r="VPX10" s="414"/>
      <c r="VPY10" s="414"/>
      <c r="VPZ10" s="414"/>
      <c r="VQA10" s="414"/>
      <c r="VQB10" s="414"/>
      <c r="VQC10" s="414"/>
      <c r="VQD10" s="414"/>
      <c r="VQE10" s="414"/>
      <c r="VQF10" s="414"/>
      <c r="VQG10" s="414"/>
      <c r="VQH10" s="414"/>
      <c r="VQI10" s="414"/>
      <c r="VQJ10" s="414"/>
      <c r="VQK10" s="414"/>
      <c r="VQL10" s="414"/>
      <c r="VQM10" s="414"/>
      <c r="VQN10" s="414"/>
      <c r="VQO10" s="414"/>
      <c r="VQP10" s="414"/>
      <c r="VQQ10" s="414"/>
      <c r="VQR10" s="414"/>
      <c r="VQS10" s="414"/>
      <c r="VQT10" s="414"/>
      <c r="VQU10" s="414"/>
      <c r="VQV10" s="414"/>
      <c r="VQW10" s="414"/>
      <c r="VQX10" s="414"/>
      <c r="VQY10" s="414"/>
      <c r="VQZ10" s="414"/>
      <c r="VRA10" s="414"/>
      <c r="VRB10" s="414"/>
      <c r="VRC10" s="414"/>
      <c r="VRD10" s="414"/>
      <c r="VRE10" s="414"/>
      <c r="VRF10" s="414"/>
      <c r="VRG10" s="414"/>
      <c r="VRH10" s="414"/>
      <c r="VRI10" s="414"/>
      <c r="VRJ10" s="414"/>
      <c r="VRK10" s="414"/>
      <c r="VRL10" s="414"/>
      <c r="VRM10" s="414"/>
      <c r="VRN10" s="414"/>
      <c r="VRO10" s="414"/>
      <c r="VRP10" s="414"/>
      <c r="VRQ10" s="414"/>
      <c r="VRR10" s="414"/>
      <c r="VRS10" s="414"/>
      <c r="VRT10" s="414"/>
      <c r="VRU10" s="414"/>
      <c r="VRV10" s="414"/>
      <c r="VRW10" s="414"/>
      <c r="VRX10" s="414"/>
      <c r="VRY10" s="414"/>
      <c r="VRZ10" s="414"/>
      <c r="VSA10" s="414"/>
      <c r="VSB10" s="414"/>
      <c r="VSC10" s="414"/>
      <c r="VSD10" s="414"/>
      <c r="VSE10" s="414"/>
      <c r="VSF10" s="414"/>
      <c r="VSG10" s="414"/>
      <c r="VSH10" s="414"/>
      <c r="VSI10" s="414"/>
      <c r="VSJ10" s="414"/>
      <c r="VSK10" s="414"/>
      <c r="VSL10" s="414"/>
      <c r="VSM10" s="414"/>
      <c r="VSN10" s="414"/>
      <c r="VSO10" s="414"/>
      <c r="VSP10" s="414"/>
      <c r="VSQ10" s="414"/>
      <c r="VSR10" s="414"/>
      <c r="VSS10" s="414"/>
      <c r="VST10" s="414"/>
      <c r="VSU10" s="414"/>
      <c r="VSV10" s="414"/>
      <c r="VSW10" s="414"/>
      <c r="VSX10" s="414"/>
      <c r="VSY10" s="414"/>
      <c r="VSZ10" s="414"/>
      <c r="VTA10" s="414"/>
      <c r="VTB10" s="414"/>
      <c r="VTC10" s="414"/>
      <c r="VTD10" s="414"/>
      <c r="VTE10" s="414"/>
      <c r="VTF10" s="414"/>
      <c r="VTG10" s="414"/>
      <c r="VTH10" s="414"/>
      <c r="VTI10" s="414"/>
      <c r="VTJ10" s="414"/>
      <c r="VTK10" s="414"/>
      <c r="VTL10" s="414"/>
      <c r="VTM10" s="414"/>
      <c r="VTN10" s="414"/>
      <c r="VTO10" s="414"/>
      <c r="VTP10" s="414"/>
      <c r="VTQ10" s="414"/>
      <c r="VTR10" s="414"/>
      <c r="VTS10" s="414"/>
      <c r="VTT10" s="414"/>
      <c r="VTU10" s="414"/>
      <c r="VTV10" s="414"/>
      <c r="VTW10" s="414"/>
      <c r="VTX10" s="414"/>
      <c r="VTY10" s="414"/>
      <c r="VTZ10" s="414"/>
      <c r="VUA10" s="414"/>
      <c r="VUB10" s="414"/>
      <c r="VUC10" s="414"/>
      <c r="VUD10" s="414"/>
      <c r="VUE10" s="414"/>
      <c r="VUF10" s="414"/>
      <c r="VUG10" s="414"/>
      <c r="VUH10" s="414"/>
      <c r="VUI10" s="414"/>
      <c r="VUJ10" s="414"/>
      <c r="VUK10" s="414"/>
      <c r="VUL10" s="414"/>
      <c r="VUM10" s="414"/>
      <c r="VUN10" s="414"/>
      <c r="VUO10" s="414"/>
      <c r="VUP10" s="414"/>
      <c r="VUQ10" s="414"/>
      <c r="VUR10" s="414"/>
      <c r="VUS10" s="414"/>
      <c r="VUT10" s="414"/>
      <c r="VUU10" s="414"/>
      <c r="VUV10" s="414"/>
      <c r="VUW10" s="414"/>
      <c r="VUX10" s="414"/>
      <c r="VUY10" s="414"/>
      <c r="VUZ10" s="414"/>
      <c r="VVA10" s="414"/>
      <c r="VVB10" s="414"/>
      <c r="VVC10" s="414"/>
      <c r="VVD10" s="414"/>
      <c r="VVE10" s="414"/>
      <c r="VVF10" s="414"/>
      <c r="VVG10" s="414"/>
      <c r="VVH10" s="414"/>
      <c r="VVI10" s="414"/>
      <c r="VVJ10" s="414"/>
      <c r="VVK10" s="414"/>
      <c r="VVL10" s="414"/>
      <c r="VVM10" s="414"/>
      <c r="VVN10" s="414"/>
      <c r="VVO10" s="414"/>
      <c r="VVP10" s="414"/>
      <c r="VVQ10" s="414"/>
      <c r="VVR10" s="414"/>
      <c r="VVS10" s="414"/>
      <c r="VVT10" s="414"/>
      <c r="VVU10" s="414"/>
      <c r="VVV10" s="414"/>
      <c r="VVW10" s="414"/>
      <c r="VVX10" s="414"/>
      <c r="VVY10" s="414"/>
      <c r="VVZ10" s="414"/>
      <c r="VWA10" s="414"/>
      <c r="VWB10" s="414"/>
      <c r="VWC10" s="414"/>
      <c r="VWD10" s="414"/>
      <c r="VWE10" s="414"/>
      <c r="VWF10" s="414"/>
      <c r="VWG10" s="414"/>
      <c r="VWH10" s="414"/>
      <c r="VWI10" s="414"/>
      <c r="VWJ10" s="414"/>
      <c r="VWK10" s="414"/>
      <c r="VWL10" s="414"/>
      <c r="VWM10" s="414"/>
      <c r="VWN10" s="414"/>
      <c r="VWO10" s="414"/>
      <c r="VWP10" s="414"/>
      <c r="VWQ10" s="414"/>
      <c r="VWR10" s="414"/>
      <c r="VWS10" s="414"/>
      <c r="VWT10" s="414"/>
      <c r="VWU10" s="414"/>
      <c r="VWV10" s="414"/>
      <c r="VWW10" s="414"/>
      <c r="VWX10" s="414"/>
      <c r="VWY10" s="414"/>
      <c r="VWZ10" s="414"/>
      <c r="VXA10" s="414"/>
      <c r="VXB10" s="414"/>
      <c r="VXC10" s="414"/>
      <c r="VXD10" s="414"/>
      <c r="VXE10" s="414"/>
      <c r="VXF10" s="414"/>
      <c r="VXG10" s="414"/>
      <c r="VXH10" s="414"/>
      <c r="VXI10" s="414"/>
      <c r="VXJ10" s="414"/>
      <c r="VXK10" s="414"/>
      <c r="VXL10" s="414"/>
      <c r="VXM10" s="414"/>
      <c r="VXN10" s="414"/>
      <c r="VXO10" s="414"/>
      <c r="VXP10" s="414"/>
      <c r="VXQ10" s="414"/>
      <c r="VXR10" s="414"/>
      <c r="VXS10" s="414"/>
      <c r="VXT10" s="414"/>
      <c r="VXU10" s="414"/>
      <c r="VXV10" s="414"/>
      <c r="VXW10" s="414"/>
      <c r="VXX10" s="414"/>
      <c r="VXY10" s="414"/>
      <c r="VXZ10" s="414"/>
      <c r="VYA10" s="414"/>
      <c r="VYB10" s="414"/>
      <c r="VYC10" s="414"/>
      <c r="VYD10" s="414"/>
      <c r="VYE10" s="414"/>
      <c r="VYF10" s="414"/>
      <c r="VYG10" s="414"/>
      <c r="VYH10" s="414"/>
      <c r="VYI10" s="414"/>
      <c r="VYJ10" s="414"/>
      <c r="VYK10" s="414"/>
      <c r="VYL10" s="414"/>
      <c r="VYM10" s="414"/>
      <c r="VYN10" s="414"/>
      <c r="VYO10" s="414"/>
      <c r="VYP10" s="414"/>
      <c r="VYQ10" s="414"/>
      <c r="VYR10" s="414"/>
      <c r="VYS10" s="414"/>
      <c r="VYT10" s="414"/>
      <c r="VYU10" s="414"/>
      <c r="VYV10" s="414"/>
      <c r="VYW10" s="414"/>
      <c r="VYX10" s="414"/>
      <c r="VYY10" s="414"/>
      <c r="VYZ10" s="414"/>
      <c r="VZA10" s="414"/>
      <c r="VZB10" s="414"/>
      <c r="VZC10" s="414"/>
      <c r="VZD10" s="414"/>
      <c r="VZE10" s="414"/>
      <c r="VZF10" s="414"/>
      <c r="VZG10" s="414"/>
      <c r="VZH10" s="414"/>
      <c r="VZI10" s="414"/>
      <c r="VZJ10" s="414"/>
      <c r="VZK10" s="414"/>
      <c r="VZL10" s="414"/>
      <c r="VZM10" s="414"/>
      <c r="VZN10" s="414"/>
      <c r="VZO10" s="414"/>
      <c r="VZP10" s="414"/>
      <c r="VZQ10" s="414"/>
      <c r="VZR10" s="414"/>
      <c r="VZS10" s="414"/>
      <c r="VZT10" s="414"/>
      <c r="VZU10" s="414"/>
      <c r="VZV10" s="414"/>
      <c r="VZW10" s="414"/>
      <c r="VZX10" s="414"/>
      <c r="VZY10" s="414"/>
      <c r="VZZ10" s="414"/>
      <c r="WAA10" s="414"/>
      <c r="WAB10" s="414"/>
      <c r="WAC10" s="414"/>
      <c r="WAD10" s="414"/>
      <c r="WAE10" s="414"/>
      <c r="WAF10" s="414"/>
      <c r="WAG10" s="414"/>
      <c r="WAH10" s="414"/>
      <c r="WAI10" s="414"/>
      <c r="WAJ10" s="414"/>
      <c r="WAK10" s="414"/>
      <c r="WAL10" s="414"/>
      <c r="WAM10" s="414"/>
      <c r="WAN10" s="414"/>
      <c r="WAO10" s="414"/>
      <c r="WAP10" s="414"/>
      <c r="WAQ10" s="414"/>
      <c r="WAR10" s="414"/>
      <c r="WAS10" s="414"/>
      <c r="WAT10" s="414"/>
      <c r="WAU10" s="414"/>
      <c r="WAV10" s="414"/>
      <c r="WAW10" s="414"/>
      <c r="WAX10" s="414"/>
      <c r="WAY10" s="414"/>
      <c r="WAZ10" s="414"/>
      <c r="WBA10" s="414"/>
      <c r="WBB10" s="414"/>
      <c r="WBC10" s="414"/>
      <c r="WBD10" s="414"/>
      <c r="WBE10" s="414"/>
      <c r="WBF10" s="414"/>
      <c r="WBG10" s="414"/>
      <c r="WBH10" s="414"/>
      <c r="WBI10" s="414"/>
      <c r="WBJ10" s="414"/>
      <c r="WBK10" s="414"/>
      <c r="WBL10" s="414"/>
      <c r="WBM10" s="414"/>
      <c r="WBN10" s="414"/>
      <c r="WBO10" s="414"/>
      <c r="WBP10" s="414"/>
      <c r="WBQ10" s="414"/>
      <c r="WBR10" s="414"/>
      <c r="WBS10" s="414"/>
      <c r="WBT10" s="414"/>
      <c r="WBU10" s="414"/>
      <c r="WBV10" s="414"/>
      <c r="WBW10" s="414"/>
      <c r="WBX10" s="414"/>
      <c r="WBY10" s="414"/>
      <c r="WBZ10" s="414"/>
      <c r="WCA10" s="414"/>
      <c r="WCB10" s="414"/>
      <c r="WCC10" s="414"/>
      <c r="WCD10" s="414"/>
      <c r="WCE10" s="414"/>
      <c r="WCF10" s="414"/>
      <c r="WCG10" s="414"/>
      <c r="WCH10" s="414"/>
      <c r="WCI10" s="414"/>
      <c r="WCJ10" s="414"/>
      <c r="WCK10" s="414"/>
      <c r="WCL10" s="414"/>
      <c r="WCM10" s="414"/>
      <c r="WCN10" s="414"/>
      <c r="WCO10" s="414"/>
      <c r="WCP10" s="414"/>
      <c r="WCQ10" s="414"/>
      <c r="WCR10" s="414"/>
      <c r="WCS10" s="414"/>
      <c r="WCT10" s="414"/>
      <c r="WCU10" s="414"/>
      <c r="WCV10" s="414"/>
      <c r="WCW10" s="414"/>
      <c r="WCX10" s="414"/>
      <c r="WCY10" s="414"/>
      <c r="WCZ10" s="414"/>
      <c r="WDA10" s="414"/>
      <c r="WDB10" s="414"/>
      <c r="WDC10" s="414"/>
      <c r="WDD10" s="414"/>
      <c r="WDE10" s="414"/>
      <c r="WDF10" s="414"/>
      <c r="WDG10" s="414"/>
      <c r="WDH10" s="414"/>
      <c r="WDI10" s="414"/>
      <c r="WDJ10" s="414"/>
      <c r="WDK10" s="414"/>
      <c r="WDL10" s="414"/>
      <c r="WDM10" s="414"/>
      <c r="WDN10" s="414"/>
      <c r="WDO10" s="414"/>
      <c r="WDP10" s="414"/>
      <c r="WDQ10" s="414"/>
      <c r="WDR10" s="414"/>
      <c r="WDS10" s="414"/>
      <c r="WDT10" s="414"/>
      <c r="WDU10" s="414"/>
      <c r="WDV10" s="414"/>
      <c r="WDW10" s="414"/>
      <c r="WDX10" s="414"/>
      <c r="WDY10" s="414"/>
      <c r="WDZ10" s="414"/>
      <c r="WEA10" s="414"/>
      <c r="WEB10" s="414"/>
      <c r="WEC10" s="414"/>
      <c r="WED10" s="414"/>
      <c r="WEE10" s="414"/>
      <c r="WEF10" s="414"/>
      <c r="WEG10" s="414"/>
      <c r="WEH10" s="414"/>
      <c r="WEI10" s="414"/>
      <c r="WEJ10" s="414"/>
      <c r="WEK10" s="414"/>
      <c r="WEL10" s="414"/>
      <c r="WEM10" s="414"/>
      <c r="WEN10" s="414"/>
      <c r="WEO10" s="414"/>
      <c r="WEP10" s="414"/>
      <c r="WEQ10" s="414"/>
      <c r="WER10" s="414"/>
      <c r="WES10" s="414"/>
      <c r="WET10" s="414"/>
      <c r="WEU10" s="414"/>
      <c r="WEV10" s="414"/>
      <c r="WEW10" s="414"/>
      <c r="WEX10" s="414"/>
      <c r="WEY10" s="414"/>
      <c r="WEZ10" s="414"/>
      <c r="WFA10" s="414"/>
      <c r="WFB10" s="414"/>
      <c r="WFC10" s="414"/>
      <c r="WFD10" s="414"/>
      <c r="WFE10" s="414"/>
      <c r="WFF10" s="414"/>
      <c r="WFG10" s="414"/>
      <c r="WFH10" s="414"/>
      <c r="WFI10" s="414"/>
      <c r="WFJ10" s="414"/>
      <c r="WFK10" s="414"/>
      <c r="WFL10" s="414"/>
      <c r="WFM10" s="414"/>
      <c r="WFN10" s="414"/>
      <c r="WFO10" s="414"/>
      <c r="WFP10" s="414"/>
      <c r="WFQ10" s="414"/>
      <c r="WFR10" s="414"/>
      <c r="WFS10" s="414"/>
      <c r="WFT10" s="414"/>
      <c r="WFU10" s="414"/>
      <c r="WFV10" s="414"/>
      <c r="WFW10" s="414"/>
      <c r="WFX10" s="414"/>
      <c r="WFY10" s="414"/>
      <c r="WFZ10" s="414"/>
      <c r="WGA10" s="414"/>
      <c r="WGB10" s="414"/>
      <c r="WGC10" s="414"/>
      <c r="WGD10" s="414"/>
      <c r="WGE10" s="414"/>
      <c r="WGF10" s="414"/>
      <c r="WGG10" s="414"/>
      <c r="WGH10" s="414"/>
      <c r="WGI10" s="414"/>
      <c r="WGJ10" s="414"/>
      <c r="WGK10" s="414"/>
      <c r="WGL10" s="414"/>
      <c r="WGM10" s="414"/>
      <c r="WGN10" s="414"/>
      <c r="WGO10" s="414"/>
      <c r="WGP10" s="414"/>
      <c r="WGQ10" s="414"/>
      <c r="WGR10" s="414"/>
      <c r="WGS10" s="414"/>
      <c r="WGT10" s="414"/>
      <c r="WGU10" s="414"/>
      <c r="WGV10" s="414"/>
      <c r="WGW10" s="414"/>
      <c r="WGX10" s="414"/>
      <c r="WGY10" s="414"/>
      <c r="WGZ10" s="414"/>
      <c r="WHA10" s="414"/>
      <c r="WHB10" s="414"/>
      <c r="WHC10" s="414"/>
      <c r="WHD10" s="414"/>
      <c r="WHE10" s="414"/>
      <c r="WHF10" s="414"/>
      <c r="WHG10" s="414"/>
      <c r="WHH10" s="414"/>
      <c r="WHI10" s="414"/>
      <c r="WHJ10" s="414"/>
      <c r="WHK10" s="414"/>
      <c r="WHL10" s="414"/>
      <c r="WHM10" s="414"/>
      <c r="WHN10" s="414"/>
      <c r="WHO10" s="414"/>
      <c r="WHP10" s="414"/>
      <c r="WHQ10" s="414"/>
      <c r="WHR10" s="414"/>
      <c r="WHS10" s="414"/>
      <c r="WHT10" s="414"/>
      <c r="WHU10" s="414"/>
      <c r="WHV10" s="414"/>
      <c r="WHW10" s="414"/>
      <c r="WHX10" s="414"/>
      <c r="WHY10" s="414"/>
      <c r="WHZ10" s="414"/>
      <c r="WIA10" s="414"/>
      <c r="WIB10" s="414"/>
      <c r="WIC10" s="414"/>
      <c r="WID10" s="414"/>
      <c r="WIE10" s="414"/>
      <c r="WIF10" s="414"/>
      <c r="WIG10" s="414"/>
      <c r="WIH10" s="414"/>
      <c r="WII10" s="414"/>
      <c r="WIJ10" s="414"/>
      <c r="WIK10" s="414"/>
      <c r="WIL10" s="414"/>
      <c r="WIM10" s="414"/>
      <c r="WIN10" s="414"/>
      <c r="WIO10" s="414"/>
      <c r="WIP10" s="414"/>
      <c r="WIQ10" s="414"/>
      <c r="WIR10" s="414"/>
      <c r="WIS10" s="414"/>
      <c r="WIT10" s="414"/>
      <c r="WIU10" s="414"/>
      <c r="WIV10" s="414"/>
      <c r="WIW10" s="414"/>
      <c r="WIX10" s="414"/>
      <c r="WIY10" s="414"/>
      <c r="WIZ10" s="414"/>
      <c r="WJA10" s="414"/>
      <c r="WJB10" s="414"/>
      <c r="WJC10" s="414"/>
      <c r="WJD10" s="414"/>
      <c r="WJE10" s="414"/>
      <c r="WJF10" s="414"/>
      <c r="WJG10" s="414"/>
      <c r="WJH10" s="414"/>
      <c r="WJI10" s="414"/>
      <c r="WJJ10" s="414"/>
      <c r="WJK10" s="414"/>
      <c r="WJL10" s="414"/>
      <c r="WJM10" s="414"/>
      <c r="WJN10" s="414"/>
      <c r="WJO10" s="414"/>
      <c r="WJP10" s="414"/>
      <c r="WJQ10" s="414"/>
      <c r="WJR10" s="414"/>
      <c r="WJS10" s="414"/>
      <c r="WJT10" s="414"/>
      <c r="WJU10" s="414"/>
      <c r="WJV10" s="414"/>
      <c r="WJW10" s="414"/>
      <c r="WJX10" s="414"/>
      <c r="WJY10" s="414"/>
      <c r="WJZ10" s="414"/>
      <c r="WKA10" s="414"/>
      <c r="WKB10" s="414"/>
      <c r="WKC10" s="414"/>
      <c r="WKD10" s="414"/>
      <c r="WKE10" s="414"/>
      <c r="WKF10" s="414"/>
      <c r="WKG10" s="414"/>
      <c r="WKH10" s="414"/>
      <c r="WKI10" s="414"/>
      <c r="WKJ10" s="414"/>
      <c r="WKK10" s="414"/>
      <c r="WKL10" s="414"/>
      <c r="WKM10" s="414"/>
      <c r="WKN10" s="414"/>
      <c r="WKO10" s="414"/>
      <c r="WKP10" s="414"/>
      <c r="WKQ10" s="414"/>
      <c r="WKR10" s="414"/>
      <c r="WKS10" s="414"/>
      <c r="WKT10" s="414"/>
      <c r="WKU10" s="414"/>
      <c r="WKV10" s="414"/>
      <c r="WKW10" s="414"/>
      <c r="WKX10" s="414"/>
      <c r="WKY10" s="414"/>
      <c r="WKZ10" s="414"/>
      <c r="WLA10" s="414"/>
      <c r="WLB10" s="414"/>
      <c r="WLC10" s="414"/>
      <c r="WLD10" s="414"/>
      <c r="WLE10" s="414"/>
      <c r="WLF10" s="414"/>
      <c r="WLG10" s="414"/>
      <c r="WLH10" s="414"/>
      <c r="WLI10" s="414"/>
      <c r="WLJ10" s="414"/>
      <c r="WLK10" s="414"/>
      <c r="WLL10" s="414"/>
      <c r="WLM10" s="414"/>
      <c r="WLN10" s="414"/>
      <c r="WLO10" s="414"/>
      <c r="WLP10" s="414"/>
      <c r="WLQ10" s="414"/>
      <c r="WLR10" s="414"/>
      <c r="WLS10" s="414"/>
      <c r="WLT10" s="414"/>
      <c r="WLU10" s="414"/>
      <c r="WLV10" s="414"/>
      <c r="WLW10" s="414"/>
      <c r="WLX10" s="414"/>
      <c r="WLY10" s="414"/>
      <c r="WLZ10" s="414"/>
      <c r="WMA10" s="414"/>
      <c r="WMB10" s="414"/>
      <c r="WMC10" s="414"/>
      <c r="WMD10" s="414"/>
      <c r="WME10" s="414"/>
      <c r="WMF10" s="414"/>
      <c r="WMG10" s="414"/>
      <c r="WMH10" s="414"/>
      <c r="WMI10" s="414"/>
      <c r="WMJ10" s="414"/>
      <c r="WMK10" s="414"/>
      <c r="WML10" s="414"/>
      <c r="WMM10" s="414"/>
      <c r="WMN10" s="414"/>
      <c r="WMO10" s="414"/>
      <c r="WMP10" s="414"/>
      <c r="WMQ10" s="414"/>
      <c r="WMR10" s="414"/>
      <c r="WMS10" s="414"/>
      <c r="WMT10" s="414"/>
      <c r="WMU10" s="414"/>
      <c r="WMV10" s="414"/>
      <c r="WMW10" s="414"/>
      <c r="WMX10" s="414"/>
      <c r="WMY10" s="414"/>
      <c r="WMZ10" s="414"/>
      <c r="WNA10" s="414"/>
      <c r="WNB10" s="414"/>
      <c r="WNC10" s="414"/>
      <c r="WND10" s="414"/>
      <c r="WNE10" s="414"/>
      <c r="WNF10" s="414"/>
      <c r="WNG10" s="414"/>
      <c r="WNH10" s="414"/>
      <c r="WNI10" s="414"/>
      <c r="WNJ10" s="414"/>
      <c r="WNK10" s="414"/>
      <c r="WNL10" s="414"/>
      <c r="WNM10" s="414"/>
      <c r="WNN10" s="414"/>
      <c r="WNO10" s="414"/>
      <c r="WNP10" s="414"/>
      <c r="WNQ10" s="414"/>
      <c r="WNR10" s="414"/>
      <c r="WNS10" s="414"/>
      <c r="WNT10" s="414"/>
      <c r="WNU10" s="414"/>
      <c r="WNV10" s="414"/>
      <c r="WNW10" s="414"/>
      <c r="WNX10" s="414"/>
      <c r="WNY10" s="414"/>
      <c r="WNZ10" s="414"/>
      <c r="WOA10" s="414"/>
      <c r="WOB10" s="414"/>
      <c r="WOC10" s="414"/>
      <c r="WOD10" s="414"/>
      <c r="WOE10" s="414"/>
      <c r="WOF10" s="414"/>
      <c r="WOG10" s="414"/>
      <c r="WOH10" s="414"/>
      <c r="WOI10" s="414"/>
      <c r="WOJ10" s="414"/>
      <c r="WOK10" s="414"/>
      <c r="WOL10" s="414"/>
      <c r="WOM10" s="414"/>
      <c r="WON10" s="414"/>
      <c r="WOO10" s="414"/>
      <c r="WOP10" s="414"/>
      <c r="WOQ10" s="414"/>
      <c r="WOR10" s="414"/>
      <c r="WOS10" s="414"/>
      <c r="WOT10" s="414"/>
      <c r="WOU10" s="414"/>
      <c r="WOV10" s="414"/>
      <c r="WOW10" s="414"/>
      <c r="WOX10" s="414"/>
      <c r="WOY10" s="414"/>
      <c r="WOZ10" s="414"/>
      <c r="WPA10" s="414"/>
      <c r="WPB10" s="414"/>
      <c r="WPC10" s="414"/>
      <c r="WPD10" s="414"/>
      <c r="WPE10" s="414"/>
      <c r="WPF10" s="414"/>
      <c r="WPG10" s="414"/>
      <c r="WPH10" s="414"/>
      <c r="WPI10" s="414"/>
      <c r="WPJ10" s="414"/>
      <c r="WPK10" s="414"/>
      <c r="WPL10" s="414"/>
      <c r="WPM10" s="414"/>
      <c r="WPN10" s="414"/>
      <c r="WPO10" s="414"/>
      <c r="WPP10" s="414"/>
      <c r="WPQ10" s="414"/>
      <c r="WPR10" s="414"/>
      <c r="WPS10" s="414"/>
      <c r="WPT10" s="414"/>
      <c r="WPU10" s="414"/>
      <c r="WPV10" s="414"/>
      <c r="WPW10" s="414"/>
      <c r="WPX10" s="414"/>
      <c r="WPY10" s="414"/>
      <c r="WPZ10" s="414"/>
      <c r="WQA10" s="414"/>
      <c r="WQB10" s="414"/>
      <c r="WQC10" s="414"/>
      <c r="WQD10" s="414"/>
      <c r="WQE10" s="414"/>
      <c r="WQF10" s="414"/>
      <c r="WQG10" s="414"/>
      <c r="WQH10" s="414"/>
      <c r="WQI10" s="414"/>
      <c r="WQJ10" s="414"/>
      <c r="WQK10" s="414"/>
      <c r="WQL10" s="414"/>
      <c r="WQM10" s="414"/>
      <c r="WQN10" s="414"/>
      <c r="WQO10" s="414"/>
      <c r="WQP10" s="414"/>
      <c r="WQQ10" s="414"/>
      <c r="WQR10" s="414"/>
      <c r="WQS10" s="414"/>
      <c r="WQT10" s="414"/>
      <c r="WQU10" s="414"/>
      <c r="WQV10" s="414"/>
      <c r="WQW10" s="414"/>
      <c r="WQX10" s="414"/>
      <c r="WQY10" s="414"/>
      <c r="WQZ10" s="414"/>
      <c r="WRA10" s="414"/>
      <c r="WRB10" s="414"/>
      <c r="WRC10" s="414"/>
      <c r="WRD10" s="414"/>
      <c r="WRE10" s="414"/>
      <c r="WRF10" s="414"/>
      <c r="WRG10" s="414"/>
      <c r="WRH10" s="414"/>
      <c r="WRI10" s="414"/>
      <c r="WRJ10" s="414"/>
      <c r="WRK10" s="414"/>
      <c r="WRL10" s="414"/>
      <c r="WRM10" s="414"/>
      <c r="WRN10" s="414"/>
      <c r="WRO10" s="414"/>
      <c r="WRP10" s="414"/>
      <c r="WRQ10" s="414"/>
      <c r="WRR10" s="414"/>
      <c r="WRS10" s="414"/>
      <c r="WRT10" s="414"/>
      <c r="WRU10" s="414"/>
      <c r="WRV10" s="414"/>
      <c r="WRW10" s="414"/>
      <c r="WRX10" s="414"/>
      <c r="WRY10" s="414"/>
      <c r="WRZ10" s="414"/>
      <c r="WSA10" s="414"/>
      <c r="WSB10" s="414"/>
      <c r="WSC10" s="414"/>
      <c r="WSD10" s="414"/>
      <c r="WSE10" s="414"/>
      <c r="WSF10" s="414"/>
      <c r="WSG10" s="414"/>
      <c r="WSH10" s="414"/>
      <c r="WSI10" s="414"/>
      <c r="WSJ10" s="414"/>
      <c r="WSK10" s="414"/>
      <c r="WSL10" s="414"/>
      <c r="WSM10" s="414"/>
      <c r="WSN10" s="414"/>
      <c r="WSO10" s="414"/>
      <c r="WSP10" s="414"/>
      <c r="WSQ10" s="414"/>
      <c r="WSR10" s="414"/>
      <c r="WSS10" s="414"/>
      <c r="WST10" s="414"/>
      <c r="WSU10" s="414"/>
      <c r="WSV10" s="414"/>
      <c r="WSW10" s="414"/>
      <c r="WSX10" s="414"/>
      <c r="WSY10" s="414"/>
      <c r="WSZ10" s="414"/>
      <c r="WTA10" s="414"/>
      <c r="WTB10" s="414"/>
      <c r="WTC10" s="414"/>
      <c r="WTD10" s="414"/>
      <c r="WTE10" s="414"/>
      <c r="WTF10" s="414"/>
      <c r="WTG10" s="414"/>
      <c r="WTH10" s="414"/>
      <c r="WTI10" s="414"/>
      <c r="WTJ10" s="414"/>
      <c r="WTK10" s="414"/>
      <c r="WTL10" s="414"/>
      <c r="WTM10" s="414"/>
      <c r="WTN10" s="414"/>
      <c r="WTO10" s="414"/>
      <c r="WTP10" s="414"/>
      <c r="WTQ10" s="414"/>
      <c r="WTR10" s="414"/>
      <c r="WTS10" s="414"/>
      <c r="WTT10" s="414"/>
      <c r="WTU10" s="414"/>
      <c r="WTV10" s="414"/>
      <c r="WTW10" s="414"/>
      <c r="WTX10" s="414"/>
      <c r="WTY10" s="414"/>
      <c r="WTZ10" s="414"/>
      <c r="WUA10" s="414"/>
      <c r="WUB10" s="414"/>
      <c r="WUC10" s="414"/>
      <c r="WUD10" s="414"/>
      <c r="WUE10" s="414"/>
      <c r="WUF10" s="414"/>
      <c r="WUG10" s="414"/>
      <c r="WUH10" s="414"/>
      <c r="WUI10" s="414"/>
      <c r="WUJ10" s="414"/>
      <c r="WUK10" s="414"/>
      <c r="WUL10" s="414"/>
      <c r="WUM10" s="414"/>
      <c r="WUN10" s="414"/>
      <c r="WUO10" s="414"/>
      <c r="WUP10" s="414"/>
      <c r="WUQ10" s="414"/>
      <c r="WUR10" s="414"/>
      <c r="WUS10" s="414"/>
      <c r="WUT10" s="414"/>
      <c r="WUU10" s="414"/>
      <c r="WUV10" s="414"/>
      <c r="WUW10" s="414"/>
      <c r="WUX10" s="414"/>
      <c r="WUY10" s="414"/>
      <c r="WUZ10" s="414"/>
      <c r="WVA10" s="414"/>
      <c r="WVB10" s="414"/>
      <c r="WVC10" s="414"/>
      <c r="WVD10" s="414"/>
      <c r="WVE10" s="414"/>
      <c r="WVF10" s="414"/>
      <c r="WVG10" s="414"/>
      <c r="WVH10" s="414"/>
      <c r="WVI10" s="414"/>
      <c r="WVJ10" s="414"/>
      <c r="WVK10" s="414"/>
      <c r="WVL10" s="414"/>
      <c r="WVM10" s="414"/>
      <c r="WVN10" s="414"/>
      <c r="WVO10" s="414"/>
      <c r="WVP10" s="414"/>
      <c r="WVQ10" s="414"/>
      <c r="WVR10" s="414"/>
      <c r="WVS10" s="414"/>
      <c r="WVT10" s="414"/>
      <c r="WVU10" s="414"/>
      <c r="WVV10" s="414"/>
      <c r="WVW10" s="414"/>
      <c r="WVX10" s="414"/>
      <c r="WVY10" s="414"/>
      <c r="WVZ10" s="414"/>
      <c r="WWA10" s="414"/>
      <c r="WWB10" s="414"/>
      <c r="WWC10" s="414"/>
      <c r="WWD10" s="414"/>
      <c r="WWE10" s="414"/>
      <c r="WWF10" s="414"/>
      <c r="WWG10" s="414"/>
      <c r="WWH10" s="414"/>
      <c r="WWI10" s="414"/>
      <c r="WWJ10" s="414"/>
      <c r="WWK10" s="414"/>
      <c r="WWL10" s="414"/>
      <c r="WWM10" s="414"/>
      <c r="WWN10" s="414"/>
      <c r="WWO10" s="414"/>
      <c r="WWP10" s="414"/>
      <c r="WWQ10" s="414"/>
      <c r="WWR10" s="414"/>
      <c r="WWS10" s="414"/>
      <c r="WWT10" s="414"/>
      <c r="WWU10" s="414"/>
      <c r="WWV10" s="414"/>
      <c r="WWW10" s="414"/>
      <c r="WWX10" s="414"/>
      <c r="WWY10" s="414"/>
      <c r="WWZ10" s="414"/>
      <c r="WXA10" s="414"/>
      <c r="WXB10" s="414"/>
      <c r="WXC10" s="414"/>
      <c r="WXD10" s="414"/>
      <c r="WXE10" s="414"/>
      <c r="WXF10" s="414"/>
      <c r="WXG10" s="414"/>
      <c r="WXH10" s="414"/>
      <c r="WXI10" s="414"/>
      <c r="WXJ10" s="414"/>
      <c r="WXK10" s="414"/>
      <c r="WXL10" s="414"/>
      <c r="WXM10" s="414"/>
      <c r="WXN10" s="414"/>
      <c r="WXO10" s="414"/>
      <c r="WXP10" s="414"/>
      <c r="WXQ10" s="414"/>
      <c r="WXR10" s="414"/>
      <c r="WXS10" s="414"/>
      <c r="WXT10" s="414"/>
      <c r="WXU10" s="414"/>
      <c r="WXV10" s="414"/>
      <c r="WXW10" s="414"/>
      <c r="WXX10" s="414"/>
      <c r="WXY10" s="414"/>
      <c r="WXZ10" s="414"/>
      <c r="WYA10" s="414"/>
      <c r="WYB10" s="414"/>
      <c r="WYC10" s="414"/>
      <c r="WYD10" s="414"/>
      <c r="WYE10" s="414"/>
      <c r="WYF10" s="414"/>
      <c r="WYG10" s="414"/>
      <c r="WYH10" s="414"/>
      <c r="WYI10" s="414"/>
      <c r="WYJ10" s="414"/>
      <c r="WYK10" s="414"/>
      <c r="WYL10" s="414"/>
      <c r="WYM10" s="414"/>
      <c r="WYN10" s="414"/>
      <c r="WYO10" s="414"/>
      <c r="WYP10" s="414"/>
      <c r="WYQ10" s="414"/>
      <c r="WYR10" s="414"/>
      <c r="WYS10" s="414"/>
      <c r="WYT10" s="414"/>
      <c r="WYU10" s="414"/>
      <c r="WYV10" s="414"/>
      <c r="WYW10" s="414"/>
      <c r="WYX10" s="414"/>
      <c r="WYY10" s="414"/>
      <c r="WYZ10" s="414"/>
      <c r="WZA10" s="414"/>
      <c r="WZB10" s="414"/>
      <c r="WZC10" s="414"/>
      <c r="WZD10" s="414"/>
      <c r="WZE10" s="414"/>
      <c r="WZF10" s="414"/>
      <c r="WZG10" s="414"/>
      <c r="WZH10" s="414"/>
      <c r="WZI10" s="414"/>
      <c r="WZJ10" s="414"/>
      <c r="WZK10" s="414"/>
      <c r="WZL10" s="414"/>
      <c r="WZM10" s="414"/>
      <c r="WZN10" s="414"/>
      <c r="WZO10" s="414"/>
      <c r="WZP10" s="414"/>
      <c r="WZQ10" s="414"/>
      <c r="WZR10" s="414"/>
      <c r="WZS10" s="414"/>
      <c r="WZT10" s="414"/>
      <c r="WZU10" s="414"/>
      <c r="WZV10" s="414"/>
      <c r="WZW10" s="414"/>
      <c r="WZX10" s="414"/>
      <c r="WZY10" s="414"/>
      <c r="WZZ10" s="414"/>
      <c r="XAA10" s="414"/>
      <c r="XAB10" s="414"/>
      <c r="XAC10" s="414"/>
      <c r="XAD10" s="414"/>
      <c r="XAE10" s="414"/>
      <c r="XAF10" s="414"/>
      <c r="XAG10" s="414"/>
      <c r="XAH10" s="414"/>
      <c r="XAI10" s="414"/>
      <c r="XAJ10" s="414"/>
      <c r="XAK10" s="414"/>
      <c r="XAL10" s="414"/>
      <c r="XAM10" s="414"/>
      <c r="XAN10" s="414"/>
      <c r="XAO10" s="414"/>
      <c r="XAP10" s="414"/>
      <c r="XAQ10" s="414"/>
      <c r="XAR10" s="414"/>
      <c r="XAS10" s="414"/>
      <c r="XAT10" s="414"/>
      <c r="XAU10" s="414"/>
      <c r="XAV10" s="414"/>
      <c r="XAW10" s="414"/>
      <c r="XAX10" s="414"/>
      <c r="XAY10" s="414"/>
      <c r="XAZ10" s="414"/>
      <c r="XBA10" s="414"/>
      <c r="XBB10" s="414"/>
      <c r="XBC10" s="414"/>
      <c r="XBD10" s="414"/>
      <c r="XBE10" s="414"/>
      <c r="XBF10" s="414"/>
      <c r="XBG10" s="414"/>
      <c r="XBH10" s="414"/>
      <c r="XBI10" s="414"/>
      <c r="XBJ10" s="414"/>
      <c r="XBK10" s="414"/>
      <c r="XBL10" s="414"/>
      <c r="XBM10" s="414"/>
      <c r="XBN10" s="414"/>
      <c r="XBO10" s="414"/>
      <c r="XBP10" s="414"/>
      <c r="XBQ10" s="414"/>
      <c r="XBR10" s="414"/>
      <c r="XBS10" s="414"/>
      <c r="XBT10" s="414"/>
      <c r="XBU10" s="414"/>
      <c r="XBV10" s="414"/>
      <c r="XBW10" s="414"/>
      <c r="XBX10" s="414"/>
      <c r="XBY10" s="414"/>
      <c r="XBZ10" s="414"/>
      <c r="XCA10" s="414"/>
      <c r="XCB10" s="414"/>
      <c r="XCC10" s="414"/>
      <c r="XCD10" s="414"/>
      <c r="XCE10" s="414"/>
      <c r="XCF10" s="414"/>
      <c r="XCG10" s="414"/>
      <c r="XCH10" s="414"/>
      <c r="XCI10" s="414"/>
      <c r="XCJ10" s="414"/>
      <c r="XCK10" s="414"/>
      <c r="XCL10" s="414"/>
      <c r="XCM10" s="414"/>
      <c r="XCN10" s="414"/>
      <c r="XCO10" s="414"/>
      <c r="XCP10" s="414"/>
      <c r="XCQ10" s="414"/>
      <c r="XCR10" s="414"/>
      <c r="XCS10" s="414"/>
      <c r="XCT10" s="414"/>
      <c r="XCU10" s="414"/>
      <c r="XCV10" s="414"/>
      <c r="XCW10" s="414"/>
      <c r="XCX10" s="414"/>
      <c r="XCY10" s="414"/>
      <c r="XCZ10" s="414"/>
      <c r="XDA10" s="414"/>
      <c r="XDB10" s="414"/>
      <c r="XDC10" s="414"/>
      <c r="XDD10" s="414"/>
      <c r="XDE10" s="414"/>
      <c r="XDF10" s="414"/>
      <c r="XDG10" s="414"/>
      <c r="XDH10" s="414"/>
      <c r="XDI10" s="414"/>
      <c r="XDJ10" s="414"/>
      <c r="XDK10" s="414"/>
      <c r="XDL10" s="414"/>
      <c r="XDM10" s="414"/>
      <c r="XDN10" s="414"/>
      <c r="XDO10" s="414"/>
      <c r="XDP10" s="414"/>
      <c r="XDQ10" s="414"/>
      <c r="XDR10" s="414"/>
      <c r="XDS10" s="414"/>
      <c r="XDT10" s="414"/>
      <c r="XDU10" s="414"/>
      <c r="XDV10" s="414"/>
      <c r="XDW10" s="414"/>
      <c r="XDX10" s="414"/>
      <c r="XDY10" s="414"/>
      <c r="XDZ10" s="414"/>
      <c r="XEA10" s="414"/>
      <c r="XEB10" s="414"/>
      <c r="XEC10" s="414"/>
      <c r="XED10" s="414"/>
      <c r="XEE10" s="414"/>
      <c r="XEF10" s="414"/>
      <c r="XEG10" s="414"/>
      <c r="XEH10" s="414"/>
      <c r="XEI10" s="414"/>
      <c r="XEJ10" s="414"/>
      <c r="XEK10" s="414"/>
      <c r="XEL10" s="414"/>
      <c r="XEM10" s="414"/>
      <c r="XEN10" s="414"/>
      <c r="XEO10" s="414"/>
      <c r="XEP10" s="414"/>
      <c r="XEQ10" s="414"/>
      <c r="XER10" s="414"/>
      <c r="XES10" s="414"/>
      <c r="XET10" s="414"/>
      <c r="XEU10" s="414"/>
      <c r="XEV10" s="414"/>
      <c r="XEW10" s="414"/>
      <c r="XEX10" s="414"/>
      <c r="XEY10" s="414"/>
      <c r="XEZ10" s="414"/>
      <c r="XFA10" s="414"/>
    </row>
    <row r="11" spans="1:16381" s="609" customFormat="1" ht="25.5">
      <c r="A11" s="609" t="str">
        <f t="shared" si="0"/>
        <v>Allianz Klinik-Rente v. 01.12.2012</v>
      </c>
      <c r="B11" s="609">
        <f>ROW()</f>
        <v>11</v>
      </c>
      <c r="C11" s="635" t="s">
        <v>1146</v>
      </c>
      <c r="D11" s="1201">
        <v>41244</v>
      </c>
      <c r="E11" s="636" t="s">
        <v>771</v>
      </c>
      <c r="F11" s="637" t="str">
        <f t="shared" si="1"/>
        <v/>
      </c>
      <c r="G11" s="634" t="str">
        <f t="shared" si="2"/>
        <v xml:space="preserve">TO ermöglicht: doppelten Kostenabzug; </v>
      </c>
      <c r="I11" s="634"/>
      <c r="J11" s="788">
        <v>1</v>
      </c>
      <c r="K11" s="1199"/>
      <c r="L11" s="1199">
        <v>2</v>
      </c>
      <c r="M11" s="1199"/>
      <c r="N11" s="1199"/>
      <c r="O11" s="789" t="s">
        <v>812</v>
      </c>
      <c r="P11" s="144">
        <f t="shared" si="3"/>
        <v>2</v>
      </c>
      <c r="S11" s="609">
        <f>IFERROR(SEARCH(MID(+Fallerfassung!D31,1,5),S$6),1)</f>
        <v>1</v>
      </c>
    </row>
    <row r="12" spans="1:16381" s="609" customFormat="1" ht="22.5">
      <c r="A12" s="609" t="str">
        <f t="shared" si="0"/>
        <v>Allianz Lebensversicherung AG (Klinik-Rente) v. 01.12.2012</v>
      </c>
      <c r="B12" s="609">
        <f>ROW()</f>
        <v>12</v>
      </c>
      <c r="C12" s="635" t="s">
        <v>764</v>
      </c>
      <c r="D12" s="1201">
        <v>41244</v>
      </c>
      <c r="E12" s="636" t="s">
        <v>681</v>
      </c>
      <c r="F12" s="637" t="str">
        <f t="shared" si="1"/>
        <v>Ja</v>
      </c>
      <c r="G12" s="634" t="str">
        <f t="shared" si="2"/>
        <v xml:space="preserve">TO ermöglicht: Tarifwechel; doppelten Kostenabzug; </v>
      </c>
      <c r="I12" s="634"/>
      <c r="J12" s="788"/>
      <c r="K12" s="1199">
        <v>1</v>
      </c>
      <c r="L12" s="1199">
        <v>2</v>
      </c>
      <c r="M12" s="1199"/>
      <c r="N12" s="1199"/>
      <c r="O12" s="791" t="s">
        <v>682</v>
      </c>
      <c r="P12" s="144">
        <f t="shared" si="3"/>
        <v>3</v>
      </c>
      <c r="S12" s="609">
        <f>IFERROR(SEARCH(MID(+Fallerfassung!D32,1,5),S$6),1)</f>
        <v>1</v>
      </c>
    </row>
    <row r="13" spans="1:16381" s="609" customFormat="1" ht="33.75">
      <c r="A13" s="609" t="str">
        <f t="shared" si="0"/>
        <v>Allianz Lebensversicherung AG v. 01.12.2012</v>
      </c>
      <c r="B13" s="609">
        <f>ROW()</f>
        <v>13</v>
      </c>
      <c r="C13" s="635" t="s">
        <v>680</v>
      </c>
      <c r="D13" s="1201">
        <v>41244</v>
      </c>
      <c r="E13" s="636" t="s">
        <v>761</v>
      </c>
      <c r="F13" s="637" t="str">
        <f t="shared" si="1"/>
        <v>Ja</v>
      </c>
      <c r="G13" s="634" t="str">
        <f t="shared" si="2"/>
        <v>TO ermöglicht: Tarifwechel; doppelten Kostenabzug;  Abweichungen vom gerichtl. festgelegten Ausgleichswert;  Verzinsung zwischen EzE und RK geltend machen</v>
      </c>
      <c r="I13" s="634"/>
      <c r="J13" s="789" t="s">
        <v>762</v>
      </c>
      <c r="K13" s="1199">
        <v>1</v>
      </c>
      <c r="L13" s="1199">
        <v>2</v>
      </c>
      <c r="M13" s="1199">
        <v>3</v>
      </c>
      <c r="N13" s="1199">
        <v>4</v>
      </c>
      <c r="O13" s="791"/>
      <c r="P13" s="144">
        <f t="shared" si="3"/>
        <v>10</v>
      </c>
      <c r="S13" s="609">
        <f>IFERROR(SEARCH(MID(+Fallerfassung!D33,1,5),S$6),1)</f>
        <v>1</v>
      </c>
    </row>
    <row r="14" spans="1:16381" s="609" customFormat="1" ht="22.5">
      <c r="A14" s="609" t="str">
        <f t="shared" si="0"/>
        <v>Allianz Lebensversicherung AG v. 01.12.2018</v>
      </c>
      <c r="C14" s="635" t="s">
        <v>680</v>
      </c>
      <c r="D14" s="1201">
        <v>43435</v>
      </c>
      <c r="E14" s="636" t="s">
        <v>1740</v>
      </c>
      <c r="F14" s="637" t="s">
        <v>472</v>
      </c>
      <c r="G14" s="634" t="str">
        <f t="shared" si="2"/>
        <v>TO ermöglicht: Tarifwechel; doppelten Kostenabzug;  Verzinsung zwischen EzE und RK geltend machen</v>
      </c>
      <c r="I14" s="634"/>
      <c r="J14" s="789"/>
      <c r="K14" s="1199">
        <v>1</v>
      </c>
      <c r="L14" s="1199">
        <v>2</v>
      </c>
      <c r="M14" s="1199"/>
      <c r="N14" s="1199">
        <v>4</v>
      </c>
      <c r="O14" s="791"/>
      <c r="P14" s="144"/>
    </row>
    <row r="15" spans="1:16381" s="609" customFormat="1" ht="33.75">
      <c r="A15" s="609" t="str">
        <f t="shared" si="0"/>
        <v>Allianz Lebensversicherung AG v. 01.12.2020</v>
      </c>
      <c r="B15" s="609">
        <f>ROW()</f>
        <v>15</v>
      </c>
      <c r="C15" s="635" t="s">
        <v>680</v>
      </c>
      <c r="D15" s="1201">
        <v>44166</v>
      </c>
      <c r="E15" s="655" t="s">
        <v>818</v>
      </c>
      <c r="F15" s="637" t="str">
        <f t="shared" si="1"/>
        <v/>
      </c>
      <c r="G15" s="634" t="str">
        <f t="shared" si="2"/>
        <v>TO ermöglicht: doppelten Kostenabzug;  Abweichungen vom gerichtl. festgelegten Ausgleichswert;  Verzinsung zwischen EzE und RK geltend machen</v>
      </c>
      <c r="I15" s="634"/>
      <c r="J15" s="784"/>
      <c r="K15" s="1199"/>
      <c r="L15" s="1199">
        <v>2</v>
      </c>
      <c r="M15" s="1199">
        <v>3</v>
      </c>
      <c r="N15" s="1199">
        <v>4</v>
      </c>
      <c r="O15" s="785"/>
      <c r="P15" s="144">
        <f t="shared" si="3"/>
        <v>9</v>
      </c>
      <c r="S15" s="609">
        <f>IFERROR(SEARCH(MID(+Fallerfassung!D34,1,5),S$6),1)</f>
        <v>1</v>
      </c>
    </row>
    <row r="16" spans="1:16381" s="609" customFormat="1">
      <c r="A16" s="609" t="str">
        <f t="shared" si="0"/>
        <v>Allianz Lebensversicherung AG v. 21.07.2021</v>
      </c>
      <c r="B16" s="609">
        <f>ROW()</f>
        <v>16</v>
      </c>
      <c r="C16" s="635" t="s">
        <v>680</v>
      </c>
      <c r="D16" s="1201">
        <v>44398</v>
      </c>
      <c r="E16" s="636"/>
      <c r="F16" s="637" t="str">
        <f t="shared" si="1"/>
        <v/>
      </c>
      <c r="G16" s="634" t="str">
        <f t="shared" si="2"/>
        <v xml:space="preserve">TO ermöglicht: doppelten Kostenabzug; </v>
      </c>
      <c r="I16" s="634"/>
      <c r="J16" s="788"/>
      <c r="K16" s="1199"/>
      <c r="L16" s="1199">
        <v>2</v>
      </c>
      <c r="M16" s="1199"/>
      <c r="N16" s="1199"/>
      <c r="O16" s="791"/>
      <c r="P16" s="144">
        <f t="shared" si="3"/>
        <v>2</v>
      </c>
      <c r="S16" s="609">
        <f>IFERROR(SEARCH(MID(+Fallerfassung!D35,1,5),S$6),1)</f>
        <v>1</v>
      </c>
    </row>
    <row r="17" spans="1:16381" s="609" customFormat="1" ht="33.75">
      <c r="A17" s="609" t="str">
        <f t="shared" si="0"/>
        <v>Allianz Lebensversicherungs AG v. 01.09.2009</v>
      </c>
      <c r="B17" s="609">
        <f>ROW()</f>
        <v>17</v>
      </c>
      <c r="C17" s="635" t="s">
        <v>1364</v>
      </c>
      <c r="D17" s="1201">
        <v>40057</v>
      </c>
      <c r="E17" s="636" t="s">
        <v>201</v>
      </c>
      <c r="F17" s="637" t="str">
        <f t="shared" si="1"/>
        <v>Ja</v>
      </c>
      <c r="G17" s="634" t="str">
        <f t="shared" si="2"/>
        <v>TO ermöglicht: Tarifwechel; doppelten Kostenabzug;  Abweichungen vom gerichtl. festgelegten Ausgleichswert;  Verzinsung zwischen EzE und RK geltend machen</v>
      </c>
      <c r="I17" s="634" t="s">
        <v>1365</v>
      </c>
      <c r="J17" s="784"/>
      <c r="K17" s="1199">
        <v>1</v>
      </c>
      <c r="L17" s="1199">
        <v>2</v>
      </c>
      <c r="M17" s="1199">
        <v>3</v>
      </c>
      <c r="N17" s="1199">
        <v>4</v>
      </c>
      <c r="O17" s="785"/>
      <c r="P17" s="144">
        <f t="shared" si="3"/>
        <v>10</v>
      </c>
      <c r="Q17" s="414"/>
      <c r="R17" s="414"/>
      <c r="S17" s="609">
        <f>IFERROR(SEARCH(MID(+Fallerfassung!D36,1,5),S$6),1)</f>
        <v>1</v>
      </c>
      <c r="T17" s="414"/>
      <c r="U17" s="414"/>
      <c r="V17" s="414"/>
      <c r="W17" s="414"/>
      <c r="X17" s="414"/>
      <c r="Y17" s="414"/>
      <c r="Z17" s="414"/>
      <c r="AA17" s="414"/>
      <c r="AB17" s="414"/>
      <c r="AC17" s="414"/>
      <c r="AD17" s="414"/>
      <c r="AE17" s="414"/>
      <c r="AF17" s="414"/>
      <c r="AG17" s="414"/>
      <c r="AH17" s="414"/>
      <c r="AI17" s="414"/>
      <c r="AJ17" s="414"/>
      <c r="AK17" s="414"/>
      <c r="AL17" s="414"/>
      <c r="AM17" s="414"/>
      <c r="AN17" s="414"/>
      <c r="AO17" s="414"/>
      <c r="AP17" s="414"/>
      <c r="AQ17" s="414"/>
      <c r="AR17" s="414"/>
      <c r="AS17" s="414"/>
      <c r="AT17" s="414"/>
      <c r="AU17" s="414"/>
      <c r="AV17" s="414"/>
      <c r="AW17" s="414"/>
      <c r="AX17" s="414"/>
      <c r="AY17" s="414"/>
      <c r="AZ17" s="414"/>
      <c r="BA17" s="414"/>
      <c r="BB17" s="414"/>
      <c r="BC17" s="414"/>
      <c r="BD17" s="414"/>
      <c r="BE17" s="414"/>
      <c r="BF17" s="414"/>
      <c r="BG17" s="414"/>
      <c r="BH17" s="414"/>
      <c r="BI17" s="414"/>
      <c r="BJ17" s="414"/>
      <c r="BK17" s="414"/>
      <c r="BL17" s="414"/>
      <c r="BM17" s="414"/>
      <c r="BN17" s="414"/>
      <c r="BO17" s="414"/>
      <c r="BP17" s="414"/>
      <c r="BQ17" s="414"/>
      <c r="BR17" s="414"/>
      <c r="BS17" s="414"/>
      <c r="BT17" s="414"/>
      <c r="BU17" s="414"/>
      <c r="BV17" s="414"/>
      <c r="BW17" s="414"/>
      <c r="BX17" s="414"/>
      <c r="BY17" s="414"/>
      <c r="BZ17" s="414"/>
      <c r="CA17" s="414"/>
      <c r="CB17" s="414"/>
      <c r="CC17" s="414"/>
      <c r="CD17" s="414"/>
      <c r="CE17" s="414"/>
      <c r="CF17" s="414"/>
      <c r="CG17" s="414"/>
      <c r="CH17" s="414"/>
      <c r="CI17" s="414"/>
      <c r="CJ17" s="414"/>
      <c r="CK17" s="414"/>
      <c r="CL17" s="414"/>
      <c r="CM17" s="414"/>
      <c r="CN17" s="414"/>
      <c r="CO17" s="414"/>
      <c r="CP17" s="414"/>
      <c r="CQ17" s="414"/>
      <c r="CR17" s="414"/>
      <c r="CS17" s="414"/>
      <c r="CT17" s="414"/>
      <c r="CU17" s="414"/>
      <c r="CV17" s="414"/>
      <c r="CW17" s="414"/>
      <c r="CX17" s="414"/>
      <c r="CY17" s="414"/>
      <c r="CZ17" s="414"/>
      <c r="DA17" s="414"/>
      <c r="DB17" s="414"/>
      <c r="DC17" s="414"/>
      <c r="DD17" s="414"/>
      <c r="DE17" s="414"/>
      <c r="DF17" s="414"/>
      <c r="DG17" s="414"/>
      <c r="DH17" s="414"/>
      <c r="DI17" s="414"/>
      <c r="DJ17" s="414"/>
      <c r="DK17" s="414"/>
      <c r="DL17" s="414"/>
      <c r="DM17" s="414"/>
      <c r="DN17" s="414"/>
      <c r="DO17" s="414"/>
      <c r="DP17" s="414"/>
      <c r="DQ17" s="414"/>
      <c r="DR17" s="414"/>
      <c r="DS17" s="414"/>
      <c r="DT17" s="414"/>
      <c r="DU17" s="414"/>
      <c r="DV17" s="414"/>
      <c r="DW17" s="414"/>
      <c r="DX17" s="414"/>
      <c r="DY17" s="414"/>
      <c r="DZ17" s="414"/>
      <c r="EA17" s="414"/>
      <c r="EB17" s="414"/>
      <c r="EC17" s="414"/>
      <c r="ED17" s="414"/>
      <c r="EE17" s="414"/>
      <c r="EF17" s="414"/>
      <c r="EG17" s="414"/>
      <c r="EH17" s="414"/>
      <c r="EI17" s="414"/>
      <c r="EJ17" s="414"/>
      <c r="EK17" s="414"/>
      <c r="EL17" s="414"/>
      <c r="EM17" s="414"/>
      <c r="EN17" s="414"/>
      <c r="EO17" s="414"/>
      <c r="EP17" s="414"/>
      <c r="EQ17" s="414"/>
      <c r="ER17" s="414"/>
      <c r="ES17" s="414"/>
      <c r="ET17" s="414"/>
      <c r="EU17" s="414"/>
      <c r="EV17" s="414"/>
      <c r="EW17" s="414"/>
      <c r="EX17" s="414"/>
      <c r="EY17" s="414"/>
      <c r="EZ17" s="414"/>
      <c r="FA17" s="414"/>
      <c r="FB17" s="414"/>
      <c r="FC17" s="414"/>
      <c r="FD17" s="414"/>
      <c r="FE17" s="414"/>
      <c r="FF17" s="414"/>
      <c r="FG17" s="414"/>
      <c r="FH17" s="414"/>
      <c r="FI17" s="414"/>
      <c r="FJ17" s="414"/>
      <c r="FK17" s="414"/>
      <c r="FL17" s="414"/>
      <c r="FM17" s="414"/>
      <c r="FN17" s="414"/>
      <c r="FO17" s="414"/>
      <c r="FP17" s="414"/>
      <c r="FQ17" s="414"/>
      <c r="FR17" s="414"/>
      <c r="FS17" s="414"/>
      <c r="FT17" s="414"/>
      <c r="FU17" s="414"/>
      <c r="FV17" s="414"/>
      <c r="FW17" s="414"/>
      <c r="FX17" s="414"/>
      <c r="FY17" s="414"/>
      <c r="FZ17" s="414"/>
      <c r="GA17" s="414"/>
      <c r="GB17" s="414"/>
      <c r="GC17" s="414"/>
      <c r="GD17" s="414"/>
      <c r="GE17" s="414"/>
      <c r="GF17" s="414"/>
      <c r="GG17" s="414"/>
      <c r="GH17" s="414"/>
      <c r="GI17" s="414"/>
      <c r="GJ17" s="414"/>
      <c r="GK17" s="414"/>
      <c r="GL17" s="414"/>
      <c r="GM17" s="414"/>
      <c r="GN17" s="414"/>
      <c r="GO17" s="414"/>
      <c r="GP17" s="414"/>
      <c r="GQ17" s="414"/>
      <c r="GR17" s="414"/>
      <c r="GS17" s="414"/>
      <c r="GT17" s="414"/>
      <c r="GU17" s="414"/>
      <c r="GV17" s="414"/>
      <c r="GW17" s="414"/>
      <c r="GX17" s="414"/>
      <c r="GY17" s="414"/>
      <c r="GZ17" s="414"/>
      <c r="HA17" s="414"/>
      <c r="HB17" s="414"/>
      <c r="HC17" s="414"/>
      <c r="HD17" s="414"/>
      <c r="HE17" s="414"/>
      <c r="HF17" s="414"/>
      <c r="HG17" s="414"/>
      <c r="HH17" s="414"/>
      <c r="HI17" s="414"/>
      <c r="HJ17" s="414"/>
      <c r="HK17" s="414"/>
      <c r="HL17" s="414"/>
      <c r="HM17" s="414"/>
      <c r="HN17" s="414"/>
      <c r="HO17" s="414"/>
      <c r="HP17" s="414"/>
      <c r="HQ17" s="414"/>
      <c r="HR17" s="414"/>
      <c r="HS17" s="414"/>
      <c r="HT17" s="414"/>
      <c r="HU17" s="414"/>
      <c r="HV17" s="414"/>
      <c r="HW17" s="414"/>
      <c r="HX17" s="414"/>
      <c r="HY17" s="414"/>
      <c r="HZ17" s="414"/>
      <c r="IA17" s="414"/>
      <c r="IB17" s="414"/>
      <c r="IC17" s="414"/>
      <c r="ID17" s="414"/>
      <c r="IE17" s="414"/>
      <c r="IF17" s="414"/>
      <c r="IG17" s="414"/>
      <c r="IH17" s="414"/>
      <c r="II17" s="414"/>
      <c r="IJ17" s="414"/>
      <c r="IK17" s="414"/>
      <c r="IL17" s="414"/>
      <c r="IM17" s="414"/>
      <c r="IN17" s="414"/>
      <c r="IO17" s="414"/>
      <c r="IP17" s="414"/>
      <c r="IQ17" s="414"/>
      <c r="IR17" s="414"/>
      <c r="IS17" s="414"/>
      <c r="IT17" s="414"/>
      <c r="IU17" s="414"/>
      <c r="IV17" s="414"/>
      <c r="IW17" s="414"/>
      <c r="IX17" s="414"/>
      <c r="IY17" s="414"/>
      <c r="IZ17" s="414"/>
      <c r="JA17" s="414"/>
      <c r="JB17" s="414"/>
      <c r="JC17" s="414"/>
      <c r="JD17" s="414"/>
      <c r="JE17" s="414"/>
      <c r="JF17" s="414"/>
      <c r="JG17" s="414"/>
      <c r="JH17" s="414"/>
      <c r="JI17" s="414"/>
      <c r="JJ17" s="414"/>
      <c r="JK17" s="414"/>
      <c r="JL17" s="414"/>
      <c r="JM17" s="414"/>
      <c r="JN17" s="414"/>
      <c r="JO17" s="414"/>
      <c r="JP17" s="414"/>
      <c r="JQ17" s="414"/>
      <c r="JR17" s="414"/>
      <c r="JS17" s="414"/>
      <c r="JT17" s="414"/>
      <c r="JU17" s="414"/>
      <c r="JV17" s="414"/>
      <c r="JW17" s="414"/>
      <c r="JX17" s="414"/>
      <c r="JY17" s="414"/>
      <c r="JZ17" s="414"/>
      <c r="KA17" s="414"/>
      <c r="KB17" s="414"/>
      <c r="KC17" s="414"/>
      <c r="KD17" s="414"/>
      <c r="KE17" s="414"/>
      <c r="KF17" s="414"/>
      <c r="KG17" s="414"/>
      <c r="KH17" s="414"/>
      <c r="KI17" s="414"/>
      <c r="KJ17" s="414"/>
      <c r="KK17" s="414"/>
      <c r="KL17" s="414"/>
      <c r="KM17" s="414"/>
      <c r="KN17" s="414"/>
      <c r="KO17" s="414"/>
      <c r="KP17" s="414"/>
      <c r="KQ17" s="414"/>
      <c r="KR17" s="414"/>
      <c r="KS17" s="414"/>
      <c r="KT17" s="414"/>
      <c r="KU17" s="414"/>
      <c r="KV17" s="414"/>
      <c r="KW17" s="414"/>
      <c r="KX17" s="414"/>
      <c r="KY17" s="414"/>
      <c r="KZ17" s="414"/>
      <c r="LA17" s="414"/>
      <c r="LB17" s="414"/>
      <c r="LC17" s="414"/>
      <c r="LD17" s="414"/>
      <c r="LE17" s="414"/>
      <c r="LF17" s="414"/>
      <c r="LG17" s="414"/>
      <c r="LH17" s="414"/>
      <c r="LI17" s="414"/>
      <c r="LJ17" s="414"/>
      <c r="LK17" s="414"/>
      <c r="LL17" s="414"/>
      <c r="LM17" s="414"/>
      <c r="LN17" s="414"/>
      <c r="LO17" s="414"/>
      <c r="LP17" s="414"/>
      <c r="LQ17" s="414"/>
      <c r="LR17" s="414"/>
      <c r="LS17" s="414"/>
      <c r="LT17" s="414"/>
      <c r="LU17" s="414"/>
      <c r="LV17" s="414"/>
      <c r="LW17" s="414"/>
      <c r="LX17" s="414"/>
      <c r="LY17" s="414"/>
      <c r="LZ17" s="414"/>
      <c r="MA17" s="414"/>
      <c r="MB17" s="414"/>
      <c r="MC17" s="414"/>
      <c r="MD17" s="414"/>
      <c r="ME17" s="414"/>
      <c r="MF17" s="414"/>
      <c r="MG17" s="414"/>
      <c r="MH17" s="414"/>
      <c r="MI17" s="414"/>
      <c r="MJ17" s="414"/>
      <c r="MK17" s="414"/>
      <c r="ML17" s="414"/>
      <c r="MM17" s="414"/>
      <c r="MN17" s="414"/>
      <c r="MO17" s="414"/>
      <c r="MP17" s="414"/>
      <c r="MQ17" s="414"/>
      <c r="MR17" s="414"/>
      <c r="MS17" s="414"/>
      <c r="MT17" s="414"/>
      <c r="MU17" s="414"/>
      <c r="MV17" s="414"/>
      <c r="MW17" s="414"/>
      <c r="MX17" s="414"/>
      <c r="MY17" s="414"/>
      <c r="MZ17" s="414"/>
      <c r="NA17" s="414"/>
      <c r="NB17" s="414"/>
      <c r="NC17" s="414"/>
      <c r="ND17" s="414"/>
      <c r="NE17" s="414"/>
      <c r="NF17" s="414"/>
      <c r="NG17" s="414"/>
      <c r="NH17" s="414"/>
      <c r="NI17" s="414"/>
      <c r="NJ17" s="414"/>
      <c r="NK17" s="414"/>
      <c r="NL17" s="414"/>
      <c r="NM17" s="414"/>
      <c r="NN17" s="414"/>
      <c r="NO17" s="414"/>
      <c r="NP17" s="414"/>
      <c r="NQ17" s="414"/>
      <c r="NR17" s="414"/>
      <c r="NS17" s="414"/>
      <c r="NT17" s="414"/>
      <c r="NU17" s="414"/>
      <c r="NV17" s="414"/>
      <c r="NW17" s="414"/>
      <c r="NX17" s="414"/>
      <c r="NY17" s="414"/>
      <c r="NZ17" s="414"/>
      <c r="OA17" s="414"/>
      <c r="OB17" s="414"/>
      <c r="OC17" s="414"/>
      <c r="OD17" s="414"/>
      <c r="OE17" s="414"/>
      <c r="OF17" s="414"/>
      <c r="OG17" s="414"/>
      <c r="OH17" s="414"/>
      <c r="OI17" s="414"/>
      <c r="OJ17" s="414"/>
      <c r="OK17" s="414"/>
      <c r="OL17" s="414"/>
      <c r="OM17" s="414"/>
      <c r="ON17" s="414"/>
      <c r="OO17" s="414"/>
      <c r="OP17" s="414"/>
      <c r="OQ17" s="414"/>
      <c r="OR17" s="414"/>
      <c r="OS17" s="414"/>
      <c r="OT17" s="414"/>
      <c r="OU17" s="414"/>
      <c r="OV17" s="414"/>
      <c r="OW17" s="414"/>
      <c r="OX17" s="414"/>
      <c r="OY17" s="414"/>
      <c r="OZ17" s="414"/>
      <c r="PA17" s="414"/>
      <c r="PB17" s="414"/>
      <c r="PC17" s="414"/>
      <c r="PD17" s="414"/>
      <c r="PE17" s="414"/>
      <c r="PF17" s="414"/>
      <c r="PG17" s="414"/>
      <c r="PH17" s="414"/>
      <c r="PI17" s="414"/>
      <c r="PJ17" s="414"/>
      <c r="PK17" s="414"/>
      <c r="PL17" s="414"/>
      <c r="PM17" s="414"/>
      <c r="PN17" s="414"/>
      <c r="PO17" s="414"/>
      <c r="PP17" s="414"/>
      <c r="PQ17" s="414"/>
      <c r="PR17" s="414"/>
      <c r="PS17" s="414"/>
      <c r="PT17" s="414"/>
      <c r="PU17" s="414"/>
      <c r="PV17" s="414"/>
      <c r="PW17" s="414"/>
      <c r="PX17" s="414"/>
      <c r="PY17" s="414"/>
      <c r="PZ17" s="414"/>
      <c r="QA17" s="414"/>
      <c r="QB17" s="414"/>
      <c r="QC17" s="414"/>
      <c r="QD17" s="414"/>
      <c r="QE17" s="414"/>
      <c r="QF17" s="414"/>
      <c r="QG17" s="414"/>
      <c r="QH17" s="414"/>
      <c r="QI17" s="414"/>
      <c r="QJ17" s="414"/>
      <c r="QK17" s="414"/>
      <c r="QL17" s="414"/>
      <c r="QM17" s="414"/>
      <c r="QN17" s="414"/>
      <c r="QO17" s="414"/>
      <c r="QP17" s="414"/>
      <c r="QQ17" s="414"/>
      <c r="QR17" s="414"/>
      <c r="QS17" s="414"/>
      <c r="QT17" s="414"/>
      <c r="QU17" s="414"/>
      <c r="QV17" s="414"/>
      <c r="QW17" s="414"/>
      <c r="QX17" s="414"/>
      <c r="QY17" s="414"/>
      <c r="QZ17" s="414"/>
      <c r="RA17" s="414"/>
      <c r="RB17" s="414"/>
      <c r="RC17" s="414"/>
      <c r="RD17" s="414"/>
      <c r="RE17" s="414"/>
      <c r="RF17" s="414"/>
      <c r="RG17" s="414"/>
      <c r="RH17" s="414"/>
      <c r="RI17" s="414"/>
      <c r="RJ17" s="414"/>
      <c r="RK17" s="414"/>
      <c r="RL17" s="414"/>
      <c r="RM17" s="414"/>
      <c r="RN17" s="414"/>
      <c r="RO17" s="414"/>
      <c r="RP17" s="414"/>
      <c r="RQ17" s="414"/>
      <c r="RR17" s="414"/>
      <c r="RS17" s="414"/>
      <c r="RT17" s="414"/>
      <c r="RU17" s="414"/>
      <c r="RV17" s="414"/>
      <c r="RW17" s="414"/>
      <c r="RX17" s="414"/>
      <c r="RY17" s="414"/>
      <c r="RZ17" s="414"/>
      <c r="SA17" s="414"/>
      <c r="SB17" s="414"/>
      <c r="SC17" s="414"/>
      <c r="SD17" s="414"/>
      <c r="SE17" s="414"/>
      <c r="SF17" s="414"/>
      <c r="SG17" s="414"/>
      <c r="SH17" s="414"/>
      <c r="SI17" s="414"/>
      <c r="SJ17" s="414"/>
      <c r="SK17" s="414"/>
      <c r="SL17" s="414"/>
      <c r="SM17" s="414"/>
      <c r="SN17" s="414"/>
      <c r="SO17" s="414"/>
      <c r="SP17" s="414"/>
      <c r="SQ17" s="414"/>
      <c r="SR17" s="414"/>
      <c r="SS17" s="414"/>
      <c r="ST17" s="414"/>
      <c r="SU17" s="414"/>
      <c r="SV17" s="414"/>
      <c r="SW17" s="414"/>
      <c r="SX17" s="414"/>
      <c r="SY17" s="414"/>
      <c r="SZ17" s="414"/>
      <c r="TA17" s="414"/>
      <c r="TB17" s="414"/>
      <c r="TC17" s="414"/>
      <c r="TD17" s="414"/>
      <c r="TE17" s="414"/>
      <c r="TF17" s="414"/>
      <c r="TG17" s="414"/>
      <c r="TH17" s="414"/>
      <c r="TI17" s="414"/>
      <c r="TJ17" s="414"/>
      <c r="TK17" s="414"/>
      <c r="TL17" s="414"/>
      <c r="TM17" s="414"/>
      <c r="TN17" s="414"/>
      <c r="TO17" s="414"/>
      <c r="TP17" s="414"/>
      <c r="TQ17" s="414"/>
      <c r="TR17" s="414"/>
      <c r="TS17" s="414"/>
      <c r="TT17" s="414"/>
      <c r="TU17" s="414"/>
      <c r="TV17" s="414"/>
      <c r="TW17" s="414"/>
      <c r="TX17" s="414"/>
      <c r="TY17" s="414"/>
      <c r="TZ17" s="414"/>
      <c r="UA17" s="414"/>
      <c r="UB17" s="414"/>
      <c r="UC17" s="414"/>
      <c r="UD17" s="414"/>
      <c r="UE17" s="414"/>
      <c r="UF17" s="414"/>
      <c r="UG17" s="414"/>
      <c r="UH17" s="414"/>
      <c r="UI17" s="414"/>
      <c r="UJ17" s="414"/>
      <c r="UK17" s="414"/>
      <c r="UL17" s="414"/>
      <c r="UM17" s="414"/>
      <c r="UN17" s="414"/>
      <c r="UO17" s="414"/>
      <c r="UP17" s="414"/>
      <c r="UQ17" s="414"/>
      <c r="UR17" s="414"/>
      <c r="US17" s="414"/>
      <c r="UT17" s="414"/>
      <c r="UU17" s="414"/>
      <c r="UV17" s="414"/>
      <c r="UW17" s="414"/>
      <c r="UX17" s="414"/>
      <c r="UY17" s="414"/>
      <c r="UZ17" s="414"/>
      <c r="VA17" s="414"/>
      <c r="VB17" s="414"/>
      <c r="VC17" s="414"/>
      <c r="VD17" s="414"/>
      <c r="VE17" s="414"/>
      <c r="VF17" s="414"/>
      <c r="VG17" s="414"/>
      <c r="VH17" s="414"/>
      <c r="VI17" s="414"/>
      <c r="VJ17" s="414"/>
      <c r="VK17" s="414"/>
      <c r="VL17" s="414"/>
      <c r="VM17" s="414"/>
      <c r="VN17" s="414"/>
      <c r="VO17" s="414"/>
      <c r="VP17" s="414"/>
      <c r="VQ17" s="414"/>
      <c r="VR17" s="414"/>
      <c r="VS17" s="414"/>
      <c r="VT17" s="414"/>
      <c r="VU17" s="414"/>
      <c r="VV17" s="414"/>
      <c r="VW17" s="414"/>
      <c r="VX17" s="414"/>
      <c r="VY17" s="414"/>
      <c r="VZ17" s="414"/>
      <c r="WA17" s="414"/>
      <c r="WB17" s="414"/>
      <c r="WC17" s="414"/>
      <c r="WD17" s="414"/>
      <c r="WE17" s="414"/>
      <c r="WF17" s="414"/>
      <c r="WG17" s="414"/>
      <c r="WH17" s="414"/>
      <c r="WI17" s="414"/>
      <c r="WJ17" s="414"/>
      <c r="WK17" s="414"/>
      <c r="WL17" s="414"/>
      <c r="WM17" s="414"/>
      <c r="WN17" s="414"/>
      <c r="WO17" s="414"/>
      <c r="WP17" s="414"/>
      <c r="WQ17" s="414"/>
      <c r="WR17" s="414"/>
      <c r="WS17" s="414"/>
      <c r="WT17" s="414"/>
      <c r="WU17" s="414"/>
      <c r="WV17" s="414"/>
      <c r="WW17" s="414"/>
      <c r="WX17" s="414"/>
      <c r="WY17" s="414"/>
      <c r="WZ17" s="414"/>
      <c r="XA17" s="414"/>
      <c r="XB17" s="414"/>
      <c r="XC17" s="414"/>
      <c r="XD17" s="414"/>
      <c r="XE17" s="414"/>
      <c r="XF17" s="414"/>
      <c r="XG17" s="414"/>
      <c r="XH17" s="414"/>
      <c r="XI17" s="414"/>
      <c r="XJ17" s="414"/>
      <c r="XK17" s="414"/>
      <c r="XL17" s="414"/>
      <c r="XM17" s="414"/>
      <c r="XN17" s="414"/>
      <c r="XO17" s="414"/>
      <c r="XP17" s="414"/>
      <c r="XQ17" s="414"/>
      <c r="XR17" s="414"/>
      <c r="XS17" s="414"/>
      <c r="XT17" s="414"/>
      <c r="XU17" s="414"/>
      <c r="XV17" s="414"/>
      <c r="XW17" s="414"/>
      <c r="XX17" s="414"/>
      <c r="XY17" s="414"/>
      <c r="XZ17" s="414"/>
      <c r="YA17" s="414"/>
      <c r="YB17" s="414"/>
      <c r="YC17" s="414"/>
      <c r="YD17" s="414"/>
      <c r="YE17" s="414"/>
      <c r="YF17" s="414"/>
      <c r="YG17" s="414"/>
      <c r="YH17" s="414"/>
      <c r="YI17" s="414"/>
      <c r="YJ17" s="414"/>
      <c r="YK17" s="414"/>
      <c r="YL17" s="414"/>
      <c r="YM17" s="414"/>
      <c r="YN17" s="414"/>
      <c r="YO17" s="414"/>
      <c r="YP17" s="414"/>
      <c r="YQ17" s="414"/>
      <c r="YR17" s="414"/>
      <c r="YS17" s="414"/>
      <c r="YT17" s="414"/>
      <c r="YU17" s="414"/>
      <c r="YV17" s="414"/>
      <c r="YW17" s="414"/>
      <c r="YX17" s="414"/>
      <c r="YY17" s="414"/>
      <c r="YZ17" s="414"/>
      <c r="ZA17" s="414"/>
      <c r="ZB17" s="414"/>
      <c r="ZC17" s="414"/>
      <c r="ZD17" s="414"/>
      <c r="ZE17" s="414"/>
      <c r="ZF17" s="414"/>
      <c r="ZG17" s="414"/>
      <c r="ZH17" s="414"/>
      <c r="ZI17" s="414"/>
      <c r="ZJ17" s="414"/>
      <c r="ZK17" s="414"/>
      <c r="ZL17" s="414"/>
      <c r="ZM17" s="414"/>
      <c r="ZN17" s="414"/>
      <c r="ZO17" s="414"/>
      <c r="ZP17" s="414"/>
      <c r="ZQ17" s="414"/>
      <c r="ZR17" s="414"/>
      <c r="ZS17" s="414"/>
      <c r="ZT17" s="414"/>
      <c r="ZU17" s="414"/>
      <c r="ZV17" s="414"/>
      <c r="ZW17" s="414"/>
      <c r="ZX17" s="414"/>
      <c r="ZY17" s="414"/>
      <c r="ZZ17" s="414"/>
      <c r="AAA17" s="414"/>
      <c r="AAB17" s="414"/>
      <c r="AAC17" s="414"/>
      <c r="AAD17" s="414"/>
      <c r="AAE17" s="414"/>
      <c r="AAF17" s="414"/>
      <c r="AAG17" s="414"/>
      <c r="AAH17" s="414"/>
      <c r="AAI17" s="414"/>
      <c r="AAJ17" s="414"/>
      <c r="AAK17" s="414"/>
      <c r="AAL17" s="414"/>
      <c r="AAM17" s="414"/>
      <c r="AAN17" s="414"/>
      <c r="AAO17" s="414"/>
      <c r="AAP17" s="414"/>
      <c r="AAQ17" s="414"/>
      <c r="AAR17" s="414"/>
      <c r="AAS17" s="414"/>
      <c r="AAT17" s="414"/>
      <c r="AAU17" s="414"/>
      <c r="AAV17" s="414"/>
      <c r="AAW17" s="414"/>
      <c r="AAX17" s="414"/>
      <c r="AAY17" s="414"/>
      <c r="AAZ17" s="414"/>
      <c r="ABA17" s="414"/>
      <c r="ABB17" s="414"/>
      <c r="ABC17" s="414"/>
      <c r="ABD17" s="414"/>
      <c r="ABE17" s="414"/>
      <c r="ABF17" s="414"/>
      <c r="ABG17" s="414"/>
      <c r="ABH17" s="414"/>
      <c r="ABI17" s="414"/>
      <c r="ABJ17" s="414"/>
      <c r="ABK17" s="414"/>
      <c r="ABL17" s="414"/>
      <c r="ABM17" s="414"/>
      <c r="ABN17" s="414"/>
      <c r="ABO17" s="414"/>
      <c r="ABP17" s="414"/>
      <c r="ABQ17" s="414"/>
      <c r="ABR17" s="414"/>
      <c r="ABS17" s="414"/>
      <c r="ABT17" s="414"/>
      <c r="ABU17" s="414"/>
      <c r="ABV17" s="414"/>
      <c r="ABW17" s="414"/>
      <c r="ABX17" s="414"/>
      <c r="ABY17" s="414"/>
      <c r="ABZ17" s="414"/>
      <c r="ACA17" s="414"/>
      <c r="ACB17" s="414"/>
      <c r="ACC17" s="414"/>
      <c r="ACD17" s="414"/>
      <c r="ACE17" s="414"/>
      <c r="ACF17" s="414"/>
      <c r="ACG17" s="414"/>
      <c r="ACH17" s="414"/>
      <c r="ACI17" s="414"/>
      <c r="ACJ17" s="414"/>
      <c r="ACK17" s="414"/>
      <c r="ACL17" s="414"/>
      <c r="ACM17" s="414"/>
      <c r="ACN17" s="414"/>
      <c r="ACO17" s="414"/>
      <c r="ACP17" s="414"/>
      <c r="ACQ17" s="414"/>
      <c r="ACR17" s="414"/>
      <c r="ACS17" s="414"/>
      <c r="ACT17" s="414"/>
      <c r="ACU17" s="414"/>
      <c r="ACV17" s="414"/>
      <c r="ACW17" s="414"/>
      <c r="ACX17" s="414"/>
      <c r="ACY17" s="414"/>
      <c r="ACZ17" s="414"/>
      <c r="ADA17" s="414"/>
      <c r="ADB17" s="414"/>
      <c r="ADC17" s="414"/>
      <c r="ADD17" s="414"/>
      <c r="ADE17" s="414"/>
      <c r="ADF17" s="414"/>
      <c r="ADG17" s="414"/>
      <c r="ADH17" s="414"/>
      <c r="ADI17" s="414"/>
      <c r="ADJ17" s="414"/>
      <c r="ADK17" s="414"/>
      <c r="ADL17" s="414"/>
      <c r="ADM17" s="414"/>
      <c r="ADN17" s="414"/>
      <c r="ADO17" s="414"/>
      <c r="ADP17" s="414"/>
      <c r="ADQ17" s="414"/>
      <c r="ADR17" s="414"/>
      <c r="ADS17" s="414"/>
      <c r="ADT17" s="414"/>
      <c r="ADU17" s="414"/>
      <c r="ADV17" s="414"/>
      <c r="ADW17" s="414"/>
      <c r="ADX17" s="414"/>
      <c r="ADY17" s="414"/>
      <c r="ADZ17" s="414"/>
      <c r="AEA17" s="414"/>
      <c r="AEB17" s="414"/>
      <c r="AEC17" s="414"/>
      <c r="AED17" s="414"/>
      <c r="AEE17" s="414"/>
      <c r="AEF17" s="414"/>
      <c r="AEG17" s="414"/>
      <c r="AEH17" s="414"/>
      <c r="AEI17" s="414"/>
      <c r="AEJ17" s="414"/>
      <c r="AEK17" s="414"/>
      <c r="AEL17" s="414"/>
      <c r="AEM17" s="414"/>
      <c r="AEN17" s="414"/>
      <c r="AEO17" s="414"/>
      <c r="AEP17" s="414"/>
      <c r="AEQ17" s="414"/>
      <c r="AER17" s="414"/>
      <c r="AES17" s="414"/>
      <c r="AET17" s="414"/>
      <c r="AEU17" s="414"/>
      <c r="AEV17" s="414"/>
      <c r="AEW17" s="414"/>
      <c r="AEX17" s="414"/>
      <c r="AEY17" s="414"/>
      <c r="AEZ17" s="414"/>
      <c r="AFA17" s="414"/>
      <c r="AFB17" s="414"/>
      <c r="AFC17" s="414"/>
      <c r="AFD17" s="414"/>
      <c r="AFE17" s="414"/>
      <c r="AFF17" s="414"/>
      <c r="AFG17" s="414"/>
      <c r="AFH17" s="414"/>
      <c r="AFI17" s="414"/>
      <c r="AFJ17" s="414"/>
      <c r="AFK17" s="414"/>
      <c r="AFL17" s="414"/>
      <c r="AFM17" s="414"/>
      <c r="AFN17" s="414"/>
      <c r="AFO17" s="414"/>
      <c r="AFP17" s="414"/>
      <c r="AFQ17" s="414"/>
      <c r="AFR17" s="414"/>
      <c r="AFS17" s="414"/>
      <c r="AFT17" s="414"/>
      <c r="AFU17" s="414"/>
      <c r="AFV17" s="414"/>
      <c r="AFW17" s="414"/>
      <c r="AFX17" s="414"/>
      <c r="AFY17" s="414"/>
      <c r="AFZ17" s="414"/>
      <c r="AGA17" s="414"/>
      <c r="AGB17" s="414"/>
      <c r="AGC17" s="414"/>
      <c r="AGD17" s="414"/>
      <c r="AGE17" s="414"/>
      <c r="AGF17" s="414"/>
      <c r="AGG17" s="414"/>
      <c r="AGH17" s="414"/>
      <c r="AGI17" s="414"/>
      <c r="AGJ17" s="414"/>
      <c r="AGK17" s="414"/>
      <c r="AGL17" s="414"/>
      <c r="AGM17" s="414"/>
      <c r="AGN17" s="414"/>
      <c r="AGO17" s="414"/>
      <c r="AGP17" s="414"/>
      <c r="AGQ17" s="414"/>
      <c r="AGR17" s="414"/>
      <c r="AGS17" s="414"/>
      <c r="AGT17" s="414"/>
      <c r="AGU17" s="414"/>
      <c r="AGV17" s="414"/>
      <c r="AGW17" s="414"/>
      <c r="AGX17" s="414"/>
      <c r="AGY17" s="414"/>
      <c r="AGZ17" s="414"/>
      <c r="AHA17" s="414"/>
      <c r="AHB17" s="414"/>
      <c r="AHC17" s="414"/>
      <c r="AHD17" s="414"/>
      <c r="AHE17" s="414"/>
      <c r="AHF17" s="414"/>
      <c r="AHG17" s="414"/>
      <c r="AHH17" s="414"/>
      <c r="AHI17" s="414"/>
      <c r="AHJ17" s="414"/>
      <c r="AHK17" s="414"/>
      <c r="AHL17" s="414"/>
      <c r="AHM17" s="414"/>
      <c r="AHN17" s="414"/>
      <c r="AHO17" s="414"/>
      <c r="AHP17" s="414"/>
      <c r="AHQ17" s="414"/>
      <c r="AHR17" s="414"/>
      <c r="AHS17" s="414"/>
      <c r="AHT17" s="414"/>
      <c r="AHU17" s="414"/>
      <c r="AHV17" s="414"/>
      <c r="AHW17" s="414"/>
      <c r="AHX17" s="414"/>
      <c r="AHY17" s="414"/>
      <c r="AHZ17" s="414"/>
      <c r="AIA17" s="414"/>
      <c r="AIB17" s="414"/>
      <c r="AIC17" s="414"/>
      <c r="AID17" s="414"/>
      <c r="AIE17" s="414"/>
      <c r="AIF17" s="414"/>
      <c r="AIG17" s="414"/>
      <c r="AIH17" s="414"/>
      <c r="AII17" s="414"/>
      <c r="AIJ17" s="414"/>
      <c r="AIK17" s="414"/>
      <c r="AIL17" s="414"/>
      <c r="AIM17" s="414"/>
      <c r="AIN17" s="414"/>
      <c r="AIO17" s="414"/>
      <c r="AIP17" s="414"/>
      <c r="AIQ17" s="414"/>
      <c r="AIR17" s="414"/>
      <c r="AIS17" s="414"/>
      <c r="AIT17" s="414"/>
      <c r="AIU17" s="414"/>
      <c r="AIV17" s="414"/>
      <c r="AIW17" s="414"/>
      <c r="AIX17" s="414"/>
      <c r="AIY17" s="414"/>
      <c r="AIZ17" s="414"/>
      <c r="AJA17" s="414"/>
      <c r="AJB17" s="414"/>
      <c r="AJC17" s="414"/>
      <c r="AJD17" s="414"/>
      <c r="AJE17" s="414"/>
      <c r="AJF17" s="414"/>
      <c r="AJG17" s="414"/>
      <c r="AJH17" s="414"/>
      <c r="AJI17" s="414"/>
      <c r="AJJ17" s="414"/>
      <c r="AJK17" s="414"/>
      <c r="AJL17" s="414"/>
      <c r="AJM17" s="414"/>
      <c r="AJN17" s="414"/>
      <c r="AJO17" s="414"/>
      <c r="AJP17" s="414"/>
      <c r="AJQ17" s="414"/>
      <c r="AJR17" s="414"/>
      <c r="AJS17" s="414"/>
      <c r="AJT17" s="414"/>
      <c r="AJU17" s="414"/>
      <c r="AJV17" s="414"/>
      <c r="AJW17" s="414"/>
      <c r="AJX17" s="414"/>
      <c r="AJY17" s="414"/>
      <c r="AJZ17" s="414"/>
      <c r="AKA17" s="414"/>
      <c r="AKB17" s="414"/>
      <c r="AKC17" s="414"/>
      <c r="AKD17" s="414"/>
      <c r="AKE17" s="414"/>
      <c r="AKF17" s="414"/>
      <c r="AKG17" s="414"/>
      <c r="AKH17" s="414"/>
      <c r="AKI17" s="414"/>
      <c r="AKJ17" s="414"/>
      <c r="AKK17" s="414"/>
      <c r="AKL17" s="414"/>
      <c r="AKM17" s="414"/>
      <c r="AKN17" s="414"/>
      <c r="AKO17" s="414"/>
      <c r="AKP17" s="414"/>
      <c r="AKQ17" s="414"/>
      <c r="AKR17" s="414"/>
      <c r="AKS17" s="414"/>
      <c r="AKT17" s="414"/>
      <c r="AKU17" s="414"/>
      <c r="AKV17" s="414"/>
      <c r="AKW17" s="414"/>
      <c r="AKX17" s="414"/>
      <c r="AKY17" s="414"/>
      <c r="AKZ17" s="414"/>
      <c r="ALA17" s="414"/>
      <c r="ALB17" s="414"/>
      <c r="ALC17" s="414"/>
      <c r="ALD17" s="414"/>
      <c r="ALE17" s="414"/>
      <c r="ALF17" s="414"/>
      <c r="ALG17" s="414"/>
      <c r="ALH17" s="414"/>
      <c r="ALI17" s="414"/>
      <c r="ALJ17" s="414"/>
      <c r="ALK17" s="414"/>
      <c r="ALL17" s="414"/>
      <c r="ALM17" s="414"/>
      <c r="ALN17" s="414"/>
      <c r="ALO17" s="414"/>
      <c r="ALP17" s="414"/>
      <c r="ALQ17" s="414"/>
      <c r="ALR17" s="414"/>
      <c r="ALS17" s="414"/>
      <c r="ALT17" s="414"/>
      <c r="ALU17" s="414"/>
      <c r="ALV17" s="414"/>
      <c r="ALW17" s="414"/>
      <c r="ALX17" s="414"/>
      <c r="ALY17" s="414"/>
      <c r="ALZ17" s="414"/>
      <c r="AMA17" s="414"/>
      <c r="AMB17" s="414"/>
      <c r="AMC17" s="414"/>
      <c r="AMD17" s="414"/>
      <c r="AME17" s="414"/>
      <c r="AMF17" s="414"/>
      <c r="AMG17" s="414"/>
      <c r="AMH17" s="414"/>
      <c r="AMI17" s="414"/>
      <c r="AMJ17" s="414"/>
      <c r="AMK17" s="414"/>
      <c r="AML17" s="414"/>
      <c r="AMM17" s="414"/>
      <c r="AMN17" s="414"/>
      <c r="AMO17" s="414"/>
      <c r="AMP17" s="414"/>
      <c r="AMQ17" s="414"/>
      <c r="AMR17" s="414"/>
      <c r="AMS17" s="414"/>
      <c r="AMT17" s="414"/>
      <c r="AMU17" s="414"/>
      <c r="AMV17" s="414"/>
      <c r="AMW17" s="414"/>
      <c r="AMX17" s="414"/>
      <c r="AMY17" s="414"/>
      <c r="AMZ17" s="414"/>
      <c r="ANA17" s="414"/>
      <c r="ANB17" s="414"/>
      <c r="ANC17" s="414"/>
      <c r="AND17" s="414"/>
      <c r="ANE17" s="414"/>
      <c r="ANF17" s="414"/>
      <c r="ANG17" s="414"/>
      <c r="ANH17" s="414"/>
      <c r="ANI17" s="414"/>
      <c r="ANJ17" s="414"/>
      <c r="ANK17" s="414"/>
      <c r="ANL17" s="414"/>
      <c r="ANM17" s="414"/>
      <c r="ANN17" s="414"/>
      <c r="ANO17" s="414"/>
      <c r="ANP17" s="414"/>
      <c r="ANQ17" s="414"/>
      <c r="ANR17" s="414"/>
      <c r="ANS17" s="414"/>
      <c r="ANT17" s="414"/>
      <c r="ANU17" s="414"/>
      <c r="ANV17" s="414"/>
      <c r="ANW17" s="414"/>
      <c r="ANX17" s="414"/>
      <c r="ANY17" s="414"/>
      <c r="ANZ17" s="414"/>
      <c r="AOA17" s="414"/>
      <c r="AOB17" s="414"/>
      <c r="AOC17" s="414"/>
      <c r="AOD17" s="414"/>
      <c r="AOE17" s="414"/>
      <c r="AOF17" s="414"/>
      <c r="AOG17" s="414"/>
      <c r="AOH17" s="414"/>
      <c r="AOI17" s="414"/>
      <c r="AOJ17" s="414"/>
      <c r="AOK17" s="414"/>
      <c r="AOL17" s="414"/>
      <c r="AOM17" s="414"/>
      <c r="AON17" s="414"/>
      <c r="AOO17" s="414"/>
      <c r="AOP17" s="414"/>
      <c r="AOQ17" s="414"/>
      <c r="AOR17" s="414"/>
      <c r="AOS17" s="414"/>
      <c r="AOT17" s="414"/>
      <c r="AOU17" s="414"/>
      <c r="AOV17" s="414"/>
      <c r="AOW17" s="414"/>
      <c r="AOX17" s="414"/>
      <c r="AOY17" s="414"/>
      <c r="AOZ17" s="414"/>
      <c r="APA17" s="414"/>
      <c r="APB17" s="414"/>
      <c r="APC17" s="414"/>
      <c r="APD17" s="414"/>
      <c r="APE17" s="414"/>
      <c r="APF17" s="414"/>
      <c r="APG17" s="414"/>
      <c r="APH17" s="414"/>
      <c r="API17" s="414"/>
      <c r="APJ17" s="414"/>
      <c r="APK17" s="414"/>
      <c r="APL17" s="414"/>
      <c r="APM17" s="414"/>
      <c r="APN17" s="414"/>
      <c r="APO17" s="414"/>
      <c r="APP17" s="414"/>
      <c r="APQ17" s="414"/>
      <c r="APR17" s="414"/>
      <c r="APS17" s="414"/>
      <c r="APT17" s="414"/>
      <c r="APU17" s="414"/>
      <c r="APV17" s="414"/>
      <c r="APW17" s="414"/>
      <c r="APX17" s="414"/>
      <c r="APY17" s="414"/>
      <c r="APZ17" s="414"/>
      <c r="AQA17" s="414"/>
      <c r="AQB17" s="414"/>
      <c r="AQC17" s="414"/>
      <c r="AQD17" s="414"/>
      <c r="AQE17" s="414"/>
      <c r="AQF17" s="414"/>
      <c r="AQG17" s="414"/>
      <c r="AQH17" s="414"/>
      <c r="AQI17" s="414"/>
      <c r="AQJ17" s="414"/>
      <c r="AQK17" s="414"/>
      <c r="AQL17" s="414"/>
      <c r="AQM17" s="414"/>
      <c r="AQN17" s="414"/>
      <c r="AQO17" s="414"/>
      <c r="AQP17" s="414"/>
      <c r="AQQ17" s="414"/>
      <c r="AQR17" s="414"/>
      <c r="AQS17" s="414"/>
      <c r="AQT17" s="414"/>
      <c r="AQU17" s="414"/>
      <c r="AQV17" s="414"/>
      <c r="AQW17" s="414"/>
      <c r="AQX17" s="414"/>
      <c r="AQY17" s="414"/>
      <c r="AQZ17" s="414"/>
      <c r="ARA17" s="414"/>
      <c r="ARB17" s="414"/>
      <c r="ARC17" s="414"/>
      <c r="ARD17" s="414"/>
      <c r="ARE17" s="414"/>
      <c r="ARF17" s="414"/>
      <c r="ARG17" s="414"/>
      <c r="ARH17" s="414"/>
      <c r="ARI17" s="414"/>
      <c r="ARJ17" s="414"/>
      <c r="ARK17" s="414"/>
      <c r="ARL17" s="414"/>
      <c r="ARM17" s="414"/>
      <c r="ARN17" s="414"/>
      <c r="ARO17" s="414"/>
      <c r="ARP17" s="414"/>
      <c r="ARQ17" s="414"/>
      <c r="ARR17" s="414"/>
      <c r="ARS17" s="414"/>
      <c r="ART17" s="414"/>
      <c r="ARU17" s="414"/>
      <c r="ARV17" s="414"/>
      <c r="ARW17" s="414"/>
      <c r="ARX17" s="414"/>
      <c r="ARY17" s="414"/>
      <c r="ARZ17" s="414"/>
      <c r="ASA17" s="414"/>
      <c r="ASB17" s="414"/>
      <c r="ASC17" s="414"/>
      <c r="ASD17" s="414"/>
      <c r="ASE17" s="414"/>
      <c r="ASF17" s="414"/>
      <c r="ASG17" s="414"/>
      <c r="ASH17" s="414"/>
      <c r="ASI17" s="414"/>
      <c r="ASJ17" s="414"/>
      <c r="ASK17" s="414"/>
      <c r="ASL17" s="414"/>
      <c r="ASM17" s="414"/>
      <c r="ASN17" s="414"/>
      <c r="ASO17" s="414"/>
      <c r="ASP17" s="414"/>
      <c r="ASQ17" s="414"/>
      <c r="ASR17" s="414"/>
      <c r="ASS17" s="414"/>
      <c r="AST17" s="414"/>
      <c r="ASU17" s="414"/>
      <c r="ASV17" s="414"/>
      <c r="ASW17" s="414"/>
      <c r="ASX17" s="414"/>
      <c r="ASY17" s="414"/>
      <c r="ASZ17" s="414"/>
      <c r="ATA17" s="414"/>
      <c r="ATB17" s="414"/>
      <c r="ATC17" s="414"/>
      <c r="ATD17" s="414"/>
      <c r="ATE17" s="414"/>
      <c r="ATF17" s="414"/>
      <c r="ATG17" s="414"/>
      <c r="ATH17" s="414"/>
      <c r="ATI17" s="414"/>
      <c r="ATJ17" s="414"/>
      <c r="ATK17" s="414"/>
      <c r="ATL17" s="414"/>
      <c r="ATM17" s="414"/>
      <c r="ATN17" s="414"/>
      <c r="ATO17" s="414"/>
      <c r="ATP17" s="414"/>
      <c r="ATQ17" s="414"/>
      <c r="ATR17" s="414"/>
      <c r="ATS17" s="414"/>
      <c r="ATT17" s="414"/>
      <c r="ATU17" s="414"/>
      <c r="ATV17" s="414"/>
      <c r="ATW17" s="414"/>
      <c r="ATX17" s="414"/>
      <c r="ATY17" s="414"/>
      <c r="ATZ17" s="414"/>
      <c r="AUA17" s="414"/>
      <c r="AUB17" s="414"/>
      <c r="AUC17" s="414"/>
      <c r="AUD17" s="414"/>
      <c r="AUE17" s="414"/>
      <c r="AUF17" s="414"/>
      <c r="AUG17" s="414"/>
      <c r="AUH17" s="414"/>
      <c r="AUI17" s="414"/>
      <c r="AUJ17" s="414"/>
      <c r="AUK17" s="414"/>
      <c r="AUL17" s="414"/>
      <c r="AUM17" s="414"/>
      <c r="AUN17" s="414"/>
      <c r="AUO17" s="414"/>
      <c r="AUP17" s="414"/>
      <c r="AUQ17" s="414"/>
      <c r="AUR17" s="414"/>
      <c r="AUS17" s="414"/>
      <c r="AUT17" s="414"/>
      <c r="AUU17" s="414"/>
      <c r="AUV17" s="414"/>
      <c r="AUW17" s="414"/>
      <c r="AUX17" s="414"/>
      <c r="AUY17" s="414"/>
      <c r="AUZ17" s="414"/>
      <c r="AVA17" s="414"/>
      <c r="AVB17" s="414"/>
      <c r="AVC17" s="414"/>
      <c r="AVD17" s="414"/>
      <c r="AVE17" s="414"/>
      <c r="AVF17" s="414"/>
      <c r="AVG17" s="414"/>
      <c r="AVH17" s="414"/>
      <c r="AVI17" s="414"/>
      <c r="AVJ17" s="414"/>
      <c r="AVK17" s="414"/>
      <c r="AVL17" s="414"/>
      <c r="AVM17" s="414"/>
      <c r="AVN17" s="414"/>
      <c r="AVO17" s="414"/>
      <c r="AVP17" s="414"/>
      <c r="AVQ17" s="414"/>
      <c r="AVR17" s="414"/>
      <c r="AVS17" s="414"/>
      <c r="AVT17" s="414"/>
      <c r="AVU17" s="414"/>
      <c r="AVV17" s="414"/>
      <c r="AVW17" s="414"/>
      <c r="AVX17" s="414"/>
      <c r="AVY17" s="414"/>
      <c r="AVZ17" s="414"/>
      <c r="AWA17" s="414"/>
      <c r="AWB17" s="414"/>
      <c r="AWC17" s="414"/>
      <c r="AWD17" s="414"/>
      <c r="AWE17" s="414"/>
      <c r="AWF17" s="414"/>
      <c r="AWG17" s="414"/>
      <c r="AWH17" s="414"/>
      <c r="AWI17" s="414"/>
      <c r="AWJ17" s="414"/>
      <c r="AWK17" s="414"/>
      <c r="AWL17" s="414"/>
      <c r="AWM17" s="414"/>
      <c r="AWN17" s="414"/>
      <c r="AWO17" s="414"/>
      <c r="AWP17" s="414"/>
      <c r="AWQ17" s="414"/>
      <c r="AWR17" s="414"/>
      <c r="AWS17" s="414"/>
      <c r="AWT17" s="414"/>
      <c r="AWU17" s="414"/>
      <c r="AWV17" s="414"/>
      <c r="AWW17" s="414"/>
      <c r="AWX17" s="414"/>
      <c r="AWY17" s="414"/>
      <c r="AWZ17" s="414"/>
      <c r="AXA17" s="414"/>
      <c r="AXB17" s="414"/>
      <c r="AXC17" s="414"/>
      <c r="AXD17" s="414"/>
      <c r="AXE17" s="414"/>
      <c r="AXF17" s="414"/>
      <c r="AXG17" s="414"/>
      <c r="AXH17" s="414"/>
      <c r="AXI17" s="414"/>
      <c r="AXJ17" s="414"/>
      <c r="AXK17" s="414"/>
      <c r="AXL17" s="414"/>
      <c r="AXM17" s="414"/>
      <c r="AXN17" s="414"/>
      <c r="AXO17" s="414"/>
      <c r="AXP17" s="414"/>
      <c r="AXQ17" s="414"/>
      <c r="AXR17" s="414"/>
      <c r="AXS17" s="414"/>
      <c r="AXT17" s="414"/>
      <c r="AXU17" s="414"/>
      <c r="AXV17" s="414"/>
      <c r="AXW17" s="414"/>
      <c r="AXX17" s="414"/>
      <c r="AXY17" s="414"/>
      <c r="AXZ17" s="414"/>
      <c r="AYA17" s="414"/>
      <c r="AYB17" s="414"/>
      <c r="AYC17" s="414"/>
      <c r="AYD17" s="414"/>
      <c r="AYE17" s="414"/>
      <c r="AYF17" s="414"/>
      <c r="AYG17" s="414"/>
      <c r="AYH17" s="414"/>
      <c r="AYI17" s="414"/>
      <c r="AYJ17" s="414"/>
      <c r="AYK17" s="414"/>
      <c r="AYL17" s="414"/>
      <c r="AYM17" s="414"/>
      <c r="AYN17" s="414"/>
      <c r="AYO17" s="414"/>
      <c r="AYP17" s="414"/>
      <c r="AYQ17" s="414"/>
      <c r="AYR17" s="414"/>
      <c r="AYS17" s="414"/>
      <c r="AYT17" s="414"/>
      <c r="AYU17" s="414"/>
      <c r="AYV17" s="414"/>
      <c r="AYW17" s="414"/>
      <c r="AYX17" s="414"/>
      <c r="AYY17" s="414"/>
      <c r="AYZ17" s="414"/>
      <c r="AZA17" s="414"/>
      <c r="AZB17" s="414"/>
      <c r="AZC17" s="414"/>
      <c r="AZD17" s="414"/>
      <c r="AZE17" s="414"/>
      <c r="AZF17" s="414"/>
      <c r="AZG17" s="414"/>
      <c r="AZH17" s="414"/>
      <c r="AZI17" s="414"/>
      <c r="AZJ17" s="414"/>
      <c r="AZK17" s="414"/>
      <c r="AZL17" s="414"/>
      <c r="AZM17" s="414"/>
      <c r="AZN17" s="414"/>
      <c r="AZO17" s="414"/>
      <c r="AZP17" s="414"/>
      <c r="AZQ17" s="414"/>
      <c r="AZR17" s="414"/>
      <c r="AZS17" s="414"/>
      <c r="AZT17" s="414"/>
      <c r="AZU17" s="414"/>
      <c r="AZV17" s="414"/>
      <c r="AZW17" s="414"/>
      <c r="AZX17" s="414"/>
      <c r="AZY17" s="414"/>
      <c r="AZZ17" s="414"/>
      <c r="BAA17" s="414"/>
      <c r="BAB17" s="414"/>
      <c r="BAC17" s="414"/>
      <c r="BAD17" s="414"/>
      <c r="BAE17" s="414"/>
      <c r="BAF17" s="414"/>
      <c r="BAG17" s="414"/>
      <c r="BAH17" s="414"/>
      <c r="BAI17" s="414"/>
      <c r="BAJ17" s="414"/>
      <c r="BAK17" s="414"/>
      <c r="BAL17" s="414"/>
      <c r="BAM17" s="414"/>
      <c r="BAN17" s="414"/>
      <c r="BAO17" s="414"/>
      <c r="BAP17" s="414"/>
      <c r="BAQ17" s="414"/>
      <c r="BAR17" s="414"/>
      <c r="BAS17" s="414"/>
      <c r="BAT17" s="414"/>
      <c r="BAU17" s="414"/>
      <c r="BAV17" s="414"/>
      <c r="BAW17" s="414"/>
      <c r="BAX17" s="414"/>
      <c r="BAY17" s="414"/>
      <c r="BAZ17" s="414"/>
      <c r="BBA17" s="414"/>
      <c r="BBB17" s="414"/>
      <c r="BBC17" s="414"/>
      <c r="BBD17" s="414"/>
      <c r="BBE17" s="414"/>
      <c r="BBF17" s="414"/>
      <c r="BBG17" s="414"/>
      <c r="BBH17" s="414"/>
      <c r="BBI17" s="414"/>
      <c r="BBJ17" s="414"/>
      <c r="BBK17" s="414"/>
      <c r="BBL17" s="414"/>
      <c r="BBM17" s="414"/>
      <c r="BBN17" s="414"/>
      <c r="BBO17" s="414"/>
      <c r="BBP17" s="414"/>
      <c r="BBQ17" s="414"/>
      <c r="BBR17" s="414"/>
      <c r="BBS17" s="414"/>
      <c r="BBT17" s="414"/>
      <c r="BBU17" s="414"/>
      <c r="BBV17" s="414"/>
      <c r="BBW17" s="414"/>
      <c r="BBX17" s="414"/>
      <c r="BBY17" s="414"/>
      <c r="BBZ17" s="414"/>
      <c r="BCA17" s="414"/>
      <c r="BCB17" s="414"/>
      <c r="BCC17" s="414"/>
      <c r="BCD17" s="414"/>
      <c r="BCE17" s="414"/>
      <c r="BCF17" s="414"/>
      <c r="BCG17" s="414"/>
      <c r="BCH17" s="414"/>
      <c r="BCI17" s="414"/>
      <c r="BCJ17" s="414"/>
      <c r="BCK17" s="414"/>
      <c r="BCL17" s="414"/>
      <c r="BCM17" s="414"/>
      <c r="BCN17" s="414"/>
      <c r="BCO17" s="414"/>
      <c r="BCP17" s="414"/>
      <c r="BCQ17" s="414"/>
      <c r="BCR17" s="414"/>
      <c r="BCS17" s="414"/>
      <c r="BCT17" s="414"/>
      <c r="BCU17" s="414"/>
      <c r="BCV17" s="414"/>
      <c r="BCW17" s="414"/>
      <c r="BCX17" s="414"/>
      <c r="BCY17" s="414"/>
      <c r="BCZ17" s="414"/>
      <c r="BDA17" s="414"/>
      <c r="BDB17" s="414"/>
      <c r="BDC17" s="414"/>
      <c r="BDD17" s="414"/>
      <c r="BDE17" s="414"/>
      <c r="BDF17" s="414"/>
      <c r="BDG17" s="414"/>
      <c r="BDH17" s="414"/>
      <c r="BDI17" s="414"/>
      <c r="BDJ17" s="414"/>
      <c r="BDK17" s="414"/>
      <c r="BDL17" s="414"/>
      <c r="BDM17" s="414"/>
      <c r="BDN17" s="414"/>
      <c r="BDO17" s="414"/>
      <c r="BDP17" s="414"/>
      <c r="BDQ17" s="414"/>
      <c r="BDR17" s="414"/>
      <c r="BDS17" s="414"/>
      <c r="BDT17" s="414"/>
      <c r="BDU17" s="414"/>
      <c r="BDV17" s="414"/>
      <c r="BDW17" s="414"/>
      <c r="BDX17" s="414"/>
      <c r="BDY17" s="414"/>
      <c r="BDZ17" s="414"/>
      <c r="BEA17" s="414"/>
      <c r="BEB17" s="414"/>
      <c r="BEC17" s="414"/>
      <c r="BED17" s="414"/>
      <c r="BEE17" s="414"/>
      <c r="BEF17" s="414"/>
      <c r="BEG17" s="414"/>
      <c r="BEH17" s="414"/>
      <c r="BEI17" s="414"/>
      <c r="BEJ17" s="414"/>
      <c r="BEK17" s="414"/>
      <c r="BEL17" s="414"/>
      <c r="BEM17" s="414"/>
      <c r="BEN17" s="414"/>
      <c r="BEO17" s="414"/>
      <c r="BEP17" s="414"/>
      <c r="BEQ17" s="414"/>
      <c r="BER17" s="414"/>
      <c r="BES17" s="414"/>
      <c r="BET17" s="414"/>
      <c r="BEU17" s="414"/>
      <c r="BEV17" s="414"/>
      <c r="BEW17" s="414"/>
      <c r="BEX17" s="414"/>
      <c r="BEY17" s="414"/>
      <c r="BEZ17" s="414"/>
      <c r="BFA17" s="414"/>
      <c r="BFB17" s="414"/>
      <c r="BFC17" s="414"/>
      <c r="BFD17" s="414"/>
      <c r="BFE17" s="414"/>
      <c r="BFF17" s="414"/>
      <c r="BFG17" s="414"/>
      <c r="BFH17" s="414"/>
      <c r="BFI17" s="414"/>
      <c r="BFJ17" s="414"/>
      <c r="BFK17" s="414"/>
      <c r="BFL17" s="414"/>
      <c r="BFM17" s="414"/>
      <c r="BFN17" s="414"/>
      <c r="BFO17" s="414"/>
      <c r="BFP17" s="414"/>
      <c r="BFQ17" s="414"/>
      <c r="BFR17" s="414"/>
      <c r="BFS17" s="414"/>
      <c r="BFT17" s="414"/>
      <c r="BFU17" s="414"/>
      <c r="BFV17" s="414"/>
      <c r="BFW17" s="414"/>
      <c r="BFX17" s="414"/>
      <c r="BFY17" s="414"/>
      <c r="BFZ17" s="414"/>
      <c r="BGA17" s="414"/>
      <c r="BGB17" s="414"/>
      <c r="BGC17" s="414"/>
      <c r="BGD17" s="414"/>
      <c r="BGE17" s="414"/>
      <c r="BGF17" s="414"/>
      <c r="BGG17" s="414"/>
      <c r="BGH17" s="414"/>
      <c r="BGI17" s="414"/>
      <c r="BGJ17" s="414"/>
      <c r="BGK17" s="414"/>
      <c r="BGL17" s="414"/>
      <c r="BGM17" s="414"/>
      <c r="BGN17" s="414"/>
      <c r="BGO17" s="414"/>
      <c r="BGP17" s="414"/>
      <c r="BGQ17" s="414"/>
      <c r="BGR17" s="414"/>
      <c r="BGS17" s="414"/>
      <c r="BGT17" s="414"/>
      <c r="BGU17" s="414"/>
      <c r="BGV17" s="414"/>
      <c r="BGW17" s="414"/>
      <c r="BGX17" s="414"/>
      <c r="BGY17" s="414"/>
      <c r="BGZ17" s="414"/>
      <c r="BHA17" s="414"/>
      <c r="BHB17" s="414"/>
      <c r="BHC17" s="414"/>
      <c r="BHD17" s="414"/>
      <c r="BHE17" s="414"/>
      <c r="BHF17" s="414"/>
      <c r="BHG17" s="414"/>
      <c r="BHH17" s="414"/>
      <c r="BHI17" s="414"/>
      <c r="BHJ17" s="414"/>
      <c r="BHK17" s="414"/>
      <c r="BHL17" s="414"/>
      <c r="BHM17" s="414"/>
      <c r="BHN17" s="414"/>
      <c r="BHO17" s="414"/>
      <c r="BHP17" s="414"/>
      <c r="BHQ17" s="414"/>
      <c r="BHR17" s="414"/>
      <c r="BHS17" s="414"/>
      <c r="BHT17" s="414"/>
      <c r="BHU17" s="414"/>
      <c r="BHV17" s="414"/>
      <c r="BHW17" s="414"/>
      <c r="BHX17" s="414"/>
      <c r="BHY17" s="414"/>
      <c r="BHZ17" s="414"/>
      <c r="BIA17" s="414"/>
      <c r="BIB17" s="414"/>
      <c r="BIC17" s="414"/>
      <c r="BID17" s="414"/>
      <c r="BIE17" s="414"/>
      <c r="BIF17" s="414"/>
      <c r="BIG17" s="414"/>
      <c r="BIH17" s="414"/>
      <c r="BII17" s="414"/>
      <c r="BIJ17" s="414"/>
      <c r="BIK17" s="414"/>
      <c r="BIL17" s="414"/>
      <c r="BIM17" s="414"/>
      <c r="BIN17" s="414"/>
      <c r="BIO17" s="414"/>
      <c r="BIP17" s="414"/>
      <c r="BIQ17" s="414"/>
      <c r="BIR17" s="414"/>
      <c r="BIS17" s="414"/>
      <c r="BIT17" s="414"/>
      <c r="BIU17" s="414"/>
      <c r="BIV17" s="414"/>
      <c r="BIW17" s="414"/>
      <c r="BIX17" s="414"/>
      <c r="BIY17" s="414"/>
      <c r="BIZ17" s="414"/>
      <c r="BJA17" s="414"/>
      <c r="BJB17" s="414"/>
      <c r="BJC17" s="414"/>
      <c r="BJD17" s="414"/>
      <c r="BJE17" s="414"/>
      <c r="BJF17" s="414"/>
      <c r="BJG17" s="414"/>
      <c r="BJH17" s="414"/>
      <c r="BJI17" s="414"/>
      <c r="BJJ17" s="414"/>
      <c r="BJK17" s="414"/>
      <c r="BJL17" s="414"/>
      <c r="BJM17" s="414"/>
      <c r="BJN17" s="414"/>
      <c r="BJO17" s="414"/>
      <c r="BJP17" s="414"/>
      <c r="BJQ17" s="414"/>
      <c r="BJR17" s="414"/>
      <c r="BJS17" s="414"/>
      <c r="BJT17" s="414"/>
      <c r="BJU17" s="414"/>
      <c r="BJV17" s="414"/>
      <c r="BJW17" s="414"/>
      <c r="BJX17" s="414"/>
      <c r="BJY17" s="414"/>
      <c r="BJZ17" s="414"/>
      <c r="BKA17" s="414"/>
      <c r="BKB17" s="414"/>
      <c r="BKC17" s="414"/>
      <c r="BKD17" s="414"/>
      <c r="BKE17" s="414"/>
      <c r="BKF17" s="414"/>
      <c r="BKG17" s="414"/>
      <c r="BKH17" s="414"/>
      <c r="BKI17" s="414"/>
      <c r="BKJ17" s="414"/>
      <c r="BKK17" s="414"/>
      <c r="BKL17" s="414"/>
      <c r="BKM17" s="414"/>
      <c r="BKN17" s="414"/>
      <c r="BKO17" s="414"/>
      <c r="BKP17" s="414"/>
      <c r="BKQ17" s="414"/>
      <c r="BKR17" s="414"/>
      <c r="BKS17" s="414"/>
      <c r="BKT17" s="414"/>
      <c r="BKU17" s="414"/>
      <c r="BKV17" s="414"/>
      <c r="BKW17" s="414"/>
      <c r="BKX17" s="414"/>
      <c r="BKY17" s="414"/>
      <c r="BKZ17" s="414"/>
      <c r="BLA17" s="414"/>
      <c r="BLB17" s="414"/>
      <c r="BLC17" s="414"/>
      <c r="BLD17" s="414"/>
      <c r="BLE17" s="414"/>
      <c r="BLF17" s="414"/>
      <c r="BLG17" s="414"/>
      <c r="BLH17" s="414"/>
      <c r="BLI17" s="414"/>
      <c r="BLJ17" s="414"/>
      <c r="BLK17" s="414"/>
      <c r="BLL17" s="414"/>
      <c r="BLM17" s="414"/>
      <c r="BLN17" s="414"/>
      <c r="BLO17" s="414"/>
      <c r="BLP17" s="414"/>
      <c r="BLQ17" s="414"/>
      <c r="BLR17" s="414"/>
      <c r="BLS17" s="414"/>
      <c r="BLT17" s="414"/>
      <c r="BLU17" s="414"/>
      <c r="BLV17" s="414"/>
      <c r="BLW17" s="414"/>
      <c r="BLX17" s="414"/>
      <c r="BLY17" s="414"/>
      <c r="BLZ17" s="414"/>
      <c r="BMA17" s="414"/>
      <c r="BMB17" s="414"/>
      <c r="BMC17" s="414"/>
      <c r="BMD17" s="414"/>
      <c r="BME17" s="414"/>
      <c r="BMF17" s="414"/>
      <c r="BMG17" s="414"/>
      <c r="BMH17" s="414"/>
      <c r="BMI17" s="414"/>
      <c r="BMJ17" s="414"/>
      <c r="BMK17" s="414"/>
      <c r="BML17" s="414"/>
      <c r="BMM17" s="414"/>
      <c r="BMN17" s="414"/>
      <c r="BMO17" s="414"/>
      <c r="BMP17" s="414"/>
      <c r="BMQ17" s="414"/>
      <c r="BMR17" s="414"/>
      <c r="BMS17" s="414"/>
      <c r="BMT17" s="414"/>
      <c r="BMU17" s="414"/>
      <c r="BMV17" s="414"/>
      <c r="BMW17" s="414"/>
      <c r="BMX17" s="414"/>
      <c r="BMY17" s="414"/>
      <c r="BMZ17" s="414"/>
      <c r="BNA17" s="414"/>
      <c r="BNB17" s="414"/>
      <c r="BNC17" s="414"/>
      <c r="BND17" s="414"/>
      <c r="BNE17" s="414"/>
      <c r="BNF17" s="414"/>
      <c r="BNG17" s="414"/>
      <c r="BNH17" s="414"/>
      <c r="BNI17" s="414"/>
      <c r="BNJ17" s="414"/>
      <c r="BNK17" s="414"/>
      <c r="BNL17" s="414"/>
      <c r="BNM17" s="414"/>
      <c r="BNN17" s="414"/>
      <c r="BNO17" s="414"/>
      <c r="BNP17" s="414"/>
      <c r="BNQ17" s="414"/>
      <c r="BNR17" s="414"/>
      <c r="BNS17" s="414"/>
      <c r="BNT17" s="414"/>
      <c r="BNU17" s="414"/>
      <c r="BNV17" s="414"/>
      <c r="BNW17" s="414"/>
      <c r="BNX17" s="414"/>
      <c r="BNY17" s="414"/>
      <c r="BNZ17" s="414"/>
      <c r="BOA17" s="414"/>
      <c r="BOB17" s="414"/>
      <c r="BOC17" s="414"/>
      <c r="BOD17" s="414"/>
      <c r="BOE17" s="414"/>
      <c r="BOF17" s="414"/>
      <c r="BOG17" s="414"/>
      <c r="BOH17" s="414"/>
      <c r="BOI17" s="414"/>
      <c r="BOJ17" s="414"/>
      <c r="BOK17" s="414"/>
      <c r="BOL17" s="414"/>
      <c r="BOM17" s="414"/>
      <c r="BON17" s="414"/>
      <c r="BOO17" s="414"/>
      <c r="BOP17" s="414"/>
      <c r="BOQ17" s="414"/>
      <c r="BOR17" s="414"/>
      <c r="BOS17" s="414"/>
      <c r="BOT17" s="414"/>
      <c r="BOU17" s="414"/>
      <c r="BOV17" s="414"/>
      <c r="BOW17" s="414"/>
      <c r="BOX17" s="414"/>
      <c r="BOY17" s="414"/>
      <c r="BOZ17" s="414"/>
      <c r="BPA17" s="414"/>
      <c r="BPB17" s="414"/>
      <c r="BPC17" s="414"/>
      <c r="BPD17" s="414"/>
      <c r="BPE17" s="414"/>
      <c r="BPF17" s="414"/>
      <c r="BPG17" s="414"/>
      <c r="BPH17" s="414"/>
      <c r="BPI17" s="414"/>
      <c r="BPJ17" s="414"/>
      <c r="BPK17" s="414"/>
      <c r="BPL17" s="414"/>
      <c r="BPM17" s="414"/>
      <c r="BPN17" s="414"/>
      <c r="BPO17" s="414"/>
      <c r="BPP17" s="414"/>
      <c r="BPQ17" s="414"/>
      <c r="BPR17" s="414"/>
      <c r="BPS17" s="414"/>
      <c r="BPT17" s="414"/>
      <c r="BPU17" s="414"/>
      <c r="BPV17" s="414"/>
      <c r="BPW17" s="414"/>
      <c r="BPX17" s="414"/>
      <c r="BPY17" s="414"/>
      <c r="BPZ17" s="414"/>
      <c r="BQA17" s="414"/>
      <c r="BQB17" s="414"/>
      <c r="BQC17" s="414"/>
      <c r="BQD17" s="414"/>
      <c r="BQE17" s="414"/>
      <c r="BQF17" s="414"/>
      <c r="BQG17" s="414"/>
      <c r="BQH17" s="414"/>
      <c r="BQI17" s="414"/>
      <c r="BQJ17" s="414"/>
      <c r="BQK17" s="414"/>
      <c r="BQL17" s="414"/>
      <c r="BQM17" s="414"/>
      <c r="BQN17" s="414"/>
      <c r="BQO17" s="414"/>
      <c r="BQP17" s="414"/>
      <c r="BQQ17" s="414"/>
      <c r="BQR17" s="414"/>
      <c r="BQS17" s="414"/>
      <c r="BQT17" s="414"/>
      <c r="BQU17" s="414"/>
      <c r="BQV17" s="414"/>
      <c r="BQW17" s="414"/>
      <c r="BQX17" s="414"/>
      <c r="BQY17" s="414"/>
      <c r="BQZ17" s="414"/>
      <c r="BRA17" s="414"/>
      <c r="BRB17" s="414"/>
      <c r="BRC17" s="414"/>
      <c r="BRD17" s="414"/>
      <c r="BRE17" s="414"/>
      <c r="BRF17" s="414"/>
      <c r="BRG17" s="414"/>
      <c r="BRH17" s="414"/>
      <c r="BRI17" s="414"/>
      <c r="BRJ17" s="414"/>
      <c r="BRK17" s="414"/>
      <c r="BRL17" s="414"/>
      <c r="BRM17" s="414"/>
      <c r="BRN17" s="414"/>
      <c r="BRO17" s="414"/>
      <c r="BRP17" s="414"/>
      <c r="BRQ17" s="414"/>
      <c r="BRR17" s="414"/>
      <c r="BRS17" s="414"/>
      <c r="BRT17" s="414"/>
      <c r="BRU17" s="414"/>
      <c r="BRV17" s="414"/>
      <c r="BRW17" s="414"/>
      <c r="BRX17" s="414"/>
      <c r="BRY17" s="414"/>
      <c r="BRZ17" s="414"/>
      <c r="BSA17" s="414"/>
      <c r="BSB17" s="414"/>
      <c r="BSC17" s="414"/>
      <c r="BSD17" s="414"/>
      <c r="BSE17" s="414"/>
      <c r="BSF17" s="414"/>
      <c r="BSG17" s="414"/>
      <c r="BSH17" s="414"/>
      <c r="BSI17" s="414"/>
      <c r="BSJ17" s="414"/>
      <c r="BSK17" s="414"/>
      <c r="BSL17" s="414"/>
      <c r="BSM17" s="414"/>
      <c r="BSN17" s="414"/>
      <c r="BSO17" s="414"/>
      <c r="BSP17" s="414"/>
      <c r="BSQ17" s="414"/>
      <c r="BSR17" s="414"/>
      <c r="BSS17" s="414"/>
      <c r="BST17" s="414"/>
      <c r="BSU17" s="414"/>
      <c r="BSV17" s="414"/>
      <c r="BSW17" s="414"/>
      <c r="BSX17" s="414"/>
      <c r="BSY17" s="414"/>
      <c r="BSZ17" s="414"/>
      <c r="BTA17" s="414"/>
      <c r="BTB17" s="414"/>
      <c r="BTC17" s="414"/>
      <c r="BTD17" s="414"/>
      <c r="BTE17" s="414"/>
      <c r="BTF17" s="414"/>
      <c r="BTG17" s="414"/>
      <c r="BTH17" s="414"/>
      <c r="BTI17" s="414"/>
      <c r="BTJ17" s="414"/>
      <c r="BTK17" s="414"/>
      <c r="BTL17" s="414"/>
      <c r="BTM17" s="414"/>
      <c r="BTN17" s="414"/>
      <c r="BTO17" s="414"/>
      <c r="BTP17" s="414"/>
      <c r="BTQ17" s="414"/>
      <c r="BTR17" s="414"/>
      <c r="BTS17" s="414"/>
      <c r="BTT17" s="414"/>
      <c r="BTU17" s="414"/>
      <c r="BTV17" s="414"/>
      <c r="BTW17" s="414"/>
      <c r="BTX17" s="414"/>
      <c r="BTY17" s="414"/>
      <c r="BTZ17" s="414"/>
      <c r="BUA17" s="414"/>
      <c r="BUB17" s="414"/>
      <c r="BUC17" s="414"/>
      <c r="BUD17" s="414"/>
      <c r="BUE17" s="414"/>
      <c r="BUF17" s="414"/>
      <c r="BUG17" s="414"/>
      <c r="BUH17" s="414"/>
      <c r="BUI17" s="414"/>
      <c r="BUJ17" s="414"/>
      <c r="BUK17" s="414"/>
      <c r="BUL17" s="414"/>
      <c r="BUM17" s="414"/>
      <c r="BUN17" s="414"/>
      <c r="BUO17" s="414"/>
      <c r="BUP17" s="414"/>
      <c r="BUQ17" s="414"/>
      <c r="BUR17" s="414"/>
      <c r="BUS17" s="414"/>
      <c r="BUT17" s="414"/>
      <c r="BUU17" s="414"/>
      <c r="BUV17" s="414"/>
      <c r="BUW17" s="414"/>
      <c r="BUX17" s="414"/>
      <c r="BUY17" s="414"/>
      <c r="BUZ17" s="414"/>
      <c r="BVA17" s="414"/>
      <c r="BVB17" s="414"/>
      <c r="BVC17" s="414"/>
      <c r="BVD17" s="414"/>
      <c r="BVE17" s="414"/>
      <c r="BVF17" s="414"/>
      <c r="BVG17" s="414"/>
      <c r="BVH17" s="414"/>
      <c r="BVI17" s="414"/>
      <c r="BVJ17" s="414"/>
      <c r="BVK17" s="414"/>
      <c r="BVL17" s="414"/>
      <c r="BVM17" s="414"/>
      <c r="BVN17" s="414"/>
      <c r="BVO17" s="414"/>
      <c r="BVP17" s="414"/>
      <c r="BVQ17" s="414"/>
      <c r="BVR17" s="414"/>
      <c r="BVS17" s="414"/>
      <c r="BVT17" s="414"/>
      <c r="BVU17" s="414"/>
      <c r="BVV17" s="414"/>
      <c r="BVW17" s="414"/>
      <c r="BVX17" s="414"/>
      <c r="BVY17" s="414"/>
      <c r="BVZ17" s="414"/>
      <c r="BWA17" s="414"/>
      <c r="BWB17" s="414"/>
      <c r="BWC17" s="414"/>
      <c r="BWD17" s="414"/>
      <c r="BWE17" s="414"/>
      <c r="BWF17" s="414"/>
      <c r="BWG17" s="414"/>
      <c r="BWH17" s="414"/>
      <c r="BWI17" s="414"/>
      <c r="BWJ17" s="414"/>
      <c r="BWK17" s="414"/>
      <c r="BWL17" s="414"/>
      <c r="BWM17" s="414"/>
      <c r="BWN17" s="414"/>
      <c r="BWO17" s="414"/>
      <c r="BWP17" s="414"/>
      <c r="BWQ17" s="414"/>
      <c r="BWR17" s="414"/>
      <c r="BWS17" s="414"/>
      <c r="BWT17" s="414"/>
      <c r="BWU17" s="414"/>
      <c r="BWV17" s="414"/>
      <c r="BWW17" s="414"/>
      <c r="BWX17" s="414"/>
      <c r="BWY17" s="414"/>
      <c r="BWZ17" s="414"/>
      <c r="BXA17" s="414"/>
      <c r="BXB17" s="414"/>
      <c r="BXC17" s="414"/>
      <c r="BXD17" s="414"/>
      <c r="BXE17" s="414"/>
      <c r="BXF17" s="414"/>
      <c r="BXG17" s="414"/>
      <c r="BXH17" s="414"/>
      <c r="BXI17" s="414"/>
      <c r="BXJ17" s="414"/>
      <c r="BXK17" s="414"/>
      <c r="BXL17" s="414"/>
      <c r="BXM17" s="414"/>
      <c r="BXN17" s="414"/>
      <c r="BXO17" s="414"/>
      <c r="BXP17" s="414"/>
      <c r="BXQ17" s="414"/>
      <c r="BXR17" s="414"/>
      <c r="BXS17" s="414"/>
      <c r="BXT17" s="414"/>
      <c r="BXU17" s="414"/>
      <c r="BXV17" s="414"/>
      <c r="BXW17" s="414"/>
      <c r="BXX17" s="414"/>
      <c r="BXY17" s="414"/>
      <c r="BXZ17" s="414"/>
      <c r="BYA17" s="414"/>
      <c r="BYB17" s="414"/>
      <c r="BYC17" s="414"/>
      <c r="BYD17" s="414"/>
      <c r="BYE17" s="414"/>
      <c r="BYF17" s="414"/>
      <c r="BYG17" s="414"/>
      <c r="BYH17" s="414"/>
      <c r="BYI17" s="414"/>
      <c r="BYJ17" s="414"/>
      <c r="BYK17" s="414"/>
      <c r="BYL17" s="414"/>
      <c r="BYM17" s="414"/>
      <c r="BYN17" s="414"/>
      <c r="BYO17" s="414"/>
      <c r="BYP17" s="414"/>
      <c r="BYQ17" s="414"/>
      <c r="BYR17" s="414"/>
      <c r="BYS17" s="414"/>
      <c r="BYT17" s="414"/>
      <c r="BYU17" s="414"/>
      <c r="BYV17" s="414"/>
      <c r="BYW17" s="414"/>
      <c r="BYX17" s="414"/>
      <c r="BYY17" s="414"/>
      <c r="BYZ17" s="414"/>
      <c r="BZA17" s="414"/>
      <c r="BZB17" s="414"/>
      <c r="BZC17" s="414"/>
      <c r="BZD17" s="414"/>
      <c r="BZE17" s="414"/>
      <c r="BZF17" s="414"/>
      <c r="BZG17" s="414"/>
      <c r="BZH17" s="414"/>
      <c r="BZI17" s="414"/>
      <c r="BZJ17" s="414"/>
      <c r="BZK17" s="414"/>
      <c r="BZL17" s="414"/>
      <c r="BZM17" s="414"/>
      <c r="BZN17" s="414"/>
      <c r="BZO17" s="414"/>
      <c r="BZP17" s="414"/>
      <c r="BZQ17" s="414"/>
      <c r="BZR17" s="414"/>
      <c r="BZS17" s="414"/>
      <c r="BZT17" s="414"/>
      <c r="BZU17" s="414"/>
      <c r="BZV17" s="414"/>
      <c r="BZW17" s="414"/>
      <c r="BZX17" s="414"/>
      <c r="BZY17" s="414"/>
      <c r="BZZ17" s="414"/>
      <c r="CAA17" s="414"/>
      <c r="CAB17" s="414"/>
      <c r="CAC17" s="414"/>
      <c r="CAD17" s="414"/>
      <c r="CAE17" s="414"/>
      <c r="CAF17" s="414"/>
      <c r="CAG17" s="414"/>
      <c r="CAH17" s="414"/>
      <c r="CAI17" s="414"/>
      <c r="CAJ17" s="414"/>
      <c r="CAK17" s="414"/>
      <c r="CAL17" s="414"/>
      <c r="CAM17" s="414"/>
      <c r="CAN17" s="414"/>
      <c r="CAO17" s="414"/>
      <c r="CAP17" s="414"/>
      <c r="CAQ17" s="414"/>
      <c r="CAR17" s="414"/>
      <c r="CAS17" s="414"/>
      <c r="CAT17" s="414"/>
      <c r="CAU17" s="414"/>
      <c r="CAV17" s="414"/>
      <c r="CAW17" s="414"/>
      <c r="CAX17" s="414"/>
      <c r="CAY17" s="414"/>
      <c r="CAZ17" s="414"/>
      <c r="CBA17" s="414"/>
      <c r="CBB17" s="414"/>
      <c r="CBC17" s="414"/>
      <c r="CBD17" s="414"/>
      <c r="CBE17" s="414"/>
      <c r="CBF17" s="414"/>
      <c r="CBG17" s="414"/>
      <c r="CBH17" s="414"/>
      <c r="CBI17" s="414"/>
      <c r="CBJ17" s="414"/>
      <c r="CBK17" s="414"/>
      <c r="CBL17" s="414"/>
      <c r="CBM17" s="414"/>
      <c r="CBN17" s="414"/>
      <c r="CBO17" s="414"/>
      <c r="CBP17" s="414"/>
      <c r="CBQ17" s="414"/>
      <c r="CBR17" s="414"/>
      <c r="CBS17" s="414"/>
      <c r="CBT17" s="414"/>
      <c r="CBU17" s="414"/>
      <c r="CBV17" s="414"/>
      <c r="CBW17" s="414"/>
      <c r="CBX17" s="414"/>
      <c r="CBY17" s="414"/>
      <c r="CBZ17" s="414"/>
      <c r="CCA17" s="414"/>
      <c r="CCB17" s="414"/>
      <c r="CCC17" s="414"/>
      <c r="CCD17" s="414"/>
      <c r="CCE17" s="414"/>
      <c r="CCF17" s="414"/>
      <c r="CCG17" s="414"/>
      <c r="CCH17" s="414"/>
      <c r="CCI17" s="414"/>
      <c r="CCJ17" s="414"/>
      <c r="CCK17" s="414"/>
      <c r="CCL17" s="414"/>
      <c r="CCM17" s="414"/>
      <c r="CCN17" s="414"/>
      <c r="CCO17" s="414"/>
      <c r="CCP17" s="414"/>
      <c r="CCQ17" s="414"/>
      <c r="CCR17" s="414"/>
      <c r="CCS17" s="414"/>
      <c r="CCT17" s="414"/>
      <c r="CCU17" s="414"/>
      <c r="CCV17" s="414"/>
      <c r="CCW17" s="414"/>
      <c r="CCX17" s="414"/>
      <c r="CCY17" s="414"/>
      <c r="CCZ17" s="414"/>
      <c r="CDA17" s="414"/>
      <c r="CDB17" s="414"/>
      <c r="CDC17" s="414"/>
      <c r="CDD17" s="414"/>
      <c r="CDE17" s="414"/>
      <c r="CDF17" s="414"/>
      <c r="CDG17" s="414"/>
      <c r="CDH17" s="414"/>
      <c r="CDI17" s="414"/>
      <c r="CDJ17" s="414"/>
      <c r="CDK17" s="414"/>
      <c r="CDL17" s="414"/>
      <c r="CDM17" s="414"/>
      <c r="CDN17" s="414"/>
      <c r="CDO17" s="414"/>
      <c r="CDP17" s="414"/>
      <c r="CDQ17" s="414"/>
      <c r="CDR17" s="414"/>
      <c r="CDS17" s="414"/>
      <c r="CDT17" s="414"/>
      <c r="CDU17" s="414"/>
      <c r="CDV17" s="414"/>
      <c r="CDW17" s="414"/>
      <c r="CDX17" s="414"/>
      <c r="CDY17" s="414"/>
      <c r="CDZ17" s="414"/>
      <c r="CEA17" s="414"/>
      <c r="CEB17" s="414"/>
      <c r="CEC17" s="414"/>
      <c r="CED17" s="414"/>
      <c r="CEE17" s="414"/>
      <c r="CEF17" s="414"/>
      <c r="CEG17" s="414"/>
      <c r="CEH17" s="414"/>
      <c r="CEI17" s="414"/>
      <c r="CEJ17" s="414"/>
      <c r="CEK17" s="414"/>
      <c r="CEL17" s="414"/>
      <c r="CEM17" s="414"/>
      <c r="CEN17" s="414"/>
      <c r="CEO17" s="414"/>
      <c r="CEP17" s="414"/>
      <c r="CEQ17" s="414"/>
      <c r="CER17" s="414"/>
      <c r="CES17" s="414"/>
      <c r="CET17" s="414"/>
      <c r="CEU17" s="414"/>
      <c r="CEV17" s="414"/>
      <c r="CEW17" s="414"/>
      <c r="CEX17" s="414"/>
      <c r="CEY17" s="414"/>
      <c r="CEZ17" s="414"/>
      <c r="CFA17" s="414"/>
      <c r="CFB17" s="414"/>
      <c r="CFC17" s="414"/>
      <c r="CFD17" s="414"/>
      <c r="CFE17" s="414"/>
      <c r="CFF17" s="414"/>
      <c r="CFG17" s="414"/>
      <c r="CFH17" s="414"/>
      <c r="CFI17" s="414"/>
      <c r="CFJ17" s="414"/>
      <c r="CFK17" s="414"/>
      <c r="CFL17" s="414"/>
      <c r="CFM17" s="414"/>
      <c r="CFN17" s="414"/>
      <c r="CFO17" s="414"/>
      <c r="CFP17" s="414"/>
      <c r="CFQ17" s="414"/>
      <c r="CFR17" s="414"/>
      <c r="CFS17" s="414"/>
      <c r="CFT17" s="414"/>
      <c r="CFU17" s="414"/>
      <c r="CFV17" s="414"/>
      <c r="CFW17" s="414"/>
      <c r="CFX17" s="414"/>
      <c r="CFY17" s="414"/>
      <c r="CFZ17" s="414"/>
      <c r="CGA17" s="414"/>
      <c r="CGB17" s="414"/>
      <c r="CGC17" s="414"/>
      <c r="CGD17" s="414"/>
      <c r="CGE17" s="414"/>
      <c r="CGF17" s="414"/>
      <c r="CGG17" s="414"/>
      <c r="CGH17" s="414"/>
      <c r="CGI17" s="414"/>
      <c r="CGJ17" s="414"/>
      <c r="CGK17" s="414"/>
      <c r="CGL17" s="414"/>
      <c r="CGM17" s="414"/>
      <c r="CGN17" s="414"/>
      <c r="CGO17" s="414"/>
      <c r="CGP17" s="414"/>
      <c r="CGQ17" s="414"/>
      <c r="CGR17" s="414"/>
      <c r="CGS17" s="414"/>
      <c r="CGT17" s="414"/>
      <c r="CGU17" s="414"/>
      <c r="CGV17" s="414"/>
      <c r="CGW17" s="414"/>
      <c r="CGX17" s="414"/>
      <c r="CGY17" s="414"/>
      <c r="CGZ17" s="414"/>
      <c r="CHA17" s="414"/>
      <c r="CHB17" s="414"/>
      <c r="CHC17" s="414"/>
      <c r="CHD17" s="414"/>
      <c r="CHE17" s="414"/>
      <c r="CHF17" s="414"/>
      <c r="CHG17" s="414"/>
      <c r="CHH17" s="414"/>
      <c r="CHI17" s="414"/>
      <c r="CHJ17" s="414"/>
      <c r="CHK17" s="414"/>
      <c r="CHL17" s="414"/>
      <c r="CHM17" s="414"/>
      <c r="CHN17" s="414"/>
      <c r="CHO17" s="414"/>
      <c r="CHP17" s="414"/>
      <c r="CHQ17" s="414"/>
      <c r="CHR17" s="414"/>
      <c r="CHS17" s="414"/>
      <c r="CHT17" s="414"/>
      <c r="CHU17" s="414"/>
      <c r="CHV17" s="414"/>
      <c r="CHW17" s="414"/>
      <c r="CHX17" s="414"/>
      <c r="CHY17" s="414"/>
      <c r="CHZ17" s="414"/>
      <c r="CIA17" s="414"/>
      <c r="CIB17" s="414"/>
      <c r="CIC17" s="414"/>
      <c r="CID17" s="414"/>
      <c r="CIE17" s="414"/>
      <c r="CIF17" s="414"/>
      <c r="CIG17" s="414"/>
      <c r="CIH17" s="414"/>
      <c r="CII17" s="414"/>
      <c r="CIJ17" s="414"/>
      <c r="CIK17" s="414"/>
      <c r="CIL17" s="414"/>
      <c r="CIM17" s="414"/>
      <c r="CIN17" s="414"/>
      <c r="CIO17" s="414"/>
      <c r="CIP17" s="414"/>
      <c r="CIQ17" s="414"/>
      <c r="CIR17" s="414"/>
      <c r="CIS17" s="414"/>
      <c r="CIT17" s="414"/>
      <c r="CIU17" s="414"/>
      <c r="CIV17" s="414"/>
      <c r="CIW17" s="414"/>
      <c r="CIX17" s="414"/>
      <c r="CIY17" s="414"/>
      <c r="CIZ17" s="414"/>
      <c r="CJA17" s="414"/>
      <c r="CJB17" s="414"/>
      <c r="CJC17" s="414"/>
      <c r="CJD17" s="414"/>
      <c r="CJE17" s="414"/>
      <c r="CJF17" s="414"/>
      <c r="CJG17" s="414"/>
      <c r="CJH17" s="414"/>
      <c r="CJI17" s="414"/>
      <c r="CJJ17" s="414"/>
      <c r="CJK17" s="414"/>
      <c r="CJL17" s="414"/>
      <c r="CJM17" s="414"/>
      <c r="CJN17" s="414"/>
      <c r="CJO17" s="414"/>
      <c r="CJP17" s="414"/>
      <c r="CJQ17" s="414"/>
      <c r="CJR17" s="414"/>
      <c r="CJS17" s="414"/>
      <c r="CJT17" s="414"/>
      <c r="CJU17" s="414"/>
      <c r="CJV17" s="414"/>
      <c r="CJW17" s="414"/>
      <c r="CJX17" s="414"/>
      <c r="CJY17" s="414"/>
      <c r="CJZ17" s="414"/>
      <c r="CKA17" s="414"/>
      <c r="CKB17" s="414"/>
      <c r="CKC17" s="414"/>
      <c r="CKD17" s="414"/>
      <c r="CKE17" s="414"/>
      <c r="CKF17" s="414"/>
      <c r="CKG17" s="414"/>
      <c r="CKH17" s="414"/>
      <c r="CKI17" s="414"/>
      <c r="CKJ17" s="414"/>
      <c r="CKK17" s="414"/>
      <c r="CKL17" s="414"/>
      <c r="CKM17" s="414"/>
      <c r="CKN17" s="414"/>
      <c r="CKO17" s="414"/>
      <c r="CKP17" s="414"/>
      <c r="CKQ17" s="414"/>
      <c r="CKR17" s="414"/>
      <c r="CKS17" s="414"/>
      <c r="CKT17" s="414"/>
      <c r="CKU17" s="414"/>
      <c r="CKV17" s="414"/>
      <c r="CKW17" s="414"/>
      <c r="CKX17" s="414"/>
      <c r="CKY17" s="414"/>
      <c r="CKZ17" s="414"/>
      <c r="CLA17" s="414"/>
      <c r="CLB17" s="414"/>
      <c r="CLC17" s="414"/>
      <c r="CLD17" s="414"/>
      <c r="CLE17" s="414"/>
      <c r="CLF17" s="414"/>
      <c r="CLG17" s="414"/>
      <c r="CLH17" s="414"/>
      <c r="CLI17" s="414"/>
      <c r="CLJ17" s="414"/>
      <c r="CLK17" s="414"/>
      <c r="CLL17" s="414"/>
      <c r="CLM17" s="414"/>
      <c r="CLN17" s="414"/>
      <c r="CLO17" s="414"/>
      <c r="CLP17" s="414"/>
      <c r="CLQ17" s="414"/>
      <c r="CLR17" s="414"/>
      <c r="CLS17" s="414"/>
      <c r="CLT17" s="414"/>
      <c r="CLU17" s="414"/>
      <c r="CLV17" s="414"/>
      <c r="CLW17" s="414"/>
      <c r="CLX17" s="414"/>
      <c r="CLY17" s="414"/>
      <c r="CLZ17" s="414"/>
      <c r="CMA17" s="414"/>
      <c r="CMB17" s="414"/>
      <c r="CMC17" s="414"/>
      <c r="CMD17" s="414"/>
      <c r="CME17" s="414"/>
      <c r="CMF17" s="414"/>
      <c r="CMG17" s="414"/>
      <c r="CMH17" s="414"/>
      <c r="CMI17" s="414"/>
      <c r="CMJ17" s="414"/>
      <c r="CMK17" s="414"/>
      <c r="CML17" s="414"/>
      <c r="CMM17" s="414"/>
      <c r="CMN17" s="414"/>
      <c r="CMO17" s="414"/>
      <c r="CMP17" s="414"/>
      <c r="CMQ17" s="414"/>
      <c r="CMR17" s="414"/>
      <c r="CMS17" s="414"/>
      <c r="CMT17" s="414"/>
      <c r="CMU17" s="414"/>
      <c r="CMV17" s="414"/>
      <c r="CMW17" s="414"/>
      <c r="CMX17" s="414"/>
      <c r="CMY17" s="414"/>
      <c r="CMZ17" s="414"/>
      <c r="CNA17" s="414"/>
      <c r="CNB17" s="414"/>
      <c r="CNC17" s="414"/>
      <c r="CND17" s="414"/>
      <c r="CNE17" s="414"/>
      <c r="CNF17" s="414"/>
      <c r="CNG17" s="414"/>
      <c r="CNH17" s="414"/>
      <c r="CNI17" s="414"/>
      <c r="CNJ17" s="414"/>
      <c r="CNK17" s="414"/>
      <c r="CNL17" s="414"/>
      <c r="CNM17" s="414"/>
      <c r="CNN17" s="414"/>
      <c r="CNO17" s="414"/>
      <c r="CNP17" s="414"/>
      <c r="CNQ17" s="414"/>
      <c r="CNR17" s="414"/>
      <c r="CNS17" s="414"/>
      <c r="CNT17" s="414"/>
      <c r="CNU17" s="414"/>
      <c r="CNV17" s="414"/>
      <c r="CNW17" s="414"/>
      <c r="CNX17" s="414"/>
      <c r="CNY17" s="414"/>
      <c r="CNZ17" s="414"/>
      <c r="COA17" s="414"/>
      <c r="COB17" s="414"/>
      <c r="COC17" s="414"/>
      <c r="COD17" s="414"/>
      <c r="COE17" s="414"/>
      <c r="COF17" s="414"/>
      <c r="COG17" s="414"/>
      <c r="COH17" s="414"/>
      <c r="COI17" s="414"/>
      <c r="COJ17" s="414"/>
      <c r="COK17" s="414"/>
      <c r="COL17" s="414"/>
      <c r="COM17" s="414"/>
      <c r="CON17" s="414"/>
      <c r="COO17" s="414"/>
      <c r="COP17" s="414"/>
      <c r="COQ17" s="414"/>
      <c r="COR17" s="414"/>
      <c r="COS17" s="414"/>
      <c r="COT17" s="414"/>
      <c r="COU17" s="414"/>
      <c r="COV17" s="414"/>
      <c r="COW17" s="414"/>
      <c r="COX17" s="414"/>
      <c r="COY17" s="414"/>
      <c r="COZ17" s="414"/>
      <c r="CPA17" s="414"/>
      <c r="CPB17" s="414"/>
      <c r="CPC17" s="414"/>
      <c r="CPD17" s="414"/>
      <c r="CPE17" s="414"/>
      <c r="CPF17" s="414"/>
      <c r="CPG17" s="414"/>
      <c r="CPH17" s="414"/>
      <c r="CPI17" s="414"/>
      <c r="CPJ17" s="414"/>
      <c r="CPK17" s="414"/>
      <c r="CPL17" s="414"/>
      <c r="CPM17" s="414"/>
      <c r="CPN17" s="414"/>
      <c r="CPO17" s="414"/>
      <c r="CPP17" s="414"/>
      <c r="CPQ17" s="414"/>
      <c r="CPR17" s="414"/>
      <c r="CPS17" s="414"/>
      <c r="CPT17" s="414"/>
      <c r="CPU17" s="414"/>
      <c r="CPV17" s="414"/>
      <c r="CPW17" s="414"/>
      <c r="CPX17" s="414"/>
      <c r="CPY17" s="414"/>
      <c r="CPZ17" s="414"/>
      <c r="CQA17" s="414"/>
      <c r="CQB17" s="414"/>
      <c r="CQC17" s="414"/>
      <c r="CQD17" s="414"/>
      <c r="CQE17" s="414"/>
      <c r="CQF17" s="414"/>
      <c r="CQG17" s="414"/>
      <c r="CQH17" s="414"/>
      <c r="CQI17" s="414"/>
      <c r="CQJ17" s="414"/>
      <c r="CQK17" s="414"/>
      <c r="CQL17" s="414"/>
      <c r="CQM17" s="414"/>
      <c r="CQN17" s="414"/>
      <c r="CQO17" s="414"/>
      <c r="CQP17" s="414"/>
      <c r="CQQ17" s="414"/>
      <c r="CQR17" s="414"/>
      <c r="CQS17" s="414"/>
      <c r="CQT17" s="414"/>
      <c r="CQU17" s="414"/>
      <c r="CQV17" s="414"/>
      <c r="CQW17" s="414"/>
      <c r="CQX17" s="414"/>
      <c r="CQY17" s="414"/>
      <c r="CQZ17" s="414"/>
      <c r="CRA17" s="414"/>
      <c r="CRB17" s="414"/>
      <c r="CRC17" s="414"/>
      <c r="CRD17" s="414"/>
      <c r="CRE17" s="414"/>
      <c r="CRF17" s="414"/>
      <c r="CRG17" s="414"/>
      <c r="CRH17" s="414"/>
      <c r="CRI17" s="414"/>
      <c r="CRJ17" s="414"/>
      <c r="CRK17" s="414"/>
      <c r="CRL17" s="414"/>
      <c r="CRM17" s="414"/>
      <c r="CRN17" s="414"/>
      <c r="CRO17" s="414"/>
      <c r="CRP17" s="414"/>
      <c r="CRQ17" s="414"/>
      <c r="CRR17" s="414"/>
      <c r="CRS17" s="414"/>
      <c r="CRT17" s="414"/>
      <c r="CRU17" s="414"/>
      <c r="CRV17" s="414"/>
      <c r="CRW17" s="414"/>
      <c r="CRX17" s="414"/>
      <c r="CRY17" s="414"/>
      <c r="CRZ17" s="414"/>
      <c r="CSA17" s="414"/>
      <c r="CSB17" s="414"/>
      <c r="CSC17" s="414"/>
      <c r="CSD17" s="414"/>
      <c r="CSE17" s="414"/>
      <c r="CSF17" s="414"/>
      <c r="CSG17" s="414"/>
      <c r="CSH17" s="414"/>
      <c r="CSI17" s="414"/>
      <c r="CSJ17" s="414"/>
      <c r="CSK17" s="414"/>
      <c r="CSL17" s="414"/>
      <c r="CSM17" s="414"/>
      <c r="CSN17" s="414"/>
      <c r="CSO17" s="414"/>
      <c r="CSP17" s="414"/>
      <c r="CSQ17" s="414"/>
      <c r="CSR17" s="414"/>
      <c r="CSS17" s="414"/>
      <c r="CST17" s="414"/>
      <c r="CSU17" s="414"/>
      <c r="CSV17" s="414"/>
      <c r="CSW17" s="414"/>
      <c r="CSX17" s="414"/>
      <c r="CSY17" s="414"/>
      <c r="CSZ17" s="414"/>
      <c r="CTA17" s="414"/>
      <c r="CTB17" s="414"/>
      <c r="CTC17" s="414"/>
      <c r="CTD17" s="414"/>
      <c r="CTE17" s="414"/>
      <c r="CTF17" s="414"/>
      <c r="CTG17" s="414"/>
      <c r="CTH17" s="414"/>
      <c r="CTI17" s="414"/>
      <c r="CTJ17" s="414"/>
      <c r="CTK17" s="414"/>
      <c r="CTL17" s="414"/>
      <c r="CTM17" s="414"/>
      <c r="CTN17" s="414"/>
      <c r="CTO17" s="414"/>
      <c r="CTP17" s="414"/>
      <c r="CTQ17" s="414"/>
      <c r="CTR17" s="414"/>
      <c r="CTS17" s="414"/>
      <c r="CTT17" s="414"/>
      <c r="CTU17" s="414"/>
      <c r="CTV17" s="414"/>
      <c r="CTW17" s="414"/>
      <c r="CTX17" s="414"/>
      <c r="CTY17" s="414"/>
      <c r="CTZ17" s="414"/>
      <c r="CUA17" s="414"/>
      <c r="CUB17" s="414"/>
      <c r="CUC17" s="414"/>
      <c r="CUD17" s="414"/>
      <c r="CUE17" s="414"/>
      <c r="CUF17" s="414"/>
      <c r="CUG17" s="414"/>
      <c r="CUH17" s="414"/>
      <c r="CUI17" s="414"/>
      <c r="CUJ17" s="414"/>
      <c r="CUK17" s="414"/>
      <c r="CUL17" s="414"/>
      <c r="CUM17" s="414"/>
      <c r="CUN17" s="414"/>
      <c r="CUO17" s="414"/>
      <c r="CUP17" s="414"/>
      <c r="CUQ17" s="414"/>
      <c r="CUR17" s="414"/>
      <c r="CUS17" s="414"/>
      <c r="CUT17" s="414"/>
      <c r="CUU17" s="414"/>
      <c r="CUV17" s="414"/>
      <c r="CUW17" s="414"/>
      <c r="CUX17" s="414"/>
      <c r="CUY17" s="414"/>
      <c r="CUZ17" s="414"/>
      <c r="CVA17" s="414"/>
      <c r="CVB17" s="414"/>
      <c r="CVC17" s="414"/>
      <c r="CVD17" s="414"/>
      <c r="CVE17" s="414"/>
      <c r="CVF17" s="414"/>
      <c r="CVG17" s="414"/>
      <c r="CVH17" s="414"/>
      <c r="CVI17" s="414"/>
      <c r="CVJ17" s="414"/>
      <c r="CVK17" s="414"/>
      <c r="CVL17" s="414"/>
      <c r="CVM17" s="414"/>
      <c r="CVN17" s="414"/>
      <c r="CVO17" s="414"/>
      <c r="CVP17" s="414"/>
      <c r="CVQ17" s="414"/>
      <c r="CVR17" s="414"/>
      <c r="CVS17" s="414"/>
      <c r="CVT17" s="414"/>
      <c r="CVU17" s="414"/>
      <c r="CVV17" s="414"/>
      <c r="CVW17" s="414"/>
      <c r="CVX17" s="414"/>
      <c r="CVY17" s="414"/>
      <c r="CVZ17" s="414"/>
      <c r="CWA17" s="414"/>
      <c r="CWB17" s="414"/>
      <c r="CWC17" s="414"/>
      <c r="CWD17" s="414"/>
      <c r="CWE17" s="414"/>
      <c r="CWF17" s="414"/>
      <c r="CWG17" s="414"/>
      <c r="CWH17" s="414"/>
      <c r="CWI17" s="414"/>
      <c r="CWJ17" s="414"/>
      <c r="CWK17" s="414"/>
      <c r="CWL17" s="414"/>
      <c r="CWM17" s="414"/>
      <c r="CWN17" s="414"/>
      <c r="CWO17" s="414"/>
      <c r="CWP17" s="414"/>
      <c r="CWQ17" s="414"/>
      <c r="CWR17" s="414"/>
      <c r="CWS17" s="414"/>
      <c r="CWT17" s="414"/>
      <c r="CWU17" s="414"/>
      <c r="CWV17" s="414"/>
      <c r="CWW17" s="414"/>
      <c r="CWX17" s="414"/>
      <c r="CWY17" s="414"/>
      <c r="CWZ17" s="414"/>
      <c r="CXA17" s="414"/>
      <c r="CXB17" s="414"/>
      <c r="CXC17" s="414"/>
      <c r="CXD17" s="414"/>
      <c r="CXE17" s="414"/>
      <c r="CXF17" s="414"/>
      <c r="CXG17" s="414"/>
      <c r="CXH17" s="414"/>
      <c r="CXI17" s="414"/>
      <c r="CXJ17" s="414"/>
      <c r="CXK17" s="414"/>
      <c r="CXL17" s="414"/>
      <c r="CXM17" s="414"/>
      <c r="CXN17" s="414"/>
      <c r="CXO17" s="414"/>
      <c r="CXP17" s="414"/>
      <c r="CXQ17" s="414"/>
      <c r="CXR17" s="414"/>
      <c r="CXS17" s="414"/>
      <c r="CXT17" s="414"/>
      <c r="CXU17" s="414"/>
      <c r="CXV17" s="414"/>
      <c r="CXW17" s="414"/>
      <c r="CXX17" s="414"/>
      <c r="CXY17" s="414"/>
      <c r="CXZ17" s="414"/>
      <c r="CYA17" s="414"/>
      <c r="CYB17" s="414"/>
      <c r="CYC17" s="414"/>
      <c r="CYD17" s="414"/>
      <c r="CYE17" s="414"/>
      <c r="CYF17" s="414"/>
      <c r="CYG17" s="414"/>
      <c r="CYH17" s="414"/>
      <c r="CYI17" s="414"/>
      <c r="CYJ17" s="414"/>
      <c r="CYK17" s="414"/>
      <c r="CYL17" s="414"/>
      <c r="CYM17" s="414"/>
      <c r="CYN17" s="414"/>
      <c r="CYO17" s="414"/>
      <c r="CYP17" s="414"/>
      <c r="CYQ17" s="414"/>
      <c r="CYR17" s="414"/>
      <c r="CYS17" s="414"/>
      <c r="CYT17" s="414"/>
      <c r="CYU17" s="414"/>
      <c r="CYV17" s="414"/>
      <c r="CYW17" s="414"/>
      <c r="CYX17" s="414"/>
      <c r="CYY17" s="414"/>
      <c r="CYZ17" s="414"/>
      <c r="CZA17" s="414"/>
      <c r="CZB17" s="414"/>
      <c r="CZC17" s="414"/>
      <c r="CZD17" s="414"/>
      <c r="CZE17" s="414"/>
      <c r="CZF17" s="414"/>
      <c r="CZG17" s="414"/>
      <c r="CZH17" s="414"/>
      <c r="CZI17" s="414"/>
      <c r="CZJ17" s="414"/>
      <c r="CZK17" s="414"/>
      <c r="CZL17" s="414"/>
      <c r="CZM17" s="414"/>
      <c r="CZN17" s="414"/>
      <c r="CZO17" s="414"/>
      <c r="CZP17" s="414"/>
      <c r="CZQ17" s="414"/>
      <c r="CZR17" s="414"/>
      <c r="CZS17" s="414"/>
      <c r="CZT17" s="414"/>
      <c r="CZU17" s="414"/>
      <c r="CZV17" s="414"/>
      <c r="CZW17" s="414"/>
      <c r="CZX17" s="414"/>
      <c r="CZY17" s="414"/>
      <c r="CZZ17" s="414"/>
      <c r="DAA17" s="414"/>
      <c r="DAB17" s="414"/>
      <c r="DAC17" s="414"/>
      <c r="DAD17" s="414"/>
      <c r="DAE17" s="414"/>
      <c r="DAF17" s="414"/>
      <c r="DAG17" s="414"/>
      <c r="DAH17" s="414"/>
      <c r="DAI17" s="414"/>
      <c r="DAJ17" s="414"/>
      <c r="DAK17" s="414"/>
      <c r="DAL17" s="414"/>
      <c r="DAM17" s="414"/>
      <c r="DAN17" s="414"/>
      <c r="DAO17" s="414"/>
      <c r="DAP17" s="414"/>
      <c r="DAQ17" s="414"/>
      <c r="DAR17" s="414"/>
      <c r="DAS17" s="414"/>
      <c r="DAT17" s="414"/>
      <c r="DAU17" s="414"/>
      <c r="DAV17" s="414"/>
      <c r="DAW17" s="414"/>
      <c r="DAX17" s="414"/>
      <c r="DAY17" s="414"/>
      <c r="DAZ17" s="414"/>
      <c r="DBA17" s="414"/>
      <c r="DBB17" s="414"/>
      <c r="DBC17" s="414"/>
      <c r="DBD17" s="414"/>
      <c r="DBE17" s="414"/>
      <c r="DBF17" s="414"/>
      <c r="DBG17" s="414"/>
      <c r="DBH17" s="414"/>
      <c r="DBI17" s="414"/>
      <c r="DBJ17" s="414"/>
      <c r="DBK17" s="414"/>
      <c r="DBL17" s="414"/>
      <c r="DBM17" s="414"/>
      <c r="DBN17" s="414"/>
      <c r="DBO17" s="414"/>
      <c r="DBP17" s="414"/>
      <c r="DBQ17" s="414"/>
      <c r="DBR17" s="414"/>
      <c r="DBS17" s="414"/>
      <c r="DBT17" s="414"/>
      <c r="DBU17" s="414"/>
      <c r="DBV17" s="414"/>
      <c r="DBW17" s="414"/>
      <c r="DBX17" s="414"/>
      <c r="DBY17" s="414"/>
      <c r="DBZ17" s="414"/>
      <c r="DCA17" s="414"/>
      <c r="DCB17" s="414"/>
      <c r="DCC17" s="414"/>
      <c r="DCD17" s="414"/>
      <c r="DCE17" s="414"/>
      <c r="DCF17" s="414"/>
      <c r="DCG17" s="414"/>
      <c r="DCH17" s="414"/>
      <c r="DCI17" s="414"/>
      <c r="DCJ17" s="414"/>
      <c r="DCK17" s="414"/>
      <c r="DCL17" s="414"/>
      <c r="DCM17" s="414"/>
      <c r="DCN17" s="414"/>
      <c r="DCO17" s="414"/>
      <c r="DCP17" s="414"/>
      <c r="DCQ17" s="414"/>
      <c r="DCR17" s="414"/>
      <c r="DCS17" s="414"/>
      <c r="DCT17" s="414"/>
      <c r="DCU17" s="414"/>
      <c r="DCV17" s="414"/>
      <c r="DCW17" s="414"/>
      <c r="DCX17" s="414"/>
      <c r="DCY17" s="414"/>
      <c r="DCZ17" s="414"/>
      <c r="DDA17" s="414"/>
      <c r="DDB17" s="414"/>
      <c r="DDC17" s="414"/>
      <c r="DDD17" s="414"/>
      <c r="DDE17" s="414"/>
      <c r="DDF17" s="414"/>
      <c r="DDG17" s="414"/>
      <c r="DDH17" s="414"/>
      <c r="DDI17" s="414"/>
      <c r="DDJ17" s="414"/>
      <c r="DDK17" s="414"/>
      <c r="DDL17" s="414"/>
      <c r="DDM17" s="414"/>
      <c r="DDN17" s="414"/>
      <c r="DDO17" s="414"/>
      <c r="DDP17" s="414"/>
      <c r="DDQ17" s="414"/>
      <c r="DDR17" s="414"/>
      <c r="DDS17" s="414"/>
      <c r="DDT17" s="414"/>
      <c r="DDU17" s="414"/>
      <c r="DDV17" s="414"/>
      <c r="DDW17" s="414"/>
      <c r="DDX17" s="414"/>
      <c r="DDY17" s="414"/>
      <c r="DDZ17" s="414"/>
      <c r="DEA17" s="414"/>
      <c r="DEB17" s="414"/>
      <c r="DEC17" s="414"/>
      <c r="DED17" s="414"/>
      <c r="DEE17" s="414"/>
      <c r="DEF17" s="414"/>
      <c r="DEG17" s="414"/>
      <c r="DEH17" s="414"/>
      <c r="DEI17" s="414"/>
      <c r="DEJ17" s="414"/>
      <c r="DEK17" s="414"/>
      <c r="DEL17" s="414"/>
      <c r="DEM17" s="414"/>
      <c r="DEN17" s="414"/>
      <c r="DEO17" s="414"/>
      <c r="DEP17" s="414"/>
      <c r="DEQ17" s="414"/>
      <c r="DER17" s="414"/>
      <c r="DES17" s="414"/>
      <c r="DET17" s="414"/>
      <c r="DEU17" s="414"/>
      <c r="DEV17" s="414"/>
      <c r="DEW17" s="414"/>
      <c r="DEX17" s="414"/>
      <c r="DEY17" s="414"/>
      <c r="DEZ17" s="414"/>
      <c r="DFA17" s="414"/>
      <c r="DFB17" s="414"/>
      <c r="DFC17" s="414"/>
      <c r="DFD17" s="414"/>
      <c r="DFE17" s="414"/>
      <c r="DFF17" s="414"/>
      <c r="DFG17" s="414"/>
      <c r="DFH17" s="414"/>
      <c r="DFI17" s="414"/>
      <c r="DFJ17" s="414"/>
      <c r="DFK17" s="414"/>
      <c r="DFL17" s="414"/>
      <c r="DFM17" s="414"/>
      <c r="DFN17" s="414"/>
      <c r="DFO17" s="414"/>
      <c r="DFP17" s="414"/>
      <c r="DFQ17" s="414"/>
      <c r="DFR17" s="414"/>
      <c r="DFS17" s="414"/>
      <c r="DFT17" s="414"/>
      <c r="DFU17" s="414"/>
      <c r="DFV17" s="414"/>
      <c r="DFW17" s="414"/>
      <c r="DFX17" s="414"/>
      <c r="DFY17" s="414"/>
      <c r="DFZ17" s="414"/>
      <c r="DGA17" s="414"/>
      <c r="DGB17" s="414"/>
      <c r="DGC17" s="414"/>
      <c r="DGD17" s="414"/>
      <c r="DGE17" s="414"/>
      <c r="DGF17" s="414"/>
      <c r="DGG17" s="414"/>
      <c r="DGH17" s="414"/>
      <c r="DGI17" s="414"/>
      <c r="DGJ17" s="414"/>
      <c r="DGK17" s="414"/>
      <c r="DGL17" s="414"/>
      <c r="DGM17" s="414"/>
      <c r="DGN17" s="414"/>
      <c r="DGO17" s="414"/>
      <c r="DGP17" s="414"/>
      <c r="DGQ17" s="414"/>
      <c r="DGR17" s="414"/>
      <c r="DGS17" s="414"/>
      <c r="DGT17" s="414"/>
      <c r="DGU17" s="414"/>
      <c r="DGV17" s="414"/>
      <c r="DGW17" s="414"/>
      <c r="DGX17" s="414"/>
      <c r="DGY17" s="414"/>
      <c r="DGZ17" s="414"/>
      <c r="DHA17" s="414"/>
      <c r="DHB17" s="414"/>
      <c r="DHC17" s="414"/>
      <c r="DHD17" s="414"/>
      <c r="DHE17" s="414"/>
      <c r="DHF17" s="414"/>
      <c r="DHG17" s="414"/>
      <c r="DHH17" s="414"/>
      <c r="DHI17" s="414"/>
      <c r="DHJ17" s="414"/>
      <c r="DHK17" s="414"/>
      <c r="DHL17" s="414"/>
      <c r="DHM17" s="414"/>
      <c r="DHN17" s="414"/>
      <c r="DHO17" s="414"/>
      <c r="DHP17" s="414"/>
      <c r="DHQ17" s="414"/>
      <c r="DHR17" s="414"/>
      <c r="DHS17" s="414"/>
      <c r="DHT17" s="414"/>
      <c r="DHU17" s="414"/>
      <c r="DHV17" s="414"/>
      <c r="DHW17" s="414"/>
      <c r="DHX17" s="414"/>
      <c r="DHY17" s="414"/>
      <c r="DHZ17" s="414"/>
      <c r="DIA17" s="414"/>
      <c r="DIB17" s="414"/>
      <c r="DIC17" s="414"/>
      <c r="DID17" s="414"/>
      <c r="DIE17" s="414"/>
      <c r="DIF17" s="414"/>
      <c r="DIG17" s="414"/>
      <c r="DIH17" s="414"/>
      <c r="DII17" s="414"/>
      <c r="DIJ17" s="414"/>
      <c r="DIK17" s="414"/>
      <c r="DIL17" s="414"/>
      <c r="DIM17" s="414"/>
      <c r="DIN17" s="414"/>
      <c r="DIO17" s="414"/>
      <c r="DIP17" s="414"/>
      <c r="DIQ17" s="414"/>
      <c r="DIR17" s="414"/>
      <c r="DIS17" s="414"/>
      <c r="DIT17" s="414"/>
      <c r="DIU17" s="414"/>
      <c r="DIV17" s="414"/>
      <c r="DIW17" s="414"/>
      <c r="DIX17" s="414"/>
      <c r="DIY17" s="414"/>
      <c r="DIZ17" s="414"/>
      <c r="DJA17" s="414"/>
      <c r="DJB17" s="414"/>
      <c r="DJC17" s="414"/>
      <c r="DJD17" s="414"/>
      <c r="DJE17" s="414"/>
      <c r="DJF17" s="414"/>
      <c r="DJG17" s="414"/>
      <c r="DJH17" s="414"/>
      <c r="DJI17" s="414"/>
      <c r="DJJ17" s="414"/>
      <c r="DJK17" s="414"/>
      <c r="DJL17" s="414"/>
      <c r="DJM17" s="414"/>
      <c r="DJN17" s="414"/>
      <c r="DJO17" s="414"/>
      <c r="DJP17" s="414"/>
      <c r="DJQ17" s="414"/>
      <c r="DJR17" s="414"/>
      <c r="DJS17" s="414"/>
      <c r="DJT17" s="414"/>
      <c r="DJU17" s="414"/>
      <c r="DJV17" s="414"/>
      <c r="DJW17" s="414"/>
      <c r="DJX17" s="414"/>
      <c r="DJY17" s="414"/>
      <c r="DJZ17" s="414"/>
      <c r="DKA17" s="414"/>
      <c r="DKB17" s="414"/>
      <c r="DKC17" s="414"/>
      <c r="DKD17" s="414"/>
      <c r="DKE17" s="414"/>
      <c r="DKF17" s="414"/>
      <c r="DKG17" s="414"/>
      <c r="DKH17" s="414"/>
      <c r="DKI17" s="414"/>
      <c r="DKJ17" s="414"/>
      <c r="DKK17" s="414"/>
      <c r="DKL17" s="414"/>
      <c r="DKM17" s="414"/>
      <c r="DKN17" s="414"/>
      <c r="DKO17" s="414"/>
      <c r="DKP17" s="414"/>
      <c r="DKQ17" s="414"/>
      <c r="DKR17" s="414"/>
      <c r="DKS17" s="414"/>
      <c r="DKT17" s="414"/>
      <c r="DKU17" s="414"/>
      <c r="DKV17" s="414"/>
      <c r="DKW17" s="414"/>
      <c r="DKX17" s="414"/>
      <c r="DKY17" s="414"/>
      <c r="DKZ17" s="414"/>
      <c r="DLA17" s="414"/>
      <c r="DLB17" s="414"/>
      <c r="DLC17" s="414"/>
      <c r="DLD17" s="414"/>
      <c r="DLE17" s="414"/>
      <c r="DLF17" s="414"/>
      <c r="DLG17" s="414"/>
      <c r="DLH17" s="414"/>
      <c r="DLI17" s="414"/>
      <c r="DLJ17" s="414"/>
      <c r="DLK17" s="414"/>
      <c r="DLL17" s="414"/>
      <c r="DLM17" s="414"/>
      <c r="DLN17" s="414"/>
      <c r="DLO17" s="414"/>
      <c r="DLP17" s="414"/>
      <c r="DLQ17" s="414"/>
      <c r="DLR17" s="414"/>
      <c r="DLS17" s="414"/>
      <c r="DLT17" s="414"/>
      <c r="DLU17" s="414"/>
      <c r="DLV17" s="414"/>
      <c r="DLW17" s="414"/>
      <c r="DLX17" s="414"/>
      <c r="DLY17" s="414"/>
      <c r="DLZ17" s="414"/>
      <c r="DMA17" s="414"/>
      <c r="DMB17" s="414"/>
      <c r="DMC17" s="414"/>
      <c r="DMD17" s="414"/>
      <c r="DME17" s="414"/>
      <c r="DMF17" s="414"/>
      <c r="DMG17" s="414"/>
      <c r="DMH17" s="414"/>
      <c r="DMI17" s="414"/>
      <c r="DMJ17" s="414"/>
      <c r="DMK17" s="414"/>
      <c r="DML17" s="414"/>
      <c r="DMM17" s="414"/>
      <c r="DMN17" s="414"/>
      <c r="DMO17" s="414"/>
      <c r="DMP17" s="414"/>
      <c r="DMQ17" s="414"/>
      <c r="DMR17" s="414"/>
      <c r="DMS17" s="414"/>
      <c r="DMT17" s="414"/>
      <c r="DMU17" s="414"/>
      <c r="DMV17" s="414"/>
      <c r="DMW17" s="414"/>
      <c r="DMX17" s="414"/>
      <c r="DMY17" s="414"/>
      <c r="DMZ17" s="414"/>
      <c r="DNA17" s="414"/>
      <c r="DNB17" s="414"/>
      <c r="DNC17" s="414"/>
      <c r="DND17" s="414"/>
      <c r="DNE17" s="414"/>
      <c r="DNF17" s="414"/>
      <c r="DNG17" s="414"/>
      <c r="DNH17" s="414"/>
      <c r="DNI17" s="414"/>
      <c r="DNJ17" s="414"/>
      <c r="DNK17" s="414"/>
      <c r="DNL17" s="414"/>
      <c r="DNM17" s="414"/>
      <c r="DNN17" s="414"/>
      <c r="DNO17" s="414"/>
      <c r="DNP17" s="414"/>
      <c r="DNQ17" s="414"/>
      <c r="DNR17" s="414"/>
      <c r="DNS17" s="414"/>
      <c r="DNT17" s="414"/>
      <c r="DNU17" s="414"/>
      <c r="DNV17" s="414"/>
      <c r="DNW17" s="414"/>
      <c r="DNX17" s="414"/>
      <c r="DNY17" s="414"/>
      <c r="DNZ17" s="414"/>
      <c r="DOA17" s="414"/>
      <c r="DOB17" s="414"/>
      <c r="DOC17" s="414"/>
      <c r="DOD17" s="414"/>
      <c r="DOE17" s="414"/>
      <c r="DOF17" s="414"/>
      <c r="DOG17" s="414"/>
      <c r="DOH17" s="414"/>
      <c r="DOI17" s="414"/>
      <c r="DOJ17" s="414"/>
      <c r="DOK17" s="414"/>
      <c r="DOL17" s="414"/>
      <c r="DOM17" s="414"/>
      <c r="DON17" s="414"/>
      <c r="DOO17" s="414"/>
      <c r="DOP17" s="414"/>
      <c r="DOQ17" s="414"/>
      <c r="DOR17" s="414"/>
      <c r="DOS17" s="414"/>
      <c r="DOT17" s="414"/>
      <c r="DOU17" s="414"/>
      <c r="DOV17" s="414"/>
      <c r="DOW17" s="414"/>
      <c r="DOX17" s="414"/>
      <c r="DOY17" s="414"/>
      <c r="DOZ17" s="414"/>
      <c r="DPA17" s="414"/>
      <c r="DPB17" s="414"/>
      <c r="DPC17" s="414"/>
      <c r="DPD17" s="414"/>
      <c r="DPE17" s="414"/>
      <c r="DPF17" s="414"/>
      <c r="DPG17" s="414"/>
      <c r="DPH17" s="414"/>
      <c r="DPI17" s="414"/>
      <c r="DPJ17" s="414"/>
      <c r="DPK17" s="414"/>
      <c r="DPL17" s="414"/>
      <c r="DPM17" s="414"/>
      <c r="DPN17" s="414"/>
      <c r="DPO17" s="414"/>
      <c r="DPP17" s="414"/>
      <c r="DPQ17" s="414"/>
      <c r="DPR17" s="414"/>
      <c r="DPS17" s="414"/>
      <c r="DPT17" s="414"/>
      <c r="DPU17" s="414"/>
      <c r="DPV17" s="414"/>
      <c r="DPW17" s="414"/>
      <c r="DPX17" s="414"/>
      <c r="DPY17" s="414"/>
      <c r="DPZ17" s="414"/>
      <c r="DQA17" s="414"/>
      <c r="DQB17" s="414"/>
      <c r="DQC17" s="414"/>
      <c r="DQD17" s="414"/>
      <c r="DQE17" s="414"/>
      <c r="DQF17" s="414"/>
      <c r="DQG17" s="414"/>
      <c r="DQH17" s="414"/>
      <c r="DQI17" s="414"/>
      <c r="DQJ17" s="414"/>
      <c r="DQK17" s="414"/>
      <c r="DQL17" s="414"/>
      <c r="DQM17" s="414"/>
      <c r="DQN17" s="414"/>
      <c r="DQO17" s="414"/>
      <c r="DQP17" s="414"/>
      <c r="DQQ17" s="414"/>
      <c r="DQR17" s="414"/>
      <c r="DQS17" s="414"/>
      <c r="DQT17" s="414"/>
      <c r="DQU17" s="414"/>
      <c r="DQV17" s="414"/>
      <c r="DQW17" s="414"/>
      <c r="DQX17" s="414"/>
      <c r="DQY17" s="414"/>
      <c r="DQZ17" s="414"/>
      <c r="DRA17" s="414"/>
      <c r="DRB17" s="414"/>
      <c r="DRC17" s="414"/>
      <c r="DRD17" s="414"/>
      <c r="DRE17" s="414"/>
      <c r="DRF17" s="414"/>
      <c r="DRG17" s="414"/>
      <c r="DRH17" s="414"/>
      <c r="DRI17" s="414"/>
      <c r="DRJ17" s="414"/>
      <c r="DRK17" s="414"/>
      <c r="DRL17" s="414"/>
      <c r="DRM17" s="414"/>
      <c r="DRN17" s="414"/>
      <c r="DRO17" s="414"/>
      <c r="DRP17" s="414"/>
      <c r="DRQ17" s="414"/>
      <c r="DRR17" s="414"/>
      <c r="DRS17" s="414"/>
      <c r="DRT17" s="414"/>
      <c r="DRU17" s="414"/>
      <c r="DRV17" s="414"/>
      <c r="DRW17" s="414"/>
      <c r="DRX17" s="414"/>
      <c r="DRY17" s="414"/>
      <c r="DRZ17" s="414"/>
      <c r="DSA17" s="414"/>
      <c r="DSB17" s="414"/>
      <c r="DSC17" s="414"/>
      <c r="DSD17" s="414"/>
      <c r="DSE17" s="414"/>
      <c r="DSF17" s="414"/>
      <c r="DSG17" s="414"/>
      <c r="DSH17" s="414"/>
      <c r="DSI17" s="414"/>
      <c r="DSJ17" s="414"/>
      <c r="DSK17" s="414"/>
      <c r="DSL17" s="414"/>
      <c r="DSM17" s="414"/>
      <c r="DSN17" s="414"/>
      <c r="DSO17" s="414"/>
      <c r="DSP17" s="414"/>
      <c r="DSQ17" s="414"/>
      <c r="DSR17" s="414"/>
      <c r="DSS17" s="414"/>
      <c r="DST17" s="414"/>
      <c r="DSU17" s="414"/>
      <c r="DSV17" s="414"/>
      <c r="DSW17" s="414"/>
      <c r="DSX17" s="414"/>
      <c r="DSY17" s="414"/>
      <c r="DSZ17" s="414"/>
      <c r="DTA17" s="414"/>
      <c r="DTB17" s="414"/>
      <c r="DTC17" s="414"/>
      <c r="DTD17" s="414"/>
      <c r="DTE17" s="414"/>
      <c r="DTF17" s="414"/>
      <c r="DTG17" s="414"/>
      <c r="DTH17" s="414"/>
      <c r="DTI17" s="414"/>
      <c r="DTJ17" s="414"/>
      <c r="DTK17" s="414"/>
      <c r="DTL17" s="414"/>
      <c r="DTM17" s="414"/>
      <c r="DTN17" s="414"/>
      <c r="DTO17" s="414"/>
      <c r="DTP17" s="414"/>
      <c r="DTQ17" s="414"/>
      <c r="DTR17" s="414"/>
      <c r="DTS17" s="414"/>
      <c r="DTT17" s="414"/>
      <c r="DTU17" s="414"/>
      <c r="DTV17" s="414"/>
      <c r="DTW17" s="414"/>
      <c r="DTX17" s="414"/>
      <c r="DTY17" s="414"/>
      <c r="DTZ17" s="414"/>
      <c r="DUA17" s="414"/>
      <c r="DUB17" s="414"/>
      <c r="DUC17" s="414"/>
      <c r="DUD17" s="414"/>
      <c r="DUE17" s="414"/>
      <c r="DUF17" s="414"/>
      <c r="DUG17" s="414"/>
      <c r="DUH17" s="414"/>
      <c r="DUI17" s="414"/>
      <c r="DUJ17" s="414"/>
      <c r="DUK17" s="414"/>
      <c r="DUL17" s="414"/>
      <c r="DUM17" s="414"/>
      <c r="DUN17" s="414"/>
      <c r="DUO17" s="414"/>
      <c r="DUP17" s="414"/>
      <c r="DUQ17" s="414"/>
      <c r="DUR17" s="414"/>
      <c r="DUS17" s="414"/>
      <c r="DUT17" s="414"/>
      <c r="DUU17" s="414"/>
      <c r="DUV17" s="414"/>
      <c r="DUW17" s="414"/>
      <c r="DUX17" s="414"/>
      <c r="DUY17" s="414"/>
      <c r="DUZ17" s="414"/>
      <c r="DVA17" s="414"/>
      <c r="DVB17" s="414"/>
      <c r="DVC17" s="414"/>
      <c r="DVD17" s="414"/>
      <c r="DVE17" s="414"/>
      <c r="DVF17" s="414"/>
      <c r="DVG17" s="414"/>
      <c r="DVH17" s="414"/>
      <c r="DVI17" s="414"/>
      <c r="DVJ17" s="414"/>
      <c r="DVK17" s="414"/>
      <c r="DVL17" s="414"/>
      <c r="DVM17" s="414"/>
      <c r="DVN17" s="414"/>
      <c r="DVO17" s="414"/>
      <c r="DVP17" s="414"/>
      <c r="DVQ17" s="414"/>
      <c r="DVR17" s="414"/>
      <c r="DVS17" s="414"/>
      <c r="DVT17" s="414"/>
      <c r="DVU17" s="414"/>
      <c r="DVV17" s="414"/>
      <c r="DVW17" s="414"/>
      <c r="DVX17" s="414"/>
      <c r="DVY17" s="414"/>
      <c r="DVZ17" s="414"/>
      <c r="DWA17" s="414"/>
      <c r="DWB17" s="414"/>
      <c r="DWC17" s="414"/>
      <c r="DWD17" s="414"/>
      <c r="DWE17" s="414"/>
      <c r="DWF17" s="414"/>
      <c r="DWG17" s="414"/>
      <c r="DWH17" s="414"/>
      <c r="DWI17" s="414"/>
      <c r="DWJ17" s="414"/>
      <c r="DWK17" s="414"/>
      <c r="DWL17" s="414"/>
      <c r="DWM17" s="414"/>
      <c r="DWN17" s="414"/>
      <c r="DWO17" s="414"/>
      <c r="DWP17" s="414"/>
      <c r="DWQ17" s="414"/>
      <c r="DWR17" s="414"/>
      <c r="DWS17" s="414"/>
      <c r="DWT17" s="414"/>
      <c r="DWU17" s="414"/>
      <c r="DWV17" s="414"/>
      <c r="DWW17" s="414"/>
      <c r="DWX17" s="414"/>
      <c r="DWY17" s="414"/>
      <c r="DWZ17" s="414"/>
      <c r="DXA17" s="414"/>
      <c r="DXB17" s="414"/>
      <c r="DXC17" s="414"/>
      <c r="DXD17" s="414"/>
      <c r="DXE17" s="414"/>
      <c r="DXF17" s="414"/>
      <c r="DXG17" s="414"/>
      <c r="DXH17" s="414"/>
      <c r="DXI17" s="414"/>
      <c r="DXJ17" s="414"/>
      <c r="DXK17" s="414"/>
      <c r="DXL17" s="414"/>
      <c r="DXM17" s="414"/>
      <c r="DXN17" s="414"/>
      <c r="DXO17" s="414"/>
      <c r="DXP17" s="414"/>
      <c r="DXQ17" s="414"/>
      <c r="DXR17" s="414"/>
      <c r="DXS17" s="414"/>
      <c r="DXT17" s="414"/>
      <c r="DXU17" s="414"/>
      <c r="DXV17" s="414"/>
      <c r="DXW17" s="414"/>
      <c r="DXX17" s="414"/>
      <c r="DXY17" s="414"/>
      <c r="DXZ17" s="414"/>
      <c r="DYA17" s="414"/>
      <c r="DYB17" s="414"/>
      <c r="DYC17" s="414"/>
      <c r="DYD17" s="414"/>
      <c r="DYE17" s="414"/>
      <c r="DYF17" s="414"/>
      <c r="DYG17" s="414"/>
      <c r="DYH17" s="414"/>
      <c r="DYI17" s="414"/>
      <c r="DYJ17" s="414"/>
      <c r="DYK17" s="414"/>
      <c r="DYL17" s="414"/>
      <c r="DYM17" s="414"/>
      <c r="DYN17" s="414"/>
      <c r="DYO17" s="414"/>
      <c r="DYP17" s="414"/>
      <c r="DYQ17" s="414"/>
      <c r="DYR17" s="414"/>
      <c r="DYS17" s="414"/>
      <c r="DYT17" s="414"/>
      <c r="DYU17" s="414"/>
      <c r="DYV17" s="414"/>
      <c r="DYW17" s="414"/>
      <c r="DYX17" s="414"/>
      <c r="DYY17" s="414"/>
      <c r="DYZ17" s="414"/>
      <c r="DZA17" s="414"/>
      <c r="DZB17" s="414"/>
      <c r="DZC17" s="414"/>
      <c r="DZD17" s="414"/>
      <c r="DZE17" s="414"/>
      <c r="DZF17" s="414"/>
      <c r="DZG17" s="414"/>
      <c r="DZH17" s="414"/>
      <c r="DZI17" s="414"/>
      <c r="DZJ17" s="414"/>
      <c r="DZK17" s="414"/>
      <c r="DZL17" s="414"/>
      <c r="DZM17" s="414"/>
      <c r="DZN17" s="414"/>
      <c r="DZO17" s="414"/>
      <c r="DZP17" s="414"/>
      <c r="DZQ17" s="414"/>
      <c r="DZR17" s="414"/>
      <c r="DZS17" s="414"/>
      <c r="DZT17" s="414"/>
      <c r="DZU17" s="414"/>
      <c r="DZV17" s="414"/>
      <c r="DZW17" s="414"/>
      <c r="DZX17" s="414"/>
      <c r="DZY17" s="414"/>
      <c r="DZZ17" s="414"/>
      <c r="EAA17" s="414"/>
      <c r="EAB17" s="414"/>
      <c r="EAC17" s="414"/>
      <c r="EAD17" s="414"/>
      <c r="EAE17" s="414"/>
      <c r="EAF17" s="414"/>
      <c r="EAG17" s="414"/>
      <c r="EAH17" s="414"/>
      <c r="EAI17" s="414"/>
      <c r="EAJ17" s="414"/>
      <c r="EAK17" s="414"/>
      <c r="EAL17" s="414"/>
      <c r="EAM17" s="414"/>
      <c r="EAN17" s="414"/>
      <c r="EAO17" s="414"/>
      <c r="EAP17" s="414"/>
      <c r="EAQ17" s="414"/>
      <c r="EAR17" s="414"/>
      <c r="EAS17" s="414"/>
      <c r="EAT17" s="414"/>
      <c r="EAU17" s="414"/>
      <c r="EAV17" s="414"/>
      <c r="EAW17" s="414"/>
      <c r="EAX17" s="414"/>
      <c r="EAY17" s="414"/>
      <c r="EAZ17" s="414"/>
      <c r="EBA17" s="414"/>
      <c r="EBB17" s="414"/>
      <c r="EBC17" s="414"/>
      <c r="EBD17" s="414"/>
      <c r="EBE17" s="414"/>
      <c r="EBF17" s="414"/>
      <c r="EBG17" s="414"/>
      <c r="EBH17" s="414"/>
      <c r="EBI17" s="414"/>
      <c r="EBJ17" s="414"/>
      <c r="EBK17" s="414"/>
      <c r="EBL17" s="414"/>
      <c r="EBM17" s="414"/>
      <c r="EBN17" s="414"/>
      <c r="EBO17" s="414"/>
      <c r="EBP17" s="414"/>
      <c r="EBQ17" s="414"/>
      <c r="EBR17" s="414"/>
      <c r="EBS17" s="414"/>
      <c r="EBT17" s="414"/>
      <c r="EBU17" s="414"/>
      <c r="EBV17" s="414"/>
      <c r="EBW17" s="414"/>
      <c r="EBX17" s="414"/>
      <c r="EBY17" s="414"/>
      <c r="EBZ17" s="414"/>
      <c r="ECA17" s="414"/>
      <c r="ECB17" s="414"/>
      <c r="ECC17" s="414"/>
      <c r="ECD17" s="414"/>
      <c r="ECE17" s="414"/>
      <c r="ECF17" s="414"/>
      <c r="ECG17" s="414"/>
      <c r="ECH17" s="414"/>
      <c r="ECI17" s="414"/>
      <c r="ECJ17" s="414"/>
      <c r="ECK17" s="414"/>
      <c r="ECL17" s="414"/>
      <c r="ECM17" s="414"/>
      <c r="ECN17" s="414"/>
      <c r="ECO17" s="414"/>
      <c r="ECP17" s="414"/>
      <c r="ECQ17" s="414"/>
      <c r="ECR17" s="414"/>
      <c r="ECS17" s="414"/>
      <c r="ECT17" s="414"/>
      <c r="ECU17" s="414"/>
      <c r="ECV17" s="414"/>
      <c r="ECW17" s="414"/>
      <c r="ECX17" s="414"/>
      <c r="ECY17" s="414"/>
      <c r="ECZ17" s="414"/>
      <c r="EDA17" s="414"/>
      <c r="EDB17" s="414"/>
      <c r="EDC17" s="414"/>
      <c r="EDD17" s="414"/>
      <c r="EDE17" s="414"/>
      <c r="EDF17" s="414"/>
      <c r="EDG17" s="414"/>
      <c r="EDH17" s="414"/>
      <c r="EDI17" s="414"/>
      <c r="EDJ17" s="414"/>
      <c r="EDK17" s="414"/>
      <c r="EDL17" s="414"/>
      <c r="EDM17" s="414"/>
      <c r="EDN17" s="414"/>
      <c r="EDO17" s="414"/>
      <c r="EDP17" s="414"/>
      <c r="EDQ17" s="414"/>
      <c r="EDR17" s="414"/>
      <c r="EDS17" s="414"/>
      <c r="EDT17" s="414"/>
      <c r="EDU17" s="414"/>
      <c r="EDV17" s="414"/>
      <c r="EDW17" s="414"/>
      <c r="EDX17" s="414"/>
      <c r="EDY17" s="414"/>
      <c r="EDZ17" s="414"/>
      <c r="EEA17" s="414"/>
      <c r="EEB17" s="414"/>
      <c r="EEC17" s="414"/>
      <c r="EED17" s="414"/>
      <c r="EEE17" s="414"/>
      <c r="EEF17" s="414"/>
      <c r="EEG17" s="414"/>
      <c r="EEH17" s="414"/>
      <c r="EEI17" s="414"/>
      <c r="EEJ17" s="414"/>
      <c r="EEK17" s="414"/>
      <c r="EEL17" s="414"/>
      <c r="EEM17" s="414"/>
      <c r="EEN17" s="414"/>
      <c r="EEO17" s="414"/>
      <c r="EEP17" s="414"/>
      <c r="EEQ17" s="414"/>
      <c r="EER17" s="414"/>
      <c r="EES17" s="414"/>
      <c r="EET17" s="414"/>
      <c r="EEU17" s="414"/>
      <c r="EEV17" s="414"/>
      <c r="EEW17" s="414"/>
      <c r="EEX17" s="414"/>
      <c r="EEY17" s="414"/>
      <c r="EEZ17" s="414"/>
      <c r="EFA17" s="414"/>
      <c r="EFB17" s="414"/>
      <c r="EFC17" s="414"/>
      <c r="EFD17" s="414"/>
      <c r="EFE17" s="414"/>
      <c r="EFF17" s="414"/>
      <c r="EFG17" s="414"/>
      <c r="EFH17" s="414"/>
      <c r="EFI17" s="414"/>
      <c r="EFJ17" s="414"/>
      <c r="EFK17" s="414"/>
      <c r="EFL17" s="414"/>
      <c r="EFM17" s="414"/>
      <c r="EFN17" s="414"/>
      <c r="EFO17" s="414"/>
      <c r="EFP17" s="414"/>
      <c r="EFQ17" s="414"/>
      <c r="EFR17" s="414"/>
      <c r="EFS17" s="414"/>
      <c r="EFT17" s="414"/>
      <c r="EFU17" s="414"/>
      <c r="EFV17" s="414"/>
      <c r="EFW17" s="414"/>
      <c r="EFX17" s="414"/>
      <c r="EFY17" s="414"/>
      <c r="EFZ17" s="414"/>
      <c r="EGA17" s="414"/>
      <c r="EGB17" s="414"/>
      <c r="EGC17" s="414"/>
      <c r="EGD17" s="414"/>
      <c r="EGE17" s="414"/>
      <c r="EGF17" s="414"/>
      <c r="EGG17" s="414"/>
      <c r="EGH17" s="414"/>
      <c r="EGI17" s="414"/>
      <c r="EGJ17" s="414"/>
      <c r="EGK17" s="414"/>
      <c r="EGL17" s="414"/>
      <c r="EGM17" s="414"/>
      <c r="EGN17" s="414"/>
      <c r="EGO17" s="414"/>
      <c r="EGP17" s="414"/>
      <c r="EGQ17" s="414"/>
      <c r="EGR17" s="414"/>
      <c r="EGS17" s="414"/>
      <c r="EGT17" s="414"/>
      <c r="EGU17" s="414"/>
      <c r="EGV17" s="414"/>
      <c r="EGW17" s="414"/>
      <c r="EGX17" s="414"/>
      <c r="EGY17" s="414"/>
      <c r="EGZ17" s="414"/>
      <c r="EHA17" s="414"/>
      <c r="EHB17" s="414"/>
      <c r="EHC17" s="414"/>
      <c r="EHD17" s="414"/>
      <c r="EHE17" s="414"/>
      <c r="EHF17" s="414"/>
      <c r="EHG17" s="414"/>
      <c r="EHH17" s="414"/>
      <c r="EHI17" s="414"/>
      <c r="EHJ17" s="414"/>
      <c r="EHK17" s="414"/>
      <c r="EHL17" s="414"/>
      <c r="EHM17" s="414"/>
      <c r="EHN17" s="414"/>
      <c r="EHO17" s="414"/>
      <c r="EHP17" s="414"/>
      <c r="EHQ17" s="414"/>
      <c r="EHR17" s="414"/>
      <c r="EHS17" s="414"/>
      <c r="EHT17" s="414"/>
      <c r="EHU17" s="414"/>
      <c r="EHV17" s="414"/>
      <c r="EHW17" s="414"/>
      <c r="EHX17" s="414"/>
      <c r="EHY17" s="414"/>
      <c r="EHZ17" s="414"/>
      <c r="EIA17" s="414"/>
      <c r="EIB17" s="414"/>
      <c r="EIC17" s="414"/>
      <c r="EID17" s="414"/>
      <c r="EIE17" s="414"/>
      <c r="EIF17" s="414"/>
      <c r="EIG17" s="414"/>
      <c r="EIH17" s="414"/>
      <c r="EII17" s="414"/>
      <c r="EIJ17" s="414"/>
      <c r="EIK17" s="414"/>
      <c r="EIL17" s="414"/>
      <c r="EIM17" s="414"/>
      <c r="EIN17" s="414"/>
      <c r="EIO17" s="414"/>
      <c r="EIP17" s="414"/>
      <c r="EIQ17" s="414"/>
      <c r="EIR17" s="414"/>
      <c r="EIS17" s="414"/>
      <c r="EIT17" s="414"/>
      <c r="EIU17" s="414"/>
      <c r="EIV17" s="414"/>
      <c r="EIW17" s="414"/>
      <c r="EIX17" s="414"/>
      <c r="EIY17" s="414"/>
      <c r="EIZ17" s="414"/>
      <c r="EJA17" s="414"/>
      <c r="EJB17" s="414"/>
      <c r="EJC17" s="414"/>
      <c r="EJD17" s="414"/>
      <c r="EJE17" s="414"/>
      <c r="EJF17" s="414"/>
      <c r="EJG17" s="414"/>
      <c r="EJH17" s="414"/>
      <c r="EJI17" s="414"/>
      <c r="EJJ17" s="414"/>
      <c r="EJK17" s="414"/>
      <c r="EJL17" s="414"/>
      <c r="EJM17" s="414"/>
      <c r="EJN17" s="414"/>
      <c r="EJO17" s="414"/>
      <c r="EJP17" s="414"/>
      <c r="EJQ17" s="414"/>
      <c r="EJR17" s="414"/>
      <c r="EJS17" s="414"/>
      <c r="EJT17" s="414"/>
      <c r="EJU17" s="414"/>
      <c r="EJV17" s="414"/>
      <c r="EJW17" s="414"/>
      <c r="EJX17" s="414"/>
      <c r="EJY17" s="414"/>
      <c r="EJZ17" s="414"/>
      <c r="EKA17" s="414"/>
      <c r="EKB17" s="414"/>
      <c r="EKC17" s="414"/>
      <c r="EKD17" s="414"/>
      <c r="EKE17" s="414"/>
      <c r="EKF17" s="414"/>
      <c r="EKG17" s="414"/>
      <c r="EKH17" s="414"/>
      <c r="EKI17" s="414"/>
      <c r="EKJ17" s="414"/>
      <c r="EKK17" s="414"/>
      <c r="EKL17" s="414"/>
      <c r="EKM17" s="414"/>
      <c r="EKN17" s="414"/>
      <c r="EKO17" s="414"/>
      <c r="EKP17" s="414"/>
      <c r="EKQ17" s="414"/>
      <c r="EKR17" s="414"/>
      <c r="EKS17" s="414"/>
      <c r="EKT17" s="414"/>
      <c r="EKU17" s="414"/>
      <c r="EKV17" s="414"/>
      <c r="EKW17" s="414"/>
      <c r="EKX17" s="414"/>
      <c r="EKY17" s="414"/>
      <c r="EKZ17" s="414"/>
      <c r="ELA17" s="414"/>
      <c r="ELB17" s="414"/>
      <c r="ELC17" s="414"/>
      <c r="ELD17" s="414"/>
      <c r="ELE17" s="414"/>
      <c r="ELF17" s="414"/>
      <c r="ELG17" s="414"/>
      <c r="ELH17" s="414"/>
      <c r="ELI17" s="414"/>
      <c r="ELJ17" s="414"/>
      <c r="ELK17" s="414"/>
      <c r="ELL17" s="414"/>
      <c r="ELM17" s="414"/>
      <c r="ELN17" s="414"/>
      <c r="ELO17" s="414"/>
      <c r="ELP17" s="414"/>
      <c r="ELQ17" s="414"/>
      <c r="ELR17" s="414"/>
      <c r="ELS17" s="414"/>
      <c r="ELT17" s="414"/>
      <c r="ELU17" s="414"/>
      <c r="ELV17" s="414"/>
      <c r="ELW17" s="414"/>
      <c r="ELX17" s="414"/>
      <c r="ELY17" s="414"/>
      <c r="ELZ17" s="414"/>
      <c r="EMA17" s="414"/>
      <c r="EMB17" s="414"/>
      <c r="EMC17" s="414"/>
      <c r="EMD17" s="414"/>
      <c r="EME17" s="414"/>
      <c r="EMF17" s="414"/>
      <c r="EMG17" s="414"/>
      <c r="EMH17" s="414"/>
      <c r="EMI17" s="414"/>
      <c r="EMJ17" s="414"/>
      <c r="EMK17" s="414"/>
      <c r="EML17" s="414"/>
      <c r="EMM17" s="414"/>
      <c r="EMN17" s="414"/>
      <c r="EMO17" s="414"/>
      <c r="EMP17" s="414"/>
      <c r="EMQ17" s="414"/>
      <c r="EMR17" s="414"/>
      <c r="EMS17" s="414"/>
      <c r="EMT17" s="414"/>
      <c r="EMU17" s="414"/>
      <c r="EMV17" s="414"/>
      <c r="EMW17" s="414"/>
      <c r="EMX17" s="414"/>
      <c r="EMY17" s="414"/>
      <c r="EMZ17" s="414"/>
      <c r="ENA17" s="414"/>
      <c r="ENB17" s="414"/>
      <c r="ENC17" s="414"/>
      <c r="END17" s="414"/>
      <c r="ENE17" s="414"/>
      <c r="ENF17" s="414"/>
      <c r="ENG17" s="414"/>
      <c r="ENH17" s="414"/>
      <c r="ENI17" s="414"/>
      <c r="ENJ17" s="414"/>
      <c r="ENK17" s="414"/>
      <c r="ENL17" s="414"/>
      <c r="ENM17" s="414"/>
      <c r="ENN17" s="414"/>
      <c r="ENO17" s="414"/>
      <c r="ENP17" s="414"/>
      <c r="ENQ17" s="414"/>
      <c r="ENR17" s="414"/>
      <c r="ENS17" s="414"/>
      <c r="ENT17" s="414"/>
      <c r="ENU17" s="414"/>
      <c r="ENV17" s="414"/>
      <c r="ENW17" s="414"/>
      <c r="ENX17" s="414"/>
      <c r="ENY17" s="414"/>
      <c r="ENZ17" s="414"/>
      <c r="EOA17" s="414"/>
      <c r="EOB17" s="414"/>
      <c r="EOC17" s="414"/>
      <c r="EOD17" s="414"/>
      <c r="EOE17" s="414"/>
      <c r="EOF17" s="414"/>
      <c r="EOG17" s="414"/>
      <c r="EOH17" s="414"/>
      <c r="EOI17" s="414"/>
      <c r="EOJ17" s="414"/>
      <c r="EOK17" s="414"/>
      <c r="EOL17" s="414"/>
      <c r="EOM17" s="414"/>
      <c r="EON17" s="414"/>
      <c r="EOO17" s="414"/>
      <c r="EOP17" s="414"/>
      <c r="EOQ17" s="414"/>
      <c r="EOR17" s="414"/>
      <c r="EOS17" s="414"/>
      <c r="EOT17" s="414"/>
      <c r="EOU17" s="414"/>
      <c r="EOV17" s="414"/>
      <c r="EOW17" s="414"/>
      <c r="EOX17" s="414"/>
      <c r="EOY17" s="414"/>
      <c r="EOZ17" s="414"/>
      <c r="EPA17" s="414"/>
      <c r="EPB17" s="414"/>
      <c r="EPC17" s="414"/>
      <c r="EPD17" s="414"/>
      <c r="EPE17" s="414"/>
      <c r="EPF17" s="414"/>
      <c r="EPG17" s="414"/>
      <c r="EPH17" s="414"/>
      <c r="EPI17" s="414"/>
      <c r="EPJ17" s="414"/>
      <c r="EPK17" s="414"/>
      <c r="EPL17" s="414"/>
      <c r="EPM17" s="414"/>
      <c r="EPN17" s="414"/>
      <c r="EPO17" s="414"/>
      <c r="EPP17" s="414"/>
      <c r="EPQ17" s="414"/>
      <c r="EPR17" s="414"/>
      <c r="EPS17" s="414"/>
      <c r="EPT17" s="414"/>
      <c r="EPU17" s="414"/>
      <c r="EPV17" s="414"/>
      <c r="EPW17" s="414"/>
      <c r="EPX17" s="414"/>
      <c r="EPY17" s="414"/>
      <c r="EPZ17" s="414"/>
      <c r="EQA17" s="414"/>
      <c r="EQB17" s="414"/>
      <c r="EQC17" s="414"/>
      <c r="EQD17" s="414"/>
      <c r="EQE17" s="414"/>
      <c r="EQF17" s="414"/>
      <c r="EQG17" s="414"/>
      <c r="EQH17" s="414"/>
      <c r="EQI17" s="414"/>
      <c r="EQJ17" s="414"/>
      <c r="EQK17" s="414"/>
      <c r="EQL17" s="414"/>
      <c r="EQM17" s="414"/>
      <c r="EQN17" s="414"/>
      <c r="EQO17" s="414"/>
      <c r="EQP17" s="414"/>
      <c r="EQQ17" s="414"/>
      <c r="EQR17" s="414"/>
      <c r="EQS17" s="414"/>
      <c r="EQT17" s="414"/>
      <c r="EQU17" s="414"/>
      <c r="EQV17" s="414"/>
      <c r="EQW17" s="414"/>
      <c r="EQX17" s="414"/>
      <c r="EQY17" s="414"/>
      <c r="EQZ17" s="414"/>
      <c r="ERA17" s="414"/>
      <c r="ERB17" s="414"/>
      <c r="ERC17" s="414"/>
      <c r="ERD17" s="414"/>
      <c r="ERE17" s="414"/>
      <c r="ERF17" s="414"/>
      <c r="ERG17" s="414"/>
      <c r="ERH17" s="414"/>
      <c r="ERI17" s="414"/>
      <c r="ERJ17" s="414"/>
      <c r="ERK17" s="414"/>
      <c r="ERL17" s="414"/>
      <c r="ERM17" s="414"/>
      <c r="ERN17" s="414"/>
      <c r="ERO17" s="414"/>
      <c r="ERP17" s="414"/>
      <c r="ERQ17" s="414"/>
      <c r="ERR17" s="414"/>
      <c r="ERS17" s="414"/>
      <c r="ERT17" s="414"/>
      <c r="ERU17" s="414"/>
      <c r="ERV17" s="414"/>
      <c r="ERW17" s="414"/>
      <c r="ERX17" s="414"/>
      <c r="ERY17" s="414"/>
      <c r="ERZ17" s="414"/>
      <c r="ESA17" s="414"/>
      <c r="ESB17" s="414"/>
      <c r="ESC17" s="414"/>
      <c r="ESD17" s="414"/>
      <c r="ESE17" s="414"/>
      <c r="ESF17" s="414"/>
      <c r="ESG17" s="414"/>
      <c r="ESH17" s="414"/>
      <c r="ESI17" s="414"/>
      <c r="ESJ17" s="414"/>
      <c r="ESK17" s="414"/>
      <c r="ESL17" s="414"/>
      <c r="ESM17" s="414"/>
      <c r="ESN17" s="414"/>
      <c r="ESO17" s="414"/>
      <c r="ESP17" s="414"/>
      <c r="ESQ17" s="414"/>
      <c r="ESR17" s="414"/>
      <c r="ESS17" s="414"/>
      <c r="EST17" s="414"/>
      <c r="ESU17" s="414"/>
      <c r="ESV17" s="414"/>
      <c r="ESW17" s="414"/>
      <c r="ESX17" s="414"/>
      <c r="ESY17" s="414"/>
      <c r="ESZ17" s="414"/>
      <c r="ETA17" s="414"/>
      <c r="ETB17" s="414"/>
      <c r="ETC17" s="414"/>
      <c r="ETD17" s="414"/>
      <c r="ETE17" s="414"/>
      <c r="ETF17" s="414"/>
      <c r="ETG17" s="414"/>
      <c r="ETH17" s="414"/>
      <c r="ETI17" s="414"/>
      <c r="ETJ17" s="414"/>
      <c r="ETK17" s="414"/>
      <c r="ETL17" s="414"/>
      <c r="ETM17" s="414"/>
      <c r="ETN17" s="414"/>
      <c r="ETO17" s="414"/>
      <c r="ETP17" s="414"/>
      <c r="ETQ17" s="414"/>
      <c r="ETR17" s="414"/>
      <c r="ETS17" s="414"/>
      <c r="ETT17" s="414"/>
      <c r="ETU17" s="414"/>
      <c r="ETV17" s="414"/>
      <c r="ETW17" s="414"/>
      <c r="ETX17" s="414"/>
      <c r="ETY17" s="414"/>
      <c r="ETZ17" s="414"/>
      <c r="EUA17" s="414"/>
      <c r="EUB17" s="414"/>
      <c r="EUC17" s="414"/>
      <c r="EUD17" s="414"/>
      <c r="EUE17" s="414"/>
      <c r="EUF17" s="414"/>
      <c r="EUG17" s="414"/>
      <c r="EUH17" s="414"/>
      <c r="EUI17" s="414"/>
      <c r="EUJ17" s="414"/>
      <c r="EUK17" s="414"/>
      <c r="EUL17" s="414"/>
      <c r="EUM17" s="414"/>
      <c r="EUN17" s="414"/>
      <c r="EUO17" s="414"/>
      <c r="EUP17" s="414"/>
      <c r="EUQ17" s="414"/>
      <c r="EUR17" s="414"/>
      <c r="EUS17" s="414"/>
      <c r="EUT17" s="414"/>
      <c r="EUU17" s="414"/>
      <c r="EUV17" s="414"/>
      <c r="EUW17" s="414"/>
      <c r="EUX17" s="414"/>
      <c r="EUY17" s="414"/>
      <c r="EUZ17" s="414"/>
      <c r="EVA17" s="414"/>
      <c r="EVB17" s="414"/>
      <c r="EVC17" s="414"/>
      <c r="EVD17" s="414"/>
      <c r="EVE17" s="414"/>
      <c r="EVF17" s="414"/>
      <c r="EVG17" s="414"/>
      <c r="EVH17" s="414"/>
      <c r="EVI17" s="414"/>
      <c r="EVJ17" s="414"/>
      <c r="EVK17" s="414"/>
      <c r="EVL17" s="414"/>
      <c r="EVM17" s="414"/>
      <c r="EVN17" s="414"/>
      <c r="EVO17" s="414"/>
      <c r="EVP17" s="414"/>
      <c r="EVQ17" s="414"/>
      <c r="EVR17" s="414"/>
      <c r="EVS17" s="414"/>
      <c r="EVT17" s="414"/>
      <c r="EVU17" s="414"/>
      <c r="EVV17" s="414"/>
      <c r="EVW17" s="414"/>
      <c r="EVX17" s="414"/>
      <c r="EVY17" s="414"/>
      <c r="EVZ17" s="414"/>
      <c r="EWA17" s="414"/>
      <c r="EWB17" s="414"/>
      <c r="EWC17" s="414"/>
      <c r="EWD17" s="414"/>
      <c r="EWE17" s="414"/>
      <c r="EWF17" s="414"/>
      <c r="EWG17" s="414"/>
      <c r="EWH17" s="414"/>
      <c r="EWI17" s="414"/>
      <c r="EWJ17" s="414"/>
      <c r="EWK17" s="414"/>
      <c r="EWL17" s="414"/>
      <c r="EWM17" s="414"/>
      <c r="EWN17" s="414"/>
      <c r="EWO17" s="414"/>
      <c r="EWP17" s="414"/>
      <c r="EWQ17" s="414"/>
      <c r="EWR17" s="414"/>
      <c r="EWS17" s="414"/>
      <c r="EWT17" s="414"/>
      <c r="EWU17" s="414"/>
      <c r="EWV17" s="414"/>
      <c r="EWW17" s="414"/>
      <c r="EWX17" s="414"/>
      <c r="EWY17" s="414"/>
      <c r="EWZ17" s="414"/>
      <c r="EXA17" s="414"/>
      <c r="EXB17" s="414"/>
      <c r="EXC17" s="414"/>
      <c r="EXD17" s="414"/>
      <c r="EXE17" s="414"/>
      <c r="EXF17" s="414"/>
      <c r="EXG17" s="414"/>
      <c r="EXH17" s="414"/>
      <c r="EXI17" s="414"/>
      <c r="EXJ17" s="414"/>
      <c r="EXK17" s="414"/>
      <c r="EXL17" s="414"/>
      <c r="EXM17" s="414"/>
      <c r="EXN17" s="414"/>
      <c r="EXO17" s="414"/>
      <c r="EXP17" s="414"/>
      <c r="EXQ17" s="414"/>
      <c r="EXR17" s="414"/>
      <c r="EXS17" s="414"/>
      <c r="EXT17" s="414"/>
      <c r="EXU17" s="414"/>
      <c r="EXV17" s="414"/>
      <c r="EXW17" s="414"/>
      <c r="EXX17" s="414"/>
      <c r="EXY17" s="414"/>
      <c r="EXZ17" s="414"/>
      <c r="EYA17" s="414"/>
      <c r="EYB17" s="414"/>
      <c r="EYC17" s="414"/>
      <c r="EYD17" s="414"/>
      <c r="EYE17" s="414"/>
      <c r="EYF17" s="414"/>
      <c r="EYG17" s="414"/>
      <c r="EYH17" s="414"/>
      <c r="EYI17" s="414"/>
      <c r="EYJ17" s="414"/>
      <c r="EYK17" s="414"/>
      <c r="EYL17" s="414"/>
      <c r="EYM17" s="414"/>
      <c r="EYN17" s="414"/>
      <c r="EYO17" s="414"/>
      <c r="EYP17" s="414"/>
      <c r="EYQ17" s="414"/>
      <c r="EYR17" s="414"/>
      <c r="EYS17" s="414"/>
      <c r="EYT17" s="414"/>
      <c r="EYU17" s="414"/>
      <c r="EYV17" s="414"/>
      <c r="EYW17" s="414"/>
      <c r="EYX17" s="414"/>
      <c r="EYY17" s="414"/>
      <c r="EYZ17" s="414"/>
      <c r="EZA17" s="414"/>
      <c r="EZB17" s="414"/>
      <c r="EZC17" s="414"/>
      <c r="EZD17" s="414"/>
      <c r="EZE17" s="414"/>
      <c r="EZF17" s="414"/>
      <c r="EZG17" s="414"/>
      <c r="EZH17" s="414"/>
      <c r="EZI17" s="414"/>
      <c r="EZJ17" s="414"/>
      <c r="EZK17" s="414"/>
      <c r="EZL17" s="414"/>
      <c r="EZM17" s="414"/>
      <c r="EZN17" s="414"/>
      <c r="EZO17" s="414"/>
      <c r="EZP17" s="414"/>
      <c r="EZQ17" s="414"/>
      <c r="EZR17" s="414"/>
      <c r="EZS17" s="414"/>
      <c r="EZT17" s="414"/>
      <c r="EZU17" s="414"/>
      <c r="EZV17" s="414"/>
      <c r="EZW17" s="414"/>
      <c r="EZX17" s="414"/>
      <c r="EZY17" s="414"/>
      <c r="EZZ17" s="414"/>
      <c r="FAA17" s="414"/>
      <c r="FAB17" s="414"/>
      <c r="FAC17" s="414"/>
      <c r="FAD17" s="414"/>
      <c r="FAE17" s="414"/>
      <c r="FAF17" s="414"/>
      <c r="FAG17" s="414"/>
      <c r="FAH17" s="414"/>
      <c r="FAI17" s="414"/>
      <c r="FAJ17" s="414"/>
      <c r="FAK17" s="414"/>
      <c r="FAL17" s="414"/>
      <c r="FAM17" s="414"/>
      <c r="FAN17" s="414"/>
      <c r="FAO17" s="414"/>
      <c r="FAP17" s="414"/>
      <c r="FAQ17" s="414"/>
      <c r="FAR17" s="414"/>
      <c r="FAS17" s="414"/>
      <c r="FAT17" s="414"/>
      <c r="FAU17" s="414"/>
      <c r="FAV17" s="414"/>
      <c r="FAW17" s="414"/>
      <c r="FAX17" s="414"/>
      <c r="FAY17" s="414"/>
      <c r="FAZ17" s="414"/>
      <c r="FBA17" s="414"/>
      <c r="FBB17" s="414"/>
      <c r="FBC17" s="414"/>
      <c r="FBD17" s="414"/>
      <c r="FBE17" s="414"/>
      <c r="FBF17" s="414"/>
      <c r="FBG17" s="414"/>
      <c r="FBH17" s="414"/>
      <c r="FBI17" s="414"/>
      <c r="FBJ17" s="414"/>
      <c r="FBK17" s="414"/>
      <c r="FBL17" s="414"/>
      <c r="FBM17" s="414"/>
      <c r="FBN17" s="414"/>
      <c r="FBO17" s="414"/>
      <c r="FBP17" s="414"/>
      <c r="FBQ17" s="414"/>
      <c r="FBR17" s="414"/>
      <c r="FBS17" s="414"/>
      <c r="FBT17" s="414"/>
      <c r="FBU17" s="414"/>
      <c r="FBV17" s="414"/>
      <c r="FBW17" s="414"/>
      <c r="FBX17" s="414"/>
      <c r="FBY17" s="414"/>
      <c r="FBZ17" s="414"/>
      <c r="FCA17" s="414"/>
      <c r="FCB17" s="414"/>
      <c r="FCC17" s="414"/>
      <c r="FCD17" s="414"/>
      <c r="FCE17" s="414"/>
      <c r="FCF17" s="414"/>
      <c r="FCG17" s="414"/>
      <c r="FCH17" s="414"/>
      <c r="FCI17" s="414"/>
      <c r="FCJ17" s="414"/>
      <c r="FCK17" s="414"/>
      <c r="FCL17" s="414"/>
      <c r="FCM17" s="414"/>
      <c r="FCN17" s="414"/>
      <c r="FCO17" s="414"/>
      <c r="FCP17" s="414"/>
      <c r="FCQ17" s="414"/>
      <c r="FCR17" s="414"/>
      <c r="FCS17" s="414"/>
      <c r="FCT17" s="414"/>
      <c r="FCU17" s="414"/>
      <c r="FCV17" s="414"/>
      <c r="FCW17" s="414"/>
      <c r="FCX17" s="414"/>
      <c r="FCY17" s="414"/>
      <c r="FCZ17" s="414"/>
      <c r="FDA17" s="414"/>
      <c r="FDB17" s="414"/>
      <c r="FDC17" s="414"/>
      <c r="FDD17" s="414"/>
      <c r="FDE17" s="414"/>
      <c r="FDF17" s="414"/>
      <c r="FDG17" s="414"/>
      <c r="FDH17" s="414"/>
      <c r="FDI17" s="414"/>
      <c r="FDJ17" s="414"/>
      <c r="FDK17" s="414"/>
      <c r="FDL17" s="414"/>
      <c r="FDM17" s="414"/>
      <c r="FDN17" s="414"/>
      <c r="FDO17" s="414"/>
      <c r="FDP17" s="414"/>
      <c r="FDQ17" s="414"/>
      <c r="FDR17" s="414"/>
      <c r="FDS17" s="414"/>
      <c r="FDT17" s="414"/>
      <c r="FDU17" s="414"/>
      <c r="FDV17" s="414"/>
      <c r="FDW17" s="414"/>
      <c r="FDX17" s="414"/>
      <c r="FDY17" s="414"/>
      <c r="FDZ17" s="414"/>
      <c r="FEA17" s="414"/>
      <c r="FEB17" s="414"/>
      <c r="FEC17" s="414"/>
      <c r="FED17" s="414"/>
      <c r="FEE17" s="414"/>
      <c r="FEF17" s="414"/>
      <c r="FEG17" s="414"/>
      <c r="FEH17" s="414"/>
      <c r="FEI17" s="414"/>
      <c r="FEJ17" s="414"/>
      <c r="FEK17" s="414"/>
      <c r="FEL17" s="414"/>
      <c r="FEM17" s="414"/>
      <c r="FEN17" s="414"/>
      <c r="FEO17" s="414"/>
      <c r="FEP17" s="414"/>
      <c r="FEQ17" s="414"/>
      <c r="FER17" s="414"/>
      <c r="FES17" s="414"/>
      <c r="FET17" s="414"/>
      <c r="FEU17" s="414"/>
      <c r="FEV17" s="414"/>
      <c r="FEW17" s="414"/>
      <c r="FEX17" s="414"/>
      <c r="FEY17" s="414"/>
      <c r="FEZ17" s="414"/>
      <c r="FFA17" s="414"/>
      <c r="FFB17" s="414"/>
      <c r="FFC17" s="414"/>
      <c r="FFD17" s="414"/>
      <c r="FFE17" s="414"/>
      <c r="FFF17" s="414"/>
      <c r="FFG17" s="414"/>
      <c r="FFH17" s="414"/>
      <c r="FFI17" s="414"/>
      <c r="FFJ17" s="414"/>
      <c r="FFK17" s="414"/>
      <c r="FFL17" s="414"/>
      <c r="FFM17" s="414"/>
      <c r="FFN17" s="414"/>
      <c r="FFO17" s="414"/>
      <c r="FFP17" s="414"/>
      <c r="FFQ17" s="414"/>
      <c r="FFR17" s="414"/>
      <c r="FFS17" s="414"/>
      <c r="FFT17" s="414"/>
      <c r="FFU17" s="414"/>
      <c r="FFV17" s="414"/>
      <c r="FFW17" s="414"/>
      <c r="FFX17" s="414"/>
      <c r="FFY17" s="414"/>
      <c r="FFZ17" s="414"/>
      <c r="FGA17" s="414"/>
      <c r="FGB17" s="414"/>
      <c r="FGC17" s="414"/>
      <c r="FGD17" s="414"/>
      <c r="FGE17" s="414"/>
      <c r="FGF17" s="414"/>
      <c r="FGG17" s="414"/>
      <c r="FGH17" s="414"/>
      <c r="FGI17" s="414"/>
      <c r="FGJ17" s="414"/>
      <c r="FGK17" s="414"/>
      <c r="FGL17" s="414"/>
      <c r="FGM17" s="414"/>
      <c r="FGN17" s="414"/>
      <c r="FGO17" s="414"/>
      <c r="FGP17" s="414"/>
      <c r="FGQ17" s="414"/>
      <c r="FGR17" s="414"/>
      <c r="FGS17" s="414"/>
      <c r="FGT17" s="414"/>
      <c r="FGU17" s="414"/>
      <c r="FGV17" s="414"/>
      <c r="FGW17" s="414"/>
      <c r="FGX17" s="414"/>
      <c r="FGY17" s="414"/>
      <c r="FGZ17" s="414"/>
      <c r="FHA17" s="414"/>
      <c r="FHB17" s="414"/>
      <c r="FHC17" s="414"/>
      <c r="FHD17" s="414"/>
      <c r="FHE17" s="414"/>
      <c r="FHF17" s="414"/>
      <c r="FHG17" s="414"/>
      <c r="FHH17" s="414"/>
      <c r="FHI17" s="414"/>
      <c r="FHJ17" s="414"/>
      <c r="FHK17" s="414"/>
      <c r="FHL17" s="414"/>
      <c r="FHM17" s="414"/>
      <c r="FHN17" s="414"/>
      <c r="FHO17" s="414"/>
      <c r="FHP17" s="414"/>
      <c r="FHQ17" s="414"/>
      <c r="FHR17" s="414"/>
      <c r="FHS17" s="414"/>
      <c r="FHT17" s="414"/>
      <c r="FHU17" s="414"/>
      <c r="FHV17" s="414"/>
      <c r="FHW17" s="414"/>
      <c r="FHX17" s="414"/>
      <c r="FHY17" s="414"/>
      <c r="FHZ17" s="414"/>
      <c r="FIA17" s="414"/>
      <c r="FIB17" s="414"/>
      <c r="FIC17" s="414"/>
      <c r="FID17" s="414"/>
      <c r="FIE17" s="414"/>
      <c r="FIF17" s="414"/>
      <c r="FIG17" s="414"/>
      <c r="FIH17" s="414"/>
      <c r="FII17" s="414"/>
      <c r="FIJ17" s="414"/>
      <c r="FIK17" s="414"/>
      <c r="FIL17" s="414"/>
      <c r="FIM17" s="414"/>
      <c r="FIN17" s="414"/>
      <c r="FIO17" s="414"/>
      <c r="FIP17" s="414"/>
      <c r="FIQ17" s="414"/>
      <c r="FIR17" s="414"/>
      <c r="FIS17" s="414"/>
      <c r="FIT17" s="414"/>
      <c r="FIU17" s="414"/>
      <c r="FIV17" s="414"/>
      <c r="FIW17" s="414"/>
      <c r="FIX17" s="414"/>
      <c r="FIY17" s="414"/>
      <c r="FIZ17" s="414"/>
      <c r="FJA17" s="414"/>
      <c r="FJB17" s="414"/>
      <c r="FJC17" s="414"/>
      <c r="FJD17" s="414"/>
      <c r="FJE17" s="414"/>
      <c r="FJF17" s="414"/>
      <c r="FJG17" s="414"/>
      <c r="FJH17" s="414"/>
      <c r="FJI17" s="414"/>
      <c r="FJJ17" s="414"/>
      <c r="FJK17" s="414"/>
      <c r="FJL17" s="414"/>
      <c r="FJM17" s="414"/>
      <c r="FJN17" s="414"/>
      <c r="FJO17" s="414"/>
      <c r="FJP17" s="414"/>
      <c r="FJQ17" s="414"/>
      <c r="FJR17" s="414"/>
      <c r="FJS17" s="414"/>
      <c r="FJT17" s="414"/>
      <c r="FJU17" s="414"/>
      <c r="FJV17" s="414"/>
      <c r="FJW17" s="414"/>
      <c r="FJX17" s="414"/>
      <c r="FJY17" s="414"/>
      <c r="FJZ17" s="414"/>
      <c r="FKA17" s="414"/>
      <c r="FKB17" s="414"/>
      <c r="FKC17" s="414"/>
      <c r="FKD17" s="414"/>
      <c r="FKE17" s="414"/>
      <c r="FKF17" s="414"/>
      <c r="FKG17" s="414"/>
      <c r="FKH17" s="414"/>
      <c r="FKI17" s="414"/>
      <c r="FKJ17" s="414"/>
      <c r="FKK17" s="414"/>
      <c r="FKL17" s="414"/>
      <c r="FKM17" s="414"/>
      <c r="FKN17" s="414"/>
      <c r="FKO17" s="414"/>
      <c r="FKP17" s="414"/>
      <c r="FKQ17" s="414"/>
      <c r="FKR17" s="414"/>
      <c r="FKS17" s="414"/>
      <c r="FKT17" s="414"/>
      <c r="FKU17" s="414"/>
      <c r="FKV17" s="414"/>
      <c r="FKW17" s="414"/>
      <c r="FKX17" s="414"/>
      <c r="FKY17" s="414"/>
      <c r="FKZ17" s="414"/>
      <c r="FLA17" s="414"/>
      <c r="FLB17" s="414"/>
      <c r="FLC17" s="414"/>
      <c r="FLD17" s="414"/>
      <c r="FLE17" s="414"/>
      <c r="FLF17" s="414"/>
      <c r="FLG17" s="414"/>
      <c r="FLH17" s="414"/>
      <c r="FLI17" s="414"/>
      <c r="FLJ17" s="414"/>
      <c r="FLK17" s="414"/>
      <c r="FLL17" s="414"/>
      <c r="FLM17" s="414"/>
      <c r="FLN17" s="414"/>
      <c r="FLO17" s="414"/>
      <c r="FLP17" s="414"/>
      <c r="FLQ17" s="414"/>
      <c r="FLR17" s="414"/>
      <c r="FLS17" s="414"/>
      <c r="FLT17" s="414"/>
      <c r="FLU17" s="414"/>
      <c r="FLV17" s="414"/>
      <c r="FLW17" s="414"/>
      <c r="FLX17" s="414"/>
      <c r="FLY17" s="414"/>
      <c r="FLZ17" s="414"/>
      <c r="FMA17" s="414"/>
      <c r="FMB17" s="414"/>
      <c r="FMC17" s="414"/>
      <c r="FMD17" s="414"/>
      <c r="FME17" s="414"/>
      <c r="FMF17" s="414"/>
      <c r="FMG17" s="414"/>
      <c r="FMH17" s="414"/>
      <c r="FMI17" s="414"/>
      <c r="FMJ17" s="414"/>
      <c r="FMK17" s="414"/>
      <c r="FML17" s="414"/>
      <c r="FMM17" s="414"/>
      <c r="FMN17" s="414"/>
      <c r="FMO17" s="414"/>
      <c r="FMP17" s="414"/>
      <c r="FMQ17" s="414"/>
      <c r="FMR17" s="414"/>
      <c r="FMS17" s="414"/>
      <c r="FMT17" s="414"/>
      <c r="FMU17" s="414"/>
      <c r="FMV17" s="414"/>
      <c r="FMW17" s="414"/>
      <c r="FMX17" s="414"/>
      <c r="FMY17" s="414"/>
      <c r="FMZ17" s="414"/>
      <c r="FNA17" s="414"/>
      <c r="FNB17" s="414"/>
      <c r="FNC17" s="414"/>
      <c r="FND17" s="414"/>
      <c r="FNE17" s="414"/>
      <c r="FNF17" s="414"/>
      <c r="FNG17" s="414"/>
      <c r="FNH17" s="414"/>
      <c r="FNI17" s="414"/>
      <c r="FNJ17" s="414"/>
      <c r="FNK17" s="414"/>
      <c r="FNL17" s="414"/>
      <c r="FNM17" s="414"/>
      <c r="FNN17" s="414"/>
      <c r="FNO17" s="414"/>
      <c r="FNP17" s="414"/>
      <c r="FNQ17" s="414"/>
      <c r="FNR17" s="414"/>
      <c r="FNS17" s="414"/>
      <c r="FNT17" s="414"/>
      <c r="FNU17" s="414"/>
      <c r="FNV17" s="414"/>
      <c r="FNW17" s="414"/>
      <c r="FNX17" s="414"/>
      <c r="FNY17" s="414"/>
      <c r="FNZ17" s="414"/>
      <c r="FOA17" s="414"/>
      <c r="FOB17" s="414"/>
      <c r="FOC17" s="414"/>
      <c r="FOD17" s="414"/>
      <c r="FOE17" s="414"/>
      <c r="FOF17" s="414"/>
      <c r="FOG17" s="414"/>
      <c r="FOH17" s="414"/>
      <c r="FOI17" s="414"/>
      <c r="FOJ17" s="414"/>
      <c r="FOK17" s="414"/>
      <c r="FOL17" s="414"/>
      <c r="FOM17" s="414"/>
      <c r="FON17" s="414"/>
      <c r="FOO17" s="414"/>
      <c r="FOP17" s="414"/>
      <c r="FOQ17" s="414"/>
      <c r="FOR17" s="414"/>
      <c r="FOS17" s="414"/>
      <c r="FOT17" s="414"/>
      <c r="FOU17" s="414"/>
      <c r="FOV17" s="414"/>
      <c r="FOW17" s="414"/>
      <c r="FOX17" s="414"/>
      <c r="FOY17" s="414"/>
      <c r="FOZ17" s="414"/>
      <c r="FPA17" s="414"/>
      <c r="FPB17" s="414"/>
      <c r="FPC17" s="414"/>
      <c r="FPD17" s="414"/>
      <c r="FPE17" s="414"/>
      <c r="FPF17" s="414"/>
      <c r="FPG17" s="414"/>
      <c r="FPH17" s="414"/>
      <c r="FPI17" s="414"/>
      <c r="FPJ17" s="414"/>
      <c r="FPK17" s="414"/>
      <c r="FPL17" s="414"/>
      <c r="FPM17" s="414"/>
      <c r="FPN17" s="414"/>
      <c r="FPO17" s="414"/>
      <c r="FPP17" s="414"/>
      <c r="FPQ17" s="414"/>
      <c r="FPR17" s="414"/>
      <c r="FPS17" s="414"/>
      <c r="FPT17" s="414"/>
      <c r="FPU17" s="414"/>
      <c r="FPV17" s="414"/>
      <c r="FPW17" s="414"/>
      <c r="FPX17" s="414"/>
      <c r="FPY17" s="414"/>
      <c r="FPZ17" s="414"/>
      <c r="FQA17" s="414"/>
      <c r="FQB17" s="414"/>
      <c r="FQC17" s="414"/>
      <c r="FQD17" s="414"/>
      <c r="FQE17" s="414"/>
      <c r="FQF17" s="414"/>
      <c r="FQG17" s="414"/>
      <c r="FQH17" s="414"/>
      <c r="FQI17" s="414"/>
      <c r="FQJ17" s="414"/>
      <c r="FQK17" s="414"/>
      <c r="FQL17" s="414"/>
      <c r="FQM17" s="414"/>
      <c r="FQN17" s="414"/>
      <c r="FQO17" s="414"/>
      <c r="FQP17" s="414"/>
      <c r="FQQ17" s="414"/>
      <c r="FQR17" s="414"/>
      <c r="FQS17" s="414"/>
      <c r="FQT17" s="414"/>
      <c r="FQU17" s="414"/>
      <c r="FQV17" s="414"/>
      <c r="FQW17" s="414"/>
      <c r="FQX17" s="414"/>
      <c r="FQY17" s="414"/>
      <c r="FQZ17" s="414"/>
      <c r="FRA17" s="414"/>
      <c r="FRB17" s="414"/>
      <c r="FRC17" s="414"/>
      <c r="FRD17" s="414"/>
      <c r="FRE17" s="414"/>
      <c r="FRF17" s="414"/>
      <c r="FRG17" s="414"/>
      <c r="FRH17" s="414"/>
      <c r="FRI17" s="414"/>
      <c r="FRJ17" s="414"/>
      <c r="FRK17" s="414"/>
      <c r="FRL17" s="414"/>
      <c r="FRM17" s="414"/>
      <c r="FRN17" s="414"/>
      <c r="FRO17" s="414"/>
      <c r="FRP17" s="414"/>
      <c r="FRQ17" s="414"/>
      <c r="FRR17" s="414"/>
      <c r="FRS17" s="414"/>
      <c r="FRT17" s="414"/>
      <c r="FRU17" s="414"/>
      <c r="FRV17" s="414"/>
      <c r="FRW17" s="414"/>
      <c r="FRX17" s="414"/>
      <c r="FRY17" s="414"/>
      <c r="FRZ17" s="414"/>
      <c r="FSA17" s="414"/>
      <c r="FSB17" s="414"/>
      <c r="FSC17" s="414"/>
      <c r="FSD17" s="414"/>
      <c r="FSE17" s="414"/>
      <c r="FSF17" s="414"/>
      <c r="FSG17" s="414"/>
      <c r="FSH17" s="414"/>
      <c r="FSI17" s="414"/>
      <c r="FSJ17" s="414"/>
      <c r="FSK17" s="414"/>
      <c r="FSL17" s="414"/>
      <c r="FSM17" s="414"/>
      <c r="FSN17" s="414"/>
      <c r="FSO17" s="414"/>
      <c r="FSP17" s="414"/>
      <c r="FSQ17" s="414"/>
      <c r="FSR17" s="414"/>
      <c r="FSS17" s="414"/>
      <c r="FST17" s="414"/>
      <c r="FSU17" s="414"/>
      <c r="FSV17" s="414"/>
      <c r="FSW17" s="414"/>
      <c r="FSX17" s="414"/>
      <c r="FSY17" s="414"/>
      <c r="FSZ17" s="414"/>
      <c r="FTA17" s="414"/>
      <c r="FTB17" s="414"/>
      <c r="FTC17" s="414"/>
      <c r="FTD17" s="414"/>
      <c r="FTE17" s="414"/>
      <c r="FTF17" s="414"/>
      <c r="FTG17" s="414"/>
      <c r="FTH17" s="414"/>
      <c r="FTI17" s="414"/>
      <c r="FTJ17" s="414"/>
      <c r="FTK17" s="414"/>
      <c r="FTL17" s="414"/>
      <c r="FTM17" s="414"/>
      <c r="FTN17" s="414"/>
      <c r="FTO17" s="414"/>
      <c r="FTP17" s="414"/>
      <c r="FTQ17" s="414"/>
      <c r="FTR17" s="414"/>
      <c r="FTS17" s="414"/>
      <c r="FTT17" s="414"/>
      <c r="FTU17" s="414"/>
      <c r="FTV17" s="414"/>
      <c r="FTW17" s="414"/>
      <c r="FTX17" s="414"/>
      <c r="FTY17" s="414"/>
      <c r="FTZ17" s="414"/>
      <c r="FUA17" s="414"/>
      <c r="FUB17" s="414"/>
      <c r="FUC17" s="414"/>
      <c r="FUD17" s="414"/>
      <c r="FUE17" s="414"/>
      <c r="FUF17" s="414"/>
      <c r="FUG17" s="414"/>
      <c r="FUH17" s="414"/>
      <c r="FUI17" s="414"/>
      <c r="FUJ17" s="414"/>
      <c r="FUK17" s="414"/>
      <c r="FUL17" s="414"/>
      <c r="FUM17" s="414"/>
      <c r="FUN17" s="414"/>
      <c r="FUO17" s="414"/>
      <c r="FUP17" s="414"/>
      <c r="FUQ17" s="414"/>
      <c r="FUR17" s="414"/>
      <c r="FUS17" s="414"/>
      <c r="FUT17" s="414"/>
      <c r="FUU17" s="414"/>
      <c r="FUV17" s="414"/>
      <c r="FUW17" s="414"/>
      <c r="FUX17" s="414"/>
      <c r="FUY17" s="414"/>
      <c r="FUZ17" s="414"/>
      <c r="FVA17" s="414"/>
      <c r="FVB17" s="414"/>
      <c r="FVC17" s="414"/>
      <c r="FVD17" s="414"/>
      <c r="FVE17" s="414"/>
      <c r="FVF17" s="414"/>
      <c r="FVG17" s="414"/>
      <c r="FVH17" s="414"/>
      <c r="FVI17" s="414"/>
      <c r="FVJ17" s="414"/>
      <c r="FVK17" s="414"/>
      <c r="FVL17" s="414"/>
      <c r="FVM17" s="414"/>
      <c r="FVN17" s="414"/>
      <c r="FVO17" s="414"/>
      <c r="FVP17" s="414"/>
      <c r="FVQ17" s="414"/>
      <c r="FVR17" s="414"/>
      <c r="FVS17" s="414"/>
      <c r="FVT17" s="414"/>
      <c r="FVU17" s="414"/>
      <c r="FVV17" s="414"/>
      <c r="FVW17" s="414"/>
      <c r="FVX17" s="414"/>
      <c r="FVY17" s="414"/>
      <c r="FVZ17" s="414"/>
      <c r="FWA17" s="414"/>
      <c r="FWB17" s="414"/>
      <c r="FWC17" s="414"/>
      <c r="FWD17" s="414"/>
      <c r="FWE17" s="414"/>
      <c r="FWF17" s="414"/>
      <c r="FWG17" s="414"/>
      <c r="FWH17" s="414"/>
      <c r="FWI17" s="414"/>
      <c r="FWJ17" s="414"/>
      <c r="FWK17" s="414"/>
      <c r="FWL17" s="414"/>
      <c r="FWM17" s="414"/>
      <c r="FWN17" s="414"/>
      <c r="FWO17" s="414"/>
      <c r="FWP17" s="414"/>
      <c r="FWQ17" s="414"/>
      <c r="FWR17" s="414"/>
      <c r="FWS17" s="414"/>
      <c r="FWT17" s="414"/>
      <c r="FWU17" s="414"/>
      <c r="FWV17" s="414"/>
      <c r="FWW17" s="414"/>
      <c r="FWX17" s="414"/>
      <c r="FWY17" s="414"/>
      <c r="FWZ17" s="414"/>
      <c r="FXA17" s="414"/>
      <c r="FXB17" s="414"/>
      <c r="FXC17" s="414"/>
      <c r="FXD17" s="414"/>
      <c r="FXE17" s="414"/>
      <c r="FXF17" s="414"/>
      <c r="FXG17" s="414"/>
      <c r="FXH17" s="414"/>
      <c r="FXI17" s="414"/>
      <c r="FXJ17" s="414"/>
      <c r="FXK17" s="414"/>
      <c r="FXL17" s="414"/>
      <c r="FXM17" s="414"/>
      <c r="FXN17" s="414"/>
      <c r="FXO17" s="414"/>
      <c r="FXP17" s="414"/>
      <c r="FXQ17" s="414"/>
      <c r="FXR17" s="414"/>
      <c r="FXS17" s="414"/>
      <c r="FXT17" s="414"/>
      <c r="FXU17" s="414"/>
      <c r="FXV17" s="414"/>
      <c r="FXW17" s="414"/>
      <c r="FXX17" s="414"/>
      <c r="FXY17" s="414"/>
      <c r="FXZ17" s="414"/>
      <c r="FYA17" s="414"/>
      <c r="FYB17" s="414"/>
      <c r="FYC17" s="414"/>
      <c r="FYD17" s="414"/>
      <c r="FYE17" s="414"/>
      <c r="FYF17" s="414"/>
      <c r="FYG17" s="414"/>
      <c r="FYH17" s="414"/>
      <c r="FYI17" s="414"/>
      <c r="FYJ17" s="414"/>
      <c r="FYK17" s="414"/>
      <c r="FYL17" s="414"/>
      <c r="FYM17" s="414"/>
      <c r="FYN17" s="414"/>
      <c r="FYO17" s="414"/>
      <c r="FYP17" s="414"/>
      <c r="FYQ17" s="414"/>
      <c r="FYR17" s="414"/>
      <c r="FYS17" s="414"/>
      <c r="FYT17" s="414"/>
      <c r="FYU17" s="414"/>
      <c r="FYV17" s="414"/>
      <c r="FYW17" s="414"/>
      <c r="FYX17" s="414"/>
      <c r="FYY17" s="414"/>
      <c r="FYZ17" s="414"/>
      <c r="FZA17" s="414"/>
      <c r="FZB17" s="414"/>
      <c r="FZC17" s="414"/>
      <c r="FZD17" s="414"/>
      <c r="FZE17" s="414"/>
      <c r="FZF17" s="414"/>
      <c r="FZG17" s="414"/>
      <c r="FZH17" s="414"/>
      <c r="FZI17" s="414"/>
      <c r="FZJ17" s="414"/>
      <c r="FZK17" s="414"/>
      <c r="FZL17" s="414"/>
      <c r="FZM17" s="414"/>
      <c r="FZN17" s="414"/>
      <c r="FZO17" s="414"/>
      <c r="FZP17" s="414"/>
      <c r="FZQ17" s="414"/>
      <c r="FZR17" s="414"/>
      <c r="FZS17" s="414"/>
      <c r="FZT17" s="414"/>
      <c r="FZU17" s="414"/>
      <c r="FZV17" s="414"/>
      <c r="FZW17" s="414"/>
      <c r="FZX17" s="414"/>
      <c r="FZY17" s="414"/>
      <c r="FZZ17" s="414"/>
      <c r="GAA17" s="414"/>
      <c r="GAB17" s="414"/>
      <c r="GAC17" s="414"/>
      <c r="GAD17" s="414"/>
      <c r="GAE17" s="414"/>
      <c r="GAF17" s="414"/>
      <c r="GAG17" s="414"/>
      <c r="GAH17" s="414"/>
      <c r="GAI17" s="414"/>
      <c r="GAJ17" s="414"/>
      <c r="GAK17" s="414"/>
      <c r="GAL17" s="414"/>
      <c r="GAM17" s="414"/>
      <c r="GAN17" s="414"/>
      <c r="GAO17" s="414"/>
      <c r="GAP17" s="414"/>
      <c r="GAQ17" s="414"/>
      <c r="GAR17" s="414"/>
      <c r="GAS17" s="414"/>
      <c r="GAT17" s="414"/>
      <c r="GAU17" s="414"/>
      <c r="GAV17" s="414"/>
      <c r="GAW17" s="414"/>
      <c r="GAX17" s="414"/>
      <c r="GAY17" s="414"/>
      <c r="GAZ17" s="414"/>
      <c r="GBA17" s="414"/>
      <c r="GBB17" s="414"/>
      <c r="GBC17" s="414"/>
      <c r="GBD17" s="414"/>
      <c r="GBE17" s="414"/>
      <c r="GBF17" s="414"/>
      <c r="GBG17" s="414"/>
      <c r="GBH17" s="414"/>
      <c r="GBI17" s="414"/>
      <c r="GBJ17" s="414"/>
      <c r="GBK17" s="414"/>
      <c r="GBL17" s="414"/>
      <c r="GBM17" s="414"/>
      <c r="GBN17" s="414"/>
      <c r="GBO17" s="414"/>
      <c r="GBP17" s="414"/>
      <c r="GBQ17" s="414"/>
      <c r="GBR17" s="414"/>
      <c r="GBS17" s="414"/>
      <c r="GBT17" s="414"/>
      <c r="GBU17" s="414"/>
      <c r="GBV17" s="414"/>
      <c r="GBW17" s="414"/>
      <c r="GBX17" s="414"/>
      <c r="GBY17" s="414"/>
      <c r="GBZ17" s="414"/>
      <c r="GCA17" s="414"/>
      <c r="GCB17" s="414"/>
      <c r="GCC17" s="414"/>
      <c r="GCD17" s="414"/>
      <c r="GCE17" s="414"/>
      <c r="GCF17" s="414"/>
      <c r="GCG17" s="414"/>
      <c r="GCH17" s="414"/>
      <c r="GCI17" s="414"/>
      <c r="GCJ17" s="414"/>
      <c r="GCK17" s="414"/>
      <c r="GCL17" s="414"/>
      <c r="GCM17" s="414"/>
      <c r="GCN17" s="414"/>
      <c r="GCO17" s="414"/>
      <c r="GCP17" s="414"/>
      <c r="GCQ17" s="414"/>
      <c r="GCR17" s="414"/>
      <c r="GCS17" s="414"/>
      <c r="GCT17" s="414"/>
      <c r="GCU17" s="414"/>
      <c r="GCV17" s="414"/>
      <c r="GCW17" s="414"/>
      <c r="GCX17" s="414"/>
      <c r="GCY17" s="414"/>
      <c r="GCZ17" s="414"/>
      <c r="GDA17" s="414"/>
      <c r="GDB17" s="414"/>
      <c r="GDC17" s="414"/>
      <c r="GDD17" s="414"/>
      <c r="GDE17" s="414"/>
      <c r="GDF17" s="414"/>
      <c r="GDG17" s="414"/>
      <c r="GDH17" s="414"/>
      <c r="GDI17" s="414"/>
      <c r="GDJ17" s="414"/>
      <c r="GDK17" s="414"/>
      <c r="GDL17" s="414"/>
      <c r="GDM17" s="414"/>
      <c r="GDN17" s="414"/>
      <c r="GDO17" s="414"/>
      <c r="GDP17" s="414"/>
      <c r="GDQ17" s="414"/>
      <c r="GDR17" s="414"/>
      <c r="GDS17" s="414"/>
      <c r="GDT17" s="414"/>
      <c r="GDU17" s="414"/>
      <c r="GDV17" s="414"/>
      <c r="GDW17" s="414"/>
      <c r="GDX17" s="414"/>
      <c r="GDY17" s="414"/>
      <c r="GDZ17" s="414"/>
      <c r="GEA17" s="414"/>
      <c r="GEB17" s="414"/>
      <c r="GEC17" s="414"/>
      <c r="GED17" s="414"/>
      <c r="GEE17" s="414"/>
      <c r="GEF17" s="414"/>
      <c r="GEG17" s="414"/>
      <c r="GEH17" s="414"/>
      <c r="GEI17" s="414"/>
      <c r="GEJ17" s="414"/>
      <c r="GEK17" s="414"/>
      <c r="GEL17" s="414"/>
      <c r="GEM17" s="414"/>
      <c r="GEN17" s="414"/>
      <c r="GEO17" s="414"/>
      <c r="GEP17" s="414"/>
      <c r="GEQ17" s="414"/>
      <c r="GER17" s="414"/>
      <c r="GES17" s="414"/>
      <c r="GET17" s="414"/>
      <c r="GEU17" s="414"/>
      <c r="GEV17" s="414"/>
      <c r="GEW17" s="414"/>
      <c r="GEX17" s="414"/>
      <c r="GEY17" s="414"/>
      <c r="GEZ17" s="414"/>
      <c r="GFA17" s="414"/>
      <c r="GFB17" s="414"/>
      <c r="GFC17" s="414"/>
      <c r="GFD17" s="414"/>
      <c r="GFE17" s="414"/>
      <c r="GFF17" s="414"/>
      <c r="GFG17" s="414"/>
      <c r="GFH17" s="414"/>
      <c r="GFI17" s="414"/>
      <c r="GFJ17" s="414"/>
      <c r="GFK17" s="414"/>
      <c r="GFL17" s="414"/>
      <c r="GFM17" s="414"/>
      <c r="GFN17" s="414"/>
      <c r="GFO17" s="414"/>
      <c r="GFP17" s="414"/>
      <c r="GFQ17" s="414"/>
      <c r="GFR17" s="414"/>
      <c r="GFS17" s="414"/>
      <c r="GFT17" s="414"/>
      <c r="GFU17" s="414"/>
      <c r="GFV17" s="414"/>
      <c r="GFW17" s="414"/>
      <c r="GFX17" s="414"/>
      <c r="GFY17" s="414"/>
      <c r="GFZ17" s="414"/>
      <c r="GGA17" s="414"/>
      <c r="GGB17" s="414"/>
      <c r="GGC17" s="414"/>
      <c r="GGD17" s="414"/>
      <c r="GGE17" s="414"/>
      <c r="GGF17" s="414"/>
      <c r="GGG17" s="414"/>
      <c r="GGH17" s="414"/>
      <c r="GGI17" s="414"/>
      <c r="GGJ17" s="414"/>
      <c r="GGK17" s="414"/>
      <c r="GGL17" s="414"/>
      <c r="GGM17" s="414"/>
      <c r="GGN17" s="414"/>
      <c r="GGO17" s="414"/>
      <c r="GGP17" s="414"/>
      <c r="GGQ17" s="414"/>
      <c r="GGR17" s="414"/>
      <c r="GGS17" s="414"/>
      <c r="GGT17" s="414"/>
      <c r="GGU17" s="414"/>
      <c r="GGV17" s="414"/>
      <c r="GGW17" s="414"/>
      <c r="GGX17" s="414"/>
      <c r="GGY17" s="414"/>
      <c r="GGZ17" s="414"/>
      <c r="GHA17" s="414"/>
      <c r="GHB17" s="414"/>
      <c r="GHC17" s="414"/>
      <c r="GHD17" s="414"/>
      <c r="GHE17" s="414"/>
      <c r="GHF17" s="414"/>
      <c r="GHG17" s="414"/>
      <c r="GHH17" s="414"/>
      <c r="GHI17" s="414"/>
      <c r="GHJ17" s="414"/>
      <c r="GHK17" s="414"/>
      <c r="GHL17" s="414"/>
      <c r="GHM17" s="414"/>
      <c r="GHN17" s="414"/>
      <c r="GHO17" s="414"/>
      <c r="GHP17" s="414"/>
      <c r="GHQ17" s="414"/>
      <c r="GHR17" s="414"/>
      <c r="GHS17" s="414"/>
      <c r="GHT17" s="414"/>
      <c r="GHU17" s="414"/>
      <c r="GHV17" s="414"/>
      <c r="GHW17" s="414"/>
      <c r="GHX17" s="414"/>
      <c r="GHY17" s="414"/>
      <c r="GHZ17" s="414"/>
      <c r="GIA17" s="414"/>
      <c r="GIB17" s="414"/>
      <c r="GIC17" s="414"/>
      <c r="GID17" s="414"/>
      <c r="GIE17" s="414"/>
      <c r="GIF17" s="414"/>
      <c r="GIG17" s="414"/>
      <c r="GIH17" s="414"/>
      <c r="GII17" s="414"/>
      <c r="GIJ17" s="414"/>
      <c r="GIK17" s="414"/>
      <c r="GIL17" s="414"/>
      <c r="GIM17" s="414"/>
      <c r="GIN17" s="414"/>
      <c r="GIO17" s="414"/>
      <c r="GIP17" s="414"/>
      <c r="GIQ17" s="414"/>
      <c r="GIR17" s="414"/>
      <c r="GIS17" s="414"/>
      <c r="GIT17" s="414"/>
      <c r="GIU17" s="414"/>
      <c r="GIV17" s="414"/>
      <c r="GIW17" s="414"/>
      <c r="GIX17" s="414"/>
      <c r="GIY17" s="414"/>
      <c r="GIZ17" s="414"/>
      <c r="GJA17" s="414"/>
      <c r="GJB17" s="414"/>
      <c r="GJC17" s="414"/>
      <c r="GJD17" s="414"/>
      <c r="GJE17" s="414"/>
      <c r="GJF17" s="414"/>
      <c r="GJG17" s="414"/>
      <c r="GJH17" s="414"/>
      <c r="GJI17" s="414"/>
      <c r="GJJ17" s="414"/>
      <c r="GJK17" s="414"/>
      <c r="GJL17" s="414"/>
      <c r="GJM17" s="414"/>
      <c r="GJN17" s="414"/>
      <c r="GJO17" s="414"/>
      <c r="GJP17" s="414"/>
      <c r="GJQ17" s="414"/>
      <c r="GJR17" s="414"/>
      <c r="GJS17" s="414"/>
      <c r="GJT17" s="414"/>
      <c r="GJU17" s="414"/>
      <c r="GJV17" s="414"/>
      <c r="GJW17" s="414"/>
      <c r="GJX17" s="414"/>
      <c r="GJY17" s="414"/>
      <c r="GJZ17" s="414"/>
      <c r="GKA17" s="414"/>
      <c r="GKB17" s="414"/>
      <c r="GKC17" s="414"/>
      <c r="GKD17" s="414"/>
      <c r="GKE17" s="414"/>
      <c r="GKF17" s="414"/>
      <c r="GKG17" s="414"/>
      <c r="GKH17" s="414"/>
      <c r="GKI17" s="414"/>
      <c r="GKJ17" s="414"/>
      <c r="GKK17" s="414"/>
      <c r="GKL17" s="414"/>
      <c r="GKM17" s="414"/>
      <c r="GKN17" s="414"/>
      <c r="GKO17" s="414"/>
      <c r="GKP17" s="414"/>
      <c r="GKQ17" s="414"/>
      <c r="GKR17" s="414"/>
      <c r="GKS17" s="414"/>
      <c r="GKT17" s="414"/>
      <c r="GKU17" s="414"/>
      <c r="GKV17" s="414"/>
      <c r="GKW17" s="414"/>
      <c r="GKX17" s="414"/>
      <c r="GKY17" s="414"/>
      <c r="GKZ17" s="414"/>
      <c r="GLA17" s="414"/>
      <c r="GLB17" s="414"/>
      <c r="GLC17" s="414"/>
      <c r="GLD17" s="414"/>
      <c r="GLE17" s="414"/>
      <c r="GLF17" s="414"/>
      <c r="GLG17" s="414"/>
      <c r="GLH17" s="414"/>
      <c r="GLI17" s="414"/>
      <c r="GLJ17" s="414"/>
      <c r="GLK17" s="414"/>
      <c r="GLL17" s="414"/>
      <c r="GLM17" s="414"/>
      <c r="GLN17" s="414"/>
      <c r="GLO17" s="414"/>
      <c r="GLP17" s="414"/>
      <c r="GLQ17" s="414"/>
      <c r="GLR17" s="414"/>
      <c r="GLS17" s="414"/>
      <c r="GLT17" s="414"/>
      <c r="GLU17" s="414"/>
      <c r="GLV17" s="414"/>
      <c r="GLW17" s="414"/>
      <c r="GLX17" s="414"/>
      <c r="GLY17" s="414"/>
      <c r="GLZ17" s="414"/>
      <c r="GMA17" s="414"/>
      <c r="GMB17" s="414"/>
      <c r="GMC17" s="414"/>
      <c r="GMD17" s="414"/>
      <c r="GME17" s="414"/>
      <c r="GMF17" s="414"/>
      <c r="GMG17" s="414"/>
      <c r="GMH17" s="414"/>
      <c r="GMI17" s="414"/>
      <c r="GMJ17" s="414"/>
      <c r="GMK17" s="414"/>
      <c r="GML17" s="414"/>
      <c r="GMM17" s="414"/>
      <c r="GMN17" s="414"/>
      <c r="GMO17" s="414"/>
      <c r="GMP17" s="414"/>
      <c r="GMQ17" s="414"/>
      <c r="GMR17" s="414"/>
      <c r="GMS17" s="414"/>
      <c r="GMT17" s="414"/>
      <c r="GMU17" s="414"/>
      <c r="GMV17" s="414"/>
      <c r="GMW17" s="414"/>
      <c r="GMX17" s="414"/>
      <c r="GMY17" s="414"/>
      <c r="GMZ17" s="414"/>
      <c r="GNA17" s="414"/>
      <c r="GNB17" s="414"/>
      <c r="GNC17" s="414"/>
      <c r="GND17" s="414"/>
      <c r="GNE17" s="414"/>
      <c r="GNF17" s="414"/>
      <c r="GNG17" s="414"/>
      <c r="GNH17" s="414"/>
      <c r="GNI17" s="414"/>
      <c r="GNJ17" s="414"/>
      <c r="GNK17" s="414"/>
      <c r="GNL17" s="414"/>
      <c r="GNM17" s="414"/>
      <c r="GNN17" s="414"/>
      <c r="GNO17" s="414"/>
      <c r="GNP17" s="414"/>
      <c r="GNQ17" s="414"/>
      <c r="GNR17" s="414"/>
      <c r="GNS17" s="414"/>
      <c r="GNT17" s="414"/>
      <c r="GNU17" s="414"/>
      <c r="GNV17" s="414"/>
      <c r="GNW17" s="414"/>
      <c r="GNX17" s="414"/>
      <c r="GNY17" s="414"/>
      <c r="GNZ17" s="414"/>
      <c r="GOA17" s="414"/>
      <c r="GOB17" s="414"/>
      <c r="GOC17" s="414"/>
      <c r="GOD17" s="414"/>
      <c r="GOE17" s="414"/>
      <c r="GOF17" s="414"/>
      <c r="GOG17" s="414"/>
      <c r="GOH17" s="414"/>
      <c r="GOI17" s="414"/>
      <c r="GOJ17" s="414"/>
      <c r="GOK17" s="414"/>
      <c r="GOL17" s="414"/>
      <c r="GOM17" s="414"/>
      <c r="GON17" s="414"/>
      <c r="GOO17" s="414"/>
      <c r="GOP17" s="414"/>
      <c r="GOQ17" s="414"/>
      <c r="GOR17" s="414"/>
      <c r="GOS17" s="414"/>
      <c r="GOT17" s="414"/>
      <c r="GOU17" s="414"/>
      <c r="GOV17" s="414"/>
      <c r="GOW17" s="414"/>
      <c r="GOX17" s="414"/>
      <c r="GOY17" s="414"/>
      <c r="GOZ17" s="414"/>
      <c r="GPA17" s="414"/>
      <c r="GPB17" s="414"/>
      <c r="GPC17" s="414"/>
      <c r="GPD17" s="414"/>
      <c r="GPE17" s="414"/>
      <c r="GPF17" s="414"/>
      <c r="GPG17" s="414"/>
      <c r="GPH17" s="414"/>
      <c r="GPI17" s="414"/>
      <c r="GPJ17" s="414"/>
      <c r="GPK17" s="414"/>
      <c r="GPL17" s="414"/>
      <c r="GPM17" s="414"/>
      <c r="GPN17" s="414"/>
      <c r="GPO17" s="414"/>
      <c r="GPP17" s="414"/>
      <c r="GPQ17" s="414"/>
      <c r="GPR17" s="414"/>
      <c r="GPS17" s="414"/>
      <c r="GPT17" s="414"/>
      <c r="GPU17" s="414"/>
      <c r="GPV17" s="414"/>
      <c r="GPW17" s="414"/>
      <c r="GPX17" s="414"/>
      <c r="GPY17" s="414"/>
      <c r="GPZ17" s="414"/>
      <c r="GQA17" s="414"/>
      <c r="GQB17" s="414"/>
      <c r="GQC17" s="414"/>
      <c r="GQD17" s="414"/>
      <c r="GQE17" s="414"/>
      <c r="GQF17" s="414"/>
      <c r="GQG17" s="414"/>
      <c r="GQH17" s="414"/>
      <c r="GQI17" s="414"/>
      <c r="GQJ17" s="414"/>
      <c r="GQK17" s="414"/>
      <c r="GQL17" s="414"/>
      <c r="GQM17" s="414"/>
      <c r="GQN17" s="414"/>
      <c r="GQO17" s="414"/>
      <c r="GQP17" s="414"/>
      <c r="GQQ17" s="414"/>
      <c r="GQR17" s="414"/>
      <c r="GQS17" s="414"/>
      <c r="GQT17" s="414"/>
      <c r="GQU17" s="414"/>
      <c r="GQV17" s="414"/>
      <c r="GQW17" s="414"/>
      <c r="GQX17" s="414"/>
      <c r="GQY17" s="414"/>
      <c r="GQZ17" s="414"/>
      <c r="GRA17" s="414"/>
      <c r="GRB17" s="414"/>
      <c r="GRC17" s="414"/>
      <c r="GRD17" s="414"/>
      <c r="GRE17" s="414"/>
      <c r="GRF17" s="414"/>
      <c r="GRG17" s="414"/>
      <c r="GRH17" s="414"/>
      <c r="GRI17" s="414"/>
      <c r="GRJ17" s="414"/>
      <c r="GRK17" s="414"/>
      <c r="GRL17" s="414"/>
      <c r="GRM17" s="414"/>
      <c r="GRN17" s="414"/>
      <c r="GRO17" s="414"/>
      <c r="GRP17" s="414"/>
      <c r="GRQ17" s="414"/>
      <c r="GRR17" s="414"/>
      <c r="GRS17" s="414"/>
      <c r="GRT17" s="414"/>
      <c r="GRU17" s="414"/>
      <c r="GRV17" s="414"/>
      <c r="GRW17" s="414"/>
      <c r="GRX17" s="414"/>
      <c r="GRY17" s="414"/>
      <c r="GRZ17" s="414"/>
      <c r="GSA17" s="414"/>
      <c r="GSB17" s="414"/>
      <c r="GSC17" s="414"/>
      <c r="GSD17" s="414"/>
      <c r="GSE17" s="414"/>
      <c r="GSF17" s="414"/>
      <c r="GSG17" s="414"/>
      <c r="GSH17" s="414"/>
      <c r="GSI17" s="414"/>
      <c r="GSJ17" s="414"/>
      <c r="GSK17" s="414"/>
      <c r="GSL17" s="414"/>
      <c r="GSM17" s="414"/>
      <c r="GSN17" s="414"/>
      <c r="GSO17" s="414"/>
      <c r="GSP17" s="414"/>
      <c r="GSQ17" s="414"/>
      <c r="GSR17" s="414"/>
      <c r="GSS17" s="414"/>
      <c r="GST17" s="414"/>
      <c r="GSU17" s="414"/>
      <c r="GSV17" s="414"/>
      <c r="GSW17" s="414"/>
      <c r="GSX17" s="414"/>
      <c r="GSY17" s="414"/>
      <c r="GSZ17" s="414"/>
      <c r="GTA17" s="414"/>
      <c r="GTB17" s="414"/>
      <c r="GTC17" s="414"/>
      <c r="GTD17" s="414"/>
      <c r="GTE17" s="414"/>
      <c r="GTF17" s="414"/>
      <c r="GTG17" s="414"/>
      <c r="GTH17" s="414"/>
      <c r="GTI17" s="414"/>
      <c r="GTJ17" s="414"/>
      <c r="GTK17" s="414"/>
      <c r="GTL17" s="414"/>
      <c r="GTM17" s="414"/>
      <c r="GTN17" s="414"/>
      <c r="GTO17" s="414"/>
      <c r="GTP17" s="414"/>
      <c r="GTQ17" s="414"/>
      <c r="GTR17" s="414"/>
      <c r="GTS17" s="414"/>
      <c r="GTT17" s="414"/>
      <c r="GTU17" s="414"/>
      <c r="GTV17" s="414"/>
      <c r="GTW17" s="414"/>
      <c r="GTX17" s="414"/>
      <c r="GTY17" s="414"/>
      <c r="GTZ17" s="414"/>
      <c r="GUA17" s="414"/>
      <c r="GUB17" s="414"/>
      <c r="GUC17" s="414"/>
      <c r="GUD17" s="414"/>
      <c r="GUE17" s="414"/>
      <c r="GUF17" s="414"/>
      <c r="GUG17" s="414"/>
      <c r="GUH17" s="414"/>
      <c r="GUI17" s="414"/>
      <c r="GUJ17" s="414"/>
      <c r="GUK17" s="414"/>
      <c r="GUL17" s="414"/>
      <c r="GUM17" s="414"/>
      <c r="GUN17" s="414"/>
      <c r="GUO17" s="414"/>
      <c r="GUP17" s="414"/>
      <c r="GUQ17" s="414"/>
      <c r="GUR17" s="414"/>
      <c r="GUS17" s="414"/>
      <c r="GUT17" s="414"/>
      <c r="GUU17" s="414"/>
      <c r="GUV17" s="414"/>
      <c r="GUW17" s="414"/>
      <c r="GUX17" s="414"/>
      <c r="GUY17" s="414"/>
      <c r="GUZ17" s="414"/>
      <c r="GVA17" s="414"/>
      <c r="GVB17" s="414"/>
      <c r="GVC17" s="414"/>
      <c r="GVD17" s="414"/>
      <c r="GVE17" s="414"/>
      <c r="GVF17" s="414"/>
      <c r="GVG17" s="414"/>
      <c r="GVH17" s="414"/>
      <c r="GVI17" s="414"/>
      <c r="GVJ17" s="414"/>
      <c r="GVK17" s="414"/>
      <c r="GVL17" s="414"/>
      <c r="GVM17" s="414"/>
      <c r="GVN17" s="414"/>
      <c r="GVO17" s="414"/>
      <c r="GVP17" s="414"/>
      <c r="GVQ17" s="414"/>
      <c r="GVR17" s="414"/>
      <c r="GVS17" s="414"/>
      <c r="GVT17" s="414"/>
      <c r="GVU17" s="414"/>
      <c r="GVV17" s="414"/>
      <c r="GVW17" s="414"/>
      <c r="GVX17" s="414"/>
      <c r="GVY17" s="414"/>
      <c r="GVZ17" s="414"/>
      <c r="GWA17" s="414"/>
      <c r="GWB17" s="414"/>
      <c r="GWC17" s="414"/>
      <c r="GWD17" s="414"/>
      <c r="GWE17" s="414"/>
      <c r="GWF17" s="414"/>
      <c r="GWG17" s="414"/>
      <c r="GWH17" s="414"/>
      <c r="GWI17" s="414"/>
      <c r="GWJ17" s="414"/>
      <c r="GWK17" s="414"/>
      <c r="GWL17" s="414"/>
      <c r="GWM17" s="414"/>
      <c r="GWN17" s="414"/>
      <c r="GWO17" s="414"/>
      <c r="GWP17" s="414"/>
      <c r="GWQ17" s="414"/>
      <c r="GWR17" s="414"/>
      <c r="GWS17" s="414"/>
      <c r="GWT17" s="414"/>
      <c r="GWU17" s="414"/>
      <c r="GWV17" s="414"/>
      <c r="GWW17" s="414"/>
      <c r="GWX17" s="414"/>
      <c r="GWY17" s="414"/>
      <c r="GWZ17" s="414"/>
      <c r="GXA17" s="414"/>
      <c r="GXB17" s="414"/>
      <c r="GXC17" s="414"/>
      <c r="GXD17" s="414"/>
      <c r="GXE17" s="414"/>
      <c r="GXF17" s="414"/>
      <c r="GXG17" s="414"/>
      <c r="GXH17" s="414"/>
      <c r="GXI17" s="414"/>
      <c r="GXJ17" s="414"/>
      <c r="GXK17" s="414"/>
      <c r="GXL17" s="414"/>
      <c r="GXM17" s="414"/>
      <c r="GXN17" s="414"/>
      <c r="GXO17" s="414"/>
      <c r="GXP17" s="414"/>
      <c r="GXQ17" s="414"/>
      <c r="GXR17" s="414"/>
      <c r="GXS17" s="414"/>
      <c r="GXT17" s="414"/>
      <c r="GXU17" s="414"/>
      <c r="GXV17" s="414"/>
      <c r="GXW17" s="414"/>
      <c r="GXX17" s="414"/>
      <c r="GXY17" s="414"/>
      <c r="GXZ17" s="414"/>
      <c r="GYA17" s="414"/>
      <c r="GYB17" s="414"/>
      <c r="GYC17" s="414"/>
      <c r="GYD17" s="414"/>
      <c r="GYE17" s="414"/>
      <c r="GYF17" s="414"/>
      <c r="GYG17" s="414"/>
      <c r="GYH17" s="414"/>
      <c r="GYI17" s="414"/>
      <c r="GYJ17" s="414"/>
      <c r="GYK17" s="414"/>
      <c r="GYL17" s="414"/>
      <c r="GYM17" s="414"/>
      <c r="GYN17" s="414"/>
      <c r="GYO17" s="414"/>
      <c r="GYP17" s="414"/>
      <c r="GYQ17" s="414"/>
      <c r="GYR17" s="414"/>
      <c r="GYS17" s="414"/>
      <c r="GYT17" s="414"/>
      <c r="GYU17" s="414"/>
      <c r="GYV17" s="414"/>
      <c r="GYW17" s="414"/>
      <c r="GYX17" s="414"/>
      <c r="GYY17" s="414"/>
      <c r="GYZ17" s="414"/>
      <c r="GZA17" s="414"/>
      <c r="GZB17" s="414"/>
      <c r="GZC17" s="414"/>
      <c r="GZD17" s="414"/>
      <c r="GZE17" s="414"/>
      <c r="GZF17" s="414"/>
      <c r="GZG17" s="414"/>
      <c r="GZH17" s="414"/>
      <c r="GZI17" s="414"/>
      <c r="GZJ17" s="414"/>
      <c r="GZK17" s="414"/>
      <c r="GZL17" s="414"/>
      <c r="GZM17" s="414"/>
      <c r="GZN17" s="414"/>
      <c r="GZO17" s="414"/>
      <c r="GZP17" s="414"/>
      <c r="GZQ17" s="414"/>
      <c r="GZR17" s="414"/>
      <c r="GZS17" s="414"/>
      <c r="GZT17" s="414"/>
      <c r="GZU17" s="414"/>
      <c r="GZV17" s="414"/>
      <c r="GZW17" s="414"/>
      <c r="GZX17" s="414"/>
      <c r="GZY17" s="414"/>
      <c r="GZZ17" s="414"/>
      <c r="HAA17" s="414"/>
      <c r="HAB17" s="414"/>
      <c r="HAC17" s="414"/>
      <c r="HAD17" s="414"/>
      <c r="HAE17" s="414"/>
      <c r="HAF17" s="414"/>
      <c r="HAG17" s="414"/>
      <c r="HAH17" s="414"/>
      <c r="HAI17" s="414"/>
      <c r="HAJ17" s="414"/>
      <c r="HAK17" s="414"/>
      <c r="HAL17" s="414"/>
      <c r="HAM17" s="414"/>
      <c r="HAN17" s="414"/>
      <c r="HAO17" s="414"/>
      <c r="HAP17" s="414"/>
      <c r="HAQ17" s="414"/>
      <c r="HAR17" s="414"/>
      <c r="HAS17" s="414"/>
      <c r="HAT17" s="414"/>
      <c r="HAU17" s="414"/>
      <c r="HAV17" s="414"/>
      <c r="HAW17" s="414"/>
      <c r="HAX17" s="414"/>
      <c r="HAY17" s="414"/>
      <c r="HAZ17" s="414"/>
      <c r="HBA17" s="414"/>
      <c r="HBB17" s="414"/>
      <c r="HBC17" s="414"/>
      <c r="HBD17" s="414"/>
      <c r="HBE17" s="414"/>
      <c r="HBF17" s="414"/>
      <c r="HBG17" s="414"/>
      <c r="HBH17" s="414"/>
      <c r="HBI17" s="414"/>
      <c r="HBJ17" s="414"/>
      <c r="HBK17" s="414"/>
      <c r="HBL17" s="414"/>
      <c r="HBM17" s="414"/>
      <c r="HBN17" s="414"/>
      <c r="HBO17" s="414"/>
      <c r="HBP17" s="414"/>
      <c r="HBQ17" s="414"/>
      <c r="HBR17" s="414"/>
      <c r="HBS17" s="414"/>
      <c r="HBT17" s="414"/>
      <c r="HBU17" s="414"/>
      <c r="HBV17" s="414"/>
      <c r="HBW17" s="414"/>
      <c r="HBX17" s="414"/>
      <c r="HBY17" s="414"/>
      <c r="HBZ17" s="414"/>
      <c r="HCA17" s="414"/>
      <c r="HCB17" s="414"/>
      <c r="HCC17" s="414"/>
      <c r="HCD17" s="414"/>
      <c r="HCE17" s="414"/>
      <c r="HCF17" s="414"/>
      <c r="HCG17" s="414"/>
      <c r="HCH17" s="414"/>
      <c r="HCI17" s="414"/>
      <c r="HCJ17" s="414"/>
      <c r="HCK17" s="414"/>
      <c r="HCL17" s="414"/>
      <c r="HCM17" s="414"/>
      <c r="HCN17" s="414"/>
      <c r="HCO17" s="414"/>
      <c r="HCP17" s="414"/>
      <c r="HCQ17" s="414"/>
      <c r="HCR17" s="414"/>
      <c r="HCS17" s="414"/>
      <c r="HCT17" s="414"/>
      <c r="HCU17" s="414"/>
      <c r="HCV17" s="414"/>
      <c r="HCW17" s="414"/>
      <c r="HCX17" s="414"/>
      <c r="HCY17" s="414"/>
      <c r="HCZ17" s="414"/>
      <c r="HDA17" s="414"/>
      <c r="HDB17" s="414"/>
      <c r="HDC17" s="414"/>
      <c r="HDD17" s="414"/>
      <c r="HDE17" s="414"/>
      <c r="HDF17" s="414"/>
      <c r="HDG17" s="414"/>
      <c r="HDH17" s="414"/>
      <c r="HDI17" s="414"/>
      <c r="HDJ17" s="414"/>
      <c r="HDK17" s="414"/>
      <c r="HDL17" s="414"/>
      <c r="HDM17" s="414"/>
      <c r="HDN17" s="414"/>
      <c r="HDO17" s="414"/>
      <c r="HDP17" s="414"/>
      <c r="HDQ17" s="414"/>
      <c r="HDR17" s="414"/>
      <c r="HDS17" s="414"/>
      <c r="HDT17" s="414"/>
      <c r="HDU17" s="414"/>
      <c r="HDV17" s="414"/>
      <c r="HDW17" s="414"/>
      <c r="HDX17" s="414"/>
      <c r="HDY17" s="414"/>
      <c r="HDZ17" s="414"/>
      <c r="HEA17" s="414"/>
      <c r="HEB17" s="414"/>
      <c r="HEC17" s="414"/>
      <c r="HED17" s="414"/>
      <c r="HEE17" s="414"/>
      <c r="HEF17" s="414"/>
      <c r="HEG17" s="414"/>
      <c r="HEH17" s="414"/>
      <c r="HEI17" s="414"/>
      <c r="HEJ17" s="414"/>
      <c r="HEK17" s="414"/>
      <c r="HEL17" s="414"/>
      <c r="HEM17" s="414"/>
      <c r="HEN17" s="414"/>
      <c r="HEO17" s="414"/>
      <c r="HEP17" s="414"/>
      <c r="HEQ17" s="414"/>
      <c r="HER17" s="414"/>
      <c r="HES17" s="414"/>
      <c r="HET17" s="414"/>
      <c r="HEU17" s="414"/>
      <c r="HEV17" s="414"/>
      <c r="HEW17" s="414"/>
      <c r="HEX17" s="414"/>
      <c r="HEY17" s="414"/>
      <c r="HEZ17" s="414"/>
      <c r="HFA17" s="414"/>
      <c r="HFB17" s="414"/>
      <c r="HFC17" s="414"/>
      <c r="HFD17" s="414"/>
      <c r="HFE17" s="414"/>
      <c r="HFF17" s="414"/>
      <c r="HFG17" s="414"/>
      <c r="HFH17" s="414"/>
      <c r="HFI17" s="414"/>
      <c r="HFJ17" s="414"/>
      <c r="HFK17" s="414"/>
      <c r="HFL17" s="414"/>
      <c r="HFM17" s="414"/>
      <c r="HFN17" s="414"/>
      <c r="HFO17" s="414"/>
      <c r="HFP17" s="414"/>
      <c r="HFQ17" s="414"/>
      <c r="HFR17" s="414"/>
      <c r="HFS17" s="414"/>
      <c r="HFT17" s="414"/>
      <c r="HFU17" s="414"/>
      <c r="HFV17" s="414"/>
      <c r="HFW17" s="414"/>
      <c r="HFX17" s="414"/>
      <c r="HFY17" s="414"/>
      <c r="HFZ17" s="414"/>
      <c r="HGA17" s="414"/>
      <c r="HGB17" s="414"/>
      <c r="HGC17" s="414"/>
      <c r="HGD17" s="414"/>
      <c r="HGE17" s="414"/>
      <c r="HGF17" s="414"/>
      <c r="HGG17" s="414"/>
      <c r="HGH17" s="414"/>
      <c r="HGI17" s="414"/>
      <c r="HGJ17" s="414"/>
      <c r="HGK17" s="414"/>
      <c r="HGL17" s="414"/>
      <c r="HGM17" s="414"/>
      <c r="HGN17" s="414"/>
      <c r="HGO17" s="414"/>
      <c r="HGP17" s="414"/>
      <c r="HGQ17" s="414"/>
      <c r="HGR17" s="414"/>
      <c r="HGS17" s="414"/>
      <c r="HGT17" s="414"/>
      <c r="HGU17" s="414"/>
      <c r="HGV17" s="414"/>
      <c r="HGW17" s="414"/>
      <c r="HGX17" s="414"/>
      <c r="HGY17" s="414"/>
      <c r="HGZ17" s="414"/>
      <c r="HHA17" s="414"/>
      <c r="HHB17" s="414"/>
      <c r="HHC17" s="414"/>
      <c r="HHD17" s="414"/>
      <c r="HHE17" s="414"/>
      <c r="HHF17" s="414"/>
      <c r="HHG17" s="414"/>
      <c r="HHH17" s="414"/>
      <c r="HHI17" s="414"/>
      <c r="HHJ17" s="414"/>
      <c r="HHK17" s="414"/>
      <c r="HHL17" s="414"/>
      <c r="HHM17" s="414"/>
      <c r="HHN17" s="414"/>
      <c r="HHO17" s="414"/>
      <c r="HHP17" s="414"/>
      <c r="HHQ17" s="414"/>
      <c r="HHR17" s="414"/>
      <c r="HHS17" s="414"/>
      <c r="HHT17" s="414"/>
      <c r="HHU17" s="414"/>
      <c r="HHV17" s="414"/>
      <c r="HHW17" s="414"/>
      <c r="HHX17" s="414"/>
      <c r="HHY17" s="414"/>
      <c r="HHZ17" s="414"/>
      <c r="HIA17" s="414"/>
      <c r="HIB17" s="414"/>
      <c r="HIC17" s="414"/>
      <c r="HID17" s="414"/>
      <c r="HIE17" s="414"/>
      <c r="HIF17" s="414"/>
      <c r="HIG17" s="414"/>
      <c r="HIH17" s="414"/>
      <c r="HII17" s="414"/>
      <c r="HIJ17" s="414"/>
      <c r="HIK17" s="414"/>
      <c r="HIL17" s="414"/>
      <c r="HIM17" s="414"/>
      <c r="HIN17" s="414"/>
      <c r="HIO17" s="414"/>
      <c r="HIP17" s="414"/>
      <c r="HIQ17" s="414"/>
      <c r="HIR17" s="414"/>
      <c r="HIS17" s="414"/>
      <c r="HIT17" s="414"/>
      <c r="HIU17" s="414"/>
      <c r="HIV17" s="414"/>
      <c r="HIW17" s="414"/>
      <c r="HIX17" s="414"/>
      <c r="HIY17" s="414"/>
      <c r="HIZ17" s="414"/>
      <c r="HJA17" s="414"/>
      <c r="HJB17" s="414"/>
      <c r="HJC17" s="414"/>
      <c r="HJD17" s="414"/>
      <c r="HJE17" s="414"/>
      <c r="HJF17" s="414"/>
      <c r="HJG17" s="414"/>
      <c r="HJH17" s="414"/>
      <c r="HJI17" s="414"/>
      <c r="HJJ17" s="414"/>
      <c r="HJK17" s="414"/>
      <c r="HJL17" s="414"/>
      <c r="HJM17" s="414"/>
      <c r="HJN17" s="414"/>
      <c r="HJO17" s="414"/>
      <c r="HJP17" s="414"/>
      <c r="HJQ17" s="414"/>
      <c r="HJR17" s="414"/>
      <c r="HJS17" s="414"/>
      <c r="HJT17" s="414"/>
      <c r="HJU17" s="414"/>
      <c r="HJV17" s="414"/>
      <c r="HJW17" s="414"/>
      <c r="HJX17" s="414"/>
      <c r="HJY17" s="414"/>
      <c r="HJZ17" s="414"/>
      <c r="HKA17" s="414"/>
      <c r="HKB17" s="414"/>
      <c r="HKC17" s="414"/>
      <c r="HKD17" s="414"/>
      <c r="HKE17" s="414"/>
      <c r="HKF17" s="414"/>
      <c r="HKG17" s="414"/>
      <c r="HKH17" s="414"/>
      <c r="HKI17" s="414"/>
      <c r="HKJ17" s="414"/>
      <c r="HKK17" s="414"/>
      <c r="HKL17" s="414"/>
      <c r="HKM17" s="414"/>
      <c r="HKN17" s="414"/>
      <c r="HKO17" s="414"/>
      <c r="HKP17" s="414"/>
      <c r="HKQ17" s="414"/>
      <c r="HKR17" s="414"/>
      <c r="HKS17" s="414"/>
      <c r="HKT17" s="414"/>
      <c r="HKU17" s="414"/>
      <c r="HKV17" s="414"/>
      <c r="HKW17" s="414"/>
      <c r="HKX17" s="414"/>
      <c r="HKY17" s="414"/>
      <c r="HKZ17" s="414"/>
      <c r="HLA17" s="414"/>
      <c r="HLB17" s="414"/>
      <c r="HLC17" s="414"/>
      <c r="HLD17" s="414"/>
      <c r="HLE17" s="414"/>
      <c r="HLF17" s="414"/>
      <c r="HLG17" s="414"/>
      <c r="HLH17" s="414"/>
      <c r="HLI17" s="414"/>
      <c r="HLJ17" s="414"/>
      <c r="HLK17" s="414"/>
      <c r="HLL17" s="414"/>
      <c r="HLM17" s="414"/>
      <c r="HLN17" s="414"/>
      <c r="HLO17" s="414"/>
      <c r="HLP17" s="414"/>
      <c r="HLQ17" s="414"/>
      <c r="HLR17" s="414"/>
      <c r="HLS17" s="414"/>
      <c r="HLT17" s="414"/>
      <c r="HLU17" s="414"/>
      <c r="HLV17" s="414"/>
      <c r="HLW17" s="414"/>
      <c r="HLX17" s="414"/>
      <c r="HLY17" s="414"/>
      <c r="HLZ17" s="414"/>
      <c r="HMA17" s="414"/>
      <c r="HMB17" s="414"/>
      <c r="HMC17" s="414"/>
      <c r="HMD17" s="414"/>
      <c r="HME17" s="414"/>
      <c r="HMF17" s="414"/>
      <c r="HMG17" s="414"/>
      <c r="HMH17" s="414"/>
      <c r="HMI17" s="414"/>
      <c r="HMJ17" s="414"/>
      <c r="HMK17" s="414"/>
      <c r="HML17" s="414"/>
      <c r="HMM17" s="414"/>
      <c r="HMN17" s="414"/>
      <c r="HMO17" s="414"/>
      <c r="HMP17" s="414"/>
      <c r="HMQ17" s="414"/>
      <c r="HMR17" s="414"/>
      <c r="HMS17" s="414"/>
      <c r="HMT17" s="414"/>
      <c r="HMU17" s="414"/>
      <c r="HMV17" s="414"/>
      <c r="HMW17" s="414"/>
      <c r="HMX17" s="414"/>
      <c r="HMY17" s="414"/>
      <c r="HMZ17" s="414"/>
      <c r="HNA17" s="414"/>
      <c r="HNB17" s="414"/>
      <c r="HNC17" s="414"/>
      <c r="HND17" s="414"/>
      <c r="HNE17" s="414"/>
      <c r="HNF17" s="414"/>
      <c r="HNG17" s="414"/>
      <c r="HNH17" s="414"/>
      <c r="HNI17" s="414"/>
      <c r="HNJ17" s="414"/>
      <c r="HNK17" s="414"/>
      <c r="HNL17" s="414"/>
      <c r="HNM17" s="414"/>
      <c r="HNN17" s="414"/>
      <c r="HNO17" s="414"/>
      <c r="HNP17" s="414"/>
      <c r="HNQ17" s="414"/>
      <c r="HNR17" s="414"/>
      <c r="HNS17" s="414"/>
      <c r="HNT17" s="414"/>
      <c r="HNU17" s="414"/>
      <c r="HNV17" s="414"/>
      <c r="HNW17" s="414"/>
      <c r="HNX17" s="414"/>
      <c r="HNY17" s="414"/>
      <c r="HNZ17" s="414"/>
      <c r="HOA17" s="414"/>
      <c r="HOB17" s="414"/>
      <c r="HOC17" s="414"/>
      <c r="HOD17" s="414"/>
      <c r="HOE17" s="414"/>
      <c r="HOF17" s="414"/>
      <c r="HOG17" s="414"/>
      <c r="HOH17" s="414"/>
      <c r="HOI17" s="414"/>
      <c r="HOJ17" s="414"/>
      <c r="HOK17" s="414"/>
      <c r="HOL17" s="414"/>
      <c r="HOM17" s="414"/>
      <c r="HON17" s="414"/>
      <c r="HOO17" s="414"/>
      <c r="HOP17" s="414"/>
      <c r="HOQ17" s="414"/>
      <c r="HOR17" s="414"/>
      <c r="HOS17" s="414"/>
      <c r="HOT17" s="414"/>
      <c r="HOU17" s="414"/>
      <c r="HOV17" s="414"/>
      <c r="HOW17" s="414"/>
      <c r="HOX17" s="414"/>
      <c r="HOY17" s="414"/>
      <c r="HOZ17" s="414"/>
      <c r="HPA17" s="414"/>
      <c r="HPB17" s="414"/>
      <c r="HPC17" s="414"/>
      <c r="HPD17" s="414"/>
      <c r="HPE17" s="414"/>
      <c r="HPF17" s="414"/>
      <c r="HPG17" s="414"/>
      <c r="HPH17" s="414"/>
      <c r="HPI17" s="414"/>
      <c r="HPJ17" s="414"/>
      <c r="HPK17" s="414"/>
      <c r="HPL17" s="414"/>
      <c r="HPM17" s="414"/>
      <c r="HPN17" s="414"/>
      <c r="HPO17" s="414"/>
      <c r="HPP17" s="414"/>
      <c r="HPQ17" s="414"/>
      <c r="HPR17" s="414"/>
      <c r="HPS17" s="414"/>
      <c r="HPT17" s="414"/>
      <c r="HPU17" s="414"/>
      <c r="HPV17" s="414"/>
      <c r="HPW17" s="414"/>
      <c r="HPX17" s="414"/>
      <c r="HPY17" s="414"/>
      <c r="HPZ17" s="414"/>
      <c r="HQA17" s="414"/>
      <c r="HQB17" s="414"/>
      <c r="HQC17" s="414"/>
      <c r="HQD17" s="414"/>
      <c r="HQE17" s="414"/>
      <c r="HQF17" s="414"/>
      <c r="HQG17" s="414"/>
      <c r="HQH17" s="414"/>
      <c r="HQI17" s="414"/>
      <c r="HQJ17" s="414"/>
      <c r="HQK17" s="414"/>
      <c r="HQL17" s="414"/>
      <c r="HQM17" s="414"/>
      <c r="HQN17" s="414"/>
      <c r="HQO17" s="414"/>
      <c r="HQP17" s="414"/>
      <c r="HQQ17" s="414"/>
      <c r="HQR17" s="414"/>
      <c r="HQS17" s="414"/>
      <c r="HQT17" s="414"/>
      <c r="HQU17" s="414"/>
      <c r="HQV17" s="414"/>
      <c r="HQW17" s="414"/>
      <c r="HQX17" s="414"/>
      <c r="HQY17" s="414"/>
      <c r="HQZ17" s="414"/>
      <c r="HRA17" s="414"/>
      <c r="HRB17" s="414"/>
      <c r="HRC17" s="414"/>
      <c r="HRD17" s="414"/>
      <c r="HRE17" s="414"/>
      <c r="HRF17" s="414"/>
      <c r="HRG17" s="414"/>
      <c r="HRH17" s="414"/>
      <c r="HRI17" s="414"/>
      <c r="HRJ17" s="414"/>
      <c r="HRK17" s="414"/>
      <c r="HRL17" s="414"/>
      <c r="HRM17" s="414"/>
      <c r="HRN17" s="414"/>
      <c r="HRO17" s="414"/>
      <c r="HRP17" s="414"/>
      <c r="HRQ17" s="414"/>
      <c r="HRR17" s="414"/>
      <c r="HRS17" s="414"/>
      <c r="HRT17" s="414"/>
      <c r="HRU17" s="414"/>
      <c r="HRV17" s="414"/>
      <c r="HRW17" s="414"/>
      <c r="HRX17" s="414"/>
      <c r="HRY17" s="414"/>
      <c r="HRZ17" s="414"/>
      <c r="HSA17" s="414"/>
      <c r="HSB17" s="414"/>
      <c r="HSC17" s="414"/>
      <c r="HSD17" s="414"/>
      <c r="HSE17" s="414"/>
      <c r="HSF17" s="414"/>
      <c r="HSG17" s="414"/>
      <c r="HSH17" s="414"/>
      <c r="HSI17" s="414"/>
      <c r="HSJ17" s="414"/>
      <c r="HSK17" s="414"/>
      <c r="HSL17" s="414"/>
      <c r="HSM17" s="414"/>
      <c r="HSN17" s="414"/>
      <c r="HSO17" s="414"/>
      <c r="HSP17" s="414"/>
      <c r="HSQ17" s="414"/>
      <c r="HSR17" s="414"/>
      <c r="HSS17" s="414"/>
      <c r="HST17" s="414"/>
      <c r="HSU17" s="414"/>
      <c r="HSV17" s="414"/>
      <c r="HSW17" s="414"/>
      <c r="HSX17" s="414"/>
      <c r="HSY17" s="414"/>
      <c r="HSZ17" s="414"/>
      <c r="HTA17" s="414"/>
      <c r="HTB17" s="414"/>
      <c r="HTC17" s="414"/>
      <c r="HTD17" s="414"/>
      <c r="HTE17" s="414"/>
      <c r="HTF17" s="414"/>
      <c r="HTG17" s="414"/>
      <c r="HTH17" s="414"/>
      <c r="HTI17" s="414"/>
      <c r="HTJ17" s="414"/>
      <c r="HTK17" s="414"/>
      <c r="HTL17" s="414"/>
      <c r="HTM17" s="414"/>
      <c r="HTN17" s="414"/>
      <c r="HTO17" s="414"/>
      <c r="HTP17" s="414"/>
      <c r="HTQ17" s="414"/>
      <c r="HTR17" s="414"/>
      <c r="HTS17" s="414"/>
      <c r="HTT17" s="414"/>
      <c r="HTU17" s="414"/>
      <c r="HTV17" s="414"/>
      <c r="HTW17" s="414"/>
      <c r="HTX17" s="414"/>
      <c r="HTY17" s="414"/>
      <c r="HTZ17" s="414"/>
      <c r="HUA17" s="414"/>
      <c r="HUB17" s="414"/>
      <c r="HUC17" s="414"/>
      <c r="HUD17" s="414"/>
      <c r="HUE17" s="414"/>
      <c r="HUF17" s="414"/>
      <c r="HUG17" s="414"/>
      <c r="HUH17" s="414"/>
      <c r="HUI17" s="414"/>
      <c r="HUJ17" s="414"/>
      <c r="HUK17" s="414"/>
      <c r="HUL17" s="414"/>
      <c r="HUM17" s="414"/>
      <c r="HUN17" s="414"/>
      <c r="HUO17" s="414"/>
      <c r="HUP17" s="414"/>
      <c r="HUQ17" s="414"/>
      <c r="HUR17" s="414"/>
      <c r="HUS17" s="414"/>
      <c r="HUT17" s="414"/>
      <c r="HUU17" s="414"/>
      <c r="HUV17" s="414"/>
      <c r="HUW17" s="414"/>
      <c r="HUX17" s="414"/>
      <c r="HUY17" s="414"/>
      <c r="HUZ17" s="414"/>
      <c r="HVA17" s="414"/>
      <c r="HVB17" s="414"/>
      <c r="HVC17" s="414"/>
      <c r="HVD17" s="414"/>
      <c r="HVE17" s="414"/>
      <c r="HVF17" s="414"/>
      <c r="HVG17" s="414"/>
      <c r="HVH17" s="414"/>
      <c r="HVI17" s="414"/>
      <c r="HVJ17" s="414"/>
      <c r="HVK17" s="414"/>
      <c r="HVL17" s="414"/>
      <c r="HVM17" s="414"/>
      <c r="HVN17" s="414"/>
      <c r="HVO17" s="414"/>
      <c r="HVP17" s="414"/>
      <c r="HVQ17" s="414"/>
      <c r="HVR17" s="414"/>
      <c r="HVS17" s="414"/>
      <c r="HVT17" s="414"/>
      <c r="HVU17" s="414"/>
      <c r="HVV17" s="414"/>
      <c r="HVW17" s="414"/>
      <c r="HVX17" s="414"/>
      <c r="HVY17" s="414"/>
      <c r="HVZ17" s="414"/>
      <c r="HWA17" s="414"/>
      <c r="HWB17" s="414"/>
      <c r="HWC17" s="414"/>
      <c r="HWD17" s="414"/>
      <c r="HWE17" s="414"/>
      <c r="HWF17" s="414"/>
      <c r="HWG17" s="414"/>
      <c r="HWH17" s="414"/>
      <c r="HWI17" s="414"/>
      <c r="HWJ17" s="414"/>
      <c r="HWK17" s="414"/>
      <c r="HWL17" s="414"/>
      <c r="HWM17" s="414"/>
      <c r="HWN17" s="414"/>
      <c r="HWO17" s="414"/>
      <c r="HWP17" s="414"/>
      <c r="HWQ17" s="414"/>
      <c r="HWR17" s="414"/>
      <c r="HWS17" s="414"/>
      <c r="HWT17" s="414"/>
      <c r="HWU17" s="414"/>
      <c r="HWV17" s="414"/>
      <c r="HWW17" s="414"/>
      <c r="HWX17" s="414"/>
      <c r="HWY17" s="414"/>
      <c r="HWZ17" s="414"/>
      <c r="HXA17" s="414"/>
      <c r="HXB17" s="414"/>
      <c r="HXC17" s="414"/>
      <c r="HXD17" s="414"/>
      <c r="HXE17" s="414"/>
      <c r="HXF17" s="414"/>
      <c r="HXG17" s="414"/>
      <c r="HXH17" s="414"/>
      <c r="HXI17" s="414"/>
      <c r="HXJ17" s="414"/>
      <c r="HXK17" s="414"/>
      <c r="HXL17" s="414"/>
      <c r="HXM17" s="414"/>
      <c r="HXN17" s="414"/>
      <c r="HXO17" s="414"/>
      <c r="HXP17" s="414"/>
      <c r="HXQ17" s="414"/>
      <c r="HXR17" s="414"/>
      <c r="HXS17" s="414"/>
      <c r="HXT17" s="414"/>
      <c r="HXU17" s="414"/>
      <c r="HXV17" s="414"/>
      <c r="HXW17" s="414"/>
      <c r="HXX17" s="414"/>
      <c r="HXY17" s="414"/>
      <c r="HXZ17" s="414"/>
      <c r="HYA17" s="414"/>
      <c r="HYB17" s="414"/>
      <c r="HYC17" s="414"/>
      <c r="HYD17" s="414"/>
      <c r="HYE17" s="414"/>
      <c r="HYF17" s="414"/>
      <c r="HYG17" s="414"/>
      <c r="HYH17" s="414"/>
      <c r="HYI17" s="414"/>
      <c r="HYJ17" s="414"/>
      <c r="HYK17" s="414"/>
      <c r="HYL17" s="414"/>
      <c r="HYM17" s="414"/>
      <c r="HYN17" s="414"/>
      <c r="HYO17" s="414"/>
      <c r="HYP17" s="414"/>
      <c r="HYQ17" s="414"/>
      <c r="HYR17" s="414"/>
      <c r="HYS17" s="414"/>
      <c r="HYT17" s="414"/>
      <c r="HYU17" s="414"/>
      <c r="HYV17" s="414"/>
      <c r="HYW17" s="414"/>
      <c r="HYX17" s="414"/>
      <c r="HYY17" s="414"/>
      <c r="HYZ17" s="414"/>
      <c r="HZA17" s="414"/>
      <c r="HZB17" s="414"/>
      <c r="HZC17" s="414"/>
      <c r="HZD17" s="414"/>
      <c r="HZE17" s="414"/>
      <c r="HZF17" s="414"/>
      <c r="HZG17" s="414"/>
      <c r="HZH17" s="414"/>
      <c r="HZI17" s="414"/>
      <c r="HZJ17" s="414"/>
      <c r="HZK17" s="414"/>
      <c r="HZL17" s="414"/>
      <c r="HZM17" s="414"/>
      <c r="HZN17" s="414"/>
      <c r="HZO17" s="414"/>
      <c r="HZP17" s="414"/>
      <c r="HZQ17" s="414"/>
      <c r="HZR17" s="414"/>
      <c r="HZS17" s="414"/>
      <c r="HZT17" s="414"/>
      <c r="HZU17" s="414"/>
      <c r="HZV17" s="414"/>
      <c r="HZW17" s="414"/>
      <c r="HZX17" s="414"/>
      <c r="HZY17" s="414"/>
      <c r="HZZ17" s="414"/>
      <c r="IAA17" s="414"/>
      <c r="IAB17" s="414"/>
      <c r="IAC17" s="414"/>
      <c r="IAD17" s="414"/>
      <c r="IAE17" s="414"/>
      <c r="IAF17" s="414"/>
      <c r="IAG17" s="414"/>
      <c r="IAH17" s="414"/>
      <c r="IAI17" s="414"/>
      <c r="IAJ17" s="414"/>
      <c r="IAK17" s="414"/>
      <c r="IAL17" s="414"/>
      <c r="IAM17" s="414"/>
      <c r="IAN17" s="414"/>
      <c r="IAO17" s="414"/>
      <c r="IAP17" s="414"/>
      <c r="IAQ17" s="414"/>
      <c r="IAR17" s="414"/>
      <c r="IAS17" s="414"/>
      <c r="IAT17" s="414"/>
      <c r="IAU17" s="414"/>
      <c r="IAV17" s="414"/>
      <c r="IAW17" s="414"/>
      <c r="IAX17" s="414"/>
      <c r="IAY17" s="414"/>
      <c r="IAZ17" s="414"/>
      <c r="IBA17" s="414"/>
      <c r="IBB17" s="414"/>
      <c r="IBC17" s="414"/>
      <c r="IBD17" s="414"/>
      <c r="IBE17" s="414"/>
      <c r="IBF17" s="414"/>
      <c r="IBG17" s="414"/>
      <c r="IBH17" s="414"/>
      <c r="IBI17" s="414"/>
      <c r="IBJ17" s="414"/>
      <c r="IBK17" s="414"/>
      <c r="IBL17" s="414"/>
      <c r="IBM17" s="414"/>
      <c r="IBN17" s="414"/>
      <c r="IBO17" s="414"/>
      <c r="IBP17" s="414"/>
      <c r="IBQ17" s="414"/>
      <c r="IBR17" s="414"/>
      <c r="IBS17" s="414"/>
      <c r="IBT17" s="414"/>
      <c r="IBU17" s="414"/>
      <c r="IBV17" s="414"/>
      <c r="IBW17" s="414"/>
      <c r="IBX17" s="414"/>
      <c r="IBY17" s="414"/>
      <c r="IBZ17" s="414"/>
      <c r="ICA17" s="414"/>
      <c r="ICB17" s="414"/>
      <c r="ICC17" s="414"/>
      <c r="ICD17" s="414"/>
      <c r="ICE17" s="414"/>
      <c r="ICF17" s="414"/>
      <c r="ICG17" s="414"/>
      <c r="ICH17" s="414"/>
      <c r="ICI17" s="414"/>
      <c r="ICJ17" s="414"/>
      <c r="ICK17" s="414"/>
      <c r="ICL17" s="414"/>
      <c r="ICM17" s="414"/>
      <c r="ICN17" s="414"/>
      <c r="ICO17" s="414"/>
      <c r="ICP17" s="414"/>
      <c r="ICQ17" s="414"/>
      <c r="ICR17" s="414"/>
      <c r="ICS17" s="414"/>
      <c r="ICT17" s="414"/>
      <c r="ICU17" s="414"/>
      <c r="ICV17" s="414"/>
      <c r="ICW17" s="414"/>
      <c r="ICX17" s="414"/>
      <c r="ICY17" s="414"/>
      <c r="ICZ17" s="414"/>
      <c r="IDA17" s="414"/>
      <c r="IDB17" s="414"/>
      <c r="IDC17" s="414"/>
      <c r="IDD17" s="414"/>
      <c r="IDE17" s="414"/>
      <c r="IDF17" s="414"/>
      <c r="IDG17" s="414"/>
      <c r="IDH17" s="414"/>
      <c r="IDI17" s="414"/>
      <c r="IDJ17" s="414"/>
      <c r="IDK17" s="414"/>
      <c r="IDL17" s="414"/>
      <c r="IDM17" s="414"/>
      <c r="IDN17" s="414"/>
      <c r="IDO17" s="414"/>
      <c r="IDP17" s="414"/>
      <c r="IDQ17" s="414"/>
      <c r="IDR17" s="414"/>
      <c r="IDS17" s="414"/>
      <c r="IDT17" s="414"/>
      <c r="IDU17" s="414"/>
      <c r="IDV17" s="414"/>
      <c r="IDW17" s="414"/>
      <c r="IDX17" s="414"/>
      <c r="IDY17" s="414"/>
      <c r="IDZ17" s="414"/>
      <c r="IEA17" s="414"/>
      <c r="IEB17" s="414"/>
      <c r="IEC17" s="414"/>
      <c r="IED17" s="414"/>
      <c r="IEE17" s="414"/>
      <c r="IEF17" s="414"/>
      <c r="IEG17" s="414"/>
      <c r="IEH17" s="414"/>
      <c r="IEI17" s="414"/>
      <c r="IEJ17" s="414"/>
      <c r="IEK17" s="414"/>
      <c r="IEL17" s="414"/>
      <c r="IEM17" s="414"/>
      <c r="IEN17" s="414"/>
      <c r="IEO17" s="414"/>
      <c r="IEP17" s="414"/>
      <c r="IEQ17" s="414"/>
      <c r="IER17" s="414"/>
      <c r="IES17" s="414"/>
      <c r="IET17" s="414"/>
      <c r="IEU17" s="414"/>
      <c r="IEV17" s="414"/>
      <c r="IEW17" s="414"/>
      <c r="IEX17" s="414"/>
      <c r="IEY17" s="414"/>
      <c r="IEZ17" s="414"/>
      <c r="IFA17" s="414"/>
      <c r="IFB17" s="414"/>
      <c r="IFC17" s="414"/>
      <c r="IFD17" s="414"/>
      <c r="IFE17" s="414"/>
      <c r="IFF17" s="414"/>
      <c r="IFG17" s="414"/>
      <c r="IFH17" s="414"/>
      <c r="IFI17" s="414"/>
      <c r="IFJ17" s="414"/>
      <c r="IFK17" s="414"/>
      <c r="IFL17" s="414"/>
      <c r="IFM17" s="414"/>
      <c r="IFN17" s="414"/>
      <c r="IFO17" s="414"/>
      <c r="IFP17" s="414"/>
      <c r="IFQ17" s="414"/>
      <c r="IFR17" s="414"/>
      <c r="IFS17" s="414"/>
      <c r="IFT17" s="414"/>
      <c r="IFU17" s="414"/>
      <c r="IFV17" s="414"/>
      <c r="IFW17" s="414"/>
      <c r="IFX17" s="414"/>
      <c r="IFY17" s="414"/>
      <c r="IFZ17" s="414"/>
      <c r="IGA17" s="414"/>
      <c r="IGB17" s="414"/>
      <c r="IGC17" s="414"/>
      <c r="IGD17" s="414"/>
      <c r="IGE17" s="414"/>
      <c r="IGF17" s="414"/>
      <c r="IGG17" s="414"/>
      <c r="IGH17" s="414"/>
      <c r="IGI17" s="414"/>
      <c r="IGJ17" s="414"/>
      <c r="IGK17" s="414"/>
      <c r="IGL17" s="414"/>
      <c r="IGM17" s="414"/>
      <c r="IGN17" s="414"/>
      <c r="IGO17" s="414"/>
      <c r="IGP17" s="414"/>
      <c r="IGQ17" s="414"/>
      <c r="IGR17" s="414"/>
      <c r="IGS17" s="414"/>
      <c r="IGT17" s="414"/>
      <c r="IGU17" s="414"/>
      <c r="IGV17" s="414"/>
      <c r="IGW17" s="414"/>
      <c r="IGX17" s="414"/>
      <c r="IGY17" s="414"/>
      <c r="IGZ17" s="414"/>
      <c r="IHA17" s="414"/>
      <c r="IHB17" s="414"/>
      <c r="IHC17" s="414"/>
      <c r="IHD17" s="414"/>
      <c r="IHE17" s="414"/>
      <c r="IHF17" s="414"/>
      <c r="IHG17" s="414"/>
      <c r="IHH17" s="414"/>
      <c r="IHI17" s="414"/>
      <c r="IHJ17" s="414"/>
      <c r="IHK17" s="414"/>
      <c r="IHL17" s="414"/>
      <c r="IHM17" s="414"/>
      <c r="IHN17" s="414"/>
      <c r="IHO17" s="414"/>
      <c r="IHP17" s="414"/>
      <c r="IHQ17" s="414"/>
      <c r="IHR17" s="414"/>
      <c r="IHS17" s="414"/>
      <c r="IHT17" s="414"/>
      <c r="IHU17" s="414"/>
      <c r="IHV17" s="414"/>
      <c r="IHW17" s="414"/>
      <c r="IHX17" s="414"/>
      <c r="IHY17" s="414"/>
      <c r="IHZ17" s="414"/>
      <c r="IIA17" s="414"/>
      <c r="IIB17" s="414"/>
      <c r="IIC17" s="414"/>
      <c r="IID17" s="414"/>
      <c r="IIE17" s="414"/>
      <c r="IIF17" s="414"/>
      <c r="IIG17" s="414"/>
      <c r="IIH17" s="414"/>
      <c r="III17" s="414"/>
      <c r="IIJ17" s="414"/>
      <c r="IIK17" s="414"/>
      <c r="IIL17" s="414"/>
      <c r="IIM17" s="414"/>
      <c r="IIN17" s="414"/>
      <c r="IIO17" s="414"/>
      <c r="IIP17" s="414"/>
      <c r="IIQ17" s="414"/>
      <c r="IIR17" s="414"/>
      <c r="IIS17" s="414"/>
      <c r="IIT17" s="414"/>
      <c r="IIU17" s="414"/>
      <c r="IIV17" s="414"/>
      <c r="IIW17" s="414"/>
      <c r="IIX17" s="414"/>
      <c r="IIY17" s="414"/>
      <c r="IIZ17" s="414"/>
      <c r="IJA17" s="414"/>
      <c r="IJB17" s="414"/>
      <c r="IJC17" s="414"/>
      <c r="IJD17" s="414"/>
      <c r="IJE17" s="414"/>
      <c r="IJF17" s="414"/>
      <c r="IJG17" s="414"/>
      <c r="IJH17" s="414"/>
      <c r="IJI17" s="414"/>
      <c r="IJJ17" s="414"/>
      <c r="IJK17" s="414"/>
      <c r="IJL17" s="414"/>
      <c r="IJM17" s="414"/>
      <c r="IJN17" s="414"/>
      <c r="IJO17" s="414"/>
      <c r="IJP17" s="414"/>
      <c r="IJQ17" s="414"/>
      <c r="IJR17" s="414"/>
      <c r="IJS17" s="414"/>
      <c r="IJT17" s="414"/>
      <c r="IJU17" s="414"/>
      <c r="IJV17" s="414"/>
      <c r="IJW17" s="414"/>
      <c r="IJX17" s="414"/>
      <c r="IJY17" s="414"/>
      <c r="IJZ17" s="414"/>
      <c r="IKA17" s="414"/>
      <c r="IKB17" s="414"/>
      <c r="IKC17" s="414"/>
      <c r="IKD17" s="414"/>
      <c r="IKE17" s="414"/>
      <c r="IKF17" s="414"/>
      <c r="IKG17" s="414"/>
      <c r="IKH17" s="414"/>
      <c r="IKI17" s="414"/>
      <c r="IKJ17" s="414"/>
      <c r="IKK17" s="414"/>
      <c r="IKL17" s="414"/>
      <c r="IKM17" s="414"/>
      <c r="IKN17" s="414"/>
      <c r="IKO17" s="414"/>
      <c r="IKP17" s="414"/>
      <c r="IKQ17" s="414"/>
      <c r="IKR17" s="414"/>
      <c r="IKS17" s="414"/>
      <c r="IKT17" s="414"/>
      <c r="IKU17" s="414"/>
      <c r="IKV17" s="414"/>
      <c r="IKW17" s="414"/>
      <c r="IKX17" s="414"/>
      <c r="IKY17" s="414"/>
      <c r="IKZ17" s="414"/>
      <c r="ILA17" s="414"/>
      <c r="ILB17" s="414"/>
      <c r="ILC17" s="414"/>
      <c r="ILD17" s="414"/>
      <c r="ILE17" s="414"/>
      <c r="ILF17" s="414"/>
      <c r="ILG17" s="414"/>
      <c r="ILH17" s="414"/>
      <c r="ILI17" s="414"/>
      <c r="ILJ17" s="414"/>
      <c r="ILK17" s="414"/>
      <c r="ILL17" s="414"/>
      <c r="ILM17" s="414"/>
      <c r="ILN17" s="414"/>
      <c r="ILO17" s="414"/>
      <c r="ILP17" s="414"/>
      <c r="ILQ17" s="414"/>
      <c r="ILR17" s="414"/>
      <c r="ILS17" s="414"/>
      <c r="ILT17" s="414"/>
      <c r="ILU17" s="414"/>
      <c r="ILV17" s="414"/>
      <c r="ILW17" s="414"/>
      <c r="ILX17" s="414"/>
      <c r="ILY17" s="414"/>
      <c r="ILZ17" s="414"/>
      <c r="IMA17" s="414"/>
      <c r="IMB17" s="414"/>
      <c r="IMC17" s="414"/>
      <c r="IMD17" s="414"/>
      <c r="IME17" s="414"/>
      <c r="IMF17" s="414"/>
      <c r="IMG17" s="414"/>
      <c r="IMH17" s="414"/>
      <c r="IMI17" s="414"/>
      <c r="IMJ17" s="414"/>
      <c r="IMK17" s="414"/>
      <c r="IML17" s="414"/>
      <c r="IMM17" s="414"/>
      <c r="IMN17" s="414"/>
      <c r="IMO17" s="414"/>
      <c r="IMP17" s="414"/>
      <c r="IMQ17" s="414"/>
      <c r="IMR17" s="414"/>
      <c r="IMS17" s="414"/>
      <c r="IMT17" s="414"/>
      <c r="IMU17" s="414"/>
      <c r="IMV17" s="414"/>
      <c r="IMW17" s="414"/>
      <c r="IMX17" s="414"/>
      <c r="IMY17" s="414"/>
      <c r="IMZ17" s="414"/>
      <c r="INA17" s="414"/>
      <c r="INB17" s="414"/>
      <c r="INC17" s="414"/>
      <c r="IND17" s="414"/>
      <c r="INE17" s="414"/>
      <c r="INF17" s="414"/>
      <c r="ING17" s="414"/>
      <c r="INH17" s="414"/>
      <c r="INI17" s="414"/>
      <c r="INJ17" s="414"/>
      <c r="INK17" s="414"/>
      <c r="INL17" s="414"/>
      <c r="INM17" s="414"/>
      <c r="INN17" s="414"/>
      <c r="INO17" s="414"/>
      <c r="INP17" s="414"/>
      <c r="INQ17" s="414"/>
      <c r="INR17" s="414"/>
      <c r="INS17" s="414"/>
      <c r="INT17" s="414"/>
      <c r="INU17" s="414"/>
      <c r="INV17" s="414"/>
      <c r="INW17" s="414"/>
      <c r="INX17" s="414"/>
      <c r="INY17" s="414"/>
      <c r="INZ17" s="414"/>
      <c r="IOA17" s="414"/>
      <c r="IOB17" s="414"/>
      <c r="IOC17" s="414"/>
      <c r="IOD17" s="414"/>
      <c r="IOE17" s="414"/>
      <c r="IOF17" s="414"/>
      <c r="IOG17" s="414"/>
      <c r="IOH17" s="414"/>
      <c r="IOI17" s="414"/>
      <c r="IOJ17" s="414"/>
      <c r="IOK17" s="414"/>
      <c r="IOL17" s="414"/>
      <c r="IOM17" s="414"/>
      <c r="ION17" s="414"/>
      <c r="IOO17" s="414"/>
      <c r="IOP17" s="414"/>
      <c r="IOQ17" s="414"/>
      <c r="IOR17" s="414"/>
      <c r="IOS17" s="414"/>
      <c r="IOT17" s="414"/>
      <c r="IOU17" s="414"/>
      <c r="IOV17" s="414"/>
      <c r="IOW17" s="414"/>
      <c r="IOX17" s="414"/>
      <c r="IOY17" s="414"/>
      <c r="IOZ17" s="414"/>
      <c r="IPA17" s="414"/>
      <c r="IPB17" s="414"/>
      <c r="IPC17" s="414"/>
      <c r="IPD17" s="414"/>
      <c r="IPE17" s="414"/>
      <c r="IPF17" s="414"/>
      <c r="IPG17" s="414"/>
      <c r="IPH17" s="414"/>
      <c r="IPI17" s="414"/>
      <c r="IPJ17" s="414"/>
      <c r="IPK17" s="414"/>
      <c r="IPL17" s="414"/>
      <c r="IPM17" s="414"/>
      <c r="IPN17" s="414"/>
      <c r="IPO17" s="414"/>
      <c r="IPP17" s="414"/>
      <c r="IPQ17" s="414"/>
      <c r="IPR17" s="414"/>
      <c r="IPS17" s="414"/>
      <c r="IPT17" s="414"/>
      <c r="IPU17" s="414"/>
      <c r="IPV17" s="414"/>
      <c r="IPW17" s="414"/>
      <c r="IPX17" s="414"/>
      <c r="IPY17" s="414"/>
      <c r="IPZ17" s="414"/>
      <c r="IQA17" s="414"/>
      <c r="IQB17" s="414"/>
      <c r="IQC17" s="414"/>
      <c r="IQD17" s="414"/>
      <c r="IQE17" s="414"/>
      <c r="IQF17" s="414"/>
      <c r="IQG17" s="414"/>
      <c r="IQH17" s="414"/>
      <c r="IQI17" s="414"/>
      <c r="IQJ17" s="414"/>
      <c r="IQK17" s="414"/>
      <c r="IQL17" s="414"/>
      <c r="IQM17" s="414"/>
      <c r="IQN17" s="414"/>
      <c r="IQO17" s="414"/>
      <c r="IQP17" s="414"/>
      <c r="IQQ17" s="414"/>
      <c r="IQR17" s="414"/>
      <c r="IQS17" s="414"/>
      <c r="IQT17" s="414"/>
      <c r="IQU17" s="414"/>
      <c r="IQV17" s="414"/>
      <c r="IQW17" s="414"/>
      <c r="IQX17" s="414"/>
      <c r="IQY17" s="414"/>
      <c r="IQZ17" s="414"/>
      <c r="IRA17" s="414"/>
      <c r="IRB17" s="414"/>
      <c r="IRC17" s="414"/>
      <c r="IRD17" s="414"/>
      <c r="IRE17" s="414"/>
      <c r="IRF17" s="414"/>
      <c r="IRG17" s="414"/>
      <c r="IRH17" s="414"/>
      <c r="IRI17" s="414"/>
      <c r="IRJ17" s="414"/>
      <c r="IRK17" s="414"/>
      <c r="IRL17" s="414"/>
      <c r="IRM17" s="414"/>
      <c r="IRN17" s="414"/>
      <c r="IRO17" s="414"/>
      <c r="IRP17" s="414"/>
      <c r="IRQ17" s="414"/>
      <c r="IRR17" s="414"/>
      <c r="IRS17" s="414"/>
      <c r="IRT17" s="414"/>
      <c r="IRU17" s="414"/>
      <c r="IRV17" s="414"/>
      <c r="IRW17" s="414"/>
      <c r="IRX17" s="414"/>
      <c r="IRY17" s="414"/>
      <c r="IRZ17" s="414"/>
      <c r="ISA17" s="414"/>
      <c r="ISB17" s="414"/>
      <c r="ISC17" s="414"/>
      <c r="ISD17" s="414"/>
      <c r="ISE17" s="414"/>
      <c r="ISF17" s="414"/>
      <c r="ISG17" s="414"/>
      <c r="ISH17" s="414"/>
      <c r="ISI17" s="414"/>
      <c r="ISJ17" s="414"/>
      <c r="ISK17" s="414"/>
      <c r="ISL17" s="414"/>
      <c r="ISM17" s="414"/>
      <c r="ISN17" s="414"/>
      <c r="ISO17" s="414"/>
      <c r="ISP17" s="414"/>
      <c r="ISQ17" s="414"/>
      <c r="ISR17" s="414"/>
      <c r="ISS17" s="414"/>
      <c r="IST17" s="414"/>
      <c r="ISU17" s="414"/>
      <c r="ISV17" s="414"/>
      <c r="ISW17" s="414"/>
      <c r="ISX17" s="414"/>
      <c r="ISY17" s="414"/>
      <c r="ISZ17" s="414"/>
      <c r="ITA17" s="414"/>
      <c r="ITB17" s="414"/>
      <c r="ITC17" s="414"/>
      <c r="ITD17" s="414"/>
      <c r="ITE17" s="414"/>
      <c r="ITF17" s="414"/>
      <c r="ITG17" s="414"/>
      <c r="ITH17" s="414"/>
      <c r="ITI17" s="414"/>
      <c r="ITJ17" s="414"/>
      <c r="ITK17" s="414"/>
      <c r="ITL17" s="414"/>
      <c r="ITM17" s="414"/>
      <c r="ITN17" s="414"/>
      <c r="ITO17" s="414"/>
      <c r="ITP17" s="414"/>
      <c r="ITQ17" s="414"/>
      <c r="ITR17" s="414"/>
      <c r="ITS17" s="414"/>
      <c r="ITT17" s="414"/>
      <c r="ITU17" s="414"/>
      <c r="ITV17" s="414"/>
      <c r="ITW17" s="414"/>
      <c r="ITX17" s="414"/>
      <c r="ITY17" s="414"/>
      <c r="ITZ17" s="414"/>
      <c r="IUA17" s="414"/>
      <c r="IUB17" s="414"/>
      <c r="IUC17" s="414"/>
      <c r="IUD17" s="414"/>
      <c r="IUE17" s="414"/>
      <c r="IUF17" s="414"/>
      <c r="IUG17" s="414"/>
      <c r="IUH17" s="414"/>
      <c r="IUI17" s="414"/>
      <c r="IUJ17" s="414"/>
      <c r="IUK17" s="414"/>
      <c r="IUL17" s="414"/>
      <c r="IUM17" s="414"/>
      <c r="IUN17" s="414"/>
      <c r="IUO17" s="414"/>
      <c r="IUP17" s="414"/>
      <c r="IUQ17" s="414"/>
      <c r="IUR17" s="414"/>
      <c r="IUS17" s="414"/>
      <c r="IUT17" s="414"/>
      <c r="IUU17" s="414"/>
      <c r="IUV17" s="414"/>
      <c r="IUW17" s="414"/>
      <c r="IUX17" s="414"/>
      <c r="IUY17" s="414"/>
      <c r="IUZ17" s="414"/>
      <c r="IVA17" s="414"/>
      <c r="IVB17" s="414"/>
      <c r="IVC17" s="414"/>
      <c r="IVD17" s="414"/>
      <c r="IVE17" s="414"/>
      <c r="IVF17" s="414"/>
      <c r="IVG17" s="414"/>
      <c r="IVH17" s="414"/>
      <c r="IVI17" s="414"/>
      <c r="IVJ17" s="414"/>
      <c r="IVK17" s="414"/>
      <c r="IVL17" s="414"/>
      <c r="IVM17" s="414"/>
      <c r="IVN17" s="414"/>
      <c r="IVO17" s="414"/>
      <c r="IVP17" s="414"/>
      <c r="IVQ17" s="414"/>
      <c r="IVR17" s="414"/>
      <c r="IVS17" s="414"/>
      <c r="IVT17" s="414"/>
      <c r="IVU17" s="414"/>
      <c r="IVV17" s="414"/>
      <c r="IVW17" s="414"/>
      <c r="IVX17" s="414"/>
      <c r="IVY17" s="414"/>
      <c r="IVZ17" s="414"/>
      <c r="IWA17" s="414"/>
      <c r="IWB17" s="414"/>
      <c r="IWC17" s="414"/>
      <c r="IWD17" s="414"/>
      <c r="IWE17" s="414"/>
      <c r="IWF17" s="414"/>
      <c r="IWG17" s="414"/>
      <c r="IWH17" s="414"/>
      <c r="IWI17" s="414"/>
      <c r="IWJ17" s="414"/>
      <c r="IWK17" s="414"/>
      <c r="IWL17" s="414"/>
      <c r="IWM17" s="414"/>
      <c r="IWN17" s="414"/>
      <c r="IWO17" s="414"/>
      <c r="IWP17" s="414"/>
      <c r="IWQ17" s="414"/>
      <c r="IWR17" s="414"/>
      <c r="IWS17" s="414"/>
      <c r="IWT17" s="414"/>
      <c r="IWU17" s="414"/>
      <c r="IWV17" s="414"/>
      <c r="IWW17" s="414"/>
      <c r="IWX17" s="414"/>
      <c r="IWY17" s="414"/>
      <c r="IWZ17" s="414"/>
      <c r="IXA17" s="414"/>
      <c r="IXB17" s="414"/>
      <c r="IXC17" s="414"/>
      <c r="IXD17" s="414"/>
      <c r="IXE17" s="414"/>
      <c r="IXF17" s="414"/>
      <c r="IXG17" s="414"/>
      <c r="IXH17" s="414"/>
      <c r="IXI17" s="414"/>
      <c r="IXJ17" s="414"/>
      <c r="IXK17" s="414"/>
      <c r="IXL17" s="414"/>
      <c r="IXM17" s="414"/>
      <c r="IXN17" s="414"/>
      <c r="IXO17" s="414"/>
      <c r="IXP17" s="414"/>
      <c r="IXQ17" s="414"/>
      <c r="IXR17" s="414"/>
      <c r="IXS17" s="414"/>
      <c r="IXT17" s="414"/>
      <c r="IXU17" s="414"/>
      <c r="IXV17" s="414"/>
      <c r="IXW17" s="414"/>
      <c r="IXX17" s="414"/>
      <c r="IXY17" s="414"/>
      <c r="IXZ17" s="414"/>
      <c r="IYA17" s="414"/>
      <c r="IYB17" s="414"/>
      <c r="IYC17" s="414"/>
      <c r="IYD17" s="414"/>
      <c r="IYE17" s="414"/>
      <c r="IYF17" s="414"/>
      <c r="IYG17" s="414"/>
      <c r="IYH17" s="414"/>
      <c r="IYI17" s="414"/>
      <c r="IYJ17" s="414"/>
      <c r="IYK17" s="414"/>
      <c r="IYL17" s="414"/>
      <c r="IYM17" s="414"/>
      <c r="IYN17" s="414"/>
      <c r="IYO17" s="414"/>
      <c r="IYP17" s="414"/>
      <c r="IYQ17" s="414"/>
      <c r="IYR17" s="414"/>
      <c r="IYS17" s="414"/>
      <c r="IYT17" s="414"/>
      <c r="IYU17" s="414"/>
      <c r="IYV17" s="414"/>
      <c r="IYW17" s="414"/>
      <c r="IYX17" s="414"/>
      <c r="IYY17" s="414"/>
      <c r="IYZ17" s="414"/>
      <c r="IZA17" s="414"/>
      <c r="IZB17" s="414"/>
      <c r="IZC17" s="414"/>
      <c r="IZD17" s="414"/>
      <c r="IZE17" s="414"/>
      <c r="IZF17" s="414"/>
      <c r="IZG17" s="414"/>
      <c r="IZH17" s="414"/>
      <c r="IZI17" s="414"/>
      <c r="IZJ17" s="414"/>
      <c r="IZK17" s="414"/>
      <c r="IZL17" s="414"/>
      <c r="IZM17" s="414"/>
      <c r="IZN17" s="414"/>
      <c r="IZO17" s="414"/>
      <c r="IZP17" s="414"/>
      <c r="IZQ17" s="414"/>
      <c r="IZR17" s="414"/>
      <c r="IZS17" s="414"/>
      <c r="IZT17" s="414"/>
      <c r="IZU17" s="414"/>
      <c r="IZV17" s="414"/>
      <c r="IZW17" s="414"/>
      <c r="IZX17" s="414"/>
      <c r="IZY17" s="414"/>
      <c r="IZZ17" s="414"/>
      <c r="JAA17" s="414"/>
      <c r="JAB17" s="414"/>
      <c r="JAC17" s="414"/>
      <c r="JAD17" s="414"/>
      <c r="JAE17" s="414"/>
      <c r="JAF17" s="414"/>
      <c r="JAG17" s="414"/>
      <c r="JAH17" s="414"/>
      <c r="JAI17" s="414"/>
      <c r="JAJ17" s="414"/>
      <c r="JAK17" s="414"/>
      <c r="JAL17" s="414"/>
      <c r="JAM17" s="414"/>
      <c r="JAN17" s="414"/>
      <c r="JAO17" s="414"/>
      <c r="JAP17" s="414"/>
      <c r="JAQ17" s="414"/>
      <c r="JAR17" s="414"/>
      <c r="JAS17" s="414"/>
      <c r="JAT17" s="414"/>
      <c r="JAU17" s="414"/>
      <c r="JAV17" s="414"/>
      <c r="JAW17" s="414"/>
      <c r="JAX17" s="414"/>
      <c r="JAY17" s="414"/>
      <c r="JAZ17" s="414"/>
      <c r="JBA17" s="414"/>
      <c r="JBB17" s="414"/>
      <c r="JBC17" s="414"/>
      <c r="JBD17" s="414"/>
      <c r="JBE17" s="414"/>
      <c r="JBF17" s="414"/>
      <c r="JBG17" s="414"/>
      <c r="JBH17" s="414"/>
      <c r="JBI17" s="414"/>
      <c r="JBJ17" s="414"/>
      <c r="JBK17" s="414"/>
      <c r="JBL17" s="414"/>
      <c r="JBM17" s="414"/>
      <c r="JBN17" s="414"/>
      <c r="JBO17" s="414"/>
      <c r="JBP17" s="414"/>
      <c r="JBQ17" s="414"/>
      <c r="JBR17" s="414"/>
      <c r="JBS17" s="414"/>
      <c r="JBT17" s="414"/>
      <c r="JBU17" s="414"/>
      <c r="JBV17" s="414"/>
      <c r="JBW17" s="414"/>
      <c r="JBX17" s="414"/>
      <c r="JBY17" s="414"/>
      <c r="JBZ17" s="414"/>
      <c r="JCA17" s="414"/>
      <c r="JCB17" s="414"/>
      <c r="JCC17" s="414"/>
      <c r="JCD17" s="414"/>
      <c r="JCE17" s="414"/>
      <c r="JCF17" s="414"/>
      <c r="JCG17" s="414"/>
      <c r="JCH17" s="414"/>
      <c r="JCI17" s="414"/>
      <c r="JCJ17" s="414"/>
      <c r="JCK17" s="414"/>
      <c r="JCL17" s="414"/>
      <c r="JCM17" s="414"/>
      <c r="JCN17" s="414"/>
      <c r="JCO17" s="414"/>
      <c r="JCP17" s="414"/>
      <c r="JCQ17" s="414"/>
      <c r="JCR17" s="414"/>
      <c r="JCS17" s="414"/>
      <c r="JCT17" s="414"/>
      <c r="JCU17" s="414"/>
      <c r="JCV17" s="414"/>
      <c r="JCW17" s="414"/>
      <c r="JCX17" s="414"/>
      <c r="JCY17" s="414"/>
      <c r="JCZ17" s="414"/>
      <c r="JDA17" s="414"/>
      <c r="JDB17" s="414"/>
      <c r="JDC17" s="414"/>
      <c r="JDD17" s="414"/>
      <c r="JDE17" s="414"/>
      <c r="JDF17" s="414"/>
      <c r="JDG17" s="414"/>
      <c r="JDH17" s="414"/>
      <c r="JDI17" s="414"/>
      <c r="JDJ17" s="414"/>
      <c r="JDK17" s="414"/>
      <c r="JDL17" s="414"/>
      <c r="JDM17" s="414"/>
      <c r="JDN17" s="414"/>
      <c r="JDO17" s="414"/>
      <c r="JDP17" s="414"/>
      <c r="JDQ17" s="414"/>
      <c r="JDR17" s="414"/>
      <c r="JDS17" s="414"/>
      <c r="JDT17" s="414"/>
      <c r="JDU17" s="414"/>
      <c r="JDV17" s="414"/>
      <c r="JDW17" s="414"/>
      <c r="JDX17" s="414"/>
      <c r="JDY17" s="414"/>
      <c r="JDZ17" s="414"/>
      <c r="JEA17" s="414"/>
      <c r="JEB17" s="414"/>
      <c r="JEC17" s="414"/>
      <c r="JED17" s="414"/>
      <c r="JEE17" s="414"/>
      <c r="JEF17" s="414"/>
      <c r="JEG17" s="414"/>
      <c r="JEH17" s="414"/>
      <c r="JEI17" s="414"/>
      <c r="JEJ17" s="414"/>
      <c r="JEK17" s="414"/>
      <c r="JEL17" s="414"/>
      <c r="JEM17" s="414"/>
      <c r="JEN17" s="414"/>
      <c r="JEO17" s="414"/>
      <c r="JEP17" s="414"/>
      <c r="JEQ17" s="414"/>
      <c r="JER17" s="414"/>
      <c r="JES17" s="414"/>
      <c r="JET17" s="414"/>
      <c r="JEU17" s="414"/>
      <c r="JEV17" s="414"/>
      <c r="JEW17" s="414"/>
      <c r="JEX17" s="414"/>
      <c r="JEY17" s="414"/>
      <c r="JEZ17" s="414"/>
      <c r="JFA17" s="414"/>
      <c r="JFB17" s="414"/>
      <c r="JFC17" s="414"/>
      <c r="JFD17" s="414"/>
      <c r="JFE17" s="414"/>
      <c r="JFF17" s="414"/>
      <c r="JFG17" s="414"/>
      <c r="JFH17" s="414"/>
      <c r="JFI17" s="414"/>
      <c r="JFJ17" s="414"/>
      <c r="JFK17" s="414"/>
      <c r="JFL17" s="414"/>
      <c r="JFM17" s="414"/>
      <c r="JFN17" s="414"/>
      <c r="JFO17" s="414"/>
      <c r="JFP17" s="414"/>
      <c r="JFQ17" s="414"/>
      <c r="JFR17" s="414"/>
      <c r="JFS17" s="414"/>
      <c r="JFT17" s="414"/>
      <c r="JFU17" s="414"/>
      <c r="JFV17" s="414"/>
      <c r="JFW17" s="414"/>
      <c r="JFX17" s="414"/>
      <c r="JFY17" s="414"/>
      <c r="JFZ17" s="414"/>
      <c r="JGA17" s="414"/>
      <c r="JGB17" s="414"/>
      <c r="JGC17" s="414"/>
      <c r="JGD17" s="414"/>
      <c r="JGE17" s="414"/>
      <c r="JGF17" s="414"/>
      <c r="JGG17" s="414"/>
      <c r="JGH17" s="414"/>
      <c r="JGI17" s="414"/>
      <c r="JGJ17" s="414"/>
      <c r="JGK17" s="414"/>
      <c r="JGL17" s="414"/>
      <c r="JGM17" s="414"/>
      <c r="JGN17" s="414"/>
      <c r="JGO17" s="414"/>
      <c r="JGP17" s="414"/>
      <c r="JGQ17" s="414"/>
      <c r="JGR17" s="414"/>
      <c r="JGS17" s="414"/>
      <c r="JGT17" s="414"/>
      <c r="JGU17" s="414"/>
      <c r="JGV17" s="414"/>
      <c r="JGW17" s="414"/>
      <c r="JGX17" s="414"/>
      <c r="JGY17" s="414"/>
      <c r="JGZ17" s="414"/>
      <c r="JHA17" s="414"/>
      <c r="JHB17" s="414"/>
      <c r="JHC17" s="414"/>
      <c r="JHD17" s="414"/>
      <c r="JHE17" s="414"/>
      <c r="JHF17" s="414"/>
      <c r="JHG17" s="414"/>
      <c r="JHH17" s="414"/>
      <c r="JHI17" s="414"/>
      <c r="JHJ17" s="414"/>
      <c r="JHK17" s="414"/>
      <c r="JHL17" s="414"/>
      <c r="JHM17" s="414"/>
      <c r="JHN17" s="414"/>
      <c r="JHO17" s="414"/>
      <c r="JHP17" s="414"/>
      <c r="JHQ17" s="414"/>
      <c r="JHR17" s="414"/>
      <c r="JHS17" s="414"/>
      <c r="JHT17" s="414"/>
      <c r="JHU17" s="414"/>
      <c r="JHV17" s="414"/>
      <c r="JHW17" s="414"/>
      <c r="JHX17" s="414"/>
      <c r="JHY17" s="414"/>
      <c r="JHZ17" s="414"/>
      <c r="JIA17" s="414"/>
      <c r="JIB17" s="414"/>
      <c r="JIC17" s="414"/>
      <c r="JID17" s="414"/>
      <c r="JIE17" s="414"/>
      <c r="JIF17" s="414"/>
      <c r="JIG17" s="414"/>
      <c r="JIH17" s="414"/>
      <c r="JII17" s="414"/>
      <c r="JIJ17" s="414"/>
      <c r="JIK17" s="414"/>
      <c r="JIL17" s="414"/>
      <c r="JIM17" s="414"/>
      <c r="JIN17" s="414"/>
      <c r="JIO17" s="414"/>
      <c r="JIP17" s="414"/>
      <c r="JIQ17" s="414"/>
      <c r="JIR17" s="414"/>
      <c r="JIS17" s="414"/>
      <c r="JIT17" s="414"/>
      <c r="JIU17" s="414"/>
      <c r="JIV17" s="414"/>
      <c r="JIW17" s="414"/>
      <c r="JIX17" s="414"/>
      <c r="JIY17" s="414"/>
      <c r="JIZ17" s="414"/>
      <c r="JJA17" s="414"/>
      <c r="JJB17" s="414"/>
      <c r="JJC17" s="414"/>
      <c r="JJD17" s="414"/>
      <c r="JJE17" s="414"/>
      <c r="JJF17" s="414"/>
      <c r="JJG17" s="414"/>
      <c r="JJH17" s="414"/>
      <c r="JJI17" s="414"/>
      <c r="JJJ17" s="414"/>
      <c r="JJK17" s="414"/>
      <c r="JJL17" s="414"/>
      <c r="JJM17" s="414"/>
      <c r="JJN17" s="414"/>
      <c r="JJO17" s="414"/>
      <c r="JJP17" s="414"/>
      <c r="JJQ17" s="414"/>
      <c r="JJR17" s="414"/>
      <c r="JJS17" s="414"/>
      <c r="JJT17" s="414"/>
      <c r="JJU17" s="414"/>
      <c r="JJV17" s="414"/>
      <c r="JJW17" s="414"/>
      <c r="JJX17" s="414"/>
      <c r="JJY17" s="414"/>
      <c r="JJZ17" s="414"/>
      <c r="JKA17" s="414"/>
      <c r="JKB17" s="414"/>
      <c r="JKC17" s="414"/>
      <c r="JKD17" s="414"/>
      <c r="JKE17" s="414"/>
      <c r="JKF17" s="414"/>
      <c r="JKG17" s="414"/>
      <c r="JKH17" s="414"/>
      <c r="JKI17" s="414"/>
      <c r="JKJ17" s="414"/>
      <c r="JKK17" s="414"/>
      <c r="JKL17" s="414"/>
      <c r="JKM17" s="414"/>
      <c r="JKN17" s="414"/>
      <c r="JKO17" s="414"/>
      <c r="JKP17" s="414"/>
      <c r="JKQ17" s="414"/>
      <c r="JKR17" s="414"/>
      <c r="JKS17" s="414"/>
      <c r="JKT17" s="414"/>
      <c r="JKU17" s="414"/>
      <c r="JKV17" s="414"/>
      <c r="JKW17" s="414"/>
      <c r="JKX17" s="414"/>
      <c r="JKY17" s="414"/>
      <c r="JKZ17" s="414"/>
      <c r="JLA17" s="414"/>
      <c r="JLB17" s="414"/>
      <c r="JLC17" s="414"/>
      <c r="JLD17" s="414"/>
      <c r="JLE17" s="414"/>
      <c r="JLF17" s="414"/>
      <c r="JLG17" s="414"/>
      <c r="JLH17" s="414"/>
      <c r="JLI17" s="414"/>
      <c r="JLJ17" s="414"/>
      <c r="JLK17" s="414"/>
      <c r="JLL17" s="414"/>
      <c r="JLM17" s="414"/>
      <c r="JLN17" s="414"/>
      <c r="JLO17" s="414"/>
      <c r="JLP17" s="414"/>
      <c r="JLQ17" s="414"/>
      <c r="JLR17" s="414"/>
      <c r="JLS17" s="414"/>
      <c r="JLT17" s="414"/>
      <c r="JLU17" s="414"/>
      <c r="JLV17" s="414"/>
      <c r="JLW17" s="414"/>
      <c r="JLX17" s="414"/>
      <c r="JLY17" s="414"/>
      <c r="JLZ17" s="414"/>
      <c r="JMA17" s="414"/>
      <c r="JMB17" s="414"/>
      <c r="JMC17" s="414"/>
      <c r="JMD17" s="414"/>
      <c r="JME17" s="414"/>
      <c r="JMF17" s="414"/>
      <c r="JMG17" s="414"/>
      <c r="JMH17" s="414"/>
      <c r="JMI17" s="414"/>
      <c r="JMJ17" s="414"/>
      <c r="JMK17" s="414"/>
      <c r="JML17" s="414"/>
      <c r="JMM17" s="414"/>
      <c r="JMN17" s="414"/>
      <c r="JMO17" s="414"/>
      <c r="JMP17" s="414"/>
      <c r="JMQ17" s="414"/>
      <c r="JMR17" s="414"/>
      <c r="JMS17" s="414"/>
      <c r="JMT17" s="414"/>
      <c r="JMU17" s="414"/>
      <c r="JMV17" s="414"/>
      <c r="JMW17" s="414"/>
      <c r="JMX17" s="414"/>
      <c r="JMY17" s="414"/>
      <c r="JMZ17" s="414"/>
      <c r="JNA17" s="414"/>
      <c r="JNB17" s="414"/>
      <c r="JNC17" s="414"/>
      <c r="JND17" s="414"/>
      <c r="JNE17" s="414"/>
      <c r="JNF17" s="414"/>
      <c r="JNG17" s="414"/>
      <c r="JNH17" s="414"/>
      <c r="JNI17" s="414"/>
      <c r="JNJ17" s="414"/>
      <c r="JNK17" s="414"/>
      <c r="JNL17" s="414"/>
      <c r="JNM17" s="414"/>
      <c r="JNN17" s="414"/>
      <c r="JNO17" s="414"/>
      <c r="JNP17" s="414"/>
      <c r="JNQ17" s="414"/>
      <c r="JNR17" s="414"/>
      <c r="JNS17" s="414"/>
      <c r="JNT17" s="414"/>
      <c r="JNU17" s="414"/>
      <c r="JNV17" s="414"/>
      <c r="JNW17" s="414"/>
      <c r="JNX17" s="414"/>
      <c r="JNY17" s="414"/>
      <c r="JNZ17" s="414"/>
      <c r="JOA17" s="414"/>
      <c r="JOB17" s="414"/>
      <c r="JOC17" s="414"/>
      <c r="JOD17" s="414"/>
      <c r="JOE17" s="414"/>
      <c r="JOF17" s="414"/>
      <c r="JOG17" s="414"/>
      <c r="JOH17" s="414"/>
      <c r="JOI17" s="414"/>
      <c r="JOJ17" s="414"/>
      <c r="JOK17" s="414"/>
      <c r="JOL17" s="414"/>
      <c r="JOM17" s="414"/>
      <c r="JON17" s="414"/>
      <c r="JOO17" s="414"/>
      <c r="JOP17" s="414"/>
      <c r="JOQ17" s="414"/>
      <c r="JOR17" s="414"/>
      <c r="JOS17" s="414"/>
      <c r="JOT17" s="414"/>
      <c r="JOU17" s="414"/>
      <c r="JOV17" s="414"/>
      <c r="JOW17" s="414"/>
      <c r="JOX17" s="414"/>
      <c r="JOY17" s="414"/>
      <c r="JOZ17" s="414"/>
      <c r="JPA17" s="414"/>
      <c r="JPB17" s="414"/>
      <c r="JPC17" s="414"/>
      <c r="JPD17" s="414"/>
      <c r="JPE17" s="414"/>
      <c r="JPF17" s="414"/>
      <c r="JPG17" s="414"/>
      <c r="JPH17" s="414"/>
      <c r="JPI17" s="414"/>
      <c r="JPJ17" s="414"/>
      <c r="JPK17" s="414"/>
      <c r="JPL17" s="414"/>
      <c r="JPM17" s="414"/>
      <c r="JPN17" s="414"/>
      <c r="JPO17" s="414"/>
      <c r="JPP17" s="414"/>
      <c r="JPQ17" s="414"/>
      <c r="JPR17" s="414"/>
      <c r="JPS17" s="414"/>
      <c r="JPT17" s="414"/>
      <c r="JPU17" s="414"/>
      <c r="JPV17" s="414"/>
      <c r="JPW17" s="414"/>
      <c r="JPX17" s="414"/>
      <c r="JPY17" s="414"/>
      <c r="JPZ17" s="414"/>
      <c r="JQA17" s="414"/>
      <c r="JQB17" s="414"/>
      <c r="JQC17" s="414"/>
      <c r="JQD17" s="414"/>
      <c r="JQE17" s="414"/>
      <c r="JQF17" s="414"/>
      <c r="JQG17" s="414"/>
      <c r="JQH17" s="414"/>
      <c r="JQI17" s="414"/>
      <c r="JQJ17" s="414"/>
      <c r="JQK17" s="414"/>
      <c r="JQL17" s="414"/>
      <c r="JQM17" s="414"/>
      <c r="JQN17" s="414"/>
      <c r="JQO17" s="414"/>
      <c r="JQP17" s="414"/>
      <c r="JQQ17" s="414"/>
      <c r="JQR17" s="414"/>
      <c r="JQS17" s="414"/>
      <c r="JQT17" s="414"/>
      <c r="JQU17" s="414"/>
      <c r="JQV17" s="414"/>
      <c r="JQW17" s="414"/>
      <c r="JQX17" s="414"/>
      <c r="JQY17" s="414"/>
      <c r="JQZ17" s="414"/>
      <c r="JRA17" s="414"/>
      <c r="JRB17" s="414"/>
      <c r="JRC17" s="414"/>
      <c r="JRD17" s="414"/>
      <c r="JRE17" s="414"/>
      <c r="JRF17" s="414"/>
      <c r="JRG17" s="414"/>
      <c r="JRH17" s="414"/>
      <c r="JRI17" s="414"/>
      <c r="JRJ17" s="414"/>
      <c r="JRK17" s="414"/>
      <c r="JRL17" s="414"/>
      <c r="JRM17" s="414"/>
      <c r="JRN17" s="414"/>
      <c r="JRO17" s="414"/>
      <c r="JRP17" s="414"/>
      <c r="JRQ17" s="414"/>
      <c r="JRR17" s="414"/>
      <c r="JRS17" s="414"/>
      <c r="JRT17" s="414"/>
      <c r="JRU17" s="414"/>
      <c r="JRV17" s="414"/>
      <c r="JRW17" s="414"/>
      <c r="JRX17" s="414"/>
      <c r="JRY17" s="414"/>
      <c r="JRZ17" s="414"/>
      <c r="JSA17" s="414"/>
      <c r="JSB17" s="414"/>
      <c r="JSC17" s="414"/>
      <c r="JSD17" s="414"/>
      <c r="JSE17" s="414"/>
      <c r="JSF17" s="414"/>
      <c r="JSG17" s="414"/>
      <c r="JSH17" s="414"/>
      <c r="JSI17" s="414"/>
      <c r="JSJ17" s="414"/>
      <c r="JSK17" s="414"/>
      <c r="JSL17" s="414"/>
      <c r="JSM17" s="414"/>
      <c r="JSN17" s="414"/>
      <c r="JSO17" s="414"/>
      <c r="JSP17" s="414"/>
      <c r="JSQ17" s="414"/>
      <c r="JSR17" s="414"/>
      <c r="JSS17" s="414"/>
      <c r="JST17" s="414"/>
      <c r="JSU17" s="414"/>
      <c r="JSV17" s="414"/>
      <c r="JSW17" s="414"/>
      <c r="JSX17" s="414"/>
      <c r="JSY17" s="414"/>
      <c r="JSZ17" s="414"/>
      <c r="JTA17" s="414"/>
      <c r="JTB17" s="414"/>
      <c r="JTC17" s="414"/>
      <c r="JTD17" s="414"/>
      <c r="JTE17" s="414"/>
      <c r="JTF17" s="414"/>
      <c r="JTG17" s="414"/>
      <c r="JTH17" s="414"/>
      <c r="JTI17" s="414"/>
      <c r="JTJ17" s="414"/>
      <c r="JTK17" s="414"/>
      <c r="JTL17" s="414"/>
      <c r="JTM17" s="414"/>
      <c r="JTN17" s="414"/>
      <c r="JTO17" s="414"/>
      <c r="JTP17" s="414"/>
      <c r="JTQ17" s="414"/>
      <c r="JTR17" s="414"/>
      <c r="JTS17" s="414"/>
      <c r="JTT17" s="414"/>
      <c r="JTU17" s="414"/>
      <c r="JTV17" s="414"/>
      <c r="JTW17" s="414"/>
      <c r="JTX17" s="414"/>
      <c r="JTY17" s="414"/>
      <c r="JTZ17" s="414"/>
      <c r="JUA17" s="414"/>
      <c r="JUB17" s="414"/>
      <c r="JUC17" s="414"/>
      <c r="JUD17" s="414"/>
      <c r="JUE17" s="414"/>
      <c r="JUF17" s="414"/>
      <c r="JUG17" s="414"/>
      <c r="JUH17" s="414"/>
      <c r="JUI17" s="414"/>
      <c r="JUJ17" s="414"/>
      <c r="JUK17" s="414"/>
      <c r="JUL17" s="414"/>
      <c r="JUM17" s="414"/>
      <c r="JUN17" s="414"/>
      <c r="JUO17" s="414"/>
      <c r="JUP17" s="414"/>
      <c r="JUQ17" s="414"/>
      <c r="JUR17" s="414"/>
      <c r="JUS17" s="414"/>
      <c r="JUT17" s="414"/>
      <c r="JUU17" s="414"/>
      <c r="JUV17" s="414"/>
      <c r="JUW17" s="414"/>
      <c r="JUX17" s="414"/>
      <c r="JUY17" s="414"/>
      <c r="JUZ17" s="414"/>
      <c r="JVA17" s="414"/>
      <c r="JVB17" s="414"/>
      <c r="JVC17" s="414"/>
      <c r="JVD17" s="414"/>
      <c r="JVE17" s="414"/>
      <c r="JVF17" s="414"/>
      <c r="JVG17" s="414"/>
      <c r="JVH17" s="414"/>
      <c r="JVI17" s="414"/>
      <c r="JVJ17" s="414"/>
      <c r="JVK17" s="414"/>
      <c r="JVL17" s="414"/>
      <c r="JVM17" s="414"/>
      <c r="JVN17" s="414"/>
      <c r="JVO17" s="414"/>
      <c r="JVP17" s="414"/>
      <c r="JVQ17" s="414"/>
      <c r="JVR17" s="414"/>
      <c r="JVS17" s="414"/>
      <c r="JVT17" s="414"/>
      <c r="JVU17" s="414"/>
      <c r="JVV17" s="414"/>
      <c r="JVW17" s="414"/>
      <c r="JVX17" s="414"/>
      <c r="JVY17" s="414"/>
      <c r="JVZ17" s="414"/>
      <c r="JWA17" s="414"/>
      <c r="JWB17" s="414"/>
      <c r="JWC17" s="414"/>
      <c r="JWD17" s="414"/>
      <c r="JWE17" s="414"/>
      <c r="JWF17" s="414"/>
      <c r="JWG17" s="414"/>
      <c r="JWH17" s="414"/>
      <c r="JWI17" s="414"/>
      <c r="JWJ17" s="414"/>
      <c r="JWK17" s="414"/>
      <c r="JWL17" s="414"/>
      <c r="JWM17" s="414"/>
      <c r="JWN17" s="414"/>
      <c r="JWO17" s="414"/>
      <c r="JWP17" s="414"/>
      <c r="JWQ17" s="414"/>
      <c r="JWR17" s="414"/>
      <c r="JWS17" s="414"/>
      <c r="JWT17" s="414"/>
      <c r="JWU17" s="414"/>
      <c r="JWV17" s="414"/>
      <c r="JWW17" s="414"/>
      <c r="JWX17" s="414"/>
      <c r="JWY17" s="414"/>
      <c r="JWZ17" s="414"/>
      <c r="JXA17" s="414"/>
      <c r="JXB17" s="414"/>
      <c r="JXC17" s="414"/>
      <c r="JXD17" s="414"/>
      <c r="JXE17" s="414"/>
      <c r="JXF17" s="414"/>
      <c r="JXG17" s="414"/>
      <c r="JXH17" s="414"/>
      <c r="JXI17" s="414"/>
      <c r="JXJ17" s="414"/>
      <c r="JXK17" s="414"/>
      <c r="JXL17" s="414"/>
      <c r="JXM17" s="414"/>
      <c r="JXN17" s="414"/>
      <c r="JXO17" s="414"/>
      <c r="JXP17" s="414"/>
      <c r="JXQ17" s="414"/>
      <c r="JXR17" s="414"/>
      <c r="JXS17" s="414"/>
      <c r="JXT17" s="414"/>
      <c r="JXU17" s="414"/>
      <c r="JXV17" s="414"/>
      <c r="JXW17" s="414"/>
      <c r="JXX17" s="414"/>
      <c r="JXY17" s="414"/>
      <c r="JXZ17" s="414"/>
      <c r="JYA17" s="414"/>
      <c r="JYB17" s="414"/>
      <c r="JYC17" s="414"/>
      <c r="JYD17" s="414"/>
      <c r="JYE17" s="414"/>
      <c r="JYF17" s="414"/>
      <c r="JYG17" s="414"/>
      <c r="JYH17" s="414"/>
      <c r="JYI17" s="414"/>
      <c r="JYJ17" s="414"/>
      <c r="JYK17" s="414"/>
      <c r="JYL17" s="414"/>
      <c r="JYM17" s="414"/>
      <c r="JYN17" s="414"/>
      <c r="JYO17" s="414"/>
      <c r="JYP17" s="414"/>
      <c r="JYQ17" s="414"/>
      <c r="JYR17" s="414"/>
      <c r="JYS17" s="414"/>
      <c r="JYT17" s="414"/>
      <c r="JYU17" s="414"/>
      <c r="JYV17" s="414"/>
      <c r="JYW17" s="414"/>
      <c r="JYX17" s="414"/>
      <c r="JYY17" s="414"/>
      <c r="JYZ17" s="414"/>
      <c r="JZA17" s="414"/>
      <c r="JZB17" s="414"/>
      <c r="JZC17" s="414"/>
      <c r="JZD17" s="414"/>
      <c r="JZE17" s="414"/>
      <c r="JZF17" s="414"/>
      <c r="JZG17" s="414"/>
      <c r="JZH17" s="414"/>
      <c r="JZI17" s="414"/>
      <c r="JZJ17" s="414"/>
      <c r="JZK17" s="414"/>
      <c r="JZL17" s="414"/>
      <c r="JZM17" s="414"/>
      <c r="JZN17" s="414"/>
      <c r="JZO17" s="414"/>
      <c r="JZP17" s="414"/>
      <c r="JZQ17" s="414"/>
      <c r="JZR17" s="414"/>
      <c r="JZS17" s="414"/>
      <c r="JZT17" s="414"/>
      <c r="JZU17" s="414"/>
      <c r="JZV17" s="414"/>
      <c r="JZW17" s="414"/>
      <c r="JZX17" s="414"/>
      <c r="JZY17" s="414"/>
      <c r="JZZ17" s="414"/>
      <c r="KAA17" s="414"/>
      <c r="KAB17" s="414"/>
      <c r="KAC17" s="414"/>
      <c r="KAD17" s="414"/>
      <c r="KAE17" s="414"/>
      <c r="KAF17" s="414"/>
      <c r="KAG17" s="414"/>
      <c r="KAH17" s="414"/>
      <c r="KAI17" s="414"/>
      <c r="KAJ17" s="414"/>
      <c r="KAK17" s="414"/>
      <c r="KAL17" s="414"/>
      <c r="KAM17" s="414"/>
      <c r="KAN17" s="414"/>
      <c r="KAO17" s="414"/>
      <c r="KAP17" s="414"/>
      <c r="KAQ17" s="414"/>
      <c r="KAR17" s="414"/>
      <c r="KAS17" s="414"/>
      <c r="KAT17" s="414"/>
      <c r="KAU17" s="414"/>
      <c r="KAV17" s="414"/>
      <c r="KAW17" s="414"/>
      <c r="KAX17" s="414"/>
      <c r="KAY17" s="414"/>
      <c r="KAZ17" s="414"/>
      <c r="KBA17" s="414"/>
      <c r="KBB17" s="414"/>
      <c r="KBC17" s="414"/>
      <c r="KBD17" s="414"/>
      <c r="KBE17" s="414"/>
      <c r="KBF17" s="414"/>
      <c r="KBG17" s="414"/>
      <c r="KBH17" s="414"/>
      <c r="KBI17" s="414"/>
      <c r="KBJ17" s="414"/>
      <c r="KBK17" s="414"/>
      <c r="KBL17" s="414"/>
      <c r="KBM17" s="414"/>
      <c r="KBN17" s="414"/>
      <c r="KBO17" s="414"/>
      <c r="KBP17" s="414"/>
      <c r="KBQ17" s="414"/>
      <c r="KBR17" s="414"/>
      <c r="KBS17" s="414"/>
      <c r="KBT17" s="414"/>
      <c r="KBU17" s="414"/>
      <c r="KBV17" s="414"/>
      <c r="KBW17" s="414"/>
      <c r="KBX17" s="414"/>
      <c r="KBY17" s="414"/>
      <c r="KBZ17" s="414"/>
      <c r="KCA17" s="414"/>
      <c r="KCB17" s="414"/>
      <c r="KCC17" s="414"/>
      <c r="KCD17" s="414"/>
      <c r="KCE17" s="414"/>
      <c r="KCF17" s="414"/>
      <c r="KCG17" s="414"/>
      <c r="KCH17" s="414"/>
      <c r="KCI17" s="414"/>
      <c r="KCJ17" s="414"/>
      <c r="KCK17" s="414"/>
      <c r="KCL17" s="414"/>
      <c r="KCM17" s="414"/>
      <c r="KCN17" s="414"/>
      <c r="KCO17" s="414"/>
      <c r="KCP17" s="414"/>
      <c r="KCQ17" s="414"/>
      <c r="KCR17" s="414"/>
      <c r="KCS17" s="414"/>
      <c r="KCT17" s="414"/>
      <c r="KCU17" s="414"/>
      <c r="KCV17" s="414"/>
      <c r="KCW17" s="414"/>
      <c r="KCX17" s="414"/>
      <c r="KCY17" s="414"/>
      <c r="KCZ17" s="414"/>
      <c r="KDA17" s="414"/>
      <c r="KDB17" s="414"/>
      <c r="KDC17" s="414"/>
      <c r="KDD17" s="414"/>
      <c r="KDE17" s="414"/>
      <c r="KDF17" s="414"/>
      <c r="KDG17" s="414"/>
      <c r="KDH17" s="414"/>
      <c r="KDI17" s="414"/>
      <c r="KDJ17" s="414"/>
      <c r="KDK17" s="414"/>
      <c r="KDL17" s="414"/>
      <c r="KDM17" s="414"/>
      <c r="KDN17" s="414"/>
      <c r="KDO17" s="414"/>
      <c r="KDP17" s="414"/>
      <c r="KDQ17" s="414"/>
      <c r="KDR17" s="414"/>
      <c r="KDS17" s="414"/>
      <c r="KDT17" s="414"/>
      <c r="KDU17" s="414"/>
      <c r="KDV17" s="414"/>
      <c r="KDW17" s="414"/>
      <c r="KDX17" s="414"/>
      <c r="KDY17" s="414"/>
      <c r="KDZ17" s="414"/>
      <c r="KEA17" s="414"/>
      <c r="KEB17" s="414"/>
      <c r="KEC17" s="414"/>
      <c r="KED17" s="414"/>
      <c r="KEE17" s="414"/>
      <c r="KEF17" s="414"/>
      <c r="KEG17" s="414"/>
      <c r="KEH17" s="414"/>
      <c r="KEI17" s="414"/>
      <c r="KEJ17" s="414"/>
      <c r="KEK17" s="414"/>
      <c r="KEL17" s="414"/>
      <c r="KEM17" s="414"/>
      <c r="KEN17" s="414"/>
      <c r="KEO17" s="414"/>
      <c r="KEP17" s="414"/>
      <c r="KEQ17" s="414"/>
      <c r="KER17" s="414"/>
      <c r="KES17" s="414"/>
      <c r="KET17" s="414"/>
      <c r="KEU17" s="414"/>
      <c r="KEV17" s="414"/>
      <c r="KEW17" s="414"/>
      <c r="KEX17" s="414"/>
      <c r="KEY17" s="414"/>
      <c r="KEZ17" s="414"/>
      <c r="KFA17" s="414"/>
      <c r="KFB17" s="414"/>
      <c r="KFC17" s="414"/>
      <c r="KFD17" s="414"/>
      <c r="KFE17" s="414"/>
      <c r="KFF17" s="414"/>
      <c r="KFG17" s="414"/>
      <c r="KFH17" s="414"/>
      <c r="KFI17" s="414"/>
      <c r="KFJ17" s="414"/>
      <c r="KFK17" s="414"/>
      <c r="KFL17" s="414"/>
      <c r="KFM17" s="414"/>
      <c r="KFN17" s="414"/>
      <c r="KFO17" s="414"/>
      <c r="KFP17" s="414"/>
      <c r="KFQ17" s="414"/>
      <c r="KFR17" s="414"/>
      <c r="KFS17" s="414"/>
      <c r="KFT17" s="414"/>
      <c r="KFU17" s="414"/>
      <c r="KFV17" s="414"/>
      <c r="KFW17" s="414"/>
      <c r="KFX17" s="414"/>
      <c r="KFY17" s="414"/>
      <c r="KFZ17" s="414"/>
      <c r="KGA17" s="414"/>
      <c r="KGB17" s="414"/>
      <c r="KGC17" s="414"/>
      <c r="KGD17" s="414"/>
      <c r="KGE17" s="414"/>
      <c r="KGF17" s="414"/>
      <c r="KGG17" s="414"/>
      <c r="KGH17" s="414"/>
      <c r="KGI17" s="414"/>
      <c r="KGJ17" s="414"/>
      <c r="KGK17" s="414"/>
      <c r="KGL17" s="414"/>
      <c r="KGM17" s="414"/>
      <c r="KGN17" s="414"/>
      <c r="KGO17" s="414"/>
      <c r="KGP17" s="414"/>
      <c r="KGQ17" s="414"/>
      <c r="KGR17" s="414"/>
      <c r="KGS17" s="414"/>
      <c r="KGT17" s="414"/>
      <c r="KGU17" s="414"/>
      <c r="KGV17" s="414"/>
      <c r="KGW17" s="414"/>
      <c r="KGX17" s="414"/>
      <c r="KGY17" s="414"/>
      <c r="KGZ17" s="414"/>
      <c r="KHA17" s="414"/>
      <c r="KHB17" s="414"/>
      <c r="KHC17" s="414"/>
      <c r="KHD17" s="414"/>
      <c r="KHE17" s="414"/>
      <c r="KHF17" s="414"/>
      <c r="KHG17" s="414"/>
      <c r="KHH17" s="414"/>
      <c r="KHI17" s="414"/>
      <c r="KHJ17" s="414"/>
      <c r="KHK17" s="414"/>
      <c r="KHL17" s="414"/>
      <c r="KHM17" s="414"/>
      <c r="KHN17" s="414"/>
      <c r="KHO17" s="414"/>
      <c r="KHP17" s="414"/>
      <c r="KHQ17" s="414"/>
      <c r="KHR17" s="414"/>
      <c r="KHS17" s="414"/>
      <c r="KHT17" s="414"/>
      <c r="KHU17" s="414"/>
      <c r="KHV17" s="414"/>
      <c r="KHW17" s="414"/>
      <c r="KHX17" s="414"/>
      <c r="KHY17" s="414"/>
      <c r="KHZ17" s="414"/>
      <c r="KIA17" s="414"/>
      <c r="KIB17" s="414"/>
      <c r="KIC17" s="414"/>
      <c r="KID17" s="414"/>
      <c r="KIE17" s="414"/>
      <c r="KIF17" s="414"/>
      <c r="KIG17" s="414"/>
      <c r="KIH17" s="414"/>
      <c r="KII17" s="414"/>
      <c r="KIJ17" s="414"/>
      <c r="KIK17" s="414"/>
      <c r="KIL17" s="414"/>
      <c r="KIM17" s="414"/>
      <c r="KIN17" s="414"/>
      <c r="KIO17" s="414"/>
      <c r="KIP17" s="414"/>
      <c r="KIQ17" s="414"/>
      <c r="KIR17" s="414"/>
      <c r="KIS17" s="414"/>
      <c r="KIT17" s="414"/>
      <c r="KIU17" s="414"/>
      <c r="KIV17" s="414"/>
      <c r="KIW17" s="414"/>
      <c r="KIX17" s="414"/>
      <c r="KIY17" s="414"/>
      <c r="KIZ17" s="414"/>
      <c r="KJA17" s="414"/>
      <c r="KJB17" s="414"/>
      <c r="KJC17" s="414"/>
      <c r="KJD17" s="414"/>
      <c r="KJE17" s="414"/>
      <c r="KJF17" s="414"/>
      <c r="KJG17" s="414"/>
      <c r="KJH17" s="414"/>
      <c r="KJI17" s="414"/>
      <c r="KJJ17" s="414"/>
      <c r="KJK17" s="414"/>
      <c r="KJL17" s="414"/>
      <c r="KJM17" s="414"/>
      <c r="KJN17" s="414"/>
      <c r="KJO17" s="414"/>
      <c r="KJP17" s="414"/>
      <c r="KJQ17" s="414"/>
      <c r="KJR17" s="414"/>
      <c r="KJS17" s="414"/>
      <c r="KJT17" s="414"/>
      <c r="KJU17" s="414"/>
      <c r="KJV17" s="414"/>
      <c r="KJW17" s="414"/>
      <c r="KJX17" s="414"/>
      <c r="KJY17" s="414"/>
      <c r="KJZ17" s="414"/>
      <c r="KKA17" s="414"/>
      <c r="KKB17" s="414"/>
      <c r="KKC17" s="414"/>
      <c r="KKD17" s="414"/>
      <c r="KKE17" s="414"/>
      <c r="KKF17" s="414"/>
      <c r="KKG17" s="414"/>
      <c r="KKH17" s="414"/>
      <c r="KKI17" s="414"/>
      <c r="KKJ17" s="414"/>
      <c r="KKK17" s="414"/>
      <c r="KKL17" s="414"/>
      <c r="KKM17" s="414"/>
      <c r="KKN17" s="414"/>
      <c r="KKO17" s="414"/>
      <c r="KKP17" s="414"/>
      <c r="KKQ17" s="414"/>
      <c r="KKR17" s="414"/>
      <c r="KKS17" s="414"/>
      <c r="KKT17" s="414"/>
      <c r="KKU17" s="414"/>
      <c r="KKV17" s="414"/>
      <c r="KKW17" s="414"/>
      <c r="KKX17" s="414"/>
      <c r="KKY17" s="414"/>
      <c r="KKZ17" s="414"/>
      <c r="KLA17" s="414"/>
      <c r="KLB17" s="414"/>
      <c r="KLC17" s="414"/>
      <c r="KLD17" s="414"/>
      <c r="KLE17" s="414"/>
      <c r="KLF17" s="414"/>
      <c r="KLG17" s="414"/>
      <c r="KLH17" s="414"/>
      <c r="KLI17" s="414"/>
      <c r="KLJ17" s="414"/>
      <c r="KLK17" s="414"/>
      <c r="KLL17" s="414"/>
      <c r="KLM17" s="414"/>
      <c r="KLN17" s="414"/>
      <c r="KLO17" s="414"/>
      <c r="KLP17" s="414"/>
      <c r="KLQ17" s="414"/>
      <c r="KLR17" s="414"/>
      <c r="KLS17" s="414"/>
      <c r="KLT17" s="414"/>
      <c r="KLU17" s="414"/>
      <c r="KLV17" s="414"/>
      <c r="KLW17" s="414"/>
      <c r="KLX17" s="414"/>
      <c r="KLY17" s="414"/>
      <c r="KLZ17" s="414"/>
      <c r="KMA17" s="414"/>
      <c r="KMB17" s="414"/>
      <c r="KMC17" s="414"/>
      <c r="KMD17" s="414"/>
      <c r="KME17" s="414"/>
      <c r="KMF17" s="414"/>
      <c r="KMG17" s="414"/>
      <c r="KMH17" s="414"/>
      <c r="KMI17" s="414"/>
      <c r="KMJ17" s="414"/>
      <c r="KMK17" s="414"/>
      <c r="KML17" s="414"/>
      <c r="KMM17" s="414"/>
      <c r="KMN17" s="414"/>
      <c r="KMO17" s="414"/>
      <c r="KMP17" s="414"/>
      <c r="KMQ17" s="414"/>
      <c r="KMR17" s="414"/>
      <c r="KMS17" s="414"/>
      <c r="KMT17" s="414"/>
      <c r="KMU17" s="414"/>
      <c r="KMV17" s="414"/>
      <c r="KMW17" s="414"/>
      <c r="KMX17" s="414"/>
      <c r="KMY17" s="414"/>
      <c r="KMZ17" s="414"/>
      <c r="KNA17" s="414"/>
      <c r="KNB17" s="414"/>
      <c r="KNC17" s="414"/>
      <c r="KND17" s="414"/>
      <c r="KNE17" s="414"/>
      <c r="KNF17" s="414"/>
      <c r="KNG17" s="414"/>
      <c r="KNH17" s="414"/>
      <c r="KNI17" s="414"/>
      <c r="KNJ17" s="414"/>
      <c r="KNK17" s="414"/>
      <c r="KNL17" s="414"/>
      <c r="KNM17" s="414"/>
      <c r="KNN17" s="414"/>
      <c r="KNO17" s="414"/>
      <c r="KNP17" s="414"/>
      <c r="KNQ17" s="414"/>
      <c r="KNR17" s="414"/>
      <c r="KNS17" s="414"/>
      <c r="KNT17" s="414"/>
      <c r="KNU17" s="414"/>
      <c r="KNV17" s="414"/>
      <c r="KNW17" s="414"/>
      <c r="KNX17" s="414"/>
      <c r="KNY17" s="414"/>
      <c r="KNZ17" s="414"/>
      <c r="KOA17" s="414"/>
      <c r="KOB17" s="414"/>
      <c r="KOC17" s="414"/>
      <c r="KOD17" s="414"/>
      <c r="KOE17" s="414"/>
      <c r="KOF17" s="414"/>
      <c r="KOG17" s="414"/>
      <c r="KOH17" s="414"/>
      <c r="KOI17" s="414"/>
      <c r="KOJ17" s="414"/>
      <c r="KOK17" s="414"/>
      <c r="KOL17" s="414"/>
      <c r="KOM17" s="414"/>
      <c r="KON17" s="414"/>
      <c r="KOO17" s="414"/>
      <c r="KOP17" s="414"/>
      <c r="KOQ17" s="414"/>
      <c r="KOR17" s="414"/>
      <c r="KOS17" s="414"/>
      <c r="KOT17" s="414"/>
      <c r="KOU17" s="414"/>
      <c r="KOV17" s="414"/>
      <c r="KOW17" s="414"/>
      <c r="KOX17" s="414"/>
      <c r="KOY17" s="414"/>
      <c r="KOZ17" s="414"/>
      <c r="KPA17" s="414"/>
      <c r="KPB17" s="414"/>
      <c r="KPC17" s="414"/>
      <c r="KPD17" s="414"/>
      <c r="KPE17" s="414"/>
      <c r="KPF17" s="414"/>
      <c r="KPG17" s="414"/>
      <c r="KPH17" s="414"/>
      <c r="KPI17" s="414"/>
      <c r="KPJ17" s="414"/>
      <c r="KPK17" s="414"/>
      <c r="KPL17" s="414"/>
      <c r="KPM17" s="414"/>
      <c r="KPN17" s="414"/>
      <c r="KPO17" s="414"/>
      <c r="KPP17" s="414"/>
      <c r="KPQ17" s="414"/>
      <c r="KPR17" s="414"/>
      <c r="KPS17" s="414"/>
      <c r="KPT17" s="414"/>
      <c r="KPU17" s="414"/>
      <c r="KPV17" s="414"/>
      <c r="KPW17" s="414"/>
      <c r="KPX17" s="414"/>
      <c r="KPY17" s="414"/>
      <c r="KPZ17" s="414"/>
      <c r="KQA17" s="414"/>
      <c r="KQB17" s="414"/>
      <c r="KQC17" s="414"/>
      <c r="KQD17" s="414"/>
      <c r="KQE17" s="414"/>
      <c r="KQF17" s="414"/>
      <c r="KQG17" s="414"/>
      <c r="KQH17" s="414"/>
      <c r="KQI17" s="414"/>
      <c r="KQJ17" s="414"/>
      <c r="KQK17" s="414"/>
      <c r="KQL17" s="414"/>
      <c r="KQM17" s="414"/>
      <c r="KQN17" s="414"/>
      <c r="KQO17" s="414"/>
      <c r="KQP17" s="414"/>
      <c r="KQQ17" s="414"/>
      <c r="KQR17" s="414"/>
      <c r="KQS17" s="414"/>
      <c r="KQT17" s="414"/>
      <c r="KQU17" s="414"/>
      <c r="KQV17" s="414"/>
      <c r="KQW17" s="414"/>
      <c r="KQX17" s="414"/>
      <c r="KQY17" s="414"/>
      <c r="KQZ17" s="414"/>
      <c r="KRA17" s="414"/>
      <c r="KRB17" s="414"/>
      <c r="KRC17" s="414"/>
      <c r="KRD17" s="414"/>
      <c r="KRE17" s="414"/>
      <c r="KRF17" s="414"/>
      <c r="KRG17" s="414"/>
      <c r="KRH17" s="414"/>
      <c r="KRI17" s="414"/>
      <c r="KRJ17" s="414"/>
      <c r="KRK17" s="414"/>
      <c r="KRL17" s="414"/>
      <c r="KRM17" s="414"/>
      <c r="KRN17" s="414"/>
      <c r="KRO17" s="414"/>
      <c r="KRP17" s="414"/>
      <c r="KRQ17" s="414"/>
      <c r="KRR17" s="414"/>
      <c r="KRS17" s="414"/>
      <c r="KRT17" s="414"/>
      <c r="KRU17" s="414"/>
      <c r="KRV17" s="414"/>
      <c r="KRW17" s="414"/>
      <c r="KRX17" s="414"/>
      <c r="KRY17" s="414"/>
      <c r="KRZ17" s="414"/>
      <c r="KSA17" s="414"/>
      <c r="KSB17" s="414"/>
      <c r="KSC17" s="414"/>
      <c r="KSD17" s="414"/>
      <c r="KSE17" s="414"/>
      <c r="KSF17" s="414"/>
      <c r="KSG17" s="414"/>
      <c r="KSH17" s="414"/>
      <c r="KSI17" s="414"/>
      <c r="KSJ17" s="414"/>
      <c r="KSK17" s="414"/>
      <c r="KSL17" s="414"/>
      <c r="KSM17" s="414"/>
      <c r="KSN17" s="414"/>
      <c r="KSO17" s="414"/>
      <c r="KSP17" s="414"/>
      <c r="KSQ17" s="414"/>
      <c r="KSR17" s="414"/>
      <c r="KSS17" s="414"/>
      <c r="KST17" s="414"/>
      <c r="KSU17" s="414"/>
      <c r="KSV17" s="414"/>
      <c r="KSW17" s="414"/>
      <c r="KSX17" s="414"/>
      <c r="KSY17" s="414"/>
      <c r="KSZ17" s="414"/>
      <c r="KTA17" s="414"/>
      <c r="KTB17" s="414"/>
      <c r="KTC17" s="414"/>
      <c r="KTD17" s="414"/>
      <c r="KTE17" s="414"/>
      <c r="KTF17" s="414"/>
      <c r="KTG17" s="414"/>
      <c r="KTH17" s="414"/>
      <c r="KTI17" s="414"/>
      <c r="KTJ17" s="414"/>
      <c r="KTK17" s="414"/>
      <c r="KTL17" s="414"/>
      <c r="KTM17" s="414"/>
      <c r="KTN17" s="414"/>
      <c r="KTO17" s="414"/>
      <c r="KTP17" s="414"/>
      <c r="KTQ17" s="414"/>
      <c r="KTR17" s="414"/>
      <c r="KTS17" s="414"/>
      <c r="KTT17" s="414"/>
      <c r="KTU17" s="414"/>
      <c r="KTV17" s="414"/>
      <c r="KTW17" s="414"/>
      <c r="KTX17" s="414"/>
      <c r="KTY17" s="414"/>
      <c r="KTZ17" s="414"/>
      <c r="KUA17" s="414"/>
      <c r="KUB17" s="414"/>
      <c r="KUC17" s="414"/>
      <c r="KUD17" s="414"/>
      <c r="KUE17" s="414"/>
      <c r="KUF17" s="414"/>
      <c r="KUG17" s="414"/>
      <c r="KUH17" s="414"/>
      <c r="KUI17" s="414"/>
      <c r="KUJ17" s="414"/>
      <c r="KUK17" s="414"/>
      <c r="KUL17" s="414"/>
      <c r="KUM17" s="414"/>
      <c r="KUN17" s="414"/>
      <c r="KUO17" s="414"/>
      <c r="KUP17" s="414"/>
      <c r="KUQ17" s="414"/>
      <c r="KUR17" s="414"/>
      <c r="KUS17" s="414"/>
      <c r="KUT17" s="414"/>
      <c r="KUU17" s="414"/>
      <c r="KUV17" s="414"/>
      <c r="KUW17" s="414"/>
      <c r="KUX17" s="414"/>
      <c r="KUY17" s="414"/>
      <c r="KUZ17" s="414"/>
      <c r="KVA17" s="414"/>
      <c r="KVB17" s="414"/>
      <c r="KVC17" s="414"/>
      <c r="KVD17" s="414"/>
      <c r="KVE17" s="414"/>
      <c r="KVF17" s="414"/>
      <c r="KVG17" s="414"/>
      <c r="KVH17" s="414"/>
      <c r="KVI17" s="414"/>
      <c r="KVJ17" s="414"/>
      <c r="KVK17" s="414"/>
      <c r="KVL17" s="414"/>
      <c r="KVM17" s="414"/>
      <c r="KVN17" s="414"/>
      <c r="KVO17" s="414"/>
      <c r="KVP17" s="414"/>
      <c r="KVQ17" s="414"/>
      <c r="KVR17" s="414"/>
      <c r="KVS17" s="414"/>
      <c r="KVT17" s="414"/>
      <c r="KVU17" s="414"/>
      <c r="KVV17" s="414"/>
      <c r="KVW17" s="414"/>
      <c r="KVX17" s="414"/>
      <c r="KVY17" s="414"/>
      <c r="KVZ17" s="414"/>
      <c r="KWA17" s="414"/>
      <c r="KWB17" s="414"/>
      <c r="KWC17" s="414"/>
      <c r="KWD17" s="414"/>
      <c r="KWE17" s="414"/>
      <c r="KWF17" s="414"/>
      <c r="KWG17" s="414"/>
      <c r="KWH17" s="414"/>
      <c r="KWI17" s="414"/>
      <c r="KWJ17" s="414"/>
      <c r="KWK17" s="414"/>
      <c r="KWL17" s="414"/>
      <c r="KWM17" s="414"/>
      <c r="KWN17" s="414"/>
      <c r="KWO17" s="414"/>
      <c r="KWP17" s="414"/>
      <c r="KWQ17" s="414"/>
      <c r="KWR17" s="414"/>
      <c r="KWS17" s="414"/>
      <c r="KWT17" s="414"/>
      <c r="KWU17" s="414"/>
      <c r="KWV17" s="414"/>
      <c r="KWW17" s="414"/>
      <c r="KWX17" s="414"/>
      <c r="KWY17" s="414"/>
      <c r="KWZ17" s="414"/>
      <c r="KXA17" s="414"/>
      <c r="KXB17" s="414"/>
      <c r="KXC17" s="414"/>
      <c r="KXD17" s="414"/>
      <c r="KXE17" s="414"/>
      <c r="KXF17" s="414"/>
      <c r="KXG17" s="414"/>
      <c r="KXH17" s="414"/>
      <c r="KXI17" s="414"/>
      <c r="KXJ17" s="414"/>
      <c r="KXK17" s="414"/>
      <c r="KXL17" s="414"/>
      <c r="KXM17" s="414"/>
      <c r="KXN17" s="414"/>
      <c r="KXO17" s="414"/>
      <c r="KXP17" s="414"/>
      <c r="KXQ17" s="414"/>
      <c r="KXR17" s="414"/>
      <c r="KXS17" s="414"/>
      <c r="KXT17" s="414"/>
      <c r="KXU17" s="414"/>
      <c r="KXV17" s="414"/>
      <c r="KXW17" s="414"/>
      <c r="KXX17" s="414"/>
      <c r="KXY17" s="414"/>
      <c r="KXZ17" s="414"/>
      <c r="KYA17" s="414"/>
      <c r="KYB17" s="414"/>
      <c r="KYC17" s="414"/>
      <c r="KYD17" s="414"/>
      <c r="KYE17" s="414"/>
      <c r="KYF17" s="414"/>
      <c r="KYG17" s="414"/>
      <c r="KYH17" s="414"/>
      <c r="KYI17" s="414"/>
      <c r="KYJ17" s="414"/>
      <c r="KYK17" s="414"/>
      <c r="KYL17" s="414"/>
      <c r="KYM17" s="414"/>
      <c r="KYN17" s="414"/>
      <c r="KYO17" s="414"/>
      <c r="KYP17" s="414"/>
      <c r="KYQ17" s="414"/>
      <c r="KYR17" s="414"/>
      <c r="KYS17" s="414"/>
      <c r="KYT17" s="414"/>
      <c r="KYU17" s="414"/>
      <c r="KYV17" s="414"/>
      <c r="KYW17" s="414"/>
      <c r="KYX17" s="414"/>
      <c r="KYY17" s="414"/>
      <c r="KYZ17" s="414"/>
      <c r="KZA17" s="414"/>
      <c r="KZB17" s="414"/>
      <c r="KZC17" s="414"/>
      <c r="KZD17" s="414"/>
      <c r="KZE17" s="414"/>
      <c r="KZF17" s="414"/>
      <c r="KZG17" s="414"/>
      <c r="KZH17" s="414"/>
      <c r="KZI17" s="414"/>
      <c r="KZJ17" s="414"/>
      <c r="KZK17" s="414"/>
      <c r="KZL17" s="414"/>
      <c r="KZM17" s="414"/>
      <c r="KZN17" s="414"/>
      <c r="KZO17" s="414"/>
      <c r="KZP17" s="414"/>
      <c r="KZQ17" s="414"/>
      <c r="KZR17" s="414"/>
      <c r="KZS17" s="414"/>
      <c r="KZT17" s="414"/>
      <c r="KZU17" s="414"/>
      <c r="KZV17" s="414"/>
      <c r="KZW17" s="414"/>
      <c r="KZX17" s="414"/>
      <c r="KZY17" s="414"/>
      <c r="KZZ17" s="414"/>
      <c r="LAA17" s="414"/>
      <c r="LAB17" s="414"/>
      <c r="LAC17" s="414"/>
      <c r="LAD17" s="414"/>
      <c r="LAE17" s="414"/>
      <c r="LAF17" s="414"/>
      <c r="LAG17" s="414"/>
      <c r="LAH17" s="414"/>
      <c r="LAI17" s="414"/>
      <c r="LAJ17" s="414"/>
      <c r="LAK17" s="414"/>
      <c r="LAL17" s="414"/>
      <c r="LAM17" s="414"/>
      <c r="LAN17" s="414"/>
      <c r="LAO17" s="414"/>
      <c r="LAP17" s="414"/>
      <c r="LAQ17" s="414"/>
      <c r="LAR17" s="414"/>
      <c r="LAS17" s="414"/>
      <c r="LAT17" s="414"/>
      <c r="LAU17" s="414"/>
      <c r="LAV17" s="414"/>
      <c r="LAW17" s="414"/>
      <c r="LAX17" s="414"/>
      <c r="LAY17" s="414"/>
      <c r="LAZ17" s="414"/>
      <c r="LBA17" s="414"/>
      <c r="LBB17" s="414"/>
      <c r="LBC17" s="414"/>
      <c r="LBD17" s="414"/>
      <c r="LBE17" s="414"/>
      <c r="LBF17" s="414"/>
      <c r="LBG17" s="414"/>
      <c r="LBH17" s="414"/>
      <c r="LBI17" s="414"/>
      <c r="LBJ17" s="414"/>
      <c r="LBK17" s="414"/>
      <c r="LBL17" s="414"/>
      <c r="LBM17" s="414"/>
      <c r="LBN17" s="414"/>
      <c r="LBO17" s="414"/>
      <c r="LBP17" s="414"/>
      <c r="LBQ17" s="414"/>
      <c r="LBR17" s="414"/>
      <c r="LBS17" s="414"/>
      <c r="LBT17" s="414"/>
      <c r="LBU17" s="414"/>
      <c r="LBV17" s="414"/>
      <c r="LBW17" s="414"/>
      <c r="LBX17" s="414"/>
      <c r="LBY17" s="414"/>
      <c r="LBZ17" s="414"/>
      <c r="LCA17" s="414"/>
      <c r="LCB17" s="414"/>
      <c r="LCC17" s="414"/>
      <c r="LCD17" s="414"/>
      <c r="LCE17" s="414"/>
      <c r="LCF17" s="414"/>
      <c r="LCG17" s="414"/>
      <c r="LCH17" s="414"/>
      <c r="LCI17" s="414"/>
      <c r="LCJ17" s="414"/>
      <c r="LCK17" s="414"/>
      <c r="LCL17" s="414"/>
      <c r="LCM17" s="414"/>
      <c r="LCN17" s="414"/>
      <c r="LCO17" s="414"/>
      <c r="LCP17" s="414"/>
      <c r="LCQ17" s="414"/>
      <c r="LCR17" s="414"/>
      <c r="LCS17" s="414"/>
      <c r="LCT17" s="414"/>
      <c r="LCU17" s="414"/>
      <c r="LCV17" s="414"/>
      <c r="LCW17" s="414"/>
      <c r="LCX17" s="414"/>
      <c r="LCY17" s="414"/>
      <c r="LCZ17" s="414"/>
      <c r="LDA17" s="414"/>
      <c r="LDB17" s="414"/>
      <c r="LDC17" s="414"/>
      <c r="LDD17" s="414"/>
      <c r="LDE17" s="414"/>
      <c r="LDF17" s="414"/>
      <c r="LDG17" s="414"/>
      <c r="LDH17" s="414"/>
      <c r="LDI17" s="414"/>
      <c r="LDJ17" s="414"/>
      <c r="LDK17" s="414"/>
      <c r="LDL17" s="414"/>
      <c r="LDM17" s="414"/>
      <c r="LDN17" s="414"/>
      <c r="LDO17" s="414"/>
      <c r="LDP17" s="414"/>
      <c r="LDQ17" s="414"/>
      <c r="LDR17" s="414"/>
      <c r="LDS17" s="414"/>
      <c r="LDT17" s="414"/>
      <c r="LDU17" s="414"/>
      <c r="LDV17" s="414"/>
      <c r="LDW17" s="414"/>
      <c r="LDX17" s="414"/>
      <c r="LDY17" s="414"/>
      <c r="LDZ17" s="414"/>
      <c r="LEA17" s="414"/>
      <c r="LEB17" s="414"/>
      <c r="LEC17" s="414"/>
      <c r="LED17" s="414"/>
      <c r="LEE17" s="414"/>
      <c r="LEF17" s="414"/>
      <c r="LEG17" s="414"/>
      <c r="LEH17" s="414"/>
      <c r="LEI17" s="414"/>
      <c r="LEJ17" s="414"/>
      <c r="LEK17" s="414"/>
      <c r="LEL17" s="414"/>
      <c r="LEM17" s="414"/>
      <c r="LEN17" s="414"/>
      <c r="LEO17" s="414"/>
      <c r="LEP17" s="414"/>
      <c r="LEQ17" s="414"/>
      <c r="LER17" s="414"/>
      <c r="LES17" s="414"/>
      <c r="LET17" s="414"/>
      <c r="LEU17" s="414"/>
      <c r="LEV17" s="414"/>
      <c r="LEW17" s="414"/>
      <c r="LEX17" s="414"/>
      <c r="LEY17" s="414"/>
      <c r="LEZ17" s="414"/>
      <c r="LFA17" s="414"/>
      <c r="LFB17" s="414"/>
      <c r="LFC17" s="414"/>
      <c r="LFD17" s="414"/>
      <c r="LFE17" s="414"/>
      <c r="LFF17" s="414"/>
      <c r="LFG17" s="414"/>
      <c r="LFH17" s="414"/>
      <c r="LFI17" s="414"/>
      <c r="LFJ17" s="414"/>
      <c r="LFK17" s="414"/>
      <c r="LFL17" s="414"/>
      <c r="LFM17" s="414"/>
      <c r="LFN17" s="414"/>
      <c r="LFO17" s="414"/>
      <c r="LFP17" s="414"/>
      <c r="LFQ17" s="414"/>
      <c r="LFR17" s="414"/>
      <c r="LFS17" s="414"/>
      <c r="LFT17" s="414"/>
      <c r="LFU17" s="414"/>
      <c r="LFV17" s="414"/>
      <c r="LFW17" s="414"/>
      <c r="LFX17" s="414"/>
      <c r="LFY17" s="414"/>
      <c r="LFZ17" s="414"/>
      <c r="LGA17" s="414"/>
      <c r="LGB17" s="414"/>
      <c r="LGC17" s="414"/>
      <c r="LGD17" s="414"/>
      <c r="LGE17" s="414"/>
      <c r="LGF17" s="414"/>
      <c r="LGG17" s="414"/>
      <c r="LGH17" s="414"/>
      <c r="LGI17" s="414"/>
      <c r="LGJ17" s="414"/>
      <c r="LGK17" s="414"/>
      <c r="LGL17" s="414"/>
      <c r="LGM17" s="414"/>
      <c r="LGN17" s="414"/>
      <c r="LGO17" s="414"/>
      <c r="LGP17" s="414"/>
      <c r="LGQ17" s="414"/>
      <c r="LGR17" s="414"/>
      <c r="LGS17" s="414"/>
      <c r="LGT17" s="414"/>
      <c r="LGU17" s="414"/>
      <c r="LGV17" s="414"/>
      <c r="LGW17" s="414"/>
      <c r="LGX17" s="414"/>
      <c r="LGY17" s="414"/>
      <c r="LGZ17" s="414"/>
      <c r="LHA17" s="414"/>
      <c r="LHB17" s="414"/>
      <c r="LHC17" s="414"/>
      <c r="LHD17" s="414"/>
      <c r="LHE17" s="414"/>
      <c r="LHF17" s="414"/>
      <c r="LHG17" s="414"/>
      <c r="LHH17" s="414"/>
      <c r="LHI17" s="414"/>
      <c r="LHJ17" s="414"/>
      <c r="LHK17" s="414"/>
      <c r="LHL17" s="414"/>
      <c r="LHM17" s="414"/>
      <c r="LHN17" s="414"/>
      <c r="LHO17" s="414"/>
      <c r="LHP17" s="414"/>
      <c r="LHQ17" s="414"/>
      <c r="LHR17" s="414"/>
      <c r="LHS17" s="414"/>
      <c r="LHT17" s="414"/>
      <c r="LHU17" s="414"/>
      <c r="LHV17" s="414"/>
      <c r="LHW17" s="414"/>
      <c r="LHX17" s="414"/>
      <c r="LHY17" s="414"/>
      <c r="LHZ17" s="414"/>
      <c r="LIA17" s="414"/>
      <c r="LIB17" s="414"/>
      <c r="LIC17" s="414"/>
      <c r="LID17" s="414"/>
      <c r="LIE17" s="414"/>
      <c r="LIF17" s="414"/>
      <c r="LIG17" s="414"/>
      <c r="LIH17" s="414"/>
      <c r="LII17" s="414"/>
      <c r="LIJ17" s="414"/>
      <c r="LIK17" s="414"/>
      <c r="LIL17" s="414"/>
      <c r="LIM17" s="414"/>
      <c r="LIN17" s="414"/>
      <c r="LIO17" s="414"/>
      <c r="LIP17" s="414"/>
      <c r="LIQ17" s="414"/>
      <c r="LIR17" s="414"/>
      <c r="LIS17" s="414"/>
      <c r="LIT17" s="414"/>
      <c r="LIU17" s="414"/>
      <c r="LIV17" s="414"/>
      <c r="LIW17" s="414"/>
      <c r="LIX17" s="414"/>
      <c r="LIY17" s="414"/>
      <c r="LIZ17" s="414"/>
      <c r="LJA17" s="414"/>
      <c r="LJB17" s="414"/>
      <c r="LJC17" s="414"/>
      <c r="LJD17" s="414"/>
      <c r="LJE17" s="414"/>
      <c r="LJF17" s="414"/>
      <c r="LJG17" s="414"/>
      <c r="LJH17" s="414"/>
      <c r="LJI17" s="414"/>
      <c r="LJJ17" s="414"/>
      <c r="LJK17" s="414"/>
      <c r="LJL17" s="414"/>
      <c r="LJM17" s="414"/>
      <c r="LJN17" s="414"/>
      <c r="LJO17" s="414"/>
      <c r="LJP17" s="414"/>
      <c r="LJQ17" s="414"/>
      <c r="LJR17" s="414"/>
      <c r="LJS17" s="414"/>
      <c r="LJT17" s="414"/>
      <c r="LJU17" s="414"/>
      <c r="LJV17" s="414"/>
      <c r="LJW17" s="414"/>
      <c r="LJX17" s="414"/>
      <c r="LJY17" s="414"/>
      <c r="LJZ17" s="414"/>
      <c r="LKA17" s="414"/>
      <c r="LKB17" s="414"/>
      <c r="LKC17" s="414"/>
      <c r="LKD17" s="414"/>
      <c r="LKE17" s="414"/>
      <c r="LKF17" s="414"/>
      <c r="LKG17" s="414"/>
      <c r="LKH17" s="414"/>
      <c r="LKI17" s="414"/>
      <c r="LKJ17" s="414"/>
      <c r="LKK17" s="414"/>
      <c r="LKL17" s="414"/>
      <c r="LKM17" s="414"/>
      <c r="LKN17" s="414"/>
      <c r="LKO17" s="414"/>
      <c r="LKP17" s="414"/>
      <c r="LKQ17" s="414"/>
      <c r="LKR17" s="414"/>
      <c r="LKS17" s="414"/>
      <c r="LKT17" s="414"/>
      <c r="LKU17" s="414"/>
      <c r="LKV17" s="414"/>
      <c r="LKW17" s="414"/>
      <c r="LKX17" s="414"/>
      <c r="LKY17" s="414"/>
      <c r="LKZ17" s="414"/>
      <c r="LLA17" s="414"/>
      <c r="LLB17" s="414"/>
      <c r="LLC17" s="414"/>
      <c r="LLD17" s="414"/>
      <c r="LLE17" s="414"/>
      <c r="LLF17" s="414"/>
      <c r="LLG17" s="414"/>
      <c r="LLH17" s="414"/>
      <c r="LLI17" s="414"/>
      <c r="LLJ17" s="414"/>
      <c r="LLK17" s="414"/>
      <c r="LLL17" s="414"/>
      <c r="LLM17" s="414"/>
      <c r="LLN17" s="414"/>
      <c r="LLO17" s="414"/>
      <c r="LLP17" s="414"/>
      <c r="LLQ17" s="414"/>
      <c r="LLR17" s="414"/>
      <c r="LLS17" s="414"/>
      <c r="LLT17" s="414"/>
      <c r="LLU17" s="414"/>
      <c r="LLV17" s="414"/>
      <c r="LLW17" s="414"/>
      <c r="LLX17" s="414"/>
      <c r="LLY17" s="414"/>
      <c r="LLZ17" s="414"/>
      <c r="LMA17" s="414"/>
      <c r="LMB17" s="414"/>
      <c r="LMC17" s="414"/>
      <c r="LMD17" s="414"/>
      <c r="LME17" s="414"/>
      <c r="LMF17" s="414"/>
      <c r="LMG17" s="414"/>
      <c r="LMH17" s="414"/>
      <c r="LMI17" s="414"/>
      <c r="LMJ17" s="414"/>
      <c r="LMK17" s="414"/>
      <c r="LML17" s="414"/>
      <c r="LMM17" s="414"/>
      <c r="LMN17" s="414"/>
      <c r="LMO17" s="414"/>
      <c r="LMP17" s="414"/>
      <c r="LMQ17" s="414"/>
      <c r="LMR17" s="414"/>
      <c r="LMS17" s="414"/>
      <c r="LMT17" s="414"/>
      <c r="LMU17" s="414"/>
      <c r="LMV17" s="414"/>
      <c r="LMW17" s="414"/>
      <c r="LMX17" s="414"/>
      <c r="LMY17" s="414"/>
      <c r="LMZ17" s="414"/>
      <c r="LNA17" s="414"/>
      <c r="LNB17" s="414"/>
      <c r="LNC17" s="414"/>
      <c r="LND17" s="414"/>
      <c r="LNE17" s="414"/>
      <c r="LNF17" s="414"/>
      <c r="LNG17" s="414"/>
      <c r="LNH17" s="414"/>
      <c r="LNI17" s="414"/>
      <c r="LNJ17" s="414"/>
      <c r="LNK17" s="414"/>
      <c r="LNL17" s="414"/>
      <c r="LNM17" s="414"/>
      <c r="LNN17" s="414"/>
      <c r="LNO17" s="414"/>
      <c r="LNP17" s="414"/>
      <c r="LNQ17" s="414"/>
      <c r="LNR17" s="414"/>
      <c r="LNS17" s="414"/>
      <c r="LNT17" s="414"/>
      <c r="LNU17" s="414"/>
      <c r="LNV17" s="414"/>
      <c r="LNW17" s="414"/>
      <c r="LNX17" s="414"/>
      <c r="LNY17" s="414"/>
      <c r="LNZ17" s="414"/>
      <c r="LOA17" s="414"/>
      <c r="LOB17" s="414"/>
      <c r="LOC17" s="414"/>
      <c r="LOD17" s="414"/>
      <c r="LOE17" s="414"/>
      <c r="LOF17" s="414"/>
      <c r="LOG17" s="414"/>
      <c r="LOH17" s="414"/>
      <c r="LOI17" s="414"/>
      <c r="LOJ17" s="414"/>
      <c r="LOK17" s="414"/>
      <c r="LOL17" s="414"/>
      <c r="LOM17" s="414"/>
      <c r="LON17" s="414"/>
      <c r="LOO17" s="414"/>
      <c r="LOP17" s="414"/>
      <c r="LOQ17" s="414"/>
      <c r="LOR17" s="414"/>
      <c r="LOS17" s="414"/>
      <c r="LOT17" s="414"/>
      <c r="LOU17" s="414"/>
      <c r="LOV17" s="414"/>
      <c r="LOW17" s="414"/>
      <c r="LOX17" s="414"/>
      <c r="LOY17" s="414"/>
      <c r="LOZ17" s="414"/>
      <c r="LPA17" s="414"/>
      <c r="LPB17" s="414"/>
      <c r="LPC17" s="414"/>
      <c r="LPD17" s="414"/>
      <c r="LPE17" s="414"/>
      <c r="LPF17" s="414"/>
      <c r="LPG17" s="414"/>
      <c r="LPH17" s="414"/>
      <c r="LPI17" s="414"/>
      <c r="LPJ17" s="414"/>
      <c r="LPK17" s="414"/>
      <c r="LPL17" s="414"/>
      <c r="LPM17" s="414"/>
      <c r="LPN17" s="414"/>
      <c r="LPO17" s="414"/>
      <c r="LPP17" s="414"/>
      <c r="LPQ17" s="414"/>
      <c r="LPR17" s="414"/>
      <c r="LPS17" s="414"/>
      <c r="LPT17" s="414"/>
      <c r="LPU17" s="414"/>
      <c r="LPV17" s="414"/>
      <c r="LPW17" s="414"/>
      <c r="LPX17" s="414"/>
      <c r="LPY17" s="414"/>
      <c r="LPZ17" s="414"/>
      <c r="LQA17" s="414"/>
      <c r="LQB17" s="414"/>
      <c r="LQC17" s="414"/>
      <c r="LQD17" s="414"/>
      <c r="LQE17" s="414"/>
      <c r="LQF17" s="414"/>
      <c r="LQG17" s="414"/>
      <c r="LQH17" s="414"/>
      <c r="LQI17" s="414"/>
      <c r="LQJ17" s="414"/>
      <c r="LQK17" s="414"/>
      <c r="LQL17" s="414"/>
      <c r="LQM17" s="414"/>
      <c r="LQN17" s="414"/>
      <c r="LQO17" s="414"/>
      <c r="LQP17" s="414"/>
      <c r="LQQ17" s="414"/>
      <c r="LQR17" s="414"/>
      <c r="LQS17" s="414"/>
      <c r="LQT17" s="414"/>
      <c r="LQU17" s="414"/>
      <c r="LQV17" s="414"/>
      <c r="LQW17" s="414"/>
      <c r="LQX17" s="414"/>
      <c r="LQY17" s="414"/>
      <c r="LQZ17" s="414"/>
      <c r="LRA17" s="414"/>
      <c r="LRB17" s="414"/>
      <c r="LRC17" s="414"/>
      <c r="LRD17" s="414"/>
      <c r="LRE17" s="414"/>
      <c r="LRF17" s="414"/>
      <c r="LRG17" s="414"/>
      <c r="LRH17" s="414"/>
      <c r="LRI17" s="414"/>
      <c r="LRJ17" s="414"/>
      <c r="LRK17" s="414"/>
      <c r="LRL17" s="414"/>
      <c r="LRM17" s="414"/>
      <c r="LRN17" s="414"/>
      <c r="LRO17" s="414"/>
      <c r="LRP17" s="414"/>
      <c r="LRQ17" s="414"/>
      <c r="LRR17" s="414"/>
      <c r="LRS17" s="414"/>
      <c r="LRT17" s="414"/>
      <c r="LRU17" s="414"/>
      <c r="LRV17" s="414"/>
      <c r="LRW17" s="414"/>
      <c r="LRX17" s="414"/>
      <c r="LRY17" s="414"/>
      <c r="LRZ17" s="414"/>
      <c r="LSA17" s="414"/>
      <c r="LSB17" s="414"/>
      <c r="LSC17" s="414"/>
      <c r="LSD17" s="414"/>
      <c r="LSE17" s="414"/>
      <c r="LSF17" s="414"/>
      <c r="LSG17" s="414"/>
      <c r="LSH17" s="414"/>
      <c r="LSI17" s="414"/>
      <c r="LSJ17" s="414"/>
      <c r="LSK17" s="414"/>
      <c r="LSL17" s="414"/>
      <c r="LSM17" s="414"/>
      <c r="LSN17" s="414"/>
      <c r="LSO17" s="414"/>
      <c r="LSP17" s="414"/>
      <c r="LSQ17" s="414"/>
      <c r="LSR17" s="414"/>
      <c r="LSS17" s="414"/>
      <c r="LST17" s="414"/>
      <c r="LSU17" s="414"/>
      <c r="LSV17" s="414"/>
      <c r="LSW17" s="414"/>
      <c r="LSX17" s="414"/>
      <c r="LSY17" s="414"/>
      <c r="LSZ17" s="414"/>
      <c r="LTA17" s="414"/>
      <c r="LTB17" s="414"/>
      <c r="LTC17" s="414"/>
      <c r="LTD17" s="414"/>
      <c r="LTE17" s="414"/>
      <c r="LTF17" s="414"/>
      <c r="LTG17" s="414"/>
      <c r="LTH17" s="414"/>
      <c r="LTI17" s="414"/>
      <c r="LTJ17" s="414"/>
      <c r="LTK17" s="414"/>
      <c r="LTL17" s="414"/>
      <c r="LTM17" s="414"/>
      <c r="LTN17" s="414"/>
      <c r="LTO17" s="414"/>
      <c r="LTP17" s="414"/>
      <c r="LTQ17" s="414"/>
      <c r="LTR17" s="414"/>
      <c r="LTS17" s="414"/>
      <c r="LTT17" s="414"/>
      <c r="LTU17" s="414"/>
      <c r="LTV17" s="414"/>
      <c r="LTW17" s="414"/>
      <c r="LTX17" s="414"/>
      <c r="LTY17" s="414"/>
      <c r="LTZ17" s="414"/>
      <c r="LUA17" s="414"/>
      <c r="LUB17" s="414"/>
      <c r="LUC17" s="414"/>
      <c r="LUD17" s="414"/>
      <c r="LUE17" s="414"/>
      <c r="LUF17" s="414"/>
      <c r="LUG17" s="414"/>
      <c r="LUH17" s="414"/>
      <c r="LUI17" s="414"/>
      <c r="LUJ17" s="414"/>
      <c r="LUK17" s="414"/>
      <c r="LUL17" s="414"/>
      <c r="LUM17" s="414"/>
      <c r="LUN17" s="414"/>
      <c r="LUO17" s="414"/>
      <c r="LUP17" s="414"/>
      <c r="LUQ17" s="414"/>
      <c r="LUR17" s="414"/>
      <c r="LUS17" s="414"/>
      <c r="LUT17" s="414"/>
      <c r="LUU17" s="414"/>
      <c r="LUV17" s="414"/>
      <c r="LUW17" s="414"/>
      <c r="LUX17" s="414"/>
      <c r="LUY17" s="414"/>
      <c r="LUZ17" s="414"/>
      <c r="LVA17" s="414"/>
      <c r="LVB17" s="414"/>
      <c r="LVC17" s="414"/>
      <c r="LVD17" s="414"/>
      <c r="LVE17" s="414"/>
      <c r="LVF17" s="414"/>
      <c r="LVG17" s="414"/>
      <c r="LVH17" s="414"/>
      <c r="LVI17" s="414"/>
      <c r="LVJ17" s="414"/>
      <c r="LVK17" s="414"/>
      <c r="LVL17" s="414"/>
      <c r="LVM17" s="414"/>
      <c r="LVN17" s="414"/>
      <c r="LVO17" s="414"/>
      <c r="LVP17" s="414"/>
      <c r="LVQ17" s="414"/>
      <c r="LVR17" s="414"/>
      <c r="LVS17" s="414"/>
      <c r="LVT17" s="414"/>
      <c r="LVU17" s="414"/>
      <c r="LVV17" s="414"/>
      <c r="LVW17" s="414"/>
      <c r="LVX17" s="414"/>
      <c r="LVY17" s="414"/>
      <c r="LVZ17" s="414"/>
      <c r="LWA17" s="414"/>
      <c r="LWB17" s="414"/>
      <c r="LWC17" s="414"/>
      <c r="LWD17" s="414"/>
      <c r="LWE17" s="414"/>
      <c r="LWF17" s="414"/>
      <c r="LWG17" s="414"/>
      <c r="LWH17" s="414"/>
      <c r="LWI17" s="414"/>
      <c r="LWJ17" s="414"/>
      <c r="LWK17" s="414"/>
      <c r="LWL17" s="414"/>
      <c r="LWM17" s="414"/>
      <c r="LWN17" s="414"/>
      <c r="LWO17" s="414"/>
      <c r="LWP17" s="414"/>
      <c r="LWQ17" s="414"/>
      <c r="LWR17" s="414"/>
      <c r="LWS17" s="414"/>
      <c r="LWT17" s="414"/>
      <c r="LWU17" s="414"/>
      <c r="LWV17" s="414"/>
      <c r="LWW17" s="414"/>
      <c r="LWX17" s="414"/>
      <c r="LWY17" s="414"/>
      <c r="LWZ17" s="414"/>
      <c r="LXA17" s="414"/>
      <c r="LXB17" s="414"/>
      <c r="LXC17" s="414"/>
      <c r="LXD17" s="414"/>
      <c r="LXE17" s="414"/>
      <c r="LXF17" s="414"/>
      <c r="LXG17" s="414"/>
      <c r="LXH17" s="414"/>
      <c r="LXI17" s="414"/>
      <c r="LXJ17" s="414"/>
      <c r="LXK17" s="414"/>
      <c r="LXL17" s="414"/>
      <c r="LXM17" s="414"/>
      <c r="LXN17" s="414"/>
      <c r="LXO17" s="414"/>
      <c r="LXP17" s="414"/>
      <c r="LXQ17" s="414"/>
      <c r="LXR17" s="414"/>
      <c r="LXS17" s="414"/>
      <c r="LXT17" s="414"/>
      <c r="LXU17" s="414"/>
      <c r="LXV17" s="414"/>
      <c r="LXW17" s="414"/>
      <c r="LXX17" s="414"/>
      <c r="LXY17" s="414"/>
      <c r="LXZ17" s="414"/>
      <c r="LYA17" s="414"/>
      <c r="LYB17" s="414"/>
      <c r="LYC17" s="414"/>
      <c r="LYD17" s="414"/>
      <c r="LYE17" s="414"/>
      <c r="LYF17" s="414"/>
      <c r="LYG17" s="414"/>
      <c r="LYH17" s="414"/>
      <c r="LYI17" s="414"/>
      <c r="LYJ17" s="414"/>
      <c r="LYK17" s="414"/>
      <c r="LYL17" s="414"/>
      <c r="LYM17" s="414"/>
      <c r="LYN17" s="414"/>
      <c r="LYO17" s="414"/>
      <c r="LYP17" s="414"/>
      <c r="LYQ17" s="414"/>
      <c r="LYR17" s="414"/>
      <c r="LYS17" s="414"/>
      <c r="LYT17" s="414"/>
      <c r="LYU17" s="414"/>
      <c r="LYV17" s="414"/>
      <c r="LYW17" s="414"/>
      <c r="LYX17" s="414"/>
      <c r="LYY17" s="414"/>
      <c r="LYZ17" s="414"/>
      <c r="LZA17" s="414"/>
      <c r="LZB17" s="414"/>
      <c r="LZC17" s="414"/>
      <c r="LZD17" s="414"/>
      <c r="LZE17" s="414"/>
      <c r="LZF17" s="414"/>
      <c r="LZG17" s="414"/>
      <c r="LZH17" s="414"/>
      <c r="LZI17" s="414"/>
      <c r="LZJ17" s="414"/>
      <c r="LZK17" s="414"/>
      <c r="LZL17" s="414"/>
      <c r="LZM17" s="414"/>
      <c r="LZN17" s="414"/>
      <c r="LZO17" s="414"/>
      <c r="LZP17" s="414"/>
      <c r="LZQ17" s="414"/>
      <c r="LZR17" s="414"/>
      <c r="LZS17" s="414"/>
      <c r="LZT17" s="414"/>
      <c r="LZU17" s="414"/>
      <c r="LZV17" s="414"/>
      <c r="LZW17" s="414"/>
      <c r="LZX17" s="414"/>
      <c r="LZY17" s="414"/>
      <c r="LZZ17" s="414"/>
      <c r="MAA17" s="414"/>
      <c r="MAB17" s="414"/>
      <c r="MAC17" s="414"/>
      <c r="MAD17" s="414"/>
      <c r="MAE17" s="414"/>
      <c r="MAF17" s="414"/>
      <c r="MAG17" s="414"/>
      <c r="MAH17" s="414"/>
      <c r="MAI17" s="414"/>
      <c r="MAJ17" s="414"/>
      <c r="MAK17" s="414"/>
      <c r="MAL17" s="414"/>
      <c r="MAM17" s="414"/>
      <c r="MAN17" s="414"/>
      <c r="MAO17" s="414"/>
      <c r="MAP17" s="414"/>
      <c r="MAQ17" s="414"/>
      <c r="MAR17" s="414"/>
      <c r="MAS17" s="414"/>
      <c r="MAT17" s="414"/>
      <c r="MAU17" s="414"/>
      <c r="MAV17" s="414"/>
      <c r="MAW17" s="414"/>
      <c r="MAX17" s="414"/>
      <c r="MAY17" s="414"/>
      <c r="MAZ17" s="414"/>
      <c r="MBA17" s="414"/>
      <c r="MBB17" s="414"/>
      <c r="MBC17" s="414"/>
      <c r="MBD17" s="414"/>
      <c r="MBE17" s="414"/>
      <c r="MBF17" s="414"/>
      <c r="MBG17" s="414"/>
      <c r="MBH17" s="414"/>
      <c r="MBI17" s="414"/>
      <c r="MBJ17" s="414"/>
      <c r="MBK17" s="414"/>
      <c r="MBL17" s="414"/>
      <c r="MBM17" s="414"/>
      <c r="MBN17" s="414"/>
      <c r="MBO17" s="414"/>
      <c r="MBP17" s="414"/>
      <c r="MBQ17" s="414"/>
      <c r="MBR17" s="414"/>
      <c r="MBS17" s="414"/>
      <c r="MBT17" s="414"/>
      <c r="MBU17" s="414"/>
      <c r="MBV17" s="414"/>
      <c r="MBW17" s="414"/>
      <c r="MBX17" s="414"/>
      <c r="MBY17" s="414"/>
      <c r="MBZ17" s="414"/>
      <c r="MCA17" s="414"/>
      <c r="MCB17" s="414"/>
      <c r="MCC17" s="414"/>
      <c r="MCD17" s="414"/>
      <c r="MCE17" s="414"/>
      <c r="MCF17" s="414"/>
      <c r="MCG17" s="414"/>
      <c r="MCH17" s="414"/>
      <c r="MCI17" s="414"/>
      <c r="MCJ17" s="414"/>
      <c r="MCK17" s="414"/>
      <c r="MCL17" s="414"/>
      <c r="MCM17" s="414"/>
      <c r="MCN17" s="414"/>
      <c r="MCO17" s="414"/>
      <c r="MCP17" s="414"/>
      <c r="MCQ17" s="414"/>
      <c r="MCR17" s="414"/>
      <c r="MCS17" s="414"/>
      <c r="MCT17" s="414"/>
      <c r="MCU17" s="414"/>
      <c r="MCV17" s="414"/>
      <c r="MCW17" s="414"/>
      <c r="MCX17" s="414"/>
      <c r="MCY17" s="414"/>
      <c r="MCZ17" s="414"/>
      <c r="MDA17" s="414"/>
      <c r="MDB17" s="414"/>
      <c r="MDC17" s="414"/>
      <c r="MDD17" s="414"/>
      <c r="MDE17" s="414"/>
      <c r="MDF17" s="414"/>
      <c r="MDG17" s="414"/>
      <c r="MDH17" s="414"/>
      <c r="MDI17" s="414"/>
      <c r="MDJ17" s="414"/>
      <c r="MDK17" s="414"/>
      <c r="MDL17" s="414"/>
      <c r="MDM17" s="414"/>
      <c r="MDN17" s="414"/>
      <c r="MDO17" s="414"/>
      <c r="MDP17" s="414"/>
      <c r="MDQ17" s="414"/>
      <c r="MDR17" s="414"/>
      <c r="MDS17" s="414"/>
      <c r="MDT17" s="414"/>
      <c r="MDU17" s="414"/>
      <c r="MDV17" s="414"/>
      <c r="MDW17" s="414"/>
      <c r="MDX17" s="414"/>
      <c r="MDY17" s="414"/>
      <c r="MDZ17" s="414"/>
      <c r="MEA17" s="414"/>
      <c r="MEB17" s="414"/>
      <c r="MEC17" s="414"/>
      <c r="MED17" s="414"/>
      <c r="MEE17" s="414"/>
      <c r="MEF17" s="414"/>
      <c r="MEG17" s="414"/>
      <c r="MEH17" s="414"/>
      <c r="MEI17" s="414"/>
      <c r="MEJ17" s="414"/>
      <c r="MEK17" s="414"/>
      <c r="MEL17" s="414"/>
      <c r="MEM17" s="414"/>
      <c r="MEN17" s="414"/>
      <c r="MEO17" s="414"/>
      <c r="MEP17" s="414"/>
      <c r="MEQ17" s="414"/>
      <c r="MER17" s="414"/>
      <c r="MES17" s="414"/>
      <c r="MET17" s="414"/>
      <c r="MEU17" s="414"/>
      <c r="MEV17" s="414"/>
      <c r="MEW17" s="414"/>
      <c r="MEX17" s="414"/>
      <c r="MEY17" s="414"/>
      <c r="MEZ17" s="414"/>
      <c r="MFA17" s="414"/>
      <c r="MFB17" s="414"/>
      <c r="MFC17" s="414"/>
      <c r="MFD17" s="414"/>
      <c r="MFE17" s="414"/>
      <c r="MFF17" s="414"/>
      <c r="MFG17" s="414"/>
      <c r="MFH17" s="414"/>
      <c r="MFI17" s="414"/>
      <c r="MFJ17" s="414"/>
      <c r="MFK17" s="414"/>
      <c r="MFL17" s="414"/>
      <c r="MFM17" s="414"/>
      <c r="MFN17" s="414"/>
      <c r="MFO17" s="414"/>
      <c r="MFP17" s="414"/>
      <c r="MFQ17" s="414"/>
      <c r="MFR17" s="414"/>
      <c r="MFS17" s="414"/>
      <c r="MFT17" s="414"/>
      <c r="MFU17" s="414"/>
      <c r="MFV17" s="414"/>
      <c r="MFW17" s="414"/>
      <c r="MFX17" s="414"/>
      <c r="MFY17" s="414"/>
      <c r="MFZ17" s="414"/>
      <c r="MGA17" s="414"/>
      <c r="MGB17" s="414"/>
      <c r="MGC17" s="414"/>
      <c r="MGD17" s="414"/>
      <c r="MGE17" s="414"/>
      <c r="MGF17" s="414"/>
      <c r="MGG17" s="414"/>
      <c r="MGH17" s="414"/>
      <c r="MGI17" s="414"/>
      <c r="MGJ17" s="414"/>
      <c r="MGK17" s="414"/>
      <c r="MGL17" s="414"/>
      <c r="MGM17" s="414"/>
      <c r="MGN17" s="414"/>
      <c r="MGO17" s="414"/>
      <c r="MGP17" s="414"/>
      <c r="MGQ17" s="414"/>
      <c r="MGR17" s="414"/>
      <c r="MGS17" s="414"/>
      <c r="MGT17" s="414"/>
      <c r="MGU17" s="414"/>
      <c r="MGV17" s="414"/>
      <c r="MGW17" s="414"/>
      <c r="MGX17" s="414"/>
      <c r="MGY17" s="414"/>
      <c r="MGZ17" s="414"/>
      <c r="MHA17" s="414"/>
      <c r="MHB17" s="414"/>
      <c r="MHC17" s="414"/>
      <c r="MHD17" s="414"/>
      <c r="MHE17" s="414"/>
      <c r="MHF17" s="414"/>
      <c r="MHG17" s="414"/>
      <c r="MHH17" s="414"/>
      <c r="MHI17" s="414"/>
      <c r="MHJ17" s="414"/>
      <c r="MHK17" s="414"/>
      <c r="MHL17" s="414"/>
      <c r="MHM17" s="414"/>
      <c r="MHN17" s="414"/>
      <c r="MHO17" s="414"/>
      <c r="MHP17" s="414"/>
      <c r="MHQ17" s="414"/>
      <c r="MHR17" s="414"/>
      <c r="MHS17" s="414"/>
      <c r="MHT17" s="414"/>
      <c r="MHU17" s="414"/>
      <c r="MHV17" s="414"/>
      <c r="MHW17" s="414"/>
      <c r="MHX17" s="414"/>
      <c r="MHY17" s="414"/>
      <c r="MHZ17" s="414"/>
      <c r="MIA17" s="414"/>
      <c r="MIB17" s="414"/>
      <c r="MIC17" s="414"/>
      <c r="MID17" s="414"/>
      <c r="MIE17" s="414"/>
      <c r="MIF17" s="414"/>
      <c r="MIG17" s="414"/>
      <c r="MIH17" s="414"/>
      <c r="MII17" s="414"/>
      <c r="MIJ17" s="414"/>
      <c r="MIK17" s="414"/>
      <c r="MIL17" s="414"/>
      <c r="MIM17" s="414"/>
      <c r="MIN17" s="414"/>
      <c r="MIO17" s="414"/>
      <c r="MIP17" s="414"/>
      <c r="MIQ17" s="414"/>
      <c r="MIR17" s="414"/>
      <c r="MIS17" s="414"/>
      <c r="MIT17" s="414"/>
      <c r="MIU17" s="414"/>
      <c r="MIV17" s="414"/>
      <c r="MIW17" s="414"/>
      <c r="MIX17" s="414"/>
      <c r="MIY17" s="414"/>
      <c r="MIZ17" s="414"/>
      <c r="MJA17" s="414"/>
      <c r="MJB17" s="414"/>
      <c r="MJC17" s="414"/>
      <c r="MJD17" s="414"/>
      <c r="MJE17" s="414"/>
      <c r="MJF17" s="414"/>
      <c r="MJG17" s="414"/>
      <c r="MJH17" s="414"/>
      <c r="MJI17" s="414"/>
      <c r="MJJ17" s="414"/>
      <c r="MJK17" s="414"/>
      <c r="MJL17" s="414"/>
      <c r="MJM17" s="414"/>
      <c r="MJN17" s="414"/>
      <c r="MJO17" s="414"/>
      <c r="MJP17" s="414"/>
      <c r="MJQ17" s="414"/>
      <c r="MJR17" s="414"/>
      <c r="MJS17" s="414"/>
      <c r="MJT17" s="414"/>
      <c r="MJU17" s="414"/>
      <c r="MJV17" s="414"/>
      <c r="MJW17" s="414"/>
      <c r="MJX17" s="414"/>
      <c r="MJY17" s="414"/>
      <c r="MJZ17" s="414"/>
      <c r="MKA17" s="414"/>
      <c r="MKB17" s="414"/>
      <c r="MKC17" s="414"/>
      <c r="MKD17" s="414"/>
      <c r="MKE17" s="414"/>
      <c r="MKF17" s="414"/>
      <c r="MKG17" s="414"/>
      <c r="MKH17" s="414"/>
      <c r="MKI17" s="414"/>
      <c r="MKJ17" s="414"/>
      <c r="MKK17" s="414"/>
      <c r="MKL17" s="414"/>
      <c r="MKM17" s="414"/>
      <c r="MKN17" s="414"/>
      <c r="MKO17" s="414"/>
      <c r="MKP17" s="414"/>
      <c r="MKQ17" s="414"/>
      <c r="MKR17" s="414"/>
      <c r="MKS17" s="414"/>
      <c r="MKT17" s="414"/>
      <c r="MKU17" s="414"/>
      <c r="MKV17" s="414"/>
      <c r="MKW17" s="414"/>
      <c r="MKX17" s="414"/>
      <c r="MKY17" s="414"/>
      <c r="MKZ17" s="414"/>
      <c r="MLA17" s="414"/>
      <c r="MLB17" s="414"/>
      <c r="MLC17" s="414"/>
      <c r="MLD17" s="414"/>
      <c r="MLE17" s="414"/>
      <c r="MLF17" s="414"/>
      <c r="MLG17" s="414"/>
      <c r="MLH17" s="414"/>
      <c r="MLI17" s="414"/>
      <c r="MLJ17" s="414"/>
      <c r="MLK17" s="414"/>
      <c r="MLL17" s="414"/>
      <c r="MLM17" s="414"/>
      <c r="MLN17" s="414"/>
      <c r="MLO17" s="414"/>
      <c r="MLP17" s="414"/>
      <c r="MLQ17" s="414"/>
      <c r="MLR17" s="414"/>
      <c r="MLS17" s="414"/>
      <c r="MLT17" s="414"/>
      <c r="MLU17" s="414"/>
      <c r="MLV17" s="414"/>
      <c r="MLW17" s="414"/>
      <c r="MLX17" s="414"/>
      <c r="MLY17" s="414"/>
      <c r="MLZ17" s="414"/>
      <c r="MMA17" s="414"/>
      <c r="MMB17" s="414"/>
      <c r="MMC17" s="414"/>
      <c r="MMD17" s="414"/>
      <c r="MME17" s="414"/>
      <c r="MMF17" s="414"/>
      <c r="MMG17" s="414"/>
      <c r="MMH17" s="414"/>
      <c r="MMI17" s="414"/>
      <c r="MMJ17" s="414"/>
      <c r="MMK17" s="414"/>
      <c r="MML17" s="414"/>
      <c r="MMM17" s="414"/>
      <c r="MMN17" s="414"/>
      <c r="MMO17" s="414"/>
      <c r="MMP17" s="414"/>
      <c r="MMQ17" s="414"/>
      <c r="MMR17" s="414"/>
      <c r="MMS17" s="414"/>
      <c r="MMT17" s="414"/>
      <c r="MMU17" s="414"/>
      <c r="MMV17" s="414"/>
      <c r="MMW17" s="414"/>
      <c r="MMX17" s="414"/>
      <c r="MMY17" s="414"/>
      <c r="MMZ17" s="414"/>
      <c r="MNA17" s="414"/>
      <c r="MNB17" s="414"/>
      <c r="MNC17" s="414"/>
      <c r="MND17" s="414"/>
      <c r="MNE17" s="414"/>
      <c r="MNF17" s="414"/>
      <c r="MNG17" s="414"/>
      <c r="MNH17" s="414"/>
      <c r="MNI17" s="414"/>
      <c r="MNJ17" s="414"/>
      <c r="MNK17" s="414"/>
      <c r="MNL17" s="414"/>
      <c r="MNM17" s="414"/>
      <c r="MNN17" s="414"/>
      <c r="MNO17" s="414"/>
      <c r="MNP17" s="414"/>
      <c r="MNQ17" s="414"/>
      <c r="MNR17" s="414"/>
      <c r="MNS17" s="414"/>
      <c r="MNT17" s="414"/>
      <c r="MNU17" s="414"/>
      <c r="MNV17" s="414"/>
      <c r="MNW17" s="414"/>
      <c r="MNX17" s="414"/>
      <c r="MNY17" s="414"/>
      <c r="MNZ17" s="414"/>
      <c r="MOA17" s="414"/>
      <c r="MOB17" s="414"/>
      <c r="MOC17" s="414"/>
      <c r="MOD17" s="414"/>
      <c r="MOE17" s="414"/>
      <c r="MOF17" s="414"/>
      <c r="MOG17" s="414"/>
      <c r="MOH17" s="414"/>
      <c r="MOI17" s="414"/>
      <c r="MOJ17" s="414"/>
      <c r="MOK17" s="414"/>
      <c r="MOL17" s="414"/>
      <c r="MOM17" s="414"/>
      <c r="MON17" s="414"/>
      <c r="MOO17" s="414"/>
      <c r="MOP17" s="414"/>
      <c r="MOQ17" s="414"/>
      <c r="MOR17" s="414"/>
      <c r="MOS17" s="414"/>
      <c r="MOT17" s="414"/>
      <c r="MOU17" s="414"/>
      <c r="MOV17" s="414"/>
      <c r="MOW17" s="414"/>
      <c r="MOX17" s="414"/>
      <c r="MOY17" s="414"/>
      <c r="MOZ17" s="414"/>
      <c r="MPA17" s="414"/>
      <c r="MPB17" s="414"/>
      <c r="MPC17" s="414"/>
      <c r="MPD17" s="414"/>
      <c r="MPE17" s="414"/>
      <c r="MPF17" s="414"/>
      <c r="MPG17" s="414"/>
      <c r="MPH17" s="414"/>
      <c r="MPI17" s="414"/>
      <c r="MPJ17" s="414"/>
      <c r="MPK17" s="414"/>
      <c r="MPL17" s="414"/>
      <c r="MPM17" s="414"/>
      <c r="MPN17" s="414"/>
      <c r="MPO17" s="414"/>
      <c r="MPP17" s="414"/>
      <c r="MPQ17" s="414"/>
      <c r="MPR17" s="414"/>
      <c r="MPS17" s="414"/>
      <c r="MPT17" s="414"/>
      <c r="MPU17" s="414"/>
      <c r="MPV17" s="414"/>
      <c r="MPW17" s="414"/>
      <c r="MPX17" s="414"/>
      <c r="MPY17" s="414"/>
      <c r="MPZ17" s="414"/>
      <c r="MQA17" s="414"/>
      <c r="MQB17" s="414"/>
      <c r="MQC17" s="414"/>
      <c r="MQD17" s="414"/>
      <c r="MQE17" s="414"/>
      <c r="MQF17" s="414"/>
      <c r="MQG17" s="414"/>
      <c r="MQH17" s="414"/>
      <c r="MQI17" s="414"/>
      <c r="MQJ17" s="414"/>
      <c r="MQK17" s="414"/>
      <c r="MQL17" s="414"/>
      <c r="MQM17" s="414"/>
      <c r="MQN17" s="414"/>
      <c r="MQO17" s="414"/>
      <c r="MQP17" s="414"/>
      <c r="MQQ17" s="414"/>
      <c r="MQR17" s="414"/>
      <c r="MQS17" s="414"/>
      <c r="MQT17" s="414"/>
      <c r="MQU17" s="414"/>
      <c r="MQV17" s="414"/>
      <c r="MQW17" s="414"/>
      <c r="MQX17" s="414"/>
      <c r="MQY17" s="414"/>
      <c r="MQZ17" s="414"/>
      <c r="MRA17" s="414"/>
      <c r="MRB17" s="414"/>
      <c r="MRC17" s="414"/>
      <c r="MRD17" s="414"/>
      <c r="MRE17" s="414"/>
      <c r="MRF17" s="414"/>
      <c r="MRG17" s="414"/>
      <c r="MRH17" s="414"/>
      <c r="MRI17" s="414"/>
      <c r="MRJ17" s="414"/>
      <c r="MRK17" s="414"/>
      <c r="MRL17" s="414"/>
      <c r="MRM17" s="414"/>
      <c r="MRN17" s="414"/>
      <c r="MRO17" s="414"/>
      <c r="MRP17" s="414"/>
      <c r="MRQ17" s="414"/>
      <c r="MRR17" s="414"/>
      <c r="MRS17" s="414"/>
      <c r="MRT17" s="414"/>
      <c r="MRU17" s="414"/>
      <c r="MRV17" s="414"/>
      <c r="MRW17" s="414"/>
      <c r="MRX17" s="414"/>
      <c r="MRY17" s="414"/>
      <c r="MRZ17" s="414"/>
      <c r="MSA17" s="414"/>
      <c r="MSB17" s="414"/>
      <c r="MSC17" s="414"/>
      <c r="MSD17" s="414"/>
      <c r="MSE17" s="414"/>
      <c r="MSF17" s="414"/>
      <c r="MSG17" s="414"/>
      <c r="MSH17" s="414"/>
      <c r="MSI17" s="414"/>
      <c r="MSJ17" s="414"/>
      <c r="MSK17" s="414"/>
      <c r="MSL17" s="414"/>
      <c r="MSM17" s="414"/>
      <c r="MSN17" s="414"/>
      <c r="MSO17" s="414"/>
      <c r="MSP17" s="414"/>
      <c r="MSQ17" s="414"/>
      <c r="MSR17" s="414"/>
      <c r="MSS17" s="414"/>
      <c r="MST17" s="414"/>
      <c r="MSU17" s="414"/>
      <c r="MSV17" s="414"/>
      <c r="MSW17" s="414"/>
      <c r="MSX17" s="414"/>
      <c r="MSY17" s="414"/>
      <c r="MSZ17" s="414"/>
      <c r="MTA17" s="414"/>
      <c r="MTB17" s="414"/>
      <c r="MTC17" s="414"/>
      <c r="MTD17" s="414"/>
      <c r="MTE17" s="414"/>
      <c r="MTF17" s="414"/>
      <c r="MTG17" s="414"/>
      <c r="MTH17" s="414"/>
      <c r="MTI17" s="414"/>
      <c r="MTJ17" s="414"/>
      <c r="MTK17" s="414"/>
      <c r="MTL17" s="414"/>
      <c r="MTM17" s="414"/>
      <c r="MTN17" s="414"/>
      <c r="MTO17" s="414"/>
      <c r="MTP17" s="414"/>
      <c r="MTQ17" s="414"/>
      <c r="MTR17" s="414"/>
      <c r="MTS17" s="414"/>
      <c r="MTT17" s="414"/>
      <c r="MTU17" s="414"/>
      <c r="MTV17" s="414"/>
      <c r="MTW17" s="414"/>
      <c r="MTX17" s="414"/>
      <c r="MTY17" s="414"/>
      <c r="MTZ17" s="414"/>
      <c r="MUA17" s="414"/>
      <c r="MUB17" s="414"/>
      <c r="MUC17" s="414"/>
      <c r="MUD17" s="414"/>
      <c r="MUE17" s="414"/>
      <c r="MUF17" s="414"/>
      <c r="MUG17" s="414"/>
      <c r="MUH17" s="414"/>
      <c r="MUI17" s="414"/>
      <c r="MUJ17" s="414"/>
      <c r="MUK17" s="414"/>
      <c r="MUL17" s="414"/>
      <c r="MUM17" s="414"/>
      <c r="MUN17" s="414"/>
      <c r="MUO17" s="414"/>
      <c r="MUP17" s="414"/>
      <c r="MUQ17" s="414"/>
      <c r="MUR17" s="414"/>
      <c r="MUS17" s="414"/>
      <c r="MUT17" s="414"/>
      <c r="MUU17" s="414"/>
      <c r="MUV17" s="414"/>
      <c r="MUW17" s="414"/>
      <c r="MUX17" s="414"/>
      <c r="MUY17" s="414"/>
      <c r="MUZ17" s="414"/>
      <c r="MVA17" s="414"/>
      <c r="MVB17" s="414"/>
      <c r="MVC17" s="414"/>
      <c r="MVD17" s="414"/>
      <c r="MVE17" s="414"/>
      <c r="MVF17" s="414"/>
      <c r="MVG17" s="414"/>
      <c r="MVH17" s="414"/>
      <c r="MVI17" s="414"/>
      <c r="MVJ17" s="414"/>
      <c r="MVK17" s="414"/>
      <c r="MVL17" s="414"/>
      <c r="MVM17" s="414"/>
      <c r="MVN17" s="414"/>
      <c r="MVO17" s="414"/>
      <c r="MVP17" s="414"/>
      <c r="MVQ17" s="414"/>
      <c r="MVR17" s="414"/>
      <c r="MVS17" s="414"/>
      <c r="MVT17" s="414"/>
      <c r="MVU17" s="414"/>
      <c r="MVV17" s="414"/>
      <c r="MVW17" s="414"/>
      <c r="MVX17" s="414"/>
      <c r="MVY17" s="414"/>
      <c r="MVZ17" s="414"/>
      <c r="MWA17" s="414"/>
      <c r="MWB17" s="414"/>
      <c r="MWC17" s="414"/>
      <c r="MWD17" s="414"/>
      <c r="MWE17" s="414"/>
      <c r="MWF17" s="414"/>
      <c r="MWG17" s="414"/>
      <c r="MWH17" s="414"/>
      <c r="MWI17" s="414"/>
      <c r="MWJ17" s="414"/>
      <c r="MWK17" s="414"/>
      <c r="MWL17" s="414"/>
      <c r="MWM17" s="414"/>
      <c r="MWN17" s="414"/>
      <c r="MWO17" s="414"/>
      <c r="MWP17" s="414"/>
      <c r="MWQ17" s="414"/>
      <c r="MWR17" s="414"/>
      <c r="MWS17" s="414"/>
      <c r="MWT17" s="414"/>
      <c r="MWU17" s="414"/>
      <c r="MWV17" s="414"/>
      <c r="MWW17" s="414"/>
      <c r="MWX17" s="414"/>
      <c r="MWY17" s="414"/>
      <c r="MWZ17" s="414"/>
      <c r="MXA17" s="414"/>
      <c r="MXB17" s="414"/>
      <c r="MXC17" s="414"/>
      <c r="MXD17" s="414"/>
      <c r="MXE17" s="414"/>
      <c r="MXF17" s="414"/>
      <c r="MXG17" s="414"/>
      <c r="MXH17" s="414"/>
      <c r="MXI17" s="414"/>
      <c r="MXJ17" s="414"/>
      <c r="MXK17" s="414"/>
      <c r="MXL17" s="414"/>
      <c r="MXM17" s="414"/>
      <c r="MXN17" s="414"/>
      <c r="MXO17" s="414"/>
      <c r="MXP17" s="414"/>
      <c r="MXQ17" s="414"/>
      <c r="MXR17" s="414"/>
      <c r="MXS17" s="414"/>
      <c r="MXT17" s="414"/>
      <c r="MXU17" s="414"/>
      <c r="MXV17" s="414"/>
      <c r="MXW17" s="414"/>
      <c r="MXX17" s="414"/>
      <c r="MXY17" s="414"/>
      <c r="MXZ17" s="414"/>
      <c r="MYA17" s="414"/>
      <c r="MYB17" s="414"/>
      <c r="MYC17" s="414"/>
      <c r="MYD17" s="414"/>
      <c r="MYE17" s="414"/>
      <c r="MYF17" s="414"/>
      <c r="MYG17" s="414"/>
      <c r="MYH17" s="414"/>
      <c r="MYI17" s="414"/>
      <c r="MYJ17" s="414"/>
      <c r="MYK17" s="414"/>
      <c r="MYL17" s="414"/>
      <c r="MYM17" s="414"/>
      <c r="MYN17" s="414"/>
      <c r="MYO17" s="414"/>
      <c r="MYP17" s="414"/>
      <c r="MYQ17" s="414"/>
      <c r="MYR17" s="414"/>
      <c r="MYS17" s="414"/>
      <c r="MYT17" s="414"/>
      <c r="MYU17" s="414"/>
      <c r="MYV17" s="414"/>
      <c r="MYW17" s="414"/>
      <c r="MYX17" s="414"/>
      <c r="MYY17" s="414"/>
      <c r="MYZ17" s="414"/>
      <c r="MZA17" s="414"/>
      <c r="MZB17" s="414"/>
      <c r="MZC17" s="414"/>
      <c r="MZD17" s="414"/>
      <c r="MZE17" s="414"/>
      <c r="MZF17" s="414"/>
      <c r="MZG17" s="414"/>
      <c r="MZH17" s="414"/>
      <c r="MZI17" s="414"/>
      <c r="MZJ17" s="414"/>
      <c r="MZK17" s="414"/>
      <c r="MZL17" s="414"/>
      <c r="MZM17" s="414"/>
      <c r="MZN17" s="414"/>
      <c r="MZO17" s="414"/>
      <c r="MZP17" s="414"/>
      <c r="MZQ17" s="414"/>
      <c r="MZR17" s="414"/>
      <c r="MZS17" s="414"/>
      <c r="MZT17" s="414"/>
      <c r="MZU17" s="414"/>
      <c r="MZV17" s="414"/>
      <c r="MZW17" s="414"/>
      <c r="MZX17" s="414"/>
      <c r="MZY17" s="414"/>
      <c r="MZZ17" s="414"/>
      <c r="NAA17" s="414"/>
      <c r="NAB17" s="414"/>
      <c r="NAC17" s="414"/>
      <c r="NAD17" s="414"/>
      <c r="NAE17" s="414"/>
      <c r="NAF17" s="414"/>
      <c r="NAG17" s="414"/>
      <c r="NAH17" s="414"/>
      <c r="NAI17" s="414"/>
      <c r="NAJ17" s="414"/>
      <c r="NAK17" s="414"/>
      <c r="NAL17" s="414"/>
      <c r="NAM17" s="414"/>
      <c r="NAN17" s="414"/>
      <c r="NAO17" s="414"/>
      <c r="NAP17" s="414"/>
      <c r="NAQ17" s="414"/>
      <c r="NAR17" s="414"/>
      <c r="NAS17" s="414"/>
      <c r="NAT17" s="414"/>
      <c r="NAU17" s="414"/>
      <c r="NAV17" s="414"/>
      <c r="NAW17" s="414"/>
      <c r="NAX17" s="414"/>
      <c r="NAY17" s="414"/>
      <c r="NAZ17" s="414"/>
      <c r="NBA17" s="414"/>
      <c r="NBB17" s="414"/>
      <c r="NBC17" s="414"/>
      <c r="NBD17" s="414"/>
      <c r="NBE17" s="414"/>
      <c r="NBF17" s="414"/>
      <c r="NBG17" s="414"/>
      <c r="NBH17" s="414"/>
      <c r="NBI17" s="414"/>
      <c r="NBJ17" s="414"/>
      <c r="NBK17" s="414"/>
      <c r="NBL17" s="414"/>
      <c r="NBM17" s="414"/>
      <c r="NBN17" s="414"/>
      <c r="NBO17" s="414"/>
      <c r="NBP17" s="414"/>
      <c r="NBQ17" s="414"/>
      <c r="NBR17" s="414"/>
      <c r="NBS17" s="414"/>
      <c r="NBT17" s="414"/>
      <c r="NBU17" s="414"/>
      <c r="NBV17" s="414"/>
      <c r="NBW17" s="414"/>
      <c r="NBX17" s="414"/>
      <c r="NBY17" s="414"/>
      <c r="NBZ17" s="414"/>
      <c r="NCA17" s="414"/>
      <c r="NCB17" s="414"/>
      <c r="NCC17" s="414"/>
      <c r="NCD17" s="414"/>
      <c r="NCE17" s="414"/>
      <c r="NCF17" s="414"/>
      <c r="NCG17" s="414"/>
      <c r="NCH17" s="414"/>
      <c r="NCI17" s="414"/>
      <c r="NCJ17" s="414"/>
      <c r="NCK17" s="414"/>
      <c r="NCL17" s="414"/>
      <c r="NCM17" s="414"/>
      <c r="NCN17" s="414"/>
      <c r="NCO17" s="414"/>
      <c r="NCP17" s="414"/>
      <c r="NCQ17" s="414"/>
      <c r="NCR17" s="414"/>
      <c r="NCS17" s="414"/>
      <c r="NCT17" s="414"/>
      <c r="NCU17" s="414"/>
      <c r="NCV17" s="414"/>
      <c r="NCW17" s="414"/>
      <c r="NCX17" s="414"/>
      <c r="NCY17" s="414"/>
      <c r="NCZ17" s="414"/>
      <c r="NDA17" s="414"/>
      <c r="NDB17" s="414"/>
      <c r="NDC17" s="414"/>
      <c r="NDD17" s="414"/>
      <c r="NDE17" s="414"/>
      <c r="NDF17" s="414"/>
      <c r="NDG17" s="414"/>
      <c r="NDH17" s="414"/>
      <c r="NDI17" s="414"/>
      <c r="NDJ17" s="414"/>
      <c r="NDK17" s="414"/>
      <c r="NDL17" s="414"/>
      <c r="NDM17" s="414"/>
      <c r="NDN17" s="414"/>
      <c r="NDO17" s="414"/>
      <c r="NDP17" s="414"/>
      <c r="NDQ17" s="414"/>
      <c r="NDR17" s="414"/>
      <c r="NDS17" s="414"/>
      <c r="NDT17" s="414"/>
      <c r="NDU17" s="414"/>
      <c r="NDV17" s="414"/>
      <c r="NDW17" s="414"/>
      <c r="NDX17" s="414"/>
      <c r="NDY17" s="414"/>
      <c r="NDZ17" s="414"/>
      <c r="NEA17" s="414"/>
      <c r="NEB17" s="414"/>
      <c r="NEC17" s="414"/>
      <c r="NED17" s="414"/>
      <c r="NEE17" s="414"/>
      <c r="NEF17" s="414"/>
      <c r="NEG17" s="414"/>
      <c r="NEH17" s="414"/>
      <c r="NEI17" s="414"/>
      <c r="NEJ17" s="414"/>
      <c r="NEK17" s="414"/>
      <c r="NEL17" s="414"/>
      <c r="NEM17" s="414"/>
      <c r="NEN17" s="414"/>
      <c r="NEO17" s="414"/>
      <c r="NEP17" s="414"/>
      <c r="NEQ17" s="414"/>
      <c r="NER17" s="414"/>
      <c r="NES17" s="414"/>
      <c r="NET17" s="414"/>
      <c r="NEU17" s="414"/>
      <c r="NEV17" s="414"/>
      <c r="NEW17" s="414"/>
      <c r="NEX17" s="414"/>
      <c r="NEY17" s="414"/>
      <c r="NEZ17" s="414"/>
      <c r="NFA17" s="414"/>
      <c r="NFB17" s="414"/>
      <c r="NFC17" s="414"/>
      <c r="NFD17" s="414"/>
      <c r="NFE17" s="414"/>
      <c r="NFF17" s="414"/>
      <c r="NFG17" s="414"/>
      <c r="NFH17" s="414"/>
      <c r="NFI17" s="414"/>
      <c r="NFJ17" s="414"/>
      <c r="NFK17" s="414"/>
      <c r="NFL17" s="414"/>
      <c r="NFM17" s="414"/>
      <c r="NFN17" s="414"/>
      <c r="NFO17" s="414"/>
      <c r="NFP17" s="414"/>
      <c r="NFQ17" s="414"/>
      <c r="NFR17" s="414"/>
      <c r="NFS17" s="414"/>
      <c r="NFT17" s="414"/>
      <c r="NFU17" s="414"/>
      <c r="NFV17" s="414"/>
      <c r="NFW17" s="414"/>
      <c r="NFX17" s="414"/>
      <c r="NFY17" s="414"/>
      <c r="NFZ17" s="414"/>
      <c r="NGA17" s="414"/>
      <c r="NGB17" s="414"/>
      <c r="NGC17" s="414"/>
      <c r="NGD17" s="414"/>
      <c r="NGE17" s="414"/>
      <c r="NGF17" s="414"/>
      <c r="NGG17" s="414"/>
      <c r="NGH17" s="414"/>
      <c r="NGI17" s="414"/>
      <c r="NGJ17" s="414"/>
      <c r="NGK17" s="414"/>
      <c r="NGL17" s="414"/>
      <c r="NGM17" s="414"/>
      <c r="NGN17" s="414"/>
      <c r="NGO17" s="414"/>
      <c r="NGP17" s="414"/>
      <c r="NGQ17" s="414"/>
      <c r="NGR17" s="414"/>
      <c r="NGS17" s="414"/>
      <c r="NGT17" s="414"/>
      <c r="NGU17" s="414"/>
      <c r="NGV17" s="414"/>
      <c r="NGW17" s="414"/>
      <c r="NGX17" s="414"/>
      <c r="NGY17" s="414"/>
      <c r="NGZ17" s="414"/>
      <c r="NHA17" s="414"/>
      <c r="NHB17" s="414"/>
      <c r="NHC17" s="414"/>
      <c r="NHD17" s="414"/>
      <c r="NHE17" s="414"/>
      <c r="NHF17" s="414"/>
      <c r="NHG17" s="414"/>
      <c r="NHH17" s="414"/>
      <c r="NHI17" s="414"/>
      <c r="NHJ17" s="414"/>
      <c r="NHK17" s="414"/>
      <c r="NHL17" s="414"/>
      <c r="NHM17" s="414"/>
      <c r="NHN17" s="414"/>
      <c r="NHO17" s="414"/>
      <c r="NHP17" s="414"/>
      <c r="NHQ17" s="414"/>
      <c r="NHR17" s="414"/>
      <c r="NHS17" s="414"/>
      <c r="NHT17" s="414"/>
      <c r="NHU17" s="414"/>
      <c r="NHV17" s="414"/>
      <c r="NHW17" s="414"/>
      <c r="NHX17" s="414"/>
      <c r="NHY17" s="414"/>
      <c r="NHZ17" s="414"/>
      <c r="NIA17" s="414"/>
      <c r="NIB17" s="414"/>
      <c r="NIC17" s="414"/>
      <c r="NID17" s="414"/>
      <c r="NIE17" s="414"/>
      <c r="NIF17" s="414"/>
      <c r="NIG17" s="414"/>
      <c r="NIH17" s="414"/>
      <c r="NII17" s="414"/>
      <c r="NIJ17" s="414"/>
      <c r="NIK17" s="414"/>
      <c r="NIL17" s="414"/>
      <c r="NIM17" s="414"/>
      <c r="NIN17" s="414"/>
      <c r="NIO17" s="414"/>
      <c r="NIP17" s="414"/>
      <c r="NIQ17" s="414"/>
      <c r="NIR17" s="414"/>
      <c r="NIS17" s="414"/>
      <c r="NIT17" s="414"/>
      <c r="NIU17" s="414"/>
      <c r="NIV17" s="414"/>
      <c r="NIW17" s="414"/>
      <c r="NIX17" s="414"/>
      <c r="NIY17" s="414"/>
      <c r="NIZ17" s="414"/>
      <c r="NJA17" s="414"/>
      <c r="NJB17" s="414"/>
      <c r="NJC17" s="414"/>
      <c r="NJD17" s="414"/>
      <c r="NJE17" s="414"/>
      <c r="NJF17" s="414"/>
      <c r="NJG17" s="414"/>
      <c r="NJH17" s="414"/>
      <c r="NJI17" s="414"/>
      <c r="NJJ17" s="414"/>
      <c r="NJK17" s="414"/>
      <c r="NJL17" s="414"/>
      <c r="NJM17" s="414"/>
      <c r="NJN17" s="414"/>
      <c r="NJO17" s="414"/>
      <c r="NJP17" s="414"/>
      <c r="NJQ17" s="414"/>
      <c r="NJR17" s="414"/>
      <c r="NJS17" s="414"/>
      <c r="NJT17" s="414"/>
      <c r="NJU17" s="414"/>
      <c r="NJV17" s="414"/>
      <c r="NJW17" s="414"/>
      <c r="NJX17" s="414"/>
      <c r="NJY17" s="414"/>
      <c r="NJZ17" s="414"/>
      <c r="NKA17" s="414"/>
      <c r="NKB17" s="414"/>
      <c r="NKC17" s="414"/>
      <c r="NKD17" s="414"/>
      <c r="NKE17" s="414"/>
      <c r="NKF17" s="414"/>
      <c r="NKG17" s="414"/>
      <c r="NKH17" s="414"/>
      <c r="NKI17" s="414"/>
      <c r="NKJ17" s="414"/>
      <c r="NKK17" s="414"/>
      <c r="NKL17" s="414"/>
      <c r="NKM17" s="414"/>
      <c r="NKN17" s="414"/>
      <c r="NKO17" s="414"/>
      <c r="NKP17" s="414"/>
      <c r="NKQ17" s="414"/>
      <c r="NKR17" s="414"/>
      <c r="NKS17" s="414"/>
      <c r="NKT17" s="414"/>
      <c r="NKU17" s="414"/>
      <c r="NKV17" s="414"/>
      <c r="NKW17" s="414"/>
      <c r="NKX17" s="414"/>
      <c r="NKY17" s="414"/>
      <c r="NKZ17" s="414"/>
      <c r="NLA17" s="414"/>
      <c r="NLB17" s="414"/>
      <c r="NLC17" s="414"/>
      <c r="NLD17" s="414"/>
      <c r="NLE17" s="414"/>
      <c r="NLF17" s="414"/>
      <c r="NLG17" s="414"/>
      <c r="NLH17" s="414"/>
      <c r="NLI17" s="414"/>
      <c r="NLJ17" s="414"/>
      <c r="NLK17" s="414"/>
      <c r="NLL17" s="414"/>
      <c r="NLM17" s="414"/>
      <c r="NLN17" s="414"/>
      <c r="NLO17" s="414"/>
      <c r="NLP17" s="414"/>
      <c r="NLQ17" s="414"/>
      <c r="NLR17" s="414"/>
      <c r="NLS17" s="414"/>
      <c r="NLT17" s="414"/>
      <c r="NLU17" s="414"/>
      <c r="NLV17" s="414"/>
      <c r="NLW17" s="414"/>
      <c r="NLX17" s="414"/>
      <c r="NLY17" s="414"/>
      <c r="NLZ17" s="414"/>
      <c r="NMA17" s="414"/>
      <c r="NMB17" s="414"/>
      <c r="NMC17" s="414"/>
      <c r="NMD17" s="414"/>
      <c r="NME17" s="414"/>
      <c r="NMF17" s="414"/>
      <c r="NMG17" s="414"/>
      <c r="NMH17" s="414"/>
      <c r="NMI17" s="414"/>
      <c r="NMJ17" s="414"/>
      <c r="NMK17" s="414"/>
      <c r="NML17" s="414"/>
      <c r="NMM17" s="414"/>
      <c r="NMN17" s="414"/>
      <c r="NMO17" s="414"/>
      <c r="NMP17" s="414"/>
      <c r="NMQ17" s="414"/>
      <c r="NMR17" s="414"/>
      <c r="NMS17" s="414"/>
      <c r="NMT17" s="414"/>
      <c r="NMU17" s="414"/>
      <c r="NMV17" s="414"/>
      <c r="NMW17" s="414"/>
      <c r="NMX17" s="414"/>
      <c r="NMY17" s="414"/>
      <c r="NMZ17" s="414"/>
      <c r="NNA17" s="414"/>
      <c r="NNB17" s="414"/>
      <c r="NNC17" s="414"/>
      <c r="NND17" s="414"/>
      <c r="NNE17" s="414"/>
      <c r="NNF17" s="414"/>
      <c r="NNG17" s="414"/>
      <c r="NNH17" s="414"/>
      <c r="NNI17" s="414"/>
      <c r="NNJ17" s="414"/>
      <c r="NNK17" s="414"/>
      <c r="NNL17" s="414"/>
      <c r="NNM17" s="414"/>
      <c r="NNN17" s="414"/>
      <c r="NNO17" s="414"/>
      <c r="NNP17" s="414"/>
      <c r="NNQ17" s="414"/>
      <c r="NNR17" s="414"/>
      <c r="NNS17" s="414"/>
      <c r="NNT17" s="414"/>
      <c r="NNU17" s="414"/>
      <c r="NNV17" s="414"/>
      <c r="NNW17" s="414"/>
      <c r="NNX17" s="414"/>
      <c r="NNY17" s="414"/>
      <c r="NNZ17" s="414"/>
      <c r="NOA17" s="414"/>
      <c r="NOB17" s="414"/>
      <c r="NOC17" s="414"/>
      <c r="NOD17" s="414"/>
      <c r="NOE17" s="414"/>
      <c r="NOF17" s="414"/>
      <c r="NOG17" s="414"/>
      <c r="NOH17" s="414"/>
      <c r="NOI17" s="414"/>
      <c r="NOJ17" s="414"/>
      <c r="NOK17" s="414"/>
      <c r="NOL17" s="414"/>
      <c r="NOM17" s="414"/>
      <c r="NON17" s="414"/>
      <c r="NOO17" s="414"/>
      <c r="NOP17" s="414"/>
      <c r="NOQ17" s="414"/>
      <c r="NOR17" s="414"/>
      <c r="NOS17" s="414"/>
      <c r="NOT17" s="414"/>
      <c r="NOU17" s="414"/>
      <c r="NOV17" s="414"/>
      <c r="NOW17" s="414"/>
      <c r="NOX17" s="414"/>
      <c r="NOY17" s="414"/>
      <c r="NOZ17" s="414"/>
      <c r="NPA17" s="414"/>
      <c r="NPB17" s="414"/>
      <c r="NPC17" s="414"/>
      <c r="NPD17" s="414"/>
      <c r="NPE17" s="414"/>
      <c r="NPF17" s="414"/>
      <c r="NPG17" s="414"/>
      <c r="NPH17" s="414"/>
      <c r="NPI17" s="414"/>
      <c r="NPJ17" s="414"/>
      <c r="NPK17" s="414"/>
      <c r="NPL17" s="414"/>
      <c r="NPM17" s="414"/>
      <c r="NPN17" s="414"/>
      <c r="NPO17" s="414"/>
      <c r="NPP17" s="414"/>
      <c r="NPQ17" s="414"/>
      <c r="NPR17" s="414"/>
      <c r="NPS17" s="414"/>
      <c r="NPT17" s="414"/>
      <c r="NPU17" s="414"/>
      <c r="NPV17" s="414"/>
      <c r="NPW17" s="414"/>
      <c r="NPX17" s="414"/>
      <c r="NPY17" s="414"/>
      <c r="NPZ17" s="414"/>
      <c r="NQA17" s="414"/>
      <c r="NQB17" s="414"/>
      <c r="NQC17" s="414"/>
      <c r="NQD17" s="414"/>
      <c r="NQE17" s="414"/>
      <c r="NQF17" s="414"/>
      <c r="NQG17" s="414"/>
      <c r="NQH17" s="414"/>
      <c r="NQI17" s="414"/>
      <c r="NQJ17" s="414"/>
      <c r="NQK17" s="414"/>
      <c r="NQL17" s="414"/>
      <c r="NQM17" s="414"/>
      <c r="NQN17" s="414"/>
      <c r="NQO17" s="414"/>
      <c r="NQP17" s="414"/>
      <c r="NQQ17" s="414"/>
      <c r="NQR17" s="414"/>
      <c r="NQS17" s="414"/>
      <c r="NQT17" s="414"/>
      <c r="NQU17" s="414"/>
      <c r="NQV17" s="414"/>
      <c r="NQW17" s="414"/>
      <c r="NQX17" s="414"/>
      <c r="NQY17" s="414"/>
      <c r="NQZ17" s="414"/>
      <c r="NRA17" s="414"/>
      <c r="NRB17" s="414"/>
      <c r="NRC17" s="414"/>
      <c r="NRD17" s="414"/>
      <c r="NRE17" s="414"/>
      <c r="NRF17" s="414"/>
      <c r="NRG17" s="414"/>
      <c r="NRH17" s="414"/>
      <c r="NRI17" s="414"/>
      <c r="NRJ17" s="414"/>
      <c r="NRK17" s="414"/>
      <c r="NRL17" s="414"/>
      <c r="NRM17" s="414"/>
      <c r="NRN17" s="414"/>
      <c r="NRO17" s="414"/>
      <c r="NRP17" s="414"/>
      <c r="NRQ17" s="414"/>
      <c r="NRR17" s="414"/>
      <c r="NRS17" s="414"/>
      <c r="NRT17" s="414"/>
      <c r="NRU17" s="414"/>
      <c r="NRV17" s="414"/>
      <c r="NRW17" s="414"/>
      <c r="NRX17" s="414"/>
      <c r="NRY17" s="414"/>
      <c r="NRZ17" s="414"/>
      <c r="NSA17" s="414"/>
      <c r="NSB17" s="414"/>
      <c r="NSC17" s="414"/>
      <c r="NSD17" s="414"/>
      <c r="NSE17" s="414"/>
      <c r="NSF17" s="414"/>
      <c r="NSG17" s="414"/>
      <c r="NSH17" s="414"/>
      <c r="NSI17" s="414"/>
      <c r="NSJ17" s="414"/>
      <c r="NSK17" s="414"/>
      <c r="NSL17" s="414"/>
      <c r="NSM17" s="414"/>
      <c r="NSN17" s="414"/>
      <c r="NSO17" s="414"/>
      <c r="NSP17" s="414"/>
      <c r="NSQ17" s="414"/>
      <c r="NSR17" s="414"/>
      <c r="NSS17" s="414"/>
      <c r="NST17" s="414"/>
      <c r="NSU17" s="414"/>
      <c r="NSV17" s="414"/>
      <c r="NSW17" s="414"/>
      <c r="NSX17" s="414"/>
      <c r="NSY17" s="414"/>
      <c r="NSZ17" s="414"/>
      <c r="NTA17" s="414"/>
      <c r="NTB17" s="414"/>
      <c r="NTC17" s="414"/>
      <c r="NTD17" s="414"/>
      <c r="NTE17" s="414"/>
      <c r="NTF17" s="414"/>
      <c r="NTG17" s="414"/>
      <c r="NTH17" s="414"/>
      <c r="NTI17" s="414"/>
      <c r="NTJ17" s="414"/>
      <c r="NTK17" s="414"/>
      <c r="NTL17" s="414"/>
      <c r="NTM17" s="414"/>
      <c r="NTN17" s="414"/>
      <c r="NTO17" s="414"/>
      <c r="NTP17" s="414"/>
      <c r="NTQ17" s="414"/>
      <c r="NTR17" s="414"/>
      <c r="NTS17" s="414"/>
      <c r="NTT17" s="414"/>
      <c r="NTU17" s="414"/>
      <c r="NTV17" s="414"/>
      <c r="NTW17" s="414"/>
      <c r="NTX17" s="414"/>
      <c r="NTY17" s="414"/>
      <c r="NTZ17" s="414"/>
      <c r="NUA17" s="414"/>
      <c r="NUB17" s="414"/>
      <c r="NUC17" s="414"/>
      <c r="NUD17" s="414"/>
      <c r="NUE17" s="414"/>
      <c r="NUF17" s="414"/>
      <c r="NUG17" s="414"/>
      <c r="NUH17" s="414"/>
      <c r="NUI17" s="414"/>
      <c r="NUJ17" s="414"/>
      <c r="NUK17" s="414"/>
      <c r="NUL17" s="414"/>
      <c r="NUM17" s="414"/>
      <c r="NUN17" s="414"/>
      <c r="NUO17" s="414"/>
      <c r="NUP17" s="414"/>
      <c r="NUQ17" s="414"/>
      <c r="NUR17" s="414"/>
      <c r="NUS17" s="414"/>
      <c r="NUT17" s="414"/>
      <c r="NUU17" s="414"/>
      <c r="NUV17" s="414"/>
      <c r="NUW17" s="414"/>
      <c r="NUX17" s="414"/>
      <c r="NUY17" s="414"/>
      <c r="NUZ17" s="414"/>
      <c r="NVA17" s="414"/>
      <c r="NVB17" s="414"/>
      <c r="NVC17" s="414"/>
      <c r="NVD17" s="414"/>
      <c r="NVE17" s="414"/>
      <c r="NVF17" s="414"/>
      <c r="NVG17" s="414"/>
      <c r="NVH17" s="414"/>
      <c r="NVI17" s="414"/>
      <c r="NVJ17" s="414"/>
      <c r="NVK17" s="414"/>
      <c r="NVL17" s="414"/>
      <c r="NVM17" s="414"/>
      <c r="NVN17" s="414"/>
      <c r="NVO17" s="414"/>
      <c r="NVP17" s="414"/>
      <c r="NVQ17" s="414"/>
      <c r="NVR17" s="414"/>
      <c r="NVS17" s="414"/>
      <c r="NVT17" s="414"/>
      <c r="NVU17" s="414"/>
      <c r="NVV17" s="414"/>
      <c r="NVW17" s="414"/>
      <c r="NVX17" s="414"/>
      <c r="NVY17" s="414"/>
      <c r="NVZ17" s="414"/>
      <c r="NWA17" s="414"/>
      <c r="NWB17" s="414"/>
      <c r="NWC17" s="414"/>
      <c r="NWD17" s="414"/>
      <c r="NWE17" s="414"/>
      <c r="NWF17" s="414"/>
      <c r="NWG17" s="414"/>
      <c r="NWH17" s="414"/>
      <c r="NWI17" s="414"/>
      <c r="NWJ17" s="414"/>
      <c r="NWK17" s="414"/>
      <c r="NWL17" s="414"/>
      <c r="NWM17" s="414"/>
      <c r="NWN17" s="414"/>
      <c r="NWO17" s="414"/>
      <c r="NWP17" s="414"/>
      <c r="NWQ17" s="414"/>
      <c r="NWR17" s="414"/>
      <c r="NWS17" s="414"/>
      <c r="NWT17" s="414"/>
      <c r="NWU17" s="414"/>
      <c r="NWV17" s="414"/>
      <c r="NWW17" s="414"/>
      <c r="NWX17" s="414"/>
      <c r="NWY17" s="414"/>
      <c r="NWZ17" s="414"/>
      <c r="NXA17" s="414"/>
      <c r="NXB17" s="414"/>
      <c r="NXC17" s="414"/>
      <c r="NXD17" s="414"/>
      <c r="NXE17" s="414"/>
      <c r="NXF17" s="414"/>
      <c r="NXG17" s="414"/>
      <c r="NXH17" s="414"/>
      <c r="NXI17" s="414"/>
      <c r="NXJ17" s="414"/>
      <c r="NXK17" s="414"/>
      <c r="NXL17" s="414"/>
      <c r="NXM17" s="414"/>
      <c r="NXN17" s="414"/>
      <c r="NXO17" s="414"/>
      <c r="NXP17" s="414"/>
      <c r="NXQ17" s="414"/>
      <c r="NXR17" s="414"/>
      <c r="NXS17" s="414"/>
      <c r="NXT17" s="414"/>
      <c r="NXU17" s="414"/>
      <c r="NXV17" s="414"/>
      <c r="NXW17" s="414"/>
      <c r="NXX17" s="414"/>
      <c r="NXY17" s="414"/>
      <c r="NXZ17" s="414"/>
      <c r="NYA17" s="414"/>
      <c r="NYB17" s="414"/>
      <c r="NYC17" s="414"/>
      <c r="NYD17" s="414"/>
      <c r="NYE17" s="414"/>
      <c r="NYF17" s="414"/>
      <c r="NYG17" s="414"/>
      <c r="NYH17" s="414"/>
      <c r="NYI17" s="414"/>
      <c r="NYJ17" s="414"/>
      <c r="NYK17" s="414"/>
      <c r="NYL17" s="414"/>
      <c r="NYM17" s="414"/>
      <c r="NYN17" s="414"/>
      <c r="NYO17" s="414"/>
      <c r="NYP17" s="414"/>
      <c r="NYQ17" s="414"/>
      <c r="NYR17" s="414"/>
      <c r="NYS17" s="414"/>
      <c r="NYT17" s="414"/>
      <c r="NYU17" s="414"/>
      <c r="NYV17" s="414"/>
      <c r="NYW17" s="414"/>
      <c r="NYX17" s="414"/>
      <c r="NYY17" s="414"/>
      <c r="NYZ17" s="414"/>
      <c r="NZA17" s="414"/>
      <c r="NZB17" s="414"/>
      <c r="NZC17" s="414"/>
      <c r="NZD17" s="414"/>
      <c r="NZE17" s="414"/>
      <c r="NZF17" s="414"/>
      <c r="NZG17" s="414"/>
      <c r="NZH17" s="414"/>
      <c r="NZI17" s="414"/>
      <c r="NZJ17" s="414"/>
      <c r="NZK17" s="414"/>
      <c r="NZL17" s="414"/>
      <c r="NZM17" s="414"/>
      <c r="NZN17" s="414"/>
      <c r="NZO17" s="414"/>
      <c r="NZP17" s="414"/>
      <c r="NZQ17" s="414"/>
      <c r="NZR17" s="414"/>
      <c r="NZS17" s="414"/>
      <c r="NZT17" s="414"/>
      <c r="NZU17" s="414"/>
      <c r="NZV17" s="414"/>
      <c r="NZW17" s="414"/>
      <c r="NZX17" s="414"/>
      <c r="NZY17" s="414"/>
      <c r="NZZ17" s="414"/>
      <c r="OAA17" s="414"/>
      <c r="OAB17" s="414"/>
      <c r="OAC17" s="414"/>
      <c r="OAD17" s="414"/>
      <c r="OAE17" s="414"/>
      <c r="OAF17" s="414"/>
      <c r="OAG17" s="414"/>
      <c r="OAH17" s="414"/>
      <c r="OAI17" s="414"/>
      <c r="OAJ17" s="414"/>
      <c r="OAK17" s="414"/>
      <c r="OAL17" s="414"/>
      <c r="OAM17" s="414"/>
      <c r="OAN17" s="414"/>
      <c r="OAO17" s="414"/>
      <c r="OAP17" s="414"/>
      <c r="OAQ17" s="414"/>
      <c r="OAR17" s="414"/>
      <c r="OAS17" s="414"/>
      <c r="OAT17" s="414"/>
      <c r="OAU17" s="414"/>
      <c r="OAV17" s="414"/>
      <c r="OAW17" s="414"/>
      <c r="OAX17" s="414"/>
      <c r="OAY17" s="414"/>
      <c r="OAZ17" s="414"/>
      <c r="OBA17" s="414"/>
      <c r="OBB17" s="414"/>
      <c r="OBC17" s="414"/>
      <c r="OBD17" s="414"/>
      <c r="OBE17" s="414"/>
      <c r="OBF17" s="414"/>
      <c r="OBG17" s="414"/>
      <c r="OBH17" s="414"/>
      <c r="OBI17" s="414"/>
      <c r="OBJ17" s="414"/>
      <c r="OBK17" s="414"/>
      <c r="OBL17" s="414"/>
      <c r="OBM17" s="414"/>
      <c r="OBN17" s="414"/>
      <c r="OBO17" s="414"/>
      <c r="OBP17" s="414"/>
      <c r="OBQ17" s="414"/>
      <c r="OBR17" s="414"/>
      <c r="OBS17" s="414"/>
      <c r="OBT17" s="414"/>
      <c r="OBU17" s="414"/>
      <c r="OBV17" s="414"/>
      <c r="OBW17" s="414"/>
      <c r="OBX17" s="414"/>
      <c r="OBY17" s="414"/>
      <c r="OBZ17" s="414"/>
      <c r="OCA17" s="414"/>
      <c r="OCB17" s="414"/>
      <c r="OCC17" s="414"/>
      <c r="OCD17" s="414"/>
      <c r="OCE17" s="414"/>
      <c r="OCF17" s="414"/>
      <c r="OCG17" s="414"/>
      <c r="OCH17" s="414"/>
      <c r="OCI17" s="414"/>
      <c r="OCJ17" s="414"/>
      <c r="OCK17" s="414"/>
      <c r="OCL17" s="414"/>
      <c r="OCM17" s="414"/>
      <c r="OCN17" s="414"/>
      <c r="OCO17" s="414"/>
      <c r="OCP17" s="414"/>
      <c r="OCQ17" s="414"/>
      <c r="OCR17" s="414"/>
      <c r="OCS17" s="414"/>
      <c r="OCT17" s="414"/>
      <c r="OCU17" s="414"/>
      <c r="OCV17" s="414"/>
      <c r="OCW17" s="414"/>
      <c r="OCX17" s="414"/>
      <c r="OCY17" s="414"/>
      <c r="OCZ17" s="414"/>
      <c r="ODA17" s="414"/>
      <c r="ODB17" s="414"/>
      <c r="ODC17" s="414"/>
      <c r="ODD17" s="414"/>
      <c r="ODE17" s="414"/>
      <c r="ODF17" s="414"/>
      <c r="ODG17" s="414"/>
      <c r="ODH17" s="414"/>
      <c r="ODI17" s="414"/>
      <c r="ODJ17" s="414"/>
      <c r="ODK17" s="414"/>
      <c r="ODL17" s="414"/>
      <c r="ODM17" s="414"/>
      <c r="ODN17" s="414"/>
      <c r="ODO17" s="414"/>
      <c r="ODP17" s="414"/>
      <c r="ODQ17" s="414"/>
      <c r="ODR17" s="414"/>
      <c r="ODS17" s="414"/>
      <c r="ODT17" s="414"/>
      <c r="ODU17" s="414"/>
      <c r="ODV17" s="414"/>
      <c r="ODW17" s="414"/>
      <c r="ODX17" s="414"/>
      <c r="ODY17" s="414"/>
      <c r="ODZ17" s="414"/>
      <c r="OEA17" s="414"/>
      <c r="OEB17" s="414"/>
      <c r="OEC17" s="414"/>
      <c r="OED17" s="414"/>
      <c r="OEE17" s="414"/>
      <c r="OEF17" s="414"/>
      <c r="OEG17" s="414"/>
      <c r="OEH17" s="414"/>
      <c r="OEI17" s="414"/>
      <c r="OEJ17" s="414"/>
      <c r="OEK17" s="414"/>
      <c r="OEL17" s="414"/>
      <c r="OEM17" s="414"/>
      <c r="OEN17" s="414"/>
      <c r="OEO17" s="414"/>
      <c r="OEP17" s="414"/>
      <c r="OEQ17" s="414"/>
      <c r="OER17" s="414"/>
      <c r="OES17" s="414"/>
      <c r="OET17" s="414"/>
      <c r="OEU17" s="414"/>
      <c r="OEV17" s="414"/>
      <c r="OEW17" s="414"/>
      <c r="OEX17" s="414"/>
      <c r="OEY17" s="414"/>
      <c r="OEZ17" s="414"/>
      <c r="OFA17" s="414"/>
      <c r="OFB17" s="414"/>
      <c r="OFC17" s="414"/>
      <c r="OFD17" s="414"/>
      <c r="OFE17" s="414"/>
      <c r="OFF17" s="414"/>
      <c r="OFG17" s="414"/>
      <c r="OFH17" s="414"/>
      <c r="OFI17" s="414"/>
      <c r="OFJ17" s="414"/>
      <c r="OFK17" s="414"/>
      <c r="OFL17" s="414"/>
      <c r="OFM17" s="414"/>
      <c r="OFN17" s="414"/>
      <c r="OFO17" s="414"/>
      <c r="OFP17" s="414"/>
      <c r="OFQ17" s="414"/>
      <c r="OFR17" s="414"/>
      <c r="OFS17" s="414"/>
      <c r="OFT17" s="414"/>
      <c r="OFU17" s="414"/>
      <c r="OFV17" s="414"/>
      <c r="OFW17" s="414"/>
      <c r="OFX17" s="414"/>
      <c r="OFY17" s="414"/>
      <c r="OFZ17" s="414"/>
      <c r="OGA17" s="414"/>
      <c r="OGB17" s="414"/>
      <c r="OGC17" s="414"/>
      <c r="OGD17" s="414"/>
      <c r="OGE17" s="414"/>
      <c r="OGF17" s="414"/>
      <c r="OGG17" s="414"/>
      <c r="OGH17" s="414"/>
      <c r="OGI17" s="414"/>
      <c r="OGJ17" s="414"/>
      <c r="OGK17" s="414"/>
      <c r="OGL17" s="414"/>
      <c r="OGM17" s="414"/>
      <c r="OGN17" s="414"/>
      <c r="OGO17" s="414"/>
      <c r="OGP17" s="414"/>
      <c r="OGQ17" s="414"/>
      <c r="OGR17" s="414"/>
      <c r="OGS17" s="414"/>
      <c r="OGT17" s="414"/>
      <c r="OGU17" s="414"/>
      <c r="OGV17" s="414"/>
      <c r="OGW17" s="414"/>
      <c r="OGX17" s="414"/>
      <c r="OGY17" s="414"/>
      <c r="OGZ17" s="414"/>
      <c r="OHA17" s="414"/>
      <c r="OHB17" s="414"/>
      <c r="OHC17" s="414"/>
      <c r="OHD17" s="414"/>
      <c r="OHE17" s="414"/>
      <c r="OHF17" s="414"/>
      <c r="OHG17" s="414"/>
      <c r="OHH17" s="414"/>
      <c r="OHI17" s="414"/>
      <c r="OHJ17" s="414"/>
      <c r="OHK17" s="414"/>
      <c r="OHL17" s="414"/>
      <c r="OHM17" s="414"/>
      <c r="OHN17" s="414"/>
      <c r="OHO17" s="414"/>
      <c r="OHP17" s="414"/>
      <c r="OHQ17" s="414"/>
      <c r="OHR17" s="414"/>
      <c r="OHS17" s="414"/>
      <c r="OHT17" s="414"/>
      <c r="OHU17" s="414"/>
      <c r="OHV17" s="414"/>
      <c r="OHW17" s="414"/>
      <c r="OHX17" s="414"/>
      <c r="OHY17" s="414"/>
      <c r="OHZ17" s="414"/>
      <c r="OIA17" s="414"/>
      <c r="OIB17" s="414"/>
      <c r="OIC17" s="414"/>
      <c r="OID17" s="414"/>
      <c r="OIE17" s="414"/>
      <c r="OIF17" s="414"/>
      <c r="OIG17" s="414"/>
      <c r="OIH17" s="414"/>
      <c r="OII17" s="414"/>
      <c r="OIJ17" s="414"/>
      <c r="OIK17" s="414"/>
      <c r="OIL17" s="414"/>
      <c r="OIM17" s="414"/>
      <c r="OIN17" s="414"/>
      <c r="OIO17" s="414"/>
      <c r="OIP17" s="414"/>
      <c r="OIQ17" s="414"/>
      <c r="OIR17" s="414"/>
      <c r="OIS17" s="414"/>
      <c r="OIT17" s="414"/>
      <c r="OIU17" s="414"/>
      <c r="OIV17" s="414"/>
      <c r="OIW17" s="414"/>
      <c r="OIX17" s="414"/>
      <c r="OIY17" s="414"/>
      <c r="OIZ17" s="414"/>
      <c r="OJA17" s="414"/>
      <c r="OJB17" s="414"/>
      <c r="OJC17" s="414"/>
      <c r="OJD17" s="414"/>
      <c r="OJE17" s="414"/>
      <c r="OJF17" s="414"/>
      <c r="OJG17" s="414"/>
      <c r="OJH17" s="414"/>
      <c r="OJI17" s="414"/>
      <c r="OJJ17" s="414"/>
      <c r="OJK17" s="414"/>
      <c r="OJL17" s="414"/>
      <c r="OJM17" s="414"/>
      <c r="OJN17" s="414"/>
      <c r="OJO17" s="414"/>
      <c r="OJP17" s="414"/>
      <c r="OJQ17" s="414"/>
      <c r="OJR17" s="414"/>
      <c r="OJS17" s="414"/>
      <c r="OJT17" s="414"/>
      <c r="OJU17" s="414"/>
      <c r="OJV17" s="414"/>
      <c r="OJW17" s="414"/>
      <c r="OJX17" s="414"/>
      <c r="OJY17" s="414"/>
      <c r="OJZ17" s="414"/>
      <c r="OKA17" s="414"/>
      <c r="OKB17" s="414"/>
      <c r="OKC17" s="414"/>
      <c r="OKD17" s="414"/>
      <c r="OKE17" s="414"/>
      <c r="OKF17" s="414"/>
      <c r="OKG17" s="414"/>
      <c r="OKH17" s="414"/>
      <c r="OKI17" s="414"/>
      <c r="OKJ17" s="414"/>
      <c r="OKK17" s="414"/>
      <c r="OKL17" s="414"/>
      <c r="OKM17" s="414"/>
      <c r="OKN17" s="414"/>
      <c r="OKO17" s="414"/>
      <c r="OKP17" s="414"/>
      <c r="OKQ17" s="414"/>
      <c r="OKR17" s="414"/>
      <c r="OKS17" s="414"/>
      <c r="OKT17" s="414"/>
      <c r="OKU17" s="414"/>
      <c r="OKV17" s="414"/>
      <c r="OKW17" s="414"/>
      <c r="OKX17" s="414"/>
      <c r="OKY17" s="414"/>
      <c r="OKZ17" s="414"/>
      <c r="OLA17" s="414"/>
      <c r="OLB17" s="414"/>
      <c r="OLC17" s="414"/>
      <c r="OLD17" s="414"/>
      <c r="OLE17" s="414"/>
      <c r="OLF17" s="414"/>
      <c r="OLG17" s="414"/>
      <c r="OLH17" s="414"/>
      <c r="OLI17" s="414"/>
      <c r="OLJ17" s="414"/>
      <c r="OLK17" s="414"/>
      <c r="OLL17" s="414"/>
      <c r="OLM17" s="414"/>
      <c r="OLN17" s="414"/>
      <c r="OLO17" s="414"/>
      <c r="OLP17" s="414"/>
      <c r="OLQ17" s="414"/>
      <c r="OLR17" s="414"/>
      <c r="OLS17" s="414"/>
      <c r="OLT17" s="414"/>
      <c r="OLU17" s="414"/>
      <c r="OLV17" s="414"/>
      <c r="OLW17" s="414"/>
      <c r="OLX17" s="414"/>
      <c r="OLY17" s="414"/>
      <c r="OLZ17" s="414"/>
      <c r="OMA17" s="414"/>
      <c r="OMB17" s="414"/>
      <c r="OMC17" s="414"/>
      <c r="OMD17" s="414"/>
      <c r="OME17" s="414"/>
      <c r="OMF17" s="414"/>
      <c r="OMG17" s="414"/>
      <c r="OMH17" s="414"/>
      <c r="OMI17" s="414"/>
      <c r="OMJ17" s="414"/>
      <c r="OMK17" s="414"/>
      <c r="OML17" s="414"/>
      <c r="OMM17" s="414"/>
      <c r="OMN17" s="414"/>
      <c r="OMO17" s="414"/>
      <c r="OMP17" s="414"/>
      <c r="OMQ17" s="414"/>
      <c r="OMR17" s="414"/>
      <c r="OMS17" s="414"/>
      <c r="OMT17" s="414"/>
      <c r="OMU17" s="414"/>
      <c r="OMV17" s="414"/>
      <c r="OMW17" s="414"/>
      <c r="OMX17" s="414"/>
      <c r="OMY17" s="414"/>
      <c r="OMZ17" s="414"/>
      <c r="ONA17" s="414"/>
      <c r="ONB17" s="414"/>
      <c r="ONC17" s="414"/>
      <c r="OND17" s="414"/>
      <c r="ONE17" s="414"/>
      <c r="ONF17" s="414"/>
      <c r="ONG17" s="414"/>
      <c r="ONH17" s="414"/>
      <c r="ONI17" s="414"/>
      <c r="ONJ17" s="414"/>
      <c r="ONK17" s="414"/>
      <c r="ONL17" s="414"/>
      <c r="ONM17" s="414"/>
      <c r="ONN17" s="414"/>
      <c r="ONO17" s="414"/>
      <c r="ONP17" s="414"/>
      <c r="ONQ17" s="414"/>
      <c r="ONR17" s="414"/>
      <c r="ONS17" s="414"/>
      <c r="ONT17" s="414"/>
      <c r="ONU17" s="414"/>
      <c r="ONV17" s="414"/>
      <c r="ONW17" s="414"/>
      <c r="ONX17" s="414"/>
      <c r="ONY17" s="414"/>
      <c r="ONZ17" s="414"/>
      <c r="OOA17" s="414"/>
      <c r="OOB17" s="414"/>
      <c r="OOC17" s="414"/>
      <c r="OOD17" s="414"/>
      <c r="OOE17" s="414"/>
      <c r="OOF17" s="414"/>
      <c r="OOG17" s="414"/>
      <c r="OOH17" s="414"/>
      <c r="OOI17" s="414"/>
      <c r="OOJ17" s="414"/>
      <c r="OOK17" s="414"/>
      <c r="OOL17" s="414"/>
      <c r="OOM17" s="414"/>
      <c r="OON17" s="414"/>
      <c r="OOO17" s="414"/>
      <c r="OOP17" s="414"/>
      <c r="OOQ17" s="414"/>
      <c r="OOR17" s="414"/>
      <c r="OOS17" s="414"/>
      <c r="OOT17" s="414"/>
      <c r="OOU17" s="414"/>
      <c r="OOV17" s="414"/>
      <c r="OOW17" s="414"/>
      <c r="OOX17" s="414"/>
      <c r="OOY17" s="414"/>
      <c r="OOZ17" s="414"/>
      <c r="OPA17" s="414"/>
      <c r="OPB17" s="414"/>
      <c r="OPC17" s="414"/>
      <c r="OPD17" s="414"/>
      <c r="OPE17" s="414"/>
      <c r="OPF17" s="414"/>
      <c r="OPG17" s="414"/>
      <c r="OPH17" s="414"/>
      <c r="OPI17" s="414"/>
      <c r="OPJ17" s="414"/>
      <c r="OPK17" s="414"/>
      <c r="OPL17" s="414"/>
      <c r="OPM17" s="414"/>
      <c r="OPN17" s="414"/>
      <c r="OPO17" s="414"/>
      <c r="OPP17" s="414"/>
      <c r="OPQ17" s="414"/>
      <c r="OPR17" s="414"/>
      <c r="OPS17" s="414"/>
      <c r="OPT17" s="414"/>
      <c r="OPU17" s="414"/>
      <c r="OPV17" s="414"/>
      <c r="OPW17" s="414"/>
      <c r="OPX17" s="414"/>
      <c r="OPY17" s="414"/>
      <c r="OPZ17" s="414"/>
      <c r="OQA17" s="414"/>
      <c r="OQB17" s="414"/>
      <c r="OQC17" s="414"/>
      <c r="OQD17" s="414"/>
      <c r="OQE17" s="414"/>
      <c r="OQF17" s="414"/>
      <c r="OQG17" s="414"/>
      <c r="OQH17" s="414"/>
      <c r="OQI17" s="414"/>
      <c r="OQJ17" s="414"/>
      <c r="OQK17" s="414"/>
      <c r="OQL17" s="414"/>
      <c r="OQM17" s="414"/>
      <c r="OQN17" s="414"/>
      <c r="OQO17" s="414"/>
      <c r="OQP17" s="414"/>
      <c r="OQQ17" s="414"/>
      <c r="OQR17" s="414"/>
      <c r="OQS17" s="414"/>
      <c r="OQT17" s="414"/>
      <c r="OQU17" s="414"/>
      <c r="OQV17" s="414"/>
      <c r="OQW17" s="414"/>
      <c r="OQX17" s="414"/>
      <c r="OQY17" s="414"/>
      <c r="OQZ17" s="414"/>
      <c r="ORA17" s="414"/>
      <c r="ORB17" s="414"/>
      <c r="ORC17" s="414"/>
      <c r="ORD17" s="414"/>
      <c r="ORE17" s="414"/>
      <c r="ORF17" s="414"/>
      <c r="ORG17" s="414"/>
      <c r="ORH17" s="414"/>
      <c r="ORI17" s="414"/>
      <c r="ORJ17" s="414"/>
      <c r="ORK17" s="414"/>
      <c r="ORL17" s="414"/>
      <c r="ORM17" s="414"/>
      <c r="ORN17" s="414"/>
      <c r="ORO17" s="414"/>
      <c r="ORP17" s="414"/>
      <c r="ORQ17" s="414"/>
      <c r="ORR17" s="414"/>
      <c r="ORS17" s="414"/>
      <c r="ORT17" s="414"/>
      <c r="ORU17" s="414"/>
      <c r="ORV17" s="414"/>
      <c r="ORW17" s="414"/>
      <c r="ORX17" s="414"/>
      <c r="ORY17" s="414"/>
      <c r="ORZ17" s="414"/>
      <c r="OSA17" s="414"/>
      <c r="OSB17" s="414"/>
      <c r="OSC17" s="414"/>
      <c r="OSD17" s="414"/>
      <c r="OSE17" s="414"/>
      <c r="OSF17" s="414"/>
      <c r="OSG17" s="414"/>
      <c r="OSH17" s="414"/>
      <c r="OSI17" s="414"/>
      <c r="OSJ17" s="414"/>
      <c r="OSK17" s="414"/>
      <c r="OSL17" s="414"/>
      <c r="OSM17" s="414"/>
      <c r="OSN17" s="414"/>
      <c r="OSO17" s="414"/>
      <c r="OSP17" s="414"/>
      <c r="OSQ17" s="414"/>
      <c r="OSR17" s="414"/>
      <c r="OSS17" s="414"/>
      <c r="OST17" s="414"/>
      <c r="OSU17" s="414"/>
      <c r="OSV17" s="414"/>
      <c r="OSW17" s="414"/>
      <c r="OSX17" s="414"/>
      <c r="OSY17" s="414"/>
      <c r="OSZ17" s="414"/>
      <c r="OTA17" s="414"/>
      <c r="OTB17" s="414"/>
      <c r="OTC17" s="414"/>
      <c r="OTD17" s="414"/>
      <c r="OTE17" s="414"/>
      <c r="OTF17" s="414"/>
      <c r="OTG17" s="414"/>
      <c r="OTH17" s="414"/>
      <c r="OTI17" s="414"/>
      <c r="OTJ17" s="414"/>
      <c r="OTK17" s="414"/>
      <c r="OTL17" s="414"/>
      <c r="OTM17" s="414"/>
      <c r="OTN17" s="414"/>
      <c r="OTO17" s="414"/>
      <c r="OTP17" s="414"/>
      <c r="OTQ17" s="414"/>
      <c r="OTR17" s="414"/>
      <c r="OTS17" s="414"/>
      <c r="OTT17" s="414"/>
      <c r="OTU17" s="414"/>
      <c r="OTV17" s="414"/>
      <c r="OTW17" s="414"/>
      <c r="OTX17" s="414"/>
      <c r="OTY17" s="414"/>
      <c r="OTZ17" s="414"/>
      <c r="OUA17" s="414"/>
      <c r="OUB17" s="414"/>
      <c r="OUC17" s="414"/>
      <c r="OUD17" s="414"/>
      <c r="OUE17" s="414"/>
      <c r="OUF17" s="414"/>
      <c r="OUG17" s="414"/>
      <c r="OUH17" s="414"/>
      <c r="OUI17" s="414"/>
      <c r="OUJ17" s="414"/>
      <c r="OUK17" s="414"/>
      <c r="OUL17" s="414"/>
      <c r="OUM17" s="414"/>
      <c r="OUN17" s="414"/>
      <c r="OUO17" s="414"/>
      <c r="OUP17" s="414"/>
      <c r="OUQ17" s="414"/>
      <c r="OUR17" s="414"/>
      <c r="OUS17" s="414"/>
      <c r="OUT17" s="414"/>
      <c r="OUU17" s="414"/>
      <c r="OUV17" s="414"/>
      <c r="OUW17" s="414"/>
      <c r="OUX17" s="414"/>
      <c r="OUY17" s="414"/>
      <c r="OUZ17" s="414"/>
      <c r="OVA17" s="414"/>
      <c r="OVB17" s="414"/>
      <c r="OVC17" s="414"/>
      <c r="OVD17" s="414"/>
      <c r="OVE17" s="414"/>
      <c r="OVF17" s="414"/>
      <c r="OVG17" s="414"/>
      <c r="OVH17" s="414"/>
      <c r="OVI17" s="414"/>
      <c r="OVJ17" s="414"/>
      <c r="OVK17" s="414"/>
      <c r="OVL17" s="414"/>
      <c r="OVM17" s="414"/>
      <c r="OVN17" s="414"/>
      <c r="OVO17" s="414"/>
      <c r="OVP17" s="414"/>
      <c r="OVQ17" s="414"/>
      <c r="OVR17" s="414"/>
      <c r="OVS17" s="414"/>
      <c r="OVT17" s="414"/>
      <c r="OVU17" s="414"/>
      <c r="OVV17" s="414"/>
      <c r="OVW17" s="414"/>
      <c r="OVX17" s="414"/>
      <c r="OVY17" s="414"/>
      <c r="OVZ17" s="414"/>
      <c r="OWA17" s="414"/>
      <c r="OWB17" s="414"/>
      <c r="OWC17" s="414"/>
      <c r="OWD17" s="414"/>
      <c r="OWE17" s="414"/>
      <c r="OWF17" s="414"/>
      <c r="OWG17" s="414"/>
      <c r="OWH17" s="414"/>
      <c r="OWI17" s="414"/>
      <c r="OWJ17" s="414"/>
      <c r="OWK17" s="414"/>
      <c r="OWL17" s="414"/>
      <c r="OWM17" s="414"/>
      <c r="OWN17" s="414"/>
      <c r="OWO17" s="414"/>
      <c r="OWP17" s="414"/>
      <c r="OWQ17" s="414"/>
      <c r="OWR17" s="414"/>
      <c r="OWS17" s="414"/>
      <c r="OWT17" s="414"/>
      <c r="OWU17" s="414"/>
      <c r="OWV17" s="414"/>
      <c r="OWW17" s="414"/>
      <c r="OWX17" s="414"/>
      <c r="OWY17" s="414"/>
      <c r="OWZ17" s="414"/>
      <c r="OXA17" s="414"/>
      <c r="OXB17" s="414"/>
      <c r="OXC17" s="414"/>
      <c r="OXD17" s="414"/>
      <c r="OXE17" s="414"/>
      <c r="OXF17" s="414"/>
      <c r="OXG17" s="414"/>
      <c r="OXH17" s="414"/>
      <c r="OXI17" s="414"/>
      <c r="OXJ17" s="414"/>
      <c r="OXK17" s="414"/>
      <c r="OXL17" s="414"/>
      <c r="OXM17" s="414"/>
      <c r="OXN17" s="414"/>
      <c r="OXO17" s="414"/>
      <c r="OXP17" s="414"/>
      <c r="OXQ17" s="414"/>
      <c r="OXR17" s="414"/>
      <c r="OXS17" s="414"/>
      <c r="OXT17" s="414"/>
      <c r="OXU17" s="414"/>
      <c r="OXV17" s="414"/>
      <c r="OXW17" s="414"/>
      <c r="OXX17" s="414"/>
      <c r="OXY17" s="414"/>
      <c r="OXZ17" s="414"/>
      <c r="OYA17" s="414"/>
      <c r="OYB17" s="414"/>
      <c r="OYC17" s="414"/>
      <c r="OYD17" s="414"/>
      <c r="OYE17" s="414"/>
      <c r="OYF17" s="414"/>
      <c r="OYG17" s="414"/>
      <c r="OYH17" s="414"/>
      <c r="OYI17" s="414"/>
      <c r="OYJ17" s="414"/>
      <c r="OYK17" s="414"/>
      <c r="OYL17" s="414"/>
      <c r="OYM17" s="414"/>
      <c r="OYN17" s="414"/>
      <c r="OYO17" s="414"/>
      <c r="OYP17" s="414"/>
      <c r="OYQ17" s="414"/>
      <c r="OYR17" s="414"/>
      <c r="OYS17" s="414"/>
      <c r="OYT17" s="414"/>
      <c r="OYU17" s="414"/>
      <c r="OYV17" s="414"/>
      <c r="OYW17" s="414"/>
      <c r="OYX17" s="414"/>
      <c r="OYY17" s="414"/>
      <c r="OYZ17" s="414"/>
      <c r="OZA17" s="414"/>
      <c r="OZB17" s="414"/>
      <c r="OZC17" s="414"/>
      <c r="OZD17" s="414"/>
      <c r="OZE17" s="414"/>
      <c r="OZF17" s="414"/>
      <c r="OZG17" s="414"/>
      <c r="OZH17" s="414"/>
      <c r="OZI17" s="414"/>
      <c r="OZJ17" s="414"/>
      <c r="OZK17" s="414"/>
      <c r="OZL17" s="414"/>
      <c r="OZM17" s="414"/>
      <c r="OZN17" s="414"/>
      <c r="OZO17" s="414"/>
      <c r="OZP17" s="414"/>
      <c r="OZQ17" s="414"/>
      <c r="OZR17" s="414"/>
      <c r="OZS17" s="414"/>
      <c r="OZT17" s="414"/>
      <c r="OZU17" s="414"/>
      <c r="OZV17" s="414"/>
      <c r="OZW17" s="414"/>
      <c r="OZX17" s="414"/>
      <c r="OZY17" s="414"/>
      <c r="OZZ17" s="414"/>
      <c r="PAA17" s="414"/>
      <c r="PAB17" s="414"/>
      <c r="PAC17" s="414"/>
      <c r="PAD17" s="414"/>
      <c r="PAE17" s="414"/>
      <c r="PAF17" s="414"/>
      <c r="PAG17" s="414"/>
      <c r="PAH17" s="414"/>
      <c r="PAI17" s="414"/>
      <c r="PAJ17" s="414"/>
      <c r="PAK17" s="414"/>
      <c r="PAL17" s="414"/>
      <c r="PAM17" s="414"/>
      <c r="PAN17" s="414"/>
      <c r="PAO17" s="414"/>
      <c r="PAP17" s="414"/>
      <c r="PAQ17" s="414"/>
      <c r="PAR17" s="414"/>
      <c r="PAS17" s="414"/>
      <c r="PAT17" s="414"/>
      <c r="PAU17" s="414"/>
      <c r="PAV17" s="414"/>
      <c r="PAW17" s="414"/>
      <c r="PAX17" s="414"/>
      <c r="PAY17" s="414"/>
      <c r="PAZ17" s="414"/>
      <c r="PBA17" s="414"/>
      <c r="PBB17" s="414"/>
      <c r="PBC17" s="414"/>
      <c r="PBD17" s="414"/>
      <c r="PBE17" s="414"/>
      <c r="PBF17" s="414"/>
      <c r="PBG17" s="414"/>
      <c r="PBH17" s="414"/>
      <c r="PBI17" s="414"/>
      <c r="PBJ17" s="414"/>
      <c r="PBK17" s="414"/>
      <c r="PBL17" s="414"/>
      <c r="PBM17" s="414"/>
      <c r="PBN17" s="414"/>
      <c r="PBO17" s="414"/>
      <c r="PBP17" s="414"/>
      <c r="PBQ17" s="414"/>
      <c r="PBR17" s="414"/>
      <c r="PBS17" s="414"/>
      <c r="PBT17" s="414"/>
      <c r="PBU17" s="414"/>
      <c r="PBV17" s="414"/>
      <c r="PBW17" s="414"/>
      <c r="PBX17" s="414"/>
      <c r="PBY17" s="414"/>
      <c r="PBZ17" s="414"/>
      <c r="PCA17" s="414"/>
      <c r="PCB17" s="414"/>
      <c r="PCC17" s="414"/>
      <c r="PCD17" s="414"/>
      <c r="PCE17" s="414"/>
      <c r="PCF17" s="414"/>
      <c r="PCG17" s="414"/>
      <c r="PCH17" s="414"/>
      <c r="PCI17" s="414"/>
      <c r="PCJ17" s="414"/>
      <c r="PCK17" s="414"/>
      <c r="PCL17" s="414"/>
      <c r="PCM17" s="414"/>
      <c r="PCN17" s="414"/>
      <c r="PCO17" s="414"/>
      <c r="PCP17" s="414"/>
      <c r="PCQ17" s="414"/>
      <c r="PCR17" s="414"/>
      <c r="PCS17" s="414"/>
      <c r="PCT17" s="414"/>
      <c r="PCU17" s="414"/>
      <c r="PCV17" s="414"/>
      <c r="PCW17" s="414"/>
      <c r="PCX17" s="414"/>
      <c r="PCY17" s="414"/>
      <c r="PCZ17" s="414"/>
      <c r="PDA17" s="414"/>
      <c r="PDB17" s="414"/>
      <c r="PDC17" s="414"/>
      <c r="PDD17" s="414"/>
      <c r="PDE17" s="414"/>
      <c r="PDF17" s="414"/>
      <c r="PDG17" s="414"/>
      <c r="PDH17" s="414"/>
      <c r="PDI17" s="414"/>
      <c r="PDJ17" s="414"/>
      <c r="PDK17" s="414"/>
      <c r="PDL17" s="414"/>
      <c r="PDM17" s="414"/>
      <c r="PDN17" s="414"/>
      <c r="PDO17" s="414"/>
      <c r="PDP17" s="414"/>
      <c r="PDQ17" s="414"/>
      <c r="PDR17" s="414"/>
      <c r="PDS17" s="414"/>
      <c r="PDT17" s="414"/>
      <c r="PDU17" s="414"/>
      <c r="PDV17" s="414"/>
      <c r="PDW17" s="414"/>
      <c r="PDX17" s="414"/>
      <c r="PDY17" s="414"/>
      <c r="PDZ17" s="414"/>
      <c r="PEA17" s="414"/>
      <c r="PEB17" s="414"/>
      <c r="PEC17" s="414"/>
      <c r="PED17" s="414"/>
      <c r="PEE17" s="414"/>
      <c r="PEF17" s="414"/>
      <c r="PEG17" s="414"/>
      <c r="PEH17" s="414"/>
      <c r="PEI17" s="414"/>
      <c r="PEJ17" s="414"/>
      <c r="PEK17" s="414"/>
      <c r="PEL17" s="414"/>
      <c r="PEM17" s="414"/>
      <c r="PEN17" s="414"/>
      <c r="PEO17" s="414"/>
      <c r="PEP17" s="414"/>
      <c r="PEQ17" s="414"/>
      <c r="PER17" s="414"/>
      <c r="PES17" s="414"/>
      <c r="PET17" s="414"/>
      <c r="PEU17" s="414"/>
      <c r="PEV17" s="414"/>
      <c r="PEW17" s="414"/>
      <c r="PEX17" s="414"/>
      <c r="PEY17" s="414"/>
      <c r="PEZ17" s="414"/>
      <c r="PFA17" s="414"/>
      <c r="PFB17" s="414"/>
      <c r="PFC17" s="414"/>
      <c r="PFD17" s="414"/>
      <c r="PFE17" s="414"/>
      <c r="PFF17" s="414"/>
      <c r="PFG17" s="414"/>
      <c r="PFH17" s="414"/>
      <c r="PFI17" s="414"/>
      <c r="PFJ17" s="414"/>
      <c r="PFK17" s="414"/>
      <c r="PFL17" s="414"/>
      <c r="PFM17" s="414"/>
      <c r="PFN17" s="414"/>
      <c r="PFO17" s="414"/>
      <c r="PFP17" s="414"/>
      <c r="PFQ17" s="414"/>
      <c r="PFR17" s="414"/>
      <c r="PFS17" s="414"/>
      <c r="PFT17" s="414"/>
      <c r="PFU17" s="414"/>
      <c r="PFV17" s="414"/>
      <c r="PFW17" s="414"/>
      <c r="PFX17" s="414"/>
      <c r="PFY17" s="414"/>
      <c r="PFZ17" s="414"/>
      <c r="PGA17" s="414"/>
      <c r="PGB17" s="414"/>
      <c r="PGC17" s="414"/>
      <c r="PGD17" s="414"/>
      <c r="PGE17" s="414"/>
      <c r="PGF17" s="414"/>
      <c r="PGG17" s="414"/>
      <c r="PGH17" s="414"/>
      <c r="PGI17" s="414"/>
      <c r="PGJ17" s="414"/>
      <c r="PGK17" s="414"/>
      <c r="PGL17" s="414"/>
      <c r="PGM17" s="414"/>
      <c r="PGN17" s="414"/>
      <c r="PGO17" s="414"/>
      <c r="PGP17" s="414"/>
      <c r="PGQ17" s="414"/>
      <c r="PGR17" s="414"/>
      <c r="PGS17" s="414"/>
      <c r="PGT17" s="414"/>
      <c r="PGU17" s="414"/>
      <c r="PGV17" s="414"/>
      <c r="PGW17" s="414"/>
      <c r="PGX17" s="414"/>
      <c r="PGY17" s="414"/>
      <c r="PGZ17" s="414"/>
      <c r="PHA17" s="414"/>
      <c r="PHB17" s="414"/>
      <c r="PHC17" s="414"/>
      <c r="PHD17" s="414"/>
      <c r="PHE17" s="414"/>
      <c r="PHF17" s="414"/>
      <c r="PHG17" s="414"/>
      <c r="PHH17" s="414"/>
      <c r="PHI17" s="414"/>
      <c r="PHJ17" s="414"/>
      <c r="PHK17" s="414"/>
      <c r="PHL17" s="414"/>
      <c r="PHM17" s="414"/>
      <c r="PHN17" s="414"/>
      <c r="PHO17" s="414"/>
      <c r="PHP17" s="414"/>
      <c r="PHQ17" s="414"/>
      <c r="PHR17" s="414"/>
      <c r="PHS17" s="414"/>
      <c r="PHT17" s="414"/>
      <c r="PHU17" s="414"/>
      <c r="PHV17" s="414"/>
      <c r="PHW17" s="414"/>
      <c r="PHX17" s="414"/>
      <c r="PHY17" s="414"/>
      <c r="PHZ17" s="414"/>
      <c r="PIA17" s="414"/>
      <c r="PIB17" s="414"/>
      <c r="PIC17" s="414"/>
      <c r="PID17" s="414"/>
      <c r="PIE17" s="414"/>
      <c r="PIF17" s="414"/>
      <c r="PIG17" s="414"/>
      <c r="PIH17" s="414"/>
      <c r="PII17" s="414"/>
      <c r="PIJ17" s="414"/>
      <c r="PIK17" s="414"/>
      <c r="PIL17" s="414"/>
      <c r="PIM17" s="414"/>
      <c r="PIN17" s="414"/>
      <c r="PIO17" s="414"/>
      <c r="PIP17" s="414"/>
      <c r="PIQ17" s="414"/>
      <c r="PIR17" s="414"/>
      <c r="PIS17" s="414"/>
      <c r="PIT17" s="414"/>
      <c r="PIU17" s="414"/>
      <c r="PIV17" s="414"/>
      <c r="PIW17" s="414"/>
      <c r="PIX17" s="414"/>
      <c r="PIY17" s="414"/>
      <c r="PIZ17" s="414"/>
      <c r="PJA17" s="414"/>
      <c r="PJB17" s="414"/>
      <c r="PJC17" s="414"/>
      <c r="PJD17" s="414"/>
      <c r="PJE17" s="414"/>
      <c r="PJF17" s="414"/>
      <c r="PJG17" s="414"/>
      <c r="PJH17" s="414"/>
      <c r="PJI17" s="414"/>
      <c r="PJJ17" s="414"/>
      <c r="PJK17" s="414"/>
      <c r="PJL17" s="414"/>
      <c r="PJM17" s="414"/>
      <c r="PJN17" s="414"/>
      <c r="PJO17" s="414"/>
      <c r="PJP17" s="414"/>
      <c r="PJQ17" s="414"/>
      <c r="PJR17" s="414"/>
      <c r="PJS17" s="414"/>
      <c r="PJT17" s="414"/>
      <c r="PJU17" s="414"/>
      <c r="PJV17" s="414"/>
      <c r="PJW17" s="414"/>
      <c r="PJX17" s="414"/>
      <c r="PJY17" s="414"/>
      <c r="PJZ17" s="414"/>
      <c r="PKA17" s="414"/>
      <c r="PKB17" s="414"/>
      <c r="PKC17" s="414"/>
      <c r="PKD17" s="414"/>
      <c r="PKE17" s="414"/>
      <c r="PKF17" s="414"/>
      <c r="PKG17" s="414"/>
      <c r="PKH17" s="414"/>
      <c r="PKI17" s="414"/>
      <c r="PKJ17" s="414"/>
      <c r="PKK17" s="414"/>
      <c r="PKL17" s="414"/>
      <c r="PKM17" s="414"/>
      <c r="PKN17" s="414"/>
      <c r="PKO17" s="414"/>
      <c r="PKP17" s="414"/>
      <c r="PKQ17" s="414"/>
      <c r="PKR17" s="414"/>
      <c r="PKS17" s="414"/>
      <c r="PKT17" s="414"/>
      <c r="PKU17" s="414"/>
      <c r="PKV17" s="414"/>
      <c r="PKW17" s="414"/>
      <c r="PKX17" s="414"/>
      <c r="PKY17" s="414"/>
      <c r="PKZ17" s="414"/>
      <c r="PLA17" s="414"/>
      <c r="PLB17" s="414"/>
      <c r="PLC17" s="414"/>
      <c r="PLD17" s="414"/>
      <c r="PLE17" s="414"/>
      <c r="PLF17" s="414"/>
      <c r="PLG17" s="414"/>
      <c r="PLH17" s="414"/>
      <c r="PLI17" s="414"/>
      <c r="PLJ17" s="414"/>
      <c r="PLK17" s="414"/>
      <c r="PLL17" s="414"/>
      <c r="PLM17" s="414"/>
      <c r="PLN17" s="414"/>
      <c r="PLO17" s="414"/>
      <c r="PLP17" s="414"/>
      <c r="PLQ17" s="414"/>
      <c r="PLR17" s="414"/>
      <c r="PLS17" s="414"/>
      <c r="PLT17" s="414"/>
      <c r="PLU17" s="414"/>
      <c r="PLV17" s="414"/>
      <c r="PLW17" s="414"/>
      <c r="PLX17" s="414"/>
      <c r="PLY17" s="414"/>
      <c r="PLZ17" s="414"/>
      <c r="PMA17" s="414"/>
      <c r="PMB17" s="414"/>
      <c r="PMC17" s="414"/>
      <c r="PMD17" s="414"/>
      <c r="PME17" s="414"/>
      <c r="PMF17" s="414"/>
      <c r="PMG17" s="414"/>
      <c r="PMH17" s="414"/>
      <c r="PMI17" s="414"/>
      <c r="PMJ17" s="414"/>
      <c r="PMK17" s="414"/>
      <c r="PML17" s="414"/>
      <c r="PMM17" s="414"/>
      <c r="PMN17" s="414"/>
      <c r="PMO17" s="414"/>
      <c r="PMP17" s="414"/>
      <c r="PMQ17" s="414"/>
      <c r="PMR17" s="414"/>
      <c r="PMS17" s="414"/>
      <c r="PMT17" s="414"/>
      <c r="PMU17" s="414"/>
      <c r="PMV17" s="414"/>
      <c r="PMW17" s="414"/>
      <c r="PMX17" s="414"/>
      <c r="PMY17" s="414"/>
      <c r="PMZ17" s="414"/>
      <c r="PNA17" s="414"/>
      <c r="PNB17" s="414"/>
      <c r="PNC17" s="414"/>
      <c r="PND17" s="414"/>
      <c r="PNE17" s="414"/>
      <c r="PNF17" s="414"/>
      <c r="PNG17" s="414"/>
      <c r="PNH17" s="414"/>
      <c r="PNI17" s="414"/>
      <c r="PNJ17" s="414"/>
      <c r="PNK17" s="414"/>
      <c r="PNL17" s="414"/>
      <c r="PNM17" s="414"/>
      <c r="PNN17" s="414"/>
      <c r="PNO17" s="414"/>
      <c r="PNP17" s="414"/>
      <c r="PNQ17" s="414"/>
      <c r="PNR17" s="414"/>
      <c r="PNS17" s="414"/>
      <c r="PNT17" s="414"/>
      <c r="PNU17" s="414"/>
      <c r="PNV17" s="414"/>
      <c r="PNW17" s="414"/>
      <c r="PNX17" s="414"/>
      <c r="PNY17" s="414"/>
      <c r="PNZ17" s="414"/>
      <c r="POA17" s="414"/>
      <c r="POB17" s="414"/>
      <c r="POC17" s="414"/>
      <c r="POD17" s="414"/>
      <c r="POE17" s="414"/>
      <c r="POF17" s="414"/>
      <c r="POG17" s="414"/>
      <c r="POH17" s="414"/>
      <c r="POI17" s="414"/>
      <c r="POJ17" s="414"/>
      <c r="POK17" s="414"/>
      <c r="POL17" s="414"/>
      <c r="POM17" s="414"/>
      <c r="PON17" s="414"/>
      <c r="POO17" s="414"/>
      <c r="POP17" s="414"/>
      <c r="POQ17" s="414"/>
      <c r="POR17" s="414"/>
      <c r="POS17" s="414"/>
      <c r="POT17" s="414"/>
      <c r="POU17" s="414"/>
      <c r="POV17" s="414"/>
      <c r="POW17" s="414"/>
      <c r="POX17" s="414"/>
      <c r="POY17" s="414"/>
      <c r="POZ17" s="414"/>
      <c r="PPA17" s="414"/>
      <c r="PPB17" s="414"/>
      <c r="PPC17" s="414"/>
      <c r="PPD17" s="414"/>
      <c r="PPE17" s="414"/>
      <c r="PPF17" s="414"/>
      <c r="PPG17" s="414"/>
      <c r="PPH17" s="414"/>
      <c r="PPI17" s="414"/>
      <c r="PPJ17" s="414"/>
      <c r="PPK17" s="414"/>
      <c r="PPL17" s="414"/>
      <c r="PPM17" s="414"/>
      <c r="PPN17" s="414"/>
      <c r="PPO17" s="414"/>
      <c r="PPP17" s="414"/>
      <c r="PPQ17" s="414"/>
      <c r="PPR17" s="414"/>
      <c r="PPS17" s="414"/>
      <c r="PPT17" s="414"/>
      <c r="PPU17" s="414"/>
      <c r="PPV17" s="414"/>
      <c r="PPW17" s="414"/>
      <c r="PPX17" s="414"/>
      <c r="PPY17" s="414"/>
      <c r="PPZ17" s="414"/>
      <c r="PQA17" s="414"/>
      <c r="PQB17" s="414"/>
      <c r="PQC17" s="414"/>
      <c r="PQD17" s="414"/>
      <c r="PQE17" s="414"/>
      <c r="PQF17" s="414"/>
      <c r="PQG17" s="414"/>
      <c r="PQH17" s="414"/>
      <c r="PQI17" s="414"/>
      <c r="PQJ17" s="414"/>
      <c r="PQK17" s="414"/>
      <c r="PQL17" s="414"/>
      <c r="PQM17" s="414"/>
      <c r="PQN17" s="414"/>
      <c r="PQO17" s="414"/>
      <c r="PQP17" s="414"/>
      <c r="PQQ17" s="414"/>
      <c r="PQR17" s="414"/>
      <c r="PQS17" s="414"/>
      <c r="PQT17" s="414"/>
      <c r="PQU17" s="414"/>
      <c r="PQV17" s="414"/>
      <c r="PQW17" s="414"/>
      <c r="PQX17" s="414"/>
      <c r="PQY17" s="414"/>
      <c r="PQZ17" s="414"/>
      <c r="PRA17" s="414"/>
      <c r="PRB17" s="414"/>
      <c r="PRC17" s="414"/>
      <c r="PRD17" s="414"/>
      <c r="PRE17" s="414"/>
      <c r="PRF17" s="414"/>
      <c r="PRG17" s="414"/>
      <c r="PRH17" s="414"/>
      <c r="PRI17" s="414"/>
      <c r="PRJ17" s="414"/>
      <c r="PRK17" s="414"/>
      <c r="PRL17" s="414"/>
      <c r="PRM17" s="414"/>
      <c r="PRN17" s="414"/>
      <c r="PRO17" s="414"/>
      <c r="PRP17" s="414"/>
      <c r="PRQ17" s="414"/>
      <c r="PRR17" s="414"/>
      <c r="PRS17" s="414"/>
      <c r="PRT17" s="414"/>
      <c r="PRU17" s="414"/>
      <c r="PRV17" s="414"/>
      <c r="PRW17" s="414"/>
      <c r="PRX17" s="414"/>
      <c r="PRY17" s="414"/>
      <c r="PRZ17" s="414"/>
      <c r="PSA17" s="414"/>
      <c r="PSB17" s="414"/>
      <c r="PSC17" s="414"/>
      <c r="PSD17" s="414"/>
      <c r="PSE17" s="414"/>
      <c r="PSF17" s="414"/>
      <c r="PSG17" s="414"/>
      <c r="PSH17" s="414"/>
      <c r="PSI17" s="414"/>
      <c r="PSJ17" s="414"/>
      <c r="PSK17" s="414"/>
      <c r="PSL17" s="414"/>
      <c r="PSM17" s="414"/>
      <c r="PSN17" s="414"/>
      <c r="PSO17" s="414"/>
      <c r="PSP17" s="414"/>
      <c r="PSQ17" s="414"/>
      <c r="PSR17" s="414"/>
      <c r="PSS17" s="414"/>
      <c r="PST17" s="414"/>
      <c r="PSU17" s="414"/>
      <c r="PSV17" s="414"/>
      <c r="PSW17" s="414"/>
      <c r="PSX17" s="414"/>
      <c r="PSY17" s="414"/>
      <c r="PSZ17" s="414"/>
      <c r="PTA17" s="414"/>
      <c r="PTB17" s="414"/>
      <c r="PTC17" s="414"/>
      <c r="PTD17" s="414"/>
      <c r="PTE17" s="414"/>
      <c r="PTF17" s="414"/>
      <c r="PTG17" s="414"/>
      <c r="PTH17" s="414"/>
      <c r="PTI17" s="414"/>
      <c r="PTJ17" s="414"/>
      <c r="PTK17" s="414"/>
      <c r="PTL17" s="414"/>
      <c r="PTM17" s="414"/>
      <c r="PTN17" s="414"/>
      <c r="PTO17" s="414"/>
      <c r="PTP17" s="414"/>
      <c r="PTQ17" s="414"/>
      <c r="PTR17" s="414"/>
      <c r="PTS17" s="414"/>
      <c r="PTT17" s="414"/>
      <c r="PTU17" s="414"/>
      <c r="PTV17" s="414"/>
      <c r="PTW17" s="414"/>
      <c r="PTX17" s="414"/>
      <c r="PTY17" s="414"/>
      <c r="PTZ17" s="414"/>
      <c r="PUA17" s="414"/>
      <c r="PUB17" s="414"/>
      <c r="PUC17" s="414"/>
      <c r="PUD17" s="414"/>
      <c r="PUE17" s="414"/>
      <c r="PUF17" s="414"/>
      <c r="PUG17" s="414"/>
      <c r="PUH17" s="414"/>
      <c r="PUI17" s="414"/>
      <c r="PUJ17" s="414"/>
      <c r="PUK17" s="414"/>
      <c r="PUL17" s="414"/>
      <c r="PUM17" s="414"/>
      <c r="PUN17" s="414"/>
      <c r="PUO17" s="414"/>
      <c r="PUP17" s="414"/>
      <c r="PUQ17" s="414"/>
      <c r="PUR17" s="414"/>
      <c r="PUS17" s="414"/>
      <c r="PUT17" s="414"/>
      <c r="PUU17" s="414"/>
      <c r="PUV17" s="414"/>
      <c r="PUW17" s="414"/>
      <c r="PUX17" s="414"/>
      <c r="PUY17" s="414"/>
      <c r="PUZ17" s="414"/>
      <c r="PVA17" s="414"/>
      <c r="PVB17" s="414"/>
      <c r="PVC17" s="414"/>
      <c r="PVD17" s="414"/>
      <c r="PVE17" s="414"/>
      <c r="PVF17" s="414"/>
      <c r="PVG17" s="414"/>
      <c r="PVH17" s="414"/>
      <c r="PVI17" s="414"/>
      <c r="PVJ17" s="414"/>
      <c r="PVK17" s="414"/>
      <c r="PVL17" s="414"/>
      <c r="PVM17" s="414"/>
      <c r="PVN17" s="414"/>
      <c r="PVO17" s="414"/>
      <c r="PVP17" s="414"/>
      <c r="PVQ17" s="414"/>
      <c r="PVR17" s="414"/>
      <c r="PVS17" s="414"/>
      <c r="PVT17" s="414"/>
      <c r="PVU17" s="414"/>
      <c r="PVV17" s="414"/>
      <c r="PVW17" s="414"/>
      <c r="PVX17" s="414"/>
      <c r="PVY17" s="414"/>
      <c r="PVZ17" s="414"/>
      <c r="PWA17" s="414"/>
      <c r="PWB17" s="414"/>
      <c r="PWC17" s="414"/>
      <c r="PWD17" s="414"/>
      <c r="PWE17" s="414"/>
      <c r="PWF17" s="414"/>
      <c r="PWG17" s="414"/>
      <c r="PWH17" s="414"/>
      <c r="PWI17" s="414"/>
      <c r="PWJ17" s="414"/>
      <c r="PWK17" s="414"/>
      <c r="PWL17" s="414"/>
      <c r="PWM17" s="414"/>
      <c r="PWN17" s="414"/>
      <c r="PWO17" s="414"/>
      <c r="PWP17" s="414"/>
      <c r="PWQ17" s="414"/>
      <c r="PWR17" s="414"/>
      <c r="PWS17" s="414"/>
      <c r="PWT17" s="414"/>
      <c r="PWU17" s="414"/>
      <c r="PWV17" s="414"/>
      <c r="PWW17" s="414"/>
      <c r="PWX17" s="414"/>
      <c r="PWY17" s="414"/>
      <c r="PWZ17" s="414"/>
      <c r="PXA17" s="414"/>
      <c r="PXB17" s="414"/>
      <c r="PXC17" s="414"/>
      <c r="PXD17" s="414"/>
      <c r="PXE17" s="414"/>
      <c r="PXF17" s="414"/>
      <c r="PXG17" s="414"/>
      <c r="PXH17" s="414"/>
      <c r="PXI17" s="414"/>
      <c r="PXJ17" s="414"/>
      <c r="PXK17" s="414"/>
      <c r="PXL17" s="414"/>
      <c r="PXM17" s="414"/>
      <c r="PXN17" s="414"/>
      <c r="PXO17" s="414"/>
      <c r="PXP17" s="414"/>
      <c r="PXQ17" s="414"/>
      <c r="PXR17" s="414"/>
      <c r="PXS17" s="414"/>
      <c r="PXT17" s="414"/>
      <c r="PXU17" s="414"/>
      <c r="PXV17" s="414"/>
      <c r="PXW17" s="414"/>
      <c r="PXX17" s="414"/>
      <c r="PXY17" s="414"/>
      <c r="PXZ17" s="414"/>
      <c r="PYA17" s="414"/>
      <c r="PYB17" s="414"/>
      <c r="PYC17" s="414"/>
      <c r="PYD17" s="414"/>
      <c r="PYE17" s="414"/>
      <c r="PYF17" s="414"/>
      <c r="PYG17" s="414"/>
      <c r="PYH17" s="414"/>
      <c r="PYI17" s="414"/>
      <c r="PYJ17" s="414"/>
      <c r="PYK17" s="414"/>
      <c r="PYL17" s="414"/>
      <c r="PYM17" s="414"/>
      <c r="PYN17" s="414"/>
      <c r="PYO17" s="414"/>
      <c r="PYP17" s="414"/>
      <c r="PYQ17" s="414"/>
      <c r="PYR17" s="414"/>
      <c r="PYS17" s="414"/>
      <c r="PYT17" s="414"/>
      <c r="PYU17" s="414"/>
      <c r="PYV17" s="414"/>
      <c r="PYW17" s="414"/>
      <c r="PYX17" s="414"/>
      <c r="PYY17" s="414"/>
      <c r="PYZ17" s="414"/>
      <c r="PZA17" s="414"/>
      <c r="PZB17" s="414"/>
      <c r="PZC17" s="414"/>
      <c r="PZD17" s="414"/>
      <c r="PZE17" s="414"/>
      <c r="PZF17" s="414"/>
      <c r="PZG17" s="414"/>
      <c r="PZH17" s="414"/>
      <c r="PZI17" s="414"/>
      <c r="PZJ17" s="414"/>
      <c r="PZK17" s="414"/>
      <c r="PZL17" s="414"/>
      <c r="PZM17" s="414"/>
      <c r="PZN17" s="414"/>
      <c r="PZO17" s="414"/>
      <c r="PZP17" s="414"/>
      <c r="PZQ17" s="414"/>
      <c r="PZR17" s="414"/>
      <c r="PZS17" s="414"/>
      <c r="PZT17" s="414"/>
      <c r="PZU17" s="414"/>
      <c r="PZV17" s="414"/>
      <c r="PZW17" s="414"/>
      <c r="PZX17" s="414"/>
      <c r="PZY17" s="414"/>
      <c r="PZZ17" s="414"/>
      <c r="QAA17" s="414"/>
      <c r="QAB17" s="414"/>
      <c r="QAC17" s="414"/>
      <c r="QAD17" s="414"/>
      <c r="QAE17" s="414"/>
      <c r="QAF17" s="414"/>
      <c r="QAG17" s="414"/>
      <c r="QAH17" s="414"/>
      <c r="QAI17" s="414"/>
      <c r="QAJ17" s="414"/>
      <c r="QAK17" s="414"/>
      <c r="QAL17" s="414"/>
      <c r="QAM17" s="414"/>
      <c r="QAN17" s="414"/>
      <c r="QAO17" s="414"/>
      <c r="QAP17" s="414"/>
      <c r="QAQ17" s="414"/>
      <c r="QAR17" s="414"/>
      <c r="QAS17" s="414"/>
      <c r="QAT17" s="414"/>
      <c r="QAU17" s="414"/>
      <c r="QAV17" s="414"/>
      <c r="QAW17" s="414"/>
      <c r="QAX17" s="414"/>
      <c r="QAY17" s="414"/>
      <c r="QAZ17" s="414"/>
      <c r="QBA17" s="414"/>
      <c r="QBB17" s="414"/>
      <c r="QBC17" s="414"/>
      <c r="QBD17" s="414"/>
      <c r="QBE17" s="414"/>
      <c r="QBF17" s="414"/>
      <c r="QBG17" s="414"/>
      <c r="QBH17" s="414"/>
      <c r="QBI17" s="414"/>
      <c r="QBJ17" s="414"/>
      <c r="QBK17" s="414"/>
      <c r="QBL17" s="414"/>
      <c r="QBM17" s="414"/>
      <c r="QBN17" s="414"/>
      <c r="QBO17" s="414"/>
      <c r="QBP17" s="414"/>
      <c r="QBQ17" s="414"/>
      <c r="QBR17" s="414"/>
      <c r="QBS17" s="414"/>
      <c r="QBT17" s="414"/>
      <c r="QBU17" s="414"/>
      <c r="QBV17" s="414"/>
      <c r="QBW17" s="414"/>
      <c r="QBX17" s="414"/>
      <c r="QBY17" s="414"/>
      <c r="QBZ17" s="414"/>
      <c r="QCA17" s="414"/>
      <c r="QCB17" s="414"/>
      <c r="QCC17" s="414"/>
      <c r="QCD17" s="414"/>
      <c r="QCE17" s="414"/>
      <c r="QCF17" s="414"/>
      <c r="QCG17" s="414"/>
      <c r="QCH17" s="414"/>
      <c r="QCI17" s="414"/>
      <c r="QCJ17" s="414"/>
      <c r="QCK17" s="414"/>
      <c r="QCL17" s="414"/>
      <c r="QCM17" s="414"/>
      <c r="QCN17" s="414"/>
      <c r="QCO17" s="414"/>
      <c r="QCP17" s="414"/>
      <c r="QCQ17" s="414"/>
      <c r="QCR17" s="414"/>
      <c r="QCS17" s="414"/>
      <c r="QCT17" s="414"/>
      <c r="QCU17" s="414"/>
      <c r="QCV17" s="414"/>
      <c r="QCW17" s="414"/>
      <c r="QCX17" s="414"/>
      <c r="QCY17" s="414"/>
      <c r="QCZ17" s="414"/>
      <c r="QDA17" s="414"/>
      <c r="QDB17" s="414"/>
      <c r="QDC17" s="414"/>
      <c r="QDD17" s="414"/>
      <c r="QDE17" s="414"/>
      <c r="QDF17" s="414"/>
      <c r="QDG17" s="414"/>
      <c r="QDH17" s="414"/>
      <c r="QDI17" s="414"/>
      <c r="QDJ17" s="414"/>
      <c r="QDK17" s="414"/>
      <c r="QDL17" s="414"/>
      <c r="QDM17" s="414"/>
      <c r="QDN17" s="414"/>
      <c r="QDO17" s="414"/>
      <c r="QDP17" s="414"/>
      <c r="QDQ17" s="414"/>
      <c r="QDR17" s="414"/>
      <c r="QDS17" s="414"/>
      <c r="QDT17" s="414"/>
      <c r="QDU17" s="414"/>
      <c r="QDV17" s="414"/>
      <c r="QDW17" s="414"/>
      <c r="QDX17" s="414"/>
      <c r="QDY17" s="414"/>
      <c r="QDZ17" s="414"/>
      <c r="QEA17" s="414"/>
      <c r="QEB17" s="414"/>
      <c r="QEC17" s="414"/>
      <c r="QED17" s="414"/>
      <c r="QEE17" s="414"/>
      <c r="QEF17" s="414"/>
      <c r="QEG17" s="414"/>
      <c r="QEH17" s="414"/>
      <c r="QEI17" s="414"/>
      <c r="QEJ17" s="414"/>
      <c r="QEK17" s="414"/>
      <c r="QEL17" s="414"/>
      <c r="QEM17" s="414"/>
      <c r="QEN17" s="414"/>
      <c r="QEO17" s="414"/>
      <c r="QEP17" s="414"/>
      <c r="QEQ17" s="414"/>
      <c r="QER17" s="414"/>
      <c r="QES17" s="414"/>
      <c r="QET17" s="414"/>
      <c r="QEU17" s="414"/>
      <c r="QEV17" s="414"/>
      <c r="QEW17" s="414"/>
      <c r="QEX17" s="414"/>
      <c r="QEY17" s="414"/>
      <c r="QEZ17" s="414"/>
      <c r="QFA17" s="414"/>
      <c r="QFB17" s="414"/>
      <c r="QFC17" s="414"/>
      <c r="QFD17" s="414"/>
      <c r="QFE17" s="414"/>
      <c r="QFF17" s="414"/>
      <c r="QFG17" s="414"/>
      <c r="QFH17" s="414"/>
      <c r="QFI17" s="414"/>
      <c r="QFJ17" s="414"/>
      <c r="QFK17" s="414"/>
      <c r="QFL17" s="414"/>
      <c r="QFM17" s="414"/>
      <c r="QFN17" s="414"/>
      <c r="QFO17" s="414"/>
      <c r="QFP17" s="414"/>
      <c r="QFQ17" s="414"/>
      <c r="QFR17" s="414"/>
      <c r="QFS17" s="414"/>
      <c r="QFT17" s="414"/>
      <c r="QFU17" s="414"/>
      <c r="QFV17" s="414"/>
      <c r="QFW17" s="414"/>
      <c r="QFX17" s="414"/>
      <c r="QFY17" s="414"/>
      <c r="QFZ17" s="414"/>
      <c r="QGA17" s="414"/>
      <c r="QGB17" s="414"/>
      <c r="QGC17" s="414"/>
      <c r="QGD17" s="414"/>
      <c r="QGE17" s="414"/>
      <c r="QGF17" s="414"/>
      <c r="QGG17" s="414"/>
      <c r="QGH17" s="414"/>
      <c r="QGI17" s="414"/>
      <c r="QGJ17" s="414"/>
      <c r="QGK17" s="414"/>
      <c r="QGL17" s="414"/>
      <c r="QGM17" s="414"/>
      <c r="QGN17" s="414"/>
      <c r="QGO17" s="414"/>
      <c r="QGP17" s="414"/>
      <c r="QGQ17" s="414"/>
      <c r="QGR17" s="414"/>
      <c r="QGS17" s="414"/>
      <c r="QGT17" s="414"/>
      <c r="QGU17" s="414"/>
      <c r="QGV17" s="414"/>
      <c r="QGW17" s="414"/>
      <c r="QGX17" s="414"/>
      <c r="QGY17" s="414"/>
      <c r="QGZ17" s="414"/>
      <c r="QHA17" s="414"/>
      <c r="QHB17" s="414"/>
      <c r="QHC17" s="414"/>
      <c r="QHD17" s="414"/>
      <c r="QHE17" s="414"/>
      <c r="QHF17" s="414"/>
      <c r="QHG17" s="414"/>
      <c r="QHH17" s="414"/>
      <c r="QHI17" s="414"/>
      <c r="QHJ17" s="414"/>
      <c r="QHK17" s="414"/>
      <c r="QHL17" s="414"/>
      <c r="QHM17" s="414"/>
      <c r="QHN17" s="414"/>
      <c r="QHO17" s="414"/>
      <c r="QHP17" s="414"/>
      <c r="QHQ17" s="414"/>
      <c r="QHR17" s="414"/>
      <c r="QHS17" s="414"/>
      <c r="QHT17" s="414"/>
      <c r="QHU17" s="414"/>
      <c r="QHV17" s="414"/>
      <c r="QHW17" s="414"/>
      <c r="QHX17" s="414"/>
      <c r="QHY17" s="414"/>
      <c r="QHZ17" s="414"/>
      <c r="QIA17" s="414"/>
      <c r="QIB17" s="414"/>
      <c r="QIC17" s="414"/>
      <c r="QID17" s="414"/>
      <c r="QIE17" s="414"/>
      <c r="QIF17" s="414"/>
      <c r="QIG17" s="414"/>
      <c r="QIH17" s="414"/>
      <c r="QII17" s="414"/>
      <c r="QIJ17" s="414"/>
      <c r="QIK17" s="414"/>
      <c r="QIL17" s="414"/>
      <c r="QIM17" s="414"/>
      <c r="QIN17" s="414"/>
      <c r="QIO17" s="414"/>
      <c r="QIP17" s="414"/>
      <c r="QIQ17" s="414"/>
      <c r="QIR17" s="414"/>
      <c r="QIS17" s="414"/>
      <c r="QIT17" s="414"/>
      <c r="QIU17" s="414"/>
      <c r="QIV17" s="414"/>
      <c r="QIW17" s="414"/>
      <c r="QIX17" s="414"/>
      <c r="QIY17" s="414"/>
      <c r="QIZ17" s="414"/>
      <c r="QJA17" s="414"/>
      <c r="QJB17" s="414"/>
      <c r="QJC17" s="414"/>
      <c r="QJD17" s="414"/>
      <c r="QJE17" s="414"/>
      <c r="QJF17" s="414"/>
      <c r="QJG17" s="414"/>
      <c r="QJH17" s="414"/>
      <c r="QJI17" s="414"/>
      <c r="QJJ17" s="414"/>
      <c r="QJK17" s="414"/>
      <c r="QJL17" s="414"/>
      <c r="QJM17" s="414"/>
      <c r="QJN17" s="414"/>
      <c r="QJO17" s="414"/>
      <c r="QJP17" s="414"/>
      <c r="QJQ17" s="414"/>
      <c r="QJR17" s="414"/>
      <c r="QJS17" s="414"/>
      <c r="QJT17" s="414"/>
      <c r="QJU17" s="414"/>
      <c r="QJV17" s="414"/>
      <c r="QJW17" s="414"/>
      <c r="QJX17" s="414"/>
      <c r="QJY17" s="414"/>
      <c r="QJZ17" s="414"/>
      <c r="QKA17" s="414"/>
      <c r="QKB17" s="414"/>
      <c r="QKC17" s="414"/>
      <c r="QKD17" s="414"/>
      <c r="QKE17" s="414"/>
      <c r="QKF17" s="414"/>
      <c r="QKG17" s="414"/>
      <c r="QKH17" s="414"/>
      <c r="QKI17" s="414"/>
      <c r="QKJ17" s="414"/>
      <c r="QKK17" s="414"/>
      <c r="QKL17" s="414"/>
      <c r="QKM17" s="414"/>
      <c r="QKN17" s="414"/>
      <c r="QKO17" s="414"/>
      <c r="QKP17" s="414"/>
      <c r="QKQ17" s="414"/>
      <c r="QKR17" s="414"/>
      <c r="QKS17" s="414"/>
      <c r="QKT17" s="414"/>
      <c r="QKU17" s="414"/>
      <c r="QKV17" s="414"/>
      <c r="QKW17" s="414"/>
      <c r="QKX17" s="414"/>
      <c r="QKY17" s="414"/>
      <c r="QKZ17" s="414"/>
      <c r="QLA17" s="414"/>
      <c r="QLB17" s="414"/>
      <c r="QLC17" s="414"/>
      <c r="QLD17" s="414"/>
      <c r="QLE17" s="414"/>
      <c r="QLF17" s="414"/>
      <c r="QLG17" s="414"/>
      <c r="QLH17" s="414"/>
      <c r="QLI17" s="414"/>
      <c r="QLJ17" s="414"/>
      <c r="QLK17" s="414"/>
      <c r="QLL17" s="414"/>
      <c r="QLM17" s="414"/>
      <c r="QLN17" s="414"/>
      <c r="QLO17" s="414"/>
      <c r="QLP17" s="414"/>
      <c r="QLQ17" s="414"/>
      <c r="QLR17" s="414"/>
      <c r="QLS17" s="414"/>
      <c r="QLT17" s="414"/>
      <c r="QLU17" s="414"/>
      <c r="QLV17" s="414"/>
      <c r="QLW17" s="414"/>
      <c r="QLX17" s="414"/>
      <c r="QLY17" s="414"/>
      <c r="QLZ17" s="414"/>
      <c r="QMA17" s="414"/>
      <c r="QMB17" s="414"/>
      <c r="QMC17" s="414"/>
      <c r="QMD17" s="414"/>
      <c r="QME17" s="414"/>
      <c r="QMF17" s="414"/>
      <c r="QMG17" s="414"/>
      <c r="QMH17" s="414"/>
      <c r="QMI17" s="414"/>
      <c r="QMJ17" s="414"/>
      <c r="QMK17" s="414"/>
      <c r="QML17" s="414"/>
      <c r="QMM17" s="414"/>
      <c r="QMN17" s="414"/>
      <c r="QMO17" s="414"/>
      <c r="QMP17" s="414"/>
      <c r="QMQ17" s="414"/>
      <c r="QMR17" s="414"/>
      <c r="QMS17" s="414"/>
      <c r="QMT17" s="414"/>
      <c r="QMU17" s="414"/>
      <c r="QMV17" s="414"/>
      <c r="QMW17" s="414"/>
      <c r="QMX17" s="414"/>
      <c r="QMY17" s="414"/>
      <c r="QMZ17" s="414"/>
      <c r="QNA17" s="414"/>
      <c r="QNB17" s="414"/>
      <c r="QNC17" s="414"/>
      <c r="QND17" s="414"/>
      <c r="QNE17" s="414"/>
      <c r="QNF17" s="414"/>
      <c r="QNG17" s="414"/>
      <c r="QNH17" s="414"/>
      <c r="QNI17" s="414"/>
      <c r="QNJ17" s="414"/>
      <c r="QNK17" s="414"/>
      <c r="QNL17" s="414"/>
      <c r="QNM17" s="414"/>
      <c r="QNN17" s="414"/>
      <c r="QNO17" s="414"/>
      <c r="QNP17" s="414"/>
      <c r="QNQ17" s="414"/>
      <c r="QNR17" s="414"/>
      <c r="QNS17" s="414"/>
      <c r="QNT17" s="414"/>
      <c r="QNU17" s="414"/>
      <c r="QNV17" s="414"/>
      <c r="QNW17" s="414"/>
      <c r="QNX17" s="414"/>
      <c r="QNY17" s="414"/>
      <c r="QNZ17" s="414"/>
      <c r="QOA17" s="414"/>
      <c r="QOB17" s="414"/>
      <c r="QOC17" s="414"/>
      <c r="QOD17" s="414"/>
      <c r="QOE17" s="414"/>
      <c r="QOF17" s="414"/>
      <c r="QOG17" s="414"/>
      <c r="QOH17" s="414"/>
      <c r="QOI17" s="414"/>
      <c r="QOJ17" s="414"/>
      <c r="QOK17" s="414"/>
      <c r="QOL17" s="414"/>
      <c r="QOM17" s="414"/>
      <c r="QON17" s="414"/>
      <c r="QOO17" s="414"/>
      <c r="QOP17" s="414"/>
      <c r="QOQ17" s="414"/>
      <c r="QOR17" s="414"/>
      <c r="QOS17" s="414"/>
      <c r="QOT17" s="414"/>
      <c r="QOU17" s="414"/>
      <c r="QOV17" s="414"/>
      <c r="QOW17" s="414"/>
      <c r="QOX17" s="414"/>
      <c r="QOY17" s="414"/>
      <c r="QOZ17" s="414"/>
      <c r="QPA17" s="414"/>
      <c r="QPB17" s="414"/>
      <c r="QPC17" s="414"/>
      <c r="QPD17" s="414"/>
      <c r="QPE17" s="414"/>
      <c r="QPF17" s="414"/>
      <c r="QPG17" s="414"/>
      <c r="QPH17" s="414"/>
      <c r="QPI17" s="414"/>
      <c r="QPJ17" s="414"/>
      <c r="QPK17" s="414"/>
      <c r="QPL17" s="414"/>
      <c r="QPM17" s="414"/>
      <c r="QPN17" s="414"/>
      <c r="QPO17" s="414"/>
      <c r="QPP17" s="414"/>
      <c r="QPQ17" s="414"/>
      <c r="QPR17" s="414"/>
      <c r="QPS17" s="414"/>
      <c r="QPT17" s="414"/>
      <c r="QPU17" s="414"/>
      <c r="QPV17" s="414"/>
      <c r="QPW17" s="414"/>
      <c r="QPX17" s="414"/>
      <c r="QPY17" s="414"/>
      <c r="QPZ17" s="414"/>
      <c r="QQA17" s="414"/>
      <c r="QQB17" s="414"/>
      <c r="QQC17" s="414"/>
      <c r="QQD17" s="414"/>
      <c r="QQE17" s="414"/>
      <c r="QQF17" s="414"/>
      <c r="QQG17" s="414"/>
      <c r="QQH17" s="414"/>
      <c r="QQI17" s="414"/>
      <c r="QQJ17" s="414"/>
      <c r="QQK17" s="414"/>
      <c r="QQL17" s="414"/>
      <c r="QQM17" s="414"/>
      <c r="QQN17" s="414"/>
      <c r="QQO17" s="414"/>
      <c r="QQP17" s="414"/>
      <c r="QQQ17" s="414"/>
      <c r="QQR17" s="414"/>
      <c r="QQS17" s="414"/>
      <c r="QQT17" s="414"/>
      <c r="QQU17" s="414"/>
      <c r="QQV17" s="414"/>
      <c r="QQW17" s="414"/>
      <c r="QQX17" s="414"/>
      <c r="QQY17" s="414"/>
      <c r="QQZ17" s="414"/>
      <c r="QRA17" s="414"/>
      <c r="QRB17" s="414"/>
      <c r="QRC17" s="414"/>
      <c r="QRD17" s="414"/>
      <c r="QRE17" s="414"/>
      <c r="QRF17" s="414"/>
      <c r="QRG17" s="414"/>
      <c r="QRH17" s="414"/>
      <c r="QRI17" s="414"/>
      <c r="QRJ17" s="414"/>
      <c r="QRK17" s="414"/>
      <c r="QRL17" s="414"/>
      <c r="QRM17" s="414"/>
      <c r="QRN17" s="414"/>
      <c r="QRO17" s="414"/>
      <c r="QRP17" s="414"/>
      <c r="QRQ17" s="414"/>
      <c r="QRR17" s="414"/>
      <c r="QRS17" s="414"/>
      <c r="QRT17" s="414"/>
      <c r="QRU17" s="414"/>
      <c r="QRV17" s="414"/>
      <c r="QRW17" s="414"/>
      <c r="QRX17" s="414"/>
      <c r="QRY17" s="414"/>
      <c r="QRZ17" s="414"/>
      <c r="QSA17" s="414"/>
      <c r="QSB17" s="414"/>
      <c r="QSC17" s="414"/>
      <c r="QSD17" s="414"/>
      <c r="QSE17" s="414"/>
      <c r="QSF17" s="414"/>
      <c r="QSG17" s="414"/>
      <c r="QSH17" s="414"/>
      <c r="QSI17" s="414"/>
      <c r="QSJ17" s="414"/>
      <c r="QSK17" s="414"/>
      <c r="QSL17" s="414"/>
      <c r="QSM17" s="414"/>
      <c r="QSN17" s="414"/>
      <c r="QSO17" s="414"/>
      <c r="QSP17" s="414"/>
      <c r="QSQ17" s="414"/>
      <c r="QSR17" s="414"/>
      <c r="QSS17" s="414"/>
      <c r="QST17" s="414"/>
      <c r="QSU17" s="414"/>
      <c r="QSV17" s="414"/>
      <c r="QSW17" s="414"/>
      <c r="QSX17" s="414"/>
      <c r="QSY17" s="414"/>
      <c r="QSZ17" s="414"/>
      <c r="QTA17" s="414"/>
      <c r="QTB17" s="414"/>
      <c r="QTC17" s="414"/>
      <c r="QTD17" s="414"/>
      <c r="QTE17" s="414"/>
      <c r="QTF17" s="414"/>
      <c r="QTG17" s="414"/>
      <c r="QTH17" s="414"/>
      <c r="QTI17" s="414"/>
      <c r="QTJ17" s="414"/>
      <c r="QTK17" s="414"/>
      <c r="QTL17" s="414"/>
      <c r="QTM17" s="414"/>
      <c r="QTN17" s="414"/>
      <c r="QTO17" s="414"/>
      <c r="QTP17" s="414"/>
      <c r="QTQ17" s="414"/>
      <c r="QTR17" s="414"/>
      <c r="QTS17" s="414"/>
      <c r="QTT17" s="414"/>
      <c r="QTU17" s="414"/>
      <c r="QTV17" s="414"/>
      <c r="QTW17" s="414"/>
      <c r="QTX17" s="414"/>
      <c r="QTY17" s="414"/>
      <c r="QTZ17" s="414"/>
      <c r="QUA17" s="414"/>
      <c r="QUB17" s="414"/>
      <c r="QUC17" s="414"/>
      <c r="QUD17" s="414"/>
      <c r="QUE17" s="414"/>
      <c r="QUF17" s="414"/>
      <c r="QUG17" s="414"/>
      <c r="QUH17" s="414"/>
      <c r="QUI17" s="414"/>
      <c r="QUJ17" s="414"/>
      <c r="QUK17" s="414"/>
      <c r="QUL17" s="414"/>
      <c r="QUM17" s="414"/>
      <c r="QUN17" s="414"/>
      <c r="QUO17" s="414"/>
      <c r="QUP17" s="414"/>
      <c r="QUQ17" s="414"/>
      <c r="QUR17" s="414"/>
      <c r="QUS17" s="414"/>
      <c r="QUT17" s="414"/>
      <c r="QUU17" s="414"/>
      <c r="QUV17" s="414"/>
      <c r="QUW17" s="414"/>
      <c r="QUX17" s="414"/>
      <c r="QUY17" s="414"/>
      <c r="QUZ17" s="414"/>
      <c r="QVA17" s="414"/>
      <c r="QVB17" s="414"/>
      <c r="QVC17" s="414"/>
      <c r="QVD17" s="414"/>
      <c r="QVE17" s="414"/>
      <c r="QVF17" s="414"/>
      <c r="QVG17" s="414"/>
      <c r="QVH17" s="414"/>
      <c r="QVI17" s="414"/>
      <c r="QVJ17" s="414"/>
      <c r="QVK17" s="414"/>
      <c r="QVL17" s="414"/>
      <c r="QVM17" s="414"/>
      <c r="QVN17" s="414"/>
      <c r="QVO17" s="414"/>
      <c r="QVP17" s="414"/>
      <c r="QVQ17" s="414"/>
      <c r="QVR17" s="414"/>
      <c r="QVS17" s="414"/>
      <c r="QVT17" s="414"/>
      <c r="QVU17" s="414"/>
      <c r="QVV17" s="414"/>
      <c r="QVW17" s="414"/>
      <c r="QVX17" s="414"/>
      <c r="QVY17" s="414"/>
      <c r="QVZ17" s="414"/>
      <c r="QWA17" s="414"/>
      <c r="QWB17" s="414"/>
      <c r="QWC17" s="414"/>
      <c r="QWD17" s="414"/>
      <c r="QWE17" s="414"/>
      <c r="QWF17" s="414"/>
      <c r="QWG17" s="414"/>
      <c r="QWH17" s="414"/>
      <c r="QWI17" s="414"/>
      <c r="QWJ17" s="414"/>
      <c r="QWK17" s="414"/>
      <c r="QWL17" s="414"/>
      <c r="QWM17" s="414"/>
      <c r="QWN17" s="414"/>
      <c r="QWO17" s="414"/>
      <c r="QWP17" s="414"/>
      <c r="QWQ17" s="414"/>
      <c r="QWR17" s="414"/>
      <c r="QWS17" s="414"/>
      <c r="QWT17" s="414"/>
      <c r="QWU17" s="414"/>
      <c r="QWV17" s="414"/>
      <c r="QWW17" s="414"/>
      <c r="QWX17" s="414"/>
      <c r="QWY17" s="414"/>
      <c r="QWZ17" s="414"/>
      <c r="QXA17" s="414"/>
      <c r="QXB17" s="414"/>
      <c r="QXC17" s="414"/>
      <c r="QXD17" s="414"/>
      <c r="QXE17" s="414"/>
      <c r="QXF17" s="414"/>
      <c r="QXG17" s="414"/>
      <c r="QXH17" s="414"/>
      <c r="QXI17" s="414"/>
      <c r="QXJ17" s="414"/>
      <c r="QXK17" s="414"/>
      <c r="QXL17" s="414"/>
      <c r="QXM17" s="414"/>
      <c r="QXN17" s="414"/>
      <c r="QXO17" s="414"/>
      <c r="QXP17" s="414"/>
      <c r="QXQ17" s="414"/>
      <c r="QXR17" s="414"/>
      <c r="QXS17" s="414"/>
      <c r="QXT17" s="414"/>
      <c r="QXU17" s="414"/>
      <c r="QXV17" s="414"/>
      <c r="QXW17" s="414"/>
      <c r="QXX17" s="414"/>
      <c r="QXY17" s="414"/>
      <c r="QXZ17" s="414"/>
      <c r="QYA17" s="414"/>
      <c r="QYB17" s="414"/>
      <c r="QYC17" s="414"/>
      <c r="QYD17" s="414"/>
      <c r="QYE17" s="414"/>
      <c r="QYF17" s="414"/>
      <c r="QYG17" s="414"/>
      <c r="QYH17" s="414"/>
      <c r="QYI17" s="414"/>
      <c r="QYJ17" s="414"/>
      <c r="QYK17" s="414"/>
      <c r="QYL17" s="414"/>
      <c r="QYM17" s="414"/>
      <c r="QYN17" s="414"/>
      <c r="QYO17" s="414"/>
      <c r="QYP17" s="414"/>
      <c r="QYQ17" s="414"/>
      <c r="QYR17" s="414"/>
      <c r="QYS17" s="414"/>
      <c r="QYT17" s="414"/>
      <c r="QYU17" s="414"/>
      <c r="QYV17" s="414"/>
      <c r="QYW17" s="414"/>
      <c r="QYX17" s="414"/>
      <c r="QYY17" s="414"/>
      <c r="QYZ17" s="414"/>
      <c r="QZA17" s="414"/>
      <c r="QZB17" s="414"/>
      <c r="QZC17" s="414"/>
      <c r="QZD17" s="414"/>
      <c r="QZE17" s="414"/>
      <c r="QZF17" s="414"/>
      <c r="QZG17" s="414"/>
      <c r="QZH17" s="414"/>
      <c r="QZI17" s="414"/>
      <c r="QZJ17" s="414"/>
      <c r="QZK17" s="414"/>
      <c r="QZL17" s="414"/>
      <c r="QZM17" s="414"/>
      <c r="QZN17" s="414"/>
      <c r="QZO17" s="414"/>
      <c r="QZP17" s="414"/>
      <c r="QZQ17" s="414"/>
      <c r="QZR17" s="414"/>
      <c r="QZS17" s="414"/>
      <c r="QZT17" s="414"/>
      <c r="QZU17" s="414"/>
      <c r="QZV17" s="414"/>
      <c r="QZW17" s="414"/>
      <c r="QZX17" s="414"/>
      <c r="QZY17" s="414"/>
      <c r="QZZ17" s="414"/>
      <c r="RAA17" s="414"/>
      <c r="RAB17" s="414"/>
      <c r="RAC17" s="414"/>
      <c r="RAD17" s="414"/>
      <c r="RAE17" s="414"/>
      <c r="RAF17" s="414"/>
      <c r="RAG17" s="414"/>
      <c r="RAH17" s="414"/>
      <c r="RAI17" s="414"/>
      <c r="RAJ17" s="414"/>
      <c r="RAK17" s="414"/>
      <c r="RAL17" s="414"/>
      <c r="RAM17" s="414"/>
      <c r="RAN17" s="414"/>
      <c r="RAO17" s="414"/>
      <c r="RAP17" s="414"/>
      <c r="RAQ17" s="414"/>
      <c r="RAR17" s="414"/>
      <c r="RAS17" s="414"/>
      <c r="RAT17" s="414"/>
      <c r="RAU17" s="414"/>
      <c r="RAV17" s="414"/>
      <c r="RAW17" s="414"/>
      <c r="RAX17" s="414"/>
      <c r="RAY17" s="414"/>
      <c r="RAZ17" s="414"/>
      <c r="RBA17" s="414"/>
      <c r="RBB17" s="414"/>
      <c r="RBC17" s="414"/>
      <c r="RBD17" s="414"/>
      <c r="RBE17" s="414"/>
      <c r="RBF17" s="414"/>
      <c r="RBG17" s="414"/>
      <c r="RBH17" s="414"/>
      <c r="RBI17" s="414"/>
      <c r="RBJ17" s="414"/>
      <c r="RBK17" s="414"/>
      <c r="RBL17" s="414"/>
      <c r="RBM17" s="414"/>
      <c r="RBN17" s="414"/>
      <c r="RBO17" s="414"/>
      <c r="RBP17" s="414"/>
      <c r="RBQ17" s="414"/>
      <c r="RBR17" s="414"/>
      <c r="RBS17" s="414"/>
      <c r="RBT17" s="414"/>
      <c r="RBU17" s="414"/>
      <c r="RBV17" s="414"/>
      <c r="RBW17" s="414"/>
      <c r="RBX17" s="414"/>
      <c r="RBY17" s="414"/>
      <c r="RBZ17" s="414"/>
      <c r="RCA17" s="414"/>
      <c r="RCB17" s="414"/>
      <c r="RCC17" s="414"/>
      <c r="RCD17" s="414"/>
      <c r="RCE17" s="414"/>
      <c r="RCF17" s="414"/>
      <c r="RCG17" s="414"/>
      <c r="RCH17" s="414"/>
      <c r="RCI17" s="414"/>
      <c r="RCJ17" s="414"/>
      <c r="RCK17" s="414"/>
      <c r="RCL17" s="414"/>
      <c r="RCM17" s="414"/>
      <c r="RCN17" s="414"/>
      <c r="RCO17" s="414"/>
      <c r="RCP17" s="414"/>
      <c r="RCQ17" s="414"/>
      <c r="RCR17" s="414"/>
      <c r="RCS17" s="414"/>
      <c r="RCT17" s="414"/>
      <c r="RCU17" s="414"/>
      <c r="RCV17" s="414"/>
      <c r="RCW17" s="414"/>
      <c r="RCX17" s="414"/>
      <c r="RCY17" s="414"/>
      <c r="RCZ17" s="414"/>
      <c r="RDA17" s="414"/>
      <c r="RDB17" s="414"/>
      <c r="RDC17" s="414"/>
      <c r="RDD17" s="414"/>
      <c r="RDE17" s="414"/>
      <c r="RDF17" s="414"/>
      <c r="RDG17" s="414"/>
      <c r="RDH17" s="414"/>
      <c r="RDI17" s="414"/>
      <c r="RDJ17" s="414"/>
      <c r="RDK17" s="414"/>
      <c r="RDL17" s="414"/>
      <c r="RDM17" s="414"/>
      <c r="RDN17" s="414"/>
      <c r="RDO17" s="414"/>
      <c r="RDP17" s="414"/>
      <c r="RDQ17" s="414"/>
      <c r="RDR17" s="414"/>
      <c r="RDS17" s="414"/>
      <c r="RDT17" s="414"/>
      <c r="RDU17" s="414"/>
      <c r="RDV17" s="414"/>
      <c r="RDW17" s="414"/>
      <c r="RDX17" s="414"/>
      <c r="RDY17" s="414"/>
      <c r="RDZ17" s="414"/>
      <c r="REA17" s="414"/>
      <c r="REB17" s="414"/>
      <c r="REC17" s="414"/>
      <c r="RED17" s="414"/>
      <c r="REE17" s="414"/>
      <c r="REF17" s="414"/>
      <c r="REG17" s="414"/>
      <c r="REH17" s="414"/>
      <c r="REI17" s="414"/>
      <c r="REJ17" s="414"/>
      <c r="REK17" s="414"/>
      <c r="REL17" s="414"/>
      <c r="REM17" s="414"/>
      <c r="REN17" s="414"/>
      <c r="REO17" s="414"/>
      <c r="REP17" s="414"/>
      <c r="REQ17" s="414"/>
      <c r="RER17" s="414"/>
      <c r="RES17" s="414"/>
      <c r="RET17" s="414"/>
      <c r="REU17" s="414"/>
      <c r="REV17" s="414"/>
      <c r="REW17" s="414"/>
      <c r="REX17" s="414"/>
      <c r="REY17" s="414"/>
      <c r="REZ17" s="414"/>
      <c r="RFA17" s="414"/>
      <c r="RFB17" s="414"/>
      <c r="RFC17" s="414"/>
      <c r="RFD17" s="414"/>
      <c r="RFE17" s="414"/>
      <c r="RFF17" s="414"/>
      <c r="RFG17" s="414"/>
      <c r="RFH17" s="414"/>
      <c r="RFI17" s="414"/>
      <c r="RFJ17" s="414"/>
      <c r="RFK17" s="414"/>
      <c r="RFL17" s="414"/>
      <c r="RFM17" s="414"/>
      <c r="RFN17" s="414"/>
      <c r="RFO17" s="414"/>
      <c r="RFP17" s="414"/>
      <c r="RFQ17" s="414"/>
      <c r="RFR17" s="414"/>
      <c r="RFS17" s="414"/>
      <c r="RFT17" s="414"/>
      <c r="RFU17" s="414"/>
      <c r="RFV17" s="414"/>
      <c r="RFW17" s="414"/>
      <c r="RFX17" s="414"/>
      <c r="RFY17" s="414"/>
      <c r="RFZ17" s="414"/>
      <c r="RGA17" s="414"/>
      <c r="RGB17" s="414"/>
      <c r="RGC17" s="414"/>
      <c r="RGD17" s="414"/>
      <c r="RGE17" s="414"/>
      <c r="RGF17" s="414"/>
      <c r="RGG17" s="414"/>
      <c r="RGH17" s="414"/>
      <c r="RGI17" s="414"/>
      <c r="RGJ17" s="414"/>
      <c r="RGK17" s="414"/>
      <c r="RGL17" s="414"/>
      <c r="RGM17" s="414"/>
      <c r="RGN17" s="414"/>
      <c r="RGO17" s="414"/>
      <c r="RGP17" s="414"/>
      <c r="RGQ17" s="414"/>
      <c r="RGR17" s="414"/>
      <c r="RGS17" s="414"/>
      <c r="RGT17" s="414"/>
      <c r="RGU17" s="414"/>
      <c r="RGV17" s="414"/>
      <c r="RGW17" s="414"/>
      <c r="RGX17" s="414"/>
      <c r="RGY17" s="414"/>
      <c r="RGZ17" s="414"/>
      <c r="RHA17" s="414"/>
      <c r="RHB17" s="414"/>
      <c r="RHC17" s="414"/>
      <c r="RHD17" s="414"/>
      <c r="RHE17" s="414"/>
      <c r="RHF17" s="414"/>
      <c r="RHG17" s="414"/>
      <c r="RHH17" s="414"/>
      <c r="RHI17" s="414"/>
      <c r="RHJ17" s="414"/>
      <c r="RHK17" s="414"/>
      <c r="RHL17" s="414"/>
      <c r="RHM17" s="414"/>
      <c r="RHN17" s="414"/>
      <c r="RHO17" s="414"/>
      <c r="RHP17" s="414"/>
      <c r="RHQ17" s="414"/>
      <c r="RHR17" s="414"/>
      <c r="RHS17" s="414"/>
      <c r="RHT17" s="414"/>
      <c r="RHU17" s="414"/>
      <c r="RHV17" s="414"/>
      <c r="RHW17" s="414"/>
      <c r="RHX17" s="414"/>
      <c r="RHY17" s="414"/>
      <c r="RHZ17" s="414"/>
      <c r="RIA17" s="414"/>
      <c r="RIB17" s="414"/>
      <c r="RIC17" s="414"/>
      <c r="RID17" s="414"/>
      <c r="RIE17" s="414"/>
      <c r="RIF17" s="414"/>
      <c r="RIG17" s="414"/>
      <c r="RIH17" s="414"/>
      <c r="RII17" s="414"/>
      <c r="RIJ17" s="414"/>
      <c r="RIK17" s="414"/>
      <c r="RIL17" s="414"/>
      <c r="RIM17" s="414"/>
      <c r="RIN17" s="414"/>
      <c r="RIO17" s="414"/>
      <c r="RIP17" s="414"/>
      <c r="RIQ17" s="414"/>
      <c r="RIR17" s="414"/>
      <c r="RIS17" s="414"/>
      <c r="RIT17" s="414"/>
      <c r="RIU17" s="414"/>
      <c r="RIV17" s="414"/>
      <c r="RIW17" s="414"/>
      <c r="RIX17" s="414"/>
      <c r="RIY17" s="414"/>
      <c r="RIZ17" s="414"/>
      <c r="RJA17" s="414"/>
      <c r="RJB17" s="414"/>
      <c r="RJC17" s="414"/>
      <c r="RJD17" s="414"/>
      <c r="RJE17" s="414"/>
      <c r="RJF17" s="414"/>
      <c r="RJG17" s="414"/>
      <c r="RJH17" s="414"/>
      <c r="RJI17" s="414"/>
      <c r="RJJ17" s="414"/>
      <c r="RJK17" s="414"/>
      <c r="RJL17" s="414"/>
      <c r="RJM17" s="414"/>
      <c r="RJN17" s="414"/>
      <c r="RJO17" s="414"/>
      <c r="RJP17" s="414"/>
      <c r="RJQ17" s="414"/>
      <c r="RJR17" s="414"/>
      <c r="RJS17" s="414"/>
      <c r="RJT17" s="414"/>
      <c r="RJU17" s="414"/>
      <c r="RJV17" s="414"/>
      <c r="RJW17" s="414"/>
      <c r="RJX17" s="414"/>
      <c r="RJY17" s="414"/>
      <c r="RJZ17" s="414"/>
      <c r="RKA17" s="414"/>
      <c r="RKB17" s="414"/>
      <c r="RKC17" s="414"/>
      <c r="RKD17" s="414"/>
      <c r="RKE17" s="414"/>
      <c r="RKF17" s="414"/>
      <c r="RKG17" s="414"/>
      <c r="RKH17" s="414"/>
      <c r="RKI17" s="414"/>
      <c r="RKJ17" s="414"/>
      <c r="RKK17" s="414"/>
      <c r="RKL17" s="414"/>
      <c r="RKM17" s="414"/>
      <c r="RKN17" s="414"/>
      <c r="RKO17" s="414"/>
      <c r="RKP17" s="414"/>
      <c r="RKQ17" s="414"/>
      <c r="RKR17" s="414"/>
      <c r="RKS17" s="414"/>
      <c r="RKT17" s="414"/>
      <c r="RKU17" s="414"/>
      <c r="RKV17" s="414"/>
      <c r="RKW17" s="414"/>
      <c r="RKX17" s="414"/>
      <c r="RKY17" s="414"/>
      <c r="RKZ17" s="414"/>
      <c r="RLA17" s="414"/>
      <c r="RLB17" s="414"/>
      <c r="RLC17" s="414"/>
      <c r="RLD17" s="414"/>
      <c r="RLE17" s="414"/>
      <c r="RLF17" s="414"/>
      <c r="RLG17" s="414"/>
      <c r="RLH17" s="414"/>
      <c r="RLI17" s="414"/>
      <c r="RLJ17" s="414"/>
      <c r="RLK17" s="414"/>
      <c r="RLL17" s="414"/>
      <c r="RLM17" s="414"/>
      <c r="RLN17" s="414"/>
      <c r="RLO17" s="414"/>
      <c r="RLP17" s="414"/>
      <c r="RLQ17" s="414"/>
      <c r="RLR17" s="414"/>
      <c r="RLS17" s="414"/>
      <c r="RLT17" s="414"/>
      <c r="RLU17" s="414"/>
      <c r="RLV17" s="414"/>
      <c r="RLW17" s="414"/>
      <c r="RLX17" s="414"/>
      <c r="RLY17" s="414"/>
      <c r="RLZ17" s="414"/>
      <c r="RMA17" s="414"/>
      <c r="RMB17" s="414"/>
      <c r="RMC17" s="414"/>
      <c r="RMD17" s="414"/>
      <c r="RME17" s="414"/>
      <c r="RMF17" s="414"/>
      <c r="RMG17" s="414"/>
      <c r="RMH17" s="414"/>
      <c r="RMI17" s="414"/>
      <c r="RMJ17" s="414"/>
      <c r="RMK17" s="414"/>
      <c r="RML17" s="414"/>
      <c r="RMM17" s="414"/>
      <c r="RMN17" s="414"/>
      <c r="RMO17" s="414"/>
      <c r="RMP17" s="414"/>
      <c r="RMQ17" s="414"/>
      <c r="RMR17" s="414"/>
      <c r="RMS17" s="414"/>
      <c r="RMT17" s="414"/>
      <c r="RMU17" s="414"/>
      <c r="RMV17" s="414"/>
      <c r="RMW17" s="414"/>
      <c r="RMX17" s="414"/>
      <c r="RMY17" s="414"/>
      <c r="RMZ17" s="414"/>
      <c r="RNA17" s="414"/>
      <c r="RNB17" s="414"/>
      <c r="RNC17" s="414"/>
      <c r="RND17" s="414"/>
      <c r="RNE17" s="414"/>
      <c r="RNF17" s="414"/>
      <c r="RNG17" s="414"/>
      <c r="RNH17" s="414"/>
      <c r="RNI17" s="414"/>
      <c r="RNJ17" s="414"/>
      <c r="RNK17" s="414"/>
      <c r="RNL17" s="414"/>
      <c r="RNM17" s="414"/>
      <c r="RNN17" s="414"/>
      <c r="RNO17" s="414"/>
      <c r="RNP17" s="414"/>
      <c r="RNQ17" s="414"/>
      <c r="RNR17" s="414"/>
      <c r="RNS17" s="414"/>
      <c r="RNT17" s="414"/>
      <c r="RNU17" s="414"/>
      <c r="RNV17" s="414"/>
      <c r="RNW17" s="414"/>
      <c r="RNX17" s="414"/>
      <c r="RNY17" s="414"/>
      <c r="RNZ17" s="414"/>
      <c r="ROA17" s="414"/>
      <c r="ROB17" s="414"/>
      <c r="ROC17" s="414"/>
      <c r="ROD17" s="414"/>
      <c r="ROE17" s="414"/>
      <c r="ROF17" s="414"/>
      <c r="ROG17" s="414"/>
      <c r="ROH17" s="414"/>
      <c r="ROI17" s="414"/>
      <c r="ROJ17" s="414"/>
      <c r="ROK17" s="414"/>
      <c r="ROL17" s="414"/>
      <c r="ROM17" s="414"/>
      <c r="RON17" s="414"/>
      <c r="ROO17" s="414"/>
      <c r="ROP17" s="414"/>
      <c r="ROQ17" s="414"/>
      <c r="ROR17" s="414"/>
      <c r="ROS17" s="414"/>
      <c r="ROT17" s="414"/>
      <c r="ROU17" s="414"/>
      <c r="ROV17" s="414"/>
      <c r="ROW17" s="414"/>
      <c r="ROX17" s="414"/>
      <c r="ROY17" s="414"/>
      <c r="ROZ17" s="414"/>
      <c r="RPA17" s="414"/>
      <c r="RPB17" s="414"/>
      <c r="RPC17" s="414"/>
      <c r="RPD17" s="414"/>
      <c r="RPE17" s="414"/>
      <c r="RPF17" s="414"/>
      <c r="RPG17" s="414"/>
      <c r="RPH17" s="414"/>
      <c r="RPI17" s="414"/>
      <c r="RPJ17" s="414"/>
      <c r="RPK17" s="414"/>
      <c r="RPL17" s="414"/>
      <c r="RPM17" s="414"/>
      <c r="RPN17" s="414"/>
      <c r="RPO17" s="414"/>
      <c r="RPP17" s="414"/>
      <c r="RPQ17" s="414"/>
      <c r="RPR17" s="414"/>
      <c r="RPS17" s="414"/>
      <c r="RPT17" s="414"/>
      <c r="RPU17" s="414"/>
      <c r="RPV17" s="414"/>
      <c r="RPW17" s="414"/>
      <c r="RPX17" s="414"/>
      <c r="RPY17" s="414"/>
      <c r="RPZ17" s="414"/>
      <c r="RQA17" s="414"/>
      <c r="RQB17" s="414"/>
      <c r="RQC17" s="414"/>
      <c r="RQD17" s="414"/>
      <c r="RQE17" s="414"/>
      <c r="RQF17" s="414"/>
      <c r="RQG17" s="414"/>
      <c r="RQH17" s="414"/>
      <c r="RQI17" s="414"/>
      <c r="RQJ17" s="414"/>
      <c r="RQK17" s="414"/>
      <c r="RQL17" s="414"/>
      <c r="RQM17" s="414"/>
      <c r="RQN17" s="414"/>
      <c r="RQO17" s="414"/>
      <c r="RQP17" s="414"/>
      <c r="RQQ17" s="414"/>
      <c r="RQR17" s="414"/>
      <c r="RQS17" s="414"/>
      <c r="RQT17" s="414"/>
      <c r="RQU17" s="414"/>
      <c r="RQV17" s="414"/>
      <c r="RQW17" s="414"/>
      <c r="RQX17" s="414"/>
      <c r="RQY17" s="414"/>
      <c r="RQZ17" s="414"/>
      <c r="RRA17" s="414"/>
      <c r="RRB17" s="414"/>
      <c r="RRC17" s="414"/>
      <c r="RRD17" s="414"/>
      <c r="RRE17" s="414"/>
      <c r="RRF17" s="414"/>
      <c r="RRG17" s="414"/>
      <c r="RRH17" s="414"/>
      <c r="RRI17" s="414"/>
      <c r="RRJ17" s="414"/>
      <c r="RRK17" s="414"/>
      <c r="RRL17" s="414"/>
      <c r="RRM17" s="414"/>
      <c r="RRN17" s="414"/>
      <c r="RRO17" s="414"/>
      <c r="RRP17" s="414"/>
      <c r="RRQ17" s="414"/>
      <c r="RRR17" s="414"/>
      <c r="RRS17" s="414"/>
      <c r="RRT17" s="414"/>
      <c r="RRU17" s="414"/>
      <c r="RRV17" s="414"/>
      <c r="RRW17" s="414"/>
      <c r="RRX17" s="414"/>
      <c r="RRY17" s="414"/>
      <c r="RRZ17" s="414"/>
      <c r="RSA17" s="414"/>
      <c r="RSB17" s="414"/>
      <c r="RSC17" s="414"/>
      <c r="RSD17" s="414"/>
      <c r="RSE17" s="414"/>
      <c r="RSF17" s="414"/>
      <c r="RSG17" s="414"/>
      <c r="RSH17" s="414"/>
      <c r="RSI17" s="414"/>
      <c r="RSJ17" s="414"/>
      <c r="RSK17" s="414"/>
      <c r="RSL17" s="414"/>
      <c r="RSM17" s="414"/>
      <c r="RSN17" s="414"/>
      <c r="RSO17" s="414"/>
      <c r="RSP17" s="414"/>
      <c r="RSQ17" s="414"/>
      <c r="RSR17" s="414"/>
      <c r="RSS17" s="414"/>
      <c r="RST17" s="414"/>
      <c r="RSU17" s="414"/>
      <c r="RSV17" s="414"/>
      <c r="RSW17" s="414"/>
      <c r="RSX17" s="414"/>
      <c r="RSY17" s="414"/>
      <c r="RSZ17" s="414"/>
      <c r="RTA17" s="414"/>
      <c r="RTB17" s="414"/>
      <c r="RTC17" s="414"/>
      <c r="RTD17" s="414"/>
      <c r="RTE17" s="414"/>
      <c r="RTF17" s="414"/>
      <c r="RTG17" s="414"/>
      <c r="RTH17" s="414"/>
      <c r="RTI17" s="414"/>
      <c r="RTJ17" s="414"/>
      <c r="RTK17" s="414"/>
      <c r="RTL17" s="414"/>
      <c r="RTM17" s="414"/>
      <c r="RTN17" s="414"/>
      <c r="RTO17" s="414"/>
      <c r="RTP17" s="414"/>
      <c r="RTQ17" s="414"/>
      <c r="RTR17" s="414"/>
      <c r="RTS17" s="414"/>
      <c r="RTT17" s="414"/>
      <c r="RTU17" s="414"/>
      <c r="RTV17" s="414"/>
      <c r="RTW17" s="414"/>
      <c r="RTX17" s="414"/>
      <c r="RTY17" s="414"/>
      <c r="RTZ17" s="414"/>
      <c r="RUA17" s="414"/>
      <c r="RUB17" s="414"/>
      <c r="RUC17" s="414"/>
      <c r="RUD17" s="414"/>
      <c r="RUE17" s="414"/>
      <c r="RUF17" s="414"/>
      <c r="RUG17" s="414"/>
      <c r="RUH17" s="414"/>
      <c r="RUI17" s="414"/>
      <c r="RUJ17" s="414"/>
      <c r="RUK17" s="414"/>
      <c r="RUL17" s="414"/>
      <c r="RUM17" s="414"/>
      <c r="RUN17" s="414"/>
      <c r="RUO17" s="414"/>
      <c r="RUP17" s="414"/>
      <c r="RUQ17" s="414"/>
      <c r="RUR17" s="414"/>
      <c r="RUS17" s="414"/>
      <c r="RUT17" s="414"/>
      <c r="RUU17" s="414"/>
      <c r="RUV17" s="414"/>
      <c r="RUW17" s="414"/>
      <c r="RUX17" s="414"/>
      <c r="RUY17" s="414"/>
      <c r="RUZ17" s="414"/>
      <c r="RVA17" s="414"/>
      <c r="RVB17" s="414"/>
      <c r="RVC17" s="414"/>
      <c r="RVD17" s="414"/>
      <c r="RVE17" s="414"/>
      <c r="RVF17" s="414"/>
      <c r="RVG17" s="414"/>
      <c r="RVH17" s="414"/>
      <c r="RVI17" s="414"/>
      <c r="RVJ17" s="414"/>
      <c r="RVK17" s="414"/>
      <c r="RVL17" s="414"/>
      <c r="RVM17" s="414"/>
      <c r="RVN17" s="414"/>
      <c r="RVO17" s="414"/>
      <c r="RVP17" s="414"/>
      <c r="RVQ17" s="414"/>
      <c r="RVR17" s="414"/>
      <c r="RVS17" s="414"/>
      <c r="RVT17" s="414"/>
      <c r="RVU17" s="414"/>
      <c r="RVV17" s="414"/>
      <c r="RVW17" s="414"/>
      <c r="RVX17" s="414"/>
      <c r="RVY17" s="414"/>
      <c r="RVZ17" s="414"/>
      <c r="RWA17" s="414"/>
      <c r="RWB17" s="414"/>
      <c r="RWC17" s="414"/>
      <c r="RWD17" s="414"/>
      <c r="RWE17" s="414"/>
      <c r="RWF17" s="414"/>
      <c r="RWG17" s="414"/>
      <c r="RWH17" s="414"/>
      <c r="RWI17" s="414"/>
      <c r="RWJ17" s="414"/>
      <c r="RWK17" s="414"/>
      <c r="RWL17" s="414"/>
      <c r="RWM17" s="414"/>
      <c r="RWN17" s="414"/>
      <c r="RWO17" s="414"/>
      <c r="RWP17" s="414"/>
      <c r="RWQ17" s="414"/>
      <c r="RWR17" s="414"/>
      <c r="RWS17" s="414"/>
      <c r="RWT17" s="414"/>
      <c r="RWU17" s="414"/>
      <c r="RWV17" s="414"/>
      <c r="RWW17" s="414"/>
      <c r="RWX17" s="414"/>
      <c r="RWY17" s="414"/>
      <c r="RWZ17" s="414"/>
      <c r="RXA17" s="414"/>
      <c r="RXB17" s="414"/>
      <c r="RXC17" s="414"/>
      <c r="RXD17" s="414"/>
      <c r="RXE17" s="414"/>
      <c r="RXF17" s="414"/>
      <c r="RXG17" s="414"/>
      <c r="RXH17" s="414"/>
      <c r="RXI17" s="414"/>
      <c r="RXJ17" s="414"/>
      <c r="RXK17" s="414"/>
      <c r="RXL17" s="414"/>
      <c r="RXM17" s="414"/>
      <c r="RXN17" s="414"/>
      <c r="RXO17" s="414"/>
      <c r="RXP17" s="414"/>
      <c r="RXQ17" s="414"/>
      <c r="RXR17" s="414"/>
      <c r="RXS17" s="414"/>
      <c r="RXT17" s="414"/>
      <c r="RXU17" s="414"/>
      <c r="RXV17" s="414"/>
      <c r="RXW17" s="414"/>
      <c r="RXX17" s="414"/>
      <c r="RXY17" s="414"/>
      <c r="RXZ17" s="414"/>
      <c r="RYA17" s="414"/>
      <c r="RYB17" s="414"/>
      <c r="RYC17" s="414"/>
      <c r="RYD17" s="414"/>
      <c r="RYE17" s="414"/>
      <c r="RYF17" s="414"/>
      <c r="RYG17" s="414"/>
      <c r="RYH17" s="414"/>
      <c r="RYI17" s="414"/>
      <c r="RYJ17" s="414"/>
      <c r="RYK17" s="414"/>
      <c r="RYL17" s="414"/>
      <c r="RYM17" s="414"/>
      <c r="RYN17" s="414"/>
      <c r="RYO17" s="414"/>
      <c r="RYP17" s="414"/>
      <c r="RYQ17" s="414"/>
      <c r="RYR17" s="414"/>
      <c r="RYS17" s="414"/>
      <c r="RYT17" s="414"/>
      <c r="RYU17" s="414"/>
      <c r="RYV17" s="414"/>
      <c r="RYW17" s="414"/>
      <c r="RYX17" s="414"/>
      <c r="RYY17" s="414"/>
      <c r="RYZ17" s="414"/>
      <c r="RZA17" s="414"/>
      <c r="RZB17" s="414"/>
      <c r="RZC17" s="414"/>
      <c r="RZD17" s="414"/>
      <c r="RZE17" s="414"/>
      <c r="RZF17" s="414"/>
      <c r="RZG17" s="414"/>
      <c r="RZH17" s="414"/>
      <c r="RZI17" s="414"/>
      <c r="RZJ17" s="414"/>
      <c r="RZK17" s="414"/>
      <c r="RZL17" s="414"/>
      <c r="RZM17" s="414"/>
      <c r="RZN17" s="414"/>
      <c r="RZO17" s="414"/>
      <c r="RZP17" s="414"/>
      <c r="RZQ17" s="414"/>
      <c r="RZR17" s="414"/>
      <c r="RZS17" s="414"/>
      <c r="RZT17" s="414"/>
      <c r="RZU17" s="414"/>
      <c r="RZV17" s="414"/>
      <c r="RZW17" s="414"/>
      <c r="RZX17" s="414"/>
      <c r="RZY17" s="414"/>
      <c r="RZZ17" s="414"/>
      <c r="SAA17" s="414"/>
      <c r="SAB17" s="414"/>
      <c r="SAC17" s="414"/>
      <c r="SAD17" s="414"/>
      <c r="SAE17" s="414"/>
      <c r="SAF17" s="414"/>
      <c r="SAG17" s="414"/>
      <c r="SAH17" s="414"/>
      <c r="SAI17" s="414"/>
      <c r="SAJ17" s="414"/>
      <c r="SAK17" s="414"/>
      <c r="SAL17" s="414"/>
      <c r="SAM17" s="414"/>
      <c r="SAN17" s="414"/>
      <c r="SAO17" s="414"/>
      <c r="SAP17" s="414"/>
      <c r="SAQ17" s="414"/>
      <c r="SAR17" s="414"/>
      <c r="SAS17" s="414"/>
      <c r="SAT17" s="414"/>
      <c r="SAU17" s="414"/>
      <c r="SAV17" s="414"/>
      <c r="SAW17" s="414"/>
      <c r="SAX17" s="414"/>
      <c r="SAY17" s="414"/>
      <c r="SAZ17" s="414"/>
      <c r="SBA17" s="414"/>
      <c r="SBB17" s="414"/>
      <c r="SBC17" s="414"/>
      <c r="SBD17" s="414"/>
      <c r="SBE17" s="414"/>
      <c r="SBF17" s="414"/>
      <c r="SBG17" s="414"/>
      <c r="SBH17" s="414"/>
      <c r="SBI17" s="414"/>
      <c r="SBJ17" s="414"/>
      <c r="SBK17" s="414"/>
      <c r="SBL17" s="414"/>
      <c r="SBM17" s="414"/>
      <c r="SBN17" s="414"/>
      <c r="SBO17" s="414"/>
      <c r="SBP17" s="414"/>
      <c r="SBQ17" s="414"/>
      <c r="SBR17" s="414"/>
      <c r="SBS17" s="414"/>
      <c r="SBT17" s="414"/>
      <c r="SBU17" s="414"/>
      <c r="SBV17" s="414"/>
      <c r="SBW17" s="414"/>
      <c r="SBX17" s="414"/>
      <c r="SBY17" s="414"/>
      <c r="SBZ17" s="414"/>
      <c r="SCA17" s="414"/>
      <c r="SCB17" s="414"/>
      <c r="SCC17" s="414"/>
      <c r="SCD17" s="414"/>
      <c r="SCE17" s="414"/>
      <c r="SCF17" s="414"/>
      <c r="SCG17" s="414"/>
      <c r="SCH17" s="414"/>
      <c r="SCI17" s="414"/>
      <c r="SCJ17" s="414"/>
      <c r="SCK17" s="414"/>
      <c r="SCL17" s="414"/>
      <c r="SCM17" s="414"/>
      <c r="SCN17" s="414"/>
      <c r="SCO17" s="414"/>
      <c r="SCP17" s="414"/>
      <c r="SCQ17" s="414"/>
      <c r="SCR17" s="414"/>
      <c r="SCS17" s="414"/>
      <c r="SCT17" s="414"/>
      <c r="SCU17" s="414"/>
      <c r="SCV17" s="414"/>
      <c r="SCW17" s="414"/>
      <c r="SCX17" s="414"/>
      <c r="SCY17" s="414"/>
      <c r="SCZ17" s="414"/>
      <c r="SDA17" s="414"/>
      <c r="SDB17" s="414"/>
      <c r="SDC17" s="414"/>
      <c r="SDD17" s="414"/>
      <c r="SDE17" s="414"/>
      <c r="SDF17" s="414"/>
      <c r="SDG17" s="414"/>
      <c r="SDH17" s="414"/>
      <c r="SDI17" s="414"/>
      <c r="SDJ17" s="414"/>
      <c r="SDK17" s="414"/>
      <c r="SDL17" s="414"/>
      <c r="SDM17" s="414"/>
      <c r="SDN17" s="414"/>
      <c r="SDO17" s="414"/>
      <c r="SDP17" s="414"/>
      <c r="SDQ17" s="414"/>
      <c r="SDR17" s="414"/>
      <c r="SDS17" s="414"/>
      <c r="SDT17" s="414"/>
      <c r="SDU17" s="414"/>
      <c r="SDV17" s="414"/>
      <c r="SDW17" s="414"/>
      <c r="SDX17" s="414"/>
      <c r="SDY17" s="414"/>
      <c r="SDZ17" s="414"/>
      <c r="SEA17" s="414"/>
      <c r="SEB17" s="414"/>
      <c r="SEC17" s="414"/>
      <c r="SED17" s="414"/>
      <c r="SEE17" s="414"/>
      <c r="SEF17" s="414"/>
      <c r="SEG17" s="414"/>
      <c r="SEH17" s="414"/>
      <c r="SEI17" s="414"/>
      <c r="SEJ17" s="414"/>
      <c r="SEK17" s="414"/>
      <c r="SEL17" s="414"/>
      <c r="SEM17" s="414"/>
      <c r="SEN17" s="414"/>
      <c r="SEO17" s="414"/>
      <c r="SEP17" s="414"/>
      <c r="SEQ17" s="414"/>
      <c r="SER17" s="414"/>
      <c r="SES17" s="414"/>
      <c r="SET17" s="414"/>
      <c r="SEU17" s="414"/>
      <c r="SEV17" s="414"/>
      <c r="SEW17" s="414"/>
      <c r="SEX17" s="414"/>
      <c r="SEY17" s="414"/>
      <c r="SEZ17" s="414"/>
      <c r="SFA17" s="414"/>
      <c r="SFB17" s="414"/>
      <c r="SFC17" s="414"/>
      <c r="SFD17" s="414"/>
      <c r="SFE17" s="414"/>
      <c r="SFF17" s="414"/>
      <c r="SFG17" s="414"/>
      <c r="SFH17" s="414"/>
      <c r="SFI17" s="414"/>
      <c r="SFJ17" s="414"/>
      <c r="SFK17" s="414"/>
      <c r="SFL17" s="414"/>
      <c r="SFM17" s="414"/>
      <c r="SFN17" s="414"/>
      <c r="SFO17" s="414"/>
      <c r="SFP17" s="414"/>
      <c r="SFQ17" s="414"/>
      <c r="SFR17" s="414"/>
      <c r="SFS17" s="414"/>
      <c r="SFT17" s="414"/>
      <c r="SFU17" s="414"/>
      <c r="SFV17" s="414"/>
      <c r="SFW17" s="414"/>
      <c r="SFX17" s="414"/>
      <c r="SFY17" s="414"/>
      <c r="SFZ17" s="414"/>
      <c r="SGA17" s="414"/>
      <c r="SGB17" s="414"/>
      <c r="SGC17" s="414"/>
      <c r="SGD17" s="414"/>
      <c r="SGE17" s="414"/>
      <c r="SGF17" s="414"/>
      <c r="SGG17" s="414"/>
      <c r="SGH17" s="414"/>
      <c r="SGI17" s="414"/>
      <c r="SGJ17" s="414"/>
      <c r="SGK17" s="414"/>
      <c r="SGL17" s="414"/>
      <c r="SGM17" s="414"/>
      <c r="SGN17" s="414"/>
      <c r="SGO17" s="414"/>
      <c r="SGP17" s="414"/>
      <c r="SGQ17" s="414"/>
      <c r="SGR17" s="414"/>
      <c r="SGS17" s="414"/>
      <c r="SGT17" s="414"/>
      <c r="SGU17" s="414"/>
      <c r="SGV17" s="414"/>
      <c r="SGW17" s="414"/>
      <c r="SGX17" s="414"/>
      <c r="SGY17" s="414"/>
      <c r="SGZ17" s="414"/>
      <c r="SHA17" s="414"/>
      <c r="SHB17" s="414"/>
      <c r="SHC17" s="414"/>
      <c r="SHD17" s="414"/>
      <c r="SHE17" s="414"/>
      <c r="SHF17" s="414"/>
      <c r="SHG17" s="414"/>
      <c r="SHH17" s="414"/>
      <c r="SHI17" s="414"/>
      <c r="SHJ17" s="414"/>
      <c r="SHK17" s="414"/>
      <c r="SHL17" s="414"/>
      <c r="SHM17" s="414"/>
      <c r="SHN17" s="414"/>
      <c r="SHO17" s="414"/>
      <c r="SHP17" s="414"/>
      <c r="SHQ17" s="414"/>
      <c r="SHR17" s="414"/>
      <c r="SHS17" s="414"/>
      <c r="SHT17" s="414"/>
      <c r="SHU17" s="414"/>
      <c r="SHV17" s="414"/>
      <c r="SHW17" s="414"/>
      <c r="SHX17" s="414"/>
      <c r="SHY17" s="414"/>
      <c r="SHZ17" s="414"/>
      <c r="SIA17" s="414"/>
      <c r="SIB17" s="414"/>
      <c r="SIC17" s="414"/>
      <c r="SID17" s="414"/>
      <c r="SIE17" s="414"/>
      <c r="SIF17" s="414"/>
      <c r="SIG17" s="414"/>
      <c r="SIH17" s="414"/>
      <c r="SII17" s="414"/>
      <c r="SIJ17" s="414"/>
      <c r="SIK17" s="414"/>
      <c r="SIL17" s="414"/>
      <c r="SIM17" s="414"/>
      <c r="SIN17" s="414"/>
      <c r="SIO17" s="414"/>
      <c r="SIP17" s="414"/>
      <c r="SIQ17" s="414"/>
      <c r="SIR17" s="414"/>
      <c r="SIS17" s="414"/>
      <c r="SIT17" s="414"/>
      <c r="SIU17" s="414"/>
      <c r="SIV17" s="414"/>
      <c r="SIW17" s="414"/>
      <c r="SIX17" s="414"/>
      <c r="SIY17" s="414"/>
      <c r="SIZ17" s="414"/>
      <c r="SJA17" s="414"/>
      <c r="SJB17" s="414"/>
      <c r="SJC17" s="414"/>
      <c r="SJD17" s="414"/>
      <c r="SJE17" s="414"/>
      <c r="SJF17" s="414"/>
      <c r="SJG17" s="414"/>
      <c r="SJH17" s="414"/>
      <c r="SJI17" s="414"/>
      <c r="SJJ17" s="414"/>
      <c r="SJK17" s="414"/>
      <c r="SJL17" s="414"/>
      <c r="SJM17" s="414"/>
      <c r="SJN17" s="414"/>
      <c r="SJO17" s="414"/>
      <c r="SJP17" s="414"/>
      <c r="SJQ17" s="414"/>
      <c r="SJR17" s="414"/>
      <c r="SJS17" s="414"/>
      <c r="SJT17" s="414"/>
      <c r="SJU17" s="414"/>
      <c r="SJV17" s="414"/>
      <c r="SJW17" s="414"/>
      <c r="SJX17" s="414"/>
      <c r="SJY17" s="414"/>
      <c r="SJZ17" s="414"/>
      <c r="SKA17" s="414"/>
      <c r="SKB17" s="414"/>
      <c r="SKC17" s="414"/>
      <c r="SKD17" s="414"/>
      <c r="SKE17" s="414"/>
      <c r="SKF17" s="414"/>
      <c r="SKG17" s="414"/>
      <c r="SKH17" s="414"/>
      <c r="SKI17" s="414"/>
      <c r="SKJ17" s="414"/>
      <c r="SKK17" s="414"/>
      <c r="SKL17" s="414"/>
      <c r="SKM17" s="414"/>
      <c r="SKN17" s="414"/>
      <c r="SKO17" s="414"/>
      <c r="SKP17" s="414"/>
      <c r="SKQ17" s="414"/>
      <c r="SKR17" s="414"/>
      <c r="SKS17" s="414"/>
      <c r="SKT17" s="414"/>
      <c r="SKU17" s="414"/>
      <c r="SKV17" s="414"/>
      <c r="SKW17" s="414"/>
      <c r="SKX17" s="414"/>
      <c r="SKY17" s="414"/>
      <c r="SKZ17" s="414"/>
      <c r="SLA17" s="414"/>
      <c r="SLB17" s="414"/>
      <c r="SLC17" s="414"/>
      <c r="SLD17" s="414"/>
      <c r="SLE17" s="414"/>
      <c r="SLF17" s="414"/>
      <c r="SLG17" s="414"/>
      <c r="SLH17" s="414"/>
      <c r="SLI17" s="414"/>
      <c r="SLJ17" s="414"/>
      <c r="SLK17" s="414"/>
      <c r="SLL17" s="414"/>
      <c r="SLM17" s="414"/>
      <c r="SLN17" s="414"/>
      <c r="SLO17" s="414"/>
      <c r="SLP17" s="414"/>
      <c r="SLQ17" s="414"/>
      <c r="SLR17" s="414"/>
      <c r="SLS17" s="414"/>
      <c r="SLT17" s="414"/>
      <c r="SLU17" s="414"/>
      <c r="SLV17" s="414"/>
      <c r="SLW17" s="414"/>
      <c r="SLX17" s="414"/>
      <c r="SLY17" s="414"/>
      <c r="SLZ17" s="414"/>
      <c r="SMA17" s="414"/>
      <c r="SMB17" s="414"/>
      <c r="SMC17" s="414"/>
      <c r="SMD17" s="414"/>
      <c r="SME17" s="414"/>
      <c r="SMF17" s="414"/>
      <c r="SMG17" s="414"/>
      <c r="SMH17" s="414"/>
      <c r="SMI17" s="414"/>
      <c r="SMJ17" s="414"/>
      <c r="SMK17" s="414"/>
      <c r="SML17" s="414"/>
      <c r="SMM17" s="414"/>
      <c r="SMN17" s="414"/>
      <c r="SMO17" s="414"/>
      <c r="SMP17" s="414"/>
      <c r="SMQ17" s="414"/>
      <c r="SMR17" s="414"/>
      <c r="SMS17" s="414"/>
      <c r="SMT17" s="414"/>
      <c r="SMU17" s="414"/>
      <c r="SMV17" s="414"/>
      <c r="SMW17" s="414"/>
      <c r="SMX17" s="414"/>
      <c r="SMY17" s="414"/>
      <c r="SMZ17" s="414"/>
      <c r="SNA17" s="414"/>
      <c r="SNB17" s="414"/>
      <c r="SNC17" s="414"/>
      <c r="SND17" s="414"/>
      <c r="SNE17" s="414"/>
      <c r="SNF17" s="414"/>
      <c r="SNG17" s="414"/>
      <c r="SNH17" s="414"/>
      <c r="SNI17" s="414"/>
      <c r="SNJ17" s="414"/>
      <c r="SNK17" s="414"/>
      <c r="SNL17" s="414"/>
      <c r="SNM17" s="414"/>
      <c r="SNN17" s="414"/>
      <c r="SNO17" s="414"/>
      <c r="SNP17" s="414"/>
      <c r="SNQ17" s="414"/>
      <c r="SNR17" s="414"/>
      <c r="SNS17" s="414"/>
      <c r="SNT17" s="414"/>
      <c r="SNU17" s="414"/>
      <c r="SNV17" s="414"/>
      <c r="SNW17" s="414"/>
      <c r="SNX17" s="414"/>
      <c r="SNY17" s="414"/>
      <c r="SNZ17" s="414"/>
      <c r="SOA17" s="414"/>
      <c r="SOB17" s="414"/>
      <c r="SOC17" s="414"/>
      <c r="SOD17" s="414"/>
      <c r="SOE17" s="414"/>
      <c r="SOF17" s="414"/>
      <c r="SOG17" s="414"/>
      <c r="SOH17" s="414"/>
      <c r="SOI17" s="414"/>
      <c r="SOJ17" s="414"/>
      <c r="SOK17" s="414"/>
      <c r="SOL17" s="414"/>
      <c r="SOM17" s="414"/>
      <c r="SON17" s="414"/>
      <c r="SOO17" s="414"/>
      <c r="SOP17" s="414"/>
      <c r="SOQ17" s="414"/>
      <c r="SOR17" s="414"/>
      <c r="SOS17" s="414"/>
      <c r="SOT17" s="414"/>
      <c r="SOU17" s="414"/>
      <c r="SOV17" s="414"/>
      <c r="SOW17" s="414"/>
      <c r="SOX17" s="414"/>
      <c r="SOY17" s="414"/>
      <c r="SOZ17" s="414"/>
      <c r="SPA17" s="414"/>
      <c r="SPB17" s="414"/>
      <c r="SPC17" s="414"/>
      <c r="SPD17" s="414"/>
      <c r="SPE17" s="414"/>
      <c r="SPF17" s="414"/>
      <c r="SPG17" s="414"/>
      <c r="SPH17" s="414"/>
      <c r="SPI17" s="414"/>
      <c r="SPJ17" s="414"/>
      <c r="SPK17" s="414"/>
      <c r="SPL17" s="414"/>
      <c r="SPM17" s="414"/>
      <c r="SPN17" s="414"/>
      <c r="SPO17" s="414"/>
      <c r="SPP17" s="414"/>
      <c r="SPQ17" s="414"/>
      <c r="SPR17" s="414"/>
      <c r="SPS17" s="414"/>
      <c r="SPT17" s="414"/>
      <c r="SPU17" s="414"/>
      <c r="SPV17" s="414"/>
      <c r="SPW17" s="414"/>
      <c r="SPX17" s="414"/>
      <c r="SPY17" s="414"/>
      <c r="SPZ17" s="414"/>
      <c r="SQA17" s="414"/>
      <c r="SQB17" s="414"/>
      <c r="SQC17" s="414"/>
      <c r="SQD17" s="414"/>
      <c r="SQE17" s="414"/>
      <c r="SQF17" s="414"/>
      <c r="SQG17" s="414"/>
      <c r="SQH17" s="414"/>
      <c r="SQI17" s="414"/>
      <c r="SQJ17" s="414"/>
      <c r="SQK17" s="414"/>
      <c r="SQL17" s="414"/>
      <c r="SQM17" s="414"/>
      <c r="SQN17" s="414"/>
      <c r="SQO17" s="414"/>
      <c r="SQP17" s="414"/>
      <c r="SQQ17" s="414"/>
      <c r="SQR17" s="414"/>
      <c r="SQS17" s="414"/>
      <c r="SQT17" s="414"/>
      <c r="SQU17" s="414"/>
      <c r="SQV17" s="414"/>
      <c r="SQW17" s="414"/>
      <c r="SQX17" s="414"/>
      <c r="SQY17" s="414"/>
      <c r="SQZ17" s="414"/>
      <c r="SRA17" s="414"/>
      <c r="SRB17" s="414"/>
      <c r="SRC17" s="414"/>
      <c r="SRD17" s="414"/>
      <c r="SRE17" s="414"/>
      <c r="SRF17" s="414"/>
      <c r="SRG17" s="414"/>
      <c r="SRH17" s="414"/>
      <c r="SRI17" s="414"/>
      <c r="SRJ17" s="414"/>
      <c r="SRK17" s="414"/>
      <c r="SRL17" s="414"/>
      <c r="SRM17" s="414"/>
      <c r="SRN17" s="414"/>
      <c r="SRO17" s="414"/>
      <c r="SRP17" s="414"/>
      <c r="SRQ17" s="414"/>
      <c r="SRR17" s="414"/>
      <c r="SRS17" s="414"/>
      <c r="SRT17" s="414"/>
      <c r="SRU17" s="414"/>
      <c r="SRV17" s="414"/>
      <c r="SRW17" s="414"/>
      <c r="SRX17" s="414"/>
      <c r="SRY17" s="414"/>
      <c r="SRZ17" s="414"/>
      <c r="SSA17" s="414"/>
      <c r="SSB17" s="414"/>
      <c r="SSC17" s="414"/>
      <c r="SSD17" s="414"/>
      <c r="SSE17" s="414"/>
      <c r="SSF17" s="414"/>
      <c r="SSG17" s="414"/>
      <c r="SSH17" s="414"/>
      <c r="SSI17" s="414"/>
      <c r="SSJ17" s="414"/>
      <c r="SSK17" s="414"/>
      <c r="SSL17" s="414"/>
      <c r="SSM17" s="414"/>
      <c r="SSN17" s="414"/>
      <c r="SSO17" s="414"/>
      <c r="SSP17" s="414"/>
      <c r="SSQ17" s="414"/>
      <c r="SSR17" s="414"/>
      <c r="SSS17" s="414"/>
      <c r="SST17" s="414"/>
      <c r="SSU17" s="414"/>
      <c r="SSV17" s="414"/>
      <c r="SSW17" s="414"/>
      <c r="SSX17" s="414"/>
      <c r="SSY17" s="414"/>
      <c r="SSZ17" s="414"/>
      <c r="STA17" s="414"/>
      <c r="STB17" s="414"/>
      <c r="STC17" s="414"/>
      <c r="STD17" s="414"/>
      <c r="STE17" s="414"/>
      <c r="STF17" s="414"/>
      <c r="STG17" s="414"/>
      <c r="STH17" s="414"/>
      <c r="STI17" s="414"/>
      <c r="STJ17" s="414"/>
      <c r="STK17" s="414"/>
      <c r="STL17" s="414"/>
      <c r="STM17" s="414"/>
      <c r="STN17" s="414"/>
      <c r="STO17" s="414"/>
      <c r="STP17" s="414"/>
      <c r="STQ17" s="414"/>
      <c r="STR17" s="414"/>
      <c r="STS17" s="414"/>
      <c r="STT17" s="414"/>
      <c r="STU17" s="414"/>
      <c r="STV17" s="414"/>
      <c r="STW17" s="414"/>
      <c r="STX17" s="414"/>
      <c r="STY17" s="414"/>
      <c r="STZ17" s="414"/>
      <c r="SUA17" s="414"/>
      <c r="SUB17" s="414"/>
      <c r="SUC17" s="414"/>
      <c r="SUD17" s="414"/>
      <c r="SUE17" s="414"/>
      <c r="SUF17" s="414"/>
      <c r="SUG17" s="414"/>
      <c r="SUH17" s="414"/>
      <c r="SUI17" s="414"/>
      <c r="SUJ17" s="414"/>
      <c r="SUK17" s="414"/>
      <c r="SUL17" s="414"/>
      <c r="SUM17" s="414"/>
      <c r="SUN17" s="414"/>
      <c r="SUO17" s="414"/>
      <c r="SUP17" s="414"/>
      <c r="SUQ17" s="414"/>
      <c r="SUR17" s="414"/>
      <c r="SUS17" s="414"/>
      <c r="SUT17" s="414"/>
      <c r="SUU17" s="414"/>
      <c r="SUV17" s="414"/>
      <c r="SUW17" s="414"/>
      <c r="SUX17" s="414"/>
      <c r="SUY17" s="414"/>
      <c r="SUZ17" s="414"/>
      <c r="SVA17" s="414"/>
      <c r="SVB17" s="414"/>
      <c r="SVC17" s="414"/>
      <c r="SVD17" s="414"/>
      <c r="SVE17" s="414"/>
      <c r="SVF17" s="414"/>
      <c r="SVG17" s="414"/>
      <c r="SVH17" s="414"/>
      <c r="SVI17" s="414"/>
      <c r="SVJ17" s="414"/>
      <c r="SVK17" s="414"/>
      <c r="SVL17" s="414"/>
      <c r="SVM17" s="414"/>
      <c r="SVN17" s="414"/>
      <c r="SVO17" s="414"/>
      <c r="SVP17" s="414"/>
      <c r="SVQ17" s="414"/>
      <c r="SVR17" s="414"/>
      <c r="SVS17" s="414"/>
      <c r="SVT17" s="414"/>
      <c r="SVU17" s="414"/>
      <c r="SVV17" s="414"/>
      <c r="SVW17" s="414"/>
      <c r="SVX17" s="414"/>
      <c r="SVY17" s="414"/>
      <c r="SVZ17" s="414"/>
      <c r="SWA17" s="414"/>
      <c r="SWB17" s="414"/>
      <c r="SWC17" s="414"/>
      <c r="SWD17" s="414"/>
      <c r="SWE17" s="414"/>
      <c r="SWF17" s="414"/>
      <c r="SWG17" s="414"/>
      <c r="SWH17" s="414"/>
      <c r="SWI17" s="414"/>
      <c r="SWJ17" s="414"/>
      <c r="SWK17" s="414"/>
      <c r="SWL17" s="414"/>
      <c r="SWM17" s="414"/>
      <c r="SWN17" s="414"/>
      <c r="SWO17" s="414"/>
      <c r="SWP17" s="414"/>
      <c r="SWQ17" s="414"/>
      <c r="SWR17" s="414"/>
      <c r="SWS17" s="414"/>
      <c r="SWT17" s="414"/>
      <c r="SWU17" s="414"/>
      <c r="SWV17" s="414"/>
      <c r="SWW17" s="414"/>
      <c r="SWX17" s="414"/>
      <c r="SWY17" s="414"/>
      <c r="SWZ17" s="414"/>
      <c r="SXA17" s="414"/>
      <c r="SXB17" s="414"/>
      <c r="SXC17" s="414"/>
      <c r="SXD17" s="414"/>
      <c r="SXE17" s="414"/>
      <c r="SXF17" s="414"/>
      <c r="SXG17" s="414"/>
      <c r="SXH17" s="414"/>
      <c r="SXI17" s="414"/>
      <c r="SXJ17" s="414"/>
      <c r="SXK17" s="414"/>
      <c r="SXL17" s="414"/>
      <c r="SXM17" s="414"/>
      <c r="SXN17" s="414"/>
      <c r="SXO17" s="414"/>
      <c r="SXP17" s="414"/>
      <c r="SXQ17" s="414"/>
      <c r="SXR17" s="414"/>
      <c r="SXS17" s="414"/>
      <c r="SXT17" s="414"/>
      <c r="SXU17" s="414"/>
      <c r="SXV17" s="414"/>
      <c r="SXW17" s="414"/>
      <c r="SXX17" s="414"/>
      <c r="SXY17" s="414"/>
      <c r="SXZ17" s="414"/>
      <c r="SYA17" s="414"/>
      <c r="SYB17" s="414"/>
      <c r="SYC17" s="414"/>
      <c r="SYD17" s="414"/>
      <c r="SYE17" s="414"/>
      <c r="SYF17" s="414"/>
      <c r="SYG17" s="414"/>
      <c r="SYH17" s="414"/>
      <c r="SYI17" s="414"/>
      <c r="SYJ17" s="414"/>
      <c r="SYK17" s="414"/>
      <c r="SYL17" s="414"/>
      <c r="SYM17" s="414"/>
      <c r="SYN17" s="414"/>
      <c r="SYO17" s="414"/>
      <c r="SYP17" s="414"/>
      <c r="SYQ17" s="414"/>
      <c r="SYR17" s="414"/>
      <c r="SYS17" s="414"/>
      <c r="SYT17" s="414"/>
      <c r="SYU17" s="414"/>
      <c r="SYV17" s="414"/>
      <c r="SYW17" s="414"/>
      <c r="SYX17" s="414"/>
      <c r="SYY17" s="414"/>
      <c r="SYZ17" s="414"/>
      <c r="SZA17" s="414"/>
      <c r="SZB17" s="414"/>
      <c r="SZC17" s="414"/>
      <c r="SZD17" s="414"/>
      <c r="SZE17" s="414"/>
      <c r="SZF17" s="414"/>
      <c r="SZG17" s="414"/>
      <c r="SZH17" s="414"/>
      <c r="SZI17" s="414"/>
      <c r="SZJ17" s="414"/>
      <c r="SZK17" s="414"/>
      <c r="SZL17" s="414"/>
      <c r="SZM17" s="414"/>
      <c r="SZN17" s="414"/>
      <c r="SZO17" s="414"/>
      <c r="SZP17" s="414"/>
      <c r="SZQ17" s="414"/>
      <c r="SZR17" s="414"/>
      <c r="SZS17" s="414"/>
      <c r="SZT17" s="414"/>
      <c r="SZU17" s="414"/>
      <c r="SZV17" s="414"/>
      <c r="SZW17" s="414"/>
      <c r="SZX17" s="414"/>
      <c r="SZY17" s="414"/>
      <c r="SZZ17" s="414"/>
      <c r="TAA17" s="414"/>
      <c r="TAB17" s="414"/>
      <c r="TAC17" s="414"/>
      <c r="TAD17" s="414"/>
      <c r="TAE17" s="414"/>
      <c r="TAF17" s="414"/>
      <c r="TAG17" s="414"/>
      <c r="TAH17" s="414"/>
      <c r="TAI17" s="414"/>
      <c r="TAJ17" s="414"/>
      <c r="TAK17" s="414"/>
      <c r="TAL17" s="414"/>
      <c r="TAM17" s="414"/>
      <c r="TAN17" s="414"/>
      <c r="TAO17" s="414"/>
      <c r="TAP17" s="414"/>
      <c r="TAQ17" s="414"/>
      <c r="TAR17" s="414"/>
      <c r="TAS17" s="414"/>
      <c r="TAT17" s="414"/>
      <c r="TAU17" s="414"/>
      <c r="TAV17" s="414"/>
      <c r="TAW17" s="414"/>
      <c r="TAX17" s="414"/>
      <c r="TAY17" s="414"/>
      <c r="TAZ17" s="414"/>
      <c r="TBA17" s="414"/>
      <c r="TBB17" s="414"/>
      <c r="TBC17" s="414"/>
      <c r="TBD17" s="414"/>
      <c r="TBE17" s="414"/>
      <c r="TBF17" s="414"/>
      <c r="TBG17" s="414"/>
      <c r="TBH17" s="414"/>
      <c r="TBI17" s="414"/>
      <c r="TBJ17" s="414"/>
      <c r="TBK17" s="414"/>
      <c r="TBL17" s="414"/>
      <c r="TBM17" s="414"/>
      <c r="TBN17" s="414"/>
      <c r="TBO17" s="414"/>
      <c r="TBP17" s="414"/>
      <c r="TBQ17" s="414"/>
      <c r="TBR17" s="414"/>
      <c r="TBS17" s="414"/>
      <c r="TBT17" s="414"/>
      <c r="TBU17" s="414"/>
      <c r="TBV17" s="414"/>
      <c r="TBW17" s="414"/>
      <c r="TBX17" s="414"/>
      <c r="TBY17" s="414"/>
      <c r="TBZ17" s="414"/>
      <c r="TCA17" s="414"/>
      <c r="TCB17" s="414"/>
      <c r="TCC17" s="414"/>
      <c r="TCD17" s="414"/>
      <c r="TCE17" s="414"/>
      <c r="TCF17" s="414"/>
      <c r="TCG17" s="414"/>
      <c r="TCH17" s="414"/>
      <c r="TCI17" s="414"/>
      <c r="TCJ17" s="414"/>
      <c r="TCK17" s="414"/>
      <c r="TCL17" s="414"/>
      <c r="TCM17" s="414"/>
      <c r="TCN17" s="414"/>
      <c r="TCO17" s="414"/>
      <c r="TCP17" s="414"/>
      <c r="TCQ17" s="414"/>
      <c r="TCR17" s="414"/>
      <c r="TCS17" s="414"/>
      <c r="TCT17" s="414"/>
      <c r="TCU17" s="414"/>
      <c r="TCV17" s="414"/>
      <c r="TCW17" s="414"/>
      <c r="TCX17" s="414"/>
      <c r="TCY17" s="414"/>
      <c r="TCZ17" s="414"/>
      <c r="TDA17" s="414"/>
      <c r="TDB17" s="414"/>
      <c r="TDC17" s="414"/>
      <c r="TDD17" s="414"/>
      <c r="TDE17" s="414"/>
      <c r="TDF17" s="414"/>
      <c r="TDG17" s="414"/>
      <c r="TDH17" s="414"/>
      <c r="TDI17" s="414"/>
      <c r="TDJ17" s="414"/>
      <c r="TDK17" s="414"/>
      <c r="TDL17" s="414"/>
      <c r="TDM17" s="414"/>
      <c r="TDN17" s="414"/>
      <c r="TDO17" s="414"/>
      <c r="TDP17" s="414"/>
      <c r="TDQ17" s="414"/>
      <c r="TDR17" s="414"/>
      <c r="TDS17" s="414"/>
      <c r="TDT17" s="414"/>
      <c r="TDU17" s="414"/>
      <c r="TDV17" s="414"/>
      <c r="TDW17" s="414"/>
      <c r="TDX17" s="414"/>
      <c r="TDY17" s="414"/>
      <c r="TDZ17" s="414"/>
      <c r="TEA17" s="414"/>
      <c r="TEB17" s="414"/>
      <c r="TEC17" s="414"/>
      <c r="TED17" s="414"/>
      <c r="TEE17" s="414"/>
      <c r="TEF17" s="414"/>
      <c r="TEG17" s="414"/>
      <c r="TEH17" s="414"/>
      <c r="TEI17" s="414"/>
      <c r="TEJ17" s="414"/>
      <c r="TEK17" s="414"/>
      <c r="TEL17" s="414"/>
      <c r="TEM17" s="414"/>
      <c r="TEN17" s="414"/>
      <c r="TEO17" s="414"/>
      <c r="TEP17" s="414"/>
      <c r="TEQ17" s="414"/>
      <c r="TER17" s="414"/>
      <c r="TES17" s="414"/>
      <c r="TET17" s="414"/>
      <c r="TEU17" s="414"/>
      <c r="TEV17" s="414"/>
      <c r="TEW17" s="414"/>
      <c r="TEX17" s="414"/>
      <c r="TEY17" s="414"/>
      <c r="TEZ17" s="414"/>
      <c r="TFA17" s="414"/>
      <c r="TFB17" s="414"/>
      <c r="TFC17" s="414"/>
      <c r="TFD17" s="414"/>
      <c r="TFE17" s="414"/>
      <c r="TFF17" s="414"/>
      <c r="TFG17" s="414"/>
      <c r="TFH17" s="414"/>
      <c r="TFI17" s="414"/>
      <c r="TFJ17" s="414"/>
      <c r="TFK17" s="414"/>
      <c r="TFL17" s="414"/>
      <c r="TFM17" s="414"/>
      <c r="TFN17" s="414"/>
      <c r="TFO17" s="414"/>
      <c r="TFP17" s="414"/>
      <c r="TFQ17" s="414"/>
      <c r="TFR17" s="414"/>
      <c r="TFS17" s="414"/>
      <c r="TFT17" s="414"/>
      <c r="TFU17" s="414"/>
      <c r="TFV17" s="414"/>
      <c r="TFW17" s="414"/>
      <c r="TFX17" s="414"/>
      <c r="TFY17" s="414"/>
      <c r="TFZ17" s="414"/>
      <c r="TGA17" s="414"/>
      <c r="TGB17" s="414"/>
      <c r="TGC17" s="414"/>
      <c r="TGD17" s="414"/>
      <c r="TGE17" s="414"/>
      <c r="TGF17" s="414"/>
      <c r="TGG17" s="414"/>
      <c r="TGH17" s="414"/>
      <c r="TGI17" s="414"/>
      <c r="TGJ17" s="414"/>
      <c r="TGK17" s="414"/>
      <c r="TGL17" s="414"/>
      <c r="TGM17" s="414"/>
      <c r="TGN17" s="414"/>
      <c r="TGO17" s="414"/>
      <c r="TGP17" s="414"/>
      <c r="TGQ17" s="414"/>
      <c r="TGR17" s="414"/>
      <c r="TGS17" s="414"/>
      <c r="TGT17" s="414"/>
      <c r="TGU17" s="414"/>
      <c r="TGV17" s="414"/>
      <c r="TGW17" s="414"/>
      <c r="TGX17" s="414"/>
      <c r="TGY17" s="414"/>
      <c r="TGZ17" s="414"/>
      <c r="THA17" s="414"/>
      <c r="THB17" s="414"/>
      <c r="THC17" s="414"/>
      <c r="THD17" s="414"/>
      <c r="THE17" s="414"/>
      <c r="THF17" s="414"/>
      <c r="THG17" s="414"/>
      <c r="THH17" s="414"/>
      <c r="THI17" s="414"/>
      <c r="THJ17" s="414"/>
      <c r="THK17" s="414"/>
      <c r="THL17" s="414"/>
      <c r="THM17" s="414"/>
      <c r="THN17" s="414"/>
      <c r="THO17" s="414"/>
      <c r="THP17" s="414"/>
      <c r="THQ17" s="414"/>
      <c r="THR17" s="414"/>
      <c r="THS17" s="414"/>
      <c r="THT17" s="414"/>
      <c r="THU17" s="414"/>
      <c r="THV17" s="414"/>
      <c r="THW17" s="414"/>
      <c r="THX17" s="414"/>
      <c r="THY17" s="414"/>
      <c r="THZ17" s="414"/>
      <c r="TIA17" s="414"/>
      <c r="TIB17" s="414"/>
      <c r="TIC17" s="414"/>
      <c r="TID17" s="414"/>
      <c r="TIE17" s="414"/>
      <c r="TIF17" s="414"/>
      <c r="TIG17" s="414"/>
      <c r="TIH17" s="414"/>
      <c r="TII17" s="414"/>
      <c r="TIJ17" s="414"/>
      <c r="TIK17" s="414"/>
      <c r="TIL17" s="414"/>
      <c r="TIM17" s="414"/>
      <c r="TIN17" s="414"/>
      <c r="TIO17" s="414"/>
      <c r="TIP17" s="414"/>
      <c r="TIQ17" s="414"/>
      <c r="TIR17" s="414"/>
      <c r="TIS17" s="414"/>
      <c r="TIT17" s="414"/>
      <c r="TIU17" s="414"/>
      <c r="TIV17" s="414"/>
      <c r="TIW17" s="414"/>
      <c r="TIX17" s="414"/>
      <c r="TIY17" s="414"/>
      <c r="TIZ17" s="414"/>
      <c r="TJA17" s="414"/>
      <c r="TJB17" s="414"/>
      <c r="TJC17" s="414"/>
      <c r="TJD17" s="414"/>
      <c r="TJE17" s="414"/>
      <c r="TJF17" s="414"/>
      <c r="TJG17" s="414"/>
      <c r="TJH17" s="414"/>
      <c r="TJI17" s="414"/>
      <c r="TJJ17" s="414"/>
      <c r="TJK17" s="414"/>
      <c r="TJL17" s="414"/>
      <c r="TJM17" s="414"/>
      <c r="TJN17" s="414"/>
      <c r="TJO17" s="414"/>
      <c r="TJP17" s="414"/>
      <c r="TJQ17" s="414"/>
      <c r="TJR17" s="414"/>
      <c r="TJS17" s="414"/>
      <c r="TJT17" s="414"/>
      <c r="TJU17" s="414"/>
      <c r="TJV17" s="414"/>
      <c r="TJW17" s="414"/>
      <c r="TJX17" s="414"/>
      <c r="TJY17" s="414"/>
      <c r="TJZ17" s="414"/>
      <c r="TKA17" s="414"/>
      <c r="TKB17" s="414"/>
      <c r="TKC17" s="414"/>
      <c r="TKD17" s="414"/>
      <c r="TKE17" s="414"/>
      <c r="TKF17" s="414"/>
      <c r="TKG17" s="414"/>
      <c r="TKH17" s="414"/>
      <c r="TKI17" s="414"/>
      <c r="TKJ17" s="414"/>
      <c r="TKK17" s="414"/>
      <c r="TKL17" s="414"/>
      <c r="TKM17" s="414"/>
      <c r="TKN17" s="414"/>
      <c r="TKO17" s="414"/>
      <c r="TKP17" s="414"/>
      <c r="TKQ17" s="414"/>
      <c r="TKR17" s="414"/>
      <c r="TKS17" s="414"/>
      <c r="TKT17" s="414"/>
      <c r="TKU17" s="414"/>
      <c r="TKV17" s="414"/>
      <c r="TKW17" s="414"/>
      <c r="TKX17" s="414"/>
      <c r="TKY17" s="414"/>
      <c r="TKZ17" s="414"/>
      <c r="TLA17" s="414"/>
      <c r="TLB17" s="414"/>
      <c r="TLC17" s="414"/>
      <c r="TLD17" s="414"/>
      <c r="TLE17" s="414"/>
      <c r="TLF17" s="414"/>
      <c r="TLG17" s="414"/>
      <c r="TLH17" s="414"/>
      <c r="TLI17" s="414"/>
      <c r="TLJ17" s="414"/>
      <c r="TLK17" s="414"/>
      <c r="TLL17" s="414"/>
      <c r="TLM17" s="414"/>
      <c r="TLN17" s="414"/>
      <c r="TLO17" s="414"/>
      <c r="TLP17" s="414"/>
      <c r="TLQ17" s="414"/>
      <c r="TLR17" s="414"/>
      <c r="TLS17" s="414"/>
      <c r="TLT17" s="414"/>
      <c r="TLU17" s="414"/>
      <c r="TLV17" s="414"/>
      <c r="TLW17" s="414"/>
      <c r="TLX17" s="414"/>
      <c r="TLY17" s="414"/>
      <c r="TLZ17" s="414"/>
      <c r="TMA17" s="414"/>
      <c r="TMB17" s="414"/>
      <c r="TMC17" s="414"/>
      <c r="TMD17" s="414"/>
      <c r="TME17" s="414"/>
      <c r="TMF17" s="414"/>
      <c r="TMG17" s="414"/>
      <c r="TMH17" s="414"/>
      <c r="TMI17" s="414"/>
      <c r="TMJ17" s="414"/>
      <c r="TMK17" s="414"/>
      <c r="TML17" s="414"/>
      <c r="TMM17" s="414"/>
      <c r="TMN17" s="414"/>
      <c r="TMO17" s="414"/>
      <c r="TMP17" s="414"/>
      <c r="TMQ17" s="414"/>
      <c r="TMR17" s="414"/>
      <c r="TMS17" s="414"/>
      <c r="TMT17" s="414"/>
      <c r="TMU17" s="414"/>
      <c r="TMV17" s="414"/>
      <c r="TMW17" s="414"/>
      <c r="TMX17" s="414"/>
      <c r="TMY17" s="414"/>
      <c r="TMZ17" s="414"/>
      <c r="TNA17" s="414"/>
      <c r="TNB17" s="414"/>
      <c r="TNC17" s="414"/>
      <c r="TND17" s="414"/>
      <c r="TNE17" s="414"/>
      <c r="TNF17" s="414"/>
      <c r="TNG17" s="414"/>
      <c r="TNH17" s="414"/>
      <c r="TNI17" s="414"/>
      <c r="TNJ17" s="414"/>
      <c r="TNK17" s="414"/>
      <c r="TNL17" s="414"/>
      <c r="TNM17" s="414"/>
      <c r="TNN17" s="414"/>
      <c r="TNO17" s="414"/>
      <c r="TNP17" s="414"/>
      <c r="TNQ17" s="414"/>
      <c r="TNR17" s="414"/>
      <c r="TNS17" s="414"/>
      <c r="TNT17" s="414"/>
      <c r="TNU17" s="414"/>
      <c r="TNV17" s="414"/>
      <c r="TNW17" s="414"/>
      <c r="TNX17" s="414"/>
      <c r="TNY17" s="414"/>
      <c r="TNZ17" s="414"/>
      <c r="TOA17" s="414"/>
      <c r="TOB17" s="414"/>
      <c r="TOC17" s="414"/>
      <c r="TOD17" s="414"/>
      <c r="TOE17" s="414"/>
      <c r="TOF17" s="414"/>
      <c r="TOG17" s="414"/>
      <c r="TOH17" s="414"/>
      <c r="TOI17" s="414"/>
      <c r="TOJ17" s="414"/>
      <c r="TOK17" s="414"/>
      <c r="TOL17" s="414"/>
      <c r="TOM17" s="414"/>
      <c r="TON17" s="414"/>
      <c r="TOO17" s="414"/>
      <c r="TOP17" s="414"/>
      <c r="TOQ17" s="414"/>
      <c r="TOR17" s="414"/>
      <c r="TOS17" s="414"/>
      <c r="TOT17" s="414"/>
      <c r="TOU17" s="414"/>
      <c r="TOV17" s="414"/>
      <c r="TOW17" s="414"/>
      <c r="TOX17" s="414"/>
      <c r="TOY17" s="414"/>
      <c r="TOZ17" s="414"/>
      <c r="TPA17" s="414"/>
      <c r="TPB17" s="414"/>
      <c r="TPC17" s="414"/>
      <c r="TPD17" s="414"/>
      <c r="TPE17" s="414"/>
      <c r="TPF17" s="414"/>
      <c r="TPG17" s="414"/>
      <c r="TPH17" s="414"/>
      <c r="TPI17" s="414"/>
      <c r="TPJ17" s="414"/>
      <c r="TPK17" s="414"/>
      <c r="TPL17" s="414"/>
      <c r="TPM17" s="414"/>
      <c r="TPN17" s="414"/>
      <c r="TPO17" s="414"/>
      <c r="TPP17" s="414"/>
      <c r="TPQ17" s="414"/>
      <c r="TPR17" s="414"/>
      <c r="TPS17" s="414"/>
      <c r="TPT17" s="414"/>
      <c r="TPU17" s="414"/>
      <c r="TPV17" s="414"/>
      <c r="TPW17" s="414"/>
      <c r="TPX17" s="414"/>
      <c r="TPY17" s="414"/>
      <c r="TPZ17" s="414"/>
      <c r="TQA17" s="414"/>
      <c r="TQB17" s="414"/>
      <c r="TQC17" s="414"/>
      <c r="TQD17" s="414"/>
      <c r="TQE17" s="414"/>
      <c r="TQF17" s="414"/>
      <c r="TQG17" s="414"/>
      <c r="TQH17" s="414"/>
      <c r="TQI17" s="414"/>
      <c r="TQJ17" s="414"/>
      <c r="TQK17" s="414"/>
      <c r="TQL17" s="414"/>
      <c r="TQM17" s="414"/>
      <c r="TQN17" s="414"/>
      <c r="TQO17" s="414"/>
      <c r="TQP17" s="414"/>
      <c r="TQQ17" s="414"/>
      <c r="TQR17" s="414"/>
      <c r="TQS17" s="414"/>
      <c r="TQT17" s="414"/>
      <c r="TQU17" s="414"/>
      <c r="TQV17" s="414"/>
      <c r="TQW17" s="414"/>
      <c r="TQX17" s="414"/>
      <c r="TQY17" s="414"/>
      <c r="TQZ17" s="414"/>
      <c r="TRA17" s="414"/>
      <c r="TRB17" s="414"/>
      <c r="TRC17" s="414"/>
      <c r="TRD17" s="414"/>
      <c r="TRE17" s="414"/>
      <c r="TRF17" s="414"/>
      <c r="TRG17" s="414"/>
      <c r="TRH17" s="414"/>
      <c r="TRI17" s="414"/>
      <c r="TRJ17" s="414"/>
      <c r="TRK17" s="414"/>
      <c r="TRL17" s="414"/>
      <c r="TRM17" s="414"/>
      <c r="TRN17" s="414"/>
      <c r="TRO17" s="414"/>
      <c r="TRP17" s="414"/>
      <c r="TRQ17" s="414"/>
      <c r="TRR17" s="414"/>
      <c r="TRS17" s="414"/>
      <c r="TRT17" s="414"/>
      <c r="TRU17" s="414"/>
      <c r="TRV17" s="414"/>
      <c r="TRW17" s="414"/>
      <c r="TRX17" s="414"/>
      <c r="TRY17" s="414"/>
      <c r="TRZ17" s="414"/>
      <c r="TSA17" s="414"/>
      <c r="TSB17" s="414"/>
      <c r="TSC17" s="414"/>
      <c r="TSD17" s="414"/>
      <c r="TSE17" s="414"/>
      <c r="TSF17" s="414"/>
      <c r="TSG17" s="414"/>
      <c r="TSH17" s="414"/>
      <c r="TSI17" s="414"/>
      <c r="TSJ17" s="414"/>
      <c r="TSK17" s="414"/>
      <c r="TSL17" s="414"/>
      <c r="TSM17" s="414"/>
      <c r="TSN17" s="414"/>
      <c r="TSO17" s="414"/>
      <c r="TSP17" s="414"/>
      <c r="TSQ17" s="414"/>
      <c r="TSR17" s="414"/>
      <c r="TSS17" s="414"/>
      <c r="TST17" s="414"/>
      <c r="TSU17" s="414"/>
      <c r="TSV17" s="414"/>
      <c r="TSW17" s="414"/>
      <c r="TSX17" s="414"/>
      <c r="TSY17" s="414"/>
      <c r="TSZ17" s="414"/>
      <c r="TTA17" s="414"/>
      <c r="TTB17" s="414"/>
      <c r="TTC17" s="414"/>
      <c r="TTD17" s="414"/>
      <c r="TTE17" s="414"/>
      <c r="TTF17" s="414"/>
      <c r="TTG17" s="414"/>
      <c r="TTH17" s="414"/>
      <c r="TTI17" s="414"/>
      <c r="TTJ17" s="414"/>
      <c r="TTK17" s="414"/>
      <c r="TTL17" s="414"/>
      <c r="TTM17" s="414"/>
      <c r="TTN17" s="414"/>
      <c r="TTO17" s="414"/>
      <c r="TTP17" s="414"/>
      <c r="TTQ17" s="414"/>
      <c r="TTR17" s="414"/>
      <c r="TTS17" s="414"/>
      <c r="TTT17" s="414"/>
      <c r="TTU17" s="414"/>
      <c r="TTV17" s="414"/>
      <c r="TTW17" s="414"/>
      <c r="TTX17" s="414"/>
      <c r="TTY17" s="414"/>
      <c r="TTZ17" s="414"/>
      <c r="TUA17" s="414"/>
      <c r="TUB17" s="414"/>
      <c r="TUC17" s="414"/>
      <c r="TUD17" s="414"/>
      <c r="TUE17" s="414"/>
      <c r="TUF17" s="414"/>
      <c r="TUG17" s="414"/>
      <c r="TUH17" s="414"/>
      <c r="TUI17" s="414"/>
      <c r="TUJ17" s="414"/>
      <c r="TUK17" s="414"/>
      <c r="TUL17" s="414"/>
      <c r="TUM17" s="414"/>
      <c r="TUN17" s="414"/>
      <c r="TUO17" s="414"/>
      <c r="TUP17" s="414"/>
      <c r="TUQ17" s="414"/>
      <c r="TUR17" s="414"/>
      <c r="TUS17" s="414"/>
      <c r="TUT17" s="414"/>
      <c r="TUU17" s="414"/>
      <c r="TUV17" s="414"/>
      <c r="TUW17" s="414"/>
      <c r="TUX17" s="414"/>
      <c r="TUY17" s="414"/>
      <c r="TUZ17" s="414"/>
      <c r="TVA17" s="414"/>
      <c r="TVB17" s="414"/>
      <c r="TVC17" s="414"/>
      <c r="TVD17" s="414"/>
      <c r="TVE17" s="414"/>
      <c r="TVF17" s="414"/>
      <c r="TVG17" s="414"/>
      <c r="TVH17" s="414"/>
      <c r="TVI17" s="414"/>
      <c r="TVJ17" s="414"/>
      <c r="TVK17" s="414"/>
      <c r="TVL17" s="414"/>
      <c r="TVM17" s="414"/>
      <c r="TVN17" s="414"/>
      <c r="TVO17" s="414"/>
      <c r="TVP17" s="414"/>
      <c r="TVQ17" s="414"/>
      <c r="TVR17" s="414"/>
      <c r="TVS17" s="414"/>
      <c r="TVT17" s="414"/>
      <c r="TVU17" s="414"/>
      <c r="TVV17" s="414"/>
      <c r="TVW17" s="414"/>
      <c r="TVX17" s="414"/>
      <c r="TVY17" s="414"/>
      <c r="TVZ17" s="414"/>
      <c r="TWA17" s="414"/>
      <c r="TWB17" s="414"/>
      <c r="TWC17" s="414"/>
      <c r="TWD17" s="414"/>
      <c r="TWE17" s="414"/>
      <c r="TWF17" s="414"/>
      <c r="TWG17" s="414"/>
      <c r="TWH17" s="414"/>
      <c r="TWI17" s="414"/>
      <c r="TWJ17" s="414"/>
      <c r="TWK17" s="414"/>
      <c r="TWL17" s="414"/>
      <c r="TWM17" s="414"/>
      <c r="TWN17" s="414"/>
      <c r="TWO17" s="414"/>
      <c r="TWP17" s="414"/>
      <c r="TWQ17" s="414"/>
      <c r="TWR17" s="414"/>
      <c r="TWS17" s="414"/>
      <c r="TWT17" s="414"/>
      <c r="TWU17" s="414"/>
      <c r="TWV17" s="414"/>
      <c r="TWW17" s="414"/>
      <c r="TWX17" s="414"/>
      <c r="TWY17" s="414"/>
      <c r="TWZ17" s="414"/>
      <c r="TXA17" s="414"/>
      <c r="TXB17" s="414"/>
      <c r="TXC17" s="414"/>
      <c r="TXD17" s="414"/>
      <c r="TXE17" s="414"/>
      <c r="TXF17" s="414"/>
      <c r="TXG17" s="414"/>
      <c r="TXH17" s="414"/>
      <c r="TXI17" s="414"/>
      <c r="TXJ17" s="414"/>
      <c r="TXK17" s="414"/>
      <c r="TXL17" s="414"/>
      <c r="TXM17" s="414"/>
      <c r="TXN17" s="414"/>
      <c r="TXO17" s="414"/>
      <c r="TXP17" s="414"/>
      <c r="TXQ17" s="414"/>
      <c r="TXR17" s="414"/>
      <c r="TXS17" s="414"/>
      <c r="TXT17" s="414"/>
      <c r="TXU17" s="414"/>
      <c r="TXV17" s="414"/>
      <c r="TXW17" s="414"/>
      <c r="TXX17" s="414"/>
      <c r="TXY17" s="414"/>
      <c r="TXZ17" s="414"/>
      <c r="TYA17" s="414"/>
      <c r="TYB17" s="414"/>
      <c r="TYC17" s="414"/>
      <c r="TYD17" s="414"/>
      <c r="TYE17" s="414"/>
      <c r="TYF17" s="414"/>
      <c r="TYG17" s="414"/>
      <c r="TYH17" s="414"/>
      <c r="TYI17" s="414"/>
      <c r="TYJ17" s="414"/>
      <c r="TYK17" s="414"/>
      <c r="TYL17" s="414"/>
      <c r="TYM17" s="414"/>
      <c r="TYN17" s="414"/>
      <c r="TYO17" s="414"/>
      <c r="TYP17" s="414"/>
      <c r="TYQ17" s="414"/>
      <c r="TYR17" s="414"/>
      <c r="TYS17" s="414"/>
      <c r="TYT17" s="414"/>
      <c r="TYU17" s="414"/>
      <c r="TYV17" s="414"/>
      <c r="TYW17" s="414"/>
      <c r="TYX17" s="414"/>
      <c r="TYY17" s="414"/>
      <c r="TYZ17" s="414"/>
      <c r="TZA17" s="414"/>
      <c r="TZB17" s="414"/>
      <c r="TZC17" s="414"/>
      <c r="TZD17" s="414"/>
      <c r="TZE17" s="414"/>
      <c r="TZF17" s="414"/>
      <c r="TZG17" s="414"/>
      <c r="TZH17" s="414"/>
      <c r="TZI17" s="414"/>
      <c r="TZJ17" s="414"/>
      <c r="TZK17" s="414"/>
      <c r="TZL17" s="414"/>
      <c r="TZM17" s="414"/>
      <c r="TZN17" s="414"/>
      <c r="TZO17" s="414"/>
      <c r="TZP17" s="414"/>
      <c r="TZQ17" s="414"/>
      <c r="TZR17" s="414"/>
      <c r="TZS17" s="414"/>
      <c r="TZT17" s="414"/>
      <c r="TZU17" s="414"/>
      <c r="TZV17" s="414"/>
      <c r="TZW17" s="414"/>
      <c r="TZX17" s="414"/>
      <c r="TZY17" s="414"/>
      <c r="TZZ17" s="414"/>
      <c r="UAA17" s="414"/>
      <c r="UAB17" s="414"/>
      <c r="UAC17" s="414"/>
      <c r="UAD17" s="414"/>
      <c r="UAE17" s="414"/>
      <c r="UAF17" s="414"/>
      <c r="UAG17" s="414"/>
      <c r="UAH17" s="414"/>
      <c r="UAI17" s="414"/>
      <c r="UAJ17" s="414"/>
      <c r="UAK17" s="414"/>
      <c r="UAL17" s="414"/>
      <c r="UAM17" s="414"/>
      <c r="UAN17" s="414"/>
      <c r="UAO17" s="414"/>
      <c r="UAP17" s="414"/>
      <c r="UAQ17" s="414"/>
      <c r="UAR17" s="414"/>
      <c r="UAS17" s="414"/>
      <c r="UAT17" s="414"/>
      <c r="UAU17" s="414"/>
      <c r="UAV17" s="414"/>
      <c r="UAW17" s="414"/>
      <c r="UAX17" s="414"/>
      <c r="UAY17" s="414"/>
      <c r="UAZ17" s="414"/>
      <c r="UBA17" s="414"/>
      <c r="UBB17" s="414"/>
      <c r="UBC17" s="414"/>
      <c r="UBD17" s="414"/>
      <c r="UBE17" s="414"/>
      <c r="UBF17" s="414"/>
      <c r="UBG17" s="414"/>
      <c r="UBH17" s="414"/>
      <c r="UBI17" s="414"/>
      <c r="UBJ17" s="414"/>
      <c r="UBK17" s="414"/>
      <c r="UBL17" s="414"/>
      <c r="UBM17" s="414"/>
      <c r="UBN17" s="414"/>
      <c r="UBO17" s="414"/>
      <c r="UBP17" s="414"/>
      <c r="UBQ17" s="414"/>
      <c r="UBR17" s="414"/>
      <c r="UBS17" s="414"/>
      <c r="UBT17" s="414"/>
      <c r="UBU17" s="414"/>
      <c r="UBV17" s="414"/>
      <c r="UBW17" s="414"/>
      <c r="UBX17" s="414"/>
      <c r="UBY17" s="414"/>
      <c r="UBZ17" s="414"/>
      <c r="UCA17" s="414"/>
      <c r="UCB17" s="414"/>
      <c r="UCC17" s="414"/>
      <c r="UCD17" s="414"/>
      <c r="UCE17" s="414"/>
      <c r="UCF17" s="414"/>
      <c r="UCG17" s="414"/>
      <c r="UCH17" s="414"/>
      <c r="UCI17" s="414"/>
      <c r="UCJ17" s="414"/>
      <c r="UCK17" s="414"/>
      <c r="UCL17" s="414"/>
      <c r="UCM17" s="414"/>
      <c r="UCN17" s="414"/>
      <c r="UCO17" s="414"/>
      <c r="UCP17" s="414"/>
      <c r="UCQ17" s="414"/>
      <c r="UCR17" s="414"/>
      <c r="UCS17" s="414"/>
      <c r="UCT17" s="414"/>
      <c r="UCU17" s="414"/>
      <c r="UCV17" s="414"/>
      <c r="UCW17" s="414"/>
      <c r="UCX17" s="414"/>
      <c r="UCY17" s="414"/>
      <c r="UCZ17" s="414"/>
      <c r="UDA17" s="414"/>
      <c r="UDB17" s="414"/>
      <c r="UDC17" s="414"/>
      <c r="UDD17" s="414"/>
      <c r="UDE17" s="414"/>
      <c r="UDF17" s="414"/>
      <c r="UDG17" s="414"/>
      <c r="UDH17" s="414"/>
      <c r="UDI17" s="414"/>
      <c r="UDJ17" s="414"/>
      <c r="UDK17" s="414"/>
      <c r="UDL17" s="414"/>
      <c r="UDM17" s="414"/>
      <c r="UDN17" s="414"/>
      <c r="UDO17" s="414"/>
      <c r="UDP17" s="414"/>
      <c r="UDQ17" s="414"/>
      <c r="UDR17" s="414"/>
      <c r="UDS17" s="414"/>
      <c r="UDT17" s="414"/>
      <c r="UDU17" s="414"/>
      <c r="UDV17" s="414"/>
      <c r="UDW17" s="414"/>
      <c r="UDX17" s="414"/>
      <c r="UDY17" s="414"/>
      <c r="UDZ17" s="414"/>
      <c r="UEA17" s="414"/>
      <c r="UEB17" s="414"/>
      <c r="UEC17" s="414"/>
      <c r="UED17" s="414"/>
      <c r="UEE17" s="414"/>
      <c r="UEF17" s="414"/>
      <c r="UEG17" s="414"/>
      <c r="UEH17" s="414"/>
      <c r="UEI17" s="414"/>
      <c r="UEJ17" s="414"/>
      <c r="UEK17" s="414"/>
      <c r="UEL17" s="414"/>
      <c r="UEM17" s="414"/>
      <c r="UEN17" s="414"/>
      <c r="UEO17" s="414"/>
      <c r="UEP17" s="414"/>
      <c r="UEQ17" s="414"/>
      <c r="UER17" s="414"/>
      <c r="UES17" s="414"/>
      <c r="UET17" s="414"/>
      <c r="UEU17" s="414"/>
      <c r="UEV17" s="414"/>
      <c r="UEW17" s="414"/>
      <c r="UEX17" s="414"/>
      <c r="UEY17" s="414"/>
      <c r="UEZ17" s="414"/>
      <c r="UFA17" s="414"/>
      <c r="UFB17" s="414"/>
      <c r="UFC17" s="414"/>
      <c r="UFD17" s="414"/>
      <c r="UFE17" s="414"/>
      <c r="UFF17" s="414"/>
      <c r="UFG17" s="414"/>
      <c r="UFH17" s="414"/>
      <c r="UFI17" s="414"/>
      <c r="UFJ17" s="414"/>
      <c r="UFK17" s="414"/>
      <c r="UFL17" s="414"/>
      <c r="UFM17" s="414"/>
      <c r="UFN17" s="414"/>
      <c r="UFO17" s="414"/>
      <c r="UFP17" s="414"/>
      <c r="UFQ17" s="414"/>
      <c r="UFR17" s="414"/>
      <c r="UFS17" s="414"/>
      <c r="UFT17" s="414"/>
      <c r="UFU17" s="414"/>
      <c r="UFV17" s="414"/>
      <c r="UFW17" s="414"/>
      <c r="UFX17" s="414"/>
      <c r="UFY17" s="414"/>
      <c r="UFZ17" s="414"/>
      <c r="UGA17" s="414"/>
      <c r="UGB17" s="414"/>
      <c r="UGC17" s="414"/>
      <c r="UGD17" s="414"/>
      <c r="UGE17" s="414"/>
      <c r="UGF17" s="414"/>
      <c r="UGG17" s="414"/>
      <c r="UGH17" s="414"/>
      <c r="UGI17" s="414"/>
      <c r="UGJ17" s="414"/>
      <c r="UGK17" s="414"/>
      <c r="UGL17" s="414"/>
      <c r="UGM17" s="414"/>
      <c r="UGN17" s="414"/>
      <c r="UGO17" s="414"/>
      <c r="UGP17" s="414"/>
      <c r="UGQ17" s="414"/>
      <c r="UGR17" s="414"/>
      <c r="UGS17" s="414"/>
      <c r="UGT17" s="414"/>
      <c r="UGU17" s="414"/>
      <c r="UGV17" s="414"/>
      <c r="UGW17" s="414"/>
      <c r="UGX17" s="414"/>
      <c r="UGY17" s="414"/>
      <c r="UGZ17" s="414"/>
      <c r="UHA17" s="414"/>
      <c r="UHB17" s="414"/>
      <c r="UHC17" s="414"/>
      <c r="UHD17" s="414"/>
      <c r="UHE17" s="414"/>
      <c r="UHF17" s="414"/>
      <c r="UHG17" s="414"/>
      <c r="UHH17" s="414"/>
      <c r="UHI17" s="414"/>
      <c r="UHJ17" s="414"/>
      <c r="UHK17" s="414"/>
      <c r="UHL17" s="414"/>
      <c r="UHM17" s="414"/>
      <c r="UHN17" s="414"/>
      <c r="UHO17" s="414"/>
      <c r="UHP17" s="414"/>
      <c r="UHQ17" s="414"/>
      <c r="UHR17" s="414"/>
      <c r="UHS17" s="414"/>
      <c r="UHT17" s="414"/>
      <c r="UHU17" s="414"/>
      <c r="UHV17" s="414"/>
      <c r="UHW17" s="414"/>
      <c r="UHX17" s="414"/>
      <c r="UHY17" s="414"/>
      <c r="UHZ17" s="414"/>
      <c r="UIA17" s="414"/>
      <c r="UIB17" s="414"/>
      <c r="UIC17" s="414"/>
      <c r="UID17" s="414"/>
      <c r="UIE17" s="414"/>
      <c r="UIF17" s="414"/>
      <c r="UIG17" s="414"/>
      <c r="UIH17" s="414"/>
      <c r="UII17" s="414"/>
      <c r="UIJ17" s="414"/>
      <c r="UIK17" s="414"/>
      <c r="UIL17" s="414"/>
      <c r="UIM17" s="414"/>
      <c r="UIN17" s="414"/>
      <c r="UIO17" s="414"/>
      <c r="UIP17" s="414"/>
      <c r="UIQ17" s="414"/>
      <c r="UIR17" s="414"/>
      <c r="UIS17" s="414"/>
      <c r="UIT17" s="414"/>
      <c r="UIU17" s="414"/>
      <c r="UIV17" s="414"/>
      <c r="UIW17" s="414"/>
      <c r="UIX17" s="414"/>
      <c r="UIY17" s="414"/>
      <c r="UIZ17" s="414"/>
      <c r="UJA17" s="414"/>
      <c r="UJB17" s="414"/>
      <c r="UJC17" s="414"/>
      <c r="UJD17" s="414"/>
      <c r="UJE17" s="414"/>
      <c r="UJF17" s="414"/>
      <c r="UJG17" s="414"/>
      <c r="UJH17" s="414"/>
      <c r="UJI17" s="414"/>
      <c r="UJJ17" s="414"/>
      <c r="UJK17" s="414"/>
      <c r="UJL17" s="414"/>
      <c r="UJM17" s="414"/>
      <c r="UJN17" s="414"/>
      <c r="UJO17" s="414"/>
      <c r="UJP17" s="414"/>
      <c r="UJQ17" s="414"/>
      <c r="UJR17" s="414"/>
      <c r="UJS17" s="414"/>
      <c r="UJT17" s="414"/>
      <c r="UJU17" s="414"/>
      <c r="UJV17" s="414"/>
      <c r="UJW17" s="414"/>
      <c r="UJX17" s="414"/>
      <c r="UJY17" s="414"/>
      <c r="UJZ17" s="414"/>
      <c r="UKA17" s="414"/>
      <c r="UKB17" s="414"/>
      <c r="UKC17" s="414"/>
      <c r="UKD17" s="414"/>
      <c r="UKE17" s="414"/>
      <c r="UKF17" s="414"/>
      <c r="UKG17" s="414"/>
      <c r="UKH17" s="414"/>
      <c r="UKI17" s="414"/>
      <c r="UKJ17" s="414"/>
      <c r="UKK17" s="414"/>
      <c r="UKL17" s="414"/>
      <c r="UKM17" s="414"/>
      <c r="UKN17" s="414"/>
      <c r="UKO17" s="414"/>
      <c r="UKP17" s="414"/>
      <c r="UKQ17" s="414"/>
      <c r="UKR17" s="414"/>
      <c r="UKS17" s="414"/>
      <c r="UKT17" s="414"/>
      <c r="UKU17" s="414"/>
      <c r="UKV17" s="414"/>
      <c r="UKW17" s="414"/>
      <c r="UKX17" s="414"/>
      <c r="UKY17" s="414"/>
      <c r="UKZ17" s="414"/>
      <c r="ULA17" s="414"/>
      <c r="ULB17" s="414"/>
      <c r="ULC17" s="414"/>
      <c r="ULD17" s="414"/>
      <c r="ULE17" s="414"/>
      <c r="ULF17" s="414"/>
      <c r="ULG17" s="414"/>
      <c r="ULH17" s="414"/>
      <c r="ULI17" s="414"/>
      <c r="ULJ17" s="414"/>
      <c r="ULK17" s="414"/>
      <c r="ULL17" s="414"/>
      <c r="ULM17" s="414"/>
      <c r="ULN17" s="414"/>
      <c r="ULO17" s="414"/>
      <c r="ULP17" s="414"/>
      <c r="ULQ17" s="414"/>
      <c r="ULR17" s="414"/>
      <c r="ULS17" s="414"/>
      <c r="ULT17" s="414"/>
      <c r="ULU17" s="414"/>
      <c r="ULV17" s="414"/>
      <c r="ULW17" s="414"/>
      <c r="ULX17" s="414"/>
      <c r="ULY17" s="414"/>
      <c r="ULZ17" s="414"/>
      <c r="UMA17" s="414"/>
      <c r="UMB17" s="414"/>
      <c r="UMC17" s="414"/>
      <c r="UMD17" s="414"/>
      <c r="UME17" s="414"/>
      <c r="UMF17" s="414"/>
      <c r="UMG17" s="414"/>
      <c r="UMH17" s="414"/>
      <c r="UMI17" s="414"/>
      <c r="UMJ17" s="414"/>
      <c r="UMK17" s="414"/>
      <c r="UML17" s="414"/>
      <c r="UMM17" s="414"/>
      <c r="UMN17" s="414"/>
      <c r="UMO17" s="414"/>
      <c r="UMP17" s="414"/>
      <c r="UMQ17" s="414"/>
      <c r="UMR17" s="414"/>
      <c r="UMS17" s="414"/>
      <c r="UMT17" s="414"/>
      <c r="UMU17" s="414"/>
      <c r="UMV17" s="414"/>
      <c r="UMW17" s="414"/>
      <c r="UMX17" s="414"/>
      <c r="UMY17" s="414"/>
      <c r="UMZ17" s="414"/>
      <c r="UNA17" s="414"/>
      <c r="UNB17" s="414"/>
      <c r="UNC17" s="414"/>
      <c r="UND17" s="414"/>
      <c r="UNE17" s="414"/>
      <c r="UNF17" s="414"/>
      <c r="UNG17" s="414"/>
      <c r="UNH17" s="414"/>
      <c r="UNI17" s="414"/>
      <c r="UNJ17" s="414"/>
      <c r="UNK17" s="414"/>
      <c r="UNL17" s="414"/>
      <c r="UNM17" s="414"/>
      <c r="UNN17" s="414"/>
      <c r="UNO17" s="414"/>
      <c r="UNP17" s="414"/>
      <c r="UNQ17" s="414"/>
      <c r="UNR17" s="414"/>
      <c r="UNS17" s="414"/>
      <c r="UNT17" s="414"/>
      <c r="UNU17" s="414"/>
      <c r="UNV17" s="414"/>
      <c r="UNW17" s="414"/>
      <c r="UNX17" s="414"/>
      <c r="UNY17" s="414"/>
      <c r="UNZ17" s="414"/>
      <c r="UOA17" s="414"/>
      <c r="UOB17" s="414"/>
      <c r="UOC17" s="414"/>
      <c r="UOD17" s="414"/>
      <c r="UOE17" s="414"/>
      <c r="UOF17" s="414"/>
      <c r="UOG17" s="414"/>
      <c r="UOH17" s="414"/>
      <c r="UOI17" s="414"/>
      <c r="UOJ17" s="414"/>
      <c r="UOK17" s="414"/>
      <c r="UOL17" s="414"/>
      <c r="UOM17" s="414"/>
      <c r="UON17" s="414"/>
      <c r="UOO17" s="414"/>
      <c r="UOP17" s="414"/>
      <c r="UOQ17" s="414"/>
      <c r="UOR17" s="414"/>
      <c r="UOS17" s="414"/>
      <c r="UOT17" s="414"/>
      <c r="UOU17" s="414"/>
      <c r="UOV17" s="414"/>
      <c r="UOW17" s="414"/>
      <c r="UOX17" s="414"/>
      <c r="UOY17" s="414"/>
      <c r="UOZ17" s="414"/>
      <c r="UPA17" s="414"/>
      <c r="UPB17" s="414"/>
      <c r="UPC17" s="414"/>
      <c r="UPD17" s="414"/>
      <c r="UPE17" s="414"/>
      <c r="UPF17" s="414"/>
      <c r="UPG17" s="414"/>
      <c r="UPH17" s="414"/>
      <c r="UPI17" s="414"/>
      <c r="UPJ17" s="414"/>
      <c r="UPK17" s="414"/>
      <c r="UPL17" s="414"/>
      <c r="UPM17" s="414"/>
      <c r="UPN17" s="414"/>
      <c r="UPO17" s="414"/>
      <c r="UPP17" s="414"/>
      <c r="UPQ17" s="414"/>
      <c r="UPR17" s="414"/>
      <c r="UPS17" s="414"/>
      <c r="UPT17" s="414"/>
      <c r="UPU17" s="414"/>
      <c r="UPV17" s="414"/>
      <c r="UPW17" s="414"/>
      <c r="UPX17" s="414"/>
      <c r="UPY17" s="414"/>
      <c r="UPZ17" s="414"/>
      <c r="UQA17" s="414"/>
      <c r="UQB17" s="414"/>
      <c r="UQC17" s="414"/>
      <c r="UQD17" s="414"/>
      <c r="UQE17" s="414"/>
      <c r="UQF17" s="414"/>
      <c r="UQG17" s="414"/>
      <c r="UQH17" s="414"/>
      <c r="UQI17" s="414"/>
      <c r="UQJ17" s="414"/>
      <c r="UQK17" s="414"/>
      <c r="UQL17" s="414"/>
      <c r="UQM17" s="414"/>
      <c r="UQN17" s="414"/>
      <c r="UQO17" s="414"/>
      <c r="UQP17" s="414"/>
      <c r="UQQ17" s="414"/>
      <c r="UQR17" s="414"/>
      <c r="UQS17" s="414"/>
      <c r="UQT17" s="414"/>
      <c r="UQU17" s="414"/>
      <c r="UQV17" s="414"/>
      <c r="UQW17" s="414"/>
      <c r="UQX17" s="414"/>
      <c r="UQY17" s="414"/>
      <c r="UQZ17" s="414"/>
      <c r="URA17" s="414"/>
      <c r="URB17" s="414"/>
      <c r="URC17" s="414"/>
      <c r="URD17" s="414"/>
      <c r="URE17" s="414"/>
      <c r="URF17" s="414"/>
      <c r="URG17" s="414"/>
      <c r="URH17" s="414"/>
      <c r="URI17" s="414"/>
      <c r="URJ17" s="414"/>
      <c r="URK17" s="414"/>
      <c r="URL17" s="414"/>
      <c r="URM17" s="414"/>
      <c r="URN17" s="414"/>
      <c r="URO17" s="414"/>
      <c r="URP17" s="414"/>
      <c r="URQ17" s="414"/>
      <c r="URR17" s="414"/>
      <c r="URS17" s="414"/>
      <c r="URT17" s="414"/>
      <c r="URU17" s="414"/>
      <c r="URV17" s="414"/>
      <c r="URW17" s="414"/>
      <c r="URX17" s="414"/>
      <c r="URY17" s="414"/>
      <c r="URZ17" s="414"/>
      <c r="USA17" s="414"/>
      <c r="USB17" s="414"/>
      <c r="USC17" s="414"/>
      <c r="USD17" s="414"/>
      <c r="USE17" s="414"/>
      <c r="USF17" s="414"/>
      <c r="USG17" s="414"/>
      <c r="USH17" s="414"/>
      <c r="USI17" s="414"/>
      <c r="USJ17" s="414"/>
      <c r="USK17" s="414"/>
      <c r="USL17" s="414"/>
      <c r="USM17" s="414"/>
      <c r="USN17" s="414"/>
      <c r="USO17" s="414"/>
      <c r="USP17" s="414"/>
      <c r="USQ17" s="414"/>
      <c r="USR17" s="414"/>
      <c r="USS17" s="414"/>
      <c r="UST17" s="414"/>
      <c r="USU17" s="414"/>
      <c r="USV17" s="414"/>
      <c r="USW17" s="414"/>
      <c r="USX17" s="414"/>
      <c r="USY17" s="414"/>
      <c r="USZ17" s="414"/>
      <c r="UTA17" s="414"/>
      <c r="UTB17" s="414"/>
      <c r="UTC17" s="414"/>
      <c r="UTD17" s="414"/>
      <c r="UTE17" s="414"/>
      <c r="UTF17" s="414"/>
      <c r="UTG17" s="414"/>
      <c r="UTH17" s="414"/>
      <c r="UTI17" s="414"/>
      <c r="UTJ17" s="414"/>
      <c r="UTK17" s="414"/>
      <c r="UTL17" s="414"/>
      <c r="UTM17" s="414"/>
      <c r="UTN17" s="414"/>
      <c r="UTO17" s="414"/>
      <c r="UTP17" s="414"/>
      <c r="UTQ17" s="414"/>
      <c r="UTR17" s="414"/>
      <c r="UTS17" s="414"/>
      <c r="UTT17" s="414"/>
      <c r="UTU17" s="414"/>
      <c r="UTV17" s="414"/>
      <c r="UTW17" s="414"/>
      <c r="UTX17" s="414"/>
      <c r="UTY17" s="414"/>
      <c r="UTZ17" s="414"/>
      <c r="UUA17" s="414"/>
      <c r="UUB17" s="414"/>
      <c r="UUC17" s="414"/>
      <c r="UUD17" s="414"/>
      <c r="UUE17" s="414"/>
      <c r="UUF17" s="414"/>
      <c r="UUG17" s="414"/>
      <c r="UUH17" s="414"/>
      <c r="UUI17" s="414"/>
      <c r="UUJ17" s="414"/>
      <c r="UUK17" s="414"/>
      <c r="UUL17" s="414"/>
      <c r="UUM17" s="414"/>
      <c r="UUN17" s="414"/>
      <c r="UUO17" s="414"/>
      <c r="UUP17" s="414"/>
      <c r="UUQ17" s="414"/>
      <c r="UUR17" s="414"/>
      <c r="UUS17" s="414"/>
      <c r="UUT17" s="414"/>
      <c r="UUU17" s="414"/>
      <c r="UUV17" s="414"/>
      <c r="UUW17" s="414"/>
      <c r="UUX17" s="414"/>
      <c r="UUY17" s="414"/>
      <c r="UUZ17" s="414"/>
      <c r="UVA17" s="414"/>
      <c r="UVB17" s="414"/>
      <c r="UVC17" s="414"/>
      <c r="UVD17" s="414"/>
      <c r="UVE17" s="414"/>
      <c r="UVF17" s="414"/>
      <c r="UVG17" s="414"/>
      <c r="UVH17" s="414"/>
      <c r="UVI17" s="414"/>
      <c r="UVJ17" s="414"/>
      <c r="UVK17" s="414"/>
      <c r="UVL17" s="414"/>
      <c r="UVM17" s="414"/>
      <c r="UVN17" s="414"/>
      <c r="UVO17" s="414"/>
      <c r="UVP17" s="414"/>
      <c r="UVQ17" s="414"/>
      <c r="UVR17" s="414"/>
      <c r="UVS17" s="414"/>
      <c r="UVT17" s="414"/>
      <c r="UVU17" s="414"/>
      <c r="UVV17" s="414"/>
      <c r="UVW17" s="414"/>
      <c r="UVX17" s="414"/>
      <c r="UVY17" s="414"/>
      <c r="UVZ17" s="414"/>
      <c r="UWA17" s="414"/>
      <c r="UWB17" s="414"/>
      <c r="UWC17" s="414"/>
      <c r="UWD17" s="414"/>
      <c r="UWE17" s="414"/>
      <c r="UWF17" s="414"/>
      <c r="UWG17" s="414"/>
      <c r="UWH17" s="414"/>
      <c r="UWI17" s="414"/>
      <c r="UWJ17" s="414"/>
      <c r="UWK17" s="414"/>
      <c r="UWL17" s="414"/>
      <c r="UWM17" s="414"/>
      <c r="UWN17" s="414"/>
      <c r="UWO17" s="414"/>
      <c r="UWP17" s="414"/>
      <c r="UWQ17" s="414"/>
      <c r="UWR17" s="414"/>
      <c r="UWS17" s="414"/>
      <c r="UWT17" s="414"/>
      <c r="UWU17" s="414"/>
      <c r="UWV17" s="414"/>
      <c r="UWW17" s="414"/>
      <c r="UWX17" s="414"/>
      <c r="UWY17" s="414"/>
      <c r="UWZ17" s="414"/>
      <c r="UXA17" s="414"/>
      <c r="UXB17" s="414"/>
      <c r="UXC17" s="414"/>
      <c r="UXD17" s="414"/>
      <c r="UXE17" s="414"/>
      <c r="UXF17" s="414"/>
      <c r="UXG17" s="414"/>
      <c r="UXH17" s="414"/>
      <c r="UXI17" s="414"/>
      <c r="UXJ17" s="414"/>
      <c r="UXK17" s="414"/>
      <c r="UXL17" s="414"/>
      <c r="UXM17" s="414"/>
      <c r="UXN17" s="414"/>
      <c r="UXO17" s="414"/>
      <c r="UXP17" s="414"/>
      <c r="UXQ17" s="414"/>
      <c r="UXR17" s="414"/>
      <c r="UXS17" s="414"/>
      <c r="UXT17" s="414"/>
      <c r="UXU17" s="414"/>
      <c r="UXV17" s="414"/>
      <c r="UXW17" s="414"/>
      <c r="UXX17" s="414"/>
      <c r="UXY17" s="414"/>
      <c r="UXZ17" s="414"/>
      <c r="UYA17" s="414"/>
      <c r="UYB17" s="414"/>
      <c r="UYC17" s="414"/>
      <c r="UYD17" s="414"/>
      <c r="UYE17" s="414"/>
      <c r="UYF17" s="414"/>
      <c r="UYG17" s="414"/>
      <c r="UYH17" s="414"/>
      <c r="UYI17" s="414"/>
      <c r="UYJ17" s="414"/>
      <c r="UYK17" s="414"/>
      <c r="UYL17" s="414"/>
      <c r="UYM17" s="414"/>
      <c r="UYN17" s="414"/>
      <c r="UYO17" s="414"/>
      <c r="UYP17" s="414"/>
      <c r="UYQ17" s="414"/>
      <c r="UYR17" s="414"/>
      <c r="UYS17" s="414"/>
      <c r="UYT17" s="414"/>
      <c r="UYU17" s="414"/>
      <c r="UYV17" s="414"/>
      <c r="UYW17" s="414"/>
      <c r="UYX17" s="414"/>
      <c r="UYY17" s="414"/>
      <c r="UYZ17" s="414"/>
      <c r="UZA17" s="414"/>
      <c r="UZB17" s="414"/>
      <c r="UZC17" s="414"/>
      <c r="UZD17" s="414"/>
      <c r="UZE17" s="414"/>
      <c r="UZF17" s="414"/>
      <c r="UZG17" s="414"/>
      <c r="UZH17" s="414"/>
      <c r="UZI17" s="414"/>
      <c r="UZJ17" s="414"/>
      <c r="UZK17" s="414"/>
      <c r="UZL17" s="414"/>
      <c r="UZM17" s="414"/>
      <c r="UZN17" s="414"/>
      <c r="UZO17" s="414"/>
      <c r="UZP17" s="414"/>
      <c r="UZQ17" s="414"/>
      <c r="UZR17" s="414"/>
      <c r="UZS17" s="414"/>
      <c r="UZT17" s="414"/>
      <c r="UZU17" s="414"/>
      <c r="UZV17" s="414"/>
      <c r="UZW17" s="414"/>
      <c r="UZX17" s="414"/>
      <c r="UZY17" s="414"/>
      <c r="UZZ17" s="414"/>
      <c r="VAA17" s="414"/>
      <c r="VAB17" s="414"/>
      <c r="VAC17" s="414"/>
      <c r="VAD17" s="414"/>
      <c r="VAE17" s="414"/>
      <c r="VAF17" s="414"/>
      <c r="VAG17" s="414"/>
      <c r="VAH17" s="414"/>
      <c r="VAI17" s="414"/>
      <c r="VAJ17" s="414"/>
      <c r="VAK17" s="414"/>
      <c r="VAL17" s="414"/>
      <c r="VAM17" s="414"/>
      <c r="VAN17" s="414"/>
      <c r="VAO17" s="414"/>
      <c r="VAP17" s="414"/>
      <c r="VAQ17" s="414"/>
      <c r="VAR17" s="414"/>
      <c r="VAS17" s="414"/>
      <c r="VAT17" s="414"/>
      <c r="VAU17" s="414"/>
      <c r="VAV17" s="414"/>
      <c r="VAW17" s="414"/>
      <c r="VAX17" s="414"/>
      <c r="VAY17" s="414"/>
      <c r="VAZ17" s="414"/>
      <c r="VBA17" s="414"/>
      <c r="VBB17" s="414"/>
      <c r="VBC17" s="414"/>
      <c r="VBD17" s="414"/>
      <c r="VBE17" s="414"/>
      <c r="VBF17" s="414"/>
      <c r="VBG17" s="414"/>
      <c r="VBH17" s="414"/>
      <c r="VBI17" s="414"/>
      <c r="VBJ17" s="414"/>
      <c r="VBK17" s="414"/>
      <c r="VBL17" s="414"/>
      <c r="VBM17" s="414"/>
      <c r="VBN17" s="414"/>
      <c r="VBO17" s="414"/>
      <c r="VBP17" s="414"/>
      <c r="VBQ17" s="414"/>
      <c r="VBR17" s="414"/>
      <c r="VBS17" s="414"/>
      <c r="VBT17" s="414"/>
      <c r="VBU17" s="414"/>
      <c r="VBV17" s="414"/>
      <c r="VBW17" s="414"/>
      <c r="VBX17" s="414"/>
      <c r="VBY17" s="414"/>
      <c r="VBZ17" s="414"/>
      <c r="VCA17" s="414"/>
      <c r="VCB17" s="414"/>
      <c r="VCC17" s="414"/>
      <c r="VCD17" s="414"/>
      <c r="VCE17" s="414"/>
      <c r="VCF17" s="414"/>
      <c r="VCG17" s="414"/>
      <c r="VCH17" s="414"/>
      <c r="VCI17" s="414"/>
      <c r="VCJ17" s="414"/>
      <c r="VCK17" s="414"/>
      <c r="VCL17" s="414"/>
      <c r="VCM17" s="414"/>
      <c r="VCN17" s="414"/>
      <c r="VCO17" s="414"/>
      <c r="VCP17" s="414"/>
      <c r="VCQ17" s="414"/>
      <c r="VCR17" s="414"/>
      <c r="VCS17" s="414"/>
      <c r="VCT17" s="414"/>
      <c r="VCU17" s="414"/>
      <c r="VCV17" s="414"/>
      <c r="VCW17" s="414"/>
      <c r="VCX17" s="414"/>
      <c r="VCY17" s="414"/>
      <c r="VCZ17" s="414"/>
      <c r="VDA17" s="414"/>
      <c r="VDB17" s="414"/>
      <c r="VDC17" s="414"/>
      <c r="VDD17" s="414"/>
      <c r="VDE17" s="414"/>
      <c r="VDF17" s="414"/>
      <c r="VDG17" s="414"/>
      <c r="VDH17" s="414"/>
      <c r="VDI17" s="414"/>
      <c r="VDJ17" s="414"/>
      <c r="VDK17" s="414"/>
      <c r="VDL17" s="414"/>
      <c r="VDM17" s="414"/>
      <c r="VDN17" s="414"/>
      <c r="VDO17" s="414"/>
      <c r="VDP17" s="414"/>
      <c r="VDQ17" s="414"/>
      <c r="VDR17" s="414"/>
      <c r="VDS17" s="414"/>
      <c r="VDT17" s="414"/>
      <c r="VDU17" s="414"/>
      <c r="VDV17" s="414"/>
      <c r="VDW17" s="414"/>
      <c r="VDX17" s="414"/>
      <c r="VDY17" s="414"/>
      <c r="VDZ17" s="414"/>
      <c r="VEA17" s="414"/>
      <c r="VEB17" s="414"/>
      <c r="VEC17" s="414"/>
      <c r="VED17" s="414"/>
      <c r="VEE17" s="414"/>
      <c r="VEF17" s="414"/>
      <c r="VEG17" s="414"/>
      <c r="VEH17" s="414"/>
      <c r="VEI17" s="414"/>
      <c r="VEJ17" s="414"/>
      <c r="VEK17" s="414"/>
      <c r="VEL17" s="414"/>
      <c r="VEM17" s="414"/>
      <c r="VEN17" s="414"/>
      <c r="VEO17" s="414"/>
      <c r="VEP17" s="414"/>
      <c r="VEQ17" s="414"/>
      <c r="VER17" s="414"/>
      <c r="VES17" s="414"/>
      <c r="VET17" s="414"/>
      <c r="VEU17" s="414"/>
      <c r="VEV17" s="414"/>
      <c r="VEW17" s="414"/>
      <c r="VEX17" s="414"/>
      <c r="VEY17" s="414"/>
      <c r="VEZ17" s="414"/>
      <c r="VFA17" s="414"/>
      <c r="VFB17" s="414"/>
      <c r="VFC17" s="414"/>
      <c r="VFD17" s="414"/>
      <c r="VFE17" s="414"/>
      <c r="VFF17" s="414"/>
      <c r="VFG17" s="414"/>
      <c r="VFH17" s="414"/>
      <c r="VFI17" s="414"/>
      <c r="VFJ17" s="414"/>
      <c r="VFK17" s="414"/>
      <c r="VFL17" s="414"/>
      <c r="VFM17" s="414"/>
      <c r="VFN17" s="414"/>
      <c r="VFO17" s="414"/>
      <c r="VFP17" s="414"/>
      <c r="VFQ17" s="414"/>
      <c r="VFR17" s="414"/>
      <c r="VFS17" s="414"/>
      <c r="VFT17" s="414"/>
      <c r="VFU17" s="414"/>
      <c r="VFV17" s="414"/>
      <c r="VFW17" s="414"/>
      <c r="VFX17" s="414"/>
      <c r="VFY17" s="414"/>
      <c r="VFZ17" s="414"/>
      <c r="VGA17" s="414"/>
      <c r="VGB17" s="414"/>
      <c r="VGC17" s="414"/>
      <c r="VGD17" s="414"/>
      <c r="VGE17" s="414"/>
      <c r="VGF17" s="414"/>
      <c r="VGG17" s="414"/>
      <c r="VGH17" s="414"/>
      <c r="VGI17" s="414"/>
      <c r="VGJ17" s="414"/>
      <c r="VGK17" s="414"/>
      <c r="VGL17" s="414"/>
      <c r="VGM17" s="414"/>
      <c r="VGN17" s="414"/>
      <c r="VGO17" s="414"/>
      <c r="VGP17" s="414"/>
      <c r="VGQ17" s="414"/>
      <c r="VGR17" s="414"/>
      <c r="VGS17" s="414"/>
      <c r="VGT17" s="414"/>
      <c r="VGU17" s="414"/>
      <c r="VGV17" s="414"/>
      <c r="VGW17" s="414"/>
      <c r="VGX17" s="414"/>
      <c r="VGY17" s="414"/>
      <c r="VGZ17" s="414"/>
      <c r="VHA17" s="414"/>
      <c r="VHB17" s="414"/>
      <c r="VHC17" s="414"/>
      <c r="VHD17" s="414"/>
      <c r="VHE17" s="414"/>
      <c r="VHF17" s="414"/>
      <c r="VHG17" s="414"/>
      <c r="VHH17" s="414"/>
      <c r="VHI17" s="414"/>
      <c r="VHJ17" s="414"/>
      <c r="VHK17" s="414"/>
      <c r="VHL17" s="414"/>
      <c r="VHM17" s="414"/>
      <c r="VHN17" s="414"/>
      <c r="VHO17" s="414"/>
      <c r="VHP17" s="414"/>
      <c r="VHQ17" s="414"/>
      <c r="VHR17" s="414"/>
      <c r="VHS17" s="414"/>
      <c r="VHT17" s="414"/>
      <c r="VHU17" s="414"/>
      <c r="VHV17" s="414"/>
      <c r="VHW17" s="414"/>
      <c r="VHX17" s="414"/>
      <c r="VHY17" s="414"/>
      <c r="VHZ17" s="414"/>
      <c r="VIA17" s="414"/>
      <c r="VIB17" s="414"/>
      <c r="VIC17" s="414"/>
      <c r="VID17" s="414"/>
      <c r="VIE17" s="414"/>
      <c r="VIF17" s="414"/>
      <c r="VIG17" s="414"/>
      <c r="VIH17" s="414"/>
      <c r="VII17" s="414"/>
      <c r="VIJ17" s="414"/>
      <c r="VIK17" s="414"/>
      <c r="VIL17" s="414"/>
      <c r="VIM17" s="414"/>
      <c r="VIN17" s="414"/>
      <c r="VIO17" s="414"/>
      <c r="VIP17" s="414"/>
      <c r="VIQ17" s="414"/>
      <c r="VIR17" s="414"/>
      <c r="VIS17" s="414"/>
      <c r="VIT17" s="414"/>
      <c r="VIU17" s="414"/>
      <c r="VIV17" s="414"/>
      <c r="VIW17" s="414"/>
      <c r="VIX17" s="414"/>
      <c r="VIY17" s="414"/>
      <c r="VIZ17" s="414"/>
      <c r="VJA17" s="414"/>
      <c r="VJB17" s="414"/>
      <c r="VJC17" s="414"/>
      <c r="VJD17" s="414"/>
      <c r="VJE17" s="414"/>
      <c r="VJF17" s="414"/>
      <c r="VJG17" s="414"/>
      <c r="VJH17" s="414"/>
      <c r="VJI17" s="414"/>
      <c r="VJJ17" s="414"/>
      <c r="VJK17" s="414"/>
      <c r="VJL17" s="414"/>
      <c r="VJM17" s="414"/>
      <c r="VJN17" s="414"/>
      <c r="VJO17" s="414"/>
      <c r="VJP17" s="414"/>
      <c r="VJQ17" s="414"/>
      <c r="VJR17" s="414"/>
      <c r="VJS17" s="414"/>
      <c r="VJT17" s="414"/>
      <c r="VJU17" s="414"/>
      <c r="VJV17" s="414"/>
      <c r="VJW17" s="414"/>
      <c r="VJX17" s="414"/>
      <c r="VJY17" s="414"/>
      <c r="VJZ17" s="414"/>
      <c r="VKA17" s="414"/>
      <c r="VKB17" s="414"/>
      <c r="VKC17" s="414"/>
      <c r="VKD17" s="414"/>
      <c r="VKE17" s="414"/>
      <c r="VKF17" s="414"/>
      <c r="VKG17" s="414"/>
      <c r="VKH17" s="414"/>
      <c r="VKI17" s="414"/>
      <c r="VKJ17" s="414"/>
      <c r="VKK17" s="414"/>
      <c r="VKL17" s="414"/>
      <c r="VKM17" s="414"/>
      <c r="VKN17" s="414"/>
      <c r="VKO17" s="414"/>
      <c r="VKP17" s="414"/>
      <c r="VKQ17" s="414"/>
      <c r="VKR17" s="414"/>
      <c r="VKS17" s="414"/>
      <c r="VKT17" s="414"/>
      <c r="VKU17" s="414"/>
      <c r="VKV17" s="414"/>
      <c r="VKW17" s="414"/>
      <c r="VKX17" s="414"/>
      <c r="VKY17" s="414"/>
      <c r="VKZ17" s="414"/>
      <c r="VLA17" s="414"/>
      <c r="VLB17" s="414"/>
      <c r="VLC17" s="414"/>
      <c r="VLD17" s="414"/>
      <c r="VLE17" s="414"/>
      <c r="VLF17" s="414"/>
      <c r="VLG17" s="414"/>
      <c r="VLH17" s="414"/>
      <c r="VLI17" s="414"/>
      <c r="VLJ17" s="414"/>
      <c r="VLK17" s="414"/>
      <c r="VLL17" s="414"/>
      <c r="VLM17" s="414"/>
      <c r="VLN17" s="414"/>
      <c r="VLO17" s="414"/>
      <c r="VLP17" s="414"/>
      <c r="VLQ17" s="414"/>
      <c r="VLR17" s="414"/>
      <c r="VLS17" s="414"/>
      <c r="VLT17" s="414"/>
      <c r="VLU17" s="414"/>
      <c r="VLV17" s="414"/>
      <c r="VLW17" s="414"/>
      <c r="VLX17" s="414"/>
      <c r="VLY17" s="414"/>
      <c r="VLZ17" s="414"/>
      <c r="VMA17" s="414"/>
      <c r="VMB17" s="414"/>
      <c r="VMC17" s="414"/>
      <c r="VMD17" s="414"/>
      <c r="VME17" s="414"/>
      <c r="VMF17" s="414"/>
      <c r="VMG17" s="414"/>
      <c r="VMH17" s="414"/>
      <c r="VMI17" s="414"/>
      <c r="VMJ17" s="414"/>
      <c r="VMK17" s="414"/>
      <c r="VML17" s="414"/>
      <c r="VMM17" s="414"/>
      <c r="VMN17" s="414"/>
      <c r="VMO17" s="414"/>
      <c r="VMP17" s="414"/>
      <c r="VMQ17" s="414"/>
      <c r="VMR17" s="414"/>
      <c r="VMS17" s="414"/>
      <c r="VMT17" s="414"/>
      <c r="VMU17" s="414"/>
      <c r="VMV17" s="414"/>
      <c r="VMW17" s="414"/>
      <c r="VMX17" s="414"/>
      <c r="VMY17" s="414"/>
      <c r="VMZ17" s="414"/>
      <c r="VNA17" s="414"/>
      <c r="VNB17" s="414"/>
      <c r="VNC17" s="414"/>
      <c r="VND17" s="414"/>
      <c r="VNE17" s="414"/>
      <c r="VNF17" s="414"/>
      <c r="VNG17" s="414"/>
      <c r="VNH17" s="414"/>
      <c r="VNI17" s="414"/>
      <c r="VNJ17" s="414"/>
      <c r="VNK17" s="414"/>
      <c r="VNL17" s="414"/>
      <c r="VNM17" s="414"/>
      <c r="VNN17" s="414"/>
      <c r="VNO17" s="414"/>
      <c r="VNP17" s="414"/>
      <c r="VNQ17" s="414"/>
      <c r="VNR17" s="414"/>
      <c r="VNS17" s="414"/>
      <c r="VNT17" s="414"/>
      <c r="VNU17" s="414"/>
      <c r="VNV17" s="414"/>
      <c r="VNW17" s="414"/>
      <c r="VNX17" s="414"/>
      <c r="VNY17" s="414"/>
      <c r="VNZ17" s="414"/>
      <c r="VOA17" s="414"/>
      <c r="VOB17" s="414"/>
      <c r="VOC17" s="414"/>
      <c r="VOD17" s="414"/>
      <c r="VOE17" s="414"/>
      <c r="VOF17" s="414"/>
      <c r="VOG17" s="414"/>
      <c r="VOH17" s="414"/>
      <c r="VOI17" s="414"/>
      <c r="VOJ17" s="414"/>
      <c r="VOK17" s="414"/>
      <c r="VOL17" s="414"/>
      <c r="VOM17" s="414"/>
      <c r="VON17" s="414"/>
      <c r="VOO17" s="414"/>
      <c r="VOP17" s="414"/>
      <c r="VOQ17" s="414"/>
      <c r="VOR17" s="414"/>
      <c r="VOS17" s="414"/>
      <c r="VOT17" s="414"/>
      <c r="VOU17" s="414"/>
      <c r="VOV17" s="414"/>
      <c r="VOW17" s="414"/>
      <c r="VOX17" s="414"/>
      <c r="VOY17" s="414"/>
      <c r="VOZ17" s="414"/>
      <c r="VPA17" s="414"/>
      <c r="VPB17" s="414"/>
      <c r="VPC17" s="414"/>
      <c r="VPD17" s="414"/>
      <c r="VPE17" s="414"/>
      <c r="VPF17" s="414"/>
      <c r="VPG17" s="414"/>
      <c r="VPH17" s="414"/>
      <c r="VPI17" s="414"/>
      <c r="VPJ17" s="414"/>
      <c r="VPK17" s="414"/>
      <c r="VPL17" s="414"/>
      <c r="VPM17" s="414"/>
      <c r="VPN17" s="414"/>
      <c r="VPO17" s="414"/>
      <c r="VPP17" s="414"/>
      <c r="VPQ17" s="414"/>
      <c r="VPR17" s="414"/>
      <c r="VPS17" s="414"/>
      <c r="VPT17" s="414"/>
      <c r="VPU17" s="414"/>
      <c r="VPV17" s="414"/>
      <c r="VPW17" s="414"/>
      <c r="VPX17" s="414"/>
      <c r="VPY17" s="414"/>
      <c r="VPZ17" s="414"/>
      <c r="VQA17" s="414"/>
      <c r="VQB17" s="414"/>
      <c r="VQC17" s="414"/>
      <c r="VQD17" s="414"/>
      <c r="VQE17" s="414"/>
      <c r="VQF17" s="414"/>
      <c r="VQG17" s="414"/>
      <c r="VQH17" s="414"/>
      <c r="VQI17" s="414"/>
      <c r="VQJ17" s="414"/>
      <c r="VQK17" s="414"/>
      <c r="VQL17" s="414"/>
      <c r="VQM17" s="414"/>
      <c r="VQN17" s="414"/>
      <c r="VQO17" s="414"/>
      <c r="VQP17" s="414"/>
      <c r="VQQ17" s="414"/>
      <c r="VQR17" s="414"/>
      <c r="VQS17" s="414"/>
      <c r="VQT17" s="414"/>
      <c r="VQU17" s="414"/>
      <c r="VQV17" s="414"/>
      <c r="VQW17" s="414"/>
      <c r="VQX17" s="414"/>
      <c r="VQY17" s="414"/>
      <c r="VQZ17" s="414"/>
      <c r="VRA17" s="414"/>
      <c r="VRB17" s="414"/>
      <c r="VRC17" s="414"/>
      <c r="VRD17" s="414"/>
      <c r="VRE17" s="414"/>
      <c r="VRF17" s="414"/>
      <c r="VRG17" s="414"/>
      <c r="VRH17" s="414"/>
      <c r="VRI17" s="414"/>
      <c r="VRJ17" s="414"/>
      <c r="VRK17" s="414"/>
      <c r="VRL17" s="414"/>
      <c r="VRM17" s="414"/>
      <c r="VRN17" s="414"/>
      <c r="VRO17" s="414"/>
      <c r="VRP17" s="414"/>
      <c r="VRQ17" s="414"/>
      <c r="VRR17" s="414"/>
      <c r="VRS17" s="414"/>
      <c r="VRT17" s="414"/>
      <c r="VRU17" s="414"/>
      <c r="VRV17" s="414"/>
      <c r="VRW17" s="414"/>
      <c r="VRX17" s="414"/>
      <c r="VRY17" s="414"/>
      <c r="VRZ17" s="414"/>
      <c r="VSA17" s="414"/>
      <c r="VSB17" s="414"/>
      <c r="VSC17" s="414"/>
      <c r="VSD17" s="414"/>
      <c r="VSE17" s="414"/>
      <c r="VSF17" s="414"/>
      <c r="VSG17" s="414"/>
      <c r="VSH17" s="414"/>
      <c r="VSI17" s="414"/>
      <c r="VSJ17" s="414"/>
      <c r="VSK17" s="414"/>
      <c r="VSL17" s="414"/>
      <c r="VSM17" s="414"/>
      <c r="VSN17" s="414"/>
      <c r="VSO17" s="414"/>
      <c r="VSP17" s="414"/>
      <c r="VSQ17" s="414"/>
      <c r="VSR17" s="414"/>
      <c r="VSS17" s="414"/>
      <c r="VST17" s="414"/>
      <c r="VSU17" s="414"/>
      <c r="VSV17" s="414"/>
      <c r="VSW17" s="414"/>
      <c r="VSX17" s="414"/>
      <c r="VSY17" s="414"/>
      <c r="VSZ17" s="414"/>
      <c r="VTA17" s="414"/>
      <c r="VTB17" s="414"/>
      <c r="VTC17" s="414"/>
      <c r="VTD17" s="414"/>
      <c r="VTE17" s="414"/>
      <c r="VTF17" s="414"/>
      <c r="VTG17" s="414"/>
      <c r="VTH17" s="414"/>
      <c r="VTI17" s="414"/>
      <c r="VTJ17" s="414"/>
      <c r="VTK17" s="414"/>
      <c r="VTL17" s="414"/>
      <c r="VTM17" s="414"/>
      <c r="VTN17" s="414"/>
      <c r="VTO17" s="414"/>
      <c r="VTP17" s="414"/>
      <c r="VTQ17" s="414"/>
      <c r="VTR17" s="414"/>
      <c r="VTS17" s="414"/>
      <c r="VTT17" s="414"/>
      <c r="VTU17" s="414"/>
      <c r="VTV17" s="414"/>
      <c r="VTW17" s="414"/>
      <c r="VTX17" s="414"/>
      <c r="VTY17" s="414"/>
      <c r="VTZ17" s="414"/>
      <c r="VUA17" s="414"/>
      <c r="VUB17" s="414"/>
      <c r="VUC17" s="414"/>
      <c r="VUD17" s="414"/>
      <c r="VUE17" s="414"/>
      <c r="VUF17" s="414"/>
      <c r="VUG17" s="414"/>
      <c r="VUH17" s="414"/>
      <c r="VUI17" s="414"/>
      <c r="VUJ17" s="414"/>
      <c r="VUK17" s="414"/>
      <c r="VUL17" s="414"/>
      <c r="VUM17" s="414"/>
      <c r="VUN17" s="414"/>
      <c r="VUO17" s="414"/>
      <c r="VUP17" s="414"/>
      <c r="VUQ17" s="414"/>
      <c r="VUR17" s="414"/>
      <c r="VUS17" s="414"/>
      <c r="VUT17" s="414"/>
      <c r="VUU17" s="414"/>
      <c r="VUV17" s="414"/>
      <c r="VUW17" s="414"/>
      <c r="VUX17" s="414"/>
      <c r="VUY17" s="414"/>
      <c r="VUZ17" s="414"/>
      <c r="VVA17" s="414"/>
      <c r="VVB17" s="414"/>
      <c r="VVC17" s="414"/>
      <c r="VVD17" s="414"/>
      <c r="VVE17" s="414"/>
      <c r="VVF17" s="414"/>
      <c r="VVG17" s="414"/>
      <c r="VVH17" s="414"/>
      <c r="VVI17" s="414"/>
      <c r="VVJ17" s="414"/>
      <c r="VVK17" s="414"/>
      <c r="VVL17" s="414"/>
      <c r="VVM17" s="414"/>
      <c r="VVN17" s="414"/>
      <c r="VVO17" s="414"/>
      <c r="VVP17" s="414"/>
      <c r="VVQ17" s="414"/>
      <c r="VVR17" s="414"/>
      <c r="VVS17" s="414"/>
      <c r="VVT17" s="414"/>
      <c r="VVU17" s="414"/>
      <c r="VVV17" s="414"/>
      <c r="VVW17" s="414"/>
      <c r="VVX17" s="414"/>
      <c r="VVY17" s="414"/>
      <c r="VVZ17" s="414"/>
      <c r="VWA17" s="414"/>
      <c r="VWB17" s="414"/>
      <c r="VWC17" s="414"/>
      <c r="VWD17" s="414"/>
      <c r="VWE17" s="414"/>
      <c r="VWF17" s="414"/>
      <c r="VWG17" s="414"/>
      <c r="VWH17" s="414"/>
      <c r="VWI17" s="414"/>
      <c r="VWJ17" s="414"/>
      <c r="VWK17" s="414"/>
      <c r="VWL17" s="414"/>
      <c r="VWM17" s="414"/>
      <c r="VWN17" s="414"/>
      <c r="VWO17" s="414"/>
      <c r="VWP17" s="414"/>
      <c r="VWQ17" s="414"/>
      <c r="VWR17" s="414"/>
      <c r="VWS17" s="414"/>
      <c r="VWT17" s="414"/>
      <c r="VWU17" s="414"/>
      <c r="VWV17" s="414"/>
      <c r="VWW17" s="414"/>
      <c r="VWX17" s="414"/>
      <c r="VWY17" s="414"/>
      <c r="VWZ17" s="414"/>
      <c r="VXA17" s="414"/>
      <c r="VXB17" s="414"/>
      <c r="VXC17" s="414"/>
      <c r="VXD17" s="414"/>
      <c r="VXE17" s="414"/>
      <c r="VXF17" s="414"/>
      <c r="VXG17" s="414"/>
      <c r="VXH17" s="414"/>
      <c r="VXI17" s="414"/>
      <c r="VXJ17" s="414"/>
      <c r="VXK17" s="414"/>
      <c r="VXL17" s="414"/>
      <c r="VXM17" s="414"/>
      <c r="VXN17" s="414"/>
      <c r="VXO17" s="414"/>
      <c r="VXP17" s="414"/>
      <c r="VXQ17" s="414"/>
      <c r="VXR17" s="414"/>
      <c r="VXS17" s="414"/>
      <c r="VXT17" s="414"/>
      <c r="VXU17" s="414"/>
      <c r="VXV17" s="414"/>
      <c r="VXW17" s="414"/>
      <c r="VXX17" s="414"/>
      <c r="VXY17" s="414"/>
      <c r="VXZ17" s="414"/>
      <c r="VYA17" s="414"/>
      <c r="VYB17" s="414"/>
      <c r="VYC17" s="414"/>
      <c r="VYD17" s="414"/>
      <c r="VYE17" s="414"/>
      <c r="VYF17" s="414"/>
      <c r="VYG17" s="414"/>
      <c r="VYH17" s="414"/>
      <c r="VYI17" s="414"/>
      <c r="VYJ17" s="414"/>
      <c r="VYK17" s="414"/>
      <c r="VYL17" s="414"/>
      <c r="VYM17" s="414"/>
      <c r="VYN17" s="414"/>
      <c r="VYO17" s="414"/>
      <c r="VYP17" s="414"/>
      <c r="VYQ17" s="414"/>
      <c r="VYR17" s="414"/>
      <c r="VYS17" s="414"/>
      <c r="VYT17" s="414"/>
      <c r="VYU17" s="414"/>
      <c r="VYV17" s="414"/>
      <c r="VYW17" s="414"/>
      <c r="VYX17" s="414"/>
      <c r="VYY17" s="414"/>
      <c r="VYZ17" s="414"/>
      <c r="VZA17" s="414"/>
      <c r="VZB17" s="414"/>
      <c r="VZC17" s="414"/>
      <c r="VZD17" s="414"/>
      <c r="VZE17" s="414"/>
      <c r="VZF17" s="414"/>
      <c r="VZG17" s="414"/>
      <c r="VZH17" s="414"/>
      <c r="VZI17" s="414"/>
      <c r="VZJ17" s="414"/>
      <c r="VZK17" s="414"/>
      <c r="VZL17" s="414"/>
      <c r="VZM17" s="414"/>
      <c r="VZN17" s="414"/>
      <c r="VZO17" s="414"/>
      <c r="VZP17" s="414"/>
      <c r="VZQ17" s="414"/>
      <c r="VZR17" s="414"/>
      <c r="VZS17" s="414"/>
      <c r="VZT17" s="414"/>
      <c r="VZU17" s="414"/>
      <c r="VZV17" s="414"/>
      <c r="VZW17" s="414"/>
      <c r="VZX17" s="414"/>
      <c r="VZY17" s="414"/>
      <c r="VZZ17" s="414"/>
      <c r="WAA17" s="414"/>
      <c r="WAB17" s="414"/>
      <c r="WAC17" s="414"/>
      <c r="WAD17" s="414"/>
      <c r="WAE17" s="414"/>
      <c r="WAF17" s="414"/>
      <c r="WAG17" s="414"/>
      <c r="WAH17" s="414"/>
      <c r="WAI17" s="414"/>
      <c r="WAJ17" s="414"/>
      <c r="WAK17" s="414"/>
      <c r="WAL17" s="414"/>
      <c r="WAM17" s="414"/>
      <c r="WAN17" s="414"/>
      <c r="WAO17" s="414"/>
      <c r="WAP17" s="414"/>
      <c r="WAQ17" s="414"/>
      <c r="WAR17" s="414"/>
      <c r="WAS17" s="414"/>
      <c r="WAT17" s="414"/>
      <c r="WAU17" s="414"/>
      <c r="WAV17" s="414"/>
      <c r="WAW17" s="414"/>
      <c r="WAX17" s="414"/>
      <c r="WAY17" s="414"/>
      <c r="WAZ17" s="414"/>
      <c r="WBA17" s="414"/>
      <c r="WBB17" s="414"/>
      <c r="WBC17" s="414"/>
      <c r="WBD17" s="414"/>
      <c r="WBE17" s="414"/>
      <c r="WBF17" s="414"/>
      <c r="WBG17" s="414"/>
      <c r="WBH17" s="414"/>
      <c r="WBI17" s="414"/>
      <c r="WBJ17" s="414"/>
      <c r="WBK17" s="414"/>
      <c r="WBL17" s="414"/>
      <c r="WBM17" s="414"/>
      <c r="WBN17" s="414"/>
      <c r="WBO17" s="414"/>
      <c r="WBP17" s="414"/>
      <c r="WBQ17" s="414"/>
      <c r="WBR17" s="414"/>
      <c r="WBS17" s="414"/>
      <c r="WBT17" s="414"/>
      <c r="WBU17" s="414"/>
      <c r="WBV17" s="414"/>
      <c r="WBW17" s="414"/>
      <c r="WBX17" s="414"/>
      <c r="WBY17" s="414"/>
      <c r="WBZ17" s="414"/>
      <c r="WCA17" s="414"/>
      <c r="WCB17" s="414"/>
      <c r="WCC17" s="414"/>
      <c r="WCD17" s="414"/>
      <c r="WCE17" s="414"/>
      <c r="WCF17" s="414"/>
      <c r="WCG17" s="414"/>
      <c r="WCH17" s="414"/>
      <c r="WCI17" s="414"/>
      <c r="WCJ17" s="414"/>
      <c r="WCK17" s="414"/>
      <c r="WCL17" s="414"/>
      <c r="WCM17" s="414"/>
      <c r="WCN17" s="414"/>
      <c r="WCO17" s="414"/>
      <c r="WCP17" s="414"/>
      <c r="WCQ17" s="414"/>
      <c r="WCR17" s="414"/>
      <c r="WCS17" s="414"/>
      <c r="WCT17" s="414"/>
      <c r="WCU17" s="414"/>
      <c r="WCV17" s="414"/>
      <c r="WCW17" s="414"/>
      <c r="WCX17" s="414"/>
      <c r="WCY17" s="414"/>
      <c r="WCZ17" s="414"/>
      <c r="WDA17" s="414"/>
      <c r="WDB17" s="414"/>
      <c r="WDC17" s="414"/>
      <c r="WDD17" s="414"/>
      <c r="WDE17" s="414"/>
      <c r="WDF17" s="414"/>
      <c r="WDG17" s="414"/>
      <c r="WDH17" s="414"/>
      <c r="WDI17" s="414"/>
      <c r="WDJ17" s="414"/>
      <c r="WDK17" s="414"/>
      <c r="WDL17" s="414"/>
      <c r="WDM17" s="414"/>
      <c r="WDN17" s="414"/>
      <c r="WDO17" s="414"/>
      <c r="WDP17" s="414"/>
      <c r="WDQ17" s="414"/>
      <c r="WDR17" s="414"/>
      <c r="WDS17" s="414"/>
      <c r="WDT17" s="414"/>
      <c r="WDU17" s="414"/>
      <c r="WDV17" s="414"/>
      <c r="WDW17" s="414"/>
      <c r="WDX17" s="414"/>
      <c r="WDY17" s="414"/>
      <c r="WDZ17" s="414"/>
      <c r="WEA17" s="414"/>
      <c r="WEB17" s="414"/>
      <c r="WEC17" s="414"/>
      <c r="WED17" s="414"/>
      <c r="WEE17" s="414"/>
      <c r="WEF17" s="414"/>
      <c r="WEG17" s="414"/>
      <c r="WEH17" s="414"/>
      <c r="WEI17" s="414"/>
      <c r="WEJ17" s="414"/>
      <c r="WEK17" s="414"/>
      <c r="WEL17" s="414"/>
      <c r="WEM17" s="414"/>
      <c r="WEN17" s="414"/>
      <c r="WEO17" s="414"/>
      <c r="WEP17" s="414"/>
      <c r="WEQ17" s="414"/>
      <c r="WER17" s="414"/>
      <c r="WES17" s="414"/>
      <c r="WET17" s="414"/>
      <c r="WEU17" s="414"/>
      <c r="WEV17" s="414"/>
      <c r="WEW17" s="414"/>
      <c r="WEX17" s="414"/>
      <c r="WEY17" s="414"/>
      <c r="WEZ17" s="414"/>
      <c r="WFA17" s="414"/>
      <c r="WFB17" s="414"/>
      <c r="WFC17" s="414"/>
      <c r="WFD17" s="414"/>
      <c r="WFE17" s="414"/>
      <c r="WFF17" s="414"/>
      <c r="WFG17" s="414"/>
      <c r="WFH17" s="414"/>
      <c r="WFI17" s="414"/>
      <c r="WFJ17" s="414"/>
      <c r="WFK17" s="414"/>
      <c r="WFL17" s="414"/>
      <c r="WFM17" s="414"/>
      <c r="WFN17" s="414"/>
      <c r="WFO17" s="414"/>
      <c r="WFP17" s="414"/>
      <c r="WFQ17" s="414"/>
      <c r="WFR17" s="414"/>
      <c r="WFS17" s="414"/>
      <c r="WFT17" s="414"/>
      <c r="WFU17" s="414"/>
      <c r="WFV17" s="414"/>
      <c r="WFW17" s="414"/>
      <c r="WFX17" s="414"/>
      <c r="WFY17" s="414"/>
      <c r="WFZ17" s="414"/>
      <c r="WGA17" s="414"/>
      <c r="WGB17" s="414"/>
      <c r="WGC17" s="414"/>
      <c r="WGD17" s="414"/>
      <c r="WGE17" s="414"/>
      <c r="WGF17" s="414"/>
      <c r="WGG17" s="414"/>
      <c r="WGH17" s="414"/>
      <c r="WGI17" s="414"/>
      <c r="WGJ17" s="414"/>
      <c r="WGK17" s="414"/>
      <c r="WGL17" s="414"/>
      <c r="WGM17" s="414"/>
      <c r="WGN17" s="414"/>
      <c r="WGO17" s="414"/>
      <c r="WGP17" s="414"/>
      <c r="WGQ17" s="414"/>
      <c r="WGR17" s="414"/>
      <c r="WGS17" s="414"/>
      <c r="WGT17" s="414"/>
      <c r="WGU17" s="414"/>
      <c r="WGV17" s="414"/>
      <c r="WGW17" s="414"/>
      <c r="WGX17" s="414"/>
      <c r="WGY17" s="414"/>
      <c r="WGZ17" s="414"/>
      <c r="WHA17" s="414"/>
      <c r="WHB17" s="414"/>
      <c r="WHC17" s="414"/>
      <c r="WHD17" s="414"/>
      <c r="WHE17" s="414"/>
      <c r="WHF17" s="414"/>
      <c r="WHG17" s="414"/>
      <c r="WHH17" s="414"/>
      <c r="WHI17" s="414"/>
      <c r="WHJ17" s="414"/>
      <c r="WHK17" s="414"/>
      <c r="WHL17" s="414"/>
      <c r="WHM17" s="414"/>
      <c r="WHN17" s="414"/>
      <c r="WHO17" s="414"/>
      <c r="WHP17" s="414"/>
      <c r="WHQ17" s="414"/>
      <c r="WHR17" s="414"/>
      <c r="WHS17" s="414"/>
      <c r="WHT17" s="414"/>
      <c r="WHU17" s="414"/>
      <c r="WHV17" s="414"/>
      <c r="WHW17" s="414"/>
      <c r="WHX17" s="414"/>
      <c r="WHY17" s="414"/>
      <c r="WHZ17" s="414"/>
      <c r="WIA17" s="414"/>
      <c r="WIB17" s="414"/>
      <c r="WIC17" s="414"/>
      <c r="WID17" s="414"/>
      <c r="WIE17" s="414"/>
      <c r="WIF17" s="414"/>
      <c r="WIG17" s="414"/>
      <c r="WIH17" s="414"/>
      <c r="WII17" s="414"/>
      <c r="WIJ17" s="414"/>
      <c r="WIK17" s="414"/>
      <c r="WIL17" s="414"/>
      <c r="WIM17" s="414"/>
      <c r="WIN17" s="414"/>
      <c r="WIO17" s="414"/>
      <c r="WIP17" s="414"/>
      <c r="WIQ17" s="414"/>
      <c r="WIR17" s="414"/>
      <c r="WIS17" s="414"/>
      <c r="WIT17" s="414"/>
      <c r="WIU17" s="414"/>
      <c r="WIV17" s="414"/>
      <c r="WIW17" s="414"/>
      <c r="WIX17" s="414"/>
      <c r="WIY17" s="414"/>
      <c r="WIZ17" s="414"/>
      <c r="WJA17" s="414"/>
      <c r="WJB17" s="414"/>
      <c r="WJC17" s="414"/>
      <c r="WJD17" s="414"/>
      <c r="WJE17" s="414"/>
      <c r="WJF17" s="414"/>
      <c r="WJG17" s="414"/>
      <c r="WJH17" s="414"/>
      <c r="WJI17" s="414"/>
      <c r="WJJ17" s="414"/>
      <c r="WJK17" s="414"/>
      <c r="WJL17" s="414"/>
      <c r="WJM17" s="414"/>
      <c r="WJN17" s="414"/>
      <c r="WJO17" s="414"/>
      <c r="WJP17" s="414"/>
      <c r="WJQ17" s="414"/>
      <c r="WJR17" s="414"/>
      <c r="WJS17" s="414"/>
      <c r="WJT17" s="414"/>
      <c r="WJU17" s="414"/>
      <c r="WJV17" s="414"/>
      <c r="WJW17" s="414"/>
      <c r="WJX17" s="414"/>
      <c r="WJY17" s="414"/>
      <c r="WJZ17" s="414"/>
      <c r="WKA17" s="414"/>
      <c r="WKB17" s="414"/>
      <c r="WKC17" s="414"/>
      <c r="WKD17" s="414"/>
      <c r="WKE17" s="414"/>
      <c r="WKF17" s="414"/>
      <c r="WKG17" s="414"/>
      <c r="WKH17" s="414"/>
      <c r="WKI17" s="414"/>
      <c r="WKJ17" s="414"/>
      <c r="WKK17" s="414"/>
      <c r="WKL17" s="414"/>
      <c r="WKM17" s="414"/>
      <c r="WKN17" s="414"/>
      <c r="WKO17" s="414"/>
      <c r="WKP17" s="414"/>
      <c r="WKQ17" s="414"/>
      <c r="WKR17" s="414"/>
      <c r="WKS17" s="414"/>
      <c r="WKT17" s="414"/>
      <c r="WKU17" s="414"/>
      <c r="WKV17" s="414"/>
      <c r="WKW17" s="414"/>
      <c r="WKX17" s="414"/>
      <c r="WKY17" s="414"/>
      <c r="WKZ17" s="414"/>
      <c r="WLA17" s="414"/>
      <c r="WLB17" s="414"/>
      <c r="WLC17" s="414"/>
      <c r="WLD17" s="414"/>
      <c r="WLE17" s="414"/>
      <c r="WLF17" s="414"/>
      <c r="WLG17" s="414"/>
      <c r="WLH17" s="414"/>
      <c r="WLI17" s="414"/>
      <c r="WLJ17" s="414"/>
      <c r="WLK17" s="414"/>
      <c r="WLL17" s="414"/>
      <c r="WLM17" s="414"/>
      <c r="WLN17" s="414"/>
      <c r="WLO17" s="414"/>
      <c r="WLP17" s="414"/>
      <c r="WLQ17" s="414"/>
      <c r="WLR17" s="414"/>
      <c r="WLS17" s="414"/>
      <c r="WLT17" s="414"/>
      <c r="WLU17" s="414"/>
      <c r="WLV17" s="414"/>
      <c r="WLW17" s="414"/>
      <c r="WLX17" s="414"/>
      <c r="WLY17" s="414"/>
      <c r="WLZ17" s="414"/>
      <c r="WMA17" s="414"/>
      <c r="WMB17" s="414"/>
      <c r="WMC17" s="414"/>
      <c r="WMD17" s="414"/>
      <c r="WME17" s="414"/>
      <c r="WMF17" s="414"/>
      <c r="WMG17" s="414"/>
      <c r="WMH17" s="414"/>
      <c r="WMI17" s="414"/>
      <c r="WMJ17" s="414"/>
      <c r="WMK17" s="414"/>
      <c r="WML17" s="414"/>
      <c r="WMM17" s="414"/>
      <c r="WMN17" s="414"/>
      <c r="WMO17" s="414"/>
      <c r="WMP17" s="414"/>
      <c r="WMQ17" s="414"/>
      <c r="WMR17" s="414"/>
      <c r="WMS17" s="414"/>
      <c r="WMT17" s="414"/>
      <c r="WMU17" s="414"/>
      <c r="WMV17" s="414"/>
      <c r="WMW17" s="414"/>
      <c r="WMX17" s="414"/>
      <c r="WMY17" s="414"/>
      <c r="WMZ17" s="414"/>
      <c r="WNA17" s="414"/>
      <c r="WNB17" s="414"/>
      <c r="WNC17" s="414"/>
      <c r="WND17" s="414"/>
      <c r="WNE17" s="414"/>
      <c r="WNF17" s="414"/>
      <c r="WNG17" s="414"/>
      <c r="WNH17" s="414"/>
      <c r="WNI17" s="414"/>
      <c r="WNJ17" s="414"/>
      <c r="WNK17" s="414"/>
      <c r="WNL17" s="414"/>
      <c r="WNM17" s="414"/>
      <c r="WNN17" s="414"/>
      <c r="WNO17" s="414"/>
      <c r="WNP17" s="414"/>
      <c r="WNQ17" s="414"/>
      <c r="WNR17" s="414"/>
      <c r="WNS17" s="414"/>
      <c r="WNT17" s="414"/>
      <c r="WNU17" s="414"/>
      <c r="WNV17" s="414"/>
      <c r="WNW17" s="414"/>
      <c r="WNX17" s="414"/>
      <c r="WNY17" s="414"/>
      <c r="WNZ17" s="414"/>
      <c r="WOA17" s="414"/>
      <c r="WOB17" s="414"/>
      <c r="WOC17" s="414"/>
      <c r="WOD17" s="414"/>
      <c r="WOE17" s="414"/>
      <c r="WOF17" s="414"/>
      <c r="WOG17" s="414"/>
      <c r="WOH17" s="414"/>
      <c r="WOI17" s="414"/>
      <c r="WOJ17" s="414"/>
      <c r="WOK17" s="414"/>
      <c r="WOL17" s="414"/>
      <c r="WOM17" s="414"/>
      <c r="WON17" s="414"/>
      <c r="WOO17" s="414"/>
      <c r="WOP17" s="414"/>
      <c r="WOQ17" s="414"/>
      <c r="WOR17" s="414"/>
      <c r="WOS17" s="414"/>
      <c r="WOT17" s="414"/>
      <c r="WOU17" s="414"/>
      <c r="WOV17" s="414"/>
      <c r="WOW17" s="414"/>
      <c r="WOX17" s="414"/>
      <c r="WOY17" s="414"/>
      <c r="WOZ17" s="414"/>
      <c r="WPA17" s="414"/>
      <c r="WPB17" s="414"/>
      <c r="WPC17" s="414"/>
      <c r="WPD17" s="414"/>
      <c r="WPE17" s="414"/>
      <c r="WPF17" s="414"/>
      <c r="WPG17" s="414"/>
      <c r="WPH17" s="414"/>
      <c r="WPI17" s="414"/>
      <c r="WPJ17" s="414"/>
      <c r="WPK17" s="414"/>
      <c r="WPL17" s="414"/>
      <c r="WPM17" s="414"/>
      <c r="WPN17" s="414"/>
      <c r="WPO17" s="414"/>
      <c r="WPP17" s="414"/>
      <c r="WPQ17" s="414"/>
      <c r="WPR17" s="414"/>
      <c r="WPS17" s="414"/>
      <c r="WPT17" s="414"/>
      <c r="WPU17" s="414"/>
      <c r="WPV17" s="414"/>
      <c r="WPW17" s="414"/>
      <c r="WPX17" s="414"/>
      <c r="WPY17" s="414"/>
      <c r="WPZ17" s="414"/>
      <c r="WQA17" s="414"/>
      <c r="WQB17" s="414"/>
      <c r="WQC17" s="414"/>
      <c r="WQD17" s="414"/>
      <c r="WQE17" s="414"/>
      <c r="WQF17" s="414"/>
      <c r="WQG17" s="414"/>
      <c r="WQH17" s="414"/>
      <c r="WQI17" s="414"/>
      <c r="WQJ17" s="414"/>
      <c r="WQK17" s="414"/>
      <c r="WQL17" s="414"/>
      <c r="WQM17" s="414"/>
      <c r="WQN17" s="414"/>
      <c r="WQO17" s="414"/>
      <c r="WQP17" s="414"/>
      <c r="WQQ17" s="414"/>
      <c r="WQR17" s="414"/>
      <c r="WQS17" s="414"/>
      <c r="WQT17" s="414"/>
      <c r="WQU17" s="414"/>
      <c r="WQV17" s="414"/>
      <c r="WQW17" s="414"/>
      <c r="WQX17" s="414"/>
      <c r="WQY17" s="414"/>
      <c r="WQZ17" s="414"/>
      <c r="WRA17" s="414"/>
      <c r="WRB17" s="414"/>
      <c r="WRC17" s="414"/>
      <c r="WRD17" s="414"/>
      <c r="WRE17" s="414"/>
      <c r="WRF17" s="414"/>
      <c r="WRG17" s="414"/>
      <c r="WRH17" s="414"/>
      <c r="WRI17" s="414"/>
      <c r="WRJ17" s="414"/>
      <c r="WRK17" s="414"/>
      <c r="WRL17" s="414"/>
      <c r="WRM17" s="414"/>
      <c r="WRN17" s="414"/>
      <c r="WRO17" s="414"/>
      <c r="WRP17" s="414"/>
      <c r="WRQ17" s="414"/>
      <c r="WRR17" s="414"/>
      <c r="WRS17" s="414"/>
      <c r="WRT17" s="414"/>
      <c r="WRU17" s="414"/>
      <c r="WRV17" s="414"/>
      <c r="WRW17" s="414"/>
      <c r="WRX17" s="414"/>
      <c r="WRY17" s="414"/>
      <c r="WRZ17" s="414"/>
      <c r="WSA17" s="414"/>
      <c r="WSB17" s="414"/>
      <c r="WSC17" s="414"/>
      <c r="WSD17" s="414"/>
      <c r="WSE17" s="414"/>
      <c r="WSF17" s="414"/>
      <c r="WSG17" s="414"/>
      <c r="WSH17" s="414"/>
      <c r="WSI17" s="414"/>
      <c r="WSJ17" s="414"/>
      <c r="WSK17" s="414"/>
      <c r="WSL17" s="414"/>
      <c r="WSM17" s="414"/>
      <c r="WSN17" s="414"/>
      <c r="WSO17" s="414"/>
      <c r="WSP17" s="414"/>
      <c r="WSQ17" s="414"/>
      <c r="WSR17" s="414"/>
      <c r="WSS17" s="414"/>
      <c r="WST17" s="414"/>
      <c r="WSU17" s="414"/>
      <c r="WSV17" s="414"/>
      <c r="WSW17" s="414"/>
      <c r="WSX17" s="414"/>
      <c r="WSY17" s="414"/>
      <c r="WSZ17" s="414"/>
      <c r="WTA17" s="414"/>
      <c r="WTB17" s="414"/>
      <c r="WTC17" s="414"/>
      <c r="WTD17" s="414"/>
      <c r="WTE17" s="414"/>
      <c r="WTF17" s="414"/>
      <c r="WTG17" s="414"/>
      <c r="WTH17" s="414"/>
      <c r="WTI17" s="414"/>
      <c r="WTJ17" s="414"/>
      <c r="WTK17" s="414"/>
      <c r="WTL17" s="414"/>
      <c r="WTM17" s="414"/>
      <c r="WTN17" s="414"/>
      <c r="WTO17" s="414"/>
      <c r="WTP17" s="414"/>
      <c r="WTQ17" s="414"/>
      <c r="WTR17" s="414"/>
      <c r="WTS17" s="414"/>
      <c r="WTT17" s="414"/>
      <c r="WTU17" s="414"/>
      <c r="WTV17" s="414"/>
      <c r="WTW17" s="414"/>
      <c r="WTX17" s="414"/>
      <c r="WTY17" s="414"/>
      <c r="WTZ17" s="414"/>
      <c r="WUA17" s="414"/>
      <c r="WUB17" s="414"/>
      <c r="WUC17" s="414"/>
      <c r="WUD17" s="414"/>
      <c r="WUE17" s="414"/>
      <c r="WUF17" s="414"/>
      <c r="WUG17" s="414"/>
      <c r="WUH17" s="414"/>
      <c r="WUI17" s="414"/>
      <c r="WUJ17" s="414"/>
      <c r="WUK17" s="414"/>
      <c r="WUL17" s="414"/>
      <c r="WUM17" s="414"/>
      <c r="WUN17" s="414"/>
      <c r="WUO17" s="414"/>
      <c r="WUP17" s="414"/>
      <c r="WUQ17" s="414"/>
      <c r="WUR17" s="414"/>
      <c r="WUS17" s="414"/>
      <c r="WUT17" s="414"/>
      <c r="WUU17" s="414"/>
      <c r="WUV17" s="414"/>
      <c r="WUW17" s="414"/>
      <c r="WUX17" s="414"/>
      <c r="WUY17" s="414"/>
      <c r="WUZ17" s="414"/>
      <c r="WVA17" s="414"/>
      <c r="WVB17" s="414"/>
      <c r="WVC17" s="414"/>
      <c r="WVD17" s="414"/>
      <c r="WVE17" s="414"/>
      <c r="WVF17" s="414"/>
      <c r="WVG17" s="414"/>
      <c r="WVH17" s="414"/>
      <c r="WVI17" s="414"/>
      <c r="WVJ17" s="414"/>
      <c r="WVK17" s="414"/>
      <c r="WVL17" s="414"/>
      <c r="WVM17" s="414"/>
      <c r="WVN17" s="414"/>
      <c r="WVO17" s="414"/>
      <c r="WVP17" s="414"/>
      <c r="WVQ17" s="414"/>
      <c r="WVR17" s="414"/>
      <c r="WVS17" s="414"/>
      <c r="WVT17" s="414"/>
      <c r="WVU17" s="414"/>
      <c r="WVV17" s="414"/>
      <c r="WVW17" s="414"/>
      <c r="WVX17" s="414"/>
      <c r="WVY17" s="414"/>
      <c r="WVZ17" s="414"/>
      <c r="WWA17" s="414"/>
      <c r="WWB17" s="414"/>
      <c r="WWC17" s="414"/>
      <c r="WWD17" s="414"/>
      <c r="WWE17" s="414"/>
      <c r="WWF17" s="414"/>
      <c r="WWG17" s="414"/>
      <c r="WWH17" s="414"/>
      <c r="WWI17" s="414"/>
      <c r="WWJ17" s="414"/>
      <c r="WWK17" s="414"/>
      <c r="WWL17" s="414"/>
      <c r="WWM17" s="414"/>
      <c r="WWN17" s="414"/>
      <c r="WWO17" s="414"/>
      <c r="WWP17" s="414"/>
      <c r="WWQ17" s="414"/>
      <c r="WWR17" s="414"/>
      <c r="WWS17" s="414"/>
      <c r="WWT17" s="414"/>
      <c r="WWU17" s="414"/>
      <c r="WWV17" s="414"/>
      <c r="WWW17" s="414"/>
      <c r="WWX17" s="414"/>
      <c r="WWY17" s="414"/>
      <c r="WWZ17" s="414"/>
      <c r="WXA17" s="414"/>
      <c r="WXB17" s="414"/>
      <c r="WXC17" s="414"/>
      <c r="WXD17" s="414"/>
      <c r="WXE17" s="414"/>
      <c r="WXF17" s="414"/>
      <c r="WXG17" s="414"/>
      <c r="WXH17" s="414"/>
      <c r="WXI17" s="414"/>
      <c r="WXJ17" s="414"/>
      <c r="WXK17" s="414"/>
      <c r="WXL17" s="414"/>
      <c r="WXM17" s="414"/>
      <c r="WXN17" s="414"/>
      <c r="WXO17" s="414"/>
      <c r="WXP17" s="414"/>
      <c r="WXQ17" s="414"/>
      <c r="WXR17" s="414"/>
      <c r="WXS17" s="414"/>
      <c r="WXT17" s="414"/>
      <c r="WXU17" s="414"/>
      <c r="WXV17" s="414"/>
      <c r="WXW17" s="414"/>
      <c r="WXX17" s="414"/>
      <c r="WXY17" s="414"/>
      <c r="WXZ17" s="414"/>
      <c r="WYA17" s="414"/>
      <c r="WYB17" s="414"/>
      <c r="WYC17" s="414"/>
      <c r="WYD17" s="414"/>
      <c r="WYE17" s="414"/>
      <c r="WYF17" s="414"/>
      <c r="WYG17" s="414"/>
      <c r="WYH17" s="414"/>
      <c r="WYI17" s="414"/>
      <c r="WYJ17" s="414"/>
      <c r="WYK17" s="414"/>
      <c r="WYL17" s="414"/>
      <c r="WYM17" s="414"/>
      <c r="WYN17" s="414"/>
      <c r="WYO17" s="414"/>
      <c r="WYP17" s="414"/>
      <c r="WYQ17" s="414"/>
      <c r="WYR17" s="414"/>
      <c r="WYS17" s="414"/>
      <c r="WYT17" s="414"/>
      <c r="WYU17" s="414"/>
      <c r="WYV17" s="414"/>
      <c r="WYW17" s="414"/>
      <c r="WYX17" s="414"/>
      <c r="WYY17" s="414"/>
      <c r="WYZ17" s="414"/>
      <c r="WZA17" s="414"/>
      <c r="WZB17" s="414"/>
      <c r="WZC17" s="414"/>
      <c r="WZD17" s="414"/>
      <c r="WZE17" s="414"/>
      <c r="WZF17" s="414"/>
      <c r="WZG17" s="414"/>
      <c r="WZH17" s="414"/>
      <c r="WZI17" s="414"/>
      <c r="WZJ17" s="414"/>
      <c r="WZK17" s="414"/>
      <c r="WZL17" s="414"/>
      <c r="WZM17" s="414"/>
      <c r="WZN17" s="414"/>
      <c r="WZO17" s="414"/>
      <c r="WZP17" s="414"/>
      <c r="WZQ17" s="414"/>
      <c r="WZR17" s="414"/>
      <c r="WZS17" s="414"/>
      <c r="WZT17" s="414"/>
      <c r="WZU17" s="414"/>
      <c r="WZV17" s="414"/>
      <c r="WZW17" s="414"/>
      <c r="WZX17" s="414"/>
      <c r="WZY17" s="414"/>
      <c r="WZZ17" s="414"/>
      <c r="XAA17" s="414"/>
      <c r="XAB17" s="414"/>
      <c r="XAC17" s="414"/>
      <c r="XAD17" s="414"/>
      <c r="XAE17" s="414"/>
      <c r="XAF17" s="414"/>
      <c r="XAG17" s="414"/>
      <c r="XAH17" s="414"/>
      <c r="XAI17" s="414"/>
      <c r="XAJ17" s="414"/>
      <c r="XAK17" s="414"/>
      <c r="XAL17" s="414"/>
      <c r="XAM17" s="414"/>
      <c r="XAN17" s="414"/>
      <c r="XAO17" s="414"/>
      <c r="XAP17" s="414"/>
      <c r="XAQ17" s="414"/>
      <c r="XAR17" s="414"/>
      <c r="XAS17" s="414"/>
      <c r="XAT17" s="414"/>
      <c r="XAU17" s="414"/>
      <c r="XAV17" s="414"/>
      <c r="XAW17" s="414"/>
      <c r="XAX17" s="414"/>
      <c r="XAY17" s="414"/>
      <c r="XAZ17" s="414"/>
      <c r="XBA17" s="414"/>
      <c r="XBB17" s="414"/>
      <c r="XBC17" s="414"/>
      <c r="XBD17" s="414"/>
      <c r="XBE17" s="414"/>
      <c r="XBF17" s="414"/>
      <c r="XBG17" s="414"/>
      <c r="XBH17" s="414"/>
      <c r="XBI17" s="414"/>
      <c r="XBJ17" s="414"/>
      <c r="XBK17" s="414"/>
      <c r="XBL17" s="414"/>
      <c r="XBM17" s="414"/>
      <c r="XBN17" s="414"/>
      <c r="XBO17" s="414"/>
      <c r="XBP17" s="414"/>
      <c r="XBQ17" s="414"/>
      <c r="XBR17" s="414"/>
      <c r="XBS17" s="414"/>
      <c r="XBT17" s="414"/>
      <c r="XBU17" s="414"/>
      <c r="XBV17" s="414"/>
      <c r="XBW17" s="414"/>
      <c r="XBX17" s="414"/>
      <c r="XBY17" s="414"/>
      <c r="XBZ17" s="414"/>
      <c r="XCA17" s="414"/>
      <c r="XCB17" s="414"/>
      <c r="XCC17" s="414"/>
      <c r="XCD17" s="414"/>
      <c r="XCE17" s="414"/>
      <c r="XCF17" s="414"/>
      <c r="XCG17" s="414"/>
      <c r="XCH17" s="414"/>
      <c r="XCI17" s="414"/>
      <c r="XCJ17" s="414"/>
      <c r="XCK17" s="414"/>
      <c r="XCL17" s="414"/>
      <c r="XCM17" s="414"/>
      <c r="XCN17" s="414"/>
      <c r="XCO17" s="414"/>
      <c r="XCP17" s="414"/>
      <c r="XCQ17" s="414"/>
      <c r="XCR17" s="414"/>
      <c r="XCS17" s="414"/>
      <c r="XCT17" s="414"/>
      <c r="XCU17" s="414"/>
      <c r="XCV17" s="414"/>
      <c r="XCW17" s="414"/>
      <c r="XCX17" s="414"/>
      <c r="XCY17" s="414"/>
      <c r="XCZ17" s="414"/>
      <c r="XDA17" s="414"/>
      <c r="XDB17" s="414"/>
      <c r="XDC17" s="414"/>
      <c r="XDD17" s="414"/>
      <c r="XDE17" s="414"/>
      <c r="XDF17" s="414"/>
      <c r="XDG17" s="414"/>
      <c r="XDH17" s="414"/>
      <c r="XDI17" s="414"/>
      <c r="XDJ17" s="414"/>
      <c r="XDK17" s="414"/>
      <c r="XDL17" s="414"/>
      <c r="XDM17" s="414"/>
      <c r="XDN17" s="414"/>
      <c r="XDO17" s="414"/>
      <c r="XDP17" s="414"/>
      <c r="XDQ17" s="414"/>
      <c r="XDR17" s="414"/>
      <c r="XDS17" s="414"/>
      <c r="XDT17" s="414"/>
      <c r="XDU17" s="414"/>
      <c r="XDV17" s="414"/>
      <c r="XDW17" s="414"/>
      <c r="XDX17" s="414"/>
      <c r="XDY17" s="414"/>
      <c r="XDZ17" s="414"/>
      <c r="XEA17" s="414"/>
      <c r="XEB17" s="414"/>
      <c r="XEC17" s="414"/>
      <c r="XED17" s="414"/>
      <c r="XEE17" s="414"/>
      <c r="XEF17" s="414"/>
      <c r="XEG17" s="414"/>
      <c r="XEH17" s="414"/>
      <c r="XEI17" s="414"/>
      <c r="XEJ17" s="414"/>
      <c r="XEK17" s="414"/>
      <c r="XEL17" s="414"/>
      <c r="XEM17" s="414"/>
      <c r="XEN17" s="414"/>
      <c r="XEO17" s="414"/>
      <c r="XEP17" s="414"/>
      <c r="XEQ17" s="414"/>
      <c r="XER17" s="414"/>
      <c r="XES17" s="414"/>
      <c r="XET17" s="414"/>
      <c r="XEU17" s="414"/>
      <c r="XEV17" s="414"/>
      <c r="XEW17" s="414"/>
      <c r="XEX17" s="414"/>
      <c r="XEY17" s="414"/>
      <c r="XEZ17" s="414"/>
      <c r="XFA17" s="414"/>
    </row>
    <row r="18" spans="1:16381" s="609" customFormat="1" ht="22.5">
      <c r="A18" s="609" t="str">
        <f t="shared" si="0"/>
        <v>Allianz Lebensversicherungs-AG v. 01.07.2010</v>
      </c>
      <c r="B18" s="609">
        <f>ROW()</f>
        <v>18</v>
      </c>
      <c r="C18" s="635" t="s">
        <v>1368</v>
      </c>
      <c r="D18" s="1201">
        <v>40360</v>
      </c>
      <c r="E18" s="636">
        <v>5</v>
      </c>
      <c r="F18" s="637" t="str">
        <f t="shared" si="1"/>
        <v>Ja</v>
      </c>
      <c r="G18" s="634" t="str">
        <f t="shared" si="2"/>
        <v xml:space="preserve">TO ermöglicht: Tarifwechel; doppelten Kostenabzug;  Abweichungen vom gerichtl. festgelegten Ausgleichswert; </v>
      </c>
      <c r="I18" s="634"/>
      <c r="J18" s="784"/>
      <c r="K18" s="1199">
        <v>1</v>
      </c>
      <c r="L18" s="1199">
        <v>2</v>
      </c>
      <c r="M18" s="1199">
        <v>3</v>
      </c>
      <c r="N18" s="1199"/>
      <c r="O18" s="785"/>
      <c r="P18" s="144"/>
      <c r="S18" s="609">
        <f>IFERROR(SEARCH(MID(+Fallerfassung!D37,1,5),S$6),1)</f>
        <v>1</v>
      </c>
    </row>
    <row r="19" spans="1:16381" s="609" customFormat="1" ht="33.75">
      <c r="A19" s="609" t="str">
        <f t="shared" si="0"/>
        <v>Allianz LV v. 01.02.2010</v>
      </c>
      <c r="B19" s="609">
        <f>ROW()</f>
        <v>19</v>
      </c>
      <c r="C19" s="635" t="s">
        <v>1201</v>
      </c>
      <c r="D19" s="1201">
        <v>40210</v>
      </c>
      <c r="E19" s="636">
        <v>5</v>
      </c>
      <c r="F19" s="637" t="str">
        <f t="shared" si="1"/>
        <v>Ja</v>
      </c>
      <c r="G19" s="634" t="str">
        <f t="shared" si="2"/>
        <v>TO ermöglicht: Tarifwechel; doppelten Kostenabzug;  Abweichungen vom gerichtl. festgelegten Ausgleichswert;  Verzinsung zwischen EzE und RK geltend machen</v>
      </c>
      <c r="I19" s="634" t="s">
        <v>1369</v>
      </c>
      <c r="J19" s="784"/>
      <c r="K19" s="1199">
        <v>1</v>
      </c>
      <c r="L19" s="1199">
        <v>2</v>
      </c>
      <c r="M19" s="1199">
        <v>3</v>
      </c>
      <c r="N19" s="1199">
        <v>4</v>
      </c>
      <c r="O19" s="785"/>
      <c r="P19" s="144">
        <f t="shared" ref="P19:P26" si="4">SUM(K19:N19)</f>
        <v>10</v>
      </c>
      <c r="S19" s="609">
        <f>IFERROR(SEARCH(MID(+Fallerfassung!D38,1,5),S$6),1)</f>
        <v>1</v>
      </c>
    </row>
    <row r="20" spans="1:16381" s="609" customFormat="1" ht="33.75">
      <c r="A20" s="609" t="str">
        <f t="shared" si="0"/>
        <v>Allianz-Pensions-Management e.V. v. 21.12.2009</v>
      </c>
      <c r="B20" s="609">
        <f>ROW()</f>
        <v>20</v>
      </c>
      <c r="C20" s="635" t="s">
        <v>1366</v>
      </c>
      <c r="D20" s="1201">
        <v>40168</v>
      </c>
      <c r="E20" s="636" t="s">
        <v>1213</v>
      </c>
      <c r="F20" s="637" t="str">
        <f t="shared" si="1"/>
        <v/>
      </c>
      <c r="G20" s="634" t="str">
        <f t="shared" si="2"/>
        <v>TO ermöglicht: doppelten Kostenabzug;  Abweichungen vom gerichtl. festgelegten Ausgleichswert;  Verzinsung zwischen EzE und RK geltend machen</v>
      </c>
      <c r="I20" s="634" t="s">
        <v>1367</v>
      </c>
      <c r="J20" s="784"/>
      <c r="K20" s="1199"/>
      <c r="L20" s="1199">
        <v>2</v>
      </c>
      <c r="M20" s="1199">
        <v>3</v>
      </c>
      <c r="N20" s="1199">
        <v>4</v>
      </c>
      <c r="O20" s="785"/>
      <c r="P20" s="144">
        <f t="shared" si="4"/>
        <v>9</v>
      </c>
      <c r="Q20" s="414"/>
      <c r="R20" s="414"/>
      <c r="S20" s="414"/>
      <c r="T20" s="414"/>
      <c r="U20" s="414"/>
      <c r="V20" s="414"/>
      <c r="W20" s="414"/>
      <c r="X20" s="414"/>
      <c r="Y20" s="414"/>
      <c r="Z20" s="414"/>
      <c r="AA20" s="414"/>
      <c r="AB20" s="414"/>
      <c r="AC20" s="414"/>
      <c r="AD20" s="414"/>
      <c r="AE20" s="414"/>
      <c r="AF20" s="414"/>
      <c r="AG20" s="414"/>
      <c r="AH20" s="414"/>
      <c r="AI20" s="414"/>
      <c r="AJ20" s="414"/>
      <c r="AK20" s="414"/>
      <c r="AL20" s="414"/>
      <c r="AM20" s="414"/>
      <c r="AN20" s="414"/>
      <c r="AO20" s="414"/>
      <c r="AP20" s="414"/>
      <c r="AQ20" s="414"/>
      <c r="AR20" s="414"/>
      <c r="AS20" s="414"/>
      <c r="AT20" s="414"/>
      <c r="AU20" s="414"/>
      <c r="AV20" s="414"/>
      <c r="AW20" s="414"/>
      <c r="AX20" s="414"/>
      <c r="AY20" s="414"/>
      <c r="AZ20" s="414"/>
      <c r="BA20" s="414"/>
      <c r="BB20" s="414"/>
      <c r="BC20" s="414"/>
      <c r="BD20" s="414"/>
      <c r="BE20" s="414"/>
      <c r="BF20" s="414"/>
      <c r="BG20" s="414"/>
      <c r="BH20" s="414"/>
      <c r="BI20" s="414"/>
      <c r="BJ20" s="414"/>
      <c r="BK20" s="414"/>
      <c r="BL20" s="414"/>
      <c r="BM20" s="414"/>
      <c r="BN20" s="414"/>
      <c r="BO20" s="414"/>
      <c r="BP20" s="414"/>
      <c r="BQ20" s="414"/>
      <c r="BR20" s="414"/>
      <c r="BS20" s="414"/>
      <c r="BT20" s="414"/>
      <c r="BU20" s="414"/>
      <c r="BV20" s="414"/>
      <c r="BW20" s="414"/>
      <c r="BX20" s="414"/>
      <c r="BY20" s="414"/>
      <c r="BZ20" s="414"/>
      <c r="CA20" s="414"/>
      <c r="CB20" s="414"/>
      <c r="CC20" s="414"/>
      <c r="CD20" s="414"/>
      <c r="CE20" s="414"/>
      <c r="CF20" s="414"/>
      <c r="CG20" s="414"/>
      <c r="CH20" s="414"/>
      <c r="CI20" s="414"/>
      <c r="CJ20" s="414"/>
      <c r="CK20" s="414"/>
      <c r="CL20" s="414"/>
      <c r="CM20" s="414"/>
      <c r="CN20" s="414"/>
      <c r="CO20" s="414"/>
      <c r="CP20" s="414"/>
      <c r="CQ20" s="414"/>
      <c r="CR20" s="414"/>
      <c r="CS20" s="414"/>
      <c r="CT20" s="414"/>
      <c r="CU20" s="414"/>
      <c r="CV20" s="414"/>
      <c r="CW20" s="414"/>
      <c r="CX20" s="414"/>
      <c r="CY20" s="414"/>
      <c r="CZ20" s="414"/>
      <c r="DA20" s="414"/>
      <c r="DB20" s="414"/>
      <c r="DC20" s="414"/>
      <c r="DD20" s="414"/>
      <c r="DE20" s="414"/>
      <c r="DF20" s="414"/>
      <c r="DG20" s="414"/>
      <c r="DH20" s="414"/>
      <c r="DI20" s="414"/>
      <c r="DJ20" s="414"/>
      <c r="DK20" s="414"/>
      <c r="DL20" s="414"/>
      <c r="DM20" s="414"/>
      <c r="DN20" s="414"/>
      <c r="DO20" s="414"/>
      <c r="DP20" s="414"/>
      <c r="DQ20" s="414"/>
      <c r="DR20" s="414"/>
      <c r="DS20" s="414"/>
      <c r="DT20" s="414"/>
      <c r="DU20" s="414"/>
      <c r="DV20" s="414"/>
      <c r="DW20" s="414"/>
      <c r="DX20" s="414"/>
      <c r="DY20" s="414"/>
      <c r="DZ20" s="414"/>
      <c r="EA20" s="414"/>
      <c r="EB20" s="414"/>
      <c r="EC20" s="414"/>
      <c r="ED20" s="414"/>
      <c r="EE20" s="414"/>
      <c r="EF20" s="414"/>
      <c r="EG20" s="414"/>
      <c r="EH20" s="414"/>
      <c r="EI20" s="414"/>
      <c r="EJ20" s="414"/>
      <c r="EK20" s="414"/>
      <c r="EL20" s="414"/>
      <c r="EM20" s="414"/>
      <c r="EN20" s="414"/>
      <c r="EO20" s="414"/>
      <c r="EP20" s="414"/>
      <c r="EQ20" s="414"/>
      <c r="ER20" s="414"/>
      <c r="ES20" s="414"/>
      <c r="ET20" s="414"/>
      <c r="EU20" s="414"/>
      <c r="EV20" s="414"/>
      <c r="EW20" s="414"/>
      <c r="EX20" s="414"/>
      <c r="EY20" s="414"/>
      <c r="EZ20" s="414"/>
      <c r="FA20" s="414"/>
      <c r="FB20" s="414"/>
      <c r="FC20" s="414"/>
      <c r="FD20" s="414"/>
      <c r="FE20" s="414"/>
      <c r="FF20" s="414"/>
      <c r="FG20" s="414"/>
      <c r="FH20" s="414"/>
      <c r="FI20" s="414"/>
      <c r="FJ20" s="414"/>
      <c r="FK20" s="414"/>
      <c r="FL20" s="414"/>
      <c r="FM20" s="414"/>
      <c r="FN20" s="414"/>
      <c r="FO20" s="414"/>
      <c r="FP20" s="414"/>
      <c r="FQ20" s="414"/>
      <c r="FR20" s="414"/>
      <c r="FS20" s="414"/>
      <c r="FT20" s="414"/>
      <c r="FU20" s="414"/>
      <c r="FV20" s="414"/>
      <c r="FW20" s="414"/>
      <c r="FX20" s="414"/>
      <c r="FY20" s="414"/>
      <c r="FZ20" s="414"/>
      <c r="GA20" s="414"/>
      <c r="GB20" s="414"/>
      <c r="GC20" s="414"/>
      <c r="GD20" s="414"/>
      <c r="GE20" s="414"/>
      <c r="GF20" s="414"/>
      <c r="GG20" s="414"/>
      <c r="GH20" s="414"/>
      <c r="GI20" s="414"/>
      <c r="GJ20" s="414"/>
      <c r="GK20" s="414"/>
      <c r="GL20" s="414"/>
      <c r="GM20" s="414"/>
      <c r="GN20" s="414"/>
      <c r="GO20" s="414"/>
      <c r="GP20" s="414"/>
      <c r="GQ20" s="414"/>
      <c r="GR20" s="414"/>
      <c r="GS20" s="414"/>
      <c r="GT20" s="414"/>
      <c r="GU20" s="414"/>
      <c r="GV20" s="414"/>
      <c r="GW20" s="414"/>
      <c r="GX20" s="414"/>
      <c r="GY20" s="414"/>
      <c r="GZ20" s="414"/>
      <c r="HA20" s="414"/>
      <c r="HB20" s="414"/>
      <c r="HC20" s="414"/>
      <c r="HD20" s="414"/>
      <c r="HE20" s="414"/>
      <c r="HF20" s="414"/>
      <c r="HG20" s="414"/>
      <c r="HH20" s="414"/>
      <c r="HI20" s="414"/>
      <c r="HJ20" s="414"/>
      <c r="HK20" s="414"/>
      <c r="HL20" s="414"/>
      <c r="HM20" s="414"/>
      <c r="HN20" s="414"/>
      <c r="HO20" s="414"/>
      <c r="HP20" s="414"/>
      <c r="HQ20" s="414"/>
      <c r="HR20" s="414"/>
      <c r="HS20" s="414"/>
      <c r="HT20" s="414"/>
      <c r="HU20" s="414"/>
      <c r="HV20" s="414"/>
      <c r="HW20" s="414"/>
      <c r="HX20" s="414"/>
      <c r="HY20" s="414"/>
      <c r="HZ20" s="414"/>
      <c r="IA20" s="414"/>
      <c r="IB20" s="414"/>
      <c r="IC20" s="414"/>
      <c r="ID20" s="414"/>
      <c r="IE20" s="414"/>
      <c r="IF20" s="414"/>
      <c r="IG20" s="414"/>
      <c r="IH20" s="414"/>
      <c r="II20" s="414"/>
      <c r="IJ20" s="414"/>
      <c r="IK20" s="414"/>
      <c r="IL20" s="414"/>
      <c r="IM20" s="414"/>
      <c r="IN20" s="414"/>
      <c r="IO20" s="414"/>
      <c r="IP20" s="414"/>
      <c r="IQ20" s="414"/>
      <c r="IR20" s="414"/>
      <c r="IS20" s="414"/>
      <c r="IT20" s="414"/>
      <c r="IU20" s="414"/>
      <c r="IV20" s="414"/>
      <c r="IW20" s="414"/>
      <c r="IX20" s="414"/>
      <c r="IY20" s="414"/>
      <c r="IZ20" s="414"/>
      <c r="JA20" s="414"/>
      <c r="JB20" s="414"/>
      <c r="JC20" s="414"/>
      <c r="JD20" s="414"/>
      <c r="JE20" s="414"/>
      <c r="JF20" s="414"/>
      <c r="JG20" s="414"/>
      <c r="JH20" s="414"/>
      <c r="JI20" s="414"/>
      <c r="JJ20" s="414"/>
      <c r="JK20" s="414"/>
      <c r="JL20" s="414"/>
      <c r="JM20" s="414"/>
      <c r="JN20" s="414"/>
      <c r="JO20" s="414"/>
      <c r="JP20" s="414"/>
      <c r="JQ20" s="414"/>
      <c r="JR20" s="414"/>
      <c r="JS20" s="414"/>
      <c r="JT20" s="414"/>
      <c r="JU20" s="414"/>
      <c r="JV20" s="414"/>
      <c r="JW20" s="414"/>
      <c r="JX20" s="414"/>
      <c r="JY20" s="414"/>
      <c r="JZ20" s="414"/>
      <c r="KA20" s="414"/>
      <c r="KB20" s="414"/>
      <c r="KC20" s="414"/>
      <c r="KD20" s="414"/>
      <c r="KE20" s="414"/>
      <c r="KF20" s="414"/>
      <c r="KG20" s="414"/>
      <c r="KH20" s="414"/>
      <c r="KI20" s="414"/>
      <c r="KJ20" s="414"/>
      <c r="KK20" s="414"/>
      <c r="KL20" s="414"/>
      <c r="KM20" s="414"/>
      <c r="KN20" s="414"/>
      <c r="KO20" s="414"/>
      <c r="KP20" s="414"/>
      <c r="KQ20" s="414"/>
      <c r="KR20" s="414"/>
      <c r="KS20" s="414"/>
      <c r="KT20" s="414"/>
      <c r="KU20" s="414"/>
      <c r="KV20" s="414"/>
      <c r="KW20" s="414"/>
      <c r="KX20" s="414"/>
      <c r="KY20" s="414"/>
      <c r="KZ20" s="414"/>
      <c r="LA20" s="414"/>
      <c r="LB20" s="414"/>
      <c r="LC20" s="414"/>
      <c r="LD20" s="414"/>
      <c r="LE20" s="414"/>
      <c r="LF20" s="414"/>
      <c r="LG20" s="414"/>
      <c r="LH20" s="414"/>
      <c r="LI20" s="414"/>
      <c r="LJ20" s="414"/>
      <c r="LK20" s="414"/>
      <c r="LL20" s="414"/>
      <c r="LM20" s="414"/>
      <c r="LN20" s="414"/>
      <c r="LO20" s="414"/>
      <c r="LP20" s="414"/>
      <c r="LQ20" s="414"/>
      <c r="LR20" s="414"/>
      <c r="LS20" s="414"/>
      <c r="LT20" s="414"/>
      <c r="LU20" s="414"/>
      <c r="LV20" s="414"/>
      <c r="LW20" s="414"/>
      <c r="LX20" s="414"/>
      <c r="LY20" s="414"/>
      <c r="LZ20" s="414"/>
      <c r="MA20" s="414"/>
      <c r="MB20" s="414"/>
      <c r="MC20" s="414"/>
      <c r="MD20" s="414"/>
      <c r="ME20" s="414"/>
      <c r="MF20" s="414"/>
      <c r="MG20" s="414"/>
      <c r="MH20" s="414"/>
      <c r="MI20" s="414"/>
      <c r="MJ20" s="414"/>
      <c r="MK20" s="414"/>
      <c r="ML20" s="414"/>
      <c r="MM20" s="414"/>
      <c r="MN20" s="414"/>
      <c r="MO20" s="414"/>
      <c r="MP20" s="414"/>
      <c r="MQ20" s="414"/>
      <c r="MR20" s="414"/>
      <c r="MS20" s="414"/>
      <c r="MT20" s="414"/>
      <c r="MU20" s="414"/>
      <c r="MV20" s="414"/>
      <c r="MW20" s="414"/>
      <c r="MX20" s="414"/>
      <c r="MY20" s="414"/>
      <c r="MZ20" s="414"/>
      <c r="NA20" s="414"/>
      <c r="NB20" s="414"/>
      <c r="NC20" s="414"/>
      <c r="ND20" s="414"/>
      <c r="NE20" s="414"/>
      <c r="NF20" s="414"/>
      <c r="NG20" s="414"/>
      <c r="NH20" s="414"/>
      <c r="NI20" s="414"/>
      <c r="NJ20" s="414"/>
      <c r="NK20" s="414"/>
      <c r="NL20" s="414"/>
      <c r="NM20" s="414"/>
      <c r="NN20" s="414"/>
      <c r="NO20" s="414"/>
      <c r="NP20" s="414"/>
      <c r="NQ20" s="414"/>
      <c r="NR20" s="414"/>
      <c r="NS20" s="414"/>
      <c r="NT20" s="414"/>
      <c r="NU20" s="414"/>
      <c r="NV20" s="414"/>
      <c r="NW20" s="414"/>
      <c r="NX20" s="414"/>
      <c r="NY20" s="414"/>
      <c r="NZ20" s="414"/>
      <c r="OA20" s="414"/>
      <c r="OB20" s="414"/>
      <c r="OC20" s="414"/>
      <c r="OD20" s="414"/>
      <c r="OE20" s="414"/>
      <c r="OF20" s="414"/>
      <c r="OG20" s="414"/>
      <c r="OH20" s="414"/>
      <c r="OI20" s="414"/>
      <c r="OJ20" s="414"/>
      <c r="OK20" s="414"/>
      <c r="OL20" s="414"/>
      <c r="OM20" s="414"/>
      <c r="ON20" s="414"/>
      <c r="OO20" s="414"/>
      <c r="OP20" s="414"/>
      <c r="OQ20" s="414"/>
      <c r="OR20" s="414"/>
      <c r="OS20" s="414"/>
      <c r="OT20" s="414"/>
      <c r="OU20" s="414"/>
      <c r="OV20" s="414"/>
      <c r="OW20" s="414"/>
      <c r="OX20" s="414"/>
      <c r="OY20" s="414"/>
      <c r="OZ20" s="414"/>
      <c r="PA20" s="414"/>
      <c r="PB20" s="414"/>
      <c r="PC20" s="414"/>
      <c r="PD20" s="414"/>
      <c r="PE20" s="414"/>
      <c r="PF20" s="414"/>
      <c r="PG20" s="414"/>
      <c r="PH20" s="414"/>
      <c r="PI20" s="414"/>
      <c r="PJ20" s="414"/>
      <c r="PK20" s="414"/>
      <c r="PL20" s="414"/>
      <c r="PM20" s="414"/>
      <c r="PN20" s="414"/>
      <c r="PO20" s="414"/>
      <c r="PP20" s="414"/>
      <c r="PQ20" s="414"/>
      <c r="PR20" s="414"/>
      <c r="PS20" s="414"/>
      <c r="PT20" s="414"/>
      <c r="PU20" s="414"/>
      <c r="PV20" s="414"/>
      <c r="PW20" s="414"/>
      <c r="PX20" s="414"/>
      <c r="PY20" s="414"/>
      <c r="PZ20" s="414"/>
      <c r="QA20" s="414"/>
      <c r="QB20" s="414"/>
      <c r="QC20" s="414"/>
      <c r="QD20" s="414"/>
      <c r="QE20" s="414"/>
      <c r="QF20" s="414"/>
      <c r="QG20" s="414"/>
      <c r="QH20" s="414"/>
      <c r="QI20" s="414"/>
      <c r="QJ20" s="414"/>
      <c r="QK20" s="414"/>
      <c r="QL20" s="414"/>
      <c r="QM20" s="414"/>
      <c r="QN20" s="414"/>
      <c r="QO20" s="414"/>
      <c r="QP20" s="414"/>
      <c r="QQ20" s="414"/>
      <c r="QR20" s="414"/>
      <c r="QS20" s="414"/>
      <c r="QT20" s="414"/>
      <c r="QU20" s="414"/>
      <c r="QV20" s="414"/>
      <c r="QW20" s="414"/>
      <c r="QX20" s="414"/>
      <c r="QY20" s="414"/>
      <c r="QZ20" s="414"/>
      <c r="RA20" s="414"/>
      <c r="RB20" s="414"/>
      <c r="RC20" s="414"/>
      <c r="RD20" s="414"/>
      <c r="RE20" s="414"/>
      <c r="RF20" s="414"/>
      <c r="RG20" s="414"/>
      <c r="RH20" s="414"/>
      <c r="RI20" s="414"/>
      <c r="RJ20" s="414"/>
      <c r="RK20" s="414"/>
      <c r="RL20" s="414"/>
      <c r="RM20" s="414"/>
      <c r="RN20" s="414"/>
      <c r="RO20" s="414"/>
      <c r="RP20" s="414"/>
      <c r="RQ20" s="414"/>
      <c r="RR20" s="414"/>
      <c r="RS20" s="414"/>
      <c r="RT20" s="414"/>
      <c r="RU20" s="414"/>
      <c r="RV20" s="414"/>
      <c r="RW20" s="414"/>
      <c r="RX20" s="414"/>
      <c r="RY20" s="414"/>
      <c r="RZ20" s="414"/>
      <c r="SA20" s="414"/>
      <c r="SB20" s="414"/>
      <c r="SC20" s="414"/>
      <c r="SD20" s="414"/>
      <c r="SE20" s="414"/>
      <c r="SF20" s="414"/>
      <c r="SG20" s="414"/>
      <c r="SH20" s="414"/>
      <c r="SI20" s="414"/>
      <c r="SJ20" s="414"/>
      <c r="SK20" s="414"/>
      <c r="SL20" s="414"/>
      <c r="SM20" s="414"/>
      <c r="SN20" s="414"/>
      <c r="SO20" s="414"/>
      <c r="SP20" s="414"/>
      <c r="SQ20" s="414"/>
      <c r="SR20" s="414"/>
      <c r="SS20" s="414"/>
      <c r="ST20" s="414"/>
      <c r="SU20" s="414"/>
      <c r="SV20" s="414"/>
      <c r="SW20" s="414"/>
      <c r="SX20" s="414"/>
      <c r="SY20" s="414"/>
      <c r="SZ20" s="414"/>
      <c r="TA20" s="414"/>
      <c r="TB20" s="414"/>
      <c r="TC20" s="414"/>
      <c r="TD20" s="414"/>
      <c r="TE20" s="414"/>
      <c r="TF20" s="414"/>
      <c r="TG20" s="414"/>
      <c r="TH20" s="414"/>
      <c r="TI20" s="414"/>
      <c r="TJ20" s="414"/>
      <c r="TK20" s="414"/>
      <c r="TL20" s="414"/>
      <c r="TM20" s="414"/>
      <c r="TN20" s="414"/>
      <c r="TO20" s="414"/>
      <c r="TP20" s="414"/>
      <c r="TQ20" s="414"/>
      <c r="TR20" s="414"/>
      <c r="TS20" s="414"/>
      <c r="TT20" s="414"/>
      <c r="TU20" s="414"/>
      <c r="TV20" s="414"/>
      <c r="TW20" s="414"/>
      <c r="TX20" s="414"/>
      <c r="TY20" s="414"/>
      <c r="TZ20" s="414"/>
      <c r="UA20" s="414"/>
      <c r="UB20" s="414"/>
      <c r="UC20" s="414"/>
      <c r="UD20" s="414"/>
      <c r="UE20" s="414"/>
      <c r="UF20" s="414"/>
      <c r="UG20" s="414"/>
      <c r="UH20" s="414"/>
      <c r="UI20" s="414"/>
      <c r="UJ20" s="414"/>
      <c r="UK20" s="414"/>
      <c r="UL20" s="414"/>
      <c r="UM20" s="414"/>
      <c r="UN20" s="414"/>
      <c r="UO20" s="414"/>
      <c r="UP20" s="414"/>
      <c r="UQ20" s="414"/>
      <c r="UR20" s="414"/>
      <c r="US20" s="414"/>
      <c r="UT20" s="414"/>
      <c r="UU20" s="414"/>
      <c r="UV20" s="414"/>
      <c r="UW20" s="414"/>
      <c r="UX20" s="414"/>
      <c r="UY20" s="414"/>
      <c r="UZ20" s="414"/>
      <c r="VA20" s="414"/>
      <c r="VB20" s="414"/>
      <c r="VC20" s="414"/>
      <c r="VD20" s="414"/>
      <c r="VE20" s="414"/>
      <c r="VF20" s="414"/>
      <c r="VG20" s="414"/>
      <c r="VH20" s="414"/>
      <c r="VI20" s="414"/>
      <c r="VJ20" s="414"/>
      <c r="VK20" s="414"/>
      <c r="VL20" s="414"/>
      <c r="VM20" s="414"/>
      <c r="VN20" s="414"/>
      <c r="VO20" s="414"/>
      <c r="VP20" s="414"/>
      <c r="VQ20" s="414"/>
      <c r="VR20" s="414"/>
      <c r="VS20" s="414"/>
      <c r="VT20" s="414"/>
      <c r="VU20" s="414"/>
      <c r="VV20" s="414"/>
      <c r="VW20" s="414"/>
      <c r="VX20" s="414"/>
      <c r="VY20" s="414"/>
      <c r="VZ20" s="414"/>
      <c r="WA20" s="414"/>
      <c r="WB20" s="414"/>
      <c r="WC20" s="414"/>
      <c r="WD20" s="414"/>
      <c r="WE20" s="414"/>
      <c r="WF20" s="414"/>
      <c r="WG20" s="414"/>
      <c r="WH20" s="414"/>
      <c r="WI20" s="414"/>
      <c r="WJ20" s="414"/>
      <c r="WK20" s="414"/>
      <c r="WL20" s="414"/>
      <c r="WM20" s="414"/>
      <c r="WN20" s="414"/>
      <c r="WO20" s="414"/>
      <c r="WP20" s="414"/>
      <c r="WQ20" s="414"/>
      <c r="WR20" s="414"/>
      <c r="WS20" s="414"/>
      <c r="WT20" s="414"/>
      <c r="WU20" s="414"/>
      <c r="WV20" s="414"/>
      <c r="WW20" s="414"/>
      <c r="WX20" s="414"/>
      <c r="WY20" s="414"/>
      <c r="WZ20" s="414"/>
      <c r="XA20" s="414"/>
      <c r="XB20" s="414"/>
      <c r="XC20" s="414"/>
      <c r="XD20" s="414"/>
      <c r="XE20" s="414"/>
      <c r="XF20" s="414"/>
      <c r="XG20" s="414"/>
      <c r="XH20" s="414"/>
      <c r="XI20" s="414"/>
      <c r="XJ20" s="414"/>
      <c r="XK20" s="414"/>
      <c r="XL20" s="414"/>
      <c r="XM20" s="414"/>
      <c r="XN20" s="414"/>
      <c r="XO20" s="414"/>
      <c r="XP20" s="414"/>
      <c r="XQ20" s="414"/>
      <c r="XR20" s="414"/>
      <c r="XS20" s="414"/>
      <c r="XT20" s="414"/>
      <c r="XU20" s="414"/>
      <c r="XV20" s="414"/>
      <c r="XW20" s="414"/>
      <c r="XX20" s="414"/>
      <c r="XY20" s="414"/>
      <c r="XZ20" s="414"/>
      <c r="YA20" s="414"/>
      <c r="YB20" s="414"/>
      <c r="YC20" s="414"/>
      <c r="YD20" s="414"/>
      <c r="YE20" s="414"/>
      <c r="YF20" s="414"/>
      <c r="YG20" s="414"/>
      <c r="YH20" s="414"/>
      <c r="YI20" s="414"/>
      <c r="YJ20" s="414"/>
      <c r="YK20" s="414"/>
      <c r="YL20" s="414"/>
      <c r="YM20" s="414"/>
      <c r="YN20" s="414"/>
      <c r="YO20" s="414"/>
      <c r="YP20" s="414"/>
      <c r="YQ20" s="414"/>
      <c r="YR20" s="414"/>
      <c r="YS20" s="414"/>
      <c r="YT20" s="414"/>
      <c r="YU20" s="414"/>
      <c r="YV20" s="414"/>
      <c r="YW20" s="414"/>
      <c r="YX20" s="414"/>
      <c r="YY20" s="414"/>
      <c r="YZ20" s="414"/>
      <c r="ZA20" s="414"/>
      <c r="ZB20" s="414"/>
      <c r="ZC20" s="414"/>
      <c r="ZD20" s="414"/>
      <c r="ZE20" s="414"/>
      <c r="ZF20" s="414"/>
      <c r="ZG20" s="414"/>
      <c r="ZH20" s="414"/>
      <c r="ZI20" s="414"/>
      <c r="ZJ20" s="414"/>
      <c r="ZK20" s="414"/>
      <c r="ZL20" s="414"/>
      <c r="ZM20" s="414"/>
      <c r="ZN20" s="414"/>
      <c r="ZO20" s="414"/>
      <c r="ZP20" s="414"/>
      <c r="ZQ20" s="414"/>
      <c r="ZR20" s="414"/>
      <c r="ZS20" s="414"/>
      <c r="ZT20" s="414"/>
      <c r="ZU20" s="414"/>
      <c r="ZV20" s="414"/>
      <c r="ZW20" s="414"/>
      <c r="ZX20" s="414"/>
      <c r="ZY20" s="414"/>
      <c r="ZZ20" s="414"/>
      <c r="AAA20" s="414"/>
      <c r="AAB20" s="414"/>
      <c r="AAC20" s="414"/>
      <c r="AAD20" s="414"/>
      <c r="AAE20" s="414"/>
      <c r="AAF20" s="414"/>
      <c r="AAG20" s="414"/>
      <c r="AAH20" s="414"/>
      <c r="AAI20" s="414"/>
      <c r="AAJ20" s="414"/>
      <c r="AAK20" s="414"/>
      <c r="AAL20" s="414"/>
      <c r="AAM20" s="414"/>
      <c r="AAN20" s="414"/>
      <c r="AAO20" s="414"/>
      <c r="AAP20" s="414"/>
      <c r="AAQ20" s="414"/>
      <c r="AAR20" s="414"/>
      <c r="AAS20" s="414"/>
      <c r="AAT20" s="414"/>
      <c r="AAU20" s="414"/>
      <c r="AAV20" s="414"/>
      <c r="AAW20" s="414"/>
      <c r="AAX20" s="414"/>
      <c r="AAY20" s="414"/>
      <c r="AAZ20" s="414"/>
      <c r="ABA20" s="414"/>
      <c r="ABB20" s="414"/>
      <c r="ABC20" s="414"/>
      <c r="ABD20" s="414"/>
      <c r="ABE20" s="414"/>
      <c r="ABF20" s="414"/>
      <c r="ABG20" s="414"/>
      <c r="ABH20" s="414"/>
      <c r="ABI20" s="414"/>
      <c r="ABJ20" s="414"/>
      <c r="ABK20" s="414"/>
      <c r="ABL20" s="414"/>
      <c r="ABM20" s="414"/>
      <c r="ABN20" s="414"/>
      <c r="ABO20" s="414"/>
      <c r="ABP20" s="414"/>
      <c r="ABQ20" s="414"/>
      <c r="ABR20" s="414"/>
      <c r="ABS20" s="414"/>
      <c r="ABT20" s="414"/>
      <c r="ABU20" s="414"/>
      <c r="ABV20" s="414"/>
      <c r="ABW20" s="414"/>
      <c r="ABX20" s="414"/>
      <c r="ABY20" s="414"/>
      <c r="ABZ20" s="414"/>
      <c r="ACA20" s="414"/>
      <c r="ACB20" s="414"/>
      <c r="ACC20" s="414"/>
      <c r="ACD20" s="414"/>
      <c r="ACE20" s="414"/>
      <c r="ACF20" s="414"/>
      <c r="ACG20" s="414"/>
      <c r="ACH20" s="414"/>
      <c r="ACI20" s="414"/>
      <c r="ACJ20" s="414"/>
      <c r="ACK20" s="414"/>
      <c r="ACL20" s="414"/>
      <c r="ACM20" s="414"/>
      <c r="ACN20" s="414"/>
      <c r="ACO20" s="414"/>
      <c r="ACP20" s="414"/>
      <c r="ACQ20" s="414"/>
      <c r="ACR20" s="414"/>
      <c r="ACS20" s="414"/>
      <c r="ACT20" s="414"/>
      <c r="ACU20" s="414"/>
      <c r="ACV20" s="414"/>
      <c r="ACW20" s="414"/>
      <c r="ACX20" s="414"/>
      <c r="ACY20" s="414"/>
      <c r="ACZ20" s="414"/>
      <c r="ADA20" s="414"/>
      <c r="ADB20" s="414"/>
      <c r="ADC20" s="414"/>
      <c r="ADD20" s="414"/>
      <c r="ADE20" s="414"/>
      <c r="ADF20" s="414"/>
      <c r="ADG20" s="414"/>
      <c r="ADH20" s="414"/>
      <c r="ADI20" s="414"/>
      <c r="ADJ20" s="414"/>
      <c r="ADK20" s="414"/>
      <c r="ADL20" s="414"/>
      <c r="ADM20" s="414"/>
      <c r="ADN20" s="414"/>
      <c r="ADO20" s="414"/>
      <c r="ADP20" s="414"/>
      <c r="ADQ20" s="414"/>
      <c r="ADR20" s="414"/>
      <c r="ADS20" s="414"/>
      <c r="ADT20" s="414"/>
      <c r="ADU20" s="414"/>
      <c r="ADV20" s="414"/>
      <c r="ADW20" s="414"/>
      <c r="ADX20" s="414"/>
      <c r="ADY20" s="414"/>
      <c r="ADZ20" s="414"/>
      <c r="AEA20" s="414"/>
      <c r="AEB20" s="414"/>
      <c r="AEC20" s="414"/>
      <c r="AED20" s="414"/>
      <c r="AEE20" s="414"/>
      <c r="AEF20" s="414"/>
      <c r="AEG20" s="414"/>
      <c r="AEH20" s="414"/>
      <c r="AEI20" s="414"/>
      <c r="AEJ20" s="414"/>
      <c r="AEK20" s="414"/>
      <c r="AEL20" s="414"/>
      <c r="AEM20" s="414"/>
      <c r="AEN20" s="414"/>
      <c r="AEO20" s="414"/>
      <c r="AEP20" s="414"/>
      <c r="AEQ20" s="414"/>
      <c r="AER20" s="414"/>
      <c r="AES20" s="414"/>
      <c r="AET20" s="414"/>
      <c r="AEU20" s="414"/>
      <c r="AEV20" s="414"/>
      <c r="AEW20" s="414"/>
      <c r="AEX20" s="414"/>
      <c r="AEY20" s="414"/>
      <c r="AEZ20" s="414"/>
      <c r="AFA20" s="414"/>
      <c r="AFB20" s="414"/>
      <c r="AFC20" s="414"/>
      <c r="AFD20" s="414"/>
      <c r="AFE20" s="414"/>
      <c r="AFF20" s="414"/>
      <c r="AFG20" s="414"/>
      <c r="AFH20" s="414"/>
      <c r="AFI20" s="414"/>
      <c r="AFJ20" s="414"/>
      <c r="AFK20" s="414"/>
      <c r="AFL20" s="414"/>
      <c r="AFM20" s="414"/>
      <c r="AFN20" s="414"/>
      <c r="AFO20" s="414"/>
      <c r="AFP20" s="414"/>
      <c r="AFQ20" s="414"/>
      <c r="AFR20" s="414"/>
      <c r="AFS20" s="414"/>
      <c r="AFT20" s="414"/>
      <c r="AFU20" s="414"/>
      <c r="AFV20" s="414"/>
      <c r="AFW20" s="414"/>
      <c r="AFX20" s="414"/>
      <c r="AFY20" s="414"/>
      <c r="AFZ20" s="414"/>
      <c r="AGA20" s="414"/>
      <c r="AGB20" s="414"/>
      <c r="AGC20" s="414"/>
      <c r="AGD20" s="414"/>
      <c r="AGE20" s="414"/>
      <c r="AGF20" s="414"/>
      <c r="AGG20" s="414"/>
      <c r="AGH20" s="414"/>
      <c r="AGI20" s="414"/>
      <c r="AGJ20" s="414"/>
      <c r="AGK20" s="414"/>
      <c r="AGL20" s="414"/>
      <c r="AGM20" s="414"/>
      <c r="AGN20" s="414"/>
      <c r="AGO20" s="414"/>
      <c r="AGP20" s="414"/>
      <c r="AGQ20" s="414"/>
      <c r="AGR20" s="414"/>
      <c r="AGS20" s="414"/>
      <c r="AGT20" s="414"/>
      <c r="AGU20" s="414"/>
      <c r="AGV20" s="414"/>
      <c r="AGW20" s="414"/>
      <c r="AGX20" s="414"/>
      <c r="AGY20" s="414"/>
      <c r="AGZ20" s="414"/>
      <c r="AHA20" s="414"/>
      <c r="AHB20" s="414"/>
      <c r="AHC20" s="414"/>
      <c r="AHD20" s="414"/>
      <c r="AHE20" s="414"/>
      <c r="AHF20" s="414"/>
      <c r="AHG20" s="414"/>
      <c r="AHH20" s="414"/>
      <c r="AHI20" s="414"/>
      <c r="AHJ20" s="414"/>
      <c r="AHK20" s="414"/>
      <c r="AHL20" s="414"/>
      <c r="AHM20" s="414"/>
      <c r="AHN20" s="414"/>
      <c r="AHO20" s="414"/>
      <c r="AHP20" s="414"/>
      <c r="AHQ20" s="414"/>
      <c r="AHR20" s="414"/>
      <c r="AHS20" s="414"/>
      <c r="AHT20" s="414"/>
      <c r="AHU20" s="414"/>
      <c r="AHV20" s="414"/>
      <c r="AHW20" s="414"/>
      <c r="AHX20" s="414"/>
      <c r="AHY20" s="414"/>
      <c r="AHZ20" s="414"/>
      <c r="AIA20" s="414"/>
      <c r="AIB20" s="414"/>
      <c r="AIC20" s="414"/>
      <c r="AID20" s="414"/>
      <c r="AIE20" s="414"/>
      <c r="AIF20" s="414"/>
      <c r="AIG20" s="414"/>
      <c r="AIH20" s="414"/>
      <c r="AII20" s="414"/>
      <c r="AIJ20" s="414"/>
      <c r="AIK20" s="414"/>
      <c r="AIL20" s="414"/>
      <c r="AIM20" s="414"/>
      <c r="AIN20" s="414"/>
      <c r="AIO20" s="414"/>
      <c r="AIP20" s="414"/>
      <c r="AIQ20" s="414"/>
      <c r="AIR20" s="414"/>
      <c r="AIS20" s="414"/>
      <c r="AIT20" s="414"/>
      <c r="AIU20" s="414"/>
      <c r="AIV20" s="414"/>
      <c r="AIW20" s="414"/>
      <c r="AIX20" s="414"/>
      <c r="AIY20" s="414"/>
      <c r="AIZ20" s="414"/>
      <c r="AJA20" s="414"/>
      <c r="AJB20" s="414"/>
      <c r="AJC20" s="414"/>
      <c r="AJD20" s="414"/>
      <c r="AJE20" s="414"/>
      <c r="AJF20" s="414"/>
      <c r="AJG20" s="414"/>
      <c r="AJH20" s="414"/>
      <c r="AJI20" s="414"/>
      <c r="AJJ20" s="414"/>
      <c r="AJK20" s="414"/>
      <c r="AJL20" s="414"/>
      <c r="AJM20" s="414"/>
      <c r="AJN20" s="414"/>
      <c r="AJO20" s="414"/>
      <c r="AJP20" s="414"/>
      <c r="AJQ20" s="414"/>
      <c r="AJR20" s="414"/>
      <c r="AJS20" s="414"/>
      <c r="AJT20" s="414"/>
      <c r="AJU20" s="414"/>
      <c r="AJV20" s="414"/>
      <c r="AJW20" s="414"/>
      <c r="AJX20" s="414"/>
      <c r="AJY20" s="414"/>
      <c r="AJZ20" s="414"/>
      <c r="AKA20" s="414"/>
      <c r="AKB20" s="414"/>
      <c r="AKC20" s="414"/>
      <c r="AKD20" s="414"/>
      <c r="AKE20" s="414"/>
      <c r="AKF20" s="414"/>
      <c r="AKG20" s="414"/>
      <c r="AKH20" s="414"/>
      <c r="AKI20" s="414"/>
      <c r="AKJ20" s="414"/>
      <c r="AKK20" s="414"/>
      <c r="AKL20" s="414"/>
      <c r="AKM20" s="414"/>
      <c r="AKN20" s="414"/>
      <c r="AKO20" s="414"/>
      <c r="AKP20" s="414"/>
      <c r="AKQ20" s="414"/>
      <c r="AKR20" s="414"/>
      <c r="AKS20" s="414"/>
      <c r="AKT20" s="414"/>
      <c r="AKU20" s="414"/>
      <c r="AKV20" s="414"/>
      <c r="AKW20" s="414"/>
      <c r="AKX20" s="414"/>
      <c r="AKY20" s="414"/>
      <c r="AKZ20" s="414"/>
      <c r="ALA20" s="414"/>
      <c r="ALB20" s="414"/>
      <c r="ALC20" s="414"/>
      <c r="ALD20" s="414"/>
      <c r="ALE20" s="414"/>
      <c r="ALF20" s="414"/>
      <c r="ALG20" s="414"/>
      <c r="ALH20" s="414"/>
      <c r="ALI20" s="414"/>
      <c r="ALJ20" s="414"/>
      <c r="ALK20" s="414"/>
      <c r="ALL20" s="414"/>
      <c r="ALM20" s="414"/>
      <c r="ALN20" s="414"/>
      <c r="ALO20" s="414"/>
      <c r="ALP20" s="414"/>
      <c r="ALQ20" s="414"/>
      <c r="ALR20" s="414"/>
      <c r="ALS20" s="414"/>
      <c r="ALT20" s="414"/>
      <c r="ALU20" s="414"/>
      <c r="ALV20" s="414"/>
      <c r="ALW20" s="414"/>
      <c r="ALX20" s="414"/>
      <c r="ALY20" s="414"/>
      <c r="ALZ20" s="414"/>
      <c r="AMA20" s="414"/>
      <c r="AMB20" s="414"/>
      <c r="AMC20" s="414"/>
      <c r="AMD20" s="414"/>
      <c r="AME20" s="414"/>
      <c r="AMF20" s="414"/>
      <c r="AMG20" s="414"/>
      <c r="AMH20" s="414"/>
      <c r="AMI20" s="414"/>
      <c r="AMJ20" s="414"/>
      <c r="AMK20" s="414"/>
      <c r="AML20" s="414"/>
      <c r="AMM20" s="414"/>
      <c r="AMN20" s="414"/>
      <c r="AMO20" s="414"/>
      <c r="AMP20" s="414"/>
      <c r="AMQ20" s="414"/>
      <c r="AMR20" s="414"/>
      <c r="AMS20" s="414"/>
      <c r="AMT20" s="414"/>
      <c r="AMU20" s="414"/>
      <c r="AMV20" s="414"/>
      <c r="AMW20" s="414"/>
      <c r="AMX20" s="414"/>
      <c r="AMY20" s="414"/>
      <c r="AMZ20" s="414"/>
      <c r="ANA20" s="414"/>
      <c r="ANB20" s="414"/>
      <c r="ANC20" s="414"/>
      <c r="AND20" s="414"/>
      <c r="ANE20" s="414"/>
      <c r="ANF20" s="414"/>
      <c r="ANG20" s="414"/>
      <c r="ANH20" s="414"/>
      <c r="ANI20" s="414"/>
      <c r="ANJ20" s="414"/>
      <c r="ANK20" s="414"/>
      <c r="ANL20" s="414"/>
      <c r="ANM20" s="414"/>
      <c r="ANN20" s="414"/>
      <c r="ANO20" s="414"/>
      <c r="ANP20" s="414"/>
      <c r="ANQ20" s="414"/>
      <c r="ANR20" s="414"/>
      <c r="ANS20" s="414"/>
      <c r="ANT20" s="414"/>
      <c r="ANU20" s="414"/>
      <c r="ANV20" s="414"/>
      <c r="ANW20" s="414"/>
      <c r="ANX20" s="414"/>
      <c r="ANY20" s="414"/>
      <c r="ANZ20" s="414"/>
      <c r="AOA20" s="414"/>
      <c r="AOB20" s="414"/>
      <c r="AOC20" s="414"/>
      <c r="AOD20" s="414"/>
      <c r="AOE20" s="414"/>
      <c r="AOF20" s="414"/>
      <c r="AOG20" s="414"/>
      <c r="AOH20" s="414"/>
      <c r="AOI20" s="414"/>
      <c r="AOJ20" s="414"/>
      <c r="AOK20" s="414"/>
      <c r="AOL20" s="414"/>
      <c r="AOM20" s="414"/>
      <c r="AON20" s="414"/>
      <c r="AOO20" s="414"/>
      <c r="AOP20" s="414"/>
      <c r="AOQ20" s="414"/>
      <c r="AOR20" s="414"/>
      <c r="AOS20" s="414"/>
      <c r="AOT20" s="414"/>
      <c r="AOU20" s="414"/>
      <c r="AOV20" s="414"/>
      <c r="AOW20" s="414"/>
      <c r="AOX20" s="414"/>
      <c r="AOY20" s="414"/>
      <c r="AOZ20" s="414"/>
      <c r="APA20" s="414"/>
      <c r="APB20" s="414"/>
      <c r="APC20" s="414"/>
      <c r="APD20" s="414"/>
      <c r="APE20" s="414"/>
      <c r="APF20" s="414"/>
      <c r="APG20" s="414"/>
      <c r="APH20" s="414"/>
      <c r="API20" s="414"/>
      <c r="APJ20" s="414"/>
      <c r="APK20" s="414"/>
      <c r="APL20" s="414"/>
      <c r="APM20" s="414"/>
      <c r="APN20" s="414"/>
      <c r="APO20" s="414"/>
      <c r="APP20" s="414"/>
      <c r="APQ20" s="414"/>
      <c r="APR20" s="414"/>
      <c r="APS20" s="414"/>
      <c r="APT20" s="414"/>
      <c r="APU20" s="414"/>
      <c r="APV20" s="414"/>
      <c r="APW20" s="414"/>
      <c r="APX20" s="414"/>
      <c r="APY20" s="414"/>
      <c r="APZ20" s="414"/>
      <c r="AQA20" s="414"/>
      <c r="AQB20" s="414"/>
      <c r="AQC20" s="414"/>
      <c r="AQD20" s="414"/>
      <c r="AQE20" s="414"/>
      <c r="AQF20" s="414"/>
      <c r="AQG20" s="414"/>
      <c r="AQH20" s="414"/>
      <c r="AQI20" s="414"/>
      <c r="AQJ20" s="414"/>
      <c r="AQK20" s="414"/>
      <c r="AQL20" s="414"/>
      <c r="AQM20" s="414"/>
      <c r="AQN20" s="414"/>
      <c r="AQO20" s="414"/>
      <c r="AQP20" s="414"/>
      <c r="AQQ20" s="414"/>
      <c r="AQR20" s="414"/>
      <c r="AQS20" s="414"/>
      <c r="AQT20" s="414"/>
      <c r="AQU20" s="414"/>
      <c r="AQV20" s="414"/>
      <c r="AQW20" s="414"/>
      <c r="AQX20" s="414"/>
      <c r="AQY20" s="414"/>
      <c r="AQZ20" s="414"/>
      <c r="ARA20" s="414"/>
      <c r="ARB20" s="414"/>
      <c r="ARC20" s="414"/>
      <c r="ARD20" s="414"/>
      <c r="ARE20" s="414"/>
      <c r="ARF20" s="414"/>
      <c r="ARG20" s="414"/>
      <c r="ARH20" s="414"/>
      <c r="ARI20" s="414"/>
      <c r="ARJ20" s="414"/>
      <c r="ARK20" s="414"/>
      <c r="ARL20" s="414"/>
      <c r="ARM20" s="414"/>
      <c r="ARN20" s="414"/>
      <c r="ARO20" s="414"/>
      <c r="ARP20" s="414"/>
      <c r="ARQ20" s="414"/>
      <c r="ARR20" s="414"/>
      <c r="ARS20" s="414"/>
      <c r="ART20" s="414"/>
      <c r="ARU20" s="414"/>
      <c r="ARV20" s="414"/>
      <c r="ARW20" s="414"/>
      <c r="ARX20" s="414"/>
      <c r="ARY20" s="414"/>
      <c r="ARZ20" s="414"/>
      <c r="ASA20" s="414"/>
      <c r="ASB20" s="414"/>
      <c r="ASC20" s="414"/>
      <c r="ASD20" s="414"/>
      <c r="ASE20" s="414"/>
      <c r="ASF20" s="414"/>
      <c r="ASG20" s="414"/>
      <c r="ASH20" s="414"/>
      <c r="ASI20" s="414"/>
      <c r="ASJ20" s="414"/>
      <c r="ASK20" s="414"/>
      <c r="ASL20" s="414"/>
      <c r="ASM20" s="414"/>
      <c r="ASN20" s="414"/>
      <c r="ASO20" s="414"/>
      <c r="ASP20" s="414"/>
      <c r="ASQ20" s="414"/>
      <c r="ASR20" s="414"/>
      <c r="ASS20" s="414"/>
      <c r="AST20" s="414"/>
      <c r="ASU20" s="414"/>
      <c r="ASV20" s="414"/>
      <c r="ASW20" s="414"/>
      <c r="ASX20" s="414"/>
      <c r="ASY20" s="414"/>
      <c r="ASZ20" s="414"/>
      <c r="ATA20" s="414"/>
      <c r="ATB20" s="414"/>
      <c r="ATC20" s="414"/>
      <c r="ATD20" s="414"/>
      <c r="ATE20" s="414"/>
      <c r="ATF20" s="414"/>
      <c r="ATG20" s="414"/>
      <c r="ATH20" s="414"/>
      <c r="ATI20" s="414"/>
      <c r="ATJ20" s="414"/>
      <c r="ATK20" s="414"/>
      <c r="ATL20" s="414"/>
      <c r="ATM20" s="414"/>
      <c r="ATN20" s="414"/>
      <c r="ATO20" s="414"/>
      <c r="ATP20" s="414"/>
      <c r="ATQ20" s="414"/>
      <c r="ATR20" s="414"/>
      <c r="ATS20" s="414"/>
      <c r="ATT20" s="414"/>
      <c r="ATU20" s="414"/>
      <c r="ATV20" s="414"/>
      <c r="ATW20" s="414"/>
      <c r="ATX20" s="414"/>
      <c r="ATY20" s="414"/>
      <c r="ATZ20" s="414"/>
      <c r="AUA20" s="414"/>
      <c r="AUB20" s="414"/>
      <c r="AUC20" s="414"/>
      <c r="AUD20" s="414"/>
      <c r="AUE20" s="414"/>
      <c r="AUF20" s="414"/>
      <c r="AUG20" s="414"/>
      <c r="AUH20" s="414"/>
      <c r="AUI20" s="414"/>
      <c r="AUJ20" s="414"/>
      <c r="AUK20" s="414"/>
      <c r="AUL20" s="414"/>
      <c r="AUM20" s="414"/>
      <c r="AUN20" s="414"/>
      <c r="AUO20" s="414"/>
      <c r="AUP20" s="414"/>
      <c r="AUQ20" s="414"/>
      <c r="AUR20" s="414"/>
      <c r="AUS20" s="414"/>
      <c r="AUT20" s="414"/>
      <c r="AUU20" s="414"/>
      <c r="AUV20" s="414"/>
      <c r="AUW20" s="414"/>
      <c r="AUX20" s="414"/>
      <c r="AUY20" s="414"/>
      <c r="AUZ20" s="414"/>
      <c r="AVA20" s="414"/>
      <c r="AVB20" s="414"/>
      <c r="AVC20" s="414"/>
      <c r="AVD20" s="414"/>
      <c r="AVE20" s="414"/>
      <c r="AVF20" s="414"/>
      <c r="AVG20" s="414"/>
      <c r="AVH20" s="414"/>
      <c r="AVI20" s="414"/>
      <c r="AVJ20" s="414"/>
      <c r="AVK20" s="414"/>
      <c r="AVL20" s="414"/>
      <c r="AVM20" s="414"/>
      <c r="AVN20" s="414"/>
      <c r="AVO20" s="414"/>
      <c r="AVP20" s="414"/>
      <c r="AVQ20" s="414"/>
      <c r="AVR20" s="414"/>
      <c r="AVS20" s="414"/>
      <c r="AVT20" s="414"/>
      <c r="AVU20" s="414"/>
      <c r="AVV20" s="414"/>
      <c r="AVW20" s="414"/>
      <c r="AVX20" s="414"/>
      <c r="AVY20" s="414"/>
      <c r="AVZ20" s="414"/>
      <c r="AWA20" s="414"/>
      <c r="AWB20" s="414"/>
      <c r="AWC20" s="414"/>
      <c r="AWD20" s="414"/>
      <c r="AWE20" s="414"/>
      <c r="AWF20" s="414"/>
      <c r="AWG20" s="414"/>
      <c r="AWH20" s="414"/>
      <c r="AWI20" s="414"/>
      <c r="AWJ20" s="414"/>
      <c r="AWK20" s="414"/>
      <c r="AWL20" s="414"/>
      <c r="AWM20" s="414"/>
      <c r="AWN20" s="414"/>
      <c r="AWO20" s="414"/>
      <c r="AWP20" s="414"/>
      <c r="AWQ20" s="414"/>
      <c r="AWR20" s="414"/>
      <c r="AWS20" s="414"/>
      <c r="AWT20" s="414"/>
      <c r="AWU20" s="414"/>
      <c r="AWV20" s="414"/>
      <c r="AWW20" s="414"/>
      <c r="AWX20" s="414"/>
      <c r="AWY20" s="414"/>
      <c r="AWZ20" s="414"/>
      <c r="AXA20" s="414"/>
      <c r="AXB20" s="414"/>
      <c r="AXC20" s="414"/>
      <c r="AXD20" s="414"/>
      <c r="AXE20" s="414"/>
      <c r="AXF20" s="414"/>
      <c r="AXG20" s="414"/>
      <c r="AXH20" s="414"/>
      <c r="AXI20" s="414"/>
      <c r="AXJ20" s="414"/>
      <c r="AXK20" s="414"/>
      <c r="AXL20" s="414"/>
      <c r="AXM20" s="414"/>
      <c r="AXN20" s="414"/>
      <c r="AXO20" s="414"/>
      <c r="AXP20" s="414"/>
      <c r="AXQ20" s="414"/>
      <c r="AXR20" s="414"/>
      <c r="AXS20" s="414"/>
      <c r="AXT20" s="414"/>
      <c r="AXU20" s="414"/>
      <c r="AXV20" s="414"/>
      <c r="AXW20" s="414"/>
      <c r="AXX20" s="414"/>
      <c r="AXY20" s="414"/>
      <c r="AXZ20" s="414"/>
      <c r="AYA20" s="414"/>
      <c r="AYB20" s="414"/>
      <c r="AYC20" s="414"/>
      <c r="AYD20" s="414"/>
      <c r="AYE20" s="414"/>
      <c r="AYF20" s="414"/>
      <c r="AYG20" s="414"/>
      <c r="AYH20" s="414"/>
      <c r="AYI20" s="414"/>
      <c r="AYJ20" s="414"/>
      <c r="AYK20" s="414"/>
      <c r="AYL20" s="414"/>
      <c r="AYM20" s="414"/>
      <c r="AYN20" s="414"/>
      <c r="AYO20" s="414"/>
      <c r="AYP20" s="414"/>
      <c r="AYQ20" s="414"/>
      <c r="AYR20" s="414"/>
      <c r="AYS20" s="414"/>
      <c r="AYT20" s="414"/>
      <c r="AYU20" s="414"/>
      <c r="AYV20" s="414"/>
      <c r="AYW20" s="414"/>
      <c r="AYX20" s="414"/>
      <c r="AYY20" s="414"/>
      <c r="AYZ20" s="414"/>
      <c r="AZA20" s="414"/>
      <c r="AZB20" s="414"/>
      <c r="AZC20" s="414"/>
      <c r="AZD20" s="414"/>
      <c r="AZE20" s="414"/>
      <c r="AZF20" s="414"/>
      <c r="AZG20" s="414"/>
      <c r="AZH20" s="414"/>
      <c r="AZI20" s="414"/>
      <c r="AZJ20" s="414"/>
      <c r="AZK20" s="414"/>
      <c r="AZL20" s="414"/>
      <c r="AZM20" s="414"/>
      <c r="AZN20" s="414"/>
      <c r="AZO20" s="414"/>
      <c r="AZP20" s="414"/>
      <c r="AZQ20" s="414"/>
      <c r="AZR20" s="414"/>
      <c r="AZS20" s="414"/>
      <c r="AZT20" s="414"/>
      <c r="AZU20" s="414"/>
      <c r="AZV20" s="414"/>
      <c r="AZW20" s="414"/>
      <c r="AZX20" s="414"/>
      <c r="AZY20" s="414"/>
      <c r="AZZ20" s="414"/>
      <c r="BAA20" s="414"/>
      <c r="BAB20" s="414"/>
      <c r="BAC20" s="414"/>
      <c r="BAD20" s="414"/>
      <c r="BAE20" s="414"/>
      <c r="BAF20" s="414"/>
      <c r="BAG20" s="414"/>
      <c r="BAH20" s="414"/>
      <c r="BAI20" s="414"/>
      <c r="BAJ20" s="414"/>
      <c r="BAK20" s="414"/>
      <c r="BAL20" s="414"/>
      <c r="BAM20" s="414"/>
      <c r="BAN20" s="414"/>
      <c r="BAO20" s="414"/>
      <c r="BAP20" s="414"/>
      <c r="BAQ20" s="414"/>
      <c r="BAR20" s="414"/>
      <c r="BAS20" s="414"/>
      <c r="BAT20" s="414"/>
      <c r="BAU20" s="414"/>
      <c r="BAV20" s="414"/>
      <c r="BAW20" s="414"/>
      <c r="BAX20" s="414"/>
      <c r="BAY20" s="414"/>
      <c r="BAZ20" s="414"/>
      <c r="BBA20" s="414"/>
      <c r="BBB20" s="414"/>
      <c r="BBC20" s="414"/>
      <c r="BBD20" s="414"/>
      <c r="BBE20" s="414"/>
      <c r="BBF20" s="414"/>
      <c r="BBG20" s="414"/>
      <c r="BBH20" s="414"/>
      <c r="BBI20" s="414"/>
      <c r="BBJ20" s="414"/>
      <c r="BBK20" s="414"/>
      <c r="BBL20" s="414"/>
      <c r="BBM20" s="414"/>
      <c r="BBN20" s="414"/>
      <c r="BBO20" s="414"/>
      <c r="BBP20" s="414"/>
      <c r="BBQ20" s="414"/>
      <c r="BBR20" s="414"/>
      <c r="BBS20" s="414"/>
      <c r="BBT20" s="414"/>
      <c r="BBU20" s="414"/>
      <c r="BBV20" s="414"/>
      <c r="BBW20" s="414"/>
      <c r="BBX20" s="414"/>
      <c r="BBY20" s="414"/>
      <c r="BBZ20" s="414"/>
      <c r="BCA20" s="414"/>
      <c r="BCB20" s="414"/>
      <c r="BCC20" s="414"/>
      <c r="BCD20" s="414"/>
      <c r="BCE20" s="414"/>
      <c r="BCF20" s="414"/>
      <c r="BCG20" s="414"/>
      <c r="BCH20" s="414"/>
      <c r="BCI20" s="414"/>
      <c r="BCJ20" s="414"/>
      <c r="BCK20" s="414"/>
      <c r="BCL20" s="414"/>
      <c r="BCM20" s="414"/>
      <c r="BCN20" s="414"/>
      <c r="BCO20" s="414"/>
      <c r="BCP20" s="414"/>
      <c r="BCQ20" s="414"/>
      <c r="BCR20" s="414"/>
      <c r="BCS20" s="414"/>
      <c r="BCT20" s="414"/>
      <c r="BCU20" s="414"/>
      <c r="BCV20" s="414"/>
      <c r="BCW20" s="414"/>
      <c r="BCX20" s="414"/>
      <c r="BCY20" s="414"/>
      <c r="BCZ20" s="414"/>
      <c r="BDA20" s="414"/>
      <c r="BDB20" s="414"/>
      <c r="BDC20" s="414"/>
      <c r="BDD20" s="414"/>
      <c r="BDE20" s="414"/>
      <c r="BDF20" s="414"/>
      <c r="BDG20" s="414"/>
      <c r="BDH20" s="414"/>
      <c r="BDI20" s="414"/>
      <c r="BDJ20" s="414"/>
      <c r="BDK20" s="414"/>
      <c r="BDL20" s="414"/>
      <c r="BDM20" s="414"/>
      <c r="BDN20" s="414"/>
      <c r="BDO20" s="414"/>
      <c r="BDP20" s="414"/>
      <c r="BDQ20" s="414"/>
      <c r="BDR20" s="414"/>
      <c r="BDS20" s="414"/>
      <c r="BDT20" s="414"/>
      <c r="BDU20" s="414"/>
      <c r="BDV20" s="414"/>
      <c r="BDW20" s="414"/>
      <c r="BDX20" s="414"/>
      <c r="BDY20" s="414"/>
      <c r="BDZ20" s="414"/>
      <c r="BEA20" s="414"/>
      <c r="BEB20" s="414"/>
      <c r="BEC20" s="414"/>
      <c r="BED20" s="414"/>
      <c r="BEE20" s="414"/>
      <c r="BEF20" s="414"/>
      <c r="BEG20" s="414"/>
      <c r="BEH20" s="414"/>
      <c r="BEI20" s="414"/>
      <c r="BEJ20" s="414"/>
      <c r="BEK20" s="414"/>
      <c r="BEL20" s="414"/>
      <c r="BEM20" s="414"/>
      <c r="BEN20" s="414"/>
      <c r="BEO20" s="414"/>
      <c r="BEP20" s="414"/>
      <c r="BEQ20" s="414"/>
      <c r="BER20" s="414"/>
      <c r="BES20" s="414"/>
      <c r="BET20" s="414"/>
      <c r="BEU20" s="414"/>
      <c r="BEV20" s="414"/>
      <c r="BEW20" s="414"/>
      <c r="BEX20" s="414"/>
      <c r="BEY20" s="414"/>
      <c r="BEZ20" s="414"/>
      <c r="BFA20" s="414"/>
      <c r="BFB20" s="414"/>
      <c r="BFC20" s="414"/>
      <c r="BFD20" s="414"/>
      <c r="BFE20" s="414"/>
      <c r="BFF20" s="414"/>
      <c r="BFG20" s="414"/>
      <c r="BFH20" s="414"/>
      <c r="BFI20" s="414"/>
      <c r="BFJ20" s="414"/>
      <c r="BFK20" s="414"/>
      <c r="BFL20" s="414"/>
      <c r="BFM20" s="414"/>
      <c r="BFN20" s="414"/>
      <c r="BFO20" s="414"/>
      <c r="BFP20" s="414"/>
      <c r="BFQ20" s="414"/>
      <c r="BFR20" s="414"/>
      <c r="BFS20" s="414"/>
      <c r="BFT20" s="414"/>
      <c r="BFU20" s="414"/>
      <c r="BFV20" s="414"/>
      <c r="BFW20" s="414"/>
      <c r="BFX20" s="414"/>
      <c r="BFY20" s="414"/>
      <c r="BFZ20" s="414"/>
      <c r="BGA20" s="414"/>
      <c r="BGB20" s="414"/>
      <c r="BGC20" s="414"/>
      <c r="BGD20" s="414"/>
      <c r="BGE20" s="414"/>
      <c r="BGF20" s="414"/>
      <c r="BGG20" s="414"/>
      <c r="BGH20" s="414"/>
      <c r="BGI20" s="414"/>
      <c r="BGJ20" s="414"/>
      <c r="BGK20" s="414"/>
      <c r="BGL20" s="414"/>
      <c r="BGM20" s="414"/>
      <c r="BGN20" s="414"/>
      <c r="BGO20" s="414"/>
      <c r="BGP20" s="414"/>
      <c r="BGQ20" s="414"/>
      <c r="BGR20" s="414"/>
      <c r="BGS20" s="414"/>
      <c r="BGT20" s="414"/>
      <c r="BGU20" s="414"/>
      <c r="BGV20" s="414"/>
      <c r="BGW20" s="414"/>
      <c r="BGX20" s="414"/>
      <c r="BGY20" s="414"/>
      <c r="BGZ20" s="414"/>
      <c r="BHA20" s="414"/>
      <c r="BHB20" s="414"/>
      <c r="BHC20" s="414"/>
      <c r="BHD20" s="414"/>
      <c r="BHE20" s="414"/>
      <c r="BHF20" s="414"/>
      <c r="BHG20" s="414"/>
      <c r="BHH20" s="414"/>
      <c r="BHI20" s="414"/>
      <c r="BHJ20" s="414"/>
      <c r="BHK20" s="414"/>
      <c r="BHL20" s="414"/>
      <c r="BHM20" s="414"/>
      <c r="BHN20" s="414"/>
      <c r="BHO20" s="414"/>
      <c r="BHP20" s="414"/>
      <c r="BHQ20" s="414"/>
      <c r="BHR20" s="414"/>
      <c r="BHS20" s="414"/>
      <c r="BHT20" s="414"/>
      <c r="BHU20" s="414"/>
      <c r="BHV20" s="414"/>
      <c r="BHW20" s="414"/>
      <c r="BHX20" s="414"/>
      <c r="BHY20" s="414"/>
      <c r="BHZ20" s="414"/>
      <c r="BIA20" s="414"/>
      <c r="BIB20" s="414"/>
      <c r="BIC20" s="414"/>
      <c r="BID20" s="414"/>
      <c r="BIE20" s="414"/>
      <c r="BIF20" s="414"/>
      <c r="BIG20" s="414"/>
      <c r="BIH20" s="414"/>
      <c r="BII20" s="414"/>
      <c r="BIJ20" s="414"/>
      <c r="BIK20" s="414"/>
      <c r="BIL20" s="414"/>
      <c r="BIM20" s="414"/>
      <c r="BIN20" s="414"/>
      <c r="BIO20" s="414"/>
      <c r="BIP20" s="414"/>
      <c r="BIQ20" s="414"/>
      <c r="BIR20" s="414"/>
      <c r="BIS20" s="414"/>
      <c r="BIT20" s="414"/>
      <c r="BIU20" s="414"/>
      <c r="BIV20" s="414"/>
      <c r="BIW20" s="414"/>
      <c r="BIX20" s="414"/>
      <c r="BIY20" s="414"/>
      <c r="BIZ20" s="414"/>
      <c r="BJA20" s="414"/>
      <c r="BJB20" s="414"/>
      <c r="BJC20" s="414"/>
      <c r="BJD20" s="414"/>
      <c r="BJE20" s="414"/>
      <c r="BJF20" s="414"/>
      <c r="BJG20" s="414"/>
      <c r="BJH20" s="414"/>
      <c r="BJI20" s="414"/>
      <c r="BJJ20" s="414"/>
      <c r="BJK20" s="414"/>
      <c r="BJL20" s="414"/>
      <c r="BJM20" s="414"/>
      <c r="BJN20" s="414"/>
      <c r="BJO20" s="414"/>
      <c r="BJP20" s="414"/>
      <c r="BJQ20" s="414"/>
      <c r="BJR20" s="414"/>
      <c r="BJS20" s="414"/>
      <c r="BJT20" s="414"/>
      <c r="BJU20" s="414"/>
      <c r="BJV20" s="414"/>
      <c r="BJW20" s="414"/>
      <c r="BJX20" s="414"/>
      <c r="BJY20" s="414"/>
      <c r="BJZ20" s="414"/>
      <c r="BKA20" s="414"/>
      <c r="BKB20" s="414"/>
      <c r="BKC20" s="414"/>
      <c r="BKD20" s="414"/>
      <c r="BKE20" s="414"/>
      <c r="BKF20" s="414"/>
      <c r="BKG20" s="414"/>
      <c r="BKH20" s="414"/>
      <c r="BKI20" s="414"/>
      <c r="BKJ20" s="414"/>
      <c r="BKK20" s="414"/>
      <c r="BKL20" s="414"/>
      <c r="BKM20" s="414"/>
      <c r="BKN20" s="414"/>
      <c r="BKO20" s="414"/>
      <c r="BKP20" s="414"/>
      <c r="BKQ20" s="414"/>
      <c r="BKR20" s="414"/>
      <c r="BKS20" s="414"/>
      <c r="BKT20" s="414"/>
      <c r="BKU20" s="414"/>
      <c r="BKV20" s="414"/>
      <c r="BKW20" s="414"/>
      <c r="BKX20" s="414"/>
      <c r="BKY20" s="414"/>
      <c r="BKZ20" s="414"/>
      <c r="BLA20" s="414"/>
      <c r="BLB20" s="414"/>
      <c r="BLC20" s="414"/>
      <c r="BLD20" s="414"/>
      <c r="BLE20" s="414"/>
      <c r="BLF20" s="414"/>
      <c r="BLG20" s="414"/>
      <c r="BLH20" s="414"/>
      <c r="BLI20" s="414"/>
      <c r="BLJ20" s="414"/>
      <c r="BLK20" s="414"/>
      <c r="BLL20" s="414"/>
      <c r="BLM20" s="414"/>
      <c r="BLN20" s="414"/>
      <c r="BLO20" s="414"/>
      <c r="BLP20" s="414"/>
      <c r="BLQ20" s="414"/>
      <c r="BLR20" s="414"/>
      <c r="BLS20" s="414"/>
      <c r="BLT20" s="414"/>
      <c r="BLU20" s="414"/>
      <c r="BLV20" s="414"/>
      <c r="BLW20" s="414"/>
      <c r="BLX20" s="414"/>
      <c r="BLY20" s="414"/>
      <c r="BLZ20" s="414"/>
      <c r="BMA20" s="414"/>
      <c r="BMB20" s="414"/>
      <c r="BMC20" s="414"/>
      <c r="BMD20" s="414"/>
      <c r="BME20" s="414"/>
      <c r="BMF20" s="414"/>
      <c r="BMG20" s="414"/>
      <c r="BMH20" s="414"/>
      <c r="BMI20" s="414"/>
      <c r="BMJ20" s="414"/>
      <c r="BMK20" s="414"/>
      <c r="BML20" s="414"/>
      <c r="BMM20" s="414"/>
      <c r="BMN20" s="414"/>
      <c r="BMO20" s="414"/>
      <c r="BMP20" s="414"/>
      <c r="BMQ20" s="414"/>
      <c r="BMR20" s="414"/>
      <c r="BMS20" s="414"/>
      <c r="BMT20" s="414"/>
      <c r="BMU20" s="414"/>
      <c r="BMV20" s="414"/>
      <c r="BMW20" s="414"/>
      <c r="BMX20" s="414"/>
      <c r="BMY20" s="414"/>
      <c r="BMZ20" s="414"/>
      <c r="BNA20" s="414"/>
      <c r="BNB20" s="414"/>
      <c r="BNC20" s="414"/>
      <c r="BND20" s="414"/>
      <c r="BNE20" s="414"/>
      <c r="BNF20" s="414"/>
      <c r="BNG20" s="414"/>
      <c r="BNH20" s="414"/>
      <c r="BNI20" s="414"/>
      <c r="BNJ20" s="414"/>
      <c r="BNK20" s="414"/>
      <c r="BNL20" s="414"/>
      <c r="BNM20" s="414"/>
      <c r="BNN20" s="414"/>
      <c r="BNO20" s="414"/>
      <c r="BNP20" s="414"/>
      <c r="BNQ20" s="414"/>
      <c r="BNR20" s="414"/>
      <c r="BNS20" s="414"/>
      <c r="BNT20" s="414"/>
      <c r="BNU20" s="414"/>
      <c r="BNV20" s="414"/>
      <c r="BNW20" s="414"/>
      <c r="BNX20" s="414"/>
      <c r="BNY20" s="414"/>
      <c r="BNZ20" s="414"/>
      <c r="BOA20" s="414"/>
      <c r="BOB20" s="414"/>
      <c r="BOC20" s="414"/>
      <c r="BOD20" s="414"/>
      <c r="BOE20" s="414"/>
      <c r="BOF20" s="414"/>
      <c r="BOG20" s="414"/>
      <c r="BOH20" s="414"/>
      <c r="BOI20" s="414"/>
      <c r="BOJ20" s="414"/>
      <c r="BOK20" s="414"/>
      <c r="BOL20" s="414"/>
      <c r="BOM20" s="414"/>
      <c r="BON20" s="414"/>
      <c r="BOO20" s="414"/>
      <c r="BOP20" s="414"/>
      <c r="BOQ20" s="414"/>
      <c r="BOR20" s="414"/>
      <c r="BOS20" s="414"/>
      <c r="BOT20" s="414"/>
      <c r="BOU20" s="414"/>
      <c r="BOV20" s="414"/>
      <c r="BOW20" s="414"/>
      <c r="BOX20" s="414"/>
      <c r="BOY20" s="414"/>
      <c r="BOZ20" s="414"/>
      <c r="BPA20" s="414"/>
      <c r="BPB20" s="414"/>
      <c r="BPC20" s="414"/>
      <c r="BPD20" s="414"/>
      <c r="BPE20" s="414"/>
      <c r="BPF20" s="414"/>
      <c r="BPG20" s="414"/>
      <c r="BPH20" s="414"/>
      <c r="BPI20" s="414"/>
      <c r="BPJ20" s="414"/>
      <c r="BPK20" s="414"/>
      <c r="BPL20" s="414"/>
      <c r="BPM20" s="414"/>
      <c r="BPN20" s="414"/>
      <c r="BPO20" s="414"/>
      <c r="BPP20" s="414"/>
      <c r="BPQ20" s="414"/>
      <c r="BPR20" s="414"/>
      <c r="BPS20" s="414"/>
      <c r="BPT20" s="414"/>
      <c r="BPU20" s="414"/>
      <c r="BPV20" s="414"/>
      <c r="BPW20" s="414"/>
      <c r="BPX20" s="414"/>
      <c r="BPY20" s="414"/>
      <c r="BPZ20" s="414"/>
      <c r="BQA20" s="414"/>
      <c r="BQB20" s="414"/>
      <c r="BQC20" s="414"/>
      <c r="BQD20" s="414"/>
      <c r="BQE20" s="414"/>
      <c r="BQF20" s="414"/>
      <c r="BQG20" s="414"/>
      <c r="BQH20" s="414"/>
      <c r="BQI20" s="414"/>
      <c r="BQJ20" s="414"/>
      <c r="BQK20" s="414"/>
      <c r="BQL20" s="414"/>
      <c r="BQM20" s="414"/>
      <c r="BQN20" s="414"/>
      <c r="BQO20" s="414"/>
      <c r="BQP20" s="414"/>
      <c r="BQQ20" s="414"/>
      <c r="BQR20" s="414"/>
      <c r="BQS20" s="414"/>
      <c r="BQT20" s="414"/>
      <c r="BQU20" s="414"/>
      <c r="BQV20" s="414"/>
      <c r="BQW20" s="414"/>
      <c r="BQX20" s="414"/>
      <c r="BQY20" s="414"/>
      <c r="BQZ20" s="414"/>
      <c r="BRA20" s="414"/>
      <c r="BRB20" s="414"/>
      <c r="BRC20" s="414"/>
      <c r="BRD20" s="414"/>
      <c r="BRE20" s="414"/>
      <c r="BRF20" s="414"/>
      <c r="BRG20" s="414"/>
      <c r="BRH20" s="414"/>
      <c r="BRI20" s="414"/>
      <c r="BRJ20" s="414"/>
      <c r="BRK20" s="414"/>
      <c r="BRL20" s="414"/>
      <c r="BRM20" s="414"/>
      <c r="BRN20" s="414"/>
      <c r="BRO20" s="414"/>
      <c r="BRP20" s="414"/>
      <c r="BRQ20" s="414"/>
      <c r="BRR20" s="414"/>
      <c r="BRS20" s="414"/>
      <c r="BRT20" s="414"/>
      <c r="BRU20" s="414"/>
      <c r="BRV20" s="414"/>
      <c r="BRW20" s="414"/>
      <c r="BRX20" s="414"/>
      <c r="BRY20" s="414"/>
      <c r="BRZ20" s="414"/>
      <c r="BSA20" s="414"/>
      <c r="BSB20" s="414"/>
      <c r="BSC20" s="414"/>
      <c r="BSD20" s="414"/>
      <c r="BSE20" s="414"/>
      <c r="BSF20" s="414"/>
      <c r="BSG20" s="414"/>
      <c r="BSH20" s="414"/>
      <c r="BSI20" s="414"/>
      <c r="BSJ20" s="414"/>
      <c r="BSK20" s="414"/>
      <c r="BSL20" s="414"/>
      <c r="BSM20" s="414"/>
      <c r="BSN20" s="414"/>
      <c r="BSO20" s="414"/>
      <c r="BSP20" s="414"/>
      <c r="BSQ20" s="414"/>
      <c r="BSR20" s="414"/>
      <c r="BSS20" s="414"/>
      <c r="BST20" s="414"/>
      <c r="BSU20" s="414"/>
      <c r="BSV20" s="414"/>
      <c r="BSW20" s="414"/>
      <c r="BSX20" s="414"/>
      <c r="BSY20" s="414"/>
      <c r="BSZ20" s="414"/>
      <c r="BTA20" s="414"/>
      <c r="BTB20" s="414"/>
      <c r="BTC20" s="414"/>
      <c r="BTD20" s="414"/>
      <c r="BTE20" s="414"/>
      <c r="BTF20" s="414"/>
      <c r="BTG20" s="414"/>
      <c r="BTH20" s="414"/>
      <c r="BTI20" s="414"/>
      <c r="BTJ20" s="414"/>
      <c r="BTK20" s="414"/>
      <c r="BTL20" s="414"/>
      <c r="BTM20" s="414"/>
      <c r="BTN20" s="414"/>
      <c r="BTO20" s="414"/>
      <c r="BTP20" s="414"/>
      <c r="BTQ20" s="414"/>
      <c r="BTR20" s="414"/>
      <c r="BTS20" s="414"/>
      <c r="BTT20" s="414"/>
      <c r="BTU20" s="414"/>
      <c r="BTV20" s="414"/>
      <c r="BTW20" s="414"/>
      <c r="BTX20" s="414"/>
      <c r="BTY20" s="414"/>
      <c r="BTZ20" s="414"/>
      <c r="BUA20" s="414"/>
      <c r="BUB20" s="414"/>
      <c r="BUC20" s="414"/>
      <c r="BUD20" s="414"/>
      <c r="BUE20" s="414"/>
      <c r="BUF20" s="414"/>
      <c r="BUG20" s="414"/>
      <c r="BUH20" s="414"/>
      <c r="BUI20" s="414"/>
      <c r="BUJ20" s="414"/>
      <c r="BUK20" s="414"/>
      <c r="BUL20" s="414"/>
      <c r="BUM20" s="414"/>
      <c r="BUN20" s="414"/>
      <c r="BUO20" s="414"/>
      <c r="BUP20" s="414"/>
      <c r="BUQ20" s="414"/>
      <c r="BUR20" s="414"/>
      <c r="BUS20" s="414"/>
      <c r="BUT20" s="414"/>
      <c r="BUU20" s="414"/>
      <c r="BUV20" s="414"/>
      <c r="BUW20" s="414"/>
      <c r="BUX20" s="414"/>
      <c r="BUY20" s="414"/>
      <c r="BUZ20" s="414"/>
      <c r="BVA20" s="414"/>
      <c r="BVB20" s="414"/>
      <c r="BVC20" s="414"/>
      <c r="BVD20" s="414"/>
      <c r="BVE20" s="414"/>
      <c r="BVF20" s="414"/>
      <c r="BVG20" s="414"/>
      <c r="BVH20" s="414"/>
      <c r="BVI20" s="414"/>
      <c r="BVJ20" s="414"/>
      <c r="BVK20" s="414"/>
      <c r="BVL20" s="414"/>
      <c r="BVM20" s="414"/>
      <c r="BVN20" s="414"/>
      <c r="BVO20" s="414"/>
      <c r="BVP20" s="414"/>
      <c r="BVQ20" s="414"/>
      <c r="BVR20" s="414"/>
      <c r="BVS20" s="414"/>
      <c r="BVT20" s="414"/>
      <c r="BVU20" s="414"/>
      <c r="BVV20" s="414"/>
      <c r="BVW20" s="414"/>
      <c r="BVX20" s="414"/>
      <c r="BVY20" s="414"/>
      <c r="BVZ20" s="414"/>
      <c r="BWA20" s="414"/>
      <c r="BWB20" s="414"/>
      <c r="BWC20" s="414"/>
      <c r="BWD20" s="414"/>
      <c r="BWE20" s="414"/>
      <c r="BWF20" s="414"/>
      <c r="BWG20" s="414"/>
      <c r="BWH20" s="414"/>
      <c r="BWI20" s="414"/>
      <c r="BWJ20" s="414"/>
      <c r="BWK20" s="414"/>
      <c r="BWL20" s="414"/>
      <c r="BWM20" s="414"/>
      <c r="BWN20" s="414"/>
      <c r="BWO20" s="414"/>
      <c r="BWP20" s="414"/>
      <c r="BWQ20" s="414"/>
      <c r="BWR20" s="414"/>
      <c r="BWS20" s="414"/>
      <c r="BWT20" s="414"/>
      <c r="BWU20" s="414"/>
      <c r="BWV20" s="414"/>
      <c r="BWW20" s="414"/>
      <c r="BWX20" s="414"/>
      <c r="BWY20" s="414"/>
      <c r="BWZ20" s="414"/>
      <c r="BXA20" s="414"/>
      <c r="BXB20" s="414"/>
      <c r="BXC20" s="414"/>
      <c r="BXD20" s="414"/>
      <c r="BXE20" s="414"/>
      <c r="BXF20" s="414"/>
      <c r="BXG20" s="414"/>
      <c r="BXH20" s="414"/>
      <c r="BXI20" s="414"/>
      <c r="BXJ20" s="414"/>
      <c r="BXK20" s="414"/>
      <c r="BXL20" s="414"/>
      <c r="BXM20" s="414"/>
      <c r="BXN20" s="414"/>
      <c r="BXO20" s="414"/>
      <c r="BXP20" s="414"/>
      <c r="BXQ20" s="414"/>
      <c r="BXR20" s="414"/>
      <c r="BXS20" s="414"/>
      <c r="BXT20" s="414"/>
      <c r="BXU20" s="414"/>
      <c r="BXV20" s="414"/>
      <c r="BXW20" s="414"/>
      <c r="BXX20" s="414"/>
      <c r="BXY20" s="414"/>
      <c r="BXZ20" s="414"/>
      <c r="BYA20" s="414"/>
      <c r="BYB20" s="414"/>
      <c r="BYC20" s="414"/>
      <c r="BYD20" s="414"/>
      <c r="BYE20" s="414"/>
      <c r="BYF20" s="414"/>
      <c r="BYG20" s="414"/>
      <c r="BYH20" s="414"/>
      <c r="BYI20" s="414"/>
      <c r="BYJ20" s="414"/>
      <c r="BYK20" s="414"/>
      <c r="BYL20" s="414"/>
      <c r="BYM20" s="414"/>
      <c r="BYN20" s="414"/>
      <c r="BYO20" s="414"/>
      <c r="BYP20" s="414"/>
      <c r="BYQ20" s="414"/>
      <c r="BYR20" s="414"/>
      <c r="BYS20" s="414"/>
      <c r="BYT20" s="414"/>
      <c r="BYU20" s="414"/>
      <c r="BYV20" s="414"/>
      <c r="BYW20" s="414"/>
      <c r="BYX20" s="414"/>
      <c r="BYY20" s="414"/>
      <c r="BYZ20" s="414"/>
      <c r="BZA20" s="414"/>
      <c r="BZB20" s="414"/>
      <c r="BZC20" s="414"/>
      <c r="BZD20" s="414"/>
      <c r="BZE20" s="414"/>
      <c r="BZF20" s="414"/>
      <c r="BZG20" s="414"/>
      <c r="BZH20" s="414"/>
      <c r="BZI20" s="414"/>
      <c r="BZJ20" s="414"/>
      <c r="BZK20" s="414"/>
      <c r="BZL20" s="414"/>
      <c r="BZM20" s="414"/>
      <c r="BZN20" s="414"/>
      <c r="BZO20" s="414"/>
      <c r="BZP20" s="414"/>
      <c r="BZQ20" s="414"/>
      <c r="BZR20" s="414"/>
      <c r="BZS20" s="414"/>
      <c r="BZT20" s="414"/>
      <c r="BZU20" s="414"/>
      <c r="BZV20" s="414"/>
      <c r="BZW20" s="414"/>
      <c r="BZX20" s="414"/>
      <c r="BZY20" s="414"/>
      <c r="BZZ20" s="414"/>
      <c r="CAA20" s="414"/>
      <c r="CAB20" s="414"/>
      <c r="CAC20" s="414"/>
      <c r="CAD20" s="414"/>
      <c r="CAE20" s="414"/>
      <c r="CAF20" s="414"/>
      <c r="CAG20" s="414"/>
      <c r="CAH20" s="414"/>
      <c r="CAI20" s="414"/>
      <c r="CAJ20" s="414"/>
      <c r="CAK20" s="414"/>
      <c r="CAL20" s="414"/>
      <c r="CAM20" s="414"/>
      <c r="CAN20" s="414"/>
      <c r="CAO20" s="414"/>
      <c r="CAP20" s="414"/>
      <c r="CAQ20" s="414"/>
      <c r="CAR20" s="414"/>
      <c r="CAS20" s="414"/>
      <c r="CAT20" s="414"/>
      <c r="CAU20" s="414"/>
      <c r="CAV20" s="414"/>
      <c r="CAW20" s="414"/>
      <c r="CAX20" s="414"/>
      <c r="CAY20" s="414"/>
      <c r="CAZ20" s="414"/>
      <c r="CBA20" s="414"/>
      <c r="CBB20" s="414"/>
      <c r="CBC20" s="414"/>
      <c r="CBD20" s="414"/>
      <c r="CBE20" s="414"/>
      <c r="CBF20" s="414"/>
      <c r="CBG20" s="414"/>
      <c r="CBH20" s="414"/>
      <c r="CBI20" s="414"/>
      <c r="CBJ20" s="414"/>
      <c r="CBK20" s="414"/>
      <c r="CBL20" s="414"/>
      <c r="CBM20" s="414"/>
      <c r="CBN20" s="414"/>
      <c r="CBO20" s="414"/>
      <c r="CBP20" s="414"/>
      <c r="CBQ20" s="414"/>
      <c r="CBR20" s="414"/>
      <c r="CBS20" s="414"/>
      <c r="CBT20" s="414"/>
      <c r="CBU20" s="414"/>
      <c r="CBV20" s="414"/>
      <c r="CBW20" s="414"/>
      <c r="CBX20" s="414"/>
      <c r="CBY20" s="414"/>
      <c r="CBZ20" s="414"/>
      <c r="CCA20" s="414"/>
      <c r="CCB20" s="414"/>
      <c r="CCC20" s="414"/>
      <c r="CCD20" s="414"/>
      <c r="CCE20" s="414"/>
      <c r="CCF20" s="414"/>
      <c r="CCG20" s="414"/>
      <c r="CCH20" s="414"/>
      <c r="CCI20" s="414"/>
      <c r="CCJ20" s="414"/>
      <c r="CCK20" s="414"/>
      <c r="CCL20" s="414"/>
      <c r="CCM20" s="414"/>
      <c r="CCN20" s="414"/>
      <c r="CCO20" s="414"/>
      <c r="CCP20" s="414"/>
      <c r="CCQ20" s="414"/>
      <c r="CCR20" s="414"/>
      <c r="CCS20" s="414"/>
      <c r="CCT20" s="414"/>
      <c r="CCU20" s="414"/>
      <c r="CCV20" s="414"/>
      <c r="CCW20" s="414"/>
      <c r="CCX20" s="414"/>
      <c r="CCY20" s="414"/>
      <c r="CCZ20" s="414"/>
      <c r="CDA20" s="414"/>
      <c r="CDB20" s="414"/>
      <c r="CDC20" s="414"/>
      <c r="CDD20" s="414"/>
      <c r="CDE20" s="414"/>
      <c r="CDF20" s="414"/>
      <c r="CDG20" s="414"/>
      <c r="CDH20" s="414"/>
      <c r="CDI20" s="414"/>
      <c r="CDJ20" s="414"/>
      <c r="CDK20" s="414"/>
      <c r="CDL20" s="414"/>
      <c r="CDM20" s="414"/>
      <c r="CDN20" s="414"/>
      <c r="CDO20" s="414"/>
      <c r="CDP20" s="414"/>
      <c r="CDQ20" s="414"/>
      <c r="CDR20" s="414"/>
      <c r="CDS20" s="414"/>
      <c r="CDT20" s="414"/>
      <c r="CDU20" s="414"/>
      <c r="CDV20" s="414"/>
      <c r="CDW20" s="414"/>
      <c r="CDX20" s="414"/>
      <c r="CDY20" s="414"/>
      <c r="CDZ20" s="414"/>
      <c r="CEA20" s="414"/>
      <c r="CEB20" s="414"/>
      <c r="CEC20" s="414"/>
      <c r="CED20" s="414"/>
      <c r="CEE20" s="414"/>
      <c r="CEF20" s="414"/>
      <c r="CEG20" s="414"/>
      <c r="CEH20" s="414"/>
      <c r="CEI20" s="414"/>
      <c r="CEJ20" s="414"/>
      <c r="CEK20" s="414"/>
      <c r="CEL20" s="414"/>
      <c r="CEM20" s="414"/>
      <c r="CEN20" s="414"/>
      <c r="CEO20" s="414"/>
      <c r="CEP20" s="414"/>
      <c r="CEQ20" s="414"/>
      <c r="CER20" s="414"/>
      <c r="CES20" s="414"/>
      <c r="CET20" s="414"/>
      <c r="CEU20" s="414"/>
      <c r="CEV20" s="414"/>
      <c r="CEW20" s="414"/>
      <c r="CEX20" s="414"/>
      <c r="CEY20" s="414"/>
      <c r="CEZ20" s="414"/>
      <c r="CFA20" s="414"/>
      <c r="CFB20" s="414"/>
      <c r="CFC20" s="414"/>
      <c r="CFD20" s="414"/>
      <c r="CFE20" s="414"/>
      <c r="CFF20" s="414"/>
      <c r="CFG20" s="414"/>
      <c r="CFH20" s="414"/>
      <c r="CFI20" s="414"/>
      <c r="CFJ20" s="414"/>
      <c r="CFK20" s="414"/>
      <c r="CFL20" s="414"/>
      <c r="CFM20" s="414"/>
      <c r="CFN20" s="414"/>
      <c r="CFO20" s="414"/>
      <c r="CFP20" s="414"/>
      <c r="CFQ20" s="414"/>
      <c r="CFR20" s="414"/>
      <c r="CFS20" s="414"/>
      <c r="CFT20" s="414"/>
      <c r="CFU20" s="414"/>
      <c r="CFV20" s="414"/>
      <c r="CFW20" s="414"/>
      <c r="CFX20" s="414"/>
      <c r="CFY20" s="414"/>
      <c r="CFZ20" s="414"/>
      <c r="CGA20" s="414"/>
      <c r="CGB20" s="414"/>
      <c r="CGC20" s="414"/>
      <c r="CGD20" s="414"/>
      <c r="CGE20" s="414"/>
      <c r="CGF20" s="414"/>
      <c r="CGG20" s="414"/>
      <c r="CGH20" s="414"/>
      <c r="CGI20" s="414"/>
      <c r="CGJ20" s="414"/>
      <c r="CGK20" s="414"/>
      <c r="CGL20" s="414"/>
      <c r="CGM20" s="414"/>
      <c r="CGN20" s="414"/>
      <c r="CGO20" s="414"/>
      <c r="CGP20" s="414"/>
      <c r="CGQ20" s="414"/>
      <c r="CGR20" s="414"/>
      <c r="CGS20" s="414"/>
      <c r="CGT20" s="414"/>
      <c r="CGU20" s="414"/>
      <c r="CGV20" s="414"/>
      <c r="CGW20" s="414"/>
      <c r="CGX20" s="414"/>
      <c r="CGY20" s="414"/>
      <c r="CGZ20" s="414"/>
      <c r="CHA20" s="414"/>
      <c r="CHB20" s="414"/>
      <c r="CHC20" s="414"/>
      <c r="CHD20" s="414"/>
      <c r="CHE20" s="414"/>
      <c r="CHF20" s="414"/>
      <c r="CHG20" s="414"/>
      <c r="CHH20" s="414"/>
      <c r="CHI20" s="414"/>
      <c r="CHJ20" s="414"/>
      <c r="CHK20" s="414"/>
      <c r="CHL20" s="414"/>
      <c r="CHM20" s="414"/>
      <c r="CHN20" s="414"/>
      <c r="CHO20" s="414"/>
      <c r="CHP20" s="414"/>
      <c r="CHQ20" s="414"/>
      <c r="CHR20" s="414"/>
      <c r="CHS20" s="414"/>
      <c r="CHT20" s="414"/>
      <c r="CHU20" s="414"/>
      <c r="CHV20" s="414"/>
      <c r="CHW20" s="414"/>
      <c r="CHX20" s="414"/>
      <c r="CHY20" s="414"/>
      <c r="CHZ20" s="414"/>
      <c r="CIA20" s="414"/>
      <c r="CIB20" s="414"/>
      <c r="CIC20" s="414"/>
      <c r="CID20" s="414"/>
      <c r="CIE20" s="414"/>
      <c r="CIF20" s="414"/>
      <c r="CIG20" s="414"/>
      <c r="CIH20" s="414"/>
      <c r="CII20" s="414"/>
      <c r="CIJ20" s="414"/>
      <c r="CIK20" s="414"/>
      <c r="CIL20" s="414"/>
      <c r="CIM20" s="414"/>
      <c r="CIN20" s="414"/>
      <c r="CIO20" s="414"/>
      <c r="CIP20" s="414"/>
      <c r="CIQ20" s="414"/>
      <c r="CIR20" s="414"/>
      <c r="CIS20" s="414"/>
      <c r="CIT20" s="414"/>
      <c r="CIU20" s="414"/>
      <c r="CIV20" s="414"/>
      <c r="CIW20" s="414"/>
      <c r="CIX20" s="414"/>
      <c r="CIY20" s="414"/>
      <c r="CIZ20" s="414"/>
      <c r="CJA20" s="414"/>
      <c r="CJB20" s="414"/>
      <c r="CJC20" s="414"/>
      <c r="CJD20" s="414"/>
      <c r="CJE20" s="414"/>
      <c r="CJF20" s="414"/>
      <c r="CJG20" s="414"/>
      <c r="CJH20" s="414"/>
      <c r="CJI20" s="414"/>
      <c r="CJJ20" s="414"/>
      <c r="CJK20" s="414"/>
      <c r="CJL20" s="414"/>
      <c r="CJM20" s="414"/>
      <c r="CJN20" s="414"/>
      <c r="CJO20" s="414"/>
      <c r="CJP20" s="414"/>
      <c r="CJQ20" s="414"/>
      <c r="CJR20" s="414"/>
      <c r="CJS20" s="414"/>
      <c r="CJT20" s="414"/>
      <c r="CJU20" s="414"/>
      <c r="CJV20" s="414"/>
      <c r="CJW20" s="414"/>
      <c r="CJX20" s="414"/>
      <c r="CJY20" s="414"/>
      <c r="CJZ20" s="414"/>
      <c r="CKA20" s="414"/>
      <c r="CKB20" s="414"/>
      <c r="CKC20" s="414"/>
      <c r="CKD20" s="414"/>
      <c r="CKE20" s="414"/>
      <c r="CKF20" s="414"/>
      <c r="CKG20" s="414"/>
      <c r="CKH20" s="414"/>
      <c r="CKI20" s="414"/>
      <c r="CKJ20" s="414"/>
      <c r="CKK20" s="414"/>
      <c r="CKL20" s="414"/>
      <c r="CKM20" s="414"/>
      <c r="CKN20" s="414"/>
      <c r="CKO20" s="414"/>
      <c r="CKP20" s="414"/>
      <c r="CKQ20" s="414"/>
      <c r="CKR20" s="414"/>
      <c r="CKS20" s="414"/>
      <c r="CKT20" s="414"/>
      <c r="CKU20" s="414"/>
      <c r="CKV20" s="414"/>
      <c r="CKW20" s="414"/>
      <c r="CKX20" s="414"/>
      <c r="CKY20" s="414"/>
      <c r="CKZ20" s="414"/>
      <c r="CLA20" s="414"/>
      <c r="CLB20" s="414"/>
      <c r="CLC20" s="414"/>
      <c r="CLD20" s="414"/>
      <c r="CLE20" s="414"/>
      <c r="CLF20" s="414"/>
      <c r="CLG20" s="414"/>
      <c r="CLH20" s="414"/>
      <c r="CLI20" s="414"/>
      <c r="CLJ20" s="414"/>
      <c r="CLK20" s="414"/>
      <c r="CLL20" s="414"/>
      <c r="CLM20" s="414"/>
      <c r="CLN20" s="414"/>
      <c r="CLO20" s="414"/>
      <c r="CLP20" s="414"/>
      <c r="CLQ20" s="414"/>
      <c r="CLR20" s="414"/>
      <c r="CLS20" s="414"/>
      <c r="CLT20" s="414"/>
      <c r="CLU20" s="414"/>
      <c r="CLV20" s="414"/>
      <c r="CLW20" s="414"/>
      <c r="CLX20" s="414"/>
      <c r="CLY20" s="414"/>
      <c r="CLZ20" s="414"/>
      <c r="CMA20" s="414"/>
      <c r="CMB20" s="414"/>
      <c r="CMC20" s="414"/>
      <c r="CMD20" s="414"/>
      <c r="CME20" s="414"/>
      <c r="CMF20" s="414"/>
      <c r="CMG20" s="414"/>
      <c r="CMH20" s="414"/>
      <c r="CMI20" s="414"/>
      <c r="CMJ20" s="414"/>
      <c r="CMK20" s="414"/>
      <c r="CML20" s="414"/>
      <c r="CMM20" s="414"/>
      <c r="CMN20" s="414"/>
      <c r="CMO20" s="414"/>
      <c r="CMP20" s="414"/>
      <c r="CMQ20" s="414"/>
      <c r="CMR20" s="414"/>
      <c r="CMS20" s="414"/>
      <c r="CMT20" s="414"/>
      <c r="CMU20" s="414"/>
      <c r="CMV20" s="414"/>
      <c r="CMW20" s="414"/>
      <c r="CMX20" s="414"/>
      <c r="CMY20" s="414"/>
      <c r="CMZ20" s="414"/>
      <c r="CNA20" s="414"/>
      <c r="CNB20" s="414"/>
      <c r="CNC20" s="414"/>
      <c r="CND20" s="414"/>
      <c r="CNE20" s="414"/>
      <c r="CNF20" s="414"/>
      <c r="CNG20" s="414"/>
      <c r="CNH20" s="414"/>
      <c r="CNI20" s="414"/>
      <c r="CNJ20" s="414"/>
      <c r="CNK20" s="414"/>
      <c r="CNL20" s="414"/>
      <c r="CNM20" s="414"/>
      <c r="CNN20" s="414"/>
      <c r="CNO20" s="414"/>
      <c r="CNP20" s="414"/>
      <c r="CNQ20" s="414"/>
      <c r="CNR20" s="414"/>
      <c r="CNS20" s="414"/>
      <c r="CNT20" s="414"/>
      <c r="CNU20" s="414"/>
      <c r="CNV20" s="414"/>
      <c r="CNW20" s="414"/>
      <c r="CNX20" s="414"/>
      <c r="CNY20" s="414"/>
      <c r="CNZ20" s="414"/>
      <c r="COA20" s="414"/>
      <c r="COB20" s="414"/>
      <c r="COC20" s="414"/>
      <c r="COD20" s="414"/>
      <c r="COE20" s="414"/>
      <c r="COF20" s="414"/>
      <c r="COG20" s="414"/>
      <c r="COH20" s="414"/>
      <c r="COI20" s="414"/>
      <c r="COJ20" s="414"/>
      <c r="COK20" s="414"/>
      <c r="COL20" s="414"/>
      <c r="COM20" s="414"/>
      <c r="CON20" s="414"/>
      <c r="COO20" s="414"/>
      <c r="COP20" s="414"/>
      <c r="COQ20" s="414"/>
      <c r="COR20" s="414"/>
      <c r="COS20" s="414"/>
      <c r="COT20" s="414"/>
      <c r="COU20" s="414"/>
      <c r="COV20" s="414"/>
      <c r="COW20" s="414"/>
      <c r="COX20" s="414"/>
      <c r="COY20" s="414"/>
      <c r="COZ20" s="414"/>
      <c r="CPA20" s="414"/>
      <c r="CPB20" s="414"/>
      <c r="CPC20" s="414"/>
      <c r="CPD20" s="414"/>
      <c r="CPE20" s="414"/>
      <c r="CPF20" s="414"/>
      <c r="CPG20" s="414"/>
      <c r="CPH20" s="414"/>
      <c r="CPI20" s="414"/>
      <c r="CPJ20" s="414"/>
      <c r="CPK20" s="414"/>
      <c r="CPL20" s="414"/>
      <c r="CPM20" s="414"/>
      <c r="CPN20" s="414"/>
      <c r="CPO20" s="414"/>
      <c r="CPP20" s="414"/>
      <c r="CPQ20" s="414"/>
      <c r="CPR20" s="414"/>
      <c r="CPS20" s="414"/>
      <c r="CPT20" s="414"/>
      <c r="CPU20" s="414"/>
      <c r="CPV20" s="414"/>
      <c r="CPW20" s="414"/>
      <c r="CPX20" s="414"/>
      <c r="CPY20" s="414"/>
      <c r="CPZ20" s="414"/>
      <c r="CQA20" s="414"/>
      <c r="CQB20" s="414"/>
      <c r="CQC20" s="414"/>
      <c r="CQD20" s="414"/>
      <c r="CQE20" s="414"/>
      <c r="CQF20" s="414"/>
      <c r="CQG20" s="414"/>
      <c r="CQH20" s="414"/>
      <c r="CQI20" s="414"/>
      <c r="CQJ20" s="414"/>
      <c r="CQK20" s="414"/>
      <c r="CQL20" s="414"/>
      <c r="CQM20" s="414"/>
      <c r="CQN20" s="414"/>
      <c r="CQO20" s="414"/>
      <c r="CQP20" s="414"/>
      <c r="CQQ20" s="414"/>
      <c r="CQR20" s="414"/>
      <c r="CQS20" s="414"/>
      <c r="CQT20" s="414"/>
      <c r="CQU20" s="414"/>
      <c r="CQV20" s="414"/>
      <c r="CQW20" s="414"/>
      <c r="CQX20" s="414"/>
      <c r="CQY20" s="414"/>
      <c r="CQZ20" s="414"/>
      <c r="CRA20" s="414"/>
      <c r="CRB20" s="414"/>
      <c r="CRC20" s="414"/>
      <c r="CRD20" s="414"/>
      <c r="CRE20" s="414"/>
      <c r="CRF20" s="414"/>
      <c r="CRG20" s="414"/>
      <c r="CRH20" s="414"/>
      <c r="CRI20" s="414"/>
      <c r="CRJ20" s="414"/>
      <c r="CRK20" s="414"/>
      <c r="CRL20" s="414"/>
      <c r="CRM20" s="414"/>
      <c r="CRN20" s="414"/>
      <c r="CRO20" s="414"/>
      <c r="CRP20" s="414"/>
      <c r="CRQ20" s="414"/>
      <c r="CRR20" s="414"/>
      <c r="CRS20" s="414"/>
      <c r="CRT20" s="414"/>
      <c r="CRU20" s="414"/>
      <c r="CRV20" s="414"/>
      <c r="CRW20" s="414"/>
      <c r="CRX20" s="414"/>
      <c r="CRY20" s="414"/>
      <c r="CRZ20" s="414"/>
      <c r="CSA20" s="414"/>
      <c r="CSB20" s="414"/>
      <c r="CSC20" s="414"/>
      <c r="CSD20" s="414"/>
      <c r="CSE20" s="414"/>
      <c r="CSF20" s="414"/>
      <c r="CSG20" s="414"/>
      <c r="CSH20" s="414"/>
      <c r="CSI20" s="414"/>
      <c r="CSJ20" s="414"/>
      <c r="CSK20" s="414"/>
      <c r="CSL20" s="414"/>
      <c r="CSM20" s="414"/>
      <c r="CSN20" s="414"/>
      <c r="CSO20" s="414"/>
      <c r="CSP20" s="414"/>
      <c r="CSQ20" s="414"/>
      <c r="CSR20" s="414"/>
      <c r="CSS20" s="414"/>
      <c r="CST20" s="414"/>
      <c r="CSU20" s="414"/>
      <c r="CSV20" s="414"/>
      <c r="CSW20" s="414"/>
      <c r="CSX20" s="414"/>
      <c r="CSY20" s="414"/>
      <c r="CSZ20" s="414"/>
      <c r="CTA20" s="414"/>
      <c r="CTB20" s="414"/>
      <c r="CTC20" s="414"/>
      <c r="CTD20" s="414"/>
      <c r="CTE20" s="414"/>
      <c r="CTF20" s="414"/>
      <c r="CTG20" s="414"/>
      <c r="CTH20" s="414"/>
      <c r="CTI20" s="414"/>
      <c r="CTJ20" s="414"/>
      <c r="CTK20" s="414"/>
      <c r="CTL20" s="414"/>
      <c r="CTM20" s="414"/>
      <c r="CTN20" s="414"/>
      <c r="CTO20" s="414"/>
      <c r="CTP20" s="414"/>
      <c r="CTQ20" s="414"/>
      <c r="CTR20" s="414"/>
      <c r="CTS20" s="414"/>
      <c r="CTT20" s="414"/>
      <c r="CTU20" s="414"/>
      <c r="CTV20" s="414"/>
      <c r="CTW20" s="414"/>
      <c r="CTX20" s="414"/>
      <c r="CTY20" s="414"/>
      <c r="CTZ20" s="414"/>
      <c r="CUA20" s="414"/>
      <c r="CUB20" s="414"/>
      <c r="CUC20" s="414"/>
      <c r="CUD20" s="414"/>
      <c r="CUE20" s="414"/>
      <c r="CUF20" s="414"/>
      <c r="CUG20" s="414"/>
      <c r="CUH20" s="414"/>
      <c r="CUI20" s="414"/>
      <c r="CUJ20" s="414"/>
      <c r="CUK20" s="414"/>
      <c r="CUL20" s="414"/>
      <c r="CUM20" s="414"/>
      <c r="CUN20" s="414"/>
      <c r="CUO20" s="414"/>
      <c r="CUP20" s="414"/>
      <c r="CUQ20" s="414"/>
      <c r="CUR20" s="414"/>
      <c r="CUS20" s="414"/>
      <c r="CUT20" s="414"/>
      <c r="CUU20" s="414"/>
      <c r="CUV20" s="414"/>
      <c r="CUW20" s="414"/>
      <c r="CUX20" s="414"/>
      <c r="CUY20" s="414"/>
      <c r="CUZ20" s="414"/>
      <c r="CVA20" s="414"/>
      <c r="CVB20" s="414"/>
      <c r="CVC20" s="414"/>
      <c r="CVD20" s="414"/>
      <c r="CVE20" s="414"/>
      <c r="CVF20" s="414"/>
      <c r="CVG20" s="414"/>
      <c r="CVH20" s="414"/>
      <c r="CVI20" s="414"/>
      <c r="CVJ20" s="414"/>
      <c r="CVK20" s="414"/>
      <c r="CVL20" s="414"/>
      <c r="CVM20" s="414"/>
      <c r="CVN20" s="414"/>
      <c r="CVO20" s="414"/>
      <c r="CVP20" s="414"/>
      <c r="CVQ20" s="414"/>
      <c r="CVR20" s="414"/>
      <c r="CVS20" s="414"/>
      <c r="CVT20" s="414"/>
      <c r="CVU20" s="414"/>
      <c r="CVV20" s="414"/>
      <c r="CVW20" s="414"/>
      <c r="CVX20" s="414"/>
      <c r="CVY20" s="414"/>
      <c r="CVZ20" s="414"/>
      <c r="CWA20" s="414"/>
      <c r="CWB20" s="414"/>
      <c r="CWC20" s="414"/>
      <c r="CWD20" s="414"/>
      <c r="CWE20" s="414"/>
      <c r="CWF20" s="414"/>
      <c r="CWG20" s="414"/>
      <c r="CWH20" s="414"/>
      <c r="CWI20" s="414"/>
      <c r="CWJ20" s="414"/>
      <c r="CWK20" s="414"/>
      <c r="CWL20" s="414"/>
      <c r="CWM20" s="414"/>
      <c r="CWN20" s="414"/>
      <c r="CWO20" s="414"/>
      <c r="CWP20" s="414"/>
      <c r="CWQ20" s="414"/>
      <c r="CWR20" s="414"/>
      <c r="CWS20" s="414"/>
      <c r="CWT20" s="414"/>
      <c r="CWU20" s="414"/>
      <c r="CWV20" s="414"/>
      <c r="CWW20" s="414"/>
      <c r="CWX20" s="414"/>
      <c r="CWY20" s="414"/>
      <c r="CWZ20" s="414"/>
      <c r="CXA20" s="414"/>
      <c r="CXB20" s="414"/>
      <c r="CXC20" s="414"/>
      <c r="CXD20" s="414"/>
      <c r="CXE20" s="414"/>
      <c r="CXF20" s="414"/>
      <c r="CXG20" s="414"/>
      <c r="CXH20" s="414"/>
      <c r="CXI20" s="414"/>
      <c r="CXJ20" s="414"/>
      <c r="CXK20" s="414"/>
      <c r="CXL20" s="414"/>
      <c r="CXM20" s="414"/>
      <c r="CXN20" s="414"/>
      <c r="CXO20" s="414"/>
      <c r="CXP20" s="414"/>
      <c r="CXQ20" s="414"/>
      <c r="CXR20" s="414"/>
      <c r="CXS20" s="414"/>
      <c r="CXT20" s="414"/>
      <c r="CXU20" s="414"/>
      <c r="CXV20" s="414"/>
      <c r="CXW20" s="414"/>
      <c r="CXX20" s="414"/>
      <c r="CXY20" s="414"/>
      <c r="CXZ20" s="414"/>
      <c r="CYA20" s="414"/>
      <c r="CYB20" s="414"/>
      <c r="CYC20" s="414"/>
      <c r="CYD20" s="414"/>
      <c r="CYE20" s="414"/>
      <c r="CYF20" s="414"/>
      <c r="CYG20" s="414"/>
      <c r="CYH20" s="414"/>
      <c r="CYI20" s="414"/>
      <c r="CYJ20" s="414"/>
      <c r="CYK20" s="414"/>
      <c r="CYL20" s="414"/>
      <c r="CYM20" s="414"/>
      <c r="CYN20" s="414"/>
      <c r="CYO20" s="414"/>
      <c r="CYP20" s="414"/>
      <c r="CYQ20" s="414"/>
      <c r="CYR20" s="414"/>
      <c r="CYS20" s="414"/>
      <c r="CYT20" s="414"/>
      <c r="CYU20" s="414"/>
      <c r="CYV20" s="414"/>
      <c r="CYW20" s="414"/>
      <c r="CYX20" s="414"/>
      <c r="CYY20" s="414"/>
      <c r="CYZ20" s="414"/>
      <c r="CZA20" s="414"/>
      <c r="CZB20" s="414"/>
      <c r="CZC20" s="414"/>
      <c r="CZD20" s="414"/>
      <c r="CZE20" s="414"/>
      <c r="CZF20" s="414"/>
      <c r="CZG20" s="414"/>
      <c r="CZH20" s="414"/>
      <c r="CZI20" s="414"/>
      <c r="CZJ20" s="414"/>
      <c r="CZK20" s="414"/>
      <c r="CZL20" s="414"/>
      <c r="CZM20" s="414"/>
      <c r="CZN20" s="414"/>
      <c r="CZO20" s="414"/>
      <c r="CZP20" s="414"/>
      <c r="CZQ20" s="414"/>
      <c r="CZR20" s="414"/>
      <c r="CZS20" s="414"/>
      <c r="CZT20" s="414"/>
      <c r="CZU20" s="414"/>
      <c r="CZV20" s="414"/>
      <c r="CZW20" s="414"/>
      <c r="CZX20" s="414"/>
      <c r="CZY20" s="414"/>
      <c r="CZZ20" s="414"/>
      <c r="DAA20" s="414"/>
      <c r="DAB20" s="414"/>
      <c r="DAC20" s="414"/>
      <c r="DAD20" s="414"/>
      <c r="DAE20" s="414"/>
      <c r="DAF20" s="414"/>
      <c r="DAG20" s="414"/>
      <c r="DAH20" s="414"/>
      <c r="DAI20" s="414"/>
      <c r="DAJ20" s="414"/>
      <c r="DAK20" s="414"/>
      <c r="DAL20" s="414"/>
      <c r="DAM20" s="414"/>
      <c r="DAN20" s="414"/>
      <c r="DAO20" s="414"/>
      <c r="DAP20" s="414"/>
      <c r="DAQ20" s="414"/>
      <c r="DAR20" s="414"/>
      <c r="DAS20" s="414"/>
      <c r="DAT20" s="414"/>
      <c r="DAU20" s="414"/>
      <c r="DAV20" s="414"/>
      <c r="DAW20" s="414"/>
      <c r="DAX20" s="414"/>
      <c r="DAY20" s="414"/>
      <c r="DAZ20" s="414"/>
      <c r="DBA20" s="414"/>
      <c r="DBB20" s="414"/>
      <c r="DBC20" s="414"/>
      <c r="DBD20" s="414"/>
      <c r="DBE20" s="414"/>
      <c r="DBF20" s="414"/>
      <c r="DBG20" s="414"/>
      <c r="DBH20" s="414"/>
      <c r="DBI20" s="414"/>
      <c r="DBJ20" s="414"/>
      <c r="DBK20" s="414"/>
      <c r="DBL20" s="414"/>
      <c r="DBM20" s="414"/>
      <c r="DBN20" s="414"/>
      <c r="DBO20" s="414"/>
      <c r="DBP20" s="414"/>
      <c r="DBQ20" s="414"/>
      <c r="DBR20" s="414"/>
      <c r="DBS20" s="414"/>
      <c r="DBT20" s="414"/>
      <c r="DBU20" s="414"/>
      <c r="DBV20" s="414"/>
      <c r="DBW20" s="414"/>
      <c r="DBX20" s="414"/>
      <c r="DBY20" s="414"/>
      <c r="DBZ20" s="414"/>
      <c r="DCA20" s="414"/>
      <c r="DCB20" s="414"/>
      <c r="DCC20" s="414"/>
      <c r="DCD20" s="414"/>
      <c r="DCE20" s="414"/>
      <c r="DCF20" s="414"/>
      <c r="DCG20" s="414"/>
      <c r="DCH20" s="414"/>
      <c r="DCI20" s="414"/>
      <c r="DCJ20" s="414"/>
      <c r="DCK20" s="414"/>
      <c r="DCL20" s="414"/>
      <c r="DCM20" s="414"/>
      <c r="DCN20" s="414"/>
      <c r="DCO20" s="414"/>
      <c r="DCP20" s="414"/>
      <c r="DCQ20" s="414"/>
      <c r="DCR20" s="414"/>
      <c r="DCS20" s="414"/>
      <c r="DCT20" s="414"/>
      <c r="DCU20" s="414"/>
      <c r="DCV20" s="414"/>
      <c r="DCW20" s="414"/>
      <c r="DCX20" s="414"/>
      <c r="DCY20" s="414"/>
      <c r="DCZ20" s="414"/>
      <c r="DDA20" s="414"/>
      <c r="DDB20" s="414"/>
      <c r="DDC20" s="414"/>
      <c r="DDD20" s="414"/>
      <c r="DDE20" s="414"/>
      <c r="DDF20" s="414"/>
      <c r="DDG20" s="414"/>
      <c r="DDH20" s="414"/>
      <c r="DDI20" s="414"/>
      <c r="DDJ20" s="414"/>
      <c r="DDK20" s="414"/>
      <c r="DDL20" s="414"/>
      <c r="DDM20" s="414"/>
      <c r="DDN20" s="414"/>
      <c r="DDO20" s="414"/>
      <c r="DDP20" s="414"/>
      <c r="DDQ20" s="414"/>
      <c r="DDR20" s="414"/>
      <c r="DDS20" s="414"/>
      <c r="DDT20" s="414"/>
      <c r="DDU20" s="414"/>
      <c r="DDV20" s="414"/>
      <c r="DDW20" s="414"/>
      <c r="DDX20" s="414"/>
      <c r="DDY20" s="414"/>
      <c r="DDZ20" s="414"/>
      <c r="DEA20" s="414"/>
      <c r="DEB20" s="414"/>
      <c r="DEC20" s="414"/>
      <c r="DED20" s="414"/>
      <c r="DEE20" s="414"/>
      <c r="DEF20" s="414"/>
      <c r="DEG20" s="414"/>
      <c r="DEH20" s="414"/>
      <c r="DEI20" s="414"/>
      <c r="DEJ20" s="414"/>
      <c r="DEK20" s="414"/>
      <c r="DEL20" s="414"/>
      <c r="DEM20" s="414"/>
      <c r="DEN20" s="414"/>
      <c r="DEO20" s="414"/>
      <c r="DEP20" s="414"/>
      <c r="DEQ20" s="414"/>
      <c r="DER20" s="414"/>
      <c r="DES20" s="414"/>
      <c r="DET20" s="414"/>
      <c r="DEU20" s="414"/>
      <c r="DEV20" s="414"/>
      <c r="DEW20" s="414"/>
      <c r="DEX20" s="414"/>
      <c r="DEY20" s="414"/>
      <c r="DEZ20" s="414"/>
      <c r="DFA20" s="414"/>
      <c r="DFB20" s="414"/>
      <c r="DFC20" s="414"/>
      <c r="DFD20" s="414"/>
      <c r="DFE20" s="414"/>
      <c r="DFF20" s="414"/>
      <c r="DFG20" s="414"/>
      <c r="DFH20" s="414"/>
      <c r="DFI20" s="414"/>
      <c r="DFJ20" s="414"/>
      <c r="DFK20" s="414"/>
      <c r="DFL20" s="414"/>
      <c r="DFM20" s="414"/>
      <c r="DFN20" s="414"/>
      <c r="DFO20" s="414"/>
      <c r="DFP20" s="414"/>
      <c r="DFQ20" s="414"/>
      <c r="DFR20" s="414"/>
      <c r="DFS20" s="414"/>
      <c r="DFT20" s="414"/>
      <c r="DFU20" s="414"/>
      <c r="DFV20" s="414"/>
      <c r="DFW20" s="414"/>
      <c r="DFX20" s="414"/>
      <c r="DFY20" s="414"/>
      <c r="DFZ20" s="414"/>
      <c r="DGA20" s="414"/>
      <c r="DGB20" s="414"/>
      <c r="DGC20" s="414"/>
      <c r="DGD20" s="414"/>
      <c r="DGE20" s="414"/>
      <c r="DGF20" s="414"/>
      <c r="DGG20" s="414"/>
      <c r="DGH20" s="414"/>
      <c r="DGI20" s="414"/>
      <c r="DGJ20" s="414"/>
      <c r="DGK20" s="414"/>
      <c r="DGL20" s="414"/>
      <c r="DGM20" s="414"/>
      <c r="DGN20" s="414"/>
      <c r="DGO20" s="414"/>
      <c r="DGP20" s="414"/>
      <c r="DGQ20" s="414"/>
      <c r="DGR20" s="414"/>
      <c r="DGS20" s="414"/>
      <c r="DGT20" s="414"/>
      <c r="DGU20" s="414"/>
      <c r="DGV20" s="414"/>
      <c r="DGW20" s="414"/>
      <c r="DGX20" s="414"/>
      <c r="DGY20" s="414"/>
      <c r="DGZ20" s="414"/>
      <c r="DHA20" s="414"/>
      <c r="DHB20" s="414"/>
      <c r="DHC20" s="414"/>
      <c r="DHD20" s="414"/>
      <c r="DHE20" s="414"/>
      <c r="DHF20" s="414"/>
      <c r="DHG20" s="414"/>
      <c r="DHH20" s="414"/>
      <c r="DHI20" s="414"/>
      <c r="DHJ20" s="414"/>
      <c r="DHK20" s="414"/>
      <c r="DHL20" s="414"/>
      <c r="DHM20" s="414"/>
      <c r="DHN20" s="414"/>
      <c r="DHO20" s="414"/>
      <c r="DHP20" s="414"/>
      <c r="DHQ20" s="414"/>
      <c r="DHR20" s="414"/>
      <c r="DHS20" s="414"/>
      <c r="DHT20" s="414"/>
      <c r="DHU20" s="414"/>
      <c r="DHV20" s="414"/>
      <c r="DHW20" s="414"/>
      <c r="DHX20" s="414"/>
      <c r="DHY20" s="414"/>
      <c r="DHZ20" s="414"/>
      <c r="DIA20" s="414"/>
      <c r="DIB20" s="414"/>
      <c r="DIC20" s="414"/>
      <c r="DID20" s="414"/>
      <c r="DIE20" s="414"/>
      <c r="DIF20" s="414"/>
      <c r="DIG20" s="414"/>
      <c r="DIH20" s="414"/>
      <c r="DII20" s="414"/>
      <c r="DIJ20" s="414"/>
      <c r="DIK20" s="414"/>
      <c r="DIL20" s="414"/>
      <c r="DIM20" s="414"/>
      <c r="DIN20" s="414"/>
      <c r="DIO20" s="414"/>
      <c r="DIP20" s="414"/>
      <c r="DIQ20" s="414"/>
      <c r="DIR20" s="414"/>
      <c r="DIS20" s="414"/>
      <c r="DIT20" s="414"/>
      <c r="DIU20" s="414"/>
      <c r="DIV20" s="414"/>
      <c r="DIW20" s="414"/>
      <c r="DIX20" s="414"/>
      <c r="DIY20" s="414"/>
      <c r="DIZ20" s="414"/>
      <c r="DJA20" s="414"/>
      <c r="DJB20" s="414"/>
      <c r="DJC20" s="414"/>
      <c r="DJD20" s="414"/>
      <c r="DJE20" s="414"/>
      <c r="DJF20" s="414"/>
      <c r="DJG20" s="414"/>
      <c r="DJH20" s="414"/>
      <c r="DJI20" s="414"/>
      <c r="DJJ20" s="414"/>
      <c r="DJK20" s="414"/>
      <c r="DJL20" s="414"/>
      <c r="DJM20" s="414"/>
      <c r="DJN20" s="414"/>
      <c r="DJO20" s="414"/>
      <c r="DJP20" s="414"/>
      <c r="DJQ20" s="414"/>
      <c r="DJR20" s="414"/>
      <c r="DJS20" s="414"/>
      <c r="DJT20" s="414"/>
      <c r="DJU20" s="414"/>
      <c r="DJV20" s="414"/>
      <c r="DJW20" s="414"/>
      <c r="DJX20" s="414"/>
      <c r="DJY20" s="414"/>
      <c r="DJZ20" s="414"/>
      <c r="DKA20" s="414"/>
      <c r="DKB20" s="414"/>
      <c r="DKC20" s="414"/>
      <c r="DKD20" s="414"/>
      <c r="DKE20" s="414"/>
      <c r="DKF20" s="414"/>
      <c r="DKG20" s="414"/>
      <c r="DKH20" s="414"/>
      <c r="DKI20" s="414"/>
      <c r="DKJ20" s="414"/>
      <c r="DKK20" s="414"/>
      <c r="DKL20" s="414"/>
      <c r="DKM20" s="414"/>
      <c r="DKN20" s="414"/>
      <c r="DKO20" s="414"/>
      <c r="DKP20" s="414"/>
      <c r="DKQ20" s="414"/>
      <c r="DKR20" s="414"/>
      <c r="DKS20" s="414"/>
      <c r="DKT20" s="414"/>
      <c r="DKU20" s="414"/>
      <c r="DKV20" s="414"/>
      <c r="DKW20" s="414"/>
      <c r="DKX20" s="414"/>
      <c r="DKY20" s="414"/>
      <c r="DKZ20" s="414"/>
      <c r="DLA20" s="414"/>
      <c r="DLB20" s="414"/>
      <c r="DLC20" s="414"/>
      <c r="DLD20" s="414"/>
      <c r="DLE20" s="414"/>
      <c r="DLF20" s="414"/>
      <c r="DLG20" s="414"/>
      <c r="DLH20" s="414"/>
      <c r="DLI20" s="414"/>
      <c r="DLJ20" s="414"/>
      <c r="DLK20" s="414"/>
      <c r="DLL20" s="414"/>
      <c r="DLM20" s="414"/>
      <c r="DLN20" s="414"/>
      <c r="DLO20" s="414"/>
      <c r="DLP20" s="414"/>
      <c r="DLQ20" s="414"/>
      <c r="DLR20" s="414"/>
      <c r="DLS20" s="414"/>
      <c r="DLT20" s="414"/>
      <c r="DLU20" s="414"/>
      <c r="DLV20" s="414"/>
      <c r="DLW20" s="414"/>
      <c r="DLX20" s="414"/>
      <c r="DLY20" s="414"/>
      <c r="DLZ20" s="414"/>
      <c r="DMA20" s="414"/>
      <c r="DMB20" s="414"/>
      <c r="DMC20" s="414"/>
      <c r="DMD20" s="414"/>
      <c r="DME20" s="414"/>
      <c r="DMF20" s="414"/>
      <c r="DMG20" s="414"/>
      <c r="DMH20" s="414"/>
      <c r="DMI20" s="414"/>
      <c r="DMJ20" s="414"/>
      <c r="DMK20" s="414"/>
      <c r="DML20" s="414"/>
      <c r="DMM20" s="414"/>
      <c r="DMN20" s="414"/>
      <c r="DMO20" s="414"/>
      <c r="DMP20" s="414"/>
      <c r="DMQ20" s="414"/>
      <c r="DMR20" s="414"/>
      <c r="DMS20" s="414"/>
      <c r="DMT20" s="414"/>
      <c r="DMU20" s="414"/>
      <c r="DMV20" s="414"/>
      <c r="DMW20" s="414"/>
      <c r="DMX20" s="414"/>
      <c r="DMY20" s="414"/>
      <c r="DMZ20" s="414"/>
      <c r="DNA20" s="414"/>
      <c r="DNB20" s="414"/>
      <c r="DNC20" s="414"/>
      <c r="DND20" s="414"/>
      <c r="DNE20" s="414"/>
      <c r="DNF20" s="414"/>
      <c r="DNG20" s="414"/>
      <c r="DNH20" s="414"/>
      <c r="DNI20" s="414"/>
      <c r="DNJ20" s="414"/>
      <c r="DNK20" s="414"/>
      <c r="DNL20" s="414"/>
      <c r="DNM20" s="414"/>
      <c r="DNN20" s="414"/>
      <c r="DNO20" s="414"/>
      <c r="DNP20" s="414"/>
      <c r="DNQ20" s="414"/>
      <c r="DNR20" s="414"/>
      <c r="DNS20" s="414"/>
      <c r="DNT20" s="414"/>
      <c r="DNU20" s="414"/>
      <c r="DNV20" s="414"/>
      <c r="DNW20" s="414"/>
      <c r="DNX20" s="414"/>
      <c r="DNY20" s="414"/>
      <c r="DNZ20" s="414"/>
      <c r="DOA20" s="414"/>
      <c r="DOB20" s="414"/>
      <c r="DOC20" s="414"/>
      <c r="DOD20" s="414"/>
      <c r="DOE20" s="414"/>
      <c r="DOF20" s="414"/>
      <c r="DOG20" s="414"/>
      <c r="DOH20" s="414"/>
      <c r="DOI20" s="414"/>
      <c r="DOJ20" s="414"/>
      <c r="DOK20" s="414"/>
      <c r="DOL20" s="414"/>
      <c r="DOM20" s="414"/>
      <c r="DON20" s="414"/>
      <c r="DOO20" s="414"/>
      <c r="DOP20" s="414"/>
      <c r="DOQ20" s="414"/>
      <c r="DOR20" s="414"/>
      <c r="DOS20" s="414"/>
      <c r="DOT20" s="414"/>
      <c r="DOU20" s="414"/>
      <c r="DOV20" s="414"/>
      <c r="DOW20" s="414"/>
      <c r="DOX20" s="414"/>
      <c r="DOY20" s="414"/>
      <c r="DOZ20" s="414"/>
      <c r="DPA20" s="414"/>
      <c r="DPB20" s="414"/>
      <c r="DPC20" s="414"/>
      <c r="DPD20" s="414"/>
      <c r="DPE20" s="414"/>
      <c r="DPF20" s="414"/>
      <c r="DPG20" s="414"/>
      <c r="DPH20" s="414"/>
      <c r="DPI20" s="414"/>
      <c r="DPJ20" s="414"/>
      <c r="DPK20" s="414"/>
      <c r="DPL20" s="414"/>
      <c r="DPM20" s="414"/>
      <c r="DPN20" s="414"/>
      <c r="DPO20" s="414"/>
      <c r="DPP20" s="414"/>
      <c r="DPQ20" s="414"/>
      <c r="DPR20" s="414"/>
      <c r="DPS20" s="414"/>
      <c r="DPT20" s="414"/>
      <c r="DPU20" s="414"/>
      <c r="DPV20" s="414"/>
      <c r="DPW20" s="414"/>
      <c r="DPX20" s="414"/>
      <c r="DPY20" s="414"/>
      <c r="DPZ20" s="414"/>
      <c r="DQA20" s="414"/>
      <c r="DQB20" s="414"/>
      <c r="DQC20" s="414"/>
      <c r="DQD20" s="414"/>
      <c r="DQE20" s="414"/>
      <c r="DQF20" s="414"/>
      <c r="DQG20" s="414"/>
      <c r="DQH20" s="414"/>
      <c r="DQI20" s="414"/>
      <c r="DQJ20" s="414"/>
      <c r="DQK20" s="414"/>
      <c r="DQL20" s="414"/>
      <c r="DQM20" s="414"/>
      <c r="DQN20" s="414"/>
      <c r="DQO20" s="414"/>
      <c r="DQP20" s="414"/>
      <c r="DQQ20" s="414"/>
      <c r="DQR20" s="414"/>
      <c r="DQS20" s="414"/>
      <c r="DQT20" s="414"/>
      <c r="DQU20" s="414"/>
      <c r="DQV20" s="414"/>
      <c r="DQW20" s="414"/>
      <c r="DQX20" s="414"/>
      <c r="DQY20" s="414"/>
      <c r="DQZ20" s="414"/>
      <c r="DRA20" s="414"/>
      <c r="DRB20" s="414"/>
      <c r="DRC20" s="414"/>
      <c r="DRD20" s="414"/>
      <c r="DRE20" s="414"/>
      <c r="DRF20" s="414"/>
      <c r="DRG20" s="414"/>
      <c r="DRH20" s="414"/>
      <c r="DRI20" s="414"/>
      <c r="DRJ20" s="414"/>
      <c r="DRK20" s="414"/>
      <c r="DRL20" s="414"/>
      <c r="DRM20" s="414"/>
      <c r="DRN20" s="414"/>
      <c r="DRO20" s="414"/>
      <c r="DRP20" s="414"/>
      <c r="DRQ20" s="414"/>
      <c r="DRR20" s="414"/>
      <c r="DRS20" s="414"/>
      <c r="DRT20" s="414"/>
      <c r="DRU20" s="414"/>
      <c r="DRV20" s="414"/>
      <c r="DRW20" s="414"/>
      <c r="DRX20" s="414"/>
      <c r="DRY20" s="414"/>
      <c r="DRZ20" s="414"/>
      <c r="DSA20" s="414"/>
      <c r="DSB20" s="414"/>
      <c r="DSC20" s="414"/>
      <c r="DSD20" s="414"/>
      <c r="DSE20" s="414"/>
      <c r="DSF20" s="414"/>
      <c r="DSG20" s="414"/>
      <c r="DSH20" s="414"/>
      <c r="DSI20" s="414"/>
      <c r="DSJ20" s="414"/>
      <c r="DSK20" s="414"/>
      <c r="DSL20" s="414"/>
      <c r="DSM20" s="414"/>
      <c r="DSN20" s="414"/>
      <c r="DSO20" s="414"/>
      <c r="DSP20" s="414"/>
      <c r="DSQ20" s="414"/>
      <c r="DSR20" s="414"/>
      <c r="DSS20" s="414"/>
      <c r="DST20" s="414"/>
      <c r="DSU20" s="414"/>
      <c r="DSV20" s="414"/>
      <c r="DSW20" s="414"/>
      <c r="DSX20" s="414"/>
      <c r="DSY20" s="414"/>
      <c r="DSZ20" s="414"/>
      <c r="DTA20" s="414"/>
      <c r="DTB20" s="414"/>
      <c r="DTC20" s="414"/>
      <c r="DTD20" s="414"/>
      <c r="DTE20" s="414"/>
      <c r="DTF20" s="414"/>
      <c r="DTG20" s="414"/>
      <c r="DTH20" s="414"/>
      <c r="DTI20" s="414"/>
      <c r="DTJ20" s="414"/>
      <c r="DTK20" s="414"/>
      <c r="DTL20" s="414"/>
      <c r="DTM20" s="414"/>
      <c r="DTN20" s="414"/>
      <c r="DTO20" s="414"/>
      <c r="DTP20" s="414"/>
      <c r="DTQ20" s="414"/>
      <c r="DTR20" s="414"/>
      <c r="DTS20" s="414"/>
      <c r="DTT20" s="414"/>
      <c r="DTU20" s="414"/>
      <c r="DTV20" s="414"/>
      <c r="DTW20" s="414"/>
      <c r="DTX20" s="414"/>
      <c r="DTY20" s="414"/>
      <c r="DTZ20" s="414"/>
      <c r="DUA20" s="414"/>
      <c r="DUB20" s="414"/>
      <c r="DUC20" s="414"/>
      <c r="DUD20" s="414"/>
      <c r="DUE20" s="414"/>
      <c r="DUF20" s="414"/>
      <c r="DUG20" s="414"/>
      <c r="DUH20" s="414"/>
      <c r="DUI20" s="414"/>
      <c r="DUJ20" s="414"/>
      <c r="DUK20" s="414"/>
      <c r="DUL20" s="414"/>
      <c r="DUM20" s="414"/>
      <c r="DUN20" s="414"/>
      <c r="DUO20" s="414"/>
      <c r="DUP20" s="414"/>
      <c r="DUQ20" s="414"/>
      <c r="DUR20" s="414"/>
      <c r="DUS20" s="414"/>
      <c r="DUT20" s="414"/>
      <c r="DUU20" s="414"/>
      <c r="DUV20" s="414"/>
      <c r="DUW20" s="414"/>
      <c r="DUX20" s="414"/>
      <c r="DUY20" s="414"/>
      <c r="DUZ20" s="414"/>
      <c r="DVA20" s="414"/>
      <c r="DVB20" s="414"/>
      <c r="DVC20" s="414"/>
      <c r="DVD20" s="414"/>
      <c r="DVE20" s="414"/>
      <c r="DVF20" s="414"/>
      <c r="DVG20" s="414"/>
      <c r="DVH20" s="414"/>
      <c r="DVI20" s="414"/>
      <c r="DVJ20" s="414"/>
      <c r="DVK20" s="414"/>
      <c r="DVL20" s="414"/>
      <c r="DVM20" s="414"/>
      <c r="DVN20" s="414"/>
      <c r="DVO20" s="414"/>
      <c r="DVP20" s="414"/>
      <c r="DVQ20" s="414"/>
      <c r="DVR20" s="414"/>
      <c r="DVS20" s="414"/>
      <c r="DVT20" s="414"/>
      <c r="DVU20" s="414"/>
      <c r="DVV20" s="414"/>
      <c r="DVW20" s="414"/>
      <c r="DVX20" s="414"/>
      <c r="DVY20" s="414"/>
      <c r="DVZ20" s="414"/>
      <c r="DWA20" s="414"/>
      <c r="DWB20" s="414"/>
      <c r="DWC20" s="414"/>
      <c r="DWD20" s="414"/>
      <c r="DWE20" s="414"/>
      <c r="DWF20" s="414"/>
      <c r="DWG20" s="414"/>
      <c r="DWH20" s="414"/>
      <c r="DWI20" s="414"/>
      <c r="DWJ20" s="414"/>
      <c r="DWK20" s="414"/>
      <c r="DWL20" s="414"/>
      <c r="DWM20" s="414"/>
      <c r="DWN20" s="414"/>
      <c r="DWO20" s="414"/>
      <c r="DWP20" s="414"/>
      <c r="DWQ20" s="414"/>
      <c r="DWR20" s="414"/>
      <c r="DWS20" s="414"/>
      <c r="DWT20" s="414"/>
      <c r="DWU20" s="414"/>
      <c r="DWV20" s="414"/>
      <c r="DWW20" s="414"/>
      <c r="DWX20" s="414"/>
      <c r="DWY20" s="414"/>
      <c r="DWZ20" s="414"/>
      <c r="DXA20" s="414"/>
      <c r="DXB20" s="414"/>
      <c r="DXC20" s="414"/>
      <c r="DXD20" s="414"/>
      <c r="DXE20" s="414"/>
      <c r="DXF20" s="414"/>
      <c r="DXG20" s="414"/>
      <c r="DXH20" s="414"/>
      <c r="DXI20" s="414"/>
      <c r="DXJ20" s="414"/>
      <c r="DXK20" s="414"/>
      <c r="DXL20" s="414"/>
      <c r="DXM20" s="414"/>
      <c r="DXN20" s="414"/>
      <c r="DXO20" s="414"/>
      <c r="DXP20" s="414"/>
      <c r="DXQ20" s="414"/>
      <c r="DXR20" s="414"/>
      <c r="DXS20" s="414"/>
      <c r="DXT20" s="414"/>
      <c r="DXU20" s="414"/>
      <c r="DXV20" s="414"/>
      <c r="DXW20" s="414"/>
      <c r="DXX20" s="414"/>
      <c r="DXY20" s="414"/>
      <c r="DXZ20" s="414"/>
      <c r="DYA20" s="414"/>
      <c r="DYB20" s="414"/>
      <c r="DYC20" s="414"/>
      <c r="DYD20" s="414"/>
      <c r="DYE20" s="414"/>
      <c r="DYF20" s="414"/>
      <c r="DYG20" s="414"/>
      <c r="DYH20" s="414"/>
      <c r="DYI20" s="414"/>
      <c r="DYJ20" s="414"/>
      <c r="DYK20" s="414"/>
      <c r="DYL20" s="414"/>
      <c r="DYM20" s="414"/>
      <c r="DYN20" s="414"/>
      <c r="DYO20" s="414"/>
      <c r="DYP20" s="414"/>
      <c r="DYQ20" s="414"/>
      <c r="DYR20" s="414"/>
      <c r="DYS20" s="414"/>
      <c r="DYT20" s="414"/>
      <c r="DYU20" s="414"/>
      <c r="DYV20" s="414"/>
      <c r="DYW20" s="414"/>
      <c r="DYX20" s="414"/>
      <c r="DYY20" s="414"/>
      <c r="DYZ20" s="414"/>
      <c r="DZA20" s="414"/>
      <c r="DZB20" s="414"/>
      <c r="DZC20" s="414"/>
      <c r="DZD20" s="414"/>
      <c r="DZE20" s="414"/>
      <c r="DZF20" s="414"/>
      <c r="DZG20" s="414"/>
      <c r="DZH20" s="414"/>
      <c r="DZI20" s="414"/>
      <c r="DZJ20" s="414"/>
      <c r="DZK20" s="414"/>
      <c r="DZL20" s="414"/>
      <c r="DZM20" s="414"/>
      <c r="DZN20" s="414"/>
      <c r="DZO20" s="414"/>
      <c r="DZP20" s="414"/>
      <c r="DZQ20" s="414"/>
      <c r="DZR20" s="414"/>
      <c r="DZS20" s="414"/>
      <c r="DZT20" s="414"/>
      <c r="DZU20" s="414"/>
      <c r="DZV20" s="414"/>
      <c r="DZW20" s="414"/>
      <c r="DZX20" s="414"/>
      <c r="DZY20" s="414"/>
      <c r="DZZ20" s="414"/>
      <c r="EAA20" s="414"/>
      <c r="EAB20" s="414"/>
      <c r="EAC20" s="414"/>
      <c r="EAD20" s="414"/>
      <c r="EAE20" s="414"/>
      <c r="EAF20" s="414"/>
      <c r="EAG20" s="414"/>
      <c r="EAH20" s="414"/>
      <c r="EAI20" s="414"/>
      <c r="EAJ20" s="414"/>
      <c r="EAK20" s="414"/>
      <c r="EAL20" s="414"/>
      <c r="EAM20" s="414"/>
      <c r="EAN20" s="414"/>
      <c r="EAO20" s="414"/>
      <c r="EAP20" s="414"/>
      <c r="EAQ20" s="414"/>
      <c r="EAR20" s="414"/>
      <c r="EAS20" s="414"/>
      <c r="EAT20" s="414"/>
      <c r="EAU20" s="414"/>
      <c r="EAV20" s="414"/>
      <c r="EAW20" s="414"/>
      <c r="EAX20" s="414"/>
      <c r="EAY20" s="414"/>
      <c r="EAZ20" s="414"/>
      <c r="EBA20" s="414"/>
      <c r="EBB20" s="414"/>
      <c r="EBC20" s="414"/>
      <c r="EBD20" s="414"/>
      <c r="EBE20" s="414"/>
      <c r="EBF20" s="414"/>
      <c r="EBG20" s="414"/>
      <c r="EBH20" s="414"/>
      <c r="EBI20" s="414"/>
      <c r="EBJ20" s="414"/>
      <c r="EBK20" s="414"/>
      <c r="EBL20" s="414"/>
      <c r="EBM20" s="414"/>
      <c r="EBN20" s="414"/>
      <c r="EBO20" s="414"/>
      <c r="EBP20" s="414"/>
      <c r="EBQ20" s="414"/>
      <c r="EBR20" s="414"/>
      <c r="EBS20" s="414"/>
      <c r="EBT20" s="414"/>
      <c r="EBU20" s="414"/>
      <c r="EBV20" s="414"/>
      <c r="EBW20" s="414"/>
      <c r="EBX20" s="414"/>
      <c r="EBY20" s="414"/>
      <c r="EBZ20" s="414"/>
      <c r="ECA20" s="414"/>
      <c r="ECB20" s="414"/>
      <c r="ECC20" s="414"/>
      <c r="ECD20" s="414"/>
      <c r="ECE20" s="414"/>
      <c r="ECF20" s="414"/>
      <c r="ECG20" s="414"/>
      <c r="ECH20" s="414"/>
      <c r="ECI20" s="414"/>
      <c r="ECJ20" s="414"/>
      <c r="ECK20" s="414"/>
      <c r="ECL20" s="414"/>
      <c r="ECM20" s="414"/>
      <c r="ECN20" s="414"/>
      <c r="ECO20" s="414"/>
      <c r="ECP20" s="414"/>
      <c r="ECQ20" s="414"/>
      <c r="ECR20" s="414"/>
      <c r="ECS20" s="414"/>
      <c r="ECT20" s="414"/>
      <c r="ECU20" s="414"/>
      <c r="ECV20" s="414"/>
      <c r="ECW20" s="414"/>
      <c r="ECX20" s="414"/>
      <c r="ECY20" s="414"/>
      <c r="ECZ20" s="414"/>
      <c r="EDA20" s="414"/>
      <c r="EDB20" s="414"/>
      <c r="EDC20" s="414"/>
      <c r="EDD20" s="414"/>
      <c r="EDE20" s="414"/>
      <c r="EDF20" s="414"/>
      <c r="EDG20" s="414"/>
      <c r="EDH20" s="414"/>
      <c r="EDI20" s="414"/>
      <c r="EDJ20" s="414"/>
      <c r="EDK20" s="414"/>
      <c r="EDL20" s="414"/>
      <c r="EDM20" s="414"/>
      <c r="EDN20" s="414"/>
      <c r="EDO20" s="414"/>
      <c r="EDP20" s="414"/>
      <c r="EDQ20" s="414"/>
      <c r="EDR20" s="414"/>
      <c r="EDS20" s="414"/>
      <c r="EDT20" s="414"/>
      <c r="EDU20" s="414"/>
      <c r="EDV20" s="414"/>
      <c r="EDW20" s="414"/>
      <c r="EDX20" s="414"/>
      <c r="EDY20" s="414"/>
      <c r="EDZ20" s="414"/>
      <c r="EEA20" s="414"/>
      <c r="EEB20" s="414"/>
      <c r="EEC20" s="414"/>
      <c r="EED20" s="414"/>
      <c r="EEE20" s="414"/>
      <c r="EEF20" s="414"/>
      <c r="EEG20" s="414"/>
      <c r="EEH20" s="414"/>
      <c r="EEI20" s="414"/>
      <c r="EEJ20" s="414"/>
      <c r="EEK20" s="414"/>
      <c r="EEL20" s="414"/>
      <c r="EEM20" s="414"/>
      <c r="EEN20" s="414"/>
      <c r="EEO20" s="414"/>
      <c r="EEP20" s="414"/>
      <c r="EEQ20" s="414"/>
      <c r="EER20" s="414"/>
      <c r="EES20" s="414"/>
      <c r="EET20" s="414"/>
      <c r="EEU20" s="414"/>
      <c r="EEV20" s="414"/>
      <c r="EEW20" s="414"/>
      <c r="EEX20" s="414"/>
      <c r="EEY20" s="414"/>
      <c r="EEZ20" s="414"/>
      <c r="EFA20" s="414"/>
      <c r="EFB20" s="414"/>
      <c r="EFC20" s="414"/>
      <c r="EFD20" s="414"/>
      <c r="EFE20" s="414"/>
      <c r="EFF20" s="414"/>
      <c r="EFG20" s="414"/>
      <c r="EFH20" s="414"/>
      <c r="EFI20" s="414"/>
      <c r="EFJ20" s="414"/>
      <c r="EFK20" s="414"/>
      <c r="EFL20" s="414"/>
      <c r="EFM20" s="414"/>
      <c r="EFN20" s="414"/>
      <c r="EFO20" s="414"/>
      <c r="EFP20" s="414"/>
      <c r="EFQ20" s="414"/>
      <c r="EFR20" s="414"/>
      <c r="EFS20" s="414"/>
      <c r="EFT20" s="414"/>
      <c r="EFU20" s="414"/>
      <c r="EFV20" s="414"/>
      <c r="EFW20" s="414"/>
      <c r="EFX20" s="414"/>
      <c r="EFY20" s="414"/>
      <c r="EFZ20" s="414"/>
      <c r="EGA20" s="414"/>
      <c r="EGB20" s="414"/>
      <c r="EGC20" s="414"/>
      <c r="EGD20" s="414"/>
      <c r="EGE20" s="414"/>
      <c r="EGF20" s="414"/>
      <c r="EGG20" s="414"/>
      <c r="EGH20" s="414"/>
      <c r="EGI20" s="414"/>
      <c r="EGJ20" s="414"/>
      <c r="EGK20" s="414"/>
      <c r="EGL20" s="414"/>
      <c r="EGM20" s="414"/>
      <c r="EGN20" s="414"/>
      <c r="EGO20" s="414"/>
      <c r="EGP20" s="414"/>
      <c r="EGQ20" s="414"/>
      <c r="EGR20" s="414"/>
      <c r="EGS20" s="414"/>
      <c r="EGT20" s="414"/>
      <c r="EGU20" s="414"/>
      <c r="EGV20" s="414"/>
      <c r="EGW20" s="414"/>
      <c r="EGX20" s="414"/>
      <c r="EGY20" s="414"/>
      <c r="EGZ20" s="414"/>
      <c r="EHA20" s="414"/>
      <c r="EHB20" s="414"/>
      <c r="EHC20" s="414"/>
      <c r="EHD20" s="414"/>
      <c r="EHE20" s="414"/>
      <c r="EHF20" s="414"/>
      <c r="EHG20" s="414"/>
      <c r="EHH20" s="414"/>
      <c r="EHI20" s="414"/>
      <c r="EHJ20" s="414"/>
      <c r="EHK20" s="414"/>
      <c r="EHL20" s="414"/>
      <c r="EHM20" s="414"/>
      <c r="EHN20" s="414"/>
      <c r="EHO20" s="414"/>
      <c r="EHP20" s="414"/>
      <c r="EHQ20" s="414"/>
      <c r="EHR20" s="414"/>
      <c r="EHS20" s="414"/>
      <c r="EHT20" s="414"/>
      <c r="EHU20" s="414"/>
      <c r="EHV20" s="414"/>
      <c r="EHW20" s="414"/>
      <c r="EHX20" s="414"/>
      <c r="EHY20" s="414"/>
      <c r="EHZ20" s="414"/>
      <c r="EIA20" s="414"/>
      <c r="EIB20" s="414"/>
      <c r="EIC20" s="414"/>
      <c r="EID20" s="414"/>
      <c r="EIE20" s="414"/>
      <c r="EIF20" s="414"/>
      <c r="EIG20" s="414"/>
      <c r="EIH20" s="414"/>
      <c r="EII20" s="414"/>
      <c r="EIJ20" s="414"/>
      <c r="EIK20" s="414"/>
      <c r="EIL20" s="414"/>
      <c r="EIM20" s="414"/>
      <c r="EIN20" s="414"/>
      <c r="EIO20" s="414"/>
      <c r="EIP20" s="414"/>
      <c r="EIQ20" s="414"/>
      <c r="EIR20" s="414"/>
      <c r="EIS20" s="414"/>
      <c r="EIT20" s="414"/>
      <c r="EIU20" s="414"/>
      <c r="EIV20" s="414"/>
      <c r="EIW20" s="414"/>
      <c r="EIX20" s="414"/>
      <c r="EIY20" s="414"/>
      <c r="EIZ20" s="414"/>
      <c r="EJA20" s="414"/>
      <c r="EJB20" s="414"/>
      <c r="EJC20" s="414"/>
      <c r="EJD20" s="414"/>
      <c r="EJE20" s="414"/>
      <c r="EJF20" s="414"/>
      <c r="EJG20" s="414"/>
      <c r="EJH20" s="414"/>
      <c r="EJI20" s="414"/>
      <c r="EJJ20" s="414"/>
      <c r="EJK20" s="414"/>
      <c r="EJL20" s="414"/>
      <c r="EJM20" s="414"/>
      <c r="EJN20" s="414"/>
      <c r="EJO20" s="414"/>
      <c r="EJP20" s="414"/>
      <c r="EJQ20" s="414"/>
      <c r="EJR20" s="414"/>
      <c r="EJS20" s="414"/>
      <c r="EJT20" s="414"/>
      <c r="EJU20" s="414"/>
      <c r="EJV20" s="414"/>
      <c r="EJW20" s="414"/>
      <c r="EJX20" s="414"/>
      <c r="EJY20" s="414"/>
      <c r="EJZ20" s="414"/>
      <c r="EKA20" s="414"/>
      <c r="EKB20" s="414"/>
      <c r="EKC20" s="414"/>
      <c r="EKD20" s="414"/>
      <c r="EKE20" s="414"/>
      <c r="EKF20" s="414"/>
      <c r="EKG20" s="414"/>
      <c r="EKH20" s="414"/>
      <c r="EKI20" s="414"/>
      <c r="EKJ20" s="414"/>
      <c r="EKK20" s="414"/>
      <c r="EKL20" s="414"/>
      <c r="EKM20" s="414"/>
      <c r="EKN20" s="414"/>
      <c r="EKO20" s="414"/>
      <c r="EKP20" s="414"/>
      <c r="EKQ20" s="414"/>
      <c r="EKR20" s="414"/>
      <c r="EKS20" s="414"/>
      <c r="EKT20" s="414"/>
      <c r="EKU20" s="414"/>
      <c r="EKV20" s="414"/>
      <c r="EKW20" s="414"/>
      <c r="EKX20" s="414"/>
      <c r="EKY20" s="414"/>
      <c r="EKZ20" s="414"/>
      <c r="ELA20" s="414"/>
      <c r="ELB20" s="414"/>
      <c r="ELC20" s="414"/>
      <c r="ELD20" s="414"/>
      <c r="ELE20" s="414"/>
      <c r="ELF20" s="414"/>
      <c r="ELG20" s="414"/>
      <c r="ELH20" s="414"/>
      <c r="ELI20" s="414"/>
      <c r="ELJ20" s="414"/>
      <c r="ELK20" s="414"/>
      <c r="ELL20" s="414"/>
      <c r="ELM20" s="414"/>
      <c r="ELN20" s="414"/>
      <c r="ELO20" s="414"/>
      <c r="ELP20" s="414"/>
      <c r="ELQ20" s="414"/>
      <c r="ELR20" s="414"/>
      <c r="ELS20" s="414"/>
      <c r="ELT20" s="414"/>
      <c r="ELU20" s="414"/>
      <c r="ELV20" s="414"/>
      <c r="ELW20" s="414"/>
      <c r="ELX20" s="414"/>
      <c r="ELY20" s="414"/>
      <c r="ELZ20" s="414"/>
      <c r="EMA20" s="414"/>
      <c r="EMB20" s="414"/>
      <c r="EMC20" s="414"/>
      <c r="EMD20" s="414"/>
      <c r="EME20" s="414"/>
      <c r="EMF20" s="414"/>
      <c r="EMG20" s="414"/>
      <c r="EMH20" s="414"/>
      <c r="EMI20" s="414"/>
      <c r="EMJ20" s="414"/>
      <c r="EMK20" s="414"/>
      <c r="EML20" s="414"/>
      <c r="EMM20" s="414"/>
      <c r="EMN20" s="414"/>
      <c r="EMO20" s="414"/>
      <c r="EMP20" s="414"/>
      <c r="EMQ20" s="414"/>
      <c r="EMR20" s="414"/>
      <c r="EMS20" s="414"/>
      <c r="EMT20" s="414"/>
      <c r="EMU20" s="414"/>
      <c r="EMV20" s="414"/>
      <c r="EMW20" s="414"/>
      <c r="EMX20" s="414"/>
      <c r="EMY20" s="414"/>
      <c r="EMZ20" s="414"/>
      <c r="ENA20" s="414"/>
      <c r="ENB20" s="414"/>
      <c r="ENC20" s="414"/>
      <c r="END20" s="414"/>
      <c r="ENE20" s="414"/>
      <c r="ENF20" s="414"/>
      <c r="ENG20" s="414"/>
      <c r="ENH20" s="414"/>
      <c r="ENI20" s="414"/>
      <c r="ENJ20" s="414"/>
      <c r="ENK20" s="414"/>
      <c r="ENL20" s="414"/>
      <c r="ENM20" s="414"/>
      <c r="ENN20" s="414"/>
      <c r="ENO20" s="414"/>
      <c r="ENP20" s="414"/>
      <c r="ENQ20" s="414"/>
      <c r="ENR20" s="414"/>
      <c r="ENS20" s="414"/>
      <c r="ENT20" s="414"/>
      <c r="ENU20" s="414"/>
      <c r="ENV20" s="414"/>
      <c r="ENW20" s="414"/>
      <c r="ENX20" s="414"/>
      <c r="ENY20" s="414"/>
      <c r="ENZ20" s="414"/>
      <c r="EOA20" s="414"/>
      <c r="EOB20" s="414"/>
      <c r="EOC20" s="414"/>
      <c r="EOD20" s="414"/>
      <c r="EOE20" s="414"/>
      <c r="EOF20" s="414"/>
      <c r="EOG20" s="414"/>
      <c r="EOH20" s="414"/>
      <c r="EOI20" s="414"/>
      <c r="EOJ20" s="414"/>
      <c r="EOK20" s="414"/>
      <c r="EOL20" s="414"/>
      <c r="EOM20" s="414"/>
      <c r="EON20" s="414"/>
      <c r="EOO20" s="414"/>
      <c r="EOP20" s="414"/>
      <c r="EOQ20" s="414"/>
      <c r="EOR20" s="414"/>
      <c r="EOS20" s="414"/>
      <c r="EOT20" s="414"/>
      <c r="EOU20" s="414"/>
      <c r="EOV20" s="414"/>
      <c r="EOW20" s="414"/>
      <c r="EOX20" s="414"/>
      <c r="EOY20" s="414"/>
      <c r="EOZ20" s="414"/>
      <c r="EPA20" s="414"/>
      <c r="EPB20" s="414"/>
      <c r="EPC20" s="414"/>
      <c r="EPD20" s="414"/>
      <c r="EPE20" s="414"/>
      <c r="EPF20" s="414"/>
      <c r="EPG20" s="414"/>
      <c r="EPH20" s="414"/>
      <c r="EPI20" s="414"/>
      <c r="EPJ20" s="414"/>
      <c r="EPK20" s="414"/>
      <c r="EPL20" s="414"/>
      <c r="EPM20" s="414"/>
      <c r="EPN20" s="414"/>
      <c r="EPO20" s="414"/>
      <c r="EPP20" s="414"/>
      <c r="EPQ20" s="414"/>
      <c r="EPR20" s="414"/>
      <c r="EPS20" s="414"/>
      <c r="EPT20" s="414"/>
      <c r="EPU20" s="414"/>
      <c r="EPV20" s="414"/>
      <c r="EPW20" s="414"/>
      <c r="EPX20" s="414"/>
      <c r="EPY20" s="414"/>
      <c r="EPZ20" s="414"/>
      <c r="EQA20" s="414"/>
      <c r="EQB20" s="414"/>
      <c r="EQC20" s="414"/>
      <c r="EQD20" s="414"/>
      <c r="EQE20" s="414"/>
      <c r="EQF20" s="414"/>
      <c r="EQG20" s="414"/>
      <c r="EQH20" s="414"/>
      <c r="EQI20" s="414"/>
      <c r="EQJ20" s="414"/>
      <c r="EQK20" s="414"/>
      <c r="EQL20" s="414"/>
      <c r="EQM20" s="414"/>
      <c r="EQN20" s="414"/>
      <c r="EQO20" s="414"/>
      <c r="EQP20" s="414"/>
      <c r="EQQ20" s="414"/>
      <c r="EQR20" s="414"/>
      <c r="EQS20" s="414"/>
      <c r="EQT20" s="414"/>
      <c r="EQU20" s="414"/>
      <c r="EQV20" s="414"/>
      <c r="EQW20" s="414"/>
      <c r="EQX20" s="414"/>
      <c r="EQY20" s="414"/>
      <c r="EQZ20" s="414"/>
      <c r="ERA20" s="414"/>
      <c r="ERB20" s="414"/>
      <c r="ERC20" s="414"/>
      <c r="ERD20" s="414"/>
      <c r="ERE20" s="414"/>
      <c r="ERF20" s="414"/>
      <c r="ERG20" s="414"/>
      <c r="ERH20" s="414"/>
      <c r="ERI20" s="414"/>
      <c r="ERJ20" s="414"/>
      <c r="ERK20" s="414"/>
      <c r="ERL20" s="414"/>
      <c r="ERM20" s="414"/>
      <c r="ERN20" s="414"/>
      <c r="ERO20" s="414"/>
      <c r="ERP20" s="414"/>
      <c r="ERQ20" s="414"/>
      <c r="ERR20" s="414"/>
      <c r="ERS20" s="414"/>
      <c r="ERT20" s="414"/>
      <c r="ERU20" s="414"/>
      <c r="ERV20" s="414"/>
      <c r="ERW20" s="414"/>
      <c r="ERX20" s="414"/>
      <c r="ERY20" s="414"/>
      <c r="ERZ20" s="414"/>
      <c r="ESA20" s="414"/>
      <c r="ESB20" s="414"/>
      <c r="ESC20" s="414"/>
      <c r="ESD20" s="414"/>
      <c r="ESE20" s="414"/>
      <c r="ESF20" s="414"/>
      <c r="ESG20" s="414"/>
      <c r="ESH20" s="414"/>
      <c r="ESI20" s="414"/>
      <c r="ESJ20" s="414"/>
      <c r="ESK20" s="414"/>
      <c r="ESL20" s="414"/>
      <c r="ESM20" s="414"/>
      <c r="ESN20" s="414"/>
      <c r="ESO20" s="414"/>
      <c r="ESP20" s="414"/>
      <c r="ESQ20" s="414"/>
      <c r="ESR20" s="414"/>
      <c r="ESS20" s="414"/>
      <c r="EST20" s="414"/>
      <c r="ESU20" s="414"/>
      <c r="ESV20" s="414"/>
      <c r="ESW20" s="414"/>
      <c r="ESX20" s="414"/>
      <c r="ESY20" s="414"/>
      <c r="ESZ20" s="414"/>
      <c r="ETA20" s="414"/>
      <c r="ETB20" s="414"/>
      <c r="ETC20" s="414"/>
      <c r="ETD20" s="414"/>
      <c r="ETE20" s="414"/>
      <c r="ETF20" s="414"/>
      <c r="ETG20" s="414"/>
      <c r="ETH20" s="414"/>
      <c r="ETI20" s="414"/>
      <c r="ETJ20" s="414"/>
      <c r="ETK20" s="414"/>
      <c r="ETL20" s="414"/>
      <c r="ETM20" s="414"/>
      <c r="ETN20" s="414"/>
      <c r="ETO20" s="414"/>
      <c r="ETP20" s="414"/>
      <c r="ETQ20" s="414"/>
      <c r="ETR20" s="414"/>
      <c r="ETS20" s="414"/>
      <c r="ETT20" s="414"/>
      <c r="ETU20" s="414"/>
      <c r="ETV20" s="414"/>
      <c r="ETW20" s="414"/>
      <c r="ETX20" s="414"/>
      <c r="ETY20" s="414"/>
      <c r="ETZ20" s="414"/>
      <c r="EUA20" s="414"/>
      <c r="EUB20" s="414"/>
      <c r="EUC20" s="414"/>
      <c r="EUD20" s="414"/>
      <c r="EUE20" s="414"/>
      <c r="EUF20" s="414"/>
      <c r="EUG20" s="414"/>
      <c r="EUH20" s="414"/>
      <c r="EUI20" s="414"/>
      <c r="EUJ20" s="414"/>
      <c r="EUK20" s="414"/>
      <c r="EUL20" s="414"/>
      <c r="EUM20" s="414"/>
      <c r="EUN20" s="414"/>
      <c r="EUO20" s="414"/>
      <c r="EUP20" s="414"/>
      <c r="EUQ20" s="414"/>
      <c r="EUR20" s="414"/>
      <c r="EUS20" s="414"/>
      <c r="EUT20" s="414"/>
      <c r="EUU20" s="414"/>
      <c r="EUV20" s="414"/>
      <c r="EUW20" s="414"/>
      <c r="EUX20" s="414"/>
      <c r="EUY20" s="414"/>
      <c r="EUZ20" s="414"/>
      <c r="EVA20" s="414"/>
      <c r="EVB20" s="414"/>
      <c r="EVC20" s="414"/>
      <c r="EVD20" s="414"/>
      <c r="EVE20" s="414"/>
      <c r="EVF20" s="414"/>
      <c r="EVG20" s="414"/>
      <c r="EVH20" s="414"/>
      <c r="EVI20" s="414"/>
      <c r="EVJ20" s="414"/>
      <c r="EVK20" s="414"/>
      <c r="EVL20" s="414"/>
      <c r="EVM20" s="414"/>
      <c r="EVN20" s="414"/>
      <c r="EVO20" s="414"/>
      <c r="EVP20" s="414"/>
      <c r="EVQ20" s="414"/>
      <c r="EVR20" s="414"/>
      <c r="EVS20" s="414"/>
      <c r="EVT20" s="414"/>
      <c r="EVU20" s="414"/>
      <c r="EVV20" s="414"/>
      <c r="EVW20" s="414"/>
      <c r="EVX20" s="414"/>
      <c r="EVY20" s="414"/>
      <c r="EVZ20" s="414"/>
      <c r="EWA20" s="414"/>
      <c r="EWB20" s="414"/>
      <c r="EWC20" s="414"/>
      <c r="EWD20" s="414"/>
      <c r="EWE20" s="414"/>
      <c r="EWF20" s="414"/>
      <c r="EWG20" s="414"/>
      <c r="EWH20" s="414"/>
      <c r="EWI20" s="414"/>
      <c r="EWJ20" s="414"/>
      <c r="EWK20" s="414"/>
      <c r="EWL20" s="414"/>
      <c r="EWM20" s="414"/>
      <c r="EWN20" s="414"/>
      <c r="EWO20" s="414"/>
      <c r="EWP20" s="414"/>
      <c r="EWQ20" s="414"/>
      <c r="EWR20" s="414"/>
      <c r="EWS20" s="414"/>
      <c r="EWT20" s="414"/>
      <c r="EWU20" s="414"/>
      <c r="EWV20" s="414"/>
      <c r="EWW20" s="414"/>
      <c r="EWX20" s="414"/>
      <c r="EWY20" s="414"/>
      <c r="EWZ20" s="414"/>
      <c r="EXA20" s="414"/>
      <c r="EXB20" s="414"/>
      <c r="EXC20" s="414"/>
      <c r="EXD20" s="414"/>
      <c r="EXE20" s="414"/>
      <c r="EXF20" s="414"/>
      <c r="EXG20" s="414"/>
      <c r="EXH20" s="414"/>
      <c r="EXI20" s="414"/>
      <c r="EXJ20" s="414"/>
      <c r="EXK20" s="414"/>
      <c r="EXL20" s="414"/>
      <c r="EXM20" s="414"/>
      <c r="EXN20" s="414"/>
      <c r="EXO20" s="414"/>
      <c r="EXP20" s="414"/>
      <c r="EXQ20" s="414"/>
      <c r="EXR20" s="414"/>
      <c r="EXS20" s="414"/>
      <c r="EXT20" s="414"/>
      <c r="EXU20" s="414"/>
      <c r="EXV20" s="414"/>
      <c r="EXW20" s="414"/>
      <c r="EXX20" s="414"/>
      <c r="EXY20" s="414"/>
      <c r="EXZ20" s="414"/>
      <c r="EYA20" s="414"/>
      <c r="EYB20" s="414"/>
      <c r="EYC20" s="414"/>
      <c r="EYD20" s="414"/>
      <c r="EYE20" s="414"/>
      <c r="EYF20" s="414"/>
      <c r="EYG20" s="414"/>
      <c r="EYH20" s="414"/>
      <c r="EYI20" s="414"/>
      <c r="EYJ20" s="414"/>
      <c r="EYK20" s="414"/>
      <c r="EYL20" s="414"/>
      <c r="EYM20" s="414"/>
      <c r="EYN20" s="414"/>
      <c r="EYO20" s="414"/>
      <c r="EYP20" s="414"/>
      <c r="EYQ20" s="414"/>
      <c r="EYR20" s="414"/>
      <c r="EYS20" s="414"/>
      <c r="EYT20" s="414"/>
      <c r="EYU20" s="414"/>
      <c r="EYV20" s="414"/>
      <c r="EYW20" s="414"/>
      <c r="EYX20" s="414"/>
      <c r="EYY20" s="414"/>
      <c r="EYZ20" s="414"/>
      <c r="EZA20" s="414"/>
      <c r="EZB20" s="414"/>
      <c r="EZC20" s="414"/>
      <c r="EZD20" s="414"/>
      <c r="EZE20" s="414"/>
      <c r="EZF20" s="414"/>
      <c r="EZG20" s="414"/>
      <c r="EZH20" s="414"/>
      <c r="EZI20" s="414"/>
      <c r="EZJ20" s="414"/>
      <c r="EZK20" s="414"/>
      <c r="EZL20" s="414"/>
      <c r="EZM20" s="414"/>
      <c r="EZN20" s="414"/>
      <c r="EZO20" s="414"/>
      <c r="EZP20" s="414"/>
      <c r="EZQ20" s="414"/>
      <c r="EZR20" s="414"/>
      <c r="EZS20" s="414"/>
      <c r="EZT20" s="414"/>
      <c r="EZU20" s="414"/>
      <c r="EZV20" s="414"/>
      <c r="EZW20" s="414"/>
      <c r="EZX20" s="414"/>
      <c r="EZY20" s="414"/>
      <c r="EZZ20" s="414"/>
      <c r="FAA20" s="414"/>
      <c r="FAB20" s="414"/>
      <c r="FAC20" s="414"/>
      <c r="FAD20" s="414"/>
      <c r="FAE20" s="414"/>
      <c r="FAF20" s="414"/>
      <c r="FAG20" s="414"/>
      <c r="FAH20" s="414"/>
      <c r="FAI20" s="414"/>
      <c r="FAJ20" s="414"/>
      <c r="FAK20" s="414"/>
      <c r="FAL20" s="414"/>
      <c r="FAM20" s="414"/>
      <c r="FAN20" s="414"/>
      <c r="FAO20" s="414"/>
      <c r="FAP20" s="414"/>
      <c r="FAQ20" s="414"/>
      <c r="FAR20" s="414"/>
      <c r="FAS20" s="414"/>
      <c r="FAT20" s="414"/>
      <c r="FAU20" s="414"/>
      <c r="FAV20" s="414"/>
      <c r="FAW20" s="414"/>
      <c r="FAX20" s="414"/>
      <c r="FAY20" s="414"/>
      <c r="FAZ20" s="414"/>
      <c r="FBA20" s="414"/>
      <c r="FBB20" s="414"/>
      <c r="FBC20" s="414"/>
      <c r="FBD20" s="414"/>
      <c r="FBE20" s="414"/>
      <c r="FBF20" s="414"/>
      <c r="FBG20" s="414"/>
      <c r="FBH20" s="414"/>
      <c r="FBI20" s="414"/>
      <c r="FBJ20" s="414"/>
      <c r="FBK20" s="414"/>
      <c r="FBL20" s="414"/>
      <c r="FBM20" s="414"/>
      <c r="FBN20" s="414"/>
      <c r="FBO20" s="414"/>
      <c r="FBP20" s="414"/>
      <c r="FBQ20" s="414"/>
      <c r="FBR20" s="414"/>
      <c r="FBS20" s="414"/>
      <c r="FBT20" s="414"/>
      <c r="FBU20" s="414"/>
      <c r="FBV20" s="414"/>
      <c r="FBW20" s="414"/>
      <c r="FBX20" s="414"/>
      <c r="FBY20" s="414"/>
      <c r="FBZ20" s="414"/>
      <c r="FCA20" s="414"/>
      <c r="FCB20" s="414"/>
      <c r="FCC20" s="414"/>
      <c r="FCD20" s="414"/>
      <c r="FCE20" s="414"/>
      <c r="FCF20" s="414"/>
      <c r="FCG20" s="414"/>
      <c r="FCH20" s="414"/>
      <c r="FCI20" s="414"/>
      <c r="FCJ20" s="414"/>
      <c r="FCK20" s="414"/>
      <c r="FCL20" s="414"/>
      <c r="FCM20" s="414"/>
      <c r="FCN20" s="414"/>
      <c r="FCO20" s="414"/>
      <c r="FCP20" s="414"/>
      <c r="FCQ20" s="414"/>
      <c r="FCR20" s="414"/>
      <c r="FCS20" s="414"/>
      <c r="FCT20" s="414"/>
      <c r="FCU20" s="414"/>
      <c r="FCV20" s="414"/>
      <c r="FCW20" s="414"/>
      <c r="FCX20" s="414"/>
      <c r="FCY20" s="414"/>
      <c r="FCZ20" s="414"/>
      <c r="FDA20" s="414"/>
      <c r="FDB20" s="414"/>
      <c r="FDC20" s="414"/>
      <c r="FDD20" s="414"/>
      <c r="FDE20" s="414"/>
      <c r="FDF20" s="414"/>
      <c r="FDG20" s="414"/>
      <c r="FDH20" s="414"/>
      <c r="FDI20" s="414"/>
      <c r="FDJ20" s="414"/>
      <c r="FDK20" s="414"/>
      <c r="FDL20" s="414"/>
      <c r="FDM20" s="414"/>
      <c r="FDN20" s="414"/>
      <c r="FDO20" s="414"/>
      <c r="FDP20" s="414"/>
      <c r="FDQ20" s="414"/>
      <c r="FDR20" s="414"/>
      <c r="FDS20" s="414"/>
      <c r="FDT20" s="414"/>
      <c r="FDU20" s="414"/>
      <c r="FDV20" s="414"/>
      <c r="FDW20" s="414"/>
      <c r="FDX20" s="414"/>
      <c r="FDY20" s="414"/>
      <c r="FDZ20" s="414"/>
      <c r="FEA20" s="414"/>
      <c r="FEB20" s="414"/>
      <c r="FEC20" s="414"/>
      <c r="FED20" s="414"/>
      <c r="FEE20" s="414"/>
      <c r="FEF20" s="414"/>
      <c r="FEG20" s="414"/>
      <c r="FEH20" s="414"/>
      <c r="FEI20" s="414"/>
      <c r="FEJ20" s="414"/>
      <c r="FEK20" s="414"/>
      <c r="FEL20" s="414"/>
      <c r="FEM20" s="414"/>
      <c r="FEN20" s="414"/>
      <c r="FEO20" s="414"/>
      <c r="FEP20" s="414"/>
      <c r="FEQ20" s="414"/>
      <c r="FER20" s="414"/>
      <c r="FES20" s="414"/>
      <c r="FET20" s="414"/>
      <c r="FEU20" s="414"/>
      <c r="FEV20" s="414"/>
      <c r="FEW20" s="414"/>
      <c r="FEX20" s="414"/>
      <c r="FEY20" s="414"/>
      <c r="FEZ20" s="414"/>
      <c r="FFA20" s="414"/>
      <c r="FFB20" s="414"/>
      <c r="FFC20" s="414"/>
      <c r="FFD20" s="414"/>
      <c r="FFE20" s="414"/>
      <c r="FFF20" s="414"/>
      <c r="FFG20" s="414"/>
      <c r="FFH20" s="414"/>
      <c r="FFI20" s="414"/>
      <c r="FFJ20" s="414"/>
      <c r="FFK20" s="414"/>
      <c r="FFL20" s="414"/>
      <c r="FFM20" s="414"/>
      <c r="FFN20" s="414"/>
      <c r="FFO20" s="414"/>
      <c r="FFP20" s="414"/>
      <c r="FFQ20" s="414"/>
      <c r="FFR20" s="414"/>
      <c r="FFS20" s="414"/>
      <c r="FFT20" s="414"/>
      <c r="FFU20" s="414"/>
      <c r="FFV20" s="414"/>
      <c r="FFW20" s="414"/>
      <c r="FFX20" s="414"/>
      <c r="FFY20" s="414"/>
      <c r="FFZ20" s="414"/>
      <c r="FGA20" s="414"/>
      <c r="FGB20" s="414"/>
      <c r="FGC20" s="414"/>
      <c r="FGD20" s="414"/>
      <c r="FGE20" s="414"/>
      <c r="FGF20" s="414"/>
      <c r="FGG20" s="414"/>
      <c r="FGH20" s="414"/>
      <c r="FGI20" s="414"/>
      <c r="FGJ20" s="414"/>
      <c r="FGK20" s="414"/>
      <c r="FGL20" s="414"/>
      <c r="FGM20" s="414"/>
      <c r="FGN20" s="414"/>
      <c r="FGO20" s="414"/>
      <c r="FGP20" s="414"/>
      <c r="FGQ20" s="414"/>
      <c r="FGR20" s="414"/>
      <c r="FGS20" s="414"/>
      <c r="FGT20" s="414"/>
      <c r="FGU20" s="414"/>
      <c r="FGV20" s="414"/>
      <c r="FGW20" s="414"/>
      <c r="FGX20" s="414"/>
      <c r="FGY20" s="414"/>
      <c r="FGZ20" s="414"/>
      <c r="FHA20" s="414"/>
      <c r="FHB20" s="414"/>
      <c r="FHC20" s="414"/>
      <c r="FHD20" s="414"/>
      <c r="FHE20" s="414"/>
      <c r="FHF20" s="414"/>
      <c r="FHG20" s="414"/>
      <c r="FHH20" s="414"/>
      <c r="FHI20" s="414"/>
      <c r="FHJ20" s="414"/>
      <c r="FHK20" s="414"/>
      <c r="FHL20" s="414"/>
      <c r="FHM20" s="414"/>
      <c r="FHN20" s="414"/>
      <c r="FHO20" s="414"/>
      <c r="FHP20" s="414"/>
      <c r="FHQ20" s="414"/>
      <c r="FHR20" s="414"/>
      <c r="FHS20" s="414"/>
      <c r="FHT20" s="414"/>
      <c r="FHU20" s="414"/>
      <c r="FHV20" s="414"/>
      <c r="FHW20" s="414"/>
      <c r="FHX20" s="414"/>
      <c r="FHY20" s="414"/>
      <c r="FHZ20" s="414"/>
      <c r="FIA20" s="414"/>
      <c r="FIB20" s="414"/>
      <c r="FIC20" s="414"/>
      <c r="FID20" s="414"/>
      <c r="FIE20" s="414"/>
      <c r="FIF20" s="414"/>
      <c r="FIG20" s="414"/>
      <c r="FIH20" s="414"/>
      <c r="FII20" s="414"/>
      <c r="FIJ20" s="414"/>
      <c r="FIK20" s="414"/>
      <c r="FIL20" s="414"/>
      <c r="FIM20" s="414"/>
      <c r="FIN20" s="414"/>
      <c r="FIO20" s="414"/>
      <c r="FIP20" s="414"/>
      <c r="FIQ20" s="414"/>
      <c r="FIR20" s="414"/>
      <c r="FIS20" s="414"/>
      <c r="FIT20" s="414"/>
      <c r="FIU20" s="414"/>
      <c r="FIV20" s="414"/>
      <c r="FIW20" s="414"/>
      <c r="FIX20" s="414"/>
      <c r="FIY20" s="414"/>
      <c r="FIZ20" s="414"/>
      <c r="FJA20" s="414"/>
      <c r="FJB20" s="414"/>
      <c r="FJC20" s="414"/>
      <c r="FJD20" s="414"/>
      <c r="FJE20" s="414"/>
      <c r="FJF20" s="414"/>
      <c r="FJG20" s="414"/>
      <c r="FJH20" s="414"/>
      <c r="FJI20" s="414"/>
      <c r="FJJ20" s="414"/>
      <c r="FJK20" s="414"/>
      <c r="FJL20" s="414"/>
      <c r="FJM20" s="414"/>
      <c r="FJN20" s="414"/>
      <c r="FJO20" s="414"/>
      <c r="FJP20" s="414"/>
      <c r="FJQ20" s="414"/>
      <c r="FJR20" s="414"/>
      <c r="FJS20" s="414"/>
      <c r="FJT20" s="414"/>
      <c r="FJU20" s="414"/>
      <c r="FJV20" s="414"/>
      <c r="FJW20" s="414"/>
      <c r="FJX20" s="414"/>
      <c r="FJY20" s="414"/>
      <c r="FJZ20" s="414"/>
      <c r="FKA20" s="414"/>
      <c r="FKB20" s="414"/>
      <c r="FKC20" s="414"/>
      <c r="FKD20" s="414"/>
      <c r="FKE20" s="414"/>
      <c r="FKF20" s="414"/>
      <c r="FKG20" s="414"/>
      <c r="FKH20" s="414"/>
      <c r="FKI20" s="414"/>
      <c r="FKJ20" s="414"/>
      <c r="FKK20" s="414"/>
      <c r="FKL20" s="414"/>
      <c r="FKM20" s="414"/>
      <c r="FKN20" s="414"/>
      <c r="FKO20" s="414"/>
      <c r="FKP20" s="414"/>
      <c r="FKQ20" s="414"/>
      <c r="FKR20" s="414"/>
      <c r="FKS20" s="414"/>
      <c r="FKT20" s="414"/>
      <c r="FKU20" s="414"/>
      <c r="FKV20" s="414"/>
      <c r="FKW20" s="414"/>
      <c r="FKX20" s="414"/>
      <c r="FKY20" s="414"/>
      <c r="FKZ20" s="414"/>
      <c r="FLA20" s="414"/>
      <c r="FLB20" s="414"/>
      <c r="FLC20" s="414"/>
      <c r="FLD20" s="414"/>
      <c r="FLE20" s="414"/>
      <c r="FLF20" s="414"/>
      <c r="FLG20" s="414"/>
      <c r="FLH20" s="414"/>
      <c r="FLI20" s="414"/>
      <c r="FLJ20" s="414"/>
      <c r="FLK20" s="414"/>
      <c r="FLL20" s="414"/>
      <c r="FLM20" s="414"/>
      <c r="FLN20" s="414"/>
      <c r="FLO20" s="414"/>
      <c r="FLP20" s="414"/>
      <c r="FLQ20" s="414"/>
      <c r="FLR20" s="414"/>
      <c r="FLS20" s="414"/>
      <c r="FLT20" s="414"/>
      <c r="FLU20" s="414"/>
      <c r="FLV20" s="414"/>
      <c r="FLW20" s="414"/>
      <c r="FLX20" s="414"/>
      <c r="FLY20" s="414"/>
      <c r="FLZ20" s="414"/>
      <c r="FMA20" s="414"/>
      <c r="FMB20" s="414"/>
      <c r="FMC20" s="414"/>
      <c r="FMD20" s="414"/>
      <c r="FME20" s="414"/>
      <c r="FMF20" s="414"/>
      <c r="FMG20" s="414"/>
      <c r="FMH20" s="414"/>
      <c r="FMI20" s="414"/>
      <c r="FMJ20" s="414"/>
      <c r="FMK20" s="414"/>
      <c r="FML20" s="414"/>
      <c r="FMM20" s="414"/>
      <c r="FMN20" s="414"/>
      <c r="FMO20" s="414"/>
      <c r="FMP20" s="414"/>
      <c r="FMQ20" s="414"/>
      <c r="FMR20" s="414"/>
      <c r="FMS20" s="414"/>
      <c r="FMT20" s="414"/>
      <c r="FMU20" s="414"/>
      <c r="FMV20" s="414"/>
      <c r="FMW20" s="414"/>
      <c r="FMX20" s="414"/>
      <c r="FMY20" s="414"/>
      <c r="FMZ20" s="414"/>
      <c r="FNA20" s="414"/>
      <c r="FNB20" s="414"/>
      <c r="FNC20" s="414"/>
      <c r="FND20" s="414"/>
      <c r="FNE20" s="414"/>
      <c r="FNF20" s="414"/>
      <c r="FNG20" s="414"/>
      <c r="FNH20" s="414"/>
      <c r="FNI20" s="414"/>
      <c r="FNJ20" s="414"/>
      <c r="FNK20" s="414"/>
      <c r="FNL20" s="414"/>
      <c r="FNM20" s="414"/>
      <c r="FNN20" s="414"/>
      <c r="FNO20" s="414"/>
      <c r="FNP20" s="414"/>
      <c r="FNQ20" s="414"/>
      <c r="FNR20" s="414"/>
      <c r="FNS20" s="414"/>
      <c r="FNT20" s="414"/>
      <c r="FNU20" s="414"/>
      <c r="FNV20" s="414"/>
      <c r="FNW20" s="414"/>
      <c r="FNX20" s="414"/>
      <c r="FNY20" s="414"/>
      <c r="FNZ20" s="414"/>
      <c r="FOA20" s="414"/>
      <c r="FOB20" s="414"/>
      <c r="FOC20" s="414"/>
      <c r="FOD20" s="414"/>
      <c r="FOE20" s="414"/>
      <c r="FOF20" s="414"/>
      <c r="FOG20" s="414"/>
      <c r="FOH20" s="414"/>
      <c r="FOI20" s="414"/>
      <c r="FOJ20" s="414"/>
      <c r="FOK20" s="414"/>
      <c r="FOL20" s="414"/>
      <c r="FOM20" s="414"/>
      <c r="FON20" s="414"/>
      <c r="FOO20" s="414"/>
      <c r="FOP20" s="414"/>
      <c r="FOQ20" s="414"/>
      <c r="FOR20" s="414"/>
      <c r="FOS20" s="414"/>
      <c r="FOT20" s="414"/>
      <c r="FOU20" s="414"/>
      <c r="FOV20" s="414"/>
      <c r="FOW20" s="414"/>
      <c r="FOX20" s="414"/>
      <c r="FOY20" s="414"/>
      <c r="FOZ20" s="414"/>
      <c r="FPA20" s="414"/>
      <c r="FPB20" s="414"/>
      <c r="FPC20" s="414"/>
      <c r="FPD20" s="414"/>
      <c r="FPE20" s="414"/>
      <c r="FPF20" s="414"/>
      <c r="FPG20" s="414"/>
      <c r="FPH20" s="414"/>
      <c r="FPI20" s="414"/>
      <c r="FPJ20" s="414"/>
      <c r="FPK20" s="414"/>
      <c r="FPL20" s="414"/>
      <c r="FPM20" s="414"/>
      <c r="FPN20" s="414"/>
      <c r="FPO20" s="414"/>
      <c r="FPP20" s="414"/>
      <c r="FPQ20" s="414"/>
      <c r="FPR20" s="414"/>
      <c r="FPS20" s="414"/>
      <c r="FPT20" s="414"/>
      <c r="FPU20" s="414"/>
      <c r="FPV20" s="414"/>
      <c r="FPW20" s="414"/>
      <c r="FPX20" s="414"/>
      <c r="FPY20" s="414"/>
      <c r="FPZ20" s="414"/>
      <c r="FQA20" s="414"/>
      <c r="FQB20" s="414"/>
      <c r="FQC20" s="414"/>
      <c r="FQD20" s="414"/>
      <c r="FQE20" s="414"/>
      <c r="FQF20" s="414"/>
      <c r="FQG20" s="414"/>
      <c r="FQH20" s="414"/>
      <c r="FQI20" s="414"/>
      <c r="FQJ20" s="414"/>
      <c r="FQK20" s="414"/>
      <c r="FQL20" s="414"/>
      <c r="FQM20" s="414"/>
      <c r="FQN20" s="414"/>
      <c r="FQO20" s="414"/>
      <c r="FQP20" s="414"/>
      <c r="FQQ20" s="414"/>
      <c r="FQR20" s="414"/>
      <c r="FQS20" s="414"/>
      <c r="FQT20" s="414"/>
      <c r="FQU20" s="414"/>
      <c r="FQV20" s="414"/>
      <c r="FQW20" s="414"/>
      <c r="FQX20" s="414"/>
      <c r="FQY20" s="414"/>
      <c r="FQZ20" s="414"/>
      <c r="FRA20" s="414"/>
      <c r="FRB20" s="414"/>
      <c r="FRC20" s="414"/>
      <c r="FRD20" s="414"/>
      <c r="FRE20" s="414"/>
      <c r="FRF20" s="414"/>
      <c r="FRG20" s="414"/>
      <c r="FRH20" s="414"/>
      <c r="FRI20" s="414"/>
      <c r="FRJ20" s="414"/>
      <c r="FRK20" s="414"/>
      <c r="FRL20" s="414"/>
      <c r="FRM20" s="414"/>
      <c r="FRN20" s="414"/>
      <c r="FRO20" s="414"/>
      <c r="FRP20" s="414"/>
      <c r="FRQ20" s="414"/>
      <c r="FRR20" s="414"/>
      <c r="FRS20" s="414"/>
      <c r="FRT20" s="414"/>
      <c r="FRU20" s="414"/>
      <c r="FRV20" s="414"/>
      <c r="FRW20" s="414"/>
      <c r="FRX20" s="414"/>
      <c r="FRY20" s="414"/>
      <c r="FRZ20" s="414"/>
      <c r="FSA20" s="414"/>
      <c r="FSB20" s="414"/>
      <c r="FSC20" s="414"/>
      <c r="FSD20" s="414"/>
      <c r="FSE20" s="414"/>
      <c r="FSF20" s="414"/>
      <c r="FSG20" s="414"/>
      <c r="FSH20" s="414"/>
      <c r="FSI20" s="414"/>
      <c r="FSJ20" s="414"/>
      <c r="FSK20" s="414"/>
      <c r="FSL20" s="414"/>
      <c r="FSM20" s="414"/>
      <c r="FSN20" s="414"/>
      <c r="FSO20" s="414"/>
      <c r="FSP20" s="414"/>
      <c r="FSQ20" s="414"/>
      <c r="FSR20" s="414"/>
      <c r="FSS20" s="414"/>
      <c r="FST20" s="414"/>
      <c r="FSU20" s="414"/>
      <c r="FSV20" s="414"/>
      <c r="FSW20" s="414"/>
      <c r="FSX20" s="414"/>
      <c r="FSY20" s="414"/>
      <c r="FSZ20" s="414"/>
      <c r="FTA20" s="414"/>
      <c r="FTB20" s="414"/>
      <c r="FTC20" s="414"/>
      <c r="FTD20" s="414"/>
      <c r="FTE20" s="414"/>
      <c r="FTF20" s="414"/>
      <c r="FTG20" s="414"/>
      <c r="FTH20" s="414"/>
      <c r="FTI20" s="414"/>
      <c r="FTJ20" s="414"/>
      <c r="FTK20" s="414"/>
      <c r="FTL20" s="414"/>
      <c r="FTM20" s="414"/>
      <c r="FTN20" s="414"/>
      <c r="FTO20" s="414"/>
      <c r="FTP20" s="414"/>
      <c r="FTQ20" s="414"/>
      <c r="FTR20" s="414"/>
      <c r="FTS20" s="414"/>
      <c r="FTT20" s="414"/>
      <c r="FTU20" s="414"/>
      <c r="FTV20" s="414"/>
      <c r="FTW20" s="414"/>
      <c r="FTX20" s="414"/>
      <c r="FTY20" s="414"/>
      <c r="FTZ20" s="414"/>
      <c r="FUA20" s="414"/>
      <c r="FUB20" s="414"/>
      <c r="FUC20" s="414"/>
      <c r="FUD20" s="414"/>
      <c r="FUE20" s="414"/>
      <c r="FUF20" s="414"/>
      <c r="FUG20" s="414"/>
      <c r="FUH20" s="414"/>
      <c r="FUI20" s="414"/>
      <c r="FUJ20" s="414"/>
      <c r="FUK20" s="414"/>
      <c r="FUL20" s="414"/>
      <c r="FUM20" s="414"/>
      <c r="FUN20" s="414"/>
      <c r="FUO20" s="414"/>
      <c r="FUP20" s="414"/>
      <c r="FUQ20" s="414"/>
      <c r="FUR20" s="414"/>
      <c r="FUS20" s="414"/>
      <c r="FUT20" s="414"/>
      <c r="FUU20" s="414"/>
      <c r="FUV20" s="414"/>
      <c r="FUW20" s="414"/>
      <c r="FUX20" s="414"/>
      <c r="FUY20" s="414"/>
      <c r="FUZ20" s="414"/>
      <c r="FVA20" s="414"/>
      <c r="FVB20" s="414"/>
      <c r="FVC20" s="414"/>
      <c r="FVD20" s="414"/>
      <c r="FVE20" s="414"/>
      <c r="FVF20" s="414"/>
      <c r="FVG20" s="414"/>
      <c r="FVH20" s="414"/>
      <c r="FVI20" s="414"/>
      <c r="FVJ20" s="414"/>
      <c r="FVK20" s="414"/>
      <c r="FVL20" s="414"/>
      <c r="FVM20" s="414"/>
      <c r="FVN20" s="414"/>
      <c r="FVO20" s="414"/>
      <c r="FVP20" s="414"/>
      <c r="FVQ20" s="414"/>
      <c r="FVR20" s="414"/>
      <c r="FVS20" s="414"/>
      <c r="FVT20" s="414"/>
      <c r="FVU20" s="414"/>
      <c r="FVV20" s="414"/>
      <c r="FVW20" s="414"/>
      <c r="FVX20" s="414"/>
      <c r="FVY20" s="414"/>
      <c r="FVZ20" s="414"/>
      <c r="FWA20" s="414"/>
      <c r="FWB20" s="414"/>
      <c r="FWC20" s="414"/>
      <c r="FWD20" s="414"/>
      <c r="FWE20" s="414"/>
      <c r="FWF20" s="414"/>
      <c r="FWG20" s="414"/>
      <c r="FWH20" s="414"/>
      <c r="FWI20" s="414"/>
      <c r="FWJ20" s="414"/>
      <c r="FWK20" s="414"/>
      <c r="FWL20" s="414"/>
      <c r="FWM20" s="414"/>
      <c r="FWN20" s="414"/>
      <c r="FWO20" s="414"/>
      <c r="FWP20" s="414"/>
      <c r="FWQ20" s="414"/>
      <c r="FWR20" s="414"/>
      <c r="FWS20" s="414"/>
      <c r="FWT20" s="414"/>
      <c r="FWU20" s="414"/>
      <c r="FWV20" s="414"/>
      <c r="FWW20" s="414"/>
      <c r="FWX20" s="414"/>
      <c r="FWY20" s="414"/>
      <c r="FWZ20" s="414"/>
      <c r="FXA20" s="414"/>
      <c r="FXB20" s="414"/>
      <c r="FXC20" s="414"/>
      <c r="FXD20" s="414"/>
      <c r="FXE20" s="414"/>
      <c r="FXF20" s="414"/>
      <c r="FXG20" s="414"/>
      <c r="FXH20" s="414"/>
      <c r="FXI20" s="414"/>
      <c r="FXJ20" s="414"/>
      <c r="FXK20" s="414"/>
      <c r="FXL20" s="414"/>
      <c r="FXM20" s="414"/>
      <c r="FXN20" s="414"/>
      <c r="FXO20" s="414"/>
      <c r="FXP20" s="414"/>
      <c r="FXQ20" s="414"/>
      <c r="FXR20" s="414"/>
      <c r="FXS20" s="414"/>
      <c r="FXT20" s="414"/>
      <c r="FXU20" s="414"/>
      <c r="FXV20" s="414"/>
      <c r="FXW20" s="414"/>
      <c r="FXX20" s="414"/>
      <c r="FXY20" s="414"/>
      <c r="FXZ20" s="414"/>
      <c r="FYA20" s="414"/>
      <c r="FYB20" s="414"/>
      <c r="FYC20" s="414"/>
      <c r="FYD20" s="414"/>
      <c r="FYE20" s="414"/>
      <c r="FYF20" s="414"/>
      <c r="FYG20" s="414"/>
      <c r="FYH20" s="414"/>
      <c r="FYI20" s="414"/>
      <c r="FYJ20" s="414"/>
      <c r="FYK20" s="414"/>
      <c r="FYL20" s="414"/>
      <c r="FYM20" s="414"/>
      <c r="FYN20" s="414"/>
      <c r="FYO20" s="414"/>
      <c r="FYP20" s="414"/>
      <c r="FYQ20" s="414"/>
      <c r="FYR20" s="414"/>
      <c r="FYS20" s="414"/>
      <c r="FYT20" s="414"/>
      <c r="FYU20" s="414"/>
      <c r="FYV20" s="414"/>
      <c r="FYW20" s="414"/>
      <c r="FYX20" s="414"/>
      <c r="FYY20" s="414"/>
      <c r="FYZ20" s="414"/>
      <c r="FZA20" s="414"/>
      <c r="FZB20" s="414"/>
      <c r="FZC20" s="414"/>
      <c r="FZD20" s="414"/>
      <c r="FZE20" s="414"/>
      <c r="FZF20" s="414"/>
      <c r="FZG20" s="414"/>
      <c r="FZH20" s="414"/>
      <c r="FZI20" s="414"/>
      <c r="FZJ20" s="414"/>
      <c r="FZK20" s="414"/>
      <c r="FZL20" s="414"/>
      <c r="FZM20" s="414"/>
      <c r="FZN20" s="414"/>
      <c r="FZO20" s="414"/>
      <c r="FZP20" s="414"/>
      <c r="FZQ20" s="414"/>
      <c r="FZR20" s="414"/>
      <c r="FZS20" s="414"/>
      <c r="FZT20" s="414"/>
      <c r="FZU20" s="414"/>
      <c r="FZV20" s="414"/>
      <c r="FZW20" s="414"/>
      <c r="FZX20" s="414"/>
      <c r="FZY20" s="414"/>
      <c r="FZZ20" s="414"/>
      <c r="GAA20" s="414"/>
      <c r="GAB20" s="414"/>
      <c r="GAC20" s="414"/>
      <c r="GAD20" s="414"/>
      <c r="GAE20" s="414"/>
      <c r="GAF20" s="414"/>
      <c r="GAG20" s="414"/>
      <c r="GAH20" s="414"/>
      <c r="GAI20" s="414"/>
      <c r="GAJ20" s="414"/>
      <c r="GAK20" s="414"/>
      <c r="GAL20" s="414"/>
      <c r="GAM20" s="414"/>
      <c r="GAN20" s="414"/>
      <c r="GAO20" s="414"/>
      <c r="GAP20" s="414"/>
      <c r="GAQ20" s="414"/>
      <c r="GAR20" s="414"/>
      <c r="GAS20" s="414"/>
      <c r="GAT20" s="414"/>
      <c r="GAU20" s="414"/>
      <c r="GAV20" s="414"/>
      <c r="GAW20" s="414"/>
      <c r="GAX20" s="414"/>
      <c r="GAY20" s="414"/>
      <c r="GAZ20" s="414"/>
      <c r="GBA20" s="414"/>
      <c r="GBB20" s="414"/>
      <c r="GBC20" s="414"/>
      <c r="GBD20" s="414"/>
      <c r="GBE20" s="414"/>
      <c r="GBF20" s="414"/>
      <c r="GBG20" s="414"/>
      <c r="GBH20" s="414"/>
      <c r="GBI20" s="414"/>
      <c r="GBJ20" s="414"/>
      <c r="GBK20" s="414"/>
      <c r="GBL20" s="414"/>
      <c r="GBM20" s="414"/>
      <c r="GBN20" s="414"/>
      <c r="GBO20" s="414"/>
      <c r="GBP20" s="414"/>
      <c r="GBQ20" s="414"/>
      <c r="GBR20" s="414"/>
      <c r="GBS20" s="414"/>
      <c r="GBT20" s="414"/>
      <c r="GBU20" s="414"/>
      <c r="GBV20" s="414"/>
      <c r="GBW20" s="414"/>
      <c r="GBX20" s="414"/>
      <c r="GBY20" s="414"/>
      <c r="GBZ20" s="414"/>
      <c r="GCA20" s="414"/>
      <c r="GCB20" s="414"/>
      <c r="GCC20" s="414"/>
      <c r="GCD20" s="414"/>
      <c r="GCE20" s="414"/>
      <c r="GCF20" s="414"/>
      <c r="GCG20" s="414"/>
      <c r="GCH20" s="414"/>
      <c r="GCI20" s="414"/>
      <c r="GCJ20" s="414"/>
      <c r="GCK20" s="414"/>
      <c r="GCL20" s="414"/>
      <c r="GCM20" s="414"/>
      <c r="GCN20" s="414"/>
      <c r="GCO20" s="414"/>
      <c r="GCP20" s="414"/>
      <c r="GCQ20" s="414"/>
      <c r="GCR20" s="414"/>
      <c r="GCS20" s="414"/>
      <c r="GCT20" s="414"/>
      <c r="GCU20" s="414"/>
      <c r="GCV20" s="414"/>
      <c r="GCW20" s="414"/>
      <c r="GCX20" s="414"/>
      <c r="GCY20" s="414"/>
      <c r="GCZ20" s="414"/>
      <c r="GDA20" s="414"/>
      <c r="GDB20" s="414"/>
      <c r="GDC20" s="414"/>
      <c r="GDD20" s="414"/>
      <c r="GDE20" s="414"/>
      <c r="GDF20" s="414"/>
      <c r="GDG20" s="414"/>
      <c r="GDH20" s="414"/>
      <c r="GDI20" s="414"/>
      <c r="GDJ20" s="414"/>
      <c r="GDK20" s="414"/>
      <c r="GDL20" s="414"/>
      <c r="GDM20" s="414"/>
      <c r="GDN20" s="414"/>
      <c r="GDO20" s="414"/>
      <c r="GDP20" s="414"/>
      <c r="GDQ20" s="414"/>
      <c r="GDR20" s="414"/>
      <c r="GDS20" s="414"/>
      <c r="GDT20" s="414"/>
      <c r="GDU20" s="414"/>
      <c r="GDV20" s="414"/>
      <c r="GDW20" s="414"/>
      <c r="GDX20" s="414"/>
      <c r="GDY20" s="414"/>
      <c r="GDZ20" s="414"/>
      <c r="GEA20" s="414"/>
      <c r="GEB20" s="414"/>
      <c r="GEC20" s="414"/>
      <c r="GED20" s="414"/>
      <c r="GEE20" s="414"/>
      <c r="GEF20" s="414"/>
      <c r="GEG20" s="414"/>
      <c r="GEH20" s="414"/>
      <c r="GEI20" s="414"/>
      <c r="GEJ20" s="414"/>
      <c r="GEK20" s="414"/>
      <c r="GEL20" s="414"/>
      <c r="GEM20" s="414"/>
      <c r="GEN20" s="414"/>
      <c r="GEO20" s="414"/>
      <c r="GEP20" s="414"/>
      <c r="GEQ20" s="414"/>
      <c r="GER20" s="414"/>
      <c r="GES20" s="414"/>
      <c r="GET20" s="414"/>
      <c r="GEU20" s="414"/>
      <c r="GEV20" s="414"/>
      <c r="GEW20" s="414"/>
      <c r="GEX20" s="414"/>
      <c r="GEY20" s="414"/>
      <c r="GEZ20" s="414"/>
      <c r="GFA20" s="414"/>
      <c r="GFB20" s="414"/>
      <c r="GFC20" s="414"/>
      <c r="GFD20" s="414"/>
      <c r="GFE20" s="414"/>
      <c r="GFF20" s="414"/>
      <c r="GFG20" s="414"/>
      <c r="GFH20" s="414"/>
      <c r="GFI20" s="414"/>
      <c r="GFJ20" s="414"/>
      <c r="GFK20" s="414"/>
      <c r="GFL20" s="414"/>
      <c r="GFM20" s="414"/>
      <c r="GFN20" s="414"/>
      <c r="GFO20" s="414"/>
      <c r="GFP20" s="414"/>
      <c r="GFQ20" s="414"/>
      <c r="GFR20" s="414"/>
      <c r="GFS20" s="414"/>
      <c r="GFT20" s="414"/>
      <c r="GFU20" s="414"/>
      <c r="GFV20" s="414"/>
      <c r="GFW20" s="414"/>
      <c r="GFX20" s="414"/>
      <c r="GFY20" s="414"/>
      <c r="GFZ20" s="414"/>
      <c r="GGA20" s="414"/>
      <c r="GGB20" s="414"/>
      <c r="GGC20" s="414"/>
      <c r="GGD20" s="414"/>
      <c r="GGE20" s="414"/>
      <c r="GGF20" s="414"/>
      <c r="GGG20" s="414"/>
      <c r="GGH20" s="414"/>
      <c r="GGI20" s="414"/>
      <c r="GGJ20" s="414"/>
      <c r="GGK20" s="414"/>
      <c r="GGL20" s="414"/>
      <c r="GGM20" s="414"/>
      <c r="GGN20" s="414"/>
      <c r="GGO20" s="414"/>
      <c r="GGP20" s="414"/>
      <c r="GGQ20" s="414"/>
      <c r="GGR20" s="414"/>
      <c r="GGS20" s="414"/>
      <c r="GGT20" s="414"/>
      <c r="GGU20" s="414"/>
      <c r="GGV20" s="414"/>
      <c r="GGW20" s="414"/>
      <c r="GGX20" s="414"/>
      <c r="GGY20" s="414"/>
      <c r="GGZ20" s="414"/>
      <c r="GHA20" s="414"/>
      <c r="GHB20" s="414"/>
      <c r="GHC20" s="414"/>
      <c r="GHD20" s="414"/>
      <c r="GHE20" s="414"/>
      <c r="GHF20" s="414"/>
      <c r="GHG20" s="414"/>
      <c r="GHH20" s="414"/>
      <c r="GHI20" s="414"/>
      <c r="GHJ20" s="414"/>
      <c r="GHK20" s="414"/>
      <c r="GHL20" s="414"/>
      <c r="GHM20" s="414"/>
      <c r="GHN20" s="414"/>
      <c r="GHO20" s="414"/>
      <c r="GHP20" s="414"/>
      <c r="GHQ20" s="414"/>
      <c r="GHR20" s="414"/>
      <c r="GHS20" s="414"/>
      <c r="GHT20" s="414"/>
      <c r="GHU20" s="414"/>
      <c r="GHV20" s="414"/>
      <c r="GHW20" s="414"/>
      <c r="GHX20" s="414"/>
      <c r="GHY20" s="414"/>
      <c r="GHZ20" s="414"/>
      <c r="GIA20" s="414"/>
      <c r="GIB20" s="414"/>
      <c r="GIC20" s="414"/>
      <c r="GID20" s="414"/>
      <c r="GIE20" s="414"/>
      <c r="GIF20" s="414"/>
      <c r="GIG20" s="414"/>
      <c r="GIH20" s="414"/>
      <c r="GII20" s="414"/>
      <c r="GIJ20" s="414"/>
      <c r="GIK20" s="414"/>
      <c r="GIL20" s="414"/>
      <c r="GIM20" s="414"/>
      <c r="GIN20" s="414"/>
      <c r="GIO20" s="414"/>
      <c r="GIP20" s="414"/>
      <c r="GIQ20" s="414"/>
      <c r="GIR20" s="414"/>
      <c r="GIS20" s="414"/>
      <c r="GIT20" s="414"/>
      <c r="GIU20" s="414"/>
      <c r="GIV20" s="414"/>
      <c r="GIW20" s="414"/>
      <c r="GIX20" s="414"/>
      <c r="GIY20" s="414"/>
      <c r="GIZ20" s="414"/>
      <c r="GJA20" s="414"/>
      <c r="GJB20" s="414"/>
      <c r="GJC20" s="414"/>
      <c r="GJD20" s="414"/>
      <c r="GJE20" s="414"/>
      <c r="GJF20" s="414"/>
      <c r="GJG20" s="414"/>
      <c r="GJH20" s="414"/>
      <c r="GJI20" s="414"/>
      <c r="GJJ20" s="414"/>
      <c r="GJK20" s="414"/>
      <c r="GJL20" s="414"/>
      <c r="GJM20" s="414"/>
      <c r="GJN20" s="414"/>
      <c r="GJO20" s="414"/>
      <c r="GJP20" s="414"/>
      <c r="GJQ20" s="414"/>
      <c r="GJR20" s="414"/>
      <c r="GJS20" s="414"/>
      <c r="GJT20" s="414"/>
      <c r="GJU20" s="414"/>
      <c r="GJV20" s="414"/>
      <c r="GJW20" s="414"/>
      <c r="GJX20" s="414"/>
      <c r="GJY20" s="414"/>
      <c r="GJZ20" s="414"/>
      <c r="GKA20" s="414"/>
      <c r="GKB20" s="414"/>
      <c r="GKC20" s="414"/>
      <c r="GKD20" s="414"/>
      <c r="GKE20" s="414"/>
      <c r="GKF20" s="414"/>
      <c r="GKG20" s="414"/>
      <c r="GKH20" s="414"/>
      <c r="GKI20" s="414"/>
      <c r="GKJ20" s="414"/>
      <c r="GKK20" s="414"/>
      <c r="GKL20" s="414"/>
      <c r="GKM20" s="414"/>
      <c r="GKN20" s="414"/>
      <c r="GKO20" s="414"/>
      <c r="GKP20" s="414"/>
      <c r="GKQ20" s="414"/>
      <c r="GKR20" s="414"/>
      <c r="GKS20" s="414"/>
      <c r="GKT20" s="414"/>
      <c r="GKU20" s="414"/>
      <c r="GKV20" s="414"/>
      <c r="GKW20" s="414"/>
      <c r="GKX20" s="414"/>
      <c r="GKY20" s="414"/>
      <c r="GKZ20" s="414"/>
      <c r="GLA20" s="414"/>
      <c r="GLB20" s="414"/>
      <c r="GLC20" s="414"/>
      <c r="GLD20" s="414"/>
      <c r="GLE20" s="414"/>
      <c r="GLF20" s="414"/>
      <c r="GLG20" s="414"/>
      <c r="GLH20" s="414"/>
      <c r="GLI20" s="414"/>
      <c r="GLJ20" s="414"/>
      <c r="GLK20" s="414"/>
      <c r="GLL20" s="414"/>
      <c r="GLM20" s="414"/>
      <c r="GLN20" s="414"/>
      <c r="GLO20" s="414"/>
      <c r="GLP20" s="414"/>
      <c r="GLQ20" s="414"/>
      <c r="GLR20" s="414"/>
      <c r="GLS20" s="414"/>
      <c r="GLT20" s="414"/>
      <c r="GLU20" s="414"/>
      <c r="GLV20" s="414"/>
      <c r="GLW20" s="414"/>
      <c r="GLX20" s="414"/>
      <c r="GLY20" s="414"/>
      <c r="GLZ20" s="414"/>
      <c r="GMA20" s="414"/>
      <c r="GMB20" s="414"/>
      <c r="GMC20" s="414"/>
      <c r="GMD20" s="414"/>
      <c r="GME20" s="414"/>
      <c r="GMF20" s="414"/>
      <c r="GMG20" s="414"/>
      <c r="GMH20" s="414"/>
      <c r="GMI20" s="414"/>
      <c r="GMJ20" s="414"/>
      <c r="GMK20" s="414"/>
      <c r="GML20" s="414"/>
      <c r="GMM20" s="414"/>
      <c r="GMN20" s="414"/>
      <c r="GMO20" s="414"/>
      <c r="GMP20" s="414"/>
      <c r="GMQ20" s="414"/>
      <c r="GMR20" s="414"/>
      <c r="GMS20" s="414"/>
      <c r="GMT20" s="414"/>
      <c r="GMU20" s="414"/>
      <c r="GMV20" s="414"/>
      <c r="GMW20" s="414"/>
      <c r="GMX20" s="414"/>
      <c r="GMY20" s="414"/>
      <c r="GMZ20" s="414"/>
      <c r="GNA20" s="414"/>
      <c r="GNB20" s="414"/>
      <c r="GNC20" s="414"/>
      <c r="GND20" s="414"/>
      <c r="GNE20" s="414"/>
      <c r="GNF20" s="414"/>
      <c r="GNG20" s="414"/>
      <c r="GNH20" s="414"/>
      <c r="GNI20" s="414"/>
      <c r="GNJ20" s="414"/>
      <c r="GNK20" s="414"/>
      <c r="GNL20" s="414"/>
      <c r="GNM20" s="414"/>
      <c r="GNN20" s="414"/>
      <c r="GNO20" s="414"/>
      <c r="GNP20" s="414"/>
      <c r="GNQ20" s="414"/>
      <c r="GNR20" s="414"/>
      <c r="GNS20" s="414"/>
      <c r="GNT20" s="414"/>
      <c r="GNU20" s="414"/>
      <c r="GNV20" s="414"/>
      <c r="GNW20" s="414"/>
      <c r="GNX20" s="414"/>
      <c r="GNY20" s="414"/>
      <c r="GNZ20" s="414"/>
      <c r="GOA20" s="414"/>
      <c r="GOB20" s="414"/>
      <c r="GOC20" s="414"/>
      <c r="GOD20" s="414"/>
      <c r="GOE20" s="414"/>
      <c r="GOF20" s="414"/>
      <c r="GOG20" s="414"/>
      <c r="GOH20" s="414"/>
      <c r="GOI20" s="414"/>
      <c r="GOJ20" s="414"/>
      <c r="GOK20" s="414"/>
      <c r="GOL20" s="414"/>
      <c r="GOM20" s="414"/>
      <c r="GON20" s="414"/>
      <c r="GOO20" s="414"/>
      <c r="GOP20" s="414"/>
      <c r="GOQ20" s="414"/>
      <c r="GOR20" s="414"/>
      <c r="GOS20" s="414"/>
      <c r="GOT20" s="414"/>
      <c r="GOU20" s="414"/>
      <c r="GOV20" s="414"/>
      <c r="GOW20" s="414"/>
      <c r="GOX20" s="414"/>
      <c r="GOY20" s="414"/>
      <c r="GOZ20" s="414"/>
      <c r="GPA20" s="414"/>
      <c r="GPB20" s="414"/>
      <c r="GPC20" s="414"/>
      <c r="GPD20" s="414"/>
      <c r="GPE20" s="414"/>
      <c r="GPF20" s="414"/>
      <c r="GPG20" s="414"/>
      <c r="GPH20" s="414"/>
      <c r="GPI20" s="414"/>
      <c r="GPJ20" s="414"/>
      <c r="GPK20" s="414"/>
      <c r="GPL20" s="414"/>
      <c r="GPM20" s="414"/>
      <c r="GPN20" s="414"/>
      <c r="GPO20" s="414"/>
      <c r="GPP20" s="414"/>
      <c r="GPQ20" s="414"/>
      <c r="GPR20" s="414"/>
      <c r="GPS20" s="414"/>
      <c r="GPT20" s="414"/>
      <c r="GPU20" s="414"/>
      <c r="GPV20" s="414"/>
      <c r="GPW20" s="414"/>
      <c r="GPX20" s="414"/>
      <c r="GPY20" s="414"/>
      <c r="GPZ20" s="414"/>
      <c r="GQA20" s="414"/>
      <c r="GQB20" s="414"/>
      <c r="GQC20" s="414"/>
      <c r="GQD20" s="414"/>
      <c r="GQE20" s="414"/>
      <c r="GQF20" s="414"/>
      <c r="GQG20" s="414"/>
      <c r="GQH20" s="414"/>
      <c r="GQI20" s="414"/>
      <c r="GQJ20" s="414"/>
      <c r="GQK20" s="414"/>
      <c r="GQL20" s="414"/>
      <c r="GQM20" s="414"/>
      <c r="GQN20" s="414"/>
      <c r="GQO20" s="414"/>
      <c r="GQP20" s="414"/>
      <c r="GQQ20" s="414"/>
      <c r="GQR20" s="414"/>
      <c r="GQS20" s="414"/>
      <c r="GQT20" s="414"/>
      <c r="GQU20" s="414"/>
      <c r="GQV20" s="414"/>
      <c r="GQW20" s="414"/>
      <c r="GQX20" s="414"/>
      <c r="GQY20" s="414"/>
      <c r="GQZ20" s="414"/>
      <c r="GRA20" s="414"/>
      <c r="GRB20" s="414"/>
      <c r="GRC20" s="414"/>
      <c r="GRD20" s="414"/>
      <c r="GRE20" s="414"/>
      <c r="GRF20" s="414"/>
      <c r="GRG20" s="414"/>
      <c r="GRH20" s="414"/>
      <c r="GRI20" s="414"/>
      <c r="GRJ20" s="414"/>
      <c r="GRK20" s="414"/>
      <c r="GRL20" s="414"/>
      <c r="GRM20" s="414"/>
      <c r="GRN20" s="414"/>
      <c r="GRO20" s="414"/>
      <c r="GRP20" s="414"/>
      <c r="GRQ20" s="414"/>
      <c r="GRR20" s="414"/>
      <c r="GRS20" s="414"/>
      <c r="GRT20" s="414"/>
      <c r="GRU20" s="414"/>
      <c r="GRV20" s="414"/>
      <c r="GRW20" s="414"/>
      <c r="GRX20" s="414"/>
      <c r="GRY20" s="414"/>
      <c r="GRZ20" s="414"/>
      <c r="GSA20" s="414"/>
      <c r="GSB20" s="414"/>
      <c r="GSC20" s="414"/>
      <c r="GSD20" s="414"/>
      <c r="GSE20" s="414"/>
      <c r="GSF20" s="414"/>
      <c r="GSG20" s="414"/>
      <c r="GSH20" s="414"/>
      <c r="GSI20" s="414"/>
      <c r="GSJ20" s="414"/>
      <c r="GSK20" s="414"/>
      <c r="GSL20" s="414"/>
      <c r="GSM20" s="414"/>
      <c r="GSN20" s="414"/>
      <c r="GSO20" s="414"/>
      <c r="GSP20" s="414"/>
      <c r="GSQ20" s="414"/>
      <c r="GSR20" s="414"/>
      <c r="GSS20" s="414"/>
      <c r="GST20" s="414"/>
      <c r="GSU20" s="414"/>
      <c r="GSV20" s="414"/>
      <c r="GSW20" s="414"/>
      <c r="GSX20" s="414"/>
      <c r="GSY20" s="414"/>
      <c r="GSZ20" s="414"/>
      <c r="GTA20" s="414"/>
      <c r="GTB20" s="414"/>
      <c r="GTC20" s="414"/>
      <c r="GTD20" s="414"/>
      <c r="GTE20" s="414"/>
      <c r="GTF20" s="414"/>
      <c r="GTG20" s="414"/>
      <c r="GTH20" s="414"/>
      <c r="GTI20" s="414"/>
      <c r="GTJ20" s="414"/>
      <c r="GTK20" s="414"/>
      <c r="GTL20" s="414"/>
      <c r="GTM20" s="414"/>
      <c r="GTN20" s="414"/>
      <c r="GTO20" s="414"/>
      <c r="GTP20" s="414"/>
      <c r="GTQ20" s="414"/>
      <c r="GTR20" s="414"/>
      <c r="GTS20" s="414"/>
      <c r="GTT20" s="414"/>
      <c r="GTU20" s="414"/>
      <c r="GTV20" s="414"/>
      <c r="GTW20" s="414"/>
      <c r="GTX20" s="414"/>
      <c r="GTY20" s="414"/>
      <c r="GTZ20" s="414"/>
      <c r="GUA20" s="414"/>
      <c r="GUB20" s="414"/>
      <c r="GUC20" s="414"/>
      <c r="GUD20" s="414"/>
      <c r="GUE20" s="414"/>
      <c r="GUF20" s="414"/>
      <c r="GUG20" s="414"/>
      <c r="GUH20" s="414"/>
      <c r="GUI20" s="414"/>
      <c r="GUJ20" s="414"/>
      <c r="GUK20" s="414"/>
      <c r="GUL20" s="414"/>
      <c r="GUM20" s="414"/>
      <c r="GUN20" s="414"/>
      <c r="GUO20" s="414"/>
      <c r="GUP20" s="414"/>
      <c r="GUQ20" s="414"/>
      <c r="GUR20" s="414"/>
      <c r="GUS20" s="414"/>
      <c r="GUT20" s="414"/>
      <c r="GUU20" s="414"/>
      <c r="GUV20" s="414"/>
      <c r="GUW20" s="414"/>
      <c r="GUX20" s="414"/>
      <c r="GUY20" s="414"/>
      <c r="GUZ20" s="414"/>
      <c r="GVA20" s="414"/>
      <c r="GVB20" s="414"/>
      <c r="GVC20" s="414"/>
      <c r="GVD20" s="414"/>
      <c r="GVE20" s="414"/>
      <c r="GVF20" s="414"/>
      <c r="GVG20" s="414"/>
      <c r="GVH20" s="414"/>
      <c r="GVI20" s="414"/>
      <c r="GVJ20" s="414"/>
      <c r="GVK20" s="414"/>
      <c r="GVL20" s="414"/>
      <c r="GVM20" s="414"/>
      <c r="GVN20" s="414"/>
      <c r="GVO20" s="414"/>
      <c r="GVP20" s="414"/>
      <c r="GVQ20" s="414"/>
      <c r="GVR20" s="414"/>
      <c r="GVS20" s="414"/>
      <c r="GVT20" s="414"/>
      <c r="GVU20" s="414"/>
      <c r="GVV20" s="414"/>
      <c r="GVW20" s="414"/>
      <c r="GVX20" s="414"/>
      <c r="GVY20" s="414"/>
      <c r="GVZ20" s="414"/>
      <c r="GWA20" s="414"/>
      <c r="GWB20" s="414"/>
      <c r="GWC20" s="414"/>
      <c r="GWD20" s="414"/>
      <c r="GWE20" s="414"/>
      <c r="GWF20" s="414"/>
      <c r="GWG20" s="414"/>
      <c r="GWH20" s="414"/>
      <c r="GWI20" s="414"/>
      <c r="GWJ20" s="414"/>
      <c r="GWK20" s="414"/>
      <c r="GWL20" s="414"/>
      <c r="GWM20" s="414"/>
      <c r="GWN20" s="414"/>
      <c r="GWO20" s="414"/>
      <c r="GWP20" s="414"/>
      <c r="GWQ20" s="414"/>
      <c r="GWR20" s="414"/>
      <c r="GWS20" s="414"/>
      <c r="GWT20" s="414"/>
      <c r="GWU20" s="414"/>
      <c r="GWV20" s="414"/>
      <c r="GWW20" s="414"/>
      <c r="GWX20" s="414"/>
      <c r="GWY20" s="414"/>
      <c r="GWZ20" s="414"/>
      <c r="GXA20" s="414"/>
      <c r="GXB20" s="414"/>
      <c r="GXC20" s="414"/>
      <c r="GXD20" s="414"/>
      <c r="GXE20" s="414"/>
      <c r="GXF20" s="414"/>
      <c r="GXG20" s="414"/>
      <c r="GXH20" s="414"/>
      <c r="GXI20" s="414"/>
      <c r="GXJ20" s="414"/>
      <c r="GXK20" s="414"/>
      <c r="GXL20" s="414"/>
      <c r="GXM20" s="414"/>
      <c r="GXN20" s="414"/>
      <c r="GXO20" s="414"/>
      <c r="GXP20" s="414"/>
      <c r="GXQ20" s="414"/>
      <c r="GXR20" s="414"/>
      <c r="GXS20" s="414"/>
      <c r="GXT20" s="414"/>
      <c r="GXU20" s="414"/>
      <c r="GXV20" s="414"/>
      <c r="GXW20" s="414"/>
      <c r="GXX20" s="414"/>
      <c r="GXY20" s="414"/>
      <c r="GXZ20" s="414"/>
      <c r="GYA20" s="414"/>
      <c r="GYB20" s="414"/>
      <c r="GYC20" s="414"/>
      <c r="GYD20" s="414"/>
      <c r="GYE20" s="414"/>
      <c r="GYF20" s="414"/>
      <c r="GYG20" s="414"/>
      <c r="GYH20" s="414"/>
      <c r="GYI20" s="414"/>
      <c r="GYJ20" s="414"/>
      <c r="GYK20" s="414"/>
      <c r="GYL20" s="414"/>
      <c r="GYM20" s="414"/>
      <c r="GYN20" s="414"/>
      <c r="GYO20" s="414"/>
      <c r="GYP20" s="414"/>
      <c r="GYQ20" s="414"/>
      <c r="GYR20" s="414"/>
      <c r="GYS20" s="414"/>
      <c r="GYT20" s="414"/>
      <c r="GYU20" s="414"/>
      <c r="GYV20" s="414"/>
      <c r="GYW20" s="414"/>
      <c r="GYX20" s="414"/>
      <c r="GYY20" s="414"/>
      <c r="GYZ20" s="414"/>
      <c r="GZA20" s="414"/>
      <c r="GZB20" s="414"/>
      <c r="GZC20" s="414"/>
      <c r="GZD20" s="414"/>
      <c r="GZE20" s="414"/>
      <c r="GZF20" s="414"/>
      <c r="GZG20" s="414"/>
      <c r="GZH20" s="414"/>
      <c r="GZI20" s="414"/>
      <c r="GZJ20" s="414"/>
      <c r="GZK20" s="414"/>
      <c r="GZL20" s="414"/>
      <c r="GZM20" s="414"/>
      <c r="GZN20" s="414"/>
      <c r="GZO20" s="414"/>
      <c r="GZP20" s="414"/>
      <c r="GZQ20" s="414"/>
      <c r="GZR20" s="414"/>
      <c r="GZS20" s="414"/>
      <c r="GZT20" s="414"/>
      <c r="GZU20" s="414"/>
      <c r="GZV20" s="414"/>
      <c r="GZW20" s="414"/>
      <c r="GZX20" s="414"/>
      <c r="GZY20" s="414"/>
      <c r="GZZ20" s="414"/>
      <c r="HAA20" s="414"/>
      <c r="HAB20" s="414"/>
      <c r="HAC20" s="414"/>
      <c r="HAD20" s="414"/>
      <c r="HAE20" s="414"/>
      <c r="HAF20" s="414"/>
      <c r="HAG20" s="414"/>
      <c r="HAH20" s="414"/>
      <c r="HAI20" s="414"/>
      <c r="HAJ20" s="414"/>
      <c r="HAK20" s="414"/>
      <c r="HAL20" s="414"/>
      <c r="HAM20" s="414"/>
      <c r="HAN20" s="414"/>
      <c r="HAO20" s="414"/>
      <c r="HAP20" s="414"/>
      <c r="HAQ20" s="414"/>
      <c r="HAR20" s="414"/>
      <c r="HAS20" s="414"/>
      <c r="HAT20" s="414"/>
      <c r="HAU20" s="414"/>
      <c r="HAV20" s="414"/>
      <c r="HAW20" s="414"/>
      <c r="HAX20" s="414"/>
      <c r="HAY20" s="414"/>
      <c r="HAZ20" s="414"/>
      <c r="HBA20" s="414"/>
      <c r="HBB20" s="414"/>
      <c r="HBC20" s="414"/>
      <c r="HBD20" s="414"/>
      <c r="HBE20" s="414"/>
      <c r="HBF20" s="414"/>
      <c r="HBG20" s="414"/>
      <c r="HBH20" s="414"/>
      <c r="HBI20" s="414"/>
      <c r="HBJ20" s="414"/>
      <c r="HBK20" s="414"/>
      <c r="HBL20" s="414"/>
      <c r="HBM20" s="414"/>
      <c r="HBN20" s="414"/>
      <c r="HBO20" s="414"/>
      <c r="HBP20" s="414"/>
      <c r="HBQ20" s="414"/>
      <c r="HBR20" s="414"/>
      <c r="HBS20" s="414"/>
      <c r="HBT20" s="414"/>
      <c r="HBU20" s="414"/>
      <c r="HBV20" s="414"/>
      <c r="HBW20" s="414"/>
      <c r="HBX20" s="414"/>
      <c r="HBY20" s="414"/>
      <c r="HBZ20" s="414"/>
      <c r="HCA20" s="414"/>
      <c r="HCB20" s="414"/>
      <c r="HCC20" s="414"/>
      <c r="HCD20" s="414"/>
      <c r="HCE20" s="414"/>
      <c r="HCF20" s="414"/>
      <c r="HCG20" s="414"/>
      <c r="HCH20" s="414"/>
      <c r="HCI20" s="414"/>
      <c r="HCJ20" s="414"/>
      <c r="HCK20" s="414"/>
      <c r="HCL20" s="414"/>
      <c r="HCM20" s="414"/>
      <c r="HCN20" s="414"/>
      <c r="HCO20" s="414"/>
      <c r="HCP20" s="414"/>
      <c r="HCQ20" s="414"/>
      <c r="HCR20" s="414"/>
      <c r="HCS20" s="414"/>
      <c r="HCT20" s="414"/>
      <c r="HCU20" s="414"/>
      <c r="HCV20" s="414"/>
      <c r="HCW20" s="414"/>
      <c r="HCX20" s="414"/>
      <c r="HCY20" s="414"/>
      <c r="HCZ20" s="414"/>
      <c r="HDA20" s="414"/>
      <c r="HDB20" s="414"/>
      <c r="HDC20" s="414"/>
      <c r="HDD20" s="414"/>
      <c r="HDE20" s="414"/>
      <c r="HDF20" s="414"/>
      <c r="HDG20" s="414"/>
      <c r="HDH20" s="414"/>
      <c r="HDI20" s="414"/>
      <c r="HDJ20" s="414"/>
      <c r="HDK20" s="414"/>
      <c r="HDL20" s="414"/>
      <c r="HDM20" s="414"/>
      <c r="HDN20" s="414"/>
      <c r="HDO20" s="414"/>
      <c r="HDP20" s="414"/>
      <c r="HDQ20" s="414"/>
      <c r="HDR20" s="414"/>
      <c r="HDS20" s="414"/>
      <c r="HDT20" s="414"/>
      <c r="HDU20" s="414"/>
      <c r="HDV20" s="414"/>
      <c r="HDW20" s="414"/>
      <c r="HDX20" s="414"/>
      <c r="HDY20" s="414"/>
      <c r="HDZ20" s="414"/>
      <c r="HEA20" s="414"/>
      <c r="HEB20" s="414"/>
      <c r="HEC20" s="414"/>
      <c r="HED20" s="414"/>
      <c r="HEE20" s="414"/>
      <c r="HEF20" s="414"/>
      <c r="HEG20" s="414"/>
      <c r="HEH20" s="414"/>
      <c r="HEI20" s="414"/>
      <c r="HEJ20" s="414"/>
      <c r="HEK20" s="414"/>
      <c r="HEL20" s="414"/>
      <c r="HEM20" s="414"/>
      <c r="HEN20" s="414"/>
      <c r="HEO20" s="414"/>
      <c r="HEP20" s="414"/>
      <c r="HEQ20" s="414"/>
      <c r="HER20" s="414"/>
      <c r="HES20" s="414"/>
      <c r="HET20" s="414"/>
      <c r="HEU20" s="414"/>
      <c r="HEV20" s="414"/>
      <c r="HEW20" s="414"/>
      <c r="HEX20" s="414"/>
      <c r="HEY20" s="414"/>
      <c r="HEZ20" s="414"/>
      <c r="HFA20" s="414"/>
      <c r="HFB20" s="414"/>
      <c r="HFC20" s="414"/>
      <c r="HFD20" s="414"/>
      <c r="HFE20" s="414"/>
      <c r="HFF20" s="414"/>
      <c r="HFG20" s="414"/>
      <c r="HFH20" s="414"/>
      <c r="HFI20" s="414"/>
      <c r="HFJ20" s="414"/>
      <c r="HFK20" s="414"/>
      <c r="HFL20" s="414"/>
      <c r="HFM20" s="414"/>
      <c r="HFN20" s="414"/>
      <c r="HFO20" s="414"/>
      <c r="HFP20" s="414"/>
      <c r="HFQ20" s="414"/>
      <c r="HFR20" s="414"/>
      <c r="HFS20" s="414"/>
      <c r="HFT20" s="414"/>
      <c r="HFU20" s="414"/>
      <c r="HFV20" s="414"/>
      <c r="HFW20" s="414"/>
      <c r="HFX20" s="414"/>
      <c r="HFY20" s="414"/>
      <c r="HFZ20" s="414"/>
      <c r="HGA20" s="414"/>
      <c r="HGB20" s="414"/>
      <c r="HGC20" s="414"/>
      <c r="HGD20" s="414"/>
      <c r="HGE20" s="414"/>
      <c r="HGF20" s="414"/>
      <c r="HGG20" s="414"/>
      <c r="HGH20" s="414"/>
      <c r="HGI20" s="414"/>
      <c r="HGJ20" s="414"/>
      <c r="HGK20" s="414"/>
      <c r="HGL20" s="414"/>
      <c r="HGM20" s="414"/>
      <c r="HGN20" s="414"/>
      <c r="HGO20" s="414"/>
      <c r="HGP20" s="414"/>
      <c r="HGQ20" s="414"/>
      <c r="HGR20" s="414"/>
      <c r="HGS20" s="414"/>
      <c r="HGT20" s="414"/>
      <c r="HGU20" s="414"/>
      <c r="HGV20" s="414"/>
      <c r="HGW20" s="414"/>
      <c r="HGX20" s="414"/>
      <c r="HGY20" s="414"/>
      <c r="HGZ20" s="414"/>
      <c r="HHA20" s="414"/>
      <c r="HHB20" s="414"/>
      <c r="HHC20" s="414"/>
      <c r="HHD20" s="414"/>
      <c r="HHE20" s="414"/>
      <c r="HHF20" s="414"/>
      <c r="HHG20" s="414"/>
      <c r="HHH20" s="414"/>
      <c r="HHI20" s="414"/>
      <c r="HHJ20" s="414"/>
      <c r="HHK20" s="414"/>
      <c r="HHL20" s="414"/>
      <c r="HHM20" s="414"/>
      <c r="HHN20" s="414"/>
      <c r="HHO20" s="414"/>
      <c r="HHP20" s="414"/>
      <c r="HHQ20" s="414"/>
      <c r="HHR20" s="414"/>
      <c r="HHS20" s="414"/>
      <c r="HHT20" s="414"/>
      <c r="HHU20" s="414"/>
      <c r="HHV20" s="414"/>
      <c r="HHW20" s="414"/>
      <c r="HHX20" s="414"/>
      <c r="HHY20" s="414"/>
      <c r="HHZ20" s="414"/>
      <c r="HIA20" s="414"/>
      <c r="HIB20" s="414"/>
      <c r="HIC20" s="414"/>
      <c r="HID20" s="414"/>
      <c r="HIE20" s="414"/>
      <c r="HIF20" s="414"/>
      <c r="HIG20" s="414"/>
      <c r="HIH20" s="414"/>
      <c r="HII20" s="414"/>
      <c r="HIJ20" s="414"/>
      <c r="HIK20" s="414"/>
      <c r="HIL20" s="414"/>
      <c r="HIM20" s="414"/>
      <c r="HIN20" s="414"/>
      <c r="HIO20" s="414"/>
      <c r="HIP20" s="414"/>
      <c r="HIQ20" s="414"/>
      <c r="HIR20" s="414"/>
      <c r="HIS20" s="414"/>
      <c r="HIT20" s="414"/>
      <c r="HIU20" s="414"/>
      <c r="HIV20" s="414"/>
      <c r="HIW20" s="414"/>
      <c r="HIX20" s="414"/>
      <c r="HIY20" s="414"/>
      <c r="HIZ20" s="414"/>
      <c r="HJA20" s="414"/>
      <c r="HJB20" s="414"/>
      <c r="HJC20" s="414"/>
      <c r="HJD20" s="414"/>
      <c r="HJE20" s="414"/>
      <c r="HJF20" s="414"/>
      <c r="HJG20" s="414"/>
      <c r="HJH20" s="414"/>
      <c r="HJI20" s="414"/>
      <c r="HJJ20" s="414"/>
      <c r="HJK20" s="414"/>
      <c r="HJL20" s="414"/>
      <c r="HJM20" s="414"/>
      <c r="HJN20" s="414"/>
      <c r="HJO20" s="414"/>
      <c r="HJP20" s="414"/>
      <c r="HJQ20" s="414"/>
      <c r="HJR20" s="414"/>
      <c r="HJS20" s="414"/>
      <c r="HJT20" s="414"/>
      <c r="HJU20" s="414"/>
      <c r="HJV20" s="414"/>
      <c r="HJW20" s="414"/>
      <c r="HJX20" s="414"/>
      <c r="HJY20" s="414"/>
      <c r="HJZ20" s="414"/>
      <c r="HKA20" s="414"/>
      <c r="HKB20" s="414"/>
      <c r="HKC20" s="414"/>
      <c r="HKD20" s="414"/>
      <c r="HKE20" s="414"/>
      <c r="HKF20" s="414"/>
      <c r="HKG20" s="414"/>
      <c r="HKH20" s="414"/>
      <c r="HKI20" s="414"/>
      <c r="HKJ20" s="414"/>
      <c r="HKK20" s="414"/>
      <c r="HKL20" s="414"/>
      <c r="HKM20" s="414"/>
      <c r="HKN20" s="414"/>
      <c r="HKO20" s="414"/>
      <c r="HKP20" s="414"/>
      <c r="HKQ20" s="414"/>
      <c r="HKR20" s="414"/>
      <c r="HKS20" s="414"/>
      <c r="HKT20" s="414"/>
      <c r="HKU20" s="414"/>
      <c r="HKV20" s="414"/>
      <c r="HKW20" s="414"/>
      <c r="HKX20" s="414"/>
      <c r="HKY20" s="414"/>
      <c r="HKZ20" s="414"/>
      <c r="HLA20" s="414"/>
      <c r="HLB20" s="414"/>
      <c r="HLC20" s="414"/>
      <c r="HLD20" s="414"/>
      <c r="HLE20" s="414"/>
      <c r="HLF20" s="414"/>
      <c r="HLG20" s="414"/>
      <c r="HLH20" s="414"/>
      <c r="HLI20" s="414"/>
      <c r="HLJ20" s="414"/>
      <c r="HLK20" s="414"/>
      <c r="HLL20" s="414"/>
      <c r="HLM20" s="414"/>
      <c r="HLN20" s="414"/>
      <c r="HLO20" s="414"/>
      <c r="HLP20" s="414"/>
      <c r="HLQ20" s="414"/>
      <c r="HLR20" s="414"/>
      <c r="HLS20" s="414"/>
      <c r="HLT20" s="414"/>
      <c r="HLU20" s="414"/>
      <c r="HLV20" s="414"/>
      <c r="HLW20" s="414"/>
      <c r="HLX20" s="414"/>
      <c r="HLY20" s="414"/>
      <c r="HLZ20" s="414"/>
      <c r="HMA20" s="414"/>
      <c r="HMB20" s="414"/>
      <c r="HMC20" s="414"/>
      <c r="HMD20" s="414"/>
      <c r="HME20" s="414"/>
      <c r="HMF20" s="414"/>
      <c r="HMG20" s="414"/>
      <c r="HMH20" s="414"/>
      <c r="HMI20" s="414"/>
      <c r="HMJ20" s="414"/>
      <c r="HMK20" s="414"/>
      <c r="HML20" s="414"/>
      <c r="HMM20" s="414"/>
      <c r="HMN20" s="414"/>
      <c r="HMO20" s="414"/>
      <c r="HMP20" s="414"/>
      <c r="HMQ20" s="414"/>
      <c r="HMR20" s="414"/>
      <c r="HMS20" s="414"/>
      <c r="HMT20" s="414"/>
      <c r="HMU20" s="414"/>
      <c r="HMV20" s="414"/>
      <c r="HMW20" s="414"/>
      <c r="HMX20" s="414"/>
      <c r="HMY20" s="414"/>
      <c r="HMZ20" s="414"/>
      <c r="HNA20" s="414"/>
      <c r="HNB20" s="414"/>
      <c r="HNC20" s="414"/>
      <c r="HND20" s="414"/>
      <c r="HNE20" s="414"/>
      <c r="HNF20" s="414"/>
      <c r="HNG20" s="414"/>
      <c r="HNH20" s="414"/>
      <c r="HNI20" s="414"/>
      <c r="HNJ20" s="414"/>
      <c r="HNK20" s="414"/>
      <c r="HNL20" s="414"/>
      <c r="HNM20" s="414"/>
      <c r="HNN20" s="414"/>
      <c r="HNO20" s="414"/>
      <c r="HNP20" s="414"/>
      <c r="HNQ20" s="414"/>
      <c r="HNR20" s="414"/>
      <c r="HNS20" s="414"/>
      <c r="HNT20" s="414"/>
      <c r="HNU20" s="414"/>
      <c r="HNV20" s="414"/>
      <c r="HNW20" s="414"/>
      <c r="HNX20" s="414"/>
      <c r="HNY20" s="414"/>
      <c r="HNZ20" s="414"/>
      <c r="HOA20" s="414"/>
      <c r="HOB20" s="414"/>
      <c r="HOC20" s="414"/>
      <c r="HOD20" s="414"/>
      <c r="HOE20" s="414"/>
      <c r="HOF20" s="414"/>
      <c r="HOG20" s="414"/>
      <c r="HOH20" s="414"/>
      <c r="HOI20" s="414"/>
      <c r="HOJ20" s="414"/>
      <c r="HOK20" s="414"/>
      <c r="HOL20" s="414"/>
      <c r="HOM20" s="414"/>
      <c r="HON20" s="414"/>
      <c r="HOO20" s="414"/>
      <c r="HOP20" s="414"/>
      <c r="HOQ20" s="414"/>
      <c r="HOR20" s="414"/>
      <c r="HOS20" s="414"/>
      <c r="HOT20" s="414"/>
      <c r="HOU20" s="414"/>
      <c r="HOV20" s="414"/>
      <c r="HOW20" s="414"/>
      <c r="HOX20" s="414"/>
      <c r="HOY20" s="414"/>
      <c r="HOZ20" s="414"/>
      <c r="HPA20" s="414"/>
      <c r="HPB20" s="414"/>
      <c r="HPC20" s="414"/>
      <c r="HPD20" s="414"/>
      <c r="HPE20" s="414"/>
      <c r="HPF20" s="414"/>
      <c r="HPG20" s="414"/>
      <c r="HPH20" s="414"/>
      <c r="HPI20" s="414"/>
      <c r="HPJ20" s="414"/>
      <c r="HPK20" s="414"/>
      <c r="HPL20" s="414"/>
      <c r="HPM20" s="414"/>
      <c r="HPN20" s="414"/>
      <c r="HPO20" s="414"/>
      <c r="HPP20" s="414"/>
      <c r="HPQ20" s="414"/>
      <c r="HPR20" s="414"/>
      <c r="HPS20" s="414"/>
      <c r="HPT20" s="414"/>
      <c r="HPU20" s="414"/>
      <c r="HPV20" s="414"/>
      <c r="HPW20" s="414"/>
      <c r="HPX20" s="414"/>
      <c r="HPY20" s="414"/>
      <c r="HPZ20" s="414"/>
      <c r="HQA20" s="414"/>
      <c r="HQB20" s="414"/>
      <c r="HQC20" s="414"/>
      <c r="HQD20" s="414"/>
      <c r="HQE20" s="414"/>
      <c r="HQF20" s="414"/>
      <c r="HQG20" s="414"/>
      <c r="HQH20" s="414"/>
      <c r="HQI20" s="414"/>
      <c r="HQJ20" s="414"/>
      <c r="HQK20" s="414"/>
      <c r="HQL20" s="414"/>
      <c r="HQM20" s="414"/>
      <c r="HQN20" s="414"/>
      <c r="HQO20" s="414"/>
      <c r="HQP20" s="414"/>
      <c r="HQQ20" s="414"/>
      <c r="HQR20" s="414"/>
      <c r="HQS20" s="414"/>
      <c r="HQT20" s="414"/>
      <c r="HQU20" s="414"/>
      <c r="HQV20" s="414"/>
      <c r="HQW20" s="414"/>
      <c r="HQX20" s="414"/>
      <c r="HQY20" s="414"/>
      <c r="HQZ20" s="414"/>
      <c r="HRA20" s="414"/>
      <c r="HRB20" s="414"/>
      <c r="HRC20" s="414"/>
      <c r="HRD20" s="414"/>
      <c r="HRE20" s="414"/>
      <c r="HRF20" s="414"/>
      <c r="HRG20" s="414"/>
      <c r="HRH20" s="414"/>
      <c r="HRI20" s="414"/>
      <c r="HRJ20" s="414"/>
      <c r="HRK20" s="414"/>
      <c r="HRL20" s="414"/>
      <c r="HRM20" s="414"/>
      <c r="HRN20" s="414"/>
      <c r="HRO20" s="414"/>
      <c r="HRP20" s="414"/>
      <c r="HRQ20" s="414"/>
      <c r="HRR20" s="414"/>
      <c r="HRS20" s="414"/>
      <c r="HRT20" s="414"/>
      <c r="HRU20" s="414"/>
      <c r="HRV20" s="414"/>
      <c r="HRW20" s="414"/>
      <c r="HRX20" s="414"/>
      <c r="HRY20" s="414"/>
      <c r="HRZ20" s="414"/>
      <c r="HSA20" s="414"/>
      <c r="HSB20" s="414"/>
      <c r="HSC20" s="414"/>
      <c r="HSD20" s="414"/>
      <c r="HSE20" s="414"/>
      <c r="HSF20" s="414"/>
      <c r="HSG20" s="414"/>
      <c r="HSH20" s="414"/>
      <c r="HSI20" s="414"/>
      <c r="HSJ20" s="414"/>
      <c r="HSK20" s="414"/>
      <c r="HSL20" s="414"/>
      <c r="HSM20" s="414"/>
      <c r="HSN20" s="414"/>
      <c r="HSO20" s="414"/>
      <c r="HSP20" s="414"/>
      <c r="HSQ20" s="414"/>
      <c r="HSR20" s="414"/>
      <c r="HSS20" s="414"/>
      <c r="HST20" s="414"/>
      <c r="HSU20" s="414"/>
      <c r="HSV20" s="414"/>
      <c r="HSW20" s="414"/>
      <c r="HSX20" s="414"/>
      <c r="HSY20" s="414"/>
      <c r="HSZ20" s="414"/>
      <c r="HTA20" s="414"/>
      <c r="HTB20" s="414"/>
      <c r="HTC20" s="414"/>
      <c r="HTD20" s="414"/>
      <c r="HTE20" s="414"/>
      <c r="HTF20" s="414"/>
      <c r="HTG20" s="414"/>
      <c r="HTH20" s="414"/>
      <c r="HTI20" s="414"/>
      <c r="HTJ20" s="414"/>
      <c r="HTK20" s="414"/>
      <c r="HTL20" s="414"/>
      <c r="HTM20" s="414"/>
      <c r="HTN20" s="414"/>
      <c r="HTO20" s="414"/>
      <c r="HTP20" s="414"/>
      <c r="HTQ20" s="414"/>
      <c r="HTR20" s="414"/>
      <c r="HTS20" s="414"/>
      <c r="HTT20" s="414"/>
      <c r="HTU20" s="414"/>
      <c r="HTV20" s="414"/>
      <c r="HTW20" s="414"/>
      <c r="HTX20" s="414"/>
      <c r="HTY20" s="414"/>
      <c r="HTZ20" s="414"/>
      <c r="HUA20" s="414"/>
      <c r="HUB20" s="414"/>
      <c r="HUC20" s="414"/>
      <c r="HUD20" s="414"/>
      <c r="HUE20" s="414"/>
      <c r="HUF20" s="414"/>
      <c r="HUG20" s="414"/>
      <c r="HUH20" s="414"/>
      <c r="HUI20" s="414"/>
      <c r="HUJ20" s="414"/>
      <c r="HUK20" s="414"/>
      <c r="HUL20" s="414"/>
      <c r="HUM20" s="414"/>
      <c r="HUN20" s="414"/>
      <c r="HUO20" s="414"/>
      <c r="HUP20" s="414"/>
      <c r="HUQ20" s="414"/>
      <c r="HUR20" s="414"/>
      <c r="HUS20" s="414"/>
      <c r="HUT20" s="414"/>
      <c r="HUU20" s="414"/>
      <c r="HUV20" s="414"/>
      <c r="HUW20" s="414"/>
      <c r="HUX20" s="414"/>
      <c r="HUY20" s="414"/>
      <c r="HUZ20" s="414"/>
      <c r="HVA20" s="414"/>
      <c r="HVB20" s="414"/>
      <c r="HVC20" s="414"/>
      <c r="HVD20" s="414"/>
      <c r="HVE20" s="414"/>
      <c r="HVF20" s="414"/>
      <c r="HVG20" s="414"/>
      <c r="HVH20" s="414"/>
      <c r="HVI20" s="414"/>
      <c r="HVJ20" s="414"/>
      <c r="HVK20" s="414"/>
      <c r="HVL20" s="414"/>
      <c r="HVM20" s="414"/>
      <c r="HVN20" s="414"/>
      <c r="HVO20" s="414"/>
      <c r="HVP20" s="414"/>
      <c r="HVQ20" s="414"/>
      <c r="HVR20" s="414"/>
      <c r="HVS20" s="414"/>
      <c r="HVT20" s="414"/>
      <c r="HVU20" s="414"/>
      <c r="HVV20" s="414"/>
      <c r="HVW20" s="414"/>
      <c r="HVX20" s="414"/>
      <c r="HVY20" s="414"/>
      <c r="HVZ20" s="414"/>
      <c r="HWA20" s="414"/>
      <c r="HWB20" s="414"/>
      <c r="HWC20" s="414"/>
      <c r="HWD20" s="414"/>
      <c r="HWE20" s="414"/>
      <c r="HWF20" s="414"/>
      <c r="HWG20" s="414"/>
      <c r="HWH20" s="414"/>
      <c r="HWI20" s="414"/>
      <c r="HWJ20" s="414"/>
      <c r="HWK20" s="414"/>
      <c r="HWL20" s="414"/>
      <c r="HWM20" s="414"/>
      <c r="HWN20" s="414"/>
      <c r="HWO20" s="414"/>
      <c r="HWP20" s="414"/>
      <c r="HWQ20" s="414"/>
      <c r="HWR20" s="414"/>
      <c r="HWS20" s="414"/>
      <c r="HWT20" s="414"/>
      <c r="HWU20" s="414"/>
      <c r="HWV20" s="414"/>
      <c r="HWW20" s="414"/>
      <c r="HWX20" s="414"/>
      <c r="HWY20" s="414"/>
      <c r="HWZ20" s="414"/>
      <c r="HXA20" s="414"/>
      <c r="HXB20" s="414"/>
      <c r="HXC20" s="414"/>
      <c r="HXD20" s="414"/>
      <c r="HXE20" s="414"/>
      <c r="HXF20" s="414"/>
      <c r="HXG20" s="414"/>
      <c r="HXH20" s="414"/>
      <c r="HXI20" s="414"/>
      <c r="HXJ20" s="414"/>
      <c r="HXK20" s="414"/>
      <c r="HXL20" s="414"/>
      <c r="HXM20" s="414"/>
      <c r="HXN20" s="414"/>
      <c r="HXO20" s="414"/>
      <c r="HXP20" s="414"/>
      <c r="HXQ20" s="414"/>
      <c r="HXR20" s="414"/>
      <c r="HXS20" s="414"/>
      <c r="HXT20" s="414"/>
      <c r="HXU20" s="414"/>
      <c r="HXV20" s="414"/>
      <c r="HXW20" s="414"/>
      <c r="HXX20" s="414"/>
      <c r="HXY20" s="414"/>
      <c r="HXZ20" s="414"/>
      <c r="HYA20" s="414"/>
      <c r="HYB20" s="414"/>
      <c r="HYC20" s="414"/>
      <c r="HYD20" s="414"/>
      <c r="HYE20" s="414"/>
      <c r="HYF20" s="414"/>
      <c r="HYG20" s="414"/>
      <c r="HYH20" s="414"/>
      <c r="HYI20" s="414"/>
      <c r="HYJ20" s="414"/>
      <c r="HYK20" s="414"/>
      <c r="HYL20" s="414"/>
      <c r="HYM20" s="414"/>
      <c r="HYN20" s="414"/>
      <c r="HYO20" s="414"/>
      <c r="HYP20" s="414"/>
      <c r="HYQ20" s="414"/>
      <c r="HYR20" s="414"/>
      <c r="HYS20" s="414"/>
      <c r="HYT20" s="414"/>
      <c r="HYU20" s="414"/>
      <c r="HYV20" s="414"/>
      <c r="HYW20" s="414"/>
      <c r="HYX20" s="414"/>
      <c r="HYY20" s="414"/>
      <c r="HYZ20" s="414"/>
      <c r="HZA20" s="414"/>
      <c r="HZB20" s="414"/>
      <c r="HZC20" s="414"/>
      <c r="HZD20" s="414"/>
      <c r="HZE20" s="414"/>
      <c r="HZF20" s="414"/>
      <c r="HZG20" s="414"/>
      <c r="HZH20" s="414"/>
      <c r="HZI20" s="414"/>
      <c r="HZJ20" s="414"/>
      <c r="HZK20" s="414"/>
      <c r="HZL20" s="414"/>
      <c r="HZM20" s="414"/>
      <c r="HZN20" s="414"/>
      <c r="HZO20" s="414"/>
      <c r="HZP20" s="414"/>
      <c r="HZQ20" s="414"/>
      <c r="HZR20" s="414"/>
      <c r="HZS20" s="414"/>
      <c r="HZT20" s="414"/>
      <c r="HZU20" s="414"/>
      <c r="HZV20" s="414"/>
      <c r="HZW20" s="414"/>
      <c r="HZX20" s="414"/>
      <c r="HZY20" s="414"/>
      <c r="HZZ20" s="414"/>
      <c r="IAA20" s="414"/>
      <c r="IAB20" s="414"/>
      <c r="IAC20" s="414"/>
      <c r="IAD20" s="414"/>
      <c r="IAE20" s="414"/>
      <c r="IAF20" s="414"/>
      <c r="IAG20" s="414"/>
      <c r="IAH20" s="414"/>
      <c r="IAI20" s="414"/>
      <c r="IAJ20" s="414"/>
      <c r="IAK20" s="414"/>
      <c r="IAL20" s="414"/>
      <c r="IAM20" s="414"/>
      <c r="IAN20" s="414"/>
      <c r="IAO20" s="414"/>
      <c r="IAP20" s="414"/>
      <c r="IAQ20" s="414"/>
      <c r="IAR20" s="414"/>
      <c r="IAS20" s="414"/>
      <c r="IAT20" s="414"/>
      <c r="IAU20" s="414"/>
      <c r="IAV20" s="414"/>
      <c r="IAW20" s="414"/>
      <c r="IAX20" s="414"/>
      <c r="IAY20" s="414"/>
      <c r="IAZ20" s="414"/>
      <c r="IBA20" s="414"/>
      <c r="IBB20" s="414"/>
      <c r="IBC20" s="414"/>
      <c r="IBD20" s="414"/>
      <c r="IBE20" s="414"/>
      <c r="IBF20" s="414"/>
      <c r="IBG20" s="414"/>
      <c r="IBH20" s="414"/>
      <c r="IBI20" s="414"/>
      <c r="IBJ20" s="414"/>
      <c r="IBK20" s="414"/>
      <c r="IBL20" s="414"/>
      <c r="IBM20" s="414"/>
      <c r="IBN20" s="414"/>
      <c r="IBO20" s="414"/>
      <c r="IBP20" s="414"/>
      <c r="IBQ20" s="414"/>
      <c r="IBR20" s="414"/>
      <c r="IBS20" s="414"/>
      <c r="IBT20" s="414"/>
      <c r="IBU20" s="414"/>
      <c r="IBV20" s="414"/>
      <c r="IBW20" s="414"/>
      <c r="IBX20" s="414"/>
      <c r="IBY20" s="414"/>
      <c r="IBZ20" s="414"/>
      <c r="ICA20" s="414"/>
      <c r="ICB20" s="414"/>
      <c r="ICC20" s="414"/>
      <c r="ICD20" s="414"/>
      <c r="ICE20" s="414"/>
      <c r="ICF20" s="414"/>
      <c r="ICG20" s="414"/>
      <c r="ICH20" s="414"/>
      <c r="ICI20" s="414"/>
      <c r="ICJ20" s="414"/>
      <c r="ICK20" s="414"/>
      <c r="ICL20" s="414"/>
      <c r="ICM20" s="414"/>
      <c r="ICN20" s="414"/>
      <c r="ICO20" s="414"/>
      <c r="ICP20" s="414"/>
      <c r="ICQ20" s="414"/>
      <c r="ICR20" s="414"/>
      <c r="ICS20" s="414"/>
      <c r="ICT20" s="414"/>
      <c r="ICU20" s="414"/>
      <c r="ICV20" s="414"/>
      <c r="ICW20" s="414"/>
      <c r="ICX20" s="414"/>
      <c r="ICY20" s="414"/>
      <c r="ICZ20" s="414"/>
      <c r="IDA20" s="414"/>
      <c r="IDB20" s="414"/>
      <c r="IDC20" s="414"/>
      <c r="IDD20" s="414"/>
      <c r="IDE20" s="414"/>
      <c r="IDF20" s="414"/>
      <c r="IDG20" s="414"/>
      <c r="IDH20" s="414"/>
      <c r="IDI20" s="414"/>
      <c r="IDJ20" s="414"/>
      <c r="IDK20" s="414"/>
      <c r="IDL20" s="414"/>
      <c r="IDM20" s="414"/>
      <c r="IDN20" s="414"/>
      <c r="IDO20" s="414"/>
      <c r="IDP20" s="414"/>
      <c r="IDQ20" s="414"/>
      <c r="IDR20" s="414"/>
      <c r="IDS20" s="414"/>
      <c r="IDT20" s="414"/>
      <c r="IDU20" s="414"/>
      <c r="IDV20" s="414"/>
      <c r="IDW20" s="414"/>
      <c r="IDX20" s="414"/>
      <c r="IDY20" s="414"/>
      <c r="IDZ20" s="414"/>
      <c r="IEA20" s="414"/>
      <c r="IEB20" s="414"/>
      <c r="IEC20" s="414"/>
      <c r="IED20" s="414"/>
      <c r="IEE20" s="414"/>
      <c r="IEF20" s="414"/>
      <c r="IEG20" s="414"/>
      <c r="IEH20" s="414"/>
      <c r="IEI20" s="414"/>
      <c r="IEJ20" s="414"/>
      <c r="IEK20" s="414"/>
      <c r="IEL20" s="414"/>
      <c r="IEM20" s="414"/>
      <c r="IEN20" s="414"/>
      <c r="IEO20" s="414"/>
      <c r="IEP20" s="414"/>
      <c r="IEQ20" s="414"/>
      <c r="IER20" s="414"/>
      <c r="IES20" s="414"/>
      <c r="IET20" s="414"/>
      <c r="IEU20" s="414"/>
      <c r="IEV20" s="414"/>
      <c r="IEW20" s="414"/>
      <c r="IEX20" s="414"/>
      <c r="IEY20" s="414"/>
      <c r="IEZ20" s="414"/>
      <c r="IFA20" s="414"/>
      <c r="IFB20" s="414"/>
      <c r="IFC20" s="414"/>
      <c r="IFD20" s="414"/>
      <c r="IFE20" s="414"/>
      <c r="IFF20" s="414"/>
      <c r="IFG20" s="414"/>
      <c r="IFH20" s="414"/>
      <c r="IFI20" s="414"/>
      <c r="IFJ20" s="414"/>
      <c r="IFK20" s="414"/>
      <c r="IFL20" s="414"/>
      <c r="IFM20" s="414"/>
      <c r="IFN20" s="414"/>
      <c r="IFO20" s="414"/>
      <c r="IFP20" s="414"/>
      <c r="IFQ20" s="414"/>
      <c r="IFR20" s="414"/>
      <c r="IFS20" s="414"/>
      <c r="IFT20" s="414"/>
      <c r="IFU20" s="414"/>
      <c r="IFV20" s="414"/>
      <c r="IFW20" s="414"/>
      <c r="IFX20" s="414"/>
      <c r="IFY20" s="414"/>
      <c r="IFZ20" s="414"/>
      <c r="IGA20" s="414"/>
      <c r="IGB20" s="414"/>
      <c r="IGC20" s="414"/>
      <c r="IGD20" s="414"/>
      <c r="IGE20" s="414"/>
      <c r="IGF20" s="414"/>
      <c r="IGG20" s="414"/>
      <c r="IGH20" s="414"/>
      <c r="IGI20" s="414"/>
      <c r="IGJ20" s="414"/>
      <c r="IGK20" s="414"/>
      <c r="IGL20" s="414"/>
      <c r="IGM20" s="414"/>
      <c r="IGN20" s="414"/>
      <c r="IGO20" s="414"/>
      <c r="IGP20" s="414"/>
      <c r="IGQ20" s="414"/>
      <c r="IGR20" s="414"/>
      <c r="IGS20" s="414"/>
      <c r="IGT20" s="414"/>
      <c r="IGU20" s="414"/>
      <c r="IGV20" s="414"/>
      <c r="IGW20" s="414"/>
      <c r="IGX20" s="414"/>
      <c r="IGY20" s="414"/>
      <c r="IGZ20" s="414"/>
      <c r="IHA20" s="414"/>
      <c r="IHB20" s="414"/>
      <c r="IHC20" s="414"/>
      <c r="IHD20" s="414"/>
      <c r="IHE20" s="414"/>
      <c r="IHF20" s="414"/>
      <c r="IHG20" s="414"/>
      <c r="IHH20" s="414"/>
      <c r="IHI20" s="414"/>
      <c r="IHJ20" s="414"/>
      <c r="IHK20" s="414"/>
      <c r="IHL20" s="414"/>
      <c r="IHM20" s="414"/>
      <c r="IHN20" s="414"/>
      <c r="IHO20" s="414"/>
      <c r="IHP20" s="414"/>
      <c r="IHQ20" s="414"/>
      <c r="IHR20" s="414"/>
      <c r="IHS20" s="414"/>
      <c r="IHT20" s="414"/>
      <c r="IHU20" s="414"/>
      <c r="IHV20" s="414"/>
      <c r="IHW20" s="414"/>
      <c r="IHX20" s="414"/>
      <c r="IHY20" s="414"/>
      <c r="IHZ20" s="414"/>
      <c r="IIA20" s="414"/>
      <c r="IIB20" s="414"/>
      <c r="IIC20" s="414"/>
      <c r="IID20" s="414"/>
      <c r="IIE20" s="414"/>
      <c r="IIF20" s="414"/>
      <c r="IIG20" s="414"/>
      <c r="IIH20" s="414"/>
      <c r="III20" s="414"/>
      <c r="IIJ20" s="414"/>
      <c r="IIK20" s="414"/>
      <c r="IIL20" s="414"/>
      <c r="IIM20" s="414"/>
      <c r="IIN20" s="414"/>
      <c r="IIO20" s="414"/>
      <c r="IIP20" s="414"/>
      <c r="IIQ20" s="414"/>
      <c r="IIR20" s="414"/>
      <c r="IIS20" s="414"/>
      <c r="IIT20" s="414"/>
      <c r="IIU20" s="414"/>
      <c r="IIV20" s="414"/>
      <c r="IIW20" s="414"/>
      <c r="IIX20" s="414"/>
      <c r="IIY20" s="414"/>
      <c r="IIZ20" s="414"/>
      <c r="IJA20" s="414"/>
      <c r="IJB20" s="414"/>
      <c r="IJC20" s="414"/>
      <c r="IJD20" s="414"/>
      <c r="IJE20" s="414"/>
      <c r="IJF20" s="414"/>
      <c r="IJG20" s="414"/>
      <c r="IJH20" s="414"/>
      <c r="IJI20" s="414"/>
      <c r="IJJ20" s="414"/>
      <c r="IJK20" s="414"/>
      <c r="IJL20" s="414"/>
      <c r="IJM20" s="414"/>
      <c r="IJN20" s="414"/>
      <c r="IJO20" s="414"/>
      <c r="IJP20" s="414"/>
      <c r="IJQ20" s="414"/>
      <c r="IJR20" s="414"/>
      <c r="IJS20" s="414"/>
      <c r="IJT20" s="414"/>
      <c r="IJU20" s="414"/>
      <c r="IJV20" s="414"/>
      <c r="IJW20" s="414"/>
      <c r="IJX20" s="414"/>
      <c r="IJY20" s="414"/>
      <c r="IJZ20" s="414"/>
      <c r="IKA20" s="414"/>
      <c r="IKB20" s="414"/>
      <c r="IKC20" s="414"/>
      <c r="IKD20" s="414"/>
      <c r="IKE20" s="414"/>
      <c r="IKF20" s="414"/>
      <c r="IKG20" s="414"/>
      <c r="IKH20" s="414"/>
      <c r="IKI20" s="414"/>
      <c r="IKJ20" s="414"/>
      <c r="IKK20" s="414"/>
      <c r="IKL20" s="414"/>
      <c r="IKM20" s="414"/>
      <c r="IKN20" s="414"/>
      <c r="IKO20" s="414"/>
      <c r="IKP20" s="414"/>
      <c r="IKQ20" s="414"/>
      <c r="IKR20" s="414"/>
      <c r="IKS20" s="414"/>
      <c r="IKT20" s="414"/>
      <c r="IKU20" s="414"/>
      <c r="IKV20" s="414"/>
      <c r="IKW20" s="414"/>
      <c r="IKX20" s="414"/>
      <c r="IKY20" s="414"/>
      <c r="IKZ20" s="414"/>
      <c r="ILA20" s="414"/>
      <c r="ILB20" s="414"/>
      <c r="ILC20" s="414"/>
      <c r="ILD20" s="414"/>
      <c r="ILE20" s="414"/>
      <c r="ILF20" s="414"/>
      <c r="ILG20" s="414"/>
      <c r="ILH20" s="414"/>
      <c r="ILI20" s="414"/>
      <c r="ILJ20" s="414"/>
      <c r="ILK20" s="414"/>
      <c r="ILL20" s="414"/>
      <c r="ILM20" s="414"/>
      <c r="ILN20" s="414"/>
      <c r="ILO20" s="414"/>
      <c r="ILP20" s="414"/>
      <c r="ILQ20" s="414"/>
      <c r="ILR20" s="414"/>
      <c r="ILS20" s="414"/>
      <c r="ILT20" s="414"/>
      <c r="ILU20" s="414"/>
      <c r="ILV20" s="414"/>
      <c r="ILW20" s="414"/>
      <c r="ILX20" s="414"/>
      <c r="ILY20" s="414"/>
      <c r="ILZ20" s="414"/>
      <c r="IMA20" s="414"/>
      <c r="IMB20" s="414"/>
      <c r="IMC20" s="414"/>
      <c r="IMD20" s="414"/>
      <c r="IME20" s="414"/>
      <c r="IMF20" s="414"/>
      <c r="IMG20" s="414"/>
      <c r="IMH20" s="414"/>
      <c r="IMI20" s="414"/>
      <c r="IMJ20" s="414"/>
      <c r="IMK20" s="414"/>
      <c r="IML20" s="414"/>
      <c r="IMM20" s="414"/>
      <c r="IMN20" s="414"/>
      <c r="IMO20" s="414"/>
      <c r="IMP20" s="414"/>
      <c r="IMQ20" s="414"/>
      <c r="IMR20" s="414"/>
      <c r="IMS20" s="414"/>
      <c r="IMT20" s="414"/>
      <c r="IMU20" s="414"/>
      <c r="IMV20" s="414"/>
      <c r="IMW20" s="414"/>
      <c r="IMX20" s="414"/>
      <c r="IMY20" s="414"/>
      <c r="IMZ20" s="414"/>
      <c r="INA20" s="414"/>
      <c r="INB20" s="414"/>
      <c r="INC20" s="414"/>
      <c r="IND20" s="414"/>
      <c r="INE20" s="414"/>
      <c r="INF20" s="414"/>
      <c r="ING20" s="414"/>
      <c r="INH20" s="414"/>
      <c r="INI20" s="414"/>
      <c r="INJ20" s="414"/>
      <c r="INK20" s="414"/>
      <c r="INL20" s="414"/>
      <c r="INM20" s="414"/>
      <c r="INN20" s="414"/>
      <c r="INO20" s="414"/>
      <c r="INP20" s="414"/>
      <c r="INQ20" s="414"/>
      <c r="INR20" s="414"/>
      <c r="INS20" s="414"/>
      <c r="INT20" s="414"/>
      <c r="INU20" s="414"/>
      <c r="INV20" s="414"/>
      <c r="INW20" s="414"/>
      <c r="INX20" s="414"/>
      <c r="INY20" s="414"/>
      <c r="INZ20" s="414"/>
      <c r="IOA20" s="414"/>
      <c r="IOB20" s="414"/>
      <c r="IOC20" s="414"/>
      <c r="IOD20" s="414"/>
      <c r="IOE20" s="414"/>
      <c r="IOF20" s="414"/>
      <c r="IOG20" s="414"/>
      <c r="IOH20" s="414"/>
      <c r="IOI20" s="414"/>
      <c r="IOJ20" s="414"/>
      <c r="IOK20" s="414"/>
      <c r="IOL20" s="414"/>
      <c r="IOM20" s="414"/>
      <c r="ION20" s="414"/>
      <c r="IOO20" s="414"/>
      <c r="IOP20" s="414"/>
      <c r="IOQ20" s="414"/>
      <c r="IOR20" s="414"/>
      <c r="IOS20" s="414"/>
      <c r="IOT20" s="414"/>
      <c r="IOU20" s="414"/>
      <c r="IOV20" s="414"/>
      <c r="IOW20" s="414"/>
      <c r="IOX20" s="414"/>
      <c r="IOY20" s="414"/>
      <c r="IOZ20" s="414"/>
      <c r="IPA20" s="414"/>
      <c r="IPB20" s="414"/>
      <c r="IPC20" s="414"/>
      <c r="IPD20" s="414"/>
      <c r="IPE20" s="414"/>
      <c r="IPF20" s="414"/>
      <c r="IPG20" s="414"/>
      <c r="IPH20" s="414"/>
      <c r="IPI20" s="414"/>
      <c r="IPJ20" s="414"/>
      <c r="IPK20" s="414"/>
      <c r="IPL20" s="414"/>
      <c r="IPM20" s="414"/>
      <c r="IPN20" s="414"/>
      <c r="IPO20" s="414"/>
      <c r="IPP20" s="414"/>
      <c r="IPQ20" s="414"/>
      <c r="IPR20" s="414"/>
      <c r="IPS20" s="414"/>
      <c r="IPT20" s="414"/>
      <c r="IPU20" s="414"/>
      <c r="IPV20" s="414"/>
      <c r="IPW20" s="414"/>
      <c r="IPX20" s="414"/>
      <c r="IPY20" s="414"/>
      <c r="IPZ20" s="414"/>
      <c r="IQA20" s="414"/>
      <c r="IQB20" s="414"/>
      <c r="IQC20" s="414"/>
      <c r="IQD20" s="414"/>
      <c r="IQE20" s="414"/>
      <c r="IQF20" s="414"/>
      <c r="IQG20" s="414"/>
      <c r="IQH20" s="414"/>
      <c r="IQI20" s="414"/>
      <c r="IQJ20" s="414"/>
      <c r="IQK20" s="414"/>
      <c r="IQL20" s="414"/>
      <c r="IQM20" s="414"/>
      <c r="IQN20" s="414"/>
      <c r="IQO20" s="414"/>
      <c r="IQP20" s="414"/>
      <c r="IQQ20" s="414"/>
      <c r="IQR20" s="414"/>
      <c r="IQS20" s="414"/>
      <c r="IQT20" s="414"/>
      <c r="IQU20" s="414"/>
      <c r="IQV20" s="414"/>
      <c r="IQW20" s="414"/>
      <c r="IQX20" s="414"/>
      <c r="IQY20" s="414"/>
      <c r="IQZ20" s="414"/>
      <c r="IRA20" s="414"/>
      <c r="IRB20" s="414"/>
      <c r="IRC20" s="414"/>
      <c r="IRD20" s="414"/>
      <c r="IRE20" s="414"/>
      <c r="IRF20" s="414"/>
      <c r="IRG20" s="414"/>
      <c r="IRH20" s="414"/>
      <c r="IRI20" s="414"/>
      <c r="IRJ20" s="414"/>
      <c r="IRK20" s="414"/>
      <c r="IRL20" s="414"/>
      <c r="IRM20" s="414"/>
      <c r="IRN20" s="414"/>
      <c r="IRO20" s="414"/>
      <c r="IRP20" s="414"/>
      <c r="IRQ20" s="414"/>
      <c r="IRR20" s="414"/>
      <c r="IRS20" s="414"/>
      <c r="IRT20" s="414"/>
      <c r="IRU20" s="414"/>
      <c r="IRV20" s="414"/>
      <c r="IRW20" s="414"/>
      <c r="IRX20" s="414"/>
      <c r="IRY20" s="414"/>
      <c r="IRZ20" s="414"/>
      <c r="ISA20" s="414"/>
      <c r="ISB20" s="414"/>
      <c r="ISC20" s="414"/>
      <c r="ISD20" s="414"/>
      <c r="ISE20" s="414"/>
      <c r="ISF20" s="414"/>
      <c r="ISG20" s="414"/>
      <c r="ISH20" s="414"/>
      <c r="ISI20" s="414"/>
      <c r="ISJ20" s="414"/>
      <c r="ISK20" s="414"/>
      <c r="ISL20" s="414"/>
      <c r="ISM20" s="414"/>
      <c r="ISN20" s="414"/>
      <c r="ISO20" s="414"/>
      <c r="ISP20" s="414"/>
      <c r="ISQ20" s="414"/>
      <c r="ISR20" s="414"/>
      <c r="ISS20" s="414"/>
      <c r="IST20" s="414"/>
      <c r="ISU20" s="414"/>
      <c r="ISV20" s="414"/>
      <c r="ISW20" s="414"/>
      <c r="ISX20" s="414"/>
      <c r="ISY20" s="414"/>
      <c r="ISZ20" s="414"/>
      <c r="ITA20" s="414"/>
      <c r="ITB20" s="414"/>
      <c r="ITC20" s="414"/>
      <c r="ITD20" s="414"/>
      <c r="ITE20" s="414"/>
      <c r="ITF20" s="414"/>
      <c r="ITG20" s="414"/>
      <c r="ITH20" s="414"/>
      <c r="ITI20" s="414"/>
      <c r="ITJ20" s="414"/>
      <c r="ITK20" s="414"/>
      <c r="ITL20" s="414"/>
      <c r="ITM20" s="414"/>
      <c r="ITN20" s="414"/>
      <c r="ITO20" s="414"/>
      <c r="ITP20" s="414"/>
      <c r="ITQ20" s="414"/>
      <c r="ITR20" s="414"/>
      <c r="ITS20" s="414"/>
      <c r="ITT20" s="414"/>
      <c r="ITU20" s="414"/>
      <c r="ITV20" s="414"/>
      <c r="ITW20" s="414"/>
      <c r="ITX20" s="414"/>
      <c r="ITY20" s="414"/>
      <c r="ITZ20" s="414"/>
      <c r="IUA20" s="414"/>
      <c r="IUB20" s="414"/>
      <c r="IUC20" s="414"/>
      <c r="IUD20" s="414"/>
      <c r="IUE20" s="414"/>
      <c r="IUF20" s="414"/>
      <c r="IUG20" s="414"/>
      <c r="IUH20" s="414"/>
      <c r="IUI20" s="414"/>
      <c r="IUJ20" s="414"/>
      <c r="IUK20" s="414"/>
      <c r="IUL20" s="414"/>
      <c r="IUM20" s="414"/>
      <c r="IUN20" s="414"/>
      <c r="IUO20" s="414"/>
      <c r="IUP20" s="414"/>
      <c r="IUQ20" s="414"/>
      <c r="IUR20" s="414"/>
      <c r="IUS20" s="414"/>
      <c r="IUT20" s="414"/>
      <c r="IUU20" s="414"/>
      <c r="IUV20" s="414"/>
      <c r="IUW20" s="414"/>
      <c r="IUX20" s="414"/>
      <c r="IUY20" s="414"/>
      <c r="IUZ20" s="414"/>
      <c r="IVA20" s="414"/>
      <c r="IVB20" s="414"/>
      <c r="IVC20" s="414"/>
      <c r="IVD20" s="414"/>
      <c r="IVE20" s="414"/>
      <c r="IVF20" s="414"/>
      <c r="IVG20" s="414"/>
      <c r="IVH20" s="414"/>
      <c r="IVI20" s="414"/>
      <c r="IVJ20" s="414"/>
      <c r="IVK20" s="414"/>
      <c r="IVL20" s="414"/>
      <c r="IVM20" s="414"/>
      <c r="IVN20" s="414"/>
      <c r="IVO20" s="414"/>
      <c r="IVP20" s="414"/>
      <c r="IVQ20" s="414"/>
      <c r="IVR20" s="414"/>
      <c r="IVS20" s="414"/>
      <c r="IVT20" s="414"/>
      <c r="IVU20" s="414"/>
      <c r="IVV20" s="414"/>
      <c r="IVW20" s="414"/>
      <c r="IVX20" s="414"/>
      <c r="IVY20" s="414"/>
      <c r="IVZ20" s="414"/>
      <c r="IWA20" s="414"/>
      <c r="IWB20" s="414"/>
      <c r="IWC20" s="414"/>
      <c r="IWD20" s="414"/>
      <c r="IWE20" s="414"/>
      <c r="IWF20" s="414"/>
      <c r="IWG20" s="414"/>
      <c r="IWH20" s="414"/>
      <c r="IWI20" s="414"/>
      <c r="IWJ20" s="414"/>
      <c r="IWK20" s="414"/>
      <c r="IWL20" s="414"/>
      <c r="IWM20" s="414"/>
      <c r="IWN20" s="414"/>
      <c r="IWO20" s="414"/>
      <c r="IWP20" s="414"/>
      <c r="IWQ20" s="414"/>
      <c r="IWR20" s="414"/>
      <c r="IWS20" s="414"/>
      <c r="IWT20" s="414"/>
      <c r="IWU20" s="414"/>
      <c r="IWV20" s="414"/>
      <c r="IWW20" s="414"/>
      <c r="IWX20" s="414"/>
      <c r="IWY20" s="414"/>
      <c r="IWZ20" s="414"/>
      <c r="IXA20" s="414"/>
      <c r="IXB20" s="414"/>
      <c r="IXC20" s="414"/>
      <c r="IXD20" s="414"/>
      <c r="IXE20" s="414"/>
      <c r="IXF20" s="414"/>
      <c r="IXG20" s="414"/>
      <c r="IXH20" s="414"/>
      <c r="IXI20" s="414"/>
      <c r="IXJ20" s="414"/>
      <c r="IXK20" s="414"/>
      <c r="IXL20" s="414"/>
      <c r="IXM20" s="414"/>
      <c r="IXN20" s="414"/>
      <c r="IXO20" s="414"/>
      <c r="IXP20" s="414"/>
      <c r="IXQ20" s="414"/>
      <c r="IXR20" s="414"/>
      <c r="IXS20" s="414"/>
      <c r="IXT20" s="414"/>
      <c r="IXU20" s="414"/>
      <c r="IXV20" s="414"/>
      <c r="IXW20" s="414"/>
      <c r="IXX20" s="414"/>
      <c r="IXY20" s="414"/>
      <c r="IXZ20" s="414"/>
      <c r="IYA20" s="414"/>
      <c r="IYB20" s="414"/>
      <c r="IYC20" s="414"/>
      <c r="IYD20" s="414"/>
      <c r="IYE20" s="414"/>
      <c r="IYF20" s="414"/>
      <c r="IYG20" s="414"/>
      <c r="IYH20" s="414"/>
      <c r="IYI20" s="414"/>
      <c r="IYJ20" s="414"/>
      <c r="IYK20" s="414"/>
      <c r="IYL20" s="414"/>
      <c r="IYM20" s="414"/>
      <c r="IYN20" s="414"/>
      <c r="IYO20" s="414"/>
      <c r="IYP20" s="414"/>
      <c r="IYQ20" s="414"/>
      <c r="IYR20" s="414"/>
      <c r="IYS20" s="414"/>
      <c r="IYT20" s="414"/>
      <c r="IYU20" s="414"/>
      <c r="IYV20" s="414"/>
      <c r="IYW20" s="414"/>
      <c r="IYX20" s="414"/>
      <c r="IYY20" s="414"/>
      <c r="IYZ20" s="414"/>
      <c r="IZA20" s="414"/>
      <c r="IZB20" s="414"/>
      <c r="IZC20" s="414"/>
      <c r="IZD20" s="414"/>
      <c r="IZE20" s="414"/>
      <c r="IZF20" s="414"/>
      <c r="IZG20" s="414"/>
      <c r="IZH20" s="414"/>
      <c r="IZI20" s="414"/>
      <c r="IZJ20" s="414"/>
      <c r="IZK20" s="414"/>
      <c r="IZL20" s="414"/>
      <c r="IZM20" s="414"/>
      <c r="IZN20" s="414"/>
      <c r="IZO20" s="414"/>
      <c r="IZP20" s="414"/>
      <c r="IZQ20" s="414"/>
      <c r="IZR20" s="414"/>
      <c r="IZS20" s="414"/>
      <c r="IZT20" s="414"/>
      <c r="IZU20" s="414"/>
      <c r="IZV20" s="414"/>
      <c r="IZW20" s="414"/>
      <c r="IZX20" s="414"/>
      <c r="IZY20" s="414"/>
      <c r="IZZ20" s="414"/>
      <c r="JAA20" s="414"/>
      <c r="JAB20" s="414"/>
      <c r="JAC20" s="414"/>
      <c r="JAD20" s="414"/>
      <c r="JAE20" s="414"/>
      <c r="JAF20" s="414"/>
      <c r="JAG20" s="414"/>
      <c r="JAH20" s="414"/>
      <c r="JAI20" s="414"/>
      <c r="JAJ20" s="414"/>
      <c r="JAK20" s="414"/>
      <c r="JAL20" s="414"/>
      <c r="JAM20" s="414"/>
      <c r="JAN20" s="414"/>
      <c r="JAO20" s="414"/>
      <c r="JAP20" s="414"/>
      <c r="JAQ20" s="414"/>
      <c r="JAR20" s="414"/>
      <c r="JAS20" s="414"/>
      <c r="JAT20" s="414"/>
      <c r="JAU20" s="414"/>
      <c r="JAV20" s="414"/>
      <c r="JAW20" s="414"/>
      <c r="JAX20" s="414"/>
      <c r="JAY20" s="414"/>
      <c r="JAZ20" s="414"/>
      <c r="JBA20" s="414"/>
      <c r="JBB20" s="414"/>
      <c r="JBC20" s="414"/>
      <c r="JBD20" s="414"/>
      <c r="JBE20" s="414"/>
      <c r="JBF20" s="414"/>
      <c r="JBG20" s="414"/>
      <c r="JBH20" s="414"/>
      <c r="JBI20" s="414"/>
      <c r="JBJ20" s="414"/>
      <c r="JBK20" s="414"/>
      <c r="JBL20" s="414"/>
      <c r="JBM20" s="414"/>
      <c r="JBN20" s="414"/>
      <c r="JBO20" s="414"/>
      <c r="JBP20" s="414"/>
      <c r="JBQ20" s="414"/>
      <c r="JBR20" s="414"/>
      <c r="JBS20" s="414"/>
      <c r="JBT20" s="414"/>
      <c r="JBU20" s="414"/>
      <c r="JBV20" s="414"/>
      <c r="JBW20" s="414"/>
      <c r="JBX20" s="414"/>
      <c r="JBY20" s="414"/>
      <c r="JBZ20" s="414"/>
      <c r="JCA20" s="414"/>
      <c r="JCB20" s="414"/>
      <c r="JCC20" s="414"/>
      <c r="JCD20" s="414"/>
      <c r="JCE20" s="414"/>
      <c r="JCF20" s="414"/>
      <c r="JCG20" s="414"/>
      <c r="JCH20" s="414"/>
      <c r="JCI20" s="414"/>
      <c r="JCJ20" s="414"/>
      <c r="JCK20" s="414"/>
      <c r="JCL20" s="414"/>
      <c r="JCM20" s="414"/>
      <c r="JCN20" s="414"/>
      <c r="JCO20" s="414"/>
      <c r="JCP20" s="414"/>
      <c r="JCQ20" s="414"/>
      <c r="JCR20" s="414"/>
      <c r="JCS20" s="414"/>
      <c r="JCT20" s="414"/>
      <c r="JCU20" s="414"/>
      <c r="JCV20" s="414"/>
      <c r="JCW20" s="414"/>
      <c r="JCX20" s="414"/>
      <c r="JCY20" s="414"/>
      <c r="JCZ20" s="414"/>
      <c r="JDA20" s="414"/>
      <c r="JDB20" s="414"/>
      <c r="JDC20" s="414"/>
      <c r="JDD20" s="414"/>
      <c r="JDE20" s="414"/>
      <c r="JDF20" s="414"/>
      <c r="JDG20" s="414"/>
      <c r="JDH20" s="414"/>
      <c r="JDI20" s="414"/>
      <c r="JDJ20" s="414"/>
      <c r="JDK20" s="414"/>
      <c r="JDL20" s="414"/>
      <c r="JDM20" s="414"/>
      <c r="JDN20" s="414"/>
      <c r="JDO20" s="414"/>
      <c r="JDP20" s="414"/>
      <c r="JDQ20" s="414"/>
      <c r="JDR20" s="414"/>
      <c r="JDS20" s="414"/>
      <c r="JDT20" s="414"/>
      <c r="JDU20" s="414"/>
      <c r="JDV20" s="414"/>
      <c r="JDW20" s="414"/>
      <c r="JDX20" s="414"/>
      <c r="JDY20" s="414"/>
      <c r="JDZ20" s="414"/>
      <c r="JEA20" s="414"/>
      <c r="JEB20" s="414"/>
      <c r="JEC20" s="414"/>
      <c r="JED20" s="414"/>
      <c r="JEE20" s="414"/>
      <c r="JEF20" s="414"/>
      <c r="JEG20" s="414"/>
      <c r="JEH20" s="414"/>
      <c r="JEI20" s="414"/>
      <c r="JEJ20" s="414"/>
      <c r="JEK20" s="414"/>
      <c r="JEL20" s="414"/>
      <c r="JEM20" s="414"/>
      <c r="JEN20" s="414"/>
      <c r="JEO20" s="414"/>
      <c r="JEP20" s="414"/>
      <c r="JEQ20" s="414"/>
      <c r="JER20" s="414"/>
      <c r="JES20" s="414"/>
      <c r="JET20" s="414"/>
      <c r="JEU20" s="414"/>
      <c r="JEV20" s="414"/>
      <c r="JEW20" s="414"/>
      <c r="JEX20" s="414"/>
      <c r="JEY20" s="414"/>
      <c r="JEZ20" s="414"/>
      <c r="JFA20" s="414"/>
      <c r="JFB20" s="414"/>
      <c r="JFC20" s="414"/>
      <c r="JFD20" s="414"/>
      <c r="JFE20" s="414"/>
      <c r="JFF20" s="414"/>
      <c r="JFG20" s="414"/>
      <c r="JFH20" s="414"/>
      <c r="JFI20" s="414"/>
      <c r="JFJ20" s="414"/>
      <c r="JFK20" s="414"/>
      <c r="JFL20" s="414"/>
      <c r="JFM20" s="414"/>
      <c r="JFN20" s="414"/>
      <c r="JFO20" s="414"/>
      <c r="JFP20" s="414"/>
      <c r="JFQ20" s="414"/>
      <c r="JFR20" s="414"/>
      <c r="JFS20" s="414"/>
      <c r="JFT20" s="414"/>
      <c r="JFU20" s="414"/>
      <c r="JFV20" s="414"/>
      <c r="JFW20" s="414"/>
      <c r="JFX20" s="414"/>
      <c r="JFY20" s="414"/>
      <c r="JFZ20" s="414"/>
      <c r="JGA20" s="414"/>
      <c r="JGB20" s="414"/>
      <c r="JGC20" s="414"/>
      <c r="JGD20" s="414"/>
      <c r="JGE20" s="414"/>
      <c r="JGF20" s="414"/>
      <c r="JGG20" s="414"/>
      <c r="JGH20" s="414"/>
      <c r="JGI20" s="414"/>
      <c r="JGJ20" s="414"/>
      <c r="JGK20" s="414"/>
      <c r="JGL20" s="414"/>
      <c r="JGM20" s="414"/>
      <c r="JGN20" s="414"/>
      <c r="JGO20" s="414"/>
      <c r="JGP20" s="414"/>
      <c r="JGQ20" s="414"/>
      <c r="JGR20" s="414"/>
      <c r="JGS20" s="414"/>
      <c r="JGT20" s="414"/>
      <c r="JGU20" s="414"/>
      <c r="JGV20" s="414"/>
      <c r="JGW20" s="414"/>
      <c r="JGX20" s="414"/>
      <c r="JGY20" s="414"/>
      <c r="JGZ20" s="414"/>
      <c r="JHA20" s="414"/>
      <c r="JHB20" s="414"/>
      <c r="JHC20" s="414"/>
      <c r="JHD20" s="414"/>
      <c r="JHE20" s="414"/>
      <c r="JHF20" s="414"/>
      <c r="JHG20" s="414"/>
      <c r="JHH20" s="414"/>
      <c r="JHI20" s="414"/>
      <c r="JHJ20" s="414"/>
      <c r="JHK20" s="414"/>
      <c r="JHL20" s="414"/>
      <c r="JHM20" s="414"/>
      <c r="JHN20" s="414"/>
      <c r="JHO20" s="414"/>
      <c r="JHP20" s="414"/>
      <c r="JHQ20" s="414"/>
      <c r="JHR20" s="414"/>
      <c r="JHS20" s="414"/>
      <c r="JHT20" s="414"/>
      <c r="JHU20" s="414"/>
      <c r="JHV20" s="414"/>
      <c r="JHW20" s="414"/>
      <c r="JHX20" s="414"/>
      <c r="JHY20" s="414"/>
      <c r="JHZ20" s="414"/>
      <c r="JIA20" s="414"/>
      <c r="JIB20" s="414"/>
      <c r="JIC20" s="414"/>
      <c r="JID20" s="414"/>
      <c r="JIE20" s="414"/>
      <c r="JIF20" s="414"/>
      <c r="JIG20" s="414"/>
      <c r="JIH20" s="414"/>
      <c r="JII20" s="414"/>
      <c r="JIJ20" s="414"/>
      <c r="JIK20" s="414"/>
      <c r="JIL20" s="414"/>
      <c r="JIM20" s="414"/>
      <c r="JIN20" s="414"/>
      <c r="JIO20" s="414"/>
      <c r="JIP20" s="414"/>
      <c r="JIQ20" s="414"/>
      <c r="JIR20" s="414"/>
      <c r="JIS20" s="414"/>
      <c r="JIT20" s="414"/>
      <c r="JIU20" s="414"/>
      <c r="JIV20" s="414"/>
      <c r="JIW20" s="414"/>
      <c r="JIX20" s="414"/>
      <c r="JIY20" s="414"/>
      <c r="JIZ20" s="414"/>
      <c r="JJA20" s="414"/>
      <c r="JJB20" s="414"/>
      <c r="JJC20" s="414"/>
      <c r="JJD20" s="414"/>
      <c r="JJE20" s="414"/>
      <c r="JJF20" s="414"/>
      <c r="JJG20" s="414"/>
      <c r="JJH20" s="414"/>
      <c r="JJI20" s="414"/>
      <c r="JJJ20" s="414"/>
      <c r="JJK20" s="414"/>
      <c r="JJL20" s="414"/>
      <c r="JJM20" s="414"/>
      <c r="JJN20" s="414"/>
      <c r="JJO20" s="414"/>
      <c r="JJP20" s="414"/>
      <c r="JJQ20" s="414"/>
      <c r="JJR20" s="414"/>
      <c r="JJS20" s="414"/>
      <c r="JJT20" s="414"/>
      <c r="JJU20" s="414"/>
      <c r="JJV20" s="414"/>
      <c r="JJW20" s="414"/>
      <c r="JJX20" s="414"/>
      <c r="JJY20" s="414"/>
      <c r="JJZ20" s="414"/>
      <c r="JKA20" s="414"/>
      <c r="JKB20" s="414"/>
      <c r="JKC20" s="414"/>
      <c r="JKD20" s="414"/>
      <c r="JKE20" s="414"/>
      <c r="JKF20" s="414"/>
      <c r="JKG20" s="414"/>
      <c r="JKH20" s="414"/>
      <c r="JKI20" s="414"/>
      <c r="JKJ20" s="414"/>
      <c r="JKK20" s="414"/>
      <c r="JKL20" s="414"/>
      <c r="JKM20" s="414"/>
      <c r="JKN20" s="414"/>
      <c r="JKO20" s="414"/>
      <c r="JKP20" s="414"/>
      <c r="JKQ20" s="414"/>
      <c r="JKR20" s="414"/>
      <c r="JKS20" s="414"/>
      <c r="JKT20" s="414"/>
      <c r="JKU20" s="414"/>
      <c r="JKV20" s="414"/>
      <c r="JKW20" s="414"/>
      <c r="JKX20" s="414"/>
      <c r="JKY20" s="414"/>
      <c r="JKZ20" s="414"/>
      <c r="JLA20" s="414"/>
      <c r="JLB20" s="414"/>
      <c r="JLC20" s="414"/>
      <c r="JLD20" s="414"/>
      <c r="JLE20" s="414"/>
      <c r="JLF20" s="414"/>
      <c r="JLG20" s="414"/>
      <c r="JLH20" s="414"/>
      <c r="JLI20" s="414"/>
      <c r="JLJ20" s="414"/>
      <c r="JLK20" s="414"/>
      <c r="JLL20" s="414"/>
      <c r="JLM20" s="414"/>
      <c r="JLN20" s="414"/>
      <c r="JLO20" s="414"/>
      <c r="JLP20" s="414"/>
      <c r="JLQ20" s="414"/>
      <c r="JLR20" s="414"/>
      <c r="JLS20" s="414"/>
      <c r="JLT20" s="414"/>
      <c r="JLU20" s="414"/>
      <c r="JLV20" s="414"/>
      <c r="JLW20" s="414"/>
      <c r="JLX20" s="414"/>
      <c r="JLY20" s="414"/>
      <c r="JLZ20" s="414"/>
      <c r="JMA20" s="414"/>
      <c r="JMB20" s="414"/>
      <c r="JMC20" s="414"/>
      <c r="JMD20" s="414"/>
      <c r="JME20" s="414"/>
      <c r="JMF20" s="414"/>
      <c r="JMG20" s="414"/>
      <c r="JMH20" s="414"/>
      <c r="JMI20" s="414"/>
      <c r="JMJ20" s="414"/>
      <c r="JMK20" s="414"/>
      <c r="JML20" s="414"/>
      <c r="JMM20" s="414"/>
      <c r="JMN20" s="414"/>
      <c r="JMO20" s="414"/>
      <c r="JMP20" s="414"/>
      <c r="JMQ20" s="414"/>
      <c r="JMR20" s="414"/>
      <c r="JMS20" s="414"/>
      <c r="JMT20" s="414"/>
      <c r="JMU20" s="414"/>
      <c r="JMV20" s="414"/>
      <c r="JMW20" s="414"/>
      <c r="JMX20" s="414"/>
      <c r="JMY20" s="414"/>
      <c r="JMZ20" s="414"/>
      <c r="JNA20" s="414"/>
      <c r="JNB20" s="414"/>
      <c r="JNC20" s="414"/>
      <c r="JND20" s="414"/>
      <c r="JNE20" s="414"/>
      <c r="JNF20" s="414"/>
      <c r="JNG20" s="414"/>
      <c r="JNH20" s="414"/>
      <c r="JNI20" s="414"/>
      <c r="JNJ20" s="414"/>
      <c r="JNK20" s="414"/>
      <c r="JNL20" s="414"/>
      <c r="JNM20" s="414"/>
      <c r="JNN20" s="414"/>
      <c r="JNO20" s="414"/>
      <c r="JNP20" s="414"/>
      <c r="JNQ20" s="414"/>
      <c r="JNR20" s="414"/>
      <c r="JNS20" s="414"/>
      <c r="JNT20" s="414"/>
      <c r="JNU20" s="414"/>
      <c r="JNV20" s="414"/>
      <c r="JNW20" s="414"/>
      <c r="JNX20" s="414"/>
      <c r="JNY20" s="414"/>
      <c r="JNZ20" s="414"/>
      <c r="JOA20" s="414"/>
      <c r="JOB20" s="414"/>
      <c r="JOC20" s="414"/>
      <c r="JOD20" s="414"/>
      <c r="JOE20" s="414"/>
      <c r="JOF20" s="414"/>
      <c r="JOG20" s="414"/>
      <c r="JOH20" s="414"/>
      <c r="JOI20" s="414"/>
      <c r="JOJ20" s="414"/>
      <c r="JOK20" s="414"/>
      <c r="JOL20" s="414"/>
      <c r="JOM20" s="414"/>
      <c r="JON20" s="414"/>
      <c r="JOO20" s="414"/>
      <c r="JOP20" s="414"/>
      <c r="JOQ20" s="414"/>
      <c r="JOR20" s="414"/>
      <c r="JOS20" s="414"/>
      <c r="JOT20" s="414"/>
      <c r="JOU20" s="414"/>
      <c r="JOV20" s="414"/>
      <c r="JOW20" s="414"/>
      <c r="JOX20" s="414"/>
      <c r="JOY20" s="414"/>
      <c r="JOZ20" s="414"/>
      <c r="JPA20" s="414"/>
      <c r="JPB20" s="414"/>
      <c r="JPC20" s="414"/>
      <c r="JPD20" s="414"/>
      <c r="JPE20" s="414"/>
      <c r="JPF20" s="414"/>
      <c r="JPG20" s="414"/>
      <c r="JPH20" s="414"/>
      <c r="JPI20" s="414"/>
      <c r="JPJ20" s="414"/>
      <c r="JPK20" s="414"/>
      <c r="JPL20" s="414"/>
      <c r="JPM20" s="414"/>
      <c r="JPN20" s="414"/>
      <c r="JPO20" s="414"/>
      <c r="JPP20" s="414"/>
      <c r="JPQ20" s="414"/>
      <c r="JPR20" s="414"/>
      <c r="JPS20" s="414"/>
      <c r="JPT20" s="414"/>
      <c r="JPU20" s="414"/>
      <c r="JPV20" s="414"/>
      <c r="JPW20" s="414"/>
      <c r="JPX20" s="414"/>
      <c r="JPY20" s="414"/>
      <c r="JPZ20" s="414"/>
      <c r="JQA20" s="414"/>
      <c r="JQB20" s="414"/>
      <c r="JQC20" s="414"/>
      <c r="JQD20" s="414"/>
      <c r="JQE20" s="414"/>
      <c r="JQF20" s="414"/>
      <c r="JQG20" s="414"/>
      <c r="JQH20" s="414"/>
      <c r="JQI20" s="414"/>
      <c r="JQJ20" s="414"/>
      <c r="JQK20" s="414"/>
      <c r="JQL20" s="414"/>
      <c r="JQM20" s="414"/>
      <c r="JQN20" s="414"/>
      <c r="JQO20" s="414"/>
      <c r="JQP20" s="414"/>
      <c r="JQQ20" s="414"/>
      <c r="JQR20" s="414"/>
      <c r="JQS20" s="414"/>
      <c r="JQT20" s="414"/>
      <c r="JQU20" s="414"/>
      <c r="JQV20" s="414"/>
      <c r="JQW20" s="414"/>
      <c r="JQX20" s="414"/>
      <c r="JQY20" s="414"/>
      <c r="JQZ20" s="414"/>
      <c r="JRA20" s="414"/>
      <c r="JRB20" s="414"/>
      <c r="JRC20" s="414"/>
      <c r="JRD20" s="414"/>
      <c r="JRE20" s="414"/>
      <c r="JRF20" s="414"/>
      <c r="JRG20" s="414"/>
      <c r="JRH20" s="414"/>
      <c r="JRI20" s="414"/>
      <c r="JRJ20" s="414"/>
      <c r="JRK20" s="414"/>
      <c r="JRL20" s="414"/>
      <c r="JRM20" s="414"/>
      <c r="JRN20" s="414"/>
      <c r="JRO20" s="414"/>
      <c r="JRP20" s="414"/>
      <c r="JRQ20" s="414"/>
      <c r="JRR20" s="414"/>
      <c r="JRS20" s="414"/>
      <c r="JRT20" s="414"/>
      <c r="JRU20" s="414"/>
      <c r="JRV20" s="414"/>
      <c r="JRW20" s="414"/>
      <c r="JRX20" s="414"/>
      <c r="JRY20" s="414"/>
      <c r="JRZ20" s="414"/>
      <c r="JSA20" s="414"/>
      <c r="JSB20" s="414"/>
      <c r="JSC20" s="414"/>
      <c r="JSD20" s="414"/>
      <c r="JSE20" s="414"/>
      <c r="JSF20" s="414"/>
      <c r="JSG20" s="414"/>
      <c r="JSH20" s="414"/>
      <c r="JSI20" s="414"/>
      <c r="JSJ20" s="414"/>
      <c r="JSK20" s="414"/>
      <c r="JSL20" s="414"/>
      <c r="JSM20" s="414"/>
      <c r="JSN20" s="414"/>
      <c r="JSO20" s="414"/>
      <c r="JSP20" s="414"/>
      <c r="JSQ20" s="414"/>
      <c r="JSR20" s="414"/>
      <c r="JSS20" s="414"/>
      <c r="JST20" s="414"/>
      <c r="JSU20" s="414"/>
      <c r="JSV20" s="414"/>
      <c r="JSW20" s="414"/>
      <c r="JSX20" s="414"/>
      <c r="JSY20" s="414"/>
      <c r="JSZ20" s="414"/>
      <c r="JTA20" s="414"/>
      <c r="JTB20" s="414"/>
      <c r="JTC20" s="414"/>
      <c r="JTD20" s="414"/>
      <c r="JTE20" s="414"/>
      <c r="JTF20" s="414"/>
      <c r="JTG20" s="414"/>
      <c r="JTH20" s="414"/>
      <c r="JTI20" s="414"/>
      <c r="JTJ20" s="414"/>
      <c r="JTK20" s="414"/>
      <c r="JTL20" s="414"/>
      <c r="JTM20" s="414"/>
      <c r="JTN20" s="414"/>
      <c r="JTO20" s="414"/>
      <c r="JTP20" s="414"/>
      <c r="JTQ20" s="414"/>
      <c r="JTR20" s="414"/>
      <c r="JTS20" s="414"/>
      <c r="JTT20" s="414"/>
      <c r="JTU20" s="414"/>
      <c r="JTV20" s="414"/>
      <c r="JTW20" s="414"/>
      <c r="JTX20" s="414"/>
      <c r="JTY20" s="414"/>
      <c r="JTZ20" s="414"/>
      <c r="JUA20" s="414"/>
      <c r="JUB20" s="414"/>
      <c r="JUC20" s="414"/>
      <c r="JUD20" s="414"/>
      <c r="JUE20" s="414"/>
      <c r="JUF20" s="414"/>
      <c r="JUG20" s="414"/>
      <c r="JUH20" s="414"/>
      <c r="JUI20" s="414"/>
      <c r="JUJ20" s="414"/>
      <c r="JUK20" s="414"/>
      <c r="JUL20" s="414"/>
      <c r="JUM20" s="414"/>
      <c r="JUN20" s="414"/>
      <c r="JUO20" s="414"/>
      <c r="JUP20" s="414"/>
      <c r="JUQ20" s="414"/>
      <c r="JUR20" s="414"/>
      <c r="JUS20" s="414"/>
      <c r="JUT20" s="414"/>
      <c r="JUU20" s="414"/>
      <c r="JUV20" s="414"/>
      <c r="JUW20" s="414"/>
      <c r="JUX20" s="414"/>
      <c r="JUY20" s="414"/>
      <c r="JUZ20" s="414"/>
      <c r="JVA20" s="414"/>
      <c r="JVB20" s="414"/>
      <c r="JVC20" s="414"/>
      <c r="JVD20" s="414"/>
      <c r="JVE20" s="414"/>
      <c r="JVF20" s="414"/>
      <c r="JVG20" s="414"/>
      <c r="JVH20" s="414"/>
      <c r="JVI20" s="414"/>
      <c r="JVJ20" s="414"/>
      <c r="JVK20" s="414"/>
      <c r="JVL20" s="414"/>
      <c r="JVM20" s="414"/>
      <c r="JVN20" s="414"/>
      <c r="JVO20" s="414"/>
      <c r="JVP20" s="414"/>
      <c r="JVQ20" s="414"/>
      <c r="JVR20" s="414"/>
      <c r="JVS20" s="414"/>
      <c r="JVT20" s="414"/>
      <c r="JVU20" s="414"/>
      <c r="JVV20" s="414"/>
      <c r="JVW20" s="414"/>
      <c r="JVX20" s="414"/>
      <c r="JVY20" s="414"/>
      <c r="JVZ20" s="414"/>
      <c r="JWA20" s="414"/>
      <c r="JWB20" s="414"/>
      <c r="JWC20" s="414"/>
      <c r="JWD20" s="414"/>
      <c r="JWE20" s="414"/>
      <c r="JWF20" s="414"/>
      <c r="JWG20" s="414"/>
      <c r="JWH20" s="414"/>
      <c r="JWI20" s="414"/>
      <c r="JWJ20" s="414"/>
      <c r="JWK20" s="414"/>
      <c r="JWL20" s="414"/>
      <c r="JWM20" s="414"/>
      <c r="JWN20" s="414"/>
      <c r="JWO20" s="414"/>
      <c r="JWP20" s="414"/>
      <c r="JWQ20" s="414"/>
      <c r="JWR20" s="414"/>
      <c r="JWS20" s="414"/>
      <c r="JWT20" s="414"/>
      <c r="JWU20" s="414"/>
      <c r="JWV20" s="414"/>
      <c r="JWW20" s="414"/>
      <c r="JWX20" s="414"/>
      <c r="JWY20" s="414"/>
      <c r="JWZ20" s="414"/>
      <c r="JXA20" s="414"/>
      <c r="JXB20" s="414"/>
      <c r="JXC20" s="414"/>
      <c r="JXD20" s="414"/>
      <c r="JXE20" s="414"/>
      <c r="JXF20" s="414"/>
      <c r="JXG20" s="414"/>
      <c r="JXH20" s="414"/>
      <c r="JXI20" s="414"/>
      <c r="JXJ20" s="414"/>
      <c r="JXK20" s="414"/>
      <c r="JXL20" s="414"/>
      <c r="JXM20" s="414"/>
      <c r="JXN20" s="414"/>
      <c r="JXO20" s="414"/>
      <c r="JXP20" s="414"/>
      <c r="JXQ20" s="414"/>
      <c r="JXR20" s="414"/>
      <c r="JXS20" s="414"/>
      <c r="JXT20" s="414"/>
      <c r="JXU20" s="414"/>
      <c r="JXV20" s="414"/>
      <c r="JXW20" s="414"/>
      <c r="JXX20" s="414"/>
      <c r="JXY20" s="414"/>
      <c r="JXZ20" s="414"/>
      <c r="JYA20" s="414"/>
      <c r="JYB20" s="414"/>
      <c r="JYC20" s="414"/>
      <c r="JYD20" s="414"/>
      <c r="JYE20" s="414"/>
      <c r="JYF20" s="414"/>
      <c r="JYG20" s="414"/>
      <c r="JYH20" s="414"/>
      <c r="JYI20" s="414"/>
      <c r="JYJ20" s="414"/>
      <c r="JYK20" s="414"/>
      <c r="JYL20" s="414"/>
      <c r="JYM20" s="414"/>
      <c r="JYN20" s="414"/>
      <c r="JYO20" s="414"/>
      <c r="JYP20" s="414"/>
      <c r="JYQ20" s="414"/>
      <c r="JYR20" s="414"/>
      <c r="JYS20" s="414"/>
      <c r="JYT20" s="414"/>
      <c r="JYU20" s="414"/>
      <c r="JYV20" s="414"/>
      <c r="JYW20" s="414"/>
      <c r="JYX20" s="414"/>
      <c r="JYY20" s="414"/>
      <c r="JYZ20" s="414"/>
      <c r="JZA20" s="414"/>
      <c r="JZB20" s="414"/>
      <c r="JZC20" s="414"/>
      <c r="JZD20" s="414"/>
      <c r="JZE20" s="414"/>
      <c r="JZF20" s="414"/>
      <c r="JZG20" s="414"/>
      <c r="JZH20" s="414"/>
      <c r="JZI20" s="414"/>
      <c r="JZJ20" s="414"/>
      <c r="JZK20" s="414"/>
      <c r="JZL20" s="414"/>
      <c r="JZM20" s="414"/>
      <c r="JZN20" s="414"/>
      <c r="JZO20" s="414"/>
      <c r="JZP20" s="414"/>
      <c r="JZQ20" s="414"/>
      <c r="JZR20" s="414"/>
      <c r="JZS20" s="414"/>
      <c r="JZT20" s="414"/>
      <c r="JZU20" s="414"/>
      <c r="JZV20" s="414"/>
      <c r="JZW20" s="414"/>
      <c r="JZX20" s="414"/>
      <c r="JZY20" s="414"/>
      <c r="JZZ20" s="414"/>
      <c r="KAA20" s="414"/>
      <c r="KAB20" s="414"/>
      <c r="KAC20" s="414"/>
      <c r="KAD20" s="414"/>
      <c r="KAE20" s="414"/>
      <c r="KAF20" s="414"/>
      <c r="KAG20" s="414"/>
      <c r="KAH20" s="414"/>
      <c r="KAI20" s="414"/>
      <c r="KAJ20" s="414"/>
      <c r="KAK20" s="414"/>
      <c r="KAL20" s="414"/>
      <c r="KAM20" s="414"/>
      <c r="KAN20" s="414"/>
      <c r="KAO20" s="414"/>
      <c r="KAP20" s="414"/>
      <c r="KAQ20" s="414"/>
      <c r="KAR20" s="414"/>
      <c r="KAS20" s="414"/>
      <c r="KAT20" s="414"/>
      <c r="KAU20" s="414"/>
      <c r="KAV20" s="414"/>
      <c r="KAW20" s="414"/>
      <c r="KAX20" s="414"/>
      <c r="KAY20" s="414"/>
      <c r="KAZ20" s="414"/>
      <c r="KBA20" s="414"/>
      <c r="KBB20" s="414"/>
      <c r="KBC20" s="414"/>
      <c r="KBD20" s="414"/>
      <c r="KBE20" s="414"/>
      <c r="KBF20" s="414"/>
      <c r="KBG20" s="414"/>
      <c r="KBH20" s="414"/>
      <c r="KBI20" s="414"/>
      <c r="KBJ20" s="414"/>
      <c r="KBK20" s="414"/>
      <c r="KBL20" s="414"/>
      <c r="KBM20" s="414"/>
      <c r="KBN20" s="414"/>
      <c r="KBO20" s="414"/>
      <c r="KBP20" s="414"/>
      <c r="KBQ20" s="414"/>
      <c r="KBR20" s="414"/>
      <c r="KBS20" s="414"/>
      <c r="KBT20" s="414"/>
      <c r="KBU20" s="414"/>
      <c r="KBV20" s="414"/>
      <c r="KBW20" s="414"/>
      <c r="KBX20" s="414"/>
      <c r="KBY20" s="414"/>
      <c r="KBZ20" s="414"/>
      <c r="KCA20" s="414"/>
      <c r="KCB20" s="414"/>
      <c r="KCC20" s="414"/>
      <c r="KCD20" s="414"/>
      <c r="KCE20" s="414"/>
      <c r="KCF20" s="414"/>
      <c r="KCG20" s="414"/>
      <c r="KCH20" s="414"/>
      <c r="KCI20" s="414"/>
      <c r="KCJ20" s="414"/>
      <c r="KCK20" s="414"/>
      <c r="KCL20" s="414"/>
      <c r="KCM20" s="414"/>
      <c r="KCN20" s="414"/>
      <c r="KCO20" s="414"/>
      <c r="KCP20" s="414"/>
      <c r="KCQ20" s="414"/>
      <c r="KCR20" s="414"/>
      <c r="KCS20" s="414"/>
      <c r="KCT20" s="414"/>
      <c r="KCU20" s="414"/>
      <c r="KCV20" s="414"/>
      <c r="KCW20" s="414"/>
      <c r="KCX20" s="414"/>
      <c r="KCY20" s="414"/>
      <c r="KCZ20" s="414"/>
      <c r="KDA20" s="414"/>
      <c r="KDB20" s="414"/>
      <c r="KDC20" s="414"/>
      <c r="KDD20" s="414"/>
      <c r="KDE20" s="414"/>
      <c r="KDF20" s="414"/>
      <c r="KDG20" s="414"/>
      <c r="KDH20" s="414"/>
      <c r="KDI20" s="414"/>
      <c r="KDJ20" s="414"/>
      <c r="KDK20" s="414"/>
      <c r="KDL20" s="414"/>
      <c r="KDM20" s="414"/>
      <c r="KDN20" s="414"/>
      <c r="KDO20" s="414"/>
      <c r="KDP20" s="414"/>
      <c r="KDQ20" s="414"/>
      <c r="KDR20" s="414"/>
      <c r="KDS20" s="414"/>
      <c r="KDT20" s="414"/>
      <c r="KDU20" s="414"/>
      <c r="KDV20" s="414"/>
      <c r="KDW20" s="414"/>
      <c r="KDX20" s="414"/>
      <c r="KDY20" s="414"/>
      <c r="KDZ20" s="414"/>
      <c r="KEA20" s="414"/>
      <c r="KEB20" s="414"/>
      <c r="KEC20" s="414"/>
      <c r="KED20" s="414"/>
      <c r="KEE20" s="414"/>
      <c r="KEF20" s="414"/>
      <c r="KEG20" s="414"/>
      <c r="KEH20" s="414"/>
      <c r="KEI20" s="414"/>
      <c r="KEJ20" s="414"/>
      <c r="KEK20" s="414"/>
      <c r="KEL20" s="414"/>
      <c r="KEM20" s="414"/>
      <c r="KEN20" s="414"/>
      <c r="KEO20" s="414"/>
      <c r="KEP20" s="414"/>
      <c r="KEQ20" s="414"/>
      <c r="KER20" s="414"/>
      <c r="KES20" s="414"/>
      <c r="KET20" s="414"/>
      <c r="KEU20" s="414"/>
      <c r="KEV20" s="414"/>
      <c r="KEW20" s="414"/>
      <c r="KEX20" s="414"/>
      <c r="KEY20" s="414"/>
      <c r="KEZ20" s="414"/>
      <c r="KFA20" s="414"/>
      <c r="KFB20" s="414"/>
      <c r="KFC20" s="414"/>
      <c r="KFD20" s="414"/>
      <c r="KFE20" s="414"/>
      <c r="KFF20" s="414"/>
      <c r="KFG20" s="414"/>
      <c r="KFH20" s="414"/>
      <c r="KFI20" s="414"/>
      <c r="KFJ20" s="414"/>
      <c r="KFK20" s="414"/>
      <c r="KFL20" s="414"/>
      <c r="KFM20" s="414"/>
      <c r="KFN20" s="414"/>
      <c r="KFO20" s="414"/>
      <c r="KFP20" s="414"/>
      <c r="KFQ20" s="414"/>
      <c r="KFR20" s="414"/>
      <c r="KFS20" s="414"/>
      <c r="KFT20" s="414"/>
      <c r="KFU20" s="414"/>
      <c r="KFV20" s="414"/>
      <c r="KFW20" s="414"/>
      <c r="KFX20" s="414"/>
      <c r="KFY20" s="414"/>
      <c r="KFZ20" s="414"/>
      <c r="KGA20" s="414"/>
      <c r="KGB20" s="414"/>
      <c r="KGC20" s="414"/>
      <c r="KGD20" s="414"/>
      <c r="KGE20" s="414"/>
      <c r="KGF20" s="414"/>
      <c r="KGG20" s="414"/>
      <c r="KGH20" s="414"/>
      <c r="KGI20" s="414"/>
      <c r="KGJ20" s="414"/>
      <c r="KGK20" s="414"/>
      <c r="KGL20" s="414"/>
      <c r="KGM20" s="414"/>
      <c r="KGN20" s="414"/>
      <c r="KGO20" s="414"/>
      <c r="KGP20" s="414"/>
      <c r="KGQ20" s="414"/>
      <c r="KGR20" s="414"/>
      <c r="KGS20" s="414"/>
      <c r="KGT20" s="414"/>
      <c r="KGU20" s="414"/>
      <c r="KGV20" s="414"/>
      <c r="KGW20" s="414"/>
      <c r="KGX20" s="414"/>
      <c r="KGY20" s="414"/>
      <c r="KGZ20" s="414"/>
      <c r="KHA20" s="414"/>
      <c r="KHB20" s="414"/>
      <c r="KHC20" s="414"/>
      <c r="KHD20" s="414"/>
      <c r="KHE20" s="414"/>
      <c r="KHF20" s="414"/>
      <c r="KHG20" s="414"/>
      <c r="KHH20" s="414"/>
      <c r="KHI20" s="414"/>
      <c r="KHJ20" s="414"/>
      <c r="KHK20" s="414"/>
      <c r="KHL20" s="414"/>
      <c r="KHM20" s="414"/>
      <c r="KHN20" s="414"/>
      <c r="KHO20" s="414"/>
      <c r="KHP20" s="414"/>
      <c r="KHQ20" s="414"/>
      <c r="KHR20" s="414"/>
      <c r="KHS20" s="414"/>
      <c r="KHT20" s="414"/>
      <c r="KHU20" s="414"/>
      <c r="KHV20" s="414"/>
      <c r="KHW20" s="414"/>
      <c r="KHX20" s="414"/>
      <c r="KHY20" s="414"/>
      <c r="KHZ20" s="414"/>
      <c r="KIA20" s="414"/>
      <c r="KIB20" s="414"/>
      <c r="KIC20" s="414"/>
      <c r="KID20" s="414"/>
      <c r="KIE20" s="414"/>
      <c r="KIF20" s="414"/>
      <c r="KIG20" s="414"/>
      <c r="KIH20" s="414"/>
      <c r="KII20" s="414"/>
      <c r="KIJ20" s="414"/>
      <c r="KIK20" s="414"/>
      <c r="KIL20" s="414"/>
      <c r="KIM20" s="414"/>
      <c r="KIN20" s="414"/>
      <c r="KIO20" s="414"/>
      <c r="KIP20" s="414"/>
      <c r="KIQ20" s="414"/>
      <c r="KIR20" s="414"/>
      <c r="KIS20" s="414"/>
      <c r="KIT20" s="414"/>
      <c r="KIU20" s="414"/>
      <c r="KIV20" s="414"/>
      <c r="KIW20" s="414"/>
      <c r="KIX20" s="414"/>
      <c r="KIY20" s="414"/>
      <c r="KIZ20" s="414"/>
      <c r="KJA20" s="414"/>
      <c r="KJB20" s="414"/>
      <c r="KJC20" s="414"/>
      <c r="KJD20" s="414"/>
      <c r="KJE20" s="414"/>
      <c r="KJF20" s="414"/>
      <c r="KJG20" s="414"/>
      <c r="KJH20" s="414"/>
      <c r="KJI20" s="414"/>
      <c r="KJJ20" s="414"/>
      <c r="KJK20" s="414"/>
      <c r="KJL20" s="414"/>
      <c r="KJM20" s="414"/>
      <c r="KJN20" s="414"/>
      <c r="KJO20" s="414"/>
      <c r="KJP20" s="414"/>
      <c r="KJQ20" s="414"/>
      <c r="KJR20" s="414"/>
      <c r="KJS20" s="414"/>
      <c r="KJT20" s="414"/>
      <c r="KJU20" s="414"/>
      <c r="KJV20" s="414"/>
      <c r="KJW20" s="414"/>
      <c r="KJX20" s="414"/>
      <c r="KJY20" s="414"/>
      <c r="KJZ20" s="414"/>
      <c r="KKA20" s="414"/>
      <c r="KKB20" s="414"/>
      <c r="KKC20" s="414"/>
      <c r="KKD20" s="414"/>
      <c r="KKE20" s="414"/>
      <c r="KKF20" s="414"/>
      <c r="KKG20" s="414"/>
      <c r="KKH20" s="414"/>
      <c r="KKI20" s="414"/>
      <c r="KKJ20" s="414"/>
      <c r="KKK20" s="414"/>
      <c r="KKL20" s="414"/>
      <c r="KKM20" s="414"/>
      <c r="KKN20" s="414"/>
      <c r="KKO20" s="414"/>
      <c r="KKP20" s="414"/>
      <c r="KKQ20" s="414"/>
      <c r="KKR20" s="414"/>
      <c r="KKS20" s="414"/>
      <c r="KKT20" s="414"/>
      <c r="KKU20" s="414"/>
      <c r="KKV20" s="414"/>
      <c r="KKW20" s="414"/>
      <c r="KKX20" s="414"/>
      <c r="KKY20" s="414"/>
      <c r="KKZ20" s="414"/>
      <c r="KLA20" s="414"/>
      <c r="KLB20" s="414"/>
      <c r="KLC20" s="414"/>
      <c r="KLD20" s="414"/>
      <c r="KLE20" s="414"/>
      <c r="KLF20" s="414"/>
      <c r="KLG20" s="414"/>
      <c r="KLH20" s="414"/>
      <c r="KLI20" s="414"/>
      <c r="KLJ20" s="414"/>
      <c r="KLK20" s="414"/>
      <c r="KLL20" s="414"/>
      <c r="KLM20" s="414"/>
      <c r="KLN20" s="414"/>
      <c r="KLO20" s="414"/>
      <c r="KLP20" s="414"/>
      <c r="KLQ20" s="414"/>
      <c r="KLR20" s="414"/>
      <c r="KLS20" s="414"/>
      <c r="KLT20" s="414"/>
      <c r="KLU20" s="414"/>
      <c r="KLV20" s="414"/>
      <c r="KLW20" s="414"/>
      <c r="KLX20" s="414"/>
      <c r="KLY20" s="414"/>
      <c r="KLZ20" s="414"/>
      <c r="KMA20" s="414"/>
      <c r="KMB20" s="414"/>
      <c r="KMC20" s="414"/>
      <c r="KMD20" s="414"/>
      <c r="KME20" s="414"/>
      <c r="KMF20" s="414"/>
      <c r="KMG20" s="414"/>
      <c r="KMH20" s="414"/>
      <c r="KMI20" s="414"/>
      <c r="KMJ20" s="414"/>
      <c r="KMK20" s="414"/>
      <c r="KML20" s="414"/>
      <c r="KMM20" s="414"/>
      <c r="KMN20" s="414"/>
      <c r="KMO20" s="414"/>
      <c r="KMP20" s="414"/>
      <c r="KMQ20" s="414"/>
      <c r="KMR20" s="414"/>
      <c r="KMS20" s="414"/>
      <c r="KMT20" s="414"/>
      <c r="KMU20" s="414"/>
      <c r="KMV20" s="414"/>
      <c r="KMW20" s="414"/>
      <c r="KMX20" s="414"/>
      <c r="KMY20" s="414"/>
      <c r="KMZ20" s="414"/>
      <c r="KNA20" s="414"/>
      <c r="KNB20" s="414"/>
      <c r="KNC20" s="414"/>
      <c r="KND20" s="414"/>
      <c r="KNE20" s="414"/>
      <c r="KNF20" s="414"/>
      <c r="KNG20" s="414"/>
      <c r="KNH20" s="414"/>
      <c r="KNI20" s="414"/>
      <c r="KNJ20" s="414"/>
      <c r="KNK20" s="414"/>
      <c r="KNL20" s="414"/>
      <c r="KNM20" s="414"/>
      <c r="KNN20" s="414"/>
      <c r="KNO20" s="414"/>
      <c r="KNP20" s="414"/>
      <c r="KNQ20" s="414"/>
      <c r="KNR20" s="414"/>
      <c r="KNS20" s="414"/>
      <c r="KNT20" s="414"/>
      <c r="KNU20" s="414"/>
      <c r="KNV20" s="414"/>
      <c r="KNW20" s="414"/>
      <c r="KNX20" s="414"/>
      <c r="KNY20" s="414"/>
      <c r="KNZ20" s="414"/>
      <c r="KOA20" s="414"/>
      <c r="KOB20" s="414"/>
      <c r="KOC20" s="414"/>
      <c r="KOD20" s="414"/>
      <c r="KOE20" s="414"/>
      <c r="KOF20" s="414"/>
      <c r="KOG20" s="414"/>
      <c r="KOH20" s="414"/>
      <c r="KOI20" s="414"/>
      <c r="KOJ20" s="414"/>
      <c r="KOK20" s="414"/>
      <c r="KOL20" s="414"/>
      <c r="KOM20" s="414"/>
      <c r="KON20" s="414"/>
      <c r="KOO20" s="414"/>
      <c r="KOP20" s="414"/>
      <c r="KOQ20" s="414"/>
      <c r="KOR20" s="414"/>
      <c r="KOS20" s="414"/>
      <c r="KOT20" s="414"/>
      <c r="KOU20" s="414"/>
      <c r="KOV20" s="414"/>
      <c r="KOW20" s="414"/>
      <c r="KOX20" s="414"/>
      <c r="KOY20" s="414"/>
      <c r="KOZ20" s="414"/>
      <c r="KPA20" s="414"/>
      <c r="KPB20" s="414"/>
      <c r="KPC20" s="414"/>
      <c r="KPD20" s="414"/>
      <c r="KPE20" s="414"/>
      <c r="KPF20" s="414"/>
      <c r="KPG20" s="414"/>
      <c r="KPH20" s="414"/>
      <c r="KPI20" s="414"/>
      <c r="KPJ20" s="414"/>
      <c r="KPK20" s="414"/>
      <c r="KPL20" s="414"/>
      <c r="KPM20" s="414"/>
      <c r="KPN20" s="414"/>
      <c r="KPO20" s="414"/>
      <c r="KPP20" s="414"/>
      <c r="KPQ20" s="414"/>
      <c r="KPR20" s="414"/>
      <c r="KPS20" s="414"/>
      <c r="KPT20" s="414"/>
      <c r="KPU20" s="414"/>
      <c r="KPV20" s="414"/>
      <c r="KPW20" s="414"/>
      <c r="KPX20" s="414"/>
      <c r="KPY20" s="414"/>
      <c r="KPZ20" s="414"/>
      <c r="KQA20" s="414"/>
      <c r="KQB20" s="414"/>
      <c r="KQC20" s="414"/>
      <c r="KQD20" s="414"/>
      <c r="KQE20" s="414"/>
      <c r="KQF20" s="414"/>
      <c r="KQG20" s="414"/>
      <c r="KQH20" s="414"/>
      <c r="KQI20" s="414"/>
      <c r="KQJ20" s="414"/>
      <c r="KQK20" s="414"/>
      <c r="KQL20" s="414"/>
      <c r="KQM20" s="414"/>
      <c r="KQN20" s="414"/>
      <c r="KQO20" s="414"/>
      <c r="KQP20" s="414"/>
      <c r="KQQ20" s="414"/>
      <c r="KQR20" s="414"/>
      <c r="KQS20" s="414"/>
      <c r="KQT20" s="414"/>
      <c r="KQU20" s="414"/>
      <c r="KQV20" s="414"/>
      <c r="KQW20" s="414"/>
      <c r="KQX20" s="414"/>
      <c r="KQY20" s="414"/>
      <c r="KQZ20" s="414"/>
      <c r="KRA20" s="414"/>
      <c r="KRB20" s="414"/>
      <c r="KRC20" s="414"/>
      <c r="KRD20" s="414"/>
      <c r="KRE20" s="414"/>
      <c r="KRF20" s="414"/>
      <c r="KRG20" s="414"/>
      <c r="KRH20" s="414"/>
      <c r="KRI20" s="414"/>
      <c r="KRJ20" s="414"/>
      <c r="KRK20" s="414"/>
      <c r="KRL20" s="414"/>
      <c r="KRM20" s="414"/>
      <c r="KRN20" s="414"/>
      <c r="KRO20" s="414"/>
      <c r="KRP20" s="414"/>
      <c r="KRQ20" s="414"/>
      <c r="KRR20" s="414"/>
      <c r="KRS20" s="414"/>
      <c r="KRT20" s="414"/>
      <c r="KRU20" s="414"/>
      <c r="KRV20" s="414"/>
      <c r="KRW20" s="414"/>
      <c r="KRX20" s="414"/>
      <c r="KRY20" s="414"/>
      <c r="KRZ20" s="414"/>
      <c r="KSA20" s="414"/>
      <c r="KSB20" s="414"/>
      <c r="KSC20" s="414"/>
      <c r="KSD20" s="414"/>
      <c r="KSE20" s="414"/>
      <c r="KSF20" s="414"/>
      <c r="KSG20" s="414"/>
      <c r="KSH20" s="414"/>
      <c r="KSI20" s="414"/>
      <c r="KSJ20" s="414"/>
      <c r="KSK20" s="414"/>
      <c r="KSL20" s="414"/>
      <c r="KSM20" s="414"/>
      <c r="KSN20" s="414"/>
      <c r="KSO20" s="414"/>
      <c r="KSP20" s="414"/>
      <c r="KSQ20" s="414"/>
      <c r="KSR20" s="414"/>
      <c r="KSS20" s="414"/>
      <c r="KST20" s="414"/>
      <c r="KSU20" s="414"/>
      <c r="KSV20" s="414"/>
      <c r="KSW20" s="414"/>
      <c r="KSX20" s="414"/>
      <c r="KSY20" s="414"/>
      <c r="KSZ20" s="414"/>
      <c r="KTA20" s="414"/>
      <c r="KTB20" s="414"/>
      <c r="KTC20" s="414"/>
      <c r="KTD20" s="414"/>
      <c r="KTE20" s="414"/>
      <c r="KTF20" s="414"/>
      <c r="KTG20" s="414"/>
      <c r="KTH20" s="414"/>
      <c r="KTI20" s="414"/>
      <c r="KTJ20" s="414"/>
      <c r="KTK20" s="414"/>
      <c r="KTL20" s="414"/>
      <c r="KTM20" s="414"/>
      <c r="KTN20" s="414"/>
      <c r="KTO20" s="414"/>
      <c r="KTP20" s="414"/>
      <c r="KTQ20" s="414"/>
      <c r="KTR20" s="414"/>
      <c r="KTS20" s="414"/>
      <c r="KTT20" s="414"/>
      <c r="KTU20" s="414"/>
      <c r="KTV20" s="414"/>
      <c r="KTW20" s="414"/>
      <c r="KTX20" s="414"/>
      <c r="KTY20" s="414"/>
      <c r="KTZ20" s="414"/>
      <c r="KUA20" s="414"/>
      <c r="KUB20" s="414"/>
      <c r="KUC20" s="414"/>
      <c r="KUD20" s="414"/>
      <c r="KUE20" s="414"/>
      <c r="KUF20" s="414"/>
      <c r="KUG20" s="414"/>
      <c r="KUH20" s="414"/>
      <c r="KUI20" s="414"/>
      <c r="KUJ20" s="414"/>
      <c r="KUK20" s="414"/>
      <c r="KUL20" s="414"/>
      <c r="KUM20" s="414"/>
      <c r="KUN20" s="414"/>
      <c r="KUO20" s="414"/>
      <c r="KUP20" s="414"/>
      <c r="KUQ20" s="414"/>
      <c r="KUR20" s="414"/>
      <c r="KUS20" s="414"/>
      <c r="KUT20" s="414"/>
      <c r="KUU20" s="414"/>
      <c r="KUV20" s="414"/>
      <c r="KUW20" s="414"/>
      <c r="KUX20" s="414"/>
      <c r="KUY20" s="414"/>
      <c r="KUZ20" s="414"/>
      <c r="KVA20" s="414"/>
      <c r="KVB20" s="414"/>
      <c r="KVC20" s="414"/>
      <c r="KVD20" s="414"/>
      <c r="KVE20" s="414"/>
      <c r="KVF20" s="414"/>
      <c r="KVG20" s="414"/>
      <c r="KVH20" s="414"/>
      <c r="KVI20" s="414"/>
      <c r="KVJ20" s="414"/>
      <c r="KVK20" s="414"/>
      <c r="KVL20" s="414"/>
      <c r="KVM20" s="414"/>
      <c r="KVN20" s="414"/>
      <c r="KVO20" s="414"/>
      <c r="KVP20" s="414"/>
      <c r="KVQ20" s="414"/>
      <c r="KVR20" s="414"/>
      <c r="KVS20" s="414"/>
      <c r="KVT20" s="414"/>
      <c r="KVU20" s="414"/>
      <c r="KVV20" s="414"/>
      <c r="KVW20" s="414"/>
      <c r="KVX20" s="414"/>
      <c r="KVY20" s="414"/>
      <c r="KVZ20" s="414"/>
      <c r="KWA20" s="414"/>
      <c r="KWB20" s="414"/>
      <c r="KWC20" s="414"/>
      <c r="KWD20" s="414"/>
      <c r="KWE20" s="414"/>
      <c r="KWF20" s="414"/>
      <c r="KWG20" s="414"/>
      <c r="KWH20" s="414"/>
      <c r="KWI20" s="414"/>
      <c r="KWJ20" s="414"/>
      <c r="KWK20" s="414"/>
      <c r="KWL20" s="414"/>
      <c r="KWM20" s="414"/>
      <c r="KWN20" s="414"/>
      <c r="KWO20" s="414"/>
      <c r="KWP20" s="414"/>
      <c r="KWQ20" s="414"/>
      <c r="KWR20" s="414"/>
      <c r="KWS20" s="414"/>
      <c r="KWT20" s="414"/>
      <c r="KWU20" s="414"/>
      <c r="KWV20" s="414"/>
      <c r="KWW20" s="414"/>
      <c r="KWX20" s="414"/>
      <c r="KWY20" s="414"/>
      <c r="KWZ20" s="414"/>
      <c r="KXA20" s="414"/>
      <c r="KXB20" s="414"/>
      <c r="KXC20" s="414"/>
      <c r="KXD20" s="414"/>
      <c r="KXE20" s="414"/>
      <c r="KXF20" s="414"/>
      <c r="KXG20" s="414"/>
      <c r="KXH20" s="414"/>
      <c r="KXI20" s="414"/>
      <c r="KXJ20" s="414"/>
      <c r="KXK20" s="414"/>
      <c r="KXL20" s="414"/>
      <c r="KXM20" s="414"/>
      <c r="KXN20" s="414"/>
      <c r="KXO20" s="414"/>
      <c r="KXP20" s="414"/>
      <c r="KXQ20" s="414"/>
      <c r="KXR20" s="414"/>
      <c r="KXS20" s="414"/>
      <c r="KXT20" s="414"/>
      <c r="KXU20" s="414"/>
      <c r="KXV20" s="414"/>
      <c r="KXW20" s="414"/>
      <c r="KXX20" s="414"/>
      <c r="KXY20" s="414"/>
      <c r="KXZ20" s="414"/>
      <c r="KYA20" s="414"/>
      <c r="KYB20" s="414"/>
      <c r="KYC20" s="414"/>
      <c r="KYD20" s="414"/>
      <c r="KYE20" s="414"/>
      <c r="KYF20" s="414"/>
      <c r="KYG20" s="414"/>
      <c r="KYH20" s="414"/>
      <c r="KYI20" s="414"/>
      <c r="KYJ20" s="414"/>
      <c r="KYK20" s="414"/>
      <c r="KYL20" s="414"/>
      <c r="KYM20" s="414"/>
      <c r="KYN20" s="414"/>
      <c r="KYO20" s="414"/>
      <c r="KYP20" s="414"/>
      <c r="KYQ20" s="414"/>
      <c r="KYR20" s="414"/>
      <c r="KYS20" s="414"/>
      <c r="KYT20" s="414"/>
      <c r="KYU20" s="414"/>
      <c r="KYV20" s="414"/>
      <c r="KYW20" s="414"/>
      <c r="KYX20" s="414"/>
      <c r="KYY20" s="414"/>
      <c r="KYZ20" s="414"/>
      <c r="KZA20" s="414"/>
      <c r="KZB20" s="414"/>
      <c r="KZC20" s="414"/>
      <c r="KZD20" s="414"/>
      <c r="KZE20" s="414"/>
      <c r="KZF20" s="414"/>
      <c r="KZG20" s="414"/>
      <c r="KZH20" s="414"/>
      <c r="KZI20" s="414"/>
      <c r="KZJ20" s="414"/>
      <c r="KZK20" s="414"/>
      <c r="KZL20" s="414"/>
      <c r="KZM20" s="414"/>
      <c r="KZN20" s="414"/>
      <c r="KZO20" s="414"/>
      <c r="KZP20" s="414"/>
      <c r="KZQ20" s="414"/>
      <c r="KZR20" s="414"/>
      <c r="KZS20" s="414"/>
      <c r="KZT20" s="414"/>
      <c r="KZU20" s="414"/>
      <c r="KZV20" s="414"/>
      <c r="KZW20" s="414"/>
      <c r="KZX20" s="414"/>
      <c r="KZY20" s="414"/>
      <c r="KZZ20" s="414"/>
      <c r="LAA20" s="414"/>
      <c r="LAB20" s="414"/>
      <c r="LAC20" s="414"/>
      <c r="LAD20" s="414"/>
      <c r="LAE20" s="414"/>
      <c r="LAF20" s="414"/>
      <c r="LAG20" s="414"/>
      <c r="LAH20" s="414"/>
      <c r="LAI20" s="414"/>
      <c r="LAJ20" s="414"/>
      <c r="LAK20" s="414"/>
      <c r="LAL20" s="414"/>
      <c r="LAM20" s="414"/>
      <c r="LAN20" s="414"/>
      <c r="LAO20" s="414"/>
      <c r="LAP20" s="414"/>
      <c r="LAQ20" s="414"/>
      <c r="LAR20" s="414"/>
      <c r="LAS20" s="414"/>
      <c r="LAT20" s="414"/>
      <c r="LAU20" s="414"/>
      <c r="LAV20" s="414"/>
      <c r="LAW20" s="414"/>
      <c r="LAX20" s="414"/>
      <c r="LAY20" s="414"/>
      <c r="LAZ20" s="414"/>
      <c r="LBA20" s="414"/>
      <c r="LBB20" s="414"/>
      <c r="LBC20" s="414"/>
      <c r="LBD20" s="414"/>
      <c r="LBE20" s="414"/>
      <c r="LBF20" s="414"/>
      <c r="LBG20" s="414"/>
      <c r="LBH20" s="414"/>
      <c r="LBI20" s="414"/>
      <c r="LBJ20" s="414"/>
      <c r="LBK20" s="414"/>
      <c r="LBL20" s="414"/>
      <c r="LBM20" s="414"/>
      <c r="LBN20" s="414"/>
      <c r="LBO20" s="414"/>
      <c r="LBP20" s="414"/>
      <c r="LBQ20" s="414"/>
      <c r="LBR20" s="414"/>
      <c r="LBS20" s="414"/>
      <c r="LBT20" s="414"/>
      <c r="LBU20" s="414"/>
      <c r="LBV20" s="414"/>
      <c r="LBW20" s="414"/>
      <c r="LBX20" s="414"/>
      <c r="LBY20" s="414"/>
      <c r="LBZ20" s="414"/>
      <c r="LCA20" s="414"/>
      <c r="LCB20" s="414"/>
      <c r="LCC20" s="414"/>
      <c r="LCD20" s="414"/>
      <c r="LCE20" s="414"/>
      <c r="LCF20" s="414"/>
      <c r="LCG20" s="414"/>
      <c r="LCH20" s="414"/>
      <c r="LCI20" s="414"/>
      <c r="LCJ20" s="414"/>
      <c r="LCK20" s="414"/>
      <c r="LCL20" s="414"/>
      <c r="LCM20" s="414"/>
      <c r="LCN20" s="414"/>
      <c r="LCO20" s="414"/>
      <c r="LCP20" s="414"/>
      <c r="LCQ20" s="414"/>
      <c r="LCR20" s="414"/>
      <c r="LCS20" s="414"/>
      <c r="LCT20" s="414"/>
      <c r="LCU20" s="414"/>
      <c r="LCV20" s="414"/>
      <c r="LCW20" s="414"/>
      <c r="LCX20" s="414"/>
      <c r="LCY20" s="414"/>
      <c r="LCZ20" s="414"/>
      <c r="LDA20" s="414"/>
      <c r="LDB20" s="414"/>
      <c r="LDC20" s="414"/>
      <c r="LDD20" s="414"/>
      <c r="LDE20" s="414"/>
      <c r="LDF20" s="414"/>
      <c r="LDG20" s="414"/>
      <c r="LDH20" s="414"/>
      <c r="LDI20" s="414"/>
      <c r="LDJ20" s="414"/>
      <c r="LDK20" s="414"/>
      <c r="LDL20" s="414"/>
      <c r="LDM20" s="414"/>
      <c r="LDN20" s="414"/>
      <c r="LDO20" s="414"/>
      <c r="LDP20" s="414"/>
      <c r="LDQ20" s="414"/>
      <c r="LDR20" s="414"/>
      <c r="LDS20" s="414"/>
      <c r="LDT20" s="414"/>
      <c r="LDU20" s="414"/>
      <c r="LDV20" s="414"/>
      <c r="LDW20" s="414"/>
      <c r="LDX20" s="414"/>
      <c r="LDY20" s="414"/>
      <c r="LDZ20" s="414"/>
      <c r="LEA20" s="414"/>
      <c r="LEB20" s="414"/>
      <c r="LEC20" s="414"/>
      <c r="LED20" s="414"/>
      <c r="LEE20" s="414"/>
      <c r="LEF20" s="414"/>
      <c r="LEG20" s="414"/>
      <c r="LEH20" s="414"/>
      <c r="LEI20" s="414"/>
      <c r="LEJ20" s="414"/>
      <c r="LEK20" s="414"/>
      <c r="LEL20" s="414"/>
      <c r="LEM20" s="414"/>
      <c r="LEN20" s="414"/>
      <c r="LEO20" s="414"/>
      <c r="LEP20" s="414"/>
      <c r="LEQ20" s="414"/>
      <c r="LER20" s="414"/>
      <c r="LES20" s="414"/>
      <c r="LET20" s="414"/>
      <c r="LEU20" s="414"/>
      <c r="LEV20" s="414"/>
      <c r="LEW20" s="414"/>
      <c r="LEX20" s="414"/>
      <c r="LEY20" s="414"/>
      <c r="LEZ20" s="414"/>
      <c r="LFA20" s="414"/>
      <c r="LFB20" s="414"/>
      <c r="LFC20" s="414"/>
      <c r="LFD20" s="414"/>
      <c r="LFE20" s="414"/>
      <c r="LFF20" s="414"/>
      <c r="LFG20" s="414"/>
      <c r="LFH20" s="414"/>
      <c r="LFI20" s="414"/>
      <c r="LFJ20" s="414"/>
      <c r="LFK20" s="414"/>
      <c r="LFL20" s="414"/>
      <c r="LFM20" s="414"/>
      <c r="LFN20" s="414"/>
      <c r="LFO20" s="414"/>
      <c r="LFP20" s="414"/>
      <c r="LFQ20" s="414"/>
      <c r="LFR20" s="414"/>
      <c r="LFS20" s="414"/>
      <c r="LFT20" s="414"/>
      <c r="LFU20" s="414"/>
      <c r="LFV20" s="414"/>
      <c r="LFW20" s="414"/>
      <c r="LFX20" s="414"/>
      <c r="LFY20" s="414"/>
      <c r="LFZ20" s="414"/>
      <c r="LGA20" s="414"/>
      <c r="LGB20" s="414"/>
      <c r="LGC20" s="414"/>
      <c r="LGD20" s="414"/>
      <c r="LGE20" s="414"/>
      <c r="LGF20" s="414"/>
      <c r="LGG20" s="414"/>
      <c r="LGH20" s="414"/>
      <c r="LGI20" s="414"/>
      <c r="LGJ20" s="414"/>
      <c r="LGK20" s="414"/>
      <c r="LGL20" s="414"/>
      <c r="LGM20" s="414"/>
      <c r="LGN20" s="414"/>
      <c r="LGO20" s="414"/>
      <c r="LGP20" s="414"/>
      <c r="LGQ20" s="414"/>
      <c r="LGR20" s="414"/>
      <c r="LGS20" s="414"/>
      <c r="LGT20" s="414"/>
      <c r="LGU20" s="414"/>
      <c r="LGV20" s="414"/>
      <c r="LGW20" s="414"/>
      <c r="LGX20" s="414"/>
      <c r="LGY20" s="414"/>
      <c r="LGZ20" s="414"/>
      <c r="LHA20" s="414"/>
      <c r="LHB20" s="414"/>
      <c r="LHC20" s="414"/>
      <c r="LHD20" s="414"/>
      <c r="LHE20" s="414"/>
      <c r="LHF20" s="414"/>
      <c r="LHG20" s="414"/>
      <c r="LHH20" s="414"/>
      <c r="LHI20" s="414"/>
      <c r="LHJ20" s="414"/>
      <c r="LHK20" s="414"/>
      <c r="LHL20" s="414"/>
      <c r="LHM20" s="414"/>
      <c r="LHN20" s="414"/>
      <c r="LHO20" s="414"/>
      <c r="LHP20" s="414"/>
      <c r="LHQ20" s="414"/>
      <c r="LHR20" s="414"/>
      <c r="LHS20" s="414"/>
      <c r="LHT20" s="414"/>
      <c r="LHU20" s="414"/>
      <c r="LHV20" s="414"/>
      <c r="LHW20" s="414"/>
      <c r="LHX20" s="414"/>
      <c r="LHY20" s="414"/>
      <c r="LHZ20" s="414"/>
      <c r="LIA20" s="414"/>
      <c r="LIB20" s="414"/>
      <c r="LIC20" s="414"/>
      <c r="LID20" s="414"/>
      <c r="LIE20" s="414"/>
      <c r="LIF20" s="414"/>
      <c r="LIG20" s="414"/>
      <c r="LIH20" s="414"/>
      <c r="LII20" s="414"/>
      <c r="LIJ20" s="414"/>
      <c r="LIK20" s="414"/>
      <c r="LIL20" s="414"/>
      <c r="LIM20" s="414"/>
      <c r="LIN20" s="414"/>
      <c r="LIO20" s="414"/>
      <c r="LIP20" s="414"/>
      <c r="LIQ20" s="414"/>
      <c r="LIR20" s="414"/>
      <c r="LIS20" s="414"/>
      <c r="LIT20" s="414"/>
      <c r="LIU20" s="414"/>
      <c r="LIV20" s="414"/>
      <c r="LIW20" s="414"/>
      <c r="LIX20" s="414"/>
      <c r="LIY20" s="414"/>
      <c r="LIZ20" s="414"/>
      <c r="LJA20" s="414"/>
      <c r="LJB20" s="414"/>
      <c r="LJC20" s="414"/>
      <c r="LJD20" s="414"/>
      <c r="LJE20" s="414"/>
      <c r="LJF20" s="414"/>
      <c r="LJG20" s="414"/>
      <c r="LJH20" s="414"/>
      <c r="LJI20" s="414"/>
      <c r="LJJ20" s="414"/>
      <c r="LJK20" s="414"/>
      <c r="LJL20" s="414"/>
      <c r="LJM20" s="414"/>
      <c r="LJN20" s="414"/>
      <c r="LJO20" s="414"/>
      <c r="LJP20" s="414"/>
      <c r="LJQ20" s="414"/>
      <c r="LJR20" s="414"/>
      <c r="LJS20" s="414"/>
      <c r="LJT20" s="414"/>
      <c r="LJU20" s="414"/>
      <c r="LJV20" s="414"/>
      <c r="LJW20" s="414"/>
      <c r="LJX20" s="414"/>
      <c r="LJY20" s="414"/>
      <c r="LJZ20" s="414"/>
      <c r="LKA20" s="414"/>
      <c r="LKB20" s="414"/>
      <c r="LKC20" s="414"/>
      <c r="LKD20" s="414"/>
      <c r="LKE20" s="414"/>
      <c r="LKF20" s="414"/>
      <c r="LKG20" s="414"/>
      <c r="LKH20" s="414"/>
      <c r="LKI20" s="414"/>
      <c r="LKJ20" s="414"/>
      <c r="LKK20" s="414"/>
      <c r="LKL20" s="414"/>
      <c r="LKM20" s="414"/>
      <c r="LKN20" s="414"/>
      <c r="LKO20" s="414"/>
      <c r="LKP20" s="414"/>
      <c r="LKQ20" s="414"/>
      <c r="LKR20" s="414"/>
      <c r="LKS20" s="414"/>
      <c r="LKT20" s="414"/>
      <c r="LKU20" s="414"/>
      <c r="LKV20" s="414"/>
      <c r="LKW20" s="414"/>
      <c r="LKX20" s="414"/>
      <c r="LKY20" s="414"/>
      <c r="LKZ20" s="414"/>
      <c r="LLA20" s="414"/>
      <c r="LLB20" s="414"/>
      <c r="LLC20" s="414"/>
      <c r="LLD20" s="414"/>
      <c r="LLE20" s="414"/>
      <c r="LLF20" s="414"/>
      <c r="LLG20" s="414"/>
      <c r="LLH20" s="414"/>
      <c r="LLI20" s="414"/>
      <c r="LLJ20" s="414"/>
      <c r="LLK20" s="414"/>
      <c r="LLL20" s="414"/>
      <c r="LLM20" s="414"/>
      <c r="LLN20" s="414"/>
      <c r="LLO20" s="414"/>
      <c r="LLP20" s="414"/>
      <c r="LLQ20" s="414"/>
      <c r="LLR20" s="414"/>
      <c r="LLS20" s="414"/>
      <c r="LLT20" s="414"/>
      <c r="LLU20" s="414"/>
      <c r="LLV20" s="414"/>
      <c r="LLW20" s="414"/>
      <c r="LLX20" s="414"/>
      <c r="LLY20" s="414"/>
      <c r="LLZ20" s="414"/>
      <c r="LMA20" s="414"/>
      <c r="LMB20" s="414"/>
      <c r="LMC20" s="414"/>
      <c r="LMD20" s="414"/>
      <c r="LME20" s="414"/>
      <c r="LMF20" s="414"/>
      <c r="LMG20" s="414"/>
      <c r="LMH20" s="414"/>
      <c r="LMI20" s="414"/>
      <c r="LMJ20" s="414"/>
      <c r="LMK20" s="414"/>
      <c r="LML20" s="414"/>
      <c r="LMM20" s="414"/>
      <c r="LMN20" s="414"/>
      <c r="LMO20" s="414"/>
      <c r="LMP20" s="414"/>
      <c r="LMQ20" s="414"/>
      <c r="LMR20" s="414"/>
      <c r="LMS20" s="414"/>
      <c r="LMT20" s="414"/>
      <c r="LMU20" s="414"/>
      <c r="LMV20" s="414"/>
      <c r="LMW20" s="414"/>
      <c r="LMX20" s="414"/>
      <c r="LMY20" s="414"/>
      <c r="LMZ20" s="414"/>
      <c r="LNA20" s="414"/>
      <c r="LNB20" s="414"/>
      <c r="LNC20" s="414"/>
      <c r="LND20" s="414"/>
      <c r="LNE20" s="414"/>
      <c r="LNF20" s="414"/>
      <c r="LNG20" s="414"/>
      <c r="LNH20" s="414"/>
      <c r="LNI20" s="414"/>
      <c r="LNJ20" s="414"/>
      <c r="LNK20" s="414"/>
      <c r="LNL20" s="414"/>
      <c r="LNM20" s="414"/>
      <c r="LNN20" s="414"/>
      <c r="LNO20" s="414"/>
      <c r="LNP20" s="414"/>
      <c r="LNQ20" s="414"/>
      <c r="LNR20" s="414"/>
      <c r="LNS20" s="414"/>
      <c r="LNT20" s="414"/>
      <c r="LNU20" s="414"/>
      <c r="LNV20" s="414"/>
      <c r="LNW20" s="414"/>
      <c r="LNX20" s="414"/>
      <c r="LNY20" s="414"/>
      <c r="LNZ20" s="414"/>
      <c r="LOA20" s="414"/>
      <c r="LOB20" s="414"/>
      <c r="LOC20" s="414"/>
      <c r="LOD20" s="414"/>
      <c r="LOE20" s="414"/>
      <c r="LOF20" s="414"/>
      <c r="LOG20" s="414"/>
      <c r="LOH20" s="414"/>
      <c r="LOI20" s="414"/>
      <c r="LOJ20" s="414"/>
      <c r="LOK20" s="414"/>
      <c r="LOL20" s="414"/>
      <c r="LOM20" s="414"/>
      <c r="LON20" s="414"/>
      <c r="LOO20" s="414"/>
      <c r="LOP20" s="414"/>
      <c r="LOQ20" s="414"/>
      <c r="LOR20" s="414"/>
      <c r="LOS20" s="414"/>
      <c r="LOT20" s="414"/>
      <c r="LOU20" s="414"/>
      <c r="LOV20" s="414"/>
      <c r="LOW20" s="414"/>
      <c r="LOX20" s="414"/>
      <c r="LOY20" s="414"/>
      <c r="LOZ20" s="414"/>
      <c r="LPA20" s="414"/>
      <c r="LPB20" s="414"/>
      <c r="LPC20" s="414"/>
      <c r="LPD20" s="414"/>
      <c r="LPE20" s="414"/>
      <c r="LPF20" s="414"/>
      <c r="LPG20" s="414"/>
      <c r="LPH20" s="414"/>
      <c r="LPI20" s="414"/>
      <c r="LPJ20" s="414"/>
      <c r="LPK20" s="414"/>
      <c r="LPL20" s="414"/>
      <c r="LPM20" s="414"/>
      <c r="LPN20" s="414"/>
      <c r="LPO20" s="414"/>
      <c r="LPP20" s="414"/>
      <c r="LPQ20" s="414"/>
      <c r="LPR20" s="414"/>
      <c r="LPS20" s="414"/>
      <c r="LPT20" s="414"/>
      <c r="LPU20" s="414"/>
      <c r="LPV20" s="414"/>
      <c r="LPW20" s="414"/>
      <c r="LPX20" s="414"/>
      <c r="LPY20" s="414"/>
      <c r="LPZ20" s="414"/>
      <c r="LQA20" s="414"/>
      <c r="LQB20" s="414"/>
      <c r="LQC20" s="414"/>
      <c r="LQD20" s="414"/>
      <c r="LQE20" s="414"/>
      <c r="LQF20" s="414"/>
      <c r="LQG20" s="414"/>
      <c r="LQH20" s="414"/>
      <c r="LQI20" s="414"/>
      <c r="LQJ20" s="414"/>
      <c r="LQK20" s="414"/>
      <c r="LQL20" s="414"/>
      <c r="LQM20" s="414"/>
      <c r="LQN20" s="414"/>
      <c r="LQO20" s="414"/>
      <c r="LQP20" s="414"/>
      <c r="LQQ20" s="414"/>
      <c r="LQR20" s="414"/>
      <c r="LQS20" s="414"/>
      <c r="LQT20" s="414"/>
      <c r="LQU20" s="414"/>
      <c r="LQV20" s="414"/>
      <c r="LQW20" s="414"/>
      <c r="LQX20" s="414"/>
      <c r="LQY20" s="414"/>
      <c r="LQZ20" s="414"/>
      <c r="LRA20" s="414"/>
      <c r="LRB20" s="414"/>
      <c r="LRC20" s="414"/>
      <c r="LRD20" s="414"/>
      <c r="LRE20" s="414"/>
      <c r="LRF20" s="414"/>
      <c r="LRG20" s="414"/>
      <c r="LRH20" s="414"/>
      <c r="LRI20" s="414"/>
      <c r="LRJ20" s="414"/>
      <c r="LRK20" s="414"/>
      <c r="LRL20" s="414"/>
      <c r="LRM20" s="414"/>
      <c r="LRN20" s="414"/>
      <c r="LRO20" s="414"/>
      <c r="LRP20" s="414"/>
      <c r="LRQ20" s="414"/>
      <c r="LRR20" s="414"/>
      <c r="LRS20" s="414"/>
      <c r="LRT20" s="414"/>
      <c r="LRU20" s="414"/>
      <c r="LRV20" s="414"/>
      <c r="LRW20" s="414"/>
      <c r="LRX20" s="414"/>
      <c r="LRY20" s="414"/>
      <c r="LRZ20" s="414"/>
      <c r="LSA20" s="414"/>
      <c r="LSB20" s="414"/>
      <c r="LSC20" s="414"/>
      <c r="LSD20" s="414"/>
      <c r="LSE20" s="414"/>
      <c r="LSF20" s="414"/>
      <c r="LSG20" s="414"/>
      <c r="LSH20" s="414"/>
      <c r="LSI20" s="414"/>
      <c r="LSJ20" s="414"/>
      <c r="LSK20" s="414"/>
      <c r="LSL20" s="414"/>
      <c r="LSM20" s="414"/>
      <c r="LSN20" s="414"/>
      <c r="LSO20" s="414"/>
      <c r="LSP20" s="414"/>
      <c r="LSQ20" s="414"/>
      <c r="LSR20" s="414"/>
      <c r="LSS20" s="414"/>
      <c r="LST20" s="414"/>
      <c r="LSU20" s="414"/>
      <c r="LSV20" s="414"/>
      <c r="LSW20" s="414"/>
      <c r="LSX20" s="414"/>
      <c r="LSY20" s="414"/>
      <c r="LSZ20" s="414"/>
      <c r="LTA20" s="414"/>
      <c r="LTB20" s="414"/>
      <c r="LTC20" s="414"/>
      <c r="LTD20" s="414"/>
      <c r="LTE20" s="414"/>
      <c r="LTF20" s="414"/>
      <c r="LTG20" s="414"/>
      <c r="LTH20" s="414"/>
      <c r="LTI20" s="414"/>
      <c r="LTJ20" s="414"/>
      <c r="LTK20" s="414"/>
      <c r="LTL20" s="414"/>
      <c r="LTM20" s="414"/>
      <c r="LTN20" s="414"/>
      <c r="LTO20" s="414"/>
      <c r="LTP20" s="414"/>
      <c r="LTQ20" s="414"/>
      <c r="LTR20" s="414"/>
      <c r="LTS20" s="414"/>
      <c r="LTT20" s="414"/>
      <c r="LTU20" s="414"/>
      <c r="LTV20" s="414"/>
      <c r="LTW20" s="414"/>
      <c r="LTX20" s="414"/>
      <c r="LTY20" s="414"/>
      <c r="LTZ20" s="414"/>
      <c r="LUA20" s="414"/>
      <c r="LUB20" s="414"/>
      <c r="LUC20" s="414"/>
      <c r="LUD20" s="414"/>
      <c r="LUE20" s="414"/>
      <c r="LUF20" s="414"/>
      <c r="LUG20" s="414"/>
      <c r="LUH20" s="414"/>
      <c r="LUI20" s="414"/>
      <c r="LUJ20" s="414"/>
      <c r="LUK20" s="414"/>
      <c r="LUL20" s="414"/>
      <c r="LUM20" s="414"/>
      <c r="LUN20" s="414"/>
      <c r="LUO20" s="414"/>
      <c r="LUP20" s="414"/>
      <c r="LUQ20" s="414"/>
      <c r="LUR20" s="414"/>
      <c r="LUS20" s="414"/>
      <c r="LUT20" s="414"/>
      <c r="LUU20" s="414"/>
      <c r="LUV20" s="414"/>
      <c r="LUW20" s="414"/>
      <c r="LUX20" s="414"/>
      <c r="LUY20" s="414"/>
      <c r="LUZ20" s="414"/>
      <c r="LVA20" s="414"/>
      <c r="LVB20" s="414"/>
      <c r="LVC20" s="414"/>
      <c r="LVD20" s="414"/>
      <c r="LVE20" s="414"/>
      <c r="LVF20" s="414"/>
      <c r="LVG20" s="414"/>
      <c r="LVH20" s="414"/>
      <c r="LVI20" s="414"/>
      <c r="LVJ20" s="414"/>
      <c r="LVK20" s="414"/>
      <c r="LVL20" s="414"/>
      <c r="LVM20" s="414"/>
      <c r="LVN20" s="414"/>
      <c r="LVO20" s="414"/>
      <c r="LVP20" s="414"/>
      <c r="LVQ20" s="414"/>
      <c r="LVR20" s="414"/>
      <c r="LVS20" s="414"/>
      <c r="LVT20" s="414"/>
      <c r="LVU20" s="414"/>
      <c r="LVV20" s="414"/>
      <c r="LVW20" s="414"/>
      <c r="LVX20" s="414"/>
      <c r="LVY20" s="414"/>
      <c r="LVZ20" s="414"/>
      <c r="LWA20" s="414"/>
      <c r="LWB20" s="414"/>
      <c r="LWC20" s="414"/>
      <c r="LWD20" s="414"/>
      <c r="LWE20" s="414"/>
      <c r="LWF20" s="414"/>
      <c r="LWG20" s="414"/>
      <c r="LWH20" s="414"/>
      <c r="LWI20" s="414"/>
      <c r="LWJ20" s="414"/>
      <c r="LWK20" s="414"/>
      <c r="LWL20" s="414"/>
      <c r="LWM20" s="414"/>
      <c r="LWN20" s="414"/>
      <c r="LWO20" s="414"/>
      <c r="LWP20" s="414"/>
      <c r="LWQ20" s="414"/>
      <c r="LWR20" s="414"/>
      <c r="LWS20" s="414"/>
      <c r="LWT20" s="414"/>
      <c r="LWU20" s="414"/>
      <c r="LWV20" s="414"/>
      <c r="LWW20" s="414"/>
      <c r="LWX20" s="414"/>
      <c r="LWY20" s="414"/>
      <c r="LWZ20" s="414"/>
      <c r="LXA20" s="414"/>
      <c r="LXB20" s="414"/>
      <c r="LXC20" s="414"/>
      <c r="LXD20" s="414"/>
      <c r="LXE20" s="414"/>
      <c r="LXF20" s="414"/>
      <c r="LXG20" s="414"/>
      <c r="LXH20" s="414"/>
      <c r="LXI20" s="414"/>
      <c r="LXJ20" s="414"/>
      <c r="LXK20" s="414"/>
      <c r="LXL20" s="414"/>
      <c r="LXM20" s="414"/>
      <c r="LXN20" s="414"/>
      <c r="LXO20" s="414"/>
      <c r="LXP20" s="414"/>
      <c r="LXQ20" s="414"/>
      <c r="LXR20" s="414"/>
      <c r="LXS20" s="414"/>
      <c r="LXT20" s="414"/>
      <c r="LXU20" s="414"/>
      <c r="LXV20" s="414"/>
      <c r="LXW20" s="414"/>
      <c r="LXX20" s="414"/>
      <c r="LXY20" s="414"/>
      <c r="LXZ20" s="414"/>
      <c r="LYA20" s="414"/>
      <c r="LYB20" s="414"/>
      <c r="LYC20" s="414"/>
      <c r="LYD20" s="414"/>
      <c r="LYE20" s="414"/>
      <c r="LYF20" s="414"/>
      <c r="LYG20" s="414"/>
      <c r="LYH20" s="414"/>
      <c r="LYI20" s="414"/>
      <c r="LYJ20" s="414"/>
      <c r="LYK20" s="414"/>
      <c r="LYL20" s="414"/>
      <c r="LYM20" s="414"/>
      <c r="LYN20" s="414"/>
      <c r="LYO20" s="414"/>
      <c r="LYP20" s="414"/>
      <c r="LYQ20" s="414"/>
      <c r="LYR20" s="414"/>
      <c r="LYS20" s="414"/>
      <c r="LYT20" s="414"/>
      <c r="LYU20" s="414"/>
      <c r="LYV20" s="414"/>
      <c r="LYW20" s="414"/>
      <c r="LYX20" s="414"/>
      <c r="LYY20" s="414"/>
      <c r="LYZ20" s="414"/>
      <c r="LZA20" s="414"/>
      <c r="LZB20" s="414"/>
      <c r="LZC20" s="414"/>
      <c r="LZD20" s="414"/>
      <c r="LZE20" s="414"/>
      <c r="LZF20" s="414"/>
      <c r="LZG20" s="414"/>
      <c r="LZH20" s="414"/>
      <c r="LZI20" s="414"/>
      <c r="LZJ20" s="414"/>
      <c r="LZK20" s="414"/>
      <c r="LZL20" s="414"/>
      <c r="LZM20" s="414"/>
      <c r="LZN20" s="414"/>
      <c r="LZO20" s="414"/>
      <c r="LZP20" s="414"/>
      <c r="LZQ20" s="414"/>
      <c r="LZR20" s="414"/>
      <c r="LZS20" s="414"/>
      <c r="LZT20" s="414"/>
      <c r="LZU20" s="414"/>
      <c r="LZV20" s="414"/>
      <c r="LZW20" s="414"/>
      <c r="LZX20" s="414"/>
      <c r="LZY20" s="414"/>
      <c r="LZZ20" s="414"/>
      <c r="MAA20" s="414"/>
      <c r="MAB20" s="414"/>
      <c r="MAC20" s="414"/>
      <c r="MAD20" s="414"/>
      <c r="MAE20" s="414"/>
      <c r="MAF20" s="414"/>
      <c r="MAG20" s="414"/>
      <c r="MAH20" s="414"/>
      <c r="MAI20" s="414"/>
      <c r="MAJ20" s="414"/>
      <c r="MAK20" s="414"/>
      <c r="MAL20" s="414"/>
      <c r="MAM20" s="414"/>
      <c r="MAN20" s="414"/>
      <c r="MAO20" s="414"/>
      <c r="MAP20" s="414"/>
      <c r="MAQ20" s="414"/>
      <c r="MAR20" s="414"/>
      <c r="MAS20" s="414"/>
      <c r="MAT20" s="414"/>
      <c r="MAU20" s="414"/>
      <c r="MAV20" s="414"/>
      <c r="MAW20" s="414"/>
      <c r="MAX20" s="414"/>
      <c r="MAY20" s="414"/>
      <c r="MAZ20" s="414"/>
      <c r="MBA20" s="414"/>
      <c r="MBB20" s="414"/>
      <c r="MBC20" s="414"/>
      <c r="MBD20" s="414"/>
      <c r="MBE20" s="414"/>
      <c r="MBF20" s="414"/>
      <c r="MBG20" s="414"/>
      <c r="MBH20" s="414"/>
      <c r="MBI20" s="414"/>
      <c r="MBJ20" s="414"/>
      <c r="MBK20" s="414"/>
      <c r="MBL20" s="414"/>
      <c r="MBM20" s="414"/>
      <c r="MBN20" s="414"/>
      <c r="MBO20" s="414"/>
      <c r="MBP20" s="414"/>
      <c r="MBQ20" s="414"/>
      <c r="MBR20" s="414"/>
      <c r="MBS20" s="414"/>
      <c r="MBT20" s="414"/>
      <c r="MBU20" s="414"/>
      <c r="MBV20" s="414"/>
      <c r="MBW20" s="414"/>
      <c r="MBX20" s="414"/>
      <c r="MBY20" s="414"/>
      <c r="MBZ20" s="414"/>
      <c r="MCA20" s="414"/>
      <c r="MCB20" s="414"/>
      <c r="MCC20" s="414"/>
      <c r="MCD20" s="414"/>
      <c r="MCE20" s="414"/>
      <c r="MCF20" s="414"/>
      <c r="MCG20" s="414"/>
      <c r="MCH20" s="414"/>
      <c r="MCI20" s="414"/>
      <c r="MCJ20" s="414"/>
      <c r="MCK20" s="414"/>
      <c r="MCL20" s="414"/>
      <c r="MCM20" s="414"/>
      <c r="MCN20" s="414"/>
      <c r="MCO20" s="414"/>
      <c r="MCP20" s="414"/>
      <c r="MCQ20" s="414"/>
      <c r="MCR20" s="414"/>
      <c r="MCS20" s="414"/>
      <c r="MCT20" s="414"/>
      <c r="MCU20" s="414"/>
      <c r="MCV20" s="414"/>
      <c r="MCW20" s="414"/>
      <c r="MCX20" s="414"/>
      <c r="MCY20" s="414"/>
      <c r="MCZ20" s="414"/>
      <c r="MDA20" s="414"/>
      <c r="MDB20" s="414"/>
      <c r="MDC20" s="414"/>
      <c r="MDD20" s="414"/>
      <c r="MDE20" s="414"/>
      <c r="MDF20" s="414"/>
      <c r="MDG20" s="414"/>
      <c r="MDH20" s="414"/>
      <c r="MDI20" s="414"/>
      <c r="MDJ20" s="414"/>
      <c r="MDK20" s="414"/>
      <c r="MDL20" s="414"/>
      <c r="MDM20" s="414"/>
      <c r="MDN20" s="414"/>
      <c r="MDO20" s="414"/>
      <c r="MDP20" s="414"/>
      <c r="MDQ20" s="414"/>
      <c r="MDR20" s="414"/>
      <c r="MDS20" s="414"/>
      <c r="MDT20" s="414"/>
      <c r="MDU20" s="414"/>
      <c r="MDV20" s="414"/>
      <c r="MDW20" s="414"/>
      <c r="MDX20" s="414"/>
      <c r="MDY20" s="414"/>
      <c r="MDZ20" s="414"/>
      <c r="MEA20" s="414"/>
      <c r="MEB20" s="414"/>
      <c r="MEC20" s="414"/>
      <c r="MED20" s="414"/>
      <c r="MEE20" s="414"/>
      <c r="MEF20" s="414"/>
      <c r="MEG20" s="414"/>
      <c r="MEH20" s="414"/>
      <c r="MEI20" s="414"/>
      <c r="MEJ20" s="414"/>
      <c r="MEK20" s="414"/>
      <c r="MEL20" s="414"/>
      <c r="MEM20" s="414"/>
      <c r="MEN20" s="414"/>
      <c r="MEO20" s="414"/>
      <c r="MEP20" s="414"/>
      <c r="MEQ20" s="414"/>
      <c r="MER20" s="414"/>
      <c r="MES20" s="414"/>
      <c r="MET20" s="414"/>
      <c r="MEU20" s="414"/>
      <c r="MEV20" s="414"/>
      <c r="MEW20" s="414"/>
      <c r="MEX20" s="414"/>
      <c r="MEY20" s="414"/>
      <c r="MEZ20" s="414"/>
      <c r="MFA20" s="414"/>
      <c r="MFB20" s="414"/>
      <c r="MFC20" s="414"/>
      <c r="MFD20" s="414"/>
      <c r="MFE20" s="414"/>
      <c r="MFF20" s="414"/>
      <c r="MFG20" s="414"/>
      <c r="MFH20" s="414"/>
      <c r="MFI20" s="414"/>
      <c r="MFJ20" s="414"/>
      <c r="MFK20" s="414"/>
      <c r="MFL20" s="414"/>
      <c r="MFM20" s="414"/>
      <c r="MFN20" s="414"/>
      <c r="MFO20" s="414"/>
      <c r="MFP20" s="414"/>
      <c r="MFQ20" s="414"/>
      <c r="MFR20" s="414"/>
      <c r="MFS20" s="414"/>
      <c r="MFT20" s="414"/>
      <c r="MFU20" s="414"/>
      <c r="MFV20" s="414"/>
      <c r="MFW20" s="414"/>
      <c r="MFX20" s="414"/>
      <c r="MFY20" s="414"/>
      <c r="MFZ20" s="414"/>
      <c r="MGA20" s="414"/>
      <c r="MGB20" s="414"/>
      <c r="MGC20" s="414"/>
      <c r="MGD20" s="414"/>
      <c r="MGE20" s="414"/>
      <c r="MGF20" s="414"/>
      <c r="MGG20" s="414"/>
      <c r="MGH20" s="414"/>
      <c r="MGI20" s="414"/>
      <c r="MGJ20" s="414"/>
      <c r="MGK20" s="414"/>
      <c r="MGL20" s="414"/>
      <c r="MGM20" s="414"/>
      <c r="MGN20" s="414"/>
      <c r="MGO20" s="414"/>
      <c r="MGP20" s="414"/>
      <c r="MGQ20" s="414"/>
      <c r="MGR20" s="414"/>
      <c r="MGS20" s="414"/>
      <c r="MGT20" s="414"/>
      <c r="MGU20" s="414"/>
      <c r="MGV20" s="414"/>
      <c r="MGW20" s="414"/>
      <c r="MGX20" s="414"/>
      <c r="MGY20" s="414"/>
      <c r="MGZ20" s="414"/>
      <c r="MHA20" s="414"/>
      <c r="MHB20" s="414"/>
      <c r="MHC20" s="414"/>
      <c r="MHD20" s="414"/>
      <c r="MHE20" s="414"/>
      <c r="MHF20" s="414"/>
      <c r="MHG20" s="414"/>
      <c r="MHH20" s="414"/>
      <c r="MHI20" s="414"/>
      <c r="MHJ20" s="414"/>
      <c r="MHK20" s="414"/>
      <c r="MHL20" s="414"/>
      <c r="MHM20" s="414"/>
      <c r="MHN20" s="414"/>
      <c r="MHO20" s="414"/>
      <c r="MHP20" s="414"/>
      <c r="MHQ20" s="414"/>
      <c r="MHR20" s="414"/>
      <c r="MHS20" s="414"/>
      <c r="MHT20" s="414"/>
      <c r="MHU20" s="414"/>
      <c r="MHV20" s="414"/>
      <c r="MHW20" s="414"/>
      <c r="MHX20" s="414"/>
      <c r="MHY20" s="414"/>
      <c r="MHZ20" s="414"/>
      <c r="MIA20" s="414"/>
      <c r="MIB20" s="414"/>
      <c r="MIC20" s="414"/>
      <c r="MID20" s="414"/>
      <c r="MIE20" s="414"/>
      <c r="MIF20" s="414"/>
      <c r="MIG20" s="414"/>
      <c r="MIH20" s="414"/>
      <c r="MII20" s="414"/>
      <c r="MIJ20" s="414"/>
      <c r="MIK20" s="414"/>
      <c r="MIL20" s="414"/>
      <c r="MIM20" s="414"/>
      <c r="MIN20" s="414"/>
      <c r="MIO20" s="414"/>
      <c r="MIP20" s="414"/>
      <c r="MIQ20" s="414"/>
      <c r="MIR20" s="414"/>
      <c r="MIS20" s="414"/>
      <c r="MIT20" s="414"/>
      <c r="MIU20" s="414"/>
      <c r="MIV20" s="414"/>
      <c r="MIW20" s="414"/>
      <c r="MIX20" s="414"/>
      <c r="MIY20" s="414"/>
      <c r="MIZ20" s="414"/>
      <c r="MJA20" s="414"/>
      <c r="MJB20" s="414"/>
      <c r="MJC20" s="414"/>
      <c r="MJD20" s="414"/>
      <c r="MJE20" s="414"/>
      <c r="MJF20" s="414"/>
      <c r="MJG20" s="414"/>
      <c r="MJH20" s="414"/>
      <c r="MJI20" s="414"/>
      <c r="MJJ20" s="414"/>
      <c r="MJK20" s="414"/>
      <c r="MJL20" s="414"/>
      <c r="MJM20" s="414"/>
      <c r="MJN20" s="414"/>
      <c r="MJO20" s="414"/>
      <c r="MJP20" s="414"/>
      <c r="MJQ20" s="414"/>
      <c r="MJR20" s="414"/>
      <c r="MJS20" s="414"/>
      <c r="MJT20" s="414"/>
      <c r="MJU20" s="414"/>
      <c r="MJV20" s="414"/>
      <c r="MJW20" s="414"/>
      <c r="MJX20" s="414"/>
      <c r="MJY20" s="414"/>
      <c r="MJZ20" s="414"/>
      <c r="MKA20" s="414"/>
      <c r="MKB20" s="414"/>
      <c r="MKC20" s="414"/>
      <c r="MKD20" s="414"/>
      <c r="MKE20" s="414"/>
      <c r="MKF20" s="414"/>
      <c r="MKG20" s="414"/>
      <c r="MKH20" s="414"/>
      <c r="MKI20" s="414"/>
      <c r="MKJ20" s="414"/>
      <c r="MKK20" s="414"/>
      <c r="MKL20" s="414"/>
      <c r="MKM20" s="414"/>
      <c r="MKN20" s="414"/>
      <c r="MKO20" s="414"/>
      <c r="MKP20" s="414"/>
      <c r="MKQ20" s="414"/>
      <c r="MKR20" s="414"/>
      <c r="MKS20" s="414"/>
      <c r="MKT20" s="414"/>
      <c r="MKU20" s="414"/>
      <c r="MKV20" s="414"/>
      <c r="MKW20" s="414"/>
      <c r="MKX20" s="414"/>
      <c r="MKY20" s="414"/>
      <c r="MKZ20" s="414"/>
      <c r="MLA20" s="414"/>
      <c r="MLB20" s="414"/>
      <c r="MLC20" s="414"/>
      <c r="MLD20" s="414"/>
      <c r="MLE20" s="414"/>
      <c r="MLF20" s="414"/>
      <c r="MLG20" s="414"/>
      <c r="MLH20" s="414"/>
      <c r="MLI20" s="414"/>
      <c r="MLJ20" s="414"/>
      <c r="MLK20" s="414"/>
      <c r="MLL20" s="414"/>
      <c r="MLM20" s="414"/>
      <c r="MLN20" s="414"/>
      <c r="MLO20" s="414"/>
      <c r="MLP20" s="414"/>
      <c r="MLQ20" s="414"/>
      <c r="MLR20" s="414"/>
      <c r="MLS20" s="414"/>
      <c r="MLT20" s="414"/>
      <c r="MLU20" s="414"/>
      <c r="MLV20" s="414"/>
      <c r="MLW20" s="414"/>
      <c r="MLX20" s="414"/>
      <c r="MLY20" s="414"/>
      <c r="MLZ20" s="414"/>
      <c r="MMA20" s="414"/>
      <c r="MMB20" s="414"/>
      <c r="MMC20" s="414"/>
      <c r="MMD20" s="414"/>
      <c r="MME20" s="414"/>
      <c r="MMF20" s="414"/>
      <c r="MMG20" s="414"/>
      <c r="MMH20" s="414"/>
      <c r="MMI20" s="414"/>
      <c r="MMJ20" s="414"/>
      <c r="MMK20" s="414"/>
      <c r="MML20" s="414"/>
      <c r="MMM20" s="414"/>
      <c r="MMN20" s="414"/>
      <c r="MMO20" s="414"/>
      <c r="MMP20" s="414"/>
      <c r="MMQ20" s="414"/>
      <c r="MMR20" s="414"/>
      <c r="MMS20" s="414"/>
      <c r="MMT20" s="414"/>
      <c r="MMU20" s="414"/>
      <c r="MMV20" s="414"/>
      <c r="MMW20" s="414"/>
      <c r="MMX20" s="414"/>
      <c r="MMY20" s="414"/>
      <c r="MMZ20" s="414"/>
      <c r="MNA20" s="414"/>
      <c r="MNB20" s="414"/>
      <c r="MNC20" s="414"/>
      <c r="MND20" s="414"/>
      <c r="MNE20" s="414"/>
      <c r="MNF20" s="414"/>
      <c r="MNG20" s="414"/>
      <c r="MNH20" s="414"/>
      <c r="MNI20" s="414"/>
      <c r="MNJ20" s="414"/>
      <c r="MNK20" s="414"/>
      <c r="MNL20" s="414"/>
      <c r="MNM20" s="414"/>
      <c r="MNN20" s="414"/>
      <c r="MNO20" s="414"/>
      <c r="MNP20" s="414"/>
      <c r="MNQ20" s="414"/>
      <c r="MNR20" s="414"/>
      <c r="MNS20" s="414"/>
      <c r="MNT20" s="414"/>
      <c r="MNU20" s="414"/>
      <c r="MNV20" s="414"/>
      <c r="MNW20" s="414"/>
      <c r="MNX20" s="414"/>
      <c r="MNY20" s="414"/>
      <c r="MNZ20" s="414"/>
      <c r="MOA20" s="414"/>
      <c r="MOB20" s="414"/>
      <c r="MOC20" s="414"/>
      <c r="MOD20" s="414"/>
      <c r="MOE20" s="414"/>
      <c r="MOF20" s="414"/>
      <c r="MOG20" s="414"/>
      <c r="MOH20" s="414"/>
      <c r="MOI20" s="414"/>
      <c r="MOJ20" s="414"/>
      <c r="MOK20" s="414"/>
      <c r="MOL20" s="414"/>
      <c r="MOM20" s="414"/>
      <c r="MON20" s="414"/>
      <c r="MOO20" s="414"/>
      <c r="MOP20" s="414"/>
      <c r="MOQ20" s="414"/>
      <c r="MOR20" s="414"/>
      <c r="MOS20" s="414"/>
      <c r="MOT20" s="414"/>
      <c r="MOU20" s="414"/>
      <c r="MOV20" s="414"/>
      <c r="MOW20" s="414"/>
      <c r="MOX20" s="414"/>
      <c r="MOY20" s="414"/>
      <c r="MOZ20" s="414"/>
      <c r="MPA20" s="414"/>
      <c r="MPB20" s="414"/>
      <c r="MPC20" s="414"/>
      <c r="MPD20" s="414"/>
      <c r="MPE20" s="414"/>
      <c r="MPF20" s="414"/>
      <c r="MPG20" s="414"/>
      <c r="MPH20" s="414"/>
      <c r="MPI20" s="414"/>
      <c r="MPJ20" s="414"/>
      <c r="MPK20" s="414"/>
      <c r="MPL20" s="414"/>
      <c r="MPM20" s="414"/>
      <c r="MPN20" s="414"/>
      <c r="MPO20" s="414"/>
      <c r="MPP20" s="414"/>
      <c r="MPQ20" s="414"/>
      <c r="MPR20" s="414"/>
      <c r="MPS20" s="414"/>
      <c r="MPT20" s="414"/>
      <c r="MPU20" s="414"/>
      <c r="MPV20" s="414"/>
      <c r="MPW20" s="414"/>
      <c r="MPX20" s="414"/>
      <c r="MPY20" s="414"/>
      <c r="MPZ20" s="414"/>
      <c r="MQA20" s="414"/>
      <c r="MQB20" s="414"/>
      <c r="MQC20" s="414"/>
      <c r="MQD20" s="414"/>
      <c r="MQE20" s="414"/>
      <c r="MQF20" s="414"/>
      <c r="MQG20" s="414"/>
      <c r="MQH20" s="414"/>
      <c r="MQI20" s="414"/>
      <c r="MQJ20" s="414"/>
      <c r="MQK20" s="414"/>
      <c r="MQL20" s="414"/>
      <c r="MQM20" s="414"/>
      <c r="MQN20" s="414"/>
      <c r="MQO20" s="414"/>
      <c r="MQP20" s="414"/>
      <c r="MQQ20" s="414"/>
      <c r="MQR20" s="414"/>
      <c r="MQS20" s="414"/>
      <c r="MQT20" s="414"/>
      <c r="MQU20" s="414"/>
      <c r="MQV20" s="414"/>
      <c r="MQW20" s="414"/>
      <c r="MQX20" s="414"/>
      <c r="MQY20" s="414"/>
      <c r="MQZ20" s="414"/>
      <c r="MRA20" s="414"/>
      <c r="MRB20" s="414"/>
      <c r="MRC20" s="414"/>
      <c r="MRD20" s="414"/>
      <c r="MRE20" s="414"/>
      <c r="MRF20" s="414"/>
      <c r="MRG20" s="414"/>
      <c r="MRH20" s="414"/>
      <c r="MRI20" s="414"/>
      <c r="MRJ20" s="414"/>
      <c r="MRK20" s="414"/>
      <c r="MRL20" s="414"/>
      <c r="MRM20" s="414"/>
      <c r="MRN20" s="414"/>
      <c r="MRO20" s="414"/>
      <c r="MRP20" s="414"/>
      <c r="MRQ20" s="414"/>
      <c r="MRR20" s="414"/>
      <c r="MRS20" s="414"/>
      <c r="MRT20" s="414"/>
      <c r="MRU20" s="414"/>
      <c r="MRV20" s="414"/>
      <c r="MRW20" s="414"/>
      <c r="MRX20" s="414"/>
      <c r="MRY20" s="414"/>
      <c r="MRZ20" s="414"/>
      <c r="MSA20" s="414"/>
      <c r="MSB20" s="414"/>
      <c r="MSC20" s="414"/>
      <c r="MSD20" s="414"/>
      <c r="MSE20" s="414"/>
      <c r="MSF20" s="414"/>
      <c r="MSG20" s="414"/>
      <c r="MSH20" s="414"/>
      <c r="MSI20" s="414"/>
      <c r="MSJ20" s="414"/>
      <c r="MSK20" s="414"/>
      <c r="MSL20" s="414"/>
      <c r="MSM20" s="414"/>
      <c r="MSN20" s="414"/>
      <c r="MSO20" s="414"/>
      <c r="MSP20" s="414"/>
      <c r="MSQ20" s="414"/>
      <c r="MSR20" s="414"/>
      <c r="MSS20" s="414"/>
      <c r="MST20" s="414"/>
      <c r="MSU20" s="414"/>
      <c r="MSV20" s="414"/>
      <c r="MSW20" s="414"/>
      <c r="MSX20" s="414"/>
      <c r="MSY20" s="414"/>
      <c r="MSZ20" s="414"/>
      <c r="MTA20" s="414"/>
      <c r="MTB20" s="414"/>
      <c r="MTC20" s="414"/>
      <c r="MTD20" s="414"/>
      <c r="MTE20" s="414"/>
      <c r="MTF20" s="414"/>
      <c r="MTG20" s="414"/>
      <c r="MTH20" s="414"/>
      <c r="MTI20" s="414"/>
      <c r="MTJ20" s="414"/>
      <c r="MTK20" s="414"/>
      <c r="MTL20" s="414"/>
      <c r="MTM20" s="414"/>
      <c r="MTN20" s="414"/>
      <c r="MTO20" s="414"/>
      <c r="MTP20" s="414"/>
      <c r="MTQ20" s="414"/>
      <c r="MTR20" s="414"/>
      <c r="MTS20" s="414"/>
      <c r="MTT20" s="414"/>
      <c r="MTU20" s="414"/>
      <c r="MTV20" s="414"/>
      <c r="MTW20" s="414"/>
      <c r="MTX20" s="414"/>
      <c r="MTY20" s="414"/>
      <c r="MTZ20" s="414"/>
      <c r="MUA20" s="414"/>
      <c r="MUB20" s="414"/>
      <c r="MUC20" s="414"/>
      <c r="MUD20" s="414"/>
      <c r="MUE20" s="414"/>
      <c r="MUF20" s="414"/>
      <c r="MUG20" s="414"/>
      <c r="MUH20" s="414"/>
      <c r="MUI20" s="414"/>
      <c r="MUJ20" s="414"/>
      <c r="MUK20" s="414"/>
      <c r="MUL20" s="414"/>
      <c r="MUM20" s="414"/>
      <c r="MUN20" s="414"/>
      <c r="MUO20" s="414"/>
      <c r="MUP20" s="414"/>
      <c r="MUQ20" s="414"/>
      <c r="MUR20" s="414"/>
      <c r="MUS20" s="414"/>
      <c r="MUT20" s="414"/>
      <c r="MUU20" s="414"/>
      <c r="MUV20" s="414"/>
      <c r="MUW20" s="414"/>
      <c r="MUX20" s="414"/>
      <c r="MUY20" s="414"/>
      <c r="MUZ20" s="414"/>
      <c r="MVA20" s="414"/>
      <c r="MVB20" s="414"/>
      <c r="MVC20" s="414"/>
      <c r="MVD20" s="414"/>
      <c r="MVE20" s="414"/>
      <c r="MVF20" s="414"/>
      <c r="MVG20" s="414"/>
      <c r="MVH20" s="414"/>
      <c r="MVI20" s="414"/>
      <c r="MVJ20" s="414"/>
      <c r="MVK20" s="414"/>
      <c r="MVL20" s="414"/>
      <c r="MVM20" s="414"/>
      <c r="MVN20" s="414"/>
      <c r="MVO20" s="414"/>
      <c r="MVP20" s="414"/>
      <c r="MVQ20" s="414"/>
      <c r="MVR20" s="414"/>
      <c r="MVS20" s="414"/>
      <c r="MVT20" s="414"/>
      <c r="MVU20" s="414"/>
      <c r="MVV20" s="414"/>
      <c r="MVW20" s="414"/>
      <c r="MVX20" s="414"/>
      <c r="MVY20" s="414"/>
      <c r="MVZ20" s="414"/>
      <c r="MWA20" s="414"/>
      <c r="MWB20" s="414"/>
      <c r="MWC20" s="414"/>
      <c r="MWD20" s="414"/>
      <c r="MWE20" s="414"/>
      <c r="MWF20" s="414"/>
      <c r="MWG20" s="414"/>
      <c r="MWH20" s="414"/>
      <c r="MWI20" s="414"/>
      <c r="MWJ20" s="414"/>
      <c r="MWK20" s="414"/>
      <c r="MWL20" s="414"/>
      <c r="MWM20" s="414"/>
      <c r="MWN20" s="414"/>
      <c r="MWO20" s="414"/>
      <c r="MWP20" s="414"/>
      <c r="MWQ20" s="414"/>
      <c r="MWR20" s="414"/>
      <c r="MWS20" s="414"/>
      <c r="MWT20" s="414"/>
      <c r="MWU20" s="414"/>
      <c r="MWV20" s="414"/>
      <c r="MWW20" s="414"/>
      <c r="MWX20" s="414"/>
      <c r="MWY20" s="414"/>
      <c r="MWZ20" s="414"/>
      <c r="MXA20" s="414"/>
      <c r="MXB20" s="414"/>
      <c r="MXC20" s="414"/>
      <c r="MXD20" s="414"/>
      <c r="MXE20" s="414"/>
      <c r="MXF20" s="414"/>
      <c r="MXG20" s="414"/>
      <c r="MXH20" s="414"/>
      <c r="MXI20" s="414"/>
      <c r="MXJ20" s="414"/>
      <c r="MXK20" s="414"/>
      <c r="MXL20" s="414"/>
      <c r="MXM20" s="414"/>
      <c r="MXN20" s="414"/>
      <c r="MXO20" s="414"/>
      <c r="MXP20" s="414"/>
      <c r="MXQ20" s="414"/>
      <c r="MXR20" s="414"/>
      <c r="MXS20" s="414"/>
      <c r="MXT20" s="414"/>
      <c r="MXU20" s="414"/>
      <c r="MXV20" s="414"/>
      <c r="MXW20" s="414"/>
      <c r="MXX20" s="414"/>
      <c r="MXY20" s="414"/>
      <c r="MXZ20" s="414"/>
      <c r="MYA20" s="414"/>
      <c r="MYB20" s="414"/>
      <c r="MYC20" s="414"/>
      <c r="MYD20" s="414"/>
      <c r="MYE20" s="414"/>
      <c r="MYF20" s="414"/>
      <c r="MYG20" s="414"/>
      <c r="MYH20" s="414"/>
      <c r="MYI20" s="414"/>
      <c r="MYJ20" s="414"/>
      <c r="MYK20" s="414"/>
      <c r="MYL20" s="414"/>
      <c r="MYM20" s="414"/>
      <c r="MYN20" s="414"/>
      <c r="MYO20" s="414"/>
      <c r="MYP20" s="414"/>
      <c r="MYQ20" s="414"/>
      <c r="MYR20" s="414"/>
      <c r="MYS20" s="414"/>
      <c r="MYT20" s="414"/>
      <c r="MYU20" s="414"/>
      <c r="MYV20" s="414"/>
      <c r="MYW20" s="414"/>
      <c r="MYX20" s="414"/>
      <c r="MYY20" s="414"/>
      <c r="MYZ20" s="414"/>
      <c r="MZA20" s="414"/>
      <c r="MZB20" s="414"/>
      <c r="MZC20" s="414"/>
      <c r="MZD20" s="414"/>
      <c r="MZE20" s="414"/>
      <c r="MZF20" s="414"/>
      <c r="MZG20" s="414"/>
      <c r="MZH20" s="414"/>
      <c r="MZI20" s="414"/>
      <c r="MZJ20" s="414"/>
      <c r="MZK20" s="414"/>
      <c r="MZL20" s="414"/>
      <c r="MZM20" s="414"/>
      <c r="MZN20" s="414"/>
      <c r="MZO20" s="414"/>
      <c r="MZP20" s="414"/>
      <c r="MZQ20" s="414"/>
      <c r="MZR20" s="414"/>
      <c r="MZS20" s="414"/>
      <c r="MZT20" s="414"/>
      <c r="MZU20" s="414"/>
      <c r="MZV20" s="414"/>
      <c r="MZW20" s="414"/>
      <c r="MZX20" s="414"/>
      <c r="MZY20" s="414"/>
      <c r="MZZ20" s="414"/>
      <c r="NAA20" s="414"/>
      <c r="NAB20" s="414"/>
      <c r="NAC20" s="414"/>
      <c r="NAD20" s="414"/>
      <c r="NAE20" s="414"/>
      <c r="NAF20" s="414"/>
      <c r="NAG20" s="414"/>
      <c r="NAH20" s="414"/>
      <c r="NAI20" s="414"/>
      <c r="NAJ20" s="414"/>
      <c r="NAK20" s="414"/>
      <c r="NAL20" s="414"/>
      <c r="NAM20" s="414"/>
      <c r="NAN20" s="414"/>
      <c r="NAO20" s="414"/>
      <c r="NAP20" s="414"/>
      <c r="NAQ20" s="414"/>
      <c r="NAR20" s="414"/>
      <c r="NAS20" s="414"/>
      <c r="NAT20" s="414"/>
      <c r="NAU20" s="414"/>
      <c r="NAV20" s="414"/>
      <c r="NAW20" s="414"/>
      <c r="NAX20" s="414"/>
      <c r="NAY20" s="414"/>
      <c r="NAZ20" s="414"/>
      <c r="NBA20" s="414"/>
      <c r="NBB20" s="414"/>
      <c r="NBC20" s="414"/>
      <c r="NBD20" s="414"/>
      <c r="NBE20" s="414"/>
      <c r="NBF20" s="414"/>
      <c r="NBG20" s="414"/>
      <c r="NBH20" s="414"/>
      <c r="NBI20" s="414"/>
      <c r="NBJ20" s="414"/>
      <c r="NBK20" s="414"/>
      <c r="NBL20" s="414"/>
      <c r="NBM20" s="414"/>
      <c r="NBN20" s="414"/>
      <c r="NBO20" s="414"/>
      <c r="NBP20" s="414"/>
      <c r="NBQ20" s="414"/>
      <c r="NBR20" s="414"/>
      <c r="NBS20" s="414"/>
      <c r="NBT20" s="414"/>
      <c r="NBU20" s="414"/>
      <c r="NBV20" s="414"/>
      <c r="NBW20" s="414"/>
      <c r="NBX20" s="414"/>
      <c r="NBY20" s="414"/>
      <c r="NBZ20" s="414"/>
      <c r="NCA20" s="414"/>
      <c r="NCB20" s="414"/>
      <c r="NCC20" s="414"/>
      <c r="NCD20" s="414"/>
      <c r="NCE20" s="414"/>
      <c r="NCF20" s="414"/>
      <c r="NCG20" s="414"/>
      <c r="NCH20" s="414"/>
      <c r="NCI20" s="414"/>
      <c r="NCJ20" s="414"/>
      <c r="NCK20" s="414"/>
      <c r="NCL20" s="414"/>
      <c r="NCM20" s="414"/>
      <c r="NCN20" s="414"/>
      <c r="NCO20" s="414"/>
      <c r="NCP20" s="414"/>
      <c r="NCQ20" s="414"/>
      <c r="NCR20" s="414"/>
      <c r="NCS20" s="414"/>
      <c r="NCT20" s="414"/>
      <c r="NCU20" s="414"/>
      <c r="NCV20" s="414"/>
      <c r="NCW20" s="414"/>
      <c r="NCX20" s="414"/>
      <c r="NCY20" s="414"/>
      <c r="NCZ20" s="414"/>
      <c r="NDA20" s="414"/>
      <c r="NDB20" s="414"/>
      <c r="NDC20" s="414"/>
      <c r="NDD20" s="414"/>
      <c r="NDE20" s="414"/>
      <c r="NDF20" s="414"/>
      <c r="NDG20" s="414"/>
      <c r="NDH20" s="414"/>
      <c r="NDI20" s="414"/>
      <c r="NDJ20" s="414"/>
      <c r="NDK20" s="414"/>
      <c r="NDL20" s="414"/>
      <c r="NDM20" s="414"/>
      <c r="NDN20" s="414"/>
      <c r="NDO20" s="414"/>
      <c r="NDP20" s="414"/>
      <c r="NDQ20" s="414"/>
      <c r="NDR20" s="414"/>
      <c r="NDS20" s="414"/>
      <c r="NDT20" s="414"/>
      <c r="NDU20" s="414"/>
      <c r="NDV20" s="414"/>
      <c r="NDW20" s="414"/>
      <c r="NDX20" s="414"/>
      <c r="NDY20" s="414"/>
      <c r="NDZ20" s="414"/>
      <c r="NEA20" s="414"/>
      <c r="NEB20" s="414"/>
      <c r="NEC20" s="414"/>
      <c r="NED20" s="414"/>
      <c r="NEE20" s="414"/>
      <c r="NEF20" s="414"/>
      <c r="NEG20" s="414"/>
      <c r="NEH20" s="414"/>
      <c r="NEI20" s="414"/>
      <c r="NEJ20" s="414"/>
      <c r="NEK20" s="414"/>
      <c r="NEL20" s="414"/>
      <c r="NEM20" s="414"/>
      <c r="NEN20" s="414"/>
      <c r="NEO20" s="414"/>
      <c r="NEP20" s="414"/>
      <c r="NEQ20" s="414"/>
      <c r="NER20" s="414"/>
      <c r="NES20" s="414"/>
      <c r="NET20" s="414"/>
      <c r="NEU20" s="414"/>
      <c r="NEV20" s="414"/>
      <c r="NEW20" s="414"/>
      <c r="NEX20" s="414"/>
      <c r="NEY20" s="414"/>
      <c r="NEZ20" s="414"/>
      <c r="NFA20" s="414"/>
      <c r="NFB20" s="414"/>
      <c r="NFC20" s="414"/>
      <c r="NFD20" s="414"/>
      <c r="NFE20" s="414"/>
      <c r="NFF20" s="414"/>
      <c r="NFG20" s="414"/>
      <c r="NFH20" s="414"/>
      <c r="NFI20" s="414"/>
      <c r="NFJ20" s="414"/>
      <c r="NFK20" s="414"/>
      <c r="NFL20" s="414"/>
      <c r="NFM20" s="414"/>
      <c r="NFN20" s="414"/>
      <c r="NFO20" s="414"/>
      <c r="NFP20" s="414"/>
      <c r="NFQ20" s="414"/>
      <c r="NFR20" s="414"/>
      <c r="NFS20" s="414"/>
      <c r="NFT20" s="414"/>
      <c r="NFU20" s="414"/>
      <c r="NFV20" s="414"/>
      <c r="NFW20" s="414"/>
      <c r="NFX20" s="414"/>
      <c r="NFY20" s="414"/>
      <c r="NFZ20" s="414"/>
      <c r="NGA20" s="414"/>
      <c r="NGB20" s="414"/>
      <c r="NGC20" s="414"/>
      <c r="NGD20" s="414"/>
      <c r="NGE20" s="414"/>
      <c r="NGF20" s="414"/>
      <c r="NGG20" s="414"/>
      <c r="NGH20" s="414"/>
      <c r="NGI20" s="414"/>
      <c r="NGJ20" s="414"/>
      <c r="NGK20" s="414"/>
      <c r="NGL20" s="414"/>
      <c r="NGM20" s="414"/>
      <c r="NGN20" s="414"/>
      <c r="NGO20" s="414"/>
      <c r="NGP20" s="414"/>
      <c r="NGQ20" s="414"/>
      <c r="NGR20" s="414"/>
      <c r="NGS20" s="414"/>
      <c r="NGT20" s="414"/>
      <c r="NGU20" s="414"/>
      <c r="NGV20" s="414"/>
      <c r="NGW20" s="414"/>
      <c r="NGX20" s="414"/>
      <c r="NGY20" s="414"/>
      <c r="NGZ20" s="414"/>
      <c r="NHA20" s="414"/>
      <c r="NHB20" s="414"/>
      <c r="NHC20" s="414"/>
      <c r="NHD20" s="414"/>
      <c r="NHE20" s="414"/>
      <c r="NHF20" s="414"/>
      <c r="NHG20" s="414"/>
      <c r="NHH20" s="414"/>
      <c r="NHI20" s="414"/>
      <c r="NHJ20" s="414"/>
      <c r="NHK20" s="414"/>
      <c r="NHL20" s="414"/>
      <c r="NHM20" s="414"/>
      <c r="NHN20" s="414"/>
      <c r="NHO20" s="414"/>
      <c r="NHP20" s="414"/>
      <c r="NHQ20" s="414"/>
      <c r="NHR20" s="414"/>
      <c r="NHS20" s="414"/>
      <c r="NHT20" s="414"/>
      <c r="NHU20" s="414"/>
      <c r="NHV20" s="414"/>
      <c r="NHW20" s="414"/>
      <c r="NHX20" s="414"/>
      <c r="NHY20" s="414"/>
      <c r="NHZ20" s="414"/>
      <c r="NIA20" s="414"/>
      <c r="NIB20" s="414"/>
      <c r="NIC20" s="414"/>
      <c r="NID20" s="414"/>
      <c r="NIE20" s="414"/>
      <c r="NIF20" s="414"/>
      <c r="NIG20" s="414"/>
      <c r="NIH20" s="414"/>
      <c r="NII20" s="414"/>
      <c r="NIJ20" s="414"/>
      <c r="NIK20" s="414"/>
      <c r="NIL20" s="414"/>
      <c r="NIM20" s="414"/>
      <c r="NIN20" s="414"/>
      <c r="NIO20" s="414"/>
      <c r="NIP20" s="414"/>
      <c r="NIQ20" s="414"/>
      <c r="NIR20" s="414"/>
      <c r="NIS20" s="414"/>
      <c r="NIT20" s="414"/>
      <c r="NIU20" s="414"/>
      <c r="NIV20" s="414"/>
      <c r="NIW20" s="414"/>
      <c r="NIX20" s="414"/>
      <c r="NIY20" s="414"/>
      <c r="NIZ20" s="414"/>
      <c r="NJA20" s="414"/>
      <c r="NJB20" s="414"/>
      <c r="NJC20" s="414"/>
      <c r="NJD20" s="414"/>
      <c r="NJE20" s="414"/>
      <c r="NJF20" s="414"/>
      <c r="NJG20" s="414"/>
      <c r="NJH20" s="414"/>
      <c r="NJI20" s="414"/>
      <c r="NJJ20" s="414"/>
      <c r="NJK20" s="414"/>
      <c r="NJL20" s="414"/>
      <c r="NJM20" s="414"/>
      <c r="NJN20" s="414"/>
      <c r="NJO20" s="414"/>
      <c r="NJP20" s="414"/>
      <c r="NJQ20" s="414"/>
      <c r="NJR20" s="414"/>
      <c r="NJS20" s="414"/>
      <c r="NJT20" s="414"/>
      <c r="NJU20" s="414"/>
      <c r="NJV20" s="414"/>
      <c r="NJW20" s="414"/>
      <c r="NJX20" s="414"/>
      <c r="NJY20" s="414"/>
      <c r="NJZ20" s="414"/>
      <c r="NKA20" s="414"/>
      <c r="NKB20" s="414"/>
      <c r="NKC20" s="414"/>
      <c r="NKD20" s="414"/>
      <c r="NKE20" s="414"/>
      <c r="NKF20" s="414"/>
      <c r="NKG20" s="414"/>
      <c r="NKH20" s="414"/>
      <c r="NKI20" s="414"/>
      <c r="NKJ20" s="414"/>
      <c r="NKK20" s="414"/>
      <c r="NKL20" s="414"/>
      <c r="NKM20" s="414"/>
      <c r="NKN20" s="414"/>
      <c r="NKO20" s="414"/>
      <c r="NKP20" s="414"/>
      <c r="NKQ20" s="414"/>
      <c r="NKR20" s="414"/>
      <c r="NKS20" s="414"/>
      <c r="NKT20" s="414"/>
      <c r="NKU20" s="414"/>
      <c r="NKV20" s="414"/>
      <c r="NKW20" s="414"/>
      <c r="NKX20" s="414"/>
      <c r="NKY20" s="414"/>
      <c r="NKZ20" s="414"/>
      <c r="NLA20" s="414"/>
      <c r="NLB20" s="414"/>
      <c r="NLC20" s="414"/>
      <c r="NLD20" s="414"/>
      <c r="NLE20" s="414"/>
      <c r="NLF20" s="414"/>
      <c r="NLG20" s="414"/>
      <c r="NLH20" s="414"/>
      <c r="NLI20" s="414"/>
      <c r="NLJ20" s="414"/>
      <c r="NLK20" s="414"/>
      <c r="NLL20" s="414"/>
      <c r="NLM20" s="414"/>
      <c r="NLN20" s="414"/>
      <c r="NLO20" s="414"/>
      <c r="NLP20" s="414"/>
      <c r="NLQ20" s="414"/>
      <c r="NLR20" s="414"/>
      <c r="NLS20" s="414"/>
      <c r="NLT20" s="414"/>
      <c r="NLU20" s="414"/>
      <c r="NLV20" s="414"/>
      <c r="NLW20" s="414"/>
      <c r="NLX20" s="414"/>
      <c r="NLY20" s="414"/>
      <c r="NLZ20" s="414"/>
      <c r="NMA20" s="414"/>
      <c r="NMB20" s="414"/>
      <c r="NMC20" s="414"/>
      <c r="NMD20" s="414"/>
      <c r="NME20" s="414"/>
      <c r="NMF20" s="414"/>
      <c r="NMG20" s="414"/>
      <c r="NMH20" s="414"/>
      <c r="NMI20" s="414"/>
      <c r="NMJ20" s="414"/>
      <c r="NMK20" s="414"/>
      <c r="NML20" s="414"/>
      <c r="NMM20" s="414"/>
      <c r="NMN20" s="414"/>
      <c r="NMO20" s="414"/>
      <c r="NMP20" s="414"/>
      <c r="NMQ20" s="414"/>
      <c r="NMR20" s="414"/>
      <c r="NMS20" s="414"/>
      <c r="NMT20" s="414"/>
      <c r="NMU20" s="414"/>
      <c r="NMV20" s="414"/>
      <c r="NMW20" s="414"/>
      <c r="NMX20" s="414"/>
      <c r="NMY20" s="414"/>
      <c r="NMZ20" s="414"/>
      <c r="NNA20" s="414"/>
      <c r="NNB20" s="414"/>
      <c r="NNC20" s="414"/>
      <c r="NND20" s="414"/>
      <c r="NNE20" s="414"/>
      <c r="NNF20" s="414"/>
      <c r="NNG20" s="414"/>
      <c r="NNH20" s="414"/>
      <c r="NNI20" s="414"/>
      <c r="NNJ20" s="414"/>
      <c r="NNK20" s="414"/>
      <c r="NNL20" s="414"/>
      <c r="NNM20" s="414"/>
      <c r="NNN20" s="414"/>
      <c r="NNO20" s="414"/>
      <c r="NNP20" s="414"/>
      <c r="NNQ20" s="414"/>
      <c r="NNR20" s="414"/>
      <c r="NNS20" s="414"/>
      <c r="NNT20" s="414"/>
      <c r="NNU20" s="414"/>
      <c r="NNV20" s="414"/>
      <c r="NNW20" s="414"/>
      <c r="NNX20" s="414"/>
      <c r="NNY20" s="414"/>
      <c r="NNZ20" s="414"/>
      <c r="NOA20" s="414"/>
      <c r="NOB20" s="414"/>
      <c r="NOC20" s="414"/>
      <c r="NOD20" s="414"/>
      <c r="NOE20" s="414"/>
      <c r="NOF20" s="414"/>
      <c r="NOG20" s="414"/>
      <c r="NOH20" s="414"/>
      <c r="NOI20" s="414"/>
      <c r="NOJ20" s="414"/>
      <c r="NOK20" s="414"/>
      <c r="NOL20" s="414"/>
      <c r="NOM20" s="414"/>
      <c r="NON20" s="414"/>
      <c r="NOO20" s="414"/>
      <c r="NOP20" s="414"/>
      <c r="NOQ20" s="414"/>
      <c r="NOR20" s="414"/>
      <c r="NOS20" s="414"/>
      <c r="NOT20" s="414"/>
      <c r="NOU20" s="414"/>
      <c r="NOV20" s="414"/>
      <c r="NOW20" s="414"/>
      <c r="NOX20" s="414"/>
      <c r="NOY20" s="414"/>
      <c r="NOZ20" s="414"/>
      <c r="NPA20" s="414"/>
      <c r="NPB20" s="414"/>
      <c r="NPC20" s="414"/>
      <c r="NPD20" s="414"/>
      <c r="NPE20" s="414"/>
      <c r="NPF20" s="414"/>
      <c r="NPG20" s="414"/>
      <c r="NPH20" s="414"/>
      <c r="NPI20" s="414"/>
      <c r="NPJ20" s="414"/>
      <c r="NPK20" s="414"/>
      <c r="NPL20" s="414"/>
      <c r="NPM20" s="414"/>
      <c r="NPN20" s="414"/>
      <c r="NPO20" s="414"/>
      <c r="NPP20" s="414"/>
      <c r="NPQ20" s="414"/>
      <c r="NPR20" s="414"/>
      <c r="NPS20" s="414"/>
      <c r="NPT20" s="414"/>
      <c r="NPU20" s="414"/>
      <c r="NPV20" s="414"/>
      <c r="NPW20" s="414"/>
      <c r="NPX20" s="414"/>
      <c r="NPY20" s="414"/>
      <c r="NPZ20" s="414"/>
      <c r="NQA20" s="414"/>
      <c r="NQB20" s="414"/>
      <c r="NQC20" s="414"/>
      <c r="NQD20" s="414"/>
      <c r="NQE20" s="414"/>
      <c r="NQF20" s="414"/>
      <c r="NQG20" s="414"/>
      <c r="NQH20" s="414"/>
      <c r="NQI20" s="414"/>
      <c r="NQJ20" s="414"/>
      <c r="NQK20" s="414"/>
      <c r="NQL20" s="414"/>
      <c r="NQM20" s="414"/>
      <c r="NQN20" s="414"/>
      <c r="NQO20" s="414"/>
      <c r="NQP20" s="414"/>
      <c r="NQQ20" s="414"/>
      <c r="NQR20" s="414"/>
      <c r="NQS20" s="414"/>
      <c r="NQT20" s="414"/>
      <c r="NQU20" s="414"/>
      <c r="NQV20" s="414"/>
      <c r="NQW20" s="414"/>
      <c r="NQX20" s="414"/>
      <c r="NQY20" s="414"/>
      <c r="NQZ20" s="414"/>
      <c r="NRA20" s="414"/>
      <c r="NRB20" s="414"/>
      <c r="NRC20" s="414"/>
      <c r="NRD20" s="414"/>
      <c r="NRE20" s="414"/>
      <c r="NRF20" s="414"/>
      <c r="NRG20" s="414"/>
      <c r="NRH20" s="414"/>
      <c r="NRI20" s="414"/>
      <c r="NRJ20" s="414"/>
      <c r="NRK20" s="414"/>
      <c r="NRL20" s="414"/>
      <c r="NRM20" s="414"/>
      <c r="NRN20" s="414"/>
      <c r="NRO20" s="414"/>
      <c r="NRP20" s="414"/>
      <c r="NRQ20" s="414"/>
      <c r="NRR20" s="414"/>
      <c r="NRS20" s="414"/>
      <c r="NRT20" s="414"/>
      <c r="NRU20" s="414"/>
      <c r="NRV20" s="414"/>
      <c r="NRW20" s="414"/>
      <c r="NRX20" s="414"/>
      <c r="NRY20" s="414"/>
      <c r="NRZ20" s="414"/>
      <c r="NSA20" s="414"/>
      <c r="NSB20" s="414"/>
      <c r="NSC20" s="414"/>
      <c r="NSD20" s="414"/>
      <c r="NSE20" s="414"/>
      <c r="NSF20" s="414"/>
      <c r="NSG20" s="414"/>
      <c r="NSH20" s="414"/>
      <c r="NSI20" s="414"/>
      <c r="NSJ20" s="414"/>
      <c r="NSK20" s="414"/>
      <c r="NSL20" s="414"/>
      <c r="NSM20" s="414"/>
      <c r="NSN20" s="414"/>
      <c r="NSO20" s="414"/>
      <c r="NSP20" s="414"/>
      <c r="NSQ20" s="414"/>
      <c r="NSR20" s="414"/>
      <c r="NSS20" s="414"/>
      <c r="NST20" s="414"/>
      <c r="NSU20" s="414"/>
      <c r="NSV20" s="414"/>
      <c r="NSW20" s="414"/>
      <c r="NSX20" s="414"/>
      <c r="NSY20" s="414"/>
      <c r="NSZ20" s="414"/>
      <c r="NTA20" s="414"/>
      <c r="NTB20" s="414"/>
      <c r="NTC20" s="414"/>
      <c r="NTD20" s="414"/>
      <c r="NTE20" s="414"/>
      <c r="NTF20" s="414"/>
      <c r="NTG20" s="414"/>
      <c r="NTH20" s="414"/>
      <c r="NTI20" s="414"/>
      <c r="NTJ20" s="414"/>
      <c r="NTK20" s="414"/>
      <c r="NTL20" s="414"/>
      <c r="NTM20" s="414"/>
      <c r="NTN20" s="414"/>
      <c r="NTO20" s="414"/>
      <c r="NTP20" s="414"/>
      <c r="NTQ20" s="414"/>
      <c r="NTR20" s="414"/>
      <c r="NTS20" s="414"/>
      <c r="NTT20" s="414"/>
      <c r="NTU20" s="414"/>
      <c r="NTV20" s="414"/>
      <c r="NTW20" s="414"/>
      <c r="NTX20" s="414"/>
      <c r="NTY20" s="414"/>
      <c r="NTZ20" s="414"/>
      <c r="NUA20" s="414"/>
      <c r="NUB20" s="414"/>
      <c r="NUC20" s="414"/>
      <c r="NUD20" s="414"/>
      <c r="NUE20" s="414"/>
      <c r="NUF20" s="414"/>
      <c r="NUG20" s="414"/>
      <c r="NUH20" s="414"/>
      <c r="NUI20" s="414"/>
      <c r="NUJ20" s="414"/>
      <c r="NUK20" s="414"/>
      <c r="NUL20" s="414"/>
      <c r="NUM20" s="414"/>
      <c r="NUN20" s="414"/>
      <c r="NUO20" s="414"/>
      <c r="NUP20" s="414"/>
      <c r="NUQ20" s="414"/>
      <c r="NUR20" s="414"/>
      <c r="NUS20" s="414"/>
      <c r="NUT20" s="414"/>
      <c r="NUU20" s="414"/>
      <c r="NUV20" s="414"/>
      <c r="NUW20" s="414"/>
      <c r="NUX20" s="414"/>
      <c r="NUY20" s="414"/>
      <c r="NUZ20" s="414"/>
      <c r="NVA20" s="414"/>
      <c r="NVB20" s="414"/>
      <c r="NVC20" s="414"/>
      <c r="NVD20" s="414"/>
      <c r="NVE20" s="414"/>
      <c r="NVF20" s="414"/>
      <c r="NVG20" s="414"/>
      <c r="NVH20" s="414"/>
      <c r="NVI20" s="414"/>
      <c r="NVJ20" s="414"/>
      <c r="NVK20" s="414"/>
      <c r="NVL20" s="414"/>
      <c r="NVM20" s="414"/>
      <c r="NVN20" s="414"/>
      <c r="NVO20" s="414"/>
      <c r="NVP20" s="414"/>
      <c r="NVQ20" s="414"/>
      <c r="NVR20" s="414"/>
      <c r="NVS20" s="414"/>
      <c r="NVT20" s="414"/>
      <c r="NVU20" s="414"/>
      <c r="NVV20" s="414"/>
      <c r="NVW20" s="414"/>
      <c r="NVX20" s="414"/>
      <c r="NVY20" s="414"/>
      <c r="NVZ20" s="414"/>
      <c r="NWA20" s="414"/>
      <c r="NWB20" s="414"/>
      <c r="NWC20" s="414"/>
      <c r="NWD20" s="414"/>
      <c r="NWE20" s="414"/>
      <c r="NWF20" s="414"/>
      <c r="NWG20" s="414"/>
      <c r="NWH20" s="414"/>
      <c r="NWI20" s="414"/>
      <c r="NWJ20" s="414"/>
      <c r="NWK20" s="414"/>
      <c r="NWL20" s="414"/>
      <c r="NWM20" s="414"/>
      <c r="NWN20" s="414"/>
      <c r="NWO20" s="414"/>
      <c r="NWP20" s="414"/>
      <c r="NWQ20" s="414"/>
      <c r="NWR20" s="414"/>
      <c r="NWS20" s="414"/>
      <c r="NWT20" s="414"/>
      <c r="NWU20" s="414"/>
      <c r="NWV20" s="414"/>
      <c r="NWW20" s="414"/>
      <c r="NWX20" s="414"/>
      <c r="NWY20" s="414"/>
      <c r="NWZ20" s="414"/>
      <c r="NXA20" s="414"/>
      <c r="NXB20" s="414"/>
      <c r="NXC20" s="414"/>
      <c r="NXD20" s="414"/>
      <c r="NXE20" s="414"/>
      <c r="NXF20" s="414"/>
      <c r="NXG20" s="414"/>
      <c r="NXH20" s="414"/>
      <c r="NXI20" s="414"/>
      <c r="NXJ20" s="414"/>
      <c r="NXK20" s="414"/>
      <c r="NXL20" s="414"/>
      <c r="NXM20" s="414"/>
      <c r="NXN20" s="414"/>
      <c r="NXO20" s="414"/>
      <c r="NXP20" s="414"/>
      <c r="NXQ20" s="414"/>
      <c r="NXR20" s="414"/>
      <c r="NXS20" s="414"/>
      <c r="NXT20" s="414"/>
      <c r="NXU20" s="414"/>
      <c r="NXV20" s="414"/>
      <c r="NXW20" s="414"/>
      <c r="NXX20" s="414"/>
      <c r="NXY20" s="414"/>
      <c r="NXZ20" s="414"/>
      <c r="NYA20" s="414"/>
      <c r="NYB20" s="414"/>
      <c r="NYC20" s="414"/>
      <c r="NYD20" s="414"/>
      <c r="NYE20" s="414"/>
      <c r="NYF20" s="414"/>
      <c r="NYG20" s="414"/>
      <c r="NYH20" s="414"/>
      <c r="NYI20" s="414"/>
      <c r="NYJ20" s="414"/>
      <c r="NYK20" s="414"/>
      <c r="NYL20" s="414"/>
      <c r="NYM20" s="414"/>
      <c r="NYN20" s="414"/>
      <c r="NYO20" s="414"/>
      <c r="NYP20" s="414"/>
      <c r="NYQ20" s="414"/>
      <c r="NYR20" s="414"/>
      <c r="NYS20" s="414"/>
      <c r="NYT20" s="414"/>
      <c r="NYU20" s="414"/>
      <c r="NYV20" s="414"/>
      <c r="NYW20" s="414"/>
      <c r="NYX20" s="414"/>
      <c r="NYY20" s="414"/>
      <c r="NYZ20" s="414"/>
      <c r="NZA20" s="414"/>
      <c r="NZB20" s="414"/>
      <c r="NZC20" s="414"/>
      <c r="NZD20" s="414"/>
      <c r="NZE20" s="414"/>
      <c r="NZF20" s="414"/>
      <c r="NZG20" s="414"/>
      <c r="NZH20" s="414"/>
      <c r="NZI20" s="414"/>
      <c r="NZJ20" s="414"/>
      <c r="NZK20" s="414"/>
      <c r="NZL20" s="414"/>
      <c r="NZM20" s="414"/>
      <c r="NZN20" s="414"/>
      <c r="NZO20" s="414"/>
      <c r="NZP20" s="414"/>
      <c r="NZQ20" s="414"/>
      <c r="NZR20" s="414"/>
      <c r="NZS20" s="414"/>
      <c r="NZT20" s="414"/>
      <c r="NZU20" s="414"/>
      <c r="NZV20" s="414"/>
      <c r="NZW20" s="414"/>
      <c r="NZX20" s="414"/>
      <c r="NZY20" s="414"/>
      <c r="NZZ20" s="414"/>
      <c r="OAA20" s="414"/>
      <c r="OAB20" s="414"/>
      <c r="OAC20" s="414"/>
      <c r="OAD20" s="414"/>
      <c r="OAE20" s="414"/>
      <c r="OAF20" s="414"/>
      <c r="OAG20" s="414"/>
      <c r="OAH20" s="414"/>
      <c r="OAI20" s="414"/>
      <c r="OAJ20" s="414"/>
      <c r="OAK20" s="414"/>
      <c r="OAL20" s="414"/>
      <c r="OAM20" s="414"/>
      <c r="OAN20" s="414"/>
      <c r="OAO20" s="414"/>
      <c r="OAP20" s="414"/>
      <c r="OAQ20" s="414"/>
      <c r="OAR20" s="414"/>
      <c r="OAS20" s="414"/>
      <c r="OAT20" s="414"/>
      <c r="OAU20" s="414"/>
      <c r="OAV20" s="414"/>
      <c r="OAW20" s="414"/>
      <c r="OAX20" s="414"/>
      <c r="OAY20" s="414"/>
      <c r="OAZ20" s="414"/>
      <c r="OBA20" s="414"/>
      <c r="OBB20" s="414"/>
      <c r="OBC20" s="414"/>
      <c r="OBD20" s="414"/>
      <c r="OBE20" s="414"/>
      <c r="OBF20" s="414"/>
      <c r="OBG20" s="414"/>
      <c r="OBH20" s="414"/>
      <c r="OBI20" s="414"/>
      <c r="OBJ20" s="414"/>
      <c r="OBK20" s="414"/>
      <c r="OBL20" s="414"/>
      <c r="OBM20" s="414"/>
      <c r="OBN20" s="414"/>
      <c r="OBO20" s="414"/>
      <c r="OBP20" s="414"/>
      <c r="OBQ20" s="414"/>
      <c r="OBR20" s="414"/>
      <c r="OBS20" s="414"/>
      <c r="OBT20" s="414"/>
      <c r="OBU20" s="414"/>
      <c r="OBV20" s="414"/>
      <c r="OBW20" s="414"/>
      <c r="OBX20" s="414"/>
      <c r="OBY20" s="414"/>
      <c r="OBZ20" s="414"/>
      <c r="OCA20" s="414"/>
      <c r="OCB20" s="414"/>
      <c r="OCC20" s="414"/>
      <c r="OCD20" s="414"/>
      <c r="OCE20" s="414"/>
      <c r="OCF20" s="414"/>
      <c r="OCG20" s="414"/>
      <c r="OCH20" s="414"/>
      <c r="OCI20" s="414"/>
      <c r="OCJ20" s="414"/>
      <c r="OCK20" s="414"/>
      <c r="OCL20" s="414"/>
      <c r="OCM20" s="414"/>
      <c r="OCN20" s="414"/>
      <c r="OCO20" s="414"/>
      <c r="OCP20" s="414"/>
      <c r="OCQ20" s="414"/>
      <c r="OCR20" s="414"/>
      <c r="OCS20" s="414"/>
      <c r="OCT20" s="414"/>
      <c r="OCU20" s="414"/>
      <c r="OCV20" s="414"/>
      <c r="OCW20" s="414"/>
      <c r="OCX20" s="414"/>
      <c r="OCY20" s="414"/>
      <c r="OCZ20" s="414"/>
      <c r="ODA20" s="414"/>
      <c r="ODB20" s="414"/>
      <c r="ODC20" s="414"/>
      <c r="ODD20" s="414"/>
      <c r="ODE20" s="414"/>
      <c r="ODF20" s="414"/>
      <c r="ODG20" s="414"/>
      <c r="ODH20" s="414"/>
      <c r="ODI20" s="414"/>
      <c r="ODJ20" s="414"/>
      <c r="ODK20" s="414"/>
      <c r="ODL20" s="414"/>
      <c r="ODM20" s="414"/>
      <c r="ODN20" s="414"/>
      <c r="ODO20" s="414"/>
      <c r="ODP20" s="414"/>
      <c r="ODQ20" s="414"/>
      <c r="ODR20" s="414"/>
      <c r="ODS20" s="414"/>
      <c r="ODT20" s="414"/>
      <c r="ODU20" s="414"/>
      <c r="ODV20" s="414"/>
      <c r="ODW20" s="414"/>
      <c r="ODX20" s="414"/>
      <c r="ODY20" s="414"/>
      <c r="ODZ20" s="414"/>
      <c r="OEA20" s="414"/>
      <c r="OEB20" s="414"/>
      <c r="OEC20" s="414"/>
      <c r="OED20" s="414"/>
      <c r="OEE20" s="414"/>
      <c r="OEF20" s="414"/>
      <c r="OEG20" s="414"/>
      <c r="OEH20" s="414"/>
      <c r="OEI20" s="414"/>
      <c r="OEJ20" s="414"/>
      <c r="OEK20" s="414"/>
      <c r="OEL20" s="414"/>
      <c r="OEM20" s="414"/>
      <c r="OEN20" s="414"/>
      <c r="OEO20" s="414"/>
      <c r="OEP20" s="414"/>
      <c r="OEQ20" s="414"/>
      <c r="OER20" s="414"/>
      <c r="OES20" s="414"/>
      <c r="OET20" s="414"/>
      <c r="OEU20" s="414"/>
      <c r="OEV20" s="414"/>
      <c r="OEW20" s="414"/>
      <c r="OEX20" s="414"/>
      <c r="OEY20" s="414"/>
      <c r="OEZ20" s="414"/>
      <c r="OFA20" s="414"/>
      <c r="OFB20" s="414"/>
      <c r="OFC20" s="414"/>
      <c r="OFD20" s="414"/>
      <c r="OFE20" s="414"/>
      <c r="OFF20" s="414"/>
      <c r="OFG20" s="414"/>
      <c r="OFH20" s="414"/>
      <c r="OFI20" s="414"/>
      <c r="OFJ20" s="414"/>
      <c r="OFK20" s="414"/>
      <c r="OFL20" s="414"/>
      <c r="OFM20" s="414"/>
      <c r="OFN20" s="414"/>
      <c r="OFO20" s="414"/>
      <c r="OFP20" s="414"/>
      <c r="OFQ20" s="414"/>
      <c r="OFR20" s="414"/>
      <c r="OFS20" s="414"/>
      <c r="OFT20" s="414"/>
      <c r="OFU20" s="414"/>
      <c r="OFV20" s="414"/>
      <c r="OFW20" s="414"/>
      <c r="OFX20" s="414"/>
      <c r="OFY20" s="414"/>
      <c r="OFZ20" s="414"/>
      <c r="OGA20" s="414"/>
      <c r="OGB20" s="414"/>
      <c r="OGC20" s="414"/>
      <c r="OGD20" s="414"/>
      <c r="OGE20" s="414"/>
      <c r="OGF20" s="414"/>
      <c r="OGG20" s="414"/>
      <c r="OGH20" s="414"/>
      <c r="OGI20" s="414"/>
      <c r="OGJ20" s="414"/>
      <c r="OGK20" s="414"/>
      <c r="OGL20" s="414"/>
      <c r="OGM20" s="414"/>
      <c r="OGN20" s="414"/>
      <c r="OGO20" s="414"/>
      <c r="OGP20" s="414"/>
      <c r="OGQ20" s="414"/>
      <c r="OGR20" s="414"/>
      <c r="OGS20" s="414"/>
      <c r="OGT20" s="414"/>
      <c r="OGU20" s="414"/>
      <c r="OGV20" s="414"/>
      <c r="OGW20" s="414"/>
      <c r="OGX20" s="414"/>
      <c r="OGY20" s="414"/>
      <c r="OGZ20" s="414"/>
      <c r="OHA20" s="414"/>
      <c r="OHB20" s="414"/>
      <c r="OHC20" s="414"/>
      <c r="OHD20" s="414"/>
      <c r="OHE20" s="414"/>
      <c r="OHF20" s="414"/>
      <c r="OHG20" s="414"/>
      <c r="OHH20" s="414"/>
      <c r="OHI20" s="414"/>
      <c r="OHJ20" s="414"/>
      <c r="OHK20" s="414"/>
      <c r="OHL20" s="414"/>
      <c r="OHM20" s="414"/>
      <c r="OHN20" s="414"/>
      <c r="OHO20" s="414"/>
      <c r="OHP20" s="414"/>
      <c r="OHQ20" s="414"/>
      <c r="OHR20" s="414"/>
      <c r="OHS20" s="414"/>
      <c r="OHT20" s="414"/>
      <c r="OHU20" s="414"/>
      <c r="OHV20" s="414"/>
      <c r="OHW20" s="414"/>
      <c r="OHX20" s="414"/>
      <c r="OHY20" s="414"/>
      <c r="OHZ20" s="414"/>
      <c r="OIA20" s="414"/>
      <c r="OIB20" s="414"/>
      <c r="OIC20" s="414"/>
      <c r="OID20" s="414"/>
      <c r="OIE20" s="414"/>
      <c r="OIF20" s="414"/>
      <c r="OIG20" s="414"/>
      <c r="OIH20" s="414"/>
      <c r="OII20" s="414"/>
      <c r="OIJ20" s="414"/>
      <c r="OIK20" s="414"/>
      <c r="OIL20" s="414"/>
      <c r="OIM20" s="414"/>
      <c r="OIN20" s="414"/>
      <c r="OIO20" s="414"/>
      <c r="OIP20" s="414"/>
      <c r="OIQ20" s="414"/>
      <c r="OIR20" s="414"/>
      <c r="OIS20" s="414"/>
      <c r="OIT20" s="414"/>
      <c r="OIU20" s="414"/>
      <c r="OIV20" s="414"/>
      <c r="OIW20" s="414"/>
      <c r="OIX20" s="414"/>
      <c r="OIY20" s="414"/>
      <c r="OIZ20" s="414"/>
      <c r="OJA20" s="414"/>
      <c r="OJB20" s="414"/>
      <c r="OJC20" s="414"/>
      <c r="OJD20" s="414"/>
      <c r="OJE20" s="414"/>
      <c r="OJF20" s="414"/>
      <c r="OJG20" s="414"/>
      <c r="OJH20" s="414"/>
      <c r="OJI20" s="414"/>
      <c r="OJJ20" s="414"/>
      <c r="OJK20" s="414"/>
      <c r="OJL20" s="414"/>
      <c r="OJM20" s="414"/>
      <c r="OJN20" s="414"/>
      <c r="OJO20" s="414"/>
      <c r="OJP20" s="414"/>
      <c r="OJQ20" s="414"/>
      <c r="OJR20" s="414"/>
      <c r="OJS20" s="414"/>
      <c r="OJT20" s="414"/>
      <c r="OJU20" s="414"/>
      <c r="OJV20" s="414"/>
      <c r="OJW20" s="414"/>
      <c r="OJX20" s="414"/>
      <c r="OJY20" s="414"/>
      <c r="OJZ20" s="414"/>
      <c r="OKA20" s="414"/>
      <c r="OKB20" s="414"/>
      <c r="OKC20" s="414"/>
      <c r="OKD20" s="414"/>
      <c r="OKE20" s="414"/>
      <c r="OKF20" s="414"/>
      <c r="OKG20" s="414"/>
      <c r="OKH20" s="414"/>
      <c r="OKI20" s="414"/>
      <c r="OKJ20" s="414"/>
      <c r="OKK20" s="414"/>
      <c r="OKL20" s="414"/>
      <c r="OKM20" s="414"/>
      <c r="OKN20" s="414"/>
      <c r="OKO20" s="414"/>
      <c r="OKP20" s="414"/>
      <c r="OKQ20" s="414"/>
      <c r="OKR20" s="414"/>
      <c r="OKS20" s="414"/>
      <c r="OKT20" s="414"/>
      <c r="OKU20" s="414"/>
      <c r="OKV20" s="414"/>
      <c r="OKW20" s="414"/>
      <c r="OKX20" s="414"/>
      <c r="OKY20" s="414"/>
      <c r="OKZ20" s="414"/>
      <c r="OLA20" s="414"/>
      <c r="OLB20" s="414"/>
      <c r="OLC20" s="414"/>
      <c r="OLD20" s="414"/>
      <c r="OLE20" s="414"/>
      <c r="OLF20" s="414"/>
      <c r="OLG20" s="414"/>
      <c r="OLH20" s="414"/>
      <c r="OLI20" s="414"/>
      <c r="OLJ20" s="414"/>
      <c r="OLK20" s="414"/>
      <c r="OLL20" s="414"/>
      <c r="OLM20" s="414"/>
      <c r="OLN20" s="414"/>
      <c r="OLO20" s="414"/>
      <c r="OLP20" s="414"/>
      <c r="OLQ20" s="414"/>
      <c r="OLR20" s="414"/>
      <c r="OLS20" s="414"/>
      <c r="OLT20" s="414"/>
      <c r="OLU20" s="414"/>
      <c r="OLV20" s="414"/>
      <c r="OLW20" s="414"/>
      <c r="OLX20" s="414"/>
      <c r="OLY20" s="414"/>
      <c r="OLZ20" s="414"/>
      <c r="OMA20" s="414"/>
      <c r="OMB20" s="414"/>
      <c r="OMC20" s="414"/>
      <c r="OMD20" s="414"/>
      <c r="OME20" s="414"/>
      <c r="OMF20" s="414"/>
      <c r="OMG20" s="414"/>
      <c r="OMH20" s="414"/>
      <c r="OMI20" s="414"/>
      <c r="OMJ20" s="414"/>
      <c r="OMK20" s="414"/>
      <c r="OML20" s="414"/>
      <c r="OMM20" s="414"/>
      <c r="OMN20" s="414"/>
      <c r="OMO20" s="414"/>
      <c r="OMP20" s="414"/>
      <c r="OMQ20" s="414"/>
      <c r="OMR20" s="414"/>
      <c r="OMS20" s="414"/>
      <c r="OMT20" s="414"/>
      <c r="OMU20" s="414"/>
      <c r="OMV20" s="414"/>
      <c r="OMW20" s="414"/>
      <c r="OMX20" s="414"/>
      <c r="OMY20" s="414"/>
      <c r="OMZ20" s="414"/>
      <c r="ONA20" s="414"/>
      <c r="ONB20" s="414"/>
      <c r="ONC20" s="414"/>
      <c r="OND20" s="414"/>
      <c r="ONE20" s="414"/>
      <c r="ONF20" s="414"/>
      <c r="ONG20" s="414"/>
      <c r="ONH20" s="414"/>
      <c r="ONI20" s="414"/>
      <c r="ONJ20" s="414"/>
      <c r="ONK20" s="414"/>
      <c r="ONL20" s="414"/>
      <c r="ONM20" s="414"/>
      <c r="ONN20" s="414"/>
      <c r="ONO20" s="414"/>
      <c r="ONP20" s="414"/>
      <c r="ONQ20" s="414"/>
      <c r="ONR20" s="414"/>
      <c r="ONS20" s="414"/>
      <c r="ONT20" s="414"/>
      <c r="ONU20" s="414"/>
      <c r="ONV20" s="414"/>
      <c r="ONW20" s="414"/>
      <c r="ONX20" s="414"/>
      <c r="ONY20" s="414"/>
      <c r="ONZ20" s="414"/>
      <c r="OOA20" s="414"/>
      <c r="OOB20" s="414"/>
      <c r="OOC20" s="414"/>
      <c r="OOD20" s="414"/>
      <c r="OOE20" s="414"/>
      <c r="OOF20" s="414"/>
      <c r="OOG20" s="414"/>
      <c r="OOH20" s="414"/>
      <c r="OOI20" s="414"/>
      <c r="OOJ20" s="414"/>
      <c r="OOK20" s="414"/>
      <c r="OOL20" s="414"/>
      <c r="OOM20" s="414"/>
      <c r="OON20" s="414"/>
      <c r="OOO20" s="414"/>
      <c r="OOP20" s="414"/>
      <c r="OOQ20" s="414"/>
      <c r="OOR20" s="414"/>
      <c r="OOS20" s="414"/>
      <c r="OOT20" s="414"/>
      <c r="OOU20" s="414"/>
      <c r="OOV20" s="414"/>
      <c r="OOW20" s="414"/>
      <c r="OOX20" s="414"/>
      <c r="OOY20" s="414"/>
      <c r="OOZ20" s="414"/>
      <c r="OPA20" s="414"/>
      <c r="OPB20" s="414"/>
      <c r="OPC20" s="414"/>
      <c r="OPD20" s="414"/>
      <c r="OPE20" s="414"/>
      <c r="OPF20" s="414"/>
      <c r="OPG20" s="414"/>
      <c r="OPH20" s="414"/>
      <c r="OPI20" s="414"/>
      <c r="OPJ20" s="414"/>
      <c r="OPK20" s="414"/>
      <c r="OPL20" s="414"/>
      <c r="OPM20" s="414"/>
      <c r="OPN20" s="414"/>
      <c r="OPO20" s="414"/>
      <c r="OPP20" s="414"/>
      <c r="OPQ20" s="414"/>
      <c r="OPR20" s="414"/>
      <c r="OPS20" s="414"/>
      <c r="OPT20" s="414"/>
      <c r="OPU20" s="414"/>
      <c r="OPV20" s="414"/>
      <c r="OPW20" s="414"/>
      <c r="OPX20" s="414"/>
      <c r="OPY20" s="414"/>
      <c r="OPZ20" s="414"/>
      <c r="OQA20" s="414"/>
      <c r="OQB20" s="414"/>
      <c r="OQC20" s="414"/>
      <c r="OQD20" s="414"/>
      <c r="OQE20" s="414"/>
      <c r="OQF20" s="414"/>
      <c r="OQG20" s="414"/>
      <c r="OQH20" s="414"/>
      <c r="OQI20" s="414"/>
      <c r="OQJ20" s="414"/>
      <c r="OQK20" s="414"/>
      <c r="OQL20" s="414"/>
      <c r="OQM20" s="414"/>
      <c r="OQN20" s="414"/>
      <c r="OQO20" s="414"/>
      <c r="OQP20" s="414"/>
      <c r="OQQ20" s="414"/>
      <c r="OQR20" s="414"/>
      <c r="OQS20" s="414"/>
      <c r="OQT20" s="414"/>
      <c r="OQU20" s="414"/>
      <c r="OQV20" s="414"/>
      <c r="OQW20" s="414"/>
      <c r="OQX20" s="414"/>
      <c r="OQY20" s="414"/>
      <c r="OQZ20" s="414"/>
      <c r="ORA20" s="414"/>
      <c r="ORB20" s="414"/>
      <c r="ORC20" s="414"/>
      <c r="ORD20" s="414"/>
      <c r="ORE20" s="414"/>
      <c r="ORF20" s="414"/>
      <c r="ORG20" s="414"/>
      <c r="ORH20" s="414"/>
      <c r="ORI20" s="414"/>
      <c r="ORJ20" s="414"/>
      <c r="ORK20" s="414"/>
      <c r="ORL20" s="414"/>
      <c r="ORM20" s="414"/>
      <c r="ORN20" s="414"/>
      <c r="ORO20" s="414"/>
      <c r="ORP20" s="414"/>
      <c r="ORQ20" s="414"/>
      <c r="ORR20" s="414"/>
      <c r="ORS20" s="414"/>
      <c r="ORT20" s="414"/>
      <c r="ORU20" s="414"/>
      <c r="ORV20" s="414"/>
      <c r="ORW20" s="414"/>
      <c r="ORX20" s="414"/>
      <c r="ORY20" s="414"/>
      <c r="ORZ20" s="414"/>
      <c r="OSA20" s="414"/>
      <c r="OSB20" s="414"/>
      <c r="OSC20" s="414"/>
      <c r="OSD20" s="414"/>
      <c r="OSE20" s="414"/>
      <c r="OSF20" s="414"/>
      <c r="OSG20" s="414"/>
      <c r="OSH20" s="414"/>
      <c r="OSI20" s="414"/>
      <c r="OSJ20" s="414"/>
      <c r="OSK20" s="414"/>
      <c r="OSL20" s="414"/>
      <c r="OSM20" s="414"/>
      <c r="OSN20" s="414"/>
      <c r="OSO20" s="414"/>
      <c r="OSP20" s="414"/>
      <c r="OSQ20" s="414"/>
      <c r="OSR20" s="414"/>
      <c r="OSS20" s="414"/>
      <c r="OST20" s="414"/>
      <c r="OSU20" s="414"/>
      <c r="OSV20" s="414"/>
      <c r="OSW20" s="414"/>
      <c r="OSX20" s="414"/>
      <c r="OSY20" s="414"/>
      <c r="OSZ20" s="414"/>
      <c r="OTA20" s="414"/>
      <c r="OTB20" s="414"/>
      <c r="OTC20" s="414"/>
      <c r="OTD20" s="414"/>
      <c r="OTE20" s="414"/>
      <c r="OTF20" s="414"/>
      <c r="OTG20" s="414"/>
      <c r="OTH20" s="414"/>
      <c r="OTI20" s="414"/>
      <c r="OTJ20" s="414"/>
      <c r="OTK20" s="414"/>
      <c r="OTL20" s="414"/>
      <c r="OTM20" s="414"/>
      <c r="OTN20" s="414"/>
      <c r="OTO20" s="414"/>
      <c r="OTP20" s="414"/>
      <c r="OTQ20" s="414"/>
      <c r="OTR20" s="414"/>
      <c r="OTS20" s="414"/>
      <c r="OTT20" s="414"/>
      <c r="OTU20" s="414"/>
      <c r="OTV20" s="414"/>
      <c r="OTW20" s="414"/>
      <c r="OTX20" s="414"/>
      <c r="OTY20" s="414"/>
      <c r="OTZ20" s="414"/>
      <c r="OUA20" s="414"/>
      <c r="OUB20" s="414"/>
      <c r="OUC20" s="414"/>
      <c r="OUD20" s="414"/>
      <c r="OUE20" s="414"/>
      <c r="OUF20" s="414"/>
      <c r="OUG20" s="414"/>
      <c r="OUH20" s="414"/>
      <c r="OUI20" s="414"/>
      <c r="OUJ20" s="414"/>
      <c r="OUK20" s="414"/>
      <c r="OUL20" s="414"/>
      <c r="OUM20" s="414"/>
      <c r="OUN20" s="414"/>
      <c r="OUO20" s="414"/>
      <c r="OUP20" s="414"/>
      <c r="OUQ20" s="414"/>
      <c r="OUR20" s="414"/>
      <c r="OUS20" s="414"/>
      <c r="OUT20" s="414"/>
      <c r="OUU20" s="414"/>
      <c r="OUV20" s="414"/>
      <c r="OUW20" s="414"/>
      <c r="OUX20" s="414"/>
      <c r="OUY20" s="414"/>
      <c r="OUZ20" s="414"/>
      <c r="OVA20" s="414"/>
      <c r="OVB20" s="414"/>
      <c r="OVC20" s="414"/>
      <c r="OVD20" s="414"/>
      <c r="OVE20" s="414"/>
      <c r="OVF20" s="414"/>
      <c r="OVG20" s="414"/>
      <c r="OVH20" s="414"/>
      <c r="OVI20" s="414"/>
      <c r="OVJ20" s="414"/>
      <c r="OVK20" s="414"/>
      <c r="OVL20" s="414"/>
      <c r="OVM20" s="414"/>
      <c r="OVN20" s="414"/>
      <c r="OVO20" s="414"/>
      <c r="OVP20" s="414"/>
      <c r="OVQ20" s="414"/>
      <c r="OVR20" s="414"/>
      <c r="OVS20" s="414"/>
      <c r="OVT20" s="414"/>
      <c r="OVU20" s="414"/>
      <c r="OVV20" s="414"/>
      <c r="OVW20" s="414"/>
      <c r="OVX20" s="414"/>
      <c r="OVY20" s="414"/>
      <c r="OVZ20" s="414"/>
      <c r="OWA20" s="414"/>
      <c r="OWB20" s="414"/>
      <c r="OWC20" s="414"/>
      <c r="OWD20" s="414"/>
      <c r="OWE20" s="414"/>
      <c r="OWF20" s="414"/>
      <c r="OWG20" s="414"/>
      <c r="OWH20" s="414"/>
      <c r="OWI20" s="414"/>
      <c r="OWJ20" s="414"/>
      <c r="OWK20" s="414"/>
      <c r="OWL20" s="414"/>
      <c r="OWM20" s="414"/>
      <c r="OWN20" s="414"/>
      <c r="OWO20" s="414"/>
      <c r="OWP20" s="414"/>
      <c r="OWQ20" s="414"/>
      <c r="OWR20" s="414"/>
      <c r="OWS20" s="414"/>
      <c r="OWT20" s="414"/>
      <c r="OWU20" s="414"/>
      <c r="OWV20" s="414"/>
      <c r="OWW20" s="414"/>
      <c r="OWX20" s="414"/>
      <c r="OWY20" s="414"/>
      <c r="OWZ20" s="414"/>
      <c r="OXA20" s="414"/>
      <c r="OXB20" s="414"/>
      <c r="OXC20" s="414"/>
      <c r="OXD20" s="414"/>
      <c r="OXE20" s="414"/>
      <c r="OXF20" s="414"/>
      <c r="OXG20" s="414"/>
      <c r="OXH20" s="414"/>
      <c r="OXI20" s="414"/>
      <c r="OXJ20" s="414"/>
      <c r="OXK20" s="414"/>
      <c r="OXL20" s="414"/>
      <c r="OXM20" s="414"/>
      <c r="OXN20" s="414"/>
      <c r="OXO20" s="414"/>
      <c r="OXP20" s="414"/>
      <c r="OXQ20" s="414"/>
      <c r="OXR20" s="414"/>
      <c r="OXS20" s="414"/>
      <c r="OXT20" s="414"/>
      <c r="OXU20" s="414"/>
      <c r="OXV20" s="414"/>
      <c r="OXW20" s="414"/>
      <c r="OXX20" s="414"/>
      <c r="OXY20" s="414"/>
      <c r="OXZ20" s="414"/>
      <c r="OYA20" s="414"/>
      <c r="OYB20" s="414"/>
      <c r="OYC20" s="414"/>
      <c r="OYD20" s="414"/>
      <c r="OYE20" s="414"/>
      <c r="OYF20" s="414"/>
      <c r="OYG20" s="414"/>
      <c r="OYH20" s="414"/>
      <c r="OYI20" s="414"/>
      <c r="OYJ20" s="414"/>
      <c r="OYK20" s="414"/>
      <c r="OYL20" s="414"/>
      <c r="OYM20" s="414"/>
      <c r="OYN20" s="414"/>
      <c r="OYO20" s="414"/>
      <c r="OYP20" s="414"/>
      <c r="OYQ20" s="414"/>
      <c r="OYR20" s="414"/>
      <c r="OYS20" s="414"/>
      <c r="OYT20" s="414"/>
      <c r="OYU20" s="414"/>
      <c r="OYV20" s="414"/>
      <c r="OYW20" s="414"/>
      <c r="OYX20" s="414"/>
      <c r="OYY20" s="414"/>
      <c r="OYZ20" s="414"/>
      <c r="OZA20" s="414"/>
      <c r="OZB20" s="414"/>
      <c r="OZC20" s="414"/>
      <c r="OZD20" s="414"/>
      <c r="OZE20" s="414"/>
      <c r="OZF20" s="414"/>
      <c r="OZG20" s="414"/>
      <c r="OZH20" s="414"/>
      <c r="OZI20" s="414"/>
      <c r="OZJ20" s="414"/>
      <c r="OZK20" s="414"/>
      <c r="OZL20" s="414"/>
      <c r="OZM20" s="414"/>
      <c r="OZN20" s="414"/>
      <c r="OZO20" s="414"/>
      <c r="OZP20" s="414"/>
      <c r="OZQ20" s="414"/>
      <c r="OZR20" s="414"/>
      <c r="OZS20" s="414"/>
      <c r="OZT20" s="414"/>
      <c r="OZU20" s="414"/>
      <c r="OZV20" s="414"/>
      <c r="OZW20" s="414"/>
      <c r="OZX20" s="414"/>
      <c r="OZY20" s="414"/>
      <c r="OZZ20" s="414"/>
      <c r="PAA20" s="414"/>
      <c r="PAB20" s="414"/>
      <c r="PAC20" s="414"/>
      <c r="PAD20" s="414"/>
      <c r="PAE20" s="414"/>
      <c r="PAF20" s="414"/>
      <c r="PAG20" s="414"/>
      <c r="PAH20" s="414"/>
      <c r="PAI20" s="414"/>
      <c r="PAJ20" s="414"/>
      <c r="PAK20" s="414"/>
      <c r="PAL20" s="414"/>
      <c r="PAM20" s="414"/>
      <c r="PAN20" s="414"/>
      <c r="PAO20" s="414"/>
      <c r="PAP20" s="414"/>
      <c r="PAQ20" s="414"/>
      <c r="PAR20" s="414"/>
      <c r="PAS20" s="414"/>
      <c r="PAT20" s="414"/>
      <c r="PAU20" s="414"/>
      <c r="PAV20" s="414"/>
      <c r="PAW20" s="414"/>
      <c r="PAX20" s="414"/>
      <c r="PAY20" s="414"/>
      <c r="PAZ20" s="414"/>
      <c r="PBA20" s="414"/>
      <c r="PBB20" s="414"/>
      <c r="PBC20" s="414"/>
      <c r="PBD20" s="414"/>
      <c r="PBE20" s="414"/>
      <c r="PBF20" s="414"/>
      <c r="PBG20" s="414"/>
      <c r="PBH20" s="414"/>
      <c r="PBI20" s="414"/>
      <c r="PBJ20" s="414"/>
      <c r="PBK20" s="414"/>
      <c r="PBL20" s="414"/>
      <c r="PBM20" s="414"/>
      <c r="PBN20" s="414"/>
      <c r="PBO20" s="414"/>
      <c r="PBP20" s="414"/>
      <c r="PBQ20" s="414"/>
      <c r="PBR20" s="414"/>
      <c r="PBS20" s="414"/>
      <c r="PBT20" s="414"/>
      <c r="PBU20" s="414"/>
      <c r="PBV20" s="414"/>
      <c r="PBW20" s="414"/>
      <c r="PBX20" s="414"/>
      <c r="PBY20" s="414"/>
      <c r="PBZ20" s="414"/>
      <c r="PCA20" s="414"/>
      <c r="PCB20" s="414"/>
      <c r="PCC20" s="414"/>
      <c r="PCD20" s="414"/>
      <c r="PCE20" s="414"/>
      <c r="PCF20" s="414"/>
      <c r="PCG20" s="414"/>
      <c r="PCH20" s="414"/>
      <c r="PCI20" s="414"/>
      <c r="PCJ20" s="414"/>
      <c r="PCK20" s="414"/>
      <c r="PCL20" s="414"/>
      <c r="PCM20" s="414"/>
      <c r="PCN20" s="414"/>
      <c r="PCO20" s="414"/>
      <c r="PCP20" s="414"/>
      <c r="PCQ20" s="414"/>
      <c r="PCR20" s="414"/>
      <c r="PCS20" s="414"/>
      <c r="PCT20" s="414"/>
      <c r="PCU20" s="414"/>
      <c r="PCV20" s="414"/>
      <c r="PCW20" s="414"/>
      <c r="PCX20" s="414"/>
      <c r="PCY20" s="414"/>
      <c r="PCZ20" s="414"/>
      <c r="PDA20" s="414"/>
      <c r="PDB20" s="414"/>
      <c r="PDC20" s="414"/>
      <c r="PDD20" s="414"/>
      <c r="PDE20" s="414"/>
      <c r="PDF20" s="414"/>
      <c r="PDG20" s="414"/>
      <c r="PDH20" s="414"/>
      <c r="PDI20" s="414"/>
      <c r="PDJ20" s="414"/>
      <c r="PDK20" s="414"/>
      <c r="PDL20" s="414"/>
      <c r="PDM20" s="414"/>
      <c r="PDN20" s="414"/>
      <c r="PDO20" s="414"/>
      <c r="PDP20" s="414"/>
      <c r="PDQ20" s="414"/>
      <c r="PDR20" s="414"/>
      <c r="PDS20" s="414"/>
      <c r="PDT20" s="414"/>
      <c r="PDU20" s="414"/>
      <c r="PDV20" s="414"/>
      <c r="PDW20" s="414"/>
      <c r="PDX20" s="414"/>
      <c r="PDY20" s="414"/>
      <c r="PDZ20" s="414"/>
      <c r="PEA20" s="414"/>
      <c r="PEB20" s="414"/>
      <c r="PEC20" s="414"/>
      <c r="PED20" s="414"/>
      <c r="PEE20" s="414"/>
      <c r="PEF20" s="414"/>
      <c r="PEG20" s="414"/>
      <c r="PEH20" s="414"/>
      <c r="PEI20" s="414"/>
      <c r="PEJ20" s="414"/>
      <c r="PEK20" s="414"/>
      <c r="PEL20" s="414"/>
      <c r="PEM20" s="414"/>
      <c r="PEN20" s="414"/>
      <c r="PEO20" s="414"/>
      <c r="PEP20" s="414"/>
      <c r="PEQ20" s="414"/>
      <c r="PER20" s="414"/>
      <c r="PES20" s="414"/>
      <c r="PET20" s="414"/>
      <c r="PEU20" s="414"/>
      <c r="PEV20" s="414"/>
      <c r="PEW20" s="414"/>
      <c r="PEX20" s="414"/>
      <c r="PEY20" s="414"/>
      <c r="PEZ20" s="414"/>
      <c r="PFA20" s="414"/>
      <c r="PFB20" s="414"/>
      <c r="PFC20" s="414"/>
      <c r="PFD20" s="414"/>
      <c r="PFE20" s="414"/>
      <c r="PFF20" s="414"/>
      <c r="PFG20" s="414"/>
      <c r="PFH20" s="414"/>
      <c r="PFI20" s="414"/>
      <c r="PFJ20" s="414"/>
      <c r="PFK20" s="414"/>
      <c r="PFL20" s="414"/>
      <c r="PFM20" s="414"/>
      <c r="PFN20" s="414"/>
      <c r="PFO20" s="414"/>
      <c r="PFP20" s="414"/>
      <c r="PFQ20" s="414"/>
      <c r="PFR20" s="414"/>
      <c r="PFS20" s="414"/>
      <c r="PFT20" s="414"/>
      <c r="PFU20" s="414"/>
      <c r="PFV20" s="414"/>
      <c r="PFW20" s="414"/>
      <c r="PFX20" s="414"/>
      <c r="PFY20" s="414"/>
      <c r="PFZ20" s="414"/>
      <c r="PGA20" s="414"/>
      <c r="PGB20" s="414"/>
      <c r="PGC20" s="414"/>
      <c r="PGD20" s="414"/>
      <c r="PGE20" s="414"/>
      <c r="PGF20" s="414"/>
      <c r="PGG20" s="414"/>
      <c r="PGH20" s="414"/>
      <c r="PGI20" s="414"/>
      <c r="PGJ20" s="414"/>
      <c r="PGK20" s="414"/>
      <c r="PGL20" s="414"/>
      <c r="PGM20" s="414"/>
      <c r="PGN20" s="414"/>
      <c r="PGO20" s="414"/>
      <c r="PGP20" s="414"/>
      <c r="PGQ20" s="414"/>
      <c r="PGR20" s="414"/>
      <c r="PGS20" s="414"/>
      <c r="PGT20" s="414"/>
      <c r="PGU20" s="414"/>
      <c r="PGV20" s="414"/>
      <c r="PGW20" s="414"/>
      <c r="PGX20" s="414"/>
      <c r="PGY20" s="414"/>
      <c r="PGZ20" s="414"/>
      <c r="PHA20" s="414"/>
      <c r="PHB20" s="414"/>
      <c r="PHC20" s="414"/>
      <c r="PHD20" s="414"/>
      <c r="PHE20" s="414"/>
      <c r="PHF20" s="414"/>
      <c r="PHG20" s="414"/>
      <c r="PHH20" s="414"/>
      <c r="PHI20" s="414"/>
      <c r="PHJ20" s="414"/>
      <c r="PHK20" s="414"/>
      <c r="PHL20" s="414"/>
      <c r="PHM20" s="414"/>
      <c r="PHN20" s="414"/>
      <c r="PHO20" s="414"/>
      <c r="PHP20" s="414"/>
      <c r="PHQ20" s="414"/>
      <c r="PHR20" s="414"/>
      <c r="PHS20" s="414"/>
      <c r="PHT20" s="414"/>
      <c r="PHU20" s="414"/>
      <c r="PHV20" s="414"/>
      <c r="PHW20" s="414"/>
      <c r="PHX20" s="414"/>
      <c r="PHY20" s="414"/>
      <c r="PHZ20" s="414"/>
      <c r="PIA20" s="414"/>
      <c r="PIB20" s="414"/>
      <c r="PIC20" s="414"/>
      <c r="PID20" s="414"/>
      <c r="PIE20" s="414"/>
      <c r="PIF20" s="414"/>
      <c r="PIG20" s="414"/>
      <c r="PIH20" s="414"/>
      <c r="PII20" s="414"/>
      <c r="PIJ20" s="414"/>
      <c r="PIK20" s="414"/>
      <c r="PIL20" s="414"/>
      <c r="PIM20" s="414"/>
      <c r="PIN20" s="414"/>
      <c r="PIO20" s="414"/>
      <c r="PIP20" s="414"/>
      <c r="PIQ20" s="414"/>
      <c r="PIR20" s="414"/>
      <c r="PIS20" s="414"/>
      <c r="PIT20" s="414"/>
      <c r="PIU20" s="414"/>
      <c r="PIV20" s="414"/>
      <c r="PIW20" s="414"/>
      <c r="PIX20" s="414"/>
      <c r="PIY20" s="414"/>
      <c r="PIZ20" s="414"/>
      <c r="PJA20" s="414"/>
      <c r="PJB20" s="414"/>
      <c r="PJC20" s="414"/>
      <c r="PJD20" s="414"/>
      <c r="PJE20" s="414"/>
      <c r="PJF20" s="414"/>
      <c r="PJG20" s="414"/>
      <c r="PJH20" s="414"/>
      <c r="PJI20" s="414"/>
      <c r="PJJ20" s="414"/>
      <c r="PJK20" s="414"/>
      <c r="PJL20" s="414"/>
      <c r="PJM20" s="414"/>
      <c r="PJN20" s="414"/>
      <c r="PJO20" s="414"/>
      <c r="PJP20" s="414"/>
      <c r="PJQ20" s="414"/>
      <c r="PJR20" s="414"/>
      <c r="PJS20" s="414"/>
      <c r="PJT20" s="414"/>
      <c r="PJU20" s="414"/>
      <c r="PJV20" s="414"/>
      <c r="PJW20" s="414"/>
      <c r="PJX20" s="414"/>
      <c r="PJY20" s="414"/>
      <c r="PJZ20" s="414"/>
      <c r="PKA20" s="414"/>
      <c r="PKB20" s="414"/>
      <c r="PKC20" s="414"/>
      <c r="PKD20" s="414"/>
      <c r="PKE20" s="414"/>
      <c r="PKF20" s="414"/>
      <c r="PKG20" s="414"/>
      <c r="PKH20" s="414"/>
      <c r="PKI20" s="414"/>
      <c r="PKJ20" s="414"/>
      <c r="PKK20" s="414"/>
      <c r="PKL20" s="414"/>
      <c r="PKM20" s="414"/>
      <c r="PKN20" s="414"/>
      <c r="PKO20" s="414"/>
      <c r="PKP20" s="414"/>
      <c r="PKQ20" s="414"/>
      <c r="PKR20" s="414"/>
      <c r="PKS20" s="414"/>
      <c r="PKT20" s="414"/>
      <c r="PKU20" s="414"/>
      <c r="PKV20" s="414"/>
      <c r="PKW20" s="414"/>
      <c r="PKX20" s="414"/>
      <c r="PKY20" s="414"/>
      <c r="PKZ20" s="414"/>
      <c r="PLA20" s="414"/>
      <c r="PLB20" s="414"/>
      <c r="PLC20" s="414"/>
      <c r="PLD20" s="414"/>
      <c r="PLE20" s="414"/>
      <c r="PLF20" s="414"/>
      <c r="PLG20" s="414"/>
      <c r="PLH20" s="414"/>
      <c r="PLI20" s="414"/>
      <c r="PLJ20" s="414"/>
      <c r="PLK20" s="414"/>
      <c r="PLL20" s="414"/>
      <c r="PLM20" s="414"/>
      <c r="PLN20" s="414"/>
      <c r="PLO20" s="414"/>
      <c r="PLP20" s="414"/>
      <c r="PLQ20" s="414"/>
      <c r="PLR20" s="414"/>
      <c r="PLS20" s="414"/>
      <c r="PLT20" s="414"/>
      <c r="PLU20" s="414"/>
      <c r="PLV20" s="414"/>
      <c r="PLW20" s="414"/>
      <c r="PLX20" s="414"/>
      <c r="PLY20" s="414"/>
      <c r="PLZ20" s="414"/>
      <c r="PMA20" s="414"/>
      <c r="PMB20" s="414"/>
      <c r="PMC20" s="414"/>
      <c r="PMD20" s="414"/>
      <c r="PME20" s="414"/>
      <c r="PMF20" s="414"/>
      <c r="PMG20" s="414"/>
      <c r="PMH20" s="414"/>
      <c r="PMI20" s="414"/>
      <c r="PMJ20" s="414"/>
      <c r="PMK20" s="414"/>
      <c r="PML20" s="414"/>
      <c r="PMM20" s="414"/>
      <c r="PMN20" s="414"/>
      <c r="PMO20" s="414"/>
      <c r="PMP20" s="414"/>
      <c r="PMQ20" s="414"/>
      <c r="PMR20" s="414"/>
      <c r="PMS20" s="414"/>
      <c r="PMT20" s="414"/>
      <c r="PMU20" s="414"/>
      <c r="PMV20" s="414"/>
      <c r="PMW20" s="414"/>
      <c r="PMX20" s="414"/>
      <c r="PMY20" s="414"/>
      <c r="PMZ20" s="414"/>
      <c r="PNA20" s="414"/>
      <c r="PNB20" s="414"/>
      <c r="PNC20" s="414"/>
      <c r="PND20" s="414"/>
      <c r="PNE20" s="414"/>
      <c r="PNF20" s="414"/>
      <c r="PNG20" s="414"/>
      <c r="PNH20" s="414"/>
      <c r="PNI20" s="414"/>
      <c r="PNJ20" s="414"/>
      <c r="PNK20" s="414"/>
      <c r="PNL20" s="414"/>
      <c r="PNM20" s="414"/>
      <c r="PNN20" s="414"/>
      <c r="PNO20" s="414"/>
      <c r="PNP20" s="414"/>
      <c r="PNQ20" s="414"/>
      <c r="PNR20" s="414"/>
      <c r="PNS20" s="414"/>
      <c r="PNT20" s="414"/>
      <c r="PNU20" s="414"/>
      <c r="PNV20" s="414"/>
      <c r="PNW20" s="414"/>
      <c r="PNX20" s="414"/>
      <c r="PNY20" s="414"/>
      <c r="PNZ20" s="414"/>
      <c r="POA20" s="414"/>
      <c r="POB20" s="414"/>
      <c r="POC20" s="414"/>
      <c r="POD20" s="414"/>
      <c r="POE20" s="414"/>
      <c r="POF20" s="414"/>
      <c r="POG20" s="414"/>
      <c r="POH20" s="414"/>
      <c r="POI20" s="414"/>
      <c r="POJ20" s="414"/>
      <c r="POK20" s="414"/>
      <c r="POL20" s="414"/>
      <c r="POM20" s="414"/>
      <c r="PON20" s="414"/>
      <c r="POO20" s="414"/>
      <c r="POP20" s="414"/>
      <c r="POQ20" s="414"/>
      <c r="POR20" s="414"/>
      <c r="POS20" s="414"/>
      <c r="POT20" s="414"/>
      <c r="POU20" s="414"/>
      <c r="POV20" s="414"/>
      <c r="POW20" s="414"/>
      <c r="POX20" s="414"/>
      <c r="POY20" s="414"/>
      <c r="POZ20" s="414"/>
      <c r="PPA20" s="414"/>
      <c r="PPB20" s="414"/>
      <c r="PPC20" s="414"/>
      <c r="PPD20" s="414"/>
      <c r="PPE20" s="414"/>
      <c r="PPF20" s="414"/>
      <c r="PPG20" s="414"/>
      <c r="PPH20" s="414"/>
      <c r="PPI20" s="414"/>
      <c r="PPJ20" s="414"/>
      <c r="PPK20" s="414"/>
      <c r="PPL20" s="414"/>
      <c r="PPM20" s="414"/>
      <c r="PPN20" s="414"/>
      <c r="PPO20" s="414"/>
      <c r="PPP20" s="414"/>
      <c r="PPQ20" s="414"/>
      <c r="PPR20" s="414"/>
      <c r="PPS20" s="414"/>
      <c r="PPT20" s="414"/>
      <c r="PPU20" s="414"/>
      <c r="PPV20" s="414"/>
      <c r="PPW20" s="414"/>
      <c r="PPX20" s="414"/>
      <c r="PPY20" s="414"/>
      <c r="PPZ20" s="414"/>
      <c r="PQA20" s="414"/>
      <c r="PQB20" s="414"/>
      <c r="PQC20" s="414"/>
      <c r="PQD20" s="414"/>
      <c r="PQE20" s="414"/>
      <c r="PQF20" s="414"/>
      <c r="PQG20" s="414"/>
      <c r="PQH20" s="414"/>
      <c r="PQI20" s="414"/>
      <c r="PQJ20" s="414"/>
      <c r="PQK20" s="414"/>
      <c r="PQL20" s="414"/>
      <c r="PQM20" s="414"/>
      <c r="PQN20" s="414"/>
      <c r="PQO20" s="414"/>
      <c r="PQP20" s="414"/>
      <c r="PQQ20" s="414"/>
      <c r="PQR20" s="414"/>
      <c r="PQS20" s="414"/>
      <c r="PQT20" s="414"/>
      <c r="PQU20" s="414"/>
      <c r="PQV20" s="414"/>
      <c r="PQW20" s="414"/>
      <c r="PQX20" s="414"/>
      <c r="PQY20" s="414"/>
      <c r="PQZ20" s="414"/>
      <c r="PRA20" s="414"/>
      <c r="PRB20" s="414"/>
      <c r="PRC20" s="414"/>
      <c r="PRD20" s="414"/>
      <c r="PRE20" s="414"/>
      <c r="PRF20" s="414"/>
      <c r="PRG20" s="414"/>
      <c r="PRH20" s="414"/>
      <c r="PRI20" s="414"/>
      <c r="PRJ20" s="414"/>
      <c r="PRK20" s="414"/>
      <c r="PRL20" s="414"/>
      <c r="PRM20" s="414"/>
      <c r="PRN20" s="414"/>
      <c r="PRO20" s="414"/>
      <c r="PRP20" s="414"/>
      <c r="PRQ20" s="414"/>
      <c r="PRR20" s="414"/>
      <c r="PRS20" s="414"/>
      <c r="PRT20" s="414"/>
      <c r="PRU20" s="414"/>
      <c r="PRV20" s="414"/>
      <c r="PRW20" s="414"/>
      <c r="PRX20" s="414"/>
      <c r="PRY20" s="414"/>
      <c r="PRZ20" s="414"/>
      <c r="PSA20" s="414"/>
      <c r="PSB20" s="414"/>
      <c r="PSC20" s="414"/>
      <c r="PSD20" s="414"/>
      <c r="PSE20" s="414"/>
      <c r="PSF20" s="414"/>
      <c r="PSG20" s="414"/>
      <c r="PSH20" s="414"/>
      <c r="PSI20" s="414"/>
      <c r="PSJ20" s="414"/>
      <c r="PSK20" s="414"/>
      <c r="PSL20" s="414"/>
      <c r="PSM20" s="414"/>
      <c r="PSN20" s="414"/>
      <c r="PSO20" s="414"/>
      <c r="PSP20" s="414"/>
      <c r="PSQ20" s="414"/>
      <c r="PSR20" s="414"/>
      <c r="PSS20" s="414"/>
      <c r="PST20" s="414"/>
      <c r="PSU20" s="414"/>
      <c r="PSV20" s="414"/>
      <c r="PSW20" s="414"/>
      <c r="PSX20" s="414"/>
      <c r="PSY20" s="414"/>
      <c r="PSZ20" s="414"/>
      <c r="PTA20" s="414"/>
      <c r="PTB20" s="414"/>
      <c r="PTC20" s="414"/>
      <c r="PTD20" s="414"/>
      <c r="PTE20" s="414"/>
      <c r="PTF20" s="414"/>
      <c r="PTG20" s="414"/>
      <c r="PTH20" s="414"/>
      <c r="PTI20" s="414"/>
      <c r="PTJ20" s="414"/>
      <c r="PTK20" s="414"/>
      <c r="PTL20" s="414"/>
      <c r="PTM20" s="414"/>
      <c r="PTN20" s="414"/>
      <c r="PTO20" s="414"/>
      <c r="PTP20" s="414"/>
      <c r="PTQ20" s="414"/>
      <c r="PTR20" s="414"/>
      <c r="PTS20" s="414"/>
      <c r="PTT20" s="414"/>
      <c r="PTU20" s="414"/>
      <c r="PTV20" s="414"/>
      <c r="PTW20" s="414"/>
      <c r="PTX20" s="414"/>
      <c r="PTY20" s="414"/>
      <c r="PTZ20" s="414"/>
      <c r="PUA20" s="414"/>
      <c r="PUB20" s="414"/>
      <c r="PUC20" s="414"/>
      <c r="PUD20" s="414"/>
      <c r="PUE20" s="414"/>
      <c r="PUF20" s="414"/>
      <c r="PUG20" s="414"/>
      <c r="PUH20" s="414"/>
      <c r="PUI20" s="414"/>
      <c r="PUJ20" s="414"/>
      <c r="PUK20" s="414"/>
      <c r="PUL20" s="414"/>
      <c r="PUM20" s="414"/>
      <c r="PUN20" s="414"/>
      <c r="PUO20" s="414"/>
      <c r="PUP20" s="414"/>
      <c r="PUQ20" s="414"/>
      <c r="PUR20" s="414"/>
      <c r="PUS20" s="414"/>
      <c r="PUT20" s="414"/>
      <c r="PUU20" s="414"/>
      <c r="PUV20" s="414"/>
      <c r="PUW20" s="414"/>
      <c r="PUX20" s="414"/>
      <c r="PUY20" s="414"/>
      <c r="PUZ20" s="414"/>
      <c r="PVA20" s="414"/>
      <c r="PVB20" s="414"/>
      <c r="PVC20" s="414"/>
      <c r="PVD20" s="414"/>
      <c r="PVE20" s="414"/>
      <c r="PVF20" s="414"/>
      <c r="PVG20" s="414"/>
      <c r="PVH20" s="414"/>
      <c r="PVI20" s="414"/>
      <c r="PVJ20" s="414"/>
      <c r="PVK20" s="414"/>
      <c r="PVL20" s="414"/>
      <c r="PVM20" s="414"/>
      <c r="PVN20" s="414"/>
      <c r="PVO20" s="414"/>
      <c r="PVP20" s="414"/>
      <c r="PVQ20" s="414"/>
      <c r="PVR20" s="414"/>
      <c r="PVS20" s="414"/>
      <c r="PVT20" s="414"/>
      <c r="PVU20" s="414"/>
      <c r="PVV20" s="414"/>
      <c r="PVW20" s="414"/>
      <c r="PVX20" s="414"/>
      <c r="PVY20" s="414"/>
      <c r="PVZ20" s="414"/>
      <c r="PWA20" s="414"/>
      <c r="PWB20" s="414"/>
      <c r="PWC20" s="414"/>
      <c r="PWD20" s="414"/>
      <c r="PWE20" s="414"/>
      <c r="PWF20" s="414"/>
      <c r="PWG20" s="414"/>
      <c r="PWH20" s="414"/>
      <c r="PWI20" s="414"/>
      <c r="PWJ20" s="414"/>
      <c r="PWK20" s="414"/>
      <c r="PWL20" s="414"/>
      <c r="PWM20" s="414"/>
      <c r="PWN20" s="414"/>
      <c r="PWO20" s="414"/>
      <c r="PWP20" s="414"/>
      <c r="PWQ20" s="414"/>
      <c r="PWR20" s="414"/>
      <c r="PWS20" s="414"/>
      <c r="PWT20" s="414"/>
      <c r="PWU20" s="414"/>
      <c r="PWV20" s="414"/>
      <c r="PWW20" s="414"/>
      <c r="PWX20" s="414"/>
      <c r="PWY20" s="414"/>
      <c r="PWZ20" s="414"/>
      <c r="PXA20" s="414"/>
      <c r="PXB20" s="414"/>
      <c r="PXC20" s="414"/>
      <c r="PXD20" s="414"/>
      <c r="PXE20" s="414"/>
      <c r="PXF20" s="414"/>
      <c r="PXG20" s="414"/>
      <c r="PXH20" s="414"/>
      <c r="PXI20" s="414"/>
      <c r="PXJ20" s="414"/>
      <c r="PXK20" s="414"/>
      <c r="PXL20" s="414"/>
      <c r="PXM20" s="414"/>
      <c r="PXN20" s="414"/>
      <c r="PXO20" s="414"/>
      <c r="PXP20" s="414"/>
      <c r="PXQ20" s="414"/>
      <c r="PXR20" s="414"/>
      <c r="PXS20" s="414"/>
      <c r="PXT20" s="414"/>
      <c r="PXU20" s="414"/>
      <c r="PXV20" s="414"/>
      <c r="PXW20" s="414"/>
      <c r="PXX20" s="414"/>
      <c r="PXY20" s="414"/>
      <c r="PXZ20" s="414"/>
      <c r="PYA20" s="414"/>
      <c r="PYB20" s="414"/>
      <c r="PYC20" s="414"/>
      <c r="PYD20" s="414"/>
      <c r="PYE20" s="414"/>
      <c r="PYF20" s="414"/>
      <c r="PYG20" s="414"/>
      <c r="PYH20" s="414"/>
      <c r="PYI20" s="414"/>
      <c r="PYJ20" s="414"/>
      <c r="PYK20" s="414"/>
      <c r="PYL20" s="414"/>
      <c r="PYM20" s="414"/>
      <c r="PYN20" s="414"/>
      <c r="PYO20" s="414"/>
      <c r="PYP20" s="414"/>
      <c r="PYQ20" s="414"/>
      <c r="PYR20" s="414"/>
      <c r="PYS20" s="414"/>
      <c r="PYT20" s="414"/>
      <c r="PYU20" s="414"/>
      <c r="PYV20" s="414"/>
      <c r="PYW20" s="414"/>
      <c r="PYX20" s="414"/>
      <c r="PYY20" s="414"/>
      <c r="PYZ20" s="414"/>
      <c r="PZA20" s="414"/>
      <c r="PZB20" s="414"/>
      <c r="PZC20" s="414"/>
      <c r="PZD20" s="414"/>
      <c r="PZE20" s="414"/>
      <c r="PZF20" s="414"/>
      <c r="PZG20" s="414"/>
      <c r="PZH20" s="414"/>
      <c r="PZI20" s="414"/>
      <c r="PZJ20" s="414"/>
      <c r="PZK20" s="414"/>
      <c r="PZL20" s="414"/>
      <c r="PZM20" s="414"/>
      <c r="PZN20" s="414"/>
      <c r="PZO20" s="414"/>
      <c r="PZP20" s="414"/>
      <c r="PZQ20" s="414"/>
      <c r="PZR20" s="414"/>
      <c r="PZS20" s="414"/>
      <c r="PZT20" s="414"/>
      <c r="PZU20" s="414"/>
      <c r="PZV20" s="414"/>
      <c r="PZW20" s="414"/>
      <c r="PZX20" s="414"/>
      <c r="PZY20" s="414"/>
      <c r="PZZ20" s="414"/>
      <c r="QAA20" s="414"/>
      <c r="QAB20" s="414"/>
      <c r="QAC20" s="414"/>
      <c r="QAD20" s="414"/>
      <c r="QAE20" s="414"/>
      <c r="QAF20" s="414"/>
      <c r="QAG20" s="414"/>
      <c r="QAH20" s="414"/>
      <c r="QAI20" s="414"/>
      <c r="QAJ20" s="414"/>
      <c r="QAK20" s="414"/>
      <c r="QAL20" s="414"/>
      <c r="QAM20" s="414"/>
      <c r="QAN20" s="414"/>
      <c r="QAO20" s="414"/>
      <c r="QAP20" s="414"/>
      <c r="QAQ20" s="414"/>
      <c r="QAR20" s="414"/>
      <c r="QAS20" s="414"/>
      <c r="QAT20" s="414"/>
      <c r="QAU20" s="414"/>
      <c r="QAV20" s="414"/>
      <c r="QAW20" s="414"/>
      <c r="QAX20" s="414"/>
      <c r="QAY20" s="414"/>
      <c r="QAZ20" s="414"/>
      <c r="QBA20" s="414"/>
      <c r="QBB20" s="414"/>
      <c r="QBC20" s="414"/>
      <c r="QBD20" s="414"/>
      <c r="QBE20" s="414"/>
      <c r="QBF20" s="414"/>
      <c r="QBG20" s="414"/>
      <c r="QBH20" s="414"/>
      <c r="QBI20" s="414"/>
      <c r="QBJ20" s="414"/>
      <c r="QBK20" s="414"/>
      <c r="QBL20" s="414"/>
      <c r="QBM20" s="414"/>
      <c r="QBN20" s="414"/>
      <c r="QBO20" s="414"/>
      <c r="QBP20" s="414"/>
      <c r="QBQ20" s="414"/>
      <c r="QBR20" s="414"/>
      <c r="QBS20" s="414"/>
      <c r="QBT20" s="414"/>
      <c r="QBU20" s="414"/>
      <c r="QBV20" s="414"/>
      <c r="QBW20" s="414"/>
      <c r="QBX20" s="414"/>
      <c r="QBY20" s="414"/>
      <c r="QBZ20" s="414"/>
      <c r="QCA20" s="414"/>
      <c r="QCB20" s="414"/>
      <c r="QCC20" s="414"/>
      <c r="QCD20" s="414"/>
      <c r="QCE20" s="414"/>
      <c r="QCF20" s="414"/>
      <c r="QCG20" s="414"/>
      <c r="QCH20" s="414"/>
      <c r="QCI20" s="414"/>
      <c r="QCJ20" s="414"/>
      <c r="QCK20" s="414"/>
      <c r="QCL20" s="414"/>
      <c r="QCM20" s="414"/>
      <c r="QCN20" s="414"/>
      <c r="QCO20" s="414"/>
      <c r="QCP20" s="414"/>
      <c r="QCQ20" s="414"/>
      <c r="QCR20" s="414"/>
      <c r="QCS20" s="414"/>
      <c r="QCT20" s="414"/>
      <c r="QCU20" s="414"/>
      <c r="QCV20" s="414"/>
      <c r="QCW20" s="414"/>
      <c r="QCX20" s="414"/>
      <c r="QCY20" s="414"/>
      <c r="QCZ20" s="414"/>
      <c r="QDA20" s="414"/>
      <c r="QDB20" s="414"/>
      <c r="QDC20" s="414"/>
      <c r="QDD20" s="414"/>
      <c r="QDE20" s="414"/>
      <c r="QDF20" s="414"/>
      <c r="QDG20" s="414"/>
      <c r="QDH20" s="414"/>
      <c r="QDI20" s="414"/>
      <c r="QDJ20" s="414"/>
      <c r="QDK20" s="414"/>
      <c r="QDL20" s="414"/>
      <c r="QDM20" s="414"/>
      <c r="QDN20" s="414"/>
      <c r="QDO20" s="414"/>
      <c r="QDP20" s="414"/>
      <c r="QDQ20" s="414"/>
      <c r="QDR20" s="414"/>
      <c r="QDS20" s="414"/>
      <c r="QDT20" s="414"/>
      <c r="QDU20" s="414"/>
      <c r="QDV20" s="414"/>
      <c r="QDW20" s="414"/>
      <c r="QDX20" s="414"/>
      <c r="QDY20" s="414"/>
      <c r="QDZ20" s="414"/>
      <c r="QEA20" s="414"/>
      <c r="QEB20" s="414"/>
      <c r="QEC20" s="414"/>
      <c r="QED20" s="414"/>
      <c r="QEE20" s="414"/>
      <c r="QEF20" s="414"/>
      <c r="QEG20" s="414"/>
      <c r="QEH20" s="414"/>
      <c r="QEI20" s="414"/>
      <c r="QEJ20" s="414"/>
      <c r="QEK20" s="414"/>
      <c r="QEL20" s="414"/>
      <c r="QEM20" s="414"/>
      <c r="QEN20" s="414"/>
      <c r="QEO20" s="414"/>
      <c r="QEP20" s="414"/>
      <c r="QEQ20" s="414"/>
      <c r="QER20" s="414"/>
      <c r="QES20" s="414"/>
      <c r="QET20" s="414"/>
      <c r="QEU20" s="414"/>
      <c r="QEV20" s="414"/>
      <c r="QEW20" s="414"/>
      <c r="QEX20" s="414"/>
      <c r="QEY20" s="414"/>
      <c r="QEZ20" s="414"/>
      <c r="QFA20" s="414"/>
      <c r="QFB20" s="414"/>
      <c r="QFC20" s="414"/>
      <c r="QFD20" s="414"/>
      <c r="QFE20" s="414"/>
      <c r="QFF20" s="414"/>
      <c r="QFG20" s="414"/>
      <c r="QFH20" s="414"/>
      <c r="QFI20" s="414"/>
      <c r="QFJ20" s="414"/>
      <c r="QFK20" s="414"/>
      <c r="QFL20" s="414"/>
      <c r="QFM20" s="414"/>
      <c r="QFN20" s="414"/>
      <c r="QFO20" s="414"/>
      <c r="QFP20" s="414"/>
      <c r="QFQ20" s="414"/>
      <c r="QFR20" s="414"/>
      <c r="QFS20" s="414"/>
      <c r="QFT20" s="414"/>
      <c r="QFU20" s="414"/>
      <c r="QFV20" s="414"/>
      <c r="QFW20" s="414"/>
      <c r="QFX20" s="414"/>
      <c r="QFY20" s="414"/>
      <c r="QFZ20" s="414"/>
      <c r="QGA20" s="414"/>
      <c r="QGB20" s="414"/>
      <c r="QGC20" s="414"/>
      <c r="QGD20" s="414"/>
      <c r="QGE20" s="414"/>
      <c r="QGF20" s="414"/>
      <c r="QGG20" s="414"/>
      <c r="QGH20" s="414"/>
      <c r="QGI20" s="414"/>
      <c r="QGJ20" s="414"/>
      <c r="QGK20" s="414"/>
      <c r="QGL20" s="414"/>
      <c r="QGM20" s="414"/>
      <c r="QGN20" s="414"/>
      <c r="QGO20" s="414"/>
      <c r="QGP20" s="414"/>
      <c r="QGQ20" s="414"/>
      <c r="QGR20" s="414"/>
      <c r="QGS20" s="414"/>
      <c r="QGT20" s="414"/>
      <c r="QGU20" s="414"/>
      <c r="QGV20" s="414"/>
      <c r="QGW20" s="414"/>
      <c r="QGX20" s="414"/>
      <c r="QGY20" s="414"/>
      <c r="QGZ20" s="414"/>
      <c r="QHA20" s="414"/>
      <c r="QHB20" s="414"/>
      <c r="QHC20" s="414"/>
      <c r="QHD20" s="414"/>
      <c r="QHE20" s="414"/>
      <c r="QHF20" s="414"/>
      <c r="QHG20" s="414"/>
      <c r="QHH20" s="414"/>
      <c r="QHI20" s="414"/>
      <c r="QHJ20" s="414"/>
      <c r="QHK20" s="414"/>
      <c r="QHL20" s="414"/>
      <c r="QHM20" s="414"/>
      <c r="QHN20" s="414"/>
      <c r="QHO20" s="414"/>
      <c r="QHP20" s="414"/>
      <c r="QHQ20" s="414"/>
      <c r="QHR20" s="414"/>
      <c r="QHS20" s="414"/>
      <c r="QHT20" s="414"/>
      <c r="QHU20" s="414"/>
      <c r="QHV20" s="414"/>
      <c r="QHW20" s="414"/>
      <c r="QHX20" s="414"/>
      <c r="QHY20" s="414"/>
      <c r="QHZ20" s="414"/>
      <c r="QIA20" s="414"/>
      <c r="QIB20" s="414"/>
      <c r="QIC20" s="414"/>
      <c r="QID20" s="414"/>
      <c r="QIE20" s="414"/>
      <c r="QIF20" s="414"/>
      <c r="QIG20" s="414"/>
      <c r="QIH20" s="414"/>
      <c r="QII20" s="414"/>
      <c r="QIJ20" s="414"/>
      <c r="QIK20" s="414"/>
      <c r="QIL20" s="414"/>
      <c r="QIM20" s="414"/>
      <c r="QIN20" s="414"/>
      <c r="QIO20" s="414"/>
      <c r="QIP20" s="414"/>
      <c r="QIQ20" s="414"/>
      <c r="QIR20" s="414"/>
      <c r="QIS20" s="414"/>
      <c r="QIT20" s="414"/>
      <c r="QIU20" s="414"/>
      <c r="QIV20" s="414"/>
      <c r="QIW20" s="414"/>
      <c r="QIX20" s="414"/>
      <c r="QIY20" s="414"/>
      <c r="QIZ20" s="414"/>
      <c r="QJA20" s="414"/>
      <c r="QJB20" s="414"/>
      <c r="QJC20" s="414"/>
      <c r="QJD20" s="414"/>
      <c r="QJE20" s="414"/>
      <c r="QJF20" s="414"/>
      <c r="QJG20" s="414"/>
      <c r="QJH20" s="414"/>
      <c r="QJI20" s="414"/>
      <c r="QJJ20" s="414"/>
      <c r="QJK20" s="414"/>
      <c r="QJL20" s="414"/>
      <c r="QJM20" s="414"/>
      <c r="QJN20" s="414"/>
      <c r="QJO20" s="414"/>
      <c r="QJP20" s="414"/>
      <c r="QJQ20" s="414"/>
      <c r="QJR20" s="414"/>
      <c r="QJS20" s="414"/>
      <c r="QJT20" s="414"/>
      <c r="QJU20" s="414"/>
      <c r="QJV20" s="414"/>
      <c r="QJW20" s="414"/>
      <c r="QJX20" s="414"/>
      <c r="QJY20" s="414"/>
      <c r="QJZ20" s="414"/>
      <c r="QKA20" s="414"/>
      <c r="QKB20" s="414"/>
      <c r="QKC20" s="414"/>
      <c r="QKD20" s="414"/>
      <c r="QKE20" s="414"/>
      <c r="QKF20" s="414"/>
      <c r="QKG20" s="414"/>
      <c r="QKH20" s="414"/>
      <c r="QKI20" s="414"/>
      <c r="QKJ20" s="414"/>
      <c r="QKK20" s="414"/>
      <c r="QKL20" s="414"/>
      <c r="QKM20" s="414"/>
      <c r="QKN20" s="414"/>
      <c r="QKO20" s="414"/>
      <c r="QKP20" s="414"/>
      <c r="QKQ20" s="414"/>
      <c r="QKR20" s="414"/>
      <c r="QKS20" s="414"/>
      <c r="QKT20" s="414"/>
      <c r="QKU20" s="414"/>
      <c r="QKV20" s="414"/>
      <c r="QKW20" s="414"/>
      <c r="QKX20" s="414"/>
      <c r="QKY20" s="414"/>
      <c r="QKZ20" s="414"/>
      <c r="QLA20" s="414"/>
      <c r="QLB20" s="414"/>
      <c r="QLC20" s="414"/>
      <c r="QLD20" s="414"/>
      <c r="QLE20" s="414"/>
      <c r="QLF20" s="414"/>
      <c r="QLG20" s="414"/>
      <c r="QLH20" s="414"/>
      <c r="QLI20" s="414"/>
      <c r="QLJ20" s="414"/>
      <c r="QLK20" s="414"/>
      <c r="QLL20" s="414"/>
      <c r="QLM20" s="414"/>
      <c r="QLN20" s="414"/>
      <c r="QLO20" s="414"/>
      <c r="QLP20" s="414"/>
      <c r="QLQ20" s="414"/>
      <c r="QLR20" s="414"/>
      <c r="QLS20" s="414"/>
      <c r="QLT20" s="414"/>
      <c r="QLU20" s="414"/>
      <c r="QLV20" s="414"/>
      <c r="QLW20" s="414"/>
      <c r="QLX20" s="414"/>
      <c r="QLY20" s="414"/>
      <c r="QLZ20" s="414"/>
      <c r="QMA20" s="414"/>
      <c r="QMB20" s="414"/>
      <c r="QMC20" s="414"/>
      <c r="QMD20" s="414"/>
      <c r="QME20" s="414"/>
      <c r="QMF20" s="414"/>
      <c r="QMG20" s="414"/>
      <c r="QMH20" s="414"/>
      <c r="QMI20" s="414"/>
      <c r="QMJ20" s="414"/>
      <c r="QMK20" s="414"/>
      <c r="QML20" s="414"/>
      <c r="QMM20" s="414"/>
      <c r="QMN20" s="414"/>
      <c r="QMO20" s="414"/>
      <c r="QMP20" s="414"/>
      <c r="QMQ20" s="414"/>
      <c r="QMR20" s="414"/>
      <c r="QMS20" s="414"/>
      <c r="QMT20" s="414"/>
      <c r="QMU20" s="414"/>
      <c r="QMV20" s="414"/>
      <c r="QMW20" s="414"/>
      <c r="QMX20" s="414"/>
      <c r="QMY20" s="414"/>
      <c r="QMZ20" s="414"/>
      <c r="QNA20" s="414"/>
      <c r="QNB20" s="414"/>
      <c r="QNC20" s="414"/>
      <c r="QND20" s="414"/>
      <c r="QNE20" s="414"/>
      <c r="QNF20" s="414"/>
      <c r="QNG20" s="414"/>
      <c r="QNH20" s="414"/>
      <c r="QNI20" s="414"/>
      <c r="QNJ20" s="414"/>
      <c r="QNK20" s="414"/>
      <c r="QNL20" s="414"/>
      <c r="QNM20" s="414"/>
      <c r="QNN20" s="414"/>
      <c r="QNO20" s="414"/>
      <c r="QNP20" s="414"/>
      <c r="QNQ20" s="414"/>
      <c r="QNR20" s="414"/>
      <c r="QNS20" s="414"/>
      <c r="QNT20" s="414"/>
      <c r="QNU20" s="414"/>
      <c r="QNV20" s="414"/>
      <c r="QNW20" s="414"/>
      <c r="QNX20" s="414"/>
      <c r="QNY20" s="414"/>
      <c r="QNZ20" s="414"/>
      <c r="QOA20" s="414"/>
      <c r="QOB20" s="414"/>
      <c r="QOC20" s="414"/>
      <c r="QOD20" s="414"/>
      <c r="QOE20" s="414"/>
      <c r="QOF20" s="414"/>
      <c r="QOG20" s="414"/>
      <c r="QOH20" s="414"/>
      <c r="QOI20" s="414"/>
      <c r="QOJ20" s="414"/>
      <c r="QOK20" s="414"/>
      <c r="QOL20" s="414"/>
      <c r="QOM20" s="414"/>
      <c r="QON20" s="414"/>
      <c r="QOO20" s="414"/>
      <c r="QOP20" s="414"/>
      <c r="QOQ20" s="414"/>
      <c r="QOR20" s="414"/>
      <c r="QOS20" s="414"/>
      <c r="QOT20" s="414"/>
      <c r="QOU20" s="414"/>
      <c r="QOV20" s="414"/>
      <c r="QOW20" s="414"/>
      <c r="QOX20" s="414"/>
      <c r="QOY20" s="414"/>
      <c r="QOZ20" s="414"/>
      <c r="QPA20" s="414"/>
      <c r="QPB20" s="414"/>
      <c r="QPC20" s="414"/>
      <c r="QPD20" s="414"/>
      <c r="QPE20" s="414"/>
      <c r="QPF20" s="414"/>
      <c r="QPG20" s="414"/>
      <c r="QPH20" s="414"/>
      <c r="QPI20" s="414"/>
      <c r="QPJ20" s="414"/>
      <c r="QPK20" s="414"/>
      <c r="QPL20" s="414"/>
      <c r="QPM20" s="414"/>
      <c r="QPN20" s="414"/>
      <c r="QPO20" s="414"/>
      <c r="QPP20" s="414"/>
      <c r="QPQ20" s="414"/>
      <c r="QPR20" s="414"/>
      <c r="QPS20" s="414"/>
      <c r="QPT20" s="414"/>
      <c r="QPU20" s="414"/>
      <c r="QPV20" s="414"/>
      <c r="QPW20" s="414"/>
      <c r="QPX20" s="414"/>
      <c r="QPY20" s="414"/>
      <c r="QPZ20" s="414"/>
      <c r="QQA20" s="414"/>
      <c r="QQB20" s="414"/>
      <c r="QQC20" s="414"/>
      <c r="QQD20" s="414"/>
      <c r="QQE20" s="414"/>
      <c r="QQF20" s="414"/>
      <c r="QQG20" s="414"/>
      <c r="QQH20" s="414"/>
      <c r="QQI20" s="414"/>
      <c r="QQJ20" s="414"/>
      <c r="QQK20" s="414"/>
      <c r="QQL20" s="414"/>
      <c r="QQM20" s="414"/>
      <c r="QQN20" s="414"/>
      <c r="QQO20" s="414"/>
      <c r="QQP20" s="414"/>
      <c r="QQQ20" s="414"/>
      <c r="QQR20" s="414"/>
      <c r="QQS20" s="414"/>
      <c r="QQT20" s="414"/>
      <c r="QQU20" s="414"/>
      <c r="QQV20" s="414"/>
      <c r="QQW20" s="414"/>
      <c r="QQX20" s="414"/>
      <c r="QQY20" s="414"/>
      <c r="QQZ20" s="414"/>
      <c r="QRA20" s="414"/>
      <c r="QRB20" s="414"/>
      <c r="QRC20" s="414"/>
      <c r="QRD20" s="414"/>
      <c r="QRE20" s="414"/>
      <c r="QRF20" s="414"/>
      <c r="QRG20" s="414"/>
      <c r="QRH20" s="414"/>
      <c r="QRI20" s="414"/>
      <c r="QRJ20" s="414"/>
      <c r="QRK20" s="414"/>
      <c r="QRL20" s="414"/>
      <c r="QRM20" s="414"/>
      <c r="QRN20" s="414"/>
      <c r="QRO20" s="414"/>
      <c r="QRP20" s="414"/>
      <c r="QRQ20" s="414"/>
      <c r="QRR20" s="414"/>
      <c r="QRS20" s="414"/>
      <c r="QRT20" s="414"/>
      <c r="QRU20" s="414"/>
      <c r="QRV20" s="414"/>
      <c r="QRW20" s="414"/>
      <c r="QRX20" s="414"/>
      <c r="QRY20" s="414"/>
      <c r="QRZ20" s="414"/>
      <c r="QSA20" s="414"/>
      <c r="QSB20" s="414"/>
      <c r="QSC20" s="414"/>
      <c r="QSD20" s="414"/>
      <c r="QSE20" s="414"/>
      <c r="QSF20" s="414"/>
      <c r="QSG20" s="414"/>
      <c r="QSH20" s="414"/>
      <c r="QSI20" s="414"/>
      <c r="QSJ20" s="414"/>
      <c r="QSK20" s="414"/>
      <c r="QSL20" s="414"/>
      <c r="QSM20" s="414"/>
      <c r="QSN20" s="414"/>
      <c r="QSO20" s="414"/>
      <c r="QSP20" s="414"/>
      <c r="QSQ20" s="414"/>
      <c r="QSR20" s="414"/>
      <c r="QSS20" s="414"/>
      <c r="QST20" s="414"/>
      <c r="QSU20" s="414"/>
      <c r="QSV20" s="414"/>
      <c r="QSW20" s="414"/>
      <c r="QSX20" s="414"/>
      <c r="QSY20" s="414"/>
      <c r="QSZ20" s="414"/>
      <c r="QTA20" s="414"/>
      <c r="QTB20" s="414"/>
      <c r="QTC20" s="414"/>
      <c r="QTD20" s="414"/>
      <c r="QTE20" s="414"/>
      <c r="QTF20" s="414"/>
      <c r="QTG20" s="414"/>
      <c r="QTH20" s="414"/>
      <c r="QTI20" s="414"/>
      <c r="QTJ20" s="414"/>
      <c r="QTK20" s="414"/>
      <c r="QTL20" s="414"/>
      <c r="QTM20" s="414"/>
      <c r="QTN20" s="414"/>
      <c r="QTO20" s="414"/>
      <c r="QTP20" s="414"/>
      <c r="QTQ20" s="414"/>
      <c r="QTR20" s="414"/>
      <c r="QTS20" s="414"/>
      <c r="QTT20" s="414"/>
      <c r="QTU20" s="414"/>
      <c r="QTV20" s="414"/>
      <c r="QTW20" s="414"/>
      <c r="QTX20" s="414"/>
      <c r="QTY20" s="414"/>
      <c r="QTZ20" s="414"/>
      <c r="QUA20" s="414"/>
      <c r="QUB20" s="414"/>
      <c r="QUC20" s="414"/>
      <c r="QUD20" s="414"/>
      <c r="QUE20" s="414"/>
      <c r="QUF20" s="414"/>
      <c r="QUG20" s="414"/>
      <c r="QUH20" s="414"/>
      <c r="QUI20" s="414"/>
      <c r="QUJ20" s="414"/>
      <c r="QUK20" s="414"/>
      <c r="QUL20" s="414"/>
      <c r="QUM20" s="414"/>
      <c r="QUN20" s="414"/>
      <c r="QUO20" s="414"/>
      <c r="QUP20" s="414"/>
      <c r="QUQ20" s="414"/>
      <c r="QUR20" s="414"/>
      <c r="QUS20" s="414"/>
      <c r="QUT20" s="414"/>
      <c r="QUU20" s="414"/>
      <c r="QUV20" s="414"/>
      <c r="QUW20" s="414"/>
      <c r="QUX20" s="414"/>
      <c r="QUY20" s="414"/>
      <c r="QUZ20" s="414"/>
      <c r="QVA20" s="414"/>
      <c r="QVB20" s="414"/>
      <c r="QVC20" s="414"/>
      <c r="QVD20" s="414"/>
      <c r="QVE20" s="414"/>
      <c r="QVF20" s="414"/>
      <c r="QVG20" s="414"/>
      <c r="QVH20" s="414"/>
      <c r="QVI20" s="414"/>
      <c r="QVJ20" s="414"/>
      <c r="QVK20" s="414"/>
      <c r="QVL20" s="414"/>
      <c r="QVM20" s="414"/>
      <c r="QVN20" s="414"/>
      <c r="QVO20" s="414"/>
      <c r="QVP20" s="414"/>
      <c r="QVQ20" s="414"/>
      <c r="QVR20" s="414"/>
      <c r="QVS20" s="414"/>
      <c r="QVT20" s="414"/>
      <c r="QVU20" s="414"/>
      <c r="QVV20" s="414"/>
      <c r="QVW20" s="414"/>
      <c r="QVX20" s="414"/>
      <c r="QVY20" s="414"/>
      <c r="QVZ20" s="414"/>
      <c r="QWA20" s="414"/>
      <c r="QWB20" s="414"/>
      <c r="QWC20" s="414"/>
      <c r="QWD20" s="414"/>
      <c r="QWE20" s="414"/>
      <c r="QWF20" s="414"/>
      <c r="QWG20" s="414"/>
      <c r="QWH20" s="414"/>
      <c r="QWI20" s="414"/>
      <c r="QWJ20" s="414"/>
      <c r="QWK20" s="414"/>
      <c r="QWL20" s="414"/>
      <c r="QWM20" s="414"/>
      <c r="QWN20" s="414"/>
      <c r="QWO20" s="414"/>
      <c r="QWP20" s="414"/>
      <c r="QWQ20" s="414"/>
      <c r="QWR20" s="414"/>
      <c r="QWS20" s="414"/>
      <c r="QWT20" s="414"/>
      <c r="QWU20" s="414"/>
      <c r="QWV20" s="414"/>
      <c r="QWW20" s="414"/>
      <c r="QWX20" s="414"/>
      <c r="QWY20" s="414"/>
      <c r="QWZ20" s="414"/>
      <c r="QXA20" s="414"/>
      <c r="QXB20" s="414"/>
      <c r="QXC20" s="414"/>
      <c r="QXD20" s="414"/>
      <c r="QXE20" s="414"/>
      <c r="QXF20" s="414"/>
      <c r="QXG20" s="414"/>
      <c r="QXH20" s="414"/>
      <c r="QXI20" s="414"/>
      <c r="QXJ20" s="414"/>
      <c r="QXK20" s="414"/>
      <c r="QXL20" s="414"/>
      <c r="QXM20" s="414"/>
      <c r="QXN20" s="414"/>
      <c r="QXO20" s="414"/>
      <c r="QXP20" s="414"/>
      <c r="QXQ20" s="414"/>
      <c r="QXR20" s="414"/>
      <c r="QXS20" s="414"/>
      <c r="QXT20" s="414"/>
      <c r="QXU20" s="414"/>
      <c r="QXV20" s="414"/>
      <c r="QXW20" s="414"/>
      <c r="QXX20" s="414"/>
      <c r="QXY20" s="414"/>
      <c r="QXZ20" s="414"/>
      <c r="QYA20" s="414"/>
      <c r="QYB20" s="414"/>
      <c r="QYC20" s="414"/>
      <c r="QYD20" s="414"/>
      <c r="QYE20" s="414"/>
      <c r="QYF20" s="414"/>
      <c r="QYG20" s="414"/>
      <c r="QYH20" s="414"/>
      <c r="QYI20" s="414"/>
      <c r="QYJ20" s="414"/>
      <c r="QYK20" s="414"/>
      <c r="QYL20" s="414"/>
      <c r="QYM20" s="414"/>
      <c r="QYN20" s="414"/>
      <c r="QYO20" s="414"/>
      <c r="QYP20" s="414"/>
      <c r="QYQ20" s="414"/>
      <c r="QYR20" s="414"/>
      <c r="QYS20" s="414"/>
      <c r="QYT20" s="414"/>
      <c r="QYU20" s="414"/>
      <c r="QYV20" s="414"/>
      <c r="QYW20" s="414"/>
      <c r="QYX20" s="414"/>
      <c r="QYY20" s="414"/>
      <c r="QYZ20" s="414"/>
      <c r="QZA20" s="414"/>
      <c r="QZB20" s="414"/>
      <c r="QZC20" s="414"/>
      <c r="QZD20" s="414"/>
      <c r="QZE20" s="414"/>
      <c r="QZF20" s="414"/>
      <c r="QZG20" s="414"/>
      <c r="QZH20" s="414"/>
      <c r="QZI20" s="414"/>
      <c r="QZJ20" s="414"/>
      <c r="QZK20" s="414"/>
      <c r="QZL20" s="414"/>
      <c r="QZM20" s="414"/>
      <c r="QZN20" s="414"/>
      <c r="QZO20" s="414"/>
      <c r="QZP20" s="414"/>
      <c r="QZQ20" s="414"/>
      <c r="QZR20" s="414"/>
      <c r="QZS20" s="414"/>
      <c r="QZT20" s="414"/>
      <c r="QZU20" s="414"/>
      <c r="QZV20" s="414"/>
      <c r="QZW20" s="414"/>
      <c r="QZX20" s="414"/>
      <c r="QZY20" s="414"/>
      <c r="QZZ20" s="414"/>
      <c r="RAA20" s="414"/>
      <c r="RAB20" s="414"/>
      <c r="RAC20" s="414"/>
      <c r="RAD20" s="414"/>
      <c r="RAE20" s="414"/>
      <c r="RAF20" s="414"/>
      <c r="RAG20" s="414"/>
      <c r="RAH20" s="414"/>
      <c r="RAI20" s="414"/>
      <c r="RAJ20" s="414"/>
      <c r="RAK20" s="414"/>
      <c r="RAL20" s="414"/>
      <c r="RAM20" s="414"/>
      <c r="RAN20" s="414"/>
      <c r="RAO20" s="414"/>
      <c r="RAP20" s="414"/>
      <c r="RAQ20" s="414"/>
      <c r="RAR20" s="414"/>
      <c r="RAS20" s="414"/>
      <c r="RAT20" s="414"/>
      <c r="RAU20" s="414"/>
      <c r="RAV20" s="414"/>
      <c r="RAW20" s="414"/>
      <c r="RAX20" s="414"/>
      <c r="RAY20" s="414"/>
      <c r="RAZ20" s="414"/>
      <c r="RBA20" s="414"/>
      <c r="RBB20" s="414"/>
      <c r="RBC20" s="414"/>
      <c r="RBD20" s="414"/>
      <c r="RBE20" s="414"/>
      <c r="RBF20" s="414"/>
      <c r="RBG20" s="414"/>
      <c r="RBH20" s="414"/>
      <c r="RBI20" s="414"/>
      <c r="RBJ20" s="414"/>
      <c r="RBK20" s="414"/>
      <c r="RBL20" s="414"/>
      <c r="RBM20" s="414"/>
      <c r="RBN20" s="414"/>
      <c r="RBO20" s="414"/>
      <c r="RBP20" s="414"/>
      <c r="RBQ20" s="414"/>
      <c r="RBR20" s="414"/>
      <c r="RBS20" s="414"/>
      <c r="RBT20" s="414"/>
      <c r="RBU20" s="414"/>
      <c r="RBV20" s="414"/>
      <c r="RBW20" s="414"/>
      <c r="RBX20" s="414"/>
      <c r="RBY20" s="414"/>
      <c r="RBZ20" s="414"/>
      <c r="RCA20" s="414"/>
      <c r="RCB20" s="414"/>
      <c r="RCC20" s="414"/>
      <c r="RCD20" s="414"/>
      <c r="RCE20" s="414"/>
      <c r="RCF20" s="414"/>
      <c r="RCG20" s="414"/>
      <c r="RCH20" s="414"/>
      <c r="RCI20" s="414"/>
      <c r="RCJ20" s="414"/>
      <c r="RCK20" s="414"/>
      <c r="RCL20" s="414"/>
      <c r="RCM20" s="414"/>
      <c r="RCN20" s="414"/>
      <c r="RCO20" s="414"/>
      <c r="RCP20" s="414"/>
      <c r="RCQ20" s="414"/>
      <c r="RCR20" s="414"/>
      <c r="RCS20" s="414"/>
      <c r="RCT20" s="414"/>
      <c r="RCU20" s="414"/>
      <c r="RCV20" s="414"/>
      <c r="RCW20" s="414"/>
      <c r="RCX20" s="414"/>
      <c r="RCY20" s="414"/>
      <c r="RCZ20" s="414"/>
      <c r="RDA20" s="414"/>
      <c r="RDB20" s="414"/>
      <c r="RDC20" s="414"/>
      <c r="RDD20" s="414"/>
      <c r="RDE20" s="414"/>
      <c r="RDF20" s="414"/>
      <c r="RDG20" s="414"/>
      <c r="RDH20" s="414"/>
      <c r="RDI20" s="414"/>
      <c r="RDJ20" s="414"/>
      <c r="RDK20" s="414"/>
      <c r="RDL20" s="414"/>
      <c r="RDM20" s="414"/>
      <c r="RDN20" s="414"/>
      <c r="RDO20" s="414"/>
      <c r="RDP20" s="414"/>
      <c r="RDQ20" s="414"/>
      <c r="RDR20" s="414"/>
      <c r="RDS20" s="414"/>
      <c r="RDT20" s="414"/>
      <c r="RDU20" s="414"/>
      <c r="RDV20" s="414"/>
      <c r="RDW20" s="414"/>
      <c r="RDX20" s="414"/>
      <c r="RDY20" s="414"/>
      <c r="RDZ20" s="414"/>
      <c r="REA20" s="414"/>
      <c r="REB20" s="414"/>
      <c r="REC20" s="414"/>
      <c r="RED20" s="414"/>
      <c r="REE20" s="414"/>
      <c r="REF20" s="414"/>
      <c r="REG20" s="414"/>
      <c r="REH20" s="414"/>
      <c r="REI20" s="414"/>
      <c r="REJ20" s="414"/>
      <c r="REK20" s="414"/>
      <c r="REL20" s="414"/>
      <c r="REM20" s="414"/>
      <c r="REN20" s="414"/>
      <c r="REO20" s="414"/>
      <c r="REP20" s="414"/>
      <c r="REQ20" s="414"/>
      <c r="RER20" s="414"/>
      <c r="RES20" s="414"/>
      <c r="RET20" s="414"/>
      <c r="REU20" s="414"/>
      <c r="REV20" s="414"/>
      <c r="REW20" s="414"/>
      <c r="REX20" s="414"/>
      <c r="REY20" s="414"/>
      <c r="REZ20" s="414"/>
      <c r="RFA20" s="414"/>
      <c r="RFB20" s="414"/>
      <c r="RFC20" s="414"/>
      <c r="RFD20" s="414"/>
      <c r="RFE20" s="414"/>
      <c r="RFF20" s="414"/>
      <c r="RFG20" s="414"/>
      <c r="RFH20" s="414"/>
      <c r="RFI20" s="414"/>
      <c r="RFJ20" s="414"/>
      <c r="RFK20" s="414"/>
      <c r="RFL20" s="414"/>
      <c r="RFM20" s="414"/>
      <c r="RFN20" s="414"/>
      <c r="RFO20" s="414"/>
      <c r="RFP20" s="414"/>
      <c r="RFQ20" s="414"/>
      <c r="RFR20" s="414"/>
      <c r="RFS20" s="414"/>
      <c r="RFT20" s="414"/>
      <c r="RFU20" s="414"/>
      <c r="RFV20" s="414"/>
      <c r="RFW20" s="414"/>
      <c r="RFX20" s="414"/>
      <c r="RFY20" s="414"/>
      <c r="RFZ20" s="414"/>
      <c r="RGA20" s="414"/>
      <c r="RGB20" s="414"/>
      <c r="RGC20" s="414"/>
      <c r="RGD20" s="414"/>
      <c r="RGE20" s="414"/>
      <c r="RGF20" s="414"/>
      <c r="RGG20" s="414"/>
      <c r="RGH20" s="414"/>
      <c r="RGI20" s="414"/>
      <c r="RGJ20" s="414"/>
      <c r="RGK20" s="414"/>
      <c r="RGL20" s="414"/>
      <c r="RGM20" s="414"/>
      <c r="RGN20" s="414"/>
      <c r="RGO20" s="414"/>
      <c r="RGP20" s="414"/>
      <c r="RGQ20" s="414"/>
      <c r="RGR20" s="414"/>
      <c r="RGS20" s="414"/>
      <c r="RGT20" s="414"/>
      <c r="RGU20" s="414"/>
      <c r="RGV20" s="414"/>
      <c r="RGW20" s="414"/>
      <c r="RGX20" s="414"/>
      <c r="RGY20" s="414"/>
      <c r="RGZ20" s="414"/>
      <c r="RHA20" s="414"/>
      <c r="RHB20" s="414"/>
      <c r="RHC20" s="414"/>
      <c r="RHD20" s="414"/>
      <c r="RHE20" s="414"/>
      <c r="RHF20" s="414"/>
      <c r="RHG20" s="414"/>
      <c r="RHH20" s="414"/>
      <c r="RHI20" s="414"/>
      <c r="RHJ20" s="414"/>
      <c r="RHK20" s="414"/>
      <c r="RHL20" s="414"/>
      <c r="RHM20" s="414"/>
      <c r="RHN20" s="414"/>
      <c r="RHO20" s="414"/>
      <c r="RHP20" s="414"/>
      <c r="RHQ20" s="414"/>
      <c r="RHR20" s="414"/>
      <c r="RHS20" s="414"/>
      <c r="RHT20" s="414"/>
      <c r="RHU20" s="414"/>
      <c r="RHV20" s="414"/>
      <c r="RHW20" s="414"/>
      <c r="RHX20" s="414"/>
      <c r="RHY20" s="414"/>
      <c r="RHZ20" s="414"/>
      <c r="RIA20" s="414"/>
      <c r="RIB20" s="414"/>
      <c r="RIC20" s="414"/>
      <c r="RID20" s="414"/>
      <c r="RIE20" s="414"/>
      <c r="RIF20" s="414"/>
      <c r="RIG20" s="414"/>
      <c r="RIH20" s="414"/>
      <c r="RII20" s="414"/>
      <c r="RIJ20" s="414"/>
      <c r="RIK20" s="414"/>
      <c r="RIL20" s="414"/>
      <c r="RIM20" s="414"/>
      <c r="RIN20" s="414"/>
      <c r="RIO20" s="414"/>
      <c r="RIP20" s="414"/>
      <c r="RIQ20" s="414"/>
      <c r="RIR20" s="414"/>
      <c r="RIS20" s="414"/>
      <c r="RIT20" s="414"/>
      <c r="RIU20" s="414"/>
      <c r="RIV20" s="414"/>
      <c r="RIW20" s="414"/>
      <c r="RIX20" s="414"/>
      <c r="RIY20" s="414"/>
      <c r="RIZ20" s="414"/>
      <c r="RJA20" s="414"/>
      <c r="RJB20" s="414"/>
      <c r="RJC20" s="414"/>
      <c r="RJD20" s="414"/>
      <c r="RJE20" s="414"/>
      <c r="RJF20" s="414"/>
      <c r="RJG20" s="414"/>
      <c r="RJH20" s="414"/>
      <c r="RJI20" s="414"/>
      <c r="RJJ20" s="414"/>
      <c r="RJK20" s="414"/>
      <c r="RJL20" s="414"/>
      <c r="RJM20" s="414"/>
      <c r="RJN20" s="414"/>
      <c r="RJO20" s="414"/>
      <c r="RJP20" s="414"/>
      <c r="RJQ20" s="414"/>
      <c r="RJR20" s="414"/>
      <c r="RJS20" s="414"/>
      <c r="RJT20" s="414"/>
      <c r="RJU20" s="414"/>
      <c r="RJV20" s="414"/>
      <c r="RJW20" s="414"/>
      <c r="RJX20" s="414"/>
      <c r="RJY20" s="414"/>
      <c r="RJZ20" s="414"/>
      <c r="RKA20" s="414"/>
      <c r="RKB20" s="414"/>
      <c r="RKC20" s="414"/>
      <c r="RKD20" s="414"/>
      <c r="RKE20" s="414"/>
      <c r="RKF20" s="414"/>
      <c r="RKG20" s="414"/>
      <c r="RKH20" s="414"/>
      <c r="RKI20" s="414"/>
      <c r="RKJ20" s="414"/>
      <c r="RKK20" s="414"/>
      <c r="RKL20" s="414"/>
      <c r="RKM20" s="414"/>
      <c r="RKN20" s="414"/>
      <c r="RKO20" s="414"/>
      <c r="RKP20" s="414"/>
      <c r="RKQ20" s="414"/>
      <c r="RKR20" s="414"/>
      <c r="RKS20" s="414"/>
      <c r="RKT20" s="414"/>
      <c r="RKU20" s="414"/>
      <c r="RKV20" s="414"/>
      <c r="RKW20" s="414"/>
      <c r="RKX20" s="414"/>
      <c r="RKY20" s="414"/>
      <c r="RKZ20" s="414"/>
      <c r="RLA20" s="414"/>
      <c r="RLB20" s="414"/>
      <c r="RLC20" s="414"/>
      <c r="RLD20" s="414"/>
      <c r="RLE20" s="414"/>
      <c r="RLF20" s="414"/>
      <c r="RLG20" s="414"/>
      <c r="RLH20" s="414"/>
      <c r="RLI20" s="414"/>
      <c r="RLJ20" s="414"/>
      <c r="RLK20" s="414"/>
      <c r="RLL20" s="414"/>
      <c r="RLM20" s="414"/>
      <c r="RLN20" s="414"/>
      <c r="RLO20" s="414"/>
      <c r="RLP20" s="414"/>
      <c r="RLQ20" s="414"/>
      <c r="RLR20" s="414"/>
      <c r="RLS20" s="414"/>
      <c r="RLT20" s="414"/>
      <c r="RLU20" s="414"/>
      <c r="RLV20" s="414"/>
      <c r="RLW20" s="414"/>
      <c r="RLX20" s="414"/>
      <c r="RLY20" s="414"/>
      <c r="RLZ20" s="414"/>
      <c r="RMA20" s="414"/>
      <c r="RMB20" s="414"/>
      <c r="RMC20" s="414"/>
      <c r="RMD20" s="414"/>
      <c r="RME20" s="414"/>
      <c r="RMF20" s="414"/>
      <c r="RMG20" s="414"/>
      <c r="RMH20" s="414"/>
      <c r="RMI20" s="414"/>
      <c r="RMJ20" s="414"/>
      <c r="RMK20" s="414"/>
      <c r="RML20" s="414"/>
      <c r="RMM20" s="414"/>
      <c r="RMN20" s="414"/>
      <c r="RMO20" s="414"/>
      <c r="RMP20" s="414"/>
      <c r="RMQ20" s="414"/>
      <c r="RMR20" s="414"/>
      <c r="RMS20" s="414"/>
      <c r="RMT20" s="414"/>
      <c r="RMU20" s="414"/>
      <c r="RMV20" s="414"/>
      <c r="RMW20" s="414"/>
      <c r="RMX20" s="414"/>
      <c r="RMY20" s="414"/>
      <c r="RMZ20" s="414"/>
      <c r="RNA20" s="414"/>
      <c r="RNB20" s="414"/>
      <c r="RNC20" s="414"/>
      <c r="RND20" s="414"/>
      <c r="RNE20" s="414"/>
      <c r="RNF20" s="414"/>
      <c r="RNG20" s="414"/>
      <c r="RNH20" s="414"/>
      <c r="RNI20" s="414"/>
      <c r="RNJ20" s="414"/>
      <c r="RNK20" s="414"/>
      <c r="RNL20" s="414"/>
      <c r="RNM20" s="414"/>
      <c r="RNN20" s="414"/>
      <c r="RNO20" s="414"/>
      <c r="RNP20" s="414"/>
      <c r="RNQ20" s="414"/>
      <c r="RNR20" s="414"/>
      <c r="RNS20" s="414"/>
      <c r="RNT20" s="414"/>
      <c r="RNU20" s="414"/>
      <c r="RNV20" s="414"/>
      <c r="RNW20" s="414"/>
      <c r="RNX20" s="414"/>
      <c r="RNY20" s="414"/>
      <c r="RNZ20" s="414"/>
      <c r="ROA20" s="414"/>
      <c r="ROB20" s="414"/>
      <c r="ROC20" s="414"/>
      <c r="ROD20" s="414"/>
      <c r="ROE20" s="414"/>
      <c r="ROF20" s="414"/>
      <c r="ROG20" s="414"/>
      <c r="ROH20" s="414"/>
      <c r="ROI20" s="414"/>
      <c r="ROJ20" s="414"/>
      <c r="ROK20" s="414"/>
      <c r="ROL20" s="414"/>
      <c r="ROM20" s="414"/>
      <c r="RON20" s="414"/>
      <c r="ROO20" s="414"/>
      <c r="ROP20" s="414"/>
      <c r="ROQ20" s="414"/>
      <c r="ROR20" s="414"/>
      <c r="ROS20" s="414"/>
      <c r="ROT20" s="414"/>
      <c r="ROU20" s="414"/>
      <c r="ROV20" s="414"/>
      <c r="ROW20" s="414"/>
      <c r="ROX20" s="414"/>
      <c r="ROY20" s="414"/>
      <c r="ROZ20" s="414"/>
      <c r="RPA20" s="414"/>
      <c r="RPB20" s="414"/>
      <c r="RPC20" s="414"/>
      <c r="RPD20" s="414"/>
      <c r="RPE20" s="414"/>
      <c r="RPF20" s="414"/>
      <c r="RPG20" s="414"/>
      <c r="RPH20" s="414"/>
      <c r="RPI20" s="414"/>
      <c r="RPJ20" s="414"/>
      <c r="RPK20" s="414"/>
      <c r="RPL20" s="414"/>
      <c r="RPM20" s="414"/>
      <c r="RPN20" s="414"/>
      <c r="RPO20" s="414"/>
      <c r="RPP20" s="414"/>
      <c r="RPQ20" s="414"/>
      <c r="RPR20" s="414"/>
      <c r="RPS20" s="414"/>
      <c r="RPT20" s="414"/>
      <c r="RPU20" s="414"/>
      <c r="RPV20" s="414"/>
      <c r="RPW20" s="414"/>
      <c r="RPX20" s="414"/>
      <c r="RPY20" s="414"/>
      <c r="RPZ20" s="414"/>
      <c r="RQA20" s="414"/>
      <c r="RQB20" s="414"/>
      <c r="RQC20" s="414"/>
      <c r="RQD20" s="414"/>
      <c r="RQE20" s="414"/>
      <c r="RQF20" s="414"/>
      <c r="RQG20" s="414"/>
      <c r="RQH20" s="414"/>
      <c r="RQI20" s="414"/>
      <c r="RQJ20" s="414"/>
      <c r="RQK20" s="414"/>
      <c r="RQL20" s="414"/>
      <c r="RQM20" s="414"/>
      <c r="RQN20" s="414"/>
      <c r="RQO20" s="414"/>
      <c r="RQP20" s="414"/>
      <c r="RQQ20" s="414"/>
      <c r="RQR20" s="414"/>
      <c r="RQS20" s="414"/>
      <c r="RQT20" s="414"/>
      <c r="RQU20" s="414"/>
      <c r="RQV20" s="414"/>
      <c r="RQW20" s="414"/>
      <c r="RQX20" s="414"/>
      <c r="RQY20" s="414"/>
      <c r="RQZ20" s="414"/>
      <c r="RRA20" s="414"/>
      <c r="RRB20" s="414"/>
      <c r="RRC20" s="414"/>
      <c r="RRD20" s="414"/>
      <c r="RRE20" s="414"/>
      <c r="RRF20" s="414"/>
      <c r="RRG20" s="414"/>
      <c r="RRH20" s="414"/>
      <c r="RRI20" s="414"/>
      <c r="RRJ20" s="414"/>
      <c r="RRK20" s="414"/>
      <c r="RRL20" s="414"/>
      <c r="RRM20" s="414"/>
      <c r="RRN20" s="414"/>
      <c r="RRO20" s="414"/>
      <c r="RRP20" s="414"/>
      <c r="RRQ20" s="414"/>
      <c r="RRR20" s="414"/>
      <c r="RRS20" s="414"/>
      <c r="RRT20" s="414"/>
      <c r="RRU20" s="414"/>
      <c r="RRV20" s="414"/>
      <c r="RRW20" s="414"/>
      <c r="RRX20" s="414"/>
      <c r="RRY20" s="414"/>
      <c r="RRZ20" s="414"/>
      <c r="RSA20" s="414"/>
      <c r="RSB20" s="414"/>
      <c r="RSC20" s="414"/>
      <c r="RSD20" s="414"/>
      <c r="RSE20" s="414"/>
      <c r="RSF20" s="414"/>
      <c r="RSG20" s="414"/>
      <c r="RSH20" s="414"/>
      <c r="RSI20" s="414"/>
      <c r="RSJ20" s="414"/>
      <c r="RSK20" s="414"/>
      <c r="RSL20" s="414"/>
      <c r="RSM20" s="414"/>
      <c r="RSN20" s="414"/>
      <c r="RSO20" s="414"/>
      <c r="RSP20" s="414"/>
      <c r="RSQ20" s="414"/>
      <c r="RSR20" s="414"/>
      <c r="RSS20" s="414"/>
      <c r="RST20" s="414"/>
      <c r="RSU20" s="414"/>
      <c r="RSV20" s="414"/>
      <c r="RSW20" s="414"/>
      <c r="RSX20" s="414"/>
      <c r="RSY20" s="414"/>
      <c r="RSZ20" s="414"/>
      <c r="RTA20" s="414"/>
      <c r="RTB20" s="414"/>
      <c r="RTC20" s="414"/>
      <c r="RTD20" s="414"/>
      <c r="RTE20" s="414"/>
      <c r="RTF20" s="414"/>
      <c r="RTG20" s="414"/>
      <c r="RTH20" s="414"/>
      <c r="RTI20" s="414"/>
      <c r="RTJ20" s="414"/>
      <c r="RTK20" s="414"/>
      <c r="RTL20" s="414"/>
      <c r="RTM20" s="414"/>
      <c r="RTN20" s="414"/>
      <c r="RTO20" s="414"/>
      <c r="RTP20" s="414"/>
      <c r="RTQ20" s="414"/>
      <c r="RTR20" s="414"/>
      <c r="RTS20" s="414"/>
      <c r="RTT20" s="414"/>
      <c r="RTU20" s="414"/>
      <c r="RTV20" s="414"/>
      <c r="RTW20" s="414"/>
      <c r="RTX20" s="414"/>
      <c r="RTY20" s="414"/>
      <c r="RTZ20" s="414"/>
      <c r="RUA20" s="414"/>
      <c r="RUB20" s="414"/>
      <c r="RUC20" s="414"/>
      <c r="RUD20" s="414"/>
      <c r="RUE20" s="414"/>
      <c r="RUF20" s="414"/>
      <c r="RUG20" s="414"/>
      <c r="RUH20" s="414"/>
      <c r="RUI20" s="414"/>
      <c r="RUJ20" s="414"/>
      <c r="RUK20" s="414"/>
      <c r="RUL20" s="414"/>
      <c r="RUM20" s="414"/>
      <c r="RUN20" s="414"/>
      <c r="RUO20" s="414"/>
      <c r="RUP20" s="414"/>
      <c r="RUQ20" s="414"/>
      <c r="RUR20" s="414"/>
      <c r="RUS20" s="414"/>
      <c r="RUT20" s="414"/>
      <c r="RUU20" s="414"/>
      <c r="RUV20" s="414"/>
      <c r="RUW20" s="414"/>
      <c r="RUX20" s="414"/>
      <c r="RUY20" s="414"/>
      <c r="RUZ20" s="414"/>
      <c r="RVA20" s="414"/>
      <c r="RVB20" s="414"/>
      <c r="RVC20" s="414"/>
      <c r="RVD20" s="414"/>
      <c r="RVE20" s="414"/>
      <c r="RVF20" s="414"/>
      <c r="RVG20" s="414"/>
      <c r="RVH20" s="414"/>
      <c r="RVI20" s="414"/>
      <c r="RVJ20" s="414"/>
      <c r="RVK20" s="414"/>
      <c r="RVL20" s="414"/>
      <c r="RVM20" s="414"/>
      <c r="RVN20" s="414"/>
      <c r="RVO20" s="414"/>
      <c r="RVP20" s="414"/>
      <c r="RVQ20" s="414"/>
      <c r="RVR20" s="414"/>
      <c r="RVS20" s="414"/>
      <c r="RVT20" s="414"/>
      <c r="RVU20" s="414"/>
      <c r="RVV20" s="414"/>
      <c r="RVW20" s="414"/>
      <c r="RVX20" s="414"/>
      <c r="RVY20" s="414"/>
      <c r="RVZ20" s="414"/>
      <c r="RWA20" s="414"/>
      <c r="RWB20" s="414"/>
      <c r="RWC20" s="414"/>
      <c r="RWD20" s="414"/>
      <c r="RWE20" s="414"/>
      <c r="RWF20" s="414"/>
      <c r="RWG20" s="414"/>
      <c r="RWH20" s="414"/>
      <c r="RWI20" s="414"/>
      <c r="RWJ20" s="414"/>
      <c r="RWK20" s="414"/>
      <c r="RWL20" s="414"/>
      <c r="RWM20" s="414"/>
      <c r="RWN20" s="414"/>
      <c r="RWO20" s="414"/>
      <c r="RWP20" s="414"/>
      <c r="RWQ20" s="414"/>
      <c r="RWR20" s="414"/>
      <c r="RWS20" s="414"/>
      <c r="RWT20" s="414"/>
      <c r="RWU20" s="414"/>
      <c r="RWV20" s="414"/>
      <c r="RWW20" s="414"/>
      <c r="RWX20" s="414"/>
      <c r="RWY20" s="414"/>
      <c r="RWZ20" s="414"/>
      <c r="RXA20" s="414"/>
      <c r="RXB20" s="414"/>
      <c r="RXC20" s="414"/>
      <c r="RXD20" s="414"/>
      <c r="RXE20" s="414"/>
      <c r="RXF20" s="414"/>
      <c r="RXG20" s="414"/>
      <c r="RXH20" s="414"/>
      <c r="RXI20" s="414"/>
      <c r="RXJ20" s="414"/>
      <c r="RXK20" s="414"/>
      <c r="RXL20" s="414"/>
      <c r="RXM20" s="414"/>
      <c r="RXN20" s="414"/>
      <c r="RXO20" s="414"/>
      <c r="RXP20" s="414"/>
      <c r="RXQ20" s="414"/>
      <c r="RXR20" s="414"/>
      <c r="RXS20" s="414"/>
      <c r="RXT20" s="414"/>
      <c r="RXU20" s="414"/>
      <c r="RXV20" s="414"/>
      <c r="RXW20" s="414"/>
      <c r="RXX20" s="414"/>
      <c r="RXY20" s="414"/>
      <c r="RXZ20" s="414"/>
      <c r="RYA20" s="414"/>
      <c r="RYB20" s="414"/>
      <c r="RYC20" s="414"/>
      <c r="RYD20" s="414"/>
      <c r="RYE20" s="414"/>
      <c r="RYF20" s="414"/>
      <c r="RYG20" s="414"/>
      <c r="RYH20" s="414"/>
      <c r="RYI20" s="414"/>
      <c r="RYJ20" s="414"/>
      <c r="RYK20" s="414"/>
      <c r="RYL20" s="414"/>
      <c r="RYM20" s="414"/>
      <c r="RYN20" s="414"/>
      <c r="RYO20" s="414"/>
      <c r="RYP20" s="414"/>
      <c r="RYQ20" s="414"/>
      <c r="RYR20" s="414"/>
      <c r="RYS20" s="414"/>
      <c r="RYT20" s="414"/>
      <c r="RYU20" s="414"/>
      <c r="RYV20" s="414"/>
      <c r="RYW20" s="414"/>
      <c r="RYX20" s="414"/>
      <c r="RYY20" s="414"/>
      <c r="RYZ20" s="414"/>
      <c r="RZA20" s="414"/>
      <c r="RZB20" s="414"/>
      <c r="RZC20" s="414"/>
      <c r="RZD20" s="414"/>
      <c r="RZE20" s="414"/>
      <c r="RZF20" s="414"/>
      <c r="RZG20" s="414"/>
      <c r="RZH20" s="414"/>
      <c r="RZI20" s="414"/>
      <c r="RZJ20" s="414"/>
      <c r="RZK20" s="414"/>
      <c r="RZL20" s="414"/>
      <c r="RZM20" s="414"/>
      <c r="RZN20" s="414"/>
      <c r="RZO20" s="414"/>
      <c r="RZP20" s="414"/>
      <c r="RZQ20" s="414"/>
      <c r="RZR20" s="414"/>
      <c r="RZS20" s="414"/>
      <c r="RZT20" s="414"/>
      <c r="RZU20" s="414"/>
      <c r="RZV20" s="414"/>
      <c r="RZW20" s="414"/>
      <c r="RZX20" s="414"/>
      <c r="RZY20" s="414"/>
      <c r="RZZ20" s="414"/>
      <c r="SAA20" s="414"/>
      <c r="SAB20" s="414"/>
      <c r="SAC20" s="414"/>
      <c r="SAD20" s="414"/>
      <c r="SAE20" s="414"/>
      <c r="SAF20" s="414"/>
      <c r="SAG20" s="414"/>
      <c r="SAH20" s="414"/>
      <c r="SAI20" s="414"/>
      <c r="SAJ20" s="414"/>
      <c r="SAK20" s="414"/>
      <c r="SAL20" s="414"/>
      <c r="SAM20" s="414"/>
      <c r="SAN20" s="414"/>
      <c r="SAO20" s="414"/>
      <c r="SAP20" s="414"/>
      <c r="SAQ20" s="414"/>
      <c r="SAR20" s="414"/>
      <c r="SAS20" s="414"/>
      <c r="SAT20" s="414"/>
      <c r="SAU20" s="414"/>
      <c r="SAV20" s="414"/>
      <c r="SAW20" s="414"/>
      <c r="SAX20" s="414"/>
      <c r="SAY20" s="414"/>
      <c r="SAZ20" s="414"/>
      <c r="SBA20" s="414"/>
      <c r="SBB20" s="414"/>
      <c r="SBC20" s="414"/>
      <c r="SBD20" s="414"/>
      <c r="SBE20" s="414"/>
      <c r="SBF20" s="414"/>
      <c r="SBG20" s="414"/>
      <c r="SBH20" s="414"/>
      <c r="SBI20" s="414"/>
      <c r="SBJ20" s="414"/>
      <c r="SBK20" s="414"/>
      <c r="SBL20" s="414"/>
      <c r="SBM20" s="414"/>
      <c r="SBN20" s="414"/>
      <c r="SBO20" s="414"/>
      <c r="SBP20" s="414"/>
      <c r="SBQ20" s="414"/>
      <c r="SBR20" s="414"/>
      <c r="SBS20" s="414"/>
      <c r="SBT20" s="414"/>
      <c r="SBU20" s="414"/>
      <c r="SBV20" s="414"/>
      <c r="SBW20" s="414"/>
      <c r="SBX20" s="414"/>
      <c r="SBY20" s="414"/>
      <c r="SBZ20" s="414"/>
      <c r="SCA20" s="414"/>
      <c r="SCB20" s="414"/>
      <c r="SCC20" s="414"/>
      <c r="SCD20" s="414"/>
      <c r="SCE20" s="414"/>
      <c r="SCF20" s="414"/>
      <c r="SCG20" s="414"/>
      <c r="SCH20" s="414"/>
      <c r="SCI20" s="414"/>
      <c r="SCJ20" s="414"/>
      <c r="SCK20" s="414"/>
      <c r="SCL20" s="414"/>
      <c r="SCM20" s="414"/>
      <c r="SCN20" s="414"/>
      <c r="SCO20" s="414"/>
      <c r="SCP20" s="414"/>
      <c r="SCQ20" s="414"/>
      <c r="SCR20" s="414"/>
      <c r="SCS20" s="414"/>
      <c r="SCT20" s="414"/>
      <c r="SCU20" s="414"/>
      <c r="SCV20" s="414"/>
      <c r="SCW20" s="414"/>
      <c r="SCX20" s="414"/>
      <c r="SCY20" s="414"/>
      <c r="SCZ20" s="414"/>
      <c r="SDA20" s="414"/>
      <c r="SDB20" s="414"/>
      <c r="SDC20" s="414"/>
      <c r="SDD20" s="414"/>
      <c r="SDE20" s="414"/>
      <c r="SDF20" s="414"/>
      <c r="SDG20" s="414"/>
      <c r="SDH20" s="414"/>
      <c r="SDI20" s="414"/>
      <c r="SDJ20" s="414"/>
      <c r="SDK20" s="414"/>
      <c r="SDL20" s="414"/>
      <c r="SDM20" s="414"/>
      <c r="SDN20" s="414"/>
      <c r="SDO20" s="414"/>
      <c r="SDP20" s="414"/>
      <c r="SDQ20" s="414"/>
      <c r="SDR20" s="414"/>
      <c r="SDS20" s="414"/>
      <c r="SDT20" s="414"/>
      <c r="SDU20" s="414"/>
      <c r="SDV20" s="414"/>
      <c r="SDW20" s="414"/>
      <c r="SDX20" s="414"/>
      <c r="SDY20" s="414"/>
      <c r="SDZ20" s="414"/>
      <c r="SEA20" s="414"/>
      <c r="SEB20" s="414"/>
      <c r="SEC20" s="414"/>
      <c r="SED20" s="414"/>
      <c r="SEE20" s="414"/>
      <c r="SEF20" s="414"/>
      <c r="SEG20" s="414"/>
      <c r="SEH20" s="414"/>
      <c r="SEI20" s="414"/>
      <c r="SEJ20" s="414"/>
      <c r="SEK20" s="414"/>
      <c r="SEL20" s="414"/>
      <c r="SEM20" s="414"/>
      <c r="SEN20" s="414"/>
      <c r="SEO20" s="414"/>
      <c r="SEP20" s="414"/>
      <c r="SEQ20" s="414"/>
      <c r="SER20" s="414"/>
      <c r="SES20" s="414"/>
      <c r="SET20" s="414"/>
      <c r="SEU20" s="414"/>
      <c r="SEV20" s="414"/>
      <c r="SEW20" s="414"/>
      <c r="SEX20" s="414"/>
      <c r="SEY20" s="414"/>
      <c r="SEZ20" s="414"/>
      <c r="SFA20" s="414"/>
      <c r="SFB20" s="414"/>
      <c r="SFC20" s="414"/>
      <c r="SFD20" s="414"/>
      <c r="SFE20" s="414"/>
      <c r="SFF20" s="414"/>
      <c r="SFG20" s="414"/>
      <c r="SFH20" s="414"/>
      <c r="SFI20" s="414"/>
      <c r="SFJ20" s="414"/>
      <c r="SFK20" s="414"/>
      <c r="SFL20" s="414"/>
      <c r="SFM20" s="414"/>
      <c r="SFN20" s="414"/>
      <c r="SFO20" s="414"/>
      <c r="SFP20" s="414"/>
      <c r="SFQ20" s="414"/>
      <c r="SFR20" s="414"/>
      <c r="SFS20" s="414"/>
      <c r="SFT20" s="414"/>
      <c r="SFU20" s="414"/>
      <c r="SFV20" s="414"/>
      <c r="SFW20" s="414"/>
      <c r="SFX20" s="414"/>
      <c r="SFY20" s="414"/>
      <c r="SFZ20" s="414"/>
      <c r="SGA20" s="414"/>
      <c r="SGB20" s="414"/>
      <c r="SGC20" s="414"/>
      <c r="SGD20" s="414"/>
      <c r="SGE20" s="414"/>
      <c r="SGF20" s="414"/>
      <c r="SGG20" s="414"/>
      <c r="SGH20" s="414"/>
      <c r="SGI20" s="414"/>
      <c r="SGJ20" s="414"/>
      <c r="SGK20" s="414"/>
      <c r="SGL20" s="414"/>
      <c r="SGM20" s="414"/>
      <c r="SGN20" s="414"/>
      <c r="SGO20" s="414"/>
      <c r="SGP20" s="414"/>
      <c r="SGQ20" s="414"/>
      <c r="SGR20" s="414"/>
      <c r="SGS20" s="414"/>
      <c r="SGT20" s="414"/>
      <c r="SGU20" s="414"/>
      <c r="SGV20" s="414"/>
      <c r="SGW20" s="414"/>
      <c r="SGX20" s="414"/>
      <c r="SGY20" s="414"/>
      <c r="SGZ20" s="414"/>
      <c r="SHA20" s="414"/>
      <c r="SHB20" s="414"/>
      <c r="SHC20" s="414"/>
      <c r="SHD20" s="414"/>
      <c r="SHE20" s="414"/>
      <c r="SHF20" s="414"/>
      <c r="SHG20" s="414"/>
      <c r="SHH20" s="414"/>
      <c r="SHI20" s="414"/>
      <c r="SHJ20" s="414"/>
      <c r="SHK20" s="414"/>
      <c r="SHL20" s="414"/>
      <c r="SHM20" s="414"/>
      <c r="SHN20" s="414"/>
      <c r="SHO20" s="414"/>
      <c r="SHP20" s="414"/>
      <c r="SHQ20" s="414"/>
      <c r="SHR20" s="414"/>
      <c r="SHS20" s="414"/>
      <c r="SHT20" s="414"/>
      <c r="SHU20" s="414"/>
      <c r="SHV20" s="414"/>
      <c r="SHW20" s="414"/>
      <c r="SHX20" s="414"/>
      <c r="SHY20" s="414"/>
      <c r="SHZ20" s="414"/>
      <c r="SIA20" s="414"/>
      <c r="SIB20" s="414"/>
      <c r="SIC20" s="414"/>
      <c r="SID20" s="414"/>
      <c r="SIE20" s="414"/>
      <c r="SIF20" s="414"/>
      <c r="SIG20" s="414"/>
      <c r="SIH20" s="414"/>
      <c r="SII20" s="414"/>
      <c r="SIJ20" s="414"/>
      <c r="SIK20" s="414"/>
      <c r="SIL20" s="414"/>
      <c r="SIM20" s="414"/>
      <c r="SIN20" s="414"/>
      <c r="SIO20" s="414"/>
      <c r="SIP20" s="414"/>
      <c r="SIQ20" s="414"/>
      <c r="SIR20" s="414"/>
      <c r="SIS20" s="414"/>
      <c r="SIT20" s="414"/>
      <c r="SIU20" s="414"/>
      <c r="SIV20" s="414"/>
      <c r="SIW20" s="414"/>
      <c r="SIX20" s="414"/>
      <c r="SIY20" s="414"/>
      <c r="SIZ20" s="414"/>
      <c r="SJA20" s="414"/>
      <c r="SJB20" s="414"/>
      <c r="SJC20" s="414"/>
      <c r="SJD20" s="414"/>
      <c r="SJE20" s="414"/>
      <c r="SJF20" s="414"/>
      <c r="SJG20" s="414"/>
      <c r="SJH20" s="414"/>
      <c r="SJI20" s="414"/>
      <c r="SJJ20" s="414"/>
      <c r="SJK20" s="414"/>
      <c r="SJL20" s="414"/>
      <c r="SJM20" s="414"/>
      <c r="SJN20" s="414"/>
      <c r="SJO20" s="414"/>
      <c r="SJP20" s="414"/>
      <c r="SJQ20" s="414"/>
      <c r="SJR20" s="414"/>
      <c r="SJS20" s="414"/>
      <c r="SJT20" s="414"/>
      <c r="SJU20" s="414"/>
      <c r="SJV20" s="414"/>
      <c r="SJW20" s="414"/>
      <c r="SJX20" s="414"/>
      <c r="SJY20" s="414"/>
      <c r="SJZ20" s="414"/>
      <c r="SKA20" s="414"/>
      <c r="SKB20" s="414"/>
      <c r="SKC20" s="414"/>
      <c r="SKD20" s="414"/>
      <c r="SKE20" s="414"/>
      <c r="SKF20" s="414"/>
      <c r="SKG20" s="414"/>
      <c r="SKH20" s="414"/>
      <c r="SKI20" s="414"/>
      <c r="SKJ20" s="414"/>
      <c r="SKK20" s="414"/>
      <c r="SKL20" s="414"/>
      <c r="SKM20" s="414"/>
      <c r="SKN20" s="414"/>
      <c r="SKO20" s="414"/>
      <c r="SKP20" s="414"/>
      <c r="SKQ20" s="414"/>
      <c r="SKR20" s="414"/>
      <c r="SKS20" s="414"/>
      <c r="SKT20" s="414"/>
      <c r="SKU20" s="414"/>
      <c r="SKV20" s="414"/>
      <c r="SKW20" s="414"/>
      <c r="SKX20" s="414"/>
      <c r="SKY20" s="414"/>
      <c r="SKZ20" s="414"/>
      <c r="SLA20" s="414"/>
      <c r="SLB20" s="414"/>
      <c r="SLC20" s="414"/>
      <c r="SLD20" s="414"/>
      <c r="SLE20" s="414"/>
      <c r="SLF20" s="414"/>
      <c r="SLG20" s="414"/>
      <c r="SLH20" s="414"/>
      <c r="SLI20" s="414"/>
      <c r="SLJ20" s="414"/>
      <c r="SLK20" s="414"/>
      <c r="SLL20" s="414"/>
      <c r="SLM20" s="414"/>
      <c r="SLN20" s="414"/>
      <c r="SLO20" s="414"/>
      <c r="SLP20" s="414"/>
      <c r="SLQ20" s="414"/>
      <c r="SLR20" s="414"/>
      <c r="SLS20" s="414"/>
      <c r="SLT20" s="414"/>
      <c r="SLU20" s="414"/>
      <c r="SLV20" s="414"/>
      <c r="SLW20" s="414"/>
      <c r="SLX20" s="414"/>
      <c r="SLY20" s="414"/>
      <c r="SLZ20" s="414"/>
      <c r="SMA20" s="414"/>
      <c r="SMB20" s="414"/>
      <c r="SMC20" s="414"/>
      <c r="SMD20" s="414"/>
      <c r="SME20" s="414"/>
      <c r="SMF20" s="414"/>
      <c r="SMG20" s="414"/>
      <c r="SMH20" s="414"/>
      <c r="SMI20" s="414"/>
      <c r="SMJ20" s="414"/>
      <c r="SMK20" s="414"/>
      <c r="SML20" s="414"/>
      <c r="SMM20" s="414"/>
      <c r="SMN20" s="414"/>
      <c r="SMO20" s="414"/>
      <c r="SMP20" s="414"/>
      <c r="SMQ20" s="414"/>
      <c r="SMR20" s="414"/>
      <c r="SMS20" s="414"/>
      <c r="SMT20" s="414"/>
      <c r="SMU20" s="414"/>
      <c r="SMV20" s="414"/>
      <c r="SMW20" s="414"/>
      <c r="SMX20" s="414"/>
      <c r="SMY20" s="414"/>
      <c r="SMZ20" s="414"/>
      <c r="SNA20" s="414"/>
      <c r="SNB20" s="414"/>
      <c r="SNC20" s="414"/>
      <c r="SND20" s="414"/>
      <c r="SNE20" s="414"/>
      <c r="SNF20" s="414"/>
      <c r="SNG20" s="414"/>
      <c r="SNH20" s="414"/>
      <c r="SNI20" s="414"/>
      <c r="SNJ20" s="414"/>
      <c r="SNK20" s="414"/>
      <c r="SNL20" s="414"/>
      <c r="SNM20" s="414"/>
      <c r="SNN20" s="414"/>
      <c r="SNO20" s="414"/>
      <c r="SNP20" s="414"/>
      <c r="SNQ20" s="414"/>
      <c r="SNR20" s="414"/>
      <c r="SNS20" s="414"/>
      <c r="SNT20" s="414"/>
      <c r="SNU20" s="414"/>
      <c r="SNV20" s="414"/>
      <c r="SNW20" s="414"/>
      <c r="SNX20" s="414"/>
      <c r="SNY20" s="414"/>
      <c r="SNZ20" s="414"/>
      <c r="SOA20" s="414"/>
      <c r="SOB20" s="414"/>
      <c r="SOC20" s="414"/>
      <c r="SOD20" s="414"/>
      <c r="SOE20" s="414"/>
      <c r="SOF20" s="414"/>
      <c r="SOG20" s="414"/>
      <c r="SOH20" s="414"/>
      <c r="SOI20" s="414"/>
      <c r="SOJ20" s="414"/>
      <c r="SOK20" s="414"/>
      <c r="SOL20" s="414"/>
      <c r="SOM20" s="414"/>
      <c r="SON20" s="414"/>
      <c r="SOO20" s="414"/>
      <c r="SOP20" s="414"/>
      <c r="SOQ20" s="414"/>
      <c r="SOR20" s="414"/>
      <c r="SOS20" s="414"/>
      <c r="SOT20" s="414"/>
      <c r="SOU20" s="414"/>
      <c r="SOV20" s="414"/>
      <c r="SOW20" s="414"/>
      <c r="SOX20" s="414"/>
      <c r="SOY20" s="414"/>
      <c r="SOZ20" s="414"/>
      <c r="SPA20" s="414"/>
      <c r="SPB20" s="414"/>
      <c r="SPC20" s="414"/>
      <c r="SPD20" s="414"/>
      <c r="SPE20" s="414"/>
      <c r="SPF20" s="414"/>
      <c r="SPG20" s="414"/>
      <c r="SPH20" s="414"/>
      <c r="SPI20" s="414"/>
      <c r="SPJ20" s="414"/>
      <c r="SPK20" s="414"/>
      <c r="SPL20" s="414"/>
      <c r="SPM20" s="414"/>
      <c r="SPN20" s="414"/>
      <c r="SPO20" s="414"/>
      <c r="SPP20" s="414"/>
      <c r="SPQ20" s="414"/>
      <c r="SPR20" s="414"/>
      <c r="SPS20" s="414"/>
      <c r="SPT20" s="414"/>
      <c r="SPU20" s="414"/>
      <c r="SPV20" s="414"/>
      <c r="SPW20" s="414"/>
      <c r="SPX20" s="414"/>
      <c r="SPY20" s="414"/>
      <c r="SPZ20" s="414"/>
      <c r="SQA20" s="414"/>
      <c r="SQB20" s="414"/>
      <c r="SQC20" s="414"/>
      <c r="SQD20" s="414"/>
      <c r="SQE20" s="414"/>
      <c r="SQF20" s="414"/>
      <c r="SQG20" s="414"/>
      <c r="SQH20" s="414"/>
      <c r="SQI20" s="414"/>
      <c r="SQJ20" s="414"/>
      <c r="SQK20" s="414"/>
      <c r="SQL20" s="414"/>
      <c r="SQM20" s="414"/>
      <c r="SQN20" s="414"/>
      <c r="SQO20" s="414"/>
      <c r="SQP20" s="414"/>
      <c r="SQQ20" s="414"/>
      <c r="SQR20" s="414"/>
      <c r="SQS20" s="414"/>
      <c r="SQT20" s="414"/>
      <c r="SQU20" s="414"/>
      <c r="SQV20" s="414"/>
      <c r="SQW20" s="414"/>
      <c r="SQX20" s="414"/>
      <c r="SQY20" s="414"/>
      <c r="SQZ20" s="414"/>
      <c r="SRA20" s="414"/>
      <c r="SRB20" s="414"/>
      <c r="SRC20" s="414"/>
      <c r="SRD20" s="414"/>
      <c r="SRE20" s="414"/>
      <c r="SRF20" s="414"/>
      <c r="SRG20" s="414"/>
      <c r="SRH20" s="414"/>
      <c r="SRI20" s="414"/>
      <c r="SRJ20" s="414"/>
      <c r="SRK20" s="414"/>
      <c r="SRL20" s="414"/>
      <c r="SRM20" s="414"/>
      <c r="SRN20" s="414"/>
      <c r="SRO20" s="414"/>
      <c r="SRP20" s="414"/>
      <c r="SRQ20" s="414"/>
      <c r="SRR20" s="414"/>
      <c r="SRS20" s="414"/>
      <c r="SRT20" s="414"/>
      <c r="SRU20" s="414"/>
      <c r="SRV20" s="414"/>
      <c r="SRW20" s="414"/>
      <c r="SRX20" s="414"/>
      <c r="SRY20" s="414"/>
      <c r="SRZ20" s="414"/>
      <c r="SSA20" s="414"/>
      <c r="SSB20" s="414"/>
      <c r="SSC20" s="414"/>
      <c r="SSD20" s="414"/>
      <c r="SSE20" s="414"/>
      <c r="SSF20" s="414"/>
      <c r="SSG20" s="414"/>
      <c r="SSH20" s="414"/>
      <c r="SSI20" s="414"/>
      <c r="SSJ20" s="414"/>
      <c r="SSK20" s="414"/>
      <c r="SSL20" s="414"/>
      <c r="SSM20" s="414"/>
      <c r="SSN20" s="414"/>
      <c r="SSO20" s="414"/>
      <c r="SSP20" s="414"/>
      <c r="SSQ20" s="414"/>
      <c r="SSR20" s="414"/>
      <c r="SSS20" s="414"/>
      <c r="SST20" s="414"/>
      <c r="SSU20" s="414"/>
      <c r="SSV20" s="414"/>
      <c r="SSW20" s="414"/>
      <c r="SSX20" s="414"/>
      <c r="SSY20" s="414"/>
      <c r="SSZ20" s="414"/>
      <c r="STA20" s="414"/>
      <c r="STB20" s="414"/>
      <c r="STC20" s="414"/>
      <c r="STD20" s="414"/>
      <c r="STE20" s="414"/>
      <c r="STF20" s="414"/>
      <c r="STG20" s="414"/>
      <c r="STH20" s="414"/>
      <c r="STI20" s="414"/>
      <c r="STJ20" s="414"/>
      <c r="STK20" s="414"/>
      <c r="STL20" s="414"/>
      <c r="STM20" s="414"/>
      <c r="STN20" s="414"/>
      <c r="STO20" s="414"/>
      <c r="STP20" s="414"/>
      <c r="STQ20" s="414"/>
      <c r="STR20" s="414"/>
      <c r="STS20" s="414"/>
      <c r="STT20" s="414"/>
      <c r="STU20" s="414"/>
      <c r="STV20" s="414"/>
      <c r="STW20" s="414"/>
      <c r="STX20" s="414"/>
      <c r="STY20" s="414"/>
      <c r="STZ20" s="414"/>
      <c r="SUA20" s="414"/>
      <c r="SUB20" s="414"/>
      <c r="SUC20" s="414"/>
      <c r="SUD20" s="414"/>
      <c r="SUE20" s="414"/>
      <c r="SUF20" s="414"/>
      <c r="SUG20" s="414"/>
      <c r="SUH20" s="414"/>
      <c r="SUI20" s="414"/>
      <c r="SUJ20" s="414"/>
      <c r="SUK20" s="414"/>
      <c r="SUL20" s="414"/>
      <c r="SUM20" s="414"/>
      <c r="SUN20" s="414"/>
      <c r="SUO20" s="414"/>
      <c r="SUP20" s="414"/>
      <c r="SUQ20" s="414"/>
      <c r="SUR20" s="414"/>
      <c r="SUS20" s="414"/>
      <c r="SUT20" s="414"/>
      <c r="SUU20" s="414"/>
      <c r="SUV20" s="414"/>
      <c r="SUW20" s="414"/>
      <c r="SUX20" s="414"/>
      <c r="SUY20" s="414"/>
      <c r="SUZ20" s="414"/>
      <c r="SVA20" s="414"/>
      <c r="SVB20" s="414"/>
      <c r="SVC20" s="414"/>
      <c r="SVD20" s="414"/>
      <c r="SVE20" s="414"/>
      <c r="SVF20" s="414"/>
      <c r="SVG20" s="414"/>
      <c r="SVH20" s="414"/>
      <c r="SVI20" s="414"/>
      <c r="SVJ20" s="414"/>
      <c r="SVK20" s="414"/>
      <c r="SVL20" s="414"/>
      <c r="SVM20" s="414"/>
      <c r="SVN20" s="414"/>
      <c r="SVO20" s="414"/>
      <c r="SVP20" s="414"/>
      <c r="SVQ20" s="414"/>
      <c r="SVR20" s="414"/>
      <c r="SVS20" s="414"/>
      <c r="SVT20" s="414"/>
      <c r="SVU20" s="414"/>
      <c r="SVV20" s="414"/>
      <c r="SVW20" s="414"/>
      <c r="SVX20" s="414"/>
      <c r="SVY20" s="414"/>
      <c r="SVZ20" s="414"/>
      <c r="SWA20" s="414"/>
      <c r="SWB20" s="414"/>
      <c r="SWC20" s="414"/>
      <c r="SWD20" s="414"/>
      <c r="SWE20" s="414"/>
      <c r="SWF20" s="414"/>
      <c r="SWG20" s="414"/>
      <c r="SWH20" s="414"/>
      <c r="SWI20" s="414"/>
      <c r="SWJ20" s="414"/>
      <c r="SWK20" s="414"/>
      <c r="SWL20" s="414"/>
      <c r="SWM20" s="414"/>
      <c r="SWN20" s="414"/>
      <c r="SWO20" s="414"/>
      <c r="SWP20" s="414"/>
      <c r="SWQ20" s="414"/>
      <c r="SWR20" s="414"/>
      <c r="SWS20" s="414"/>
      <c r="SWT20" s="414"/>
      <c r="SWU20" s="414"/>
      <c r="SWV20" s="414"/>
      <c r="SWW20" s="414"/>
      <c r="SWX20" s="414"/>
      <c r="SWY20" s="414"/>
      <c r="SWZ20" s="414"/>
      <c r="SXA20" s="414"/>
      <c r="SXB20" s="414"/>
      <c r="SXC20" s="414"/>
      <c r="SXD20" s="414"/>
      <c r="SXE20" s="414"/>
      <c r="SXF20" s="414"/>
      <c r="SXG20" s="414"/>
      <c r="SXH20" s="414"/>
      <c r="SXI20" s="414"/>
      <c r="SXJ20" s="414"/>
      <c r="SXK20" s="414"/>
      <c r="SXL20" s="414"/>
      <c r="SXM20" s="414"/>
      <c r="SXN20" s="414"/>
      <c r="SXO20" s="414"/>
      <c r="SXP20" s="414"/>
      <c r="SXQ20" s="414"/>
      <c r="SXR20" s="414"/>
      <c r="SXS20" s="414"/>
      <c r="SXT20" s="414"/>
      <c r="SXU20" s="414"/>
      <c r="SXV20" s="414"/>
      <c r="SXW20" s="414"/>
      <c r="SXX20" s="414"/>
      <c r="SXY20" s="414"/>
      <c r="SXZ20" s="414"/>
      <c r="SYA20" s="414"/>
      <c r="SYB20" s="414"/>
      <c r="SYC20" s="414"/>
      <c r="SYD20" s="414"/>
      <c r="SYE20" s="414"/>
      <c r="SYF20" s="414"/>
      <c r="SYG20" s="414"/>
      <c r="SYH20" s="414"/>
      <c r="SYI20" s="414"/>
      <c r="SYJ20" s="414"/>
      <c r="SYK20" s="414"/>
      <c r="SYL20" s="414"/>
      <c r="SYM20" s="414"/>
      <c r="SYN20" s="414"/>
      <c r="SYO20" s="414"/>
      <c r="SYP20" s="414"/>
      <c r="SYQ20" s="414"/>
      <c r="SYR20" s="414"/>
      <c r="SYS20" s="414"/>
      <c r="SYT20" s="414"/>
      <c r="SYU20" s="414"/>
      <c r="SYV20" s="414"/>
      <c r="SYW20" s="414"/>
      <c r="SYX20" s="414"/>
      <c r="SYY20" s="414"/>
      <c r="SYZ20" s="414"/>
      <c r="SZA20" s="414"/>
      <c r="SZB20" s="414"/>
      <c r="SZC20" s="414"/>
      <c r="SZD20" s="414"/>
      <c r="SZE20" s="414"/>
      <c r="SZF20" s="414"/>
      <c r="SZG20" s="414"/>
      <c r="SZH20" s="414"/>
      <c r="SZI20" s="414"/>
      <c r="SZJ20" s="414"/>
      <c r="SZK20" s="414"/>
      <c r="SZL20" s="414"/>
      <c r="SZM20" s="414"/>
      <c r="SZN20" s="414"/>
      <c r="SZO20" s="414"/>
      <c r="SZP20" s="414"/>
      <c r="SZQ20" s="414"/>
      <c r="SZR20" s="414"/>
      <c r="SZS20" s="414"/>
      <c r="SZT20" s="414"/>
      <c r="SZU20" s="414"/>
      <c r="SZV20" s="414"/>
      <c r="SZW20" s="414"/>
      <c r="SZX20" s="414"/>
      <c r="SZY20" s="414"/>
      <c r="SZZ20" s="414"/>
      <c r="TAA20" s="414"/>
      <c r="TAB20" s="414"/>
      <c r="TAC20" s="414"/>
      <c r="TAD20" s="414"/>
      <c r="TAE20" s="414"/>
      <c r="TAF20" s="414"/>
      <c r="TAG20" s="414"/>
      <c r="TAH20" s="414"/>
      <c r="TAI20" s="414"/>
      <c r="TAJ20" s="414"/>
      <c r="TAK20" s="414"/>
      <c r="TAL20" s="414"/>
      <c r="TAM20" s="414"/>
      <c r="TAN20" s="414"/>
      <c r="TAO20" s="414"/>
      <c r="TAP20" s="414"/>
      <c r="TAQ20" s="414"/>
      <c r="TAR20" s="414"/>
      <c r="TAS20" s="414"/>
      <c r="TAT20" s="414"/>
      <c r="TAU20" s="414"/>
      <c r="TAV20" s="414"/>
      <c r="TAW20" s="414"/>
      <c r="TAX20" s="414"/>
      <c r="TAY20" s="414"/>
      <c r="TAZ20" s="414"/>
      <c r="TBA20" s="414"/>
      <c r="TBB20" s="414"/>
      <c r="TBC20" s="414"/>
      <c r="TBD20" s="414"/>
      <c r="TBE20" s="414"/>
      <c r="TBF20" s="414"/>
      <c r="TBG20" s="414"/>
      <c r="TBH20" s="414"/>
      <c r="TBI20" s="414"/>
      <c r="TBJ20" s="414"/>
      <c r="TBK20" s="414"/>
      <c r="TBL20" s="414"/>
      <c r="TBM20" s="414"/>
      <c r="TBN20" s="414"/>
      <c r="TBO20" s="414"/>
      <c r="TBP20" s="414"/>
      <c r="TBQ20" s="414"/>
      <c r="TBR20" s="414"/>
      <c r="TBS20" s="414"/>
      <c r="TBT20" s="414"/>
      <c r="TBU20" s="414"/>
      <c r="TBV20" s="414"/>
      <c r="TBW20" s="414"/>
      <c r="TBX20" s="414"/>
      <c r="TBY20" s="414"/>
      <c r="TBZ20" s="414"/>
      <c r="TCA20" s="414"/>
      <c r="TCB20" s="414"/>
      <c r="TCC20" s="414"/>
      <c r="TCD20" s="414"/>
      <c r="TCE20" s="414"/>
      <c r="TCF20" s="414"/>
      <c r="TCG20" s="414"/>
      <c r="TCH20" s="414"/>
      <c r="TCI20" s="414"/>
      <c r="TCJ20" s="414"/>
      <c r="TCK20" s="414"/>
      <c r="TCL20" s="414"/>
      <c r="TCM20" s="414"/>
      <c r="TCN20" s="414"/>
      <c r="TCO20" s="414"/>
      <c r="TCP20" s="414"/>
      <c r="TCQ20" s="414"/>
      <c r="TCR20" s="414"/>
      <c r="TCS20" s="414"/>
      <c r="TCT20" s="414"/>
      <c r="TCU20" s="414"/>
      <c r="TCV20" s="414"/>
      <c r="TCW20" s="414"/>
      <c r="TCX20" s="414"/>
      <c r="TCY20" s="414"/>
      <c r="TCZ20" s="414"/>
      <c r="TDA20" s="414"/>
      <c r="TDB20" s="414"/>
      <c r="TDC20" s="414"/>
      <c r="TDD20" s="414"/>
      <c r="TDE20" s="414"/>
      <c r="TDF20" s="414"/>
      <c r="TDG20" s="414"/>
      <c r="TDH20" s="414"/>
      <c r="TDI20" s="414"/>
      <c r="TDJ20" s="414"/>
      <c r="TDK20" s="414"/>
      <c r="TDL20" s="414"/>
      <c r="TDM20" s="414"/>
      <c r="TDN20" s="414"/>
      <c r="TDO20" s="414"/>
      <c r="TDP20" s="414"/>
      <c r="TDQ20" s="414"/>
      <c r="TDR20" s="414"/>
      <c r="TDS20" s="414"/>
      <c r="TDT20" s="414"/>
      <c r="TDU20" s="414"/>
      <c r="TDV20" s="414"/>
      <c r="TDW20" s="414"/>
      <c r="TDX20" s="414"/>
      <c r="TDY20" s="414"/>
      <c r="TDZ20" s="414"/>
      <c r="TEA20" s="414"/>
      <c r="TEB20" s="414"/>
      <c r="TEC20" s="414"/>
      <c r="TED20" s="414"/>
      <c r="TEE20" s="414"/>
      <c r="TEF20" s="414"/>
      <c r="TEG20" s="414"/>
      <c r="TEH20" s="414"/>
      <c r="TEI20" s="414"/>
      <c r="TEJ20" s="414"/>
      <c r="TEK20" s="414"/>
      <c r="TEL20" s="414"/>
      <c r="TEM20" s="414"/>
      <c r="TEN20" s="414"/>
      <c r="TEO20" s="414"/>
      <c r="TEP20" s="414"/>
      <c r="TEQ20" s="414"/>
      <c r="TER20" s="414"/>
      <c r="TES20" s="414"/>
      <c r="TET20" s="414"/>
      <c r="TEU20" s="414"/>
      <c r="TEV20" s="414"/>
      <c r="TEW20" s="414"/>
      <c r="TEX20" s="414"/>
      <c r="TEY20" s="414"/>
      <c r="TEZ20" s="414"/>
      <c r="TFA20" s="414"/>
      <c r="TFB20" s="414"/>
      <c r="TFC20" s="414"/>
      <c r="TFD20" s="414"/>
      <c r="TFE20" s="414"/>
      <c r="TFF20" s="414"/>
      <c r="TFG20" s="414"/>
      <c r="TFH20" s="414"/>
      <c r="TFI20" s="414"/>
      <c r="TFJ20" s="414"/>
      <c r="TFK20" s="414"/>
      <c r="TFL20" s="414"/>
      <c r="TFM20" s="414"/>
      <c r="TFN20" s="414"/>
      <c r="TFO20" s="414"/>
      <c r="TFP20" s="414"/>
      <c r="TFQ20" s="414"/>
      <c r="TFR20" s="414"/>
      <c r="TFS20" s="414"/>
      <c r="TFT20" s="414"/>
      <c r="TFU20" s="414"/>
      <c r="TFV20" s="414"/>
      <c r="TFW20" s="414"/>
      <c r="TFX20" s="414"/>
      <c r="TFY20" s="414"/>
      <c r="TFZ20" s="414"/>
      <c r="TGA20" s="414"/>
      <c r="TGB20" s="414"/>
      <c r="TGC20" s="414"/>
      <c r="TGD20" s="414"/>
      <c r="TGE20" s="414"/>
      <c r="TGF20" s="414"/>
      <c r="TGG20" s="414"/>
      <c r="TGH20" s="414"/>
      <c r="TGI20" s="414"/>
      <c r="TGJ20" s="414"/>
      <c r="TGK20" s="414"/>
      <c r="TGL20" s="414"/>
      <c r="TGM20" s="414"/>
      <c r="TGN20" s="414"/>
      <c r="TGO20" s="414"/>
      <c r="TGP20" s="414"/>
      <c r="TGQ20" s="414"/>
      <c r="TGR20" s="414"/>
      <c r="TGS20" s="414"/>
      <c r="TGT20" s="414"/>
      <c r="TGU20" s="414"/>
      <c r="TGV20" s="414"/>
      <c r="TGW20" s="414"/>
      <c r="TGX20" s="414"/>
      <c r="TGY20" s="414"/>
      <c r="TGZ20" s="414"/>
      <c r="THA20" s="414"/>
      <c r="THB20" s="414"/>
      <c r="THC20" s="414"/>
      <c r="THD20" s="414"/>
      <c r="THE20" s="414"/>
      <c r="THF20" s="414"/>
      <c r="THG20" s="414"/>
      <c r="THH20" s="414"/>
      <c r="THI20" s="414"/>
      <c r="THJ20" s="414"/>
      <c r="THK20" s="414"/>
      <c r="THL20" s="414"/>
      <c r="THM20" s="414"/>
      <c r="THN20" s="414"/>
      <c r="THO20" s="414"/>
      <c r="THP20" s="414"/>
      <c r="THQ20" s="414"/>
      <c r="THR20" s="414"/>
      <c r="THS20" s="414"/>
      <c r="THT20" s="414"/>
      <c r="THU20" s="414"/>
      <c r="THV20" s="414"/>
      <c r="THW20" s="414"/>
      <c r="THX20" s="414"/>
      <c r="THY20" s="414"/>
      <c r="THZ20" s="414"/>
      <c r="TIA20" s="414"/>
      <c r="TIB20" s="414"/>
      <c r="TIC20" s="414"/>
      <c r="TID20" s="414"/>
      <c r="TIE20" s="414"/>
      <c r="TIF20" s="414"/>
      <c r="TIG20" s="414"/>
      <c r="TIH20" s="414"/>
      <c r="TII20" s="414"/>
      <c r="TIJ20" s="414"/>
      <c r="TIK20" s="414"/>
      <c r="TIL20" s="414"/>
      <c r="TIM20" s="414"/>
      <c r="TIN20" s="414"/>
      <c r="TIO20" s="414"/>
      <c r="TIP20" s="414"/>
      <c r="TIQ20" s="414"/>
      <c r="TIR20" s="414"/>
      <c r="TIS20" s="414"/>
      <c r="TIT20" s="414"/>
      <c r="TIU20" s="414"/>
      <c r="TIV20" s="414"/>
      <c r="TIW20" s="414"/>
      <c r="TIX20" s="414"/>
      <c r="TIY20" s="414"/>
      <c r="TIZ20" s="414"/>
      <c r="TJA20" s="414"/>
      <c r="TJB20" s="414"/>
      <c r="TJC20" s="414"/>
      <c r="TJD20" s="414"/>
      <c r="TJE20" s="414"/>
      <c r="TJF20" s="414"/>
      <c r="TJG20" s="414"/>
      <c r="TJH20" s="414"/>
      <c r="TJI20" s="414"/>
      <c r="TJJ20" s="414"/>
      <c r="TJK20" s="414"/>
      <c r="TJL20" s="414"/>
      <c r="TJM20" s="414"/>
      <c r="TJN20" s="414"/>
      <c r="TJO20" s="414"/>
      <c r="TJP20" s="414"/>
      <c r="TJQ20" s="414"/>
      <c r="TJR20" s="414"/>
      <c r="TJS20" s="414"/>
      <c r="TJT20" s="414"/>
      <c r="TJU20" s="414"/>
      <c r="TJV20" s="414"/>
      <c r="TJW20" s="414"/>
      <c r="TJX20" s="414"/>
      <c r="TJY20" s="414"/>
      <c r="TJZ20" s="414"/>
      <c r="TKA20" s="414"/>
      <c r="TKB20" s="414"/>
      <c r="TKC20" s="414"/>
      <c r="TKD20" s="414"/>
      <c r="TKE20" s="414"/>
      <c r="TKF20" s="414"/>
      <c r="TKG20" s="414"/>
      <c r="TKH20" s="414"/>
      <c r="TKI20" s="414"/>
      <c r="TKJ20" s="414"/>
      <c r="TKK20" s="414"/>
      <c r="TKL20" s="414"/>
      <c r="TKM20" s="414"/>
      <c r="TKN20" s="414"/>
      <c r="TKO20" s="414"/>
      <c r="TKP20" s="414"/>
      <c r="TKQ20" s="414"/>
      <c r="TKR20" s="414"/>
      <c r="TKS20" s="414"/>
      <c r="TKT20" s="414"/>
      <c r="TKU20" s="414"/>
      <c r="TKV20" s="414"/>
      <c r="TKW20" s="414"/>
      <c r="TKX20" s="414"/>
      <c r="TKY20" s="414"/>
      <c r="TKZ20" s="414"/>
      <c r="TLA20" s="414"/>
      <c r="TLB20" s="414"/>
      <c r="TLC20" s="414"/>
      <c r="TLD20" s="414"/>
      <c r="TLE20" s="414"/>
      <c r="TLF20" s="414"/>
      <c r="TLG20" s="414"/>
      <c r="TLH20" s="414"/>
      <c r="TLI20" s="414"/>
      <c r="TLJ20" s="414"/>
      <c r="TLK20" s="414"/>
      <c r="TLL20" s="414"/>
      <c r="TLM20" s="414"/>
      <c r="TLN20" s="414"/>
      <c r="TLO20" s="414"/>
      <c r="TLP20" s="414"/>
      <c r="TLQ20" s="414"/>
      <c r="TLR20" s="414"/>
      <c r="TLS20" s="414"/>
      <c r="TLT20" s="414"/>
      <c r="TLU20" s="414"/>
      <c r="TLV20" s="414"/>
      <c r="TLW20" s="414"/>
      <c r="TLX20" s="414"/>
      <c r="TLY20" s="414"/>
      <c r="TLZ20" s="414"/>
      <c r="TMA20" s="414"/>
      <c r="TMB20" s="414"/>
      <c r="TMC20" s="414"/>
      <c r="TMD20" s="414"/>
      <c r="TME20" s="414"/>
      <c r="TMF20" s="414"/>
      <c r="TMG20" s="414"/>
      <c r="TMH20" s="414"/>
      <c r="TMI20" s="414"/>
      <c r="TMJ20" s="414"/>
      <c r="TMK20" s="414"/>
      <c r="TML20" s="414"/>
      <c r="TMM20" s="414"/>
      <c r="TMN20" s="414"/>
      <c r="TMO20" s="414"/>
      <c r="TMP20" s="414"/>
      <c r="TMQ20" s="414"/>
      <c r="TMR20" s="414"/>
      <c r="TMS20" s="414"/>
      <c r="TMT20" s="414"/>
      <c r="TMU20" s="414"/>
      <c r="TMV20" s="414"/>
      <c r="TMW20" s="414"/>
      <c r="TMX20" s="414"/>
      <c r="TMY20" s="414"/>
      <c r="TMZ20" s="414"/>
      <c r="TNA20" s="414"/>
      <c r="TNB20" s="414"/>
      <c r="TNC20" s="414"/>
      <c r="TND20" s="414"/>
      <c r="TNE20" s="414"/>
      <c r="TNF20" s="414"/>
      <c r="TNG20" s="414"/>
      <c r="TNH20" s="414"/>
      <c r="TNI20" s="414"/>
      <c r="TNJ20" s="414"/>
      <c r="TNK20" s="414"/>
      <c r="TNL20" s="414"/>
      <c r="TNM20" s="414"/>
      <c r="TNN20" s="414"/>
      <c r="TNO20" s="414"/>
      <c r="TNP20" s="414"/>
      <c r="TNQ20" s="414"/>
      <c r="TNR20" s="414"/>
      <c r="TNS20" s="414"/>
      <c r="TNT20" s="414"/>
      <c r="TNU20" s="414"/>
      <c r="TNV20" s="414"/>
      <c r="TNW20" s="414"/>
      <c r="TNX20" s="414"/>
      <c r="TNY20" s="414"/>
      <c r="TNZ20" s="414"/>
      <c r="TOA20" s="414"/>
      <c r="TOB20" s="414"/>
      <c r="TOC20" s="414"/>
      <c r="TOD20" s="414"/>
      <c r="TOE20" s="414"/>
      <c r="TOF20" s="414"/>
      <c r="TOG20" s="414"/>
      <c r="TOH20" s="414"/>
      <c r="TOI20" s="414"/>
      <c r="TOJ20" s="414"/>
      <c r="TOK20" s="414"/>
      <c r="TOL20" s="414"/>
      <c r="TOM20" s="414"/>
      <c r="TON20" s="414"/>
      <c r="TOO20" s="414"/>
      <c r="TOP20" s="414"/>
      <c r="TOQ20" s="414"/>
      <c r="TOR20" s="414"/>
      <c r="TOS20" s="414"/>
      <c r="TOT20" s="414"/>
      <c r="TOU20" s="414"/>
      <c r="TOV20" s="414"/>
      <c r="TOW20" s="414"/>
      <c r="TOX20" s="414"/>
      <c r="TOY20" s="414"/>
      <c r="TOZ20" s="414"/>
      <c r="TPA20" s="414"/>
      <c r="TPB20" s="414"/>
      <c r="TPC20" s="414"/>
      <c r="TPD20" s="414"/>
      <c r="TPE20" s="414"/>
      <c r="TPF20" s="414"/>
      <c r="TPG20" s="414"/>
      <c r="TPH20" s="414"/>
      <c r="TPI20" s="414"/>
      <c r="TPJ20" s="414"/>
      <c r="TPK20" s="414"/>
      <c r="TPL20" s="414"/>
      <c r="TPM20" s="414"/>
      <c r="TPN20" s="414"/>
      <c r="TPO20" s="414"/>
      <c r="TPP20" s="414"/>
      <c r="TPQ20" s="414"/>
      <c r="TPR20" s="414"/>
      <c r="TPS20" s="414"/>
      <c r="TPT20" s="414"/>
      <c r="TPU20" s="414"/>
      <c r="TPV20" s="414"/>
      <c r="TPW20" s="414"/>
      <c r="TPX20" s="414"/>
      <c r="TPY20" s="414"/>
      <c r="TPZ20" s="414"/>
      <c r="TQA20" s="414"/>
      <c r="TQB20" s="414"/>
      <c r="TQC20" s="414"/>
      <c r="TQD20" s="414"/>
      <c r="TQE20" s="414"/>
      <c r="TQF20" s="414"/>
      <c r="TQG20" s="414"/>
      <c r="TQH20" s="414"/>
      <c r="TQI20" s="414"/>
      <c r="TQJ20" s="414"/>
      <c r="TQK20" s="414"/>
      <c r="TQL20" s="414"/>
      <c r="TQM20" s="414"/>
      <c r="TQN20" s="414"/>
      <c r="TQO20" s="414"/>
      <c r="TQP20" s="414"/>
      <c r="TQQ20" s="414"/>
      <c r="TQR20" s="414"/>
      <c r="TQS20" s="414"/>
      <c r="TQT20" s="414"/>
      <c r="TQU20" s="414"/>
      <c r="TQV20" s="414"/>
      <c r="TQW20" s="414"/>
      <c r="TQX20" s="414"/>
      <c r="TQY20" s="414"/>
      <c r="TQZ20" s="414"/>
      <c r="TRA20" s="414"/>
      <c r="TRB20" s="414"/>
      <c r="TRC20" s="414"/>
      <c r="TRD20" s="414"/>
      <c r="TRE20" s="414"/>
      <c r="TRF20" s="414"/>
      <c r="TRG20" s="414"/>
      <c r="TRH20" s="414"/>
      <c r="TRI20" s="414"/>
      <c r="TRJ20" s="414"/>
      <c r="TRK20" s="414"/>
      <c r="TRL20" s="414"/>
      <c r="TRM20" s="414"/>
      <c r="TRN20" s="414"/>
      <c r="TRO20" s="414"/>
      <c r="TRP20" s="414"/>
      <c r="TRQ20" s="414"/>
      <c r="TRR20" s="414"/>
      <c r="TRS20" s="414"/>
      <c r="TRT20" s="414"/>
      <c r="TRU20" s="414"/>
      <c r="TRV20" s="414"/>
      <c r="TRW20" s="414"/>
      <c r="TRX20" s="414"/>
      <c r="TRY20" s="414"/>
      <c r="TRZ20" s="414"/>
      <c r="TSA20" s="414"/>
      <c r="TSB20" s="414"/>
      <c r="TSC20" s="414"/>
      <c r="TSD20" s="414"/>
      <c r="TSE20" s="414"/>
      <c r="TSF20" s="414"/>
      <c r="TSG20" s="414"/>
      <c r="TSH20" s="414"/>
      <c r="TSI20" s="414"/>
      <c r="TSJ20" s="414"/>
      <c r="TSK20" s="414"/>
      <c r="TSL20" s="414"/>
      <c r="TSM20" s="414"/>
      <c r="TSN20" s="414"/>
      <c r="TSO20" s="414"/>
      <c r="TSP20" s="414"/>
      <c r="TSQ20" s="414"/>
      <c r="TSR20" s="414"/>
      <c r="TSS20" s="414"/>
      <c r="TST20" s="414"/>
      <c r="TSU20" s="414"/>
      <c r="TSV20" s="414"/>
      <c r="TSW20" s="414"/>
      <c r="TSX20" s="414"/>
      <c r="TSY20" s="414"/>
      <c r="TSZ20" s="414"/>
      <c r="TTA20" s="414"/>
      <c r="TTB20" s="414"/>
      <c r="TTC20" s="414"/>
      <c r="TTD20" s="414"/>
      <c r="TTE20" s="414"/>
      <c r="TTF20" s="414"/>
      <c r="TTG20" s="414"/>
      <c r="TTH20" s="414"/>
      <c r="TTI20" s="414"/>
      <c r="TTJ20" s="414"/>
      <c r="TTK20" s="414"/>
      <c r="TTL20" s="414"/>
      <c r="TTM20" s="414"/>
      <c r="TTN20" s="414"/>
      <c r="TTO20" s="414"/>
      <c r="TTP20" s="414"/>
      <c r="TTQ20" s="414"/>
      <c r="TTR20" s="414"/>
      <c r="TTS20" s="414"/>
      <c r="TTT20" s="414"/>
      <c r="TTU20" s="414"/>
      <c r="TTV20" s="414"/>
      <c r="TTW20" s="414"/>
      <c r="TTX20" s="414"/>
      <c r="TTY20" s="414"/>
      <c r="TTZ20" s="414"/>
      <c r="TUA20" s="414"/>
      <c r="TUB20" s="414"/>
      <c r="TUC20" s="414"/>
      <c r="TUD20" s="414"/>
      <c r="TUE20" s="414"/>
      <c r="TUF20" s="414"/>
      <c r="TUG20" s="414"/>
      <c r="TUH20" s="414"/>
      <c r="TUI20" s="414"/>
      <c r="TUJ20" s="414"/>
      <c r="TUK20" s="414"/>
      <c r="TUL20" s="414"/>
      <c r="TUM20" s="414"/>
      <c r="TUN20" s="414"/>
      <c r="TUO20" s="414"/>
      <c r="TUP20" s="414"/>
      <c r="TUQ20" s="414"/>
      <c r="TUR20" s="414"/>
      <c r="TUS20" s="414"/>
      <c r="TUT20" s="414"/>
      <c r="TUU20" s="414"/>
      <c r="TUV20" s="414"/>
      <c r="TUW20" s="414"/>
      <c r="TUX20" s="414"/>
      <c r="TUY20" s="414"/>
      <c r="TUZ20" s="414"/>
      <c r="TVA20" s="414"/>
      <c r="TVB20" s="414"/>
      <c r="TVC20" s="414"/>
      <c r="TVD20" s="414"/>
      <c r="TVE20" s="414"/>
      <c r="TVF20" s="414"/>
      <c r="TVG20" s="414"/>
      <c r="TVH20" s="414"/>
      <c r="TVI20" s="414"/>
      <c r="TVJ20" s="414"/>
      <c r="TVK20" s="414"/>
      <c r="TVL20" s="414"/>
      <c r="TVM20" s="414"/>
      <c r="TVN20" s="414"/>
      <c r="TVO20" s="414"/>
      <c r="TVP20" s="414"/>
      <c r="TVQ20" s="414"/>
      <c r="TVR20" s="414"/>
      <c r="TVS20" s="414"/>
      <c r="TVT20" s="414"/>
      <c r="TVU20" s="414"/>
      <c r="TVV20" s="414"/>
      <c r="TVW20" s="414"/>
      <c r="TVX20" s="414"/>
      <c r="TVY20" s="414"/>
      <c r="TVZ20" s="414"/>
      <c r="TWA20" s="414"/>
      <c r="TWB20" s="414"/>
      <c r="TWC20" s="414"/>
      <c r="TWD20" s="414"/>
      <c r="TWE20" s="414"/>
      <c r="TWF20" s="414"/>
      <c r="TWG20" s="414"/>
      <c r="TWH20" s="414"/>
      <c r="TWI20" s="414"/>
      <c r="TWJ20" s="414"/>
      <c r="TWK20" s="414"/>
      <c r="TWL20" s="414"/>
      <c r="TWM20" s="414"/>
      <c r="TWN20" s="414"/>
      <c r="TWO20" s="414"/>
      <c r="TWP20" s="414"/>
      <c r="TWQ20" s="414"/>
      <c r="TWR20" s="414"/>
      <c r="TWS20" s="414"/>
      <c r="TWT20" s="414"/>
      <c r="TWU20" s="414"/>
      <c r="TWV20" s="414"/>
      <c r="TWW20" s="414"/>
      <c r="TWX20" s="414"/>
      <c r="TWY20" s="414"/>
      <c r="TWZ20" s="414"/>
      <c r="TXA20" s="414"/>
      <c r="TXB20" s="414"/>
      <c r="TXC20" s="414"/>
      <c r="TXD20" s="414"/>
      <c r="TXE20" s="414"/>
      <c r="TXF20" s="414"/>
      <c r="TXG20" s="414"/>
      <c r="TXH20" s="414"/>
      <c r="TXI20" s="414"/>
      <c r="TXJ20" s="414"/>
      <c r="TXK20" s="414"/>
      <c r="TXL20" s="414"/>
      <c r="TXM20" s="414"/>
      <c r="TXN20" s="414"/>
      <c r="TXO20" s="414"/>
      <c r="TXP20" s="414"/>
      <c r="TXQ20" s="414"/>
      <c r="TXR20" s="414"/>
      <c r="TXS20" s="414"/>
      <c r="TXT20" s="414"/>
      <c r="TXU20" s="414"/>
      <c r="TXV20" s="414"/>
      <c r="TXW20" s="414"/>
      <c r="TXX20" s="414"/>
      <c r="TXY20" s="414"/>
      <c r="TXZ20" s="414"/>
      <c r="TYA20" s="414"/>
      <c r="TYB20" s="414"/>
      <c r="TYC20" s="414"/>
      <c r="TYD20" s="414"/>
      <c r="TYE20" s="414"/>
      <c r="TYF20" s="414"/>
      <c r="TYG20" s="414"/>
      <c r="TYH20" s="414"/>
      <c r="TYI20" s="414"/>
      <c r="TYJ20" s="414"/>
      <c r="TYK20" s="414"/>
      <c r="TYL20" s="414"/>
      <c r="TYM20" s="414"/>
      <c r="TYN20" s="414"/>
      <c r="TYO20" s="414"/>
      <c r="TYP20" s="414"/>
      <c r="TYQ20" s="414"/>
      <c r="TYR20" s="414"/>
      <c r="TYS20" s="414"/>
      <c r="TYT20" s="414"/>
      <c r="TYU20" s="414"/>
      <c r="TYV20" s="414"/>
      <c r="TYW20" s="414"/>
      <c r="TYX20" s="414"/>
      <c r="TYY20" s="414"/>
      <c r="TYZ20" s="414"/>
      <c r="TZA20" s="414"/>
      <c r="TZB20" s="414"/>
      <c r="TZC20" s="414"/>
      <c r="TZD20" s="414"/>
      <c r="TZE20" s="414"/>
      <c r="TZF20" s="414"/>
      <c r="TZG20" s="414"/>
      <c r="TZH20" s="414"/>
      <c r="TZI20" s="414"/>
      <c r="TZJ20" s="414"/>
      <c r="TZK20" s="414"/>
      <c r="TZL20" s="414"/>
      <c r="TZM20" s="414"/>
      <c r="TZN20" s="414"/>
      <c r="TZO20" s="414"/>
      <c r="TZP20" s="414"/>
      <c r="TZQ20" s="414"/>
      <c r="TZR20" s="414"/>
      <c r="TZS20" s="414"/>
      <c r="TZT20" s="414"/>
      <c r="TZU20" s="414"/>
      <c r="TZV20" s="414"/>
      <c r="TZW20" s="414"/>
      <c r="TZX20" s="414"/>
      <c r="TZY20" s="414"/>
      <c r="TZZ20" s="414"/>
      <c r="UAA20" s="414"/>
      <c r="UAB20" s="414"/>
      <c r="UAC20" s="414"/>
      <c r="UAD20" s="414"/>
      <c r="UAE20" s="414"/>
      <c r="UAF20" s="414"/>
      <c r="UAG20" s="414"/>
      <c r="UAH20" s="414"/>
      <c r="UAI20" s="414"/>
      <c r="UAJ20" s="414"/>
      <c r="UAK20" s="414"/>
      <c r="UAL20" s="414"/>
      <c r="UAM20" s="414"/>
      <c r="UAN20" s="414"/>
      <c r="UAO20" s="414"/>
      <c r="UAP20" s="414"/>
      <c r="UAQ20" s="414"/>
      <c r="UAR20" s="414"/>
      <c r="UAS20" s="414"/>
      <c r="UAT20" s="414"/>
      <c r="UAU20" s="414"/>
      <c r="UAV20" s="414"/>
      <c r="UAW20" s="414"/>
      <c r="UAX20" s="414"/>
      <c r="UAY20" s="414"/>
      <c r="UAZ20" s="414"/>
      <c r="UBA20" s="414"/>
      <c r="UBB20" s="414"/>
      <c r="UBC20" s="414"/>
      <c r="UBD20" s="414"/>
      <c r="UBE20" s="414"/>
      <c r="UBF20" s="414"/>
      <c r="UBG20" s="414"/>
      <c r="UBH20" s="414"/>
      <c r="UBI20" s="414"/>
      <c r="UBJ20" s="414"/>
      <c r="UBK20" s="414"/>
      <c r="UBL20" s="414"/>
      <c r="UBM20" s="414"/>
      <c r="UBN20" s="414"/>
      <c r="UBO20" s="414"/>
      <c r="UBP20" s="414"/>
      <c r="UBQ20" s="414"/>
      <c r="UBR20" s="414"/>
      <c r="UBS20" s="414"/>
      <c r="UBT20" s="414"/>
      <c r="UBU20" s="414"/>
      <c r="UBV20" s="414"/>
      <c r="UBW20" s="414"/>
      <c r="UBX20" s="414"/>
      <c r="UBY20" s="414"/>
      <c r="UBZ20" s="414"/>
      <c r="UCA20" s="414"/>
      <c r="UCB20" s="414"/>
      <c r="UCC20" s="414"/>
      <c r="UCD20" s="414"/>
      <c r="UCE20" s="414"/>
      <c r="UCF20" s="414"/>
      <c r="UCG20" s="414"/>
      <c r="UCH20" s="414"/>
      <c r="UCI20" s="414"/>
      <c r="UCJ20" s="414"/>
      <c r="UCK20" s="414"/>
      <c r="UCL20" s="414"/>
      <c r="UCM20" s="414"/>
      <c r="UCN20" s="414"/>
      <c r="UCO20" s="414"/>
      <c r="UCP20" s="414"/>
      <c r="UCQ20" s="414"/>
      <c r="UCR20" s="414"/>
      <c r="UCS20" s="414"/>
      <c r="UCT20" s="414"/>
      <c r="UCU20" s="414"/>
      <c r="UCV20" s="414"/>
      <c r="UCW20" s="414"/>
      <c r="UCX20" s="414"/>
      <c r="UCY20" s="414"/>
      <c r="UCZ20" s="414"/>
      <c r="UDA20" s="414"/>
      <c r="UDB20" s="414"/>
      <c r="UDC20" s="414"/>
      <c r="UDD20" s="414"/>
      <c r="UDE20" s="414"/>
      <c r="UDF20" s="414"/>
      <c r="UDG20" s="414"/>
      <c r="UDH20" s="414"/>
      <c r="UDI20" s="414"/>
      <c r="UDJ20" s="414"/>
      <c r="UDK20" s="414"/>
      <c r="UDL20" s="414"/>
      <c r="UDM20" s="414"/>
      <c r="UDN20" s="414"/>
      <c r="UDO20" s="414"/>
      <c r="UDP20" s="414"/>
      <c r="UDQ20" s="414"/>
      <c r="UDR20" s="414"/>
      <c r="UDS20" s="414"/>
      <c r="UDT20" s="414"/>
      <c r="UDU20" s="414"/>
      <c r="UDV20" s="414"/>
      <c r="UDW20" s="414"/>
      <c r="UDX20" s="414"/>
      <c r="UDY20" s="414"/>
      <c r="UDZ20" s="414"/>
      <c r="UEA20" s="414"/>
      <c r="UEB20" s="414"/>
      <c r="UEC20" s="414"/>
      <c r="UED20" s="414"/>
      <c r="UEE20" s="414"/>
      <c r="UEF20" s="414"/>
      <c r="UEG20" s="414"/>
      <c r="UEH20" s="414"/>
      <c r="UEI20" s="414"/>
      <c r="UEJ20" s="414"/>
      <c r="UEK20" s="414"/>
      <c r="UEL20" s="414"/>
      <c r="UEM20" s="414"/>
      <c r="UEN20" s="414"/>
      <c r="UEO20" s="414"/>
      <c r="UEP20" s="414"/>
      <c r="UEQ20" s="414"/>
      <c r="UER20" s="414"/>
      <c r="UES20" s="414"/>
      <c r="UET20" s="414"/>
      <c r="UEU20" s="414"/>
      <c r="UEV20" s="414"/>
      <c r="UEW20" s="414"/>
      <c r="UEX20" s="414"/>
      <c r="UEY20" s="414"/>
      <c r="UEZ20" s="414"/>
      <c r="UFA20" s="414"/>
      <c r="UFB20" s="414"/>
      <c r="UFC20" s="414"/>
      <c r="UFD20" s="414"/>
      <c r="UFE20" s="414"/>
      <c r="UFF20" s="414"/>
      <c r="UFG20" s="414"/>
      <c r="UFH20" s="414"/>
      <c r="UFI20" s="414"/>
      <c r="UFJ20" s="414"/>
      <c r="UFK20" s="414"/>
      <c r="UFL20" s="414"/>
      <c r="UFM20" s="414"/>
      <c r="UFN20" s="414"/>
      <c r="UFO20" s="414"/>
      <c r="UFP20" s="414"/>
      <c r="UFQ20" s="414"/>
      <c r="UFR20" s="414"/>
      <c r="UFS20" s="414"/>
      <c r="UFT20" s="414"/>
      <c r="UFU20" s="414"/>
      <c r="UFV20" s="414"/>
      <c r="UFW20" s="414"/>
      <c r="UFX20" s="414"/>
      <c r="UFY20" s="414"/>
      <c r="UFZ20" s="414"/>
      <c r="UGA20" s="414"/>
      <c r="UGB20" s="414"/>
      <c r="UGC20" s="414"/>
      <c r="UGD20" s="414"/>
      <c r="UGE20" s="414"/>
      <c r="UGF20" s="414"/>
      <c r="UGG20" s="414"/>
      <c r="UGH20" s="414"/>
      <c r="UGI20" s="414"/>
      <c r="UGJ20" s="414"/>
      <c r="UGK20" s="414"/>
      <c r="UGL20" s="414"/>
      <c r="UGM20" s="414"/>
      <c r="UGN20" s="414"/>
      <c r="UGO20" s="414"/>
      <c r="UGP20" s="414"/>
      <c r="UGQ20" s="414"/>
      <c r="UGR20" s="414"/>
      <c r="UGS20" s="414"/>
      <c r="UGT20" s="414"/>
      <c r="UGU20" s="414"/>
      <c r="UGV20" s="414"/>
      <c r="UGW20" s="414"/>
      <c r="UGX20" s="414"/>
      <c r="UGY20" s="414"/>
      <c r="UGZ20" s="414"/>
      <c r="UHA20" s="414"/>
      <c r="UHB20" s="414"/>
      <c r="UHC20" s="414"/>
      <c r="UHD20" s="414"/>
      <c r="UHE20" s="414"/>
      <c r="UHF20" s="414"/>
      <c r="UHG20" s="414"/>
      <c r="UHH20" s="414"/>
      <c r="UHI20" s="414"/>
      <c r="UHJ20" s="414"/>
      <c r="UHK20" s="414"/>
      <c r="UHL20" s="414"/>
      <c r="UHM20" s="414"/>
      <c r="UHN20" s="414"/>
      <c r="UHO20" s="414"/>
      <c r="UHP20" s="414"/>
      <c r="UHQ20" s="414"/>
      <c r="UHR20" s="414"/>
      <c r="UHS20" s="414"/>
      <c r="UHT20" s="414"/>
      <c r="UHU20" s="414"/>
      <c r="UHV20" s="414"/>
      <c r="UHW20" s="414"/>
      <c r="UHX20" s="414"/>
      <c r="UHY20" s="414"/>
      <c r="UHZ20" s="414"/>
      <c r="UIA20" s="414"/>
      <c r="UIB20" s="414"/>
      <c r="UIC20" s="414"/>
      <c r="UID20" s="414"/>
      <c r="UIE20" s="414"/>
      <c r="UIF20" s="414"/>
      <c r="UIG20" s="414"/>
      <c r="UIH20" s="414"/>
      <c r="UII20" s="414"/>
      <c r="UIJ20" s="414"/>
      <c r="UIK20" s="414"/>
      <c r="UIL20" s="414"/>
      <c r="UIM20" s="414"/>
      <c r="UIN20" s="414"/>
      <c r="UIO20" s="414"/>
      <c r="UIP20" s="414"/>
      <c r="UIQ20" s="414"/>
      <c r="UIR20" s="414"/>
      <c r="UIS20" s="414"/>
      <c r="UIT20" s="414"/>
      <c r="UIU20" s="414"/>
      <c r="UIV20" s="414"/>
      <c r="UIW20" s="414"/>
      <c r="UIX20" s="414"/>
      <c r="UIY20" s="414"/>
      <c r="UIZ20" s="414"/>
      <c r="UJA20" s="414"/>
      <c r="UJB20" s="414"/>
      <c r="UJC20" s="414"/>
      <c r="UJD20" s="414"/>
      <c r="UJE20" s="414"/>
      <c r="UJF20" s="414"/>
      <c r="UJG20" s="414"/>
      <c r="UJH20" s="414"/>
      <c r="UJI20" s="414"/>
      <c r="UJJ20" s="414"/>
      <c r="UJK20" s="414"/>
      <c r="UJL20" s="414"/>
      <c r="UJM20" s="414"/>
      <c r="UJN20" s="414"/>
      <c r="UJO20" s="414"/>
      <c r="UJP20" s="414"/>
      <c r="UJQ20" s="414"/>
      <c r="UJR20" s="414"/>
      <c r="UJS20" s="414"/>
      <c r="UJT20" s="414"/>
      <c r="UJU20" s="414"/>
      <c r="UJV20" s="414"/>
      <c r="UJW20" s="414"/>
      <c r="UJX20" s="414"/>
      <c r="UJY20" s="414"/>
      <c r="UJZ20" s="414"/>
      <c r="UKA20" s="414"/>
      <c r="UKB20" s="414"/>
      <c r="UKC20" s="414"/>
      <c r="UKD20" s="414"/>
      <c r="UKE20" s="414"/>
      <c r="UKF20" s="414"/>
      <c r="UKG20" s="414"/>
      <c r="UKH20" s="414"/>
      <c r="UKI20" s="414"/>
      <c r="UKJ20" s="414"/>
      <c r="UKK20" s="414"/>
      <c r="UKL20" s="414"/>
      <c r="UKM20" s="414"/>
      <c r="UKN20" s="414"/>
      <c r="UKO20" s="414"/>
      <c r="UKP20" s="414"/>
      <c r="UKQ20" s="414"/>
      <c r="UKR20" s="414"/>
      <c r="UKS20" s="414"/>
      <c r="UKT20" s="414"/>
      <c r="UKU20" s="414"/>
      <c r="UKV20" s="414"/>
      <c r="UKW20" s="414"/>
      <c r="UKX20" s="414"/>
      <c r="UKY20" s="414"/>
      <c r="UKZ20" s="414"/>
      <c r="ULA20" s="414"/>
      <c r="ULB20" s="414"/>
      <c r="ULC20" s="414"/>
      <c r="ULD20" s="414"/>
      <c r="ULE20" s="414"/>
      <c r="ULF20" s="414"/>
      <c r="ULG20" s="414"/>
      <c r="ULH20" s="414"/>
      <c r="ULI20" s="414"/>
      <c r="ULJ20" s="414"/>
      <c r="ULK20" s="414"/>
      <c r="ULL20" s="414"/>
      <c r="ULM20" s="414"/>
      <c r="ULN20" s="414"/>
      <c r="ULO20" s="414"/>
      <c r="ULP20" s="414"/>
      <c r="ULQ20" s="414"/>
      <c r="ULR20" s="414"/>
      <c r="ULS20" s="414"/>
      <c r="ULT20" s="414"/>
      <c r="ULU20" s="414"/>
      <c r="ULV20" s="414"/>
      <c r="ULW20" s="414"/>
      <c r="ULX20" s="414"/>
      <c r="ULY20" s="414"/>
      <c r="ULZ20" s="414"/>
      <c r="UMA20" s="414"/>
      <c r="UMB20" s="414"/>
      <c r="UMC20" s="414"/>
      <c r="UMD20" s="414"/>
      <c r="UME20" s="414"/>
      <c r="UMF20" s="414"/>
      <c r="UMG20" s="414"/>
      <c r="UMH20" s="414"/>
      <c r="UMI20" s="414"/>
      <c r="UMJ20" s="414"/>
      <c r="UMK20" s="414"/>
      <c r="UML20" s="414"/>
      <c r="UMM20" s="414"/>
      <c r="UMN20" s="414"/>
      <c r="UMO20" s="414"/>
      <c r="UMP20" s="414"/>
      <c r="UMQ20" s="414"/>
      <c r="UMR20" s="414"/>
      <c r="UMS20" s="414"/>
      <c r="UMT20" s="414"/>
      <c r="UMU20" s="414"/>
      <c r="UMV20" s="414"/>
      <c r="UMW20" s="414"/>
      <c r="UMX20" s="414"/>
      <c r="UMY20" s="414"/>
      <c r="UMZ20" s="414"/>
      <c r="UNA20" s="414"/>
      <c r="UNB20" s="414"/>
      <c r="UNC20" s="414"/>
      <c r="UND20" s="414"/>
      <c r="UNE20" s="414"/>
      <c r="UNF20" s="414"/>
      <c r="UNG20" s="414"/>
      <c r="UNH20" s="414"/>
      <c r="UNI20" s="414"/>
      <c r="UNJ20" s="414"/>
      <c r="UNK20" s="414"/>
      <c r="UNL20" s="414"/>
      <c r="UNM20" s="414"/>
      <c r="UNN20" s="414"/>
      <c r="UNO20" s="414"/>
      <c r="UNP20" s="414"/>
      <c r="UNQ20" s="414"/>
      <c r="UNR20" s="414"/>
      <c r="UNS20" s="414"/>
      <c r="UNT20" s="414"/>
      <c r="UNU20" s="414"/>
      <c r="UNV20" s="414"/>
      <c r="UNW20" s="414"/>
      <c r="UNX20" s="414"/>
      <c r="UNY20" s="414"/>
      <c r="UNZ20" s="414"/>
      <c r="UOA20" s="414"/>
      <c r="UOB20" s="414"/>
      <c r="UOC20" s="414"/>
      <c r="UOD20" s="414"/>
      <c r="UOE20" s="414"/>
      <c r="UOF20" s="414"/>
      <c r="UOG20" s="414"/>
      <c r="UOH20" s="414"/>
      <c r="UOI20" s="414"/>
      <c r="UOJ20" s="414"/>
      <c r="UOK20" s="414"/>
      <c r="UOL20" s="414"/>
      <c r="UOM20" s="414"/>
      <c r="UON20" s="414"/>
      <c r="UOO20" s="414"/>
      <c r="UOP20" s="414"/>
      <c r="UOQ20" s="414"/>
      <c r="UOR20" s="414"/>
      <c r="UOS20" s="414"/>
      <c r="UOT20" s="414"/>
      <c r="UOU20" s="414"/>
      <c r="UOV20" s="414"/>
      <c r="UOW20" s="414"/>
      <c r="UOX20" s="414"/>
      <c r="UOY20" s="414"/>
      <c r="UOZ20" s="414"/>
      <c r="UPA20" s="414"/>
      <c r="UPB20" s="414"/>
      <c r="UPC20" s="414"/>
      <c r="UPD20" s="414"/>
      <c r="UPE20" s="414"/>
      <c r="UPF20" s="414"/>
      <c r="UPG20" s="414"/>
      <c r="UPH20" s="414"/>
      <c r="UPI20" s="414"/>
      <c r="UPJ20" s="414"/>
      <c r="UPK20" s="414"/>
      <c r="UPL20" s="414"/>
      <c r="UPM20" s="414"/>
      <c r="UPN20" s="414"/>
      <c r="UPO20" s="414"/>
      <c r="UPP20" s="414"/>
      <c r="UPQ20" s="414"/>
      <c r="UPR20" s="414"/>
      <c r="UPS20" s="414"/>
      <c r="UPT20" s="414"/>
      <c r="UPU20" s="414"/>
      <c r="UPV20" s="414"/>
      <c r="UPW20" s="414"/>
      <c r="UPX20" s="414"/>
      <c r="UPY20" s="414"/>
      <c r="UPZ20" s="414"/>
      <c r="UQA20" s="414"/>
      <c r="UQB20" s="414"/>
      <c r="UQC20" s="414"/>
      <c r="UQD20" s="414"/>
      <c r="UQE20" s="414"/>
      <c r="UQF20" s="414"/>
      <c r="UQG20" s="414"/>
      <c r="UQH20" s="414"/>
      <c r="UQI20" s="414"/>
      <c r="UQJ20" s="414"/>
      <c r="UQK20" s="414"/>
      <c r="UQL20" s="414"/>
      <c r="UQM20" s="414"/>
      <c r="UQN20" s="414"/>
      <c r="UQO20" s="414"/>
      <c r="UQP20" s="414"/>
      <c r="UQQ20" s="414"/>
      <c r="UQR20" s="414"/>
      <c r="UQS20" s="414"/>
      <c r="UQT20" s="414"/>
      <c r="UQU20" s="414"/>
      <c r="UQV20" s="414"/>
      <c r="UQW20" s="414"/>
      <c r="UQX20" s="414"/>
      <c r="UQY20" s="414"/>
      <c r="UQZ20" s="414"/>
      <c r="URA20" s="414"/>
      <c r="URB20" s="414"/>
      <c r="URC20" s="414"/>
      <c r="URD20" s="414"/>
      <c r="URE20" s="414"/>
      <c r="URF20" s="414"/>
      <c r="URG20" s="414"/>
      <c r="URH20" s="414"/>
      <c r="URI20" s="414"/>
      <c r="URJ20" s="414"/>
      <c r="URK20" s="414"/>
      <c r="URL20" s="414"/>
      <c r="URM20" s="414"/>
      <c r="URN20" s="414"/>
      <c r="URO20" s="414"/>
      <c r="URP20" s="414"/>
      <c r="URQ20" s="414"/>
      <c r="URR20" s="414"/>
      <c r="URS20" s="414"/>
      <c r="URT20" s="414"/>
      <c r="URU20" s="414"/>
      <c r="URV20" s="414"/>
      <c r="URW20" s="414"/>
      <c r="URX20" s="414"/>
      <c r="URY20" s="414"/>
      <c r="URZ20" s="414"/>
      <c r="USA20" s="414"/>
      <c r="USB20" s="414"/>
      <c r="USC20" s="414"/>
      <c r="USD20" s="414"/>
      <c r="USE20" s="414"/>
      <c r="USF20" s="414"/>
      <c r="USG20" s="414"/>
      <c r="USH20" s="414"/>
      <c r="USI20" s="414"/>
      <c r="USJ20" s="414"/>
      <c r="USK20" s="414"/>
      <c r="USL20" s="414"/>
      <c r="USM20" s="414"/>
      <c r="USN20" s="414"/>
      <c r="USO20" s="414"/>
      <c r="USP20" s="414"/>
      <c r="USQ20" s="414"/>
      <c r="USR20" s="414"/>
      <c r="USS20" s="414"/>
      <c r="UST20" s="414"/>
      <c r="USU20" s="414"/>
      <c r="USV20" s="414"/>
      <c r="USW20" s="414"/>
      <c r="USX20" s="414"/>
      <c r="USY20" s="414"/>
      <c r="USZ20" s="414"/>
      <c r="UTA20" s="414"/>
      <c r="UTB20" s="414"/>
      <c r="UTC20" s="414"/>
      <c r="UTD20" s="414"/>
      <c r="UTE20" s="414"/>
      <c r="UTF20" s="414"/>
      <c r="UTG20" s="414"/>
      <c r="UTH20" s="414"/>
      <c r="UTI20" s="414"/>
      <c r="UTJ20" s="414"/>
      <c r="UTK20" s="414"/>
      <c r="UTL20" s="414"/>
      <c r="UTM20" s="414"/>
      <c r="UTN20" s="414"/>
      <c r="UTO20" s="414"/>
      <c r="UTP20" s="414"/>
      <c r="UTQ20" s="414"/>
      <c r="UTR20" s="414"/>
      <c r="UTS20" s="414"/>
      <c r="UTT20" s="414"/>
      <c r="UTU20" s="414"/>
      <c r="UTV20" s="414"/>
      <c r="UTW20" s="414"/>
      <c r="UTX20" s="414"/>
      <c r="UTY20" s="414"/>
      <c r="UTZ20" s="414"/>
      <c r="UUA20" s="414"/>
      <c r="UUB20" s="414"/>
      <c r="UUC20" s="414"/>
      <c r="UUD20" s="414"/>
      <c r="UUE20" s="414"/>
      <c r="UUF20" s="414"/>
      <c r="UUG20" s="414"/>
      <c r="UUH20" s="414"/>
      <c r="UUI20" s="414"/>
      <c r="UUJ20" s="414"/>
      <c r="UUK20" s="414"/>
      <c r="UUL20" s="414"/>
      <c r="UUM20" s="414"/>
      <c r="UUN20" s="414"/>
      <c r="UUO20" s="414"/>
      <c r="UUP20" s="414"/>
      <c r="UUQ20" s="414"/>
      <c r="UUR20" s="414"/>
      <c r="UUS20" s="414"/>
      <c r="UUT20" s="414"/>
      <c r="UUU20" s="414"/>
      <c r="UUV20" s="414"/>
      <c r="UUW20" s="414"/>
      <c r="UUX20" s="414"/>
      <c r="UUY20" s="414"/>
      <c r="UUZ20" s="414"/>
      <c r="UVA20" s="414"/>
      <c r="UVB20" s="414"/>
      <c r="UVC20" s="414"/>
      <c r="UVD20" s="414"/>
      <c r="UVE20" s="414"/>
      <c r="UVF20" s="414"/>
      <c r="UVG20" s="414"/>
      <c r="UVH20" s="414"/>
      <c r="UVI20" s="414"/>
      <c r="UVJ20" s="414"/>
      <c r="UVK20" s="414"/>
      <c r="UVL20" s="414"/>
      <c r="UVM20" s="414"/>
      <c r="UVN20" s="414"/>
      <c r="UVO20" s="414"/>
      <c r="UVP20" s="414"/>
      <c r="UVQ20" s="414"/>
      <c r="UVR20" s="414"/>
      <c r="UVS20" s="414"/>
      <c r="UVT20" s="414"/>
      <c r="UVU20" s="414"/>
      <c r="UVV20" s="414"/>
      <c r="UVW20" s="414"/>
      <c r="UVX20" s="414"/>
      <c r="UVY20" s="414"/>
      <c r="UVZ20" s="414"/>
      <c r="UWA20" s="414"/>
      <c r="UWB20" s="414"/>
      <c r="UWC20" s="414"/>
      <c r="UWD20" s="414"/>
      <c r="UWE20" s="414"/>
      <c r="UWF20" s="414"/>
      <c r="UWG20" s="414"/>
      <c r="UWH20" s="414"/>
      <c r="UWI20" s="414"/>
      <c r="UWJ20" s="414"/>
      <c r="UWK20" s="414"/>
      <c r="UWL20" s="414"/>
      <c r="UWM20" s="414"/>
      <c r="UWN20" s="414"/>
      <c r="UWO20" s="414"/>
      <c r="UWP20" s="414"/>
      <c r="UWQ20" s="414"/>
      <c r="UWR20" s="414"/>
      <c r="UWS20" s="414"/>
      <c r="UWT20" s="414"/>
      <c r="UWU20" s="414"/>
      <c r="UWV20" s="414"/>
      <c r="UWW20" s="414"/>
      <c r="UWX20" s="414"/>
      <c r="UWY20" s="414"/>
      <c r="UWZ20" s="414"/>
      <c r="UXA20" s="414"/>
      <c r="UXB20" s="414"/>
      <c r="UXC20" s="414"/>
      <c r="UXD20" s="414"/>
      <c r="UXE20" s="414"/>
      <c r="UXF20" s="414"/>
      <c r="UXG20" s="414"/>
      <c r="UXH20" s="414"/>
      <c r="UXI20" s="414"/>
      <c r="UXJ20" s="414"/>
      <c r="UXK20" s="414"/>
      <c r="UXL20" s="414"/>
      <c r="UXM20" s="414"/>
      <c r="UXN20" s="414"/>
      <c r="UXO20" s="414"/>
      <c r="UXP20" s="414"/>
      <c r="UXQ20" s="414"/>
      <c r="UXR20" s="414"/>
      <c r="UXS20" s="414"/>
      <c r="UXT20" s="414"/>
      <c r="UXU20" s="414"/>
      <c r="UXV20" s="414"/>
      <c r="UXW20" s="414"/>
      <c r="UXX20" s="414"/>
      <c r="UXY20" s="414"/>
      <c r="UXZ20" s="414"/>
      <c r="UYA20" s="414"/>
      <c r="UYB20" s="414"/>
      <c r="UYC20" s="414"/>
      <c r="UYD20" s="414"/>
      <c r="UYE20" s="414"/>
      <c r="UYF20" s="414"/>
      <c r="UYG20" s="414"/>
      <c r="UYH20" s="414"/>
      <c r="UYI20" s="414"/>
      <c r="UYJ20" s="414"/>
      <c r="UYK20" s="414"/>
      <c r="UYL20" s="414"/>
      <c r="UYM20" s="414"/>
      <c r="UYN20" s="414"/>
      <c r="UYO20" s="414"/>
      <c r="UYP20" s="414"/>
      <c r="UYQ20" s="414"/>
      <c r="UYR20" s="414"/>
      <c r="UYS20" s="414"/>
      <c r="UYT20" s="414"/>
      <c r="UYU20" s="414"/>
      <c r="UYV20" s="414"/>
      <c r="UYW20" s="414"/>
      <c r="UYX20" s="414"/>
      <c r="UYY20" s="414"/>
      <c r="UYZ20" s="414"/>
      <c r="UZA20" s="414"/>
      <c r="UZB20" s="414"/>
      <c r="UZC20" s="414"/>
      <c r="UZD20" s="414"/>
      <c r="UZE20" s="414"/>
      <c r="UZF20" s="414"/>
      <c r="UZG20" s="414"/>
      <c r="UZH20" s="414"/>
      <c r="UZI20" s="414"/>
      <c r="UZJ20" s="414"/>
      <c r="UZK20" s="414"/>
      <c r="UZL20" s="414"/>
      <c r="UZM20" s="414"/>
      <c r="UZN20" s="414"/>
      <c r="UZO20" s="414"/>
      <c r="UZP20" s="414"/>
      <c r="UZQ20" s="414"/>
      <c r="UZR20" s="414"/>
      <c r="UZS20" s="414"/>
      <c r="UZT20" s="414"/>
      <c r="UZU20" s="414"/>
      <c r="UZV20" s="414"/>
      <c r="UZW20" s="414"/>
      <c r="UZX20" s="414"/>
      <c r="UZY20" s="414"/>
      <c r="UZZ20" s="414"/>
      <c r="VAA20" s="414"/>
      <c r="VAB20" s="414"/>
      <c r="VAC20" s="414"/>
      <c r="VAD20" s="414"/>
      <c r="VAE20" s="414"/>
      <c r="VAF20" s="414"/>
      <c r="VAG20" s="414"/>
      <c r="VAH20" s="414"/>
      <c r="VAI20" s="414"/>
      <c r="VAJ20" s="414"/>
      <c r="VAK20" s="414"/>
      <c r="VAL20" s="414"/>
      <c r="VAM20" s="414"/>
      <c r="VAN20" s="414"/>
      <c r="VAO20" s="414"/>
      <c r="VAP20" s="414"/>
      <c r="VAQ20" s="414"/>
      <c r="VAR20" s="414"/>
      <c r="VAS20" s="414"/>
      <c r="VAT20" s="414"/>
      <c r="VAU20" s="414"/>
      <c r="VAV20" s="414"/>
      <c r="VAW20" s="414"/>
      <c r="VAX20" s="414"/>
      <c r="VAY20" s="414"/>
      <c r="VAZ20" s="414"/>
      <c r="VBA20" s="414"/>
      <c r="VBB20" s="414"/>
      <c r="VBC20" s="414"/>
      <c r="VBD20" s="414"/>
      <c r="VBE20" s="414"/>
      <c r="VBF20" s="414"/>
      <c r="VBG20" s="414"/>
      <c r="VBH20" s="414"/>
      <c r="VBI20" s="414"/>
      <c r="VBJ20" s="414"/>
      <c r="VBK20" s="414"/>
      <c r="VBL20" s="414"/>
      <c r="VBM20" s="414"/>
      <c r="VBN20" s="414"/>
      <c r="VBO20" s="414"/>
      <c r="VBP20" s="414"/>
      <c r="VBQ20" s="414"/>
      <c r="VBR20" s="414"/>
      <c r="VBS20" s="414"/>
      <c r="VBT20" s="414"/>
      <c r="VBU20" s="414"/>
      <c r="VBV20" s="414"/>
      <c r="VBW20" s="414"/>
      <c r="VBX20" s="414"/>
      <c r="VBY20" s="414"/>
      <c r="VBZ20" s="414"/>
      <c r="VCA20" s="414"/>
      <c r="VCB20" s="414"/>
      <c r="VCC20" s="414"/>
      <c r="VCD20" s="414"/>
      <c r="VCE20" s="414"/>
      <c r="VCF20" s="414"/>
      <c r="VCG20" s="414"/>
      <c r="VCH20" s="414"/>
      <c r="VCI20" s="414"/>
      <c r="VCJ20" s="414"/>
      <c r="VCK20" s="414"/>
      <c r="VCL20" s="414"/>
      <c r="VCM20" s="414"/>
      <c r="VCN20" s="414"/>
      <c r="VCO20" s="414"/>
      <c r="VCP20" s="414"/>
      <c r="VCQ20" s="414"/>
      <c r="VCR20" s="414"/>
      <c r="VCS20" s="414"/>
      <c r="VCT20" s="414"/>
      <c r="VCU20" s="414"/>
      <c r="VCV20" s="414"/>
      <c r="VCW20" s="414"/>
      <c r="VCX20" s="414"/>
      <c r="VCY20" s="414"/>
      <c r="VCZ20" s="414"/>
      <c r="VDA20" s="414"/>
      <c r="VDB20" s="414"/>
      <c r="VDC20" s="414"/>
      <c r="VDD20" s="414"/>
      <c r="VDE20" s="414"/>
      <c r="VDF20" s="414"/>
      <c r="VDG20" s="414"/>
      <c r="VDH20" s="414"/>
      <c r="VDI20" s="414"/>
      <c r="VDJ20" s="414"/>
      <c r="VDK20" s="414"/>
      <c r="VDL20" s="414"/>
      <c r="VDM20" s="414"/>
      <c r="VDN20" s="414"/>
      <c r="VDO20" s="414"/>
      <c r="VDP20" s="414"/>
      <c r="VDQ20" s="414"/>
      <c r="VDR20" s="414"/>
      <c r="VDS20" s="414"/>
      <c r="VDT20" s="414"/>
      <c r="VDU20" s="414"/>
      <c r="VDV20" s="414"/>
      <c r="VDW20" s="414"/>
      <c r="VDX20" s="414"/>
      <c r="VDY20" s="414"/>
      <c r="VDZ20" s="414"/>
      <c r="VEA20" s="414"/>
      <c r="VEB20" s="414"/>
      <c r="VEC20" s="414"/>
      <c r="VED20" s="414"/>
      <c r="VEE20" s="414"/>
      <c r="VEF20" s="414"/>
      <c r="VEG20" s="414"/>
      <c r="VEH20" s="414"/>
      <c r="VEI20" s="414"/>
      <c r="VEJ20" s="414"/>
      <c r="VEK20" s="414"/>
      <c r="VEL20" s="414"/>
      <c r="VEM20" s="414"/>
      <c r="VEN20" s="414"/>
      <c r="VEO20" s="414"/>
      <c r="VEP20" s="414"/>
      <c r="VEQ20" s="414"/>
      <c r="VER20" s="414"/>
      <c r="VES20" s="414"/>
      <c r="VET20" s="414"/>
      <c r="VEU20" s="414"/>
      <c r="VEV20" s="414"/>
      <c r="VEW20" s="414"/>
      <c r="VEX20" s="414"/>
      <c r="VEY20" s="414"/>
      <c r="VEZ20" s="414"/>
      <c r="VFA20" s="414"/>
      <c r="VFB20" s="414"/>
      <c r="VFC20" s="414"/>
      <c r="VFD20" s="414"/>
      <c r="VFE20" s="414"/>
      <c r="VFF20" s="414"/>
      <c r="VFG20" s="414"/>
      <c r="VFH20" s="414"/>
      <c r="VFI20" s="414"/>
      <c r="VFJ20" s="414"/>
      <c r="VFK20" s="414"/>
      <c r="VFL20" s="414"/>
      <c r="VFM20" s="414"/>
      <c r="VFN20" s="414"/>
      <c r="VFO20" s="414"/>
      <c r="VFP20" s="414"/>
      <c r="VFQ20" s="414"/>
      <c r="VFR20" s="414"/>
      <c r="VFS20" s="414"/>
      <c r="VFT20" s="414"/>
      <c r="VFU20" s="414"/>
      <c r="VFV20" s="414"/>
      <c r="VFW20" s="414"/>
      <c r="VFX20" s="414"/>
      <c r="VFY20" s="414"/>
      <c r="VFZ20" s="414"/>
      <c r="VGA20" s="414"/>
      <c r="VGB20" s="414"/>
      <c r="VGC20" s="414"/>
      <c r="VGD20" s="414"/>
      <c r="VGE20" s="414"/>
      <c r="VGF20" s="414"/>
      <c r="VGG20" s="414"/>
      <c r="VGH20" s="414"/>
      <c r="VGI20" s="414"/>
      <c r="VGJ20" s="414"/>
      <c r="VGK20" s="414"/>
      <c r="VGL20" s="414"/>
      <c r="VGM20" s="414"/>
      <c r="VGN20" s="414"/>
      <c r="VGO20" s="414"/>
      <c r="VGP20" s="414"/>
      <c r="VGQ20" s="414"/>
      <c r="VGR20" s="414"/>
      <c r="VGS20" s="414"/>
      <c r="VGT20" s="414"/>
      <c r="VGU20" s="414"/>
      <c r="VGV20" s="414"/>
      <c r="VGW20" s="414"/>
      <c r="VGX20" s="414"/>
      <c r="VGY20" s="414"/>
      <c r="VGZ20" s="414"/>
      <c r="VHA20" s="414"/>
      <c r="VHB20" s="414"/>
      <c r="VHC20" s="414"/>
      <c r="VHD20" s="414"/>
      <c r="VHE20" s="414"/>
      <c r="VHF20" s="414"/>
      <c r="VHG20" s="414"/>
      <c r="VHH20" s="414"/>
      <c r="VHI20" s="414"/>
      <c r="VHJ20" s="414"/>
      <c r="VHK20" s="414"/>
      <c r="VHL20" s="414"/>
      <c r="VHM20" s="414"/>
      <c r="VHN20" s="414"/>
      <c r="VHO20" s="414"/>
      <c r="VHP20" s="414"/>
      <c r="VHQ20" s="414"/>
      <c r="VHR20" s="414"/>
      <c r="VHS20" s="414"/>
      <c r="VHT20" s="414"/>
      <c r="VHU20" s="414"/>
      <c r="VHV20" s="414"/>
      <c r="VHW20" s="414"/>
      <c r="VHX20" s="414"/>
      <c r="VHY20" s="414"/>
      <c r="VHZ20" s="414"/>
      <c r="VIA20" s="414"/>
      <c r="VIB20" s="414"/>
      <c r="VIC20" s="414"/>
      <c r="VID20" s="414"/>
      <c r="VIE20" s="414"/>
      <c r="VIF20" s="414"/>
      <c r="VIG20" s="414"/>
      <c r="VIH20" s="414"/>
      <c r="VII20" s="414"/>
      <c r="VIJ20" s="414"/>
      <c r="VIK20" s="414"/>
      <c r="VIL20" s="414"/>
      <c r="VIM20" s="414"/>
      <c r="VIN20" s="414"/>
      <c r="VIO20" s="414"/>
      <c r="VIP20" s="414"/>
      <c r="VIQ20" s="414"/>
      <c r="VIR20" s="414"/>
      <c r="VIS20" s="414"/>
      <c r="VIT20" s="414"/>
      <c r="VIU20" s="414"/>
      <c r="VIV20" s="414"/>
      <c r="VIW20" s="414"/>
      <c r="VIX20" s="414"/>
      <c r="VIY20" s="414"/>
      <c r="VIZ20" s="414"/>
      <c r="VJA20" s="414"/>
      <c r="VJB20" s="414"/>
      <c r="VJC20" s="414"/>
      <c r="VJD20" s="414"/>
      <c r="VJE20" s="414"/>
      <c r="VJF20" s="414"/>
      <c r="VJG20" s="414"/>
      <c r="VJH20" s="414"/>
      <c r="VJI20" s="414"/>
      <c r="VJJ20" s="414"/>
      <c r="VJK20" s="414"/>
      <c r="VJL20" s="414"/>
      <c r="VJM20" s="414"/>
      <c r="VJN20" s="414"/>
      <c r="VJO20" s="414"/>
      <c r="VJP20" s="414"/>
      <c r="VJQ20" s="414"/>
      <c r="VJR20" s="414"/>
      <c r="VJS20" s="414"/>
      <c r="VJT20" s="414"/>
      <c r="VJU20" s="414"/>
      <c r="VJV20" s="414"/>
      <c r="VJW20" s="414"/>
      <c r="VJX20" s="414"/>
      <c r="VJY20" s="414"/>
      <c r="VJZ20" s="414"/>
      <c r="VKA20" s="414"/>
      <c r="VKB20" s="414"/>
      <c r="VKC20" s="414"/>
      <c r="VKD20" s="414"/>
      <c r="VKE20" s="414"/>
      <c r="VKF20" s="414"/>
      <c r="VKG20" s="414"/>
      <c r="VKH20" s="414"/>
      <c r="VKI20" s="414"/>
      <c r="VKJ20" s="414"/>
      <c r="VKK20" s="414"/>
      <c r="VKL20" s="414"/>
      <c r="VKM20" s="414"/>
      <c r="VKN20" s="414"/>
      <c r="VKO20" s="414"/>
      <c r="VKP20" s="414"/>
      <c r="VKQ20" s="414"/>
      <c r="VKR20" s="414"/>
      <c r="VKS20" s="414"/>
      <c r="VKT20" s="414"/>
      <c r="VKU20" s="414"/>
      <c r="VKV20" s="414"/>
      <c r="VKW20" s="414"/>
      <c r="VKX20" s="414"/>
      <c r="VKY20" s="414"/>
      <c r="VKZ20" s="414"/>
      <c r="VLA20" s="414"/>
      <c r="VLB20" s="414"/>
      <c r="VLC20" s="414"/>
      <c r="VLD20" s="414"/>
      <c r="VLE20" s="414"/>
      <c r="VLF20" s="414"/>
      <c r="VLG20" s="414"/>
      <c r="VLH20" s="414"/>
      <c r="VLI20" s="414"/>
      <c r="VLJ20" s="414"/>
      <c r="VLK20" s="414"/>
      <c r="VLL20" s="414"/>
      <c r="VLM20" s="414"/>
      <c r="VLN20" s="414"/>
      <c r="VLO20" s="414"/>
      <c r="VLP20" s="414"/>
      <c r="VLQ20" s="414"/>
      <c r="VLR20" s="414"/>
      <c r="VLS20" s="414"/>
      <c r="VLT20" s="414"/>
      <c r="VLU20" s="414"/>
      <c r="VLV20" s="414"/>
      <c r="VLW20" s="414"/>
      <c r="VLX20" s="414"/>
      <c r="VLY20" s="414"/>
      <c r="VLZ20" s="414"/>
      <c r="VMA20" s="414"/>
      <c r="VMB20" s="414"/>
      <c r="VMC20" s="414"/>
      <c r="VMD20" s="414"/>
      <c r="VME20" s="414"/>
      <c r="VMF20" s="414"/>
      <c r="VMG20" s="414"/>
      <c r="VMH20" s="414"/>
      <c r="VMI20" s="414"/>
      <c r="VMJ20" s="414"/>
      <c r="VMK20" s="414"/>
      <c r="VML20" s="414"/>
      <c r="VMM20" s="414"/>
      <c r="VMN20" s="414"/>
      <c r="VMO20" s="414"/>
      <c r="VMP20" s="414"/>
      <c r="VMQ20" s="414"/>
      <c r="VMR20" s="414"/>
      <c r="VMS20" s="414"/>
      <c r="VMT20" s="414"/>
      <c r="VMU20" s="414"/>
      <c r="VMV20" s="414"/>
      <c r="VMW20" s="414"/>
      <c r="VMX20" s="414"/>
      <c r="VMY20" s="414"/>
      <c r="VMZ20" s="414"/>
      <c r="VNA20" s="414"/>
      <c r="VNB20" s="414"/>
      <c r="VNC20" s="414"/>
      <c r="VND20" s="414"/>
      <c r="VNE20" s="414"/>
      <c r="VNF20" s="414"/>
      <c r="VNG20" s="414"/>
      <c r="VNH20" s="414"/>
      <c r="VNI20" s="414"/>
      <c r="VNJ20" s="414"/>
      <c r="VNK20" s="414"/>
      <c r="VNL20" s="414"/>
      <c r="VNM20" s="414"/>
      <c r="VNN20" s="414"/>
      <c r="VNO20" s="414"/>
      <c r="VNP20" s="414"/>
      <c r="VNQ20" s="414"/>
      <c r="VNR20" s="414"/>
      <c r="VNS20" s="414"/>
      <c r="VNT20" s="414"/>
      <c r="VNU20" s="414"/>
      <c r="VNV20" s="414"/>
      <c r="VNW20" s="414"/>
      <c r="VNX20" s="414"/>
      <c r="VNY20" s="414"/>
      <c r="VNZ20" s="414"/>
      <c r="VOA20" s="414"/>
      <c r="VOB20" s="414"/>
      <c r="VOC20" s="414"/>
      <c r="VOD20" s="414"/>
      <c r="VOE20" s="414"/>
      <c r="VOF20" s="414"/>
      <c r="VOG20" s="414"/>
      <c r="VOH20" s="414"/>
      <c r="VOI20" s="414"/>
      <c r="VOJ20" s="414"/>
      <c r="VOK20" s="414"/>
      <c r="VOL20" s="414"/>
      <c r="VOM20" s="414"/>
      <c r="VON20" s="414"/>
      <c r="VOO20" s="414"/>
      <c r="VOP20" s="414"/>
      <c r="VOQ20" s="414"/>
      <c r="VOR20" s="414"/>
      <c r="VOS20" s="414"/>
      <c r="VOT20" s="414"/>
      <c r="VOU20" s="414"/>
      <c r="VOV20" s="414"/>
      <c r="VOW20" s="414"/>
      <c r="VOX20" s="414"/>
      <c r="VOY20" s="414"/>
      <c r="VOZ20" s="414"/>
      <c r="VPA20" s="414"/>
      <c r="VPB20" s="414"/>
      <c r="VPC20" s="414"/>
      <c r="VPD20" s="414"/>
      <c r="VPE20" s="414"/>
      <c r="VPF20" s="414"/>
      <c r="VPG20" s="414"/>
      <c r="VPH20" s="414"/>
      <c r="VPI20" s="414"/>
      <c r="VPJ20" s="414"/>
      <c r="VPK20" s="414"/>
      <c r="VPL20" s="414"/>
      <c r="VPM20" s="414"/>
      <c r="VPN20" s="414"/>
      <c r="VPO20" s="414"/>
      <c r="VPP20" s="414"/>
      <c r="VPQ20" s="414"/>
      <c r="VPR20" s="414"/>
      <c r="VPS20" s="414"/>
      <c r="VPT20" s="414"/>
      <c r="VPU20" s="414"/>
      <c r="VPV20" s="414"/>
      <c r="VPW20" s="414"/>
      <c r="VPX20" s="414"/>
      <c r="VPY20" s="414"/>
      <c r="VPZ20" s="414"/>
      <c r="VQA20" s="414"/>
      <c r="VQB20" s="414"/>
      <c r="VQC20" s="414"/>
      <c r="VQD20" s="414"/>
      <c r="VQE20" s="414"/>
      <c r="VQF20" s="414"/>
      <c r="VQG20" s="414"/>
      <c r="VQH20" s="414"/>
      <c r="VQI20" s="414"/>
      <c r="VQJ20" s="414"/>
      <c r="VQK20" s="414"/>
      <c r="VQL20" s="414"/>
      <c r="VQM20" s="414"/>
      <c r="VQN20" s="414"/>
      <c r="VQO20" s="414"/>
      <c r="VQP20" s="414"/>
      <c r="VQQ20" s="414"/>
      <c r="VQR20" s="414"/>
      <c r="VQS20" s="414"/>
      <c r="VQT20" s="414"/>
      <c r="VQU20" s="414"/>
      <c r="VQV20" s="414"/>
      <c r="VQW20" s="414"/>
      <c r="VQX20" s="414"/>
      <c r="VQY20" s="414"/>
      <c r="VQZ20" s="414"/>
      <c r="VRA20" s="414"/>
      <c r="VRB20" s="414"/>
      <c r="VRC20" s="414"/>
      <c r="VRD20" s="414"/>
      <c r="VRE20" s="414"/>
      <c r="VRF20" s="414"/>
      <c r="VRG20" s="414"/>
      <c r="VRH20" s="414"/>
      <c r="VRI20" s="414"/>
      <c r="VRJ20" s="414"/>
      <c r="VRK20" s="414"/>
      <c r="VRL20" s="414"/>
      <c r="VRM20" s="414"/>
      <c r="VRN20" s="414"/>
      <c r="VRO20" s="414"/>
      <c r="VRP20" s="414"/>
      <c r="VRQ20" s="414"/>
      <c r="VRR20" s="414"/>
      <c r="VRS20" s="414"/>
      <c r="VRT20" s="414"/>
      <c r="VRU20" s="414"/>
      <c r="VRV20" s="414"/>
      <c r="VRW20" s="414"/>
      <c r="VRX20" s="414"/>
      <c r="VRY20" s="414"/>
      <c r="VRZ20" s="414"/>
      <c r="VSA20" s="414"/>
      <c r="VSB20" s="414"/>
      <c r="VSC20" s="414"/>
      <c r="VSD20" s="414"/>
      <c r="VSE20" s="414"/>
      <c r="VSF20" s="414"/>
      <c r="VSG20" s="414"/>
      <c r="VSH20" s="414"/>
      <c r="VSI20" s="414"/>
      <c r="VSJ20" s="414"/>
      <c r="VSK20" s="414"/>
      <c r="VSL20" s="414"/>
      <c r="VSM20" s="414"/>
      <c r="VSN20" s="414"/>
      <c r="VSO20" s="414"/>
      <c r="VSP20" s="414"/>
      <c r="VSQ20" s="414"/>
      <c r="VSR20" s="414"/>
      <c r="VSS20" s="414"/>
      <c r="VST20" s="414"/>
      <c r="VSU20" s="414"/>
      <c r="VSV20" s="414"/>
      <c r="VSW20" s="414"/>
      <c r="VSX20" s="414"/>
      <c r="VSY20" s="414"/>
      <c r="VSZ20" s="414"/>
      <c r="VTA20" s="414"/>
      <c r="VTB20" s="414"/>
      <c r="VTC20" s="414"/>
      <c r="VTD20" s="414"/>
      <c r="VTE20" s="414"/>
      <c r="VTF20" s="414"/>
      <c r="VTG20" s="414"/>
      <c r="VTH20" s="414"/>
      <c r="VTI20" s="414"/>
      <c r="VTJ20" s="414"/>
      <c r="VTK20" s="414"/>
      <c r="VTL20" s="414"/>
      <c r="VTM20" s="414"/>
      <c r="VTN20" s="414"/>
      <c r="VTO20" s="414"/>
      <c r="VTP20" s="414"/>
      <c r="VTQ20" s="414"/>
      <c r="VTR20" s="414"/>
      <c r="VTS20" s="414"/>
      <c r="VTT20" s="414"/>
      <c r="VTU20" s="414"/>
      <c r="VTV20" s="414"/>
      <c r="VTW20" s="414"/>
      <c r="VTX20" s="414"/>
      <c r="VTY20" s="414"/>
      <c r="VTZ20" s="414"/>
      <c r="VUA20" s="414"/>
      <c r="VUB20" s="414"/>
      <c r="VUC20" s="414"/>
      <c r="VUD20" s="414"/>
      <c r="VUE20" s="414"/>
      <c r="VUF20" s="414"/>
      <c r="VUG20" s="414"/>
      <c r="VUH20" s="414"/>
      <c r="VUI20" s="414"/>
      <c r="VUJ20" s="414"/>
      <c r="VUK20" s="414"/>
      <c r="VUL20" s="414"/>
      <c r="VUM20" s="414"/>
      <c r="VUN20" s="414"/>
      <c r="VUO20" s="414"/>
      <c r="VUP20" s="414"/>
      <c r="VUQ20" s="414"/>
      <c r="VUR20" s="414"/>
      <c r="VUS20" s="414"/>
      <c r="VUT20" s="414"/>
      <c r="VUU20" s="414"/>
      <c r="VUV20" s="414"/>
      <c r="VUW20" s="414"/>
      <c r="VUX20" s="414"/>
      <c r="VUY20" s="414"/>
      <c r="VUZ20" s="414"/>
      <c r="VVA20" s="414"/>
      <c r="VVB20" s="414"/>
      <c r="VVC20" s="414"/>
      <c r="VVD20" s="414"/>
      <c r="VVE20" s="414"/>
      <c r="VVF20" s="414"/>
      <c r="VVG20" s="414"/>
      <c r="VVH20" s="414"/>
      <c r="VVI20" s="414"/>
      <c r="VVJ20" s="414"/>
      <c r="VVK20" s="414"/>
      <c r="VVL20" s="414"/>
      <c r="VVM20" s="414"/>
      <c r="VVN20" s="414"/>
      <c r="VVO20" s="414"/>
      <c r="VVP20" s="414"/>
      <c r="VVQ20" s="414"/>
      <c r="VVR20" s="414"/>
      <c r="VVS20" s="414"/>
      <c r="VVT20" s="414"/>
      <c r="VVU20" s="414"/>
      <c r="VVV20" s="414"/>
      <c r="VVW20" s="414"/>
      <c r="VVX20" s="414"/>
      <c r="VVY20" s="414"/>
      <c r="VVZ20" s="414"/>
      <c r="VWA20" s="414"/>
      <c r="VWB20" s="414"/>
      <c r="VWC20" s="414"/>
      <c r="VWD20" s="414"/>
      <c r="VWE20" s="414"/>
      <c r="VWF20" s="414"/>
      <c r="VWG20" s="414"/>
      <c r="VWH20" s="414"/>
      <c r="VWI20" s="414"/>
      <c r="VWJ20" s="414"/>
      <c r="VWK20" s="414"/>
      <c r="VWL20" s="414"/>
      <c r="VWM20" s="414"/>
      <c r="VWN20" s="414"/>
      <c r="VWO20" s="414"/>
      <c r="VWP20" s="414"/>
      <c r="VWQ20" s="414"/>
      <c r="VWR20" s="414"/>
      <c r="VWS20" s="414"/>
      <c r="VWT20" s="414"/>
      <c r="VWU20" s="414"/>
      <c r="VWV20" s="414"/>
      <c r="VWW20" s="414"/>
      <c r="VWX20" s="414"/>
      <c r="VWY20" s="414"/>
      <c r="VWZ20" s="414"/>
      <c r="VXA20" s="414"/>
      <c r="VXB20" s="414"/>
      <c r="VXC20" s="414"/>
      <c r="VXD20" s="414"/>
      <c r="VXE20" s="414"/>
      <c r="VXF20" s="414"/>
      <c r="VXG20" s="414"/>
      <c r="VXH20" s="414"/>
      <c r="VXI20" s="414"/>
      <c r="VXJ20" s="414"/>
      <c r="VXK20" s="414"/>
      <c r="VXL20" s="414"/>
      <c r="VXM20" s="414"/>
      <c r="VXN20" s="414"/>
      <c r="VXO20" s="414"/>
      <c r="VXP20" s="414"/>
      <c r="VXQ20" s="414"/>
      <c r="VXR20" s="414"/>
      <c r="VXS20" s="414"/>
      <c r="VXT20" s="414"/>
      <c r="VXU20" s="414"/>
      <c r="VXV20" s="414"/>
      <c r="VXW20" s="414"/>
      <c r="VXX20" s="414"/>
      <c r="VXY20" s="414"/>
      <c r="VXZ20" s="414"/>
      <c r="VYA20" s="414"/>
      <c r="VYB20" s="414"/>
      <c r="VYC20" s="414"/>
      <c r="VYD20" s="414"/>
      <c r="VYE20" s="414"/>
      <c r="VYF20" s="414"/>
      <c r="VYG20" s="414"/>
      <c r="VYH20" s="414"/>
      <c r="VYI20" s="414"/>
      <c r="VYJ20" s="414"/>
      <c r="VYK20" s="414"/>
      <c r="VYL20" s="414"/>
      <c r="VYM20" s="414"/>
      <c r="VYN20" s="414"/>
      <c r="VYO20" s="414"/>
      <c r="VYP20" s="414"/>
      <c r="VYQ20" s="414"/>
      <c r="VYR20" s="414"/>
      <c r="VYS20" s="414"/>
      <c r="VYT20" s="414"/>
      <c r="VYU20" s="414"/>
      <c r="VYV20" s="414"/>
      <c r="VYW20" s="414"/>
      <c r="VYX20" s="414"/>
      <c r="VYY20" s="414"/>
      <c r="VYZ20" s="414"/>
      <c r="VZA20" s="414"/>
      <c r="VZB20" s="414"/>
      <c r="VZC20" s="414"/>
      <c r="VZD20" s="414"/>
      <c r="VZE20" s="414"/>
      <c r="VZF20" s="414"/>
      <c r="VZG20" s="414"/>
      <c r="VZH20" s="414"/>
      <c r="VZI20" s="414"/>
      <c r="VZJ20" s="414"/>
      <c r="VZK20" s="414"/>
      <c r="VZL20" s="414"/>
      <c r="VZM20" s="414"/>
      <c r="VZN20" s="414"/>
      <c r="VZO20" s="414"/>
      <c r="VZP20" s="414"/>
      <c r="VZQ20" s="414"/>
      <c r="VZR20" s="414"/>
      <c r="VZS20" s="414"/>
      <c r="VZT20" s="414"/>
      <c r="VZU20" s="414"/>
      <c r="VZV20" s="414"/>
      <c r="VZW20" s="414"/>
      <c r="VZX20" s="414"/>
      <c r="VZY20" s="414"/>
      <c r="VZZ20" s="414"/>
      <c r="WAA20" s="414"/>
      <c r="WAB20" s="414"/>
      <c r="WAC20" s="414"/>
      <c r="WAD20" s="414"/>
      <c r="WAE20" s="414"/>
      <c r="WAF20" s="414"/>
      <c r="WAG20" s="414"/>
      <c r="WAH20" s="414"/>
      <c r="WAI20" s="414"/>
      <c r="WAJ20" s="414"/>
      <c r="WAK20" s="414"/>
      <c r="WAL20" s="414"/>
      <c r="WAM20" s="414"/>
      <c r="WAN20" s="414"/>
      <c r="WAO20" s="414"/>
      <c r="WAP20" s="414"/>
      <c r="WAQ20" s="414"/>
      <c r="WAR20" s="414"/>
      <c r="WAS20" s="414"/>
      <c r="WAT20" s="414"/>
      <c r="WAU20" s="414"/>
      <c r="WAV20" s="414"/>
      <c r="WAW20" s="414"/>
      <c r="WAX20" s="414"/>
      <c r="WAY20" s="414"/>
      <c r="WAZ20" s="414"/>
      <c r="WBA20" s="414"/>
      <c r="WBB20" s="414"/>
      <c r="WBC20" s="414"/>
      <c r="WBD20" s="414"/>
      <c r="WBE20" s="414"/>
      <c r="WBF20" s="414"/>
      <c r="WBG20" s="414"/>
      <c r="WBH20" s="414"/>
      <c r="WBI20" s="414"/>
      <c r="WBJ20" s="414"/>
      <c r="WBK20" s="414"/>
      <c r="WBL20" s="414"/>
      <c r="WBM20" s="414"/>
      <c r="WBN20" s="414"/>
      <c r="WBO20" s="414"/>
      <c r="WBP20" s="414"/>
      <c r="WBQ20" s="414"/>
      <c r="WBR20" s="414"/>
      <c r="WBS20" s="414"/>
      <c r="WBT20" s="414"/>
      <c r="WBU20" s="414"/>
      <c r="WBV20" s="414"/>
      <c r="WBW20" s="414"/>
      <c r="WBX20" s="414"/>
      <c r="WBY20" s="414"/>
      <c r="WBZ20" s="414"/>
      <c r="WCA20" s="414"/>
      <c r="WCB20" s="414"/>
      <c r="WCC20" s="414"/>
      <c r="WCD20" s="414"/>
      <c r="WCE20" s="414"/>
      <c r="WCF20" s="414"/>
      <c r="WCG20" s="414"/>
      <c r="WCH20" s="414"/>
      <c r="WCI20" s="414"/>
      <c r="WCJ20" s="414"/>
      <c r="WCK20" s="414"/>
      <c r="WCL20" s="414"/>
      <c r="WCM20" s="414"/>
      <c r="WCN20" s="414"/>
      <c r="WCO20" s="414"/>
      <c r="WCP20" s="414"/>
      <c r="WCQ20" s="414"/>
      <c r="WCR20" s="414"/>
      <c r="WCS20" s="414"/>
      <c r="WCT20" s="414"/>
      <c r="WCU20" s="414"/>
      <c r="WCV20" s="414"/>
      <c r="WCW20" s="414"/>
      <c r="WCX20" s="414"/>
      <c r="WCY20" s="414"/>
      <c r="WCZ20" s="414"/>
      <c r="WDA20" s="414"/>
      <c r="WDB20" s="414"/>
      <c r="WDC20" s="414"/>
      <c r="WDD20" s="414"/>
      <c r="WDE20" s="414"/>
      <c r="WDF20" s="414"/>
      <c r="WDG20" s="414"/>
      <c r="WDH20" s="414"/>
      <c r="WDI20" s="414"/>
      <c r="WDJ20" s="414"/>
      <c r="WDK20" s="414"/>
      <c r="WDL20" s="414"/>
      <c r="WDM20" s="414"/>
      <c r="WDN20" s="414"/>
      <c r="WDO20" s="414"/>
      <c r="WDP20" s="414"/>
      <c r="WDQ20" s="414"/>
      <c r="WDR20" s="414"/>
      <c r="WDS20" s="414"/>
      <c r="WDT20" s="414"/>
      <c r="WDU20" s="414"/>
      <c r="WDV20" s="414"/>
      <c r="WDW20" s="414"/>
      <c r="WDX20" s="414"/>
      <c r="WDY20" s="414"/>
      <c r="WDZ20" s="414"/>
      <c r="WEA20" s="414"/>
      <c r="WEB20" s="414"/>
      <c r="WEC20" s="414"/>
      <c r="WED20" s="414"/>
      <c r="WEE20" s="414"/>
      <c r="WEF20" s="414"/>
      <c r="WEG20" s="414"/>
      <c r="WEH20" s="414"/>
      <c r="WEI20" s="414"/>
      <c r="WEJ20" s="414"/>
      <c r="WEK20" s="414"/>
      <c r="WEL20" s="414"/>
      <c r="WEM20" s="414"/>
      <c r="WEN20" s="414"/>
      <c r="WEO20" s="414"/>
      <c r="WEP20" s="414"/>
      <c r="WEQ20" s="414"/>
      <c r="WER20" s="414"/>
      <c r="WES20" s="414"/>
      <c r="WET20" s="414"/>
      <c r="WEU20" s="414"/>
      <c r="WEV20" s="414"/>
      <c r="WEW20" s="414"/>
      <c r="WEX20" s="414"/>
      <c r="WEY20" s="414"/>
      <c r="WEZ20" s="414"/>
      <c r="WFA20" s="414"/>
      <c r="WFB20" s="414"/>
      <c r="WFC20" s="414"/>
      <c r="WFD20" s="414"/>
      <c r="WFE20" s="414"/>
      <c r="WFF20" s="414"/>
      <c r="WFG20" s="414"/>
      <c r="WFH20" s="414"/>
      <c r="WFI20" s="414"/>
      <c r="WFJ20" s="414"/>
      <c r="WFK20" s="414"/>
      <c r="WFL20" s="414"/>
      <c r="WFM20" s="414"/>
      <c r="WFN20" s="414"/>
      <c r="WFO20" s="414"/>
      <c r="WFP20" s="414"/>
      <c r="WFQ20" s="414"/>
      <c r="WFR20" s="414"/>
      <c r="WFS20" s="414"/>
      <c r="WFT20" s="414"/>
      <c r="WFU20" s="414"/>
      <c r="WFV20" s="414"/>
      <c r="WFW20" s="414"/>
      <c r="WFX20" s="414"/>
      <c r="WFY20" s="414"/>
      <c r="WFZ20" s="414"/>
      <c r="WGA20" s="414"/>
      <c r="WGB20" s="414"/>
      <c r="WGC20" s="414"/>
      <c r="WGD20" s="414"/>
      <c r="WGE20" s="414"/>
      <c r="WGF20" s="414"/>
      <c r="WGG20" s="414"/>
      <c r="WGH20" s="414"/>
      <c r="WGI20" s="414"/>
      <c r="WGJ20" s="414"/>
      <c r="WGK20" s="414"/>
      <c r="WGL20" s="414"/>
      <c r="WGM20" s="414"/>
      <c r="WGN20" s="414"/>
      <c r="WGO20" s="414"/>
      <c r="WGP20" s="414"/>
      <c r="WGQ20" s="414"/>
      <c r="WGR20" s="414"/>
      <c r="WGS20" s="414"/>
      <c r="WGT20" s="414"/>
      <c r="WGU20" s="414"/>
      <c r="WGV20" s="414"/>
      <c r="WGW20" s="414"/>
      <c r="WGX20" s="414"/>
      <c r="WGY20" s="414"/>
      <c r="WGZ20" s="414"/>
      <c r="WHA20" s="414"/>
      <c r="WHB20" s="414"/>
      <c r="WHC20" s="414"/>
      <c r="WHD20" s="414"/>
      <c r="WHE20" s="414"/>
      <c r="WHF20" s="414"/>
      <c r="WHG20" s="414"/>
      <c r="WHH20" s="414"/>
      <c r="WHI20" s="414"/>
      <c r="WHJ20" s="414"/>
      <c r="WHK20" s="414"/>
      <c r="WHL20" s="414"/>
      <c r="WHM20" s="414"/>
      <c r="WHN20" s="414"/>
      <c r="WHO20" s="414"/>
      <c r="WHP20" s="414"/>
      <c r="WHQ20" s="414"/>
      <c r="WHR20" s="414"/>
      <c r="WHS20" s="414"/>
      <c r="WHT20" s="414"/>
      <c r="WHU20" s="414"/>
      <c r="WHV20" s="414"/>
      <c r="WHW20" s="414"/>
      <c r="WHX20" s="414"/>
      <c r="WHY20" s="414"/>
      <c r="WHZ20" s="414"/>
      <c r="WIA20" s="414"/>
      <c r="WIB20" s="414"/>
      <c r="WIC20" s="414"/>
      <c r="WID20" s="414"/>
      <c r="WIE20" s="414"/>
      <c r="WIF20" s="414"/>
      <c r="WIG20" s="414"/>
      <c r="WIH20" s="414"/>
      <c r="WII20" s="414"/>
      <c r="WIJ20" s="414"/>
      <c r="WIK20" s="414"/>
      <c r="WIL20" s="414"/>
      <c r="WIM20" s="414"/>
      <c r="WIN20" s="414"/>
      <c r="WIO20" s="414"/>
      <c r="WIP20" s="414"/>
      <c r="WIQ20" s="414"/>
      <c r="WIR20" s="414"/>
      <c r="WIS20" s="414"/>
      <c r="WIT20" s="414"/>
      <c r="WIU20" s="414"/>
      <c r="WIV20" s="414"/>
      <c r="WIW20" s="414"/>
      <c r="WIX20" s="414"/>
      <c r="WIY20" s="414"/>
      <c r="WIZ20" s="414"/>
      <c r="WJA20" s="414"/>
      <c r="WJB20" s="414"/>
      <c r="WJC20" s="414"/>
      <c r="WJD20" s="414"/>
      <c r="WJE20" s="414"/>
      <c r="WJF20" s="414"/>
      <c r="WJG20" s="414"/>
      <c r="WJH20" s="414"/>
      <c r="WJI20" s="414"/>
      <c r="WJJ20" s="414"/>
      <c r="WJK20" s="414"/>
      <c r="WJL20" s="414"/>
      <c r="WJM20" s="414"/>
      <c r="WJN20" s="414"/>
      <c r="WJO20" s="414"/>
      <c r="WJP20" s="414"/>
      <c r="WJQ20" s="414"/>
      <c r="WJR20" s="414"/>
      <c r="WJS20" s="414"/>
      <c r="WJT20" s="414"/>
      <c r="WJU20" s="414"/>
      <c r="WJV20" s="414"/>
      <c r="WJW20" s="414"/>
      <c r="WJX20" s="414"/>
      <c r="WJY20" s="414"/>
      <c r="WJZ20" s="414"/>
      <c r="WKA20" s="414"/>
      <c r="WKB20" s="414"/>
      <c r="WKC20" s="414"/>
      <c r="WKD20" s="414"/>
      <c r="WKE20" s="414"/>
      <c r="WKF20" s="414"/>
      <c r="WKG20" s="414"/>
      <c r="WKH20" s="414"/>
      <c r="WKI20" s="414"/>
      <c r="WKJ20" s="414"/>
      <c r="WKK20" s="414"/>
      <c r="WKL20" s="414"/>
      <c r="WKM20" s="414"/>
      <c r="WKN20" s="414"/>
      <c r="WKO20" s="414"/>
      <c r="WKP20" s="414"/>
      <c r="WKQ20" s="414"/>
      <c r="WKR20" s="414"/>
      <c r="WKS20" s="414"/>
      <c r="WKT20" s="414"/>
      <c r="WKU20" s="414"/>
      <c r="WKV20" s="414"/>
      <c r="WKW20" s="414"/>
      <c r="WKX20" s="414"/>
      <c r="WKY20" s="414"/>
      <c r="WKZ20" s="414"/>
      <c r="WLA20" s="414"/>
      <c r="WLB20" s="414"/>
      <c r="WLC20" s="414"/>
      <c r="WLD20" s="414"/>
      <c r="WLE20" s="414"/>
      <c r="WLF20" s="414"/>
      <c r="WLG20" s="414"/>
      <c r="WLH20" s="414"/>
      <c r="WLI20" s="414"/>
      <c r="WLJ20" s="414"/>
      <c r="WLK20" s="414"/>
      <c r="WLL20" s="414"/>
      <c r="WLM20" s="414"/>
      <c r="WLN20" s="414"/>
      <c r="WLO20" s="414"/>
      <c r="WLP20" s="414"/>
      <c r="WLQ20" s="414"/>
      <c r="WLR20" s="414"/>
      <c r="WLS20" s="414"/>
      <c r="WLT20" s="414"/>
      <c r="WLU20" s="414"/>
      <c r="WLV20" s="414"/>
      <c r="WLW20" s="414"/>
      <c r="WLX20" s="414"/>
      <c r="WLY20" s="414"/>
      <c r="WLZ20" s="414"/>
      <c r="WMA20" s="414"/>
      <c r="WMB20" s="414"/>
      <c r="WMC20" s="414"/>
      <c r="WMD20" s="414"/>
      <c r="WME20" s="414"/>
      <c r="WMF20" s="414"/>
      <c r="WMG20" s="414"/>
      <c r="WMH20" s="414"/>
      <c r="WMI20" s="414"/>
      <c r="WMJ20" s="414"/>
      <c r="WMK20" s="414"/>
      <c r="WML20" s="414"/>
      <c r="WMM20" s="414"/>
      <c r="WMN20" s="414"/>
      <c r="WMO20" s="414"/>
      <c r="WMP20" s="414"/>
      <c r="WMQ20" s="414"/>
      <c r="WMR20" s="414"/>
      <c r="WMS20" s="414"/>
      <c r="WMT20" s="414"/>
      <c r="WMU20" s="414"/>
      <c r="WMV20" s="414"/>
      <c r="WMW20" s="414"/>
      <c r="WMX20" s="414"/>
      <c r="WMY20" s="414"/>
      <c r="WMZ20" s="414"/>
      <c r="WNA20" s="414"/>
      <c r="WNB20" s="414"/>
      <c r="WNC20" s="414"/>
      <c r="WND20" s="414"/>
      <c r="WNE20" s="414"/>
      <c r="WNF20" s="414"/>
      <c r="WNG20" s="414"/>
      <c r="WNH20" s="414"/>
      <c r="WNI20" s="414"/>
      <c r="WNJ20" s="414"/>
      <c r="WNK20" s="414"/>
      <c r="WNL20" s="414"/>
      <c r="WNM20" s="414"/>
      <c r="WNN20" s="414"/>
      <c r="WNO20" s="414"/>
      <c r="WNP20" s="414"/>
      <c r="WNQ20" s="414"/>
      <c r="WNR20" s="414"/>
      <c r="WNS20" s="414"/>
      <c r="WNT20" s="414"/>
      <c r="WNU20" s="414"/>
      <c r="WNV20" s="414"/>
      <c r="WNW20" s="414"/>
      <c r="WNX20" s="414"/>
      <c r="WNY20" s="414"/>
      <c r="WNZ20" s="414"/>
      <c r="WOA20" s="414"/>
      <c r="WOB20" s="414"/>
      <c r="WOC20" s="414"/>
      <c r="WOD20" s="414"/>
      <c r="WOE20" s="414"/>
      <c r="WOF20" s="414"/>
      <c r="WOG20" s="414"/>
      <c r="WOH20" s="414"/>
      <c r="WOI20" s="414"/>
      <c r="WOJ20" s="414"/>
      <c r="WOK20" s="414"/>
      <c r="WOL20" s="414"/>
      <c r="WOM20" s="414"/>
      <c r="WON20" s="414"/>
      <c r="WOO20" s="414"/>
      <c r="WOP20" s="414"/>
      <c r="WOQ20" s="414"/>
      <c r="WOR20" s="414"/>
      <c r="WOS20" s="414"/>
      <c r="WOT20" s="414"/>
      <c r="WOU20" s="414"/>
      <c r="WOV20" s="414"/>
      <c r="WOW20" s="414"/>
      <c r="WOX20" s="414"/>
      <c r="WOY20" s="414"/>
      <c r="WOZ20" s="414"/>
      <c r="WPA20" s="414"/>
      <c r="WPB20" s="414"/>
      <c r="WPC20" s="414"/>
      <c r="WPD20" s="414"/>
      <c r="WPE20" s="414"/>
      <c r="WPF20" s="414"/>
      <c r="WPG20" s="414"/>
      <c r="WPH20" s="414"/>
      <c r="WPI20" s="414"/>
      <c r="WPJ20" s="414"/>
      <c r="WPK20" s="414"/>
      <c r="WPL20" s="414"/>
      <c r="WPM20" s="414"/>
      <c r="WPN20" s="414"/>
      <c r="WPO20" s="414"/>
      <c r="WPP20" s="414"/>
      <c r="WPQ20" s="414"/>
      <c r="WPR20" s="414"/>
      <c r="WPS20" s="414"/>
      <c r="WPT20" s="414"/>
      <c r="WPU20" s="414"/>
      <c r="WPV20" s="414"/>
      <c r="WPW20" s="414"/>
      <c r="WPX20" s="414"/>
      <c r="WPY20" s="414"/>
      <c r="WPZ20" s="414"/>
      <c r="WQA20" s="414"/>
      <c r="WQB20" s="414"/>
      <c r="WQC20" s="414"/>
      <c r="WQD20" s="414"/>
      <c r="WQE20" s="414"/>
      <c r="WQF20" s="414"/>
      <c r="WQG20" s="414"/>
      <c r="WQH20" s="414"/>
      <c r="WQI20" s="414"/>
      <c r="WQJ20" s="414"/>
      <c r="WQK20" s="414"/>
      <c r="WQL20" s="414"/>
      <c r="WQM20" s="414"/>
      <c r="WQN20" s="414"/>
      <c r="WQO20" s="414"/>
      <c r="WQP20" s="414"/>
      <c r="WQQ20" s="414"/>
      <c r="WQR20" s="414"/>
      <c r="WQS20" s="414"/>
      <c r="WQT20" s="414"/>
      <c r="WQU20" s="414"/>
      <c r="WQV20" s="414"/>
      <c r="WQW20" s="414"/>
      <c r="WQX20" s="414"/>
      <c r="WQY20" s="414"/>
      <c r="WQZ20" s="414"/>
      <c r="WRA20" s="414"/>
      <c r="WRB20" s="414"/>
      <c r="WRC20" s="414"/>
      <c r="WRD20" s="414"/>
      <c r="WRE20" s="414"/>
      <c r="WRF20" s="414"/>
      <c r="WRG20" s="414"/>
      <c r="WRH20" s="414"/>
      <c r="WRI20" s="414"/>
      <c r="WRJ20" s="414"/>
      <c r="WRK20" s="414"/>
      <c r="WRL20" s="414"/>
      <c r="WRM20" s="414"/>
      <c r="WRN20" s="414"/>
      <c r="WRO20" s="414"/>
      <c r="WRP20" s="414"/>
      <c r="WRQ20" s="414"/>
      <c r="WRR20" s="414"/>
      <c r="WRS20" s="414"/>
      <c r="WRT20" s="414"/>
      <c r="WRU20" s="414"/>
      <c r="WRV20" s="414"/>
      <c r="WRW20" s="414"/>
      <c r="WRX20" s="414"/>
      <c r="WRY20" s="414"/>
      <c r="WRZ20" s="414"/>
      <c r="WSA20" s="414"/>
      <c r="WSB20" s="414"/>
      <c r="WSC20" s="414"/>
      <c r="WSD20" s="414"/>
      <c r="WSE20" s="414"/>
      <c r="WSF20" s="414"/>
      <c r="WSG20" s="414"/>
      <c r="WSH20" s="414"/>
      <c r="WSI20" s="414"/>
      <c r="WSJ20" s="414"/>
      <c r="WSK20" s="414"/>
      <c r="WSL20" s="414"/>
      <c r="WSM20" s="414"/>
      <c r="WSN20" s="414"/>
      <c r="WSO20" s="414"/>
      <c r="WSP20" s="414"/>
      <c r="WSQ20" s="414"/>
      <c r="WSR20" s="414"/>
      <c r="WSS20" s="414"/>
      <c r="WST20" s="414"/>
      <c r="WSU20" s="414"/>
      <c r="WSV20" s="414"/>
      <c r="WSW20" s="414"/>
      <c r="WSX20" s="414"/>
      <c r="WSY20" s="414"/>
      <c r="WSZ20" s="414"/>
      <c r="WTA20" s="414"/>
      <c r="WTB20" s="414"/>
      <c r="WTC20" s="414"/>
      <c r="WTD20" s="414"/>
      <c r="WTE20" s="414"/>
      <c r="WTF20" s="414"/>
      <c r="WTG20" s="414"/>
      <c r="WTH20" s="414"/>
      <c r="WTI20" s="414"/>
      <c r="WTJ20" s="414"/>
      <c r="WTK20" s="414"/>
      <c r="WTL20" s="414"/>
      <c r="WTM20" s="414"/>
      <c r="WTN20" s="414"/>
      <c r="WTO20" s="414"/>
      <c r="WTP20" s="414"/>
      <c r="WTQ20" s="414"/>
      <c r="WTR20" s="414"/>
      <c r="WTS20" s="414"/>
      <c r="WTT20" s="414"/>
      <c r="WTU20" s="414"/>
      <c r="WTV20" s="414"/>
      <c r="WTW20" s="414"/>
      <c r="WTX20" s="414"/>
      <c r="WTY20" s="414"/>
      <c r="WTZ20" s="414"/>
      <c r="WUA20" s="414"/>
      <c r="WUB20" s="414"/>
      <c r="WUC20" s="414"/>
      <c r="WUD20" s="414"/>
      <c r="WUE20" s="414"/>
      <c r="WUF20" s="414"/>
      <c r="WUG20" s="414"/>
      <c r="WUH20" s="414"/>
      <c r="WUI20" s="414"/>
      <c r="WUJ20" s="414"/>
      <c r="WUK20" s="414"/>
      <c r="WUL20" s="414"/>
      <c r="WUM20" s="414"/>
      <c r="WUN20" s="414"/>
      <c r="WUO20" s="414"/>
      <c r="WUP20" s="414"/>
      <c r="WUQ20" s="414"/>
      <c r="WUR20" s="414"/>
      <c r="WUS20" s="414"/>
      <c r="WUT20" s="414"/>
      <c r="WUU20" s="414"/>
      <c r="WUV20" s="414"/>
      <c r="WUW20" s="414"/>
      <c r="WUX20" s="414"/>
      <c r="WUY20" s="414"/>
      <c r="WUZ20" s="414"/>
      <c r="WVA20" s="414"/>
      <c r="WVB20" s="414"/>
      <c r="WVC20" s="414"/>
      <c r="WVD20" s="414"/>
      <c r="WVE20" s="414"/>
      <c r="WVF20" s="414"/>
      <c r="WVG20" s="414"/>
      <c r="WVH20" s="414"/>
      <c r="WVI20" s="414"/>
      <c r="WVJ20" s="414"/>
      <c r="WVK20" s="414"/>
      <c r="WVL20" s="414"/>
      <c r="WVM20" s="414"/>
      <c r="WVN20" s="414"/>
      <c r="WVO20" s="414"/>
      <c r="WVP20" s="414"/>
      <c r="WVQ20" s="414"/>
      <c r="WVR20" s="414"/>
      <c r="WVS20" s="414"/>
      <c r="WVT20" s="414"/>
      <c r="WVU20" s="414"/>
      <c r="WVV20" s="414"/>
      <c r="WVW20" s="414"/>
      <c r="WVX20" s="414"/>
      <c r="WVY20" s="414"/>
      <c r="WVZ20" s="414"/>
      <c r="WWA20" s="414"/>
      <c r="WWB20" s="414"/>
      <c r="WWC20" s="414"/>
      <c r="WWD20" s="414"/>
      <c r="WWE20" s="414"/>
      <c r="WWF20" s="414"/>
      <c r="WWG20" s="414"/>
      <c r="WWH20" s="414"/>
      <c r="WWI20" s="414"/>
      <c r="WWJ20" s="414"/>
      <c r="WWK20" s="414"/>
      <c r="WWL20" s="414"/>
      <c r="WWM20" s="414"/>
      <c r="WWN20" s="414"/>
      <c r="WWO20" s="414"/>
      <c r="WWP20" s="414"/>
      <c r="WWQ20" s="414"/>
      <c r="WWR20" s="414"/>
      <c r="WWS20" s="414"/>
      <c r="WWT20" s="414"/>
      <c r="WWU20" s="414"/>
      <c r="WWV20" s="414"/>
      <c r="WWW20" s="414"/>
      <c r="WWX20" s="414"/>
      <c r="WWY20" s="414"/>
      <c r="WWZ20" s="414"/>
      <c r="WXA20" s="414"/>
      <c r="WXB20" s="414"/>
      <c r="WXC20" s="414"/>
      <c r="WXD20" s="414"/>
      <c r="WXE20" s="414"/>
      <c r="WXF20" s="414"/>
      <c r="WXG20" s="414"/>
      <c r="WXH20" s="414"/>
      <c r="WXI20" s="414"/>
      <c r="WXJ20" s="414"/>
      <c r="WXK20" s="414"/>
      <c r="WXL20" s="414"/>
      <c r="WXM20" s="414"/>
      <c r="WXN20" s="414"/>
      <c r="WXO20" s="414"/>
      <c r="WXP20" s="414"/>
      <c r="WXQ20" s="414"/>
      <c r="WXR20" s="414"/>
      <c r="WXS20" s="414"/>
      <c r="WXT20" s="414"/>
      <c r="WXU20" s="414"/>
      <c r="WXV20" s="414"/>
      <c r="WXW20" s="414"/>
      <c r="WXX20" s="414"/>
      <c r="WXY20" s="414"/>
      <c r="WXZ20" s="414"/>
      <c r="WYA20" s="414"/>
      <c r="WYB20" s="414"/>
      <c r="WYC20" s="414"/>
      <c r="WYD20" s="414"/>
      <c r="WYE20" s="414"/>
      <c r="WYF20" s="414"/>
      <c r="WYG20" s="414"/>
      <c r="WYH20" s="414"/>
      <c r="WYI20" s="414"/>
      <c r="WYJ20" s="414"/>
      <c r="WYK20" s="414"/>
      <c r="WYL20" s="414"/>
      <c r="WYM20" s="414"/>
      <c r="WYN20" s="414"/>
      <c r="WYO20" s="414"/>
      <c r="WYP20" s="414"/>
      <c r="WYQ20" s="414"/>
      <c r="WYR20" s="414"/>
      <c r="WYS20" s="414"/>
      <c r="WYT20" s="414"/>
      <c r="WYU20" s="414"/>
      <c r="WYV20" s="414"/>
      <c r="WYW20" s="414"/>
      <c r="WYX20" s="414"/>
      <c r="WYY20" s="414"/>
      <c r="WYZ20" s="414"/>
      <c r="WZA20" s="414"/>
      <c r="WZB20" s="414"/>
      <c r="WZC20" s="414"/>
      <c r="WZD20" s="414"/>
      <c r="WZE20" s="414"/>
      <c r="WZF20" s="414"/>
      <c r="WZG20" s="414"/>
      <c r="WZH20" s="414"/>
      <c r="WZI20" s="414"/>
      <c r="WZJ20" s="414"/>
      <c r="WZK20" s="414"/>
      <c r="WZL20" s="414"/>
      <c r="WZM20" s="414"/>
      <c r="WZN20" s="414"/>
      <c r="WZO20" s="414"/>
      <c r="WZP20" s="414"/>
      <c r="WZQ20" s="414"/>
      <c r="WZR20" s="414"/>
      <c r="WZS20" s="414"/>
      <c r="WZT20" s="414"/>
      <c r="WZU20" s="414"/>
      <c r="WZV20" s="414"/>
      <c r="WZW20" s="414"/>
      <c r="WZX20" s="414"/>
      <c r="WZY20" s="414"/>
      <c r="WZZ20" s="414"/>
      <c r="XAA20" s="414"/>
      <c r="XAB20" s="414"/>
      <c r="XAC20" s="414"/>
      <c r="XAD20" s="414"/>
      <c r="XAE20" s="414"/>
      <c r="XAF20" s="414"/>
      <c r="XAG20" s="414"/>
      <c r="XAH20" s="414"/>
      <c r="XAI20" s="414"/>
      <c r="XAJ20" s="414"/>
      <c r="XAK20" s="414"/>
      <c r="XAL20" s="414"/>
      <c r="XAM20" s="414"/>
      <c r="XAN20" s="414"/>
      <c r="XAO20" s="414"/>
      <c r="XAP20" s="414"/>
      <c r="XAQ20" s="414"/>
      <c r="XAR20" s="414"/>
      <c r="XAS20" s="414"/>
      <c r="XAT20" s="414"/>
      <c r="XAU20" s="414"/>
      <c r="XAV20" s="414"/>
      <c r="XAW20" s="414"/>
      <c r="XAX20" s="414"/>
      <c r="XAY20" s="414"/>
      <c r="XAZ20" s="414"/>
      <c r="XBA20" s="414"/>
      <c r="XBB20" s="414"/>
      <c r="XBC20" s="414"/>
      <c r="XBD20" s="414"/>
      <c r="XBE20" s="414"/>
      <c r="XBF20" s="414"/>
      <c r="XBG20" s="414"/>
      <c r="XBH20" s="414"/>
      <c r="XBI20" s="414"/>
      <c r="XBJ20" s="414"/>
      <c r="XBK20" s="414"/>
      <c r="XBL20" s="414"/>
      <c r="XBM20" s="414"/>
      <c r="XBN20" s="414"/>
      <c r="XBO20" s="414"/>
      <c r="XBP20" s="414"/>
      <c r="XBQ20" s="414"/>
      <c r="XBR20" s="414"/>
      <c r="XBS20" s="414"/>
      <c r="XBT20" s="414"/>
      <c r="XBU20" s="414"/>
      <c r="XBV20" s="414"/>
      <c r="XBW20" s="414"/>
      <c r="XBX20" s="414"/>
      <c r="XBY20" s="414"/>
      <c r="XBZ20" s="414"/>
      <c r="XCA20" s="414"/>
      <c r="XCB20" s="414"/>
      <c r="XCC20" s="414"/>
      <c r="XCD20" s="414"/>
      <c r="XCE20" s="414"/>
      <c r="XCF20" s="414"/>
      <c r="XCG20" s="414"/>
      <c r="XCH20" s="414"/>
      <c r="XCI20" s="414"/>
      <c r="XCJ20" s="414"/>
      <c r="XCK20" s="414"/>
      <c r="XCL20" s="414"/>
      <c r="XCM20" s="414"/>
      <c r="XCN20" s="414"/>
      <c r="XCO20" s="414"/>
      <c r="XCP20" s="414"/>
      <c r="XCQ20" s="414"/>
      <c r="XCR20" s="414"/>
      <c r="XCS20" s="414"/>
      <c r="XCT20" s="414"/>
      <c r="XCU20" s="414"/>
      <c r="XCV20" s="414"/>
      <c r="XCW20" s="414"/>
      <c r="XCX20" s="414"/>
      <c r="XCY20" s="414"/>
      <c r="XCZ20" s="414"/>
      <c r="XDA20" s="414"/>
      <c r="XDB20" s="414"/>
      <c r="XDC20" s="414"/>
      <c r="XDD20" s="414"/>
      <c r="XDE20" s="414"/>
      <c r="XDF20" s="414"/>
      <c r="XDG20" s="414"/>
      <c r="XDH20" s="414"/>
      <c r="XDI20" s="414"/>
      <c r="XDJ20" s="414"/>
      <c r="XDK20" s="414"/>
      <c r="XDL20" s="414"/>
      <c r="XDM20" s="414"/>
      <c r="XDN20" s="414"/>
      <c r="XDO20" s="414"/>
      <c r="XDP20" s="414"/>
      <c r="XDQ20" s="414"/>
      <c r="XDR20" s="414"/>
      <c r="XDS20" s="414"/>
      <c r="XDT20" s="414"/>
      <c r="XDU20" s="414"/>
      <c r="XDV20" s="414"/>
      <c r="XDW20" s="414"/>
      <c r="XDX20" s="414"/>
      <c r="XDY20" s="414"/>
      <c r="XDZ20" s="414"/>
      <c r="XEA20" s="414"/>
      <c r="XEB20" s="414"/>
      <c r="XEC20" s="414"/>
      <c r="XED20" s="414"/>
      <c r="XEE20" s="414"/>
      <c r="XEF20" s="414"/>
      <c r="XEG20" s="414"/>
      <c r="XEH20" s="414"/>
      <c r="XEI20" s="414"/>
      <c r="XEJ20" s="414"/>
      <c r="XEK20" s="414"/>
      <c r="XEL20" s="414"/>
      <c r="XEM20" s="414"/>
      <c r="XEN20" s="414"/>
      <c r="XEO20" s="414"/>
      <c r="XEP20" s="414"/>
      <c r="XEQ20" s="414"/>
      <c r="XER20" s="414"/>
      <c r="XES20" s="414"/>
      <c r="XET20" s="414"/>
      <c r="XEU20" s="414"/>
      <c r="XEV20" s="414"/>
      <c r="XEW20" s="414"/>
      <c r="XEX20" s="414"/>
      <c r="XEY20" s="414"/>
      <c r="XEZ20" s="414"/>
      <c r="XFA20" s="414"/>
    </row>
    <row r="21" spans="1:16381" s="609" customFormat="1" ht="33.75">
      <c r="A21" s="609" t="str">
        <f t="shared" si="0"/>
        <v>Allianz Pensionskasse v. 01.12.2020</v>
      </c>
      <c r="B21" s="609">
        <f>ROW()</f>
        <v>21</v>
      </c>
      <c r="C21" s="635" t="s">
        <v>1553</v>
      </c>
      <c r="D21" s="1201">
        <v>44166</v>
      </c>
      <c r="E21" s="636" t="s">
        <v>1554</v>
      </c>
      <c r="F21" s="637"/>
      <c r="G21" s="634" t="str">
        <f t="shared" si="2"/>
        <v>TO ermöglicht:  Abweichungen vom gerichtl. festgelegten Ausgleichswert;  Verzinsung zwischen EzE und RK geltend machen</v>
      </c>
      <c r="I21" s="634" t="s">
        <v>1555</v>
      </c>
      <c r="J21" s="784"/>
      <c r="K21" s="1199"/>
      <c r="L21" s="1199"/>
      <c r="M21" s="1199">
        <v>3</v>
      </c>
      <c r="N21" s="1199">
        <v>4</v>
      </c>
      <c r="O21" s="785"/>
      <c r="P21" s="144"/>
      <c r="Q21" s="414"/>
      <c r="R21" s="414"/>
      <c r="S21" s="414"/>
      <c r="T21" s="414"/>
      <c r="U21" s="414"/>
      <c r="V21" s="414"/>
      <c r="W21" s="414"/>
      <c r="X21" s="414"/>
      <c r="Y21" s="414"/>
      <c r="Z21" s="414"/>
      <c r="AA21" s="414"/>
      <c r="AB21" s="414"/>
      <c r="AC21" s="414"/>
      <c r="AD21" s="414"/>
      <c r="AE21" s="414"/>
      <c r="AF21" s="414"/>
      <c r="AG21" s="414"/>
      <c r="AH21" s="414"/>
      <c r="AI21" s="414"/>
      <c r="AJ21" s="414"/>
      <c r="AK21" s="414"/>
      <c r="AL21" s="414"/>
      <c r="AM21" s="414"/>
      <c r="AN21" s="414"/>
      <c r="AO21" s="414"/>
      <c r="AP21" s="414"/>
      <c r="AQ21" s="414"/>
      <c r="AR21" s="414"/>
      <c r="AS21" s="414"/>
      <c r="AT21" s="414"/>
      <c r="AU21" s="414"/>
      <c r="AV21" s="414"/>
      <c r="AW21" s="414"/>
      <c r="AX21" s="414"/>
      <c r="AY21" s="414"/>
      <c r="AZ21" s="414"/>
      <c r="BA21" s="414"/>
      <c r="BB21" s="414"/>
      <c r="BC21" s="414"/>
      <c r="BD21" s="414"/>
      <c r="BE21" s="414"/>
      <c r="BF21" s="414"/>
      <c r="BG21" s="414"/>
      <c r="BH21" s="414"/>
      <c r="BI21" s="414"/>
      <c r="BJ21" s="414"/>
      <c r="BK21" s="414"/>
      <c r="BL21" s="414"/>
      <c r="BM21" s="414"/>
      <c r="BN21" s="414"/>
      <c r="BO21" s="414"/>
      <c r="BP21" s="414"/>
      <c r="BQ21" s="414"/>
      <c r="BR21" s="414"/>
      <c r="BS21" s="414"/>
      <c r="BT21" s="414"/>
      <c r="BU21" s="414"/>
      <c r="BV21" s="414"/>
      <c r="BW21" s="414"/>
      <c r="BX21" s="414"/>
      <c r="BY21" s="414"/>
      <c r="BZ21" s="414"/>
      <c r="CA21" s="414"/>
      <c r="CB21" s="414"/>
      <c r="CC21" s="414"/>
      <c r="CD21" s="414"/>
      <c r="CE21" s="414"/>
      <c r="CF21" s="414"/>
      <c r="CG21" s="414"/>
      <c r="CH21" s="414"/>
      <c r="CI21" s="414"/>
      <c r="CJ21" s="414"/>
      <c r="CK21" s="414"/>
      <c r="CL21" s="414"/>
      <c r="CM21" s="414"/>
      <c r="CN21" s="414"/>
      <c r="CO21" s="414"/>
      <c r="CP21" s="414"/>
      <c r="CQ21" s="414"/>
      <c r="CR21" s="414"/>
      <c r="CS21" s="414"/>
      <c r="CT21" s="414"/>
      <c r="CU21" s="414"/>
      <c r="CV21" s="414"/>
      <c r="CW21" s="414"/>
      <c r="CX21" s="414"/>
      <c r="CY21" s="414"/>
      <c r="CZ21" s="414"/>
      <c r="DA21" s="414"/>
      <c r="DB21" s="414"/>
      <c r="DC21" s="414"/>
      <c r="DD21" s="414"/>
      <c r="DE21" s="414"/>
      <c r="DF21" s="414"/>
      <c r="DG21" s="414"/>
      <c r="DH21" s="414"/>
      <c r="DI21" s="414"/>
      <c r="DJ21" s="414"/>
      <c r="DK21" s="414"/>
      <c r="DL21" s="414"/>
      <c r="DM21" s="414"/>
      <c r="DN21" s="414"/>
      <c r="DO21" s="414"/>
      <c r="DP21" s="414"/>
      <c r="DQ21" s="414"/>
      <c r="DR21" s="414"/>
      <c r="DS21" s="414"/>
      <c r="DT21" s="414"/>
      <c r="DU21" s="414"/>
      <c r="DV21" s="414"/>
      <c r="DW21" s="414"/>
      <c r="DX21" s="414"/>
      <c r="DY21" s="414"/>
      <c r="DZ21" s="414"/>
      <c r="EA21" s="414"/>
      <c r="EB21" s="414"/>
      <c r="EC21" s="414"/>
      <c r="ED21" s="414"/>
      <c r="EE21" s="414"/>
      <c r="EF21" s="414"/>
      <c r="EG21" s="414"/>
      <c r="EH21" s="414"/>
      <c r="EI21" s="414"/>
      <c r="EJ21" s="414"/>
      <c r="EK21" s="414"/>
      <c r="EL21" s="414"/>
      <c r="EM21" s="414"/>
      <c r="EN21" s="414"/>
      <c r="EO21" s="414"/>
      <c r="EP21" s="414"/>
      <c r="EQ21" s="414"/>
      <c r="ER21" s="414"/>
      <c r="ES21" s="414"/>
      <c r="ET21" s="414"/>
      <c r="EU21" s="414"/>
      <c r="EV21" s="414"/>
      <c r="EW21" s="414"/>
      <c r="EX21" s="414"/>
      <c r="EY21" s="414"/>
      <c r="EZ21" s="414"/>
      <c r="FA21" s="414"/>
      <c r="FB21" s="414"/>
      <c r="FC21" s="414"/>
      <c r="FD21" s="414"/>
      <c r="FE21" s="414"/>
      <c r="FF21" s="414"/>
      <c r="FG21" s="414"/>
      <c r="FH21" s="414"/>
      <c r="FI21" s="414"/>
      <c r="FJ21" s="414"/>
      <c r="FK21" s="414"/>
      <c r="FL21" s="414"/>
      <c r="FM21" s="414"/>
      <c r="FN21" s="414"/>
      <c r="FO21" s="414"/>
      <c r="FP21" s="414"/>
      <c r="FQ21" s="414"/>
      <c r="FR21" s="414"/>
      <c r="FS21" s="414"/>
      <c r="FT21" s="414"/>
      <c r="FU21" s="414"/>
      <c r="FV21" s="414"/>
      <c r="FW21" s="414"/>
      <c r="FX21" s="414"/>
      <c r="FY21" s="414"/>
      <c r="FZ21" s="414"/>
      <c r="GA21" s="414"/>
      <c r="GB21" s="414"/>
      <c r="GC21" s="414"/>
      <c r="GD21" s="414"/>
      <c r="GE21" s="414"/>
      <c r="GF21" s="414"/>
      <c r="GG21" s="414"/>
      <c r="GH21" s="414"/>
      <c r="GI21" s="414"/>
      <c r="GJ21" s="414"/>
      <c r="GK21" s="414"/>
      <c r="GL21" s="414"/>
      <c r="GM21" s="414"/>
      <c r="GN21" s="414"/>
      <c r="GO21" s="414"/>
      <c r="GP21" s="414"/>
      <c r="GQ21" s="414"/>
      <c r="GR21" s="414"/>
      <c r="GS21" s="414"/>
      <c r="GT21" s="414"/>
      <c r="GU21" s="414"/>
      <c r="GV21" s="414"/>
      <c r="GW21" s="414"/>
      <c r="GX21" s="414"/>
      <c r="GY21" s="414"/>
      <c r="GZ21" s="414"/>
      <c r="HA21" s="414"/>
      <c r="HB21" s="414"/>
      <c r="HC21" s="414"/>
      <c r="HD21" s="414"/>
      <c r="HE21" s="414"/>
      <c r="HF21" s="414"/>
      <c r="HG21" s="414"/>
      <c r="HH21" s="414"/>
      <c r="HI21" s="414"/>
      <c r="HJ21" s="414"/>
      <c r="HK21" s="414"/>
      <c r="HL21" s="414"/>
      <c r="HM21" s="414"/>
      <c r="HN21" s="414"/>
      <c r="HO21" s="414"/>
      <c r="HP21" s="414"/>
      <c r="HQ21" s="414"/>
      <c r="HR21" s="414"/>
      <c r="HS21" s="414"/>
      <c r="HT21" s="414"/>
      <c r="HU21" s="414"/>
      <c r="HV21" s="414"/>
      <c r="HW21" s="414"/>
      <c r="HX21" s="414"/>
      <c r="HY21" s="414"/>
      <c r="HZ21" s="414"/>
      <c r="IA21" s="414"/>
      <c r="IB21" s="414"/>
      <c r="IC21" s="414"/>
      <c r="ID21" s="414"/>
      <c r="IE21" s="414"/>
      <c r="IF21" s="414"/>
      <c r="IG21" s="414"/>
      <c r="IH21" s="414"/>
      <c r="II21" s="414"/>
      <c r="IJ21" s="414"/>
      <c r="IK21" s="414"/>
      <c r="IL21" s="414"/>
      <c r="IM21" s="414"/>
      <c r="IN21" s="414"/>
      <c r="IO21" s="414"/>
      <c r="IP21" s="414"/>
      <c r="IQ21" s="414"/>
      <c r="IR21" s="414"/>
      <c r="IS21" s="414"/>
      <c r="IT21" s="414"/>
      <c r="IU21" s="414"/>
      <c r="IV21" s="414"/>
      <c r="IW21" s="414"/>
      <c r="IX21" s="414"/>
      <c r="IY21" s="414"/>
      <c r="IZ21" s="414"/>
      <c r="JA21" s="414"/>
      <c r="JB21" s="414"/>
      <c r="JC21" s="414"/>
      <c r="JD21" s="414"/>
      <c r="JE21" s="414"/>
      <c r="JF21" s="414"/>
      <c r="JG21" s="414"/>
      <c r="JH21" s="414"/>
      <c r="JI21" s="414"/>
      <c r="JJ21" s="414"/>
      <c r="JK21" s="414"/>
      <c r="JL21" s="414"/>
      <c r="JM21" s="414"/>
      <c r="JN21" s="414"/>
      <c r="JO21" s="414"/>
      <c r="JP21" s="414"/>
      <c r="JQ21" s="414"/>
      <c r="JR21" s="414"/>
      <c r="JS21" s="414"/>
      <c r="JT21" s="414"/>
      <c r="JU21" s="414"/>
      <c r="JV21" s="414"/>
      <c r="JW21" s="414"/>
      <c r="JX21" s="414"/>
      <c r="JY21" s="414"/>
      <c r="JZ21" s="414"/>
      <c r="KA21" s="414"/>
      <c r="KB21" s="414"/>
      <c r="KC21" s="414"/>
      <c r="KD21" s="414"/>
      <c r="KE21" s="414"/>
      <c r="KF21" s="414"/>
      <c r="KG21" s="414"/>
      <c r="KH21" s="414"/>
      <c r="KI21" s="414"/>
      <c r="KJ21" s="414"/>
      <c r="KK21" s="414"/>
      <c r="KL21" s="414"/>
      <c r="KM21" s="414"/>
      <c r="KN21" s="414"/>
      <c r="KO21" s="414"/>
      <c r="KP21" s="414"/>
      <c r="KQ21" s="414"/>
      <c r="KR21" s="414"/>
      <c r="KS21" s="414"/>
      <c r="KT21" s="414"/>
      <c r="KU21" s="414"/>
      <c r="KV21" s="414"/>
      <c r="KW21" s="414"/>
      <c r="KX21" s="414"/>
      <c r="KY21" s="414"/>
      <c r="KZ21" s="414"/>
      <c r="LA21" s="414"/>
      <c r="LB21" s="414"/>
      <c r="LC21" s="414"/>
      <c r="LD21" s="414"/>
      <c r="LE21" s="414"/>
      <c r="LF21" s="414"/>
      <c r="LG21" s="414"/>
      <c r="LH21" s="414"/>
      <c r="LI21" s="414"/>
      <c r="LJ21" s="414"/>
      <c r="LK21" s="414"/>
      <c r="LL21" s="414"/>
      <c r="LM21" s="414"/>
      <c r="LN21" s="414"/>
      <c r="LO21" s="414"/>
      <c r="LP21" s="414"/>
      <c r="LQ21" s="414"/>
      <c r="LR21" s="414"/>
      <c r="LS21" s="414"/>
      <c r="LT21" s="414"/>
      <c r="LU21" s="414"/>
      <c r="LV21" s="414"/>
      <c r="LW21" s="414"/>
      <c r="LX21" s="414"/>
      <c r="LY21" s="414"/>
      <c r="LZ21" s="414"/>
      <c r="MA21" s="414"/>
      <c r="MB21" s="414"/>
      <c r="MC21" s="414"/>
      <c r="MD21" s="414"/>
      <c r="ME21" s="414"/>
      <c r="MF21" s="414"/>
      <c r="MG21" s="414"/>
      <c r="MH21" s="414"/>
      <c r="MI21" s="414"/>
      <c r="MJ21" s="414"/>
      <c r="MK21" s="414"/>
      <c r="ML21" s="414"/>
      <c r="MM21" s="414"/>
      <c r="MN21" s="414"/>
      <c r="MO21" s="414"/>
      <c r="MP21" s="414"/>
      <c r="MQ21" s="414"/>
      <c r="MR21" s="414"/>
      <c r="MS21" s="414"/>
      <c r="MT21" s="414"/>
      <c r="MU21" s="414"/>
      <c r="MV21" s="414"/>
      <c r="MW21" s="414"/>
      <c r="MX21" s="414"/>
      <c r="MY21" s="414"/>
      <c r="MZ21" s="414"/>
      <c r="NA21" s="414"/>
      <c r="NB21" s="414"/>
      <c r="NC21" s="414"/>
      <c r="ND21" s="414"/>
      <c r="NE21" s="414"/>
      <c r="NF21" s="414"/>
      <c r="NG21" s="414"/>
      <c r="NH21" s="414"/>
      <c r="NI21" s="414"/>
      <c r="NJ21" s="414"/>
      <c r="NK21" s="414"/>
      <c r="NL21" s="414"/>
      <c r="NM21" s="414"/>
      <c r="NN21" s="414"/>
      <c r="NO21" s="414"/>
      <c r="NP21" s="414"/>
      <c r="NQ21" s="414"/>
      <c r="NR21" s="414"/>
      <c r="NS21" s="414"/>
      <c r="NT21" s="414"/>
      <c r="NU21" s="414"/>
      <c r="NV21" s="414"/>
      <c r="NW21" s="414"/>
      <c r="NX21" s="414"/>
      <c r="NY21" s="414"/>
      <c r="NZ21" s="414"/>
      <c r="OA21" s="414"/>
      <c r="OB21" s="414"/>
      <c r="OC21" s="414"/>
      <c r="OD21" s="414"/>
      <c r="OE21" s="414"/>
      <c r="OF21" s="414"/>
      <c r="OG21" s="414"/>
      <c r="OH21" s="414"/>
      <c r="OI21" s="414"/>
      <c r="OJ21" s="414"/>
      <c r="OK21" s="414"/>
      <c r="OL21" s="414"/>
      <c r="OM21" s="414"/>
      <c r="ON21" s="414"/>
      <c r="OO21" s="414"/>
      <c r="OP21" s="414"/>
      <c r="OQ21" s="414"/>
      <c r="OR21" s="414"/>
      <c r="OS21" s="414"/>
      <c r="OT21" s="414"/>
      <c r="OU21" s="414"/>
      <c r="OV21" s="414"/>
      <c r="OW21" s="414"/>
      <c r="OX21" s="414"/>
      <c r="OY21" s="414"/>
      <c r="OZ21" s="414"/>
      <c r="PA21" s="414"/>
      <c r="PB21" s="414"/>
      <c r="PC21" s="414"/>
      <c r="PD21" s="414"/>
      <c r="PE21" s="414"/>
      <c r="PF21" s="414"/>
      <c r="PG21" s="414"/>
      <c r="PH21" s="414"/>
      <c r="PI21" s="414"/>
      <c r="PJ21" s="414"/>
      <c r="PK21" s="414"/>
      <c r="PL21" s="414"/>
      <c r="PM21" s="414"/>
      <c r="PN21" s="414"/>
      <c r="PO21" s="414"/>
      <c r="PP21" s="414"/>
      <c r="PQ21" s="414"/>
      <c r="PR21" s="414"/>
      <c r="PS21" s="414"/>
      <c r="PT21" s="414"/>
      <c r="PU21" s="414"/>
      <c r="PV21" s="414"/>
      <c r="PW21" s="414"/>
      <c r="PX21" s="414"/>
      <c r="PY21" s="414"/>
      <c r="PZ21" s="414"/>
      <c r="QA21" s="414"/>
      <c r="QB21" s="414"/>
      <c r="QC21" s="414"/>
      <c r="QD21" s="414"/>
      <c r="QE21" s="414"/>
      <c r="QF21" s="414"/>
      <c r="QG21" s="414"/>
      <c r="QH21" s="414"/>
      <c r="QI21" s="414"/>
      <c r="QJ21" s="414"/>
      <c r="QK21" s="414"/>
      <c r="QL21" s="414"/>
      <c r="QM21" s="414"/>
      <c r="QN21" s="414"/>
      <c r="QO21" s="414"/>
      <c r="QP21" s="414"/>
      <c r="QQ21" s="414"/>
      <c r="QR21" s="414"/>
      <c r="QS21" s="414"/>
      <c r="QT21" s="414"/>
      <c r="QU21" s="414"/>
      <c r="QV21" s="414"/>
      <c r="QW21" s="414"/>
      <c r="QX21" s="414"/>
      <c r="QY21" s="414"/>
      <c r="QZ21" s="414"/>
      <c r="RA21" s="414"/>
      <c r="RB21" s="414"/>
      <c r="RC21" s="414"/>
      <c r="RD21" s="414"/>
      <c r="RE21" s="414"/>
      <c r="RF21" s="414"/>
      <c r="RG21" s="414"/>
      <c r="RH21" s="414"/>
      <c r="RI21" s="414"/>
      <c r="RJ21" s="414"/>
      <c r="RK21" s="414"/>
      <c r="RL21" s="414"/>
      <c r="RM21" s="414"/>
      <c r="RN21" s="414"/>
      <c r="RO21" s="414"/>
      <c r="RP21" s="414"/>
      <c r="RQ21" s="414"/>
      <c r="RR21" s="414"/>
      <c r="RS21" s="414"/>
      <c r="RT21" s="414"/>
      <c r="RU21" s="414"/>
      <c r="RV21" s="414"/>
      <c r="RW21" s="414"/>
      <c r="RX21" s="414"/>
      <c r="RY21" s="414"/>
      <c r="RZ21" s="414"/>
      <c r="SA21" s="414"/>
      <c r="SB21" s="414"/>
      <c r="SC21" s="414"/>
      <c r="SD21" s="414"/>
      <c r="SE21" s="414"/>
      <c r="SF21" s="414"/>
      <c r="SG21" s="414"/>
      <c r="SH21" s="414"/>
      <c r="SI21" s="414"/>
      <c r="SJ21" s="414"/>
      <c r="SK21" s="414"/>
      <c r="SL21" s="414"/>
      <c r="SM21" s="414"/>
      <c r="SN21" s="414"/>
      <c r="SO21" s="414"/>
      <c r="SP21" s="414"/>
      <c r="SQ21" s="414"/>
      <c r="SR21" s="414"/>
      <c r="SS21" s="414"/>
      <c r="ST21" s="414"/>
      <c r="SU21" s="414"/>
      <c r="SV21" s="414"/>
      <c r="SW21" s="414"/>
      <c r="SX21" s="414"/>
      <c r="SY21" s="414"/>
      <c r="SZ21" s="414"/>
      <c r="TA21" s="414"/>
      <c r="TB21" s="414"/>
      <c r="TC21" s="414"/>
      <c r="TD21" s="414"/>
      <c r="TE21" s="414"/>
      <c r="TF21" s="414"/>
      <c r="TG21" s="414"/>
      <c r="TH21" s="414"/>
      <c r="TI21" s="414"/>
      <c r="TJ21" s="414"/>
      <c r="TK21" s="414"/>
      <c r="TL21" s="414"/>
      <c r="TM21" s="414"/>
      <c r="TN21" s="414"/>
      <c r="TO21" s="414"/>
      <c r="TP21" s="414"/>
      <c r="TQ21" s="414"/>
      <c r="TR21" s="414"/>
      <c r="TS21" s="414"/>
      <c r="TT21" s="414"/>
      <c r="TU21" s="414"/>
      <c r="TV21" s="414"/>
      <c r="TW21" s="414"/>
      <c r="TX21" s="414"/>
      <c r="TY21" s="414"/>
      <c r="TZ21" s="414"/>
      <c r="UA21" s="414"/>
      <c r="UB21" s="414"/>
      <c r="UC21" s="414"/>
      <c r="UD21" s="414"/>
      <c r="UE21" s="414"/>
      <c r="UF21" s="414"/>
      <c r="UG21" s="414"/>
      <c r="UH21" s="414"/>
      <c r="UI21" s="414"/>
      <c r="UJ21" s="414"/>
      <c r="UK21" s="414"/>
      <c r="UL21" s="414"/>
      <c r="UM21" s="414"/>
      <c r="UN21" s="414"/>
      <c r="UO21" s="414"/>
      <c r="UP21" s="414"/>
      <c r="UQ21" s="414"/>
      <c r="UR21" s="414"/>
      <c r="US21" s="414"/>
      <c r="UT21" s="414"/>
      <c r="UU21" s="414"/>
      <c r="UV21" s="414"/>
      <c r="UW21" s="414"/>
      <c r="UX21" s="414"/>
      <c r="UY21" s="414"/>
      <c r="UZ21" s="414"/>
      <c r="VA21" s="414"/>
      <c r="VB21" s="414"/>
      <c r="VC21" s="414"/>
      <c r="VD21" s="414"/>
      <c r="VE21" s="414"/>
      <c r="VF21" s="414"/>
      <c r="VG21" s="414"/>
      <c r="VH21" s="414"/>
      <c r="VI21" s="414"/>
      <c r="VJ21" s="414"/>
      <c r="VK21" s="414"/>
      <c r="VL21" s="414"/>
      <c r="VM21" s="414"/>
      <c r="VN21" s="414"/>
      <c r="VO21" s="414"/>
      <c r="VP21" s="414"/>
      <c r="VQ21" s="414"/>
      <c r="VR21" s="414"/>
      <c r="VS21" s="414"/>
      <c r="VT21" s="414"/>
      <c r="VU21" s="414"/>
      <c r="VV21" s="414"/>
      <c r="VW21" s="414"/>
      <c r="VX21" s="414"/>
      <c r="VY21" s="414"/>
      <c r="VZ21" s="414"/>
      <c r="WA21" s="414"/>
      <c r="WB21" s="414"/>
      <c r="WC21" s="414"/>
      <c r="WD21" s="414"/>
      <c r="WE21" s="414"/>
      <c r="WF21" s="414"/>
      <c r="WG21" s="414"/>
      <c r="WH21" s="414"/>
      <c r="WI21" s="414"/>
      <c r="WJ21" s="414"/>
      <c r="WK21" s="414"/>
      <c r="WL21" s="414"/>
      <c r="WM21" s="414"/>
      <c r="WN21" s="414"/>
      <c r="WO21" s="414"/>
      <c r="WP21" s="414"/>
      <c r="WQ21" s="414"/>
      <c r="WR21" s="414"/>
      <c r="WS21" s="414"/>
      <c r="WT21" s="414"/>
      <c r="WU21" s="414"/>
      <c r="WV21" s="414"/>
      <c r="WW21" s="414"/>
      <c r="WX21" s="414"/>
      <c r="WY21" s="414"/>
      <c r="WZ21" s="414"/>
      <c r="XA21" s="414"/>
      <c r="XB21" s="414"/>
      <c r="XC21" s="414"/>
      <c r="XD21" s="414"/>
      <c r="XE21" s="414"/>
      <c r="XF21" s="414"/>
      <c r="XG21" s="414"/>
      <c r="XH21" s="414"/>
      <c r="XI21" s="414"/>
      <c r="XJ21" s="414"/>
      <c r="XK21" s="414"/>
      <c r="XL21" s="414"/>
      <c r="XM21" s="414"/>
      <c r="XN21" s="414"/>
      <c r="XO21" s="414"/>
      <c r="XP21" s="414"/>
      <c r="XQ21" s="414"/>
      <c r="XR21" s="414"/>
      <c r="XS21" s="414"/>
      <c r="XT21" s="414"/>
      <c r="XU21" s="414"/>
      <c r="XV21" s="414"/>
      <c r="XW21" s="414"/>
      <c r="XX21" s="414"/>
      <c r="XY21" s="414"/>
      <c r="XZ21" s="414"/>
      <c r="YA21" s="414"/>
      <c r="YB21" s="414"/>
      <c r="YC21" s="414"/>
      <c r="YD21" s="414"/>
      <c r="YE21" s="414"/>
      <c r="YF21" s="414"/>
      <c r="YG21" s="414"/>
      <c r="YH21" s="414"/>
      <c r="YI21" s="414"/>
      <c r="YJ21" s="414"/>
      <c r="YK21" s="414"/>
      <c r="YL21" s="414"/>
      <c r="YM21" s="414"/>
      <c r="YN21" s="414"/>
      <c r="YO21" s="414"/>
      <c r="YP21" s="414"/>
      <c r="YQ21" s="414"/>
      <c r="YR21" s="414"/>
      <c r="YS21" s="414"/>
      <c r="YT21" s="414"/>
      <c r="YU21" s="414"/>
      <c r="YV21" s="414"/>
      <c r="YW21" s="414"/>
      <c r="YX21" s="414"/>
      <c r="YY21" s="414"/>
      <c r="YZ21" s="414"/>
      <c r="ZA21" s="414"/>
      <c r="ZB21" s="414"/>
      <c r="ZC21" s="414"/>
      <c r="ZD21" s="414"/>
      <c r="ZE21" s="414"/>
      <c r="ZF21" s="414"/>
      <c r="ZG21" s="414"/>
      <c r="ZH21" s="414"/>
      <c r="ZI21" s="414"/>
      <c r="ZJ21" s="414"/>
      <c r="ZK21" s="414"/>
      <c r="ZL21" s="414"/>
      <c r="ZM21" s="414"/>
      <c r="ZN21" s="414"/>
      <c r="ZO21" s="414"/>
      <c r="ZP21" s="414"/>
      <c r="ZQ21" s="414"/>
      <c r="ZR21" s="414"/>
      <c r="ZS21" s="414"/>
      <c r="ZT21" s="414"/>
      <c r="ZU21" s="414"/>
      <c r="ZV21" s="414"/>
      <c r="ZW21" s="414"/>
      <c r="ZX21" s="414"/>
      <c r="ZY21" s="414"/>
      <c r="ZZ21" s="414"/>
      <c r="AAA21" s="414"/>
      <c r="AAB21" s="414"/>
      <c r="AAC21" s="414"/>
      <c r="AAD21" s="414"/>
      <c r="AAE21" s="414"/>
      <c r="AAF21" s="414"/>
      <c r="AAG21" s="414"/>
      <c r="AAH21" s="414"/>
      <c r="AAI21" s="414"/>
      <c r="AAJ21" s="414"/>
      <c r="AAK21" s="414"/>
      <c r="AAL21" s="414"/>
      <c r="AAM21" s="414"/>
      <c r="AAN21" s="414"/>
      <c r="AAO21" s="414"/>
      <c r="AAP21" s="414"/>
      <c r="AAQ21" s="414"/>
      <c r="AAR21" s="414"/>
      <c r="AAS21" s="414"/>
      <c r="AAT21" s="414"/>
      <c r="AAU21" s="414"/>
      <c r="AAV21" s="414"/>
      <c r="AAW21" s="414"/>
      <c r="AAX21" s="414"/>
      <c r="AAY21" s="414"/>
      <c r="AAZ21" s="414"/>
      <c r="ABA21" s="414"/>
      <c r="ABB21" s="414"/>
      <c r="ABC21" s="414"/>
      <c r="ABD21" s="414"/>
      <c r="ABE21" s="414"/>
      <c r="ABF21" s="414"/>
      <c r="ABG21" s="414"/>
      <c r="ABH21" s="414"/>
      <c r="ABI21" s="414"/>
      <c r="ABJ21" s="414"/>
      <c r="ABK21" s="414"/>
      <c r="ABL21" s="414"/>
      <c r="ABM21" s="414"/>
      <c r="ABN21" s="414"/>
      <c r="ABO21" s="414"/>
      <c r="ABP21" s="414"/>
      <c r="ABQ21" s="414"/>
      <c r="ABR21" s="414"/>
      <c r="ABS21" s="414"/>
      <c r="ABT21" s="414"/>
      <c r="ABU21" s="414"/>
      <c r="ABV21" s="414"/>
      <c r="ABW21" s="414"/>
      <c r="ABX21" s="414"/>
      <c r="ABY21" s="414"/>
      <c r="ABZ21" s="414"/>
      <c r="ACA21" s="414"/>
      <c r="ACB21" s="414"/>
      <c r="ACC21" s="414"/>
      <c r="ACD21" s="414"/>
      <c r="ACE21" s="414"/>
      <c r="ACF21" s="414"/>
      <c r="ACG21" s="414"/>
      <c r="ACH21" s="414"/>
      <c r="ACI21" s="414"/>
      <c r="ACJ21" s="414"/>
      <c r="ACK21" s="414"/>
      <c r="ACL21" s="414"/>
      <c r="ACM21" s="414"/>
      <c r="ACN21" s="414"/>
      <c r="ACO21" s="414"/>
      <c r="ACP21" s="414"/>
      <c r="ACQ21" s="414"/>
      <c r="ACR21" s="414"/>
      <c r="ACS21" s="414"/>
      <c r="ACT21" s="414"/>
      <c r="ACU21" s="414"/>
      <c r="ACV21" s="414"/>
      <c r="ACW21" s="414"/>
      <c r="ACX21" s="414"/>
      <c r="ACY21" s="414"/>
      <c r="ACZ21" s="414"/>
      <c r="ADA21" s="414"/>
      <c r="ADB21" s="414"/>
      <c r="ADC21" s="414"/>
      <c r="ADD21" s="414"/>
      <c r="ADE21" s="414"/>
      <c r="ADF21" s="414"/>
      <c r="ADG21" s="414"/>
      <c r="ADH21" s="414"/>
      <c r="ADI21" s="414"/>
      <c r="ADJ21" s="414"/>
      <c r="ADK21" s="414"/>
      <c r="ADL21" s="414"/>
      <c r="ADM21" s="414"/>
      <c r="ADN21" s="414"/>
      <c r="ADO21" s="414"/>
      <c r="ADP21" s="414"/>
      <c r="ADQ21" s="414"/>
      <c r="ADR21" s="414"/>
      <c r="ADS21" s="414"/>
      <c r="ADT21" s="414"/>
      <c r="ADU21" s="414"/>
      <c r="ADV21" s="414"/>
      <c r="ADW21" s="414"/>
      <c r="ADX21" s="414"/>
      <c r="ADY21" s="414"/>
      <c r="ADZ21" s="414"/>
      <c r="AEA21" s="414"/>
      <c r="AEB21" s="414"/>
      <c r="AEC21" s="414"/>
      <c r="AED21" s="414"/>
      <c r="AEE21" s="414"/>
      <c r="AEF21" s="414"/>
      <c r="AEG21" s="414"/>
      <c r="AEH21" s="414"/>
      <c r="AEI21" s="414"/>
      <c r="AEJ21" s="414"/>
      <c r="AEK21" s="414"/>
      <c r="AEL21" s="414"/>
      <c r="AEM21" s="414"/>
      <c r="AEN21" s="414"/>
      <c r="AEO21" s="414"/>
      <c r="AEP21" s="414"/>
      <c r="AEQ21" s="414"/>
      <c r="AER21" s="414"/>
      <c r="AES21" s="414"/>
      <c r="AET21" s="414"/>
      <c r="AEU21" s="414"/>
      <c r="AEV21" s="414"/>
      <c r="AEW21" s="414"/>
      <c r="AEX21" s="414"/>
      <c r="AEY21" s="414"/>
      <c r="AEZ21" s="414"/>
      <c r="AFA21" s="414"/>
      <c r="AFB21" s="414"/>
      <c r="AFC21" s="414"/>
      <c r="AFD21" s="414"/>
      <c r="AFE21" s="414"/>
      <c r="AFF21" s="414"/>
      <c r="AFG21" s="414"/>
      <c r="AFH21" s="414"/>
      <c r="AFI21" s="414"/>
      <c r="AFJ21" s="414"/>
      <c r="AFK21" s="414"/>
      <c r="AFL21" s="414"/>
      <c r="AFM21" s="414"/>
      <c r="AFN21" s="414"/>
      <c r="AFO21" s="414"/>
      <c r="AFP21" s="414"/>
      <c r="AFQ21" s="414"/>
      <c r="AFR21" s="414"/>
      <c r="AFS21" s="414"/>
      <c r="AFT21" s="414"/>
      <c r="AFU21" s="414"/>
      <c r="AFV21" s="414"/>
      <c r="AFW21" s="414"/>
      <c r="AFX21" s="414"/>
      <c r="AFY21" s="414"/>
      <c r="AFZ21" s="414"/>
      <c r="AGA21" s="414"/>
      <c r="AGB21" s="414"/>
      <c r="AGC21" s="414"/>
      <c r="AGD21" s="414"/>
      <c r="AGE21" s="414"/>
      <c r="AGF21" s="414"/>
      <c r="AGG21" s="414"/>
      <c r="AGH21" s="414"/>
      <c r="AGI21" s="414"/>
      <c r="AGJ21" s="414"/>
      <c r="AGK21" s="414"/>
      <c r="AGL21" s="414"/>
      <c r="AGM21" s="414"/>
      <c r="AGN21" s="414"/>
      <c r="AGO21" s="414"/>
      <c r="AGP21" s="414"/>
      <c r="AGQ21" s="414"/>
      <c r="AGR21" s="414"/>
      <c r="AGS21" s="414"/>
      <c r="AGT21" s="414"/>
      <c r="AGU21" s="414"/>
      <c r="AGV21" s="414"/>
      <c r="AGW21" s="414"/>
      <c r="AGX21" s="414"/>
      <c r="AGY21" s="414"/>
      <c r="AGZ21" s="414"/>
      <c r="AHA21" s="414"/>
      <c r="AHB21" s="414"/>
      <c r="AHC21" s="414"/>
      <c r="AHD21" s="414"/>
      <c r="AHE21" s="414"/>
      <c r="AHF21" s="414"/>
      <c r="AHG21" s="414"/>
      <c r="AHH21" s="414"/>
      <c r="AHI21" s="414"/>
      <c r="AHJ21" s="414"/>
      <c r="AHK21" s="414"/>
      <c r="AHL21" s="414"/>
      <c r="AHM21" s="414"/>
      <c r="AHN21" s="414"/>
      <c r="AHO21" s="414"/>
      <c r="AHP21" s="414"/>
      <c r="AHQ21" s="414"/>
      <c r="AHR21" s="414"/>
      <c r="AHS21" s="414"/>
      <c r="AHT21" s="414"/>
      <c r="AHU21" s="414"/>
      <c r="AHV21" s="414"/>
      <c r="AHW21" s="414"/>
      <c r="AHX21" s="414"/>
      <c r="AHY21" s="414"/>
      <c r="AHZ21" s="414"/>
      <c r="AIA21" s="414"/>
      <c r="AIB21" s="414"/>
      <c r="AIC21" s="414"/>
      <c r="AID21" s="414"/>
      <c r="AIE21" s="414"/>
      <c r="AIF21" s="414"/>
      <c r="AIG21" s="414"/>
      <c r="AIH21" s="414"/>
      <c r="AII21" s="414"/>
      <c r="AIJ21" s="414"/>
      <c r="AIK21" s="414"/>
      <c r="AIL21" s="414"/>
      <c r="AIM21" s="414"/>
      <c r="AIN21" s="414"/>
      <c r="AIO21" s="414"/>
      <c r="AIP21" s="414"/>
      <c r="AIQ21" s="414"/>
      <c r="AIR21" s="414"/>
      <c r="AIS21" s="414"/>
      <c r="AIT21" s="414"/>
      <c r="AIU21" s="414"/>
      <c r="AIV21" s="414"/>
      <c r="AIW21" s="414"/>
      <c r="AIX21" s="414"/>
      <c r="AIY21" s="414"/>
      <c r="AIZ21" s="414"/>
      <c r="AJA21" s="414"/>
      <c r="AJB21" s="414"/>
      <c r="AJC21" s="414"/>
      <c r="AJD21" s="414"/>
      <c r="AJE21" s="414"/>
      <c r="AJF21" s="414"/>
      <c r="AJG21" s="414"/>
      <c r="AJH21" s="414"/>
      <c r="AJI21" s="414"/>
      <c r="AJJ21" s="414"/>
      <c r="AJK21" s="414"/>
      <c r="AJL21" s="414"/>
      <c r="AJM21" s="414"/>
      <c r="AJN21" s="414"/>
      <c r="AJO21" s="414"/>
      <c r="AJP21" s="414"/>
      <c r="AJQ21" s="414"/>
      <c r="AJR21" s="414"/>
      <c r="AJS21" s="414"/>
      <c r="AJT21" s="414"/>
      <c r="AJU21" s="414"/>
      <c r="AJV21" s="414"/>
      <c r="AJW21" s="414"/>
      <c r="AJX21" s="414"/>
      <c r="AJY21" s="414"/>
      <c r="AJZ21" s="414"/>
      <c r="AKA21" s="414"/>
      <c r="AKB21" s="414"/>
      <c r="AKC21" s="414"/>
      <c r="AKD21" s="414"/>
      <c r="AKE21" s="414"/>
      <c r="AKF21" s="414"/>
      <c r="AKG21" s="414"/>
      <c r="AKH21" s="414"/>
      <c r="AKI21" s="414"/>
      <c r="AKJ21" s="414"/>
      <c r="AKK21" s="414"/>
      <c r="AKL21" s="414"/>
      <c r="AKM21" s="414"/>
      <c r="AKN21" s="414"/>
      <c r="AKO21" s="414"/>
      <c r="AKP21" s="414"/>
      <c r="AKQ21" s="414"/>
      <c r="AKR21" s="414"/>
      <c r="AKS21" s="414"/>
      <c r="AKT21" s="414"/>
      <c r="AKU21" s="414"/>
      <c r="AKV21" s="414"/>
      <c r="AKW21" s="414"/>
      <c r="AKX21" s="414"/>
      <c r="AKY21" s="414"/>
      <c r="AKZ21" s="414"/>
      <c r="ALA21" s="414"/>
      <c r="ALB21" s="414"/>
      <c r="ALC21" s="414"/>
      <c r="ALD21" s="414"/>
      <c r="ALE21" s="414"/>
      <c r="ALF21" s="414"/>
      <c r="ALG21" s="414"/>
      <c r="ALH21" s="414"/>
      <c r="ALI21" s="414"/>
      <c r="ALJ21" s="414"/>
      <c r="ALK21" s="414"/>
      <c r="ALL21" s="414"/>
      <c r="ALM21" s="414"/>
      <c r="ALN21" s="414"/>
      <c r="ALO21" s="414"/>
      <c r="ALP21" s="414"/>
      <c r="ALQ21" s="414"/>
      <c r="ALR21" s="414"/>
      <c r="ALS21" s="414"/>
      <c r="ALT21" s="414"/>
      <c r="ALU21" s="414"/>
      <c r="ALV21" s="414"/>
      <c r="ALW21" s="414"/>
      <c r="ALX21" s="414"/>
      <c r="ALY21" s="414"/>
      <c r="ALZ21" s="414"/>
      <c r="AMA21" s="414"/>
      <c r="AMB21" s="414"/>
      <c r="AMC21" s="414"/>
      <c r="AMD21" s="414"/>
      <c r="AME21" s="414"/>
      <c r="AMF21" s="414"/>
      <c r="AMG21" s="414"/>
      <c r="AMH21" s="414"/>
      <c r="AMI21" s="414"/>
      <c r="AMJ21" s="414"/>
      <c r="AMK21" s="414"/>
      <c r="AML21" s="414"/>
      <c r="AMM21" s="414"/>
      <c r="AMN21" s="414"/>
      <c r="AMO21" s="414"/>
      <c r="AMP21" s="414"/>
      <c r="AMQ21" s="414"/>
      <c r="AMR21" s="414"/>
      <c r="AMS21" s="414"/>
      <c r="AMT21" s="414"/>
      <c r="AMU21" s="414"/>
      <c r="AMV21" s="414"/>
      <c r="AMW21" s="414"/>
      <c r="AMX21" s="414"/>
      <c r="AMY21" s="414"/>
      <c r="AMZ21" s="414"/>
      <c r="ANA21" s="414"/>
      <c r="ANB21" s="414"/>
      <c r="ANC21" s="414"/>
      <c r="AND21" s="414"/>
      <c r="ANE21" s="414"/>
      <c r="ANF21" s="414"/>
      <c r="ANG21" s="414"/>
      <c r="ANH21" s="414"/>
      <c r="ANI21" s="414"/>
      <c r="ANJ21" s="414"/>
      <c r="ANK21" s="414"/>
      <c r="ANL21" s="414"/>
      <c r="ANM21" s="414"/>
      <c r="ANN21" s="414"/>
      <c r="ANO21" s="414"/>
      <c r="ANP21" s="414"/>
      <c r="ANQ21" s="414"/>
      <c r="ANR21" s="414"/>
      <c r="ANS21" s="414"/>
      <c r="ANT21" s="414"/>
      <c r="ANU21" s="414"/>
      <c r="ANV21" s="414"/>
      <c r="ANW21" s="414"/>
      <c r="ANX21" s="414"/>
      <c r="ANY21" s="414"/>
      <c r="ANZ21" s="414"/>
      <c r="AOA21" s="414"/>
      <c r="AOB21" s="414"/>
      <c r="AOC21" s="414"/>
      <c r="AOD21" s="414"/>
      <c r="AOE21" s="414"/>
      <c r="AOF21" s="414"/>
      <c r="AOG21" s="414"/>
      <c r="AOH21" s="414"/>
      <c r="AOI21" s="414"/>
      <c r="AOJ21" s="414"/>
      <c r="AOK21" s="414"/>
      <c r="AOL21" s="414"/>
      <c r="AOM21" s="414"/>
      <c r="AON21" s="414"/>
      <c r="AOO21" s="414"/>
      <c r="AOP21" s="414"/>
      <c r="AOQ21" s="414"/>
      <c r="AOR21" s="414"/>
      <c r="AOS21" s="414"/>
      <c r="AOT21" s="414"/>
      <c r="AOU21" s="414"/>
      <c r="AOV21" s="414"/>
      <c r="AOW21" s="414"/>
      <c r="AOX21" s="414"/>
      <c r="AOY21" s="414"/>
      <c r="AOZ21" s="414"/>
      <c r="APA21" s="414"/>
      <c r="APB21" s="414"/>
      <c r="APC21" s="414"/>
      <c r="APD21" s="414"/>
      <c r="APE21" s="414"/>
      <c r="APF21" s="414"/>
      <c r="APG21" s="414"/>
      <c r="APH21" s="414"/>
      <c r="API21" s="414"/>
      <c r="APJ21" s="414"/>
      <c r="APK21" s="414"/>
      <c r="APL21" s="414"/>
      <c r="APM21" s="414"/>
      <c r="APN21" s="414"/>
      <c r="APO21" s="414"/>
      <c r="APP21" s="414"/>
      <c r="APQ21" s="414"/>
      <c r="APR21" s="414"/>
      <c r="APS21" s="414"/>
      <c r="APT21" s="414"/>
      <c r="APU21" s="414"/>
      <c r="APV21" s="414"/>
      <c r="APW21" s="414"/>
      <c r="APX21" s="414"/>
      <c r="APY21" s="414"/>
      <c r="APZ21" s="414"/>
      <c r="AQA21" s="414"/>
      <c r="AQB21" s="414"/>
      <c r="AQC21" s="414"/>
      <c r="AQD21" s="414"/>
      <c r="AQE21" s="414"/>
      <c r="AQF21" s="414"/>
      <c r="AQG21" s="414"/>
      <c r="AQH21" s="414"/>
      <c r="AQI21" s="414"/>
      <c r="AQJ21" s="414"/>
      <c r="AQK21" s="414"/>
      <c r="AQL21" s="414"/>
      <c r="AQM21" s="414"/>
      <c r="AQN21" s="414"/>
      <c r="AQO21" s="414"/>
      <c r="AQP21" s="414"/>
      <c r="AQQ21" s="414"/>
      <c r="AQR21" s="414"/>
      <c r="AQS21" s="414"/>
      <c r="AQT21" s="414"/>
      <c r="AQU21" s="414"/>
      <c r="AQV21" s="414"/>
      <c r="AQW21" s="414"/>
      <c r="AQX21" s="414"/>
      <c r="AQY21" s="414"/>
      <c r="AQZ21" s="414"/>
      <c r="ARA21" s="414"/>
      <c r="ARB21" s="414"/>
      <c r="ARC21" s="414"/>
      <c r="ARD21" s="414"/>
      <c r="ARE21" s="414"/>
      <c r="ARF21" s="414"/>
      <c r="ARG21" s="414"/>
      <c r="ARH21" s="414"/>
      <c r="ARI21" s="414"/>
      <c r="ARJ21" s="414"/>
      <c r="ARK21" s="414"/>
      <c r="ARL21" s="414"/>
      <c r="ARM21" s="414"/>
      <c r="ARN21" s="414"/>
      <c r="ARO21" s="414"/>
      <c r="ARP21" s="414"/>
      <c r="ARQ21" s="414"/>
      <c r="ARR21" s="414"/>
      <c r="ARS21" s="414"/>
      <c r="ART21" s="414"/>
      <c r="ARU21" s="414"/>
      <c r="ARV21" s="414"/>
      <c r="ARW21" s="414"/>
      <c r="ARX21" s="414"/>
      <c r="ARY21" s="414"/>
      <c r="ARZ21" s="414"/>
      <c r="ASA21" s="414"/>
      <c r="ASB21" s="414"/>
      <c r="ASC21" s="414"/>
      <c r="ASD21" s="414"/>
      <c r="ASE21" s="414"/>
      <c r="ASF21" s="414"/>
      <c r="ASG21" s="414"/>
      <c r="ASH21" s="414"/>
      <c r="ASI21" s="414"/>
      <c r="ASJ21" s="414"/>
      <c r="ASK21" s="414"/>
      <c r="ASL21" s="414"/>
      <c r="ASM21" s="414"/>
      <c r="ASN21" s="414"/>
      <c r="ASO21" s="414"/>
      <c r="ASP21" s="414"/>
      <c r="ASQ21" s="414"/>
      <c r="ASR21" s="414"/>
      <c r="ASS21" s="414"/>
      <c r="AST21" s="414"/>
      <c r="ASU21" s="414"/>
      <c r="ASV21" s="414"/>
      <c r="ASW21" s="414"/>
      <c r="ASX21" s="414"/>
      <c r="ASY21" s="414"/>
      <c r="ASZ21" s="414"/>
      <c r="ATA21" s="414"/>
      <c r="ATB21" s="414"/>
      <c r="ATC21" s="414"/>
      <c r="ATD21" s="414"/>
      <c r="ATE21" s="414"/>
      <c r="ATF21" s="414"/>
      <c r="ATG21" s="414"/>
      <c r="ATH21" s="414"/>
      <c r="ATI21" s="414"/>
      <c r="ATJ21" s="414"/>
      <c r="ATK21" s="414"/>
      <c r="ATL21" s="414"/>
      <c r="ATM21" s="414"/>
      <c r="ATN21" s="414"/>
      <c r="ATO21" s="414"/>
      <c r="ATP21" s="414"/>
      <c r="ATQ21" s="414"/>
      <c r="ATR21" s="414"/>
      <c r="ATS21" s="414"/>
      <c r="ATT21" s="414"/>
      <c r="ATU21" s="414"/>
      <c r="ATV21" s="414"/>
      <c r="ATW21" s="414"/>
      <c r="ATX21" s="414"/>
      <c r="ATY21" s="414"/>
      <c r="ATZ21" s="414"/>
      <c r="AUA21" s="414"/>
      <c r="AUB21" s="414"/>
      <c r="AUC21" s="414"/>
      <c r="AUD21" s="414"/>
      <c r="AUE21" s="414"/>
      <c r="AUF21" s="414"/>
      <c r="AUG21" s="414"/>
      <c r="AUH21" s="414"/>
      <c r="AUI21" s="414"/>
      <c r="AUJ21" s="414"/>
      <c r="AUK21" s="414"/>
      <c r="AUL21" s="414"/>
      <c r="AUM21" s="414"/>
      <c r="AUN21" s="414"/>
      <c r="AUO21" s="414"/>
      <c r="AUP21" s="414"/>
      <c r="AUQ21" s="414"/>
      <c r="AUR21" s="414"/>
      <c r="AUS21" s="414"/>
      <c r="AUT21" s="414"/>
      <c r="AUU21" s="414"/>
      <c r="AUV21" s="414"/>
      <c r="AUW21" s="414"/>
      <c r="AUX21" s="414"/>
      <c r="AUY21" s="414"/>
      <c r="AUZ21" s="414"/>
      <c r="AVA21" s="414"/>
      <c r="AVB21" s="414"/>
      <c r="AVC21" s="414"/>
      <c r="AVD21" s="414"/>
      <c r="AVE21" s="414"/>
      <c r="AVF21" s="414"/>
      <c r="AVG21" s="414"/>
      <c r="AVH21" s="414"/>
      <c r="AVI21" s="414"/>
      <c r="AVJ21" s="414"/>
      <c r="AVK21" s="414"/>
      <c r="AVL21" s="414"/>
      <c r="AVM21" s="414"/>
      <c r="AVN21" s="414"/>
      <c r="AVO21" s="414"/>
      <c r="AVP21" s="414"/>
      <c r="AVQ21" s="414"/>
      <c r="AVR21" s="414"/>
      <c r="AVS21" s="414"/>
      <c r="AVT21" s="414"/>
      <c r="AVU21" s="414"/>
      <c r="AVV21" s="414"/>
      <c r="AVW21" s="414"/>
      <c r="AVX21" s="414"/>
      <c r="AVY21" s="414"/>
      <c r="AVZ21" s="414"/>
      <c r="AWA21" s="414"/>
      <c r="AWB21" s="414"/>
      <c r="AWC21" s="414"/>
      <c r="AWD21" s="414"/>
      <c r="AWE21" s="414"/>
      <c r="AWF21" s="414"/>
      <c r="AWG21" s="414"/>
      <c r="AWH21" s="414"/>
      <c r="AWI21" s="414"/>
      <c r="AWJ21" s="414"/>
      <c r="AWK21" s="414"/>
      <c r="AWL21" s="414"/>
      <c r="AWM21" s="414"/>
      <c r="AWN21" s="414"/>
      <c r="AWO21" s="414"/>
      <c r="AWP21" s="414"/>
      <c r="AWQ21" s="414"/>
      <c r="AWR21" s="414"/>
      <c r="AWS21" s="414"/>
      <c r="AWT21" s="414"/>
      <c r="AWU21" s="414"/>
      <c r="AWV21" s="414"/>
      <c r="AWW21" s="414"/>
      <c r="AWX21" s="414"/>
      <c r="AWY21" s="414"/>
      <c r="AWZ21" s="414"/>
      <c r="AXA21" s="414"/>
      <c r="AXB21" s="414"/>
      <c r="AXC21" s="414"/>
      <c r="AXD21" s="414"/>
      <c r="AXE21" s="414"/>
      <c r="AXF21" s="414"/>
      <c r="AXG21" s="414"/>
      <c r="AXH21" s="414"/>
      <c r="AXI21" s="414"/>
      <c r="AXJ21" s="414"/>
      <c r="AXK21" s="414"/>
      <c r="AXL21" s="414"/>
      <c r="AXM21" s="414"/>
      <c r="AXN21" s="414"/>
      <c r="AXO21" s="414"/>
      <c r="AXP21" s="414"/>
      <c r="AXQ21" s="414"/>
      <c r="AXR21" s="414"/>
      <c r="AXS21" s="414"/>
      <c r="AXT21" s="414"/>
      <c r="AXU21" s="414"/>
      <c r="AXV21" s="414"/>
      <c r="AXW21" s="414"/>
      <c r="AXX21" s="414"/>
      <c r="AXY21" s="414"/>
      <c r="AXZ21" s="414"/>
      <c r="AYA21" s="414"/>
      <c r="AYB21" s="414"/>
      <c r="AYC21" s="414"/>
      <c r="AYD21" s="414"/>
      <c r="AYE21" s="414"/>
      <c r="AYF21" s="414"/>
      <c r="AYG21" s="414"/>
      <c r="AYH21" s="414"/>
      <c r="AYI21" s="414"/>
      <c r="AYJ21" s="414"/>
      <c r="AYK21" s="414"/>
      <c r="AYL21" s="414"/>
      <c r="AYM21" s="414"/>
      <c r="AYN21" s="414"/>
      <c r="AYO21" s="414"/>
      <c r="AYP21" s="414"/>
      <c r="AYQ21" s="414"/>
      <c r="AYR21" s="414"/>
      <c r="AYS21" s="414"/>
      <c r="AYT21" s="414"/>
      <c r="AYU21" s="414"/>
      <c r="AYV21" s="414"/>
      <c r="AYW21" s="414"/>
      <c r="AYX21" s="414"/>
      <c r="AYY21" s="414"/>
      <c r="AYZ21" s="414"/>
      <c r="AZA21" s="414"/>
      <c r="AZB21" s="414"/>
      <c r="AZC21" s="414"/>
      <c r="AZD21" s="414"/>
      <c r="AZE21" s="414"/>
      <c r="AZF21" s="414"/>
      <c r="AZG21" s="414"/>
      <c r="AZH21" s="414"/>
      <c r="AZI21" s="414"/>
      <c r="AZJ21" s="414"/>
      <c r="AZK21" s="414"/>
      <c r="AZL21" s="414"/>
      <c r="AZM21" s="414"/>
      <c r="AZN21" s="414"/>
      <c r="AZO21" s="414"/>
      <c r="AZP21" s="414"/>
      <c r="AZQ21" s="414"/>
      <c r="AZR21" s="414"/>
      <c r="AZS21" s="414"/>
      <c r="AZT21" s="414"/>
      <c r="AZU21" s="414"/>
      <c r="AZV21" s="414"/>
      <c r="AZW21" s="414"/>
      <c r="AZX21" s="414"/>
      <c r="AZY21" s="414"/>
      <c r="AZZ21" s="414"/>
      <c r="BAA21" s="414"/>
      <c r="BAB21" s="414"/>
      <c r="BAC21" s="414"/>
      <c r="BAD21" s="414"/>
      <c r="BAE21" s="414"/>
      <c r="BAF21" s="414"/>
      <c r="BAG21" s="414"/>
      <c r="BAH21" s="414"/>
      <c r="BAI21" s="414"/>
      <c r="BAJ21" s="414"/>
      <c r="BAK21" s="414"/>
      <c r="BAL21" s="414"/>
      <c r="BAM21" s="414"/>
      <c r="BAN21" s="414"/>
      <c r="BAO21" s="414"/>
      <c r="BAP21" s="414"/>
      <c r="BAQ21" s="414"/>
      <c r="BAR21" s="414"/>
      <c r="BAS21" s="414"/>
      <c r="BAT21" s="414"/>
      <c r="BAU21" s="414"/>
      <c r="BAV21" s="414"/>
      <c r="BAW21" s="414"/>
      <c r="BAX21" s="414"/>
      <c r="BAY21" s="414"/>
      <c r="BAZ21" s="414"/>
      <c r="BBA21" s="414"/>
      <c r="BBB21" s="414"/>
      <c r="BBC21" s="414"/>
      <c r="BBD21" s="414"/>
      <c r="BBE21" s="414"/>
      <c r="BBF21" s="414"/>
      <c r="BBG21" s="414"/>
      <c r="BBH21" s="414"/>
      <c r="BBI21" s="414"/>
      <c r="BBJ21" s="414"/>
      <c r="BBK21" s="414"/>
      <c r="BBL21" s="414"/>
      <c r="BBM21" s="414"/>
      <c r="BBN21" s="414"/>
      <c r="BBO21" s="414"/>
      <c r="BBP21" s="414"/>
      <c r="BBQ21" s="414"/>
      <c r="BBR21" s="414"/>
      <c r="BBS21" s="414"/>
      <c r="BBT21" s="414"/>
      <c r="BBU21" s="414"/>
      <c r="BBV21" s="414"/>
      <c r="BBW21" s="414"/>
      <c r="BBX21" s="414"/>
      <c r="BBY21" s="414"/>
      <c r="BBZ21" s="414"/>
      <c r="BCA21" s="414"/>
      <c r="BCB21" s="414"/>
      <c r="BCC21" s="414"/>
      <c r="BCD21" s="414"/>
      <c r="BCE21" s="414"/>
      <c r="BCF21" s="414"/>
      <c r="BCG21" s="414"/>
      <c r="BCH21" s="414"/>
      <c r="BCI21" s="414"/>
      <c r="BCJ21" s="414"/>
      <c r="BCK21" s="414"/>
      <c r="BCL21" s="414"/>
      <c r="BCM21" s="414"/>
      <c r="BCN21" s="414"/>
      <c r="BCO21" s="414"/>
      <c r="BCP21" s="414"/>
      <c r="BCQ21" s="414"/>
      <c r="BCR21" s="414"/>
      <c r="BCS21" s="414"/>
      <c r="BCT21" s="414"/>
      <c r="BCU21" s="414"/>
      <c r="BCV21" s="414"/>
      <c r="BCW21" s="414"/>
      <c r="BCX21" s="414"/>
      <c r="BCY21" s="414"/>
      <c r="BCZ21" s="414"/>
      <c r="BDA21" s="414"/>
      <c r="BDB21" s="414"/>
      <c r="BDC21" s="414"/>
      <c r="BDD21" s="414"/>
      <c r="BDE21" s="414"/>
      <c r="BDF21" s="414"/>
      <c r="BDG21" s="414"/>
      <c r="BDH21" s="414"/>
      <c r="BDI21" s="414"/>
      <c r="BDJ21" s="414"/>
      <c r="BDK21" s="414"/>
      <c r="BDL21" s="414"/>
      <c r="BDM21" s="414"/>
      <c r="BDN21" s="414"/>
      <c r="BDO21" s="414"/>
      <c r="BDP21" s="414"/>
      <c r="BDQ21" s="414"/>
      <c r="BDR21" s="414"/>
      <c r="BDS21" s="414"/>
      <c r="BDT21" s="414"/>
      <c r="BDU21" s="414"/>
      <c r="BDV21" s="414"/>
      <c r="BDW21" s="414"/>
      <c r="BDX21" s="414"/>
      <c r="BDY21" s="414"/>
      <c r="BDZ21" s="414"/>
      <c r="BEA21" s="414"/>
      <c r="BEB21" s="414"/>
      <c r="BEC21" s="414"/>
      <c r="BED21" s="414"/>
      <c r="BEE21" s="414"/>
      <c r="BEF21" s="414"/>
      <c r="BEG21" s="414"/>
      <c r="BEH21" s="414"/>
      <c r="BEI21" s="414"/>
      <c r="BEJ21" s="414"/>
      <c r="BEK21" s="414"/>
      <c r="BEL21" s="414"/>
      <c r="BEM21" s="414"/>
      <c r="BEN21" s="414"/>
      <c r="BEO21" s="414"/>
      <c r="BEP21" s="414"/>
      <c r="BEQ21" s="414"/>
      <c r="BER21" s="414"/>
      <c r="BES21" s="414"/>
      <c r="BET21" s="414"/>
      <c r="BEU21" s="414"/>
      <c r="BEV21" s="414"/>
      <c r="BEW21" s="414"/>
      <c r="BEX21" s="414"/>
      <c r="BEY21" s="414"/>
      <c r="BEZ21" s="414"/>
      <c r="BFA21" s="414"/>
      <c r="BFB21" s="414"/>
      <c r="BFC21" s="414"/>
      <c r="BFD21" s="414"/>
      <c r="BFE21" s="414"/>
      <c r="BFF21" s="414"/>
      <c r="BFG21" s="414"/>
      <c r="BFH21" s="414"/>
      <c r="BFI21" s="414"/>
      <c r="BFJ21" s="414"/>
      <c r="BFK21" s="414"/>
      <c r="BFL21" s="414"/>
      <c r="BFM21" s="414"/>
      <c r="BFN21" s="414"/>
      <c r="BFO21" s="414"/>
      <c r="BFP21" s="414"/>
      <c r="BFQ21" s="414"/>
      <c r="BFR21" s="414"/>
      <c r="BFS21" s="414"/>
      <c r="BFT21" s="414"/>
      <c r="BFU21" s="414"/>
      <c r="BFV21" s="414"/>
      <c r="BFW21" s="414"/>
      <c r="BFX21" s="414"/>
      <c r="BFY21" s="414"/>
      <c r="BFZ21" s="414"/>
      <c r="BGA21" s="414"/>
      <c r="BGB21" s="414"/>
      <c r="BGC21" s="414"/>
      <c r="BGD21" s="414"/>
      <c r="BGE21" s="414"/>
      <c r="BGF21" s="414"/>
      <c r="BGG21" s="414"/>
      <c r="BGH21" s="414"/>
      <c r="BGI21" s="414"/>
      <c r="BGJ21" s="414"/>
      <c r="BGK21" s="414"/>
      <c r="BGL21" s="414"/>
      <c r="BGM21" s="414"/>
      <c r="BGN21" s="414"/>
      <c r="BGO21" s="414"/>
      <c r="BGP21" s="414"/>
      <c r="BGQ21" s="414"/>
      <c r="BGR21" s="414"/>
      <c r="BGS21" s="414"/>
      <c r="BGT21" s="414"/>
      <c r="BGU21" s="414"/>
      <c r="BGV21" s="414"/>
      <c r="BGW21" s="414"/>
      <c r="BGX21" s="414"/>
      <c r="BGY21" s="414"/>
      <c r="BGZ21" s="414"/>
      <c r="BHA21" s="414"/>
      <c r="BHB21" s="414"/>
      <c r="BHC21" s="414"/>
      <c r="BHD21" s="414"/>
      <c r="BHE21" s="414"/>
      <c r="BHF21" s="414"/>
      <c r="BHG21" s="414"/>
      <c r="BHH21" s="414"/>
      <c r="BHI21" s="414"/>
      <c r="BHJ21" s="414"/>
      <c r="BHK21" s="414"/>
      <c r="BHL21" s="414"/>
      <c r="BHM21" s="414"/>
      <c r="BHN21" s="414"/>
      <c r="BHO21" s="414"/>
      <c r="BHP21" s="414"/>
      <c r="BHQ21" s="414"/>
      <c r="BHR21" s="414"/>
      <c r="BHS21" s="414"/>
      <c r="BHT21" s="414"/>
      <c r="BHU21" s="414"/>
      <c r="BHV21" s="414"/>
      <c r="BHW21" s="414"/>
      <c r="BHX21" s="414"/>
      <c r="BHY21" s="414"/>
      <c r="BHZ21" s="414"/>
      <c r="BIA21" s="414"/>
      <c r="BIB21" s="414"/>
      <c r="BIC21" s="414"/>
      <c r="BID21" s="414"/>
      <c r="BIE21" s="414"/>
      <c r="BIF21" s="414"/>
      <c r="BIG21" s="414"/>
      <c r="BIH21" s="414"/>
      <c r="BII21" s="414"/>
      <c r="BIJ21" s="414"/>
      <c r="BIK21" s="414"/>
      <c r="BIL21" s="414"/>
      <c r="BIM21" s="414"/>
      <c r="BIN21" s="414"/>
      <c r="BIO21" s="414"/>
      <c r="BIP21" s="414"/>
      <c r="BIQ21" s="414"/>
      <c r="BIR21" s="414"/>
      <c r="BIS21" s="414"/>
      <c r="BIT21" s="414"/>
      <c r="BIU21" s="414"/>
      <c r="BIV21" s="414"/>
      <c r="BIW21" s="414"/>
      <c r="BIX21" s="414"/>
      <c r="BIY21" s="414"/>
      <c r="BIZ21" s="414"/>
      <c r="BJA21" s="414"/>
      <c r="BJB21" s="414"/>
      <c r="BJC21" s="414"/>
      <c r="BJD21" s="414"/>
      <c r="BJE21" s="414"/>
      <c r="BJF21" s="414"/>
      <c r="BJG21" s="414"/>
      <c r="BJH21" s="414"/>
      <c r="BJI21" s="414"/>
      <c r="BJJ21" s="414"/>
      <c r="BJK21" s="414"/>
      <c r="BJL21" s="414"/>
      <c r="BJM21" s="414"/>
      <c r="BJN21" s="414"/>
      <c r="BJO21" s="414"/>
      <c r="BJP21" s="414"/>
      <c r="BJQ21" s="414"/>
      <c r="BJR21" s="414"/>
      <c r="BJS21" s="414"/>
      <c r="BJT21" s="414"/>
      <c r="BJU21" s="414"/>
      <c r="BJV21" s="414"/>
      <c r="BJW21" s="414"/>
      <c r="BJX21" s="414"/>
      <c r="BJY21" s="414"/>
      <c r="BJZ21" s="414"/>
      <c r="BKA21" s="414"/>
      <c r="BKB21" s="414"/>
      <c r="BKC21" s="414"/>
      <c r="BKD21" s="414"/>
      <c r="BKE21" s="414"/>
      <c r="BKF21" s="414"/>
      <c r="BKG21" s="414"/>
      <c r="BKH21" s="414"/>
      <c r="BKI21" s="414"/>
      <c r="BKJ21" s="414"/>
      <c r="BKK21" s="414"/>
      <c r="BKL21" s="414"/>
      <c r="BKM21" s="414"/>
      <c r="BKN21" s="414"/>
      <c r="BKO21" s="414"/>
      <c r="BKP21" s="414"/>
      <c r="BKQ21" s="414"/>
      <c r="BKR21" s="414"/>
      <c r="BKS21" s="414"/>
      <c r="BKT21" s="414"/>
      <c r="BKU21" s="414"/>
      <c r="BKV21" s="414"/>
      <c r="BKW21" s="414"/>
      <c r="BKX21" s="414"/>
      <c r="BKY21" s="414"/>
      <c r="BKZ21" s="414"/>
      <c r="BLA21" s="414"/>
      <c r="BLB21" s="414"/>
      <c r="BLC21" s="414"/>
      <c r="BLD21" s="414"/>
      <c r="BLE21" s="414"/>
      <c r="BLF21" s="414"/>
      <c r="BLG21" s="414"/>
      <c r="BLH21" s="414"/>
      <c r="BLI21" s="414"/>
      <c r="BLJ21" s="414"/>
      <c r="BLK21" s="414"/>
      <c r="BLL21" s="414"/>
      <c r="BLM21" s="414"/>
      <c r="BLN21" s="414"/>
      <c r="BLO21" s="414"/>
      <c r="BLP21" s="414"/>
      <c r="BLQ21" s="414"/>
      <c r="BLR21" s="414"/>
      <c r="BLS21" s="414"/>
      <c r="BLT21" s="414"/>
      <c r="BLU21" s="414"/>
      <c r="BLV21" s="414"/>
      <c r="BLW21" s="414"/>
      <c r="BLX21" s="414"/>
      <c r="BLY21" s="414"/>
      <c r="BLZ21" s="414"/>
      <c r="BMA21" s="414"/>
      <c r="BMB21" s="414"/>
      <c r="BMC21" s="414"/>
      <c r="BMD21" s="414"/>
      <c r="BME21" s="414"/>
      <c r="BMF21" s="414"/>
      <c r="BMG21" s="414"/>
      <c r="BMH21" s="414"/>
      <c r="BMI21" s="414"/>
      <c r="BMJ21" s="414"/>
      <c r="BMK21" s="414"/>
      <c r="BML21" s="414"/>
      <c r="BMM21" s="414"/>
      <c r="BMN21" s="414"/>
      <c r="BMO21" s="414"/>
      <c r="BMP21" s="414"/>
      <c r="BMQ21" s="414"/>
      <c r="BMR21" s="414"/>
      <c r="BMS21" s="414"/>
      <c r="BMT21" s="414"/>
      <c r="BMU21" s="414"/>
      <c r="BMV21" s="414"/>
      <c r="BMW21" s="414"/>
      <c r="BMX21" s="414"/>
      <c r="BMY21" s="414"/>
      <c r="BMZ21" s="414"/>
      <c r="BNA21" s="414"/>
      <c r="BNB21" s="414"/>
      <c r="BNC21" s="414"/>
      <c r="BND21" s="414"/>
      <c r="BNE21" s="414"/>
      <c r="BNF21" s="414"/>
      <c r="BNG21" s="414"/>
      <c r="BNH21" s="414"/>
      <c r="BNI21" s="414"/>
      <c r="BNJ21" s="414"/>
      <c r="BNK21" s="414"/>
      <c r="BNL21" s="414"/>
      <c r="BNM21" s="414"/>
      <c r="BNN21" s="414"/>
      <c r="BNO21" s="414"/>
      <c r="BNP21" s="414"/>
      <c r="BNQ21" s="414"/>
      <c r="BNR21" s="414"/>
      <c r="BNS21" s="414"/>
      <c r="BNT21" s="414"/>
      <c r="BNU21" s="414"/>
      <c r="BNV21" s="414"/>
      <c r="BNW21" s="414"/>
      <c r="BNX21" s="414"/>
      <c r="BNY21" s="414"/>
      <c r="BNZ21" s="414"/>
      <c r="BOA21" s="414"/>
      <c r="BOB21" s="414"/>
      <c r="BOC21" s="414"/>
      <c r="BOD21" s="414"/>
      <c r="BOE21" s="414"/>
      <c r="BOF21" s="414"/>
      <c r="BOG21" s="414"/>
      <c r="BOH21" s="414"/>
      <c r="BOI21" s="414"/>
      <c r="BOJ21" s="414"/>
      <c r="BOK21" s="414"/>
      <c r="BOL21" s="414"/>
      <c r="BOM21" s="414"/>
      <c r="BON21" s="414"/>
      <c r="BOO21" s="414"/>
      <c r="BOP21" s="414"/>
      <c r="BOQ21" s="414"/>
      <c r="BOR21" s="414"/>
      <c r="BOS21" s="414"/>
      <c r="BOT21" s="414"/>
      <c r="BOU21" s="414"/>
      <c r="BOV21" s="414"/>
      <c r="BOW21" s="414"/>
      <c r="BOX21" s="414"/>
      <c r="BOY21" s="414"/>
      <c r="BOZ21" s="414"/>
      <c r="BPA21" s="414"/>
      <c r="BPB21" s="414"/>
      <c r="BPC21" s="414"/>
      <c r="BPD21" s="414"/>
      <c r="BPE21" s="414"/>
      <c r="BPF21" s="414"/>
      <c r="BPG21" s="414"/>
      <c r="BPH21" s="414"/>
      <c r="BPI21" s="414"/>
      <c r="BPJ21" s="414"/>
      <c r="BPK21" s="414"/>
      <c r="BPL21" s="414"/>
      <c r="BPM21" s="414"/>
      <c r="BPN21" s="414"/>
      <c r="BPO21" s="414"/>
      <c r="BPP21" s="414"/>
      <c r="BPQ21" s="414"/>
      <c r="BPR21" s="414"/>
      <c r="BPS21" s="414"/>
      <c r="BPT21" s="414"/>
      <c r="BPU21" s="414"/>
      <c r="BPV21" s="414"/>
      <c r="BPW21" s="414"/>
      <c r="BPX21" s="414"/>
      <c r="BPY21" s="414"/>
      <c r="BPZ21" s="414"/>
      <c r="BQA21" s="414"/>
      <c r="BQB21" s="414"/>
      <c r="BQC21" s="414"/>
      <c r="BQD21" s="414"/>
      <c r="BQE21" s="414"/>
      <c r="BQF21" s="414"/>
      <c r="BQG21" s="414"/>
      <c r="BQH21" s="414"/>
      <c r="BQI21" s="414"/>
      <c r="BQJ21" s="414"/>
      <c r="BQK21" s="414"/>
      <c r="BQL21" s="414"/>
      <c r="BQM21" s="414"/>
      <c r="BQN21" s="414"/>
      <c r="BQO21" s="414"/>
      <c r="BQP21" s="414"/>
      <c r="BQQ21" s="414"/>
      <c r="BQR21" s="414"/>
      <c r="BQS21" s="414"/>
      <c r="BQT21" s="414"/>
      <c r="BQU21" s="414"/>
      <c r="BQV21" s="414"/>
      <c r="BQW21" s="414"/>
      <c r="BQX21" s="414"/>
      <c r="BQY21" s="414"/>
      <c r="BQZ21" s="414"/>
      <c r="BRA21" s="414"/>
      <c r="BRB21" s="414"/>
      <c r="BRC21" s="414"/>
      <c r="BRD21" s="414"/>
      <c r="BRE21" s="414"/>
      <c r="BRF21" s="414"/>
      <c r="BRG21" s="414"/>
      <c r="BRH21" s="414"/>
      <c r="BRI21" s="414"/>
      <c r="BRJ21" s="414"/>
      <c r="BRK21" s="414"/>
      <c r="BRL21" s="414"/>
      <c r="BRM21" s="414"/>
      <c r="BRN21" s="414"/>
      <c r="BRO21" s="414"/>
      <c r="BRP21" s="414"/>
      <c r="BRQ21" s="414"/>
      <c r="BRR21" s="414"/>
      <c r="BRS21" s="414"/>
      <c r="BRT21" s="414"/>
      <c r="BRU21" s="414"/>
      <c r="BRV21" s="414"/>
      <c r="BRW21" s="414"/>
      <c r="BRX21" s="414"/>
      <c r="BRY21" s="414"/>
      <c r="BRZ21" s="414"/>
      <c r="BSA21" s="414"/>
      <c r="BSB21" s="414"/>
      <c r="BSC21" s="414"/>
      <c r="BSD21" s="414"/>
      <c r="BSE21" s="414"/>
      <c r="BSF21" s="414"/>
      <c r="BSG21" s="414"/>
      <c r="BSH21" s="414"/>
      <c r="BSI21" s="414"/>
      <c r="BSJ21" s="414"/>
      <c r="BSK21" s="414"/>
      <c r="BSL21" s="414"/>
      <c r="BSM21" s="414"/>
      <c r="BSN21" s="414"/>
      <c r="BSO21" s="414"/>
      <c r="BSP21" s="414"/>
      <c r="BSQ21" s="414"/>
      <c r="BSR21" s="414"/>
      <c r="BSS21" s="414"/>
      <c r="BST21" s="414"/>
      <c r="BSU21" s="414"/>
      <c r="BSV21" s="414"/>
      <c r="BSW21" s="414"/>
      <c r="BSX21" s="414"/>
      <c r="BSY21" s="414"/>
      <c r="BSZ21" s="414"/>
      <c r="BTA21" s="414"/>
      <c r="BTB21" s="414"/>
      <c r="BTC21" s="414"/>
      <c r="BTD21" s="414"/>
      <c r="BTE21" s="414"/>
      <c r="BTF21" s="414"/>
      <c r="BTG21" s="414"/>
      <c r="BTH21" s="414"/>
      <c r="BTI21" s="414"/>
      <c r="BTJ21" s="414"/>
      <c r="BTK21" s="414"/>
      <c r="BTL21" s="414"/>
      <c r="BTM21" s="414"/>
      <c r="BTN21" s="414"/>
      <c r="BTO21" s="414"/>
      <c r="BTP21" s="414"/>
      <c r="BTQ21" s="414"/>
      <c r="BTR21" s="414"/>
      <c r="BTS21" s="414"/>
      <c r="BTT21" s="414"/>
      <c r="BTU21" s="414"/>
      <c r="BTV21" s="414"/>
      <c r="BTW21" s="414"/>
      <c r="BTX21" s="414"/>
      <c r="BTY21" s="414"/>
      <c r="BTZ21" s="414"/>
      <c r="BUA21" s="414"/>
      <c r="BUB21" s="414"/>
      <c r="BUC21" s="414"/>
      <c r="BUD21" s="414"/>
      <c r="BUE21" s="414"/>
      <c r="BUF21" s="414"/>
      <c r="BUG21" s="414"/>
      <c r="BUH21" s="414"/>
      <c r="BUI21" s="414"/>
      <c r="BUJ21" s="414"/>
      <c r="BUK21" s="414"/>
      <c r="BUL21" s="414"/>
      <c r="BUM21" s="414"/>
      <c r="BUN21" s="414"/>
      <c r="BUO21" s="414"/>
      <c r="BUP21" s="414"/>
      <c r="BUQ21" s="414"/>
      <c r="BUR21" s="414"/>
      <c r="BUS21" s="414"/>
      <c r="BUT21" s="414"/>
      <c r="BUU21" s="414"/>
      <c r="BUV21" s="414"/>
      <c r="BUW21" s="414"/>
      <c r="BUX21" s="414"/>
      <c r="BUY21" s="414"/>
      <c r="BUZ21" s="414"/>
      <c r="BVA21" s="414"/>
      <c r="BVB21" s="414"/>
      <c r="BVC21" s="414"/>
      <c r="BVD21" s="414"/>
      <c r="BVE21" s="414"/>
      <c r="BVF21" s="414"/>
      <c r="BVG21" s="414"/>
      <c r="BVH21" s="414"/>
      <c r="BVI21" s="414"/>
      <c r="BVJ21" s="414"/>
      <c r="BVK21" s="414"/>
      <c r="BVL21" s="414"/>
      <c r="BVM21" s="414"/>
      <c r="BVN21" s="414"/>
      <c r="BVO21" s="414"/>
      <c r="BVP21" s="414"/>
      <c r="BVQ21" s="414"/>
      <c r="BVR21" s="414"/>
      <c r="BVS21" s="414"/>
      <c r="BVT21" s="414"/>
      <c r="BVU21" s="414"/>
      <c r="BVV21" s="414"/>
      <c r="BVW21" s="414"/>
      <c r="BVX21" s="414"/>
      <c r="BVY21" s="414"/>
      <c r="BVZ21" s="414"/>
      <c r="BWA21" s="414"/>
      <c r="BWB21" s="414"/>
      <c r="BWC21" s="414"/>
      <c r="BWD21" s="414"/>
      <c r="BWE21" s="414"/>
      <c r="BWF21" s="414"/>
      <c r="BWG21" s="414"/>
      <c r="BWH21" s="414"/>
      <c r="BWI21" s="414"/>
      <c r="BWJ21" s="414"/>
      <c r="BWK21" s="414"/>
      <c r="BWL21" s="414"/>
      <c r="BWM21" s="414"/>
      <c r="BWN21" s="414"/>
      <c r="BWO21" s="414"/>
      <c r="BWP21" s="414"/>
      <c r="BWQ21" s="414"/>
      <c r="BWR21" s="414"/>
      <c r="BWS21" s="414"/>
      <c r="BWT21" s="414"/>
      <c r="BWU21" s="414"/>
      <c r="BWV21" s="414"/>
      <c r="BWW21" s="414"/>
      <c r="BWX21" s="414"/>
      <c r="BWY21" s="414"/>
      <c r="BWZ21" s="414"/>
      <c r="BXA21" s="414"/>
      <c r="BXB21" s="414"/>
      <c r="BXC21" s="414"/>
      <c r="BXD21" s="414"/>
      <c r="BXE21" s="414"/>
      <c r="BXF21" s="414"/>
      <c r="BXG21" s="414"/>
      <c r="BXH21" s="414"/>
      <c r="BXI21" s="414"/>
      <c r="BXJ21" s="414"/>
      <c r="BXK21" s="414"/>
      <c r="BXL21" s="414"/>
      <c r="BXM21" s="414"/>
      <c r="BXN21" s="414"/>
      <c r="BXO21" s="414"/>
      <c r="BXP21" s="414"/>
      <c r="BXQ21" s="414"/>
      <c r="BXR21" s="414"/>
      <c r="BXS21" s="414"/>
      <c r="BXT21" s="414"/>
      <c r="BXU21" s="414"/>
      <c r="BXV21" s="414"/>
      <c r="BXW21" s="414"/>
      <c r="BXX21" s="414"/>
      <c r="BXY21" s="414"/>
      <c r="BXZ21" s="414"/>
      <c r="BYA21" s="414"/>
      <c r="BYB21" s="414"/>
      <c r="BYC21" s="414"/>
      <c r="BYD21" s="414"/>
      <c r="BYE21" s="414"/>
      <c r="BYF21" s="414"/>
      <c r="BYG21" s="414"/>
      <c r="BYH21" s="414"/>
      <c r="BYI21" s="414"/>
      <c r="BYJ21" s="414"/>
      <c r="BYK21" s="414"/>
      <c r="BYL21" s="414"/>
      <c r="BYM21" s="414"/>
      <c r="BYN21" s="414"/>
      <c r="BYO21" s="414"/>
      <c r="BYP21" s="414"/>
      <c r="BYQ21" s="414"/>
      <c r="BYR21" s="414"/>
      <c r="BYS21" s="414"/>
      <c r="BYT21" s="414"/>
      <c r="BYU21" s="414"/>
      <c r="BYV21" s="414"/>
      <c r="BYW21" s="414"/>
      <c r="BYX21" s="414"/>
      <c r="BYY21" s="414"/>
      <c r="BYZ21" s="414"/>
      <c r="BZA21" s="414"/>
      <c r="BZB21" s="414"/>
      <c r="BZC21" s="414"/>
      <c r="BZD21" s="414"/>
      <c r="BZE21" s="414"/>
      <c r="BZF21" s="414"/>
      <c r="BZG21" s="414"/>
      <c r="BZH21" s="414"/>
      <c r="BZI21" s="414"/>
      <c r="BZJ21" s="414"/>
      <c r="BZK21" s="414"/>
      <c r="BZL21" s="414"/>
      <c r="BZM21" s="414"/>
      <c r="BZN21" s="414"/>
      <c r="BZO21" s="414"/>
      <c r="BZP21" s="414"/>
      <c r="BZQ21" s="414"/>
      <c r="BZR21" s="414"/>
      <c r="BZS21" s="414"/>
      <c r="BZT21" s="414"/>
      <c r="BZU21" s="414"/>
      <c r="BZV21" s="414"/>
      <c r="BZW21" s="414"/>
      <c r="BZX21" s="414"/>
      <c r="BZY21" s="414"/>
      <c r="BZZ21" s="414"/>
      <c r="CAA21" s="414"/>
      <c r="CAB21" s="414"/>
      <c r="CAC21" s="414"/>
      <c r="CAD21" s="414"/>
      <c r="CAE21" s="414"/>
      <c r="CAF21" s="414"/>
      <c r="CAG21" s="414"/>
      <c r="CAH21" s="414"/>
      <c r="CAI21" s="414"/>
      <c r="CAJ21" s="414"/>
      <c r="CAK21" s="414"/>
      <c r="CAL21" s="414"/>
      <c r="CAM21" s="414"/>
      <c r="CAN21" s="414"/>
      <c r="CAO21" s="414"/>
      <c r="CAP21" s="414"/>
      <c r="CAQ21" s="414"/>
      <c r="CAR21" s="414"/>
      <c r="CAS21" s="414"/>
      <c r="CAT21" s="414"/>
      <c r="CAU21" s="414"/>
      <c r="CAV21" s="414"/>
      <c r="CAW21" s="414"/>
      <c r="CAX21" s="414"/>
      <c r="CAY21" s="414"/>
      <c r="CAZ21" s="414"/>
      <c r="CBA21" s="414"/>
      <c r="CBB21" s="414"/>
      <c r="CBC21" s="414"/>
      <c r="CBD21" s="414"/>
      <c r="CBE21" s="414"/>
      <c r="CBF21" s="414"/>
      <c r="CBG21" s="414"/>
      <c r="CBH21" s="414"/>
      <c r="CBI21" s="414"/>
      <c r="CBJ21" s="414"/>
      <c r="CBK21" s="414"/>
      <c r="CBL21" s="414"/>
      <c r="CBM21" s="414"/>
      <c r="CBN21" s="414"/>
      <c r="CBO21" s="414"/>
      <c r="CBP21" s="414"/>
      <c r="CBQ21" s="414"/>
      <c r="CBR21" s="414"/>
      <c r="CBS21" s="414"/>
      <c r="CBT21" s="414"/>
      <c r="CBU21" s="414"/>
      <c r="CBV21" s="414"/>
      <c r="CBW21" s="414"/>
      <c r="CBX21" s="414"/>
      <c r="CBY21" s="414"/>
      <c r="CBZ21" s="414"/>
      <c r="CCA21" s="414"/>
      <c r="CCB21" s="414"/>
      <c r="CCC21" s="414"/>
      <c r="CCD21" s="414"/>
      <c r="CCE21" s="414"/>
      <c r="CCF21" s="414"/>
      <c r="CCG21" s="414"/>
      <c r="CCH21" s="414"/>
      <c r="CCI21" s="414"/>
      <c r="CCJ21" s="414"/>
      <c r="CCK21" s="414"/>
      <c r="CCL21" s="414"/>
      <c r="CCM21" s="414"/>
      <c r="CCN21" s="414"/>
      <c r="CCO21" s="414"/>
      <c r="CCP21" s="414"/>
      <c r="CCQ21" s="414"/>
      <c r="CCR21" s="414"/>
      <c r="CCS21" s="414"/>
      <c r="CCT21" s="414"/>
      <c r="CCU21" s="414"/>
      <c r="CCV21" s="414"/>
      <c r="CCW21" s="414"/>
      <c r="CCX21" s="414"/>
      <c r="CCY21" s="414"/>
      <c r="CCZ21" s="414"/>
      <c r="CDA21" s="414"/>
      <c r="CDB21" s="414"/>
      <c r="CDC21" s="414"/>
      <c r="CDD21" s="414"/>
      <c r="CDE21" s="414"/>
      <c r="CDF21" s="414"/>
      <c r="CDG21" s="414"/>
      <c r="CDH21" s="414"/>
      <c r="CDI21" s="414"/>
      <c r="CDJ21" s="414"/>
      <c r="CDK21" s="414"/>
      <c r="CDL21" s="414"/>
      <c r="CDM21" s="414"/>
      <c r="CDN21" s="414"/>
      <c r="CDO21" s="414"/>
      <c r="CDP21" s="414"/>
      <c r="CDQ21" s="414"/>
      <c r="CDR21" s="414"/>
      <c r="CDS21" s="414"/>
      <c r="CDT21" s="414"/>
      <c r="CDU21" s="414"/>
      <c r="CDV21" s="414"/>
      <c r="CDW21" s="414"/>
      <c r="CDX21" s="414"/>
      <c r="CDY21" s="414"/>
      <c r="CDZ21" s="414"/>
      <c r="CEA21" s="414"/>
      <c r="CEB21" s="414"/>
      <c r="CEC21" s="414"/>
      <c r="CED21" s="414"/>
      <c r="CEE21" s="414"/>
      <c r="CEF21" s="414"/>
      <c r="CEG21" s="414"/>
      <c r="CEH21" s="414"/>
      <c r="CEI21" s="414"/>
      <c r="CEJ21" s="414"/>
      <c r="CEK21" s="414"/>
      <c r="CEL21" s="414"/>
      <c r="CEM21" s="414"/>
      <c r="CEN21" s="414"/>
      <c r="CEO21" s="414"/>
      <c r="CEP21" s="414"/>
      <c r="CEQ21" s="414"/>
      <c r="CER21" s="414"/>
      <c r="CES21" s="414"/>
      <c r="CET21" s="414"/>
      <c r="CEU21" s="414"/>
      <c r="CEV21" s="414"/>
      <c r="CEW21" s="414"/>
      <c r="CEX21" s="414"/>
      <c r="CEY21" s="414"/>
      <c r="CEZ21" s="414"/>
      <c r="CFA21" s="414"/>
      <c r="CFB21" s="414"/>
      <c r="CFC21" s="414"/>
      <c r="CFD21" s="414"/>
      <c r="CFE21" s="414"/>
      <c r="CFF21" s="414"/>
      <c r="CFG21" s="414"/>
      <c r="CFH21" s="414"/>
      <c r="CFI21" s="414"/>
      <c r="CFJ21" s="414"/>
      <c r="CFK21" s="414"/>
      <c r="CFL21" s="414"/>
      <c r="CFM21" s="414"/>
      <c r="CFN21" s="414"/>
      <c r="CFO21" s="414"/>
      <c r="CFP21" s="414"/>
      <c r="CFQ21" s="414"/>
      <c r="CFR21" s="414"/>
      <c r="CFS21" s="414"/>
      <c r="CFT21" s="414"/>
      <c r="CFU21" s="414"/>
      <c r="CFV21" s="414"/>
      <c r="CFW21" s="414"/>
      <c r="CFX21" s="414"/>
      <c r="CFY21" s="414"/>
      <c r="CFZ21" s="414"/>
      <c r="CGA21" s="414"/>
      <c r="CGB21" s="414"/>
      <c r="CGC21" s="414"/>
      <c r="CGD21" s="414"/>
      <c r="CGE21" s="414"/>
      <c r="CGF21" s="414"/>
      <c r="CGG21" s="414"/>
      <c r="CGH21" s="414"/>
      <c r="CGI21" s="414"/>
      <c r="CGJ21" s="414"/>
      <c r="CGK21" s="414"/>
      <c r="CGL21" s="414"/>
      <c r="CGM21" s="414"/>
      <c r="CGN21" s="414"/>
      <c r="CGO21" s="414"/>
      <c r="CGP21" s="414"/>
      <c r="CGQ21" s="414"/>
      <c r="CGR21" s="414"/>
      <c r="CGS21" s="414"/>
      <c r="CGT21" s="414"/>
      <c r="CGU21" s="414"/>
      <c r="CGV21" s="414"/>
      <c r="CGW21" s="414"/>
      <c r="CGX21" s="414"/>
      <c r="CGY21" s="414"/>
      <c r="CGZ21" s="414"/>
      <c r="CHA21" s="414"/>
      <c r="CHB21" s="414"/>
      <c r="CHC21" s="414"/>
      <c r="CHD21" s="414"/>
      <c r="CHE21" s="414"/>
      <c r="CHF21" s="414"/>
      <c r="CHG21" s="414"/>
      <c r="CHH21" s="414"/>
      <c r="CHI21" s="414"/>
      <c r="CHJ21" s="414"/>
      <c r="CHK21" s="414"/>
      <c r="CHL21" s="414"/>
      <c r="CHM21" s="414"/>
      <c r="CHN21" s="414"/>
      <c r="CHO21" s="414"/>
      <c r="CHP21" s="414"/>
      <c r="CHQ21" s="414"/>
      <c r="CHR21" s="414"/>
      <c r="CHS21" s="414"/>
      <c r="CHT21" s="414"/>
      <c r="CHU21" s="414"/>
      <c r="CHV21" s="414"/>
      <c r="CHW21" s="414"/>
      <c r="CHX21" s="414"/>
      <c r="CHY21" s="414"/>
      <c r="CHZ21" s="414"/>
      <c r="CIA21" s="414"/>
      <c r="CIB21" s="414"/>
      <c r="CIC21" s="414"/>
      <c r="CID21" s="414"/>
      <c r="CIE21" s="414"/>
      <c r="CIF21" s="414"/>
      <c r="CIG21" s="414"/>
      <c r="CIH21" s="414"/>
      <c r="CII21" s="414"/>
      <c r="CIJ21" s="414"/>
      <c r="CIK21" s="414"/>
      <c r="CIL21" s="414"/>
      <c r="CIM21" s="414"/>
      <c r="CIN21" s="414"/>
      <c r="CIO21" s="414"/>
      <c r="CIP21" s="414"/>
      <c r="CIQ21" s="414"/>
      <c r="CIR21" s="414"/>
      <c r="CIS21" s="414"/>
      <c r="CIT21" s="414"/>
      <c r="CIU21" s="414"/>
      <c r="CIV21" s="414"/>
      <c r="CIW21" s="414"/>
      <c r="CIX21" s="414"/>
      <c r="CIY21" s="414"/>
      <c r="CIZ21" s="414"/>
      <c r="CJA21" s="414"/>
      <c r="CJB21" s="414"/>
      <c r="CJC21" s="414"/>
      <c r="CJD21" s="414"/>
      <c r="CJE21" s="414"/>
      <c r="CJF21" s="414"/>
      <c r="CJG21" s="414"/>
      <c r="CJH21" s="414"/>
      <c r="CJI21" s="414"/>
      <c r="CJJ21" s="414"/>
      <c r="CJK21" s="414"/>
      <c r="CJL21" s="414"/>
      <c r="CJM21" s="414"/>
      <c r="CJN21" s="414"/>
      <c r="CJO21" s="414"/>
      <c r="CJP21" s="414"/>
      <c r="CJQ21" s="414"/>
      <c r="CJR21" s="414"/>
      <c r="CJS21" s="414"/>
      <c r="CJT21" s="414"/>
      <c r="CJU21" s="414"/>
      <c r="CJV21" s="414"/>
      <c r="CJW21" s="414"/>
      <c r="CJX21" s="414"/>
      <c r="CJY21" s="414"/>
      <c r="CJZ21" s="414"/>
      <c r="CKA21" s="414"/>
      <c r="CKB21" s="414"/>
      <c r="CKC21" s="414"/>
      <c r="CKD21" s="414"/>
      <c r="CKE21" s="414"/>
      <c r="CKF21" s="414"/>
      <c r="CKG21" s="414"/>
      <c r="CKH21" s="414"/>
      <c r="CKI21" s="414"/>
      <c r="CKJ21" s="414"/>
      <c r="CKK21" s="414"/>
      <c r="CKL21" s="414"/>
      <c r="CKM21" s="414"/>
      <c r="CKN21" s="414"/>
      <c r="CKO21" s="414"/>
      <c r="CKP21" s="414"/>
      <c r="CKQ21" s="414"/>
      <c r="CKR21" s="414"/>
      <c r="CKS21" s="414"/>
      <c r="CKT21" s="414"/>
      <c r="CKU21" s="414"/>
      <c r="CKV21" s="414"/>
      <c r="CKW21" s="414"/>
      <c r="CKX21" s="414"/>
      <c r="CKY21" s="414"/>
      <c r="CKZ21" s="414"/>
      <c r="CLA21" s="414"/>
      <c r="CLB21" s="414"/>
      <c r="CLC21" s="414"/>
      <c r="CLD21" s="414"/>
      <c r="CLE21" s="414"/>
      <c r="CLF21" s="414"/>
      <c r="CLG21" s="414"/>
      <c r="CLH21" s="414"/>
      <c r="CLI21" s="414"/>
      <c r="CLJ21" s="414"/>
      <c r="CLK21" s="414"/>
      <c r="CLL21" s="414"/>
      <c r="CLM21" s="414"/>
      <c r="CLN21" s="414"/>
      <c r="CLO21" s="414"/>
      <c r="CLP21" s="414"/>
      <c r="CLQ21" s="414"/>
      <c r="CLR21" s="414"/>
      <c r="CLS21" s="414"/>
      <c r="CLT21" s="414"/>
      <c r="CLU21" s="414"/>
      <c r="CLV21" s="414"/>
      <c r="CLW21" s="414"/>
      <c r="CLX21" s="414"/>
      <c r="CLY21" s="414"/>
      <c r="CLZ21" s="414"/>
      <c r="CMA21" s="414"/>
      <c r="CMB21" s="414"/>
      <c r="CMC21" s="414"/>
      <c r="CMD21" s="414"/>
      <c r="CME21" s="414"/>
      <c r="CMF21" s="414"/>
      <c r="CMG21" s="414"/>
      <c r="CMH21" s="414"/>
      <c r="CMI21" s="414"/>
      <c r="CMJ21" s="414"/>
      <c r="CMK21" s="414"/>
      <c r="CML21" s="414"/>
      <c r="CMM21" s="414"/>
      <c r="CMN21" s="414"/>
      <c r="CMO21" s="414"/>
      <c r="CMP21" s="414"/>
      <c r="CMQ21" s="414"/>
      <c r="CMR21" s="414"/>
      <c r="CMS21" s="414"/>
      <c r="CMT21" s="414"/>
      <c r="CMU21" s="414"/>
      <c r="CMV21" s="414"/>
      <c r="CMW21" s="414"/>
      <c r="CMX21" s="414"/>
      <c r="CMY21" s="414"/>
      <c r="CMZ21" s="414"/>
      <c r="CNA21" s="414"/>
      <c r="CNB21" s="414"/>
      <c r="CNC21" s="414"/>
      <c r="CND21" s="414"/>
      <c r="CNE21" s="414"/>
      <c r="CNF21" s="414"/>
      <c r="CNG21" s="414"/>
      <c r="CNH21" s="414"/>
      <c r="CNI21" s="414"/>
      <c r="CNJ21" s="414"/>
      <c r="CNK21" s="414"/>
      <c r="CNL21" s="414"/>
      <c r="CNM21" s="414"/>
      <c r="CNN21" s="414"/>
      <c r="CNO21" s="414"/>
      <c r="CNP21" s="414"/>
      <c r="CNQ21" s="414"/>
      <c r="CNR21" s="414"/>
      <c r="CNS21" s="414"/>
      <c r="CNT21" s="414"/>
      <c r="CNU21" s="414"/>
      <c r="CNV21" s="414"/>
      <c r="CNW21" s="414"/>
      <c r="CNX21" s="414"/>
      <c r="CNY21" s="414"/>
      <c r="CNZ21" s="414"/>
      <c r="COA21" s="414"/>
      <c r="COB21" s="414"/>
      <c r="COC21" s="414"/>
      <c r="COD21" s="414"/>
      <c r="COE21" s="414"/>
      <c r="COF21" s="414"/>
      <c r="COG21" s="414"/>
      <c r="COH21" s="414"/>
      <c r="COI21" s="414"/>
      <c r="COJ21" s="414"/>
      <c r="COK21" s="414"/>
      <c r="COL21" s="414"/>
      <c r="COM21" s="414"/>
      <c r="CON21" s="414"/>
      <c r="COO21" s="414"/>
      <c r="COP21" s="414"/>
      <c r="COQ21" s="414"/>
      <c r="COR21" s="414"/>
      <c r="COS21" s="414"/>
      <c r="COT21" s="414"/>
      <c r="COU21" s="414"/>
      <c r="COV21" s="414"/>
      <c r="COW21" s="414"/>
      <c r="COX21" s="414"/>
      <c r="COY21" s="414"/>
      <c r="COZ21" s="414"/>
      <c r="CPA21" s="414"/>
      <c r="CPB21" s="414"/>
      <c r="CPC21" s="414"/>
      <c r="CPD21" s="414"/>
      <c r="CPE21" s="414"/>
      <c r="CPF21" s="414"/>
      <c r="CPG21" s="414"/>
      <c r="CPH21" s="414"/>
      <c r="CPI21" s="414"/>
      <c r="CPJ21" s="414"/>
      <c r="CPK21" s="414"/>
      <c r="CPL21" s="414"/>
      <c r="CPM21" s="414"/>
      <c r="CPN21" s="414"/>
      <c r="CPO21" s="414"/>
      <c r="CPP21" s="414"/>
      <c r="CPQ21" s="414"/>
      <c r="CPR21" s="414"/>
      <c r="CPS21" s="414"/>
      <c r="CPT21" s="414"/>
      <c r="CPU21" s="414"/>
      <c r="CPV21" s="414"/>
      <c r="CPW21" s="414"/>
      <c r="CPX21" s="414"/>
      <c r="CPY21" s="414"/>
      <c r="CPZ21" s="414"/>
      <c r="CQA21" s="414"/>
      <c r="CQB21" s="414"/>
      <c r="CQC21" s="414"/>
      <c r="CQD21" s="414"/>
      <c r="CQE21" s="414"/>
      <c r="CQF21" s="414"/>
      <c r="CQG21" s="414"/>
      <c r="CQH21" s="414"/>
      <c r="CQI21" s="414"/>
      <c r="CQJ21" s="414"/>
      <c r="CQK21" s="414"/>
      <c r="CQL21" s="414"/>
      <c r="CQM21" s="414"/>
      <c r="CQN21" s="414"/>
      <c r="CQO21" s="414"/>
      <c r="CQP21" s="414"/>
      <c r="CQQ21" s="414"/>
      <c r="CQR21" s="414"/>
      <c r="CQS21" s="414"/>
      <c r="CQT21" s="414"/>
      <c r="CQU21" s="414"/>
      <c r="CQV21" s="414"/>
      <c r="CQW21" s="414"/>
      <c r="CQX21" s="414"/>
      <c r="CQY21" s="414"/>
      <c r="CQZ21" s="414"/>
      <c r="CRA21" s="414"/>
      <c r="CRB21" s="414"/>
      <c r="CRC21" s="414"/>
      <c r="CRD21" s="414"/>
      <c r="CRE21" s="414"/>
      <c r="CRF21" s="414"/>
      <c r="CRG21" s="414"/>
      <c r="CRH21" s="414"/>
      <c r="CRI21" s="414"/>
      <c r="CRJ21" s="414"/>
      <c r="CRK21" s="414"/>
      <c r="CRL21" s="414"/>
      <c r="CRM21" s="414"/>
      <c r="CRN21" s="414"/>
      <c r="CRO21" s="414"/>
      <c r="CRP21" s="414"/>
      <c r="CRQ21" s="414"/>
      <c r="CRR21" s="414"/>
      <c r="CRS21" s="414"/>
      <c r="CRT21" s="414"/>
      <c r="CRU21" s="414"/>
      <c r="CRV21" s="414"/>
      <c r="CRW21" s="414"/>
      <c r="CRX21" s="414"/>
      <c r="CRY21" s="414"/>
      <c r="CRZ21" s="414"/>
      <c r="CSA21" s="414"/>
      <c r="CSB21" s="414"/>
      <c r="CSC21" s="414"/>
      <c r="CSD21" s="414"/>
      <c r="CSE21" s="414"/>
      <c r="CSF21" s="414"/>
      <c r="CSG21" s="414"/>
      <c r="CSH21" s="414"/>
      <c r="CSI21" s="414"/>
      <c r="CSJ21" s="414"/>
      <c r="CSK21" s="414"/>
      <c r="CSL21" s="414"/>
      <c r="CSM21" s="414"/>
      <c r="CSN21" s="414"/>
      <c r="CSO21" s="414"/>
      <c r="CSP21" s="414"/>
      <c r="CSQ21" s="414"/>
      <c r="CSR21" s="414"/>
      <c r="CSS21" s="414"/>
      <c r="CST21" s="414"/>
      <c r="CSU21" s="414"/>
      <c r="CSV21" s="414"/>
      <c r="CSW21" s="414"/>
      <c r="CSX21" s="414"/>
      <c r="CSY21" s="414"/>
      <c r="CSZ21" s="414"/>
      <c r="CTA21" s="414"/>
      <c r="CTB21" s="414"/>
      <c r="CTC21" s="414"/>
      <c r="CTD21" s="414"/>
      <c r="CTE21" s="414"/>
      <c r="CTF21" s="414"/>
      <c r="CTG21" s="414"/>
      <c r="CTH21" s="414"/>
      <c r="CTI21" s="414"/>
      <c r="CTJ21" s="414"/>
      <c r="CTK21" s="414"/>
      <c r="CTL21" s="414"/>
      <c r="CTM21" s="414"/>
      <c r="CTN21" s="414"/>
      <c r="CTO21" s="414"/>
      <c r="CTP21" s="414"/>
      <c r="CTQ21" s="414"/>
      <c r="CTR21" s="414"/>
      <c r="CTS21" s="414"/>
      <c r="CTT21" s="414"/>
      <c r="CTU21" s="414"/>
      <c r="CTV21" s="414"/>
      <c r="CTW21" s="414"/>
      <c r="CTX21" s="414"/>
      <c r="CTY21" s="414"/>
      <c r="CTZ21" s="414"/>
      <c r="CUA21" s="414"/>
      <c r="CUB21" s="414"/>
      <c r="CUC21" s="414"/>
      <c r="CUD21" s="414"/>
      <c r="CUE21" s="414"/>
      <c r="CUF21" s="414"/>
      <c r="CUG21" s="414"/>
      <c r="CUH21" s="414"/>
      <c r="CUI21" s="414"/>
      <c r="CUJ21" s="414"/>
      <c r="CUK21" s="414"/>
      <c r="CUL21" s="414"/>
      <c r="CUM21" s="414"/>
      <c r="CUN21" s="414"/>
      <c r="CUO21" s="414"/>
      <c r="CUP21" s="414"/>
      <c r="CUQ21" s="414"/>
      <c r="CUR21" s="414"/>
      <c r="CUS21" s="414"/>
      <c r="CUT21" s="414"/>
      <c r="CUU21" s="414"/>
      <c r="CUV21" s="414"/>
      <c r="CUW21" s="414"/>
      <c r="CUX21" s="414"/>
      <c r="CUY21" s="414"/>
      <c r="CUZ21" s="414"/>
      <c r="CVA21" s="414"/>
      <c r="CVB21" s="414"/>
      <c r="CVC21" s="414"/>
      <c r="CVD21" s="414"/>
      <c r="CVE21" s="414"/>
      <c r="CVF21" s="414"/>
      <c r="CVG21" s="414"/>
      <c r="CVH21" s="414"/>
      <c r="CVI21" s="414"/>
      <c r="CVJ21" s="414"/>
      <c r="CVK21" s="414"/>
      <c r="CVL21" s="414"/>
      <c r="CVM21" s="414"/>
      <c r="CVN21" s="414"/>
      <c r="CVO21" s="414"/>
      <c r="CVP21" s="414"/>
      <c r="CVQ21" s="414"/>
      <c r="CVR21" s="414"/>
      <c r="CVS21" s="414"/>
      <c r="CVT21" s="414"/>
      <c r="CVU21" s="414"/>
      <c r="CVV21" s="414"/>
      <c r="CVW21" s="414"/>
      <c r="CVX21" s="414"/>
      <c r="CVY21" s="414"/>
      <c r="CVZ21" s="414"/>
      <c r="CWA21" s="414"/>
      <c r="CWB21" s="414"/>
      <c r="CWC21" s="414"/>
      <c r="CWD21" s="414"/>
      <c r="CWE21" s="414"/>
      <c r="CWF21" s="414"/>
      <c r="CWG21" s="414"/>
      <c r="CWH21" s="414"/>
      <c r="CWI21" s="414"/>
      <c r="CWJ21" s="414"/>
      <c r="CWK21" s="414"/>
      <c r="CWL21" s="414"/>
      <c r="CWM21" s="414"/>
      <c r="CWN21" s="414"/>
      <c r="CWO21" s="414"/>
      <c r="CWP21" s="414"/>
      <c r="CWQ21" s="414"/>
      <c r="CWR21" s="414"/>
      <c r="CWS21" s="414"/>
      <c r="CWT21" s="414"/>
      <c r="CWU21" s="414"/>
      <c r="CWV21" s="414"/>
      <c r="CWW21" s="414"/>
      <c r="CWX21" s="414"/>
      <c r="CWY21" s="414"/>
      <c r="CWZ21" s="414"/>
      <c r="CXA21" s="414"/>
      <c r="CXB21" s="414"/>
      <c r="CXC21" s="414"/>
      <c r="CXD21" s="414"/>
      <c r="CXE21" s="414"/>
      <c r="CXF21" s="414"/>
      <c r="CXG21" s="414"/>
      <c r="CXH21" s="414"/>
      <c r="CXI21" s="414"/>
      <c r="CXJ21" s="414"/>
      <c r="CXK21" s="414"/>
      <c r="CXL21" s="414"/>
      <c r="CXM21" s="414"/>
      <c r="CXN21" s="414"/>
      <c r="CXO21" s="414"/>
      <c r="CXP21" s="414"/>
      <c r="CXQ21" s="414"/>
      <c r="CXR21" s="414"/>
      <c r="CXS21" s="414"/>
      <c r="CXT21" s="414"/>
      <c r="CXU21" s="414"/>
      <c r="CXV21" s="414"/>
      <c r="CXW21" s="414"/>
      <c r="CXX21" s="414"/>
      <c r="CXY21" s="414"/>
      <c r="CXZ21" s="414"/>
      <c r="CYA21" s="414"/>
      <c r="CYB21" s="414"/>
      <c r="CYC21" s="414"/>
      <c r="CYD21" s="414"/>
      <c r="CYE21" s="414"/>
      <c r="CYF21" s="414"/>
      <c r="CYG21" s="414"/>
      <c r="CYH21" s="414"/>
      <c r="CYI21" s="414"/>
      <c r="CYJ21" s="414"/>
      <c r="CYK21" s="414"/>
      <c r="CYL21" s="414"/>
      <c r="CYM21" s="414"/>
      <c r="CYN21" s="414"/>
      <c r="CYO21" s="414"/>
      <c r="CYP21" s="414"/>
      <c r="CYQ21" s="414"/>
      <c r="CYR21" s="414"/>
      <c r="CYS21" s="414"/>
      <c r="CYT21" s="414"/>
      <c r="CYU21" s="414"/>
      <c r="CYV21" s="414"/>
      <c r="CYW21" s="414"/>
      <c r="CYX21" s="414"/>
      <c r="CYY21" s="414"/>
      <c r="CYZ21" s="414"/>
      <c r="CZA21" s="414"/>
      <c r="CZB21" s="414"/>
      <c r="CZC21" s="414"/>
      <c r="CZD21" s="414"/>
      <c r="CZE21" s="414"/>
      <c r="CZF21" s="414"/>
      <c r="CZG21" s="414"/>
      <c r="CZH21" s="414"/>
      <c r="CZI21" s="414"/>
      <c r="CZJ21" s="414"/>
      <c r="CZK21" s="414"/>
      <c r="CZL21" s="414"/>
      <c r="CZM21" s="414"/>
      <c r="CZN21" s="414"/>
      <c r="CZO21" s="414"/>
      <c r="CZP21" s="414"/>
      <c r="CZQ21" s="414"/>
      <c r="CZR21" s="414"/>
      <c r="CZS21" s="414"/>
      <c r="CZT21" s="414"/>
      <c r="CZU21" s="414"/>
      <c r="CZV21" s="414"/>
      <c r="CZW21" s="414"/>
      <c r="CZX21" s="414"/>
      <c r="CZY21" s="414"/>
      <c r="CZZ21" s="414"/>
      <c r="DAA21" s="414"/>
      <c r="DAB21" s="414"/>
      <c r="DAC21" s="414"/>
      <c r="DAD21" s="414"/>
      <c r="DAE21" s="414"/>
      <c r="DAF21" s="414"/>
      <c r="DAG21" s="414"/>
      <c r="DAH21" s="414"/>
      <c r="DAI21" s="414"/>
      <c r="DAJ21" s="414"/>
      <c r="DAK21" s="414"/>
      <c r="DAL21" s="414"/>
      <c r="DAM21" s="414"/>
      <c r="DAN21" s="414"/>
      <c r="DAO21" s="414"/>
      <c r="DAP21" s="414"/>
      <c r="DAQ21" s="414"/>
      <c r="DAR21" s="414"/>
      <c r="DAS21" s="414"/>
      <c r="DAT21" s="414"/>
      <c r="DAU21" s="414"/>
      <c r="DAV21" s="414"/>
      <c r="DAW21" s="414"/>
      <c r="DAX21" s="414"/>
      <c r="DAY21" s="414"/>
      <c r="DAZ21" s="414"/>
      <c r="DBA21" s="414"/>
      <c r="DBB21" s="414"/>
      <c r="DBC21" s="414"/>
      <c r="DBD21" s="414"/>
      <c r="DBE21" s="414"/>
      <c r="DBF21" s="414"/>
      <c r="DBG21" s="414"/>
      <c r="DBH21" s="414"/>
      <c r="DBI21" s="414"/>
      <c r="DBJ21" s="414"/>
      <c r="DBK21" s="414"/>
      <c r="DBL21" s="414"/>
      <c r="DBM21" s="414"/>
      <c r="DBN21" s="414"/>
      <c r="DBO21" s="414"/>
      <c r="DBP21" s="414"/>
      <c r="DBQ21" s="414"/>
      <c r="DBR21" s="414"/>
      <c r="DBS21" s="414"/>
      <c r="DBT21" s="414"/>
      <c r="DBU21" s="414"/>
      <c r="DBV21" s="414"/>
      <c r="DBW21" s="414"/>
      <c r="DBX21" s="414"/>
      <c r="DBY21" s="414"/>
      <c r="DBZ21" s="414"/>
      <c r="DCA21" s="414"/>
      <c r="DCB21" s="414"/>
      <c r="DCC21" s="414"/>
      <c r="DCD21" s="414"/>
      <c r="DCE21" s="414"/>
      <c r="DCF21" s="414"/>
      <c r="DCG21" s="414"/>
      <c r="DCH21" s="414"/>
      <c r="DCI21" s="414"/>
      <c r="DCJ21" s="414"/>
      <c r="DCK21" s="414"/>
      <c r="DCL21" s="414"/>
      <c r="DCM21" s="414"/>
      <c r="DCN21" s="414"/>
      <c r="DCO21" s="414"/>
      <c r="DCP21" s="414"/>
      <c r="DCQ21" s="414"/>
      <c r="DCR21" s="414"/>
      <c r="DCS21" s="414"/>
      <c r="DCT21" s="414"/>
      <c r="DCU21" s="414"/>
      <c r="DCV21" s="414"/>
      <c r="DCW21" s="414"/>
      <c r="DCX21" s="414"/>
      <c r="DCY21" s="414"/>
      <c r="DCZ21" s="414"/>
      <c r="DDA21" s="414"/>
      <c r="DDB21" s="414"/>
      <c r="DDC21" s="414"/>
      <c r="DDD21" s="414"/>
      <c r="DDE21" s="414"/>
      <c r="DDF21" s="414"/>
      <c r="DDG21" s="414"/>
      <c r="DDH21" s="414"/>
      <c r="DDI21" s="414"/>
      <c r="DDJ21" s="414"/>
      <c r="DDK21" s="414"/>
      <c r="DDL21" s="414"/>
      <c r="DDM21" s="414"/>
      <c r="DDN21" s="414"/>
      <c r="DDO21" s="414"/>
      <c r="DDP21" s="414"/>
      <c r="DDQ21" s="414"/>
      <c r="DDR21" s="414"/>
      <c r="DDS21" s="414"/>
      <c r="DDT21" s="414"/>
      <c r="DDU21" s="414"/>
      <c r="DDV21" s="414"/>
      <c r="DDW21" s="414"/>
      <c r="DDX21" s="414"/>
      <c r="DDY21" s="414"/>
      <c r="DDZ21" s="414"/>
      <c r="DEA21" s="414"/>
      <c r="DEB21" s="414"/>
      <c r="DEC21" s="414"/>
      <c r="DED21" s="414"/>
      <c r="DEE21" s="414"/>
      <c r="DEF21" s="414"/>
      <c r="DEG21" s="414"/>
      <c r="DEH21" s="414"/>
      <c r="DEI21" s="414"/>
      <c r="DEJ21" s="414"/>
      <c r="DEK21" s="414"/>
      <c r="DEL21" s="414"/>
      <c r="DEM21" s="414"/>
      <c r="DEN21" s="414"/>
      <c r="DEO21" s="414"/>
      <c r="DEP21" s="414"/>
      <c r="DEQ21" s="414"/>
      <c r="DER21" s="414"/>
      <c r="DES21" s="414"/>
      <c r="DET21" s="414"/>
      <c r="DEU21" s="414"/>
      <c r="DEV21" s="414"/>
      <c r="DEW21" s="414"/>
      <c r="DEX21" s="414"/>
      <c r="DEY21" s="414"/>
      <c r="DEZ21" s="414"/>
      <c r="DFA21" s="414"/>
      <c r="DFB21" s="414"/>
      <c r="DFC21" s="414"/>
      <c r="DFD21" s="414"/>
      <c r="DFE21" s="414"/>
      <c r="DFF21" s="414"/>
      <c r="DFG21" s="414"/>
      <c r="DFH21" s="414"/>
      <c r="DFI21" s="414"/>
      <c r="DFJ21" s="414"/>
      <c r="DFK21" s="414"/>
      <c r="DFL21" s="414"/>
      <c r="DFM21" s="414"/>
      <c r="DFN21" s="414"/>
      <c r="DFO21" s="414"/>
      <c r="DFP21" s="414"/>
      <c r="DFQ21" s="414"/>
      <c r="DFR21" s="414"/>
      <c r="DFS21" s="414"/>
      <c r="DFT21" s="414"/>
      <c r="DFU21" s="414"/>
      <c r="DFV21" s="414"/>
      <c r="DFW21" s="414"/>
      <c r="DFX21" s="414"/>
      <c r="DFY21" s="414"/>
      <c r="DFZ21" s="414"/>
      <c r="DGA21" s="414"/>
      <c r="DGB21" s="414"/>
      <c r="DGC21" s="414"/>
      <c r="DGD21" s="414"/>
      <c r="DGE21" s="414"/>
      <c r="DGF21" s="414"/>
      <c r="DGG21" s="414"/>
      <c r="DGH21" s="414"/>
      <c r="DGI21" s="414"/>
      <c r="DGJ21" s="414"/>
      <c r="DGK21" s="414"/>
      <c r="DGL21" s="414"/>
      <c r="DGM21" s="414"/>
      <c r="DGN21" s="414"/>
      <c r="DGO21" s="414"/>
      <c r="DGP21" s="414"/>
      <c r="DGQ21" s="414"/>
      <c r="DGR21" s="414"/>
      <c r="DGS21" s="414"/>
      <c r="DGT21" s="414"/>
      <c r="DGU21" s="414"/>
      <c r="DGV21" s="414"/>
      <c r="DGW21" s="414"/>
      <c r="DGX21" s="414"/>
      <c r="DGY21" s="414"/>
      <c r="DGZ21" s="414"/>
      <c r="DHA21" s="414"/>
      <c r="DHB21" s="414"/>
      <c r="DHC21" s="414"/>
      <c r="DHD21" s="414"/>
      <c r="DHE21" s="414"/>
      <c r="DHF21" s="414"/>
      <c r="DHG21" s="414"/>
      <c r="DHH21" s="414"/>
      <c r="DHI21" s="414"/>
      <c r="DHJ21" s="414"/>
      <c r="DHK21" s="414"/>
      <c r="DHL21" s="414"/>
      <c r="DHM21" s="414"/>
      <c r="DHN21" s="414"/>
      <c r="DHO21" s="414"/>
      <c r="DHP21" s="414"/>
      <c r="DHQ21" s="414"/>
      <c r="DHR21" s="414"/>
      <c r="DHS21" s="414"/>
      <c r="DHT21" s="414"/>
      <c r="DHU21" s="414"/>
      <c r="DHV21" s="414"/>
      <c r="DHW21" s="414"/>
      <c r="DHX21" s="414"/>
      <c r="DHY21" s="414"/>
      <c r="DHZ21" s="414"/>
      <c r="DIA21" s="414"/>
      <c r="DIB21" s="414"/>
      <c r="DIC21" s="414"/>
      <c r="DID21" s="414"/>
      <c r="DIE21" s="414"/>
      <c r="DIF21" s="414"/>
      <c r="DIG21" s="414"/>
      <c r="DIH21" s="414"/>
      <c r="DII21" s="414"/>
      <c r="DIJ21" s="414"/>
      <c r="DIK21" s="414"/>
      <c r="DIL21" s="414"/>
      <c r="DIM21" s="414"/>
      <c r="DIN21" s="414"/>
      <c r="DIO21" s="414"/>
      <c r="DIP21" s="414"/>
      <c r="DIQ21" s="414"/>
      <c r="DIR21" s="414"/>
      <c r="DIS21" s="414"/>
      <c r="DIT21" s="414"/>
      <c r="DIU21" s="414"/>
      <c r="DIV21" s="414"/>
      <c r="DIW21" s="414"/>
      <c r="DIX21" s="414"/>
      <c r="DIY21" s="414"/>
      <c r="DIZ21" s="414"/>
      <c r="DJA21" s="414"/>
      <c r="DJB21" s="414"/>
      <c r="DJC21" s="414"/>
      <c r="DJD21" s="414"/>
      <c r="DJE21" s="414"/>
      <c r="DJF21" s="414"/>
      <c r="DJG21" s="414"/>
      <c r="DJH21" s="414"/>
      <c r="DJI21" s="414"/>
      <c r="DJJ21" s="414"/>
      <c r="DJK21" s="414"/>
      <c r="DJL21" s="414"/>
      <c r="DJM21" s="414"/>
      <c r="DJN21" s="414"/>
      <c r="DJO21" s="414"/>
      <c r="DJP21" s="414"/>
      <c r="DJQ21" s="414"/>
      <c r="DJR21" s="414"/>
      <c r="DJS21" s="414"/>
      <c r="DJT21" s="414"/>
      <c r="DJU21" s="414"/>
      <c r="DJV21" s="414"/>
      <c r="DJW21" s="414"/>
      <c r="DJX21" s="414"/>
      <c r="DJY21" s="414"/>
      <c r="DJZ21" s="414"/>
      <c r="DKA21" s="414"/>
      <c r="DKB21" s="414"/>
      <c r="DKC21" s="414"/>
      <c r="DKD21" s="414"/>
      <c r="DKE21" s="414"/>
      <c r="DKF21" s="414"/>
      <c r="DKG21" s="414"/>
      <c r="DKH21" s="414"/>
      <c r="DKI21" s="414"/>
      <c r="DKJ21" s="414"/>
      <c r="DKK21" s="414"/>
      <c r="DKL21" s="414"/>
      <c r="DKM21" s="414"/>
      <c r="DKN21" s="414"/>
      <c r="DKO21" s="414"/>
      <c r="DKP21" s="414"/>
      <c r="DKQ21" s="414"/>
      <c r="DKR21" s="414"/>
      <c r="DKS21" s="414"/>
      <c r="DKT21" s="414"/>
      <c r="DKU21" s="414"/>
      <c r="DKV21" s="414"/>
      <c r="DKW21" s="414"/>
      <c r="DKX21" s="414"/>
      <c r="DKY21" s="414"/>
      <c r="DKZ21" s="414"/>
      <c r="DLA21" s="414"/>
      <c r="DLB21" s="414"/>
      <c r="DLC21" s="414"/>
      <c r="DLD21" s="414"/>
      <c r="DLE21" s="414"/>
      <c r="DLF21" s="414"/>
      <c r="DLG21" s="414"/>
      <c r="DLH21" s="414"/>
      <c r="DLI21" s="414"/>
      <c r="DLJ21" s="414"/>
      <c r="DLK21" s="414"/>
      <c r="DLL21" s="414"/>
      <c r="DLM21" s="414"/>
      <c r="DLN21" s="414"/>
      <c r="DLO21" s="414"/>
      <c r="DLP21" s="414"/>
      <c r="DLQ21" s="414"/>
      <c r="DLR21" s="414"/>
      <c r="DLS21" s="414"/>
      <c r="DLT21" s="414"/>
      <c r="DLU21" s="414"/>
      <c r="DLV21" s="414"/>
      <c r="DLW21" s="414"/>
      <c r="DLX21" s="414"/>
      <c r="DLY21" s="414"/>
      <c r="DLZ21" s="414"/>
      <c r="DMA21" s="414"/>
      <c r="DMB21" s="414"/>
      <c r="DMC21" s="414"/>
      <c r="DMD21" s="414"/>
      <c r="DME21" s="414"/>
      <c r="DMF21" s="414"/>
      <c r="DMG21" s="414"/>
      <c r="DMH21" s="414"/>
      <c r="DMI21" s="414"/>
      <c r="DMJ21" s="414"/>
      <c r="DMK21" s="414"/>
      <c r="DML21" s="414"/>
      <c r="DMM21" s="414"/>
      <c r="DMN21" s="414"/>
      <c r="DMO21" s="414"/>
      <c r="DMP21" s="414"/>
      <c r="DMQ21" s="414"/>
      <c r="DMR21" s="414"/>
      <c r="DMS21" s="414"/>
      <c r="DMT21" s="414"/>
      <c r="DMU21" s="414"/>
      <c r="DMV21" s="414"/>
      <c r="DMW21" s="414"/>
      <c r="DMX21" s="414"/>
      <c r="DMY21" s="414"/>
      <c r="DMZ21" s="414"/>
      <c r="DNA21" s="414"/>
      <c r="DNB21" s="414"/>
      <c r="DNC21" s="414"/>
      <c r="DND21" s="414"/>
      <c r="DNE21" s="414"/>
      <c r="DNF21" s="414"/>
      <c r="DNG21" s="414"/>
      <c r="DNH21" s="414"/>
      <c r="DNI21" s="414"/>
      <c r="DNJ21" s="414"/>
      <c r="DNK21" s="414"/>
      <c r="DNL21" s="414"/>
      <c r="DNM21" s="414"/>
      <c r="DNN21" s="414"/>
      <c r="DNO21" s="414"/>
      <c r="DNP21" s="414"/>
      <c r="DNQ21" s="414"/>
      <c r="DNR21" s="414"/>
      <c r="DNS21" s="414"/>
      <c r="DNT21" s="414"/>
      <c r="DNU21" s="414"/>
      <c r="DNV21" s="414"/>
      <c r="DNW21" s="414"/>
      <c r="DNX21" s="414"/>
      <c r="DNY21" s="414"/>
      <c r="DNZ21" s="414"/>
      <c r="DOA21" s="414"/>
      <c r="DOB21" s="414"/>
      <c r="DOC21" s="414"/>
      <c r="DOD21" s="414"/>
      <c r="DOE21" s="414"/>
      <c r="DOF21" s="414"/>
      <c r="DOG21" s="414"/>
      <c r="DOH21" s="414"/>
      <c r="DOI21" s="414"/>
      <c r="DOJ21" s="414"/>
      <c r="DOK21" s="414"/>
      <c r="DOL21" s="414"/>
      <c r="DOM21" s="414"/>
      <c r="DON21" s="414"/>
      <c r="DOO21" s="414"/>
      <c r="DOP21" s="414"/>
      <c r="DOQ21" s="414"/>
      <c r="DOR21" s="414"/>
      <c r="DOS21" s="414"/>
      <c r="DOT21" s="414"/>
      <c r="DOU21" s="414"/>
      <c r="DOV21" s="414"/>
      <c r="DOW21" s="414"/>
      <c r="DOX21" s="414"/>
      <c r="DOY21" s="414"/>
      <c r="DOZ21" s="414"/>
      <c r="DPA21" s="414"/>
      <c r="DPB21" s="414"/>
      <c r="DPC21" s="414"/>
      <c r="DPD21" s="414"/>
      <c r="DPE21" s="414"/>
      <c r="DPF21" s="414"/>
      <c r="DPG21" s="414"/>
      <c r="DPH21" s="414"/>
      <c r="DPI21" s="414"/>
      <c r="DPJ21" s="414"/>
      <c r="DPK21" s="414"/>
      <c r="DPL21" s="414"/>
      <c r="DPM21" s="414"/>
      <c r="DPN21" s="414"/>
      <c r="DPO21" s="414"/>
      <c r="DPP21" s="414"/>
      <c r="DPQ21" s="414"/>
      <c r="DPR21" s="414"/>
      <c r="DPS21" s="414"/>
      <c r="DPT21" s="414"/>
      <c r="DPU21" s="414"/>
      <c r="DPV21" s="414"/>
      <c r="DPW21" s="414"/>
      <c r="DPX21" s="414"/>
      <c r="DPY21" s="414"/>
      <c r="DPZ21" s="414"/>
      <c r="DQA21" s="414"/>
      <c r="DQB21" s="414"/>
      <c r="DQC21" s="414"/>
      <c r="DQD21" s="414"/>
      <c r="DQE21" s="414"/>
      <c r="DQF21" s="414"/>
      <c r="DQG21" s="414"/>
      <c r="DQH21" s="414"/>
      <c r="DQI21" s="414"/>
      <c r="DQJ21" s="414"/>
      <c r="DQK21" s="414"/>
      <c r="DQL21" s="414"/>
      <c r="DQM21" s="414"/>
      <c r="DQN21" s="414"/>
      <c r="DQO21" s="414"/>
      <c r="DQP21" s="414"/>
      <c r="DQQ21" s="414"/>
      <c r="DQR21" s="414"/>
      <c r="DQS21" s="414"/>
      <c r="DQT21" s="414"/>
      <c r="DQU21" s="414"/>
      <c r="DQV21" s="414"/>
      <c r="DQW21" s="414"/>
      <c r="DQX21" s="414"/>
      <c r="DQY21" s="414"/>
      <c r="DQZ21" s="414"/>
      <c r="DRA21" s="414"/>
      <c r="DRB21" s="414"/>
      <c r="DRC21" s="414"/>
      <c r="DRD21" s="414"/>
      <c r="DRE21" s="414"/>
      <c r="DRF21" s="414"/>
      <c r="DRG21" s="414"/>
      <c r="DRH21" s="414"/>
      <c r="DRI21" s="414"/>
      <c r="DRJ21" s="414"/>
      <c r="DRK21" s="414"/>
      <c r="DRL21" s="414"/>
      <c r="DRM21" s="414"/>
      <c r="DRN21" s="414"/>
      <c r="DRO21" s="414"/>
      <c r="DRP21" s="414"/>
      <c r="DRQ21" s="414"/>
      <c r="DRR21" s="414"/>
      <c r="DRS21" s="414"/>
      <c r="DRT21" s="414"/>
      <c r="DRU21" s="414"/>
      <c r="DRV21" s="414"/>
      <c r="DRW21" s="414"/>
      <c r="DRX21" s="414"/>
      <c r="DRY21" s="414"/>
      <c r="DRZ21" s="414"/>
      <c r="DSA21" s="414"/>
      <c r="DSB21" s="414"/>
      <c r="DSC21" s="414"/>
      <c r="DSD21" s="414"/>
      <c r="DSE21" s="414"/>
      <c r="DSF21" s="414"/>
      <c r="DSG21" s="414"/>
      <c r="DSH21" s="414"/>
      <c r="DSI21" s="414"/>
      <c r="DSJ21" s="414"/>
      <c r="DSK21" s="414"/>
      <c r="DSL21" s="414"/>
      <c r="DSM21" s="414"/>
      <c r="DSN21" s="414"/>
      <c r="DSO21" s="414"/>
      <c r="DSP21" s="414"/>
      <c r="DSQ21" s="414"/>
      <c r="DSR21" s="414"/>
      <c r="DSS21" s="414"/>
      <c r="DST21" s="414"/>
      <c r="DSU21" s="414"/>
      <c r="DSV21" s="414"/>
      <c r="DSW21" s="414"/>
      <c r="DSX21" s="414"/>
      <c r="DSY21" s="414"/>
      <c r="DSZ21" s="414"/>
      <c r="DTA21" s="414"/>
      <c r="DTB21" s="414"/>
      <c r="DTC21" s="414"/>
      <c r="DTD21" s="414"/>
      <c r="DTE21" s="414"/>
      <c r="DTF21" s="414"/>
      <c r="DTG21" s="414"/>
      <c r="DTH21" s="414"/>
      <c r="DTI21" s="414"/>
      <c r="DTJ21" s="414"/>
      <c r="DTK21" s="414"/>
      <c r="DTL21" s="414"/>
      <c r="DTM21" s="414"/>
      <c r="DTN21" s="414"/>
      <c r="DTO21" s="414"/>
      <c r="DTP21" s="414"/>
      <c r="DTQ21" s="414"/>
      <c r="DTR21" s="414"/>
      <c r="DTS21" s="414"/>
      <c r="DTT21" s="414"/>
      <c r="DTU21" s="414"/>
      <c r="DTV21" s="414"/>
      <c r="DTW21" s="414"/>
      <c r="DTX21" s="414"/>
      <c r="DTY21" s="414"/>
      <c r="DTZ21" s="414"/>
      <c r="DUA21" s="414"/>
      <c r="DUB21" s="414"/>
      <c r="DUC21" s="414"/>
      <c r="DUD21" s="414"/>
      <c r="DUE21" s="414"/>
      <c r="DUF21" s="414"/>
      <c r="DUG21" s="414"/>
      <c r="DUH21" s="414"/>
      <c r="DUI21" s="414"/>
      <c r="DUJ21" s="414"/>
      <c r="DUK21" s="414"/>
      <c r="DUL21" s="414"/>
      <c r="DUM21" s="414"/>
      <c r="DUN21" s="414"/>
      <c r="DUO21" s="414"/>
      <c r="DUP21" s="414"/>
      <c r="DUQ21" s="414"/>
      <c r="DUR21" s="414"/>
      <c r="DUS21" s="414"/>
      <c r="DUT21" s="414"/>
      <c r="DUU21" s="414"/>
      <c r="DUV21" s="414"/>
      <c r="DUW21" s="414"/>
      <c r="DUX21" s="414"/>
      <c r="DUY21" s="414"/>
      <c r="DUZ21" s="414"/>
      <c r="DVA21" s="414"/>
      <c r="DVB21" s="414"/>
      <c r="DVC21" s="414"/>
      <c r="DVD21" s="414"/>
      <c r="DVE21" s="414"/>
      <c r="DVF21" s="414"/>
      <c r="DVG21" s="414"/>
      <c r="DVH21" s="414"/>
      <c r="DVI21" s="414"/>
      <c r="DVJ21" s="414"/>
      <c r="DVK21" s="414"/>
      <c r="DVL21" s="414"/>
      <c r="DVM21" s="414"/>
      <c r="DVN21" s="414"/>
      <c r="DVO21" s="414"/>
      <c r="DVP21" s="414"/>
      <c r="DVQ21" s="414"/>
      <c r="DVR21" s="414"/>
      <c r="DVS21" s="414"/>
      <c r="DVT21" s="414"/>
      <c r="DVU21" s="414"/>
      <c r="DVV21" s="414"/>
      <c r="DVW21" s="414"/>
      <c r="DVX21" s="414"/>
      <c r="DVY21" s="414"/>
      <c r="DVZ21" s="414"/>
      <c r="DWA21" s="414"/>
      <c r="DWB21" s="414"/>
      <c r="DWC21" s="414"/>
      <c r="DWD21" s="414"/>
      <c r="DWE21" s="414"/>
      <c r="DWF21" s="414"/>
      <c r="DWG21" s="414"/>
      <c r="DWH21" s="414"/>
      <c r="DWI21" s="414"/>
      <c r="DWJ21" s="414"/>
      <c r="DWK21" s="414"/>
      <c r="DWL21" s="414"/>
      <c r="DWM21" s="414"/>
      <c r="DWN21" s="414"/>
      <c r="DWO21" s="414"/>
      <c r="DWP21" s="414"/>
      <c r="DWQ21" s="414"/>
      <c r="DWR21" s="414"/>
      <c r="DWS21" s="414"/>
      <c r="DWT21" s="414"/>
      <c r="DWU21" s="414"/>
      <c r="DWV21" s="414"/>
      <c r="DWW21" s="414"/>
      <c r="DWX21" s="414"/>
      <c r="DWY21" s="414"/>
      <c r="DWZ21" s="414"/>
      <c r="DXA21" s="414"/>
      <c r="DXB21" s="414"/>
      <c r="DXC21" s="414"/>
      <c r="DXD21" s="414"/>
      <c r="DXE21" s="414"/>
      <c r="DXF21" s="414"/>
      <c r="DXG21" s="414"/>
      <c r="DXH21" s="414"/>
      <c r="DXI21" s="414"/>
      <c r="DXJ21" s="414"/>
      <c r="DXK21" s="414"/>
      <c r="DXL21" s="414"/>
      <c r="DXM21" s="414"/>
      <c r="DXN21" s="414"/>
      <c r="DXO21" s="414"/>
      <c r="DXP21" s="414"/>
      <c r="DXQ21" s="414"/>
      <c r="DXR21" s="414"/>
      <c r="DXS21" s="414"/>
      <c r="DXT21" s="414"/>
      <c r="DXU21" s="414"/>
      <c r="DXV21" s="414"/>
      <c r="DXW21" s="414"/>
      <c r="DXX21" s="414"/>
      <c r="DXY21" s="414"/>
      <c r="DXZ21" s="414"/>
      <c r="DYA21" s="414"/>
      <c r="DYB21" s="414"/>
      <c r="DYC21" s="414"/>
      <c r="DYD21" s="414"/>
      <c r="DYE21" s="414"/>
      <c r="DYF21" s="414"/>
      <c r="DYG21" s="414"/>
      <c r="DYH21" s="414"/>
      <c r="DYI21" s="414"/>
      <c r="DYJ21" s="414"/>
      <c r="DYK21" s="414"/>
      <c r="DYL21" s="414"/>
      <c r="DYM21" s="414"/>
      <c r="DYN21" s="414"/>
      <c r="DYO21" s="414"/>
      <c r="DYP21" s="414"/>
      <c r="DYQ21" s="414"/>
      <c r="DYR21" s="414"/>
      <c r="DYS21" s="414"/>
      <c r="DYT21" s="414"/>
      <c r="DYU21" s="414"/>
      <c r="DYV21" s="414"/>
      <c r="DYW21" s="414"/>
      <c r="DYX21" s="414"/>
      <c r="DYY21" s="414"/>
      <c r="DYZ21" s="414"/>
      <c r="DZA21" s="414"/>
      <c r="DZB21" s="414"/>
      <c r="DZC21" s="414"/>
      <c r="DZD21" s="414"/>
      <c r="DZE21" s="414"/>
      <c r="DZF21" s="414"/>
      <c r="DZG21" s="414"/>
      <c r="DZH21" s="414"/>
      <c r="DZI21" s="414"/>
      <c r="DZJ21" s="414"/>
      <c r="DZK21" s="414"/>
      <c r="DZL21" s="414"/>
      <c r="DZM21" s="414"/>
      <c r="DZN21" s="414"/>
      <c r="DZO21" s="414"/>
      <c r="DZP21" s="414"/>
      <c r="DZQ21" s="414"/>
      <c r="DZR21" s="414"/>
      <c r="DZS21" s="414"/>
      <c r="DZT21" s="414"/>
      <c r="DZU21" s="414"/>
      <c r="DZV21" s="414"/>
      <c r="DZW21" s="414"/>
      <c r="DZX21" s="414"/>
      <c r="DZY21" s="414"/>
      <c r="DZZ21" s="414"/>
      <c r="EAA21" s="414"/>
      <c r="EAB21" s="414"/>
      <c r="EAC21" s="414"/>
      <c r="EAD21" s="414"/>
      <c r="EAE21" s="414"/>
      <c r="EAF21" s="414"/>
      <c r="EAG21" s="414"/>
      <c r="EAH21" s="414"/>
      <c r="EAI21" s="414"/>
      <c r="EAJ21" s="414"/>
      <c r="EAK21" s="414"/>
      <c r="EAL21" s="414"/>
      <c r="EAM21" s="414"/>
      <c r="EAN21" s="414"/>
      <c r="EAO21" s="414"/>
      <c r="EAP21" s="414"/>
      <c r="EAQ21" s="414"/>
      <c r="EAR21" s="414"/>
      <c r="EAS21" s="414"/>
      <c r="EAT21" s="414"/>
      <c r="EAU21" s="414"/>
      <c r="EAV21" s="414"/>
      <c r="EAW21" s="414"/>
      <c r="EAX21" s="414"/>
      <c r="EAY21" s="414"/>
      <c r="EAZ21" s="414"/>
      <c r="EBA21" s="414"/>
      <c r="EBB21" s="414"/>
      <c r="EBC21" s="414"/>
      <c r="EBD21" s="414"/>
      <c r="EBE21" s="414"/>
      <c r="EBF21" s="414"/>
      <c r="EBG21" s="414"/>
      <c r="EBH21" s="414"/>
      <c r="EBI21" s="414"/>
      <c r="EBJ21" s="414"/>
      <c r="EBK21" s="414"/>
      <c r="EBL21" s="414"/>
      <c r="EBM21" s="414"/>
      <c r="EBN21" s="414"/>
      <c r="EBO21" s="414"/>
      <c r="EBP21" s="414"/>
      <c r="EBQ21" s="414"/>
      <c r="EBR21" s="414"/>
      <c r="EBS21" s="414"/>
      <c r="EBT21" s="414"/>
      <c r="EBU21" s="414"/>
      <c r="EBV21" s="414"/>
      <c r="EBW21" s="414"/>
      <c r="EBX21" s="414"/>
      <c r="EBY21" s="414"/>
      <c r="EBZ21" s="414"/>
      <c r="ECA21" s="414"/>
      <c r="ECB21" s="414"/>
      <c r="ECC21" s="414"/>
      <c r="ECD21" s="414"/>
      <c r="ECE21" s="414"/>
      <c r="ECF21" s="414"/>
      <c r="ECG21" s="414"/>
      <c r="ECH21" s="414"/>
      <c r="ECI21" s="414"/>
      <c r="ECJ21" s="414"/>
      <c r="ECK21" s="414"/>
      <c r="ECL21" s="414"/>
      <c r="ECM21" s="414"/>
      <c r="ECN21" s="414"/>
      <c r="ECO21" s="414"/>
      <c r="ECP21" s="414"/>
      <c r="ECQ21" s="414"/>
      <c r="ECR21" s="414"/>
      <c r="ECS21" s="414"/>
      <c r="ECT21" s="414"/>
      <c r="ECU21" s="414"/>
      <c r="ECV21" s="414"/>
      <c r="ECW21" s="414"/>
      <c r="ECX21" s="414"/>
      <c r="ECY21" s="414"/>
      <c r="ECZ21" s="414"/>
      <c r="EDA21" s="414"/>
      <c r="EDB21" s="414"/>
      <c r="EDC21" s="414"/>
      <c r="EDD21" s="414"/>
      <c r="EDE21" s="414"/>
      <c r="EDF21" s="414"/>
      <c r="EDG21" s="414"/>
      <c r="EDH21" s="414"/>
      <c r="EDI21" s="414"/>
      <c r="EDJ21" s="414"/>
      <c r="EDK21" s="414"/>
      <c r="EDL21" s="414"/>
      <c r="EDM21" s="414"/>
      <c r="EDN21" s="414"/>
      <c r="EDO21" s="414"/>
      <c r="EDP21" s="414"/>
      <c r="EDQ21" s="414"/>
      <c r="EDR21" s="414"/>
      <c r="EDS21" s="414"/>
      <c r="EDT21" s="414"/>
      <c r="EDU21" s="414"/>
      <c r="EDV21" s="414"/>
      <c r="EDW21" s="414"/>
      <c r="EDX21" s="414"/>
      <c r="EDY21" s="414"/>
      <c r="EDZ21" s="414"/>
      <c r="EEA21" s="414"/>
      <c r="EEB21" s="414"/>
      <c r="EEC21" s="414"/>
      <c r="EED21" s="414"/>
      <c r="EEE21" s="414"/>
      <c r="EEF21" s="414"/>
      <c r="EEG21" s="414"/>
      <c r="EEH21" s="414"/>
      <c r="EEI21" s="414"/>
      <c r="EEJ21" s="414"/>
      <c r="EEK21" s="414"/>
      <c r="EEL21" s="414"/>
      <c r="EEM21" s="414"/>
      <c r="EEN21" s="414"/>
      <c r="EEO21" s="414"/>
      <c r="EEP21" s="414"/>
      <c r="EEQ21" s="414"/>
      <c r="EER21" s="414"/>
      <c r="EES21" s="414"/>
      <c r="EET21" s="414"/>
      <c r="EEU21" s="414"/>
      <c r="EEV21" s="414"/>
      <c r="EEW21" s="414"/>
      <c r="EEX21" s="414"/>
      <c r="EEY21" s="414"/>
      <c r="EEZ21" s="414"/>
      <c r="EFA21" s="414"/>
      <c r="EFB21" s="414"/>
      <c r="EFC21" s="414"/>
      <c r="EFD21" s="414"/>
      <c r="EFE21" s="414"/>
      <c r="EFF21" s="414"/>
      <c r="EFG21" s="414"/>
      <c r="EFH21" s="414"/>
      <c r="EFI21" s="414"/>
      <c r="EFJ21" s="414"/>
      <c r="EFK21" s="414"/>
      <c r="EFL21" s="414"/>
      <c r="EFM21" s="414"/>
      <c r="EFN21" s="414"/>
      <c r="EFO21" s="414"/>
      <c r="EFP21" s="414"/>
      <c r="EFQ21" s="414"/>
      <c r="EFR21" s="414"/>
      <c r="EFS21" s="414"/>
      <c r="EFT21" s="414"/>
      <c r="EFU21" s="414"/>
      <c r="EFV21" s="414"/>
      <c r="EFW21" s="414"/>
      <c r="EFX21" s="414"/>
      <c r="EFY21" s="414"/>
      <c r="EFZ21" s="414"/>
      <c r="EGA21" s="414"/>
      <c r="EGB21" s="414"/>
      <c r="EGC21" s="414"/>
      <c r="EGD21" s="414"/>
      <c r="EGE21" s="414"/>
      <c r="EGF21" s="414"/>
      <c r="EGG21" s="414"/>
      <c r="EGH21" s="414"/>
      <c r="EGI21" s="414"/>
      <c r="EGJ21" s="414"/>
      <c r="EGK21" s="414"/>
      <c r="EGL21" s="414"/>
      <c r="EGM21" s="414"/>
      <c r="EGN21" s="414"/>
      <c r="EGO21" s="414"/>
      <c r="EGP21" s="414"/>
      <c r="EGQ21" s="414"/>
      <c r="EGR21" s="414"/>
      <c r="EGS21" s="414"/>
      <c r="EGT21" s="414"/>
      <c r="EGU21" s="414"/>
      <c r="EGV21" s="414"/>
      <c r="EGW21" s="414"/>
      <c r="EGX21" s="414"/>
      <c r="EGY21" s="414"/>
      <c r="EGZ21" s="414"/>
      <c r="EHA21" s="414"/>
      <c r="EHB21" s="414"/>
      <c r="EHC21" s="414"/>
      <c r="EHD21" s="414"/>
      <c r="EHE21" s="414"/>
      <c r="EHF21" s="414"/>
      <c r="EHG21" s="414"/>
      <c r="EHH21" s="414"/>
      <c r="EHI21" s="414"/>
      <c r="EHJ21" s="414"/>
      <c r="EHK21" s="414"/>
      <c r="EHL21" s="414"/>
      <c r="EHM21" s="414"/>
      <c r="EHN21" s="414"/>
      <c r="EHO21" s="414"/>
      <c r="EHP21" s="414"/>
      <c r="EHQ21" s="414"/>
      <c r="EHR21" s="414"/>
      <c r="EHS21" s="414"/>
      <c r="EHT21" s="414"/>
      <c r="EHU21" s="414"/>
      <c r="EHV21" s="414"/>
      <c r="EHW21" s="414"/>
      <c r="EHX21" s="414"/>
      <c r="EHY21" s="414"/>
      <c r="EHZ21" s="414"/>
      <c r="EIA21" s="414"/>
      <c r="EIB21" s="414"/>
      <c r="EIC21" s="414"/>
      <c r="EID21" s="414"/>
      <c r="EIE21" s="414"/>
      <c r="EIF21" s="414"/>
      <c r="EIG21" s="414"/>
      <c r="EIH21" s="414"/>
      <c r="EII21" s="414"/>
      <c r="EIJ21" s="414"/>
      <c r="EIK21" s="414"/>
      <c r="EIL21" s="414"/>
      <c r="EIM21" s="414"/>
      <c r="EIN21" s="414"/>
      <c r="EIO21" s="414"/>
      <c r="EIP21" s="414"/>
      <c r="EIQ21" s="414"/>
      <c r="EIR21" s="414"/>
      <c r="EIS21" s="414"/>
      <c r="EIT21" s="414"/>
      <c r="EIU21" s="414"/>
      <c r="EIV21" s="414"/>
      <c r="EIW21" s="414"/>
      <c r="EIX21" s="414"/>
      <c r="EIY21" s="414"/>
      <c r="EIZ21" s="414"/>
      <c r="EJA21" s="414"/>
      <c r="EJB21" s="414"/>
      <c r="EJC21" s="414"/>
      <c r="EJD21" s="414"/>
      <c r="EJE21" s="414"/>
      <c r="EJF21" s="414"/>
      <c r="EJG21" s="414"/>
      <c r="EJH21" s="414"/>
      <c r="EJI21" s="414"/>
      <c r="EJJ21" s="414"/>
      <c r="EJK21" s="414"/>
      <c r="EJL21" s="414"/>
      <c r="EJM21" s="414"/>
      <c r="EJN21" s="414"/>
      <c r="EJO21" s="414"/>
      <c r="EJP21" s="414"/>
      <c r="EJQ21" s="414"/>
      <c r="EJR21" s="414"/>
      <c r="EJS21" s="414"/>
      <c r="EJT21" s="414"/>
      <c r="EJU21" s="414"/>
      <c r="EJV21" s="414"/>
      <c r="EJW21" s="414"/>
      <c r="EJX21" s="414"/>
      <c r="EJY21" s="414"/>
      <c r="EJZ21" s="414"/>
      <c r="EKA21" s="414"/>
      <c r="EKB21" s="414"/>
      <c r="EKC21" s="414"/>
      <c r="EKD21" s="414"/>
      <c r="EKE21" s="414"/>
      <c r="EKF21" s="414"/>
      <c r="EKG21" s="414"/>
      <c r="EKH21" s="414"/>
      <c r="EKI21" s="414"/>
      <c r="EKJ21" s="414"/>
      <c r="EKK21" s="414"/>
      <c r="EKL21" s="414"/>
      <c r="EKM21" s="414"/>
      <c r="EKN21" s="414"/>
      <c r="EKO21" s="414"/>
      <c r="EKP21" s="414"/>
      <c r="EKQ21" s="414"/>
      <c r="EKR21" s="414"/>
      <c r="EKS21" s="414"/>
      <c r="EKT21" s="414"/>
      <c r="EKU21" s="414"/>
      <c r="EKV21" s="414"/>
      <c r="EKW21" s="414"/>
      <c r="EKX21" s="414"/>
      <c r="EKY21" s="414"/>
      <c r="EKZ21" s="414"/>
      <c r="ELA21" s="414"/>
      <c r="ELB21" s="414"/>
      <c r="ELC21" s="414"/>
      <c r="ELD21" s="414"/>
      <c r="ELE21" s="414"/>
      <c r="ELF21" s="414"/>
      <c r="ELG21" s="414"/>
      <c r="ELH21" s="414"/>
      <c r="ELI21" s="414"/>
      <c r="ELJ21" s="414"/>
      <c r="ELK21" s="414"/>
      <c r="ELL21" s="414"/>
      <c r="ELM21" s="414"/>
      <c r="ELN21" s="414"/>
      <c r="ELO21" s="414"/>
      <c r="ELP21" s="414"/>
      <c r="ELQ21" s="414"/>
      <c r="ELR21" s="414"/>
      <c r="ELS21" s="414"/>
      <c r="ELT21" s="414"/>
      <c r="ELU21" s="414"/>
      <c r="ELV21" s="414"/>
      <c r="ELW21" s="414"/>
      <c r="ELX21" s="414"/>
      <c r="ELY21" s="414"/>
      <c r="ELZ21" s="414"/>
      <c r="EMA21" s="414"/>
      <c r="EMB21" s="414"/>
      <c r="EMC21" s="414"/>
      <c r="EMD21" s="414"/>
      <c r="EME21" s="414"/>
      <c r="EMF21" s="414"/>
      <c r="EMG21" s="414"/>
      <c r="EMH21" s="414"/>
      <c r="EMI21" s="414"/>
      <c r="EMJ21" s="414"/>
      <c r="EMK21" s="414"/>
      <c r="EML21" s="414"/>
      <c r="EMM21" s="414"/>
      <c r="EMN21" s="414"/>
      <c r="EMO21" s="414"/>
      <c r="EMP21" s="414"/>
      <c r="EMQ21" s="414"/>
      <c r="EMR21" s="414"/>
      <c r="EMS21" s="414"/>
      <c r="EMT21" s="414"/>
      <c r="EMU21" s="414"/>
      <c r="EMV21" s="414"/>
      <c r="EMW21" s="414"/>
      <c r="EMX21" s="414"/>
      <c r="EMY21" s="414"/>
      <c r="EMZ21" s="414"/>
      <c r="ENA21" s="414"/>
      <c r="ENB21" s="414"/>
      <c r="ENC21" s="414"/>
      <c r="END21" s="414"/>
      <c r="ENE21" s="414"/>
      <c r="ENF21" s="414"/>
      <c r="ENG21" s="414"/>
      <c r="ENH21" s="414"/>
      <c r="ENI21" s="414"/>
      <c r="ENJ21" s="414"/>
      <c r="ENK21" s="414"/>
      <c r="ENL21" s="414"/>
      <c r="ENM21" s="414"/>
      <c r="ENN21" s="414"/>
      <c r="ENO21" s="414"/>
      <c r="ENP21" s="414"/>
      <c r="ENQ21" s="414"/>
      <c r="ENR21" s="414"/>
      <c r="ENS21" s="414"/>
      <c r="ENT21" s="414"/>
      <c r="ENU21" s="414"/>
      <c r="ENV21" s="414"/>
      <c r="ENW21" s="414"/>
      <c r="ENX21" s="414"/>
      <c r="ENY21" s="414"/>
      <c r="ENZ21" s="414"/>
      <c r="EOA21" s="414"/>
      <c r="EOB21" s="414"/>
      <c r="EOC21" s="414"/>
      <c r="EOD21" s="414"/>
      <c r="EOE21" s="414"/>
      <c r="EOF21" s="414"/>
      <c r="EOG21" s="414"/>
      <c r="EOH21" s="414"/>
      <c r="EOI21" s="414"/>
      <c r="EOJ21" s="414"/>
      <c r="EOK21" s="414"/>
      <c r="EOL21" s="414"/>
      <c r="EOM21" s="414"/>
      <c r="EON21" s="414"/>
      <c r="EOO21" s="414"/>
      <c r="EOP21" s="414"/>
      <c r="EOQ21" s="414"/>
      <c r="EOR21" s="414"/>
      <c r="EOS21" s="414"/>
      <c r="EOT21" s="414"/>
      <c r="EOU21" s="414"/>
      <c r="EOV21" s="414"/>
      <c r="EOW21" s="414"/>
      <c r="EOX21" s="414"/>
      <c r="EOY21" s="414"/>
      <c r="EOZ21" s="414"/>
      <c r="EPA21" s="414"/>
      <c r="EPB21" s="414"/>
      <c r="EPC21" s="414"/>
      <c r="EPD21" s="414"/>
      <c r="EPE21" s="414"/>
      <c r="EPF21" s="414"/>
      <c r="EPG21" s="414"/>
      <c r="EPH21" s="414"/>
      <c r="EPI21" s="414"/>
      <c r="EPJ21" s="414"/>
      <c r="EPK21" s="414"/>
      <c r="EPL21" s="414"/>
      <c r="EPM21" s="414"/>
      <c r="EPN21" s="414"/>
      <c r="EPO21" s="414"/>
      <c r="EPP21" s="414"/>
      <c r="EPQ21" s="414"/>
      <c r="EPR21" s="414"/>
      <c r="EPS21" s="414"/>
      <c r="EPT21" s="414"/>
      <c r="EPU21" s="414"/>
      <c r="EPV21" s="414"/>
      <c r="EPW21" s="414"/>
      <c r="EPX21" s="414"/>
      <c r="EPY21" s="414"/>
      <c r="EPZ21" s="414"/>
      <c r="EQA21" s="414"/>
      <c r="EQB21" s="414"/>
      <c r="EQC21" s="414"/>
      <c r="EQD21" s="414"/>
      <c r="EQE21" s="414"/>
      <c r="EQF21" s="414"/>
      <c r="EQG21" s="414"/>
      <c r="EQH21" s="414"/>
      <c r="EQI21" s="414"/>
      <c r="EQJ21" s="414"/>
      <c r="EQK21" s="414"/>
      <c r="EQL21" s="414"/>
      <c r="EQM21" s="414"/>
      <c r="EQN21" s="414"/>
      <c r="EQO21" s="414"/>
      <c r="EQP21" s="414"/>
      <c r="EQQ21" s="414"/>
      <c r="EQR21" s="414"/>
      <c r="EQS21" s="414"/>
      <c r="EQT21" s="414"/>
      <c r="EQU21" s="414"/>
      <c r="EQV21" s="414"/>
      <c r="EQW21" s="414"/>
      <c r="EQX21" s="414"/>
      <c r="EQY21" s="414"/>
      <c r="EQZ21" s="414"/>
      <c r="ERA21" s="414"/>
      <c r="ERB21" s="414"/>
      <c r="ERC21" s="414"/>
      <c r="ERD21" s="414"/>
      <c r="ERE21" s="414"/>
      <c r="ERF21" s="414"/>
      <c r="ERG21" s="414"/>
      <c r="ERH21" s="414"/>
      <c r="ERI21" s="414"/>
      <c r="ERJ21" s="414"/>
      <c r="ERK21" s="414"/>
      <c r="ERL21" s="414"/>
      <c r="ERM21" s="414"/>
      <c r="ERN21" s="414"/>
      <c r="ERO21" s="414"/>
      <c r="ERP21" s="414"/>
      <c r="ERQ21" s="414"/>
      <c r="ERR21" s="414"/>
      <c r="ERS21" s="414"/>
      <c r="ERT21" s="414"/>
      <c r="ERU21" s="414"/>
      <c r="ERV21" s="414"/>
      <c r="ERW21" s="414"/>
      <c r="ERX21" s="414"/>
      <c r="ERY21" s="414"/>
      <c r="ERZ21" s="414"/>
      <c r="ESA21" s="414"/>
      <c r="ESB21" s="414"/>
      <c r="ESC21" s="414"/>
      <c r="ESD21" s="414"/>
      <c r="ESE21" s="414"/>
      <c r="ESF21" s="414"/>
      <c r="ESG21" s="414"/>
      <c r="ESH21" s="414"/>
      <c r="ESI21" s="414"/>
      <c r="ESJ21" s="414"/>
      <c r="ESK21" s="414"/>
      <c r="ESL21" s="414"/>
      <c r="ESM21" s="414"/>
      <c r="ESN21" s="414"/>
      <c r="ESO21" s="414"/>
      <c r="ESP21" s="414"/>
      <c r="ESQ21" s="414"/>
      <c r="ESR21" s="414"/>
      <c r="ESS21" s="414"/>
      <c r="EST21" s="414"/>
      <c r="ESU21" s="414"/>
      <c r="ESV21" s="414"/>
      <c r="ESW21" s="414"/>
      <c r="ESX21" s="414"/>
      <c r="ESY21" s="414"/>
      <c r="ESZ21" s="414"/>
      <c r="ETA21" s="414"/>
      <c r="ETB21" s="414"/>
      <c r="ETC21" s="414"/>
      <c r="ETD21" s="414"/>
      <c r="ETE21" s="414"/>
      <c r="ETF21" s="414"/>
      <c r="ETG21" s="414"/>
      <c r="ETH21" s="414"/>
      <c r="ETI21" s="414"/>
      <c r="ETJ21" s="414"/>
      <c r="ETK21" s="414"/>
      <c r="ETL21" s="414"/>
      <c r="ETM21" s="414"/>
      <c r="ETN21" s="414"/>
      <c r="ETO21" s="414"/>
      <c r="ETP21" s="414"/>
      <c r="ETQ21" s="414"/>
      <c r="ETR21" s="414"/>
      <c r="ETS21" s="414"/>
      <c r="ETT21" s="414"/>
      <c r="ETU21" s="414"/>
      <c r="ETV21" s="414"/>
      <c r="ETW21" s="414"/>
      <c r="ETX21" s="414"/>
      <c r="ETY21" s="414"/>
      <c r="ETZ21" s="414"/>
      <c r="EUA21" s="414"/>
      <c r="EUB21" s="414"/>
      <c r="EUC21" s="414"/>
      <c r="EUD21" s="414"/>
      <c r="EUE21" s="414"/>
      <c r="EUF21" s="414"/>
      <c r="EUG21" s="414"/>
      <c r="EUH21" s="414"/>
      <c r="EUI21" s="414"/>
      <c r="EUJ21" s="414"/>
      <c r="EUK21" s="414"/>
      <c r="EUL21" s="414"/>
      <c r="EUM21" s="414"/>
      <c r="EUN21" s="414"/>
      <c r="EUO21" s="414"/>
      <c r="EUP21" s="414"/>
      <c r="EUQ21" s="414"/>
      <c r="EUR21" s="414"/>
      <c r="EUS21" s="414"/>
      <c r="EUT21" s="414"/>
      <c r="EUU21" s="414"/>
      <c r="EUV21" s="414"/>
      <c r="EUW21" s="414"/>
      <c r="EUX21" s="414"/>
      <c r="EUY21" s="414"/>
      <c r="EUZ21" s="414"/>
      <c r="EVA21" s="414"/>
      <c r="EVB21" s="414"/>
      <c r="EVC21" s="414"/>
      <c r="EVD21" s="414"/>
      <c r="EVE21" s="414"/>
      <c r="EVF21" s="414"/>
      <c r="EVG21" s="414"/>
      <c r="EVH21" s="414"/>
      <c r="EVI21" s="414"/>
      <c r="EVJ21" s="414"/>
      <c r="EVK21" s="414"/>
      <c r="EVL21" s="414"/>
      <c r="EVM21" s="414"/>
      <c r="EVN21" s="414"/>
      <c r="EVO21" s="414"/>
      <c r="EVP21" s="414"/>
      <c r="EVQ21" s="414"/>
      <c r="EVR21" s="414"/>
      <c r="EVS21" s="414"/>
      <c r="EVT21" s="414"/>
      <c r="EVU21" s="414"/>
      <c r="EVV21" s="414"/>
      <c r="EVW21" s="414"/>
      <c r="EVX21" s="414"/>
      <c r="EVY21" s="414"/>
      <c r="EVZ21" s="414"/>
      <c r="EWA21" s="414"/>
      <c r="EWB21" s="414"/>
      <c r="EWC21" s="414"/>
      <c r="EWD21" s="414"/>
      <c r="EWE21" s="414"/>
      <c r="EWF21" s="414"/>
      <c r="EWG21" s="414"/>
      <c r="EWH21" s="414"/>
      <c r="EWI21" s="414"/>
      <c r="EWJ21" s="414"/>
      <c r="EWK21" s="414"/>
      <c r="EWL21" s="414"/>
      <c r="EWM21" s="414"/>
      <c r="EWN21" s="414"/>
      <c r="EWO21" s="414"/>
      <c r="EWP21" s="414"/>
      <c r="EWQ21" s="414"/>
      <c r="EWR21" s="414"/>
      <c r="EWS21" s="414"/>
      <c r="EWT21" s="414"/>
      <c r="EWU21" s="414"/>
      <c r="EWV21" s="414"/>
      <c r="EWW21" s="414"/>
      <c r="EWX21" s="414"/>
      <c r="EWY21" s="414"/>
      <c r="EWZ21" s="414"/>
      <c r="EXA21" s="414"/>
      <c r="EXB21" s="414"/>
      <c r="EXC21" s="414"/>
      <c r="EXD21" s="414"/>
      <c r="EXE21" s="414"/>
      <c r="EXF21" s="414"/>
      <c r="EXG21" s="414"/>
      <c r="EXH21" s="414"/>
      <c r="EXI21" s="414"/>
      <c r="EXJ21" s="414"/>
      <c r="EXK21" s="414"/>
      <c r="EXL21" s="414"/>
      <c r="EXM21" s="414"/>
      <c r="EXN21" s="414"/>
      <c r="EXO21" s="414"/>
      <c r="EXP21" s="414"/>
      <c r="EXQ21" s="414"/>
      <c r="EXR21" s="414"/>
      <c r="EXS21" s="414"/>
      <c r="EXT21" s="414"/>
      <c r="EXU21" s="414"/>
      <c r="EXV21" s="414"/>
      <c r="EXW21" s="414"/>
      <c r="EXX21" s="414"/>
      <c r="EXY21" s="414"/>
      <c r="EXZ21" s="414"/>
      <c r="EYA21" s="414"/>
      <c r="EYB21" s="414"/>
      <c r="EYC21" s="414"/>
      <c r="EYD21" s="414"/>
      <c r="EYE21" s="414"/>
      <c r="EYF21" s="414"/>
      <c r="EYG21" s="414"/>
      <c r="EYH21" s="414"/>
      <c r="EYI21" s="414"/>
      <c r="EYJ21" s="414"/>
      <c r="EYK21" s="414"/>
      <c r="EYL21" s="414"/>
      <c r="EYM21" s="414"/>
      <c r="EYN21" s="414"/>
      <c r="EYO21" s="414"/>
      <c r="EYP21" s="414"/>
      <c r="EYQ21" s="414"/>
      <c r="EYR21" s="414"/>
      <c r="EYS21" s="414"/>
      <c r="EYT21" s="414"/>
      <c r="EYU21" s="414"/>
      <c r="EYV21" s="414"/>
      <c r="EYW21" s="414"/>
      <c r="EYX21" s="414"/>
      <c r="EYY21" s="414"/>
      <c r="EYZ21" s="414"/>
      <c r="EZA21" s="414"/>
      <c r="EZB21" s="414"/>
      <c r="EZC21" s="414"/>
      <c r="EZD21" s="414"/>
      <c r="EZE21" s="414"/>
      <c r="EZF21" s="414"/>
      <c r="EZG21" s="414"/>
      <c r="EZH21" s="414"/>
      <c r="EZI21" s="414"/>
      <c r="EZJ21" s="414"/>
      <c r="EZK21" s="414"/>
      <c r="EZL21" s="414"/>
      <c r="EZM21" s="414"/>
      <c r="EZN21" s="414"/>
      <c r="EZO21" s="414"/>
      <c r="EZP21" s="414"/>
      <c r="EZQ21" s="414"/>
      <c r="EZR21" s="414"/>
      <c r="EZS21" s="414"/>
      <c r="EZT21" s="414"/>
      <c r="EZU21" s="414"/>
      <c r="EZV21" s="414"/>
      <c r="EZW21" s="414"/>
      <c r="EZX21" s="414"/>
      <c r="EZY21" s="414"/>
      <c r="EZZ21" s="414"/>
      <c r="FAA21" s="414"/>
      <c r="FAB21" s="414"/>
      <c r="FAC21" s="414"/>
      <c r="FAD21" s="414"/>
      <c r="FAE21" s="414"/>
      <c r="FAF21" s="414"/>
      <c r="FAG21" s="414"/>
      <c r="FAH21" s="414"/>
      <c r="FAI21" s="414"/>
      <c r="FAJ21" s="414"/>
      <c r="FAK21" s="414"/>
      <c r="FAL21" s="414"/>
      <c r="FAM21" s="414"/>
      <c r="FAN21" s="414"/>
      <c r="FAO21" s="414"/>
      <c r="FAP21" s="414"/>
      <c r="FAQ21" s="414"/>
      <c r="FAR21" s="414"/>
      <c r="FAS21" s="414"/>
      <c r="FAT21" s="414"/>
      <c r="FAU21" s="414"/>
      <c r="FAV21" s="414"/>
      <c r="FAW21" s="414"/>
      <c r="FAX21" s="414"/>
      <c r="FAY21" s="414"/>
      <c r="FAZ21" s="414"/>
      <c r="FBA21" s="414"/>
      <c r="FBB21" s="414"/>
      <c r="FBC21" s="414"/>
      <c r="FBD21" s="414"/>
      <c r="FBE21" s="414"/>
      <c r="FBF21" s="414"/>
      <c r="FBG21" s="414"/>
      <c r="FBH21" s="414"/>
      <c r="FBI21" s="414"/>
      <c r="FBJ21" s="414"/>
      <c r="FBK21" s="414"/>
      <c r="FBL21" s="414"/>
      <c r="FBM21" s="414"/>
      <c r="FBN21" s="414"/>
      <c r="FBO21" s="414"/>
      <c r="FBP21" s="414"/>
      <c r="FBQ21" s="414"/>
      <c r="FBR21" s="414"/>
      <c r="FBS21" s="414"/>
      <c r="FBT21" s="414"/>
      <c r="FBU21" s="414"/>
      <c r="FBV21" s="414"/>
      <c r="FBW21" s="414"/>
      <c r="FBX21" s="414"/>
      <c r="FBY21" s="414"/>
      <c r="FBZ21" s="414"/>
      <c r="FCA21" s="414"/>
      <c r="FCB21" s="414"/>
      <c r="FCC21" s="414"/>
      <c r="FCD21" s="414"/>
      <c r="FCE21" s="414"/>
      <c r="FCF21" s="414"/>
      <c r="FCG21" s="414"/>
      <c r="FCH21" s="414"/>
      <c r="FCI21" s="414"/>
      <c r="FCJ21" s="414"/>
      <c r="FCK21" s="414"/>
      <c r="FCL21" s="414"/>
      <c r="FCM21" s="414"/>
      <c r="FCN21" s="414"/>
      <c r="FCO21" s="414"/>
      <c r="FCP21" s="414"/>
      <c r="FCQ21" s="414"/>
      <c r="FCR21" s="414"/>
      <c r="FCS21" s="414"/>
      <c r="FCT21" s="414"/>
      <c r="FCU21" s="414"/>
      <c r="FCV21" s="414"/>
      <c r="FCW21" s="414"/>
      <c r="FCX21" s="414"/>
      <c r="FCY21" s="414"/>
      <c r="FCZ21" s="414"/>
      <c r="FDA21" s="414"/>
      <c r="FDB21" s="414"/>
      <c r="FDC21" s="414"/>
      <c r="FDD21" s="414"/>
      <c r="FDE21" s="414"/>
      <c r="FDF21" s="414"/>
      <c r="FDG21" s="414"/>
      <c r="FDH21" s="414"/>
      <c r="FDI21" s="414"/>
      <c r="FDJ21" s="414"/>
      <c r="FDK21" s="414"/>
      <c r="FDL21" s="414"/>
      <c r="FDM21" s="414"/>
      <c r="FDN21" s="414"/>
      <c r="FDO21" s="414"/>
      <c r="FDP21" s="414"/>
      <c r="FDQ21" s="414"/>
      <c r="FDR21" s="414"/>
      <c r="FDS21" s="414"/>
      <c r="FDT21" s="414"/>
      <c r="FDU21" s="414"/>
      <c r="FDV21" s="414"/>
      <c r="FDW21" s="414"/>
      <c r="FDX21" s="414"/>
      <c r="FDY21" s="414"/>
      <c r="FDZ21" s="414"/>
      <c r="FEA21" s="414"/>
      <c r="FEB21" s="414"/>
      <c r="FEC21" s="414"/>
      <c r="FED21" s="414"/>
      <c r="FEE21" s="414"/>
      <c r="FEF21" s="414"/>
      <c r="FEG21" s="414"/>
      <c r="FEH21" s="414"/>
      <c r="FEI21" s="414"/>
      <c r="FEJ21" s="414"/>
      <c r="FEK21" s="414"/>
      <c r="FEL21" s="414"/>
      <c r="FEM21" s="414"/>
      <c r="FEN21" s="414"/>
      <c r="FEO21" s="414"/>
      <c r="FEP21" s="414"/>
      <c r="FEQ21" s="414"/>
      <c r="FER21" s="414"/>
      <c r="FES21" s="414"/>
      <c r="FET21" s="414"/>
      <c r="FEU21" s="414"/>
      <c r="FEV21" s="414"/>
      <c r="FEW21" s="414"/>
      <c r="FEX21" s="414"/>
      <c r="FEY21" s="414"/>
      <c r="FEZ21" s="414"/>
      <c r="FFA21" s="414"/>
      <c r="FFB21" s="414"/>
      <c r="FFC21" s="414"/>
      <c r="FFD21" s="414"/>
      <c r="FFE21" s="414"/>
      <c r="FFF21" s="414"/>
      <c r="FFG21" s="414"/>
      <c r="FFH21" s="414"/>
      <c r="FFI21" s="414"/>
      <c r="FFJ21" s="414"/>
      <c r="FFK21" s="414"/>
      <c r="FFL21" s="414"/>
      <c r="FFM21" s="414"/>
      <c r="FFN21" s="414"/>
      <c r="FFO21" s="414"/>
      <c r="FFP21" s="414"/>
      <c r="FFQ21" s="414"/>
      <c r="FFR21" s="414"/>
      <c r="FFS21" s="414"/>
      <c r="FFT21" s="414"/>
      <c r="FFU21" s="414"/>
      <c r="FFV21" s="414"/>
      <c r="FFW21" s="414"/>
      <c r="FFX21" s="414"/>
      <c r="FFY21" s="414"/>
      <c r="FFZ21" s="414"/>
      <c r="FGA21" s="414"/>
      <c r="FGB21" s="414"/>
      <c r="FGC21" s="414"/>
      <c r="FGD21" s="414"/>
      <c r="FGE21" s="414"/>
      <c r="FGF21" s="414"/>
      <c r="FGG21" s="414"/>
      <c r="FGH21" s="414"/>
      <c r="FGI21" s="414"/>
      <c r="FGJ21" s="414"/>
      <c r="FGK21" s="414"/>
      <c r="FGL21" s="414"/>
      <c r="FGM21" s="414"/>
      <c r="FGN21" s="414"/>
      <c r="FGO21" s="414"/>
      <c r="FGP21" s="414"/>
      <c r="FGQ21" s="414"/>
      <c r="FGR21" s="414"/>
      <c r="FGS21" s="414"/>
      <c r="FGT21" s="414"/>
      <c r="FGU21" s="414"/>
      <c r="FGV21" s="414"/>
      <c r="FGW21" s="414"/>
      <c r="FGX21" s="414"/>
      <c r="FGY21" s="414"/>
      <c r="FGZ21" s="414"/>
      <c r="FHA21" s="414"/>
      <c r="FHB21" s="414"/>
      <c r="FHC21" s="414"/>
      <c r="FHD21" s="414"/>
      <c r="FHE21" s="414"/>
      <c r="FHF21" s="414"/>
      <c r="FHG21" s="414"/>
      <c r="FHH21" s="414"/>
      <c r="FHI21" s="414"/>
      <c r="FHJ21" s="414"/>
      <c r="FHK21" s="414"/>
      <c r="FHL21" s="414"/>
      <c r="FHM21" s="414"/>
      <c r="FHN21" s="414"/>
      <c r="FHO21" s="414"/>
      <c r="FHP21" s="414"/>
      <c r="FHQ21" s="414"/>
      <c r="FHR21" s="414"/>
      <c r="FHS21" s="414"/>
      <c r="FHT21" s="414"/>
      <c r="FHU21" s="414"/>
      <c r="FHV21" s="414"/>
      <c r="FHW21" s="414"/>
      <c r="FHX21" s="414"/>
      <c r="FHY21" s="414"/>
      <c r="FHZ21" s="414"/>
      <c r="FIA21" s="414"/>
      <c r="FIB21" s="414"/>
      <c r="FIC21" s="414"/>
      <c r="FID21" s="414"/>
      <c r="FIE21" s="414"/>
      <c r="FIF21" s="414"/>
      <c r="FIG21" s="414"/>
      <c r="FIH21" s="414"/>
      <c r="FII21" s="414"/>
      <c r="FIJ21" s="414"/>
      <c r="FIK21" s="414"/>
      <c r="FIL21" s="414"/>
      <c r="FIM21" s="414"/>
      <c r="FIN21" s="414"/>
      <c r="FIO21" s="414"/>
      <c r="FIP21" s="414"/>
      <c r="FIQ21" s="414"/>
      <c r="FIR21" s="414"/>
      <c r="FIS21" s="414"/>
      <c r="FIT21" s="414"/>
      <c r="FIU21" s="414"/>
      <c r="FIV21" s="414"/>
      <c r="FIW21" s="414"/>
      <c r="FIX21" s="414"/>
      <c r="FIY21" s="414"/>
      <c r="FIZ21" s="414"/>
      <c r="FJA21" s="414"/>
      <c r="FJB21" s="414"/>
      <c r="FJC21" s="414"/>
      <c r="FJD21" s="414"/>
      <c r="FJE21" s="414"/>
      <c r="FJF21" s="414"/>
      <c r="FJG21" s="414"/>
      <c r="FJH21" s="414"/>
      <c r="FJI21" s="414"/>
      <c r="FJJ21" s="414"/>
      <c r="FJK21" s="414"/>
      <c r="FJL21" s="414"/>
      <c r="FJM21" s="414"/>
      <c r="FJN21" s="414"/>
      <c r="FJO21" s="414"/>
      <c r="FJP21" s="414"/>
      <c r="FJQ21" s="414"/>
      <c r="FJR21" s="414"/>
      <c r="FJS21" s="414"/>
      <c r="FJT21" s="414"/>
      <c r="FJU21" s="414"/>
      <c r="FJV21" s="414"/>
      <c r="FJW21" s="414"/>
      <c r="FJX21" s="414"/>
      <c r="FJY21" s="414"/>
      <c r="FJZ21" s="414"/>
      <c r="FKA21" s="414"/>
      <c r="FKB21" s="414"/>
      <c r="FKC21" s="414"/>
      <c r="FKD21" s="414"/>
      <c r="FKE21" s="414"/>
      <c r="FKF21" s="414"/>
      <c r="FKG21" s="414"/>
      <c r="FKH21" s="414"/>
      <c r="FKI21" s="414"/>
      <c r="FKJ21" s="414"/>
      <c r="FKK21" s="414"/>
      <c r="FKL21" s="414"/>
      <c r="FKM21" s="414"/>
      <c r="FKN21" s="414"/>
      <c r="FKO21" s="414"/>
      <c r="FKP21" s="414"/>
      <c r="FKQ21" s="414"/>
      <c r="FKR21" s="414"/>
      <c r="FKS21" s="414"/>
      <c r="FKT21" s="414"/>
      <c r="FKU21" s="414"/>
      <c r="FKV21" s="414"/>
      <c r="FKW21" s="414"/>
      <c r="FKX21" s="414"/>
      <c r="FKY21" s="414"/>
      <c r="FKZ21" s="414"/>
      <c r="FLA21" s="414"/>
      <c r="FLB21" s="414"/>
      <c r="FLC21" s="414"/>
      <c r="FLD21" s="414"/>
      <c r="FLE21" s="414"/>
      <c r="FLF21" s="414"/>
      <c r="FLG21" s="414"/>
      <c r="FLH21" s="414"/>
      <c r="FLI21" s="414"/>
      <c r="FLJ21" s="414"/>
      <c r="FLK21" s="414"/>
      <c r="FLL21" s="414"/>
      <c r="FLM21" s="414"/>
      <c r="FLN21" s="414"/>
      <c r="FLO21" s="414"/>
      <c r="FLP21" s="414"/>
      <c r="FLQ21" s="414"/>
      <c r="FLR21" s="414"/>
      <c r="FLS21" s="414"/>
      <c r="FLT21" s="414"/>
      <c r="FLU21" s="414"/>
      <c r="FLV21" s="414"/>
      <c r="FLW21" s="414"/>
      <c r="FLX21" s="414"/>
      <c r="FLY21" s="414"/>
      <c r="FLZ21" s="414"/>
      <c r="FMA21" s="414"/>
      <c r="FMB21" s="414"/>
      <c r="FMC21" s="414"/>
      <c r="FMD21" s="414"/>
      <c r="FME21" s="414"/>
      <c r="FMF21" s="414"/>
      <c r="FMG21" s="414"/>
      <c r="FMH21" s="414"/>
      <c r="FMI21" s="414"/>
      <c r="FMJ21" s="414"/>
      <c r="FMK21" s="414"/>
      <c r="FML21" s="414"/>
      <c r="FMM21" s="414"/>
      <c r="FMN21" s="414"/>
      <c r="FMO21" s="414"/>
      <c r="FMP21" s="414"/>
      <c r="FMQ21" s="414"/>
      <c r="FMR21" s="414"/>
      <c r="FMS21" s="414"/>
      <c r="FMT21" s="414"/>
      <c r="FMU21" s="414"/>
      <c r="FMV21" s="414"/>
      <c r="FMW21" s="414"/>
      <c r="FMX21" s="414"/>
      <c r="FMY21" s="414"/>
      <c r="FMZ21" s="414"/>
      <c r="FNA21" s="414"/>
      <c r="FNB21" s="414"/>
      <c r="FNC21" s="414"/>
      <c r="FND21" s="414"/>
      <c r="FNE21" s="414"/>
      <c r="FNF21" s="414"/>
      <c r="FNG21" s="414"/>
      <c r="FNH21" s="414"/>
      <c r="FNI21" s="414"/>
      <c r="FNJ21" s="414"/>
      <c r="FNK21" s="414"/>
      <c r="FNL21" s="414"/>
      <c r="FNM21" s="414"/>
      <c r="FNN21" s="414"/>
      <c r="FNO21" s="414"/>
      <c r="FNP21" s="414"/>
      <c r="FNQ21" s="414"/>
      <c r="FNR21" s="414"/>
      <c r="FNS21" s="414"/>
      <c r="FNT21" s="414"/>
      <c r="FNU21" s="414"/>
      <c r="FNV21" s="414"/>
      <c r="FNW21" s="414"/>
      <c r="FNX21" s="414"/>
      <c r="FNY21" s="414"/>
      <c r="FNZ21" s="414"/>
      <c r="FOA21" s="414"/>
      <c r="FOB21" s="414"/>
      <c r="FOC21" s="414"/>
      <c r="FOD21" s="414"/>
      <c r="FOE21" s="414"/>
      <c r="FOF21" s="414"/>
      <c r="FOG21" s="414"/>
      <c r="FOH21" s="414"/>
      <c r="FOI21" s="414"/>
      <c r="FOJ21" s="414"/>
      <c r="FOK21" s="414"/>
      <c r="FOL21" s="414"/>
      <c r="FOM21" s="414"/>
      <c r="FON21" s="414"/>
      <c r="FOO21" s="414"/>
      <c r="FOP21" s="414"/>
      <c r="FOQ21" s="414"/>
      <c r="FOR21" s="414"/>
      <c r="FOS21" s="414"/>
      <c r="FOT21" s="414"/>
      <c r="FOU21" s="414"/>
      <c r="FOV21" s="414"/>
      <c r="FOW21" s="414"/>
      <c r="FOX21" s="414"/>
      <c r="FOY21" s="414"/>
      <c r="FOZ21" s="414"/>
      <c r="FPA21" s="414"/>
      <c r="FPB21" s="414"/>
      <c r="FPC21" s="414"/>
      <c r="FPD21" s="414"/>
      <c r="FPE21" s="414"/>
      <c r="FPF21" s="414"/>
      <c r="FPG21" s="414"/>
      <c r="FPH21" s="414"/>
      <c r="FPI21" s="414"/>
      <c r="FPJ21" s="414"/>
      <c r="FPK21" s="414"/>
      <c r="FPL21" s="414"/>
      <c r="FPM21" s="414"/>
      <c r="FPN21" s="414"/>
      <c r="FPO21" s="414"/>
      <c r="FPP21" s="414"/>
      <c r="FPQ21" s="414"/>
      <c r="FPR21" s="414"/>
      <c r="FPS21" s="414"/>
      <c r="FPT21" s="414"/>
      <c r="FPU21" s="414"/>
      <c r="FPV21" s="414"/>
      <c r="FPW21" s="414"/>
      <c r="FPX21" s="414"/>
      <c r="FPY21" s="414"/>
      <c r="FPZ21" s="414"/>
      <c r="FQA21" s="414"/>
      <c r="FQB21" s="414"/>
      <c r="FQC21" s="414"/>
      <c r="FQD21" s="414"/>
      <c r="FQE21" s="414"/>
      <c r="FQF21" s="414"/>
      <c r="FQG21" s="414"/>
      <c r="FQH21" s="414"/>
      <c r="FQI21" s="414"/>
      <c r="FQJ21" s="414"/>
      <c r="FQK21" s="414"/>
      <c r="FQL21" s="414"/>
      <c r="FQM21" s="414"/>
      <c r="FQN21" s="414"/>
      <c r="FQO21" s="414"/>
      <c r="FQP21" s="414"/>
      <c r="FQQ21" s="414"/>
      <c r="FQR21" s="414"/>
      <c r="FQS21" s="414"/>
      <c r="FQT21" s="414"/>
      <c r="FQU21" s="414"/>
      <c r="FQV21" s="414"/>
      <c r="FQW21" s="414"/>
      <c r="FQX21" s="414"/>
      <c r="FQY21" s="414"/>
      <c r="FQZ21" s="414"/>
      <c r="FRA21" s="414"/>
      <c r="FRB21" s="414"/>
      <c r="FRC21" s="414"/>
      <c r="FRD21" s="414"/>
      <c r="FRE21" s="414"/>
      <c r="FRF21" s="414"/>
      <c r="FRG21" s="414"/>
      <c r="FRH21" s="414"/>
      <c r="FRI21" s="414"/>
      <c r="FRJ21" s="414"/>
      <c r="FRK21" s="414"/>
      <c r="FRL21" s="414"/>
      <c r="FRM21" s="414"/>
      <c r="FRN21" s="414"/>
      <c r="FRO21" s="414"/>
      <c r="FRP21" s="414"/>
      <c r="FRQ21" s="414"/>
      <c r="FRR21" s="414"/>
      <c r="FRS21" s="414"/>
      <c r="FRT21" s="414"/>
      <c r="FRU21" s="414"/>
      <c r="FRV21" s="414"/>
      <c r="FRW21" s="414"/>
      <c r="FRX21" s="414"/>
      <c r="FRY21" s="414"/>
      <c r="FRZ21" s="414"/>
      <c r="FSA21" s="414"/>
      <c r="FSB21" s="414"/>
      <c r="FSC21" s="414"/>
      <c r="FSD21" s="414"/>
      <c r="FSE21" s="414"/>
      <c r="FSF21" s="414"/>
      <c r="FSG21" s="414"/>
      <c r="FSH21" s="414"/>
      <c r="FSI21" s="414"/>
      <c r="FSJ21" s="414"/>
      <c r="FSK21" s="414"/>
      <c r="FSL21" s="414"/>
      <c r="FSM21" s="414"/>
      <c r="FSN21" s="414"/>
      <c r="FSO21" s="414"/>
      <c r="FSP21" s="414"/>
      <c r="FSQ21" s="414"/>
      <c r="FSR21" s="414"/>
      <c r="FSS21" s="414"/>
      <c r="FST21" s="414"/>
      <c r="FSU21" s="414"/>
      <c r="FSV21" s="414"/>
      <c r="FSW21" s="414"/>
      <c r="FSX21" s="414"/>
      <c r="FSY21" s="414"/>
      <c r="FSZ21" s="414"/>
      <c r="FTA21" s="414"/>
      <c r="FTB21" s="414"/>
      <c r="FTC21" s="414"/>
      <c r="FTD21" s="414"/>
      <c r="FTE21" s="414"/>
      <c r="FTF21" s="414"/>
      <c r="FTG21" s="414"/>
      <c r="FTH21" s="414"/>
      <c r="FTI21" s="414"/>
      <c r="FTJ21" s="414"/>
      <c r="FTK21" s="414"/>
      <c r="FTL21" s="414"/>
      <c r="FTM21" s="414"/>
      <c r="FTN21" s="414"/>
      <c r="FTO21" s="414"/>
      <c r="FTP21" s="414"/>
      <c r="FTQ21" s="414"/>
      <c r="FTR21" s="414"/>
      <c r="FTS21" s="414"/>
      <c r="FTT21" s="414"/>
      <c r="FTU21" s="414"/>
      <c r="FTV21" s="414"/>
      <c r="FTW21" s="414"/>
      <c r="FTX21" s="414"/>
      <c r="FTY21" s="414"/>
      <c r="FTZ21" s="414"/>
      <c r="FUA21" s="414"/>
      <c r="FUB21" s="414"/>
      <c r="FUC21" s="414"/>
      <c r="FUD21" s="414"/>
      <c r="FUE21" s="414"/>
      <c r="FUF21" s="414"/>
      <c r="FUG21" s="414"/>
      <c r="FUH21" s="414"/>
      <c r="FUI21" s="414"/>
      <c r="FUJ21" s="414"/>
      <c r="FUK21" s="414"/>
      <c r="FUL21" s="414"/>
      <c r="FUM21" s="414"/>
      <c r="FUN21" s="414"/>
      <c r="FUO21" s="414"/>
      <c r="FUP21" s="414"/>
      <c r="FUQ21" s="414"/>
      <c r="FUR21" s="414"/>
      <c r="FUS21" s="414"/>
      <c r="FUT21" s="414"/>
      <c r="FUU21" s="414"/>
      <c r="FUV21" s="414"/>
      <c r="FUW21" s="414"/>
      <c r="FUX21" s="414"/>
      <c r="FUY21" s="414"/>
      <c r="FUZ21" s="414"/>
      <c r="FVA21" s="414"/>
      <c r="FVB21" s="414"/>
      <c r="FVC21" s="414"/>
      <c r="FVD21" s="414"/>
      <c r="FVE21" s="414"/>
      <c r="FVF21" s="414"/>
      <c r="FVG21" s="414"/>
      <c r="FVH21" s="414"/>
      <c r="FVI21" s="414"/>
      <c r="FVJ21" s="414"/>
      <c r="FVK21" s="414"/>
      <c r="FVL21" s="414"/>
      <c r="FVM21" s="414"/>
      <c r="FVN21" s="414"/>
      <c r="FVO21" s="414"/>
      <c r="FVP21" s="414"/>
      <c r="FVQ21" s="414"/>
      <c r="FVR21" s="414"/>
      <c r="FVS21" s="414"/>
      <c r="FVT21" s="414"/>
      <c r="FVU21" s="414"/>
      <c r="FVV21" s="414"/>
      <c r="FVW21" s="414"/>
      <c r="FVX21" s="414"/>
      <c r="FVY21" s="414"/>
      <c r="FVZ21" s="414"/>
      <c r="FWA21" s="414"/>
      <c r="FWB21" s="414"/>
      <c r="FWC21" s="414"/>
      <c r="FWD21" s="414"/>
      <c r="FWE21" s="414"/>
      <c r="FWF21" s="414"/>
      <c r="FWG21" s="414"/>
      <c r="FWH21" s="414"/>
      <c r="FWI21" s="414"/>
      <c r="FWJ21" s="414"/>
      <c r="FWK21" s="414"/>
      <c r="FWL21" s="414"/>
      <c r="FWM21" s="414"/>
      <c r="FWN21" s="414"/>
      <c r="FWO21" s="414"/>
      <c r="FWP21" s="414"/>
      <c r="FWQ21" s="414"/>
      <c r="FWR21" s="414"/>
      <c r="FWS21" s="414"/>
      <c r="FWT21" s="414"/>
      <c r="FWU21" s="414"/>
      <c r="FWV21" s="414"/>
      <c r="FWW21" s="414"/>
      <c r="FWX21" s="414"/>
      <c r="FWY21" s="414"/>
      <c r="FWZ21" s="414"/>
      <c r="FXA21" s="414"/>
      <c r="FXB21" s="414"/>
      <c r="FXC21" s="414"/>
      <c r="FXD21" s="414"/>
      <c r="FXE21" s="414"/>
      <c r="FXF21" s="414"/>
      <c r="FXG21" s="414"/>
      <c r="FXH21" s="414"/>
      <c r="FXI21" s="414"/>
      <c r="FXJ21" s="414"/>
      <c r="FXK21" s="414"/>
      <c r="FXL21" s="414"/>
      <c r="FXM21" s="414"/>
      <c r="FXN21" s="414"/>
      <c r="FXO21" s="414"/>
      <c r="FXP21" s="414"/>
      <c r="FXQ21" s="414"/>
      <c r="FXR21" s="414"/>
      <c r="FXS21" s="414"/>
      <c r="FXT21" s="414"/>
      <c r="FXU21" s="414"/>
      <c r="FXV21" s="414"/>
      <c r="FXW21" s="414"/>
      <c r="FXX21" s="414"/>
      <c r="FXY21" s="414"/>
      <c r="FXZ21" s="414"/>
      <c r="FYA21" s="414"/>
      <c r="FYB21" s="414"/>
      <c r="FYC21" s="414"/>
      <c r="FYD21" s="414"/>
      <c r="FYE21" s="414"/>
      <c r="FYF21" s="414"/>
      <c r="FYG21" s="414"/>
      <c r="FYH21" s="414"/>
      <c r="FYI21" s="414"/>
      <c r="FYJ21" s="414"/>
      <c r="FYK21" s="414"/>
      <c r="FYL21" s="414"/>
      <c r="FYM21" s="414"/>
      <c r="FYN21" s="414"/>
      <c r="FYO21" s="414"/>
      <c r="FYP21" s="414"/>
      <c r="FYQ21" s="414"/>
      <c r="FYR21" s="414"/>
      <c r="FYS21" s="414"/>
      <c r="FYT21" s="414"/>
      <c r="FYU21" s="414"/>
      <c r="FYV21" s="414"/>
      <c r="FYW21" s="414"/>
      <c r="FYX21" s="414"/>
      <c r="FYY21" s="414"/>
      <c r="FYZ21" s="414"/>
      <c r="FZA21" s="414"/>
      <c r="FZB21" s="414"/>
      <c r="FZC21" s="414"/>
      <c r="FZD21" s="414"/>
      <c r="FZE21" s="414"/>
      <c r="FZF21" s="414"/>
      <c r="FZG21" s="414"/>
      <c r="FZH21" s="414"/>
      <c r="FZI21" s="414"/>
      <c r="FZJ21" s="414"/>
      <c r="FZK21" s="414"/>
      <c r="FZL21" s="414"/>
      <c r="FZM21" s="414"/>
      <c r="FZN21" s="414"/>
      <c r="FZO21" s="414"/>
      <c r="FZP21" s="414"/>
      <c r="FZQ21" s="414"/>
      <c r="FZR21" s="414"/>
      <c r="FZS21" s="414"/>
      <c r="FZT21" s="414"/>
      <c r="FZU21" s="414"/>
      <c r="FZV21" s="414"/>
      <c r="FZW21" s="414"/>
      <c r="FZX21" s="414"/>
      <c r="FZY21" s="414"/>
      <c r="FZZ21" s="414"/>
      <c r="GAA21" s="414"/>
      <c r="GAB21" s="414"/>
      <c r="GAC21" s="414"/>
      <c r="GAD21" s="414"/>
      <c r="GAE21" s="414"/>
      <c r="GAF21" s="414"/>
      <c r="GAG21" s="414"/>
      <c r="GAH21" s="414"/>
      <c r="GAI21" s="414"/>
      <c r="GAJ21" s="414"/>
      <c r="GAK21" s="414"/>
      <c r="GAL21" s="414"/>
      <c r="GAM21" s="414"/>
      <c r="GAN21" s="414"/>
      <c r="GAO21" s="414"/>
      <c r="GAP21" s="414"/>
      <c r="GAQ21" s="414"/>
      <c r="GAR21" s="414"/>
      <c r="GAS21" s="414"/>
      <c r="GAT21" s="414"/>
      <c r="GAU21" s="414"/>
      <c r="GAV21" s="414"/>
      <c r="GAW21" s="414"/>
      <c r="GAX21" s="414"/>
      <c r="GAY21" s="414"/>
      <c r="GAZ21" s="414"/>
      <c r="GBA21" s="414"/>
      <c r="GBB21" s="414"/>
      <c r="GBC21" s="414"/>
      <c r="GBD21" s="414"/>
      <c r="GBE21" s="414"/>
      <c r="GBF21" s="414"/>
      <c r="GBG21" s="414"/>
      <c r="GBH21" s="414"/>
      <c r="GBI21" s="414"/>
      <c r="GBJ21" s="414"/>
      <c r="GBK21" s="414"/>
      <c r="GBL21" s="414"/>
      <c r="GBM21" s="414"/>
      <c r="GBN21" s="414"/>
      <c r="GBO21" s="414"/>
      <c r="GBP21" s="414"/>
      <c r="GBQ21" s="414"/>
      <c r="GBR21" s="414"/>
      <c r="GBS21" s="414"/>
      <c r="GBT21" s="414"/>
      <c r="GBU21" s="414"/>
      <c r="GBV21" s="414"/>
      <c r="GBW21" s="414"/>
      <c r="GBX21" s="414"/>
      <c r="GBY21" s="414"/>
      <c r="GBZ21" s="414"/>
      <c r="GCA21" s="414"/>
      <c r="GCB21" s="414"/>
      <c r="GCC21" s="414"/>
      <c r="GCD21" s="414"/>
      <c r="GCE21" s="414"/>
      <c r="GCF21" s="414"/>
      <c r="GCG21" s="414"/>
      <c r="GCH21" s="414"/>
      <c r="GCI21" s="414"/>
      <c r="GCJ21" s="414"/>
      <c r="GCK21" s="414"/>
      <c r="GCL21" s="414"/>
      <c r="GCM21" s="414"/>
      <c r="GCN21" s="414"/>
      <c r="GCO21" s="414"/>
      <c r="GCP21" s="414"/>
      <c r="GCQ21" s="414"/>
      <c r="GCR21" s="414"/>
      <c r="GCS21" s="414"/>
      <c r="GCT21" s="414"/>
      <c r="GCU21" s="414"/>
      <c r="GCV21" s="414"/>
      <c r="GCW21" s="414"/>
      <c r="GCX21" s="414"/>
      <c r="GCY21" s="414"/>
      <c r="GCZ21" s="414"/>
      <c r="GDA21" s="414"/>
      <c r="GDB21" s="414"/>
      <c r="GDC21" s="414"/>
      <c r="GDD21" s="414"/>
      <c r="GDE21" s="414"/>
      <c r="GDF21" s="414"/>
      <c r="GDG21" s="414"/>
      <c r="GDH21" s="414"/>
      <c r="GDI21" s="414"/>
      <c r="GDJ21" s="414"/>
      <c r="GDK21" s="414"/>
      <c r="GDL21" s="414"/>
      <c r="GDM21" s="414"/>
      <c r="GDN21" s="414"/>
      <c r="GDO21" s="414"/>
      <c r="GDP21" s="414"/>
      <c r="GDQ21" s="414"/>
      <c r="GDR21" s="414"/>
      <c r="GDS21" s="414"/>
      <c r="GDT21" s="414"/>
      <c r="GDU21" s="414"/>
      <c r="GDV21" s="414"/>
      <c r="GDW21" s="414"/>
      <c r="GDX21" s="414"/>
      <c r="GDY21" s="414"/>
      <c r="GDZ21" s="414"/>
      <c r="GEA21" s="414"/>
      <c r="GEB21" s="414"/>
      <c r="GEC21" s="414"/>
      <c r="GED21" s="414"/>
      <c r="GEE21" s="414"/>
      <c r="GEF21" s="414"/>
      <c r="GEG21" s="414"/>
      <c r="GEH21" s="414"/>
      <c r="GEI21" s="414"/>
      <c r="GEJ21" s="414"/>
      <c r="GEK21" s="414"/>
      <c r="GEL21" s="414"/>
      <c r="GEM21" s="414"/>
      <c r="GEN21" s="414"/>
      <c r="GEO21" s="414"/>
      <c r="GEP21" s="414"/>
      <c r="GEQ21" s="414"/>
      <c r="GER21" s="414"/>
      <c r="GES21" s="414"/>
      <c r="GET21" s="414"/>
      <c r="GEU21" s="414"/>
      <c r="GEV21" s="414"/>
      <c r="GEW21" s="414"/>
      <c r="GEX21" s="414"/>
      <c r="GEY21" s="414"/>
      <c r="GEZ21" s="414"/>
      <c r="GFA21" s="414"/>
      <c r="GFB21" s="414"/>
      <c r="GFC21" s="414"/>
      <c r="GFD21" s="414"/>
      <c r="GFE21" s="414"/>
      <c r="GFF21" s="414"/>
      <c r="GFG21" s="414"/>
      <c r="GFH21" s="414"/>
      <c r="GFI21" s="414"/>
      <c r="GFJ21" s="414"/>
      <c r="GFK21" s="414"/>
      <c r="GFL21" s="414"/>
      <c r="GFM21" s="414"/>
      <c r="GFN21" s="414"/>
      <c r="GFO21" s="414"/>
      <c r="GFP21" s="414"/>
      <c r="GFQ21" s="414"/>
      <c r="GFR21" s="414"/>
      <c r="GFS21" s="414"/>
      <c r="GFT21" s="414"/>
      <c r="GFU21" s="414"/>
      <c r="GFV21" s="414"/>
      <c r="GFW21" s="414"/>
      <c r="GFX21" s="414"/>
      <c r="GFY21" s="414"/>
      <c r="GFZ21" s="414"/>
      <c r="GGA21" s="414"/>
      <c r="GGB21" s="414"/>
      <c r="GGC21" s="414"/>
      <c r="GGD21" s="414"/>
      <c r="GGE21" s="414"/>
      <c r="GGF21" s="414"/>
      <c r="GGG21" s="414"/>
      <c r="GGH21" s="414"/>
      <c r="GGI21" s="414"/>
      <c r="GGJ21" s="414"/>
      <c r="GGK21" s="414"/>
      <c r="GGL21" s="414"/>
      <c r="GGM21" s="414"/>
      <c r="GGN21" s="414"/>
      <c r="GGO21" s="414"/>
      <c r="GGP21" s="414"/>
      <c r="GGQ21" s="414"/>
      <c r="GGR21" s="414"/>
      <c r="GGS21" s="414"/>
      <c r="GGT21" s="414"/>
      <c r="GGU21" s="414"/>
      <c r="GGV21" s="414"/>
      <c r="GGW21" s="414"/>
      <c r="GGX21" s="414"/>
      <c r="GGY21" s="414"/>
      <c r="GGZ21" s="414"/>
      <c r="GHA21" s="414"/>
      <c r="GHB21" s="414"/>
      <c r="GHC21" s="414"/>
      <c r="GHD21" s="414"/>
      <c r="GHE21" s="414"/>
      <c r="GHF21" s="414"/>
      <c r="GHG21" s="414"/>
      <c r="GHH21" s="414"/>
      <c r="GHI21" s="414"/>
      <c r="GHJ21" s="414"/>
      <c r="GHK21" s="414"/>
      <c r="GHL21" s="414"/>
      <c r="GHM21" s="414"/>
      <c r="GHN21" s="414"/>
      <c r="GHO21" s="414"/>
      <c r="GHP21" s="414"/>
      <c r="GHQ21" s="414"/>
      <c r="GHR21" s="414"/>
      <c r="GHS21" s="414"/>
      <c r="GHT21" s="414"/>
      <c r="GHU21" s="414"/>
      <c r="GHV21" s="414"/>
      <c r="GHW21" s="414"/>
      <c r="GHX21" s="414"/>
      <c r="GHY21" s="414"/>
      <c r="GHZ21" s="414"/>
      <c r="GIA21" s="414"/>
      <c r="GIB21" s="414"/>
      <c r="GIC21" s="414"/>
      <c r="GID21" s="414"/>
      <c r="GIE21" s="414"/>
      <c r="GIF21" s="414"/>
      <c r="GIG21" s="414"/>
      <c r="GIH21" s="414"/>
      <c r="GII21" s="414"/>
      <c r="GIJ21" s="414"/>
      <c r="GIK21" s="414"/>
      <c r="GIL21" s="414"/>
      <c r="GIM21" s="414"/>
      <c r="GIN21" s="414"/>
      <c r="GIO21" s="414"/>
      <c r="GIP21" s="414"/>
      <c r="GIQ21" s="414"/>
      <c r="GIR21" s="414"/>
      <c r="GIS21" s="414"/>
      <c r="GIT21" s="414"/>
      <c r="GIU21" s="414"/>
      <c r="GIV21" s="414"/>
      <c r="GIW21" s="414"/>
      <c r="GIX21" s="414"/>
      <c r="GIY21" s="414"/>
      <c r="GIZ21" s="414"/>
      <c r="GJA21" s="414"/>
      <c r="GJB21" s="414"/>
      <c r="GJC21" s="414"/>
      <c r="GJD21" s="414"/>
      <c r="GJE21" s="414"/>
      <c r="GJF21" s="414"/>
      <c r="GJG21" s="414"/>
      <c r="GJH21" s="414"/>
      <c r="GJI21" s="414"/>
      <c r="GJJ21" s="414"/>
      <c r="GJK21" s="414"/>
      <c r="GJL21" s="414"/>
      <c r="GJM21" s="414"/>
      <c r="GJN21" s="414"/>
      <c r="GJO21" s="414"/>
      <c r="GJP21" s="414"/>
      <c r="GJQ21" s="414"/>
      <c r="GJR21" s="414"/>
      <c r="GJS21" s="414"/>
      <c r="GJT21" s="414"/>
      <c r="GJU21" s="414"/>
      <c r="GJV21" s="414"/>
      <c r="GJW21" s="414"/>
      <c r="GJX21" s="414"/>
      <c r="GJY21" s="414"/>
      <c r="GJZ21" s="414"/>
      <c r="GKA21" s="414"/>
      <c r="GKB21" s="414"/>
      <c r="GKC21" s="414"/>
      <c r="GKD21" s="414"/>
      <c r="GKE21" s="414"/>
      <c r="GKF21" s="414"/>
      <c r="GKG21" s="414"/>
      <c r="GKH21" s="414"/>
      <c r="GKI21" s="414"/>
      <c r="GKJ21" s="414"/>
      <c r="GKK21" s="414"/>
      <c r="GKL21" s="414"/>
      <c r="GKM21" s="414"/>
      <c r="GKN21" s="414"/>
      <c r="GKO21" s="414"/>
      <c r="GKP21" s="414"/>
      <c r="GKQ21" s="414"/>
      <c r="GKR21" s="414"/>
      <c r="GKS21" s="414"/>
      <c r="GKT21" s="414"/>
      <c r="GKU21" s="414"/>
      <c r="GKV21" s="414"/>
      <c r="GKW21" s="414"/>
      <c r="GKX21" s="414"/>
      <c r="GKY21" s="414"/>
      <c r="GKZ21" s="414"/>
      <c r="GLA21" s="414"/>
      <c r="GLB21" s="414"/>
      <c r="GLC21" s="414"/>
      <c r="GLD21" s="414"/>
      <c r="GLE21" s="414"/>
      <c r="GLF21" s="414"/>
      <c r="GLG21" s="414"/>
      <c r="GLH21" s="414"/>
      <c r="GLI21" s="414"/>
      <c r="GLJ21" s="414"/>
      <c r="GLK21" s="414"/>
      <c r="GLL21" s="414"/>
      <c r="GLM21" s="414"/>
      <c r="GLN21" s="414"/>
      <c r="GLO21" s="414"/>
      <c r="GLP21" s="414"/>
      <c r="GLQ21" s="414"/>
      <c r="GLR21" s="414"/>
      <c r="GLS21" s="414"/>
      <c r="GLT21" s="414"/>
      <c r="GLU21" s="414"/>
      <c r="GLV21" s="414"/>
      <c r="GLW21" s="414"/>
      <c r="GLX21" s="414"/>
      <c r="GLY21" s="414"/>
      <c r="GLZ21" s="414"/>
      <c r="GMA21" s="414"/>
      <c r="GMB21" s="414"/>
      <c r="GMC21" s="414"/>
      <c r="GMD21" s="414"/>
      <c r="GME21" s="414"/>
      <c r="GMF21" s="414"/>
      <c r="GMG21" s="414"/>
      <c r="GMH21" s="414"/>
      <c r="GMI21" s="414"/>
      <c r="GMJ21" s="414"/>
      <c r="GMK21" s="414"/>
      <c r="GML21" s="414"/>
      <c r="GMM21" s="414"/>
      <c r="GMN21" s="414"/>
      <c r="GMO21" s="414"/>
      <c r="GMP21" s="414"/>
      <c r="GMQ21" s="414"/>
      <c r="GMR21" s="414"/>
      <c r="GMS21" s="414"/>
      <c r="GMT21" s="414"/>
      <c r="GMU21" s="414"/>
      <c r="GMV21" s="414"/>
      <c r="GMW21" s="414"/>
      <c r="GMX21" s="414"/>
      <c r="GMY21" s="414"/>
      <c r="GMZ21" s="414"/>
      <c r="GNA21" s="414"/>
      <c r="GNB21" s="414"/>
      <c r="GNC21" s="414"/>
      <c r="GND21" s="414"/>
      <c r="GNE21" s="414"/>
      <c r="GNF21" s="414"/>
      <c r="GNG21" s="414"/>
      <c r="GNH21" s="414"/>
      <c r="GNI21" s="414"/>
      <c r="GNJ21" s="414"/>
      <c r="GNK21" s="414"/>
      <c r="GNL21" s="414"/>
      <c r="GNM21" s="414"/>
      <c r="GNN21" s="414"/>
      <c r="GNO21" s="414"/>
      <c r="GNP21" s="414"/>
      <c r="GNQ21" s="414"/>
      <c r="GNR21" s="414"/>
      <c r="GNS21" s="414"/>
      <c r="GNT21" s="414"/>
      <c r="GNU21" s="414"/>
      <c r="GNV21" s="414"/>
      <c r="GNW21" s="414"/>
      <c r="GNX21" s="414"/>
      <c r="GNY21" s="414"/>
      <c r="GNZ21" s="414"/>
      <c r="GOA21" s="414"/>
      <c r="GOB21" s="414"/>
      <c r="GOC21" s="414"/>
      <c r="GOD21" s="414"/>
      <c r="GOE21" s="414"/>
      <c r="GOF21" s="414"/>
      <c r="GOG21" s="414"/>
      <c r="GOH21" s="414"/>
      <c r="GOI21" s="414"/>
      <c r="GOJ21" s="414"/>
      <c r="GOK21" s="414"/>
      <c r="GOL21" s="414"/>
      <c r="GOM21" s="414"/>
      <c r="GON21" s="414"/>
      <c r="GOO21" s="414"/>
      <c r="GOP21" s="414"/>
      <c r="GOQ21" s="414"/>
      <c r="GOR21" s="414"/>
      <c r="GOS21" s="414"/>
      <c r="GOT21" s="414"/>
      <c r="GOU21" s="414"/>
      <c r="GOV21" s="414"/>
      <c r="GOW21" s="414"/>
      <c r="GOX21" s="414"/>
      <c r="GOY21" s="414"/>
      <c r="GOZ21" s="414"/>
      <c r="GPA21" s="414"/>
      <c r="GPB21" s="414"/>
      <c r="GPC21" s="414"/>
      <c r="GPD21" s="414"/>
      <c r="GPE21" s="414"/>
      <c r="GPF21" s="414"/>
      <c r="GPG21" s="414"/>
      <c r="GPH21" s="414"/>
      <c r="GPI21" s="414"/>
      <c r="GPJ21" s="414"/>
      <c r="GPK21" s="414"/>
      <c r="GPL21" s="414"/>
      <c r="GPM21" s="414"/>
      <c r="GPN21" s="414"/>
      <c r="GPO21" s="414"/>
      <c r="GPP21" s="414"/>
      <c r="GPQ21" s="414"/>
      <c r="GPR21" s="414"/>
      <c r="GPS21" s="414"/>
      <c r="GPT21" s="414"/>
      <c r="GPU21" s="414"/>
      <c r="GPV21" s="414"/>
      <c r="GPW21" s="414"/>
      <c r="GPX21" s="414"/>
      <c r="GPY21" s="414"/>
      <c r="GPZ21" s="414"/>
      <c r="GQA21" s="414"/>
      <c r="GQB21" s="414"/>
      <c r="GQC21" s="414"/>
      <c r="GQD21" s="414"/>
      <c r="GQE21" s="414"/>
      <c r="GQF21" s="414"/>
      <c r="GQG21" s="414"/>
      <c r="GQH21" s="414"/>
      <c r="GQI21" s="414"/>
      <c r="GQJ21" s="414"/>
      <c r="GQK21" s="414"/>
      <c r="GQL21" s="414"/>
      <c r="GQM21" s="414"/>
      <c r="GQN21" s="414"/>
      <c r="GQO21" s="414"/>
      <c r="GQP21" s="414"/>
      <c r="GQQ21" s="414"/>
      <c r="GQR21" s="414"/>
      <c r="GQS21" s="414"/>
      <c r="GQT21" s="414"/>
      <c r="GQU21" s="414"/>
      <c r="GQV21" s="414"/>
      <c r="GQW21" s="414"/>
      <c r="GQX21" s="414"/>
      <c r="GQY21" s="414"/>
      <c r="GQZ21" s="414"/>
      <c r="GRA21" s="414"/>
      <c r="GRB21" s="414"/>
      <c r="GRC21" s="414"/>
      <c r="GRD21" s="414"/>
      <c r="GRE21" s="414"/>
      <c r="GRF21" s="414"/>
      <c r="GRG21" s="414"/>
      <c r="GRH21" s="414"/>
      <c r="GRI21" s="414"/>
      <c r="GRJ21" s="414"/>
      <c r="GRK21" s="414"/>
      <c r="GRL21" s="414"/>
      <c r="GRM21" s="414"/>
      <c r="GRN21" s="414"/>
      <c r="GRO21" s="414"/>
      <c r="GRP21" s="414"/>
      <c r="GRQ21" s="414"/>
      <c r="GRR21" s="414"/>
      <c r="GRS21" s="414"/>
      <c r="GRT21" s="414"/>
      <c r="GRU21" s="414"/>
      <c r="GRV21" s="414"/>
      <c r="GRW21" s="414"/>
      <c r="GRX21" s="414"/>
      <c r="GRY21" s="414"/>
      <c r="GRZ21" s="414"/>
      <c r="GSA21" s="414"/>
      <c r="GSB21" s="414"/>
      <c r="GSC21" s="414"/>
      <c r="GSD21" s="414"/>
      <c r="GSE21" s="414"/>
      <c r="GSF21" s="414"/>
      <c r="GSG21" s="414"/>
      <c r="GSH21" s="414"/>
      <c r="GSI21" s="414"/>
      <c r="GSJ21" s="414"/>
      <c r="GSK21" s="414"/>
      <c r="GSL21" s="414"/>
      <c r="GSM21" s="414"/>
      <c r="GSN21" s="414"/>
      <c r="GSO21" s="414"/>
      <c r="GSP21" s="414"/>
      <c r="GSQ21" s="414"/>
      <c r="GSR21" s="414"/>
      <c r="GSS21" s="414"/>
      <c r="GST21" s="414"/>
      <c r="GSU21" s="414"/>
      <c r="GSV21" s="414"/>
      <c r="GSW21" s="414"/>
      <c r="GSX21" s="414"/>
      <c r="GSY21" s="414"/>
      <c r="GSZ21" s="414"/>
      <c r="GTA21" s="414"/>
      <c r="GTB21" s="414"/>
      <c r="GTC21" s="414"/>
      <c r="GTD21" s="414"/>
      <c r="GTE21" s="414"/>
      <c r="GTF21" s="414"/>
      <c r="GTG21" s="414"/>
      <c r="GTH21" s="414"/>
      <c r="GTI21" s="414"/>
      <c r="GTJ21" s="414"/>
      <c r="GTK21" s="414"/>
      <c r="GTL21" s="414"/>
      <c r="GTM21" s="414"/>
      <c r="GTN21" s="414"/>
      <c r="GTO21" s="414"/>
      <c r="GTP21" s="414"/>
      <c r="GTQ21" s="414"/>
      <c r="GTR21" s="414"/>
      <c r="GTS21" s="414"/>
      <c r="GTT21" s="414"/>
      <c r="GTU21" s="414"/>
      <c r="GTV21" s="414"/>
      <c r="GTW21" s="414"/>
      <c r="GTX21" s="414"/>
      <c r="GTY21" s="414"/>
      <c r="GTZ21" s="414"/>
      <c r="GUA21" s="414"/>
      <c r="GUB21" s="414"/>
      <c r="GUC21" s="414"/>
      <c r="GUD21" s="414"/>
      <c r="GUE21" s="414"/>
      <c r="GUF21" s="414"/>
      <c r="GUG21" s="414"/>
      <c r="GUH21" s="414"/>
      <c r="GUI21" s="414"/>
      <c r="GUJ21" s="414"/>
      <c r="GUK21" s="414"/>
      <c r="GUL21" s="414"/>
      <c r="GUM21" s="414"/>
      <c r="GUN21" s="414"/>
      <c r="GUO21" s="414"/>
      <c r="GUP21" s="414"/>
      <c r="GUQ21" s="414"/>
      <c r="GUR21" s="414"/>
      <c r="GUS21" s="414"/>
      <c r="GUT21" s="414"/>
      <c r="GUU21" s="414"/>
      <c r="GUV21" s="414"/>
      <c r="GUW21" s="414"/>
      <c r="GUX21" s="414"/>
      <c r="GUY21" s="414"/>
      <c r="GUZ21" s="414"/>
      <c r="GVA21" s="414"/>
      <c r="GVB21" s="414"/>
      <c r="GVC21" s="414"/>
      <c r="GVD21" s="414"/>
      <c r="GVE21" s="414"/>
      <c r="GVF21" s="414"/>
      <c r="GVG21" s="414"/>
      <c r="GVH21" s="414"/>
      <c r="GVI21" s="414"/>
      <c r="GVJ21" s="414"/>
      <c r="GVK21" s="414"/>
      <c r="GVL21" s="414"/>
      <c r="GVM21" s="414"/>
      <c r="GVN21" s="414"/>
      <c r="GVO21" s="414"/>
      <c r="GVP21" s="414"/>
      <c r="GVQ21" s="414"/>
      <c r="GVR21" s="414"/>
      <c r="GVS21" s="414"/>
      <c r="GVT21" s="414"/>
      <c r="GVU21" s="414"/>
      <c r="GVV21" s="414"/>
      <c r="GVW21" s="414"/>
      <c r="GVX21" s="414"/>
      <c r="GVY21" s="414"/>
      <c r="GVZ21" s="414"/>
      <c r="GWA21" s="414"/>
      <c r="GWB21" s="414"/>
      <c r="GWC21" s="414"/>
      <c r="GWD21" s="414"/>
      <c r="GWE21" s="414"/>
      <c r="GWF21" s="414"/>
      <c r="GWG21" s="414"/>
      <c r="GWH21" s="414"/>
      <c r="GWI21" s="414"/>
      <c r="GWJ21" s="414"/>
      <c r="GWK21" s="414"/>
      <c r="GWL21" s="414"/>
      <c r="GWM21" s="414"/>
      <c r="GWN21" s="414"/>
      <c r="GWO21" s="414"/>
      <c r="GWP21" s="414"/>
      <c r="GWQ21" s="414"/>
      <c r="GWR21" s="414"/>
      <c r="GWS21" s="414"/>
      <c r="GWT21" s="414"/>
      <c r="GWU21" s="414"/>
      <c r="GWV21" s="414"/>
      <c r="GWW21" s="414"/>
      <c r="GWX21" s="414"/>
      <c r="GWY21" s="414"/>
      <c r="GWZ21" s="414"/>
      <c r="GXA21" s="414"/>
      <c r="GXB21" s="414"/>
      <c r="GXC21" s="414"/>
      <c r="GXD21" s="414"/>
      <c r="GXE21" s="414"/>
      <c r="GXF21" s="414"/>
      <c r="GXG21" s="414"/>
      <c r="GXH21" s="414"/>
      <c r="GXI21" s="414"/>
      <c r="GXJ21" s="414"/>
      <c r="GXK21" s="414"/>
      <c r="GXL21" s="414"/>
      <c r="GXM21" s="414"/>
      <c r="GXN21" s="414"/>
      <c r="GXO21" s="414"/>
      <c r="GXP21" s="414"/>
      <c r="GXQ21" s="414"/>
      <c r="GXR21" s="414"/>
      <c r="GXS21" s="414"/>
      <c r="GXT21" s="414"/>
      <c r="GXU21" s="414"/>
      <c r="GXV21" s="414"/>
      <c r="GXW21" s="414"/>
      <c r="GXX21" s="414"/>
      <c r="GXY21" s="414"/>
      <c r="GXZ21" s="414"/>
      <c r="GYA21" s="414"/>
      <c r="GYB21" s="414"/>
      <c r="GYC21" s="414"/>
      <c r="GYD21" s="414"/>
      <c r="GYE21" s="414"/>
      <c r="GYF21" s="414"/>
      <c r="GYG21" s="414"/>
      <c r="GYH21" s="414"/>
      <c r="GYI21" s="414"/>
      <c r="GYJ21" s="414"/>
      <c r="GYK21" s="414"/>
      <c r="GYL21" s="414"/>
      <c r="GYM21" s="414"/>
      <c r="GYN21" s="414"/>
      <c r="GYO21" s="414"/>
      <c r="GYP21" s="414"/>
      <c r="GYQ21" s="414"/>
      <c r="GYR21" s="414"/>
      <c r="GYS21" s="414"/>
      <c r="GYT21" s="414"/>
      <c r="GYU21" s="414"/>
      <c r="GYV21" s="414"/>
      <c r="GYW21" s="414"/>
      <c r="GYX21" s="414"/>
      <c r="GYY21" s="414"/>
      <c r="GYZ21" s="414"/>
      <c r="GZA21" s="414"/>
      <c r="GZB21" s="414"/>
      <c r="GZC21" s="414"/>
      <c r="GZD21" s="414"/>
      <c r="GZE21" s="414"/>
      <c r="GZF21" s="414"/>
      <c r="GZG21" s="414"/>
      <c r="GZH21" s="414"/>
      <c r="GZI21" s="414"/>
      <c r="GZJ21" s="414"/>
      <c r="GZK21" s="414"/>
      <c r="GZL21" s="414"/>
      <c r="GZM21" s="414"/>
      <c r="GZN21" s="414"/>
      <c r="GZO21" s="414"/>
      <c r="GZP21" s="414"/>
      <c r="GZQ21" s="414"/>
      <c r="GZR21" s="414"/>
      <c r="GZS21" s="414"/>
      <c r="GZT21" s="414"/>
      <c r="GZU21" s="414"/>
      <c r="GZV21" s="414"/>
      <c r="GZW21" s="414"/>
      <c r="GZX21" s="414"/>
      <c r="GZY21" s="414"/>
      <c r="GZZ21" s="414"/>
      <c r="HAA21" s="414"/>
      <c r="HAB21" s="414"/>
      <c r="HAC21" s="414"/>
      <c r="HAD21" s="414"/>
      <c r="HAE21" s="414"/>
      <c r="HAF21" s="414"/>
      <c r="HAG21" s="414"/>
      <c r="HAH21" s="414"/>
      <c r="HAI21" s="414"/>
      <c r="HAJ21" s="414"/>
      <c r="HAK21" s="414"/>
      <c r="HAL21" s="414"/>
      <c r="HAM21" s="414"/>
      <c r="HAN21" s="414"/>
      <c r="HAO21" s="414"/>
      <c r="HAP21" s="414"/>
      <c r="HAQ21" s="414"/>
      <c r="HAR21" s="414"/>
      <c r="HAS21" s="414"/>
      <c r="HAT21" s="414"/>
      <c r="HAU21" s="414"/>
      <c r="HAV21" s="414"/>
      <c r="HAW21" s="414"/>
      <c r="HAX21" s="414"/>
      <c r="HAY21" s="414"/>
      <c r="HAZ21" s="414"/>
      <c r="HBA21" s="414"/>
      <c r="HBB21" s="414"/>
      <c r="HBC21" s="414"/>
      <c r="HBD21" s="414"/>
      <c r="HBE21" s="414"/>
      <c r="HBF21" s="414"/>
      <c r="HBG21" s="414"/>
      <c r="HBH21" s="414"/>
      <c r="HBI21" s="414"/>
      <c r="HBJ21" s="414"/>
      <c r="HBK21" s="414"/>
      <c r="HBL21" s="414"/>
      <c r="HBM21" s="414"/>
      <c r="HBN21" s="414"/>
      <c r="HBO21" s="414"/>
      <c r="HBP21" s="414"/>
      <c r="HBQ21" s="414"/>
      <c r="HBR21" s="414"/>
      <c r="HBS21" s="414"/>
      <c r="HBT21" s="414"/>
      <c r="HBU21" s="414"/>
      <c r="HBV21" s="414"/>
      <c r="HBW21" s="414"/>
      <c r="HBX21" s="414"/>
      <c r="HBY21" s="414"/>
      <c r="HBZ21" s="414"/>
      <c r="HCA21" s="414"/>
      <c r="HCB21" s="414"/>
      <c r="HCC21" s="414"/>
      <c r="HCD21" s="414"/>
      <c r="HCE21" s="414"/>
      <c r="HCF21" s="414"/>
      <c r="HCG21" s="414"/>
      <c r="HCH21" s="414"/>
      <c r="HCI21" s="414"/>
      <c r="HCJ21" s="414"/>
      <c r="HCK21" s="414"/>
      <c r="HCL21" s="414"/>
      <c r="HCM21" s="414"/>
      <c r="HCN21" s="414"/>
      <c r="HCO21" s="414"/>
      <c r="HCP21" s="414"/>
      <c r="HCQ21" s="414"/>
      <c r="HCR21" s="414"/>
      <c r="HCS21" s="414"/>
      <c r="HCT21" s="414"/>
      <c r="HCU21" s="414"/>
      <c r="HCV21" s="414"/>
      <c r="HCW21" s="414"/>
      <c r="HCX21" s="414"/>
      <c r="HCY21" s="414"/>
      <c r="HCZ21" s="414"/>
      <c r="HDA21" s="414"/>
      <c r="HDB21" s="414"/>
      <c r="HDC21" s="414"/>
      <c r="HDD21" s="414"/>
      <c r="HDE21" s="414"/>
      <c r="HDF21" s="414"/>
      <c r="HDG21" s="414"/>
      <c r="HDH21" s="414"/>
      <c r="HDI21" s="414"/>
      <c r="HDJ21" s="414"/>
      <c r="HDK21" s="414"/>
      <c r="HDL21" s="414"/>
      <c r="HDM21" s="414"/>
      <c r="HDN21" s="414"/>
      <c r="HDO21" s="414"/>
      <c r="HDP21" s="414"/>
      <c r="HDQ21" s="414"/>
      <c r="HDR21" s="414"/>
      <c r="HDS21" s="414"/>
      <c r="HDT21" s="414"/>
      <c r="HDU21" s="414"/>
      <c r="HDV21" s="414"/>
      <c r="HDW21" s="414"/>
      <c r="HDX21" s="414"/>
      <c r="HDY21" s="414"/>
      <c r="HDZ21" s="414"/>
      <c r="HEA21" s="414"/>
      <c r="HEB21" s="414"/>
      <c r="HEC21" s="414"/>
      <c r="HED21" s="414"/>
      <c r="HEE21" s="414"/>
      <c r="HEF21" s="414"/>
      <c r="HEG21" s="414"/>
      <c r="HEH21" s="414"/>
      <c r="HEI21" s="414"/>
      <c r="HEJ21" s="414"/>
      <c r="HEK21" s="414"/>
      <c r="HEL21" s="414"/>
      <c r="HEM21" s="414"/>
      <c r="HEN21" s="414"/>
      <c r="HEO21" s="414"/>
      <c r="HEP21" s="414"/>
      <c r="HEQ21" s="414"/>
      <c r="HER21" s="414"/>
      <c r="HES21" s="414"/>
      <c r="HET21" s="414"/>
      <c r="HEU21" s="414"/>
      <c r="HEV21" s="414"/>
      <c r="HEW21" s="414"/>
      <c r="HEX21" s="414"/>
      <c r="HEY21" s="414"/>
      <c r="HEZ21" s="414"/>
      <c r="HFA21" s="414"/>
      <c r="HFB21" s="414"/>
      <c r="HFC21" s="414"/>
      <c r="HFD21" s="414"/>
      <c r="HFE21" s="414"/>
      <c r="HFF21" s="414"/>
      <c r="HFG21" s="414"/>
      <c r="HFH21" s="414"/>
      <c r="HFI21" s="414"/>
      <c r="HFJ21" s="414"/>
      <c r="HFK21" s="414"/>
      <c r="HFL21" s="414"/>
      <c r="HFM21" s="414"/>
      <c r="HFN21" s="414"/>
      <c r="HFO21" s="414"/>
      <c r="HFP21" s="414"/>
      <c r="HFQ21" s="414"/>
      <c r="HFR21" s="414"/>
      <c r="HFS21" s="414"/>
      <c r="HFT21" s="414"/>
      <c r="HFU21" s="414"/>
      <c r="HFV21" s="414"/>
      <c r="HFW21" s="414"/>
      <c r="HFX21" s="414"/>
      <c r="HFY21" s="414"/>
      <c r="HFZ21" s="414"/>
      <c r="HGA21" s="414"/>
      <c r="HGB21" s="414"/>
      <c r="HGC21" s="414"/>
      <c r="HGD21" s="414"/>
      <c r="HGE21" s="414"/>
      <c r="HGF21" s="414"/>
      <c r="HGG21" s="414"/>
      <c r="HGH21" s="414"/>
      <c r="HGI21" s="414"/>
      <c r="HGJ21" s="414"/>
      <c r="HGK21" s="414"/>
      <c r="HGL21" s="414"/>
      <c r="HGM21" s="414"/>
      <c r="HGN21" s="414"/>
      <c r="HGO21" s="414"/>
      <c r="HGP21" s="414"/>
      <c r="HGQ21" s="414"/>
      <c r="HGR21" s="414"/>
      <c r="HGS21" s="414"/>
      <c r="HGT21" s="414"/>
      <c r="HGU21" s="414"/>
      <c r="HGV21" s="414"/>
      <c r="HGW21" s="414"/>
      <c r="HGX21" s="414"/>
      <c r="HGY21" s="414"/>
      <c r="HGZ21" s="414"/>
      <c r="HHA21" s="414"/>
      <c r="HHB21" s="414"/>
      <c r="HHC21" s="414"/>
      <c r="HHD21" s="414"/>
      <c r="HHE21" s="414"/>
      <c r="HHF21" s="414"/>
      <c r="HHG21" s="414"/>
      <c r="HHH21" s="414"/>
      <c r="HHI21" s="414"/>
      <c r="HHJ21" s="414"/>
      <c r="HHK21" s="414"/>
      <c r="HHL21" s="414"/>
      <c r="HHM21" s="414"/>
      <c r="HHN21" s="414"/>
      <c r="HHO21" s="414"/>
      <c r="HHP21" s="414"/>
      <c r="HHQ21" s="414"/>
      <c r="HHR21" s="414"/>
      <c r="HHS21" s="414"/>
      <c r="HHT21" s="414"/>
      <c r="HHU21" s="414"/>
      <c r="HHV21" s="414"/>
      <c r="HHW21" s="414"/>
      <c r="HHX21" s="414"/>
      <c r="HHY21" s="414"/>
      <c r="HHZ21" s="414"/>
      <c r="HIA21" s="414"/>
      <c r="HIB21" s="414"/>
      <c r="HIC21" s="414"/>
      <c r="HID21" s="414"/>
      <c r="HIE21" s="414"/>
      <c r="HIF21" s="414"/>
      <c r="HIG21" s="414"/>
      <c r="HIH21" s="414"/>
      <c r="HII21" s="414"/>
      <c r="HIJ21" s="414"/>
      <c r="HIK21" s="414"/>
      <c r="HIL21" s="414"/>
      <c r="HIM21" s="414"/>
      <c r="HIN21" s="414"/>
      <c r="HIO21" s="414"/>
      <c r="HIP21" s="414"/>
      <c r="HIQ21" s="414"/>
      <c r="HIR21" s="414"/>
      <c r="HIS21" s="414"/>
      <c r="HIT21" s="414"/>
      <c r="HIU21" s="414"/>
      <c r="HIV21" s="414"/>
      <c r="HIW21" s="414"/>
      <c r="HIX21" s="414"/>
      <c r="HIY21" s="414"/>
      <c r="HIZ21" s="414"/>
      <c r="HJA21" s="414"/>
      <c r="HJB21" s="414"/>
      <c r="HJC21" s="414"/>
      <c r="HJD21" s="414"/>
      <c r="HJE21" s="414"/>
      <c r="HJF21" s="414"/>
      <c r="HJG21" s="414"/>
      <c r="HJH21" s="414"/>
      <c r="HJI21" s="414"/>
      <c r="HJJ21" s="414"/>
      <c r="HJK21" s="414"/>
      <c r="HJL21" s="414"/>
      <c r="HJM21" s="414"/>
      <c r="HJN21" s="414"/>
      <c r="HJO21" s="414"/>
      <c r="HJP21" s="414"/>
      <c r="HJQ21" s="414"/>
      <c r="HJR21" s="414"/>
      <c r="HJS21" s="414"/>
      <c r="HJT21" s="414"/>
      <c r="HJU21" s="414"/>
      <c r="HJV21" s="414"/>
      <c r="HJW21" s="414"/>
      <c r="HJX21" s="414"/>
      <c r="HJY21" s="414"/>
      <c r="HJZ21" s="414"/>
      <c r="HKA21" s="414"/>
      <c r="HKB21" s="414"/>
      <c r="HKC21" s="414"/>
      <c r="HKD21" s="414"/>
      <c r="HKE21" s="414"/>
      <c r="HKF21" s="414"/>
      <c r="HKG21" s="414"/>
      <c r="HKH21" s="414"/>
      <c r="HKI21" s="414"/>
      <c r="HKJ21" s="414"/>
      <c r="HKK21" s="414"/>
      <c r="HKL21" s="414"/>
      <c r="HKM21" s="414"/>
      <c r="HKN21" s="414"/>
      <c r="HKO21" s="414"/>
      <c r="HKP21" s="414"/>
      <c r="HKQ21" s="414"/>
      <c r="HKR21" s="414"/>
      <c r="HKS21" s="414"/>
      <c r="HKT21" s="414"/>
      <c r="HKU21" s="414"/>
      <c r="HKV21" s="414"/>
      <c r="HKW21" s="414"/>
      <c r="HKX21" s="414"/>
      <c r="HKY21" s="414"/>
      <c r="HKZ21" s="414"/>
      <c r="HLA21" s="414"/>
      <c r="HLB21" s="414"/>
      <c r="HLC21" s="414"/>
      <c r="HLD21" s="414"/>
      <c r="HLE21" s="414"/>
      <c r="HLF21" s="414"/>
      <c r="HLG21" s="414"/>
      <c r="HLH21" s="414"/>
      <c r="HLI21" s="414"/>
      <c r="HLJ21" s="414"/>
      <c r="HLK21" s="414"/>
      <c r="HLL21" s="414"/>
      <c r="HLM21" s="414"/>
      <c r="HLN21" s="414"/>
      <c r="HLO21" s="414"/>
      <c r="HLP21" s="414"/>
      <c r="HLQ21" s="414"/>
      <c r="HLR21" s="414"/>
      <c r="HLS21" s="414"/>
      <c r="HLT21" s="414"/>
      <c r="HLU21" s="414"/>
      <c r="HLV21" s="414"/>
      <c r="HLW21" s="414"/>
      <c r="HLX21" s="414"/>
      <c r="HLY21" s="414"/>
      <c r="HLZ21" s="414"/>
      <c r="HMA21" s="414"/>
      <c r="HMB21" s="414"/>
      <c r="HMC21" s="414"/>
      <c r="HMD21" s="414"/>
      <c r="HME21" s="414"/>
      <c r="HMF21" s="414"/>
      <c r="HMG21" s="414"/>
      <c r="HMH21" s="414"/>
      <c r="HMI21" s="414"/>
      <c r="HMJ21" s="414"/>
      <c r="HMK21" s="414"/>
      <c r="HML21" s="414"/>
      <c r="HMM21" s="414"/>
      <c r="HMN21" s="414"/>
      <c r="HMO21" s="414"/>
      <c r="HMP21" s="414"/>
      <c r="HMQ21" s="414"/>
      <c r="HMR21" s="414"/>
      <c r="HMS21" s="414"/>
      <c r="HMT21" s="414"/>
      <c r="HMU21" s="414"/>
      <c r="HMV21" s="414"/>
      <c r="HMW21" s="414"/>
      <c r="HMX21" s="414"/>
      <c r="HMY21" s="414"/>
      <c r="HMZ21" s="414"/>
      <c r="HNA21" s="414"/>
      <c r="HNB21" s="414"/>
      <c r="HNC21" s="414"/>
      <c r="HND21" s="414"/>
      <c r="HNE21" s="414"/>
      <c r="HNF21" s="414"/>
      <c r="HNG21" s="414"/>
      <c r="HNH21" s="414"/>
      <c r="HNI21" s="414"/>
      <c r="HNJ21" s="414"/>
      <c r="HNK21" s="414"/>
      <c r="HNL21" s="414"/>
      <c r="HNM21" s="414"/>
      <c r="HNN21" s="414"/>
      <c r="HNO21" s="414"/>
      <c r="HNP21" s="414"/>
      <c r="HNQ21" s="414"/>
      <c r="HNR21" s="414"/>
      <c r="HNS21" s="414"/>
      <c r="HNT21" s="414"/>
      <c r="HNU21" s="414"/>
      <c r="HNV21" s="414"/>
      <c r="HNW21" s="414"/>
      <c r="HNX21" s="414"/>
      <c r="HNY21" s="414"/>
      <c r="HNZ21" s="414"/>
      <c r="HOA21" s="414"/>
      <c r="HOB21" s="414"/>
      <c r="HOC21" s="414"/>
      <c r="HOD21" s="414"/>
      <c r="HOE21" s="414"/>
      <c r="HOF21" s="414"/>
      <c r="HOG21" s="414"/>
      <c r="HOH21" s="414"/>
      <c r="HOI21" s="414"/>
      <c r="HOJ21" s="414"/>
      <c r="HOK21" s="414"/>
      <c r="HOL21" s="414"/>
      <c r="HOM21" s="414"/>
      <c r="HON21" s="414"/>
      <c r="HOO21" s="414"/>
      <c r="HOP21" s="414"/>
      <c r="HOQ21" s="414"/>
      <c r="HOR21" s="414"/>
      <c r="HOS21" s="414"/>
      <c r="HOT21" s="414"/>
      <c r="HOU21" s="414"/>
      <c r="HOV21" s="414"/>
      <c r="HOW21" s="414"/>
      <c r="HOX21" s="414"/>
      <c r="HOY21" s="414"/>
      <c r="HOZ21" s="414"/>
      <c r="HPA21" s="414"/>
      <c r="HPB21" s="414"/>
      <c r="HPC21" s="414"/>
      <c r="HPD21" s="414"/>
      <c r="HPE21" s="414"/>
      <c r="HPF21" s="414"/>
      <c r="HPG21" s="414"/>
      <c r="HPH21" s="414"/>
      <c r="HPI21" s="414"/>
      <c r="HPJ21" s="414"/>
      <c r="HPK21" s="414"/>
      <c r="HPL21" s="414"/>
      <c r="HPM21" s="414"/>
      <c r="HPN21" s="414"/>
      <c r="HPO21" s="414"/>
      <c r="HPP21" s="414"/>
      <c r="HPQ21" s="414"/>
      <c r="HPR21" s="414"/>
      <c r="HPS21" s="414"/>
      <c r="HPT21" s="414"/>
      <c r="HPU21" s="414"/>
      <c r="HPV21" s="414"/>
      <c r="HPW21" s="414"/>
      <c r="HPX21" s="414"/>
      <c r="HPY21" s="414"/>
      <c r="HPZ21" s="414"/>
      <c r="HQA21" s="414"/>
      <c r="HQB21" s="414"/>
      <c r="HQC21" s="414"/>
      <c r="HQD21" s="414"/>
      <c r="HQE21" s="414"/>
      <c r="HQF21" s="414"/>
      <c r="HQG21" s="414"/>
      <c r="HQH21" s="414"/>
      <c r="HQI21" s="414"/>
      <c r="HQJ21" s="414"/>
      <c r="HQK21" s="414"/>
      <c r="HQL21" s="414"/>
      <c r="HQM21" s="414"/>
      <c r="HQN21" s="414"/>
      <c r="HQO21" s="414"/>
      <c r="HQP21" s="414"/>
      <c r="HQQ21" s="414"/>
      <c r="HQR21" s="414"/>
      <c r="HQS21" s="414"/>
      <c r="HQT21" s="414"/>
      <c r="HQU21" s="414"/>
      <c r="HQV21" s="414"/>
      <c r="HQW21" s="414"/>
      <c r="HQX21" s="414"/>
      <c r="HQY21" s="414"/>
      <c r="HQZ21" s="414"/>
      <c r="HRA21" s="414"/>
      <c r="HRB21" s="414"/>
      <c r="HRC21" s="414"/>
      <c r="HRD21" s="414"/>
      <c r="HRE21" s="414"/>
      <c r="HRF21" s="414"/>
      <c r="HRG21" s="414"/>
      <c r="HRH21" s="414"/>
      <c r="HRI21" s="414"/>
      <c r="HRJ21" s="414"/>
      <c r="HRK21" s="414"/>
      <c r="HRL21" s="414"/>
      <c r="HRM21" s="414"/>
      <c r="HRN21" s="414"/>
      <c r="HRO21" s="414"/>
      <c r="HRP21" s="414"/>
      <c r="HRQ21" s="414"/>
      <c r="HRR21" s="414"/>
      <c r="HRS21" s="414"/>
      <c r="HRT21" s="414"/>
      <c r="HRU21" s="414"/>
      <c r="HRV21" s="414"/>
      <c r="HRW21" s="414"/>
      <c r="HRX21" s="414"/>
      <c r="HRY21" s="414"/>
      <c r="HRZ21" s="414"/>
      <c r="HSA21" s="414"/>
      <c r="HSB21" s="414"/>
      <c r="HSC21" s="414"/>
      <c r="HSD21" s="414"/>
      <c r="HSE21" s="414"/>
      <c r="HSF21" s="414"/>
      <c r="HSG21" s="414"/>
      <c r="HSH21" s="414"/>
      <c r="HSI21" s="414"/>
      <c r="HSJ21" s="414"/>
      <c r="HSK21" s="414"/>
      <c r="HSL21" s="414"/>
      <c r="HSM21" s="414"/>
      <c r="HSN21" s="414"/>
      <c r="HSO21" s="414"/>
      <c r="HSP21" s="414"/>
      <c r="HSQ21" s="414"/>
      <c r="HSR21" s="414"/>
      <c r="HSS21" s="414"/>
      <c r="HST21" s="414"/>
      <c r="HSU21" s="414"/>
      <c r="HSV21" s="414"/>
      <c r="HSW21" s="414"/>
      <c r="HSX21" s="414"/>
      <c r="HSY21" s="414"/>
      <c r="HSZ21" s="414"/>
      <c r="HTA21" s="414"/>
      <c r="HTB21" s="414"/>
      <c r="HTC21" s="414"/>
      <c r="HTD21" s="414"/>
      <c r="HTE21" s="414"/>
      <c r="HTF21" s="414"/>
      <c r="HTG21" s="414"/>
      <c r="HTH21" s="414"/>
      <c r="HTI21" s="414"/>
      <c r="HTJ21" s="414"/>
      <c r="HTK21" s="414"/>
      <c r="HTL21" s="414"/>
      <c r="HTM21" s="414"/>
      <c r="HTN21" s="414"/>
      <c r="HTO21" s="414"/>
      <c r="HTP21" s="414"/>
      <c r="HTQ21" s="414"/>
      <c r="HTR21" s="414"/>
      <c r="HTS21" s="414"/>
      <c r="HTT21" s="414"/>
      <c r="HTU21" s="414"/>
      <c r="HTV21" s="414"/>
      <c r="HTW21" s="414"/>
      <c r="HTX21" s="414"/>
      <c r="HTY21" s="414"/>
      <c r="HTZ21" s="414"/>
      <c r="HUA21" s="414"/>
      <c r="HUB21" s="414"/>
      <c r="HUC21" s="414"/>
      <c r="HUD21" s="414"/>
      <c r="HUE21" s="414"/>
      <c r="HUF21" s="414"/>
      <c r="HUG21" s="414"/>
      <c r="HUH21" s="414"/>
      <c r="HUI21" s="414"/>
      <c r="HUJ21" s="414"/>
      <c r="HUK21" s="414"/>
      <c r="HUL21" s="414"/>
      <c r="HUM21" s="414"/>
      <c r="HUN21" s="414"/>
      <c r="HUO21" s="414"/>
      <c r="HUP21" s="414"/>
      <c r="HUQ21" s="414"/>
      <c r="HUR21" s="414"/>
      <c r="HUS21" s="414"/>
      <c r="HUT21" s="414"/>
      <c r="HUU21" s="414"/>
      <c r="HUV21" s="414"/>
      <c r="HUW21" s="414"/>
      <c r="HUX21" s="414"/>
      <c r="HUY21" s="414"/>
      <c r="HUZ21" s="414"/>
      <c r="HVA21" s="414"/>
      <c r="HVB21" s="414"/>
      <c r="HVC21" s="414"/>
      <c r="HVD21" s="414"/>
      <c r="HVE21" s="414"/>
      <c r="HVF21" s="414"/>
      <c r="HVG21" s="414"/>
      <c r="HVH21" s="414"/>
      <c r="HVI21" s="414"/>
      <c r="HVJ21" s="414"/>
      <c r="HVK21" s="414"/>
      <c r="HVL21" s="414"/>
      <c r="HVM21" s="414"/>
      <c r="HVN21" s="414"/>
      <c r="HVO21" s="414"/>
      <c r="HVP21" s="414"/>
      <c r="HVQ21" s="414"/>
      <c r="HVR21" s="414"/>
      <c r="HVS21" s="414"/>
      <c r="HVT21" s="414"/>
      <c r="HVU21" s="414"/>
      <c r="HVV21" s="414"/>
      <c r="HVW21" s="414"/>
      <c r="HVX21" s="414"/>
      <c r="HVY21" s="414"/>
      <c r="HVZ21" s="414"/>
      <c r="HWA21" s="414"/>
      <c r="HWB21" s="414"/>
      <c r="HWC21" s="414"/>
      <c r="HWD21" s="414"/>
      <c r="HWE21" s="414"/>
      <c r="HWF21" s="414"/>
      <c r="HWG21" s="414"/>
      <c r="HWH21" s="414"/>
      <c r="HWI21" s="414"/>
      <c r="HWJ21" s="414"/>
      <c r="HWK21" s="414"/>
      <c r="HWL21" s="414"/>
      <c r="HWM21" s="414"/>
      <c r="HWN21" s="414"/>
      <c r="HWO21" s="414"/>
      <c r="HWP21" s="414"/>
      <c r="HWQ21" s="414"/>
      <c r="HWR21" s="414"/>
      <c r="HWS21" s="414"/>
      <c r="HWT21" s="414"/>
      <c r="HWU21" s="414"/>
      <c r="HWV21" s="414"/>
      <c r="HWW21" s="414"/>
      <c r="HWX21" s="414"/>
      <c r="HWY21" s="414"/>
      <c r="HWZ21" s="414"/>
      <c r="HXA21" s="414"/>
      <c r="HXB21" s="414"/>
      <c r="HXC21" s="414"/>
      <c r="HXD21" s="414"/>
      <c r="HXE21" s="414"/>
      <c r="HXF21" s="414"/>
      <c r="HXG21" s="414"/>
      <c r="HXH21" s="414"/>
      <c r="HXI21" s="414"/>
      <c r="HXJ21" s="414"/>
      <c r="HXK21" s="414"/>
      <c r="HXL21" s="414"/>
      <c r="HXM21" s="414"/>
      <c r="HXN21" s="414"/>
      <c r="HXO21" s="414"/>
      <c r="HXP21" s="414"/>
      <c r="HXQ21" s="414"/>
      <c r="HXR21" s="414"/>
      <c r="HXS21" s="414"/>
      <c r="HXT21" s="414"/>
      <c r="HXU21" s="414"/>
      <c r="HXV21" s="414"/>
      <c r="HXW21" s="414"/>
      <c r="HXX21" s="414"/>
      <c r="HXY21" s="414"/>
      <c r="HXZ21" s="414"/>
      <c r="HYA21" s="414"/>
      <c r="HYB21" s="414"/>
      <c r="HYC21" s="414"/>
      <c r="HYD21" s="414"/>
      <c r="HYE21" s="414"/>
      <c r="HYF21" s="414"/>
      <c r="HYG21" s="414"/>
      <c r="HYH21" s="414"/>
      <c r="HYI21" s="414"/>
      <c r="HYJ21" s="414"/>
      <c r="HYK21" s="414"/>
      <c r="HYL21" s="414"/>
      <c r="HYM21" s="414"/>
      <c r="HYN21" s="414"/>
      <c r="HYO21" s="414"/>
      <c r="HYP21" s="414"/>
      <c r="HYQ21" s="414"/>
      <c r="HYR21" s="414"/>
      <c r="HYS21" s="414"/>
      <c r="HYT21" s="414"/>
      <c r="HYU21" s="414"/>
      <c r="HYV21" s="414"/>
      <c r="HYW21" s="414"/>
      <c r="HYX21" s="414"/>
      <c r="HYY21" s="414"/>
      <c r="HYZ21" s="414"/>
      <c r="HZA21" s="414"/>
      <c r="HZB21" s="414"/>
      <c r="HZC21" s="414"/>
      <c r="HZD21" s="414"/>
      <c r="HZE21" s="414"/>
      <c r="HZF21" s="414"/>
      <c r="HZG21" s="414"/>
      <c r="HZH21" s="414"/>
      <c r="HZI21" s="414"/>
      <c r="HZJ21" s="414"/>
      <c r="HZK21" s="414"/>
      <c r="HZL21" s="414"/>
      <c r="HZM21" s="414"/>
      <c r="HZN21" s="414"/>
      <c r="HZO21" s="414"/>
      <c r="HZP21" s="414"/>
      <c r="HZQ21" s="414"/>
      <c r="HZR21" s="414"/>
      <c r="HZS21" s="414"/>
      <c r="HZT21" s="414"/>
      <c r="HZU21" s="414"/>
      <c r="HZV21" s="414"/>
      <c r="HZW21" s="414"/>
      <c r="HZX21" s="414"/>
      <c r="HZY21" s="414"/>
      <c r="HZZ21" s="414"/>
      <c r="IAA21" s="414"/>
      <c r="IAB21" s="414"/>
      <c r="IAC21" s="414"/>
      <c r="IAD21" s="414"/>
      <c r="IAE21" s="414"/>
      <c r="IAF21" s="414"/>
      <c r="IAG21" s="414"/>
      <c r="IAH21" s="414"/>
      <c r="IAI21" s="414"/>
      <c r="IAJ21" s="414"/>
      <c r="IAK21" s="414"/>
      <c r="IAL21" s="414"/>
      <c r="IAM21" s="414"/>
      <c r="IAN21" s="414"/>
      <c r="IAO21" s="414"/>
      <c r="IAP21" s="414"/>
      <c r="IAQ21" s="414"/>
      <c r="IAR21" s="414"/>
      <c r="IAS21" s="414"/>
      <c r="IAT21" s="414"/>
      <c r="IAU21" s="414"/>
      <c r="IAV21" s="414"/>
      <c r="IAW21" s="414"/>
      <c r="IAX21" s="414"/>
      <c r="IAY21" s="414"/>
      <c r="IAZ21" s="414"/>
      <c r="IBA21" s="414"/>
      <c r="IBB21" s="414"/>
      <c r="IBC21" s="414"/>
      <c r="IBD21" s="414"/>
      <c r="IBE21" s="414"/>
      <c r="IBF21" s="414"/>
      <c r="IBG21" s="414"/>
      <c r="IBH21" s="414"/>
      <c r="IBI21" s="414"/>
      <c r="IBJ21" s="414"/>
      <c r="IBK21" s="414"/>
      <c r="IBL21" s="414"/>
      <c r="IBM21" s="414"/>
      <c r="IBN21" s="414"/>
      <c r="IBO21" s="414"/>
      <c r="IBP21" s="414"/>
      <c r="IBQ21" s="414"/>
      <c r="IBR21" s="414"/>
      <c r="IBS21" s="414"/>
      <c r="IBT21" s="414"/>
      <c r="IBU21" s="414"/>
      <c r="IBV21" s="414"/>
      <c r="IBW21" s="414"/>
      <c r="IBX21" s="414"/>
      <c r="IBY21" s="414"/>
      <c r="IBZ21" s="414"/>
      <c r="ICA21" s="414"/>
      <c r="ICB21" s="414"/>
      <c r="ICC21" s="414"/>
      <c r="ICD21" s="414"/>
      <c r="ICE21" s="414"/>
      <c r="ICF21" s="414"/>
      <c r="ICG21" s="414"/>
      <c r="ICH21" s="414"/>
      <c r="ICI21" s="414"/>
      <c r="ICJ21" s="414"/>
      <c r="ICK21" s="414"/>
      <c r="ICL21" s="414"/>
      <c r="ICM21" s="414"/>
      <c r="ICN21" s="414"/>
      <c r="ICO21" s="414"/>
      <c r="ICP21" s="414"/>
      <c r="ICQ21" s="414"/>
      <c r="ICR21" s="414"/>
      <c r="ICS21" s="414"/>
      <c r="ICT21" s="414"/>
      <c r="ICU21" s="414"/>
      <c r="ICV21" s="414"/>
      <c r="ICW21" s="414"/>
      <c r="ICX21" s="414"/>
      <c r="ICY21" s="414"/>
      <c r="ICZ21" s="414"/>
      <c r="IDA21" s="414"/>
      <c r="IDB21" s="414"/>
      <c r="IDC21" s="414"/>
      <c r="IDD21" s="414"/>
      <c r="IDE21" s="414"/>
      <c r="IDF21" s="414"/>
      <c r="IDG21" s="414"/>
      <c r="IDH21" s="414"/>
      <c r="IDI21" s="414"/>
      <c r="IDJ21" s="414"/>
      <c r="IDK21" s="414"/>
      <c r="IDL21" s="414"/>
      <c r="IDM21" s="414"/>
      <c r="IDN21" s="414"/>
      <c r="IDO21" s="414"/>
      <c r="IDP21" s="414"/>
      <c r="IDQ21" s="414"/>
      <c r="IDR21" s="414"/>
      <c r="IDS21" s="414"/>
      <c r="IDT21" s="414"/>
      <c r="IDU21" s="414"/>
      <c r="IDV21" s="414"/>
      <c r="IDW21" s="414"/>
      <c r="IDX21" s="414"/>
      <c r="IDY21" s="414"/>
      <c r="IDZ21" s="414"/>
      <c r="IEA21" s="414"/>
      <c r="IEB21" s="414"/>
      <c r="IEC21" s="414"/>
      <c r="IED21" s="414"/>
      <c r="IEE21" s="414"/>
      <c r="IEF21" s="414"/>
      <c r="IEG21" s="414"/>
      <c r="IEH21" s="414"/>
      <c r="IEI21" s="414"/>
      <c r="IEJ21" s="414"/>
      <c r="IEK21" s="414"/>
      <c r="IEL21" s="414"/>
      <c r="IEM21" s="414"/>
      <c r="IEN21" s="414"/>
      <c r="IEO21" s="414"/>
      <c r="IEP21" s="414"/>
      <c r="IEQ21" s="414"/>
      <c r="IER21" s="414"/>
      <c r="IES21" s="414"/>
      <c r="IET21" s="414"/>
      <c r="IEU21" s="414"/>
      <c r="IEV21" s="414"/>
      <c r="IEW21" s="414"/>
      <c r="IEX21" s="414"/>
      <c r="IEY21" s="414"/>
      <c r="IEZ21" s="414"/>
      <c r="IFA21" s="414"/>
      <c r="IFB21" s="414"/>
      <c r="IFC21" s="414"/>
      <c r="IFD21" s="414"/>
      <c r="IFE21" s="414"/>
      <c r="IFF21" s="414"/>
      <c r="IFG21" s="414"/>
      <c r="IFH21" s="414"/>
      <c r="IFI21" s="414"/>
      <c r="IFJ21" s="414"/>
      <c r="IFK21" s="414"/>
      <c r="IFL21" s="414"/>
      <c r="IFM21" s="414"/>
      <c r="IFN21" s="414"/>
      <c r="IFO21" s="414"/>
      <c r="IFP21" s="414"/>
      <c r="IFQ21" s="414"/>
      <c r="IFR21" s="414"/>
      <c r="IFS21" s="414"/>
      <c r="IFT21" s="414"/>
      <c r="IFU21" s="414"/>
      <c r="IFV21" s="414"/>
      <c r="IFW21" s="414"/>
      <c r="IFX21" s="414"/>
      <c r="IFY21" s="414"/>
      <c r="IFZ21" s="414"/>
      <c r="IGA21" s="414"/>
      <c r="IGB21" s="414"/>
      <c r="IGC21" s="414"/>
      <c r="IGD21" s="414"/>
      <c r="IGE21" s="414"/>
      <c r="IGF21" s="414"/>
      <c r="IGG21" s="414"/>
      <c r="IGH21" s="414"/>
      <c r="IGI21" s="414"/>
      <c r="IGJ21" s="414"/>
      <c r="IGK21" s="414"/>
      <c r="IGL21" s="414"/>
      <c r="IGM21" s="414"/>
      <c r="IGN21" s="414"/>
      <c r="IGO21" s="414"/>
      <c r="IGP21" s="414"/>
      <c r="IGQ21" s="414"/>
      <c r="IGR21" s="414"/>
      <c r="IGS21" s="414"/>
      <c r="IGT21" s="414"/>
      <c r="IGU21" s="414"/>
      <c r="IGV21" s="414"/>
      <c r="IGW21" s="414"/>
      <c r="IGX21" s="414"/>
      <c r="IGY21" s="414"/>
      <c r="IGZ21" s="414"/>
      <c r="IHA21" s="414"/>
      <c r="IHB21" s="414"/>
      <c r="IHC21" s="414"/>
      <c r="IHD21" s="414"/>
      <c r="IHE21" s="414"/>
      <c r="IHF21" s="414"/>
      <c r="IHG21" s="414"/>
      <c r="IHH21" s="414"/>
      <c r="IHI21" s="414"/>
      <c r="IHJ21" s="414"/>
      <c r="IHK21" s="414"/>
      <c r="IHL21" s="414"/>
      <c r="IHM21" s="414"/>
      <c r="IHN21" s="414"/>
      <c r="IHO21" s="414"/>
      <c r="IHP21" s="414"/>
      <c r="IHQ21" s="414"/>
      <c r="IHR21" s="414"/>
      <c r="IHS21" s="414"/>
      <c r="IHT21" s="414"/>
      <c r="IHU21" s="414"/>
      <c r="IHV21" s="414"/>
      <c r="IHW21" s="414"/>
      <c r="IHX21" s="414"/>
      <c r="IHY21" s="414"/>
      <c r="IHZ21" s="414"/>
      <c r="IIA21" s="414"/>
      <c r="IIB21" s="414"/>
      <c r="IIC21" s="414"/>
      <c r="IID21" s="414"/>
      <c r="IIE21" s="414"/>
      <c r="IIF21" s="414"/>
      <c r="IIG21" s="414"/>
      <c r="IIH21" s="414"/>
      <c r="III21" s="414"/>
      <c r="IIJ21" s="414"/>
      <c r="IIK21" s="414"/>
      <c r="IIL21" s="414"/>
      <c r="IIM21" s="414"/>
      <c r="IIN21" s="414"/>
      <c r="IIO21" s="414"/>
      <c r="IIP21" s="414"/>
      <c r="IIQ21" s="414"/>
      <c r="IIR21" s="414"/>
      <c r="IIS21" s="414"/>
      <c r="IIT21" s="414"/>
      <c r="IIU21" s="414"/>
      <c r="IIV21" s="414"/>
      <c r="IIW21" s="414"/>
      <c r="IIX21" s="414"/>
      <c r="IIY21" s="414"/>
      <c r="IIZ21" s="414"/>
      <c r="IJA21" s="414"/>
      <c r="IJB21" s="414"/>
      <c r="IJC21" s="414"/>
      <c r="IJD21" s="414"/>
      <c r="IJE21" s="414"/>
      <c r="IJF21" s="414"/>
      <c r="IJG21" s="414"/>
      <c r="IJH21" s="414"/>
      <c r="IJI21" s="414"/>
      <c r="IJJ21" s="414"/>
      <c r="IJK21" s="414"/>
      <c r="IJL21" s="414"/>
      <c r="IJM21" s="414"/>
      <c r="IJN21" s="414"/>
      <c r="IJO21" s="414"/>
      <c r="IJP21" s="414"/>
      <c r="IJQ21" s="414"/>
      <c r="IJR21" s="414"/>
      <c r="IJS21" s="414"/>
      <c r="IJT21" s="414"/>
      <c r="IJU21" s="414"/>
      <c r="IJV21" s="414"/>
      <c r="IJW21" s="414"/>
      <c r="IJX21" s="414"/>
      <c r="IJY21" s="414"/>
      <c r="IJZ21" s="414"/>
      <c r="IKA21" s="414"/>
      <c r="IKB21" s="414"/>
      <c r="IKC21" s="414"/>
      <c r="IKD21" s="414"/>
      <c r="IKE21" s="414"/>
      <c r="IKF21" s="414"/>
      <c r="IKG21" s="414"/>
      <c r="IKH21" s="414"/>
      <c r="IKI21" s="414"/>
      <c r="IKJ21" s="414"/>
      <c r="IKK21" s="414"/>
      <c r="IKL21" s="414"/>
      <c r="IKM21" s="414"/>
      <c r="IKN21" s="414"/>
      <c r="IKO21" s="414"/>
      <c r="IKP21" s="414"/>
      <c r="IKQ21" s="414"/>
      <c r="IKR21" s="414"/>
      <c r="IKS21" s="414"/>
      <c r="IKT21" s="414"/>
      <c r="IKU21" s="414"/>
      <c r="IKV21" s="414"/>
      <c r="IKW21" s="414"/>
      <c r="IKX21" s="414"/>
      <c r="IKY21" s="414"/>
      <c r="IKZ21" s="414"/>
      <c r="ILA21" s="414"/>
      <c r="ILB21" s="414"/>
      <c r="ILC21" s="414"/>
      <c r="ILD21" s="414"/>
      <c r="ILE21" s="414"/>
      <c r="ILF21" s="414"/>
      <c r="ILG21" s="414"/>
      <c r="ILH21" s="414"/>
      <c r="ILI21" s="414"/>
      <c r="ILJ21" s="414"/>
      <c r="ILK21" s="414"/>
      <c r="ILL21" s="414"/>
      <c r="ILM21" s="414"/>
      <c r="ILN21" s="414"/>
      <c r="ILO21" s="414"/>
      <c r="ILP21" s="414"/>
      <c r="ILQ21" s="414"/>
      <c r="ILR21" s="414"/>
      <c r="ILS21" s="414"/>
      <c r="ILT21" s="414"/>
      <c r="ILU21" s="414"/>
      <c r="ILV21" s="414"/>
      <c r="ILW21" s="414"/>
      <c r="ILX21" s="414"/>
      <c r="ILY21" s="414"/>
      <c r="ILZ21" s="414"/>
      <c r="IMA21" s="414"/>
      <c r="IMB21" s="414"/>
      <c r="IMC21" s="414"/>
      <c r="IMD21" s="414"/>
      <c r="IME21" s="414"/>
      <c r="IMF21" s="414"/>
      <c r="IMG21" s="414"/>
      <c r="IMH21" s="414"/>
      <c r="IMI21" s="414"/>
      <c r="IMJ21" s="414"/>
      <c r="IMK21" s="414"/>
      <c r="IML21" s="414"/>
      <c r="IMM21" s="414"/>
      <c r="IMN21" s="414"/>
      <c r="IMO21" s="414"/>
      <c r="IMP21" s="414"/>
      <c r="IMQ21" s="414"/>
      <c r="IMR21" s="414"/>
      <c r="IMS21" s="414"/>
      <c r="IMT21" s="414"/>
      <c r="IMU21" s="414"/>
      <c r="IMV21" s="414"/>
      <c r="IMW21" s="414"/>
      <c r="IMX21" s="414"/>
      <c r="IMY21" s="414"/>
      <c r="IMZ21" s="414"/>
      <c r="INA21" s="414"/>
      <c r="INB21" s="414"/>
      <c r="INC21" s="414"/>
      <c r="IND21" s="414"/>
      <c r="INE21" s="414"/>
      <c r="INF21" s="414"/>
      <c r="ING21" s="414"/>
      <c r="INH21" s="414"/>
      <c r="INI21" s="414"/>
      <c r="INJ21" s="414"/>
      <c r="INK21" s="414"/>
      <c r="INL21" s="414"/>
      <c r="INM21" s="414"/>
      <c r="INN21" s="414"/>
      <c r="INO21" s="414"/>
      <c r="INP21" s="414"/>
      <c r="INQ21" s="414"/>
      <c r="INR21" s="414"/>
      <c r="INS21" s="414"/>
      <c r="INT21" s="414"/>
      <c r="INU21" s="414"/>
      <c r="INV21" s="414"/>
      <c r="INW21" s="414"/>
      <c r="INX21" s="414"/>
      <c r="INY21" s="414"/>
      <c r="INZ21" s="414"/>
      <c r="IOA21" s="414"/>
      <c r="IOB21" s="414"/>
      <c r="IOC21" s="414"/>
      <c r="IOD21" s="414"/>
      <c r="IOE21" s="414"/>
      <c r="IOF21" s="414"/>
      <c r="IOG21" s="414"/>
      <c r="IOH21" s="414"/>
      <c r="IOI21" s="414"/>
      <c r="IOJ21" s="414"/>
      <c r="IOK21" s="414"/>
      <c r="IOL21" s="414"/>
      <c r="IOM21" s="414"/>
      <c r="ION21" s="414"/>
      <c r="IOO21" s="414"/>
      <c r="IOP21" s="414"/>
      <c r="IOQ21" s="414"/>
      <c r="IOR21" s="414"/>
      <c r="IOS21" s="414"/>
      <c r="IOT21" s="414"/>
      <c r="IOU21" s="414"/>
      <c r="IOV21" s="414"/>
      <c r="IOW21" s="414"/>
      <c r="IOX21" s="414"/>
      <c r="IOY21" s="414"/>
      <c r="IOZ21" s="414"/>
      <c r="IPA21" s="414"/>
      <c r="IPB21" s="414"/>
      <c r="IPC21" s="414"/>
      <c r="IPD21" s="414"/>
      <c r="IPE21" s="414"/>
      <c r="IPF21" s="414"/>
      <c r="IPG21" s="414"/>
      <c r="IPH21" s="414"/>
      <c r="IPI21" s="414"/>
      <c r="IPJ21" s="414"/>
      <c r="IPK21" s="414"/>
      <c r="IPL21" s="414"/>
      <c r="IPM21" s="414"/>
      <c r="IPN21" s="414"/>
      <c r="IPO21" s="414"/>
      <c r="IPP21" s="414"/>
      <c r="IPQ21" s="414"/>
      <c r="IPR21" s="414"/>
      <c r="IPS21" s="414"/>
      <c r="IPT21" s="414"/>
      <c r="IPU21" s="414"/>
      <c r="IPV21" s="414"/>
      <c r="IPW21" s="414"/>
      <c r="IPX21" s="414"/>
      <c r="IPY21" s="414"/>
      <c r="IPZ21" s="414"/>
      <c r="IQA21" s="414"/>
      <c r="IQB21" s="414"/>
      <c r="IQC21" s="414"/>
      <c r="IQD21" s="414"/>
      <c r="IQE21" s="414"/>
      <c r="IQF21" s="414"/>
      <c r="IQG21" s="414"/>
      <c r="IQH21" s="414"/>
      <c r="IQI21" s="414"/>
      <c r="IQJ21" s="414"/>
      <c r="IQK21" s="414"/>
      <c r="IQL21" s="414"/>
      <c r="IQM21" s="414"/>
      <c r="IQN21" s="414"/>
      <c r="IQO21" s="414"/>
      <c r="IQP21" s="414"/>
      <c r="IQQ21" s="414"/>
      <c r="IQR21" s="414"/>
      <c r="IQS21" s="414"/>
      <c r="IQT21" s="414"/>
      <c r="IQU21" s="414"/>
      <c r="IQV21" s="414"/>
      <c r="IQW21" s="414"/>
      <c r="IQX21" s="414"/>
      <c r="IQY21" s="414"/>
      <c r="IQZ21" s="414"/>
      <c r="IRA21" s="414"/>
      <c r="IRB21" s="414"/>
      <c r="IRC21" s="414"/>
      <c r="IRD21" s="414"/>
      <c r="IRE21" s="414"/>
      <c r="IRF21" s="414"/>
      <c r="IRG21" s="414"/>
      <c r="IRH21" s="414"/>
      <c r="IRI21" s="414"/>
      <c r="IRJ21" s="414"/>
      <c r="IRK21" s="414"/>
      <c r="IRL21" s="414"/>
      <c r="IRM21" s="414"/>
      <c r="IRN21" s="414"/>
      <c r="IRO21" s="414"/>
      <c r="IRP21" s="414"/>
      <c r="IRQ21" s="414"/>
      <c r="IRR21" s="414"/>
      <c r="IRS21" s="414"/>
      <c r="IRT21" s="414"/>
      <c r="IRU21" s="414"/>
      <c r="IRV21" s="414"/>
      <c r="IRW21" s="414"/>
      <c r="IRX21" s="414"/>
      <c r="IRY21" s="414"/>
      <c r="IRZ21" s="414"/>
      <c r="ISA21" s="414"/>
      <c r="ISB21" s="414"/>
      <c r="ISC21" s="414"/>
      <c r="ISD21" s="414"/>
      <c r="ISE21" s="414"/>
      <c r="ISF21" s="414"/>
      <c r="ISG21" s="414"/>
      <c r="ISH21" s="414"/>
      <c r="ISI21" s="414"/>
      <c r="ISJ21" s="414"/>
      <c r="ISK21" s="414"/>
      <c r="ISL21" s="414"/>
      <c r="ISM21" s="414"/>
      <c r="ISN21" s="414"/>
      <c r="ISO21" s="414"/>
      <c r="ISP21" s="414"/>
      <c r="ISQ21" s="414"/>
      <c r="ISR21" s="414"/>
      <c r="ISS21" s="414"/>
      <c r="IST21" s="414"/>
      <c r="ISU21" s="414"/>
      <c r="ISV21" s="414"/>
      <c r="ISW21" s="414"/>
      <c r="ISX21" s="414"/>
      <c r="ISY21" s="414"/>
      <c r="ISZ21" s="414"/>
      <c r="ITA21" s="414"/>
      <c r="ITB21" s="414"/>
      <c r="ITC21" s="414"/>
      <c r="ITD21" s="414"/>
      <c r="ITE21" s="414"/>
      <c r="ITF21" s="414"/>
      <c r="ITG21" s="414"/>
      <c r="ITH21" s="414"/>
      <c r="ITI21" s="414"/>
      <c r="ITJ21" s="414"/>
      <c r="ITK21" s="414"/>
      <c r="ITL21" s="414"/>
      <c r="ITM21" s="414"/>
      <c r="ITN21" s="414"/>
      <c r="ITO21" s="414"/>
      <c r="ITP21" s="414"/>
      <c r="ITQ21" s="414"/>
      <c r="ITR21" s="414"/>
      <c r="ITS21" s="414"/>
      <c r="ITT21" s="414"/>
      <c r="ITU21" s="414"/>
      <c r="ITV21" s="414"/>
      <c r="ITW21" s="414"/>
      <c r="ITX21" s="414"/>
      <c r="ITY21" s="414"/>
      <c r="ITZ21" s="414"/>
      <c r="IUA21" s="414"/>
      <c r="IUB21" s="414"/>
      <c r="IUC21" s="414"/>
      <c r="IUD21" s="414"/>
      <c r="IUE21" s="414"/>
      <c r="IUF21" s="414"/>
      <c r="IUG21" s="414"/>
      <c r="IUH21" s="414"/>
      <c r="IUI21" s="414"/>
      <c r="IUJ21" s="414"/>
      <c r="IUK21" s="414"/>
      <c r="IUL21" s="414"/>
      <c r="IUM21" s="414"/>
      <c r="IUN21" s="414"/>
      <c r="IUO21" s="414"/>
      <c r="IUP21" s="414"/>
      <c r="IUQ21" s="414"/>
      <c r="IUR21" s="414"/>
      <c r="IUS21" s="414"/>
      <c r="IUT21" s="414"/>
      <c r="IUU21" s="414"/>
      <c r="IUV21" s="414"/>
      <c r="IUW21" s="414"/>
      <c r="IUX21" s="414"/>
      <c r="IUY21" s="414"/>
      <c r="IUZ21" s="414"/>
      <c r="IVA21" s="414"/>
      <c r="IVB21" s="414"/>
      <c r="IVC21" s="414"/>
      <c r="IVD21" s="414"/>
      <c r="IVE21" s="414"/>
      <c r="IVF21" s="414"/>
      <c r="IVG21" s="414"/>
      <c r="IVH21" s="414"/>
      <c r="IVI21" s="414"/>
      <c r="IVJ21" s="414"/>
      <c r="IVK21" s="414"/>
      <c r="IVL21" s="414"/>
      <c r="IVM21" s="414"/>
      <c r="IVN21" s="414"/>
      <c r="IVO21" s="414"/>
      <c r="IVP21" s="414"/>
      <c r="IVQ21" s="414"/>
      <c r="IVR21" s="414"/>
      <c r="IVS21" s="414"/>
      <c r="IVT21" s="414"/>
      <c r="IVU21" s="414"/>
      <c r="IVV21" s="414"/>
      <c r="IVW21" s="414"/>
      <c r="IVX21" s="414"/>
      <c r="IVY21" s="414"/>
      <c r="IVZ21" s="414"/>
      <c r="IWA21" s="414"/>
      <c r="IWB21" s="414"/>
      <c r="IWC21" s="414"/>
      <c r="IWD21" s="414"/>
      <c r="IWE21" s="414"/>
      <c r="IWF21" s="414"/>
      <c r="IWG21" s="414"/>
      <c r="IWH21" s="414"/>
      <c r="IWI21" s="414"/>
      <c r="IWJ21" s="414"/>
      <c r="IWK21" s="414"/>
      <c r="IWL21" s="414"/>
      <c r="IWM21" s="414"/>
      <c r="IWN21" s="414"/>
      <c r="IWO21" s="414"/>
      <c r="IWP21" s="414"/>
      <c r="IWQ21" s="414"/>
      <c r="IWR21" s="414"/>
      <c r="IWS21" s="414"/>
      <c r="IWT21" s="414"/>
      <c r="IWU21" s="414"/>
      <c r="IWV21" s="414"/>
      <c r="IWW21" s="414"/>
      <c r="IWX21" s="414"/>
      <c r="IWY21" s="414"/>
      <c r="IWZ21" s="414"/>
      <c r="IXA21" s="414"/>
      <c r="IXB21" s="414"/>
      <c r="IXC21" s="414"/>
      <c r="IXD21" s="414"/>
      <c r="IXE21" s="414"/>
      <c r="IXF21" s="414"/>
      <c r="IXG21" s="414"/>
      <c r="IXH21" s="414"/>
      <c r="IXI21" s="414"/>
      <c r="IXJ21" s="414"/>
      <c r="IXK21" s="414"/>
      <c r="IXL21" s="414"/>
      <c r="IXM21" s="414"/>
      <c r="IXN21" s="414"/>
      <c r="IXO21" s="414"/>
      <c r="IXP21" s="414"/>
      <c r="IXQ21" s="414"/>
      <c r="IXR21" s="414"/>
      <c r="IXS21" s="414"/>
      <c r="IXT21" s="414"/>
      <c r="IXU21" s="414"/>
      <c r="IXV21" s="414"/>
      <c r="IXW21" s="414"/>
      <c r="IXX21" s="414"/>
      <c r="IXY21" s="414"/>
      <c r="IXZ21" s="414"/>
      <c r="IYA21" s="414"/>
      <c r="IYB21" s="414"/>
      <c r="IYC21" s="414"/>
      <c r="IYD21" s="414"/>
      <c r="IYE21" s="414"/>
      <c r="IYF21" s="414"/>
      <c r="IYG21" s="414"/>
      <c r="IYH21" s="414"/>
      <c r="IYI21" s="414"/>
      <c r="IYJ21" s="414"/>
      <c r="IYK21" s="414"/>
      <c r="IYL21" s="414"/>
      <c r="IYM21" s="414"/>
      <c r="IYN21" s="414"/>
      <c r="IYO21" s="414"/>
      <c r="IYP21" s="414"/>
      <c r="IYQ21" s="414"/>
      <c r="IYR21" s="414"/>
      <c r="IYS21" s="414"/>
      <c r="IYT21" s="414"/>
      <c r="IYU21" s="414"/>
      <c r="IYV21" s="414"/>
      <c r="IYW21" s="414"/>
      <c r="IYX21" s="414"/>
      <c r="IYY21" s="414"/>
      <c r="IYZ21" s="414"/>
      <c r="IZA21" s="414"/>
      <c r="IZB21" s="414"/>
      <c r="IZC21" s="414"/>
      <c r="IZD21" s="414"/>
      <c r="IZE21" s="414"/>
      <c r="IZF21" s="414"/>
      <c r="IZG21" s="414"/>
      <c r="IZH21" s="414"/>
      <c r="IZI21" s="414"/>
      <c r="IZJ21" s="414"/>
      <c r="IZK21" s="414"/>
      <c r="IZL21" s="414"/>
      <c r="IZM21" s="414"/>
      <c r="IZN21" s="414"/>
      <c r="IZO21" s="414"/>
      <c r="IZP21" s="414"/>
      <c r="IZQ21" s="414"/>
      <c r="IZR21" s="414"/>
      <c r="IZS21" s="414"/>
      <c r="IZT21" s="414"/>
      <c r="IZU21" s="414"/>
      <c r="IZV21" s="414"/>
      <c r="IZW21" s="414"/>
      <c r="IZX21" s="414"/>
      <c r="IZY21" s="414"/>
      <c r="IZZ21" s="414"/>
      <c r="JAA21" s="414"/>
      <c r="JAB21" s="414"/>
      <c r="JAC21" s="414"/>
      <c r="JAD21" s="414"/>
      <c r="JAE21" s="414"/>
      <c r="JAF21" s="414"/>
      <c r="JAG21" s="414"/>
      <c r="JAH21" s="414"/>
      <c r="JAI21" s="414"/>
      <c r="JAJ21" s="414"/>
      <c r="JAK21" s="414"/>
      <c r="JAL21" s="414"/>
      <c r="JAM21" s="414"/>
      <c r="JAN21" s="414"/>
      <c r="JAO21" s="414"/>
      <c r="JAP21" s="414"/>
      <c r="JAQ21" s="414"/>
      <c r="JAR21" s="414"/>
      <c r="JAS21" s="414"/>
      <c r="JAT21" s="414"/>
      <c r="JAU21" s="414"/>
      <c r="JAV21" s="414"/>
      <c r="JAW21" s="414"/>
      <c r="JAX21" s="414"/>
      <c r="JAY21" s="414"/>
      <c r="JAZ21" s="414"/>
      <c r="JBA21" s="414"/>
      <c r="JBB21" s="414"/>
      <c r="JBC21" s="414"/>
      <c r="JBD21" s="414"/>
      <c r="JBE21" s="414"/>
      <c r="JBF21" s="414"/>
      <c r="JBG21" s="414"/>
      <c r="JBH21" s="414"/>
      <c r="JBI21" s="414"/>
      <c r="JBJ21" s="414"/>
      <c r="JBK21" s="414"/>
      <c r="JBL21" s="414"/>
      <c r="JBM21" s="414"/>
      <c r="JBN21" s="414"/>
      <c r="JBO21" s="414"/>
      <c r="JBP21" s="414"/>
      <c r="JBQ21" s="414"/>
      <c r="JBR21" s="414"/>
      <c r="JBS21" s="414"/>
      <c r="JBT21" s="414"/>
      <c r="JBU21" s="414"/>
      <c r="JBV21" s="414"/>
      <c r="JBW21" s="414"/>
      <c r="JBX21" s="414"/>
      <c r="JBY21" s="414"/>
      <c r="JBZ21" s="414"/>
      <c r="JCA21" s="414"/>
      <c r="JCB21" s="414"/>
      <c r="JCC21" s="414"/>
      <c r="JCD21" s="414"/>
      <c r="JCE21" s="414"/>
      <c r="JCF21" s="414"/>
      <c r="JCG21" s="414"/>
      <c r="JCH21" s="414"/>
      <c r="JCI21" s="414"/>
      <c r="JCJ21" s="414"/>
      <c r="JCK21" s="414"/>
      <c r="JCL21" s="414"/>
      <c r="JCM21" s="414"/>
      <c r="JCN21" s="414"/>
      <c r="JCO21" s="414"/>
      <c r="JCP21" s="414"/>
      <c r="JCQ21" s="414"/>
      <c r="JCR21" s="414"/>
      <c r="JCS21" s="414"/>
      <c r="JCT21" s="414"/>
      <c r="JCU21" s="414"/>
      <c r="JCV21" s="414"/>
      <c r="JCW21" s="414"/>
      <c r="JCX21" s="414"/>
      <c r="JCY21" s="414"/>
      <c r="JCZ21" s="414"/>
      <c r="JDA21" s="414"/>
      <c r="JDB21" s="414"/>
      <c r="JDC21" s="414"/>
      <c r="JDD21" s="414"/>
      <c r="JDE21" s="414"/>
      <c r="JDF21" s="414"/>
      <c r="JDG21" s="414"/>
      <c r="JDH21" s="414"/>
      <c r="JDI21" s="414"/>
      <c r="JDJ21" s="414"/>
      <c r="JDK21" s="414"/>
      <c r="JDL21" s="414"/>
      <c r="JDM21" s="414"/>
      <c r="JDN21" s="414"/>
      <c r="JDO21" s="414"/>
      <c r="JDP21" s="414"/>
      <c r="JDQ21" s="414"/>
      <c r="JDR21" s="414"/>
      <c r="JDS21" s="414"/>
      <c r="JDT21" s="414"/>
      <c r="JDU21" s="414"/>
      <c r="JDV21" s="414"/>
      <c r="JDW21" s="414"/>
      <c r="JDX21" s="414"/>
      <c r="JDY21" s="414"/>
      <c r="JDZ21" s="414"/>
      <c r="JEA21" s="414"/>
      <c r="JEB21" s="414"/>
      <c r="JEC21" s="414"/>
      <c r="JED21" s="414"/>
      <c r="JEE21" s="414"/>
      <c r="JEF21" s="414"/>
      <c r="JEG21" s="414"/>
      <c r="JEH21" s="414"/>
      <c r="JEI21" s="414"/>
      <c r="JEJ21" s="414"/>
      <c r="JEK21" s="414"/>
      <c r="JEL21" s="414"/>
      <c r="JEM21" s="414"/>
      <c r="JEN21" s="414"/>
      <c r="JEO21" s="414"/>
      <c r="JEP21" s="414"/>
      <c r="JEQ21" s="414"/>
      <c r="JER21" s="414"/>
      <c r="JES21" s="414"/>
      <c r="JET21" s="414"/>
      <c r="JEU21" s="414"/>
      <c r="JEV21" s="414"/>
      <c r="JEW21" s="414"/>
      <c r="JEX21" s="414"/>
      <c r="JEY21" s="414"/>
      <c r="JEZ21" s="414"/>
      <c r="JFA21" s="414"/>
      <c r="JFB21" s="414"/>
      <c r="JFC21" s="414"/>
      <c r="JFD21" s="414"/>
      <c r="JFE21" s="414"/>
      <c r="JFF21" s="414"/>
      <c r="JFG21" s="414"/>
      <c r="JFH21" s="414"/>
      <c r="JFI21" s="414"/>
      <c r="JFJ21" s="414"/>
      <c r="JFK21" s="414"/>
      <c r="JFL21" s="414"/>
      <c r="JFM21" s="414"/>
      <c r="JFN21" s="414"/>
      <c r="JFO21" s="414"/>
      <c r="JFP21" s="414"/>
      <c r="JFQ21" s="414"/>
      <c r="JFR21" s="414"/>
      <c r="JFS21" s="414"/>
      <c r="JFT21" s="414"/>
      <c r="JFU21" s="414"/>
      <c r="JFV21" s="414"/>
      <c r="JFW21" s="414"/>
      <c r="JFX21" s="414"/>
      <c r="JFY21" s="414"/>
      <c r="JFZ21" s="414"/>
      <c r="JGA21" s="414"/>
      <c r="JGB21" s="414"/>
      <c r="JGC21" s="414"/>
      <c r="JGD21" s="414"/>
      <c r="JGE21" s="414"/>
      <c r="JGF21" s="414"/>
      <c r="JGG21" s="414"/>
      <c r="JGH21" s="414"/>
      <c r="JGI21" s="414"/>
      <c r="JGJ21" s="414"/>
      <c r="JGK21" s="414"/>
      <c r="JGL21" s="414"/>
      <c r="JGM21" s="414"/>
      <c r="JGN21" s="414"/>
      <c r="JGO21" s="414"/>
      <c r="JGP21" s="414"/>
      <c r="JGQ21" s="414"/>
      <c r="JGR21" s="414"/>
      <c r="JGS21" s="414"/>
      <c r="JGT21" s="414"/>
      <c r="JGU21" s="414"/>
      <c r="JGV21" s="414"/>
      <c r="JGW21" s="414"/>
      <c r="JGX21" s="414"/>
      <c r="JGY21" s="414"/>
      <c r="JGZ21" s="414"/>
      <c r="JHA21" s="414"/>
      <c r="JHB21" s="414"/>
      <c r="JHC21" s="414"/>
      <c r="JHD21" s="414"/>
      <c r="JHE21" s="414"/>
      <c r="JHF21" s="414"/>
      <c r="JHG21" s="414"/>
      <c r="JHH21" s="414"/>
      <c r="JHI21" s="414"/>
      <c r="JHJ21" s="414"/>
      <c r="JHK21" s="414"/>
      <c r="JHL21" s="414"/>
      <c r="JHM21" s="414"/>
      <c r="JHN21" s="414"/>
      <c r="JHO21" s="414"/>
      <c r="JHP21" s="414"/>
      <c r="JHQ21" s="414"/>
      <c r="JHR21" s="414"/>
      <c r="JHS21" s="414"/>
      <c r="JHT21" s="414"/>
      <c r="JHU21" s="414"/>
      <c r="JHV21" s="414"/>
      <c r="JHW21" s="414"/>
      <c r="JHX21" s="414"/>
      <c r="JHY21" s="414"/>
      <c r="JHZ21" s="414"/>
      <c r="JIA21" s="414"/>
      <c r="JIB21" s="414"/>
      <c r="JIC21" s="414"/>
      <c r="JID21" s="414"/>
      <c r="JIE21" s="414"/>
      <c r="JIF21" s="414"/>
      <c r="JIG21" s="414"/>
      <c r="JIH21" s="414"/>
      <c r="JII21" s="414"/>
      <c r="JIJ21" s="414"/>
      <c r="JIK21" s="414"/>
      <c r="JIL21" s="414"/>
      <c r="JIM21" s="414"/>
      <c r="JIN21" s="414"/>
      <c r="JIO21" s="414"/>
      <c r="JIP21" s="414"/>
      <c r="JIQ21" s="414"/>
      <c r="JIR21" s="414"/>
      <c r="JIS21" s="414"/>
      <c r="JIT21" s="414"/>
      <c r="JIU21" s="414"/>
      <c r="JIV21" s="414"/>
      <c r="JIW21" s="414"/>
      <c r="JIX21" s="414"/>
      <c r="JIY21" s="414"/>
      <c r="JIZ21" s="414"/>
      <c r="JJA21" s="414"/>
      <c r="JJB21" s="414"/>
      <c r="JJC21" s="414"/>
      <c r="JJD21" s="414"/>
      <c r="JJE21" s="414"/>
      <c r="JJF21" s="414"/>
      <c r="JJG21" s="414"/>
      <c r="JJH21" s="414"/>
      <c r="JJI21" s="414"/>
      <c r="JJJ21" s="414"/>
      <c r="JJK21" s="414"/>
      <c r="JJL21" s="414"/>
      <c r="JJM21" s="414"/>
      <c r="JJN21" s="414"/>
      <c r="JJO21" s="414"/>
      <c r="JJP21" s="414"/>
      <c r="JJQ21" s="414"/>
      <c r="JJR21" s="414"/>
      <c r="JJS21" s="414"/>
      <c r="JJT21" s="414"/>
      <c r="JJU21" s="414"/>
      <c r="JJV21" s="414"/>
      <c r="JJW21" s="414"/>
      <c r="JJX21" s="414"/>
      <c r="JJY21" s="414"/>
      <c r="JJZ21" s="414"/>
      <c r="JKA21" s="414"/>
      <c r="JKB21" s="414"/>
      <c r="JKC21" s="414"/>
      <c r="JKD21" s="414"/>
      <c r="JKE21" s="414"/>
      <c r="JKF21" s="414"/>
      <c r="JKG21" s="414"/>
      <c r="JKH21" s="414"/>
      <c r="JKI21" s="414"/>
      <c r="JKJ21" s="414"/>
      <c r="JKK21" s="414"/>
      <c r="JKL21" s="414"/>
      <c r="JKM21" s="414"/>
      <c r="JKN21" s="414"/>
      <c r="JKO21" s="414"/>
      <c r="JKP21" s="414"/>
      <c r="JKQ21" s="414"/>
      <c r="JKR21" s="414"/>
      <c r="JKS21" s="414"/>
      <c r="JKT21" s="414"/>
      <c r="JKU21" s="414"/>
      <c r="JKV21" s="414"/>
      <c r="JKW21" s="414"/>
      <c r="JKX21" s="414"/>
      <c r="JKY21" s="414"/>
      <c r="JKZ21" s="414"/>
      <c r="JLA21" s="414"/>
      <c r="JLB21" s="414"/>
      <c r="JLC21" s="414"/>
      <c r="JLD21" s="414"/>
      <c r="JLE21" s="414"/>
      <c r="JLF21" s="414"/>
      <c r="JLG21" s="414"/>
      <c r="JLH21" s="414"/>
      <c r="JLI21" s="414"/>
      <c r="JLJ21" s="414"/>
      <c r="JLK21" s="414"/>
      <c r="JLL21" s="414"/>
      <c r="JLM21" s="414"/>
      <c r="JLN21" s="414"/>
      <c r="JLO21" s="414"/>
      <c r="JLP21" s="414"/>
      <c r="JLQ21" s="414"/>
      <c r="JLR21" s="414"/>
      <c r="JLS21" s="414"/>
      <c r="JLT21" s="414"/>
      <c r="JLU21" s="414"/>
      <c r="JLV21" s="414"/>
      <c r="JLW21" s="414"/>
      <c r="JLX21" s="414"/>
      <c r="JLY21" s="414"/>
      <c r="JLZ21" s="414"/>
      <c r="JMA21" s="414"/>
      <c r="JMB21" s="414"/>
      <c r="JMC21" s="414"/>
      <c r="JMD21" s="414"/>
      <c r="JME21" s="414"/>
      <c r="JMF21" s="414"/>
      <c r="JMG21" s="414"/>
      <c r="JMH21" s="414"/>
      <c r="JMI21" s="414"/>
      <c r="JMJ21" s="414"/>
      <c r="JMK21" s="414"/>
      <c r="JML21" s="414"/>
      <c r="JMM21" s="414"/>
      <c r="JMN21" s="414"/>
      <c r="JMO21" s="414"/>
      <c r="JMP21" s="414"/>
      <c r="JMQ21" s="414"/>
      <c r="JMR21" s="414"/>
      <c r="JMS21" s="414"/>
      <c r="JMT21" s="414"/>
      <c r="JMU21" s="414"/>
      <c r="JMV21" s="414"/>
      <c r="JMW21" s="414"/>
      <c r="JMX21" s="414"/>
      <c r="JMY21" s="414"/>
      <c r="JMZ21" s="414"/>
      <c r="JNA21" s="414"/>
      <c r="JNB21" s="414"/>
      <c r="JNC21" s="414"/>
      <c r="JND21" s="414"/>
      <c r="JNE21" s="414"/>
      <c r="JNF21" s="414"/>
      <c r="JNG21" s="414"/>
      <c r="JNH21" s="414"/>
      <c r="JNI21" s="414"/>
      <c r="JNJ21" s="414"/>
      <c r="JNK21" s="414"/>
      <c r="JNL21" s="414"/>
      <c r="JNM21" s="414"/>
      <c r="JNN21" s="414"/>
      <c r="JNO21" s="414"/>
      <c r="JNP21" s="414"/>
      <c r="JNQ21" s="414"/>
      <c r="JNR21" s="414"/>
      <c r="JNS21" s="414"/>
      <c r="JNT21" s="414"/>
      <c r="JNU21" s="414"/>
      <c r="JNV21" s="414"/>
      <c r="JNW21" s="414"/>
      <c r="JNX21" s="414"/>
      <c r="JNY21" s="414"/>
      <c r="JNZ21" s="414"/>
      <c r="JOA21" s="414"/>
      <c r="JOB21" s="414"/>
      <c r="JOC21" s="414"/>
      <c r="JOD21" s="414"/>
      <c r="JOE21" s="414"/>
      <c r="JOF21" s="414"/>
      <c r="JOG21" s="414"/>
      <c r="JOH21" s="414"/>
      <c r="JOI21" s="414"/>
      <c r="JOJ21" s="414"/>
      <c r="JOK21" s="414"/>
      <c r="JOL21" s="414"/>
      <c r="JOM21" s="414"/>
      <c r="JON21" s="414"/>
      <c r="JOO21" s="414"/>
      <c r="JOP21" s="414"/>
      <c r="JOQ21" s="414"/>
      <c r="JOR21" s="414"/>
      <c r="JOS21" s="414"/>
      <c r="JOT21" s="414"/>
      <c r="JOU21" s="414"/>
      <c r="JOV21" s="414"/>
      <c r="JOW21" s="414"/>
      <c r="JOX21" s="414"/>
      <c r="JOY21" s="414"/>
      <c r="JOZ21" s="414"/>
      <c r="JPA21" s="414"/>
      <c r="JPB21" s="414"/>
      <c r="JPC21" s="414"/>
      <c r="JPD21" s="414"/>
      <c r="JPE21" s="414"/>
      <c r="JPF21" s="414"/>
      <c r="JPG21" s="414"/>
      <c r="JPH21" s="414"/>
      <c r="JPI21" s="414"/>
      <c r="JPJ21" s="414"/>
      <c r="JPK21" s="414"/>
      <c r="JPL21" s="414"/>
      <c r="JPM21" s="414"/>
      <c r="JPN21" s="414"/>
      <c r="JPO21" s="414"/>
      <c r="JPP21" s="414"/>
      <c r="JPQ21" s="414"/>
      <c r="JPR21" s="414"/>
      <c r="JPS21" s="414"/>
      <c r="JPT21" s="414"/>
      <c r="JPU21" s="414"/>
      <c r="JPV21" s="414"/>
      <c r="JPW21" s="414"/>
      <c r="JPX21" s="414"/>
      <c r="JPY21" s="414"/>
      <c r="JPZ21" s="414"/>
      <c r="JQA21" s="414"/>
      <c r="JQB21" s="414"/>
      <c r="JQC21" s="414"/>
      <c r="JQD21" s="414"/>
      <c r="JQE21" s="414"/>
      <c r="JQF21" s="414"/>
      <c r="JQG21" s="414"/>
      <c r="JQH21" s="414"/>
      <c r="JQI21" s="414"/>
      <c r="JQJ21" s="414"/>
      <c r="JQK21" s="414"/>
      <c r="JQL21" s="414"/>
      <c r="JQM21" s="414"/>
      <c r="JQN21" s="414"/>
      <c r="JQO21" s="414"/>
      <c r="JQP21" s="414"/>
      <c r="JQQ21" s="414"/>
      <c r="JQR21" s="414"/>
      <c r="JQS21" s="414"/>
      <c r="JQT21" s="414"/>
      <c r="JQU21" s="414"/>
      <c r="JQV21" s="414"/>
      <c r="JQW21" s="414"/>
      <c r="JQX21" s="414"/>
      <c r="JQY21" s="414"/>
      <c r="JQZ21" s="414"/>
      <c r="JRA21" s="414"/>
      <c r="JRB21" s="414"/>
      <c r="JRC21" s="414"/>
      <c r="JRD21" s="414"/>
      <c r="JRE21" s="414"/>
      <c r="JRF21" s="414"/>
      <c r="JRG21" s="414"/>
      <c r="JRH21" s="414"/>
      <c r="JRI21" s="414"/>
      <c r="JRJ21" s="414"/>
      <c r="JRK21" s="414"/>
      <c r="JRL21" s="414"/>
      <c r="JRM21" s="414"/>
      <c r="JRN21" s="414"/>
      <c r="JRO21" s="414"/>
      <c r="JRP21" s="414"/>
      <c r="JRQ21" s="414"/>
      <c r="JRR21" s="414"/>
      <c r="JRS21" s="414"/>
      <c r="JRT21" s="414"/>
      <c r="JRU21" s="414"/>
      <c r="JRV21" s="414"/>
      <c r="JRW21" s="414"/>
      <c r="JRX21" s="414"/>
      <c r="JRY21" s="414"/>
      <c r="JRZ21" s="414"/>
      <c r="JSA21" s="414"/>
      <c r="JSB21" s="414"/>
      <c r="JSC21" s="414"/>
      <c r="JSD21" s="414"/>
      <c r="JSE21" s="414"/>
      <c r="JSF21" s="414"/>
      <c r="JSG21" s="414"/>
      <c r="JSH21" s="414"/>
      <c r="JSI21" s="414"/>
      <c r="JSJ21" s="414"/>
      <c r="JSK21" s="414"/>
      <c r="JSL21" s="414"/>
      <c r="JSM21" s="414"/>
      <c r="JSN21" s="414"/>
      <c r="JSO21" s="414"/>
      <c r="JSP21" s="414"/>
      <c r="JSQ21" s="414"/>
      <c r="JSR21" s="414"/>
      <c r="JSS21" s="414"/>
      <c r="JST21" s="414"/>
      <c r="JSU21" s="414"/>
      <c r="JSV21" s="414"/>
      <c r="JSW21" s="414"/>
      <c r="JSX21" s="414"/>
      <c r="JSY21" s="414"/>
      <c r="JSZ21" s="414"/>
      <c r="JTA21" s="414"/>
      <c r="JTB21" s="414"/>
      <c r="JTC21" s="414"/>
      <c r="JTD21" s="414"/>
      <c r="JTE21" s="414"/>
      <c r="JTF21" s="414"/>
      <c r="JTG21" s="414"/>
      <c r="JTH21" s="414"/>
      <c r="JTI21" s="414"/>
      <c r="JTJ21" s="414"/>
      <c r="JTK21" s="414"/>
      <c r="JTL21" s="414"/>
      <c r="JTM21" s="414"/>
      <c r="JTN21" s="414"/>
      <c r="JTO21" s="414"/>
      <c r="JTP21" s="414"/>
      <c r="JTQ21" s="414"/>
      <c r="JTR21" s="414"/>
      <c r="JTS21" s="414"/>
      <c r="JTT21" s="414"/>
      <c r="JTU21" s="414"/>
      <c r="JTV21" s="414"/>
      <c r="JTW21" s="414"/>
      <c r="JTX21" s="414"/>
      <c r="JTY21" s="414"/>
      <c r="JTZ21" s="414"/>
      <c r="JUA21" s="414"/>
      <c r="JUB21" s="414"/>
      <c r="JUC21" s="414"/>
      <c r="JUD21" s="414"/>
      <c r="JUE21" s="414"/>
      <c r="JUF21" s="414"/>
      <c r="JUG21" s="414"/>
      <c r="JUH21" s="414"/>
      <c r="JUI21" s="414"/>
      <c r="JUJ21" s="414"/>
      <c r="JUK21" s="414"/>
      <c r="JUL21" s="414"/>
      <c r="JUM21" s="414"/>
      <c r="JUN21" s="414"/>
      <c r="JUO21" s="414"/>
      <c r="JUP21" s="414"/>
      <c r="JUQ21" s="414"/>
      <c r="JUR21" s="414"/>
      <c r="JUS21" s="414"/>
      <c r="JUT21" s="414"/>
      <c r="JUU21" s="414"/>
      <c r="JUV21" s="414"/>
      <c r="JUW21" s="414"/>
      <c r="JUX21" s="414"/>
      <c r="JUY21" s="414"/>
      <c r="JUZ21" s="414"/>
      <c r="JVA21" s="414"/>
      <c r="JVB21" s="414"/>
      <c r="JVC21" s="414"/>
      <c r="JVD21" s="414"/>
      <c r="JVE21" s="414"/>
      <c r="JVF21" s="414"/>
      <c r="JVG21" s="414"/>
      <c r="JVH21" s="414"/>
      <c r="JVI21" s="414"/>
      <c r="JVJ21" s="414"/>
      <c r="JVK21" s="414"/>
      <c r="JVL21" s="414"/>
      <c r="JVM21" s="414"/>
      <c r="JVN21" s="414"/>
      <c r="JVO21" s="414"/>
      <c r="JVP21" s="414"/>
      <c r="JVQ21" s="414"/>
      <c r="JVR21" s="414"/>
      <c r="JVS21" s="414"/>
      <c r="JVT21" s="414"/>
      <c r="JVU21" s="414"/>
      <c r="JVV21" s="414"/>
      <c r="JVW21" s="414"/>
      <c r="JVX21" s="414"/>
      <c r="JVY21" s="414"/>
      <c r="JVZ21" s="414"/>
      <c r="JWA21" s="414"/>
      <c r="JWB21" s="414"/>
      <c r="JWC21" s="414"/>
      <c r="JWD21" s="414"/>
      <c r="JWE21" s="414"/>
      <c r="JWF21" s="414"/>
      <c r="JWG21" s="414"/>
      <c r="JWH21" s="414"/>
      <c r="JWI21" s="414"/>
      <c r="JWJ21" s="414"/>
      <c r="JWK21" s="414"/>
      <c r="JWL21" s="414"/>
      <c r="JWM21" s="414"/>
      <c r="JWN21" s="414"/>
      <c r="JWO21" s="414"/>
      <c r="JWP21" s="414"/>
      <c r="JWQ21" s="414"/>
      <c r="JWR21" s="414"/>
      <c r="JWS21" s="414"/>
      <c r="JWT21" s="414"/>
      <c r="JWU21" s="414"/>
      <c r="JWV21" s="414"/>
      <c r="JWW21" s="414"/>
      <c r="JWX21" s="414"/>
      <c r="JWY21" s="414"/>
      <c r="JWZ21" s="414"/>
      <c r="JXA21" s="414"/>
      <c r="JXB21" s="414"/>
      <c r="JXC21" s="414"/>
      <c r="JXD21" s="414"/>
      <c r="JXE21" s="414"/>
      <c r="JXF21" s="414"/>
      <c r="JXG21" s="414"/>
      <c r="JXH21" s="414"/>
      <c r="JXI21" s="414"/>
      <c r="JXJ21" s="414"/>
      <c r="JXK21" s="414"/>
      <c r="JXL21" s="414"/>
      <c r="JXM21" s="414"/>
      <c r="JXN21" s="414"/>
      <c r="JXO21" s="414"/>
      <c r="JXP21" s="414"/>
      <c r="JXQ21" s="414"/>
      <c r="JXR21" s="414"/>
      <c r="JXS21" s="414"/>
      <c r="JXT21" s="414"/>
      <c r="JXU21" s="414"/>
      <c r="JXV21" s="414"/>
      <c r="JXW21" s="414"/>
      <c r="JXX21" s="414"/>
      <c r="JXY21" s="414"/>
      <c r="JXZ21" s="414"/>
      <c r="JYA21" s="414"/>
      <c r="JYB21" s="414"/>
      <c r="JYC21" s="414"/>
      <c r="JYD21" s="414"/>
      <c r="JYE21" s="414"/>
      <c r="JYF21" s="414"/>
      <c r="JYG21" s="414"/>
      <c r="JYH21" s="414"/>
      <c r="JYI21" s="414"/>
      <c r="JYJ21" s="414"/>
      <c r="JYK21" s="414"/>
      <c r="JYL21" s="414"/>
      <c r="JYM21" s="414"/>
      <c r="JYN21" s="414"/>
      <c r="JYO21" s="414"/>
      <c r="JYP21" s="414"/>
      <c r="JYQ21" s="414"/>
      <c r="JYR21" s="414"/>
      <c r="JYS21" s="414"/>
      <c r="JYT21" s="414"/>
      <c r="JYU21" s="414"/>
      <c r="JYV21" s="414"/>
      <c r="JYW21" s="414"/>
      <c r="JYX21" s="414"/>
      <c r="JYY21" s="414"/>
      <c r="JYZ21" s="414"/>
      <c r="JZA21" s="414"/>
      <c r="JZB21" s="414"/>
      <c r="JZC21" s="414"/>
      <c r="JZD21" s="414"/>
      <c r="JZE21" s="414"/>
      <c r="JZF21" s="414"/>
      <c r="JZG21" s="414"/>
      <c r="JZH21" s="414"/>
      <c r="JZI21" s="414"/>
      <c r="JZJ21" s="414"/>
      <c r="JZK21" s="414"/>
      <c r="JZL21" s="414"/>
      <c r="JZM21" s="414"/>
      <c r="JZN21" s="414"/>
      <c r="JZO21" s="414"/>
      <c r="JZP21" s="414"/>
      <c r="JZQ21" s="414"/>
      <c r="JZR21" s="414"/>
      <c r="JZS21" s="414"/>
      <c r="JZT21" s="414"/>
      <c r="JZU21" s="414"/>
      <c r="JZV21" s="414"/>
      <c r="JZW21" s="414"/>
      <c r="JZX21" s="414"/>
      <c r="JZY21" s="414"/>
      <c r="JZZ21" s="414"/>
      <c r="KAA21" s="414"/>
      <c r="KAB21" s="414"/>
      <c r="KAC21" s="414"/>
      <c r="KAD21" s="414"/>
      <c r="KAE21" s="414"/>
      <c r="KAF21" s="414"/>
      <c r="KAG21" s="414"/>
      <c r="KAH21" s="414"/>
      <c r="KAI21" s="414"/>
      <c r="KAJ21" s="414"/>
      <c r="KAK21" s="414"/>
      <c r="KAL21" s="414"/>
      <c r="KAM21" s="414"/>
      <c r="KAN21" s="414"/>
      <c r="KAO21" s="414"/>
      <c r="KAP21" s="414"/>
      <c r="KAQ21" s="414"/>
      <c r="KAR21" s="414"/>
      <c r="KAS21" s="414"/>
      <c r="KAT21" s="414"/>
      <c r="KAU21" s="414"/>
      <c r="KAV21" s="414"/>
      <c r="KAW21" s="414"/>
      <c r="KAX21" s="414"/>
      <c r="KAY21" s="414"/>
      <c r="KAZ21" s="414"/>
      <c r="KBA21" s="414"/>
      <c r="KBB21" s="414"/>
      <c r="KBC21" s="414"/>
      <c r="KBD21" s="414"/>
      <c r="KBE21" s="414"/>
      <c r="KBF21" s="414"/>
      <c r="KBG21" s="414"/>
      <c r="KBH21" s="414"/>
      <c r="KBI21" s="414"/>
      <c r="KBJ21" s="414"/>
      <c r="KBK21" s="414"/>
      <c r="KBL21" s="414"/>
      <c r="KBM21" s="414"/>
      <c r="KBN21" s="414"/>
      <c r="KBO21" s="414"/>
      <c r="KBP21" s="414"/>
      <c r="KBQ21" s="414"/>
      <c r="KBR21" s="414"/>
      <c r="KBS21" s="414"/>
      <c r="KBT21" s="414"/>
      <c r="KBU21" s="414"/>
      <c r="KBV21" s="414"/>
      <c r="KBW21" s="414"/>
      <c r="KBX21" s="414"/>
      <c r="KBY21" s="414"/>
      <c r="KBZ21" s="414"/>
      <c r="KCA21" s="414"/>
      <c r="KCB21" s="414"/>
      <c r="KCC21" s="414"/>
      <c r="KCD21" s="414"/>
      <c r="KCE21" s="414"/>
      <c r="KCF21" s="414"/>
      <c r="KCG21" s="414"/>
      <c r="KCH21" s="414"/>
      <c r="KCI21" s="414"/>
      <c r="KCJ21" s="414"/>
      <c r="KCK21" s="414"/>
      <c r="KCL21" s="414"/>
      <c r="KCM21" s="414"/>
      <c r="KCN21" s="414"/>
      <c r="KCO21" s="414"/>
      <c r="KCP21" s="414"/>
      <c r="KCQ21" s="414"/>
      <c r="KCR21" s="414"/>
      <c r="KCS21" s="414"/>
      <c r="KCT21" s="414"/>
      <c r="KCU21" s="414"/>
      <c r="KCV21" s="414"/>
      <c r="KCW21" s="414"/>
      <c r="KCX21" s="414"/>
      <c r="KCY21" s="414"/>
      <c r="KCZ21" s="414"/>
      <c r="KDA21" s="414"/>
      <c r="KDB21" s="414"/>
      <c r="KDC21" s="414"/>
      <c r="KDD21" s="414"/>
      <c r="KDE21" s="414"/>
      <c r="KDF21" s="414"/>
      <c r="KDG21" s="414"/>
      <c r="KDH21" s="414"/>
      <c r="KDI21" s="414"/>
      <c r="KDJ21" s="414"/>
      <c r="KDK21" s="414"/>
      <c r="KDL21" s="414"/>
      <c r="KDM21" s="414"/>
      <c r="KDN21" s="414"/>
      <c r="KDO21" s="414"/>
      <c r="KDP21" s="414"/>
      <c r="KDQ21" s="414"/>
      <c r="KDR21" s="414"/>
      <c r="KDS21" s="414"/>
      <c r="KDT21" s="414"/>
      <c r="KDU21" s="414"/>
      <c r="KDV21" s="414"/>
      <c r="KDW21" s="414"/>
      <c r="KDX21" s="414"/>
      <c r="KDY21" s="414"/>
      <c r="KDZ21" s="414"/>
      <c r="KEA21" s="414"/>
      <c r="KEB21" s="414"/>
      <c r="KEC21" s="414"/>
      <c r="KED21" s="414"/>
      <c r="KEE21" s="414"/>
      <c r="KEF21" s="414"/>
      <c r="KEG21" s="414"/>
      <c r="KEH21" s="414"/>
      <c r="KEI21" s="414"/>
      <c r="KEJ21" s="414"/>
      <c r="KEK21" s="414"/>
      <c r="KEL21" s="414"/>
      <c r="KEM21" s="414"/>
      <c r="KEN21" s="414"/>
      <c r="KEO21" s="414"/>
      <c r="KEP21" s="414"/>
      <c r="KEQ21" s="414"/>
      <c r="KER21" s="414"/>
      <c r="KES21" s="414"/>
      <c r="KET21" s="414"/>
      <c r="KEU21" s="414"/>
      <c r="KEV21" s="414"/>
      <c r="KEW21" s="414"/>
      <c r="KEX21" s="414"/>
      <c r="KEY21" s="414"/>
      <c r="KEZ21" s="414"/>
      <c r="KFA21" s="414"/>
      <c r="KFB21" s="414"/>
      <c r="KFC21" s="414"/>
      <c r="KFD21" s="414"/>
      <c r="KFE21" s="414"/>
      <c r="KFF21" s="414"/>
      <c r="KFG21" s="414"/>
      <c r="KFH21" s="414"/>
      <c r="KFI21" s="414"/>
      <c r="KFJ21" s="414"/>
      <c r="KFK21" s="414"/>
      <c r="KFL21" s="414"/>
      <c r="KFM21" s="414"/>
      <c r="KFN21" s="414"/>
      <c r="KFO21" s="414"/>
      <c r="KFP21" s="414"/>
      <c r="KFQ21" s="414"/>
      <c r="KFR21" s="414"/>
      <c r="KFS21" s="414"/>
      <c r="KFT21" s="414"/>
      <c r="KFU21" s="414"/>
      <c r="KFV21" s="414"/>
      <c r="KFW21" s="414"/>
      <c r="KFX21" s="414"/>
      <c r="KFY21" s="414"/>
      <c r="KFZ21" s="414"/>
      <c r="KGA21" s="414"/>
      <c r="KGB21" s="414"/>
      <c r="KGC21" s="414"/>
      <c r="KGD21" s="414"/>
      <c r="KGE21" s="414"/>
      <c r="KGF21" s="414"/>
      <c r="KGG21" s="414"/>
      <c r="KGH21" s="414"/>
      <c r="KGI21" s="414"/>
      <c r="KGJ21" s="414"/>
      <c r="KGK21" s="414"/>
      <c r="KGL21" s="414"/>
      <c r="KGM21" s="414"/>
      <c r="KGN21" s="414"/>
      <c r="KGO21" s="414"/>
      <c r="KGP21" s="414"/>
      <c r="KGQ21" s="414"/>
      <c r="KGR21" s="414"/>
      <c r="KGS21" s="414"/>
      <c r="KGT21" s="414"/>
      <c r="KGU21" s="414"/>
      <c r="KGV21" s="414"/>
      <c r="KGW21" s="414"/>
      <c r="KGX21" s="414"/>
      <c r="KGY21" s="414"/>
      <c r="KGZ21" s="414"/>
      <c r="KHA21" s="414"/>
      <c r="KHB21" s="414"/>
      <c r="KHC21" s="414"/>
      <c r="KHD21" s="414"/>
      <c r="KHE21" s="414"/>
      <c r="KHF21" s="414"/>
      <c r="KHG21" s="414"/>
      <c r="KHH21" s="414"/>
      <c r="KHI21" s="414"/>
      <c r="KHJ21" s="414"/>
      <c r="KHK21" s="414"/>
      <c r="KHL21" s="414"/>
      <c r="KHM21" s="414"/>
      <c r="KHN21" s="414"/>
      <c r="KHO21" s="414"/>
      <c r="KHP21" s="414"/>
      <c r="KHQ21" s="414"/>
      <c r="KHR21" s="414"/>
      <c r="KHS21" s="414"/>
      <c r="KHT21" s="414"/>
      <c r="KHU21" s="414"/>
      <c r="KHV21" s="414"/>
      <c r="KHW21" s="414"/>
      <c r="KHX21" s="414"/>
      <c r="KHY21" s="414"/>
      <c r="KHZ21" s="414"/>
      <c r="KIA21" s="414"/>
      <c r="KIB21" s="414"/>
      <c r="KIC21" s="414"/>
      <c r="KID21" s="414"/>
      <c r="KIE21" s="414"/>
      <c r="KIF21" s="414"/>
      <c r="KIG21" s="414"/>
      <c r="KIH21" s="414"/>
      <c r="KII21" s="414"/>
      <c r="KIJ21" s="414"/>
      <c r="KIK21" s="414"/>
      <c r="KIL21" s="414"/>
      <c r="KIM21" s="414"/>
      <c r="KIN21" s="414"/>
      <c r="KIO21" s="414"/>
      <c r="KIP21" s="414"/>
      <c r="KIQ21" s="414"/>
      <c r="KIR21" s="414"/>
      <c r="KIS21" s="414"/>
      <c r="KIT21" s="414"/>
      <c r="KIU21" s="414"/>
      <c r="KIV21" s="414"/>
      <c r="KIW21" s="414"/>
      <c r="KIX21" s="414"/>
      <c r="KIY21" s="414"/>
      <c r="KIZ21" s="414"/>
      <c r="KJA21" s="414"/>
      <c r="KJB21" s="414"/>
      <c r="KJC21" s="414"/>
      <c r="KJD21" s="414"/>
      <c r="KJE21" s="414"/>
      <c r="KJF21" s="414"/>
      <c r="KJG21" s="414"/>
      <c r="KJH21" s="414"/>
      <c r="KJI21" s="414"/>
      <c r="KJJ21" s="414"/>
      <c r="KJK21" s="414"/>
      <c r="KJL21" s="414"/>
      <c r="KJM21" s="414"/>
      <c r="KJN21" s="414"/>
      <c r="KJO21" s="414"/>
      <c r="KJP21" s="414"/>
      <c r="KJQ21" s="414"/>
      <c r="KJR21" s="414"/>
      <c r="KJS21" s="414"/>
      <c r="KJT21" s="414"/>
      <c r="KJU21" s="414"/>
      <c r="KJV21" s="414"/>
      <c r="KJW21" s="414"/>
      <c r="KJX21" s="414"/>
      <c r="KJY21" s="414"/>
      <c r="KJZ21" s="414"/>
      <c r="KKA21" s="414"/>
      <c r="KKB21" s="414"/>
      <c r="KKC21" s="414"/>
      <c r="KKD21" s="414"/>
      <c r="KKE21" s="414"/>
      <c r="KKF21" s="414"/>
      <c r="KKG21" s="414"/>
      <c r="KKH21" s="414"/>
      <c r="KKI21" s="414"/>
      <c r="KKJ21" s="414"/>
      <c r="KKK21" s="414"/>
      <c r="KKL21" s="414"/>
      <c r="KKM21" s="414"/>
      <c r="KKN21" s="414"/>
      <c r="KKO21" s="414"/>
      <c r="KKP21" s="414"/>
      <c r="KKQ21" s="414"/>
      <c r="KKR21" s="414"/>
      <c r="KKS21" s="414"/>
      <c r="KKT21" s="414"/>
      <c r="KKU21" s="414"/>
      <c r="KKV21" s="414"/>
      <c r="KKW21" s="414"/>
      <c r="KKX21" s="414"/>
      <c r="KKY21" s="414"/>
      <c r="KKZ21" s="414"/>
      <c r="KLA21" s="414"/>
      <c r="KLB21" s="414"/>
      <c r="KLC21" s="414"/>
      <c r="KLD21" s="414"/>
      <c r="KLE21" s="414"/>
      <c r="KLF21" s="414"/>
      <c r="KLG21" s="414"/>
      <c r="KLH21" s="414"/>
      <c r="KLI21" s="414"/>
      <c r="KLJ21" s="414"/>
      <c r="KLK21" s="414"/>
      <c r="KLL21" s="414"/>
      <c r="KLM21" s="414"/>
      <c r="KLN21" s="414"/>
      <c r="KLO21" s="414"/>
      <c r="KLP21" s="414"/>
      <c r="KLQ21" s="414"/>
      <c r="KLR21" s="414"/>
      <c r="KLS21" s="414"/>
      <c r="KLT21" s="414"/>
      <c r="KLU21" s="414"/>
      <c r="KLV21" s="414"/>
      <c r="KLW21" s="414"/>
      <c r="KLX21" s="414"/>
      <c r="KLY21" s="414"/>
      <c r="KLZ21" s="414"/>
      <c r="KMA21" s="414"/>
      <c r="KMB21" s="414"/>
      <c r="KMC21" s="414"/>
      <c r="KMD21" s="414"/>
      <c r="KME21" s="414"/>
      <c r="KMF21" s="414"/>
      <c r="KMG21" s="414"/>
      <c r="KMH21" s="414"/>
      <c r="KMI21" s="414"/>
      <c r="KMJ21" s="414"/>
      <c r="KMK21" s="414"/>
      <c r="KML21" s="414"/>
      <c r="KMM21" s="414"/>
      <c r="KMN21" s="414"/>
      <c r="KMO21" s="414"/>
      <c r="KMP21" s="414"/>
      <c r="KMQ21" s="414"/>
      <c r="KMR21" s="414"/>
      <c r="KMS21" s="414"/>
      <c r="KMT21" s="414"/>
      <c r="KMU21" s="414"/>
      <c r="KMV21" s="414"/>
      <c r="KMW21" s="414"/>
      <c r="KMX21" s="414"/>
      <c r="KMY21" s="414"/>
      <c r="KMZ21" s="414"/>
      <c r="KNA21" s="414"/>
      <c r="KNB21" s="414"/>
      <c r="KNC21" s="414"/>
      <c r="KND21" s="414"/>
      <c r="KNE21" s="414"/>
      <c r="KNF21" s="414"/>
      <c r="KNG21" s="414"/>
      <c r="KNH21" s="414"/>
      <c r="KNI21" s="414"/>
      <c r="KNJ21" s="414"/>
      <c r="KNK21" s="414"/>
      <c r="KNL21" s="414"/>
      <c r="KNM21" s="414"/>
      <c r="KNN21" s="414"/>
      <c r="KNO21" s="414"/>
      <c r="KNP21" s="414"/>
      <c r="KNQ21" s="414"/>
      <c r="KNR21" s="414"/>
      <c r="KNS21" s="414"/>
      <c r="KNT21" s="414"/>
      <c r="KNU21" s="414"/>
      <c r="KNV21" s="414"/>
      <c r="KNW21" s="414"/>
      <c r="KNX21" s="414"/>
      <c r="KNY21" s="414"/>
      <c r="KNZ21" s="414"/>
      <c r="KOA21" s="414"/>
      <c r="KOB21" s="414"/>
      <c r="KOC21" s="414"/>
      <c r="KOD21" s="414"/>
      <c r="KOE21" s="414"/>
      <c r="KOF21" s="414"/>
      <c r="KOG21" s="414"/>
      <c r="KOH21" s="414"/>
      <c r="KOI21" s="414"/>
      <c r="KOJ21" s="414"/>
      <c r="KOK21" s="414"/>
      <c r="KOL21" s="414"/>
      <c r="KOM21" s="414"/>
      <c r="KON21" s="414"/>
      <c r="KOO21" s="414"/>
      <c r="KOP21" s="414"/>
      <c r="KOQ21" s="414"/>
      <c r="KOR21" s="414"/>
      <c r="KOS21" s="414"/>
      <c r="KOT21" s="414"/>
      <c r="KOU21" s="414"/>
      <c r="KOV21" s="414"/>
      <c r="KOW21" s="414"/>
      <c r="KOX21" s="414"/>
      <c r="KOY21" s="414"/>
      <c r="KOZ21" s="414"/>
      <c r="KPA21" s="414"/>
      <c r="KPB21" s="414"/>
      <c r="KPC21" s="414"/>
      <c r="KPD21" s="414"/>
      <c r="KPE21" s="414"/>
      <c r="KPF21" s="414"/>
      <c r="KPG21" s="414"/>
      <c r="KPH21" s="414"/>
      <c r="KPI21" s="414"/>
      <c r="KPJ21" s="414"/>
      <c r="KPK21" s="414"/>
      <c r="KPL21" s="414"/>
      <c r="KPM21" s="414"/>
      <c r="KPN21" s="414"/>
      <c r="KPO21" s="414"/>
      <c r="KPP21" s="414"/>
      <c r="KPQ21" s="414"/>
      <c r="KPR21" s="414"/>
      <c r="KPS21" s="414"/>
      <c r="KPT21" s="414"/>
      <c r="KPU21" s="414"/>
      <c r="KPV21" s="414"/>
      <c r="KPW21" s="414"/>
      <c r="KPX21" s="414"/>
      <c r="KPY21" s="414"/>
      <c r="KPZ21" s="414"/>
      <c r="KQA21" s="414"/>
      <c r="KQB21" s="414"/>
      <c r="KQC21" s="414"/>
      <c r="KQD21" s="414"/>
      <c r="KQE21" s="414"/>
      <c r="KQF21" s="414"/>
      <c r="KQG21" s="414"/>
      <c r="KQH21" s="414"/>
      <c r="KQI21" s="414"/>
      <c r="KQJ21" s="414"/>
      <c r="KQK21" s="414"/>
      <c r="KQL21" s="414"/>
      <c r="KQM21" s="414"/>
      <c r="KQN21" s="414"/>
      <c r="KQO21" s="414"/>
      <c r="KQP21" s="414"/>
      <c r="KQQ21" s="414"/>
      <c r="KQR21" s="414"/>
      <c r="KQS21" s="414"/>
      <c r="KQT21" s="414"/>
      <c r="KQU21" s="414"/>
      <c r="KQV21" s="414"/>
      <c r="KQW21" s="414"/>
      <c r="KQX21" s="414"/>
      <c r="KQY21" s="414"/>
      <c r="KQZ21" s="414"/>
      <c r="KRA21" s="414"/>
      <c r="KRB21" s="414"/>
      <c r="KRC21" s="414"/>
      <c r="KRD21" s="414"/>
      <c r="KRE21" s="414"/>
      <c r="KRF21" s="414"/>
      <c r="KRG21" s="414"/>
      <c r="KRH21" s="414"/>
      <c r="KRI21" s="414"/>
      <c r="KRJ21" s="414"/>
      <c r="KRK21" s="414"/>
      <c r="KRL21" s="414"/>
      <c r="KRM21" s="414"/>
      <c r="KRN21" s="414"/>
      <c r="KRO21" s="414"/>
      <c r="KRP21" s="414"/>
      <c r="KRQ21" s="414"/>
      <c r="KRR21" s="414"/>
      <c r="KRS21" s="414"/>
      <c r="KRT21" s="414"/>
      <c r="KRU21" s="414"/>
      <c r="KRV21" s="414"/>
      <c r="KRW21" s="414"/>
      <c r="KRX21" s="414"/>
      <c r="KRY21" s="414"/>
      <c r="KRZ21" s="414"/>
      <c r="KSA21" s="414"/>
      <c r="KSB21" s="414"/>
      <c r="KSC21" s="414"/>
      <c r="KSD21" s="414"/>
      <c r="KSE21" s="414"/>
      <c r="KSF21" s="414"/>
      <c r="KSG21" s="414"/>
      <c r="KSH21" s="414"/>
      <c r="KSI21" s="414"/>
      <c r="KSJ21" s="414"/>
      <c r="KSK21" s="414"/>
      <c r="KSL21" s="414"/>
      <c r="KSM21" s="414"/>
      <c r="KSN21" s="414"/>
      <c r="KSO21" s="414"/>
      <c r="KSP21" s="414"/>
      <c r="KSQ21" s="414"/>
      <c r="KSR21" s="414"/>
      <c r="KSS21" s="414"/>
      <c r="KST21" s="414"/>
      <c r="KSU21" s="414"/>
      <c r="KSV21" s="414"/>
      <c r="KSW21" s="414"/>
      <c r="KSX21" s="414"/>
      <c r="KSY21" s="414"/>
      <c r="KSZ21" s="414"/>
      <c r="KTA21" s="414"/>
      <c r="KTB21" s="414"/>
      <c r="KTC21" s="414"/>
      <c r="KTD21" s="414"/>
      <c r="KTE21" s="414"/>
      <c r="KTF21" s="414"/>
      <c r="KTG21" s="414"/>
      <c r="KTH21" s="414"/>
      <c r="KTI21" s="414"/>
      <c r="KTJ21" s="414"/>
      <c r="KTK21" s="414"/>
      <c r="KTL21" s="414"/>
      <c r="KTM21" s="414"/>
      <c r="KTN21" s="414"/>
      <c r="KTO21" s="414"/>
      <c r="KTP21" s="414"/>
      <c r="KTQ21" s="414"/>
      <c r="KTR21" s="414"/>
      <c r="KTS21" s="414"/>
      <c r="KTT21" s="414"/>
      <c r="KTU21" s="414"/>
      <c r="KTV21" s="414"/>
      <c r="KTW21" s="414"/>
      <c r="KTX21" s="414"/>
      <c r="KTY21" s="414"/>
      <c r="KTZ21" s="414"/>
      <c r="KUA21" s="414"/>
      <c r="KUB21" s="414"/>
      <c r="KUC21" s="414"/>
      <c r="KUD21" s="414"/>
      <c r="KUE21" s="414"/>
      <c r="KUF21" s="414"/>
      <c r="KUG21" s="414"/>
      <c r="KUH21" s="414"/>
      <c r="KUI21" s="414"/>
      <c r="KUJ21" s="414"/>
      <c r="KUK21" s="414"/>
      <c r="KUL21" s="414"/>
      <c r="KUM21" s="414"/>
      <c r="KUN21" s="414"/>
      <c r="KUO21" s="414"/>
      <c r="KUP21" s="414"/>
      <c r="KUQ21" s="414"/>
      <c r="KUR21" s="414"/>
      <c r="KUS21" s="414"/>
      <c r="KUT21" s="414"/>
      <c r="KUU21" s="414"/>
      <c r="KUV21" s="414"/>
      <c r="KUW21" s="414"/>
      <c r="KUX21" s="414"/>
      <c r="KUY21" s="414"/>
      <c r="KUZ21" s="414"/>
      <c r="KVA21" s="414"/>
      <c r="KVB21" s="414"/>
      <c r="KVC21" s="414"/>
      <c r="KVD21" s="414"/>
      <c r="KVE21" s="414"/>
      <c r="KVF21" s="414"/>
      <c r="KVG21" s="414"/>
      <c r="KVH21" s="414"/>
      <c r="KVI21" s="414"/>
      <c r="KVJ21" s="414"/>
      <c r="KVK21" s="414"/>
      <c r="KVL21" s="414"/>
      <c r="KVM21" s="414"/>
      <c r="KVN21" s="414"/>
      <c r="KVO21" s="414"/>
      <c r="KVP21" s="414"/>
      <c r="KVQ21" s="414"/>
      <c r="KVR21" s="414"/>
      <c r="KVS21" s="414"/>
      <c r="KVT21" s="414"/>
      <c r="KVU21" s="414"/>
      <c r="KVV21" s="414"/>
      <c r="KVW21" s="414"/>
      <c r="KVX21" s="414"/>
      <c r="KVY21" s="414"/>
      <c r="KVZ21" s="414"/>
      <c r="KWA21" s="414"/>
      <c r="KWB21" s="414"/>
      <c r="KWC21" s="414"/>
      <c r="KWD21" s="414"/>
      <c r="KWE21" s="414"/>
      <c r="KWF21" s="414"/>
      <c r="KWG21" s="414"/>
      <c r="KWH21" s="414"/>
      <c r="KWI21" s="414"/>
      <c r="KWJ21" s="414"/>
      <c r="KWK21" s="414"/>
      <c r="KWL21" s="414"/>
      <c r="KWM21" s="414"/>
      <c r="KWN21" s="414"/>
      <c r="KWO21" s="414"/>
      <c r="KWP21" s="414"/>
      <c r="KWQ21" s="414"/>
      <c r="KWR21" s="414"/>
      <c r="KWS21" s="414"/>
      <c r="KWT21" s="414"/>
      <c r="KWU21" s="414"/>
      <c r="KWV21" s="414"/>
      <c r="KWW21" s="414"/>
      <c r="KWX21" s="414"/>
      <c r="KWY21" s="414"/>
      <c r="KWZ21" s="414"/>
      <c r="KXA21" s="414"/>
      <c r="KXB21" s="414"/>
      <c r="KXC21" s="414"/>
      <c r="KXD21" s="414"/>
      <c r="KXE21" s="414"/>
      <c r="KXF21" s="414"/>
      <c r="KXG21" s="414"/>
      <c r="KXH21" s="414"/>
      <c r="KXI21" s="414"/>
      <c r="KXJ21" s="414"/>
      <c r="KXK21" s="414"/>
      <c r="KXL21" s="414"/>
      <c r="KXM21" s="414"/>
      <c r="KXN21" s="414"/>
      <c r="KXO21" s="414"/>
      <c r="KXP21" s="414"/>
      <c r="KXQ21" s="414"/>
      <c r="KXR21" s="414"/>
      <c r="KXS21" s="414"/>
      <c r="KXT21" s="414"/>
      <c r="KXU21" s="414"/>
      <c r="KXV21" s="414"/>
      <c r="KXW21" s="414"/>
      <c r="KXX21" s="414"/>
      <c r="KXY21" s="414"/>
      <c r="KXZ21" s="414"/>
      <c r="KYA21" s="414"/>
      <c r="KYB21" s="414"/>
      <c r="KYC21" s="414"/>
      <c r="KYD21" s="414"/>
      <c r="KYE21" s="414"/>
      <c r="KYF21" s="414"/>
      <c r="KYG21" s="414"/>
      <c r="KYH21" s="414"/>
      <c r="KYI21" s="414"/>
      <c r="KYJ21" s="414"/>
      <c r="KYK21" s="414"/>
      <c r="KYL21" s="414"/>
      <c r="KYM21" s="414"/>
      <c r="KYN21" s="414"/>
      <c r="KYO21" s="414"/>
      <c r="KYP21" s="414"/>
      <c r="KYQ21" s="414"/>
      <c r="KYR21" s="414"/>
      <c r="KYS21" s="414"/>
      <c r="KYT21" s="414"/>
      <c r="KYU21" s="414"/>
      <c r="KYV21" s="414"/>
      <c r="KYW21" s="414"/>
      <c r="KYX21" s="414"/>
      <c r="KYY21" s="414"/>
      <c r="KYZ21" s="414"/>
      <c r="KZA21" s="414"/>
      <c r="KZB21" s="414"/>
      <c r="KZC21" s="414"/>
      <c r="KZD21" s="414"/>
      <c r="KZE21" s="414"/>
      <c r="KZF21" s="414"/>
      <c r="KZG21" s="414"/>
      <c r="KZH21" s="414"/>
      <c r="KZI21" s="414"/>
      <c r="KZJ21" s="414"/>
      <c r="KZK21" s="414"/>
      <c r="KZL21" s="414"/>
      <c r="KZM21" s="414"/>
      <c r="KZN21" s="414"/>
      <c r="KZO21" s="414"/>
      <c r="KZP21" s="414"/>
      <c r="KZQ21" s="414"/>
      <c r="KZR21" s="414"/>
      <c r="KZS21" s="414"/>
      <c r="KZT21" s="414"/>
      <c r="KZU21" s="414"/>
      <c r="KZV21" s="414"/>
      <c r="KZW21" s="414"/>
      <c r="KZX21" s="414"/>
      <c r="KZY21" s="414"/>
      <c r="KZZ21" s="414"/>
      <c r="LAA21" s="414"/>
      <c r="LAB21" s="414"/>
      <c r="LAC21" s="414"/>
      <c r="LAD21" s="414"/>
      <c r="LAE21" s="414"/>
      <c r="LAF21" s="414"/>
      <c r="LAG21" s="414"/>
      <c r="LAH21" s="414"/>
      <c r="LAI21" s="414"/>
      <c r="LAJ21" s="414"/>
      <c r="LAK21" s="414"/>
      <c r="LAL21" s="414"/>
      <c r="LAM21" s="414"/>
      <c r="LAN21" s="414"/>
      <c r="LAO21" s="414"/>
      <c r="LAP21" s="414"/>
      <c r="LAQ21" s="414"/>
      <c r="LAR21" s="414"/>
      <c r="LAS21" s="414"/>
      <c r="LAT21" s="414"/>
      <c r="LAU21" s="414"/>
      <c r="LAV21" s="414"/>
      <c r="LAW21" s="414"/>
      <c r="LAX21" s="414"/>
      <c r="LAY21" s="414"/>
      <c r="LAZ21" s="414"/>
      <c r="LBA21" s="414"/>
      <c r="LBB21" s="414"/>
      <c r="LBC21" s="414"/>
      <c r="LBD21" s="414"/>
      <c r="LBE21" s="414"/>
      <c r="LBF21" s="414"/>
      <c r="LBG21" s="414"/>
      <c r="LBH21" s="414"/>
      <c r="LBI21" s="414"/>
      <c r="LBJ21" s="414"/>
      <c r="LBK21" s="414"/>
      <c r="LBL21" s="414"/>
      <c r="LBM21" s="414"/>
      <c r="LBN21" s="414"/>
      <c r="LBO21" s="414"/>
      <c r="LBP21" s="414"/>
      <c r="LBQ21" s="414"/>
      <c r="LBR21" s="414"/>
      <c r="LBS21" s="414"/>
      <c r="LBT21" s="414"/>
      <c r="LBU21" s="414"/>
      <c r="LBV21" s="414"/>
      <c r="LBW21" s="414"/>
      <c r="LBX21" s="414"/>
      <c r="LBY21" s="414"/>
      <c r="LBZ21" s="414"/>
      <c r="LCA21" s="414"/>
      <c r="LCB21" s="414"/>
      <c r="LCC21" s="414"/>
      <c r="LCD21" s="414"/>
      <c r="LCE21" s="414"/>
      <c r="LCF21" s="414"/>
      <c r="LCG21" s="414"/>
      <c r="LCH21" s="414"/>
      <c r="LCI21" s="414"/>
      <c r="LCJ21" s="414"/>
      <c r="LCK21" s="414"/>
      <c r="LCL21" s="414"/>
      <c r="LCM21" s="414"/>
      <c r="LCN21" s="414"/>
      <c r="LCO21" s="414"/>
      <c r="LCP21" s="414"/>
      <c r="LCQ21" s="414"/>
      <c r="LCR21" s="414"/>
      <c r="LCS21" s="414"/>
      <c r="LCT21" s="414"/>
      <c r="LCU21" s="414"/>
      <c r="LCV21" s="414"/>
      <c r="LCW21" s="414"/>
      <c r="LCX21" s="414"/>
      <c r="LCY21" s="414"/>
      <c r="LCZ21" s="414"/>
      <c r="LDA21" s="414"/>
      <c r="LDB21" s="414"/>
      <c r="LDC21" s="414"/>
      <c r="LDD21" s="414"/>
      <c r="LDE21" s="414"/>
      <c r="LDF21" s="414"/>
      <c r="LDG21" s="414"/>
      <c r="LDH21" s="414"/>
      <c r="LDI21" s="414"/>
      <c r="LDJ21" s="414"/>
      <c r="LDK21" s="414"/>
      <c r="LDL21" s="414"/>
      <c r="LDM21" s="414"/>
      <c r="LDN21" s="414"/>
      <c r="LDO21" s="414"/>
      <c r="LDP21" s="414"/>
      <c r="LDQ21" s="414"/>
      <c r="LDR21" s="414"/>
      <c r="LDS21" s="414"/>
      <c r="LDT21" s="414"/>
      <c r="LDU21" s="414"/>
      <c r="LDV21" s="414"/>
      <c r="LDW21" s="414"/>
      <c r="LDX21" s="414"/>
      <c r="LDY21" s="414"/>
      <c r="LDZ21" s="414"/>
      <c r="LEA21" s="414"/>
      <c r="LEB21" s="414"/>
      <c r="LEC21" s="414"/>
      <c r="LED21" s="414"/>
      <c r="LEE21" s="414"/>
      <c r="LEF21" s="414"/>
      <c r="LEG21" s="414"/>
      <c r="LEH21" s="414"/>
      <c r="LEI21" s="414"/>
      <c r="LEJ21" s="414"/>
      <c r="LEK21" s="414"/>
      <c r="LEL21" s="414"/>
      <c r="LEM21" s="414"/>
      <c r="LEN21" s="414"/>
      <c r="LEO21" s="414"/>
      <c r="LEP21" s="414"/>
      <c r="LEQ21" s="414"/>
      <c r="LER21" s="414"/>
      <c r="LES21" s="414"/>
      <c r="LET21" s="414"/>
      <c r="LEU21" s="414"/>
      <c r="LEV21" s="414"/>
      <c r="LEW21" s="414"/>
      <c r="LEX21" s="414"/>
      <c r="LEY21" s="414"/>
      <c r="LEZ21" s="414"/>
      <c r="LFA21" s="414"/>
      <c r="LFB21" s="414"/>
      <c r="LFC21" s="414"/>
      <c r="LFD21" s="414"/>
      <c r="LFE21" s="414"/>
      <c r="LFF21" s="414"/>
      <c r="LFG21" s="414"/>
      <c r="LFH21" s="414"/>
      <c r="LFI21" s="414"/>
      <c r="LFJ21" s="414"/>
      <c r="LFK21" s="414"/>
      <c r="LFL21" s="414"/>
      <c r="LFM21" s="414"/>
      <c r="LFN21" s="414"/>
      <c r="LFO21" s="414"/>
      <c r="LFP21" s="414"/>
      <c r="LFQ21" s="414"/>
      <c r="LFR21" s="414"/>
      <c r="LFS21" s="414"/>
      <c r="LFT21" s="414"/>
      <c r="LFU21" s="414"/>
      <c r="LFV21" s="414"/>
      <c r="LFW21" s="414"/>
      <c r="LFX21" s="414"/>
      <c r="LFY21" s="414"/>
      <c r="LFZ21" s="414"/>
      <c r="LGA21" s="414"/>
      <c r="LGB21" s="414"/>
      <c r="LGC21" s="414"/>
      <c r="LGD21" s="414"/>
      <c r="LGE21" s="414"/>
      <c r="LGF21" s="414"/>
      <c r="LGG21" s="414"/>
      <c r="LGH21" s="414"/>
      <c r="LGI21" s="414"/>
      <c r="LGJ21" s="414"/>
      <c r="LGK21" s="414"/>
      <c r="LGL21" s="414"/>
      <c r="LGM21" s="414"/>
      <c r="LGN21" s="414"/>
      <c r="LGO21" s="414"/>
      <c r="LGP21" s="414"/>
      <c r="LGQ21" s="414"/>
      <c r="LGR21" s="414"/>
      <c r="LGS21" s="414"/>
      <c r="LGT21" s="414"/>
      <c r="LGU21" s="414"/>
      <c r="LGV21" s="414"/>
      <c r="LGW21" s="414"/>
      <c r="LGX21" s="414"/>
      <c r="LGY21" s="414"/>
      <c r="LGZ21" s="414"/>
      <c r="LHA21" s="414"/>
      <c r="LHB21" s="414"/>
      <c r="LHC21" s="414"/>
      <c r="LHD21" s="414"/>
      <c r="LHE21" s="414"/>
      <c r="LHF21" s="414"/>
      <c r="LHG21" s="414"/>
      <c r="LHH21" s="414"/>
      <c r="LHI21" s="414"/>
      <c r="LHJ21" s="414"/>
      <c r="LHK21" s="414"/>
      <c r="LHL21" s="414"/>
      <c r="LHM21" s="414"/>
      <c r="LHN21" s="414"/>
      <c r="LHO21" s="414"/>
      <c r="LHP21" s="414"/>
      <c r="LHQ21" s="414"/>
      <c r="LHR21" s="414"/>
      <c r="LHS21" s="414"/>
      <c r="LHT21" s="414"/>
      <c r="LHU21" s="414"/>
      <c r="LHV21" s="414"/>
      <c r="LHW21" s="414"/>
      <c r="LHX21" s="414"/>
      <c r="LHY21" s="414"/>
      <c r="LHZ21" s="414"/>
      <c r="LIA21" s="414"/>
      <c r="LIB21" s="414"/>
      <c r="LIC21" s="414"/>
      <c r="LID21" s="414"/>
      <c r="LIE21" s="414"/>
      <c r="LIF21" s="414"/>
      <c r="LIG21" s="414"/>
      <c r="LIH21" s="414"/>
      <c r="LII21" s="414"/>
      <c r="LIJ21" s="414"/>
      <c r="LIK21" s="414"/>
      <c r="LIL21" s="414"/>
      <c r="LIM21" s="414"/>
      <c r="LIN21" s="414"/>
      <c r="LIO21" s="414"/>
      <c r="LIP21" s="414"/>
      <c r="LIQ21" s="414"/>
      <c r="LIR21" s="414"/>
      <c r="LIS21" s="414"/>
      <c r="LIT21" s="414"/>
      <c r="LIU21" s="414"/>
      <c r="LIV21" s="414"/>
      <c r="LIW21" s="414"/>
      <c r="LIX21" s="414"/>
      <c r="LIY21" s="414"/>
      <c r="LIZ21" s="414"/>
      <c r="LJA21" s="414"/>
      <c r="LJB21" s="414"/>
      <c r="LJC21" s="414"/>
      <c r="LJD21" s="414"/>
      <c r="LJE21" s="414"/>
      <c r="LJF21" s="414"/>
      <c r="LJG21" s="414"/>
      <c r="LJH21" s="414"/>
      <c r="LJI21" s="414"/>
      <c r="LJJ21" s="414"/>
      <c r="LJK21" s="414"/>
      <c r="LJL21" s="414"/>
      <c r="LJM21" s="414"/>
      <c r="LJN21" s="414"/>
      <c r="LJO21" s="414"/>
      <c r="LJP21" s="414"/>
      <c r="LJQ21" s="414"/>
      <c r="LJR21" s="414"/>
      <c r="LJS21" s="414"/>
      <c r="LJT21" s="414"/>
      <c r="LJU21" s="414"/>
      <c r="LJV21" s="414"/>
      <c r="LJW21" s="414"/>
      <c r="LJX21" s="414"/>
      <c r="LJY21" s="414"/>
      <c r="LJZ21" s="414"/>
      <c r="LKA21" s="414"/>
      <c r="LKB21" s="414"/>
      <c r="LKC21" s="414"/>
      <c r="LKD21" s="414"/>
      <c r="LKE21" s="414"/>
      <c r="LKF21" s="414"/>
      <c r="LKG21" s="414"/>
      <c r="LKH21" s="414"/>
      <c r="LKI21" s="414"/>
      <c r="LKJ21" s="414"/>
      <c r="LKK21" s="414"/>
      <c r="LKL21" s="414"/>
      <c r="LKM21" s="414"/>
      <c r="LKN21" s="414"/>
      <c r="LKO21" s="414"/>
      <c r="LKP21" s="414"/>
      <c r="LKQ21" s="414"/>
      <c r="LKR21" s="414"/>
      <c r="LKS21" s="414"/>
      <c r="LKT21" s="414"/>
      <c r="LKU21" s="414"/>
      <c r="LKV21" s="414"/>
      <c r="LKW21" s="414"/>
      <c r="LKX21" s="414"/>
      <c r="LKY21" s="414"/>
      <c r="LKZ21" s="414"/>
      <c r="LLA21" s="414"/>
      <c r="LLB21" s="414"/>
      <c r="LLC21" s="414"/>
      <c r="LLD21" s="414"/>
      <c r="LLE21" s="414"/>
      <c r="LLF21" s="414"/>
      <c r="LLG21" s="414"/>
      <c r="LLH21" s="414"/>
      <c r="LLI21" s="414"/>
      <c r="LLJ21" s="414"/>
      <c r="LLK21" s="414"/>
      <c r="LLL21" s="414"/>
      <c r="LLM21" s="414"/>
      <c r="LLN21" s="414"/>
      <c r="LLO21" s="414"/>
      <c r="LLP21" s="414"/>
      <c r="LLQ21" s="414"/>
      <c r="LLR21" s="414"/>
      <c r="LLS21" s="414"/>
      <c r="LLT21" s="414"/>
      <c r="LLU21" s="414"/>
      <c r="LLV21" s="414"/>
      <c r="LLW21" s="414"/>
      <c r="LLX21" s="414"/>
      <c r="LLY21" s="414"/>
      <c r="LLZ21" s="414"/>
      <c r="LMA21" s="414"/>
      <c r="LMB21" s="414"/>
      <c r="LMC21" s="414"/>
      <c r="LMD21" s="414"/>
      <c r="LME21" s="414"/>
      <c r="LMF21" s="414"/>
      <c r="LMG21" s="414"/>
      <c r="LMH21" s="414"/>
      <c r="LMI21" s="414"/>
      <c r="LMJ21" s="414"/>
      <c r="LMK21" s="414"/>
      <c r="LML21" s="414"/>
      <c r="LMM21" s="414"/>
      <c r="LMN21" s="414"/>
      <c r="LMO21" s="414"/>
      <c r="LMP21" s="414"/>
      <c r="LMQ21" s="414"/>
      <c r="LMR21" s="414"/>
      <c r="LMS21" s="414"/>
      <c r="LMT21" s="414"/>
      <c r="LMU21" s="414"/>
      <c r="LMV21" s="414"/>
      <c r="LMW21" s="414"/>
      <c r="LMX21" s="414"/>
      <c r="LMY21" s="414"/>
      <c r="LMZ21" s="414"/>
      <c r="LNA21" s="414"/>
      <c r="LNB21" s="414"/>
      <c r="LNC21" s="414"/>
      <c r="LND21" s="414"/>
      <c r="LNE21" s="414"/>
      <c r="LNF21" s="414"/>
      <c r="LNG21" s="414"/>
      <c r="LNH21" s="414"/>
      <c r="LNI21" s="414"/>
      <c r="LNJ21" s="414"/>
      <c r="LNK21" s="414"/>
      <c r="LNL21" s="414"/>
      <c r="LNM21" s="414"/>
      <c r="LNN21" s="414"/>
      <c r="LNO21" s="414"/>
      <c r="LNP21" s="414"/>
      <c r="LNQ21" s="414"/>
      <c r="LNR21" s="414"/>
      <c r="LNS21" s="414"/>
      <c r="LNT21" s="414"/>
      <c r="LNU21" s="414"/>
      <c r="LNV21" s="414"/>
      <c r="LNW21" s="414"/>
      <c r="LNX21" s="414"/>
      <c r="LNY21" s="414"/>
      <c r="LNZ21" s="414"/>
      <c r="LOA21" s="414"/>
      <c r="LOB21" s="414"/>
      <c r="LOC21" s="414"/>
      <c r="LOD21" s="414"/>
      <c r="LOE21" s="414"/>
      <c r="LOF21" s="414"/>
      <c r="LOG21" s="414"/>
      <c r="LOH21" s="414"/>
      <c r="LOI21" s="414"/>
      <c r="LOJ21" s="414"/>
      <c r="LOK21" s="414"/>
      <c r="LOL21" s="414"/>
      <c r="LOM21" s="414"/>
      <c r="LON21" s="414"/>
      <c r="LOO21" s="414"/>
      <c r="LOP21" s="414"/>
      <c r="LOQ21" s="414"/>
      <c r="LOR21" s="414"/>
      <c r="LOS21" s="414"/>
      <c r="LOT21" s="414"/>
      <c r="LOU21" s="414"/>
      <c r="LOV21" s="414"/>
      <c r="LOW21" s="414"/>
      <c r="LOX21" s="414"/>
      <c r="LOY21" s="414"/>
      <c r="LOZ21" s="414"/>
      <c r="LPA21" s="414"/>
      <c r="LPB21" s="414"/>
      <c r="LPC21" s="414"/>
      <c r="LPD21" s="414"/>
      <c r="LPE21" s="414"/>
      <c r="LPF21" s="414"/>
      <c r="LPG21" s="414"/>
      <c r="LPH21" s="414"/>
      <c r="LPI21" s="414"/>
      <c r="LPJ21" s="414"/>
      <c r="LPK21" s="414"/>
      <c r="LPL21" s="414"/>
      <c r="LPM21" s="414"/>
      <c r="LPN21" s="414"/>
      <c r="LPO21" s="414"/>
      <c r="LPP21" s="414"/>
      <c r="LPQ21" s="414"/>
      <c r="LPR21" s="414"/>
      <c r="LPS21" s="414"/>
      <c r="LPT21" s="414"/>
      <c r="LPU21" s="414"/>
      <c r="LPV21" s="414"/>
      <c r="LPW21" s="414"/>
      <c r="LPX21" s="414"/>
      <c r="LPY21" s="414"/>
      <c r="LPZ21" s="414"/>
      <c r="LQA21" s="414"/>
      <c r="LQB21" s="414"/>
      <c r="LQC21" s="414"/>
      <c r="LQD21" s="414"/>
      <c r="LQE21" s="414"/>
      <c r="LQF21" s="414"/>
      <c r="LQG21" s="414"/>
      <c r="LQH21" s="414"/>
      <c r="LQI21" s="414"/>
      <c r="LQJ21" s="414"/>
      <c r="LQK21" s="414"/>
      <c r="LQL21" s="414"/>
      <c r="LQM21" s="414"/>
      <c r="LQN21" s="414"/>
      <c r="LQO21" s="414"/>
      <c r="LQP21" s="414"/>
      <c r="LQQ21" s="414"/>
      <c r="LQR21" s="414"/>
      <c r="LQS21" s="414"/>
      <c r="LQT21" s="414"/>
      <c r="LQU21" s="414"/>
      <c r="LQV21" s="414"/>
      <c r="LQW21" s="414"/>
      <c r="LQX21" s="414"/>
      <c r="LQY21" s="414"/>
      <c r="LQZ21" s="414"/>
      <c r="LRA21" s="414"/>
      <c r="LRB21" s="414"/>
      <c r="LRC21" s="414"/>
      <c r="LRD21" s="414"/>
      <c r="LRE21" s="414"/>
      <c r="LRF21" s="414"/>
      <c r="LRG21" s="414"/>
      <c r="LRH21" s="414"/>
      <c r="LRI21" s="414"/>
      <c r="LRJ21" s="414"/>
      <c r="LRK21" s="414"/>
      <c r="LRL21" s="414"/>
      <c r="LRM21" s="414"/>
      <c r="LRN21" s="414"/>
      <c r="LRO21" s="414"/>
      <c r="LRP21" s="414"/>
      <c r="LRQ21" s="414"/>
      <c r="LRR21" s="414"/>
      <c r="LRS21" s="414"/>
      <c r="LRT21" s="414"/>
      <c r="LRU21" s="414"/>
      <c r="LRV21" s="414"/>
      <c r="LRW21" s="414"/>
      <c r="LRX21" s="414"/>
      <c r="LRY21" s="414"/>
      <c r="LRZ21" s="414"/>
      <c r="LSA21" s="414"/>
      <c r="LSB21" s="414"/>
      <c r="LSC21" s="414"/>
      <c r="LSD21" s="414"/>
      <c r="LSE21" s="414"/>
      <c r="LSF21" s="414"/>
      <c r="LSG21" s="414"/>
      <c r="LSH21" s="414"/>
      <c r="LSI21" s="414"/>
      <c r="LSJ21" s="414"/>
      <c r="LSK21" s="414"/>
      <c r="LSL21" s="414"/>
      <c r="LSM21" s="414"/>
      <c r="LSN21" s="414"/>
      <c r="LSO21" s="414"/>
      <c r="LSP21" s="414"/>
      <c r="LSQ21" s="414"/>
      <c r="LSR21" s="414"/>
      <c r="LSS21" s="414"/>
      <c r="LST21" s="414"/>
      <c r="LSU21" s="414"/>
      <c r="LSV21" s="414"/>
      <c r="LSW21" s="414"/>
      <c r="LSX21" s="414"/>
      <c r="LSY21" s="414"/>
      <c r="LSZ21" s="414"/>
      <c r="LTA21" s="414"/>
      <c r="LTB21" s="414"/>
      <c r="LTC21" s="414"/>
      <c r="LTD21" s="414"/>
      <c r="LTE21" s="414"/>
      <c r="LTF21" s="414"/>
      <c r="LTG21" s="414"/>
      <c r="LTH21" s="414"/>
      <c r="LTI21" s="414"/>
      <c r="LTJ21" s="414"/>
      <c r="LTK21" s="414"/>
      <c r="LTL21" s="414"/>
      <c r="LTM21" s="414"/>
      <c r="LTN21" s="414"/>
      <c r="LTO21" s="414"/>
      <c r="LTP21" s="414"/>
      <c r="LTQ21" s="414"/>
      <c r="LTR21" s="414"/>
      <c r="LTS21" s="414"/>
      <c r="LTT21" s="414"/>
      <c r="LTU21" s="414"/>
      <c r="LTV21" s="414"/>
      <c r="LTW21" s="414"/>
      <c r="LTX21" s="414"/>
      <c r="LTY21" s="414"/>
      <c r="LTZ21" s="414"/>
      <c r="LUA21" s="414"/>
      <c r="LUB21" s="414"/>
      <c r="LUC21" s="414"/>
      <c r="LUD21" s="414"/>
      <c r="LUE21" s="414"/>
      <c r="LUF21" s="414"/>
      <c r="LUG21" s="414"/>
      <c r="LUH21" s="414"/>
      <c r="LUI21" s="414"/>
      <c r="LUJ21" s="414"/>
      <c r="LUK21" s="414"/>
      <c r="LUL21" s="414"/>
      <c r="LUM21" s="414"/>
      <c r="LUN21" s="414"/>
      <c r="LUO21" s="414"/>
      <c r="LUP21" s="414"/>
      <c r="LUQ21" s="414"/>
      <c r="LUR21" s="414"/>
      <c r="LUS21" s="414"/>
      <c r="LUT21" s="414"/>
      <c r="LUU21" s="414"/>
      <c r="LUV21" s="414"/>
      <c r="LUW21" s="414"/>
      <c r="LUX21" s="414"/>
      <c r="LUY21" s="414"/>
      <c r="LUZ21" s="414"/>
      <c r="LVA21" s="414"/>
      <c r="LVB21" s="414"/>
      <c r="LVC21" s="414"/>
      <c r="LVD21" s="414"/>
      <c r="LVE21" s="414"/>
      <c r="LVF21" s="414"/>
      <c r="LVG21" s="414"/>
      <c r="LVH21" s="414"/>
      <c r="LVI21" s="414"/>
      <c r="LVJ21" s="414"/>
      <c r="LVK21" s="414"/>
      <c r="LVL21" s="414"/>
      <c r="LVM21" s="414"/>
      <c r="LVN21" s="414"/>
      <c r="LVO21" s="414"/>
      <c r="LVP21" s="414"/>
      <c r="LVQ21" s="414"/>
      <c r="LVR21" s="414"/>
      <c r="LVS21" s="414"/>
      <c r="LVT21" s="414"/>
      <c r="LVU21" s="414"/>
      <c r="LVV21" s="414"/>
      <c r="LVW21" s="414"/>
      <c r="LVX21" s="414"/>
      <c r="LVY21" s="414"/>
      <c r="LVZ21" s="414"/>
      <c r="LWA21" s="414"/>
      <c r="LWB21" s="414"/>
      <c r="LWC21" s="414"/>
      <c r="LWD21" s="414"/>
      <c r="LWE21" s="414"/>
      <c r="LWF21" s="414"/>
      <c r="LWG21" s="414"/>
      <c r="LWH21" s="414"/>
      <c r="LWI21" s="414"/>
      <c r="LWJ21" s="414"/>
      <c r="LWK21" s="414"/>
      <c r="LWL21" s="414"/>
      <c r="LWM21" s="414"/>
      <c r="LWN21" s="414"/>
      <c r="LWO21" s="414"/>
      <c r="LWP21" s="414"/>
      <c r="LWQ21" s="414"/>
      <c r="LWR21" s="414"/>
      <c r="LWS21" s="414"/>
      <c r="LWT21" s="414"/>
      <c r="LWU21" s="414"/>
      <c r="LWV21" s="414"/>
      <c r="LWW21" s="414"/>
      <c r="LWX21" s="414"/>
      <c r="LWY21" s="414"/>
      <c r="LWZ21" s="414"/>
      <c r="LXA21" s="414"/>
      <c r="LXB21" s="414"/>
      <c r="LXC21" s="414"/>
      <c r="LXD21" s="414"/>
      <c r="LXE21" s="414"/>
      <c r="LXF21" s="414"/>
      <c r="LXG21" s="414"/>
      <c r="LXH21" s="414"/>
      <c r="LXI21" s="414"/>
      <c r="LXJ21" s="414"/>
      <c r="LXK21" s="414"/>
      <c r="LXL21" s="414"/>
      <c r="LXM21" s="414"/>
      <c r="LXN21" s="414"/>
      <c r="LXO21" s="414"/>
      <c r="LXP21" s="414"/>
      <c r="LXQ21" s="414"/>
      <c r="LXR21" s="414"/>
      <c r="LXS21" s="414"/>
      <c r="LXT21" s="414"/>
      <c r="LXU21" s="414"/>
      <c r="LXV21" s="414"/>
      <c r="LXW21" s="414"/>
      <c r="LXX21" s="414"/>
      <c r="LXY21" s="414"/>
      <c r="LXZ21" s="414"/>
      <c r="LYA21" s="414"/>
      <c r="LYB21" s="414"/>
      <c r="LYC21" s="414"/>
      <c r="LYD21" s="414"/>
      <c r="LYE21" s="414"/>
      <c r="LYF21" s="414"/>
      <c r="LYG21" s="414"/>
      <c r="LYH21" s="414"/>
      <c r="LYI21" s="414"/>
      <c r="LYJ21" s="414"/>
      <c r="LYK21" s="414"/>
      <c r="LYL21" s="414"/>
      <c r="LYM21" s="414"/>
      <c r="LYN21" s="414"/>
      <c r="LYO21" s="414"/>
      <c r="LYP21" s="414"/>
      <c r="LYQ21" s="414"/>
      <c r="LYR21" s="414"/>
      <c r="LYS21" s="414"/>
      <c r="LYT21" s="414"/>
      <c r="LYU21" s="414"/>
      <c r="LYV21" s="414"/>
      <c r="LYW21" s="414"/>
      <c r="LYX21" s="414"/>
      <c r="LYY21" s="414"/>
      <c r="LYZ21" s="414"/>
      <c r="LZA21" s="414"/>
      <c r="LZB21" s="414"/>
      <c r="LZC21" s="414"/>
      <c r="LZD21" s="414"/>
      <c r="LZE21" s="414"/>
      <c r="LZF21" s="414"/>
      <c r="LZG21" s="414"/>
      <c r="LZH21" s="414"/>
      <c r="LZI21" s="414"/>
      <c r="LZJ21" s="414"/>
      <c r="LZK21" s="414"/>
      <c r="LZL21" s="414"/>
      <c r="LZM21" s="414"/>
      <c r="LZN21" s="414"/>
      <c r="LZO21" s="414"/>
      <c r="LZP21" s="414"/>
      <c r="LZQ21" s="414"/>
      <c r="LZR21" s="414"/>
      <c r="LZS21" s="414"/>
      <c r="LZT21" s="414"/>
      <c r="LZU21" s="414"/>
      <c r="LZV21" s="414"/>
      <c r="LZW21" s="414"/>
      <c r="LZX21" s="414"/>
      <c r="LZY21" s="414"/>
      <c r="LZZ21" s="414"/>
      <c r="MAA21" s="414"/>
      <c r="MAB21" s="414"/>
      <c r="MAC21" s="414"/>
      <c r="MAD21" s="414"/>
      <c r="MAE21" s="414"/>
      <c r="MAF21" s="414"/>
      <c r="MAG21" s="414"/>
      <c r="MAH21" s="414"/>
      <c r="MAI21" s="414"/>
      <c r="MAJ21" s="414"/>
      <c r="MAK21" s="414"/>
      <c r="MAL21" s="414"/>
      <c r="MAM21" s="414"/>
      <c r="MAN21" s="414"/>
      <c r="MAO21" s="414"/>
      <c r="MAP21" s="414"/>
      <c r="MAQ21" s="414"/>
      <c r="MAR21" s="414"/>
      <c r="MAS21" s="414"/>
      <c r="MAT21" s="414"/>
      <c r="MAU21" s="414"/>
      <c r="MAV21" s="414"/>
      <c r="MAW21" s="414"/>
      <c r="MAX21" s="414"/>
      <c r="MAY21" s="414"/>
      <c r="MAZ21" s="414"/>
      <c r="MBA21" s="414"/>
      <c r="MBB21" s="414"/>
      <c r="MBC21" s="414"/>
      <c r="MBD21" s="414"/>
      <c r="MBE21" s="414"/>
      <c r="MBF21" s="414"/>
      <c r="MBG21" s="414"/>
      <c r="MBH21" s="414"/>
      <c r="MBI21" s="414"/>
      <c r="MBJ21" s="414"/>
      <c r="MBK21" s="414"/>
      <c r="MBL21" s="414"/>
      <c r="MBM21" s="414"/>
      <c r="MBN21" s="414"/>
      <c r="MBO21" s="414"/>
      <c r="MBP21" s="414"/>
      <c r="MBQ21" s="414"/>
      <c r="MBR21" s="414"/>
      <c r="MBS21" s="414"/>
      <c r="MBT21" s="414"/>
      <c r="MBU21" s="414"/>
      <c r="MBV21" s="414"/>
      <c r="MBW21" s="414"/>
      <c r="MBX21" s="414"/>
      <c r="MBY21" s="414"/>
      <c r="MBZ21" s="414"/>
      <c r="MCA21" s="414"/>
      <c r="MCB21" s="414"/>
      <c r="MCC21" s="414"/>
      <c r="MCD21" s="414"/>
      <c r="MCE21" s="414"/>
      <c r="MCF21" s="414"/>
      <c r="MCG21" s="414"/>
      <c r="MCH21" s="414"/>
      <c r="MCI21" s="414"/>
      <c r="MCJ21" s="414"/>
      <c r="MCK21" s="414"/>
      <c r="MCL21" s="414"/>
      <c r="MCM21" s="414"/>
      <c r="MCN21" s="414"/>
      <c r="MCO21" s="414"/>
      <c r="MCP21" s="414"/>
      <c r="MCQ21" s="414"/>
      <c r="MCR21" s="414"/>
      <c r="MCS21" s="414"/>
      <c r="MCT21" s="414"/>
      <c r="MCU21" s="414"/>
      <c r="MCV21" s="414"/>
      <c r="MCW21" s="414"/>
      <c r="MCX21" s="414"/>
      <c r="MCY21" s="414"/>
      <c r="MCZ21" s="414"/>
      <c r="MDA21" s="414"/>
      <c r="MDB21" s="414"/>
      <c r="MDC21" s="414"/>
      <c r="MDD21" s="414"/>
      <c r="MDE21" s="414"/>
      <c r="MDF21" s="414"/>
      <c r="MDG21" s="414"/>
      <c r="MDH21" s="414"/>
      <c r="MDI21" s="414"/>
      <c r="MDJ21" s="414"/>
      <c r="MDK21" s="414"/>
      <c r="MDL21" s="414"/>
      <c r="MDM21" s="414"/>
      <c r="MDN21" s="414"/>
      <c r="MDO21" s="414"/>
      <c r="MDP21" s="414"/>
      <c r="MDQ21" s="414"/>
      <c r="MDR21" s="414"/>
      <c r="MDS21" s="414"/>
      <c r="MDT21" s="414"/>
      <c r="MDU21" s="414"/>
      <c r="MDV21" s="414"/>
      <c r="MDW21" s="414"/>
      <c r="MDX21" s="414"/>
      <c r="MDY21" s="414"/>
      <c r="MDZ21" s="414"/>
      <c r="MEA21" s="414"/>
      <c r="MEB21" s="414"/>
      <c r="MEC21" s="414"/>
      <c r="MED21" s="414"/>
      <c r="MEE21" s="414"/>
      <c r="MEF21" s="414"/>
      <c r="MEG21" s="414"/>
      <c r="MEH21" s="414"/>
      <c r="MEI21" s="414"/>
      <c r="MEJ21" s="414"/>
      <c r="MEK21" s="414"/>
      <c r="MEL21" s="414"/>
      <c r="MEM21" s="414"/>
      <c r="MEN21" s="414"/>
      <c r="MEO21" s="414"/>
      <c r="MEP21" s="414"/>
      <c r="MEQ21" s="414"/>
      <c r="MER21" s="414"/>
      <c r="MES21" s="414"/>
      <c r="MET21" s="414"/>
      <c r="MEU21" s="414"/>
      <c r="MEV21" s="414"/>
      <c r="MEW21" s="414"/>
      <c r="MEX21" s="414"/>
      <c r="MEY21" s="414"/>
      <c r="MEZ21" s="414"/>
      <c r="MFA21" s="414"/>
      <c r="MFB21" s="414"/>
      <c r="MFC21" s="414"/>
      <c r="MFD21" s="414"/>
      <c r="MFE21" s="414"/>
      <c r="MFF21" s="414"/>
      <c r="MFG21" s="414"/>
      <c r="MFH21" s="414"/>
      <c r="MFI21" s="414"/>
      <c r="MFJ21" s="414"/>
      <c r="MFK21" s="414"/>
      <c r="MFL21" s="414"/>
      <c r="MFM21" s="414"/>
      <c r="MFN21" s="414"/>
      <c r="MFO21" s="414"/>
      <c r="MFP21" s="414"/>
      <c r="MFQ21" s="414"/>
      <c r="MFR21" s="414"/>
      <c r="MFS21" s="414"/>
      <c r="MFT21" s="414"/>
      <c r="MFU21" s="414"/>
      <c r="MFV21" s="414"/>
      <c r="MFW21" s="414"/>
      <c r="MFX21" s="414"/>
      <c r="MFY21" s="414"/>
      <c r="MFZ21" s="414"/>
      <c r="MGA21" s="414"/>
      <c r="MGB21" s="414"/>
      <c r="MGC21" s="414"/>
      <c r="MGD21" s="414"/>
      <c r="MGE21" s="414"/>
      <c r="MGF21" s="414"/>
      <c r="MGG21" s="414"/>
      <c r="MGH21" s="414"/>
      <c r="MGI21" s="414"/>
      <c r="MGJ21" s="414"/>
      <c r="MGK21" s="414"/>
      <c r="MGL21" s="414"/>
      <c r="MGM21" s="414"/>
      <c r="MGN21" s="414"/>
      <c r="MGO21" s="414"/>
      <c r="MGP21" s="414"/>
      <c r="MGQ21" s="414"/>
      <c r="MGR21" s="414"/>
      <c r="MGS21" s="414"/>
      <c r="MGT21" s="414"/>
      <c r="MGU21" s="414"/>
      <c r="MGV21" s="414"/>
      <c r="MGW21" s="414"/>
      <c r="MGX21" s="414"/>
      <c r="MGY21" s="414"/>
      <c r="MGZ21" s="414"/>
      <c r="MHA21" s="414"/>
      <c r="MHB21" s="414"/>
      <c r="MHC21" s="414"/>
      <c r="MHD21" s="414"/>
      <c r="MHE21" s="414"/>
      <c r="MHF21" s="414"/>
      <c r="MHG21" s="414"/>
      <c r="MHH21" s="414"/>
      <c r="MHI21" s="414"/>
      <c r="MHJ21" s="414"/>
      <c r="MHK21" s="414"/>
      <c r="MHL21" s="414"/>
      <c r="MHM21" s="414"/>
      <c r="MHN21" s="414"/>
      <c r="MHO21" s="414"/>
      <c r="MHP21" s="414"/>
      <c r="MHQ21" s="414"/>
      <c r="MHR21" s="414"/>
      <c r="MHS21" s="414"/>
      <c r="MHT21" s="414"/>
      <c r="MHU21" s="414"/>
      <c r="MHV21" s="414"/>
      <c r="MHW21" s="414"/>
      <c r="MHX21" s="414"/>
      <c r="MHY21" s="414"/>
      <c r="MHZ21" s="414"/>
      <c r="MIA21" s="414"/>
      <c r="MIB21" s="414"/>
      <c r="MIC21" s="414"/>
      <c r="MID21" s="414"/>
      <c r="MIE21" s="414"/>
      <c r="MIF21" s="414"/>
      <c r="MIG21" s="414"/>
      <c r="MIH21" s="414"/>
      <c r="MII21" s="414"/>
      <c r="MIJ21" s="414"/>
      <c r="MIK21" s="414"/>
      <c r="MIL21" s="414"/>
      <c r="MIM21" s="414"/>
      <c r="MIN21" s="414"/>
      <c r="MIO21" s="414"/>
      <c r="MIP21" s="414"/>
      <c r="MIQ21" s="414"/>
      <c r="MIR21" s="414"/>
      <c r="MIS21" s="414"/>
      <c r="MIT21" s="414"/>
      <c r="MIU21" s="414"/>
      <c r="MIV21" s="414"/>
      <c r="MIW21" s="414"/>
      <c r="MIX21" s="414"/>
      <c r="MIY21" s="414"/>
      <c r="MIZ21" s="414"/>
      <c r="MJA21" s="414"/>
      <c r="MJB21" s="414"/>
      <c r="MJC21" s="414"/>
      <c r="MJD21" s="414"/>
      <c r="MJE21" s="414"/>
      <c r="MJF21" s="414"/>
      <c r="MJG21" s="414"/>
      <c r="MJH21" s="414"/>
      <c r="MJI21" s="414"/>
      <c r="MJJ21" s="414"/>
      <c r="MJK21" s="414"/>
      <c r="MJL21" s="414"/>
      <c r="MJM21" s="414"/>
      <c r="MJN21" s="414"/>
      <c r="MJO21" s="414"/>
      <c r="MJP21" s="414"/>
      <c r="MJQ21" s="414"/>
      <c r="MJR21" s="414"/>
      <c r="MJS21" s="414"/>
      <c r="MJT21" s="414"/>
      <c r="MJU21" s="414"/>
      <c r="MJV21" s="414"/>
      <c r="MJW21" s="414"/>
      <c r="MJX21" s="414"/>
      <c r="MJY21" s="414"/>
      <c r="MJZ21" s="414"/>
      <c r="MKA21" s="414"/>
      <c r="MKB21" s="414"/>
      <c r="MKC21" s="414"/>
      <c r="MKD21" s="414"/>
      <c r="MKE21" s="414"/>
      <c r="MKF21" s="414"/>
      <c r="MKG21" s="414"/>
      <c r="MKH21" s="414"/>
      <c r="MKI21" s="414"/>
      <c r="MKJ21" s="414"/>
      <c r="MKK21" s="414"/>
      <c r="MKL21" s="414"/>
      <c r="MKM21" s="414"/>
      <c r="MKN21" s="414"/>
      <c r="MKO21" s="414"/>
      <c r="MKP21" s="414"/>
      <c r="MKQ21" s="414"/>
      <c r="MKR21" s="414"/>
      <c r="MKS21" s="414"/>
      <c r="MKT21" s="414"/>
      <c r="MKU21" s="414"/>
      <c r="MKV21" s="414"/>
      <c r="MKW21" s="414"/>
      <c r="MKX21" s="414"/>
      <c r="MKY21" s="414"/>
      <c r="MKZ21" s="414"/>
      <c r="MLA21" s="414"/>
      <c r="MLB21" s="414"/>
      <c r="MLC21" s="414"/>
      <c r="MLD21" s="414"/>
      <c r="MLE21" s="414"/>
      <c r="MLF21" s="414"/>
      <c r="MLG21" s="414"/>
      <c r="MLH21" s="414"/>
      <c r="MLI21" s="414"/>
      <c r="MLJ21" s="414"/>
      <c r="MLK21" s="414"/>
      <c r="MLL21" s="414"/>
      <c r="MLM21" s="414"/>
      <c r="MLN21" s="414"/>
      <c r="MLO21" s="414"/>
      <c r="MLP21" s="414"/>
      <c r="MLQ21" s="414"/>
      <c r="MLR21" s="414"/>
      <c r="MLS21" s="414"/>
      <c r="MLT21" s="414"/>
      <c r="MLU21" s="414"/>
      <c r="MLV21" s="414"/>
      <c r="MLW21" s="414"/>
      <c r="MLX21" s="414"/>
      <c r="MLY21" s="414"/>
      <c r="MLZ21" s="414"/>
      <c r="MMA21" s="414"/>
      <c r="MMB21" s="414"/>
      <c r="MMC21" s="414"/>
      <c r="MMD21" s="414"/>
      <c r="MME21" s="414"/>
      <c r="MMF21" s="414"/>
      <c r="MMG21" s="414"/>
      <c r="MMH21" s="414"/>
      <c r="MMI21" s="414"/>
      <c r="MMJ21" s="414"/>
      <c r="MMK21" s="414"/>
      <c r="MML21" s="414"/>
      <c r="MMM21" s="414"/>
      <c r="MMN21" s="414"/>
      <c r="MMO21" s="414"/>
      <c r="MMP21" s="414"/>
      <c r="MMQ21" s="414"/>
      <c r="MMR21" s="414"/>
      <c r="MMS21" s="414"/>
      <c r="MMT21" s="414"/>
      <c r="MMU21" s="414"/>
      <c r="MMV21" s="414"/>
      <c r="MMW21" s="414"/>
      <c r="MMX21" s="414"/>
      <c r="MMY21" s="414"/>
      <c r="MMZ21" s="414"/>
      <c r="MNA21" s="414"/>
      <c r="MNB21" s="414"/>
      <c r="MNC21" s="414"/>
      <c r="MND21" s="414"/>
      <c r="MNE21" s="414"/>
      <c r="MNF21" s="414"/>
      <c r="MNG21" s="414"/>
      <c r="MNH21" s="414"/>
      <c r="MNI21" s="414"/>
      <c r="MNJ21" s="414"/>
      <c r="MNK21" s="414"/>
      <c r="MNL21" s="414"/>
      <c r="MNM21" s="414"/>
      <c r="MNN21" s="414"/>
      <c r="MNO21" s="414"/>
      <c r="MNP21" s="414"/>
      <c r="MNQ21" s="414"/>
      <c r="MNR21" s="414"/>
      <c r="MNS21" s="414"/>
      <c r="MNT21" s="414"/>
      <c r="MNU21" s="414"/>
      <c r="MNV21" s="414"/>
      <c r="MNW21" s="414"/>
      <c r="MNX21" s="414"/>
      <c r="MNY21" s="414"/>
      <c r="MNZ21" s="414"/>
      <c r="MOA21" s="414"/>
      <c r="MOB21" s="414"/>
      <c r="MOC21" s="414"/>
      <c r="MOD21" s="414"/>
      <c r="MOE21" s="414"/>
      <c r="MOF21" s="414"/>
      <c r="MOG21" s="414"/>
      <c r="MOH21" s="414"/>
      <c r="MOI21" s="414"/>
      <c r="MOJ21" s="414"/>
      <c r="MOK21" s="414"/>
      <c r="MOL21" s="414"/>
      <c r="MOM21" s="414"/>
      <c r="MON21" s="414"/>
      <c r="MOO21" s="414"/>
      <c r="MOP21" s="414"/>
      <c r="MOQ21" s="414"/>
      <c r="MOR21" s="414"/>
      <c r="MOS21" s="414"/>
      <c r="MOT21" s="414"/>
      <c r="MOU21" s="414"/>
      <c r="MOV21" s="414"/>
      <c r="MOW21" s="414"/>
      <c r="MOX21" s="414"/>
      <c r="MOY21" s="414"/>
      <c r="MOZ21" s="414"/>
      <c r="MPA21" s="414"/>
      <c r="MPB21" s="414"/>
      <c r="MPC21" s="414"/>
      <c r="MPD21" s="414"/>
      <c r="MPE21" s="414"/>
      <c r="MPF21" s="414"/>
      <c r="MPG21" s="414"/>
      <c r="MPH21" s="414"/>
      <c r="MPI21" s="414"/>
      <c r="MPJ21" s="414"/>
      <c r="MPK21" s="414"/>
      <c r="MPL21" s="414"/>
      <c r="MPM21" s="414"/>
      <c r="MPN21" s="414"/>
      <c r="MPO21" s="414"/>
      <c r="MPP21" s="414"/>
      <c r="MPQ21" s="414"/>
      <c r="MPR21" s="414"/>
      <c r="MPS21" s="414"/>
      <c r="MPT21" s="414"/>
      <c r="MPU21" s="414"/>
      <c r="MPV21" s="414"/>
      <c r="MPW21" s="414"/>
      <c r="MPX21" s="414"/>
      <c r="MPY21" s="414"/>
      <c r="MPZ21" s="414"/>
      <c r="MQA21" s="414"/>
      <c r="MQB21" s="414"/>
      <c r="MQC21" s="414"/>
      <c r="MQD21" s="414"/>
      <c r="MQE21" s="414"/>
      <c r="MQF21" s="414"/>
      <c r="MQG21" s="414"/>
      <c r="MQH21" s="414"/>
      <c r="MQI21" s="414"/>
      <c r="MQJ21" s="414"/>
      <c r="MQK21" s="414"/>
      <c r="MQL21" s="414"/>
      <c r="MQM21" s="414"/>
      <c r="MQN21" s="414"/>
      <c r="MQO21" s="414"/>
      <c r="MQP21" s="414"/>
      <c r="MQQ21" s="414"/>
      <c r="MQR21" s="414"/>
      <c r="MQS21" s="414"/>
      <c r="MQT21" s="414"/>
      <c r="MQU21" s="414"/>
      <c r="MQV21" s="414"/>
      <c r="MQW21" s="414"/>
      <c r="MQX21" s="414"/>
      <c r="MQY21" s="414"/>
      <c r="MQZ21" s="414"/>
      <c r="MRA21" s="414"/>
      <c r="MRB21" s="414"/>
      <c r="MRC21" s="414"/>
      <c r="MRD21" s="414"/>
      <c r="MRE21" s="414"/>
      <c r="MRF21" s="414"/>
      <c r="MRG21" s="414"/>
      <c r="MRH21" s="414"/>
      <c r="MRI21" s="414"/>
      <c r="MRJ21" s="414"/>
      <c r="MRK21" s="414"/>
      <c r="MRL21" s="414"/>
      <c r="MRM21" s="414"/>
      <c r="MRN21" s="414"/>
      <c r="MRO21" s="414"/>
      <c r="MRP21" s="414"/>
      <c r="MRQ21" s="414"/>
      <c r="MRR21" s="414"/>
      <c r="MRS21" s="414"/>
      <c r="MRT21" s="414"/>
      <c r="MRU21" s="414"/>
      <c r="MRV21" s="414"/>
      <c r="MRW21" s="414"/>
      <c r="MRX21" s="414"/>
      <c r="MRY21" s="414"/>
      <c r="MRZ21" s="414"/>
      <c r="MSA21" s="414"/>
      <c r="MSB21" s="414"/>
      <c r="MSC21" s="414"/>
      <c r="MSD21" s="414"/>
      <c r="MSE21" s="414"/>
      <c r="MSF21" s="414"/>
      <c r="MSG21" s="414"/>
      <c r="MSH21" s="414"/>
      <c r="MSI21" s="414"/>
      <c r="MSJ21" s="414"/>
      <c r="MSK21" s="414"/>
      <c r="MSL21" s="414"/>
      <c r="MSM21" s="414"/>
      <c r="MSN21" s="414"/>
      <c r="MSO21" s="414"/>
      <c r="MSP21" s="414"/>
      <c r="MSQ21" s="414"/>
      <c r="MSR21" s="414"/>
      <c r="MSS21" s="414"/>
      <c r="MST21" s="414"/>
      <c r="MSU21" s="414"/>
      <c r="MSV21" s="414"/>
      <c r="MSW21" s="414"/>
      <c r="MSX21" s="414"/>
      <c r="MSY21" s="414"/>
      <c r="MSZ21" s="414"/>
      <c r="MTA21" s="414"/>
      <c r="MTB21" s="414"/>
      <c r="MTC21" s="414"/>
      <c r="MTD21" s="414"/>
      <c r="MTE21" s="414"/>
      <c r="MTF21" s="414"/>
      <c r="MTG21" s="414"/>
      <c r="MTH21" s="414"/>
      <c r="MTI21" s="414"/>
      <c r="MTJ21" s="414"/>
      <c r="MTK21" s="414"/>
      <c r="MTL21" s="414"/>
      <c r="MTM21" s="414"/>
      <c r="MTN21" s="414"/>
      <c r="MTO21" s="414"/>
      <c r="MTP21" s="414"/>
      <c r="MTQ21" s="414"/>
      <c r="MTR21" s="414"/>
      <c r="MTS21" s="414"/>
      <c r="MTT21" s="414"/>
      <c r="MTU21" s="414"/>
      <c r="MTV21" s="414"/>
      <c r="MTW21" s="414"/>
      <c r="MTX21" s="414"/>
      <c r="MTY21" s="414"/>
      <c r="MTZ21" s="414"/>
      <c r="MUA21" s="414"/>
      <c r="MUB21" s="414"/>
      <c r="MUC21" s="414"/>
      <c r="MUD21" s="414"/>
      <c r="MUE21" s="414"/>
      <c r="MUF21" s="414"/>
      <c r="MUG21" s="414"/>
      <c r="MUH21" s="414"/>
      <c r="MUI21" s="414"/>
      <c r="MUJ21" s="414"/>
      <c r="MUK21" s="414"/>
      <c r="MUL21" s="414"/>
      <c r="MUM21" s="414"/>
      <c r="MUN21" s="414"/>
      <c r="MUO21" s="414"/>
      <c r="MUP21" s="414"/>
      <c r="MUQ21" s="414"/>
      <c r="MUR21" s="414"/>
      <c r="MUS21" s="414"/>
      <c r="MUT21" s="414"/>
      <c r="MUU21" s="414"/>
      <c r="MUV21" s="414"/>
      <c r="MUW21" s="414"/>
      <c r="MUX21" s="414"/>
      <c r="MUY21" s="414"/>
      <c r="MUZ21" s="414"/>
      <c r="MVA21" s="414"/>
      <c r="MVB21" s="414"/>
      <c r="MVC21" s="414"/>
      <c r="MVD21" s="414"/>
      <c r="MVE21" s="414"/>
      <c r="MVF21" s="414"/>
      <c r="MVG21" s="414"/>
      <c r="MVH21" s="414"/>
      <c r="MVI21" s="414"/>
      <c r="MVJ21" s="414"/>
      <c r="MVK21" s="414"/>
      <c r="MVL21" s="414"/>
      <c r="MVM21" s="414"/>
      <c r="MVN21" s="414"/>
      <c r="MVO21" s="414"/>
      <c r="MVP21" s="414"/>
      <c r="MVQ21" s="414"/>
      <c r="MVR21" s="414"/>
      <c r="MVS21" s="414"/>
      <c r="MVT21" s="414"/>
      <c r="MVU21" s="414"/>
      <c r="MVV21" s="414"/>
      <c r="MVW21" s="414"/>
      <c r="MVX21" s="414"/>
      <c r="MVY21" s="414"/>
      <c r="MVZ21" s="414"/>
      <c r="MWA21" s="414"/>
      <c r="MWB21" s="414"/>
      <c r="MWC21" s="414"/>
      <c r="MWD21" s="414"/>
      <c r="MWE21" s="414"/>
      <c r="MWF21" s="414"/>
      <c r="MWG21" s="414"/>
      <c r="MWH21" s="414"/>
      <c r="MWI21" s="414"/>
      <c r="MWJ21" s="414"/>
      <c r="MWK21" s="414"/>
      <c r="MWL21" s="414"/>
      <c r="MWM21" s="414"/>
      <c r="MWN21" s="414"/>
      <c r="MWO21" s="414"/>
      <c r="MWP21" s="414"/>
      <c r="MWQ21" s="414"/>
      <c r="MWR21" s="414"/>
      <c r="MWS21" s="414"/>
      <c r="MWT21" s="414"/>
      <c r="MWU21" s="414"/>
      <c r="MWV21" s="414"/>
      <c r="MWW21" s="414"/>
      <c r="MWX21" s="414"/>
      <c r="MWY21" s="414"/>
      <c r="MWZ21" s="414"/>
      <c r="MXA21" s="414"/>
      <c r="MXB21" s="414"/>
      <c r="MXC21" s="414"/>
      <c r="MXD21" s="414"/>
      <c r="MXE21" s="414"/>
      <c r="MXF21" s="414"/>
      <c r="MXG21" s="414"/>
      <c r="MXH21" s="414"/>
      <c r="MXI21" s="414"/>
      <c r="MXJ21" s="414"/>
      <c r="MXK21" s="414"/>
      <c r="MXL21" s="414"/>
      <c r="MXM21" s="414"/>
      <c r="MXN21" s="414"/>
      <c r="MXO21" s="414"/>
      <c r="MXP21" s="414"/>
      <c r="MXQ21" s="414"/>
      <c r="MXR21" s="414"/>
      <c r="MXS21" s="414"/>
      <c r="MXT21" s="414"/>
      <c r="MXU21" s="414"/>
      <c r="MXV21" s="414"/>
      <c r="MXW21" s="414"/>
      <c r="MXX21" s="414"/>
      <c r="MXY21" s="414"/>
      <c r="MXZ21" s="414"/>
      <c r="MYA21" s="414"/>
      <c r="MYB21" s="414"/>
      <c r="MYC21" s="414"/>
      <c r="MYD21" s="414"/>
      <c r="MYE21" s="414"/>
      <c r="MYF21" s="414"/>
      <c r="MYG21" s="414"/>
      <c r="MYH21" s="414"/>
      <c r="MYI21" s="414"/>
      <c r="MYJ21" s="414"/>
      <c r="MYK21" s="414"/>
      <c r="MYL21" s="414"/>
      <c r="MYM21" s="414"/>
      <c r="MYN21" s="414"/>
      <c r="MYO21" s="414"/>
      <c r="MYP21" s="414"/>
      <c r="MYQ21" s="414"/>
      <c r="MYR21" s="414"/>
      <c r="MYS21" s="414"/>
      <c r="MYT21" s="414"/>
      <c r="MYU21" s="414"/>
      <c r="MYV21" s="414"/>
      <c r="MYW21" s="414"/>
      <c r="MYX21" s="414"/>
      <c r="MYY21" s="414"/>
      <c r="MYZ21" s="414"/>
      <c r="MZA21" s="414"/>
      <c r="MZB21" s="414"/>
      <c r="MZC21" s="414"/>
      <c r="MZD21" s="414"/>
      <c r="MZE21" s="414"/>
      <c r="MZF21" s="414"/>
      <c r="MZG21" s="414"/>
      <c r="MZH21" s="414"/>
      <c r="MZI21" s="414"/>
      <c r="MZJ21" s="414"/>
      <c r="MZK21" s="414"/>
      <c r="MZL21" s="414"/>
      <c r="MZM21" s="414"/>
      <c r="MZN21" s="414"/>
      <c r="MZO21" s="414"/>
      <c r="MZP21" s="414"/>
      <c r="MZQ21" s="414"/>
      <c r="MZR21" s="414"/>
      <c r="MZS21" s="414"/>
      <c r="MZT21" s="414"/>
      <c r="MZU21" s="414"/>
      <c r="MZV21" s="414"/>
      <c r="MZW21" s="414"/>
      <c r="MZX21" s="414"/>
      <c r="MZY21" s="414"/>
      <c r="MZZ21" s="414"/>
      <c r="NAA21" s="414"/>
      <c r="NAB21" s="414"/>
      <c r="NAC21" s="414"/>
      <c r="NAD21" s="414"/>
      <c r="NAE21" s="414"/>
      <c r="NAF21" s="414"/>
      <c r="NAG21" s="414"/>
      <c r="NAH21" s="414"/>
      <c r="NAI21" s="414"/>
      <c r="NAJ21" s="414"/>
      <c r="NAK21" s="414"/>
      <c r="NAL21" s="414"/>
      <c r="NAM21" s="414"/>
      <c r="NAN21" s="414"/>
      <c r="NAO21" s="414"/>
      <c r="NAP21" s="414"/>
      <c r="NAQ21" s="414"/>
      <c r="NAR21" s="414"/>
      <c r="NAS21" s="414"/>
      <c r="NAT21" s="414"/>
      <c r="NAU21" s="414"/>
      <c r="NAV21" s="414"/>
      <c r="NAW21" s="414"/>
      <c r="NAX21" s="414"/>
      <c r="NAY21" s="414"/>
      <c r="NAZ21" s="414"/>
      <c r="NBA21" s="414"/>
      <c r="NBB21" s="414"/>
      <c r="NBC21" s="414"/>
      <c r="NBD21" s="414"/>
      <c r="NBE21" s="414"/>
      <c r="NBF21" s="414"/>
      <c r="NBG21" s="414"/>
      <c r="NBH21" s="414"/>
      <c r="NBI21" s="414"/>
      <c r="NBJ21" s="414"/>
      <c r="NBK21" s="414"/>
      <c r="NBL21" s="414"/>
      <c r="NBM21" s="414"/>
      <c r="NBN21" s="414"/>
      <c r="NBO21" s="414"/>
      <c r="NBP21" s="414"/>
      <c r="NBQ21" s="414"/>
      <c r="NBR21" s="414"/>
      <c r="NBS21" s="414"/>
      <c r="NBT21" s="414"/>
      <c r="NBU21" s="414"/>
      <c r="NBV21" s="414"/>
      <c r="NBW21" s="414"/>
      <c r="NBX21" s="414"/>
      <c r="NBY21" s="414"/>
      <c r="NBZ21" s="414"/>
      <c r="NCA21" s="414"/>
      <c r="NCB21" s="414"/>
      <c r="NCC21" s="414"/>
      <c r="NCD21" s="414"/>
      <c r="NCE21" s="414"/>
      <c r="NCF21" s="414"/>
      <c r="NCG21" s="414"/>
      <c r="NCH21" s="414"/>
      <c r="NCI21" s="414"/>
      <c r="NCJ21" s="414"/>
      <c r="NCK21" s="414"/>
      <c r="NCL21" s="414"/>
      <c r="NCM21" s="414"/>
      <c r="NCN21" s="414"/>
      <c r="NCO21" s="414"/>
      <c r="NCP21" s="414"/>
      <c r="NCQ21" s="414"/>
      <c r="NCR21" s="414"/>
      <c r="NCS21" s="414"/>
      <c r="NCT21" s="414"/>
      <c r="NCU21" s="414"/>
      <c r="NCV21" s="414"/>
      <c r="NCW21" s="414"/>
      <c r="NCX21" s="414"/>
      <c r="NCY21" s="414"/>
      <c r="NCZ21" s="414"/>
      <c r="NDA21" s="414"/>
      <c r="NDB21" s="414"/>
      <c r="NDC21" s="414"/>
      <c r="NDD21" s="414"/>
      <c r="NDE21" s="414"/>
      <c r="NDF21" s="414"/>
      <c r="NDG21" s="414"/>
      <c r="NDH21" s="414"/>
      <c r="NDI21" s="414"/>
      <c r="NDJ21" s="414"/>
      <c r="NDK21" s="414"/>
      <c r="NDL21" s="414"/>
      <c r="NDM21" s="414"/>
      <c r="NDN21" s="414"/>
      <c r="NDO21" s="414"/>
      <c r="NDP21" s="414"/>
      <c r="NDQ21" s="414"/>
      <c r="NDR21" s="414"/>
      <c r="NDS21" s="414"/>
      <c r="NDT21" s="414"/>
      <c r="NDU21" s="414"/>
      <c r="NDV21" s="414"/>
      <c r="NDW21" s="414"/>
      <c r="NDX21" s="414"/>
      <c r="NDY21" s="414"/>
      <c r="NDZ21" s="414"/>
      <c r="NEA21" s="414"/>
      <c r="NEB21" s="414"/>
      <c r="NEC21" s="414"/>
      <c r="NED21" s="414"/>
      <c r="NEE21" s="414"/>
      <c r="NEF21" s="414"/>
      <c r="NEG21" s="414"/>
      <c r="NEH21" s="414"/>
      <c r="NEI21" s="414"/>
      <c r="NEJ21" s="414"/>
      <c r="NEK21" s="414"/>
      <c r="NEL21" s="414"/>
      <c r="NEM21" s="414"/>
      <c r="NEN21" s="414"/>
      <c r="NEO21" s="414"/>
      <c r="NEP21" s="414"/>
      <c r="NEQ21" s="414"/>
      <c r="NER21" s="414"/>
      <c r="NES21" s="414"/>
      <c r="NET21" s="414"/>
      <c r="NEU21" s="414"/>
      <c r="NEV21" s="414"/>
      <c r="NEW21" s="414"/>
      <c r="NEX21" s="414"/>
      <c r="NEY21" s="414"/>
      <c r="NEZ21" s="414"/>
      <c r="NFA21" s="414"/>
      <c r="NFB21" s="414"/>
      <c r="NFC21" s="414"/>
      <c r="NFD21" s="414"/>
      <c r="NFE21" s="414"/>
      <c r="NFF21" s="414"/>
      <c r="NFG21" s="414"/>
      <c r="NFH21" s="414"/>
      <c r="NFI21" s="414"/>
      <c r="NFJ21" s="414"/>
      <c r="NFK21" s="414"/>
      <c r="NFL21" s="414"/>
      <c r="NFM21" s="414"/>
      <c r="NFN21" s="414"/>
      <c r="NFO21" s="414"/>
      <c r="NFP21" s="414"/>
      <c r="NFQ21" s="414"/>
      <c r="NFR21" s="414"/>
      <c r="NFS21" s="414"/>
      <c r="NFT21" s="414"/>
      <c r="NFU21" s="414"/>
      <c r="NFV21" s="414"/>
      <c r="NFW21" s="414"/>
      <c r="NFX21" s="414"/>
      <c r="NFY21" s="414"/>
      <c r="NFZ21" s="414"/>
      <c r="NGA21" s="414"/>
      <c r="NGB21" s="414"/>
      <c r="NGC21" s="414"/>
      <c r="NGD21" s="414"/>
      <c r="NGE21" s="414"/>
      <c r="NGF21" s="414"/>
      <c r="NGG21" s="414"/>
      <c r="NGH21" s="414"/>
      <c r="NGI21" s="414"/>
      <c r="NGJ21" s="414"/>
      <c r="NGK21" s="414"/>
      <c r="NGL21" s="414"/>
      <c r="NGM21" s="414"/>
      <c r="NGN21" s="414"/>
      <c r="NGO21" s="414"/>
      <c r="NGP21" s="414"/>
      <c r="NGQ21" s="414"/>
      <c r="NGR21" s="414"/>
      <c r="NGS21" s="414"/>
      <c r="NGT21" s="414"/>
      <c r="NGU21" s="414"/>
      <c r="NGV21" s="414"/>
      <c r="NGW21" s="414"/>
      <c r="NGX21" s="414"/>
      <c r="NGY21" s="414"/>
      <c r="NGZ21" s="414"/>
      <c r="NHA21" s="414"/>
      <c r="NHB21" s="414"/>
      <c r="NHC21" s="414"/>
      <c r="NHD21" s="414"/>
      <c r="NHE21" s="414"/>
      <c r="NHF21" s="414"/>
      <c r="NHG21" s="414"/>
      <c r="NHH21" s="414"/>
      <c r="NHI21" s="414"/>
      <c r="NHJ21" s="414"/>
      <c r="NHK21" s="414"/>
      <c r="NHL21" s="414"/>
      <c r="NHM21" s="414"/>
      <c r="NHN21" s="414"/>
      <c r="NHO21" s="414"/>
      <c r="NHP21" s="414"/>
      <c r="NHQ21" s="414"/>
      <c r="NHR21" s="414"/>
      <c r="NHS21" s="414"/>
      <c r="NHT21" s="414"/>
      <c r="NHU21" s="414"/>
      <c r="NHV21" s="414"/>
      <c r="NHW21" s="414"/>
      <c r="NHX21" s="414"/>
      <c r="NHY21" s="414"/>
      <c r="NHZ21" s="414"/>
      <c r="NIA21" s="414"/>
      <c r="NIB21" s="414"/>
      <c r="NIC21" s="414"/>
      <c r="NID21" s="414"/>
      <c r="NIE21" s="414"/>
      <c r="NIF21" s="414"/>
      <c r="NIG21" s="414"/>
      <c r="NIH21" s="414"/>
      <c r="NII21" s="414"/>
      <c r="NIJ21" s="414"/>
      <c r="NIK21" s="414"/>
      <c r="NIL21" s="414"/>
      <c r="NIM21" s="414"/>
      <c r="NIN21" s="414"/>
      <c r="NIO21" s="414"/>
      <c r="NIP21" s="414"/>
      <c r="NIQ21" s="414"/>
      <c r="NIR21" s="414"/>
      <c r="NIS21" s="414"/>
      <c r="NIT21" s="414"/>
      <c r="NIU21" s="414"/>
      <c r="NIV21" s="414"/>
      <c r="NIW21" s="414"/>
      <c r="NIX21" s="414"/>
      <c r="NIY21" s="414"/>
      <c r="NIZ21" s="414"/>
      <c r="NJA21" s="414"/>
      <c r="NJB21" s="414"/>
      <c r="NJC21" s="414"/>
      <c r="NJD21" s="414"/>
      <c r="NJE21" s="414"/>
      <c r="NJF21" s="414"/>
      <c r="NJG21" s="414"/>
      <c r="NJH21" s="414"/>
      <c r="NJI21" s="414"/>
      <c r="NJJ21" s="414"/>
      <c r="NJK21" s="414"/>
      <c r="NJL21" s="414"/>
      <c r="NJM21" s="414"/>
      <c r="NJN21" s="414"/>
      <c r="NJO21" s="414"/>
      <c r="NJP21" s="414"/>
      <c r="NJQ21" s="414"/>
      <c r="NJR21" s="414"/>
      <c r="NJS21" s="414"/>
      <c r="NJT21" s="414"/>
      <c r="NJU21" s="414"/>
      <c r="NJV21" s="414"/>
      <c r="NJW21" s="414"/>
      <c r="NJX21" s="414"/>
      <c r="NJY21" s="414"/>
      <c r="NJZ21" s="414"/>
      <c r="NKA21" s="414"/>
      <c r="NKB21" s="414"/>
      <c r="NKC21" s="414"/>
      <c r="NKD21" s="414"/>
      <c r="NKE21" s="414"/>
      <c r="NKF21" s="414"/>
      <c r="NKG21" s="414"/>
      <c r="NKH21" s="414"/>
      <c r="NKI21" s="414"/>
      <c r="NKJ21" s="414"/>
      <c r="NKK21" s="414"/>
      <c r="NKL21" s="414"/>
      <c r="NKM21" s="414"/>
      <c r="NKN21" s="414"/>
      <c r="NKO21" s="414"/>
      <c r="NKP21" s="414"/>
      <c r="NKQ21" s="414"/>
      <c r="NKR21" s="414"/>
      <c r="NKS21" s="414"/>
      <c r="NKT21" s="414"/>
      <c r="NKU21" s="414"/>
      <c r="NKV21" s="414"/>
      <c r="NKW21" s="414"/>
      <c r="NKX21" s="414"/>
      <c r="NKY21" s="414"/>
      <c r="NKZ21" s="414"/>
      <c r="NLA21" s="414"/>
      <c r="NLB21" s="414"/>
      <c r="NLC21" s="414"/>
      <c r="NLD21" s="414"/>
      <c r="NLE21" s="414"/>
      <c r="NLF21" s="414"/>
      <c r="NLG21" s="414"/>
      <c r="NLH21" s="414"/>
      <c r="NLI21" s="414"/>
      <c r="NLJ21" s="414"/>
      <c r="NLK21" s="414"/>
      <c r="NLL21" s="414"/>
      <c r="NLM21" s="414"/>
      <c r="NLN21" s="414"/>
      <c r="NLO21" s="414"/>
      <c r="NLP21" s="414"/>
      <c r="NLQ21" s="414"/>
      <c r="NLR21" s="414"/>
      <c r="NLS21" s="414"/>
      <c r="NLT21" s="414"/>
      <c r="NLU21" s="414"/>
      <c r="NLV21" s="414"/>
      <c r="NLW21" s="414"/>
      <c r="NLX21" s="414"/>
      <c r="NLY21" s="414"/>
      <c r="NLZ21" s="414"/>
      <c r="NMA21" s="414"/>
      <c r="NMB21" s="414"/>
      <c r="NMC21" s="414"/>
      <c r="NMD21" s="414"/>
      <c r="NME21" s="414"/>
      <c r="NMF21" s="414"/>
      <c r="NMG21" s="414"/>
      <c r="NMH21" s="414"/>
      <c r="NMI21" s="414"/>
      <c r="NMJ21" s="414"/>
      <c r="NMK21" s="414"/>
      <c r="NML21" s="414"/>
      <c r="NMM21" s="414"/>
      <c r="NMN21" s="414"/>
      <c r="NMO21" s="414"/>
      <c r="NMP21" s="414"/>
      <c r="NMQ21" s="414"/>
      <c r="NMR21" s="414"/>
      <c r="NMS21" s="414"/>
      <c r="NMT21" s="414"/>
      <c r="NMU21" s="414"/>
      <c r="NMV21" s="414"/>
      <c r="NMW21" s="414"/>
      <c r="NMX21" s="414"/>
      <c r="NMY21" s="414"/>
      <c r="NMZ21" s="414"/>
      <c r="NNA21" s="414"/>
      <c r="NNB21" s="414"/>
      <c r="NNC21" s="414"/>
      <c r="NND21" s="414"/>
      <c r="NNE21" s="414"/>
      <c r="NNF21" s="414"/>
      <c r="NNG21" s="414"/>
      <c r="NNH21" s="414"/>
      <c r="NNI21" s="414"/>
      <c r="NNJ21" s="414"/>
      <c r="NNK21" s="414"/>
      <c r="NNL21" s="414"/>
      <c r="NNM21" s="414"/>
      <c r="NNN21" s="414"/>
      <c r="NNO21" s="414"/>
      <c r="NNP21" s="414"/>
      <c r="NNQ21" s="414"/>
      <c r="NNR21" s="414"/>
      <c r="NNS21" s="414"/>
      <c r="NNT21" s="414"/>
      <c r="NNU21" s="414"/>
      <c r="NNV21" s="414"/>
      <c r="NNW21" s="414"/>
      <c r="NNX21" s="414"/>
      <c r="NNY21" s="414"/>
      <c r="NNZ21" s="414"/>
      <c r="NOA21" s="414"/>
      <c r="NOB21" s="414"/>
      <c r="NOC21" s="414"/>
      <c r="NOD21" s="414"/>
      <c r="NOE21" s="414"/>
      <c r="NOF21" s="414"/>
      <c r="NOG21" s="414"/>
      <c r="NOH21" s="414"/>
      <c r="NOI21" s="414"/>
      <c r="NOJ21" s="414"/>
      <c r="NOK21" s="414"/>
      <c r="NOL21" s="414"/>
      <c r="NOM21" s="414"/>
      <c r="NON21" s="414"/>
      <c r="NOO21" s="414"/>
      <c r="NOP21" s="414"/>
      <c r="NOQ21" s="414"/>
      <c r="NOR21" s="414"/>
      <c r="NOS21" s="414"/>
      <c r="NOT21" s="414"/>
      <c r="NOU21" s="414"/>
      <c r="NOV21" s="414"/>
      <c r="NOW21" s="414"/>
      <c r="NOX21" s="414"/>
      <c r="NOY21" s="414"/>
      <c r="NOZ21" s="414"/>
      <c r="NPA21" s="414"/>
      <c r="NPB21" s="414"/>
      <c r="NPC21" s="414"/>
      <c r="NPD21" s="414"/>
      <c r="NPE21" s="414"/>
      <c r="NPF21" s="414"/>
      <c r="NPG21" s="414"/>
      <c r="NPH21" s="414"/>
      <c r="NPI21" s="414"/>
      <c r="NPJ21" s="414"/>
      <c r="NPK21" s="414"/>
      <c r="NPL21" s="414"/>
      <c r="NPM21" s="414"/>
      <c r="NPN21" s="414"/>
      <c r="NPO21" s="414"/>
      <c r="NPP21" s="414"/>
      <c r="NPQ21" s="414"/>
      <c r="NPR21" s="414"/>
      <c r="NPS21" s="414"/>
      <c r="NPT21" s="414"/>
      <c r="NPU21" s="414"/>
      <c r="NPV21" s="414"/>
      <c r="NPW21" s="414"/>
      <c r="NPX21" s="414"/>
      <c r="NPY21" s="414"/>
      <c r="NPZ21" s="414"/>
      <c r="NQA21" s="414"/>
      <c r="NQB21" s="414"/>
      <c r="NQC21" s="414"/>
      <c r="NQD21" s="414"/>
      <c r="NQE21" s="414"/>
      <c r="NQF21" s="414"/>
      <c r="NQG21" s="414"/>
      <c r="NQH21" s="414"/>
      <c r="NQI21" s="414"/>
      <c r="NQJ21" s="414"/>
      <c r="NQK21" s="414"/>
      <c r="NQL21" s="414"/>
      <c r="NQM21" s="414"/>
      <c r="NQN21" s="414"/>
      <c r="NQO21" s="414"/>
      <c r="NQP21" s="414"/>
      <c r="NQQ21" s="414"/>
      <c r="NQR21" s="414"/>
      <c r="NQS21" s="414"/>
      <c r="NQT21" s="414"/>
      <c r="NQU21" s="414"/>
      <c r="NQV21" s="414"/>
      <c r="NQW21" s="414"/>
      <c r="NQX21" s="414"/>
      <c r="NQY21" s="414"/>
      <c r="NQZ21" s="414"/>
      <c r="NRA21" s="414"/>
      <c r="NRB21" s="414"/>
      <c r="NRC21" s="414"/>
      <c r="NRD21" s="414"/>
      <c r="NRE21" s="414"/>
      <c r="NRF21" s="414"/>
      <c r="NRG21" s="414"/>
      <c r="NRH21" s="414"/>
      <c r="NRI21" s="414"/>
      <c r="NRJ21" s="414"/>
      <c r="NRK21" s="414"/>
      <c r="NRL21" s="414"/>
      <c r="NRM21" s="414"/>
      <c r="NRN21" s="414"/>
      <c r="NRO21" s="414"/>
      <c r="NRP21" s="414"/>
      <c r="NRQ21" s="414"/>
      <c r="NRR21" s="414"/>
      <c r="NRS21" s="414"/>
      <c r="NRT21" s="414"/>
      <c r="NRU21" s="414"/>
      <c r="NRV21" s="414"/>
      <c r="NRW21" s="414"/>
      <c r="NRX21" s="414"/>
      <c r="NRY21" s="414"/>
      <c r="NRZ21" s="414"/>
      <c r="NSA21" s="414"/>
      <c r="NSB21" s="414"/>
      <c r="NSC21" s="414"/>
      <c r="NSD21" s="414"/>
      <c r="NSE21" s="414"/>
      <c r="NSF21" s="414"/>
      <c r="NSG21" s="414"/>
      <c r="NSH21" s="414"/>
      <c r="NSI21" s="414"/>
      <c r="NSJ21" s="414"/>
      <c r="NSK21" s="414"/>
      <c r="NSL21" s="414"/>
      <c r="NSM21" s="414"/>
      <c r="NSN21" s="414"/>
      <c r="NSO21" s="414"/>
      <c r="NSP21" s="414"/>
      <c r="NSQ21" s="414"/>
      <c r="NSR21" s="414"/>
      <c r="NSS21" s="414"/>
      <c r="NST21" s="414"/>
      <c r="NSU21" s="414"/>
      <c r="NSV21" s="414"/>
      <c r="NSW21" s="414"/>
      <c r="NSX21" s="414"/>
      <c r="NSY21" s="414"/>
      <c r="NSZ21" s="414"/>
      <c r="NTA21" s="414"/>
      <c r="NTB21" s="414"/>
      <c r="NTC21" s="414"/>
      <c r="NTD21" s="414"/>
      <c r="NTE21" s="414"/>
      <c r="NTF21" s="414"/>
      <c r="NTG21" s="414"/>
      <c r="NTH21" s="414"/>
      <c r="NTI21" s="414"/>
      <c r="NTJ21" s="414"/>
      <c r="NTK21" s="414"/>
      <c r="NTL21" s="414"/>
      <c r="NTM21" s="414"/>
      <c r="NTN21" s="414"/>
      <c r="NTO21" s="414"/>
      <c r="NTP21" s="414"/>
      <c r="NTQ21" s="414"/>
      <c r="NTR21" s="414"/>
      <c r="NTS21" s="414"/>
      <c r="NTT21" s="414"/>
      <c r="NTU21" s="414"/>
      <c r="NTV21" s="414"/>
      <c r="NTW21" s="414"/>
      <c r="NTX21" s="414"/>
      <c r="NTY21" s="414"/>
      <c r="NTZ21" s="414"/>
      <c r="NUA21" s="414"/>
      <c r="NUB21" s="414"/>
      <c r="NUC21" s="414"/>
      <c r="NUD21" s="414"/>
      <c r="NUE21" s="414"/>
      <c r="NUF21" s="414"/>
      <c r="NUG21" s="414"/>
      <c r="NUH21" s="414"/>
      <c r="NUI21" s="414"/>
      <c r="NUJ21" s="414"/>
      <c r="NUK21" s="414"/>
      <c r="NUL21" s="414"/>
      <c r="NUM21" s="414"/>
      <c r="NUN21" s="414"/>
      <c r="NUO21" s="414"/>
      <c r="NUP21" s="414"/>
      <c r="NUQ21" s="414"/>
      <c r="NUR21" s="414"/>
      <c r="NUS21" s="414"/>
      <c r="NUT21" s="414"/>
      <c r="NUU21" s="414"/>
      <c r="NUV21" s="414"/>
      <c r="NUW21" s="414"/>
      <c r="NUX21" s="414"/>
      <c r="NUY21" s="414"/>
      <c r="NUZ21" s="414"/>
      <c r="NVA21" s="414"/>
      <c r="NVB21" s="414"/>
      <c r="NVC21" s="414"/>
      <c r="NVD21" s="414"/>
      <c r="NVE21" s="414"/>
      <c r="NVF21" s="414"/>
      <c r="NVG21" s="414"/>
      <c r="NVH21" s="414"/>
      <c r="NVI21" s="414"/>
      <c r="NVJ21" s="414"/>
      <c r="NVK21" s="414"/>
      <c r="NVL21" s="414"/>
      <c r="NVM21" s="414"/>
      <c r="NVN21" s="414"/>
      <c r="NVO21" s="414"/>
      <c r="NVP21" s="414"/>
      <c r="NVQ21" s="414"/>
      <c r="NVR21" s="414"/>
      <c r="NVS21" s="414"/>
      <c r="NVT21" s="414"/>
      <c r="NVU21" s="414"/>
      <c r="NVV21" s="414"/>
      <c r="NVW21" s="414"/>
      <c r="NVX21" s="414"/>
      <c r="NVY21" s="414"/>
      <c r="NVZ21" s="414"/>
      <c r="NWA21" s="414"/>
      <c r="NWB21" s="414"/>
      <c r="NWC21" s="414"/>
      <c r="NWD21" s="414"/>
      <c r="NWE21" s="414"/>
      <c r="NWF21" s="414"/>
      <c r="NWG21" s="414"/>
      <c r="NWH21" s="414"/>
      <c r="NWI21" s="414"/>
      <c r="NWJ21" s="414"/>
      <c r="NWK21" s="414"/>
      <c r="NWL21" s="414"/>
      <c r="NWM21" s="414"/>
      <c r="NWN21" s="414"/>
      <c r="NWO21" s="414"/>
      <c r="NWP21" s="414"/>
      <c r="NWQ21" s="414"/>
      <c r="NWR21" s="414"/>
      <c r="NWS21" s="414"/>
      <c r="NWT21" s="414"/>
      <c r="NWU21" s="414"/>
      <c r="NWV21" s="414"/>
      <c r="NWW21" s="414"/>
      <c r="NWX21" s="414"/>
      <c r="NWY21" s="414"/>
      <c r="NWZ21" s="414"/>
      <c r="NXA21" s="414"/>
      <c r="NXB21" s="414"/>
      <c r="NXC21" s="414"/>
      <c r="NXD21" s="414"/>
      <c r="NXE21" s="414"/>
      <c r="NXF21" s="414"/>
      <c r="NXG21" s="414"/>
      <c r="NXH21" s="414"/>
      <c r="NXI21" s="414"/>
      <c r="NXJ21" s="414"/>
      <c r="NXK21" s="414"/>
      <c r="NXL21" s="414"/>
      <c r="NXM21" s="414"/>
      <c r="NXN21" s="414"/>
      <c r="NXO21" s="414"/>
      <c r="NXP21" s="414"/>
      <c r="NXQ21" s="414"/>
      <c r="NXR21" s="414"/>
      <c r="NXS21" s="414"/>
      <c r="NXT21" s="414"/>
      <c r="NXU21" s="414"/>
      <c r="NXV21" s="414"/>
      <c r="NXW21" s="414"/>
      <c r="NXX21" s="414"/>
      <c r="NXY21" s="414"/>
      <c r="NXZ21" s="414"/>
      <c r="NYA21" s="414"/>
      <c r="NYB21" s="414"/>
      <c r="NYC21" s="414"/>
      <c r="NYD21" s="414"/>
      <c r="NYE21" s="414"/>
      <c r="NYF21" s="414"/>
      <c r="NYG21" s="414"/>
      <c r="NYH21" s="414"/>
      <c r="NYI21" s="414"/>
      <c r="NYJ21" s="414"/>
      <c r="NYK21" s="414"/>
      <c r="NYL21" s="414"/>
      <c r="NYM21" s="414"/>
      <c r="NYN21" s="414"/>
      <c r="NYO21" s="414"/>
      <c r="NYP21" s="414"/>
      <c r="NYQ21" s="414"/>
      <c r="NYR21" s="414"/>
      <c r="NYS21" s="414"/>
      <c r="NYT21" s="414"/>
      <c r="NYU21" s="414"/>
      <c r="NYV21" s="414"/>
      <c r="NYW21" s="414"/>
      <c r="NYX21" s="414"/>
      <c r="NYY21" s="414"/>
      <c r="NYZ21" s="414"/>
      <c r="NZA21" s="414"/>
      <c r="NZB21" s="414"/>
      <c r="NZC21" s="414"/>
      <c r="NZD21" s="414"/>
      <c r="NZE21" s="414"/>
      <c r="NZF21" s="414"/>
      <c r="NZG21" s="414"/>
      <c r="NZH21" s="414"/>
      <c r="NZI21" s="414"/>
      <c r="NZJ21" s="414"/>
      <c r="NZK21" s="414"/>
      <c r="NZL21" s="414"/>
      <c r="NZM21" s="414"/>
      <c r="NZN21" s="414"/>
      <c r="NZO21" s="414"/>
      <c r="NZP21" s="414"/>
      <c r="NZQ21" s="414"/>
      <c r="NZR21" s="414"/>
      <c r="NZS21" s="414"/>
      <c r="NZT21" s="414"/>
      <c r="NZU21" s="414"/>
      <c r="NZV21" s="414"/>
      <c r="NZW21" s="414"/>
      <c r="NZX21" s="414"/>
      <c r="NZY21" s="414"/>
      <c r="NZZ21" s="414"/>
      <c r="OAA21" s="414"/>
      <c r="OAB21" s="414"/>
      <c r="OAC21" s="414"/>
      <c r="OAD21" s="414"/>
      <c r="OAE21" s="414"/>
      <c r="OAF21" s="414"/>
      <c r="OAG21" s="414"/>
      <c r="OAH21" s="414"/>
      <c r="OAI21" s="414"/>
      <c r="OAJ21" s="414"/>
      <c r="OAK21" s="414"/>
      <c r="OAL21" s="414"/>
      <c r="OAM21" s="414"/>
      <c r="OAN21" s="414"/>
      <c r="OAO21" s="414"/>
      <c r="OAP21" s="414"/>
      <c r="OAQ21" s="414"/>
      <c r="OAR21" s="414"/>
      <c r="OAS21" s="414"/>
      <c r="OAT21" s="414"/>
      <c r="OAU21" s="414"/>
      <c r="OAV21" s="414"/>
      <c r="OAW21" s="414"/>
      <c r="OAX21" s="414"/>
      <c r="OAY21" s="414"/>
      <c r="OAZ21" s="414"/>
      <c r="OBA21" s="414"/>
      <c r="OBB21" s="414"/>
      <c r="OBC21" s="414"/>
      <c r="OBD21" s="414"/>
      <c r="OBE21" s="414"/>
      <c r="OBF21" s="414"/>
      <c r="OBG21" s="414"/>
      <c r="OBH21" s="414"/>
      <c r="OBI21" s="414"/>
      <c r="OBJ21" s="414"/>
      <c r="OBK21" s="414"/>
      <c r="OBL21" s="414"/>
      <c r="OBM21" s="414"/>
      <c r="OBN21" s="414"/>
      <c r="OBO21" s="414"/>
      <c r="OBP21" s="414"/>
      <c r="OBQ21" s="414"/>
      <c r="OBR21" s="414"/>
      <c r="OBS21" s="414"/>
      <c r="OBT21" s="414"/>
      <c r="OBU21" s="414"/>
      <c r="OBV21" s="414"/>
      <c r="OBW21" s="414"/>
      <c r="OBX21" s="414"/>
      <c r="OBY21" s="414"/>
      <c r="OBZ21" s="414"/>
      <c r="OCA21" s="414"/>
      <c r="OCB21" s="414"/>
      <c r="OCC21" s="414"/>
      <c r="OCD21" s="414"/>
      <c r="OCE21" s="414"/>
      <c r="OCF21" s="414"/>
      <c r="OCG21" s="414"/>
      <c r="OCH21" s="414"/>
      <c r="OCI21" s="414"/>
      <c r="OCJ21" s="414"/>
      <c r="OCK21" s="414"/>
      <c r="OCL21" s="414"/>
      <c r="OCM21" s="414"/>
      <c r="OCN21" s="414"/>
      <c r="OCO21" s="414"/>
      <c r="OCP21" s="414"/>
      <c r="OCQ21" s="414"/>
      <c r="OCR21" s="414"/>
      <c r="OCS21" s="414"/>
      <c r="OCT21" s="414"/>
      <c r="OCU21" s="414"/>
      <c r="OCV21" s="414"/>
      <c r="OCW21" s="414"/>
      <c r="OCX21" s="414"/>
      <c r="OCY21" s="414"/>
      <c r="OCZ21" s="414"/>
      <c r="ODA21" s="414"/>
      <c r="ODB21" s="414"/>
      <c r="ODC21" s="414"/>
      <c r="ODD21" s="414"/>
      <c r="ODE21" s="414"/>
      <c r="ODF21" s="414"/>
      <c r="ODG21" s="414"/>
      <c r="ODH21" s="414"/>
      <c r="ODI21" s="414"/>
      <c r="ODJ21" s="414"/>
      <c r="ODK21" s="414"/>
      <c r="ODL21" s="414"/>
      <c r="ODM21" s="414"/>
      <c r="ODN21" s="414"/>
      <c r="ODO21" s="414"/>
      <c r="ODP21" s="414"/>
      <c r="ODQ21" s="414"/>
      <c r="ODR21" s="414"/>
      <c r="ODS21" s="414"/>
      <c r="ODT21" s="414"/>
      <c r="ODU21" s="414"/>
      <c r="ODV21" s="414"/>
      <c r="ODW21" s="414"/>
      <c r="ODX21" s="414"/>
      <c r="ODY21" s="414"/>
      <c r="ODZ21" s="414"/>
      <c r="OEA21" s="414"/>
      <c r="OEB21" s="414"/>
      <c r="OEC21" s="414"/>
      <c r="OED21" s="414"/>
      <c r="OEE21" s="414"/>
      <c r="OEF21" s="414"/>
      <c r="OEG21" s="414"/>
      <c r="OEH21" s="414"/>
      <c r="OEI21" s="414"/>
      <c r="OEJ21" s="414"/>
      <c r="OEK21" s="414"/>
      <c r="OEL21" s="414"/>
      <c r="OEM21" s="414"/>
      <c r="OEN21" s="414"/>
      <c r="OEO21" s="414"/>
      <c r="OEP21" s="414"/>
      <c r="OEQ21" s="414"/>
      <c r="OER21" s="414"/>
      <c r="OES21" s="414"/>
      <c r="OET21" s="414"/>
      <c r="OEU21" s="414"/>
      <c r="OEV21" s="414"/>
      <c r="OEW21" s="414"/>
      <c r="OEX21" s="414"/>
      <c r="OEY21" s="414"/>
      <c r="OEZ21" s="414"/>
      <c r="OFA21" s="414"/>
      <c r="OFB21" s="414"/>
      <c r="OFC21" s="414"/>
      <c r="OFD21" s="414"/>
      <c r="OFE21" s="414"/>
      <c r="OFF21" s="414"/>
      <c r="OFG21" s="414"/>
      <c r="OFH21" s="414"/>
      <c r="OFI21" s="414"/>
      <c r="OFJ21" s="414"/>
      <c r="OFK21" s="414"/>
      <c r="OFL21" s="414"/>
      <c r="OFM21" s="414"/>
      <c r="OFN21" s="414"/>
      <c r="OFO21" s="414"/>
      <c r="OFP21" s="414"/>
      <c r="OFQ21" s="414"/>
      <c r="OFR21" s="414"/>
      <c r="OFS21" s="414"/>
      <c r="OFT21" s="414"/>
      <c r="OFU21" s="414"/>
      <c r="OFV21" s="414"/>
      <c r="OFW21" s="414"/>
      <c r="OFX21" s="414"/>
      <c r="OFY21" s="414"/>
      <c r="OFZ21" s="414"/>
      <c r="OGA21" s="414"/>
      <c r="OGB21" s="414"/>
      <c r="OGC21" s="414"/>
      <c r="OGD21" s="414"/>
      <c r="OGE21" s="414"/>
      <c r="OGF21" s="414"/>
      <c r="OGG21" s="414"/>
      <c r="OGH21" s="414"/>
      <c r="OGI21" s="414"/>
      <c r="OGJ21" s="414"/>
      <c r="OGK21" s="414"/>
      <c r="OGL21" s="414"/>
      <c r="OGM21" s="414"/>
      <c r="OGN21" s="414"/>
      <c r="OGO21" s="414"/>
      <c r="OGP21" s="414"/>
      <c r="OGQ21" s="414"/>
      <c r="OGR21" s="414"/>
      <c r="OGS21" s="414"/>
      <c r="OGT21" s="414"/>
      <c r="OGU21" s="414"/>
      <c r="OGV21" s="414"/>
      <c r="OGW21" s="414"/>
      <c r="OGX21" s="414"/>
      <c r="OGY21" s="414"/>
      <c r="OGZ21" s="414"/>
      <c r="OHA21" s="414"/>
      <c r="OHB21" s="414"/>
      <c r="OHC21" s="414"/>
      <c r="OHD21" s="414"/>
      <c r="OHE21" s="414"/>
      <c r="OHF21" s="414"/>
      <c r="OHG21" s="414"/>
      <c r="OHH21" s="414"/>
      <c r="OHI21" s="414"/>
      <c r="OHJ21" s="414"/>
      <c r="OHK21" s="414"/>
      <c r="OHL21" s="414"/>
      <c r="OHM21" s="414"/>
      <c r="OHN21" s="414"/>
      <c r="OHO21" s="414"/>
      <c r="OHP21" s="414"/>
      <c r="OHQ21" s="414"/>
      <c r="OHR21" s="414"/>
      <c r="OHS21" s="414"/>
      <c r="OHT21" s="414"/>
      <c r="OHU21" s="414"/>
      <c r="OHV21" s="414"/>
      <c r="OHW21" s="414"/>
      <c r="OHX21" s="414"/>
      <c r="OHY21" s="414"/>
      <c r="OHZ21" s="414"/>
      <c r="OIA21" s="414"/>
      <c r="OIB21" s="414"/>
      <c r="OIC21" s="414"/>
      <c r="OID21" s="414"/>
      <c r="OIE21" s="414"/>
      <c r="OIF21" s="414"/>
      <c r="OIG21" s="414"/>
      <c r="OIH21" s="414"/>
      <c r="OII21" s="414"/>
      <c r="OIJ21" s="414"/>
      <c r="OIK21" s="414"/>
      <c r="OIL21" s="414"/>
      <c r="OIM21" s="414"/>
      <c r="OIN21" s="414"/>
      <c r="OIO21" s="414"/>
      <c r="OIP21" s="414"/>
      <c r="OIQ21" s="414"/>
      <c r="OIR21" s="414"/>
      <c r="OIS21" s="414"/>
      <c r="OIT21" s="414"/>
      <c r="OIU21" s="414"/>
      <c r="OIV21" s="414"/>
      <c r="OIW21" s="414"/>
      <c r="OIX21" s="414"/>
      <c r="OIY21" s="414"/>
      <c r="OIZ21" s="414"/>
      <c r="OJA21" s="414"/>
      <c r="OJB21" s="414"/>
      <c r="OJC21" s="414"/>
      <c r="OJD21" s="414"/>
      <c r="OJE21" s="414"/>
      <c r="OJF21" s="414"/>
      <c r="OJG21" s="414"/>
      <c r="OJH21" s="414"/>
      <c r="OJI21" s="414"/>
      <c r="OJJ21" s="414"/>
      <c r="OJK21" s="414"/>
      <c r="OJL21" s="414"/>
      <c r="OJM21" s="414"/>
      <c r="OJN21" s="414"/>
      <c r="OJO21" s="414"/>
      <c r="OJP21" s="414"/>
      <c r="OJQ21" s="414"/>
      <c r="OJR21" s="414"/>
      <c r="OJS21" s="414"/>
      <c r="OJT21" s="414"/>
      <c r="OJU21" s="414"/>
      <c r="OJV21" s="414"/>
      <c r="OJW21" s="414"/>
      <c r="OJX21" s="414"/>
      <c r="OJY21" s="414"/>
      <c r="OJZ21" s="414"/>
      <c r="OKA21" s="414"/>
      <c r="OKB21" s="414"/>
      <c r="OKC21" s="414"/>
      <c r="OKD21" s="414"/>
      <c r="OKE21" s="414"/>
      <c r="OKF21" s="414"/>
      <c r="OKG21" s="414"/>
      <c r="OKH21" s="414"/>
      <c r="OKI21" s="414"/>
      <c r="OKJ21" s="414"/>
      <c r="OKK21" s="414"/>
      <c r="OKL21" s="414"/>
      <c r="OKM21" s="414"/>
      <c r="OKN21" s="414"/>
      <c r="OKO21" s="414"/>
      <c r="OKP21" s="414"/>
      <c r="OKQ21" s="414"/>
      <c r="OKR21" s="414"/>
      <c r="OKS21" s="414"/>
      <c r="OKT21" s="414"/>
      <c r="OKU21" s="414"/>
      <c r="OKV21" s="414"/>
      <c r="OKW21" s="414"/>
      <c r="OKX21" s="414"/>
      <c r="OKY21" s="414"/>
      <c r="OKZ21" s="414"/>
      <c r="OLA21" s="414"/>
      <c r="OLB21" s="414"/>
      <c r="OLC21" s="414"/>
      <c r="OLD21" s="414"/>
      <c r="OLE21" s="414"/>
      <c r="OLF21" s="414"/>
      <c r="OLG21" s="414"/>
      <c r="OLH21" s="414"/>
      <c r="OLI21" s="414"/>
      <c r="OLJ21" s="414"/>
      <c r="OLK21" s="414"/>
      <c r="OLL21" s="414"/>
      <c r="OLM21" s="414"/>
      <c r="OLN21" s="414"/>
      <c r="OLO21" s="414"/>
      <c r="OLP21" s="414"/>
      <c r="OLQ21" s="414"/>
      <c r="OLR21" s="414"/>
      <c r="OLS21" s="414"/>
      <c r="OLT21" s="414"/>
      <c r="OLU21" s="414"/>
      <c r="OLV21" s="414"/>
      <c r="OLW21" s="414"/>
      <c r="OLX21" s="414"/>
      <c r="OLY21" s="414"/>
      <c r="OLZ21" s="414"/>
      <c r="OMA21" s="414"/>
      <c r="OMB21" s="414"/>
      <c r="OMC21" s="414"/>
      <c r="OMD21" s="414"/>
      <c r="OME21" s="414"/>
      <c r="OMF21" s="414"/>
      <c r="OMG21" s="414"/>
      <c r="OMH21" s="414"/>
      <c r="OMI21" s="414"/>
      <c r="OMJ21" s="414"/>
      <c r="OMK21" s="414"/>
      <c r="OML21" s="414"/>
      <c r="OMM21" s="414"/>
      <c r="OMN21" s="414"/>
      <c r="OMO21" s="414"/>
      <c r="OMP21" s="414"/>
      <c r="OMQ21" s="414"/>
      <c r="OMR21" s="414"/>
      <c r="OMS21" s="414"/>
      <c r="OMT21" s="414"/>
      <c r="OMU21" s="414"/>
      <c r="OMV21" s="414"/>
      <c r="OMW21" s="414"/>
      <c r="OMX21" s="414"/>
      <c r="OMY21" s="414"/>
      <c r="OMZ21" s="414"/>
      <c r="ONA21" s="414"/>
      <c r="ONB21" s="414"/>
      <c r="ONC21" s="414"/>
      <c r="OND21" s="414"/>
      <c r="ONE21" s="414"/>
      <c r="ONF21" s="414"/>
      <c r="ONG21" s="414"/>
      <c r="ONH21" s="414"/>
      <c r="ONI21" s="414"/>
      <c r="ONJ21" s="414"/>
      <c r="ONK21" s="414"/>
      <c r="ONL21" s="414"/>
      <c r="ONM21" s="414"/>
      <c r="ONN21" s="414"/>
      <c r="ONO21" s="414"/>
      <c r="ONP21" s="414"/>
      <c r="ONQ21" s="414"/>
      <c r="ONR21" s="414"/>
      <c r="ONS21" s="414"/>
      <c r="ONT21" s="414"/>
      <c r="ONU21" s="414"/>
      <c r="ONV21" s="414"/>
      <c r="ONW21" s="414"/>
      <c r="ONX21" s="414"/>
      <c r="ONY21" s="414"/>
      <c r="ONZ21" s="414"/>
      <c r="OOA21" s="414"/>
      <c r="OOB21" s="414"/>
      <c r="OOC21" s="414"/>
      <c r="OOD21" s="414"/>
      <c r="OOE21" s="414"/>
      <c r="OOF21" s="414"/>
      <c r="OOG21" s="414"/>
      <c r="OOH21" s="414"/>
      <c r="OOI21" s="414"/>
      <c r="OOJ21" s="414"/>
      <c r="OOK21" s="414"/>
      <c r="OOL21" s="414"/>
      <c r="OOM21" s="414"/>
      <c r="OON21" s="414"/>
      <c r="OOO21" s="414"/>
      <c r="OOP21" s="414"/>
      <c r="OOQ21" s="414"/>
      <c r="OOR21" s="414"/>
      <c r="OOS21" s="414"/>
      <c r="OOT21" s="414"/>
      <c r="OOU21" s="414"/>
      <c r="OOV21" s="414"/>
      <c r="OOW21" s="414"/>
      <c r="OOX21" s="414"/>
      <c r="OOY21" s="414"/>
      <c r="OOZ21" s="414"/>
      <c r="OPA21" s="414"/>
      <c r="OPB21" s="414"/>
      <c r="OPC21" s="414"/>
      <c r="OPD21" s="414"/>
      <c r="OPE21" s="414"/>
      <c r="OPF21" s="414"/>
      <c r="OPG21" s="414"/>
      <c r="OPH21" s="414"/>
      <c r="OPI21" s="414"/>
      <c r="OPJ21" s="414"/>
      <c r="OPK21" s="414"/>
      <c r="OPL21" s="414"/>
      <c r="OPM21" s="414"/>
      <c r="OPN21" s="414"/>
      <c r="OPO21" s="414"/>
      <c r="OPP21" s="414"/>
      <c r="OPQ21" s="414"/>
      <c r="OPR21" s="414"/>
      <c r="OPS21" s="414"/>
      <c r="OPT21" s="414"/>
      <c r="OPU21" s="414"/>
      <c r="OPV21" s="414"/>
      <c r="OPW21" s="414"/>
      <c r="OPX21" s="414"/>
      <c r="OPY21" s="414"/>
      <c r="OPZ21" s="414"/>
      <c r="OQA21" s="414"/>
      <c r="OQB21" s="414"/>
      <c r="OQC21" s="414"/>
      <c r="OQD21" s="414"/>
      <c r="OQE21" s="414"/>
      <c r="OQF21" s="414"/>
      <c r="OQG21" s="414"/>
      <c r="OQH21" s="414"/>
      <c r="OQI21" s="414"/>
      <c r="OQJ21" s="414"/>
      <c r="OQK21" s="414"/>
      <c r="OQL21" s="414"/>
      <c r="OQM21" s="414"/>
      <c r="OQN21" s="414"/>
      <c r="OQO21" s="414"/>
      <c r="OQP21" s="414"/>
      <c r="OQQ21" s="414"/>
      <c r="OQR21" s="414"/>
      <c r="OQS21" s="414"/>
      <c r="OQT21" s="414"/>
      <c r="OQU21" s="414"/>
      <c r="OQV21" s="414"/>
      <c r="OQW21" s="414"/>
      <c r="OQX21" s="414"/>
      <c r="OQY21" s="414"/>
      <c r="OQZ21" s="414"/>
      <c r="ORA21" s="414"/>
      <c r="ORB21" s="414"/>
      <c r="ORC21" s="414"/>
      <c r="ORD21" s="414"/>
      <c r="ORE21" s="414"/>
      <c r="ORF21" s="414"/>
      <c r="ORG21" s="414"/>
      <c r="ORH21" s="414"/>
      <c r="ORI21" s="414"/>
      <c r="ORJ21" s="414"/>
      <c r="ORK21" s="414"/>
      <c r="ORL21" s="414"/>
      <c r="ORM21" s="414"/>
      <c r="ORN21" s="414"/>
      <c r="ORO21" s="414"/>
      <c r="ORP21" s="414"/>
      <c r="ORQ21" s="414"/>
      <c r="ORR21" s="414"/>
      <c r="ORS21" s="414"/>
      <c r="ORT21" s="414"/>
      <c r="ORU21" s="414"/>
      <c r="ORV21" s="414"/>
      <c r="ORW21" s="414"/>
      <c r="ORX21" s="414"/>
      <c r="ORY21" s="414"/>
      <c r="ORZ21" s="414"/>
      <c r="OSA21" s="414"/>
      <c r="OSB21" s="414"/>
      <c r="OSC21" s="414"/>
      <c r="OSD21" s="414"/>
      <c r="OSE21" s="414"/>
      <c r="OSF21" s="414"/>
      <c r="OSG21" s="414"/>
      <c r="OSH21" s="414"/>
      <c r="OSI21" s="414"/>
      <c r="OSJ21" s="414"/>
      <c r="OSK21" s="414"/>
      <c r="OSL21" s="414"/>
      <c r="OSM21" s="414"/>
      <c r="OSN21" s="414"/>
      <c r="OSO21" s="414"/>
      <c r="OSP21" s="414"/>
      <c r="OSQ21" s="414"/>
      <c r="OSR21" s="414"/>
      <c r="OSS21" s="414"/>
      <c r="OST21" s="414"/>
      <c r="OSU21" s="414"/>
      <c r="OSV21" s="414"/>
      <c r="OSW21" s="414"/>
      <c r="OSX21" s="414"/>
      <c r="OSY21" s="414"/>
      <c r="OSZ21" s="414"/>
      <c r="OTA21" s="414"/>
      <c r="OTB21" s="414"/>
      <c r="OTC21" s="414"/>
      <c r="OTD21" s="414"/>
      <c r="OTE21" s="414"/>
      <c r="OTF21" s="414"/>
      <c r="OTG21" s="414"/>
      <c r="OTH21" s="414"/>
      <c r="OTI21" s="414"/>
      <c r="OTJ21" s="414"/>
      <c r="OTK21" s="414"/>
      <c r="OTL21" s="414"/>
      <c r="OTM21" s="414"/>
      <c r="OTN21" s="414"/>
      <c r="OTO21" s="414"/>
      <c r="OTP21" s="414"/>
      <c r="OTQ21" s="414"/>
      <c r="OTR21" s="414"/>
      <c r="OTS21" s="414"/>
      <c r="OTT21" s="414"/>
      <c r="OTU21" s="414"/>
      <c r="OTV21" s="414"/>
      <c r="OTW21" s="414"/>
      <c r="OTX21" s="414"/>
      <c r="OTY21" s="414"/>
      <c r="OTZ21" s="414"/>
      <c r="OUA21" s="414"/>
      <c r="OUB21" s="414"/>
      <c r="OUC21" s="414"/>
      <c r="OUD21" s="414"/>
      <c r="OUE21" s="414"/>
      <c r="OUF21" s="414"/>
      <c r="OUG21" s="414"/>
      <c r="OUH21" s="414"/>
      <c r="OUI21" s="414"/>
      <c r="OUJ21" s="414"/>
      <c r="OUK21" s="414"/>
      <c r="OUL21" s="414"/>
      <c r="OUM21" s="414"/>
      <c r="OUN21" s="414"/>
      <c r="OUO21" s="414"/>
      <c r="OUP21" s="414"/>
      <c r="OUQ21" s="414"/>
      <c r="OUR21" s="414"/>
      <c r="OUS21" s="414"/>
      <c r="OUT21" s="414"/>
      <c r="OUU21" s="414"/>
      <c r="OUV21" s="414"/>
      <c r="OUW21" s="414"/>
      <c r="OUX21" s="414"/>
      <c r="OUY21" s="414"/>
      <c r="OUZ21" s="414"/>
      <c r="OVA21" s="414"/>
      <c r="OVB21" s="414"/>
      <c r="OVC21" s="414"/>
      <c r="OVD21" s="414"/>
      <c r="OVE21" s="414"/>
      <c r="OVF21" s="414"/>
      <c r="OVG21" s="414"/>
      <c r="OVH21" s="414"/>
      <c r="OVI21" s="414"/>
      <c r="OVJ21" s="414"/>
      <c r="OVK21" s="414"/>
      <c r="OVL21" s="414"/>
      <c r="OVM21" s="414"/>
      <c r="OVN21" s="414"/>
      <c r="OVO21" s="414"/>
      <c r="OVP21" s="414"/>
      <c r="OVQ21" s="414"/>
      <c r="OVR21" s="414"/>
      <c r="OVS21" s="414"/>
      <c r="OVT21" s="414"/>
      <c r="OVU21" s="414"/>
      <c r="OVV21" s="414"/>
      <c r="OVW21" s="414"/>
      <c r="OVX21" s="414"/>
      <c r="OVY21" s="414"/>
      <c r="OVZ21" s="414"/>
      <c r="OWA21" s="414"/>
      <c r="OWB21" s="414"/>
      <c r="OWC21" s="414"/>
      <c r="OWD21" s="414"/>
      <c r="OWE21" s="414"/>
      <c r="OWF21" s="414"/>
      <c r="OWG21" s="414"/>
      <c r="OWH21" s="414"/>
      <c r="OWI21" s="414"/>
      <c r="OWJ21" s="414"/>
      <c r="OWK21" s="414"/>
      <c r="OWL21" s="414"/>
      <c r="OWM21" s="414"/>
      <c r="OWN21" s="414"/>
      <c r="OWO21" s="414"/>
      <c r="OWP21" s="414"/>
      <c r="OWQ21" s="414"/>
      <c r="OWR21" s="414"/>
      <c r="OWS21" s="414"/>
      <c r="OWT21" s="414"/>
      <c r="OWU21" s="414"/>
      <c r="OWV21" s="414"/>
      <c r="OWW21" s="414"/>
      <c r="OWX21" s="414"/>
      <c r="OWY21" s="414"/>
      <c r="OWZ21" s="414"/>
      <c r="OXA21" s="414"/>
      <c r="OXB21" s="414"/>
      <c r="OXC21" s="414"/>
      <c r="OXD21" s="414"/>
      <c r="OXE21" s="414"/>
      <c r="OXF21" s="414"/>
      <c r="OXG21" s="414"/>
      <c r="OXH21" s="414"/>
      <c r="OXI21" s="414"/>
      <c r="OXJ21" s="414"/>
      <c r="OXK21" s="414"/>
      <c r="OXL21" s="414"/>
      <c r="OXM21" s="414"/>
      <c r="OXN21" s="414"/>
      <c r="OXO21" s="414"/>
      <c r="OXP21" s="414"/>
      <c r="OXQ21" s="414"/>
      <c r="OXR21" s="414"/>
      <c r="OXS21" s="414"/>
      <c r="OXT21" s="414"/>
      <c r="OXU21" s="414"/>
      <c r="OXV21" s="414"/>
      <c r="OXW21" s="414"/>
      <c r="OXX21" s="414"/>
      <c r="OXY21" s="414"/>
      <c r="OXZ21" s="414"/>
      <c r="OYA21" s="414"/>
      <c r="OYB21" s="414"/>
      <c r="OYC21" s="414"/>
      <c r="OYD21" s="414"/>
      <c r="OYE21" s="414"/>
      <c r="OYF21" s="414"/>
      <c r="OYG21" s="414"/>
      <c r="OYH21" s="414"/>
      <c r="OYI21" s="414"/>
      <c r="OYJ21" s="414"/>
      <c r="OYK21" s="414"/>
      <c r="OYL21" s="414"/>
      <c r="OYM21" s="414"/>
      <c r="OYN21" s="414"/>
      <c r="OYO21" s="414"/>
      <c r="OYP21" s="414"/>
      <c r="OYQ21" s="414"/>
      <c r="OYR21" s="414"/>
      <c r="OYS21" s="414"/>
      <c r="OYT21" s="414"/>
      <c r="OYU21" s="414"/>
      <c r="OYV21" s="414"/>
      <c r="OYW21" s="414"/>
      <c r="OYX21" s="414"/>
      <c r="OYY21" s="414"/>
      <c r="OYZ21" s="414"/>
      <c r="OZA21" s="414"/>
      <c r="OZB21" s="414"/>
      <c r="OZC21" s="414"/>
      <c r="OZD21" s="414"/>
      <c r="OZE21" s="414"/>
      <c r="OZF21" s="414"/>
      <c r="OZG21" s="414"/>
      <c r="OZH21" s="414"/>
      <c r="OZI21" s="414"/>
      <c r="OZJ21" s="414"/>
      <c r="OZK21" s="414"/>
      <c r="OZL21" s="414"/>
      <c r="OZM21" s="414"/>
      <c r="OZN21" s="414"/>
      <c r="OZO21" s="414"/>
      <c r="OZP21" s="414"/>
      <c r="OZQ21" s="414"/>
      <c r="OZR21" s="414"/>
      <c r="OZS21" s="414"/>
      <c r="OZT21" s="414"/>
      <c r="OZU21" s="414"/>
      <c r="OZV21" s="414"/>
      <c r="OZW21" s="414"/>
      <c r="OZX21" s="414"/>
      <c r="OZY21" s="414"/>
      <c r="OZZ21" s="414"/>
      <c r="PAA21" s="414"/>
      <c r="PAB21" s="414"/>
      <c r="PAC21" s="414"/>
      <c r="PAD21" s="414"/>
      <c r="PAE21" s="414"/>
      <c r="PAF21" s="414"/>
      <c r="PAG21" s="414"/>
      <c r="PAH21" s="414"/>
      <c r="PAI21" s="414"/>
      <c r="PAJ21" s="414"/>
      <c r="PAK21" s="414"/>
      <c r="PAL21" s="414"/>
      <c r="PAM21" s="414"/>
      <c r="PAN21" s="414"/>
      <c r="PAO21" s="414"/>
      <c r="PAP21" s="414"/>
      <c r="PAQ21" s="414"/>
      <c r="PAR21" s="414"/>
      <c r="PAS21" s="414"/>
      <c r="PAT21" s="414"/>
      <c r="PAU21" s="414"/>
      <c r="PAV21" s="414"/>
      <c r="PAW21" s="414"/>
      <c r="PAX21" s="414"/>
      <c r="PAY21" s="414"/>
      <c r="PAZ21" s="414"/>
      <c r="PBA21" s="414"/>
      <c r="PBB21" s="414"/>
      <c r="PBC21" s="414"/>
      <c r="PBD21" s="414"/>
      <c r="PBE21" s="414"/>
      <c r="PBF21" s="414"/>
      <c r="PBG21" s="414"/>
      <c r="PBH21" s="414"/>
      <c r="PBI21" s="414"/>
      <c r="PBJ21" s="414"/>
      <c r="PBK21" s="414"/>
      <c r="PBL21" s="414"/>
      <c r="PBM21" s="414"/>
      <c r="PBN21" s="414"/>
      <c r="PBO21" s="414"/>
      <c r="PBP21" s="414"/>
      <c r="PBQ21" s="414"/>
      <c r="PBR21" s="414"/>
      <c r="PBS21" s="414"/>
      <c r="PBT21" s="414"/>
      <c r="PBU21" s="414"/>
      <c r="PBV21" s="414"/>
      <c r="PBW21" s="414"/>
      <c r="PBX21" s="414"/>
      <c r="PBY21" s="414"/>
      <c r="PBZ21" s="414"/>
      <c r="PCA21" s="414"/>
      <c r="PCB21" s="414"/>
      <c r="PCC21" s="414"/>
      <c r="PCD21" s="414"/>
      <c r="PCE21" s="414"/>
      <c r="PCF21" s="414"/>
      <c r="PCG21" s="414"/>
      <c r="PCH21" s="414"/>
      <c r="PCI21" s="414"/>
      <c r="PCJ21" s="414"/>
      <c r="PCK21" s="414"/>
      <c r="PCL21" s="414"/>
      <c r="PCM21" s="414"/>
      <c r="PCN21" s="414"/>
      <c r="PCO21" s="414"/>
      <c r="PCP21" s="414"/>
      <c r="PCQ21" s="414"/>
      <c r="PCR21" s="414"/>
      <c r="PCS21" s="414"/>
      <c r="PCT21" s="414"/>
      <c r="PCU21" s="414"/>
      <c r="PCV21" s="414"/>
      <c r="PCW21" s="414"/>
      <c r="PCX21" s="414"/>
      <c r="PCY21" s="414"/>
      <c r="PCZ21" s="414"/>
      <c r="PDA21" s="414"/>
      <c r="PDB21" s="414"/>
      <c r="PDC21" s="414"/>
      <c r="PDD21" s="414"/>
      <c r="PDE21" s="414"/>
      <c r="PDF21" s="414"/>
      <c r="PDG21" s="414"/>
      <c r="PDH21" s="414"/>
      <c r="PDI21" s="414"/>
      <c r="PDJ21" s="414"/>
      <c r="PDK21" s="414"/>
      <c r="PDL21" s="414"/>
      <c r="PDM21" s="414"/>
      <c r="PDN21" s="414"/>
      <c r="PDO21" s="414"/>
      <c r="PDP21" s="414"/>
      <c r="PDQ21" s="414"/>
      <c r="PDR21" s="414"/>
      <c r="PDS21" s="414"/>
      <c r="PDT21" s="414"/>
      <c r="PDU21" s="414"/>
      <c r="PDV21" s="414"/>
      <c r="PDW21" s="414"/>
      <c r="PDX21" s="414"/>
      <c r="PDY21" s="414"/>
      <c r="PDZ21" s="414"/>
      <c r="PEA21" s="414"/>
      <c r="PEB21" s="414"/>
      <c r="PEC21" s="414"/>
      <c r="PED21" s="414"/>
      <c r="PEE21" s="414"/>
      <c r="PEF21" s="414"/>
      <c r="PEG21" s="414"/>
      <c r="PEH21" s="414"/>
      <c r="PEI21" s="414"/>
      <c r="PEJ21" s="414"/>
      <c r="PEK21" s="414"/>
      <c r="PEL21" s="414"/>
      <c r="PEM21" s="414"/>
      <c r="PEN21" s="414"/>
      <c r="PEO21" s="414"/>
      <c r="PEP21" s="414"/>
      <c r="PEQ21" s="414"/>
      <c r="PER21" s="414"/>
      <c r="PES21" s="414"/>
      <c r="PET21" s="414"/>
      <c r="PEU21" s="414"/>
      <c r="PEV21" s="414"/>
      <c r="PEW21" s="414"/>
      <c r="PEX21" s="414"/>
      <c r="PEY21" s="414"/>
      <c r="PEZ21" s="414"/>
      <c r="PFA21" s="414"/>
      <c r="PFB21" s="414"/>
      <c r="PFC21" s="414"/>
      <c r="PFD21" s="414"/>
      <c r="PFE21" s="414"/>
      <c r="PFF21" s="414"/>
      <c r="PFG21" s="414"/>
      <c r="PFH21" s="414"/>
      <c r="PFI21" s="414"/>
      <c r="PFJ21" s="414"/>
      <c r="PFK21" s="414"/>
      <c r="PFL21" s="414"/>
      <c r="PFM21" s="414"/>
      <c r="PFN21" s="414"/>
      <c r="PFO21" s="414"/>
      <c r="PFP21" s="414"/>
      <c r="PFQ21" s="414"/>
      <c r="PFR21" s="414"/>
      <c r="PFS21" s="414"/>
      <c r="PFT21" s="414"/>
      <c r="PFU21" s="414"/>
      <c r="PFV21" s="414"/>
      <c r="PFW21" s="414"/>
      <c r="PFX21" s="414"/>
      <c r="PFY21" s="414"/>
      <c r="PFZ21" s="414"/>
      <c r="PGA21" s="414"/>
      <c r="PGB21" s="414"/>
      <c r="PGC21" s="414"/>
      <c r="PGD21" s="414"/>
      <c r="PGE21" s="414"/>
      <c r="PGF21" s="414"/>
      <c r="PGG21" s="414"/>
      <c r="PGH21" s="414"/>
      <c r="PGI21" s="414"/>
      <c r="PGJ21" s="414"/>
      <c r="PGK21" s="414"/>
      <c r="PGL21" s="414"/>
      <c r="PGM21" s="414"/>
      <c r="PGN21" s="414"/>
      <c r="PGO21" s="414"/>
      <c r="PGP21" s="414"/>
      <c r="PGQ21" s="414"/>
      <c r="PGR21" s="414"/>
      <c r="PGS21" s="414"/>
      <c r="PGT21" s="414"/>
      <c r="PGU21" s="414"/>
      <c r="PGV21" s="414"/>
      <c r="PGW21" s="414"/>
      <c r="PGX21" s="414"/>
      <c r="PGY21" s="414"/>
      <c r="PGZ21" s="414"/>
      <c r="PHA21" s="414"/>
      <c r="PHB21" s="414"/>
      <c r="PHC21" s="414"/>
      <c r="PHD21" s="414"/>
      <c r="PHE21" s="414"/>
      <c r="PHF21" s="414"/>
      <c r="PHG21" s="414"/>
      <c r="PHH21" s="414"/>
      <c r="PHI21" s="414"/>
      <c r="PHJ21" s="414"/>
      <c r="PHK21" s="414"/>
      <c r="PHL21" s="414"/>
      <c r="PHM21" s="414"/>
      <c r="PHN21" s="414"/>
      <c r="PHO21" s="414"/>
      <c r="PHP21" s="414"/>
      <c r="PHQ21" s="414"/>
      <c r="PHR21" s="414"/>
      <c r="PHS21" s="414"/>
      <c r="PHT21" s="414"/>
      <c r="PHU21" s="414"/>
      <c r="PHV21" s="414"/>
      <c r="PHW21" s="414"/>
      <c r="PHX21" s="414"/>
      <c r="PHY21" s="414"/>
      <c r="PHZ21" s="414"/>
      <c r="PIA21" s="414"/>
      <c r="PIB21" s="414"/>
      <c r="PIC21" s="414"/>
      <c r="PID21" s="414"/>
      <c r="PIE21" s="414"/>
      <c r="PIF21" s="414"/>
      <c r="PIG21" s="414"/>
      <c r="PIH21" s="414"/>
      <c r="PII21" s="414"/>
      <c r="PIJ21" s="414"/>
      <c r="PIK21" s="414"/>
      <c r="PIL21" s="414"/>
      <c r="PIM21" s="414"/>
      <c r="PIN21" s="414"/>
      <c r="PIO21" s="414"/>
      <c r="PIP21" s="414"/>
      <c r="PIQ21" s="414"/>
      <c r="PIR21" s="414"/>
      <c r="PIS21" s="414"/>
      <c r="PIT21" s="414"/>
      <c r="PIU21" s="414"/>
      <c r="PIV21" s="414"/>
      <c r="PIW21" s="414"/>
      <c r="PIX21" s="414"/>
      <c r="PIY21" s="414"/>
      <c r="PIZ21" s="414"/>
      <c r="PJA21" s="414"/>
      <c r="PJB21" s="414"/>
      <c r="PJC21" s="414"/>
      <c r="PJD21" s="414"/>
      <c r="PJE21" s="414"/>
      <c r="PJF21" s="414"/>
      <c r="PJG21" s="414"/>
      <c r="PJH21" s="414"/>
      <c r="PJI21" s="414"/>
      <c r="PJJ21" s="414"/>
      <c r="PJK21" s="414"/>
      <c r="PJL21" s="414"/>
      <c r="PJM21" s="414"/>
      <c r="PJN21" s="414"/>
      <c r="PJO21" s="414"/>
      <c r="PJP21" s="414"/>
      <c r="PJQ21" s="414"/>
      <c r="PJR21" s="414"/>
      <c r="PJS21" s="414"/>
      <c r="PJT21" s="414"/>
      <c r="PJU21" s="414"/>
      <c r="PJV21" s="414"/>
      <c r="PJW21" s="414"/>
      <c r="PJX21" s="414"/>
      <c r="PJY21" s="414"/>
      <c r="PJZ21" s="414"/>
      <c r="PKA21" s="414"/>
      <c r="PKB21" s="414"/>
      <c r="PKC21" s="414"/>
      <c r="PKD21" s="414"/>
      <c r="PKE21" s="414"/>
      <c r="PKF21" s="414"/>
      <c r="PKG21" s="414"/>
      <c r="PKH21" s="414"/>
      <c r="PKI21" s="414"/>
      <c r="PKJ21" s="414"/>
      <c r="PKK21" s="414"/>
      <c r="PKL21" s="414"/>
      <c r="PKM21" s="414"/>
      <c r="PKN21" s="414"/>
      <c r="PKO21" s="414"/>
      <c r="PKP21" s="414"/>
      <c r="PKQ21" s="414"/>
      <c r="PKR21" s="414"/>
      <c r="PKS21" s="414"/>
      <c r="PKT21" s="414"/>
      <c r="PKU21" s="414"/>
      <c r="PKV21" s="414"/>
      <c r="PKW21" s="414"/>
      <c r="PKX21" s="414"/>
      <c r="PKY21" s="414"/>
      <c r="PKZ21" s="414"/>
      <c r="PLA21" s="414"/>
      <c r="PLB21" s="414"/>
      <c r="PLC21" s="414"/>
      <c r="PLD21" s="414"/>
      <c r="PLE21" s="414"/>
      <c r="PLF21" s="414"/>
      <c r="PLG21" s="414"/>
      <c r="PLH21" s="414"/>
      <c r="PLI21" s="414"/>
      <c r="PLJ21" s="414"/>
      <c r="PLK21" s="414"/>
      <c r="PLL21" s="414"/>
      <c r="PLM21" s="414"/>
      <c r="PLN21" s="414"/>
      <c r="PLO21" s="414"/>
      <c r="PLP21" s="414"/>
      <c r="PLQ21" s="414"/>
      <c r="PLR21" s="414"/>
      <c r="PLS21" s="414"/>
      <c r="PLT21" s="414"/>
      <c r="PLU21" s="414"/>
      <c r="PLV21" s="414"/>
      <c r="PLW21" s="414"/>
      <c r="PLX21" s="414"/>
      <c r="PLY21" s="414"/>
      <c r="PLZ21" s="414"/>
      <c r="PMA21" s="414"/>
      <c r="PMB21" s="414"/>
      <c r="PMC21" s="414"/>
      <c r="PMD21" s="414"/>
      <c r="PME21" s="414"/>
      <c r="PMF21" s="414"/>
      <c r="PMG21" s="414"/>
      <c r="PMH21" s="414"/>
      <c r="PMI21" s="414"/>
      <c r="PMJ21" s="414"/>
      <c r="PMK21" s="414"/>
      <c r="PML21" s="414"/>
      <c r="PMM21" s="414"/>
      <c r="PMN21" s="414"/>
      <c r="PMO21" s="414"/>
      <c r="PMP21" s="414"/>
      <c r="PMQ21" s="414"/>
      <c r="PMR21" s="414"/>
      <c r="PMS21" s="414"/>
      <c r="PMT21" s="414"/>
      <c r="PMU21" s="414"/>
      <c r="PMV21" s="414"/>
      <c r="PMW21" s="414"/>
      <c r="PMX21" s="414"/>
      <c r="PMY21" s="414"/>
      <c r="PMZ21" s="414"/>
      <c r="PNA21" s="414"/>
      <c r="PNB21" s="414"/>
      <c r="PNC21" s="414"/>
      <c r="PND21" s="414"/>
      <c r="PNE21" s="414"/>
      <c r="PNF21" s="414"/>
      <c r="PNG21" s="414"/>
      <c r="PNH21" s="414"/>
      <c r="PNI21" s="414"/>
      <c r="PNJ21" s="414"/>
      <c r="PNK21" s="414"/>
      <c r="PNL21" s="414"/>
      <c r="PNM21" s="414"/>
      <c r="PNN21" s="414"/>
      <c r="PNO21" s="414"/>
      <c r="PNP21" s="414"/>
      <c r="PNQ21" s="414"/>
      <c r="PNR21" s="414"/>
      <c r="PNS21" s="414"/>
      <c r="PNT21" s="414"/>
      <c r="PNU21" s="414"/>
      <c r="PNV21" s="414"/>
      <c r="PNW21" s="414"/>
      <c r="PNX21" s="414"/>
      <c r="PNY21" s="414"/>
      <c r="PNZ21" s="414"/>
      <c r="POA21" s="414"/>
      <c r="POB21" s="414"/>
      <c r="POC21" s="414"/>
      <c r="POD21" s="414"/>
      <c r="POE21" s="414"/>
      <c r="POF21" s="414"/>
      <c r="POG21" s="414"/>
      <c r="POH21" s="414"/>
      <c r="POI21" s="414"/>
      <c r="POJ21" s="414"/>
      <c r="POK21" s="414"/>
      <c r="POL21" s="414"/>
      <c r="POM21" s="414"/>
      <c r="PON21" s="414"/>
      <c r="POO21" s="414"/>
      <c r="POP21" s="414"/>
      <c r="POQ21" s="414"/>
      <c r="POR21" s="414"/>
      <c r="POS21" s="414"/>
      <c r="POT21" s="414"/>
      <c r="POU21" s="414"/>
      <c r="POV21" s="414"/>
      <c r="POW21" s="414"/>
      <c r="POX21" s="414"/>
      <c r="POY21" s="414"/>
      <c r="POZ21" s="414"/>
      <c r="PPA21" s="414"/>
      <c r="PPB21" s="414"/>
      <c r="PPC21" s="414"/>
      <c r="PPD21" s="414"/>
      <c r="PPE21" s="414"/>
      <c r="PPF21" s="414"/>
      <c r="PPG21" s="414"/>
      <c r="PPH21" s="414"/>
      <c r="PPI21" s="414"/>
      <c r="PPJ21" s="414"/>
      <c r="PPK21" s="414"/>
      <c r="PPL21" s="414"/>
      <c r="PPM21" s="414"/>
      <c r="PPN21" s="414"/>
      <c r="PPO21" s="414"/>
      <c r="PPP21" s="414"/>
      <c r="PPQ21" s="414"/>
      <c r="PPR21" s="414"/>
      <c r="PPS21" s="414"/>
      <c r="PPT21" s="414"/>
      <c r="PPU21" s="414"/>
      <c r="PPV21" s="414"/>
      <c r="PPW21" s="414"/>
      <c r="PPX21" s="414"/>
      <c r="PPY21" s="414"/>
      <c r="PPZ21" s="414"/>
      <c r="PQA21" s="414"/>
      <c r="PQB21" s="414"/>
      <c r="PQC21" s="414"/>
      <c r="PQD21" s="414"/>
      <c r="PQE21" s="414"/>
      <c r="PQF21" s="414"/>
      <c r="PQG21" s="414"/>
      <c r="PQH21" s="414"/>
      <c r="PQI21" s="414"/>
      <c r="PQJ21" s="414"/>
      <c r="PQK21" s="414"/>
      <c r="PQL21" s="414"/>
      <c r="PQM21" s="414"/>
      <c r="PQN21" s="414"/>
      <c r="PQO21" s="414"/>
      <c r="PQP21" s="414"/>
      <c r="PQQ21" s="414"/>
      <c r="PQR21" s="414"/>
      <c r="PQS21" s="414"/>
      <c r="PQT21" s="414"/>
      <c r="PQU21" s="414"/>
      <c r="PQV21" s="414"/>
      <c r="PQW21" s="414"/>
      <c r="PQX21" s="414"/>
      <c r="PQY21" s="414"/>
      <c r="PQZ21" s="414"/>
      <c r="PRA21" s="414"/>
      <c r="PRB21" s="414"/>
      <c r="PRC21" s="414"/>
      <c r="PRD21" s="414"/>
      <c r="PRE21" s="414"/>
      <c r="PRF21" s="414"/>
      <c r="PRG21" s="414"/>
      <c r="PRH21" s="414"/>
      <c r="PRI21" s="414"/>
      <c r="PRJ21" s="414"/>
      <c r="PRK21" s="414"/>
      <c r="PRL21" s="414"/>
      <c r="PRM21" s="414"/>
      <c r="PRN21" s="414"/>
      <c r="PRO21" s="414"/>
      <c r="PRP21" s="414"/>
      <c r="PRQ21" s="414"/>
      <c r="PRR21" s="414"/>
      <c r="PRS21" s="414"/>
      <c r="PRT21" s="414"/>
      <c r="PRU21" s="414"/>
      <c r="PRV21" s="414"/>
      <c r="PRW21" s="414"/>
      <c r="PRX21" s="414"/>
      <c r="PRY21" s="414"/>
      <c r="PRZ21" s="414"/>
      <c r="PSA21" s="414"/>
      <c r="PSB21" s="414"/>
      <c r="PSC21" s="414"/>
      <c r="PSD21" s="414"/>
      <c r="PSE21" s="414"/>
      <c r="PSF21" s="414"/>
      <c r="PSG21" s="414"/>
      <c r="PSH21" s="414"/>
      <c r="PSI21" s="414"/>
      <c r="PSJ21" s="414"/>
      <c r="PSK21" s="414"/>
      <c r="PSL21" s="414"/>
      <c r="PSM21" s="414"/>
      <c r="PSN21" s="414"/>
      <c r="PSO21" s="414"/>
      <c r="PSP21" s="414"/>
      <c r="PSQ21" s="414"/>
      <c r="PSR21" s="414"/>
      <c r="PSS21" s="414"/>
      <c r="PST21" s="414"/>
      <c r="PSU21" s="414"/>
      <c r="PSV21" s="414"/>
      <c r="PSW21" s="414"/>
      <c r="PSX21" s="414"/>
      <c r="PSY21" s="414"/>
      <c r="PSZ21" s="414"/>
      <c r="PTA21" s="414"/>
      <c r="PTB21" s="414"/>
      <c r="PTC21" s="414"/>
      <c r="PTD21" s="414"/>
      <c r="PTE21" s="414"/>
      <c r="PTF21" s="414"/>
      <c r="PTG21" s="414"/>
      <c r="PTH21" s="414"/>
      <c r="PTI21" s="414"/>
      <c r="PTJ21" s="414"/>
      <c r="PTK21" s="414"/>
      <c r="PTL21" s="414"/>
      <c r="PTM21" s="414"/>
      <c r="PTN21" s="414"/>
      <c r="PTO21" s="414"/>
      <c r="PTP21" s="414"/>
      <c r="PTQ21" s="414"/>
      <c r="PTR21" s="414"/>
      <c r="PTS21" s="414"/>
      <c r="PTT21" s="414"/>
      <c r="PTU21" s="414"/>
      <c r="PTV21" s="414"/>
      <c r="PTW21" s="414"/>
      <c r="PTX21" s="414"/>
      <c r="PTY21" s="414"/>
      <c r="PTZ21" s="414"/>
      <c r="PUA21" s="414"/>
      <c r="PUB21" s="414"/>
      <c r="PUC21" s="414"/>
      <c r="PUD21" s="414"/>
      <c r="PUE21" s="414"/>
      <c r="PUF21" s="414"/>
      <c r="PUG21" s="414"/>
      <c r="PUH21" s="414"/>
      <c r="PUI21" s="414"/>
      <c r="PUJ21" s="414"/>
      <c r="PUK21" s="414"/>
      <c r="PUL21" s="414"/>
      <c r="PUM21" s="414"/>
      <c r="PUN21" s="414"/>
      <c r="PUO21" s="414"/>
      <c r="PUP21" s="414"/>
      <c r="PUQ21" s="414"/>
      <c r="PUR21" s="414"/>
      <c r="PUS21" s="414"/>
      <c r="PUT21" s="414"/>
      <c r="PUU21" s="414"/>
      <c r="PUV21" s="414"/>
      <c r="PUW21" s="414"/>
      <c r="PUX21" s="414"/>
      <c r="PUY21" s="414"/>
      <c r="PUZ21" s="414"/>
      <c r="PVA21" s="414"/>
      <c r="PVB21" s="414"/>
      <c r="PVC21" s="414"/>
      <c r="PVD21" s="414"/>
      <c r="PVE21" s="414"/>
      <c r="PVF21" s="414"/>
      <c r="PVG21" s="414"/>
      <c r="PVH21" s="414"/>
      <c r="PVI21" s="414"/>
      <c r="PVJ21" s="414"/>
      <c r="PVK21" s="414"/>
      <c r="PVL21" s="414"/>
      <c r="PVM21" s="414"/>
      <c r="PVN21" s="414"/>
      <c r="PVO21" s="414"/>
      <c r="PVP21" s="414"/>
      <c r="PVQ21" s="414"/>
      <c r="PVR21" s="414"/>
      <c r="PVS21" s="414"/>
      <c r="PVT21" s="414"/>
      <c r="PVU21" s="414"/>
      <c r="PVV21" s="414"/>
      <c r="PVW21" s="414"/>
      <c r="PVX21" s="414"/>
      <c r="PVY21" s="414"/>
      <c r="PVZ21" s="414"/>
      <c r="PWA21" s="414"/>
      <c r="PWB21" s="414"/>
      <c r="PWC21" s="414"/>
      <c r="PWD21" s="414"/>
      <c r="PWE21" s="414"/>
      <c r="PWF21" s="414"/>
      <c r="PWG21" s="414"/>
      <c r="PWH21" s="414"/>
      <c r="PWI21" s="414"/>
      <c r="PWJ21" s="414"/>
      <c r="PWK21" s="414"/>
      <c r="PWL21" s="414"/>
      <c r="PWM21" s="414"/>
      <c r="PWN21" s="414"/>
      <c r="PWO21" s="414"/>
      <c r="PWP21" s="414"/>
      <c r="PWQ21" s="414"/>
      <c r="PWR21" s="414"/>
      <c r="PWS21" s="414"/>
      <c r="PWT21" s="414"/>
      <c r="PWU21" s="414"/>
      <c r="PWV21" s="414"/>
      <c r="PWW21" s="414"/>
      <c r="PWX21" s="414"/>
      <c r="PWY21" s="414"/>
      <c r="PWZ21" s="414"/>
      <c r="PXA21" s="414"/>
      <c r="PXB21" s="414"/>
      <c r="PXC21" s="414"/>
      <c r="PXD21" s="414"/>
      <c r="PXE21" s="414"/>
      <c r="PXF21" s="414"/>
      <c r="PXG21" s="414"/>
      <c r="PXH21" s="414"/>
      <c r="PXI21" s="414"/>
      <c r="PXJ21" s="414"/>
      <c r="PXK21" s="414"/>
      <c r="PXL21" s="414"/>
      <c r="PXM21" s="414"/>
      <c r="PXN21" s="414"/>
      <c r="PXO21" s="414"/>
      <c r="PXP21" s="414"/>
      <c r="PXQ21" s="414"/>
      <c r="PXR21" s="414"/>
      <c r="PXS21" s="414"/>
      <c r="PXT21" s="414"/>
      <c r="PXU21" s="414"/>
      <c r="PXV21" s="414"/>
      <c r="PXW21" s="414"/>
      <c r="PXX21" s="414"/>
      <c r="PXY21" s="414"/>
      <c r="PXZ21" s="414"/>
      <c r="PYA21" s="414"/>
      <c r="PYB21" s="414"/>
      <c r="PYC21" s="414"/>
      <c r="PYD21" s="414"/>
      <c r="PYE21" s="414"/>
      <c r="PYF21" s="414"/>
      <c r="PYG21" s="414"/>
      <c r="PYH21" s="414"/>
      <c r="PYI21" s="414"/>
      <c r="PYJ21" s="414"/>
      <c r="PYK21" s="414"/>
      <c r="PYL21" s="414"/>
      <c r="PYM21" s="414"/>
      <c r="PYN21" s="414"/>
      <c r="PYO21" s="414"/>
      <c r="PYP21" s="414"/>
      <c r="PYQ21" s="414"/>
      <c r="PYR21" s="414"/>
      <c r="PYS21" s="414"/>
      <c r="PYT21" s="414"/>
      <c r="PYU21" s="414"/>
      <c r="PYV21" s="414"/>
      <c r="PYW21" s="414"/>
      <c r="PYX21" s="414"/>
      <c r="PYY21" s="414"/>
      <c r="PYZ21" s="414"/>
      <c r="PZA21" s="414"/>
      <c r="PZB21" s="414"/>
      <c r="PZC21" s="414"/>
      <c r="PZD21" s="414"/>
      <c r="PZE21" s="414"/>
      <c r="PZF21" s="414"/>
      <c r="PZG21" s="414"/>
      <c r="PZH21" s="414"/>
      <c r="PZI21" s="414"/>
      <c r="PZJ21" s="414"/>
      <c r="PZK21" s="414"/>
      <c r="PZL21" s="414"/>
      <c r="PZM21" s="414"/>
      <c r="PZN21" s="414"/>
      <c r="PZO21" s="414"/>
      <c r="PZP21" s="414"/>
      <c r="PZQ21" s="414"/>
      <c r="PZR21" s="414"/>
      <c r="PZS21" s="414"/>
      <c r="PZT21" s="414"/>
      <c r="PZU21" s="414"/>
      <c r="PZV21" s="414"/>
      <c r="PZW21" s="414"/>
      <c r="PZX21" s="414"/>
      <c r="PZY21" s="414"/>
      <c r="PZZ21" s="414"/>
      <c r="QAA21" s="414"/>
      <c r="QAB21" s="414"/>
      <c r="QAC21" s="414"/>
      <c r="QAD21" s="414"/>
      <c r="QAE21" s="414"/>
      <c r="QAF21" s="414"/>
      <c r="QAG21" s="414"/>
      <c r="QAH21" s="414"/>
      <c r="QAI21" s="414"/>
      <c r="QAJ21" s="414"/>
      <c r="QAK21" s="414"/>
      <c r="QAL21" s="414"/>
      <c r="QAM21" s="414"/>
      <c r="QAN21" s="414"/>
      <c r="QAO21" s="414"/>
      <c r="QAP21" s="414"/>
      <c r="QAQ21" s="414"/>
      <c r="QAR21" s="414"/>
      <c r="QAS21" s="414"/>
      <c r="QAT21" s="414"/>
      <c r="QAU21" s="414"/>
      <c r="QAV21" s="414"/>
      <c r="QAW21" s="414"/>
      <c r="QAX21" s="414"/>
      <c r="QAY21" s="414"/>
      <c r="QAZ21" s="414"/>
      <c r="QBA21" s="414"/>
      <c r="QBB21" s="414"/>
      <c r="QBC21" s="414"/>
      <c r="QBD21" s="414"/>
      <c r="QBE21" s="414"/>
      <c r="QBF21" s="414"/>
      <c r="QBG21" s="414"/>
      <c r="QBH21" s="414"/>
      <c r="QBI21" s="414"/>
      <c r="QBJ21" s="414"/>
      <c r="QBK21" s="414"/>
      <c r="QBL21" s="414"/>
      <c r="QBM21" s="414"/>
      <c r="QBN21" s="414"/>
      <c r="QBO21" s="414"/>
      <c r="QBP21" s="414"/>
      <c r="QBQ21" s="414"/>
      <c r="QBR21" s="414"/>
      <c r="QBS21" s="414"/>
      <c r="QBT21" s="414"/>
      <c r="QBU21" s="414"/>
      <c r="QBV21" s="414"/>
      <c r="QBW21" s="414"/>
      <c r="QBX21" s="414"/>
      <c r="QBY21" s="414"/>
      <c r="QBZ21" s="414"/>
      <c r="QCA21" s="414"/>
      <c r="QCB21" s="414"/>
      <c r="QCC21" s="414"/>
      <c r="QCD21" s="414"/>
      <c r="QCE21" s="414"/>
      <c r="QCF21" s="414"/>
      <c r="QCG21" s="414"/>
      <c r="QCH21" s="414"/>
      <c r="QCI21" s="414"/>
      <c r="QCJ21" s="414"/>
      <c r="QCK21" s="414"/>
      <c r="QCL21" s="414"/>
      <c r="QCM21" s="414"/>
      <c r="QCN21" s="414"/>
      <c r="QCO21" s="414"/>
      <c r="QCP21" s="414"/>
      <c r="QCQ21" s="414"/>
      <c r="QCR21" s="414"/>
      <c r="QCS21" s="414"/>
      <c r="QCT21" s="414"/>
      <c r="QCU21" s="414"/>
      <c r="QCV21" s="414"/>
      <c r="QCW21" s="414"/>
      <c r="QCX21" s="414"/>
      <c r="QCY21" s="414"/>
      <c r="QCZ21" s="414"/>
      <c r="QDA21" s="414"/>
      <c r="QDB21" s="414"/>
      <c r="QDC21" s="414"/>
      <c r="QDD21" s="414"/>
      <c r="QDE21" s="414"/>
      <c r="QDF21" s="414"/>
      <c r="QDG21" s="414"/>
      <c r="QDH21" s="414"/>
      <c r="QDI21" s="414"/>
      <c r="QDJ21" s="414"/>
      <c r="QDK21" s="414"/>
      <c r="QDL21" s="414"/>
      <c r="QDM21" s="414"/>
      <c r="QDN21" s="414"/>
      <c r="QDO21" s="414"/>
      <c r="QDP21" s="414"/>
      <c r="QDQ21" s="414"/>
      <c r="QDR21" s="414"/>
      <c r="QDS21" s="414"/>
      <c r="QDT21" s="414"/>
      <c r="QDU21" s="414"/>
      <c r="QDV21" s="414"/>
      <c r="QDW21" s="414"/>
      <c r="QDX21" s="414"/>
      <c r="QDY21" s="414"/>
      <c r="QDZ21" s="414"/>
      <c r="QEA21" s="414"/>
      <c r="QEB21" s="414"/>
      <c r="QEC21" s="414"/>
      <c r="QED21" s="414"/>
      <c r="QEE21" s="414"/>
      <c r="QEF21" s="414"/>
      <c r="QEG21" s="414"/>
      <c r="QEH21" s="414"/>
      <c r="QEI21" s="414"/>
      <c r="QEJ21" s="414"/>
      <c r="QEK21" s="414"/>
      <c r="QEL21" s="414"/>
      <c r="QEM21" s="414"/>
      <c r="QEN21" s="414"/>
      <c r="QEO21" s="414"/>
      <c r="QEP21" s="414"/>
      <c r="QEQ21" s="414"/>
      <c r="QER21" s="414"/>
      <c r="QES21" s="414"/>
      <c r="QET21" s="414"/>
      <c r="QEU21" s="414"/>
      <c r="QEV21" s="414"/>
      <c r="QEW21" s="414"/>
      <c r="QEX21" s="414"/>
      <c r="QEY21" s="414"/>
      <c r="QEZ21" s="414"/>
      <c r="QFA21" s="414"/>
      <c r="QFB21" s="414"/>
      <c r="QFC21" s="414"/>
      <c r="QFD21" s="414"/>
      <c r="QFE21" s="414"/>
      <c r="QFF21" s="414"/>
      <c r="QFG21" s="414"/>
      <c r="QFH21" s="414"/>
      <c r="QFI21" s="414"/>
      <c r="QFJ21" s="414"/>
      <c r="QFK21" s="414"/>
      <c r="QFL21" s="414"/>
      <c r="QFM21" s="414"/>
      <c r="QFN21" s="414"/>
      <c r="QFO21" s="414"/>
      <c r="QFP21" s="414"/>
      <c r="QFQ21" s="414"/>
      <c r="QFR21" s="414"/>
      <c r="QFS21" s="414"/>
      <c r="QFT21" s="414"/>
      <c r="QFU21" s="414"/>
      <c r="QFV21" s="414"/>
      <c r="QFW21" s="414"/>
      <c r="QFX21" s="414"/>
      <c r="QFY21" s="414"/>
      <c r="QFZ21" s="414"/>
      <c r="QGA21" s="414"/>
      <c r="QGB21" s="414"/>
      <c r="QGC21" s="414"/>
      <c r="QGD21" s="414"/>
      <c r="QGE21" s="414"/>
      <c r="QGF21" s="414"/>
      <c r="QGG21" s="414"/>
      <c r="QGH21" s="414"/>
      <c r="QGI21" s="414"/>
      <c r="QGJ21" s="414"/>
      <c r="QGK21" s="414"/>
      <c r="QGL21" s="414"/>
      <c r="QGM21" s="414"/>
      <c r="QGN21" s="414"/>
      <c r="QGO21" s="414"/>
      <c r="QGP21" s="414"/>
      <c r="QGQ21" s="414"/>
      <c r="QGR21" s="414"/>
      <c r="QGS21" s="414"/>
      <c r="QGT21" s="414"/>
      <c r="QGU21" s="414"/>
      <c r="QGV21" s="414"/>
      <c r="QGW21" s="414"/>
      <c r="QGX21" s="414"/>
      <c r="QGY21" s="414"/>
      <c r="QGZ21" s="414"/>
      <c r="QHA21" s="414"/>
      <c r="QHB21" s="414"/>
      <c r="QHC21" s="414"/>
      <c r="QHD21" s="414"/>
      <c r="QHE21" s="414"/>
      <c r="QHF21" s="414"/>
      <c r="QHG21" s="414"/>
      <c r="QHH21" s="414"/>
      <c r="QHI21" s="414"/>
      <c r="QHJ21" s="414"/>
      <c r="QHK21" s="414"/>
      <c r="QHL21" s="414"/>
      <c r="QHM21" s="414"/>
      <c r="QHN21" s="414"/>
      <c r="QHO21" s="414"/>
      <c r="QHP21" s="414"/>
      <c r="QHQ21" s="414"/>
      <c r="QHR21" s="414"/>
      <c r="QHS21" s="414"/>
      <c r="QHT21" s="414"/>
      <c r="QHU21" s="414"/>
      <c r="QHV21" s="414"/>
      <c r="QHW21" s="414"/>
      <c r="QHX21" s="414"/>
      <c r="QHY21" s="414"/>
      <c r="QHZ21" s="414"/>
      <c r="QIA21" s="414"/>
      <c r="QIB21" s="414"/>
      <c r="QIC21" s="414"/>
      <c r="QID21" s="414"/>
      <c r="QIE21" s="414"/>
      <c r="QIF21" s="414"/>
      <c r="QIG21" s="414"/>
      <c r="QIH21" s="414"/>
      <c r="QII21" s="414"/>
      <c r="QIJ21" s="414"/>
      <c r="QIK21" s="414"/>
      <c r="QIL21" s="414"/>
      <c r="QIM21" s="414"/>
      <c r="QIN21" s="414"/>
      <c r="QIO21" s="414"/>
      <c r="QIP21" s="414"/>
      <c r="QIQ21" s="414"/>
      <c r="QIR21" s="414"/>
      <c r="QIS21" s="414"/>
      <c r="QIT21" s="414"/>
      <c r="QIU21" s="414"/>
      <c r="QIV21" s="414"/>
      <c r="QIW21" s="414"/>
      <c r="QIX21" s="414"/>
      <c r="QIY21" s="414"/>
      <c r="QIZ21" s="414"/>
      <c r="QJA21" s="414"/>
      <c r="QJB21" s="414"/>
      <c r="QJC21" s="414"/>
      <c r="QJD21" s="414"/>
      <c r="QJE21" s="414"/>
      <c r="QJF21" s="414"/>
      <c r="QJG21" s="414"/>
      <c r="QJH21" s="414"/>
      <c r="QJI21" s="414"/>
      <c r="QJJ21" s="414"/>
      <c r="QJK21" s="414"/>
      <c r="QJL21" s="414"/>
      <c r="QJM21" s="414"/>
      <c r="QJN21" s="414"/>
      <c r="QJO21" s="414"/>
      <c r="QJP21" s="414"/>
      <c r="QJQ21" s="414"/>
      <c r="QJR21" s="414"/>
      <c r="QJS21" s="414"/>
      <c r="QJT21" s="414"/>
      <c r="QJU21" s="414"/>
      <c r="QJV21" s="414"/>
      <c r="QJW21" s="414"/>
      <c r="QJX21" s="414"/>
      <c r="QJY21" s="414"/>
      <c r="QJZ21" s="414"/>
      <c r="QKA21" s="414"/>
      <c r="QKB21" s="414"/>
      <c r="QKC21" s="414"/>
      <c r="QKD21" s="414"/>
      <c r="QKE21" s="414"/>
      <c r="QKF21" s="414"/>
      <c r="QKG21" s="414"/>
      <c r="QKH21" s="414"/>
      <c r="QKI21" s="414"/>
      <c r="QKJ21" s="414"/>
      <c r="QKK21" s="414"/>
      <c r="QKL21" s="414"/>
      <c r="QKM21" s="414"/>
      <c r="QKN21" s="414"/>
      <c r="QKO21" s="414"/>
      <c r="QKP21" s="414"/>
      <c r="QKQ21" s="414"/>
      <c r="QKR21" s="414"/>
      <c r="QKS21" s="414"/>
      <c r="QKT21" s="414"/>
      <c r="QKU21" s="414"/>
      <c r="QKV21" s="414"/>
      <c r="QKW21" s="414"/>
      <c r="QKX21" s="414"/>
      <c r="QKY21" s="414"/>
      <c r="QKZ21" s="414"/>
      <c r="QLA21" s="414"/>
      <c r="QLB21" s="414"/>
      <c r="QLC21" s="414"/>
      <c r="QLD21" s="414"/>
      <c r="QLE21" s="414"/>
      <c r="QLF21" s="414"/>
      <c r="QLG21" s="414"/>
      <c r="QLH21" s="414"/>
      <c r="QLI21" s="414"/>
      <c r="QLJ21" s="414"/>
      <c r="QLK21" s="414"/>
      <c r="QLL21" s="414"/>
      <c r="QLM21" s="414"/>
      <c r="QLN21" s="414"/>
      <c r="QLO21" s="414"/>
      <c r="QLP21" s="414"/>
      <c r="QLQ21" s="414"/>
      <c r="QLR21" s="414"/>
      <c r="QLS21" s="414"/>
      <c r="QLT21" s="414"/>
      <c r="QLU21" s="414"/>
      <c r="QLV21" s="414"/>
      <c r="QLW21" s="414"/>
      <c r="QLX21" s="414"/>
      <c r="QLY21" s="414"/>
      <c r="QLZ21" s="414"/>
      <c r="QMA21" s="414"/>
      <c r="QMB21" s="414"/>
      <c r="QMC21" s="414"/>
      <c r="QMD21" s="414"/>
      <c r="QME21" s="414"/>
      <c r="QMF21" s="414"/>
      <c r="QMG21" s="414"/>
      <c r="QMH21" s="414"/>
      <c r="QMI21" s="414"/>
      <c r="QMJ21" s="414"/>
      <c r="QMK21" s="414"/>
      <c r="QML21" s="414"/>
      <c r="QMM21" s="414"/>
      <c r="QMN21" s="414"/>
      <c r="QMO21" s="414"/>
      <c r="QMP21" s="414"/>
      <c r="QMQ21" s="414"/>
      <c r="QMR21" s="414"/>
      <c r="QMS21" s="414"/>
      <c r="QMT21" s="414"/>
      <c r="QMU21" s="414"/>
      <c r="QMV21" s="414"/>
      <c r="QMW21" s="414"/>
      <c r="QMX21" s="414"/>
      <c r="QMY21" s="414"/>
      <c r="QMZ21" s="414"/>
      <c r="QNA21" s="414"/>
      <c r="QNB21" s="414"/>
      <c r="QNC21" s="414"/>
      <c r="QND21" s="414"/>
      <c r="QNE21" s="414"/>
      <c r="QNF21" s="414"/>
      <c r="QNG21" s="414"/>
      <c r="QNH21" s="414"/>
      <c r="QNI21" s="414"/>
      <c r="QNJ21" s="414"/>
      <c r="QNK21" s="414"/>
      <c r="QNL21" s="414"/>
      <c r="QNM21" s="414"/>
      <c r="QNN21" s="414"/>
      <c r="QNO21" s="414"/>
      <c r="QNP21" s="414"/>
      <c r="QNQ21" s="414"/>
      <c r="QNR21" s="414"/>
      <c r="QNS21" s="414"/>
      <c r="QNT21" s="414"/>
      <c r="QNU21" s="414"/>
      <c r="QNV21" s="414"/>
      <c r="QNW21" s="414"/>
      <c r="QNX21" s="414"/>
      <c r="QNY21" s="414"/>
      <c r="QNZ21" s="414"/>
      <c r="QOA21" s="414"/>
      <c r="QOB21" s="414"/>
      <c r="QOC21" s="414"/>
      <c r="QOD21" s="414"/>
      <c r="QOE21" s="414"/>
      <c r="QOF21" s="414"/>
      <c r="QOG21" s="414"/>
      <c r="QOH21" s="414"/>
      <c r="QOI21" s="414"/>
      <c r="QOJ21" s="414"/>
      <c r="QOK21" s="414"/>
      <c r="QOL21" s="414"/>
      <c r="QOM21" s="414"/>
      <c r="QON21" s="414"/>
      <c r="QOO21" s="414"/>
      <c r="QOP21" s="414"/>
      <c r="QOQ21" s="414"/>
      <c r="QOR21" s="414"/>
      <c r="QOS21" s="414"/>
      <c r="QOT21" s="414"/>
      <c r="QOU21" s="414"/>
      <c r="QOV21" s="414"/>
      <c r="QOW21" s="414"/>
      <c r="QOX21" s="414"/>
      <c r="QOY21" s="414"/>
      <c r="QOZ21" s="414"/>
      <c r="QPA21" s="414"/>
      <c r="QPB21" s="414"/>
      <c r="QPC21" s="414"/>
      <c r="QPD21" s="414"/>
      <c r="QPE21" s="414"/>
      <c r="QPF21" s="414"/>
      <c r="QPG21" s="414"/>
      <c r="QPH21" s="414"/>
      <c r="QPI21" s="414"/>
      <c r="QPJ21" s="414"/>
      <c r="QPK21" s="414"/>
      <c r="QPL21" s="414"/>
      <c r="QPM21" s="414"/>
      <c r="QPN21" s="414"/>
      <c r="QPO21" s="414"/>
      <c r="QPP21" s="414"/>
      <c r="QPQ21" s="414"/>
      <c r="QPR21" s="414"/>
      <c r="QPS21" s="414"/>
      <c r="QPT21" s="414"/>
      <c r="QPU21" s="414"/>
      <c r="QPV21" s="414"/>
      <c r="QPW21" s="414"/>
      <c r="QPX21" s="414"/>
      <c r="QPY21" s="414"/>
      <c r="QPZ21" s="414"/>
      <c r="QQA21" s="414"/>
      <c r="QQB21" s="414"/>
      <c r="QQC21" s="414"/>
      <c r="QQD21" s="414"/>
      <c r="QQE21" s="414"/>
      <c r="QQF21" s="414"/>
      <c r="QQG21" s="414"/>
      <c r="QQH21" s="414"/>
      <c r="QQI21" s="414"/>
      <c r="QQJ21" s="414"/>
      <c r="QQK21" s="414"/>
      <c r="QQL21" s="414"/>
      <c r="QQM21" s="414"/>
      <c r="QQN21" s="414"/>
      <c r="QQO21" s="414"/>
      <c r="QQP21" s="414"/>
      <c r="QQQ21" s="414"/>
      <c r="QQR21" s="414"/>
      <c r="QQS21" s="414"/>
      <c r="QQT21" s="414"/>
      <c r="QQU21" s="414"/>
      <c r="QQV21" s="414"/>
      <c r="QQW21" s="414"/>
      <c r="QQX21" s="414"/>
      <c r="QQY21" s="414"/>
      <c r="QQZ21" s="414"/>
      <c r="QRA21" s="414"/>
      <c r="QRB21" s="414"/>
      <c r="QRC21" s="414"/>
      <c r="QRD21" s="414"/>
      <c r="QRE21" s="414"/>
      <c r="QRF21" s="414"/>
      <c r="QRG21" s="414"/>
      <c r="QRH21" s="414"/>
      <c r="QRI21" s="414"/>
      <c r="QRJ21" s="414"/>
      <c r="QRK21" s="414"/>
      <c r="QRL21" s="414"/>
      <c r="QRM21" s="414"/>
      <c r="QRN21" s="414"/>
      <c r="QRO21" s="414"/>
      <c r="QRP21" s="414"/>
      <c r="QRQ21" s="414"/>
      <c r="QRR21" s="414"/>
      <c r="QRS21" s="414"/>
      <c r="QRT21" s="414"/>
      <c r="QRU21" s="414"/>
      <c r="QRV21" s="414"/>
      <c r="QRW21" s="414"/>
      <c r="QRX21" s="414"/>
      <c r="QRY21" s="414"/>
      <c r="QRZ21" s="414"/>
      <c r="QSA21" s="414"/>
      <c r="QSB21" s="414"/>
      <c r="QSC21" s="414"/>
      <c r="QSD21" s="414"/>
      <c r="QSE21" s="414"/>
      <c r="QSF21" s="414"/>
      <c r="QSG21" s="414"/>
      <c r="QSH21" s="414"/>
      <c r="QSI21" s="414"/>
      <c r="QSJ21" s="414"/>
      <c r="QSK21" s="414"/>
      <c r="QSL21" s="414"/>
      <c r="QSM21" s="414"/>
      <c r="QSN21" s="414"/>
      <c r="QSO21" s="414"/>
      <c r="QSP21" s="414"/>
      <c r="QSQ21" s="414"/>
      <c r="QSR21" s="414"/>
      <c r="QSS21" s="414"/>
      <c r="QST21" s="414"/>
      <c r="QSU21" s="414"/>
      <c r="QSV21" s="414"/>
      <c r="QSW21" s="414"/>
      <c r="QSX21" s="414"/>
      <c r="QSY21" s="414"/>
      <c r="QSZ21" s="414"/>
      <c r="QTA21" s="414"/>
      <c r="QTB21" s="414"/>
      <c r="QTC21" s="414"/>
      <c r="QTD21" s="414"/>
      <c r="QTE21" s="414"/>
      <c r="QTF21" s="414"/>
      <c r="QTG21" s="414"/>
      <c r="QTH21" s="414"/>
      <c r="QTI21" s="414"/>
      <c r="QTJ21" s="414"/>
      <c r="QTK21" s="414"/>
      <c r="QTL21" s="414"/>
      <c r="QTM21" s="414"/>
      <c r="QTN21" s="414"/>
      <c r="QTO21" s="414"/>
      <c r="QTP21" s="414"/>
      <c r="QTQ21" s="414"/>
      <c r="QTR21" s="414"/>
      <c r="QTS21" s="414"/>
      <c r="QTT21" s="414"/>
      <c r="QTU21" s="414"/>
      <c r="QTV21" s="414"/>
      <c r="QTW21" s="414"/>
      <c r="QTX21" s="414"/>
      <c r="QTY21" s="414"/>
      <c r="QTZ21" s="414"/>
      <c r="QUA21" s="414"/>
      <c r="QUB21" s="414"/>
      <c r="QUC21" s="414"/>
      <c r="QUD21" s="414"/>
      <c r="QUE21" s="414"/>
      <c r="QUF21" s="414"/>
      <c r="QUG21" s="414"/>
      <c r="QUH21" s="414"/>
      <c r="QUI21" s="414"/>
      <c r="QUJ21" s="414"/>
      <c r="QUK21" s="414"/>
      <c r="QUL21" s="414"/>
      <c r="QUM21" s="414"/>
      <c r="QUN21" s="414"/>
      <c r="QUO21" s="414"/>
      <c r="QUP21" s="414"/>
      <c r="QUQ21" s="414"/>
      <c r="QUR21" s="414"/>
      <c r="QUS21" s="414"/>
      <c r="QUT21" s="414"/>
      <c r="QUU21" s="414"/>
      <c r="QUV21" s="414"/>
      <c r="QUW21" s="414"/>
      <c r="QUX21" s="414"/>
      <c r="QUY21" s="414"/>
      <c r="QUZ21" s="414"/>
      <c r="QVA21" s="414"/>
      <c r="QVB21" s="414"/>
      <c r="QVC21" s="414"/>
      <c r="QVD21" s="414"/>
      <c r="QVE21" s="414"/>
      <c r="QVF21" s="414"/>
      <c r="QVG21" s="414"/>
      <c r="QVH21" s="414"/>
      <c r="QVI21" s="414"/>
      <c r="QVJ21" s="414"/>
      <c r="QVK21" s="414"/>
      <c r="QVL21" s="414"/>
      <c r="QVM21" s="414"/>
      <c r="QVN21" s="414"/>
      <c r="QVO21" s="414"/>
      <c r="QVP21" s="414"/>
      <c r="QVQ21" s="414"/>
      <c r="QVR21" s="414"/>
      <c r="QVS21" s="414"/>
      <c r="QVT21" s="414"/>
      <c r="QVU21" s="414"/>
      <c r="QVV21" s="414"/>
      <c r="QVW21" s="414"/>
      <c r="QVX21" s="414"/>
      <c r="QVY21" s="414"/>
      <c r="QVZ21" s="414"/>
      <c r="QWA21" s="414"/>
      <c r="QWB21" s="414"/>
      <c r="QWC21" s="414"/>
      <c r="QWD21" s="414"/>
      <c r="QWE21" s="414"/>
      <c r="QWF21" s="414"/>
      <c r="QWG21" s="414"/>
      <c r="QWH21" s="414"/>
      <c r="QWI21" s="414"/>
      <c r="QWJ21" s="414"/>
      <c r="QWK21" s="414"/>
      <c r="QWL21" s="414"/>
      <c r="QWM21" s="414"/>
      <c r="QWN21" s="414"/>
      <c r="QWO21" s="414"/>
      <c r="QWP21" s="414"/>
      <c r="QWQ21" s="414"/>
      <c r="QWR21" s="414"/>
      <c r="QWS21" s="414"/>
      <c r="QWT21" s="414"/>
      <c r="QWU21" s="414"/>
      <c r="QWV21" s="414"/>
      <c r="QWW21" s="414"/>
      <c r="QWX21" s="414"/>
      <c r="QWY21" s="414"/>
      <c r="QWZ21" s="414"/>
      <c r="QXA21" s="414"/>
      <c r="QXB21" s="414"/>
      <c r="QXC21" s="414"/>
      <c r="QXD21" s="414"/>
      <c r="QXE21" s="414"/>
      <c r="QXF21" s="414"/>
      <c r="QXG21" s="414"/>
      <c r="QXH21" s="414"/>
      <c r="QXI21" s="414"/>
      <c r="QXJ21" s="414"/>
      <c r="QXK21" s="414"/>
      <c r="QXL21" s="414"/>
      <c r="QXM21" s="414"/>
      <c r="QXN21" s="414"/>
      <c r="QXO21" s="414"/>
      <c r="QXP21" s="414"/>
      <c r="QXQ21" s="414"/>
      <c r="QXR21" s="414"/>
      <c r="QXS21" s="414"/>
      <c r="QXT21" s="414"/>
      <c r="QXU21" s="414"/>
      <c r="QXV21" s="414"/>
      <c r="QXW21" s="414"/>
      <c r="QXX21" s="414"/>
      <c r="QXY21" s="414"/>
      <c r="QXZ21" s="414"/>
      <c r="QYA21" s="414"/>
      <c r="QYB21" s="414"/>
      <c r="QYC21" s="414"/>
      <c r="QYD21" s="414"/>
      <c r="QYE21" s="414"/>
      <c r="QYF21" s="414"/>
      <c r="QYG21" s="414"/>
      <c r="QYH21" s="414"/>
      <c r="QYI21" s="414"/>
      <c r="QYJ21" s="414"/>
      <c r="QYK21" s="414"/>
      <c r="QYL21" s="414"/>
      <c r="QYM21" s="414"/>
      <c r="QYN21" s="414"/>
      <c r="QYO21" s="414"/>
      <c r="QYP21" s="414"/>
      <c r="QYQ21" s="414"/>
      <c r="QYR21" s="414"/>
      <c r="QYS21" s="414"/>
      <c r="QYT21" s="414"/>
      <c r="QYU21" s="414"/>
      <c r="QYV21" s="414"/>
      <c r="QYW21" s="414"/>
      <c r="QYX21" s="414"/>
      <c r="QYY21" s="414"/>
      <c r="QYZ21" s="414"/>
      <c r="QZA21" s="414"/>
      <c r="QZB21" s="414"/>
      <c r="QZC21" s="414"/>
      <c r="QZD21" s="414"/>
      <c r="QZE21" s="414"/>
      <c r="QZF21" s="414"/>
      <c r="QZG21" s="414"/>
      <c r="QZH21" s="414"/>
      <c r="QZI21" s="414"/>
      <c r="QZJ21" s="414"/>
      <c r="QZK21" s="414"/>
      <c r="QZL21" s="414"/>
      <c r="QZM21" s="414"/>
      <c r="QZN21" s="414"/>
      <c r="QZO21" s="414"/>
      <c r="QZP21" s="414"/>
      <c r="QZQ21" s="414"/>
      <c r="QZR21" s="414"/>
      <c r="QZS21" s="414"/>
      <c r="QZT21" s="414"/>
      <c r="QZU21" s="414"/>
      <c r="QZV21" s="414"/>
      <c r="QZW21" s="414"/>
      <c r="QZX21" s="414"/>
      <c r="QZY21" s="414"/>
      <c r="QZZ21" s="414"/>
      <c r="RAA21" s="414"/>
      <c r="RAB21" s="414"/>
      <c r="RAC21" s="414"/>
      <c r="RAD21" s="414"/>
      <c r="RAE21" s="414"/>
      <c r="RAF21" s="414"/>
      <c r="RAG21" s="414"/>
      <c r="RAH21" s="414"/>
      <c r="RAI21" s="414"/>
      <c r="RAJ21" s="414"/>
      <c r="RAK21" s="414"/>
      <c r="RAL21" s="414"/>
      <c r="RAM21" s="414"/>
      <c r="RAN21" s="414"/>
      <c r="RAO21" s="414"/>
      <c r="RAP21" s="414"/>
      <c r="RAQ21" s="414"/>
      <c r="RAR21" s="414"/>
      <c r="RAS21" s="414"/>
      <c r="RAT21" s="414"/>
      <c r="RAU21" s="414"/>
      <c r="RAV21" s="414"/>
      <c r="RAW21" s="414"/>
      <c r="RAX21" s="414"/>
      <c r="RAY21" s="414"/>
      <c r="RAZ21" s="414"/>
      <c r="RBA21" s="414"/>
      <c r="RBB21" s="414"/>
      <c r="RBC21" s="414"/>
      <c r="RBD21" s="414"/>
      <c r="RBE21" s="414"/>
      <c r="RBF21" s="414"/>
      <c r="RBG21" s="414"/>
      <c r="RBH21" s="414"/>
      <c r="RBI21" s="414"/>
      <c r="RBJ21" s="414"/>
      <c r="RBK21" s="414"/>
      <c r="RBL21" s="414"/>
      <c r="RBM21" s="414"/>
      <c r="RBN21" s="414"/>
      <c r="RBO21" s="414"/>
      <c r="RBP21" s="414"/>
      <c r="RBQ21" s="414"/>
      <c r="RBR21" s="414"/>
      <c r="RBS21" s="414"/>
      <c r="RBT21" s="414"/>
      <c r="RBU21" s="414"/>
      <c r="RBV21" s="414"/>
      <c r="RBW21" s="414"/>
      <c r="RBX21" s="414"/>
      <c r="RBY21" s="414"/>
      <c r="RBZ21" s="414"/>
      <c r="RCA21" s="414"/>
      <c r="RCB21" s="414"/>
      <c r="RCC21" s="414"/>
      <c r="RCD21" s="414"/>
      <c r="RCE21" s="414"/>
      <c r="RCF21" s="414"/>
      <c r="RCG21" s="414"/>
      <c r="RCH21" s="414"/>
      <c r="RCI21" s="414"/>
      <c r="RCJ21" s="414"/>
      <c r="RCK21" s="414"/>
      <c r="RCL21" s="414"/>
      <c r="RCM21" s="414"/>
      <c r="RCN21" s="414"/>
      <c r="RCO21" s="414"/>
      <c r="RCP21" s="414"/>
      <c r="RCQ21" s="414"/>
      <c r="RCR21" s="414"/>
      <c r="RCS21" s="414"/>
      <c r="RCT21" s="414"/>
      <c r="RCU21" s="414"/>
      <c r="RCV21" s="414"/>
      <c r="RCW21" s="414"/>
      <c r="RCX21" s="414"/>
      <c r="RCY21" s="414"/>
      <c r="RCZ21" s="414"/>
      <c r="RDA21" s="414"/>
      <c r="RDB21" s="414"/>
      <c r="RDC21" s="414"/>
      <c r="RDD21" s="414"/>
      <c r="RDE21" s="414"/>
      <c r="RDF21" s="414"/>
      <c r="RDG21" s="414"/>
      <c r="RDH21" s="414"/>
      <c r="RDI21" s="414"/>
      <c r="RDJ21" s="414"/>
      <c r="RDK21" s="414"/>
      <c r="RDL21" s="414"/>
      <c r="RDM21" s="414"/>
      <c r="RDN21" s="414"/>
      <c r="RDO21" s="414"/>
      <c r="RDP21" s="414"/>
      <c r="RDQ21" s="414"/>
      <c r="RDR21" s="414"/>
      <c r="RDS21" s="414"/>
      <c r="RDT21" s="414"/>
      <c r="RDU21" s="414"/>
      <c r="RDV21" s="414"/>
      <c r="RDW21" s="414"/>
      <c r="RDX21" s="414"/>
      <c r="RDY21" s="414"/>
      <c r="RDZ21" s="414"/>
      <c r="REA21" s="414"/>
      <c r="REB21" s="414"/>
      <c r="REC21" s="414"/>
      <c r="RED21" s="414"/>
      <c r="REE21" s="414"/>
      <c r="REF21" s="414"/>
      <c r="REG21" s="414"/>
      <c r="REH21" s="414"/>
      <c r="REI21" s="414"/>
      <c r="REJ21" s="414"/>
      <c r="REK21" s="414"/>
      <c r="REL21" s="414"/>
      <c r="REM21" s="414"/>
      <c r="REN21" s="414"/>
      <c r="REO21" s="414"/>
      <c r="REP21" s="414"/>
      <c r="REQ21" s="414"/>
      <c r="RER21" s="414"/>
      <c r="RES21" s="414"/>
      <c r="RET21" s="414"/>
      <c r="REU21" s="414"/>
      <c r="REV21" s="414"/>
      <c r="REW21" s="414"/>
      <c r="REX21" s="414"/>
      <c r="REY21" s="414"/>
      <c r="REZ21" s="414"/>
      <c r="RFA21" s="414"/>
      <c r="RFB21" s="414"/>
      <c r="RFC21" s="414"/>
      <c r="RFD21" s="414"/>
      <c r="RFE21" s="414"/>
      <c r="RFF21" s="414"/>
      <c r="RFG21" s="414"/>
      <c r="RFH21" s="414"/>
      <c r="RFI21" s="414"/>
      <c r="RFJ21" s="414"/>
      <c r="RFK21" s="414"/>
      <c r="RFL21" s="414"/>
      <c r="RFM21" s="414"/>
      <c r="RFN21" s="414"/>
      <c r="RFO21" s="414"/>
      <c r="RFP21" s="414"/>
      <c r="RFQ21" s="414"/>
      <c r="RFR21" s="414"/>
      <c r="RFS21" s="414"/>
      <c r="RFT21" s="414"/>
      <c r="RFU21" s="414"/>
      <c r="RFV21" s="414"/>
      <c r="RFW21" s="414"/>
      <c r="RFX21" s="414"/>
      <c r="RFY21" s="414"/>
      <c r="RFZ21" s="414"/>
      <c r="RGA21" s="414"/>
      <c r="RGB21" s="414"/>
      <c r="RGC21" s="414"/>
      <c r="RGD21" s="414"/>
      <c r="RGE21" s="414"/>
      <c r="RGF21" s="414"/>
      <c r="RGG21" s="414"/>
      <c r="RGH21" s="414"/>
      <c r="RGI21" s="414"/>
      <c r="RGJ21" s="414"/>
      <c r="RGK21" s="414"/>
      <c r="RGL21" s="414"/>
      <c r="RGM21" s="414"/>
      <c r="RGN21" s="414"/>
      <c r="RGO21" s="414"/>
      <c r="RGP21" s="414"/>
      <c r="RGQ21" s="414"/>
      <c r="RGR21" s="414"/>
      <c r="RGS21" s="414"/>
      <c r="RGT21" s="414"/>
      <c r="RGU21" s="414"/>
      <c r="RGV21" s="414"/>
      <c r="RGW21" s="414"/>
      <c r="RGX21" s="414"/>
      <c r="RGY21" s="414"/>
      <c r="RGZ21" s="414"/>
      <c r="RHA21" s="414"/>
      <c r="RHB21" s="414"/>
      <c r="RHC21" s="414"/>
      <c r="RHD21" s="414"/>
      <c r="RHE21" s="414"/>
      <c r="RHF21" s="414"/>
      <c r="RHG21" s="414"/>
      <c r="RHH21" s="414"/>
      <c r="RHI21" s="414"/>
      <c r="RHJ21" s="414"/>
      <c r="RHK21" s="414"/>
      <c r="RHL21" s="414"/>
      <c r="RHM21" s="414"/>
      <c r="RHN21" s="414"/>
      <c r="RHO21" s="414"/>
      <c r="RHP21" s="414"/>
      <c r="RHQ21" s="414"/>
      <c r="RHR21" s="414"/>
      <c r="RHS21" s="414"/>
      <c r="RHT21" s="414"/>
      <c r="RHU21" s="414"/>
      <c r="RHV21" s="414"/>
      <c r="RHW21" s="414"/>
      <c r="RHX21" s="414"/>
      <c r="RHY21" s="414"/>
      <c r="RHZ21" s="414"/>
      <c r="RIA21" s="414"/>
      <c r="RIB21" s="414"/>
      <c r="RIC21" s="414"/>
      <c r="RID21" s="414"/>
      <c r="RIE21" s="414"/>
      <c r="RIF21" s="414"/>
      <c r="RIG21" s="414"/>
      <c r="RIH21" s="414"/>
      <c r="RII21" s="414"/>
      <c r="RIJ21" s="414"/>
      <c r="RIK21" s="414"/>
      <c r="RIL21" s="414"/>
      <c r="RIM21" s="414"/>
      <c r="RIN21" s="414"/>
      <c r="RIO21" s="414"/>
      <c r="RIP21" s="414"/>
      <c r="RIQ21" s="414"/>
      <c r="RIR21" s="414"/>
      <c r="RIS21" s="414"/>
      <c r="RIT21" s="414"/>
      <c r="RIU21" s="414"/>
      <c r="RIV21" s="414"/>
      <c r="RIW21" s="414"/>
      <c r="RIX21" s="414"/>
      <c r="RIY21" s="414"/>
      <c r="RIZ21" s="414"/>
      <c r="RJA21" s="414"/>
      <c r="RJB21" s="414"/>
      <c r="RJC21" s="414"/>
      <c r="RJD21" s="414"/>
      <c r="RJE21" s="414"/>
      <c r="RJF21" s="414"/>
      <c r="RJG21" s="414"/>
      <c r="RJH21" s="414"/>
      <c r="RJI21" s="414"/>
      <c r="RJJ21" s="414"/>
      <c r="RJK21" s="414"/>
      <c r="RJL21" s="414"/>
      <c r="RJM21" s="414"/>
      <c r="RJN21" s="414"/>
      <c r="RJO21" s="414"/>
      <c r="RJP21" s="414"/>
      <c r="RJQ21" s="414"/>
      <c r="RJR21" s="414"/>
      <c r="RJS21" s="414"/>
      <c r="RJT21" s="414"/>
      <c r="RJU21" s="414"/>
      <c r="RJV21" s="414"/>
      <c r="RJW21" s="414"/>
      <c r="RJX21" s="414"/>
      <c r="RJY21" s="414"/>
      <c r="RJZ21" s="414"/>
      <c r="RKA21" s="414"/>
      <c r="RKB21" s="414"/>
      <c r="RKC21" s="414"/>
      <c r="RKD21" s="414"/>
      <c r="RKE21" s="414"/>
      <c r="RKF21" s="414"/>
      <c r="RKG21" s="414"/>
      <c r="RKH21" s="414"/>
      <c r="RKI21" s="414"/>
      <c r="RKJ21" s="414"/>
      <c r="RKK21" s="414"/>
      <c r="RKL21" s="414"/>
      <c r="RKM21" s="414"/>
      <c r="RKN21" s="414"/>
      <c r="RKO21" s="414"/>
      <c r="RKP21" s="414"/>
      <c r="RKQ21" s="414"/>
      <c r="RKR21" s="414"/>
      <c r="RKS21" s="414"/>
      <c r="RKT21" s="414"/>
      <c r="RKU21" s="414"/>
      <c r="RKV21" s="414"/>
      <c r="RKW21" s="414"/>
      <c r="RKX21" s="414"/>
      <c r="RKY21" s="414"/>
      <c r="RKZ21" s="414"/>
      <c r="RLA21" s="414"/>
      <c r="RLB21" s="414"/>
      <c r="RLC21" s="414"/>
      <c r="RLD21" s="414"/>
      <c r="RLE21" s="414"/>
      <c r="RLF21" s="414"/>
      <c r="RLG21" s="414"/>
      <c r="RLH21" s="414"/>
      <c r="RLI21" s="414"/>
      <c r="RLJ21" s="414"/>
      <c r="RLK21" s="414"/>
      <c r="RLL21" s="414"/>
      <c r="RLM21" s="414"/>
      <c r="RLN21" s="414"/>
      <c r="RLO21" s="414"/>
      <c r="RLP21" s="414"/>
      <c r="RLQ21" s="414"/>
      <c r="RLR21" s="414"/>
      <c r="RLS21" s="414"/>
      <c r="RLT21" s="414"/>
      <c r="RLU21" s="414"/>
      <c r="RLV21" s="414"/>
      <c r="RLW21" s="414"/>
      <c r="RLX21" s="414"/>
      <c r="RLY21" s="414"/>
      <c r="RLZ21" s="414"/>
      <c r="RMA21" s="414"/>
      <c r="RMB21" s="414"/>
      <c r="RMC21" s="414"/>
      <c r="RMD21" s="414"/>
      <c r="RME21" s="414"/>
      <c r="RMF21" s="414"/>
      <c r="RMG21" s="414"/>
      <c r="RMH21" s="414"/>
      <c r="RMI21" s="414"/>
      <c r="RMJ21" s="414"/>
      <c r="RMK21" s="414"/>
      <c r="RML21" s="414"/>
      <c r="RMM21" s="414"/>
      <c r="RMN21" s="414"/>
      <c r="RMO21" s="414"/>
      <c r="RMP21" s="414"/>
      <c r="RMQ21" s="414"/>
      <c r="RMR21" s="414"/>
      <c r="RMS21" s="414"/>
      <c r="RMT21" s="414"/>
      <c r="RMU21" s="414"/>
      <c r="RMV21" s="414"/>
      <c r="RMW21" s="414"/>
      <c r="RMX21" s="414"/>
      <c r="RMY21" s="414"/>
      <c r="RMZ21" s="414"/>
      <c r="RNA21" s="414"/>
      <c r="RNB21" s="414"/>
      <c r="RNC21" s="414"/>
      <c r="RND21" s="414"/>
      <c r="RNE21" s="414"/>
      <c r="RNF21" s="414"/>
      <c r="RNG21" s="414"/>
      <c r="RNH21" s="414"/>
      <c r="RNI21" s="414"/>
      <c r="RNJ21" s="414"/>
      <c r="RNK21" s="414"/>
      <c r="RNL21" s="414"/>
      <c r="RNM21" s="414"/>
      <c r="RNN21" s="414"/>
      <c r="RNO21" s="414"/>
      <c r="RNP21" s="414"/>
      <c r="RNQ21" s="414"/>
      <c r="RNR21" s="414"/>
      <c r="RNS21" s="414"/>
      <c r="RNT21" s="414"/>
      <c r="RNU21" s="414"/>
      <c r="RNV21" s="414"/>
      <c r="RNW21" s="414"/>
      <c r="RNX21" s="414"/>
      <c r="RNY21" s="414"/>
      <c r="RNZ21" s="414"/>
      <c r="ROA21" s="414"/>
      <c r="ROB21" s="414"/>
      <c r="ROC21" s="414"/>
      <c r="ROD21" s="414"/>
      <c r="ROE21" s="414"/>
      <c r="ROF21" s="414"/>
      <c r="ROG21" s="414"/>
      <c r="ROH21" s="414"/>
      <c r="ROI21" s="414"/>
      <c r="ROJ21" s="414"/>
      <c r="ROK21" s="414"/>
      <c r="ROL21" s="414"/>
      <c r="ROM21" s="414"/>
      <c r="RON21" s="414"/>
      <c r="ROO21" s="414"/>
      <c r="ROP21" s="414"/>
      <c r="ROQ21" s="414"/>
      <c r="ROR21" s="414"/>
      <c r="ROS21" s="414"/>
      <c r="ROT21" s="414"/>
      <c r="ROU21" s="414"/>
      <c r="ROV21" s="414"/>
      <c r="ROW21" s="414"/>
      <c r="ROX21" s="414"/>
      <c r="ROY21" s="414"/>
      <c r="ROZ21" s="414"/>
      <c r="RPA21" s="414"/>
      <c r="RPB21" s="414"/>
      <c r="RPC21" s="414"/>
      <c r="RPD21" s="414"/>
      <c r="RPE21" s="414"/>
      <c r="RPF21" s="414"/>
      <c r="RPG21" s="414"/>
      <c r="RPH21" s="414"/>
      <c r="RPI21" s="414"/>
      <c r="RPJ21" s="414"/>
      <c r="RPK21" s="414"/>
      <c r="RPL21" s="414"/>
      <c r="RPM21" s="414"/>
      <c r="RPN21" s="414"/>
      <c r="RPO21" s="414"/>
      <c r="RPP21" s="414"/>
      <c r="RPQ21" s="414"/>
      <c r="RPR21" s="414"/>
      <c r="RPS21" s="414"/>
      <c r="RPT21" s="414"/>
      <c r="RPU21" s="414"/>
      <c r="RPV21" s="414"/>
      <c r="RPW21" s="414"/>
      <c r="RPX21" s="414"/>
      <c r="RPY21" s="414"/>
      <c r="RPZ21" s="414"/>
      <c r="RQA21" s="414"/>
      <c r="RQB21" s="414"/>
      <c r="RQC21" s="414"/>
      <c r="RQD21" s="414"/>
      <c r="RQE21" s="414"/>
      <c r="RQF21" s="414"/>
      <c r="RQG21" s="414"/>
      <c r="RQH21" s="414"/>
      <c r="RQI21" s="414"/>
      <c r="RQJ21" s="414"/>
      <c r="RQK21" s="414"/>
      <c r="RQL21" s="414"/>
      <c r="RQM21" s="414"/>
      <c r="RQN21" s="414"/>
      <c r="RQO21" s="414"/>
      <c r="RQP21" s="414"/>
      <c r="RQQ21" s="414"/>
      <c r="RQR21" s="414"/>
      <c r="RQS21" s="414"/>
      <c r="RQT21" s="414"/>
      <c r="RQU21" s="414"/>
      <c r="RQV21" s="414"/>
      <c r="RQW21" s="414"/>
      <c r="RQX21" s="414"/>
      <c r="RQY21" s="414"/>
      <c r="RQZ21" s="414"/>
      <c r="RRA21" s="414"/>
      <c r="RRB21" s="414"/>
      <c r="RRC21" s="414"/>
      <c r="RRD21" s="414"/>
      <c r="RRE21" s="414"/>
      <c r="RRF21" s="414"/>
      <c r="RRG21" s="414"/>
      <c r="RRH21" s="414"/>
      <c r="RRI21" s="414"/>
      <c r="RRJ21" s="414"/>
      <c r="RRK21" s="414"/>
      <c r="RRL21" s="414"/>
      <c r="RRM21" s="414"/>
      <c r="RRN21" s="414"/>
      <c r="RRO21" s="414"/>
      <c r="RRP21" s="414"/>
      <c r="RRQ21" s="414"/>
      <c r="RRR21" s="414"/>
      <c r="RRS21" s="414"/>
      <c r="RRT21" s="414"/>
      <c r="RRU21" s="414"/>
      <c r="RRV21" s="414"/>
      <c r="RRW21" s="414"/>
      <c r="RRX21" s="414"/>
      <c r="RRY21" s="414"/>
      <c r="RRZ21" s="414"/>
      <c r="RSA21" s="414"/>
      <c r="RSB21" s="414"/>
      <c r="RSC21" s="414"/>
      <c r="RSD21" s="414"/>
      <c r="RSE21" s="414"/>
      <c r="RSF21" s="414"/>
      <c r="RSG21" s="414"/>
      <c r="RSH21" s="414"/>
      <c r="RSI21" s="414"/>
      <c r="RSJ21" s="414"/>
      <c r="RSK21" s="414"/>
      <c r="RSL21" s="414"/>
      <c r="RSM21" s="414"/>
      <c r="RSN21" s="414"/>
      <c r="RSO21" s="414"/>
      <c r="RSP21" s="414"/>
      <c r="RSQ21" s="414"/>
      <c r="RSR21" s="414"/>
      <c r="RSS21" s="414"/>
      <c r="RST21" s="414"/>
      <c r="RSU21" s="414"/>
      <c r="RSV21" s="414"/>
      <c r="RSW21" s="414"/>
      <c r="RSX21" s="414"/>
      <c r="RSY21" s="414"/>
      <c r="RSZ21" s="414"/>
      <c r="RTA21" s="414"/>
      <c r="RTB21" s="414"/>
      <c r="RTC21" s="414"/>
      <c r="RTD21" s="414"/>
      <c r="RTE21" s="414"/>
      <c r="RTF21" s="414"/>
      <c r="RTG21" s="414"/>
      <c r="RTH21" s="414"/>
      <c r="RTI21" s="414"/>
      <c r="RTJ21" s="414"/>
      <c r="RTK21" s="414"/>
      <c r="RTL21" s="414"/>
      <c r="RTM21" s="414"/>
      <c r="RTN21" s="414"/>
      <c r="RTO21" s="414"/>
      <c r="RTP21" s="414"/>
      <c r="RTQ21" s="414"/>
      <c r="RTR21" s="414"/>
      <c r="RTS21" s="414"/>
      <c r="RTT21" s="414"/>
      <c r="RTU21" s="414"/>
      <c r="RTV21" s="414"/>
      <c r="RTW21" s="414"/>
      <c r="RTX21" s="414"/>
      <c r="RTY21" s="414"/>
      <c r="RTZ21" s="414"/>
      <c r="RUA21" s="414"/>
      <c r="RUB21" s="414"/>
      <c r="RUC21" s="414"/>
      <c r="RUD21" s="414"/>
      <c r="RUE21" s="414"/>
      <c r="RUF21" s="414"/>
      <c r="RUG21" s="414"/>
      <c r="RUH21" s="414"/>
      <c r="RUI21" s="414"/>
      <c r="RUJ21" s="414"/>
      <c r="RUK21" s="414"/>
      <c r="RUL21" s="414"/>
      <c r="RUM21" s="414"/>
      <c r="RUN21" s="414"/>
      <c r="RUO21" s="414"/>
      <c r="RUP21" s="414"/>
      <c r="RUQ21" s="414"/>
      <c r="RUR21" s="414"/>
      <c r="RUS21" s="414"/>
      <c r="RUT21" s="414"/>
      <c r="RUU21" s="414"/>
      <c r="RUV21" s="414"/>
      <c r="RUW21" s="414"/>
      <c r="RUX21" s="414"/>
      <c r="RUY21" s="414"/>
      <c r="RUZ21" s="414"/>
      <c r="RVA21" s="414"/>
      <c r="RVB21" s="414"/>
      <c r="RVC21" s="414"/>
      <c r="RVD21" s="414"/>
      <c r="RVE21" s="414"/>
      <c r="RVF21" s="414"/>
      <c r="RVG21" s="414"/>
      <c r="RVH21" s="414"/>
      <c r="RVI21" s="414"/>
      <c r="RVJ21" s="414"/>
      <c r="RVK21" s="414"/>
      <c r="RVL21" s="414"/>
      <c r="RVM21" s="414"/>
      <c r="RVN21" s="414"/>
      <c r="RVO21" s="414"/>
      <c r="RVP21" s="414"/>
      <c r="RVQ21" s="414"/>
      <c r="RVR21" s="414"/>
      <c r="RVS21" s="414"/>
      <c r="RVT21" s="414"/>
      <c r="RVU21" s="414"/>
      <c r="RVV21" s="414"/>
      <c r="RVW21" s="414"/>
      <c r="RVX21" s="414"/>
      <c r="RVY21" s="414"/>
      <c r="RVZ21" s="414"/>
      <c r="RWA21" s="414"/>
      <c r="RWB21" s="414"/>
      <c r="RWC21" s="414"/>
      <c r="RWD21" s="414"/>
      <c r="RWE21" s="414"/>
      <c r="RWF21" s="414"/>
      <c r="RWG21" s="414"/>
      <c r="RWH21" s="414"/>
      <c r="RWI21" s="414"/>
      <c r="RWJ21" s="414"/>
      <c r="RWK21" s="414"/>
      <c r="RWL21" s="414"/>
      <c r="RWM21" s="414"/>
      <c r="RWN21" s="414"/>
      <c r="RWO21" s="414"/>
      <c r="RWP21" s="414"/>
      <c r="RWQ21" s="414"/>
      <c r="RWR21" s="414"/>
      <c r="RWS21" s="414"/>
      <c r="RWT21" s="414"/>
      <c r="RWU21" s="414"/>
      <c r="RWV21" s="414"/>
      <c r="RWW21" s="414"/>
      <c r="RWX21" s="414"/>
      <c r="RWY21" s="414"/>
      <c r="RWZ21" s="414"/>
      <c r="RXA21" s="414"/>
      <c r="RXB21" s="414"/>
      <c r="RXC21" s="414"/>
      <c r="RXD21" s="414"/>
      <c r="RXE21" s="414"/>
      <c r="RXF21" s="414"/>
      <c r="RXG21" s="414"/>
      <c r="RXH21" s="414"/>
      <c r="RXI21" s="414"/>
      <c r="RXJ21" s="414"/>
      <c r="RXK21" s="414"/>
      <c r="RXL21" s="414"/>
      <c r="RXM21" s="414"/>
      <c r="RXN21" s="414"/>
      <c r="RXO21" s="414"/>
      <c r="RXP21" s="414"/>
      <c r="RXQ21" s="414"/>
      <c r="RXR21" s="414"/>
      <c r="RXS21" s="414"/>
      <c r="RXT21" s="414"/>
      <c r="RXU21" s="414"/>
      <c r="RXV21" s="414"/>
      <c r="RXW21" s="414"/>
      <c r="RXX21" s="414"/>
      <c r="RXY21" s="414"/>
      <c r="RXZ21" s="414"/>
      <c r="RYA21" s="414"/>
      <c r="RYB21" s="414"/>
      <c r="RYC21" s="414"/>
      <c r="RYD21" s="414"/>
      <c r="RYE21" s="414"/>
      <c r="RYF21" s="414"/>
      <c r="RYG21" s="414"/>
      <c r="RYH21" s="414"/>
      <c r="RYI21" s="414"/>
      <c r="RYJ21" s="414"/>
      <c r="RYK21" s="414"/>
      <c r="RYL21" s="414"/>
      <c r="RYM21" s="414"/>
      <c r="RYN21" s="414"/>
      <c r="RYO21" s="414"/>
      <c r="RYP21" s="414"/>
      <c r="RYQ21" s="414"/>
      <c r="RYR21" s="414"/>
      <c r="RYS21" s="414"/>
      <c r="RYT21" s="414"/>
      <c r="RYU21" s="414"/>
      <c r="RYV21" s="414"/>
      <c r="RYW21" s="414"/>
      <c r="RYX21" s="414"/>
      <c r="RYY21" s="414"/>
      <c r="RYZ21" s="414"/>
      <c r="RZA21" s="414"/>
      <c r="RZB21" s="414"/>
      <c r="RZC21" s="414"/>
      <c r="RZD21" s="414"/>
      <c r="RZE21" s="414"/>
      <c r="RZF21" s="414"/>
      <c r="RZG21" s="414"/>
      <c r="RZH21" s="414"/>
      <c r="RZI21" s="414"/>
      <c r="RZJ21" s="414"/>
      <c r="RZK21" s="414"/>
      <c r="RZL21" s="414"/>
      <c r="RZM21" s="414"/>
      <c r="RZN21" s="414"/>
      <c r="RZO21" s="414"/>
      <c r="RZP21" s="414"/>
      <c r="RZQ21" s="414"/>
      <c r="RZR21" s="414"/>
      <c r="RZS21" s="414"/>
      <c r="RZT21" s="414"/>
      <c r="RZU21" s="414"/>
      <c r="RZV21" s="414"/>
      <c r="RZW21" s="414"/>
      <c r="RZX21" s="414"/>
      <c r="RZY21" s="414"/>
      <c r="RZZ21" s="414"/>
      <c r="SAA21" s="414"/>
      <c r="SAB21" s="414"/>
      <c r="SAC21" s="414"/>
      <c r="SAD21" s="414"/>
      <c r="SAE21" s="414"/>
      <c r="SAF21" s="414"/>
      <c r="SAG21" s="414"/>
      <c r="SAH21" s="414"/>
      <c r="SAI21" s="414"/>
      <c r="SAJ21" s="414"/>
      <c r="SAK21" s="414"/>
      <c r="SAL21" s="414"/>
      <c r="SAM21" s="414"/>
      <c r="SAN21" s="414"/>
      <c r="SAO21" s="414"/>
      <c r="SAP21" s="414"/>
      <c r="SAQ21" s="414"/>
      <c r="SAR21" s="414"/>
      <c r="SAS21" s="414"/>
      <c r="SAT21" s="414"/>
      <c r="SAU21" s="414"/>
      <c r="SAV21" s="414"/>
      <c r="SAW21" s="414"/>
      <c r="SAX21" s="414"/>
      <c r="SAY21" s="414"/>
      <c r="SAZ21" s="414"/>
      <c r="SBA21" s="414"/>
      <c r="SBB21" s="414"/>
      <c r="SBC21" s="414"/>
      <c r="SBD21" s="414"/>
      <c r="SBE21" s="414"/>
      <c r="SBF21" s="414"/>
      <c r="SBG21" s="414"/>
      <c r="SBH21" s="414"/>
      <c r="SBI21" s="414"/>
      <c r="SBJ21" s="414"/>
      <c r="SBK21" s="414"/>
      <c r="SBL21" s="414"/>
      <c r="SBM21" s="414"/>
      <c r="SBN21" s="414"/>
      <c r="SBO21" s="414"/>
      <c r="SBP21" s="414"/>
      <c r="SBQ21" s="414"/>
      <c r="SBR21" s="414"/>
      <c r="SBS21" s="414"/>
      <c r="SBT21" s="414"/>
      <c r="SBU21" s="414"/>
      <c r="SBV21" s="414"/>
      <c r="SBW21" s="414"/>
      <c r="SBX21" s="414"/>
      <c r="SBY21" s="414"/>
      <c r="SBZ21" s="414"/>
      <c r="SCA21" s="414"/>
      <c r="SCB21" s="414"/>
      <c r="SCC21" s="414"/>
      <c r="SCD21" s="414"/>
      <c r="SCE21" s="414"/>
      <c r="SCF21" s="414"/>
      <c r="SCG21" s="414"/>
      <c r="SCH21" s="414"/>
      <c r="SCI21" s="414"/>
      <c r="SCJ21" s="414"/>
      <c r="SCK21" s="414"/>
      <c r="SCL21" s="414"/>
      <c r="SCM21" s="414"/>
      <c r="SCN21" s="414"/>
      <c r="SCO21" s="414"/>
      <c r="SCP21" s="414"/>
      <c r="SCQ21" s="414"/>
      <c r="SCR21" s="414"/>
      <c r="SCS21" s="414"/>
      <c r="SCT21" s="414"/>
      <c r="SCU21" s="414"/>
      <c r="SCV21" s="414"/>
      <c r="SCW21" s="414"/>
      <c r="SCX21" s="414"/>
      <c r="SCY21" s="414"/>
      <c r="SCZ21" s="414"/>
      <c r="SDA21" s="414"/>
      <c r="SDB21" s="414"/>
      <c r="SDC21" s="414"/>
      <c r="SDD21" s="414"/>
      <c r="SDE21" s="414"/>
      <c r="SDF21" s="414"/>
      <c r="SDG21" s="414"/>
      <c r="SDH21" s="414"/>
      <c r="SDI21" s="414"/>
      <c r="SDJ21" s="414"/>
      <c r="SDK21" s="414"/>
      <c r="SDL21" s="414"/>
      <c r="SDM21" s="414"/>
      <c r="SDN21" s="414"/>
      <c r="SDO21" s="414"/>
      <c r="SDP21" s="414"/>
      <c r="SDQ21" s="414"/>
      <c r="SDR21" s="414"/>
      <c r="SDS21" s="414"/>
      <c r="SDT21" s="414"/>
      <c r="SDU21" s="414"/>
      <c r="SDV21" s="414"/>
      <c r="SDW21" s="414"/>
      <c r="SDX21" s="414"/>
      <c r="SDY21" s="414"/>
      <c r="SDZ21" s="414"/>
      <c r="SEA21" s="414"/>
      <c r="SEB21" s="414"/>
      <c r="SEC21" s="414"/>
      <c r="SED21" s="414"/>
      <c r="SEE21" s="414"/>
      <c r="SEF21" s="414"/>
      <c r="SEG21" s="414"/>
      <c r="SEH21" s="414"/>
      <c r="SEI21" s="414"/>
      <c r="SEJ21" s="414"/>
      <c r="SEK21" s="414"/>
      <c r="SEL21" s="414"/>
      <c r="SEM21" s="414"/>
      <c r="SEN21" s="414"/>
      <c r="SEO21" s="414"/>
      <c r="SEP21" s="414"/>
      <c r="SEQ21" s="414"/>
      <c r="SER21" s="414"/>
      <c r="SES21" s="414"/>
      <c r="SET21" s="414"/>
      <c r="SEU21" s="414"/>
      <c r="SEV21" s="414"/>
      <c r="SEW21" s="414"/>
      <c r="SEX21" s="414"/>
      <c r="SEY21" s="414"/>
      <c r="SEZ21" s="414"/>
      <c r="SFA21" s="414"/>
      <c r="SFB21" s="414"/>
      <c r="SFC21" s="414"/>
      <c r="SFD21" s="414"/>
      <c r="SFE21" s="414"/>
      <c r="SFF21" s="414"/>
      <c r="SFG21" s="414"/>
      <c r="SFH21" s="414"/>
      <c r="SFI21" s="414"/>
      <c r="SFJ21" s="414"/>
      <c r="SFK21" s="414"/>
      <c r="SFL21" s="414"/>
      <c r="SFM21" s="414"/>
      <c r="SFN21" s="414"/>
      <c r="SFO21" s="414"/>
      <c r="SFP21" s="414"/>
      <c r="SFQ21" s="414"/>
      <c r="SFR21" s="414"/>
      <c r="SFS21" s="414"/>
      <c r="SFT21" s="414"/>
      <c r="SFU21" s="414"/>
      <c r="SFV21" s="414"/>
      <c r="SFW21" s="414"/>
      <c r="SFX21" s="414"/>
      <c r="SFY21" s="414"/>
      <c r="SFZ21" s="414"/>
      <c r="SGA21" s="414"/>
      <c r="SGB21" s="414"/>
      <c r="SGC21" s="414"/>
      <c r="SGD21" s="414"/>
      <c r="SGE21" s="414"/>
      <c r="SGF21" s="414"/>
      <c r="SGG21" s="414"/>
      <c r="SGH21" s="414"/>
      <c r="SGI21" s="414"/>
      <c r="SGJ21" s="414"/>
      <c r="SGK21" s="414"/>
      <c r="SGL21" s="414"/>
      <c r="SGM21" s="414"/>
      <c r="SGN21" s="414"/>
      <c r="SGO21" s="414"/>
      <c r="SGP21" s="414"/>
      <c r="SGQ21" s="414"/>
      <c r="SGR21" s="414"/>
      <c r="SGS21" s="414"/>
      <c r="SGT21" s="414"/>
      <c r="SGU21" s="414"/>
      <c r="SGV21" s="414"/>
      <c r="SGW21" s="414"/>
      <c r="SGX21" s="414"/>
      <c r="SGY21" s="414"/>
      <c r="SGZ21" s="414"/>
      <c r="SHA21" s="414"/>
      <c r="SHB21" s="414"/>
      <c r="SHC21" s="414"/>
      <c r="SHD21" s="414"/>
      <c r="SHE21" s="414"/>
      <c r="SHF21" s="414"/>
      <c r="SHG21" s="414"/>
      <c r="SHH21" s="414"/>
      <c r="SHI21" s="414"/>
      <c r="SHJ21" s="414"/>
      <c r="SHK21" s="414"/>
      <c r="SHL21" s="414"/>
      <c r="SHM21" s="414"/>
      <c r="SHN21" s="414"/>
      <c r="SHO21" s="414"/>
      <c r="SHP21" s="414"/>
      <c r="SHQ21" s="414"/>
      <c r="SHR21" s="414"/>
      <c r="SHS21" s="414"/>
      <c r="SHT21" s="414"/>
      <c r="SHU21" s="414"/>
      <c r="SHV21" s="414"/>
      <c r="SHW21" s="414"/>
      <c r="SHX21" s="414"/>
      <c r="SHY21" s="414"/>
      <c r="SHZ21" s="414"/>
      <c r="SIA21" s="414"/>
      <c r="SIB21" s="414"/>
      <c r="SIC21" s="414"/>
      <c r="SID21" s="414"/>
      <c r="SIE21" s="414"/>
      <c r="SIF21" s="414"/>
      <c r="SIG21" s="414"/>
      <c r="SIH21" s="414"/>
      <c r="SII21" s="414"/>
      <c r="SIJ21" s="414"/>
      <c r="SIK21" s="414"/>
      <c r="SIL21" s="414"/>
      <c r="SIM21" s="414"/>
      <c r="SIN21" s="414"/>
      <c r="SIO21" s="414"/>
      <c r="SIP21" s="414"/>
      <c r="SIQ21" s="414"/>
      <c r="SIR21" s="414"/>
      <c r="SIS21" s="414"/>
      <c r="SIT21" s="414"/>
      <c r="SIU21" s="414"/>
      <c r="SIV21" s="414"/>
      <c r="SIW21" s="414"/>
      <c r="SIX21" s="414"/>
      <c r="SIY21" s="414"/>
      <c r="SIZ21" s="414"/>
      <c r="SJA21" s="414"/>
      <c r="SJB21" s="414"/>
      <c r="SJC21" s="414"/>
      <c r="SJD21" s="414"/>
      <c r="SJE21" s="414"/>
      <c r="SJF21" s="414"/>
      <c r="SJG21" s="414"/>
      <c r="SJH21" s="414"/>
      <c r="SJI21" s="414"/>
      <c r="SJJ21" s="414"/>
      <c r="SJK21" s="414"/>
      <c r="SJL21" s="414"/>
      <c r="SJM21" s="414"/>
      <c r="SJN21" s="414"/>
      <c r="SJO21" s="414"/>
      <c r="SJP21" s="414"/>
      <c r="SJQ21" s="414"/>
      <c r="SJR21" s="414"/>
      <c r="SJS21" s="414"/>
      <c r="SJT21" s="414"/>
      <c r="SJU21" s="414"/>
      <c r="SJV21" s="414"/>
      <c r="SJW21" s="414"/>
      <c r="SJX21" s="414"/>
      <c r="SJY21" s="414"/>
      <c r="SJZ21" s="414"/>
      <c r="SKA21" s="414"/>
      <c r="SKB21" s="414"/>
      <c r="SKC21" s="414"/>
      <c r="SKD21" s="414"/>
      <c r="SKE21" s="414"/>
      <c r="SKF21" s="414"/>
      <c r="SKG21" s="414"/>
      <c r="SKH21" s="414"/>
      <c r="SKI21" s="414"/>
      <c r="SKJ21" s="414"/>
      <c r="SKK21" s="414"/>
      <c r="SKL21" s="414"/>
      <c r="SKM21" s="414"/>
      <c r="SKN21" s="414"/>
      <c r="SKO21" s="414"/>
      <c r="SKP21" s="414"/>
      <c r="SKQ21" s="414"/>
      <c r="SKR21" s="414"/>
      <c r="SKS21" s="414"/>
      <c r="SKT21" s="414"/>
      <c r="SKU21" s="414"/>
      <c r="SKV21" s="414"/>
      <c r="SKW21" s="414"/>
      <c r="SKX21" s="414"/>
      <c r="SKY21" s="414"/>
      <c r="SKZ21" s="414"/>
      <c r="SLA21" s="414"/>
      <c r="SLB21" s="414"/>
      <c r="SLC21" s="414"/>
      <c r="SLD21" s="414"/>
      <c r="SLE21" s="414"/>
      <c r="SLF21" s="414"/>
      <c r="SLG21" s="414"/>
      <c r="SLH21" s="414"/>
      <c r="SLI21" s="414"/>
      <c r="SLJ21" s="414"/>
      <c r="SLK21" s="414"/>
      <c r="SLL21" s="414"/>
      <c r="SLM21" s="414"/>
      <c r="SLN21" s="414"/>
      <c r="SLO21" s="414"/>
      <c r="SLP21" s="414"/>
      <c r="SLQ21" s="414"/>
      <c r="SLR21" s="414"/>
      <c r="SLS21" s="414"/>
      <c r="SLT21" s="414"/>
      <c r="SLU21" s="414"/>
      <c r="SLV21" s="414"/>
      <c r="SLW21" s="414"/>
      <c r="SLX21" s="414"/>
      <c r="SLY21" s="414"/>
      <c r="SLZ21" s="414"/>
      <c r="SMA21" s="414"/>
      <c r="SMB21" s="414"/>
      <c r="SMC21" s="414"/>
      <c r="SMD21" s="414"/>
      <c r="SME21" s="414"/>
      <c r="SMF21" s="414"/>
      <c r="SMG21" s="414"/>
      <c r="SMH21" s="414"/>
      <c r="SMI21" s="414"/>
      <c r="SMJ21" s="414"/>
      <c r="SMK21" s="414"/>
      <c r="SML21" s="414"/>
      <c r="SMM21" s="414"/>
      <c r="SMN21" s="414"/>
      <c r="SMO21" s="414"/>
      <c r="SMP21" s="414"/>
      <c r="SMQ21" s="414"/>
      <c r="SMR21" s="414"/>
      <c r="SMS21" s="414"/>
      <c r="SMT21" s="414"/>
      <c r="SMU21" s="414"/>
      <c r="SMV21" s="414"/>
      <c r="SMW21" s="414"/>
      <c r="SMX21" s="414"/>
      <c r="SMY21" s="414"/>
      <c r="SMZ21" s="414"/>
      <c r="SNA21" s="414"/>
      <c r="SNB21" s="414"/>
      <c r="SNC21" s="414"/>
      <c r="SND21" s="414"/>
      <c r="SNE21" s="414"/>
      <c r="SNF21" s="414"/>
      <c r="SNG21" s="414"/>
      <c r="SNH21" s="414"/>
      <c r="SNI21" s="414"/>
      <c r="SNJ21" s="414"/>
      <c r="SNK21" s="414"/>
      <c r="SNL21" s="414"/>
      <c r="SNM21" s="414"/>
      <c r="SNN21" s="414"/>
      <c r="SNO21" s="414"/>
      <c r="SNP21" s="414"/>
      <c r="SNQ21" s="414"/>
      <c r="SNR21" s="414"/>
      <c r="SNS21" s="414"/>
      <c r="SNT21" s="414"/>
      <c r="SNU21" s="414"/>
      <c r="SNV21" s="414"/>
      <c r="SNW21" s="414"/>
      <c r="SNX21" s="414"/>
      <c r="SNY21" s="414"/>
      <c r="SNZ21" s="414"/>
      <c r="SOA21" s="414"/>
      <c r="SOB21" s="414"/>
      <c r="SOC21" s="414"/>
      <c r="SOD21" s="414"/>
      <c r="SOE21" s="414"/>
      <c r="SOF21" s="414"/>
      <c r="SOG21" s="414"/>
      <c r="SOH21" s="414"/>
      <c r="SOI21" s="414"/>
      <c r="SOJ21" s="414"/>
      <c r="SOK21" s="414"/>
      <c r="SOL21" s="414"/>
      <c r="SOM21" s="414"/>
      <c r="SON21" s="414"/>
      <c r="SOO21" s="414"/>
      <c r="SOP21" s="414"/>
      <c r="SOQ21" s="414"/>
      <c r="SOR21" s="414"/>
      <c r="SOS21" s="414"/>
      <c r="SOT21" s="414"/>
      <c r="SOU21" s="414"/>
      <c r="SOV21" s="414"/>
      <c r="SOW21" s="414"/>
      <c r="SOX21" s="414"/>
      <c r="SOY21" s="414"/>
      <c r="SOZ21" s="414"/>
      <c r="SPA21" s="414"/>
      <c r="SPB21" s="414"/>
      <c r="SPC21" s="414"/>
      <c r="SPD21" s="414"/>
      <c r="SPE21" s="414"/>
      <c r="SPF21" s="414"/>
      <c r="SPG21" s="414"/>
      <c r="SPH21" s="414"/>
      <c r="SPI21" s="414"/>
      <c r="SPJ21" s="414"/>
      <c r="SPK21" s="414"/>
      <c r="SPL21" s="414"/>
      <c r="SPM21" s="414"/>
      <c r="SPN21" s="414"/>
      <c r="SPO21" s="414"/>
      <c r="SPP21" s="414"/>
      <c r="SPQ21" s="414"/>
      <c r="SPR21" s="414"/>
      <c r="SPS21" s="414"/>
      <c r="SPT21" s="414"/>
      <c r="SPU21" s="414"/>
      <c r="SPV21" s="414"/>
      <c r="SPW21" s="414"/>
      <c r="SPX21" s="414"/>
      <c r="SPY21" s="414"/>
      <c r="SPZ21" s="414"/>
      <c r="SQA21" s="414"/>
      <c r="SQB21" s="414"/>
      <c r="SQC21" s="414"/>
      <c r="SQD21" s="414"/>
      <c r="SQE21" s="414"/>
      <c r="SQF21" s="414"/>
      <c r="SQG21" s="414"/>
      <c r="SQH21" s="414"/>
      <c r="SQI21" s="414"/>
      <c r="SQJ21" s="414"/>
      <c r="SQK21" s="414"/>
      <c r="SQL21" s="414"/>
      <c r="SQM21" s="414"/>
      <c r="SQN21" s="414"/>
      <c r="SQO21" s="414"/>
      <c r="SQP21" s="414"/>
      <c r="SQQ21" s="414"/>
      <c r="SQR21" s="414"/>
      <c r="SQS21" s="414"/>
      <c r="SQT21" s="414"/>
      <c r="SQU21" s="414"/>
      <c r="SQV21" s="414"/>
      <c r="SQW21" s="414"/>
      <c r="SQX21" s="414"/>
      <c r="SQY21" s="414"/>
      <c r="SQZ21" s="414"/>
      <c r="SRA21" s="414"/>
      <c r="SRB21" s="414"/>
      <c r="SRC21" s="414"/>
      <c r="SRD21" s="414"/>
      <c r="SRE21" s="414"/>
      <c r="SRF21" s="414"/>
      <c r="SRG21" s="414"/>
      <c r="SRH21" s="414"/>
      <c r="SRI21" s="414"/>
      <c r="SRJ21" s="414"/>
      <c r="SRK21" s="414"/>
      <c r="SRL21" s="414"/>
      <c r="SRM21" s="414"/>
      <c r="SRN21" s="414"/>
      <c r="SRO21" s="414"/>
      <c r="SRP21" s="414"/>
      <c r="SRQ21" s="414"/>
      <c r="SRR21" s="414"/>
      <c r="SRS21" s="414"/>
      <c r="SRT21" s="414"/>
      <c r="SRU21" s="414"/>
      <c r="SRV21" s="414"/>
      <c r="SRW21" s="414"/>
      <c r="SRX21" s="414"/>
      <c r="SRY21" s="414"/>
      <c r="SRZ21" s="414"/>
      <c r="SSA21" s="414"/>
      <c r="SSB21" s="414"/>
      <c r="SSC21" s="414"/>
      <c r="SSD21" s="414"/>
      <c r="SSE21" s="414"/>
      <c r="SSF21" s="414"/>
      <c r="SSG21" s="414"/>
      <c r="SSH21" s="414"/>
      <c r="SSI21" s="414"/>
      <c r="SSJ21" s="414"/>
      <c r="SSK21" s="414"/>
      <c r="SSL21" s="414"/>
      <c r="SSM21" s="414"/>
      <c r="SSN21" s="414"/>
      <c r="SSO21" s="414"/>
      <c r="SSP21" s="414"/>
      <c r="SSQ21" s="414"/>
      <c r="SSR21" s="414"/>
      <c r="SSS21" s="414"/>
      <c r="SST21" s="414"/>
      <c r="SSU21" s="414"/>
      <c r="SSV21" s="414"/>
      <c r="SSW21" s="414"/>
      <c r="SSX21" s="414"/>
      <c r="SSY21" s="414"/>
      <c r="SSZ21" s="414"/>
      <c r="STA21" s="414"/>
      <c r="STB21" s="414"/>
      <c r="STC21" s="414"/>
      <c r="STD21" s="414"/>
      <c r="STE21" s="414"/>
      <c r="STF21" s="414"/>
      <c r="STG21" s="414"/>
      <c r="STH21" s="414"/>
      <c r="STI21" s="414"/>
      <c r="STJ21" s="414"/>
      <c r="STK21" s="414"/>
      <c r="STL21" s="414"/>
      <c r="STM21" s="414"/>
      <c r="STN21" s="414"/>
      <c r="STO21" s="414"/>
      <c r="STP21" s="414"/>
      <c r="STQ21" s="414"/>
      <c r="STR21" s="414"/>
      <c r="STS21" s="414"/>
      <c r="STT21" s="414"/>
      <c r="STU21" s="414"/>
      <c r="STV21" s="414"/>
      <c r="STW21" s="414"/>
      <c r="STX21" s="414"/>
      <c r="STY21" s="414"/>
      <c r="STZ21" s="414"/>
      <c r="SUA21" s="414"/>
      <c r="SUB21" s="414"/>
      <c r="SUC21" s="414"/>
      <c r="SUD21" s="414"/>
      <c r="SUE21" s="414"/>
      <c r="SUF21" s="414"/>
      <c r="SUG21" s="414"/>
      <c r="SUH21" s="414"/>
      <c r="SUI21" s="414"/>
      <c r="SUJ21" s="414"/>
      <c r="SUK21" s="414"/>
      <c r="SUL21" s="414"/>
      <c r="SUM21" s="414"/>
      <c r="SUN21" s="414"/>
      <c r="SUO21" s="414"/>
      <c r="SUP21" s="414"/>
      <c r="SUQ21" s="414"/>
      <c r="SUR21" s="414"/>
      <c r="SUS21" s="414"/>
      <c r="SUT21" s="414"/>
      <c r="SUU21" s="414"/>
      <c r="SUV21" s="414"/>
      <c r="SUW21" s="414"/>
      <c r="SUX21" s="414"/>
      <c r="SUY21" s="414"/>
      <c r="SUZ21" s="414"/>
      <c r="SVA21" s="414"/>
      <c r="SVB21" s="414"/>
      <c r="SVC21" s="414"/>
      <c r="SVD21" s="414"/>
      <c r="SVE21" s="414"/>
      <c r="SVF21" s="414"/>
      <c r="SVG21" s="414"/>
      <c r="SVH21" s="414"/>
      <c r="SVI21" s="414"/>
      <c r="SVJ21" s="414"/>
      <c r="SVK21" s="414"/>
      <c r="SVL21" s="414"/>
      <c r="SVM21" s="414"/>
      <c r="SVN21" s="414"/>
      <c r="SVO21" s="414"/>
      <c r="SVP21" s="414"/>
      <c r="SVQ21" s="414"/>
      <c r="SVR21" s="414"/>
      <c r="SVS21" s="414"/>
      <c r="SVT21" s="414"/>
      <c r="SVU21" s="414"/>
      <c r="SVV21" s="414"/>
      <c r="SVW21" s="414"/>
      <c r="SVX21" s="414"/>
      <c r="SVY21" s="414"/>
      <c r="SVZ21" s="414"/>
      <c r="SWA21" s="414"/>
      <c r="SWB21" s="414"/>
      <c r="SWC21" s="414"/>
      <c r="SWD21" s="414"/>
      <c r="SWE21" s="414"/>
      <c r="SWF21" s="414"/>
      <c r="SWG21" s="414"/>
      <c r="SWH21" s="414"/>
      <c r="SWI21" s="414"/>
      <c r="SWJ21" s="414"/>
      <c r="SWK21" s="414"/>
      <c r="SWL21" s="414"/>
      <c r="SWM21" s="414"/>
      <c r="SWN21" s="414"/>
      <c r="SWO21" s="414"/>
      <c r="SWP21" s="414"/>
      <c r="SWQ21" s="414"/>
      <c r="SWR21" s="414"/>
      <c r="SWS21" s="414"/>
      <c r="SWT21" s="414"/>
      <c r="SWU21" s="414"/>
      <c r="SWV21" s="414"/>
      <c r="SWW21" s="414"/>
      <c r="SWX21" s="414"/>
      <c r="SWY21" s="414"/>
      <c r="SWZ21" s="414"/>
      <c r="SXA21" s="414"/>
      <c r="SXB21" s="414"/>
      <c r="SXC21" s="414"/>
      <c r="SXD21" s="414"/>
      <c r="SXE21" s="414"/>
      <c r="SXF21" s="414"/>
      <c r="SXG21" s="414"/>
      <c r="SXH21" s="414"/>
      <c r="SXI21" s="414"/>
      <c r="SXJ21" s="414"/>
      <c r="SXK21" s="414"/>
      <c r="SXL21" s="414"/>
      <c r="SXM21" s="414"/>
      <c r="SXN21" s="414"/>
      <c r="SXO21" s="414"/>
      <c r="SXP21" s="414"/>
      <c r="SXQ21" s="414"/>
      <c r="SXR21" s="414"/>
      <c r="SXS21" s="414"/>
      <c r="SXT21" s="414"/>
      <c r="SXU21" s="414"/>
      <c r="SXV21" s="414"/>
      <c r="SXW21" s="414"/>
      <c r="SXX21" s="414"/>
      <c r="SXY21" s="414"/>
      <c r="SXZ21" s="414"/>
      <c r="SYA21" s="414"/>
      <c r="SYB21" s="414"/>
      <c r="SYC21" s="414"/>
      <c r="SYD21" s="414"/>
      <c r="SYE21" s="414"/>
      <c r="SYF21" s="414"/>
      <c r="SYG21" s="414"/>
      <c r="SYH21" s="414"/>
      <c r="SYI21" s="414"/>
      <c r="SYJ21" s="414"/>
      <c r="SYK21" s="414"/>
      <c r="SYL21" s="414"/>
      <c r="SYM21" s="414"/>
      <c r="SYN21" s="414"/>
      <c r="SYO21" s="414"/>
      <c r="SYP21" s="414"/>
      <c r="SYQ21" s="414"/>
      <c r="SYR21" s="414"/>
      <c r="SYS21" s="414"/>
      <c r="SYT21" s="414"/>
      <c r="SYU21" s="414"/>
      <c r="SYV21" s="414"/>
      <c r="SYW21" s="414"/>
      <c r="SYX21" s="414"/>
      <c r="SYY21" s="414"/>
      <c r="SYZ21" s="414"/>
      <c r="SZA21" s="414"/>
      <c r="SZB21" s="414"/>
      <c r="SZC21" s="414"/>
      <c r="SZD21" s="414"/>
      <c r="SZE21" s="414"/>
      <c r="SZF21" s="414"/>
      <c r="SZG21" s="414"/>
      <c r="SZH21" s="414"/>
      <c r="SZI21" s="414"/>
      <c r="SZJ21" s="414"/>
      <c r="SZK21" s="414"/>
      <c r="SZL21" s="414"/>
      <c r="SZM21" s="414"/>
      <c r="SZN21" s="414"/>
      <c r="SZO21" s="414"/>
      <c r="SZP21" s="414"/>
      <c r="SZQ21" s="414"/>
      <c r="SZR21" s="414"/>
      <c r="SZS21" s="414"/>
      <c r="SZT21" s="414"/>
      <c r="SZU21" s="414"/>
      <c r="SZV21" s="414"/>
      <c r="SZW21" s="414"/>
      <c r="SZX21" s="414"/>
      <c r="SZY21" s="414"/>
      <c r="SZZ21" s="414"/>
      <c r="TAA21" s="414"/>
      <c r="TAB21" s="414"/>
      <c r="TAC21" s="414"/>
      <c r="TAD21" s="414"/>
      <c r="TAE21" s="414"/>
      <c r="TAF21" s="414"/>
      <c r="TAG21" s="414"/>
      <c r="TAH21" s="414"/>
      <c r="TAI21" s="414"/>
      <c r="TAJ21" s="414"/>
      <c r="TAK21" s="414"/>
      <c r="TAL21" s="414"/>
      <c r="TAM21" s="414"/>
      <c r="TAN21" s="414"/>
      <c r="TAO21" s="414"/>
      <c r="TAP21" s="414"/>
      <c r="TAQ21" s="414"/>
      <c r="TAR21" s="414"/>
      <c r="TAS21" s="414"/>
      <c r="TAT21" s="414"/>
      <c r="TAU21" s="414"/>
      <c r="TAV21" s="414"/>
      <c r="TAW21" s="414"/>
      <c r="TAX21" s="414"/>
      <c r="TAY21" s="414"/>
      <c r="TAZ21" s="414"/>
      <c r="TBA21" s="414"/>
      <c r="TBB21" s="414"/>
      <c r="TBC21" s="414"/>
      <c r="TBD21" s="414"/>
      <c r="TBE21" s="414"/>
      <c r="TBF21" s="414"/>
      <c r="TBG21" s="414"/>
      <c r="TBH21" s="414"/>
      <c r="TBI21" s="414"/>
      <c r="TBJ21" s="414"/>
      <c r="TBK21" s="414"/>
      <c r="TBL21" s="414"/>
      <c r="TBM21" s="414"/>
      <c r="TBN21" s="414"/>
      <c r="TBO21" s="414"/>
      <c r="TBP21" s="414"/>
      <c r="TBQ21" s="414"/>
      <c r="TBR21" s="414"/>
      <c r="TBS21" s="414"/>
      <c r="TBT21" s="414"/>
      <c r="TBU21" s="414"/>
      <c r="TBV21" s="414"/>
      <c r="TBW21" s="414"/>
      <c r="TBX21" s="414"/>
      <c r="TBY21" s="414"/>
      <c r="TBZ21" s="414"/>
      <c r="TCA21" s="414"/>
      <c r="TCB21" s="414"/>
      <c r="TCC21" s="414"/>
      <c r="TCD21" s="414"/>
      <c r="TCE21" s="414"/>
      <c r="TCF21" s="414"/>
      <c r="TCG21" s="414"/>
      <c r="TCH21" s="414"/>
      <c r="TCI21" s="414"/>
      <c r="TCJ21" s="414"/>
      <c r="TCK21" s="414"/>
      <c r="TCL21" s="414"/>
      <c r="TCM21" s="414"/>
      <c r="TCN21" s="414"/>
      <c r="TCO21" s="414"/>
      <c r="TCP21" s="414"/>
      <c r="TCQ21" s="414"/>
      <c r="TCR21" s="414"/>
      <c r="TCS21" s="414"/>
      <c r="TCT21" s="414"/>
      <c r="TCU21" s="414"/>
      <c r="TCV21" s="414"/>
      <c r="TCW21" s="414"/>
      <c r="TCX21" s="414"/>
      <c r="TCY21" s="414"/>
      <c r="TCZ21" s="414"/>
      <c r="TDA21" s="414"/>
      <c r="TDB21" s="414"/>
      <c r="TDC21" s="414"/>
      <c r="TDD21" s="414"/>
      <c r="TDE21" s="414"/>
      <c r="TDF21" s="414"/>
      <c r="TDG21" s="414"/>
      <c r="TDH21" s="414"/>
      <c r="TDI21" s="414"/>
      <c r="TDJ21" s="414"/>
      <c r="TDK21" s="414"/>
      <c r="TDL21" s="414"/>
      <c r="TDM21" s="414"/>
      <c r="TDN21" s="414"/>
      <c r="TDO21" s="414"/>
      <c r="TDP21" s="414"/>
      <c r="TDQ21" s="414"/>
      <c r="TDR21" s="414"/>
      <c r="TDS21" s="414"/>
      <c r="TDT21" s="414"/>
      <c r="TDU21" s="414"/>
      <c r="TDV21" s="414"/>
      <c r="TDW21" s="414"/>
      <c r="TDX21" s="414"/>
      <c r="TDY21" s="414"/>
      <c r="TDZ21" s="414"/>
      <c r="TEA21" s="414"/>
      <c r="TEB21" s="414"/>
      <c r="TEC21" s="414"/>
      <c r="TED21" s="414"/>
      <c r="TEE21" s="414"/>
      <c r="TEF21" s="414"/>
      <c r="TEG21" s="414"/>
      <c r="TEH21" s="414"/>
      <c r="TEI21" s="414"/>
      <c r="TEJ21" s="414"/>
      <c r="TEK21" s="414"/>
      <c r="TEL21" s="414"/>
      <c r="TEM21" s="414"/>
      <c r="TEN21" s="414"/>
      <c r="TEO21" s="414"/>
      <c r="TEP21" s="414"/>
      <c r="TEQ21" s="414"/>
      <c r="TER21" s="414"/>
      <c r="TES21" s="414"/>
      <c r="TET21" s="414"/>
      <c r="TEU21" s="414"/>
      <c r="TEV21" s="414"/>
      <c r="TEW21" s="414"/>
      <c r="TEX21" s="414"/>
      <c r="TEY21" s="414"/>
      <c r="TEZ21" s="414"/>
      <c r="TFA21" s="414"/>
      <c r="TFB21" s="414"/>
      <c r="TFC21" s="414"/>
      <c r="TFD21" s="414"/>
      <c r="TFE21" s="414"/>
      <c r="TFF21" s="414"/>
      <c r="TFG21" s="414"/>
      <c r="TFH21" s="414"/>
      <c r="TFI21" s="414"/>
      <c r="TFJ21" s="414"/>
      <c r="TFK21" s="414"/>
      <c r="TFL21" s="414"/>
      <c r="TFM21" s="414"/>
      <c r="TFN21" s="414"/>
      <c r="TFO21" s="414"/>
      <c r="TFP21" s="414"/>
      <c r="TFQ21" s="414"/>
      <c r="TFR21" s="414"/>
      <c r="TFS21" s="414"/>
      <c r="TFT21" s="414"/>
      <c r="TFU21" s="414"/>
      <c r="TFV21" s="414"/>
      <c r="TFW21" s="414"/>
      <c r="TFX21" s="414"/>
      <c r="TFY21" s="414"/>
      <c r="TFZ21" s="414"/>
      <c r="TGA21" s="414"/>
      <c r="TGB21" s="414"/>
      <c r="TGC21" s="414"/>
      <c r="TGD21" s="414"/>
      <c r="TGE21" s="414"/>
      <c r="TGF21" s="414"/>
      <c r="TGG21" s="414"/>
      <c r="TGH21" s="414"/>
      <c r="TGI21" s="414"/>
      <c r="TGJ21" s="414"/>
      <c r="TGK21" s="414"/>
      <c r="TGL21" s="414"/>
      <c r="TGM21" s="414"/>
      <c r="TGN21" s="414"/>
      <c r="TGO21" s="414"/>
      <c r="TGP21" s="414"/>
      <c r="TGQ21" s="414"/>
      <c r="TGR21" s="414"/>
      <c r="TGS21" s="414"/>
      <c r="TGT21" s="414"/>
      <c r="TGU21" s="414"/>
      <c r="TGV21" s="414"/>
      <c r="TGW21" s="414"/>
      <c r="TGX21" s="414"/>
      <c r="TGY21" s="414"/>
      <c r="TGZ21" s="414"/>
      <c r="THA21" s="414"/>
      <c r="THB21" s="414"/>
      <c r="THC21" s="414"/>
      <c r="THD21" s="414"/>
      <c r="THE21" s="414"/>
      <c r="THF21" s="414"/>
      <c r="THG21" s="414"/>
      <c r="THH21" s="414"/>
      <c r="THI21" s="414"/>
      <c r="THJ21" s="414"/>
      <c r="THK21" s="414"/>
      <c r="THL21" s="414"/>
      <c r="THM21" s="414"/>
      <c r="THN21" s="414"/>
      <c r="THO21" s="414"/>
      <c r="THP21" s="414"/>
      <c r="THQ21" s="414"/>
      <c r="THR21" s="414"/>
      <c r="THS21" s="414"/>
      <c r="THT21" s="414"/>
      <c r="THU21" s="414"/>
      <c r="THV21" s="414"/>
      <c r="THW21" s="414"/>
      <c r="THX21" s="414"/>
      <c r="THY21" s="414"/>
      <c r="THZ21" s="414"/>
      <c r="TIA21" s="414"/>
      <c r="TIB21" s="414"/>
      <c r="TIC21" s="414"/>
      <c r="TID21" s="414"/>
      <c r="TIE21" s="414"/>
      <c r="TIF21" s="414"/>
      <c r="TIG21" s="414"/>
      <c r="TIH21" s="414"/>
      <c r="TII21" s="414"/>
      <c r="TIJ21" s="414"/>
      <c r="TIK21" s="414"/>
      <c r="TIL21" s="414"/>
      <c r="TIM21" s="414"/>
      <c r="TIN21" s="414"/>
      <c r="TIO21" s="414"/>
      <c r="TIP21" s="414"/>
      <c r="TIQ21" s="414"/>
      <c r="TIR21" s="414"/>
      <c r="TIS21" s="414"/>
      <c r="TIT21" s="414"/>
      <c r="TIU21" s="414"/>
      <c r="TIV21" s="414"/>
      <c r="TIW21" s="414"/>
      <c r="TIX21" s="414"/>
      <c r="TIY21" s="414"/>
      <c r="TIZ21" s="414"/>
      <c r="TJA21" s="414"/>
      <c r="TJB21" s="414"/>
      <c r="TJC21" s="414"/>
      <c r="TJD21" s="414"/>
      <c r="TJE21" s="414"/>
      <c r="TJF21" s="414"/>
      <c r="TJG21" s="414"/>
      <c r="TJH21" s="414"/>
      <c r="TJI21" s="414"/>
      <c r="TJJ21" s="414"/>
      <c r="TJK21" s="414"/>
      <c r="TJL21" s="414"/>
      <c r="TJM21" s="414"/>
      <c r="TJN21" s="414"/>
      <c r="TJO21" s="414"/>
      <c r="TJP21" s="414"/>
      <c r="TJQ21" s="414"/>
      <c r="TJR21" s="414"/>
      <c r="TJS21" s="414"/>
      <c r="TJT21" s="414"/>
      <c r="TJU21" s="414"/>
      <c r="TJV21" s="414"/>
      <c r="TJW21" s="414"/>
      <c r="TJX21" s="414"/>
      <c r="TJY21" s="414"/>
      <c r="TJZ21" s="414"/>
      <c r="TKA21" s="414"/>
      <c r="TKB21" s="414"/>
      <c r="TKC21" s="414"/>
      <c r="TKD21" s="414"/>
      <c r="TKE21" s="414"/>
      <c r="TKF21" s="414"/>
      <c r="TKG21" s="414"/>
      <c r="TKH21" s="414"/>
      <c r="TKI21" s="414"/>
      <c r="TKJ21" s="414"/>
      <c r="TKK21" s="414"/>
      <c r="TKL21" s="414"/>
      <c r="TKM21" s="414"/>
      <c r="TKN21" s="414"/>
      <c r="TKO21" s="414"/>
      <c r="TKP21" s="414"/>
      <c r="TKQ21" s="414"/>
      <c r="TKR21" s="414"/>
      <c r="TKS21" s="414"/>
      <c r="TKT21" s="414"/>
      <c r="TKU21" s="414"/>
      <c r="TKV21" s="414"/>
      <c r="TKW21" s="414"/>
      <c r="TKX21" s="414"/>
      <c r="TKY21" s="414"/>
      <c r="TKZ21" s="414"/>
      <c r="TLA21" s="414"/>
      <c r="TLB21" s="414"/>
      <c r="TLC21" s="414"/>
      <c r="TLD21" s="414"/>
      <c r="TLE21" s="414"/>
      <c r="TLF21" s="414"/>
      <c r="TLG21" s="414"/>
      <c r="TLH21" s="414"/>
      <c r="TLI21" s="414"/>
      <c r="TLJ21" s="414"/>
      <c r="TLK21" s="414"/>
      <c r="TLL21" s="414"/>
      <c r="TLM21" s="414"/>
      <c r="TLN21" s="414"/>
      <c r="TLO21" s="414"/>
      <c r="TLP21" s="414"/>
      <c r="TLQ21" s="414"/>
      <c r="TLR21" s="414"/>
      <c r="TLS21" s="414"/>
      <c r="TLT21" s="414"/>
      <c r="TLU21" s="414"/>
      <c r="TLV21" s="414"/>
      <c r="TLW21" s="414"/>
      <c r="TLX21" s="414"/>
      <c r="TLY21" s="414"/>
      <c r="TLZ21" s="414"/>
      <c r="TMA21" s="414"/>
      <c r="TMB21" s="414"/>
      <c r="TMC21" s="414"/>
      <c r="TMD21" s="414"/>
      <c r="TME21" s="414"/>
      <c r="TMF21" s="414"/>
      <c r="TMG21" s="414"/>
      <c r="TMH21" s="414"/>
      <c r="TMI21" s="414"/>
      <c r="TMJ21" s="414"/>
      <c r="TMK21" s="414"/>
      <c r="TML21" s="414"/>
      <c r="TMM21" s="414"/>
      <c r="TMN21" s="414"/>
      <c r="TMO21" s="414"/>
      <c r="TMP21" s="414"/>
      <c r="TMQ21" s="414"/>
      <c r="TMR21" s="414"/>
      <c r="TMS21" s="414"/>
      <c r="TMT21" s="414"/>
      <c r="TMU21" s="414"/>
      <c r="TMV21" s="414"/>
      <c r="TMW21" s="414"/>
      <c r="TMX21" s="414"/>
      <c r="TMY21" s="414"/>
      <c r="TMZ21" s="414"/>
      <c r="TNA21" s="414"/>
      <c r="TNB21" s="414"/>
      <c r="TNC21" s="414"/>
      <c r="TND21" s="414"/>
      <c r="TNE21" s="414"/>
      <c r="TNF21" s="414"/>
      <c r="TNG21" s="414"/>
      <c r="TNH21" s="414"/>
      <c r="TNI21" s="414"/>
      <c r="TNJ21" s="414"/>
      <c r="TNK21" s="414"/>
      <c r="TNL21" s="414"/>
      <c r="TNM21" s="414"/>
      <c r="TNN21" s="414"/>
      <c r="TNO21" s="414"/>
      <c r="TNP21" s="414"/>
      <c r="TNQ21" s="414"/>
      <c r="TNR21" s="414"/>
      <c r="TNS21" s="414"/>
      <c r="TNT21" s="414"/>
      <c r="TNU21" s="414"/>
      <c r="TNV21" s="414"/>
      <c r="TNW21" s="414"/>
      <c r="TNX21" s="414"/>
      <c r="TNY21" s="414"/>
      <c r="TNZ21" s="414"/>
      <c r="TOA21" s="414"/>
      <c r="TOB21" s="414"/>
      <c r="TOC21" s="414"/>
      <c r="TOD21" s="414"/>
      <c r="TOE21" s="414"/>
      <c r="TOF21" s="414"/>
      <c r="TOG21" s="414"/>
      <c r="TOH21" s="414"/>
      <c r="TOI21" s="414"/>
      <c r="TOJ21" s="414"/>
      <c r="TOK21" s="414"/>
      <c r="TOL21" s="414"/>
      <c r="TOM21" s="414"/>
      <c r="TON21" s="414"/>
      <c r="TOO21" s="414"/>
      <c r="TOP21" s="414"/>
      <c r="TOQ21" s="414"/>
      <c r="TOR21" s="414"/>
      <c r="TOS21" s="414"/>
      <c r="TOT21" s="414"/>
      <c r="TOU21" s="414"/>
      <c r="TOV21" s="414"/>
      <c r="TOW21" s="414"/>
      <c r="TOX21" s="414"/>
      <c r="TOY21" s="414"/>
      <c r="TOZ21" s="414"/>
      <c r="TPA21" s="414"/>
      <c r="TPB21" s="414"/>
      <c r="TPC21" s="414"/>
      <c r="TPD21" s="414"/>
      <c r="TPE21" s="414"/>
      <c r="TPF21" s="414"/>
      <c r="TPG21" s="414"/>
      <c r="TPH21" s="414"/>
      <c r="TPI21" s="414"/>
      <c r="TPJ21" s="414"/>
      <c r="TPK21" s="414"/>
      <c r="TPL21" s="414"/>
      <c r="TPM21" s="414"/>
      <c r="TPN21" s="414"/>
      <c r="TPO21" s="414"/>
      <c r="TPP21" s="414"/>
      <c r="TPQ21" s="414"/>
      <c r="TPR21" s="414"/>
      <c r="TPS21" s="414"/>
      <c r="TPT21" s="414"/>
      <c r="TPU21" s="414"/>
      <c r="TPV21" s="414"/>
      <c r="TPW21" s="414"/>
      <c r="TPX21" s="414"/>
      <c r="TPY21" s="414"/>
      <c r="TPZ21" s="414"/>
      <c r="TQA21" s="414"/>
      <c r="TQB21" s="414"/>
      <c r="TQC21" s="414"/>
      <c r="TQD21" s="414"/>
      <c r="TQE21" s="414"/>
      <c r="TQF21" s="414"/>
      <c r="TQG21" s="414"/>
      <c r="TQH21" s="414"/>
      <c r="TQI21" s="414"/>
      <c r="TQJ21" s="414"/>
      <c r="TQK21" s="414"/>
      <c r="TQL21" s="414"/>
      <c r="TQM21" s="414"/>
      <c r="TQN21" s="414"/>
      <c r="TQO21" s="414"/>
      <c r="TQP21" s="414"/>
      <c r="TQQ21" s="414"/>
      <c r="TQR21" s="414"/>
      <c r="TQS21" s="414"/>
      <c r="TQT21" s="414"/>
      <c r="TQU21" s="414"/>
      <c r="TQV21" s="414"/>
      <c r="TQW21" s="414"/>
      <c r="TQX21" s="414"/>
      <c r="TQY21" s="414"/>
      <c r="TQZ21" s="414"/>
      <c r="TRA21" s="414"/>
      <c r="TRB21" s="414"/>
      <c r="TRC21" s="414"/>
      <c r="TRD21" s="414"/>
      <c r="TRE21" s="414"/>
      <c r="TRF21" s="414"/>
      <c r="TRG21" s="414"/>
      <c r="TRH21" s="414"/>
      <c r="TRI21" s="414"/>
      <c r="TRJ21" s="414"/>
      <c r="TRK21" s="414"/>
      <c r="TRL21" s="414"/>
      <c r="TRM21" s="414"/>
      <c r="TRN21" s="414"/>
      <c r="TRO21" s="414"/>
      <c r="TRP21" s="414"/>
      <c r="TRQ21" s="414"/>
      <c r="TRR21" s="414"/>
      <c r="TRS21" s="414"/>
      <c r="TRT21" s="414"/>
      <c r="TRU21" s="414"/>
      <c r="TRV21" s="414"/>
      <c r="TRW21" s="414"/>
      <c r="TRX21" s="414"/>
      <c r="TRY21" s="414"/>
      <c r="TRZ21" s="414"/>
      <c r="TSA21" s="414"/>
      <c r="TSB21" s="414"/>
      <c r="TSC21" s="414"/>
      <c r="TSD21" s="414"/>
      <c r="TSE21" s="414"/>
      <c r="TSF21" s="414"/>
      <c r="TSG21" s="414"/>
      <c r="TSH21" s="414"/>
      <c r="TSI21" s="414"/>
      <c r="TSJ21" s="414"/>
      <c r="TSK21" s="414"/>
      <c r="TSL21" s="414"/>
      <c r="TSM21" s="414"/>
      <c r="TSN21" s="414"/>
      <c r="TSO21" s="414"/>
      <c r="TSP21" s="414"/>
      <c r="TSQ21" s="414"/>
      <c r="TSR21" s="414"/>
      <c r="TSS21" s="414"/>
      <c r="TST21" s="414"/>
      <c r="TSU21" s="414"/>
      <c r="TSV21" s="414"/>
      <c r="TSW21" s="414"/>
      <c r="TSX21" s="414"/>
      <c r="TSY21" s="414"/>
      <c r="TSZ21" s="414"/>
      <c r="TTA21" s="414"/>
      <c r="TTB21" s="414"/>
      <c r="TTC21" s="414"/>
      <c r="TTD21" s="414"/>
      <c r="TTE21" s="414"/>
      <c r="TTF21" s="414"/>
      <c r="TTG21" s="414"/>
      <c r="TTH21" s="414"/>
      <c r="TTI21" s="414"/>
      <c r="TTJ21" s="414"/>
      <c r="TTK21" s="414"/>
      <c r="TTL21" s="414"/>
      <c r="TTM21" s="414"/>
      <c r="TTN21" s="414"/>
      <c r="TTO21" s="414"/>
      <c r="TTP21" s="414"/>
      <c r="TTQ21" s="414"/>
      <c r="TTR21" s="414"/>
      <c r="TTS21" s="414"/>
      <c r="TTT21" s="414"/>
      <c r="TTU21" s="414"/>
      <c r="TTV21" s="414"/>
      <c r="TTW21" s="414"/>
      <c r="TTX21" s="414"/>
      <c r="TTY21" s="414"/>
      <c r="TTZ21" s="414"/>
      <c r="TUA21" s="414"/>
      <c r="TUB21" s="414"/>
      <c r="TUC21" s="414"/>
      <c r="TUD21" s="414"/>
      <c r="TUE21" s="414"/>
      <c r="TUF21" s="414"/>
      <c r="TUG21" s="414"/>
      <c r="TUH21" s="414"/>
      <c r="TUI21" s="414"/>
      <c r="TUJ21" s="414"/>
      <c r="TUK21" s="414"/>
      <c r="TUL21" s="414"/>
      <c r="TUM21" s="414"/>
      <c r="TUN21" s="414"/>
      <c r="TUO21" s="414"/>
      <c r="TUP21" s="414"/>
      <c r="TUQ21" s="414"/>
      <c r="TUR21" s="414"/>
      <c r="TUS21" s="414"/>
      <c r="TUT21" s="414"/>
      <c r="TUU21" s="414"/>
      <c r="TUV21" s="414"/>
      <c r="TUW21" s="414"/>
      <c r="TUX21" s="414"/>
      <c r="TUY21" s="414"/>
      <c r="TUZ21" s="414"/>
      <c r="TVA21" s="414"/>
      <c r="TVB21" s="414"/>
      <c r="TVC21" s="414"/>
      <c r="TVD21" s="414"/>
      <c r="TVE21" s="414"/>
      <c r="TVF21" s="414"/>
      <c r="TVG21" s="414"/>
      <c r="TVH21" s="414"/>
      <c r="TVI21" s="414"/>
      <c r="TVJ21" s="414"/>
      <c r="TVK21" s="414"/>
      <c r="TVL21" s="414"/>
      <c r="TVM21" s="414"/>
      <c r="TVN21" s="414"/>
      <c r="TVO21" s="414"/>
      <c r="TVP21" s="414"/>
      <c r="TVQ21" s="414"/>
      <c r="TVR21" s="414"/>
      <c r="TVS21" s="414"/>
      <c r="TVT21" s="414"/>
      <c r="TVU21" s="414"/>
      <c r="TVV21" s="414"/>
      <c r="TVW21" s="414"/>
      <c r="TVX21" s="414"/>
      <c r="TVY21" s="414"/>
      <c r="TVZ21" s="414"/>
      <c r="TWA21" s="414"/>
      <c r="TWB21" s="414"/>
      <c r="TWC21" s="414"/>
      <c r="TWD21" s="414"/>
      <c r="TWE21" s="414"/>
      <c r="TWF21" s="414"/>
      <c r="TWG21" s="414"/>
      <c r="TWH21" s="414"/>
      <c r="TWI21" s="414"/>
      <c r="TWJ21" s="414"/>
      <c r="TWK21" s="414"/>
      <c r="TWL21" s="414"/>
      <c r="TWM21" s="414"/>
      <c r="TWN21" s="414"/>
      <c r="TWO21" s="414"/>
      <c r="TWP21" s="414"/>
      <c r="TWQ21" s="414"/>
      <c r="TWR21" s="414"/>
      <c r="TWS21" s="414"/>
      <c r="TWT21" s="414"/>
      <c r="TWU21" s="414"/>
      <c r="TWV21" s="414"/>
      <c r="TWW21" s="414"/>
      <c r="TWX21" s="414"/>
      <c r="TWY21" s="414"/>
      <c r="TWZ21" s="414"/>
      <c r="TXA21" s="414"/>
      <c r="TXB21" s="414"/>
      <c r="TXC21" s="414"/>
      <c r="TXD21" s="414"/>
      <c r="TXE21" s="414"/>
      <c r="TXF21" s="414"/>
      <c r="TXG21" s="414"/>
      <c r="TXH21" s="414"/>
      <c r="TXI21" s="414"/>
      <c r="TXJ21" s="414"/>
      <c r="TXK21" s="414"/>
      <c r="TXL21" s="414"/>
      <c r="TXM21" s="414"/>
      <c r="TXN21" s="414"/>
      <c r="TXO21" s="414"/>
      <c r="TXP21" s="414"/>
      <c r="TXQ21" s="414"/>
      <c r="TXR21" s="414"/>
      <c r="TXS21" s="414"/>
      <c r="TXT21" s="414"/>
      <c r="TXU21" s="414"/>
      <c r="TXV21" s="414"/>
      <c r="TXW21" s="414"/>
      <c r="TXX21" s="414"/>
      <c r="TXY21" s="414"/>
      <c r="TXZ21" s="414"/>
      <c r="TYA21" s="414"/>
      <c r="TYB21" s="414"/>
      <c r="TYC21" s="414"/>
      <c r="TYD21" s="414"/>
      <c r="TYE21" s="414"/>
      <c r="TYF21" s="414"/>
      <c r="TYG21" s="414"/>
      <c r="TYH21" s="414"/>
      <c r="TYI21" s="414"/>
      <c r="TYJ21" s="414"/>
      <c r="TYK21" s="414"/>
      <c r="TYL21" s="414"/>
      <c r="TYM21" s="414"/>
      <c r="TYN21" s="414"/>
      <c r="TYO21" s="414"/>
      <c r="TYP21" s="414"/>
      <c r="TYQ21" s="414"/>
      <c r="TYR21" s="414"/>
      <c r="TYS21" s="414"/>
      <c r="TYT21" s="414"/>
      <c r="TYU21" s="414"/>
      <c r="TYV21" s="414"/>
      <c r="TYW21" s="414"/>
      <c r="TYX21" s="414"/>
      <c r="TYY21" s="414"/>
      <c r="TYZ21" s="414"/>
      <c r="TZA21" s="414"/>
      <c r="TZB21" s="414"/>
      <c r="TZC21" s="414"/>
      <c r="TZD21" s="414"/>
      <c r="TZE21" s="414"/>
      <c r="TZF21" s="414"/>
      <c r="TZG21" s="414"/>
      <c r="TZH21" s="414"/>
      <c r="TZI21" s="414"/>
      <c r="TZJ21" s="414"/>
      <c r="TZK21" s="414"/>
      <c r="TZL21" s="414"/>
      <c r="TZM21" s="414"/>
      <c r="TZN21" s="414"/>
      <c r="TZO21" s="414"/>
      <c r="TZP21" s="414"/>
      <c r="TZQ21" s="414"/>
      <c r="TZR21" s="414"/>
      <c r="TZS21" s="414"/>
      <c r="TZT21" s="414"/>
      <c r="TZU21" s="414"/>
      <c r="TZV21" s="414"/>
      <c r="TZW21" s="414"/>
      <c r="TZX21" s="414"/>
      <c r="TZY21" s="414"/>
      <c r="TZZ21" s="414"/>
      <c r="UAA21" s="414"/>
      <c r="UAB21" s="414"/>
      <c r="UAC21" s="414"/>
      <c r="UAD21" s="414"/>
      <c r="UAE21" s="414"/>
      <c r="UAF21" s="414"/>
      <c r="UAG21" s="414"/>
      <c r="UAH21" s="414"/>
      <c r="UAI21" s="414"/>
      <c r="UAJ21" s="414"/>
      <c r="UAK21" s="414"/>
      <c r="UAL21" s="414"/>
      <c r="UAM21" s="414"/>
      <c r="UAN21" s="414"/>
      <c r="UAO21" s="414"/>
      <c r="UAP21" s="414"/>
      <c r="UAQ21" s="414"/>
      <c r="UAR21" s="414"/>
      <c r="UAS21" s="414"/>
      <c r="UAT21" s="414"/>
      <c r="UAU21" s="414"/>
      <c r="UAV21" s="414"/>
      <c r="UAW21" s="414"/>
      <c r="UAX21" s="414"/>
      <c r="UAY21" s="414"/>
      <c r="UAZ21" s="414"/>
      <c r="UBA21" s="414"/>
      <c r="UBB21" s="414"/>
      <c r="UBC21" s="414"/>
      <c r="UBD21" s="414"/>
      <c r="UBE21" s="414"/>
      <c r="UBF21" s="414"/>
      <c r="UBG21" s="414"/>
      <c r="UBH21" s="414"/>
      <c r="UBI21" s="414"/>
      <c r="UBJ21" s="414"/>
      <c r="UBK21" s="414"/>
      <c r="UBL21" s="414"/>
      <c r="UBM21" s="414"/>
      <c r="UBN21" s="414"/>
      <c r="UBO21" s="414"/>
      <c r="UBP21" s="414"/>
      <c r="UBQ21" s="414"/>
      <c r="UBR21" s="414"/>
      <c r="UBS21" s="414"/>
      <c r="UBT21" s="414"/>
      <c r="UBU21" s="414"/>
      <c r="UBV21" s="414"/>
      <c r="UBW21" s="414"/>
      <c r="UBX21" s="414"/>
      <c r="UBY21" s="414"/>
      <c r="UBZ21" s="414"/>
      <c r="UCA21" s="414"/>
      <c r="UCB21" s="414"/>
      <c r="UCC21" s="414"/>
      <c r="UCD21" s="414"/>
      <c r="UCE21" s="414"/>
      <c r="UCF21" s="414"/>
      <c r="UCG21" s="414"/>
      <c r="UCH21" s="414"/>
      <c r="UCI21" s="414"/>
      <c r="UCJ21" s="414"/>
      <c r="UCK21" s="414"/>
      <c r="UCL21" s="414"/>
      <c r="UCM21" s="414"/>
      <c r="UCN21" s="414"/>
      <c r="UCO21" s="414"/>
      <c r="UCP21" s="414"/>
      <c r="UCQ21" s="414"/>
      <c r="UCR21" s="414"/>
      <c r="UCS21" s="414"/>
      <c r="UCT21" s="414"/>
      <c r="UCU21" s="414"/>
      <c r="UCV21" s="414"/>
      <c r="UCW21" s="414"/>
      <c r="UCX21" s="414"/>
      <c r="UCY21" s="414"/>
      <c r="UCZ21" s="414"/>
      <c r="UDA21" s="414"/>
      <c r="UDB21" s="414"/>
      <c r="UDC21" s="414"/>
      <c r="UDD21" s="414"/>
      <c r="UDE21" s="414"/>
      <c r="UDF21" s="414"/>
      <c r="UDG21" s="414"/>
      <c r="UDH21" s="414"/>
      <c r="UDI21" s="414"/>
      <c r="UDJ21" s="414"/>
      <c r="UDK21" s="414"/>
      <c r="UDL21" s="414"/>
      <c r="UDM21" s="414"/>
      <c r="UDN21" s="414"/>
      <c r="UDO21" s="414"/>
      <c r="UDP21" s="414"/>
      <c r="UDQ21" s="414"/>
      <c r="UDR21" s="414"/>
      <c r="UDS21" s="414"/>
      <c r="UDT21" s="414"/>
      <c r="UDU21" s="414"/>
      <c r="UDV21" s="414"/>
      <c r="UDW21" s="414"/>
      <c r="UDX21" s="414"/>
      <c r="UDY21" s="414"/>
      <c r="UDZ21" s="414"/>
      <c r="UEA21" s="414"/>
      <c r="UEB21" s="414"/>
      <c r="UEC21" s="414"/>
      <c r="UED21" s="414"/>
      <c r="UEE21" s="414"/>
      <c r="UEF21" s="414"/>
      <c r="UEG21" s="414"/>
      <c r="UEH21" s="414"/>
      <c r="UEI21" s="414"/>
      <c r="UEJ21" s="414"/>
      <c r="UEK21" s="414"/>
      <c r="UEL21" s="414"/>
      <c r="UEM21" s="414"/>
      <c r="UEN21" s="414"/>
      <c r="UEO21" s="414"/>
      <c r="UEP21" s="414"/>
      <c r="UEQ21" s="414"/>
      <c r="UER21" s="414"/>
      <c r="UES21" s="414"/>
      <c r="UET21" s="414"/>
      <c r="UEU21" s="414"/>
      <c r="UEV21" s="414"/>
      <c r="UEW21" s="414"/>
      <c r="UEX21" s="414"/>
      <c r="UEY21" s="414"/>
      <c r="UEZ21" s="414"/>
      <c r="UFA21" s="414"/>
      <c r="UFB21" s="414"/>
      <c r="UFC21" s="414"/>
      <c r="UFD21" s="414"/>
      <c r="UFE21" s="414"/>
      <c r="UFF21" s="414"/>
      <c r="UFG21" s="414"/>
      <c r="UFH21" s="414"/>
      <c r="UFI21" s="414"/>
      <c r="UFJ21" s="414"/>
      <c r="UFK21" s="414"/>
      <c r="UFL21" s="414"/>
      <c r="UFM21" s="414"/>
      <c r="UFN21" s="414"/>
      <c r="UFO21" s="414"/>
      <c r="UFP21" s="414"/>
      <c r="UFQ21" s="414"/>
      <c r="UFR21" s="414"/>
      <c r="UFS21" s="414"/>
      <c r="UFT21" s="414"/>
      <c r="UFU21" s="414"/>
      <c r="UFV21" s="414"/>
      <c r="UFW21" s="414"/>
      <c r="UFX21" s="414"/>
      <c r="UFY21" s="414"/>
      <c r="UFZ21" s="414"/>
      <c r="UGA21" s="414"/>
      <c r="UGB21" s="414"/>
      <c r="UGC21" s="414"/>
      <c r="UGD21" s="414"/>
      <c r="UGE21" s="414"/>
      <c r="UGF21" s="414"/>
      <c r="UGG21" s="414"/>
      <c r="UGH21" s="414"/>
      <c r="UGI21" s="414"/>
      <c r="UGJ21" s="414"/>
      <c r="UGK21" s="414"/>
      <c r="UGL21" s="414"/>
      <c r="UGM21" s="414"/>
      <c r="UGN21" s="414"/>
      <c r="UGO21" s="414"/>
      <c r="UGP21" s="414"/>
      <c r="UGQ21" s="414"/>
      <c r="UGR21" s="414"/>
      <c r="UGS21" s="414"/>
      <c r="UGT21" s="414"/>
      <c r="UGU21" s="414"/>
      <c r="UGV21" s="414"/>
      <c r="UGW21" s="414"/>
      <c r="UGX21" s="414"/>
      <c r="UGY21" s="414"/>
      <c r="UGZ21" s="414"/>
      <c r="UHA21" s="414"/>
      <c r="UHB21" s="414"/>
      <c r="UHC21" s="414"/>
      <c r="UHD21" s="414"/>
      <c r="UHE21" s="414"/>
      <c r="UHF21" s="414"/>
      <c r="UHG21" s="414"/>
      <c r="UHH21" s="414"/>
      <c r="UHI21" s="414"/>
      <c r="UHJ21" s="414"/>
      <c r="UHK21" s="414"/>
      <c r="UHL21" s="414"/>
      <c r="UHM21" s="414"/>
      <c r="UHN21" s="414"/>
      <c r="UHO21" s="414"/>
      <c r="UHP21" s="414"/>
      <c r="UHQ21" s="414"/>
      <c r="UHR21" s="414"/>
      <c r="UHS21" s="414"/>
      <c r="UHT21" s="414"/>
      <c r="UHU21" s="414"/>
      <c r="UHV21" s="414"/>
      <c r="UHW21" s="414"/>
      <c r="UHX21" s="414"/>
      <c r="UHY21" s="414"/>
      <c r="UHZ21" s="414"/>
      <c r="UIA21" s="414"/>
      <c r="UIB21" s="414"/>
      <c r="UIC21" s="414"/>
      <c r="UID21" s="414"/>
      <c r="UIE21" s="414"/>
      <c r="UIF21" s="414"/>
      <c r="UIG21" s="414"/>
      <c r="UIH21" s="414"/>
      <c r="UII21" s="414"/>
      <c r="UIJ21" s="414"/>
      <c r="UIK21" s="414"/>
      <c r="UIL21" s="414"/>
      <c r="UIM21" s="414"/>
      <c r="UIN21" s="414"/>
      <c r="UIO21" s="414"/>
      <c r="UIP21" s="414"/>
      <c r="UIQ21" s="414"/>
      <c r="UIR21" s="414"/>
      <c r="UIS21" s="414"/>
      <c r="UIT21" s="414"/>
      <c r="UIU21" s="414"/>
      <c r="UIV21" s="414"/>
      <c r="UIW21" s="414"/>
      <c r="UIX21" s="414"/>
      <c r="UIY21" s="414"/>
      <c r="UIZ21" s="414"/>
      <c r="UJA21" s="414"/>
      <c r="UJB21" s="414"/>
      <c r="UJC21" s="414"/>
      <c r="UJD21" s="414"/>
      <c r="UJE21" s="414"/>
      <c r="UJF21" s="414"/>
      <c r="UJG21" s="414"/>
      <c r="UJH21" s="414"/>
      <c r="UJI21" s="414"/>
      <c r="UJJ21" s="414"/>
      <c r="UJK21" s="414"/>
      <c r="UJL21" s="414"/>
      <c r="UJM21" s="414"/>
      <c r="UJN21" s="414"/>
      <c r="UJO21" s="414"/>
      <c r="UJP21" s="414"/>
      <c r="UJQ21" s="414"/>
      <c r="UJR21" s="414"/>
      <c r="UJS21" s="414"/>
      <c r="UJT21" s="414"/>
      <c r="UJU21" s="414"/>
      <c r="UJV21" s="414"/>
      <c r="UJW21" s="414"/>
      <c r="UJX21" s="414"/>
      <c r="UJY21" s="414"/>
      <c r="UJZ21" s="414"/>
      <c r="UKA21" s="414"/>
      <c r="UKB21" s="414"/>
      <c r="UKC21" s="414"/>
      <c r="UKD21" s="414"/>
      <c r="UKE21" s="414"/>
      <c r="UKF21" s="414"/>
      <c r="UKG21" s="414"/>
      <c r="UKH21" s="414"/>
      <c r="UKI21" s="414"/>
      <c r="UKJ21" s="414"/>
      <c r="UKK21" s="414"/>
      <c r="UKL21" s="414"/>
      <c r="UKM21" s="414"/>
      <c r="UKN21" s="414"/>
      <c r="UKO21" s="414"/>
      <c r="UKP21" s="414"/>
      <c r="UKQ21" s="414"/>
      <c r="UKR21" s="414"/>
      <c r="UKS21" s="414"/>
      <c r="UKT21" s="414"/>
      <c r="UKU21" s="414"/>
      <c r="UKV21" s="414"/>
      <c r="UKW21" s="414"/>
      <c r="UKX21" s="414"/>
      <c r="UKY21" s="414"/>
      <c r="UKZ21" s="414"/>
      <c r="ULA21" s="414"/>
      <c r="ULB21" s="414"/>
      <c r="ULC21" s="414"/>
      <c r="ULD21" s="414"/>
      <c r="ULE21" s="414"/>
      <c r="ULF21" s="414"/>
      <c r="ULG21" s="414"/>
      <c r="ULH21" s="414"/>
      <c r="ULI21" s="414"/>
      <c r="ULJ21" s="414"/>
      <c r="ULK21" s="414"/>
      <c r="ULL21" s="414"/>
      <c r="ULM21" s="414"/>
      <c r="ULN21" s="414"/>
      <c r="ULO21" s="414"/>
      <c r="ULP21" s="414"/>
      <c r="ULQ21" s="414"/>
      <c r="ULR21" s="414"/>
      <c r="ULS21" s="414"/>
      <c r="ULT21" s="414"/>
      <c r="ULU21" s="414"/>
      <c r="ULV21" s="414"/>
      <c r="ULW21" s="414"/>
      <c r="ULX21" s="414"/>
      <c r="ULY21" s="414"/>
      <c r="ULZ21" s="414"/>
      <c r="UMA21" s="414"/>
      <c r="UMB21" s="414"/>
      <c r="UMC21" s="414"/>
      <c r="UMD21" s="414"/>
      <c r="UME21" s="414"/>
      <c r="UMF21" s="414"/>
      <c r="UMG21" s="414"/>
      <c r="UMH21" s="414"/>
      <c r="UMI21" s="414"/>
      <c r="UMJ21" s="414"/>
      <c r="UMK21" s="414"/>
      <c r="UML21" s="414"/>
      <c r="UMM21" s="414"/>
      <c r="UMN21" s="414"/>
      <c r="UMO21" s="414"/>
      <c r="UMP21" s="414"/>
      <c r="UMQ21" s="414"/>
      <c r="UMR21" s="414"/>
      <c r="UMS21" s="414"/>
      <c r="UMT21" s="414"/>
      <c r="UMU21" s="414"/>
      <c r="UMV21" s="414"/>
      <c r="UMW21" s="414"/>
      <c r="UMX21" s="414"/>
      <c r="UMY21" s="414"/>
      <c r="UMZ21" s="414"/>
      <c r="UNA21" s="414"/>
      <c r="UNB21" s="414"/>
      <c r="UNC21" s="414"/>
      <c r="UND21" s="414"/>
      <c r="UNE21" s="414"/>
      <c r="UNF21" s="414"/>
      <c r="UNG21" s="414"/>
      <c r="UNH21" s="414"/>
      <c r="UNI21" s="414"/>
      <c r="UNJ21" s="414"/>
      <c r="UNK21" s="414"/>
      <c r="UNL21" s="414"/>
      <c r="UNM21" s="414"/>
      <c r="UNN21" s="414"/>
      <c r="UNO21" s="414"/>
      <c r="UNP21" s="414"/>
      <c r="UNQ21" s="414"/>
      <c r="UNR21" s="414"/>
      <c r="UNS21" s="414"/>
      <c r="UNT21" s="414"/>
      <c r="UNU21" s="414"/>
      <c r="UNV21" s="414"/>
      <c r="UNW21" s="414"/>
      <c r="UNX21" s="414"/>
      <c r="UNY21" s="414"/>
      <c r="UNZ21" s="414"/>
      <c r="UOA21" s="414"/>
      <c r="UOB21" s="414"/>
      <c r="UOC21" s="414"/>
      <c r="UOD21" s="414"/>
      <c r="UOE21" s="414"/>
      <c r="UOF21" s="414"/>
      <c r="UOG21" s="414"/>
      <c r="UOH21" s="414"/>
      <c r="UOI21" s="414"/>
      <c r="UOJ21" s="414"/>
      <c r="UOK21" s="414"/>
      <c r="UOL21" s="414"/>
      <c r="UOM21" s="414"/>
      <c r="UON21" s="414"/>
      <c r="UOO21" s="414"/>
      <c r="UOP21" s="414"/>
      <c r="UOQ21" s="414"/>
      <c r="UOR21" s="414"/>
      <c r="UOS21" s="414"/>
      <c r="UOT21" s="414"/>
      <c r="UOU21" s="414"/>
      <c r="UOV21" s="414"/>
      <c r="UOW21" s="414"/>
      <c r="UOX21" s="414"/>
      <c r="UOY21" s="414"/>
      <c r="UOZ21" s="414"/>
      <c r="UPA21" s="414"/>
      <c r="UPB21" s="414"/>
      <c r="UPC21" s="414"/>
      <c r="UPD21" s="414"/>
      <c r="UPE21" s="414"/>
      <c r="UPF21" s="414"/>
      <c r="UPG21" s="414"/>
      <c r="UPH21" s="414"/>
      <c r="UPI21" s="414"/>
      <c r="UPJ21" s="414"/>
      <c r="UPK21" s="414"/>
      <c r="UPL21" s="414"/>
      <c r="UPM21" s="414"/>
      <c r="UPN21" s="414"/>
      <c r="UPO21" s="414"/>
      <c r="UPP21" s="414"/>
      <c r="UPQ21" s="414"/>
      <c r="UPR21" s="414"/>
      <c r="UPS21" s="414"/>
      <c r="UPT21" s="414"/>
      <c r="UPU21" s="414"/>
      <c r="UPV21" s="414"/>
      <c r="UPW21" s="414"/>
      <c r="UPX21" s="414"/>
      <c r="UPY21" s="414"/>
      <c r="UPZ21" s="414"/>
      <c r="UQA21" s="414"/>
      <c r="UQB21" s="414"/>
      <c r="UQC21" s="414"/>
      <c r="UQD21" s="414"/>
      <c r="UQE21" s="414"/>
      <c r="UQF21" s="414"/>
      <c r="UQG21" s="414"/>
      <c r="UQH21" s="414"/>
      <c r="UQI21" s="414"/>
      <c r="UQJ21" s="414"/>
      <c r="UQK21" s="414"/>
      <c r="UQL21" s="414"/>
      <c r="UQM21" s="414"/>
      <c r="UQN21" s="414"/>
      <c r="UQO21" s="414"/>
      <c r="UQP21" s="414"/>
      <c r="UQQ21" s="414"/>
      <c r="UQR21" s="414"/>
      <c r="UQS21" s="414"/>
      <c r="UQT21" s="414"/>
      <c r="UQU21" s="414"/>
      <c r="UQV21" s="414"/>
      <c r="UQW21" s="414"/>
      <c r="UQX21" s="414"/>
      <c r="UQY21" s="414"/>
      <c r="UQZ21" s="414"/>
      <c r="URA21" s="414"/>
      <c r="URB21" s="414"/>
      <c r="URC21" s="414"/>
      <c r="URD21" s="414"/>
      <c r="URE21" s="414"/>
      <c r="URF21" s="414"/>
      <c r="URG21" s="414"/>
      <c r="URH21" s="414"/>
      <c r="URI21" s="414"/>
      <c r="URJ21" s="414"/>
      <c r="URK21" s="414"/>
      <c r="URL21" s="414"/>
      <c r="URM21" s="414"/>
      <c r="URN21" s="414"/>
      <c r="URO21" s="414"/>
      <c r="URP21" s="414"/>
      <c r="URQ21" s="414"/>
      <c r="URR21" s="414"/>
      <c r="URS21" s="414"/>
      <c r="URT21" s="414"/>
      <c r="URU21" s="414"/>
      <c r="URV21" s="414"/>
      <c r="URW21" s="414"/>
      <c r="URX21" s="414"/>
      <c r="URY21" s="414"/>
      <c r="URZ21" s="414"/>
      <c r="USA21" s="414"/>
      <c r="USB21" s="414"/>
      <c r="USC21" s="414"/>
      <c r="USD21" s="414"/>
      <c r="USE21" s="414"/>
      <c r="USF21" s="414"/>
      <c r="USG21" s="414"/>
      <c r="USH21" s="414"/>
      <c r="USI21" s="414"/>
      <c r="USJ21" s="414"/>
      <c r="USK21" s="414"/>
      <c r="USL21" s="414"/>
      <c r="USM21" s="414"/>
      <c r="USN21" s="414"/>
      <c r="USO21" s="414"/>
      <c r="USP21" s="414"/>
      <c r="USQ21" s="414"/>
      <c r="USR21" s="414"/>
      <c r="USS21" s="414"/>
      <c r="UST21" s="414"/>
      <c r="USU21" s="414"/>
      <c r="USV21" s="414"/>
      <c r="USW21" s="414"/>
      <c r="USX21" s="414"/>
      <c r="USY21" s="414"/>
      <c r="USZ21" s="414"/>
      <c r="UTA21" s="414"/>
      <c r="UTB21" s="414"/>
      <c r="UTC21" s="414"/>
      <c r="UTD21" s="414"/>
      <c r="UTE21" s="414"/>
      <c r="UTF21" s="414"/>
      <c r="UTG21" s="414"/>
      <c r="UTH21" s="414"/>
      <c r="UTI21" s="414"/>
      <c r="UTJ21" s="414"/>
      <c r="UTK21" s="414"/>
      <c r="UTL21" s="414"/>
      <c r="UTM21" s="414"/>
      <c r="UTN21" s="414"/>
      <c r="UTO21" s="414"/>
      <c r="UTP21" s="414"/>
      <c r="UTQ21" s="414"/>
      <c r="UTR21" s="414"/>
      <c r="UTS21" s="414"/>
      <c r="UTT21" s="414"/>
      <c r="UTU21" s="414"/>
      <c r="UTV21" s="414"/>
      <c r="UTW21" s="414"/>
      <c r="UTX21" s="414"/>
      <c r="UTY21" s="414"/>
      <c r="UTZ21" s="414"/>
      <c r="UUA21" s="414"/>
      <c r="UUB21" s="414"/>
      <c r="UUC21" s="414"/>
      <c r="UUD21" s="414"/>
      <c r="UUE21" s="414"/>
      <c r="UUF21" s="414"/>
      <c r="UUG21" s="414"/>
      <c r="UUH21" s="414"/>
      <c r="UUI21" s="414"/>
      <c r="UUJ21" s="414"/>
      <c r="UUK21" s="414"/>
      <c r="UUL21" s="414"/>
      <c r="UUM21" s="414"/>
      <c r="UUN21" s="414"/>
      <c r="UUO21" s="414"/>
      <c r="UUP21" s="414"/>
      <c r="UUQ21" s="414"/>
      <c r="UUR21" s="414"/>
      <c r="UUS21" s="414"/>
      <c r="UUT21" s="414"/>
      <c r="UUU21" s="414"/>
      <c r="UUV21" s="414"/>
      <c r="UUW21" s="414"/>
      <c r="UUX21" s="414"/>
      <c r="UUY21" s="414"/>
      <c r="UUZ21" s="414"/>
      <c r="UVA21" s="414"/>
      <c r="UVB21" s="414"/>
      <c r="UVC21" s="414"/>
      <c r="UVD21" s="414"/>
      <c r="UVE21" s="414"/>
      <c r="UVF21" s="414"/>
      <c r="UVG21" s="414"/>
      <c r="UVH21" s="414"/>
      <c r="UVI21" s="414"/>
      <c r="UVJ21" s="414"/>
      <c r="UVK21" s="414"/>
      <c r="UVL21" s="414"/>
      <c r="UVM21" s="414"/>
      <c r="UVN21" s="414"/>
      <c r="UVO21" s="414"/>
      <c r="UVP21" s="414"/>
      <c r="UVQ21" s="414"/>
      <c r="UVR21" s="414"/>
      <c r="UVS21" s="414"/>
      <c r="UVT21" s="414"/>
      <c r="UVU21" s="414"/>
      <c r="UVV21" s="414"/>
      <c r="UVW21" s="414"/>
      <c r="UVX21" s="414"/>
      <c r="UVY21" s="414"/>
      <c r="UVZ21" s="414"/>
      <c r="UWA21" s="414"/>
      <c r="UWB21" s="414"/>
      <c r="UWC21" s="414"/>
      <c r="UWD21" s="414"/>
      <c r="UWE21" s="414"/>
      <c r="UWF21" s="414"/>
      <c r="UWG21" s="414"/>
      <c r="UWH21" s="414"/>
      <c r="UWI21" s="414"/>
      <c r="UWJ21" s="414"/>
      <c r="UWK21" s="414"/>
      <c r="UWL21" s="414"/>
      <c r="UWM21" s="414"/>
      <c r="UWN21" s="414"/>
      <c r="UWO21" s="414"/>
      <c r="UWP21" s="414"/>
      <c r="UWQ21" s="414"/>
      <c r="UWR21" s="414"/>
      <c r="UWS21" s="414"/>
      <c r="UWT21" s="414"/>
      <c r="UWU21" s="414"/>
      <c r="UWV21" s="414"/>
      <c r="UWW21" s="414"/>
      <c r="UWX21" s="414"/>
      <c r="UWY21" s="414"/>
      <c r="UWZ21" s="414"/>
      <c r="UXA21" s="414"/>
      <c r="UXB21" s="414"/>
      <c r="UXC21" s="414"/>
      <c r="UXD21" s="414"/>
      <c r="UXE21" s="414"/>
      <c r="UXF21" s="414"/>
      <c r="UXG21" s="414"/>
      <c r="UXH21" s="414"/>
      <c r="UXI21" s="414"/>
      <c r="UXJ21" s="414"/>
      <c r="UXK21" s="414"/>
      <c r="UXL21" s="414"/>
      <c r="UXM21" s="414"/>
      <c r="UXN21" s="414"/>
      <c r="UXO21" s="414"/>
      <c r="UXP21" s="414"/>
      <c r="UXQ21" s="414"/>
      <c r="UXR21" s="414"/>
      <c r="UXS21" s="414"/>
      <c r="UXT21" s="414"/>
      <c r="UXU21" s="414"/>
      <c r="UXV21" s="414"/>
      <c r="UXW21" s="414"/>
      <c r="UXX21" s="414"/>
      <c r="UXY21" s="414"/>
      <c r="UXZ21" s="414"/>
      <c r="UYA21" s="414"/>
      <c r="UYB21" s="414"/>
      <c r="UYC21" s="414"/>
      <c r="UYD21" s="414"/>
      <c r="UYE21" s="414"/>
      <c r="UYF21" s="414"/>
      <c r="UYG21" s="414"/>
      <c r="UYH21" s="414"/>
      <c r="UYI21" s="414"/>
      <c r="UYJ21" s="414"/>
      <c r="UYK21" s="414"/>
      <c r="UYL21" s="414"/>
      <c r="UYM21" s="414"/>
      <c r="UYN21" s="414"/>
      <c r="UYO21" s="414"/>
      <c r="UYP21" s="414"/>
      <c r="UYQ21" s="414"/>
      <c r="UYR21" s="414"/>
      <c r="UYS21" s="414"/>
      <c r="UYT21" s="414"/>
      <c r="UYU21" s="414"/>
      <c r="UYV21" s="414"/>
      <c r="UYW21" s="414"/>
      <c r="UYX21" s="414"/>
      <c r="UYY21" s="414"/>
      <c r="UYZ21" s="414"/>
      <c r="UZA21" s="414"/>
      <c r="UZB21" s="414"/>
      <c r="UZC21" s="414"/>
      <c r="UZD21" s="414"/>
      <c r="UZE21" s="414"/>
      <c r="UZF21" s="414"/>
      <c r="UZG21" s="414"/>
      <c r="UZH21" s="414"/>
      <c r="UZI21" s="414"/>
      <c r="UZJ21" s="414"/>
      <c r="UZK21" s="414"/>
      <c r="UZL21" s="414"/>
      <c r="UZM21" s="414"/>
      <c r="UZN21" s="414"/>
      <c r="UZO21" s="414"/>
      <c r="UZP21" s="414"/>
      <c r="UZQ21" s="414"/>
      <c r="UZR21" s="414"/>
      <c r="UZS21" s="414"/>
      <c r="UZT21" s="414"/>
      <c r="UZU21" s="414"/>
      <c r="UZV21" s="414"/>
      <c r="UZW21" s="414"/>
      <c r="UZX21" s="414"/>
      <c r="UZY21" s="414"/>
      <c r="UZZ21" s="414"/>
      <c r="VAA21" s="414"/>
      <c r="VAB21" s="414"/>
      <c r="VAC21" s="414"/>
      <c r="VAD21" s="414"/>
      <c r="VAE21" s="414"/>
      <c r="VAF21" s="414"/>
      <c r="VAG21" s="414"/>
      <c r="VAH21" s="414"/>
      <c r="VAI21" s="414"/>
      <c r="VAJ21" s="414"/>
      <c r="VAK21" s="414"/>
      <c r="VAL21" s="414"/>
      <c r="VAM21" s="414"/>
      <c r="VAN21" s="414"/>
      <c r="VAO21" s="414"/>
      <c r="VAP21" s="414"/>
      <c r="VAQ21" s="414"/>
      <c r="VAR21" s="414"/>
      <c r="VAS21" s="414"/>
      <c r="VAT21" s="414"/>
      <c r="VAU21" s="414"/>
      <c r="VAV21" s="414"/>
      <c r="VAW21" s="414"/>
      <c r="VAX21" s="414"/>
      <c r="VAY21" s="414"/>
      <c r="VAZ21" s="414"/>
      <c r="VBA21" s="414"/>
      <c r="VBB21" s="414"/>
      <c r="VBC21" s="414"/>
      <c r="VBD21" s="414"/>
      <c r="VBE21" s="414"/>
      <c r="VBF21" s="414"/>
      <c r="VBG21" s="414"/>
      <c r="VBH21" s="414"/>
      <c r="VBI21" s="414"/>
      <c r="VBJ21" s="414"/>
      <c r="VBK21" s="414"/>
      <c r="VBL21" s="414"/>
      <c r="VBM21" s="414"/>
      <c r="VBN21" s="414"/>
      <c r="VBO21" s="414"/>
      <c r="VBP21" s="414"/>
      <c r="VBQ21" s="414"/>
      <c r="VBR21" s="414"/>
      <c r="VBS21" s="414"/>
      <c r="VBT21" s="414"/>
      <c r="VBU21" s="414"/>
      <c r="VBV21" s="414"/>
      <c r="VBW21" s="414"/>
      <c r="VBX21" s="414"/>
      <c r="VBY21" s="414"/>
      <c r="VBZ21" s="414"/>
      <c r="VCA21" s="414"/>
      <c r="VCB21" s="414"/>
      <c r="VCC21" s="414"/>
      <c r="VCD21" s="414"/>
      <c r="VCE21" s="414"/>
      <c r="VCF21" s="414"/>
      <c r="VCG21" s="414"/>
      <c r="VCH21" s="414"/>
      <c r="VCI21" s="414"/>
      <c r="VCJ21" s="414"/>
      <c r="VCK21" s="414"/>
      <c r="VCL21" s="414"/>
      <c r="VCM21" s="414"/>
      <c r="VCN21" s="414"/>
      <c r="VCO21" s="414"/>
      <c r="VCP21" s="414"/>
      <c r="VCQ21" s="414"/>
      <c r="VCR21" s="414"/>
      <c r="VCS21" s="414"/>
      <c r="VCT21" s="414"/>
      <c r="VCU21" s="414"/>
      <c r="VCV21" s="414"/>
      <c r="VCW21" s="414"/>
      <c r="VCX21" s="414"/>
      <c r="VCY21" s="414"/>
      <c r="VCZ21" s="414"/>
      <c r="VDA21" s="414"/>
      <c r="VDB21" s="414"/>
      <c r="VDC21" s="414"/>
      <c r="VDD21" s="414"/>
      <c r="VDE21" s="414"/>
      <c r="VDF21" s="414"/>
      <c r="VDG21" s="414"/>
      <c r="VDH21" s="414"/>
      <c r="VDI21" s="414"/>
      <c r="VDJ21" s="414"/>
      <c r="VDK21" s="414"/>
      <c r="VDL21" s="414"/>
      <c r="VDM21" s="414"/>
      <c r="VDN21" s="414"/>
      <c r="VDO21" s="414"/>
      <c r="VDP21" s="414"/>
      <c r="VDQ21" s="414"/>
      <c r="VDR21" s="414"/>
      <c r="VDS21" s="414"/>
      <c r="VDT21" s="414"/>
      <c r="VDU21" s="414"/>
      <c r="VDV21" s="414"/>
      <c r="VDW21" s="414"/>
      <c r="VDX21" s="414"/>
      <c r="VDY21" s="414"/>
      <c r="VDZ21" s="414"/>
      <c r="VEA21" s="414"/>
      <c r="VEB21" s="414"/>
      <c r="VEC21" s="414"/>
      <c r="VED21" s="414"/>
      <c r="VEE21" s="414"/>
      <c r="VEF21" s="414"/>
      <c r="VEG21" s="414"/>
      <c r="VEH21" s="414"/>
      <c r="VEI21" s="414"/>
      <c r="VEJ21" s="414"/>
      <c r="VEK21" s="414"/>
      <c r="VEL21" s="414"/>
      <c r="VEM21" s="414"/>
      <c r="VEN21" s="414"/>
      <c r="VEO21" s="414"/>
      <c r="VEP21" s="414"/>
      <c r="VEQ21" s="414"/>
      <c r="VER21" s="414"/>
      <c r="VES21" s="414"/>
      <c r="VET21" s="414"/>
      <c r="VEU21" s="414"/>
      <c r="VEV21" s="414"/>
      <c r="VEW21" s="414"/>
      <c r="VEX21" s="414"/>
      <c r="VEY21" s="414"/>
      <c r="VEZ21" s="414"/>
      <c r="VFA21" s="414"/>
      <c r="VFB21" s="414"/>
      <c r="VFC21" s="414"/>
      <c r="VFD21" s="414"/>
      <c r="VFE21" s="414"/>
      <c r="VFF21" s="414"/>
      <c r="VFG21" s="414"/>
      <c r="VFH21" s="414"/>
      <c r="VFI21" s="414"/>
      <c r="VFJ21" s="414"/>
      <c r="VFK21" s="414"/>
      <c r="VFL21" s="414"/>
      <c r="VFM21" s="414"/>
      <c r="VFN21" s="414"/>
      <c r="VFO21" s="414"/>
      <c r="VFP21" s="414"/>
      <c r="VFQ21" s="414"/>
      <c r="VFR21" s="414"/>
      <c r="VFS21" s="414"/>
      <c r="VFT21" s="414"/>
      <c r="VFU21" s="414"/>
      <c r="VFV21" s="414"/>
      <c r="VFW21" s="414"/>
      <c r="VFX21" s="414"/>
      <c r="VFY21" s="414"/>
      <c r="VFZ21" s="414"/>
      <c r="VGA21" s="414"/>
      <c r="VGB21" s="414"/>
      <c r="VGC21" s="414"/>
      <c r="VGD21" s="414"/>
      <c r="VGE21" s="414"/>
      <c r="VGF21" s="414"/>
      <c r="VGG21" s="414"/>
      <c r="VGH21" s="414"/>
      <c r="VGI21" s="414"/>
      <c r="VGJ21" s="414"/>
      <c r="VGK21" s="414"/>
      <c r="VGL21" s="414"/>
      <c r="VGM21" s="414"/>
      <c r="VGN21" s="414"/>
      <c r="VGO21" s="414"/>
      <c r="VGP21" s="414"/>
      <c r="VGQ21" s="414"/>
      <c r="VGR21" s="414"/>
      <c r="VGS21" s="414"/>
      <c r="VGT21" s="414"/>
      <c r="VGU21" s="414"/>
      <c r="VGV21" s="414"/>
      <c r="VGW21" s="414"/>
      <c r="VGX21" s="414"/>
      <c r="VGY21" s="414"/>
      <c r="VGZ21" s="414"/>
      <c r="VHA21" s="414"/>
      <c r="VHB21" s="414"/>
      <c r="VHC21" s="414"/>
      <c r="VHD21" s="414"/>
      <c r="VHE21" s="414"/>
      <c r="VHF21" s="414"/>
      <c r="VHG21" s="414"/>
      <c r="VHH21" s="414"/>
      <c r="VHI21" s="414"/>
      <c r="VHJ21" s="414"/>
      <c r="VHK21" s="414"/>
      <c r="VHL21" s="414"/>
      <c r="VHM21" s="414"/>
      <c r="VHN21" s="414"/>
      <c r="VHO21" s="414"/>
      <c r="VHP21" s="414"/>
      <c r="VHQ21" s="414"/>
      <c r="VHR21" s="414"/>
      <c r="VHS21" s="414"/>
      <c r="VHT21" s="414"/>
      <c r="VHU21" s="414"/>
      <c r="VHV21" s="414"/>
      <c r="VHW21" s="414"/>
      <c r="VHX21" s="414"/>
      <c r="VHY21" s="414"/>
      <c r="VHZ21" s="414"/>
      <c r="VIA21" s="414"/>
      <c r="VIB21" s="414"/>
      <c r="VIC21" s="414"/>
      <c r="VID21" s="414"/>
      <c r="VIE21" s="414"/>
      <c r="VIF21" s="414"/>
      <c r="VIG21" s="414"/>
      <c r="VIH21" s="414"/>
      <c r="VII21" s="414"/>
      <c r="VIJ21" s="414"/>
      <c r="VIK21" s="414"/>
      <c r="VIL21" s="414"/>
      <c r="VIM21" s="414"/>
      <c r="VIN21" s="414"/>
      <c r="VIO21" s="414"/>
      <c r="VIP21" s="414"/>
      <c r="VIQ21" s="414"/>
      <c r="VIR21" s="414"/>
      <c r="VIS21" s="414"/>
      <c r="VIT21" s="414"/>
      <c r="VIU21" s="414"/>
      <c r="VIV21" s="414"/>
      <c r="VIW21" s="414"/>
      <c r="VIX21" s="414"/>
      <c r="VIY21" s="414"/>
      <c r="VIZ21" s="414"/>
      <c r="VJA21" s="414"/>
      <c r="VJB21" s="414"/>
      <c r="VJC21" s="414"/>
      <c r="VJD21" s="414"/>
      <c r="VJE21" s="414"/>
      <c r="VJF21" s="414"/>
      <c r="VJG21" s="414"/>
      <c r="VJH21" s="414"/>
      <c r="VJI21" s="414"/>
      <c r="VJJ21" s="414"/>
      <c r="VJK21" s="414"/>
      <c r="VJL21" s="414"/>
      <c r="VJM21" s="414"/>
      <c r="VJN21" s="414"/>
      <c r="VJO21" s="414"/>
      <c r="VJP21" s="414"/>
      <c r="VJQ21" s="414"/>
      <c r="VJR21" s="414"/>
      <c r="VJS21" s="414"/>
      <c r="VJT21" s="414"/>
      <c r="VJU21" s="414"/>
      <c r="VJV21" s="414"/>
      <c r="VJW21" s="414"/>
      <c r="VJX21" s="414"/>
      <c r="VJY21" s="414"/>
      <c r="VJZ21" s="414"/>
      <c r="VKA21" s="414"/>
      <c r="VKB21" s="414"/>
      <c r="VKC21" s="414"/>
      <c r="VKD21" s="414"/>
      <c r="VKE21" s="414"/>
      <c r="VKF21" s="414"/>
      <c r="VKG21" s="414"/>
      <c r="VKH21" s="414"/>
      <c r="VKI21" s="414"/>
      <c r="VKJ21" s="414"/>
      <c r="VKK21" s="414"/>
      <c r="VKL21" s="414"/>
      <c r="VKM21" s="414"/>
      <c r="VKN21" s="414"/>
      <c r="VKO21" s="414"/>
      <c r="VKP21" s="414"/>
      <c r="VKQ21" s="414"/>
      <c r="VKR21" s="414"/>
      <c r="VKS21" s="414"/>
      <c r="VKT21" s="414"/>
      <c r="VKU21" s="414"/>
      <c r="VKV21" s="414"/>
      <c r="VKW21" s="414"/>
      <c r="VKX21" s="414"/>
      <c r="VKY21" s="414"/>
      <c r="VKZ21" s="414"/>
      <c r="VLA21" s="414"/>
      <c r="VLB21" s="414"/>
      <c r="VLC21" s="414"/>
      <c r="VLD21" s="414"/>
      <c r="VLE21" s="414"/>
      <c r="VLF21" s="414"/>
      <c r="VLG21" s="414"/>
      <c r="VLH21" s="414"/>
      <c r="VLI21" s="414"/>
      <c r="VLJ21" s="414"/>
      <c r="VLK21" s="414"/>
      <c r="VLL21" s="414"/>
      <c r="VLM21" s="414"/>
      <c r="VLN21" s="414"/>
      <c r="VLO21" s="414"/>
      <c r="VLP21" s="414"/>
      <c r="VLQ21" s="414"/>
      <c r="VLR21" s="414"/>
      <c r="VLS21" s="414"/>
      <c r="VLT21" s="414"/>
      <c r="VLU21" s="414"/>
      <c r="VLV21" s="414"/>
      <c r="VLW21" s="414"/>
      <c r="VLX21" s="414"/>
      <c r="VLY21" s="414"/>
      <c r="VLZ21" s="414"/>
      <c r="VMA21" s="414"/>
      <c r="VMB21" s="414"/>
      <c r="VMC21" s="414"/>
      <c r="VMD21" s="414"/>
      <c r="VME21" s="414"/>
      <c r="VMF21" s="414"/>
      <c r="VMG21" s="414"/>
      <c r="VMH21" s="414"/>
      <c r="VMI21" s="414"/>
      <c r="VMJ21" s="414"/>
      <c r="VMK21" s="414"/>
      <c r="VML21" s="414"/>
      <c r="VMM21" s="414"/>
      <c r="VMN21" s="414"/>
      <c r="VMO21" s="414"/>
      <c r="VMP21" s="414"/>
      <c r="VMQ21" s="414"/>
      <c r="VMR21" s="414"/>
      <c r="VMS21" s="414"/>
      <c r="VMT21" s="414"/>
      <c r="VMU21" s="414"/>
      <c r="VMV21" s="414"/>
      <c r="VMW21" s="414"/>
      <c r="VMX21" s="414"/>
      <c r="VMY21" s="414"/>
      <c r="VMZ21" s="414"/>
      <c r="VNA21" s="414"/>
      <c r="VNB21" s="414"/>
      <c r="VNC21" s="414"/>
      <c r="VND21" s="414"/>
      <c r="VNE21" s="414"/>
      <c r="VNF21" s="414"/>
      <c r="VNG21" s="414"/>
      <c r="VNH21" s="414"/>
      <c r="VNI21" s="414"/>
      <c r="VNJ21" s="414"/>
      <c r="VNK21" s="414"/>
      <c r="VNL21" s="414"/>
      <c r="VNM21" s="414"/>
      <c r="VNN21" s="414"/>
      <c r="VNO21" s="414"/>
      <c r="VNP21" s="414"/>
      <c r="VNQ21" s="414"/>
      <c r="VNR21" s="414"/>
      <c r="VNS21" s="414"/>
      <c r="VNT21" s="414"/>
      <c r="VNU21" s="414"/>
      <c r="VNV21" s="414"/>
      <c r="VNW21" s="414"/>
      <c r="VNX21" s="414"/>
      <c r="VNY21" s="414"/>
      <c r="VNZ21" s="414"/>
      <c r="VOA21" s="414"/>
      <c r="VOB21" s="414"/>
      <c r="VOC21" s="414"/>
      <c r="VOD21" s="414"/>
      <c r="VOE21" s="414"/>
      <c r="VOF21" s="414"/>
      <c r="VOG21" s="414"/>
      <c r="VOH21" s="414"/>
      <c r="VOI21" s="414"/>
      <c r="VOJ21" s="414"/>
      <c r="VOK21" s="414"/>
      <c r="VOL21" s="414"/>
      <c r="VOM21" s="414"/>
      <c r="VON21" s="414"/>
      <c r="VOO21" s="414"/>
      <c r="VOP21" s="414"/>
      <c r="VOQ21" s="414"/>
      <c r="VOR21" s="414"/>
      <c r="VOS21" s="414"/>
      <c r="VOT21" s="414"/>
      <c r="VOU21" s="414"/>
      <c r="VOV21" s="414"/>
      <c r="VOW21" s="414"/>
      <c r="VOX21" s="414"/>
      <c r="VOY21" s="414"/>
      <c r="VOZ21" s="414"/>
      <c r="VPA21" s="414"/>
      <c r="VPB21" s="414"/>
      <c r="VPC21" s="414"/>
      <c r="VPD21" s="414"/>
      <c r="VPE21" s="414"/>
      <c r="VPF21" s="414"/>
      <c r="VPG21" s="414"/>
      <c r="VPH21" s="414"/>
      <c r="VPI21" s="414"/>
      <c r="VPJ21" s="414"/>
      <c r="VPK21" s="414"/>
      <c r="VPL21" s="414"/>
      <c r="VPM21" s="414"/>
      <c r="VPN21" s="414"/>
      <c r="VPO21" s="414"/>
      <c r="VPP21" s="414"/>
      <c r="VPQ21" s="414"/>
      <c r="VPR21" s="414"/>
      <c r="VPS21" s="414"/>
      <c r="VPT21" s="414"/>
      <c r="VPU21" s="414"/>
      <c r="VPV21" s="414"/>
      <c r="VPW21" s="414"/>
      <c r="VPX21" s="414"/>
      <c r="VPY21" s="414"/>
      <c r="VPZ21" s="414"/>
      <c r="VQA21" s="414"/>
      <c r="VQB21" s="414"/>
      <c r="VQC21" s="414"/>
      <c r="VQD21" s="414"/>
      <c r="VQE21" s="414"/>
      <c r="VQF21" s="414"/>
      <c r="VQG21" s="414"/>
      <c r="VQH21" s="414"/>
      <c r="VQI21" s="414"/>
      <c r="VQJ21" s="414"/>
      <c r="VQK21" s="414"/>
      <c r="VQL21" s="414"/>
      <c r="VQM21" s="414"/>
      <c r="VQN21" s="414"/>
      <c r="VQO21" s="414"/>
      <c r="VQP21" s="414"/>
      <c r="VQQ21" s="414"/>
      <c r="VQR21" s="414"/>
      <c r="VQS21" s="414"/>
      <c r="VQT21" s="414"/>
      <c r="VQU21" s="414"/>
      <c r="VQV21" s="414"/>
      <c r="VQW21" s="414"/>
      <c r="VQX21" s="414"/>
      <c r="VQY21" s="414"/>
      <c r="VQZ21" s="414"/>
      <c r="VRA21" s="414"/>
      <c r="VRB21" s="414"/>
      <c r="VRC21" s="414"/>
      <c r="VRD21" s="414"/>
      <c r="VRE21" s="414"/>
      <c r="VRF21" s="414"/>
      <c r="VRG21" s="414"/>
      <c r="VRH21" s="414"/>
      <c r="VRI21" s="414"/>
      <c r="VRJ21" s="414"/>
      <c r="VRK21" s="414"/>
      <c r="VRL21" s="414"/>
      <c r="VRM21" s="414"/>
      <c r="VRN21" s="414"/>
      <c r="VRO21" s="414"/>
      <c r="VRP21" s="414"/>
      <c r="VRQ21" s="414"/>
      <c r="VRR21" s="414"/>
      <c r="VRS21" s="414"/>
      <c r="VRT21" s="414"/>
      <c r="VRU21" s="414"/>
      <c r="VRV21" s="414"/>
      <c r="VRW21" s="414"/>
      <c r="VRX21" s="414"/>
      <c r="VRY21" s="414"/>
      <c r="VRZ21" s="414"/>
      <c r="VSA21" s="414"/>
      <c r="VSB21" s="414"/>
      <c r="VSC21" s="414"/>
      <c r="VSD21" s="414"/>
      <c r="VSE21" s="414"/>
      <c r="VSF21" s="414"/>
      <c r="VSG21" s="414"/>
      <c r="VSH21" s="414"/>
      <c r="VSI21" s="414"/>
      <c r="VSJ21" s="414"/>
      <c r="VSK21" s="414"/>
      <c r="VSL21" s="414"/>
      <c r="VSM21" s="414"/>
      <c r="VSN21" s="414"/>
      <c r="VSO21" s="414"/>
      <c r="VSP21" s="414"/>
      <c r="VSQ21" s="414"/>
      <c r="VSR21" s="414"/>
      <c r="VSS21" s="414"/>
      <c r="VST21" s="414"/>
      <c r="VSU21" s="414"/>
      <c r="VSV21" s="414"/>
      <c r="VSW21" s="414"/>
      <c r="VSX21" s="414"/>
      <c r="VSY21" s="414"/>
      <c r="VSZ21" s="414"/>
      <c r="VTA21" s="414"/>
      <c r="VTB21" s="414"/>
      <c r="VTC21" s="414"/>
      <c r="VTD21" s="414"/>
      <c r="VTE21" s="414"/>
      <c r="VTF21" s="414"/>
      <c r="VTG21" s="414"/>
      <c r="VTH21" s="414"/>
      <c r="VTI21" s="414"/>
      <c r="VTJ21" s="414"/>
      <c r="VTK21" s="414"/>
      <c r="VTL21" s="414"/>
      <c r="VTM21" s="414"/>
      <c r="VTN21" s="414"/>
      <c r="VTO21" s="414"/>
      <c r="VTP21" s="414"/>
      <c r="VTQ21" s="414"/>
      <c r="VTR21" s="414"/>
      <c r="VTS21" s="414"/>
      <c r="VTT21" s="414"/>
      <c r="VTU21" s="414"/>
      <c r="VTV21" s="414"/>
      <c r="VTW21" s="414"/>
      <c r="VTX21" s="414"/>
      <c r="VTY21" s="414"/>
      <c r="VTZ21" s="414"/>
      <c r="VUA21" s="414"/>
      <c r="VUB21" s="414"/>
      <c r="VUC21" s="414"/>
      <c r="VUD21" s="414"/>
      <c r="VUE21" s="414"/>
      <c r="VUF21" s="414"/>
      <c r="VUG21" s="414"/>
      <c r="VUH21" s="414"/>
      <c r="VUI21" s="414"/>
      <c r="VUJ21" s="414"/>
      <c r="VUK21" s="414"/>
      <c r="VUL21" s="414"/>
      <c r="VUM21" s="414"/>
      <c r="VUN21" s="414"/>
      <c r="VUO21" s="414"/>
      <c r="VUP21" s="414"/>
      <c r="VUQ21" s="414"/>
      <c r="VUR21" s="414"/>
      <c r="VUS21" s="414"/>
      <c r="VUT21" s="414"/>
      <c r="VUU21" s="414"/>
      <c r="VUV21" s="414"/>
      <c r="VUW21" s="414"/>
      <c r="VUX21" s="414"/>
      <c r="VUY21" s="414"/>
      <c r="VUZ21" s="414"/>
      <c r="VVA21" s="414"/>
      <c r="VVB21" s="414"/>
      <c r="VVC21" s="414"/>
      <c r="VVD21" s="414"/>
      <c r="VVE21" s="414"/>
      <c r="VVF21" s="414"/>
      <c r="VVG21" s="414"/>
      <c r="VVH21" s="414"/>
      <c r="VVI21" s="414"/>
      <c r="VVJ21" s="414"/>
      <c r="VVK21" s="414"/>
      <c r="VVL21" s="414"/>
      <c r="VVM21" s="414"/>
      <c r="VVN21" s="414"/>
      <c r="VVO21" s="414"/>
      <c r="VVP21" s="414"/>
      <c r="VVQ21" s="414"/>
      <c r="VVR21" s="414"/>
      <c r="VVS21" s="414"/>
      <c r="VVT21" s="414"/>
      <c r="VVU21" s="414"/>
      <c r="VVV21" s="414"/>
      <c r="VVW21" s="414"/>
      <c r="VVX21" s="414"/>
      <c r="VVY21" s="414"/>
      <c r="VVZ21" s="414"/>
      <c r="VWA21" s="414"/>
      <c r="VWB21" s="414"/>
      <c r="VWC21" s="414"/>
      <c r="VWD21" s="414"/>
      <c r="VWE21" s="414"/>
      <c r="VWF21" s="414"/>
      <c r="VWG21" s="414"/>
      <c r="VWH21" s="414"/>
      <c r="VWI21" s="414"/>
      <c r="VWJ21" s="414"/>
      <c r="VWK21" s="414"/>
      <c r="VWL21" s="414"/>
      <c r="VWM21" s="414"/>
      <c r="VWN21" s="414"/>
      <c r="VWO21" s="414"/>
      <c r="VWP21" s="414"/>
      <c r="VWQ21" s="414"/>
      <c r="VWR21" s="414"/>
      <c r="VWS21" s="414"/>
      <c r="VWT21" s="414"/>
      <c r="VWU21" s="414"/>
      <c r="VWV21" s="414"/>
      <c r="VWW21" s="414"/>
      <c r="VWX21" s="414"/>
      <c r="VWY21" s="414"/>
      <c r="VWZ21" s="414"/>
      <c r="VXA21" s="414"/>
      <c r="VXB21" s="414"/>
      <c r="VXC21" s="414"/>
      <c r="VXD21" s="414"/>
      <c r="VXE21" s="414"/>
      <c r="VXF21" s="414"/>
      <c r="VXG21" s="414"/>
      <c r="VXH21" s="414"/>
      <c r="VXI21" s="414"/>
      <c r="VXJ21" s="414"/>
      <c r="VXK21" s="414"/>
      <c r="VXL21" s="414"/>
      <c r="VXM21" s="414"/>
      <c r="VXN21" s="414"/>
      <c r="VXO21" s="414"/>
      <c r="VXP21" s="414"/>
      <c r="VXQ21" s="414"/>
      <c r="VXR21" s="414"/>
      <c r="VXS21" s="414"/>
      <c r="VXT21" s="414"/>
      <c r="VXU21" s="414"/>
      <c r="VXV21" s="414"/>
      <c r="VXW21" s="414"/>
      <c r="VXX21" s="414"/>
      <c r="VXY21" s="414"/>
      <c r="VXZ21" s="414"/>
      <c r="VYA21" s="414"/>
      <c r="VYB21" s="414"/>
      <c r="VYC21" s="414"/>
      <c r="VYD21" s="414"/>
      <c r="VYE21" s="414"/>
      <c r="VYF21" s="414"/>
      <c r="VYG21" s="414"/>
      <c r="VYH21" s="414"/>
      <c r="VYI21" s="414"/>
      <c r="VYJ21" s="414"/>
      <c r="VYK21" s="414"/>
      <c r="VYL21" s="414"/>
      <c r="VYM21" s="414"/>
      <c r="VYN21" s="414"/>
      <c r="VYO21" s="414"/>
      <c r="VYP21" s="414"/>
      <c r="VYQ21" s="414"/>
      <c r="VYR21" s="414"/>
      <c r="VYS21" s="414"/>
      <c r="VYT21" s="414"/>
      <c r="VYU21" s="414"/>
      <c r="VYV21" s="414"/>
      <c r="VYW21" s="414"/>
      <c r="VYX21" s="414"/>
      <c r="VYY21" s="414"/>
      <c r="VYZ21" s="414"/>
      <c r="VZA21" s="414"/>
      <c r="VZB21" s="414"/>
      <c r="VZC21" s="414"/>
      <c r="VZD21" s="414"/>
      <c r="VZE21" s="414"/>
      <c r="VZF21" s="414"/>
      <c r="VZG21" s="414"/>
      <c r="VZH21" s="414"/>
      <c r="VZI21" s="414"/>
      <c r="VZJ21" s="414"/>
      <c r="VZK21" s="414"/>
      <c r="VZL21" s="414"/>
      <c r="VZM21" s="414"/>
      <c r="VZN21" s="414"/>
      <c r="VZO21" s="414"/>
      <c r="VZP21" s="414"/>
      <c r="VZQ21" s="414"/>
      <c r="VZR21" s="414"/>
      <c r="VZS21" s="414"/>
      <c r="VZT21" s="414"/>
      <c r="VZU21" s="414"/>
      <c r="VZV21" s="414"/>
      <c r="VZW21" s="414"/>
      <c r="VZX21" s="414"/>
      <c r="VZY21" s="414"/>
      <c r="VZZ21" s="414"/>
      <c r="WAA21" s="414"/>
      <c r="WAB21" s="414"/>
      <c r="WAC21" s="414"/>
      <c r="WAD21" s="414"/>
      <c r="WAE21" s="414"/>
      <c r="WAF21" s="414"/>
      <c r="WAG21" s="414"/>
      <c r="WAH21" s="414"/>
      <c r="WAI21" s="414"/>
      <c r="WAJ21" s="414"/>
      <c r="WAK21" s="414"/>
      <c r="WAL21" s="414"/>
      <c r="WAM21" s="414"/>
      <c r="WAN21" s="414"/>
      <c r="WAO21" s="414"/>
      <c r="WAP21" s="414"/>
      <c r="WAQ21" s="414"/>
      <c r="WAR21" s="414"/>
      <c r="WAS21" s="414"/>
      <c r="WAT21" s="414"/>
      <c r="WAU21" s="414"/>
      <c r="WAV21" s="414"/>
      <c r="WAW21" s="414"/>
      <c r="WAX21" s="414"/>
      <c r="WAY21" s="414"/>
      <c r="WAZ21" s="414"/>
      <c r="WBA21" s="414"/>
      <c r="WBB21" s="414"/>
      <c r="WBC21" s="414"/>
      <c r="WBD21" s="414"/>
      <c r="WBE21" s="414"/>
      <c r="WBF21" s="414"/>
      <c r="WBG21" s="414"/>
      <c r="WBH21" s="414"/>
      <c r="WBI21" s="414"/>
      <c r="WBJ21" s="414"/>
      <c r="WBK21" s="414"/>
      <c r="WBL21" s="414"/>
      <c r="WBM21" s="414"/>
      <c r="WBN21" s="414"/>
      <c r="WBO21" s="414"/>
      <c r="WBP21" s="414"/>
      <c r="WBQ21" s="414"/>
      <c r="WBR21" s="414"/>
      <c r="WBS21" s="414"/>
      <c r="WBT21" s="414"/>
      <c r="WBU21" s="414"/>
      <c r="WBV21" s="414"/>
      <c r="WBW21" s="414"/>
      <c r="WBX21" s="414"/>
      <c r="WBY21" s="414"/>
      <c r="WBZ21" s="414"/>
      <c r="WCA21" s="414"/>
      <c r="WCB21" s="414"/>
      <c r="WCC21" s="414"/>
      <c r="WCD21" s="414"/>
      <c r="WCE21" s="414"/>
      <c r="WCF21" s="414"/>
      <c r="WCG21" s="414"/>
      <c r="WCH21" s="414"/>
      <c r="WCI21" s="414"/>
      <c r="WCJ21" s="414"/>
      <c r="WCK21" s="414"/>
      <c r="WCL21" s="414"/>
      <c r="WCM21" s="414"/>
      <c r="WCN21" s="414"/>
      <c r="WCO21" s="414"/>
      <c r="WCP21" s="414"/>
      <c r="WCQ21" s="414"/>
      <c r="WCR21" s="414"/>
      <c r="WCS21" s="414"/>
      <c r="WCT21" s="414"/>
      <c r="WCU21" s="414"/>
      <c r="WCV21" s="414"/>
      <c r="WCW21" s="414"/>
      <c r="WCX21" s="414"/>
      <c r="WCY21" s="414"/>
      <c r="WCZ21" s="414"/>
      <c r="WDA21" s="414"/>
      <c r="WDB21" s="414"/>
      <c r="WDC21" s="414"/>
      <c r="WDD21" s="414"/>
      <c r="WDE21" s="414"/>
      <c r="WDF21" s="414"/>
      <c r="WDG21" s="414"/>
      <c r="WDH21" s="414"/>
      <c r="WDI21" s="414"/>
      <c r="WDJ21" s="414"/>
      <c r="WDK21" s="414"/>
      <c r="WDL21" s="414"/>
      <c r="WDM21" s="414"/>
      <c r="WDN21" s="414"/>
      <c r="WDO21" s="414"/>
      <c r="WDP21" s="414"/>
      <c r="WDQ21" s="414"/>
      <c r="WDR21" s="414"/>
      <c r="WDS21" s="414"/>
      <c r="WDT21" s="414"/>
      <c r="WDU21" s="414"/>
      <c r="WDV21" s="414"/>
      <c r="WDW21" s="414"/>
      <c r="WDX21" s="414"/>
      <c r="WDY21" s="414"/>
      <c r="WDZ21" s="414"/>
      <c r="WEA21" s="414"/>
      <c r="WEB21" s="414"/>
      <c r="WEC21" s="414"/>
      <c r="WED21" s="414"/>
      <c r="WEE21" s="414"/>
      <c r="WEF21" s="414"/>
      <c r="WEG21" s="414"/>
      <c r="WEH21" s="414"/>
      <c r="WEI21" s="414"/>
      <c r="WEJ21" s="414"/>
      <c r="WEK21" s="414"/>
      <c r="WEL21" s="414"/>
      <c r="WEM21" s="414"/>
      <c r="WEN21" s="414"/>
      <c r="WEO21" s="414"/>
      <c r="WEP21" s="414"/>
      <c r="WEQ21" s="414"/>
      <c r="WER21" s="414"/>
      <c r="WES21" s="414"/>
      <c r="WET21" s="414"/>
      <c r="WEU21" s="414"/>
      <c r="WEV21" s="414"/>
      <c r="WEW21" s="414"/>
      <c r="WEX21" s="414"/>
      <c r="WEY21" s="414"/>
      <c r="WEZ21" s="414"/>
      <c r="WFA21" s="414"/>
      <c r="WFB21" s="414"/>
      <c r="WFC21" s="414"/>
      <c r="WFD21" s="414"/>
      <c r="WFE21" s="414"/>
      <c r="WFF21" s="414"/>
      <c r="WFG21" s="414"/>
      <c r="WFH21" s="414"/>
      <c r="WFI21" s="414"/>
      <c r="WFJ21" s="414"/>
      <c r="WFK21" s="414"/>
      <c r="WFL21" s="414"/>
      <c r="WFM21" s="414"/>
      <c r="WFN21" s="414"/>
      <c r="WFO21" s="414"/>
      <c r="WFP21" s="414"/>
      <c r="WFQ21" s="414"/>
      <c r="WFR21" s="414"/>
      <c r="WFS21" s="414"/>
      <c r="WFT21" s="414"/>
      <c r="WFU21" s="414"/>
      <c r="WFV21" s="414"/>
      <c r="WFW21" s="414"/>
      <c r="WFX21" s="414"/>
      <c r="WFY21" s="414"/>
      <c r="WFZ21" s="414"/>
      <c r="WGA21" s="414"/>
      <c r="WGB21" s="414"/>
      <c r="WGC21" s="414"/>
      <c r="WGD21" s="414"/>
      <c r="WGE21" s="414"/>
      <c r="WGF21" s="414"/>
      <c r="WGG21" s="414"/>
      <c r="WGH21" s="414"/>
      <c r="WGI21" s="414"/>
      <c r="WGJ21" s="414"/>
      <c r="WGK21" s="414"/>
      <c r="WGL21" s="414"/>
      <c r="WGM21" s="414"/>
      <c r="WGN21" s="414"/>
      <c r="WGO21" s="414"/>
      <c r="WGP21" s="414"/>
      <c r="WGQ21" s="414"/>
      <c r="WGR21" s="414"/>
      <c r="WGS21" s="414"/>
      <c r="WGT21" s="414"/>
      <c r="WGU21" s="414"/>
      <c r="WGV21" s="414"/>
      <c r="WGW21" s="414"/>
      <c r="WGX21" s="414"/>
      <c r="WGY21" s="414"/>
      <c r="WGZ21" s="414"/>
      <c r="WHA21" s="414"/>
      <c r="WHB21" s="414"/>
      <c r="WHC21" s="414"/>
      <c r="WHD21" s="414"/>
      <c r="WHE21" s="414"/>
      <c r="WHF21" s="414"/>
      <c r="WHG21" s="414"/>
      <c r="WHH21" s="414"/>
      <c r="WHI21" s="414"/>
      <c r="WHJ21" s="414"/>
      <c r="WHK21" s="414"/>
      <c r="WHL21" s="414"/>
      <c r="WHM21" s="414"/>
      <c r="WHN21" s="414"/>
      <c r="WHO21" s="414"/>
      <c r="WHP21" s="414"/>
      <c r="WHQ21" s="414"/>
      <c r="WHR21" s="414"/>
      <c r="WHS21" s="414"/>
      <c r="WHT21" s="414"/>
      <c r="WHU21" s="414"/>
      <c r="WHV21" s="414"/>
      <c r="WHW21" s="414"/>
      <c r="WHX21" s="414"/>
      <c r="WHY21" s="414"/>
      <c r="WHZ21" s="414"/>
      <c r="WIA21" s="414"/>
      <c r="WIB21" s="414"/>
      <c r="WIC21" s="414"/>
      <c r="WID21" s="414"/>
      <c r="WIE21" s="414"/>
      <c r="WIF21" s="414"/>
      <c r="WIG21" s="414"/>
      <c r="WIH21" s="414"/>
      <c r="WII21" s="414"/>
      <c r="WIJ21" s="414"/>
      <c r="WIK21" s="414"/>
      <c r="WIL21" s="414"/>
      <c r="WIM21" s="414"/>
      <c r="WIN21" s="414"/>
      <c r="WIO21" s="414"/>
      <c r="WIP21" s="414"/>
      <c r="WIQ21" s="414"/>
      <c r="WIR21" s="414"/>
      <c r="WIS21" s="414"/>
      <c r="WIT21" s="414"/>
      <c r="WIU21" s="414"/>
      <c r="WIV21" s="414"/>
      <c r="WIW21" s="414"/>
      <c r="WIX21" s="414"/>
      <c r="WIY21" s="414"/>
      <c r="WIZ21" s="414"/>
      <c r="WJA21" s="414"/>
      <c r="WJB21" s="414"/>
      <c r="WJC21" s="414"/>
      <c r="WJD21" s="414"/>
      <c r="WJE21" s="414"/>
      <c r="WJF21" s="414"/>
      <c r="WJG21" s="414"/>
      <c r="WJH21" s="414"/>
      <c r="WJI21" s="414"/>
      <c r="WJJ21" s="414"/>
      <c r="WJK21" s="414"/>
      <c r="WJL21" s="414"/>
      <c r="WJM21" s="414"/>
      <c r="WJN21" s="414"/>
      <c r="WJO21" s="414"/>
      <c r="WJP21" s="414"/>
      <c r="WJQ21" s="414"/>
      <c r="WJR21" s="414"/>
      <c r="WJS21" s="414"/>
      <c r="WJT21" s="414"/>
      <c r="WJU21" s="414"/>
      <c r="WJV21" s="414"/>
      <c r="WJW21" s="414"/>
      <c r="WJX21" s="414"/>
      <c r="WJY21" s="414"/>
      <c r="WJZ21" s="414"/>
      <c r="WKA21" s="414"/>
      <c r="WKB21" s="414"/>
      <c r="WKC21" s="414"/>
      <c r="WKD21" s="414"/>
      <c r="WKE21" s="414"/>
      <c r="WKF21" s="414"/>
      <c r="WKG21" s="414"/>
      <c r="WKH21" s="414"/>
      <c r="WKI21" s="414"/>
      <c r="WKJ21" s="414"/>
      <c r="WKK21" s="414"/>
      <c r="WKL21" s="414"/>
      <c r="WKM21" s="414"/>
      <c r="WKN21" s="414"/>
      <c r="WKO21" s="414"/>
      <c r="WKP21" s="414"/>
      <c r="WKQ21" s="414"/>
      <c r="WKR21" s="414"/>
      <c r="WKS21" s="414"/>
      <c r="WKT21" s="414"/>
      <c r="WKU21" s="414"/>
      <c r="WKV21" s="414"/>
      <c r="WKW21" s="414"/>
      <c r="WKX21" s="414"/>
      <c r="WKY21" s="414"/>
      <c r="WKZ21" s="414"/>
      <c r="WLA21" s="414"/>
      <c r="WLB21" s="414"/>
      <c r="WLC21" s="414"/>
      <c r="WLD21" s="414"/>
      <c r="WLE21" s="414"/>
      <c r="WLF21" s="414"/>
      <c r="WLG21" s="414"/>
      <c r="WLH21" s="414"/>
      <c r="WLI21" s="414"/>
      <c r="WLJ21" s="414"/>
      <c r="WLK21" s="414"/>
      <c r="WLL21" s="414"/>
      <c r="WLM21" s="414"/>
      <c r="WLN21" s="414"/>
      <c r="WLO21" s="414"/>
      <c r="WLP21" s="414"/>
      <c r="WLQ21" s="414"/>
      <c r="WLR21" s="414"/>
      <c r="WLS21" s="414"/>
      <c r="WLT21" s="414"/>
      <c r="WLU21" s="414"/>
      <c r="WLV21" s="414"/>
      <c r="WLW21" s="414"/>
      <c r="WLX21" s="414"/>
      <c r="WLY21" s="414"/>
      <c r="WLZ21" s="414"/>
      <c r="WMA21" s="414"/>
      <c r="WMB21" s="414"/>
      <c r="WMC21" s="414"/>
      <c r="WMD21" s="414"/>
      <c r="WME21" s="414"/>
      <c r="WMF21" s="414"/>
      <c r="WMG21" s="414"/>
      <c r="WMH21" s="414"/>
      <c r="WMI21" s="414"/>
      <c r="WMJ21" s="414"/>
      <c r="WMK21" s="414"/>
      <c r="WML21" s="414"/>
      <c r="WMM21" s="414"/>
      <c r="WMN21" s="414"/>
      <c r="WMO21" s="414"/>
      <c r="WMP21" s="414"/>
      <c r="WMQ21" s="414"/>
      <c r="WMR21" s="414"/>
      <c r="WMS21" s="414"/>
      <c r="WMT21" s="414"/>
      <c r="WMU21" s="414"/>
      <c r="WMV21" s="414"/>
      <c r="WMW21" s="414"/>
      <c r="WMX21" s="414"/>
      <c r="WMY21" s="414"/>
      <c r="WMZ21" s="414"/>
      <c r="WNA21" s="414"/>
      <c r="WNB21" s="414"/>
      <c r="WNC21" s="414"/>
      <c r="WND21" s="414"/>
      <c r="WNE21" s="414"/>
      <c r="WNF21" s="414"/>
      <c r="WNG21" s="414"/>
      <c r="WNH21" s="414"/>
      <c r="WNI21" s="414"/>
      <c r="WNJ21" s="414"/>
      <c r="WNK21" s="414"/>
      <c r="WNL21" s="414"/>
      <c r="WNM21" s="414"/>
      <c r="WNN21" s="414"/>
      <c r="WNO21" s="414"/>
      <c r="WNP21" s="414"/>
      <c r="WNQ21" s="414"/>
      <c r="WNR21" s="414"/>
      <c r="WNS21" s="414"/>
      <c r="WNT21" s="414"/>
      <c r="WNU21" s="414"/>
      <c r="WNV21" s="414"/>
      <c r="WNW21" s="414"/>
      <c r="WNX21" s="414"/>
      <c r="WNY21" s="414"/>
      <c r="WNZ21" s="414"/>
      <c r="WOA21" s="414"/>
      <c r="WOB21" s="414"/>
      <c r="WOC21" s="414"/>
      <c r="WOD21" s="414"/>
      <c r="WOE21" s="414"/>
      <c r="WOF21" s="414"/>
      <c r="WOG21" s="414"/>
      <c r="WOH21" s="414"/>
      <c r="WOI21" s="414"/>
      <c r="WOJ21" s="414"/>
      <c r="WOK21" s="414"/>
      <c r="WOL21" s="414"/>
      <c r="WOM21" s="414"/>
      <c r="WON21" s="414"/>
      <c r="WOO21" s="414"/>
      <c r="WOP21" s="414"/>
      <c r="WOQ21" s="414"/>
      <c r="WOR21" s="414"/>
      <c r="WOS21" s="414"/>
      <c r="WOT21" s="414"/>
      <c r="WOU21" s="414"/>
      <c r="WOV21" s="414"/>
      <c r="WOW21" s="414"/>
      <c r="WOX21" s="414"/>
      <c r="WOY21" s="414"/>
      <c r="WOZ21" s="414"/>
      <c r="WPA21" s="414"/>
      <c r="WPB21" s="414"/>
      <c r="WPC21" s="414"/>
      <c r="WPD21" s="414"/>
      <c r="WPE21" s="414"/>
      <c r="WPF21" s="414"/>
      <c r="WPG21" s="414"/>
      <c r="WPH21" s="414"/>
      <c r="WPI21" s="414"/>
      <c r="WPJ21" s="414"/>
      <c r="WPK21" s="414"/>
      <c r="WPL21" s="414"/>
      <c r="WPM21" s="414"/>
      <c r="WPN21" s="414"/>
      <c r="WPO21" s="414"/>
      <c r="WPP21" s="414"/>
      <c r="WPQ21" s="414"/>
      <c r="WPR21" s="414"/>
      <c r="WPS21" s="414"/>
      <c r="WPT21" s="414"/>
      <c r="WPU21" s="414"/>
      <c r="WPV21" s="414"/>
      <c r="WPW21" s="414"/>
      <c r="WPX21" s="414"/>
      <c r="WPY21" s="414"/>
      <c r="WPZ21" s="414"/>
      <c r="WQA21" s="414"/>
      <c r="WQB21" s="414"/>
      <c r="WQC21" s="414"/>
      <c r="WQD21" s="414"/>
      <c r="WQE21" s="414"/>
      <c r="WQF21" s="414"/>
      <c r="WQG21" s="414"/>
      <c r="WQH21" s="414"/>
      <c r="WQI21" s="414"/>
      <c r="WQJ21" s="414"/>
      <c r="WQK21" s="414"/>
      <c r="WQL21" s="414"/>
      <c r="WQM21" s="414"/>
      <c r="WQN21" s="414"/>
      <c r="WQO21" s="414"/>
      <c r="WQP21" s="414"/>
      <c r="WQQ21" s="414"/>
      <c r="WQR21" s="414"/>
      <c r="WQS21" s="414"/>
      <c r="WQT21" s="414"/>
      <c r="WQU21" s="414"/>
      <c r="WQV21" s="414"/>
      <c r="WQW21" s="414"/>
      <c r="WQX21" s="414"/>
      <c r="WQY21" s="414"/>
      <c r="WQZ21" s="414"/>
      <c r="WRA21" s="414"/>
      <c r="WRB21" s="414"/>
      <c r="WRC21" s="414"/>
      <c r="WRD21" s="414"/>
      <c r="WRE21" s="414"/>
      <c r="WRF21" s="414"/>
      <c r="WRG21" s="414"/>
      <c r="WRH21" s="414"/>
      <c r="WRI21" s="414"/>
      <c r="WRJ21" s="414"/>
      <c r="WRK21" s="414"/>
      <c r="WRL21" s="414"/>
      <c r="WRM21" s="414"/>
      <c r="WRN21" s="414"/>
      <c r="WRO21" s="414"/>
      <c r="WRP21" s="414"/>
      <c r="WRQ21" s="414"/>
      <c r="WRR21" s="414"/>
      <c r="WRS21" s="414"/>
      <c r="WRT21" s="414"/>
      <c r="WRU21" s="414"/>
      <c r="WRV21" s="414"/>
      <c r="WRW21" s="414"/>
      <c r="WRX21" s="414"/>
      <c r="WRY21" s="414"/>
      <c r="WRZ21" s="414"/>
      <c r="WSA21" s="414"/>
      <c r="WSB21" s="414"/>
      <c r="WSC21" s="414"/>
      <c r="WSD21" s="414"/>
      <c r="WSE21" s="414"/>
      <c r="WSF21" s="414"/>
      <c r="WSG21" s="414"/>
      <c r="WSH21" s="414"/>
      <c r="WSI21" s="414"/>
      <c r="WSJ21" s="414"/>
      <c r="WSK21" s="414"/>
      <c r="WSL21" s="414"/>
      <c r="WSM21" s="414"/>
      <c r="WSN21" s="414"/>
      <c r="WSO21" s="414"/>
      <c r="WSP21" s="414"/>
      <c r="WSQ21" s="414"/>
      <c r="WSR21" s="414"/>
      <c r="WSS21" s="414"/>
      <c r="WST21" s="414"/>
      <c r="WSU21" s="414"/>
      <c r="WSV21" s="414"/>
      <c r="WSW21" s="414"/>
      <c r="WSX21" s="414"/>
      <c r="WSY21" s="414"/>
      <c r="WSZ21" s="414"/>
      <c r="WTA21" s="414"/>
      <c r="WTB21" s="414"/>
      <c r="WTC21" s="414"/>
      <c r="WTD21" s="414"/>
      <c r="WTE21" s="414"/>
      <c r="WTF21" s="414"/>
      <c r="WTG21" s="414"/>
      <c r="WTH21" s="414"/>
      <c r="WTI21" s="414"/>
      <c r="WTJ21" s="414"/>
      <c r="WTK21" s="414"/>
      <c r="WTL21" s="414"/>
      <c r="WTM21" s="414"/>
      <c r="WTN21" s="414"/>
      <c r="WTO21" s="414"/>
      <c r="WTP21" s="414"/>
      <c r="WTQ21" s="414"/>
      <c r="WTR21" s="414"/>
      <c r="WTS21" s="414"/>
      <c r="WTT21" s="414"/>
      <c r="WTU21" s="414"/>
      <c r="WTV21" s="414"/>
      <c r="WTW21" s="414"/>
      <c r="WTX21" s="414"/>
      <c r="WTY21" s="414"/>
      <c r="WTZ21" s="414"/>
      <c r="WUA21" s="414"/>
      <c r="WUB21" s="414"/>
      <c r="WUC21" s="414"/>
      <c r="WUD21" s="414"/>
      <c r="WUE21" s="414"/>
      <c r="WUF21" s="414"/>
      <c r="WUG21" s="414"/>
      <c r="WUH21" s="414"/>
      <c r="WUI21" s="414"/>
      <c r="WUJ21" s="414"/>
      <c r="WUK21" s="414"/>
      <c r="WUL21" s="414"/>
      <c r="WUM21" s="414"/>
      <c r="WUN21" s="414"/>
      <c r="WUO21" s="414"/>
      <c r="WUP21" s="414"/>
      <c r="WUQ21" s="414"/>
      <c r="WUR21" s="414"/>
      <c r="WUS21" s="414"/>
      <c r="WUT21" s="414"/>
      <c r="WUU21" s="414"/>
      <c r="WUV21" s="414"/>
      <c r="WUW21" s="414"/>
      <c r="WUX21" s="414"/>
      <c r="WUY21" s="414"/>
      <c r="WUZ21" s="414"/>
      <c r="WVA21" s="414"/>
      <c r="WVB21" s="414"/>
      <c r="WVC21" s="414"/>
      <c r="WVD21" s="414"/>
      <c r="WVE21" s="414"/>
      <c r="WVF21" s="414"/>
      <c r="WVG21" s="414"/>
      <c r="WVH21" s="414"/>
      <c r="WVI21" s="414"/>
      <c r="WVJ21" s="414"/>
      <c r="WVK21" s="414"/>
      <c r="WVL21" s="414"/>
      <c r="WVM21" s="414"/>
      <c r="WVN21" s="414"/>
      <c r="WVO21" s="414"/>
      <c r="WVP21" s="414"/>
      <c r="WVQ21" s="414"/>
      <c r="WVR21" s="414"/>
      <c r="WVS21" s="414"/>
      <c r="WVT21" s="414"/>
      <c r="WVU21" s="414"/>
      <c r="WVV21" s="414"/>
      <c r="WVW21" s="414"/>
      <c r="WVX21" s="414"/>
      <c r="WVY21" s="414"/>
      <c r="WVZ21" s="414"/>
      <c r="WWA21" s="414"/>
      <c r="WWB21" s="414"/>
      <c r="WWC21" s="414"/>
      <c r="WWD21" s="414"/>
      <c r="WWE21" s="414"/>
      <c r="WWF21" s="414"/>
      <c r="WWG21" s="414"/>
      <c r="WWH21" s="414"/>
      <c r="WWI21" s="414"/>
      <c r="WWJ21" s="414"/>
      <c r="WWK21" s="414"/>
      <c r="WWL21" s="414"/>
      <c r="WWM21" s="414"/>
      <c r="WWN21" s="414"/>
      <c r="WWO21" s="414"/>
      <c r="WWP21" s="414"/>
      <c r="WWQ21" s="414"/>
      <c r="WWR21" s="414"/>
      <c r="WWS21" s="414"/>
      <c r="WWT21" s="414"/>
      <c r="WWU21" s="414"/>
      <c r="WWV21" s="414"/>
      <c r="WWW21" s="414"/>
      <c r="WWX21" s="414"/>
      <c r="WWY21" s="414"/>
      <c r="WWZ21" s="414"/>
      <c r="WXA21" s="414"/>
      <c r="WXB21" s="414"/>
      <c r="WXC21" s="414"/>
      <c r="WXD21" s="414"/>
      <c r="WXE21" s="414"/>
      <c r="WXF21" s="414"/>
      <c r="WXG21" s="414"/>
      <c r="WXH21" s="414"/>
      <c r="WXI21" s="414"/>
      <c r="WXJ21" s="414"/>
      <c r="WXK21" s="414"/>
      <c r="WXL21" s="414"/>
      <c r="WXM21" s="414"/>
      <c r="WXN21" s="414"/>
      <c r="WXO21" s="414"/>
      <c r="WXP21" s="414"/>
      <c r="WXQ21" s="414"/>
      <c r="WXR21" s="414"/>
      <c r="WXS21" s="414"/>
      <c r="WXT21" s="414"/>
      <c r="WXU21" s="414"/>
      <c r="WXV21" s="414"/>
      <c r="WXW21" s="414"/>
      <c r="WXX21" s="414"/>
      <c r="WXY21" s="414"/>
      <c r="WXZ21" s="414"/>
      <c r="WYA21" s="414"/>
      <c r="WYB21" s="414"/>
      <c r="WYC21" s="414"/>
      <c r="WYD21" s="414"/>
      <c r="WYE21" s="414"/>
      <c r="WYF21" s="414"/>
      <c r="WYG21" s="414"/>
      <c r="WYH21" s="414"/>
      <c r="WYI21" s="414"/>
      <c r="WYJ21" s="414"/>
      <c r="WYK21" s="414"/>
      <c r="WYL21" s="414"/>
      <c r="WYM21" s="414"/>
      <c r="WYN21" s="414"/>
      <c r="WYO21" s="414"/>
      <c r="WYP21" s="414"/>
      <c r="WYQ21" s="414"/>
      <c r="WYR21" s="414"/>
      <c r="WYS21" s="414"/>
      <c r="WYT21" s="414"/>
      <c r="WYU21" s="414"/>
      <c r="WYV21" s="414"/>
      <c r="WYW21" s="414"/>
      <c r="WYX21" s="414"/>
      <c r="WYY21" s="414"/>
      <c r="WYZ21" s="414"/>
      <c r="WZA21" s="414"/>
      <c r="WZB21" s="414"/>
      <c r="WZC21" s="414"/>
      <c r="WZD21" s="414"/>
      <c r="WZE21" s="414"/>
      <c r="WZF21" s="414"/>
      <c r="WZG21" s="414"/>
      <c r="WZH21" s="414"/>
      <c r="WZI21" s="414"/>
      <c r="WZJ21" s="414"/>
      <c r="WZK21" s="414"/>
      <c r="WZL21" s="414"/>
      <c r="WZM21" s="414"/>
      <c r="WZN21" s="414"/>
      <c r="WZO21" s="414"/>
      <c r="WZP21" s="414"/>
      <c r="WZQ21" s="414"/>
      <c r="WZR21" s="414"/>
      <c r="WZS21" s="414"/>
      <c r="WZT21" s="414"/>
      <c r="WZU21" s="414"/>
      <c r="WZV21" s="414"/>
      <c r="WZW21" s="414"/>
      <c r="WZX21" s="414"/>
      <c r="WZY21" s="414"/>
      <c r="WZZ21" s="414"/>
      <c r="XAA21" s="414"/>
      <c r="XAB21" s="414"/>
      <c r="XAC21" s="414"/>
      <c r="XAD21" s="414"/>
      <c r="XAE21" s="414"/>
      <c r="XAF21" s="414"/>
      <c r="XAG21" s="414"/>
      <c r="XAH21" s="414"/>
      <c r="XAI21" s="414"/>
      <c r="XAJ21" s="414"/>
      <c r="XAK21" s="414"/>
      <c r="XAL21" s="414"/>
      <c r="XAM21" s="414"/>
      <c r="XAN21" s="414"/>
      <c r="XAO21" s="414"/>
      <c r="XAP21" s="414"/>
      <c r="XAQ21" s="414"/>
      <c r="XAR21" s="414"/>
      <c r="XAS21" s="414"/>
      <c r="XAT21" s="414"/>
      <c r="XAU21" s="414"/>
      <c r="XAV21" s="414"/>
      <c r="XAW21" s="414"/>
      <c r="XAX21" s="414"/>
      <c r="XAY21" s="414"/>
      <c r="XAZ21" s="414"/>
      <c r="XBA21" s="414"/>
      <c r="XBB21" s="414"/>
      <c r="XBC21" s="414"/>
      <c r="XBD21" s="414"/>
      <c r="XBE21" s="414"/>
      <c r="XBF21" s="414"/>
      <c r="XBG21" s="414"/>
      <c r="XBH21" s="414"/>
      <c r="XBI21" s="414"/>
      <c r="XBJ21" s="414"/>
      <c r="XBK21" s="414"/>
      <c r="XBL21" s="414"/>
      <c r="XBM21" s="414"/>
      <c r="XBN21" s="414"/>
      <c r="XBO21" s="414"/>
      <c r="XBP21" s="414"/>
      <c r="XBQ21" s="414"/>
      <c r="XBR21" s="414"/>
      <c r="XBS21" s="414"/>
      <c r="XBT21" s="414"/>
      <c r="XBU21" s="414"/>
      <c r="XBV21" s="414"/>
      <c r="XBW21" s="414"/>
      <c r="XBX21" s="414"/>
      <c r="XBY21" s="414"/>
      <c r="XBZ21" s="414"/>
      <c r="XCA21" s="414"/>
      <c r="XCB21" s="414"/>
      <c r="XCC21" s="414"/>
      <c r="XCD21" s="414"/>
      <c r="XCE21" s="414"/>
      <c r="XCF21" s="414"/>
      <c r="XCG21" s="414"/>
      <c r="XCH21" s="414"/>
      <c r="XCI21" s="414"/>
      <c r="XCJ21" s="414"/>
      <c r="XCK21" s="414"/>
      <c r="XCL21" s="414"/>
      <c r="XCM21" s="414"/>
      <c r="XCN21" s="414"/>
      <c r="XCO21" s="414"/>
      <c r="XCP21" s="414"/>
      <c r="XCQ21" s="414"/>
      <c r="XCR21" s="414"/>
      <c r="XCS21" s="414"/>
      <c r="XCT21" s="414"/>
      <c r="XCU21" s="414"/>
      <c r="XCV21" s="414"/>
      <c r="XCW21" s="414"/>
      <c r="XCX21" s="414"/>
      <c r="XCY21" s="414"/>
      <c r="XCZ21" s="414"/>
      <c r="XDA21" s="414"/>
      <c r="XDB21" s="414"/>
      <c r="XDC21" s="414"/>
      <c r="XDD21" s="414"/>
      <c r="XDE21" s="414"/>
      <c r="XDF21" s="414"/>
      <c r="XDG21" s="414"/>
      <c r="XDH21" s="414"/>
      <c r="XDI21" s="414"/>
      <c r="XDJ21" s="414"/>
      <c r="XDK21" s="414"/>
      <c r="XDL21" s="414"/>
      <c r="XDM21" s="414"/>
      <c r="XDN21" s="414"/>
      <c r="XDO21" s="414"/>
      <c r="XDP21" s="414"/>
      <c r="XDQ21" s="414"/>
      <c r="XDR21" s="414"/>
      <c r="XDS21" s="414"/>
      <c r="XDT21" s="414"/>
      <c r="XDU21" s="414"/>
      <c r="XDV21" s="414"/>
      <c r="XDW21" s="414"/>
      <c r="XDX21" s="414"/>
      <c r="XDY21" s="414"/>
      <c r="XDZ21" s="414"/>
      <c r="XEA21" s="414"/>
      <c r="XEB21" s="414"/>
      <c r="XEC21" s="414"/>
      <c r="XED21" s="414"/>
      <c r="XEE21" s="414"/>
      <c r="XEF21" s="414"/>
      <c r="XEG21" s="414"/>
      <c r="XEH21" s="414"/>
      <c r="XEI21" s="414"/>
      <c r="XEJ21" s="414"/>
      <c r="XEK21" s="414"/>
      <c r="XEL21" s="414"/>
      <c r="XEM21" s="414"/>
      <c r="XEN21" s="414"/>
      <c r="XEO21" s="414"/>
      <c r="XEP21" s="414"/>
      <c r="XEQ21" s="414"/>
      <c r="XER21" s="414"/>
      <c r="XES21" s="414"/>
      <c r="XET21" s="414"/>
      <c r="XEU21" s="414"/>
      <c r="XEV21" s="414"/>
      <c r="XEW21" s="414"/>
      <c r="XEX21" s="414"/>
      <c r="XEY21" s="414"/>
      <c r="XEZ21" s="414"/>
      <c r="XFA21" s="414"/>
    </row>
    <row r="22" spans="1:16381" s="609" customFormat="1" ht="22.5">
      <c r="A22" s="609" t="str">
        <f t="shared" si="0"/>
        <v>Alte Leipziger Lebensversicherung auf Gegenseitigkeit v. 01.04.2010</v>
      </c>
      <c r="B22" s="609">
        <f>ROW()</f>
        <v>22</v>
      </c>
      <c r="C22" s="635" t="s">
        <v>956</v>
      </c>
      <c r="D22" s="1202">
        <v>40269</v>
      </c>
      <c r="E22" s="636" t="s">
        <v>957</v>
      </c>
      <c r="F22" s="637" t="str">
        <f t="shared" si="1"/>
        <v>Ja</v>
      </c>
      <c r="G22" s="634" t="str">
        <f t="shared" si="2"/>
        <v>TO ermöglicht: Tarifwechel; doppelten Kostenabzug;  Verzinsung zwischen EzE und RK geltend machen</v>
      </c>
      <c r="I22" s="634"/>
      <c r="J22" s="784"/>
      <c r="K22" s="1199">
        <v>1</v>
      </c>
      <c r="L22" s="1199">
        <v>2</v>
      </c>
      <c r="M22" s="1199"/>
      <c r="N22" s="1199">
        <v>4</v>
      </c>
      <c r="O22" s="785"/>
      <c r="P22" s="144">
        <f t="shared" si="4"/>
        <v>7</v>
      </c>
    </row>
    <row r="23" spans="1:16381" s="609" customFormat="1">
      <c r="A23" s="609" t="str">
        <f t="shared" si="0"/>
        <v>Alz Chemie v. 05.11.2011</v>
      </c>
      <c r="B23" s="609">
        <f>ROW()</f>
        <v>23</v>
      </c>
      <c r="C23" s="635" t="s">
        <v>1011</v>
      </c>
      <c r="D23" s="1201">
        <v>40852</v>
      </c>
      <c r="E23" s="636" t="s">
        <v>486</v>
      </c>
      <c r="F23" s="637" t="str">
        <f t="shared" si="1"/>
        <v/>
      </c>
      <c r="G23" s="634" t="str">
        <f t="shared" si="2"/>
        <v/>
      </c>
      <c r="I23" s="634"/>
      <c r="J23" s="784"/>
      <c r="K23" s="1199"/>
      <c r="L23" s="1199"/>
      <c r="M23" s="1199"/>
      <c r="N23" s="1199"/>
      <c r="O23" s="785"/>
      <c r="P23" s="144">
        <f t="shared" si="4"/>
        <v>0</v>
      </c>
    </row>
    <row r="24" spans="1:16381" s="609" customFormat="1" ht="25.5">
      <c r="A24" s="609" t="str">
        <f t="shared" si="0"/>
        <v>Ärzteversorgung Hessen (LÄK) v. Datum unbekannt</v>
      </c>
      <c r="B24" s="609">
        <f>ROW()</f>
        <v>24</v>
      </c>
      <c r="C24" s="635" t="s">
        <v>1066</v>
      </c>
      <c r="D24" s="636" t="s">
        <v>1067</v>
      </c>
      <c r="E24" s="636"/>
      <c r="F24" s="637" t="str">
        <f t="shared" si="1"/>
        <v/>
      </c>
      <c r="G24" s="634" t="str">
        <f t="shared" si="2"/>
        <v/>
      </c>
      <c r="I24" s="634"/>
      <c r="J24" s="784"/>
      <c r="K24" s="1199"/>
      <c r="L24" s="1199"/>
      <c r="M24" s="1199"/>
      <c r="N24" s="1199"/>
      <c r="O24" s="785"/>
      <c r="P24" s="144">
        <f t="shared" si="4"/>
        <v>0</v>
      </c>
    </row>
    <row r="25" spans="1:16381" s="609" customFormat="1" ht="22.5">
      <c r="A25" s="609" t="str">
        <f t="shared" si="0"/>
        <v>Athora AG Pensionskasse &amp; Lebensversicherung v. 11.09.2019</v>
      </c>
      <c r="B25" s="609">
        <f>ROW()</f>
        <v>25</v>
      </c>
      <c r="C25" s="635" t="s">
        <v>1196</v>
      </c>
      <c r="D25" s="1201">
        <v>43719</v>
      </c>
      <c r="E25" s="636" t="s">
        <v>963</v>
      </c>
      <c r="F25" s="637" t="str">
        <f t="shared" si="1"/>
        <v/>
      </c>
      <c r="G25" s="634" t="str">
        <f t="shared" si="2"/>
        <v>TO ermöglicht: doppelten Kostenabzug;  Verzinsung zwischen EzE und RK geltend machen</v>
      </c>
      <c r="I25" s="634"/>
      <c r="J25" s="784"/>
      <c r="K25" s="1199"/>
      <c r="L25" s="1199">
        <v>2</v>
      </c>
      <c r="M25" s="1199"/>
      <c r="N25" s="1199">
        <v>4</v>
      </c>
      <c r="O25" s="785"/>
      <c r="P25" s="144">
        <f t="shared" si="4"/>
        <v>6</v>
      </c>
    </row>
    <row r="26" spans="1:16381" s="143" customFormat="1">
      <c r="A26" s="609" t="str">
        <f t="shared" si="0"/>
        <v>Athora Lebensversicherung AG v. 11.09.2019</v>
      </c>
      <c r="B26" s="609">
        <f>ROW()</f>
        <v>26</v>
      </c>
      <c r="C26" s="635" t="s">
        <v>962</v>
      </c>
      <c r="D26" s="1201">
        <v>43719</v>
      </c>
      <c r="E26" s="636" t="s">
        <v>963</v>
      </c>
      <c r="F26" s="637" t="str">
        <f t="shared" si="1"/>
        <v>Ja</v>
      </c>
      <c r="G26" s="634" t="str">
        <f t="shared" si="2"/>
        <v xml:space="preserve">TO ermöglicht: Tarifwechel; </v>
      </c>
      <c r="I26" s="634"/>
      <c r="J26" s="784"/>
      <c r="K26" s="1199">
        <v>1</v>
      </c>
      <c r="L26" s="1199"/>
      <c r="M26" s="1199"/>
      <c r="N26" s="1199"/>
      <c r="O26" s="785"/>
      <c r="P26" s="144">
        <f t="shared" si="4"/>
        <v>1</v>
      </c>
      <c r="Q26" s="609"/>
      <c r="R26" s="609"/>
      <c r="S26" s="609"/>
      <c r="T26" s="609"/>
      <c r="U26" s="609"/>
      <c r="V26" s="609"/>
      <c r="W26" s="609"/>
      <c r="X26" s="609"/>
      <c r="Y26" s="609"/>
      <c r="Z26" s="609"/>
      <c r="AA26" s="609"/>
      <c r="AB26" s="609"/>
      <c r="AC26" s="609"/>
      <c r="AD26" s="609"/>
      <c r="AE26" s="609"/>
      <c r="AF26" s="609"/>
      <c r="AG26" s="609"/>
      <c r="AH26" s="609"/>
      <c r="AI26" s="609"/>
      <c r="AJ26" s="609"/>
      <c r="AK26" s="609"/>
      <c r="AL26" s="609"/>
      <c r="AM26" s="609"/>
      <c r="AN26" s="609"/>
      <c r="AO26" s="609"/>
      <c r="AP26" s="609"/>
      <c r="AQ26" s="609"/>
      <c r="AR26" s="609"/>
      <c r="AS26" s="609"/>
      <c r="AT26" s="609"/>
      <c r="AU26" s="609"/>
      <c r="AV26" s="609"/>
      <c r="AW26" s="609"/>
      <c r="AX26" s="609"/>
      <c r="AY26" s="609"/>
      <c r="AZ26" s="609"/>
      <c r="BA26" s="609"/>
      <c r="BB26" s="609"/>
      <c r="BC26" s="609"/>
      <c r="BD26" s="609"/>
      <c r="BE26" s="609"/>
      <c r="BF26" s="609"/>
      <c r="BG26" s="609"/>
      <c r="BH26" s="609"/>
      <c r="BI26" s="609"/>
      <c r="BJ26" s="609"/>
      <c r="BK26" s="609"/>
      <c r="BL26" s="609"/>
      <c r="BM26" s="609"/>
      <c r="BN26" s="609"/>
      <c r="BO26" s="609"/>
      <c r="BP26" s="609"/>
      <c r="BQ26" s="609"/>
      <c r="BR26" s="609"/>
      <c r="BS26" s="609"/>
      <c r="BT26" s="609"/>
      <c r="BU26" s="609"/>
      <c r="BV26" s="609"/>
      <c r="BW26" s="609"/>
      <c r="BX26" s="609"/>
      <c r="BY26" s="609"/>
      <c r="BZ26" s="609"/>
      <c r="CA26" s="609"/>
      <c r="CB26" s="609"/>
      <c r="CC26" s="609"/>
      <c r="CD26" s="609"/>
      <c r="CE26" s="609"/>
      <c r="CF26" s="609"/>
      <c r="CG26" s="609"/>
      <c r="CH26" s="609"/>
      <c r="CI26" s="609"/>
      <c r="CJ26" s="609"/>
      <c r="CK26" s="609"/>
      <c r="CL26" s="609"/>
      <c r="CM26" s="609"/>
      <c r="CN26" s="609"/>
      <c r="CO26" s="609"/>
      <c r="CP26" s="609"/>
      <c r="CQ26" s="609"/>
      <c r="CR26" s="609"/>
      <c r="CS26" s="609"/>
      <c r="CT26" s="609"/>
      <c r="CU26" s="609"/>
      <c r="CV26" s="609"/>
      <c r="CW26" s="609"/>
      <c r="CX26" s="609"/>
      <c r="CY26" s="609"/>
      <c r="CZ26" s="609"/>
      <c r="DA26" s="609"/>
      <c r="DB26" s="609"/>
      <c r="DC26" s="609"/>
      <c r="DD26" s="609"/>
      <c r="DE26" s="609"/>
      <c r="DF26" s="609"/>
      <c r="DG26" s="609"/>
      <c r="DH26" s="609"/>
      <c r="DI26" s="609"/>
      <c r="DJ26" s="609"/>
      <c r="DK26" s="609"/>
      <c r="DL26" s="609"/>
      <c r="DM26" s="609"/>
      <c r="DN26" s="609"/>
      <c r="DO26" s="609"/>
      <c r="DP26" s="609"/>
      <c r="DQ26" s="609"/>
      <c r="DR26" s="609"/>
      <c r="DS26" s="609"/>
      <c r="DT26" s="609"/>
      <c r="DU26" s="609"/>
      <c r="DV26" s="609"/>
      <c r="DW26" s="609"/>
      <c r="DX26" s="609"/>
      <c r="DY26" s="609"/>
      <c r="DZ26" s="609"/>
      <c r="EA26" s="609"/>
      <c r="EB26" s="609"/>
      <c r="EC26" s="609"/>
      <c r="ED26" s="609"/>
      <c r="EE26" s="609"/>
      <c r="EF26" s="609"/>
      <c r="EG26" s="609"/>
      <c r="EH26" s="609"/>
      <c r="EI26" s="609"/>
      <c r="EJ26" s="609"/>
      <c r="EK26" s="609"/>
      <c r="EL26" s="609"/>
      <c r="EM26" s="609"/>
      <c r="EN26" s="609"/>
      <c r="EO26" s="609"/>
      <c r="EP26" s="609"/>
      <c r="EQ26" s="609"/>
      <c r="ER26" s="609"/>
      <c r="ES26" s="609"/>
      <c r="ET26" s="609"/>
      <c r="EU26" s="609"/>
      <c r="EV26" s="609"/>
      <c r="EW26" s="609"/>
      <c r="EX26" s="609"/>
      <c r="EY26" s="609"/>
      <c r="EZ26" s="609"/>
      <c r="FA26" s="609"/>
      <c r="FB26" s="609"/>
      <c r="FC26" s="609"/>
      <c r="FD26" s="609"/>
      <c r="FE26" s="609"/>
      <c r="FF26" s="609"/>
      <c r="FG26" s="609"/>
      <c r="FH26" s="609"/>
      <c r="FI26" s="609"/>
      <c r="FJ26" s="609"/>
      <c r="FK26" s="609"/>
      <c r="FL26" s="609"/>
      <c r="FM26" s="609"/>
      <c r="FN26" s="609"/>
      <c r="FO26" s="609"/>
      <c r="FP26" s="609"/>
      <c r="FQ26" s="609"/>
      <c r="FR26" s="609"/>
      <c r="FS26" s="609"/>
      <c r="FT26" s="609"/>
      <c r="FU26" s="609"/>
      <c r="FV26" s="609"/>
      <c r="FW26" s="609"/>
      <c r="FX26" s="609"/>
      <c r="FY26" s="609"/>
      <c r="FZ26" s="609"/>
      <c r="GA26" s="609"/>
      <c r="GB26" s="609"/>
      <c r="GC26" s="609"/>
      <c r="GD26" s="609"/>
      <c r="GE26" s="609"/>
      <c r="GF26" s="609"/>
      <c r="GG26" s="609"/>
      <c r="GH26" s="609"/>
      <c r="GI26" s="609"/>
      <c r="GJ26" s="609"/>
      <c r="GK26" s="609"/>
      <c r="GL26" s="609"/>
      <c r="GM26" s="609"/>
      <c r="GN26" s="609"/>
      <c r="GO26" s="609"/>
      <c r="GP26" s="609"/>
      <c r="GQ26" s="609"/>
      <c r="GR26" s="609"/>
      <c r="GS26" s="609"/>
      <c r="GT26" s="609"/>
      <c r="GU26" s="609"/>
      <c r="GV26" s="609"/>
      <c r="GW26" s="609"/>
      <c r="GX26" s="609"/>
      <c r="GY26" s="609"/>
      <c r="GZ26" s="609"/>
      <c r="HA26" s="609"/>
      <c r="HB26" s="609"/>
      <c r="HC26" s="609"/>
      <c r="HD26" s="609"/>
      <c r="HE26" s="609"/>
      <c r="HF26" s="609"/>
      <c r="HG26" s="609"/>
      <c r="HH26" s="609"/>
      <c r="HI26" s="609"/>
      <c r="HJ26" s="609"/>
      <c r="HK26" s="609"/>
      <c r="HL26" s="609"/>
      <c r="HM26" s="609"/>
      <c r="HN26" s="609"/>
      <c r="HO26" s="609"/>
      <c r="HP26" s="609"/>
      <c r="HQ26" s="609"/>
      <c r="HR26" s="609"/>
      <c r="HS26" s="609"/>
      <c r="HT26" s="609"/>
      <c r="HU26" s="609"/>
      <c r="HV26" s="609"/>
      <c r="HW26" s="609"/>
      <c r="HX26" s="609"/>
      <c r="HY26" s="609"/>
      <c r="HZ26" s="609"/>
      <c r="IA26" s="609"/>
      <c r="IB26" s="609"/>
      <c r="IC26" s="609"/>
      <c r="ID26" s="609"/>
      <c r="IE26" s="609"/>
      <c r="IF26" s="609"/>
      <c r="IG26" s="609"/>
      <c r="IH26" s="609"/>
      <c r="II26" s="609"/>
      <c r="IJ26" s="609"/>
      <c r="IK26" s="609"/>
      <c r="IL26" s="609"/>
      <c r="IM26" s="609"/>
      <c r="IN26" s="609"/>
      <c r="IO26" s="609"/>
      <c r="IP26" s="609"/>
      <c r="IQ26" s="609"/>
      <c r="IR26" s="609"/>
      <c r="IS26" s="609"/>
      <c r="IT26" s="609"/>
      <c r="IU26" s="609"/>
      <c r="IV26" s="609"/>
      <c r="IW26" s="609"/>
      <c r="IX26" s="609"/>
      <c r="IY26" s="609"/>
      <c r="IZ26" s="609"/>
      <c r="JA26" s="609"/>
      <c r="JB26" s="609"/>
      <c r="JC26" s="609"/>
      <c r="JD26" s="609"/>
      <c r="JE26" s="609"/>
      <c r="JF26" s="609"/>
      <c r="JG26" s="609"/>
      <c r="JH26" s="609"/>
      <c r="JI26" s="609"/>
      <c r="JJ26" s="609"/>
      <c r="JK26" s="609"/>
      <c r="JL26" s="609"/>
      <c r="JM26" s="609"/>
      <c r="JN26" s="609"/>
      <c r="JO26" s="609"/>
      <c r="JP26" s="609"/>
      <c r="JQ26" s="609"/>
      <c r="JR26" s="609"/>
      <c r="JS26" s="609"/>
      <c r="JT26" s="609"/>
      <c r="JU26" s="609"/>
      <c r="JV26" s="609"/>
      <c r="JW26" s="609"/>
      <c r="JX26" s="609"/>
      <c r="JY26" s="609"/>
      <c r="JZ26" s="609"/>
      <c r="KA26" s="609"/>
      <c r="KB26" s="609"/>
      <c r="KC26" s="609"/>
      <c r="KD26" s="609"/>
      <c r="KE26" s="609"/>
      <c r="KF26" s="609"/>
      <c r="KG26" s="609"/>
      <c r="KH26" s="609"/>
      <c r="KI26" s="609"/>
      <c r="KJ26" s="609"/>
      <c r="KK26" s="609"/>
      <c r="KL26" s="609"/>
      <c r="KM26" s="609"/>
      <c r="KN26" s="609"/>
      <c r="KO26" s="609"/>
      <c r="KP26" s="609"/>
      <c r="KQ26" s="609"/>
      <c r="KR26" s="609"/>
      <c r="KS26" s="609"/>
      <c r="KT26" s="609"/>
      <c r="KU26" s="609"/>
      <c r="KV26" s="609"/>
      <c r="KW26" s="609"/>
      <c r="KX26" s="609"/>
      <c r="KY26" s="609"/>
      <c r="KZ26" s="609"/>
      <c r="LA26" s="609"/>
      <c r="LB26" s="609"/>
      <c r="LC26" s="609"/>
      <c r="LD26" s="609"/>
      <c r="LE26" s="609"/>
      <c r="LF26" s="609"/>
      <c r="LG26" s="609"/>
      <c r="LH26" s="609"/>
      <c r="LI26" s="609"/>
      <c r="LJ26" s="609"/>
      <c r="LK26" s="609"/>
      <c r="LL26" s="609"/>
      <c r="LM26" s="609"/>
      <c r="LN26" s="609"/>
      <c r="LO26" s="609"/>
      <c r="LP26" s="609"/>
      <c r="LQ26" s="609"/>
      <c r="LR26" s="609"/>
      <c r="LS26" s="609"/>
      <c r="LT26" s="609"/>
      <c r="LU26" s="609"/>
      <c r="LV26" s="609"/>
      <c r="LW26" s="609"/>
      <c r="LX26" s="609"/>
      <c r="LY26" s="609"/>
      <c r="LZ26" s="609"/>
      <c r="MA26" s="609"/>
      <c r="MB26" s="609"/>
      <c r="MC26" s="609"/>
      <c r="MD26" s="609"/>
      <c r="ME26" s="609"/>
      <c r="MF26" s="609"/>
      <c r="MG26" s="609"/>
      <c r="MH26" s="609"/>
      <c r="MI26" s="609"/>
      <c r="MJ26" s="609"/>
      <c r="MK26" s="609"/>
      <c r="ML26" s="609"/>
      <c r="MM26" s="609"/>
      <c r="MN26" s="609"/>
      <c r="MO26" s="609"/>
      <c r="MP26" s="609"/>
      <c r="MQ26" s="609"/>
      <c r="MR26" s="609"/>
      <c r="MS26" s="609"/>
      <c r="MT26" s="609"/>
      <c r="MU26" s="609"/>
      <c r="MV26" s="609"/>
      <c r="MW26" s="609"/>
      <c r="MX26" s="609"/>
      <c r="MY26" s="609"/>
      <c r="MZ26" s="609"/>
      <c r="NA26" s="609"/>
      <c r="NB26" s="609"/>
      <c r="NC26" s="609"/>
      <c r="ND26" s="609"/>
      <c r="NE26" s="609"/>
      <c r="NF26" s="609"/>
      <c r="NG26" s="609"/>
      <c r="NH26" s="609"/>
      <c r="NI26" s="609"/>
      <c r="NJ26" s="609"/>
      <c r="NK26" s="609"/>
      <c r="NL26" s="609"/>
      <c r="NM26" s="609"/>
      <c r="NN26" s="609"/>
      <c r="NO26" s="609"/>
      <c r="NP26" s="609"/>
      <c r="NQ26" s="609"/>
      <c r="NR26" s="609"/>
      <c r="NS26" s="609"/>
      <c r="NT26" s="609"/>
      <c r="NU26" s="609"/>
      <c r="NV26" s="609"/>
      <c r="NW26" s="609"/>
      <c r="NX26" s="609"/>
      <c r="NY26" s="609"/>
      <c r="NZ26" s="609"/>
      <c r="OA26" s="609"/>
      <c r="OB26" s="609"/>
      <c r="OC26" s="609"/>
      <c r="OD26" s="609"/>
      <c r="OE26" s="609"/>
      <c r="OF26" s="609"/>
      <c r="OG26" s="609"/>
      <c r="OH26" s="609"/>
      <c r="OI26" s="609"/>
      <c r="OJ26" s="609"/>
      <c r="OK26" s="609"/>
      <c r="OL26" s="609"/>
      <c r="OM26" s="609"/>
      <c r="ON26" s="609"/>
      <c r="OO26" s="609"/>
      <c r="OP26" s="609"/>
      <c r="OQ26" s="609"/>
      <c r="OR26" s="609"/>
      <c r="OS26" s="609"/>
      <c r="OT26" s="609"/>
      <c r="OU26" s="609"/>
      <c r="OV26" s="609"/>
      <c r="OW26" s="609"/>
      <c r="OX26" s="609"/>
      <c r="OY26" s="609"/>
      <c r="OZ26" s="609"/>
      <c r="PA26" s="609"/>
      <c r="PB26" s="609"/>
      <c r="PC26" s="609"/>
      <c r="PD26" s="609"/>
      <c r="PE26" s="609"/>
      <c r="PF26" s="609"/>
      <c r="PG26" s="609"/>
      <c r="PH26" s="609"/>
      <c r="PI26" s="609"/>
      <c r="PJ26" s="609"/>
      <c r="PK26" s="609"/>
      <c r="PL26" s="609"/>
      <c r="PM26" s="609"/>
      <c r="PN26" s="609"/>
      <c r="PO26" s="609"/>
      <c r="PP26" s="609"/>
      <c r="PQ26" s="609"/>
      <c r="PR26" s="609"/>
      <c r="PS26" s="609"/>
      <c r="PT26" s="609"/>
      <c r="PU26" s="609"/>
      <c r="PV26" s="609"/>
      <c r="PW26" s="609"/>
      <c r="PX26" s="609"/>
      <c r="PY26" s="609"/>
      <c r="PZ26" s="609"/>
      <c r="QA26" s="609"/>
      <c r="QB26" s="609"/>
      <c r="QC26" s="609"/>
      <c r="QD26" s="609"/>
      <c r="QE26" s="609"/>
      <c r="QF26" s="609"/>
      <c r="QG26" s="609"/>
      <c r="QH26" s="609"/>
      <c r="QI26" s="609"/>
      <c r="QJ26" s="609"/>
      <c r="QK26" s="609"/>
      <c r="QL26" s="609"/>
      <c r="QM26" s="609"/>
      <c r="QN26" s="609"/>
      <c r="QO26" s="609"/>
      <c r="QP26" s="609"/>
      <c r="QQ26" s="609"/>
      <c r="QR26" s="609"/>
      <c r="QS26" s="609"/>
      <c r="QT26" s="609"/>
      <c r="QU26" s="609"/>
      <c r="QV26" s="609"/>
      <c r="QW26" s="609"/>
      <c r="QX26" s="609"/>
      <c r="QY26" s="609"/>
      <c r="QZ26" s="609"/>
      <c r="RA26" s="609"/>
      <c r="RB26" s="609"/>
      <c r="RC26" s="609"/>
      <c r="RD26" s="609"/>
      <c r="RE26" s="609"/>
      <c r="RF26" s="609"/>
      <c r="RG26" s="609"/>
      <c r="RH26" s="609"/>
      <c r="RI26" s="609"/>
      <c r="RJ26" s="609"/>
      <c r="RK26" s="609"/>
      <c r="RL26" s="609"/>
      <c r="RM26" s="609"/>
      <c r="RN26" s="609"/>
      <c r="RO26" s="609"/>
      <c r="RP26" s="609"/>
      <c r="RQ26" s="609"/>
      <c r="RR26" s="609"/>
      <c r="RS26" s="609"/>
      <c r="RT26" s="609"/>
      <c r="RU26" s="609"/>
      <c r="RV26" s="609"/>
      <c r="RW26" s="609"/>
      <c r="RX26" s="609"/>
      <c r="RY26" s="609"/>
      <c r="RZ26" s="609"/>
      <c r="SA26" s="609"/>
      <c r="SB26" s="609"/>
      <c r="SC26" s="609"/>
      <c r="SD26" s="609"/>
      <c r="SE26" s="609"/>
      <c r="SF26" s="609"/>
      <c r="SG26" s="609"/>
      <c r="SH26" s="609"/>
      <c r="SI26" s="609"/>
      <c r="SJ26" s="609"/>
      <c r="SK26" s="609"/>
      <c r="SL26" s="609"/>
      <c r="SM26" s="609"/>
      <c r="SN26" s="609"/>
      <c r="SO26" s="609"/>
      <c r="SP26" s="609"/>
      <c r="SQ26" s="609"/>
      <c r="SR26" s="609"/>
      <c r="SS26" s="609"/>
      <c r="ST26" s="609"/>
      <c r="SU26" s="609"/>
      <c r="SV26" s="609"/>
      <c r="SW26" s="609"/>
      <c r="SX26" s="609"/>
      <c r="SY26" s="609"/>
      <c r="SZ26" s="609"/>
      <c r="TA26" s="609"/>
      <c r="TB26" s="609"/>
      <c r="TC26" s="609"/>
      <c r="TD26" s="609"/>
      <c r="TE26" s="609"/>
      <c r="TF26" s="609"/>
      <c r="TG26" s="609"/>
      <c r="TH26" s="609"/>
      <c r="TI26" s="609"/>
      <c r="TJ26" s="609"/>
      <c r="TK26" s="609"/>
      <c r="TL26" s="609"/>
      <c r="TM26" s="609"/>
      <c r="TN26" s="609"/>
      <c r="TO26" s="609"/>
      <c r="TP26" s="609"/>
      <c r="TQ26" s="609"/>
      <c r="TR26" s="609"/>
      <c r="TS26" s="609"/>
      <c r="TT26" s="609"/>
      <c r="TU26" s="609"/>
      <c r="TV26" s="609"/>
      <c r="TW26" s="609"/>
      <c r="TX26" s="609"/>
      <c r="TY26" s="609"/>
      <c r="TZ26" s="609"/>
      <c r="UA26" s="609"/>
      <c r="UB26" s="609"/>
      <c r="UC26" s="609"/>
      <c r="UD26" s="609"/>
      <c r="UE26" s="609"/>
      <c r="UF26" s="609"/>
      <c r="UG26" s="609"/>
      <c r="UH26" s="609"/>
      <c r="UI26" s="609"/>
      <c r="UJ26" s="609"/>
      <c r="UK26" s="609"/>
      <c r="UL26" s="609"/>
      <c r="UM26" s="609"/>
      <c r="UN26" s="609"/>
      <c r="UO26" s="609"/>
      <c r="UP26" s="609"/>
      <c r="UQ26" s="609"/>
      <c r="UR26" s="609"/>
      <c r="US26" s="609"/>
      <c r="UT26" s="609"/>
      <c r="UU26" s="609"/>
      <c r="UV26" s="609"/>
      <c r="UW26" s="609"/>
      <c r="UX26" s="609"/>
      <c r="UY26" s="609"/>
      <c r="UZ26" s="609"/>
      <c r="VA26" s="609"/>
      <c r="VB26" s="609"/>
      <c r="VC26" s="609"/>
      <c r="VD26" s="609"/>
      <c r="VE26" s="609"/>
      <c r="VF26" s="609"/>
      <c r="VG26" s="609"/>
      <c r="VH26" s="609"/>
      <c r="VI26" s="609"/>
      <c r="VJ26" s="609"/>
      <c r="VK26" s="609"/>
      <c r="VL26" s="609"/>
      <c r="VM26" s="609"/>
      <c r="VN26" s="609"/>
      <c r="VO26" s="609"/>
      <c r="VP26" s="609"/>
      <c r="VQ26" s="609"/>
      <c r="VR26" s="609"/>
      <c r="VS26" s="609"/>
      <c r="VT26" s="609"/>
      <c r="VU26" s="609"/>
      <c r="VV26" s="609"/>
      <c r="VW26" s="609"/>
      <c r="VX26" s="609"/>
      <c r="VY26" s="609"/>
      <c r="VZ26" s="609"/>
      <c r="WA26" s="609"/>
      <c r="WB26" s="609"/>
      <c r="WC26" s="609"/>
      <c r="WD26" s="609"/>
      <c r="WE26" s="609"/>
      <c r="WF26" s="609"/>
      <c r="WG26" s="609"/>
      <c r="WH26" s="609"/>
      <c r="WI26" s="609"/>
      <c r="WJ26" s="609"/>
      <c r="WK26" s="609"/>
      <c r="WL26" s="609"/>
      <c r="WM26" s="609"/>
      <c r="WN26" s="609"/>
      <c r="WO26" s="609"/>
      <c r="WP26" s="609"/>
      <c r="WQ26" s="609"/>
      <c r="WR26" s="609"/>
      <c r="WS26" s="609"/>
      <c r="WT26" s="609"/>
      <c r="WU26" s="609"/>
      <c r="WV26" s="609"/>
      <c r="WW26" s="609"/>
      <c r="WX26" s="609"/>
      <c r="WY26" s="609"/>
      <c r="WZ26" s="609"/>
      <c r="XA26" s="609"/>
      <c r="XB26" s="609"/>
      <c r="XC26" s="609"/>
      <c r="XD26" s="609"/>
      <c r="XE26" s="609"/>
      <c r="XF26" s="609"/>
      <c r="XG26" s="609"/>
      <c r="XH26" s="609"/>
      <c r="XI26" s="609"/>
      <c r="XJ26" s="609"/>
      <c r="XK26" s="609"/>
      <c r="XL26" s="609"/>
      <c r="XM26" s="609"/>
      <c r="XN26" s="609"/>
      <c r="XO26" s="609"/>
      <c r="XP26" s="609"/>
      <c r="XQ26" s="609"/>
      <c r="XR26" s="609"/>
      <c r="XS26" s="609"/>
      <c r="XT26" s="609"/>
      <c r="XU26" s="609"/>
      <c r="XV26" s="609"/>
      <c r="XW26" s="609"/>
      <c r="XX26" s="609"/>
      <c r="XY26" s="609"/>
      <c r="XZ26" s="609"/>
      <c r="YA26" s="609"/>
      <c r="YB26" s="609"/>
      <c r="YC26" s="609"/>
      <c r="YD26" s="609"/>
      <c r="YE26" s="609"/>
      <c r="YF26" s="609"/>
      <c r="YG26" s="609"/>
      <c r="YH26" s="609"/>
      <c r="YI26" s="609"/>
      <c r="YJ26" s="609"/>
      <c r="YK26" s="609"/>
      <c r="YL26" s="609"/>
      <c r="YM26" s="609"/>
      <c r="YN26" s="609"/>
      <c r="YO26" s="609"/>
      <c r="YP26" s="609"/>
      <c r="YQ26" s="609"/>
      <c r="YR26" s="609"/>
      <c r="YS26" s="609"/>
      <c r="YT26" s="609"/>
      <c r="YU26" s="609"/>
      <c r="YV26" s="609"/>
      <c r="YW26" s="609"/>
      <c r="YX26" s="609"/>
      <c r="YY26" s="609"/>
      <c r="YZ26" s="609"/>
      <c r="ZA26" s="609"/>
      <c r="ZB26" s="609"/>
      <c r="ZC26" s="609"/>
      <c r="ZD26" s="609"/>
      <c r="ZE26" s="609"/>
      <c r="ZF26" s="609"/>
      <c r="ZG26" s="609"/>
      <c r="ZH26" s="609"/>
      <c r="ZI26" s="609"/>
      <c r="ZJ26" s="609"/>
      <c r="ZK26" s="609"/>
      <c r="ZL26" s="609"/>
      <c r="ZM26" s="609"/>
      <c r="ZN26" s="609"/>
      <c r="ZO26" s="609"/>
      <c r="ZP26" s="609"/>
      <c r="ZQ26" s="609"/>
      <c r="ZR26" s="609"/>
      <c r="ZS26" s="609"/>
      <c r="ZT26" s="609"/>
      <c r="ZU26" s="609"/>
      <c r="ZV26" s="609"/>
      <c r="ZW26" s="609"/>
      <c r="ZX26" s="609"/>
      <c r="ZY26" s="609"/>
      <c r="ZZ26" s="609"/>
      <c r="AAA26" s="609"/>
      <c r="AAB26" s="609"/>
      <c r="AAC26" s="609"/>
      <c r="AAD26" s="609"/>
      <c r="AAE26" s="609"/>
      <c r="AAF26" s="609"/>
      <c r="AAG26" s="609"/>
      <c r="AAH26" s="609"/>
      <c r="AAI26" s="609"/>
      <c r="AAJ26" s="609"/>
      <c r="AAK26" s="609"/>
      <c r="AAL26" s="609"/>
      <c r="AAM26" s="609"/>
      <c r="AAN26" s="609"/>
      <c r="AAO26" s="609"/>
      <c r="AAP26" s="609"/>
      <c r="AAQ26" s="609"/>
      <c r="AAR26" s="609"/>
      <c r="AAS26" s="609"/>
      <c r="AAT26" s="609"/>
      <c r="AAU26" s="609"/>
      <c r="AAV26" s="609"/>
      <c r="AAW26" s="609"/>
      <c r="AAX26" s="609"/>
      <c r="AAY26" s="609"/>
      <c r="AAZ26" s="609"/>
      <c r="ABA26" s="609"/>
      <c r="ABB26" s="609"/>
      <c r="ABC26" s="609"/>
      <c r="ABD26" s="609"/>
      <c r="ABE26" s="609"/>
      <c r="ABF26" s="609"/>
      <c r="ABG26" s="609"/>
      <c r="ABH26" s="609"/>
      <c r="ABI26" s="609"/>
      <c r="ABJ26" s="609"/>
      <c r="ABK26" s="609"/>
      <c r="ABL26" s="609"/>
      <c r="ABM26" s="609"/>
      <c r="ABN26" s="609"/>
      <c r="ABO26" s="609"/>
      <c r="ABP26" s="609"/>
      <c r="ABQ26" s="609"/>
      <c r="ABR26" s="609"/>
      <c r="ABS26" s="609"/>
      <c r="ABT26" s="609"/>
      <c r="ABU26" s="609"/>
      <c r="ABV26" s="609"/>
      <c r="ABW26" s="609"/>
      <c r="ABX26" s="609"/>
      <c r="ABY26" s="609"/>
      <c r="ABZ26" s="609"/>
      <c r="ACA26" s="609"/>
      <c r="ACB26" s="609"/>
      <c r="ACC26" s="609"/>
      <c r="ACD26" s="609"/>
      <c r="ACE26" s="609"/>
      <c r="ACF26" s="609"/>
      <c r="ACG26" s="609"/>
      <c r="ACH26" s="609"/>
      <c r="ACI26" s="609"/>
      <c r="ACJ26" s="609"/>
      <c r="ACK26" s="609"/>
      <c r="ACL26" s="609"/>
      <c r="ACM26" s="609"/>
      <c r="ACN26" s="609"/>
      <c r="ACO26" s="609"/>
      <c r="ACP26" s="609"/>
      <c r="ACQ26" s="609"/>
      <c r="ACR26" s="609"/>
      <c r="ACS26" s="609"/>
      <c r="ACT26" s="609"/>
      <c r="ACU26" s="609"/>
      <c r="ACV26" s="609"/>
      <c r="ACW26" s="609"/>
      <c r="ACX26" s="609"/>
      <c r="ACY26" s="609"/>
      <c r="ACZ26" s="609"/>
      <c r="ADA26" s="609"/>
      <c r="ADB26" s="609"/>
      <c r="ADC26" s="609"/>
      <c r="ADD26" s="609"/>
      <c r="ADE26" s="609"/>
      <c r="ADF26" s="609"/>
      <c r="ADG26" s="609"/>
      <c r="ADH26" s="609"/>
      <c r="ADI26" s="609"/>
      <c r="ADJ26" s="609"/>
      <c r="ADK26" s="609"/>
      <c r="ADL26" s="609"/>
      <c r="ADM26" s="609"/>
      <c r="ADN26" s="609"/>
      <c r="ADO26" s="609"/>
      <c r="ADP26" s="609"/>
      <c r="ADQ26" s="609"/>
      <c r="ADR26" s="609"/>
      <c r="ADS26" s="609"/>
      <c r="ADT26" s="609"/>
      <c r="ADU26" s="609"/>
      <c r="ADV26" s="609"/>
      <c r="ADW26" s="609"/>
      <c r="ADX26" s="609"/>
      <c r="ADY26" s="609"/>
      <c r="ADZ26" s="609"/>
      <c r="AEA26" s="609"/>
      <c r="AEB26" s="609"/>
      <c r="AEC26" s="609"/>
      <c r="AED26" s="609"/>
      <c r="AEE26" s="609"/>
      <c r="AEF26" s="609"/>
      <c r="AEG26" s="609"/>
      <c r="AEH26" s="609"/>
      <c r="AEI26" s="609"/>
      <c r="AEJ26" s="609"/>
      <c r="AEK26" s="609"/>
      <c r="AEL26" s="609"/>
      <c r="AEM26" s="609"/>
      <c r="AEN26" s="609"/>
      <c r="AEO26" s="609"/>
      <c r="AEP26" s="609"/>
      <c r="AEQ26" s="609"/>
      <c r="AER26" s="609"/>
      <c r="AES26" s="609"/>
      <c r="AET26" s="609"/>
      <c r="AEU26" s="609"/>
      <c r="AEV26" s="609"/>
      <c r="AEW26" s="609"/>
      <c r="AEX26" s="609"/>
      <c r="AEY26" s="609"/>
      <c r="AEZ26" s="609"/>
      <c r="AFA26" s="609"/>
      <c r="AFB26" s="609"/>
      <c r="AFC26" s="609"/>
      <c r="AFD26" s="609"/>
      <c r="AFE26" s="609"/>
      <c r="AFF26" s="609"/>
      <c r="AFG26" s="609"/>
      <c r="AFH26" s="609"/>
      <c r="AFI26" s="609"/>
      <c r="AFJ26" s="609"/>
      <c r="AFK26" s="609"/>
      <c r="AFL26" s="609"/>
      <c r="AFM26" s="609"/>
      <c r="AFN26" s="609"/>
      <c r="AFO26" s="609"/>
      <c r="AFP26" s="609"/>
      <c r="AFQ26" s="609"/>
      <c r="AFR26" s="609"/>
      <c r="AFS26" s="609"/>
      <c r="AFT26" s="609"/>
      <c r="AFU26" s="609"/>
      <c r="AFV26" s="609"/>
      <c r="AFW26" s="609"/>
      <c r="AFX26" s="609"/>
      <c r="AFY26" s="609"/>
      <c r="AFZ26" s="609"/>
      <c r="AGA26" s="609"/>
      <c r="AGB26" s="609"/>
      <c r="AGC26" s="609"/>
      <c r="AGD26" s="609"/>
      <c r="AGE26" s="609"/>
      <c r="AGF26" s="609"/>
      <c r="AGG26" s="609"/>
      <c r="AGH26" s="609"/>
      <c r="AGI26" s="609"/>
      <c r="AGJ26" s="609"/>
      <c r="AGK26" s="609"/>
      <c r="AGL26" s="609"/>
      <c r="AGM26" s="609"/>
      <c r="AGN26" s="609"/>
      <c r="AGO26" s="609"/>
      <c r="AGP26" s="609"/>
      <c r="AGQ26" s="609"/>
      <c r="AGR26" s="609"/>
      <c r="AGS26" s="609"/>
      <c r="AGT26" s="609"/>
      <c r="AGU26" s="609"/>
      <c r="AGV26" s="609"/>
      <c r="AGW26" s="609"/>
      <c r="AGX26" s="609"/>
      <c r="AGY26" s="609"/>
      <c r="AGZ26" s="609"/>
      <c r="AHA26" s="609"/>
      <c r="AHB26" s="609"/>
      <c r="AHC26" s="609"/>
      <c r="AHD26" s="609"/>
      <c r="AHE26" s="609"/>
      <c r="AHF26" s="609"/>
      <c r="AHG26" s="609"/>
      <c r="AHH26" s="609"/>
      <c r="AHI26" s="609"/>
      <c r="AHJ26" s="609"/>
      <c r="AHK26" s="609"/>
      <c r="AHL26" s="609"/>
      <c r="AHM26" s="609"/>
      <c r="AHN26" s="609"/>
      <c r="AHO26" s="609"/>
      <c r="AHP26" s="609"/>
      <c r="AHQ26" s="609"/>
      <c r="AHR26" s="609"/>
      <c r="AHS26" s="609"/>
      <c r="AHT26" s="609"/>
      <c r="AHU26" s="609"/>
      <c r="AHV26" s="609"/>
      <c r="AHW26" s="609"/>
      <c r="AHX26" s="609"/>
      <c r="AHY26" s="609"/>
      <c r="AHZ26" s="609"/>
      <c r="AIA26" s="609"/>
      <c r="AIB26" s="609"/>
      <c r="AIC26" s="609"/>
      <c r="AID26" s="609"/>
      <c r="AIE26" s="609"/>
      <c r="AIF26" s="609"/>
      <c r="AIG26" s="609"/>
      <c r="AIH26" s="609"/>
      <c r="AII26" s="609"/>
      <c r="AIJ26" s="609"/>
      <c r="AIK26" s="609"/>
      <c r="AIL26" s="609"/>
      <c r="AIM26" s="609"/>
      <c r="AIN26" s="609"/>
      <c r="AIO26" s="609"/>
      <c r="AIP26" s="609"/>
      <c r="AIQ26" s="609"/>
      <c r="AIR26" s="609"/>
      <c r="AIS26" s="609"/>
      <c r="AIT26" s="609"/>
      <c r="AIU26" s="609"/>
      <c r="AIV26" s="609"/>
      <c r="AIW26" s="609"/>
      <c r="AIX26" s="609"/>
      <c r="AIY26" s="609"/>
      <c r="AIZ26" s="609"/>
      <c r="AJA26" s="609"/>
      <c r="AJB26" s="609"/>
      <c r="AJC26" s="609"/>
      <c r="AJD26" s="609"/>
      <c r="AJE26" s="609"/>
      <c r="AJF26" s="609"/>
      <c r="AJG26" s="609"/>
      <c r="AJH26" s="609"/>
      <c r="AJI26" s="609"/>
      <c r="AJJ26" s="609"/>
      <c r="AJK26" s="609"/>
      <c r="AJL26" s="609"/>
      <c r="AJM26" s="609"/>
      <c r="AJN26" s="609"/>
      <c r="AJO26" s="609"/>
      <c r="AJP26" s="609"/>
      <c r="AJQ26" s="609"/>
      <c r="AJR26" s="609"/>
      <c r="AJS26" s="609"/>
      <c r="AJT26" s="609"/>
      <c r="AJU26" s="609"/>
      <c r="AJV26" s="609"/>
      <c r="AJW26" s="609"/>
      <c r="AJX26" s="609"/>
      <c r="AJY26" s="609"/>
      <c r="AJZ26" s="609"/>
      <c r="AKA26" s="609"/>
      <c r="AKB26" s="609"/>
      <c r="AKC26" s="609"/>
      <c r="AKD26" s="609"/>
      <c r="AKE26" s="609"/>
      <c r="AKF26" s="609"/>
      <c r="AKG26" s="609"/>
      <c r="AKH26" s="609"/>
      <c r="AKI26" s="609"/>
      <c r="AKJ26" s="609"/>
      <c r="AKK26" s="609"/>
      <c r="AKL26" s="609"/>
      <c r="AKM26" s="609"/>
      <c r="AKN26" s="609"/>
      <c r="AKO26" s="609"/>
      <c r="AKP26" s="609"/>
      <c r="AKQ26" s="609"/>
      <c r="AKR26" s="609"/>
      <c r="AKS26" s="609"/>
      <c r="AKT26" s="609"/>
      <c r="AKU26" s="609"/>
      <c r="AKV26" s="609"/>
      <c r="AKW26" s="609"/>
      <c r="AKX26" s="609"/>
      <c r="AKY26" s="609"/>
      <c r="AKZ26" s="609"/>
      <c r="ALA26" s="609"/>
      <c r="ALB26" s="609"/>
      <c r="ALC26" s="609"/>
      <c r="ALD26" s="609"/>
      <c r="ALE26" s="609"/>
      <c r="ALF26" s="609"/>
      <c r="ALG26" s="609"/>
      <c r="ALH26" s="609"/>
      <c r="ALI26" s="609"/>
      <c r="ALJ26" s="609"/>
      <c r="ALK26" s="609"/>
      <c r="ALL26" s="609"/>
      <c r="ALM26" s="609"/>
      <c r="ALN26" s="609"/>
      <c r="ALO26" s="609"/>
      <c r="ALP26" s="609"/>
      <c r="ALQ26" s="609"/>
      <c r="ALR26" s="609"/>
      <c r="ALS26" s="609"/>
      <c r="ALT26" s="609"/>
      <c r="ALU26" s="609"/>
      <c r="ALV26" s="609"/>
      <c r="ALW26" s="609"/>
      <c r="ALX26" s="609"/>
      <c r="ALY26" s="609"/>
      <c r="ALZ26" s="609"/>
      <c r="AMA26" s="609"/>
      <c r="AMB26" s="609"/>
      <c r="AMC26" s="609"/>
      <c r="AMD26" s="609"/>
      <c r="AME26" s="609"/>
      <c r="AMF26" s="609"/>
      <c r="AMG26" s="609"/>
      <c r="AMH26" s="609"/>
      <c r="AMI26" s="609"/>
      <c r="AMJ26" s="609"/>
      <c r="AMK26" s="609"/>
      <c r="AML26" s="609"/>
      <c r="AMM26" s="609"/>
      <c r="AMN26" s="609"/>
      <c r="AMO26" s="609"/>
      <c r="AMP26" s="609"/>
      <c r="AMQ26" s="609"/>
      <c r="AMR26" s="609"/>
      <c r="AMS26" s="609"/>
      <c r="AMT26" s="609"/>
      <c r="AMU26" s="609"/>
      <c r="AMV26" s="609"/>
      <c r="AMW26" s="609"/>
      <c r="AMX26" s="609"/>
      <c r="AMY26" s="609"/>
      <c r="AMZ26" s="609"/>
      <c r="ANA26" s="609"/>
      <c r="ANB26" s="609"/>
      <c r="ANC26" s="609"/>
      <c r="AND26" s="609"/>
      <c r="ANE26" s="609"/>
      <c r="ANF26" s="609"/>
      <c r="ANG26" s="609"/>
      <c r="ANH26" s="609"/>
      <c r="ANI26" s="609"/>
      <c r="ANJ26" s="609"/>
      <c r="ANK26" s="609"/>
      <c r="ANL26" s="609"/>
      <c r="ANM26" s="609"/>
      <c r="ANN26" s="609"/>
      <c r="ANO26" s="609"/>
      <c r="ANP26" s="609"/>
      <c r="ANQ26" s="609"/>
      <c r="ANR26" s="609"/>
      <c r="ANS26" s="609"/>
      <c r="ANT26" s="609"/>
      <c r="ANU26" s="609"/>
      <c r="ANV26" s="609"/>
      <c r="ANW26" s="609"/>
      <c r="ANX26" s="609"/>
      <c r="ANY26" s="609"/>
      <c r="ANZ26" s="609"/>
      <c r="AOA26" s="609"/>
      <c r="AOB26" s="609"/>
      <c r="AOC26" s="609"/>
      <c r="AOD26" s="609"/>
      <c r="AOE26" s="609"/>
      <c r="AOF26" s="609"/>
      <c r="AOG26" s="609"/>
      <c r="AOH26" s="609"/>
      <c r="AOI26" s="609"/>
      <c r="AOJ26" s="609"/>
      <c r="AOK26" s="609"/>
      <c r="AOL26" s="609"/>
      <c r="AOM26" s="609"/>
      <c r="AON26" s="609"/>
      <c r="AOO26" s="609"/>
      <c r="AOP26" s="609"/>
      <c r="AOQ26" s="609"/>
      <c r="AOR26" s="609"/>
      <c r="AOS26" s="609"/>
      <c r="AOT26" s="609"/>
      <c r="AOU26" s="609"/>
      <c r="AOV26" s="609"/>
      <c r="AOW26" s="609"/>
      <c r="AOX26" s="609"/>
      <c r="AOY26" s="609"/>
      <c r="AOZ26" s="609"/>
      <c r="APA26" s="609"/>
      <c r="APB26" s="609"/>
      <c r="APC26" s="609"/>
      <c r="APD26" s="609"/>
      <c r="APE26" s="609"/>
      <c r="APF26" s="609"/>
      <c r="APG26" s="609"/>
      <c r="APH26" s="609"/>
      <c r="API26" s="609"/>
      <c r="APJ26" s="609"/>
      <c r="APK26" s="609"/>
      <c r="APL26" s="609"/>
      <c r="APM26" s="609"/>
      <c r="APN26" s="609"/>
      <c r="APO26" s="609"/>
      <c r="APP26" s="609"/>
      <c r="APQ26" s="609"/>
      <c r="APR26" s="609"/>
      <c r="APS26" s="609"/>
      <c r="APT26" s="609"/>
      <c r="APU26" s="609"/>
      <c r="APV26" s="609"/>
      <c r="APW26" s="609"/>
      <c r="APX26" s="609"/>
      <c r="APY26" s="609"/>
      <c r="APZ26" s="609"/>
      <c r="AQA26" s="609"/>
      <c r="AQB26" s="609"/>
      <c r="AQC26" s="609"/>
      <c r="AQD26" s="609"/>
      <c r="AQE26" s="609"/>
      <c r="AQF26" s="609"/>
      <c r="AQG26" s="609"/>
      <c r="AQH26" s="609"/>
      <c r="AQI26" s="609"/>
      <c r="AQJ26" s="609"/>
      <c r="AQK26" s="609"/>
      <c r="AQL26" s="609"/>
      <c r="AQM26" s="609"/>
      <c r="AQN26" s="609"/>
      <c r="AQO26" s="609"/>
      <c r="AQP26" s="609"/>
      <c r="AQQ26" s="609"/>
      <c r="AQR26" s="609"/>
      <c r="AQS26" s="609"/>
      <c r="AQT26" s="609"/>
      <c r="AQU26" s="609"/>
      <c r="AQV26" s="609"/>
      <c r="AQW26" s="609"/>
      <c r="AQX26" s="609"/>
      <c r="AQY26" s="609"/>
      <c r="AQZ26" s="609"/>
      <c r="ARA26" s="609"/>
      <c r="ARB26" s="609"/>
      <c r="ARC26" s="609"/>
      <c r="ARD26" s="609"/>
      <c r="ARE26" s="609"/>
      <c r="ARF26" s="609"/>
      <c r="ARG26" s="609"/>
      <c r="ARH26" s="609"/>
      <c r="ARI26" s="609"/>
      <c r="ARJ26" s="609"/>
      <c r="ARK26" s="609"/>
      <c r="ARL26" s="609"/>
      <c r="ARM26" s="609"/>
      <c r="ARN26" s="609"/>
      <c r="ARO26" s="609"/>
      <c r="ARP26" s="609"/>
      <c r="ARQ26" s="609"/>
      <c r="ARR26" s="609"/>
      <c r="ARS26" s="609"/>
      <c r="ART26" s="609"/>
      <c r="ARU26" s="609"/>
      <c r="ARV26" s="609"/>
      <c r="ARW26" s="609"/>
      <c r="ARX26" s="609"/>
      <c r="ARY26" s="609"/>
      <c r="ARZ26" s="609"/>
      <c r="ASA26" s="609"/>
      <c r="ASB26" s="609"/>
      <c r="ASC26" s="609"/>
      <c r="ASD26" s="609"/>
      <c r="ASE26" s="609"/>
      <c r="ASF26" s="609"/>
      <c r="ASG26" s="609"/>
      <c r="ASH26" s="609"/>
      <c r="ASI26" s="609"/>
      <c r="ASJ26" s="609"/>
      <c r="ASK26" s="609"/>
      <c r="ASL26" s="609"/>
      <c r="ASM26" s="609"/>
      <c r="ASN26" s="609"/>
      <c r="ASO26" s="609"/>
      <c r="ASP26" s="609"/>
      <c r="ASQ26" s="609"/>
      <c r="ASR26" s="609"/>
      <c r="ASS26" s="609"/>
      <c r="AST26" s="609"/>
      <c r="ASU26" s="609"/>
      <c r="ASV26" s="609"/>
      <c r="ASW26" s="609"/>
      <c r="ASX26" s="609"/>
      <c r="ASY26" s="609"/>
      <c r="ASZ26" s="609"/>
      <c r="ATA26" s="609"/>
      <c r="ATB26" s="609"/>
      <c r="ATC26" s="609"/>
      <c r="ATD26" s="609"/>
      <c r="ATE26" s="609"/>
      <c r="ATF26" s="609"/>
      <c r="ATG26" s="609"/>
      <c r="ATH26" s="609"/>
      <c r="ATI26" s="609"/>
      <c r="ATJ26" s="609"/>
      <c r="ATK26" s="609"/>
      <c r="ATL26" s="609"/>
      <c r="ATM26" s="609"/>
      <c r="ATN26" s="609"/>
      <c r="ATO26" s="609"/>
      <c r="ATP26" s="609"/>
      <c r="ATQ26" s="609"/>
      <c r="ATR26" s="609"/>
      <c r="ATS26" s="609"/>
      <c r="ATT26" s="609"/>
      <c r="ATU26" s="609"/>
      <c r="ATV26" s="609"/>
      <c r="ATW26" s="609"/>
      <c r="ATX26" s="609"/>
      <c r="ATY26" s="609"/>
      <c r="ATZ26" s="609"/>
      <c r="AUA26" s="609"/>
      <c r="AUB26" s="609"/>
      <c r="AUC26" s="609"/>
      <c r="AUD26" s="609"/>
      <c r="AUE26" s="609"/>
      <c r="AUF26" s="609"/>
      <c r="AUG26" s="609"/>
      <c r="AUH26" s="609"/>
      <c r="AUI26" s="609"/>
      <c r="AUJ26" s="609"/>
      <c r="AUK26" s="609"/>
      <c r="AUL26" s="609"/>
      <c r="AUM26" s="609"/>
      <c r="AUN26" s="609"/>
      <c r="AUO26" s="609"/>
      <c r="AUP26" s="609"/>
      <c r="AUQ26" s="609"/>
      <c r="AUR26" s="609"/>
      <c r="AUS26" s="609"/>
      <c r="AUT26" s="609"/>
      <c r="AUU26" s="609"/>
      <c r="AUV26" s="609"/>
      <c r="AUW26" s="609"/>
      <c r="AUX26" s="609"/>
      <c r="AUY26" s="609"/>
      <c r="AUZ26" s="609"/>
      <c r="AVA26" s="609"/>
      <c r="AVB26" s="609"/>
      <c r="AVC26" s="609"/>
      <c r="AVD26" s="609"/>
      <c r="AVE26" s="609"/>
      <c r="AVF26" s="609"/>
      <c r="AVG26" s="609"/>
      <c r="AVH26" s="609"/>
      <c r="AVI26" s="609"/>
      <c r="AVJ26" s="609"/>
      <c r="AVK26" s="609"/>
      <c r="AVL26" s="609"/>
      <c r="AVM26" s="609"/>
      <c r="AVN26" s="609"/>
      <c r="AVO26" s="609"/>
      <c r="AVP26" s="609"/>
      <c r="AVQ26" s="609"/>
      <c r="AVR26" s="609"/>
      <c r="AVS26" s="609"/>
      <c r="AVT26" s="609"/>
      <c r="AVU26" s="609"/>
      <c r="AVV26" s="609"/>
      <c r="AVW26" s="609"/>
      <c r="AVX26" s="609"/>
      <c r="AVY26" s="609"/>
      <c r="AVZ26" s="609"/>
      <c r="AWA26" s="609"/>
      <c r="AWB26" s="609"/>
      <c r="AWC26" s="609"/>
      <c r="AWD26" s="609"/>
      <c r="AWE26" s="609"/>
      <c r="AWF26" s="609"/>
      <c r="AWG26" s="609"/>
      <c r="AWH26" s="609"/>
      <c r="AWI26" s="609"/>
      <c r="AWJ26" s="609"/>
      <c r="AWK26" s="609"/>
      <c r="AWL26" s="609"/>
      <c r="AWM26" s="609"/>
      <c r="AWN26" s="609"/>
      <c r="AWO26" s="609"/>
      <c r="AWP26" s="609"/>
      <c r="AWQ26" s="609"/>
      <c r="AWR26" s="609"/>
      <c r="AWS26" s="609"/>
      <c r="AWT26" s="609"/>
      <c r="AWU26" s="609"/>
      <c r="AWV26" s="609"/>
      <c r="AWW26" s="609"/>
      <c r="AWX26" s="609"/>
      <c r="AWY26" s="609"/>
      <c r="AWZ26" s="609"/>
      <c r="AXA26" s="609"/>
      <c r="AXB26" s="609"/>
      <c r="AXC26" s="609"/>
      <c r="AXD26" s="609"/>
      <c r="AXE26" s="609"/>
      <c r="AXF26" s="609"/>
      <c r="AXG26" s="609"/>
      <c r="AXH26" s="609"/>
      <c r="AXI26" s="609"/>
      <c r="AXJ26" s="609"/>
      <c r="AXK26" s="609"/>
      <c r="AXL26" s="609"/>
      <c r="AXM26" s="609"/>
      <c r="AXN26" s="609"/>
      <c r="AXO26" s="609"/>
      <c r="AXP26" s="609"/>
      <c r="AXQ26" s="609"/>
      <c r="AXR26" s="609"/>
      <c r="AXS26" s="609"/>
      <c r="AXT26" s="609"/>
      <c r="AXU26" s="609"/>
      <c r="AXV26" s="609"/>
      <c r="AXW26" s="609"/>
      <c r="AXX26" s="609"/>
      <c r="AXY26" s="609"/>
      <c r="AXZ26" s="609"/>
      <c r="AYA26" s="609"/>
      <c r="AYB26" s="609"/>
      <c r="AYC26" s="609"/>
      <c r="AYD26" s="609"/>
      <c r="AYE26" s="609"/>
      <c r="AYF26" s="609"/>
      <c r="AYG26" s="609"/>
      <c r="AYH26" s="609"/>
      <c r="AYI26" s="609"/>
      <c r="AYJ26" s="609"/>
      <c r="AYK26" s="609"/>
      <c r="AYL26" s="609"/>
      <c r="AYM26" s="609"/>
      <c r="AYN26" s="609"/>
      <c r="AYO26" s="609"/>
      <c r="AYP26" s="609"/>
      <c r="AYQ26" s="609"/>
      <c r="AYR26" s="609"/>
      <c r="AYS26" s="609"/>
      <c r="AYT26" s="609"/>
      <c r="AYU26" s="609"/>
      <c r="AYV26" s="609"/>
      <c r="AYW26" s="609"/>
      <c r="AYX26" s="609"/>
      <c r="AYY26" s="609"/>
      <c r="AYZ26" s="609"/>
      <c r="AZA26" s="609"/>
      <c r="AZB26" s="609"/>
      <c r="AZC26" s="609"/>
      <c r="AZD26" s="609"/>
      <c r="AZE26" s="609"/>
      <c r="AZF26" s="609"/>
      <c r="AZG26" s="609"/>
      <c r="AZH26" s="609"/>
      <c r="AZI26" s="609"/>
      <c r="AZJ26" s="609"/>
      <c r="AZK26" s="609"/>
      <c r="AZL26" s="609"/>
      <c r="AZM26" s="609"/>
      <c r="AZN26" s="609"/>
      <c r="AZO26" s="609"/>
      <c r="AZP26" s="609"/>
      <c r="AZQ26" s="609"/>
      <c r="AZR26" s="609"/>
      <c r="AZS26" s="609"/>
      <c r="AZT26" s="609"/>
      <c r="AZU26" s="609"/>
      <c r="AZV26" s="609"/>
      <c r="AZW26" s="609"/>
      <c r="AZX26" s="609"/>
      <c r="AZY26" s="609"/>
      <c r="AZZ26" s="609"/>
      <c r="BAA26" s="609"/>
      <c r="BAB26" s="609"/>
      <c r="BAC26" s="609"/>
      <c r="BAD26" s="609"/>
      <c r="BAE26" s="609"/>
      <c r="BAF26" s="609"/>
      <c r="BAG26" s="609"/>
      <c r="BAH26" s="609"/>
      <c r="BAI26" s="609"/>
      <c r="BAJ26" s="609"/>
      <c r="BAK26" s="609"/>
      <c r="BAL26" s="609"/>
      <c r="BAM26" s="609"/>
      <c r="BAN26" s="609"/>
      <c r="BAO26" s="609"/>
      <c r="BAP26" s="609"/>
      <c r="BAQ26" s="609"/>
      <c r="BAR26" s="609"/>
      <c r="BAS26" s="609"/>
      <c r="BAT26" s="609"/>
      <c r="BAU26" s="609"/>
      <c r="BAV26" s="609"/>
      <c r="BAW26" s="609"/>
      <c r="BAX26" s="609"/>
      <c r="BAY26" s="609"/>
      <c r="BAZ26" s="609"/>
      <c r="BBA26" s="609"/>
      <c r="BBB26" s="609"/>
      <c r="BBC26" s="609"/>
      <c r="BBD26" s="609"/>
      <c r="BBE26" s="609"/>
      <c r="BBF26" s="609"/>
      <c r="BBG26" s="609"/>
      <c r="BBH26" s="609"/>
      <c r="BBI26" s="609"/>
      <c r="BBJ26" s="609"/>
      <c r="BBK26" s="609"/>
      <c r="BBL26" s="609"/>
      <c r="BBM26" s="609"/>
      <c r="BBN26" s="609"/>
      <c r="BBO26" s="609"/>
      <c r="BBP26" s="609"/>
      <c r="BBQ26" s="609"/>
      <c r="BBR26" s="609"/>
      <c r="BBS26" s="609"/>
      <c r="BBT26" s="609"/>
      <c r="BBU26" s="609"/>
      <c r="BBV26" s="609"/>
      <c r="BBW26" s="609"/>
      <c r="BBX26" s="609"/>
      <c r="BBY26" s="609"/>
      <c r="BBZ26" s="609"/>
      <c r="BCA26" s="609"/>
      <c r="BCB26" s="609"/>
      <c r="BCC26" s="609"/>
      <c r="BCD26" s="609"/>
      <c r="BCE26" s="609"/>
      <c r="BCF26" s="609"/>
      <c r="BCG26" s="609"/>
      <c r="BCH26" s="609"/>
      <c r="BCI26" s="609"/>
      <c r="BCJ26" s="609"/>
      <c r="BCK26" s="609"/>
      <c r="BCL26" s="609"/>
      <c r="BCM26" s="609"/>
      <c r="BCN26" s="609"/>
      <c r="BCO26" s="609"/>
      <c r="BCP26" s="609"/>
      <c r="BCQ26" s="609"/>
      <c r="BCR26" s="609"/>
      <c r="BCS26" s="609"/>
      <c r="BCT26" s="609"/>
      <c r="BCU26" s="609"/>
      <c r="BCV26" s="609"/>
      <c r="BCW26" s="609"/>
      <c r="BCX26" s="609"/>
      <c r="BCY26" s="609"/>
      <c r="BCZ26" s="609"/>
      <c r="BDA26" s="609"/>
      <c r="BDB26" s="609"/>
      <c r="BDC26" s="609"/>
      <c r="BDD26" s="609"/>
      <c r="BDE26" s="609"/>
      <c r="BDF26" s="609"/>
      <c r="BDG26" s="609"/>
      <c r="BDH26" s="609"/>
      <c r="BDI26" s="609"/>
      <c r="BDJ26" s="609"/>
      <c r="BDK26" s="609"/>
      <c r="BDL26" s="609"/>
      <c r="BDM26" s="609"/>
      <c r="BDN26" s="609"/>
      <c r="BDO26" s="609"/>
      <c r="BDP26" s="609"/>
      <c r="BDQ26" s="609"/>
      <c r="BDR26" s="609"/>
      <c r="BDS26" s="609"/>
      <c r="BDT26" s="609"/>
      <c r="BDU26" s="609"/>
      <c r="BDV26" s="609"/>
      <c r="BDW26" s="609"/>
      <c r="BDX26" s="609"/>
      <c r="BDY26" s="609"/>
      <c r="BDZ26" s="609"/>
      <c r="BEA26" s="609"/>
      <c r="BEB26" s="609"/>
      <c r="BEC26" s="609"/>
      <c r="BED26" s="609"/>
      <c r="BEE26" s="609"/>
      <c r="BEF26" s="609"/>
      <c r="BEG26" s="609"/>
      <c r="BEH26" s="609"/>
      <c r="BEI26" s="609"/>
      <c r="BEJ26" s="609"/>
      <c r="BEK26" s="609"/>
      <c r="BEL26" s="609"/>
      <c r="BEM26" s="609"/>
      <c r="BEN26" s="609"/>
      <c r="BEO26" s="609"/>
      <c r="BEP26" s="609"/>
      <c r="BEQ26" s="609"/>
      <c r="BER26" s="609"/>
      <c r="BES26" s="609"/>
      <c r="BET26" s="609"/>
      <c r="BEU26" s="609"/>
      <c r="BEV26" s="609"/>
      <c r="BEW26" s="609"/>
      <c r="BEX26" s="609"/>
      <c r="BEY26" s="609"/>
      <c r="BEZ26" s="609"/>
      <c r="BFA26" s="609"/>
      <c r="BFB26" s="609"/>
      <c r="BFC26" s="609"/>
      <c r="BFD26" s="609"/>
      <c r="BFE26" s="609"/>
      <c r="BFF26" s="609"/>
      <c r="BFG26" s="609"/>
      <c r="BFH26" s="609"/>
      <c r="BFI26" s="609"/>
      <c r="BFJ26" s="609"/>
      <c r="BFK26" s="609"/>
      <c r="BFL26" s="609"/>
      <c r="BFM26" s="609"/>
      <c r="BFN26" s="609"/>
      <c r="BFO26" s="609"/>
      <c r="BFP26" s="609"/>
      <c r="BFQ26" s="609"/>
      <c r="BFR26" s="609"/>
      <c r="BFS26" s="609"/>
      <c r="BFT26" s="609"/>
      <c r="BFU26" s="609"/>
      <c r="BFV26" s="609"/>
      <c r="BFW26" s="609"/>
      <c r="BFX26" s="609"/>
      <c r="BFY26" s="609"/>
      <c r="BFZ26" s="609"/>
      <c r="BGA26" s="609"/>
      <c r="BGB26" s="609"/>
      <c r="BGC26" s="609"/>
      <c r="BGD26" s="609"/>
      <c r="BGE26" s="609"/>
      <c r="BGF26" s="609"/>
      <c r="BGG26" s="609"/>
      <c r="BGH26" s="609"/>
      <c r="BGI26" s="609"/>
      <c r="BGJ26" s="609"/>
      <c r="BGK26" s="609"/>
      <c r="BGL26" s="609"/>
      <c r="BGM26" s="609"/>
      <c r="BGN26" s="609"/>
      <c r="BGO26" s="609"/>
      <c r="BGP26" s="609"/>
      <c r="BGQ26" s="609"/>
      <c r="BGR26" s="609"/>
      <c r="BGS26" s="609"/>
      <c r="BGT26" s="609"/>
      <c r="BGU26" s="609"/>
      <c r="BGV26" s="609"/>
      <c r="BGW26" s="609"/>
      <c r="BGX26" s="609"/>
      <c r="BGY26" s="609"/>
      <c r="BGZ26" s="609"/>
      <c r="BHA26" s="609"/>
      <c r="BHB26" s="609"/>
      <c r="BHC26" s="609"/>
      <c r="BHD26" s="609"/>
      <c r="BHE26" s="609"/>
      <c r="BHF26" s="609"/>
      <c r="BHG26" s="609"/>
      <c r="BHH26" s="609"/>
      <c r="BHI26" s="609"/>
      <c r="BHJ26" s="609"/>
      <c r="BHK26" s="609"/>
      <c r="BHL26" s="609"/>
      <c r="BHM26" s="609"/>
      <c r="BHN26" s="609"/>
      <c r="BHO26" s="609"/>
      <c r="BHP26" s="609"/>
      <c r="BHQ26" s="609"/>
      <c r="BHR26" s="609"/>
      <c r="BHS26" s="609"/>
      <c r="BHT26" s="609"/>
      <c r="BHU26" s="609"/>
      <c r="BHV26" s="609"/>
      <c r="BHW26" s="609"/>
      <c r="BHX26" s="609"/>
      <c r="BHY26" s="609"/>
      <c r="BHZ26" s="609"/>
      <c r="BIA26" s="609"/>
      <c r="BIB26" s="609"/>
      <c r="BIC26" s="609"/>
      <c r="BID26" s="609"/>
      <c r="BIE26" s="609"/>
      <c r="BIF26" s="609"/>
      <c r="BIG26" s="609"/>
      <c r="BIH26" s="609"/>
      <c r="BII26" s="609"/>
      <c r="BIJ26" s="609"/>
      <c r="BIK26" s="609"/>
      <c r="BIL26" s="609"/>
      <c r="BIM26" s="609"/>
      <c r="BIN26" s="609"/>
      <c r="BIO26" s="609"/>
      <c r="BIP26" s="609"/>
      <c r="BIQ26" s="609"/>
      <c r="BIR26" s="609"/>
      <c r="BIS26" s="609"/>
      <c r="BIT26" s="609"/>
      <c r="BIU26" s="609"/>
      <c r="BIV26" s="609"/>
      <c r="BIW26" s="609"/>
      <c r="BIX26" s="609"/>
      <c r="BIY26" s="609"/>
      <c r="BIZ26" s="609"/>
      <c r="BJA26" s="609"/>
      <c r="BJB26" s="609"/>
      <c r="BJC26" s="609"/>
      <c r="BJD26" s="609"/>
      <c r="BJE26" s="609"/>
      <c r="BJF26" s="609"/>
      <c r="BJG26" s="609"/>
      <c r="BJH26" s="609"/>
      <c r="BJI26" s="609"/>
      <c r="BJJ26" s="609"/>
      <c r="BJK26" s="609"/>
      <c r="BJL26" s="609"/>
      <c r="BJM26" s="609"/>
      <c r="BJN26" s="609"/>
      <c r="BJO26" s="609"/>
      <c r="BJP26" s="609"/>
      <c r="BJQ26" s="609"/>
      <c r="BJR26" s="609"/>
      <c r="BJS26" s="609"/>
      <c r="BJT26" s="609"/>
      <c r="BJU26" s="609"/>
      <c r="BJV26" s="609"/>
      <c r="BJW26" s="609"/>
      <c r="BJX26" s="609"/>
      <c r="BJY26" s="609"/>
      <c r="BJZ26" s="609"/>
      <c r="BKA26" s="609"/>
      <c r="BKB26" s="609"/>
      <c r="BKC26" s="609"/>
      <c r="BKD26" s="609"/>
      <c r="BKE26" s="609"/>
      <c r="BKF26" s="609"/>
      <c r="BKG26" s="609"/>
      <c r="BKH26" s="609"/>
      <c r="BKI26" s="609"/>
      <c r="BKJ26" s="609"/>
      <c r="BKK26" s="609"/>
      <c r="BKL26" s="609"/>
      <c r="BKM26" s="609"/>
      <c r="BKN26" s="609"/>
      <c r="BKO26" s="609"/>
      <c r="BKP26" s="609"/>
      <c r="BKQ26" s="609"/>
      <c r="BKR26" s="609"/>
      <c r="BKS26" s="609"/>
      <c r="BKT26" s="609"/>
      <c r="BKU26" s="609"/>
      <c r="BKV26" s="609"/>
      <c r="BKW26" s="609"/>
      <c r="BKX26" s="609"/>
      <c r="BKY26" s="609"/>
      <c r="BKZ26" s="609"/>
      <c r="BLA26" s="609"/>
      <c r="BLB26" s="609"/>
      <c r="BLC26" s="609"/>
      <c r="BLD26" s="609"/>
      <c r="BLE26" s="609"/>
      <c r="BLF26" s="609"/>
      <c r="BLG26" s="609"/>
      <c r="BLH26" s="609"/>
      <c r="BLI26" s="609"/>
      <c r="BLJ26" s="609"/>
      <c r="BLK26" s="609"/>
      <c r="BLL26" s="609"/>
      <c r="BLM26" s="609"/>
      <c r="BLN26" s="609"/>
      <c r="BLO26" s="609"/>
      <c r="BLP26" s="609"/>
      <c r="BLQ26" s="609"/>
      <c r="BLR26" s="609"/>
      <c r="BLS26" s="609"/>
      <c r="BLT26" s="609"/>
      <c r="BLU26" s="609"/>
      <c r="BLV26" s="609"/>
      <c r="BLW26" s="609"/>
      <c r="BLX26" s="609"/>
      <c r="BLY26" s="609"/>
      <c r="BLZ26" s="609"/>
      <c r="BMA26" s="609"/>
      <c r="BMB26" s="609"/>
      <c r="BMC26" s="609"/>
      <c r="BMD26" s="609"/>
      <c r="BME26" s="609"/>
      <c r="BMF26" s="609"/>
      <c r="BMG26" s="609"/>
      <c r="BMH26" s="609"/>
      <c r="BMI26" s="609"/>
      <c r="BMJ26" s="609"/>
      <c r="BMK26" s="609"/>
      <c r="BML26" s="609"/>
      <c r="BMM26" s="609"/>
      <c r="BMN26" s="609"/>
      <c r="BMO26" s="609"/>
      <c r="BMP26" s="609"/>
      <c r="BMQ26" s="609"/>
      <c r="BMR26" s="609"/>
      <c r="BMS26" s="609"/>
      <c r="BMT26" s="609"/>
      <c r="BMU26" s="609"/>
      <c r="BMV26" s="609"/>
      <c r="BMW26" s="609"/>
      <c r="BMX26" s="609"/>
      <c r="BMY26" s="609"/>
      <c r="BMZ26" s="609"/>
      <c r="BNA26" s="609"/>
      <c r="BNB26" s="609"/>
      <c r="BNC26" s="609"/>
      <c r="BND26" s="609"/>
      <c r="BNE26" s="609"/>
      <c r="BNF26" s="609"/>
      <c r="BNG26" s="609"/>
      <c r="BNH26" s="609"/>
      <c r="BNI26" s="609"/>
      <c r="BNJ26" s="609"/>
      <c r="BNK26" s="609"/>
      <c r="BNL26" s="609"/>
      <c r="BNM26" s="609"/>
      <c r="BNN26" s="609"/>
      <c r="BNO26" s="609"/>
      <c r="BNP26" s="609"/>
      <c r="BNQ26" s="609"/>
      <c r="BNR26" s="609"/>
      <c r="BNS26" s="609"/>
      <c r="BNT26" s="609"/>
      <c r="BNU26" s="609"/>
      <c r="BNV26" s="609"/>
      <c r="BNW26" s="609"/>
      <c r="BNX26" s="609"/>
      <c r="BNY26" s="609"/>
      <c r="BNZ26" s="609"/>
      <c r="BOA26" s="609"/>
      <c r="BOB26" s="609"/>
      <c r="BOC26" s="609"/>
      <c r="BOD26" s="609"/>
      <c r="BOE26" s="609"/>
      <c r="BOF26" s="609"/>
      <c r="BOG26" s="609"/>
      <c r="BOH26" s="609"/>
      <c r="BOI26" s="609"/>
      <c r="BOJ26" s="609"/>
      <c r="BOK26" s="609"/>
      <c r="BOL26" s="609"/>
      <c r="BOM26" s="609"/>
      <c r="BON26" s="609"/>
      <c r="BOO26" s="609"/>
      <c r="BOP26" s="609"/>
      <c r="BOQ26" s="609"/>
      <c r="BOR26" s="609"/>
      <c r="BOS26" s="609"/>
      <c r="BOT26" s="609"/>
      <c r="BOU26" s="609"/>
      <c r="BOV26" s="609"/>
      <c r="BOW26" s="609"/>
      <c r="BOX26" s="609"/>
      <c r="BOY26" s="609"/>
      <c r="BOZ26" s="609"/>
      <c r="BPA26" s="609"/>
      <c r="BPB26" s="609"/>
      <c r="BPC26" s="609"/>
      <c r="BPD26" s="609"/>
      <c r="BPE26" s="609"/>
      <c r="BPF26" s="609"/>
      <c r="BPG26" s="609"/>
      <c r="BPH26" s="609"/>
      <c r="BPI26" s="609"/>
      <c r="BPJ26" s="609"/>
      <c r="BPK26" s="609"/>
      <c r="BPL26" s="609"/>
      <c r="BPM26" s="609"/>
      <c r="BPN26" s="609"/>
      <c r="BPO26" s="609"/>
      <c r="BPP26" s="609"/>
      <c r="BPQ26" s="609"/>
      <c r="BPR26" s="609"/>
      <c r="BPS26" s="609"/>
      <c r="BPT26" s="609"/>
      <c r="BPU26" s="609"/>
      <c r="BPV26" s="609"/>
      <c r="BPW26" s="609"/>
      <c r="BPX26" s="609"/>
      <c r="BPY26" s="609"/>
      <c r="BPZ26" s="609"/>
      <c r="BQA26" s="609"/>
      <c r="BQB26" s="609"/>
      <c r="BQC26" s="609"/>
      <c r="BQD26" s="609"/>
      <c r="BQE26" s="609"/>
      <c r="BQF26" s="609"/>
      <c r="BQG26" s="609"/>
      <c r="BQH26" s="609"/>
      <c r="BQI26" s="609"/>
      <c r="BQJ26" s="609"/>
      <c r="BQK26" s="609"/>
      <c r="BQL26" s="609"/>
      <c r="BQM26" s="609"/>
      <c r="BQN26" s="609"/>
      <c r="BQO26" s="609"/>
      <c r="BQP26" s="609"/>
      <c r="BQQ26" s="609"/>
      <c r="BQR26" s="609"/>
      <c r="BQS26" s="609"/>
      <c r="BQT26" s="609"/>
      <c r="BQU26" s="609"/>
      <c r="BQV26" s="609"/>
      <c r="BQW26" s="609"/>
      <c r="BQX26" s="609"/>
      <c r="BQY26" s="609"/>
      <c r="BQZ26" s="609"/>
      <c r="BRA26" s="609"/>
      <c r="BRB26" s="609"/>
      <c r="BRC26" s="609"/>
      <c r="BRD26" s="609"/>
      <c r="BRE26" s="609"/>
      <c r="BRF26" s="609"/>
      <c r="BRG26" s="609"/>
      <c r="BRH26" s="609"/>
      <c r="BRI26" s="609"/>
      <c r="BRJ26" s="609"/>
      <c r="BRK26" s="609"/>
      <c r="BRL26" s="609"/>
      <c r="BRM26" s="609"/>
      <c r="BRN26" s="609"/>
      <c r="BRO26" s="609"/>
      <c r="BRP26" s="609"/>
      <c r="BRQ26" s="609"/>
      <c r="BRR26" s="609"/>
      <c r="BRS26" s="609"/>
      <c r="BRT26" s="609"/>
      <c r="BRU26" s="609"/>
      <c r="BRV26" s="609"/>
      <c r="BRW26" s="609"/>
      <c r="BRX26" s="609"/>
      <c r="BRY26" s="609"/>
      <c r="BRZ26" s="609"/>
      <c r="BSA26" s="609"/>
      <c r="BSB26" s="609"/>
      <c r="BSC26" s="609"/>
      <c r="BSD26" s="609"/>
      <c r="BSE26" s="609"/>
      <c r="BSF26" s="609"/>
      <c r="BSG26" s="609"/>
      <c r="BSH26" s="609"/>
      <c r="BSI26" s="609"/>
      <c r="BSJ26" s="609"/>
      <c r="BSK26" s="609"/>
      <c r="BSL26" s="609"/>
      <c r="BSM26" s="609"/>
      <c r="BSN26" s="609"/>
      <c r="BSO26" s="609"/>
      <c r="BSP26" s="609"/>
      <c r="BSQ26" s="609"/>
      <c r="BSR26" s="609"/>
      <c r="BSS26" s="609"/>
      <c r="BST26" s="609"/>
      <c r="BSU26" s="609"/>
      <c r="BSV26" s="609"/>
      <c r="BSW26" s="609"/>
      <c r="BSX26" s="609"/>
      <c r="BSY26" s="609"/>
      <c r="BSZ26" s="609"/>
      <c r="BTA26" s="609"/>
      <c r="BTB26" s="609"/>
      <c r="BTC26" s="609"/>
      <c r="BTD26" s="609"/>
      <c r="BTE26" s="609"/>
      <c r="BTF26" s="609"/>
      <c r="BTG26" s="609"/>
      <c r="BTH26" s="609"/>
      <c r="BTI26" s="609"/>
      <c r="BTJ26" s="609"/>
      <c r="BTK26" s="609"/>
      <c r="BTL26" s="609"/>
      <c r="BTM26" s="609"/>
      <c r="BTN26" s="609"/>
      <c r="BTO26" s="609"/>
      <c r="BTP26" s="609"/>
      <c r="BTQ26" s="609"/>
      <c r="BTR26" s="609"/>
      <c r="BTS26" s="609"/>
      <c r="BTT26" s="609"/>
      <c r="BTU26" s="609"/>
      <c r="BTV26" s="609"/>
      <c r="BTW26" s="609"/>
      <c r="BTX26" s="609"/>
      <c r="BTY26" s="609"/>
      <c r="BTZ26" s="609"/>
      <c r="BUA26" s="609"/>
      <c r="BUB26" s="609"/>
      <c r="BUC26" s="609"/>
      <c r="BUD26" s="609"/>
      <c r="BUE26" s="609"/>
      <c r="BUF26" s="609"/>
      <c r="BUG26" s="609"/>
      <c r="BUH26" s="609"/>
      <c r="BUI26" s="609"/>
      <c r="BUJ26" s="609"/>
      <c r="BUK26" s="609"/>
      <c r="BUL26" s="609"/>
      <c r="BUM26" s="609"/>
      <c r="BUN26" s="609"/>
      <c r="BUO26" s="609"/>
      <c r="BUP26" s="609"/>
      <c r="BUQ26" s="609"/>
      <c r="BUR26" s="609"/>
      <c r="BUS26" s="609"/>
      <c r="BUT26" s="609"/>
      <c r="BUU26" s="609"/>
      <c r="BUV26" s="609"/>
      <c r="BUW26" s="609"/>
      <c r="BUX26" s="609"/>
      <c r="BUY26" s="609"/>
      <c r="BUZ26" s="609"/>
      <c r="BVA26" s="609"/>
      <c r="BVB26" s="609"/>
      <c r="BVC26" s="609"/>
      <c r="BVD26" s="609"/>
      <c r="BVE26" s="609"/>
      <c r="BVF26" s="609"/>
      <c r="BVG26" s="609"/>
      <c r="BVH26" s="609"/>
      <c r="BVI26" s="609"/>
      <c r="BVJ26" s="609"/>
      <c r="BVK26" s="609"/>
      <c r="BVL26" s="609"/>
      <c r="BVM26" s="609"/>
      <c r="BVN26" s="609"/>
      <c r="BVO26" s="609"/>
      <c r="BVP26" s="609"/>
      <c r="BVQ26" s="609"/>
      <c r="BVR26" s="609"/>
      <c r="BVS26" s="609"/>
      <c r="BVT26" s="609"/>
      <c r="BVU26" s="609"/>
      <c r="BVV26" s="609"/>
      <c r="BVW26" s="609"/>
      <c r="BVX26" s="609"/>
      <c r="BVY26" s="609"/>
      <c r="BVZ26" s="609"/>
      <c r="BWA26" s="609"/>
      <c r="BWB26" s="609"/>
      <c r="BWC26" s="609"/>
      <c r="BWD26" s="609"/>
      <c r="BWE26" s="609"/>
      <c r="BWF26" s="609"/>
      <c r="BWG26" s="609"/>
      <c r="BWH26" s="609"/>
      <c r="BWI26" s="609"/>
      <c r="BWJ26" s="609"/>
      <c r="BWK26" s="609"/>
      <c r="BWL26" s="609"/>
      <c r="BWM26" s="609"/>
      <c r="BWN26" s="609"/>
      <c r="BWO26" s="609"/>
      <c r="BWP26" s="609"/>
      <c r="BWQ26" s="609"/>
      <c r="BWR26" s="609"/>
      <c r="BWS26" s="609"/>
      <c r="BWT26" s="609"/>
      <c r="BWU26" s="609"/>
      <c r="BWV26" s="609"/>
      <c r="BWW26" s="609"/>
      <c r="BWX26" s="609"/>
      <c r="BWY26" s="609"/>
      <c r="BWZ26" s="609"/>
      <c r="BXA26" s="609"/>
      <c r="BXB26" s="609"/>
      <c r="BXC26" s="609"/>
      <c r="BXD26" s="609"/>
      <c r="BXE26" s="609"/>
      <c r="BXF26" s="609"/>
      <c r="BXG26" s="609"/>
      <c r="BXH26" s="609"/>
      <c r="BXI26" s="609"/>
      <c r="BXJ26" s="609"/>
      <c r="BXK26" s="609"/>
      <c r="BXL26" s="609"/>
      <c r="BXM26" s="609"/>
      <c r="BXN26" s="609"/>
      <c r="BXO26" s="609"/>
      <c r="BXP26" s="609"/>
      <c r="BXQ26" s="609"/>
      <c r="BXR26" s="609"/>
      <c r="BXS26" s="609"/>
      <c r="BXT26" s="609"/>
      <c r="BXU26" s="609"/>
      <c r="BXV26" s="609"/>
      <c r="BXW26" s="609"/>
      <c r="BXX26" s="609"/>
      <c r="BXY26" s="609"/>
      <c r="BXZ26" s="609"/>
      <c r="BYA26" s="609"/>
      <c r="BYB26" s="609"/>
      <c r="BYC26" s="609"/>
      <c r="BYD26" s="609"/>
      <c r="BYE26" s="609"/>
      <c r="BYF26" s="609"/>
      <c r="BYG26" s="609"/>
      <c r="BYH26" s="609"/>
      <c r="BYI26" s="609"/>
      <c r="BYJ26" s="609"/>
      <c r="BYK26" s="609"/>
      <c r="BYL26" s="609"/>
      <c r="BYM26" s="609"/>
      <c r="BYN26" s="609"/>
      <c r="BYO26" s="609"/>
      <c r="BYP26" s="609"/>
      <c r="BYQ26" s="609"/>
      <c r="BYR26" s="609"/>
      <c r="BYS26" s="609"/>
      <c r="BYT26" s="609"/>
      <c r="BYU26" s="609"/>
      <c r="BYV26" s="609"/>
      <c r="BYW26" s="609"/>
      <c r="BYX26" s="609"/>
      <c r="BYY26" s="609"/>
      <c r="BYZ26" s="609"/>
      <c r="BZA26" s="609"/>
      <c r="BZB26" s="609"/>
      <c r="BZC26" s="609"/>
      <c r="BZD26" s="609"/>
      <c r="BZE26" s="609"/>
      <c r="BZF26" s="609"/>
      <c r="BZG26" s="609"/>
      <c r="BZH26" s="609"/>
      <c r="BZI26" s="609"/>
      <c r="BZJ26" s="609"/>
      <c r="BZK26" s="609"/>
      <c r="BZL26" s="609"/>
      <c r="BZM26" s="609"/>
      <c r="BZN26" s="609"/>
      <c r="BZO26" s="609"/>
      <c r="BZP26" s="609"/>
      <c r="BZQ26" s="609"/>
      <c r="BZR26" s="609"/>
      <c r="BZS26" s="609"/>
      <c r="BZT26" s="609"/>
      <c r="BZU26" s="609"/>
      <c r="BZV26" s="609"/>
      <c r="BZW26" s="609"/>
      <c r="BZX26" s="609"/>
      <c r="BZY26" s="609"/>
      <c r="BZZ26" s="609"/>
      <c r="CAA26" s="609"/>
      <c r="CAB26" s="609"/>
      <c r="CAC26" s="609"/>
      <c r="CAD26" s="609"/>
      <c r="CAE26" s="609"/>
      <c r="CAF26" s="609"/>
      <c r="CAG26" s="609"/>
      <c r="CAH26" s="609"/>
      <c r="CAI26" s="609"/>
      <c r="CAJ26" s="609"/>
      <c r="CAK26" s="609"/>
      <c r="CAL26" s="609"/>
      <c r="CAM26" s="609"/>
      <c r="CAN26" s="609"/>
      <c r="CAO26" s="609"/>
      <c r="CAP26" s="609"/>
      <c r="CAQ26" s="609"/>
      <c r="CAR26" s="609"/>
      <c r="CAS26" s="609"/>
      <c r="CAT26" s="609"/>
      <c r="CAU26" s="609"/>
      <c r="CAV26" s="609"/>
      <c r="CAW26" s="609"/>
      <c r="CAX26" s="609"/>
      <c r="CAY26" s="609"/>
      <c r="CAZ26" s="609"/>
      <c r="CBA26" s="609"/>
      <c r="CBB26" s="609"/>
      <c r="CBC26" s="609"/>
      <c r="CBD26" s="609"/>
      <c r="CBE26" s="609"/>
      <c r="CBF26" s="609"/>
      <c r="CBG26" s="609"/>
      <c r="CBH26" s="609"/>
      <c r="CBI26" s="609"/>
      <c r="CBJ26" s="609"/>
      <c r="CBK26" s="609"/>
      <c r="CBL26" s="609"/>
      <c r="CBM26" s="609"/>
      <c r="CBN26" s="609"/>
      <c r="CBO26" s="609"/>
      <c r="CBP26" s="609"/>
      <c r="CBQ26" s="609"/>
      <c r="CBR26" s="609"/>
      <c r="CBS26" s="609"/>
      <c r="CBT26" s="609"/>
      <c r="CBU26" s="609"/>
      <c r="CBV26" s="609"/>
      <c r="CBW26" s="609"/>
      <c r="CBX26" s="609"/>
      <c r="CBY26" s="609"/>
      <c r="CBZ26" s="609"/>
      <c r="CCA26" s="609"/>
      <c r="CCB26" s="609"/>
      <c r="CCC26" s="609"/>
      <c r="CCD26" s="609"/>
      <c r="CCE26" s="609"/>
      <c r="CCF26" s="609"/>
      <c r="CCG26" s="609"/>
      <c r="CCH26" s="609"/>
      <c r="CCI26" s="609"/>
      <c r="CCJ26" s="609"/>
      <c r="CCK26" s="609"/>
      <c r="CCL26" s="609"/>
      <c r="CCM26" s="609"/>
      <c r="CCN26" s="609"/>
      <c r="CCO26" s="609"/>
      <c r="CCP26" s="609"/>
      <c r="CCQ26" s="609"/>
      <c r="CCR26" s="609"/>
      <c r="CCS26" s="609"/>
      <c r="CCT26" s="609"/>
      <c r="CCU26" s="609"/>
      <c r="CCV26" s="609"/>
      <c r="CCW26" s="609"/>
      <c r="CCX26" s="609"/>
      <c r="CCY26" s="609"/>
      <c r="CCZ26" s="609"/>
      <c r="CDA26" s="609"/>
      <c r="CDB26" s="609"/>
      <c r="CDC26" s="609"/>
      <c r="CDD26" s="609"/>
      <c r="CDE26" s="609"/>
      <c r="CDF26" s="609"/>
      <c r="CDG26" s="609"/>
      <c r="CDH26" s="609"/>
      <c r="CDI26" s="609"/>
      <c r="CDJ26" s="609"/>
      <c r="CDK26" s="609"/>
      <c r="CDL26" s="609"/>
      <c r="CDM26" s="609"/>
      <c r="CDN26" s="609"/>
      <c r="CDO26" s="609"/>
      <c r="CDP26" s="609"/>
      <c r="CDQ26" s="609"/>
      <c r="CDR26" s="609"/>
      <c r="CDS26" s="609"/>
      <c r="CDT26" s="609"/>
      <c r="CDU26" s="609"/>
      <c r="CDV26" s="609"/>
      <c r="CDW26" s="609"/>
      <c r="CDX26" s="609"/>
      <c r="CDY26" s="609"/>
      <c r="CDZ26" s="609"/>
      <c r="CEA26" s="609"/>
      <c r="CEB26" s="609"/>
      <c r="CEC26" s="609"/>
      <c r="CED26" s="609"/>
      <c r="CEE26" s="609"/>
      <c r="CEF26" s="609"/>
      <c r="CEG26" s="609"/>
      <c r="CEH26" s="609"/>
      <c r="CEI26" s="609"/>
      <c r="CEJ26" s="609"/>
      <c r="CEK26" s="609"/>
      <c r="CEL26" s="609"/>
      <c r="CEM26" s="609"/>
      <c r="CEN26" s="609"/>
      <c r="CEO26" s="609"/>
      <c r="CEP26" s="609"/>
      <c r="CEQ26" s="609"/>
      <c r="CER26" s="609"/>
      <c r="CES26" s="609"/>
      <c r="CET26" s="609"/>
      <c r="CEU26" s="609"/>
      <c r="CEV26" s="609"/>
      <c r="CEW26" s="609"/>
      <c r="CEX26" s="609"/>
      <c r="CEY26" s="609"/>
      <c r="CEZ26" s="609"/>
      <c r="CFA26" s="609"/>
      <c r="CFB26" s="609"/>
      <c r="CFC26" s="609"/>
      <c r="CFD26" s="609"/>
      <c r="CFE26" s="609"/>
      <c r="CFF26" s="609"/>
      <c r="CFG26" s="609"/>
      <c r="CFH26" s="609"/>
      <c r="CFI26" s="609"/>
      <c r="CFJ26" s="609"/>
      <c r="CFK26" s="609"/>
      <c r="CFL26" s="609"/>
      <c r="CFM26" s="609"/>
      <c r="CFN26" s="609"/>
      <c r="CFO26" s="609"/>
      <c r="CFP26" s="609"/>
      <c r="CFQ26" s="609"/>
      <c r="CFR26" s="609"/>
      <c r="CFS26" s="609"/>
      <c r="CFT26" s="609"/>
      <c r="CFU26" s="609"/>
      <c r="CFV26" s="609"/>
      <c r="CFW26" s="609"/>
      <c r="CFX26" s="609"/>
      <c r="CFY26" s="609"/>
      <c r="CFZ26" s="609"/>
      <c r="CGA26" s="609"/>
      <c r="CGB26" s="609"/>
      <c r="CGC26" s="609"/>
      <c r="CGD26" s="609"/>
      <c r="CGE26" s="609"/>
      <c r="CGF26" s="609"/>
      <c r="CGG26" s="609"/>
      <c r="CGH26" s="609"/>
      <c r="CGI26" s="609"/>
      <c r="CGJ26" s="609"/>
      <c r="CGK26" s="609"/>
      <c r="CGL26" s="609"/>
      <c r="CGM26" s="609"/>
      <c r="CGN26" s="609"/>
      <c r="CGO26" s="609"/>
      <c r="CGP26" s="609"/>
      <c r="CGQ26" s="609"/>
      <c r="CGR26" s="609"/>
      <c r="CGS26" s="609"/>
      <c r="CGT26" s="609"/>
      <c r="CGU26" s="609"/>
      <c r="CGV26" s="609"/>
      <c r="CGW26" s="609"/>
      <c r="CGX26" s="609"/>
      <c r="CGY26" s="609"/>
      <c r="CGZ26" s="609"/>
      <c r="CHA26" s="609"/>
      <c r="CHB26" s="609"/>
      <c r="CHC26" s="609"/>
      <c r="CHD26" s="609"/>
      <c r="CHE26" s="609"/>
      <c r="CHF26" s="609"/>
      <c r="CHG26" s="609"/>
      <c r="CHH26" s="609"/>
      <c r="CHI26" s="609"/>
      <c r="CHJ26" s="609"/>
      <c r="CHK26" s="609"/>
      <c r="CHL26" s="609"/>
      <c r="CHM26" s="609"/>
      <c r="CHN26" s="609"/>
      <c r="CHO26" s="609"/>
      <c r="CHP26" s="609"/>
      <c r="CHQ26" s="609"/>
      <c r="CHR26" s="609"/>
      <c r="CHS26" s="609"/>
      <c r="CHT26" s="609"/>
      <c r="CHU26" s="609"/>
      <c r="CHV26" s="609"/>
      <c r="CHW26" s="609"/>
      <c r="CHX26" s="609"/>
      <c r="CHY26" s="609"/>
      <c r="CHZ26" s="609"/>
      <c r="CIA26" s="609"/>
      <c r="CIB26" s="609"/>
      <c r="CIC26" s="609"/>
      <c r="CID26" s="609"/>
      <c r="CIE26" s="609"/>
      <c r="CIF26" s="609"/>
      <c r="CIG26" s="609"/>
      <c r="CIH26" s="609"/>
      <c r="CII26" s="609"/>
      <c r="CIJ26" s="609"/>
      <c r="CIK26" s="609"/>
      <c r="CIL26" s="609"/>
      <c r="CIM26" s="609"/>
      <c r="CIN26" s="609"/>
      <c r="CIO26" s="609"/>
      <c r="CIP26" s="609"/>
      <c r="CIQ26" s="609"/>
      <c r="CIR26" s="609"/>
      <c r="CIS26" s="609"/>
      <c r="CIT26" s="609"/>
      <c r="CIU26" s="609"/>
      <c r="CIV26" s="609"/>
      <c r="CIW26" s="609"/>
      <c r="CIX26" s="609"/>
      <c r="CIY26" s="609"/>
      <c r="CIZ26" s="609"/>
      <c r="CJA26" s="609"/>
      <c r="CJB26" s="609"/>
      <c r="CJC26" s="609"/>
      <c r="CJD26" s="609"/>
      <c r="CJE26" s="609"/>
      <c r="CJF26" s="609"/>
      <c r="CJG26" s="609"/>
      <c r="CJH26" s="609"/>
      <c r="CJI26" s="609"/>
      <c r="CJJ26" s="609"/>
      <c r="CJK26" s="609"/>
      <c r="CJL26" s="609"/>
      <c r="CJM26" s="609"/>
      <c r="CJN26" s="609"/>
      <c r="CJO26" s="609"/>
      <c r="CJP26" s="609"/>
      <c r="CJQ26" s="609"/>
      <c r="CJR26" s="609"/>
      <c r="CJS26" s="609"/>
      <c r="CJT26" s="609"/>
      <c r="CJU26" s="609"/>
      <c r="CJV26" s="609"/>
      <c r="CJW26" s="609"/>
      <c r="CJX26" s="609"/>
      <c r="CJY26" s="609"/>
      <c r="CJZ26" s="609"/>
      <c r="CKA26" s="609"/>
      <c r="CKB26" s="609"/>
      <c r="CKC26" s="609"/>
      <c r="CKD26" s="609"/>
      <c r="CKE26" s="609"/>
      <c r="CKF26" s="609"/>
      <c r="CKG26" s="609"/>
      <c r="CKH26" s="609"/>
      <c r="CKI26" s="609"/>
      <c r="CKJ26" s="609"/>
      <c r="CKK26" s="609"/>
      <c r="CKL26" s="609"/>
      <c r="CKM26" s="609"/>
      <c r="CKN26" s="609"/>
      <c r="CKO26" s="609"/>
      <c r="CKP26" s="609"/>
      <c r="CKQ26" s="609"/>
      <c r="CKR26" s="609"/>
      <c r="CKS26" s="609"/>
      <c r="CKT26" s="609"/>
      <c r="CKU26" s="609"/>
      <c r="CKV26" s="609"/>
      <c r="CKW26" s="609"/>
      <c r="CKX26" s="609"/>
      <c r="CKY26" s="609"/>
      <c r="CKZ26" s="609"/>
      <c r="CLA26" s="609"/>
      <c r="CLB26" s="609"/>
      <c r="CLC26" s="609"/>
      <c r="CLD26" s="609"/>
      <c r="CLE26" s="609"/>
      <c r="CLF26" s="609"/>
      <c r="CLG26" s="609"/>
      <c r="CLH26" s="609"/>
      <c r="CLI26" s="609"/>
      <c r="CLJ26" s="609"/>
      <c r="CLK26" s="609"/>
      <c r="CLL26" s="609"/>
      <c r="CLM26" s="609"/>
      <c r="CLN26" s="609"/>
      <c r="CLO26" s="609"/>
      <c r="CLP26" s="609"/>
      <c r="CLQ26" s="609"/>
      <c r="CLR26" s="609"/>
      <c r="CLS26" s="609"/>
      <c r="CLT26" s="609"/>
      <c r="CLU26" s="609"/>
      <c r="CLV26" s="609"/>
      <c r="CLW26" s="609"/>
      <c r="CLX26" s="609"/>
      <c r="CLY26" s="609"/>
      <c r="CLZ26" s="609"/>
      <c r="CMA26" s="609"/>
      <c r="CMB26" s="609"/>
      <c r="CMC26" s="609"/>
      <c r="CMD26" s="609"/>
      <c r="CME26" s="609"/>
      <c r="CMF26" s="609"/>
      <c r="CMG26" s="609"/>
      <c r="CMH26" s="609"/>
      <c r="CMI26" s="609"/>
      <c r="CMJ26" s="609"/>
      <c r="CMK26" s="609"/>
      <c r="CML26" s="609"/>
      <c r="CMM26" s="609"/>
      <c r="CMN26" s="609"/>
      <c r="CMO26" s="609"/>
      <c r="CMP26" s="609"/>
      <c r="CMQ26" s="609"/>
      <c r="CMR26" s="609"/>
      <c r="CMS26" s="609"/>
      <c r="CMT26" s="609"/>
      <c r="CMU26" s="609"/>
      <c r="CMV26" s="609"/>
      <c r="CMW26" s="609"/>
      <c r="CMX26" s="609"/>
      <c r="CMY26" s="609"/>
      <c r="CMZ26" s="609"/>
      <c r="CNA26" s="609"/>
      <c r="CNB26" s="609"/>
      <c r="CNC26" s="609"/>
      <c r="CND26" s="609"/>
      <c r="CNE26" s="609"/>
      <c r="CNF26" s="609"/>
      <c r="CNG26" s="609"/>
      <c r="CNH26" s="609"/>
      <c r="CNI26" s="609"/>
      <c r="CNJ26" s="609"/>
      <c r="CNK26" s="609"/>
      <c r="CNL26" s="609"/>
      <c r="CNM26" s="609"/>
      <c r="CNN26" s="609"/>
      <c r="CNO26" s="609"/>
      <c r="CNP26" s="609"/>
      <c r="CNQ26" s="609"/>
      <c r="CNR26" s="609"/>
      <c r="CNS26" s="609"/>
      <c r="CNT26" s="609"/>
      <c r="CNU26" s="609"/>
      <c r="CNV26" s="609"/>
      <c r="CNW26" s="609"/>
      <c r="CNX26" s="609"/>
      <c r="CNY26" s="609"/>
      <c r="CNZ26" s="609"/>
      <c r="COA26" s="609"/>
      <c r="COB26" s="609"/>
      <c r="COC26" s="609"/>
      <c r="COD26" s="609"/>
      <c r="COE26" s="609"/>
      <c r="COF26" s="609"/>
      <c r="COG26" s="609"/>
      <c r="COH26" s="609"/>
      <c r="COI26" s="609"/>
      <c r="COJ26" s="609"/>
      <c r="COK26" s="609"/>
      <c r="COL26" s="609"/>
      <c r="COM26" s="609"/>
      <c r="CON26" s="609"/>
      <c r="COO26" s="609"/>
      <c r="COP26" s="609"/>
      <c r="COQ26" s="609"/>
      <c r="COR26" s="609"/>
      <c r="COS26" s="609"/>
      <c r="COT26" s="609"/>
      <c r="COU26" s="609"/>
      <c r="COV26" s="609"/>
      <c r="COW26" s="609"/>
      <c r="COX26" s="609"/>
      <c r="COY26" s="609"/>
      <c r="COZ26" s="609"/>
      <c r="CPA26" s="609"/>
      <c r="CPB26" s="609"/>
      <c r="CPC26" s="609"/>
      <c r="CPD26" s="609"/>
      <c r="CPE26" s="609"/>
      <c r="CPF26" s="609"/>
      <c r="CPG26" s="609"/>
      <c r="CPH26" s="609"/>
      <c r="CPI26" s="609"/>
      <c r="CPJ26" s="609"/>
      <c r="CPK26" s="609"/>
      <c r="CPL26" s="609"/>
      <c r="CPM26" s="609"/>
      <c r="CPN26" s="609"/>
      <c r="CPO26" s="609"/>
      <c r="CPP26" s="609"/>
      <c r="CPQ26" s="609"/>
      <c r="CPR26" s="609"/>
      <c r="CPS26" s="609"/>
      <c r="CPT26" s="609"/>
      <c r="CPU26" s="609"/>
      <c r="CPV26" s="609"/>
      <c r="CPW26" s="609"/>
      <c r="CPX26" s="609"/>
      <c r="CPY26" s="609"/>
      <c r="CPZ26" s="609"/>
      <c r="CQA26" s="609"/>
      <c r="CQB26" s="609"/>
      <c r="CQC26" s="609"/>
      <c r="CQD26" s="609"/>
      <c r="CQE26" s="609"/>
      <c r="CQF26" s="609"/>
      <c r="CQG26" s="609"/>
      <c r="CQH26" s="609"/>
      <c r="CQI26" s="609"/>
      <c r="CQJ26" s="609"/>
      <c r="CQK26" s="609"/>
      <c r="CQL26" s="609"/>
      <c r="CQM26" s="609"/>
      <c r="CQN26" s="609"/>
      <c r="CQO26" s="609"/>
      <c r="CQP26" s="609"/>
      <c r="CQQ26" s="609"/>
      <c r="CQR26" s="609"/>
      <c r="CQS26" s="609"/>
      <c r="CQT26" s="609"/>
      <c r="CQU26" s="609"/>
      <c r="CQV26" s="609"/>
      <c r="CQW26" s="609"/>
      <c r="CQX26" s="609"/>
      <c r="CQY26" s="609"/>
      <c r="CQZ26" s="609"/>
      <c r="CRA26" s="609"/>
      <c r="CRB26" s="609"/>
      <c r="CRC26" s="609"/>
      <c r="CRD26" s="609"/>
      <c r="CRE26" s="609"/>
      <c r="CRF26" s="609"/>
      <c r="CRG26" s="609"/>
      <c r="CRH26" s="609"/>
      <c r="CRI26" s="609"/>
      <c r="CRJ26" s="609"/>
      <c r="CRK26" s="609"/>
      <c r="CRL26" s="609"/>
      <c r="CRM26" s="609"/>
      <c r="CRN26" s="609"/>
      <c r="CRO26" s="609"/>
      <c r="CRP26" s="609"/>
      <c r="CRQ26" s="609"/>
      <c r="CRR26" s="609"/>
      <c r="CRS26" s="609"/>
      <c r="CRT26" s="609"/>
      <c r="CRU26" s="609"/>
      <c r="CRV26" s="609"/>
      <c r="CRW26" s="609"/>
      <c r="CRX26" s="609"/>
      <c r="CRY26" s="609"/>
      <c r="CRZ26" s="609"/>
      <c r="CSA26" s="609"/>
      <c r="CSB26" s="609"/>
      <c r="CSC26" s="609"/>
      <c r="CSD26" s="609"/>
      <c r="CSE26" s="609"/>
      <c r="CSF26" s="609"/>
      <c r="CSG26" s="609"/>
      <c r="CSH26" s="609"/>
      <c r="CSI26" s="609"/>
      <c r="CSJ26" s="609"/>
      <c r="CSK26" s="609"/>
      <c r="CSL26" s="609"/>
      <c r="CSM26" s="609"/>
      <c r="CSN26" s="609"/>
      <c r="CSO26" s="609"/>
      <c r="CSP26" s="609"/>
      <c r="CSQ26" s="609"/>
      <c r="CSR26" s="609"/>
      <c r="CSS26" s="609"/>
      <c r="CST26" s="609"/>
      <c r="CSU26" s="609"/>
      <c r="CSV26" s="609"/>
      <c r="CSW26" s="609"/>
      <c r="CSX26" s="609"/>
      <c r="CSY26" s="609"/>
      <c r="CSZ26" s="609"/>
      <c r="CTA26" s="609"/>
      <c r="CTB26" s="609"/>
      <c r="CTC26" s="609"/>
      <c r="CTD26" s="609"/>
      <c r="CTE26" s="609"/>
      <c r="CTF26" s="609"/>
      <c r="CTG26" s="609"/>
      <c r="CTH26" s="609"/>
      <c r="CTI26" s="609"/>
      <c r="CTJ26" s="609"/>
      <c r="CTK26" s="609"/>
      <c r="CTL26" s="609"/>
      <c r="CTM26" s="609"/>
      <c r="CTN26" s="609"/>
      <c r="CTO26" s="609"/>
      <c r="CTP26" s="609"/>
      <c r="CTQ26" s="609"/>
      <c r="CTR26" s="609"/>
      <c r="CTS26" s="609"/>
      <c r="CTT26" s="609"/>
      <c r="CTU26" s="609"/>
      <c r="CTV26" s="609"/>
      <c r="CTW26" s="609"/>
      <c r="CTX26" s="609"/>
      <c r="CTY26" s="609"/>
      <c r="CTZ26" s="609"/>
      <c r="CUA26" s="609"/>
      <c r="CUB26" s="609"/>
      <c r="CUC26" s="609"/>
      <c r="CUD26" s="609"/>
      <c r="CUE26" s="609"/>
      <c r="CUF26" s="609"/>
      <c r="CUG26" s="609"/>
      <c r="CUH26" s="609"/>
      <c r="CUI26" s="609"/>
      <c r="CUJ26" s="609"/>
      <c r="CUK26" s="609"/>
      <c r="CUL26" s="609"/>
      <c r="CUM26" s="609"/>
      <c r="CUN26" s="609"/>
      <c r="CUO26" s="609"/>
      <c r="CUP26" s="609"/>
      <c r="CUQ26" s="609"/>
      <c r="CUR26" s="609"/>
      <c r="CUS26" s="609"/>
      <c r="CUT26" s="609"/>
      <c r="CUU26" s="609"/>
      <c r="CUV26" s="609"/>
      <c r="CUW26" s="609"/>
      <c r="CUX26" s="609"/>
      <c r="CUY26" s="609"/>
      <c r="CUZ26" s="609"/>
      <c r="CVA26" s="609"/>
      <c r="CVB26" s="609"/>
      <c r="CVC26" s="609"/>
      <c r="CVD26" s="609"/>
      <c r="CVE26" s="609"/>
      <c r="CVF26" s="609"/>
      <c r="CVG26" s="609"/>
      <c r="CVH26" s="609"/>
      <c r="CVI26" s="609"/>
      <c r="CVJ26" s="609"/>
      <c r="CVK26" s="609"/>
      <c r="CVL26" s="609"/>
      <c r="CVM26" s="609"/>
      <c r="CVN26" s="609"/>
      <c r="CVO26" s="609"/>
      <c r="CVP26" s="609"/>
      <c r="CVQ26" s="609"/>
      <c r="CVR26" s="609"/>
      <c r="CVS26" s="609"/>
      <c r="CVT26" s="609"/>
      <c r="CVU26" s="609"/>
      <c r="CVV26" s="609"/>
      <c r="CVW26" s="609"/>
      <c r="CVX26" s="609"/>
      <c r="CVY26" s="609"/>
      <c r="CVZ26" s="609"/>
      <c r="CWA26" s="609"/>
      <c r="CWB26" s="609"/>
      <c r="CWC26" s="609"/>
      <c r="CWD26" s="609"/>
      <c r="CWE26" s="609"/>
      <c r="CWF26" s="609"/>
      <c r="CWG26" s="609"/>
      <c r="CWH26" s="609"/>
      <c r="CWI26" s="609"/>
      <c r="CWJ26" s="609"/>
      <c r="CWK26" s="609"/>
      <c r="CWL26" s="609"/>
      <c r="CWM26" s="609"/>
      <c r="CWN26" s="609"/>
      <c r="CWO26" s="609"/>
      <c r="CWP26" s="609"/>
      <c r="CWQ26" s="609"/>
      <c r="CWR26" s="609"/>
      <c r="CWS26" s="609"/>
      <c r="CWT26" s="609"/>
      <c r="CWU26" s="609"/>
      <c r="CWV26" s="609"/>
      <c r="CWW26" s="609"/>
      <c r="CWX26" s="609"/>
      <c r="CWY26" s="609"/>
      <c r="CWZ26" s="609"/>
      <c r="CXA26" s="609"/>
      <c r="CXB26" s="609"/>
      <c r="CXC26" s="609"/>
      <c r="CXD26" s="609"/>
      <c r="CXE26" s="609"/>
      <c r="CXF26" s="609"/>
      <c r="CXG26" s="609"/>
      <c r="CXH26" s="609"/>
      <c r="CXI26" s="609"/>
      <c r="CXJ26" s="609"/>
      <c r="CXK26" s="609"/>
      <c r="CXL26" s="609"/>
      <c r="CXM26" s="609"/>
      <c r="CXN26" s="609"/>
      <c r="CXO26" s="609"/>
      <c r="CXP26" s="609"/>
      <c r="CXQ26" s="609"/>
      <c r="CXR26" s="609"/>
      <c r="CXS26" s="609"/>
      <c r="CXT26" s="609"/>
      <c r="CXU26" s="609"/>
      <c r="CXV26" s="609"/>
      <c r="CXW26" s="609"/>
      <c r="CXX26" s="609"/>
      <c r="CXY26" s="609"/>
      <c r="CXZ26" s="609"/>
      <c r="CYA26" s="609"/>
      <c r="CYB26" s="609"/>
      <c r="CYC26" s="609"/>
      <c r="CYD26" s="609"/>
      <c r="CYE26" s="609"/>
      <c r="CYF26" s="609"/>
      <c r="CYG26" s="609"/>
      <c r="CYH26" s="609"/>
      <c r="CYI26" s="609"/>
      <c r="CYJ26" s="609"/>
      <c r="CYK26" s="609"/>
      <c r="CYL26" s="609"/>
      <c r="CYM26" s="609"/>
      <c r="CYN26" s="609"/>
      <c r="CYO26" s="609"/>
      <c r="CYP26" s="609"/>
      <c r="CYQ26" s="609"/>
      <c r="CYR26" s="609"/>
      <c r="CYS26" s="609"/>
      <c r="CYT26" s="609"/>
      <c r="CYU26" s="609"/>
      <c r="CYV26" s="609"/>
      <c r="CYW26" s="609"/>
      <c r="CYX26" s="609"/>
      <c r="CYY26" s="609"/>
      <c r="CYZ26" s="609"/>
      <c r="CZA26" s="609"/>
      <c r="CZB26" s="609"/>
      <c r="CZC26" s="609"/>
      <c r="CZD26" s="609"/>
      <c r="CZE26" s="609"/>
      <c r="CZF26" s="609"/>
      <c r="CZG26" s="609"/>
      <c r="CZH26" s="609"/>
      <c r="CZI26" s="609"/>
      <c r="CZJ26" s="609"/>
      <c r="CZK26" s="609"/>
      <c r="CZL26" s="609"/>
      <c r="CZM26" s="609"/>
      <c r="CZN26" s="609"/>
      <c r="CZO26" s="609"/>
      <c r="CZP26" s="609"/>
      <c r="CZQ26" s="609"/>
      <c r="CZR26" s="609"/>
      <c r="CZS26" s="609"/>
      <c r="CZT26" s="609"/>
      <c r="CZU26" s="609"/>
      <c r="CZV26" s="609"/>
      <c r="CZW26" s="609"/>
      <c r="CZX26" s="609"/>
      <c r="CZY26" s="609"/>
      <c r="CZZ26" s="609"/>
      <c r="DAA26" s="609"/>
      <c r="DAB26" s="609"/>
      <c r="DAC26" s="609"/>
      <c r="DAD26" s="609"/>
      <c r="DAE26" s="609"/>
      <c r="DAF26" s="609"/>
      <c r="DAG26" s="609"/>
      <c r="DAH26" s="609"/>
      <c r="DAI26" s="609"/>
      <c r="DAJ26" s="609"/>
      <c r="DAK26" s="609"/>
      <c r="DAL26" s="609"/>
      <c r="DAM26" s="609"/>
      <c r="DAN26" s="609"/>
      <c r="DAO26" s="609"/>
      <c r="DAP26" s="609"/>
      <c r="DAQ26" s="609"/>
      <c r="DAR26" s="609"/>
      <c r="DAS26" s="609"/>
      <c r="DAT26" s="609"/>
      <c r="DAU26" s="609"/>
      <c r="DAV26" s="609"/>
      <c r="DAW26" s="609"/>
      <c r="DAX26" s="609"/>
      <c r="DAY26" s="609"/>
      <c r="DAZ26" s="609"/>
      <c r="DBA26" s="609"/>
      <c r="DBB26" s="609"/>
      <c r="DBC26" s="609"/>
      <c r="DBD26" s="609"/>
      <c r="DBE26" s="609"/>
      <c r="DBF26" s="609"/>
      <c r="DBG26" s="609"/>
      <c r="DBH26" s="609"/>
      <c r="DBI26" s="609"/>
      <c r="DBJ26" s="609"/>
      <c r="DBK26" s="609"/>
      <c r="DBL26" s="609"/>
      <c r="DBM26" s="609"/>
      <c r="DBN26" s="609"/>
      <c r="DBO26" s="609"/>
      <c r="DBP26" s="609"/>
      <c r="DBQ26" s="609"/>
      <c r="DBR26" s="609"/>
      <c r="DBS26" s="609"/>
      <c r="DBT26" s="609"/>
      <c r="DBU26" s="609"/>
      <c r="DBV26" s="609"/>
      <c r="DBW26" s="609"/>
      <c r="DBX26" s="609"/>
      <c r="DBY26" s="609"/>
      <c r="DBZ26" s="609"/>
      <c r="DCA26" s="609"/>
      <c r="DCB26" s="609"/>
      <c r="DCC26" s="609"/>
      <c r="DCD26" s="609"/>
      <c r="DCE26" s="609"/>
      <c r="DCF26" s="609"/>
      <c r="DCG26" s="609"/>
      <c r="DCH26" s="609"/>
      <c r="DCI26" s="609"/>
      <c r="DCJ26" s="609"/>
      <c r="DCK26" s="609"/>
      <c r="DCL26" s="609"/>
      <c r="DCM26" s="609"/>
      <c r="DCN26" s="609"/>
      <c r="DCO26" s="609"/>
      <c r="DCP26" s="609"/>
      <c r="DCQ26" s="609"/>
      <c r="DCR26" s="609"/>
      <c r="DCS26" s="609"/>
      <c r="DCT26" s="609"/>
      <c r="DCU26" s="609"/>
      <c r="DCV26" s="609"/>
      <c r="DCW26" s="609"/>
      <c r="DCX26" s="609"/>
      <c r="DCY26" s="609"/>
      <c r="DCZ26" s="609"/>
      <c r="DDA26" s="609"/>
      <c r="DDB26" s="609"/>
      <c r="DDC26" s="609"/>
      <c r="DDD26" s="609"/>
      <c r="DDE26" s="609"/>
      <c r="DDF26" s="609"/>
      <c r="DDG26" s="609"/>
      <c r="DDH26" s="609"/>
      <c r="DDI26" s="609"/>
      <c r="DDJ26" s="609"/>
      <c r="DDK26" s="609"/>
      <c r="DDL26" s="609"/>
      <c r="DDM26" s="609"/>
      <c r="DDN26" s="609"/>
      <c r="DDO26" s="609"/>
      <c r="DDP26" s="609"/>
      <c r="DDQ26" s="609"/>
      <c r="DDR26" s="609"/>
      <c r="DDS26" s="609"/>
      <c r="DDT26" s="609"/>
      <c r="DDU26" s="609"/>
      <c r="DDV26" s="609"/>
      <c r="DDW26" s="609"/>
      <c r="DDX26" s="609"/>
      <c r="DDY26" s="609"/>
      <c r="DDZ26" s="609"/>
      <c r="DEA26" s="609"/>
      <c r="DEB26" s="609"/>
      <c r="DEC26" s="609"/>
      <c r="DED26" s="609"/>
      <c r="DEE26" s="609"/>
      <c r="DEF26" s="609"/>
      <c r="DEG26" s="609"/>
      <c r="DEH26" s="609"/>
      <c r="DEI26" s="609"/>
      <c r="DEJ26" s="609"/>
      <c r="DEK26" s="609"/>
      <c r="DEL26" s="609"/>
      <c r="DEM26" s="609"/>
      <c r="DEN26" s="609"/>
      <c r="DEO26" s="609"/>
      <c r="DEP26" s="609"/>
      <c r="DEQ26" s="609"/>
      <c r="DER26" s="609"/>
      <c r="DES26" s="609"/>
      <c r="DET26" s="609"/>
      <c r="DEU26" s="609"/>
      <c r="DEV26" s="609"/>
      <c r="DEW26" s="609"/>
      <c r="DEX26" s="609"/>
      <c r="DEY26" s="609"/>
      <c r="DEZ26" s="609"/>
      <c r="DFA26" s="609"/>
      <c r="DFB26" s="609"/>
      <c r="DFC26" s="609"/>
      <c r="DFD26" s="609"/>
      <c r="DFE26" s="609"/>
      <c r="DFF26" s="609"/>
      <c r="DFG26" s="609"/>
      <c r="DFH26" s="609"/>
      <c r="DFI26" s="609"/>
      <c r="DFJ26" s="609"/>
      <c r="DFK26" s="609"/>
      <c r="DFL26" s="609"/>
      <c r="DFM26" s="609"/>
      <c r="DFN26" s="609"/>
      <c r="DFO26" s="609"/>
      <c r="DFP26" s="609"/>
      <c r="DFQ26" s="609"/>
      <c r="DFR26" s="609"/>
      <c r="DFS26" s="609"/>
      <c r="DFT26" s="609"/>
      <c r="DFU26" s="609"/>
      <c r="DFV26" s="609"/>
      <c r="DFW26" s="609"/>
      <c r="DFX26" s="609"/>
      <c r="DFY26" s="609"/>
      <c r="DFZ26" s="609"/>
      <c r="DGA26" s="609"/>
      <c r="DGB26" s="609"/>
      <c r="DGC26" s="609"/>
      <c r="DGD26" s="609"/>
      <c r="DGE26" s="609"/>
      <c r="DGF26" s="609"/>
      <c r="DGG26" s="609"/>
      <c r="DGH26" s="609"/>
      <c r="DGI26" s="609"/>
      <c r="DGJ26" s="609"/>
      <c r="DGK26" s="609"/>
      <c r="DGL26" s="609"/>
      <c r="DGM26" s="609"/>
      <c r="DGN26" s="609"/>
      <c r="DGO26" s="609"/>
      <c r="DGP26" s="609"/>
      <c r="DGQ26" s="609"/>
      <c r="DGR26" s="609"/>
      <c r="DGS26" s="609"/>
      <c r="DGT26" s="609"/>
      <c r="DGU26" s="609"/>
      <c r="DGV26" s="609"/>
      <c r="DGW26" s="609"/>
      <c r="DGX26" s="609"/>
      <c r="DGY26" s="609"/>
      <c r="DGZ26" s="609"/>
      <c r="DHA26" s="609"/>
      <c r="DHB26" s="609"/>
      <c r="DHC26" s="609"/>
      <c r="DHD26" s="609"/>
      <c r="DHE26" s="609"/>
      <c r="DHF26" s="609"/>
      <c r="DHG26" s="609"/>
      <c r="DHH26" s="609"/>
      <c r="DHI26" s="609"/>
      <c r="DHJ26" s="609"/>
      <c r="DHK26" s="609"/>
      <c r="DHL26" s="609"/>
      <c r="DHM26" s="609"/>
      <c r="DHN26" s="609"/>
      <c r="DHO26" s="609"/>
      <c r="DHP26" s="609"/>
      <c r="DHQ26" s="609"/>
      <c r="DHR26" s="609"/>
      <c r="DHS26" s="609"/>
      <c r="DHT26" s="609"/>
      <c r="DHU26" s="609"/>
      <c r="DHV26" s="609"/>
      <c r="DHW26" s="609"/>
      <c r="DHX26" s="609"/>
      <c r="DHY26" s="609"/>
      <c r="DHZ26" s="609"/>
      <c r="DIA26" s="609"/>
      <c r="DIB26" s="609"/>
      <c r="DIC26" s="609"/>
      <c r="DID26" s="609"/>
      <c r="DIE26" s="609"/>
      <c r="DIF26" s="609"/>
      <c r="DIG26" s="609"/>
      <c r="DIH26" s="609"/>
      <c r="DII26" s="609"/>
      <c r="DIJ26" s="609"/>
      <c r="DIK26" s="609"/>
      <c r="DIL26" s="609"/>
      <c r="DIM26" s="609"/>
      <c r="DIN26" s="609"/>
      <c r="DIO26" s="609"/>
      <c r="DIP26" s="609"/>
      <c r="DIQ26" s="609"/>
      <c r="DIR26" s="609"/>
      <c r="DIS26" s="609"/>
      <c r="DIT26" s="609"/>
      <c r="DIU26" s="609"/>
      <c r="DIV26" s="609"/>
      <c r="DIW26" s="609"/>
      <c r="DIX26" s="609"/>
      <c r="DIY26" s="609"/>
      <c r="DIZ26" s="609"/>
      <c r="DJA26" s="609"/>
      <c r="DJB26" s="609"/>
      <c r="DJC26" s="609"/>
      <c r="DJD26" s="609"/>
      <c r="DJE26" s="609"/>
      <c r="DJF26" s="609"/>
      <c r="DJG26" s="609"/>
      <c r="DJH26" s="609"/>
      <c r="DJI26" s="609"/>
      <c r="DJJ26" s="609"/>
      <c r="DJK26" s="609"/>
      <c r="DJL26" s="609"/>
      <c r="DJM26" s="609"/>
      <c r="DJN26" s="609"/>
      <c r="DJO26" s="609"/>
      <c r="DJP26" s="609"/>
      <c r="DJQ26" s="609"/>
      <c r="DJR26" s="609"/>
      <c r="DJS26" s="609"/>
      <c r="DJT26" s="609"/>
      <c r="DJU26" s="609"/>
      <c r="DJV26" s="609"/>
      <c r="DJW26" s="609"/>
      <c r="DJX26" s="609"/>
      <c r="DJY26" s="609"/>
      <c r="DJZ26" s="609"/>
      <c r="DKA26" s="609"/>
      <c r="DKB26" s="609"/>
      <c r="DKC26" s="609"/>
      <c r="DKD26" s="609"/>
      <c r="DKE26" s="609"/>
      <c r="DKF26" s="609"/>
      <c r="DKG26" s="609"/>
      <c r="DKH26" s="609"/>
      <c r="DKI26" s="609"/>
      <c r="DKJ26" s="609"/>
      <c r="DKK26" s="609"/>
      <c r="DKL26" s="609"/>
      <c r="DKM26" s="609"/>
      <c r="DKN26" s="609"/>
      <c r="DKO26" s="609"/>
      <c r="DKP26" s="609"/>
      <c r="DKQ26" s="609"/>
      <c r="DKR26" s="609"/>
      <c r="DKS26" s="609"/>
      <c r="DKT26" s="609"/>
      <c r="DKU26" s="609"/>
      <c r="DKV26" s="609"/>
      <c r="DKW26" s="609"/>
      <c r="DKX26" s="609"/>
      <c r="DKY26" s="609"/>
      <c r="DKZ26" s="609"/>
      <c r="DLA26" s="609"/>
      <c r="DLB26" s="609"/>
      <c r="DLC26" s="609"/>
      <c r="DLD26" s="609"/>
      <c r="DLE26" s="609"/>
      <c r="DLF26" s="609"/>
      <c r="DLG26" s="609"/>
      <c r="DLH26" s="609"/>
      <c r="DLI26" s="609"/>
      <c r="DLJ26" s="609"/>
      <c r="DLK26" s="609"/>
      <c r="DLL26" s="609"/>
      <c r="DLM26" s="609"/>
      <c r="DLN26" s="609"/>
      <c r="DLO26" s="609"/>
      <c r="DLP26" s="609"/>
      <c r="DLQ26" s="609"/>
      <c r="DLR26" s="609"/>
      <c r="DLS26" s="609"/>
      <c r="DLT26" s="609"/>
      <c r="DLU26" s="609"/>
      <c r="DLV26" s="609"/>
      <c r="DLW26" s="609"/>
      <c r="DLX26" s="609"/>
      <c r="DLY26" s="609"/>
      <c r="DLZ26" s="609"/>
      <c r="DMA26" s="609"/>
      <c r="DMB26" s="609"/>
      <c r="DMC26" s="609"/>
      <c r="DMD26" s="609"/>
      <c r="DME26" s="609"/>
      <c r="DMF26" s="609"/>
      <c r="DMG26" s="609"/>
      <c r="DMH26" s="609"/>
      <c r="DMI26" s="609"/>
      <c r="DMJ26" s="609"/>
      <c r="DMK26" s="609"/>
      <c r="DML26" s="609"/>
      <c r="DMM26" s="609"/>
      <c r="DMN26" s="609"/>
      <c r="DMO26" s="609"/>
      <c r="DMP26" s="609"/>
      <c r="DMQ26" s="609"/>
      <c r="DMR26" s="609"/>
      <c r="DMS26" s="609"/>
      <c r="DMT26" s="609"/>
      <c r="DMU26" s="609"/>
      <c r="DMV26" s="609"/>
      <c r="DMW26" s="609"/>
      <c r="DMX26" s="609"/>
      <c r="DMY26" s="609"/>
      <c r="DMZ26" s="609"/>
      <c r="DNA26" s="609"/>
      <c r="DNB26" s="609"/>
      <c r="DNC26" s="609"/>
      <c r="DND26" s="609"/>
      <c r="DNE26" s="609"/>
      <c r="DNF26" s="609"/>
      <c r="DNG26" s="609"/>
      <c r="DNH26" s="609"/>
      <c r="DNI26" s="609"/>
      <c r="DNJ26" s="609"/>
      <c r="DNK26" s="609"/>
      <c r="DNL26" s="609"/>
      <c r="DNM26" s="609"/>
      <c r="DNN26" s="609"/>
      <c r="DNO26" s="609"/>
      <c r="DNP26" s="609"/>
      <c r="DNQ26" s="609"/>
      <c r="DNR26" s="609"/>
      <c r="DNS26" s="609"/>
      <c r="DNT26" s="609"/>
      <c r="DNU26" s="609"/>
      <c r="DNV26" s="609"/>
      <c r="DNW26" s="609"/>
      <c r="DNX26" s="609"/>
      <c r="DNY26" s="609"/>
      <c r="DNZ26" s="609"/>
      <c r="DOA26" s="609"/>
      <c r="DOB26" s="609"/>
      <c r="DOC26" s="609"/>
      <c r="DOD26" s="609"/>
      <c r="DOE26" s="609"/>
      <c r="DOF26" s="609"/>
      <c r="DOG26" s="609"/>
      <c r="DOH26" s="609"/>
      <c r="DOI26" s="609"/>
      <c r="DOJ26" s="609"/>
      <c r="DOK26" s="609"/>
      <c r="DOL26" s="609"/>
      <c r="DOM26" s="609"/>
      <c r="DON26" s="609"/>
      <c r="DOO26" s="609"/>
      <c r="DOP26" s="609"/>
      <c r="DOQ26" s="609"/>
      <c r="DOR26" s="609"/>
      <c r="DOS26" s="609"/>
      <c r="DOT26" s="609"/>
      <c r="DOU26" s="609"/>
      <c r="DOV26" s="609"/>
      <c r="DOW26" s="609"/>
      <c r="DOX26" s="609"/>
      <c r="DOY26" s="609"/>
      <c r="DOZ26" s="609"/>
      <c r="DPA26" s="609"/>
      <c r="DPB26" s="609"/>
      <c r="DPC26" s="609"/>
      <c r="DPD26" s="609"/>
      <c r="DPE26" s="609"/>
      <c r="DPF26" s="609"/>
      <c r="DPG26" s="609"/>
      <c r="DPH26" s="609"/>
      <c r="DPI26" s="609"/>
      <c r="DPJ26" s="609"/>
      <c r="DPK26" s="609"/>
      <c r="DPL26" s="609"/>
      <c r="DPM26" s="609"/>
      <c r="DPN26" s="609"/>
      <c r="DPO26" s="609"/>
      <c r="DPP26" s="609"/>
      <c r="DPQ26" s="609"/>
      <c r="DPR26" s="609"/>
      <c r="DPS26" s="609"/>
      <c r="DPT26" s="609"/>
      <c r="DPU26" s="609"/>
      <c r="DPV26" s="609"/>
      <c r="DPW26" s="609"/>
      <c r="DPX26" s="609"/>
      <c r="DPY26" s="609"/>
      <c r="DPZ26" s="609"/>
      <c r="DQA26" s="609"/>
      <c r="DQB26" s="609"/>
      <c r="DQC26" s="609"/>
      <c r="DQD26" s="609"/>
      <c r="DQE26" s="609"/>
      <c r="DQF26" s="609"/>
      <c r="DQG26" s="609"/>
      <c r="DQH26" s="609"/>
      <c r="DQI26" s="609"/>
      <c r="DQJ26" s="609"/>
      <c r="DQK26" s="609"/>
      <c r="DQL26" s="609"/>
      <c r="DQM26" s="609"/>
      <c r="DQN26" s="609"/>
      <c r="DQO26" s="609"/>
      <c r="DQP26" s="609"/>
      <c r="DQQ26" s="609"/>
      <c r="DQR26" s="609"/>
      <c r="DQS26" s="609"/>
      <c r="DQT26" s="609"/>
      <c r="DQU26" s="609"/>
      <c r="DQV26" s="609"/>
      <c r="DQW26" s="609"/>
      <c r="DQX26" s="609"/>
      <c r="DQY26" s="609"/>
      <c r="DQZ26" s="609"/>
      <c r="DRA26" s="609"/>
      <c r="DRB26" s="609"/>
      <c r="DRC26" s="609"/>
      <c r="DRD26" s="609"/>
      <c r="DRE26" s="609"/>
      <c r="DRF26" s="609"/>
      <c r="DRG26" s="609"/>
      <c r="DRH26" s="609"/>
      <c r="DRI26" s="609"/>
      <c r="DRJ26" s="609"/>
      <c r="DRK26" s="609"/>
      <c r="DRL26" s="609"/>
      <c r="DRM26" s="609"/>
      <c r="DRN26" s="609"/>
      <c r="DRO26" s="609"/>
      <c r="DRP26" s="609"/>
      <c r="DRQ26" s="609"/>
      <c r="DRR26" s="609"/>
      <c r="DRS26" s="609"/>
      <c r="DRT26" s="609"/>
      <c r="DRU26" s="609"/>
      <c r="DRV26" s="609"/>
      <c r="DRW26" s="609"/>
      <c r="DRX26" s="609"/>
      <c r="DRY26" s="609"/>
      <c r="DRZ26" s="609"/>
      <c r="DSA26" s="609"/>
      <c r="DSB26" s="609"/>
      <c r="DSC26" s="609"/>
      <c r="DSD26" s="609"/>
      <c r="DSE26" s="609"/>
      <c r="DSF26" s="609"/>
      <c r="DSG26" s="609"/>
      <c r="DSH26" s="609"/>
      <c r="DSI26" s="609"/>
      <c r="DSJ26" s="609"/>
      <c r="DSK26" s="609"/>
      <c r="DSL26" s="609"/>
      <c r="DSM26" s="609"/>
      <c r="DSN26" s="609"/>
      <c r="DSO26" s="609"/>
      <c r="DSP26" s="609"/>
      <c r="DSQ26" s="609"/>
      <c r="DSR26" s="609"/>
      <c r="DSS26" s="609"/>
      <c r="DST26" s="609"/>
      <c r="DSU26" s="609"/>
      <c r="DSV26" s="609"/>
      <c r="DSW26" s="609"/>
      <c r="DSX26" s="609"/>
      <c r="DSY26" s="609"/>
      <c r="DSZ26" s="609"/>
      <c r="DTA26" s="609"/>
      <c r="DTB26" s="609"/>
      <c r="DTC26" s="609"/>
      <c r="DTD26" s="609"/>
      <c r="DTE26" s="609"/>
      <c r="DTF26" s="609"/>
      <c r="DTG26" s="609"/>
      <c r="DTH26" s="609"/>
      <c r="DTI26" s="609"/>
      <c r="DTJ26" s="609"/>
      <c r="DTK26" s="609"/>
      <c r="DTL26" s="609"/>
      <c r="DTM26" s="609"/>
      <c r="DTN26" s="609"/>
      <c r="DTO26" s="609"/>
      <c r="DTP26" s="609"/>
      <c r="DTQ26" s="609"/>
      <c r="DTR26" s="609"/>
      <c r="DTS26" s="609"/>
      <c r="DTT26" s="609"/>
      <c r="DTU26" s="609"/>
      <c r="DTV26" s="609"/>
      <c r="DTW26" s="609"/>
      <c r="DTX26" s="609"/>
      <c r="DTY26" s="609"/>
      <c r="DTZ26" s="609"/>
      <c r="DUA26" s="609"/>
      <c r="DUB26" s="609"/>
      <c r="DUC26" s="609"/>
      <c r="DUD26" s="609"/>
      <c r="DUE26" s="609"/>
      <c r="DUF26" s="609"/>
      <c r="DUG26" s="609"/>
      <c r="DUH26" s="609"/>
      <c r="DUI26" s="609"/>
      <c r="DUJ26" s="609"/>
      <c r="DUK26" s="609"/>
      <c r="DUL26" s="609"/>
      <c r="DUM26" s="609"/>
      <c r="DUN26" s="609"/>
      <c r="DUO26" s="609"/>
      <c r="DUP26" s="609"/>
      <c r="DUQ26" s="609"/>
      <c r="DUR26" s="609"/>
      <c r="DUS26" s="609"/>
      <c r="DUT26" s="609"/>
      <c r="DUU26" s="609"/>
      <c r="DUV26" s="609"/>
      <c r="DUW26" s="609"/>
      <c r="DUX26" s="609"/>
      <c r="DUY26" s="609"/>
      <c r="DUZ26" s="609"/>
      <c r="DVA26" s="609"/>
      <c r="DVB26" s="609"/>
      <c r="DVC26" s="609"/>
      <c r="DVD26" s="609"/>
      <c r="DVE26" s="609"/>
      <c r="DVF26" s="609"/>
      <c r="DVG26" s="609"/>
      <c r="DVH26" s="609"/>
      <c r="DVI26" s="609"/>
      <c r="DVJ26" s="609"/>
      <c r="DVK26" s="609"/>
      <c r="DVL26" s="609"/>
      <c r="DVM26" s="609"/>
      <c r="DVN26" s="609"/>
      <c r="DVO26" s="609"/>
      <c r="DVP26" s="609"/>
      <c r="DVQ26" s="609"/>
      <c r="DVR26" s="609"/>
      <c r="DVS26" s="609"/>
      <c r="DVT26" s="609"/>
      <c r="DVU26" s="609"/>
      <c r="DVV26" s="609"/>
      <c r="DVW26" s="609"/>
      <c r="DVX26" s="609"/>
      <c r="DVY26" s="609"/>
      <c r="DVZ26" s="609"/>
      <c r="DWA26" s="609"/>
      <c r="DWB26" s="609"/>
      <c r="DWC26" s="609"/>
      <c r="DWD26" s="609"/>
      <c r="DWE26" s="609"/>
      <c r="DWF26" s="609"/>
      <c r="DWG26" s="609"/>
      <c r="DWH26" s="609"/>
      <c r="DWI26" s="609"/>
      <c r="DWJ26" s="609"/>
      <c r="DWK26" s="609"/>
      <c r="DWL26" s="609"/>
      <c r="DWM26" s="609"/>
      <c r="DWN26" s="609"/>
      <c r="DWO26" s="609"/>
      <c r="DWP26" s="609"/>
      <c r="DWQ26" s="609"/>
      <c r="DWR26" s="609"/>
      <c r="DWS26" s="609"/>
      <c r="DWT26" s="609"/>
      <c r="DWU26" s="609"/>
      <c r="DWV26" s="609"/>
      <c r="DWW26" s="609"/>
      <c r="DWX26" s="609"/>
      <c r="DWY26" s="609"/>
      <c r="DWZ26" s="609"/>
      <c r="DXA26" s="609"/>
      <c r="DXB26" s="609"/>
      <c r="DXC26" s="609"/>
      <c r="DXD26" s="609"/>
      <c r="DXE26" s="609"/>
      <c r="DXF26" s="609"/>
      <c r="DXG26" s="609"/>
      <c r="DXH26" s="609"/>
      <c r="DXI26" s="609"/>
      <c r="DXJ26" s="609"/>
      <c r="DXK26" s="609"/>
      <c r="DXL26" s="609"/>
      <c r="DXM26" s="609"/>
      <c r="DXN26" s="609"/>
      <c r="DXO26" s="609"/>
      <c r="DXP26" s="609"/>
      <c r="DXQ26" s="609"/>
      <c r="DXR26" s="609"/>
      <c r="DXS26" s="609"/>
      <c r="DXT26" s="609"/>
      <c r="DXU26" s="609"/>
      <c r="DXV26" s="609"/>
      <c r="DXW26" s="609"/>
      <c r="DXX26" s="609"/>
      <c r="DXY26" s="609"/>
      <c r="DXZ26" s="609"/>
      <c r="DYA26" s="609"/>
      <c r="DYB26" s="609"/>
      <c r="DYC26" s="609"/>
      <c r="DYD26" s="609"/>
      <c r="DYE26" s="609"/>
      <c r="DYF26" s="609"/>
      <c r="DYG26" s="609"/>
      <c r="DYH26" s="609"/>
      <c r="DYI26" s="609"/>
      <c r="DYJ26" s="609"/>
      <c r="DYK26" s="609"/>
      <c r="DYL26" s="609"/>
      <c r="DYM26" s="609"/>
      <c r="DYN26" s="609"/>
      <c r="DYO26" s="609"/>
      <c r="DYP26" s="609"/>
      <c r="DYQ26" s="609"/>
      <c r="DYR26" s="609"/>
      <c r="DYS26" s="609"/>
      <c r="DYT26" s="609"/>
      <c r="DYU26" s="609"/>
      <c r="DYV26" s="609"/>
      <c r="DYW26" s="609"/>
      <c r="DYX26" s="609"/>
      <c r="DYY26" s="609"/>
      <c r="DYZ26" s="609"/>
      <c r="DZA26" s="609"/>
      <c r="DZB26" s="609"/>
      <c r="DZC26" s="609"/>
      <c r="DZD26" s="609"/>
      <c r="DZE26" s="609"/>
      <c r="DZF26" s="609"/>
      <c r="DZG26" s="609"/>
      <c r="DZH26" s="609"/>
      <c r="DZI26" s="609"/>
      <c r="DZJ26" s="609"/>
      <c r="DZK26" s="609"/>
      <c r="DZL26" s="609"/>
      <c r="DZM26" s="609"/>
      <c r="DZN26" s="609"/>
      <c r="DZO26" s="609"/>
      <c r="DZP26" s="609"/>
      <c r="DZQ26" s="609"/>
      <c r="DZR26" s="609"/>
      <c r="DZS26" s="609"/>
      <c r="DZT26" s="609"/>
      <c r="DZU26" s="609"/>
      <c r="DZV26" s="609"/>
      <c r="DZW26" s="609"/>
      <c r="DZX26" s="609"/>
      <c r="DZY26" s="609"/>
      <c r="DZZ26" s="609"/>
      <c r="EAA26" s="609"/>
      <c r="EAB26" s="609"/>
      <c r="EAC26" s="609"/>
      <c r="EAD26" s="609"/>
      <c r="EAE26" s="609"/>
      <c r="EAF26" s="609"/>
      <c r="EAG26" s="609"/>
      <c r="EAH26" s="609"/>
      <c r="EAI26" s="609"/>
      <c r="EAJ26" s="609"/>
      <c r="EAK26" s="609"/>
      <c r="EAL26" s="609"/>
      <c r="EAM26" s="609"/>
      <c r="EAN26" s="609"/>
      <c r="EAO26" s="609"/>
      <c r="EAP26" s="609"/>
      <c r="EAQ26" s="609"/>
      <c r="EAR26" s="609"/>
      <c r="EAS26" s="609"/>
      <c r="EAT26" s="609"/>
      <c r="EAU26" s="609"/>
      <c r="EAV26" s="609"/>
      <c r="EAW26" s="609"/>
      <c r="EAX26" s="609"/>
      <c r="EAY26" s="609"/>
      <c r="EAZ26" s="609"/>
      <c r="EBA26" s="609"/>
      <c r="EBB26" s="609"/>
      <c r="EBC26" s="609"/>
      <c r="EBD26" s="609"/>
      <c r="EBE26" s="609"/>
      <c r="EBF26" s="609"/>
      <c r="EBG26" s="609"/>
      <c r="EBH26" s="609"/>
      <c r="EBI26" s="609"/>
      <c r="EBJ26" s="609"/>
      <c r="EBK26" s="609"/>
      <c r="EBL26" s="609"/>
      <c r="EBM26" s="609"/>
      <c r="EBN26" s="609"/>
      <c r="EBO26" s="609"/>
      <c r="EBP26" s="609"/>
      <c r="EBQ26" s="609"/>
      <c r="EBR26" s="609"/>
      <c r="EBS26" s="609"/>
      <c r="EBT26" s="609"/>
      <c r="EBU26" s="609"/>
      <c r="EBV26" s="609"/>
      <c r="EBW26" s="609"/>
      <c r="EBX26" s="609"/>
      <c r="EBY26" s="609"/>
      <c r="EBZ26" s="609"/>
      <c r="ECA26" s="609"/>
      <c r="ECB26" s="609"/>
      <c r="ECC26" s="609"/>
      <c r="ECD26" s="609"/>
      <c r="ECE26" s="609"/>
      <c r="ECF26" s="609"/>
      <c r="ECG26" s="609"/>
      <c r="ECH26" s="609"/>
      <c r="ECI26" s="609"/>
      <c r="ECJ26" s="609"/>
      <c r="ECK26" s="609"/>
      <c r="ECL26" s="609"/>
      <c r="ECM26" s="609"/>
      <c r="ECN26" s="609"/>
      <c r="ECO26" s="609"/>
      <c r="ECP26" s="609"/>
      <c r="ECQ26" s="609"/>
      <c r="ECR26" s="609"/>
      <c r="ECS26" s="609"/>
      <c r="ECT26" s="609"/>
      <c r="ECU26" s="609"/>
      <c r="ECV26" s="609"/>
      <c r="ECW26" s="609"/>
      <c r="ECX26" s="609"/>
      <c r="ECY26" s="609"/>
      <c r="ECZ26" s="609"/>
      <c r="EDA26" s="609"/>
      <c r="EDB26" s="609"/>
      <c r="EDC26" s="609"/>
      <c r="EDD26" s="609"/>
      <c r="EDE26" s="609"/>
      <c r="EDF26" s="609"/>
      <c r="EDG26" s="609"/>
      <c r="EDH26" s="609"/>
      <c r="EDI26" s="609"/>
      <c r="EDJ26" s="609"/>
      <c r="EDK26" s="609"/>
      <c r="EDL26" s="609"/>
      <c r="EDM26" s="609"/>
      <c r="EDN26" s="609"/>
      <c r="EDO26" s="609"/>
      <c r="EDP26" s="609"/>
      <c r="EDQ26" s="609"/>
      <c r="EDR26" s="609"/>
      <c r="EDS26" s="609"/>
      <c r="EDT26" s="609"/>
      <c r="EDU26" s="609"/>
      <c r="EDV26" s="609"/>
      <c r="EDW26" s="609"/>
      <c r="EDX26" s="609"/>
      <c r="EDY26" s="609"/>
      <c r="EDZ26" s="609"/>
      <c r="EEA26" s="609"/>
      <c r="EEB26" s="609"/>
      <c r="EEC26" s="609"/>
      <c r="EED26" s="609"/>
      <c r="EEE26" s="609"/>
      <c r="EEF26" s="609"/>
      <c r="EEG26" s="609"/>
      <c r="EEH26" s="609"/>
      <c r="EEI26" s="609"/>
      <c r="EEJ26" s="609"/>
      <c r="EEK26" s="609"/>
      <c r="EEL26" s="609"/>
      <c r="EEM26" s="609"/>
      <c r="EEN26" s="609"/>
      <c r="EEO26" s="609"/>
      <c r="EEP26" s="609"/>
      <c r="EEQ26" s="609"/>
      <c r="EER26" s="609"/>
      <c r="EES26" s="609"/>
      <c r="EET26" s="609"/>
      <c r="EEU26" s="609"/>
      <c r="EEV26" s="609"/>
      <c r="EEW26" s="609"/>
      <c r="EEX26" s="609"/>
      <c r="EEY26" s="609"/>
      <c r="EEZ26" s="609"/>
      <c r="EFA26" s="609"/>
      <c r="EFB26" s="609"/>
      <c r="EFC26" s="609"/>
      <c r="EFD26" s="609"/>
      <c r="EFE26" s="609"/>
      <c r="EFF26" s="609"/>
      <c r="EFG26" s="609"/>
      <c r="EFH26" s="609"/>
      <c r="EFI26" s="609"/>
      <c r="EFJ26" s="609"/>
      <c r="EFK26" s="609"/>
      <c r="EFL26" s="609"/>
      <c r="EFM26" s="609"/>
      <c r="EFN26" s="609"/>
      <c r="EFO26" s="609"/>
      <c r="EFP26" s="609"/>
      <c r="EFQ26" s="609"/>
      <c r="EFR26" s="609"/>
      <c r="EFS26" s="609"/>
      <c r="EFT26" s="609"/>
      <c r="EFU26" s="609"/>
      <c r="EFV26" s="609"/>
      <c r="EFW26" s="609"/>
      <c r="EFX26" s="609"/>
      <c r="EFY26" s="609"/>
      <c r="EFZ26" s="609"/>
      <c r="EGA26" s="609"/>
      <c r="EGB26" s="609"/>
      <c r="EGC26" s="609"/>
      <c r="EGD26" s="609"/>
      <c r="EGE26" s="609"/>
      <c r="EGF26" s="609"/>
      <c r="EGG26" s="609"/>
      <c r="EGH26" s="609"/>
      <c r="EGI26" s="609"/>
      <c r="EGJ26" s="609"/>
      <c r="EGK26" s="609"/>
      <c r="EGL26" s="609"/>
      <c r="EGM26" s="609"/>
      <c r="EGN26" s="609"/>
      <c r="EGO26" s="609"/>
      <c r="EGP26" s="609"/>
      <c r="EGQ26" s="609"/>
      <c r="EGR26" s="609"/>
      <c r="EGS26" s="609"/>
      <c r="EGT26" s="609"/>
      <c r="EGU26" s="609"/>
      <c r="EGV26" s="609"/>
      <c r="EGW26" s="609"/>
      <c r="EGX26" s="609"/>
      <c r="EGY26" s="609"/>
      <c r="EGZ26" s="609"/>
      <c r="EHA26" s="609"/>
      <c r="EHB26" s="609"/>
      <c r="EHC26" s="609"/>
      <c r="EHD26" s="609"/>
      <c r="EHE26" s="609"/>
      <c r="EHF26" s="609"/>
      <c r="EHG26" s="609"/>
      <c r="EHH26" s="609"/>
      <c r="EHI26" s="609"/>
      <c r="EHJ26" s="609"/>
      <c r="EHK26" s="609"/>
      <c r="EHL26" s="609"/>
      <c r="EHM26" s="609"/>
      <c r="EHN26" s="609"/>
      <c r="EHO26" s="609"/>
      <c r="EHP26" s="609"/>
      <c r="EHQ26" s="609"/>
      <c r="EHR26" s="609"/>
      <c r="EHS26" s="609"/>
      <c r="EHT26" s="609"/>
      <c r="EHU26" s="609"/>
      <c r="EHV26" s="609"/>
      <c r="EHW26" s="609"/>
      <c r="EHX26" s="609"/>
      <c r="EHY26" s="609"/>
      <c r="EHZ26" s="609"/>
      <c r="EIA26" s="609"/>
      <c r="EIB26" s="609"/>
      <c r="EIC26" s="609"/>
      <c r="EID26" s="609"/>
      <c r="EIE26" s="609"/>
      <c r="EIF26" s="609"/>
      <c r="EIG26" s="609"/>
      <c r="EIH26" s="609"/>
      <c r="EII26" s="609"/>
      <c r="EIJ26" s="609"/>
      <c r="EIK26" s="609"/>
      <c r="EIL26" s="609"/>
      <c r="EIM26" s="609"/>
      <c r="EIN26" s="609"/>
      <c r="EIO26" s="609"/>
      <c r="EIP26" s="609"/>
      <c r="EIQ26" s="609"/>
      <c r="EIR26" s="609"/>
      <c r="EIS26" s="609"/>
      <c r="EIT26" s="609"/>
      <c r="EIU26" s="609"/>
      <c r="EIV26" s="609"/>
      <c r="EIW26" s="609"/>
      <c r="EIX26" s="609"/>
      <c r="EIY26" s="609"/>
      <c r="EIZ26" s="609"/>
      <c r="EJA26" s="609"/>
      <c r="EJB26" s="609"/>
      <c r="EJC26" s="609"/>
      <c r="EJD26" s="609"/>
      <c r="EJE26" s="609"/>
      <c r="EJF26" s="609"/>
      <c r="EJG26" s="609"/>
      <c r="EJH26" s="609"/>
      <c r="EJI26" s="609"/>
      <c r="EJJ26" s="609"/>
      <c r="EJK26" s="609"/>
      <c r="EJL26" s="609"/>
      <c r="EJM26" s="609"/>
      <c r="EJN26" s="609"/>
      <c r="EJO26" s="609"/>
      <c r="EJP26" s="609"/>
      <c r="EJQ26" s="609"/>
      <c r="EJR26" s="609"/>
      <c r="EJS26" s="609"/>
      <c r="EJT26" s="609"/>
      <c r="EJU26" s="609"/>
      <c r="EJV26" s="609"/>
      <c r="EJW26" s="609"/>
      <c r="EJX26" s="609"/>
      <c r="EJY26" s="609"/>
      <c r="EJZ26" s="609"/>
      <c r="EKA26" s="609"/>
      <c r="EKB26" s="609"/>
      <c r="EKC26" s="609"/>
      <c r="EKD26" s="609"/>
      <c r="EKE26" s="609"/>
      <c r="EKF26" s="609"/>
      <c r="EKG26" s="609"/>
      <c r="EKH26" s="609"/>
      <c r="EKI26" s="609"/>
      <c r="EKJ26" s="609"/>
      <c r="EKK26" s="609"/>
      <c r="EKL26" s="609"/>
      <c r="EKM26" s="609"/>
      <c r="EKN26" s="609"/>
      <c r="EKO26" s="609"/>
      <c r="EKP26" s="609"/>
      <c r="EKQ26" s="609"/>
      <c r="EKR26" s="609"/>
      <c r="EKS26" s="609"/>
      <c r="EKT26" s="609"/>
      <c r="EKU26" s="609"/>
      <c r="EKV26" s="609"/>
      <c r="EKW26" s="609"/>
      <c r="EKX26" s="609"/>
      <c r="EKY26" s="609"/>
      <c r="EKZ26" s="609"/>
      <c r="ELA26" s="609"/>
      <c r="ELB26" s="609"/>
      <c r="ELC26" s="609"/>
      <c r="ELD26" s="609"/>
      <c r="ELE26" s="609"/>
      <c r="ELF26" s="609"/>
      <c r="ELG26" s="609"/>
      <c r="ELH26" s="609"/>
      <c r="ELI26" s="609"/>
      <c r="ELJ26" s="609"/>
      <c r="ELK26" s="609"/>
      <c r="ELL26" s="609"/>
      <c r="ELM26" s="609"/>
      <c r="ELN26" s="609"/>
      <c r="ELO26" s="609"/>
      <c r="ELP26" s="609"/>
      <c r="ELQ26" s="609"/>
      <c r="ELR26" s="609"/>
      <c r="ELS26" s="609"/>
      <c r="ELT26" s="609"/>
      <c r="ELU26" s="609"/>
      <c r="ELV26" s="609"/>
      <c r="ELW26" s="609"/>
      <c r="ELX26" s="609"/>
      <c r="ELY26" s="609"/>
      <c r="ELZ26" s="609"/>
      <c r="EMA26" s="609"/>
      <c r="EMB26" s="609"/>
      <c r="EMC26" s="609"/>
      <c r="EMD26" s="609"/>
      <c r="EME26" s="609"/>
      <c r="EMF26" s="609"/>
      <c r="EMG26" s="609"/>
      <c r="EMH26" s="609"/>
      <c r="EMI26" s="609"/>
      <c r="EMJ26" s="609"/>
      <c r="EMK26" s="609"/>
      <c r="EML26" s="609"/>
      <c r="EMM26" s="609"/>
      <c r="EMN26" s="609"/>
      <c r="EMO26" s="609"/>
      <c r="EMP26" s="609"/>
      <c r="EMQ26" s="609"/>
      <c r="EMR26" s="609"/>
      <c r="EMS26" s="609"/>
      <c r="EMT26" s="609"/>
      <c r="EMU26" s="609"/>
      <c r="EMV26" s="609"/>
      <c r="EMW26" s="609"/>
      <c r="EMX26" s="609"/>
      <c r="EMY26" s="609"/>
      <c r="EMZ26" s="609"/>
      <c r="ENA26" s="609"/>
      <c r="ENB26" s="609"/>
      <c r="ENC26" s="609"/>
      <c r="END26" s="609"/>
      <c r="ENE26" s="609"/>
      <c r="ENF26" s="609"/>
      <c r="ENG26" s="609"/>
      <c r="ENH26" s="609"/>
      <c r="ENI26" s="609"/>
      <c r="ENJ26" s="609"/>
      <c r="ENK26" s="609"/>
      <c r="ENL26" s="609"/>
      <c r="ENM26" s="609"/>
      <c r="ENN26" s="609"/>
      <c r="ENO26" s="609"/>
      <c r="ENP26" s="609"/>
      <c r="ENQ26" s="609"/>
      <c r="ENR26" s="609"/>
      <c r="ENS26" s="609"/>
      <c r="ENT26" s="609"/>
      <c r="ENU26" s="609"/>
      <c r="ENV26" s="609"/>
      <c r="ENW26" s="609"/>
      <c r="ENX26" s="609"/>
      <c r="ENY26" s="609"/>
      <c r="ENZ26" s="609"/>
      <c r="EOA26" s="609"/>
      <c r="EOB26" s="609"/>
      <c r="EOC26" s="609"/>
      <c r="EOD26" s="609"/>
      <c r="EOE26" s="609"/>
      <c r="EOF26" s="609"/>
      <c r="EOG26" s="609"/>
      <c r="EOH26" s="609"/>
      <c r="EOI26" s="609"/>
      <c r="EOJ26" s="609"/>
      <c r="EOK26" s="609"/>
      <c r="EOL26" s="609"/>
      <c r="EOM26" s="609"/>
      <c r="EON26" s="609"/>
      <c r="EOO26" s="609"/>
      <c r="EOP26" s="609"/>
      <c r="EOQ26" s="609"/>
      <c r="EOR26" s="609"/>
      <c r="EOS26" s="609"/>
      <c r="EOT26" s="609"/>
      <c r="EOU26" s="609"/>
      <c r="EOV26" s="609"/>
      <c r="EOW26" s="609"/>
      <c r="EOX26" s="609"/>
      <c r="EOY26" s="609"/>
      <c r="EOZ26" s="609"/>
      <c r="EPA26" s="609"/>
      <c r="EPB26" s="609"/>
      <c r="EPC26" s="609"/>
      <c r="EPD26" s="609"/>
      <c r="EPE26" s="609"/>
      <c r="EPF26" s="609"/>
      <c r="EPG26" s="609"/>
      <c r="EPH26" s="609"/>
      <c r="EPI26" s="609"/>
      <c r="EPJ26" s="609"/>
      <c r="EPK26" s="609"/>
      <c r="EPL26" s="609"/>
      <c r="EPM26" s="609"/>
      <c r="EPN26" s="609"/>
      <c r="EPO26" s="609"/>
      <c r="EPP26" s="609"/>
      <c r="EPQ26" s="609"/>
      <c r="EPR26" s="609"/>
      <c r="EPS26" s="609"/>
      <c r="EPT26" s="609"/>
      <c r="EPU26" s="609"/>
      <c r="EPV26" s="609"/>
      <c r="EPW26" s="609"/>
      <c r="EPX26" s="609"/>
      <c r="EPY26" s="609"/>
      <c r="EPZ26" s="609"/>
      <c r="EQA26" s="609"/>
      <c r="EQB26" s="609"/>
      <c r="EQC26" s="609"/>
      <c r="EQD26" s="609"/>
      <c r="EQE26" s="609"/>
      <c r="EQF26" s="609"/>
      <c r="EQG26" s="609"/>
      <c r="EQH26" s="609"/>
      <c r="EQI26" s="609"/>
      <c r="EQJ26" s="609"/>
      <c r="EQK26" s="609"/>
      <c r="EQL26" s="609"/>
      <c r="EQM26" s="609"/>
      <c r="EQN26" s="609"/>
      <c r="EQO26" s="609"/>
      <c r="EQP26" s="609"/>
      <c r="EQQ26" s="609"/>
      <c r="EQR26" s="609"/>
      <c r="EQS26" s="609"/>
      <c r="EQT26" s="609"/>
      <c r="EQU26" s="609"/>
      <c r="EQV26" s="609"/>
      <c r="EQW26" s="609"/>
      <c r="EQX26" s="609"/>
      <c r="EQY26" s="609"/>
      <c r="EQZ26" s="609"/>
      <c r="ERA26" s="609"/>
      <c r="ERB26" s="609"/>
      <c r="ERC26" s="609"/>
      <c r="ERD26" s="609"/>
      <c r="ERE26" s="609"/>
      <c r="ERF26" s="609"/>
      <c r="ERG26" s="609"/>
      <c r="ERH26" s="609"/>
      <c r="ERI26" s="609"/>
      <c r="ERJ26" s="609"/>
      <c r="ERK26" s="609"/>
      <c r="ERL26" s="609"/>
      <c r="ERM26" s="609"/>
      <c r="ERN26" s="609"/>
      <c r="ERO26" s="609"/>
      <c r="ERP26" s="609"/>
      <c r="ERQ26" s="609"/>
      <c r="ERR26" s="609"/>
      <c r="ERS26" s="609"/>
      <c r="ERT26" s="609"/>
      <c r="ERU26" s="609"/>
      <c r="ERV26" s="609"/>
      <c r="ERW26" s="609"/>
      <c r="ERX26" s="609"/>
      <c r="ERY26" s="609"/>
      <c r="ERZ26" s="609"/>
      <c r="ESA26" s="609"/>
      <c r="ESB26" s="609"/>
      <c r="ESC26" s="609"/>
      <c r="ESD26" s="609"/>
      <c r="ESE26" s="609"/>
      <c r="ESF26" s="609"/>
      <c r="ESG26" s="609"/>
      <c r="ESH26" s="609"/>
      <c r="ESI26" s="609"/>
      <c r="ESJ26" s="609"/>
      <c r="ESK26" s="609"/>
      <c r="ESL26" s="609"/>
      <c r="ESM26" s="609"/>
      <c r="ESN26" s="609"/>
      <c r="ESO26" s="609"/>
      <c r="ESP26" s="609"/>
      <c r="ESQ26" s="609"/>
      <c r="ESR26" s="609"/>
      <c r="ESS26" s="609"/>
      <c r="EST26" s="609"/>
      <c r="ESU26" s="609"/>
      <c r="ESV26" s="609"/>
      <c r="ESW26" s="609"/>
      <c r="ESX26" s="609"/>
      <c r="ESY26" s="609"/>
      <c r="ESZ26" s="609"/>
      <c r="ETA26" s="609"/>
      <c r="ETB26" s="609"/>
      <c r="ETC26" s="609"/>
      <c r="ETD26" s="609"/>
      <c r="ETE26" s="609"/>
      <c r="ETF26" s="609"/>
      <c r="ETG26" s="609"/>
      <c r="ETH26" s="609"/>
      <c r="ETI26" s="609"/>
      <c r="ETJ26" s="609"/>
      <c r="ETK26" s="609"/>
      <c r="ETL26" s="609"/>
      <c r="ETM26" s="609"/>
      <c r="ETN26" s="609"/>
      <c r="ETO26" s="609"/>
      <c r="ETP26" s="609"/>
      <c r="ETQ26" s="609"/>
      <c r="ETR26" s="609"/>
      <c r="ETS26" s="609"/>
      <c r="ETT26" s="609"/>
      <c r="ETU26" s="609"/>
      <c r="ETV26" s="609"/>
      <c r="ETW26" s="609"/>
      <c r="ETX26" s="609"/>
      <c r="ETY26" s="609"/>
      <c r="ETZ26" s="609"/>
      <c r="EUA26" s="609"/>
      <c r="EUB26" s="609"/>
      <c r="EUC26" s="609"/>
      <c r="EUD26" s="609"/>
      <c r="EUE26" s="609"/>
      <c r="EUF26" s="609"/>
      <c r="EUG26" s="609"/>
      <c r="EUH26" s="609"/>
      <c r="EUI26" s="609"/>
      <c r="EUJ26" s="609"/>
      <c r="EUK26" s="609"/>
      <c r="EUL26" s="609"/>
      <c r="EUM26" s="609"/>
      <c r="EUN26" s="609"/>
      <c r="EUO26" s="609"/>
      <c r="EUP26" s="609"/>
      <c r="EUQ26" s="609"/>
      <c r="EUR26" s="609"/>
      <c r="EUS26" s="609"/>
      <c r="EUT26" s="609"/>
      <c r="EUU26" s="609"/>
      <c r="EUV26" s="609"/>
      <c r="EUW26" s="609"/>
      <c r="EUX26" s="609"/>
      <c r="EUY26" s="609"/>
      <c r="EUZ26" s="609"/>
      <c r="EVA26" s="609"/>
      <c r="EVB26" s="609"/>
      <c r="EVC26" s="609"/>
      <c r="EVD26" s="609"/>
      <c r="EVE26" s="609"/>
      <c r="EVF26" s="609"/>
      <c r="EVG26" s="609"/>
      <c r="EVH26" s="609"/>
      <c r="EVI26" s="609"/>
      <c r="EVJ26" s="609"/>
      <c r="EVK26" s="609"/>
      <c r="EVL26" s="609"/>
      <c r="EVM26" s="609"/>
      <c r="EVN26" s="609"/>
      <c r="EVO26" s="609"/>
      <c r="EVP26" s="609"/>
      <c r="EVQ26" s="609"/>
      <c r="EVR26" s="609"/>
      <c r="EVS26" s="609"/>
      <c r="EVT26" s="609"/>
      <c r="EVU26" s="609"/>
      <c r="EVV26" s="609"/>
      <c r="EVW26" s="609"/>
      <c r="EVX26" s="609"/>
      <c r="EVY26" s="609"/>
      <c r="EVZ26" s="609"/>
      <c r="EWA26" s="609"/>
      <c r="EWB26" s="609"/>
      <c r="EWC26" s="609"/>
      <c r="EWD26" s="609"/>
      <c r="EWE26" s="609"/>
      <c r="EWF26" s="609"/>
      <c r="EWG26" s="609"/>
      <c r="EWH26" s="609"/>
      <c r="EWI26" s="609"/>
      <c r="EWJ26" s="609"/>
      <c r="EWK26" s="609"/>
      <c r="EWL26" s="609"/>
      <c r="EWM26" s="609"/>
      <c r="EWN26" s="609"/>
      <c r="EWO26" s="609"/>
      <c r="EWP26" s="609"/>
      <c r="EWQ26" s="609"/>
      <c r="EWR26" s="609"/>
      <c r="EWS26" s="609"/>
      <c r="EWT26" s="609"/>
      <c r="EWU26" s="609"/>
      <c r="EWV26" s="609"/>
      <c r="EWW26" s="609"/>
      <c r="EWX26" s="609"/>
      <c r="EWY26" s="609"/>
      <c r="EWZ26" s="609"/>
      <c r="EXA26" s="609"/>
      <c r="EXB26" s="609"/>
      <c r="EXC26" s="609"/>
      <c r="EXD26" s="609"/>
      <c r="EXE26" s="609"/>
      <c r="EXF26" s="609"/>
      <c r="EXG26" s="609"/>
      <c r="EXH26" s="609"/>
      <c r="EXI26" s="609"/>
      <c r="EXJ26" s="609"/>
      <c r="EXK26" s="609"/>
      <c r="EXL26" s="609"/>
      <c r="EXM26" s="609"/>
      <c r="EXN26" s="609"/>
      <c r="EXO26" s="609"/>
      <c r="EXP26" s="609"/>
      <c r="EXQ26" s="609"/>
      <c r="EXR26" s="609"/>
      <c r="EXS26" s="609"/>
      <c r="EXT26" s="609"/>
      <c r="EXU26" s="609"/>
      <c r="EXV26" s="609"/>
      <c r="EXW26" s="609"/>
      <c r="EXX26" s="609"/>
      <c r="EXY26" s="609"/>
      <c r="EXZ26" s="609"/>
      <c r="EYA26" s="609"/>
      <c r="EYB26" s="609"/>
      <c r="EYC26" s="609"/>
      <c r="EYD26" s="609"/>
      <c r="EYE26" s="609"/>
      <c r="EYF26" s="609"/>
      <c r="EYG26" s="609"/>
      <c r="EYH26" s="609"/>
      <c r="EYI26" s="609"/>
      <c r="EYJ26" s="609"/>
      <c r="EYK26" s="609"/>
      <c r="EYL26" s="609"/>
      <c r="EYM26" s="609"/>
      <c r="EYN26" s="609"/>
      <c r="EYO26" s="609"/>
      <c r="EYP26" s="609"/>
      <c r="EYQ26" s="609"/>
      <c r="EYR26" s="609"/>
      <c r="EYS26" s="609"/>
      <c r="EYT26" s="609"/>
      <c r="EYU26" s="609"/>
      <c r="EYV26" s="609"/>
      <c r="EYW26" s="609"/>
      <c r="EYX26" s="609"/>
      <c r="EYY26" s="609"/>
      <c r="EYZ26" s="609"/>
      <c r="EZA26" s="609"/>
      <c r="EZB26" s="609"/>
      <c r="EZC26" s="609"/>
      <c r="EZD26" s="609"/>
      <c r="EZE26" s="609"/>
      <c r="EZF26" s="609"/>
      <c r="EZG26" s="609"/>
      <c r="EZH26" s="609"/>
      <c r="EZI26" s="609"/>
      <c r="EZJ26" s="609"/>
      <c r="EZK26" s="609"/>
      <c r="EZL26" s="609"/>
      <c r="EZM26" s="609"/>
      <c r="EZN26" s="609"/>
      <c r="EZO26" s="609"/>
      <c r="EZP26" s="609"/>
      <c r="EZQ26" s="609"/>
      <c r="EZR26" s="609"/>
      <c r="EZS26" s="609"/>
      <c r="EZT26" s="609"/>
      <c r="EZU26" s="609"/>
      <c r="EZV26" s="609"/>
      <c r="EZW26" s="609"/>
      <c r="EZX26" s="609"/>
      <c r="EZY26" s="609"/>
      <c r="EZZ26" s="609"/>
      <c r="FAA26" s="609"/>
      <c r="FAB26" s="609"/>
      <c r="FAC26" s="609"/>
      <c r="FAD26" s="609"/>
      <c r="FAE26" s="609"/>
      <c r="FAF26" s="609"/>
      <c r="FAG26" s="609"/>
      <c r="FAH26" s="609"/>
      <c r="FAI26" s="609"/>
      <c r="FAJ26" s="609"/>
      <c r="FAK26" s="609"/>
      <c r="FAL26" s="609"/>
      <c r="FAM26" s="609"/>
      <c r="FAN26" s="609"/>
      <c r="FAO26" s="609"/>
      <c r="FAP26" s="609"/>
      <c r="FAQ26" s="609"/>
      <c r="FAR26" s="609"/>
      <c r="FAS26" s="609"/>
      <c r="FAT26" s="609"/>
      <c r="FAU26" s="609"/>
      <c r="FAV26" s="609"/>
      <c r="FAW26" s="609"/>
      <c r="FAX26" s="609"/>
      <c r="FAY26" s="609"/>
      <c r="FAZ26" s="609"/>
      <c r="FBA26" s="609"/>
      <c r="FBB26" s="609"/>
      <c r="FBC26" s="609"/>
      <c r="FBD26" s="609"/>
      <c r="FBE26" s="609"/>
      <c r="FBF26" s="609"/>
      <c r="FBG26" s="609"/>
      <c r="FBH26" s="609"/>
      <c r="FBI26" s="609"/>
      <c r="FBJ26" s="609"/>
      <c r="FBK26" s="609"/>
      <c r="FBL26" s="609"/>
      <c r="FBM26" s="609"/>
      <c r="FBN26" s="609"/>
      <c r="FBO26" s="609"/>
      <c r="FBP26" s="609"/>
      <c r="FBQ26" s="609"/>
      <c r="FBR26" s="609"/>
      <c r="FBS26" s="609"/>
      <c r="FBT26" s="609"/>
      <c r="FBU26" s="609"/>
      <c r="FBV26" s="609"/>
      <c r="FBW26" s="609"/>
      <c r="FBX26" s="609"/>
      <c r="FBY26" s="609"/>
      <c r="FBZ26" s="609"/>
      <c r="FCA26" s="609"/>
      <c r="FCB26" s="609"/>
      <c r="FCC26" s="609"/>
      <c r="FCD26" s="609"/>
      <c r="FCE26" s="609"/>
      <c r="FCF26" s="609"/>
      <c r="FCG26" s="609"/>
      <c r="FCH26" s="609"/>
      <c r="FCI26" s="609"/>
      <c r="FCJ26" s="609"/>
      <c r="FCK26" s="609"/>
      <c r="FCL26" s="609"/>
      <c r="FCM26" s="609"/>
      <c r="FCN26" s="609"/>
      <c r="FCO26" s="609"/>
      <c r="FCP26" s="609"/>
      <c r="FCQ26" s="609"/>
      <c r="FCR26" s="609"/>
      <c r="FCS26" s="609"/>
      <c r="FCT26" s="609"/>
      <c r="FCU26" s="609"/>
      <c r="FCV26" s="609"/>
      <c r="FCW26" s="609"/>
      <c r="FCX26" s="609"/>
      <c r="FCY26" s="609"/>
      <c r="FCZ26" s="609"/>
      <c r="FDA26" s="609"/>
      <c r="FDB26" s="609"/>
      <c r="FDC26" s="609"/>
      <c r="FDD26" s="609"/>
      <c r="FDE26" s="609"/>
      <c r="FDF26" s="609"/>
      <c r="FDG26" s="609"/>
      <c r="FDH26" s="609"/>
      <c r="FDI26" s="609"/>
      <c r="FDJ26" s="609"/>
      <c r="FDK26" s="609"/>
      <c r="FDL26" s="609"/>
      <c r="FDM26" s="609"/>
      <c r="FDN26" s="609"/>
      <c r="FDO26" s="609"/>
      <c r="FDP26" s="609"/>
      <c r="FDQ26" s="609"/>
      <c r="FDR26" s="609"/>
      <c r="FDS26" s="609"/>
      <c r="FDT26" s="609"/>
      <c r="FDU26" s="609"/>
      <c r="FDV26" s="609"/>
      <c r="FDW26" s="609"/>
      <c r="FDX26" s="609"/>
      <c r="FDY26" s="609"/>
      <c r="FDZ26" s="609"/>
      <c r="FEA26" s="609"/>
      <c r="FEB26" s="609"/>
      <c r="FEC26" s="609"/>
      <c r="FED26" s="609"/>
      <c r="FEE26" s="609"/>
      <c r="FEF26" s="609"/>
      <c r="FEG26" s="609"/>
      <c r="FEH26" s="609"/>
      <c r="FEI26" s="609"/>
      <c r="FEJ26" s="609"/>
      <c r="FEK26" s="609"/>
      <c r="FEL26" s="609"/>
      <c r="FEM26" s="609"/>
      <c r="FEN26" s="609"/>
      <c r="FEO26" s="609"/>
      <c r="FEP26" s="609"/>
      <c r="FEQ26" s="609"/>
      <c r="FER26" s="609"/>
      <c r="FES26" s="609"/>
      <c r="FET26" s="609"/>
      <c r="FEU26" s="609"/>
      <c r="FEV26" s="609"/>
      <c r="FEW26" s="609"/>
      <c r="FEX26" s="609"/>
      <c r="FEY26" s="609"/>
      <c r="FEZ26" s="609"/>
      <c r="FFA26" s="609"/>
      <c r="FFB26" s="609"/>
      <c r="FFC26" s="609"/>
      <c r="FFD26" s="609"/>
      <c r="FFE26" s="609"/>
      <c r="FFF26" s="609"/>
      <c r="FFG26" s="609"/>
      <c r="FFH26" s="609"/>
      <c r="FFI26" s="609"/>
      <c r="FFJ26" s="609"/>
      <c r="FFK26" s="609"/>
      <c r="FFL26" s="609"/>
      <c r="FFM26" s="609"/>
      <c r="FFN26" s="609"/>
      <c r="FFO26" s="609"/>
      <c r="FFP26" s="609"/>
      <c r="FFQ26" s="609"/>
      <c r="FFR26" s="609"/>
      <c r="FFS26" s="609"/>
      <c r="FFT26" s="609"/>
      <c r="FFU26" s="609"/>
      <c r="FFV26" s="609"/>
      <c r="FFW26" s="609"/>
      <c r="FFX26" s="609"/>
      <c r="FFY26" s="609"/>
      <c r="FFZ26" s="609"/>
      <c r="FGA26" s="609"/>
      <c r="FGB26" s="609"/>
      <c r="FGC26" s="609"/>
      <c r="FGD26" s="609"/>
      <c r="FGE26" s="609"/>
      <c r="FGF26" s="609"/>
      <c r="FGG26" s="609"/>
      <c r="FGH26" s="609"/>
      <c r="FGI26" s="609"/>
      <c r="FGJ26" s="609"/>
      <c r="FGK26" s="609"/>
      <c r="FGL26" s="609"/>
      <c r="FGM26" s="609"/>
      <c r="FGN26" s="609"/>
      <c r="FGO26" s="609"/>
      <c r="FGP26" s="609"/>
      <c r="FGQ26" s="609"/>
      <c r="FGR26" s="609"/>
      <c r="FGS26" s="609"/>
      <c r="FGT26" s="609"/>
      <c r="FGU26" s="609"/>
      <c r="FGV26" s="609"/>
      <c r="FGW26" s="609"/>
      <c r="FGX26" s="609"/>
      <c r="FGY26" s="609"/>
      <c r="FGZ26" s="609"/>
      <c r="FHA26" s="609"/>
      <c r="FHB26" s="609"/>
      <c r="FHC26" s="609"/>
      <c r="FHD26" s="609"/>
      <c r="FHE26" s="609"/>
      <c r="FHF26" s="609"/>
      <c r="FHG26" s="609"/>
      <c r="FHH26" s="609"/>
      <c r="FHI26" s="609"/>
      <c r="FHJ26" s="609"/>
      <c r="FHK26" s="609"/>
      <c r="FHL26" s="609"/>
      <c r="FHM26" s="609"/>
      <c r="FHN26" s="609"/>
      <c r="FHO26" s="609"/>
      <c r="FHP26" s="609"/>
      <c r="FHQ26" s="609"/>
      <c r="FHR26" s="609"/>
      <c r="FHS26" s="609"/>
      <c r="FHT26" s="609"/>
      <c r="FHU26" s="609"/>
      <c r="FHV26" s="609"/>
      <c r="FHW26" s="609"/>
      <c r="FHX26" s="609"/>
      <c r="FHY26" s="609"/>
      <c r="FHZ26" s="609"/>
      <c r="FIA26" s="609"/>
      <c r="FIB26" s="609"/>
      <c r="FIC26" s="609"/>
      <c r="FID26" s="609"/>
      <c r="FIE26" s="609"/>
      <c r="FIF26" s="609"/>
      <c r="FIG26" s="609"/>
      <c r="FIH26" s="609"/>
      <c r="FII26" s="609"/>
      <c r="FIJ26" s="609"/>
      <c r="FIK26" s="609"/>
      <c r="FIL26" s="609"/>
      <c r="FIM26" s="609"/>
      <c r="FIN26" s="609"/>
      <c r="FIO26" s="609"/>
      <c r="FIP26" s="609"/>
      <c r="FIQ26" s="609"/>
      <c r="FIR26" s="609"/>
      <c r="FIS26" s="609"/>
      <c r="FIT26" s="609"/>
      <c r="FIU26" s="609"/>
      <c r="FIV26" s="609"/>
      <c r="FIW26" s="609"/>
      <c r="FIX26" s="609"/>
      <c r="FIY26" s="609"/>
      <c r="FIZ26" s="609"/>
      <c r="FJA26" s="609"/>
      <c r="FJB26" s="609"/>
      <c r="FJC26" s="609"/>
      <c r="FJD26" s="609"/>
      <c r="FJE26" s="609"/>
      <c r="FJF26" s="609"/>
      <c r="FJG26" s="609"/>
      <c r="FJH26" s="609"/>
      <c r="FJI26" s="609"/>
      <c r="FJJ26" s="609"/>
      <c r="FJK26" s="609"/>
      <c r="FJL26" s="609"/>
      <c r="FJM26" s="609"/>
      <c r="FJN26" s="609"/>
      <c r="FJO26" s="609"/>
      <c r="FJP26" s="609"/>
      <c r="FJQ26" s="609"/>
      <c r="FJR26" s="609"/>
      <c r="FJS26" s="609"/>
      <c r="FJT26" s="609"/>
      <c r="FJU26" s="609"/>
      <c r="FJV26" s="609"/>
      <c r="FJW26" s="609"/>
      <c r="FJX26" s="609"/>
      <c r="FJY26" s="609"/>
      <c r="FJZ26" s="609"/>
      <c r="FKA26" s="609"/>
      <c r="FKB26" s="609"/>
      <c r="FKC26" s="609"/>
      <c r="FKD26" s="609"/>
      <c r="FKE26" s="609"/>
      <c r="FKF26" s="609"/>
      <c r="FKG26" s="609"/>
      <c r="FKH26" s="609"/>
      <c r="FKI26" s="609"/>
      <c r="FKJ26" s="609"/>
      <c r="FKK26" s="609"/>
      <c r="FKL26" s="609"/>
      <c r="FKM26" s="609"/>
      <c r="FKN26" s="609"/>
      <c r="FKO26" s="609"/>
      <c r="FKP26" s="609"/>
      <c r="FKQ26" s="609"/>
      <c r="FKR26" s="609"/>
      <c r="FKS26" s="609"/>
      <c r="FKT26" s="609"/>
      <c r="FKU26" s="609"/>
      <c r="FKV26" s="609"/>
      <c r="FKW26" s="609"/>
      <c r="FKX26" s="609"/>
      <c r="FKY26" s="609"/>
      <c r="FKZ26" s="609"/>
      <c r="FLA26" s="609"/>
      <c r="FLB26" s="609"/>
      <c r="FLC26" s="609"/>
      <c r="FLD26" s="609"/>
      <c r="FLE26" s="609"/>
      <c r="FLF26" s="609"/>
      <c r="FLG26" s="609"/>
      <c r="FLH26" s="609"/>
      <c r="FLI26" s="609"/>
      <c r="FLJ26" s="609"/>
      <c r="FLK26" s="609"/>
      <c r="FLL26" s="609"/>
      <c r="FLM26" s="609"/>
      <c r="FLN26" s="609"/>
      <c r="FLO26" s="609"/>
      <c r="FLP26" s="609"/>
      <c r="FLQ26" s="609"/>
      <c r="FLR26" s="609"/>
      <c r="FLS26" s="609"/>
      <c r="FLT26" s="609"/>
      <c r="FLU26" s="609"/>
      <c r="FLV26" s="609"/>
      <c r="FLW26" s="609"/>
      <c r="FLX26" s="609"/>
      <c r="FLY26" s="609"/>
      <c r="FLZ26" s="609"/>
      <c r="FMA26" s="609"/>
      <c r="FMB26" s="609"/>
      <c r="FMC26" s="609"/>
      <c r="FMD26" s="609"/>
      <c r="FME26" s="609"/>
      <c r="FMF26" s="609"/>
      <c r="FMG26" s="609"/>
      <c r="FMH26" s="609"/>
      <c r="FMI26" s="609"/>
      <c r="FMJ26" s="609"/>
      <c r="FMK26" s="609"/>
      <c r="FML26" s="609"/>
      <c r="FMM26" s="609"/>
      <c r="FMN26" s="609"/>
      <c r="FMO26" s="609"/>
      <c r="FMP26" s="609"/>
      <c r="FMQ26" s="609"/>
      <c r="FMR26" s="609"/>
      <c r="FMS26" s="609"/>
      <c r="FMT26" s="609"/>
      <c r="FMU26" s="609"/>
      <c r="FMV26" s="609"/>
      <c r="FMW26" s="609"/>
      <c r="FMX26" s="609"/>
      <c r="FMY26" s="609"/>
      <c r="FMZ26" s="609"/>
      <c r="FNA26" s="609"/>
      <c r="FNB26" s="609"/>
      <c r="FNC26" s="609"/>
      <c r="FND26" s="609"/>
      <c r="FNE26" s="609"/>
      <c r="FNF26" s="609"/>
      <c r="FNG26" s="609"/>
      <c r="FNH26" s="609"/>
      <c r="FNI26" s="609"/>
      <c r="FNJ26" s="609"/>
      <c r="FNK26" s="609"/>
      <c r="FNL26" s="609"/>
      <c r="FNM26" s="609"/>
      <c r="FNN26" s="609"/>
      <c r="FNO26" s="609"/>
      <c r="FNP26" s="609"/>
      <c r="FNQ26" s="609"/>
      <c r="FNR26" s="609"/>
      <c r="FNS26" s="609"/>
      <c r="FNT26" s="609"/>
      <c r="FNU26" s="609"/>
      <c r="FNV26" s="609"/>
      <c r="FNW26" s="609"/>
      <c r="FNX26" s="609"/>
      <c r="FNY26" s="609"/>
      <c r="FNZ26" s="609"/>
      <c r="FOA26" s="609"/>
      <c r="FOB26" s="609"/>
      <c r="FOC26" s="609"/>
      <c r="FOD26" s="609"/>
      <c r="FOE26" s="609"/>
      <c r="FOF26" s="609"/>
      <c r="FOG26" s="609"/>
      <c r="FOH26" s="609"/>
      <c r="FOI26" s="609"/>
      <c r="FOJ26" s="609"/>
      <c r="FOK26" s="609"/>
      <c r="FOL26" s="609"/>
      <c r="FOM26" s="609"/>
      <c r="FON26" s="609"/>
      <c r="FOO26" s="609"/>
      <c r="FOP26" s="609"/>
      <c r="FOQ26" s="609"/>
      <c r="FOR26" s="609"/>
      <c r="FOS26" s="609"/>
      <c r="FOT26" s="609"/>
      <c r="FOU26" s="609"/>
      <c r="FOV26" s="609"/>
      <c r="FOW26" s="609"/>
      <c r="FOX26" s="609"/>
      <c r="FOY26" s="609"/>
      <c r="FOZ26" s="609"/>
      <c r="FPA26" s="609"/>
      <c r="FPB26" s="609"/>
      <c r="FPC26" s="609"/>
      <c r="FPD26" s="609"/>
      <c r="FPE26" s="609"/>
      <c r="FPF26" s="609"/>
      <c r="FPG26" s="609"/>
      <c r="FPH26" s="609"/>
      <c r="FPI26" s="609"/>
      <c r="FPJ26" s="609"/>
      <c r="FPK26" s="609"/>
      <c r="FPL26" s="609"/>
      <c r="FPM26" s="609"/>
      <c r="FPN26" s="609"/>
      <c r="FPO26" s="609"/>
      <c r="FPP26" s="609"/>
      <c r="FPQ26" s="609"/>
      <c r="FPR26" s="609"/>
      <c r="FPS26" s="609"/>
      <c r="FPT26" s="609"/>
      <c r="FPU26" s="609"/>
      <c r="FPV26" s="609"/>
      <c r="FPW26" s="609"/>
      <c r="FPX26" s="609"/>
      <c r="FPY26" s="609"/>
      <c r="FPZ26" s="609"/>
      <c r="FQA26" s="609"/>
      <c r="FQB26" s="609"/>
      <c r="FQC26" s="609"/>
      <c r="FQD26" s="609"/>
      <c r="FQE26" s="609"/>
      <c r="FQF26" s="609"/>
      <c r="FQG26" s="609"/>
      <c r="FQH26" s="609"/>
      <c r="FQI26" s="609"/>
      <c r="FQJ26" s="609"/>
      <c r="FQK26" s="609"/>
      <c r="FQL26" s="609"/>
      <c r="FQM26" s="609"/>
      <c r="FQN26" s="609"/>
      <c r="FQO26" s="609"/>
      <c r="FQP26" s="609"/>
      <c r="FQQ26" s="609"/>
      <c r="FQR26" s="609"/>
      <c r="FQS26" s="609"/>
      <c r="FQT26" s="609"/>
      <c r="FQU26" s="609"/>
      <c r="FQV26" s="609"/>
      <c r="FQW26" s="609"/>
      <c r="FQX26" s="609"/>
      <c r="FQY26" s="609"/>
      <c r="FQZ26" s="609"/>
      <c r="FRA26" s="609"/>
      <c r="FRB26" s="609"/>
      <c r="FRC26" s="609"/>
      <c r="FRD26" s="609"/>
      <c r="FRE26" s="609"/>
      <c r="FRF26" s="609"/>
      <c r="FRG26" s="609"/>
      <c r="FRH26" s="609"/>
      <c r="FRI26" s="609"/>
      <c r="FRJ26" s="609"/>
      <c r="FRK26" s="609"/>
      <c r="FRL26" s="609"/>
      <c r="FRM26" s="609"/>
      <c r="FRN26" s="609"/>
      <c r="FRO26" s="609"/>
      <c r="FRP26" s="609"/>
      <c r="FRQ26" s="609"/>
      <c r="FRR26" s="609"/>
      <c r="FRS26" s="609"/>
      <c r="FRT26" s="609"/>
      <c r="FRU26" s="609"/>
      <c r="FRV26" s="609"/>
      <c r="FRW26" s="609"/>
      <c r="FRX26" s="609"/>
      <c r="FRY26" s="609"/>
      <c r="FRZ26" s="609"/>
      <c r="FSA26" s="609"/>
      <c r="FSB26" s="609"/>
      <c r="FSC26" s="609"/>
      <c r="FSD26" s="609"/>
      <c r="FSE26" s="609"/>
      <c r="FSF26" s="609"/>
      <c r="FSG26" s="609"/>
      <c r="FSH26" s="609"/>
      <c r="FSI26" s="609"/>
      <c r="FSJ26" s="609"/>
      <c r="FSK26" s="609"/>
      <c r="FSL26" s="609"/>
      <c r="FSM26" s="609"/>
      <c r="FSN26" s="609"/>
      <c r="FSO26" s="609"/>
      <c r="FSP26" s="609"/>
      <c r="FSQ26" s="609"/>
      <c r="FSR26" s="609"/>
      <c r="FSS26" s="609"/>
      <c r="FST26" s="609"/>
      <c r="FSU26" s="609"/>
      <c r="FSV26" s="609"/>
      <c r="FSW26" s="609"/>
      <c r="FSX26" s="609"/>
      <c r="FSY26" s="609"/>
      <c r="FSZ26" s="609"/>
      <c r="FTA26" s="609"/>
      <c r="FTB26" s="609"/>
      <c r="FTC26" s="609"/>
      <c r="FTD26" s="609"/>
      <c r="FTE26" s="609"/>
      <c r="FTF26" s="609"/>
      <c r="FTG26" s="609"/>
      <c r="FTH26" s="609"/>
      <c r="FTI26" s="609"/>
      <c r="FTJ26" s="609"/>
      <c r="FTK26" s="609"/>
      <c r="FTL26" s="609"/>
      <c r="FTM26" s="609"/>
      <c r="FTN26" s="609"/>
      <c r="FTO26" s="609"/>
      <c r="FTP26" s="609"/>
      <c r="FTQ26" s="609"/>
      <c r="FTR26" s="609"/>
      <c r="FTS26" s="609"/>
      <c r="FTT26" s="609"/>
      <c r="FTU26" s="609"/>
      <c r="FTV26" s="609"/>
      <c r="FTW26" s="609"/>
      <c r="FTX26" s="609"/>
      <c r="FTY26" s="609"/>
      <c r="FTZ26" s="609"/>
      <c r="FUA26" s="609"/>
      <c r="FUB26" s="609"/>
      <c r="FUC26" s="609"/>
      <c r="FUD26" s="609"/>
      <c r="FUE26" s="609"/>
      <c r="FUF26" s="609"/>
      <c r="FUG26" s="609"/>
      <c r="FUH26" s="609"/>
      <c r="FUI26" s="609"/>
      <c r="FUJ26" s="609"/>
      <c r="FUK26" s="609"/>
      <c r="FUL26" s="609"/>
      <c r="FUM26" s="609"/>
      <c r="FUN26" s="609"/>
      <c r="FUO26" s="609"/>
      <c r="FUP26" s="609"/>
      <c r="FUQ26" s="609"/>
      <c r="FUR26" s="609"/>
      <c r="FUS26" s="609"/>
      <c r="FUT26" s="609"/>
      <c r="FUU26" s="609"/>
      <c r="FUV26" s="609"/>
      <c r="FUW26" s="609"/>
      <c r="FUX26" s="609"/>
      <c r="FUY26" s="609"/>
      <c r="FUZ26" s="609"/>
      <c r="FVA26" s="609"/>
      <c r="FVB26" s="609"/>
      <c r="FVC26" s="609"/>
      <c r="FVD26" s="609"/>
      <c r="FVE26" s="609"/>
      <c r="FVF26" s="609"/>
      <c r="FVG26" s="609"/>
      <c r="FVH26" s="609"/>
      <c r="FVI26" s="609"/>
      <c r="FVJ26" s="609"/>
      <c r="FVK26" s="609"/>
      <c r="FVL26" s="609"/>
      <c r="FVM26" s="609"/>
      <c r="FVN26" s="609"/>
      <c r="FVO26" s="609"/>
      <c r="FVP26" s="609"/>
      <c r="FVQ26" s="609"/>
      <c r="FVR26" s="609"/>
      <c r="FVS26" s="609"/>
      <c r="FVT26" s="609"/>
      <c r="FVU26" s="609"/>
      <c r="FVV26" s="609"/>
      <c r="FVW26" s="609"/>
      <c r="FVX26" s="609"/>
      <c r="FVY26" s="609"/>
      <c r="FVZ26" s="609"/>
      <c r="FWA26" s="609"/>
      <c r="FWB26" s="609"/>
      <c r="FWC26" s="609"/>
      <c r="FWD26" s="609"/>
      <c r="FWE26" s="609"/>
      <c r="FWF26" s="609"/>
      <c r="FWG26" s="609"/>
      <c r="FWH26" s="609"/>
      <c r="FWI26" s="609"/>
      <c r="FWJ26" s="609"/>
      <c r="FWK26" s="609"/>
      <c r="FWL26" s="609"/>
      <c r="FWM26" s="609"/>
      <c r="FWN26" s="609"/>
      <c r="FWO26" s="609"/>
      <c r="FWP26" s="609"/>
      <c r="FWQ26" s="609"/>
      <c r="FWR26" s="609"/>
      <c r="FWS26" s="609"/>
      <c r="FWT26" s="609"/>
      <c r="FWU26" s="609"/>
      <c r="FWV26" s="609"/>
      <c r="FWW26" s="609"/>
      <c r="FWX26" s="609"/>
      <c r="FWY26" s="609"/>
      <c r="FWZ26" s="609"/>
      <c r="FXA26" s="609"/>
      <c r="FXB26" s="609"/>
      <c r="FXC26" s="609"/>
      <c r="FXD26" s="609"/>
      <c r="FXE26" s="609"/>
      <c r="FXF26" s="609"/>
      <c r="FXG26" s="609"/>
      <c r="FXH26" s="609"/>
      <c r="FXI26" s="609"/>
      <c r="FXJ26" s="609"/>
      <c r="FXK26" s="609"/>
      <c r="FXL26" s="609"/>
      <c r="FXM26" s="609"/>
      <c r="FXN26" s="609"/>
      <c r="FXO26" s="609"/>
      <c r="FXP26" s="609"/>
      <c r="FXQ26" s="609"/>
      <c r="FXR26" s="609"/>
      <c r="FXS26" s="609"/>
      <c r="FXT26" s="609"/>
      <c r="FXU26" s="609"/>
      <c r="FXV26" s="609"/>
      <c r="FXW26" s="609"/>
      <c r="FXX26" s="609"/>
      <c r="FXY26" s="609"/>
      <c r="FXZ26" s="609"/>
      <c r="FYA26" s="609"/>
      <c r="FYB26" s="609"/>
      <c r="FYC26" s="609"/>
      <c r="FYD26" s="609"/>
      <c r="FYE26" s="609"/>
      <c r="FYF26" s="609"/>
      <c r="FYG26" s="609"/>
      <c r="FYH26" s="609"/>
      <c r="FYI26" s="609"/>
      <c r="FYJ26" s="609"/>
      <c r="FYK26" s="609"/>
      <c r="FYL26" s="609"/>
      <c r="FYM26" s="609"/>
      <c r="FYN26" s="609"/>
      <c r="FYO26" s="609"/>
      <c r="FYP26" s="609"/>
      <c r="FYQ26" s="609"/>
      <c r="FYR26" s="609"/>
      <c r="FYS26" s="609"/>
      <c r="FYT26" s="609"/>
      <c r="FYU26" s="609"/>
      <c r="FYV26" s="609"/>
      <c r="FYW26" s="609"/>
      <c r="FYX26" s="609"/>
      <c r="FYY26" s="609"/>
      <c r="FYZ26" s="609"/>
      <c r="FZA26" s="609"/>
      <c r="FZB26" s="609"/>
      <c r="FZC26" s="609"/>
      <c r="FZD26" s="609"/>
      <c r="FZE26" s="609"/>
      <c r="FZF26" s="609"/>
      <c r="FZG26" s="609"/>
      <c r="FZH26" s="609"/>
      <c r="FZI26" s="609"/>
      <c r="FZJ26" s="609"/>
      <c r="FZK26" s="609"/>
      <c r="FZL26" s="609"/>
      <c r="FZM26" s="609"/>
      <c r="FZN26" s="609"/>
      <c r="FZO26" s="609"/>
      <c r="FZP26" s="609"/>
      <c r="FZQ26" s="609"/>
      <c r="FZR26" s="609"/>
      <c r="FZS26" s="609"/>
      <c r="FZT26" s="609"/>
      <c r="FZU26" s="609"/>
      <c r="FZV26" s="609"/>
      <c r="FZW26" s="609"/>
      <c r="FZX26" s="609"/>
      <c r="FZY26" s="609"/>
      <c r="FZZ26" s="609"/>
      <c r="GAA26" s="609"/>
      <c r="GAB26" s="609"/>
      <c r="GAC26" s="609"/>
      <c r="GAD26" s="609"/>
      <c r="GAE26" s="609"/>
      <c r="GAF26" s="609"/>
      <c r="GAG26" s="609"/>
      <c r="GAH26" s="609"/>
      <c r="GAI26" s="609"/>
      <c r="GAJ26" s="609"/>
      <c r="GAK26" s="609"/>
      <c r="GAL26" s="609"/>
      <c r="GAM26" s="609"/>
      <c r="GAN26" s="609"/>
      <c r="GAO26" s="609"/>
      <c r="GAP26" s="609"/>
      <c r="GAQ26" s="609"/>
      <c r="GAR26" s="609"/>
      <c r="GAS26" s="609"/>
      <c r="GAT26" s="609"/>
      <c r="GAU26" s="609"/>
      <c r="GAV26" s="609"/>
      <c r="GAW26" s="609"/>
      <c r="GAX26" s="609"/>
      <c r="GAY26" s="609"/>
      <c r="GAZ26" s="609"/>
      <c r="GBA26" s="609"/>
      <c r="GBB26" s="609"/>
      <c r="GBC26" s="609"/>
      <c r="GBD26" s="609"/>
      <c r="GBE26" s="609"/>
      <c r="GBF26" s="609"/>
      <c r="GBG26" s="609"/>
      <c r="GBH26" s="609"/>
      <c r="GBI26" s="609"/>
      <c r="GBJ26" s="609"/>
      <c r="GBK26" s="609"/>
      <c r="GBL26" s="609"/>
      <c r="GBM26" s="609"/>
      <c r="GBN26" s="609"/>
      <c r="GBO26" s="609"/>
      <c r="GBP26" s="609"/>
      <c r="GBQ26" s="609"/>
      <c r="GBR26" s="609"/>
      <c r="GBS26" s="609"/>
      <c r="GBT26" s="609"/>
      <c r="GBU26" s="609"/>
      <c r="GBV26" s="609"/>
      <c r="GBW26" s="609"/>
      <c r="GBX26" s="609"/>
      <c r="GBY26" s="609"/>
      <c r="GBZ26" s="609"/>
      <c r="GCA26" s="609"/>
      <c r="GCB26" s="609"/>
      <c r="GCC26" s="609"/>
      <c r="GCD26" s="609"/>
      <c r="GCE26" s="609"/>
      <c r="GCF26" s="609"/>
      <c r="GCG26" s="609"/>
      <c r="GCH26" s="609"/>
      <c r="GCI26" s="609"/>
      <c r="GCJ26" s="609"/>
      <c r="GCK26" s="609"/>
      <c r="GCL26" s="609"/>
      <c r="GCM26" s="609"/>
      <c r="GCN26" s="609"/>
      <c r="GCO26" s="609"/>
      <c r="GCP26" s="609"/>
      <c r="GCQ26" s="609"/>
      <c r="GCR26" s="609"/>
      <c r="GCS26" s="609"/>
      <c r="GCT26" s="609"/>
      <c r="GCU26" s="609"/>
      <c r="GCV26" s="609"/>
      <c r="GCW26" s="609"/>
      <c r="GCX26" s="609"/>
      <c r="GCY26" s="609"/>
      <c r="GCZ26" s="609"/>
      <c r="GDA26" s="609"/>
      <c r="GDB26" s="609"/>
      <c r="GDC26" s="609"/>
      <c r="GDD26" s="609"/>
      <c r="GDE26" s="609"/>
      <c r="GDF26" s="609"/>
      <c r="GDG26" s="609"/>
      <c r="GDH26" s="609"/>
      <c r="GDI26" s="609"/>
      <c r="GDJ26" s="609"/>
      <c r="GDK26" s="609"/>
      <c r="GDL26" s="609"/>
      <c r="GDM26" s="609"/>
      <c r="GDN26" s="609"/>
      <c r="GDO26" s="609"/>
      <c r="GDP26" s="609"/>
      <c r="GDQ26" s="609"/>
      <c r="GDR26" s="609"/>
      <c r="GDS26" s="609"/>
      <c r="GDT26" s="609"/>
      <c r="GDU26" s="609"/>
      <c r="GDV26" s="609"/>
      <c r="GDW26" s="609"/>
      <c r="GDX26" s="609"/>
      <c r="GDY26" s="609"/>
      <c r="GDZ26" s="609"/>
      <c r="GEA26" s="609"/>
      <c r="GEB26" s="609"/>
      <c r="GEC26" s="609"/>
      <c r="GED26" s="609"/>
      <c r="GEE26" s="609"/>
      <c r="GEF26" s="609"/>
      <c r="GEG26" s="609"/>
      <c r="GEH26" s="609"/>
      <c r="GEI26" s="609"/>
      <c r="GEJ26" s="609"/>
      <c r="GEK26" s="609"/>
      <c r="GEL26" s="609"/>
      <c r="GEM26" s="609"/>
      <c r="GEN26" s="609"/>
      <c r="GEO26" s="609"/>
      <c r="GEP26" s="609"/>
      <c r="GEQ26" s="609"/>
      <c r="GER26" s="609"/>
      <c r="GES26" s="609"/>
      <c r="GET26" s="609"/>
      <c r="GEU26" s="609"/>
      <c r="GEV26" s="609"/>
      <c r="GEW26" s="609"/>
      <c r="GEX26" s="609"/>
      <c r="GEY26" s="609"/>
      <c r="GEZ26" s="609"/>
      <c r="GFA26" s="609"/>
      <c r="GFB26" s="609"/>
      <c r="GFC26" s="609"/>
      <c r="GFD26" s="609"/>
      <c r="GFE26" s="609"/>
      <c r="GFF26" s="609"/>
      <c r="GFG26" s="609"/>
      <c r="GFH26" s="609"/>
      <c r="GFI26" s="609"/>
      <c r="GFJ26" s="609"/>
      <c r="GFK26" s="609"/>
      <c r="GFL26" s="609"/>
      <c r="GFM26" s="609"/>
      <c r="GFN26" s="609"/>
      <c r="GFO26" s="609"/>
      <c r="GFP26" s="609"/>
      <c r="GFQ26" s="609"/>
      <c r="GFR26" s="609"/>
      <c r="GFS26" s="609"/>
      <c r="GFT26" s="609"/>
      <c r="GFU26" s="609"/>
      <c r="GFV26" s="609"/>
      <c r="GFW26" s="609"/>
      <c r="GFX26" s="609"/>
      <c r="GFY26" s="609"/>
      <c r="GFZ26" s="609"/>
      <c r="GGA26" s="609"/>
      <c r="GGB26" s="609"/>
      <c r="GGC26" s="609"/>
      <c r="GGD26" s="609"/>
      <c r="GGE26" s="609"/>
      <c r="GGF26" s="609"/>
      <c r="GGG26" s="609"/>
      <c r="GGH26" s="609"/>
      <c r="GGI26" s="609"/>
      <c r="GGJ26" s="609"/>
      <c r="GGK26" s="609"/>
      <c r="GGL26" s="609"/>
      <c r="GGM26" s="609"/>
      <c r="GGN26" s="609"/>
      <c r="GGO26" s="609"/>
      <c r="GGP26" s="609"/>
      <c r="GGQ26" s="609"/>
      <c r="GGR26" s="609"/>
      <c r="GGS26" s="609"/>
      <c r="GGT26" s="609"/>
      <c r="GGU26" s="609"/>
      <c r="GGV26" s="609"/>
      <c r="GGW26" s="609"/>
      <c r="GGX26" s="609"/>
      <c r="GGY26" s="609"/>
      <c r="GGZ26" s="609"/>
      <c r="GHA26" s="609"/>
      <c r="GHB26" s="609"/>
      <c r="GHC26" s="609"/>
      <c r="GHD26" s="609"/>
      <c r="GHE26" s="609"/>
      <c r="GHF26" s="609"/>
      <c r="GHG26" s="609"/>
      <c r="GHH26" s="609"/>
      <c r="GHI26" s="609"/>
      <c r="GHJ26" s="609"/>
      <c r="GHK26" s="609"/>
      <c r="GHL26" s="609"/>
      <c r="GHM26" s="609"/>
      <c r="GHN26" s="609"/>
      <c r="GHO26" s="609"/>
      <c r="GHP26" s="609"/>
      <c r="GHQ26" s="609"/>
      <c r="GHR26" s="609"/>
      <c r="GHS26" s="609"/>
      <c r="GHT26" s="609"/>
      <c r="GHU26" s="609"/>
      <c r="GHV26" s="609"/>
      <c r="GHW26" s="609"/>
      <c r="GHX26" s="609"/>
      <c r="GHY26" s="609"/>
      <c r="GHZ26" s="609"/>
      <c r="GIA26" s="609"/>
      <c r="GIB26" s="609"/>
      <c r="GIC26" s="609"/>
      <c r="GID26" s="609"/>
      <c r="GIE26" s="609"/>
      <c r="GIF26" s="609"/>
      <c r="GIG26" s="609"/>
      <c r="GIH26" s="609"/>
      <c r="GII26" s="609"/>
      <c r="GIJ26" s="609"/>
      <c r="GIK26" s="609"/>
      <c r="GIL26" s="609"/>
      <c r="GIM26" s="609"/>
      <c r="GIN26" s="609"/>
      <c r="GIO26" s="609"/>
      <c r="GIP26" s="609"/>
      <c r="GIQ26" s="609"/>
      <c r="GIR26" s="609"/>
      <c r="GIS26" s="609"/>
      <c r="GIT26" s="609"/>
      <c r="GIU26" s="609"/>
      <c r="GIV26" s="609"/>
      <c r="GIW26" s="609"/>
      <c r="GIX26" s="609"/>
      <c r="GIY26" s="609"/>
      <c r="GIZ26" s="609"/>
      <c r="GJA26" s="609"/>
      <c r="GJB26" s="609"/>
      <c r="GJC26" s="609"/>
      <c r="GJD26" s="609"/>
      <c r="GJE26" s="609"/>
      <c r="GJF26" s="609"/>
      <c r="GJG26" s="609"/>
      <c r="GJH26" s="609"/>
      <c r="GJI26" s="609"/>
      <c r="GJJ26" s="609"/>
      <c r="GJK26" s="609"/>
      <c r="GJL26" s="609"/>
      <c r="GJM26" s="609"/>
      <c r="GJN26" s="609"/>
      <c r="GJO26" s="609"/>
      <c r="GJP26" s="609"/>
      <c r="GJQ26" s="609"/>
      <c r="GJR26" s="609"/>
      <c r="GJS26" s="609"/>
      <c r="GJT26" s="609"/>
      <c r="GJU26" s="609"/>
      <c r="GJV26" s="609"/>
      <c r="GJW26" s="609"/>
      <c r="GJX26" s="609"/>
      <c r="GJY26" s="609"/>
      <c r="GJZ26" s="609"/>
      <c r="GKA26" s="609"/>
      <c r="GKB26" s="609"/>
      <c r="GKC26" s="609"/>
      <c r="GKD26" s="609"/>
      <c r="GKE26" s="609"/>
      <c r="GKF26" s="609"/>
      <c r="GKG26" s="609"/>
      <c r="GKH26" s="609"/>
      <c r="GKI26" s="609"/>
      <c r="GKJ26" s="609"/>
      <c r="GKK26" s="609"/>
      <c r="GKL26" s="609"/>
      <c r="GKM26" s="609"/>
      <c r="GKN26" s="609"/>
      <c r="GKO26" s="609"/>
      <c r="GKP26" s="609"/>
      <c r="GKQ26" s="609"/>
      <c r="GKR26" s="609"/>
      <c r="GKS26" s="609"/>
      <c r="GKT26" s="609"/>
      <c r="GKU26" s="609"/>
      <c r="GKV26" s="609"/>
      <c r="GKW26" s="609"/>
      <c r="GKX26" s="609"/>
      <c r="GKY26" s="609"/>
      <c r="GKZ26" s="609"/>
      <c r="GLA26" s="609"/>
      <c r="GLB26" s="609"/>
      <c r="GLC26" s="609"/>
      <c r="GLD26" s="609"/>
      <c r="GLE26" s="609"/>
      <c r="GLF26" s="609"/>
      <c r="GLG26" s="609"/>
      <c r="GLH26" s="609"/>
      <c r="GLI26" s="609"/>
      <c r="GLJ26" s="609"/>
      <c r="GLK26" s="609"/>
      <c r="GLL26" s="609"/>
      <c r="GLM26" s="609"/>
      <c r="GLN26" s="609"/>
      <c r="GLO26" s="609"/>
      <c r="GLP26" s="609"/>
      <c r="GLQ26" s="609"/>
      <c r="GLR26" s="609"/>
      <c r="GLS26" s="609"/>
      <c r="GLT26" s="609"/>
      <c r="GLU26" s="609"/>
      <c r="GLV26" s="609"/>
      <c r="GLW26" s="609"/>
      <c r="GLX26" s="609"/>
      <c r="GLY26" s="609"/>
      <c r="GLZ26" s="609"/>
      <c r="GMA26" s="609"/>
      <c r="GMB26" s="609"/>
      <c r="GMC26" s="609"/>
      <c r="GMD26" s="609"/>
      <c r="GME26" s="609"/>
      <c r="GMF26" s="609"/>
      <c r="GMG26" s="609"/>
      <c r="GMH26" s="609"/>
      <c r="GMI26" s="609"/>
      <c r="GMJ26" s="609"/>
      <c r="GMK26" s="609"/>
      <c r="GML26" s="609"/>
      <c r="GMM26" s="609"/>
      <c r="GMN26" s="609"/>
      <c r="GMO26" s="609"/>
      <c r="GMP26" s="609"/>
      <c r="GMQ26" s="609"/>
      <c r="GMR26" s="609"/>
      <c r="GMS26" s="609"/>
      <c r="GMT26" s="609"/>
      <c r="GMU26" s="609"/>
      <c r="GMV26" s="609"/>
      <c r="GMW26" s="609"/>
      <c r="GMX26" s="609"/>
      <c r="GMY26" s="609"/>
      <c r="GMZ26" s="609"/>
      <c r="GNA26" s="609"/>
      <c r="GNB26" s="609"/>
      <c r="GNC26" s="609"/>
      <c r="GND26" s="609"/>
      <c r="GNE26" s="609"/>
      <c r="GNF26" s="609"/>
      <c r="GNG26" s="609"/>
      <c r="GNH26" s="609"/>
      <c r="GNI26" s="609"/>
      <c r="GNJ26" s="609"/>
      <c r="GNK26" s="609"/>
      <c r="GNL26" s="609"/>
      <c r="GNM26" s="609"/>
      <c r="GNN26" s="609"/>
      <c r="GNO26" s="609"/>
      <c r="GNP26" s="609"/>
      <c r="GNQ26" s="609"/>
      <c r="GNR26" s="609"/>
      <c r="GNS26" s="609"/>
      <c r="GNT26" s="609"/>
      <c r="GNU26" s="609"/>
      <c r="GNV26" s="609"/>
      <c r="GNW26" s="609"/>
      <c r="GNX26" s="609"/>
      <c r="GNY26" s="609"/>
      <c r="GNZ26" s="609"/>
      <c r="GOA26" s="609"/>
      <c r="GOB26" s="609"/>
      <c r="GOC26" s="609"/>
      <c r="GOD26" s="609"/>
      <c r="GOE26" s="609"/>
      <c r="GOF26" s="609"/>
      <c r="GOG26" s="609"/>
      <c r="GOH26" s="609"/>
      <c r="GOI26" s="609"/>
      <c r="GOJ26" s="609"/>
      <c r="GOK26" s="609"/>
      <c r="GOL26" s="609"/>
      <c r="GOM26" s="609"/>
      <c r="GON26" s="609"/>
      <c r="GOO26" s="609"/>
      <c r="GOP26" s="609"/>
      <c r="GOQ26" s="609"/>
      <c r="GOR26" s="609"/>
      <c r="GOS26" s="609"/>
      <c r="GOT26" s="609"/>
      <c r="GOU26" s="609"/>
      <c r="GOV26" s="609"/>
      <c r="GOW26" s="609"/>
      <c r="GOX26" s="609"/>
      <c r="GOY26" s="609"/>
      <c r="GOZ26" s="609"/>
      <c r="GPA26" s="609"/>
      <c r="GPB26" s="609"/>
      <c r="GPC26" s="609"/>
      <c r="GPD26" s="609"/>
      <c r="GPE26" s="609"/>
      <c r="GPF26" s="609"/>
      <c r="GPG26" s="609"/>
      <c r="GPH26" s="609"/>
      <c r="GPI26" s="609"/>
      <c r="GPJ26" s="609"/>
      <c r="GPK26" s="609"/>
      <c r="GPL26" s="609"/>
      <c r="GPM26" s="609"/>
      <c r="GPN26" s="609"/>
      <c r="GPO26" s="609"/>
      <c r="GPP26" s="609"/>
      <c r="GPQ26" s="609"/>
      <c r="GPR26" s="609"/>
      <c r="GPS26" s="609"/>
      <c r="GPT26" s="609"/>
      <c r="GPU26" s="609"/>
      <c r="GPV26" s="609"/>
      <c r="GPW26" s="609"/>
      <c r="GPX26" s="609"/>
      <c r="GPY26" s="609"/>
      <c r="GPZ26" s="609"/>
      <c r="GQA26" s="609"/>
      <c r="GQB26" s="609"/>
      <c r="GQC26" s="609"/>
      <c r="GQD26" s="609"/>
      <c r="GQE26" s="609"/>
      <c r="GQF26" s="609"/>
      <c r="GQG26" s="609"/>
      <c r="GQH26" s="609"/>
      <c r="GQI26" s="609"/>
      <c r="GQJ26" s="609"/>
      <c r="GQK26" s="609"/>
      <c r="GQL26" s="609"/>
      <c r="GQM26" s="609"/>
      <c r="GQN26" s="609"/>
      <c r="GQO26" s="609"/>
      <c r="GQP26" s="609"/>
      <c r="GQQ26" s="609"/>
      <c r="GQR26" s="609"/>
      <c r="GQS26" s="609"/>
      <c r="GQT26" s="609"/>
      <c r="GQU26" s="609"/>
      <c r="GQV26" s="609"/>
      <c r="GQW26" s="609"/>
      <c r="GQX26" s="609"/>
      <c r="GQY26" s="609"/>
      <c r="GQZ26" s="609"/>
      <c r="GRA26" s="609"/>
      <c r="GRB26" s="609"/>
      <c r="GRC26" s="609"/>
      <c r="GRD26" s="609"/>
      <c r="GRE26" s="609"/>
      <c r="GRF26" s="609"/>
      <c r="GRG26" s="609"/>
      <c r="GRH26" s="609"/>
      <c r="GRI26" s="609"/>
      <c r="GRJ26" s="609"/>
      <c r="GRK26" s="609"/>
      <c r="GRL26" s="609"/>
      <c r="GRM26" s="609"/>
      <c r="GRN26" s="609"/>
      <c r="GRO26" s="609"/>
      <c r="GRP26" s="609"/>
      <c r="GRQ26" s="609"/>
      <c r="GRR26" s="609"/>
      <c r="GRS26" s="609"/>
      <c r="GRT26" s="609"/>
      <c r="GRU26" s="609"/>
      <c r="GRV26" s="609"/>
      <c r="GRW26" s="609"/>
      <c r="GRX26" s="609"/>
      <c r="GRY26" s="609"/>
      <c r="GRZ26" s="609"/>
      <c r="GSA26" s="609"/>
      <c r="GSB26" s="609"/>
      <c r="GSC26" s="609"/>
      <c r="GSD26" s="609"/>
      <c r="GSE26" s="609"/>
      <c r="GSF26" s="609"/>
      <c r="GSG26" s="609"/>
      <c r="GSH26" s="609"/>
      <c r="GSI26" s="609"/>
      <c r="GSJ26" s="609"/>
      <c r="GSK26" s="609"/>
      <c r="GSL26" s="609"/>
      <c r="GSM26" s="609"/>
      <c r="GSN26" s="609"/>
      <c r="GSO26" s="609"/>
      <c r="GSP26" s="609"/>
      <c r="GSQ26" s="609"/>
      <c r="GSR26" s="609"/>
      <c r="GSS26" s="609"/>
      <c r="GST26" s="609"/>
      <c r="GSU26" s="609"/>
      <c r="GSV26" s="609"/>
      <c r="GSW26" s="609"/>
      <c r="GSX26" s="609"/>
      <c r="GSY26" s="609"/>
      <c r="GSZ26" s="609"/>
      <c r="GTA26" s="609"/>
      <c r="GTB26" s="609"/>
      <c r="GTC26" s="609"/>
      <c r="GTD26" s="609"/>
      <c r="GTE26" s="609"/>
      <c r="GTF26" s="609"/>
      <c r="GTG26" s="609"/>
      <c r="GTH26" s="609"/>
      <c r="GTI26" s="609"/>
      <c r="GTJ26" s="609"/>
      <c r="GTK26" s="609"/>
      <c r="GTL26" s="609"/>
      <c r="GTM26" s="609"/>
      <c r="GTN26" s="609"/>
      <c r="GTO26" s="609"/>
      <c r="GTP26" s="609"/>
      <c r="GTQ26" s="609"/>
      <c r="GTR26" s="609"/>
      <c r="GTS26" s="609"/>
      <c r="GTT26" s="609"/>
      <c r="GTU26" s="609"/>
      <c r="GTV26" s="609"/>
      <c r="GTW26" s="609"/>
      <c r="GTX26" s="609"/>
      <c r="GTY26" s="609"/>
      <c r="GTZ26" s="609"/>
      <c r="GUA26" s="609"/>
      <c r="GUB26" s="609"/>
      <c r="GUC26" s="609"/>
      <c r="GUD26" s="609"/>
      <c r="GUE26" s="609"/>
      <c r="GUF26" s="609"/>
      <c r="GUG26" s="609"/>
      <c r="GUH26" s="609"/>
      <c r="GUI26" s="609"/>
      <c r="GUJ26" s="609"/>
      <c r="GUK26" s="609"/>
      <c r="GUL26" s="609"/>
      <c r="GUM26" s="609"/>
      <c r="GUN26" s="609"/>
      <c r="GUO26" s="609"/>
      <c r="GUP26" s="609"/>
      <c r="GUQ26" s="609"/>
      <c r="GUR26" s="609"/>
      <c r="GUS26" s="609"/>
      <c r="GUT26" s="609"/>
      <c r="GUU26" s="609"/>
      <c r="GUV26" s="609"/>
      <c r="GUW26" s="609"/>
      <c r="GUX26" s="609"/>
      <c r="GUY26" s="609"/>
      <c r="GUZ26" s="609"/>
      <c r="GVA26" s="609"/>
      <c r="GVB26" s="609"/>
      <c r="GVC26" s="609"/>
      <c r="GVD26" s="609"/>
      <c r="GVE26" s="609"/>
      <c r="GVF26" s="609"/>
      <c r="GVG26" s="609"/>
      <c r="GVH26" s="609"/>
      <c r="GVI26" s="609"/>
      <c r="GVJ26" s="609"/>
      <c r="GVK26" s="609"/>
      <c r="GVL26" s="609"/>
      <c r="GVM26" s="609"/>
      <c r="GVN26" s="609"/>
      <c r="GVO26" s="609"/>
      <c r="GVP26" s="609"/>
      <c r="GVQ26" s="609"/>
      <c r="GVR26" s="609"/>
      <c r="GVS26" s="609"/>
      <c r="GVT26" s="609"/>
      <c r="GVU26" s="609"/>
      <c r="GVV26" s="609"/>
      <c r="GVW26" s="609"/>
      <c r="GVX26" s="609"/>
      <c r="GVY26" s="609"/>
      <c r="GVZ26" s="609"/>
      <c r="GWA26" s="609"/>
      <c r="GWB26" s="609"/>
      <c r="GWC26" s="609"/>
      <c r="GWD26" s="609"/>
      <c r="GWE26" s="609"/>
      <c r="GWF26" s="609"/>
      <c r="GWG26" s="609"/>
      <c r="GWH26" s="609"/>
      <c r="GWI26" s="609"/>
      <c r="GWJ26" s="609"/>
      <c r="GWK26" s="609"/>
      <c r="GWL26" s="609"/>
      <c r="GWM26" s="609"/>
      <c r="GWN26" s="609"/>
      <c r="GWO26" s="609"/>
      <c r="GWP26" s="609"/>
      <c r="GWQ26" s="609"/>
      <c r="GWR26" s="609"/>
      <c r="GWS26" s="609"/>
      <c r="GWT26" s="609"/>
      <c r="GWU26" s="609"/>
      <c r="GWV26" s="609"/>
      <c r="GWW26" s="609"/>
      <c r="GWX26" s="609"/>
      <c r="GWY26" s="609"/>
      <c r="GWZ26" s="609"/>
      <c r="GXA26" s="609"/>
      <c r="GXB26" s="609"/>
      <c r="GXC26" s="609"/>
      <c r="GXD26" s="609"/>
      <c r="GXE26" s="609"/>
      <c r="GXF26" s="609"/>
      <c r="GXG26" s="609"/>
      <c r="GXH26" s="609"/>
      <c r="GXI26" s="609"/>
      <c r="GXJ26" s="609"/>
      <c r="GXK26" s="609"/>
      <c r="GXL26" s="609"/>
      <c r="GXM26" s="609"/>
      <c r="GXN26" s="609"/>
      <c r="GXO26" s="609"/>
      <c r="GXP26" s="609"/>
      <c r="GXQ26" s="609"/>
      <c r="GXR26" s="609"/>
      <c r="GXS26" s="609"/>
      <c r="GXT26" s="609"/>
      <c r="GXU26" s="609"/>
      <c r="GXV26" s="609"/>
      <c r="GXW26" s="609"/>
      <c r="GXX26" s="609"/>
      <c r="GXY26" s="609"/>
      <c r="GXZ26" s="609"/>
      <c r="GYA26" s="609"/>
      <c r="GYB26" s="609"/>
      <c r="GYC26" s="609"/>
      <c r="GYD26" s="609"/>
      <c r="GYE26" s="609"/>
      <c r="GYF26" s="609"/>
      <c r="GYG26" s="609"/>
      <c r="GYH26" s="609"/>
      <c r="GYI26" s="609"/>
      <c r="GYJ26" s="609"/>
      <c r="GYK26" s="609"/>
      <c r="GYL26" s="609"/>
      <c r="GYM26" s="609"/>
      <c r="GYN26" s="609"/>
      <c r="GYO26" s="609"/>
      <c r="GYP26" s="609"/>
      <c r="GYQ26" s="609"/>
      <c r="GYR26" s="609"/>
      <c r="GYS26" s="609"/>
      <c r="GYT26" s="609"/>
      <c r="GYU26" s="609"/>
      <c r="GYV26" s="609"/>
      <c r="GYW26" s="609"/>
      <c r="GYX26" s="609"/>
      <c r="GYY26" s="609"/>
      <c r="GYZ26" s="609"/>
      <c r="GZA26" s="609"/>
      <c r="GZB26" s="609"/>
      <c r="GZC26" s="609"/>
      <c r="GZD26" s="609"/>
      <c r="GZE26" s="609"/>
      <c r="GZF26" s="609"/>
      <c r="GZG26" s="609"/>
      <c r="GZH26" s="609"/>
      <c r="GZI26" s="609"/>
      <c r="GZJ26" s="609"/>
      <c r="GZK26" s="609"/>
      <c r="GZL26" s="609"/>
      <c r="GZM26" s="609"/>
      <c r="GZN26" s="609"/>
      <c r="GZO26" s="609"/>
      <c r="GZP26" s="609"/>
      <c r="GZQ26" s="609"/>
      <c r="GZR26" s="609"/>
      <c r="GZS26" s="609"/>
      <c r="GZT26" s="609"/>
      <c r="GZU26" s="609"/>
      <c r="GZV26" s="609"/>
      <c r="GZW26" s="609"/>
      <c r="GZX26" s="609"/>
      <c r="GZY26" s="609"/>
      <c r="GZZ26" s="609"/>
      <c r="HAA26" s="609"/>
      <c r="HAB26" s="609"/>
      <c r="HAC26" s="609"/>
      <c r="HAD26" s="609"/>
      <c r="HAE26" s="609"/>
      <c r="HAF26" s="609"/>
      <c r="HAG26" s="609"/>
      <c r="HAH26" s="609"/>
      <c r="HAI26" s="609"/>
      <c r="HAJ26" s="609"/>
      <c r="HAK26" s="609"/>
      <c r="HAL26" s="609"/>
      <c r="HAM26" s="609"/>
      <c r="HAN26" s="609"/>
      <c r="HAO26" s="609"/>
      <c r="HAP26" s="609"/>
      <c r="HAQ26" s="609"/>
      <c r="HAR26" s="609"/>
      <c r="HAS26" s="609"/>
      <c r="HAT26" s="609"/>
      <c r="HAU26" s="609"/>
      <c r="HAV26" s="609"/>
      <c r="HAW26" s="609"/>
      <c r="HAX26" s="609"/>
      <c r="HAY26" s="609"/>
      <c r="HAZ26" s="609"/>
      <c r="HBA26" s="609"/>
      <c r="HBB26" s="609"/>
      <c r="HBC26" s="609"/>
      <c r="HBD26" s="609"/>
      <c r="HBE26" s="609"/>
      <c r="HBF26" s="609"/>
      <c r="HBG26" s="609"/>
      <c r="HBH26" s="609"/>
      <c r="HBI26" s="609"/>
      <c r="HBJ26" s="609"/>
      <c r="HBK26" s="609"/>
      <c r="HBL26" s="609"/>
      <c r="HBM26" s="609"/>
      <c r="HBN26" s="609"/>
      <c r="HBO26" s="609"/>
      <c r="HBP26" s="609"/>
      <c r="HBQ26" s="609"/>
      <c r="HBR26" s="609"/>
      <c r="HBS26" s="609"/>
      <c r="HBT26" s="609"/>
      <c r="HBU26" s="609"/>
      <c r="HBV26" s="609"/>
      <c r="HBW26" s="609"/>
      <c r="HBX26" s="609"/>
      <c r="HBY26" s="609"/>
      <c r="HBZ26" s="609"/>
      <c r="HCA26" s="609"/>
      <c r="HCB26" s="609"/>
      <c r="HCC26" s="609"/>
      <c r="HCD26" s="609"/>
      <c r="HCE26" s="609"/>
      <c r="HCF26" s="609"/>
      <c r="HCG26" s="609"/>
      <c r="HCH26" s="609"/>
      <c r="HCI26" s="609"/>
      <c r="HCJ26" s="609"/>
      <c r="HCK26" s="609"/>
      <c r="HCL26" s="609"/>
      <c r="HCM26" s="609"/>
      <c r="HCN26" s="609"/>
      <c r="HCO26" s="609"/>
      <c r="HCP26" s="609"/>
      <c r="HCQ26" s="609"/>
      <c r="HCR26" s="609"/>
      <c r="HCS26" s="609"/>
      <c r="HCT26" s="609"/>
      <c r="HCU26" s="609"/>
      <c r="HCV26" s="609"/>
      <c r="HCW26" s="609"/>
      <c r="HCX26" s="609"/>
      <c r="HCY26" s="609"/>
      <c r="HCZ26" s="609"/>
      <c r="HDA26" s="609"/>
      <c r="HDB26" s="609"/>
      <c r="HDC26" s="609"/>
      <c r="HDD26" s="609"/>
      <c r="HDE26" s="609"/>
      <c r="HDF26" s="609"/>
      <c r="HDG26" s="609"/>
      <c r="HDH26" s="609"/>
      <c r="HDI26" s="609"/>
      <c r="HDJ26" s="609"/>
      <c r="HDK26" s="609"/>
      <c r="HDL26" s="609"/>
      <c r="HDM26" s="609"/>
      <c r="HDN26" s="609"/>
      <c r="HDO26" s="609"/>
      <c r="HDP26" s="609"/>
      <c r="HDQ26" s="609"/>
      <c r="HDR26" s="609"/>
      <c r="HDS26" s="609"/>
      <c r="HDT26" s="609"/>
      <c r="HDU26" s="609"/>
      <c r="HDV26" s="609"/>
      <c r="HDW26" s="609"/>
      <c r="HDX26" s="609"/>
      <c r="HDY26" s="609"/>
      <c r="HDZ26" s="609"/>
      <c r="HEA26" s="609"/>
      <c r="HEB26" s="609"/>
      <c r="HEC26" s="609"/>
      <c r="HED26" s="609"/>
      <c r="HEE26" s="609"/>
      <c r="HEF26" s="609"/>
      <c r="HEG26" s="609"/>
      <c r="HEH26" s="609"/>
      <c r="HEI26" s="609"/>
      <c r="HEJ26" s="609"/>
      <c r="HEK26" s="609"/>
      <c r="HEL26" s="609"/>
      <c r="HEM26" s="609"/>
      <c r="HEN26" s="609"/>
      <c r="HEO26" s="609"/>
      <c r="HEP26" s="609"/>
      <c r="HEQ26" s="609"/>
      <c r="HER26" s="609"/>
      <c r="HES26" s="609"/>
      <c r="HET26" s="609"/>
      <c r="HEU26" s="609"/>
      <c r="HEV26" s="609"/>
      <c r="HEW26" s="609"/>
      <c r="HEX26" s="609"/>
      <c r="HEY26" s="609"/>
      <c r="HEZ26" s="609"/>
      <c r="HFA26" s="609"/>
      <c r="HFB26" s="609"/>
      <c r="HFC26" s="609"/>
      <c r="HFD26" s="609"/>
      <c r="HFE26" s="609"/>
      <c r="HFF26" s="609"/>
      <c r="HFG26" s="609"/>
      <c r="HFH26" s="609"/>
      <c r="HFI26" s="609"/>
      <c r="HFJ26" s="609"/>
      <c r="HFK26" s="609"/>
      <c r="HFL26" s="609"/>
      <c r="HFM26" s="609"/>
      <c r="HFN26" s="609"/>
      <c r="HFO26" s="609"/>
      <c r="HFP26" s="609"/>
      <c r="HFQ26" s="609"/>
      <c r="HFR26" s="609"/>
      <c r="HFS26" s="609"/>
      <c r="HFT26" s="609"/>
      <c r="HFU26" s="609"/>
      <c r="HFV26" s="609"/>
      <c r="HFW26" s="609"/>
      <c r="HFX26" s="609"/>
      <c r="HFY26" s="609"/>
      <c r="HFZ26" s="609"/>
      <c r="HGA26" s="609"/>
      <c r="HGB26" s="609"/>
      <c r="HGC26" s="609"/>
      <c r="HGD26" s="609"/>
      <c r="HGE26" s="609"/>
      <c r="HGF26" s="609"/>
      <c r="HGG26" s="609"/>
      <c r="HGH26" s="609"/>
      <c r="HGI26" s="609"/>
      <c r="HGJ26" s="609"/>
      <c r="HGK26" s="609"/>
      <c r="HGL26" s="609"/>
      <c r="HGM26" s="609"/>
      <c r="HGN26" s="609"/>
      <c r="HGO26" s="609"/>
      <c r="HGP26" s="609"/>
      <c r="HGQ26" s="609"/>
      <c r="HGR26" s="609"/>
      <c r="HGS26" s="609"/>
      <c r="HGT26" s="609"/>
      <c r="HGU26" s="609"/>
      <c r="HGV26" s="609"/>
      <c r="HGW26" s="609"/>
      <c r="HGX26" s="609"/>
      <c r="HGY26" s="609"/>
      <c r="HGZ26" s="609"/>
      <c r="HHA26" s="609"/>
      <c r="HHB26" s="609"/>
      <c r="HHC26" s="609"/>
      <c r="HHD26" s="609"/>
      <c r="HHE26" s="609"/>
      <c r="HHF26" s="609"/>
      <c r="HHG26" s="609"/>
      <c r="HHH26" s="609"/>
      <c r="HHI26" s="609"/>
      <c r="HHJ26" s="609"/>
      <c r="HHK26" s="609"/>
      <c r="HHL26" s="609"/>
      <c r="HHM26" s="609"/>
      <c r="HHN26" s="609"/>
      <c r="HHO26" s="609"/>
      <c r="HHP26" s="609"/>
      <c r="HHQ26" s="609"/>
      <c r="HHR26" s="609"/>
      <c r="HHS26" s="609"/>
      <c r="HHT26" s="609"/>
      <c r="HHU26" s="609"/>
      <c r="HHV26" s="609"/>
      <c r="HHW26" s="609"/>
      <c r="HHX26" s="609"/>
      <c r="HHY26" s="609"/>
      <c r="HHZ26" s="609"/>
      <c r="HIA26" s="609"/>
      <c r="HIB26" s="609"/>
      <c r="HIC26" s="609"/>
      <c r="HID26" s="609"/>
      <c r="HIE26" s="609"/>
      <c r="HIF26" s="609"/>
      <c r="HIG26" s="609"/>
      <c r="HIH26" s="609"/>
      <c r="HII26" s="609"/>
      <c r="HIJ26" s="609"/>
      <c r="HIK26" s="609"/>
      <c r="HIL26" s="609"/>
      <c r="HIM26" s="609"/>
      <c r="HIN26" s="609"/>
      <c r="HIO26" s="609"/>
      <c r="HIP26" s="609"/>
      <c r="HIQ26" s="609"/>
      <c r="HIR26" s="609"/>
      <c r="HIS26" s="609"/>
      <c r="HIT26" s="609"/>
      <c r="HIU26" s="609"/>
      <c r="HIV26" s="609"/>
      <c r="HIW26" s="609"/>
      <c r="HIX26" s="609"/>
      <c r="HIY26" s="609"/>
      <c r="HIZ26" s="609"/>
      <c r="HJA26" s="609"/>
      <c r="HJB26" s="609"/>
      <c r="HJC26" s="609"/>
      <c r="HJD26" s="609"/>
      <c r="HJE26" s="609"/>
      <c r="HJF26" s="609"/>
      <c r="HJG26" s="609"/>
      <c r="HJH26" s="609"/>
      <c r="HJI26" s="609"/>
      <c r="HJJ26" s="609"/>
      <c r="HJK26" s="609"/>
      <c r="HJL26" s="609"/>
      <c r="HJM26" s="609"/>
      <c r="HJN26" s="609"/>
      <c r="HJO26" s="609"/>
      <c r="HJP26" s="609"/>
      <c r="HJQ26" s="609"/>
      <c r="HJR26" s="609"/>
      <c r="HJS26" s="609"/>
      <c r="HJT26" s="609"/>
      <c r="HJU26" s="609"/>
      <c r="HJV26" s="609"/>
      <c r="HJW26" s="609"/>
      <c r="HJX26" s="609"/>
      <c r="HJY26" s="609"/>
      <c r="HJZ26" s="609"/>
      <c r="HKA26" s="609"/>
      <c r="HKB26" s="609"/>
      <c r="HKC26" s="609"/>
      <c r="HKD26" s="609"/>
      <c r="HKE26" s="609"/>
      <c r="HKF26" s="609"/>
      <c r="HKG26" s="609"/>
      <c r="HKH26" s="609"/>
      <c r="HKI26" s="609"/>
      <c r="HKJ26" s="609"/>
      <c r="HKK26" s="609"/>
      <c r="HKL26" s="609"/>
      <c r="HKM26" s="609"/>
      <c r="HKN26" s="609"/>
      <c r="HKO26" s="609"/>
      <c r="HKP26" s="609"/>
      <c r="HKQ26" s="609"/>
      <c r="HKR26" s="609"/>
      <c r="HKS26" s="609"/>
      <c r="HKT26" s="609"/>
      <c r="HKU26" s="609"/>
      <c r="HKV26" s="609"/>
      <c r="HKW26" s="609"/>
      <c r="HKX26" s="609"/>
      <c r="HKY26" s="609"/>
      <c r="HKZ26" s="609"/>
      <c r="HLA26" s="609"/>
      <c r="HLB26" s="609"/>
      <c r="HLC26" s="609"/>
      <c r="HLD26" s="609"/>
      <c r="HLE26" s="609"/>
      <c r="HLF26" s="609"/>
      <c r="HLG26" s="609"/>
      <c r="HLH26" s="609"/>
      <c r="HLI26" s="609"/>
      <c r="HLJ26" s="609"/>
      <c r="HLK26" s="609"/>
      <c r="HLL26" s="609"/>
      <c r="HLM26" s="609"/>
      <c r="HLN26" s="609"/>
      <c r="HLO26" s="609"/>
      <c r="HLP26" s="609"/>
      <c r="HLQ26" s="609"/>
      <c r="HLR26" s="609"/>
      <c r="HLS26" s="609"/>
      <c r="HLT26" s="609"/>
      <c r="HLU26" s="609"/>
      <c r="HLV26" s="609"/>
      <c r="HLW26" s="609"/>
      <c r="HLX26" s="609"/>
      <c r="HLY26" s="609"/>
      <c r="HLZ26" s="609"/>
      <c r="HMA26" s="609"/>
      <c r="HMB26" s="609"/>
      <c r="HMC26" s="609"/>
      <c r="HMD26" s="609"/>
      <c r="HME26" s="609"/>
      <c r="HMF26" s="609"/>
      <c r="HMG26" s="609"/>
      <c r="HMH26" s="609"/>
      <c r="HMI26" s="609"/>
      <c r="HMJ26" s="609"/>
      <c r="HMK26" s="609"/>
      <c r="HML26" s="609"/>
      <c r="HMM26" s="609"/>
      <c r="HMN26" s="609"/>
      <c r="HMO26" s="609"/>
      <c r="HMP26" s="609"/>
      <c r="HMQ26" s="609"/>
      <c r="HMR26" s="609"/>
      <c r="HMS26" s="609"/>
      <c r="HMT26" s="609"/>
      <c r="HMU26" s="609"/>
      <c r="HMV26" s="609"/>
      <c r="HMW26" s="609"/>
      <c r="HMX26" s="609"/>
      <c r="HMY26" s="609"/>
      <c r="HMZ26" s="609"/>
      <c r="HNA26" s="609"/>
      <c r="HNB26" s="609"/>
      <c r="HNC26" s="609"/>
      <c r="HND26" s="609"/>
      <c r="HNE26" s="609"/>
      <c r="HNF26" s="609"/>
      <c r="HNG26" s="609"/>
      <c r="HNH26" s="609"/>
      <c r="HNI26" s="609"/>
      <c r="HNJ26" s="609"/>
      <c r="HNK26" s="609"/>
      <c r="HNL26" s="609"/>
      <c r="HNM26" s="609"/>
      <c r="HNN26" s="609"/>
      <c r="HNO26" s="609"/>
      <c r="HNP26" s="609"/>
      <c r="HNQ26" s="609"/>
      <c r="HNR26" s="609"/>
      <c r="HNS26" s="609"/>
      <c r="HNT26" s="609"/>
      <c r="HNU26" s="609"/>
      <c r="HNV26" s="609"/>
      <c r="HNW26" s="609"/>
      <c r="HNX26" s="609"/>
      <c r="HNY26" s="609"/>
      <c r="HNZ26" s="609"/>
      <c r="HOA26" s="609"/>
      <c r="HOB26" s="609"/>
      <c r="HOC26" s="609"/>
      <c r="HOD26" s="609"/>
      <c r="HOE26" s="609"/>
      <c r="HOF26" s="609"/>
      <c r="HOG26" s="609"/>
      <c r="HOH26" s="609"/>
      <c r="HOI26" s="609"/>
      <c r="HOJ26" s="609"/>
      <c r="HOK26" s="609"/>
      <c r="HOL26" s="609"/>
      <c r="HOM26" s="609"/>
      <c r="HON26" s="609"/>
      <c r="HOO26" s="609"/>
      <c r="HOP26" s="609"/>
      <c r="HOQ26" s="609"/>
      <c r="HOR26" s="609"/>
      <c r="HOS26" s="609"/>
      <c r="HOT26" s="609"/>
      <c r="HOU26" s="609"/>
      <c r="HOV26" s="609"/>
      <c r="HOW26" s="609"/>
      <c r="HOX26" s="609"/>
      <c r="HOY26" s="609"/>
      <c r="HOZ26" s="609"/>
      <c r="HPA26" s="609"/>
      <c r="HPB26" s="609"/>
      <c r="HPC26" s="609"/>
      <c r="HPD26" s="609"/>
      <c r="HPE26" s="609"/>
      <c r="HPF26" s="609"/>
      <c r="HPG26" s="609"/>
      <c r="HPH26" s="609"/>
      <c r="HPI26" s="609"/>
      <c r="HPJ26" s="609"/>
      <c r="HPK26" s="609"/>
      <c r="HPL26" s="609"/>
      <c r="HPM26" s="609"/>
      <c r="HPN26" s="609"/>
      <c r="HPO26" s="609"/>
      <c r="HPP26" s="609"/>
      <c r="HPQ26" s="609"/>
      <c r="HPR26" s="609"/>
      <c r="HPS26" s="609"/>
      <c r="HPT26" s="609"/>
      <c r="HPU26" s="609"/>
      <c r="HPV26" s="609"/>
      <c r="HPW26" s="609"/>
      <c r="HPX26" s="609"/>
      <c r="HPY26" s="609"/>
      <c r="HPZ26" s="609"/>
      <c r="HQA26" s="609"/>
      <c r="HQB26" s="609"/>
      <c r="HQC26" s="609"/>
      <c r="HQD26" s="609"/>
      <c r="HQE26" s="609"/>
      <c r="HQF26" s="609"/>
      <c r="HQG26" s="609"/>
      <c r="HQH26" s="609"/>
      <c r="HQI26" s="609"/>
      <c r="HQJ26" s="609"/>
      <c r="HQK26" s="609"/>
      <c r="HQL26" s="609"/>
      <c r="HQM26" s="609"/>
      <c r="HQN26" s="609"/>
      <c r="HQO26" s="609"/>
      <c r="HQP26" s="609"/>
      <c r="HQQ26" s="609"/>
      <c r="HQR26" s="609"/>
      <c r="HQS26" s="609"/>
      <c r="HQT26" s="609"/>
      <c r="HQU26" s="609"/>
      <c r="HQV26" s="609"/>
      <c r="HQW26" s="609"/>
      <c r="HQX26" s="609"/>
      <c r="HQY26" s="609"/>
      <c r="HQZ26" s="609"/>
      <c r="HRA26" s="609"/>
      <c r="HRB26" s="609"/>
      <c r="HRC26" s="609"/>
      <c r="HRD26" s="609"/>
      <c r="HRE26" s="609"/>
      <c r="HRF26" s="609"/>
      <c r="HRG26" s="609"/>
      <c r="HRH26" s="609"/>
      <c r="HRI26" s="609"/>
      <c r="HRJ26" s="609"/>
      <c r="HRK26" s="609"/>
      <c r="HRL26" s="609"/>
      <c r="HRM26" s="609"/>
      <c r="HRN26" s="609"/>
      <c r="HRO26" s="609"/>
      <c r="HRP26" s="609"/>
      <c r="HRQ26" s="609"/>
      <c r="HRR26" s="609"/>
      <c r="HRS26" s="609"/>
      <c r="HRT26" s="609"/>
      <c r="HRU26" s="609"/>
      <c r="HRV26" s="609"/>
      <c r="HRW26" s="609"/>
      <c r="HRX26" s="609"/>
      <c r="HRY26" s="609"/>
      <c r="HRZ26" s="609"/>
      <c r="HSA26" s="609"/>
      <c r="HSB26" s="609"/>
      <c r="HSC26" s="609"/>
      <c r="HSD26" s="609"/>
      <c r="HSE26" s="609"/>
      <c r="HSF26" s="609"/>
      <c r="HSG26" s="609"/>
      <c r="HSH26" s="609"/>
      <c r="HSI26" s="609"/>
      <c r="HSJ26" s="609"/>
      <c r="HSK26" s="609"/>
      <c r="HSL26" s="609"/>
      <c r="HSM26" s="609"/>
      <c r="HSN26" s="609"/>
      <c r="HSO26" s="609"/>
      <c r="HSP26" s="609"/>
      <c r="HSQ26" s="609"/>
      <c r="HSR26" s="609"/>
      <c r="HSS26" s="609"/>
      <c r="HST26" s="609"/>
      <c r="HSU26" s="609"/>
      <c r="HSV26" s="609"/>
      <c r="HSW26" s="609"/>
      <c r="HSX26" s="609"/>
      <c r="HSY26" s="609"/>
      <c r="HSZ26" s="609"/>
      <c r="HTA26" s="609"/>
      <c r="HTB26" s="609"/>
      <c r="HTC26" s="609"/>
      <c r="HTD26" s="609"/>
      <c r="HTE26" s="609"/>
      <c r="HTF26" s="609"/>
      <c r="HTG26" s="609"/>
      <c r="HTH26" s="609"/>
      <c r="HTI26" s="609"/>
      <c r="HTJ26" s="609"/>
      <c r="HTK26" s="609"/>
      <c r="HTL26" s="609"/>
      <c r="HTM26" s="609"/>
      <c r="HTN26" s="609"/>
      <c r="HTO26" s="609"/>
      <c r="HTP26" s="609"/>
      <c r="HTQ26" s="609"/>
      <c r="HTR26" s="609"/>
      <c r="HTS26" s="609"/>
      <c r="HTT26" s="609"/>
      <c r="HTU26" s="609"/>
      <c r="HTV26" s="609"/>
      <c r="HTW26" s="609"/>
      <c r="HTX26" s="609"/>
      <c r="HTY26" s="609"/>
      <c r="HTZ26" s="609"/>
      <c r="HUA26" s="609"/>
      <c r="HUB26" s="609"/>
      <c r="HUC26" s="609"/>
      <c r="HUD26" s="609"/>
      <c r="HUE26" s="609"/>
      <c r="HUF26" s="609"/>
      <c r="HUG26" s="609"/>
      <c r="HUH26" s="609"/>
      <c r="HUI26" s="609"/>
      <c r="HUJ26" s="609"/>
      <c r="HUK26" s="609"/>
      <c r="HUL26" s="609"/>
      <c r="HUM26" s="609"/>
      <c r="HUN26" s="609"/>
      <c r="HUO26" s="609"/>
      <c r="HUP26" s="609"/>
      <c r="HUQ26" s="609"/>
      <c r="HUR26" s="609"/>
      <c r="HUS26" s="609"/>
      <c r="HUT26" s="609"/>
      <c r="HUU26" s="609"/>
      <c r="HUV26" s="609"/>
      <c r="HUW26" s="609"/>
      <c r="HUX26" s="609"/>
      <c r="HUY26" s="609"/>
      <c r="HUZ26" s="609"/>
      <c r="HVA26" s="609"/>
      <c r="HVB26" s="609"/>
      <c r="HVC26" s="609"/>
      <c r="HVD26" s="609"/>
      <c r="HVE26" s="609"/>
      <c r="HVF26" s="609"/>
      <c r="HVG26" s="609"/>
      <c r="HVH26" s="609"/>
      <c r="HVI26" s="609"/>
      <c r="HVJ26" s="609"/>
      <c r="HVK26" s="609"/>
      <c r="HVL26" s="609"/>
      <c r="HVM26" s="609"/>
      <c r="HVN26" s="609"/>
      <c r="HVO26" s="609"/>
      <c r="HVP26" s="609"/>
      <c r="HVQ26" s="609"/>
      <c r="HVR26" s="609"/>
      <c r="HVS26" s="609"/>
      <c r="HVT26" s="609"/>
      <c r="HVU26" s="609"/>
      <c r="HVV26" s="609"/>
      <c r="HVW26" s="609"/>
      <c r="HVX26" s="609"/>
      <c r="HVY26" s="609"/>
      <c r="HVZ26" s="609"/>
      <c r="HWA26" s="609"/>
      <c r="HWB26" s="609"/>
      <c r="HWC26" s="609"/>
      <c r="HWD26" s="609"/>
      <c r="HWE26" s="609"/>
      <c r="HWF26" s="609"/>
      <c r="HWG26" s="609"/>
      <c r="HWH26" s="609"/>
      <c r="HWI26" s="609"/>
      <c r="HWJ26" s="609"/>
      <c r="HWK26" s="609"/>
      <c r="HWL26" s="609"/>
      <c r="HWM26" s="609"/>
      <c r="HWN26" s="609"/>
      <c r="HWO26" s="609"/>
      <c r="HWP26" s="609"/>
      <c r="HWQ26" s="609"/>
      <c r="HWR26" s="609"/>
      <c r="HWS26" s="609"/>
      <c r="HWT26" s="609"/>
      <c r="HWU26" s="609"/>
      <c r="HWV26" s="609"/>
      <c r="HWW26" s="609"/>
      <c r="HWX26" s="609"/>
      <c r="HWY26" s="609"/>
      <c r="HWZ26" s="609"/>
      <c r="HXA26" s="609"/>
      <c r="HXB26" s="609"/>
      <c r="HXC26" s="609"/>
      <c r="HXD26" s="609"/>
      <c r="HXE26" s="609"/>
      <c r="HXF26" s="609"/>
      <c r="HXG26" s="609"/>
      <c r="HXH26" s="609"/>
      <c r="HXI26" s="609"/>
      <c r="HXJ26" s="609"/>
      <c r="HXK26" s="609"/>
      <c r="HXL26" s="609"/>
      <c r="HXM26" s="609"/>
      <c r="HXN26" s="609"/>
      <c r="HXO26" s="609"/>
      <c r="HXP26" s="609"/>
      <c r="HXQ26" s="609"/>
      <c r="HXR26" s="609"/>
      <c r="HXS26" s="609"/>
      <c r="HXT26" s="609"/>
      <c r="HXU26" s="609"/>
      <c r="HXV26" s="609"/>
      <c r="HXW26" s="609"/>
      <c r="HXX26" s="609"/>
      <c r="HXY26" s="609"/>
      <c r="HXZ26" s="609"/>
      <c r="HYA26" s="609"/>
      <c r="HYB26" s="609"/>
      <c r="HYC26" s="609"/>
      <c r="HYD26" s="609"/>
      <c r="HYE26" s="609"/>
      <c r="HYF26" s="609"/>
      <c r="HYG26" s="609"/>
      <c r="HYH26" s="609"/>
      <c r="HYI26" s="609"/>
      <c r="HYJ26" s="609"/>
      <c r="HYK26" s="609"/>
      <c r="HYL26" s="609"/>
      <c r="HYM26" s="609"/>
      <c r="HYN26" s="609"/>
      <c r="HYO26" s="609"/>
      <c r="HYP26" s="609"/>
      <c r="HYQ26" s="609"/>
      <c r="HYR26" s="609"/>
      <c r="HYS26" s="609"/>
      <c r="HYT26" s="609"/>
      <c r="HYU26" s="609"/>
      <c r="HYV26" s="609"/>
      <c r="HYW26" s="609"/>
      <c r="HYX26" s="609"/>
      <c r="HYY26" s="609"/>
      <c r="HYZ26" s="609"/>
      <c r="HZA26" s="609"/>
      <c r="HZB26" s="609"/>
      <c r="HZC26" s="609"/>
      <c r="HZD26" s="609"/>
      <c r="HZE26" s="609"/>
      <c r="HZF26" s="609"/>
      <c r="HZG26" s="609"/>
      <c r="HZH26" s="609"/>
      <c r="HZI26" s="609"/>
      <c r="HZJ26" s="609"/>
      <c r="HZK26" s="609"/>
      <c r="HZL26" s="609"/>
      <c r="HZM26" s="609"/>
      <c r="HZN26" s="609"/>
      <c r="HZO26" s="609"/>
      <c r="HZP26" s="609"/>
      <c r="HZQ26" s="609"/>
      <c r="HZR26" s="609"/>
      <c r="HZS26" s="609"/>
      <c r="HZT26" s="609"/>
      <c r="HZU26" s="609"/>
      <c r="HZV26" s="609"/>
      <c r="HZW26" s="609"/>
      <c r="HZX26" s="609"/>
      <c r="HZY26" s="609"/>
      <c r="HZZ26" s="609"/>
      <c r="IAA26" s="609"/>
      <c r="IAB26" s="609"/>
      <c r="IAC26" s="609"/>
      <c r="IAD26" s="609"/>
      <c r="IAE26" s="609"/>
      <c r="IAF26" s="609"/>
      <c r="IAG26" s="609"/>
      <c r="IAH26" s="609"/>
      <c r="IAI26" s="609"/>
      <c r="IAJ26" s="609"/>
      <c r="IAK26" s="609"/>
      <c r="IAL26" s="609"/>
      <c r="IAM26" s="609"/>
      <c r="IAN26" s="609"/>
      <c r="IAO26" s="609"/>
      <c r="IAP26" s="609"/>
      <c r="IAQ26" s="609"/>
      <c r="IAR26" s="609"/>
      <c r="IAS26" s="609"/>
      <c r="IAT26" s="609"/>
      <c r="IAU26" s="609"/>
      <c r="IAV26" s="609"/>
      <c r="IAW26" s="609"/>
      <c r="IAX26" s="609"/>
      <c r="IAY26" s="609"/>
      <c r="IAZ26" s="609"/>
      <c r="IBA26" s="609"/>
      <c r="IBB26" s="609"/>
      <c r="IBC26" s="609"/>
      <c r="IBD26" s="609"/>
      <c r="IBE26" s="609"/>
      <c r="IBF26" s="609"/>
      <c r="IBG26" s="609"/>
      <c r="IBH26" s="609"/>
      <c r="IBI26" s="609"/>
      <c r="IBJ26" s="609"/>
      <c r="IBK26" s="609"/>
      <c r="IBL26" s="609"/>
      <c r="IBM26" s="609"/>
      <c r="IBN26" s="609"/>
      <c r="IBO26" s="609"/>
      <c r="IBP26" s="609"/>
      <c r="IBQ26" s="609"/>
      <c r="IBR26" s="609"/>
      <c r="IBS26" s="609"/>
      <c r="IBT26" s="609"/>
      <c r="IBU26" s="609"/>
      <c r="IBV26" s="609"/>
      <c r="IBW26" s="609"/>
      <c r="IBX26" s="609"/>
      <c r="IBY26" s="609"/>
      <c r="IBZ26" s="609"/>
      <c r="ICA26" s="609"/>
      <c r="ICB26" s="609"/>
      <c r="ICC26" s="609"/>
      <c r="ICD26" s="609"/>
      <c r="ICE26" s="609"/>
      <c r="ICF26" s="609"/>
      <c r="ICG26" s="609"/>
      <c r="ICH26" s="609"/>
      <c r="ICI26" s="609"/>
      <c r="ICJ26" s="609"/>
      <c r="ICK26" s="609"/>
      <c r="ICL26" s="609"/>
      <c r="ICM26" s="609"/>
      <c r="ICN26" s="609"/>
      <c r="ICO26" s="609"/>
      <c r="ICP26" s="609"/>
      <c r="ICQ26" s="609"/>
      <c r="ICR26" s="609"/>
      <c r="ICS26" s="609"/>
      <c r="ICT26" s="609"/>
      <c r="ICU26" s="609"/>
      <c r="ICV26" s="609"/>
      <c r="ICW26" s="609"/>
      <c r="ICX26" s="609"/>
      <c r="ICY26" s="609"/>
      <c r="ICZ26" s="609"/>
      <c r="IDA26" s="609"/>
      <c r="IDB26" s="609"/>
      <c r="IDC26" s="609"/>
      <c r="IDD26" s="609"/>
      <c r="IDE26" s="609"/>
      <c r="IDF26" s="609"/>
      <c r="IDG26" s="609"/>
      <c r="IDH26" s="609"/>
      <c r="IDI26" s="609"/>
      <c r="IDJ26" s="609"/>
      <c r="IDK26" s="609"/>
      <c r="IDL26" s="609"/>
      <c r="IDM26" s="609"/>
      <c r="IDN26" s="609"/>
      <c r="IDO26" s="609"/>
      <c r="IDP26" s="609"/>
      <c r="IDQ26" s="609"/>
      <c r="IDR26" s="609"/>
      <c r="IDS26" s="609"/>
      <c r="IDT26" s="609"/>
      <c r="IDU26" s="609"/>
      <c r="IDV26" s="609"/>
      <c r="IDW26" s="609"/>
      <c r="IDX26" s="609"/>
      <c r="IDY26" s="609"/>
      <c r="IDZ26" s="609"/>
      <c r="IEA26" s="609"/>
      <c r="IEB26" s="609"/>
      <c r="IEC26" s="609"/>
      <c r="IED26" s="609"/>
      <c r="IEE26" s="609"/>
      <c r="IEF26" s="609"/>
      <c r="IEG26" s="609"/>
      <c r="IEH26" s="609"/>
      <c r="IEI26" s="609"/>
      <c r="IEJ26" s="609"/>
      <c r="IEK26" s="609"/>
      <c r="IEL26" s="609"/>
      <c r="IEM26" s="609"/>
      <c r="IEN26" s="609"/>
      <c r="IEO26" s="609"/>
      <c r="IEP26" s="609"/>
      <c r="IEQ26" s="609"/>
      <c r="IER26" s="609"/>
      <c r="IES26" s="609"/>
      <c r="IET26" s="609"/>
      <c r="IEU26" s="609"/>
      <c r="IEV26" s="609"/>
      <c r="IEW26" s="609"/>
      <c r="IEX26" s="609"/>
      <c r="IEY26" s="609"/>
      <c r="IEZ26" s="609"/>
      <c r="IFA26" s="609"/>
      <c r="IFB26" s="609"/>
      <c r="IFC26" s="609"/>
      <c r="IFD26" s="609"/>
      <c r="IFE26" s="609"/>
      <c r="IFF26" s="609"/>
      <c r="IFG26" s="609"/>
      <c r="IFH26" s="609"/>
      <c r="IFI26" s="609"/>
      <c r="IFJ26" s="609"/>
      <c r="IFK26" s="609"/>
      <c r="IFL26" s="609"/>
      <c r="IFM26" s="609"/>
      <c r="IFN26" s="609"/>
      <c r="IFO26" s="609"/>
      <c r="IFP26" s="609"/>
      <c r="IFQ26" s="609"/>
      <c r="IFR26" s="609"/>
      <c r="IFS26" s="609"/>
      <c r="IFT26" s="609"/>
      <c r="IFU26" s="609"/>
      <c r="IFV26" s="609"/>
      <c r="IFW26" s="609"/>
      <c r="IFX26" s="609"/>
      <c r="IFY26" s="609"/>
      <c r="IFZ26" s="609"/>
      <c r="IGA26" s="609"/>
      <c r="IGB26" s="609"/>
      <c r="IGC26" s="609"/>
      <c r="IGD26" s="609"/>
      <c r="IGE26" s="609"/>
      <c r="IGF26" s="609"/>
      <c r="IGG26" s="609"/>
      <c r="IGH26" s="609"/>
      <c r="IGI26" s="609"/>
      <c r="IGJ26" s="609"/>
      <c r="IGK26" s="609"/>
      <c r="IGL26" s="609"/>
      <c r="IGM26" s="609"/>
      <c r="IGN26" s="609"/>
      <c r="IGO26" s="609"/>
      <c r="IGP26" s="609"/>
      <c r="IGQ26" s="609"/>
      <c r="IGR26" s="609"/>
      <c r="IGS26" s="609"/>
      <c r="IGT26" s="609"/>
      <c r="IGU26" s="609"/>
      <c r="IGV26" s="609"/>
      <c r="IGW26" s="609"/>
      <c r="IGX26" s="609"/>
      <c r="IGY26" s="609"/>
      <c r="IGZ26" s="609"/>
      <c r="IHA26" s="609"/>
      <c r="IHB26" s="609"/>
      <c r="IHC26" s="609"/>
      <c r="IHD26" s="609"/>
      <c r="IHE26" s="609"/>
      <c r="IHF26" s="609"/>
      <c r="IHG26" s="609"/>
      <c r="IHH26" s="609"/>
      <c r="IHI26" s="609"/>
      <c r="IHJ26" s="609"/>
      <c r="IHK26" s="609"/>
      <c r="IHL26" s="609"/>
      <c r="IHM26" s="609"/>
      <c r="IHN26" s="609"/>
      <c r="IHO26" s="609"/>
      <c r="IHP26" s="609"/>
      <c r="IHQ26" s="609"/>
      <c r="IHR26" s="609"/>
      <c r="IHS26" s="609"/>
      <c r="IHT26" s="609"/>
      <c r="IHU26" s="609"/>
      <c r="IHV26" s="609"/>
      <c r="IHW26" s="609"/>
      <c r="IHX26" s="609"/>
      <c r="IHY26" s="609"/>
      <c r="IHZ26" s="609"/>
      <c r="IIA26" s="609"/>
      <c r="IIB26" s="609"/>
      <c r="IIC26" s="609"/>
      <c r="IID26" s="609"/>
      <c r="IIE26" s="609"/>
      <c r="IIF26" s="609"/>
      <c r="IIG26" s="609"/>
      <c r="IIH26" s="609"/>
      <c r="III26" s="609"/>
      <c r="IIJ26" s="609"/>
      <c r="IIK26" s="609"/>
      <c r="IIL26" s="609"/>
      <c r="IIM26" s="609"/>
      <c r="IIN26" s="609"/>
      <c r="IIO26" s="609"/>
      <c r="IIP26" s="609"/>
      <c r="IIQ26" s="609"/>
      <c r="IIR26" s="609"/>
      <c r="IIS26" s="609"/>
      <c r="IIT26" s="609"/>
      <c r="IIU26" s="609"/>
      <c r="IIV26" s="609"/>
      <c r="IIW26" s="609"/>
      <c r="IIX26" s="609"/>
      <c r="IIY26" s="609"/>
      <c r="IIZ26" s="609"/>
      <c r="IJA26" s="609"/>
      <c r="IJB26" s="609"/>
      <c r="IJC26" s="609"/>
      <c r="IJD26" s="609"/>
      <c r="IJE26" s="609"/>
      <c r="IJF26" s="609"/>
      <c r="IJG26" s="609"/>
      <c r="IJH26" s="609"/>
      <c r="IJI26" s="609"/>
      <c r="IJJ26" s="609"/>
      <c r="IJK26" s="609"/>
      <c r="IJL26" s="609"/>
      <c r="IJM26" s="609"/>
      <c r="IJN26" s="609"/>
      <c r="IJO26" s="609"/>
      <c r="IJP26" s="609"/>
      <c r="IJQ26" s="609"/>
      <c r="IJR26" s="609"/>
      <c r="IJS26" s="609"/>
      <c r="IJT26" s="609"/>
      <c r="IJU26" s="609"/>
      <c r="IJV26" s="609"/>
      <c r="IJW26" s="609"/>
      <c r="IJX26" s="609"/>
      <c r="IJY26" s="609"/>
      <c r="IJZ26" s="609"/>
      <c r="IKA26" s="609"/>
      <c r="IKB26" s="609"/>
      <c r="IKC26" s="609"/>
      <c r="IKD26" s="609"/>
      <c r="IKE26" s="609"/>
      <c r="IKF26" s="609"/>
      <c r="IKG26" s="609"/>
      <c r="IKH26" s="609"/>
      <c r="IKI26" s="609"/>
      <c r="IKJ26" s="609"/>
      <c r="IKK26" s="609"/>
      <c r="IKL26" s="609"/>
      <c r="IKM26" s="609"/>
      <c r="IKN26" s="609"/>
      <c r="IKO26" s="609"/>
      <c r="IKP26" s="609"/>
      <c r="IKQ26" s="609"/>
      <c r="IKR26" s="609"/>
      <c r="IKS26" s="609"/>
      <c r="IKT26" s="609"/>
      <c r="IKU26" s="609"/>
      <c r="IKV26" s="609"/>
      <c r="IKW26" s="609"/>
      <c r="IKX26" s="609"/>
      <c r="IKY26" s="609"/>
      <c r="IKZ26" s="609"/>
      <c r="ILA26" s="609"/>
      <c r="ILB26" s="609"/>
      <c r="ILC26" s="609"/>
      <c r="ILD26" s="609"/>
      <c r="ILE26" s="609"/>
      <c r="ILF26" s="609"/>
      <c r="ILG26" s="609"/>
      <c r="ILH26" s="609"/>
      <c r="ILI26" s="609"/>
      <c r="ILJ26" s="609"/>
      <c r="ILK26" s="609"/>
      <c r="ILL26" s="609"/>
      <c r="ILM26" s="609"/>
      <c r="ILN26" s="609"/>
      <c r="ILO26" s="609"/>
      <c r="ILP26" s="609"/>
      <c r="ILQ26" s="609"/>
      <c r="ILR26" s="609"/>
      <c r="ILS26" s="609"/>
      <c r="ILT26" s="609"/>
      <c r="ILU26" s="609"/>
      <c r="ILV26" s="609"/>
      <c r="ILW26" s="609"/>
      <c r="ILX26" s="609"/>
      <c r="ILY26" s="609"/>
      <c r="ILZ26" s="609"/>
      <c r="IMA26" s="609"/>
      <c r="IMB26" s="609"/>
      <c r="IMC26" s="609"/>
      <c r="IMD26" s="609"/>
      <c r="IME26" s="609"/>
      <c r="IMF26" s="609"/>
      <c r="IMG26" s="609"/>
      <c r="IMH26" s="609"/>
      <c r="IMI26" s="609"/>
      <c r="IMJ26" s="609"/>
      <c r="IMK26" s="609"/>
      <c r="IML26" s="609"/>
      <c r="IMM26" s="609"/>
      <c r="IMN26" s="609"/>
      <c r="IMO26" s="609"/>
      <c r="IMP26" s="609"/>
      <c r="IMQ26" s="609"/>
      <c r="IMR26" s="609"/>
      <c r="IMS26" s="609"/>
      <c r="IMT26" s="609"/>
      <c r="IMU26" s="609"/>
      <c r="IMV26" s="609"/>
      <c r="IMW26" s="609"/>
      <c r="IMX26" s="609"/>
      <c r="IMY26" s="609"/>
      <c r="IMZ26" s="609"/>
      <c r="INA26" s="609"/>
      <c r="INB26" s="609"/>
      <c r="INC26" s="609"/>
      <c r="IND26" s="609"/>
      <c r="INE26" s="609"/>
      <c r="INF26" s="609"/>
      <c r="ING26" s="609"/>
      <c r="INH26" s="609"/>
      <c r="INI26" s="609"/>
      <c r="INJ26" s="609"/>
      <c r="INK26" s="609"/>
      <c r="INL26" s="609"/>
      <c r="INM26" s="609"/>
      <c r="INN26" s="609"/>
      <c r="INO26" s="609"/>
      <c r="INP26" s="609"/>
      <c r="INQ26" s="609"/>
      <c r="INR26" s="609"/>
      <c r="INS26" s="609"/>
      <c r="INT26" s="609"/>
      <c r="INU26" s="609"/>
      <c r="INV26" s="609"/>
      <c r="INW26" s="609"/>
      <c r="INX26" s="609"/>
      <c r="INY26" s="609"/>
      <c r="INZ26" s="609"/>
      <c r="IOA26" s="609"/>
      <c r="IOB26" s="609"/>
      <c r="IOC26" s="609"/>
      <c r="IOD26" s="609"/>
      <c r="IOE26" s="609"/>
      <c r="IOF26" s="609"/>
      <c r="IOG26" s="609"/>
      <c r="IOH26" s="609"/>
      <c r="IOI26" s="609"/>
      <c r="IOJ26" s="609"/>
      <c r="IOK26" s="609"/>
      <c r="IOL26" s="609"/>
      <c r="IOM26" s="609"/>
      <c r="ION26" s="609"/>
      <c r="IOO26" s="609"/>
      <c r="IOP26" s="609"/>
      <c r="IOQ26" s="609"/>
      <c r="IOR26" s="609"/>
      <c r="IOS26" s="609"/>
      <c r="IOT26" s="609"/>
      <c r="IOU26" s="609"/>
      <c r="IOV26" s="609"/>
      <c r="IOW26" s="609"/>
      <c r="IOX26" s="609"/>
      <c r="IOY26" s="609"/>
      <c r="IOZ26" s="609"/>
      <c r="IPA26" s="609"/>
      <c r="IPB26" s="609"/>
      <c r="IPC26" s="609"/>
      <c r="IPD26" s="609"/>
      <c r="IPE26" s="609"/>
      <c r="IPF26" s="609"/>
      <c r="IPG26" s="609"/>
      <c r="IPH26" s="609"/>
      <c r="IPI26" s="609"/>
      <c r="IPJ26" s="609"/>
      <c r="IPK26" s="609"/>
      <c r="IPL26" s="609"/>
      <c r="IPM26" s="609"/>
      <c r="IPN26" s="609"/>
      <c r="IPO26" s="609"/>
      <c r="IPP26" s="609"/>
      <c r="IPQ26" s="609"/>
      <c r="IPR26" s="609"/>
      <c r="IPS26" s="609"/>
      <c r="IPT26" s="609"/>
      <c r="IPU26" s="609"/>
      <c r="IPV26" s="609"/>
      <c r="IPW26" s="609"/>
      <c r="IPX26" s="609"/>
      <c r="IPY26" s="609"/>
      <c r="IPZ26" s="609"/>
      <c r="IQA26" s="609"/>
      <c r="IQB26" s="609"/>
      <c r="IQC26" s="609"/>
      <c r="IQD26" s="609"/>
      <c r="IQE26" s="609"/>
      <c r="IQF26" s="609"/>
      <c r="IQG26" s="609"/>
      <c r="IQH26" s="609"/>
      <c r="IQI26" s="609"/>
      <c r="IQJ26" s="609"/>
      <c r="IQK26" s="609"/>
      <c r="IQL26" s="609"/>
      <c r="IQM26" s="609"/>
      <c r="IQN26" s="609"/>
      <c r="IQO26" s="609"/>
      <c r="IQP26" s="609"/>
      <c r="IQQ26" s="609"/>
      <c r="IQR26" s="609"/>
      <c r="IQS26" s="609"/>
      <c r="IQT26" s="609"/>
      <c r="IQU26" s="609"/>
      <c r="IQV26" s="609"/>
      <c r="IQW26" s="609"/>
      <c r="IQX26" s="609"/>
      <c r="IQY26" s="609"/>
      <c r="IQZ26" s="609"/>
      <c r="IRA26" s="609"/>
      <c r="IRB26" s="609"/>
      <c r="IRC26" s="609"/>
      <c r="IRD26" s="609"/>
      <c r="IRE26" s="609"/>
      <c r="IRF26" s="609"/>
      <c r="IRG26" s="609"/>
      <c r="IRH26" s="609"/>
      <c r="IRI26" s="609"/>
      <c r="IRJ26" s="609"/>
      <c r="IRK26" s="609"/>
      <c r="IRL26" s="609"/>
      <c r="IRM26" s="609"/>
      <c r="IRN26" s="609"/>
      <c r="IRO26" s="609"/>
      <c r="IRP26" s="609"/>
      <c r="IRQ26" s="609"/>
      <c r="IRR26" s="609"/>
      <c r="IRS26" s="609"/>
      <c r="IRT26" s="609"/>
      <c r="IRU26" s="609"/>
      <c r="IRV26" s="609"/>
      <c r="IRW26" s="609"/>
      <c r="IRX26" s="609"/>
      <c r="IRY26" s="609"/>
      <c r="IRZ26" s="609"/>
      <c r="ISA26" s="609"/>
      <c r="ISB26" s="609"/>
      <c r="ISC26" s="609"/>
      <c r="ISD26" s="609"/>
      <c r="ISE26" s="609"/>
      <c r="ISF26" s="609"/>
      <c r="ISG26" s="609"/>
      <c r="ISH26" s="609"/>
      <c r="ISI26" s="609"/>
      <c r="ISJ26" s="609"/>
      <c r="ISK26" s="609"/>
      <c r="ISL26" s="609"/>
      <c r="ISM26" s="609"/>
      <c r="ISN26" s="609"/>
      <c r="ISO26" s="609"/>
      <c r="ISP26" s="609"/>
      <c r="ISQ26" s="609"/>
      <c r="ISR26" s="609"/>
      <c r="ISS26" s="609"/>
      <c r="IST26" s="609"/>
      <c r="ISU26" s="609"/>
      <c r="ISV26" s="609"/>
      <c r="ISW26" s="609"/>
      <c r="ISX26" s="609"/>
      <c r="ISY26" s="609"/>
      <c r="ISZ26" s="609"/>
      <c r="ITA26" s="609"/>
      <c r="ITB26" s="609"/>
      <c r="ITC26" s="609"/>
      <c r="ITD26" s="609"/>
      <c r="ITE26" s="609"/>
      <c r="ITF26" s="609"/>
      <c r="ITG26" s="609"/>
      <c r="ITH26" s="609"/>
      <c r="ITI26" s="609"/>
      <c r="ITJ26" s="609"/>
      <c r="ITK26" s="609"/>
      <c r="ITL26" s="609"/>
      <c r="ITM26" s="609"/>
      <c r="ITN26" s="609"/>
      <c r="ITO26" s="609"/>
      <c r="ITP26" s="609"/>
      <c r="ITQ26" s="609"/>
      <c r="ITR26" s="609"/>
      <c r="ITS26" s="609"/>
      <c r="ITT26" s="609"/>
      <c r="ITU26" s="609"/>
      <c r="ITV26" s="609"/>
      <c r="ITW26" s="609"/>
      <c r="ITX26" s="609"/>
      <c r="ITY26" s="609"/>
      <c r="ITZ26" s="609"/>
      <c r="IUA26" s="609"/>
      <c r="IUB26" s="609"/>
      <c r="IUC26" s="609"/>
      <c r="IUD26" s="609"/>
      <c r="IUE26" s="609"/>
      <c r="IUF26" s="609"/>
      <c r="IUG26" s="609"/>
      <c r="IUH26" s="609"/>
      <c r="IUI26" s="609"/>
      <c r="IUJ26" s="609"/>
      <c r="IUK26" s="609"/>
      <c r="IUL26" s="609"/>
      <c r="IUM26" s="609"/>
      <c r="IUN26" s="609"/>
      <c r="IUO26" s="609"/>
      <c r="IUP26" s="609"/>
      <c r="IUQ26" s="609"/>
      <c r="IUR26" s="609"/>
      <c r="IUS26" s="609"/>
      <c r="IUT26" s="609"/>
      <c r="IUU26" s="609"/>
      <c r="IUV26" s="609"/>
      <c r="IUW26" s="609"/>
      <c r="IUX26" s="609"/>
      <c r="IUY26" s="609"/>
      <c r="IUZ26" s="609"/>
      <c r="IVA26" s="609"/>
      <c r="IVB26" s="609"/>
      <c r="IVC26" s="609"/>
      <c r="IVD26" s="609"/>
      <c r="IVE26" s="609"/>
      <c r="IVF26" s="609"/>
      <c r="IVG26" s="609"/>
      <c r="IVH26" s="609"/>
      <c r="IVI26" s="609"/>
      <c r="IVJ26" s="609"/>
      <c r="IVK26" s="609"/>
      <c r="IVL26" s="609"/>
      <c r="IVM26" s="609"/>
      <c r="IVN26" s="609"/>
      <c r="IVO26" s="609"/>
      <c r="IVP26" s="609"/>
      <c r="IVQ26" s="609"/>
      <c r="IVR26" s="609"/>
      <c r="IVS26" s="609"/>
      <c r="IVT26" s="609"/>
      <c r="IVU26" s="609"/>
      <c r="IVV26" s="609"/>
      <c r="IVW26" s="609"/>
      <c r="IVX26" s="609"/>
      <c r="IVY26" s="609"/>
      <c r="IVZ26" s="609"/>
      <c r="IWA26" s="609"/>
      <c r="IWB26" s="609"/>
      <c r="IWC26" s="609"/>
      <c r="IWD26" s="609"/>
      <c r="IWE26" s="609"/>
      <c r="IWF26" s="609"/>
      <c r="IWG26" s="609"/>
      <c r="IWH26" s="609"/>
      <c r="IWI26" s="609"/>
      <c r="IWJ26" s="609"/>
      <c r="IWK26" s="609"/>
      <c r="IWL26" s="609"/>
      <c r="IWM26" s="609"/>
      <c r="IWN26" s="609"/>
      <c r="IWO26" s="609"/>
      <c r="IWP26" s="609"/>
      <c r="IWQ26" s="609"/>
      <c r="IWR26" s="609"/>
      <c r="IWS26" s="609"/>
      <c r="IWT26" s="609"/>
      <c r="IWU26" s="609"/>
      <c r="IWV26" s="609"/>
      <c r="IWW26" s="609"/>
      <c r="IWX26" s="609"/>
      <c r="IWY26" s="609"/>
      <c r="IWZ26" s="609"/>
      <c r="IXA26" s="609"/>
      <c r="IXB26" s="609"/>
      <c r="IXC26" s="609"/>
      <c r="IXD26" s="609"/>
      <c r="IXE26" s="609"/>
      <c r="IXF26" s="609"/>
      <c r="IXG26" s="609"/>
      <c r="IXH26" s="609"/>
      <c r="IXI26" s="609"/>
      <c r="IXJ26" s="609"/>
      <c r="IXK26" s="609"/>
      <c r="IXL26" s="609"/>
      <c r="IXM26" s="609"/>
      <c r="IXN26" s="609"/>
      <c r="IXO26" s="609"/>
      <c r="IXP26" s="609"/>
      <c r="IXQ26" s="609"/>
      <c r="IXR26" s="609"/>
      <c r="IXS26" s="609"/>
      <c r="IXT26" s="609"/>
      <c r="IXU26" s="609"/>
      <c r="IXV26" s="609"/>
      <c r="IXW26" s="609"/>
      <c r="IXX26" s="609"/>
      <c r="IXY26" s="609"/>
      <c r="IXZ26" s="609"/>
      <c r="IYA26" s="609"/>
      <c r="IYB26" s="609"/>
      <c r="IYC26" s="609"/>
      <c r="IYD26" s="609"/>
      <c r="IYE26" s="609"/>
      <c r="IYF26" s="609"/>
      <c r="IYG26" s="609"/>
      <c r="IYH26" s="609"/>
      <c r="IYI26" s="609"/>
      <c r="IYJ26" s="609"/>
      <c r="IYK26" s="609"/>
      <c r="IYL26" s="609"/>
      <c r="IYM26" s="609"/>
      <c r="IYN26" s="609"/>
      <c r="IYO26" s="609"/>
      <c r="IYP26" s="609"/>
      <c r="IYQ26" s="609"/>
      <c r="IYR26" s="609"/>
      <c r="IYS26" s="609"/>
      <c r="IYT26" s="609"/>
      <c r="IYU26" s="609"/>
      <c r="IYV26" s="609"/>
      <c r="IYW26" s="609"/>
      <c r="IYX26" s="609"/>
      <c r="IYY26" s="609"/>
      <c r="IYZ26" s="609"/>
      <c r="IZA26" s="609"/>
      <c r="IZB26" s="609"/>
      <c r="IZC26" s="609"/>
      <c r="IZD26" s="609"/>
      <c r="IZE26" s="609"/>
      <c r="IZF26" s="609"/>
      <c r="IZG26" s="609"/>
      <c r="IZH26" s="609"/>
      <c r="IZI26" s="609"/>
      <c r="IZJ26" s="609"/>
      <c r="IZK26" s="609"/>
      <c r="IZL26" s="609"/>
      <c r="IZM26" s="609"/>
      <c r="IZN26" s="609"/>
      <c r="IZO26" s="609"/>
      <c r="IZP26" s="609"/>
      <c r="IZQ26" s="609"/>
      <c r="IZR26" s="609"/>
      <c r="IZS26" s="609"/>
      <c r="IZT26" s="609"/>
      <c r="IZU26" s="609"/>
      <c r="IZV26" s="609"/>
      <c r="IZW26" s="609"/>
      <c r="IZX26" s="609"/>
      <c r="IZY26" s="609"/>
      <c r="IZZ26" s="609"/>
      <c r="JAA26" s="609"/>
      <c r="JAB26" s="609"/>
      <c r="JAC26" s="609"/>
      <c r="JAD26" s="609"/>
      <c r="JAE26" s="609"/>
      <c r="JAF26" s="609"/>
      <c r="JAG26" s="609"/>
      <c r="JAH26" s="609"/>
      <c r="JAI26" s="609"/>
      <c r="JAJ26" s="609"/>
      <c r="JAK26" s="609"/>
      <c r="JAL26" s="609"/>
      <c r="JAM26" s="609"/>
      <c r="JAN26" s="609"/>
      <c r="JAO26" s="609"/>
      <c r="JAP26" s="609"/>
      <c r="JAQ26" s="609"/>
      <c r="JAR26" s="609"/>
      <c r="JAS26" s="609"/>
      <c r="JAT26" s="609"/>
      <c r="JAU26" s="609"/>
      <c r="JAV26" s="609"/>
      <c r="JAW26" s="609"/>
      <c r="JAX26" s="609"/>
      <c r="JAY26" s="609"/>
      <c r="JAZ26" s="609"/>
      <c r="JBA26" s="609"/>
      <c r="JBB26" s="609"/>
      <c r="JBC26" s="609"/>
      <c r="JBD26" s="609"/>
      <c r="JBE26" s="609"/>
      <c r="JBF26" s="609"/>
      <c r="JBG26" s="609"/>
      <c r="JBH26" s="609"/>
      <c r="JBI26" s="609"/>
      <c r="JBJ26" s="609"/>
      <c r="JBK26" s="609"/>
      <c r="JBL26" s="609"/>
      <c r="JBM26" s="609"/>
      <c r="JBN26" s="609"/>
      <c r="JBO26" s="609"/>
      <c r="JBP26" s="609"/>
      <c r="JBQ26" s="609"/>
      <c r="JBR26" s="609"/>
      <c r="JBS26" s="609"/>
      <c r="JBT26" s="609"/>
      <c r="JBU26" s="609"/>
      <c r="JBV26" s="609"/>
      <c r="JBW26" s="609"/>
      <c r="JBX26" s="609"/>
      <c r="JBY26" s="609"/>
      <c r="JBZ26" s="609"/>
      <c r="JCA26" s="609"/>
      <c r="JCB26" s="609"/>
      <c r="JCC26" s="609"/>
      <c r="JCD26" s="609"/>
      <c r="JCE26" s="609"/>
      <c r="JCF26" s="609"/>
      <c r="JCG26" s="609"/>
      <c r="JCH26" s="609"/>
      <c r="JCI26" s="609"/>
      <c r="JCJ26" s="609"/>
      <c r="JCK26" s="609"/>
      <c r="JCL26" s="609"/>
      <c r="JCM26" s="609"/>
      <c r="JCN26" s="609"/>
      <c r="JCO26" s="609"/>
      <c r="JCP26" s="609"/>
      <c r="JCQ26" s="609"/>
      <c r="JCR26" s="609"/>
      <c r="JCS26" s="609"/>
      <c r="JCT26" s="609"/>
      <c r="JCU26" s="609"/>
      <c r="JCV26" s="609"/>
      <c r="JCW26" s="609"/>
      <c r="JCX26" s="609"/>
      <c r="JCY26" s="609"/>
      <c r="JCZ26" s="609"/>
      <c r="JDA26" s="609"/>
      <c r="JDB26" s="609"/>
      <c r="JDC26" s="609"/>
      <c r="JDD26" s="609"/>
      <c r="JDE26" s="609"/>
      <c r="JDF26" s="609"/>
      <c r="JDG26" s="609"/>
      <c r="JDH26" s="609"/>
      <c r="JDI26" s="609"/>
      <c r="JDJ26" s="609"/>
      <c r="JDK26" s="609"/>
      <c r="JDL26" s="609"/>
      <c r="JDM26" s="609"/>
      <c r="JDN26" s="609"/>
      <c r="JDO26" s="609"/>
      <c r="JDP26" s="609"/>
      <c r="JDQ26" s="609"/>
      <c r="JDR26" s="609"/>
      <c r="JDS26" s="609"/>
      <c r="JDT26" s="609"/>
      <c r="JDU26" s="609"/>
      <c r="JDV26" s="609"/>
      <c r="JDW26" s="609"/>
      <c r="JDX26" s="609"/>
      <c r="JDY26" s="609"/>
      <c r="JDZ26" s="609"/>
      <c r="JEA26" s="609"/>
      <c r="JEB26" s="609"/>
      <c r="JEC26" s="609"/>
      <c r="JED26" s="609"/>
      <c r="JEE26" s="609"/>
      <c r="JEF26" s="609"/>
      <c r="JEG26" s="609"/>
      <c r="JEH26" s="609"/>
      <c r="JEI26" s="609"/>
      <c r="JEJ26" s="609"/>
      <c r="JEK26" s="609"/>
      <c r="JEL26" s="609"/>
      <c r="JEM26" s="609"/>
      <c r="JEN26" s="609"/>
      <c r="JEO26" s="609"/>
      <c r="JEP26" s="609"/>
      <c r="JEQ26" s="609"/>
      <c r="JER26" s="609"/>
      <c r="JES26" s="609"/>
      <c r="JET26" s="609"/>
      <c r="JEU26" s="609"/>
      <c r="JEV26" s="609"/>
      <c r="JEW26" s="609"/>
      <c r="JEX26" s="609"/>
      <c r="JEY26" s="609"/>
      <c r="JEZ26" s="609"/>
      <c r="JFA26" s="609"/>
      <c r="JFB26" s="609"/>
      <c r="JFC26" s="609"/>
      <c r="JFD26" s="609"/>
      <c r="JFE26" s="609"/>
      <c r="JFF26" s="609"/>
      <c r="JFG26" s="609"/>
      <c r="JFH26" s="609"/>
      <c r="JFI26" s="609"/>
      <c r="JFJ26" s="609"/>
      <c r="JFK26" s="609"/>
      <c r="JFL26" s="609"/>
      <c r="JFM26" s="609"/>
      <c r="JFN26" s="609"/>
      <c r="JFO26" s="609"/>
      <c r="JFP26" s="609"/>
      <c r="JFQ26" s="609"/>
      <c r="JFR26" s="609"/>
      <c r="JFS26" s="609"/>
      <c r="JFT26" s="609"/>
      <c r="JFU26" s="609"/>
      <c r="JFV26" s="609"/>
      <c r="JFW26" s="609"/>
      <c r="JFX26" s="609"/>
      <c r="JFY26" s="609"/>
      <c r="JFZ26" s="609"/>
      <c r="JGA26" s="609"/>
      <c r="JGB26" s="609"/>
      <c r="JGC26" s="609"/>
      <c r="JGD26" s="609"/>
      <c r="JGE26" s="609"/>
      <c r="JGF26" s="609"/>
      <c r="JGG26" s="609"/>
      <c r="JGH26" s="609"/>
      <c r="JGI26" s="609"/>
      <c r="JGJ26" s="609"/>
      <c r="JGK26" s="609"/>
      <c r="JGL26" s="609"/>
      <c r="JGM26" s="609"/>
      <c r="JGN26" s="609"/>
      <c r="JGO26" s="609"/>
      <c r="JGP26" s="609"/>
      <c r="JGQ26" s="609"/>
      <c r="JGR26" s="609"/>
      <c r="JGS26" s="609"/>
      <c r="JGT26" s="609"/>
      <c r="JGU26" s="609"/>
      <c r="JGV26" s="609"/>
      <c r="JGW26" s="609"/>
      <c r="JGX26" s="609"/>
      <c r="JGY26" s="609"/>
      <c r="JGZ26" s="609"/>
      <c r="JHA26" s="609"/>
      <c r="JHB26" s="609"/>
      <c r="JHC26" s="609"/>
      <c r="JHD26" s="609"/>
      <c r="JHE26" s="609"/>
      <c r="JHF26" s="609"/>
      <c r="JHG26" s="609"/>
      <c r="JHH26" s="609"/>
      <c r="JHI26" s="609"/>
      <c r="JHJ26" s="609"/>
      <c r="JHK26" s="609"/>
      <c r="JHL26" s="609"/>
      <c r="JHM26" s="609"/>
      <c r="JHN26" s="609"/>
      <c r="JHO26" s="609"/>
      <c r="JHP26" s="609"/>
      <c r="JHQ26" s="609"/>
      <c r="JHR26" s="609"/>
      <c r="JHS26" s="609"/>
      <c r="JHT26" s="609"/>
      <c r="JHU26" s="609"/>
      <c r="JHV26" s="609"/>
      <c r="JHW26" s="609"/>
      <c r="JHX26" s="609"/>
      <c r="JHY26" s="609"/>
      <c r="JHZ26" s="609"/>
      <c r="JIA26" s="609"/>
      <c r="JIB26" s="609"/>
      <c r="JIC26" s="609"/>
      <c r="JID26" s="609"/>
      <c r="JIE26" s="609"/>
      <c r="JIF26" s="609"/>
      <c r="JIG26" s="609"/>
      <c r="JIH26" s="609"/>
      <c r="JII26" s="609"/>
      <c r="JIJ26" s="609"/>
      <c r="JIK26" s="609"/>
      <c r="JIL26" s="609"/>
      <c r="JIM26" s="609"/>
      <c r="JIN26" s="609"/>
      <c r="JIO26" s="609"/>
      <c r="JIP26" s="609"/>
      <c r="JIQ26" s="609"/>
      <c r="JIR26" s="609"/>
      <c r="JIS26" s="609"/>
      <c r="JIT26" s="609"/>
      <c r="JIU26" s="609"/>
      <c r="JIV26" s="609"/>
      <c r="JIW26" s="609"/>
      <c r="JIX26" s="609"/>
      <c r="JIY26" s="609"/>
      <c r="JIZ26" s="609"/>
      <c r="JJA26" s="609"/>
      <c r="JJB26" s="609"/>
      <c r="JJC26" s="609"/>
      <c r="JJD26" s="609"/>
      <c r="JJE26" s="609"/>
      <c r="JJF26" s="609"/>
      <c r="JJG26" s="609"/>
      <c r="JJH26" s="609"/>
      <c r="JJI26" s="609"/>
      <c r="JJJ26" s="609"/>
      <c r="JJK26" s="609"/>
      <c r="JJL26" s="609"/>
      <c r="JJM26" s="609"/>
      <c r="JJN26" s="609"/>
      <c r="JJO26" s="609"/>
      <c r="JJP26" s="609"/>
      <c r="JJQ26" s="609"/>
      <c r="JJR26" s="609"/>
      <c r="JJS26" s="609"/>
      <c r="JJT26" s="609"/>
      <c r="JJU26" s="609"/>
      <c r="JJV26" s="609"/>
      <c r="JJW26" s="609"/>
      <c r="JJX26" s="609"/>
      <c r="JJY26" s="609"/>
      <c r="JJZ26" s="609"/>
      <c r="JKA26" s="609"/>
      <c r="JKB26" s="609"/>
      <c r="JKC26" s="609"/>
      <c r="JKD26" s="609"/>
      <c r="JKE26" s="609"/>
      <c r="JKF26" s="609"/>
      <c r="JKG26" s="609"/>
      <c r="JKH26" s="609"/>
      <c r="JKI26" s="609"/>
      <c r="JKJ26" s="609"/>
      <c r="JKK26" s="609"/>
      <c r="JKL26" s="609"/>
      <c r="JKM26" s="609"/>
      <c r="JKN26" s="609"/>
      <c r="JKO26" s="609"/>
      <c r="JKP26" s="609"/>
      <c r="JKQ26" s="609"/>
      <c r="JKR26" s="609"/>
      <c r="JKS26" s="609"/>
      <c r="JKT26" s="609"/>
      <c r="JKU26" s="609"/>
      <c r="JKV26" s="609"/>
      <c r="JKW26" s="609"/>
      <c r="JKX26" s="609"/>
      <c r="JKY26" s="609"/>
      <c r="JKZ26" s="609"/>
      <c r="JLA26" s="609"/>
      <c r="JLB26" s="609"/>
      <c r="JLC26" s="609"/>
      <c r="JLD26" s="609"/>
      <c r="JLE26" s="609"/>
      <c r="JLF26" s="609"/>
      <c r="JLG26" s="609"/>
      <c r="JLH26" s="609"/>
      <c r="JLI26" s="609"/>
      <c r="JLJ26" s="609"/>
      <c r="JLK26" s="609"/>
      <c r="JLL26" s="609"/>
      <c r="JLM26" s="609"/>
      <c r="JLN26" s="609"/>
      <c r="JLO26" s="609"/>
      <c r="JLP26" s="609"/>
      <c r="JLQ26" s="609"/>
      <c r="JLR26" s="609"/>
      <c r="JLS26" s="609"/>
      <c r="JLT26" s="609"/>
      <c r="JLU26" s="609"/>
      <c r="JLV26" s="609"/>
      <c r="JLW26" s="609"/>
      <c r="JLX26" s="609"/>
      <c r="JLY26" s="609"/>
      <c r="JLZ26" s="609"/>
      <c r="JMA26" s="609"/>
      <c r="JMB26" s="609"/>
      <c r="JMC26" s="609"/>
      <c r="JMD26" s="609"/>
      <c r="JME26" s="609"/>
      <c r="JMF26" s="609"/>
      <c r="JMG26" s="609"/>
      <c r="JMH26" s="609"/>
      <c r="JMI26" s="609"/>
      <c r="JMJ26" s="609"/>
      <c r="JMK26" s="609"/>
      <c r="JML26" s="609"/>
      <c r="JMM26" s="609"/>
      <c r="JMN26" s="609"/>
      <c r="JMO26" s="609"/>
      <c r="JMP26" s="609"/>
      <c r="JMQ26" s="609"/>
      <c r="JMR26" s="609"/>
      <c r="JMS26" s="609"/>
      <c r="JMT26" s="609"/>
      <c r="JMU26" s="609"/>
      <c r="JMV26" s="609"/>
      <c r="JMW26" s="609"/>
      <c r="JMX26" s="609"/>
      <c r="JMY26" s="609"/>
      <c r="JMZ26" s="609"/>
      <c r="JNA26" s="609"/>
      <c r="JNB26" s="609"/>
      <c r="JNC26" s="609"/>
      <c r="JND26" s="609"/>
      <c r="JNE26" s="609"/>
      <c r="JNF26" s="609"/>
      <c r="JNG26" s="609"/>
      <c r="JNH26" s="609"/>
      <c r="JNI26" s="609"/>
      <c r="JNJ26" s="609"/>
      <c r="JNK26" s="609"/>
      <c r="JNL26" s="609"/>
      <c r="JNM26" s="609"/>
      <c r="JNN26" s="609"/>
      <c r="JNO26" s="609"/>
      <c r="JNP26" s="609"/>
      <c r="JNQ26" s="609"/>
      <c r="JNR26" s="609"/>
      <c r="JNS26" s="609"/>
      <c r="JNT26" s="609"/>
      <c r="JNU26" s="609"/>
      <c r="JNV26" s="609"/>
      <c r="JNW26" s="609"/>
      <c r="JNX26" s="609"/>
      <c r="JNY26" s="609"/>
      <c r="JNZ26" s="609"/>
      <c r="JOA26" s="609"/>
      <c r="JOB26" s="609"/>
      <c r="JOC26" s="609"/>
      <c r="JOD26" s="609"/>
      <c r="JOE26" s="609"/>
      <c r="JOF26" s="609"/>
      <c r="JOG26" s="609"/>
      <c r="JOH26" s="609"/>
      <c r="JOI26" s="609"/>
      <c r="JOJ26" s="609"/>
      <c r="JOK26" s="609"/>
      <c r="JOL26" s="609"/>
      <c r="JOM26" s="609"/>
      <c r="JON26" s="609"/>
      <c r="JOO26" s="609"/>
      <c r="JOP26" s="609"/>
      <c r="JOQ26" s="609"/>
      <c r="JOR26" s="609"/>
      <c r="JOS26" s="609"/>
      <c r="JOT26" s="609"/>
      <c r="JOU26" s="609"/>
      <c r="JOV26" s="609"/>
      <c r="JOW26" s="609"/>
      <c r="JOX26" s="609"/>
      <c r="JOY26" s="609"/>
      <c r="JOZ26" s="609"/>
      <c r="JPA26" s="609"/>
      <c r="JPB26" s="609"/>
      <c r="JPC26" s="609"/>
      <c r="JPD26" s="609"/>
      <c r="JPE26" s="609"/>
      <c r="JPF26" s="609"/>
      <c r="JPG26" s="609"/>
      <c r="JPH26" s="609"/>
      <c r="JPI26" s="609"/>
      <c r="JPJ26" s="609"/>
      <c r="JPK26" s="609"/>
      <c r="JPL26" s="609"/>
      <c r="JPM26" s="609"/>
      <c r="JPN26" s="609"/>
      <c r="JPO26" s="609"/>
      <c r="JPP26" s="609"/>
      <c r="JPQ26" s="609"/>
      <c r="JPR26" s="609"/>
      <c r="JPS26" s="609"/>
      <c r="JPT26" s="609"/>
      <c r="JPU26" s="609"/>
      <c r="JPV26" s="609"/>
      <c r="JPW26" s="609"/>
      <c r="JPX26" s="609"/>
      <c r="JPY26" s="609"/>
      <c r="JPZ26" s="609"/>
      <c r="JQA26" s="609"/>
      <c r="JQB26" s="609"/>
      <c r="JQC26" s="609"/>
      <c r="JQD26" s="609"/>
      <c r="JQE26" s="609"/>
      <c r="JQF26" s="609"/>
      <c r="JQG26" s="609"/>
      <c r="JQH26" s="609"/>
      <c r="JQI26" s="609"/>
      <c r="JQJ26" s="609"/>
      <c r="JQK26" s="609"/>
      <c r="JQL26" s="609"/>
      <c r="JQM26" s="609"/>
      <c r="JQN26" s="609"/>
      <c r="JQO26" s="609"/>
      <c r="JQP26" s="609"/>
      <c r="JQQ26" s="609"/>
      <c r="JQR26" s="609"/>
      <c r="JQS26" s="609"/>
      <c r="JQT26" s="609"/>
      <c r="JQU26" s="609"/>
      <c r="JQV26" s="609"/>
      <c r="JQW26" s="609"/>
      <c r="JQX26" s="609"/>
      <c r="JQY26" s="609"/>
      <c r="JQZ26" s="609"/>
      <c r="JRA26" s="609"/>
      <c r="JRB26" s="609"/>
      <c r="JRC26" s="609"/>
      <c r="JRD26" s="609"/>
      <c r="JRE26" s="609"/>
      <c r="JRF26" s="609"/>
      <c r="JRG26" s="609"/>
      <c r="JRH26" s="609"/>
      <c r="JRI26" s="609"/>
      <c r="JRJ26" s="609"/>
      <c r="JRK26" s="609"/>
      <c r="JRL26" s="609"/>
      <c r="JRM26" s="609"/>
      <c r="JRN26" s="609"/>
      <c r="JRO26" s="609"/>
      <c r="JRP26" s="609"/>
      <c r="JRQ26" s="609"/>
      <c r="JRR26" s="609"/>
      <c r="JRS26" s="609"/>
      <c r="JRT26" s="609"/>
      <c r="JRU26" s="609"/>
      <c r="JRV26" s="609"/>
      <c r="JRW26" s="609"/>
      <c r="JRX26" s="609"/>
      <c r="JRY26" s="609"/>
      <c r="JRZ26" s="609"/>
      <c r="JSA26" s="609"/>
      <c r="JSB26" s="609"/>
      <c r="JSC26" s="609"/>
      <c r="JSD26" s="609"/>
      <c r="JSE26" s="609"/>
      <c r="JSF26" s="609"/>
      <c r="JSG26" s="609"/>
      <c r="JSH26" s="609"/>
      <c r="JSI26" s="609"/>
      <c r="JSJ26" s="609"/>
      <c r="JSK26" s="609"/>
      <c r="JSL26" s="609"/>
      <c r="JSM26" s="609"/>
      <c r="JSN26" s="609"/>
      <c r="JSO26" s="609"/>
      <c r="JSP26" s="609"/>
      <c r="JSQ26" s="609"/>
      <c r="JSR26" s="609"/>
      <c r="JSS26" s="609"/>
      <c r="JST26" s="609"/>
      <c r="JSU26" s="609"/>
      <c r="JSV26" s="609"/>
      <c r="JSW26" s="609"/>
      <c r="JSX26" s="609"/>
      <c r="JSY26" s="609"/>
      <c r="JSZ26" s="609"/>
      <c r="JTA26" s="609"/>
      <c r="JTB26" s="609"/>
      <c r="JTC26" s="609"/>
      <c r="JTD26" s="609"/>
      <c r="JTE26" s="609"/>
      <c r="JTF26" s="609"/>
      <c r="JTG26" s="609"/>
      <c r="JTH26" s="609"/>
      <c r="JTI26" s="609"/>
      <c r="JTJ26" s="609"/>
      <c r="JTK26" s="609"/>
      <c r="JTL26" s="609"/>
      <c r="JTM26" s="609"/>
      <c r="JTN26" s="609"/>
      <c r="JTO26" s="609"/>
      <c r="JTP26" s="609"/>
      <c r="JTQ26" s="609"/>
      <c r="JTR26" s="609"/>
      <c r="JTS26" s="609"/>
      <c r="JTT26" s="609"/>
      <c r="JTU26" s="609"/>
      <c r="JTV26" s="609"/>
      <c r="JTW26" s="609"/>
      <c r="JTX26" s="609"/>
      <c r="JTY26" s="609"/>
      <c r="JTZ26" s="609"/>
      <c r="JUA26" s="609"/>
      <c r="JUB26" s="609"/>
      <c r="JUC26" s="609"/>
      <c r="JUD26" s="609"/>
      <c r="JUE26" s="609"/>
      <c r="JUF26" s="609"/>
      <c r="JUG26" s="609"/>
      <c r="JUH26" s="609"/>
      <c r="JUI26" s="609"/>
      <c r="JUJ26" s="609"/>
      <c r="JUK26" s="609"/>
      <c r="JUL26" s="609"/>
      <c r="JUM26" s="609"/>
      <c r="JUN26" s="609"/>
      <c r="JUO26" s="609"/>
      <c r="JUP26" s="609"/>
      <c r="JUQ26" s="609"/>
      <c r="JUR26" s="609"/>
      <c r="JUS26" s="609"/>
      <c r="JUT26" s="609"/>
      <c r="JUU26" s="609"/>
      <c r="JUV26" s="609"/>
      <c r="JUW26" s="609"/>
      <c r="JUX26" s="609"/>
      <c r="JUY26" s="609"/>
      <c r="JUZ26" s="609"/>
      <c r="JVA26" s="609"/>
      <c r="JVB26" s="609"/>
      <c r="JVC26" s="609"/>
      <c r="JVD26" s="609"/>
      <c r="JVE26" s="609"/>
      <c r="JVF26" s="609"/>
      <c r="JVG26" s="609"/>
      <c r="JVH26" s="609"/>
      <c r="JVI26" s="609"/>
      <c r="JVJ26" s="609"/>
      <c r="JVK26" s="609"/>
      <c r="JVL26" s="609"/>
      <c r="JVM26" s="609"/>
      <c r="JVN26" s="609"/>
      <c r="JVO26" s="609"/>
      <c r="JVP26" s="609"/>
      <c r="JVQ26" s="609"/>
      <c r="JVR26" s="609"/>
      <c r="JVS26" s="609"/>
      <c r="JVT26" s="609"/>
      <c r="JVU26" s="609"/>
      <c r="JVV26" s="609"/>
      <c r="JVW26" s="609"/>
      <c r="JVX26" s="609"/>
      <c r="JVY26" s="609"/>
      <c r="JVZ26" s="609"/>
      <c r="JWA26" s="609"/>
      <c r="JWB26" s="609"/>
      <c r="JWC26" s="609"/>
      <c r="JWD26" s="609"/>
      <c r="JWE26" s="609"/>
      <c r="JWF26" s="609"/>
      <c r="JWG26" s="609"/>
      <c r="JWH26" s="609"/>
      <c r="JWI26" s="609"/>
      <c r="JWJ26" s="609"/>
      <c r="JWK26" s="609"/>
      <c r="JWL26" s="609"/>
      <c r="JWM26" s="609"/>
      <c r="JWN26" s="609"/>
      <c r="JWO26" s="609"/>
      <c r="JWP26" s="609"/>
      <c r="JWQ26" s="609"/>
      <c r="JWR26" s="609"/>
      <c r="JWS26" s="609"/>
      <c r="JWT26" s="609"/>
      <c r="JWU26" s="609"/>
      <c r="JWV26" s="609"/>
      <c r="JWW26" s="609"/>
      <c r="JWX26" s="609"/>
      <c r="JWY26" s="609"/>
      <c r="JWZ26" s="609"/>
      <c r="JXA26" s="609"/>
      <c r="JXB26" s="609"/>
      <c r="JXC26" s="609"/>
      <c r="JXD26" s="609"/>
      <c r="JXE26" s="609"/>
      <c r="JXF26" s="609"/>
      <c r="JXG26" s="609"/>
      <c r="JXH26" s="609"/>
      <c r="JXI26" s="609"/>
      <c r="JXJ26" s="609"/>
      <c r="JXK26" s="609"/>
      <c r="JXL26" s="609"/>
      <c r="JXM26" s="609"/>
      <c r="JXN26" s="609"/>
      <c r="JXO26" s="609"/>
      <c r="JXP26" s="609"/>
      <c r="JXQ26" s="609"/>
      <c r="JXR26" s="609"/>
      <c r="JXS26" s="609"/>
      <c r="JXT26" s="609"/>
      <c r="JXU26" s="609"/>
      <c r="JXV26" s="609"/>
      <c r="JXW26" s="609"/>
      <c r="JXX26" s="609"/>
      <c r="JXY26" s="609"/>
      <c r="JXZ26" s="609"/>
      <c r="JYA26" s="609"/>
      <c r="JYB26" s="609"/>
      <c r="JYC26" s="609"/>
      <c r="JYD26" s="609"/>
      <c r="JYE26" s="609"/>
      <c r="JYF26" s="609"/>
      <c r="JYG26" s="609"/>
      <c r="JYH26" s="609"/>
      <c r="JYI26" s="609"/>
      <c r="JYJ26" s="609"/>
      <c r="JYK26" s="609"/>
      <c r="JYL26" s="609"/>
      <c r="JYM26" s="609"/>
      <c r="JYN26" s="609"/>
      <c r="JYO26" s="609"/>
      <c r="JYP26" s="609"/>
      <c r="JYQ26" s="609"/>
      <c r="JYR26" s="609"/>
      <c r="JYS26" s="609"/>
      <c r="JYT26" s="609"/>
      <c r="JYU26" s="609"/>
      <c r="JYV26" s="609"/>
      <c r="JYW26" s="609"/>
      <c r="JYX26" s="609"/>
      <c r="JYY26" s="609"/>
      <c r="JYZ26" s="609"/>
      <c r="JZA26" s="609"/>
      <c r="JZB26" s="609"/>
      <c r="JZC26" s="609"/>
      <c r="JZD26" s="609"/>
      <c r="JZE26" s="609"/>
      <c r="JZF26" s="609"/>
      <c r="JZG26" s="609"/>
      <c r="JZH26" s="609"/>
      <c r="JZI26" s="609"/>
      <c r="JZJ26" s="609"/>
      <c r="JZK26" s="609"/>
      <c r="JZL26" s="609"/>
      <c r="JZM26" s="609"/>
      <c r="JZN26" s="609"/>
      <c r="JZO26" s="609"/>
      <c r="JZP26" s="609"/>
      <c r="JZQ26" s="609"/>
      <c r="JZR26" s="609"/>
      <c r="JZS26" s="609"/>
      <c r="JZT26" s="609"/>
      <c r="JZU26" s="609"/>
      <c r="JZV26" s="609"/>
      <c r="JZW26" s="609"/>
      <c r="JZX26" s="609"/>
      <c r="JZY26" s="609"/>
      <c r="JZZ26" s="609"/>
      <c r="KAA26" s="609"/>
      <c r="KAB26" s="609"/>
      <c r="KAC26" s="609"/>
      <c r="KAD26" s="609"/>
      <c r="KAE26" s="609"/>
      <c r="KAF26" s="609"/>
      <c r="KAG26" s="609"/>
      <c r="KAH26" s="609"/>
      <c r="KAI26" s="609"/>
      <c r="KAJ26" s="609"/>
      <c r="KAK26" s="609"/>
      <c r="KAL26" s="609"/>
      <c r="KAM26" s="609"/>
      <c r="KAN26" s="609"/>
      <c r="KAO26" s="609"/>
      <c r="KAP26" s="609"/>
      <c r="KAQ26" s="609"/>
      <c r="KAR26" s="609"/>
      <c r="KAS26" s="609"/>
      <c r="KAT26" s="609"/>
      <c r="KAU26" s="609"/>
      <c r="KAV26" s="609"/>
      <c r="KAW26" s="609"/>
      <c r="KAX26" s="609"/>
      <c r="KAY26" s="609"/>
      <c r="KAZ26" s="609"/>
      <c r="KBA26" s="609"/>
      <c r="KBB26" s="609"/>
      <c r="KBC26" s="609"/>
      <c r="KBD26" s="609"/>
      <c r="KBE26" s="609"/>
      <c r="KBF26" s="609"/>
      <c r="KBG26" s="609"/>
      <c r="KBH26" s="609"/>
      <c r="KBI26" s="609"/>
      <c r="KBJ26" s="609"/>
      <c r="KBK26" s="609"/>
      <c r="KBL26" s="609"/>
      <c r="KBM26" s="609"/>
      <c r="KBN26" s="609"/>
      <c r="KBO26" s="609"/>
      <c r="KBP26" s="609"/>
      <c r="KBQ26" s="609"/>
      <c r="KBR26" s="609"/>
      <c r="KBS26" s="609"/>
      <c r="KBT26" s="609"/>
      <c r="KBU26" s="609"/>
      <c r="KBV26" s="609"/>
      <c r="KBW26" s="609"/>
      <c r="KBX26" s="609"/>
      <c r="KBY26" s="609"/>
      <c r="KBZ26" s="609"/>
      <c r="KCA26" s="609"/>
      <c r="KCB26" s="609"/>
      <c r="KCC26" s="609"/>
      <c r="KCD26" s="609"/>
      <c r="KCE26" s="609"/>
      <c r="KCF26" s="609"/>
      <c r="KCG26" s="609"/>
      <c r="KCH26" s="609"/>
      <c r="KCI26" s="609"/>
      <c r="KCJ26" s="609"/>
      <c r="KCK26" s="609"/>
      <c r="KCL26" s="609"/>
      <c r="KCM26" s="609"/>
      <c r="KCN26" s="609"/>
      <c r="KCO26" s="609"/>
      <c r="KCP26" s="609"/>
      <c r="KCQ26" s="609"/>
      <c r="KCR26" s="609"/>
      <c r="KCS26" s="609"/>
      <c r="KCT26" s="609"/>
      <c r="KCU26" s="609"/>
      <c r="KCV26" s="609"/>
      <c r="KCW26" s="609"/>
      <c r="KCX26" s="609"/>
      <c r="KCY26" s="609"/>
      <c r="KCZ26" s="609"/>
      <c r="KDA26" s="609"/>
      <c r="KDB26" s="609"/>
      <c r="KDC26" s="609"/>
      <c r="KDD26" s="609"/>
      <c r="KDE26" s="609"/>
      <c r="KDF26" s="609"/>
      <c r="KDG26" s="609"/>
      <c r="KDH26" s="609"/>
      <c r="KDI26" s="609"/>
      <c r="KDJ26" s="609"/>
      <c r="KDK26" s="609"/>
      <c r="KDL26" s="609"/>
      <c r="KDM26" s="609"/>
      <c r="KDN26" s="609"/>
      <c r="KDO26" s="609"/>
      <c r="KDP26" s="609"/>
      <c r="KDQ26" s="609"/>
      <c r="KDR26" s="609"/>
      <c r="KDS26" s="609"/>
      <c r="KDT26" s="609"/>
      <c r="KDU26" s="609"/>
      <c r="KDV26" s="609"/>
      <c r="KDW26" s="609"/>
      <c r="KDX26" s="609"/>
      <c r="KDY26" s="609"/>
      <c r="KDZ26" s="609"/>
      <c r="KEA26" s="609"/>
      <c r="KEB26" s="609"/>
      <c r="KEC26" s="609"/>
      <c r="KED26" s="609"/>
      <c r="KEE26" s="609"/>
      <c r="KEF26" s="609"/>
      <c r="KEG26" s="609"/>
      <c r="KEH26" s="609"/>
      <c r="KEI26" s="609"/>
      <c r="KEJ26" s="609"/>
      <c r="KEK26" s="609"/>
      <c r="KEL26" s="609"/>
      <c r="KEM26" s="609"/>
      <c r="KEN26" s="609"/>
      <c r="KEO26" s="609"/>
      <c r="KEP26" s="609"/>
      <c r="KEQ26" s="609"/>
      <c r="KER26" s="609"/>
      <c r="KES26" s="609"/>
      <c r="KET26" s="609"/>
      <c r="KEU26" s="609"/>
      <c r="KEV26" s="609"/>
      <c r="KEW26" s="609"/>
      <c r="KEX26" s="609"/>
      <c r="KEY26" s="609"/>
      <c r="KEZ26" s="609"/>
      <c r="KFA26" s="609"/>
      <c r="KFB26" s="609"/>
      <c r="KFC26" s="609"/>
      <c r="KFD26" s="609"/>
      <c r="KFE26" s="609"/>
      <c r="KFF26" s="609"/>
      <c r="KFG26" s="609"/>
      <c r="KFH26" s="609"/>
      <c r="KFI26" s="609"/>
      <c r="KFJ26" s="609"/>
      <c r="KFK26" s="609"/>
      <c r="KFL26" s="609"/>
      <c r="KFM26" s="609"/>
      <c r="KFN26" s="609"/>
      <c r="KFO26" s="609"/>
      <c r="KFP26" s="609"/>
      <c r="KFQ26" s="609"/>
      <c r="KFR26" s="609"/>
      <c r="KFS26" s="609"/>
      <c r="KFT26" s="609"/>
      <c r="KFU26" s="609"/>
      <c r="KFV26" s="609"/>
      <c r="KFW26" s="609"/>
      <c r="KFX26" s="609"/>
      <c r="KFY26" s="609"/>
      <c r="KFZ26" s="609"/>
      <c r="KGA26" s="609"/>
      <c r="KGB26" s="609"/>
      <c r="KGC26" s="609"/>
      <c r="KGD26" s="609"/>
      <c r="KGE26" s="609"/>
      <c r="KGF26" s="609"/>
      <c r="KGG26" s="609"/>
      <c r="KGH26" s="609"/>
      <c r="KGI26" s="609"/>
      <c r="KGJ26" s="609"/>
      <c r="KGK26" s="609"/>
      <c r="KGL26" s="609"/>
      <c r="KGM26" s="609"/>
      <c r="KGN26" s="609"/>
      <c r="KGO26" s="609"/>
      <c r="KGP26" s="609"/>
      <c r="KGQ26" s="609"/>
      <c r="KGR26" s="609"/>
      <c r="KGS26" s="609"/>
      <c r="KGT26" s="609"/>
      <c r="KGU26" s="609"/>
      <c r="KGV26" s="609"/>
      <c r="KGW26" s="609"/>
      <c r="KGX26" s="609"/>
      <c r="KGY26" s="609"/>
      <c r="KGZ26" s="609"/>
      <c r="KHA26" s="609"/>
      <c r="KHB26" s="609"/>
      <c r="KHC26" s="609"/>
      <c r="KHD26" s="609"/>
      <c r="KHE26" s="609"/>
      <c r="KHF26" s="609"/>
      <c r="KHG26" s="609"/>
      <c r="KHH26" s="609"/>
      <c r="KHI26" s="609"/>
      <c r="KHJ26" s="609"/>
      <c r="KHK26" s="609"/>
      <c r="KHL26" s="609"/>
      <c r="KHM26" s="609"/>
      <c r="KHN26" s="609"/>
      <c r="KHO26" s="609"/>
      <c r="KHP26" s="609"/>
      <c r="KHQ26" s="609"/>
      <c r="KHR26" s="609"/>
      <c r="KHS26" s="609"/>
      <c r="KHT26" s="609"/>
      <c r="KHU26" s="609"/>
      <c r="KHV26" s="609"/>
      <c r="KHW26" s="609"/>
      <c r="KHX26" s="609"/>
      <c r="KHY26" s="609"/>
      <c r="KHZ26" s="609"/>
      <c r="KIA26" s="609"/>
      <c r="KIB26" s="609"/>
      <c r="KIC26" s="609"/>
      <c r="KID26" s="609"/>
      <c r="KIE26" s="609"/>
      <c r="KIF26" s="609"/>
      <c r="KIG26" s="609"/>
      <c r="KIH26" s="609"/>
      <c r="KII26" s="609"/>
      <c r="KIJ26" s="609"/>
      <c r="KIK26" s="609"/>
      <c r="KIL26" s="609"/>
      <c r="KIM26" s="609"/>
      <c r="KIN26" s="609"/>
      <c r="KIO26" s="609"/>
      <c r="KIP26" s="609"/>
      <c r="KIQ26" s="609"/>
      <c r="KIR26" s="609"/>
      <c r="KIS26" s="609"/>
      <c r="KIT26" s="609"/>
      <c r="KIU26" s="609"/>
      <c r="KIV26" s="609"/>
      <c r="KIW26" s="609"/>
      <c r="KIX26" s="609"/>
      <c r="KIY26" s="609"/>
      <c r="KIZ26" s="609"/>
      <c r="KJA26" s="609"/>
      <c r="KJB26" s="609"/>
      <c r="KJC26" s="609"/>
      <c r="KJD26" s="609"/>
      <c r="KJE26" s="609"/>
      <c r="KJF26" s="609"/>
      <c r="KJG26" s="609"/>
      <c r="KJH26" s="609"/>
      <c r="KJI26" s="609"/>
      <c r="KJJ26" s="609"/>
      <c r="KJK26" s="609"/>
      <c r="KJL26" s="609"/>
      <c r="KJM26" s="609"/>
      <c r="KJN26" s="609"/>
      <c r="KJO26" s="609"/>
      <c r="KJP26" s="609"/>
      <c r="KJQ26" s="609"/>
      <c r="KJR26" s="609"/>
      <c r="KJS26" s="609"/>
      <c r="KJT26" s="609"/>
      <c r="KJU26" s="609"/>
      <c r="KJV26" s="609"/>
      <c r="KJW26" s="609"/>
      <c r="KJX26" s="609"/>
      <c r="KJY26" s="609"/>
      <c r="KJZ26" s="609"/>
      <c r="KKA26" s="609"/>
      <c r="KKB26" s="609"/>
      <c r="KKC26" s="609"/>
      <c r="KKD26" s="609"/>
      <c r="KKE26" s="609"/>
      <c r="KKF26" s="609"/>
      <c r="KKG26" s="609"/>
      <c r="KKH26" s="609"/>
      <c r="KKI26" s="609"/>
      <c r="KKJ26" s="609"/>
      <c r="KKK26" s="609"/>
      <c r="KKL26" s="609"/>
      <c r="KKM26" s="609"/>
      <c r="KKN26" s="609"/>
      <c r="KKO26" s="609"/>
      <c r="KKP26" s="609"/>
      <c r="KKQ26" s="609"/>
      <c r="KKR26" s="609"/>
      <c r="KKS26" s="609"/>
      <c r="KKT26" s="609"/>
      <c r="KKU26" s="609"/>
      <c r="KKV26" s="609"/>
      <c r="KKW26" s="609"/>
      <c r="KKX26" s="609"/>
      <c r="KKY26" s="609"/>
      <c r="KKZ26" s="609"/>
      <c r="KLA26" s="609"/>
      <c r="KLB26" s="609"/>
      <c r="KLC26" s="609"/>
      <c r="KLD26" s="609"/>
      <c r="KLE26" s="609"/>
      <c r="KLF26" s="609"/>
      <c r="KLG26" s="609"/>
      <c r="KLH26" s="609"/>
      <c r="KLI26" s="609"/>
      <c r="KLJ26" s="609"/>
      <c r="KLK26" s="609"/>
      <c r="KLL26" s="609"/>
      <c r="KLM26" s="609"/>
      <c r="KLN26" s="609"/>
      <c r="KLO26" s="609"/>
      <c r="KLP26" s="609"/>
      <c r="KLQ26" s="609"/>
      <c r="KLR26" s="609"/>
      <c r="KLS26" s="609"/>
      <c r="KLT26" s="609"/>
      <c r="KLU26" s="609"/>
      <c r="KLV26" s="609"/>
      <c r="KLW26" s="609"/>
      <c r="KLX26" s="609"/>
      <c r="KLY26" s="609"/>
      <c r="KLZ26" s="609"/>
      <c r="KMA26" s="609"/>
      <c r="KMB26" s="609"/>
      <c r="KMC26" s="609"/>
      <c r="KMD26" s="609"/>
      <c r="KME26" s="609"/>
      <c r="KMF26" s="609"/>
      <c r="KMG26" s="609"/>
      <c r="KMH26" s="609"/>
      <c r="KMI26" s="609"/>
      <c r="KMJ26" s="609"/>
      <c r="KMK26" s="609"/>
      <c r="KML26" s="609"/>
      <c r="KMM26" s="609"/>
      <c r="KMN26" s="609"/>
      <c r="KMO26" s="609"/>
      <c r="KMP26" s="609"/>
      <c r="KMQ26" s="609"/>
      <c r="KMR26" s="609"/>
      <c r="KMS26" s="609"/>
      <c r="KMT26" s="609"/>
      <c r="KMU26" s="609"/>
      <c r="KMV26" s="609"/>
      <c r="KMW26" s="609"/>
      <c r="KMX26" s="609"/>
      <c r="KMY26" s="609"/>
      <c r="KMZ26" s="609"/>
      <c r="KNA26" s="609"/>
      <c r="KNB26" s="609"/>
      <c r="KNC26" s="609"/>
      <c r="KND26" s="609"/>
      <c r="KNE26" s="609"/>
      <c r="KNF26" s="609"/>
      <c r="KNG26" s="609"/>
      <c r="KNH26" s="609"/>
      <c r="KNI26" s="609"/>
      <c r="KNJ26" s="609"/>
      <c r="KNK26" s="609"/>
      <c r="KNL26" s="609"/>
      <c r="KNM26" s="609"/>
      <c r="KNN26" s="609"/>
      <c r="KNO26" s="609"/>
      <c r="KNP26" s="609"/>
      <c r="KNQ26" s="609"/>
      <c r="KNR26" s="609"/>
      <c r="KNS26" s="609"/>
      <c r="KNT26" s="609"/>
      <c r="KNU26" s="609"/>
      <c r="KNV26" s="609"/>
      <c r="KNW26" s="609"/>
      <c r="KNX26" s="609"/>
      <c r="KNY26" s="609"/>
      <c r="KNZ26" s="609"/>
      <c r="KOA26" s="609"/>
      <c r="KOB26" s="609"/>
      <c r="KOC26" s="609"/>
      <c r="KOD26" s="609"/>
      <c r="KOE26" s="609"/>
      <c r="KOF26" s="609"/>
      <c r="KOG26" s="609"/>
      <c r="KOH26" s="609"/>
      <c r="KOI26" s="609"/>
      <c r="KOJ26" s="609"/>
      <c r="KOK26" s="609"/>
      <c r="KOL26" s="609"/>
      <c r="KOM26" s="609"/>
      <c r="KON26" s="609"/>
      <c r="KOO26" s="609"/>
      <c r="KOP26" s="609"/>
      <c r="KOQ26" s="609"/>
      <c r="KOR26" s="609"/>
      <c r="KOS26" s="609"/>
      <c r="KOT26" s="609"/>
      <c r="KOU26" s="609"/>
      <c r="KOV26" s="609"/>
      <c r="KOW26" s="609"/>
      <c r="KOX26" s="609"/>
      <c r="KOY26" s="609"/>
      <c r="KOZ26" s="609"/>
      <c r="KPA26" s="609"/>
      <c r="KPB26" s="609"/>
      <c r="KPC26" s="609"/>
      <c r="KPD26" s="609"/>
      <c r="KPE26" s="609"/>
      <c r="KPF26" s="609"/>
      <c r="KPG26" s="609"/>
      <c r="KPH26" s="609"/>
      <c r="KPI26" s="609"/>
      <c r="KPJ26" s="609"/>
      <c r="KPK26" s="609"/>
      <c r="KPL26" s="609"/>
      <c r="KPM26" s="609"/>
      <c r="KPN26" s="609"/>
      <c r="KPO26" s="609"/>
      <c r="KPP26" s="609"/>
      <c r="KPQ26" s="609"/>
      <c r="KPR26" s="609"/>
      <c r="KPS26" s="609"/>
      <c r="KPT26" s="609"/>
      <c r="KPU26" s="609"/>
      <c r="KPV26" s="609"/>
      <c r="KPW26" s="609"/>
      <c r="KPX26" s="609"/>
      <c r="KPY26" s="609"/>
      <c r="KPZ26" s="609"/>
      <c r="KQA26" s="609"/>
      <c r="KQB26" s="609"/>
      <c r="KQC26" s="609"/>
      <c r="KQD26" s="609"/>
      <c r="KQE26" s="609"/>
      <c r="KQF26" s="609"/>
      <c r="KQG26" s="609"/>
      <c r="KQH26" s="609"/>
      <c r="KQI26" s="609"/>
      <c r="KQJ26" s="609"/>
      <c r="KQK26" s="609"/>
      <c r="KQL26" s="609"/>
      <c r="KQM26" s="609"/>
      <c r="KQN26" s="609"/>
      <c r="KQO26" s="609"/>
      <c r="KQP26" s="609"/>
      <c r="KQQ26" s="609"/>
      <c r="KQR26" s="609"/>
      <c r="KQS26" s="609"/>
      <c r="KQT26" s="609"/>
      <c r="KQU26" s="609"/>
      <c r="KQV26" s="609"/>
      <c r="KQW26" s="609"/>
      <c r="KQX26" s="609"/>
      <c r="KQY26" s="609"/>
      <c r="KQZ26" s="609"/>
      <c r="KRA26" s="609"/>
      <c r="KRB26" s="609"/>
      <c r="KRC26" s="609"/>
      <c r="KRD26" s="609"/>
      <c r="KRE26" s="609"/>
      <c r="KRF26" s="609"/>
      <c r="KRG26" s="609"/>
      <c r="KRH26" s="609"/>
      <c r="KRI26" s="609"/>
      <c r="KRJ26" s="609"/>
      <c r="KRK26" s="609"/>
      <c r="KRL26" s="609"/>
      <c r="KRM26" s="609"/>
      <c r="KRN26" s="609"/>
      <c r="KRO26" s="609"/>
      <c r="KRP26" s="609"/>
      <c r="KRQ26" s="609"/>
      <c r="KRR26" s="609"/>
      <c r="KRS26" s="609"/>
      <c r="KRT26" s="609"/>
      <c r="KRU26" s="609"/>
      <c r="KRV26" s="609"/>
      <c r="KRW26" s="609"/>
      <c r="KRX26" s="609"/>
      <c r="KRY26" s="609"/>
      <c r="KRZ26" s="609"/>
      <c r="KSA26" s="609"/>
      <c r="KSB26" s="609"/>
      <c r="KSC26" s="609"/>
      <c r="KSD26" s="609"/>
      <c r="KSE26" s="609"/>
      <c r="KSF26" s="609"/>
      <c r="KSG26" s="609"/>
      <c r="KSH26" s="609"/>
      <c r="KSI26" s="609"/>
      <c r="KSJ26" s="609"/>
      <c r="KSK26" s="609"/>
      <c r="KSL26" s="609"/>
      <c r="KSM26" s="609"/>
      <c r="KSN26" s="609"/>
      <c r="KSO26" s="609"/>
      <c r="KSP26" s="609"/>
      <c r="KSQ26" s="609"/>
      <c r="KSR26" s="609"/>
      <c r="KSS26" s="609"/>
      <c r="KST26" s="609"/>
      <c r="KSU26" s="609"/>
      <c r="KSV26" s="609"/>
      <c r="KSW26" s="609"/>
      <c r="KSX26" s="609"/>
      <c r="KSY26" s="609"/>
      <c r="KSZ26" s="609"/>
      <c r="KTA26" s="609"/>
      <c r="KTB26" s="609"/>
      <c r="KTC26" s="609"/>
      <c r="KTD26" s="609"/>
      <c r="KTE26" s="609"/>
      <c r="KTF26" s="609"/>
      <c r="KTG26" s="609"/>
      <c r="KTH26" s="609"/>
      <c r="KTI26" s="609"/>
      <c r="KTJ26" s="609"/>
      <c r="KTK26" s="609"/>
      <c r="KTL26" s="609"/>
      <c r="KTM26" s="609"/>
      <c r="KTN26" s="609"/>
      <c r="KTO26" s="609"/>
      <c r="KTP26" s="609"/>
      <c r="KTQ26" s="609"/>
      <c r="KTR26" s="609"/>
      <c r="KTS26" s="609"/>
      <c r="KTT26" s="609"/>
      <c r="KTU26" s="609"/>
      <c r="KTV26" s="609"/>
      <c r="KTW26" s="609"/>
      <c r="KTX26" s="609"/>
      <c r="KTY26" s="609"/>
      <c r="KTZ26" s="609"/>
      <c r="KUA26" s="609"/>
      <c r="KUB26" s="609"/>
      <c r="KUC26" s="609"/>
      <c r="KUD26" s="609"/>
      <c r="KUE26" s="609"/>
      <c r="KUF26" s="609"/>
      <c r="KUG26" s="609"/>
      <c r="KUH26" s="609"/>
      <c r="KUI26" s="609"/>
      <c r="KUJ26" s="609"/>
      <c r="KUK26" s="609"/>
      <c r="KUL26" s="609"/>
      <c r="KUM26" s="609"/>
      <c r="KUN26" s="609"/>
      <c r="KUO26" s="609"/>
      <c r="KUP26" s="609"/>
      <c r="KUQ26" s="609"/>
      <c r="KUR26" s="609"/>
      <c r="KUS26" s="609"/>
      <c r="KUT26" s="609"/>
      <c r="KUU26" s="609"/>
      <c r="KUV26" s="609"/>
      <c r="KUW26" s="609"/>
      <c r="KUX26" s="609"/>
      <c r="KUY26" s="609"/>
      <c r="KUZ26" s="609"/>
      <c r="KVA26" s="609"/>
      <c r="KVB26" s="609"/>
      <c r="KVC26" s="609"/>
      <c r="KVD26" s="609"/>
      <c r="KVE26" s="609"/>
      <c r="KVF26" s="609"/>
      <c r="KVG26" s="609"/>
      <c r="KVH26" s="609"/>
      <c r="KVI26" s="609"/>
      <c r="KVJ26" s="609"/>
      <c r="KVK26" s="609"/>
      <c r="KVL26" s="609"/>
      <c r="KVM26" s="609"/>
      <c r="KVN26" s="609"/>
      <c r="KVO26" s="609"/>
      <c r="KVP26" s="609"/>
      <c r="KVQ26" s="609"/>
      <c r="KVR26" s="609"/>
      <c r="KVS26" s="609"/>
      <c r="KVT26" s="609"/>
      <c r="KVU26" s="609"/>
      <c r="KVV26" s="609"/>
      <c r="KVW26" s="609"/>
      <c r="KVX26" s="609"/>
      <c r="KVY26" s="609"/>
      <c r="KVZ26" s="609"/>
      <c r="KWA26" s="609"/>
      <c r="KWB26" s="609"/>
      <c r="KWC26" s="609"/>
      <c r="KWD26" s="609"/>
      <c r="KWE26" s="609"/>
      <c r="KWF26" s="609"/>
      <c r="KWG26" s="609"/>
      <c r="KWH26" s="609"/>
      <c r="KWI26" s="609"/>
      <c r="KWJ26" s="609"/>
      <c r="KWK26" s="609"/>
      <c r="KWL26" s="609"/>
      <c r="KWM26" s="609"/>
      <c r="KWN26" s="609"/>
      <c r="KWO26" s="609"/>
      <c r="KWP26" s="609"/>
      <c r="KWQ26" s="609"/>
      <c r="KWR26" s="609"/>
      <c r="KWS26" s="609"/>
      <c r="KWT26" s="609"/>
      <c r="KWU26" s="609"/>
      <c r="KWV26" s="609"/>
      <c r="KWW26" s="609"/>
      <c r="KWX26" s="609"/>
      <c r="KWY26" s="609"/>
      <c r="KWZ26" s="609"/>
      <c r="KXA26" s="609"/>
      <c r="KXB26" s="609"/>
      <c r="KXC26" s="609"/>
      <c r="KXD26" s="609"/>
      <c r="KXE26" s="609"/>
      <c r="KXF26" s="609"/>
      <c r="KXG26" s="609"/>
      <c r="KXH26" s="609"/>
      <c r="KXI26" s="609"/>
      <c r="KXJ26" s="609"/>
      <c r="KXK26" s="609"/>
      <c r="KXL26" s="609"/>
      <c r="KXM26" s="609"/>
      <c r="KXN26" s="609"/>
      <c r="KXO26" s="609"/>
      <c r="KXP26" s="609"/>
      <c r="KXQ26" s="609"/>
      <c r="KXR26" s="609"/>
      <c r="KXS26" s="609"/>
      <c r="KXT26" s="609"/>
      <c r="KXU26" s="609"/>
      <c r="KXV26" s="609"/>
      <c r="KXW26" s="609"/>
      <c r="KXX26" s="609"/>
      <c r="KXY26" s="609"/>
      <c r="KXZ26" s="609"/>
      <c r="KYA26" s="609"/>
      <c r="KYB26" s="609"/>
      <c r="KYC26" s="609"/>
      <c r="KYD26" s="609"/>
      <c r="KYE26" s="609"/>
      <c r="KYF26" s="609"/>
      <c r="KYG26" s="609"/>
      <c r="KYH26" s="609"/>
      <c r="KYI26" s="609"/>
      <c r="KYJ26" s="609"/>
      <c r="KYK26" s="609"/>
      <c r="KYL26" s="609"/>
      <c r="KYM26" s="609"/>
      <c r="KYN26" s="609"/>
      <c r="KYO26" s="609"/>
      <c r="KYP26" s="609"/>
      <c r="KYQ26" s="609"/>
      <c r="KYR26" s="609"/>
      <c r="KYS26" s="609"/>
      <c r="KYT26" s="609"/>
      <c r="KYU26" s="609"/>
      <c r="KYV26" s="609"/>
      <c r="KYW26" s="609"/>
      <c r="KYX26" s="609"/>
      <c r="KYY26" s="609"/>
      <c r="KYZ26" s="609"/>
      <c r="KZA26" s="609"/>
      <c r="KZB26" s="609"/>
      <c r="KZC26" s="609"/>
      <c r="KZD26" s="609"/>
      <c r="KZE26" s="609"/>
      <c r="KZF26" s="609"/>
      <c r="KZG26" s="609"/>
      <c r="KZH26" s="609"/>
      <c r="KZI26" s="609"/>
      <c r="KZJ26" s="609"/>
      <c r="KZK26" s="609"/>
      <c r="KZL26" s="609"/>
      <c r="KZM26" s="609"/>
      <c r="KZN26" s="609"/>
      <c r="KZO26" s="609"/>
      <c r="KZP26" s="609"/>
      <c r="KZQ26" s="609"/>
      <c r="KZR26" s="609"/>
      <c r="KZS26" s="609"/>
      <c r="KZT26" s="609"/>
      <c r="KZU26" s="609"/>
      <c r="KZV26" s="609"/>
      <c r="KZW26" s="609"/>
      <c r="KZX26" s="609"/>
      <c r="KZY26" s="609"/>
      <c r="KZZ26" s="609"/>
      <c r="LAA26" s="609"/>
      <c r="LAB26" s="609"/>
      <c r="LAC26" s="609"/>
      <c r="LAD26" s="609"/>
      <c r="LAE26" s="609"/>
      <c r="LAF26" s="609"/>
      <c r="LAG26" s="609"/>
      <c r="LAH26" s="609"/>
      <c r="LAI26" s="609"/>
      <c r="LAJ26" s="609"/>
      <c r="LAK26" s="609"/>
      <c r="LAL26" s="609"/>
      <c r="LAM26" s="609"/>
      <c r="LAN26" s="609"/>
      <c r="LAO26" s="609"/>
      <c r="LAP26" s="609"/>
      <c r="LAQ26" s="609"/>
      <c r="LAR26" s="609"/>
      <c r="LAS26" s="609"/>
      <c r="LAT26" s="609"/>
      <c r="LAU26" s="609"/>
      <c r="LAV26" s="609"/>
      <c r="LAW26" s="609"/>
      <c r="LAX26" s="609"/>
      <c r="LAY26" s="609"/>
      <c r="LAZ26" s="609"/>
      <c r="LBA26" s="609"/>
      <c r="LBB26" s="609"/>
      <c r="LBC26" s="609"/>
      <c r="LBD26" s="609"/>
      <c r="LBE26" s="609"/>
      <c r="LBF26" s="609"/>
      <c r="LBG26" s="609"/>
      <c r="LBH26" s="609"/>
      <c r="LBI26" s="609"/>
      <c r="LBJ26" s="609"/>
      <c r="LBK26" s="609"/>
      <c r="LBL26" s="609"/>
      <c r="LBM26" s="609"/>
      <c r="LBN26" s="609"/>
      <c r="LBO26" s="609"/>
      <c r="LBP26" s="609"/>
      <c r="LBQ26" s="609"/>
      <c r="LBR26" s="609"/>
      <c r="LBS26" s="609"/>
      <c r="LBT26" s="609"/>
      <c r="LBU26" s="609"/>
      <c r="LBV26" s="609"/>
      <c r="LBW26" s="609"/>
      <c r="LBX26" s="609"/>
      <c r="LBY26" s="609"/>
      <c r="LBZ26" s="609"/>
      <c r="LCA26" s="609"/>
      <c r="LCB26" s="609"/>
      <c r="LCC26" s="609"/>
      <c r="LCD26" s="609"/>
      <c r="LCE26" s="609"/>
      <c r="LCF26" s="609"/>
      <c r="LCG26" s="609"/>
      <c r="LCH26" s="609"/>
      <c r="LCI26" s="609"/>
      <c r="LCJ26" s="609"/>
      <c r="LCK26" s="609"/>
      <c r="LCL26" s="609"/>
      <c r="LCM26" s="609"/>
      <c r="LCN26" s="609"/>
      <c r="LCO26" s="609"/>
      <c r="LCP26" s="609"/>
      <c r="LCQ26" s="609"/>
      <c r="LCR26" s="609"/>
      <c r="LCS26" s="609"/>
      <c r="LCT26" s="609"/>
      <c r="LCU26" s="609"/>
      <c r="LCV26" s="609"/>
      <c r="LCW26" s="609"/>
      <c r="LCX26" s="609"/>
      <c r="LCY26" s="609"/>
      <c r="LCZ26" s="609"/>
      <c r="LDA26" s="609"/>
      <c r="LDB26" s="609"/>
      <c r="LDC26" s="609"/>
      <c r="LDD26" s="609"/>
      <c r="LDE26" s="609"/>
      <c r="LDF26" s="609"/>
      <c r="LDG26" s="609"/>
      <c r="LDH26" s="609"/>
      <c r="LDI26" s="609"/>
      <c r="LDJ26" s="609"/>
      <c r="LDK26" s="609"/>
      <c r="LDL26" s="609"/>
      <c r="LDM26" s="609"/>
      <c r="LDN26" s="609"/>
      <c r="LDO26" s="609"/>
      <c r="LDP26" s="609"/>
      <c r="LDQ26" s="609"/>
      <c r="LDR26" s="609"/>
      <c r="LDS26" s="609"/>
      <c r="LDT26" s="609"/>
      <c r="LDU26" s="609"/>
      <c r="LDV26" s="609"/>
      <c r="LDW26" s="609"/>
      <c r="LDX26" s="609"/>
      <c r="LDY26" s="609"/>
      <c r="LDZ26" s="609"/>
      <c r="LEA26" s="609"/>
      <c r="LEB26" s="609"/>
      <c r="LEC26" s="609"/>
      <c r="LED26" s="609"/>
      <c r="LEE26" s="609"/>
      <c r="LEF26" s="609"/>
      <c r="LEG26" s="609"/>
      <c r="LEH26" s="609"/>
      <c r="LEI26" s="609"/>
      <c r="LEJ26" s="609"/>
      <c r="LEK26" s="609"/>
      <c r="LEL26" s="609"/>
      <c r="LEM26" s="609"/>
      <c r="LEN26" s="609"/>
      <c r="LEO26" s="609"/>
      <c r="LEP26" s="609"/>
      <c r="LEQ26" s="609"/>
      <c r="LER26" s="609"/>
      <c r="LES26" s="609"/>
      <c r="LET26" s="609"/>
      <c r="LEU26" s="609"/>
      <c r="LEV26" s="609"/>
      <c r="LEW26" s="609"/>
      <c r="LEX26" s="609"/>
      <c r="LEY26" s="609"/>
      <c r="LEZ26" s="609"/>
      <c r="LFA26" s="609"/>
      <c r="LFB26" s="609"/>
      <c r="LFC26" s="609"/>
      <c r="LFD26" s="609"/>
      <c r="LFE26" s="609"/>
      <c r="LFF26" s="609"/>
      <c r="LFG26" s="609"/>
      <c r="LFH26" s="609"/>
      <c r="LFI26" s="609"/>
      <c r="LFJ26" s="609"/>
      <c r="LFK26" s="609"/>
      <c r="LFL26" s="609"/>
      <c r="LFM26" s="609"/>
      <c r="LFN26" s="609"/>
      <c r="LFO26" s="609"/>
      <c r="LFP26" s="609"/>
      <c r="LFQ26" s="609"/>
      <c r="LFR26" s="609"/>
      <c r="LFS26" s="609"/>
      <c r="LFT26" s="609"/>
      <c r="LFU26" s="609"/>
      <c r="LFV26" s="609"/>
      <c r="LFW26" s="609"/>
      <c r="LFX26" s="609"/>
      <c r="LFY26" s="609"/>
      <c r="LFZ26" s="609"/>
      <c r="LGA26" s="609"/>
      <c r="LGB26" s="609"/>
      <c r="LGC26" s="609"/>
      <c r="LGD26" s="609"/>
      <c r="LGE26" s="609"/>
      <c r="LGF26" s="609"/>
      <c r="LGG26" s="609"/>
      <c r="LGH26" s="609"/>
      <c r="LGI26" s="609"/>
      <c r="LGJ26" s="609"/>
      <c r="LGK26" s="609"/>
      <c r="LGL26" s="609"/>
      <c r="LGM26" s="609"/>
      <c r="LGN26" s="609"/>
      <c r="LGO26" s="609"/>
      <c r="LGP26" s="609"/>
      <c r="LGQ26" s="609"/>
      <c r="LGR26" s="609"/>
      <c r="LGS26" s="609"/>
      <c r="LGT26" s="609"/>
      <c r="LGU26" s="609"/>
      <c r="LGV26" s="609"/>
      <c r="LGW26" s="609"/>
      <c r="LGX26" s="609"/>
      <c r="LGY26" s="609"/>
      <c r="LGZ26" s="609"/>
      <c r="LHA26" s="609"/>
      <c r="LHB26" s="609"/>
      <c r="LHC26" s="609"/>
      <c r="LHD26" s="609"/>
      <c r="LHE26" s="609"/>
      <c r="LHF26" s="609"/>
      <c r="LHG26" s="609"/>
      <c r="LHH26" s="609"/>
      <c r="LHI26" s="609"/>
      <c r="LHJ26" s="609"/>
      <c r="LHK26" s="609"/>
      <c r="LHL26" s="609"/>
      <c r="LHM26" s="609"/>
      <c r="LHN26" s="609"/>
      <c r="LHO26" s="609"/>
      <c r="LHP26" s="609"/>
      <c r="LHQ26" s="609"/>
      <c r="LHR26" s="609"/>
      <c r="LHS26" s="609"/>
      <c r="LHT26" s="609"/>
      <c r="LHU26" s="609"/>
      <c r="LHV26" s="609"/>
      <c r="LHW26" s="609"/>
      <c r="LHX26" s="609"/>
      <c r="LHY26" s="609"/>
      <c r="LHZ26" s="609"/>
      <c r="LIA26" s="609"/>
      <c r="LIB26" s="609"/>
      <c r="LIC26" s="609"/>
      <c r="LID26" s="609"/>
      <c r="LIE26" s="609"/>
      <c r="LIF26" s="609"/>
      <c r="LIG26" s="609"/>
      <c r="LIH26" s="609"/>
      <c r="LII26" s="609"/>
      <c r="LIJ26" s="609"/>
      <c r="LIK26" s="609"/>
      <c r="LIL26" s="609"/>
      <c r="LIM26" s="609"/>
      <c r="LIN26" s="609"/>
      <c r="LIO26" s="609"/>
      <c r="LIP26" s="609"/>
      <c r="LIQ26" s="609"/>
      <c r="LIR26" s="609"/>
      <c r="LIS26" s="609"/>
      <c r="LIT26" s="609"/>
      <c r="LIU26" s="609"/>
      <c r="LIV26" s="609"/>
      <c r="LIW26" s="609"/>
      <c r="LIX26" s="609"/>
      <c r="LIY26" s="609"/>
      <c r="LIZ26" s="609"/>
      <c r="LJA26" s="609"/>
      <c r="LJB26" s="609"/>
      <c r="LJC26" s="609"/>
      <c r="LJD26" s="609"/>
      <c r="LJE26" s="609"/>
      <c r="LJF26" s="609"/>
      <c r="LJG26" s="609"/>
      <c r="LJH26" s="609"/>
      <c r="LJI26" s="609"/>
      <c r="LJJ26" s="609"/>
      <c r="LJK26" s="609"/>
      <c r="LJL26" s="609"/>
      <c r="LJM26" s="609"/>
      <c r="LJN26" s="609"/>
      <c r="LJO26" s="609"/>
      <c r="LJP26" s="609"/>
      <c r="LJQ26" s="609"/>
      <c r="LJR26" s="609"/>
      <c r="LJS26" s="609"/>
      <c r="LJT26" s="609"/>
      <c r="LJU26" s="609"/>
      <c r="LJV26" s="609"/>
      <c r="LJW26" s="609"/>
      <c r="LJX26" s="609"/>
      <c r="LJY26" s="609"/>
      <c r="LJZ26" s="609"/>
      <c r="LKA26" s="609"/>
      <c r="LKB26" s="609"/>
      <c r="LKC26" s="609"/>
      <c r="LKD26" s="609"/>
      <c r="LKE26" s="609"/>
      <c r="LKF26" s="609"/>
      <c r="LKG26" s="609"/>
      <c r="LKH26" s="609"/>
      <c r="LKI26" s="609"/>
      <c r="LKJ26" s="609"/>
      <c r="LKK26" s="609"/>
      <c r="LKL26" s="609"/>
      <c r="LKM26" s="609"/>
      <c r="LKN26" s="609"/>
      <c r="LKO26" s="609"/>
      <c r="LKP26" s="609"/>
      <c r="LKQ26" s="609"/>
      <c r="LKR26" s="609"/>
      <c r="LKS26" s="609"/>
      <c r="LKT26" s="609"/>
      <c r="LKU26" s="609"/>
      <c r="LKV26" s="609"/>
      <c r="LKW26" s="609"/>
      <c r="LKX26" s="609"/>
      <c r="LKY26" s="609"/>
      <c r="LKZ26" s="609"/>
      <c r="LLA26" s="609"/>
      <c r="LLB26" s="609"/>
      <c r="LLC26" s="609"/>
      <c r="LLD26" s="609"/>
      <c r="LLE26" s="609"/>
      <c r="LLF26" s="609"/>
      <c r="LLG26" s="609"/>
      <c r="LLH26" s="609"/>
      <c r="LLI26" s="609"/>
      <c r="LLJ26" s="609"/>
      <c r="LLK26" s="609"/>
      <c r="LLL26" s="609"/>
      <c r="LLM26" s="609"/>
      <c r="LLN26" s="609"/>
      <c r="LLO26" s="609"/>
      <c r="LLP26" s="609"/>
      <c r="LLQ26" s="609"/>
      <c r="LLR26" s="609"/>
      <c r="LLS26" s="609"/>
      <c r="LLT26" s="609"/>
      <c r="LLU26" s="609"/>
      <c r="LLV26" s="609"/>
      <c r="LLW26" s="609"/>
      <c r="LLX26" s="609"/>
      <c r="LLY26" s="609"/>
      <c r="LLZ26" s="609"/>
      <c r="LMA26" s="609"/>
      <c r="LMB26" s="609"/>
      <c r="LMC26" s="609"/>
      <c r="LMD26" s="609"/>
      <c r="LME26" s="609"/>
      <c r="LMF26" s="609"/>
      <c r="LMG26" s="609"/>
      <c r="LMH26" s="609"/>
      <c r="LMI26" s="609"/>
      <c r="LMJ26" s="609"/>
      <c r="LMK26" s="609"/>
      <c r="LML26" s="609"/>
      <c r="LMM26" s="609"/>
      <c r="LMN26" s="609"/>
      <c r="LMO26" s="609"/>
      <c r="LMP26" s="609"/>
      <c r="LMQ26" s="609"/>
      <c r="LMR26" s="609"/>
      <c r="LMS26" s="609"/>
      <c r="LMT26" s="609"/>
      <c r="LMU26" s="609"/>
      <c r="LMV26" s="609"/>
      <c r="LMW26" s="609"/>
      <c r="LMX26" s="609"/>
      <c r="LMY26" s="609"/>
      <c r="LMZ26" s="609"/>
      <c r="LNA26" s="609"/>
      <c r="LNB26" s="609"/>
      <c r="LNC26" s="609"/>
      <c r="LND26" s="609"/>
      <c r="LNE26" s="609"/>
      <c r="LNF26" s="609"/>
      <c r="LNG26" s="609"/>
      <c r="LNH26" s="609"/>
      <c r="LNI26" s="609"/>
      <c r="LNJ26" s="609"/>
      <c r="LNK26" s="609"/>
      <c r="LNL26" s="609"/>
      <c r="LNM26" s="609"/>
      <c r="LNN26" s="609"/>
      <c r="LNO26" s="609"/>
      <c r="LNP26" s="609"/>
      <c r="LNQ26" s="609"/>
      <c r="LNR26" s="609"/>
      <c r="LNS26" s="609"/>
      <c r="LNT26" s="609"/>
      <c r="LNU26" s="609"/>
      <c r="LNV26" s="609"/>
      <c r="LNW26" s="609"/>
      <c r="LNX26" s="609"/>
      <c r="LNY26" s="609"/>
      <c r="LNZ26" s="609"/>
      <c r="LOA26" s="609"/>
      <c r="LOB26" s="609"/>
      <c r="LOC26" s="609"/>
      <c r="LOD26" s="609"/>
      <c r="LOE26" s="609"/>
      <c r="LOF26" s="609"/>
      <c r="LOG26" s="609"/>
      <c r="LOH26" s="609"/>
      <c r="LOI26" s="609"/>
      <c r="LOJ26" s="609"/>
      <c r="LOK26" s="609"/>
      <c r="LOL26" s="609"/>
      <c r="LOM26" s="609"/>
      <c r="LON26" s="609"/>
      <c r="LOO26" s="609"/>
      <c r="LOP26" s="609"/>
      <c r="LOQ26" s="609"/>
      <c r="LOR26" s="609"/>
      <c r="LOS26" s="609"/>
      <c r="LOT26" s="609"/>
      <c r="LOU26" s="609"/>
      <c r="LOV26" s="609"/>
      <c r="LOW26" s="609"/>
      <c r="LOX26" s="609"/>
      <c r="LOY26" s="609"/>
      <c r="LOZ26" s="609"/>
      <c r="LPA26" s="609"/>
      <c r="LPB26" s="609"/>
      <c r="LPC26" s="609"/>
      <c r="LPD26" s="609"/>
      <c r="LPE26" s="609"/>
      <c r="LPF26" s="609"/>
      <c r="LPG26" s="609"/>
      <c r="LPH26" s="609"/>
      <c r="LPI26" s="609"/>
      <c r="LPJ26" s="609"/>
      <c r="LPK26" s="609"/>
      <c r="LPL26" s="609"/>
      <c r="LPM26" s="609"/>
      <c r="LPN26" s="609"/>
      <c r="LPO26" s="609"/>
      <c r="LPP26" s="609"/>
      <c r="LPQ26" s="609"/>
      <c r="LPR26" s="609"/>
      <c r="LPS26" s="609"/>
      <c r="LPT26" s="609"/>
      <c r="LPU26" s="609"/>
      <c r="LPV26" s="609"/>
      <c r="LPW26" s="609"/>
      <c r="LPX26" s="609"/>
      <c r="LPY26" s="609"/>
      <c r="LPZ26" s="609"/>
      <c r="LQA26" s="609"/>
      <c r="LQB26" s="609"/>
      <c r="LQC26" s="609"/>
      <c r="LQD26" s="609"/>
      <c r="LQE26" s="609"/>
      <c r="LQF26" s="609"/>
      <c r="LQG26" s="609"/>
      <c r="LQH26" s="609"/>
      <c r="LQI26" s="609"/>
      <c r="LQJ26" s="609"/>
      <c r="LQK26" s="609"/>
      <c r="LQL26" s="609"/>
      <c r="LQM26" s="609"/>
      <c r="LQN26" s="609"/>
      <c r="LQO26" s="609"/>
      <c r="LQP26" s="609"/>
      <c r="LQQ26" s="609"/>
      <c r="LQR26" s="609"/>
      <c r="LQS26" s="609"/>
      <c r="LQT26" s="609"/>
      <c r="LQU26" s="609"/>
      <c r="LQV26" s="609"/>
      <c r="LQW26" s="609"/>
      <c r="LQX26" s="609"/>
      <c r="LQY26" s="609"/>
      <c r="LQZ26" s="609"/>
      <c r="LRA26" s="609"/>
      <c r="LRB26" s="609"/>
      <c r="LRC26" s="609"/>
      <c r="LRD26" s="609"/>
      <c r="LRE26" s="609"/>
      <c r="LRF26" s="609"/>
      <c r="LRG26" s="609"/>
      <c r="LRH26" s="609"/>
      <c r="LRI26" s="609"/>
      <c r="LRJ26" s="609"/>
      <c r="LRK26" s="609"/>
      <c r="LRL26" s="609"/>
      <c r="LRM26" s="609"/>
      <c r="LRN26" s="609"/>
      <c r="LRO26" s="609"/>
      <c r="LRP26" s="609"/>
      <c r="LRQ26" s="609"/>
      <c r="LRR26" s="609"/>
      <c r="LRS26" s="609"/>
      <c r="LRT26" s="609"/>
      <c r="LRU26" s="609"/>
      <c r="LRV26" s="609"/>
      <c r="LRW26" s="609"/>
      <c r="LRX26" s="609"/>
      <c r="LRY26" s="609"/>
      <c r="LRZ26" s="609"/>
      <c r="LSA26" s="609"/>
      <c r="LSB26" s="609"/>
      <c r="LSC26" s="609"/>
      <c r="LSD26" s="609"/>
      <c r="LSE26" s="609"/>
      <c r="LSF26" s="609"/>
      <c r="LSG26" s="609"/>
      <c r="LSH26" s="609"/>
      <c r="LSI26" s="609"/>
      <c r="LSJ26" s="609"/>
      <c r="LSK26" s="609"/>
      <c r="LSL26" s="609"/>
      <c r="LSM26" s="609"/>
      <c r="LSN26" s="609"/>
      <c r="LSO26" s="609"/>
      <c r="LSP26" s="609"/>
      <c r="LSQ26" s="609"/>
      <c r="LSR26" s="609"/>
      <c r="LSS26" s="609"/>
      <c r="LST26" s="609"/>
      <c r="LSU26" s="609"/>
      <c r="LSV26" s="609"/>
      <c r="LSW26" s="609"/>
      <c r="LSX26" s="609"/>
      <c r="LSY26" s="609"/>
      <c r="LSZ26" s="609"/>
      <c r="LTA26" s="609"/>
      <c r="LTB26" s="609"/>
      <c r="LTC26" s="609"/>
      <c r="LTD26" s="609"/>
      <c r="LTE26" s="609"/>
      <c r="LTF26" s="609"/>
      <c r="LTG26" s="609"/>
      <c r="LTH26" s="609"/>
      <c r="LTI26" s="609"/>
      <c r="LTJ26" s="609"/>
      <c r="LTK26" s="609"/>
      <c r="LTL26" s="609"/>
      <c r="LTM26" s="609"/>
      <c r="LTN26" s="609"/>
      <c r="LTO26" s="609"/>
      <c r="LTP26" s="609"/>
      <c r="LTQ26" s="609"/>
      <c r="LTR26" s="609"/>
      <c r="LTS26" s="609"/>
      <c r="LTT26" s="609"/>
      <c r="LTU26" s="609"/>
      <c r="LTV26" s="609"/>
      <c r="LTW26" s="609"/>
      <c r="LTX26" s="609"/>
      <c r="LTY26" s="609"/>
      <c r="LTZ26" s="609"/>
      <c r="LUA26" s="609"/>
      <c r="LUB26" s="609"/>
      <c r="LUC26" s="609"/>
      <c r="LUD26" s="609"/>
      <c r="LUE26" s="609"/>
      <c r="LUF26" s="609"/>
      <c r="LUG26" s="609"/>
      <c r="LUH26" s="609"/>
      <c r="LUI26" s="609"/>
      <c r="LUJ26" s="609"/>
      <c r="LUK26" s="609"/>
      <c r="LUL26" s="609"/>
      <c r="LUM26" s="609"/>
      <c r="LUN26" s="609"/>
      <c r="LUO26" s="609"/>
      <c r="LUP26" s="609"/>
      <c r="LUQ26" s="609"/>
      <c r="LUR26" s="609"/>
      <c r="LUS26" s="609"/>
      <c r="LUT26" s="609"/>
      <c r="LUU26" s="609"/>
      <c r="LUV26" s="609"/>
      <c r="LUW26" s="609"/>
      <c r="LUX26" s="609"/>
      <c r="LUY26" s="609"/>
      <c r="LUZ26" s="609"/>
      <c r="LVA26" s="609"/>
      <c r="LVB26" s="609"/>
      <c r="LVC26" s="609"/>
      <c r="LVD26" s="609"/>
      <c r="LVE26" s="609"/>
      <c r="LVF26" s="609"/>
      <c r="LVG26" s="609"/>
      <c r="LVH26" s="609"/>
      <c r="LVI26" s="609"/>
      <c r="LVJ26" s="609"/>
      <c r="LVK26" s="609"/>
      <c r="LVL26" s="609"/>
      <c r="LVM26" s="609"/>
      <c r="LVN26" s="609"/>
      <c r="LVO26" s="609"/>
      <c r="LVP26" s="609"/>
      <c r="LVQ26" s="609"/>
      <c r="LVR26" s="609"/>
      <c r="LVS26" s="609"/>
      <c r="LVT26" s="609"/>
      <c r="LVU26" s="609"/>
      <c r="LVV26" s="609"/>
      <c r="LVW26" s="609"/>
      <c r="LVX26" s="609"/>
      <c r="LVY26" s="609"/>
      <c r="LVZ26" s="609"/>
      <c r="LWA26" s="609"/>
      <c r="LWB26" s="609"/>
      <c r="LWC26" s="609"/>
      <c r="LWD26" s="609"/>
      <c r="LWE26" s="609"/>
      <c r="LWF26" s="609"/>
      <c r="LWG26" s="609"/>
      <c r="LWH26" s="609"/>
      <c r="LWI26" s="609"/>
      <c r="LWJ26" s="609"/>
      <c r="LWK26" s="609"/>
      <c r="LWL26" s="609"/>
      <c r="LWM26" s="609"/>
      <c r="LWN26" s="609"/>
      <c r="LWO26" s="609"/>
      <c r="LWP26" s="609"/>
      <c r="LWQ26" s="609"/>
      <c r="LWR26" s="609"/>
      <c r="LWS26" s="609"/>
      <c r="LWT26" s="609"/>
      <c r="LWU26" s="609"/>
      <c r="LWV26" s="609"/>
      <c r="LWW26" s="609"/>
      <c r="LWX26" s="609"/>
      <c r="LWY26" s="609"/>
      <c r="LWZ26" s="609"/>
      <c r="LXA26" s="609"/>
      <c r="LXB26" s="609"/>
      <c r="LXC26" s="609"/>
      <c r="LXD26" s="609"/>
      <c r="LXE26" s="609"/>
      <c r="LXF26" s="609"/>
      <c r="LXG26" s="609"/>
      <c r="LXH26" s="609"/>
      <c r="LXI26" s="609"/>
      <c r="LXJ26" s="609"/>
      <c r="LXK26" s="609"/>
      <c r="LXL26" s="609"/>
      <c r="LXM26" s="609"/>
      <c r="LXN26" s="609"/>
      <c r="LXO26" s="609"/>
      <c r="LXP26" s="609"/>
      <c r="LXQ26" s="609"/>
      <c r="LXR26" s="609"/>
      <c r="LXS26" s="609"/>
      <c r="LXT26" s="609"/>
      <c r="LXU26" s="609"/>
      <c r="LXV26" s="609"/>
      <c r="LXW26" s="609"/>
      <c r="LXX26" s="609"/>
      <c r="LXY26" s="609"/>
      <c r="LXZ26" s="609"/>
      <c r="LYA26" s="609"/>
      <c r="LYB26" s="609"/>
      <c r="LYC26" s="609"/>
      <c r="LYD26" s="609"/>
      <c r="LYE26" s="609"/>
      <c r="LYF26" s="609"/>
      <c r="LYG26" s="609"/>
      <c r="LYH26" s="609"/>
      <c r="LYI26" s="609"/>
      <c r="LYJ26" s="609"/>
      <c r="LYK26" s="609"/>
      <c r="LYL26" s="609"/>
      <c r="LYM26" s="609"/>
      <c r="LYN26" s="609"/>
      <c r="LYO26" s="609"/>
      <c r="LYP26" s="609"/>
      <c r="LYQ26" s="609"/>
      <c r="LYR26" s="609"/>
      <c r="LYS26" s="609"/>
      <c r="LYT26" s="609"/>
      <c r="LYU26" s="609"/>
      <c r="LYV26" s="609"/>
      <c r="LYW26" s="609"/>
      <c r="LYX26" s="609"/>
      <c r="LYY26" s="609"/>
      <c r="LYZ26" s="609"/>
      <c r="LZA26" s="609"/>
      <c r="LZB26" s="609"/>
      <c r="LZC26" s="609"/>
      <c r="LZD26" s="609"/>
      <c r="LZE26" s="609"/>
      <c r="LZF26" s="609"/>
      <c r="LZG26" s="609"/>
      <c r="LZH26" s="609"/>
      <c r="LZI26" s="609"/>
      <c r="LZJ26" s="609"/>
      <c r="LZK26" s="609"/>
      <c r="LZL26" s="609"/>
      <c r="LZM26" s="609"/>
      <c r="LZN26" s="609"/>
      <c r="LZO26" s="609"/>
      <c r="LZP26" s="609"/>
      <c r="LZQ26" s="609"/>
      <c r="LZR26" s="609"/>
      <c r="LZS26" s="609"/>
      <c r="LZT26" s="609"/>
      <c r="LZU26" s="609"/>
      <c r="LZV26" s="609"/>
      <c r="LZW26" s="609"/>
      <c r="LZX26" s="609"/>
      <c r="LZY26" s="609"/>
      <c r="LZZ26" s="609"/>
      <c r="MAA26" s="609"/>
      <c r="MAB26" s="609"/>
      <c r="MAC26" s="609"/>
      <c r="MAD26" s="609"/>
      <c r="MAE26" s="609"/>
      <c r="MAF26" s="609"/>
      <c r="MAG26" s="609"/>
      <c r="MAH26" s="609"/>
      <c r="MAI26" s="609"/>
      <c r="MAJ26" s="609"/>
      <c r="MAK26" s="609"/>
      <c r="MAL26" s="609"/>
      <c r="MAM26" s="609"/>
      <c r="MAN26" s="609"/>
      <c r="MAO26" s="609"/>
      <c r="MAP26" s="609"/>
      <c r="MAQ26" s="609"/>
      <c r="MAR26" s="609"/>
      <c r="MAS26" s="609"/>
      <c r="MAT26" s="609"/>
      <c r="MAU26" s="609"/>
      <c r="MAV26" s="609"/>
      <c r="MAW26" s="609"/>
      <c r="MAX26" s="609"/>
      <c r="MAY26" s="609"/>
      <c r="MAZ26" s="609"/>
      <c r="MBA26" s="609"/>
      <c r="MBB26" s="609"/>
      <c r="MBC26" s="609"/>
      <c r="MBD26" s="609"/>
      <c r="MBE26" s="609"/>
      <c r="MBF26" s="609"/>
      <c r="MBG26" s="609"/>
      <c r="MBH26" s="609"/>
      <c r="MBI26" s="609"/>
      <c r="MBJ26" s="609"/>
      <c r="MBK26" s="609"/>
      <c r="MBL26" s="609"/>
      <c r="MBM26" s="609"/>
      <c r="MBN26" s="609"/>
      <c r="MBO26" s="609"/>
      <c r="MBP26" s="609"/>
      <c r="MBQ26" s="609"/>
      <c r="MBR26" s="609"/>
      <c r="MBS26" s="609"/>
      <c r="MBT26" s="609"/>
      <c r="MBU26" s="609"/>
      <c r="MBV26" s="609"/>
      <c r="MBW26" s="609"/>
      <c r="MBX26" s="609"/>
      <c r="MBY26" s="609"/>
      <c r="MBZ26" s="609"/>
      <c r="MCA26" s="609"/>
      <c r="MCB26" s="609"/>
      <c r="MCC26" s="609"/>
      <c r="MCD26" s="609"/>
      <c r="MCE26" s="609"/>
      <c r="MCF26" s="609"/>
      <c r="MCG26" s="609"/>
      <c r="MCH26" s="609"/>
      <c r="MCI26" s="609"/>
      <c r="MCJ26" s="609"/>
      <c r="MCK26" s="609"/>
      <c r="MCL26" s="609"/>
      <c r="MCM26" s="609"/>
      <c r="MCN26" s="609"/>
      <c r="MCO26" s="609"/>
      <c r="MCP26" s="609"/>
      <c r="MCQ26" s="609"/>
      <c r="MCR26" s="609"/>
      <c r="MCS26" s="609"/>
      <c r="MCT26" s="609"/>
      <c r="MCU26" s="609"/>
      <c r="MCV26" s="609"/>
      <c r="MCW26" s="609"/>
      <c r="MCX26" s="609"/>
      <c r="MCY26" s="609"/>
      <c r="MCZ26" s="609"/>
      <c r="MDA26" s="609"/>
      <c r="MDB26" s="609"/>
      <c r="MDC26" s="609"/>
      <c r="MDD26" s="609"/>
      <c r="MDE26" s="609"/>
      <c r="MDF26" s="609"/>
      <c r="MDG26" s="609"/>
      <c r="MDH26" s="609"/>
      <c r="MDI26" s="609"/>
      <c r="MDJ26" s="609"/>
      <c r="MDK26" s="609"/>
      <c r="MDL26" s="609"/>
      <c r="MDM26" s="609"/>
      <c r="MDN26" s="609"/>
      <c r="MDO26" s="609"/>
      <c r="MDP26" s="609"/>
      <c r="MDQ26" s="609"/>
      <c r="MDR26" s="609"/>
      <c r="MDS26" s="609"/>
      <c r="MDT26" s="609"/>
      <c r="MDU26" s="609"/>
      <c r="MDV26" s="609"/>
      <c r="MDW26" s="609"/>
      <c r="MDX26" s="609"/>
      <c r="MDY26" s="609"/>
      <c r="MDZ26" s="609"/>
      <c r="MEA26" s="609"/>
      <c r="MEB26" s="609"/>
      <c r="MEC26" s="609"/>
      <c r="MED26" s="609"/>
      <c r="MEE26" s="609"/>
      <c r="MEF26" s="609"/>
      <c r="MEG26" s="609"/>
      <c r="MEH26" s="609"/>
      <c r="MEI26" s="609"/>
      <c r="MEJ26" s="609"/>
      <c r="MEK26" s="609"/>
      <c r="MEL26" s="609"/>
      <c r="MEM26" s="609"/>
      <c r="MEN26" s="609"/>
      <c r="MEO26" s="609"/>
      <c r="MEP26" s="609"/>
      <c r="MEQ26" s="609"/>
      <c r="MER26" s="609"/>
      <c r="MES26" s="609"/>
      <c r="MET26" s="609"/>
      <c r="MEU26" s="609"/>
      <c r="MEV26" s="609"/>
      <c r="MEW26" s="609"/>
      <c r="MEX26" s="609"/>
      <c r="MEY26" s="609"/>
      <c r="MEZ26" s="609"/>
      <c r="MFA26" s="609"/>
      <c r="MFB26" s="609"/>
      <c r="MFC26" s="609"/>
      <c r="MFD26" s="609"/>
      <c r="MFE26" s="609"/>
      <c r="MFF26" s="609"/>
      <c r="MFG26" s="609"/>
      <c r="MFH26" s="609"/>
      <c r="MFI26" s="609"/>
      <c r="MFJ26" s="609"/>
      <c r="MFK26" s="609"/>
      <c r="MFL26" s="609"/>
      <c r="MFM26" s="609"/>
      <c r="MFN26" s="609"/>
      <c r="MFO26" s="609"/>
      <c r="MFP26" s="609"/>
      <c r="MFQ26" s="609"/>
      <c r="MFR26" s="609"/>
      <c r="MFS26" s="609"/>
      <c r="MFT26" s="609"/>
      <c r="MFU26" s="609"/>
      <c r="MFV26" s="609"/>
      <c r="MFW26" s="609"/>
      <c r="MFX26" s="609"/>
      <c r="MFY26" s="609"/>
      <c r="MFZ26" s="609"/>
      <c r="MGA26" s="609"/>
      <c r="MGB26" s="609"/>
      <c r="MGC26" s="609"/>
      <c r="MGD26" s="609"/>
      <c r="MGE26" s="609"/>
      <c r="MGF26" s="609"/>
      <c r="MGG26" s="609"/>
      <c r="MGH26" s="609"/>
      <c r="MGI26" s="609"/>
      <c r="MGJ26" s="609"/>
      <c r="MGK26" s="609"/>
      <c r="MGL26" s="609"/>
      <c r="MGM26" s="609"/>
      <c r="MGN26" s="609"/>
      <c r="MGO26" s="609"/>
      <c r="MGP26" s="609"/>
      <c r="MGQ26" s="609"/>
      <c r="MGR26" s="609"/>
      <c r="MGS26" s="609"/>
      <c r="MGT26" s="609"/>
      <c r="MGU26" s="609"/>
      <c r="MGV26" s="609"/>
      <c r="MGW26" s="609"/>
      <c r="MGX26" s="609"/>
      <c r="MGY26" s="609"/>
      <c r="MGZ26" s="609"/>
      <c r="MHA26" s="609"/>
      <c r="MHB26" s="609"/>
      <c r="MHC26" s="609"/>
      <c r="MHD26" s="609"/>
      <c r="MHE26" s="609"/>
      <c r="MHF26" s="609"/>
      <c r="MHG26" s="609"/>
      <c r="MHH26" s="609"/>
      <c r="MHI26" s="609"/>
      <c r="MHJ26" s="609"/>
      <c r="MHK26" s="609"/>
      <c r="MHL26" s="609"/>
      <c r="MHM26" s="609"/>
      <c r="MHN26" s="609"/>
      <c r="MHO26" s="609"/>
      <c r="MHP26" s="609"/>
      <c r="MHQ26" s="609"/>
      <c r="MHR26" s="609"/>
      <c r="MHS26" s="609"/>
      <c r="MHT26" s="609"/>
      <c r="MHU26" s="609"/>
      <c r="MHV26" s="609"/>
      <c r="MHW26" s="609"/>
      <c r="MHX26" s="609"/>
      <c r="MHY26" s="609"/>
      <c r="MHZ26" s="609"/>
      <c r="MIA26" s="609"/>
      <c r="MIB26" s="609"/>
      <c r="MIC26" s="609"/>
      <c r="MID26" s="609"/>
      <c r="MIE26" s="609"/>
      <c r="MIF26" s="609"/>
      <c r="MIG26" s="609"/>
      <c r="MIH26" s="609"/>
      <c r="MII26" s="609"/>
      <c r="MIJ26" s="609"/>
      <c r="MIK26" s="609"/>
      <c r="MIL26" s="609"/>
      <c r="MIM26" s="609"/>
      <c r="MIN26" s="609"/>
      <c r="MIO26" s="609"/>
      <c r="MIP26" s="609"/>
      <c r="MIQ26" s="609"/>
      <c r="MIR26" s="609"/>
      <c r="MIS26" s="609"/>
      <c r="MIT26" s="609"/>
      <c r="MIU26" s="609"/>
      <c r="MIV26" s="609"/>
      <c r="MIW26" s="609"/>
      <c r="MIX26" s="609"/>
      <c r="MIY26" s="609"/>
      <c r="MIZ26" s="609"/>
      <c r="MJA26" s="609"/>
      <c r="MJB26" s="609"/>
      <c r="MJC26" s="609"/>
      <c r="MJD26" s="609"/>
      <c r="MJE26" s="609"/>
      <c r="MJF26" s="609"/>
      <c r="MJG26" s="609"/>
      <c r="MJH26" s="609"/>
      <c r="MJI26" s="609"/>
      <c r="MJJ26" s="609"/>
      <c r="MJK26" s="609"/>
      <c r="MJL26" s="609"/>
      <c r="MJM26" s="609"/>
      <c r="MJN26" s="609"/>
      <c r="MJO26" s="609"/>
      <c r="MJP26" s="609"/>
      <c r="MJQ26" s="609"/>
      <c r="MJR26" s="609"/>
      <c r="MJS26" s="609"/>
      <c r="MJT26" s="609"/>
      <c r="MJU26" s="609"/>
      <c r="MJV26" s="609"/>
      <c r="MJW26" s="609"/>
      <c r="MJX26" s="609"/>
      <c r="MJY26" s="609"/>
      <c r="MJZ26" s="609"/>
      <c r="MKA26" s="609"/>
      <c r="MKB26" s="609"/>
      <c r="MKC26" s="609"/>
      <c r="MKD26" s="609"/>
      <c r="MKE26" s="609"/>
      <c r="MKF26" s="609"/>
      <c r="MKG26" s="609"/>
      <c r="MKH26" s="609"/>
      <c r="MKI26" s="609"/>
      <c r="MKJ26" s="609"/>
      <c r="MKK26" s="609"/>
      <c r="MKL26" s="609"/>
      <c r="MKM26" s="609"/>
      <c r="MKN26" s="609"/>
      <c r="MKO26" s="609"/>
      <c r="MKP26" s="609"/>
      <c r="MKQ26" s="609"/>
      <c r="MKR26" s="609"/>
      <c r="MKS26" s="609"/>
      <c r="MKT26" s="609"/>
      <c r="MKU26" s="609"/>
      <c r="MKV26" s="609"/>
      <c r="MKW26" s="609"/>
      <c r="MKX26" s="609"/>
      <c r="MKY26" s="609"/>
      <c r="MKZ26" s="609"/>
      <c r="MLA26" s="609"/>
      <c r="MLB26" s="609"/>
      <c r="MLC26" s="609"/>
      <c r="MLD26" s="609"/>
      <c r="MLE26" s="609"/>
      <c r="MLF26" s="609"/>
      <c r="MLG26" s="609"/>
      <c r="MLH26" s="609"/>
      <c r="MLI26" s="609"/>
      <c r="MLJ26" s="609"/>
      <c r="MLK26" s="609"/>
      <c r="MLL26" s="609"/>
      <c r="MLM26" s="609"/>
      <c r="MLN26" s="609"/>
      <c r="MLO26" s="609"/>
      <c r="MLP26" s="609"/>
      <c r="MLQ26" s="609"/>
      <c r="MLR26" s="609"/>
      <c r="MLS26" s="609"/>
      <c r="MLT26" s="609"/>
      <c r="MLU26" s="609"/>
      <c r="MLV26" s="609"/>
      <c r="MLW26" s="609"/>
      <c r="MLX26" s="609"/>
      <c r="MLY26" s="609"/>
      <c r="MLZ26" s="609"/>
      <c r="MMA26" s="609"/>
      <c r="MMB26" s="609"/>
      <c r="MMC26" s="609"/>
      <c r="MMD26" s="609"/>
      <c r="MME26" s="609"/>
      <c r="MMF26" s="609"/>
      <c r="MMG26" s="609"/>
      <c r="MMH26" s="609"/>
      <c r="MMI26" s="609"/>
      <c r="MMJ26" s="609"/>
      <c r="MMK26" s="609"/>
      <c r="MML26" s="609"/>
      <c r="MMM26" s="609"/>
      <c r="MMN26" s="609"/>
      <c r="MMO26" s="609"/>
      <c r="MMP26" s="609"/>
      <c r="MMQ26" s="609"/>
      <c r="MMR26" s="609"/>
      <c r="MMS26" s="609"/>
      <c r="MMT26" s="609"/>
      <c r="MMU26" s="609"/>
      <c r="MMV26" s="609"/>
      <c r="MMW26" s="609"/>
      <c r="MMX26" s="609"/>
      <c r="MMY26" s="609"/>
      <c r="MMZ26" s="609"/>
      <c r="MNA26" s="609"/>
      <c r="MNB26" s="609"/>
      <c r="MNC26" s="609"/>
      <c r="MND26" s="609"/>
      <c r="MNE26" s="609"/>
      <c r="MNF26" s="609"/>
      <c r="MNG26" s="609"/>
      <c r="MNH26" s="609"/>
      <c r="MNI26" s="609"/>
      <c r="MNJ26" s="609"/>
      <c r="MNK26" s="609"/>
      <c r="MNL26" s="609"/>
      <c r="MNM26" s="609"/>
      <c r="MNN26" s="609"/>
      <c r="MNO26" s="609"/>
      <c r="MNP26" s="609"/>
      <c r="MNQ26" s="609"/>
      <c r="MNR26" s="609"/>
      <c r="MNS26" s="609"/>
      <c r="MNT26" s="609"/>
      <c r="MNU26" s="609"/>
      <c r="MNV26" s="609"/>
      <c r="MNW26" s="609"/>
      <c r="MNX26" s="609"/>
      <c r="MNY26" s="609"/>
      <c r="MNZ26" s="609"/>
      <c r="MOA26" s="609"/>
      <c r="MOB26" s="609"/>
      <c r="MOC26" s="609"/>
      <c r="MOD26" s="609"/>
      <c r="MOE26" s="609"/>
      <c r="MOF26" s="609"/>
      <c r="MOG26" s="609"/>
      <c r="MOH26" s="609"/>
      <c r="MOI26" s="609"/>
      <c r="MOJ26" s="609"/>
      <c r="MOK26" s="609"/>
      <c r="MOL26" s="609"/>
      <c r="MOM26" s="609"/>
      <c r="MON26" s="609"/>
      <c r="MOO26" s="609"/>
      <c r="MOP26" s="609"/>
      <c r="MOQ26" s="609"/>
      <c r="MOR26" s="609"/>
      <c r="MOS26" s="609"/>
      <c r="MOT26" s="609"/>
      <c r="MOU26" s="609"/>
      <c r="MOV26" s="609"/>
      <c r="MOW26" s="609"/>
      <c r="MOX26" s="609"/>
      <c r="MOY26" s="609"/>
      <c r="MOZ26" s="609"/>
      <c r="MPA26" s="609"/>
      <c r="MPB26" s="609"/>
      <c r="MPC26" s="609"/>
      <c r="MPD26" s="609"/>
      <c r="MPE26" s="609"/>
      <c r="MPF26" s="609"/>
      <c r="MPG26" s="609"/>
      <c r="MPH26" s="609"/>
      <c r="MPI26" s="609"/>
      <c r="MPJ26" s="609"/>
      <c r="MPK26" s="609"/>
      <c r="MPL26" s="609"/>
      <c r="MPM26" s="609"/>
      <c r="MPN26" s="609"/>
      <c r="MPO26" s="609"/>
      <c r="MPP26" s="609"/>
      <c r="MPQ26" s="609"/>
      <c r="MPR26" s="609"/>
      <c r="MPS26" s="609"/>
      <c r="MPT26" s="609"/>
      <c r="MPU26" s="609"/>
      <c r="MPV26" s="609"/>
      <c r="MPW26" s="609"/>
      <c r="MPX26" s="609"/>
      <c r="MPY26" s="609"/>
      <c r="MPZ26" s="609"/>
      <c r="MQA26" s="609"/>
      <c r="MQB26" s="609"/>
      <c r="MQC26" s="609"/>
      <c r="MQD26" s="609"/>
      <c r="MQE26" s="609"/>
      <c r="MQF26" s="609"/>
      <c r="MQG26" s="609"/>
      <c r="MQH26" s="609"/>
      <c r="MQI26" s="609"/>
      <c r="MQJ26" s="609"/>
      <c r="MQK26" s="609"/>
      <c r="MQL26" s="609"/>
      <c r="MQM26" s="609"/>
      <c r="MQN26" s="609"/>
      <c r="MQO26" s="609"/>
      <c r="MQP26" s="609"/>
      <c r="MQQ26" s="609"/>
      <c r="MQR26" s="609"/>
      <c r="MQS26" s="609"/>
      <c r="MQT26" s="609"/>
      <c r="MQU26" s="609"/>
      <c r="MQV26" s="609"/>
      <c r="MQW26" s="609"/>
      <c r="MQX26" s="609"/>
      <c r="MQY26" s="609"/>
      <c r="MQZ26" s="609"/>
      <c r="MRA26" s="609"/>
      <c r="MRB26" s="609"/>
      <c r="MRC26" s="609"/>
      <c r="MRD26" s="609"/>
      <c r="MRE26" s="609"/>
      <c r="MRF26" s="609"/>
      <c r="MRG26" s="609"/>
      <c r="MRH26" s="609"/>
      <c r="MRI26" s="609"/>
      <c r="MRJ26" s="609"/>
      <c r="MRK26" s="609"/>
      <c r="MRL26" s="609"/>
      <c r="MRM26" s="609"/>
      <c r="MRN26" s="609"/>
      <c r="MRO26" s="609"/>
      <c r="MRP26" s="609"/>
      <c r="MRQ26" s="609"/>
      <c r="MRR26" s="609"/>
      <c r="MRS26" s="609"/>
      <c r="MRT26" s="609"/>
      <c r="MRU26" s="609"/>
      <c r="MRV26" s="609"/>
      <c r="MRW26" s="609"/>
      <c r="MRX26" s="609"/>
      <c r="MRY26" s="609"/>
      <c r="MRZ26" s="609"/>
      <c r="MSA26" s="609"/>
      <c r="MSB26" s="609"/>
      <c r="MSC26" s="609"/>
      <c r="MSD26" s="609"/>
      <c r="MSE26" s="609"/>
      <c r="MSF26" s="609"/>
      <c r="MSG26" s="609"/>
      <c r="MSH26" s="609"/>
      <c r="MSI26" s="609"/>
      <c r="MSJ26" s="609"/>
      <c r="MSK26" s="609"/>
      <c r="MSL26" s="609"/>
      <c r="MSM26" s="609"/>
      <c r="MSN26" s="609"/>
      <c r="MSO26" s="609"/>
      <c r="MSP26" s="609"/>
      <c r="MSQ26" s="609"/>
      <c r="MSR26" s="609"/>
      <c r="MSS26" s="609"/>
      <c r="MST26" s="609"/>
      <c r="MSU26" s="609"/>
      <c r="MSV26" s="609"/>
      <c r="MSW26" s="609"/>
      <c r="MSX26" s="609"/>
      <c r="MSY26" s="609"/>
      <c r="MSZ26" s="609"/>
      <c r="MTA26" s="609"/>
      <c r="MTB26" s="609"/>
      <c r="MTC26" s="609"/>
      <c r="MTD26" s="609"/>
      <c r="MTE26" s="609"/>
      <c r="MTF26" s="609"/>
      <c r="MTG26" s="609"/>
      <c r="MTH26" s="609"/>
      <c r="MTI26" s="609"/>
      <c r="MTJ26" s="609"/>
      <c r="MTK26" s="609"/>
      <c r="MTL26" s="609"/>
      <c r="MTM26" s="609"/>
      <c r="MTN26" s="609"/>
      <c r="MTO26" s="609"/>
      <c r="MTP26" s="609"/>
      <c r="MTQ26" s="609"/>
      <c r="MTR26" s="609"/>
      <c r="MTS26" s="609"/>
      <c r="MTT26" s="609"/>
      <c r="MTU26" s="609"/>
      <c r="MTV26" s="609"/>
      <c r="MTW26" s="609"/>
      <c r="MTX26" s="609"/>
      <c r="MTY26" s="609"/>
      <c r="MTZ26" s="609"/>
      <c r="MUA26" s="609"/>
      <c r="MUB26" s="609"/>
      <c r="MUC26" s="609"/>
      <c r="MUD26" s="609"/>
      <c r="MUE26" s="609"/>
      <c r="MUF26" s="609"/>
      <c r="MUG26" s="609"/>
      <c r="MUH26" s="609"/>
      <c r="MUI26" s="609"/>
      <c r="MUJ26" s="609"/>
      <c r="MUK26" s="609"/>
      <c r="MUL26" s="609"/>
      <c r="MUM26" s="609"/>
      <c r="MUN26" s="609"/>
      <c r="MUO26" s="609"/>
      <c r="MUP26" s="609"/>
      <c r="MUQ26" s="609"/>
      <c r="MUR26" s="609"/>
      <c r="MUS26" s="609"/>
      <c r="MUT26" s="609"/>
      <c r="MUU26" s="609"/>
      <c r="MUV26" s="609"/>
      <c r="MUW26" s="609"/>
      <c r="MUX26" s="609"/>
      <c r="MUY26" s="609"/>
      <c r="MUZ26" s="609"/>
      <c r="MVA26" s="609"/>
      <c r="MVB26" s="609"/>
      <c r="MVC26" s="609"/>
      <c r="MVD26" s="609"/>
      <c r="MVE26" s="609"/>
      <c r="MVF26" s="609"/>
      <c r="MVG26" s="609"/>
      <c r="MVH26" s="609"/>
      <c r="MVI26" s="609"/>
      <c r="MVJ26" s="609"/>
      <c r="MVK26" s="609"/>
      <c r="MVL26" s="609"/>
      <c r="MVM26" s="609"/>
      <c r="MVN26" s="609"/>
      <c r="MVO26" s="609"/>
      <c r="MVP26" s="609"/>
      <c r="MVQ26" s="609"/>
      <c r="MVR26" s="609"/>
      <c r="MVS26" s="609"/>
      <c r="MVT26" s="609"/>
      <c r="MVU26" s="609"/>
      <c r="MVV26" s="609"/>
      <c r="MVW26" s="609"/>
      <c r="MVX26" s="609"/>
      <c r="MVY26" s="609"/>
      <c r="MVZ26" s="609"/>
      <c r="MWA26" s="609"/>
      <c r="MWB26" s="609"/>
      <c r="MWC26" s="609"/>
      <c r="MWD26" s="609"/>
      <c r="MWE26" s="609"/>
      <c r="MWF26" s="609"/>
      <c r="MWG26" s="609"/>
      <c r="MWH26" s="609"/>
      <c r="MWI26" s="609"/>
      <c r="MWJ26" s="609"/>
      <c r="MWK26" s="609"/>
      <c r="MWL26" s="609"/>
      <c r="MWM26" s="609"/>
      <c r="MWN26" s="609"/>
      <c r="MWO26" s="609"/>
      <c r="MWP26" s="609"/>
      <c r="MWQ26" s="609"/>
      <c r="MWR26" s="609"/>
      <c r="MWS26" s="609"/>
      <c r="MWT26" s="609"/>
      <c r="MWU26" s="609"/>
      <c r="MWV26" s="609"/>
      <c r="MWW26" s="609"/>
      <c r="MWX26" s="609"/>
      <c r="MWY26" s="609"/>
      <c r="MWZ26" s="609"/>
      <c r="MXA26" s="609"/>
      <c r="MXB26" s="609"/>
      <c r="MXC26" s="609"/>
      <c r="MXD26" s="609"/>
      <c r="MXE26" s="609"/>
      <c r="MXF26" s="609"/>
      <c r="MXG26" s="609"/>
      <c r="MXH26" s="609"/>
      <c r="MXI26" s="609"/>
      <c r="MXJ26" s="609"/>
      <c r="MXK26" s="609"/>
      <c r="MXL26" s="609"/>
      <c r="MXM26" s="609"/>
      <c r="MXN26" s="609"/>
      <c r="MXO26" s="609"/>
      <c r="MXP26" s="609"/>
      <c r="MXQ26" s="609"/>
      <c r="MXR26" s="609"/>
      <c r="MXS26" s="609"/>
      <c r="MXT26" s="609"/>
      <c r="MXU26" s="609"/>
      <c r="MXV26" s="609"/>
      <c r="MXW26" s="609"/>
      <c r="MXX26" s="609"/>
      <c r="MXY26" s="609"/>
      <c r="MXZ26" s="609"/>
      <c r="MYA26" s="609"/>
      <c r="MYB26" s="609"/>
      <c r="MYC26" s="609"/>
      <c r="MYD26" s="609"/>
      <c r="MYE26" s="609"/>
      <c r="MYF26" s="609"/>
      <c r="MYG26" s="609"/>
      <c r="MYH26" s="609"/>
      <c r="MYI26" s="609"/>
      <c r="MYJ26" s="609"/>
      <c r="MYK26" s="609"/>
      <c r="MYL26" s="609"/>
      <c r="MYM26" s="609"/>
      <c r="MYN26" s="609"/>
      <c r="MYO26" s="609"/>
      <c r="MYP26" s="609"/>
      <c r="MYQ26" s="609"/>
      <c r="MYR26" s="609"/>
      <c r="MYS26" s="609"/>
      <c r="MYT26" s="609"/>
      <c r="MYU26" s="609"/>
      <c r="MYV26" s="609"/>
      <c r="MYW26" s="609"/>
      <c r="MYX26" s="609"/>
      <c r="MYY26" s="609"/>
      <c r="MYZ26" s="609"/>
      <c r="MZA26" s="609"/>
      <c r="MZB26" s="609"/>
      <c r="MZC26" s="609"/>
      <c r="MZD26" s="609"/>
      <c r="MZE26" s="609"/>
      <c r="MZF26" s="609"/>
      <c r="MZG26" s="609"/>
      <c r="MZH26" s="609"/>
      <c r="MZI26" s="609"/>
      <c r="MZJ26" s="609"/>
      <c r="MZK26" s="609"/>
      <c r="MZL26" s="609"/>
      <c r="MZM26" s="609"/>
      <c r="MZN26" s="609"/>
      <c r="MZO26" s="609"/>
      <c r="MZP26" s="609"/>
      <c r="MZQ26" s="609"/>
      <c r="MZR26" s="609"/>
      <c r="MZS26" s="609"/>
      <c r="MZT26" s="609"/>
      <c r="MZU26" s="609"/>
      <c r="MZV26" s="609"/>
      <c r="MZW26" s="609"/>
      <c r="MZX26" s="609"/>
      <c r="MZY26" s="609"/>
      <c r="MZZ26" s="609"/>
      <c r="NAA26" s="609"/>
      <c r="NAB26" s="609"/>
      <c r="NAC26" s="609"/>
      <c r="NAD26" s="609"/>
      <c r="NAE26" s="609"/>
      <c r="NAF26" s="609"/>
      <c r="NAG26" s="609"/>
      <c r="NAH26" s="609"/>
      <c r="NAI26" s="609"/>
      <c r="NAJ26" s="609"/>
      <c r="NAK26" s="609"/>
      <c r="NAL26" s="609"/>
      <c r="NAM26" s="609"/>
      <c r="NAN26" s="609"/>
      <c r="NAO26" s="609"/>
      <c r="NAP26" s="609"/>
      <c r="NAQ26" s="609"/>
      <c r="NAR26" s="609"/>
      <c r="NAS26" s="609"/>
      <c r="NAT26" s="609"/>
      <c r="NAU26" s="609"/>
      <c r="NAV26" s="609"/>
      <c r="NAW26" s="609"/>
      <c r="NAX26" s="609"/>
      <c r="NAY26" s="609"/>
      <c r="NAZ26" s="609"/>
      <c r="NBA26" s="609"/>
      <c r="NBB26" s="609"/>
      <c r="NBC26" s="609"/>
      <c r="NBD26" s="609"/>
      <c r="NBE26" s="609"/>
      <c r="NBF26" s="609"/>
      <c r="NBG26" s="609"/>
      <c r="NBH26" s="609"/>
      <c r="NBI26" s="609"/>
      <c r="NBJ26" s="609"/>
      <c r="NBK26" s="609"/>
      <c r="NBL26" s="609"/>
      <c r="NBM26" s="609"/>
      <c r="NBN26" s="609"/>
      <c r="NBO26" s="609"/>
      <c r="NBP26" s="609"/>
      <c r="NBQ26" s="609"/>
      <c r="NBR26" s="609"/>
      <c r="NBS26" s="609"/>
      <c r="NBT26" s="609"/>
      <c r="NBU26" s="609"/>
      <c r="NBV26" s="609"/>
      <c r="NBW26" s="609"/>
      <c r="NBX26" s="609"/>
      <c r="NBY26" s="609"/>
      <c r="NBZ26" s="609"/>
      <c r="NCA26" s="609"/>
      <c r="NCB26" s="609"/>
      <c r="NCC26" s="609"/>
      <c r="NCD26" s="609"/>
      <c r="NCE26" s="609"/>
      <c r="NCF26" s="609"/>
      <c r="NCG26" s="609"/>
      <c r="NCH26" s="609"/>
      <c r="NCI26" s="609"/>
      <c r="NCJ26" s="609"/>
      <c r="NCK26" s="609"/>
      <c r="NCL26" s="609"/>
      <c r="NCM26" s="609"/>
      <c r="NCN26" s="609"/>
      <c r="NCO26" s="609"/>
      <c r="NCP26" s="609"/>
      <c r="NCQ26" s="609"/>
      <c r="NCR26" s="609"/>
      <c r="NCS26" s="609"/>
      <c r="NCT26" s="609"/>
      <c r="NCU26" s="609"/>
      <c r="NCV26" s="609"/>
      <c r="NCW26" s="609"/>
      <c r="NCX26" s="609"/>
      <c r="NCY26" s="609"/>
      <c r="NCZ26" s="609"/>
      <c r="NDA26" s="609"/>
      <c r="NDB26" s="609"/>
      <c r="NDC26" s="609"/>
      <c r="NDD26" s="609"/>
      <c r="NDE26" s="609"/>
      <c r="NDF26" s="609"/>
      <c r="NDG26" s="609"/>
      <c r="NDH26" s="609"/>
      <c r="NDI26" s="609"/>
      <c r="NDJ26" s="609"/>
      <c r="NDK26" s="609"/>
      <c r="NDL26" s="609"/>
      <c r="NDM26" s="609"/>
      <c r="NDN26" s="609"/>
      <c r="NDO26" s="609"/>
      <c r="NDP26" s="609"/>
      <c r="NDQ26" s="609"/>
      <c r="NDR26" s="609"/>
      <c r="NDS26" s="609"/>
      <c r="NDT26" s="609"/>
      <c r="NDU26" s="609"/>
      <c r="NDV26" s="609"/>
      <c r="NDW26" s="609"/>
      <c r="NDX26" s="609"/>
      <c r="NDY26" s="609"/>
      <c r="NDZ26" s="609"/>
      <c r="NEA26" s="609"/>
      <c r="NEB26" s="609"/>
      <c r="NEC26" s="609"/>
      <c r="NED26" s="609"/>
      <c r="NEE26" s="609"/>
      <c r="NEF26" s="609"/>
      <c r="NEG26" s="609"/>
      <c r="NEH26" s="609"/>
      <c r="NEI26" s="609"/>
      <c r="NEJ26" s="609"/>
      <c r="NEK26" s="609"/>
      <c r="NEL26" s="609"/>
      <c r="NEM26" s="609"/>
      <c r="NEN26" s="609"/>
      <c r="NEO26" s="609"/>
      <c r="NEP26" s="609"/>
      <c r="NEQ26" s="609"/>
      <c r="NER26" s="609"/>
      <c r="NES26" s="609"/>
      <c r="NET26" s="609"/>
      <c r="NEU26" s="609"/>
      <c r="NEV26" s="609"/>
      <c r="NEW26" s="609"/>
      <c r="NEX26" s="609"/>
      <c r="NEY26" s="609"/>
      <c r="NEZ26" s="609"/>
      <c r="NFA26" s="609"/>
      <c r="NFB26" s="609"/>
      <c r="NFC26" s="609"/>
      <c r="NFD26" s="609"/>
      <c r="NFE26" s="609"/>
      <c r="NFF26" s="609"/>
      <c r="NFG26" s="609"/>
      <c r="NFH26" s="609"/>
      <c r="NFI26" s="609"/>
      <c r="NFJ26" s="609"/>
      <c r="NFK26" s="609"/>
      <c r="NFL26" s="609"/>
      <c r="NFM26" s="609"/>
      <c r="NFN26" s="609"/>
      <c r="NFO26" s="609"/>
      <c r="NFP26" s="609"/>
      <c r="NFQ26" s="609"/>
      <c r="NFR26" s="609"/>
      <c r="NFS26" s="609"/>
      <c r="NFT26" s="609"/>
      <c r="NFU26" s="609"/>
      <c r="NFV26" s="609"/>
      <c r="NFW26" s="609"/>
      <c r="NFX26" s="609"/>
      <c r="NFY26" s="609"/>
      <c r="NFZ26" s="609"/>
      <c r="NGA26" s="609"/>
      <c r="NGB26" s="609"/>
      <c r="NGC26" s="609"/>
      <c r="NGD26" s="609"/>
      <c r="NGE26" s="609"/>
      <c r="NGF26" s="609"/>
      <c r="NGG26" s="609"/>
      <c r="NGH26" s="609"/>
      <c r="NGI26" s="609"/>
      <c r="NGJ26" s="609"/>
      <c r="NGK26" s="609"/>
      <c r="NGL26" s="609"/>
      <c r="NGM26" s="609"/>
      <c r="NGN26" s="609"/>
      <c r="NGO26" s="609"/>
      <c r="NGP26" s="609"/>
      <c r="NGQ26" s="609"/>
      <c r="NGR26" s="609"/>
      <c r="NGS26" s="609"/>
      <c r="NGT26" s="609"/>
      <c r="NGU26" s="609"/>
      <c r="NGV26" s="609"/>
      <c r="NGW26" s="609"/>
      <c r="NGX26" s="609"/>
      <c r="NGY26" s="609"/>
      <c r="NGZ26" s="609"/>
      <c r="NHA26" s="609"/>
      <c r="NHB26" s="609"/>
      <c r="NHC26" s="609"/>
      <c r="NHD26" s="609"/>
      <c r="NHE26" s="609"/>
      <c r="NHF26" s="609"/>
      <c r="NHG26" s="609"/>
      <c r="NHH26" s="609"/>
      <c r="NHI26" s="609"/>
      <c r="NHJ26" s="609"/>
      <c r="NHK26" s="609"/>
      <c r="NHL26" s="609"/>
      <c r="NHM26" s="609"/>
      <c r="NHN26" s="609"/>
      <c r="NHO26" s="609"/>
      <c r="NHP26" s="609"/>
      <c r="NHQ26" s="609"/>
      <c r="NHR26" s="609"/>
      <c r="NHS26" s="609"/>
      <c r="NHT26" s="609"/>
      <c r="NHU26" s="609"/>
      <c r="NHV26" s="609"/>
      <c r="NHW26" s="609"/>
      <c r="NHX26" s="609"/>
      <c r="NHY26" s="609"/>
      <c r="NHZ26" s="609"/>
      <c r="NIA26" s="609"/>
      <c r="NIB26" s="609"/>
      <c r="NIC26" s="609"/>
      <c r="NID26" s="609"/>
      <c r="NIE26" s="609"/>
      <c r="NIF26" s="609"/>
      <c r="NIG26" s="609"/>
      <c r="NIH26" s="609"/>
      <c r="NII26" s="609"/>
      <c r="NIJ26" s="609"/>
      <c r="NIK26" s="609"/>
      <c r="NIL26" s="609"/>
      <c r="NIM26" s="609"/>
      <c r="NIN26" s="609"/>
      <c r="NIO26" s="609"/>
      <c r="NIP26" s="609"/>
      <c r="NIQ26" s="609"/>
      <c r="NIR26" s="609"/>
      <c r="NIS26" s="609"/>
      <c r="NIT26" s="609"/>
      <c r="NIU26" s="609"/>
      <c r="NIV26" s="609"/>
      <c r="NIW26" s="609"/>
      <c r="NIX26" s="609"/>
      <c r="NIY26" s="609"/>
      <c r="NIZ26" s="609"/>
      <c r="NJA26" s="609"/>
      <c r="NJB26" s="609"/>
      <c r="NJC26" s="609"/>
      <c r="NJD26" s="609"/>
      <c r="NJE26" s="609"/>
      <c r="NJF26" s="609"/>
      <c r="NJG26" s="609"/>
      <c r="NJH26" s="609"/>
      <c r="NJI26" s="609"/>
      <c r="NJJ26" s="609"/>
      <c r="NJK26" s="609"/>
      <c r="NJL26" s="609"/>
      <c r="NJM26" s="609"/>
      <c r="NJN26" s="609"/>
      <c r="NJO26" s="609"/>
      <c r="NJP26" s="609"/>
      <c r="NJQ26" s="609"/>
      <c r="NJR26" s="609"/>
      <c r="NJS26" s="609"/>
      <c r="NJT26" s="609"/>
      <c r="NJU26" s="609"/>
      <c r="NJV26" s="609"/>
      <c r="NJW26" s="609"/>
      <c r="NJX26" s="609"/>
      <c r="NJY26" s="609"/>
      <c r="NJZ26" s="609"/>
      <c r="NKA26" s="609"/>
      <c r="NKB26" s="609"/>
      <c r="NKC26" s="609"/>
      <c r="NKD26" s="609"/>
      <c r="NKE26" s="609"/>
      <c r="NKF26" s="609"/>
      <c r="NKG26" s="609"/>
      <c r="NKH26" s="609"/>
      <c r="NKI26" s="609"/>
      <c r="NKJ26" s="609"/>
      <c r="NKK26" s="609"/>
      <c r="NKL26" s="609"/>
      <c r="NKM26" s="609"/>
      <c r="NKN26" s="609"/>
      <c r="NKO26" s="609"/>
      <c r="NKP26" s="609"/>
      <c r="NKQ26" s="609"/>
      <c r="NKR26" s="609"/>
      <c r="NKS26" s="609"/>
      <c r="NKT26" s="609"/>
      <c r="NKU26" s="609"/>
      <c r="NKV26" s="609"/>
      <c r="NKW26" s="609"/>
      <c r="NKX26" s="609"/>
      <c r="NKY26" s="609"/>
      <c r="NKZ26" s="609"/>
      <c r="NLA26" s="609"/>
      <c r="NLB26" s="609"/>
      <c r="NLC26" s="609"/>
      <c r="NLD26" s="609"/>
      <c r="NLE26" s="609"/>
      <c r="NLF26" s="609"/>
      <c r="NLG26" s="609"/>
      <c r="NLH26" s="609"/>
      <c r="NLI26" s="609"/>
      <c r="NLJ26" s="609"/>
      <c r="NLK26" s="609"/>
      <c r="NLL26" s="609"/>
      <c r="NLM26" s="609"/>
      <c r="NLN26" s="609"/>
      <c r="NLO26" s="609"/>
      <c r="NLP26" s="609"/>
      <c r="NLQ26" s="609"/>
      <c r="NLR26" s="609"/>
      <c r="NLS26" s="609"/>
      <c r="NLT26" s="609"/>
      <c r="NLU26" s="609"/>
      <c r="NLV26" s="609"/>
      <c r="NLW26" s="609"/>
      <c r="NLX26" s="609"/>
      <c r="NLY26" s="609"/>
      <c r="NLZ26" s="609"/>
      <c r="NMA26" s="609"/>
      <c r="NMB26" s="609"/>
      <c r="NMC26" s="609"/>
      <c r="NMD26" s="609"/>
      <c r="NME26" s="609"/>
      <c r="NMF26" s="609"/>
      <c r="NMG26" s="609"/>
      <c r="NMH26" s="609"/>
      <c r="NMI26" s="609"/>
      <c r="NMJ26" s="609"/>
      <c r="NMK26" s="609"/>
      <c r="NML26" s="609"/>
      <c r="NMM26" s="609"/>
      <c r="NMN26" s="609"/>
      <c r="NMO26" s="609"/>
      <c r="NMP26" s="609"/>
      <c r="NMQ26" s="609"/>
      <c r="NMR26" s="609"/>
      <c r="NMS26" s="609"/>
      <c r="NMT26" s="609"/>
      <c r="NMU26" s="609"/>
      <c r="NMV26" s="609"/>
      <c r="NMW26" s="609"/>
      <c r="NMX26" s="609"/>
      <c r="NMY26" s="609"/>
      <c r="NMZ26" s="609"/>
      <c r="NNA26" s="609"/>
      <c r="NNB26" s="609"/>
      <c r="NNC26" s="609"/>
      <c r="NND26" s="609"/>
      <c r="NNE26" s="609"/>
      <c r="NNF26" s="609"/>
      <c r="NNG26" s="609"/>
      <c r="NNH26" s="609"/>
      <c r="NNI26" s="609"/>
      <c r="NNJ26" s="609"/>
      <c r="NNK26" s="609"/>
      <c r="NNL26" s="609"/>
      <c r="NNM26" s="609"/>
      <c r="NNN26" s="609"/>
      <c r="NNO26" s="609"/>
      <c r="NNP26" s="609"/>
      <c r="NNQ26" s="609"/>
      <c r="NNR26" s="609"/>
      <c r="NNS26" s="609"/>
      <c r="NNT26" s="609"/>
      <c r="NNU26" s="609"/>
      <c r="NNV26" s="609"/>
      <c r="NNW26" s="609"/>
      <c r="NNX26" s="609"/>
      <c r="NNY26" s="609"/>
      <c r="NNZ26" s="609"/>
      <c r="NOA26" s="609"/>
      <c r="NOB26" s="609"/>
      <c r="NOC26" s="609"/>
      <c r="NOD26" s="609"/>
      <c r="NOE26" s="609"/>
      <c r="NOF26" s="609"/>
      <c r="NOG26" s="609"/>
      <c r="NOH26" s="609"/>
      <c r="NOI26" s="609"/>
      <c r="NOJ26" s="609"/>
      <c r="NOK26" s="609"/>
      <c r="NOL26" s="609"/>
      <c r="NOM26" s="609"/>
      <c r="NON26" s="609"/>
      <c r="NOO26" s="609"/>
      <c r="NOP26" s="609"/>
      <c r="NOQ26" s="609"/>
      <c r="NOR26" s="609"/>
      <c r="NOS26" s="609"/>
      <c r="NOT26" s="609"/>
      <c r="NOU26" s="609"/>
      <c r="NOV26" s="609"/>
      <c r="NOW26" s="609"/>
      <c r="NOX26" s="609"/>
      <c r="NOY26" s="609"/>
      <c r="NOZ26" s="609"/>
      <c r="NPA26" s="609"/>
      <c r="NPB26" s="609"/>
      <c r="NPC26" s="609"/>
      <c r="NPD26" s="609"/>
      <c r="NPE26" s="609"/>
      <c r="NPF26" s="609"/>
      <c r="NPG26" s="609"/>
      <c r="NPH26" s="609"/>
      <c r="NPI26" s="609"/>
      <c r="NPJ26" s="609"/>
      <c r="NPK26" s="609"/>
      <c r="NPL26" s="609"/>
      <c r="NPM26" s="609"/>
      <c r="NPN26" s="609"/>
      <c r="NPO26" s="609"/>
      <c r="NPP26" s="609"/>
      <c r="NPQ26" s="609"/>
      <c r="NPR26" s="609"/>
      <c r="NPS26" s="609"/>
      <c r="NPT26" s="609"/>
      <c r="NPU26" s="609"/>
      <c r="NPV26" s="609"/>
      <c r="NPW26" s="609"/>
      <c r="NPX26" s="609"/>
      <c r="NPY26" s="609"/>
      <c r="NPZ26" s="609"/>
      <c r="NQA26" s="609"/>
      <c r="NQB26" s="609"/>
      <c r="NQC26" s="609"/>
      <c r="NQD26" s="609"/>
      <c r="NQE26" s="609"/>
      <c r="NQF26" s="609"/>
      <c r="NQG26" s="609"/>
      <c r="NQH26" s="609"/>
      <c r="NQI26" s="609"/>
      <c r="NQJ26" s="609"/>
      <c r="NQK26" s="609"/>
      <c r="NQL26" s="609"/>
      <c r="NQM26" s="609"/>
      <c r="NQN26" s="609"/>
      <c r="NQO26" s="609"/>
      <c r="NQP26" s="609"/>
      <c r="NQQ26" s="609"/>
      <c r="NQR26" s="609"/>
      <c r="NQS26" s="609"/>
      <c r="NQT26" s="609"/>
      <c r="NQU26" s="609"/>
      <c r="NQV26" s="609"/>
      <c r="NQW26" s="609"/>
      <c r="NQX26" s="609"/>
      <c r="NQY26" s="609"/>
      <c r="NQZ26" s="609"/>
      <c r="NRA26" s="609"/>
      <c r="NRB26" s="609"/>
      <c r="NRC26" s="609"/>
      <c r="NRD26" s="609"/>
      <c r="NRE26" s="609"/>
      <c r="NRF26" s="609"/>
      <c r="NRG26" s="609"/>
      <c r="NRH26" s="609"/>
      <c r="NRI26" s="609"/>
      <c r="NRJ26" s="609"/>
      <c r="NRK26" s="609"/>
      <c r="NRL26" s="609"/>
      <c r="NRM26" s="609"/>
      <c r="NRN26" s="609"/>
      <c r="NRO26" s="609"/>
      <c r="NRP26" s="609"/>
      <c r="NRQ26" s="609"/>
      <c r="NRR26" s="609"/>
      <c r="NRS26" s="609"/>
      <c r="NRT26" s="609"/>
      <c r="NRU26" s="609"/>
      <c r="NRV26" s="609"/>
      <c r="NRW26" s="609"/>
      <c r="NRX26" s="609"/>
      <c r="NRY26" s="609"/>
      <c r="NRZ26" s="609"/>
      <c r="NSA26" s="609"/>
      <c r="NSB26" s="609"/>
      <c r="NSC26" s="609"/>
      <c r="NSD26" s="609"/>
      <c r="NSE26" s="609"/>
      <c r="NSF26" s="609"/>
      <c r="NSG26" s="609"/>
      <c r="NSH26" s="609"/>
      <c r="NSI26" s="609"/>
      <c r="NSJ26" s="609"/>
      <c r="NSK26" s="609"/>
      <c r="NSL26" s="609"/>
      <c r="NSM26" s="609"/>
      <c r="NSN26" s="609"/>
      <c r="NSO26" s="609"/>
      <c r="NSP26" s="609"/>
      <c r="NSQ26" s="609"/>
      <c r="NSR26" s="609"/>
      <c r="NSS26" s="609"/>
      <c r="NST26" s="609"/>
      <c r="NSU26" s="609"/>
      <c r="NSV26" s="609"/>
      <c r="NSW26" s="609"/>
      <c r="NSX26" s="609"/>
      <c r="NSY26" s="609"/>
      <c r="NSZ26" s="609"/>
      <c r="NTA26" s="609"/>
      <c r="NTB26" s="609"/>
      <c r="NTC26" s="609"/>
      <c r="NTD26" s="609"/>
      <c r="NTE26" s="609"/>
      <c r="NTF26" s="609"/>
      <c r="NTG26" s="609"/>
      <c r="NTH26" s="609"/>
      <c r="NTI26" s="609"/>
      <c r="NTJ26" s="609"/>
      <c r="NTK26" s="609"/>
      <c r="NTL26" s="609"/>
      <c r="NTM26" s="609"/>
      <c r="NTN26" s="609"/>
      <c r="NTO26" s="609"/>
      <c r="NTP26" s="609"/>
      <c r="NTQ26" s="609"/>
      <c r="NTR26" s="609"/>
      <c r="NTS26" s="609"/>
      <c r="NTT26" s="609"/>
      <c r="NTU26" s="609"/>
      <c r="NTV26" s="609"/>
      <c r="NTW26" s="609"/>
      <c r="NTX26" s="609"/>
      <c r="NTY26" s="609"/>
      <c r="NTZ26" s="609"/>
      <c r="NUA26" s="609"/>
      <c r="NUB26" s="609"/>
      <c r="NUC26" s="609"/>
      <c r="NUD26" s="609"/>
      <c r="NUE26" s="609"/>
      <c r="NUF26" s="609"/>
      <c r="NUG26" s="609"/>
      <c r="NUH26" s="609"/>
      <c r="NUI26" s="609"/>
      <c r="NUJ26" s="609"/>
      <c r="NUK26" s="609"/>
      <c r="NUL26" s="609"/>
      <c r="NUM26" s="609"/>
      <c r="NUN26" s="609"/>
      <c r="NUO26" s="609"/>
      <c r="NUP26" s="609"/>
      <c r="NUQ26" s="609"/>
      <c r="NUR26" s="609"/>
      <c r="NUS26" s="609"/>
      <c r="NUT26" s="609"/>
      <c r="NUU26" s="609"/>
      <c r="NUV26" s="609"/>
      <c r="NUW26" s="609"/>
      <c r="NUX26" s="609"/>
      <c r="NUY26" s="609"/>
      <c r="NUZ26" s="609"/>
      <c r="NVA26" s="609"/>
      <c r="NVB26" s="609"/>
      <c r="NVC26" s="609"/>
      <c r="NVD26" s="609"/>
      <c r="NVE26" s="609"/>
      <c r="NVF26" s="609"/>
      <c r="NVG26" s="609"/>
      <c r="NVH26" s="609"/>
      <c r="NVI26" s="609"/>
      <c r="NVJ26" s="609"/>
      <c r="NVK26" s="609"/>
      <c r="NVL26" s="609"/>
      <c r="NVM26" s="609"/>
      <c r="NVN26" s="609"/>
      <c r="NVO26" s="609"/>
      <c r="NVP26" s="609"/>
      <c r="NVQ26" s="609"/>
      <c r="NVR26" s="609"/>
      <c r="NVS26" s="609"/>
      <c r="NVT26" s="609"/>
      <c r="NVU26" s="609"/>
      <c r="NVV26" s="609"/>
      <c r="NVW26" s="609"/>
      <c r="NVX26" s="609"/>
      <c r="NVY26" s="609"/>
      <c r="NVZ26" s="609"/>
      <c r="NWA26" s="609"/>
      <c r="NWB26" s="609"/>
      <c r="NWC26" s="609"/>
      <c r="NWD26" s="609"/>
      <c r="NWE26" s="609"/>
      <c r="NWF26" s="609"/>
      <c r="NWG26" s="609"/>
      <c r="NWH26" s="609"/>
      <c r="NWI26" s="609"/>
      <c r="NWJ26" s="609"/>
      <c r="NWK26" s="609"/>
      <c r="NWL26" s="609"/>
      <c r="NWM26" s="609"/>
      <c r="NWN26" s="609"/>
      <c r="NWO26" s="609"/>
      <c r="NWP26" s="609"/>
      <c r="NWQ26" s="609"/>
      <c r="NWR26" s="609"/>
      <c r="NWS26" s="609"/>
      <c r="NWT26" s="609"/>
      <c r="NWU26" s="609"/>
      <c r="NWV26" s="609"/>
      <c r="NWW26" s="609"/>
      <c r="NWX26" s="609"/>
      <c r="NWY26" s="609"/>
      <c r="NWZ26" s="609"/>
      <c r="NXA26" s="609"/>
      <c r="NXB26" s="609"/>
      <c r="NXC26" s="609"/>
      <c r="NXD26" s="609"/>
      <c r="NXE26" s="609"/>
      <c r="NXF26" s="609"/>
      <c r="NXG26" s="609"/>
      <c r="NXH26" s="609"/>
      <c r="NXI26" s="609"/>
      <c r="NXJ26" s="609"/>
      <c r="NXK26" s="609"/>
      <c r="NXL26" s="609"/>
      <c r="NXM26" s="609"/>
      <c r="NXN26" s="609"/>
      <c r="NXO26" s="609"/>
      <c r="NXP26" s="609"/>
      <c r="NXQ26" s="609"/>
      <c r="NXR26" s="609"/>
      <c r="NXS26" s="609"/>
      <c r="NXT26" s="609"/>
      <c r="NXU26" s="609"/>
      <c r="NXV26" s="609"/>
      <c r="NXW26" s="609"/>
      <c r="NXX26" s="609"/>
      <c r="NXY26" s="609"/>
      <c r="NXZ26" s="609"/>
      <c r="NYA26" s="609"/>
      <c r="NYB26" s="609"/>
      <c r="NYC26" s="609"/>
      <c r="NYD26" s="609"/>
      <c r="NYE26" s="609"/>
      <c r="NYF26" s="609"/>
      <c r="NYG26" s="609"/>
      <c r="NYH26" s="609"/>
      <c r="NYI26" s="609"/>
      <c r="NYJ26" s="609"/>
      <c r="NYK26" s="609"/>
      <c r="NYL26" s="609"/>
      <c r="NYM26" s="609"/>
      <c r="NYN26" s="609"/>
      <c r="NYO26" s="609"/>
      <c r="NYP26" s="609"/>
      <c r="NYQ26" s="609"/>
      <c r="NYR26" s="609"/>
      <c r="NYS26" s="609"/>
      <c r="NYT26" s="609"/>
      <c r="NYU26" s="609"/>
      <c r="NYV26" s="609"/>
      <c r="NYW26" s="609"/>
      <c r="NYX26" s="609"/>
      <c r="NYY26" s="609"/>
      <c r="NYZ26" s="609"/>
      <c r="NZA26" s="609"/>
      <c r="NZB26" s="609"/>
      <c r="NZC26" s="609"/>
      <c r="NZD26" s="609"/>
      <c r="NZE26" s="609"/>
      <c r="NZF26" s="609"/>
      <c r="NZG26" s="609"/>
      <c r="NZH26" s="609"/>
      <c r="NZI26" s="609"/>
      <c r="NZJ26" s="609"/>
      <c r="NZK26" s="609"/>
      <c r="NZL26" s="609"/>
      <c r="NZM26" s="609"/>
      <c r="NZN26" s="609"/>
      <c r="NZO26" s="609"/>
      <c r="NZP26" s="609"/>
      <c r="NZQ26" s="609"/>
      <c r="NZR26" s="609"/>
      <c r="NZS26" s="609"/>
      <c r="NZT26" s="609"/>
      <c r="NZU26" s="609"/>
      <c r="NZV26" s="609"/>
      <c r="NZW26" s="609"/>
      <c r="NZX26" s="609"/>
      <c r="NZY26" s="609"/>
      <c r="NZZ26" s="609"/>
      <c r="OAA26" s="609"/>
      <c r="OAB26" s="609"/>
      <c r="OAC26" s="609"/>
      <c r="OAD26" s="609"/>
      <c r="OAE26" s="609"/>
      <c r="OAF26" s="609"/>
      <c r="OAG26" s="609"/>
      <c r="OAH26" s="609"/>
      <c r="OAI26" s="609"/>
      <c r="OAJ26" s="609"/>
      <c r="OAK26" s="609"/>
      <c r="OAL26" s="609"/>
      <c r="OAM26" s="609"/>
      <c r="OAN26" s="609"/>
      <c r="OAO26" s="609"/>
      <c r="OAP26" s="609"/>
      <c r="OAQ26" s="609"/>
      <c r="OAR26" s="609"/>
      <c r="OAS26" s="609"/>
      <c r="OAT26" s="609"/>
      <c r="OAU26" s="609"/>
      <c r="OAV26" s="609"/>
      <c r="OAW26" s="609"/>
      <c r="OAX26" s="609"/>
      <c r="OAY26" s="609"/>
      <c r="OAZ26" s="609"/>
      <c r="OBA26" s="609"/>
      <c r="OBB26" s="609"/>
      <c r="OBC26" s="609"/>
      <c r="OBD26" s="609"/>
      <c r="OBE26" s="609"/>
      <c r="OBF26" s="609"/>
      <c r="OBG26" s="609"/>
      <c r="OBH26" s="609"/>
      <c r="OBI26" s="609"/>
      <c r="OBJ26" s="609"/>
      <c r="OBK26" s="609"/>
      <c r="OBL26" s="609"/>
      <c r="OBM26" s="609"/>
      <c r="OBN26" s="609"/>
      <c r="OBO26" s="609"/>
      <c r="OBP26" s="609"/>
      <c r="OBQ26" s="609"/>
      <c r="OBR26" s="609"/>
      <c r="OBS26" s="609"/>
      <c r="OBT26" s="609"/>
      <c r="OBU26" s="609"/>
      <c r="OBV26" s="609"/>
      <c r="OBW26" s="609"/>
      <c r="OBX26" s="609"/>
      <c r="OBY26" s="609"/>
      <c r="OBZ26" s="609"/>
      <c r="OCA26" s="609"/>
      <c r="OCB26" s="609"/>
      <c r="OCC26" s="609"/>
      <c r="OCD26" s="609"/>
      <c r="OCE26" s="609"/>
      <c r="OCF26" s="609"/>
      <c r="OCG26" s="609"/>
      <c r="OCH26" s="609"/>
      <c r="OCI26" s="609"/>
      <c r="OCJ26" s="609"/>
      <c r="OCK26" s="609"/>
      <c r="OCL26" s="609"/>
      <c r="OCM26" s="609"/>
      <c r="OCN26" s="609"/>
      <c r="OCO26" s="609"/>
      <c r="OCP26" s="609"/>
      <c r="OCQ26" s="609"/>
      <c r="OCR26" s="609"/>
      <c r="OCS26" s="609"/>
      <c r="OCT26" s="609"/>
      <c r="OCU26" s="609"/>
      <c r="OCV26" s="609"/>
      <c r="OCW26" s="609"/>
      <c r="OCX26" s="609"/>
      <c r="OCY26" s="609"/>
      <c r="OCZ26" s="609"/>
      <c r="ODA26" s="609"/>
      <c r="ODB26" s="609"/>
      <c r="ODC26" s="609"/>
      <c r="ODD26" s="609"/>
      <c r="ODE26" s="609"/>
      <c r="ODF26" s="609"/>
      <c r="ODG26" s="609"/>
      <c r="ODH26" s="609"/>
      <c r="ODI26" s="609"/>
      <c r="ODJ26" s="609"/>
      <c r="ODK26" s="609"/>
      <c r="ODL26" s="609"/>
      <c r="ODM26" s="609"/>
      <c r="ODN26" s="609"/>
      <c r="ODO26" s="609"/>
      <c r="ODP26" s="609"/>
      <c r="ODQ26" s="609"/>
      <c r="ODR26" s="609"/>
      <c r="ODS26" s="609"/>
      <c r="ODT26" s="609"/>
      <c r="ODU26" s="609"/>
      <c r="ODV26" s="609"/>
      <c r="ODW26" s="609"/>
      <c r="ODX26" s="609"/>
      <c r="ODY26" s="609"/>
      <c r="ODZ26" s="609"/>
      <c r="OEA26" s="609"/>
      <c r="OEB26" s="609"/>
      <c r="OEC26" s="609"/>
      <c r="OED26" s="609"/>
      <c r="OEE26" s="609"/>
      <c r="OEF26" s="609"/>
      <c r="OEG26" s="609"/>
      <c r="OEH26" s="609"/>
      <c r="OEI26" s="609"/>
      <c r="OEJ26" s="609"/>
      <c r="OEK26" s="609"/>
      <c r="OEL26" s="609"/>
      <c r="OEM26" s="609"/>
      <c r="OEN26" s="609"/>
      <c r="OEO26" s="609"/>
      <c r="OEP26" s="609"/>
      <c r="OEQ26" s="609"/>
      <c r="OER26" s="609"/>
      <c r="OES26" s="609"/>
      <c r="OET26" s="609"/>
      <c r="OEU26" s="609"/>
      <c r="OEV26" s="609"/>
      <c r="OEW26" s="609"/>
      <c r="OEX26" s="609"/>
      <c r="OEY26" s="609"/>
      <c r="OEZ26" s="609"/>
      <c r="OFA26" s="609"/>
      <c r="OFB26" s="609"/>
      <c r="OFC26" s="609"/>
      <c r="OFD26" s="609"/>
      <c r="OFE26" s="609"/>
      <c r="OFF26" s="609"/>
      <c r="OFG26" s="609"/>
      <c r="OFH26" s="609"/>
      <c r="OFI26" s="609"/>
      <c r="OFJ26" s="609"/>
      <c r="OFK26" s="609"/>
      <c r="OFL26" s="609"/>
      <c r="OFM26" s="609"/>
      <c r="OFN26" s="609"/>
      <c r="OFO26" s="609"/>
      <c r="OFP26" s="609"/>
      <c r="OFQ26" s="609"/>
      <c r="OFR26" s="609"/>
      <c r="OFS26" s="609"/>
      <c r="OFT26" s="609"/>
      <c r="OFU26" s="609"/>
      <c r="OFV26" s="609"/>
      <c r="OFW26" s="609"/>
      <c r="OFX26" s="609"/>
      <c r="OFY26" s="609"/>
      <c r="OFZ26" s="609"/>
      <c r="OGA26" s="609"/>
      <c r="OGB26" s="609"/>
      <c r="OGC26" s="609"/>
      <c r="OGD26" s="609"/>
      <c r="OGE26" s="609"/>
      <c r="OGF26" s="609"/>
      <c r="OGG26" s="609"/>
      <c r="OGH26" s="609"/>
      <c r="OGI26" s="609"/>
      <c r="OGJ26" s="609"/>
      <c r="OGK26" s="609"/>
      <c r="OGL26" s="609"/>
      <c r="OGM26" s="609"/>
      <c r="OGN26" s="609"/>
      <c r="OGO26" s="609"/>
      <c r="OGP26" s="609"/>
      <c r="OGQ26" s="609"/>
      <c r="OGR26" s="609"/>
      <c r="OGS26" s="609"/>
      <c r="OGT26" s="609"/>
      <c r="OGU26" s="609"/>
      <c r="OGV26" s="609"/>
      <c r="OGW26" s="609"/>
      <c r="OGX26" s="609"/>
      <c r="OGY26" s="609"/>
      <c r="OGZ26" s="609"/>
      <c r="OHA26" s="609"/>
      <c r="OHB26" s="609"/>
      <c r="OHC26" s="609"/>
      <c r="OHD26" s="609"/>
      <c r="OHE26" s="609"/>
      <c r="OHF26" s="609"/>
      <c r="OHG26" s="609"/>
      <c r="OHH26" s="609"/>
      <c r="OHI26" s="609"/>
      <c r="OHJ26" s="609"/>
      <c r="OHK26" s="609"/>
      <c r="OHL26" s="609"/>
      <c r="OHM26" s="609"/>
      <c r="OHN26" s="609"/>
      <c r="OHO26" s="609"/>
      <c r="OHP26" s="609"/>
      <c r="OHQ26" s="609"/>
      <c r="OHR26" s="609"/>
      <c r="OHS26" s="609"/>
      <c r="OHT26" s="609"/>
      <c r="OHU26" s="609"/>
      <c r="OHV26" s="609"/>
      <c r="OHW26" s="609"/>
      <c r="OHX26" s="609"/>
      <c r="OHY26" s="609"/>
      <c r="OHZ26" s="609"/>
      <c r="OIA26" s="609"/>
      <c r="OIB26" s="609"/>
      <c r="OIC26" s="609"/>
      <c r="OID26" s="609"/>
      <c r="OIE26" s="609"/>
      <c r="OIF26" s="609"/>
      <c r="OIG26" s="609"/>
      <c r="OIH26" s="609"/>
      <c r="OII26" s="609"/>
      <c r="OIJ26" s="609"/>
      <c r="OIK26" s="609"/>
      <c r="OIL26" s="609"/>
      <c r="OIM26" s="609"/>
      <c r="OIN26" s="609"/>
      <c r="OIO26" s="609"/>
      <c r="OIP26" s="609"/>
      <c r="OIQ26" s="609"/>
      <c r="OIR26" s="609"/>
      <c r="OIS26" s="609"/>
      <c r="OIT26" s="609"/>
      <c r="OIU26" s="609"/>
      <c r="OIV26" s="609"/>
      <c r="OIW26" s="609"/>
      <c r="OIX26" s="609"/>
      <c r="OIY26" s="609"/>
      <c r="OIZ26" s="609"/>
      <c r="OJA26" s="609"/>
      <c r="OJB26" s="609"/>
      <c r="OJC26" s="609"/>
      <c r="OJD26" s="609"/>
      <c r="OJE26" s="609"/>
      <c r="OJF26" s="609"/>
      <c r="OJG26" s="609"/>
      <c r="OJH26" s="609"/>
      <c r="OJI26" s="609"/>
      <c r="OJJ26" s="609"/>
      <c r="OJK26" s="609"/>
      <c r="OJL26" s="609"/>
      <c r="OJM26" s="609"/>
      <c r="OJN26" s="609"/>
      <c r="OJO26" s="609"/>
      <c r="OJP26" s="609"/>
      <c r="OJQ26" s="609"/>
      <c r="OJR26" s="609"/>
      <c r="OJS26" s="609"/>
      <c r="OJT26" s="609"/>
      <c r="OJU26" s="609"/>
      <c r="OJV26" s="609"/>
      <c r="OJW26" s="609"/>
      <c r="OJX26" s="609"/>
      <c r="OJY26" s="609"/>
      <c r="OJZ26" s="609"/>
      <c r="OKA26" s="609"/>
      <c r="OKB26" s="609"/>
      <c r="OKC26" s="609"/>
      <c r="OKD26" s="609"/>
      <c r="OKE26" s="609"/>
      <c r="OKF26" s="609"/>
      <c r="OKG26" s="609"/>
      <c r="OKH26" s="609"/>
      <c r="OKI26" s="609"/>
      <c r="OKJ26" s="609"/>
      <c r="OKK26" s="609"/>
      <c r="OKL26" s="609"/>
      <c r="OKM26" s="609"/>
      <c r="OKN26" s="609"/>
      <c r="OKO26" s="609"/>
      <c r="OKP26" s="609"/>
      <c r="OKQ26" s="609"/>
      <c r="OKR26" s="609"/>
      <c r="OKS26" s="609"/>
      <c r="OKT26" s="609"/>
      <c r="OKU26" s="609"/>
      <c r="OKV26" s="609"/>
      <c r="OKW26" s="609"/>
      <c r="OKX26" s="609"/>
      <c r="OKY26" s="609"/>
      <c r="OKZ26" s="609"/>
      <c r="OLA26" s="609"/>
      <c r="OLB26" s="609"/>
      <c r="OLC26" s="609"/>
      <c r="OLD26" s="609"/>
      <c r="OLE26" s="609"/>
      <c r="OLF26" s="609"/>
      <c r="OLG26" s="609"/>
      <c r="OLH26" s="609"/>
      <c r="OLI26" s="609"/>
      <c r="OLJ26" s="609"/>
      <c r="OLK26" s="609"/>
      <c r="OLL26" s="609"/>
      <c r="OLM26" s="609"/>
      <c r="OLN26" s="609"/>
      <c r="OLO26" s="609"/>
      <c r="OLP26" s="609"/>
      <c r="OLQ26" s="609"/>
      <c r="OLR26" s="609"/>
      <c r="OLS26" s="609"/>
      <c r="OLT26" s="609"/>
      <c r="OLU26" s="609"/>
      <c r="OLV26" s="609"/>
      <c r="OLW26" s="609"/>
      <c r="OLX26" s="609"/>
      <c r="OLY26" s="609"/>
      <c r="OLZ26" s="609"/>
      <c r="OMA26" s="609"/>
      <c r="OMB26" s="609"/>
      <c r="OMC26" s="609"/>
      <c r="OMD26" s="609"/>
      <c r="OME26" s="609"/>
      <c r="OMF26" s="609"/>
      <c r="OMG26" s="609"/>
      <c r="OMH26" s="609"/>
      <c r="OMI26" s="609"/>
      <c r="OMJ26" s="609"/>
      <c r="OMK26" s="609"/>
      <c r="OML26" s="609"/>
      <c r="OMM26" s="609"/>
      <c r="OMN26" s="609"/>
      <c r="OMO26" s="609"/>
      <c r="OMP26" s="609"/>
      <c r="OMQ26" s="609"/>
      <c r="OMR26" s="609"/>
      <c r="OMS26" s="609"/>
      <c r="OMT26" s="609"/>
      <c r="OMU26" s="609"/>
      <c r="OMV26" s="609"/>
      <c r="OMW26" s="609"/>
      <c r="OMX26" s="609"/>
      <c r="OMY26" s="609"/>
      <c r="OMZ26" s="609"/>
      <c r="ONA26" s="609"/>
      <c r="ONB26" s="609"/>
      <c r="ONC26" s="609"/>
      <c r="OND26" s="609"/>
      <c r="ONE26" s="609"/>
      <c r="ONF26" s="609"/>
      <c r="ONG26" s="609"/>
      <c r="ONH26" s="609"/>
      <c r="ONI26" s="609"/>
      <c r="ONJ26" s="609"/>
      <c r="ONK26" s="609"/>
      <c r="ONL26" s="609"/>
      <c r="ONM26" s="609"/>
      <c r="ONN26" s="609"/>
      <c r="ONO26" s="609"/>
      <c r="ONP26" s="609"/>
      <c r="ONQ26" s="609"/>
      <c r="ONR26" s="609"/>
      <c r="ONS26" s="609"/>
      <c r="ONT26" s="609"/>
      <c r="ONU26" s="609"/>
      <c r="ONV26" s="609"/>
      <c r="ONW26" s="609"/>
      <c r="ONX26" s="609"/>
      <c r="ONY26" s="609"/>
      <c r="ONZ26" s="609"/>
      <c r="OOA26" s="609"/>
      <c r="OOB26" s="609"/>
      <c r="OOC26" s="609"/>
      <c r="OOD26" s="609"/>
      <c r="OOE26" s="609"/>
      <c r="OOF26" s="609"/>
      <c r="OOG26" s="609"/>
      <c r="OOH26" s="609"/>
      <c r="OOI26" s="609"/>
      <c r="OOJ26" s="609"/>
      <c r="OOK26" s="609"/>
      <c r="OOL26" s="609"/>
      <c r="OOM26" s="609"/>
      <c r="OON26" s="609"/>
      <c r="OOO26" s="609"/>
      <c r="OOP26" s="609"/>
      <c r="OOQ26" s="609"/>
      <c r="OOR26" s="609"/>
      <c r="OOS26" s="609"/>
      <c r="OOT26" s="609"/>
      <c r="OOU26" s="609"/>
      <c r="OOV26" s="609"/>
      <c r="OOW26" s="609"/>
      <c r="OOX26" s="609"/>
      <c r="OOY26" s="609"/>
      <c r="OOZ26" s="609"/>
      <c r="OPA26" s="609"/>
      <c r="OPB26" s="609"/>
      <c r="OPC26" s="609"/>
      <c r="OPD26" s="609"/>
      <c r="OPE26" s="609"/>
      <c r="OPF26" s="609"/>
      <c r="OPG26" s="609"/>
      <c r="OPH26" s="609"/>
      <c r="OPI26" s="609"/>
      <c r="OPJ26" s="609"/>
      <c r="OPK26" s="609"/>
      <c r="OPL26" s="609"/>
      <c r="OPM26" s="609"/>
      <c r="OPN26" s="609"/>
      <c r="OPO26" s="609"/>
      <c r="OPP26" s="609"/>
      <c r="OPQ26" s="609"/>
      <c r="OPR26" s="609"/>
      <c r="OPS26" s="609"/>
      <c r="OPT26" s="609"/>
      <c r="OPU26" s="609"/>
      <c r="OPV26" s="609"/>
      <c r="OPW26" s="609"/>
      <c r="OPX26" s="609"/>
      <c r="OPY26" s="609"/>
      <c r="OPZ26" s="609"/>
      <c r="OQA26" s="609"/>
      <c r="OQB26" s="609"/>
      <c r="OQC26" s="609"/>
      <c r="OQD26" s="609"/>
      <c r="OQE26" s="609"/>
      <c r="OQF26" s="609"/>
      <c r="OQG26" s="609"/>
      <c r="OQH26" s="609"/>
      <c r="OQI26" s="609"/>
      <c r="OQJ26" s="609"/>
      <c r="OQK26" s="609"/>
      <c r="OQL26" s="609"/>
      <c r="OQM26" s="609"/>
      <c r="OQN26" s="609"/>
      <c r="OQO26" s="609"/>
      <c r="OQP26" s="609"/>
      <c r="OQQ26" s="609"/>
      <c r="OQR26" s="609"/>
      <c r="OQS26" s="609"/>
      <c r="OQT26" s="609"/>
      <c r="OQU26" s="609"/>
      <c r="OQV26" s="609"/>
      <c r="OQW26" s="609"/>
      <c r="OQX26" s="609"/>
      <c r="OQY26" s="609"/>
      <c r="OQZ26" s="609"/>
      <c r="ORA26" s="609"/>
      <c r="ORB26" s="609"/>
      <c r="ORC26" s="609"/>
      <c r="ORD26" s="609"/>
      <c r="ORE26" s="609"/>
      <c r="ORF26" s="609"/>
      <c r="ORG26" s="609"/>
      <c r="ORH26" s="609"/>
      <c r="ORI26" s="609"/>
      <c r="ORJ26" s="609"/>
      <c r="ORK26" s="609"/>
      <c r="ORL26" s="609"/>
      <c r="ORM26" s="609"/>
      <c r="ORN26" s="609"/>
      <c r="ORO26" s="609"/>
      <c r="ORP26" s="609"/>
      <c r="ORQ26" s="609"/>
      <c r="ORR26" s="609"/>
      <c r="ORS26" s="609"/>
      <c r="ORT26" s="609"/>
      <c r="ORU26" s="609"/>
      <c r="ORV26" s="609"/>
      <c r="ORW26" s="609"/>
      <c r="ORX26" s="609"/>
      <c r="ORY26" s="609"/>
      <c r="ORZ26" s="609"/>
      <c r="OSA26" s="609"/>
      <c r="OSB26" s="609"/>
      <c r="OSC26" s="609"/>
      <c r="OSD26" s="609"/>
      <c r="OSE26" s="609"/>
      <c r="OSF26" s="609"/>
      <c r="OSG26" s="609"/>
      <c r="OSH26" s="609"/>
      <c r="OSI26" s="609"/>
      <c r="OSJ26" s="609"/>
      <c r="OSK26" s="609"/>
      <c r="OSL26" s="609"/>
      <c r="OSM26" s="609"/>
      <c r="OSN26" s="609"/>
      <c r="OSO26" s="609"/>
      <c r="OSP26" s="609"/>
      <c r="OSQ26" s="609"/>
      <c r="OSR26" s="609"/>
      <c r="OSS26" s="609"/>
      <c r="OST26" s="609"/>
      <c r="OSU26" s="609"/>
      <c r="OSV26" s="609"/>
      <c r="OSW26" s="609"/>
      <c r="OSX26" s="609"/>
      <c r="OSY26" s="609"/>
      <c r="OSZ26" s="609"/>
      <c r="OTA26" s="609"/>
      <c r="OTB26" s="609"/>
      <c r="OTC26" s="609"/>
      <c r="OTD26" s="609"/>
      <c r="OTE26" s="609"/>
      <c r="OTF26" s="609"/>
      <c r="OTG26" s="609"/>
      <c r="OTH26" s="609"/>
      <c r="OTI26" s="609"/>
      <c r="OTJ26" s="609"/>
      <c r="OTK26" s="609"/>
      <c r="OTL26" s="609"/>
      <c r="OTM26" s="609"/>
      <c r="OTN26" s="609"/>
      <c r="OTO26" s="609"/>
      <c r="OTP26" s="609"/>
      <c r="OTQ26" s="609"/>
      <c r="OTR26" s="609"/>
      <c r="OTS26" s="609"/>
      <c r="OTT26" s="609"/>
      <c r="OTU26" s="609"/>
      <c r="OTV26" s="609"/>
      <c r="OTW26" s="609"/>
      <c r="OTX26" s="609"/>
      <c r="OTY26" s="609"/>
      <c r="OTZ26" s="609"/>
      <c r="OUA26" s="609"/>
      <c r="OUB26" s="609"/>
      <c r="OUC26" s="609"/>
      <c r="OUD26" s="609"/>
      <c r="OUE26" s="609"/>
      <c r="OUF26" s="609"/>
      <c r="OUG26" s="609"/>
      <c r="OUH26" s="609"/>
      <c r="OUI26" s="609"/>
      <c r="OUJ26" s="609"/>
      <c r="OUK26" s="609"/>
      <c r="OUL26" s="609"/>
      <c r="OUM26" s="609"/>
      <c r="OUN26" s="609"/>
      <c r="OUO26" s="609"/>
      <c r="OUP26" s="609"/>
      <c r="OUQ26" s="609"/>
      <c r="OUR26" s="609"/>
      <c r="OUS26" s="609"/>
      <c r="OUT26" s="609"/>
      <c r="OUU26" s="609"/>
      <c r="OUV26" s="609"/>
      <c r="OUW26" s="609"/>
      <c r="OUX26" s="609"/>
      <c r="OUY26" s="609"/>
      <c r="OUZ26" s="609"/>
      <c r="OVA26" s="609"/>
      <c r="OVB26" s="609"/>
      <c r="OVC26" s="609"/>
      <c r="OVD26" s="609"/>
      <c r="OVE26" s="609"/>
      <c r="OVF26" s="609"/>
      <c r="OVG26" s="609"/>
      <c r="OVH26" s="609"/>
      <c r="OVI26" s="609"/>
      <c r="OVJ26" s="609"/>
      <c r="OVK26" s="609"/>
      <c r="OVL26" s="609"/>
      <c r="OVM26" s="609"/>
      <c r="OVN26" s="609"/>
      <c r="OVO26" s="609"/>
      <c r="OVP26" s="609"/>
      <c r="OVQ26" s="609"/>
      <c r="OVR26" s="609"/>
      <c r="OVS26" s="609"/>
      <c r="OVT26" s="609"/>
      <c r="OVU26" s="609"/>
      <c r="OVV26" s="609"/>
      <c r="OVW26" s="609"/>
      <c r="OVX26" s="609"/>
      <c r="OVY26" s="609"/>
      <c r="OVZ26" s="609"/>
      <c r="OWA26" s="609"/>
      <c r="OWB26" s="609"/>
      <c r="OWC26" s="609"/>
      <c r="OWD26" s="609"/>
      <c r="OWE26" s="609"/>
      <c r="OWF26" s="609"/>
      <c r="OWG26" s="609"/>
      <c r="OWH26" s="609"/>
      <c r="OWI26" s="609"/>
      <c r="OWJ26" s="609"/>
      <c r="OWK26" s="609"/>
      <c r="OWL26" s="609"/>
      <c r="OWM26" s="609"/>
      <c r="OWN26" s="609"/>
      <c r="OWO26" s="609"/>
      <c r="OWP26" s="609"/>
      <c r="OWQ26" s="609"/>
      <c r="OWR26" s="609"/>
      <c r="OWS26" s="609"/>
      <c r="OWT26" s="609"/>
      <c r="OWU26" s="609"/>
      <c r="OWV26" s="609"/>
      <c r="OWW26" s="609"/>
      <c r="OWX26" s="609"/>
      <c r="OWY26" s="609"/>
      <c r="OWZ26" s="609"/>
      <c r="OXA26" s="609"/>
      <c r="OXB26" s="609"/>
      <c r="OXC26" s="609"/>
      <c r="OXD26" s="609"/>
      <c r="OXE26" s="609"/>
      <c r="OXF26" s="609"/>
      <c r="OXG26" s="609"/>
      <c r="OXH26" s="609"/>
      <c r="OXI26" s="609"/>
      <c r="OXJ26" s="609"/>
      <c r="OXK26" s="609"/>
      <c r="OXL26" s="609"/>
      <c r="OXM26" s="609"/>
      <c r="OXN26" s="609"/>
      <c r="OXO26" s="609"/>
      <c r="OXP26" s="609"/>
      <c r="OXQ26" s="609"/>
      <c r="OXR26" s="609"/>
      <c r="OXS26" s="609"/>
      <c r="OXT26" s="609"/>
      <c r="OXU26" s="609"/>
      <c r="OXV26" s="609"/>
      <c r="OXW26" s="609"/>
      <c r="OXX26" s="609"/>
      <c r="OXY26" s="609"/>
      <c r="OXZ26" s="609"/>
      <c r="OYA26" s="609"/>
      <c r="OYB26" s="609"/>
      <c r="OYC26" s="609"/>
      <c r="OYD26" s="609"/>
      <c r="OYE26" s="609"/>
      <c r="OYF26" s="609"/>
      <c r="OYG26" s="609"/>
      <c r="OYH26" s="609"/>
      <c r="OYI26" s="609"/>
      <c r="OYJ26" s="609"/>
      <c r="OYK26" s="609"/>
      <c r="OYL26" s="609"/>
      <c r="OYM26" s="609"/>
      <c r="OYN26" s="609"/>
      <c r="OYO26" s="609"/>
      <c r="OYP26" s="609"/>
      <c r="OYQ26" s="609"/>
      <c r="OYR26" s="609"/>
      <c r="OYS26" s="609"/>
      <c r="OYT26" s="609"/>
      <c r="OYU26" s="609"/>
      <c r="OYV26" s="609"/>
      <c r="OYW26" s="609"/>
      <c r="OYX26" s="609"/>
      <c r="OYY26" s="609"/>
      <c r="OYZ26" s="609"/>
      <c r="OZA26" s="609"/>
      <c r="OZB26" s="609"/>
      <c r="OZC26" s="609"/>
      <c r="OZD26" s="609"/>
      <c r="OZE26" s="609"/>
      <c r="OZF26" s="609"/>
      <c r="OZG26" s="609"/>
      <c r="OZH26" s="609"/>
      <c r="OZI26" s="609"/>
      <c r="OZJ26" s="609"/>
      <c r="OZK26" s="609"/>
      <c r="OZL26" s="609"/>
      <c r="OZM26" s="609"/>
      <c r="OZN26" s="609"/>
      <c r="OZO26" s="609"/>
      <c r="OZP26" s="609"/>
      <c r="OZQ26" s="609"/>
      <c r="OZR26" s="609"/>
      <c r="OZS26" s="609"/>
      <c r="OZT26" s="609"/>
      <c r="OZU26" s="609"/>
      <c r="OZV26" s="609"/>
      <c r="OZW26" s="609"/>
      <c r="OZX26" s="609"/>
      <c r="OZY26" s="609"/>
      <c r="OZZ26" s="609"/>
      <c r="PAA26" s="609"/>
      <c r="PAB26" s="609"/>
      <c r="PAC26" s="609"/>
      <c r="PAD26" s="609"/>
      <c r="PAE26" s="609"/>
      <c r="PAF26" s="609"/>
      <c r="PAG26" s="609"/>
      <c r="PAH26" s="609"/>
      <c r="PAI26" s="609"/>
      <c r="PAJ26" s="609"/>
      <c r="PAK26" s="609"/>
      <c r="PAL26" s="609"/>
      <c r="PAM26" s="609"/>
      <c r="PAN26" s="609"/>
      <c r="PAO26" s="609"/>
      <c r="PAP26" s="609"/>
      <c r="PAQ26" s="609"/>
      <c r="PAR26" s="609"/>
      <c r="PAS26" s="609"/>
      <c r="PAT26" s="609"/>
      <c r="PAU26" s="609"/>
      <c r="PAV26" s="609"/>
      <c r="PAW26" s="609"/>
      <c r="PAX26" s="609"/>
      <c r="PAY26" s="609"/>
      <c r="PAZ26" s="609"/>
      <c r="PBA26" s="609"/>
      <c r="PBB26" s="609"/>
      <c r="PBC26" s="609"/>
      <c r="PBD26" s="609"/>
      <c r="PBE26" s="609"/>
      <c r="PBF26" s="609"/>
      <c r="PBG26" s="609"/>
      <c r="PBH26" s="609"/>
      <c r="PBI26" s="609"/>
      <c r="PBJ26" s="609"/>
      <c r="PBK26" s="609"/>
      <c r="PBL26" s="609"/>
      <c r="PBM26" s="609"/>
      <c r="PBN26" s="609"/>
      <c r="PBO26" s="609"/>
      <c r="PBP26" s="609"/>
      <c r="PBQ26" s="609"/>
      <c r="PBR26" s="609"/>
      <c r="PBS26" s="609"/>
      <c r="PBT26" s="609"/>
      <c r="PBU26" s="609"/>
      <c r="PBV26" s="609"/>
      <c r="PBW26" s="609"/>
      <c r="PBX26" s="609"/>
      <c r="PBY26" s="609"/>
      <c r="PBZ26" s="609"/>
      <c r="PCA26" s="609"/>
      <c r="PCB26" s="609"/>
      <c r="PCC26" s="609"/>
      <c r="PCD26" s="609"/>
      <c r="PCE26" s="609"/>
      <c r="PCF26" s="609"/>
      <c r="PCG26" s="609"/>
      <c r="PCH26" s="609"/>
      <c r="PCI26" s="609"/>
      <c r="PCJ26" s="609"/>
      <c r="PCK26" s="609"/>
      <c r="PCL26" s="609"/>
      <c r="PCM26" s="609"/>
      <c r="PCN26" s="609"/>
      <c r="PCO26" s="609"/>
      <c r="PCP26" s="609"/>
      <c r="PCQ26" s="609"/>
      <c r="PCR26" s="609"/>
      <c r="PCS26" s="609"/>
      <c r="PCT26" s="609"/>
      <c r="PCU26" s="609"/>
      <c r="PCV26" s="609"/>
      <c r="PCW26" s="609"/>
      <c r="PCX26" s="609"/>
      <c r="PCY26" s="609"/>
      <c r="PCZ26" s="609"/>
      <c r="PDA26" s="609"/>
      <c r="PDB26" s="609"/>
      <c r="PDC26" s="609"/>
      <c r="PDD26" s="609"/>
      <c r="PDE26" s="609"/>
      <c r="PDF26" s="609"/>
      <c r="PDG26" s="609"/>
      <c r="PDH26" s="609"/>
      <c r="PDI26" s="609"/>
      <c r="PDJ26" s="609"/>
      <c r="PDK26" s="609"/>
      <c r="PDL26" s="609"/>
      <c r="PDM26" s="609"/>
      <c r="PDN26" s="609"/>
      <c r="PDO26" s="609"/>
      <c r="PDP26" s="609"/>
      <c r="PDQ26" s="609"/>
      <c r="PDR26" s="609"/>
      <c r="PDS26" s="609"/>
      <c r="PDT26" s="609"/>
      <c r="PDU26" s="609"/>
      <c r="PDV26" s="609"/>
      <c r="PDW26" s="609"/>
      <c r="PDX26" s="609"/>
      <c r="PDY26" s="609"/>
      <c r="PDZ26" s="609"/>
      <c r="PEA26" s="609"/>
      <c r="PEB26" s="609"/>
      <c r="PEC26" s="609"/>
      <c r="PED26" s="609"/>
      <c r="PEE26" s="609"/>
      <c r="PEF26" s="609"/>
      <c r="PEG26" s="609"/>
      <c r="PEH26" s="609"/>
      <c r="PEI26" s="609"/>
      <c r="PEJ26" s="609"/>
      <c r="PEK26" s="609"/>
      <c r="PEL26" s="609"/>
      <c r="PEM26" s="609"/>
      <c r="PEN26" s="609"/>
      <c r="PEO26" s="609"/>
      <c r="PEP26" s="609"/>
      <c r="PEQ26" s="609"/>
      <c r="PER26" s="609"/>
      <c r="PES26" s="609"/>
      <c r="PET26" s="609"/>
      <c r="PEU26" s="609"/>
      <c r="PEV26" s="609"/>
      <c r="PEW26" s="609"/>
      <c r="PEX26" s="609"/>
      <c r="PEY26" s="609"/>
      <c r="PEZ26" s="609"/>
      <c r="PFA26" s="609"/>
      <c r="PFB26" s="609"/>
      <c r="PFC26" s="609"/>
      <c r="PFD26" s="609"/>
      <c r="PFE26" s="609"/>
      <c r="PFF26" s="609"/>
      <c r="PFG26" s="609"/>
      <c r="PFH26" s="609"/>
      <c r="PFI26" s="609"/>
      <c r="PFJ26" s="609"/>
      <c r="PFK26" s="609"/>
      <c r="PFL26" s="609"/>
      <c r="PFM26" s="609"/>
      <c r="PFN26" s="609"/>
      <c r="PFO26" s="609"/>
      <c r="PFP26" s="609"/>
      <c r="PFQ26" s="609"/>
      <c r="PFR26" s="609"/>
      <c r="PFS26" s="609"/>
      <c r="PFT26" s="609"/>
      <c r="PFU26" s="609"/>
      <c r="PFV26" s="609"/>
      <c r="PFW26" s="609"/>
      <c r="PFX26" s="609"/>
      <c r="PFY26" s="609"/>
      <c r="PFZ26" s="609"/>
      <c r="PGA26" s="609"/>
      <c r="PGB26" s="609"/>
      <c r="PGC26" s="609"/>
      <c r="PGD26" s="609"/>
      <c r="PGE26" s="609"/>
      <c r="PGF26" s="609"/>
      <c r="PGG26" s="609"/>
      <c r="PGH26" s="609"/>
      <c r="PGI26" s="609"/>
      <c r="PGJ26" s="609"/>
      <c r="PGK26" s="609"/>
      <c r="PGL26" s="609"/>
      <c r="PGM26" s="609"/>
      <c r="PGN26" s="609"/>
      <c r="PGO26" s="609"/>
      <c r="PGP26" s="609"/>
      <c r="PGQ26" s="609"/>
      <c r="PGR26" s="609"/>
      <c r="PGS26" s="609"/>
      <c r="PGT26" s="609"/>
      <c r="PGU26" s="609"/>
      <c r="PGV26" s="609"/>
      <c r="PGW26" s="609"/>
      <c r="PGX26" s="609"/>
      <c r="PGY26" s="609"/>
      <c r="PGZ26" s="609"/>
      <c r="PHA26" s="609"/>
      <c r="PHB26" s="609"/>
      <c r="PHC26" s="609"/>
      <c r="PHD26" s="609"/>
      <c r="PHE26" s="609"/>
      <c r="PHF26" s="609"/>
      <c r="PHG26" s="609"/>
      <c r="PHH26" s="609"/>
      <c r="PHI26" s="609"/>
      <c r="PHJ26" s="609"/>
      <c r="PHK26" s="609"/>
      <c r="PHL26" s="609"/>
      <c r="PHM26" s="609"/>
      <c r="PHN26" s="609"/>
      <c r="PHO26" s="609"/>
      <c r="PHP26" s="609"/>
      <c r="PHQ26" s="609"/>
      <c r="PHR26" s="609"/>
      <c r="PHS26" s="609"/>
      <c r="PHT26" s="609"/>
      <c r="PHU26" s="609"/>
      <c r="PHV26" s="609"/>
      <c r="PHW26" s="609"/>
      <c r="PHX26" s="609"/>
      <c r="PHY26" s="609"/>
      <c r="PHZ26" s="609"/>
      <c r="PIA26" s="609"/>
      <c r="PIB26" s="609"/>
      <c r="PIC26" s="609"/>
      <c r="PID26" s="609"/>
      <c r="PIE26" s="609"/>
      <c r="PIF26" s="609"/>
      <c r="PIG26" s="609"/>
      <c r="PIH26" s="609"/>
      <c r="PII26" s="609"/>
      <c r="PIJ26" s="609"/>
      <c r="PIK26" s="609"/>
      <c r="PIL26" s="609"/>
      <c r="PIM26" s="609"/>
      <c r="PIN26" s="609"/>
      <c r="PIO26" s="609"/>
      <c r="PIP26" s="609"/>
      <c r="PIQ26" s="609"/>
      <c r="PIR26" s="609"/>
      <c r="PIS26" s="609"/>
      <c r="PIT26" s="609"/>
      <c r="PIU26" s="609"/>
      <c r="PIV26" s="609"/>
      <c r="PIW26" s="609"/>
      <c r="PIX26" s="609"/>
      <c r="PIY26" s="609"/>
      <c r="PIZ26" s="609"/>
      <c r="PJA26" s="609"/>
      <c r="PJB26" s="609"/>
      <c r="PJC26" s="609"/>
      <c r="PJD26" s="609"/>
      <c r="PJE26" s="609"/>
      <c r="PJF26" s="609"/>
      <c r="PJG26" s="609"/>
      <c r="PJH26" s="609"/>
      <c r="PJI26" s="609"/>
      <c r="PJJ26" s="609"/>
      <c r="PJK26" s="609"/>
      <c r="PJL26" s="609"/>
      <c r="PJM26" s="609"/>
      <c r="PJN26" s="609"/>
      <c r="PJO26" s="609"/>
      <c r="PJP26" s="609"/>
      <c r="PJQ26" s="609"/>
      <c r="PJR26" s="609"/>
      <c r="PJS26" s="609"/>
      <c r="PJT26" s="609"/>
      <c r="PJU26" s="609"/>
      <c r="PJV26" s="609"/>
      <c r="PJW26" s="609"/>
      <c r="PJX26" s="609"/>
      <c r="PJY26" s="609"/>
      <c r="PJZ26" s="609"/>
      <c r="PKA26" s="609"/>
      <c r="PKB26" s="609"/>
      <c r="PKC26" s="609"/>
      <c r="PKD26" s="609"/>
      <c r="PKE26" s="609"/>
      <c r="PKF26" s="609"/>
      <c r="PKG26" s="609"/>
      <c r="PKH26" s="609"/>
      <c r="PKI26" s="609"/>
      <c r="PKJ26" s="609"/>
      <c r="PKK26" s="609"/>
      <c r="PKL26" s="609"/>
      <c r="PKM26" s="609"/>
      <c r="PKN26" s="609"/>
      <c r="PKO26" s="609"/>
      <c r="PKP26" s="609"/>
      <c r="PKQ26" s="609"/>
      <c r="PKR26" s="609"/>
      <c r="PKS26" s="609"/>
      <c r="PKT26" s="609"/>
      <c r="PKU26" s="609"/>
      <c r="PKV26" s="609"/>
      <c r="PKW26" s="609"/>
      <c r="PKX26" s="609"/>
      <c r="PKY26" s="609"/>
      <c r="PKZ26" s="609"/>
      <c r="PLA26" s="609"/>
      <c r="PLB26" s="609"/>
      <c r="PLC26" s="609"/>
      <c r="PLD26" s="609"/>
      <c r="PLE26" s="609"/>
      <c r="PLF26" s="609"/>
      <c r="PLG26" s="609"/>
      <c r="PLH26" s="609"/>
      <c r="PLI26" s="609"/>
      <c r="PLJ26" s="609"/>
      <c r="PLK26" s="609"/>
      <c r="PLL26" s="609"/>
      <c r="PLM26" s="609"/>
      <c r="PLN26" s="609"/>
      <c r="PLO26" s="609"/>
      <c r="PLP26" s="609"/>
      <c r="PLQ26" s="609"/>
      <c r="PLR26" s="609"/>
      <c r="PLS26" s="609"/>
      <c r="PLT26" s="609"/>
      <c r="PLU26" s="609"/>
      <c r="PLV26" s="609"/>
      <c r="PLW26" s="609"/>
      <c r="PLX26" s="609"/>
      <c r="PLY26" s="609"/>
      <c r="PLZ26" s="609"/>
      <c r="PMA26" s="609"/>
      <c r="PMB26" s="609"/>
      <c r="PMC26" s="609"/>
      <c r="PMD26" s="609"/>
      <c r="PME26" s="609"/>
      <c r="PMF26" s="609"/>
      <c r="PMG26" s="609"/>
      <c r="PMH26" s="609"/>
      <c r="PMI26" s="609"/>
      <c r="PMJ26" s="609"/>
      <c r="PMK26" s="609"/>
      <c r="PML26" s="609"/>
      <c r="PMM26" s="609"/>
      <c r="PMN26" s="609"/>
      <c r="PMO26" s="609"/>
      <c r="PMP26" s="609"/>
      <c r="PMQ26" s="609"/>
      <c r="PMR26" s="609"/>
      <c r="PMS26" s="609"/>
      <c r="PMT26" s="609"/>
      <c r="PMU26" s="609"/>
      <c r="PMV26" s="609"/>
      <c r="PMW26" s="609"/>
      <c r="PMX26" s="609"/>
      <c r="PMY26" s="609"/>
      <c r="PMZ26" s="609"/>
      <c r="PNA26" s="609"/>
      <c r="PNB26" s="609"/>
      <c r="PNC26" s="609"/>
      <c r="PND26" s="609"/>
      <c r="PNE26" s="609"/>
      <c r="PNF26" s="609"/>
      <c r="PNG26" s="609"/>
      <c r="PNH26" s="609"/>
      <c r="PNI26" s="609"/>
      <c r="PNJ26" s="609"/>
      <c r="PNK26" s="609"/>
      <c r="PNL26" s="609"/>
      <c r="PNM26" s="609"/>
      <c r="PNN26" s="609"/>
      <c r="PNO26" s="609"/>
      <c r="PNP26" s="609"/>
      <c r="PNQ26" s="609"/>
      <c r="PNR26" s="609"/>
      <c r="PNS26" s="609"/>
      <c r="PNT26" s="609"/>
      <c r="PNU26" s="609"/>
      <c r="PNV26" s="609"/>
      <c r="PNW26" s="609"/>
      <c r="PNX26" s="609"/>
      <c r="PNY26" s="609"/>
      <c r="PNZ26" s="609"/>
      <c r="POA26" s="609"/>
      <c r="POB26" s="609"/>
      <c r="POC26" s="609"/>
      <c r="POD26" s="609"/>
      <c r="POE26" s="609"/>
      <c r="POF26" s="609"/>
      <c r="POG26" s="609"/>
      <c r="POH26" s="609"/>
      <c r="POI26" s="609"/>
      <c r="POJ26" s="609"/>
      <c r="POK26" s="609"/>
      <c r="POL26" s="609"/>
      <c r="POM26" s="609"/>
      <c r="PON26" s="609"/>
      <c r="POO26" s="609"/>
      <c r="POP26" s="609"/>
      <c r="POQ26" s="609"/>
      <c r="POR26" s="609"/>
      <c r="POS26" s="609"/>
      <c r="POT26" s="609"/>
      <c r="POU26" s="609"/>
      <c r="POV26" s="609"/>
      <c r="POW26" s="609"/>
      <c r="POX26" s="609"/>
      <c r="POY26" s="609"/>
      <c r="POZ26" s="609"/>
      <c r="PPA26" s="609"/>
      <c r="PPB26" s="609"/>
      <c r="PPC26" s="609"/>
      <c r="PPD26" s="609"/>
      <c r="PPE26" s="609"/>
      <c r="PPF26" s="609"/>
      <c r="PPG26" s="609"/>
      <c r="PPH26" s="609"/>
      <c r="PPI26" s="609"/>
      <c r="PPJ26" s="609"/>
      <c r="PPK26" s="609"/>
      <c r="PPL26" s="609"/>
      <c r="PPM26" s="609"/>
      <c r="PPN26" s="609"/>
      <c r="PPO26" s="609"/>
      <c r="PPP26" s="609"/>
      <c r="PPQ26" s="609"/>
      <c r="PPR26" s="609"/>
      <c r="PPS26" s="609"/>
      <c r="PPT26" s="609"/>
      <c r="PPU26" s="609"/>
      <c r="PPV26" s="609"/>
      <c r="PPW26" s="609"/>
      <c r="PPX26" s="609"/>
      <c r="PPY26" s="609"/>
      <c r="PPZ26" s="609"/>
      <c r="PQA26" s="609"/>
      <c r="PQB26" s="609"/>
      <c r="PQC26" s="609"/>
      <c r="PQD26" s="609"/>
      <c r="PQE26" s="609"/>
      <c r="PQF26" s="609"/>
      <c r="PQG26" s="609"/>
      <c r="PQH26" s="609"/>
      <c r="PQI26" s="609"/>
      <c r="PQJ26" s="609"/>
      <c r="PQK26" s="609"/>
      <c r="PQL26" s="609"/>
      <c r="PQM26" s="609"/>
      <c r="PQN26" s="609"/>
      <c r="PQO26" s="609"/>
      <c r="PQP26" s="609"/>
      <c r="PQQ26" s="609"/>
      <c r="PQR26" s="609"/>
      <c r="PQS26" s="609"/>
      <c r="PQT26" s="609"/>
      <c r="PQU26" s="609"/>
      <c r="PQV26" s="609"/>
      <c r="PQW26" s="609"/>
      <c r="PQX26" s="609"/>
      <c r="PQY26" s="609"/>
      <c r="PQZ26" s="609"/>
      <c r="PRA26" s="609"/>
      <c r="PRB26" s="609"/>
      <c r="PRC26" s="609"/>
      <c r="PRD26" s="609"/>
      <c r="PRE26" s="609"/>
      <c r="PRF26" s="609"/>
      <c r="PRG26" s="609"/>
      <c r="PRH26" s="609"/>
      <c r="PRI26" s="609"/>
      <c r="PRJ26" s="609"/>
      <c r="PRK26" s="609"/>
      <c r="PRL26" s="609"/>
      <c r="PRM26" s="609"/>
      <c r="PRN26" s="609"/>
      <c r="PRO26" s="609"/>
      <c r="PRP26" s="609"/>
      <c r="PRQ26" s="609"/>
      <c r="PRR26" s="609"/>
      <c r="PRS26" s="609"/>
      <c r="PRT26" s="609"/>
      <c r="PRU26" s="609"/>
      <c r="PRV26" s="609"/>
      <c r="PRW26" s="609"/>
      <c r="PRX26" s="609"/>
      <c r="PRY26" s="609"/>
      <c r="PRZ26" s="609"/>
      <c r="PSA26" s="609"/>
      <c r="PSB26" s="609"/>
      <c r="PSC26" s="609"/>
      <c r="PSD26" s="609"/>
      <c r="PSE26" s="609"/>
      <c r="PSF26" s="609"/>
      <c r="PSG26" s="609"/>
      <c r="PSH26" s="609"/>
      <c r="PSI26" s="609"/>
      <c r="PSJ26" s="609"/>
      <c r="PSK26" s="609"/>
      <c r="PSL26" s="609"/>
      <c r="PSM26" s="609"/>
      <c r="PSN26" s="609"/>
      <c r="PSO26" s="609"/>
      <c r="PSP26" s="609"/>
      <c r="PSQ26" s="609"/>
      <c r="PSR26" s="609"/>
      <c r="PSS26" s="609"/>
      <c r="PST26" s="609"/>
      <c r="PSU26" s="609"/>
      <c r="PSV26" s="609"/>
      <c r="PSW26" s="609"/>
      <c r="PSX26" s="609"/>
      <c r="PSY26" s="609"/>
      <c r="PSZ26" s="609"/>
      <c r="PTA26" s="609"/>
      <c r="PTB26" s="609"/>
      <c r="PTC26" s="609"/>
      <c r="PTD26" s="609"/>
      <c r="PTE26" s="609"/>
      <c r="PTF26" s="609"/>
      <c r="PTG26" s="609"/>
      <c r="PTH26" s="609"/>
      <c r="PTI26" s="609"/>
      <c r="PTJ26" s="609"/>
      <c r="PTK26" s="609"/>
      <c r="PTL26" s="609"/>
      <c r="PTM26" s="609"/>
      <c r="PTN26" s="609"/>
      <c r="PTO26" s="609"/>
      <c r="PTP26" s="609"/>
      <c r="PTQ26" s="609"/>
      <c r="PTR26" s="609"/>
      <c r="PTS26" s="609"/>
      <c r="PTT26" s="609"/>
      <c r="PTU26" s="609"/>
      <c r="PTV26" s="609"/>
      <c r="PTW26" s="609"/>
      <c r="PTX26" s="609"/>
      <c r="PTY26" s="609"/>
      <c r="PTZ26" s="609"/>
      <c r="PUA26" s="609"/>
      <c r="PUB26" s="609"/>
      <c r="PUC26" s="609"/>
      <c r="PUD26" s="609"/>
      <c r="PUE26" s="609"/>
      <c r="PUF26" s="609"/>
      <c r="PUG26" s="609"/>
      <c r="PUH26" s="609"/>
      <c r="PUI26" s="609"/>
      <c r="PUJ26" s="609"/>
      <c r="PUK26" s="609"/>
      <c r="PUL26" s="609"/>
      <c r="PUM26" s="609"/>
      <c r="PUN26" s="609"/>
      <c r="PUO26" s="609"/>
      <c r="PUP26" s="609"/>
      <c r="PUQ26" s="609"/>
      <c r="PUR26" s="609"/>
      <c r="PUS26" s="609"/>
      <c r="PUT26" s="609"/>
      <c r="PUU26" s="609"/>
      <c r="PUV26" s="609"/>
      <c r="PUW26" s="609"/>
      <c r="PUX26" s="609"/>
      <c r="PUY26" s="609"/>
      <c r="PUZ26" s="609"/>
      <c r="PVA26" s="609"/>
      <c r="PVB26" s="609"/>
      <c r="PVC26" s="609"/>
      <c r="PVD26" s="609"/>
      <c r="PVE26" s="609"/>
      <c r="PVF26" s="609"/>
      <c r="PVG26" s="609"/>
      <c r="PVH26" s="609"/>
      <c r="PVI26" s="609"/>
      <c r="PVJ26" s="609"/>
      <c r="PVK26" s="609"/>
      <c r="PVL26" s="609"/>
      <c r="PVM26" s="609"/>
      <c r="PVN26" s="609"/>
      <c r="PVO26" s="609"/>
      <c r="PVP26" s="609"/>
      <c r="PVQ26" s="609"/>
      <c r="PVR26" s="609"/>
      <c r="PVS26" s="609"/>
      <c r="PVT26" s="609"/>
      <c r="PVU26" s="609"/>
      <c r="PVV26" s="609"/>
      <c r="PVW26" s="609"/>
      <c r="PVX26" s="609"/>
      <c r="PVY26" s="609"/>
      <c r="PVZ26" s="609"/>
      <c r="PWA26" s="609"/>
      <c r="PWB26" s="609"/>
      <c r="PWC26" s="609"/>
      <c r="PWD26" s="609"/>
      <c r="PWE26" s="609"/>
      <c r="PWF26" s="609"/>
      <c r="PWG26" s="609"/>
      <c r="PWH26" s="609"/>
      <c r="PWI26" s="609"/>
      <c r="PWJ26" s="609"/>
      <c r="PWK26" s="609"/>
      <c r="PWL26" s="609"/>
      <c r="PWM26" s="609"/>
      <c r="PWN26" s="609"/>
      <c r="PWO26" s="609"/>
      <c r="PWP26" s="609"/>
      <c r="PWQ26" s="609"/>
      <c r="PWR26" s="609"/>
      <c r="PWS26" s="609"/>
      <c r="PWT26" s="609"/>
      <c r="PWU26" s="609"/>
      <c r="PWV26" s="609"/>
      <c r="PWW26" s="609"/>
      <c r="PWX26" s="609"/>
      <c r="PWY26" s="609"/>
      <c r="PWZ26" s="609"/>
      <c r="PXA26" s="609"/>
      <c r="PXB26" s="609"/>
      <c r="PXC26" s="609"/>
      <c r="PXD26" s="609"/>
      <c r="PXE26" s="609"/>
      <c r="PXF26" s="609"/>
      <c r="PXG26" s="609"/>
      <c r="PXH26" s="609"/>
      <c r="PXI26" s="609"/>
      <c r="PXJ26" s="609"/>
      <c r="PXK26" s="609"/>
      <c r="PXL26" s="609"/>
      <c r="PXM26" s="609"/>
      <c r="PXN26" s="609"/>
      <c r="PXO26" s="609"/>
      <c r="PXP26" s="609"/>
      <c r="PXQ26" s="609"/>
      <c r="PXR26" s="609"/>
      <c r="PXS26" s="609"/>
      <c r="PXT26" s="609"/>
      <c r="PXU26" s="609"/>
      <c r="PXV26" s="609"/>
      <c r="PXW26" s="609"/>
      <c r="PXX26" s="609"/>
      <c r="PXY26" s="609"/>
      <c r="PXZ26" s="609"/>
      <c r="PYA26" s="609"/>
      <c r="PYB26" s="609"/>
      <c r="PYC26" s="609"/>
      <c r="PYD26" s="609"/>
      <c r="PYE26" s="609"/>
      <c r="PYF26" s="609"/>
      <c r="PYG26" s="609"/>
      <c r="PYH26" s="609"/>
      <c r="PYI26" s="609"/>
      <c r="PYJ26" s="609"/>
      <c r="PYK26" s="609"/>
      <c r="PYL26" s="609"/>
      <c r="PYM26" s="609"/>
      <c r="PYN26" s="609"/>
      <c r="PYO26" s="609"/>
      <c r="PYP26" s="609"/>
      <c r="PYQ26" s="609"/>
      <c r="PYR26" s="609"/>
      <c r="PYS26" s="609"/>
      <c r="PYT26" s="609"/>
      <c r="PYU26" s="609"/>
      <c r="PYV26" s="609"/>
      <c r="PYW26" s="609"/>
      <c r="PYX26" s="609"/>
      <c r="PYY26" s="609"/>
      <c r="PYZ26" s="609"/>
      <c r="PZA26" s="609"/>
      <c r="PZB26" s="609"/>
      <c r="PZC26" s="609"/>
      <c r="PZD26" s="609"/>
      <c r="PZE26" s="609"/>
      <c r="PZF26" s="609"/>
      <c r="PZG26" s="609"/>
      <c r="PZH26" s="609"/>
      <c r="PZI26" s="609"/>
      <c r="PZJ26" s="609"/>
      <c r="PZK26" s="609"/>
      <c r="PZL26" s="609"/>
      <c r="PZM26" s="609"/>
      <c r="PZN26" s="609"/>
      <c r="PZO26" s="609"/>
      <c r="PZP26" s="609"/>
      <c r="PZQ26" s="609"/>
      <c r="PZR26" s="609"/>
      <c r="PZS26" s="609"/>
      <c r="PZT26" s="609"/>
      <c r="PZU26" s="609"/>
      <c r="PZV26" s="609"/>
      <c r="PZW26" s="609"/>
      <c r="PZX26" s="609"/>
      <c r="PZY26" s="609"/>
      <c r="PZZ26" s="609"/>
      <c r="QAA26" s="609"/>
      <c r="QAB26" s="609"/>
      <c r="QAC26" s="609"/>
      <c r="QAD26" s="609"/>
      <c r="QAE26" s="609"/>
      <c r="QAF26" s="609"/>
      <c r="QAG26" s="609"/>
      <c r="QAH26" s="609"/>
      <c r="QAI26" s="609"/>
      <c r="QAJ26" s="609"/>
      <c r="QAK26" s="609"/>
      <c r="QAL26" s="609"/>
      <c r="QAM26" s="609"/>
      <c r="QAN26" s="609"/>
      <c r="QAO26" s="609"/>
      <c r="QAP26" s="609"/>
      <c r="QAQ26" s="609"/>
      <c r="QAR26" s="609"/>
      <c r="QAS26" s="609"/>
      <c r="QAT26" s="609"/>
      <c r="QAU26" s="609"/>
      <c r="QAV26" s="609"/>
      <c r="QAW26" s="609"/>
      <c r="QAX26" s="609"/>
      <c r="QAY26" s="609"/>
      <c r="QAZ26" s="609"/>
      <c r="QBA26" s="609"/>
      <c r="QBB26" s="609"/>
      <c r="QBC26" s="609"/>
      <c r="QBD26" s="609"/>
      <c r="QBE26" s="609"/>
      <c r="QBF26" s="609"/>
      <c r="QBG26" s="609"/>
      <c r="QBH26" s="609"/>
      <c r="QBI26" s="609"/>
      <c r="QBJ26" s="609"/>
      <c r="QBK26" s="609"/>
      <c r="QBL26" s="609"/>
      <c r="QBM26" s="609"/>
      <c r="QBN26" s="609"/>
      <c r="QBO26" s="609"/>
      <c r="QBP26" s="609"/>
      <c r="QBQ26" s="609"/>
      <c r="QBR26" s="609"/>
      <c r="QBS26" s="609"/>
      <c r="QBT26" s="609"/>
      <c r="QBU26" s="609"/>
      <c r="QBV26" s="609"/>
      <c r="QBW26" s="609"/>
      <c r="QBX26" s="609"/>
      <c r="QBY26" s="609"/>
      <c r="QBZ26" s="609"/>
      <c r="QCA26" s="609"/>
      <c r="QCB26" s="609"/>
      <c r="QCC26" s="609"/>
      <c r="QCD26" s="609"/>
      <c r="QCE26" s="609"/>
      <c r="QCF26" s="609"/>
      <c r="QCG26" s="609"/>
      <c r="QCH26" s="609"/>
      <c r="QCI26" s="609"/>
      <c r="QCJ26" s="609"/>
      <c r="QCK26" s="609"/>
      <c r="QCL26" s="609"/>
      <c r="QCM26" s="609"/>
      <c r="QCN26" s="609"/>
      <c r="QCO26" s="609"/>
      <c r="QCP26" s="609"/>
      <c r="QCQ26" s="609"/>
      <c r="QCR26" s="609"/>
      <c r="QCS26" s="609"/>
      <c r="QCT26" s="609"/>
      <c r="QCU26" s="609"/>
      <c r="QCV26" s="609"/>
      <c r="QCW26" s="609"/>
      <c r="QCX26" s="609"/>
      <c r="QCY26" s="609"/>
      <c r="QCZ26" s="609"/>
      <c r="QDA26" s="609"/>
      <c r="QDB26" s="609"/>
      <c r="QDC26" s="609"/>
      <c r="QDD26" s="609"/>
      <c r="QDE26" s="609"/>
      <c r="QDF26" s="609"/>
      <c r="QDG26" s="609"/>
      <c r="QDH26" s="609"/>
      <c r="QDI26" s="609"/>
      <c r="QDJ26" s="609"/>
      <c r="QDK26" s="609"/>
      <c r="QDL26" s="609"/>
      <c r="QDM26" s="609"/>
      <c r="QDN26" s="609"/>
      <c r="QDO26" s="609"/>
      <c r="QDP26" s="609"/>
      <c r="QDQ26" s="609"/>
      <c r="QDR26" s="609"/>
      <c r="QDS26" s="609"/>
      <c r="QDT26" s="609"/>
      <c r="QDU26" s="609"/>
      <c r="QDV26" s="609"/>
      <c r="QDW26" s="609"/>
      <c r="QDX26" s="609"/>
      <c r="QDY26" s="609"/>
      <c r="QDZ26" s="609"/>
      <c r="QEA26" s="609"/>
      <c r="QEB26" s="609"/>
      <c r="QEC26" s="609"/>
      <c r="QED26" s="609"/>
      <c r="QEE26" s="609"/>
      <c r="QEF26" s="609"/>
      <c r="QEG26" s="609"/>
      <c r="QEH26" s="609"/>
      <c r="QEI26" s="609"/>
      <c r="QEJ26" s="609"/>
      <c r="QEK26" s="609"/>
      <c r="QEL26" s="609"/>
      <c r="QEM26" s="609"/>
      <c r="QEN26" s="609"/>
      <c r="QEO26" s="609"/>
      <c r="QEP26" s="609"/>
      <c r="QEQ26" s="609"/>
      <c r="QER26" s="609"/>
      <c r="QES26" s="609"/>
      <c r="QET26" s="609"/>
      <c r="QEU26" s="609"/>
      <c r="QEV26" s="609"/>
      <c r="QEW26" s="609"/>
      <c r="QEX26" s="609"/>
      <c r="QEY26" s="609"/>
      <c r="QEZ26" s="609"/>
      <c r="QFA26" s="609"/>
      <c r="QFB26" s="609"/>
      <c r="QFC26" s="609"/>
      <c r="QFD26" s="609"/>
      <c r="QFE26" s="609"/>
      <c r="QFF26" s="609"/>
      <c r="QFG26" s="609"/>
      <c r="QFH26" s="609"/>
      <c r="QFI26" s="609"/>
      <c r="QFJ26" s="609"/>
      <c r="QFK26" s="609"/>
      <c r="QFL26" s="609"/>
      <c r="QFM26" s="609"/>
      <c r="QFN26" s="609"/>
      <c r="QFO26" s="609"/>
      <c r="QFP26" s="609"/>
      <c r="QFQ26" s="609"/>
      <c r="QFR26" s="609"/>
      <c r="QFS26" s="609"/>
      <c r="QFT26" s="609"/>
      <c r="QFU26" s="609"/>
      <c r="QFV26" s="609"/>
      <c r="QFW26" s="609"/>
      <c r="QFX26" s="609"/>
      <c r="QFY26" s="609"/>
      <c r="QFZ26" s="609"/>
      <c r="QGA26" s="609"/>
      <c r="QGB26" s="609"/>
      <c r="QGC26" s="609"/>
      <c r="QGD26" s="609"/>
      <c r="QGE26" s="609"/>
      <c r="QGF26" s="609"/>
      <c r="QGG26" s="609"/>
      <c r="QGH26" s="609"/>
      <c r="QGI26" s="609"/>
      <c r="QGJ26" s="609"/>
      <c r="QGK26" s="609"/>
      <c r="QGL26" s="609"/>
      <c r="QGM26" s="609"/>
      <c r="QGN26" s="609"/>
      <c r="QGO26" s="609"/>
      <c r="QGP26" s="609"/>
      <c r="QGQ26" s="609"/>
      <c r="QGR26" s="609"/>
      <c r="QGS26" s="609"/>
      <c r="QGT26" s="609"/>
      <c r="QGU26" s="609"/>
      <c r="QGV26" s="609"/>
      <c r="QGW26" s="609"/>
      <c r="QGX26" s="609"/>
      <c r="QGY26" s="609"/>
      <c r="QGZ26" s="609"/>
      <c r="QHA26" s="609"/>
      <c r="QHB26" s="609"/>
      <c r="QHC26" s="609"/>
      <c r="QHD26" s="609"/>
      <c r="QHE26" s="609"/>
      <c r="QHF26" s="609"/>
      <c r="QHG26" s="609"/>
      <c r="QHH26" s="609"/>
      <c r="QHI26" s="609"/>
      <c r="QHJ26" s="609"/>
      <c r="QHK26" s="609"/>
      <c r="QHL26" s="609"/>
      <c r="QHM26" s="609"/>
      <c r="QHN26" s="609"/>
      <c r="QHO26" s="609"/>
      <c r="QHP26" s="609"/>
      <c r="QHQ26" s="609"/>
      <c r="QHR26" s="609"/>
      <c r="QHS26" s="609"/>
      <c r="QHT26" s="609"/>
      <c r="QHU26" s="609"/>
      <c r="QHV26" s="609"/>
      <c r="QHW26" s="609"/>
      <c r="QHX26" s="609"/>
      <c r="QHY26" s="609"/>
      <c r="QHZ26" s="609"/>
      <c r="QIA26" s="609"/>
      <c r="QIB26" s="609"/>
      <c r="QIC26" s="609"/>
      <c r="QID26" s="609"/>
      <c r="QIE26" s="609"/>
      <c r="QIF26" s="609"/>
      <c r="QIG26" s="609"/>
      <c r="QIH26" s="609"/>
      <c r="QII26" s="609"/>
      <c r="QIJ26" s="609"/>
      <c r="QIK26" s="609"/>
      <c r="QIL26" s="609"/>
      <c r="QIM26" s="609"/>
      <c r="QIN26" s="609"/>
      <c r="QIO26" s="609"/>
      <c r="QIP26" s="609"/>
      <c r="QIQ26" s="609"/>
      <c r="QIR26" s="609"/>
      <c r="QIS26" s="609"/>
      <c r="QIT26" s="609"/>
      <c r="QIU26" s="609"/>
      <c r="QIV26" s="609"/>
      <c r="QIW26" s="609"/>
      <c r="QIX26" s="609"/>
      <c r="QIY26" s="609"/>
      <c r="QIZ26" s="609"/>
      <c r="QJA26" s="609"/>
      <c r="QJB26" s="609"/>
      <c r="QJC26" s="609"/>
      <c r="QJD26" s="609"/>
      <c r="QJE26" s="609"/>
      <c r="QJF26" s="609"/>
      <c r="QJG26" s="609"/>
      <c r="QJH26" s="609"/>
      <c r="QJI26" s="609"/>
      <c r="QJJ26" s="609"/>
      <c r="QJK26" s="609"/>
      <c r="QJL26" s="609"/>
      <c r="QJM26" s="609"/>
      <c r="QJN26" s="609"/>
      <c r="QJO26" s="609"/>
      <c r="QJP26" s="609"/>
      <c r="QJQ26" s="609"/>
      <c r="QJR26" s="609"/>
      <c r="QJS26" s="609"/>
      <c r="QJT26" s="609"/>
      <c r="QJU26" s="609"/>
      <c r="QJV26" s="609"/>
      <c r="QJW26" s="609"/>
      <c r="QJX26" s="609"/>
      <c r="QJY26" s="609"/>
      <c r="QJZ26" s="609"/>
      <c r="QKA26" s="609"/>
      <c r="QKB26" s="609"/>
      <c r="QKC26" s="609"/>
      <c r="QKD26" s="609"/>
      <c r="QKE26" s="609"/>
      <c r="QKF26" s="609"/>
      <c r="QKG26" s="609"/>
      <c r="QKH26" s="609"/>
      <c r="QKI26" s="609"/>
      <c r="QKJ26" s="609"/>
      <c r="QKK26" s="609"/>
      <c r="QKL26" s="609"/>
      <c r="QKM26" s="609"/>
      <c r="QKN26" s="609"/>
      <c r="QKO26" s="609"/>
      <c r="QKP26" s="609"/>
      <c r="QKQ26" s="609"/>
      <c r="QKR26" s="609"/>
      <c r="QKS26" s="609"/>
      <c r="QKT26" s="609"/>
      <c r="QKU26" s="609"/>
      <c r="QKV26" s="609"/>
      <c r="QKW26" s="609"/>
      <c r="QKX26" s="609"/>
      <c r="QKY26" s="609"/>
      <c r="QKZ26" s="609"/>
      <c r="QLA26" s="609"/>
      <c r="QLB26" s="609"/>
      <c r="QLC26" s="609"/>
      <c r="QLD26" s="609"/>
      <c r="QLE26" s="609"/>
      <c r="QLF26" s="609"/>
      <c r="QLG26" s="609"/>
      <c r="QLH26" s="609"/>
      <c r="QLI26" s="609"/>
      <c r="QLJ26" s="609"/>
      <c r="QLK26" s="609"/>
      <c r="QLL26" s="609"/>
      <c r="QLM26" s="609"/>
      <c r="QLN26" s="609"/>
      <c r="QLO26" s="609"/>
      <c r="QLP26" s="609"/>
      <c r="QLQ26" s="609"/>
      <c r="QLR26" s="609"/>
      <c r="QLS26" s="609"/>
      <c r="QLT26" s="609"/>
      <c r="QLU26" s="609"/>
      <c r="QLV26" s="609"/>
      <c r="QLW26" s="609"/>
      <c r="QLX26" s="609"/>
      <c r="QLY26" s="609"/>
      <c r="QLZ26" s="609"/>
      <c r="QMA26" s="609"/>
      <c r="QMB26" s="609"/>
      <c r="QMC26" s="609"/>
      <c r="QMD26" s="609"/>
      <c r="QME26" s="609"/>
      <c r="QMF26" s="609"/>
      <c r="QMG26" s="609"/>
      <c r="QMH26" s="609"/>
      <c r="QMI26" s="609"/>
      <c r="QMJ26" s="609"/>
      <c r="QMK26" s="609"/>
      <c r="QML26" s="609"/>
      <c r="QMM26" s="609"/>
      <c r="QMN26" s="609"/>
      <c r="QMO26" s="609"/>
      <c r="QMP26" s="609"/>
      <c r="QMQ26" s="609"/>
      <c r="QMR26" s="609"/>
      <c r="QMS26" s="609"/>
      <c r="QMT26" s="609"/>
      <c r="QMU26" s="609"/>
      <c r="QMV26" s="609"/>
      <c r="QMW26" s="609"/>
      <c r="QMX26" s="609"/>
      <c r="QMY26" s="609"/>
      <c r="QMZ26" s="609"/>
      <c r="QNA26" s="609"/>
      <c r="QNB26" s="609"/>
      <c r="QNC26" s="609"/>
      <c r="QND26" s="609"/>
      <c r="QNE26" s="609"/>
      <c r="QNF26" s="609"/>
      <c r="QNG26" s="609"/>
      <c r="QNH26" s="609"/>
      <c r="QNI26" s="609"/>
      <c r="QNJ26" s="609"/>
      <c r="QNK26" s="609"/>
      <c r="QNL26" s="609"/>
      <c r="QNM26" s="609"/>
      <c r="QNN26" s="609"/>
      <c r="QNO26" s="609"/>
      <c r="QNP26" s="609"/>
      <c r="QNQ26" s="609"/>
      <c r="QNR26" s="609"/>
      <c r="QNS26" s="609"/>
      <c r="QNT26" s="609"/>
      <c r="QNU26" s="609"/>
      <c r="QNV26" s="609"/>
      <c r="QNW26" s="609"/>
      <c r="QNX26" s="609"/>
      <c r="QNY26" s="609"/>
      <c r="QNZ26" s="609"/>
      <c r="QOA26" s="609"/>
      <c r="QOB26" s="609"/>
      <c r="QOC26" s="609"/>
      <c r="QOD26" s="609"/>
      <c r="QOE26" s="609"/>
      <c r="QOF26" s="609"/>
      <c r="QOG26" s="609"/>
      <c r="QOH26" s="609"/>
      <c r="QOI26" s="609"/>
      <c r="QOJ26" s="609"/>
      <c r="QOK26" s="609"/>
      <c r="QOL26" s="609"/>
      <c r="QOM26" s="609"/>
      <c r="QON26" s="609"/>
      <c r="QOO26" s="609"/>
      <c r="QOP26" s="609"/>
      <c r="QOQ26" s="609"/>
      <c r="QOR26" s="609"/>
      <c r="QOS26" s="609"/>
      <c r="QOT26" s="609"/>
      <c r="QOU26" s="609"/>
      <c r="QOV26" s="609"/>
      <c r="QOW26" s="609"/>
      <c r="QOX26" s="609"/>
      <c r="QOY26" s="609"/>
      <c r="QOZ26" s="609"/>
      <c r="QPA26" s="609"/>
      <c r="QPB26" s="609"/>
      <c r="QPC26" s="609"/>
      <c r="QPD26" s="609"/>
      <c r="QPE26" s="609"/>
      <c r="QPF26" s="609"/>
      <c r="QPG26" s="609"/>
      <c r="QPH26" s="609"/>
      <c r="QPI26" s="609"/>
      <c r="QPJ26" s="609"/>
      <c r="QPK26" s="609"/>
      <c r="QPL26" s="609"/>
      <c r="QPM26" s="609"/>
      <c r="QPN26" s="609"/>
      <c r="QPO26" s="609"/>
      <c r="QPP26" s="609"/>
      <c r="QPQ26" s="609"/>
      <c r="QPR26" s="609"/>
      <c r="QPS26" s="609"/>
      <c r="QPT26" s="609"/>
      <c r="QPU26" s="609"/>
      <c r="QPV26" s="609"/>
      <c r="QPW26" s="609"/>
      <c r="QPX26" s="609"/>
      <c r="QPY26" s="609"/>
      <c r="QPZ26" s="609"/>
      <c r="QQA26" s="609"/>
      <c r="QQB26" s="609"/>
      <c r="QQC26" s="609"/>
      <c r="QQD26" s="609"/>
      <c r="QQE26" s="609"/>
      <c r="QQF26" s="609"/>
      <c r="QQG26" s="609"/>
      <c r="QQH26" s="609"/>
      <c r="QQI26" s="609"/>
      <c r="QQJ26" s="609"/>
      <c r="QQK26" s="609"/>
      <c r="QQL26" s="609"/>
      <c r="QQM26" s="609"/>
      <c r="QQN26" s="609"/>
      <c r="QQO26" s="609"/>
      <c r="QQP26" s="609"/>
      <c r="QQQ26" s="609"/>
      <c r="QQR26" s="609"/>
      <c r="QQS26" s="609"/>
      <c r="QQT26" s="609"/>
      <c r="QQU26" s="609"/>
      <c r="QQV26" s="609"/>
      <c r="QQW26" s="609"/>
      <c r="QQX26" s="609"/>
      <c r="QQY26" s="609"/>
      <c r="QQZ26" s="609"/>
      <c r="QRA26" s="609"/>
      <c r="QRB26" s="609"/>
      <c r="QRC26" s="609"/>
      <c r="QRD26" s="609"/>
      <c r="QRE26" s="609"/>
      <c r="QRF26" s="609"/>
      <c r="QRG26" s="609"/>
      <c r="QRH26" s="609"/>
      <c r="QRI26" s="609"/>
      <c r="QRJ26" s="609"/>
      <c r="QRK26" s="609"/>
      <c r="QRL26" s="609"/>
      <c r="QRM26" s="609"/>
      <c r="QRN26" s="609"/>
      <c r="QRO26" s="609"/>
      <c r="QRP26" s="609"/>
      <c r="QRQ26" s="609"/>
      <c r="QRR26" s="609"/>
      <c r="QRS26" s="609"/>
      <c r="QRT26" s="609"/>
      <c r="QRU26" s="609"/>
      <c r="QRV26" s="609"/>
      <c r="QRW26" s="609"/>
      <c r="QRX26" s="609"/>
      <c r="QRY26" s="609"/>
      <c r="QRZ26" s="609"/>
      <c r="QSA26" s="609"/>
      <c r="QSB26" s="609"/>
      <c r="QSC26" s="609"/>
      <c r="QSD26" s="609"/>
      <c r="QSE26" s="609"/>
      <c r="QSF26" s="609"/>
      <c r="QSG26" s="609"/>
      <c r="QSH26" s="609"/>
      <c r="QSI26" s="609"/>
      <c r="QSJ26" s="609"/>
      <c r="QSK26" s="609"/>
      <c r="QSL26" s="609"/>
      <c r="QSM26" s="609"/>
      <c r="QSN26" s="609"/>
      <c r="QSO26" s="609"/>
      <c r="QSP26" s="609"/>
      <c r="QSQ26" s="609"/>
      <c r="QSR26" s="609"/>
      <c r="QSS26" s="609"/>
      <c r="QST26" s="609"/>
      <c r="QSU26" s="609"/>
      <c r="QSV26" s="609"/>
      <c r="QSW26" s="609"/>
      <c r="QSX26" s="609"/>
      <c r="QSY26" s="609"/>
      <c r="QSZ26" s="609"/>
      <c r="QTA26" s="609"/>
      <c r="QTB26" s="609"/>
      <c r="QTC26" s="609"/>
      <c r="QTD26" s="609"/>
      <c r="QTE26" s="609"/>
      <c r="QTF26" s="609"/>
      <c r="QTG26" s="609"/>
      <c r="QTH26" s="609"/>
      <c r="QTI26" s="609"/>
      <c r="QTJ26" s="609"/>
      <c r="QTK26" s="609"/>
      <c r="QTL26" s="609"/>
      <c r="QTM26" s="609"/>
      <c r="QTN26" s="609"/>
      <c r="QTO26" s="609"/>
      <c r="QTP26" s="609"/>
      <c r="QTQ26" s="609"/>
      <c r="QTR26" s="609"/>
      <c r="QTS26" s="609"/>
      <c r="QTT26" s="609"/>
      <c r="QTU26" s="609"/>
      <c r="QTV26" s="609"/>
      <c r="QTW26" s="609"/>
      <c r="QTX26" s="609"/>
      <c r="QTY26" s="609"/>
      <c r="QTZ26" s="609"/>
      <c r="QUA26" s="609"/>
      <c r="QUB26" s="609"/>
      <c r="QUC26" s="609"/>
      <c r="QUD26" s="609"/>
      <c r="QUE26" s="609"/>
      <c r="QUF26" s="609"/>
      <c r="QUG26" s="609"/>
      <c r="QUH26" s="609"/>
      <c r="QUI26" s="609"/>
      <c r="QUJ26" s="609"/>
      <c r="QUK26" s="609"/>
      <c r="QUL26" s="609"/>
      <c r="QUM26" s="609"/>
      <c r="QUN26" s="609"/>
      <c r="QUO26" s="609"/>
      <c r="QUP26" s="609"/>
      <c r="QUQ26" s="609"/>
      <c r="QUR26" s="609"/>
      <c r="QUS26" s="609"/>
      <c r="QUT26" s="609"/>
      <c r="QUU26" s="609"/>
      <c r="QUV26" s="609"/>
      <c r="QUW26" s="609"/>
      <c r="QUX26" s="609"/>
      <c r="QUY26" s="609"/>
      <c r="QUZ26" s="609"/>
      <c r="QVA26" s="609"/>
      <c r="QVB26" s="609"/>
      <c r="QVC26" s="609"/>
      <c r="QVD26" s="609"/>
      <c r="QVE26" s="609"/>
      <c r="QVF26" s="609"/>
      <c r="QVG26" s="609"/>
      <c r="QVH26" s="609"/>
      <c r="QVI26" s="609"/>
      <c r="QVJ26" s="609"/>
      <c r="QVK26" s="609"/>
      <c r="QVL26" s="609"/>
      <c r="QVM26" s="609"/>
      <c r="QVN26" s="609"/>
      <c r="QVO26" s="609"/>
      <c r="QVP26" s="609"/>
      <c r="QVQ26" s="609"/>
      <c r="QVR26" s="609"/>
      <c r="QVS26" s="609"/>
      <c r="QVT26" s="609"/>
      <c r="QVU26" s="609"/>
      <c r="QVV26" s="609"/>
      <c r="QVW26" s="609"/>
      <c r="QVX26" s="609"/>
      <c r="QVY26" s="609"/>
      <c r="QVZ26" s="609"/>
      <c r="QWA26" s="609"/>
      <c r="QWB26" s="609"/>
      <c r="QWC26" s="609"/>
      <c r="QWD26" s="609"/>
      <c r="QWE26" s="609"/>
      <c r="QWF26" s="609"/>
      <c r="QWG26" s="609"/>
      <c r="QWH26" s="609"/>
      <c r="QWI26" s="609"/>
      <c r="QWJ26" s="609"/>
      <c r="QWK26" s="609"/>
      <c r="QWL26" s="609"/>
      <c r="QWM26" s="609"/>
      <c r="QWN26" s="609"/>
      <c r="QWO26" s="609"/>
      <c r="QWP26" s="609"/>
      <c r="QWQ26" s="609"/>
      <c r="QWR26" s="609"/>
      <c r="QWS26" s="609"/>
      <c r="QWT26" s="609"/>
      <c r="QWU26" s="609"/>
      <c r="QWV26" s="609"/>
      <c r="QWW26" s="609"/>
      <c r="QWX26" s="609"/>
      <c r="QWY26" s="609"/>
      <c r="QWZ26" s="609"/>
      <c r="QXA26" s="609"/>
      <c r="QXB26" s="609"/>
      <c r="QXC26" s="609"/>
      <c r="QXD26" s="609"/>
      <c r="QXE26" s="609"/>
      <c r="QXF26" s="609"/>
      <c r="QXG26" s="609"/>
      <c r="QXH26" s="609"/>
      <c r="QXI26" s="609"/>
      <c r="QXJ26" s="609"/>
      <c r="QXK26" s="609"/>
      <c r="QXL26" s="609"/>
      <c r="QXM26" s="609"/>
      <c r="QXN26" s="609"/>
      <c r="QXO26" s="609"/>
      <c r="QXP26" s="609"/>
      <c r="QXQ26" s="609"/>
      <c r="QXR26" s="609"/>
      <c r="QXS26" s="609"/>
      <c r="QXT26" s="609"/>
      <c r="QXU26" s="609"/>
      <c r="QXV26" s="609"/>
      <c r="QXW26" s="609"/>
      <c r="QXX26" s="609"/>
      <c r="QXY26" s="609"/>
      <c r="QXZ26" s="609"/>
      <c r="QYA26" s="609"/>
      <c r="QYB26" s="609"/>
      <c r="QYC26" s="609"/>
      <c r="QYD26" s="609"/>
      <c r="QYE26" s="609"/>
      <c r="QYF26" s="609"/>
      <c r="QYG26" s="609"/>
      <c r="QYH26" s="609"/>
      <c r="QYI26" s="609"/>
      <c r="QYJ26" s="609"/>
      <c r="QYK26" s="609"/>
      <c r="QYL26" s="609"/>
      <c r="QYM26" s="609"/>
      <c r="QYN26" s="609"/>
      <c r="QYO26" s="609"/>
      <c r="QYP26" s="609"/>
      <c r="QYQ26" s="609"/>
      <c r="QYR26" s="609"/>
      <c r="QYS26" s="609"/>
      <c r="QYT26" s="609"/>
      <c r="QYU26" s="609"/>
      <c r="QYV26" s="609"/>
      <c r="QYW26" s="609"/>
      <c r="QYX26" s="609"/>
      <c r="QYY26" s="609"/>
      <c r="QYZ26" s="609"/>
      <c r="QZA26" s="609"/>
      <c r="QZB26" s="609"/>
      <c r="QZC26" s="609"/>
      <c r="QZD26" s="609"/>
      <c r="QZE26" s="609"/>
      <c r="QZF26" s="609"/>
      <c r="QZG26" s="609"/>
      <c r="QZH26" s="609"/>
      <c r="QZI26" s="609"/>
      <c r="QZJ26" s="609"/>
      <c r="QZK26" s="609"/>
      <c r="QZL26" s="609"/>
      <c r="QZM26" s="609"/>
      <c r="QZN26" s="609"/>
      <c r="QZO26" s="609"/>
      <c r="QZP26" s="609"/>
      <c r="QZQ26" s="609"/>
      <c r="QZR26" s="609"/>
      <c r="QZS26" s="609"/>
      <c r="QZT26" s="609"/>
      <c r="QZU26" s="609"/>
      <c r="QZV26" s="609"/>
      <c r="QZW26" s="609"/>
      <c r="QZX26" s="609"/>
      <c r="QZY26" s="609"/>
      <c r="QZZ26" s="609"/>
      <c r="RAA26" s="609"/>
      <c r="RAB26" s="609"/>
      <c r="RAC26" s="609"/>
      <c r="RAD26" s="609"/>
      <c r="RAE26" s="609"/>
      <c r="RAF26" s="609"/>
      <c r="RAG26" s="609"/>
      <c r="RAH26" s="609"/>
      <c r="RAI26" s="609"/>
      <c r="RAJ26" s="609"/>
      <c r="RAK26" s="609"/>
      <c r="RAL26" s="609"/>
      <c r="RAM26" s="609"/>
      <c r="RAN26" s="609"/>
      <c r="RAO26" s="609"/>
      <c r="RAP26" s="609"/>
      <c r="RAQ26" s="609"/>
      <c r="RAR26" s="609"/>
      <c r="RAS26" s="609"/>
      <c r="RAT26" s="609"/>
      <c r="RAU26" s="609"/>
      <c r="RAV26" s="609"/>
      <c r="RAW26" s="609"/>
      <c r="RAX26" s="609"/>
      <c r="RAY26" s="609"/>
      <c r="RAZ26" s="609"/>
      <c r="RBA26" s="609"/>
      <c r="RBB26" s="609"/>
      <c r="RBC26" s="609"/>
      <c r="RBD26" s="609"/>
      <c r="RBE26" s="609"/>
      <c r="RBF26" s="609"/>
      <c r="RBG26" s="609"/>
      <c r="RBH26" s="609"/>
      <c r="RBI26" s="609"/>
      <c r="RBJ26" s="609"/>
      <c r="RBK26" s="609"/>
      <c r="RBL26" s="609"/>
      <c r="RBM26" s="609"/>
      <c r="RBN26" s="609"/>
      <c r="RBO26" s="609"/>
      <c r="RBP26" s="609"/>
      <c r="RBQ26" s="609"/>
      <c r="RBR26" s="609"/>
      <c r="RBS26" s="609"/>
      <c r="RBT26" s="609"/>
      <c r="RBU26" s="609"/>
      <c r="RBV26" s="609"/>
      <c r="RBW26" s="609"/>
      <c r="RBX26" s="609"/>
      <c r="RBY26" s="609"/>
      <c r="RBZ26" s="609"/>
      <c r="RCA26" s="609"/>
      <c r="RCB26" s="609"/>
      <c r="RCC26" s="609"/>
      <c r="RCD26" s="609"/>
      <c r="RCE26" s="609"/>
      <c r="RCF26" s="609"/>
      <c r="RCG26" s="609"/>
      <c r="RCH26" s="609"/>
      <c r="RCI26" s="609"/>
      <c r="RCJ26" s="609"/>
      <c r="RCK26" s="609"/>
      <c r="RCL26" s="609"/>
      <c r="RCM26" s="609"/>
      <c r="RCN26" s="609"/>
      <c r="RCO26" s="609"/>
      <c r="RCP26" s="609"/>
      <c r="RCQ26" s="609"/>
      <c r="RCR26" s="609"/>
      <c r="RCS26" s="609"/>
      <c r="RCT26" s="609"/>
      <c r="RCU26" s="609"/>
      <c r="RCV26" s="609"/>
      <c r="RCW26" s="609"/>
      <c r="RCX26" s="609"/>
      <c r="RCY26" s="609"/>
      <c r="RCZ26" s="609"/>
      <c r="RDA26" s="609"/>
      <c r="RDB26" s="609"/>
      <c r="RDC26" s="609"/>
      <c r="RDD26" s="609"/>
      <c r="RDE26" s="609"/>
      <c r="RDF26" s="609"/>
      <c r="RDG26" s="609"/>
      <c r="RDH26" s="609"/>
      <c r="RDI26" s="609"/>
      <c r="RDJ26" s="609"/>
      <c r="RDK26" s="609"/>
      <c r="RDL26" s="609"/>
      <c r="RDM26" s="609"/>
      <c r="RDN26" s="609"/>
      <c r="RDO26" s="609"/>
      <c r="RDP26" s="609"/>
      <c r="RDQ26" s="609"/>
      <c r="RDR26" s="609"/>
      <c r="RDS26" s="609"/>
      <c r="RDT26" s="609"/>
      <c r="RDU26" s="609"/>
      <c r="RDV26" s="609"/>
      <c r="RDW26" s="609"/>
      <c r="RDX26" s="609"/>
      <c r="RDY26" s="609"/>
      <c r="RDZ26" s="609"/>
      <c r="REA26" s="609"/>
      <c r="REB26" s="609"/>
      <c r="REC26" s="609"/>
      <c r="RED26" s="609"/>
      <c r="REE26" s="609"/>
      <c r="REF26" s="609"/>
      <c r="REG26" s="609"/>
      <c r="REH26" s="609"/>
      <c r="REI26" s="609"/>
      <c r="REJ26" s="609"/>
      <c r="REK26" s="609"/>
      <c r="REL26" s="609"/>
      <c r="REM26" s="609"/>
      <c r="REN26" s="609"/>
      <c r="REO26" s="609"/>
      <c r="REP26" s="609"/>
      <c r="REQ26" s="609"/>
      <c r="RER26" s="609"/>
      <c r="RES26" s="609"/>
      <c r="RET26" s="609"/>
      <c r="REU26" s="609"/>
      <c r="REV26" s="609"/>
      <c r="REW26" s="609"/>
      <c r="REX26" s="609"/>
      <c r="REY26" s="609"/>
      <c r="REZ26" s="609"/>
      <c r="RFA26" s="609"/>
      <c r="RFB26" s="609"/>
      <c r="RFC26" s="609"/>
      <c r="RFD26" s="609"/>
      <c r="RFE26" s="609"/>
      <c r="RFF26" s="609"/>
      <c r="RFG26" s="609"/>
      <c r="RFH26" s="609"/>
      <c r="RFI26" s="609"/>
      <c r="RFJ26" s="609"/>
      <c r="RFK26" s="609"/>
      <c r="RFL26" s="609"/>
      <c r="RFM26" s="609"/>
      <c r="RFN26" s="609"/>
      <c r="RFO26" s="609"/>
      <c r="RFP26" s="609"/>
      <c r="RFQ26" s="609"/>
      <c r="RFR26" s="609"/>
      <c r="RFS26" s="609"/>
      <c r="RFT26" s="609"/>
      <c r="RFU26" s="609"/>
      <c r="RFV26" s="609"/>
      <c r="RFW26" s="609"/>
      <c r="RFX26" s="609"/>
      <c r="RFY26" s="609"/>
      <c r="RFZ26" s="609"/>
      <c r="RGA26" s="609"/>
      <c r="RGB26" s="609"/>
      <c r="RGC26" s="609"/>
      <c r="RGD26" s="609"/>
      <c r="RGE26" s="609"/>
      <c r="RGF26" s="609"/>
      <c r="RGG26" s="609"/>
      <c r="RGH26" s="609"/>
      <c r="RGI26" s="609"/>
      <c r="RGJ26" s="609"/>
      <c r="RGK26" s="609"/>
      <c r="RGL26" s="609"/>
      <c r="RGM26" s="609"/>
      <c r="RGN26" s="609"/>
      <c r="RGO26" s="609"/>
      <c r="RGP26" s="609"/>
      <c r="RGQ26" s="609"/>
      <c r="RGR26" s="609"/>
      <c r="RGS26" s="609"/>
      <c r="RGT26" s="609"/>
      <c r="RGU26" s="609"/>
      <c r="RGV26" s="609"/>
      <c r="RGW26" s="609"/>
      <c r="RGX26" s="609"/>
      <c r="RGY26" s="609"/>
      <c r="RGZ26" s="609"/>
      <c r="RHA26" s="609"/>
      <c r="RHB26" s="609"/>
      <c r="RHC26" s="609"/>
      <c r="RHD26" s="609"/>
      <c r="RHE26" s="609"/>
      <c r="RHF26" s="609"/>
      <c r="RHG26" s="609"/>
      <c r="RHH26" s="609"/>
      <c r="RHI26" s="609"/>
      <c r="RHJ26" s="609"/>
      <c r="RHK26" s="609"/>
      <c r="RHL26" s="609"/>
      <c r="RHM26" s="609"/>
      <c r="RHN26" s="609"/>
      <c r="RHO26" s="609"/>
      <c r="RHP26" s="609"/>
      <c r="RHQ26" s="609"/>
      <c r="RHR26" s="609"/>
      <c r="RHS26" s="609"/>
      <c r="RHT26" s="609"/>
      <c r="RHU26" s="609"/>
      <c r="RHV26" s="609"/>
      <c r="RHW26" s="609"/>
      <c r="RHX26" s="609"/>
      <c r="RHY26" s="609"/>
      <c r="RHZ26" s="609"/>
      <c r="RIA26" s="609"/>
      <c r="RIB26" s="609"/>
      <c r="RIC26" s="609"/>
      <c r="RID26" s="609"/>
      <c r="RIE26" s="609"/>
      <c r="RIF26" s="609"/>
      <c r="RIG26" s="609"/>
      <c r="RIH26" s="609"/>
      <c r="RII26" s="609"/>
      <c r="RIJ26" s="609"/>
      <c r="RIK26" s="609"/>
      <c r="RIL26" s="609"/>
      <c r="RIM26" s="609"/>
      <c r="RIN26" s="609"/>
      <c r="RIO26" s="609"/>
      <c r="RIP26" s="609"/>
      <c r="RIQ26" s="609"/>
      <c r="RIR26" s="609"/>
      <c r="RIS26" s="609"/>
      <c r="RIT26" s="609"/>
      <c r="RIU26" s="609"/>
      <c r="RIV26" s="609"/>
      <c r="RIW26" s="609"/>
      <c r="RIX26" s="609"/>
      <c r="RIY26" s="609"/>
      <c r="RIZ26" s="609"/>
      <c r="RJA26" s="609"/>
      <c r="RJB26" s="609"/>
      <c r="RJC26" s="609"/>
      <c r="RJD26" s="609"/>
      <c r="RJE26" s="609"/>
      <c r="RJF26" s="609"/>
      <c r="RJG26" s="609"/>
      <c r="RJH26" s="609"/>
      <c r="RJI26" s="609"/>
      <c r="RJJ26" s="609"/>
      <c r="RJK26" s="609"/>
      <c r="RJL26" s="609"/>
      <c r="RJM26" s="609"/>
      <c r="RJN26" s="609"/>
      <c r="RJO26" s="609"/>
      <c r="RJP26" s="609"/>
      <c r="RJQ26" s="609"/>
      <c r="RJR26" s="609"/>
      <c r="RJS26" s="609"/>
      <c r="RJT26" s="609"/>
      <c r="RJU26" s="609"/>
      <c r="RJV26" s="609"/>
      <c r="RJW26" s="609"/>
      <c r="RJX26" s="609"/>
      <c r="RJY26" s="609"/>
      <c r="RJZ26" s="609"/>
      <c r="RKA26" s="609"/>
      <c r="RKB26" s="609"/>
      <c r="RKC26" s="609"/>
      <c r="RKD26" s="609"/>
      <c r="RKE26" s="609"/>
      <c r="RKF26" s="609"/>
      <c r="RKG26" s="609"/>
      <c r="RKH26" s="609"/>
      <c r="RKI26" s="609"/>
      <c r="RKJ26" s="609"/>
      <c r="RKK26" s="609"/>
      <c r="RKL26" s="609"/>
      <c r="RKM26" s="609"/>
      <c r="RKN26" s="609"/>
      <c r="RKO26" s="609"/>
      <c r="RKP26" s="609"/>
      <c r="RKQ26" s="609"/>
      <c r="RKR26" s="609"/>
      <c r="RKS26" s="609"/>
      <c r="RKT26" s="609"/>
      <c r="RKU26" s="609"/>
      <c r="RKV26" s="609"/>
      <c r="RKW26" s="609"/>
      <c r="RKX26" s="609"/>
      <c r="RKY26" s="609"/>
      <c r="RKZ26" s="609"/>
      <c r="RLA26" s="609"/>
      <c r="RLB26" s="609"/>
      <c r="RLC26" s="609"/>
      <c r="RLD26" s="609"/>
      <c r="RLE26" s="609"/>
      <c r="RLF26" s="609"/>
      <c r="RLG26" s="609"/>
      <c r="RLH26" s="609"/>
      <c r="RLI26" s="609"/>
      <c r="RLJ26" s="609"/>
      <c r="RLK26" s="609"/>
      <c r="RLL26" s="609"/>
      <c r="RLM26" s="609"/>
      <c r="RLN26" s="609"/>
      <c r="RLO26" s="609"/>
      <c r="RLP26" s="609"/>
      <c r="RLQ26" s="609"/>
      <c r="RLR26" s="609"/>
      <c r="RLS26" s="609"/>
      <c r="RLT26" s="609"/>
      <c r="RLU26" s="609"/>
      <c r="RLV26" s="609"/>
      <c r="RLW26" s="609"/>
      <c r="RLX26" s="609"/>
      <c r="RLY26" s="609"/>
      <c r="RLZ26" s="609"/>
      <c r="RMA26" s="609"/>
      <c r="RMB26" s="609"/>
      <c r="RMC26" s="609"/>
      <c r="RMD26" s="609"/>
      <c r="RME26" s="609"/>
      <c r="RMF26" s="609"/>
      <c r="RMG26" s="609"/>
      <c r="RMH26" s="609"/>
      <c r="RMI26" s="609"/>
      <c r="RMJ26" s="609"/>
      <c r="RMK26" s="609"/>
      <c r="RML26" s="609"/>
      <c r="RMM26" s="609"/>
      <c r="RMN26" s="609"/>
      <c r="RMO26" s="609"/>
      <c r="RMP26" s="609"/>
      <c r="RMQ26" s="609"/>
      <c r="RMR26" s="609"/>
      <c r="RMS26" s="609"/>
      <c r="RMT26" s="609"/>
      <c r="RMU26" s="609"/>
      <c r="RMV26" s="609"/>
      <c r="RMW26" s="609"/>
      <c r="RMX26" s="609"/>
      <c r="RMY26" s="609"/>
      <c r="RMZ26" s="609"/>
      <c r="RNA26" s="609"/>
      <c r="RNB26" s="609"/>
      <c r="RNC26" s="609"/>
      <c r="RND26" s="609"/>
      <c r="RNE26" s="609"/>
      <c r="RNF26" s="609"/>
      <c r="RNG26" s="609"/>
      <c r="RNH26" s="609"/>
      <c r="RNI26" s="609"/>
      <c r="RNJ26" s="609"/>
      <c r="RNK26" s="609"/>
      <c r="RNL26" s="609"/>
      <c r="RNM26" s="609"/>
      <c r="RNN26" s="609"/>
      <c r="RNO26" s="609"/>
      <c r="RNP26" s="609"/>
      <c r="RNQ26" s="609"/>
      <c r="RNR26" s="609"/>
      <c r="RNS26" s="609"/>
      <c r="RNT26" s="609"/>
      <c r="RNU26" s="609"/>
      <c r="RNV26" s="609"/>
      <c r="RNW26" s="609"/>
      <c r="RNX26" s="609"/>
      <c r="RNY26" s="609"/>
      <c r="RNZ26" s="609"/>
      <c r="ROA26" s="609"/>
      <c r="ROB26" s="609"/>
      <c r="ROC26" s="609"/>
      <c r="ROD26" s="609"/>
      <c r="ROE26" s="609"/>
      <c r="ROF26" s="609"/>
      <c r="ROG26" s="609"/>
      <c r="ROH26" s="609"/>
      <c r="ROI26" s="609"/>
      <c r="ROJ26" s="609"/>
      <c r="ROK26" s="609"/>
      <c r="ROL26" s="609"/>
      <c r="ROM26" s="609"/>
      <c r="RON26" s="609"/>
      <c r="ROO26" s="609"/>
      <c r="ROP26" s="609"/>
      <c r="ROQ26" s="609"/>
      <c r="ROR26" s="609"/>
      <c r="ROS26" s="609"/>
      <c r="ROT26" s="609"/>
      <c r="ROU26" s="609"/>
      <c r="ROV26" s="609"/>
      <c r="ROW26" s="609"/>
      <c r="ROX26" s="609"/>
      <c r="ROY26" s="609"/>
      <c r="ROZ26" s="609"/>
      <c r="RPA26" s="609"/>
      <c r="RPB26" s="609"/>
      <c r="RPC26" s="609"/>
      <c r="RPD26" s="609"/>
      <c r="RPE26" s="609"/>
      <c r="RPF26" s="609"/>
      <c r="RPG26" s="609"/>
      <c r="RPH26" s="609"/>
      <c r="RPI26" s="609"/>
      <c r="RPJ26" s="609"/>
      <c r="RPK26" s="609"/>
      <c r="RPL26" s="609"/>
      <c r="RPM26" s="609"/>
      <c r="RPN26" s="609"/>
      <c r="RPO26" s="609"/>
      <c r="RPP26" s="609"/>
      <c r="RPQ26" s="609"/>
      <c r="RPR26" s="609"/>
      <c r="RPS26" s="609"/>
      <c r="RPT26" s="609"/>
      <c r="RPU26" s="609"/>
      <c r="RPV26" s="609"/>
      <c r="RPW26" s="609"/>
      <c r="RPX26" s="609"/>
      <c r="RPY26" s="609"/>
      <c r="RPZ26" s="609"/>
      <c r="RQA26" s="609"/>
      <c r="RQB26" s="609"/>
      <c r="RQC26" s="609"/>
      <c r="RQD26" s="609"/>
      <c r="RQE26" s="609"/>
      <c r="RQF26" s="609"/>
      <c r="RQG26" s="609"/>
      <c r="RQH26" s="609"/>
      <c r="RQI26" s="609"/>
      <c r="RQJ26" s="609"/>
      <c r="RQK26" s="609"/>
      <c r="RQL26" s="609"/>
      <c r="RQM26" s="609"/>
      <c r="RQN26" s="609"/>
      <c r="RQO26" s="609"/>
      <c r="RQP26" s="609"/>
      <c r="RQQ26" s="609"/>
      <c r="RQR26" s="609"/>
      <c r="RQS26" s="609"/>
      <c r="RQT26" s="609"/>
      <c r="RQU26" s="609"/>
      <c r="RQV26" s="609"/>
      <c r="RQW26" s="609"/>
      <c r="RQX26" s="609"/>
      <c r="RQY26" s="609"/>
      <c r="RQZ26" s="609"/>
      <c r="RRA26" s="609"/>
      <c r="RRB26" s="609"/>
      <c r="RRC26" s="609"/>
      <c r="RRD26" s="609"/>
      <c r="RRE26" s="609"/>
      <c r="RRF26" s="609"/>
      <c r="RRG26" s="609"/>
      <c r="RRH26" s="609"/>
      <c r="RRI26" s="609"/>
      <c r="RRJ26" s="609"/>
      <c r="RRK26" s="609"/>
      <c r="RRL26" s="609"/>
      <c r="RRM26" s="609"/>
      <c r="RRN26" s="609"/>
      <c r="RRO26" s="609"/>
      <c r="RRP26" s="609"/>
      <c r="RRQ26" s="609"/>
      <c r="RRR26" s="609"/>
      <c r="RRS26" s="609"/>
      <c r="RRT26" s="609"/>
      <c r="RRU26" s="609"/>
      <c r="RRV26" s="609"/>
      <c r="RRW26" s="609"/>
      <c r="RRX26" s="609"/>
      <c r="RRY26" s="609"/>
      <c r="RRZ26" s="609"/>
      <c r="RSA26" s="609"/>
      <c r="RSB26" s="609"/>
      <c r="RSC26" s="609"/>
      <c r="RSD26" s="609"/>
      <c r="RSE26" s="609"/>
      <c r="RSF26" s="609"/>
      <c r="RSG26" s="609"/>
      <c r="RSH26" s="609"/>
      <c r="RSI26" s="609"/>
      <c r="RSJ26" s="609"/>
      <c r="RSK26" s="609"/>
      <c r="RSL26" s="609"/>
      <c r="RSM26" s="609"/>
      <c r="RSN26" s="609"/>
      <c r="RSO26" s="609"/>
      <c r="RSP26" s="609"/>
      <c r="RSQ26" s="609"/>
      <c r="RSR26" s="609"/>
      <c r="RSS26" s="609"/>
      <c r="RST26" s="609"/>
      <c r="RSU26" s="609"/>
      <c r="RSV26" s="609"/>
      <c r="RSW26" s="609"/>
      <c r="RSX26" s="609"/>
      <c r="RSY26" s="609"/>
      <c r="RSZ26" s="609"/>
      <c r="RTA26" s="609"/>
      <c r="RTB26" s="609"/>
      <c r="RTC26" s="609"/>
      <c r="RTD26" s="609"/>
      <c r="RTE26" s="609"/>
      <c r="RTF26" s="609"/>
      <c r="RTG26" s="609"/>
      <c r="RTH26" s="609"/>
      <c r="RTI26" s="609"/>
      <c r="RTJ26" s="609"/>
      <c r="RTK26" s="609"/>
      <c r="RTL26" s="609"/>
      <c r="RTM26" s="609"/>
      <c r="RTN26" s="609"/>
      <c r="RTO26" s="609"/>
      <c r="RTP26" s="609"/>
      <c r="RTQ26" s="609"/>
      <c r="RTR26" s="609"/>
      <c r="RTS26" s="609"/>
      <c r="RTT26" s="609"/>
      <c r="RTU26" s="609"/>
      <c r="RTV26" s="609"/>
      <c r="RTW26" s="609"/>
      <c r="RTX26" s="609"/>
      <c r="RTY26" s="609"/>
      <c r="RTZ26" s="609"/>
      <c r="RUA26" s="609"/>
      <c r="RUB26" s="609"/>
      <c r="RUC26" s="609"/>
      <c r="RUD26" s="609"/>
      <c r="RUE26" s="609"/>
      <c r="RUF26" s="609"/>
      <c r="RUG26" s="609"/>
      <c r="RUH26" s="609"/>
      <c r="RUI26" s="609"/>
      <c r="RUJ26" s="609"/>
      <c r="RUK26" s="609"/>
      <c r="RUL26" s="609"/>
      <c r="RUM26" s="609"/>
      <c r="RUN26" s="609"/>
      <c r="RUO26" s="609"/>
      <c r="RUP26" s="609"/>
      <c r="RUQ26" s="609"/>
      <c r="RUR26" s="609"/>
      <c r="RUS26" s="609"/>
      <c r="RUT26" s="609"/>
      <c r="RUU26" s="609"/>
      <c r="RUV26" s="609"/>
      <c r="RUW26" s="609"/>
      <c r="RUX26" s="609"/>
      <c r="RUY26" s="609"/>
      <c r="RUZ26" s="609"/>
      <c r="RVA26" s="609"/>
      <c r="RVB26" s="609"/>
      <c r="RVC26" s="609"/>
      <c r="RVD26" s="609"/>
      <c r="RVE26" s="609"/>
      <c r="RVF26" s="609"/>
      <c r="RVG26" s="609"/>
      <c r="RVH26" s="609"/>
      <c r="RVI26" s="609"/>
      <c r="RVJ26" s="609"/>
      <c r="RVK26" s="609"/>
      <c r="RVL26" s="609"/>
      <c r="RVM26" s="609"/>
      <c r="RVN26" s="609"/>
      <c r="RVO26" s="609"/>
      <c r="RVP26" s="609"/>
      <c r="RVQ26" s="609"/>
      <c r="RVR26" s="609"/>
      <c r="RVS26" s="609"/>
      <c r="RVT26" s="609"/>
      <c r="RVU26" s="609"/>
      <c r="RVV26" s="609"/>
      <c r="RVW26" s="609"/>
      <c r="RVX26" s="609"/>
      <c r="RVY26" s="609"/>
      <c r="RVZ26" s="609"/>
      <c r="RWA26" s="609"/>
      <c r="RWB26" s="609"/>
      <c r="RWC26" s="609"/>
      <c r="RWD26" s="609"/>
      <c r="RWE26" s="609"/>
      <c r="RWF26" s="609"/>
      <c r="RWG26" s="609"/>
      <c r="RWH26" s="609"/>
      <c r="RWI26" s="609"/>
      <c r="RWJ26" s="609"/>
      <c r="RWK26" s="609"/>
      <c r="RWL26" s="609"/>
      <c r="RWM26" s="609"/>
      <c r="RWN26" s="609"/>
      <c r="RWO26" s="609"/>
      <c r="RWP26" s="609"/>
      <c r="RWQ26" s="609"/>
      <c r="RWR26" s="609"/>
      <c r="RWS26" s="609"/>
      <c r="RWT26" s="609"/>
      <c r="RWU26" s="609"/>
      <c r="RWV26" s="609"/>
      <c r="RWW26" s="609"/>
      <c r="RWX26" s="609"/>
      <c r="RWY26" s="609"/>
      <c r="RWZ26" s="609"/>
      <c r="RXA26" s="609"/>
      <c r="RXB26" s="609"/>
      <c r="RXC26" s="609"/>
      <c r="RXD26" s="609"/>
      <c r="RXE26" s="609"/>
      <c r="RXF26" s="609"/>
      <c r="RXG26" s="609"/>
      <c r="RXH26" s="609"/>
      <c r="RXI26" s="609"/>
      <c r="RXJ26" s="609"/>
      <c r="RXK26" s="609"/>
      <c r="RXL26" s="609"/>
      <c r="RXM26" s="609"/>
      <c r="RXN26" s="609"/>
      <c r="RXO26" s="609"/>
      <c r="RXP26" s="609"/>
      <c r="RXQ26" s="609"/>
      <c r="RXR26" s="609"/>
      <c r="RXS26" s="609"/>
      <c r="RXT26" s="609"/>
      <c r="RXU26" s="609"/>
      <c r="RXV26" s="609"/>
      <c r="RXW26" s="609"/>
      <c r="RXX26" s="609"/>
      <c r="RXY26" s="609"/>
      <c r="RXZ26" s="609"/>
      <c r="RYA26" s="609"/>
      <c r="RYB26" s="609"/>
      <c r="RYC26" s="609"/>
      <c r="RYD26" s="609"/>
      <c r="RYE26" s="609"/>
      <c r="RYF26" s="609"/>
      <c r="RYG26" s="609"/>
      <c r="RYH26" s="609"/>
      <c r="RYI26" s="609"/>
      <c r="RYJ26" s="609"/>
      <c r="RYK26" s="609"/>
      <c r="RYL26" s="609"/>
      <c r="RYM26" s="609"/>
      <c r="RYN26" s="609"/>
      <c r="RYO26" s="609"/>
      <c r="RYP26" s="609"/>
      <c r="RYQ26" s="609"/>
      <c r="RYR26" s="609"/>
      <c r="RYS26" s="609"/>
      <c r="RYT26" s="609"/>
      <c r="RYU26" s="609"/>
      <c r="RYV26" s="609"/>
      <c r="RYW26" s="609"/>
      <c r="RYX26" s="609"/>
      <c r="RYY26" s="609"/>
      <c r="RYZ26" s="609"/>
      <c r="RZA26" s="609"/>
      <c r="RZB26" s="609"/>
      <c r="RZC26" s="609"/>
      <c r="RZD26" s="609"/>
      <c r="RZE26" s="609"/>
      <c r="RZF26" s="609"/>
      <c r="RZG26" s="609"/>
      <c r="RZH26" s="609"/>
      <c r="RZI26" s="609"/>
      <c r="RZJ26" s="609"/>
      <c r="RZK26" s="609"/>
      <c r="RZL26" s="609"/>
      <c r="RZM26" s="609"/>
      <c r="RZN26" s="609"/>
      <c r="RZO26" s="609"/>
      <c r="RZP26" s="609"/>
      <c r="RZQ26" s="609"/>
      <c r="RZR26" s="609"/>
      <c r="RZS26" s="609"/>
      <c r="RZT26" s="609"/>
      <c r="RZU26" s="609"/>
      <c r="RZV26" s="609"/>
      <c r="RZW26" s="609"/>
      <c r="RZX26" s="609"/>
      <c r="RZY26" s="609"/>
      <c r="RZZ26" s="609"/>
      <c r="SAA26" s="609"/>
      <c r="SAB26" s="609"/>
      <c r="SAC26" s="609"/>
      <c r="SAD26" s="609"/>
      <c r="SAE26" s="609"/>
      <c r="SAF26" s="609"/>
      <c r="SAG26" s="609"/>
      <c r="SAH26" s="609"/>
      <c r="SAI26" s="609"/>
      <c r="SAJ26" s="609"/>
      <c r="SAK26" s="609"/>
      <c r="SAL26" s="609"/>
      <c r="SAM26" s="609"/>
      <c r="SAN26" s="609"/>
      <c r="SAO26" s="609"/>
      <c r="SAP26" s="609"/>
      <c r="SAQ26" s="609"/>
      <c r="SAR26" s="609"/>
      <c r="SAS26" s="609"/>
      <c r="SAT26" s="609"/>
      <c r="SAU26" s="609"/>
      <c r="SAV26" s="609"/>
      <c r="SAW26" s="609"/>
      <c r="SAX26" s="609"/>
      <c r="SAY26" s="609"/>
      <c r="SAZ26" s="609"/>
      <c r="SBA26" s="609"/>
      <c r="SBB26" s="609"/>
      <c r="SBC26" s="609"/>
      <c r="SBD26" s="609"/>
      <c r="SBE26" s="609"/>
      <c r="SBF26" s="609"/>
      <c r="SBG26" s="609"/>
      <c r="SBH26" s="609"/>
      <c r="SBI26" s="609"/>
      <c r="SBJ26" s="609"/>
      <c r="SBK26" s="609"/>
      <c r="SBL26" s="609"/>
      <c r="SBM26" s="609"/>
      <c r="SBN26" s="609"/>
      <c r="SBO26" s="609"/>
      <c r="SBP26" s="609"/>
      <c r="SBQ26" s="609"/>
      <c r="SBR26" s="609"/>
      <c r="SBS26" s="609"/>
      <c r="SBT26" s="609"/>
      <c r="SBU26" s="609"/>
      <c r="SBV26" s="609"/>
      <c r="SBW26" s="609"/>
      <c r="SBX26" s="609"/>
      <c r="SBY26" s="609"/>
      <c r="SBZ26" s="609"/>
      <c r="SCA26" s="609"/>
      <c r="SCB26" s="609"/>
      <c r="SCC26" s="609"/>
      <c r="SCD26" s="609"/>
      <c r="SCE26" s="609"/>
      <c r="SCF26" s="609"/>
      <c r="SCG26" s="609"/>
      <c r="SCH26" s="609"/>
      <c r="SCI26" s="609"/>
      <c r="SCJ26" s="609"/>
      <c r="SCK26" s="609"/>
      <c r="SCL26" s="609"/>
      <c r="SCM26" s="609"/>
      <c r="SCN26" s="609"/>
      <c r="SCO26" s="609"/>
      <c r="SCP26" s="609"/>
      <c r="SCQ26" s="609"/>
      <c r="SCR26" s="609"/>
      <c r="SCS26" s="609"/>
      <c r="SCT26" s="609"/>
      <c r="SCU26" s="609"/>
      <c r="SCV26" s="609"/>
      <c r="SCW26" s="609"/>
      <c r="SCX26" s="609"/>
      <c r="SCY26" s="609"/>
      <c r="SCZ26" s="609"/>
      <c r="SDA26" s="609"/>
      <c r="SDB26" s="609"/>
      <c r="SDC26" s="609"/>
      <c r="SDD26" s="609"/>
      <c r="SDE26" s="609"/>
      <c r="SDF26" s="609"/>
      <c r="SDG26" s="609"/>
      <c r="SDH26" s="609"/>
      <c r="SDI26" s="609"/>
      <c r="SDJ26" s="609"/>
      <c r="SDK26" s="609"/>
      <c r="SDL26" s="609"/>
      <c r="SDM26" s="609"/>
      <c r="SDN26" s="609"/>
      <c r="SDO26" s="609"/>
      <c r="SDP26" s="609"/>
      <c r="SDQ26" s="609"/>
      <c r="SDR26" s="609"/>
      <c r="SDS26" s="609"/>
      <c r="SDT26" s="609"/>
      <c r="SDU26" s="609"/>
      <c r="SDV26" s="609"/>
      <c r="SDW26" s="609"/>
      <c r="SDX26" s="609"/>
      <c r="SDY26" s="609"/>
      <c r="SDZ26" s="609"/>
      <c r="SEA26" s="609"/>
      <c r="SEB26" s="609"/>
      <c r="SEC26" s="609"/>
      <c r="SED26" s="609"/>
      <c r="SEE26" s="609"/>
      <c r="SEF26" s="609"/>
      <c r="SEG26" s="609"/>
      <c r="SEH26" s="609"/>
      <c r="SEI26" s="609"/>
      <c r="SEJ26" s="609"/>
      <c r="SEK26" s="609"/>
      <c r="SEL26" s="609"/>
      <c r="SEM26" s="609"/>
      <c r="SEN26" s="609"/>
      <c r="SEO26" s="609"/>
      <c r="SEP26" s="609"/>
      <c r="SEQ26" s="609"/>
      <c r="SER26" s="609"/>
      <c r="SES26" s="609"/>
      <c r="SET26" s="609"/>
      <c r="SEU26" s="609"/>
      <c r="SEV26" s="609"/>
      <c r="SEW26" s="609"/>
      <c r="SEX26" s="609"/>
      <c r="SEY26" s="609"/>
      <c r="SEZ26" s="609"/>
      <c r="SFA26" s="609"/>
      <c r="SFB26" s="609"/>
      <c r="SFC26" s="609"/>
      <c r="SFD26" s="609"/>
      <c r="SFE26" s="609"/>
      <c r="SFF26" s="609"/>
      <c r="SFG26" s="609"/>
      <c r="SFH26" s="609"/>
      <c r="SFI26" s="609"/>
      <c r="SFJ26" s="609"/>
      <c r="SFK26" s="609"/>
      <c r="SFL26" s="609"/>
      <c r="SFM26" s="609"/>
      <c r="SFN26" s="609"/>
      <c r="SFO26" s="609"/>
      <c r="SFP26" s="609"/>
      <c r="SFQ26" s="609"/>
      <c r="SFR26" s="609"/>
      <c r="SFS26" s="609"/>
      <c r="SFT26" s="609"/>
      <c r="SFU26" s="609"/>
      <c r="SFV26" s="609"/>
      <c r="SFW26" s="609"/>
      <c r="SFX26" s="609"/>
      <c r="SFY26" s="609"/>
      <c r="SFZ26" s="609"/>
      <c r="SGA26" s="609"/>
      <c r="SGB26" s="609"/>
      <c r="SGC26" s="609"/>
      <c r="SGD26" s="609"/>
      <c r="SGE26" s="609"/>
      <c r="SGF26" s="609"/>
      <c r="SGG26" s="609"/>
      <c r="SGH26" s="609"/>
      <c r="SGI26" s="609"/>
      <c r="SGJ26" s="609"/>
      <c r="SGK26" s="609"/>
      <c r="SGL26" s="609"/>
      <c r="SGM26" s="609"/>
      <c r="SGN26" s="609"/>
      <c r="SGO26" s="609"/>
      <c r="SGP26" s="609"/>
      <c r="SGQ26" s="609"/>
      <c r="SGR26" s="609"/>
      <c r="SGS26" s="609"/>
      <c r="SGT26" s="609"/>
      <c r="SGU26" s="609"/>
      <c r="SGV26" s="609"/>
      <c r="SGW26" s="609"/>
      <c r="SGX26" s="609"/>
      <c r="SGY26" s="609"/>
      <c r="SGZ26" s="609"/>
      <c r="SHA26" s="609"/>
      <c r="SHB26" s="609"/>
      <c r="SHC26" s="609"/>
      <c r="SHD26" s="609"/>
      <c r="SHE26" s="609"/>
      <c r="SHF26" s="609"/>
      <c r="SHG26" s="609"/>
      <c r="SHH26" s="609"/>
      <c r="SHI26" s="609"/>
      <c r="SHJ26" s="609"/>
      <c r="SHK26" s="609"/>
      <c r="SHL26" s="609"/>
      <c r="SHM26" s="609"/>
      <c r="SHN26" s="609"/>
      <c r="SHO26" s="609"/>
      <c r="SHP26" s="609"/>
      <c r="SHQ26" s="609"/>
      <c r="SHR26" s="609"/>
      <c r="SHS26" s="609"/>
      <c r="SHT26" s="609"/>
      <c r="SHU26" s="609"/>
      <c r="SHV26" s="609"/>
      <c r="SHW26" s="609"/>
      <c r="SHX26" s="609"/>
      <c r="SHY26" s="609"/>
      <c r="SHZ26" s="609"/>
      <c r="SIA26" s="609"/>
      <c r="SIB26" s="609"/>
      <c r="SIC26" s="609"/>
      <c r="SID26" s="609"/>
      <c r="SIE26" s="609"/>
      <c r="SIF26" s="609"/>
      <c r="SIG26" s="609"/>
      <c r="SIH26" s="609"/>
      <c r="SII26" s="609"/>
      <c r="SIJ26" s="609"/>
      <c r="SIK26" s="609"/>
      <c r="SIL26" s="609"/>
      <c r="SIM26" s="609"/>
      <c r="SIN26" s="609"/>
      <c r="SIO26" s="609"/>
      <c r="SIP26" s="609"/>
      <c r="SIQ26" s="609"/>
      <c r="SIR26" s="609"/>
      <c r="SIS26" s="609"/>
      <c r="SIT26" s="609"/>
      <c r="SIU26" s="609"/>
      <c r="SIV26" s="609"/>
      <c r="SIW26" s="609"/>
      <c r="SIX26" s="609"/>
      <c r="SIY26" s="609"/>
      <c r="SIZ26" s="609"/>
      <c r="SJA26" s="609"/>
      <c r="SJB26" s="609"/>
      <c r="SJC26" s="609"/>
      <c r="SJD26" s="609"/>
      <c r="SJE26" s="609"/>
      <c r="SJF26" s="609"/>
      <c r="SJG26" s="609"/>
      <c r="SJH26" s="609"/>
      <c r="SJI26" s="609"/>
      <c r="SJJ26" s="609"/>
      <c r="SJK26" s="609"/>
      <c r="SJL26" s="609"/>
      <c r="SJM26" s="609"/>
      <c r="SJN26" s="609"/>
      <c r="SJO26" s="609"/>
      <c r="SJP26" s="609"/>
      <c r="SJQ26" s="609"/>
      <c r="SJR26" s="609"/>
      <c r="SJS26" s="609"/>
      <c r="SJT26" s="609"/>
      <c r="SJU26" s="609"/>
      <c r="SJV26" s="609"/>
      <c r="SJW26" s="609"/>
      <c r="SJX26" s="609"/>
      <c r="SJY26" s="609"/>
      <c r="SJZ26" s="609"/>
      <c r="SKA26" s="609"/>
      <c r="SKB26" s="609"/>
      <c r="SKC26" s="609"/>
      <c r="SKD26" s="609"/>
      <c r="SKE26" s="609"/>
      <c r="SKF26" s="609"/>
      <c r="SKG26" s="609"/>
      <c r="SKH26" s="609"/>
      <c r="SKI26" s="609"/>
      <c r="SKJ26" s="609"/>
      <c r="SKK26" s="609"/>
      <c r="SKL26" s="609"/>
      <c r="SKM26" s="609"/>
      <c r="SKN26" s="609"/>
      <c r="SKO26" s="609"/>
      <c r="SKP26" s="609"/>
      <c r="SKQ26" s="609"/>
      <c r="SKR26" s="609"/>
      <c r="SKS26" s="609"/>
      <c r="SKT26" s="609"/>
      <c r="SKU26" s="609"/>
      <c r="SKV26" s="609"/>
      <c r="SKW26" s="609"/>
      <c r="SKX26" s="609"/>
      <c r="SKY26" s="609"/>
      <c r="SKZ26" s="609"/>
      <c r="SLA26" s="609"/>
      <c r="SLB26" s="609"/>
      <c r="SLC26" s="609"/>
      <c r="SLD26" s="609"/>
      <c r="SLE26" s="609"/>
      <c r="SLF26" s="609"/>
      <c r="SLG26" s="609"/>
      <c r="SLH26" s="609"/>
      <c r="SLI26" s="609"/>
      <c r="SLJ26" s="609"/>
      <c r="SLK26" s="609"/>
      <c r="SLL26" s="609"/>
      <c r="SLM26" s="609"/>
      <c r="SLN26" s="609"/>
      <c r="SLO26" s="609"/>
      <c r="SLP26" s="609"/>
      <c r="SLQ26" s="609"/>
      <c r="SLR26" s="609"/>
      <c r="SLS26" s="609"/>
      <c r="SLT26" s="609"/>
      <c r="SLU26" s="609"/>
      <c r="SLV26" s="609"/>
      <c r="SLW26" s="609"/>
      <c r="SLX26" s="609"/>
      <c r="SLY26" s="609"/>
      <c r="SLZ26" s="609"/>
      <c r="SMA26" s="609"/>
      <c r="SMB26" s="609"/>
      <c r="SMC26" s="609"/>
      <c r="SMD26" s="609"/>
      <c r="SME26" s="609"/>
      <c r="SMF26" s="609"/>
      <c r="SMG26" s="609"/>
      <c r="SMH26" s="609"/>
      <c r="SMI26" s="609"/>
      <c r="SMJ26" s="609"/>
      <c r="SMK26" s="609"/>
      <c r="SML26" s="609"/>
      <c r="SMM26" s="609"/>
      <c r="SMN26" s="609"/>
      <c r="SMO26" s="609"/>
      <c r="SMP26" s="609"/>
      <c r="SMQ26" s="609"/>
      <c r="SMR26" s="609"/>
      <c r="SMS26" s="609"/>
      <c r="SMT26" s="609"/>
      <c r="SMU26" s="609"/>
      <c r="SMV26" s="609"/>
      <c r="SMW26" s="609"/>
      <c r="SMX26" s="609"/>
      <c r="SMY26" s="609"/>
      <c r="SMZ26" s="609"/>
      <c r="SNA26" s="609"/>
      <c r="SNB26" s="609"/>
      <c r="SNC26" s="609"/>
      <c r="SND26" s="609"/>
      <c r="SNE26" s="609"/>
      <c r="SNF26" s="609"/>
      <c r="SNG26" s="609"/>
      <c r="SNH26" s="609"/>
      <c r="SNI26" s="609"/>
      <c r="SNJ26" s="609"/>
      <c r="SNK26" s="609"/>
      <c r="SNL26" s="609"/>
      <c r="SNM26" s="609"/>
      <c r="SNN26" s="609"/>
      <c r="SNO26" s="609"/>
      <c r="SNP26" s="609"/>
      <c r="SNQ26" s="609"/>
      <c r="SNR26" s="609"/>
      <c r="SNS26" s="609"/>
      <c r="SNT26" s="609"/>
      <c r="SNU26" s="609"/>
      <c r="SNV26" s="609"/>
      <c r="SNW26" s="609"/>
      <c r="SNX26" s="609"/>
      <c r="SNY26" s="609"/>
      <c r="SNZ26" s="609"/>
      <c r="SOA26" s="609"/>
      <c r="SOB26" s="609"/>
      <c r="SOC26" s="609"/>
      <c r="SOD26" s="609"/>
      <c r="SOE26" s="609"/>
      <c r="SOF26" s="609"/>
      <c r="SOG26" s="609"/>
      <c r="SOH26" s="609"/>
      <c r="SOI26" s="609"/>
      <c r="SOJ26" s="609"/>
      <c r="SOK26" s="609"/>
      <c r="SOL26" s="609"/>
      <c r="SOM26" s="609"/>
      <c r="SON26" s="609"/>
      <c r="SOO26" s="609"/>
      <c r="SOP26" s="609"/>
      <c r="SOQ26" s="609"/>
      <c r="SOR26" s="609"/>
      <c r="SOS26" s="609"/>
      <c r="SOT26" s="609"/>
      <c r="SOU26" s="609"/>
      <c r="SOV26" s="609"/>
      <c r="SOW26" s="609"/>
      <c r="SOX26" s="609"/>
      <c r="SOY26" s="609"/>
      <c r="SOZ26" s="609"/>
      <c r="SPA26" s="609"/>
      <c r="SPB26" s="609"/>
      <c r="SPC26" s="609"/>
      <c r="SPD26" s="609"/>
      <c r="SPE26" s="609"/>
      <c r="SPF26" s="609"/>
      <c r="SPG26" s="609"/>
      <c r="SPH26" s="609"/>
      <c r="SPI26" s="609"/>
      <c r="SPJ26" s="609"/>
      <c r="SPK26" s="609"/>
      <c r="SPL26" s="609"/>
      <c r="SPM26" s="609"/>
      <c r="SPN26" s="609"/>
      <c r="SPO26" s="609"/>
      <c r="SPP26" s="609"/>
      <c r="SPQ26" s="609"/>
      <c r="SPR26" s="609"/>
      <c r="SPS26" s="609"/>
      <c r="SPT26" s="609"/>
      <c r="SPU26" s="609"/>
      <c r="SPV26" s="609"/>
      <c r="SPW26" s="609"/>
      <c r="SPX26" s="609"/>
      <c r="SPY26" s="609"/>
      <c r="SPZ26" s="609"/>
      <c r="SQA26" s="609"/>
      <c r="SQB26" s="609"/>
      <c r="SQC26" s="609"/>
      <c r="SQD26" s="609"/>
      <c r="SQE26" s="609"/>
      <c r="SQF26" s="609"/>
      <c r="SQG26" s="609"/>
      <c r="SQH26" s="609"/>
      <c r="SQI26" s="609"/>
      <c r="SQJ26" s="609"/>
      <c r="SQK26" s="609"/>
      <c r="SQL26" s="609"/>
      <c r="SQM26" s="609"/>
      <c r="SQN26" s="609"/>
      <c r="SQO26" s="609"/>
      <c r="SQP26" s="609"/>
      <c r="SQQ26" s="609"/>
      <c r="SQR26" s="609"/>
      <c r="SQS26" s="609"/>
      <c r="SQT26" s="609"/>
      <c r="SQU26" s="609"/>
      <c r="SQV26" s="609"/>
      <c r="SQW26" s="609"/>
      <c r="SQX26" s="609"/>
      <c r="SQY26" s="609"/>
      <c r="SQZ26" s="609"/>
      <c r="SRA26" s="609"/>
      <c r="SRB26" s="609"/>
      <c r="SRC26" s="609"/>
      <c r="SRD26" s="609"/>
      <c r="SRE26" s="609"/>
      <c r="SRF26" s="609"/>
      <c r="SRG26" s="609"/>
      <c r="SRH26" s="609"/>
      <c r="SRI26" s="609"/>
      <c r="SRJ26" s="609"/>
      <c r="SRK26" s="609"/>
      <c r="SRL26" s="609"/>
      <c r="SRM26" s="609"/>
      <c r="SRN26" s="609"/>
      <c r="SRO26" s="609"/>
      <c r="SRP26" s="609"/>
      <c r="SRQ26" s="609"/>
      <c r="SRR26" s="609"/>
      <c r="SRS26" s="609"/>
      <c r="SRT26" s="609"/>
      <c r="SRU26" s="609"/>
      <c r="SRV26" s="609"/>
      <c r="SRW26" s="609"/>
      <c r="SRX26" s="609"/>
      <c r="SRY26" s="609"/>
      <c r="SRZ26" s="609"/>
      <c r="SSA26" s="609"/>
      <c r="SSB26" s="609"/>
      <c r="SSC26" s="609"/>
      <c r="SSD26" s="609"/>
      <c r="SSE26" s="609"/>
      <c r="SSF26" s="609"/>
      <c r="SSG26" s="609"/>
      <c r="SSH26" s="609"/>
      <c r="SSI26" s="609"/>
      <c r="SSJ26" s="609"/>
      <c r="SSK26" s="609"/>
      <c r="SSL26" s="609"/>
      <c r="SSM26" s="609"/>
      <c r="SSN26" s="609"/>
      <c r="SSO26" s="609"/>
      <c r="SSP26" s="609"/>
      <c r="SSQ26" s="609"/>
      <c r="SSR26" s="609"/>
      <c r="SSS26" s="609"/>
      <c r="SST26" s="609"/>
      <c r="SSU26" s="609"/>
      <c r="SSV26" s="609"/>
      <c r="SSW26" s="609"/>
      <c r="SSX26" s="609"/>
      <c r="SSY26" s="609"/>
      <c r="SSZ26" s="609"/>
      <c r="STA26" s="609"/>
      <c r="STB26" s="609"/>
      <c r="STC26" s="609"/>
      <c r="STD26" s="609"/>
      <c r="STE26" s="609"/>
      <c r="STF26" s="609"/>
      <c r="STG26" s="609"/>
      <c r="STH26" s="609"/>
      <c r="STI26" s="609"/>
      <c r="STJ26" s="609"/>
      <c r="STK26" s="609"/>
      <c r="STL26" s="609"/>
      <c r="STM26" s="609"/>
      <c r="STN26" s="609"/>
      <c r="STO26" s="609"/>
      <c r="STP26" s="609"/>
      <c r="STQ26" s="609"/>
      <c r="STR26" s="609"/>
      <c r="STS26" s="609"/>
      <c r="STT26" s="609"/>
      <c r="STU26" s="609"/>
      <c r="STV26" s="609"/>
      <c r="STW26" s="609"/>
      <c r="STX26" s="609"/>
      <c r="STY26" s="609"/>
      <c r="STZ26" s="609"/>
      <c r="SUA26" s="609"/>
      <c r="SUB26" s="609"/>
      <c r="SUC26" s="609"/>
      <c r="SUD26" s="609"/>
      <c r="SUE26" s="609"/>
      <c r="SUF26" s="609"/>
      <c r="SUG26" s="609"/>
      <c r="SUH26" s="609"/>
      <c r="SUI26" s="609"/>
      <c r="SUJ26" s="609"/>
      <c r="SUK26" s="609"/>
      <c r="SUL26" s="609"/>
      <c r="SUM26" s="609"/>
      <c r="SUN26" s="609"/>
      <c r="SUO26" s="609"/>
      <c r="SUP26" s="609"/>
      <c r="SUQ26" s="609"/>
      <c r="SUR26" s="609"/>
      <c r="SUS26" s="609"/>
      <c r="SUT26" s="609"/>
      <c r="SUU26" s="609"/>
      <c r="SUV26" s="609"/>
      <c r="SUW26" s="609"/>
      <c r="SUX26" s="609"/>
      <c r="SUY26" s="609"/>
      <c r="SUZ26" s="609"/>
      <c r="SVA26" s="609"/>
      <c r="SVB26" s="609"/>
      <c r="SVC26" s="609"/>
      <c r="SVD26" s="609"/>
      <c r="SVE26" s="609"/>
      <c r="SVF26" s="609"/>
      <c r="SVG26" s="609"/>
      <c r="SVH26" s="609"/>
      <c r="SVI26" s="609"/>
      <c r="SVJ26" s="609"/>
      <c r="SVK26" s="609"/>
      <c r="SVL26" s="609"/>
      <c r="SVM26" s="609"/>
      <c r="SVN26" s="609"/>
      <c r="SVO26" s="609"/>
      <c r="SVP26" s="609"/>
      <c r="SVQ26" s="609"/>
      <c r="SVR26" s="609"/>
      <c r="SVS26" s="609"/>
      <c r="SVT26" s="609"/>
      <c r="SVU26" s="609"/>
      <c r="SVV26" s="609"/>
      <c r="SVW26" s="609"/>
      <c r="SVX26" s="609"/>
      <c r="SVY26" s="609"/>
      <c r="SVZ26" s="609"/>
      <c r="SWA26" s="609"/>
      <c r="SWB26" s="609"/>
      <c r="SWC26" s="609"/>
      <c r="SWD26" s="609"/>
      <c r="SWE26" s="609"/>
      <c r="SWF26" s="609"/>
      <c r="SWG26" s="609"/>
      <c r="SWH26" s="609"/>
      <c r="SWI26" s="609"/>
      <c r="SWJ26" s="609"/>
      <c r="SWK26" s="609"/>
      <c r="SWL26" s="609"/>
      <c r="SWM26" s="609"/>
      <c r="SWN26" s="609"/>
      <c r="SWO26" s="609"/>
      <c r="SWP26" s="609"/>
      <c r="SWQ26" s="609"/>
      <c r="SWR26" s="609"/>
      <c r="SWS26" s="609"/>
      <c r="SWT26" s="609"/>
      <c r="SWU26" s="609"/>
      <c r="SWV26" s="609"/>
      <c r="SWW26" s="609"/>
      <c r="SWX26" s="609"/>
      <c r="SWY26" s="609"/>
      <c r="SWZ26" s="609"/>
      <c r="SXA26" s="609"/>
      <c r="SXB26" s="609"/>
      <c r="SXC26" s="609"/>
      <c r="SXD26" s="609"/>
      <c r="SXE26" s="609"/>
      <c r="SXF26" s="609"/>
      <c r="SXG26" s="609"/>
      <c r="SXH26" s="609"/>
      <c r="SXI26" s="609"/>
      <c r="SXJ26" s="609"/>
      <c r="SXK26" s="609"/>
      <c r="SXL26" s="609"/>
      <c r="SXM26" s="609"/>
      <c r="SXN26" s="609"/>
      <c r="SXO26" s="609"/>
      <c r="SXP26" s="609"/>
      <c r="SXQ26" s="609"/>
      <c r="SXR26" s="609"/>
      <c r="SXS26" s="609"/>
      <c r="SXT26" s="609"/>
      <c r="SXU26" s="609"/>
      <c r="SXV26" s="609"/>
      <c r="SXW26" s="609"/>
      <c r="SXX26" s="609"/>
      <c r="SXY26" s="609"/>
      <c r="SXZ26" s="609"/>
      <c r="SYA26" s="609"/>
      <c r="SYB26" s="609"/>
      <c r="SYC26" s="609"/>
      <c r="SYD26" s="609"/>
      <c r="SYE26" s="609"/>
      <c r="SYF26" s="609"/>
      <c r="SYG26" s="609"/>
      <c r="SYH26" s="609"/>
      <c r="SYI26" s="609"/>
      <c r="SYJ26" s="609"/>
      <c r="SYK26" s="609"/>
      <c r="SYL26" s="609"/>
      <c r="SYM26" s="609"/>
      <c r="SYN26" s="609"/>
      <c r="SYO26" s="609"/>
      <c r="SYP26" s="609"/>
      <c r="SYQ26" s="609"/>
      <c r="SYR26" s="609"/>
      <c r="SYS26" s="609"/>
      <c r="SYT26" s="609"/>
      <c r="SYU26" s="609"/>
      <c r="SYV26" s="609"/>
      <c r="SYW26" s="609"/>
      <c r="SYX26" s="609"/>
      <c r="SYY26" s="609"/>
      <c r="SYZ26" s="609"/>
      <c r="SZA26" s="609"/>
      <c r="SZB26" s="609"/>
      <c r="SZC26" s="609"/>
      <c r="SZD26" s="609"/>
      <c r="SZE26" s="609"/>
      <c r="SZF26" s="609"/>
      <c r="SZG26" s="609"/>
      <c r="SZH26" s="609"/>
      <c r="SZI26" s="609"/>
      <c r="SZJ26" s="609"/>
      <c r="SZK26" s="609"/>
      <c r="SZL26" s="609"/>
      <c r="SZM26" s="609"/>
      <c r="SZN26" s="609"/>
      <c r="SZO26" s="609"/>
      <c r="SZP26" s="609"/>
      <c r="SZQ26" s="609"/>
      <c r="SZR26" s="609"/>
      <c r="SZS26" s="609"/>
      <c r="SZT26" s="609"/>
      <c r="SZU26" s="609"/>
      <c r="SZV26" s="609"/>
      <c r="SZW26" s="609"/>
      <c r="SZX26" s="609"/>
      <c r="SZY26" s="609"/>
      <c r="SZZ26" s="609"/>
      <c r="TAA26" s="609"/>
      <c r="TAB26" s="609"/>
      <c r="TAC26" s="609"/>
      <c r="TAD26" s="609"/>
      <c r="TAE26" s="609"/>
      <c r="TAF26" s="609"/>
      <c r="TAG26" s="609"/>
      <c r="TAH26" s="609"/>
      <c r="TAI26" s="609"/>
      <c r="TAJ26" s="609"/>
      <c r="TAK26" s="609"/>
      <c r="TAL26" s="609"/>
      <c r="TAM26" s="609"/>
      <c r="TAN26" s="609"/>
      <c r="TAO26" s="609"/>
      <c r="TAP26" s="609"/>
      <c r="TAQ26" s="609"/>
      <c r="TAR26" s="609"/>
      <c r="TAS26" s="609"/>
      <c r="TAT26" s="609"/>
      <c r="TAU26" s="609"/>
      <c r="TAV26" s="609"/>
      <c r="TAW26" s="609"/>
      <c r="TAX26" s="609"/>
      <c r="TAY26" s="609"/>
      <c r="TAZ26" s="609"/>
      <c r="TBA26" s="609"/>
      <c r="TBB26" s="609"/>
      <c r="TBC26" s="609"/>
      <c r="TBD26" s="609"/>
      <c r="TBE26" s="609"/>
      <c r="TBF26" s="609"/>
      <c r="TBG26" s="609"/>
      <c r="TBH26" s="609"/>
      <c r="TBI26" s="609"/>
      <c r="TBJ26" s="609"/>
      <c r="TBK26" s="609"/>
      <c r="TBL26" s="609"/>
      <c r="TBM26" s="609"/>
      <c r="TBN26" s="609"/>
      <c r="TBO26" s="609"/>
      <c r="TBP26" s="609"/>
      <c r="TBQ26" s="609"/>
      <c r="TBR26" s="609"/>
      <c r="TBS26" s="609"/>
      <c r="TBT26" s="609"/>
      <c r="TBU26" s="609"/>
      <c r="TBV26" s="609"/>
      <c r="TBW26" s="609"/>
      <c r="TBX26" s="609"/>
      <c r="TBY26" s="609"/>
      <c r="TBZ26" s="609"/>
      <c r="TCA26" s="609"/>
      <c r="TCB26" s="609"/>
      <c r="TCC26" s="609"/>
      <c r="TCD26" s="609"/>
      <c r="TCE26" s="609"/>
      <c r="TCF26" s="609"/>
      <c r="TCG26" s="609"/>
      <c r="TCH26" s="609"/>
      <c r="TCI26" s="609"/>
      <c r="TCJ26" s="609"/>
      <c r="TCK26" s="609"/>
      <c r="TCL26" s="609"/>
      <c r="TCM26" s="609"/>
      <c r="TCN26" s="609"/>
      <c r="TCO26" s="609"/>
      <c r="TCP26" s="609"/>
      <c r="TCQ26" s="609"/>
      <c r="TCR26" s="609"/>
      <c r="TCS26" s="609"/>
      <c r="TCT26" s="609"/>
      <c r="TCU26" s="609"/>
      <c r="TCV26" s="609"/>
      <c r="TCW26" s="609"/>
      <c r="TCX26" s="609"/>
      <c r="TCY26" s="609"/>
      <c r="TCZ26" s="609"/>
      <c r="TDA26" s="609"/>
      <c r="TDB26" s="609"/>
      <c r="TDC26" s="609"/>
      <c r="TDD26" s="609"/>
      <c r="TDE26" s="609"/>
      <c r="TDF26" s="609"/>
      <c r="TDG26" s="609"/>
      <c r="TDH26" s="609"/>
      <c r="TDI26" s="609"/>
      <c r="TDJ26" s="609"/>
      <c r="TDK26" s="609"/>
      <c r="TDL26" s="609"/>
      <c r="TDM26" s="609"/>
      <c r="TDN26" s="609"/>
      <c r="TDO26" s="609"/>
      <c r="TDP26" s="609"/>
      <c r="TDQ26" s="609"/>
      <c r="TDR26" s="609"/>
      <c r="TDS26" s="609"/>
      <c r="TDT26" s="609"/>
      <c r="TDU26" s="609"/>
      <c r="TDV26" s="609"/>
      <c r="TDW26" s="609"/>
      <c r="TDX26" s="609"/>
      <c r="TDY26" s="609"/>
      <c r="TDZ26" s="609"/>
      <c r="TEA26" s="609"/>
      <c r="TEB26" s="609"/>
      <c r="TEC26" s="609"/>
      <c r="TED26" s="609"/>
      <c r="TEE26" s="609"/>
      <c r="TEF26" s="609"/>
      <c r="TEG26" s="609"/>
      <c r="TEH26" s="609"/>
      <c r="TEI26" s="609"/>
      <c r="TEJ26" s="609"/>
      <c r="TEK26" s="609"/>
      <c r="TEL26" s="609"/>
      <c r="TEM26" s="609"/>
      <c r="TEN26" s="609"/>
      <c r="TEO26" s="609"/>
      <c r="TEP26" s="609"/>
      <c r="TEQ26" s="609"/>
      <c r="TER26" s="609"/>
      <c r="TES26" s="609"/>
      <c r="TET26" s="609"/>
      <c r="TEU26" s="609"/>
      <c r="TEV26" s="609"/>
      <c r="TEW26" s="609"/>
      <c r="TEX26" s="609"/>
      <c r="TEY26" s="609"/>
      <c r="TEZ26" s="609"/>
      <c r="TFA26" s="609"/>
      <c r="TFB26" s="609"/>
      <c r="TFC26" s="609"/>
      <c r="TFD26" s="609"/>
      <c r="TFE26" s="609"/>
      <c r="TFF26" s="609"/>
      <c r="TFG26" s="609"/>
      <c r="TFH26" s="609"/>
      <c r="TFI26" s="609"/>
      <c r="TFJ26" s="609"/>
      <c r="TFK26" s="609"/>
      <c r="TFL26" s="609"/>
      <c r="TFM26" s="609"/>
      <c r="TFN26" s="609"/>
      <c r="TFO26" s="609"/>
      <c r="TFP26" s="609"/>
      <c r="TFQ26" s="609"/>
      <c r="TFR26" s="609"/>
      <c r="TFS26" s="609"/>
      <c r="TFT26" s="609"/>
      <c r="TFU26" s="609"/>
      <c r="TFV26" s="609"/>
      <c r="TFW26" s="609"/>
      <c r="TFX26" s="609"/>
      <c r="TFY26" s="609"/>
      <c r="TFZ26" s="609"/>
      <c r="TGA26" s="609"/>
      <c r="TGB26" s="609"/>
      <c r="TGC26" s="609"/>
      <c r="TGD26" s="609"/>
      <c r="TGE26" s="609"/>
      <c r="TGF26" s="609"/>
      <c r="TGG26" s="609"/>
      <c r="TGH26" s="609"/>
      <c r="TGI26" s="609"/>
      <c r="TGJ26" s="609"/>
      <c r="TGK26" s="609"/>
      <c r="TGL26" s="609"/>
      <c r="TGM26" s="609"/>
      <c r="TGN26" s="609"/>
      <c r="TGO26" s="609"/>
      <c r="TGP26" s="609"/>
      <c r="TGQ26" s="609"/>
      <c r="TGR26" s="609"/>
      <c r="TGS26" s="609"/>
      <c r="TGT26" s="609"/>
      <c r="TGU26" s="609"/>
      <c r="TGV26" s="609"/>
      <c r="TGW26" s="609"/>
      <c r="TGX26" s="609"/>
      <c r="TGY26" s="609"/>
      <c r="TGZ26" s="609"/>
      <c r="THA26" s="609"/>
      <c r="THB26" s="609"/>
      <c r="THC26" s="609"/>
      <c r="THD26" s="609"/>
      <c r="THE26" s="609"/>
      <c r="THF26" s="609"/>
      <c r="THG26" s="609"/>
      <c r="THH26" s="609"/>
      <c r="THI26" s="609"/>
      <c r="THJ26" s="609"/>
      <c r="THK26" s="609"/>
      <c r="THL26" s="609"/>
      <c r="THM26" s="609"/>
      <c r="THN26" s="609"/>
      <c r="THO26" s="609"/>
      <c r="THP26" s="609"/>
      <c r="THQ26" s="609"/>
      <c r="THR26" s="609"/>
      <c r="THS26" s="609"/>
      <c r="THT26" s="609"/>
      <c r="THU26" s="609"/>
      <c r="THV26" s="609"/>
      <c r="THW26" s="609"/>
      <c r="THX26" s="609"/>
      <c r="THY26" s="609"/>
      <c r="THZ26" s="609"/>
      <c r="TIA26" s="609"/>
      <c r="TIB26" s="609"/>
      <c r="TIC26" s="609"/>
      <c r="TID26" s="609"/>
      <c r="TIE26" s="609"/>
      <c r="TIF26" s="609"/>
      <c r="TIG26" s="609"/>
      <c r="TIH26" s="609"/>
      <c r="TII26" s="609"/>
      <c r="TIJ26" s="609"/>
      <c r="TIK26" s="609"/>
      <c r="TIL26" s="609"/>
      <c r="TIM26" s="609"/>
      <c r="TIN26" s="609"/>
      <c r="TIO26" s="609"/>
      <c r="TIP26" s="609"/>
      <c r="TIQ26" s="609"/>
      <c r="TIR26" s="609"/>
      <c r="TIS26" s="609"/>
      <c r="TIT26" s="609"/>
      <c r="TIU26" s="609"/>
      <c r="TIV26" s="609"/>
      <c r="TIW26" s="609"/>
      <c r="TIX26" s="609"/>
      <c r="TIY26" s="609"/>
      <c r="TIZ26" s="609"/>
      <c r="TJA26" s="609"/>
      <c r="TJB26" s="609"/>
      <c r="TJC26" s="609"/>
      <c r="TJD26" s="609"/>
      <c r="TJE26" s="609"/>
      <c r="TJF26" s="609"/>
      <c r="TJG26" s="609"/>
      <c r="TJH26" s="609"/>
      <c r="TJI26" s="609"/>
      <c r="TJJ26" s="609"/>
      <c r="TJK26" s="609"/>
      <c r="TJL26" s="609"/>
      <c r="TJM26" s="609"/>
      <c r="TJN26" s="609"/>
      <c r="TJO26" s="609"/>
      <c r="TJP26" s="609"/>
      <c r="TJQ26" s="609"/>
      <c r="TJR26" s="609"/>
      <c r="TJS26" s="609"/>
      <c r="TJT26" s="609"/>
      <c r="TJU26" s="609"/>
      <c r="TJV26" s="609"/>
      <c r="TJW26" s="609"/>
      <c r="TJX26" s="609"/>
      <c r="TJY26" s="609"/>
      <c r="TJZ26" s="609"/>
      <c r="TKA26" s="609"/>
      <c r="TKB26" s="609"/>
      <c r="TKC26" s="609"/>
      <c r="TKD26" s="609"/>
      <c r="TKE26" s="609"/>
      <c r="TKF26" s="609"/>
      <c r="TKG26" s="609"/>
      <c r="TKH26" s="609"/>
      <c r="TKI26" s="609"/>
      <c r="TKJ26" s="609"/>
      <c r="TKK26" s="609"/>
      <c r="TKL26" s="609"/>
      <c r="TKM26" s="609"/>
      <c r="TKN26" s="609"/>
      <c r="TKO26" s="609"/>
      <c r="TKP26" s="609"/>
      <c r="TKQ26" s="609"/>
      <c r="TKR26" s="609"/>
      <c r="TKS26" s="609"/>
      <c r="TKT26" s="609"/>
      <c r="TKU26" s="609"/>
      <c r="TKV26" s="609"/>
      <c r="TKW26" s="609"/>
      <c r="TKX26" s="609"/>
      <c r="TKY26" s="609"/>
      <c r="TKZ26" s="609"/>
      <c r="TLA26" s="609"/>
      <c r="TLB26" s="609"/>
      <c r="TLC26" s="609"/>
      <c r="TLD26" s="609"/>
      <c r="TLE26" s="609"/>
      <c r="TLF26" s="609"/>
      <c r="TLG26" s="609"/>
      <c r="TLH26" s="609"/>
      <c r="TLI26" s="609"/>
      <c r="TLJ26" s="609"/>
      <c r="TLK26" s="609"/>
      <c r="TLL26" s="609"/>
      <c r="TLM26" s="609"/>
      <c r="TLN26" s="609"/>
      <c r="TLO26" s="609"/>
      <c r="TLP26" s="609"/>
      <c r="TLQ26" s="609"/>
      <c r="TLR26" s="609"/>
      <c r="TLS26" s="609"/>
      <c r="TLT26" s="609"/>
      <c r="TLU26" s="609"/>
      <c r="TLV26" s="609"/>
      <c r="TLW26" s="609"/>
      <c r="TLX26" s="609"/>
      <c r="TLY26" s="609"/>
      <c r="TLZ26" s="609"/>
      <c r="TMA26" s="609"/>
      <c r="TMB26" s="609"/>
      <c r="TMC26" s="609"/>
      <c r="TMD26" s="609"/>
      <c r="TME26" s="609"/>
      <c r="TMF26" s="609"/>
      <c r="TMG26" s="609"/>
      <c r="TMH26" s="609"/>
      <c r="TMI26" s="609"/>
      <c r="TMJ26" s="609"/>
      <c r="TMK26" s="609"/>
      <c r="TML26" s="609"/>
      <c r="TMM26" s="609"/>
      <c r="TMN26" s="609"/>
      <c r="TMO26" s="609"/>
      <c r="TMP26" s="609"/>
      <c r="TMQ26" s="609"/>
      <c r="TMR26" s="609"/>
      <c r="TMS26" s="609"/>
      <c r="TMT26" s="609"/>
      <c r="TMU26" s="609"/>
      <c r="TMV26" s="609"/>
      <c r="TMW26" s="609"/>
      <c r="TMX26" s="609"/>
      <c r="TMY26" s="609"/>
      <c r="TMZ26" s="609"/>
      <c r="TNA26" s="609"/>
      <c r="TNB26" s="609"/>
      <c r="TNC26" s="609"/>
      <c r="TND26" s="609"/>
      <c r="TNE26" s="609"/>
      <c r="TNF26" s="609"/>
      <c r="TNG26" s="609"/>
      <c r="TNH26" s="609"/>
      <c r="TNI26" s="609"/>
      <c r="TNJ26" s="609"/>
      <c r="TNK26" s="609"/>
      <c r="TNL26" s="609"/>
      <c r="TNM26" s="609"/>
      <c r="TNN26" s="609"/>
      <c r="TNO26" s="609"/>
      <c r="TNP26" s="609"/>
      <c r="TNQ26" s="609"/>
      <c r="TNR26" s="609"/>
      <c r="TNS26" s="609"/>
      <c r="TNT26" s="609"/>
      <c r="TNU26" s="609"/>
      <c r="TNV26" s="609"/>
      <c r="TNW26" s="609"/>
      <c r="TNX26" s="609"/>
      <c r="TNY26" s="609"/>
      <c r="TNZ26" s="609"/>
      <c r="TOA26" s="609"/>
      <c r="TOB26" s="609"/>
      <c r="TOC26" s="609"/>
      <c r="TOD26" s="609"/>
      <c r="TOE26" s="609"/>
      <c r="TOF26" s="609"/>
      <c r="TOG26" s="609"/>
      <c r="TOH26" s="609"/>
      <c r="TOI26" s="609"/>
      <c r="TOJ26" s="609"/>
      <c r="TOK26" s="609"/>
      <c r="TOL26" s="609"/>
      <c r="TOM26" s="609"/>
      <c r="TON26" s="609"/>
      <c r="TOO26" s="609"/>
      <c r="TOP26" s="609"/>
      <c r="TOQ26" s="609"/>
      <c r="TOR26" s="609"/>
      <c r="TOS26" s="609"/>
      <c r="TOT26" s="609"/>
      <c r="TOU26" s="609"/>
      <c r="TOV26" s="609"/>
      <c r="TOW26" s="609"/>
      <c r="TOX26" s="609"/>
      <c r="TOY26" s="609"/>
      <c r="TOZ26" s="609"/>
      <c r="TPA26" s="609"/>
      <c r="TPB26" s="609"/>
      <c r="TPC26" s="609"/>
      <c r="TPD26" s="609"/>
      <c r="TPE26" s="609"/>
      <c r="TPF26" s="609"/>
      <c r="TPG26" s="609"/>
      <c r="TPH26" s="609"/>
      <c r="TPI26" s="609"/>
      <c r="TPJ26" s="609"/>
      <c r="TPK26" s="609"/>
      <c r="TPL26" s="609"/>
      <c r="TPM26" s="609"/>
      <c r="TPN26" s="609"/>
      <c r="TPO26" s="609"/>
      <c r="TPP26" s="609"/>
      <c r="TPQ26" s="609"/>
      <c r="TPR26" s="609"/>
      <c r="TPS26" s="609"/>
      <c r="TPT26" s="609"/>
      <c r="TPU26" s="609"/>
      <c r="TPV26" s="609"/>
      <c r="TPW26" s="609"/>
      <c r="TPX26" s="609"/>
      <c r="TPY26" s="609"/>
      <c r="TPZ26" s="609"/>
      <c r="TQA26" s="609"/>
      <c r="TQB26" s="609"/>
      <c r="TQC26" s="609"/>
      <c r="TQD26" s="609"/>
      <c r="TQE26" s="609"/>
      <c r="TQF26" s="609"/>
      <c r="TQG26" s="609"/>
      <c r="TQH26" s="609"/>
      <c r="TQI26" s="609"/>
      <c r="TQJ26" s="609"/>
      <c r="TQK26" s="609"/>
      <c r="TQL26" s="609"/>
      <c r="TQM26" s="609"/>
      <c r="TQN26" s="609"/>
      <c r="TQO26" s="609"/>
      <c r="TQP26" s="609"/>
      <c r="TQQ26" s="609"/>
      <c r="TQR26" s="609"/>
      <c r="TQS26" s="609"/>
      <c r="TQT26" s="609"/>
      <c r="TQU26" s="609"/>
      <c r="TQV26" s="609"/>
      <c r="TQW26" s="609"/>
      <c r="TQX26" s="609"/>
      <c r="TQY26" s="609"/>
      <c r="TQZ26" s="609"/>
      <c r="TRA26" s="609"/>
      <c r="TRB26" s="609"/>
      <c r="TRC26" s="609"/>
      <c r="TRD26" s="609"/>
      <c r="TRE26" s="609"/>
      <c r="TRF26" s="609"/>
      <c r="TRG26" s="609"/>
      <c r="TRH26" s="609"/>
      <c r="TRI26" s="609"/>
      <c r="TRJ26" s="609"/>
      <c r="TRK26" s="609"/>
      <c r="TRL26" s="609"/>
      <c r="TRM26" s="609"/>
      <c r="TRN26" s="609"/>
      <c r="TRO26" s="609"/>
      <c r="TRP26" s="609"/>
      <c r="TRQ26" s="609"/>
      <c r="TRR26" s="609"/>
      <c r="TRS26" s="609"/>
      <c r="TRT26" s="609"/>
      <c r="TRU26" s="609"/>
      <c r="TRV26" s="609"/>
      <c r="TRW26" s="609"/>
      <c r="TRX26" s="609"/>
      <c r="TRY26" s="609"/>
      <c r="TRZ26" s="609"/>
      <c r="TSA26" s="609"/>
      <c r="TSB26" s="609"/>
      <c r="TSC26" s="609"/>
      <c r="TSD26" s="609"/>
      <c r="TSE26" s="609"/>
      <c r="TSF26" s="609"/>
      <c r="TSG26" s="609"/>
      <c r="TSH26" s="609"/>
      <c r="TSI26" s="609"/>
      <c r="TSJ26" s="609"/>
      <c r="TSK26" s="609"/>
      <c r="TSL26" s="609"/>
      <c r="TSM26" s="609"/>
      <c r="TSN26" s="609"/>
      <c r="TSO26" s="609"/>
      <c r="TSP26" s="609"/>
      <c r="TSQ26" s="609"/>
      <c r="TSR26" s="609"/>
      <c r="TSS26" s="609"/>
      <c r="TST26" s="609"/>
      <c r="TSU26" s="609"/>
      <c r="TSV26" s="609"/>
      <c r="TSW26" s="609"/>
      <c r="TSX26" s="609"/>
      <c r="TSY26" s="609"/>
      <c r="TSZ26" s="609"/>
      <c r="TTA26" s="609"/>
      <c r="TTB26" s="609"/>
      <c r="TTC26" s="609"/>
      <c r="TTD26" s="609"/>
      <c r="TTE26" s="609"/>
      <c r="TTF26" s="609"/>
      <c r="TTG26" s="609"/>
      <c r="TTH26" s="609"/>
      <c r="TTI26" s="609"/>
      <c r="TTJ26" s="609"/>
      <c r="TTK26" s="609"/>
      <c r="TTL26" s="609"/>
      <c r="TTM26" s="609"/>
      <c r="TTN26" s="609"/>
      <c r="TTO26" s="609"/>
      <c r="TTP26" s="609"/>
      <c r="TTQ26" s="609"/>
      <c r="TTR26" s="609"/>
      <c r="TTS26" s="609"/>
      <c r="TTT26" s="609"/>
      <c r="TTU26" s="609"/>
      <c r="TTV26" s="609"/>
      <c r="TTW26" s="609"/>
      <c r="TTX26" s="609"/>
      <c r="TTY26" s="609"/>
      <c r="TTZ26" s="609"/>
      <c r="TUA26" s="609"/>
      <c r="TUB26" s="609"/>
      <c r="TUC26" s="609"/>
      <c r="TUD26" s="609"/>
      <c r="TUE26" s="609"/>
      <c r="TUF26" s="609"/>
      <c r="TUG26" s="609"/>
      <c r="TUH26" s="609"/>
      <c r="TUI26" s="609"/>
      <c r="TUJ26" s="609"/>
      <c r="TUK26" s="609"/>
      <c r="TUL26" s="609"/>
      <c r="TUM26" s="609"/>
      <c r="TUN26" s="609"/>
      <c r="TUO26" s="609"/>
      <c r="TUP26" s="609"/>
      <c r="TUQ26" s="609"/>
      <c r="TUR26" s="609"/>
      <c r="TUS26" s="609"/>
      <c r="TUT26" s="609"/>
      <c r="TUU26" s="609"/>
      <c r="TUV26" s="609"/>
      <c r="TUW26" s="609"/>
      <c r="TUX26" s="609"/>
      <c r="TUY26" s="609"/>
      <c r="TUZ26" s="609"/>
      <c r="TVA26" s="609"/>
      <c r="TVB26" s="609"/>
      <c r="TVC26" s="609"/>
      <c r="TVD26" s="609"/>
      <c r="TVE26" s="609"/>
      <c r="TVF26" s="609"/>
      <c r="TVG26" s="609"/>
      <c r="TVH26" s="609"/>
      <c r="TVI26" s="609"/>
      <c r="TVJ26" s="609"/>
      <c r="TVK26" s="609"/>
      <c r="TVL26" s="609"/>
      <c r="TVM26" s="609"/>
      <c r="TVN26" s="609"/>
      <c r="TVO26" s="609"/>
      <c r="TVP26" s="609"/>
      <c r="TVQ26" s="609"/>
      <c r="TVR26" s="609"/>
      <c r="TVS26" s="609"/>
      <c r="TVT26" s="609"/>
      <c r="TVU26" s="609"/>
      <c r="TVV26" s="609"/>
      <c r="TVW26" s="609"/>
      <c r="TVX26" s="609"/>
      <c r="TVY26" s="609"/>
      <c r="TVZ26" s="609"/>
      <c r="TWA26" s="609"/>
      <c r="TWB26" s="609"/>
      <c r="TWC26" s="609"/>
      <c r="TWD26" s="609"/>
      <c r="TWE26" s="609"/>
      <c r="TWF26" s="609"/>
      <c r="TWG26" s="609"/>
      <c r="TWH26" s="609"/>
      <c r="TWI26" s="609"/>
      <c r="TWJ26" s="609"/>
      <c r="TWK26" s="609"/>
      <c r="TWL26" s="609"/>
      <c r="TWM26" s="609"/>
      <c r="TWN26" s="609"/>
      <c r="TWO26" s="609"/>
      <c r="TWP26" s="609"/>
      <c r="TWQ26" s="609"/>
      <c r="TWR26" s="609"/>
      <c r="TWS26" s="609"/>
      <c r="TWT26" s="609"/>
      <c r="TWU26" s="609"/>
      <c r="TWV26" s="609"/>
      <c r="TWW26" s="609"/>
      <c r="TWX26" s="609"/>
      <c r="TWY26" s="609"/>
      <c r="TWZ26" s="609"/>
      <c r="TXA26" s="609"/>
      <c r="TXB26" s="609"/>
      <c r="TXC26" s="609"/>
      <c r="TXD26" s="609"/>
      <c r="TXE26" s="609"/>
      <c r="TXF26" s="609"/>
      <c r="TXG26" s="609"/>
      <c r="TXH26" s="609"/>
      <c r="TXI26" s="609"/>
      <c r="TXJ26" s="609"/>
      <c r="TXK26" s="609"/>
      <c r="TXL26" s="609"/>
      <c r="TXM26" s="609"/>
      <c r="TXN26" s="609"/>
      <c r="TXO26" s="609"/>
      <c r="TXP26" s="609"/>
      <c r="TXQ26" s="609"/>
      <c r="TXR26" s="609"/>
      <c r="TXS26" s="609"/>
      <c r="TXT26" s="609"/>
      <c r="TXU26" s="609"/>
      <c r="TXV26" s="609"/>
      <c r="TXW26" s="609"/>
      <c r="TXX26" s="609"/>
      <c r="TXY26" s="609"/>
      <c r="TXZ26" s="609"/>
      <c r="TYA26" s="609"/>
      <c r="TYB26" s="609"/>
      <c r="TYC26" s="609"/>
      <c r="TYD26" s="609"/>
      <c r="TYE26" s="609"/>
      <c r="TYF26" s="609"/>
      <c r="TYG26" s="609"/>
      <c r="TYH26" s="609"/>
      <c r="TYI26" s="609"/>
      <c r="TYJ26" s="609"/>
      <c r="TYK26" s="609"/>
      <c r="TYL26" s="609"/>
      <c r="TYM26" s="609"/>
      <c r="TYN26" s="609"/>
      <c r="TYO26" s="609"/>
      <c r="TYP26" s="609"/>
      <c r="TYQ26" s="609"/>
      <c r="TYR26" s="609"/>
      <c r="TYS26" s="609"/>
      <c r="TYT26" s="609"/>
      <c r="TYU26" s="609"/>
      <c r="TYV26" s="609"/>
      <c r="TYW26" s="609"/>
      <c r="TYX26" s="609"/>
      <c r="TYY26" s="609"/>
      <c r="TYZ26" s="609"/>
      <c r="TZA26" s="609"/>
      <c r="TZB26" s="609"/>
      <c r="TZC26" s="609"/>
      <c r="TZD26" s="609"/>
      <c r="TZE26" s="609"/>
      <c r="TZF26" s="609"/>
      <c r="TZG26" s="609"/>
      <c r="TZH26" s="609"/>
      <c r="TZI26" s="609"/>
      <c r="TZJ26" s="609"/>
      <c r="TZK26" s="609"/>
      <c r="TZL26" s="609"/>
      <c r="TZM26" s="609"/>
      <c r="TZN26" s="609"/>
      <c r="TZO26" s="609"/>
      <c r="TZP26" s="609"/>
      <c r="TZQ26" s="609"/>
      <c r="TZR26" s="609"/>
      <c r="TZS26" s="609"/>
      <c r="TZT26" s="609"/>
      <c r="TZU26" s="609"/>
      <c r="TZV26" s="609"/>
      <c r="TZW26" s="609"/>
      <c r="TZX26" s="609"/>
      <c r="TZY26" s="609"/>
      <c r="TZZ26" s="609"/>
      <c r="UAA26" s="609"/>
      <c r="UAB26" s="609"/>
      <c r="UAC26" s="609"/>
      <c r="UAD26" s="609"/>
      <c r="UAE26" s="609"/>
      <c r="UAF26" s="609"/>
      <c r="UAG26" s="609"/>
      <c r="UAH26" s="609"/>
      <c r="UAI26" s="609"/>
      <c r="UAJ26" s="609"/>
      <c r="UAK26" s="609"/>
      <c r="UAL26" s="609"/>
      <c r="UAM26" s="609"/>
      <c r="UAN26" s="609"/>
      <c r="UAO26" s="609"/>
      <c r="UAP26" s="609"/>
      <c r="UAQ26" s="609"/>
      <c r="UAR26" s="609"/>
      <c r="UAS26" s="609"/>
      <c r="UAT26" s="609"/>
      <c r="UAU26" s="609"/>
      <c r="UAV26" s="609"/>
      <c r="UAW26" s="609"/>
      <c r="UAX26" s="609"/>
      <c r="UAY26" s="609"/>
      <c r="UAZ26" s="609"/>
      <c r="UBA26" s="609"/>
      <c r="UBB26" s="609"/>
      <c r="UBC26" s="609"/>
      <c r="UBD26" s="609"/>
      <c r="UBE26" s="609"/>
      <c r="UBF26" s="609"/>
      <c r="UBG26" s="609"/>
      <c r="UBH26" s="609"/>
      <c r="UBI26" s="609"/>
      <c r="UBJ26" s="609"/>
      <c r="UBK26" s="609"/>
      <c r="UBL26" s="609"/>
      <c r="UBM26" s="609"/>
      <c r="UBN26" s="609"/>
      <c r="UBO26" s="609"/>
      <c r="UBP26" s="609"/>
      <c r="UBQ26" s="609"/>
      <c r="UBR26" s="609"/>
      <c r="UBS26" s="609"/>
      <c r="UBT26" s="609"/>
      <c r="UBU26" s="609"/>
      <c r="UBV26" s="609"/>
      <c r="UBW26" s="609"/>
      <c r="UBX26" s="609"/>
      <c r="UBY26" s="609"/>
      <c r="UBZ26" s="609"/>
      <c r="UCA26" s="609"/>
      <c r="UCB26" s="609"/>
      <c r="UCC26" s="609"/>
      <c r="UCD26" s="609"/>
      <c r="UCE26" s="609"/>
      <c r="UCF26" s="609"/>
      <c r="UCG26" s="609"/>
      <c r="UCH26" s="609"/>
      <c r="UCI26" s="609"/>
      <c r="UCJ26" s="609"/>
      <c r="UCK26" s="609"/>
      <c r="UCL26" s="609"/>
      <c r="UCM26" s="609"/>
      <c r="UCN26" s="609"/>
      <c r="UCO26" s="609"/>
      <c r="UCP26" s="609"/>
      <c r="UCQ26" s="609"/>
      <c r="UCR26" s="609"/>
      <c r="UCS26" s="609"/>
      <c r="UCT26" s="609"/>
      <c r="UCU26" s="609"/>
      <c r="UCV26" s="609"/>
      <c r="UCW26" s="609"/>
      <c r="UCX26" s="609"/>
      <c r="UCY26" s="609"/>
      <c r="UCZ26" s="609"/>
      <c r="UDA26" s="609"/>
      <c r="UDB26" s="609"/>
      <c r="UDC26" s="609"/>
      <c r="UDD26" s="609"/>
      <c r="UDE26" s="609"/>
      <c r="UDF26" s="609"/>
      <c r="UDG26" s="609"/>
      <c r="UDH26" s="609"/>
      <c r="UDI26" s="609"/>
      <c r="UDJ26" s="609"/>
      <c r="UDK26" s="609"/>
      <c r="UDL26" s="609"/>
      <c r="UDM26" s="609"/>
      <c r="UDN26" s="609"/>
      <c r="UDO26" s="609"/>
      <c r="UDP26" s="609"/>
      <c r="UDQ26" s="609"/>
      <c r="UDR26" s="609"/>
      <c r="UDS26" s="609"/>
      <c r="UDT26" s="609"/>
      <c r="UDU26" s="609"/>
      <c r="UDV26" s="609"/>
      <c r="UDW26" s="609"/>
      <c r="UDX26" s="609"/>
      <c r="UDY26" s="609"/>
      <c r="UDZ26" s="609"/>
      <c r="UEA26" s="609"/>
      <c r="UEB26" s="609"/>
      <c r="UEC26" s="609"/>
      <c r="UED26" s="609"/>
      <c r="UEE26" s="609"/>
      <c r="UEF26" s="609"/>
      <c r="UEG26" s="609"/>
      <c r="UEH26" s="609"/>
      <c r="UEI26" s="609"/>
      <c r="UEJ26" s="609"/>
      <c r="UEK26" s="609"/>
      <c r="UEL26" s="609"/>
      <c r="UEM26" s="609"/>
      <c r="UEN26" s="609"/>
      <c r="UEO26" s="609"/>
      <c r="UEP26" s="609"/>
      <c r="UEQ26" s="609"/>
      <c r="UER26" s="609"/>
      <c r="UES26" s="609"/>
      <c r="UET26" s="609"/>
      <c r="UEU26" s="609"/>
      <c r="UEV26" s="609"/>
      <c r="UEW26" s="609"/>
      <c r="UEX26" s="609"/>
      <c r="UEY26" s="609"/>
      <c r="UEZ26" s="609"/>
      <c r="UFA26" s="609"/>
      <c r="UFB26" s="609"/>
      <c r="UFC26" s="609"/>
      <c r="UFD26" s="609"/>
      <c r="UFE26" s="609"/>
      <c r="UFF26" s="609"/>
      <c r="UFG26" s="609"/>
      <c r="UFH26" s="609"/>
      <c r="UFI26" s="609"/>
      <c r="UFJ26" s="609"/>
      <c r="UFK26" s="609"/>
      <c r="UFL26" s="609"/>
      <c r="UFM26" s="609"/>
      <c r="UFN26" s="609"/>
      <c r="UFO26" s="609"/>
      <c r="UFP26" s="609"/>
      <c r="UFQ26" s="609"/>
      <c r="UFR26" s="609"/>
      <c r="UFS26" s="609"/>
      <c r="UFT26" s="609"/>
      <c r="UFU26" s="609"/>
      <c r="UFV26" s="609"/>
      <c r="UFW26" s="609"/>
      <c r="UFX26" s="609"/>
      <c r="UFY26" s="609"/>
      <c r="UFZ26" s="609"/>
      <c r="UGA26" s="609"/>
      <c r="UGB26" s="609"/>
      <c r="UGC26" s="609"/>
      <c r="UGD26" s="609"/>
      <c r="UGE26" s="609"/>
      <c r="UGF26" s="609"/>
      <c r="UGG26" s="609"/>
      <c r="UGH26" s="609"/>
      <c r="UGI26" s="609"/>
      <c r="UGJ26" s="609"/>
      <c r="UGK26" s="609"/>
      <c r="UGL26" s="609"/>
      <c r="UGM26" s="609"/>
      <c r="UGN26" s="609"/>
      <c r="UGO26" s="609"/>
      <c r="UGP26" s="609"/>
      <c r="UGQ26" s="609"/>
      <c r="UGR26" s="609"/>
      <c r="UGS26" s="609"/>
      <c r="UGT26" s="609"/>
      <c r="UGU26" s="609"/>
      <c r="UGV26" s="609"/>
      <c r="UGW26" s="609"/>
      <c r="UGX26" s="609"/>
      <c r="UGY26" s="609"/>
      <c r="UGZ26" s="609"/>
      <c r="UHA26" s="609"/>
      <c r="UHB26" s="609"/>
      <c r="UHC26" s="609"/>
      <c r="UHD26" s="609"/>
      <c r="UHE26" s="609"/>
      <c r="UHF26" s="609"/>
      <c r="UHG26" s="609"/>
      <c r="UHH26" s="609"/>
      <c r="UHI26" s="609"/>
      <c r="UHJ26" s="609"/>
      <c r="UHK26" s="609"/>
      <c r="UHL26" s="609"/>
      <c r="UHM26" s="609"/>
      <c r="UHN26" s="609"/>
      <c r="UHO26" s="609"/>
      <c r="UHP26" s="609"/>
      <c r="UHQ26" s="609"/>
      <c r="UHR26" s="609"/>
      <c r="UHS26" s="609"/>
      <c r="UHT26" s="609"/>
      <c r="UHU26" s="609"/>
      <c r="UHV26" s="609"/>
      <c r="UHW26" s="609"/>
      <c r="UHX26" s="609"/>
      <c r="UHY26" s="609"/>
      <c r="UHZ26" s="609"/>
      <c r="UIA26" s="609"/>
      <c r="UIB26" s="609"/>
      <c r="UIC26" s="609"/>
      <c r="UID26" s="609"/>
      <c r="UIE26" s="609"/>
      <c r="UIF26" s="609"/>
      <c r="UIG26" s="609"/>
      <c r="UIH26" s="609"/>
      <c r="UII26" s="609"/>
      <c r="UIJ26" s="609"/>
      <c r="UIK26" s="609"/>
      <c r="UIL26" s="609"/>
      <c r="UIM26" s="609"/>
      <c r="UIN26" s="609"/>
      <c r="UIO26" s="609"/>
      <c r="UIP26" s="609"/>
      <c r="UIQ26" s="609"/>
      <c r="UIR26" s="609"/>
      <c r="UIS26" s="609"/>
      <c r="UIT26" s="609"/>
      <c r="UIU26" s="609"/>
      <c r="UIV26" s="609"/>
      <c r="UIW26" s="609"/>
      <c r="UIX26" s="609"/>
      <c r="UIY26" s="609"/>
      <c r="UIZ26" s="609"/>
      <c r="UJA26" s="609"/>
      <c r="UJB26" s="609"/>
      <c r="UJC26" s="609"/>
      <c r="UJD26" s="609"/>
      <c r="UJE26" s="609"/>
      <c r="UJF26" s="609"/>
      <c r="UJG26" s="609"/>
      <c r="UJH26" s="609"/>
      <c r="UJI26" s="609"/>
      <c r="UJJ26" s="609"/>
      <c r="UJK26" s="609"/>
      <c r="UJL26" s="609"/>
      <c r="UJM26" s="609"/>
      <c r="UJN26" s="609"/>
      <c r="UJO26" s="609"/>
      <c r="UJP26" s="609"/>
      <c r="UJQ26" s="609"/>
      <c r="UJR26" s="609"/>
      <c r="UJS26" s="609"/>
      <c r="UJT26" s="609"/>
      <c r="UJU26" s="609"/>
      <c r="UJV26" s="609"/>
      <c r="UJW26" s="609"/>
      <c r="UJX26" s="609"/>
      <c r="UJY26" s="609"/>
      <c r="UJZ26" s="609"/>
      <c r="UKA26" s="609"/>
      <c r="UKB26" s="609"/>
      <c r="UKC26" s="609"/>
      <c r="UKD26" s="609"/>
      <c r="UKE26" s="609"/>
      <c r="UKF26" s="609"/>
      <c r="UKG26" s="609"/>
      <c r="UKH26" s="609"/>
      <c r="UKI26" s="609"/>
      <c r="UKJ26" s="609"/>
      <c r="UKK26" s="609"/>
      <c r="UKL26" s="609"/>
      <c r="UKM26" s="609"/>
      <c r="UKN26" s="609"/>
      <c r="UKO26" s="609"/>
      <c r="UKP26" s="609"/>
      <c r="UKQ26" s="609"/>
      <c r="UKR26" s="609"/>
      <c r="UKS26" s="609"/>
      <c r="UKT26" s="609"/>
      <c r="UKU26" s="609"/>
      <c r="UKV26" s="609"/>
      <c r="UKW26" s="609"/>
      <c r="UKX26" s="609"/>
      <c r="UKY26" s="609"/>
      <c r="UKZ26" s="609"/>
      <c r="ULA26" s="609"/>
      <c r="ULB26" s="609"/>
      <c r="ULC26" s="609"/>
      <c r="ULD26" s="609"/>
      <c r="ULE26" s="609"/>
      <c r="ULF26" s="609"/>
      <c r="ULG26" s="609"/>
      <c r="ULH26" s="609"/>
      <c r="ULI26" s="609"/>
      <c r="ULJ26" s="609"/>
      <c r="ULK26" s="609"/>
      <c r="ULL26" s="609"/>
      <c r="ULM26" s="609"/>
      <c r="ULN26" s="609"/>
      <c r="ULO26" s="609"/>
      <c r="ULP26" s="609"/>
      <c r="ULQ26" s="609"/>
      <c r="ULR26" s="609"/>
      <c r="ULS26" s="609"/>
      <c r="ULT26" s="609"/>
      <c r="ULU26" s="609"/>
      <c r="ULV26" s="609"/>
      <c r="ULW26" s="609"/>
      <c r="ULX26" s="609"/>
      <c r="ULY26" s="609"/>
      <c r="ULZ26" s="609"/>
      <c r="UMA26" s="609"/>
      <c r="UMB26" s="609"/>
      <c r="UMC26" s="609"/>
      <c r="UMD26" s="609"/>
      <c r="UME26" s="609"/>
      <c r="UMF26" s="609"/>
      <c r="UMG26" s="609"/>
      <c r="UMH26" s="609"/>
      <c r="UMI26" s="609"/>
      <c r="UMJ26" s="609"/>
      <c r="UMK26" s="609"/>
      <c r="UML26" s="609"/>
      <c r="UMM26" s="609"/>
      <c r="UMN26" s="609"/>
      <c r="UMO26" s="609"/>
      <c r="UMP26" s="609"/>
      <c r="UMQ26" s="609"/>
      <c r="UMR26" s="609"/>
      <c r="UMS26" s="609"/>
      <c r="UMT26" s="609"/>
      <c r="UMU26" s="609"/>
      <c r="UMV26" s="609"/>
      <c r="UMW26" s="609"/>
      <c r="UMX26" s="609"/>
      <c r="UMY26" s="609"/>
      <c r="UMZ26" s="609"/>
      <c r="UNA26" s="609"/>
      <c r="UNB26" s="609"/>
      <c r="UNC26" s="609"/>
      <c r="UND26" s="609"/>
      <c r="UNE26" s="609"/>
      <c r="UNF26" s="609"/>
      <c r="UNG26" s="609"/>
      <c r="UNH26" s="609"/>
      <c r="UNI26" s="609"/>
      <c r="UNJ26" s="609"/>
      <c r="UNK26" s="609"/>
      <c r="UNL26" s="609"/>
      <c r="UNM26" s="609"/>
      <c r="UNN26" s="609"/>
      <c r="UNO26" s="609"/>
      <c r="UNP26" s="609"/>
      <c r="UNQ26" s="609"/>
      <c r="UNR26" s="609"/>
      <c r="UNS26" s="609"/>
      <c r="UNT26" s="609"/>
      <c r="UNU26" s="609"/>
      <c r="UNV26" s="609"/>
      <c r="UNW26" s="609"/>
      <c r="UNX26" s="609"/>
      <c r="UNY26" s="609"/>
      <c r="UNZ26" s="609"/>
      <c r="UOA26" s="609"/>
      <c r="UOB26" s="609"/>
      <c r="UOC26" s="609"/>
      <c r="UOD26" s="609"/>
      <c r="UOE26" s="609"/>
      <c r="UOF26" s="609"/>
      <c r="UOG26" s="609"/>
      <c r="UOH26" s="609"/>
      <c r="UOI26" s="609"/>
      <c r="UOJ26" s="609"/>
      <c r="UOK26" s="609"/>
      <c r="UOL26" s="609"/>
      <c r="UOM26" s="609"/>
      <c r="UON26" s="609"/>
      <c r="UOO26" s="609"/>
      <c r="UOP26" s="609"/>
      <c r="UOQ26" s="609"/>
      <c r="UOR26" s="609"/>
      <c r="UOS26" s="609"/>
      <c r="UOT26" s="609"/>
      <c r="UOU26" s="609"/>
      <c r="UOV26" s="609"/>
      <c r="UOW26" s="609"/>
      <c r="UOX26" s="609"/>
      <c r="UOY26" s="609"/>
      <c r="UOZ26" s="609"/>
      <c r="UPA26" s="609"/>
      <c r="UPB26" s="609"/>
      <c r="UPC26" s="609"/>
      <c r="UPD26" s="609"/>
      <c r="UPE26" s="609"/>
      <c r="UPF26" s="609"/>
      <c r="UPG26" s="609"/>
      <c r="UPH26" s="609"/>
      <c r="UPI26" s="609"/>
      <c r="UPJ26" s="609"/>
      <c r="UPK26" s="609"/>
      <c r="UPL26" s="609"/>
      <c r="UPM26" s="609"/>
      <c r="UPN26" s="609"/>
      <c r="UPO26" s="609"/>
      <c r="UPP26" s="609"/>
      <c r="UPQ26" s="609"/>
      <c r="UPR26" s="609"/>
      <c r="UPS26" s="609"/>
      <c r="UPT26" s="609"/>
      <c r="UPU26" s="609"/>
      <c r="UPV26" s="609"/>
      <c r="UPW26" s="609"/>
      <c r="UPX26" s="609"/>
      <c r="UPY26" s="609"/>
      <c r="UPZ26" s="609"/>
      <c r="UQA26" s="609"/>
      <c r="UQB26" s="609"/>
      <c r="UQC26" s="609"/>
      <c r="UQD26" s="609"/>
      <c r="UQE26" s="609"/>
      <c r="UQF26" s="609"/>
      <c r="UQG26" s="609"/>
      <c r="UQH26" s="609"/>
      <c r="UQI26" s="609"/>
      <c r="UQJ26" s="609"/>
      <c r="UQK26" s="609"/>
      <c r="UQL26" s="609"/>
      <c r="UQM26" s="609"/>
      <c r="UQN26" s="609"/>
      <c r="UQO26" s="609"/>
      <c r="UQP26" s="609"/>
      <c r="UQQ26" s="609"/>
      <c r="UQR26" s="609"/>
      <c r="UQS26" s="609"/>
      <c r="UQT26" s="609"/>
      <c r="UQU26" s="609"/>
      <c r="UQV26" s="609"/>
      <c r="UQW26" s="609"/>
      <c r="UQX26" s="609"/>
      <c r="UQY26" s="609"/>
      <c r="UQZ26" s="609"/>
      <c r="URA26" s="609"/>
      <c r="URB26" s="609"/>
      <c r="URC26" s="609"/>
      <c r="URD26" s="609"/>
      <c r="URE26" s="609"/>
      <c r="URF26" s="609"/>
      <c r="URG26" s="609"/>
      <c r="URH26" s="609"/>
      <c r="URI26" s="609"/>
      <c r="URJ26" s="609"/>
      <c r="URK26" s="609"/>
      <c r="URL26" s="609"/>
      <c r="URM26" s="609"/>
      <c r="URN26" s="609"/>
      <c r="URO26" s="609"/>
      <c r="URP26" s="609"/>
      <c r="URQ26" s="609"/>
      <c r="URR26" s="609"/>
      <c r="URS26" s="609"/>
      <c r="URT26" s="609"/>
      <c r="URU26" s="609"/>
      <c r="URV26" s="609"/>
      <c r="URW26" s="609"/>
      <c r="URX26" s="609"/>
      <c r="URY26" s="609"/>
      <c r="URZ26" s="609"/>
      <c r="USA26" s="609"/>
      <c r="USB26" s="609"/>
      <c r="USC26" s="609"/>
      <c r="USD26" s="609"/>
      <c r="USE26" s="609"/>
      <c r="USF26" s="609"/>
      <c r="USG26" s="609"/>
      <c r="USH26" s="609"/>
      <c r="USI26" s="609"/>
      <c r="USJ26" s="609"/>
      <c r="USK26" s="609"/>
      <c r="USL26" s="609"/>
      <c r="USM26" s="609"/>
      <c r="USN26" s="609"/>
      <c r="USO26" s="609"/>
      <c r="USP26" s="609"/>
      <c r="USQ26" s="609"/>
      <c r="USR26" s="609"/>
      <c r="USS26" s="609"/>
      <c r="UST26" s="609"/>
      <c r="USU26" s="609"/>
      <c r="USV26" s="609"/>
      <c r="USW26" s="609"/>
      <c r="USX26" s="609"/>
      <c r="USY26" s="609"/>
      <c r="USZ26" s="609"/>
      <c r="UTA26" s="609"/>
      <c r="UTB26" s="609"/>
      <c r="UTC26" s="609"/>
      <c r="UTD26" s="609"/>
      <c r="UTE26" s="609"/>
      <c r="UTF26" s="609"/>
      <c r="UTG26" s="609"/>
      <c r="UTH26" s="609"/>
      <c r="UTI26" s="609"/>
      <c r="UTJ26" s="609"/>
      <c r="UTK26" s="609"/>
      <c r="UTL26" s="609"/>
      <c r="UTM26" s="609"/>
      <c r="UTN26" s="609"/>
      <c r="UTO26" s="609"/>
      <c r="UTP26" s="609"/>
      <c r="UTQ26" s="609"/>
      <c r="UTR26" s="609"/>
      <c r="UTS26" s="609"/>
      <c r="UTT26" s="609"/>
      <c r="UTU26" s="609"/>
      <c r="UTV26" s="609"/>
      <c r="UTW26" s="609"/>
      <c r="UTX26" s="609"/>
      <c r="UTY26" s="609"/>
      <c r="UTZ26" s="609"/>
      <c r="UUA26" s="609"/>
      <c r="UUB26" s="609"/>
      <c r="UUC26" s="609"/>
      <c r="UUD26" s="609"/>
      <c r="UUE26" s="609"/>
      <c r="UUF26" s="609"/>
      <c r="UUG26" s="609"/>
      <c r="UUH26" s="609"/>
      <c r="UUI26" s="609"/>
      <c r="UUJ26" s="609"/>
      <c r="UUK26" s="609"/>
      <c r="UUL26" s="609"/>
      <c r="UUM26" s="609"/>
      <c r="UUN26" s="609"/>
      <c r="UUO26" s="609"/>
      <c r="UUP26" s="609"/>
      <c r="UUQ26" s="609"/>
      <c r="UUR26" s="609"/>
      <c r="UUS26" s="609"/>
      <c r="UUT26" s="609"/>
      <c r="UUU26" s="609"/>
      <c r="UUV26" s="609"/>
      <c r="UUW26" s="609"/>
      <c r="UUX26" s="609"/>
      <c r="UUY26" s="609"/>
      <c r="UUZ26" s="609"/>
      <c r="UVA26" s="609"/>
      <c r="UVB26" s="609"/>
      <c r="UVC26" s="609"/>
      <c r="UVD26" s="609"/>
      <c r="UVE26" s="609"/>
      <c r="UVF26" s="609"/>
      <c r="UVG26" s="609"/>
      <c r="UVH26" s="609"/>
      <c r="UVI26" s="609"/>
      <c r="UVJ26" s="609"/>
      <c r="UVK26" s="609"/>
      <c r="UVL26" s="609"/>
      <c r="UVM26" s="609"/>
      <c r="UVN26" s="609"/>
      <c r="UVO26" s="609"/>
      <c r="UVP26" s="609"/>
      <c r="UVQ26" s="609"/>
      <c r="UVR26" s="609"/>
      <c r="UVS26" s="609"/>
      <c r="UVT26" s="609"/>
      <c r="UVU26" s="609"/>
      <c r="UVV26" s="609"/>
      <c r="UVW26" s="609"/>
      <c r="UVX26" s="609"/>
      <c r="UVY26" s="609"/>
      <c r="UVZ26" s="609"/>
      <c r="UWA26" s="609"/>
      <c r="UWB26" s="609"/>
      <c r="UWC26" s="609"/>
      <c r="UWD26" s="609"/>
      <c r="UWE26" s="609"/>
      <c r="UWF26" s="609"/>
      <c r="UWG26" s="609"/>
      <c r="UWH26" s="609"/>
      <c r="UWI26" s="609"/>
      <c r="UWJ26" s="609"/>
      <c r="UWK26" s="609"/>
      <c r="UWL26" s="609"/>
      <c r="UWM26" s="609"/>
      <c r="UWN26" s="609"/>
      <c r="UWO26" s="609"/>
      <c r="UWP26" s="609"/>
      <c r="UWQ26" s="609"/>
      <c r="UWR26" s="609"/>
      <c r="UWS26" s="609"/>
      <c r="UWT26" s="609"/>
      <c r="UWU26" s="609"/>
      <c r="UWV26" s="609"/>
      <c r="UWW26" s="609"/>
      <c r="UWX26" s="609"/>
      <c r="UWY26" s="609"/>
      <c r="UWZ26" s="609"/>
      <c r="UXA26" s="609"/>
      <c r="UXB26" s="609"/>
      <c r="UXC26" s="609"/>
      <c r="UXD26" s="609"/>
      <c r="UXE26" s="609"/>
      <c r="UXF26" s="609"/>
      <c r="UXG26" s="609"/>
      <c r="UXH26" s="609"/>
      <c r="UXI26" s="609"/>
      <c r="UXJ26" s="609"/>
      <c r="UXK26" s="609"/>
      <c r="UXL26" s="609"/>
      <c r="UXM26" s="609"/>
      <c r="UXN26" s="609"/>
      <c r="UXO26" s="609"/>
      <c r="UXP26" s="609"/>
      <c r="UXQ26" s="609"/>
      <c r="UXR26" s="609"/>
      <c r="UXS26" s="609"/>
      <c r="UXT26" s="609"/>
      <c r="UXU26" s="609"/>
      <c r="UXV26" s="609"/>
      <c r="UXW26" s="609"/>
      <c r="UXX26" s="609"/>
      <c r="UXY26" s="609"/>
      <c r="UXZ26" s="609"/>
      <c r="UYA26" s="609"/>
      <c r="UYB26" s="609"/>
      <c r="UYC26" s="609"/>
      <c r="UYD26" s="609"/>
      <c r="UYE26" s="609"/>
      <c r="UYF26" s="609"/>
      <c r="UYG26" s="609"/>
      <c r="UYH26" s="609"/>
      <c r="UYI26" s="609"/>
      <c r="UYJ26" s="609"/>
      <c r="UYK26" s="609"/>
      <c r="UYL26" s="609"/>
      <c r="UYM26" s="609"/>
      <c r="UYN26" s="609"/>
      <c r="UYO26" s="609"/>
      <c r="UYP26" s="609"/>
      <c r="UYQ26" s="609"/>
      <c r="UYR26" s="609"/>
      <c r="UYS26" s="609"/>
      <c r="UYT26" s="609"/>
      <c r="UYU26" s="609"/>
      <c r="UYV26" s="609"/>
      <c r="UYW26" s="609"/>
      <c r="UYX26" s="609"/>
      <c r="UYY26" s="609"/>
      <c r="UYZ26" s="609"/>
      <c r="UZA26" s="609"/>
      <c r="UZB26" s="609"/>
      <c r="UZC26" s="609"/>
      <c r="UZD26" s="609"/>
      <c r="UZE26" s="609"/>
      <c r="UZF26" s="609"/>
      <c r="UZG26" s="609"/>
      <c r="UZH26" s="609"/>
      <c r="UZI26" s="609"/>
      <c r="UZJ26" s="609"/>
      <c r="UZK26" s="609"/>
      <c r="UZL26" s="609"/>
      <c r="UZM26" s="609"/>
      <c r="UZN26" s="609"/>
      <c r="UZO26" s="609"/>
      <c r="UZP26" s="609"/>
      <c r="UZQ26" s="609"/>
      <c r="UZR26" s="609"/>
      <c r="UZS26" s="609"/>
      <c r="UZT26" s="609"/>
      <c r="UZU26" s="609"/>
      <c r="UZV26" s="609"/>
      <c r="UZW26" s="609"/>
      <c r="UZX26" s="609"/>
      <c r="UZY26" s="609"/>
      <c r="UZZ26" s="609"/>
      <c r="VAA26" s="609"/>
      <c r="VAB26" s="609"/>
      <c r="VAC26" s="609"/>
      <c r="VAD26" s="609"/>
      <c r="VAE26" s="609"/>
      <c r="VAF26" s="609"/>
      <c r="VAG26" s="609"/>
      <c r="VAH26" s="609"/>
      <c r="VAI26" s="609"/>
      <c r="VAJ26" s="609"/>
      <c r="VAK26" s="609"/>
      <c r="VAL26" s="609"/>
      <c r="VAM26" s="609"/>
      <c r="VAN26" s="609"/>
      <c r="VAO26" s="609"/>
      <c r="VAP26" s="609"/>
      <c r="VAQ26" s="609"/>
      <c r="VAR26" s="609"/>
      <c r="VAS26" s="609"/>
      <c r="VAT26" s="609"/>
      <c r="VAU26" s="609"/>
      <c r="VAV26" s="609"/>
      <c r="VAW26" s="609"/>
      <c r="VAX26" s="609"/>
      <c r="VAY26" s="609"/>
      <c r="VAZ26" s="609"/>
      <c r="VBA26" s="609"/>
      <c r="VBB26" s="609"/>
      <c r="VBC26" s="609"/>
      <c r="VBD26" s="609"/>
      <c r="VBE26" s="609"/>
      <c r="VBF26" s="609"/>
      <c r="VBG26" s="609"/>
      <c r="VBH26" s="609"/>
      <c r="VBI26" s="609"/>
      <c r="VBJ26" s="609"/>
      <c r="VBK26" s="609"/>
      <c r="VBL26" s="609"/>
      <c r="VBM26" s="609"/>
      <c r="VBN26" s="609"/>
      <c r="VBO26" s="609"/>
      <c r="VBP26" s="609"/>
      <c r="VBQ26" s="609"/>
      <c r="VBR26" s="609"/>
      <c r="VBS26" s="609"/>
      <c r="VBT26" s="609"/>
      <c r="VBU26" s="609"/>
      <c r="VBV26" s="609"/>
      <c r="VBW26" s="609"/>
      <c r="VBX26" s="609"/>
      <c r="VBY26" s="609"/>
      <c r="VBZ26" s="609"/>
      <c r="VCA26" s="609"/>
      <c r="VCB26" s="609"/>
      <c r="VCC26" s="609"/>
      <c r="VCD26" s="609"/>
      <c r="VCE26" s="609"/>
      <c r="VCF26" s="609"/>
      <c r="VCG26" s="609"/>
      <c r="VCH26" s="609"/>
      <c r="VCI26" s="609"/>
      <c r="VCJ26" s="609"/>
      <c r="VCK26" s="609"/>
      <c r="VCL26" s="609"/>
      <c r="VCM26" s="609"/>
      <c r="VCN26" s="609"/>
      <c r="VCO26" s="609"/>
      <c r="VCP26" s="609"/>
      <c r="VCQ26" s="609"/>
      <c r="VCR26" s="609"/>
      <c r="VCS26" s="609"/>
      <c r="VCT26" s="609"/>
      <c r="VCU26" s="609"/>
      <c r="VCV26" s="609"/>
      <c r="VCW26" s="609"/>
      <c r="VCX26" s="609"/>
      <c r="VCY26" s="609"/>
      <c r="VCZ26" s="609"/>
      <c r="VDA26" s="609"/>
      <c r="VDB26" s="609"/>
      <c r="VDC26" s="609"/>
      <c r="VDD26" s="609"/>
      <c r="VDE26" s="609"/>
      <c r="VDF26" s="609"/>
      <c r="VDG26" s="609"/>
      <c r="VDH26" s="609"/>
      <c r="VDI26" s="609"/>
      <c r="VDJ26" s="609"/>
      <c r="VDK26" s="609"/>
      <c r="VDL26" s="609"/>
      <c r="VDM26" s="609"/>
      <c r="VDN26" s="609"/>
      <c r="VDO26" s="609"/>
      <c r="VDP26" s="609"/>
      <c r="VDQ26" s="609"/>
      <c r="VDR26" s="609"/>
      <c r="VDS26" s="609"/>
      <c r="VDT26" s="609"/>
      <c r="VDU26" s="609"/>
      <c r="VDV26" s="609"/>
      <c r="VDW26" s="609"/>
      <c r="VDX26" s="609"/>
      <c r="VDY26" s="609"/>
      <c r="VDZ26" s="609"/>
      <c r="VEA26" s="609"/>
      <c r="VEB26" s="609"/>
      <c r="VEC26" s="609"/>
      <c r="VED26" s="609"/>
      <c r="VEE26" s="609"/>
      <c r="VEF26" s="609"/>
      <c r="VEG26" s="609"/>
      <c r="VEH26" s="609"/>
      <c r="VEI26" s="609"/>
      <c r="VEJ26" s="609"/>
      <c r="VEK26" s="609"/>
      <c r="VEL26" s="609"/>
      <c r="VEM26" s="609"/>
      <c r="VEN26" s="609"/>
      <c r="VEO26" s="609"/>
      <c r="VEP26" s="609"/>
      <c r="VEQ26" s="609"/>
      <c r="VER26" s="609"/>
      <c r="VES26" s="609"/>
      <c r="VET26" s="609"/>
      <c r="VEU26" s="609"/>
      <c r="VEV26" s="609"/>
      <c r="VEW26" s="609"/>
      <c r="VEX26" s="609"/>
      <c r="VEY26" s="609"/>
      <c r="VEZ26" s="609"/>
      <c r="VFA26" s="609"/>
      <c r="VFB26" s="609"/>
      <c r="VFC26" s="609"/>
      <c r="VFD26" s="609"/>
      <c r="VFE26" s="609"/>
      <c r="VFF26" s="609"/>
      <c r="VFG26" s="609"/>
      <c r="VFH26" s="609"/>
      <c r="VFI26" s="609"/>
      <c r="VFJ26" s="609"/>
      <c r="VFK26" s="609"/>
      <c r="VFL26" s="609"/>
      <c r="VFM26" s="609"/>
      <c r="VFN26" s="609"/>
      <c r="VFO26" s="609"/>
      <c r="VFP26" s="609"/>
      <c r="VFQ26" s="609"/>
      <c r="VFR26" s="609"/>
      <c r="VFS26" s="609"/>
      <c r="VFT26" s="609"/>
      <c r="VFU26" s="609"/>
      <c r="VFV26" s="609"/>
      <c r="VFW26" s="609"/>
      <c r="VFX26" s="609"/>
      <c r="VFY26" s="609"/>
      <c r="VFZ26" s="609"/>
      <c r="VGA26" s="609"/>
      <c r="VGB26" s="609"/>
      <c r="VGC26" s="609"/>
      <c r="VGD26" s="609"/>
      <c r="VGE26" s="609"/>
      <c r="VGF26" s="609"/>
      <c r="VGG26" s="609"/>
      <c r="VGH26" s="609"/>
      <c r="VGI26" s="609"/>
      <c r="VGJ26" s="609"/>
      <c r="VGK26" s="609"/>
      <c r="VGL26" s="609"/>
      <c r="VGM26" s="609"/>
      <c r="VGN26" s="609"/>
      <c r="VGO26" s="609"/>
      <c r="VGP26" s="609"/>
      <c r="VGQ26" s="609"/>
      <c r="VGR26" s="609"/>
      <c r="VGS26" s="609"/>
      <c r="VGT26" s="609"/>
      <c r="VGU26" s="609"/>
      <c r="VGV26" s="609"/>
      <c r="VGW26" s="609"/>
      <c r="VGX26" s="609"/>
      <c r="VGY26" s="609"/>
      <c r="VGZ26" s="609"/>
      <c r="VHA26" s="609"/>
      <c r="VHB26" s="609"/>
      <c r="VHC26" s="609"/>
      <c r="VHD26" s="609"/>
      <c r="VHE26" s="609"/>
      <c r="VHF26" s="609"/>
      <c r="VHG26" s="609"/>
      <c r="VHH26" s="609"/>
      <c r="VHI26" s="609"/>
      <c r="VHJ26" s="609"/>
      <c r="VHK26" s="609"/>
      <c r="VHL26" s="609"/>
      <c r="VHM26" s="609"/>
      <c r="VHN26" s="609"/>
      <c r="VHO26" s="609"/>
      <c r="VHP26" s="609"/>
      <c r="VHQ26" s="609"/>
      <c r="VHR26" s="609"/>
      <c r="VHS26" s="609"/>
      <c r="VHT26" s="609"/>
      <c r="VHU26" s="609"/>
      <c r="VHV26" s="609"/>
      <c r="VHW26" s="609"/>
      <c r="VHX26" s="609"/>
      <c r="VHY26" s="609"/>
      <c r="VHZ26" s="609"/>
      <c r="VIA26" s="609"/>
      <c r="VIB26" s="609"/>
      <c r="VIC26" s="609"/>
      <c r="VID26" s="609"/>
      <c r="VIE26" s="609"/>
      <c r="VIF26" s="609"/>
      <c r="VIG26" s="609"/>
      <c r="VIH26" s="609"/>
      <c r="VII26" s="609"/>
      <c r="VIJ26" s="609"/>
      <c r="VIK26" s="609"/>
      <c r="VIL26" s="609"/>
      <c r="VIM26" s="609"/>
      <c r="VIN26" s="609"/>
      <c r="VIO26" s="609"/>
      <c r="VIP26" s="609"/>
      <c r="VIQ26" s="609"/>
      <c r="VIR26" s="609"/>
      <c r="VIS26" s="609"/>
      <c r="VIT26" s="609"/>
      <c r="VIU26" s="609"/>
      <c r="VIV26" s="609"/>
      <c r="VIW26" s="609"/>
      <c r="VIX26" s="609"/>
      <c r="VIY26" s="609"/>
      <c r="VIZ26" s="609"/>
      <c r="VJA26" s="609"/>
      <c r="VJB26" s="609"/>
      <c r="VJC26" s="609"/>
      <c r="VJD26" s="609"/>
      <c r="VJE26" s="609"/>
      <c r="VJF26" s="609"/>
      <c r="VJG26" s="609"/>
      <c r="VJH26" s="609"/>
      <c r="VJI26" s="609"/>
      <c r="VJJ26" s="609"/>
      <c r="VJK26" s="609"/>
      <c r="VJL26" s="609"/>
      <c r="VJM26" s="609"/>
      <c r="VJN26" s="609"/>
      <c r="VJO26" s="609"/>
      <c r="VJP26" s="609"/>
      <c r="VJQ26" s="609"/>
      <c r="VJR26" s="609"/>
      <c r="VJS26" s="609"/>
      <c r="VJT26" s="609"/>
      <c r="VJU26" s="609"/>
      <c r="VJV26" s="609"/>
      <c r="VJW26" s="609"/>
      <c r="VJX26" s="609"/>
      <c r="VJY26" s="609"/>
      <c r="VJZ26" s="609"/>
      <c r="VKA26" s="609"/>
      <c r="VKB26" s="609"/>
      <c r="VKC26" s="609"/>
      <c r="VKD26" s="609"/>
      <c r="VKE26" s="609"/>
      <c r="VKF26" s="609"/>
      <c r="VKG26" s="609"/>
      <c r="VKH26" s="609"/>
      <c r="VKI26" s="609"/>
      <c r="VKJ26" s="609"/>
      <c r="VKK26" s="609"/>
      <c r="VKL26" s="609"/>
      <c r="VKM26" s="609"/>
      <c r="VKN26" s="609"/>
      <c r="VKO26" s="609"/>
      <c r="VKP26" s="609"/>
      <c r="VKQ26" s="609"/>
      <c r="VKR26" s="609"/>
      <c r="VKS26" s="609"/>
      <c r="VKT26" s="609"/>
      <c r="VKU26" s="609"/>
      <c r="VKV26" s="609"/>
      <c r="VKW26" s="609"/>
      <c r="VKX26" s="609"/>
      <c r="VKY26" s="609"/>
      <c r="VKZ26" s="609"/>
      <c r="VLA26" s="609"/>
      <c r="VLB26" s="609"/>
      <c r="VLC26" s="609"/>
      <c r="VLD26" s="609"/>
      <c r="VLE26" s="609"/>
      <c r="VLF26" s="609"/>
      <c r="VLG26" s="609"/>
      <c r="VLH26" s="609"/>
      <c r="VLI26" s="609"/>
      <c r="VLJ26" s="609"/>
      <c r="VLK26" s="609"/>
      <c r="VLL26" s="609"/>
      <c r="VLM26" s="609"/>
      <c r="VLN26" s="609"/>
      <c r="VLO26" s="609"/>
      <c r="VLP26" s="609"/>
      <c r="VLQ26" s="609"/>
      <c r="VLR26" s="609"/>
      <c r="VLS26" s="609"/>
      <c r="VLT26" s="609"/>
      <c r="VLU26" s="609"/>
      <c r="VLV26" s="609"/>
      <c r="VLW26" s="609"/>
      <c r="VLX26" s="609"/>
      <c r="VLY26" s="609"/>
      <c r="VLZ26" s="609"/>
      <c r="VMA26" s="609"/>
      <c r="VMB26" s="609"/>
      <c r="VMC26" s="609"/>
      <c r="VMD26" s="609"/>
      <c r="VME26" s="609"/>
      <c r="VMF26" s="609"/>
      <c r="VMG26" s="609"/>
      <c r="VMH26" s="609"/>
      <c r="VMI26" s="609"/>
      <c r="VMJ26" s="609"/>
      <c r="VMK26" s="609"/>
      <c r="VML26" s="609"/>
      <c r="VMM26" s="609"/>
      <c r="VMN26" s="609"/>
      <c r="VMO26" s="609"/>
      <c r="VMP26" s="609"/>
      <c r="VMQ26" s="609"/>
      <c r="VMR26" s="609"/>
      <c r="VMS26" s="609"/>
      <c r="VMT26" s="609"/>
      <c r="VMU26" s="609"/>
      <c r="VMV26" s="609"/>
      <c r="VMW26" s="609"/>
      <c r="VMX26" s="609"/>
      <c r="VMY26" s="609"/>
      <c r="VMZ26" s="609"/>
      <c r="VNA26" s="609"/>
      <c r="VNB26" s="609"/>
      <c r="VNC26" s="609"/>
      <c r="VND26" s="609"/>
      <c r="VNE26" s="609"/>
      <c r="VNF26" s="609"/>
      <c r="VNG26" s="609"/>
      <c r="VNH26" s="609"/>
      <c r="VNI26" s="609"/>
      <c r="VNJ26" s="609"/>
      <c r="VNK26" s="609"/>
      <c r="VNL26" s="609"/>
      <c r="VNM26" s="609"/>
      <c r="VNN26" s="609"/>
      <c r="VNO26" s="609"/>
      <c r="VNP26" s="609"/>
      <c r="VNQ26" s="609"/>
      <c r="VNR26" s="609"/>
      <c r="VNS26" s="609"/>
      <c r="VNT26" s="609"/>
      <c r="VNU26" s="609"/>
      <c r="VNV26" s="609"/>
      <c r="VNW26" s="609"/>
      <c r="VNX26" s="609"/>
      <c r="VNY26" s="609"/>
      <c r="VNZ26" s="609"/>
      <c r="VOA26" s="609"/>
      <c r="VOB26" s="609"/>
      <c r="VOC26" s="609"/>
      <c r="VOD26" s="609"/>
      <c r="VOE26" s="609"/>
      <c r="VOF26" s="609"/>
      <c r="VOG26" s="609"/>
      <c r="VOH26" s="609"/>
      <c r="VOI26" s="609"/>
      <c r="VOJ26" s="609"/>
      <c r="VOK26" s="609"/>
      <c r="VOL26" s="609"/>
      <c r="VOM26" s="609"/>
      <c r="VON26" s="609"/>
      <c r="VOO26" s="609"/>
      <c r="VOP26" s="609"/>
      <c r="VOQ26" s="609"/>
      <c r="VOR26" s="609"/>
      <c r="VOS26" s="609"/>
      <c r="VOT26" s="609"/>
      <c r="VOU26" s="609"/>
      <c r="VOV26" s="609"/>
      <c r="VOW26" s="609"/>
      <c r="VOX26" s="609"/>
      <c r="VOY26" s="609"/>
      <c r="VOZ26" s="609"/>
      <c r="VPA26" s="609"/>
      <c r="VPB26" s="609"/>
      <c r="VPC26" s="609"/>
      <c r="VPD26" s="609"/>
      <c r="VPE26" s="609"/>
      <c r="VPF26" s="609"/>
      <c r="VPG26" s="609"/>
      <c r="VPH26" s="609"/>
      <c r="VPI26" s="609"/>
      <c r="VPJ26" s="609"/>
      <c r="VPK26" s="609"/>
      <c r="VPL26" s="609"/>
      <c r="VPM26" s="609"/>
      <c r="VPN26" s="609"/>
      <c r="VPO26" s="609"/>
      <c r="VPP26" s="609"/>
      <c r="VPQ26" s="609"/>
      <c r="VPR26" s="609"/>
      <c r="VPS26" s="609"/>
      <c r="VPT26" s="609"/>
      <c r="VPU26" s="609"/>
      <c r="VPV26" s="609"/>
      <c r="VPW26" s="609"/>
      <c r="VPX26" s="609"/>
      <c r="VPY26" s="609"/>
      <c r="VPZ26" s="609"/>
      <c r="VQA26" s="609"/>
      <c r="VQB26" s="609"/>
      <c r="VQC26" s="609"/>
      <c r="VQD26" s="609"/>
      <c r="VQE26" s="609"/>
      <c r="VQF26" s="609"/>
      <c r="VQG26" s="609"/>
      <c r="VQH26" s="609"/>
      <c r="VQI26" s="609"/>
      <c r="VQJ26" s="609"/>
      <c r="VQK26" s="609"/>
      <c r="VQL26" s="609"/>
      <c r="VQM26" s="609"/>
      <c r="VQN26" s="609"/>
      <c r="VQO26" s="609"/>
      <c r="VQP26" s="609"/>
      <c r="VQQ26" s="609"/>
      <c r="VQR26" s="609"/>
      <c r="VQS26" s="609"/>
      <c r="VQT26" s="609"/>
      <c r="VQU26" s="609"/>
      <c r="VQV26" s="609"/>
      <c r="VQW26" s="609"/>
      <c r="VQX26" s="609"/>
      <c r="VQY26" s="609"/>
      <c r="VQZ26" s="609"/>
      <c r="VRA26" s="609"/>
      <c r="VRB26" s="609"/>
      <c r="VRC26" s="609"/>
      <c r="VRD26" s="609"/>
      <c r="VRE26" s="609"/>
      <c r="VRF26" s="609"/>
      <c r="VRG26" s="609"/>
      <c r="VRH26" s="609"/>
      <c r="VRI26" s="609"/>
      <c r="VRJ26" s="609"/>
      <c r="VRK26" s="609"/>
      <c r="VRL26" s="609"/>
      <c r="VRM26" s="609"/>
      <c r="VRN26" s="609"/>
      <c r="VRO26" s="609"/>
      <c r="VRP26" s="609"/>
      <c r="VRQ26" s="609"/>
      <c r="VRR26" s="609"/>
      <c r="VRS26" s="609"/>
      <c r="VRT26" s="609"/>
      <c r="VRU26" s="609"/>
      <c r="VRV26" s="609"/>
      <c r="VRW26" s="609"/>
      <c r="VRX26" s="609"/>
      <c r="VRY26" s="609"/>
      <c r="VRZ26" s="609"/>
      <c r="VSA26" s="609"/>
      <c r="VSB26" s="609"/>
      <c r="VSC26" s="609"/>
      <c r="VSD26" s="609"/>
      <c r="VSE26" s="609"/>
      <c r="VSF26" s="609"/>
      <c r="VSG26" s="609"/>
      <c r="VSH26" s="609"/>
      <c r="VSI26" s="609"/>
      <c r="VSJ26" s="609"/>
      <c r="VSK26" s="609"/>
      <c r="VSL26" s="609"/>
      <c r="VSM26" s="609"/>
      <c r="VSN26" s="609"/>
      <c r="VSO26" s="609"/>
      <c r="VSP26" s="609"/>
      <c r="VSQ26" s="609"/>
      <c r="VSR26" s="609"/>
      <c r="VSS26" s="609"/>
      <c r="VST26" s="609"/>
      <c r="VSU26" s="609"/>
      <c r="VSV26" s="609"/>
      <c r="VSW26" s="609"/>
      <c r="VSX26" s="609"/>
      <c r="VSY26" s="609"/>
      <c r="VSZ26" s="609"/>
      <c r="VTA26" s="609"/>
      <c r="VTB26" s="609"/>
      <c r="VTC26" s="609"/>
      <c r="VTD26" s="609"/>
      <c r="VTE26" s="609"/>
      <c r="VTF26" s="609"/>
      <c r="VTG26" s="609"/>
      <c r="VTH26" s="609"/>
      <c r="VTI26" s="609"/>
      <c r="VTJ26" s="609"/>
      <c r="VTK26" s="609"/>
      <c r="VTL26" s="609"/>
      <c r="VTM26" s="609"/>
      <c r="VTN26" s="609"/>
      <c r="VTO26" s="609"/>
      <c r="VTP26" s="609"/>
      <c r="VTQ26" s="609"/>
      <c r="VTR26" s="609"/>
      <c r="VTS26" s="609"/>
      <c r="VTT26" s="609"/>
      <c r="VTU26" s="609"/>
      <c r="VTV26" s="609"/>
      <c r="VTW26" s="609"/>
      <c r="VTX26" s="609"/>
      <c r="VTY26" s="609"/>
      <c r="VTZ26" s="609"/>
      <c r="VUA26" s="609"/>
      <c r="VUB26" s="609"/>
      <c r="VUC26" s="609"/>
      <c r="VUD26" s="609"/>
      <c r="VUE26" s="609"/>
      <c r="VUF26" s="609"/>
      <c r="VUG26" s="609"/>
      <c r="VUH26" s="609"/>
      <c r="VUI26" s="609"/>
      <c r="VUJ26" s="609"/>
      <c r="VUK26" s="609"/>
      <c r="VUL26" s="609"/>
      <c r="VUM26" s="609"/>
      <c r="VUN26" s="609"/>
      <c r="VUO26" s="609"/>
      <c r="VUP26" s="609"/>
      <c r="VUQ26" s="609"/>
      <c r="VUR26" s="609"/>
      <c r="VUS26" s="609"/>
      <c r="VUT26" s="609"/>
      <c r="VUU26" s="609"/>
      <c r="VUV26" s="609"/>
      <c r="VUW26" s="609"/>
      <c r="VUX26" s="609"/>
      <c r="VUY26" s="609"/>
      <c r="VUZ26" s="609"/>
      <c r="VVA26" s="609"/>
      <c r="VVB26" s="609"/>
      <c r="VVC26" s="609"/>
      <c r="VVD26" s="609"/>
      <c r="VVE26" s="609"/>
      <c r="VVF26" s="609"/>
      <c r="VVG26" s="609"/>
      <c r="VVH26" s="609"/>
      <c r="VVI26" s="609"/>
      <c r="VVJ26" s="609"/>
      <c r="VVK26" s="609"/>
      <c r="VVL26" s="609"/>
      <c r="VVM26" s="609"/>
      <c r="VVN26" s="609"/>
      <c r="VVO26" s="609"/>
      <c r="VVP26" s="609"/>
      <c r="VVQ26" s="609"/>
      <c r="VVR26" s="609"/>
      <c r="VVS26" s="609"/>
      <c r="VVT26" s="609"/>
      <c r="VVU26" s="609"/>
      <c r="VVV26" s="609"/>
      <c r="VVW26" s="609"/>
      <c r="VVX26" s="609"/>
      <c r="VVY26" s="609"/>
      <c r="VVZ26" s="609"/>
      <c r="VWA26" s="609"/>
      <c r="VWB26" s="609"/>
      <c r="VWC26" s="609"/>
      <c r="VWD26" s="609"/>
      <c r="VWE26" s="609"/>
      <c r="VWF26" s="609"/>
      <c r="VWG26" s="609"/>
      <c r="VWH26" s="609"/>
      <c r="VWI26" s="609"/>
      <c r="VWJ26" s="609"/>
      <c r="VWK26" s="609"/>
      <c r="VWL26" s="609"/>
      <c r="VWM26" s="609"/>
      <c r="VWN26" s="609"/>
      <c r="VWO26" s="609"/>
      <c r="VWP26" s="609"/>
      <c r="VWQ26" s="609"/>
      <c r="VWR26" s="609"/>
      <c r="VWS26" s="609"/>
      <c r="VWT26" s="609"/>
      <c r="VWU26" s="609"/>
      <c r="VWV26" s="609"/>
      <c r="VWW26" s="609"/>
      <c r="VWX26" s="609"/>
      <c r="VWY26" s="609"/>
      <c r="VWZ26" s="609"/>
      <c r="VXA26" s="609"/>
      <c r="VXB26" s="609"/>
      <c r="VXC26" s="609"/>
      <c r="VXD26" s="609"/>
      <c r="VXE26" s="609"/>
      <c r="VXF26" s="609"/>
      <c r="VXG26" s="609"/>
      <c r="VXH26" s="609"/>
      <c r="VXI26" s="609"/>
      <c r="VXJ26" s="609"/>
      <c r="VXK26" s="609"/>
      <c r="VXL26" s="609"/>
      <c r="VXM26" s="609"/>
      <c r="VXN26" s="609"/>
      <c r="VXO26" s="609"/>
      <c r="VXP26" s="609"/>
      <c r="VXQ26" s="609"/>
      <c r="VXR26" s="609"/>
      <c r="VXS26" s="609"/>
      <c r="VXT26" s="609"/>
      <c r="VXU26" s="609"/>
      <c r="VXV26" s="609"/>
      <c r="VXW26" s="609"/>
      <c r="VXX26" s="609"/>
      <c r="VXY26" s="609"/>
      <c r="VXZ26" s="609"/>
      <c r="VYA26" s="609"/>
      <c r="VYB26" s="609"/>
      <c r="VYC26" s="609"/>
      <c r="VYD26" s="609"/>
      <c r="VYE26" s="609"/>
      <c r="VYF26" s="609"/>
      <c r="VYG26" s="609"/>
      <c r="VYH26" s="609"/>
      <c r="VYI26" s="609"/>
      <c r="VYJ26" s="609"/>
      <c r="VYK26" s="609"/>
      <c r="VYL26" s="609"/>
      <c r="VYM26" s="609"/>
      <c r="VYN26" s="609"/>
      <c r="VYO26" s="609"/>
      <c r="VYP26" s="609"/>
      <c r="VYQ26" s="609"/>
      <c r="VYR26" s="609"/>
      <c r="VYS26" s="609"/>
      <c r="VYT26" s="609"/>
      <c r="VYU26" s="609"/>
      <c r="VYV26" s="609"/>
      <c r="VYW26" s="609"/>
      <c r="VYX26" s="609"/>
      <c r="VYY26" s="609"/>
      <c r="VYZ26" s="609"/>
      <c r="VZA26" s="609"/>
      <c r="VZB26" s="609"/>
      <c r="VZC26" s="609"/>
      <c r="VZD26" s="609"/>
      <c r="VZE26" s="609"/>
      <c r="VZF26" s="609"/>
      <c r="VZG26" s="609"/>
      <c r="VZH26" s="609"/>
      <c r="VZI26" s="609"/>
      <c r="VZJ26" s="609"/>
      <c r="VZK26" s="609"/>
      <c r="VZL26" s="609"/>
      <c r="VZM26" s="609"/>
      <c r="VZN26" s="609"/>
      <c r="VZO26" s="609"/>
      <c r="VZP26" s="609"/>
      <c r="VZQ26" s="609"/>
      <c r="VZR26" s="609"/>
      <c r="VZS26" s="609"/>
      <c r="VZT26" s="609"/>
      <c r="VZU26" s="609"/>
      <c r="VZV26" s="609"/>
      <c r="VZW26" s="609"/>
      <c r="VZX26" s="609"/>
      <c r="VZY26" s="609"/>
      <c r="VZZ26" s="609"/>
      <c r="WAA26" s="609"/>
      <c r="WAB26" s="609"/>
      <c r="WAC26" s="609"/>
      <c r="WAD26" s="609"/>
      <c r="WAE26" s="609"/>
      <c r="WAF26" s="609"/>
      <c r="WAG26" s="609"/>
      <c r="WAH26" s="609"/>
      <c r="WAI26" s="609"/>
      <c r="WAJ26" s="609"/>
      <c r="WAK26" s="609"/>
      <c r="WAL26" s="609"/>
      <c r="WAM26" s="609"/>
      <c r="WAN26" s="609"/>
      <c r="WAO26" s="609"/>
      <c r="WAP26" s="609"/>
      <c r="WAQ26" s="609"/>
      <c r="WAR26" s="609"/>
      <c r="WAS26" s="609"/>
      <c r="WAT26" s="609"/>
      <c r="WAU26" s="609"/>
      <c r="WAV26" s="609"/>
      <c r="WAW26" s="609"/>
      <c r="WAX26" s="609"/>
      <c r="WAY26" s="609"/>
      <c r="WAZ26" s="609"/>
      <c r="WBA26" s="609"/>
      <c r="WBB26" s="609"/>
      <c r="WBC26" s="609"/>
      <c r="WBD26" s="609"/>
      <c r="WBE26" s="609"/>
      <c r="WBF26" s="609"/>
      <c r="WBG26" s="609"/>
      <c r="WBH26" s="609"/>
      <c r="WBI26" s="609"/>
      <c r="WBJ26" s="609"/>
      <c r="WBK26" s="609"/>
      <c r="WBL26" s="609"/>
      <c r="WBM26" s="609"/>
      <c r="WBN26" s="609"/>
      <c r="WBO26" s="609"/>
      <c r="WBP26" s="609"/>
      <c r="WBQ26" s="609"/>
      <c r="WBR26" s="609"/>
      <c r="WBS26" s="609"/>
      <c r="WBT26" s="609"/>
      <c r="WBU26" s="609"/>
      <c r="WBV26" s="609"/>
      <c r="WBW26" s="609"/>
      <c r="WBX26" s="609"/>
      <c r="WBY26" s="609"/>
      <c r="WBZ26" s="609"/>
      <c r="WCA26" s="609"/>
      <c r="WCB26" s="609"/>
      <c r="WCC26" s="609"/>
      <c r="WCD26" s="609"/>
      <c r="WCE26" s="609"/>
      <c r="WCF26" s="609"/>
      <c r="WCG26" s="609"/>
      <c r="WCH26" s="609"/>
      <c r="WCI26" s="609"/>
      <c r="WCJ26" s="609"/>
      <c r="WCK26" s="609"/>
      <c r="WCL26" s="609"/>
      <c r="WCM26" s="609"/>
      <c r="WCN26" s="609"/>
      <c r="WCO26" s="609"/>
      <c r="WCP26" s="609"/>
      <c r="WCQ26" s="609"/>
      <c r="WCR26" s="609"/>
      <c r="WCS26" s="609"/>
      <c r="WCT26" s="609"/>
      <c r="WCU26" s="609"/>
      <c r="WCV26" s="609"/>
      <c r="WCW26" s="609"/>
      <c r="WCX26" s="609"/>
      <c r="WCY26" s="609"/>
      <c r="WCZ26" s="609"/>
      <c r="WDA26" s="609"/>
      <c r="WDB26" s="609"/>
      <c r="WDC26" s="609"/>
      <c r="WDD26" s="609"/>
      <c r="WDE26" s="609"/>
      <c r="WDF26" s="609"/>
      <c r="WDG26" s="609"/>
      <c r="WDH26" s="609"/>
      <c r="WDI26" s="609"/>
      <c r="WDJ26" s="609"/>
      <c r="WDK26" s="609"/>
      <c r="WDL26" s="609"/>
      <c r="WDM26" s="609"/>
      <c r="WDN26" s="609"/>
      <c r="WDO26" s="609"/>
      <c r="WDP26" s="609"/>
      <c r="WDQ26" s="609"/>
      <c r="WDR26" s="609"/>
      <c r="WDS26" s="609"/>
      <c r="WDT26" s="609"/>
      <c r="WDU26" s="609"/>
      <c r="WDV26" s="609"/>
      <c r="WDW26" s="609"/>
      <c r="WDX26" s="609"/>
      <c r="WDY26" s="609"/>
      <c r="WDZ26" s="609"/>
      <c r="WEA26" s="609"/>
      <c r="WEB26" s="609"/>
      <c r="WEC26" s="609"/>
      <c r="WED26" s="609"/>
      <c r="WEE26" s="609"/>
      <c r="WEF26" s="609"/>
      <c r="WEG26" s="609"/>
      <c r="WEH26" s="609"/>
      <c r="WEI26" s="609"/>
      <c r="WEJ26" s="609"/>
      <c r="WEK26" s="609"/>
      <c r="WEL26" s="609"/>
      <c r="WEM26" s="609"/>
      <c r="WEN26" s="609"/>
      <c r="WEO26" s="609"/>
      <c r="WEP26" s="609"/>
      <c r="WEQ26" s="609"/>
      <c r="WER26" s="609"/>
      <c r="WES26" s="609"/>
      <c r="WET26" s="609"/>
      <c r="WEU26" s="609"/>
      <c r="WEV26" s="609"/>
      <c r="WEW26" s="609"/>
      <c r="WEX26" s="609"/>
      <c r="WEY26" s="609"/>
      <c r="WEZ26" s="609"/>
      <c r="WFA26" s="609"/>
      <c r="WFB26" s="609"/>
      <c r="WFC26" s="609"/>
      <c r="WFD26" s="609"/>
      <c r="WFE26" s="609"/>
      <c r="WFF26" s="609"/>
      <c r="WFG26" s="609"/>
      <c r="WFH26" s="609"/>
      <c r="WFI26" s="609"/>
      <c r="WFJ26" s="609"/>
      <c r="WFK26" s="609"/>
      <c r="WFL26" s="609"/>
      <c r="WFM26" s="609"/>
      <c r="WFN26" s="609"/>
      <c r="WFO26" s="609"/>
      <c r="WFP26" s="609"/>
      <c r="WFQ26" s="609"/>
      <c r="WFR26" s="609"/>
      <c r="WFS26" s="609"/>
      <c r="WFT26" s="609"/>
      <c r="WFU26" s="609"/>
      <c r="WFV26" s="609"/>
      <c r="WFW26" s="609"/>
      <c r="WFX26" s="609"/>
      <c r="WFY26" s="609"/>
      <c r="WFZ26" s="609"/>
      <c r="WGA26" s="609"/>
      <c r="WGB26" s="609"/>
      <c r="WGC26" s="609"/>
      <c r="WGD26" s="609"/>
      <c r="WGE26" s="609"/>
      <c r="WGF26" s="609"/>
      <c r="WGG26" s="609"/>
      <c r="WGH26" s="609"/>
      <c r="WGI26" s="609"/>
      <c r="WGJ26" s="609"/>
      <c r="WGK26" s="609"/>
      <c r="WGL26" s="609"/>
      <c r="WGM26" s="609"/>
      <c r="WGN26" s="609"/>
      <c r="WGO26" s="609"/>
      <c r="WGP26" s="609"/>
      <c r="WGQ26" s="609"/>
      <c r="WGR26" s="609"/>
      <c r="WGS26" s="609"/>
      <c r="WGT26" s="609"/>
      <c r="WGU26" s="609"/>
      <c r="WGV26" s="609"/>
      <c r="WGW26" s="609"/>
      <c r="WGX26" s="609"/>
      <c r="WGY26" s="609"/>
      <c r="WGZ26" s="609"/>
      <c r="WHA26" s="609"/>
      <c r="WHB26" s="609"/>
      <c r="WHC26" s="609"/>
      <c r="WHD26" s="609"/>
      <c r="WHE26" s="609"/>
      <c r="WHF26" s="609"/>
      <c r="WHG26" s="609"/>
      <c r="WHH26" s="609"/>
      <c r="WHI26" s="609"/>
      <c r="WHJ26" s="609"/>
      <c r="WHK26" s="609"/>
      <c r="WHL26" s="609"/>
      <c r="WHM26" s="609"/>
      <c r="WHN26" s="609"/>
      <c r="WHO26" s="609"/>
      <c r="WHP26" s="609"/>
      <c r="WHQ26" s="609"/>
      <c r="WHR26" s="609"/>
      <c r="WHS26" s="609"/>
      <c r="WHT26" s="609"/>
      <c r="WHU26" s="609"/>
      <c r="WHV26" s="609"/>
      <c r="WHW26" s="609"/>
      <c r="WHX26" s="609"/>
      <c r="WHY26" s="609"/>
      <c r="WHZ26" s="609"/>
      <c r="WIA26" s="609"/>
      <c r="WIB26" s="609"/>
      <c r="WIC26" s="609"/>
      <c r="WID26" s="609"/>
      <c r="WIE26" s="609"/>
      <c r="WIF26" s="609"/>
      <c r="WIG26" s="609"/>
      <c r="WIH26" s="609"/>
      <c r="WII26" s="609"/>
      <c r="WIJ26" s="609"/>
      <c r="WIK26" s="609"/>
      <c r="WIL26" s="609"/>
      <c r="WIM26" s="609"/>
      <c r="WIN26" s="609"/>
      <c r="WIO26" s="609"/>
      <c r="WIP26" s="609"/>
      <c r="WIQ26" s="609"/>
      <c r="WIR26" s="609"/>
      <c r="WIS26" s="609"/>
      <c r="WIT26" s="609"/>
      <c r="WIU26" s="609"/>
      <c r="WIV26" s="609"/>
      <c r="WIW26" s="609"/>
      <c r="WIX26" s="609"/>
      <c r="WIY26" s="609"/>
      <c r="WIZ26" s="609"/>
      <c r="WJA26" s="609"/>
      <c r="WJB26" s="609"/>
      <c r="WJC26" s="609"/>
      <c r="WJD26" s="609"/>
      <c r="WJE26" s="609"/>
      <c r="WJF26" s="609"/>
      <c r="WJG26" s="609"/>
      <c r="WJH26" s="609"/>
      <c r="WJI26" s="609"/>
      <c r="WJJ26" s="609"/>
      <c r="WJK26" s="609"/>
      <c r="WJL26" s="609"/>
      <c r="WJM26" s="609"/>
      <c r="WJN26" s="609"/>
      <c r="WJO26" s="609"/>
      <c r="WJP26" s="609"/>
      <c r="WJQ26" s="609"/>
      <c r="WJR26" s="609"/>
      <c r="WJS26" s="609"/>
      <c r="WJT26" s="609"/>
      <c r="WJU26" s="609"/>
      <c r="WJV26" s="609"/>
      <c r="WJW26" s="609"/>
      <c r="WJX26" s="609"/>
      <c r="WJY26" s="609"/>
      <c r="WJZ26" s="609"/>
      <c r="WKA26" s="609"/>
      <c r="WKB26" s="609"/>
      <c r="WKC26" s="609"/>
      <c r="WKD26" s="609"/>
      <c r="WKE26" s="609"/>
      <c r="WKF26" s="609"/>
      <c r="WKG26" s="609"/>
      <c r="WKH26" s="609"/>
      <c r="WKI26" s="609"/>
      <c r="WKJ26" s="609"/>
      <c r="WKK26" s="609"/>
      <c r="WKL26" s="609"/>
      <c r="WKM26" s="609"/>
      <c r="WKN26" s="609"/>
      <c r="WKO26" s="609"/>
      <c r="WKP26" s="609"/>
      <c r="WKQ26" s="609"/>
      <c r="WKR26" s="609"/>
      <c r="WKS26" s="609"/>
      <c r="WKT26" s="609"/>
      <c r="WKU26" s="609"/>
      <c r="WKV26" s="609"/>
      <c r="WKW26" s="609"/>
      <c r="WKX26" s="609"/>
      <c r="WKY26" s="609"/>
      <c r="WKZ26" s="609"/>
      <c r="WLA26" s="609"/>
      <c r="WLB26" s="609"/>
      <c r="WLC26" s="609"/>
      <c r="WLD26" s="609"/>
      <c r="WLE26" s="609"/>
      <c r="WLF26" s="609"/>
      <c r="WLG26" s="609"/>
      <c r="WLH26" s="609"/>
      <c r="WLI26" s="609"/>
      <c r="WLJ26" s="609"/>
      <c r="WLK26" s="609"/>
      <c r="WLL26" s="609"/>
      <c r="WLM26" s="609"/>
      <c r="WLN26" s="609"/>
      <c r="WLO26" s="609"/>
      <c r="WLP26" s="609"/>
      <c r="WLQ26" s="609"/>
      <c r="WLR26" s="609"/>
      <c r="WLS26" s="609"/>
      <c r="WLT26" s="609"/>
      <c r="WLU26" s="609"/>
      <c r="WLV26" s="609"/>
      <c r="WLW26" s="609"/>
      <c r="WLX26" s="609"/>
      <c r="WLY26" s="609"/>
      <c r="WLZ26" s="609"/>
      <c r="WMA26" s="609"/>
      <c r="WMB26" s="609"/>
      <c r="WMC26" s="609"/>
      <c r="WMD26" s="609"/>
      <c r="WME26" s="609"/>
      <c r="WMF26" s="609"/>
      <c r="WMG26" s="609"/>
      <c r="WMH26" s="609"/>
      <c r="WMI26" s="609"/>
      <c r="WMJ26" s="609"/>
      <c r="WMK26" s="609"/>
      <c r="WML26" s="609"/>
      <c r="WMM26" s="609"/>
      <c r="WMN26" s="609"/>
      <c r="WMO26" s="609"/>
      <c r="WMP26" s="609"/>
      <c r="WMQ26" s="609"/>
      <c r="WMR26" s="609"/>
      <c r="WMS26" s="609"/>
      <c r="WMT26" s="609"/>
      <c r="WMU26" s="609"/>
      <c r="WMV26" s="609"/>
      <c r="WMW26" s="609"/>
      <c r="WMX26" s="609"/>
      <c r="WMY26" s="609"/>
      <c r="WMZ26" s="609"/>
      <c r="WNA26" s="609"/>
      <c r="WNB26" s="609"/>
      <c r="WNC26" s="609"/>
      <c r="WND26" s="609"/>
      <c r="WNE26" s="609"/>
      <c r="WNF26" s="609"/>
      <c r="WNG26" s="609"/>
      <c r="WNH26" s="609"/>
      <c r="WNI26" s="609"/>
      <c r="WNJ26" s="609"/>
      <c r="WNK26" s="609"/>
      <c r="WNL26" s="609"/>
      <c r="WNM26" s="609"/>
      <c r="WNN26" s="609"/>
      <c r="WNO26" s="609"/>
      <c r="WNP26" s="609"/>
      <c r="WNQ26" s="609"/>
      <c r="WNR26" s="609"/>
      <c r="WNS26" s="609"/>
      <c r="WNT26" s="609"/>
      <c r="WNU26" s="609"/>
      <c r="WNV26" s="609"/>
      <c r="WNW26" s="609"/>
      <c r="WNX26" s="609"/>
      <c r="WNY26" s="609"/>
      <c r="WNZ26" s="609"/>
      <c r="WOA26" s="609"/>
      <c r="WOB26" s="609"/>
      <c r="WOC26" s="609"/>
      <c r="WOD26" s="609"/>
      <c r="WOE26" s="609"/>
      <c r="WOF26" s="609"/>
      <c r="WOG26" s="609"/>
      <c r="WOH26" s="609"/>
      <c r="WOI26" s="609"/>
      <c r="WOJ26" s="609"/>
      <c r="WOK26" s="609"/>
      <c r="WOL26" s="609"/>
      <c r="WOM26" s="609"/>
      <c r="WON26" s="609"/>
      <c r="WOO26" s="609"/>
      <c r="WOP26" s="609"/>
      <c r="WOQ26" s="609"/>
      <c r="WOR26" s="609"/>
      <c r="WOS26" s="609"/>
      <c r="WOT26" s="609"/>
      <c r="WOU26" s="609"/>
      <c r="WOV26" s="609"/>
      <c r="WOW26" s="609"/>
      <c r="WOX26" s="609"/>
      <c r="WOY26" s="609"/>
      <c r="WOZ26" s="609"/>
      <c r="WPA26" s="609"/>
      <c r="WPB26" s="609"/>
      <c r="WPC26" s="609"/>
      <c r="WPD26" s="609"/>
      <c r="WPE26" s="609"/>
      <c r="WPF26" s="609"/>
      <c r="WPG26" s="609"/>
      <c r="WPH26" s="609"/>
      <c r="WPI26" s="609"/>
      <c r="WPJ26" s="609"/>
      <c r="WPK26" s="609"/>
      <c r="WPL26" s="609"/>
      <c r="WPM26" s="609"/>
      <c r="WPN26" s="609"/>
      <c r="WPO26" s="609"/>
      <c r="WPP26" s="609"/>
      <c r="WPQ26" s="609"/>
      <c r="WPR26" s="609"/>
      <c r="WPS26" s="609"/>
      <c r="WPT26" s="609"/>
      <c r="WPU26" s="609"/>
      <c r="WPV26" s="609"/>
      <c r="WPW26" s="609"/>
      <c r="WPX26" s="609"/>
      <c r="WPY26" s="609"/>
      <c r="WPZ26" s="609"/>
      <c r="WQA26" s="609"/>
      <c r="WQB26" s="609"/>
      <c r="WQC26" s="609"/>
      <c r="WQD26" s="609"/>
      <c r="WQE26" s="609"/>
      <c r="WQF26" s="609"/>
      <c r="WQG26" s="609"/>
      <c r="WQH26" s="609"/>
      <c r="WQI26" s="609"/>
      <c r="WQJ26" s="609"/>
      <c r="WQK26" s="609"/>
      <c r="WQL26" s="609"/>
      <c r="WQM26" s="609"/>
      <c r="WQN26" s="609"/>
      <c r="WQO26" s="609"/>
      <c r="WQP26" s="609"/>
      <c r="WQQ26" s="609"/>
      <c r="WQR26" s="609"/>
      <c r="WQS26" s="609"/>
      <c r="WQT26" s="609"/>
      <c r="WQU26" s="609"/>
      <c r="WQV26" s="609"/>
      <c r="WQW26" s="609"/>
      <c r="WQX26" s="609"/>
      <c r="WQY26" s="609"/>
      <c r="WQZ26" s="609"/>
      <c r="WRA26" s="609"/>
      <c r="WRB26" s="609"/>
      <c r="WRC26" s="609"/>
      <c r="WRD26" s="609"/>
      <c r="WRE26" s="609"/>
      <c r="WRF26" s="609"/>
      <c r="WRG26" s="609"/>
      <c r="WRH26" s="609"/>
      <c r="WRI26" s="609"/>
      <c r="WRJ26" s="609"/>
      <c r="WRK26" s="609"/>
      <c r="WRL26" s="609"/>
      <c r="WRM26" s="609"/>
      <c r="WRN26" s="609"/>
      <c r="WRO26" s="609"/>
      <c r="WRP26" s="609"/>
      <c r="WRQ26" s="609"/>
      <c r="WRR26" s="609"/>
      <c r="WRS26" s="609"/>
      <c r="WRT26" s="609"/>
      <c r="WRU26" s="609"/>
      <c r="WRV26" s="609"/>
      <c r="WRW26" s="609"/>
      <c r="WRX26" s="609"/>
      <c r="WRY26" s="609"/>
      <c r="WRZ26" s="609"/>
      <c r="WSA26" s="609"/>
      <c r="WSB26" s="609"/>
      <c r="WSC26" s="609"/>
      <c r="WSD26" s="609"/>
      <c r="WSE26" s="609"/>
      <c r="WSF26" s="609"/>
      <c r="WSG26" s="609"/>
      <c r="WSH26" s="609"/>
      <c r="WSI26" s="609"/>
      <c r="WSJ26" s="609"/>
      <c r="WSK26" s="609"/>
      <c r="WSL26" s="609"/>
      <c r="WSM26" s="609"/>
      <c r="WSN26" s="609"/>
      <c r="WSO26" s="609"/>
      <c r="WSP26" s="609"/>
      <c r="WSQ26" s="609"/>
      <c r="WSR26" s="609"/>
      <c r="WSS26" s="609"/>
      <c r="WST26" s="609"/>
      <c r="WSU26" s="609"/>
      <c r="WSV26" s="609"/>
      <c r="WSW26" s="609"/>
      <c r="WSX26" s="609"/>
      <c r="WSY26" s="609"/>
      <c r="WSZ26" s="609"/>
      <c r="WTA26" s="609"/>
      <c r="WTB26" s="609"/>
      <c r="WTC26" s="609"/>
      <c r="WTD26" s="609"/>
      <c r="WTE26" s="609"/>
      <c r="WTF26" s="609"/>
      <c r="WTG26" s="609"/>
      <c r="WTH26" s="609"/>
      <c r="WTI26" s="609"/>
      <c r="WTJ26" s="609"/>
      <c r="WTK26" s="609"/>
      <c r="WTL26" s="609"/>
      <c r="WTM26" s="609"/>
      <c r="WTN26" s="609"/>
      <c r="WTO26" s="609"/>
      <c r="WTP26" s="609"/>
      <c r="WTQ26" s="609"/>
      <c r="WTR26" s="609"/>
      <c r="WTS26" s="609"/>
      <c r="WTT26" s="609"/>
      <c r="WTU26" s="609"/>
      <c r="WTV26" s="609"/>
      <c r="WTW26" s="609"/>
      <c r="WTX26" s="609"/>
      <c r="WTY26" s="609"/>
      <c r="WTZ26" s="609"/>
      <c r="WUA26" s="609"/>
      <c r="WUB26" s="609"/>
      <c r="WUC26" s="609"/>
      <c r="WUD26" s="609"/>
      <c r="WUE26" s="609"/>
      <c r="WUF26" s="609"/>
      <c r="WUG26" s="609"/>
      <c r="WUH26" s="609"/>
      <c r="WUI26" s="609"/>
      <c r="WUJ26" s="609"/>
      <c r="WUK26" s="609"/>
      <c r="WUL26" s="609"/>
      <c r="WUM26" s="609"/>
      <c r="WUN26" s="609"/>
      <c r="WUO26" s="609"/>
      <c r="WUP26" s="609"/>
      <c r="WUQ26" s="609"/>
      <c r="WUR26" s="609"/>
      <c r="WUS26" s="609"/>
      <c r="WUT26" s="609"/>
      <c r="WUU26" s="609"/>
      <c r="WUV26" s="609"/>
      <c r="WUW26" s="609"/>
      <c r="WUX26" s="609"/>
      <c r="WUY26" s="609"/>
      <c r="WUZ26" s="609"/>
      <c r="WVA26" s="609"/>
      <c r="WVB26" s="609"/>
      <c r="WVC26" s="609"/>
      <c r="WVD26" s="609"/>
      <c r="WVE26" s="609"/>
      <c r="WVF26" s="609"/>
      <c r="WVG26" s="609"/>
      <c r="WVH26" s="609"/>
      <c r="WVI26" s="609"/>
      <c r="WVJ26" s="609"/>
      <c r="WVK26" s="609"/>
      <c r="WVL26" s="609"/>
      <c r="WVM26" s="609"/>
      <c r="WVN26" s="609"/>
      <c r="WVO26" s="609"/>
      <c r="WVP26" s="609"/>
      <c r="WVQ26" s="609"/>
      <c r="WVR26" s="609"/>
      <c r="WVS26" s="609"/>
      <c r="WVT26" s="609"/>
      <c r="WVU26" s="609"/>
      <c r="WVV26" s="609"/>
      <c r="WVW26" s="609"/>
      <c r="WVX26" s="609"/>
      <c r="WVY26" s="609"/>
      <c r="WVZ26" s="609"/>
      <c r="WWA26" s="609"/>
      <c r="WWB26" s="609"/>
      <c r="WWC26" s="609"/>
      <c r="WWD26" s="609"/>
      <c r="WWE26" s="609"/>
      <c r="WWF26" s="609"/>
      <c r="WWG26" s="609"/>
      <c r="WWH26" s="609"/>
      <c r="WWI26" s="609"/>
      <c r="WWJ26" s="609"/>
      <c r="WWK26" s="609"/>
      <c r="WWL26" s="609"/>
      <c r="WWM26" s="609"/>
      <c r="WWN26" s="609"/>
      <c r="WWO26" s="609"/>
      <c r="WWP26" s="609"/>
      <c r="WWQ26" s="609"/>
      <c r="WWR26" s="609"/>
      <c r="WWS26" s="609"/>
      <c r="WWT26" s="609"/>
      <c r="WWU26" s="609"/>
      <c r="WWV26" s="609"/>
      <c r="WWW26" s="609"/>
      <c r="WWX26" s="609"/>
      <c r="WWY26" s="609"/>
      <c r="WWZ26" s="609"/>
      <c r="WXA26" s="609"/>
      <c r="WXB26" s="609"/>
      <c r="WXC26" s="609"/>
      <c r="WXD26" s="609"/>
      <c r="WXE26" s="609"/>
      <c r="WXF26" s="609"/>
      <c r="WXG26" s="609"/>
      <c r="WXH26" s="609"/>
      <c r="WXI26" s="609"/>
      <c r="WXJ26" s="609"/>
      <c r="WXK26" s="609"/>
      <c r="WXL26" s="609"/>
      <c r="WXM26" s="609"/>
      <c r="WXN26" s="609"/>
      <c r="WXO26" s="609"/>
      <c r="WXP26" s="609"/>
      <c r="WXQ26" s="609"/>
      <c r="WXR26" s="609"/>
      <c r="WXS26" s="609"/>
      <c r="WXT26" s="609"/>
      <c r="WXU26" s="609"/>
      <c r="WXV26" s="609"/>
      <c r="WXW26" s="609"/>
      <c r="WXX26" s="609"/>
      <c r="WXY26" s="609"/>
      <c r="WXZ26" s="609"/>
      <c r="WYA26" s="609"/>
      <c r="WYB26" s="609"/>
      <c r="WYC26" s="609"/>
      <c r="WYD26" s="609"/>
      <c r="WYE26" s="609"/>
      <c r="WYF26" s="609"/>
      <c r="WYG26" s="609"/>
      <c r="WYH26" s="609"/>
      <c r="WYI26" s="609"/>
      <c r="WYJ26" s="609"/>
      <c r="WYK26" s="609"/>
      <c r="WYL26" s="609"/>
      <c r="WYM26" s="609"/>
      <c r="WYN26" s="609"/>
      <c r="WYO26" s="609"/>
      <c r="WYP26" s="609"/>
      <c r="WYQ26" s="609"/>
      <c r="WYR26" s="609"/>
      <c r="WYS26" s="609"/>
      <c r="WYT26" s="609"/>
      <c r="WYU26" s="609"/>
      <c r="WYV26" s="609"/>
      <c r="WYW26" s="609"/>
      <c r="WYX26" s="609"/>
      <c r="WYY26" s="609"/>
      <c r="WYZ26" s="609"/>
      <c r="WZA26" s="609"/>
      <c r="WZB26" s="609"/>
      <c r="WZC26" s="609"/>
      <c r="WZD26" s="609"/>
      <c r="WZE26" s="609"/>
      <c r="WZF26" s="609"/>
      <c r="WZG26" s="609"/>
      <c r="WZH26" s="609"/>
      <c r="WZI26" s="609"/>
      <c r="WZJ26" s="609"/>
      <c r="WZK26" s="609"/>
      <c r="WZL26" s="609"/>
      <c r="WZM26" s="609"/>
      <c r="WZN26" s="609"/>
      <c r="WZO26" s="609"/>
      <c r="WZP26" s="609"/>
      <c r="WZQ26" s="609"/>
      <c r="WZR26" s="609"/>
      <c r="WZS26" s="609"/>
      <c r="WZT26" s="609"/>
      <c r="WZU26" s="609"/>
      <c r="WZV26" s="609"/>
      <c r="WZW26" s="609"/>
      <c r="WZX26" s="609"/>
      <c r="WZY26" s="609"/>
      <c r="WZZ26" s="609"/>
      <c r="XAA26" s="609"/>
      <c r="XAB26" s="609"/>
      <c r="XAC26" s="609"/>
      <c r="XAD26" s="609"/>
      <c r="XAE26" s="609"/>
      <c r="XAF26" s="609"/>
      <c r="XAG26" s="609"/>
      <c r="XAH26" s="609"/>
      <c r="XAI26" s="609"/>
      <c r="XAJ26" s="609"/>
      <c r="XAK26" s="609"/>
      <c r="XAL26" s="609"/>
      <c r="XAM26" s="609"/>
      <c r="XAN26" s="609"/>
      <c r="XAO26" s="609"/>
      <c r="XAP26" s="609"/>
      <c r="XAQ26" s="609"/>
      <c r="XAR26" s="609"/>
      <c r="XAS26" s="609"/>
      <c r="XAT26" s="609"/>
      <c r="XAU26" s="609"/>
      <c r="XAV26" s="609"/>
      <c r="XAW26" s="609"/>
      <c r="XAX26" s="609"/>
      <c r="XAY26" s="609"/>
      <c r="XAZ26" s="609"/>
      <c r="XBA26" s="609"/>
      <c r="XBB26" s="609"/>
      <c r="XBC26" s="609"/>
      <c r="XBD26" s="609"/>
      <c r="XBE26" s="609"/>
      <c r="XBF26" s="609"/>
      <c r="XBG26" s="609"/>
      <c r="XBH26" s="609"/>
      <c r="XBI26" s="609"/>
      <c r="XBJ26" s="609"/>
      <c r="XBK26" s="609"/>
      <c r="XBL26" s="609"/>
      <c r="XBM26" s="609"/>
      <c r="XBN26" s="609"/>
      <c r="XBO26" s="609"/>
      <c r="XBP26" s="609"/>
      <c r="XBQ26" s="609"/>
      <c r="XBR26" s="609"/>
      <c r="XBS26" s="609"/>
      <c r="XBT26" s="609"/>
      <c r="XBU26" s="609"/>
      <c r="XBV26" s="609"/>
      <c r="XBW26" s="609"/>
      <c r="XBX26" s="609"/>
      <c r="XBY26" s="609"/>
      <c r="XBZ26" s="609"/>
      <c r="XCA26" s="609"/>
      <c r="XCB26" s="609"/>
      <c r="XCC26" s="609"/>
      <c r="XCD26" s="609"/>
      <c r="XCE26" s="609"/>
      <c r="XCF26" s="609"/>
      <c r="XCG26" s="609"/>
      <c r="XCH26" s="609"/>
      <c r="XCI26" s="609"/>
      <c r="XCJ26" s="609"/>
      <c r="XCK26" s="609"/>
      <c r="XCL26" s="609"/>
      <c r="XCM26" s="609"/>
      <c r="XCN26" s="609"/>
      <c r="XCO26" s="609"/>
      <c r="XCP26" s="609"/>
      <c r="XCQ26" s="609"/>
      <c r="XCR26" s="609"/>
      <c r="XCS26" s="609"/>
      <c r="XCT26" s="609"/>
      <c r="XCU26" s="609"/>
      <c r="XCV26" s="609"/>
      <c r="XCW26" s="609"/>
      <c r="XCX26" s="609"/>
      <c r="XCY26" s="609"/>
      <c r="XCZ26" s="609"/>
      <c r="XDA26" s="609"/>
      <c r="XDB26" s="609"/>
      <c r="XDC26" s="609"/>
      <c r="XDD26" s="609"/>
      <c r="XDE26" s="609"/>
      <c r="XDF26" s="609"/>
      <c r="XDG26" s="609"/>
      <c r="XDH26" s="609"/>
      <c r="XDI26" s="609"/>
      <c r="XDJ26" s="609"/>
      <c r="XDK26" s="609"/>
      <c r="XDL26" s="609"/>
      <c r="XDM26" s="609"/>
      <c r="XDN26" s="609"/>
      <c r="XDO26" s="609"/>
      <c r="XDP26" s="609"/>
      <c r="XDQ26" s="609"/>
      <c r="XDR26" s="609"/>
      <c r="XDS26" s="609"/>
      <c r="XDT26" s="609"/>
      <c r="XDU26" s="609"/>
      <c r="XDV26" s="609"/>
      <c r="XDW26" s="609"/>
      <c r="XDX26" s="609"/>
      <c r="XDY26" s="609"/>
      <c r="XDZ26" s="609"/>
      <c r="XEA26" s="609"/>
      <c r="XEB26" s="609"/>
      <c r="XEC26" s="609"/>
      <c r="XED26" s="609"/>
      <c r="XEE26" s="609"/>
      <c r="XEF26" s="609"/>
      <c r="XEG26" s="609"/>
      <c r="XEH26" s="609"/>
      <c r="XEI26" s="609"/>
      <c r="XEJ26" s="609"/>
      <c r="XEK26" s="609"/>
      <c r="XEL26" s="609"/>
      <c r="XEM26" s="609"/>
      <c r="XEN26" s="609"/>
      <c r="XEO26" s="609"/>
      <c r="XEP26" s="609"/>
      <c r="XEQ26" s="609"/>
      <c r="XER26" s="609"/>
      <c r="XES26" s="609"/>
      <c r="XET26" s="609"/>
      <c r="XEU26" s="609"/>
      <c r="XEV26" s="609"/>
      <c r="XEW26" s="609"/>
      <c r="XEX26" s="609"/>
      <c r="XEY26" s="609"/>
      <c r="XEZ26" s="609"/>
      <c r="XFA26" s="609"/>
    </row>
    <row r="27" spans="1:16381" s="143" customFormat="1" ht="33.75">
      <c r="A27" s="609" t="str">
        <f t="shared" si="0"/>
        <v>AXA Leben v. 01.06.2020</v>
      </c>
      <c r="B27" s="609">
        <f>ROW()</f>
        <v>27</v>
      </c>
      <c r="C27" s="635" t="s">
        <v>701</v>
      </c>
      <c r="D27" s="1201">
        <v>43983</v>
      </c>
      <c r="E27" s="636" t="s">
        <v>660</v>
      </c>
      <c r="F27" s="637" t="s">
        <v>472</v>
      </c>
      <c r="G27" s="634" t="str">
        <f t="shared" si="2"/>
        <v>TO ermöglicht: Tarifwechel; doppelten Kostenabzug;  Abweichungen vom gerichtl. festgelegten Ausgleichswert;  Verzinsung zwischen EzE und RK geltend machen</v>
      </c>
      <c r="I27" s="634"/>
      <c r="J27" s="790"/>
      <c r="K27" s="1199">
        <v>1</v>
      </c>
      <c r="L27" s="1199">
        <v>2</v>
      </c>
      <c r="M27" s="1199">
        <v>3</v>
      </c>
      <c r="N27" s="1199">
        <v>4</v>
      </c>
      <c r="O27" s="634"/>
      <c r="P27" s="144"/>
      <c r="Q27" s="609"/>
      <c r="R27" s="609"/>
      <c r="S27" s="609"/>
      <c r="T27" s="609"/>
      <c r="U27" s="609"/>
      <c r="V27" s="609"/>
      <c r="W27" s="609"/>
      <c r="X27" s="609"/>
      <c r="Y27" s="609"/>
      <c r="Z27" s="609"/>
      <c r="AA27" s="609"/>
      <c r="AB27" s="609"/>
      <c r="AC27" s="609"/>
      <c r="AD27" s="609"/>
      <c r="AE27" s="609"/>
      <c r="AF27" s="609"/>
      <c r="AG27" s="609"/>
      <c r="AH27" s="609"/>
      <c r="AI27" s="609"/>
      <c r="AJ27" s="609"/>
      <c r="AK27" s="609"/>
      <c r="AL27" s="609"/>
      <c r="AM27" s="609"/>
      <c r="AN27" s="609"/>
      <c r="AO27" s="609"/>
      <c r="AP27" s="609"/>
      <c r="AQ27" s="609"/>
      <c r="AR27" s="609"/>
      <c r="AS27" s="609"/>
      <c r="AT27" s="609"/>
      <c r="AU27" s="609"/>
      <c r="AV27" s="609"/>
      <c r="AW27" s="609"/>
      <c r="AX27" s="609"/>
      <c r="AY27" s="609"/>
      <c r="AZ27" s="609"/>
      <c r="BA27" s="609"/>
      <c r="BB27" s="609"/>
      <c r="BC27" s="609"/>
      <c r="BD27" s="609"/>
      <c r="BE27" s="609"/>
      <c r="BF27" s="609"/>
      <c r="BG27" s="609"/>
      <c r="BH27" s="609"/>
      <c r="BI27" s="609"/>
      <c r="BJ27" s="609"/>
      <c r="BK27" s="609"/>
      <c r="BL27" s="609"/>
      <c r="BM27" s="609"/>
      <c r="BN27" s="609"/>
      <c r="BO27" s="609"/>
      <c r="BP27" s="609"/>
      <c r="BQ27" s="609"/>
      <c r="BR27" s="609"/>
      <c r="BS27" s="609"/>
      <c r="BT27" s="609"/>
      <c r="BU27" s="609"/>
      <c r="BV27" s="609"/>
      <c r="BW27" s="609"/>
      <c r="BX27" s="609"/>
      <c r="BY27" s="609"/>
      <c r="BZ27" s="609"/>
      <c r="CA27" s="609"/>
      <c r="CB27" s="609"/>
      <c r="CC27" s="609"/>
      <c r="CD27" s="609"/>
      <c r="CE27" s="609"/>
      <c r="CF27" s="609"/>
      <c r="CG27" s="609"/>
      <c r="CH27" s="609"/>
      <c r="CI27" s="609"/>
      <c r="CJ27" s="609"/>
      <c r="CK27" s="609"/>
      <c r="CL27" s="609"/>
      <c r="CM27" s="609"/>
      <c r="CN27" s="609"/>
      <c r="CO27" s="609"/>
      <c r="CP27" s="609"/>
      <c r="CQ27" s="609"/>
      <c r="CR27" s="609"/>
      <c r="CS27" s="609"/>
      <c r="CT27" s="609"/>
      <c r="CU27" s="609"/>
      <c r="CV27" s="609"/>
      <c r="CW27" s="609"/>
      <c r="CX27" s="609"/>
      <c r="CY27" s="609"/>
      <c r="CZ27" s="609"/>
      <c r="DA27" s="609"/>
      <c r="DB27" s="609"/>
      <c r="DC27" s="609"/>
      <c r="DD27" s="609"/>
      <c r="DE27" s="609"/>
      <c r="DF27" s="609"/>
      <c r="DG27" s="609"/>
      <c r="DH27" s="609"/>
      <c r="DI27" s="609"/>
      <c r="DJ27" s="609"/>
      <c r="DK27" s="609"/>
      <c r="DL27" s="609"/>
      <c r="DM27" s="609"/>
      <c r="DN27" s="609"/>
      <c r="DO27" s="609"/>
      <c r="DP27" s="609"/>
      <c r="DQ27" s="609"/>
      <c r="DR27" s="609"/>
      <c r="DS27" s="609"/>
      <c r="DT27" s="609"/>
      <c r="DU27" s="609"/>
      <c r="DV27" s="609"/>
      <c r="DW27" s="609"/>
      <c r="DX27" s="609"/>
      <c r="DY27" s="609"/>
      <c r="DZ27" s="609"/>
      <c r="EA27" s="609"/>
      <c r="EB27" s="609"/>
      <c r="EC27" s="609"/>
      <c r="ED27" s="609"/>
      <c r="EE27" s="609"/>
      <c r="EF27" s="609"/>
      <c r="EG27" s="609"/>
      <c r="EH27" s="609"/>
      <c r="EI27" s="609"/>
      <c r="EJ27" s="609"/>
      <c r="EK27" s="609"/>
      <c r="EL27" s="609"/>
      <c r="EM27" s="609"/>
      <c r="EN27" s="609"/>
      <c r="EO27" s="609"/>
      <c r="EP27" s="609"/>
      <c r="EQ27" s="609"/>
      <c r="ER27" s="609"/>
      <c r="ES27" s="609"/>
      <c r="ET27" s="609"/>
      <c r="EU27" s="609"/>
      <c r="EV27" s="609"/>
      <c r="EW27" s="609"/>
      <c r="EX27" s="609"/>
      <c r="EY27" s="609"/>
      <c r="EZ27" s="609"/>
      <c r="FA27" s="609"/>
      <c r="FB27" s="609"/>
      <c r="FC27" s="609"/>
      <c r="FD27" s="609"/>
      <c r="FE27" s="609"/>
      <c r="FF27" s="609"/>
      <c r="FG27" s="609"/>
      <c r="FH27" s="609"/>
      <c r="FI27" s="609"/>
      <c r="FJ27" s="609"/>
      <c r="FK27" s="609"/>
      <c r="FL27" s="609"/>
      <c r="FM27" s="609"/>
      <c r="FN27" s="609"/>
      <c r="FO27" s="609"/>
      <c r="FP27" s="609"/>
      <c r="FQ27" s="609"/>
      <c r="FR27" s="609"/>
      <c r="FS27" s="609"/>
      <c r="FT27" s="609"/>
      <c r="FU27" s="609"/>
      <c r="FV27" s="609"/>
      <c r="FW27" s="609"/>
      <c r="FX27" s="609"/>
      <c r="FY27" s="609"/>
      <c r="FZ27" s="609"/>
      <c r="GA27" s="609"/>
      <c r="GB27" s="609"/>
      <c r="GC27" s="609"/>
      <c r="GD27" s="609"/>
      <c r="GE27" s="609"/>
      <c r="GF27" s="609"/>
      <c r="GG27" s="609"/>
      <c r="GH27" s="609"/>
      <c r="GI27" s="609"/>
      <c r="GJ27" s="609"/>
      <c r="GK27" s="609"/>
      <c r="GL27" s="609"/>
      <c r="GM27" s="609"/>
      <c r="GN27" s="609"/>
      <c r="GO27" s="609"/>
      <c r="GP27" s="609"/>
      <c r="GQ27" s="609"/>
      <c r="GR27" s="609"/>
      <c r="GS27" s="609"/>
      <c r="GT27" s="609"/>
      <c r="GU27" s="609"/>
      <c r="GV27" s="609"/>
      <c r="GW27" s="609"/>
      <c r="GX27" s="609"/>
      <c r="GY27" s="609"/>
      <c r="GZ27" s="609"/>
      <c r="HA27" s="609"/>
      <c r="HB27" s="609"/>
      <c r="HC27" s="609"/>
      <c r="HD27" s="609"/>
      <c r="HE27" s="609"/>
      <c r="HF27" s="609"/>
      <c r="HG27" s="609"/>
      <c r="HH27" s="609"/>
      <c r="HI27" s="609"/>
      <c r="HJ27" s="609"/>
      <c r="HK27" s="609"/>
      <c r="HL27" s="609"/>
      <c r="HM27" s="609"/>
      <c r="HN27" s="609"/>
      <c r="HO27" s="609"/>
      <c r="HP27" s="609"/>
      <c r="HQ27" s="609"/>
      <c r="HR27" s="609"/>
      <c r="HS27" s="609"/>
      <c r="HT27" s="609"/>
      <c r="HU27" s="609"/>
      <c r="HV27" s="609"/>
      <c r="HW27" s="609"/>
      <c r="HX27" s="609"/>
      <c r="HY27" s="609"/>
      <c r="HZ27" s="609"/>
      <c r="IA27" s="609"/>
      <c r="IB27" s="609"/>
      <c r="IC27" s="609"/>
      <c r="ID27" s="609"/>
      <c r="IE27" s="609"/>
      <c r="IF27" s="609"/>
      <c r="IG27" s="609"/>
      <c r="IH27" s="609"/>
      <c r="II27" s="609"/>
      <c r="IJ27" s="609"/>
      <c r="IK27" s="609"/>
      <c r="IL27" s="609"/>
      <c r="IM27" s="609"/>
      <c r="IN27" s="609"/>
      <c r="IO27" s="609"/>
      <c r="IP27" s="609"/>
      <c r="IQ27" s="609"/>
      <c r="IR27" s="609"/>
      <c r="IS27" s="609"/>
      <c r="IT27" s="609"/>
      <c r="IU27" s="609"/>
      <c r="IV27" s="609"/>
      <c r="IW27" s="609"/>
      <c r="IX27" s="609"/>
      <c r="IY27" s="609"/>
      <c r="IZ27" s="609"/>
      <c r="JA27" s="609"/>
      <c r="JB27" s="609"/>
      <c r="JC27" s="609"/>
      <c r="JD27" s="609"/>
      <c r="JE27" s="609"/>
      <c r="JF27" s="609"/>
      <c r="JG27" s="609"/>
      <c r="JH27" s="609"/>
      <c r="JI27" s="609"/>
      <c r="JJ27" s="609"/>
      <c r="JK27" s="609"/>
      <c r="JL27" s="609"/>
      <c r="JM27" s="609"/>
      <c r="JN27" s="609"/>
      <c r="JO27" s="609"/>
      <c r="JP27" s="609"/>
      <c r="JQ27" s="609"/>
      <c r="JR27" s="609"/>
      <c r="JS27" s="609"/>
      <c r="JT27" s="609"/>
      <c r="JU27" s="609"/>
      <c r="JV27" s="609"/>
      <c r="JW27" s="609"/>
      <c r="JX27" s="609"/>
      <c r="JY27" s="609"/>
      <c r="JZ27" s="609"/>
      <c r="KA27" s="609"/>
      <c r="KB27" s="609"/>
      <c r="KC27" s="609"/>
      <c r="KD27" s="609"/>
      <c r="KE27" s="609"/>
      <c r="KF27" s="609"/>
      <c r="KG27" s="609"/>
      <c r="KH27" s="609"/>
      <c r="KI27" s="609"/>
      <c r="KJ27" s="609"/>
      <c r="KK27" s="609"/>
      <c r="KL27" s="609"/>
      <c r="KM27" s="609"/>
      <c r="KN27" s="609"/>
      <c r="KO27" s="609"/>
      <c r="KP27" s="609"/>
      <c r="KQ27" s="609"/>
      <c r="KR27" s="609"/>
      <c r="KS27" s="609"/>
      <c r="KT27" s="609"/>
      <c r="KU27" s="609"/>
      <c r="KV27" s="609"/>
      <c r="KW27" s="609"/>
      <c r="KX27" s="609"/>
      <c r="KY27" s="609"/>
      <c r="KZ27" s="609"/>
      <c r="LA27" s="609"/>
      <c r="LB27" s="609"/>
      <c r="LC27" s="609"/>
      <c r="LD27" s="609"/>
      <c r="LE27" s="609"/>
      <c r="LF27" s="609"/>
      <c r="LG27" s="609"/>
      <c r="LH27" s="609"/>
      <c r="LI27" s="609"/>
      <c r="LJ27" s="609"/>
      <c r="LK27" s="609"/>
      <c r="LL27" s="609"/>
      <c r="LM27" s="609"/>
      <c r="LN27" s="609"/>
      <c r="LO27" s="609"/>
      <c r="LP27" s="609"/>
      <c r="LQ27" s="609"/>
      <c r="LR27" s="609"/>
      <c r="LS27" s="609"/>
      <c r="LT27" s="609"/>
      <c r="LU27" s="609"/>
      <c r="LV27" s="609"/>
      <c r="LW27" s="609"/>
      <c r="LX27" s="609"/>
      <c r="LY27" s="609"/>
      <c r="LZ27" s="609"/>
      <c r="MA27" s="609"/>
      <c r="MB27" s="609"/>
      <c r="MC27" s="609"/>
      <c r="MD27" s="609"/>
      <c r="ME27" s="609"/>
      <c r="MF27" s="609"/>
      <c r="MG27" s="609"/>
      <c r="MH27" s="609"/>
      <c r="MI27" s="609"/>
      <c r="MJ27" s="609"/>
      <c r="MK27" s="609"/>
      <c r="ML27" s="609"/>
      <c r="MM27" s="609"/>
      <c r="MN27" s="609"/>
      <c r="MO27" s="609"/>
      <c r="MP27" s="609"/>
      <c r="MQ27" s="609"/>
      <c r="MR27" s="609"/>
      <c r="MS27" s="609"/>
      <c r="MT27" s="609"/>
      <c r="MU27" s="609"/>
      <c r="MV27" s="609"/>
      <c r="MW27" s="609"/>
      <c r="MX27" s="609"/>
      <c r="MY27" s="609"/>
      <c r="MZ27" s="609"/>
      <c r="NA27" s="609"/>
      <c r="NB27" s="609"/>
      <c r="NC27" s="609"/>
      <c r="ND27" s="609"/>
      <c r="NE27" s="609"/>
      <c r="NF27" s="609"/>
      <c r="NG27" s="609"/>
      <c r="NH27" s="609"/>
      <c r="NI27" s="609"/>
      <c r="NJ27" s="609"/>
      <c r="NK27" s="609"/>
      <c r="NL27" s="609"/>
      <c r="NM27" s="609"/>
      <c r="NN27" s="609"/>
      <c r="NO27" s="609"/>
      <c r="NP27" s="609"/>
      <c r="NQ27" s="609"/>
      <c r="NR27" s="609"/>
      <c r="NS27" s="609"/>
      <c r="NT27" s="609"/>
      <c r="NU27" s="609"/>
      <c r="NV27" s="609"/>
      <c r="NW27" s="609"/>
      <c r="NX27" s="609"/>
      <c r="NY27" s="609"/>
      <c r="NZ27" s="609"/>
      <c r="OA27" s="609"/>
      <c r="OB27" s="609"/>
      <c r="OC27" s="609"/>
      <c r="OD27" s="609"/>
      <c r="OE27" s="609"/>
      <c r="OF27" s="609"/>
      <c r="OG27" s="609"/>
      <c r="OH27" s="609"/>
      <c r="OI27" s="609"/>
      <c r="OJ27" s="609"/>
      <c r="OK27" s="609"/>
      <c r="OL27" s="609"/>
      <c r="OM27" s="609"/>
      <c r="ON27" s="609"/>
      <c r="OO27" s="609"/>
      <c r="OP27" s="609"/>
      <c r="OQ27" s="609"/>
      <c r="OR27" s="609"/>
      <c r="OS27" s="609"/>
      <c r="OT27" s="609"/>
      <c r="OU27" s="609"/>
      <c r="OV27" s="609"/>
      <c r="OW27" s="609"/>
      <c r="OX27" s="609"/>
      <c r="OY27" s="609"/>
      <c r="OZ27" s="609"/>
      <c r="PA27" s="609"/>
      <c r="PB27" s="609"/>
      <c r="PC27" s="609"/>
      <c r="PD27" s="609"/>
      <c r="PE27" s="609"/>
      <c r="PF27" s="609"/>
      <c r="PG27" s="609"/>
      <c r="PH27" s="609"/>
      <c r="PI27" s="609"/>
      <c r="PJ27" s="609"/>
      <c r="PK27" s="609"/>
      <c r="PL27" s="609"/>
      <c r="PM27" s="609"/>
      <c r="PN27" s="609"/>
      <c r="PO27" s="609"/>
      <c r="PP27" s="609"/>
      <c r="PQ27" s="609"/>
      <c r="PR27" s="609"/>
      <c r="PS27" s="609"/>
      <c r="PT27" s="609"/>
      <c r="PU27" s="609"/>
      <c r="PV27" s="609"/>
      <c r="PW27" s="609"/>
      <c r="PX27" s="609"/>
      <c r="PY27" s="609"/>
      <c r="PZ27" s="609"/>
      <c r="QA27" s="609"/>
      <c r="QB27" s="609"/>
      <c r="QC27" s="609"/>
      <c r="QD27" s="609"/>
      <c r="QE27" s="609"/>
      <c r="QF27" s="609"/>
      <c r="QG27" s="609"/>
      <c r="QH27" s="609"/>
      <c r="QI27" s="609"/>
      <c r="QJ27" s="609"/>
      <c r="QK27" s="609"/>
      <c r="QL27" s="609"/>
      <c r="QM27" s="609"/>
      <c r="QN27" s="609"/>
      <c r="QO27" s="609"/>
      <c r="QP27" s="609"/>
      <c r="QQ27" s="609"/>
      <c r="QR27" s="609"/>
      <c r="QS27" s="609"/>
      <c r="QT27" s="609"/>
      <c r="QU27" s="609"/>
      <c r="QV27" s="609"/>
      <c r="QW27" s="609"/>
      <c r="QX27" s="609"/>
      <c r="QY27" s="609"/>
      <c r="QZ27" s="609"/>
      <c r="RA27" s="609"/>
      <c r="RB27" s="609"/>
      <c r="RC27" s="609"/>
      <c r="RD27" s="609"/>
      <c r="RE27" s="609"/>
      <c r="RF27" s="609"/>
      <c r="RG27" s="609"/>
      <c r="RH27" s="609"/>
      <c r="RI27" s="609"/>
      <c r="RJ27" s="609"/>
      <c r="RK27" s="609"/>
      <c r="RL27" s="609"/>
      <c r="RM27" s="609"/>
      <c r="RN27" s="609"/>
      <c r="RO27" s="609"/>
      <c r="RP27" s="609"/>
      <c r="RQ27" s="609"/>
      <c r="RR27" s="609"/>
      <c r="RS27" s="609"/>
      <c r="RT27" s="609"/>
      <c r="RU27" s="609"/>
      <c r="RV27" s="609"/>
      <c r="RW27" s="609"/>
      <c r="RX27" s="609"/>
      <c r="RY27" s="609"/>
      <c r="RZ27" s="609"/>
      <c r="SA27" s="609"/>
      <c r="SB27" s="609"/>
      <c r="SC27" s="609"/>
      <c r="SD27" s="609"/>
      <c r="SE27" s="609"/>
      <c r="SF27" s="609"/>
      <c r="SG27" s="609"/>
      <c r="SH27" s="609"/>
      <c r="SI27" s="609"/>
      <c r="SJ27" s="609"/>
      <c r="SK27" s="609"/>
      <c r="SL27" s="609"/>
      <c r="SM27" s="609"/>
      <c r="SN27" s="609"/>
      <c r="SO27" s="609"/>
      <c r="SP27" s="609"/>
      <c r="SQ27" s="609"/>
      <c r="SR27" s="609"/>
      <c r="SS27" s="609"/>
      <c r="ST27" s="609"/>
      <c r="SU27" s="609"/>
      <c r="SV27" s="609"/>
      <c r="SW27" s="609"/>
      <c r="SX27" s="609"/>
      <c r="SY27" s="609"/>
      <c r="SZ27" s="609"/>
      <c r="TA27" s="609"/>
      <c r="TB27" s="609"/>
      <c r="TC27" s="609"/>
      <c r="TD27" s="609"/>
      <c r="TE27" s="609"/>
      <c r="TF27" s="609"/>
      <c r="TG27" s="609"/>
      <c r="TH27" s="609"/>
      <c r="TI27" s="609"/>
      <c r="TJ27" s="609"/>
      <c r="TK27" s="609"/>
      <c r="TL27" s="609"/>
      <c r="TM27" s="609"/>
      <c r="TN27" s="609"/>
      <c r="TO27" s="609"/>
      <c r="TP27" s="609"/>
      <c r="TQ27" s="609"/>
      <c r="TR27" s="609"/>
      <c r="TS27" s="609"/>
      <c r="TT27" s="609"/>
      <c r="TU27" s="609"/>
      <c r="TV27" s="609"/>
      <c r="TW27" s="609"/>
      <c r="TX27" s="609"/>
      <c r="TY27" s="609"/>
      <c r="TZ27" s="609"/>
      <c r="UA27" s="609"/>
      <c r="UB27" s="609"/>
      <c r="UC27" s="609"/>
      <c r="UD27" s="609"/>
      <c r="UE27" s="609"/>
      <c r="UF27" s="609"/>
      <c r="UG27" s="609"/>
      <c r="UH27" s="609"/>
      <c r="UI27" s="609"/>
      <c r="UJ27" s="609"/>
      <c r="UK27" s="609"/>
      <c r="UL27" s="609"/>
      <c r="UM27" s="609"/>
      <c r="UN27" s="609"/>
      <c r="UO27" s="609"/>
      <c r="UP27" s="609"/>
      <c r="UQ27" s="609"/>
      <c r="UR27" s="609"/>
      <c r="US27" s="609"/>
      <c r="UT27" s="609"/>
      <c r="UU27" s="609"/>
      <c r="UV27" s="609"/>
      <c r="UW27" s="609"/>
      <c r="UX27" s="609"/>
      <c r="UY27" s="609"/>
      <c r="UZ27" s="609"/>
      <c r="VA27" s="609"/>
      <c r="VB27" s="609"/>
      <c r="VC27" s="609"/>
      <c r="VD27" s="609"/>
      <c r="VE27" s="609"/>
      <c r="VF27" s="609"/>
      <c r="VG27" s="609"/>
      <c r="VH27" s="609"/>
      <c r="VI27" s="609"/>
      <c r="VJ27" s="609"/>
      <c r="VK27" s="609"/>
      <c r="VL27" s="609"/>
      <c r="VM27" s="609"/>
      <c r="VN27" s="609"/>
      <c r="VO27" s="609"/>
      <c r="VP27" s="609"/>
      <c r="VQ27" s="609"/>
      <c r="VR27" s="609"/>
      <c r="VS27" s="609"/>
      <c r="VT27" s="609"/>
      <c r="VU27" s="609"/>
      <c r="VV27" s="609"/>
      <c r="VW27" s="609"/>
      <c r="VX27" s="609"/>
      <c r="VY27" s="609"/>
      <c r="VZ27" s="609"/>
      <c r="WA27" s="609"/>
      <c r="WB27" s="609"/>
      <c r="WC27" s="609"/>
      <c r="WD27" s="609"/>
      <c r="WE27" s="609"/>
      <c r="WF27" s="609"/>
      <c r="WG27" s="609"/>
      <c r="WH27" s="609"/>
      <c r="WI27" s="609"/>
      <c r="WJ27" s="609"/>
      <c r="WK27" s="609"/>
      <c r="WL27" s="609"/>
      <c r="WM27" s="609"/>
      <c r="WN27" s="609"/>
      <c r="WO27" s="609"/>
      <c r="WP27" s="609"/>
      <c r="WQ27" s="609"/>
      <c r="WR27" s="609"/>
      <c r="WS27" s="609"/>
      <c r="WT27" s="609"/>
      <c r="WU27" s="609"/>
      <c r="WV27" s="609"/>
      <c r="WW27" s="609"/>
      <c r="WX27" s="609"/>
      <c r="WY27" s="609"/>
      <c r="WZ27" s="609"/>
      <c r="XA27" s="609"/>
      <c r="XB27" s="609"/>
      <c r="XC27" s="609"/>
      <c r="XD27" s="609"/>
      <c r="XE27" s="609"/>
      <c r="XF27" s="609"/>
      <c r="XG27" s="609"/>
      <c r="XH27" s="609"/>
      <c r="XI27" s="609"/>
      <c r="XJ27" s="609"/>
      <c r="XK27" s="609"/>
      <c r="XL27" s="609"/>
      <c r="XM27" s="609"/>
      <c r="XN27" s="609"/>
      <c r="XO27" s="609"/>
      <c r="XP27" s="609"/>
      <c r="XQ27" s="609"/>
      <c r="XR27" s="609"/>
      <c r="XS27" s="609"/>
      <c r="XT27" s="609"/>
      <c r="XU27" s="609"/>
      <c r="XV27" s="609"/>
      <c r="XW27" s="609"/>
      <c r="XX27" s="609"/>
      <c r="XY27" s="609"/>
      <c r="XZ27" s="609"/>
      <c r="YA27" s="609"/>
      <c r="YB27" s="609"/>
      <c r="YC27" s="609"/>
      <c r="YD27" s="609"/>
      <c r="YE27" s="609"/>
      <c r="YF27" s="609"/>
      <c r="YG27" s="609"/>
      <c r="YH27" s="609"/>
      <c r="YI27" s="609"/>
      <c r="YJ27" s="609"/>
      <c r="YK27" s="609"/>
      <c r="YL27" s="609"/>
      <c r="YM27" s="609"/>
      <c r="YN27" s="609"/>
      <c r="YO27" s="609"/>
      <c r="YP27" s="609"/>
      <c r="YQ27" s="609"/>
      <c r="YR27" s="609"/>
      <c r="YS27" s="609"/>
      <c r="YT27" s="609"/>
      <c r="YU27" s="609"/>
      <c r="YV27" s="609"/>
      <c r="YW27" s="609"/>
      <c r="YX27" s="609"/>
      <c r="YY27" s="609"/>
      <c r="YZ27" s="609"/>
      <c r="ZA27" s="609"/>
      <c r="ZB27" s="609"/>
      <c r="ZC27" s="609"/>
      <c r="ZD27" s="609"/>
      <c r="ZE27" s="609"/>
      <c r="ZF27" s="609"/>
      <c r="ZG27" s="609"/>
      <c r="ZH27" s="609"/>
      <c r="ZI27" s="609"/>
      <c r="ZJ27" s="609"/>
      <c r="ZK27" s="609"/>
      <c r="ZL27" s="609"/>
      <c r="ZM27" s="609"/>
      <c r="ZN27" s="609"/>
      <c r="ZO27" s="609"/>
      <c r="ZP27" s="609"/>
      <c r="ZQ27" s="609"/>
      <c r="ZR27" s="609"/>
      <c r="ZS27" s="609"/>
      <c r="ZT27" s="609"/>
      <c r="ZU27" s="609"/>
      <c r="ZV27" s="609"/>
      <c r="ZW27" s="609"/>
      <c r="ZX27" s="609"/>
      <c r="ZY27" s="609"/>
      <c r="ZZ27" s="609"/>
      <c r="AAA27" s="609"/>
      <c r="AAB27" s="609"/>
      <c r="AAC27" s="609"/>
      <c r="AAD27" s="609"/>
      <c r="AAE27" s="609"/>
      <c r="AAF27" s="609"/>
      <c r="AAG27" s="609"/>
      <c r="AAH27" s="609"/>
      <c r="AAI27" s="609"/>
      <c r="AAJ27" s="609"/>
      <c r="AAK27" s="609"/>
      <c r="AAL27" s="609"/>
      <c r="AAM27" s="609"/>
      <c r="AAN27" s="609"/>
      <c r="AAO27" s="609"/>
      <c r="AAP27" s="609"/>
      <c r="AAQ27" s="609"/>
      <c r="AAR27" s="609"/>
      <c r="AAS27" s="609"/>
      <c r="AAT27" s="609"/>
      <c r="AAU27" s="609"/>
      <c r="AAV27" s="609"/>
      <c r="AAW27" s="609"/>
      <c r="AAX27" s="609"/>
      <c r="AAY27" s="609"/>
      <c r="AAZ27" s="609"/>
      <c r="ABA27" s="609"/>
      <c r="ABB27" s="609"/>
      <c r="ABC27" s="609"/>
      <c r="ABD27" s="609"/>
      <c r="ABE27" s="609"/>
      <c r="ABF27" s="609"/>
      <c r="ABG27" s="609"/>
      <c r="ABH27" s="609"/>
      <c r="ABI27" s="609"/>
      <c r="ABJ27" s="609"/>
      <c r="ABK27" s="609"/>
      <c r="ABL27" s="609"/>
      <c r="ABM27" s="609"/>
      <c r="ABN27" s="609"/>
      <c r="ABO27" s="609"/>
      <c r="ABP27" s="609"/>
      <c r="ABQ27" s="609"/>
      <c r="ABR27" s="609"/>
      <c r="ABS27" s="609"/>
      <c r="ABT27" s="609"/>
      <c r="ABU27" s="609"/>
      <c r="ABV27" s="609"/>
      <c r="ABW27" s="609"/>
      <c r="ABX27" s="609"/>
      <c r="ABY27" s="609"/>
      <c r="ABZ27" s="609"/>
      <c r="ACA27" s="609"/>
      <c r="ACB27" s="609"/>
      <c r="ACC27" s="609"/>
      <c r="ACD27" s="609"/>
      <c r="ACE27" s="609"/>
      <c r="ACF27" s="609"/>
      <c r="ACG27" s="609"/>
      <c r="ACH27" s="609"/>
      <c r="ACI27" s="609"/>
      <c r="ACJ27" s="609"/>
      <c r="ACK27" s="609"/>
      <c r="ACL27" s="609"/>
      <c r="ACM27" s="609"/>
      <c r="ACN27" s="609"/>
      <c r="ACO27" s="609"/>
      <c r="ACP27" s="609"/>
      <c r="ACQ27" s="609"/>
      <c r="ACR27" s="609"/>
      <c r="ACS27" s="609"/>
      <c r="ACT27" s="609"/>
      <c r="ACU27" s="609"/>
      <c r="ACV27" s="609"/>
      <c r="ACW27" s="609"/>
      <c r="ACX27" s="609"/>
      <c r="ACY27" s="609"/>
      <c r="ACZ27" s="609"/>
      <c r="ADA27" s="609"/>
      <c r="ADB27" s="609"/>
      <c r="ADC27" s="609"/>
      <c r="ADD27" s="609"/>
      <c r="ADE27" s="609"/>
      <c r="ADF27" s="609"/>
      <c r="ADG27" s="609"/>
      <c r="ADH27" s="609"/>
      <c r="ADI27" s="609"/>
      <c r="ADJ27" s="609"/>
      <c r="ADK27" s="609"/>
      <c r="ADL27" s="609"/>
      <c r="ADM27" s="609"/>
      <c r="ADN27" s="609"/>
      <c r="ADO27" s="609"/>
      <c r="ADP27" s="609"/>
      <c r="ADQ27" s="609"/>
      <c r="ADR27" s="609"/>
      <c r="ADS27" s="609"/>
      <c r="ADT27" s="609"/>
      <c r="ADU27" s="609"/>
      <c r="ADV27" s="609"/>
      <c r="ADW27" s="609"/>
      <c r="ADX27" s="609"/>
      <c r="ADY27" s="609"/>
      <c r="ADZ27" s="609"/>
      <c r="AEA27" s="609"/>
      <c r="AEB27" s="609"/>
      <c r="AEC27" s="609"/>
      <c r="AED27" s="609"/>
      <c r="AEE27" s="609"/>
      <c r="AEF27" s="609"/>
      <c r="AEG27" s="609"/>
      <c r="AEH27" s="609"/>
      <c r="AEI27" s="609"/>
      <c r="AEJ27" s="609"/>
      <c r="AEK27" s="609"/>
      <c r="AEL27" s="609"/>
      <c r="AEM27" s="609"/>
      <c r="AEN27" s="609"/>
      <c r="AEO27" s="609"/>
      <c r="AEP27" s="609"/>
      <c r="AEQ27" s="609"/>
      <c r="AER27" s="609"/>
      <c r="AES27" s="609"/>
      <c r="AET27" s="609"/>
      <c r="AEU27" s="609"/>
      <c r="AEV27" s="609"/>
      <c r="AEW27" s="609"/>
      <c r="AEX27" s="609"/>
      <c r="AEY27" s="609"/>
      <c r="AEZ27" s="609"/>
      <c r="AFA27" s="609"/>
      <c r="AFB27" s="609"/>
      <c r="AFC27" s="609"/>
      <c r="AFD27" s="609"/>
      <c r="AFE27" s="609"/>
      <c r="AFF27" s="609"/>
      <c r="AFG27" s="609"/>
      <c r="AFH27" s="609"/>
      <c r="AFI27" s="609"/>
      <c r="AFJ27" s="609"/>
      <c r="AFK27" s="609"/>
      <c r="AFL27" s="609"/>
      <c r="AFM27" s="609"/>
      <c r="AFN27" s="609"/>
      <c r="AFO27" s="609"/>
      <c r="AFP27" s="609"/>
      <c r="AFQ27" s="609"/>
      <c r="AFR27" s="609"/>
      <c r="AFS27" s="609"/>
      <c r="AFT27" s="609"/>
      <c r="AFU27" s="609"/>
      <c r="AFV27" s="609"/>
      <c r="AFW27" s="609"/>
      <c r="AFX27" s="609"/>
      <c r="AFY27" s="609"/>
      <c r="AFZ27" s="609"/>
      <c r="AGA27" s="609"/>
      <c r="AGB27" s="609"/>
      <c r="AGC27" s="609"/>
      <c r="AGD27" s="609"/>
      <c r="AGE27" s="609"/>
      <c r="AGF27" s="609"/>
      <c r="AGG27" s="609"/>
      <c r="AGH27" s="609"/>
      <c r="AGI27" s="609"/>
      <c r="AGJ27" s="609"/>
      <c r="AGK27" s="609"/>
      <c r="AGL27" s="609"/>
      <c r="AGM27" s="609"/>
      <c r="AGN27" s="609"/>
      <c r="AGO27" s="609"/>
      <c r="AGP27" s="609"/>
      <c r="AGQ27" s="609"/>
      <c r="AGR27" s="609"/>
      <c r="AGS27" s="609"/>
      <c r="AGT27" s="609"/>
      <c r="AGU27" s="609"/>
      <c r="AGV27" s="609"/>
      <c r="AGW27" s="609"/>
      <c r="AGX27" s="609"/>
      <c r="AGY27" s="609"/>
      <c r="AGZ27" s="609"/>
      <c r="AHA27" s="609"/>
      <c r="AHB27" s="609"/>
      <c r="AHC27" s="609"/>
      <c r="AHD27" s="609"/>
      <c r="AHE27" s="609"/>
      <c r="AHF27" s="609"/>
      <c r="AHG27" s="609"/>
      <c r="AHH27" s="609"/>
      <c r="AHI27" s="609"/>
      <c r="AHJ27" s="609"/>
      <c r="AHK27" s="609"/>
      <c r="AHL27" s="609"/>
      <c r="AHM27" s="609"/>
      <c r="AHN27" s="609"/>
      <c r="AHO27" s="609"/>
      <c r="AHP27" s="609"/>
      <c r="AHQ27" s="609"/>
      <c r="AHR27" s="609"/>
      <c r="AHS27" s="609"/>
      <c r="AHT27" s="609"/>
      <c r="AHU27" s="609"/>
      <c r="AHV27" s="609"/>
      <c r="AHW27" s="609"/>
      <c r="AHX27" s="609"/>
      <c r="AHY27" s="609"/>
      <c r="AHZ27" s="609"/>
      <c r="AIA27" s="609"/>
      <c r="AIB27" s="609"/>
      <c r="AIC27" s="609"/>
      <c r="AID27" s="609"/>
      <c r="AIE27" s="609"/>
      <c r="AIF27" s="609"/>
      <c r="AIG27" s="609"/>
      <c r="AIH27" s="609"/>
      <c r="AII27" s="609"/>
      <c r="AIJ27" s="609"/>
      <c r="AIK27" s="609"/>
      <c r="AIL27" s="609"/>
      <c r="AIM27" s="609"/>
      <c r="AIN27" s="609"/>
      <c r="AIO27" s="609"/>
      <c r="AIP27" s="609"/>
      <c r="AIQ27" s="609"/>
      <c r="AIR27" s="609"/>
      <c r="AIS27" s="609"/>
      <c r="AIT27" s="609"/>
      <c r="AIU27" s="609"/>
      <c r="AIV27" s="609"/>
      <c r="AIW27" s="609"/>
      <c r="AIX27" s="609"/>
      <c r="AIY27" s="609"/>
      <c r="AIZ27" s="609"/>
      <c r="AJA27" s="609"/>
      <c r="AJB27" s="609"/>
      <c r="AJC27" s="609"/>
      <c r="AJD27" s="609"/>
      <c r="AJE27" s="609"/>
      <c r="AJF27" s="609"/>
      <c r="AJG27" s="609"/>
      <c r="AJH27" s="609"/>
      <c r="AJI27" s="609"/>
      <c r="AJJ27" s="609"/>
      <c r="AJK27" s="609"/>
      <c r="AJL27" s="609"/>
      <c r="AJM27" s="609"/>
      <c r="AJN27" s="609"/>
      <c r="AJO27" s="609"/>
      <c r="AJP27" s="609"/>
      <c r="AJQ27" s="609"/>
      <c r="AJR27" s="609"/>
      <c r="AJS27" s="609"/>
      <c r="AJT27" s="609"/>
      <c r="AJU27" s="609"/>
      <c r="AJV27" s="609"/>
      <c r="AJW27" s="609"/>
      <c r="AJX27" s="609"/>
      <c r="AJY27" s="609"/>
      <c r="AJZ27" s="609"/>
      <c r="AKA27" s="609"/>
      <c r="AKB27" s="609"/>
      <c r="AKC27" s="609"/>
      <c r="AKD27" s="609"/>
      <c r="AKE27" s="609"/>
      <c r="AKF27" s="609"/>
      <c r="AKG27" s="609"/>
      <c r="AKH27" s="609"/>
      <c r="AKI27" s="609"/>
      <c r="AKJ27" s="609"/>
      <c r="AKK27" s="609"/>
      <c r="AKL27" s="609"/>
      <c r="AKM27" s="609"/>
      <c r="AKN27" s="609"/>
      <c r="AKO27" s="609"/>
      <c r="AKP27" s="609"/>
      <c r="AKQ27" s="609"/>
      <c r="AKR27" s="609"/>
      <c r="AKS27" s="609"/>
      <c r="AKT27" s="609"/>
      <c r="AKU27" s="609"/>
      <c r="AKV27" s="609"/>
      <c r="AKW27" s="609"/>
      <c r="AKX27" s="609"/>
      <c r="AKY27" s="609"/>
      <c r="AKZ27" s="609"/>
      <c r="ALA27" s="609"/>
      <c r="ALB27" s="609"/>
      <c r="ALC27" s="609"/>
      <c r="ALD27" s="609"/>
      <c r="ALE27" s="609"/>
      <c r="ALF27" s="609"/>
      <c r="ALG27" s="609"/>
      <c r="ALH27" s="609"/>
      <c r="ALI27" s="609"/>
      <c r="ALJ27" s="609"/>
      <c r="ALK27" s="609"/>
      <c r="ALL27" s="609"/>
      <c r="ALM27" s="609"/>
      <c r="ALN27" s="609"/>
      <c r="ALO27" s="609"/>
      <c r="ALP27" s="609"/>
      <c r="ALQ27" s="609"/>
      <c r="ALR27" s="609"/>
      <c r="ALS27" s="609"/>
      <c r="ALT27" s="609"/>
      <c r="ALU27" s="609"/>
      <c r="ALV27" s="609"/>
      <c r="ALW27" s="609"/>
      <c r="ALX27" s="609"/>
      <c r="ALY27" s="609"/>
      <c r="ALZ27" s="609"/>
      <c r="AMA27" s="609"/>
      <c r="AMB27" s="609"/>
      <c r="AMC27" s="609"/>
      <c r="AMD27" s="609"/>
      <c r="AME27" s="609"/>
      <c r="AMF27" s="609"/>
      <c r="AMG27" s="609"/>
      <c r="AMH27" s="609"/>
      <c r="AMI27" s="609"/>
      <c r="AMJ27" s="609"/>
      <c r="AMK27" s="609"/>
      <c r="AML27" s="609"/>
      <c r="AMM27" s="609"/>
      <c r="AMN27" s="609"/>
      <c r="AMO27" s="609"/>
      <c r="AMP27" s="609"/>
      <c r="AMQ27" s="609"/>
      <c r="AMR27" s="609"/>
      <c r="AMS27" s="609"/>
      <c r="AMT27" s="609"/>
      <c r="AMU27" s="609"/>
      <c r="AMV27" s="609"/>
      <c r="AMW27" s="609"/>
      <c r="AMX27" s="609"/>
      <c r="AMY27" s="609"/>
      <c r="AMZ27" s="609"/>
      <c r="ANA27" s="609"/>
      <c r="ANB27" s="609"/>
      <c r="ANC27" s="609"/>
      <c r="AND27" s="609"/>
      <c r="ANE27" s="609"/>
      <c r="ANF27" s="609"/>
      <c r="ANG27" s="609"/>
      <c r="ANH27" s="609"/>
      <c r="ANI27" s="609"/>
      <c r="ANJ27" s="609"/>
      <c r="ANK27" s="609"/>
      <c r="ANL27" s="609"/>
      <c r="ANM27" s="609"/>
      <c r="ANN27" s="609"/>
      <c r="ANO27" s="609"/>
      <c r="ANP27" s="609"/>
      <c r="ANQ27" s="609"/>
      <c r="ANR27" s="609"/>
      <c r="ANS27" s="609"/>
      <c r="ANT27" s="609"/>
      <c r="ANU27" s="609"/>
      <c r="ANV27" s="609"/>
      <c r="ANW27" s="609"/>
      <c r="ANX27" s="609"/>
      <c r="ANY27" s="609"/>
      <c r="ANZ27" s="609"/>
      <c r="AOA27" s="609"/>
      <c r="AOB27" s="609"/>
      <c r="AOC27" s="609"/>
      <c r="AOD27" s="609"/>
      <c r="AOE27" s="609"/>
      <c r="AOF27" s="609"/>
      <c r="AOG27" s="609"/>
      <c r="AOH27" s="609"/>
      <c r="AOI27" s="609"/>
      <c r="AOJ27" s="609"/>
      <c r="AOK27" s="609"/>
      <c r="AOL27" s="609"/>
      <c r="AOM27" s="609"/>
      <c r="AON27" s="609"/>
      <c r="AOO27" s="609"/>
      <c r="AOP27" s="609"/>
      <c r="AOQ27" s="609"/>
      <c r="AOR27" s="609"/>
      <c r="AOS27" s="609"/>
      <c r="AOT27" s="609"/>
      <c r="AOU27" s="609"/>
      <c r="AOV27" s="609"/>
      <c r="AOW27" s="609"/>
      <c r="AOX27" s="609"/>
      <c r="AOY27" s="609"/>
      <c r="AOZ27" s="609"/>
      <c r="APA27" s="609"/>
      <c r="APB27" s="609"/>
      <c r="APC27" s="609"/>
      <c r="APD27" s="609"/>
      <c r="APE27" s="609"/>
      <c r="APF27" s="609"/>
      <c r="APG27" s="609"/>
      <c r="APH27" s="609"/>
      <c r="API27" s="609"/>
      <c r="APJ27" s="609"/>
      <c r="APK27" s="609"/>
      <c r="APL27" s="609"/>
      <c r="APM27" s="609"/>
      <c r="APN27" s="609"/>
      <c r="APO27" s="609"/>
      <c r="APP27" s="609"/>
      <c r="APQ27" s="609"/>
      <c r="APR27" s="609"/>
      <c r="APS27" s="609"/>
      <c r="APT27" s="609"/>
      <c r="APU27" s="609"/>
      <c r="APV27" s="609"/>
      <c r="APW27" s="609"/>
      <c r="APX27" s="609"/>
      <c r="APY27" s="609"/>
      <c r="APZ27" s="609"/>
      <c r="AQA27" s="609"/>
      <c r="AQB27" s="609"/>
      <c r="AQC27" s="609"/>
      <c r="AQD27" s="609"/>
      <c r="AQE27" s="609"/>
      <c r="AQF27" s="609"/>
      <c r="AQG27" s="609"/>
      <c r="AQH27" s="609"/>
      <c r="AQI27" s="609"/>
      <c r="AQJ27" s="609"/>
      <c r="AQK27" s="609"/>
      <c r="AQL27" s="609"/>
      <c r="AQM27" s="609"/>
      <c r="AQN27" s="609"/>
      <c r="AQO27" s="609"/>
      <c r="AQP27" s="609"/>
      <c r="AQQ27" s="609"/>
      <c r="AQR27" s="609"/>
      <c r="AQS27" s="609"/>
      <c r="AQT27" s="609"/>
      <c r="AQU27" s="609"/>
      <c r="AQV27" s="609"/>
      <c r="AQW27" s="609"/>
      <c r="AQX27" s="609"/>
      <c r="AQY27" s="609"/>
      <c r="AQZ27" s="609"/>
      <c r="ARA27" s="609"/>
      <c r="ARB27" s="609"/>
      <c r="ARC27" s="609"/>
      <c r="ARD27" s="609"/>
      <c r="ARE27" s="609"/>
      <c r="ARF27" s="609"/>
      <c r="ARG27" s="609"/>
      <c r="ARH27" s="609"/>
      <c r="ARI27" s="609"/>
      <c r="ARJ27" s="609"/>
      <c r="ARK27" s="609"/>
      <c r="ARL27" s="609"/>
      <c r="ARM27" s="609"/>
      <c r="ARN27" s="609"/>
      <c r="ARO27" s="609"/>
      <c r="ARP27" s="609"/>
      <c r="ARQ27" s="609"/>
      <c r="ARR27" s="609"/>
      <c r="ARS27" s="609"/>
      <c r="ART27" s="609"/>
      <c r="ARU27" s="609"/>
      <c r="ARV27" s="609"/>
      <c r="ARW27" s="609"/>
      <c r="ARX27" s="609"/>
      <c r="ARY27" s="609"/>
      <c r="ARZ27" s="609"/>
      <c r="ASA27" s="609"/>
      <c r="ASB27" s="609"/>
      <c r="ASC27" s="609"/>
      <c r="ASD27" s="609"/>
      <c r="ASE27" s="609"/>
      <c r="ASF27" s="609"/>
      <c r="ASG27" s="609"/>
      <c r="ASH27" s="609"/>
      <c r="ASI27" s="609"/>
      <c r="ASJ27" s="609"/>
      <c r="ASK27" s="609"/>
      <c r="ASL27" s="609"/>
      <c r="ASM27" s="609"/>
      <c r="ASN27" s="609"/>
      <c r="ASO27" s="609"/>
      <c r="ASP27" s="609"/>
      <c r="ASQ27" s="609"/>
      <c r="ASR27" s="609"/>
      <c r="ASS27" s="609"/>
      <c r="AST27" s="609"/>
      <c r="ASU27" s="609"/>
      <c r="ASV27" s="609"/>
      <c r="ASW27" s="609"/>
      <c r="ASX27" s="609"/>
      <c r="ASY27" s="609"/>
      <c r="ASZ27" s="609"/>
      <c r="ATA27" s="609"/>
      <c r="ATB27" s="609"/>
      <c r="ATC27" s="609"/>
      <c r="ATD27" s="609"/>
      <c r="ATE27" s="609"/>
      <c r="ATF27" s="609"/>
      <c r="ATG27" s="609"/>
      <c r="ATH27" s="609"/>
      <c r="ATI27" s="609"/>
      <c r="ATJ27" s="609"/>
      <c r="ATK27" s="609"/>
      <c r="ATL27" s="609"/>
      <c r="ATM27" s="609"/>
      <c r="ATN27" s="609"/>
      <c r="ATO27" s="609"/>
      <c r="ATP27" s="609"/>
      <c r="ATQ27" s="609"/>
      <c r="ATR27" s="609"/>
      <c r="ATS27" s="609"/>
      <c r="ATT27" s="609"/>
      <c r="ATU27" s="609"/>
      <c r="ATV27" s="609"/>
      <c r="ATW27" s="609"/>
      <c r="ATX27" s="609"/>
      <c r="ATY27" s="609"/>
      <c r="ATZ27" s="609"/>
      <c r="AUA27" s="609"/>
      <c r="AUB27" s="609"/>
      <c r="AUC27" s="609"/>
      <c r="AUD27" s="609"/>
      <c r="AUE27" s="609"/>
      <c r="AUF27" s="609"/>
      <c r="AUG27" s="609"/>
      <c r="AUH27" s="609"/>
      <c r="AUI27" s="609"/>
      <c r="AUJ27" s="609"/>
      <c r="AUK27" s="609"/>
      <c r="AUL27" s="609"/>
      <c r="AUM27" s="609"/>
      <c r="AUN27" s="609"/>
      <c r="AUO27" s="609"/>
      <c r="AUP27" s="609"/>
      <c r="AUQ27" s="609"/>
      <c r="AUR27" s="609"/>
      <c r="AUS27" s="609"/>
      <c r="AUT27" s="609"/>
      <c r="AUU27" s="609"/>
      <c r="AUV27" s="609"/>
      <c r="AUW27" s="609"/>
      <c r="AUX27" s="609"/>
      <c r="AUY27" s="609"/>
      <c r="AUZ27" s="609"/>
      <c r="AVA27" s="609"/>
      <c r="AVB27" s="609"/>
      <c r="AVC27" s="609"/>
      <c r="AVD27" s="609"/>
      <c r="AVE27" s="609"/>
      <c r="AVF27" s="609"/>
      <c r="AVG27" s="609"/>
      <c r="AVH27" s="609"/>
      <c r="AVI27" s="609"/>
      <c r="AVJ27" s="609"/>
      <c r="AVK27" s="609"/>
      <c r="AVL27" s="609"/>
      <c r="AVM27" s="609"/>
      <c r="AVN27" s="609"/>
      <c r="AVO27" s="609"/>
      <c r="AVP27" s="609"/>
      <c r="AVQ27" s="609"/>
      <c r="AVR27" s="609"/>
      <c r="AVS27" s="609"/>
      <c r="AVT27" s="609"/>
      <c r="AVU27" s="609"/>
      <c r="AVV27" s="609"/>
      <c r="AVW27" s="609"/>
      <c r="AVX27" s="609"/>
      <c r="AVY27" s="609"/>
      <c r="AVZ27" s="609"/>
      <c r="AWA27" s="609"/>
      <c r="AWB27" s="609"/>
      <c r="AWC27" s="609"/>
      <c r="AWD27" s="609"/>
      <c r="AWE27" s="609"/>
      <c r="AWF27" s="609"/>
      <c r="AWG27" s="609"/>
      <c r="AWH27" s="609"/>
      <c r="AWI27" s="609"/>
      <c r="AWJ27" s="609"/>
      <c r="AWK27" s="609"/>
      <c r="AWL27" s="609"/>
      <c r="AWM27" s="609"/>
      <c r="AWN27" s="609"/>
      <c r="AWO27" s="609"/>
      <c r="AWP27" s="609"/>
      <c r="AWQ27" s="609"/>
      <c r="AWR27" s="609"/>
      <c r="AWS27" s="609"/>
      <c r="AWT27" s="609"/>
      <c r="AWU27" s="609"/>
      <c r="AWV27" s="609"/>
      <c r="AWW27" s="609"/>
      <c r="AWX27" s="609"/>
      <c r="AWY27" s="609"/>
      <c r="AWZ27" s="609"/>
      <c r="AXA27" s="609"/>
      <c r="AXB27" s="609"/>
      <c r="AXC27" s="609"/>
      <c r="AXD27" s="609"/>
      <c r="AXE27" s="609"/>
      <c r="AXF27" s="609"/>
      <c r="AXG27" s="609"/>
      <c r="AXH27" s="609"/>
      <c r="AXI27" s="609"/>
      <c r="AXJ27" s="609"/>
      <c r="AXK27" s="609"/>
      <c r="AXL27" s="609"/>
      <c r="AXM27" s="609"/>
      <c r="AXN27" s="609"/>
      <c r="AXO27" s="609"/>
      <c r="AXP27" s="609"/>
      <c r="AXQ27" s="609"/>
      <c r="AXR27" s="609"/>
      <c r="AXS27" s="609"/>
      <c r="AXT27" s="609"/>
      <c r="AXU27" s="609"/>
      <c r="AXV27" s="609"/>
      <c r="AXW27" s="609"/>
      <c r="AXX27" s="609"/>
      <c r="AXY27" s="609"/>
      <c r="AXZ27" s="609"/>
      <c r="AYA27" s="609"/>
      <c r="AYB27" s="609"/>
      <c r="AYC27" s="609"/>
      <c r="AYD27" s="609"/>
      <c r="AYE27" s="609"/>
      <c r="AYF27" s="609"/>
      <c r="AYG27" s="609"/>
      <c r="AYH27" s="609"/>
      <c r="AYI27" s="609"/>
      <c r="AYJ27" s="609"/>
      <c r="AYK27" s="609"/>
      <c r="AYL27" s="609"/>
      <c r="AYM27" s="609"/>
      <c r="AYN27" s="609"/>
      <c r="AYO27" s="609"/>
      <c r="AYP27" s="609"/>
      <c r="AYQ27" s="609"/>
      <c r="AYR27" s="609"/>
      <c r="AYS27" s="609"/>
      <c r="AYT27" s="609"/>
      <c r="AYU27" s="609"/>
      <c r="AYV27" s="609"/>
      <c r="AYW27" s="609"/>
      <c r="AYX27" s="609"/>
      <c r="AYY27" s="609"/>
      <c r="AYZ27" s="609"/>
      <c r="AZA27" s="609"/>
      <c r="AZB27" s="609"/>
      <c r="AZC27" s="609"/>
      <c r="AZD27" s="609"/>
      <c r="AZE27" s="609"/>
      <c r="AZF27" s="609"/>
      <c r="AZG27" s="609"/>
      <c r="AZH27" s="609"/>
      <c r="AZI27" s="609"/>
      <c r="AZJ27" s="609"/>
      <c r="AZK27" s="609"/>
      <c r="AZL27" s="609"/>
      <c r="AZM27" s="609"/>
      <c r="AZN27" s="609"/>
      <c r="AZO27" s="609"/>
      <c r="AZP27" s="609"/>
      <c r="AZQ27" s="609"/>
      <c r="AZR27" s="609"/>
      <c r="AZS27" s="609"/>
      <c r="AZT27" s="609"/>
      <c r="AZU27" s="609"/>
      <c r="AZV27" s="609"/>
      <c r="AZW27" s="609"/>
      <c r="AZX27" s="609"/>
      <c r="AZY27" s="609"/>
      <c r="AZZ27" s="609"/>
      <c r="BAA27" s="609"/>
      <c r="BAB27" s="609"/>
      <c r="BAC27" s="609"/>
      <c r="BAD27" s="609"/>
      <c r="BAE27" s="609"/>
      <c r="BAF27" s="609"/>
      <c r="BAG27" s="609"/>
      <c r="BAH27" s="609"/>
      <c r="BAI27" s="609"/>
      <c r="BAJ27" s="609"/>
      <c r="BAK27" s="609"/>
      <c r="BAL27" s="609"/>
      <c r="BAM27" s="609"/>
      <c r="BAN27" s="609"/>
      <c r="BAO27" s="609"/>
      <c r="BAP27" s="609"/>
      <c r="BAQ27" s="609"/>
      <c r="BAR27" s="609"/>
      <c r="BAS27" s="609"/>
      <c r="BAT27" s="609"/>
      <c r="BAU27" s="609"/>
      <c r="BAV27" s="609"/>
      <c r="BAW27" s="609"/>
      <c r="BAX27" s="609"/>
      <c r="BAY27" s="609"/>
      <c r="BAZ27" s="609"/>
      <c r="BBA27" s="609"/>
      <c r="BBB27" s="609"/>
      <c r="BBC27" s="609"/>
      <c r="BBD27" s="609"/>
      <c r="BBE27" s="609"/>
      <c r="BBF27" s="609"/>
      <c r="BBG27" s="609"/>
      <c r="BBH27" s="609"/>
      <c r="BBI27" s="609"/>
      <c r="BBJ27" s="609"/>
      <c r="BBK27" s="609"/>
      <c r="BBL27" s="609"/>
      <c r="BBM27" s="609"/>
      <c r="BBN27" s="609"/>
      <c r="BBO27" s="609"/>
      <c r="BBP27" s="609"/>
      <c r="BBQ27" s="609"/>
      <c r="BBR27" s="609"/>
      <c r="BBS27" s="609"/>
      <c r="BBT27" s="609"/>
      <c r="BBU27" s="609"/>
      <c r="BBV27" s="609"/>
      <c r="BBW27" s="609"/>
      <c r="BBX27" s="609"/>
      <c r="BBY27" s="609"/>
      <c r="BBZ27" s="609"/>
      <c r="BCA27" s="609"/>
      <c r="BCB27" s="609"/>
      <c r="BCC27" s="609"/>
      <c r="BCD27" s="609"/>
      <c r="BCE27" s="609"/>
      <c r="BCF27" s="609"/>
      <c r="BCG27" s="609"/>
      <c r="BCH27" s="609"/>
      <c r="BCI27" s="609"/>
      <c r="BCJ27" s="609"/>
      <c r="BCK27" s="609"/>
      <c r="BCL27" s="609"/>
      <c r="BCM27" s="609"/>
      <c r="BCN27" s="609"/>
      <c r="BCO27" s="609"/>
      <c r="BCP27" s="609"/>
      <c r="BCQ27" s="609"/>
      <c r="BCR27" s="609"/>
      <c r="BCS27" s="609"/>
      <c r="BCT27" s="609"/>
      <c r="BCU27" s="609"/>
      <c r="BCV27" s="609"/>
      <c r="BCW27" s="609"/>
      <c r="BCX27" s="609"/>
      <c r="BCY27" s="609"/>
      <c r="BCZ27" s="609"/>
      <c r="BDA27" s="609"/>
      <c r="BDB27" s="609"/>
      <c r="BDC27" s="609"/>
      <c r="BDD27" s="609"/>
      <c r="BDE27" s="609"/>
      <c r="BDF27" s="609"/>
      <c r="BDG27" s="609"/>
      <c r="BDH27" s="609"/>
      <c r="BDI27" s="609"/>
      <c r="BDJ27" s="609"/>
      <c r="BDK27" s="609"/>
      <c r="BDL27" s="609"/>
      <c r="BDM27" s="609"/>
      <c r="BDN27" s="609"/>
      <c r="BDO27" s="609"/>
      <c r="BDP27" s="609"/>
      <c r="BDQ27" s="609"/>
      <c r="BDR27" s="609"/>
      <c r="BDS27" s="609"/>
      <c r="BDT27" s="609"/>
      <c r="BDU27" s="609"/>
      <c r="BDV27" s="609"/>
      <c r="BDW27" s="609"/>
      <c r="BDX27" s="609"/>
      <c r="BDY27" s="609"/>
      <c r="BDZ27" s="609"/>
      <c r="BEA27" s="609"/>
      <c r="BEB27" s="609"/>
      <c r="BEC27" s="609"/>
      <c r="BED27" s="609"/>
      <c r="BEE27" s="609"/>
      <c r="BEF27" s="609"/>
      <c r="BEG27" s="609"/>
      <c r="BEH27" s="609"/>
      <c r="BEI27" s="609"/>
      <c r="BEJ27" s="609"/>
      <c r="BEK27" s="609"/>
      <c r="BEL27" s="609"/>
      <c r="BEM27" s="609"/>
      <c r="BEN27" s="609"/>
      <c r="BEO27" s="609"/>
      <c r="BEP27" s="609"/>
      <c r="BEQ27" s="609"/>
      <c r="BER27" s="609"/>
      <c r="BES27" s="609"/>
      <c r="BET27" s="609"/>
      <c r="BEU27" s="609"/>
      <c r="BEV27" s="609"/>
      <c r="BEW27" s="609"/>
      <c r="BEX27" s="609"/>
      <c r="BEY27" s="609"/>
      <c r="BEZ27" s="609"/>
      <c r="BFA27" s="609"/>
      <c r="BFB27" s="609"/>
      <c r="BFC27" s="609"/>
      <c r="BFD27" s="609"/>
      <c r="BFE27" s="609"/>
      <c r="BFF27" s="609"/>
      <c r="BFG27" s="609"/>
      <c r="BFH27" s="609"/>
      <c r="BFI27" s="609"/>
      <c r="BFJ27" s="609"/>
      <c r="BFK27" s="609"/>
      <c r="BFL27" s="609"/>
      <c r="BFM27" s="609"/>
      <c r="BFN27" s="609"/>
      <c r="BFO27" s="609"/>
      <c r="BFP27" s="609"/>
      <c r="BFQ27" s="609"/>
      <c r="BFR27" s="609"/>
      <c r="BFS27" s="609"/>
      <c r="BFT27" s="609"/>
      <c r="BFU27" s="609"/>
      <c r="BFV27" s="609"/>
      <c r="BFW27" s="609"/>
      <c r="BFX27" s="609"/>
      <c r="BFY27" s="609"/>
      <c r="BFZ27" s="609"/>
      <c r="BGA27" s="609"/>
      <c r="BGB27" s="609"/>
      <c r="BGC27" s="609"/>
      <c r="BGD27" s="609"/>
      <c r="BGE27" s="609"/>
      <c r="BGF27" s="609"/>
      <c r="BGG27" s="609"/>
      <c r="BGH27" s="609"/>
      <c r="BGI27" s="609"/>
      <c r="BGJ27" s="609"/>
      <c r="BGK27" s="609"/>
      <c r="BGL27" s="609"/>
      <c r="BGM27" s="609"/>
      <c r="BGN27" s="609"/>
      <c r="BGO27" s="609"/>
      <c r="BGP27" s="609"/>
      <c r="BGQ27" s="609"/>
      <c r="BGR27" s="609"/>
      <c r="BGS27" s="609"/>
      <c r="BGT27" s="609"/>
      <c r="BGU27" s="609"/>
      <c r="BGV27" s="609"/>
      <c r="BGW27" s="609"/>
      <c r="BGX27" s="609"/>
      <c r="BGY27" s="609"/>
      <c r="BGZ27" s="609"/>
      <c r="BHA27" s="609"/>
      <c r="BHB27" s="609"/>
      <c r="BHC27" s="609"/>
      <c r="BHD27" s="609"/>
      <c r="BHE27" s="609"/>
      <c r="BHF27" s="609"/>
      <c r="BHG27" s="609"/>
      <c r="BHH27" s="609"/>
      <c r="BHI27" s="609"/>
      <c r="BHJ27" s="609"/>
      <c r="BHK27" s="609"/>
      <c r="BHL27" s="609"/>
      <c r="BHM27" s="609"/>
      <c r="BHN27" s="609"/>
      <c r="BHO27" s="609"/>
      <c r="BHP27" s="609"/>
      <c r="BHQ27" s="609"/>
      <c r="BHR27" s="609"/>
      <c r="BHS27" s="609"/>
      <c r="BHT27" s="609"/>
      <c r="BHU27" s="609"/>
      <c r="BHV27" s="609"/>
      <c r="BHW27" s="609"/>
      <c r="BHX27" s="609"/>
      <c r="BHY27" s="609"/>
      <c r="BHZ27" s="609"/>
      <c r="BIA27" s="609"/>
      <c r="BIB27" s="609"/>
      <c r="BIC27" s="609"/>
      <c r="BID27" s="609"/>
      <c r="BIE27" s="609"/>
      <c r="BIF27" s="609"/>
      <c r="BIG27" s="609"/>
      <c r="BIH27" s="609"/>
      <c r="BII27" s="609"/>
      <c r="BIJ27" s="609"/>
      <c r="BIK27" s="609"/>
      <c r="BIL27" s="609"/>
      <c r="BIM27" s="609"/>
      <c r="BIN27" s="609"/>
      <c r="BIO27" s="609"/>
      <c r="BIP27" s="609"/>
      <c r="BIQ27" s="609"/>
      <c r="BIR27" s="609"/>
      <c r="BIS27" s="609"/>
      <c r="BIT27" s="609"/>
      <c r="BIU27" s="609"/>
      <c r="BIV27" s="609"/>
      <c r="BIW27" s="609"/>
      <c r="BIX27" s="609"/>
      <c r="BIY27" s="609"/>
      <c r="BIZ27" s="609"/>
      <c r="BJA27" s="609"/>
      <c r="BJB27" s="609"/>
      <c r="BJC27" s="609"/>
      <c r="BJD27" s="609"/>
      <c r="BJE27" s="609"/>
      <c r="BJF27" s="609"/>
      <c r="BJG27" s="609"/>
      <c r="BJH27" s="609"/>
      <c r="BJI27" s="609"/>
      <c r="BJJ27" s="609"/>
      <c r="BJK27" s="609"/>
      <c r="BJL27" s="609"/>
      <c r="BJM27" s="609"/>
      <c r="BJN27" s="609"/>
      <c r="BJO27" s="609"/>
      <c r="BJP27" s="609"/>
      <c r="BJQ27" s="609"/>
      <c r="BJR27" s="609"/>
      <c r="BJS27" s="609"/>
      <c r="BJT27" s="609"/>
      <c r="BJU27" s="609"/>
      <c r="BJV27" s="609"/>
      <c r="BJW27" s="609"/>
      <c r="BJX27" s="609"/>
      <c r="BJY27" s="609"/>
      <c r="BJZ27" s="609"/>
      <c r="BKA27" s="609"/>
      <c r="BKB27" s="609"/>
      <c r="BKC27" s="609"/>
      <c r="BKD27" s="609"/>
      <c r="BKE27" s="609"/>
      <c r="BKF27" s="609"/>
      <c r="BKG27" s="609"/>
      <c r="BKH27" s="609"/>
      <c r="BKI27" s="609"/>
      <c r="BKJ27" s="609"/>
      <c r="BKK27" s="609"/>
      <c r="BKL27" s="609"/>
      <c r="BKM27" s="609"/>
      <c r="BKN27" s="609"/>
      <c r="BKO27" s="609"/>
      <c r="BKP27" s="609"/>
      <c r="BKQ27" s="609"/>
      <c r="BKR27" s="609"/>
      <c r="BKS27" s="609"/>
      <c r="BKT27" s="609"/>
      <c r="BKU27" s="609"/>
      <c r="BKV27" s="609"/>
      <c r="BKW27" s="609"/>
      <c r="BKX27" s="609"/>
      <c r="BKY27" s="609"/>
      <c r="BKZ27" s="609"/>
      <c r="BLA27" s="609"/>
      <c r="BLB27" s="609"/>
      <c r="BLC27" s="609"/>
      <c r="BLD27" s="609"/>
      <c r="BLE27" s="609"/>
      <c r="BLF27" s="609"/>
      <c r="BLG27" s="609"/>
      <c r="BLH27" s="609"/>
      <c r="BLI27" s="609"/>
      <c r="BLJ27" s="609"/>
      <c r="BLK27" s="609"/>
      <c r="BLL27" s="609"/>
      <c r="BLM27" s="609"/>
      <c r="BLN27" s="609"/>
      <c r="BLO27" s="609"/>
      <c r="BLP27" s="609"/>
      <c r="BLQ27" s="609"/>
      <c r="BLR27" s="609"/>
      <c r="BLS27" s="609"/>
      <c r="BLT27" s="609"/>
      <c r="BLU27" s="609"/>
      <c r="BLV27" s="609"/>
      <c r="BLW27" s="609"/>
      <c r="BLX27" s="609"/>
      <c r="BLY27" s="609"/>
      <c r="BLZ27" s="609"/>
      <c r="BMA27" s="609"/>
      <c r="BMB27" s="609"/>
      <c r="BMC27" s="609"/>
      <c r="BMD27" s="609"/>
      <c r="BME27" s="609"/>
      <c r="BMF27" s="609"/>
      <c r="BMG27" s="609"/>
      <c r="BMH27" s="609"/>
      <c r="BMI27" s="609"/>
      <c r="BMJ27" s="609"/>
      <c r="BMK27" s="609"/>
      <c r="BML27" s="609"/>
      <c r="BMM27" s="609"/>
      <c r="BMN27" s="609"/>
      <c r="BMO27" s="609"/>
      <c r="BMP27" s="609"/>
      <c r="BMQ27" s="609"/>
      <c r="BMR27" s="609"/>
      <c r="BMS27" s="609"/>
      <c r="BMT27" s="609"/>
      <c r="BMU27" s="609"/>
      <c r="BMV27" s="609"/>
      <c r="BMW27" s="609"/>
      <c r="BMX27" s="609"/>
      <c r="BMY27" s="609"/>
      <c r="BMZ27" s="609"/>
      <c r="BNA27" s="609"/>
      <c r="BNB27" s="609"/>
      <c r="BNC27" s="609"/>
      <c r="BND27" s="609"/>
      <c r="BNE27" s="609"/>
      <c r="BNF27" s="609"/>
      <c r="BNG27" s="609"/>
      <c r="BNH27" s="609"/>
      <c r="BNI27" s="609"/>
      <c r="BNJ27" s="609"/>
      <c r="BNK27" s="609"/>
      <c r="BNL27" s="609"/>
      <c r="BNM27" s="609"/>
      <c r="BNN27" s="609"/>
      <c r="BNO27" s="609"/>
      <c r="BNP27" s="609"/>
      <c r="BNQ27" s="609"/>
      <c r="BNR27" s="609"/>
      <c r="BNS27" s="609"/>
      <c r="BNT27" s="609"/>
      <c r="BNU27" s="609"/>
      <c r="BNV27" s="609"/>
      <c r="BNW27" s="609"/>
      <c r="BNX27" s="609"/>
      <c r="BNY27" s="609"/>
      <c r="BNZ27" s="609"/>
      <c r="BOA27" s="609"/>
      <c r="BOB27" s="609"/>
      <c r="BOC27" s="609"/>
      <c r="BOD27" s="609"/>
      <c r="BOE27" s="609"/>
      <c r="BOF27" s="609"/>
      <c r="BOG27" s="609"/>
      <c r="BOH27" s="609"/>
      <c r="BOI27" s="609"/>
      <c r="BOJ27" s="609"/>
      <c r="BOK27" s="609"/>
      <c r="BOL27" s="609"/>
      <c r="BOM27" s="609"/>
      <c r="BON27" s="609"/>
      <c r="BOO27" s="609"/>
      <c r="BOP27" s="609"/>
      <c r="BOQ27" s="609"/>
      <c r="BOR27" s="609"/>
      <c r="BOS27" s="609"/>
      <c r="BOT27" s="609"/>
      <c r="BOU27" s="609"/>
      <c r="BOV27" s="609"/>
      <c r="BOW27" s="609"/>
      <c r="BOX27" s="609"/>
      <c r="BOY27" s="609"/>
      <c r="BOZ27" s="609"/>
      <c r="BPA27" s="609"/>
      <c r="BPB27" s="609"/>
      <c r="BPC27" s="609"/>
      <c r="BPD27" s="609"/>
      <c r="BPE27" s="609"/>
      <c r="BPF27" s="609"/>
      <c r="BPG27" s="609"/>
      <c r="BPH27" s="609"/>
      <c r="BPI27" s="609"/>
      <c r="BPJ27" s="609"/>
      <c r="BPK27" s="609"/>
      <c r="BPL27" s="609"/>
      <c r="BPM27" s="609"/>
      <c r="BPN27" s="609"/>
      <c r="BPO27" s="609"/>
      <c r="BPP27" s="609"/>
      <c r="BPQ27" s="609"/>
      <c r="BPR27" s="609"/>
      <c r="BPS27" s="609"/>
      <c r="BPT27" s="609"/>
      <c r="BPU27" s="609"/>
      <c r="BPV27" s="609"/>
      <c r="BPW27" s="609"/>
      <c r="BPX27" s="609"/>
      <c r="BPY27" s="609"/>
      <c r="BPZ27" s="609"/>
      <c r="BQA27" s="609"/>
      <c r="BQB27" s="609"/>
      <c r="BQC27" s="609"/>
      <c r="BQD27" s="609"/>
      <c r="BQE27" s="609"/>
      <c r="BQF27" s="609"/>
      <c r="BQG27" s="609"/>
      <c r="BQH27" s="609"/>
      <c r="BQI27" s="609"/>
      <c r="BQJ27" s="609"/>
      <c r="BQK27" s="609"/>
      <c r="BQL27" s="609"/>
      <c r="BQM27" s="609"/>
      <c r="BQN27" s="609"/>
      <c r="BQO27" s="609"/>
      <c r="BQP27" s="609"/>
      <c r="BQQ27" s="609"/>
      <c r="BQR27" s="609"/>
      <c r="BQS27" s="609"/>
      <c r="BQT27" s="609"/>
      <c r="BQU27" s="609"/>
      <c r="BQV27" s="609"/>
      <c r="BQW27" s="609"/>
      <c r="BQX27" s="609"/>
      <c r="BQY27" s="609"/>
      <c r="BQZ27" s="609"/>
      <c r="BRA27" s="609"/>
      <c r="BRB27" s="609"/>
      <c r="BRC27" s="609"/>
      <c r="BRD27" s="609"/>
      <c r="BRE27" s="609"/>
      <c r="BRF27" s="609"/>
      <c r="BRG27" s="609"/>
      <c r="BRH27" s="609"/>
      <c r="BRI27" s="609"/>
      <c r="BRJ27" s="609"/>
      <c r="BRK27" s="609"/>
      <c r="BRL27" s="609"/>
      <c r="BRM27" s="609"/>
      <c r="BRN27" s="609"/>
      <c r="BRO27" s="609"/>
      <c r="BRP27" s="609"/>
      <c r="BRQ27" s="609"/>
      <c r="BRR27" s="609"/>
      <c r="BRS27" s="609"/>
      <c r="BRT27" s="609"/>
      <c r="BRU27" s="609"/>
      <c r="BRV27" s="609"/>
      <c r="BRW27" s="609"/>
      <c r="BRX27" s="609"/>
      <c r="BRY27" s="609"/>
      <c r="BRZ27" s="609"/>
      <c r="BSA27" s="609"/>
      <c r="BSB27" s="609"/>
      <c r="BSC27" s="609"/>
      <c r="BSD27" s="609"/>
      <c r="BSE27" s="609"/>
      <c r="BSF27" s="609"/>
      <c r="BSG27" s="609"/>
      <c r="BSH27" s="609"/>
      <c r="BSI27" s="609"/>
      <c r="BSJ27" s="609"/>
      <c r="BSK27" s="609"/>
      <c r="BSL27" s="609"/>
      <c r="BSM27" s="609"/>
      <c r="BSN27" s="609"/>
      <c r="BSO27" s="609"/>
      <c r="BSP27" s="609"/>
      <c r="BSQ27" s="609"/>
      <c r="BSR27" s="609"/>
      <c r="BSS27" s="609"/>
      <c r="BST27" s="609"/>
      <c r="BSU27" s="609"/>
      <c r="BSV27" s="609"/>
      <c r="BSW27" s="609"/>
      <c r="BSX27" s="609"/>
      <c r="BSY27" s="609"/>
      <c r="BSZ27" s="609"/>
      <c r="BTA27" s="609"/>
      <c r="BTB27" s="609"/>
      <c r="BTC27" s="609"/>
      <c r="BTD27" s="609"/>
      <c r="BTE27" s="609"/>
      <c r="BTF27" s="609"/>
      <c r="BTG27" s="609"/>
      <c r="BTH27" s="609"/>
      <c r="BTI27" s="609"/>
      <c r="BTJ27" s="609"/>
      <c r="BTK27" s="609"/>
      <c r="BTL27" s="609"/>
      <c r="BTM27" s="609"/>
      <c r="BTN27" s="609"/>
      <c r="BTO27" s="609"/>
      <c r="BTP27" s="609"/>
      <c r="BTQ27" s="609"/>
      <c r="BTR27" s="609"/>
      <c r="BTS27" s="609"/>
      <c r="BTT27" s="609"/>
      <c r="BTU27" s="609"/>
      <c r="BTV27" s="609"/>
      <c r="BTW27" s="609"/>
      <c r="BTX27" s="609"/>
      <c r="BTY27" s="609"/>
      <c r="BTZ27" s="609"/>
      <c r="BUA27" s="609"/>
      <c r="BUB27" s="609"/>
      <c r="BUC27" s="609"/>
      <c r="BUD27" s="609"/>
      <c r="BUE27" s="609"/>
      <c r="BUF27" s="609"/>
      <c r="BUG27" s="609"/>
      <c r="BUH27" s="609"/>
      <c r="BUI27" s="609"/>
      <c r="BUJ27" s="609"/>
      <c r="BUK27" s="609"/>
      <c r="BUL27" s="609"/>
      <c r="BUM27" s="609"/>
      <c r="BUN27" s="609"/>
      <c r="BUO27" s="609"/>
      <c r="BUP27" s="609"/>
      <c r="BUQ27" s="609"/>
      <c r="BUR27" s="609"/>
      <c r="BUS27" s="609"/>
      <c r="BUT27" s="609"/>
      <c r="BUU27" s="609"/>
      <c r="BUV27" s="609"/>
      <c r="BUW27" s="609"/>
      <c r="BUX27" s="609"/>
      <c r="BUY27" s="609"/>
      <c r="BUZ27" s="609"/>
      <c r="BVA27" s="609"/>
      <c r="BVB27" s="609"/>
      <c r="BVC27" s="609"/>
      <c r="BVD27" s="609"/>
      <c r="BVE27" s="609"/>
      <c r="BVF27" s="609"/>
      <c r="BVG27" s="609"/>
      <c r="BVH27" s="609"/>
      <c r="BVI27" s="609"/>
      <c r="BVJ27" s="609"/>
      <c r="BVK27" s="609"/>
      <c r="BVL27" s="609"/>
      <c r="BVM27" s="609"/>
      <c r="BVN27" s="609"/>
      <c r="BVO27" s="609"/>
      <c r="BVP27" s="609"/>
      <c r="BVQ27" s="609"/>
      <c r="BVR27" s="609"/>
      <c r="BVS27" s="609"/>
      <c r="BVT27" s="609"/>
      <c r="BVU27" s="609"/>
      <c r="BVV27" s="609"/>
      <c r="BVW27" s="609"/>
      <c r="BVX27" s="609"/>
      <c r="BVY27" s="609"/>
      <c r="BVZ27" s="609"/>
      <c r="BWA27" s="609"/>
      <c r="BWB27" s="609"/>
      <c r="BWC27" s="609"/>
      <c r="BWD27" s="609"/>
      <c r="BWE27" s="609"/>
      <c r="BWF27" s="609"/>
      <c r="BWG27" s="609"/>
      <c r="BWH27" s="609"/>
      <c r="BWI27" s="609"/>
      <c r="BWJ27" s="609"/>
      <c r="BWK27" s="609"/>
      <c r="BWL27" s="609"/>
      <c r="BWM27" s="609"/>
      <c r="BWN27" s="609"/>
      <c r="BWO27" s="609"/>
      <c r="BWP27" s="609"/>
      <c r="BWQ27" s="609"/>
      <c r="BWR27" s="609"/>
      <c r="BWS27" s="609"/>
      <c r="BWT27" s="609"/>
      <c r="BWU27" s="609"/>
      <c r="BWV27" s="609"/>
      <c r="BWW27" s="609"/>
      <c r="BWX27" s="609"/>
      <c r="BWY27" s="609"/>
      <c r="BWZ27" s="609"/>
      <c r="BXA27" s="609"/>
      <c r="BXB27" s="609"/>
      <c r="BXC27" s="609"/>
      <c r="BXD27" s="609"/>
      <c r="BXE27" s="609"/>
      <c r="BXF27" s="609"/>
      <c r="BXG27" s="609"/>
      <c r="BXH27" s="609"/>
      <c r="BXI27" s="609"/>
      <c r="BXJ27" s="609"/>
      <c r="BXK27" s="609"/>
      <c r="BXL27" s="609"/>
      <c r="BXM27" s="609"/>
      <c r="BXN27" s="609"/>
      <c r="BXO27" s="609"/>
      <c r="BXP27" s="609"/>
      <c r="BXQ27" s="609"/>
      <c r="BXR27" s="609"/>
      <c r="BXS27" s="609"/>
      <c r="BXT27" s="609"/>
      <c r="BXU27" s="609"/>
      <c r="BXV27" s="609"/>
      <c r="BXW27" s="609"/>
      <c r="BXX27" s="609"/>
      <c r="BXY27" s="609"/>
      <c r="BXZ27" s="609"/>
      <c r="BYA27" s="609"/>
      <c r="BYB27" s="609"/>
      <c r="BYC27" s="609"/>
      <c r="BYD27" s="609"/>
      <c r="BYE27" s="609"/>
      <c r="BYF27" s="609"/>
      <c r="BYG27" s="609"/>
      <c r="BYH27" s="609"/>
      <c r="BYI27" s="609"/>
      <c r="BYJ27" s="609"/>
      <c r="BYK27" s="609"/>
      <c r="BYL27" s="609"/>
      <c r="BYM27" s="609"/>
      <c r="BYN27" s="609"/>
      <c r="BYO27" s="609"/>
      <c r="BYP27" s="609"/>
      <c r="BYQ27" s="609"/>
      <c r="BYR27" s="609"/>
      <c r="BYS27" s="609"/>
      <c r="BYT27" s="609"/>
      <c r="BYU27" s="609"/>
      <c r="BYV27" s="609"/>
      <c r="BYW27" s="609"/>
      <c r="BYX27" s="609"/>
      <c r="BYY27" s="609"/>
      <c r="BYZ27" s="609"/>
      <c r="BZA27" s="609"/>
      <c r="BZB27" s="609"/>
      <c r="BZC27" s="609"/>
      <c r="BZD27" s="609"/>
      <c r="BZE27" s="609"/>
      <c r="BZF27" s="609"/>
      <c r="BZG27" s="609"/>
      <c r="BZH27" s="609"/>
      <c r="BZI27" s="609"/>
      <c r="BZJ27" s="609"/>
      <c r="BZK27" s="609"/>
      <c r="BZL27" s="609"/>
      <c r="BZM27" s="609"/>
      <c r="BZN27" s="609"/>
      <c r="BZO27" s="609"/>
      <c r="BZP27" s="609"/>
      <c r="BZQ27" s="609"/>
      <c r="BZR27" s="609"/>
      <c r="BZS27" s="609"/>
      <c r="BZT27" s="609"/>
      <c r="BZU27" s="609"/>
      <c r="BZV27" s="609"/>
      <c r="BZW27" s="609"/>
      <c r="BZX27" s="609"/>
      <c r="BZY27" s="609"/>
      <c r="BZZ27" s="609"/>
      <c r="CAA27" s="609"/>
      <c r="CAB27" s="609"/>
      <c r="CAC27" s="609"/>
      <c r="CAD27" s="609"/>
      <c r="CAE27" s="609"/>
      <c r="CAF27" s="609"/>
      <c r="CAG27" s="609"/>
      <c r="CAH27" s="609"/>
      <c r="CAI27" s="609"/>
      <c r="CAJ27" s="609"/>
      <c r="CAK27" s="609"/>
      <c r="CAL27" s="609"/>
      <c r="CAM27" s="609"/>
      <c r="CAN27" s="609"/>
      <c r="CAO27" s="609"/>
      <c r="CAP27" s="609"/>
      <c r="CAQ27" s="609"/>
      <c r="CAR27" s="609"/>
      <c r="CAS27" s="609"/>
      <c r="CAT27" s="609"/>
      <c r="CAU27" s="609"/>
      <c r="CAV27" s="609"/>
      <c r="CAW27" s="609"/>
      <c r="CAX27" s="609"/>
      <c r="CAY27" s="609"/>
      <c r="CAZ27" s="609"/>
      <c r="CBA27" s="609"/>
      <c r="CBB27" s="609"/>
      <c r="CBC27" s="609"/>
      <c r="CBD27" s="609"/>
      <c r="CBE27" s="609"/>
      <c r="CBF27" s="609"/>
      <c r="CBG27" s="609"/>
      <c r="CBH27" s="609"/>
      <c r="CBI27" s="609"/>
      <c r="CBJ27" s="609"/>
      <c r="CBK27" s="609"/>
      <c r="CBL27" s="609"/>
      <c r="CBM27" s="609"/>
      <c r="CBN27" s="609"/>
      <c r="CBO27" s="609"/>
      <c r="CBP27" s="609"/>
      <c r="CBQ27" s="609"/>
      <c r="CBR27" s="609"/>
      <c r="CBS27" s="609"/>
      <c r="CBT27" s="609"/>
      <c r="CBU27" s="609"/>
      <c r="CBV27" s="609"/>
      <c r="CBW27" s="609"/>
      <c r="CBX27" s="609"/>
      <c r="CBY27" s="609"/>
      <c r="CBZ27" s="609"/>
      <c r="CCA27" s="609"/>
      <c r="CCB27" s="609"/>
      <c r="CCC27" s="609"/>
      <c r="CCD27" s="609"/>
      <c r="CCE27" s="609"/>
      <c r="CCF27" s="609"/>
      <c r="CCG27" s="609"/>
      <c r="CCH27" s="609"/>
      <c r="CCI27" s="609"/>
      <c r="CCJ27" s="609"/>
      <c r="CCK27" s="609"/>
      <c r="CCL27" s="609"/>
      <c r="CCM27" s="609"/>
      <c r="CCN27" s="609"/>
      <c r="CCO27" s="609"/>
      <c r="CCP27" s="609"/>
      <c r="CCQ27" s="609"/>
      <c r="CCR27" s="609"/>
      <c r="CCS27" s="609"/>
      <c r="CCT27" s="609"/>
      <c r="CCU27" s="609"/>
      <c r="CCV27" s="609"/>
      <c r="CCW27" s="609"/>
      <c r="CCX27" s="609"/>
      <c r="CCY27" s="609"/>
      <c r="CCZ27" s="609"/>
      <c r="CDA27" s="609"/>
      <c r="CDB27" s="609"/>
      <c r="CDC27" s="609"/>
      <c r="CDD27" s="609"/>
      <c r="CDE27" s="609"/>
      <c r="CDF27" s="609"/>
      <c r="CDG27" s="609"/>
      <c r="CDH27" s="609"/>
      <c r="CDI27" s="609"/>
      <c r="CDJ27" s="609"/>
      <c r="CDK27" s="609"/>
      <c r="CDL27" s="609"/>
      <c r="CDM27" s="609"/>
      <c r="CDN27" s="609"/>
      <c r="CDO27" s="609"/>
      <c r="CDP27" s="609"/>
      <c r="CDQ27" s="609"/>
      <c r="CDR27" s="609"/>
      <c r="CDS27" s="609"/>
      <c r="CDT27" s="609"/>
      <c r="CDU27" s="609"/>
      <c r="CDV27" s="609"/>
      <c r="CDW27" s="609"/>
      <c r="CDX27" s="609"/>
      <c r="CDY27" s="609"/>
      <c r="CDZ27" s="609"/>
      <c r="CEA27" s="609"/>
      <c r="CEB27" s="609"/>
      <c r="CEC27" s="609"/>
      <c r="CED27" s="609"/>
      <c r="CEE27" s="609"/>
      <c r="CEF27" s="609"/>
      <c r="CEG27" s="609"/>
      <c r="CEH27" s="609"/>
      <c r="CEI27" s="609"/>
      <c r="CEJ27" s="609"/>
      <c r="CEK27" s="609"/>
      <c r="CEL27" s="609"/>
      <c r="CEM27" s="609"/>
      <c r="CEN27" s="609"/>
      <c r="CEO27" s="609"/>
      <c r="CEP27" s="609"/>
      <c r="CEQ27" s="609"/>
      <c r="CER27" s="609"/>
      <c r="CES27" s="609"/>
      <c r="CET27" s="609"/>
      <c r="CEU27" s="609"/>
      <c r="CEV27" s="609"/>
      <c r="CEW27" s="609"/>
      <c r="CEX27" s="609"/>
      <c r="CEY27" s="609"/>
      <c r="CEZ27" s="609"/>
      <c r="CFA27" s="609"/>
      <c r="CFB27" s="609"/>
      <c r="CFC27" s="609"/>
      <c r="CFD27" s="609"/>
      <c r="CFE27" s="609"/>
      <c r="CFF27" s="609"/>
      <c r="CFG27" s="609"/>
      <c r="CFH27" s="609"/>
      <c r="CFI27" s="609"/>
      <c r="CFJ27" s="609"/>
      <c r="CFK27" s="609"/>
      <c r="CFL27" s="609"/>
      <c r="CFM27" s="609"/>
      <c r="CFN27" s="609"/>
      <c r="CFO27" s="609"/>
      <c r="CFP27" s="609"/>
      <c r="CFQ27" s="609"/>
      <c r="CFR27" s="609"/>
      <c r="CFS27" s="609"/>
      <c r="CFT27" s="609"/>
      <c r="CFU27" s="609"/>
      <c r="CFV27" s="609"/>
      <c r="CFW27" s="609"/>
      <c r="CFX27" s="609"/>
      <c r="CFY27" s="609"/>
      <c r="CFZ27" s="609"/>
      <c r="CGA27" s="609"/>
      <c r="CGB27" s="609"/>
      <c r="CGC27" s="609"/>
      <c r="CGD27" s="609"/>
      <c r="CGE27" s="609"/>
      <c r="CGF27" s="609"/>
      <c r="CGG27" s="609"/>
      <c r="CGH27" s="609"/>
      <c r="CGI27" s="609"/>
      <c r="CGJ27" s="609"/>
      <c r="CGK27" s="609"/>
      <c r="CGL27" s="609"/>
      <c r="CGM27" s="609"/>
      <c r="CGN27" s="609"/>
      <c r="CGO27" s="609"/>
      <c r="CGP27" s="609"/>
      <c r="CGQ27" s="609"/>
      <c r="CGR27" s="609"/>
      <c r="CGS27" s="609"/>
      <c r="CGT27" s="609"/>
      <c r="CGU27" s="609"/>
      <c r="CGV27" s="609"/>
      <c r="CGW27" s="609"/>
      <c r="CGX27" s="609"/>
      <c r="CGY27" s="609"/>
      <c r="CGZ27" s="609"/>
      <c r="CHA27" s="609"/>
      <c r="CHB27" s="609"/>
      <c r="CHC27" s="609"/>
      <c r="CHD27" s="609"/>
      <c r="CHE27" s="609"/>
      <c r="CHF27" s="609"/>
      <c r="CHG27" s="609"/>
      <c r="CHH27" s="609"/>
      <c r="CHI27" s="609"/>
      <c r="CHJ27" s="609"/>
      <c r="CHK27" s="609"/>
      <c r="CHL27" s="609"/>
      <c r="CHM27" s="609"/>
      <c r="CHN27" s="609"/>
      <c r="CHO27" s="609"/>
      <c r="CHP27" s="609"/>
      <c r="CHQ27" s="609"/>
      <c r="CHR27" s="609"/>
      <c r="CHS27" s="609"/>
      <c r="CHT27" s="609"/>
      <c r="CHU27" s="609"/>
      <c r="CHV27" s="609"/>
      <c r="CHW27" s="609"/>
      <c r="CHX27" s="609"/>
      <c r="CHY27" s="609"/>
      <c r="CHZ27" s="609"/>
      <c r="CIA27" s="609"/>
      <c r="CIB27" s="609"/>
      <c r="CIC27" s="609"/>
      <c r="CID27" s="609"/>
      <c r="CIE27" s="609"/>
      <c r="CIF27" s="609"/>
      <c r="CIG27" s="609"/>
      <c r="CIH27" s="609"/>
      <c r="CII27" s="609"/>
      <c r="CIJ27" s="609"/>
      <c r="CIK27" s="609"/>
      <c r="CIL27" s="609"/>
      <c r="CIM27" s="609"/>
      <c r="CIN27" s="609"/>
      <c r="CIO27" s="609"/>
      <c r="CIP27" s="609"/>
      <c r="CIQ27" s="609"/>
      <c r="CIR27" s="609"/>
      <c r="CIS27" s="609"/>
      <c r="CIT27" s="609"/>
      <c r="CIU27" s="609"/>
      <c r="CIV27" s="609"/>
      <c r="CIW27" s="609"/>
      <c r="CIX27" s="609"/>
      <c r="CIY27" s="609"/>
      <c r="CIZ27" s="609"/>
      <c r="CJA27" s="609"/>
      <c r="CJB27" s="609"/>
      <c r="CJC27" s="609"/>
      <c r="CJD27" s="609"/>
      <c r="CJE27" s="609"/>
      <c r="CJF27" s="609"/>
      <c r="CJG27" s="609"/>
      <c r="CJH27" s="609"/>
      <c r="CJI27" s="609"/>
      <c r="CJJ27" s="609"/>
      <c r="CJK27" s="609"/>
      <c r="CJL27" s="609"/>
      <c r="CJM27" s="609"/>
      <c r="CJN27" s="609"/>
      <c r="CJO27" s="609"/>
      <c r="CJP27" s="609"/>
      <c r="CJQ27" s="609"/>
      <c r="CJR27" s="609"/>
      <c r="CJS27" s="609"/>
      <c r="CJT27" s="609"/>
      <c r="CJU27" s="609"/>
      <c r="CJV27" s="609"/>
      <c r="CJW27" s="609"/>
      <c r="CJX27" s="609"/>
      <c r="CJY27" s="609"/>
      <c r="CJZ27" s="609"/>
      <c r="CKA27" s="609"/>
      <c r="CKB27" s="609"/>
      <c r="CKC27" s="609"/>
      <c r="CKD27" s="609"/>
      <c r="CKE27" s="609"/>
      <c r="CKF27" s="609"/>
      <c r="CKG27" s="609"/>
      <c r="CKH27" s="609"/>
      <c r="CKI27" s="609"/>
      <c r="CKJ27" s="609"/>
      <c r="CKK27" s="609"/>
      <c r="CKL27" s="609"/>
      <c r="CKM27" s="609"/>
      <c r="CKN27" s="609"/>
      <c r="CKO27" s="609"/>
      <c r="CKP27" s="609"/>
      <c r="CKQ27" s="609"/>
      <c r="CKR27" s="609"/>
      <c r="CKS27" s="609"/>
      <c r="CKT27" s="609"/>
      <c r="CKU27" s="609"/>
      <c r="CKV27" s="609"/>
      <c r="CKW27" s="609"/>
      <c r="CKX27" s="609"/>
      <c r="CKY27" s="609"/>
      <c r="CKZ27" s="609"/>
      <c r="CLA27" s="609"/>
      <c r="CLB27" s="609"/>
      <c r="CLC27" s="609"/>
      <c r="CLD27" s="609"/>
      <c r="CLE27" s="609"/>
      <c r="CLF27" s="609"/>
      <c r="CLG27" s="609"/>
      <c r="CLH27" s="609"/>
      <c r="CLI27" s="609"/>
      <c r="CLJ27" s="609"/>
      <c r="CLK27" s="609"/>
      <c r="CLL27" s="609"/>
      <c r="CLM27" s="609"/>
      <c r="CLN27" s="609"/>
      <c r="CLO27" s="609"/>
      <c r="CLP27" s="609"/>
      <c r="CLQ27" s="609"/>
      <c r="CLR27" s="609"/>
      <c r="CLS27" s="609"/>
      <c r="CLT27" s="609"/>
      <c r="CLU27" s="609"/>
      <c r="CLV27" s="609"/>
      <c r="CLW27" s="609"/>
      <c r="CLX27" s="609"/>
      <c r="CLY27" s="609"/>
      <c r="CLZ27" s="609"/>
      <c r="CMA27" s="609"/>
      <c r="CMB27" s="609"/>
      <c r="CMC27" s="609"/>
      <c r="CMD27" s="609"/>
      <c r="CME27" s="609"/>
      <c r="CMF27" s="609"/>
      <c r="CMG27" s="609"/>
      <c r="CMH27" s="609"/>
      <c r="CMI27" s="609"/>
      <c r="CMJ27" s="609"/>
      <c r="CMK27" s="609"/>
      <c r="CML27" s="609"/>
      <c r="CMM27" s="609"/>
      <c r="CMN27" s="609"/>
      <c r="CMO27" s="609"/>
      <c r="CMP27" s="609"/>
      <c r="CMQ27" s="609"/>
      <c r="CMR27" s="609"/>
      <c r="CMS27" s="609"/>
      <c r="CMT27" s="609"/>
      <c r="CMU27" s="609"/>
      <c r="CMV27" s="609"/>
      <c r="CMW27" s="609"/>
      <c r="CMX27" s="609"/>
      <c r="CMY27" s="609"/>
      <c r="CMZ27" s="609"/>
      <c r="CNA27" s="609"/>
      <c r="CNB27" s="609"/>
      <c r="CNC27" s="609"/>
      <c r="CND27" s="609"/>
      <c r="CNE27" s="609"/>
      <c r="CNF27" s="609"/>
      <c r="CNG27" s="609"/>
      <c r="CNH27" s="609"/>
      <c r="CNI27" s="609"/>
      <c r="CNJ27" s="609"/>
      <c r="CNK27" s="609"/>
      <c r="CNL27" s="609"/>
      <c r="CNM27" s="609"/>
      <c r="CNN27" s="609"/>
      <c r="CNO27" s="609"/>
      <c r="CNP27" s="609"/>
      <c r="CNQ27" s="609"/>
      <c r="CNR27" s="609"/>
      <c r="CNS27" s="609"/>
      <c r="CNT27" s="609"/>
      <c r="CNU27" s="609"/>
      <c r="CNV27" s="609"/>
      <c r="CNW27" s="609"/>
      <c r="CNX27" s="609"/>
      <c r="CNY27" s="609"/>
      <c r="CNZ27" s="609"/>
      <c r="COA27" s="609"/>
      <c r="COB27" s="609"/>
      <c r="COC27" s="609"/>
      <c r="COD27" s="609"/>
      <c r="COE27" s="609"/>
      <c r="COF27" s="609"/>
      <c r="COG27" s="609"/>
      <c r="COH27" s="609"/>
      <c r="COI27" s="609"/>
      <c r="COJ27" s="609"/>
      <c r="COK27" s="609"/>
      <c r="COL27" s="609"/>
      <c r="COM27" s="609"/>
      <c r="CON27" s="609"/>
      <c r="COO27" s="609"/>
      <c r="COP27" s="609"/>
      <c r="COQ27" s="609"/>
      <c r="COR27" s="609"/>
      <c r="COS27" s="609"/>
      <c r="COT27" s="609"/>
      <c r="COU27" s="609"/>
      <c r="COV27" s="609"/>
      <c r="COW27" s="609"/>
      <c r="COX27" s="609"/>
      <c r="COY27" s="609"/>
      <c r="COZ27" s="609"/>
      <c r="CPA27" s="609"/>
      <c r="CPB27" s="609"/>
      <c r="CPC27" s="609"/>
      <c r="CPD27" s="609"/>
      <c r="CPE27" s="609"/>
      <c r="CPF27" s="609"/>
      <c r="CPG27" s="609"/>
      <c r="CPH27" s="609"/>
      <c r="CPI27" s="609"/>
      <c r="CPJ27" s="609"/>
      <c r="CPK27" s="609"/>
      <c r="CPL27" s="609"/>
      <c r="CPM27" s="609"/>
      <c r="CPN27" s="609"/>
      <c r="CPO27" s="609"/>
      <c r="CPP27" s="609"/>
      <c r="CPQ27" s="609"/>
      <c r="CPR27" s="609"/>
      <c r="CPS27" s="609"/>
      <c r="CPT27" s="609"/>
      <c r="CPU27" s="609"/>
      <c r="CPV27" s="609"/>
      <c r="CPW27" s="609"/>
      <c r="CPX27" s="609"/>
      <c r="CPY27" s="609"/>
      <c r="CPZ27" s="609"/>
      <c r="CQA27" s="609"/>
      <c r="CQB27" s="609"/>
      <c r="CQC27" s="609"/>
      <c r="CQD27" s="609"/>
      <c r="CQE27" s="609"/>
      <c r="CQF27" s="609"/>
      <c r="CQG27" s="609"/>
      <c r="CQH27" s="609"/>
      <c r="CQI27" s="609"/>
      <c r="CQJ27" s="609"/>
      <c r="CQK27" s="609"/>
      <c r="CQL27" s="609"/>
      <c r="CQM27" s="609"/>
      <c r="CQN27" s="609"/>
      <c r="CQO27" s="609"/>
      <c r="CQP27" s="609"/>
      <c r="CQQ27" s="609"/>
      <c r="CQR27" s="609"/>
      <c r="CQS27" s="609"/>
      <c r="CQT27" s="609"/>
      <c r="CQU27" s="609"/>
      <c r="CQV27" s="609"/>
      <c r="CQW27" s="609"/>
      <c r="CQX27" s="609"/>
      <c r="CQY27" s="609"/>
      <c r="CQZ27" s="609"/>
      <c r="CRA27" s="609"/>
      <c r="CRB27" s="609"/>
      <c r="CRC27" s="609"/>
      <c r="CRD27" s="609"/>
      <c r="CRE27" s="609"/>
      <c r="CRF27" s="609"/>
      <c r="CRG27" s="609"/>
      <c r="CRH27" s="609"/>
      <c r="CRI27" s="609"/>
      <c r="CRJ27" s="609"/>
      <c r="CRK27" s="609"/>
      <c r="CRL27" s="609"/>
      <c r="CRM27" s="609"/>
      <c r="CRN27" s="609"/>
      <c r="CRO27" s="609"/>
      <c r="CRP27" s="609"/>
      <c r="CRQ27" s="609"/>
      <c r="CRR27" s="609"/>
      <c r="CRS27" s="609"/>
      <c r="CRT27" s="609"/>
      <c r="CRU27" s="609"/>
      <c r="CRV27" s="609"/>
      <c r="CRW27" s="609"/>
      <c r="CRX27" s="609"/>
      <c r="CRY27" s="609"/>
      <c r="CRZ27" s="609"/>
      <c r="CSA27" s="609"/>
      <c r="CSB27" s="609"/>
      <c r="CSC27" s="609"/>
      <c r="CSD27" s="609"/>
      <c r="CSE27" s="609"/>
      <c r="CSF27" s="609"/>
      <c r="CSG27" s="609"/>
      <c r="CSH27" s="609"/>
      <c r="CSI27" s="609"/>
      <c r="CSJ27" s="609"/>
      <c r="CSK27" s="609"/>
      <c r="CSL27" s="609"/>
      <c r="CSM27" s="609"/>
      <c r="CSN27" s="609"/>
      <c r="CSO27" s="609"/>
      <c r="CSP27" s="609"/>
      <c r="CSQ27" s="609"/>
      <c r="CSR27" s="609"/>
      <c r="CSS27" s="609"/>
      <c r="CST27" s="609"/>
      <c r="CSU27" s="609"/>
      <c r="CSV27" s="609"/>
      <c r="CSW27" s="609"/>
      <c r="CSX27" s="609"/>
      <c r="CSY27" s="609"/>
      <c r="CSZ27" s="609"/>
      <c r="CTA27" s="609"/>
      <c r="CTB27" s="609"/>
      <c r="CTC27" s="609"/>
      <c r="CTD27" s="609"/>
      <c r="CTE27" s="609"/>
      <c r="CTF27" s="609"/>
      <c r="CTG27" s="609"/>
      <c r="CTH27" s="609"/>
      <c r="CTI27" s="609"/>
      <c r="CTJ27" s="609"/>
      <c r="CTK27" s="609"/>
      <c r="CTL27" s="609"/>
      <c r="CTM27" s="609"/>
      <c r="CTN27" s="609"/>
      <c r="CTO27" s="609"/>
      <c r="CTP27" s="609"/>
      <c r="CTQ27" s="609"/>
      <c r="CTR27" s="609"/>
      <c r="CTS27" s="609"/>
      <c r="CTT27" s="609"/>
      <c r="CTU27" s="609"/>
      <c r="CTV27" s="609"/>
      <c r="CTW27" s="609"/>
      <c r="CTX27" s="609"/>
      <c r="CTY27" s="609"/>
      <c r="CTZ27" s="609"/>
      <c r="CUA27" s="609"/>
      <c r="CUB27" s="609"/>
      <c r="CUC27" s="609"/>
      <c r="CUD27" s="609"/>
      <c r="CUE27" s="609"/>
      <c r="CUF27" s="609"/>
      <c r="CUG27" s="609"/>
      <c r="CUH27" s="609"/>
      <c r="CUI27" s="609"/>
      <c r="CUJ27" s="609"/>
      <c r="CUK27" s="609"/>
      <c r="CUL27" s="609"/>
      <c r="CUM27" s="609"/>
      <c r="CUN27" s="609"/>
      <c r="CUO27" s="609"/>
      <c r="CUP27" s="609"/>
      <c r="CUQ27" s="609"/>
      <c r="CUR27" s="609"/>
      <c r="CUS27" s="609"/>
      <c r="CUT27" s="609"/>
      <c r="CUU27" s="609"/>
      <c r="CUV27" s="609"/>
      <c r="CUW27" s="609"/>
      <c r="CUX27" s="609"/>
      <c r="CUY27" s="609"/>
      <c r="CUZ27" s="609"/>
      <c r="CVA27" s="609"/>
      <c r="CVB27" s="609"/>
      <c r="CVC27" s="609"/>
      <c r="CVD27" s="609"/>
      <c r="CVE27" s="609"/>
      <c r="CVF27" s="609"/>
      <c r="CVG27" s="609"/>
      <c r="CVH27" s="609"/>
      <c r="CVI27" s="609"/>
      <c r="CVJ27" s="609"/>
      <c r="CVK27" s="609"/>
      <c r="CVL27" s="609"/>
      <c r="CVM27" s="609"/>
      <c r="CVN27" s="609"/>
      <c r="CVO27" s="609"/>
      <c r="CVP27" s="609"/>
      <c r="CVQ27" s="609"/>
      <c r="CVR27" s="609"/>
      <c r="CVS27" s="609"/>
      <c r="CVT27" s="609"/>
      <c r="CVU27" s="609"/>
      <c r="CVV27" s="609"/>
      <c r="CVW27" s="609"/>
      <c r="CVX27" s="609"/>
      <c r="CVY27" s="609"/>
      <c r="CVZ27" s="609"/>
      <c r="CWA27" s="609"/>
      <c r="CWB27" s="609"/>
      <c r="CWC27" s="609"/>
      <c r="CWD27" s="609"/>
      <c r="CWE27" s="609"/>
      <c r="CWF27" s="609"/>
      <c r="CWG27" s="609"/>
      <c r="CWH27" s="609"/>
      <c r="CWI27" s="609"/>
      <c r="CWJ27" s="609"/>
      <c r="CWK27" s="609"/>
      <c r="CWL27" s="609"/>
      <c r="CWM27" s="609"/>
      <c r="CWN27" s="609"/>
      <c r="CWO27" s="609"/>
      <c r="CWP27" s="609"/>
      <c r="CWQ27" s="609"/>
      <c r="CWR27" s="609"/>
      <c r="CWS27" s="609"/>
      <c r="CWT27" s="609"/>
      <c r="CWU27" s="609"/>
      <c r="CWV27" s="609"/>
      <c r="CWW27" s="609"/>
      <c r="CWX27" s="609"/>
      <c r="CWY27" s="609"/>
      <c r="CWZ27" s="609"/>
      <c r="CXA27" s="609"/>
      <c r="CXB27" s="609"/>
      <c r="CXC27" s="609"/>
      <c r="CXD27" s="609"/>
      <c r="CXE27" s="609"/>
      <c r="CXF27" s="609"/>
      <c r="CXG27" s="609"/>
      <c r="CXH27" s="609"/>
      <c r="CXI27" s="609"/>
      <c r="CXJ27" s="609"/>
      <c r="CXK27" s="609"/>
      <c r="CXL27" s="609"/>
      <c r="CXM27" s="609"/>
      <c r="CXN27" s="609"/>
      <c r="CXO27" s="609"/>
      <c r="CXP27" s="609"/>
      <c r="CXQ27" s="609"/>
      <c r="CXR27" s="609"/>
      <c r="CXS27" s="609"/>
      <c r="CXT27" s="609"/>
      <c r="CXU27" s="609"/>
      <c r="CXV27" s="609"/>
      <c r="CXW27" s="609"/>
      <c r="CXX27" s="609"/>
      <c r="CXY27" s="609"/>
      <c r="CXZ27" s="609"/>
      <c r="CYA27" s="609"/>
      <c r="CYB27" s="609"/>
      <c r="CYC27" s="609"/>
      <c r="CYD27" s="609"/>
      <c r="CYE27" s="609"/>
      <c r="CYF27" s="609"/>
      <c r="CYG27" s="609"/>
      <c r="CYH27" s="609"/>
      <c r="CYI27" s="609"/>
      <c r="CYJ27" s="609"/>
      <c r="CYK27" s="609"/>
      <c r="CYL27" s="609"/>
      <c r="CYM27" s="609"/>
      <c r="CYN27" s="609"/>
      <c r="CYO27" s="609"/>
      <c r="CYP27" s="609"/>
      <c r="CYQ27" s="609"/>
      <c r="CYR27" s="609"/>
      <c r="CYS27" s="609"/>
      <c r="CYT27" s="609"/>
      <c r="CYU27" s="609"/>
      <c r="CYV27" s="609"/>
      <c r="CYW27" s="609"/>
      <c r="CYX27" s="609"/>
      <c r="CYY27" s="609"/>
      <c r="CYZ27" s="609"/>
      <c r="CZA27" s="609"/>
      <c r="CZB27" s="609"/>
      <c r="CZC27" s="609"/>
      <c r="CZD27" s="609"/>
      <c r="CZE27" s="609"/>
      <c r="CZF27" s="609"/>
      <c r="CZG27" s="609"/>
      <c r="CZH27" s="609"/>
      <c r="CZI27" s="609"/>
      <c r="CZJ27" s="609"/>
      <c r="CZK27" s="609"/>
      <c r="CZL27" s="609"/>
      <c r="CZM27" s="609"/>
      <c r="CZN27" s="609"/>
      <c r="CZO27" s="609"/>
      <c r="CZP27" s="609"/>
      <c r="CZQ27" s="609"/>
      <c r="CZR27" s="609"/>
      <c r="CZS27" s="609"/>
      <c r="CZT27" s="609"/>
      <c r="CZU27" s="609"/>
      <c r="CZV27" s="609"/>
      <c r="CZW27" s="609"/>
      <c r="CZX27" s="609"/>
      <c r="CZY27" s="609"/>
      <c r="CZZ27" s="609"/>
      <c r="DAA27" s="609"/>
      <c r="DAB27" s="609"/>
      <c r="DAC27" s="609"/>
      <c r="DAD27" s="609"/>
      <c r="DAE27" s="609"/>
      <c r="DAF27" s="609"/>
      <c r="DAG27" s="609"/>
      <c r="DAH27" s="609"/>
      <c r="DAI27" s="609"/>
      <c r="DAJ27" s="609"/>
      <c r="DAK27" s="609"/>
      <c r="DAL27" s="609"/>
      <c r="DAM27" s="609"/>
      <c r="DAN27" s="609"/>
      <c r="DAO27" s="609"/>
      <c r="DAP27" s="609"/>
      <c r="DAQ27" s="609"/>
      <c r="DAR27" s="609"/>
      <c r="DAS27" s="609"/>
      <c r="DAT27" s="609"/>
      <c r="DAU27" s="609"/>
      <c r="DAV27" s="609"/>
      <c r="DAW27" s="609"/>
      <c r="DAX27" s="609"/>
      <c r="DAY27" s="609"/>
      <c r="DAZ27" s="609"/>
      <c r="DBA27" s="609"/>
      <c r="DBB27" s="609"/>
      <c r="DBC27" s="609"/>
      <c r="DBD27" s="609"/>
      <c r="DBE27" s="609"/>
      <c r="DBF27" s="609"/>
      <c r="DBG27" s="609"/>
      <c r="DBH27" s="609"/>
      <c r="DBI27" s="609"/>
      <c r="DBJ27" s="609"/>
      <c r="DBK27" s="609"/>
      <c r="DBL27" s="609"/>
      <c r="DBM27" s="609"/>
      <c r="DBN27" s="609"/>
      <c r="DBO27" s="609"/>
      <c r="DBP27" s="609"/>
      <c r="DBQ27" s="609"/>
      <c r="DBR27" s="609"/>
      <c r="DBS27" s="609"/>
      <c r="DBT27" s="609"/>
      <c r="DBU27" s="609"/>
      <c r="DBV27" s="609"/>
      <c r="DBW27" s="609"/>
      <c r="DBX27" s="609"/>
      <c r="DBY27" s="609"/>
      <c r="DBZ27" s="609"/>
      <c r="DCA27" s="609"/>
      <c r="DCB27" s="609"/>
      <c r="DCC27" s="609"/>
      <c r="DCD27" s="609"/>
      <c r="DCE27" s="609"/>
      <c r="DCF27" s="609"/>
      <c r="DCG27" s="609"/>
      <c r="DCH27" s="609"/>
      <c r="DCI27" s="609"/>
      <c r="DCJ27" s="609"/>
      <c r="DCK27" s="609"/>
      <c r="DCL27" s="609"/>
      <c r="DCM27" s="609"/>
      <c r="DCN27" s="609"/>
      <c r="DCO27" s="609"/>
      <c r="DCP27" s="609"/>
      <c r="DCQ27" s="609"/>
      <c r="DCR27" s="609"/>
      <c r="DCS27" s="609"/>
      <c r="DCT27" s="609"/>
      <c r="DCU27" s="609"/>
      <c r="DCV27" s="609"/>
      <c r="DCW27" s="609"/>
      <c r="DCX27" s="609"/>
      <c r="DCY27" s="609"/>
      <c r="DCZ27" s="609"/>
      <c r="DDA27" s="609"/>
      <c r="DDB27" s="609"/>
      <c r="DDC27" s="609"/>
      <c r="DDD27" s="609"/>
      <c r="DDE27" s="609"/>
      <c r="DDF27" s="609"/>
      <c r="DDG27" s="609"/>
      <c r="DDH27" s="609"/>
      <c r="DDI27" s="609"/>
      <c r="DDJ27" s="609"/>
      <c r="DDK27" s="609"/>
      <c r="DDL27" s="609"/>
      <c r="DDM27" s="609"/>
      <c r="DDN27" s="609"/>
      <c r="DDO27" s="609"/>
      <c r="DDP27" s="609"/>
      <c r="DDQ27" s="609"/>
      <c r="DDR27" s="609"/>
      <c r="DDS27" s="609"/>
      <c r="DDT27" s="609"/>
      <c r="DDU27" s="609"/>
      <c r="DDV27" s="609"/>
      <c r="DDW27" s="609"/>
      <c r="DDX27" s="609"/>
      <c r="DDY27" s="609"/>
      <c r="DDZ27" s="609"/>
      <c r="DEA27" s="609"/>
      <c r="DEB27" s="609"/>
      <c r="DEC27" s="609"/>
      <c r="DED27" s="609"/>
      <c r="DEE27" s="609"/>
      <c r="DEF27" s="609"/>
      <c r="DEG27" s="609"/>
      <c r="DEH27" s="609"/>
      <c r="DEI27" s="609"/>
      <c r="DEJ27" s="609"/>
      <c r="DEK27" s="609"/>
      <c r="DEL27" s="609"/>
      <c r="DEM27" s="609"/>
      <c r="DEN27" s="609"/>
      <c r="DEO27" s="609"/>
      <c r="DEP27" s="609"/>
      <c r="DEQ27" s="609"/>
      <c r="DER27" s="609"/>
      <c r="DES27" s="609"/>
      <c r="DET27" s="609"/>
      <c r="DEU27" s="609"/>
      <c r="DEV27" s="609"/>
      <c r="DEW27" s="609"/>
      <c r="DEX27" s="609"/>
      <c r="DEY27" s="609"/>
      <c r="DEZ27" s="609"/>
      <c r="DFA27" s="609"/>
      <c r="DFB27" s="609"/>
      <c r="DFC27" s="609"/>
      <c r="DFD27" s="609"/>
      <c r="DFE27" s="609"/>
      <c r="DFF27" s="609"/>
      <c r="DFG27" s="609"/>
      <c r="DFH27" s="609"/>
      <c r="DFI27" s="609"/>
      <c r="DFJ27" s="609"/>
      <c r="DFK27" s="609"/>
      <c r="DFL27" s="609"/>
      <c r="DFM27" s="609"/>
      <c r="DFN27" s="609"/>
      <c r="DFO27" s="609"/>
      <c r="DFP27" s="609"/>
      <c r="DFQ27" s="609"/>
      <c r="DFR27" s="609"/>
      <c r="DFS27" s="609"/>
      <c r="DFT27" s="609"/>
      <c r="DFU27" s="609"/>
      <c r="DFV27" s="609"/>
      <c r="DFW27" s="609"/>
      <c r="DFX27" s="609"/>
      <c r="DFY27" s="609"/>
      <c r="DFZ27" s="609"/>
      <c r="DGA27" s="609"/>
      <c r="DGB27" s="609"/>
      <c r="DGC27" s="609"/>
      <c r="DGD27" s="609"/>
      <c r="DGE27" s="609"/>
      <c r="DGF27" s="609"/>
      <c r="DGG27" s="609"/>
      <c r="DGH27" s="609"/>
      <c r="DGI27" s="609"/>
      <c r="DGJ27" s="609"/>
      <c r="DGK27" s="609"/>
      <c r="DGL27" s="609"/>
      <c r="DGM27" s="609"/>
      <c r="DGN27" s="609"/>
      <c r="DGO27" s="609"/>
      <c r="DGP27" s="609"/>
      <c r="DGQ27" s="609"/>
      <c r="DGR27" s="609"/>
      <c r="DGS27" s="609"/>
      <c r="DGT27" s="609"/>
      <c r="DGU27" s="609"/>
      <c r="DGV27" s="609"/>
      <c r="DGW27" s="609"/>
      <c r="DGX27" s="609"/>
      <c r="DGY27" s="609"/>
      <c r="DGZ27" s="609"/>
      <c r="DHA27" s="609"/>
      <c r="DHB27" s="609"/>
      <c r="DHC27" s="609"/>
      <c r="DHD27" s="609"/>
      <c r="DHE27" s="609"/>
      <c r="DHF27" s="609"/>
      <c r="DHG27" s="609"/>
      <c r="DHH27" s="609"/>
      <c r="DHI27" s="609"/>
      <c r="DHJ27" s="609"/>
      <c r="DHK27" s="609"/>
      <c r="DHL27" s="609"/>
      <c r="DHM27" s="609"/>
      <c r="DHN27" s="609"/>
      <c r="DHO27" s="609"/>
      <c r="DHP27" s="609"/>
      <c r="DHQ27" s="609"/>
      <c r="DHR27" s="609"/>
      <c r="DHS27" s="609"/>
      <c r="DHT27" s="609"/>
      <c r="DHU27" s="609"/>
      <c r="DHV27" s="609"/>
      <c r="DHW27" s="609"/>
      <c r="DHX27" s="609"/>
      <c r="DHY27" s="609"/>
      <c r="DHZ27" s="609"/>
      <c r="DIA27" s="609"/>
      <c r="DIB27" s="609"/>
      <c r="DIC27" s="609"/>
      <c r="DID27" s="609"/>
      <c r="DIE27" s="609"/>
      <c r="DIF27" s="609"/>
      <c r="DIG27" s="609"/>
      <c r="DIH27" s="609"/>
      <c r="DII27" s="609"/>
      <c r="DIJ27" s="609"/>
      <c r="DIK27" s="609"/>
      <c r="DIL27" s="609"/>
      <c r="DIM27" s="609"/>
      <c r="DIN27" s="609"/>
      <c r="DIO27" s="609"/>
      <c r="DIP27" s="609"/>
      <c r="DIQ27" s="609"/>
      <c r="DIR27" s="609"/>
      <c r="DIS27" s="609"/>
      <c r="DIT27" s="609"/>
      <c r="DIU27" s="609"/>
      <c r="DIV27" s="609"/>
      <c r="DIW27" s="609"/>
      <c r="DIX27" s="609"/>
      <c r="DIY27" s="609"/>
      <c r="DIZ27" s="609"/>
      <c r="DJA27" s="609"/>
      <c r="DJB27" s="609"/>
      <c r="DJC27" s="609"/>
      <c r="DJD27" s="609"/>
      <c r="DJE27" s="609"/>
      <c r="DJF27" s="609"/>
      <c r="DJG27" s="609"/>
      <c r="DJH27" s="609"/>
      <c r="DJI27" s="609"/>
      <c r="DJJ27" s="609"/>
      <c r="DJK27" s="609"/>
      <c r="DJL27" s="609"/>
      <c r="DJM27" s="609"/>
      <c r="DJN27" s="609"/>
      <c r="DJO27" s="609"/>
      <c r="DJP27" s="609"/>
      <c r="DJQ27" s="609"/>
      <c r="DJR27" s="609"/>
      <c r="DJS27" s="609"/>
      <c r="DJT27" s="609"/>
      <c r="DJU27" s="609"/>
      <c r="DJV27" s="609"/>
      <c r="DJW27" s="609"/>
      <c r="DJX27" s="609"/>
      <c r="DJY27" s="609"/>
      <c r="DJZ27" s="609"/>
      <c r="DKA27" s="609"/>
      <c r="DKB27" s="609"/>
      <c r="DKC27" s="609"/>
      <c r="DKD27" s="609"/>
      <c r="DKE27" s="609"/>
      <c r="DKF27" s="609"/>
      <c r="DKG27" s="609"/>
      <c r="DKH27" s="609"/>
      <c r="DKI27" s="609"/>
      <c r="DKJ27" s="609"/>
      <c r="DKK27" s="609"/>
      <c r="DKL27" s="609"/>
      <c r="DKM27" s="609"/>
      <c r="DKN27" s="609"/>
      <c r="DKO27" s="609"/>
      <c r="DKP27" s="609"/>
      <c r="DKQ27" s="609"/>
      <c r="DKR27" s="609"/>
      <c r="DKS27" s="609"/>
      <c r="DKT27" s="609"/>
      <c r="DKU27" s="609"/>
      <c r="DKV27" s="609"/>
      <c r="DKW27" s="609"/>
      <c r="DKX27" s="609"/>
      <c r="DKY27" s="609"/>
      <c r="DKZ27" s="609"/>
      <c r="DLA27" s="609"/>
      <c r="DLB27" s="609"/>
      <c r="DLC27" s="609"/>
      <c r="DLD27" s="609"/>
      <c r="DLE27" s="609"/>
      <c r="DLF27" s="609"/>
      <c r="DLG27" s="609"/>
      <c r="DLH27" s="609"/>
      <c r="DLI27" s="609"/>
      <c r="DLJ27" s="609"/>
      <c r="DLK27" s="609"/>
      <c r="DLL27" s="609"/>
      <c r="DLM27" s="609"/>
      <c r="DLN27" s="609"/>
      <c r="DLO27" s="609"/>
      <c r="DLP27" s="609"/>
      <c r="DLQ27" s="609"/>
      <c r="DLR27" s="609"/>
      <c r="DLS27" s="609"/>
      <c r="DLT27" s="609"/>
      <c r="DLU27" s="609"/>
      <c r="DLV27" s="609"/>
      <c r="DLW27" s="609"/>
      <c r="DLX27" s="609"/>
      <c r="DLY27" s="609"/>
      <c r="DLZ27" s="609"/>
      <c r="DMA27" s="609"/>
      <c r="DMB27" s="609"/>
      <c r="DMC27" s="609"/>
      <c r="DMD27" s="609"/>
      <c r="DME27" s="609"/>
      <c r="DMF27" s="609"/>
      <c r="DMG27" s="609"/>
      <c r="DMH27" s="609"/>
      <c r="DMI27" s="609"/>
      <c r="DMJ27" s="609"/>
      <c r="DMK27" s="609"/>
      <c r="DML27" s="609"/>
      <c r="DMM27" s="609"/>
      <c r="DMN27" s="609"/>
      <c r="DMO27" s="609"/>
      <c r="DMP27" s="609"/>
      <c r="DMQ27" s="609"/>
      <c r="DMR27" s="609"/>
      <c r="DMS27" s="609"/>
      <c r="DMT27" s="609"/>
      <c r="DMU27" s="609"/>
      <c r="DMV27" s="609"/>
      <c r="DMW27" s="609"/>
      <c r="DMX27" s="609"/>
      <c r="DMY27" s="609"/>
      <c r="DMZ27" s="609"/>
      <c r="DNA27" s="609"/>
      <c r="DNB27" s="609"/>
      <c r="DNC27" s="609"/>
      <c r="DND27" s="609"/>
      <c r="DNE27" s="609"/>
      <c r="DNF27" s="609"/>
      <c r="DNG27" s="609"/>
      <c r="DNH27" s="609"/>
      <c r="DNI27" s="609"/>
      <c r="DNJ27" s="609"/>
      <c r="DNK27" s="609"/>
      <c r="DNL27" s="609"/>
      <c r="DNM27" s="609"/>
      <c r="DNN27" s="609"/>
      <c r="DNO27" s="609"/>
      <c r="DNP27" s="609"/>
      <c r="DNQ27" s="609"/>
      <c r="DNR27" s="609"/>
      <c r="DNS27" s="609"/>
      <c r="DNT27" s="609"/>
      <c r="DNU27" s="609"/>
      <c r="DNV27" s="609"/>
      <c r="DNW27" s="609"/>
      <c r="DNX27" s="609"/>
      <c r="DNY27" s="609"/>
      <c r="DNZ27" s="609"/>
      <c r="DOA27" s="609"/>
      <c r="DOB27" s="609"/>
      <c r="DOC27" s="609"/>
      <c r="DOD27" s="609"/>
      <c r="DOE27" s="609"/>
      <c r="DOF27" s="609"/>
      <c r="DOG27" s="609"/>
      <c r="DOH27" s="609"/>
      <c r="DOI27" s="609"/>
      <c r="DOJ27" s="609"/>
      <c r="DOK27" s="609"/>
      <c r="DOL27" s="609"/>
      <c r="DOM27" s="609"/>
      <c r="DON27" s="609"/>
      <c r="DOO27" s="609"/>
      <c r="DOP27" s="609"/>
      <c r="DOQ27" s="609"/>
      <c r="DOR27" s="609"/>
      <c r="DOS27" s="609"/>
      <c r="DOT27" s="609"/>
      <c r="DOU27" s="609"/>
      <c r="DOV27" s="609"/>
      <c r="DOW27" s="609"/>
      <c r="DOX27" s="609"/>
      <c r="DOY27" s="609"/>
      <c r="DOZ27" s="609"/>
      <c r="DPA27" s="609"/>
      <c r="DPB27" s="609"/>
      <c r="DPC27" s="609"/>
      <c r="DPD27" s="609"/>
      <c r="DPE27" s="609"/>
      <c r="DPF27" s="609"/>
      <c r="DPG27" s="609"/>
      <c r="DPH27" s="609"/>
      <c r="DPI27" s="609"/>
      <c r="DPJ27" s="609"/>
      <c r="DPK27" s="609"/>
      <c r="DPL27" s="609"/>
      <c r="DPM27" s="609"/>
      <c r="DPN27" s="609"/>
      <c r="DPO27" s="609"/>
      <c r="DPP27" s="609"/>
      <c r="DPQ27" s="609"/>
      <c r="DPR27" s="609"/>
      <c r="DPS27" s="609"/>
      <c r="DPT27" s="609"/>
      <c r="DPU27" s="609"/>
      <c r="DPV27" s="609"/>
      <c r="DPW27" s="609"/>
      <c r="DPX27" s="609"/>
      <c r="DPY27" s="609"/>
      <c r="DPZ27" s="609"/>
      <c r="DQA27" s="609"/>
      <c r="DQB27" s="609"/>
      <c r="DQC27" s="609"/>
      <c r="DQD27" s="609"/>
      <c r="DQE27" s="609"/>
      <c r="DQF27" s="609"/>
      <c r="DQG27" s="609"/>
      <c r="DQH27" s="609"/>
      <c r="DQI27" s="609"/>
      <c r="DQJ27" s="609"/>
      <c r="DQK27" s="609"/>
      <c r="DQL27" s="609"/>
      <c r="DQM27" s="609"/>
      <c r="DQN27" s="609"/>
      <c r="DQO27" s="609"/>
      <c r="DQP27" s="609"/>
      <c r="DQQ27" s="609"/>
      <c r="DQR27" s="609"/>
      <c r="DQS27" s="609"/>
      <c r="DQT27" s="609"/>
      <c r="DQU27" s="609"/>
      <c r="DQV27" s="609"/>
      <c r="DQW27" s="609"/>
      <c r="DQX27" s="609"/>
      <c r="DQY27" s="609"/>
      <c r="DQZ27" s="609"/>
      <c r="DRA27" s="609"/>
      <c r="DRB27" s="609"/>
      <c r="DRC27" s="609"/>
      <c r="DRD27" s="609"/>
      <c r="DRE27" s="609"/>
      <c r="DRF27" s="609"/>
      <c r="DRG27" s="609"/>
      <c r="DRH27" s="609"/>
      <c r="DRI27" s="609"/>
      <c r="DRJ27" s="609"/>
      <c r="DRK27" s="609"/>
      <c r="DRL27" s="609"/>
      <c r="DRM27" s="609"/>
      <c r="DRN27" s="609"/>
      <c r="DRO27" s="609"/>
      <c r="DRP27" s="609"/>
      <c r="DRQ27" s="609"/>
      <c r="DRR27" s="609"/>
      <c r="DRS27" s="609"/>
      <c r="DRT27" s="609"/>
      <c r="DRU27" s="609"/>
      <c r="DRV27" s="609"/>
      <c r="DRW27" s="609"/>
      <c r="DRX27" s="609"/>
      <c r="DRY27" s="609"/>
      <c r="DRZ27" s="609"/>
      <c r="DSA27" s="609"/>
      <c r="DSB27" s="609"/>
      <c r="DSC27" s="609"/>
      <c r="DSD27" s="609"/>
      <c r="DSE27" s="609"/>
      <c r="DSF27" s="609"/>
      <c r="DSG27" s="609"/>
      <c r="DSH27" s="609"/>
      <c r="DSI27" s="609"/>
      <c r="DSJ27" s="609"/>
      <c r="DSK27" s="609"/>
      <c r="DSL27" s="609"/>
      <c r="DSM27" s="609"/>
      <c r="DSN27" s="609"/>
      <c r="DSO27" s="609"/>
      <c r="DSP27" s="609"/>
      <c r="DSQ27" s="609"/>
      <c r="DSR27" s="609"/>
      <c r="DSS27" s="609"/>
      <c r="DST27" s="609"/>
      <c r="DSU27" s="609"/>
      <c r="DSV27" s="609"/>
      <c r="DSW27" s="609"/>
      <c r="DSX27" s="609"/>
      <c r="DSY27" s="609"/>
      <c r="DSZ27" s="609"/>
      <c r="DTA27" s="609"/>
      <c r="DTB27" s="609"/>
      <c r="DTC27" s="609"/>
      <c r="DTD27" s="609"/>
      <c r="DTE27" s="609"/>
      <c r="DTF27" s="609"/>
      <c r="DTG27" s="609"/>
      <c r="DTH27" s="609"/>
      <c r="DTI27" s="609"/>
      <c r="DTJ27" s="609"/>
      <c r="DTK27" s="609"/>
      <c r="DTL27" s="609"/>
      <c r="DTM27" s="609"/>
      <c r="DTN27" s="609"/>
      <c r="DTO27" s="609"/>
      <c r="DTP27" s="609"/>
      <c r="DTQ27" s="609"/>
      <c r="DTR27" s="609"/>
      <c r="DTS27" s="609"/>
      <c r="DTT27" s="609"/>
      <c r="DTU27" s="609"/>
      <c r="DTV27" s="609"/>
      <c r="DTW27" s="609"/>
      <c r="DTX27" s="609"/>
      <c r="DTY27" s="609"/>
      <c r="DTZ27" s="609"/>
      <c r="DUA27" s="609"/>
      <c r="DUB27" s="609"/>
      <c r="DUC27" s="609"/>
      <c r="DUD27" s="609"/>
      <c r="DUE27" s="609"/>
      <c r="DUF27" s="609"/>
      <c r="DUG27" s="609"/>
      <c r="DUH27" s="609"/>
      <c r="DUI27" s="609"/>
      <c r="DUJ27" s="609"/>
      <c r="DUK27" s="609"/>
      <c r="DUL27" s="609"/>
      <c r="DUM27" s="609"/>
      <c r="DUN27" s="609"/>
      <c r="DUO27" s="609"/>
      <c r="DUP27" s="609"/>
      <c r="DUQ27" s="609"/>
      <c r="DUR27" s="609"/>
      <c r="DUS27" s="609"/>
      <c r="DUT27" s="609"/>
      <c r="DUU27" s="609"/>
      <c r="DUV27" s="609"/>
      <c r="DUW27" s="609"/>
      <c r="DUX27" s="609"/>
      <c r="DUY27" s="609"/>
      <c r="DUZ27" s="609"/>
      <c r="DVA27" s="609"/>
      <c r="DVB27" s="609"/>
      <c r="DVC27" s="609"/>
      <c r="DVD27" s="609"/>
      <c r="DVE27" s="609"/>
      <c r="DVF27" s="609"/>
      <c r="DVG27" s="609"/>
      <c r="DVH27" s="609"/>
      <c r="DVI27" s="609"/>
      <c r="DVJ27" s="609"/>
      <c r="DVK27" s="609"/>
      <c r="DVL27" s="609"/>
      <c r="DVM27" s="609"/>
      <c r="DVN27" s="609"/>
      <c r="DVO27" s="609"/>
      <c r="DVP27" s="609"/>
      <c r="DVQ27" s="609"/>
      <c r="DVR27" s="609"/>
      <c r="DVS27" s="609"/>
      <c r="DVT27" s="609"/>
      <c r="DVU27" s="609"/>
      <c r="DVV27" s="609"/>
      <c r="DVW27" s="609"/>
      <c r="DVX27" s="609"/>
      <c r="DVY27" s="609"/>
      <c r="DVZ27" s="609"/>
      <c r="DWA27" s="609"/>
      <c r="DWB27" s="609"/>
      <c r="DWC27" s="609"/>
      <c r="DWD27" s="609"/>
      <c r="DWE27" s="609"/>
      <c r="DWF27" s="609"/>
      <c r="DWG27" s="609"/>
      <c r="DWH27" s="609"/>
      <c r="DWI27" s="609"/>
      <c r="DWJ27" s="609"/>
      <c r="DWK27" s="609"/>
      <c r="DWL27" s="609"/>
      <c r="DWM27" s="609"/>
      <c r="DWN27" s="609"/>
      <c r="DWO27" s="609"/>
      <c r="DWP27" s="609"/>
      <c r="DWQ27" s="609"/>
      <c r="DWR27" s="609"/>
      <c r="DWS27" s="609"/>
      <c r="DWT27" s="609"/>
      <c r="DWU27" s="609"/>
      <c r="DWV27" s="609"/>
      <c r="DWW27" s="609"/>
      <c r="DWX27" s="609"/>
      <c r="DWY27" s="609"/>
      <c r="DWZ27" s="609"/>
      <c r="DXA27" s="609"/>
      <c r="DXB27" s="609"/>
      <c r="DXC27" s="609"/>
      <c r="DXD27" s="609"/>
      <c r="DXE27" s="609"/>
      <c r="DXF27" s="609"/>
      <c r="DXG27" s="609"/>
      <c r="DXH27" s="609"/>
      <c r="DXI27" s="609"/>
      <c r="DXJ27" s="609"/>
      <c r="DXK27" s="609"/>
      <c r="DXL27" s="609"/>
      <c r="DXM27" s="609"/>
      <c r="DXN27" s="609"/>
      <c r="DXO27" s="609"/>
      <c r="DXP27" s="609"/>
      <c r="DXQ27" s="609"/>
      <c r="DXR27" s="609"/>
      <c r="DXS27" s="609"/>
      <c r="DXT27" s="609"/>
      <c r="DXU27" s="609"/>
      <c r="DXV27" s="609"/>
      <c r="DXW27" s="609"/>
      <c r="DXX27" s="609"/>
      <c r="DXY27" s="609"/>
      <c r="DXZ27" s="609"/>
      <c r="DYA27" s="609"/>
      <c r="DYB27" s="609"/>
      <c r="DYC27" s="609"/>
      <c r="DYD27" s="609"/>
      <c r="DYE27" s="609"/>
      <c r="DYF27" s="609"/>
      <c r="DYG27" s="609"/>
      <c r="DYH27" s="609"/>
      <c r="DYI27" s="609"/>
      <c r="DYJ27" s="609"/>
      <c r="DYK27" s="609"/>
      <c r="DYL27" s="609"/>
      <c r="DYM27" s="609"/>
      <c r="DYN27" s="609"/>
      <c r="DYO27" s="609"/>
      <c r="DYP27" s="609"/>
      <c r="DYQ27" s="609"/>
      <c r="DYR27" s="609"/>
      <c r="DYS27" s="609"/>
      <c r="DYT27" s="609"/>
      <c r="DYU27" s="609"/>
      <c r="DYV27" s="609"/>
      <c r="DYW27" s="609"/>
      <c r="DYX27" s="609"/>
      <c r="DYY27" s="609"/>
      <c r="DYZ27" s="609"/>
      <c r="DZA27" s="609"/>
      <c r="DZB27" s="609"/>
      <c r="DZC27" s="609"/>
      <c r="DZD27" s="609"/>
      <c r="DZE27" s="609"/>
      <c r="DZF27" s="609"/>
      <c r="DZG27" s="609"/>
      <c r="DZH27" s="609"/>
      <c r="DZI27" s="609"/>
      <c r="DZJ27" s="609"/>
      <c r="DZK27" s="609"/>
      <c r="DZL27" s="609"/>
      <c r="DZM27" s="609"/>
      <c r="DZN27" s="609"/>
      <c r="DZO27" s="609"/>
      <c r="DZP27" s="609"/>
      <c r="DZQ27" s="609"/>
      <c r="DZR27" s="609"/>
      <c r="DZS27" s="609"/>
      <c r="DZT27" s="609"/>
      <c r="DZU27" s="609"/>
      <c r="DZV27" s="609"/>
      <c r="DZW27" s="609"/>
      <c r="DZX27" s="609"/>
      <c r="DZY27" s="609"/>
      <c r="DZZ27" s="609"/>
      <c r="EAA27" s="609"/>
      <c r="EAB27" s="609"/>
      <c r="EAC27" s="609"/>
      <c r="EAD27" s="609"/>
      <c r="EAE27" s="609"/>
      <c r="EAF27" s="609"/>
      <c r="EAG27" s="609"/>
      <c r="EAH27" s="609"/>
      <c r="EAI27" s="609"/>
      <c r="EAJ27" s="609"/>
      <c r="EAK27" s="609"/>
      <c r="EAL27" s="609"/>
      <c r="EAM27" s="609"/>
      <c r="EAN27" s="609"/>
      <c r="EAO27" s="609"/>
      <c r="EAP27" s="609"/>
      <c r="EAQ27" s="609"/>
      <c r="EAR27" s="609"/>
      <c r="EAS27" s="609"/>
      <c r="EAT27" s="609"/>
      <c r="EAU27" s="609"/>
      <c r="EAV27" s="609"/>
      <c r="EAW27" s="609"/>
      <c r="EAX27" s="609"/>
      <c r="EAY27" s="609"/>
      <c r="EAZ27" s="609"/>
      <c r="EBA27" s="609"/>
      <c r="EBB27" s="609"/>
      <c r="EBC27" s="609"/>
      <c r="EBD27" s="609"/>
      <c r="EBE27" s="609"/>
      <c r="EBF27" s="609"/>
      <c r="EBG27" s="609"/>
      <c r="EBH27" s="609"/>
      <c r="EBI27" s="609"/>
      <c r="EBJ27" s="609"/>
      <c r="EBK27" s="609"/>
      <c r="EBL27" s="609"/>
      <c r="EBM27" s="609"/>
      <c r="EBN27" s="609"/>
      <c r="EBO27" s="609"/>
      <c r="EBP27" s="609"/>
      <c r="EBQ27" s="609"/>
      <c r="EBR27" s="609"/>
      <c r="EBS27" s="609"/>
      <c r="EBT27" s="609"/>
      <c r="EBU27" s="609"/>
      <c r="EBV27" s="609"/>
      <c r="EBW27" s="609"/>
      <c r="EBX27" s="609"/>
      <c r="EBY27" s="609"/>
      <c r="EBZ27" s="609"/>
      <c r="ECA27" s="609"/>
      <c r="ECB27" s="609"/>
      <c r="ECC27" s="609"/>
      <c r="ECD27" s="609"/>
      <c r="ECE27" s="609"/>
      <c r="ECF27" s="609"/>
      <c r="ECG27" s="609"/>
      <c r="ECH27" s="609"/>
      <c r="ECI27" s="609"/>
      <c r="ECJ27" s="609"/>
      <c r="ECK27" s="609"/>
      <c r="ECL27" s="609"/>
      <c r="ECM27" s="609"/>
      <c r="ECN27" s="609"/>
      <c r="ECO27" s="609"/>
      <c r="ECP27" s="609"/>
      <c r="ECQ27" s="609"/>
      <c r="ECR27" s="609"/>
      <c r="ECS27" s="609"/>
      <c r="ECT27" s="609"/>
      <c r="ECU27" s="609"/>
      <c r="ECV27" s="609"/>
      <c r="ECW27" s="609"/>
      <c r="ECX27" s="609"/>
      <c r="ECY27" s="609"/>
      <c r="ECZ27" s="609"/>
      <c r="EDA27" s="609"/>
      <c r="EDB27" s="609"/>
      <c r="EDC27" s="609"/>
      <c r="EDD27" s="609"/>
      <c r="EDE27" s="609"/>
      <c r="EDF27" s="609"/>
      <c r="EDG27" s="609"/>
      <c r="EDH27" s="609"/>
      <c r="EDI27" s="609"/>
      <c r="EDJ27" s="609"/>
      <c r="EDK27" s="609"/>
      <c r="EDL27" s="609"/>
      <c r="EDM27" s="609"/>
      <c r="EDN27" s="609"/>
      <c r="EDO27" s="609"/>
      <c r="EDP27" s="609"/>
      <c r="EDQ27" s="609"/>
      <c r="EDR27" s="609"/>
      <c r="EDS27" s="609"/>
      <c r="EDT27" s="609"/>
      <c r="EDU27" s="609"/>
      <c r="EDV27" s="609"/>
      <c r="EDW27" s="609"/>
      <c r="EDX27" s="609"/>
      <c r="EDY27" s="609"/>
      <c r="EDZ27" s="609"/>
      <c r="EEA27" s="609"/>
      <c r="EEB27" s="609"/>
      <c r="EEC27" s="609"/>
      <c r="EED27" s="609"/>
      <c r="EEE27" s="609"/>
      <c r="EEF27" s="609"/>
      <c r="EEG27" s="609"/>
      <c r="EEH27" s="609"/>
      <c r="EEI27" s="609"/>
      <c r="EEJ27" s="609"/>
      <c r="EEK27" s="609"/>
      <c r="EEL27" s="609"/>
      <c r="EEM27" s="609"/>
      <c r="EEN27" s="609"/>
      <c r="EEO27" s="609"/>
      <c r="EEP27" s="609"/>
      <c r="EEQ27" s="609"/>
      <c r="EER27" s="609"/>
      <c r="EES27" s="609"/>
      <c r="EET27" s="609"/>
      <c r="EEU27" s="609"/>
      <c r="EEV27" s="609"/>
      <c r="EEW27" s="609"/>
      <c r="EEX27" s="609"/>
      <c r="EEY27" s="609"/>
      <c r="EEZ27" s="609"/>
      <c r="EFA27" s="609"/>
      <c r="EFB27" s="609"/>
      <c r="EFC27" s="609"/>
      <c r="EFD27" s="609"/>
      <c r="EFE27" s="609"/>
      <c r="EFF27" s="609"/>
      <c r="EFG27" s="609"/>
      <c r="EFH27" s="609"/>
      <c r="EFI27" s="609"/>
      <c r="EFJ27" s="609"/>
      <c r="EFK27" s="609"/>
      <c r="EFL27" s="609"/>
      <c r="EFM27" s="609"/>
      <c r="EFN27" s="609"/>
      <c r="EFO27" s="609"/>
      <c r="EFP27" s="609"/>
      <c r="EFQ27" s="609"/>
      <c r="EFR27" s="609"/>
      <c r="EFS27" s="609"/>
      <c r="EFT27" s="609"/>
      <c r="EFU27" s="609"/>
      <c r="EFV27" s="609"/>
      <c r="EFW27" s="609"/>
      <c r="EFX27" s="609"/>
      <c r="EFY27" s="609"/>
      <c r="EFZ27" s="609"/>
      <c r="EGA27" s="609"/>
      <c r="EGB27" s="609"/>
      <c r="EGC27" s="609"/>
      <c r="EGD27" s="609"/>
      <c r="EGE27" s="609"/>
      <c r="EGF27" s="609"/>
      <c r="EGG27" s="609"/>
      <c r="EGH27" s="609"/>
      <c r="EGI27" s="609"/>
      <c r="EGJ27" s="609"/>
      <c r="EGK27" s="609"/>
      <c r="EGL27" s="609"/>
      <c r="EGM27" s="609"/>
      <c r="EGN27" s="609"/>
      <c r="EGO27" s="609"/>
      <c r="EGP27" s="609"/>
      <c r="EGQ27" s="609"/>
      <c r="EGR27" s="609"/>
      <c r="EGS27" s="609"/>
      <c r="EGT27" s="609"/>
      <c r="EGU27" s="609"/>
      <c r="EGV27" s="609"/>
      <c r="EGW27" s="609"/>
      <c r="EGX27" s="609"/>
      <c r="EGY27" s="609"/>
      <c r="EGZ27" s="609"/>
      <c r="EHA27" s="609"/>
      <c r="EHB27" s="609"/>
      <c r="EHC27" s="609"/>
      <c r="EHD27" s="609"/>
      <c r="EHE27" s="609"/>
      <c r="EHF27" s="609"/>
      <c r="EHG27" s="609"/>
      <c r="EHH27" s="609"/>
      <c r="EHI27" s="609"/>
      <c r="EHJ27" s="609"/>
      <c r="EHK27" s="609"/>
      <c r="EHL27" s="609"/>
      <c r="EHM27" s="609"/>
      <c r="EHN27" s="609"/>
      <c r="EHO27" s="609"/>
      <c r="EHP27" s="609"/>
      <c r="EHQ27" s="609"/>
      <c r="EHR27" s="609"/>
      <c r="EHS27" s="609"/>
      <c r="EHT27" s="609"/>
      <c r="EHU27" s="609"/>
      <c r="EHV27" s="609"/>
      <c r="EHW27" s="609"/>
      <c r="EHX27" s="609"/>
      <c r="EHY27" s="609"/>
      <c r="EHZ27" s="609"/>
      <c r="EIA27" s="609"/>
      <c r="EIB27" s="609"/>
      <c r="EIC27" s="609"/>
      <c r="EID27" s="609"/>
      <c r="EIE27" s="609"/>
      <c r="EIF27" s="609"/>
      <c r="EIG27" s="609"/>
      <c r="EIH27" s="609"/>
      <c r="EII27" s="609"/>
      <c r="EIJ27" s="609"/>
      <c r="EIK27" s="609"/>
      <c r="EIL27" s="609"/>
      <c r="EIM27" s="609"/>
      <c r="EIN27" s="609"/>
      <c r="EIO27" s="609"/>
      <c r="EIP27" s="609"/>
      <c r="EIQ27" s="609"/>
      <c r="EIR27" s="609"/>
      <c r="EIS27" s="609"/>
      <c r="EIT27" s="609"/>
      <c r="EIU27" s="609"/>
      <c r="EIV27" s="609"/>
      <c r="EIW27" s="609"/>
      <c r="EIX27" s="609"/>
      <c r="EIY27" s="609"/>
      <c r="EIZ27" s="609"/>
      <c r="EJA27" s="609"/>
      <c r="EJB27" s="609"/>
      <c r="EJC27" s="609"/>
      <c r="EJD27" s="609"/>
      <c r="EJE27" s="609"/>
      <c r="EJF27" s="609"/>
      <c r="EJG27" s="609"/>
      <c r="EJH27" s="609"/>
      <c r="EJI27" s="609"/>
      <c r="EJJ27" s="609"/>
      <c r="EJK27" s="609"/>
      <c r="EJL27" s="609"/>
      <c r="EJM27" s="609"/>
      <c r="EJN27" s="609"/>
      <c r="EJO27" s="609"/>
      <c r="EJP27" s="609"/>
      <c r="EJQ27" s="609"/>
      <c r="EJR27" s="609"/>
      <c r="EJS27" s="609"/>
      <c r="EJT27" s="609"/>
      <c r="EJU27" s="609"/>
      <c r="EJV27" s="609"/>
      <c r="EJW27" s="609"/>
      <c r="EJX27" s="609"/>
      <c r="EJY27" s="609"/>
      <c r="EJZ27" s="609"/>
      <c r="EKA27" s="609"/>
      <c r="EKB27" s="609"/>
      <c r="EKC27" s="609"/>
      <c r="EKD27" s="609"/>
      <c r="EKE27" s="609"/>
      <c r="EKF27" s="609"/>
      <c r="EKG27" s="609"/>
      <c r="EKH27" s="609"/>
      <c r="EKI27" s="609"/>
      <c r="EKJ27" s="609"/>
      <c r="EKK27" s="609"/>
      <c r="EKL27" s="609"/>
      <c r="EKM27" s="609"/>
      <c r="EKN27" s="609"/>
      <c r="EKO27" s="609"/>
      <c r="EKP27" s="609"/>
      <c r="EKQ27" s="609"/>
      <c r="EKR27" s="609"/>
      <c r="EKS27" s="609"/>
      <c r="EKT27" s="609"/>
      <c r="EKU27" s="609"/>
      <c r="EKV27" s="609"/>
      <c r="EKW27" s="609"/>
      <c r="EKX27" s="609"/>
      <c r="EKY27" s="609"/>
      <c r="EKZ27" s="609"/>
      <c r="ELA27" s="609"/>
      <c r="ELB27" s="609"/>
      <c r="ELC27" s="609"/>
      <c r="ELD27" s="609"/>
      <c r="ELE27" s="609"/>
      <c r="ELF27" s="609"/>
      <c r="ELG27" s="609"/>
      <c r="ELH27" s="609"/>
      <c r="ELI27" s="609"/>
      <c r="ELJ27" s="609"/>
      <c r="ELK27" s="609"/>
      <c r="ELL27" s="609"/>
      <c r="ELM27" s="609"/>
      <c r="ELN27" s="609"/>
      <c r="ELO27" s="609"/>
      <c r="ELP27" s="609"/>
      <c r="ELQ27" s="609"/>
      <c r="ELR27" s="609"/>
      <c r="ELS27" s="609"/>
      <c r="ELT27" s="609"/>
      <c r="ELU27" s="609"/>
      <c r="ELV27" s="609"/>
      <c r="ELW27" s="609"/>
      <c r="ELX27" s="609"/>
      <c r="ELY27" s="609"/>
      <c r="ELZ27" s="609"/>
      <c r="EMA27" s="609"/>
      <c r="EMB27" s="609"/>
      <c r="EMC27" s="609"/>
      <c r="EMD27" s="609"/>
      <c r="EME27" s="609"/>
      <c r="EMF27" s="609"/>
      <c r="EMG27" s="609"/>
      <c r="EMH27" s="609"/>
      <c r="EMI27" s="609"/>
      <c r="EMJ27" s="609"/>
      <c r="EMK27" s="609"/>
      <c r="EML27" s="609"/>
      <c r="EMM27" s="609"/>
      <c r="EMN27" s="609"/>
      <c r="EMO27" s="609"/>
      <c r="EMP27" s="609"/>
      <c r="EMQ27" s="609"/>
      <c r="EMR27" s="609"/>
      <c r="EMS27" s="609"/>
      <c r="EMT27" s="609"/>
      <c r="EMU27" s="609"/>
      <c r="EMV27" s="609"/>
      <c r="EMW27" s="609"/>
      <c r="EMX27" s="609"/>
      <c r="EMY27" s="609"/>
      <c r="EMZ27" s="609"/>
      <c r="ENA27" s="609"/>
      <c r="ENB27" s="609"/>
      <c r="ENC27" s="609"/>
      <c r="END27" s="609"/>
      <c r="ENE27" s="609"/>
      <c r="ENF27" s="609"/>
      <c r="ENG27" s="609"/>
      <c r="ENH27" s="609"/>
      <c r="ENI27" s="609"/>
      <c r="ENJ27" s="609"/>
      <c r="ENK27" s="609"/>
      <c r="ENL27" s="609"/>
      <c r="ENM27" s="609"/>
      <c r="ENN27" s="609"/>
      <c r="ENO27" s="609"/>
      <c r="ENP27" s="609"/>
      <c r="ENQ27" s="609"/>
      <c r="ENR27" s="609"/>
      <c r="ENS27" s="609"/>
      <c r="ENT27" s="609"/>
      <c r="ENU27" s="609"/>
      <c r="ENV27" s="609"/>
      <c r="ENW27" s="609"/>
      <c r="ENX27" s="609"/>
      <c r="ENY27" s="609"/>
      <c r="ENZ27" s="609"/>
      <c r="EOA27" s="609"/>
      <c r="EOB27" s="609"/>
      <c r="EOC27" s="609"/>
      <c r="EOD27" s="609"/>
      <c r="EOE27" s="609"/>
      <c r="EOF27" s="609"/>
      <c r="EOG27" s="609"/>
      <c r="EOH27" s="609"/>
      <c r="EOI27" s="609"/>
      <c r="EOJ27" s="609"/>
      <c r="EOK27" s="609"/>
      <c r="EOL27" s="609"/>
      <c r="EOM27" s="609"/>
      <c r="EON27" s="609"/>
      <c r="EOO27" s="609"/>
      <c r="EOP27" s="609"/>
      <c r="EOQ27" s="609"/>
      <c r="EOR27" s="609"/>
      <c r="EOS27" s="609"/>
      <c r="EOT27" s="609"/>
      <c r="EOU27" s="609"/>
      <c r="EOV27" s="609"/>
      <c r="EOW27" s="609"/>
      <c r="EOX27" s="609"/>
      <c r="EOY27" s="609"/>
      <c r="EOZ27" s="609"/>
      <c r="EPA27" s="609"/>
      <c r="EPB27" s="609"/>
      <c r="EPC27" s="609"/>
      <c r="EPD27" s="609"/>
      <c r="EPE27" s="609"/>
      <c r="EPF27" s="609"/>
      <c r="EPG27" s="609"/>
      <c r="EPH27" s="609"/>
      <c r="EPI27" s="609"/>
      <c r="EPJ27" s="609"/>
      <c r="EPK27" s="609"/>
      <c r="EPL27" s="609"/>
      <c r="EPM27" s="609"/>
      <c r="EPN27" s="609"/>
      <c r="EPO27" s="609"/>
      <c r="EPP27" s="609"/>
      <c r="EPQ27" s="609"/>
      <c r="EPR27" s="609"/>
      <c r="EPS27" s="609"/>
      <c r="EPT27" s="609"/>
      <c r="EPU27" s="609"/>
      <c r="EPV27" s="609"/>
      <c r="EPW27" s="609"/>
      <c r="EPX27" s="609"/>
      <c r="EPY27" s="609"/>
      <c r="EPZ27" s="609"/>
      <c r="EQA27" s="609"/>
      <c r="EQB27" s="609"/>
      <c r="EQC27" s="609"/>
      <c r="EQD27" s="609"/>
      <c r="EQE27" s="609"/>
      <c r="EQF27" s="609"/>
      <c r="EQG27" s="609"/>
      <c r="EQH27" s="609"/>
      <c r="EQI27" s="609"/>
      <c r="EQJ27" s="609"/>
      <c r="EQK27" s="609"/>
      <c r="EQL27" s="609"/>
      <c r="EQM27" s="609"/>
      <c r="EQN27" s="609"/>
      <c r="EQO27" s="609"/>
      <c r="EQP27" s="609"/>
      <c r="EQQ27" s="609"/>
      <c r="EQR27" s="609"/>
      <c r="EQS27" s="609"/>
      <c r="EQT27" s="609"/>
      <c r="EQU27" s="609"/>
      <c r="EQV27" s="609"/>
      <c r="EQW27" s="609"/>
      <c r="EQX27" s="609"/>
      <c r="EQY27" s="609"/>
      <c r="EQZ27" s="609"/>
      <c r="ERA27" s="609"/>
      <c r="ERB27" s="609"/>
      <c r="ERC27" s="609"/>
      <c r="ERD27" s="609"/>
      <c r="ERE27" s="609"/>
      <c r="ERF27" s="609"/>
      <c r="ERG27" s="609"/>
      <c r="ERH27" s="609"/>
      <c r="ERI27" s="609"/>
      <c r="ERJ27" s="609"/>
      <c r="ERK27" s="609"/>
      <c r="ERL27" s="609"/>
      <c r="ERM27" s="609"/>
      <c r="ERN27" s="609"/>
      <c r="ERO27" s="609"/>
      <c r="ERP27" s="609"/>
      <c r="ERQ27" s="609"/>
      <c r="ERR27" s="609"/>
      <c r="ERS27" s="609"/>
      <c r="ERT27" s="609"/>
      <c r="ERU27" s="609"/>
      <c r="ERV27" s="609"/>
      <c r="ERW27" s="609"/>
      <c r="ERX27" s="609"/>
      <c r="ERY27" s="609"/>
      <c r="ERZ27" s="609"/>
      <c r="ESA27" s="609"/>
      <c r="ESB27" s="609"/>
      <c r="ESC27" s="609"/>
      <c r="ESD27" s="609"/>
      <c r="ESE27" s="609"/>
      <c r="ESF27" s="609"/>
      <c r="ESG27" s="609"/>
      <c r="ESH27" s="609"/>
      <c r="ESI27" s="609"/>
      <c r="ESJ27" s="609"/>
      <c r="ESK27" s="609"/>
      <c r="ESL27" s="609"/>
      <c r="ESM27" s="609"/>
      <c r="ESN27" s="609"/>
      <c r="ESO27" s="609"/>
      <c r="ESP27" s="609"/>
      <c r="ESQ27" s="609"/>
      <c r="ESR27" s="609"/>
      <c r="ESS27" s="609"/>
      <c r="EST27" s="609"/>
      <c r="ESU27" s="609"/>
      <c r="ESV27" s="609"/>
      <c r="ESW27" s="609"/>
      <c r="ESX27" s="609"/>
      <c r="ESY27" s="609"/>
      <c r="ESZ27" s="609"/>
      <c r="ETA27" s="609"/>
      <c r="ETB27" s="609"/>
      <c r="ETC27" s="609"/>
      <c r="ETD27" s="609"/>
      <c r="ETE27" s="609"/>
      <c r="ETF27" s="609"/>
      <c r="ETG27" s="609"/>
      <c r="ETH27" s="609"/>
      <c r="ETI27" s="609"/>
      <c r="ETJ27" s="609"/>
      <c r="ETK27" s="609"/>
      <c r="ETL27" s="609"/>
      <c r="ETM27" s="609"/>
      <c r="ETN27" s="609"/>
      <c r="ETO27" s="609"/>
      <c r="ETP27" s="609"/>
      <c r="ETQ27" s="609"/>
      <c r="ETR27" s="609"/>
      <c r="ETS27" s="609"/>
      <c r="ETT27" s="609"/>
      <c r="ETU27" s="609"/>
      <c r="ETV27" s="609"/>
      <c r="ETW27" s="609"/>
      <c r="ETX27" s="609"/>
      <c r="ETY27" s="609"/>
      <c r="ETZ27" s="609"/>
      <c r="EUA27" s="609"/>
      <c r="EUB27" s="609"/>
      <c r="EUC27" s="609"/>
      <c r="EUD27" s="609"/>
      <c r="EUE27" s="609"/>
      <c r="EUF27" s="609"/>
      <c r="EUG27" s="609"/>
      <c r="EUH27" s="609"/>
      <c r="EUI27" s="609"/>
      <c r="EUJ27" s="609"/>
      <c r="EUK27" s="609"/>
      <c r="EUL27" s="609"/>
      <c r="EUM27" s="609"/>
      <c r="EUN27" s="609"/>
      <c r="EUO27" s="609"/>
      <c r="EUP27" s="609"/>
      <c r="EUQ27" s="609"/>
      <c r="EUR27" s="609"/>
      <c r="EUS27" s="609"/>
      <c r="EUT27" s="609"/>
      <c r="EUU27" s="609"/>
      <c r="EUV27" s="609"/>
      <c r="EUW27" s="609"/>
      <c r="EUX27" s="609"/>
      <c r="EUY27" s="609"/>
      <c r="EUZ27" s="609"/>
      <c r="EVA27" s="609"/>
      <c r="EVB27" s="609"/>
      <c r="EVC27" s="609"/>
      <c r="EVD27" s="609"/>
      <c r="EVE27" s="609"/>
      <c r="EVF27" s="609"/>
      <c r="EVG27" s="609"/>
      <c r="EVH27" s="609"/>
      <c r="EVI27" s="609"/>
      <c r="EVJ27" s="609"/>
      <c r="EVK27" s="609"/>
      <c r="EVL27" s="609"/>
      <c r="EVM27" s="609"/>
      <c r="EVN27" s="609"/>
      <c r="EVO27" s="609"/>
      <c r="EVP27" s="609"/>
      <c r="EVQ27" s="609"/>
      <c r="EVR27" s="609"/>
      <c r="EVS27" s="609"/>
      <c r="EVT27" s="609"/>
      <c r="EVU27" s="609"/>
      <c r="EVV27" s="609"/>
      <c r="EVW27" s="609"/>
      <c r="EVX27" s="609"/>
      <c r="EVY27" s="609"/>
      <c r="EVZ27" s="609"/>
      <c r="EWA27" s="609"/>
      <c r="EWB27" s="609"/>
      <c r="EWC27" s="609"/>
      <c r="EWD27" s="609"/>
      <c r="EWE27" s="609"/>
      <c r="EWF27" s="609"/>
      <c r="EWG27" s="609"/>
      <c r="EWH27" s="609"/>
      <c r="EWI27" s="609"/>
      <c r="EWJ27" s="609"/>
      <c r="EWK27" s="609"/>
      <c r="EWL27" s="609"/>
      <c r="EWM27" s="609"/>
      <c r="EWN27" s="609"/>
      <c r="EWO27" s="609"/>
      <c r="EWP27" s="609"/>
      <c r="EWQ27" s="609"/>
      <c r="EWR27" s="609"/>
      <c r="EWS27" s="609"/>
      <c r="EWT27" s="609"/>
      <c r="EWU27" s="609"/>
      <c r="EWV27" s="609"/>
      <c r="EWW27" s="609"/>
      <c r="EWX27" s="609"/>
      <c r="EWY27" s="609"/>
      <c r="EWZ27" s="609"/>
      <c r="EXA27" s="609"/>
      <c r="EXB27" s="609"/>
      <c r="EXC27" s="609"/>
      <c r="EXD27" s="609"/>
      <c r="EXE27" s="609"/>
      <c r="EXF27" s="609"/>
      <c r="EXG27" s="609"/>
      <c r="EXH27" s="609"/>
      <c r="EXI27" s="609"/>
      <c r="EXJ27" s="609"/>
      <c r="EXK27" s="609"/>
      <c r="EXL27" s="609"/>
      <c r="EXM27" s="609"/>
      <c r="EXN27" s="609"/>
      <c r="EXO27" s="609"/>
      <c r="EXP27" s="609"/>
      <c r="EXQ27" s="609"/>
      <c r="EXR27" s="609"/>
      <c r="EXS27" s="609"/>
      <c r="EXT27" s="609"/>
      <c r="EXU27" s="609"/>
      <c r="EXV27" s="609"/>
      <c r="EXW27" s="609"/>
      <c r="EXX27" s="609"/>
      <c r="EXY27" s="609"/>
      <c r="EXZ27" s="609"/>
      <c r="EYA27" s="609"/>
      <c r="EYB27" s="609"/>
      <c r="EYC27" s="609"/>
      <c r="EYD27" s="609"/>
      <c r="EYE27" s="609"/>
      <c r="EYF27" s="609"/>
      <c r="EYG27" s="609"/>
      <c r="EYH27" s="609"/>
      <c r="EYI27" s="609"/>
      <c r="EYJ27" s="609"/>
      <c r="EYK27" s="609"/>
      <c r="EYL27" s="609"/>
      <c r="EYM27" s="609"/>
      <c r="EYN27" s="609"/>
      <c r="EYO27" s="609"/>
      <c r="EYP27" s="609"/>
      <c r="EYQ27" s="609"/>
      <c r="EYR27" s="609"/>
      <c r="EYS27" s="609"/>
      <c r="EYT27" s="609"/>
      <c r="EYU27" s="609"/>
      <c r="EYV27" s="609"/>
      <c r="EYW27" s="609"/>
      <c r="EYX27" s="609"/>
      <c r="EYY27" s="609"/>
      <c r="EYZ27" s="609"/>
      <c r="EZA27" s="609"/>
      <c r="EZB27" s="609"/>
      <c r="EZC27" s="609"/>
      <c r="EZD27" s="609"/>
      <c r="EZE27" s="609"/>
      <c r="EZF27" s="609"/>
      <c r="EZG27" s="609"/>
      <c r="EZH27" s="609"/>
      <c r="EZI27" s="609"/>
      <c r="EZJ27" s="609"/>
      <c r="EZK27" s="609"/>
      <c r="EZL27" s="609"/>
      <c r="EZM27" s="609"/>
      <c r="EZN27" s="609"/>
      <c r="EZO27" s="609"/>
      <c r="EZP27" s="609"/>
      <c r="EZQ27" s="609"/>
      <c r="EZR27" s="609"/>
      <c r="EZS27" s="609"/>
      <c r="EZT27" s="609"/>
      <c r="EZU27" s="609"/>
      <c r="EZV27" s="609"/>
      <c r="EZW27" s="609"/>
      <c r="EZX27" s="609"/>
      <c r="EZY27" s="609"/>
      <c r="EZZ27" s="609"/>
      <c r="FAA27" s="609"/>
      <c r="FAB27" s="609"/>
      <c r="FAC27" s="609"/>
      <c r="FAD27" s="609"/>
      <c r="FAE27" s="609"/>
      <c r="FAF27" s="609"/>
      <c r="FAG27" s="609"/>
      <c r="FAH27" s="609"/>
      <c r="FAI27" s="609"/>
      <c r="FAJ27" s="609"/>
      <c r="FAK27" s="609"/>
      <c r="FAL27" s="609"/>
      <c r="FAM27" s="609"/>
      <c r="FAN27" s="609"/>
      <c r="FAO27" s="609"/>
      <c r="FAP27" s="609"/>
      <c r="FAQ27" s="609"/>
      <c r="FAR27" s="609"/>
      <c r="FAS27" s="609"/>
      <c r="FAT27" s="609"/>
      <c r="FAU27" s="609"/>
      <c r="FAV27" s="609"/>
      <c r="FAW27" s="609"/>
      <c r="FAX27" s="609"/>
      <c r="FAY27" s="609"/>
      <c r="FAZ27" s="609"/>
      <c r="FBA27" s="609"/>
      <c r="FBB27" s="609"/>
      <c r="FBC27" s="609"/>
      <c r="FBD27" s="609"/>
      <c r="FBE27" s="609"/>
      <c r="FBF27" s="609"/>
      <c r="FBG27" s="609"/>
      <c r="FBH27" s="609"/>
      <c r="FBI27" s="609"/>
      <c r="FBJ27" s="609"/>
      <c r="FBK27" s="609"/>
      <c r="FBL27" s="609"/>
      <c r="FBM27" s="609"/>
      <c r="FBN27" s="609"/>
      <c r="FBO27" s="609"/>
      <c r="FBP27" s="609"/>
      <c r="FBQ27" s="609"/>
      <c r="FBR27" s="609"/>
      <c r="FBS27" s="609"/>
      <c r="FBT27" s="609"/>
      <c r="FBU27" s="609"/>
      <c r="FBV27" s="609"/>
      <c r="FBW27" s="609"/>
      <c r="FBX27" s="609"/>
      <c r="FBY27" s="609"/>
      <c r="FBZ27" s="609"/>
      <c r="FCA27" s="609"/>
      <c r="FCB27" s="609"/>
      <c r="FCC27" s="609"/>
      <c r="FCD27" s="609"/>
      <c r="FCE27" s="609"/>
      <c r="FCF27" s="609"/>
      <c r="FCG27" s="609"/>
      <c r="FCH27" s="609"/>
      <c r="FCI27" s="609"/>
      <c r="FCJ27" s="609"/>
      <c r="FCK27" s="609"/>
      <c r="FCL27" s="609"/>
      <c r="FCM27" s="609"/>
      <c r="FCN27" s="609"/>
      <c r="FCO27" s="609"/>
      <c r="FCP27" s="609"/>
      <c r="FCQ27" s="609"/>
      <c r="FCR27" s="609"/>
      <c r="FCS27" s="609"/>
      <c r="FCT27" s="609"/>
      <c r="FCU27" s="609"/>
      <c r="FCV27" s="609"/>
      <c r="FCW27" s="609"/>
      <c r="FCX27" s="609"/>
      <c r="FCY27" s="609"/>
      <c r="FCZ27" s="609"/>
      <c r="FDA27" s="609"/>
      <c r="FDB27" s="609"/>
      <c r="FDC27" s="609"/>
      <c r="FDD27" s="609"/>
      <c r="FDE27" s="609"/>
      <c r="FDF27" s="609"/>
      <c r="FDG27" s="609"/>
      <c r="FDH27" s="609"/>
      <c r="FDI27" s="609"/>
      <c r="FDJ27" s="609"/>
      <c r="FDK27" s="609"/>
      <c r="FDL27" s="609"/>
      <c r="FDM27" s="609"/>
      <c r="FDN27" s="609"/>
      <c r="FDO27" s="609"/>
      <c r="FDP27" s="609"/>
      <c r="FDQ27" s="609"/>
      <c r="FDR27" s="609"/>
      <c r="FDS27" s="609"/>
      <c r="FDT27" s="609"/>
      <c r="FDU27" s="609"/>
      <c r="FDV27" s="609"/>
      <c r="FDW27" s="609"/>
      <c r="FDX27" s="609"/>
      <c r="FDY27" s="609"/>
      <c r="FDZ27" s="609"/>
      <c r="FEA27" s="609"/>
      <c r="FEB27" s="609"/>
      <c r="FEC27" s="609"/>
      <c r="FED27" s="609"/>
      <c r="FEE27" s="609"/>
      <c r="FEF27" s="609"/>
      <c r="FEG27" s="609"/>
      <c r="FEH27" s="609"/>
      <c r="FEI27" s="609"/>
      <c r="FEJ27" s="609"/>
      <c r="FEK27" s="609"/>
      <c r="FEL27" s="609"/>
      <c r="FEM27" s="609"/>
      <c r="FEN27" s="609"/>
      <c r="FEO27" s="609"/>
      <c r="FEP27" s="609"/>
      <c r="FEQ27" s="609"/>
      <c r="FER27" s="609"/>
      <c r="FES27" s="609"/>
      <c r="FET27" s="609"/>
      <c r="FEU27" s="609"/>
      <c r="FEV27" s="609"/>
      <c r="FEW27" s="609"/>
      <c r="FEX27" s="609"/>
      <c r="FEY27" s="609"/>
      <c r="FEZ27" s="609"/>
      <c r="FFA27" s="609"/>
      <c r="FFB27" s="609"/>
      <c r="FFC27" s="609"/>
      <c r="FFD27" s="609"/>
      <c r="FFE27" s="609"/>
      <c r="FFF27" s="609"/>
      <c r="FFG27" s="609"/>
      <c r="FFH27" s="609"/>
      <c r="FFI27" s="609"/>
      <c r="FFJ27" s="609"/>
      <c r="FFK27" s="609"/>
      <c r="FFL27" s="609"/>
      <c r="FFM27" s="609"/>
      <c r="FFN27" s="609"/>
      <c r="FFO27" s="609"/>
      <c r="FFP27" s="609"/>
      <c r="FFQ27" s="609"/>
      <c r="FFR27" s="609"/>
      <c r="FFS27" s="609"/>
      <c r="FFT27" s="609"/>
      <c r="FFU27" s="609"/>
      <c r="FFV27" s="609"/>
      <c r="FFW27" s="609"/>
      <c r="FFX27" s="609"/>
      <c r="FFY27" s="609"/>
      <c r="FFZ27" s="609"/>
      <c r="FGA27" s="609"/>
      <c r="FGB27" s="609"/>
      <c r="FGC27" s="609"/>
      <c r="FGD27" s="609"/>
      <c r="FGE27" s="609"/>
      <c r="FGF27" s="609"/>
      <c r="FGG27" s="609"/>
      <c r="FGH27" s="609"/>
      <c r="FGI27" s="609"/>
      <c r="FGJ27" s="609"/>
      <c r="FGK27" s="609"/>
      <c r="FGL27" s="609"/>
      <c r="FGM27" s="609"/>
      <c r="FGN27" s="609"/>
      <c r="FGO27" s="609"/>
      <c r="FGP27" s="609"/>
      <c r="FGQ27" s="609"/>
      <c r="FGR27" s="609"/>
      <c r="FGS27" s="609"/>
      <c r="FGT27" s="609"/>
      <c r="FGU27" s="609"/>
      <c r="FGV27" s="609"/>
      <c r="FGW27" s="609"/>
      <c r="FGX27" s="609"/>
      <c r="FGY27" s="609"/>
      <c r="FGZ27" s="609"/>
      <c r="FHA27" s="609"/>
      <c r="FHB27" s="609"/>
      <c r="FHC27" s="609"/>
      <c r="FHD27" s="609"/>
      <c r="FHE27" s="609"/>
      <c r="FHF27" s="609"/>
      <c r="FHG27" s="609"/>
      <c r="FHH27" s="609"/>
      <c r="FHI27" s="609"/>
      <c r="FHJ27" s="609"/>
      <c r="FHK27" s="609"/>
      <c r="FHL27" s="609"/>
      <c r="FHM27" s="609"/>
      <c r="FHN27" s="609"/>
      <c r="FHO27" s="609"/>
      <c r="FHP27" s="609"/>
      <c r="FHQ27" s="609"/>
      <c r="FHR27" s="609"/>
      <c r="FHS27" s="609"/>
      <c r="FHT27" s="609"/>
      <c r="FHU27" s="609"/>
      <c r="FHV27" s="609"/>
      <c r="FHW27" s="609"/>
      <c r="FHX27" s="609"/>
      <c r="FHY27" s="609"/>
      <c r="FHZ27" s="609"/>
      <c r="FIA27" s="609"/>
      <c r="FIB27" s="609"/>
      <c r="FIC27" s="609"/>
      <c r="FID27" s="609"/>
      <c r="FIE27" s="609"/>
      <c r="FIF27" s="609"/>
      <c r="FIG27" s="609"/>
      <c r="FIH27" s="609"/>
      <c r="FII27" s="609"/>
      <c r="FIJ27" s="609"/>
      <c r="FIK27" s="609"/>
      <c r="FIL27" s="609"/>
      <c r="FIM27" s="609"/>
      <c r="FIN27" s="609"/>
      <c r="FIO27" s="609"/>
      <c r="FIP27" s="609"/>
      <c r="FIQ27" s="609"/>
      <c r="FIR27" s="609"/>
      <c r="FIS27" s="609"/>
      <c r="FIT27" s="609"/>
      <c r="FIU27" s="609"/>
      <c r="FIV27" s="609"/>
      <c r="FIW27" s="609"/>
      <c r="FIX27" s="609"/>
      <c r="FIY27" s="609"/>
      <c r="FIZ27" s="609"/>
      <c r="FJA27" s="609"/>
      <c r="FJB27" s="609"/>
      <c r="FJC27" s="609"/>
      <c r="FJD27" s="609"/>
      <c r="FJE27" s="609"/>
      <c r="FJF27" s="609"/>
      <c r="FJG27" s="609"/>
      <c r="FJH27" s="609"/>
      <c r="FJI27" s="609"/>
      <c r="FJJ27" s="609"/>
      <c r="FJK27" s="609"/>
      <c r="FJL27" s="609"/>
      <c r="FJM27" s="609"/>
      <c r="FJN27" s="609"/>
      <c r="FJO27" s="609"/>
      <c r="FJP27" s="609"/>
      <c r="FJQ27" s="609"/>
      <c r="FJR27" s="609"/>
      <c r="FJS27" s="609"/>
      <c r="FJT27" s="609"/>
      <c r="FJU27" s="609"/>
      <c r="FJV27" s="609"/>
      <c r="FJW27" s="609"/>
      <c r="FJX27" s="609"/>
      <c r="FJY27" s="609"/>
      <c r="FJZ27" s="609"/>
      <c r="FKA27" s="609"/>
      <c r="FKB27" s="609"/>
      <c r="FKC27" s="609"/>
      <c r="FKD27" s="609"/>
      <c r="FKE27" s="609"/>
      <c r="FKF27" s="609"/>
      <c r="FKG27" s="609"/>
      <c r="FKH27" s="609"/>
      <c r="FKI27" s="609"/>
      <c r="FKJ27" s="609"/>
      <c r="FKK27" s="609"/>
      <c r="FKL27" s="609"/>
      <c r="FKM27" s="609"/>
      <c r="FKN27" s="609"/>
      <c r="FKO27" s="609"/>
      <c r="FKP27" s="609"/>
      <c r="FKQ27" s="609"/>
      <c r="FKR27" s="609"/>
      <c r="FKS27" s="609"/>
      <c r="FKT27" s="609"/>
      <c r="FKU27" s="609"/>
      <c r="FKV27" s="609"/>
      <c r="FKW27" s="609"/>
      <c r="FKX27" s="609"/>
      <c r="FKY27" s="609"/>
      <c r="FKZ27" s="609"/>
      <c r="FLA27" s="609"/>
      <c r="FLB27" s="609"/>
      <c r="FLC27" s="609"/>
      <c r="FLD27" s="609"/>
      <c r="FLE27" s="609"/>
      <c r="FLF27" s="609"/>
      <c r="FLG27" s="609"/>
      <c r="FLH27" s="609"/>
      <c r="FLI27" s="609"/>
      <c r="FLJ27" s="609"/>
      <c r="FLK27" s="609"/>
      <c r="FLL27" s="609"/>
      <c r="FLM27" s="609"/>
      <c r="FLN27" s="609"/>
      <c r="FLO27" s="609"/>
      <c r="FLP27" s="609"/>
      <c r="FLQ27" s="609"/>
      <c r="FLR27" s="609"/>
      <c r="FLS27" s="609"/>
      <c r="FLT27" s="609"/>
      <c r="FLU27" s="609"/>
      <c r="FLV27" s="609"/>
      <c r="FLW27" s="609"/>
      <c r="FLX27" s="609"/>
      <c r="FLY27" s="609"/>
      <c r="FLZ27" s="609"/>
      <c r="FMA27" s="609"/>
      <c r="FMB27" s="609"/>
      <c r="FMC27" s="609"/>
      <c r="FMD27" s="609"/>
      <c r="FME27" s="609"/>
      <c r="FMF27" s="609"/>
      <c r="FMG27" s="609"/>
      <c r="FMH27" s="609"/>
      <c r="FMI27" s="609"/>
      <c r="FMJ27" s="609"/>
      <c r="FMK27" s="609"/>
      <c r="FML27" s="609"/>
      <c r="FMM27" s="609"/>
      <c r="FMN27" s="609"/>
      <c r="FMO27" s="609"/>
      <c r="FMP27" s="609"/>
      <c r="FMQ27" s="609"/>
      <c r="FMR27" s="609"/>
      <c r="FMS27" s="609"/>
      <c r="FMT27" s="609"/>
      <c r="FMU27" s="609"/>
      <c r="FMV27" s="609"/>
      <c r="FMW27" s="609"/>
      <c r="FMX27" s="609"/>
      <c r="FMY27" s="609"/>
      <c r="FMZ27" s="609"/>
      <c r="FNA27" s="609"/>
      <c r="FNB27" s="609"/>
      <c r="FNC27" s="609"/>
      <c r="FND27" s="609"/>
      <c r="FNE27" s="609"/>
      <c r="FNF27" s="609"/>
      <c r="FNG27" s="609"/>
      <c r="FNH27" s="609"/>
      <c r="FNI27" s="609"/>
      <c r="FNJ27" s="609"/>
      <c r="FNK27" s="609"/>
      <c r="FNL27" s="609"/>
      <c r="FNM27" s="609"/>
      <c r="FNN27" s="609"/>
      <c r="FNO27" s="609"/>
      <c r="FNP27" s="609"/>
      <c r="FNQ27" s="609"/>
      <c r="FNR27" s="609"/>
      <c r="FNS27" s="609"/>
      <c r="FNT27" s="609"/>
      <c r="FNU27" s="609"/>
      <c r="FNV27" s="609"/>
      <c r="FNW27" s="609"/>
      <c r="FNX27" s="609"/>
      <c r="FNY27" s="609"/>
      <c r="FNZ27" s="609"/>
      <c r="FOA27" s="609"/>
      <c r="FOB27" s="609"/>
      <c r="FOC27" s="609"/>
      <c r="FOD27" s="609"/>
      <c r="FOE27" s="609"/>
      <c r="FOF27" s="609"/>
      <c r="FOG27" s="609"/>
      <c r="FOH27" s="609"/>
      <c r="FOI27" s="609"/>
      <c r="FOJ27" s="609"/>
      <c r="FOK27" s="609"/>
      <c r="FOL27" s="609"/>
      <c r="FOM27" s="609"/>
      <c r="FON27" s="609"/>
      <c r="FOO27" s="609"/>
      <c r="FOP27" s="609"/>
      <c r="FOQ27" s="609"/>
      <c r="FOR27" s="609"/>
      <c r="FOS27" s="609"/>
      <c r="FOT27" s="609"/>
      <c r="FOU27" s="609"/>
      <c r="FOV27" s="609"/>
      <c r="FOW27" s="609"/>
      <c r="FOX27" s="609"/>
      <c r="FOY27" s="609"/>
      <c r="FOZ27" s="609"/>
      <c r="FPA27" s="609"/>
      <c r="FPB27" s="609"/>
      <c r="FPC27" s="609"/>
      <c r="FPD27" s="609"/>
      <c r="FPE27" s="609"/>
      <c r="FPF27" s="609"/>
      <c r="FPG27" s="609"/>
      <c r="FPH27" s="609"/>
      <c r="FPI27" s="609"/>
      <c r="FPJ27" s="609"/>
      <c r="FPK27" s="609"/>
      <c r="FPL27" s="609"/>
      <c r="FPM27" s="609"/>
      <c r="FPN27" s="609"/>
      <c r="FPO27" s="609"/>
      <c r="FPP27" s="609"/>
      <c r="FPQ27" s="609"/>
      <c r="FPR27" s="609"/>
      <c r="FPS27" s="609"/>
      <c r="FPT27" s="609"/>
      <c r="FPU27" s="609"/>
      <c r="FPV27" s="609"/>
      <c r="FPW27" s="609"/>
      <c r="FPX27" s="609"/>
      <c r="FPY27" s="609"/>
      <c r="FPZ27" s="609"/>
      <c r="FQA27" s="609"/>
      <c r="FQB27" s="609"/>
      <c r="FQC27" s="609"/>
      <c r="FQD27" s="609"/>
      <c r="FQE27" s="609"/>
      <c r="FQF27" s="609"/>
      <c r="FQG27" s="609"/>
      <c r="FQH27" s="609"/>
      <c r="FQI27" s="609"/>
      <c r="FQJ27" s="609"/>
      <c r="FQK27" s="609"/>
      <c r="FQL27" s="609"/>
      <c r="FQM27" s="609"/>
      <c r="FQN27" s="609"/>
      <c r="FQO27" s="609"/>
      <c r="FQP27" s="609"/>
      <c r="FQQ27" s="609"/>
      <c r="FQR27" s="609"/>
      <c r="FQS27" s="609"/>
      <c r="FQT27" s="609"/>
      <c r="FQU27" s="609"/>
      <c r="FQV27" s="609"/>
      <c r="FQW27" s="609"/>
      <c r="FQX27" s="609"/>
      <c r="FQY27" s="609"/>
      <c r="FQZ27" s="609"/>
      <c r="FRA27" s="609"/>
      <c r="FRB27" s="609"/>
      <c r="FRC27" s="609"/>
      <c r="FRD27" s="609"/>
      <c r="FRE27" s="609"/>
      <c r="FRF27" s="609"/>
      <c r="FRG27" s="609"/>
      <c r="FRH27" s="609"/>
      <c r="FRI27" s="609"/>
      <c r="FRJ27" s="609"/>
      <c r="FRK27" s="609"/>
      <c r="FRL27" s="609"/>
      <c r="FRM27" s="609"/>
      <c r="FRN27" s="609"/>
      <c r="FRO27" s="609"/>
      <c r="FRP27" s="609"/>
      <c r="FRQ27" s="609"/>
      <c r="FRR27" s="609"/>
      <c r="FRS27" s="609"/>
      <c r="FRT27" s="609"/>
      <c r="FRU27" s="609"/>
      <c r="FRV27" s="609"/>
      <c r="FRW27" s="609"/>
      <c r="FRX27" s="609"/>
      <c r="FRY27" s="609"/>
      <c r="FRZ27" s="609"/>
      <c r="FSA27" s="609"/>
      <c r="FSB27" s="609"/>
      <c r="FSC27" s="609"/>
      <c r="FSD27" s="609"/>
      <c r="FSE27" s="609"/>
      <c r="FSF27" s="609"/>
      <c r="FSG27" s="609"/>
      <c r="FSH27" s="609"/>
      <c r="FSI27" s="609"/>
      <c r="FSJ27" s="609"/>
      <c r="FSK27" s="609"/>
      <c r="FSL27" s="609"/>
      <c r="FSM27" s="609"/>
      <c r="FSN27" s="609"/>
      <c r="FSO27" s="609"/>
      <c r="FSP27" s="609"/>
      <c r="FSQ27" s="609"/>
      <c r="FSR27" s="609"/>
      <c r="FSS27" s="609"/>
      <c r="FST27" s="609"/>
      <c r="FSU27" s="609"/>
      <c r="FSV27" s="609"/>
      <c r="FSW27" s="609"/>
      <c r="FSX27" s="609"/>
      <c r="FSY27" s="609"/>
      <c r="FSZ27" s="609"/>
      <c r="FTA27" s="609"/>
      <c r="FTB27" s="609"/>
      <c r="FTC27" s="609"/>
      <c r="FTD27" s="609"/>
      <c r="FTE27" s="609"/>
      <c r="FTF27" s="609"/>
      <c r="FTG27" s="609"/>
      <c r="FTH27" s="609"/>
      <c r="FTI27" s="609"/>
      <c r="FTJ27" s="609"/>
      <c r="FTK27" s="609"/>
      <c r="FTL27" s="609"/>
      <c r="FTM27" s="609"/>
      <c r="FTN27" s="609"/>
      <c r="FTO27" s="609"/>
      <c r="FTP27" s="609"/>
      <c r="FTQ27" s="609"/>
      <c r="FTR27" s="609"/>
      <c r="FTS27" s="609"/>
      <c r="FTT27" s="609"/>
      <c r="FTU27" s="609"/>
      <c r="FTV27" s="609"/>
      <c r="FTW27" s="609"/>
      <c r="FTX27" s="609"/>
      <c r="FTY27" s="609"/>
      <c r="FTZ27" s="609"/>
      <c r="FUA27" s="609"/>
      <c r="FUB27" s="609"/>
      <c r="FUC27" s="609"/>
      <c r="FUD27" s="609"/>
      <c r="FUE27" s="609"/>
      <c r="FUF27" s="609"/>
      <c r="FUG27" s="609"/>
      <c r="FUH27" s="609"/>
      <c r="FUI27" s="609"/>
      <c r="FUJ27" s="609"/>
      <c r="FUK27" s="609"/>
      <c r="FUL27" s="609"/>
      <c r="FUM27" s="609"/>
      <c r="FUN27" s="609"/>
      <c r="FUO27" s="609"/>
      <c r="FUP27" s="609"/>
      <c r="FUQ27" s="609"/>
      <c r="FUR27" s="609"/>
      <c r="FUS27" s="609"/>
      <c r="FUT27" s="609"/>
      <c r="FUU27" s="609"/>
      <c r="FUV27" s="609"/>
      <c r="FUW27" s="609"/>
      <c r="FUX27" s="609"/>
      <c r="FUY27" s="609"/>
      <c r="FUZ27" s="609"/>
      <c r="FVA27" s="609"/>
      <c r="FVB27" s="609"/>
      <c r="FVC27" s="609"/>
      <c r="FVD27" s="609"/>
      <c r="FVE27" s="609"/>
      <c r="FVF27" s="609"/>
      <c r="FVG27" s="609"/>
      <c r="FVH27" s="609"/>
      <c r="FVI27" s="609"/>
      <c r="FVJ27" s="609"/>
      <c r="FVK27" s="609"/>
      <c r="FVL27" s="609"/>
      <c r="FVM27" s="609"/>
      <c r="FVN27" s="609"/>
      <c r="FVO27" s="609"/>
      <c r="FVP27" s="609"/>
      <c r="FVQ27" s="609"/>
      <c r="FVR27" s="609"/>
      <c r="FVS27" s="609"/>
      <c r="FVT27" s="609"/>
      <c r="FVU27" s="609"/>
      <c r="FVV27" s="609"/>
      <c r="FVW27" s="609"/>
      <c r="FVX27" s="609"/>
      <c r="FVY27" s="609"/>
      <c r="FVZ27" s="609"/>
      <c r="FWA27" s="609"/>
      <c r="FWB27" s="609"/>
      <c r="FWC27" s="609"/>
      <c r="FWD27" s="609"/>
      <c r="FWE27" s="609"/>
      <c r="FWF27" s="609"/>
      <c r="FWG27" s="609"/>
      <c r="FWH27" s="609"/>
      <c r="FWI27" s="609"/>
      <c r="FWJ27" s="609"/>
      <c r="FWK27" s="609"/>
      <c r="FWL27" s="609"/>
      <c r="FWM27" s="609"/>
      <c r="FWN27" s="609"/>
      <c r="FWO27" s="609"/>
      <c r="FWP27" s="609"/>
      <c r="FWQ27" s="609"/>
      <c r="FWR27" s="609"/>
      <c r="FWS27" s="609"/>
      <c r="FWT27" s="609"/>
      <c r="FWU27" s="609"/>
      <c r="FWV27" s="609"/>
      <c r="FWW27" s="609"/>
      <c r="FWX27" s="609"/>
      <c r="FWY27" s="609"/>
      <c r="FWZ27" s="609"/>
      <c r="FXA27" s="609"/>
      <c r="FXB27" s="609"/>
      <c r="FXC27" s="609"/>
      <c r="FXD27" s="609"/>
      <c r="FXE27" s="609"/>
      <c r="FXF27" s="609"/>
      <c r="FXG27" s="609"/>
      <c r="FXH27" s="609"/>
      <c r="FXI27" s="609"/>
      <c r="FXJ27" s="609"/>
      <c r="FXK27" s="609"/>
      <c r="FXL27" s="609"/>
      <c r="FXM27" s="609"/>
      <c r="FXN27" s="609"/>
      <c r="FXO27" s="609"/>
      <c r="FXP27" s="609"/>
      <c r="FXQ27" s="609"/>
      <c r="FXR27" s="609"/>
      <c r="FXS27" s="609"/>
      <c r="FXT27" s="609"/>
      <c r="FXU27" s="609"/>
      <c r="FXV27" s="609"/>
      <c r="FXW27" s="609"/>
      <c r="FXX27" s="609"/>
      <c r="FXY27" s="609"/>
      <c r="FXZ27" s="609"/>
      <c r="FYA27" s="609"/>
      <c r="FYB27" s="609"/>
      <c r="FYC27" s="609"/>
      <c r="FYD27" s="609"/>
      <c r="FYE27" s="609"/>
      <c r="FYF27" s="609"/>
      <c r="FYG27" s="609"/>
      <c r="FYH27" s="609"/>
      <c r="FYI27" s="609"/>
      <c r="FYJ27" s="609"/>
      <c r="FYK27" s="609"/>
      <c r="FYL27" s="609"/>
      <c r="FYM27" s="609"/>
      <c r="FYN27" s="609"/>
      <c r="FYO27" s="609"/>
      <c r="FYP27" s="609"/>
      <c r="FYQ27" s="609"/>
      <c r="FYR27" s="609"/>
      <c r="FYS27" s="609"/>
      <c r="FYT27" s="609"/>
      <c r="FYU27" s="609"/>
      <c r="FYV27" s="609"/>
      <c r="FYW27" s="609"/>
      <c r="FYX27" s="609"/>
      <c r="FYY27" s="609"/>
      <c r="FYZ27" s="609"/>
      <c r="FZA27" s="609"/>
      <c r="FZB27" s="609"/>
      <c r="FZC27" s="609"/>
      <c r="FZD27" s="609"/>
      <c r="FZE27" s="609"/>
      <c r="FZF27" s="609"/>
      <c r="FZG27" s="609"/>
      <c r="FZH27" s="609"/>
      <c r="FZI27" s="609"/>
      <c r="FZJ27" s="609"/>
      <c r="FZK27" s="609"/>
      <c r="FZL27" s="609"/>
      <c r="FZM27" s="609"/>
      <c r="FZN27" s="609"/>
      <c r="FZO27" s="609"/>
      <c r="FZP27" s="609"/>
      <c r="FZQ27" s="609"/>
      <c r="FZR27" s="609"/>
      <c r="FZS27" s="609"/>
      <c r="FZT27" s="609"/>
      <c r="FZU27" s="609"/>
      <c r="FZV27" s="609"/>
      <c r="FZW27" s="609"/>
      <c r="FZX27" s="609"/>
      <c r="FZY27" s="609"/>
      <c r="FZZ27" s="609"/>
      <c r="GAA27" s="609"/>
      <c r="GAB27" s="609"/>
      <c r="GAC27" s="609"/>
      <c r="GAD27" s="609"/>
      <c r="GAE27" s="609"/>
      <c r="GAF27" s="609"/>
      <c r="GAG27" s="609"/>
      <c r="GAH27" s="609"/>
      <c r="GAI27" s="609"/>
      <c r="GAJ27" s="609"/>
      <c r="GAK27" s="609"/>
      <c r="GAL27" s="609"/>
      <c r="GAM27" s="609"/>
      <c r="GAN27" s="609"/>
      <c r="GAO27" s="609"/>
      <c r="GAP27" s="609"/>
      <c r="GAQ27" s="609"/>
      <c r="GAR27" s="609"/>
      <c r="GAS27" s="609"/>
      <c r="GAT27" s="609"/>
      <c r="GAU27" s="609"/>
      <c r="GAV27" s="609"/>
      <c r="GAW27" s="609"/>
      <c r="GAX27" s="609"/>
      <c r="GAY27" s="609"/>
      <c r="GAZ27" s="609"/>
      <c r="GBA27" s="609"/>
      <c r="GBB27" s="609"/>
      <c r="GBC27" s="609"/>
      <c r="GBD27" s="609"/>
      <c r="GBE27" s="609"/>
      <c r="GBF27" s="609"/>
      <c r="GBG27" s="609"/>
      <c r="GBH27" s="609"/>
      <c r="GBI27" s="609"/>
      <c r="GBJ27" s="609"/>
      <c r="GBK27" s="609"/>
      <c r="GBL27" s="609"/>
      <c r="GBM27" s="609"/>
      <c r="GBN27" s="609"/>
      <c r="GBO27" s="609"/>
      <c r="GBP27" s="609"/>
      <c r="GBQ27" s="609"/>
      <c r="GBR27" s="609"/>
      <c r="GBS27" s="609"/>
      <c r="GBT27" s="609"/>
      <c r="GBU27" s="609"/>
      <c r="GBV27" s="609"/>
      <c r="GBW27" s="609"/>
      <c r="GBX27" s="609"/>
      <c r="GBY27" s="609"/>
      <c r="GBZ27" s="609"/>
      <c r="GCA27" s="609"/>
      <c r="GCB27" s="609"/>
      <c r="GCC27" s="609"/>
      <c r="GCD27" s="609"/>
      <c r="GCE27" s="609"/>
      <c r="GCF27" s="609"/>
      <c r="GCG27" s="609"/>
      <c r="GCH27" s="609"/>
      <c r="GCI27" s="609"/>
      <c r="GCJ27" s="609"/>
      <c r="GCK27" s="609"/>
      <c r="GCL27" s="609"/>
      <c r="GCM27" s="609"/>
      <c r="GCN27" s="609"/>
      <c r="GCO27" s="609"/>
      <c r="GCP27" s="609"/>
      <c r="GCQ27" s="609"/>
      <c r="GCR27" s="609"/>
      <c r="GCS27" s="609"/>
      <c r="GCT27" s="609"/>
      <c r="GCU27" s="609"/>
      <c r="GCV27" s="609"/>
      <c r="GCW27" s="609"/>
      <c r="GCX27" s="609"/>
      <c r="GCY27" s="609"/>
      <c r="GCZ27" s="609"/>
      <c r="GDA27" s="609"/>
      <c r="GDB27" s="609"/>
      <c r="GDC27" s="609"/>
      <c r="GDD27" s="609"/>
      <c r="GDE27" s="609"/>
      <c r="GDF27" s="609"/>
      <c r="GDG27" s="609"/>
      <c r="GDH27" s="609"/>
      <c r="GDI27" s="609"/>
      <c r="GDJ27" s="609"/>
      <c r="GDK27" s="609"/>
      <c r="GDL27" s="609"/>
      <c r="GDM27" s="609"/>
      <c r="GDN27" s="609"/>
      <c r="GDO27" s="609"/>
      <c r="GDP27" s="609"/>
      <c r="GDQ27" s="609"/>
      <c r="GDR27" s="609"/>
      <c r="GDS27" s="609"/>
      <c r="GDT27" s="609"/>
      <c r="GDU27" s="609"/>
      <c r="GDV27" s="609"/>
      <c r="GDW27" s="609"/>
      <c r="GDX27" s="609"/>
      <c r="GDY27" s="609"/>
      <c r="GDZ27" s="609"/>
      <c r="GEA27" s="609"/>
      <c r="GEB27" s="609"/>
      <c r="GEC27" s="609"/>
      <c r="GED27" s="609"/>
      <c r="GEE27" s="609"/>
      <c r="GEF27" s="609"/>
      <c r="GEG27" s="609"/>
      <c r="GEH27" s="609"/>
      <c r="GEI27" s="609"/>
      <c r="GEJ27" s="609"/>
      <c r="GEK27" s="609"/>
      <c r="GEL27" s="609"/>
      <c r="GEM27" s="609"/>
      <c r="GEN27" s="609"/>
      <c r="GEO27" s="609"/>
      <c r="GEP27" s="609"/>
      <c r="GEQ27" s="609"/>
      <c r="GER27" s="609"/>
      <c r="GES27" s="609"/>
      <c r="GET27" s="609"/>
      <c r="GEU27" s="609"/>
      <c r="GEV27" s="609"/>
      <c r="GEW27" s="609"/>
      <c r="GEX27" s="609"/>
      <c r="GEY27" s="609"/>
      <c r="GEZ27" s="609"/>
      <c r="GFA27" s="609"/>
      <c r="GFB27" s="609"/>
      <c r="GFC27" s="609"/>
      <c r="GFD27" s="609"/>
      <c r="GFE27" s="609"/>
      <c r="GFF27" s="609"/>
      <c r="GFG27" s="609"/>
      <c r="GFH27" s="609"/>
      <c r="GFI27" s="609"/>
      <c r="GFJ27" s="609"/>
      <c r="GFK27" s="609"/>
      <c r="GFL27" s="609"/>
      <c r="GFM27" s="609"/>
      <c r="GFN27" s="609"/>
      <c r="GFO27" s="609"/>
      <c r="GFP27" s="609"/>
      <c r="GFQ27" s="609"/>
      <c r="GFR27" s="609"/>
      <c r="GFS27" s="609"/>
      <c r="GFT27" s="609"/>
      <c r="GFU27" s="609"/>
      <c r="GFV27" s="609"/>
      <c r="GFW27" s="609"/>
      <c r="GFX27" s="609"/>
      <c r="GFY27" s="609"/>
      <c r="GFZ27" s="609"/>
      <c r="GGA27" s="609"/>
      <c r="GGB27" s="609"/>
      <c r="GGC27" s="609"/>
      <c r="GGD27" s="609"/>
      <c r="GGE27" s="609"/>
      <c r="GGF27" s="609"/>
      <c r="GGG27" s="609"/>
      <c r="GGH27" s="609"/>
      <c r="GGI27" s="609"/>
      <c r="GGJ27" s="609"/>
      <c r="GGK27" s="609"/>
      <c r="GGL27" s="609"/>
      <c r="GGM27" s="609"/>
      <c r="GGN27" s="609"/>
      <c r="GGO27" s="609"/>
      <c r="GGP27" s="609"/>
      <c r="GGQ27" s="609"/>
      <c r="GGR27" s="609"/>
      <c r="GGS27" s="609"/>
      <c r="GGT27" s="609"/>
      <c r="GGU27" s="609"/>
      <c r="GGV27" s="609"/>
      <c r="GGW27" s="609"/>
      <c r="GGX27" s="609"/>
      <c r="GGY27" s="609"/>
      <c r="GGZ27" s="609"/>
      <c r="GHA27" s="609"/>
      <c r="GHB27" s="609"/>
      <c r="GHC27" s="609"/>
      <c r="GHD27" s="609"/>
      <c r="GHE27" s="609"/>
      <c r="GHF27" s="609"/>
      <c r="GHG27" s="609"/>
      <c r="GHH27" s="609"/>
      <c r="GHI27" s="609"/>
      <c r="GHJ27" s="609"/>
      <c r="GHK27" s="609"/>
      <c r="GHL27" s="609"/>
      <c r="GHM27" s="609"/>
      <c r="GHN27" s="609"/>
      <c r="GHO27" s="609"/>
      <c r="GHP27" s="609"/>
      <c r="GHQ27" s="609"/>
      <c r="GHR27" s="609"/>
      <c r="GHS27" s="609"/>
      <c r="GHT27" s="609"/>
      <c r="GHU27" s="609"/>
      <c r="GHV27" s="609"/>
      <c r="GHW27" s="609"/>
      <c r="GHX27" s="609"/>
      <c r="GHY27" s="609"/>
      <c r="GHZ27" s="609"/>
      <c r="GIA27" s="609"/>
      <c r="GIB27" s="609"/>
      <c r="GIC27" s="609"/>
      <c r="GID27" s="609"/>
      <c r="GIE27" s="609"/>
      <c r="GIF27" s="609"/>
      <c r="GIG27" s="609"/>
      <c r="GIH27" s="609"/>
      <c r="GII27" s="609"/>
      <c r="GIJ27" s="609"/>
      <c r="GIK27" s="609"/>
      <c r="GIL27" s="609"/>
      <c r="GIM27" s="609"/>
      <c r="GIN27" s="609"/>
      <c r="GIO27" s="609"/>
      <c r="GIP27" s="609"/>
      <c r="GIQ27" s="609"/>
      <c r="GIR27" s="609"/>
      <c r="GIS27" s="609"/>
      <c r="GIT27" s="609"/>
      <c r="GIU27" s="609"/>
      <c r="GIV27" s="609"/>
      <c r="GIW27" s="609"/>
      <c r="GIX27" s="609"/>
      <c r="GIY27" s="609"/>
      <c r="GIZ27" s="609"/>
      <c r="GJA27" s="609"/>
      <c r="GJB27" s="609"/>
      <c r="GJC27" s="609"/>
      <c r="GJD27" s="609"/>
      <c r="GJE27" s="609"/>
      <c r="GJF27" s="609"/>
      <c r="GJG27" s="609"/>
      <c r="GJH27" s="609"/>
      <c r="GJI27" s="609"/>
      <c r="GJJ27" s="609"/>
      <c r="GJK27" s="609"/>
      <c r="GJL27" s="609"/>
      <c r="GJM27" s="609"/>
      <c r="GJN27" s="609"/>
      <c r="GJO27" s="609"/>
      <c r="GJP27" s="609"/>
      <c r="GJQ27" s="609"/>
      <c r="GJR27" s="609"/>
      <c r="GJS27" s="609"/>
      <c r="GJT27" s="609"/>
      <c r="GJU27" s="609"/>
      <c r="GJV27" s="609"/>
      <c r="GJW27" s="609"/>
      <c r="GJX27" s="609"/>
      <c r="GJY27" s="609"/>
      <c r="GJZ27" s="609"/>
      <c r="GKA27" s="609"/>
      <c r="GKB27" s="609"/>
      <c r="GKC27" s="609"/>
      <c r="GKD27" s="609"/>
      <c r="GKE27" s="609"/>
      <c r="GKF27" s="609"/>
      <c r="GKG27" s="609"/>
      <c r="GKH27" s="609"/>
      <c r="GKI27" s="609"/>
      <c r="GKJ27" s="609"/>
      <c r="GKK27" s="609"/>
      <c r="GKL27" s="609"/>
      <c r="GKM27" s="609"/>
      <c r="GKN27" s="609"/>
      <c r="GKO27" s="609"/>
      <c r="GKP27" s="609"/>
      <c r="GKQ27" s="609"/>
      <c r="GKR27" s="609"/>
      <c r="GKS27" s="609"/>
      <c r="GKT27" s="609"/>
      <c r="GKU27" s="609"/>
      <c r="GKV27" s="609"/>
      <c r="GKW27" s="609"/>
      <c r="GKX27" s="609"/>
      <c r="GKY27" s="609"/>
      <c r="GKZ27" s="609"/>
      <c r="GLA27" s="609"/>
      <c r="GLB27" s="609"/>
      <c r="GLC27" s="609"/>
      <c r="GLD27" s="609"/>
      <c r="GLE27" s="609"/>
      <c r="GLF27" s="609"/>
      <c r="GLG27" s="609"/>
      <c r="GLH27" s="609"/>
      <c r="GLI27" s="609"/>
      <c r="GLJ27" s="609"/>
      <c r="GLK27" s="609"/>
      <c r="GLL27" s="609"/>
      <c r="GLM27" s="609"/>
      <c r="GLN27" s="609"/>
      <c r="GLO27" s="609"/>
      <c r="GLP27" s="609"/>
      <c r="GLQ27" s="609"/>
      <c r="GLR27" s="609"/>
      <c r="GLS27" s="609"/>
      <c r="GLT27" s="609"/>
      <c r="GLU27" s="609"/>
      <c r="GLV27" s="609"/>
      <c r="GLW27" s="609"/>
      <c r="GLX27" s="609"/>
      <c r="GLY27" s="609"/>
      <c r="GLZ27" s="609"/>
      <c r="GMA27" s="609"/>
      <c r="GMB27" s="609"/>
      <c r="GMC27" s="609"/>
      <c r="GMD27" s="609"/>
      <c r="GME27" s="609"/>
      <c r="GMF27" s="609"/>
      <c r="GMG27" s="609"/>
      <c r="GMH27" s="609"/>
      <c r="GMI27" s="609"/>
      <c r="GMJ27" s="609"/>
      <c r="GMK27" s="609"/>
      <c r="GML27" s="609"/>
      <c r="GMM27" s="609"/>
      <c r="GMN27" s="609"/>
      <c r="GMO27" s="609"/>
      <c r="GMP27" s="609"/>
      <c r="GMQ27" s="609"/>
      <c r="GMR27" s="609"/>
      <c r="GMS27" s="609"/>
      <c r="GMT27" s="609"/>
      <c r="GMU27" s="609"/>
      <c r="GMV27" s="609"/>
      <c r="GMW27" s="609"/>
      <c r="GMX27" s="609"/>
      <c r="GMY27" s="609"/>
      <c r="GMZ27" s="609"/>
      <c r="GNA27" s="609"/>
      <c r="GNB27" s="609"/>
      <c r="GNC27" s="609"/>
      <c r="GND27" s="609"/>
      <c r="GNE27" s="609"/>
      <c r="GNF27" s="609"/>
      <c r="GNG27" s="609"/>
      <c r="GNH27" s="609"/>
      <c r="GNI27" s="609"/>
      <c r="GNJ27" s="609"/>
      <c r="GNK27" s="609"/>
      <c r="GNL27" s="609"/>
      <c r="GNM27" s="609"/>
      <c r="GNN27" s="609"/>
      <c r="GNO27" s="609"/>
      <c r="GNP27" s="609"/>
      <c r="GNQ27" s="609"/>
      <c r="GNR27" s="609"/>
      <c r="GNS27" s="609"/>
      <c r="GNT27" s="609"/>
      <c r="GNU27" s="609"/>
      <c r="GNV27" s="609"/>
      <c r="GNW27" s="609"/>
      <c r="GNX27" s="609"/>
      <c r="GNY27" s="609"/>
      <c r="GNZ27" s="609"/>
      <c r="GOA27" s="609"/>
      <c r="GOB27" s="609"/>
      <c r="GOC27" s="609"/>
      <c r="GOD27" s="609"/>
      <c r="GOE27" s="609"/>
      <c r="GOF27" s="609"/>
      <c r="GOG27" s="609"/>
      <c r="GOH27" s="609"/>
      <c r="GOI27" s="609"/>
      <c r="GOJ27" s="609"/>
      <c r="GOK27" s="609"/>
      <c r="GOL27" s="609"/>
      <c r="GOM27" s="609"/>
      <c r="GON27" s="609"/>
      <c r="GOO27" s="609"/>
      <c r="GOP27" s="609"/>
      <c r="GOQ27" s="609"/>
      <c r="GOR27" s="609"/>
      <c r="GOS27" s="609"/>
      <c r="GOT27" s="609"/>
      <c r="GOU27" s="609"/>
      <c r="GOV27" s="609"/>
      <c r="GOW27" s="609"/>
      <c r="GOX27" s="609"/>
      <c r="GOY27" s="609"/>
      <c r="GOZ27" s="609"/>
      <c r="GPA27" s="609"/>
      <c r="GPB27" s="609"/>
      <c r="GPC27" s="609"/>
      <c r="GPD27" s="609"/>
      <c r="GPE27" s="609"/>
      <c r="GPF27" s="609"/>
      <c r="GPG27" s="609"/>
      <c r="GPH27" s="609"/>
      <c r="GPI27" s="609"/>
      <c r="GPJ27" s="609"/>
      <c r="GPK27" s="609"/>
      <c r="GPL27" s="609"/>
      <c r="GPM27" s="609"/>
      <c r="GPN27" s="609"/>
      <c r="GPO27" s="609"/>
      <c r="GPP27" s="609"/>
      <c r="GPQ27" s="609"/>
      <c r="GPR27" s="609"/>
      <c r="GPS27" s="609"/>
      <c r="GPT27" s="609"/>
      <c r="GPU27" s="609"/>
      <c r="GPV27" s="609"/>
      <c r="GPW27" s="609"/>
      <c r="GPX27" s="609"/>
      <c r="GPY27" s="609"/>
      <c r="GPZ27" s="609"/>
      <c r="GQA27" s="609"/>
      <c r="GQB27" s="609"/>
      <c r="GQC27" s="609"/>
      <c r="GQD27" s="609"/>
      <c r="GQE27" s="609"/>
      <c r="GQF27" s="609"/>
      <c r="GQG27" s="609"/>
      <c r="GQH27" s="609"/>
      <c r="GQI27" s="609"/>
      <c r="GQJ27" s="609"/>
      <c r="GQK27" s="609"/>
      <c r="GQL27" s="609"/>
      <c r="GQM27" s="609"/>
      <c r="GQN27" s="609"/>
      <c r="GQO27" s="609"/>
      <c r="GQP27" s="609"/>
      <c r="GQQ27" s="609"/>
      <c r="GQR27" s="609"/>
      <c r="GQS27" s="609"/>
      <c r="GQT27" s="609"/>
      <c r="GQU27" s="609"/>
      <c r="GQV27" s="609"/>
      <c r="GQW27" s="609"/>
      <c r="GQX27" s="609"/>
      <c r="GQY27" s="609"/>
      <c r="GQZ27" s="609"/>
      <c r="GRA27" s="609"/>
      <c r="GRB27" s="609"/>
      <c r="GRC27" s="609"/>
      <c r="GRD27" s="609"/>
      <c r="GRE27" s="609"/>
      <c r="GRF27" s="609"/>
      <c r="GRG27" s="609"/>
      <c r="GRH27" s="609"/>
      <c r="GRI27" s="609"/>
      <c r="GRJ27" s="609"/>
      <c r="GRK27" s="609"/>
      <c r="GRL27" s="609"/>
      <c r="GRM27" s="609"/>
      <c r="GRN27" s="609"/>
      <c r="GRO27" s="609"/>
      <c r="GRP27" s="609"/>
      <c r="GRQ27" s="609"/>
      <c r="GRR27" s="609"/>
      <c r="GRS27" s="609"/>
      <c r="GRT27" s="609"/>
      <c r="GRU27" s="609"/>
      <c r="GRV27" s="609"/>
      <c r="GRW27" s="609"/>
      <c r="GRX27" s="609"/>
      <c r="GRY27" s="609"/>
      <c r="GRZ27" s="609"/>
      <c r="GSA27" s="609"/>
      <c r="GSB27" s="609"/>
      <c r="GSC27" s="609"/>
      <c r="GSD27" s="609"/>
      <c r="GSE27" s="609"/>
      <c r="GSF27" s="609"/>
      <c r="GSG27" s="609"/>
      <c r="GSH27" s="609"/>
      <c r="GSI27" s="609"/>
      <c r="GSJ27" s="609"/>
      <c r="GSK27" s="609"/>
      <c r="GSL27" s="609"/>
      <c r="GSM27" s="609"/>
      <c r="GSN27" s="609"/>
      <c r="GSO27" s="609"/>
      <c r="GSP27" s="609"/>
      <c r="GSQ27" s="609"/>
      <c r="GSR27" s="609"/>
      <c r="GSS27" s="609"/>
      <c r="GST27" s="609"/>
      <c r="GSU27" s="609"/>
      <c r="GSV27" s="609"/>
      <c r="GSW27" s="609"/>
      <c r="GSX27" s="609"/>
      <c r="GSY27" s="609"/>
      <c r="GSZ27" s="609"/>
      <c r="GTA27" s="609"/>
      <c r="GTB27" s="609"/>
      <c r="GTC27" s="609"/>
      <c r="GTD27" s="609"/>
      <c r="GTE27" s="609"/>
      <c r="GTF27" s="609"/>
      <c r="GTG27" s="609"/>
      <c r="GTH27" s="609"/>
      <c r="GTI27" s="609"/>
      <c r="GTJ27" s="609"/>
      <c r="GTK27" s="609"/>
      <c r="GTL27" s="609"/>
      <c r="GTM27" s="609"/>
      <c r="GTN27" s="609"/>
      <c r="GTO27" s="609"/>
      <c r="GTP27" s="609"/>
      <c r="GTQ27" s="609"/>
      <c r="GTR27" s="609"/>
      <c r="GTS27" s="609"/>
      <c r="GTT27" s="609"/>
      <c r="GTU27" s="609"/>
      <c r="GTV27" s="609"/>
      <c r="GTW27" s="609"/>
      <c r="GTX27" s="609"/>
      <c r="GTY27" s="609"/>
      <c r="GTZ27" s="609"/>
      <c r="GUA27" s="609"/>
      <c r="GUB27" s="609"/>
      <c r="GUC27" s="609"/>
      <c r="GUD27" s="609"/>
      <c r="GUE27" s="609"/>
      <c r="GUF27" s="609"/>
      <c r="GUG27" s="609"/>
      <c r="GUH27" s="609"/>
      <c r="GUI27" s="609"/>
      <c r="GUJ27" s="609"/>
      <c r="GUK27" s="609"/>
      <c r="GUL27" s="609"/>
      <c r="GUM27" s="609"/>
      <c r="GUN27" s="609"/>
      <c r="GUO27" s="609"/>
      <c r="GUP27" s="609"/>
      <c r="GUQ27" s="609"/>
      <c r="GUR27" s="609"/>
      <c r="GUS27" s="609"/>
      <c r="GUT27" s="609"/>
      <c r="GUU27" s="609"/>
      <c r="GUV27" s="609"/>
      <c r="GUW27" s="609"/>
      <c r="GUX27" s="609"/>
      <c r="GUY27" s="609"/>
      <c r="GUZ27" s="609"/>
      <c r="GVA27" s="609"/>
      <c r="GVB27" s="609"/>
      <c r="GVC27" s="609"/>
      <c r="GVD27" s="609"/>
      <c r="GVE27" s="609"/>
      <c r="GVF27" s="609"/>
      <c r="GVG27" s="609"/>
      <c r="GVH27" s="609"/>
      <c r="GVI27" s="609"/>
      <c r="GVJ27" s="609"/>
      <c r="GVK27" s="609"/>
      <c r="GVL27" s="609"/>
      <c r="GVM27" s="609"/>
      <c r="GVN27" s="609"/>
      <c r="GVO27" s="609"/>
      <c r="GVP27" s="609"/>
      <c r="GVQ27" s="609"/>
      <c r="GVR27" s="609"/>
      <c r="GVS27" s="609"/>
      <c r="GVT27" s="609"/>
      <c r="GVU27" s="609"/>
      <c r="GVV27" s="609"/>
      <c r="GVW27" s="609"/>
      <c r="GVX27" s="609"/>
      <c r="GVY27" s="609"/>
      <c r="GVZ27" s="609"/>
      <c r="GWA27" s="609"/>
      <c r="GWB27" s="609"/>
      <c r="GWC27" s="609"/>
      <c r="GWD27" s="609"/>
      <c r="GWE27" s="609"/>
      <c r="GWF27" s="609"/>
      <c r="GWG27" s="609"/>
      <c r="GWH27" s="609"/>
      <c r="GWI27" s="609"/>
      <c r="GWJ27" s="609"/>
      <c r="GWK27" s="609"/>
      <c r="GWL27" s="609"/>
      <c r="GWM27" s="609"/>
      <c r="GWN27" s="609"/>
      <c r="GWO27" s="609"/>
      <c r="GWP27" s="609"/>
      <c r="GWQ27" s="609"/>
      <c r="GWR27" s="609"/>
      <c r="GWS27" s="609"/>
      <c r="GWT27" s="609"/>
      <c r="GWU27" s="609"/>
      <c r="GWV27" s="609"/>
      <c r="GWW27" s="609"/>
      <c r="GWX27" s="609"/>
      <c r="GWY27" s="609"/>
      <c r="GWZ27" s="609"/>
      <c r="GXA27" s="609"/>
      <c r="GXB27" s="609"/>
      <c r="GXC27" s="609"/>
      <c r="GXD27" s="609"/>
      <c r="GXE27" s="609"/>
      <c r="GXF27" s="609"/>
      <c r="GXG27" s="609"/>
      <c r="GXH27" s="609"/>
      <c r="GXI27" s="609"/>
      <c r="GXJ27" s="609"/>
      <c r="GXK27" s="609"/>
      <c r="GXL27" s="609"/>
      <c r="GXM27" s="609"/>
      <c r="GXN27" s="609"/>
      <c r="GXO27" s="609"/>
      <c r="GXP27" s="609"/>
      <c r="GXQ27" s="609"/>
      <c r="GXR27" s="609"/>
      <c r="GXS27" s="609"/>
      <c r="GXT27" s="609"/>
      <c r="GXU27" s="609"/>
      <c r="GXV27" s="609"/>
      <c r="GXW27" s="609"/>
      <c r="GXX27" s="609"/>
      <c r="GXY27" s="609"/>
      <c r="GXZ27" s="609"/>
      <c r="GYA27" s="609"/>
      <c r="GYB27" s="609"/>
      <c r="GYC27" s="609"/>
      <c r="GYD27" s="609"/>
      <c r="GYE27" s="609"/>
      <c r="GYF27" s="609"/>
      <c r="GYG27" s="609"/>
      <c r="GYH27" s="609"/>
      <c r="GYI27" s="609"/>
      <c r="GYJ27" s="609"/>
      <c r="GYK27" s="609"/>
      <c r="GYL27" s="609"/>
      <c r="GYM27" s="609"/>
      <c r="GYN27" s="609"/>
      <c r="GYO27" s="609"/>
      <c r="GYP27" s="609"/>
      <c r="GYQ27" s="609"/>
      <c r="GYR27" s="609"/>
      <c r="GYS27" s="609"/>
      <c r="GYT27" s="609"/>
      <c r="GYU27" s="609"/>
      <c r="GYV27" s="609"/>
      <c r="GYW27" s="609"/>
      <c r="GYX27" s="609"/>
      <c r="GYY27" s="609"/>
      <c r="GYZ27" s="609"/>
      <c r="GZA27" s="609"/>
      <c r="GZB27" s="609"/>
      <c r="GZC27" s="609"/>
      <c r="GZD27" s="609"/>
      <c r="GZE27" s="609"/>
      <c r="GZF27" s="609"/>
      <c r="GZG27" s="609"/>
      <c r="GZH27" s="609"/>
      <c r="GZI27" s="609"/>
      <c r="GZJ27" s="609"/>
      <c r="GZK27" s="609"/>
      <c r="GZL27" s="609"/>
      <c r="GZM27" s="609"/>
      <c r="GZN27" s="609"/>
      <c r="GZO27" s="609"/>
      <c r="GZP27" s="609"/>
      <c r="GZQ27" s="609"/>
      <c r="GZR27" s="609"/>
      <c r="GZS27" s="609"/>
      <c r="GZT27" s="609"/>
      <c r="GZU27" s="609"/>
      <c r="GZV27" s="609"/>
      <c r="GZW27" s="609"/>
      <c r="GZX27" s="609"/>
      <c r="GZY27" s="609"/>
      <c r="GZZ27" s="609"/>
      <c r="HAA27" s="609"/>
      <c r="HAB27" s="609"/>
      <c r="HAC27" s="609"/>
      <c r="HAD27" s="609"/>
      <c r="HAE27" s="609"/>
      <c r="HAF27" s="609"/>
      <c r="HAG27" s="609"/>
      <c r="HAH27" s="609"/>
      <c r="HAI27" s="609"/>
      <c r="HAJ27" s="609"/>
      <c r="HAK27" s="609"/>
      <c r="HAL27" s="609"/>
      <c r="HAM27" s="609"/>
      <c r="HAN27" s="609"/>
      <c r="HAO27" s="609"/>
      <c r="HAP27" s="609"/>
      <c r="HAQ27" s="609"/>
      <c r="HAR27" s="609"/>
      <c r="HAS27" s="609"/>
      <c r="HAT27" s="609"/>
      <c r="HAU27" s="609"/>
      <c r="HAV27" s="609"/>
      <c r="HAW27" s="609"/>
      <c r="HAX27" s="609"/>
      <c r="HAY27" s="609"/>
      <c r="HAZ27" s="609"/>
      <c r="HBA27" s="609"/>
      <c r="HBB27" s="609"/>
      <c r="HBC27" s="609"/>
      <c r="HBD27" s="609"/>
      <c r="HBE27" s="609"/>
      <c r="HBF27" s="609"/>
      <c r="HBG27" s="609"/>
      <c r="HBH27" s="609"/>
      <c r="HBI27" s="609"/>
      <c r="HBJ27" s="609"/>
      <c r="HBK27" s="609"/>
      <c r="HBL27" s="609"/>
      <c r="HBM27" s="609"/>
      <c r="HBN27" s="609"/>
      <c r="HBO27" s="609"/>
      <c r="HBP27" s="609"/>
      <c r="HBQ27" s="609"/>
      <c r="HBR27" s="609"/>
      <c r="HBS27" s="609"/>
      <c r="HBT27" s="609"/>
      <c r="HBU27" s="609"/>
      <c r="HBV27" s="609"/>
      <c r="HBW27" s="609"/>
      <c r="HBX27" s="609"/>
      <c r="HBY27" s="609"/>
      <c r="HBZ27" s="609"/>
      <c r="HCA27" s="609"/>
      <c r="HCB27" s="609"/>
      <c r="HCC27" s="609"/>
      <c r="HCD27" s="609"/>
      <c r="HCE27" s="609"/>
      <c r="HCF27" s="609"/>
      <c r="HCG27" s="609"/>
      <c r="HCH27" s="609"/>
      <c r="HCI27" s="609"/>
      <c r="HCJ27" s="609"/>
      <c r="HCK27" s="609"/>
      <c r="HCL27" s="609"/>
      <c r="HCM27" s="609"/>
      <c r="HCN27" s="609"/>
      <c r="HCO27" s="609"/>
      <c r="HCP27" s="609"/>
      <c r="HCQ27" s="609"/>
      <c r="HCR27" s="609"/>
      <c r="HCS27" s="609"/>
      <c r="HCT27" s="609"/>
      <c r="HCU27" s="609"/>
      <c r="HCV27" s="609"/>
      <c r="HCW27" s="609"/>
      <c r="HCX27" s="609"/>
      <c r="HCY27" s="609"/>
      <c r="HCZ27" s="609"/>
      <c r="HDA27" s="609"/>
      <c r="HDB27" s="609"/>
      <c r="HDC27" s="609"/>
      <c r="HDD27" s="609"/>
      <c r="HDE27" s="609"/>
      <c r="HDF27" s="609"/>
      <c r="HDG27" s="609"/>
      <c r="HDH27" s="609"/>
      <c r="HDI27" s="609"/>
      <c r="HDJ27" s="609"/>
      <c r="HDK27" s="609"/>
      <c r="HDL27" s="609"/>
      <c r="HDM27" s="609"/>
      <c r="HDN27" s="609"/>
      <c r="HDO27" s="609"/>
      <c r="HDP27" s="609"/>
      <c r="HDQ27" s="609"/>
      <c r="HDR27" s="609"/>
      <c r="HDS27" s="609"/>
      <c r="HDT27" s="609"/>
      <c r="HDU27" s="609"/>
      <c r="HDV27" s="609"/>
      <c r="HDW27" s="609"/>
      <c r="HDX27" s="609"/>
      <c r="HDY27" s="609"/>
      <c r="HDZ27" s="609"/>
      <c r="HEA27" s="609"/>
      <c r="HEB27" s="609"/>
      <c r="HEC27" s="609"/>
      <c r="HED27" s="609"/>
      <c r="HEE27" s="609"/>
      <c r="HEF27" s="609"/>
      <c r="HEG27" s="609"/>
      <c r="HEH27" s="609"/>
      <c r="HEI27" s="609"/>
      <c r="HEJ27" s="609"/>
      <c r="HEK27" s="609"/>
      <c r="HEL27" s="609"/>
      <c r="HEM27" s="609"/>
      <c r="HEN27" s="609"/>
      <c r="HEO27" s="609"/>
      <c r="HEP27" s="609"/>
      <c r="HEQ27" s="609"/>
      <c r="HER27" s="609"/>
      <c r="HES27" s="609"/>
      <c r="HET27" s="609"/>
      <c r="HEU27" s="609"/>
      <c r="HEV27" s="609"/>
      <c r="HEW27" s="609"/>
      <c r="HEX27" s="609"/>
      <c r="HEY27" s="609"/>
      <c r="HEZ27" s="609"/>
      <c r="HFA27" s="609"/>
      <c r="HFB27" s="609"/>
      <c r="HFC27" s="609"/>
      <c r="HFD27" s="609"/>
      <c r="HFE27" s="609"/>
      <c r="HFF27" s="609"/>
      <c r="HFG27" s="609"/>
      <c r="HFH27" s="609"/>
      <c r="HFI27" s="609"/>
      <c r="HFJ27" s="609"/>
      <c r="HFK27" s="609"/>
      <c r="HFL27" s="609"/>
      <c r="HFM27" s="609"/>
      <c r="HFN27" s="609"/>
      <c r="HFO27" s="609"/>
      <c r="HFP27" s="609"/>
      <c r="HFQ27" s="609"/>
      <c r="HFR27" s="609"/>
      <c r="HFS27" s="609"/>
      <c r="HFT27" s="609"/>
      <c r="HFU27" s="609"/>
      <c r="HFV27" s="609"/>
      <c r="HFW27" s="609"/>
      <c r="HFX27" s="609"/>
      <c r="HFY27" s="609"/>
      <c r="HFZ27" s="609"/>
      <c r="HGA27" s="609"/>
      <c r="HGB27" s="609"/>
      <c r="HGC27" s="609"/>
      <c r="HGD27" s="609"/>
      <c r="HGE27" s="609"/>
      <c r="HGF27" s="609"/>
      <c r="HGG27" s="609"/>
      <c r="HGH27" s="609"/>
      <c r="HGI27" s="609"/>
      <c r="HGJ27" s="609"/>
      <c r="HGK27" s="609"/>
      <c r="HGL27" s="609"/>
      <c r="HGM27" s="609"/>
      <c r="HGN27" s="609"/>
      <c r="HGO27" s="609"/>
      <c r="HGP27" s="609"/>
      <c r="HGQ27" s="609"/>
      <c r="HGR27" s="609"/>
      <c r="HGS27" s="609"/>
      <c r="HGT27" s="609"/>
      <c r="HGU27" s="609"/>
      <c r="HGV27" s="609"/>
      <c r="HGW27" s="609"/>
      <c r="HGX27" s="609"/>
      <c r="HGY27" s="609"/>
      <c r="HGZ27" s="609"/>
      <c r="HHA27" s="609"/>
      <c r="HHB27" s="609"/>
      <c r="HHC27" s="609"/>
      <c r="HHD27" s="609"/>
      <c r="HHE27" s="609"/>
      <c r="HHF27" s="609"/>
      <c r="HHG27" s="609"/>
      <c r="HHH27" s="609"/>
      <c r="HHI27" s="609"/>
      <c r="HHJ27" s="609"/>
      <c r="HHK27" s="609"/>
      <c r="HHL27" s="609"/>
      <c r="HHM27" s="609"/>
      <c r="HHN27" s="609"/>
      <c r="HHO27" s="609"/>
      <c r="HHP27" s="609"/>
      <c r="HHQ27" s="609"/>
      <c r="HHR27" s="609"/>
      <c r="HHS27" s="609"/>
      <c r="HHT27" s="609"/>
      <c r="HHU27" s="609"/>
      <c r="HHV27" s="609"/>
      <c r="HHW27" s="609"/>
      <c r="HHX27" s="609"/>
      <c r="HHY27" s="609"/>
      <c r="HHZ27" s="609"/>
      <c r="HIA27" s="609"/>
      <c r="HIB27" s="609"/>
      <c r="HIC27" s="609"/>
      <c r="HID27" s="609"/>
      <c r="HIE27" s="609"/>
      <c r="HIF27" s="609"/>
      <c r="HIG27" s="609"/>
      <c r="HIH27" s="609"/>
      <c r="HII27" s="609"/>
      <c r="HIJ27" s="609"/>
      <c r="HIK27" s="609"/>
      <c r="HIL27" s="609"/>
      <c r="HIM27" s="609"/>
      <c r="HIN27" s="609"/>
      <c r="HIO27" s="609"/>
      <c r="HIP27" s="609"/>
      <c r="HIQ27" s="609"/>
      <c r="HIR27" s="609"/>
      <c r="HIS27" s="609"/>
      <c r="HIT27" s="609"/>
      <c r="HIU27" s="609"/>
      <c r="HIV27" s="609"/>
      <c r="HIW27" s="609"/>
      <c r="HIX27" s="609"/>
      <c r="HIY27" s="609"/>
      <c r="HIZ27" s="609"/>
      <c r="HJA27" s="609"/>
      <c r="HJB27" s="609"/>
      <c r="HJC27" s="609"/>
      <c r="HJD27" s="609"/>
      <c r="HJE27" s="609"/>
      <c r="HJF27" s="609"/>
      <c r="HJG27" s="609"/>
      <c r="HJH27" s="609"/>
      <c r="HJI27" s="609"/>
      <c r="HJJ27" s="609"/>
      <c r="HJK27" s="609"/>
      <c r="HJL27" s="609"/>
      <c r="HJM27" s="609"/>
      <c r="HJN27" s="609"/>
      <c r="HJO27" s="609"/>
      <c r="HJP27" s="609"/>
      <c r="HJQ27" s="609"/>
      <c r="HJR27" s="609"/>
      <c r="HJS27" s="609"/>
      <c r="HJT27" s="609"/>
      <c r="HJU27" s="609"/>
      <c r="HJV27" s="609"/>
      <c r="HJW27" s="609"/>
      <c r="HJX27" s="609"/>
      <c r="HJY27" s="609"/>
      <c r="HJZ27" s="609"/>
      <c r="HKA27" s="609"/>
      <c r="HKB27" s="609"/>
      <c r="HKC27" s="609"/>
      <c r="HKD27" s="609"/>
      <c r="HKE27" s="609"/>
      <c r="HKF27" s="609"/>
      <c r="HKG27" s="609"/>
      <c r="HKH27" s="609"/>
      <c r="HKI27" s="609"/>
      <c r="HKJ27" s="609"/>
      <c r="HKK27" s="609"/>
      <c r="HKL27" s="609"/>
      <c r="HKM27" s="609"/>
      <c r="HKN27" s="609"/>
      <c r="HKO27" s="609"/>
      <c r="HKP27" s="609"/>
      <c r="HKQ27" s="609"/>
      <c r="HKR27" s="609"/>
      <c r="HKS27" s="609"/>
      <c r="HKT27" s="609"/>
      <c r="HKU27" s="609"/>
      <c r="HKV27" s="609"/>
      <c r="HKW27" s="609"/>
      <c r="HKX27" s="609"/>
      <c r="HKY27" s="609"/>
      <c r="HKZ27" s="609"/>
      <c r="HLA27" s="609"/>
      <c r="HLB27" s="609"/>
      <c r="HLC27" s="609"/>
      <c r="HLD27" s="609"/>
      <c r="HLE27" s="609"/>
      <c r="HLF27" s="609"/>
      <c r="HLG27" s="609"/>
      <c r="HLH27" s="609"/>
      <c r="HLI27" s="609"/>
      <c r="HLJ27" s="609"/>
      <c r="HLK27" s="609"/>
      <c r="HLL27" s="609"/>
      <c r="HLM27" s="609"/>
      <c r="HLN27" s="609"/>
      <c r="HLO27" s="609"/>
      <c r="HLP27" s="609"/>
      <c r="HLQ27" s="609"/>
      <c r="HLR27" s="609"/>
      <c r="HLS27" s="609"/>
      <c r="HLT27" s="609"/>
      <c r="HLU27" s="609"/>
      <c r="HLV27" s="609"/>
      <c r="HLW27" s="609"/>
      <c r="HLX27" s="609"/>
      <c r="HLY27" s="609"/>
      <c r="HLZ27" s="609"/>
      <c r="HMA27" s="609"/>
      <c r="HMB27" s="609"/>
      <c r="HMC27" s="609"/>
      <c r="HMD27" s="609"/>
      <c r="HME27" s="609"/>
      <c r="HMF27" s="609"/>
      <c r="HMG27" s="609"/>
      <c r="HMH27" s="609"/>
      <c r="HMI27" s="609"/>
      <c r="HMJ27" s="609"/>
      <c r="HMK27" s="609"/>
      <c r="HML27" s="609"/>
      <c r="HMM27" s="609"/>
      <c r="HMN27" s="609"/>
      <c r="HMO27" s="609"/>
      <c r="HMP27" s="609"/>
      <c r="HMQ27" s="609"/>
      <c r="HMR27" s="609"/>
      <c r="HMS27" s="609"/>
      <c r="HMT27" s="609"/>
      <c r="HMU27" s="609"/>
      <c r="HMV27" s="609"/>
      <c r="HMW27" s="609"/>
      <c r="HMX27" s="609"/>
      <c r="HMY27" s="609"/>
      <c r="HMZ27" s="609"/>
      <c r="HNA27" s="609"/>
      <c r="HNB27" s="609"/>
      <c r="HNC27" s="609"/>
      <c r="HND27" s="609"/>
      <c r="HNE27" s="609"/>
      <c r="HNF27" s="609"/>
      <c r="HNG27" s="609"/>
      <c r="HNH27" s="609"/>
      <c r="HNI27" s="609"/>
      <c r="HNJ27" s="609"/>
      <c r="HNK27" s="609"/>
      <c r="HNL27" s="609"/>
      <c r="HNM27" s="609"/>
      <c r="HNN27" s="609"/>
      <c r="HNO27" s="609"/>
      <c r="HNP27" s="609"/>
      <c r="HNQ27" s="609"/>
      <c r="HNR27" s="609"/>
      <c r="HNS27" s="609"/>
      <c r="HNT27" s="609"/>
      <c r="HNU27" s="609"/>
      <c r="HNV27" s="609"/>
      <c r="HNW27" s="609"/>
      <c r="HNX27" s="609"/>
      <c r="HNY27" s="609"/>
      <c r="HNZ27" s="609"/>
      <c r="HOA27" s="609"/>
      <c r="HOB27" s="609"/>
      <c r="HOC27" s="609"/>
      <c r="HOD27" s="609"/>
      <c r="HOE27" s="609"/>
      <c r="HOF27" s="609"/>
      <c r="HOG27" s="609"/>
      <c r="HOH27" s="609"/>
      <c r="HOI27" s="609"/>
      <c r="HOJ27" s="609"/>
      <c r="HOK27" s="609"/>
      <c r="HOL27" s="609"/>
      <c r="HOM27" s="609"/>
      <c r="HON27" s="609"/>
      <c r="HOO27" s="609"/>
      <c r="HOP27" s="609"/>
      <c r="HOQ27" s="609"/>
      <c r="HOR27" s="609"/>
      <c r="HOS27" s="609"/>
      <c r="HOT27" s="609"/>
      <c r="HOU27" s="609"/>
      <c r="HOV27" s="609"/>
      <c r="HOW27" s="609"/>
      <c r="HOX27" s="609"/>
      <c r="HOY27" s="609"/>
      <c r="HOZ27" s="609"/>
      <c r="HPA27" s="609"/>
      <c r="HPB27" s="609"/>
      <c r="HPC27" s="609"/>
      <c r="HPD27" s="609"/>
      <c r="HPE27" s="609"/>
      <c r="HPF27" s="609"/>
      <c r="HPG27" s="609"/>
      <c r="HPH27" s="609"/>
      <c r="HPI27" s="609"/>
      <c r="HPJ27" s="609"/>
      <c r="HPK27" s="609"/>
      <c r="HPL27" s="609"/>
      <c r="HPM27" s="609"/>
      <c r="HPN27" s="609"/>
      <c r="HPO27" s="609"/>
      <c r="HPP27" s="609"/>
      <c r="HPQ27" s="609"/>
      <c r="HPR27" s="609"/>
      <c r="HPS27" s="609"/>
      <c r="HPT27" s="609"/>
      <c r="HPU27" s="609"/>
      <c r="HPV27" s="609"/>
      <c r="HPW27" s="609"/>
      <c r="HPX27" s="609"/>
      <c r="HPY27" s="609"/>
      <c r="HPZ27" s="609"/>
      <c r="HQA27" s="609"/>
      <c r="HQB27" s="609"/>
      <c r="HQC27" s="609"/>
      <c r="HQD27" s="609"/>
      <c r="HQE27" s="609"/>
      <c r="HQF27" s="609"/>
      <c r="HQG27" s="609"/>
      <c r="HQH27" s="609"/>
      <c r="HQI27" s="609"/>
      <c r="HQJ27" s="609"/>
      <c r="HQK27" s="609"/>
      <c r="HQL27" s="609"/>
      <c r="HQM27" s="609"/>
      <c r="HQN27" s="609"/>
      <c r="HQO27" s="609"/>
      <c r="HQP27" s="609"/>
      <c r="HQQ27" s="609"/>
      <c r="HQR27" s="609"/>
      <c r="HQS27" s="609"/>
      <c r="HQT27" s="609"/>
      <c r="HQU27" s="609"/>
      <c r="HQV27" s="609"/>
      <c r="HQW27" s="609"/>
      <c r="HQX27" s="609"/>
      <c r="HQY27" s="609"/>
      <c r="HQZ27" s="609"/>
      <c r="HRA27" s="609"/>
      <c r="HRB27" s="609"/>
      <c r="HRC27" s="609"/>
      <c r="HRD27" s="609"/>
      <c r="HRE27" s="609"/>
      <c r="HRF27" s="609"/>
      <c r="HRG27" s="609"/>
      <c r="HRH27" s="609"/>
      <c r="HRI27" s="609"/>
      <c r="HRJ27" s="609"/>
      <c r="HRK27" s="609"/>
      <c r="HRL27" s="609"/>
      <c r="HRM27" s="609"/>
      <c r="HRN27" s="609"/>
      <c r="HRO27" s="609"/>
      <c r="HRP27" s="609"/>
      <c r="HRQ27" s="609"/>
      <c r="HRR27" s="609"/>
      <c r="HRS27" s="609"/>
      <c r="HRT27" s="609"/>
      <c r="HRU27" s="609"/>
      <c r="HRV27" s="609"/>
      <c r="HRW27" s="609"/>
      <c r="HRX27" s="609"/>
      <c r="HRY27" s="609"/>
      <c r="HRZ27" s="609"/>
      <c r="HSA27" s="609"/>
      <c r="HSB27" s="609"/>
      <c r="HSC27" s="609"/>
      <c r="HSD27" s="609"/>
      <c r="HSE27" s="609"/>
      <c r="HSF27" s="609"/>
      <c r="HSG27" s="609"/>
      <c r="HSH27" s="609"/>
      <c r="HSI27" s="609"/>
      <c r="HSJ27" s="609"/>
      <c r="HSK27" s="609"/>
      <c r="HSL27" s="609"/>
      <c r="HSM27" s="609"/>
      <c r="HSN27" s="609"/>
      <c r="HSO27" s="609"/>
      <c r="HSP27" s="609"/>
      <c r="HSQ27" s="609"/>
      <c r="HSR27" s="609"/>
      <c r="HSS27" s="609"/>
      <c r="HST27" s="609"/>
      <c r="HSU27" s="609"/>
      <c r="HSV27" s="609"/>
      <c r="HSW27" s="609"/>
      <c r="HSX27" s="609"/>
      <c r="HSY27" s="609"/>
      <c r="HSZ27" s="609"/>
      <c r="HTA27" s="609"/>
      <c r="HTB27" s="609"/>
      <c r="HTC27" s="609"/>
      <c r="HTD27" s="609"/>
      <c r="HTE27" s="609"/>
      <c r="HTF27" s="609"/>
      <c r="HTG27" s="609"/>
      <c r="HTH27" s="609"/>
      <c r="HTI27" s="609"/>
      <c r="HTJ27" s="609"/>
      <c r="HTK27" s="609"/>
      <c r="HTL27" s="609"/>
      <c r="HTM27" s="609"/>
      <c r="HTN27" s="609"/>
      <c r="HTO27" s="609"/>
      <c r="HTP27" s="609"/>
      <c r="HTQ27" s="609"/>
      <c r="HTR27" s="609"/>
      <c r="HTS27" s="609"/>
      <c r="HTT27" s="609"/>
      <c r="HTU27" s="609"/>
      <c r="HTV27" s="609"/>
      <c r="HTW27" s="609"/>
      <c r="HTX27" s="609"/>
      <c r="HTY27" s="609"/>
      <c r="HTZ27" s="609"/>
      <c r="HUA27" s="609"/>
      <c r="HUB27" s="609"/>
      <c r="HUC27" s="609"/>
      <c r="HUD27" s="609"/>
      <c r="HUE27" s="609"/>
      <c r="HUF27" s="609"/>
      <c r="HUG27" s="609"/>
      <c r="HUH27" s="609"/>
      <c r="HUI27" s="609"/>
      <c r="HUJ27" s="609"/>
      <c r="HUK27" s="609"/>
      <c r="HUL27" s="609"/>
      <c r="HUM27" s="609"/>
      <c r="HUN27" s="609"/>
      <c r="HUO27" s="609"/>
      <c r="HUP27" s="609"/>
      <c r="HUQ27" s="609"/>
      <c r="HUR27" s="609"/>
      <c r="HUS27" s="609"/>
      <c r="HUT27" s="609"/>
      <c r="HUU27" s="609"/>
      <c r="HUV27" s="609"/>
      <c r="HUW27" s="609"/>
      <c r="HUX27" s="609"/>
      <c r="HUY27" s="609"/>
      <c r="HUZ27" s="609"/>
      <c r="HVA27" s="609"/>
      <c r="HVB27" s="609"/>
      <c r="HVC27" s="609"/>
      <c r="HVD27" s="609"/>
      <c r="HVE27" s="609"/>
      <c r="HVF27" s="609"/>
      <c r="HVG27" s="609"/>
      <c r="HVH27" s="609"/>
      <c r="HVI27" s="609"/>
      <c r="HVJ27" s="609"/>
      <c r="HVK27" s="609"/>
      <c r="HVL27" s="609"/>
      <c r="HVM27" s="609"/>
      <c r="HVN27" s="609"/>
      <c r="HVO27" s="609"/>
      <c r="HVP27" s="609"/>
      <c r="HVQ27" s="609"/>
      <c r="HVR27" s="609"/>
      <c r="HVS27" s="609"/>
      <c r="HVT27" s="609"/>
      <c r="HVU27" s="609"/>
      <c r="HVV27" s="609"/>
      <c r="HVW27" s="609"/>
      <c r="HVX27" s="609"/>
      <c r="HVY27" s="609"/>
      <c r="HVZ27" s="609"/>
      <c r="HWA27" s="609"/>
      <c r="HWB27" s="609"/>
      <c r="HWC27" s="609"/>
      <c r="HWD27" s="609"/>
      <c r="HWE27" s="609"/>
      <c r="HWF27" s="609"/>
      <c r="HWG27" s="609"/>
      <c r="HWH27" s="609"/>
      <c r="HWI27" s="609"/>
      <c r="HWJ27" s="609"/>
      <c r="HWK27" s="609"/>
      <c r="HWL27" s="609"/>
      <c r="HWM27" s="609"/>
      <c r="HWN27" s="609"/>
      <c r="HWO27" s="609"/>
      <c r="HWP27" s="609"/>
      <c r="HWQ27" s="609"/>
      <c r="HWR27" s="609"/>
      <c r="HWS27" s="609"/>
      <c r="HWT27" s="609"/>
      <c r="HWU27" s="609"/>
      <c r="HWV27" s="609"/>
      <c r="HWW27" s="609"/>
      <c r="HWX27" s="609"/>
      <c r="HWY27" s="609"/>
      <c r="HWZ27" s="609"/>
      <c r="HXA27" s="609"/>
      <c r="HXB27" s="609"/>
      <c r="HXC27" s="609"/>
      <c r="HXD27" s="609"/>
      <c r="HXE27" s="609"/>
      <c r="HXF27" s="609"/>
      <c r="HXG27" s="609"/>
      <c r="HXH27" s="609"/>
      <c r="HXI27" s="609"/>
      <c r="HXJ27" s="609"/>
      <c r="HXK27" s="609"/>
      <c r="HXL27" s="609"/>
      <c r="HXM27" s="609"/>
      <c r="HXN27" s="609"/>
      <c r="HXO27" s="609"/>
      <c r="HXP27" s="609"/>
      <c r="HXQ27" s="609"/>
      <c r="HXR27" s="609"/>
      <c r="HXS27" s="609"/>
      <c r="HXT27" s="609"/>
      <c r="HXU27" s="609"/>
      <c r="HXV27" s="609"/>
      <c r="HXW27" s="609"/>
      <c r="HXX27" s="609"/>
      <c r="HXY27" s="609"/>
      <c r="HXZ27" s="609"/>
      <c r="HYA27" s="609"/>
      <c r="HYB27" s="609"/>
      <c r="HYC27" s="609"/>
      <c r="HYD27" s="609"/>
      <c r="HYE27" s="609"/>
      <c r="HYF27" s="609"/>
      <c r="HYG27" s="609"/>
      <c r="HYH27" s="609"/>
      <c r="HYI27" s="609"/>
      <c r="HYJ27" s="609"/>
      <c r="HYK27" s="609"/>
      <c r="HYL27" s="609"/>
      <c r="HYM27" s="609"/>
      <c r="HYN27" s="609"/>
      <c r="HYO27" s="609"/>
      <c r="HYP27" s="609"/>
      <c r="HYQ27" s="609"/>
      <c r="HYR27" s="609"/>
      <c r="HYS27" s="609"/>
      <c r="HYT27" s="609"/>
      <c r="HYU27" s="609"/>
      <c r="HYV27" s="609"/>
      <c r="HYW27" s="609"/>
      <c r="HYX27" s="609"/>
      <c r="HYY27" s="609"/>
      <c r="HYZ27" s="609"/>
      <c r="HZA27" s="609"/>
      <c r="HZB27" s="609"/>
      <c r="HZC27" s="609"/>
      <c r="HZD27" s="609"/>
      <c r="HZE27" s="609"/>
      <c r="HZF27" s="609"/>
      <c r="HZG27" s="609"/>
      <c r="HZH27" s="609"/>
      <c r="HZI27" s="609"/>
      <c r="HZJ27" s="609"/>
      <c r="HZK27" s="609"/>
      <c r="HZL27" s="609"/>
      <c r="HZM27" s="609"/>
      <c r="HZN27" s="609"/>
      <c r="HZO27" s="609"/>
      <c r="HZP27" s="609"/>
      <c r="HZQ27" s="609"/>
      <c r="HZR27" s="609"/>
      <c r="HZS27" s="609"/>
      <c r="HZT27" s="609"/>
      <c r="HZU27" s="609"/>
      <c r="HZV27" s="609"/>
      <c r="HZW27" s="609"/>
      <c r="HZX27" s="609"/>
      <c r="HZY27" s="609"/>
      <c r="HZZ27" s="609"/>
      <c r="IAA27" s="609"/>
      <c r="IAB27" s="609"/>
      <c r="IAC27" s="609"/>
      <c r="IAD27" s="609"/>
      <c r="IAE27" s="609"/>
      <c r="IAF27" s="609"/>
      <c r="IAG27" s="609"/>
      <c r="IAH27" s="609"/>
      <c r="IAI27" s="609"/>
      <c r="IAJ27" s="609"/>
      <c r="IAK27" s="609"/>
      <c r="IAL27" s="609"/>
      <c r="IAM27" s="609"/>
      <c r="IAN27" s="609"/>
      <c r="IAO27" s="609"/>
      <c r="IAP27" s="609"/>
      <c r="IAQ27" s="609"/>
      <c r="IAR27" s="609"/>
      <c r="IAS27" s="609"/>
      <c r="IAT27" s="609"/>
      <c r="IAU27" s="609"/>
      <c r="IAV27" s="609"/>
      <c r="IAW27" s="609"/>
      <c r="IAX27" s="609"/>
      <c r="IAY27" s="609"/>
      <c r="IAZ27" s="609"/>
      <c r="IBA27" s="609"/>
      <c r="IBB27" s="609"/>
      <c r="IBC27" s="609"/>
      <c r="IBD27" s="609"/>
      <c r="IBE27" s="609"/>
      <c r="IBF27" s="609"/>
      <c r="IBG27" s="609"/>
      <c r="IBH27" s="609"/>
      <c r="IBI27" s="609"/>
      <c r="IBJ27" s="609"/>
      <c r="IBK27" s="609"/>
      <c r="IBL27" s="609"/>
      <c r="IBM27" s="609"/>
      <c r="IBN27" s="609"/>
      <c r="IBO27" s="609"/>
      <c r="IBP27" s="609"/>
      <c r="IBQ27" s="609"/>
      <c r="IBR27" s="609"/>
      <c r="IBS27" s="609"/>
      <c r="IBT27" s="609"/>
      <c r="IBU27" s="609"/>
      <c r="IBV27" s="609"/>
      <c r="IBW27" s="609"/>
      <c r="IBX27" s="609"/>
      <c r="IBY27" s="609"/>
      <c r="IBZ27" s="609"/>
      <c r="ICA27" s="609"/>
      <c r="ICB27" s="609"/>
      <c r="ICC27" s="609"/>
      <c r="ICD27" s="609"/>
      <c r="ICE27" s="609"/>
      <c r="ICF27" s="609"/>
      <c r="ICG27" s="609"/>
      <c r="ICH27" s="609"/>
      <c r="ICI27" s="609"/>
      <c r="ICJ27" s="609"/>
      <c r="ICK27" s="609"/>
      <c r="ICL27" s="609"/>
      <c r="ICM27" s="609"/>
      <c r="ICN27" s="609"/>
      <c r="ICO27" s="609"/>
      <c r="ICP27" s="609"/>
      <c r="ICQ27" s="609"/>
      <c r="ICR27" s="609"/>
      <c r="ICS27" s="609"/>
      <c r="ICT27" s="609"/>
      <c r="ICU27" s="609"/>
      <c r="ICV27" s="609"/>
      <c r="ICW27" s="609"/>
      <c r="ICX27" s="609"/>
      <c r="ICY27" s="609"/>
      <c r="ICZ27" s="609"/>
      <c r="IDA27" s="609"/>
      <c r="IDB27" s="609"/>
      <c r="IDC27" s="609"/>
      <c r="IDD27" s="609"/>
      <c r="IDE27" s="609"/>
      <c r="IDF27" s="609"/>
      <c r="IDG27" s="609"/>
      <c r="IDH27" s="609"/>
      <c r="IDI27" s="609"/>
      <c r="IDJ27" s="609"/>
      <c r="IDK27" s="609"/>
      <c r="IDL27" s="609"/>
      <c r="IDM27" s="609"/>
      <c r="IDN27" s="609"/>
      <c r="IDO27" s="609"/>
      <c r="IDP27" s="609"/>
      <c r="IDQ27" s="609"/>
      <c r="IDR27" s="609"/>
      <c r="IDS27" s="609"/>
      <c r="IDT27" s="609"/>
      <c r="IDU27" s="609"/>
      <c r="IDV27" s="609"/>
      <c r="IDW27" s="609"/>
      <c r="IDX27" s="609"/>
      <c r="IDY27" s="609"/>
      <c r="IDZ27" s="609"/>
      <c r="IEA27" s="609"/>
      <c r="IEB27" s="609"/>
      <c r="IEC27" s="609"/>
      <c r="IED27" s="609"/>
      <c r="IEE27" s="609"/>
      <c r="IEF27" s="609"/>
      <c r="IEG27" s="609"/>
      <c r="IEH27" s="609"/>
      <c r="IEI27" s="609"/>
      <c r="IEJ27" s="609"/>
      <c r="IEK27" s="609"/>
      <c r="IEL27" s="609"/>
      <c r="IEM27" s="609"/>
      <c r="IEN27" s="609"/>
      <c r="IEO27" s="609"/>
      <c r="IEP27" s="609"/>
      <c r="IEQ27" s="609"/>
      <c r="IER27" s="609"/>
      <c r="IES27" s="609"/>
      <c r="IET27" s="609"/>
      <c r="IEU27" s="609"/>
      <c r="IEV27" s="609"/>
      <c r="IEW27" s="609"/>
      <c r="IEX27" s="609"/>
      <c r="IEY27" s="609"/>
      <c r="IEZ27" s="609"/>
      <c r="IFA27" s="609"/>
      <c r="IFB27" s="609"/>
      <c r="IFC27" s="609"/>
      <c r="IFD27" s="609"/>
      <c r="IFE27" s="609"/>
      <c r="IFF27" s="609"/>
      <c r="IFG27" s="609"/>
      <c r="IFH27" s="609"/>
      <c r="IFI27" s="609"/>
      <c r="IFJ27" s="609"/>
      <c r="IFK27" s="609"/>
      <c r="IFL27" s="609"/>
      <c r="IFM27" s="609"/>
      <c r="IFN27" s="609"/>
      <c r="IFO27" s="609"/>
      <c r="IFP27" s="609"/>
      <c r="IFQ27" s="609"/>
      <c r="IFR27" s="609"/>
      <c r="IFS27" s="609"/>
      <c r="IFT27" s="609"/>
      <c r="IFU27" s="609"/>
      <c r="IFV27" s="609"/>
      <c r="IFW27" s="609"/>
      <c r="IFX27" s="609"/>
      <c r="IFY27" s="609"/>
      <c r="IFZ27" s="609"/>
      <c r="IGA27" s="609"/>
      <c r="IGB27" s="609"/>
      <c r="IGC27" s="609"/>
      <c r="IGD27" s="609"/>
      <c r="IGE27" s="609"/>
      <c r="IGF27" s="609"/>
      <c r="IGG27" s="609"/>
      <c r="IGH27" s="609"/>
      <c r="IGI27" s="609"/>
      <c r="IGJ27" s="609"/>
      <c r="IGK27" s="609"/>
      <c r="IGL27" s="609"/>
      <c r="IGM27" s="609"/>
      <c r="IGN27" s="609"/>
      <c r="IGO27" s="609"/>
      <c r="IGP27" s="609"/>
      <c r="IGQ27" s="609"/>
      <c r="IGR27" s="609"/>
      <c r="IGS27" s="609"/>
      <c r="IGT27" s="609"/>
      <c r="IGU27" s="609"/>
      <c r="IGV27" s="609"/>
      <c r="IGW27" s="609"/>
      <c r="IGX27" s="609"/>
      <c r="IGY27" s="609"/>
      <c r="IGZ27" s="609"/>
      <c r="IHA27" s="609"/>
      <c r="IHB27" s="609"/>
      <c r="IHC27" s="609"/>
      <c r="IHD27" s="609"/>
      <c r="IHE27" s="609"/>
      <c r="IHF27" s="609"/>
      <c r="IHG27" s="609"/>
      <c r="IHH27" s="609"/>
      <c r="IHI27" s="609"/>
      <c r="IHJ27" s="609"/>
      <c r="IHK27" s="609"/>
      <c r="IHL27" s="609"/>
      <c r="IHM27" s="609"/>
      <c r="IHN27" s="609"/>
      <c r="IHO27" s="609"/>
      <c r="IHP27" s="609"/>
      <c r="IHQ27" s="609"/>
      <c r="IHR27" s="609"/>
      <c r="IHS27" s="609"/>
      <c r="IHT27" s="609"/>
      <c r="IHU27" s="609"/>
      <c r="IHV27" s="609"/>
      <c r="IHW27" s="609"/>
      <c r="IHX27" s="609"/>
      <c r="IHY27" s="609"/>
      <c r="IHZ27" s="609"/>
      <c r="IIA27" s="609"/>
      <c r="IIB27" s="609"/>
      <c r="IIC27" s="609"/>
      <c r="IID27" s="609"/>
      <c r="IIE27" s="609"/>
      <c r="IIF27" s="609"/>
      <c r="IIG27" s="609"/>
      <c r="IIH27" s="609"/>
      <c r="III27" s="609"/>
      <c r="IIJ27" s="609"/>
      <c r="IIK27" s="609"/>
      <c r="IIL27" s="609"/>
      <c r="IIM27" s="609"/>
      <c r="IIN27" s="609"/>
      <c r="IIO27" s="609"/>
      <c r="IIP27" s="609"/>
      <c r="IIQ27" s="609"/>
      <c r="IIR27" s="609"/>
      <c r="IIS27" s="609"/>
      <c r="IIT27" s="609"/>
      <c r="IIU27" s="609"/>
      <c r="IIV27" s="609"/>
      <c r="IIW27" s="609"/>
      <c r="IIX27" s="609"/>
      <c r="IIY27" s="609"/>
      <c r="IIZ27" s="609"/>
      <c r="IJA27" s="609"/>
      <c r="IJB27" s="609"/>
      <c r="IJC27" s="609"/>
      <c r="IJD27" s="609"/>
      <c r="IJE27" s="609"/>
      <c r="IJF27" s="609"/>
      <c r="IJG27" s="609"/>
      <c r="IJH27" s="609"/>
      <c r="IJI27" s="609"/>
      <c r="IJJ27" s="609"/>
      <c r="IJK27" s="609"/>
      <c r="IJL27" s="609"/>
      <c r="IJM27" s="609"/>
      <c r="IJN27" s="609"/>
      <c r="IJO27" s="609"/>
      <c r="IJP27" s="609"/>
      <c r="IJQ27" s="609"/>
      <c r="IJR27" s="609"/>
      <c r="IJS27" s="609"/>
      <c r="IJT27" s="609"/>
      <c r="IJU27" s="609"/>
      <c r="IJV27" s="609"/>
      <c r="IJW27" s="609"/>
      <c r="IJX27" s="609"/>
      <c r="IJY27" s="609"/>
      <c r="IJZ27" s="609"/>
      <c r="IKA27" s="609"/>
      <c r="IKB27" s="609"/>
      <c r="IKC27" s="609"/>
      <c r="IKD27" s="609"/>
      <c r="IKE27" s="609"/>
      <c r="IKF27" s="609"/>
      <c r="IKG27" s="609"/>
      <c r="IKH27" s="609"/>
      <c r="IKI27" s="609"/>
      <c r="IKJ27" s="609"/>
      <c r="IKK27" s="609"/>
      <c r="IKL27" s="609"/>
      <c r="IKM27" s="609"/>
      <c r="IKN27" s="609"/>
      <c r="IKO27" s="609"/>
      <c r="IKP27" s="609"/>
      <c r="IKQ27" s="609"/>
      <c r="IKR27" s="609"/>
      <c r="IKS27" s="609"/>
      <c r="IKT27" s="609"/>
      <c r="IKU27" s="609"/>
      <c r="IKV27" s="609"/>
      <c r="IKW27" s="609"/>
      <c r="IKX27" s="609"/>
      <c r="IKY27" s="609"/>
      <c r="IKZ27" s="609"/>
      <c r="ILA27" s="609"/>
      <c r="ILB27" s="609"/>
      <c r="ILC27" s="609"/>
      <c r="ILD27" s="609"/>
      <c r="ILE27" s="609"/>
      <c r="ILF27" s="609"/>
      <c r="ILG27" s="609"/>
      <c r="ILH27" s="609"/>
      <c r="ILI27" s="609"/>
      <c r="ILJ27" s="609"/>
      <c r="ILK27" s="609"/>
      <c r="ILL27" s="609"/>
      <c r="ILM27" s="609"/>
      <c r="ILN27" s="609"/>
      <c r="ILO27" s="609"/>
      <c r="ILP27" s="609"/>
      <c r="ILQ27" s="609"/>
      <c r="ILR27" s="609"/>
      <c r="ILS27" s="609"/>
      <c r="ILT27" s="609"/>
      <c r="ILU27" s="609"/>
      <c r="ILV27" s="609"/>
      <c r="ILW27" s="609"/>
      <c r="ILX27" s="609"/>
      <c r="ILY27" s="609"/>
      <c r="ILZ27" s="609"/>
      <c r="IMA27" s="609"/>
      <c r="IMB27" s="609"/>
      <c r="IMC27" s="609"/>
      <c r="IMD27" s="609"/>
      <c r="IME27" s="609"/>
      <c r="IMF27" s="609"/>
      <c r="IMG27" s="609"/>
      <c r="IMH27" s="609"/>
      <c r="IMI27" s="609"/>
      <c r="IMJ27" s="609"/>
      <c r="IMK27" s="609"/>
      <c r="IML27" s="609"/>
      <c r="IMM27" s="609"/>
      <c r="IMN27" s="609"/>
      <c r="IMO27" s="609"/>
      <c r="IMP27" s="609"/>
      <c r="IMQ27" s="609"/>
      <c r="IMR27" s="609"/>
      <c r="IMS27" s="609"/>
      <c r="IMT27" s="609"/>
      <c r="IMU27" s="609"/>
      <c r="IMV27" s="609"/>
      <c r="IMW27" s="609"/>
      <c r="IMX27" s="609"/>
      <c r="IMY27" s="609"/>
      <c r="IMZ27" s="609"/>
      <c r="INA27" s="609"/>
      <c r="INB27" s="609"/>
      <c r="INC27" s="609"/>
      <c r="IND27" s="609"/>
      <c r="INE27" s="609"/>
      <c r="INF27" s="609"/>
      <c r="ING27" s="609"/>
      <c r="INH27" s="609"/>
      <c r="INI27" s="609"/>
      <c r="INJ27" s="609"/>
      <c r="INK27" s="609"/>
      <c r="INL27" s="609"/>
      <c r="INM27" s="609"/>
      <c r="INN27" s="609"/>
      <c r="INO27" s="609"/>
      <c r="INP27" s="609"/>
      <c r="INQ27" s="609"/>
      <c r="INR27" s="609"/>
      <c r="INS27" s="609"/>
      <c r="INT27" s="609"/>
      <c r="INU27" s="609"/>
      <c r="INV27" s="609"/>
      <c r="INW27" s="609"/>
      <c r="INX27" s="609"/>
      <c r="INY27" s="609"/>
      <c r="INZ27" s="609"/>
      <c r="IOA27" s="609"/>
      <c r="IOB27" s="609"/>
      <c r="IOC27" s="609"/>
      <c r="IOD27" s="609"/>
      <c r="IOE27" s="609"/>
      <c r="IOF27" s="609"/>
      <c r="IOG27" s="609"/>
      <c r="IOH27" s="609"/>
      <c r="IOI27" s="609"/>
      <c r="IOJ27" s="609"/>
      <c r="IOK27" s="609"/>
      <c r="IOL27" s="609"/>
      <c r="IOM27" s="609"/>
      <c r="ION27" s="609"/>
      <c r="IOO27" s="609"/>
      <c r="IOP27" s="609"/>
      <c r="IOQ27" s="609"/>
      <c r="IOR27" s="609"/>
      <c r="IOS27" s="609"/>
      <c r="IOT27" s="609"/>
      <c r="IOU27" s="609"/>
      <c r="IOV27" s="609"/>
      <c r="IOW27" s="609"/>
      <c r="IOX27" s="609"/>
      <c r="IOY27" s="609"/>
      <c r="IOZ27" s="609"/>
      <c r="IPA27" s="609"/>
      <c r="IPB27" s="609"/>
      <c r="IPC27" s="609"/>
      <c r="IPD27" s="609"/>
      <c r="IPE27" s="609"/>
      <c r="IPF27" s="609"/>
      <c r="IPG27" s="609"/>
      <c r="IPH27" s="609"/>
      <c r="IPI27" s="609"/>
      <c r="IPJ27" s="609"/>
      <c r="IPK27" s="609"/>
      <c r="IPL27" s="609"/>
      <c r="IPM27" s="609"/>
      <c r="IPN27" s="609"/>
      <c r="IPO27" s="609"/>
      <c r="IPP27" s="609"/>
      <c r="IPQ27" s="609"/>
      <c r="IPR27" s="609"/>
      <c r="IPS27" s="609"/>
      <c r="IPT27" s="609"/>
      <c r="IPU27" s="609"/>
      <c r="IPV27" s="609"/>
      <c r="IPW27" s="609"/>
      <c r="IPX27" s="609"/>
      <c r="IPY27" s="609"/>
      <c r="IPZ27" s="609"/>
      <c r="IQA27" s="609"/>
      <c r="IQB27" s="609"/>
      <c r="IQC27" s="609"/>
      <c r="IQD27" s="609"/>
      <c r="IQE27" s="609"/>
      <c r="IQF27" s="609"/>
      <c r="IQG27" s="609"/>
      <c r="IQH27" s="609"/>
      <c r="IQI27" s="609"/>
      <c r="IQJ27" s="609"/>
      <c r="IQK27" s="609"/>
      <c r="IQL27" s="609"/>
      <c r="IQM27" s="609"/>
      <c r="IQN27" s="609"/>
      <c r="IQO27" s="609"/>
      <c r="IQP27" s="609"/>
      <c r="IQQ27" s="609"/>
      <c r="IQR27" s="609"/>
      <c r="IQS27" s="609"/>
      <c r="IQT27" s="609"/>
      <c r="IQU27" s="609"/>
      <c r="IQV27" s="609"/>
      <c r="IQW27" s="609"/>
      <c r="IQX27" s="609"/>
      <c r="IQY27" s="609"/>
      <c r="IQZ27" s="609"/>
      <c r="IRA27" s="609"/>
      <c r="IRB27" s="609"/>
      <c r="IRC27" s="609"/>
      <c r="IRD27" s="609"/>
      <c r="IRE27" s="609"/>
      <c r="IRF27" s="609"/>
      <c r="IRG27" s="609"/>
      <c r="IRH27" s="609"/>
      <c r="IRI27" s="609"/>
      <c r="IRJ27" s="609"/>
      <c r="IRK27" s="609"/>
      <c r="IRL27" s="609"/>
      <c r="IRM27" s="609"/>
      <c r="IRN27" s="609"/>
      <c r="IRO27" s="609"/>
      <c r="IRP27" s="609"/>
      <c r="IRQ27" s="609"/>
      <c r="IRR27" s="609"/>
      <c r="IRS27" s="609"/>
      <c r="IRT27" s="609"/>
      <c r="IRU27" s="609"/>
      <c r="IRV27" s="609"/>
      <c r="IRW27" s="609"/>
      <c r="IRX27" s="609"/>
      <c r="IRY27" s="609"/>
      <c r="IRZ27" s="609"/>
      <c r="ISA27" s="609"/>
      <c r="ISB27" s="609"/>
      <c r="ISC27" s="609"/>
      <c r="ISD27" s="609"/>
      <c r="ISE27" s="609"/>
      <c r="ISF27" s="609"/>
      <c r="ISG27" s="609"/>
      <c r="ISH27" s="609"/>
      <c r="ISI27" s="609"/>
      <c r="ISJ27" s="609"/>
      <c r="ISK27" s="609"/>
      <c r="ISL27" s="609"/>
      <c r="ISM27" s="609"/>
      <c r="ISN27" s="609"/>
      <c r="ISO27" s="609"/>
      <c r="ISP27" s="609"/>
      <c r="ISQ27" s="609"/>
      <c r="ISR27" s="609"/>
      <c r="ISS27" s="609"/>
      <c r="IST27" s="609"/>
      <c r="ISU27" s="609"/>
      <c r="ISV27" s="609"/>
      <c r="ISW27" s="609"/>
      <c r="ISX27" s="609"/>
      <c r="ISY27" s="609"/>
      <c r="ISZ27" s="609"/>
      <c r="ITA27" s="609"/>
      <c r="ITB27" s="609"/>
      <c r="ITC27" s="609"/>
      <c r="ITD27" s="609"/>
      <c r="ITE27" s="609"/>
      <c r="ITF27" s="609"/>
      <c r="ITG27" s="609"/>
      <c r="ITH27" s="609"/>
      <c r="ITI27" s="609"/>
      <c r="ITJ27" s="609"/>
      <c r="ITK27" s="609"/>
      <c r="ITL27" s="609"/>
      <c r="ITM27" s="609"/>
      <c r="ITN27" s="609"/>
      <c r="ITO27" s="609"/>
      <c r="ITP27" s="609"/>
      <c r="ITQ27" s="609"/>
      <c r="ITR27" s="609"/>
      <c r="ITS27" s="609"/>
      <c r="ITT27" s="609"/>
      <c r="ITU27" s="609"/>
      <c r="ITV27" s="609"/>
      <c r="ITW27" s="609"/>
      <c r="ITX27" s="609"/>
      <c r="ITY27" s="609"/>
      <c r="ITZ27" s="609"/>
      <c r="IUA27" s="609"/>
      <c r="IUB27" s="609"/>
      <c r="IUC27" s="609"/>
      <c r="IUD27" s="609"/>
      <c r="IUE27" s="609"/>
      <c r="IUF27" s="609"/>
      <c r="IUG27" s="609"/>
      <c r="IUH27" s="609"/>
      <c r="IUI27" s="609"/>
      <c r="IUJ27" s="609"/>
      <c r="IUK27" s="609"/>
      <c r="IUL27" s="609"/>
      <c r="IUM27" s="609"/>
      <c r="IUN27" s="609"/>
      <c r="IUO27" s="609"/>
      <c r="IUP27" s="609"/>
      <c r="IUQ27" s="609"/>
      <c r="IUR27" s="609"/>
      <c r="IUS27" s="609"/>
      <c r="IUT27" s="609"/>
      <c r="IUU27" s="609"/>
      <c r="IUV27" s="609"/>
      <c r="IUW27" s="609"/>
      <c r="IUX27" s="609"/>
      <c r="IUY27" s="609"/>
      <c r="IUZ27" s="609"/>
      <c r="IVA27" s="609"/>
      <c r="IVB27" s="609"/>
      <c r="IVC27" s="609"/>
      <c r="IVD27" s="609"/>
      <c r="IVE27" s="609"/>
      <c r="IVF27" s="609"/>
      <c r="IVG27" s="609"/>
      <c r="IVH27" s="609"/>
      <c r="IVI27" s="609"/>
      <c r="IVJ27" s="609"/>
      <c r="IVK27" s="609"/>
      <c r="IVL27" s="609"/>
      <c r="IVM27" s="609"/>
      <c r="IVN27" s="609"/>
      <c r="IVO27" s="609"/>
      <c r="IVP27" s="609"/>
      <c r="IVQ27" s="609"/>
      <c r="IVR27" s="609"/>
      <c r="IVS27" s="609"/>
      <c r="IVT27" s="609"/>
      <c r="IVU27" s="609"/>
      <c r="IVV27" s="609"/>
      <c r="IVW27" s="609"/>
      <c r="IVX27" s="609"/>
      <c r="IVY27" s="609"/>
      <c r="IVZ27" s="609"/>
      <c r="IWA27" s="609"/>
      <c r="IWB27" s="609"/>
      <c r="IWC27" s="609"/>
      <c r="IWD27" s="609"/>
      <c r="IWE27" s="609"/>
      <c r="IWF27" s="609"/>
      <c r="IWG27" s="609"/>
      <c r="IWH27" s="609"/>
      <c r="IWI27" s="609"/>
      <c r="IWJ27" s="609"/>
      <c r="IWK27" s="609"/>
      <c r="IWL27" s="609"/>
      <c r="IWM27" s="609"/>
      <c r="IWN27" s="609"/>
      <c r="IWO27" s="609"/>
      <c r="IWP27" s="609"/>
      <c r="IWQ27" s="609"/>
      <c r="IWR27" s="609"/>
      <c r="IWS27" s="609"/>
      <c r="IWT27" s="609"/>
      <c r="IWU27" s="609"/>
      <c r="IWV27" s="609"/>
      <c r="IWW27" s="609"/>
      <c r="IWX27" s="609"/>
      <c r="IWY27" s="609"/>
      <c r="IWZ27" s="609"/>
      <c r="IXA27" s="609"/>
      <c r="IXB27" s="609"/>
      <c r="IXC27" s="609"/>
      <c r="IXD27" s="609"/>
      <c r="IXE27" s="609"/>
      <c r="IXF27" s="609"/>
      <c r="IXG27" s="609"/>
      <c r="IXH27" s="609"/>
      <c r="IXI27" s="609"/>
      <c r="IXJ27" s="609"/>
      <c r="IXK27" s="609"/>
      <c r="IXL27" s="609"/>
      <c r="IXM27" s="609"/>
      <c r="IXN27" s="609"/>
      <c r="IXO27" s="609"/>
      <c r="IXP27" s="609"/>
      <c r="IXQ27" s="609"/>
      <c r="IXR27" s="609"/>
      <c r="IXS27" s="609"/>
      <c r="IXT27" s="609"/>
      <c r="IXU27" s="609"/>
      <c r="IXV27" s="609"/>
      <c r="IXW27" s="609"/>
      <c r="IXX27" s="609"/>
      <c r="IXY27" s="609"/>
      <c r="IXZ27" s="609"/>
      <c r="IYA27" s="609"/>
      <c r="IYB27" s="609"/>
      <c r="IYC27" s="609"/>
      <c r="IYD27" s="609"/>
      <c r="IYE27" s="609"/>
      <c r="IYF27" s="609"/>
      <c r="IYG27" s="609"/>
      <c r="IYH27" s="609"/>
      <c r="IYI27" s="609"/>
      <c r="IYJ27" s="609"/>
      <c r="IYK27" s="609"/>
      <c r="IYL27" s="609"/>
      <c r="IYM27" s="609"/>
      <c r="IYN27" s="609"/>
      <c r="IYO27" s="609"/>
      <c r="IYP27" s="609"/>
      <c r="IYQ27" s="609"/>
      <c r="IYR27" s="609"/>
      <c r="IYS27" s="609"/>
      <c r="IYT27" s="609"/>
      <c r="IYU27" s="609"/>
      <c r="IYV27" s="609"/>
      <c r="IYW27" s="609"/>
      <c r="IYX27" s="609"/>
      <c r="IYY27" s="609"/>
      <c r="IYZ27" s="609"/>
      <c r="IZA27" s="609"/>
      <c r="IZB27" s="609"/>
      <c r="IZC27" s="609"/>
      <c r="IZD27" s="609"/>
      <c r="IZE27" s="609"/>
      <c r="IZF27" s="609"/>
      <c r="IZG27" s="609"/>
      <c r="IZH27" s="609"/>
      <c r="IZI27" s="609"/>
      <c r="IZJ27" s="609"/>
      <c r="IZK27" s="609"/>
      <c r="IZL27" s="609"/>
      <c r="IZM27" s="609"/>
      <c r="IZN27" s="609"/>
      <c r="IZO27" s="609"/>
      <c r="IZP27" s="609"/>
      <c r="IZQ27" s="609"/>
      <c r="IZR27" s="609"/>
      <c r="IZS27" s="609"/>
      <c r="IZT27" s="609"/>
      <c r="IZU27" s="609"/>
      <c r="IZV27" s="609"/>
      <c r="IZW27" s="609"/>
      <c r="IZX27" s="609"/>
      <c r="IZY27" s="609"/>
      <c r="IZZ27" s="609"/>
      <c r="JAA27" s="609"/>
      <c r="JAB27" s="609"/>
      <c r="JAC27" s="609"/>
      <c r="JAD27" s="609"/>
      <c r="JAE27" s="609"/>
      <c r="JAF27" s="609"/>
      <c r="JAG27" s="609"/>
      <c r="JAH27" s="609"/>
      <c r="JAI27" s="609"/>
      <c r="JAJ27" s="609"/>
      <c r="JAK27" s="609"/>
      <c r="JAL27" s="609"/>
      <c r="JAM27" s="609"/>
      <c r="JAN27" s="609"/>
      <c r="JAO27" s="609"/>
      <c r="JAP27" s="609"/>
      <c r="JAQ27" s="609"/>
      <c r="JAR27" s="609"/>
      <c r="JAS27" s="609"/>
      <c r="JAT27" s="609"/>
      <c r="JAU27" s="609"/>
      <c r="JAV27" s="609"/>
      <c r="JAW27" s="609"/>
      <c r="JAX27" s="609"/>
      <c r="JAY27" s="609"/>
      <c r="JAZ27" s="609"/>
      <c r="JBA27" s="609"/>
      <c r="JBB27" s="609"/>
      <c r="JBC27" s="609"/>
      <c r="JBD27" s="609"/>
      <c r="JBE27" s="609"/>
      <c r="JBF27" s="609"/>
      <c r="JBG27" s="609"/>
      <c r="JBH27" s="609"/>
      <c r="JBI27" s="609"/>
      <c r="JBJ27" s="609"/>
      <c r="JBK27" s="609"/>
      <c r="JBL27" s="609"/>
      <c r="JBM27" s="609"/>
      <c r="JBN27" s="609"/>
      <c r="JBO27" s="609"/>
      <c r="JBP27" s="609"/>
      <c r="JBQ27" s="609"/>
      <c r="JBR27" s="609"/>
      <c r="JBS27" s="609"/>
      <c r="JBT27" s="609"/>
      <c r="JBU27" s="609"/>
      <c r="JBV27" s="609"/>
      <c r="JBW27" s="609"/>
      <c r="JBX27" s="609"/>
      <c r="JBY27" s="609"/>
      <c r="JBZ27" s="609"/>
      <c r="JCA27" s="609"/>
      <c r="JCB27" s="609"/>
      <c r="JCC27" s="609"/>
      <c r="JCD27" s="609"/>
      <c r="JCE27" s="609"/>
      <c r="JCF27" s="609"/>
      <c r="JCG27" s="609"/>
      <c r="JCH27" s="609"/>
      <c r="JCI27" s="609"/>
      <c r="JCJ27" s="609"/>
      <c r="JCK27" s="609"/>
      <c r="JCL27" s="609"/>
      <c r="JCM27" s="609"/>
      <c r="JCN27" s="609"/>
      <c r="JCO27" s="609"/>
      <c r="JCP27" s="609"/>
      <c r="JCQ27" s="609"/>
      <c r="JCR27" s="609"/>
      <c r="JCS27" s="609"/>
      <c r="JCT27" s="609"/>
      <c r="JCU27" s="609"/>
      <c r="JCV27" s="609"/>
      <c r="JCW27" s="609"/>
      <c r="JCX27" s="609"/>
      <c r="JCY27" s="609"/>
      <c r="JCZ27" s="609"/>
      <c r="JDA27" s="609"/>
      <c r="JDB27" s="609"/>
      <c r="JDC27" s="609"/>
      <c r="JDD27" s="609"/>
      <c r="JDE27" s="609"/>
      <c r="JDF27" s="609"/>
      <c r="JDG27" s="609"/>
      <c r="JDH27" s="609"/>
      <c r="JDI27" s="609"/>
      <c r="JDJ27" s="609"/>
      <c r="JDK27" s="609"/>
      <c r="JDL27" s="609"/>
      <c r="JDM27" s="609"/>
      <c r="JDN27" s="609"/>
      <c r="JDO27" s="609"/>
      <c r="JDP27" s="609"/>
      <c r="JDQ27" s="609"/>
      <c r="JDR27" s="609"/>
      <c r="JDS27" s="609"/>
      <c r="JDT27" s="609"/>
      <c r="JDU27" s="609"/>
      <c r="JDV27" s="609"/>
      <c r="JDW27" s="609"/>
      <c r="JDX27" s="609"/>
      <c r="JDY27" s="609"/>
      <c r="JDZ27" s="609"/>
      <c r="JEA27" s="609"/>
      <c r="JEB27" s="609"/>
      <c r="JEC27" s="609"/>
      <c r="JED27" s="609"/>
      <c r="JEE27" s="609"/>
      <c r="JEF27" s="609"/>
      <c r="JEG27" s="609"/>
      <c r="JEH27" s="609"/>
      <c r="JEI27" s="609"/>
      <c r="JEJ27" s="609"/>
      <c r="JEK27" s="609"/>
      <c r="JEL27" s="609"/>
      <c r="JEM27" s="609"/>
      <c r="JEN27" s="609"/>
      <c r="JEO27" s="609"/>
      <c r="JEP27" s="609"/>
      <c r="JEQ27" s="609"/>
      <c r="JER27" s="609"/>
      <c r="JES27" s="609"/>
      <c r="JET27" s="609"/>
      <c r="JEU27" s="609"/>
      <c r="JEV27" s="609"/>
      <c r="JEW27" s="609"/>
      <c r="JEX27" s="609"/>
      <c r="JEY27" s="609"/>
      <c r="JEZ27" s="609"/>
      <c r="JFA27" s="609"/>
      <c r="JFB27" s="609"/>
      <c r="JFC27" s="609"/>
      <c r="JFD27" s="609"/>
      <c r="JFE27" s="609"/>
      <c r="JFF27" s="609"/>
      <c r="JFG27" s="609"/>
      <c r="JFH27" s="609"/>
      <c r="JFI27" s="609"/>
      <c r="JFJ27" s="609"/>
      <c r="JFK27" s="609"/>
      <c r="JFL27" s="609"/>
      <c r="JFM27" s="609"/>
      <c r="JFN27" s="609"/>
      <c r="JFO27" s="609"/>
      <c r="JFP27" s="609"/>
      <c r="JFQ27" s="609"/>
      <c r="JFR27" s="609"/>
      <c r="JFS27" s="609"/>
      <c r="JFT27" s="609"/>
      <c r="JFU27" s="609"/>
      <c r="JFV27" s="609"/>
      <c r="JFW27" s="609"/>
      <c r="JFX27" s="609"/>
      <c r="JFY27" s="609"/>
      <c r="JFZ27" s="609"/>
      <c r="JGA27" s="609"/>
      <c r="JGB27" s="609"/>
      <c r="JGC27" s="609"/>
      <c r="JGD27" s="609"/>
      <c r="JGE27" s="609"/>
      <c r="JGF27" s="609"/>
      <c r="JGG27" s="609"/>
      <c r="JGH27" s="609"/>
      <c r="JGI27" s="609"/>
      <c r="JGJ27" s="609"/>
      <c r="JGK27" s="609"/>
      <c r="JGL27" s="609"/>
      <c r="JGM27" s="609"/>
      <c r="JGN27" s="609"/>
      <c r="JGO27" s="609"/>
      <c r="JGP27" s="609"/>
      <c r="JGQ27" s="609"/>
      <c r="JGR27" s="609"/>
      <c r="JGS27" s="609"/>
      <c r="JGT27" s="609"/>
      <c r="JGU27" s="609"/>
      <c r="JGV27" s="609"/>
      <c r="JGW27" s="609"/>
      <c r="JGX27" s="609"/>
      <c r="JGY27" s="609"/>
      <c r="JGZ27" s="609"/>
      <c r="JHA27" s="609"/>
      <c r="JHB27" s="609"/>
      <c r="JHC27" s="609"/>
      <c r="JHD27" s="609"/>
      <c r="JHE27" s="609"/>
      <c r="JHF27" s="609"/>
      <c r="JHG27" s="609"/>
      <c r="JHH27" s="609"/>
      <c r="JHI27" s="609"/>
      <c r="JHJ27" s="609"/>
      <c r="JHK27" s="609"/>
      <c r="JHL27" s="609"/>
      <c r="JHM27" s="609"/>
      <c r="JHN27" s="609"/>
      <c r="JHO27" s="609"/>
      <c r="JHP27" s="609"/>
      <c r="JHQ27" s="609"/>
      <c r="JHR27" s="609"/>
      <c r="JHS27" s="609"/>
      <c r="JHT27" s="609"/>
      <c r="JHU27" s="609"/>
      <c r="JHV27" s="609"/>
      <c r="JHW27" s="609"/>
      <c r="JHX27" s="609"/>
      <c r="JHY27" s="609"/>
      <c r="JHZ27" s="609"/>
      <c r="JIA27" s="609"/>
      <c r="JIB27" s="609"/>
      <c r="JIC27" s="609"/>
      <c r="JID27" s="609"/>
      <c r="JIE27" s="609"/>
      <c r="JIF27" s="609"/>
      <c r="JIG27" s="609"/>
      <c r="JIH27" s="609"/>
      <c r="JII27" s="609"/>
      <c r="JIJ27" s="609"/>
      <c r="JIK27" s="609"/>
      <c r="JIL27" s="609"/>
      <c r="JIM27" s="609"/>
      <c r="JIN27" s="609"/>
      <c r="JIO27" s="609"/>
      <c r="JIP27" s="609"/>
      <c r="JIQ27" s="609"/>
      <c r="JIR27" s="609"/>
      <c r="JIS27" s="609"/>
      <c r="JIT27" s="609"/>
      <c r="JIU27" s="609"/>
      <c r="JIV27" s="609"/>
      <c r="JIW27" s="609"/>
      <c r="JIX27" s="609"/>
      <c r="JIY27" s="609"/>
      <c r="JIZ27" s="609"/>
      <c r="JJA27" s="609"/>
      <c r="JJB27" s="609"/>
      <c r="JJC27" s="609"/>
      <c r="JJD27" s="609"/>
      <c r="JJE27" s="609"/>
      <c r="JJF27" s="609"/>
      <c r="JJG27" s="609"/>
      <c r="JJH27" s="609"/>
      <c r="JJI27" s="609"/>
      <c r="JJJ27" s="609"/>
      <c r="JJK27" s="609"/>
      <c r="JJL27" s="609"/>
      <c r="JJM27" s="609"/>
      <c r="JJN27" s="609"/>
      <c r="JJO27" s="609"/>
      <c r="JJP27" s="609"/>
      <c r="JJQ27" s="609"/>
      <c r="JJR27" s="609"/>
      <c r="JJS27" s="609"/>
      <c r="JJT27" s="609"/>
      <c r="JJU27" s="609"/>
      <c r="JJV27" s="609"/>
      <c r="JJW27" s="609"/>
      <c r="JJX27" s="609"/>
      <c r="JJY27" s="609"/>
      <c r="JJZ27" s="609"/>
      <c r="JKA27" s="609"/>
      <c r="JKB27" s="609"/>
      <c r="JKC27" s="609"/>
      <c r="JKD27" s="609"/>
      <c r="JKE27" s="609"/>
      <c r="JKF27" s="609"/>
      <c r="JKG27" s="609"/>
      <c r="JKH27" s="609"/>
      <c r="JKI27" s="609"/>
      <c r="JKJ27" s="609"/>
      <c r="JKK27" s="609"/>
      <c r="JKL27" s="609"/>
      <c r="JKM27" s="609"/>
      <c r="JKN27" s="609"/>
      <c r="JKO27" s="609"/>
      <c r="JKP27" s="609"/>
      <c r="JKQ27" s="609"/>
      <c r="JKR27" s="609"/>
      <c r="JKS27" s="609"/>
      <c r="JKT27" s="609"/>
      <c r="JKU27" s="609"/>
      <c r="JKV27" s="609"/>
      <c r="JKW27" s="609"/>
      <c r="JKX27" s="609"/>
      <c r="JKY27" s="609"/>
      <c r="JKZ27" s="609"/>
      <c r="JLA27" s="609"/>
      <c r="JLB27" s="609"/>
      <c r="JLC27" s="609"/>
      <c r="JLD27" s="609"/>
      <c r="JLE27" s="609"/>
      <c r="JLF27" s="609"/>
      <c r="JLG27" s="609"/>
      <c r="JLH27" s="609"/>
      <c r="JLI27" s="609"/>
      <c r="JLJ27" s="609"/>
      <c r="JLK27" s="609"/>
      <c r="JLL27" s="609"/>
      <c r="JLM27" s="609"/>
      <c r="JLN27" s="609"/>
      <c r="JLO27" s="609"/>
      <c r="JLP27" s="609"/>
      <c r="JLQ27" s="609"/>
      <c r="JLR27" s="609"/>
      <c r="JLS27" s="609"/>
      <c r="JLT27" s="609"/>
      <c r="JLU27" s="609"/>
      <c r="JLV27" s="609"/>
      <c r="JLW27" s="609"/>
      <c r="JLX27" s="609"/>
      <c r="JLY27" s="609"/>
      <c r="JLZ27" s="609"/>
      <c r="JMA27" s="609"/>
      <c r="JMB27" s="609"/>
      <c r="JMC27" s="609"/>
      <c r="JMD27" s="609"/>
      <c r="JME27" s="609"/>
      <c r="JMF27" s="609"/>
      <c r="JMG27" s="609"/>
      <c r="JMH27" s="609"/>
      <c r="JMI27" s="609"/>
      <c r="JMJ27" s="609"/>
      <c r="JMK27" s="609"/>
      <c r="JML27" s="609"/>
      <c r="JMM27" s="609"/>
      <c r="JMN27" s="609"/>
      <c r="JMO27" s="609"/>
      <c r="JMP27" s="609"/>
      <c r="JMQ27" s="609"/>
      <c r="JMR27" s="609"/>
      <c r="JMS27" s="609"/>
      <c r="JMT27" s="609"/>
      <c r="JMU27" s="609"/>
      <c r="JMV27" s="609"/>
      <c r="JMW27" s="609"/>
      <c r="JMX27" s="609"/>
      <c r="JMY27" s="609"/>
      <c r="JMZ27" s="609"/>
      <c r="JNA27" s="609"/>
      <c r="JNB27" s="609"/>
      <c r="JNC27" s="609"/>
      <c r="JND27" s="609"/>
      <c r="JNE27" s="609"/>
      <c r="JNF27" s="609"/>
      <c r="JNG27" s="609"/>
      <c r="JNH27" s="609"/>
      <c r="JNI27" s="609"/>
      <c r="JNJ27" s="609"/>
      <c r="JNK27" s="609"/>
      <c r="JNL27" s="609"/>
      <c r="JNM27" s="609"/>
      <c r="JNN27" s="609"/>
      <c r="JNO27" s="609"/>
      <c r="JNP27" s="609"/>
      <c r="JNQ27" s="609"/>
      <c r="JNR27" s="609"/>
      <c r="JNS27" s="609"/>
      <c r="JNT27" s="609"/>
      <c r="JNU27" s="609"/>
      <c r="JNV27" s="609"/>
      <c r="JNW27" s="609"/>
      <c r="JNX27" s="609"/>
      <c r="JNY27" s="609"/>
      <c r="JNZ27" s="609"/>
      <c r="JOA27" s="609"/>
      <c r="JOB27" s="609"/>
      <c r="JOC27" s="609"/>
      <c r="JOD27" s="609"/>
      <c r="JOE27" s="609"/>
      <c r="JOF27" s="609"/>
      <c r="JOG27" s="609"/>
      <c r="JOH27" s="609"/>
      <c r="JOI27" s="609"/>
      <c r="JOJ27" s="609"/>
      <c r="JOK27" s="609"/>
      <c r="JOL27" s="609"/>
      <c r="JOM27" s="609"/>
      <c r="JON27" s="609"/>
      <c r="JOO27" s="609"/>
      <c r="JOP27" s="609"/>
      <c r="JOQ27" s="609"/>
      <c r="JOR27" s="609"/>
      <c r="JOS27" s="609"/>
      <c r="JOT27" s="609"/>
      <c r="JOU27" s="609"/>
      <c r="JOV27" s="609"/>
      <c r="JOW27" s="609"/>
      <c r="JOX27" s="609"/>
      <c r="JOY27" s="609"/>
      <c r="JOZ27" s="609"/>
      <c r="JPA27" s="609"/>
      <c r="JPB27" s="609"/>
      <c r="JPC27" s="609"/>
      <c r="JPD27" s="609"/>
      <c r="JPE27" s="609"/>
      <c r="JPF27" s="609"/>
      <c r="JPG27" s="609"/>
      <c r="JPH27" s="609"/>
      <c r="JPI27" s="609"/>
      <c r="JPJ27" s="609"/>
      <c r="JPK27" s="609"/>
      <c r="JPL27" s="609"/>
      <c r="JPM27" s="609"/>
      <c r="JPN27" s="609"/>
      <c r="JPO27" s="609"/>
      <c r="JPP27" s="609"/>
      <c r="JPQ27" s="609"/>
      <c r="JPR27" s="609"/>
      <c r="JPS27" s="609"/>
      <c r="JPT27" s="609"/>
      <c r="JPU27" s="609"/>
      <c r="JPV27" s="609"/>
      <c r="JPW27" s="609"/>
      <c r="JPX27" s="609"/>
      <c r="JPY27" s="609"/>
      <c r="JPZ27" s="609"/>
      <c r="JQA27" s="609"/>
      <c r="JQB27" s="609"/>
      <c r="JQC27" s="609"/>
      <c r="JQD27" s="609"/>
      <c r="JQE27" s="609"/>
      <c r="JQF27" s="609"/>
      <c r="JQG27" s="609"/>
      <c r="JQH27" s="609"/>
      <c r="JQI27" s="609"/>
      <c r="JQJ27" s="609"/>
      <c r="JQK27" s="609"/>
      <c r="JQL27" s="609"/>
      <c r="JQM27" s="609"/>
      <c r="JQN27" s="609"/>
      <c r="JQO27" s="609"/>
      <c r="JQP27" s="609"/>
      <c r="JQQ27" s="609"/>
      <c r="JQR27" s="609"/>
      <c r="JQS27" s="609"/>
      <c r="JQT27" s="609"/>
      <c r="JQU27" s="609"/>
      <c r="JQV27" s="609"/>
      <c r="JQW27" s="609"/>
      <c r="JQX27" s="609"/>
      <c r="JQY27" s="609"/>
      <c r="JQZ27" s="609"/>
      <c r="JRA27" s="609"/>
      <c r="JRB27" s="609"/>
      <c r="JRC27" s="609"/>
      <c r="JRD27" s="609"/>
      <c r="JRE27" s="609"/>
      <c r="JRF27" s="609"/>
      <c r="JRG27" s="609"/>
      <c r="JRH27" s="609"/>
      <c r="JRI27" s="609"/>
      <c r="JRJ27" s="609"/>
      <c r="JRK27" s="609"/>
      <c r="JRL27" s="609"/>
      <c r="JRM27" s="609"/>
      <c r="JRN27" s="609"/>
      <c r="JRO27" s="609"/>
      <c r="JRP27" s="609"/>
      <c r="JRQ27" s="609"/>
      <c r="JRR27" s="609"/>
      <c r="JRS27" s="609"/>
      <c r="JRT27" s="609"/>
      <c r="JRU27" s="609"/>
      <c r="JRV27" s="609"/>
      <c r="JRW27" s="609"/>
      <c r="JRX27" s="609"/>
      <c r="JRY27" s="609"/>
      <c r="JRZ27" s="609"/>
      <c r="JSA27" s="609"/>
      <c r="JSB27" s="609"/>
      <c r="JSC27" s="609"/>
      <c r="JSD27" s="609"/>
      <c r="JSE27" s="609"/>
      <c r="JSF27" s="609"/>
      <c r="JSG27" s="609"/>
      <c r="JSH27" s="609"/>
      <c r="JSI27" s="609"/>
      <c r="JSJ27" s="609"/>
      <c r="JSK27" s="609"/>
      <c r="JSL27" s="609"/>
      <c r="JSM27" s="609"/>
      <c r="JSN27" s="609"/>
      <c r="JSO27" s="609"/>
      <c r="JSP27" s="609"/>
      <c r="JSQ27" s="609"/>
      <c r="JSR27" s="609"/>
      <c r="JSS27" s="609"/>
      <c r="JST27" s="609"/>
      <c r="JSU27" s="609"/>
      <c r="JSV27" s="609"/>
      <c r="JSW27" s="609"/>
      <c r="JSX27" s="609"/>
      <c r="JSY27" s="609"/>
      <c r="JSZ27" s="609"/>
      <c r="JTA27" s="609"/>
      <c r="JTB27" s="609"/>
      <c r="JTC27" s="609"/>
      <c r="JTD27" s="609"/>
      <c r="JTE27" s="609"/>
      <c r="JTF27" s="609"/>
      <c r="JTG27" s="609"/>
      <c r="JTH27" s="609"/>
      <c r="JTI27" s="609"/>
      <c r="JTJ27" s="609"/>
      <c r="JTK27" s="609"/>
      <c r="JTL27" s="609"/>
      <c r="JTM27" s="609"/>
      <c r="JTN27" s="609"/>
      <c r="JTO27" s="609"/>
      <c r="JTP27" s="609"/>
      <c r="JTQ27" s="609"/>
      <c r="JTR27" s="609"/>
      <c r="JTS27" s="609"/>
      <c r="JTT27" s="609"/>
      <c r="JTU27" s="609"/>
      <c r="JTV27" s="609"/>
      <c r="JTW27" s="609"/>
      <c r="JTX27" s="609"/>
      <c r="JTY27" s="609"/>
      <c r="JTZ27" s="609"/>
      <c r="JUA27" s="609"/>
      <c r="JUB27" s="609"/>
      <c r="JUC27" s="609"/>
      <c r="JUD27" s="609"/>
      <c r="JUE27" s="609"/>
      <c r="JUF27" s="609"/>
      <c r="JUG27" s="609"/>
      <c r="JUH27" s="609"/>
      <c r="JUI27" s="609"/>
      <c r="JUJ27" s="609"/>
      <c r="JUK27" s="609"/>
      <c r="JUL27" s="609"/>
      <c r="JUM27" s="609"/>
      <c r="JUN27" s="609"/>
      <c r="JUO27" s="609"/>
      <c r="JUP27" s="609"/>
      <c r="JUQ27" s="609"/>
      <c r="JUR27" s="609"/>
      <c r="JUS27" s="609"/>
      <c r="JUT27" s="609"/>
      <c r="JUU27" s="609"/>
      <c r="JUV27" s="609"/>
      <c r="JUW27" s="609"/>
      <c r="JUX27" s="609"/>
      <c r="JUY27" s="609"/>
      <c r="JUZ27" s="609"/>
      <c r="JVA27" s="609"/>
      <c r="JVB27" s="609"/>
      <c r="JVC27" s="609"/>
      <c r="JVD27" s="609"/>
      <c r="JVE27" s="609"/>
      <c r="JVF27" s="609"/>
      <c r="JVG27" s="609"/>
      <c r="JVH27" s="609"/>
      <c r="JVI27" s="609"/>
      <c r="JVJ27" s="609"/>
      <c r="JVK27" s="609"/>
      <c r="JVL27" s="609"/>
      <c r="JVM27" s="609"/>
      <c r="JVN27" s="609"/>
      <c r="JVO27" s="609"/>
      <c r="JVP27" s="609"/>
      <c r="JVQ27" s="609"/>
      <c r="JVR27" s="609"/>
      <c r="JVS27" s="609"/>
      <c r="JVT27" s="609"/>
      <c r="JVU27" s="609"/>
      <c r="JVV27" s="609"/>
      <c r="JVW27" s="609"/>
      <c r="JVX27" s="609"/>
      <c r="JVY27" s="609"/>
      <c r="JVZ27" s="609"/>
      <c r="JWA27" s="609"/>
      <c r="JWB27" s="609"/>
      <c r="JWC27" s="609"/>
      <c r="JWD27" s="609"/>
      <c r="JWE27" s="609"/>
      <c r="JWF27" s="609"/>
      <c r="JWG27" s="609"/>
      <c r="JWH27" s="609"/>
      <c r="JWI27" s="609"/>
      <c r="JWJ27" s="609"/>
      <c r="JWK27" s="609"/>
      <c r="JWL27" s="609"/>
      <c r="JWM27" s="609"/>
      <c r="JWN27" s="609"/>
      <c r="JWO27" s="609"/>
      <c r="JWP27" s="609"/>
      <c r="JWQ27" s="609"/>
      <c r="JWR27" s="609"/>
      <c r="JWS27" s="609"/>
      <c r="JWT27" s="609"/>
      <c r="JWU27" s="609"/>
      <c r="JWV27" s="609"/>
      <c r="JWW27" s="609"/>
      <c r="JWX27" s="609"/>
      <c r="JWY27" s="609"/>
      <c r="JWZ27" s="609"/>
      <c r="JXA27" s="609"/>
      <c r="JXB27" s="609"/>
      <c r="JXC27" s="609"/>
      <c r="JXD27" s="609"/>
      <c r="JXE27" s="609"/>
      <c r="JXF27" s="609"/>
      <c r="JXG27" s="609"/>
      <c r="JXH27" s="609"/>
      <c r="JXI27" s="609"/>
      <c r="JXJ27" s="609"/>
      <c r="JXK27" s="609"/>
      <c r="JXL27" s="609"/>
      <c r="JXM27" s="609"/>
      <c r="JXN27" s="609"/>
      <c r="JXO27" s="609"/>
      <c r="JXP27" s="609"/>
      <c r="JXQ27" s="609"/>
      <c r="JXR27" s="609"/>
      <c r="JXS27" s="609"/>
      <c r="JXT27" s="609"/>
      <c r="JXU27" s="609"/>
      <c r="JXV27" s="609"/>
      <c r="JXW27" s="609"/>
      <c r="JXX27" s="609"/>
      <c r="JXY27" s="609"/>
      <c r="JXZ27" s="609"/>
      <c r="JYA27" s="609"/>
      <c r="JYB27" s="609"/>
      <c r="JYC27" s="609"/>
      <c r="JYD27" s="609"/>
      <c r="JYE27" s="609"/>
      <c r="JYF27" s="609"/>
      <c r="JYG27" s="609"/>
      <c r="JYH27" s="609"/>
      <c r="JYI27" s="609"/>
      <c r="JYJ27" s="609"/>
      <c r="JYK27" s="609"/>
      <c r="JYL27" s="609"/>
      <c r="JYM27" s="609"/>
      <c r="JYN27" s="609"/>
      <c r="JYO27" s="609"/>
      <c r="JYP27" s="609"/>
      <c r="JYQ27" s="609"/>
      <c r="JYR27" s="609"/>
      <c r="JYS27" s="609"/>
      <c r="JYT27" s="609"/>
      <c r="JYU27" s="609"/>
      <c r="JYV27" s="609"/>
      <c r="JYW27" s="609"/>
      <c r="JYX27" s="609"/>
      <c r="JYY27" s="609"/>
      <c r="JYZ27" s="609"/>
      <c r="JZA27" s="609"/>
      <c r="JZB27" s="609"/>
      <c r="JZC27" s="609"/>
      <c r="JZD27" s="609"/>
      <c r="JZE27" s="609"/>
      <c r="JZF27" s="609"/>
      <c r="JZG27" s="609"/>
      <c r="JZH27" s="609"/>
      <c r="JZI27" s="609"/>
      <c r="JZJ27" s="609"/>
      <c r="JZK27" s="609"/>
      <c r="JZL27" s="609"/>
      <c r="JZM27" s="609"/>
      <c r="JZN27" s="609"/>
      <c r="JZO27" s="609"/>
      <c r="JZP27" s="609"/>
      <c r="JZQ27" s="609"/>
      <c r="JZR27" s="609"/>
      <c r="JZS27" s="609"/>
      <c r="JZT27" s="609"/>
      <c r="JZU27" s="609"/>
      <c r="JZV27" s="609"/>
      <c r="JZW27" s="609"/>
      <c r="JZX27" s="609"/>
      <c r="JZY27" s="609"/>
      <c r="JZZ27" s="609"/>
      <c r="KAA27" s="609"/>
      <c r="KAB27" s="609"/>
      <c r="KAC27" s="609"/>
      <c r="KAD27" s="609"/>
      <c r="KAE27" s="609"/>
      <c r="KAF27" s="609"/>
      <c r="KAG27" s="609"/>
      <c r="KAH27" s="609"/>
      <c r="KAI27" s="609"/>
      <c r="KAJ27" s="609"/>
      <c r="KAK27" s="609"/>
      <c r="KAL27" s="609"/>
      <c r="KAM27" s="609"/>
      <c r="KAN27" s="609"/>
      <c r="KAO27" s="609"/>
      <c r="KAP27" s="609"/>
      <c r="KAQ27" s="609"/>
      <c r="KAR27" s="609"/>
      <c r="KAS27" s="609"/>
      <c r="KAT27" s="609"/>
      <c r="KAU27" s="609"/>
      <c r="KAV27" s="609"/>
      <c r="KAW27" s="609"/>
      <c r="KAX27" s="609"/>
      <c r="KAY27" s="609"/>
      <c r="KAZ27" s="609"/>
      <c r="KBA27" s="609"/>
      <c r="KBB27" s="609"/>
      <c r="KBC27" s="609"/>
      <c r="KBD27" s="609"/>
      <c r="KBE27" s="609"/>
      <c r="KBF27" s="609"/>
      <c r="KBG27" s="609"/>
      <c r="KBH27" s="609"/>
      <c r="KBI27" s="609"/>
      <c r="KBJ27" s="609"/>
      <c r="KBK27" s="609"/>
      <c r="KBL27" s="609"/>
      <c r="KBM27" s="609"/>
      <c r="KBN27" s="609"/>
      <c r="KBO27" s="609"/>
      <c r="KBP27" s="609"/>
      <c r="KBQ27" s="609"/>
      <c r="KBR27" s="609"/>
      <c r="KBS27" s="609"/>
      <c r="KBT27" s="609"/>
      <c r="KBU27" s="609"/>
      <c r="KBV27" s="609"/>
      <c r="KBW27" s="609"/>
      <c r="KBX27" s="609"/>
      <c r="KBY27" s="609"/>
      <c r="KBZ27" s="609"/>
      <c r="KCA27" s="609"/>
      <c r="KCB27" s="609"/>
      <c r="KCC27" s="609"/>
      <c r="KCD27" s="609"/>
      <c r="KCE27" s="609"/>
      <c r="KCF27" s="609"/>
      <c r="KCG27" s="609"/>
      <c r="KCH27" s="609"/>
      <c r="KCI27" s="609"/>
      <c r="KCJ27" s="609"/>
      <c r="KCK27" s="609"/>
      <c r="KCL27" s="609"/>
      <c r="KCM27" s="609"/>
      <c r="KCN27" s="609"/>
      <c r="KCO27" s="609"/>
      <c r="KCP27" s="609"/>
      <c r="KCQ27" s="609"/>
      <c r="KCR27" s="609"/>
      <c r="KCS27" s="609"/>
      <c r="KCT27" s="609"/>
      <c r="KCU27" s="609"/>
      <c r="KCV27" s="609"/>
      <c r="KCW27" s="609"/>
      <c r="KCX27" s="609"/>
      <c r="KCY27" s="609"/>
      <c r="KCZ27" s="609"/>
      <c r="KDA27" s="609"/>
      <c r="KDB27" s="609"/>
      <c r="KDC27" s="609"/>
      <c r="KDD27" s="609"/>
      <c r="KDE27" s="609"/>
      <c r="KDF27" s="609"/>
      <c r="KDG27" s="609"/>
      <c r="KDH27" s="609"/>
      <c r="KDI27" s="609"/>
      <c r="KDJ27" s="609"/>
      <c r="KDK27" s="609"/>
      <c r="KDL27" s="609"/>
      <c r="KDM27" s="609"/>
      <c r="KDN27" s="609"/>
      <c r="KDO27" s="609"/>
      <c r="KDP27" s="609"/>
      <c r="KDQ27" s="609"/>
      <c r="KDR27" s="609"/>
      <c r="KDS27" s="609"/>
      <c r="KDT27" s="609"/>
      <c r="KDU27" s="609"/>
      <c r="KDV27" s="609"/>
      <c r="KDW27" s="609"/>
      <c r="KDX27" s="609"/>
      <c r="KDY27" s="609"/>
      <c r="KDZ27" s="609"/>
      <c r="KEA27" s="609"/>
      <c r="KEB27" s="609"/>
      <c r="KEC27" s="609"/>
      <c r="KED27" s="609"/>
      <c r="KEE27" s="609"/>
      <c r="KEF27" s="609"/>
      <c r="KEG27" s="609"/>
      <c r="KEH27" s="609"/>
      <c r="KEI27" s="609"/>
      <c r="KEJ27" s="609"/>
      <c r="KEK27" s="609"/>
      <c r="KEL27" s="609"/>
      <c r="KEM27" s="609"/>
      <c r="KEN27" s="609"/>
      <c r="KEO27" s="609"/>
      <c r="KEP27" s="609"/>
      <c r="KEQ27" s="609"/>
      <c r="KER27" s="609"/>
      <c r="KES27" s="609"/>
      <c r="KET27" s="609"/>
      <c r="KEU27" s="609"/>
      <c r="KEV27" s="609"/>
      <c r="KEW27" s="609"/>
      <c r="KEX27" s="609"/>
      <c r="KEY27" s="609"/>
      <c r="KEZ27" s="609"/>
      <c r="KFA27" s="609"/>
      <c r="KFB27" s="609"/>
      <c r="KFC27" s="609"/>
      <c r="KFD27" s="609"/>
      <c r="KFE27" s="609"/>
      <c r="KFF27" s="609"/>
      <c r="KFG27" s="609"/>
      <c r="KFH27" s="609"/>
      <c r="KFI27" s="609"/>
      <c r="KFJ27" s="609"/>
      <c r="KFK27" s="609"/>
      <c r="KFL27" s="609"/>
      <c r="KFM27" s="609"/>
      <c r="KFN27" s="609"/>
      <c r="KFO27" s="609"/>
      <c r="KFP27" s="609"/>
      <c r="KFQ27" s="609"/>
      <c r="KFR27" s="609"/>
      <c r="KFS27" s="609"/>
      <c r="KFT27" s="609"/>
      <c r="KFU27" s="609"/>
      <c r="KFV27" s="609"/>
      <c r="KFW27" s="609"/>
      <c r="KFX27" s="609"/>
      <c r="KFY27" s="609"/>
      <c r="KFZ27" s="609"/>
      <c r="KGA27" s="609"/>
      <c r="KGB27" s="609"/>
      <c r="KGC27" s="609"/>
      <c r="KGD27" s="609"/>
      <c r="KGE27" s="609"/>
      <c r="KGF27" s="609"/>
      <c r="KGG27" s="609"/>
      <c r="KGH27" s="609"/>
      <c r="KGI27" s="609"/>
      <c r="KGJ27" s="609"/>
      <c r="KGK27" s="609"/>
      <c r="KGL27" s="609"/>
      <c r="KGM27" s="609"/>
      <c r="KGN27" s="609"/>
      <c r="KGO27" s="609"/>
      <c r="KGP27" s="609"/>
      <c r="KGQ27" s="609"/>
      <c r="KGR27" s="609"/>
      <c r="KGS27" s="609"/>
      <c r="KGT27" s="609"/>
      <c r="KGU27" s="609"/>
      <c r="KGV27" s="609"/>
      <c r="KGW27" s="609"/>
      <c r="KGX27" s="609"/>
      <c r="KGY27" s="609"/>
      <c r="KGZ27" s="609"/>
      <c r="KHA27" s="609"/>
      <c r="KHB27" s="609"/>
      <c r="KHC27" s="609"/>
      <c r="KHD27" s="609"/>
      <c r="KHE27" s="609"/>
      <c r="KHF27" s="609"/>
      <c r="KHG27" s="609"/>
      <c r="KHH27" s="609"/>
      <c r="KHI27" s="609"/>
      <c r="KHJ27" s="609"/>
      <c r="KHK27" s="609"/>
      <c r="KHL27" s="609"/>
      <c r="KHM27" s="609"/>
      <c r="KHN27" s="609"/>
      <c r="KHO27" s="609"/>
      <c r="KHP27" s="609"/>
      <c r="KHQ27" s="609"/>
      <c r="KHR27" s="609"/>
      <c r="KHS27" s="609"/>
      <c r="KHT27" s="609"/>
      <c r="KHU27" s="609"/>
      <c r="KHV27" s="609"/>
      <c r="KHW27" s="609"/>
      <c r="KHX27" s="609"/>
      <c r="KHY27" s="609"/>
      <c r="KHZ27" s="609"/>
      <c r="KIA27" s="609"/>
      <c r="KIB27" s="609"/>
      <c r="KIC27" s="609"/>
      <c r="KID27" s="609"/>
      <c r="KIE27" s="609"/>
      <c r="KIF27" s="609"/>
      <c r="KIG27" s="609"/>
      <c r="KIH27" s="609"/>
      <c r="KII27" s="609"/>
      <c r="KIJ27" s="609"/>
      <c r="KIK27" s="609"/>
      <c r="KIL27" s="609"/>
      <c r="KIM27" s="609"/>
      <c r="KIN27" s="609"/>
      <c r="KIO27" s="609"/>
      <c r="KIP27" s="609"/>
      <c r="KIQ27" s="609"/>
      <c r="KIR27" s="609"/>
      <c r="KIS27" s="609"/>
      <c r="KIT27" s="609"/>
      <c r="KIU27" s="609"/>
      <c r="KIV27" s="609"/>
      <c r="KIW27" s="609"/>
      <c r="KIX27" s="609"/>
      <c r="KIY27" s="609"/>
      <c r="KIZ27" s="609"/>
      <c r="KJA27" s="609"/>
      <c r="KJB27" s="609"/>
      <c r="KJC27" s="609"/>
      <c r="KJD27" s="609"/>
      <c r="KJE27" s="609"/>
      <c r="KJF27" s="609"/>
      <c r="KJG27" s="609"/>
      <c r="KJH27" s="609"/>
      <c r="KJI27" s="609"/>
      <c r="KJJ27" s="609"/>
      <c r="KJK27" s="609"/>
      <c r="KJL27" s="609"/>
      <c r="KJM27" s="609"/>
      <c r="KJN27" s="609"/>
      <c r="KJO27" s="609"/>
      <c r="KJP27" s="609"/>
      <c r="KJQ27" s="609"/>
      <c r="KJR27" s="609"/>
      <c r="KJS27" s="609"/>
      <c r="KJT27" s="609"/>
      <c r="KJU27" s="609"/>
      <c r="KJV27" s="609"/>
      <c r="KJW27" s="609"/>
      <c r="KJX27" s="609"/>
      <c r="KJY27" s="609"/>
      <c r="KJZ27" s="609"/>
      <c r="KKA27" s="609"/>
      <c r="KKB27" s="609"/>
      <c r="KKC27" s="609"/>
      <c r="KKD27" s="609"/>
      <c r="KKE27" s="609"/>
      <c r="KKF27" s="609"/>
      <c r="KKG27" s="609"/>
      <c r="KKH27" s="609"/>
      <c r="KKI27" s="609"/>
      <c r="KKJ27" s="609"/>
      <c r="KKK27" s="609"/>
      <c r="KKL27" s="609"/>
      <c r="KKM27" s="609"/>
      <c r="KKN27" s="609"/>
      <c r="KKO27" s="609"/>
      <c r="KKP27" s="609"/>
      <c r="KKQ27" s="609"/>
      <c r="KKR27" s="609"/>
      <c r="KKS27" s="609"/>
      <c r="KKT27" s="609"/>
      <c r="KKU27" s="609"/>
      <c r="KKV27" s="609"/>
      <c r="KKW27" s="609"/>
      <c r="KKX27" s="609"/>
      <c r="KKY27" s="609"/>
      <c r="KKZ27" s="609"/>
      <c r="KLA27" s="609"/>
      <c r="KLB27" s="609"/>
      <c r="KLC27" s="609"/>
      <c r="KLD27" s="609"/>
      <c r="KLE27" s="609"/>
      <c r="KLF27" s="609"/>
      <c r="KLG27" s="609"/>
      <c r="KLH27" s="609"/>
      <c r="KLI27" s="609"/>
      <c r="KLJ27" s="609"/>
      <c r="KLK27" s="609"/>
      <c r="KLL27" s="609"/>
      <c r="KLM27" s="609"/>
      <c r="KLN27" s="609"/>
      <c r="KLO27" s="609"/>
      <c r="KLP27" s="609"/>
      <c r="KLQ27" s="609"/>
      <c r="KLR27" s="609"/>
      <c r="KLS27" s="609"/>
      <c r="KLT27" s="609"/>
      <c r="KLU27" s="609"/>
      <c r="KLV27" s="609"/>
      <c r="KLW27" s="609"/>
      <c r="KLX27" s="609"/>
      <c r="KLY27" s="609"/>
      <c r="KLZ27" s="609"/>
      <c r="KMA27" s="609"/>
      <c r="KMB27" s="609"/>
      <c r="KMC27" s="609"/>
      <c r="KMD27" s="609"/>
      <c r="KME27" s="609"/>
      <c r="KMF27" s="609"/>
      <c r="KMG27" s="609"/>
      <c r="KMH27" s="609"/>
      <c r="KMI27" s="609"/>
      <c r="KMJ27" s="609"/>
      <c r="KMK27" s="609"/>
      <c r="KML27" s="609"/>
      <c r="KMM27" s="609"/>
      <c r="KMN27" s="609"/>
      <c r="KMO27" s="609"/>
      <c r="KMP27" s="609"/>
      <c r="KMQ27" s="609"/>
      <c r="KMR27" s="609"/>
      <c r="KMS27" s="609"/>
      <c r="KMT27" s="609"/>
      <c r="KMU27" s="609"/>
      <c r="KMV27" s="609"/>
      <c r="KMW27" s="609"/>
      <c r="KMX27" s="609"/>
      <c r="KMY27" s="609"/>
      <c r="KMZ27" s="609"/>
      <c r="KNA27" s="609"/>
      <c r="KNB27" s="609"/>
      <c r="KNC27" s="609"/>
      <c r="KND27" s="609"/>
      <c r="KNE27" s="609"/>
      <c r="KNF27" s="609"/>
      <c r="KNG27" s="609"/>
      <c r="KNH27" s="609"/>
      <c r="KNI27" s="609"/>
      <c r="KNJ27" s="609"/>
      <c r="KNK27" s="609"/>
      <c r="KNL27" s="609"/>
      <c r="KNM27" s="609"/>
      <c r="KNN27" s="609"/>
      <c r="KNO27" s="609"/>
      <c r="KNP27" s="609"/>
      <c r="KNQ27" s="609"/>
      <c r="KNR27" s="609"/>
      <c r="KNS27" s="609"/>
      <c r="KNT27" s="609"/>
      <c r="KNU27" s="609"/>
      <c r="KNV27" s="609"/>
      <c r="KNW27" s="609"/>
      <c r="KNX27" s="609"/>
      <c r="KNY27" s="609"/>
      <c r="KNZ27" s="609"/>
      <c r="KOA27" s="609"/>
      <c r="KOB27" s="609"/>
      <c r="KOC27" s="609"/>
      <c r="KOD27" s="609"/>
      <c r="KOE27" s="609"/>
      <c r="KOF27" s="609"/>
      <c r="KOG27" s="609"/>
      <c r="KOH27" s="609"/>
      <c r="KOI27" s="609"/>
      <c r="KOJ27" s="609"/>
      <c r="KOK27" s="609"/>
      <c r="KOL27" s="609"/>
      <c r="KOM27" s="609"/>
      <c r="KON27" s="609"/>
      <c r="KOO27" s="609"/>
      <c r="KOP27" s="609"/>
      <c r="KOQ27" s="609"/>
      <c r="KOR27" s="609"/>
      <c r="KOS27" s="609"/>
      <c r="KOT27" s="609"/>
      <c r="KOU27" s="609"/>
      <c r="KOV27" s="609"/>
      <c r="KOW27" s="609"/>
      <c r="KOX27" s="609"/>
      <c r="KOY27" s="609"/>
      <c r="KOZ27" s="609"/>
      <c r="KPA27" s="609"/>
      <c r="KPB27" s="609"/>
      <c r="KPC27" s="609"/>
      <c r="KPD27" s="609"/>
      <c r="KPE27" s="609"/>
      <c r="KPF27" s="609"/>
      <c r="KPG27" s="609"/>
      <c r="KPH27" s="609"/>
      <c r="KPI27" s="609"/>
      <c r="KPJ27" s="609"/>
      <c r="KPK27" s="609"/>
      <c r="KPL27" s="609"/>
      <c r="KPM27" s="609"/>
      <c r="KPN27" s="609"/>
      <c r="KPO27" s="609"/>
      <c r="KPP27" s="609"/>
      <c r="KPQ27" s="609"/>
      <c r="KPR27" s="609"/>
      <c r="KPS27" s="609"/>
      <c r="KPT27" s="609"/>
      <c r="KPU27" s="609"/>
      <c r="KPV27" s="609"/>
      <c r="KPW27" s="609"/>
      <c r="KPX27" s="609"/>
      <c r="KPY27" s="609"/>
      <c r="KPZ27" s="609"/>
      <c r="KQA27" s="609"/>
      <c r="KQB27" s="609"/>
      <c r="KQC27" s="609"/>
      <c r="KQD27" s="609"/>
      <c r="KQE27" s="609"/>
      <c r="KQF27" s="609"/>
      <c r="KQG27" s="609"/>
      <c r="KQH27" s="609"/>
      <c r="KQI27" s="609"/>
      <c r="KQJ27" s="609"/>
      <c r="KQK27" s="609"/>
      <c r="KQL27" s="609"/>
      <c r="KQM27" s="609"/>
      <c r="KQN27" s="609"/>
      <c r="KQO27" s="609"/>
      <c r="KQP27" s="609"/>
      <c r="KQQ27" s="609"/>
      <c r="KQR27" s="609"/>
      <c r="KQS27" s="609"/>
      <c r="KQT27" s="609"/>
      <c r="KQU27" s="609"/>
      <c r="KQV27" s="609"/>
      <c r="KQW27" s="609"/>
      <c r="KQX27" s="609"/>
      <c r="KQY27" s="609"/>
      <c r="KQZ27" s="609"/>
      <c r="KRA27" s="609"/>
      <c r="KRB27" s="609"/>
      <c r="KRC27" s="609"/>
      <c r="KRD27" s="609"/>
      <c r="KRE27" s="609"/>
      <c r="KRF27" s="609"/>
      <c r="KRG27" s="609"/>
      <c r="KRH27" s="609"/>
      <c r="KRI27" s="609"/>
      <c r="KRJ27" s="609"/>
      <c r="KRK27" s="609"/>
      <c r="KRL27" s="609"/>
      <c r="KRM27" s="609"/>
      <c r="KRN27" s="609"/>
      <c r="KRO27" s="609"/>
      <c r="KRP27" s="609"/>
      <c r="KRQ27" s="609"/>
      <c r="KRR27" s="609"/>
      <c r="KRS27" s="609"/>
      <c r="KRT27" s="609"/>
      <c r="KRU27" s="609"/>
      <c r="KRV27" s="609"/>
      <c r="KRW27" s="609"/>
      <c r="KRX27" s="609"/>
      <c r="KRY27" s="609"/>
      <c r="KRZ27" s="609"/>
      <c r="KSA27" s="609"/>
      <c r="KSB27" s="609"/>
      <c r="KSC27" s="609"/>
      <c r="KSD27" s="609"/>
      <c r="KSE27" s="609"/>
      <c r="KSF27" s="609"/>
      <c r="KSG27" s="609"/>
      <c r="KSH27" s="609"/>
      <c r="KSI27" s="609"/>
      <c r="KSJ27" s="609"/>
      <c r="KSK27" s="609"/>
      <c r="KSL27" s="609"/>
      <c r="KSM27" s="609"/>
      <c r="KSN27" s="609"/>
      <c r="KSO27" s="609"/>
      <c r="KSP27" s="609"/>
      <c r="KSQ27" s="609"/>
      <c r="KSR27" s="609"/>
      <c r="KSS27" s="609"/>
      <c r="KST27" s="609"/>
      <c r="KSU27" s="609"/>
      <c r="KSV27" s="609"/>
      <c r="KSW27" s="609"/>
      <c r="KSX27" s="609"/>
      <c r="KSY27" s="609"/>
      <c r="KSZ27" s="609"/>
      <c r="KTA27" s="609"/>
      <c r="KTB27" s="609"/>
      <c r="KTC27" s="609"/>
      <c r="KTD27" s="609"/>
      <c r="KTE27" s="609"/>
      <c r="KTF27" s="609"/>
      <c r="KTG27" s="609"/>
      <c r="KTH27" s="609"/>
      <c r="KTI27" s="609"/>
      <c r="KTJ27" s="609"/>
      <c r="KTK27" s="609"/>
      <c r="KTL27" s="609"/>
      <c r="KTM27" s="609"/>
      <c r="KTN27" s="609"/>
      <c r="KTO27" s="609"/>
      <c r="KTP27" s="609"/>
      <c r="KTQ27" s="609"/>
      <c r="KTR27" s="609"/>
      <c r="KTS27" s="609"/>
      <c r="KTT27" s="609"/>
      <c r="KTU27" s="609"/>
      <c r="KTV27" s="609"/>
      <c r="KTW27" s="609"/>
      <c r="KTX27" s="609"/>
      <c r="KTY27" s="609"/>
      <c r="KTZ27" s="609"/>
      <c r="KUA27" s="609"/>
      <c r="KUB27" s="609"/>
      <c r="KUC27" s="609"/>
      <c r="KUD27" s="609"/>
      <c r="KUE27" s="609"/>
      <c r="KUF27" s="609"/>
      <c r="KUG27" s="609"/>
      <c r="KUH27" s="609"/>
      <c r="KUI27" s="609"/>
      <c r="KUJ27" s="609"/>
      <c r="KUK27" s="609"/>
      <c r="KUL27" s="609"/>
      <c r="KUM27" s="609"/>
      <c r="KUN27" s="609"/>
      <c r="KUO27" s="609"/>
      <c r="KUP27" s="609"/>
      <c r="KUQ27" s="609"/>
      <c r="KUR27" s="609"/>
      <c r="KUS27" s="609"/>
      <c r="KUT27" s="609"/>
      <c r="KUU27" s="609"/>
      <c r="KUV27" s="609"/>
      <c r="KUW27" s="609"/>
      <c r="KUX27" s="609"/>
      <c r="KUY27" s="609"/>
      <c r="KUZ27" s="609"/>
      <c r="KVA27" s="609"/>
      <c r="KVB27" s="609"/>
      <c r="KVC27" s="609"/>
      <c r="KVD27" s="609"/>
      <c r="KVE27" s="609"/>
      <c r="KVF27" s="609"/>
      <c r="KVG27" s="609"/>
      <c r="KVH27" s="609"/>
      <c r="KVI27" s="609"/>
      <c r="KVJ27" s="609"/>
      <c r="KVK27" s="609"/>
      <c r="KVL27" s="609"/>
      <c r="KVM27" s="609"/>
      <c r="KVN27" s="609"/>
      <c r="KVO27" s="609"/>
      <c r="KVP27" s="609"/>
      <c r="KVQ27" s="609"/>
      <c r="KVR27" s="609"/>
      <c r="KVS27" s="609"/>
      <c r="KVT27" s="609"/>
      <c r="KVU27" s="609"/>
      <c r="KVV27" s="609"/>
      <c r="KVW27" s="609"/>
      <c r="KVX27" s="609"/>
      <c r="KVY27" s="609"/>
      <c r="KVZ27" s="609"/>
      <c r="KWA27" s="609"/>
      <c r="KWB27" s="609"/>
      <c r="KWC27" s="609"/>
      <c r="KWD27" s="609"/>
      <c r="KWE27" s="609"/>
      <c r="KWF27" s="609"/>
      <c r="KWG27" s="609"/>
      <c r="KWH27" s="609"/>
      <c r="KWI27" s="609"/>
      <c r="KWJ27" s="609"/>
      <c r="KWK27" s="609"/>
      <c r="KWL27" s="609"/>
      <c r="KWM27" s="609"/>
      <c r="KWN27" s="609"/>
      <c r="KWO27" s="609"/>
      <c r="KWP27" s="609"/>
      <c r="KWQ27" s="609"/>
      <c r="KWR27" s="609"/>
      <c r="KWS27" s="609"/>
      <c r="KWT27" s="609"/>
      <c r="KWU27" s="609"/>
      <c r="KWV27" s="609"/>
      <c r="KWW27" s="609"/>
      <c r="KWX27" s="609"/>
      <c r="KWY27" s="609"/>
      <c r="KWZ27" s="609"/>
      <c r="KXA27" s="609"/>
      <c r="KXB27" s="609"/>
      <c r="KXC27" s="609"/>
      <c r="KXD27" s="609"/>
      <c r="KXE27" s="609"/>
      <c r="KXF27" s="609"/>
      <c r="KXG27" s="609"/>
      <c r="KXH27" s="609"/>
      <c r="KXI27" s="609"/>
      <c r="KXJ27" s="609"/>
      <c r="KXK27" s="609"/>
      <c r="KXL27" s="609"/>
      <c r="KXM27" s="609"/>
      <c r="KXN27" s="609"/>
      <c r="KXO27" s="609"/>
      <c r="KXP27" s="609"/>
      <c r="KXQ27" s="609"/>
      <c r="KXR27" s="609"/>
      <c r="KXS27" s="609"/>
      <c r="KXT27" s="609"/>
      <c r="KXU27" s="609"/>
      <c r="KXV27" s="609"/>
      <c r="KXW27" s="609"/>
      <c r="KXX27" s="609"/>
      <c r="KXY27" s="609"/>
      <c r="KXZ27" s="609"/>
      <c r="KYA27" s="609"/>
      <c r="KYB27" s="609"/>
      <c r="KYC27" s="609"/>
      <c r="KYD27" s="609"/>
      <c r="KYE27" s="609"/>
      <c r="KYF27" s="609"/>
      <c r="KYG27" s="609"/>
      <c r="KYH27" s="609"/>
      <c r="KYI27" s="609"/>
      <c r="KYJ27" s="609"/>
      <c r="KYK27" s="609"/>
      <c r="KYL27" s="609"/>
      <c r="KYM27" s="609"/>
      <c r="KYN27" s="609"/>
      <c r="KYO27" s="609"/>
      <c r="KYP27" s="609"/>
      <c r="KYQ27" s="609"/>
      <c r="KYR27" s="609"/>
      <c r="KYS27" s="609"/>
      <c r="KYT27" s="609"/>
      <c r="KYU27" s="609"/>
      <c r="KYV27" s="609"/>
      <c r="KYW27" s="609"/>
      <c r="KYX27" s="609"/>
      <c r="KYY27" s="609"/>
      <c r="KYZ27" s="609"/>
      <c r="KZA27" s="609"/>
      <c r="KZB27" s="609"/>
      <c r="KZC27" s="609"/>
      <c r="KZD27" s="609"/>
      <c r="KZE27" s="609"/>
      <c r="KZF27" s="609"/>
      <c r="KZG27" s="609"/>
      <c r="KZH27" s="609"/>
      <c r="KZI27" s="609"/>
      <c r="KZJ27" s="609"/>
      <c r="KZK27" s="609"/>
      <c r="KZL27" s="609"/>
      <c r="KZM27" s="609"/>
      <c r="KZN27" s="609"/>
      <c r="KZO27" s="609"/>
      <c r="KZP27" s="609"/>
      <c r="KZQ27" s="609"/>
      <c r="KZR27" s="609"/>
      <c r="KZS27" s="609"/>
      <c r="KZT27" s="609"/>
      <c r="KZU27" s="609"/>
      <c r="KZV27" s="609"/>
      <c r="KZW27" s="609"/>
      <c r="KZX27" s="609"/>
      <c r="KZY27" s="609"/>
      <c r="KZZ27" s="609"/>
      <c r="LAA27" s="609"/>
      <c r="LAB27" s="609"/>
      <c r="LAC27" s="609"/>
      <c r="LAD27" s="609"/>
      <c r="LAE27" s="609"/>
      <c r="LAF27" s="609"/>
      <c r="LAG27" s="609"/>
      <c r="LAH27" s="609"/>
      <c r="LAI27" s="609"/>
      <c r="LAJ27" s="609"/>
      <c r="LAK27" s="609"/>
      <c r="LAL27" s="609"/>
      <c r="LAM27" s="609"/>
      <c r="LAN27" s="609"/>
      <c r="LAO27" s="609"/>
      <c r="LAP27" s="609"/>
      <c r="LAQ27" s="609"/>
      <c r="LAR27" s="609"/>
      <c r="LAS27" s="609"/>
      <c r="LAT27" s="609"/>
      <c r="LAU27" s="609"/>
      <c r="LAV27" s="609"/>
      <c r="LAW27" s="609"/>
      <c r="LAX27" s="609"/>
      <c r="LAY27" s="609"/>
      <c r="LAZ27" s="609"/>
      <c r="LBA27" s="609"/>
      <c r="LBB27" s="609"/>
      <c r="LBC27" s="609"/>
      <c r="LBD27" s="609"/>
      <c r="LBE27" s="609"/>
      <c r="LBF27" s="609"/>
      <c r="LBG27" s="609"/>
      <c r="LBH27" s="609"/>
      <c r="LBI27" s="609"/>
      <c r="LBJ27" s="609"/>
      <c r="LBK27" s="609"/>
      <c r="LBL27" s="609"/>
      <c r="LBM27" s="609"/>
      <c r="LBN27" s="609"/>
      <c r="LBO27" s="609"/>
      <c r="LBP27" s="609"/>
      <c r="LBQ27" s="609"/>
      <c r="LBR27" s="609"/>
      <c r="LBS27" s="609"/>
      <c r="LBT27" s="609"/>
      <c r="LBU27" s="609"/>
      <c r="LBV27" s="609"/>
      <c r="LBW27" s="609"/>
      <c r="LBX27" s="609"/>
      <c r="LBY27" s="609"/>
      <c r="LBZ27" s="609"/>
      <c r="LCA27" s="609"/>
      <c r="LCB27" s="609"/>
      <c r="LCC27" s="609"/>
      <c r="LCD27" s="609"/>
      <c r="LCE27" s="609"/>
      <c r="LCF27" s="609"/>
      <c r="LCG27" s="609"/>
      <c r="LCH27" s="609"/>
      <c r="LCI27" s="609"/>
      <c r="LCJ27" s="609"/>
      <c r="LCK27" s="609"/>
      <c r="LCL27" s="609"/>
      <c r="LCM27" s="609"/>
      <c r="LCN27" s="609"/>
      <c r="LCO27" s="609"/>
      <c r="LCP27" s="609"/>
      <c r="LCQ27" s="609"/>
      <c r="LCR27" s="609"/>
      <c r="LCS27" s="609"/>
      <c r="LCT27" s="609"/>
      <c r="LCU27" s="609"/>
      <c r="LCV27" s="609"/>
      <c r="LCW27" s="609"/>
      <c r="LCX27" s="609"/>
      <c r="LCY27" s="609"/>
      <c r="LCZ27" s="609"/>
      <c r="LDA27" s="609"/>
      <c r="LDB27" s="609"/>
      <c r="LDC27" s="609"/>
      <c r="LDD27" s="609"/>
      <c r="LDE27" s="609"/>
      <c r="LDF27" s="609"/>
      <c r="LDG27" s="609"/>
      <c r="LDH27" s="609"/>
      <c r="LDI27" s="609"/>
      <c r="LDJ27" s="609"/>
      <c r="LDK27" s="609"/>
      <c r="LDL27" s="609"/>
      <c r="LDM27" s="609"/>
      <c r="LDN27" s="609"/>
      <c r="LDO27" s="609"/>
      <c r="LDP27" s="609"/>
      <c r="LDQ27" s="609"/>
      <c r="LDR27" s="609"/>
      <c r="LDS27" s="609"/>
      <c r="LDT27" s="609"/>
      <c r="LDU27" s="609"/>
      <c r="LDV27" s="609"/>
      <c r="LDW27" s="609"/>
      <c r="LDX27" s="609"/>
      <c r="LDY27" s="609"/>
      <c r="LDZ27" s="609"/>
      <c r="LEA27" s="609"/>
      <c r="LEB27" s="609"/>
      <c r="LEC27" s="609"/>
      <c r="LED27" s="609"/>
      <c r="LEE27" s="609"/>
      <c r="LEF27" s="609"/>
      <c r="LEG27" s="609"/>
      <c r="LEH27" s="609"/>
      <c r="LEI27" s="609"/>
      <c r="LEJ27" s="609"/>
      <c r="LEK27" s="609"/>
      <c r="LEL27" s="609"/>
      <c r="LEM27" s="609"/>
      <c r="LEN27" s="609"/>
      <c r="LEO27" s="609"/>
      <c r="LEP27" s="609"/>
      <c r="LEQ27" s="609"/>
      <c r="LER27" s="609"/>
      <c r="LES27" s="609"/>
      <c r="LET27" s="609"/>
      <c r="LEU27" s="609"/>
      <c r="LEV27" s="609"/>
      <c r="LEW27" s="609"/>
      <c r="LEX27" s="609"/>
      <c r="LEY27" s="609"/>
      <c r="LEZ27" s="609"/>
      <c r="LFA27" s="609"/>
      <c r="LFB27" s="609"/>
      <c r="LFC27" s="609"/>
      <c r="LFD27" s="609"/>
      <c r="LFE27" s="609"/>
      <c r="LFF27" s="609"/>
      <c r="LFG27" s="609"/>
      <c r="LFH27" s="609"/>
      <c r="LFI27" s="609"/>
      <c r="LFJ27" s="609"/>
      <c r="LFK27" s="609"/>
      <c r="LFL27" s="609"/>
      <c r="LFM27" s="609"/>
      <c r="LFN27" s="609"/>
      <c r="LFO27" s="609"/>
      <c r="LFP27" s="609"/>
      <c r="LFQ27" s="609"/>
      <c r="LFR27" s="609"/>
      <c r="LFS27" s="609"/>
      <c r="LFT27" s="609"/>
      <c r="LFU27" s="609"/>
      <c r="LFV27" s="609"/>
      <c r="LFW27" s="609"/>
      <c r="LFX27" s="609"/>
      <c r="LFY27" s="609"/>
      <c r="LFZ27" s="609"/>
      <c r="LGA27" s="609"/>
      <c r="LGB27" s="609"/>
      <c r="LGC27" s="609"/>
      <c r="LGD27" s="609"/>
      <c r="LGE27" s="609"/>
      <c r="LGF27" s="609"/>
      <c r="LGG27" s="609"/>
      <c r="LGH27" s="609"/>
      <c r="LGI27" s="609"/>
      <c r="LGJ27" s="609"/>
      <c r="LGK27" s="609"/>
      <c r="LGL27" s="609"/>
      <c r="LGM27" s="609"/>
      <c r="LGN27" s="609"/>
      <c r="LGO27" s="609"/>
      <c r="LGP27" s="609"/>
      <c r="LGQ27" s="609"/>
      <c r="LGR27" s="609"/>
      <c r="LGS27" s="609"/>
      <c r="LGT27" s="609"/>
      <c r="LGU27" s="609"/>
      <c r="LGV27" s="609"/>
      <c r="LGW27" s="609"/>
      <c r="LGX27" s="609"/>
      <c r="LGY27" s="609"/>
      <c r="LGZ27" s="609"/>
      <c r="LHA27" s="609"/>
      <c r="LHB27" s="609"/>
      <c r="LHC27" s="609"/>
      <c r="LHD27" s="609"/>
      <c r="LHE27" s="609"/>
      <c r="LHF27" s="609"/>
      <c r="LHG27" s="609"/>
      <c r="LHH27" s="609"/>
      <c r="LHI27" s="609"/>
      <c r="LHJ27" s="609"/>
      <c r="LHK27" s="609"/>
      <c r="LHL27" s="609"/>
      <c r="LHM27" s="609"/>
      <c r="LHN27" s="609"/>
      <c r="LHO27" s="609"/>
      <c r="LHP27" s="609"/>
      <c r="LHQ27" s="609"/>
      <c r="LHR27" s="609"/>
      <c r="LHS27" s="609"/>
      <c r="LHT27" s="609"/>
      <c r="LHU27" s="609"/>
      <c r="LHV27" s="609"/>
      <c r="LHW27" s="609"/>
      <c r="LHX27" s="609"/>
      <c r="LHY27" s="609"/>
      <c r="LHZ27" s="609"/>
      <c r="LIA27" s="609"/>
      <c r="LIB27" s="609"/>
      <c r="LIC27" s="609"/>
      <c r="LID27" s="609"/>
      <c r="LIE27" s="609"/>
      <c r="LIF27" s="609"/>
      <c r="LIG27" s="609"/>
      <c r="LIH27" s="609"/>
      <c r="LII27" s="609"/>
      <c r="LIJ27" s="609"/>
      <c r="LIK27" s="609"/>
      <c r="LIL27" s="609"/>
      <c r="LIM27" s="609"/>
      <c r="LIN27" s="609"/>
      <c r="LIO27" s="609"/>
      <c r="LIP27" s="609"/>
      <c r="LIQ27" s="609"/>
      <c r="LIR27" s="609"/>
      <c r="LIS27" s="609"/>
      <c r="LIT27" s="609"/>
      <c r="LIU27" s="609"/>
      <c r="LIV27" s="609"/>
      <c r="LIW27" s="609"/>
      <c r="LIX27" s="609"/>
      <c r="LIY27" s="609"/>
      <c r="LIZ27" s="609"/>
      <c r="LJA27" s="609"/>
      <c r="LJB27" s="609"/>
      <c r="LJC27" s="609"/>
      <c r="LJD27" s="609"/>
      <c r="LJE27" s="609"/>
      <c r="LJF27" s="609"/>
      <c r="LJG27" s="609"/>
      <c r="LJH27" s="609"/>
      <c r="LJI27" s="609"/>
      <c r="LJJ27" s="609"/>
      <c r="LJK27" s="609"/>
      <c r="LJL27" s="609"/>
      <c r="LJM27" s="609"/>
      <c r="LJN27" s="609"/>
      <c r="LJO27" s="609"/>
      <c r="LJP27" s="609"/>
      <c r="LJQ27" s="609"/>
      <c r="LJR27" s="609"/>
      <c r="LJS27" s="609"/>
      <c r="LJT27" s="609"/>
      <c r="LJU27" s="609"/>
      <c r="LJV27" s="609"/>
      <c r="LJW27" s="609"/>
      <c r="LJX27" s="609"/>
      <c r="LJY27" s="609"/>
      <c r="LJZ27" s="609"/>
      <c r="LKA27" s="609"/>
      <c r="LKB27" s="609"/>
      <c r="LKC27" s="609"/>
      <c r="LKD27" s="609"/>
      <c r="LKE27" s="609"/>
      <c r="LKF27" s="609"/>
      <c r="LKG27" s="609"/>
      <c r="LKH27" s="609"/>
      <c r="LKI27" s="609"/>
      <c r="LKJ27" s="609"/>
      <c r="LKK27" s="609"/>
      <c r="LKL27" s="609"/>
      <c r="LKM27" s="609"/>
      <c r="LKN27" s="609"/>
      <c r="LKO27" s="609"/>
      <c r="LKP27" s="609"/>
      <c r="LKQ27" s="609"/>
      <c r="LKR27" s="609"/>
      <c r="LKS27" s="609"/>
      <c r="LKT27" s="609"/>
      <c r="LKU27" s="609"/>
      <c r="LKV27" s="609"/>
      <c r="LKW27" s="609"/>
      <c r="LKX27" s="609"/>
      <c r="LKY27" s="609"/>
      <c r="LKZ27" s="609"/>
      <c r="LLA27" s="609"/>
      <c r="LLB27" s="609"/>
      <c r="LLC27" s="609"/>
      <c r="LLD27" s="609"/>
      <c r="LLE27" s="609"/>
      <c r="LLF27" s="609"/>
      <c r="LLG27" s="609"/>
      <c r="LLH27" s="609"/>
      <c r="LLI27" s="609"/>
      <c r="LLJ27" s="609"/>
      <c r="LLK27" s="609"/>
      <c r="LLL27" s="609"/>
      <c r="LLM27" s="609"/>
      <c r="LLN27" s="609"/>
      <c r="LLO27" s="609"/>
      <c r="LLP27" s="609"/>
      <c r="LLQ27" s="609"/>
      <c r="LLR27" s="609"/>
      <c r="LLS27" s="609"/>
      <c r="LLT27" s="609"/>
      <c r="LLU27" s="609"/>
      <c r="LLV27" s="609"/>
      <c r="LLW27" s="609"/>
      <c r="LLX27" s="609"/>
      <c r="LLY27" s="609"/>
      <c r="LLZ27" s="609"/>
      <c r="LMA27" s="609"/>
      <c r="LMB27" s="609"/>
      <c r="LMC27" s="609"/>
      <c r="LMD27" s="609"/>
      <c r="LME27" s="609"/>
      <c r="LMF27" s="609"/>
      <c r="LMG27" s="609"/>
      <c r="LMH27" s="609"/>
      <c r="LMI27" s="609"/>
      <c r="LMJ27" s="609"/>
      <c r="LMK27" s="609"/>
      <c r="LML27" s="609"/>
      <c r="LMM27" s="609"/>
      <c r="LMN27" s="609"/>
      <c r="LMO27" s="609"/>
      <c r="LMP27" s="609"/>
      <c r="LMQ27" s="609"/>
      <c r="LMR27" s="609"/>
      <c r="LMS27" s="609"/>
      <c r="LMT27" s="609"/>
      <c r="LMU27" s="609"/>
      <c r="LMV27" s="609"/>
      <c r="LMW27" s="609"/>
      <c r="LMX27" s="609"/>
      <c r="LMY27" s="609"/>
      <c r="LMZ27" s="609"/>
      <c r="LNA27" s="609"/>
      <c r="LNB27" s="609"/>
      <c r="LNC27" s="609"/>
      <c r="LND27" s="609"/>
      <c r="LNE27" s="609"/>
      <c r="LNF27" s="609"/>
      <c r="LNG27" s="609"/>
      <c r="LNH27" s="609"/>
      <c r="LNI27" s="609"/>
      <c r="LNJ27" s="609"/>
      <c r="LNK27" s="609"/>
      <c r="LNL27" s="609"/>
      <c r="LNM27" s="609"/>
      <c r="LNN27" s="609"/>
      <c r="LNO27" s="609"/>
      <c r="LNP27" s="609"/>
      <c r="LNQ27" s="609"/>
      <c r="LNR27" s="609"/>
      <c r="LNS27" s="609"/>
      <c r="LNT27" s="609"/>
      <c r="LNU27" s="609"/>
      <c r="LNV27" s="609"/>
      <c r="LNW27" s="609"/>
      <c r="LNX27" s="609"/>
      <c r="LNY27" s="609"/>
      <c r="LNZ27" s="609"/>
      <c r="LOA27" s="609"/>
      <c r="LOB27" s="609"/>
      <c r="LOC27" s="609"/>
      <c r="LOD27" s="609"/>
      <c r="LOE27" s="609"/>
      <c r="LOF27" s="609"/>
      <c r="LOG27" s="609"/>
      <c r="LOH27" s="609"/>
      <c r="LOI27" s="609"/>
      <c r="LOJ27" s="609"/>
      <c r="LOK27" s="609"/>
      <c r="LOL27" s="609"/>
      <c r="LOM27" s="609"/>
      <c r="LON27" s="609"/>
      <c r="LOO27" s="609"/>
      <c r="LOP27" s="609"/>
      <c r="LOQ27" s="609"/>
      <c r="LOR27" s="609"/>
      <c r="LOS27" s="609"/>
      <c r="LOT27" s="609"/>
      <c r="LOU27" s="609"/>
      <c r="LOV27" s="609"/>
      <c r="LOW27" s="609"/>
      <c r="LOX27" s="609"/>
      <c r="LOY27" s="609"/>
      <c r="LOZ27" s="609"/>
      <c r="LPA27" s="609"/>
      <c r="LPB27" s="609"/>
      <c r="LPC27" s="609"/>
      <c r="LPD27" s="609"/>
      <c r="LPE27" s="609"/>
      <c r="LPF27" s="609"/>
      <c r="LPG27" s="609"/>
      <c r="LPH27" s="609"/>
      <c r="LPI27" s="609"/>
      <c r="LPJ27" s="609"/>
      <c r="LPK27" s="609"/>
      <c r="LPL27" s="609"/>
      <c r="LPM27" s="609"/>
      <c r="LPN27" s="609"/>
      <c r="LPO27" s="609"/>
      <c r="LPP27" s="609"/>
      <c r="LPQ27" s="609"/>
      <c r="LPR27" s="609"/>
      <c r="LPS27" s="609"/>
      <c r="LPT27" s="609"/>
      <c r="LPU27" s="609"/>
      <c r="LPV27" s="609"/>
      <c r="LPW27" s="609"/>
      <c r="LPX27" s="609"/>
      <c r="LPY27" s="609"/>
      <c r="LPZ27" s="609"/>
      <c r="LQA27" s="609"/>
      <c r="LQB27" s="609"/>
      <c r="LQC27" s="609"/>
      <c r="LQD27" s="609"/>
      <c r="LQE27" s="609"/>
      <c r="LQF27" s="609"/>
      <c r="LQG27" s="609"/>
      <c r="LQH27" s="609"/>
      <c r="LQI27" s="609"/>
      <c r="LQJ27" s="609"/>
      <c r="LQK27" s="609"/>
      <c r="LQL27" s="609"/>
      <c r="LQM27" s="609"/>
      <c r="LQN27" s="609"/>
      <c r="LQO27" s="609"/>
      <c r="LQP27" s="609"/>
      <c r="LQQ27" s="609"/>
      <c r="LQR27" s="609"/>
      <c r="LQS27" s="609"/>
      <c r="LQT27" s="609"/>
      <c r="LQU27" s="609"/>
      <c r="LQV27" s="609"/>
      <c r="LQW27" s="609"/>
      <c r="LQX27" s="609"/>
      <c r="LQY27" s="609"/>
      <c r="LQZ27" s="609"/>
      <c r="LRA27" s="609"/>
      <c r="LRB27" s="609"/>
      <c r="LRC27" s="609"/>
      <c r="LRD27" s="609"/>
      <c r="LRE27" s="609"/>
      <c r="LRF27" s="609"/>
      <c r="LRG27" s="609"/>
      <c r="LRH27" s="609"/>
      <c r="LRI27" s="609"/>
      <c r="LRJ27" s="609"/>
      <c r="LRK27" s="609"/>
      <c r="LRL27" s="609"/>
      <c r="LRM27" s="609"/>
      <c r="LRN27" s="609"/>
      <c r="LRO27" s="609"/>
      <c r="LRP27" s="609"/>
      <c r="LRQ27" s="609"/>
      <c r="LRR27" s="609"/>
      <c r="LRS27" s="609"/>
      <c r="LRT27" s="609"/>
      <c r="LRU27" s="609"/>
      <c r="LRV27" s="609"/>
      <c r="LRW27" s="609"/>
      <c r="LRX27" s="609"/>
      <c r="LRY27" s="609"/>
      <c r="LRZ27" s="609"/>
      <c r="LSA27" s="609"/>
      <c r="LSB27" s="609"/>
      <c r="LSC27" s="609"/>
      <c r="LSD27" s="609"/>
      <c r="LSE27" s="609"/>
      <c r="LSF27" s="609"/>
      <c r="LSG27" s="609"/>
      <c r="LSH27" s="609"/>
      <c r="LSI27" s="609"/>
      <c r="LSJ27" s="609"/>
      <c r="LSK27" s="609"/>
      <c r="LSL27" s="609"/>
      <c r="LSM27" s="609"/>
      <c r="LSN27" s="609"/>
      <c r="LSO27" s="609"/>
      <c r="LSP27" s="609"/>
      <c r="LSQ27" s="609"/>
      <c r="LSR27" s="609"/>
      <c r="LSS27" s="609"/>
      <c r="LST27" s="609"/>
      <c r="LSU27" s="609"/>
      <c r="LSV27" s="609"/>
      <c r="LSW27" s="609"/>
      <c r="LSX27" s="609"/>
      <c r="LSY27" s="609"/>
      <c r="LSZ27" s="609"/>
      <c r="LTA27" s="609"/>
      <c r="LTB27" s="609"/>
      <c r="LTC27" s="609"/>
      <c r="LTD27" s="609"/>
      <c r="LTE27" s="609"/>
      <c r="LTF27" s="609"/>
      <c r="LTG27" s="609"/>
      <c r="LTH27" s="609"/>
      <c r="LTI27" s="609"/>
      <c r="LTJ27" s="609"/>
      <c r="LTK27" s="609"/>
      <c r="LTL27" s="609"/>
      <c r="LTM27" s="609"/>
      <c r="LTN27" s="609"/>
      <c r="LTO27" s="609"/>
      <c r="LTP27" s="609"/>
      <c r="LTQ27" s="609"/>
      <c r="LTR27" s="609"/>
      <c r="LTS27" s="609"/>
      <c r="LTT27" s="609"/>
      <c r="LTU27" s="609"/>
      <c r="LTV27" s="609"/>
      <c r="LTW27" s="609"/>
      <c r="LTX27" s="609"/>
      <c r="LTY27" s="609"/>
      <c r="LTZ27" s="609"/>
      <c r="LUA27" s="609"/>
      <c r="LUB27" s="609"/>
      <c r="LUC27" s="609"/>
      <c r="LUD27" s="609"/>
      <c r="LUE27" s="609"/>
      <c r="LUF27" s="609"/>
      <c r="LUG27" s="609"/>
      <c r="LUH27" s="609"/>
      <c r="LUI27" s="609"/>
      <c r="LUJ27" s="609"/>
      <c r="LUK27" s="609"/>
      <c r="LUL27" s="609"/>
      <c r="LUM27" s="609"/>
      <c r="LUN27" s="609"/>
      <c r="LUO27" s="609"/>
      <c r="LUP27" s="609"/>
      <c r="LUQ27" s="609"/>
      <c r="LUR27" s="609"/>
      <c r="LUS27" s="609"/>
      <c r="LUT27" s="609"/>
      <c r="LUU27" s="609"/>
      <c r="LUV27" s="609"/>
      <c r="LUW27" s="609"/>
      <c r="LUX27" s="609"/>
      <c r="LUY27" s="609"/>
      <c r="LUZ27" s="609"/>
      <c r="LVA27" s="609"/>
      <c r="LVB27" s="609"/>
      <c r="LVC27" s="609"/>
      <c r="LVD27" s="609"/>
      <c r="LVE27" s="609"/>
      <c r="LVF27" s="609"/>
      <c r="LVG27" s="609"/>
      <c r="LVH27" s="609"/>
      <c r="LVI27" s="609"/>
      <c r="LVJ27" s="609"/>
      <c r="LVK27" s="609"/>
      <c r="LVL27" s="609"/>
      <c r="LVM27" s="609"/>
      <c r="LVN27" s="609"/>
      <c r="LVO27" s="609"/>
      <c r="LVP27" s="609"/>
      <c r="LVQ27" s="609"/>
      <c r="LVR27" s="609"/>
      <c r="LVS27" s="609"/>
      <c r="LVT27" s="609"/>
      <c r="LVU27" s="609"/>
      <c r="LVV27" s="609"/>
      <c r="LVW27" s="609"/>
      <c r="LVX27" s="609"/>
      <c r="LVY27" s="609"/>
      <c r="LVZ27" s="609"/>
      <c r="LWA27" s="609"/>
      <c r="LWB27" s="609"/>
      <c r="LWC27" s="609"/>
      <c r="LWD27" s="609"/>
      <c r="LWE27" s="609"/>
      <c r="LWF27" s="609"/>
      <c r="LWG27" s="609"/>
      <c r="LWH27" s="609"/>
      <c r="LWI27" s="609"/>
      <c r="LWJ27" s="609"/>
      <c r="LWK27" s="609"/>
      <c r="LWL27" s="609"/>
      <c r="LWM27" s="609"/>
      <c r="LWN27" s="609"/>
      <c r="LWO27" s="609"/>
      <c r="LWP27" s="609"/>
      <c r="LWQ27" s="609"/>
      <c r="LWR27" s="609"/>
      <c r="LWS27" s="609"/>
      <c r="LWT27" s="609"/>
      <c r="LWU27" s="609"/>
      <c r="LWV27" s="609"/>
      <c r="LWW27" s="609"/>
      <c r="LWX27" s="609"/>
      <c r="LWY27" s="609"/>
      <c r="LWZ27" s="609"/>
      <c r="LXA27" s="609"/>
      <c r="LXB27" s="609"/>
      <c r="LXC27" s="609"/>
      <c r="LXD27" s="609"/>
      <c r="LXE27" s="609"/>
      <c r="LXF27" s="609"/>
      <c r="LXG27" s="609"/>
      <c r="LXH27" s="609"/>
      <c r="LXI27" s="609"/>
      <c r="LXJ27" s="609"/>
      <c r="LXK27" s="609"/>
      <c r="LXL27" s="609"/>
      <c r="LXM27" s="609"/>
      <c r="LXN27" s="609"/>
      <c r="LXO27" s="609"/>
      <c r="LXP27" s="609"/>
      <c r="LXQ27" s="609"/>
      <c r="LXR27" s="609"/>
      <c r="LXS27" s="609"/>
      <c r="LXT27" s="609"/>
      <c r="LXU27" s="609"/>
      <c r="LXV27" s="609"/>
      <c r="LXW27" s="609"/>
      <c r="LXX27" s="609"/>
      <c r="LXY27" s="609"/>
      <c r="LXZ27" s="609"/>
      <c r="LYA27" s="609"/>
      <c r="LYB27" s="609"/>
      <c r="LYC27" s="609"/>
      <c r="LYD27" s="609"/>
      <c r="LYE27" s="609"/>
      <c r="LYF27" s="609"/>
      <c r="LYG27" s="609"/>
      <c r="LYH27" s="609"/>
      <c r="LYI27" s="609"/>
      <c r="LYJ27" s="609"/>
      <c r="LYK27" s="609"/>
      <c r="LYL27" s="609"/>
      <c r="LYM27" s="609"/>
      <c r="LYN27" s="609"/>
      <c r="LYO27" s="609"/>
      <c r="LYP27" s="609"/>
      <c r="LYQ27" s="609"/>
      <c r="LYR27" s="609"/>
      <c r="LYS27" s="609"/>
      <c r="LYT27" s="609"/>
      <c r="LYU27" s="609"/>
      <c r="LYV27" s="609"/>
      <c r="LYW27" s="609"/>
      <c r="LYX27" s="609"/>
      <c r="LYY27" s="609"/>
      <c r="LYZ27" s="609"/>
      <c r="LZA27" s="609"/>
      <c r="LZB27" s="609"/>
      <c r="LZC27" s="609"/>
      <c r="LZD27" s="609"/>
      <c r="LZE27" s="609"/>
      <c r="LZF27" s="609"/>
      <c r="LZG27" s="609"/>
      <c r="LZH27" s="609"/>
      <c r="LZI27" s="609"/>
      <c r="LZJ27" s="609"/>
      <c r="LZK27" s="609"/>
      <c r="LZL27" s="609"/>
      <c r="LZM27" s="609"/>
      <c r="LZN27" s="609"/>
      <c r="LZO27" s="609"/>
      <c r="LZP27" s="609"/>
      <c r="LZQ27" s="609"/>
      <c r="LZR27" s="609"/>
      <c r="LZS27" s="609"/>
      <c r="LZT27" s="609"/>
      <c r="LZU27" s="609"/>
      <c r="LZV27" s="609"/>
      <c r="LZW27" s="609"/>
      <c r="LZX27" s="609"/>
      <c r="LZY27" s="609"/>
      <c r="LZZ27" s="609"/>
      <c r="MAA27" s="609"/>
      <c r="MAB27" s="609"/>
      <c r="MAC27" s="609"/>
      <c r="MAD27" s="609"/>
      <c r="MAE27" s="609"/>
      <c r="MAF27" s="609"/>
      <c r="MAG27" s="609"/>
      <c r="MAH27" s="609"/>
      <c r="MAI27" s="609"/>
      <c r="MAJ27" s="609"/>
      <c r="MAK27" s="609"/>
      <c r="MAL27" s="609"/>
      <c r="MAM27" s="609"/>
      <c r="MAN27" s="609"/>
      <c r="MAO27" s="609"/>
      <c r="MAP27" s="609"/>
      <c r="MAQ27" s="609"/>
      <c r="MAR27" s="609"/>
      <c r="MAS27" s="609"/>
      <c r="MAT27" s="609"/>
      <c r="MAU27" s="609"/>
      <c r="MAV27" s="609"/>
      <c r="MAW27" s="609"/>
      <c r="MAX27" s="609"/>
      <c r="MAY27" s="609"/>
      <c r="MAZ27" s="609"/>
      <c r="MBA27" s="609"/>
      <c r="MBB27" s="609"/>
      <c r="MBC27" s="609"/>
      <c r="MBD27" s="609"/>
      <c r="MBE27" s="609"/>
      <c r="MBF27" s="609"/>
      <c r="MBG27" s="609"/>
      <c r="MBH27" s="609"/>
      <c r="MBI27" s="609"/>
      <c r="MBJ27" s="609"/>
      <c r="MBK27" s="609"/>
      <c r="MBL27" s="609"/>
      <c r="MBM27" s="609"/>
      <c r="MBN27" s="609"/>
      <c r="MBO27" s="609"/>
      <c r="MBP27" s="609"/>
      <c r="MBQ27" s="609"/>
      <c r="MBR27" s="609"/>
      <c r="MBS27" s="609"/>
      <c r="MBT27" s="609"/>
      <c r="MBU27" s="609"/>
      <c r="MBV27" s="609"/>
      <c r="MBW27" s="609"/>
      <c r="MBX27" s="609"/>
      <c r="MBY27" s="609"/>
      <c r="MBZ27" s="609"/>
      <c r="MCA27" s="609"/>
      <c r="MCB27" s="609"/>
      <c r="MCC27" s="609"/>
      <c r="MCD27" s="609"/>
      <c r="MCE27" s="609"/>
      <c r="MCF27" s="609"/>
      <c r="MCG27" s="609"/>
      <c r="MCH27" s="609"/>
      <c r="MCI27" s="609"/>
      <c r="MCJ27" s="609"/>
      <c r="MCK27" s="609"/>
      <c r="MCL27" s="609"/>
      <c r="MCM27" s="609"/>
      <c r="MCN27" s="609"/>
      <c r="MCO27" s="609"/>
      <c r="MCP27" s="609"/>
      <c r="MCQ27" s="609"/>
      <c r="MCR27" s="609"/>
      <c r="MCS27" s="609"/>
      <c r="MCT27" s="609"/>
      <c r="MCU27" s="609"/>
      <c r="MCV27" s="609"/>
      <c r="MCW27" s="609"/>
      <c r="MCX27" s="609"/>
      <c r="MCY27" s="609"/>
      <c r="MCZ27" s="609"/>
      <c r="MDA27" s="609"/>
      <c r="MDB27" s="609"/>
      <c r="MDC27" s="609"/>
      <c r="MDD27" s="609"/>
      <c r="MDE27" s="609"/>
      <c r="MDF27" s="609"/>
      <c r="MDG27" s="609"/>
      <c r="MDH27" s="609"/>
      <c r="MDI27" s="609"/>
      <c r="MDJ27" s="609"/>
      <c r="MDK27" s="609"/>
      <c r="MDL27" s="609"/>
      <c r="MDM27" s="609"/>
      <c r="MDN27" s="609"/>
      <c r="MDO27" s="609"/>
      <c r="MDP27" s="609"/>
      <c r="MDQ27" s="609"/>
      <c r="MDR27" s="609"/>
      <c r="MDS27" s="609"/>
      <c r="MDT27" s="609"/>
      <c r="MDU27" s="609"/>
      <c r="MDV27" s="609"/>
      <c r="MDW27" s="609"/>
      <c r="MDX27" s="609"/>
      <c r="MDY27" s="609"/>
      <c r="MDZ27" s="609"/>
      <c r="MEA27" s="609"/>
      <c r="MEB27" s="609"/>
      <c r="MEC27" s="609"/>
      <c r="MED27" s="609"/>
      <c r="MEE27" s="609"/>
      <c r="MEF27" s="609"/>
      <c r="MEG27" s="609"/>
      <c r="MEH27" s="609"/>
      <c r="MEI27" s="609"/>
      <c r="MEJ27" s="609"/>
      <c r="MEK27" s="609"/>
      <c r="MEL27" s="609"/>
      <c r="MEM27" s="609"/>
      <c r="MEN27" s="609"/>
      <c r="MEO27" s="609"/>
      <c r="MEP27" s="609"/>
      <c r="MEQ27" s="609"/>
      <c r="MER27" s="609"/>
      <c r="MES27" s="609"/>
      <c r="MET27" s="609"/>
      <c r="MEU27" s="609"/>
      <c r="MEV27" s="609"/>
      <c r="MEW27" s="609"/>
      <c r="MEX27" s="609"/>
      <c r="MEY27" s="609"/>
      <c r="MEZ27" s="609"/>
      <c r="MFA27" s="609"/>
      <c r="MFB27" s="609"/>
      <c r="MFC27" s="609"/>
      <c r="MFD27" s="609"/>
      <c r="MFE27" s="609"/>
      <c r="MFF27" s="609"/>
      <c r="MFG27" s="609"/>
      <c r="MFH27" s="609"/>
      <c r="MFI27" s="609"/>
      <c r="MFJ27" s="609"/>
      <c r="MFK27" s="609"/>
      <c r="MFL27" s="609"/>
      <c r="MFM27" s="609"/>
      <c r="MFN27" s="609"/>
      <c r="MFO27" s="609"/>
      <c r="MFP27" s="609"/>
      <c r="MFQ27" s="609"/>
      <c r="MFR27" s="609"/>
      <c r="MFS27" s="609"/>
      <c r="MFT27" s="609"/>
      <c r="MFU27" s="609"/>
      <c r="MFV27" s="609"/>
      <c r="MFW27" s="609"/>
      <c r="MFX27" s="609"/>
      <c r="MFY27" s="609"/>
      <c r="MFZ27" s="609"/>
      <c r="MGA27" s="609"/>
      <c r="MGB27" s="609"/>
      <c r="MGC27" s="609"/>
      <c r="MGD27" s="609"/>
      <c r="MGE27" s="609"/>
      <c r="MGF27" s="609"/>
      <c r="MGG27" s="609"/>
      <c r="MGH27" s="609"/>
      <c r="MGI27" s="609"/>
      <c r="MGJ27" s="609"/>
      <c r="MGK27" s="609"/>
      <c r="MGL27" s="609"/>
      <c r="MGM27" s="609"/>
      <c r="MGN27" s="609"/>
      <c r="MGO27" s="609"/>
      <c r="MGP27" s="609"/>
      <c r="MGQ27" s="609"/>
      <c r="MGR27" s="609"/>
      <c r="MGS27" s="609"/>
      <c r="MGT27" s="609"/>
      <c r="MGU27" s="609"/>
      <c r="MGV27" s="609"/>
      <c r="MGW27" s="609"/>
      <c r="MGX27" s="609"/>
      <c r="MGY27" s="609"/>
      <c r="MGZ27" s="609"/>
      <c r="MHA27" s="609"/>
      <c r="MHB27" s="609"/>
      <c r="MHC27" s="609"/>
      <c r="MHD27" s="609"/>
      <c r="MHE27" s="609"/>
      <c r="MHF27" s="609"/>
      <c r="MHG27" s="609"/>
      <c r="MHH27" s="609"/>
      <c r="MHI27" s="609"/>
      <c r="MHJ27" s="609"/>
      <c r="MHK27" s="609"/>
      <c r="MHL27" s="609"/>
      <c r="MHM27" s="609"/>
      <c r="MHN27" s="609"/>
      <c r="MHO27" s="609"/>
      <c r="MHP27" s="609"/>
      <c r="MHQ27" s="609"/>
      <c r="MHR27" s="609"/>
      <c r="MHS27" s="609"/>
      <c r="MHT27" s="609"/>
      <c r="MHU27" s="609"/>
      <c r="MHV27" s="609"/>
      <c r="MHW27" s="609"/>
      <c r="MHX27" s="609"/>
      <c r="MHY27" s="609"/>
      <c r="MHZ27" s="609"/>
      <c r="MIA27" s="609"/>
      <c r="MIB27" s="609"/>
      <c r="MIC27" s="609"/>
      <c r="MID27" s="609"/>
      <c r="MIE27" s="609"/>
      <c r="MIF27" s="609"/>
      <c r="MIG27" s="609"/>
      <c r="MIH27" s="609"/>
      <c r="MII27" s="609"/>
      <c r="MIJ27" s="609"/>
      <c r="MIK27" s="609"/>
      <c r="MIL27" s="609"/>
      <c r="MIM27" s="609"/>
      <c r="MIN27" s="609"/>
      <c r="MIO27" s="609"/>
      <c r="MIP27" s="609"/>
      <c r="MIQ27" s="609"/>
      <c r="MIR27" s="609"/>
      <c r="MIS27" s="609"/>
      <c r="MIT27" s="609"/>
      <c r="MIU27" s="609"/>
      <c r="MIV27" s="609"/>
      <c r="MIW27" s="609"/>
      <c r="MIX27" s="609"/>
      <c r="MIY27" s="609"/>
      <c r="MIZ27" s="609"/>
      <c r="MJA27" s="609"/>
      <c r="MJB27" s="609"/>
      <c r="MJC27" s="609"/>
      <c r="MJD27" s="609"/>
      <c r="MJE27" s="609"/>
      <c r="MJF27" s="609"/>
      <c r="MJG27" s="609"/>
      <c r="MJH27" s="609"/>
      <c r="MJI27" s="609"/>
      <c r="MJJ27" s="609"/>
      <c r="MJK27" s="609"/>
      <c r="MJL27" s="609"/>
      <c r="MJM27" s="609"/>
      <c r="MJN27" s="609"/>
      <c r="MJO27" s="609"/>
      <c r="MJP27" s="609"/>
      <c r="MJQ27" s="609"/>
      <c r="MJR27" s="609"/>
      <c r="MJS27" s="609"/>
      <c r="MJT27" s="609"/>
      <c r="MJU27" s="609"/>
      <c r="MJV27" s="609"/>
      <c r="MJW27" s="609"/>
      <c r="MJX27" s="609"/>
      <c r="MJY27" s="609"/>
      <c r="MJZ27" s="609"/>
      <c r="MKA27" s="609"/>
      <c r="MKB27" s="609"/>
      <c r="MKC27" s="609"/>
      <c r="MKD27" s="609"/>
      <c r="MKE27" s="609"/>
      <c r="MKF27" s="609"/>
      <c r="MKG27" s="609"/>
      <c r="MKH27" s="609"/>
      <c r="MKI27" s="609"/>
      <c r="MKJ27" s="609"/>
      <c r="MKK27" s="609"/>
      <c r="MKL27" s="609"/>
      <c r="MKM27" s="609"/>
      <c r="MKN27" s="609"/>
      <c r="MKO27" s="609"/>
      <c r="MKP27" s="609"/>
      <c r="MKQ27" s="609"/>
      <c r="MKR27" s="609"/>
      <c r="MKS27" s="609"/>
      <c r="MKT27" s="609"/>
      <c r="MKU27" s="609"/>
      <c r="MKV27" s="609"/>
      <c r="MKW27" s="609"/>
      <c r="MKX27" s="609"/>
      <c r="MKY27" s="609"/>
      <c r="MKZ27" s="609"/>
      <c r="MLA27" s="609"/>
      <c r="MLB27" s="609"/>
      <c r="MLC27" s="609"/>
      <c r="MLD27" s="609"/>
      <c r="MLE27" s="609"/>
      <c r="MLF27" s="609"/>
      <c r="MLG27" s="609"/>
      <c r="MLH27" s="609"/>
      <c r="MLI27" s="609"/>
      <c r="MLJ27" s="609"/>
      <c r="MLK27" s="609"/>
      <c r="MLL27" s="609"/>
      <c r="MLM27" s="609"/>
      <c r="MLN27" s="609"/>
      <c r="MLO27" s="609"/>
      <c r="MLP27" s="609"/>
      <c r="MLQ27" s="609"/>
      <c r="MLR27" s="609"/>
      <c r="MLS27" s="609"/>
      <c r="MLT27" s="609"/>
      <c r="MLU27" s="609"/>
      <c r="MLV27" s="609"/>
      <c r="MLW27" s="609"/>
      <c r="MLX27" s="609"/>
      <c r="MLY27" s="609"/>
      <c r="MLZ27" s="609"/>
      <c r="MMA27" s="609"/>
      <c r="MMB27" s="609"/>
      <c r="MMC27" s="609"/>
      <c r="MMD27" s="609"/>
      <c r="MME27" s="609"/>
      <c r="MMF27" s="609"/>
      <c r="MMG27" s="609"/>
      <c r="MMH27" s="609"/>
      <c r="MMI27" s="609"/>
      <c r="MMJ27" s="609"/>
      <c r="MMK27" s="609"/>
      <c r="MML27" s="609"/>
      <c r="MMM27" s="609"/>
      <c r="MMN27" s="609"/>
      <c r="MMO27" s="609"/>
      <c r="MMP27" s="609"/>
      <c r="MMQ27" s="609"/>
      <c r="MMR27" s="609"/>
      <c r="MMS27" s="609"/>
      <c r="MMT27" s="609"/>
      <c r="MMU27" s="609"/>
      <c r="MMV27" s="609"/>
      <c r="MMW27" s="609"/>
      <c r="MMX27" s="609"/>
      <c r="MMY27" s="609"/>
      <c r="MMZ27" s="609"/>
      <c r="MNA27" s="609"/>
      <c r="MNB27" s="609"/>
      <c r="MNC27" s="609"/>
      <c r="MND27" s="609"/>
      <c r="MNE27" s="609"/>
      <c r="MNF27" s="609"/>
      <c r="MNG27" s="609"/>
      <c r="MNH27" s="609"/>
      <c r="MNI27" s="609"/>
      <c r="MNJ27" s="609"/>
      <c r="MNK27" s="609"/>
      <c r="MNL27" s="609"/>
      <c r="MNM27" s="609"/>
      <c r="MNN27" s="609"/>
      <c r="MNO27" s="609"/>
      <c r="MNP27" s="609"/>
      <c r="MNQ27" s="609"/>
      <c r="MNR27" s="609"/>
      <c r="MNS27" s="609"/>
      <c r="MNT27" s="609"/>
      <c r="MNU27" s="609"/>
      <c r="MNV27" s="609"/>
      <c r="MNW27" s="609"/>
      <c r="MNX27" s="609"/>
      <c r="MNY27" s="609"/>
      <c r="MNZ27" s="609"/>
      <c r="MOA27" s="609"/>
      <c r="MOB27" s="609"/>
      <c r="MOC27" s="609"/>
      <c r="MOD27" s="609"/>
      <c r="MOE27" s="609"/>
      <c r="MOF27" s="609"/>
      <c r="MOG27" s="609"/>
      <c r="MOH27" s="609"/>
      <c r="MOI27" s="609"/>
      <c r="MOJ27" s="609"/>
      <c r="MOK27" s="609"/>
      <c r="MOL27" s="609"/>
      <c r="MOM27" s="609"/>
      <c r="MON27" s="609"/>
      <c r="MOO27" s="609"/>
      <c r="MOP27" s="609"/>
      <c r="MOQ27" s="609"/>
      <c r="MOR27" s="609"/>
      <c r="MOS27" s="609"/>
      <c r="MOT27" s="609"/>
      <c r="MOU27" s="609"/>
      <c r="MOV27" s="609"/>
      <c r="MOW27" s="609"/>
      <c r="MOX27" s="609"/>
      <c r="MOY27" s="609"/>
      <c r="MOZ27" s="609"/>
      <c r="MPA27" s="609"/>
      <c r="MPB27" s="609"/>
      <c r="MPC27" s="609"/>
      <c r="MPD27" s="609"/>
      <c r="MPE27" s="609"/>
      <c r="MPF27" s="609"/>
      <c r="MPG27" s="609"/>
      <c r="MPH27" s="609"/>
      <c r="MPI27" s="609"/>
      <c r="MPJ27" s="609"/>
      <c r="MPK27" s="609"/>
      <c r="MPL27" s="609"/>
      <c r="MPM27" s="609"/>
      <c r="MPN27" s="609"/>
      <c r="MPO27" s="609"/>
      <c r="MPP27" s="609"/>
      <c r="MPQ27" s="609"/>
      <c r="MPR27" s="609"/>
      <c r="MPS27" s="609"/>
      <c r="MPT27" s="609"/>
      <c r="MPU27" s="609"/>
      <c r="MPV27" s="609"/>
      <c r="MPW27" s="609"/>
      <c r="MPX27" s="609"/>
      <c r="MPY27" s="609"/>
      <c r="MPZ27" s="609"/>
      <c r="MQA27" s="609"/>
      <c r="MQB27" s="609"/>
      <c r="MQC27" s="609"/>
      <c r="MQD27" s="609"/>
      <c r="MQE27" s="609"/>
      <c r="MQF27" s="609"/>
      <c r="MQG27" s="609"/>
      <c r="MQH27" s="609"/>
      <c r="MQI27" s="609"/>
      <c r="MQJ27" s="609"/>
      <c r="MQK27" s="609"/>
      <c r="MQL27" s="609"/>
      <c r="MQM27" s="609"/>
      <c r="MQN27" s="609"/>
      <c r="MQO27" s="609"/>
      <c r="MQP27" s="609"/>
      <c r="MQQ27" s="609"/>
      <c r="MQR27" s="609"/>
      <c r="MQS27" s="609"/>
      <c r="MQT27" s="609"/>
      <c r="MQU27" s="609"/>
      <c r="MQV27" s="609"/>
      <c r="MQW27" s="609"/>
      <c r="MQX27" s="609"/>
      <c r="MQY27" s="609"/>
      <c r="MQZ27" s="609"/>
      <c r="MRA27" s="609"/>
      <c r="MRB27" s="609"/>
      <c r="MRC27" s="609"/>
      <c r="MRD27" s="609"/>
      <c r="MRE27" s="609"/>
      <c r="MRF27" s="609"/>
      <c r="MRG27" s="609"/>
      <c r="MRH27" s="609"/>
      <c r="MRI27" s="609"/>
      <c r="MRJ27" s="609"/>
      <c r="MRK27" s="609"/>
      <c r="MRL27" s="609"/>
      <c r="MRM27" s="609"/>
      <c r="MRN27" s="609"/>
      <c r="MRO27" s="609"/>
      <c r="MRP27" s="609"/>
      <c r="MRQ27" s="609"/>
      <c r="MRR27" s="609"/>
      <c r="MRS27" s="609"/>
      <c r="MRT27" s="609"/>
      <c r="MRU27" s="609"/>
      <c r="MRV27" s="609"/>
      <c r="MRW27" s="609"/>
      <c r="MRX27" s="609"/>
      <c r="MRY27" s="609"/>
      <c r="MRZ27" s="609"/>
      <c r="MSA27" s="609"/>
      <c r="MSB27" s="609"/>
      <c r="MSC27" s="609"/>
      <c r="MSD27" s="609"/>
      <c r="MSE27" s="609"/>
      <c r="MSF27" s="609"/>
      <c r="MSG27" s="609"/>
      <c r="MSH27" s="609"/>
      <c r="MSI27" s="609"/>
      <c r="MSJ27" s="609"/>
      <c r="MSK27" s="609"/>
      <c r="MSL27" s="609"/>
      <c r="MSM27" s="609"/>
      <c r="MSN27" s="609"/>
      <c r="MSO27" s="609"/>
      <c r="MSP27" s="609"/>
      <c r="MSQ27" s="609"/>
      <c r="MSR27" s="609"/>
      <c r="MSS27" s="609"/>
      <c r="MST27" s="609"/>
      <c r="MSU27" s="609"/>
      <c r="MSV27" s="609"/>
      <c r="MSW27" s="609"/>
      <c r="MSX27" s="609"/>
      <c r="MSY27" s="609"/>
      <c r="MSZ27" s="609"/>
      <c r="MTA27" s="609"/>
      <c r="MTB27" s="609"/>
      <c r="MTC27" s="609"/>
      <c r="MTD27" s="609"/>
      <c r="MTE27" s="609"/>
      <c r="MTF27" s="609"/>
      <c r="MTG27" s="609"/>
      <c r="MTH27" s="609"/>
      <c r="MTI27" s="609"/>
      <c r="MTJ27" s="609"/>
      <c r="MTK27" s="609"/>
      <c r="MTL27" s="609"/>
      <c r="MTM27" s="609"/>
      <c r="MTN27" s="609"/>
      <c r="MTO27" s="609"/>
      <c r="MTP27" s="609"/>
      <c r="MTQ27" s="609"/>
      <c r="MTR27" s="609"/>
      <c r="MTS27" s="609"/>
      <c r="MTT27" s="609"/>
      <c r="MTU27" s="609"/>
      <c r="MTV27" s="609"/>
      <c r="MTW27" s="609"/>
      <c r="MTX27" s="609"/>
      <c r="MTY27" s="609"/>
      <c r="MTZ27" s="609"/>
      <c r="MUA27" s="609"/>
      <c r="MUB27" s="609"/>
      <c r="MUC27" s="609"/>
      <c r="MUD27" s="609"/>
      <c r="MUE27" s="609"/>
      <c r="MUF27" s="609"/>
      <c r="MUG27" s="609"/>
      <c r="MUH27" s="609"/>
      <c r="MUI27" s="609"/>
      <c r="MUJ27" s="609"/>
      <c r="MUK27" s="609"/>
      <c r="MUL27" s="609"/>
      <c r="MUM27" s="609"/>
      <c r="MUN27" s="609"/>
      <c r="MUO27" s="609"/>
      <c r="MUP27" s="609"/>
      <c r="MUQ27" s="609"/>
      <c r="MUR27" s="609"/>
      <c r="MUS27" s="609"/>
      <c r="MUT27" s="609"/>
      <c r="MUU27" s="609"/>
      <c r="MUV27" s="609"/>
      <c r="MUW27" s="609"/>
      <c r="MUX27" s="609"/>
      <c r="MUY27" s="609"/>
      <c r="MUZ27" s="609"/>
      <c r="MVA27" s="609"/>
      <c r="MVB27" s="609"/>
      <c r="MVC27" s="609"/>
      <c r="MVD27" s="609"/>
      <c r="MVE27" s="609"/>
      <c r="MVF27" s="609"/>
      <c r="MVG27" s="609"/>
      <c r="MVH27" s="609"/>
      <c r="MVI27" s="609"/>
      <c r="MVJ27" s="609"/>
      <c r="MVK27" s="609"/>
      <c r="MVL27" s="609"/>
      <c r="MVM27" s="609"/>
      <c r="MVN27" s="609"/>
      <c r="MVO27" s="609"/>
      <c r="MVP27" s="609"/>
      <c r="MVQ27" s="609"/>
      <c r="MVR27" s="609"/>
      <c r="MVS27" s="609"/>
      <c r="MVT27" s="609"/>
      <c r="MVU27" s="609"/>
      <c r="MVV27" s="609"/>
      <c r="MVW27" s="609"/>
      <c r="MVX27" s="609"/>
      <c r="MVY27" s="609"/>
      <c r="MVZ27" s="609"/>
      <c r="MWA27" s="609"/>
      <c r="MWB27" s="609"/>
      <c r="MWC27" s="609"/>
      <c r="MWD27" s="609"/>
      <c r="MWE27" s="609"/>
      <c r="MWF27" s="609"/>
      <c r="MWG27" s="609"/>
      <c r="MWH27" s="609"/>
      <c r="MWI27" s="609"/>
      <c r="MWJ27" s="609"/>
      <c r="MWK27" s="609"/>
      <c r="MWL27" s="609"/>
      <c r="MWM27" s="609"/>
      <c r="MWN27" s="609"/>
      <c r="MWO27" s="609"/>
      <c r="MWP27" s="609"/>
      <c r="MWQ27" s="609"/>
      <c r="MWR27" s="609"/>
      <c r="MWS27" s="609"/>
      <c r="MWT27" s="609"/>
      <c r="MWU27" s="609"/>
      <c r="MWV27" s="609"/>
      <c r="MWW27" s="609"/>
      <c r="MWX27" s="609"/>
      <c r="MWY27" s="609"/>
      <c r="MWZ27" s="609"/>
      <c r="MXA27" s="609"/>
      <c r="MXB27" s="609"/>
      <c r="MXC27" s="609"/>
      <c r="MXD27" s="609"/>
      <c r="MXE27" s="609"/>
      <c r="MXF27" s="609"/>
      <c r="MXG27" s="609"/>
      <c r="MXH27" s="609"/>
      <c r="MXI27" s="609"/>
      <c r="MXJ27" s="609"/>
      <c r="MXK27" s="609"/>
      <c r="MXL27" s="609"/>
      <c r="MXM27" s="609"/>
      <c r="MXN27" s="609"/>
      <c r="MXO27" s="609"/>
      <c r="MXP27" s="609"/>
      <c r="MXQ27" s="609"/>
      <c r="MXR27" s="609"/>
      <c r="MXS27" s="609"/>
      <c r="MXT27" s="609"/>
      <c r="MXU27" s="609"/>
      <c r="MXV27" s="609"/>
      <c r="MXW27" s="609"/>
      <c r="MXX27" s="609"/>
      <c r="MXY27" s="609"/>
      <c r="MXZ27" s="609"/>
      <c r="MYA27" s="609"/>
      <c r="MYB27" s="609"/>
      <c r="MYC27" s="609"/>
      <c r="MYD27" s="609"/>
      <c r="MYE27" s="609"/>
      <c r="MYF27" s="609"/>
      <c r="MYG27" s="609"/>
      <c r="MYH27" s="609"/>
      <c r="MYI27" s="609"/>
      <c r="MYJ27" s="609"/>
      <c r="MYK27" s="609"/>
      <c r="MYL27" s="609"/>
      <c r="MYM27" s="609"/>
      <c r="MYN27" s="609"/>
      <c r="MYO27" s="609"/>
      <c r="MYP27" s="609"/>
      <c r="MYQ27" s="609"/>
      <c r="MYR27" s="609"/>
      <c r="MYS27" s="609"/>
      <c r="MYT27" s="609"/>
      <c r="MYU27" s="609"/>
      <c r="MYV27" s="609"/>
      <c r="MYW27" s="609"/>
      <c r="MYX27" s="609"/>
      <c r="MYY27" s="609"/>
      <c r="MYZ27" s="609"/>
      <c r="MZA27" s="609"/>
      <c r="MZB27" s="609"/>
      <c r="MZC27" s="609"/>
      <c r="MZD27" s="609"/>
      <c r="MZE27" s="609"/>
      <c r="MZF27" s="609"/>
      <c r="MZG27" s="609"/>
      <c r="MZH27" s="609"/>
      <c r="MZI27" s="609"/>
      <c r="MZJ27" s="609"/>
      <c r="MZK27" s="609"/>
      <c r="MZL27" s="609"/>
      <c r="MZM27" s="609"/>
      <c r="MZN27" s="609"/>
      <c r="MZO27" s="609"/>
      <c r="MZP27" s="609"/>
      <c r="MZQ27" s="609"/>
      <c r="MZR27" s="609"/>
      <c r="MZS27" s="609"/>
      <c r="MZT27" s="609"/>
      <c r="MZU27" s="609"/>
      <c r="MZV27" s="609"/>
      <c r="MZW27" s="609"/>
      <c r="MZX27" s="609"/>
      <c r="MZY27" s="609"/>
      <c r="MZZ27" s="609"/>
      <c r="NAA27" s="609"/>
      <c r="NAB27" s="609"/>
      <c r="NAC27" s="609"/>
      <c r="NAD27" s="609"/>
      <c r="NAE27" s="609"/>
      <c r="NAF27" s="609"/>
      <c r="NAG27" s="609"/>
      <c r="NAH27" s="609"/>
      <c r="NAI27" s="609"/>
      <c r="NAJ27" s="609"/>
      <c r="NAK27" s="609"/>
      <c r="NAL27" s="609"/>
      <c r="NAM27" s="609"/>
      <c r="NAN27" s="609"/>
      <c r="NAO27" s="609"/>
      <c r="NAP27" s="609"/>
      <c r="NAQ27" s="609"/>
      <c r="NAR27" s="609"/>
      <c r="NAS27" s="609"/>
      <c r="NAT27" s="609"/>
      <c r="NAU27" s="609"/>
      <c r="NAV27" s="609"/>
      <c r="NAW27" s="609"/>
      <c r="NAX27" s="609"/>
      <c r="NAY27" s="609"/>
      <c r="NAZ27" s="609"/>
      <c r="NBA27" s="609"/>
      <c r="NBB27" s="609"/>
      <c r="NBC27" s="609"/>
      <c r="NBD27" s="609"/>
      <c r="NBE27" s="609"/>
      <c r="NBF27" s="609"/>
      <c r="NBG27" s="609"/>
      <c r="NBH27" s="609"/>
      <c r="NBI27" s="609"/>
      <c r="NBJ27" s="609"/>
      <c r="NBK27" s="609"/>
      <c r="NBL27" s="609"/>
      <c r="NBM27" s="609"/>
      <c r="NBN27" s="609"/>
      <c r="NBO27" s="609"/>
      <c r="NBP27" s="609"/>
      <c r="NBQ27" s="609"/>
      <c r="NBR27" s="609"/>
      <c r="NBS27" s="609"/>
      <c r="NBT27" s="609"/>
      <c r="NBU27" s="609"/>
      <c r="NBV27" s="609"/>
      <c r="NBW27" s="609"/>
      <c r="NBX27" s="609"/>
      <c r="NBY27" s="609"/>
      <c r="NBZ27" s="609"/>
      <c r="NCA27" s="609"/>
      <c r="NCB27" s="609"/>
      <c r="NCC27" s="609"/>
      <c r="NCD27" s="609"/>
      <c r="NCE27" s="609"/>
      <c r="NCF27" s="609"/>
      <c r="NCG27" s="609"/>
      <c r="NCH27" s="609"/>
      <c r="NCI27" s="609"/>
      <c r="NCJ27" s="609"/>
      <c r="NCK27" s="609"/>
      <c r="NCL27" s="609"/>
      <c r="NCM27" s="609"/>
      <c r="NCN27" s="609"/>
      <c r="NCO27" s="609"/>
      <c r="NCP27" s="609"/>
      <c r="NCQ27" s="609"/>
      <c r="NCR27" s="609"/>
      <c r="NCS27" s="609"/>
      <c r="NCT27" s="609"/>
      <c r="NCU27" s="609"/>
      <c r="NCV27" s="609"/>
      <c r="NCW27" s="609"/>
      <c r="NCX27" s="609"/>
      <c r="NCY27" s="609"/>
      <c r="NCZ27" s="609"/>
      <c r="NDA27" s="609"/>
      <c r="NDB27" s="609"/>
      <c r="NDC27" s="609"/>
      <c r="NDD27" s="609"/>
      <c r="NDE27" s="609"/>
      <c r="NDF27" s="609"/>
      <c r="NDG27" s="609"/>
      <c r="NDH27" s="609"/>
      <c r="NDI27" s="609"/>
      <c r="NDJ27" s="609"/>
      <c r="NDK27" s="609"/>
      <c r="NDL27" s="609"/>
      <c r="NDM27" s="609"/>
      <c r="NDN27" s="609"/>
      <c r="NDO27" s="609"/>
      <c r="NDP27" s="609"/>
      <c r="NDQ27" s="609"/>
      <c r="NDR27" s="609"/>
      <c r="NDS27" s="609"/>
      <c r="NDT27" s="609"/>
      <c r="NDU27" s="609"/>
      <c r="NDV27" s="609"/>
      <c r="NDW27" s="609"/>
      <c r="NDX27" s="609"/>
      <c r="NDY27" s="609"/>
      <c r="NDZ27" s="609"/>
      <c r="NEA27" s="609"/>
      <c r="NEB27" s="609"/>
      <c r="NEC27" s="609"/>
      <c r="NED27" s="609"/>
      <c r="NEE27" s="609"/>
      <c r="NEF27" s="609"/>
      <c r="NEG27" s="609"/>
      <c r="NEH27" s="609"/>
      <c r="NEI27" s="609"/>
      <c r="NEJ27" s="609"/>
      <c r="NEK27" s="609"/>
      <c r="NEL27" s="609"/>
      <c r="NEM27" s="609"/>
      <c r="NEN27" s="609"/>
      <c r="NEO27" s="609"/>
      <c r="NEP27" s="609"/>
      <c r="NEQ27" s="609"/>
      <c r="NER27" s="609"/>
      <c r="NES27" s="609"/>
      <c r="NET27" s="609"/>
      <c r="NEU27" s="609"/>
      <c r="NEV27" s="609"/>
      <c r="NEW27" s="609"/>
      <c r="NEX27" s="609"/>
      <c r="NEY27" s="609"/>
      <c r="NEZ27" s="609"/>
      <c r="NFA27" s="609"/>
      <c r="NFB27" s="609"/>
      <c r="NFC27" s="609"/>
      <c r="NFD27" s="609"/>
      <c r="NFE27" s="609"/>
      <c r="NFF27" s="609"/>
      <c r="NFG27" s="609"/>
      <c r="NFH27" s="609"/>
      <c r="NFI27" s="609"/>
      <c r="NFJ27" s="609"/>
      <c r="NFK27" s="609"/>
      <c r="NFL27" s="609"/>
      <c r="NFM27" s="609"/>
      <c r="NFN27" s="609"/>
      <c r="NFO27" s="609"/>
      <c r="NFP27" s="609"/>
      <c r="NFQ27" s="609"/>
      <c r="NFR27" s="609"/>
      <c r="NFS27" s="609"/>
      <c r="NFT27" s="609"/>
      <c r="NFU27" s="609"/>
      <c r="NFV27" s="609"/>
      <c r="NFW27" s="609"/>
      <c r="NFX27" s="609"/>
      <c r="NFY27" s="609"/>
      <c r="NFZ27" s="609"/>
      <c r="NGA27" s="609"/>
      <c r="NGB27" s="609"/>
      <c r="NGC27" s="609"/>
      <c r="NGD27" s="609"/>
      <c r="NGE27" s="609"/>
      <c r="NGF27" s="609"/>
      <c r="NGG27" s="609"/>
      <c r="NGH27" s="609"/>
      <c r="NGI27" s="609"/>
      <c r="NGJ27" s="609"/>
      <c r="NGK27" s="609"/>
      <c r="NGL27" s="609"/>
      <c r="NGM27" s="609"/>
      <c r="NGN27" s="609"/>
      <c r="NGO27" s="609"/>
      <c r="NGP27" s="609"/>
      <c r="NGQ27" s="609"/>
      <c r="NGR27" s="609"/>
      <c r="NGS27" s="609"/>
      <c r="NGT27" s="609"/>
      <c r="NGU27" s="609"/>
      <c r="NGV27" s="609"/>
      <c r="NGW27" s="609"/>
      <c r="NGX27" s="609"/>
      <c r="NGY27" s="609"/>
      <c r="NGZ27" s="609"/>
      <c r="NHA27" s="609"/>
      <c r="NHB27" s="609"/>
      <c r="NHC27" s="609"/>
      <c r="NHD27" s="609"/>
      <c r="NHE27" s="609"/>
      <c r="NHF27" s="609"/>
      <c r="NHG27" s="609"/>
      <c r="NHH27" s="609"/>
      <c r="NHI27" s="609"/>
      <c r="NHJ27" s="609"/>
      <c r="NHK27" s="609"/>
      <c r="NHL27" s="609"/>
      <c r="NHM27" s="609"/>
      <c r="NHN27" s="609"/>
      <c r="NHO27" s="609"/>
      <c r="NHP27" s="609"/>
      <c r="NHQ27" s="609"/>
      <c r="NHR27" s="609"/>
      <c r="NHS27" s="609"/>
      <c r="NHT27" s="609"/>
      <c r="NHU27" s="609"/>
      <c r="NHV27" s="609"/>
      <c r="NHW27" s="609"/>
      <c r="NHX27" s="609"/>
      <c r="NHY27" s="609"/>
      <c r="NHZ27" s="609"/>
      <c r="NIA27" s="609"/>
      <c r="NIB27" s="609"/>
      <c r="NIC27" s="609"/>
      <c r="NID27" s="609"/>
      <c r="NIE27" s="609"/>
      <c r="NIF27" s="609"/>
      <c r="NIG27" s="609"/>
      <c r="NIH27" s="609"/>
      <c r="NII27" s="609"/>
      <c r="NIJ27" s="609"/>
      <c r="NIK27" s="609"/>
      <c r="NIL27" s="609"/>
      <c r="NIM27" s="609"/>
      <c r="NIN27" s="609"/>
      <c r="NIO27" s="609"/>
      <c r="NIP27" s="609"/>
      <c r="NIQ27" s="609"/>
      <c r="NIR27" s="609"/>
      <c r="NIS27" s="609"/>
      <c r="NIT27" s="609"/>
      <c r="NIU27" s="609"/>
      <c r="NIV27" s="609"/>
      <c r="NIW27" s="609"/>
      <c r="NIX27" s="609"/>
      <c r="NIY27" s="609"/>
      <c r="NIZ27" s="609"/>
      <c r="NJA27" s="609"/>
      <c r="NJB27" s="609"/>
      <c r="NJC27" s="609"/>
      <c r="NJD27" s="609"/>
      <c r="NJE27" s="609"/>
      <c r="NJF27" s="609"/>
      <c r="NJG27" s="609"/>
      <c r="NJH27" s="609"/>
      <c r="NJI27" s="609"/>
      <c r="NJJ27" s="609"/>
      <c r="NJK27" s="609"/>
      <c r="NJL27" s="609"/>
      <c r="NJM27" s="609"/>
      <c r="NJN27" s="609"/>
      <c r="NJO27" s="609"/>
      <c r="NJP27" s="609"/>
      <c r="NJQ27" s="609"/>
      <c r="NJR27" s="609"/>
      <c r="NJS27" s="609"/>
      <c r="NJT27" s="609"/>
      <c r="NJU27" s="609"/>
      <c r="NJV27" s="609"/>
      <c r="NJW27" s="609"/>
      <c r="NJX27" s="609"/>
      <c r="NJY27" s="609"/>
      <c r="NJZ27" s="609"/>
      <c r="NKA27" s="609"/>
      <c r="NKB27" s="609"/>
      <c r="NKC27" s="609"/>
      <c r="NKD27" s="609"/>
      <c r="NKE27" s="609"/>
      <c r="NKF27" s="609"/>
      <c r="NKG27" s="609"/>
      <c r="NKH27" s="609"/>
      <c r="NKI27" s="609"/>
      <c r="NKJ27" s="609"/>
      <c r="NKK27" s="609"/>
      <c r="NKL27" s="609"/>
      <c r="NKM27" s="609"/>
      <c r="NKN27" s="609"/>
      <c r="NKO27" s="609"/>
      <c r="NKP27" s="609"/>
      <c r="NKQ27" s="609"/>
      <c r="NKR27" s="609"/>
      <c r="NKS27" s="609"/>
      <c r="NKT27" s="609"/>
      <c r="NKU27" s="609"/>
      <c r="NKV27" s="609"/>
      <c r="NKW27" s="609"/>
      <c r="NKX27" s="609"/>
      <c r="NKY27" s="609"/>
      <c r="NKZ27" s="609"/>
      <c r="NLA27" s="609"/>
      <c r="NLB27" s="609"/>
      <c r="NLC27" s="609"/>
      <c r="NLD27" s="609"/>
      <c r="NLE27" s="609"/>
      <c r="NLF27" s="609"/>
      <c r="NLG27" s="609"/>
      <c r="NLH27" s="609"/>
      <c r="NLI27" s="609"/>
      <c r="NLJ27" s="609"/>
      <c r="NLK27" s="609"/>
      <c r="NLL27" s="609"/>
      <c r="NLM27" s="609"/>
      <c r="NLN27" s="609"/>
      <c r="NLO27" s="609"/>
      <c r="NLP27" s="609"/>
      <c r="NLQ27" s="609"/>
      <c r="NLR27" s="609"/>
      <c r="NLS27" s="609"/>
      <c r="NLT27" s="609"/>
      <c r="NLU27" s="609"/>
      <c r="NLV27" s="609"/>
      <c r="NLW27" s="609"/>
      <c r="NLX27" s="609"/>
      <c r="NLY27" s="609"/>
      <c r="NLZ27" s="609"/>
      <c r="NMA27" s="609"/>
      <c r="NMB27" s="609"/>
      <c r="NMC27" s="609"/>
      <c r="NMD27" s="609"/>
      <c r="NME27" s="609"/>
      <c r="NMF27" s="609"/>
      <c r="NMG27" s="609"/>
      <c r="NMH27" s="609"/>
      <c r="NMI27" s="609"/>
      <c r="NMJ27" s="609"/>
      <c r="NMK27" s="609"/>
      <c r="NML27" s="609"/>
      <c r="NMM27" s="609"/>
      <c r="NMN27" s="609"/>
      <c r="NMO27" s="609"/>
      <c r="NMP27" s="609"/>
      <c r="NMQ27" s="609"/>
      <c r="NMR27" s="609"/>
      <c r="NMS27" s="609"/>
      <c r="NMT27" s="609"/>
      <c r="NMU27" s="609"/>
      <c r="NMV27" s="609"/>
      <c r="NMW27" s="609"/>
      <c r="NMX27" s="609"/>
      <c r="NMY27" s="609"/>
      <c r="NMZ27" s="609"/>
      <c r="NNA27" s="609"/>
      <c r="NNB27" s="609"/>
      <c r="NNC27" s="609"/>
      <c r="NND27" s="609"/>
      <c r="NNE27" s="609"/>
      <c r="NNF27" s="609"/>
      <c r="NNG27" s="609"/>
      <c r="NNH27" s="609"/>
      <c r="NNI27" s="609"/>
      <c r="NNJ27" s="609"/>
      <c r="NNK27" s="609"/>
      <c r="NNL27" s="609"/>
      <c r="NNM27" s="609"/>
      <c r="NNN27" s="609"/>
      <c r="NNO27" s="609"/>
      <c r="NNP27" s="609"/>
      <c r="NNQ27" s="609"/>
      <c r="NNR27" s="609"/>
      <c r="NNS27" s="609"/>
      <c r="NNT27" s="609"/>
      <c r="NNU27" s="609"/>
      <c r="NNV27" s="609"/>
      <c r="NNW27" s="609"/>
      <c r="NNX27" s="609"/>
      <c r="NNY27" s="609"/>
      <c r="NNZ27" s="609"/>
      <c r="NOA27" s="609"/>
      <c r="NOB27" s="609"/>
      <c r="NOC27" s="609"/>
      <c r="NOD27" s="609"/>
      <c r="NOE27" s="609"/>
      <c r="NOF27" s="609"/>
      <c r="NOG27" s="609"/>
      <c r="NOH27" s="609"/>
      <c r="NOI27" s="609"/>
      <c r="NOJ27" s="609"/>
      <c r="NOK27" s="609"/>
      <c r="NOL27" s="609"/>
      <c r="NOM27" s="609"/>
      <c r="NON27" s="609"/>
      <c r="NOO27" s="609"/>
      <c r="NOP27" s="609"/>
      <c r="NOQ27" s="609"/>
      <c r="NOR27" s="609"/>
      <c r="NOS27" s="609"/>
      <c r="NOT27" s="609"/>
      <c r="NOU27" s="609"/>
      <c r="NOV27" s="609"/>
      <c r="NOW27" s="609"/>
      <c r="NOX27" s="609"/>
      <c r="NOY27" s="609"/>
      <c r="NOZ27" s="609"/>
      <c r="NPA27" s="609"/>
      <c r="NPB27" s="609"/>
      <c r="NPC27" s="609"/>
      <c r="NPD27" s="609"/>
      <c r="NPE27" s="609"/>
      <c r="NPF27" s="609"/>
      <c r="NPG27" s="609"/>
      <c r="NPH27" s="609"/>
      <c r="NPI27" s="609"/>
      <c r="NPJ27" s="609"/>
      <c r="NPK27" s="609"/>
      <c r="NPL27" s="609"/>
      <c r="NPM27" s="609"/>
      <c r="NPN27" s="609"/>
      <c r="NPO27" s="609"/>
      <c r="NPP27" s="609"/>
      <c r="NPQ27" s="609"/>
      <c r="NPR27" s="609"/>
      <c r="NPS27" s="609"/>
      <c r="NPT27" s="609"/>
      <c r="NPU27" s="609"/>
      <c r="NPV27" s="609"/>
      <c r="NPW27" s="609"/>
      <c r="NPX27" s="609"/>
      <c r="NPY27" s="609"/>
      <c r="NPZ27" s="609"/>
      <c r="NQA27" s="609"/>
      <c r="NQB27" s="609"/>
      <c r="NQC27" s="609"/>
      <c r="NQD27" s="609"/>
      <c r="NQE27" s="609"/>
      <c r="NQF27" s="609"/>
      <c r="NQG27" s="609"/>
      <c r="NQH27" s="609"/>
      <c r="NQI27" s="609"/>
      <c r="NQJ27" s="609"/>
      <c r="NQK27" s="609"/>
      <c r="NQL27" s="609"/>
      <c r="NQM27" s="609"/>
      <c r="NQN27" s="609"/>
      <c r="NQO27" s="609"/>
      <c r="NQP27" s="609"/>
      <c r="NQQ27" s="609"/>
      <c r="NQR27" s="609"/>
      <c r="NQS27" s="609"/>
      <c r="NQT27" s="609"/>
      <c r="NQU27" s="609"/>
      <c r="NQV27" s="609"/>
      <c r="NQW27" s="609"/>
      <c r="NQX27" s="609"/>
      <c r="NQY27" s="609"/>
      <c r="NQZ27" s="609"/>
      <c r="NRA27" s="609"/>
      <c r="NRB27" s="609"/>
      <c r="NRC27" s="609"/>
      <c r="NRD27" s="609"/>
      <c r="NRE27" s="609"/>
      <c r="NRF27" s="609"/>
      <c r="NRG27" s="609"/>
      <c r="NRH27" s="609"/>
      <c r="NRI27" s="609"/>
      <c r="NRJ27" s="609"/>
      <c r="NRK27" s="609"/>
      <c r="NRL27" s="609"/>
      <c r="NRM27" s="609"/>
      <c r="NRN27" s="609"/>
      <c r="NRO27" s="609"/>
      <c r="NRP27" s="609"/>
      <c r="NRQ27" s="609"/>
      <c r="NRR27" s="609"/>
      <c r="NRS27" s="609"/>
      <c r="NRT27" s="609"/>
      <c r="NRU27" s="609"/>
      <c r="NRV27" s="609"/>
      <c r="NRW27" s="609"/>
      <c r="NRX27" s="609"/>
      <c r="NRY27" s="609"/>
      <c r="NRZ27" s="609"/>
      <c r="NSA27" s="609"/>
      <c r="NSB27" s="609"/>
      <c r="NSC27" s="609"/>
      <c r="NSD27" s="609"/>
      <c r="NSE27" s="609"/>
      <c r="NSF27" s="609"/>
      <c r="NSG27" s="609"/>
      <c r="NSH27" s="609"/>
      <c r="NSI27" s="609"/>
      <c r="NSJ27" s="609"/>
      <c r="NSK27" s="609"/>
      <c r="NSL27" s="609"/>
      <c r="NSM27" s="609"/>
      <c r="NSN27" s="609"/>
      <c r="NSO27" s="609"/>
      <c r="NSP27" s="609"/>
      <c r="NSQ27" s="609"/>
      <c r="NSR27" s="609"/>
      <c r="NSS27" s="609"/>
      <c r="NST27" s="609"/>
      <c r="NSU27" s="609"/>
      <c r="NSV27" s="609"/>
      <c r="NSW27" s="609"/>
      <c r="NSX27" s="609"/>
      <c r="NSY27" s="609"/>
      <c r="NSZ27" s="609"/>
      <c r="NTA27" s="609"/>
      <c r="NTB27" s="609"/>
      <c r="NTC27" s="609"/>
      <c r="NTD27" s="609"/>
      <c r="NTE27" s="609"/>
      <c r="NTF27" s="609"/>
      <c r="NTG27" s="609"/>
      <c r="NTH27" s="609"/>
      <c r="NTI27" s="609"/>
      <c r="NTJ27" s="609"/>
      <c r="NTK27" s="609"/>
      <c r="NTL27" s="609"/>
      <c r="NTM27" s="609"/>
      <c r="NTN27" s="609"/>
      <c r="NTO27" s="609"/>
      <c r="NTP27" s="609"/>
      <c r="NTQ27" s="609"/>
      <c r="NTR27" s="609"/>
      <c r="NTS27" s="609"/>
      <c r="NTT27" s="609"/>
      <c r="NTU27" s="609"/>
      <c r="NTV27" s="609"/>
      <c r="NTW27" s="609"/>
      <c r="NTX27" s="609"/>
      <c r="NTY27" s="609"/>
      <c r="NTZ27" s="609"/>
      <c r="NUA27" s="609"/>
      <c r="NUB27" s="609"/>
      <c r="NUC27" s="609"/>
      <c r="NUD27" s="609"/>
      <c r="NUE27" s="609"/>
      <c r="NUF27" s="609"/>
      <c r="NUG27" s="609"/>
      <c r="NUH27" s="609"/>
      <c r="NUI27" s="609"/>
      <c r="NUJ27" s="609"/>
      <c r="NUK27" s="609"/>
      <c r="NUL27" s="609"/>
      <c r="NUM27" s="609"/>
      <c r="NUN27" s="609"/>
      <c r="NUO27" s="609"/>
      <c r="NUP27" s="609"/>
      <c r="NUQ27" s="609"/>
      <c r="NUR27" s="609"/>
      <c r="NUS27" s="609"/>
      <c r="NUT27" s="609"/>
      <c r="NUU27" s="609"/>
      <c r="NUV27" s="609"/>
      <c r="NUW27" s="609"/>
      <c r="NUX27" s="609"/>
      <c r="NUY27" s="609"/>
      <c r="NUZ27" s="609"/>
      <c r="NVA27" s="609"/>
      <c r="NVB27" s="609"/>
      <c r="NVC27" s="609"/>
      <c r="NVD27" s="609"/>
      <c r="NVE27" s="609"/>
      <c r="NVF27" s="609"/>
      <c r="NVG27" s="609"/>
      <c r="NVH27" s="609"/>
      <c r="NVI27" s="609"/>
      <c r="NVJ27" s="609"/>
      <c r="NVK27" s="609"/>
      <c r="NVL27" s="609"/>
      <c r="NVM27" s="609"/>
      <c r="NVN27" s="609"/>
      <c r="NVO27" s="609"/>
      <c r="NVP27" s="609"/>
      <c r="NVQ27" s="609"/>
      <c r="NVR27" s="609"/>
      <c r="NVS27" s="609"/>
      <c r="NVT27" s="609"/>
      <c r="NVU27" s="609"/>
      <c r="NVV27" s="609"/>
      <c r="NVW27" s="609"/>
      <c r="NVX27" s="609"/>
      <c r="NVY27" s="609"/>
      <c r="NVZ27" s="609"/>
      <c r="NWA27" s="609"/>
      <c r="NWB27" s="609"/>
      <c r="NWC27" s="609"/>
      <c r="NWD27" s="609"/>
      <c r="NWE27" s="609"/>
      <c r="NWF27" s="609"/>
      <c r="NWG27" s="609"/>
      <c r="NWH27" s="609"/>
      <c r="NWI27" s="609"/>
      <c r="NWJ27" s="609"/>
      <c r="NWK27" s="609"/>
      <c r="NWL27" s="609"/>
      <c r="NWM27" s="609"/>
      <c r="NWN27" s="609"/>
      <c r="NWO27" s="609"/>
      <c r="NWP27" s="609"/>
      <c r="NWQ27" s="609"/>
      <c r="NWR27" s="609"/>
      <c r="NWS27" s="609"/>
      <c r="NWT27" s="609"/>
      <c r="NWU27" s="609"/>
      <c r="NWV27" s="609"/>
      <c r="NWW27" s="609"/>
      <c r="NWX27" s="609"/>
      <c r="NWY27" s="609"/>
      <c r="NWZ27" s="609"/>
      <c r="NXA27" s="609"/>
      <c r="NXB27" s="609"/>
      <c r="NXC27" s="609"/>
      <c r="NXD27" s="609"/>
      <c r="NXE27" s="609"/>
      <c r="NXF27" s="609"/>
      <c r="NXG27" s="609"/>
      <c r="NXH27" s="609"/>
      <c r="NXI27" s="609"/>
      <c r="NXJ27" s="609"/>
      <c r="NXK27" s="609"/>
      <c r="NXL27" s="609"/>
      <c r="NXM27" s="609"/>
      <c r="NXN27" s="609"/>
      <c r="NXO27" s="609"/>
      <c r="NXP27" s="609"/>
      <c r="NXQ27" s="609"/>
      <c r="NXR27" s="609"/>
      <c r="NXS27" s="609"/>
      <c r="NXT27" s="609"/>
      <c r="NXU27" s="609"/>
      <c r="NXV27" s="609"/>
      <c r="NXW27" s="609"/>
      <c r="NXX27" s="609"/>
      <c r="NXY27" s="609"/>
      <c r="NXZ27" s="609"/>
      <c r="NYA27" s="609"/>
      <c r="NYB27" s="609"/>
      <c r="NYC27" s="609"/>
      <c r="NYD27" s="609"/>
      <c r="NYE27" s="609"/>
      <c r="NYF27" s="609"/>
      <c r="NYG27" s="609"/>
      <c r="NYH27" s="609"/>
      <c r="NYI27" s="609"/>
      <c r="NYJ27" s="609"/>
      <c r="NYK27" s="609"/>
      <c r="NYL27" s="609"/>
      <c r="NYM27" s="609"/>
      <c r="NYN27" s="609"/>
      <c r="NYO27" s="609"/>
      <c r="NYP27" s="609"/>
      <c r="NYQ27" s="609"/>
      <c r="NYR27" s="609"/>
      <c r="NYS27" s="609"/>
      <c r="NYT27" s="609"/>
      <c r="NYU27" s="609"/>
      <c r="NYV27" s="609"/>
      <c r="NYW27" s="609"/>
      <c r="NYX27" s="609"/>
      <c r="NYY27" s="609"/>
      <c r="NYZ27" s="609"/>
      <c r="NZA27" s="609"/>
      <c r="NZB27" s="609"/>
      <c r="NZC27" s="609"/>
      <c r="NZD27" s="609"/>
      <c r="NZE27" s="609"/>
      <c r="NZF27" s="609"/>
      <c r="NZG27" s="609"/>
      <c r="NZH27" s="609"/>
      <c r="NZI27" s="609"/>
      <c r="NZJ27" s="609"/>
      <c r="NZK27" s="609"/>
      <c r="NZL27" s="609"/>
      <c r="NZM27" s="609"/>
      <c r="NZN27" s="609"/>
      <c r="NZO27" s="609"/>
      <c r="NZP27" s="609"/>
      <c r="NZQ27" s="609"/>
      <c r="NZR27" s="609"/>
      <c r="NZS27" s="609"/>
      <c r="NZT27" s="609"/>
      <c r="NZU27" s="609"/>
      <c r="NZV27" s="609"/>
      <c r="NZW27" s="609"/>
      <c r="NZX27" s="609"/>
      <c r="NZY27" s="609"/>
      <c r="NZZ27" s="609"/>
      <c r="OAA27" s="609"/>
      <c r="OAB27" s="609"/>
      <c r="OAC27" s="609"/>
      <c r="OAD27" s="609"/>
      <c r="OAE27" s="609"/>
      <c r="OAF27" s="609"/>
      <c r="OAG27" s="609"/>
      <c r="OAH27" s="609"/>
      <c r="OAI27" s="609"/>
      <c r="OAJ27" s="609"/>
      <c r="OAK27" s="609"/>
      <c r="OAL27" s="609"/>
      <c r="OAM27" s="609"/>
      <c r="OAN27" s="609"/>
      <c r="OAO27" s="609"/>
      <c r="OAP27" s="609"/>
      <c r="OAQ27" s="609"/>
      <c r="OAR27" s="609"/>
      <c r="OAS27" s="609"/>
      <c r="OAT27" s="609"/>
      <c r="OAU27" s="609"/>
      <c r="OAV27" s="609"/>
      <c r="OAW27" s="609"/>
      <c r="OAX27" s="609"/>
      <c r="OAY27" s="609"/>
      <c r="OAZ27" s="609"/>
      <c r="OBA27" s="609"/>
      <c r="OBB27" s="609"/>
      <c r="OBC27" s="609"/>
      <c r="OBD27" s="609"/>
      <c r="OBE27" s="609"/>
      <c r="OBF27" s="609"/>
      <c r="OBG27" s="609"/>
      <c r="OBH27" s="609"/>
      <c r="OBI27" s="609"/>
      <c r="OBJ27" s="609"/>
      <c r="OBK27" s="609"/>
      <c r="OBL27" s="609"/>
      <c r="OBM27" s="609"/>
      <c r="OBN27" s="609"/>
      <c r="OBO27" s="609"/>
      <c r="OBP27" s="609"/>
      <c r="OBQ27" s="609"/>
      <c r="OBR27" s="609"/>
      <c r="OBS27" s="609"/>
      <c r="OBT27" s="609"/>
      <c r="OBU27" s="609"/>
      <c r="OBV27" s="609"/>
      <c r="OBW27" s="609"/>
      <c r="OBX27" s="609"/>
      <c r="OBY27" s="609"/>
      <c r="OBZ27" s="609"/>
      <c r="OCA27" s="609"/>
      <c r="OCB27" s="609"/>
      <c r="OCC27" s="609"/>
      <c r="OCD27" s="609"/>
      <c r="OCE27" s="609"/>
      <c r="OCF27" s="609"/>
      <c r="OCG27" s="609"/>
      <c r="OCH27" s="609"/>
      <c r="OCI27" s="609"/>
      <c r="OCJ27" s="609"/>
      <c r="OCK27" s="609"/>
      <c r="OCL27" s="609"/>
      <c r="OCM27" s="609"/>
      <c r="OCN27" s="609"/>
      <c r="OCO27" s="609"/>
      <c r="OCP27" s="609"/>
      <c r="OCQ27" s="609"/>
      <c r="OCR27" s="609"/>
      <c r="OCS27" s="609"/>
      <c r="OCT27" s="609"/>
      <c r="OCU27" s="609"/>
      <c r="OCV27" s="609"/>
      <c r="OCW27" s="609"/>
      <c r="OCX27" s="609"/>
      <c r="OCY27" s="609"/>
      <c r="OCZ27" s="609"/>
      <c r="ODA27" s="609"/>
      <c r="ODB27" s="609"/>
      <c r="ODC27" s="609"/>
      <c r="ODD27" s="609"/>
      <c r="ODE27" s="609"/>
      <c r="ODF27" s="609"/>
      <c r="ODG27" s="609"/>
      <c r="ODH27" s="609"/>
      <c r="ODI27" s="609"/>
      <c r="ODJ27" s="609"/>
      <c r="ODK27" s="609"/>
      <c r="ODL27" s="609"/>
      <c r="ODM27" s="609"/>
      <c r="ODN27" s="609"/>
      <c r="ODO27" s="609"/>
      <c r="ODP27" s="609"/>
      <c r="ODQ27" s="609"/>
      <c r="ODR27" s="609"/>
      <c r="ODS27" s="609"/>
      <c r="ODT27" s="609"/>
      <c r="ODU27" s="609"/>
      <c r="ODV27" s="609"/>
      <c r="ODW27" s="609"/>
      <c r="ODX27" s="609"/>
      <c r="ODY27" s="609"/>
      <c r="ODZ27" s="609"/>
      <c r="OEA27" s="609"/>
      <c r="OEB27" s="609"/>
      <c r="OEC27" s="609"/>
      <c r="OED27" s="609"/>
      <c r="OEE27" s="609"/>
      <c r="OEF27" s="609"/>
      <c r="OEG27" s="609"/>
      <c r="OEH27" s="609"/>
      <c r="OEI27" s="609"/>
      <c r="OEJ27" s="609"/>
      <c r="OEK27" s="609"/>
      <c r="OEL27" s="609"/>
      <c r="OEM27" s="609"/>
      <c r="OEN27" s="609"/>
      <c r="OEO27" s="609"/>
      <c r="OEP27" s="609"/>
      <c r="OEQ27" s="609"/>
      <c r="OER27" s="609"/>
      <c r="OES27" s="609"/>
      <c r="OET27" s="609"/>
      <c r="OEU27" s="609"/>
      <c r="OEV27" s="609"/>
      <c r="OEW27" s="609"/>
      <c r="OEX27" s="609"/>
      <c r="OEY27" s="609"/>
      <c r="OEZ27" s="609"/>
      <c r="OFA27" s="609"/>
      <c r="OFB27" s="609"/>
      <c r="OFC27" s="609"/>
      <c r="OFD27" s="609"/>
      <c r="OFE27" s="609"/>
      <c r="OFF27" s="609"/>
      <c r="OFG27" s="609"/>
      <c r="OFH27" s="609"/>
      <c r="OFI27" s="609"/>
      <c r="OFJ27" s="609"/>
      <c r="OFK27" s="609"/>
      <c r="OFL27" s="609"/>
      <c r="OFM27" s="609"/>
      <c r="OFN27" s="609"/>
      <c r="OFO27" s="609"/>
      <c r="OFP27" s="609"/>
      <c r="OFQ27" s="609"/>
      <c r="OFR27" s="609"/>
      <c r="OFS27" s="609"/>
      <c r="OFT27" s="609"/>
      <c r="OFU27" s="609"/>
      <c r="OFV27" s="609"/>
      <c r="OFW27" s="609"/>
      <c r="OFX27" s="609"/>
      <c r="OFY27" s="609"/>
      <c r="OFZ27" s="609"/>
      <c r="OGA27" s="609"/>
      <c r="OGB27" s="609"/>
      <c r="OGC27" s="609"/>
      <c r="OGD27" s="609"/>
      <c r="OGE27" s="609"/>
      <c r="OGF27" s="609"/>
      <c r="OGG27" s="609"/>
      <c r="OGH27" s="609"/>
      <c r="OGI27" s="609"/>
      <c r="OGJ27" s="609"/>
      <c r="OGK27" s="609"/>
      <c r="OGL27" s="609"/>
      <c r="OGM27" s="609"/>
      <c r="OGN27" s="609"/>
      <c r="OGO27" s="609"/>
      <c r="OGP27" s="609"/>
      <c r="OGQ27" s="609"/>
      <c r="OGR27" s="609"/>
      <c r="OGS27" s="609"/>
      <c r="OGT27" s="609"/>
      <c r="OGU27" s="609"/>
      <c r="OGV27" s="609"/>
      <c r="OGW27" s="609"/>
      <c r="OGX27" s="609"/>
      <c r="OGY27" s="609"/>
      <c r="OGZ27" s="609"/>
      <c r="OHA27" s="609"/>
      <c r="OHB27" s="609"/>
      <c r="OHC27" s="609"/>
      <c r="OHD27" s="609"/>
      <c r="OHE27" s="609"/>
      <c r="OHF27" s="609"/>
      <c r="OHG27" s="609"/>
      <c r="OHH27" s="609"/>
      <c r="OHI27" s="609"/>
      <c r="OHJ27" s="609"/>
      <c r="OHK27" s="609"/>
      <c r="OHL27" s="609"/>
      <c r="OHM27" s="609"/>
      <c r="OHN27" s="609"/>
      <c r="OHO27" s="609"/>
      <c r="OHP27" s="609"/>
      <c r="OHQ27" s="609"/>
      <c r="OHR27" s="609"/>
      <c r="OHS27" s="609"/>
      <c r="OHT27" s="609"/>
      <c r="OHU27" s="609"/>
      <c r="OHV27" s="609"/>
      <c r="OHW27" s="609"/>
      <c r="OHX27" s="609"/>
      <c r="OHY27" s="609"/>
      <c r="OHZ27" s="609"/>
      <c r="OIA27" s="609"/>
      <c r="OIB27" s="609"/>
      <c r="OIC27" s="609"/>
      <c r="OID27" s="609"/>
      <c r="OIE27" s="609"/>
      <c r="OIF27" s="609"/>
      <c r="OIG27" s="609"/>
      <c r="OIH27" s="609"/>
      <c r="OII27" s="609"/>
      <c r="OIJ27" s="609"/>
      <c r="OIK27" s="609"/>
      <c r="OIL27" s="609"/>
      <c r="OIM27" s="609"/>
      <c r="OIN27" s="609"/>
      <c r="OIO27" s="609"/>
      <c r="OIP27" s="609"/>
      <c r="OIQ27" s="609"/>
      <c r="OIR27" s="609"/>
      <c r="OIS27" s="609"/>
      <c r="OIT27" s="609"/>
      <c r="OIU27" s="609"/>
      <c r="OIV27" s="609"/>
      <c r="OIW27" s="609"/>
      <c r="OIX27" s="609"/>
      <c r="OIY27" s="609"/>
      <c r="OIZ27" s="609"/>
      <c r="OJA27" s="609"/>
      <c r="OJB27" s="609"/>
      <c r="OJC27" s="609"/>
      <c r="OJD27" s="609"/>
      <c r="OJE27" s="609"/>
      <c r="OJF27" s="609"/>
      <c r="OJG27" s="609"/>
      <c r="OJH27" s="609"/>
      <c r="OJI27" s="609"/>
      <c r="OJJ27" s="609"/>
      <c r="OJK27" s="609"/>
      <c r="OJL27" s="609"/>
      <c r="OJM27" s="609"/>
      <c r="OJN27" s="609"/>
      <c r="OJO27" s="609"/>
      <c r="OJP27" s="609"/>
      <c r="OJQ27" s="609"/>
      <c r="OJR27" s="609"/>
      <c r="OJS27" s="609"/>
      <c r="OJT27" s="609"/>
      <c r="OJU27" s="609"/>
      <c r="OJV27" s="609"/>
      <c r="OJW27" s="609"/>
      <c r="OJX27" s="609"/>
      <c r="OJY27" s="609"/>
      <c r="OJZ27" s="609"/>
      <c r="OKA27" s="609"/>
      <c r="OKB27" s="609"/>
      <c r="OKC27" s="609"/>
      <c r="OKD27" s="609"/>
      <c r="OKE27" s="609"/>
      <c r="OKF27" s="609"/>
      <c r="OKG27" s="609"/>
      <c r="OKH27" s="609"/>
      <c r="OKI27" s="609"/>
      <c r="OKJ27" s="609"/>
      <c r="OKK27" s="609"/>
      <c r="OKL27" s="609"/>
      <c r="OKM27" s="609"/>
      <c r="OKN27" s="609"/>
      <c r="OKO27" s="609"/>
      <c r="OKP27" s="609"/>
      <c r="OKQ27" s="609"/>
      <c r="OKR27" s="609"/>
      <c r="OKS27" s="609"/>
      <c r="OKT27" s="609"/>
      <c r="OKU27" s="609"/>
      <c r="OKV27" s="609"/>
      <c r="OKW27" s="609"/>
      <c r="OKX27" s="609"/>
      <c r="OKY27" s="609"/>
      <c r="OKZ27" s="609"/>
      <c r="OLA27" s="609"/>
      <c r="OLB27" s="609"/>
      <c r="OLC27" s="609"/>
      <c r="OLD27" s="609"/>
      <c r="OLE27" s="609"/>
      <c r="OLF27" s="609"/>
      <c r="OLG27" s="609"/>
      <c r="OLH27" s="609"/>
      <c r="OLI27" s="609"/>
      <c r="OLJ27" s="609"/>
      <c r="OLK27" s="609"/>
      <c r="OLL27" s="609"/>
      <c r="OLM27" s="609"/>
      <c r="OLN27" s="609"/>
      <c r="OLO27" s="609"/>
      <c r="OLP27" s="609"/>
      <c r="OLQ27" s="609"/>
      <c r="OLR27" s="609"/>
      <c r="OLS27" s="609"/>
      <c r="OLT27" s="609"/>
      <c r="OLU27" s="609"/>
      <c r="OLV27" s="609"/>
      <c r="OLW27" s="609"/>
      <c r="OLX27" s="609"/>
      <c r="OLY27" s="609"/>
      <c r="OLZ27" s="609"/>
      <c r="OMA27" s="609"/>
      <c r="OMB27" s="609"/>
      <c r="OMC27" s="609"/>
      <c r="OMD27" s="609"/>
      <c r="OME27" s="609"/>
      <c r="OMF27" s="609"/>
      <c r="OMG27" s="609"/>
      <c r="OMH27" s="609"/>
      <c r="OMI27" s="609"/>
      <c r="OMJ27" s="609"/>
      <c r="OMK27" s="609"/>
      <c r="OML27" s="609"/>
      <c r="OMM27" s="609"/>
      <c r="OMN27" s="609"/>
      <c r="OMO27" s="609"/>
      <c r="OMP27" s="609"/>
      <c r="OMQ27" s="609"/>
      <c r="OMR27" s="609"/>
      <c r="OMS27" s="609"/>
      <c r="OMT27" s="609"/>
      <c r="OMU27" s="609"/>
      <c r="OMV27" s="609"/>
      <c r="OMW27" s="609"/>
      <c r="OMX27" s="609"/>
      <c r="OMY27" s="609"/>
      <c r="OMZ27" s="609"/>
      <c r="ONA27" s="609"/>
      <c r="ONB27" s="609"/>
      <c r="ONC27" s="609"/>
      <c r="OND27" s="609"/>
      <c r="ONE27" s="609"/>
      <c r="ONF27" s="609"/>
      <c r="ONG27" s="609"/>
      <c r="ONH27" s="609"/>
      <c r="ONI27" s="609"/>
      <c r="ONJ27" s="609"/>
      <c r="ONK27" s="609"/>
      <c r="ONL27" s="609"/>
      <c r="ONM27" s="609"/>
      <c r="ONN27" s="609"/>
      <c r="ONO27" s="609"/>
      <c r="ONP27" s="609"/>
      <c r="ONQ27" s="609"/>
      <c r="ONR27" s="609"/>
      <c r="ONS27" s="609"/>
      <c r="ONT27" s="609"/>
      <c r="ONU27" s="609"/>
      <c r="ONV27" s="609"/>
      <c r="ONW27" s="609"/>
      <c r="ONX27" s="609"/>
      <c r="ONY27" s="609"/>
      <c r="ONZ27" s="609"/>
      <c r="OOA27" s="609"/>
      <c r="OOB27" s="609"/>
      <c r="OOC27" s="609"/>
      <c r="OOD27" s="609"/>
      <c r="OOE27" s="609"/>
      <c r="OOF27" s="609"/>
      <c r="OOG27" s="609"/>
      <c r="OOH27" s="609"/>
      <c r="OOI27" s="609"/>
      <c r="OOJ27" s="609"/>
      <c r="OOK27" s="609"/>
      <c r="OOL27" s="609"/>
      <c r="OOM27" s="609"/>
      <c r="OON27" s="609"/>
      <c r="OOO27" s="609"/>
      <c r="OOP27" s="609"/>
      <c r="OOQ27" s="609"/>
      <c r="OOR27" s="609"/>
      <c r="OOS27" s="609"/>
      <c r="OOT27" s="609"/>
      <c r="OOU27" s="609"/>
      <c r="OOV27" s="609"/>
      <c r="OOW27" s="609"/>
      <c r="OOX27" s="609"/>
      <c r="OOY27" s="609"/>
      <c r="OOZ27" s="609"/>
      <c r="OPA27" s="609"/>
      <c r="OPB27" s="609"/>
      <c r="OPC27" s="609"/>
      <c r="OPD27" s="609"/>
      <c r="OPE27" s="609"/>
      <c r="OPF27" s="609"/>
      <c r="OPG27" s="609"/>
      <c r="OPH27" s="609"/>
      <c r="OPI27" s="609"/>
      <c r="OPJ27" s="609"/>
      <c r="OPK27" s="609"/>
      <c r="OPL27" s="609"/>
      <c r="OPM27" s="609"/>
      <c r="OPN27" s="609"/>
      <c r="OPO27" s="609"/>
      <c r="OPP27" s="609"/>
      <c r="OPQ27" s="609"/>
      <c r="OPR27" s="609"/>
      <c r="OPS27" s="609"/>
      <c r="OPT27" s="609"/>
      <c r="OPU27" s="609"/>
      <c r="OPV27" s="609"/>
      <c r="OPW27" s="609"/>
      <c r="OPX27" s="609"/>
      <c r="OPY27" s="609"/>
      <c r="OPZ27" s="609"/>
      <c r="OQA27" s="609"/>
      <c r="OQB27" s="609"/>
      <c r="OQC27" s="609"/>
      <c r="OQD27" s="609"/>
      <c r="OQE27" s="609"/>
      <c r="OQF27" s="609"/>
      <c r="OQG27" s="609"/>
      <c r="OQH27" s="609"/>
      <c r="OQI27" s="609"/>
      <c r="OQJ27" s="609"/>
      <c r="OQK27" s="609"/>
      <c r="OQL27" s="609"/>
      <c r="OQM27" s="609"/>
      <c r="OQN27" s="609"/>
      <c r="OQO27" s="609"/>
      <c r="OQP27" s="609"/>
      <c r="OQQ27" s="609"/>
      <c r="OQR27" s="609"/>
      <c r="OQS27" s="609"/>
      <c r="OQT27" s="609"/>
      <c r="OQU27" s="609"/>
      <c r="OQV27" s="609"/>
      <c r="OQW27" s="609"/>
      <c r="OQX27" s="609"/>
      <c r="OQY27" s="609"/>
      <c r="OQZ27" s="609"/>
      <c r="ORA27" s="609"/>
      <c r="ORB27" s="609"/>
      <c r="ORC27" s="609"/>
      <c r="ORD27" s="609"/>
      <c r="ORE27" s="609"/>
      <c r="ORF27" s="609"/>
      <c r="ORG27" s="609"/>
      <c r="ORH27" s="609"/>
      <c r="ORI27" s="609"/>
      <c r="ORJ27" s="609"/>
      <c r="ORK27" s="609"/>
      <c r="ORL27" s="609"/>
      <c r="ORM27" s="609"/>
      <c r="ORN27" s="609"/>
      <c r="ORO27" s="609"/>
      <c r="ORP27" s="609"/>
      <c r="ORQ27" s="609"/>
      <c r="ORR27" s="609"/>
      <c r="ORS27" s="609"/>
      <c r="ORT27" s="609"/>
      <c r="ORU27" s="609"/>
      <c r="ORV27" s="609"/>
      <c r="ORW27" s="609"/>
      <c r="ORX27" s="609"/>
      <c r="ORY27" s="609"/>
      <c r="ORZ27" s="609"/>
      <c r="OSA27" s="609"/>
      <c r="OSB27" s="609"/>
      <c r="OSC27" s="609"/>
      <c r="OSD27" s="609"/>
      <c r="OSE27" s="609"/>
      <c r="OSF27" s="609"/>
      <c r="OSG27" s="609"/>
      <c r="OSH27" s="609"/>
      <c r="OSI27" s="609"/>
      <c r="OSJ27" s="609"/>
      <c r="OSK27" s="609"/>
      <c r="OSL27" s="609"/>
      <c r="OSM27" s="609"/>
      <c r="OSN27" s="609"/>
      <c r="OSO27" s="609"/>
      <c r="OSP27" s="609"/>
      <c r="OSQ27" s="609"/>
      <c r="OSR27" s="609"/>
      <c r="OSS27" s="609"/>
      <c r="OST27" s="609"/>
      <c r="OSU27" s="609"/>
      <c r="OSV27" s="609"/>
      <c r="OSW27" s="609"/>
      <c r="OSX27" s="609"/>
      <c r="OSY27" s="609"/>
      <c r="OSZ27" s="609"/>
      <c r="OTA27" s="609"/>
      <c r="OTB27" s="609"/>
      <c r="OTC27" s="609"/>
      <c r="OTD27" s="609"/>
      <c r="OTE27" s="609"/>
      <c r="OTF27" s="609"/>
      <c r="OTG27" s="609"/>
      <c r="OTH27" s="609"/>
      <c r="OTI27" s="609"/>
      <c r="OTJ27" s="609"/>
      <c r="OTK27" s="609"/>
      <c r="OTL27" s="609"/>
      <c r="OTM27" s="609"/>
      <c r="OTN27" s="609"/>
      <c r="OTO27" s="609"/>
      <c r="OTP27" s="609"/>
      <c r="OTQ27" s="609"/>
      <c r="OTR27" s="609"/>
      <c r="OTS27" s="609"/>
      <c r="OTT27" s="609"/>
      <c r="OTU27" s="609"/>
      <c r="OTV27" s="609"/>
      <c r="OTW27" s="609"/>
      <c r="OTX27" s="609"/>
      <c r="OTY27" s="609"/>
      <c r="OTZ27" s="609"/>
      <c r="OUA27" s="609"/>
      <c r="OUB27" s="609"/>
      <c r="OUC27" s="609"/>
      <c r="OUD27" s="609"/>
      <c r="OUE27" s="609"/>
      <c r="OUF27" s="609"/>
      <c r="OUG27" s="609"/>
      <c r="OUH27" s="609"/>
      <c r="OUI27" s="609"/>
      <c r="OUJ27" s="609"/>
      <c r="OUK27" s="609"/>
      <c r="OUL27" s="609"/>
      <c r="OUM27" s="609"/>
      <c r="OUN27" s="609"/>
      <c r="OUO27" s="609"/>
      <c r="OUP27" s="609"/>
      <c r="OUQ27" s="609"/>
      <c r="OUR27" s="609"/>
      <c r="OUS27" s="609"/>
      <c r="OUT27" s="609"/>
      <c r="OUU27" s="609"/>
      <c r="OUV27" s="609"/>
      <c r="OUW27" s="609"/>
      <c r="OUX27" s="609"/>
      <c r="OUY27" s="609"/>
      <c r="OUZ27" s="609"/>
      <c r="OVA27" s="609"/>
      <c r="OVB27" s="609"/>
      <c r="OVC27" s="609"/>
      <c r="OVD27" s="609"/>
      <c r="OVE27" s="609"/>
      <c r="OVF27" s="609"/>
      <c r="OVG27" s="609"/>
      <c r="OVH27" s="609"/>
      <c r="OVI27" s="609"/>
      <c r="OVJ27" s="609"/>
      <c r="OVK27" s="609"/>
      <c r="OVL27" s="609"/>
      <c r="OVM27" s="609"/>
      <c r="OVN27" s="609"/>
      <c r="OVO27" s="609"/>
      <c r="OVP27" s="609"/>
      <c r="OVQ27" s="609"/>
      <c r="OVR27" s="609"/>
      <c r="OVS27" s="609"/>
      <c r="OVT27" s="609"/>
      <c r="OVU27" s="609"/>
      <c r="OVV27" s="609"/>
      <c r="OVW27" s="609"/>
      <c r="OVX27" s="609"/>
      <c r="OVY27" s="609"/>
      <c r="OVZ27" s="609"/>
      <c r="OWA27" s="609"/>
      <c r="OWB27" s="609"/>
      <c r="OWC27" s="609"/>
      <c r="OWD27" s="609"/>
      <c r="OWE27" s="609"/>
      <c r="OWF27" s="609"/>
      <c r="OWG27" s="609"/>
      <c r="OWH27" s="609"/>
      <c r="OWI27" s="609"/>
      <c r="OWJ27" s="609"/>
      <c r="OWK27" s="609"/>
      <c r="OWL27" s="609"/>
      <c r="OWM27" s="609"/>
      <c r="OWN27" s="609"/>
      <c r="OWO27" s="609"/>
      <c r="OWP27" s="609"/>
      <c r="OWQ27" s="609"/>
      <c r="OWR27" s="609"/>
      <c r="OWS27" s="609"/>
      <c r="OWT27" s="609"/>
      <c r="OWU27" s="609"/>
      <c r="OWV27" s="609"/>
      <c r="OWW27" s="609"/>
      <c r="OWX27" s="609"/>
      <c r="OWY27" s="609"/>
      <c r="OWZ27" s="609"/>
      <c r="OXA27" s="609"/>
      <c r="OXB27" s="609"/>
      <c r="OXC27" s="609"/>
      <c r="OXD27" s="609"/>
      <c r="OXE27" s="609"/>
      <c r="OXF27" s="609"/>
      <c r="OXG27" s="609"/>
      <c r="OXH27" s="609"/>
      <c r="OXI27" s="609"/>
      <c r="OXJ27" s="609"/>
      <c r="OXK27" s="609"/>
      <c r="OXL27" s="609"/>
      <c r="OXM27" s="609"/>
      <c r="OXN27" s="609"/>
      <c r="OXO27" s="609"/>
      <c r="OXP27" s="609"/>
      <c r="OXQ27" s="609"/>
      <c r="OXR27" s="609"/>
      <c r="OXS27" s="609"/>
      <c r="OXT27" s="609"/>
      <c r="OXU27" s="609"/>
      <c r="OXV27" s="609"/>
      <c r="OXW27" s="609"/>
      <c r="OXX27" s="609"/>
      <c r="OXY27" s="609"/>
      <c r="OXZ27" s="609"/>
      <c r="OYA27" s="609"/>
      <c r="OYB27" s="609"/>
      <c r="OYC27" s="609"/>
      <c r="OYD27" s="609"/>
      <c r="OYE27" s="609"/>
      <c r="OYF27" s="609"/>
      <c r="OYG27" s="609"/>
      <c r="OYH27" s="609"/>
      <c r="OYI27" s="609"/>
      <c r="OYJ27" s="609"/>
      <c r="OYK27" s="609"/>
      <c r="OYL27" s="609"/>
      <c r="OYM27" s="609"/>
      <c r="OYN27" s="609"/>
      <c r="OYO27" s="609"/>
      <c r="OYP27" s="609"/>
      <c r="OYQ27" s="609"/>
      <c r="OYR27" s="609"/>
      <c r="OYS27" s="609"/>
      <c r="OYT27" s="609"/>
      <c r="OYU27" s="609"/>
      <c r="OYV27" s="609"/>
      <c r="OYW27" s="609"/>
      <c r="OYX27" s="609"/>
      <c r="OYY27" s="609"/>
      <c r="OYZ27" s="609"/>
      <c r="OZA27" s="609"/>
      <c r="OZB27" s="609"/>
      <c r="OZC27" s="609"/>
      <c r="OZD27" s="609"/>
      <c r="OZE27" s="609"/>
      <c r="OZF27" s="609"/>
      <c r="OZG27" s="609"/>
      <c r="OZH27" s="609"/>
      <c r="OZI27" s="609"/>
      <c r="OZJ27" s="609"/>
      <c r="OZK27" s="609"/>
      <c r="OZL27" s="609"/>
      <c r="OZM27" s="609"/>
      <c r="OZN27" s="609"/>
      <c r="OZO27" s="609"/>
      <c r="OZP27" s="609"/>
      <c r="OZQ27" s="609"/>
      <c r="OZR27" s="609"/>
      <c r="OZS27" s="609"/>
      <c r="OZT27" s="609"/>
      <c r="OZU27" s="609"/>
      <c r="OZV27" s="609"/>
      <c r="OZW27" s="609"/>
      <c r="OZX27" s="609"/>
      <c r="OZY27" s="609"/>
      <c r="OZZ27" s="609"/>
      <c r="PAA27" s="609"/>
      <c r="PAB27" s="609"/>
      <c r="PAC27" s="609"/>
      <c r="PAD27" s="609"/>
      <c r="PAE27" s="609"/>
      <c r="PAF27" s="609"/>
      <c r="PAG27" s="609"/>
      <c r="PAH27" s="609"/>
      <c r="PAI27" s="609"/>
      <c r="PAJ27" s="609"/>
      <c r="PAK27" s="609"/>
      <c r="PAL27" s="609"/>
      <c r="PAM27" s="609"/>
      <c r="PAN27" s="609"/>
      <c r="PAO27" s="609"/>
      <c r="PAP27" s="609"/>
      <c r="PAQ27" s="609"/>
      <c r="PAR27" s="609"/>
      <c r="PAS27" s="609"/>
      <c r="PAT27" s="609"/>
      <c r="PAU27" s="609"/>
      <c r="PAV27" s="609"/>
      <c r="PAW27" s="609"/>
      <c r="PAX27" s="609"/>
      <c r="PAY27" s="609"/>
      <c r="PAZ27" s="609"/>
      <c r="PBA27" s="609"/>
      <c r="PBB27" s="609"/>
      <c r="PBC27" s="609"/>
      <c r="PBD27" s="609"/>
      <c r="PBE27" s="609"/>
      <c r="PBF27" s="609"/>
      <c r="PBG27" s="609"/>
      <c r="PBH27" s="609"/>
      <c r="PBI27" s="609"/>
      <c r="PBJ27" s="609"/>
      <c r="PBK27" s="609"/>
      <c r="PBL27" s="609"/>
      <c r="PBM27" s="609"/>
      <c r="PBN27" s="609"/>
      <c r="PBO27" s="609"/>
      <c r="PBP27" s="609"/>
      <c r="PBQ27" s="609"/>
      <c r="PBR27" s="609"/>
      <c r="PBS27" s="609"/>
      <c r="PBT27" s="609"/>
      <c r="PBU27" s="609"/>
      <c r="PBV27" s="609"/>
      <c r="PBW27" s="609"/>
      <c r="PBX27" s="609"/>
      <c r="PBY27" s="609"/>
      <c r="PBZ27" s="609"/>
      <c r="PCA27" s="609"/>
      <c r="PCB27" s="609"/>
      <c r="PCC27" s="609"/>
      <c r="PCD27" s="609"/>
      <c r="PCE27" s="609"/>
      <c r="PCF27" s="609"/>
      <c r="PCG27" s="609"/>
      <c r="PCH27" s="609"/>
      <c r="PCI27" s="609"/>
      <c r="PCJ27" s="609"/>
      <c r="PCK27" s="609"/>
      <c r="PCL27" s="609"/>
      <c r="PCM27" s="609"/>
      <c r="PCN27" s="609"/>
      <c r="PCO27" s="609"/>
      <c r="PCP27" s="609"/>
      <c r="PCQ27" s="609"/>
      <c r="PCR27" s="609"/>
      <c r="PCS27" s="609"/>
      <c r="PCT27" s="609"/>
      <c r="PCU27" s="609"/>
      <c r="PCV27" s="609"/>
      <c r="PCW27" s="609"/>
      <c r="PCX27" s="609"/>
      <c r="PCY27" s="609"/>
      <c r="PCZ27" s="609"/>
      <c r="PDA27" s="609"/>
      <c r="PDB27" s="609"/>
      <c r="PDC27" s="609"/>
      <c r="PDD27" s="609"/>
      <c r="PDE27" s="609"/>
      <c r="PDF27" s="609"/>
      <c r="PDG27" s="609"/>
      <c r="PDH27" s="609"/>
      <c r="PDI27" s="609"/>
      <c r="PDJ27" s="609"/>
      <c r="PDK27" s="609"/>
      <c r="PDL27" s="609"/>
      <c r="PDM27" s="609"/>
      <c r="PDN27" s="609"/>
      <c r="PDO27" s="609"/>
      <c r="PDP27" s="609"/>
      <c r="PDQ27" s="609"/>
      <c r="PDR27" s="609"/>
      <c r="PDS27" s="609"/>
      <c r="PDT27" s="609"/>
      <c r="PDU27" s="609"/>
      <c r="PDV27" s="609"/>
      <c r="PDW27" s="609"/>
      <c r="PDX27" s="609"/>
      <c r="PDY27" s="609"/>
      <c r="PDZ27" s="609"/>
      <c r="PEA27" s="609"/>
      <c r="PEB27" s="609"/>
      <c r="PEC27" s="609"/>
      <c r="PED27" s="609"/>
      <c r="PEE27" s="609"/>
      <c r="PEF27" s="609"/>
      <c r="PEG27" s="609"/>
      <c r="PEH27" s="609"/>
      <c r="PEI27" s="609"/>
      <c r="PEJ27" s="609"/>
      <c r="PEK27" s="609"/>
      <c r="PEL27" s="609"/>
      <c r="PEM27" s="609"/>
      <c r="PEN27" s="609"/>
      <c r="PEO27" s="609"/>
      <c r="PEP27" s="609"/>
      <c r="PEQ27" s="609"/>
      <c r="PER27" s="609"/>
      <c r="PES27" s="609"/>
      <c r="PET27" s="609"/>
      <c r="PEU27" s="609"/>
      <c r="PEV27" s="609"/>
      <c r="PEW27" s="609"/>
      <c r="PEX27" s="609"/>
      <c r="PEY27" s="609"/>
      <c r="PEZ27" s="609"/>
      <c r="PFA27" s="609"/>
      <c r="PFB27" s="609"/>
      <c r="PFC27" s="609"/>
      <c r="PFD27" s="609"/>
      <c r="PFE27" s="609"/>
      <c r="PFF27" s="609"/>
      <c r="PFG27" s="609"/>
      <c r="PFH27" s="609"/>
      <c r="PFI27" s="609"/>
      <c r="PFJ27" s="609"/>
      <c r="PFK27" s="609"/>
      <c r="PFL27" s="609"/>
      <c r="PFM27" s="609"/>
      <c r="PFN27" s="609"/>
      <c r="PFO27" s="609"/>
      <c r="PFP27" s="609"/>
      <c r="PFQ27" s="609"/>
      <c r="PFR27" s="609"/>
      <c r="PFS27" s="609"/>
      <c r="PFT27" s="609"/>
      <c r="PFU27" s="609"/>
      <c r="PFV27" s="609"/>
      <c r="PFW27" s="609"/>
      <c r="PFX27" s="609"/>
      <c r="PFY27" s="609"/>
      <c r="PFZ27" s="609"/>
      <c r="PGA27" s="609"/>
      <c r="PGB27" s="609"/>
      <c r="PGC27" s="609"/>
      <c r="PGD27" s="609"/>
      <c r="PGE27" s="609"/>
      <c r="PGF27" s="609"/>
      <c r="PGG27" s="609"/>
      <c r="PGH27" s="609"/>
      <c r="PGI27" s="609"/>
      <c r="PGJ27" s="609"/>
      <c r="PGK27" s="609"/>
      <c r="PGL27" s="609"/>
      <c r="PGM27" s="609"/>
      <c r="PGN27" s="609"/>
      <c r="PGO27" s="609"/>
      <c r="PGP27" s="609"/>
      <c r="PGQ27" s="609"/>
      <c r="PGR27" s="609"/>
      <c r="PGS27" s="609"/>
      <c r="PGT27" s="609"/>
      <c r="PGU27" s="609"/>
      <c r="PGV27" s="609"/>
      <c r="PGW27" s="609"/>
      <c r="PGX27" s="609"/>
      <c r="PGY27" s="609"/>
      <c r="PGZ27" s="609"/>
      <c r="PHA27" s="609"/>
      <c r="PHB27" s="609"/>
      <c r="PHC27" s="609"/>
      <c r="PHD27" s="609"/>
      <c r="PHE27" s="609"/>
      <c r="PHF27" s="609"/>
      <c r="PHG27" s="609"/>
      <c r="PHH27" s="609"/>
      <c r="PHI27" s="609"/>
      <c r="PHJ27" s="609"/>
      <c r="PHK27" s="609"/>
      <c r="PHL27" s="609"/>
      <c r="PHM27" s="609"/>
      <c r="PHN27" s="609"/>
      <c r="PHO27" s="609"/>
      <c r="PHP27" s="609"/>
      <c r="PHQ27" s="609"/>
      <c r="PHR27" s="609"/>
      <c r="PHS27" s="609"/>
      <c r="PHT27" s="609"/>
      <c r="PHU27" s="609"/>
      <c r="PHV27" s="609"/>
      <c r="PHW27" s="609"/>
      <c r="PHX27" s="609"/>
      <c r="PHY27" s="609"/>
      <c r="PHZ27" s="609"/>
      <c r="PIA27" s="609"/>
      <c r="PIB27" s="609"/>
      <c r="PIC27" s="609"/>
      <c r="PID27" s="609"/>
      <c r="PIE27" s="609"/>
      <c r="PIF27" s="609"/>
      <c r="PIG27" s="609"/>
      <c r="PIH27" s="609"/>
      <c r="PII27" s="609"/>
      <c r="PIJ27" s="609"/>
      <c r="PIK27" s="609"/>
      <c r="PIL27" s="609"/>
      <c r="PIM27" s="609"/>
      <c r="PIN27" s="609"/>
      <c r="PIO27" s="609"/>
      <c r="PIP27" s="609"/>
      <c r="PIQ27" s="609"/>
      <c r="PIR27" s="609"/>
      <c r="PIS27" s="609"/>
      <c r="PIT27" s="609"/>
      <c r="PIU27" s="609"/>
      <c r="PIV27" s="609"/>
      <c r="PIW27" s="609"/>
      <c r="PIX27" s="609"/>
      <c r="PIY27" s="609"/>
      <c r="PIZ27" s="609"/>
      <c r="PJA27" s="609"/>
      <c r="PJB27" s="609"/>
      <c r="PJC27" s="609"/>
      <c r="PJD27" s="609"/>
      <c r="PJE27" s="609"/>
      <c r="PJF27" s="609"/>
      <c r="PJG27" s="609"/>
      <c r="PJH27" s="609"/>
      <c r="PJI27" s="609"/>
      <c r="PJJ27" s="609"/>
      <c r="PJK27" s="609"/>
      <c r="PJL27" s="609"/>
      <c r="PJM27" s="609"/>
      <c r="PJN27" s="609"/>
      <c r="PJO27" s="609"/>
      <c r="PJP27" s="609"/>
      <c r="PJQ27" s="609"/>
      <c r="PJR27" s="609"/>
      <c r="PJS27" s="609"/>
      <c r="PJT27" s="609"/>
      <c r="PJU27" s="609"/>
      <c r="PJV27" s="609"/>
      <c r="PJW27" s="609"/>
      <c r="PJX27" s="609"/>
      <c r="PJY27" s="609"/>
      <c r="PJZ27" s="609"/>
      <c r="PKA27" s="609"/>
      <c r="PKB27" s="609"/>
      <c r="PKC27" s="609"/>
      <c r="PKD27" s="609"/>
      <c r="PKE27" s="609"/>
      <c r="PKF27" s="609"/>
      <c r="PKG27" s="609"/>
      <c r="PKH27" s="609"/>
      <c r="PKI27" s="609"/>
      <c r="PKJ27" s="609"/>
      <c r="PKK27" s="609"/>
      <c r="PKL27" s="609"/>
      <c r="PKM27" s="609"/>
      <c r="PKN27" s="609"/>
      <c r="PKO27" s="609"/>
      <c r="PKP27" s="609"/>
      <c r="PKQ27" s="609"/>
      <c r="PKR27" s="609"/>
      <c r="PKS27" s="609"/>
      <c r="PKT27" s="609"/>
      <c r="PKU27" s="609"/>
      <c r="PKV27" s="609"/>
      <c r="PKW27" s="609"/>
      <c r="PKX27" s="609"/>
      <c r="PKY27" s="609"/>
      <c r="PKZ27" s="609"/>
      <c r="PLA27" s="609"/>
      <c r="PLB27" s="609"/>
      <c r="PLC27" s="609"/>
      <c r="PLD27" s="609"/>
      <c r="PLE27" s="609"/>
      <c r="PLF27" s="609"/>
      <c r="PLG27" s="609"/>
      <c r="PLH27" s="609"/>
      <c r="PLI27" s="609"/>
      <c r="PLJ27" s="609"/>
      <c r="PLK27" s="609"/>
      <c r="PLL27" s="609"/>
      <c r="PLM27" s="609"/>
      <c r="PLN27" s="609"/>
      <c r="PLO27" s="609"/>
      <c r="PLP27" s="609"/>
      <c r="PLQ27" s="609"/>
      <c r="PLR27" s="609"/>
      <c r="PLS27" s="609"/>
      <c r="PLT27" s="609"/>
      <c r="PLU27" s="609"/>
      <c r="PLV27" s="609"/>
      <c r="PLW27" s="609"/>
      <c r="PLX27" s="609"/>
      <c r="PLY27" s="609"/>
      <c r="PLZ27" s="609"/>
      <c r="PMA27" s="609"/>
      <c r="PMB27" s="609"/>
      <c r="PMC27" s="609"/>
      <c r="PMD27" s="609"/>
      <c r="PME27" s="609"/>
      <c r="PMF27" s="609"/>
      <c r="PMG27" s="609"/>
      <c r="PMH27" s="609"/>
      <c r="PMI27" s="609"/>
      <c r="PMJ27" s="609"/>
      <c r="PMK27" s="609"/>
      <c r="PML27" s="609"/>
      <c r="PMM27" s="609"/>
      <c r="PMN27" s="609"/>
      <c r="PMO27" s="609"/>
      <c r="PMP27" s="609"/>
      <c r="PMQ27" s="609"/>
      <c r="PMR27" s="609"/>
      <c r="PMS27" s="609"/>
      <c r="PMT27" s="609"/>
      <c r="PMU27" s="609"/>
      <c r="PMV27" s="609"/>
      <c r="PMW27" s="609"/>
      <c r="PMX27" s="609"/>
      <c r="PMY27" s="609"/>
      <c r="PMZ27" s="609"/>
      <c r="PNA27" s="609"/>
      <c r="PNB27" s="609"/>
      <c r="PNC27" s="609"/>
      <c r="PND27" s="609"/>
      <c r="PNE27" s="609"/>
      <c r="PNF27" s="609"/>
      <c r="PNG27" s="609"/>
      <c r="PNH27" s="609"/>
      <c r="PNI27" s="609"/>
      <c r="PNJ27" s="609"/>
      <c r="PNK27" s="609"/>
      <c r="PNL27" s="609"/>
      <c r="PNM27" s="609"/>
      <c r="PNN27" s="609"/>
      <c r="PNO27" s="609"/>
      <c r="PNP27" s="609"/>
      <c r="PNQ27" s="609"/>
      <c r="PNR27" s="609"/>
      <c r="PNS27" s="609"/>
      <c r="PNT27" s="609"/>
      <c r="PNU27" s="609"/>
      <c r="PNV27" s="609"/>
      <c r="PNW27" s="609"/>
      <c r="PNX27" s="609"/>
      <c r="PNY27" s="609"/>
      <c r="PNZ27" s="609"/>
      <c r="POA27" s="609"/>
      <c r="POB27" s="609"/>
      <c r="POC27" s="609"/>
      <c r="POD27" s="609"/>
      <c r="POE27" s="609"/>
      <c r="POF27" s="609"/>
      <c r="POG27" s="609"/>
      <c r="POH27" s="609"/>
      <c r="POI27" s="609"/>
      <c r="POJ27" s="609"/>
      <c r="POK27" s="609"/>
      <c r="POL27" s="609"/>
      <c r="POM27" s="609"/>
      <c r="PON27" s="609"/>
      <c r="POO27" s="609"/>
      <c r="POP27" s="609"/>
      <c r="POQ27" s="609"/>
      <c r="POR27" s="609"/>
      <c r="POS27" s="609"/>
      <c r="POT27" s="609"/>
      <c r="POU27" s="609"/>
      <c r="POV27" s="609"/>
      <c r="POW27" s="609"/>
      <c r="POX27" s="609"/>
      <c r="POY27" s="609"/>
      <c r="POZ27" s="609"/>
      <c r="PPA27" s="609"/>
      <c r="PPB27" s="609"/>
      <c r="PPC27" s="609"/>
      <c r="PPD27" s="609"/>
      <c r="PPE27" s="609"/>
      <c r="PPF27" s="609"/>
      <c r="PPG27" s="609"/>
      <c r="PPH27" s="609"/>
      <c r="PPI27" s="609"/>
      <c r="PPJ27" s="609"/>
      <c r="PPK27" s="609"/>
      <c r="PPL27" s="609"/>
      <c r="PPM27" s="609"/>
      <c r="PPN27" s="609"/>
      <c r="PPO27" s="609"/>
      <c r="PPP27" s="609"/>
      <c r="PPQ27" s="609"/>
      <c r="PPR27" s="609"/>
      <c r="PPS27" s="609"/>
      <c r="PPT27" s="609"/>
      <c r="PPU27" s="609"/>
      <c r="PPV27" s="609"/>
      <c r="PPW27" s="609"/>
      <c r="PPX27" s="609"/>
      <c r="PPY27" s="609"/>
      <c r="PPZ27" s="609"/>
      <c r="PQA27" s="609"/>
      <c r="PQB27" s="609"/>
      <c r="PQC27" s="609"/>
      <c r="PQD27" s="609"/>
      <c r="PQE27" s="609"/>
      <c r="PQF27" s="609"/>
      <c r="PQG27" s="609"/>
      <c r="PQH27" s="609"/>
      <c r="PQI27" s="609"/>
      <c r="PQJ27" s="609"/>
      <c r="PQK27" s="609"/>
      <c r="PQL27" s="609"/>
      <c r="PQM27" s="609"/>
      <c r="PQN27" s="609"/>
      <c r="PQO27" s="609"/>
      <c r="PQP27" s="609"/>
      <c r="PQQ27" s="609"/>
      <c r="PQR27" s="609"/>
      <c r="PQS27" s="609"/>
      <c r="PQT27" s="609"/>
      <c r="PQU27" s="609"/>
      <c r="PQV27" s="609"/>
      <c r="PQW27" s="609"/>
      <c r="PQX27" s="609"/>
      <c r="PQY27" s="609"/>
      <c r="PQZ27" s="609"/>
      <c r="PRA27" s="609"/>
      <c r="PRB27" s="609"/>
      <c r="PRC27" s="609"/>
      <c r="PRD27" s="609"/>
      <c r="PRE27" s="609"/>
      <c r="PRF27" s="609"/>
      <c r="PRG27" s="609"/>
      <c r="PRH27" s="609"/>
      <c r="PRI27" s="609"/>
      <c r="PRJ27" s="609"/>
      <c r="PRK27" s="609"/>
      <c r="PRL27" s="609"/>
      <c r="PRM27" s="609"/>
      <c r="PRN27" s="609"/>
      <c r="PRO27" s="609"/>
      <c r="PRP27" s="609"/>
      <c r="PRQ27" s="609"/>
      <c r="PRR27" s="609"/>
      <c r="PRS27" s="609"/>
      <c r="PRT27" s="609"/>
      <c r="PRU27" s="609"/>
      <c r="PRV27" s="609"/>
      <c r="PRW27" s="609"/>
      <c r="PRX27" s="609"/>
      <c r="PRY27" s="609"/>
      <c r="PRZ27" s="609"/>
      <c r="PSA27" s="609"/>
      <c r="PSB27" s="609"/>
      <c r="PSC27" s="609"/>
      <c r="PSD27" s="609"/>
      <c r="PSE27" s="609"/>
      <c r="PSF27" s="609"/>
      <c r="PSG27" s="609"/>
      <c r="PSH27" s="609"/>
      <c r="PSI27" s="609"/>
      <c r="PSJ27" s="609"/>
      <c r="PSK27" s="609"/>
      <c r="PSL27" s="609"/>
      <c r="PSM27" s="609"/>
      <c r="PSN27" s="609"/>
      <c r="PSO27" s="609"/>
      <c r="PSP27" s="609"/>
      <c r="PSQ27" s="609"/>
      <c r="PSR27" s="609"/>
      <c r="PSS27" s="609"/>
      <c r="PST27" s="609"/>
      <c r="PSU27" s="609"/>
      <c r="PSV27" s="609"/>
      <c r="PSW27" s="609"/>
      <c r="PSX27" s="609"/>
      <c r="PSY27" s="609"/>
      <c r="PSZ27" s="609"/>
      <c r="PTA27" s="609"/>
      <c r="PTB27" s="609"/>
      <c r="PTC27" s="609"/>
      <c r="PTD27" s="609"/>
      <c r="PTE27" s="609"/>
      <c r="PTF27" s="609"/>
      <c r="PTG27" s="609"/>
      <c r="PTH27" s="609"/>
      <c r="PTI27" s="609"/>
      <c r="PTJ27" s="609"/>
      <c r="PTK27" s="609"/>
      <c r="PTL27" s="609"/>
      <c r="PTM27" s="609"/>
      <c r="PTN27" s="609"/>
      <c r="PTO27" s="609"/>
      <c r="PTP27" s="609"/>
      <c r="PTQ27" s="609"/>
      <c r="PTR27" s="609"/>
      <c r="PTS27" s="609"/>
      <c r="PTT27" s="609"/>
      <c r="PTU27" s="609"/>
      <c r="PTV27" s="609"/>
      <c r="PTW27" s="609"/>
      <c r="PTX27" s="609"/>
      <c r="PTY27" s="609"/>
      <c r="PTZ27" s="609"/>
      <c r="PUA27" s="609"/>
      <c r="PUB27" s="609"/>
      <c r="PUC27" s="609"/>
      <c r="PUD27" s="609"/>
      <c r="PUE27" s="609"/>
      <c r="PUF27" s="609"/>
      <c r="PUG27" s="609"/>
      <c r="PUH27" s="609"/>
      <c r="PUI27" s="609"/>
      <c r="PUJ27" s="609"/>
      <c r="PUK27" s="609"/>
      <c r="PUL27" s="609"/>
      <c r="PUM27" s="609"/>
      <c r="PUN27" s="609"/>
      <c r="PUO27" s="609"/>
      <c r="PUP27" s="609"/>
      <c r="PUQ27" s="609"/>
      <c r="PUR27" s="609"/>
      <c r="PUS27" s="609"/>
      <c r="PUT27" s="609"/>
      <c r="PUU27" s="609"/>
      <c r="PUV27" s="609"/>
      <c r="PUW27" s="609"/>
      <c r="PUX27" s="609"/>
      <c r="PUY27" s="609"/>
      <c r="PUZ27" s="609"/>
      <c r="PVA27" s="609"/>
      <c r="PVB27" s="609"/>
      <c r="PVC27" s="609"/>
      <c r="PVD27" s="609"/>
      <c r="PVE27" s="609"/>
      <c r="PVF27" s="609"/>
      <c r="PVG27" s="609"/>
      <c r="PVH27" s="609"/>
      <c r="PVI27" s="609"/>
      <c r="PVJ27" s="609"/>
      <c r="PVK27" s="609"/>
      <c r="PVL27" s="609"/>
      <c r="PVM27" s="609"/>
      <c r="PVN27" s="609"/>
      <c r="PVO27" s="609"/>
      <c r="PVP27" s="609"/>
      <c r="PVQ27" s="609"/>
      <c r="PVR27" s="609"/>
      <c r="PVS27" s="609"/>
      <c r="PVT27" s="609"/>
      <c r="PVU27" s="609"/>
      <c r="PVV27" s="609"/>
      <c r="PVW27" s="609"/>
      <c r="PVX27" s="609"/>
      <c r="PVY27" s="609"/>
      <c r="PVZ27" s="609"/>
      <c r="PWA27" s="609"/>
      <c r="PWB27" s="609"/>
      <c r="PWC27" s="609"/>
      <c r="PWD27" s="609"/>
      <c r="PWE27" s="609"/>
      <c r="PWF27" s="609"/>
      <c r="PWG27" s="609"/>
      <c r="PWH27" s="609"/>
      <c r="PWI27" s="609"/>
      <c r="PWJ27" s="609"/>
      <c r="PWK27" s="609"/>
      <c r="PWL27" s="609"/>
      <c r="PWM27" s="609"/>
      <c r="PWN27" s="609"/>
      <c r="PWO27" s="609"/>
      <c r="PWP27" s="609"/>
      <c r="PWQ27" s="609"/>
      <c r="PWR27" s="609"/>
      <c r="PWS27" s="609"/>
      <c r="PWT27" s="609"/>
      <c r="PWU27" s="609"/>
      <c r="PWV27" s="609"/>
      <c r="PWW27" s="609"/>
      <c r="PWX27" s="609"/>
      <c r="PWY27" s="609"/>
      <c r="PWZ27" s="609"/>
      <c r="PXA27" s="609"/>
      <c r="PXB27" s="609"/>
      <c r="PXC27" s="609"/>
      <c r="PXD27" s="609"/>
      <c r="PXE27" s="609"/>
      <c r="PXF27" s="609"/>
      <c r="PXG27" s="609"/>
      <c r="PXH27" s="609"/>
      <c r="PXI27" s="609"/>
      <c r="PXJ27" s="609"/>
      <c r="PXK27" s="609"/>
      <c r="PXL27" s="609"/>
      <c r="PXM27" s="609"/>
      <c r="PXN27" s="609"/>
      <c r="PXO27" s="609"/>
      <c r="PXP27" s="609"/>
      <c r="PXQ27" s="609"/>
      <c r="PXR27" s="609"/>
      <c r="PXS27" s="609"/>
      <c r="PXT27" s="609"/>
      <c r="PXU27" s="609"/>
      <c r="PXV27" s="609"/>
      <c r="PXW27" s="609"/>
      <c r="PXX27" s="609"/>
      <c r="PXY27" s="609"/>
      <c r="PXZ27" s="609"/>
      <c r="PYA27" s="609"/>
      <c r="PYB27" s="609"/>
      <c r="PYC27" s="609"/>
      <c r="PYD27" s="609"/>
      <c r="PYE27" s="609"/>
      <c r="PYF27" s="609"/>
      <c r="PYG27" s="609"/>
      <c r="PYH27" s="609"/>
      <c r="PYI27" s="609"/>
      <c r="PYJ27" s="609"/>
      <c r="PYK27" s="609"/>
      <c r="PYL27" s="609"/>
      <c r="PYM27" s="609"/>
      <c r="PYN27" s="609"/>
      <c r="PYO27" s="609"/>
      <c r="PYP27" s="609"/>
      <c r="PYQ27" s="609"/>
      <c r="PYR27" s="609"/>
      <c r="PYS27" s="609"/>
      <c r="PYT27" s="609"/>
      <c r="PYU27" s="609"/>
      <c r="PYV27" s="609"/>
      <c r="PYW27" s="609"/>
      <c r="PYX27" s="609"/>
      <c r="PYY27" s="609"/>
      <c r="PYZ27" s="609"/>
      <c r="PZA27" s="609"/>
      <c r="PZB27" s="609"/>
      <c r="PZC27" s="609"/>
      <c r="PZD27" s="609"/>
      <c r="PZE27" s="609"/>
      <c r="PZF27" s="609"/>
      <c r="PZG27" s="609"/>
      <c r="PZH27" s="609"/>
      <c r="PZI27" s="609"/>
      <c r="PZJ27" s="609"/>
      <c r="PZK27" s="609"/>
      <c r="PZL27" s="609"/>
      <c r="PZM27" s="609"/>
      <c r="PZN27" s="609"/>
      <c r="PZO27" s="609"/>
      <c r="PZP27" s="609"/>
      <c r="PZQ27" s="609"/>
      <c r="PZR27" s="609"/>
      <c r="PZS27" s="609"/>
      <c r="PZT27" s="609"/>
      <c r="PZU27" s="609"/>
      <c r="PZV27" s="609"/>
      <c r="PZW27" s="609"/>
      <c r="PZX27" s="609"/>
      <c r="PZY27" s="609"/>
      <c r="PZZ27" s="609"/>
      <c r="QAA27" s="609"/>
      <c r="QAB27" s="609"/>
      <c r="QAC27" s="609"/>
      <c r="QAD27" s="609"/>
      <c r="QAE27" s="609"/>
      <c r="QAF27" s="609"/>
      <c r="QAG27" s="609"/>
      <c r="QAH27" s="609"/>
      <c r="QAI27" s="609"/>
      <c r="QAJ27" s="609"/>
      <c r="QAK27" s="609"/>
      <c r="QAL27" s="609"/>
      <c r="QAM27" s="609"/>
      <c r="QAN27" s="609"/>
      <c r="QAO27" s="609"/>
      <c r="QAP27" s="609"/>
      <c r="QAQ27" s="609"/>
      <c r="QAR27" s="609"/>
      <c r="QAS27" s="609"/>
      <c r="QAT27" s="609"/>
      <c r="QAU27" s="609"/>
      <c r="QAV27" s="609"/>
      <c r="QAW27" s="609"/>
      <c r="QAX27" s="609"/>
      <c r="QAY27" s="609"/>
      <c r="QAZ27" s="609"/>
      <c r="QBA27" s="609"/>
      <c r="QBB27" s="609"/>
      <c r="QBC27" s="609"/>
      <c r="QBD27" s="609"/>
      <c r="QBE27" s="609"/>
      <c r="QBF27" s="609"/>
      <c r="QBG27" s="609"/>
      <c r="QBH27" s="609"/>
      <c r="QBI27" s="609"/>
      <c r="QBJ27" s="609"/>
      <c r="QBK27" s="609"/>
      <c r="QBL27" s="609"/>
      <c r="QBM27" s="609"/>
      <c r="QBN27" s="609"/>
      <c r="QBO27" s="609"/>
      <c r="QBP27" s="609"/>
      <c r="QBQ27" s="609"/>
      <c r="QBR27" s="609"/>
      <c r="QBS27" s="609"/>
      <c r="QBT27" s="609"/>
      <c r="QBU27" s="609"/>
      <c r="QBV27" s="609"/>
      <c r="QBW27" s="609"/>
      <c r="QBX27" s="609"/>
      <c r="QBY27" s="609"/>
      <c r="QBZ27" s="609"/>
      <c r="QCA27" s="609"/>
      <c r="QCB27" s="609"/>
      <c r="QCC27" s="609"/>
      <c r="QCD27" s="609"/>
      <c r="QCE27" s="609"/>
      <c r="QCF27" s="609"/>
      <c r="QCG27" s="609"/>
      <c r="QCH27" s="609"/>
      <c r="QCI27" s="609"/>
      <c r="QCJ27" s="609"/>
      <c r="QCK27" s="609"/>
      <c r="QCL27" s="609"/>
      <c r="QCM27" s="609"/>
      <c r="QCN27" s="609"/>
      <c r="QCO27" s="609"/>
      <c r="QCP27" s="609"/>
      <c r="QCQ27" s="609"/>
      <c r="QCR27" s="609"/>
      <c r="QCS27" s="609"/>
      <c r="QCT27" s="609"/>
      <c r="QCU27" s="609"/>
      <c r="QCV27" s="609"/>
      <c r="QCW27" s="609"/>
      <c r="QCX27" s="609"/>
      <c r="QCY27" s="609"/>
      <c r="QCZ27" s="609"/>
      <c r="QDA27" s="609"/>
      <c r="QDB27" s="609"/>
      <c r="QDC27" s="609"/>
      <c r="QDD27" s="609"/>
      <c r="QDE27" s="609"/>
      <c r="QDF27" s="609"/>
      <c r="QDG27" s="609"/>
      <c r="QDH27" s="609"/>
      <c r="QDI27" s="609"/>
      <c r="QDJ27" s="609"/>
      <c r="QDK27" s="609"/>
      <c r="QDL27" s="609"/>
      <c r="QDM27" s="609"/>
      <c r="QDN27" s="609"/>
      <c r="QDO27" s="609"/>
      <c r="QDP27" s="609"/>
      <c r="QDQ27" s="609"/>
      <c r="QDR27" s="609"/>
      <c r="QDS27" s="609"/>
      <c r="QDT27" s="609"/>
      <c r="QDU27" s="609"/>
      <c r="QDV27" s="609"/>
      <c r="QDW27" s="609"/>
      <c r="QDX27" s="609"/>
      <c r="QDY27" s="609"/>
      <c r="QDZ27" s="609"/>
      <c r="QEA27" s="609"/>
      <c r="QEB27" s="609"/>
      <c r="QEC27" s="609"/>
      <c r="QED27" s="609"/>
      <c r="QEE27" s="609"/>
      <c r="QEF27" s="609"/>
      <c r="QEG27" s="609"/>
      <c r="QEH27" s="609"/>
      <c r="QEI27" s="609"/>
      <c r="QEJ27" s="609"/>
      <c r="QEK27" s="609"/>
      <c r="QEL27" s="609"/>
      <c r="QEM27" s="609"/>
      <c r="QEN27" s="609"/>
      <c r="QEO27" s="609"/>
      <c r="QEP27" s="609"/>
      <c r="QEQ27" s="609"/>
      <c r="QER27" s="609"/>
      <c r="QES27" s="609"/>
      <c r="QET27" s="609"/>
      <c r="QEU27" s="609"/>
      <c r="QEV27" s="609"/>
      <c r="QEW27" s="609"/>
      <c r="QEX27" s="609"/>
      <c r="QEY27" s="609"/>
      <c r="QEZ27" s="609"/>
      <c r="QFA27" s="609"/>
      <c r="QFB27" s="609"/>
      <c r="QFC27" s="609"/>
      <c r="QFD27" s="609"/>
      <c r="QFE27" s="609"/>
      <c r="QFF27" s="609"/>
      <c r="QFG27" s="609"/>
      <c r="QFH27" s="609"/>
      <c r="QFI27" s="609"/>
      <c r="QFJ27" s="609"/>
      <c r="QFK27" s="609"/>
      <c r="QFL27" s="609"/>
      <c r="QFM27" s="609"/>
      <c r="QFN27" s="609"/>
      <c r="QFO27" s="609"/>
      <c r="QFP27" s="609"/>
      <c r="QFQ27" s="609"/>
      <c r="QFR27" s="609"/>
      <c r="QFS27" s="609"/>
      <c r="QFT27" s="609"/>
      <c r="QFU27" s="609"/>
      <c r="QFV27" s="609"/>
      <c r="QFW27" s="609"/>
      <c r="QFX27" s="609"/>
      <c r="QFY27" s="609"/>
      <c r="QFZ27" s="609"/>
      <c r="QGA27" s="609"/>
      <c r="QGB27" s="609"/>
      <c r="QGC27" s="609"/>
      <c r="QGD27" s="609"/>
      <c r="QGE27" s="609"/>
      <c r="QGF27" s="609"/>
      <c r="QGG27" s="609"/>
      <c r="QGH27" s="609"/>
      <c r="QGI27" s="609"/>
      <c r="QGJ27" s="609"/>
      <c r="QGK27" s="609"/>
      <c r="QGL27" s="609"/>
      <c r="QGM27" s="609"/>
      <c r="QGN27" s="609"/>
      <c r="QGO27" s="609"/>
      <c r="QGP27" s="609"/>
      <c r="QGQ27" s="609"/>
      <c r="QGR27" s="609"/>
      <c r="QGS27" s="609"/>
      <c r="QGT27" s="609"/>
      <c r="QGU27" s="609"/>
      <c r="QGV27" s="609"/>
      <c r="QGW27" s="609"/>
      <c r="QGX27" s="609"/>
      <c r="QGY27" s="609"/>
      <c r="QGZ27" s="609"/>
      <c r="QHA27" s="609"/>
      <c r="QHB27" s="609"/>
      <c r="QHC27" s="609"/>
      <c r="QHD27" s="609"/>
      <c r="QHE27" s="609"/>
      <c r="QHF27" s="609"/>
      <c r="QHG27" s="609"/>
      <c r="QHH27" s="609"/>
      <c r="QHI27" s="609"/>
      <c r="QHJ27" s="609"/>
      <c r="QHK27" s="609"/>
      <c r="QHL27" s="609"/>
      <c r="QHM27" s="609"/>
      <c r="QHN27" s="609"/>
      <c r="QHO27" s="609"/>
      <c r="QHP27" s="609"/>
      <c r="QHQ27" s="609"/>
      <c r="QHR27" s="609"/>
      <c r="QHS27" s="609"/>
      <c r="QHT27" s="609"/>
      <c r="QHU27" s="609"/>
      <c r="QHV27" s="609"/>
      <c r="QHW27" s="609"/>
      <c r="QHX27" s="609"/>
      <c r="QHY27" s="609"/>
      <c r="QHZ27" s="609"/>
      <c r="QIA27" s="609"/>
      <c r="QIB27" s="609"/>
      <c r="QIC27" s="609"/>
      <c r="QID27" s="609"/>
      <c r="QIE27" s="609"/>
      <c r="QIF27" s="609"/>
      <c r="QIG27" s="609"/>
      <c r="QIH27" s="609"/>
      <c r="QII27" s="609"/>
      <c r="QIJ27" s="609"/>
      <c r="QIK27" s="609"/>
      <c r="QIL27" s="609"/>
      <c r="QIM27" s="609"/>
      <c r="QIN27" s="609"/>
      <c r="QIO27" s="609"/>
      <c r="QIP27" s="609"/>
      <c r="QIQ27" s="609"/>
      <c r="QIR27" s="609"/>
      <c r="QIS27" s="609"/>
      <c r="QIT27" s="609"/>
      <c r="QIU27" s="609"/>
      <c r="QIV27" s="609"/>
      <c r="QIW27" s="609"/>
      <c r="QIX27" s="609"/>
      <c r="QIY27" s="609"/>
      <c r="QIZ27" s="609"/>
      <c r="QJA27" s="609"/>
      <c r="QJB27" s="609"/>
      <c r="QJC27" s="609"/>
      <c r="QJD27" s="609"/>
      <c r="QJE27" s="609"/>
      <c r="QJF27" s="609"/>
      <c r="QJG27" s="609"/>
      <c r="QJH27" s="609"/>
      <c r="QJI27" s="609"/>
      <c r="QJJ27" s="609"/>
      <c r="QJK27" s="609"/>
      <c r="QJL27" s="609"/>
      <c r="QJM27" s="609"/>
      <c r="QJN27" s="609"/>
      <c r="QJO27" s="609"/>
      <c r="QJP27" s="609"/>
      <c r="QJQ27" s="609"/>
      <c r="QJR27" s="609"/>
      <c r="QJS27" s="609"/>
      <c r="QJT27" s="609"/>
      <c r="QJU27" s="609"/>
      <c r="QJV27" s="609"/>
      <c r="QJW27" s="609"/>
      <c r="QJX27" s="609"/>
      <c r="QJY27" s="609"/>
      <c r="QJZ27" s="609"/>
      <c r="QKA27" s="609"/>
      <c r="QKB27" s="609"/>
      <c r="QKC27" s="609"/>
      <c r="QKD27" s="609"/>
      <c r="QKE27" s="609"/>
      <c r="QKF27" s="609"/>
      <c r="QKG27" s="609"/>
      <c r="QKH27" s="609"/>
      <c r="QKI27" s="609"/>
      <c r="QKJ27" s="609"/>
      <c r="QKK27" s="609"/>
      <c r="QKL27" s="609"/>
      <c r="QKM27" s="609"/>
      <c r="QKN27" s="609"/>
      <c r="QKO27" s="609"/>
      <c r="QKP27" s="609"/>
      <c r="QKQ27" s="609"/>
      <c r="QKR27" s="609"/>
      <c r="QKS27" s="609"/>
      <c r="QKT27" s="609"/>
      <c r="QKU27" s="609"/>
      <c r="QKV27" s="609"/>
      <c r="QKW27" s="609"/>
      <c r="QKX27" s="609"/>
      <c r="QKY27" s="609"/>
      <c r="QKZ27" s="609"/>
      <c r="QLA27" s="609"/>
      <c r="QLB27" s="609"/>
      <c r="QLC27" s="609"/>
      <c r="QLD27" s="609"/>
      <c r="QLE27" s="609"/>
      <c r="QLF27" s="609"/>
      <c r="QLG27" s="609"/>
      <c r="QLH27" s="609"/>
      <c r="QLI27" s="609"/>
      <c r="QLJ27" s="609"/>
      <c r="QLK27" s="609"/>
      <c r="QLL27" s="609"/>
      <c r="QLM27" s="609"/>
      <c r="QLN27" s="609"/>
      <c r="QLO27" s="609"/>
      <c r="QLP27" s="609"/>
      <c r="QLQ27" s="609"/>
      <c r="QLR27" s="609"/>
      <c r="QLS27" s="609"/>
      <c r="QLT27" s="609"/>
      <c r="QLU27" s="609"/>
      <c r="QLV27" s="609"/>
      <c r="QLW27" s="609"/>
      <c r="QLX27" s="609"/>
      <c r="QLY27" s="609"/>
      <c r="QLZ27" s="609"/>
      <c r="QMA27" s="609"/>
      <c r="QMB27" s="609"/>
      <c r="QMC27" s="609"/>
      <c r="QMD27" s="609"/>
      <c r="QME27" s="609"/>
      <c r="QMF27" s="609"/>
      <c r="QMG27" s="609"/>
      <c r="QMH27" s="609"/>
      <c r="QMI27" s="609"/>
      <c r="QMJ27" s="609"/>
      <c r="QMK27" s="609"/>
      <c r="QML27" s="609"/>
      <c r="QMM27" s="609"/>
      <c r="QMN27" s="609"/>
      <c r="QMO27" s="609"/>
      <c r="QMP27" s="609"/>
      <c r="QMQ27" s="609"/>
      <c r="QMR27" s="609"/>
      <c r="QMS27" s="609"/>
      <c r="QMT27" s="609"/>
      <c r="QMU27" s="609"/>
      <c r="QMV27" s="609"/>
      <c r="QMW27" s="609"/>
      <c r="QMX27" s="609"/>
      <c r="QMY27" s="609"/>
      <c r="QMZ27" s="609"/>
      <c r="QNA27" s="609"/>
      <c r="QNB27" s="609"/>
      <c r="QNC27" s="609"/>
      <c r="QND27" s="609"/>
      <c r="QNE27" s="609"/>
      <c r="QNF27" s="609"/>
      <c r="QNG27" s="609"/>
      <c r="QNH27" s="609"/>
      <c r="QNI27" s="609"/>
      <c r="QNJ27" s="609"/>
      <c r="QNK27" s="609"/>
      <c r="QNL27" s="609"/>
      <c r="QNM27" s="609"/>
      <c r="QNN27" s="609"/>
      <c r="QNO27" s="609"/>
      <c r="QNP27" s="609"/>
      <c r="QNQ27" s="609"/>
      <c r="QNR27" s="609"/>
      <c r="QNS27" s="609"/>
      <c r="QNT27" s="609"/>
      <c r="QNU27" s="609"/>
      <c r="QNV27" s="609"/>
      <c r="QNW27" s="609"/>
      <c r="QNX27" s="609"/>
      <c r="QNY27" s="609"/>
      <c r="QNZ27" s="609"/>
      <c r="QOA27" s="609"/>
      <c r="QOB27" s="609"/>
      <c r="QOC27" s="609"/>
      <c r="QOD27" s="609"/>
      <c r="QOE27" s="609"/>
      <c r="QOF27" s="609"/>
      <c r="QOG27" s="609"/>
      <c r="QOH27" s="609"/>
      <c r="QOI27" s="609"/>
      <c r="QOJ27" s="609"/>
      <c r="QOK27" s="609"/>
      <c r="QOL27" s="609"/>
      <c r="QOM27" s="609"/>
      <c r="QON27" s="609"/>
      <c r="QOO27" s="609"/>
      <c r="QOP27" s="609"/>
      <c r="QOQ27" s="609"/>
      <c r="QOR27" s="609"/>
      <c r="QOS27" s="609"/>
      <c r="QOT27" s="609"/>
      <c r="QOU27" s="609"/>
      <c r="QOV27" s="609"/>
      <c r="QOW27" s="609"/>
      <c r="QOX27" s="609"/>
      <c r="QOY27" s="609"/>
      <c r="QOZ27" s="609"/>
      <c r="QPA27" s="609"/>
      <c r="QPB27" s="609"/>
      <c r="QPC27" s="609"/>
      <c r="QPD27" s="609"/>
      <c r="QPE27" s="609"/>
      <c r="QPF27" s="609"/>
      <c r="QPG27" s="609"/>
      <c r="QPH27" s="609"/>
      <c r="QPI27" s="609"/>
      <c r="QPJ27" s="609"/>
      <c r="QPK27" s="609"/>
      <c r="QPL27" s="609"/>
      <c r="QPM27" s="609"/>
      <c r="QPN27" s="609"/>
      <c r="QPO27" s="609"/>
      <c r="QPP27" s="609"/>
      <c r="QPQ27" s="609"/>
      <c r="QPR27" s="609"/>
      <c r="QPS27" s="609"/>
      <c r="QPT27" s="609"/>
      <c r="QPU27" s="609"/>
      <c r="QPV27" s="609"/>
      <c r="QPW27" s="609"/>
      <c r="QPX27" s="609"/>
      <c r="QPY27" s="609"/>
      <c r="QPZ27" s="609"/>
      <c r="QQA27" s="609"/>
      <c r="QQB27" s="609"/>
      <c r="QQC27" s="609"/>
      <c r="QQD27" s="609"/>
      <c r="QQE27" s="609"/>
      <c r="QQF27" s="609"/>
      <c r="QQG27" s="609"/>
      <c r="QQH27" s="609"/>
      <c r="QQI27" s="609"/>
      <c r="QQJ27" s="609"/>
      <c r="QQK27" s="609"/>
      <c r="QQL27" s="609"/>
      <c r="QQM27" s="609"/>
      <c r="QQN27" s="609"/>
      <c r="QQO27" s="609"/>
      <c r="QQP27" s="609"/>
      <c r="QQQ27" s="609"/>
      <c r="QQR27" s="609"/>
      <c r="QQS27" s="609"/>
      <c r="QQT27" s="609"/>
      <c r="QQU27" s="609"/>
      <c r="QQV27" s="609"/>
      <c r="QQW27" s="609"/>
      <c r="QQX27" s="609"/>
      <c r="QQY27" s="609"/>
      <c r="QQZ27" s="609"/>
      <c r="QRA27" s="609"/>
      <c r="QRB27" s="609"/>
      <c r="QRC27" s="609"/>
      <c r="QRD27" s="609"/>
      <c r="QRE27" s="609"/>
      <c r="QRF27" s="609"/>
      <c r="QRG27" s="609"/>
      <c r="QRH27" s="609"/>
      <c r="QRI27" s="609"/>
      <c r="QRJ27" s="609"/>
      <c r="QRK27" s="609"/>
      <c r="QRL27" s="609"/>
      <c r="QRM27" s="609"/>
      <c r="QRN27" s="609"/>
      <c r="QRO27" s="609"/>
      <c r="QRP27" s="609"/>
      <c r="QRQ27" s="609"/>
      <c r="QRR27" s="609"/>
      <c r="QRS27" s="609"/>
      <c r="QRT27" s="609"/>
      <c r="QRU27" s="609"/>
      <c r="QRV27" s="609"/>
      <c r="QRW27" s="609"/>
      <c r="QRX27" s="609"/>
      <c r="QRY27" s="609"/>
      <c r="QRZ27" s="609"/>
      <c r="QSA27" s="609"/>
      <c r="QSB27" s="609"/>
      <c r="QSC27" s="609"/>
      <c r="QSD27" s="609"/>
      <c r="QSE27" s="609"/>
      <c r="QSF27" s="609"/>
      <c r="QSG27" s="609"/>
      <c r="QSH27" s="609"/>
      <c r="QSI27" s="609"/>
      <c r="QSJ27" s="609"/>
      <c r="QSK27" s="609"/>
      <c r="QSL27" s="609"/>
      <c r="QSM27" s="609"/>
      <c r="QSN27" s="609"/>
      <c r="QSO27" s="609"/>
      <c r="QSP27" s="609"/>
      <c r="QSQ27" s="609"/>
      <c r="QSR27" s="609"/>
      <c r="QSS27" s="609"/>
      <c r="QST27" s="609"/>
      <c r="QSU27" s="609"/>
      <c r="QSV27" s="609"/>
      <c r="QSW27" s="609"/>
      <c r="QSX27" s="609"/>
      <c r="QSY27" s="609"/>
      <c r="QSZ27" s="609"/>
      <c r="QTA27" s="609"/>
      <c r="QTB27" s="609"/>
      <c r="QTC27" s="609"/>
      <c r="QTD27" s="609"/>
      <c r="QTE27" s="609"/>
      <c r="QTF27" s="609"/>
      <c r="QTG27" s="609"/>
      <c r="QTH27" s="609"/>
      <c r="QTI27" s="609"/>
      <c r="QTJ27" s="609"/>
      <c r="QTK27" s="609"/>
      <c r="QTL27" s="609"/>
      <c r="QTM27" s="609"/>
      <c r="QTN27" s="609"/>
      <c r="QTO27" s="609"/>
      <c r="QTP27" s="609"/>
      <c r="QTQ27" s="609"/>
      <c r="QTR27" s="609"/>
      <c r="QTS27" s="609"/>
      <c r="QTT27" s="609"/>
      <c r="QTU27" s="609"/>
      <c r="QTV27" s="609"/>
      <c r="QTW27" s="609"/>
      <c r="QTX27" s="609"/>
      <c r="QTY27" s="609"/>
      <c r="QTZ27" s="609"/>
      <c r="QUA27" s="609"/>
      <c r="QUB27" s="609"/>
      <c r="QUC27" s="609"/>
      <c r="QUD27" s="609"/>
      <c r="QUE27" s="609"/>
      <c r="QUF27" s="609"/>
      <c r="QUG27" s="609"/>
      <c r="QUH27" s="609"/>
      <c r="QUI27" s="609"/>
      <c r="QUJ27" s="609"/>
      <c r="QUK27" s="609"/>
      <c r="QUL27" s="609"/>
      <c r="QUM27" s="609"/>
      <c r="QUN27" s="609"/>
      <c r="QUO27" s="609"/>
      <c r="QUP27" s="609"/>
      <c r="QUQ27" s="609"/>
      <c r="QUR27" s="609"/>
      <c r="QUS27" s="609"/>
      <c r="QUT27" s="609"/>
      <c r="QUU27" s="609"/>
      <c r="QUV27" s="609"/>
      <c r="QUW27" s="609"/>
      <c r="QUX27" s="609"/>
      <c r="QUY27" s="609"/>
      <c r="QUZ27" s="609"/>
      <c r="QVA27" s="609"/>
      <c r="QVB27" s="609"/>
      <c r="QVC27" s="609"/>
      <c r="QVD27" s="609"/>
      <c r="QVE27" s="609"/>
      <c r="QVF27" s="609"/>
      <c r="QVG27" s="609"/>
      <c r="QVH27" s="609"/>
      <c r="QVI27" s="609"/>
      <c r="QVJ27" s="609"/>
      <c r="QVK27" s="609"/>
      <c r="QVL27" s="609"/>
      <c r="QVM27" s="609"/>
      <c r="QVN27" s="609"/>
      <c r="QVO27" s="609"/>
      <c r="QVP27" s="609"/>
      <c r="QVQ27" s="609"/>
      <c r="QVR27" s="609"/>
      <c r="QVS27" s="609"/>
      <c r="QVT27" s="609"/>
      <c r="QVU27" s="609"/>
      <c r="QVV27" s="609"/>
      <c r="QVW27" s="609"/>
      <c r="QVX27" s="609"/>
      <c r="QVY27" s="609"/>
      <c r="QVZ27" s="609"/>
      <c r="QWA27" s="609"/>
      <c r="QWB27" s="609"/>
      <c r="QWC27" s="609"/>
      <c r="QWD27" s="609"/>
      <c r="QWE27" s="609"/>
      <c r="QWF27" s="609"/>
      <c r="QWG27" s="609"/>
      <c r="QWH27" s="609"/>
      <c r="QWI27" s="609"/>
      <c r="QWJ27" s="609"/>
      <c r="QWK27" s="609"/>
      <c r="QWL27" s="609"/>
      <c r="QWM27" s="609"/>
      <c r="QWN27" s="609"/>
      <c r="QWO27" s="609"/>
      <c r="QWP27" s="609"/>
      <c r="QWQ27" s="609"/>
      <c r="QWR27" s="609"/>
      <c r="QWS27" s="609"/>
      <c r="QWT27" s="609"/>
      <c r="QWU27" s="609"/>
      <c r="QWV27" s="609"/>
      <c r="QWW27" s="609"/>
      <c r="QWX27" s="609"/>
      <c r="QWY27" s="609"/>
      <c r="QWZ27" s="609"/>
      <c r="QXA27" s="609"/>
      <c r="QXB27" s="609"/>
      <c r="QXC27" s="609"/>
      <c r="QXD27" s="609"/>
      <c r="QXE27" s="609"/>
      <c r="QXF27" s="609"/>
      <c r="QXG27" s="609"/>
      <c r="QXH27" s="609"/>
      <c r="QXI27" s="609"/>
      <c r="QXJ27" s="609"/>
      <c r="QXK27" s="609"/>
      <c r="QXL27" s="609"/>
      <c r="QXM27" s="609"/>
      <c r="QXN27" s="609"/>
      <c r="QXO27" s="609"/>
      <c r="QXP27" s="609"/>
      <c r="QXQ27" s="609"/>
      <c r="QXR27" s="609"/>
      <c r="QXS27" s="609"/>
      <c r="QXT27" s="609"/>
      <c r="QXU27" s="609"/>
      <c r="QXV27" s="609"/>
      <c r="QXW27" s="609"/>
      <c r="QXX27" s="609"/>
      <c r="QXY27" s="609"/>
      <c r="QXZ27" s="609"/>
      <c r="QYA27" s="609"/>
      <c r="QYB27" s="609"/>
      <c r="QYC27" s="609"/>
      <c r="QYD27" s="609"/>
      <c r="QYE27" s="609"/>
      <c r="QYF27" s="609"/>
      <c r="QYG27" s="609"/>
      <c r="QYH27" s="609"/>
      <c r="QYI27" s="609"/>
      <c r="QYJ27" s="609"/>
      <c r="QYK27" s="609"/>
      <c r="QYL27" s="609"/>
      <c r="QYM27" s="609"/>
      <c r="QYN27" s="609"/>
      <c r="QYO27" s="609"/>
      <c r="QYP27" s="609"/>
      <c r="QYQ27" s="609"/>
      <c r="QYR27" s="609"/>
      <c r="QYS27" s="609"/>
      <c r="QYT27" s="609"/>
      <c r="QYU27" s="609"/>
      <c r="QYV27" s="609"/>
      <c r="QYW27" s="609"/>
      <c r="QYX27" s="609"/>
      <c r="QYY27" s="609"/>
      <c r="QYZ27" s="609"/>
      <c r="QZA27" s="609"/>
      <c r="QZB27" s="609"/>
      <c r="QZC27" s="609"/>
      <c r="QZD27" s="609"/>
      <c r="QZE27" s="609"/>
      <c r="QZF27" s="609"/>
      <c r="QZG27" s="609"/>
      <c r="QZH27" s="609"/>
      <c r="QZI27" s="609"/>
      <c r="QZJ27" s="609"/>
      <c r="QZK27" s="609"/>
      <c r="QZL27" s="609"/>
      <c r="QZM27" s="609"/>
      <c r="QZN27" s="609"/>
      <c r="QZO27" s="609"/>
      <c r="QZP27" s="609"/>
      <c r="QZQ27" s="609"/>
      <c r="QZR27" s="609"/>
      <c r="QZS27" s="609"/>
      <c r="QZT27" s="609"/>
      <c r="QZU27" s="609"/>
      <c r="QZV27" s="609"/>
      <c r="QZW27" s="609"/>
      <c r="QZX27" s="609"/>
      <c r="QZY27" s="609"/>
      <c r="QZZ27" s="609"/>
      <c r="RAA27" s="609"/>
      <c r="RAB27" s="609"/>
      <c r="RAC27" s="609"/>
      <c r="RAD27" s="609"/>
      <c r="RAE27" s="609"/>
      <c r="RAF27" s="609"/>
      <c r="RAG27" s="609"/>
      <c r="RAH27" s="609"/>
      <c r="RAI27" s="609"/>
      <c r="RAJ27" s="609"/>
      <c r="RAK27" s="609"/>
      <c r="RAL27" s="609"/>
      <c r="RAM27" s="609"/>
      <c r="RAN27" s="609"/>
      <c r="RAO27" s="609"/>
      <c r="RAP27" s="609"/>
      <c r="RAQ27" s="609"/>
      <c r="RAR27" s="609"/>
      <c r="RAS27" s="609"/>
      <c r="RAT27" s="609"/>
      <c r="RAU27" s="609"/>
      <c r="RAV27" s="609"/>
      <c r="RAW27" s="609"/>
      <c r="RAX27" s="609"/>
      <c r="RAY27" s="609"/>
      <c r="RAZ27" s="609"/>
      <c r="RBA27" s="609"/>
      <c r="RBB27" s="609"/>
      <c r="RBC27" s="609"/>
      <c r="RBD27" s="609"/>
      <c r="RBE27" s="609"/>
      <c r="RBF27" s="609"/>
      <c r="RBG27" s="609"/>
      <c r="RBH27" s="609"/>
      <c r="RBI27" s="609"/>
      <c r="RBJ27" s="609"/>
      <c r="RBK27" s="609"/>
      <c r="RBL27" s="609"/>
      <c r="RBM27" s="609"/>
      <c r="RBN27" s="609"/>
      <c r="RBO27" s="609"/>
      <c r="RBP27" s="609"/>
      <c r="RBQ27" s="609"/>
      <c r="RBR27" s="609"/>
      <c r="RBS27" s="609"/>
      <c r="RBT27" s="609"/>
      <c r="RBU27" s="609"/>
      <c r="RBV27" s="609"/>
      <c r="RBW27" s="609"/>
      <c r="RBX27" s="609"/>
      <c r="RBY27" s="609"/>
      <c r="RBZ27" s="609"/>
      <c r="RCA27" s="609"/>
      <c r="RCB27" s="609"/>
      <c r="RCC27" s="609"/>
      <c r="RCD27" s="609"/>
      <c r="RCE27" s="609"/>
      <c r="RCF27" s="609"/>
      <c r="RCG27" s="609"/>
      <c r="RCH27" s="609"/>
      <c r="RCI27" s="609"/>
      <c r="RCJ27" s="609"/>
      <c r="RCK27" s="609"/>
      <c r="RCL27" s="609"/>
      <c r="RCM27" s="609"/>
      <c r="RCN27" s="609"/>
      <c r="RCO27" s="609"/>
      <c r="RCP27" s="609"/>
      <c r="RCQ27" s="609"/>
      <c r="RCR27" s="609"/>
      <c r="RCS27" s="609"/>
      <c r="RCT27" s="609"/>
      <c r="RCU27" s="609"/>
      <c r="RCV27" s="609"/>
      <c r="RCW27" s="609"/>
      <c r="RCX27" s="609"/>
      <c r="RCY27" s="609"/>
      <c r="RCZ27" s="609"/>
      <c r="RDA27" s="609"/>
      <c r="RDB27" s="609"/>
      <c r="RDC27" s="609"/>
      <c r="RDD27" s="609"/>
      <c r="RDE27" s="609"/>
      <c r="RDF27" s="609"/>
      <c r="RDG27" s="609"/>
      <c r="RDH27" s="609"/>
      <c r="RDI27" s="609"/>
      <c r="RDJ27" s="609"/>
      <c r="RDK27" s="609"/>
      <c r="RDL27" s="609"/>
      <c r="RDM27" s="609"/>
      <c r="RDN27" s="609"/>
      <c r="RDO27" s="609"/>
      <c r="RDP27" s="609"/>
      <c r="RDQ27" s="609"/>
      <c r="RDR27" s="609"/>
      <c r="RDS27" s="609"/>
      <c r="RDT27" s="609"/>
      <c r="RDU27" s="609"/>
      <c r="RDV27" s="609"/>
      <c r="RDW27" s="609"/>
      <c r="RDX27" s="609"/>
      <c r="RDY27" s="609"/>
      <c r="RDZ27" s="609"/>
      <c r="REA27" s="609"/>
      <c r="REB27" s="609"/>
      <c r="REC27" s="609"/>
      <c r="RED27" s="609"/>
      <c r="REE27" s="609"/>
      <c r="REF27" s="609"/>
      <c r="REG27" s="609"/>
      <c r="REH27" s="609"/>
      <c r="REI27" s="609"/>
      <c r="REJ27" s="609"/>
      <c r="REK27" s="609"/>
      <c r="REL27" s="609"/>
      <c r="REM27" s="609"/>
      <c r="REN27" s="609"/>
      <c r="REO27" s="609"/>
      <c r="REP27" s="609"/>
      <c r="REQ27" s="609"/>
      <c r="RER27" s="609"/>
      <c r="RES27" s="609"/>
      <c r="RET27" s="609"/>
      <c r="REU27" s="609"/>
      <c r="REV27" s="609"/>
      <c r="REW27" s="609"/>
      <c r="REX27" s="609"/>
      <c r="REY27" s="609"/>
      <c r="REZ27" s="609"/>
      <c r="RFA27" s="609"/>
      <c r="RFB27" s="609"/>
      <c r="RFC27" s="609"/>
      <c r="RFD27" s="609"/>
      <c r="RFE27" s="609"/>
      <c r="RFF27" s="609"/>
      <c r="RFG27" s="609"/>
      <c r="RFH27" s="609"/>
      <c r="RFI27" s="609"/>
      <c r="RFJ27" s="609"/>
      <c r="RFK27" s="609"/>
      <c r="RFL27" s="609"/>
      <c r="RFM27" s="609"/>
      <c r="RFN27" s="609"/>
      <c r="RFO27" s="609"/>
      <c r="RFP27" s="609"/>
      <c r="RFQ27" s="609"/>
      <c r="RFR27" s="609"/>
      <c r="RFS27" s="609"/>
      <c r="RFT27" s="609"/>
      <c r="RFU27" s="609"/>
      <c r="RFV27" s="609"/>
      <c r="RFW27" s="609"/>
      <c r="RFX27" s="609"/>
      <c r="RFY27" s="609"/>
      <c r="RFZ27" s="609"/>
      <c r="RGA27" s="609"/>
      <c r="RGB27" s="609"/>
      <c r="RGC27" s="609"/>
      <c r="RGD27" s="609"/>
      <c r="RGE27" s="609"/>
      <c r="RGF27" s="609"/>
      <c r="RGG27" s="609"/>
      <c r="RGH27" s="609"/>
      <c r="RGI27" s="609"/>
      <c r="RGJ27" s="609"/>
      <c r="RGK27" s="609"/>
      <c r="RGL27" s="609"/>
      <c r="RGM27" s="609"/>
      <c r="RGN27" s="609"/>
      <c r="RGO27" s="609"/>
      <c r="RGP27" s="609"/>
      <c r="RGQ27" s="609"/>
      <c r="RGR27" s="609"/>
      <c r="RGS27" s="609"/>
      <c r="RGT27" s="609"/>
      <c r="RGU27" s="609"/>
      <c r="RGV27" s="609"/>
      <c r="RGW27" s="609"/>
      <c r="RGX27" s="609"/>
      <c r="RGY27" s="609"/>
      <c r="RGZ27" s="609"/>
      <c r="RHA27" s="609"/>
      <c r="RHB27" s="609"/>
      <c r="RHC27" s="609"/>
      <c r="RHD27" s="609"/>
      <c r="RHE27" s="609"/>
      <c r="RHF27" s="609"/>
      <c r="RHG27" s="609"/>
      <c r="RHH27" s="609"/>
      <c r="RHI27" s="609"/>
      <c r="RHJ27" s="609"/>
      <c r="RHK27" s="609"/>
      <c r="RHL27" s="609"/>
      <c r="RHM27" s="609"/>
      <c r="RHN27" s="609"/>
      <c r="RHO27" s="609"/>
      <c r="RHP27" s="609"/>
      <c r="RHQ27" s="609"/>
      <c r="RHR27" s="609"/>
      <c r="RHS27" s="609"/>
      <c r="RHT27" s="609"/>
      <c r="RHU27" s="609"/>
      <c r="RHV27" s="609"/>
      <c r="RHW27" s="609"/>
      <c r="RHX27" s="609"/>
      <c r="RHY27" s="609"/>
      <c r="RHZ27" s="609"/>
      <c r="RIA27" s="609"/>
      <c r="RIB27" s="609"/>
      <c r="RIC27" s="609"/>
      <c r="RID27" s="609"/>
      <c r="RIE27" s="609"/>
      <c r="RIF27" s="609"/>
      <c r="RIG27" s="609"/>
      <c r="RIH27" s="609"/>
      <c r="RII27" s="609"/>
      <c r="RIJ27" s="609"/>
      <c r="RIK27" s="609"/>
      <c r="RIL27" s="609"/>
      <c r="RIM27" s="609"/>
      <c r="RIN27" s="609"/>
      <c r="RIO27" s="609"/>
      <c r="RIP27" s="609"/>
      <c r="RIQ27" s="609"/>
      <c r="RIR27" s="609"/>
      <c r="RIS27" s="609"/>
      <c r="RIT27" s="609"/>
      <c r="RIU27" s="609"/>
      <c r="RIV27" s="609"/>
      <c r="RIW27" s="609"/>
      <c r="RIX27" s="609"/>
      <c r="RIY27" s="609"/>
      <c r="RIZ27" s="609"/>
      <c r="RJA27" s="609"/>
      <c r="RJB27" s="609"/>
      <c r="RJC27" s="609"/>
      <c r="RJD27" s="609"/>
      <c r="RJE27" s="609"/>
      <c r="RJF27" s="609"/>
      <c r="RJG27" s="609"/>
      <c r="RJH27" s="609"/>
      <c r="RJI27" s="609"/>
      <c r="RJJ27" s="609"/>
      <c r="RJK27" s="609"/>
      <c r="RJL27" s="609"/>
      <c r="RJM27" s="609"/>
      <c r="RJN27" s="609"/>
      <c r="RJO27" s="609"/>
      <c r="RJP27" s="609"/>
      <c r="RJQ27" s="609"/>
      <c r="RJR27" s="609"/>
      <c r="RJS27" s="609"/>
      <c r="RJT27" s="609"/>
      <c r="RJU27" s="609"/>
      <c r="RJV27" s="609"/>
      <c r="RJW27" s="609"/>
      <c r="RJX27" s="609"/>
      <c r="RJY27" s="609"/>
      <c r="RJZ27" s="609"/>
      <c r="RKA27" s="609"/>
      <c r="RKB27" s="609"/>
      <c r="RKC27" s="609"/>
      <c r="RKD27" s="609"/>
      <c r="RKE27" s="609"/>
      <c r="RKF27" s="609"/>
      <c r="RKG27" s="609"/>
      <c r="RKH27" s="609"/>
      <c r="RKI27" s="609"/>
      <c r="RKJ27" s="609"/>
      <c r="RKK27" s="609"/>
      <c r="RKL27" s="609"/>
      <c r="RKM27" s="609"/>
      <c r="RKN27" s="609"/>
      <c r="RKO27" s="609"/>
      <c r="RKP27" s="609"/>
      <c r="RKQ27" s="609"/>
      <c r="RKR27" s="609"/>
      <c r="RKS27" s="609"/>
      <c r="RKT27" s="609"/>
      <c r="RKU27" s="609"/>
      <c r="RKV27" s="609"/>
      <c r="RKW27" s="609"/>
      <c r="RKX27" s="609"/>
      <c r="RKY27" s="609"/>
      <c r="RKZ27" s="609"/>
      <c r="RLA27" s="609"/>
      <c r="RLB27" s="609"/>
      <c r="RLC27" s="609"/>
      <c r="RLD27" s="609"/>
      <c r="RLE27" s="609"/>
      <c r="RLF27" s="609"/>
      <c r="RLG27" s="609"/>
      <c r="RLH27" s="609"/>
      <c r="RLI27" s="609"/>
      <c r="RLJ27" s="609"/>
      <c r="RLK27" s="609"/>
      <c r="RLL27" s="609"/>
      <c r="RLM27" s="609"/>
      <c r="RLN27" s="609"/>
      <c r="RLO27" s="609"/>
      <c r="RLP27" s="609"/>
      <c r="RLQ27" s="609"/>
      <c r="RLR27" s="609"/>
      <c r="RLS27" s="609"/>
      <c r="RLT27" s="609"/>
      <c r="RLU27" s="609"/>
      <c r="RLV27" s="609"/>
      <c r="RLW27" s="609"/>
      <c r="RLX27" s="609"/>
      <c r="RLY27" s="609"/>
      <c r="RLZ27" s="609"/>
      <c r="RMA27" s="609"/>
      <c r="RMB27" s="609"/>
      <c r="RMC27" s="609"/>
      <c r="RMD27" s="609"/>
      <c r="RME27" s="609"/>
      <c r="RMF27" s="609"/>
      <c r="RMG27" s="609"/>
      <c r="RMH27" s="609"/>
      <c r="RMI27" s="609"/>
      <c r="RMJ27" s="609"/>
      <c r="RMK27" s="609"/>
      <c r="RML27" s="609"/>
      <c r="RMM27" s="609"/>
      <c r="RMN27" s="609"/>
      <c r="RMO27" s="609"/>
      <c r="RMP27" s="609"/>
      <c r="RMQ27" s="609"/>
      <c r="RMR27" s="609"/>
      <c r="RMS27" s="609"/>
      <c r="RMT27" s="609"/>
      <c r="RMU27" s="609"/>
      <c r="RMV27" s="609"/>
      <c r="RMW27" s="609"/>
      <c r="RMX27" s="609"/>
      <c r="RMY27" s="609"/>
      <c r="RMZ27" s="609"/>
      <c r="RNA27" s="609"/>
      <c r="RNB27" s="609"/>
      <c r="RNC27" s="609"/>
      <c r="RND27" s="609"/>
      <c r="RNE27" s="609"/>
      <c r="RNF27" s="609"/>
      <c r="RNG27" s="609"/>
      <c r="RNH27" s="609"/>
      <c r="RNI27" s="609"/>
      <c r="RNJ27" s="609"/>
      <c r="RNK27" s="609"/>
      <c r="RNL27" s="609"/>
      <c r="RNM27" s="609"/>
      <c r="RNN27" s="609"/>
      <c r="RNO27" s="609"/>
      <c r="RNP27" s="609"/>
      <c r="RNQ27" s="609"/>
      <c r="RNR27" s="609"/>
      <c r="RNS27" s="609"/>
      <c r="RNT27" s="609"/>
      <c r="RNU27" s="609"/>
      <c r="RNV27" s="609"/>
      <c r="RNW27" s="609"/>
      <c r="RNX27" s="609"/>
      <c r="RNY27" s="609"/>
      <c r="RNZ27" s="609"/>
      <c r="ROA27" s="609"/>
      <c r="ROB27" s="609"/>
      <c r="ROC27" s="609"/>
      <c r="ROD27" s="609"/>
      <c r="ROE27" s="609"/>
      <c r="ROF27" s="609"/>
      <c r="ROG27" s="609"/>
      <c r="ROH27" s="609"/>
      <c r="ROI27" s="609"/>
      <c r="ROJ27" s="609"/>
      <c r="ROK27" s="609"/>
      <c r="ROL27" s="609"/>
      <c r="ROM27" s="609"/>
      <c r="RON27" s="609"/>
      <c r="ROO27" s="609"/>
      <c r="ROP27" s="609"/>
      <c r="ROQ27" s="609"/>
      <c r="ROR27" s="609"/>
      <c r="ROS27" s="609"/>
      <c r="ROT27" s="609"/>
      <c r="ROU27" s="609"/>
      <c r="ROV27" s="609"/>
      <c r="ROW27" s="609"/>
      <c r="ROX27" s="609"/>
      <c r="ROY27" s="609"/>
      <c r="ROZ27" s="609"/>
      <c r="RPA27" s="609"/>
      <c r="RPB27" s="609"/>
      <c r="RPC27" s="609"/>
      <c r="RPD27" s="609"/>
      <c r="RPE27" s="609"/>
      <c r="RPF27" s="609"/>
      <c r="RPG27" s="609"/>
      <c r="RPH27" s="609"/>
      <c r="RPI27" s="609"/>
      <c r="RPJ27" s="609"/>
      <c r="RPK27" s="609"/>
      <c r="RPL27" s="609"/>
      <c r="RPM27" s="609"/>
      <c r="RPN27" s="609"/>
      <c r="RPO27" s="609"/>
      <c r="RPP27" s="609"/>
      <c r="RPQ27" s="609"/>
      <c r="RPR27" s="609"/>
      <c r="RPS27" s="609"/>
      <c r="RPT27" s="609"/>
      <c r="RPU27" s="609"/>
      <c r="RPV27" s="609"/>
      <c r="RPW27" s="609"/>
      <c r="RPX27" s="609"/>
      <c r="RPY27" s="609"/>
      <c r="RPZ27" s="609"/>
      <c r="RQA27" s="609"/>
      <c r="RQB27" s="609"/>
      <c r="RQC27" s="609"/>
      <c r="RQD27" s="609"/>
      <c r="RQE27" s="609"/>
      <c r="RQF27" s="609"/>
      <c r="RQG27" s="609"/>
      <c r="RQH27" s="609"/>
      <c r="RQI27" s="609"/>
      <c r="RQJ27" s="609"/>
      <c r="RQK27" s="609"/>
      <c r="RQL27" s="609"/>
      <c r="RQM27" s="609"/>
      <c r="RQN27" s="609"/>
      <c r="RQO27" s="609"/>
      <c r="RQP27" s="609"/>
      <c r="RQQ27" s="609"/>
      <c r="RQR27" s="609"/>
      <c r="RQS27" s="609"/>
      <c r="RQT27" s="609"/>
      <c r="RQU27" s="609"/>
      <c r="RQV27" s="609"/>
      <c r="RQW27" s="609"/>
      <c r="RQX27" s="609"/>
      <c r="RQY27" s="609"/>
      <c r="RQZ27" s="609"/>
      <c r="RRA27" s="609"/>
      <c r="RRB27" s="609"/>
      <c r="RRC27" s="609"/>
      <c r="RRD27" s="609"/>
      <c r="RRE27" s="609"/>
      <c r="RRF27" s="609"/>
      <c r="RRG27" s="609"/>
      <c r="RRH27" s="609"/>
      <c r="RRI27" s="609"/>
      <c r="RRJ27" s="609"/>
      <c r="RRK27" s="609"/>
      <c r="RRL27" s="609"/>
      <c r="RRM27" s="609"/>
      <c r="RRN27" s="609"/>
      <c r="RRO27" s="609"/>
      <c r="RRP27" s="609"/>
      <c r="RRQ27" s="609"/>
      <c r="RRR27" s="609"/>
      <c r="RRS27" s="609"/>
      <c r="RRT27" s="609"/>
      <c r="RRU27" s="609"/>
      <c r="RRV27" s="609"/>
      <c r="RRW27" s="609"/>
      <c r="RRX27" s="609"/>
      <c r="RRY27" s="609"/>
      <c r="RRZ27" s="609"/>
      <c r="RSA27" s="609"/>
      <c r="RSB27" s="609"/>
      <c r="RSC27" s="609"/>
      <c r="RSD27" s="609"/>
      <c r="RSE27" s="609"/>
      <c r="RSF27" s="609"/>
      <c r="RSG27" s="609"/>
      <c r="RSH27" s="609"/>
      <c r="RSI27" s="609"/>
      <c r="RSJ27" s="609"/>
      <c r="RSK27" s="609"/>
      <c r="RSL27" s="609"/>
      <c r="RSM27" s="609"/>
      <c r="RSN27" s="609"/>
      <c r="RSO27" s="609"/>
      <c r="RSP27" s="609"/>
      <c r="RSQ27" s="609"/>
      <c r="RSR27" s="609"/>
      <c r="RSS27" s="609"/>
      <c r="RST27" s="609"/>
      <c r="RSU27" s="609"/>
      <c r="RSV27" s="609"/>
      <c r="RSW27" s="609"/>
      <c r="RSX27" s="609"/>
      <c r="RSY27" s="609"/>
      <c r="RSZ27" s="609"/>
      <c r="RTA27" s="609"/>
      <c r="RTB27" s="609"/>
      <c r="RTC27" s="609"/>
      <c r="RTD27" s="609"/>
      <c r="RTE27" s="609"/>
      <c r="RTF27" s="609"/>
      <c r="RTG27" s="609"/>
      <c r="RTH27" s="609"/>
      <c r="RTI27" s="609"/>
      <c r="RTJ27" s="609"/>
      <c r="RTK27" s="609"/>
      <c r="RTL27" s="609"/>
      <c r="RTM27" s="609"/>
      <c r="RTN27" s="609"/>
      <c r="RTO27" s="609"/>
      <c r="RTP27" s="609"/>
      <c r="RTQ27" s="609"/>
      <c r="RTR27" s="609"/>
      <c r="RTS27" s="609"/>
      <c r="RTT27" s="609"/>
      <c r="RTU27" s="609"/>
      <c r="RTV27" s="609"/>
      <c r="RTW27" s="609"/>
      <c r="RTX27" s="609"/>
      <c r="RTY27" s="609"/>
      <c r="RTZ27" s="609"/>
      <c r="RUA27" s="609"/>
      <c r="RUB27" s="609"/>
      <c r="RUC27" s="609"/>
      <c r="RUD27" s="609"/>
      <c r="RUE27" s="609"/>
      <c r="RUF27" s="609"/>
      <c r="RUG27" s="609"/>
      <c r="RUH27" s="609"/>
      <c r="RUI27" s="609"/>
      <c r="RUJ27" s="609"/>
      <c r="RUK27" s="609"/>
      <c r="RUL27" s="609"/>
      <c r="RUM27" s="609"/>
      <c r="RUN27" s="609"/>
      <c r="RUO27" s="609"/>
      <c r="RUP27" s="609"/>
      <c r="RUQ27" s="609"/>
      <c r="RUR27" s="609"/>
      <c r="RUS27" s="609"/>
      <c r="RUT27" s="609"/>
      <c r="RUU27" s="609"/>
      <c r="RUV27" s="609"/>
      <c r="RUW27" s="609"/>
      <c r="RUX27" s="609"/>
      <c r="RUY27" s="609"/>
      <c r="RUZ27" s="609"/>
      <c r="RVA27" s="609"/>
      <c r="RVB27" s="609"/>
      <c r="RVC27" s="609"/>
      <c r="RVD27" s="609"/>
      <c r="RVE27" s="609"/>
      <c r="RVF27" s="609"/>
      <c r="RVG27" s="609"/>
      <c r="RVH27" s="609"/>
      <c r="RVI27" s="609"/>
      <c r="RVJ27" s="609"/>
      <c r="RVK27" s="609"/>
      <c r="RVL27" s="609"/>
      <c r="RVM27" s="609"/>
      <c r="RVN27" s="609"/>
      <c r="RVO27" s="609"/>
      <c r="RVP27" s="609"/>
      <c r="RVQ27" s="609"/>
      <c r="RVR27" s="609"/>
      <c r="RVS27" s="609"/>
      <c r="RVT27" s="609"/>
      <c r="RVU27" s="609"/>
      <c r="RVV27" s="609"/>
      <c r="RVW27" s="609"/>
      <c r="RVX27" s="609"/>
      <c r="RVY27" s="609"/>
      <c r="RVZ27" s="609"/>
      <c r="RWA27" s="609"/>
      <c r="RWB27" s="609"/>
      <c r="RWC27" s="609"/>
      <c r="RWD27" s="609"/>
      <c r="RWE27" s="609"/>
      <c r="RWF27" s="609"/>
      <c r="RWG27" s="609"/>
      <c r="RWH27" s="609"/>
      <c r="RWI27" s="609"/>
      <c r="RWJ27" s="609"/>
      <c r="RWK27" s="609"/>
      <c r="RWL27" s="609"/>
      <c r="RWM27" s="609"/>
      <c r="RWN27" s="609"/>
      <c r="RWO27" s="609"/>
      <c r="RWP27" s="609"/>
      <c r="RWQ27" s="609"/>
      <c r="RWR27" s="609"/>
      <c r="RWS27" s="609"/>
      <c r="RWT27" s="609"/>
      <c r="RWU27" s="609"/>
      <c r="RWV27" s="609"/>
      <c r="RWW27" s="609"/>
      <c r="RWX27" s="609"/>
      <c r="RWY27" s="609"/>
      <c r="RWZ27" s="609"/>
      <c r="RXA27" s="609"/>
      <c r="RXB27" s="609"/>
      <c r="RXC27" s="609"/>
      <c r="RXD27" s="609"/>
      <c r="RXE27" s="609"/>
      <c r="RXF27" s="609"/>
      <c r="RXG27" s="609"/>
      <c r="RXH27" s="609"/>
      <c r="RXI27" s="609"/>
      <c r="RXJ27" s="609"/>
      <c r="RXK27" s="609"/>
      <c r="RXL27" s="609"/>
      <c r="RXM27" s="609"/>
      <c r="RXN27" s="609"/>
      <c r="RXO27" s="609"/>
      <c r="RXP27" s="609"/>
      <c r="RXQ27" s="609"/>
      <c r="RXR27" s="609"/>
      <c r="RXS27" s="609"/>
      <c r="RXT27" s="609"/>
      <c r="RXU27" s="609"/>
      <c r="RXV27" s="609"/>
      <c r="RXW27" s="609"/>
      <c r="RXX27" s="609"/>
      <c r="RXY27" s="609"/>
      <c r="RXZ27" s="609"/>
      <c r="RYA27" s="609"/>
      <c r="RYB27" s="609"/>
      <c r="RYC27" s="609"/>
      <c r="RYD27" s="609"/>
      <c r="RYE27" s="609"/>
      <c r="RYF27" s="609"/>
      <c r="RYG27" s="609"/>
      <c r="RYH27" s="609"/>
      <c r="RYI27" s="609"/>
      <c r="RYJ27" s="609"/>
      <c r="RYK27" s="609"/>
      <c r="RYL27" s="609"/>
      <c r="RYM27" s="609"/>
      <c r="RYN27" s="609"/>
      <c r="RYO27" s="609"/>
      <c r="RYP27" s="609"/>
      <c r="RYQ27" s="609"/>
      <c r="RYR27" s="609"/>
      <c r="RYS27" s="609"/>
      <c r="RYT27" s="609"/>
      <c r="RYU27" s="609"/>
      <c r="RYV27" s="609"/>
      <c r="RYW27" s="609"/>
      <c r="RYX27" s="609"/>
      <c r="RYY27" s="609"/>
      <c r="RYZ27" s="609"/>
      <c r="RZA27" s="609"/>
      <c r="RZB27" s="609"/>
      <c r="RZC27" s="609"/>
      <c r="RZD27" s="609"/>
      <c r="RZE27" s="609"/>
      <c r="RZF27" s="609"/>
      <c r="RZG27" s="609"/>
      <c r="RZH27" s="609"/>
      <c r="RZI27" s="609"/>
      <c r="RZJ27" s="609"/>
      <c r="RZK27" s="609"/>
      <c r="RZL27" s="609"/>
      <c r="RZM27" s="609"/>
      <c r="RZN27" s="609"/>
      <c r="RZO27" s="609"/>
      <c r="RZP27" s="609"/>
      <c r="RZQ27" s="609"/>
      <c r="RZR27" s="609"/>
      <c r="RZS27" s="609"/>
      <c r="RZT27" s="609"/>
      <c r="RZU27" s="609"/>
      <c r="RZV27" s="609"/>
      <c r="RZW27" s="609"/>
      <c r="RZX27" s="609"/>
      <c r="RZY27" s="609"/>
      <c r="RZZ27" s="609"/>
      <c r="SAA27" s="609"/>
      <c r="SAB27" s="609"/>
      <c r="SAC27" s="609"/>
      <c r="SAD27" s="609"/>
      <c r="SAE27" s="609"/>
      <c r="SAF27" s="609"/>
      <c r="SAG27" s="609"/>
      <c r="SAH27" s="609"/>
      <c r="SAI27" s="609"/>
      <c r="SAJ27" s="609"/>
      <c r="SAK27" s="609"/>
      <c r="SAL27" s="609"/>
      <c r="SAM27" s="609"/>
      <c r="SAN27" s="609"/>
      <c r="SAO27" s="609"/>
      <c r="SAP27" s="609"/>
      <c r="SAQ27" s="609"/>
      <c r="SAR27" s="609"/>
      <c r="SAS27" s="609"/>
      <c r="SAT27" s="609"/>
      <c r="SAU27" s="609"/>
      <c r="SAV27" s="609"/>
      <c r="SAW27" s="609"/>
      <c r="SAX27" s="609"/>
      <c r="SAY27" s="609"/>
      <c r="SAZ27" s="609"/>
      <c r="SBA27" s="609"/>
      <c r="SBB27" s="609"/>
      <c r="SBC27" s="609"/>
      <c r="SBD27" s="609"/>
      <c r="SBE27" s="609"/>
      <c r="SBF27" s="609"/>
      <c r="SBG27" s="609"/>
      <c r="SBH27" s="609"/>
      <c r="SBI27" s="609"/>
      <c r="SBJ27" s="609"/>
      <c r="SBK27" s="609"/>
      <c r="SBL27" s="609"/>
      <c r="SBM27" s="609"/>
      <c r="SBN27" s="609"/>
      <c r="SBO27" s="609"/>
      <c r="SBP27" s="609"/>
      <c r="SBQ27" s="609"/>
      <c r="SBR27" s="609"/>
      <c r="SBS27" s="609"/>
      <c r="SBT27" s="609"/>
      <c r="SBU27" s="609"/>
      <c r="SBV27" s="609"/>
      <c r="SBW27" s="609"/>
      <c r="SBX27" s="609"/>
      <c r="SBY27" s="609"/>
      <c r="SBZ27" s="609"/>
      <c r="SCA27" s="609"/>
      <c r="SCB27" s="609"/>
      <c r="SCC27" s="609"/>
      <c r="SCD27" s="609"/>
      <c r="SCE27" s="609"/>
      <c r="SCF27" s="609"/>
      <c r="SCG27" s="609"/>
      <c r="SCH27" s="609"/>
      <c r="SCI27" s="609"/>
      <c r="SCJ27" s="609"/>
      <c r="SCK27" s="609"/>
      <c r="SCL27" s="609"/>
      <c r="SCM27" s="609"/>
      <c r="SCN27" s="609"/>
      <c r="SCO27" s="609"/>
      <c r="SCP27" s="609"/>
      <c r="SCQ27" s="609"/>
      <c r="SCR27" s="609"/>
      <c r="SCS27" s="609"/>
      <c r="SCT27" s="609"/>
      <c r="SCU27" s="609"/>
      <c r="SCV27" s="609"/>
      <c r="SCW27" s="609"/>
      <c r="SCX27" s="609"/>
      <c r="SCY27" s="609"/>
      <c r="SCZ27" s="609"/>
      <c r="SDA27" s="609"/>
      <c r="SDB27" s="609"/>
      <c r="SDC27" s="609"/>
      <c r="SDD27" s="609"/>
      <c r="SDE27" s="609"/>
      <c r="SDF27" s="609"/>
      <c r="SDG27" s="609"/>
      <c r="SDH27" s="609"/>
      <c r="SDI27" s="609"/>
      <c r="SDJ27" s="609"/>
      <c r="SDK27" s="609"/>
      <c r="SDL27" s="609"/>
      <c r="SDM27" s="609"/>
      <c r="SDN27" s="609"/>
      <c r="SDO27" s="609"/>
      <c r="SDP27" s="609"/>
      <c r="SDQ27" s="609"/>
      <c r="SDR27" s="609"/>
      <c r="SDS27" s="609"/>
      <c r="SDT27" s="609"/>
      <c r="SDU27" s="609"/>
      <c r="SDV27" s="609"/>
      <c r="SDW27" s="609"/>
      <c r="SDX27" s="609"/>
      <c r="SDY27" s="609"/>
      <c r="SDZ27" s="609"/>
      <c r="SEA27" s="609"/>
      <c r="SEB27" s="609"/>
      <c r="SEC27" s="609"/>
      <c r="SED27" s="609"/>
      <c r="SEE27" s="609"/>
      <c r="SEF27" s="609"/>
      <c r="SEG27" s="609"/>
      <c r="SEH27" s="609"/>
      <c r="SEI27" s="609"/>
      <c r="SEJ27" s="609"/>
      <c r="SEK27" s="609"/>
      <c r="SEL27" s="609"/>
      <c r="SEM27" s="609"/>
      <c r="SEN27" s="609"/>
      <c r="SEO27" s="609"/>
      <c r="SEP27" s="609"/>
      <c r="SEQ27" s="609"/>
      <c r="SER27" s="609"/>
      <c r="SES27" s="609"/>
      <c r="SET27" s="609"/>
      <c r="SEU27" s="609"/>
      <c r="SEV27" s="609"/>
      <c r="SEW27" s="609"/>
      <c r="SEX27" s="609"/>
      <c r="SEY27" s="609"/>
      <c r="SEZ27" s="609"/>
      <c r="SFA27" s="609"/>
      <c r="SFB27" s="609"/>
      <c r="SFC27" s="609"/>
      <c r="SFD27" s="609"/>
      <c r="SFE27" s="609"/>
      <c r="SFF27" s="609"/>
      <c r="SFG27" s="609"/>
      <c r="SFH27" s="609"/>
      <c r="SFI27" s="609"/>
      <c r="SFJ27" s="609"/>
      <c r="SFK27" s="609"/>
      <c r="SFL27" s="609"/>
      <c r="SFM27" s="609"/>
      <c r="SFN27" s="609"/>
      <c r="SFO27" s="609"/>
      <c r="SFP27" s="609"/>
      <c r="SFQ27" s="609"/>
      <c r="SFR27" s="609"/>
      <c r="SFS27" s="609"/>
      <c r="SFT27" s="609"/>
      <c r="SFU27" s="609"/>
      <c r="SFV27" s="609"/>
      <c r="SFW27" s="609"/>
      <c r="SFX27" s="609"/>
      <c r="SFY27" s="609"/>
      <c r="SFZ27" s="609"/>
      <c r="SGA27" s="609"/>
      <c r="SGB27" s="609"/>
      <c r="SGC27" s="609"/>
      <c r="SGD27" s="609"/>
      <c r="SGE27" s="609"/>
      <c r="SGF27" s="609"/>
      <c r="SGG27" s="609"/>
      <c r="SGH27" s="609"/>
      <c r="SGI27" s="609"/>
      <c r="SGJ27" s="609"/>
      <c r="SGK27" s="609"/>
      <c r="SGL27" s="609"/>
      <c r="SGM27" s="609"/>
      <c r="SGN27" s="609"/>
      <c r="SGO27" s="609"/>
      <c r="SGP27" s="609"/>
      <c r="SGQ27" s="609"/>
      <c r="SGR27" s="609"/>
      <c r="SGS27" s="609"/>
      <c r="SGT27" s="609"/>
      <c r="SGU27" s="609"/>
      <c r="SGV27" s="609"/>
      <c r="SGW27" s="609"/>
      <c r="SGX27" s="609"/>
      <c r="SGY27" s="609"/>
      <c r="SGZ27" s="609"/>
      <c r="SHA27" s="609"/>
      <c r="SHB27" s="609"/>
      <c r="SHC27" s="609"/>
      <c r="SHD27" s="609"/>
      <c r="SHE27" s="609"/>
      <c r="SHF27" s="609"/>
      <c r="SHG27" s="609"/>
      <c r="SHH27" s="609"/>
      <c r="SHI27" s="609"/>
      <c r="SHJ27" s="609"/>
      <c r="SHK27" s="609"/>
      <c r="SHL27" s="609"/>
      <c r="SHM27" s="609"/>
      <c r="SHN27" s="609"/>
      <c r="SHO27" s="609"/>
      <c r="SHP27" s="609"/>
      <c r="SHQ27" s="609"/>
      <c r="SHR27" s="609"/>
      <c r="SHS27" s="609"/>
      <c r="SHT27" s="609"/>
      <c r="SHU27" s="609"/>
      <c r="SHV27" s="609"/>
      <c r="SHW27" s="609"/>
      <c r="SHX27" s="609"/>
      <c r="SHY27" s="609"/>
      <c r="SHZ27" s="609"/>
      <c r="SIA27" s="609"/>
      <c r="SIB27" s="609"/>
      <c r="SIC27" s="609"/>
      <c r="SID27" s="609"/>
      <c r="SIE27" s="609"/>
      <c r="SIF27" s="609"/>
      <c r="SIG27" s="609"/>
      <c r="SIH27" s="609"/>
      <c r="SII27" s="609"/>
      <c r="SIJ27" s="609"/>
      <c r="SIK27" s="609"/>
      <c r="SIL27" s="609"/>
      <c r="SIM27" s="609"/>
      <c r="SIN27" s="609"/>
      <c r="SIO27" s="609"/>
      <c r="SIP27" s="609"/>
      <c r="SIQ27" s="609"/>
      <c r="SIR27" s="609"/>
      <c r="SIS27" s="609"/>
      <c r="SIT27" s="609"/>
      <c r="SIU27" s="609"/>
      <c r="SIV27" s="609"/>
      <c r="SIW27" s="609"/>
      <c r="SIX27" s="609"/>
      <c r="SIY27" s="609"/>
      <c r="SIZ27" s="609"/>
      <c r="SJA27" s="609"/>
      <c r="SJB27" s="609"/>
      <c r="SJC27" s="609"/>
      <c r="SJD27" s="609"/>
      <c r="SJE27" s="609"/>
      <c r="SJF27" s="609"/>
      <c r="SJG27" s="609"/>
      <c r="SJH27" s="609"/>
      <c r="SJI27" s="609"/>
      <c r="SJJ27" s="609"/>
      <c r="SJK27" s="609"/>
      <c r="SJL27" s="609"/>
      <c r="SJM27" s="609"/>
      <c r="SJN27" s="609"/>
      <c r="SJO27" s="609"/>
      <c r="SJP27" s="609"/>
      <c r="SJQ27" s="609"/>
      <c r="SJR27" s="609"/>
      <c r="SJS27" s="609"/>
      <c r="SJT27" s="609"/>
      <c r="SJU27" s="609"/>
      <c r="SJV27" s="609"/>
      <c r="SJW27" s="609"/>
      <c r="SJX27" s="609"/>
      <c r="SJY27" s="609"/>
      <c r="SJZ27" s="609"/>
      <c r="SKA27" s="609"/>
      <c r="SKB27" s="609"/>
      <c r="SKC27" s="609"/>
      <c r="SKD27" s="609"/>
      <c r="SKE27" s="609"/>
      <c r="SKF27" s="609"/>
      <c r="SKG27" s="609"/>
      <c r="SKH27" s="609"/>
      <c r="SKI27" s="609"/>
      <c r="SKJ27" s="609"/>
      <c r="SKK27" s="609"/>
      <c r="SKL27" s="609"/>
      <c r="SKM27" s="609"/>
      <c r="SKN27" s="609"/>
      <c r="SKO27" s="609"/>
      <c r="SKP27" s="609"/>
      <c r="SKQ27" s="609"/>
      <c r="SKR27" s="609"/>
      <c r="SKS27" s="609"/>
      <c r="SKT27" s="609"/>
      <c r="SKU27" s="609"/>
      <c r="SKV27" s="609"/>
      <c r="SKW27" s="609"/>
      <c r="SKX27" s="609"/>
      <c r="SKY27" s="609"/>
      <c r="SKZ27" s="609"/>
      <c r="SLA27" s="609"/>
      <c r="SLB27" s="609"/>
      <c r="SLC27" s="609"/>
      <c r="SLD27" s="609"/>
      <c r="SLE27" s="609"/>
      <c r="SLF27" s="609"/>
      <c r="SLG27" s="609"/>
      <c r="SLH27" s="609"/>
      <c r="SLI27" s="609"/>
      <c r="SLJ27" s="609"/>
      <c r="SLK27" s="609"/>
      <c r="SLL27" s="609"/>
      <c r="SLM27" s="609"/>
      <c r="SLN27" s="609"/>
      <c r="SLO27" s="609"/>
      <c r="SLP27" s="609"/>
      <c r="SLQ27" s="609"/>
      <c r="SLR27" s="609"/>
      <c r="SLS27" s="609"/>
      <c r="SLT27" s="609"/>
      <c r="SLU27" s="609"/>
      <c r="SLV27" s="609"/>
      <c r="SLW27" s="609"/>
      <c r="SLX27" s="609"/>
      <c r="SLY27" s="609"/>
      <c r="SLZ27" s="609"/>
      <c r="SMA27" s="609"/>
      <c r="SMB27" s="609"/>
      <c r="SMC27" s="609"/>
      <c r="SMD27" s="609"/>
      <c r="SME27" s="609"/>
      <c r="SMF27" s="609"/>
      <c r="SMG27" s="609"/>
      <c r="SMH27" s="609"/>
      <c r="SMI27" s="609"/>
      <c r="SMJ27" s="609"/>
      <c r="SMK27" s="609"/>
      <c r="SML27" s="609"/>
      <c r="SMM27" s="609"/>
      <c r="SMN27" s="609"/>
      <c r="SMO27" s="609"/>
      <c r="SMP27" s="609"/>
      <c r="SMQ27" s="609"/>
      <c r="SMR27" s="609"/>
      <c r="SMS27" s="609"/>
      <c r="SMT27" s="609"/>
      <c r="SMU27" s="609"/>
      <c r="SMV27" s="609"/>
      <c r="SMW27" s="609"/>
      <c r="SMX27" s="609"/>
      <c r="SMY27" s="609"/>
      <c r="SMZ27" s="609"/>
      <c r="SNA27" s="609"/>
      <c r="SNB27" s="609"/>
      <c r="SNC27" s="609"/>
      <c r="SND27" s="609"/>
      <c r="SNE27" s="609"/>
      <c r="SNF27" s="609"/>
      <c r="SNG27" s="609"/>
      <c r="SNH27" s="609"/>
      <c r="SNI27" s="609"/>
      <c r="SNJ27" s="609"/>
      <c r="SNK27" s="609"/>
      <c r="SNL27" s="609"/>
      <c r="SNM27" s="609"/>
      <c r="SNN27" s="609"/>
      <c r="SNO27" s="609"/>
      <c r="SNP27" s="609"/>
      <c r="SNQ27" s="609"/>
      <c r="SNR27" s="609"/>
      <c r="SNS27" s="609"/>
      <c r="SNT27" s="609"/>
      <c r="SNU27" s="609"/>
      <c r="SNV27" s="609"/>
      <c r="SNW27" s="609"/>
      <c r="SNX27" s="609"/>
      <c r="SNY27" s="609"/>
      <c r="SNZ27" s="609"/>
      <c r="SOA27" s="609"/>
      <c r="SOB27" s="609"/>
      <c r="SOC27" s="609"/>
      <c r="SOD27" s="609"/>
      <c r="SOE27" s="609"/>
      <c r="SOF27" s="609"/>
      <c r="SOG27" s="609"/>
      <c r="SOH27" s="609"/>
      <c r="SOI27" s="609"/>
      <c r="SOJ27" s="609"/>
      <c r="SOK27" s="609"/>
      <c r="SOL27" s="609"/>
      <c r="SOM27" s="609"/>
      <c r="SON27" s="609"/>
      <c r="SOO27" s="609"/>
      <c r="SOP27" s="609"/>
      <c r="SOQ27" s="609"/>
      <c r="SOR27" s="609"/>
      <c r="SOS27" s="609"/>
      <c r="SOT27" s="609"/>
      <c r="SOU27" s="609"/>
      <c r="SOV27" s="609"/>
      <c r="SOW27" s="609"/>
      <c r="SOX27" s="609"/>
      <c r="SOY27" s="609"/>
      <c r="SOZ27" s="609"/>
      <c r="SPA27" s="609"/>
      <c r="SPB27" s="609"/>
      <c r="SPC27" s="609"/>
      <c r="SPD27" s="609"/>
      <c r="SPE27" s="609"/>
      <c r="SPF27" s="609"/>
      <c r="SPG27" s="609"/>
      <c r="SPH27" s="609"/>
      <c r="SPI27" s="609"/>
      <c r="SPJ27" s="609"/>
      <c r="SPK27" s="609"/>
      <c r="SPL27" s="609"/>
      <c r="SPM27" s="609"/>
      <c r="SPN27" s="609"/>
      <c r="SPO27" s="609"/>
      <c r="SPP27" s="609"/>
      <c r="SPQ27" s="609"/>
      <c r="SPR27" s="609"/>
      <c r="SPS27" s="609"/>
      <c r="SPT27" s="609"/>
      <c r="SPU27" s="609"/>
      <c r="SPV27" s="609"/>
      <c r="SPW27" s="609"/>
      <c r="SPX27" s="609"/>
      <c r="SPY27" s="609"/>
      <c r="SPZ27" s="609"/>
      <c r="SQA27" s="609"/>
      <c r="SQB27" s="609"/>
      <c r="SQC27" s="609"/>
      <c r="SQD27" s="609"/>
      <c r="SQE27" s="609"/>
      <c r="SQF27" s="609"/>
      <c r="SQG27" s="609"/>
      <c r="SQH27" s="609"/>
      <c r="SQI27" s="609"/>
      <c r="SQJ27" s="609"/>
      <c r="SQK27" s="609"/>
      <c r="SQL27" s="609"/>
      <c r="SQM27" s="609"/>
      <c r="SQN27" s="609"/>
      <c r="SQO27" s="609"/>
      <c r="SQP27" s="609"/>
      <c r="SQQ27" s="609"/>
      <c r="SQR27" s="609"/>
      <c r="SQS27" s="609"/>
      <c r="SQT27" s="609"/>
      <c r="SQU27" s="609"/>
      <c r="SQV27" s="609"/>
      <c r="SQW27" s="609"/>
      <c r="SQX27" s="609"/>
      <c r="SQY27" s="609"/>
      <c r="SQZ27" s="609"/>
      <c r="SRA27" s="609"/>
      <c r="SRB27" s="609"/>
      <c r="SRC27" s="609"/>
      <c r="SRD27" s="609"/>
      <c r="SRE27" s="609"/>
      <c r="SRF27" s="609"/>
      <c r="SRG27" s="609"/>
      <c r="SRH27" s="609"/>
      <c r="SRI27" s="609"/>
      <c r="SRJ27" s="609"/>
      <c r="SRK27" s="609"/>
      <c r="SRL27" s="609"/>
      <c r="SRM27" s="609"/>
      <c r="SRN27" s="609"/>
      <c r="SRO27" s="609"/>
      <c r="SRP27" s="609"/>
      <c r="SRQ27" s="609"/>
      <c r="SRR27" s="609"/>
      <c r="SRS27" s="609"/>
      <c r="SRT27" s="609"/>
      <c r="SRU27" s="609"/>
      <c r="SRV27" s="609"/>
      <c r="SRW27" s="609"/>
      <c r="SRX27" s="609"/>
      <c r="SRY27" s="609"/>
      <c r="SRZ27" s="609"/>
      <c r="SSA27" s="609"/>
      <c r="SSB27" s="609"/>
      <c r="SSC27" s="609"/>
      <c r="SSD27" s="609"/>
      <c r="SSE27" s="609"/>
      <c r="SSF27" s="609"/>
      <c r="SSG27" s="609"/>
      <c r="SSH27" s="609"/>
      <c r="SSI27" s="609"/>
      <c r="SSJ27" s="609"/>
      <c r="SSK27" s="609"/>
      <c r="SSL27" s="609"/>
      <c r="SSM27" s="609"/>
      <c r="SSN27" s="609"/>
      <c r="SSO27" s="609"/>
      <c r="SSP27" s="609"/>
      <c r="SSQ27" s="609"/>
      <c r="SSR27" s="609"/>
      <c r="SSS27" s="609"/>
      <c r="SST27" s="609"/>
      <c r="SSU27" s="609"/>
      <c r="SSV27" s="609"/>
      <c r="SSW27" s="609"/>
      <c r="SSX27" s="609"/>
      <c r="SSY27" s="609"/>
      <c r="SSZ27" s="609"/>
      <c r="STA27" s="609"/>
      <c r="STB27" s="609"/>
      <c r="STC27" s="609"/>
      <c r="STD27" s="609"/>
      <c r="STE27" s="609"/>
      <c r="STF27" s="609"/>
      <c r="STG27" s="609"/>
      <c r="STH27" s="609"/>
      <c r="STI27" s="609"/>
      <c r="STJ27" s="609"/>
      <c r="STK27" s="609"/>
      <c r="STL27" s="609"/>
      <c r="STM27" s="609"/>
      <c r="STN27" s="609"/>
      <c r="STO27" s="609"/>
      <c r="STP27" s="609"/>
      <c r="STQ27" s="609"/>
      <c r="STR27" s="609"/>
      <c r="STS27" s="609"/>
      <c r="STT27" s="609"/>
      <c r="STU27" s="609"/>
      <c r="STV27" s="609"/>
      <c r="STW27" s="609"/>
      <c r="STX27" s="609"/>
      <c r="STY27" s="609"/>
      <c r="STZ27" s="609"/>
      <c r="SUA27" s="609"/>
      <c r="SUB27" s="609"/>
      <c r="SUC27" s="609"/>
      <c r="SUD27" s="609"/>
      <c r="SUE27" s="609"/>
      <c r="SUF27" s="609"/>
      <c r="SUG27" s="609"/>
      <c r="SUH27" s="609"/>
      <c r="SUI27" s="609"/>
      <c r="SUJ27" s="609"/>
      <c r="SUK27" s="609"/>
      <c r="SUL27" s="609"/>
      <c r="SUM27" s="609"/>
      <c r="SUN27" s="609"/>
      <c r="SUO27" s="609"/>
      <c r="SUP27" s="609"/>
      <c r="SUQ27" s="609"/>
      <c r="SUR27" s="609"/>
      <c r="SUS27" s="609"/>
      <c r="SUT27" s="609"/>
      <c r="SUU27" s="609"/>
      <c r="SUV27" s="609"/>
      <c r="SUW27" s="609"/>
      <c r="SUX27" s="609"/>
      <c r="SUY27" s="609"/>
      <c r="SUZ27" s="609"/>
      <c r="SVA27" s="609"/>
      <c r="SVB27" s="609"/>
      <c r="SVC27" s="609"/>
      <c r="SVD27" s="609"/>
      <c r="SVE27" s="609"/>
      <c r="SVF27" s="609"/>
      <c r="SVG27" s="609"/>
      <c r="SVH27" s="609"/>
      <c r="SVI27" s="609"/>
      <c r="SVJ27" s="609"/>
      <c r="SVK27" s="609"/>
      <c r="SVL27" s="609"/>
      <c r="SVM27" s="609"/>
      <c r="SVN27" s="609"/>
      <c r="SVO27" s="609"/>
      <c r="SVP27" s="609"/>
      <c r="SVQ27" s="609"/>
      <c r="SVR27" s="609"/>
      <c r="SVS27" s="609"/>
      <c r="SVT27" s="609"/>
      <c r="SVU27" s="609"/>
      <c r="SVV27" s="609"/>
      <c r="SVW27" s="609"/>
      <c r="SVX27" s="609"/>
      <c r="SVY27" s="609"/>
      <c r="SVZ27" s="609"/>
      <c r="SWA27" s="609"/>
      <c r="SWB27" s="609"/>
      <c r="SWC27" s="609"/>
      <c r="SWD27" s="609"/>
      <c r="SWE27" s="609"/>
      <c r="SWF27" s="609"/>
      <c r="SWG27" s="609"/>
      <c r="SWH27" s="609"/>
      <c r="SWI27" s="609"/>
      <c r="SWJ27" s="609"/>
      <c r="SWK27" s="609"/>
      <c r="SWL27" s="609"/>
      <c r="SWM27" s="609"/>
      <c r="SWN27" s="609"/>
      <c r="SWO27" s="609"/>
      <c r="SWP27" s="609"/>
      <c r="SWQ27" s="609"/>
      <c r="SWR27" s="609"/>
      <c r="SWS27" s="609"/>
      <c r="SWT27" s="609"/>
      <c r="SWU27" s="609"/>
      <c r="SWV27" s="609"/>
      <c r="SWW27" s="609"/>
      <c r="SWX27" s="609"/>
      <c r="SWY27" s="609"/>
      <c r="SWZ27" s="609"/>
      <c r="SXA27" s="609"/>
      <c r="SXB27" s="609"/>
      <c r="SXC27" s="609"/>
      <c r="SXD27" s="609"/>
      <c r="SXE27" s="609"/>
      <c r="SXF27" s="609"/>
      <c r="SXG27" s="609"/>
      <c r="SXH27" s="609"/>
      <c r="SXI27" s="609"/>
      <c r="SXJ27" s="609"/>
      <c r="SXK27" s="609"/>
      <c r="SXL27" s="609"/>
      <c r="SXM27" s="609"/>
      <c r="SXN27" s="609"/>
      <c r="SXO27" s="609"/>
      <c r="SXP27" s="609"/>
      <c r="SXQ27" s="609"/>
      <c r="SXR27" s="609"/>
      <c r="SXS27" s="609"/>
      <c r="SXT27" s="609"/>
      <c r="SXU27" s="609"/>
      <c r="SXV27" s="609"/>
      <c r="SXW27" s="609"/>
      <c r="SXX27" s="609"/>
      <c r="SXY27" s="609"/>
      <c r="SXZ27" s="609"/>
      <c r="SYA27" s="609"/>
      <c r="SYB27" s="609"/>
      <c r="SYC27" s="609"/>
      <c r="SYD27" s="609"/>
      <c r="SYE27" s="609"/>
      <c r="SYF27" s="609"/>
      <c r="SYG27" s="609"/>
      <c r="SYH27" s="609"/>
      <c r="SYI27" s="609"/>
      <c r="SYJ27" s="609"/>
      <c r="SYK27" s="609"/>
      <c r="SYL27" s="609"/>
      <c r="SYM27" s="609"/>
      <c r="SYN27" s="609"/>
      <c r="SYO27" s="609"/>
      <c r="SYP27" s="609"/>
      <c r="SYQ27" s="609"/>
      <c r="SYR27" s="609"/>
      <c r="SYS27" s="609"/>
      <c r="SYT27" s="609"/>
      <c r="SYU27" s="609"/>
      <c r="SYV27" s="609"/>
      <c r="SYW27" s="609"/>
      <c r="SYX27" s="609"/>
      <c r="SYY27" s="609"/>
      <c r="SYZ27" s="609"/>
      <c r="SZA27" s="609"/>
      <c r="SZB27" s="609"/>
      <c r="SZC27" s="609"/>
      <c r="SZD27" s="609"/>
      <c r="SZE27" s="609"/>
      <c r="SZF27" s="609"/>
      <c r="SZG27" s="609"/>
      <c r="SZH27" s="609"/>
      <c r="SZI27" s="609"/>
      <c r="SZJ27" s="609"/>
      <c r="SZK27" s="609"/>
      <c r="SZL27" s="609"/>
      <c r="SZM27" s="609"/>
      <c r="SZN27" s="609"/>
      <c r="SZO27" s="609"/>
      <c r="SZP27" s="609"/>
      <c r="SZQ27" s="609"/>
      <c r="SZR27" s="609"/>
      <c r="SZS27" s="609"/>
      <c r="SZT27" s="609"/>
      <c r="SZU27" s="609"/>
      <c r="SZV27" s="609"/>
      <c r="SZW27" s="609"/>
      <c r="SZX27" s="609"/>
      <c r="SZY27" s="609"/>
      <c r="SZZ27" s="609"/>
      <c r="TAA27" s="609"/>
      <c r="TAB27" s="609"/>
      <c r="TAC27" s="609"/>
      <c r="TAD27" s="609"/>
      <c r="TAE27" s="609"/>
      <c r="TAF27" s="609"/>
      <c r="TAG27" s="609"/>
      <c r="TAH27" s="609"/>
      <c r="TAI27" s="609"/>
      <c r="TAJ27" s="609"/>
      <c r="TAK27" s="609"/>
      <c r="TAL27" s="609"/>
      <c r="TAM27" s="609"/>
      <c r="TAN27" s="609"/>
      <c r="TAO27" s="609"/>
      <c r="TAP27" s="609"/>
      <c r="TAQ27" s="609"/>
      <c r="TAR27" s="609"/>
      <c r="TAS27" s="609"/>
      <c r="TAT27" s="609"/>
      <c r="TAU27" s="609"/>
      <c r="TAV27" s="609"/>
      <c r="TAW27" s="609"/>
      <c r="TAX27" s="609"/>
      <c r="TAY27" s="609"/>
      <c r="TAZ27" s="609"/>
      <c r="TBA27" s="609"/>
      <c r="TBB27" s="609"/>
      <c r="TBC27" s="609"/>
      <c r="TBD27" s="609"/>
      <c r="TBE27" s="609"/>
      <c r="TBF27" s="609"/>
      <c r="TBG27" s="609"/>
      <c r="TBH27" s="609"/>
      <c r="TBI27" s="609"/>
      <c r="TBJ27" s="609"/>
      <c r="TBK27" s="609"/>
      <c r="TBL27" s="609"/>
      <c r="TBM27" s="609"/>
      <c r="TBN27" s="609"/>
      <c r="TBO27" s="609"/>
      <c r="TBP27" s="609"/>
      <c r="TBQ27" s="609"/>
      <c r="TBR27" s="609"/>
      <c r="TBS27" s="609"/>
      <c r="TBT27" s="609"/>
      <c r="TBU27" s="609"/>
      <c r="TBV27" s="609"/>
      <c r="TBW27" s="609"/>
      <c r="TBX27" s="609"/>
      <c r="TBY27" s="609"/>
      <c r="TBZ27" s="609"/>
      <c r="TCA27" s="609"/>
      <c r="TCB27" s="609"/>
      <c r="TCC27" s="609"/>
      <c r="TCD27" s="609"/>
      <c r="TCE27" s="609"/>
      <c r="TCF27" s="609"/>
      <c r="TCG27" s="609"/>
      <c r="TCH27" s="609"/>
      <c r="TCI27" s="609"/>
      <c r="TCJ27" s="609"/>
      <c r="TCK27" s="609"/>
      <c r="TCL27" s="609"/>
      <c r="TCM27" s="609"/>
      <c r="TCN27" s="609"/>
      <c r="TCO27" s="609"/>
      <c r="TCP27" s="609"/>
      <c r="TCQ27" s="609"/>
      <c r="TCR27" s="609"/>
      <c r="TCS27" s="609"/>
      <c r="TCT27" s="609"/>
      <c r="TCU27" s="609"/>
      <c r="TCV27" s="609"/>
      <c r="TCW27" s="609"/>
      <c r="TCX27" s="609"/>
      <c r="TCY27" s="609"/>
      <c r="TCZ27" s="609"/>
      <c r="TDA27" s="609"/>
      <c r="TDB27" s="609"/>
      <c r="TDC27" s="609"/>
      <c r="TDD27" s="609"/>
      <c r="TDE27" s="609"/>
      <c r="TDF27" s="609"/>
      <c r="TDG27" s="609"/>
      <c r="TDH27" s="609"/>
      <c r="TDI27" s="609"/>
      <c r="TDJ27" s="609"/>
      <c r="TDK27" s="609"/>
      <c r="TDL27" s="609"/>
      <c r="TDM27" s="609"/>
      <c r="TDN27" s="609"/>
      <c r="TDO27" s="609"/>
      <c r="TDP27" s="609"/>
      <c r="TDQ27" s="609"/>
      <c r="TDR27" s="609"/>
      <c r="TDS27" s="609"/>
      <c r="TDT27" s="609"/>
      <c r="TDU27" s="609"/>
      <c r="TDV27" s="609"/>
      <c r="TDW27" s="609"/>
      <c r="TDX27" s="609"/>
      <c r="TDY27" s="609"/>
      <c r="TDZ27" s="609"/>
      <c r="TEA27" s="609"/>
      <c r="TEB27" s="609"/>
      <c r="TEC27" s="609"/>
      <c r="TED27" s="609"/>
      <c r="TEE27" s="609"/>
      <c r="TEF27" s="609"/>
      <c r="TEG27" s="609"/>
      <c r="TEH27" s="609"/>
      <c r="TEI27" s="609"/>
      <c r="TEJ27" s="609"/>
      <c r="TEK27" s="609"/>
      <c r="TEL27" s="609"/>
      <c r="TEM27" s="609"/>
      <c r="TEN27" s="609"/>
      <c r="TEO27" s="609"/>
      <c r="TEP27" s="609"/>
      <c r="TEQ27" s="609"/>
      <c r="TER27" s="609"/>
      <c r="TES27" s="609"/>
      <c r="TET27" s="609"/>
      <c r="TEU27" s="609"/>
      <c r="TEV27" s="609"/>
      <c r="TEW27" s="609"/>
      <c r="TEX27" s="609"/>
      <c r="TEY27" s="609"/>
      <c r="TEZ27" s="609"/>
      <c r="TFA27" s="609"/>
      <c r="TFB27" s="609"/>
      <c r="TFC27" s="609"/>
      <c r="TFD27" s="609"/>
      <c r="TFE27" s="609"/>
      <c r="TFF27" s="609"/>
      <c r="TFG27" s="609"/>
      <c r="TFH27" s="609"/>
      <c r="TFI27" s="609"/>
      <c r="TFJ27" s="609"/>
      <c r="TFK27" s="609"/>
      <c r="TFL27" s="609"/>
      <c r="TFM27" s="609"/>
      <c r="TFN27" s="609"/>
      <c r="TFO27" s="609"/>
      <c r="TFP27" s="609"/>
      <c r="TFQ27" s="609"/>
      <c r="TFR27" s="609"/>
      <c r="TFS27" s="609"/>
      <c r="TFT27" s="609"/>
      <c r="TFU27" s="609"/>
      <c r="TFV27" s="609"/>
      <c r="TFW27" s="609"/>
      <c r="TFX27" s="609"/>
      <c r="TFY27" s="609"/>
      <c r="TFZ27" s="609"/>
      <c r="TGA27" s="609"/>
      <c r="TGB27" s="609"/>
      <c r="TGC27" s="609"/>
      <c r="TGD27" s="609"/>
      <c r="TGE27" s="609"/>
      <c r="TGF27" s="609"/>
      <c r="TGG27" s="609"/>
      <c r="TGH27" s="609"/>
      <c r="TGI27" s="609"/>
      <c r="TGJ27" s="609"/>
      <c r="TGK27" s="609"/>
      <c r="TGL27" s="609"/>
      <c r="TGM27" s="609"/>
      <c r="TGN27" s="609"/>
      <c r="TGO27" s="609"/>
      <c r="TGP27" s="609"/>
      <c r="TGQ27" s="609"/>
      <c r="TGR27" s="609"/>
      <c r="TGS27" s="609"/>
      <c r="TGT27" s="609"/>
      <c r="TGU27" s="609"/>
      <c r="TGV27" s="609"/>
      <c r="TGW27" s="609"/>
      <c r="TGX27" s="609"/>
      <c r="TGY27" s="609"/>
      <c r="TGZ27" s="609"/>
      <c r="THA27" s="609"/>
      <c r="THB27" s="609"/>
      <c r="THC27" s="609"/>
      <c r="THD27" s="609"/>
      <c r="THE27" s="609"/>
      <c r="THF27" s="609"/>
      <c r="THG27" s="609"/>
      <c r="THH27" s="609"/>
      <c r="THI27" s="609"/>
      <c r="THJ27" s="609"/>
      <c r="THK27" s="609"/>
      <c r="THL27" s="609"/>
      <c r="THM27" s="609"/>
      <c r="THN27" s="609"/>
      <c r="THO27" s="609"/>
      <c r="THP27" s="609"/>
      <c r="THQ27" s="609"/>
      <c r="THR27" s="609"/>
      <c r="THS27" s="609"/>
      <c r="THT27" s="609"/>
      <c r="THU27" s="609"/>
      <c r="THV27" s="609"/>
      <c r="THW27" s="609"/>
      <c r="THX27" s="609"/>
      <c r="THY27" s="609"/>
      <c r="THZ27" s="609"/>
      <c r="TIA27" s="609"/>
      <c r="TIB27" s="609"/>
      <c r="TIC27" s="609"/>
      <c r="TID27" s="609"/>
      <c r="TIE27" s="609"/>
      <c r="TIF27" s="609"/>
      <c r="TIG27" s="609"/>
      <c r="TIH27" s="609"/>
      <c r="TII27" s="609"/>
      <c r="TIJ27" s="609"/>
      <c r="TIK27" s="609"/>
      <c r="TIL27" s="609"/>
      <c r="TIM27" s="609"/>
      <c r="TIN27" s="609"/>
      <c r="TIO27" s="609"/>
      <c r="TIP27" s="609"/>
      <c r="TIQ27" s="609"/>
      <c r="TIR27" s="609"/>
      <c r="TIS27" s="609"/>
      <c r="TIT27" s="609"/>
      <c r="TIU27" s="609"/>
      <c r="TIV27" s="609"/>
      <c r="TIW27" s="609"/>
      <c r="TIX27" s="609"/>
      <c r="TIY27" s="609"/>
      <c r="TIZ27" s="609"/>
      <c r="TJA27" s="609"/>
      <c r="TJB27" s="609"/>
      <c r="TJC27" s="609"/>
      <c r="TJD27" s="609"/>
      <c r="TJE27" s="609"/>
      <c r="TJF27" s="609"/>
      <c r="TJG27" s="609"/>
      <c r="TJH27" s="609"/>
      <c r="TJI27" s="609"/>
      <c r="TJJ27" s="609"/>
      <c r="TJK27" s="609"/>
      <c r="TJL27" s="609"/>
      <c r="TJM27" s="609"/>
      <c r="TJN27" s="609"/>
      <c r="TJO27" s="609"/>
      <c r="TJP27" s="609"/>
      <c r="TJQ27" s="609"/>
      <c r="TJR27" s="609"/>
      <c r="TJS27" s="609"/>
      <c r="TJT27" s="609"/>
      <c r="TJU27" s="609"/>
      <c r="TJV27" s="609"/>
      <c r="TJW27" s="609"/>
      <c r="TJX27" s="609"/>
      <c r="TJY27" s="609"/>
      <c r="TJZ27" s="609"/>
      <c r="TKA27" s="609"/>
      <c r="TKB27" s="609"/>
      <c r="TKC27" s="609"/>
      <c r="TKD27" s="609"/>
      <c r="TKE27" s="609"/>
      <c r="TKF27" s="609"/>
      <c r="TKG27" s="609"/>
      <c r="TKH27" s="609"/>
      <c r="TKI27" s="609"/>
      <c r="TKJ27" s="609"/>
      <c r="TKK27" s="609"/>
      <c r="TKL27" s="609"/>
      <c r="TKM27" s="609"/>
      <c r="TKN27" s="609"/>
      <c r="TKO27" s="609"/>
      <c r="TKP27" s="609"/>
      <c r="TKQ27" s="609"/>
      <c r="TKR27" s="609"/>
      <c r="TKS27" s="609"/>
      <c r="TKT27" s="609"/>
      <c r="TKU27" s="609"/>
      <c r="TKV27" s="609"/>
      <c r="TKW27" s="609"/>
      <c r="TKX27" s="609"/>
      <c r="TKY27" s="609"/>
      <c r="TKZ27" s="609"/>
      <c r="TLA27" s="609"/>
      <c r="TLB27" s="609"/>
      <c r="TLC27" s="609"/>
      <c r="TLD27" s="609"/>
      <c r="TLE27" s="609"/>
      <c r="TLF27" s="609"/>
      <c r="TLG27" s="609"/>
      <c r="TLH27" s="609"/>
      <c r="TLI27" s="609"/>
      <c r="TLJ27" s="609"/>
      <c r="TLK27" s="609"/>
      <c r="TLL27" s="609"/>
      <c r="TLM27" s="609"/>
      <c r="TLN27" s="609"/>
      <c r="TLO27" s="609"/>
      <c r="TLP27" s="609"/>
      <c r="TLQ27" s="609"/>
      <c r="TLR27" s="609"/>
      <c r="TLS27" s="609"/>
      <c r="TLT27" s="609"/>
      <c r="TLU27" s="609"/>
      <c r="TLV27" s="609"/>
      <c r="TLW27" s="609"/>
      <c r="TLX27" s="609"/>
      <c r="TLY27" s="609"/>
      <c r="TLZ27" s="609"/>
      <c r="TMA27" s="609"/>
      <c r="TMB27" s="609"/>
      <c r="TMC27" s="609"/>
      <c r="TMD27" s="609"/>
      <c r="TME27" s="609"/>
      <c r="TMF27" s="609"/>
      <c r="TMG27" s="609"/>
      <c r="TMH27" s="609"/>
      <c r="TMI27" s="609"/>
      <c r="TMJ27" s="609"/>
      <c r="TMK27" s="609"/>
      <c r="TML27" s="609"/>
      <c r="TMM27" s="609"/>
      <c r="TMN27" s="609"/>
      <c r="TMO27" s="609"/>
      <c r="TMP27" s="609"/>
      <c r="TMQ27" s="609"/>
      <c r="TMR27" s="609"/>
      <c r="TMS27" s="609"/>
      <c r="TMT27" s="609"/>
      <c r="TMU27" s="609"/>
      <c r="TMV27" s="609"/>
      <c r="TMW27" s="609"/>
      <c r="TMX27" s="609"/>
      <c r="TMY27" s="609"/>
      <c r="TMZ27" s="609"/>
      <c r="TNA27" s="609"/>
      <c r="TNB27" s="609"/>
      <c r="TNC27" s="609"/>
      <c r="TND27" s="609"/>
      <c r="TNE27" s="609"/>
      <c r="TNF27" s="609"/>
      <c r="TNG27" s="609"/>
      <c r="TNH27" s="609"/>
      <c r="TNI27" s="609"/>
      <c r="TNJ27" s="609"/>
      <c r="TNK27" s="609"/>
      <c r="TNL27" s="609"/>
      <c r="TNM27" s="609"/>
      <c r="TNN27" s="609"/>
      <c r="TNO27" s="609"/>
      <c r="TNP27" s="609"/>
      <c r="TNQ27" s="609"/>
      <c r="TNR27" s="609"/>
      <c r="TNS27" s="609"/>
      <c r="TNT27" s="609"/>
      <c r="TNU27" s="609"/>
      <c r="TNV27" s="609"/>
      <c r="TNW27" s="609"/>
      <c r="TNX27" s="609"/>
      <c r="TNY27" s="609"/>
      <c r="TNZ27" s="609"/>
      <c r="TOA27" s="609"/>
      <c r="TOB27" s="609"/>
      <c r="TOC27" s="609"/>
      <c r="TOD27" s="609"/>
      <c r="TOE27" s="609"/>
      <c r="TOF27" s="609"/>
      <c r="TOG27" s="609"/>
      <c r="TOH27" s="609"/>
      <c r="TOI27" s="609"/>
      <c r="TOJ27" s="609"/>
      <c r="TOK27" s="609"/>
      <c r="TOL27" s="609"/>
      <c r="TOM27" s="609"/>
      <c r="TON27" s="609"/>
      <c r="TOO27" s="609"/>
      <c r="TOP27" s="609"/>
      <c r="TOQ27" s="609"/>
      <c r="TOR27" s="609"/>
      <c r="TOS27" s="609"/>
      <c r="TOT27" s="609"/>
      <c r="TOU27" s="609"/>
      <c r="TOV27" s="609"/>
      <c r="TOW27" s="609"/>
      <c r="TOX27" s="609"/>
      <c r="TOY27" s="609"/>
      <c r="TOZ27" s="609"/>
      <c r="TPA27" s="609"/>
      <c r="TPB27" s="609"/>
      <c r="TPC27" s="609"/>
      <c r="TPD27" s="609"/>
      <c r="TPE27" s="609"/>
      <c r="TPF27" s="609"/>
      <c r="TPG27" s="609"/>
      <c r="TPH27" s="609"/>
      <c r="TPI27" s="609"/>
      <c r="TPJ27" s="609"/>
      <c r="TPK27" s="609"/>
      <c r="TPL27" s="609"/>
      <c r="TPM27" s="609"/>
      <c r="TPN27" s="609"/>
      <c r="TPO27" s="609"/>
      <c r="TPP27" s="609"/>
      <c r="TPQ27" s="609"/>
      <c r="TPR27" s="609"/>
      <c r="TPS27" s="609"/>
      <c r="TPT27" s="609"/>
      <c r="TPU27" s="609"/>
      <c r="TPV27" s="609"/>
      <c r="TPW27" s="609"/>
      <c r="TPX27" s="609"/>
      <c r="TPY27" s="609"/>
      <c r="TPZ27" s="609"/>
      <c r="TQA27" s="609"/>
      <c r="TQB27" s="609"/>
      <c r="TQC27" s="609"/>
      <c r="TQD27" s="609"/>
      <c r="TQE27" s="609"/>
      <c r="TQF27" s="609"/>
      <c r="TQG27" s="609"/>
      <c r="TQH27" s="609"/>
      <c r="TQI27" s="609"/>
      <c r="TQJ27" s="609"/>
      <c r="TQK27" s="609"/>
      <c r="TQL27" s="609"/>
      <c r="TQM27" s="609"/>
      <c r="TQN27" s="609"/>
      <c r="TQO27" s="609"/>
      <c r="TQP27" s="609"/>
      <c r="TQQ27" s="609"/>
      <c r="TQR27" s="609"/>
      <c r="TQS27" s="609"/>
      <c r="TQT27" s="609"/>
      <c r="TQU27" s="609"/>
      <c r="TQV27" s="609"/>
      <c r="TQW27" s="609"/>
      <c r="TQX27" s="609"/>
      <c r="TQY27" s="609"/>
      <c r="TQZ27" s="609"/>
      <c r="TRA27" s="609"/>
      <c r="TRB27" s="609"/>
      <c r="TRC27" s="609"/>
      <c r="TRD27" s="609"/>
      <c r="TRE27" s="609"/>
      <c r="TRF27" s="609"/>
      <c r="TRG27" s="609"/>
      <c r="TRH27" s="609"/>
      <c r="TRI27" s="609"/>
      <c r="TRJ27" s="609"/>
      <c r="TRK27" s="609"/>
      <c r="TRL27" s="609"/>
      <c r="TRM27" s="609"/>
      <c r="TRN27" s="609"/>
      <c r="TRO27" s="609"/>
      <c r="TRP27" s="609"/>
      <c r="TRQ27" s="609"/>
      <c r="TRR27" s="609"/>
      <c r="TRS27" s="609"/>
      <c r="TRT27" s="609"/>
      <c r="TRU27" s="609"/>
      <c r="TRV27" s="609"/>
      <c r="TRW27" s="609"/>
      <c r="TRX27" s="609"/>
      <c r="TRY27" s="609"/>
      <c r="TRZ27" s="609"/>
      <c r="TSA27" s="609"/>
      <c r="TSB27" s="609"/>
      <c r="TSC27" s="609"/>
      <c r="TSD27" s="609"/>
      <c r="TSE27" s="609"/>
      <c r="TSF27" s="609"/>
      <c r="TSG27" s="609"/>
      <c r="TSH27" s="609"/>
      <c r="TSI27" s="609"/>
      <c r="TSJ27" s="609"/>
      <c r="TSK27" s="609"/>
      <c r="TSL27" s="609"/>
      <c r="TSM27" s="609"/>
      <c r="TSN27" s="609"/>
      <c r="TSO27" s="609"/>
      <c r="TSP27" s="609"/>
      <c r="TSQ27" s="609"/>
      <c r="TSR27" s="609"/>
      <c r="TSS27" s="609"/>
      <c r="TST27" s="609"/>
      <c r="TSU27" s="609"/>
      <c r="TSV27" s="609"/>
      <c r="TSW27" s="609"/>
      <c r="TSX27" s="609"/>
      <c r="TSY27" s="609"/>
      <c r="TSZ27" s="609"/>
      <c r="TTA27" s="609"/>
      <c r="TTB27" s="609"/>
      <c r="TTC27" s="609"/>
      <c r="TTD27" s="609"/>
      <c r="TTE27" s="609"/>
      <c r="TTF27" s="609"/>
      <c r="TTG27" s="609"/>
      <c r="TTH27" s="609"/>
      <c r="TTI27" s="609"/>
      <c r="TTJ27" s="609"/>
      <c r="TTK27" s="609"/>
      <c r="TTL27" s="609"/>
      <c r="TTM27" s="609"/>
      <c r="TTN27" s="609"/>
      <c r="TTO27" s="609"/>
      <c r="TTP27" s="609"/>
      <c r="TTQ27" s="609"/>
      <c r="TTR27" s="609"/>
      <c r="TTS27" s="609"/>
      <c r="TTT27" s="609"/>
      <c r="TTU27" s="609"/>
      <c r="TTV27" s="609"/>
      <c r="TTW27" s="609"/>
      <c r="TTX27" s="609"/>
      <c r="TTY27" s="609"/>
      <c r="TTZ27" s="609"/>
      <c r="TUA27" s="609"/>
      <c r="TUB27" s="609"/>
      <c r="TUC27" s="609"/>
      <c r="TUD27" s="609"/>
      <c r="TUE27" s="609"/>
      <c r="TUF27" s="609"/>
      <c r="TUG27" s="609"/>
      <c r="TUH27" s="609"/>
      <c r="TUI27" s="609"/>
      <c r="TUJ27" s="609"/>
      <c r="TUK27" s="609"/>
      <c r="TUL27" s="609"/>
      <c r="TUM27" s="609"/>
      <c r="TUN27" s="609"/>
      <c r="TUO27" s="609"/>
      <c r="TUP27" s="609"/>
      <c r="TUQ27" s="609"/>
      <c r="TUR27" s="609"/>
      <c r="TUS27" s="609"/>
      <c r="TUT27" s="609"/>
      <c r="TUU27" s="609"/>
      <c r="TUV27" s="609"/>
      <c r="TUW27" s="609"/>
      <c r="TUX27" s="609"/>
      <c r="TUY27" s="609"/>
      <c r="TUZ27" s="609"/>
      <c r="TVA27" s="609"/>
      <c r="TVB27" s="609"/>
      <c r="TVC27" s="609"/>
      <c r="TVD27" s="609"/>
      <c r="TVE27" s="609"/>
      <c r="TVF27" s="609"/>
      <c r="TVG27" s="609"/>
      <c r="TVH27" s="609"/>
      <c r="TVI27" s="609"/>
      <c r="TVJ27" s="609"/>
      <c r="TVK27" s="609"/>
      <c r="TVL27" s="609"/>
      <c r="TVM27" s="609"/>
      <c r="TVN27" s="609"/>
      <c r="TVO27" s="609"/>
      <c r="TVP27" s="609"/>
      <c r="TVQ27" s="609"/>
      <c r="TVR27" s="609"/>
      <c r="TVS27" s="609"/>
      <c r="TVT27" s="609"/>
      <c r="TVU27" s="609"/>
      <c r="TVV27" s="609"/>
      <c r="TVW27" s="609"/>
      <c r="TVX27" s="609"/>
      <c r="TVY27" s="609"/>
      <c r="TVZ27" s="609"/>
      <c r="TWA27" s="609"/>
      <c r="TWB27" s="609"/>
      <c r="TWC27" s="609"/>
      <c r="TWD27" s="609"/>
      <c r="TWE27" s="609"/>
      <c r="TWF27" s="609"/>
      <c r="TWG27" s="609"/>
      <c r="TWH27" s="609"/>
      <c r="TWI27" s="609"/>
      <c r="TWJ27" s="609"/>
      <c r="TWK27" s="609"/>
      <c r="TWL27" s="609"/>
      <c r="TWM27" s="609"/>
      <c r="TWN27" s="609"/>
      <c r="TWO27" s="609"/>
      <c r="TWP27" s="609"/>
      <c r="TWQ27" s="609"/>
      <c r="TWR27" s="609"/>
      <c r="TWS27" s="609"/>
      <c r="TWT27" s="609"/>
      <c r="TWU27" s="609"/>
      <c r="TWV27" s="609"/>
      <c r="TWW27" s="609"/>
      <c r="TWX27" s="609"/>
      <c r="TWY27" s="609"/>
      <c r="TWZ27" s="609"/>
      <c r="TXA27" s="609"/>
      <c r="TXB27" s="609"/>
      <c r="TXC27" s="609"/>
      <c r="TXD27" s="609"/>
      <c r="TXE27" s="609"/>
      <c r="TXF27" s="609"/>
      <c r="TXG27" s="609"/>
      <c r="TXH27" s="609"/>
      <c r="TXI27" s="609"/>
      <c r="TXJ27" s="609"/>
      <c r="TXK27" s="609"/>
      <c r="TXL27" s="609"/>
      <c r="TXM27" s="609"/>
      <c r="TXN27" s="609"/>
      <c r="TXO27" s="609"/>
      <c r="TXP27" s="609"/>
      <c r="TXQ27" s="609"/>
      <c r="TXR27" s="609"/>
      <c r="TXS27" s="609"/>
      <c r="TXT27" s="609"/>
      <c r="TXU27" s="609"/>
      <c r="TXV27" s="609"/>
      <c r="TXW27" s="609"/>
      <c r="TXX27" s="609"/>
      <c r="TXY27" s="609"/>
      <c r="TXZ27" s="609"/>
      <c r="TYA27" s="609"/>
      <c r="TYB27" s="609"/>
      <c r="TYC27" s="609"/>
      <c r="TYD27" s="609"/>
      <c r="TYE27" s="609"/>
      <c r="TYF27" s="609"/>
      <c r="TYG27" s="609"/>
      <c r="TYH27" s="609"/>
      <c r="TYI27" s="609"/>
      <c r="TYJ27" s="609"/>
      <c r="TYK27" s="609"/>
      <c r="TYL27" s="609"/>
      <c r="TYM27" s="609"/>
      <c r="TYN27" s="609"/>
      <c r="TYO27" s="609"/>
      <c r="TYP27" s="609"/>
      <c r="TYQ27" s="609"/>
      <c r="TYR27" s="609"/>
      <c r="TYS27" s="609"/>
      <c r="TYT27" s="609"/>
      <c r="TYU27" s="609"/>
      <c r="TYV27" s="609"/>
      <c r="TYW27" s="609"/>
      <c r="TYX27" s="609"/>
      <c r="TYY27" s="609"/>
      <c r="TYZ27" s="609"/>
      <c r="TZA27" s="609"/>
      <c r="TZB27" s="609"/>
      <c r="TZC27" s="609"/>
      <c r="TZD27" s="609"/>
      <c r="TZE27" s="609"/>
      <c r="TZF27" s="609"/>
      <c r="TZG27" s="609"/>
      <c r="TZH27" s="609"/>
      <c r="TZI27" s="609"/>
      <c r="TZJ27" s="609"/>
      <c r="TZK27" s="609"/>
      <c r="TZL27" s="609"/>
      <c r="TZM27" s="609"/>
      <c r="TZN27" s="609"/>
      <c r="TZO27" s="609"/>
      <c r="TZP27" s="609"/>
      <c r="TZQ27" s="609"/>
      <c r="TZR27" s="609"/>
      <c r="TZS27" s="609"/>
      <c r="TZT27" s="609"/>
      <c r="TZU27" s="609"/>
      <c r="TZV27" s="609"/>
      <c r="TZW27" s="609"/>
      <c r="TZX27" s="609"/>
      <c r="TZY27" s="609"/>
      <c r="TZZ27" s="609"/>
      <c r="UAA27" s="609"/>
      <c r="UAB27" s="609"/>
      <c r="UAC27" s="609"/>
      <c r="UAD27" s="609"/>
      <c r="UAE27" s="609"/>
      <c r="UAF27" s="609"/>
      <c r="UAG27" s="609"/>
      <c r="UAH27" s="609"/>
      <c r="UAI27" s="609"/>
      <c r="UAJ27" s="609"/>
      <c r="UAK27" s="609"/>
      <c r="UAL27" s="609"/>
      <c r="UAM27" s="609"/>
      <c r="UAN27" s="609"/>
      <c r="UAO27" s="609"/>
      <c r="UAP27" s="609"/>
      <c r="UAQ27" s="609"/>
      <c r="UAR27" s="609"/>
      <c r="UAS27" s="609"/>
      <c r="UAT27" s="609"/>
      <c r="UAU27" s="609"/>
      <c r="UAV27" s="609"/>
      <c r="UAW27" s="609"/>
      <c r="UAX27" s="609"/>
      <c r="UAY27" s="609"/>
      <c r="UAZ27" s="609"/>
      <c r="UBA27" s="609"/>
      <c r="UBB27" s="609"/>
      <c r="UBC27" s="609"/>
      <c r="UBD27" s="609"/>
      <c r="UBE27" s="609"/>
      <c r="UBF27" s="609"/>
      <c r="UBG27" s="609"/>
      <c r="UBH27" s="609"/>
      <c r="UBI27" s="609"/>
      <c r="UBJ27" s="609"/>
      <c r="UBK27" s="609"/>
      <c r="UBL27" s="609"/>
      <c r="UBM27" s="609"/>
      <c r="UBN27" s="609"/>
      <c r="UBO27" s="609"/>
      <c r="UBP27" s="609"/>
      <c r="UBQ27" s="609"/>
      <c r="UBR27" s="609"/>
      <c r="UBS27" s="609"/>
      <c r="UBT27" s="609"/>
      <c r="UBU27" s="609"/>
      <c r="UBV27" s="609"/>
      <c r="UBW27" s="609"/>
      <c r="UBX27" s="609"/>
      <c r="UBY27" s="609"/>
      <c r="UBZ27" s="609"/>
      <c r="UCA27" s="609"/>
      <c r="UCB27" s="609"/>
      <c r="UCC27" s="609"/>
      <c r="UCD27" s="609"/>
      <c r="UCE27" s="609"/>
      <c r="UCF27" s="609"/>
      <c r="UCG27" s="609"/>
      <c r="UCH27" s="609"/>
      <c r="UCI27" s="609"/>
      <c r="UCJ27" s="609"/>
      <c r="UCK27" s="609"/>
      <c r="UCL27" s="609"/>
      <c r="UCM27" s="609"/>
      <c r="UCN27" s="609"/>
      <c r="UCO27" s="609"/>
      <c r="UCP27" s="609"/>
      <c r="UCQ27" s="609"/>
      <c r="UCR27" s="609"/>
      <c r="UCS27" s="609"/>
      <c r="UCT27" s="609"/>
      <c r="UCU27" s="609"/>
      <c r="UCV27" s="609"/>
      <c r="UCW27" s="609"/>
      <c r="UCX27" s="609"/>
      <c r="UCY27" s="609"/>
      <c r="UCZ27" s="609"/>
      <c r="UDA27" s="609"/>
      <c r="UDB27" s="609"/>
      <c r="UDC27" s="609"/>
      <c r="UDD27" s="609"/>
      <c r="UDE27" s="609"/>
      <c r="UDF27" s="609"/>
      <c r="UDG27" s="609"/>
      <c r="UDH27" s="609"/>
      <c r="UDI27" s="609"/>
      <c r="UDJ27" s="609"/>
      <c r="UDK27" s="609"/>
      <c r="UDL27" s="609"/>
      <c r="UDM27" s="609"/>
      <c r="UDN27" s="609"/>
      <c r="UDO27" s="609"/>
      <c r="UDP27" s="609"/>
      <c r="UDQ27" s="609"/>
      <c r="UDR27" s="609"/>
      <c r="UDS27" s="609"/>
      <c r="UDT27" s="609"/>
      <c r="UDU27" s="609"/>
      <c r="UDV27" s="609"/>
      <c r="UDW27" s="609"/>
      <c r="UDX27" s="609"/>
      <c r="UDY27" s="609"/>
      <c r="UDZ27" s="609"/>
      <c r="UEA27" s="609"/>
      <c r="UEB27" s="609"/>
      <c r="UEC27" s="609"/>
      <c r="UED27" s="609"/>
      <c r="UEE27" s="609"/>
      <c r="UEF27" s="609"/>
      <c r="UEG27" s="609"/>
      <c r="UEH27" s="609"/>
      <c r="UEI27" s="609"/>
      <c r="UEJ27" s="609"/>
      <c r="UEK27" s="609"/>
      <c r="UEL27" s="609"/>
      <c r="UEM27" s="609"/>
      <c r="UEN27" s="609"/>
      <c r="UEO27" s="609"/>
      <c r="UEP27" s="609"/>
      <c r="UEQ27" s="609"/>
      <c r="UER27" s="609"/>
      <c r="UES27" s="609"/>
      <c r="UET27" s="609"/>
      <c r="UEU27" s="609"/>
      <c r="UEV27" s="609"/>
      <c r="UEW27" s="609"/>
      <c r="UEX27" s="609"/>
      <c r="UEY27" s="609"/>
      <c r="UEZ27" s="609"/>
      <c r="UFA27" s="609"/>
      <c r="UFB27" s="609"/>
      <c r="UFC27" s="609"/>
      <c r="UFD27" s="609"/>
      <c r="UFE27" s="609"/>
      <c r="UFF27" s="609"/>
      <c r="UFG27" s="609"/>
      <c r="UFH27" s="609"/>
      <c r="UFI27" s="609"/>
      <c r="UFJ27" s="609"/>
      <c r="UFK27" s="609"/>
      <c r="UFL27" s="609"/>
      <c r="UFM27" s="609"/>
      <c r="UFN27" s="609"/>
      <c r="UFO27" s="609"/>
      <c r="UFP27" s="609"/>
      <c r="UFQ27" s="609"/>
      <c r="UFR27" s="609"/>
      <c r="UFS27" s="609"/>
      <c r="UFT27" s="609"/>
      <c r="UFU27" s="609"/>
      <c r="UFV27" s="609"/>
      <c r="UFW27" s="609"/>
      <c r="UFX27" s="609"/>
      <c r="UFY27" s="609"/>
      <c r="UFZ27" s="609"/>
      <c r="UGA27" s="609"/>
      <c r="UGB27" s="609"/>
      <c r="UGC27" s="609"/>
      <c r="UGD27" s="609"/>
      <c r="UGE27" s="609"/>
      <c r="UGF27" s="609"/>
      <c r="UGG27" s="609"/>
      <c r="UGH27" s="609"/>
      <c r="UGI27" s="609"/>
      <c r="UGJ27" s="609"/>
      <c r="UGK27" s="609"/>
      <c r="UGL27" s="609"/>
      <c r="UGM27" s="609"/>
      <c r="UGN27" s="609"/>
      <c r="UGO27" s="609"/>
      <c r="UGP27" s="609"/>
      <c r="UGQ27" s="609"/>
      <c r="UGR27" s="609"/>
      <c r="UGS27" s="609"/>
      <c r="UGT27" s="609"/>
      <c r="UGU27" s="609"/>
      <c r="UGV27" s="609"/>
      <c r="UGW27" s="609"/>
      <c r="UGX27" s="609"/>
      <c r="UGY27" s="609"/>
      <c r="UGZ27" s="609"/>
      <c r="UHA27" s="609"/>
      <c r="UHB27" s="609"/>
      <c r="UHC27" s="609"/>
      <c r="UHD27" s="609"/>
      <c r="UHE27" s="609"/>
      <c r="UHF27" s="609"/>
      <c r="UHG27" s="609"/>
      <c r="UHH27" s="609"/>
      <c r="UHI27" s="609"/>
      <c r="UHJ27" s="609"/>
      <c r="UHK27" s="609"/>
      <c r="UHL27" s="609"/>
      <c r="UHM27" s="609"/>
      <c r="UHN27" s="609"/>
      <c r="UHO27" s="609"/>
      <c r="UHP27" s="609"/>
      <c r="UHQ27" s="609"/>
      <c r="UHR27" s="609"/>
      <c r="UHS27" s="609"/>
      <c r="UHT27" s="609"/>
      <c r="UHU27" s="609"/>
      <c r="UHV27" s="609"/>
      <c r="UHW27" s="609"/>
      <c r="UHX27" s="609"/>
      <c r="UHY27" s="609"/>
      <c r="UHZ27" s="609"/>
      <c r="UIA27" s="609"/>
      <c r="UIB27" s="609"/>
      <c r="UIC27" s="609"/>
      <c r="UID27" s="609"/>
      <c r="UIE27" s="609"/>
      <c r="UIF27" s="609"/>
      <c r="UIG27" s="609"/>
      <c r="UIH27" s="609"/>
      <c r="UII27" s="609"/>
      <c r="UIJ27" s="609"/>
      <c r="UIK27" s="609"/>
      <c r="UIL27" s="609"/>
      <c r="UIM27" s="609"/>
      <c r="UIN27" s="609"/>
      <c r="UIO27" s="609"/>
      <c r="UIP27" s="609"/>
      <c r="UIQ27" s="609"/>
      <c r="UIR27" s="609"/>
      <c r="UIS27" s="609"/>
      <c r="UIT27" s="609"/>
      <c r="UIU27" s="609"/>
      <c r="UIV27" s="609"/>
      <c r="UIW27" s="609"/>
      <c r="UIX27" s="609"/>
      <c r="UIY27" s="609"/>
      <c r="UIZ27" s="609"/>
      <c r="UJA27" s="609"/>
      <c r="UJB27" s="609"/>
      <c r="UJC27" s="609"/>
      <c r="UJD27" s="609"/>
      <c r="UJE27" s="609"/>
      <c r="UJF27" s="609"/>
      <c r="UJG27" s="609"/>
      <c r="UJH27" s="609"/>
      <c r="UJI27" s="609"/>
      <c r="UJJ27" s="609"/>
      <c r="UJK27" s="609"/>
      <c r="UJL27" s="609"/>
      <c r="UJM27" s="609"/>
      <c r="UJN27" s="609"/>
      <c r="UJO27" s="609"/>
      <c r="UJP27" s="609"/>
      <c r="UJQ27" s="609"/>
      <c r="UJR27" s="609"/>
      <c r="UJS27" s="609"/>
      <c r="UJT27" s="609"/>
      <c r="UJU27" s="609"/>
      <c r="UJV27" s="609"/>
      <c r="UJW27" s="609"/>
      <c r="UJX27" s="609"/>
      <c r="UJY27" s="609"/>
      <c r="UJZ27" s="609"/>
      <c r="UKA27" s="609"/>
      <c r="UKB27" s="609"/>
      <c r="UKC27" s="609"/>
      <c r="UKD27" s="609"/>
      <c r="UKE27" s="609"/>
      <c r="UKF27" s="609"/>
      <c r="UKG27" s="609"/>
      <c r="UKH27" s="609"/>
      <c r="UKI27" s="609"/>
      <c r="UKJ27" s="609"/>
      <c r="UKK27" s="609"/>
      <c r="UKL27" s="609"/>
      <c r="UKM27" s="609"/>
      <c r="UKN27" s="609"/>
      <c r="UKO27" s="609"/>
      <c r="UKP27" s="609"/>
      <c r="UKQ27" s="609"/>
      <c r="UKR27" s="609"/>
      <c r="UKS27" s="609"/>
      <c r="UKT27" s="609"/>
      <c r="UKU27" s="609"/>
      <c r="UKV27" s="609"/>
      <c r="UKW27" s="609"/>
      <c r="UKX27" s="609"/>
      <c r="UKY27" s="609"/>
      <c r="UKZ27" s="609"/>
      <c r="ULA27" s="609"/>
      <c r="ULB27" s="609"/>
      <c r="ULC27" s="609"/>
      <c r="ULD27" s="609"/>
      <c r="ULE27" s="609"/>
      <c r="ULF27" s="609"/>
      <c r="ULG27" s="609"/>
      <c r="ULH27" s="609"/>
      <c r="ULI27" s="609"/>
      <c r="ULJ27" s="609"/>
      <c r="ULK27" s="609"/>
      <c r="ULL27" s="609"/>
      <c r="ULM27" s="609"/>
      <c r="ULN27" s="609"/>
      <c r="ULO27" s="609"/>
      <c r="ULP27" s="609"/>
      <c r="ULQ27" s="609"/>
      <c r="ULR27" s="609"/>
      <c r="ULS27" s="609"/>
      <c r="ULT27" s="609"/>
      <c r="ULU27" s="609"/>
      <c r="ULV27" s="609"/>
      <c r="ULW27" s="609"/>
      <c r="ULX27" s="609"/>
      <c r="ULY27" s="609"/>
      <c r="ULZ27" s="609"/>
      <c r="UMA27" s="609"/>
      <c r="UMB27" s="609"/>
      <c r="UMC27" s="609"/>
      <c r="UMD27" s="609"/>
      <c r="UME27" s="609"/>
      <c r="UMF27" s="609"/>
      <c r="UMG27" s="609"/>
      <c r="UMH27" s="609"/>
      <c r="UMI27" s="609"/>
      <c r="UMJ27" s="609"/>
      <c r="UMK27" s="609"/>
      <c r="UML27" s="609"/>
      <c r="UMM27" s="609"/>
      <c r="UMN27" s="609"/>
      <c r="UMO27" s="609"/>
      <c r="UMP27" s="609"/>
      <c r="UMQ27" s="609"/>
      <c r="UMR27" s="609"/>
      <c r="UMS27" s="609"/>
      <c r="UMT27" s="609"/>
      <c r="UMU27" s="609"/>
      <c r="UMV27" s="609"/>
      <c r="UMW27" s="609"/>
      <c r="UMX27" s="609"/>
      <c r="UMY27" s="609"/>
      <c r="UMZ27" s="609"/>
      <c r="UNA27" s="609"/>
      <c r="UNB27" s="609"/>
      <c r="UNC27" s="609"/>
      <c r="UND27" s="609"/>
      <c r="UNE27" s="609"/>
      <c r="UNF27" s="609"/>
      <c r="UNG27" s="609"/>
      <c r="UNH27" s="609"/>
      <c r="UNI27" s="609"/>
      <c r="UNJ27" s="609"/>
      <c r="UNK27" s="609"/>
      <c r="UNL27" s="609"/>
      <c r="UNM27" s="609"/>
      <c r="UNN27" s="609"/>
      <c r="UNO27" s="609"/>
      <c r="UNP27" s="609"/>
      <c r="UNQ27" s="609"/>
      <c r="UNR27" s="609"/>
      <c r="UNS27" s="609"/>
      <c r="UNT27" s="609"/>
      <c r="UNU27" s="609"/>
      <c r="UNV27" s="609"/>
      <c r="UNW27" s="609"/>
      <c r="UNX27" s="609"/>
      <c r="UNY27" s="609"/>
      <c r="UNZ27" s="609"/>
      <c r="UOA27" s="609"/>
      <c r="UOB27" s="609"/>
      <c r="UOC27" s="609"/>
      <c r="UOD27" s="609"/>
      <c r="UOE27" s="609"/>
      <c r="UOF27" s="609"/>
      <c r="UOG27" s="609"/>
      <c r="UOH27" s="609"/>
      <c r="UOI27" s="609"/>
      <c r="UOJ27" s="609"/>
      <c r="UOK27" s="609"/>
      <c r="UOL27" s="609"/>
      <c r="UOM27" s="609"/>
      <c r="UON27" s="609"/>
      <c r="UOO27" s="609"/>
      <c r="UOP27" s="609"/>
      <c r="UOQ27" s="609"/>
      <c r="UOR27" s="609"/>
      <c r="UOS27" s="609"/>
      <c r="UOT27" s="609"/>
      <c r="UOU27" s="609"/>
      <c r="UOV27" s="609"/>
      <c r="UOW27" s="609"/>
      <c r="UOX27" s="609"/>
      <c r="UOY27" s="609"/>
      <c r="UOZ27" s="609"/>
      <c r="UPA27" s="609"/>
      <c r="UPB27" s="609"/>
      <c r="UPC27" s="609"/>
      <c r="UPD27" s="609"/>
      <c r="UPE27" s="609"/>
      <c r="UPF27" s="609"/>
      <c r="UPG27" s="609"/>
      <c r="UPH27" s="609"/>
      <c r="UPI27" s="609"/>
      <c r="UPJ27" s="609"/>
      <c r="UPK27" s="609"/>
      <c r="UPL27" s="609"/>
      <c r="UPM27" s="609"/>
      <c r="UPN27" s="609"/>
      <c r="UPO27" s="609"/>
      <c r="UPP27" s="609"/>
      <c r="UPQ27" s="609"/>
      <c r="UPR27" s="609"/>
      <c r="UPS27" s="609"/>
      <c r="UPT27" s="609"/>
      <c r="UPU27" s="609"/>
      <c r="UPV27" s="609"/>
      <c r="UPW27" s="609"/>
      <c r="UPX27" s="609"/>
      <c r="UPY27" s="609"/>
      <c r="UPZ27" s="609"/>
      <c r="UQA27" s="609"/>
      <c r="UQB27" s="609"/>
      <c r="UQC27" s="609"/>
      <c r="UQD27" s="609"/>
      <c r="UQE27" s="609"/>
      <c r="UQF27" s="609"/>
      <c r="UQG27" s="609"/>
      <c r="UQH27" s="609"/>
      <c r="UQI27" s="609"/>
      <c r="UQJ27" s="609"/>
      <c r="UQK27" s="609"/>
      <c r="UQL27" s="609"/>
      <c r="UQM27" s="609"/>
      <c r="UQN27" s="609"/>
      <c r="UQO27" s="609"/>
      <c r="UQP27" s="609"/>
      <c r="UQQ27" s="609"/>
      <c r="UQR27" s="609"/>
      <c r="UQS27" s="609"/>
      <c r="UQT27" s="609"/>
      <c r="UQU27" s="609"/>
      <c r="UQV27" s="609"/>
      <c r="UQW27" s="609"/>
      <c r="UQX27" s="609"/>
      <c r="UQY27" s="609"/>
      <c r="UQZ27" s="609"/>
      <c r="URA27" s="609"/>
      <c r="URB27" s="609"/>
      <c r="URC27" s="609"/>
      <c r="URD27" s="609"/>
      <c r="URE27" s="609"/>
      <c r="URF27" s="609"/>
      <c r="URG27" s="609"/>
      <c r="URH27" s="609"/>
      <c r="URI27" s="609"/>
      <c r="URJ27" s="609"/>
      <c r="URK27" s="609"/>
      <c r="URL27" s="609"/>
      <c r="URM27" s="609"/>
      <c r="URN27" s="609"/>
      <c r="URO27" s="609"/>
      <c r="URP27" s="609"/>
      <c r="URQ27" s="609"/>
      <c r="URR27" s="609"/>
      <c r="URS27" s="609"/>
      <c r="URT27" s="609"/>
      <c r="URU27" s="609"/>
      <c r="URV27" s="609"/>
      <c r="URW27" s="609"/>
      <c r="URX27" s="609"/>
      <c r="URY27" s="609"/>
      <c r="URZ27" s="609"/>
      <c r="USA27" s="609"/>
      <c r="USB27" s="609"/>
      <c r="USC27" s="609"/>
      <c r="USD27" s="609"/>
      <c r="USE27" s="609"/>
      <c r="USF27" s="609"/>
      <c r="USG27" s="609"/>
      <c r="USH27" s="609"/>
      <c r="USI27" s="609"/>
      <c r="USJ27" s="609"/>
      <c r="USK27" s="609"/>
      <c r="USL27" s="609"/>
      <c r="USM27" s="609"/>
      <c r="USN27" s="609"/>
      <c r="USO27" s="609"/>
      <c r="USP27" s="609"/>
      <c r="USQ27" s="609"/>
      <c r="USR27" s="609"/>
      <c r="USS27" s="609"/>
      <c r="UST27" s="609"/>
      <c r="USU27" s="609"/>
      <c r="USV27" s="609"/>
      <c r="USW27" s="609"/>
      <c r="USX27" s="609"/>
      <c r="USY27" s="609"/>
      <c r="USZ27" s="609"/>
      <c r="UTA27" s="609"/>
      <c r="UTB27" s="609"/>
      <c r="UTC27" s="609"/>
      <c r="UTD27" s="609"/>
      <c r="UTE27" s="609"/>
      <c r="UTF27" s="609"/>
      <c r="UTG27" s="609"/>
      <c r="UTH27" s="609"/>
      <c r="UTI27" s="609"/>
      <c r="UTJ27" s="609"/>
      <c r="UTK27" s="609"/>
      <c r="UTL27" s="609"/>
      <c r="UTM27" s="609"/>
      <c r="UTN27" s="609"/>
      <c r="UTO27" s="609"/>
      <c r="UTP27" s="609"/>
      <c r="UTQ27" s="609"/>
      <c r="UTR27" s="609"/>
      <c r="UTS27" s="609"/>
      <c r="UTT27" s="609"/>
      <c r="UTU27" s="609"/>
      <c r="UTV27" s="609"/>
      <c r="UTW27" s="609"/>
      <c r="UTX27" s="609"/>
      <c r="UTY27" s="609"/>
      <c r="UTZ27" s="609"/>
      <c r="UUA27" s="609"/>
      <c r="UUB27" s="609"/>
      <c r="UUC27" s="609"/>
      <c r="UUD27" s="609"/>
      <c r="UUE27" s="609"/>
      <c r="UUF27" s="609"/>
      <c r="UUG27" s="609"/>
      <c r="UUH27" s="609"/>
      <c r="UUI27" s="609"/>
      <c r="UUJ27" s="609"/>
      <c r="UUK27" s="609"/>
      <c r="UUL27" s="609"/>
      <c r="UUM27" s="609"/>
      <c r="UUN27" s="609"/>
      <c r="UUO27" s="609"/>
      <c r="UUP27" s="609"/>
      <c r="UUQ27" s="609"/>
      <c r="UUR27" s="609"/>
      <c r="UUS27" s="609"/>
      <c r="UUT27" s="609"/>
      <c r="UUU27" s="609"/>
      <c r="UUV27" s="609"/>
      <c r="UUW27" s="609"/>
      <c r="UUX27" s="609"/>
      <c r="UUY27" s="609"/>
      <c r="UUZ27" s="609"/>
      <c r="UVA27" s="609"/>
      <c r="UVB27" s="609"/>
      <c r="UVC27" s="609"/>
      <c r="UVD27" s="609"/>
      <c r="UVE27" s="609"/>
      <c r="UVF27" s="609"/>
      <c r="UVG27" s="609"/>
      <c r="UVH27" s="609"/>
      <c r="UVI27" s="609"/>
      <c r="UVJ27" s="609"/>
      <c r="UVK27" s="609"/>
      <c r="UVL27" s="609"/>
      <c r="UVM27" s="609"/>
      <c r="UVN27" s="609"/>
      <c r="UVO27" s="609"/>
      <c r="UVP27" s="609"/>
      <c r="UVQ27" s="609"/>
      <c r="UVR27" s="609"/>
      <c r="UVS27" s="609"/>
      <c r="UVT27" s="609"/>
      <c r="UVU27" s="609"/>
      <c r="UVV27" s="609"/>
      <c r="UVW27" s="609"/>
      <c r="UVX27" s="609"/>
      <c r="UVY27" s="609"/>
      <c r="UVZ27" s="609"/>
      <c r="UWA27" s="609"/>
      <c r="UWB27" s="609"/>
      <c r="UWC27" s="609"/>
      <c r="UWD27" s="609"/>
      <c r="UWE27" s="609"/>
      <c r="UWF27" s="609"/>
      <c r="UWG27" s="609"/>
      <c r="UWH27" s="609"/>
      <c r="UWI27" s="609"/>
      <c r="UWJ27" s="609"/>
      <c r="UWK27" s="609"/>
      <c r="UWL27" s="609"/>
      <c r="UWM27" s="609"/>
      <c r="UWN27" s="609"/>
      <c r="UWO27" s="609"/>
      <c r="UWP27" s="609"/>
      <c r="UWQ27" s="609"/>
      <c r="UWR27" s="609"/>
      <c r="UWS27" s="609"/>
      <c r="UWT27" s="609"/>
      <c r="UWU27" s="609"/>
      <c r="UWV27" s="609"/>
      <c r="UWW27" s="609"/>
      <c r="UWX27" s="609"/>
      <c r="UWY27" s="609"/>
      <c r="UWZ27" s="609"/>
      <c r="UXA27" s="609"/>
      <c r="UXB27" s="609"/>
      <c r="UXC27" s="609"/>
      <c r="UXD27" s="609"/>
      <c r="UXE27" s="609"/>
      <c r="UXF27" s="609"/>
      <c r="UXG27" s="609"/>
      <c r="UXH27" s="609"/>
      <c r="UXI27" s="609"/>
      <c r="UXJ27" s="609"/>
      <c r="UXK27" s="609"/>
      <c r="UXL27" s="609"/>
      <c r="UXM27" s="609"/>
      <c r="UXN27" s="609"/>
      <c r="UXO27" s="609"/>
      <c r="UXP27" s="609"/>
      <c r="UXQ27" s="609"/>
      <c r="UXR27" s="609"/>
      <c r="UXS27" s="609"/>
      <c r="UXT27" s="609"/>
      <c r="UXU27" s="609"/>
      <c r="UXV27" s="609"/>
      <c r="UXW27" s="609"/>
      <c r="UXX27" s="609"/>
      <c r="UXY27" s="609"/>
      <c r="UXZ27" s="609"/>
      <c r="UYA27" s="609"/>
      <c r="UYB27" s="609"/>
      <c r="UYC27" s="609"/>
      <c r="UYD27" s="609"/>
      <c r="UYE27" s="609"/>
      <c r="UYF27" s="609"/>
      <c r="UYG27" s="609"/>
      <c r="UYH27" s="609"/>
      <c r="UYI27" s="609"/>
      <c r="UYJ27" s="609"/>
      <c r="UYK27" s="609"/>
      <c r="UYL27" s="609"/>
      <c r="UYM27" s="609"/>
      <c r="UYN27" s="609"/>
      <c r="UYO27" s="609"/>
      <c r="UYP27" s="609"/>
      <c r="UYQ27" s="609"/>
      <c r="UYR27" s="609"/>
      <c r="UYS27" s="609"/>
      <c r="UYT27" s="609"/>
      <c r="UYU27" s="609"/>
      <c r="UYV27" s="609"/>
      <c r="UYW27" s="609"/>
      <c r="UYX27" s="609"/>
      <c r="UYY27" s="609"/>
      <c r="UYZ27" s="609"/>
      <c r="UZA27" s="609"/>
      <c r="UZB27" s="609"/>
      <c r="UZC27" s="609"/>
      <c r="UZD27" s="609"/>
      <c r="UZE27" s="609"/>
      <c r="UZF27" s="609"/>
      <c r="UZG27" s="609"/>
      <c r="UZH27" s="609"/>
      <c r="UZI27" s="609"/>
      <c r="UZJ27" s="609"/>
      <c r="UZK27" s="609"/>
      <c r="UZL27" s="609"/>
      <c r="UZM27" s="609"/>
      <c r="UZN27" s="609"/>
      <c r="UZO27" s="609"/>
      <c r="UZP27" s="609"/>
      <c r="UZQ27" s="609"/>
      <c r="UZR27" s="609"/>
      <c r="UZS27" s="609"/>
      <c r="UZT27" s="609"/>
      <c r="UZU27" s="609"/>
      <c r="UZV27" s="609"/>
      <c r="UZW27" s="609"/>
      <c r="UZX27" s="609"/>
      <c r="UZY27" s="609"/>
      <c r="UZZ27" s="609"/>
      <c r="VAA27" s="609"/>
      <c r="VAB27" s="609"/>
      <c r="VAC27" s="609"/>
      <c r="VAD27" s="609"/>
      <c r="VAE27" s="609"/>
      <c r="VAF27" s="609"/>
      <c r="VAG27" s="609"/>
      <c r="VAH27" s="609"/>
      <c r="VAI27" s="609"/>
      <c r="VAJ27" s="609"/>
      <c r="VAK27" s="609"/>
      <c r="VAL27" s="609"/>
      <c r="VAM27" s="609"/>
      <c r="VAN27" s="609"/>
      <c r="VAO27" s="609"/>
      <c r="VAP27" s="609"/>
      <c r="VAQ27" s="609"/>
      <c r="VAR27" s="609"/>
      <c r="VAS27" s="609"/>
      <c r="VAT27" s="609"/>
      <c r="VAU27" s="609"/>
      <c r="VAV27" s="609"/>
      <c r="VAW27" s="609"/>
      <c r="VAX27" s="609"/>
      <c r="VAY27" s="609"/>
      <c r="VAZ27" s="609"/>
      <c r="VBA27" s="609"/>
      <c r="VBB27" s="609"/>
      <c r="VBC27" s="609"/>
      <c r="VBD27" s="609"/>
      <c r="VBE27" s="609"/>
      <c r="VBF27" s="609"/>
      <c r="VBG27" s="609"/>
      <c r="VBH27" s="609"/>
      <c r="VBI27" s="609"/>
      <c r="VBJ27" s="609"/>
      <c r="VBK27" s="609"/>
      <c r="VBL27" s="609"/>
      <c r="VBM27" s="609"/>
      <c r="VBN27" s="609"/>
      <c r="VBO27" s="609"/>
      <c r="VBP27" s="609"/>
      <c r="VBQ27" s="609"/>
      <c r="VBR27" s="609"/>
      <c r="VBS27" s="609"/>
      <c r="VBT27" s="609"/>
      <c r="VBU27" s="609"/>
      <c r="VBV27" s="609"/>
      <c r="VBW27" s="609"/>
      <c r="VBX27" s="609"/>
      <c r="VBY27" s="609"/>
      <c r="VBZ27" s="609"/>
      <c r="VCA27" s="609"/>
      <c r="VCB27" s="609"/>
      <c r="VCC27" s="609"/>
      <c r="VCD27" s="609"/>
      <c r="VCE27" s="609"/>
      <c r="VCF27" s="609"/>
      <c r="VCG27" s="609"/>
      <c r="VCH27" s="609"/>
      <c r="VCI27" s="609"/>
      <c r="VCJ27" s="609"/>
      <c r="VCK27" s="609"/>
      <c r="VCL27" s="609"/>
      <c r="VCM27" s="609"/>
      <c r="VCN27" s="609"/>
      <c r="VCO27" s="609"/>
      <c r="VCP27" s="609"/>
      <c r="VCQ27" s="609"/>
      <c r="VCR27" s="609"/>
      <c r="VCS27" s="609"/>
      <c r="VCT27" s="609"/>
      <c r="VCU27" s="609"/>
      <c r="VCV27" s="609"/>
      <c r="VCW27" s="609"/>
      <c r="VCX27" s="609"/>
      <c r="VCY27" s="609"/>
      <c r="VCZ27" s="609"/>
      <c r="VDA27" s="609"/>
      <c r="VDB27" s="609"/>
      <c r="VDC27" s="609"/>
      <c r="VDD27" s="609"/>
      <c r="VDE27" s="609"/>
      <c r="VDF27" s="609"/>
      <c r="VDG27" s="609"/>
      <c r="VDH27" s="609"/>
      <c r="VDI27" s="609"/>
      <c r="VDJ27" s="609"/>
      <c r="VDK27" s="609"/>
      <c r="VDL27" s="609"/>
      <c r="VDM27" s="609"/>
      <c r="VDN27" s="609"/>
      <c r="VDO27" s="609"/>
      <c r="VDP27" s="609"/>
      <c r="VDQ27" s="609"/>
      <c r="VDR27" s="609"/>
      <c r="VDS27" s="609"/>
      <c r="VDT27" s="609"/>
      <c r="VDU27" s="609"/>
      <c r="VDV27" s="609"/>
      <c r="VDW27" s="609"/>
      <c r="VDX27" s="609"/>
      <c r="VDY27" s="609"/>
      <c r="VDZ27" s="609"/>
      <c r="VEA27" s="609"/>
      <c r="VEB27" s="609"/>
      <c r="VEC27" s="609"/>
      <c r="VED27" s="609"/>
      <c r="VEE27" s="609"/>
      <c r="VEF27" s="609"/>
      <c r="VEG27" s="609"/>
      <c r="VEH27" s="609"/>
      <c r="VEI27" s="609"/>
      <c r="VEJ27" s="609"/>
      <c r="VEK27" s="609"/>
      <c r="VEL27" s="609"/>
      <c r="VEM27" s="609"/>
      <c r="VEN27" s="609"/>
      <c r="VEO27" s="609"/>
      <c r="VEP27" s="609"/>
      <c r="VEQ27" s="609"/>
      <c r="VER27" s="609"/>
      <c r="VES27" s="609"/>
      <c r="VET27" s="609"/>
      <c r="VEU27" s="609"/>
      <c r="VEV27" s="609"/>
      <c r="VEW27" s="609"/>
      <c r="VEX27" s="609"/>
      <c r="VEY27" s="609"/>
      <c r="VEZ27" s="609"/>
      <c r="VFA27" s="609"/>
      <c r="VFB27" s="609"/>
      <c r="VFC27" s="609"/>
      <c r="VFD27" s="609"/>
      <c r="VFE27" s="609"/>
      <c r="VFF27" s="609"/>
      <c r="VFG27" s="609"/>
      <c r="VFH27" s="609"/>
      <c r="VFI27" s="609"/>
      <c r="VFJ27" s="609"/>
      <c r="VFK27" s="609"/>
      <c r="VFL27" s="609"/>
      <c r="VFM27" s="609"/>
      <c r="VFN27" s="609"/>
      <c r="VFO27" s="609"/>
      <c r="VFP27" s="609"/>
      <c r="VFQ27" s="609"/>
      <c r="VFR27" s="609"/>
      <c r="VFS27" s="609"/>
      <c r="VFT27" s="609"/>
      <c r="VFU27" s="609"/>
      <c r="VFV27" s="609"/>
      <c r="VFW27" s="609"/>
      <c r="VFX27" s="609"/>
      <c r="VFY27" s="609"/>
      <c r="VFZ27" s="609"/>
      <c r="VGA27" s="609"/>
      <c r="VGB27" s="609"/>
      <c r="VGC27" s="609"/>
      <c r="VGD27" s="609"/>
      <c r="VGE27" s="609"/>
      <c r="VGF27" s="609"/>
      <c r="VGG27" s="609"/>
      <c r="VGH27" s="609"/>
      <c r="VGI27" s="609"/>
      <c r="VGJ27" s="609"/>
      <c r="VGK27" s="609"/>
      <c r="VGL27" s="609"/>
      <c r="VGM27" s="609"/>
      <c r="VGN27" s="609"/>
      <c r="VGO27" s="609"/>
      <c r="VGP27" s="609"/>
      <c r="VGQ27" s="609"/>
      <c r="VGR27" s="609"/>
      <c r="VGS27" s="609"/>
      <c r="VGT27" s="609"/>
      <c r="VGU27" s="609"/>
      <c r="VGV27" s="609"/>
      <c r="VGW27" s="609"/>
      <c r="VGX27" s="609"/>
      <c r="VGY27" s="609"/>
      <c r="VGZ27" s="609"/>
      <c r="VHA27" s="609"/>
      <c r="VHB27" s="609"/>
      <c r="VHC27" s="609"/>
      <c r="VHD27" s="609"/>
      <c r="VHE27" s="609"/>
      <c r="VHF27" s="609"/>
      <c r="VHG27" s="609"/>
      <c r="VHH27" s="609"/>
      <c r="VHI27" s="609"/>
      <c r="VHJ27" s="609"/>
      <c r="VHK27" s="609"/>
      <c r="VHL27" s="609"/>
      <c r="VHM27" s="609"/>
      <c r="VHN27" s="609"/>
      <c r="VHO27" s="609"/>
      <c r="VHP27" s="609"/>
      <c r="VHQ27" s="609"/>
      <c r="VHR27" s="609"/>
      <c r="VHS27" s="609"/>
      <c r="VHT27" s="609"/>
      <c r="VHU27" s="609"/>
      <c r="VHV27" s="609"/>
      <c r="VHW27" s="609"/>
      <c r="VHX27" s="609"/>
      <c r="VHY27" s="609"/>
      <c r="VHZ27" s="609"/>
      <c r="VIA27" s="609"/>
      <c r="VIB27" s="609"/>
      <c r="VIC27" s="609"/>
      <c r="VID27" s="609"/>
      <c r="VIE27" s="609"/>
      <c r="VIF27" s="609"/>
      <c r="VIG27" s="609"/>
      <c r="VIH27" s="609"/>
      <c r="VII27" s="609"/>
      <c r="VIJ27" s="609"/>
      <c r="VIK27" s="609"/>
      <c r="VIL27" s="609"/>
      <c r="VIM27" s="609"/>
      <c r="VIN27" s="609"/>
      <c r="VIO27" s="609"/>
      <c r="VIP27" s="609"/>
      <c r="VIQ27" s="609"/>
      <c r="VIR27" s="609"/>
      <c r="VIS27" s="609"/>
      <c r="VIT27" s="609"/>
      <c r="VIU27" s="609"/>
      <c r="VIV27" s="609"/>
      <c r="VIW27" s="609"/>
      <c r="VIX27" s="609"/>
      <c r="VIY27" s="609"/>
      <c r="VIZ27" s="609"/>
      <c r="VJA27" s="609"/>
      <c r="VJB27" s="609"/>
      <c r="VJC27" s="609"/>
      <c r="VJD27" s="609"/>
      <c r="VJE27" s="609"/>
      <c r="VJF27" s="609"/>
      <c r="VJG27" s="609"/>
      <c r="VJH27" s="609"/>
      <c r="VJI27" s="609"/>
      <c r="VJJ27" s="609"/>
      <c r="VJK27" s="609"/>
      <c r="VJL27" s="609"/>
      <c r="VJM27" s="609"/>
      <c r="VJN27" s="609"/>
      <c r="VJO27" s="609"/>
      <c r="VJP27" s="609"/>
      <c r="VJQ27" s="609"/>
      <c r="VJR27" s="609"/>
      <c r="VJS27" s="609"/>
      <c r="VJT27" s="609"/>
      <c r="VJU27" s="609"/>
      <c r="VJV27" s="609"/>
      <c r="VJW27" s="609"/>
      <c r="VJX27" s="609"/>
      <c r="VJY27" s="609"/>
      <c r="VJZ27" s="609"/>
      <c r="VKA27" s="609"/>
      <c r="VKB27" s="609"/>
      <c r="VKC27" s="609"/>
      <c r="VKD27" s="609"/>
      <c r="VKE27" s="609"/>
      <c r="VKF27" s="609"/>
      <c r="VKG27" s="609"/>
      <c r="VKH27" s="609"/>
      <c r="VKI27" s="609"/>
      <c r="VKJ27" s="609"/>
      <c r="VKK27" s="609"/>
      <c r="VKL27" s="609"/>
      <c r="VKM27" s="609"/>
      <c r="VKN27" s="609"/>
      <c r="VKO27" s="609"/>
      <c r="VKP27" s="609"/>
      <c r="VKQ27" s="609"/>
      <c r="VKR27" s="609"/>
      <c r="VKS27" s="609"/>
      <c r="VKT27" s="609"/>
      <c r="VKU27" s="609"/>
      <c r="VKV27" s="609"/>
      <c r="VKW27" s="609"/>
      <c r="VKX27" s="609"/>
      <c r="VKY27" s="609"/>
      <c r="VKZ27" s="609"/>
      <c r="VLA27" s="609"/>
      <c r="VLB27" s="609"/>
      <c r="VLC27" s="609"/>
      <c r="VLD27" s="609"/>
      <c r="VLE27" s="609"/>
      <c r="VLF27" s="609"/>
      <c r="VLG27" s="609"/>
      <c r="VLH27" s="609"/>
      <c r="VLI27" s="609"/>
      <c r="VLJ27" s="609"/>
      <c r="VLK27" s="609"/>
      <c r="VLL27" s="609"/>
      <c r="VLM27" s="609"/>
      <c r="VLN27" s="609"/>
      <c r="VLO27" s="609"/>
      <c r="VLP27" s="609"/>
      <c r="VLQ27" s="609"/>
      <c r="VLR27" s="609"/>
      <c r="VLS27" s="609"/>
      <c r="VLT27" s="609"/>
      <c r="VLU27" s="609"/>
      <c r="VLV27" s="609"/>
      <c r="VLW27" s="609"/>
      <c r="VLX27" s="609"/>
      <c r="VLY27" s="609"/>
      <c r="VLZ27" s="609"/>
      <c r="VMA27" s="609"/>
      <c r="VMB27" s="609"/>
      <c r="VMC27" s="609"/>
      <c r="VMD27" s="609"/>
      <c r="VME27" s="609"/>
      <c r="VMF27" s="609"/>
      <c r="VMG27" s="609"/>
      <c r="VMH27" s="609"/>
      <c r="VMI27" s="609"/>
      <c r="VMJ27" s="609"/>
      <c r="VMK27" s="609"/>
      <c r="VML27" s="609"/>
      <c r="VMM27" s="609"/>
      <c r="VMN27" s="609"/>
      <c r="VMO27" s="609"/>
      <c r="VMP27" s="609"/>
      <c r="VMQ27" s="609"/>
      <c r="VMR27" s="609"/>
      <c r="VMS27" s="609"/>
      <c r="VMT27" s="609"/>
      <c r="VMU27" s="609"/>
      <c r="VMV27" s="609"/>
      <c r="VMW27" s="609"/>
      <c r="VMX27" s="609"/>
      <c r="VMY27" s="609"/>
      <c r="VMZ27" s="609"/>
      <c r="VNA27" s="609"/>
      <c r="VNB27" s="609"/>
      <c r="VNC27" s="609"/>
      <c r="VND27" s="609"/>
      <c r="VNE27" s="609"/>
      <c r="VNF27" s="609"/>
      <c r="VNG27" s="609"/>
      <c r="VNH27" s="609"/>
      <c r="VNI27" s="609"/>
      <c r="VNJ27" s="609"/>
      <c r="VNK27" s="609"/>
      <c r="VNL27" s="609"/>
      <c r="VNM27" s="609"/>
      <c r="VNN27" s="609"/>
      <c r="VNO27" s="609"/>
      <c r="VNP27" s="609"/>
      <c r="VNQ27" s="609"/>
      <c r="VNR27" s="609"/>
      <c r="VNS27" s="609"/>
      <c r="VNT27" s="609"/>
      <c r="VNU27" s="609"/>
      <c r="VNV27" s="609"/>
      <c r="VNW27" s="609"/>
      <c r="VNX27" s="609"/>
      <c r="VNY27" s="609"/>
      <c r="VNZ27" s="609"/>
      <c r="VOA27" s="609"/>
      <c r="VOB27" s="609"/>
      <c r="VOC27" s="609"/>
      <c r="VOD27" s="609"/>
      <c r="VOE27" s="609"/>
      <c r="VOF27" s="609"/>
      <c r="VOG27" s="609"/>
      <c r="VOH27" s="609"/>
      <c r="VOI27" s="609"/>
      <c r="VOJ27" s="609"/>
      <c r="VOK27" s="609"/>
      <c r="VOL27" s="609"/>
      <c r="VOM27" s="609"/>
      <c r="VON27" s="609"/>
      <c r="VOO27" s="609"/>
      <c r="VOP27" s="609"/>
      <c r="VOQ27" s="609"/>
      <c r="VOR27" s="609"/>
      <c r="VOS27" s="609"/>
      <c r="VOT27" s="609"/>
      <c r="VOU27" s="609"/>
      <c r="VOV27" s="609"/>
      <c r="VOW27" s="609"/>
      <c r="VOX27" s="609"/>
      <c r="VOY27" s="609"/>
      <c r="VOZ27" s="609"/>
      <c r="VPA27" s="609"/>
      <c r="VPB27" s="609"/>
      <c r="VPC27" s="609"/>
      <c r="VPD27" s="609"/>
      <c r="VPE27" s="609"/>
      <c r="VPF27" s="609"/>
      <c r="VPG27" s="609"/>
      <c r="VPH27" s="609"/>
      <c r="VPI27" s="609"/>
      <c r="VPJ27" s="609"/>
      <c r="VPK27" s="609"/>
      <c r="VPL27" s="609"/>
      <c r="VPM27" s="609"/>
      <c r="VPN27" s="609"/>
      <c r="VPO27" s="609"/>
      <c r="VPP27" s="609"/>
      <c r="VPQ27" s="609"/>
      <c r="VPR27" s="609"/>
      <c r="VPS27" s="609"/>
      <c r="VPT27" s="609"/>
      <c r="VPU27" s="609"/>
      <c r="VPV27" s="609"/>
      <c r="VPW27" s="609"/>
      <c r="VPX27" s="609"/>
      <c r="VPY27" s="609"/>
      <c r="VPZ27" s="609"/>
      <c r="VQA27" s="609"/>
      <c r="VQB27" s="609"/>
      <c r="VQC27" s="609"/>
      <c r="VQD27" s="609"/>
      <c r="VQE27" s="609"/>
      <c r="VQF27" s="609"/>
      <c r="VQG27" s="609"/>
      <c r="VQH27" s="609"/>
      <c r="VQI27" s="609"/>
      <c r="VQJ27" s="609"/>
      <c r="VQK27" s="609"/>
      <c r="VQL27" s="609"/>
      <c r="VQM27" s="609"/>
      <c r="VQN27" s="609"/>
      <c r="VQO27" s="609"/>
      <c r="VQP27" s="609"/>
      <c r="VQQ27" s="609"/>
      <c r="VQR27" s="609"/>
      <c r="VQS27" s="609"/>
      <c r="VQT27" s="609"/>
      <c r="VQU27" s="609"/>
      <c r="VQV27" s="609"/>
      <c r="VQW27" s="609"/>
      <c r="VQX27" s="609"/>
      <c r="VQY27" s="609"/>
      <c r="VQZ27" s="609"/>
      <c r="VRA27" s="609"/>
      <c r="VRB27" s="609"/>
      <c r="VRC27" s="609"/>
      <c r="VRD27" s="609"/>
      <c r="VRE27" s="609"/>
      <c r="VRF27" s="609"/>
      <c r="VRG27" s="609"/>
      <c r="VRH27" s="609"/>
      <c r="VRI27" s="609"/>
      <c r="VRJ27" s="609"/>
      <c r="VRK27" s="609"/>
      <c r="VRL27" s="609"/>
      <c r="VRM27" s="609"/>
      <c r="VRN27" s="609"/>
      <c r="VRO27" s="609"/>
      <c r="VRP27" s="609"/>
      <c r="VRQ27" s="609"/>
      <c r="VRR27" s="609"/>
      <c r="VRS27" s="609"/>
      <c r="VRT27" s="609"/>
      <c r="VRU27" s="609"/>
      <c r="VRV27" s="609"/>
      <c r="VRW27" s="609"/>
      <c r="VRX27" s="609"/>
      <c r="VRY27" s="609"/>
      <c r="VRZ27" s="609"/>
      <c r="VSA27" s="609"/>
      <c r="VSB27" s="609"/>
      <c r="VSC27" s="609"/>
      <c r="VSD27" s="609"/>
      <c r="VSE27" s="609"/>
      <c r="VSF27" s="609"/>
      <c r="VSG27" s="609"/>
      <c r="VSH27" s="609"/>
      <c r="VSI27" s="609"/>
      <c r="VSJ27" s="609"/>
      <c r="VSK27" s="609"/>
      <c r="VSL27" s="609"/>
      <c r="VSM27" s="609"/>
      <c r="VSN27" s="609"/>
      <c r="VSO27" s="609"/>
      <c r="VSP27" s="609"/>
      <c r="VSQ27" s="609"/>
      <c r="VSR27" s="609"/>
      <c r="VSS27" s="609"/>
      <c r="VST27" s="609"/>
      <c r="VSU27" s="609"/>
      <c r="VSV27" s="609"/>
      <c r="VSW27" s="609"/>
      <c r="VSX27" s="609"/>
      <c r="VSY27" s="609"/>
      <c r="VSZ27" s="609"/>
      <c r="VTA27" s="609"/>
      <c r="VTB27" s="609"/>
      <c r="VTC27" s="609"/>
      <c r="VTD27" s="609"/>
      <c r="VTE27" s="609"/>
      <c r="VTF27" s="609"/>
      <c r="VTG27" s="609"/>
      <c r="VTH27" s="609"/>
      <c r="VTI27" s="609"/>
      <c r="VTJ27" s="609"/>
      <c r="VTK27" s="609"/>
      <c r="VTL27" s="609"/>
      <c r="VTM27" s="609"/>
      <c r="VTN27" s="609"/>
      <c r="VTO27" s="609"/>
      <c r="VTP27" s="609"/>
      <c r="VTQ27" s="609"/>
      <c r="VTR27" s="609"/>
      <c r="VTS27" s="609"/>
      <c r="VTT27" s="609"/>
      <c r="VTU27" s="609"/>
      <c r="VTV27" s="609"/>
      <c r="VTW27" s="609"/>
      <c r="VTX27" s="609"/>
      <c r="VTY27" s="609"/>
      <c r="VTZ27" s="609"/>
      <c r="VUA27" s="609"/>
      <c r="VUB27" s="609"/>
      <c r="VUC27" s="609"/>
      <c r="VUD27" s="609"/>
      <c r="VUE27" s="609"/>
      <c r="VUF27" s="609"/>
      <c r="VUG27" s="609"/>
      <c r="VUH27" s="609"/>
      <c r="VUI27" s="609"/>
      <c r="VUJ27" s="609"/>
      <c r="VUK27" s="609"/>
      <c r="VUL27" s="609"/>
      <c r="VUM27" s="609"/>
      <c r="VUN27" s="609"/>
      <c r="VUO27" s="609"/>
      <c r="VUP27" s="609"/>
      <c r="VUQ27" s="609"/>
      <c r="VUR27" s="609"/>
      <c r="VUS27" s="609"/>
      <c r="VUT27" s="609"/>
      <c r="VUU27" s="609"/>
      <c r="VUV27" s="609"/>
      <c r="VUW27" s="609"/>
      <c r="VUX27" s="609"/>
      <c r="VUY27" s="609"/>
      <c r="VUZ27" s="609"/>
      <c r="VVA27" s="609"/>
      <c r="VVB27" s="609"/>
      <c r="VVC27" s="609"/>
      <c r="VVD27" s="609"/>
      <c r="VVE27" s="609"/>
      <c r="VVF27" s="609"/>
      <c r="VVG27" s="609"/>
      <c r="VVH27" s="609"/>
      <c r="VVI27" s="609"/>
      <c r="VVJ27" s="609"/>
      <c r="VVK27" s="609"/>
      <c r="VVL27" s="609"/>
      <c r="VVM27" s="609"/>
      <c r="VVN27" s="609"/>
      <c r="VVO27" s="609"/>
      <c r="VVP27" s="609"/>
      <c r="VVQ27" s="609"/>
      <c r="VVR27" s="609"/>
      <c r="VVS27" s="609"/>
      <c r="VVT27" s="609"/>
      <c r="VVU27" s="609"/>
      <c r="VVV27" s="609"/>
      <c r="VVW27" s="609"/>
      <c r="VVX27" s="609"/>
      <c r="VVY27" s="609"/>
      <c r="VVZ27" s="609"/>
      <c r="VWA27" s="609"/>
      <c r="VWB27" s="609"/>
      <c r="VWC27" s="609"/>
      <c r="VWD27" s="609"/>
      <c r="VWE27" s="609"/>
      <c r="VWF27" s="609"/>
      <c r="VWG27" s="609"/>
      <c r="VWH27" s="609"/>
      <c r="VWI27" s="609"/>
      <c r="VWJ27" s="609"/>
      <c r="VWK27" s="609"/>
      <c r="VWL27" s="609"/>
      <c r="VWM27" s="609"/>
      <c r="VWN27" s="609"/>
      <c r="VWO27" s="609"/>
      <c r="VWP27" s="609"/>
      <c r="VWQ27" s="609"/>
      <c r="VWR27" s="609"/>
      <c r="VWS27" s="609"/>
      <c r="VWT27" s="609"/>
      <c r="VWU27" s="609"/>
      <c r="VWV27" s="609"/>
      <c r="VWW27" s="609"/>
      <c r="VWX27" s="609"/>
      <c r="VWY27" s="609"/>
      <c r="VWZ27" s="609"/>
      <c r="VXA27" s="609"/>
      <c r="VXB27" s="609"/>
      <c r="VXC27" s="609"/>
      <c r="VXD27" s="609"/>
      <c r="VXE27" s="609"/>
      <c r="VXF27" s="609"/>
      <c r="VXG27" s="609"/>
      <c r="VXH27" s="609"/>
      <c r="VXI27" s="609"/>
      <c r="VXJ27" s="609"/>
      <c r="VXK27" s="609"/>
      <c r="VXL27" s="609"/>
      <c r="VXM27" s="609"/>
      <c r="VXN27" s="609"/>
      <c r="VXO27" s="609"/>
      <c r="VXP27" s="609"/>
      <c r="VXQ27" s="609"/>
      <c r="VXR27" s="609"/>
      <c r="VXS27" s="609"/>
      <c r="VXT27" s="609"/>
      <c r="VXU27" s="609"/>
      <c r="VXV27" s="609"/>
      <c r="VXW27" s="609"/>
      <c r="VXX27" s="609"/>
      <c r="VXY27" s="609"/>
      <c r="VXZ27" s="609"/>
      <c r="VYA27" s="609"/>
      <c r="VYB27" s="609"/>
      <c r="VYC27" s="609"/>
      <c r="VYD27" s="609"/>
      <c r="VYE27" s="609"/>
      <c r="VYF27" s="609"/>
      <c r="VYG27" s="609"/>
      <c r="VYH27" s="609"/>
      <c r="VYI27" s="609"/>
      <c r="VYJ27" s="609"/>
      <c r="VYK27" s="609"/>
      <c r="VYL27" s="609"/>
      <c r="VYM27" s="609"/>
      <c r="VYN27" s="609"/>
      <c r="VYO27" s="609"/>
      <c r="VYP27" s="609"/>
      <c r="VYQ27" s="609"/>
      <c r="VYR27" s="609"/>
      <c r="VYS27" s="609"/>
      <c r="VYT27" s="609"/>
      <c r="VYU27" s="609"/>
      <c r="VYV27" s="609"/>
      <c r="VYW27" s="609"/>
      <c r="VYX27" s="609"/>
      <c r="VYY27" s="609"/>
      <c r="VYZ27" s="609"/>
      <c r="VZA27" s="609"/>
      <c r="VZB27" s="609"/>
      <c r="VZC27" s="609"/>
      <c r="VZD27" s="609"/>
      <c r="VZE27" s="609"/>
      <c r="VZF27" s="609"/>
      <c r="VZG27" s="609"/>
      <c r="VZH27" s="609"/>
      <c r="VZI27" s="609"/>
      <c r="VZJ27" s="609"/>
      <c r="VZK27" s="609"/>
      <c r="VZL27" s="609"/>
      <c r="VZM27" s="609"/>
      <c r="VZN27" s="609"/>
      <c r="VZO27" s="609"/>
      <c r="VZP27" s="609"/>
      <c r="VZQ27" s="609"/>
      <c r="VZR27" s="609"/>
      <c r="VZS27" s="609"/>
      <c r="VZT27" s="609"/>
      <c r="VZU27" s="609"/>
      <c r="VZV27" s="609"/>
      <c r="VZW27" s="609"/>
      <c r="VZX27" s="609"/>
      <c r="VZY27" s="609"/>
      <c r="VZZ27" s="609"/>
      <c r="WAA27" s="609"/>
      <c r="WAB27" s="609"/>
      <c r="WAC27" s="609"/>
      <c r="WAD27" s="609"/>
      <c r="WAE27" s="609"/>
      <c r="WAF27" s="609"/>
      <c r="WAG27" s="609"/>
      <c r="WAH27" s="609"/>
      <c r="WAI27" s="609"/>
      <c r="WAJ27" s="609"/>
      <c r="WAK27" s="609"/>
      <c r="WAL27" s="609"/>
      <c r="WAM27" s="609"/>
      <c r="WAN27" s="609"/>
      <c r="WAO27" s="609"/>
      <c r="WAP27" s="609"/>
      <c r="WAQ27" s="609"/>
      <c r="WAR27" s="609"/>
      <c r="WAS27" s="609"/>
      <c r="WAT27" s="609"/>
      <c r="WAU27" s="609"/>
      <c r="WAV27" s="609"/>
      <c r="WAW27" s="609"/>
      <c r="WAX27" s="609"/>
      <c r="WAY27" s="609"/>
      <c r="WAZ27" s="609"/>
      <c r="WBA27" s="609"/>
      <c r="WBB27" s="609"/>
      <c r="WBC27" s="609"/>
      <c r="WBD27" s="609"/>
      <c r="WBE27" s="609"/>
      <c r="WBF27" s="609"/>
      <c r="WBG27" s="609"/>
      <c r="WBH27" s="609"/>
      <c r="WBI27" s="609"/>
      <c r="WBJ27" s="609"/>
      <c r="WBK27" s="609"/>
      <c r="WBL27" s="609"/>
      <c r="WBM27" s="609"/>
      <c r="WBN27" s="609"/>
      <c r="WBO27" s="609"/>
      <c r="WBP27" s="609"/>
      <c r="WBQ27" s="609"/>
      <c r="WBR27" s="609"/>
      <c r="WBS27" s="609"/>
      <c r="WBT27" s="609"/>
      <c r="WBU27" s="609"/>
      <c r="WBV27" s="609"/>
      <c r="WBW27" s="609"/>
      <c r="WBX27" s="609"/>
      <c r="WBY27" s="609"/>
      <c r="WBZ27" s="609"/>
      <c r="WCA27" s="609"/>
      <c r="WCB27" s="609"/>
      <c r="WCC27" s="609"/>
      <c r="WCD27" s="609"/>
      <c r="WCE27" s="609"/>
      <c r="WCF27" s="609"/>
      <c r="WCG27" s="609"/>
      <c r="WCH27" s="609"/>
      <c r="WCI27" s="609"/>
      <c r="WCJ27" s="609"/>
      <c r="WCK27" s="609"/>
      <c r="WCL27" s="609"/>
      <c r="WCM27" s="609"/>
      <c r="WCN27" s="609"/>
      <c r="WCO27" s="609"/>
      <c r="WCP27" s="609"/>
      <c r="WCQ27" s="609"/>
      <c r="WCR27" s="609"/>
      <c r="WCS27" s="609"/>
      <c r="WCT27" s="609"/>
      <c r="WCU27" s="609"/>
      <c r="WCV27" s="609"/>
      <c r="WCW27" s="609"/>
      <c r="WCX27" s="609"/>
      <c r="WCY27" s="609"/>
      <c r="WCZ27" s="609"/>
      <c r="WDA27" s="609"/>
      <c r="WDB27" s="609"/>
      <c r="WDC27" s="609"/>
      <c r="WDD27" s="609"/>
      <c r="WDE27" s="609"/>
      <c r="WDF27" s="609"/>
      <c r="WDG27" s="609"/>
      <c r="WDH27" s="609"/>
      <c r="WDI27" s="609"/>
      <c r="WDJ27" s="609"/>
      <c r="WDK27" s="609"/>
      <c r="WDL27" s="609"/>
      <c r="WDM27" s="609"/>
      <c r="WDN27" s="609"/>
      <c r="WDO27" s="609"/>
      <c r="WDP27" s="609"/>
      <c r="WDQ27" s="609"/>
      <c r="WDR27" s="609"/>
      <c r="WDS27" s="609"/>
      <c r="WDT27" s="609"/>
      <c r="WDU27" s="609"/>
      <c r="WDV27" s="609"/>
      <c r="WDW27" s="609"/>
      <c r="WDX27" s="609"/>
      <c r="WDY27" s="609"/>
      <c r="WDZ27" s="609"/>
      <c r="WEA27" s="609"/>
      <c r="WEB27" s="609"/>
      <c r="WEC27" s="609"/>
      <c r="WED27" s="609"/>
      <c r="WEE27" s="609"/>
      <c r="WEF27" s="609"/>
      <c r="WEG27" s="609"/>
      <c r="WEH27" s="609"/>
      <c r="WEI27" s="609"/>
      <c r="WEJ27" s="609"/>
      <c r="WEK27" s="609"/>
      <c r="WEL27" s="609"/>
      <c r="WEM27" s="609"/>
      <c r="WEN27" s="609"/>
      <c r="WEO27" s="609"/>
      <c r="WEP27" s="609"/>
      <c r="WEQ27" s="609"/>
      <c r="WER27" s="609"/>
      <c r="WES27" s="609"/>
      <c r="WET27" s="609"/>
      <c r="WEU27" s="609"/>
      <c r="WEV27" s="609"/>
      <c r="WEW27" s="609"/>
      <c r="WEX27" s="609"/>
      <c r="WEY27" s="609"/>
      <c r="WEZ27" s="609"/>
      <c r="WFA27" s="609"/>
      <c r="WFB27" s="609"/>
      <c r="WFC27" s="609"/>
      <c r="WFD27" s="609"/>
      <c r="WFE27" s="609"/>
      <c r="WFF27" s="609"/>
      <c r="WFG27" s="609"/>
      <c r="WFH27" s="609"/>
      <c r="WFI27" s="609"/>
      <c r="WFJ27" s="609"/>
      <c r="WFK27" s="609"/>
      <c r="WFL27" s="609"/>
      <c r="WFM27" s="609"/>
      <c r="WFN27" s="609"/>
      <c r="WFO27" s="609"/>
      <c r="WFP27" s="609"/>
      <c r="WFQ27" s="609"/>
      <c r="WFR27" s="609"/>
      <c r="WFS27" s="609"/>
      <c r="WFT27" s="609"/>
      <c r="WFU27" s="609"/>
      <c r="WFV27" s="609"/>
      <c r="WFW27" s="609"/>
      <c r="WFX27" s="609"/>
      <c r="WFY27" s="609"/>
      <c r="WFZ27" s="609"/>
      <c r="WGA27" s="609"/>
      <c r="WGB27" s="609"/>
      <c r="WGC27" s="609"/>
      <c r="WGD27" s="609"/>
      <c r="WGE27" s="609"/>
      <c r="WGF27" s="609"/>
      <c r="WGG27" s="609"/>
      <c r="WGH27" s="609"/>
      <c r="WGI27" s="609"/>
      <c r="WGJ27" s="609"/>
      <c r="WGK27" s="609"/>
      <c r="WGL27" s="609"/>
      <c r="WGM27" s="609"/>
      <c r="WGN27" s="609"/>
      <c r="WGO27" s="609"/>
      <c r="WGP27" s="609"/>
      <c r="WGQ27" s="609"/>
      <c r="WGR27" s="609"/>
      <c r="WGS27" s="609"/>
      <c r="WGT27" s="609"/>
      <c r="WGU27" s="609"/>
      <c r="WGV27" s="609"/>
      <c r="WGW27" s="609"/>
      <c r="WGX27" s="609"/>
      <c r="WGY27" s="609"/>
      <c r="WGZ27" s="609"/>
      <c r="WHA27" s="609"/>
      <c r="WHB27" s="609"/>
      <c r="WHC27" s="609"/>
      <c r="WHD27" s="609"/>
      <c r="WHE27" s="609"/>
      <c r="WHF27" s="609"/>
      <c r="WHG27" s="609"/>
      <c r="WHH27" s="609"/>
      <c r="WHI27" s="609"/>
      <c r="WHJ27" s="609"/>
      <c r="WHK27" s="609"/>
      <c r="WHL27" s="609"/>
      <c r="WHM27" s="609"/>
      <c r="WHN27" s="609"/>
      <c r="WHO27" s="609"/>
      <c r="WHP27" s="609"/>
      <c r="WHQ27" s="609"/>
      <c r="WHR27" s="609"/>
      <c r="WHS27" s="609"/>
      <c r="WHT27" s="609"/>
      <c r="WHU27" s="609"/>
      <c r="WHV27" s="609"/>
      <c r="WHW27" s="609"/>
      <c r="WHX27" s="609"/>
      <c r="WHY27" s="609"/>
      <c r="WHZ27" s="609"/>
      <c r="WIA27" s="609"/>
      <c r="WIB27" s="609"/>
      <c r="WIC27" s="609"/>
      <c r="WID27" s="609"/>
      <c r="WIE27" s="609"/>
      <c r="WIF27" s="609"/>
      <c r="WIG27" s="609"/>
      <c r="WIH27" s="609"/>
      <c r="WII27" s="609"/>
      <c r="WIJ27" s="609"/>
      <c r="WIK27" s="609"/>
      <c r="WIL27" s="609"/>
      <c r="WIM27" s="609"/>
      <c r="WIN27" s="609"/>
      <c r="WIO27" s="609"/>
      <c r="WIP27" s="609"/>
      <c r="WIQ27" s="609"/>
      <c r="WIR27" s="609"/>
      <c r="WIS27" s="609"/>
      <c r="WIT27" s="609"/>
      <c r="WIU27" s="609"/>
      <c r="WIV27" s="609"/>
      <c r="WIW27" s="609"/>
      <c r="WIX27" s="609"/>
      <c r="WIY27" s="609"/>
      <c r="WIZ27" s="609"/>
      <c r="WJA27" s="609"/>
      <c r="WJB27" s="609"/>
      <c r="WJC27" s="609"/>
      <c r="WJD27" s="609"/>
      <c r="WJE27" s="609"/>
      <c r="WJF27" s="609"/>
      <c r="WJG27" s="609"/>
      <c r="WJH27" s="609"/>
      <c r="WJI27" s="609"/>
      <c r="WJJ27" s="609"/>
      <c r="WJK27" s="609"/>
      <c r="WJL27" s="609"/>
      <c r="WJM27" s="609"/>
      <c r="WJN27" s="609"/>
      <c r="WJO27" s="609"/>
      <c r="WJP27" s="609"/>
      <c r="WJQ27" s="609"/>
      <c r="WJR27" s="609"/>
      <c r="WJS27" s="609"/>
      <c r="WJT27" s="609"/>
      <c r="WJU27" s="609"/>
      <c r="WJV27" s="609"/>
      <c r="WJW27" s="609"/>
      <c r="WJX27" s="609"/>
      <c r="WJY27" s="609"/>
      <c r="WJZ27" s="609"/>
      <c r="WKA27" s="609"/>
      <c r="WKB27" s="609"/>
      <c r="WKC27" s="609"/>
      <c r="WKD27" s="609"/>
      <c r="WKE27" s="609"/>
      <c r="WKF27" s="609"/>
      <c r="WKG27" s="609"/>
      <c r="WKH27" s="609"/>
      <c r="WKI27" s="609"/>
      <c r="WKJ27" s="609"/>
      <c r="WKK27" s="609"/>
      <c r="WKL27" s="609"/>
      <c r="WKM27" s="609"/>
      <c r="WKN27" s="609"/>
      <c r="WKO27" s="609"/>
      <c r="WKP27" s="609"/>
      <c r="WKQ27" s="609"/>
      <c r="WKR27" s="609"/>
      <c r="WKS27" s="609"/>
      <c r="WKT27" s="609"/>
      <c r="WKU27" s="609"/>
      <c r="WKV27" s="609"/>
      <c r="WKW27" s="609"/>
      <c r="WKX27" s="609"/>
      <c r="WKY27" s="609"/>
      <c r="WKZ27" s="609"/>
      <c r="WLA27" s="609"/>
      <c r="WLB27" s="609"/>
      <c r="WLC27" s="609"/>
      <c r="WLD27" s="609"/>
      <c r="WLE27" s="609"/>
      <c r="WLF27" s="609"/>
      <c r="WLG27" s="609"/>
      <c r="WLH27" s="609"/>
      <c r="WLI27" s="609"/>
      <c r="WLJ27" s="609"/>
      <c r="WLK27" s="609"/>
      <c r="WLL27" s="609"/>
      <c r="WLM27" s="609"/>
      <c r="WLN27" s="609"/>
      <c r="WLO27" s="609"/>
      <c r="WLP27" s="609"/>
      <c r="WLQ27" s="609"/>
      <c r="WLR27" s="609"/>
      <c r="WLS27" s="609"/>
      <c r="WLT27" s="609"/>
      <c r="WLU27" s="609"/>
      <c r="WLV27" s="609"/>
      <c r="WLW27" s="609"/>
      <c r="WLX27" s="609"/>
      <c r="WLY27" s="609"/>
      <c r="WLZ27" s="609"/>
      <c r="WMA27" s="609"/>
      <c r="WMB27" s="609"/>
      <c r="WMC27" s="609"/>
      <c r="WMD27" s="609"/>
      <c r="WME27" s="609"/>
      <c r="WMF27" s="609"/>
      <c r="WMG27" s="609"/>
      <c r="WMH27" s="609"/>
      <c r="WMI27" s="609"/>
      <c r="WMJ27" s="609"/>
      <c r="WMK27" s="609"/>
      <c r="WML27" s="609"/>
      <c r="WMM27" s="609"/>
      <c r="WMN27" s="609"/>
      <c r="WMO27" s="609"/>
      <c r="WMP27" s="609"/>
      <c r="WMQ27" s="609"/>
      <c r="WMR27" s="609"/>
      <c r="WMS27" s="609"/>
      <c r="WMT27" s="609"/>
      <c r="WMU27" s="609"/>
      <c r="WMV27" s="609"/>
      <c r="WMW27" s="609"/>
      <c r="WMX27" s="609"/>
      <c r="WMY27" s="609"/>
      <c r="WMZ27" s="609"/>
      <c r="WNA27" s="609"/>
      <c r="WNB27" s="609"/>
      <c r="WNC27" s="609"/>
      <c r="WND27" s="609"/>
      <c r="WNE27" s="609"/>
      <c r="WNF27" s="609"/>
      <c r="WNG27" s="609"/>
      <c r="WNH27" s="609"/>
      <c r="WNI27" s="609"/>
      <c r="WNJ27" s="609"/>
      <c r="WNK27" s="609"/>
      <c r="WNL27" s="609"/>
      <c r="WNM27" s="609"/>
      <c r="WNN27" s="609"/>
      <c r="WNO27" s="609"/>
      <c r="WNP27" s="609"/>
      <c r="WNQ27" s="609"/>
      <c r="WNR27" s="609"/>
      <c r="WNS27" s="609"/>
      <c r="WNT27" s="609"/>
      <c r="WNU27" s="609"/>
      <c r="WNV27" s="609"/>
      <c r="WNW27" s="609"/>
      <c r="WNX27" s="609"/>
      <c r="WNY27" s="609"/>
      <c r="WNZ27" s="609"/>
      <c r="WOA27" s="609"/>
      <c r="WOB27" s="609"/>
      <c r="WOC27" s="609"/>
      <c r="WOD27" s="609"/>
      <c r="WOE27" s="609"/>
      <c r="WOF27" s="609"/>
      <c r="WOG27" s="609"/>
      <c r="WOH27" s="609"/>
      <c r="WOI27" s="609"/>
      <c r="WOJ27" s="609"/>
      <c r="WOK27" s="609"/>
      <c r="WOL27" s="609"/>
      <c r="WOM27" s="609"/>
      <c r="WON27" s="609"/>
      <c r="WOO27" s="609"/>
      <c r="WOP27" s="609"/>
      <c r="WOQ27" s="609"/>
      <c r="WOR27" s="609"/>
      <c r="WOS27" s="609"/>
      <c r="WOT27" s="609"/>
      <c r="WOU27" s="609"/>
      <c r="WOV27" s="609"/>
      <c r="WOW27" s="609"/>
      <c r="WOX27" s="609"/>
      <c r="WOY27" s="609"/>
      <c r="WOZ27" s="609"/>
      <c r="WPA27" s="609"/>
      <c r="WPB27" s="609"/>
      <c r="WPC27" s="609"/>
      <c r="WPD27" s="609"/>
      <c r="WPE27" s="609"/>
      <c r="WPF27" s="609"/>
      <c r="WPG27" s="609"/>
      <c r="WPH27" s="609"/>
      <c r="WPI27" s="609"/>
      <c r="WPJ27" s="609"/>
      <c r="WPK27" s="609"/>
      <c r="WPL27" s="609"/>
      <c r="WPM27" s="609"/>
      <c r="WPN27" s="609"/>
      <c r="WPO27" s="609"/>
      <c r="WPP27" s="609"/>
      <c r="WPQ27" s="609"/>
      <c r="WPR27" s="609"/>
      <c r="WPS27" s="609"/>
      <c r="WPT27" s="609"/>
      <c r="WPU27" s="609"/>
      <c r="WPV27" s="609"/>
      <c r="WPW27" s="609"/>
      <c r="WPX27" s="609"/>
      <c r="WPY27" s="609"/>
      <c r="WPZ27" s="609"/>
      <c r="WQA27" s="609"/>
      <c r="WQB27" s="609"/>
      <c r="WQC27" s="609"/>
      <c r="WQD27" s="609"/>
      <c r="WQE27" s="609"/>
      <c r="WQF27" s="609"/>
      <c r="WQG27" s="609"/>
      <c r="WQH27" s="609"/>
      <c r="WQI27" s="609"/>
      <c r="WQJ27" s="609"/>
      <c r="WQK27" s="609"/>
      <c r="WQL27" s="609"/>
      <c r="WQM27" s="609"/>
      <c r="WQN27" s="609"/>
      <c r="WQO27" s="609"/>
      <c r="WQP27" s="609"/>
      <c r="WQQ27" s="609"/>
      <c r="WQR27" s="609"/>
      <c r="WQS27" s="609"/>
      <c r="WQT27" s="609"/>
      <c r="WQU27" s="609"/>
      <c r="WQV27" s="609"/>
      <c r="WQW27" s="609"/>
      <c r="WQX27" s="609"/>
      <c r="WQY27" s="609"/>
      <c r="WQZ27" s="609"/>
      <c r="WRA27" s="609"/>
      <c r="WRB27" s="609"/>
      <c r="WRC27" s="609"/>
      <c r="WRD27" s="609"/>
      <c r="WRE27" s="609"/>
      <c r="WRF27" s="609"/>
      <c r="WRG27" s="609"/>
      <c r="WRH27" s="609"/>
      <c r="WRI27" s="609"/>
      <c r="WRJ27" s="609"/>
      <c r="WRK27" s="609"/>
      <c r="WRL27" s="609"/>
      <c r="WRM27" s="609"/>
      <c r="WRN27" s="609"/>
      <c r="WRO27" s="609"/>
      <c r="WRP27" s="609"/>
      <c r="WRQ27" s="609"/>
      <c r="WRR27" s="609"/>
      <c r="WRS27" s="609"/>
      <c r="WRT27" s="609"/>
      <c r="WRU27" s="609"/>
      <c r="WRV27" s="609"/>
      <c r="WRW27" s="609"/>
      <c r="WRX27" s="609"/>
      <c r="WRY27" s="609"/>
      <c r="WRZ27" s="609"/>
      <c r="WSA27" s="609"/>
      <c r="WSB27" s="609"/>
      <c r="WSC27" s="609"/>
      <c r="WSD27" s="609"/>
      <c r="WSE27" s="609"/>
      <c r="WSF27" s="609"/>
      <c r="WSG27" s="609"/>
      <c r="WSH27" s="609"/>
      <c r="WSI27" s="609"/>
      <c r="WSJ27" s="609"/>
      <c r="WSK27" s="609"/>
      <c r="WSL27" s="609"/>
      <c r="WSM27" s="609"/>
      <c r="WSN27" s="609"/>
      <c r="WSO27" s="609"/>
      <c r="WSP27" s="609"/>
      <c r="WSQ27" s="609"/>
      <c r="WSR27" s="609"/>
      <c r="WSS27" s="609"/>
      <c r="WST27" s="609"/>
      <c r="WSU27" s="609"/>
      <c r="WSV27" s="609"/>
      <c r="WSW27" s="609"/>
      <c r="WSX27" s="609"/>
      <c r="WSY27" s="609"/>
      <c r="WSZ27" s="609"/>
      <c r="WTA27" s="609"/>
      <c r="WTB27" s="609"/>
      <c r="WTC27" s="609"/>
      <c r="WTD27" s="609"/>
      <c r="WTE27" s="609"/>
      <c r="WTF27" s="609"/>
      <c r="WTG27" s="609"/>
      <c r="WTH27" s="609"/>
      <c r="WTI27" s="609"/>
      <c r="WTJ27" s="609"/>
      <c r="WTK27" s="609"/>
      <c r="WTL27" s="609"/>
      <c r="WTM27" s="609"/>
      <c r="WTN27" s="609"/>
      <c r="WTO27" s="609"/>
      <c r="WTP27" s="609"/>
      <c r="WTQ27" s="609"/>
      <c r="WTR27" s="609"/>
      <c r="WTS27" s="609"/>
      <c r="WTT27" s="609"/>
      <c r="WTU27" s="609"/>
      <c r="WTV27" s="609"/>
      <c r="WTW27" s="609"/>
      <c r="WTX27" s="609"/>
      <c r="WTY27" s="609"/>
      <c r="WTZ27" s="609"/>
      <c r="WUA27" s="609"/>
      <c r="WUB27" s="609"/>
      <c r="WUC27" s="609"/>
      <c r="WUD27" s="609"/>
      <c r="WUE27" s="609"/>
      <c r="WUF27" s="609"/>
      <c r="WUG27" s="609"/>
      <c r="WUH27" s="609"/>
      <c r="WUI27" s="609"/>
      <c r="WUJ27" s="609"/>
      <c r="WUK27" s="609"/>
      <c r="WUL27" s="609"/>
      <c r="WUM27" s="609"/>
      <c r="WUN27" s="609"/>
      <c r="WUO27" s="609"/>
      <c r="WUP27" s="609"/>
      <c r="WUQ27" s="609"/>
      <c r="WUR27" s="609"/>
      <c r="WUS27" s="609"/>
      <c r="WUT27" s="609"/>
      <c r="WUU27" s="609"/>
      <c r="WUV27" s="609"/>
      <c r="WUW27" s="609"/>
      <c r="WUX27" s="609"/>
      <c r="WUY27" s="609"/>
      <c r="WUZ27" s="609"/>
      <c r="WVA27" s="609"/>
      <c r="WVB27" s="609"/>
      <c r="WVC27" s="609"/>
      <c r="WVD27" s="609"/>
      <c r="WVE27" s="609"/>
      <c r="WVF27" s="609"/>
      <c r="WVG27" s="609"/>
      <c r="WVH27" s="609"/>
      <c r="WVI27" s="609"/>
      <c r="WVJ27" s="609"/>
      <c r="WVK27" s="609"/>
      <c r="WVL27" s="609"/>
      <c r="WVM27" s="609"/>
      <c r="WVN27" s="609"/>
      <c r="WVO27" s="609"/>
      <c r="WVP27" s="609"/>
      <c r="WVQ27" s="609"/>
      <c r="WVR27" s="609"/>
      <c r="WVS27" s="609"/>
      <c r="WVT27" s="609"/>
      <c r="WVU27" s="609"/>
      <c r="WVV27" s="609"/>
      <c r="WVW27" s="609"/>
      <c r="WVX27" s="609"/>
      <c r="WVY27" s="609"/>
      <c r="WVZ27" s="609"/>
      <c r="WWA27" s="609"/>
      <c r="WWB27" s="609"/>
      <c r="WWC27" s="609"/>
      <c r="WWD27" s="609"/>
      <c r="WWE27" s="609"/>
      <c r="WWF27" s="609"/>
      <c r="WWG27" s="609"/>
      <c r="WWH27" s="609"/>
      <c r="WWI27" s="609"/>
      <c r="WWJ27" s="609"/>
      <c r="WWK27" s="609"/>
      <c r="WWL27" s="609"/>
      <c r="WWM27" s="609"/>
      <c r="WWN27" s="609"/>
      <c r="WWO27" s="609"/>
      <c r="WWP27" s="609"/>
      <c r="WWQ27" s="609"/>
      <c r="WWR27" s="609"/>
      <c r="WWS27" s="609"/>
      <c r="WWT27" s="609"/>
      <c r="WWU27" s="609"/>
      <c r="WWV27" s="609"/>
      <c r="WWW27" s="609"/>
      <c r="WWX27" s="609"/>
      <c r="WWY27" s="609"/>
      <c r="WWZ27" s="609"/>
      <c r="WXA27" s="609"/>
      <c r="WXB27" s="609"/>
      <c r="WXC27" s="609"/>
      <c r="WXD27" s="609"/>
      <c r="WXE27" s="609"/>
      <c r="WXF27" s="609"/>
      <c r="WXG27" s="609"/>
      <c r="WXH27" s="609"/>
      <c r="WXI27" s="609"/>
      <c r="WXJ27" s="609"/>
      <c r="WXK27" s="609"/>
      <c r="WXL27" s="609"/>
      <c r="WXM27" s="609"/>
      <c r="WXN27" s="609"/>
      <c r="WXO27" s="609"/>
      <c r="WXP27" s="609"/>
      <c r="WXQ27" s="609"/>
      <c r="WXR27" s="609"/>
      <c r="WXS27" s="609"/>
      <c r="WXT27" s="609"/>
      <c r="WXU27" s="609"/>
      <c r="WXV27" s="609"/>
      <c r="WXW27" s="609"/>
      <c r="WXX27" s="609"/>
      <c r="WXY27" s="609"/>
      <c r="WXZ27" s="609"/>
      <c r="WYA27" s="609"/>
      <c r="WYB27" s="609"/>
      <c r="WYC27" s="609"/>
      <c r="WYD27" s="609"/>
      <c r="WYE27" s="609"/>
      <c r="WYF27" s="609"/>
      <c r="WYG27" s="609"/>
      <c r="WYH27" s="609"/>
      <c r="WYI27" s="609"/>
      <c r="WYJ27" s="609"/>
      <c r="WYK27" s="609"/>
      <c r="WYL27" s="609"/>
      <c r="WYM27" s="609"/>
      <c r="WYN27" s="609"/>
      <c r="WYO27" s="609"/>
      <c r="WYP27" s="609"/>
      <c r="WYQ27" s="609"/>
      <c r="WYR27" s="609"/>
      <c r="WYS27" s="609"/>
      <c r="WYT27" s="609"/>
      <c r="WYU27" s="609"/>
      <c r="WYV27" s="609"/>
      <c r="WYW27" s="609"/>
      <c r="WYX27" s="609"/>
      <c r="WYY27" s="609"/>
      <c r="WYZ27" s="609"/>
      <c r="WZA27" s="609"/>
      <c r="WZB27" s="609"/>
      <c r="WZC27" s="609"/>
      <c r="WZD27" s="609"/>
      <c r="WZE27" s="609"/>
      <c r="WZF27" s="609"/>
      <c r="WZG27" s="609"/>
      <c r="WZH27" s="609"/>
      <c r="WZI27" s="609"/>
      <c r="WZJ27" s="609"/>
      <c r="WZK27" s="609"/>
      <c r="WZL27" s="609"/>
      <c r="WZM27" s="609"/>
      <c r="WZN27" s="609"/>
      <c r="WZO27" s="609"/>
      <c r="WZP27" s="609"/>
      <c r="WZQ27" s="609"/>
      <c r="WZR27" s="609"/>
      <c r="WZS27" s="609"/>
      <c r="WZT27" s="609"/>
      <c r="WZU27" s="609"/>
      <c r="WZV27" s="609"/>
      <c r="WZW27" s="609"/>
      <c r="WZX27" s="609"/>
      <c r="WZY27" s="609"/>
      <c r="WZZ27" s="609"/>
      <c r="XAA27" s="609"/>
      <c r="XAB27" s="609"/>
      <c r="XAC27" s="609"/>
      <c r="XAD27" s="609"/>
      <c r="XAE27" s="609"/>
      <c r="XAF27" s="609"/>
      <c r="XAG27" s="609"/>
      <c r="XAH27" s="609"/>
      <c r="XAI27" s="609"/>
      <c r="XAJ27" s="609"/>
      <c r="XAK27" s="609"/>
      <c r="XAL27" s="609"/>
      <c r="XAM27" s="609"/>
      <c r="XAN27" s="609"/>
      <c r="XAO27" s="609"/>
      <c r="XAP27" s="609"/>
      <c r="XAQ27" s="609"/>
      <c r="XAR27" s="609"/>
      <c r="XAS27" s="609"/>
      <c r="XAT27" s="609"/>
      <c r="XAU27" s="609"/>
      <c r="XAV27" s="609"/>
      <c r="XAW27" s="609"/>
      <c r="XAX27" s="609"/>
      <c r="XAY27" s="609"/>
      <c r="XAZ27" s="609"/>
      <c r="XBA27" s="609"/>
      <c r="XBB27" s="609"/>
      <c r="XBC27" s="609"/>
      <c r="XBD27" s="609"/>
      <c r="XBE27" s="609"/>
      <c r="XBF27" s="609"/>
      <c r="XBG27" s="609"/>
      <c r="XBH27" s="609"/>
      <c r="XBI27" s="609"/>
      <c r="XBJ27" s="609"/>
      <c r="XBK27" s="609"/>
      <c r="XBL27" s="609"/>
      <c r="XBM27" s="609"/>
      <c r="XBN27" s="609"/>
      <c r="XBO27" s="609"/>
      <c r="XBP27" s="609"/>
      <c r="XBQ27" s="609"/>
      <c r="XBR27" s="609"/>
      <c r="XBS27" s="609"/>
      <c r="XBT27" s="609"/>
      <c r="XBU27" s="609"/>
      <c r="XBV27" s="609"/>
      <c r="XBW27" s="609"/>
      <c r="XBX27" s="609"/>
      <c r="XBY27" s="609"/>
      <c r="XBZ27" s="609"/>
      <c r="XCA27" s="609"/>
      <c r="XCB27" s="609"/>
      <c r="XCC27" s="609"/>
      <c r="XCD27" s="609"/>
      <c r="XCE27" s="609"/>
      <c r="XCF27" s="609"/>
      <c r="XCG27" s="609"/>
      <c r="XCH27" s="609"/>
      <c r="XCI27" s="609"/>
      <c r="XCJ27" s="609"/>
      <c r="XCK27" s="609"/>
      <c r="XCL27" s="609"/>
      <c r="XCM27" s="609"/>
      <c r="XCN27" s="609"/>
      <c r="XCO27" s="609"/>
      <c r="XCP27" s="609"/>
      <c r="XCQ27" s="609"/>
      <c r="XCR27" s="609"/>
      <c r="XCS27" s="609"/>
      <c r="XCT27" s="609"/>
      <c r="XCU27" s="609"/>
      <c r="XCV27" s="609"/>
      <c r="XCW27" s="609"/>
      <c r="XCX27" s="609"/>
      <c r="XCY27" s="609"/>
      <c r="XCZ27" s="609"/>
      <c r="XDA27" s="609"/>
      <c r="XDB27" s="609"/>
      <c r="XDC27" s="609"/>
      <c r="XDD27" s="609"/>
      <c r="XDE27" s="609"/>
      <c r="XDF27" s="609"/>
      <c r="XDG27" s="609"/>
      <c r="XDH27" s="609"/>
      <c r="XDI27" s="609"/>
      <c r="XDJ27" s="609"/>
      <c r="XDK27" s="609"/>
      <c r="XDL27" s="609"/>
      <c r="XDM27" s="609"/>
      <c r="XDN27" s="609"/>
      <c r="XDO27" s="609"/>
      <c r="XDP27" s="609"/>
      <c r="XDQ27" s="609"/>
      <c r="XDR27" s="609"/>
      <c r="XDS27" s="609"/>
      <c r="XDT27" s="609"/>
      <c r="XDU27" s="609"/>
      <c r="XDV27" s="609"/>
      <c r="XDW27" s="609"/>
      <c r="XDX27" s="609"/>
      <c r="XDY27" s="609"/>
      <c r="XDZ27" s="609"/>
      <c r="XEA27" s="609"/>
      <c r="XEB27" s="609"/>
      <c r="XEC27" s="609"/>
      <c r="XED27" s="609"/>
      <c r="XEE27" s="609"/>
      <c r="XEF27" s="609"/>
      <c r="XEG27" s="609"/>
      <c r="XEH27" s="609"/>
      <c r="XEI27" s="609"/>
      <c r="XEJ27" s="609"/>
      <c r="XEK27" s="609"/>
      <c r="XEL27" s="609"/>
      <c r="XEM27" s="609"/>
      <c r="XEN27" s="609"/>
      <c r="XEO27" s="609"/>
      <c r="XEP27" s="609"/>
      <c r="XEQ27" s="609"/>
      <c r="XER27" s="609"/>
      <c r="XES27" s="609"/>
      <c r="XET27" s="609"/>
      <c r="XEU27" s="609"/>
      <c r="XEV27" s="609"/>
      <c r="XEW27" s="609"/>
      <c r="XEX27" s="609"/>
      <c r="XEY27" s="609"/>
      <c r="XEZ27" s="609"/>
      <c r="XFA27" s="609"/>
    </row>
    <row r="28" spans="1:16381" s="143" customFormat="1" ht="22.5">
      <c r="A28" s="609" t="str">
        <f t="shared" si="0"/>
        <v>AXA Leben v. 01.05.2020</v>
      </c>
      <c r="B28" s="609">
        <f>ROW()</f>
        <v>28</v>
      </c>
      <c r="C28" s="635" t="s">
        <v>701</v>
      </c>
      <c r="D28" s="1201">
        <v>43952</v>
      </c>
      <c r="E28" s="636" t="s">
        <v>660</v>
      </c>
      <c r="F28" s="637" t="s">
        <v>472</v>
      </c>
      <c r="G28" s="634" t="str">
        <f t="shared" si="2"/>
        <v>TO ermöglicht: Tarifwechel; doppelten Kostenabzug;  Verzinsung zwischen EzE und RK geltend machen</v>
      </c>
      <c r="I28" s="634"/>
      <c r="J28" s="790"/>
      <c r="K28" s="1199">
        <v>1</v>
      </c>
      <c r="L28" s="1199">
        <v>2</v>
      </c>
      <c r="M28" s="1199"/>
      <c r="N28" s="1199">
        <v>4</v>
      </c>
      <c r="O28" s="634"/>
      <c r="P28" s="144"/>
      <c r="Q28" s="609"/>
      <c r="R28" s="609"/>
      <c r="S28" s="609"/>
      <c r="T28" s="609"/>
      <c r="U28" s="609"/>
      <c r="V28" s="609"/>
      <c r="W28" s="609"/>
      <c r="X28" s="609"/>
      <c r="Y28" s="609"/>
      <c r="Z28" s="609"/>
      <c r="AA28" s="609"/>
      <c r="AB28" s="609"/>
      <c r="AC28" s="609"/>
      <c r="AD28" s="609"/>
      <c r="AE28" s="609"/>
      <c r="AF28" s="609"/>
      <c r="AG28" s="609"/>
      <c r="AH28" s="609"/>
      <c r="AI28" s="609"/>
      <c r="AJ28" s="609"/>
      <c r="AK28" s="609"/>
      <c r="AL28" s="609"/>
      <c r="AM28" s="609"/>
      <c r="AN28" s="609"/>
      <c r="AO28" s="609"/>
      <c r="AP28" s="609"/>
      <c r="AQ28" s="609"/>
      <c r="AR28" s="609"/>
      <c r="AS28" s="609"/>
      <c r="AT28" s="609"/>
      <c r="AU28" s="609"/>
      <c r="AV28" s="609"/>
      <c r="AW28" s="609"/>
      <c r="AX28" s="609"/>
      <c r="AY28" s="609"/>
      <c r="AZ28" s="609"/>
      <c r="BA28" s="609"/>
      <c r="BB28" s="609"/>
      <c r="BC28" s="609"/>
      <c r="BD28" s="609"/>
      <c r="BE28" s="609"/>
      <c r="BF28" s="609"/>
      <c r="BG28" s="609"/>
      <c r="BH28" s="609"/>
      <c r="BI28" s="609"/>
      <c r="BJ28" s="609"/>
      <c r="BK28" s="609"/>
      <c r="BL28" s="609"/>
      <c r="BM28" s="609"/>
      <c r="BN28" s="609"/>
      <c r="BO28" s="609"/>
      <c r="BP28" s="609"/>
      <c r="BQ28" s="609"/>
      <c r="BR28" s="609"/>
      <c r="BS28" s="609"/>
      <c r="BT28" s="609"/>
      <c r="BU28" s="609"/>
      <c r="BV28" s="609"/>
      <c r="BW28" s="609"/>
      <c r="BX28" s="609"/>
      <c r="BY28" s="609"/>
      <c r="BZ28" s="609"/>
      <c r="CA28" s="609"/>
      <c r="CB28" s="609"/>
      <c r="CC28" s="609"/>
      <c r="CD28" s="609"/>
      <c r="CE28" s="609"/>
      <c r="CF28" s="609"/>
      <c r="CG28" s="609"/>
      <c r="CH28" s="609"/>
      <c r="CI28" s="609"/>
      <c r="CJ28" s="609"/>
      <c r="CK28" s="609"/>
      <c r="CL28" s="609"/>
      <c r="CM28" s="609"/>
      <c r="CN28" s="609"/>
      <c r="CO28" s="609"/>
      <c r="CP28" s="609"/>
      <c r="CQ28" s="609"/>
      <c r="CR28" s="609"/>
      <c r="CS28" s="609"/>
      <c r="CT28" s="609"/>
      <c r="CU28" s="609"/>
      <c r="CV28" s="609"/>
      <c r="CW28" s="609"/>
      <c r="CX28" s="609"/>
      <c r="CY28" s="609"/>
      <c r="CZ28" s="609"/>
      <c r="DA28" s="609"/>
      <c r="DB28" s="609"/>
      <c r="DC28" s="609"/>
      <c r="DD28" s="609"/>
      <c r="DE28" s="609"/>
      <c r="DF28" s="609"/>
      <c r="DG28" s="609"/>
      <c r="DH28" s="609"/>
      <c r="DI28" s="609"/>
      <c r="DJ28" s="609"/>
      <c r="DK28" s="609"/>
      <c r="DL28" s="609"/>
      <c r="DM28" s="609"/>
      <c r="DN28" s="609"/>
      <c r="DO28" s="609"/>
      <c r="DP28" s="609"/>
      <c r="DQ28" s="609"/>
      <c r="DR28" s="609"/>
      <c r="DS28" s="609"/>
      <c r="DT28" s="609"/>
      <c r="DU28" s="609"/>
      <c r="DV28" s="609"/>
      <c r="DW28" s="609"/>
      <c r="DX28" s="609"/>
      <c r="DY28" s="609"/>
      <c r="DZ28" s="609"/>
      <c r="EA28" s="609"/>
      <c r="EB28" s="609"/>
      <c r="EC28" s="609"/>
      <c r="ED28" s="609"/>
      <c r="EE28" s="609"/>
      <c r="EF28" s="609"/>
      <c r="EG28" s="609"/>
      <c r="EH28" s="609"/>
      <c r="EI28" s="609"/>
      <c r="EJ28" s="609"/>
      <c r="EK28" s="609"/>
      <c r="EL28" s="609"/>
      <c r="EM28" s="609"/>
      <c r="EN28" s="609"/>
      <c r="EO28" s="609"/>
      <c r="EP28" s="609"/>
      <c r="EQ28" s="609"/>
      <c r="ER28" s="609"/>
      <c r="ES28" s="609"/>
      <c r="ET28" s="609"/>
      <c r="EU28" s="609"/>
      <c r="EV28" s="609"/>
      <c r="EW28" s="609"/>
      <c r="EX28" s="609"/>
      <c r="EY28" s="609"/>
      <c r="EZ28" s="609"/>
      <c r="FA28" s="609"/>
      <c r="FB28" s="609"/>
      <c r="FC28" s="609"/>
      <c r="FD28" s="609"/>
      <c r="FE28" s="609"/>
      <c r="FF28" s="609"/>
      <c r="FG28" s="609"/>
      <c r="FH28" s="609"/>
      <c r="FI28" s="609"/>
      <c r="FJ28" s="609"/>
      <c r="FK28" s="609"/>
      <c r="FL28" s="609"/>
      <c r="FM28" s="609"/>
      <c r="FN28" s="609"/>
      <c r="FO28" s="609"/>
      <c r="FP28" s="609"/>
      <c r="FQ28" s="609"/>
      <c r="FR28" s="609"/>
      <c r="FS28" s="609"/>
      <c r="FT28" s="609"/>
      <c r="FU28" s="609"/>
      <c r="FV28" s="609"/>
      <c r="FW28" s="609"/>
      <c r="FX28" s="609"/>
      <c r="FY28" s="609"/>
      <c r="FZ28" s="609"/>
      <c r="GA28" s="609"/>
      <c r="GB28" s="609"/>
      <c r="GC28" s="609"/>
      <c r="GD28" s="609"/>
      <c r="GE28" s="609"/>
      <c r="GF28" s="609"/>
      <c r="GG28" s="609"/>
      <c r="GH28" s="609"/>
      <c r="GI28" s="609"/>
      <c r="GJ28" s="609"/>
      <c r="GK28" s="609"/>
      <c r="GL28" s="609"/>
      <c r="GM28" s="609"/>
      <c r="GN28" s="609"/>
      <c r="GO28" s="609"/>
      <c r="GP28" s="609"/>
      <c r="GQ28" s="609"/>
      <c r="GR28" s="609"/>
      <c r="GS28" s="609"/>
      <c r="GT28" s="609"/>
      <c r="GU28" s="609"/>
      <c r="GV28" s="609"/>
      <c r="GW28" s="609"/>
      <c r="GX28" s="609"/>
      <c r="GY28" s="609"/>
      <c r="GZ28" s="609"/>
      <c r="HA28" s="609"/>
      <c r="HB28" s="609"/>
      <c r="HC28" s="609"/>
      <c r="HD28" s="609"/>
      <c r="HE28" s="609"/>
      <c r="HF28" s="609"/>
      <c r="HG28" s="609"/>
      <c r="HH28" s="609"/>
      <c r="HI28" s="609"/>
      <c r="HJ28" s="609"/>
      <c r="HK28" s="609"/>
      <c r="HL28" s="609"/>
      <c r="HM28" s="609"/>
      <c r="HN28" s="609"/>
      <c r="HO28" s="609"/>
      <c r="HP28" s="609"/>
      <c r="HQ28" s="609"/>
      <c r="HR28" s="609"/>
      <c r="HS28" s="609"/>
      <c r="HT28" s="609"/>
      <c r="HU28" s="609"/>
      <c r="HV28" s="609"/>
      <c r="HW28" s="609"/>
      <c r="HX28" s="609"/>
      <c r="HY28" s="609"/>
      <c r="HZ28" s="609"/>
      <c r="IA28" s="609"/>
      <c r="IB28" s="609"/>
      <c r="IC28" s="609"/>
      <c r="ID28" s="609"/>
      <c r="IE28" s="609"/>
      <c r="IF28" s="609"/>
      <c r="IG28" s="609"/>
      <c r="IH28" s="609"/>
      <c r="II28" s="609"/>
      <c r="IJ28" s="609"/>
      <c r="IK28" s="609"/>
      <c r="IL28" s="609"/>
      <c r="IM28" s="609"/>
      <c r="IN28" s="609"/>
      <c r="IO28" s="609"/>
      <c r="IP28" s="609"/>
      <c r="IQ28" s="609"/>
      <c r="IR28" s="609"/>
      <c r="IS28" s="609"/>
      <c r="IT28" s="609"/>
      <c r="IU28" s="609"/>
      <c r="IV28" s="609"/>
      <c r="IW28" s="609"/>
      <c r="IX28" s="609"/>
      <c r="IY28" s="609"/>
      <c r="IZ28" s="609"/>
      <c r="JA28" s="609"/>
      <c r="JB28" s="609"/>
      <c r="JC28" s="609"/>
      <c r="JD28" s="609"/>
      <c r="JE28" s="609"/>
      <c r="JF28" s="609"/>
      <c r="JG28" s="609"/>
      <c r="JH28" s="609"/>
      <c r="JI28" s="609"/>
      <c r="JJ28" s="609"/>
      <c r="JK28" s="609"/>
      <c r="JL28" s="609"/>
      <c r="JM28" s="609"/>
      <c r="JN28" s="609"/>
      <c r="JO28" s="609"/>
      <c r="JP28" s="609"/>
      <c r="JQ28" s="609"/>
      <c r="JR28" s="609"/>
      <c r="JS28" s="609"/>
      <c r="JT28" s="609"/>
      <c r="JU28" s="609"/>
      <c r="JV28" s="609"/>
      <c r="JW28" s="609"/>
      <c r="JX28" s="609"/>
      <c r="JY28" s="609"/>
      <c r="JZ28" s="609"/>
      <c r="KA28" s="609"/>
      <c r="KB28" s="609"/>
      <c r="KC28" s="609"/>
      <c r="KD28" s="609"/>
      <c r="KE28" s="609"/>
      <c r="KF28" s="609"/>
      <c r="KG28" s="609"/>
      <c r="KH28" s="609"/>
      <c r="KI28" s="609"/>
      <c r="KJ28" s="609"/>
      <c r="KK28" s="609"/>
      <c r="KL28" s="609"/>
      <c r="KM28" s="609"/>
      <c r="KN28" s="609"/>
      <c r="KO28" s="609"/>
      <c r="KP28" s="609"/>
      <c r="KQ28" s="609"/>
      <c r="KR28" s="609"/>
      <c r="KS28" s="609"/>
      <c r="KT28" s="609"/>
      <c r="KU28" s="609"/>
      <c r="KV28" s="609"/>
      <c r="KW28" s="609"/>
      <c r="KX28" s="609"/>
      <c r="KY28" s="609"/>
      <c r="KZ28" s="609"/>
      <c r="LA28" s="609"/>
      <c r="LB28" s="609"/>
      <c r="LC28" s="609"/>
      <c r="LD28" s="609"/>
      <c r="LE28" s="609"/>
      <c r="LF28" s="609"/>
      <c r="LG28" s="609"/>
      <c r="LH28" s="609"/>
      <c r="LI28" s="609"/>
      <c r="LJ28" s="609"/>
      <c r="LK28" s="609"/>
      <c r="LL28" s="609"/>
      <c r="LM28" s="609"/>
      <c r="LN28" s="609"/>
      <c r="LO28" s="609"/>
      <c r="LP28" s="609"/>
      <c r="LQ28" s="609"/>
      <c r="LR28" s="609"/>
      <c r="LS28" s="609"/>
      <c r="LT28" s="609"/>
      <c r="LU28" s="609"/>
      <c r="LV28" s="609"/>
      <c r="LW28" s="609"/>
      <c r="LX28" s="609"/>
      <c r="LY28" s="609"/>
      <c r="LZ28" s="609"/>
      <c r="MA28" s="609"/>
      <c r="MB28" s="609"/>
      <c r="MC28" s="609"/>
      <c r="MD28" s="609"/>
      <c r="ME28" s="609"/>
      <c r="MF28" s="609"/>
      <c r="MG28" s="609"/>
      <c r="MH28" s="609"/>
      <c r="MI28" s="609"/>
      <c r="MJ28" s="609"/>
      <c r="MK28" s="609"/>
      <c r="ML28" s="609"/>
      <c r="MM28" s="609"/>
      <c r="MN28" s="609"/>
      <c r="MO28" s="609"/>
      <c r="MP28" s="609"/>
      <c r="MQ28" s="609"/>
      <c r="MR28" s="609"/>
      <c r="MS28" s="609"/>
      <c r="MT28" s="609"/>
      <c r="MU28" s="609"/>
      <c r="MV28" s="609"/>
      <c r="MW28" s="609"/>
      <c r="MX28" s="609"/>
      <c r="MY28" s="609"/>
      <c r="MZ28" s="609"/>
      <c r="NA28" s="609"/>
      <c r="NB28" s="609"/>
      <c r="NC28" s="609"/>
      <c r="ND28" s="609"/>
      <c r="NE28" s="609"/>
      <c r="NF28" s="609"/>
      <c r="NG28" s="609"/>
      <c r="NH28" s="609"/>
      <c r="NI28" s="609"/>
      <c r="NJ28" s="609"/>
      <c r="NK28" s="609"/>
      <c r="NL28" s="609"/>
      <c r="NM28" s="609"/>
      <c r="NN28" s="609"/>
      <c r="NO28" s="609"/>
      <c r="NP28" s="609"/>
      <c r="NQ28" s="609"/>
      <c r="NR28" s="609"/>
      <c r="NS28" s="609"/>
      <c r="NT28" s="609"/>
      <c r="NU28" s="609"/>
      <c r="NV28" s="609"/>
      <c r="NW28" s="609"/>
      <c r="NX28" s="609"/>
      <c r="NY28" s="609"/>
      <c r="NZ28" s="609"/>
      <c r="OA28" s="609"/>
      <c r="OB28" s="609"/>
      <c r="OC28" s="609"/>
      <c r="OD28" s="609"/>
      <c r="OE28" s="609"/>
      <c r="OF28" s="609"/>
      <c r="OG28" s="609"/>
      <c r="OH28" s="609"/>
      <c r="OI28" s="609"/>
      <c r="OJ28" s="609"/>
      <c r="OK28" s="609"/>
      <c r="OL28" s="609"/>
      <c r="OM28" s="609"/>
      <c r="ON28" s="609"/>
      <c r="OO28" s="609"/>
      <c r="OP28" s="609"/>
      <c r="OQ28" s="609"/>
      <c r="OR28" s="609"/>
      <c r="OS28" s="609"/>
      <c r="OT28" s="609"/>
      <c r="OU28" s="609"/>
      <c r="OV28" s="609"/>
      <c r="OW28" s="609"/>
      <c r="OX28" s="609"/>
      <c r="OY28" s="609"/>
      <c r="OZ28" s="609"/>
      <c r="PA28" s="609"/>
      <c r="PB28" s="609"/>
      <c r="PC28" s="609"/>
      <c r="PD28" s="609"/>
      <c r="PE28" s="609"/>
      <c r="PF28" s="609"/>
      <c r="PG28" s="609"/>
      <c r="PH28" s="609"/>
      <c r="PI28" s="609"/>
      <c r="PJ28" s="609"/>
      <c r="PK28" s="609"/>
      <c r="PL28" s="609"/>
      <c r="PM28" s="609"/>
      <c r="PN28" s="609"/>
      <c r="PO28" s="609"/>
      <c r="PP28" s="609"/>
      <c r="PQ28" s="609"/>
      <c r="PR28" s="609"/>
      <c r="PS28" s="609"/>
      <c r="PT28" s="609"/>
      <c r="PU28" s="609"/>
      <c r="PV28" s="609"/>
      <c r="PW28" s="609"/>
      <c r="PX28" s="609"/>
      <c r="PY28" s="609"/>
      <c r="PZ28" s="609"/>
      <c r="QA28" s="609"/>
      <c r="QB28" s="609"/>
      <c r="QC28" s="609"/>
      <c r="QD28" s="609"/>
      <c r="QE28" s="609"/>
      <c r="QF28" s="609"/>
      <c r="QG28" s="609"/>
      <c r="QH28" s="609"/>
      <c r="QI28" s="609"/>
      <c r="QJ28" s="609"/>
      <c r="QK28" s="609"/>
      <c r="QL28" s="609"/>
      <c r="QM28" s="609"/>
      <c r="QN28" s="609"/>
      <c r="QO28" s="609"/>
      <c r="QP28" s="609"/>
      <c r="QQ28" s="609"/>
      <c r="QR28" s="609"/>
      <c r="QS28" s="609"/>
      <c r="QT28" s="609"/>
      <c r="QU28" s="609"/>
      <c r="QV28" s="609"/>
      <c r="QW28" s="609"/>
      <c r="QX28" s="609"/>
      <c r="QY28" s="609"/>
      <c r="QZ28" s="609"/>
      <c r="RA28" s="609"/>
      <c r="RB28" s="609"/>
      <c r="RC28" s="609"/>
      <c r="RD28" s="609"/>
      <c r="RE28" s="609"/>
      <c r="RF28" s="609"/>
      <c r="RG28" s="609"/>
      <c r="RH28" s="609"/>
      <c r="RI28" s="609"/>
      <c r="RJ28" s="609"/>
      <c r="RK28" s="609"/>
      <c r="RL28" s="609"/>
      <c r="RM28" s="609"/>
      <c r="RN28" s="609"/>
      <c r="RO28" s="609"/>
      <c r="RP28" s="609"/>
      <c r="RQ28" s="609"/>
      <c r="RR28" s="609"/>
      <c r="RS28" s="609"/>
      <c r="RT28" s="609"/>
      <c r="RU28" s="609"/>
      <c r="RV28" s="609"/>
      <c r="RW28" s="609"/>
      <c r="RX28" s="609"/>
      <c r="RY28" s="609"/>
      <c r="RZ28" s="609"/>
      <c r="SA28" s="609"/>
      <c r="SB28" s="609"/>
      <c r="SC28" s="609"/>
      <c r="SD28" s="609"/>
      <c r="SE28" s="609"/>
      <c r="SF28" s="609"/>
      <c r="SG28" s="609"/>
      <c r="SH28" s="609"/>
      <c r="SI28" s="609"/>
      <c r="SJ28" s="609"/>
      <c r="SK28" s="609"/>
      <c r="SL28" s="609"/>
      <c r="SM28" s="609"/>
      <c r="SN28" s="609"/>
      <c r="SO28" s="609"/>
      <c r="SP28" s="609"/>
      <c r="SQ28" s="609"/>
      <c r="SR28" s="609"/>
      <c r="SS28" s="609"/>
      <c r="ST28" s="609"/>
      <c r="SU28" s="609"/>
      <c r="SV28" s="609"/>
      <c r="SW28" s="609"/>
      <c r="SX28" s="609"/>
      <c r="SY28" s="609"/>
      <c r="SZ28" s="609"/>
      <c r="TA28" s="609"/>
      <c r="TB28" s="609"/>
      <c r="TC28" s="609"/>
      <c r="TD28" s="609"/>
      <c r="TE28" s="609"/>
      <c r="TF28" s="609"/>
      <c r="TG28" s="609"/>
      <c r="TH28" s="609"/>
      <c r="TI28" s="609"/>
      <c r="TJ28" s="609"/>
      <c r="TK28" s="609"/>
      <c r="TL28" s="609"/>
      <c r="TM28" s="609"/>
      <c r="TN28" s="609"/>
      <c r="TO28" s="609"/>
      <c r="TP28" s="609"/>
      <c r="TQ28" s="609"/>
      <c r="TR28" s="609"/>
      <c r="TS28" s="609"/>
      <c r="TT28" s="609"/>
      <c r="TU28" s="609"/>
      <c r="TV28" s="609"/>
      <c r="TW28" s="609"/>
      <c r="TX28" s="609"/>
      <c r="TY28" s="609"/>
      <c r="TZ28" s="609"/>
      <c r="UA28" s="609"/>
      <c r="UB28" s="609"/>
      <c r="UC28" s="609"/>
      <c r="UD28" s="609"/>
      <c r="UE28" s="609"/>
      <c r="UF28" s="609"/>
      <c r="UG28" s="609"/>
      <c r="UH28" s="609"/>
      <c r="UI28" s="609"/>
      <c r="UJ28" s="609"/>
      <c r="UK28" s="609"/>
      <c r="UL28" s="609"/>
      <c r="UM28" s="609"/>
      <c r="UN28" s="609"/>
      <c r="UO28" s="609"/>
      <c r="UP28" s="609"/>
      <c r="UQ28" s="609"/>
      <c r="UR28" s="609"/>
      <c r="US28" s="609"/>
      <c r="UT28" s="609"/>
      <c r="UU28" s="609"/>
      <c r="UV28" s="609"/>
      <c r="UW28" s="609"/>
      <c r="UX28" s="609"/>
      <c r="UY28" s="609"/>
      <c r="UZ28" s="609"/>
      <c r="VA28" s="609"/>
      <c r="VB28" s="609"/>
      <c r="VC28" s="609"/>
      <c r="VD28" s="609"/>
      <c r="VE28" s="609"/>
      <c r="VF28" s="609"/>
      <c r="VG28" s="609"/>
      <c r="VH28" s="609"/>
      <c r="VI28" s="609"/>
      <c r="VJ28" s="609"/>
      <c r="VK28" s="609"/>
      <c r="VL28" s="609"/>
      <c r="VM28" s="609"/>
      <c r="VN28" s="609"/>
      <c r="VO28" s="609"/>
      <c r="VP28" s="609"/>
      <c r="VQ28" s="609"/>
      <c r="VR28" s="609"/>
      <c r="VS28" s="609"/>
      <c r="VT28" s="609"/>
      <c r="VU28" s="609"/>
      <c r="VV28" s="609"/>
      <c r="VW28" s="609"/>
      <c r="VX28" s="609"/>
      <c r="VY28" s="609"/>
      <c r="VZ28" s="609"/>
      <c r="WA28" s="609"/>
      <c r="WB28" s="609"/>
      <c r="WC28" s="609"/>
      <c r="WD28" s="609"/>
      <c r="WE28" s="609"/>
      <c r="WF28" s="609"/>
      <c r="WG28" s="609"/>
      <c r="WH28" s="609"/>
      <c r="WI28" s="609"/>
      <c r="WJ28" s="609"/>
      <c r="WK28" s="609"/>
      <c r="WL28" s="609"/>
      <c r="WM28" s="609"/>
      <c r="WN28" s="609"/>
      <c r="WO28" s="609"/>
      <c r="WP28" s="609"/>
      <c r="WQ28" s="609"/>
      <c r="WR28" s="609"/>
      <c r="WS28" s="609"/>
      <c r="WT28" s="609"/>
      <c r="WU28" s="609"/>
      <c r="WV28" s="609"/>
      <c r="WW28" s="609"/>
      <c r="WX28" s="609"/>
      <c r="WY28" s="609"/>
      <c r="WZ28" s="609"/>
      <c r="XA28" s="609"/>
      <c r="XB28" s="609"/>
      <c r="XC28" s="609"/>
      <c r="XD28" s="609"/>
      <c r="XE28" s="609"/>
      <c r="XF28" s="609"/>
      <c r="XG28" s="609"/>
      <c r="XH28" s="609"/>
      <c r="XI28" s="609"/>
      <c r="XJ28" s="609"/>
      <c r="XK28" s="609"/>
      <c r="XL28" s="609"/>
      <c r="XM28" s="609"/>
      <c r="XN28" s="609"/>
      <c r="XO28" s="609"/>
      <c r="XP28" s="609"/>
      <c r="XQ28" s="609"/>
      <c r="XR28" s="609"/>
      <c r="XS28" s="609"/>
      <c r="XT28" s="609"/>
      <c r="XU28" s="609"/>
      <c r="XV28" s="609"/>
      <c r="XW28" s="609"/>
      <c r="XX28" s="609"/>
      <c r="XY28" s="609"/>
      <c r="XZ28" s="609"/>
      <c r="YA28" s="609"/>
      <c r="YB28" s="609"/>
      <c r="YC28" s="609"/>
      <c r="YD28" s="609"/>
      <c r="YE28" s="609"/>
      <c r="YF28" s="609"/>
      <c r="YG28" s="609"/>
      <c r="YH28" s="609"/>
      <c r="YI28" s="609"/>
      <c r="YJ28" s="609"/>
      <c r="YK28" s="609"/>
      <c r="YL28" s="609"/>
      <c r="YM28" s="609"/>
      <c r="YN28" s="609"/>
      <c r="YO28" s="609"/>
      <c r="YP28" s="609"/>
      <c r="YQ28" s="609"/>
      <c r="YR28" s="609"/>
      <c r="YS28" s="609"/>
      <c r="YT28" s="609"/>
      <c r="YU28" s="609"/>
      <c r="YV28" s="609"/>
      <c r="YW28" s="609"/>
      <c r="YX28" s="609"/>
      <c r="YY28" s="609"/>
      <c r="YZ28" s="609"/>
      <c r="ZA28" s="609"/>
      <c r="ZB28" s="609"/>
      <c r="ZC28" s="609"/>
      <c r="ZD28" s="609"/>
      <c r="ZE28" s="609"/>
      <c r="ZF28" s="609"/>
      <c r="ZG28" s="609"/>
      <c r="ZH28" s="609"/>
      <c r="ZI28" s="609"/>
      <c r="ZJ28" s="609"/>
      <c r="ZK28" s="609"/>
      <c r="ZL28" s="609"/>
      <c r="ZM28" s="609"/>
      <c r="ZN28" s="609"/>
      <c r="ZO28" s="609"/>
      <c r="ZP28" s="609"/>
      <c r="ZQ28" s="609"/>
      <c r="ZR28" s="609"/>
      <c r="ZS28" s="609"/>
      <c r="ZT28" s="609"/>
      <c r="ZU28" s="609"/>
      <c r="ZV28" s="609"/>
      <c r="ZW28" s="609"/>
      <c r="ZX28" s="609"/>
      <c r="ZY28" s="609"/>
      <c r="ZZ28" s="609"/>
      <c r="AAA28" s="609"/>
      <c r="AAB28" s="609"/>
      <c r="AAC28" s="609"/>
      <c r="AAD28" s="609"/>
      <c r="AAE28" s="609"/>
      <c r="AAF28" s="609"/>
      <c r="AAG28" s="609"/>
      <c r="AAH28" s="609"/>
      <c r="AAI28" s="609"/>
      <c r="AAJ28" s="609"/>
      <c r="AAK28" s="609"/>
      <c r="AAL28" s="609"/>
      <c r="AAM28" s="609"/>
      <c r="AAN28" s="609"/>
      <c r="AAO28" s="609"/>
      <c r="AAP28" s="609"/>
      <c r="AAQ28" s="609"/>
      <c r="AAR28" s="609"/>
      <c r="AAS28" s="609"/>
      <c r="AAT28" s="609"/>
      <c r="AAU28" s="609"/>
      <c r="AAV28" s="609"/>
      <c r="AAW28" s="609"/>
      <c r="AAX28" s="609"/>
      <c r="AAY28" s="609"/>
      <c r="AAZ28" s="609"/>
      <c r="ABA28" s="609"/>
      <c r="ABB28" s="609"/>
      <c r="ABC28" s="609"/>
      <c r="ABD28" s="609"/>
      <c r="ABE28" s="609"/>
      <c r="ABF28" s="609"/>
      <c r="ABG28" s="609"/>
      <c r="ABH28" s="609"/>
      <c r="ABI28" s="609"/>
      <c r="ABJ28" s="609"/>
      <c r="ABK28" s="609"/>
      <c r="ABL28" s="609"/>
      <c r="ABM28" s="609"/>
      <c r="ABN28" s="609"/>
      <c r="ABO28" s="609"/>
      <c r="ABP28" s="609"/>
      <c r="ABQ28" s="609"/>
      <c r="ABR28" s="609"/>
      <c r="ABS28" s="609"/>
      <c r="ABT28" s="609"/>
      <c r="ABU28" s="609"/>
      <c r="ABV28" s="609"/>
      <c r="ABW28" s="609"/>
      <c r="ABX28" s="609"/>
      <c r="ABY28" s="609"/>
      <c r="ABZ28" s="609"/>
      <c r="ACA28" s="609"/>
      <c r="ACB28" s="609"/>
      <c r="ACC28" s="609"/>
      <c r="ACD28" s="609"/>
      <c r="ACE28" s="609"/>
      <c r="ACF28" s="609"/>
      <c r="ACG28" s="609"/>
      <c r="ACH28" s="609"/>
      <c r="ACI28" s="609"/>
      <c r="ACJ28" s="609"/>
      <c r="ACK28" s="609"/>
      <c r="ACL28" s="609"/>
      <c r="ACM28" s="609"/>
      <c r="ACN28" s="609"/>
      <c r="ACO28" s="609"/>
      <c r="ACP28" s="609"/>
      <c r="ACQ28" s="609"/>
      <c r="ACR28" s="609"/>
      <c r="ACS28" s="609"/>
      <c r="ACT28" s="609"/>
      <c r="ACU28" s="609"/>
      <c r="ACV28" s="609"/>
      <c r="ACW28" s="609"/>
      <c r="ACX28" s="609"/>
      <c r="ACY28" s="609"/>
      <c r="ACZ28" s="609"/>
      <c r="ADA28" s="609"/>
      <c r="ADB28" s="609"/>
      <c r="ADC28" s="609"/>
      <c r="ADD28" s="609"/>
      <c r="ADE28" s="609"/>
      <c r="ADF28" s="609"/>
      <c r="ADG28" s="609"/>
      <c r="ADH28" s="609"/>
      <c r="ADI28" s="609"/>
      <c r="ADJ28" s="609"/>
      <c r="ADK28" s="609"/>
      <c r="ADL28" s="609"/>
      <c r="ADM28" s="609"/>
      <c r="ADN28" s="609"/>
      <c r="ADO28" s="609"/>
      <c r="ADP28" s="609"/>
      <c r="ADQ28" s="609"/>
      <c r="ADR28" s="609"/>
      <c r="ADS28" s="609"/>
      <c r="ADT28" s="609"/>
      <c r="ADU28" s="609"/>
      <c r="ADV28" s="609"/>
      <c r="ADW28" s="609"/>
      <c r="ADX28" s="609"/>
      <c r="ADY28" s="609"/>
      <c r="ADZ28" s="609"/>
      <c r="AEA28" s="609"/>
      <c r="AEB28" s="609"/>
      <c r="AEC28" s="609"/>
      <c r="AED28" s="609"/>
      <c r="AEE28" s="609"/>
      <c r="AEF28" s="609"/>
      <c r="AEG28" s="609"/>
      <c r="AEH28" s="609"/>
      <c r="AEI28" s="609"/>
      <c r="AEJ28" s="609"/>
      <c r="AEK28" s="609"/>
      <c r="AEL28" s="609"/>
      <c r="AEM28" s="609"/>
      <c r="AEN28" s="609"/>
      <c r="AEO28" s="609"/>
      <c r="AEP28" s="609"/>
      <c r="AEQ28" s="609"/>
      <c r="AER28" s="609"/>
      <c r="AES28" s="609"/>
      <c r="AET28" s="609"/>
      <c r="AEU28" s="609"/>
      <c r="AEV28" s="609"/>
      <c r="AEW28" s="609"/>
      <c r="AEX28" s="609"/>
      <c r="AEY28" s="609"/>
      <c r="AEZ28" s="609"/>
      <c r="AFA28" s="609"/>
      <c r="AFB28" s="609"/>
      <c r="AFC28" s="609"/>
      <c r="AFD28" s="609"/>
      <c r="AFE28" s="609"/>
      <c r="AFF28" s="609"/>
      <c r="AFG28" s="609"/>
      <c r="AFH28" s="609"/>
      <c r="AFI28" s="609"/>
      <c r="AFJ28" s="609"/>
      <c r="AFK28" s="609"/>
      <c r="AFL28" s="609"/>
      <c r="AFM28" s="609"/>
      <c r="AFN28" s="609"/>
      <c r="AFO28" s="609"/>
      <c r="AFP28" s="609"/>
      <c r="AFQ28" s="609"/>
      <c r="AFR28" s="609"/>
      <c r="AFS28" s="609"/>
      <c r="AFT28" s="609"/>
      <c r="AFU28" s="609"/>
      <c r="AFV28" s="609"/>
      <c r="AFW28" s="609"/>
      <c r="AFX28" s="609"/>
      <c r="AFY28" s="609"/>
      <c r="AFZ28" s="609"/>
      <c r="AGA28" s="609"/>
      <c r="AGB28" s="609"/>
      <c r="AGC28" s="609"/>
      <c r="AGD28" s="609"/>
      <c r="AGE28" s="609"/>
      <c r="AGF28" s="609"/>
      <c r="AGG28" s="609"/>
      <c r="AGH28" s="609"/>
      <c r="AGI28" s="609"/>
      <c r="AGJ28" s="609"/>
      <c r="AGK28" s="609"/>
      <c r="AGL28" s="609"/>
      <c r="AGM28" s="609"/>
      <c r="AGN28" s="609"/>
      <c r="AGO28" s="609"/>
      <c r="AGP28" s="609"/>
      <c r="AGQ28" s="609"/>
      <c r="AGR28" s="609"/>
      <c r="AGS28" s="609"/>
      <c r="AGT28" s="609"/>
      <c r="AGU28" s="609"/>
      <c r="AGV28" s="609"/>
      <c r="AGW28" s="609"/>
      <c r="AGX28" s="609"/>
      <c r="AGY28" s="609"/>
      <c r="AGZ28" s="609"/>
      <c r="AHA28" s="609"/>
      <c r="AHB28" s="609"/>
      <c r="AHC28" s="609"/>
      <c r="AHD28" s="609"/>
      <c r="AHE28" s="609"/>
      <c r="AHF28" s="609"/>
      <c r="AHG28" s="609"/>
      <c r="AHH28" s="609"/>
      <c r="AHI28" s="609"/>
      <c r="AHJ28" s="609"/>
      <c r="AHK28" s="609"/>
      <c r="AHL28" s="609"/>
      <c r="AHM28" s="609"/>
      <c r="AHN28" s="609"/>
      <c r="AHO28" s="609"/>
      <c r="AHP28" s="609"/>
      <c r="AHQ28" s="609"/>
      <c r="AHR28" s="609"/>
      <c r="AHS28" s="609"/>
      <c r="AHT28" s="609"/>
      <c r="AHU28" s="609"/>
      <c r="AHV28" s="609"/>
      <c r="AHW28" s="609"/>
      <c r="AHX28" s="609"/>
      <c r="AHY28" s="609"/>
      <c r="AHZ28" s="609"/>
      <c r="AIA28" s="609"/>
      <c r="AIB28" s="609"/>
      <c r="AIC28" s="609"/>
      <c r="AID28" s="609"/>
      <c r="AIE28" s="609"/>
      <c r="AIF28" s="609"/>
      <c r="AIG28" s="609"/>
      <c r="AIH28" s="609"/>
      <c r="AII28" s="609"/>
      <c r="AIJ28" s="609"/>
      <c r="AIK28" s="609"/>
      <c r="AIL28" s="609"/>
      <c r="AIM28" s="609"/>
      <c r="AIN28" s="609"/>
      <c r="AIO28" s="609"/>
      <c r="AIP28" s="609"/>
      <c r="AIQ28" s="609"/>
      <c r="AIR28" s="609"/>
      <c r="AIS28" s="609"/>
      <c r="AIT28" s="609"/>
      <c r="AIU28" s="609"/>
      <c r="AIV28" s="609"/>
      <c r="AIW28" s="609"/>
      <c r="AIX28" s="609"/>
      <c r="AIY28" s="609"/>
      <c r="AIZ28" s="609"/>
      <c r="AJA28" s="609"/>
      <c r="AJB28" s="609"/>
      <c r="AJC28" s="609"/>
      <c r="AJD28" s="609"/>
      <c r="AJE28" s="609"/>
      <c r="AJF28" s="609"/>
      <c r="AJG28" s="609"/>
      <c r="AJH28" s="609"/>
      <c r="AJI28" s="609"/>
      <c r="AJJ28" s="609"/>
      <c r="AJK28" s="609"/>
      <c r="AJL28" s="609"/>
      <c r="AJM28" s="609"/>
      <c r="AJN28" s="609"/>
      <c r="AJO28" s="609"/>
      <c r="AJP28" s="609"/>
      <c r="AJQ28" s="609"/>
      <c r="AJR28" s="609"/>
      <c r="AJS28" s="609"/>
      <c r="AJT28" s="609"/>
      <c r="AJU28" s="609"/>
      <c r="AJV28" s="609"/>
      <c r="AJW28" s="609"/>
      <c r="AJX28" s="609"/>
      <c r="AJY28" s="609"/>
      <c r="AJZ28" s="609"/>
      <c r="AKA28" s="609"/>
      <c r="AKB28" s="609"/>
      <c r="AKC28" s="609"/>
      <c r="AKD28" s="609"/>
      <c r="AKE28" s="609"/>
      <c r="AKF28" s="609"/>
      <c r="AKG28" s="609"/>
      <c r="AKH28" s="609"/>
      <c r="AKI28" s="609"/>
      <c r="AKJ28" s="609"/>
      <c r="AKK28" s="609"/>
      <c r="AKL28" s="609"/>
      <c r="AKM28" s="609"/>
      <c r="AKN28" s="609"/>
      <c r="AKO28" s="609"/>
      <c r="AKP28" s="609"/>
      <c r="AKQ28" s="609"/>
      <c r="AKR28" s="609"/>
      <c r="AKS28" s="609"/>
      <c r="AKT28" s="609"/>
      <c r="AKU28" s="609"/>
      <c r="AKV28" s="609"/>
      <c r="AKW28" s="609"/>
      <c r="AKX28" s="609"/>
      <c r="AKY28" s="609"/>
      <c r="AKZ28" s="609"/>
      <c r="ALA28" s="609"/>
      <c r="ALB28" s="609"/>
      <c r="ALC28" s="609"/>
      <c r="ALD28" s="609"/>
      <c r="ALE28" s="609"/>
      <c r="ALF28" s="609"/>
      <c r="ALG28" s="609"/>
      <c r="ALH28" s="609"/>
      <c r="ALI28" s="609"/>
      <c r="ALJ28" s="609"/>
      <c r="ALK28" s="609"/>
      <c r="ALL28" s="609"/>
      <c r="ALM28" s="609"/>
      <c r="ALN28" s="609"/>
      <c r="ALO28" s="609"/>
      <c r="ALP28" s="609"/>
      <c r="ALQ28" s="609"/>
      <c r="ALR28" s="609"/>
      <c r="ALS28" s="609"/>
      <c r="ALT28" s="609"/>
      <c r="ALU28" s="609"/>
      <c r="ALV28" s="609"/>
      <c r="ALW28" s="609"/>
      <c r="ALX28" s="609"/>
      <c r="ALY28" s="609"/>
      <c r="ALZ28" s="609"/>
      <c r="AMA28" s="609"/>
      <c r="AMB28" s="609"/>
      <c r="AMC28" s="609"/>
      <c r="AMD28" s="609"/>
      <c r="AME28" s="609"/>
      <c r="AMF28" s="609"/>
      <c r="AMG28" s="609"/>
      <c r="AMH28" s="609"/>
      <c r="AMI28" s="609"/>
      <c r="AMJ28" s="609"/>
      <c r="AMK28" s="609"/>
      <c r="AML28" s="609"/>
      <c r="AMM28" s="609"/>
      <c r="AMN28" s="609"/>
      <c r="AMO28" s="609"/>
      <c r="AMP28" s="609"/>
      <c r="AMQ28" s="609"/>
      <c r="AMR28" s="609"/>
      <c r="AMS28" s="609"/>
      <c r="AMT28" s="609"/>
      <c r="AMU28" s="609"/>
      <c r="AMV28" s="609"/>
      <c r="AMW28" s="609"/>
      <c r="AMX28" s="609"/>
      <c r="AMY28" s="609"/>
      <c r="AMZ28" s="609"/>
      <c r="ANA28" s="609"/>
      <c r="ANB28" s="609"/>
      <c r="ANC28" s="609"/>
      <c r="AND28" s="609"/>
      <c r="ANE28" s="609"/>
      <c r="ANF28" s="609"/>
      <c r="ANG28" s="609"/>
      <c r="ANH28" s="609"/>
      <c r="ANI28" s="609"/>
      <c r="ANJ28" s="609"/>
      <c r="ANK28" s="609"/>
      <c r="ANL28" s="609"/>
      <c r="ANM28" s="609"/>
      <c r="ANN28" s="609"/>
      <c r="ANO28" s="609"/>
      <c r="ANP28" s="609"/>
      <c r="ANQ28" s="609"/>
      <c r="ANR28" s="609"/>
      <c r="ANS28" s="609"/>
      <c r="ANT28" s="609"/>
      <c r="ANU28" s="609"/>
      <c r="ANV28" s="609"/>
      <c r="ANW28" s="609"/>
      <c r="ANX28" s="609"/>
      <c r="ANY28" s="609"/>
      <c r="ANZ28" s="609"/>
      <c r="AOA28" s="609"/>
      <c r="AOB28" s="609"/>
      <c r="AOC28" s="609"/>
      <c r="AOD28" s="609"/>
      <c r="AOE28" s="609"/>
      <c r="AOF28" s="609"/>
      <c r="AOG28" s="609"/>
      <c r="AOH28" s="609"/>
      <c r="AOI28" s="609"/>
      <c r="AOJ28" s="609"/>
      <c r="AOK28" s="609"/>
      <c r="AOL28" s="609"/>
      <c r="AOM28" s="609"/>
      <c r="AON28" s="609"/>
      <c r="AOO28" s="609"/>
      <c r="AOP28" s="609"/>
      <c r="AOQ28" s="609"/>
      <c r="AOR28" s="609"/>
      <c r="AOS28" s="609"/>
      <c r="AOT28" s="609"/>
      <c r="AOU28" s="609"/>
      <c r="AOV28" s="609"/>
      <c r="AOW28" s="609"/>
      <c r="AOX28" s="609"/>
      <c r="AOY28" s="609"/>
      <c r="AOZ28" s="609"/>
      <c r="APA28" s="609"/>
      <c r="APB28" s="609"/>
      <c r="APC28" s="609"/>
      <c r="APD28" s="609"/>
      <c r="APE28" s="609"/>
      <c r="APF28" s="609"/>
      <c r="APG28" s="609"/>
      <c r="APH28" s="609"/>
      <c r="API28" s="609"/>
      <c r="APJ28" s="609"/>
      <c r="APK28" s="609"/>
      <c r="APL28" s="609"/>
      <c r="APM28" s="609"/>
      <c r="APN28" s="609"/>
      <c r="APO28" s="609"/>
      <c r="APP28" s="609"/>
      <c r="APQ28" s="609"/>
      <c r="APR28" s="609"/>
      <c r="APS28" s="609"/>
      <c r="APT28" s="609"/>
      <c r="APU28" s="609"/>
      <c r="APV28" s="609"/>
      <c r="APW28" s="609"/>
      <c r="APX28" s="609"/>
      <c r="APY28" s="609"/>
      <c r="APZ28" s="609"/>
      <c r="AQA28" s="609"/>
      <c r="AQB28" s="609"/>
      <c r="AQC28" s="609"/>
      <c r="AQD28" s="609"/>
      <c r="AQE28" s="609"/>
      <c r="AQF28" s="609"/>
      <c r="AQG28" s="609"/>
      <c r="AQH28" s="609"/>
      <c r="AQI28" s="609"/>
      <c r="AQJ28" s="609"/>
      <c r="AQK28" s="609"/>
      <c r="AQL28" s="609"/>
      <c r="AQM28" s="609"/>
      <c r="AQN28" s="609"/>
      <c r="AQO28" s="609"/>
      <c r="AQP28" s="609"/>
      <c r="AQQ28" s="609"/>
      <c r="AQR28" s="609"/>
      <c r="AQS28" s="609"/>
      <c r="AQT28" s="609"/>
      <c r="AQU28" s="609"/>
      <c r="AQV28" s="609"/>
      <c r="AQW28" s="609"/>
      <c r="AQX28" s="609"/>
      <c r="AQY28" s="609"/>
      <c r="AQZ28" s="609"/>
      <c r="ARA28" s="609"/>
      <c r="ARB28" s="609"/>
      <c r="ARC28" s="609"/>
      <c r="ARD28" s="609"/>
      <c r="ARE28" s="609"/>
      <c r="ARF28" s="609"/>
      <c r="ARG28" s="609"/>
      <c r="ARH28" s="609"/>
      <c r="ARI28" s="609"/>
      <c r="ARJ28" s="609"/>
      <c r="ARK28" s="609"/>
      <c r="ARL28" s="609"/>
      <c r="ARM28" s="609"/>
      <c r="ARN28" s="609"/>
      <c r="ARO28" s="609"/>
      <c r="ARP28" s="609"/>
      <c r="ARQ28" s="609"/>
      <c r="ARR28" s="609"/>
      <c r="ARS28" s="609"/>
      <c r="ART28" s="609"/>
      <c r="ARU28" s="609"/>
      <c r="ARV28" s="609"/>
      <c r="ARW28" s="609"/>
      <c r="ARX28" s="609"/>
      <c r="ARY28" s="609"/>
      <c r="ARZ28" s="609"/>
      <c r="ASA28" s="609"/>
      <c r="ASB28" s="609"/>
      <c r="ASC28" s="609"/>
      <c r="ASD28" s="609"/>
      <c r="ASE28" s="609"/>
      <c r="ASF28" s="609"/>
      <c r="ASG28" s="609"/>
      <c r="ASH28" s="609"/>
      <c r="ASI28" s="609"/>
      <c r="ASJ28" s="609"/>
      <c r="ASK28" s="609"/>
      <c r="ASL28" s="609"/>
      <c r="ASM28" s="609"/>
      <c r="ASN28" s="609"/>
      <c r="ASO28" s="609"/>
      <c r="ASP28" s="609"/>
      <c r="ASQ28" s="609"/>
      <c r="ASR28" s="609"/>
      <c r="ASS28" s="609"/>
      <c r="AST28" s="609"/>
      <c r="ASU28" s="609"/>
      <c r="ASV28" s="609"/>
      <c r="ASW28" s="609"/>
      <c r="ASX28" s="609"/>
      <c r="ASY28" s="609"/>
      <c r="ASZ28" s="609"/>
      <c r="ATA28" s="609"/>
      <c r="ATB28" s="609"/>
      <c r="ATC28" s="609"/>
      <c r="ATD28" s="609"/>
      <c r="ATE28" s="609"/>
      <c r="ATF28" s="609"/>
      <c r="ATG28" s="609"/>
      <c r="ATH28" s="609"/>
      <c r="ATI28" s="609"/>
      <c r="ATJ28" s="609"/>
      <c r="ATK28" s="609"/>
      <c r="ATL28" s="609"/>
      <c r="ATM28" s="609"/>
      <c r="ATN28" s="609"/>
      <c r="ATO28" s="609"/>
      <c r="ATP28" s="609"/>
      <c r="ATQ28" s="609"/>
      <c r="ATR28" s="609"/>
      <c r="ATS28" s="609"/>
      <c r="ATT28" s="609"/>
      <c r="ATU28" s="609"/>
      <c r="ATV28" s="609"/>
      <c r="ATW28" s="609"/>
      <c r="ATX28" s="609"/>
      <c r="ATY28" s="609"/>
      <c r="ATZ28" s="609"/>
      <c r="AUA28" s="609"/>
      <c r="AUB28" s="609"/>
      <c r="AUC28" s="609"/>
      <c r="AUD28" s="609"/>
      <c r="AUE28" s="609"/>
      <c r="AUF28" s="609"/>
      <c r="AUG28" s="609"/>
      <c r="AUH28" s="609"/>
      <c r="AUI28" s="609"/>
      <c r="AUJ28" s="609"/>
      <c r="AUK28" s="609"/>
      <c r="AUL28" s="609"/>
      <c r="AUM28" s="609"/>
      <c r="AUN28" s="609"/>
      <c r="AUO28" s="609"/>
      <c r="AUP28" s="609"/>
      <c r="AUQ28" s="609"/>
      <c r="AUR28" s="609"/>
      <c r="AUS28" s="609"/>
      <c r="AUT28" s="609"/>
      <c r="AUU28" s="609"/>
      <c r="AUV28" s="609"/>
      <c r="AUW28" s="609"/>
      <c r="AUX28" s="609"/>
      <c r="AUY28" s="609"/>
      <c r="AUZ28" s="609"/>
      <c r="AVA28" s="609"/>
      <c r="AVB28" s="609"/>
      <c r="AVC28" s="609"/>
      <c r="AVD28" s="609"/>
      <c r="AVE28" s="609"/>
      <c r="AVF28" s="609"/>
      <c r="AVG28" s="609"/>
      <c r="AVH28" s="609"/>
      <c r="AVI28" s="609"/>
      <c r="AVJ28" s="609"/>
      <c r="AVK28" s="609"/>
      <c r="AVL28" s="609"/>
      <c r="AVM28" s="609"/>
      <c r="AVN28" s="609"/>
      <c r="AVO28" s="609"/>
      <c r="AVP28" s="609"/>
      <c r="AVQ28" s="609"/>
      <c r="AVR28" s="609"/>
      <c r="AVS28" s="609"/>
      <c r="AVT28" s="609"/>
      <c r="AVU28" s="609"/>
      <c r="AVV28" s="609"/>
      <c r="AVW28" s="609"/>
      <c r="AVX28" s="609"/>
      <c r="AVY28" s="609"/>
      <c r="AVZ28" s="609"/>
      <c r="AWA28" s="609"/>
      <c r="AWB28" s="609"/>
      <c r="AWC28" s="609"/>
      <c r="AWD28" s="609"/>
      <c r="AWE28" s="609"/>
      <c r="AWF28" s="609"/>
      <c r="AWG28" s="609"/>
      <c r="AWH28" s="609"/>
      <c r="AWI28" s="609"/>
      <c r="AWJ28" s="609"/>
      <c r="AWK28" s="609"/>
      <c r="AWL28" s="609"/>
      <c r="AWM28" s="609"/>
      <c r="AWN28" s="609"/>
      <c r="AWO28" s="609"/>
      <c r="AWP28" s="609"/>
      <c r="AWQ28" s="609"/>
      <c r="AWR28" s="609"/>
      <c r="AWS28" s="609"/>
      <c r="AWT28" s="609"/>
      <c r="AWU28" s="609"/>
      <c r="AWV28" s="609"/>
      <c r="AWW28" s="609"/>
      <c r="AWX28" s="609"/>
      <c r="AWY28" s="609"/>
      <c r="AWZ28" s="609"/>
      <c r="AXA28" s="609"/>
      <c r="AXB28" s="609"/>
      <c r="AXC28" s="609"/>
      <c r="AXD28" s="609"/>
      <c r="AXE28" s="609"/>
      <c r="AXF28" s="609"/>
      <c r="AXG28" s="609"/>
      <c r="AXH28" s="609"/>
      <c r="AXI28" s="609"/>
      <c r="AXJ28" s="609"/>
      <c r="AXK28" s="609"/>
      <c r="AXL28" s="609"/>
      <c r="AXM28" s="609"/>
      <c r="AXN28" s="609"/>
      <c r="AXO28" s="609"/>
      <c r="AXP28" s="609"/>
      <c r="AXQ28" s="609"/>
      <c r="AXR28" s="609"/>
      <c r="AXS28" s="609"/>
      <c r="AXT28" s="609"/>
      <c r="AXU28" s="609"/>
      <c r="AXV28" s="609"/>
      <c r="AXW28" s="609"/>
      <c r="AXX28" s="609"/>
      <c r="AXY28" s="609"/>
      <c r="AXZ28" s="609"/>
      <c r="AYA28" s="609"/>
      <c r="AYB28" s="609"/>
      <c r="AYC28" s="609"/>
      <c r="AYD28" s="609"/>
      <c r="AYE28" s="609"/>
      <c r="AYF28" s="609"/>
      <c r="AYG28" s="609"/>
      <c r="AYH28" s="609"/>
      <c r="AYI28" s="609"/>
      <c r="AYJ28" s="609"/>
      <c r="AYK28" s="609"/>
      <c r="AYL28" s="609"/>
      <c r="AYM28" s="609"/>
      <c r="AYN28" s="609"/>
      <c r="AYO28" s="609"/>
      <c r="AYP28" s="609"/>
      <c r="AYQ28" s="609"/>
      <c r="AYR28" s="609"/>
      <c r="AYS28" s="609"/>
      <c r="AYT28" s="609"/>
      <c r="AYU28" s="609"/>
      <c r="AYV28" s="609"/>
      <c r="AYW28" s="609"/>
      <c r="AYX28" s="609"/>
      <c r="AYY28" s="609"/>
      <c r="AYZ28" s="609"/>
      <c r="AZA28" s="609"/>
      <c r="AZB28" s="609"/>
      <c r="AZC28" s="609"/>
      <c r="AZD28" s="609"/>
      <c r="AZE28" s="609"/>
      <c r="AZF28" s="609"/>
      <c r="AZG28" s="609"/>
      <c r="AZH28" s="609"/>
      <c r="AZI28" s="609"/>
      <c r="AZJ28" s="609"/>
      <c r="AZK28" s="609"/>
      <c r="AZL28" s="609"/>
      <c r="AZM28" s="609"/>
      <c r="AZN28" s="609"/>
      <c r="AZO28" s="609"/>
      <c r="AZP28" s="609"/>
      <c r="AZQ28" s="609"/>
      <c r="AZR28" s="609"/>
      <c r="AZS28" s="609"/>
      <c r="AZT28" s="609"/>
      <c r="AZU28" s="609"/>
      <c r="AZV28" s="609"/>
      <c r="AZW28" s="609"/>
      <c r="AZX28" s="609"/>
      <c r="AZY28" s="609"/>
      <c r="AZZ28" s="609"/>
      <c r="BAA28" s="609"/>
      <c r="BAB28" s="609"/>
      <c r="BAC28" s="609"/>
      <c r="BAD28" s="609"/>
      <c r="BAE28" s="609"/>
      <c r="BAF28" s="609"/>
      <c r="BAG28" s="609"/>
      <c r="BAH28" s="609"/>
      <c r="BAI28" s="609"/>
      <c r="BAJ28" s="609"/>
      <c r="BAK28" s="609"/>
      <c r="BAL28" s="609"/>
      <c r="BAM28" s="609"/>
      <c r="BAN28" s="609"/>
      <c r="BAO28" s="609"/>
      <c r="BAP28" s="609"/>
      <c r="BAQ28" s="609"/>
      <c r="BAR28" s="609"/>
      <c r="BAS28" s="609"/>
      <c r="BAT28" s="609"/>
      <c r="BAU28" s="609"/>
      <c r="BAV28" s="609"/>
      <c r="BAW28" s="609"/>
      <c r="BAX28" s="609"/>
      <c r="BAY28" s="609"/>
      <c r="BAZ28" s="609"/>
      <c r="BBA28" s="609"/>
      <c r="BBB28" s="609"/>
      <c r="BBC28" s="609"/>
      <c r="BBD28" s="609"/>
      <c r="BBE28" s="609"/>
      <c r="BBF28" s="609"/>
      <c r="BBG28" s="609"/>
      <c r="BBH28" s="609"/>
      <c r="BBI28" s="609"/>
      <c r="BBJ28" s="609"/>
      <c r="BBK28" s="609"/>
      <c r="BBL28" s="609"/>
      <c r="BBM28" s="609"/>
      <c r="BBN28" s="609"/>
      <c r="BBO28" s="609"/>
      <c r="BBP28" s="609"/>
      <c r="BBQ28" s="609"/>
      <c r="BBR28" s="609"/>
      <c r="BBS28" s="609"/>
      <c r="BBT28" s="609"/>
      <c r="BBU28" s="609"/>
      <c r="BBV28" s="609"/>
      <c r="BBW28" s="609"/>
      <c r="BBX28" s="609"/>
      <c r="BBY28" s="609"/>
      <c r="BBZ28" s="609"/>
      <c r="BCA28" s="609"/>
      <c r="BCB28" s="609"/>
      <c r="BCC28" s="609"/>
      <c r="BCD28" s="609"/>
      <c r="BCE28" s="609"/>
      <c r="BCF28" s="609"/>
      <c r="BCG28" s="609"/>
      <c r="BCH28" s="609"/>
      <c r="BCI28" s="609"/>
      <c r="BCJ28" s="609"/>
      <c r="BCK28" s="609"/>
      <c r="BCL28" s="609"/>
      <c r="BCM28" s="609"/>
      <c r="BCN28" s="609"/>
      <c r="BCO28" s="609"/>
      <c r="BCP28" s="609"/>
      <c r="BCQ28" s="609"/>
      <c r="BCR28" s="609"/>
      <c r="BCS28" s="609"/>
      <c r="BCT28" s="609"/>
      <c r="BCU28" s="609"/>
      <c r="BCV28" s="609"/>
      <c r="BCW28" s="609"/>
      <c r="BCX28" s="609"/>
      <c r="BCY28" s="609"/>
      <c r="BCZ28" s="609"/>
      <c r="BDA28" s="609"/>
      <c r="BDB28" s="609"/>
      <c r="BDC28" s="609"/>
      <c r="BDD28" s="609"/>
      <c r="BDE28" s="609"/>
      <c r="BDF28" s="609"/>
      <c r="BDG28" s="609"/>
      <c r="BDH28" s="609"/>
      <c r="BDI28" s="609"/>
      <c r="BDJ28" s="609"/>
      <c r="BDK28" s="609"/>
      <c r="BDL28" s="609"/>
      <c r="BDM28" s="609"/>
      <c r="BDN28" s="609"/>
      <c r="BDO28" s="609"/>
      <c r="BDP28" s="609"/>
      <c r="BDQ28" s="609"/>
      <c r="BDR28" s="609"/>
      <c r="BDS28" s="609"/>
      <c r="BDT28" s="609"/>
      <c r="BDU28" s="609"/>
      <c r="BDV28" s="609"/>
      <c r="BDW28" s="609"/>
      <c r="BDX28" s="609"/>
      <c r="BDY28" s="609"/>
      <c r="BDZ28" s="609"/>
      <c r="BEA28" s="609"/>
      <c r="BEB28" s="609"/>
      <c r="BEC28" s="609"/>
      <c r="BED28" s="609"/>
      <c r="BEE28" s="609"/>
      <c r="BEF28" s="609"/>
      <c r="BEG28" s="609"/>
      <c r="BEH28" s="609"/>
      <c r="BEI28" s="609"/>
      <c r="BEJ28" s="609"/>
      <c r="BEK28" s="609"/>
      <c r="BEL28" s="609"/>
      <c r="BEM28" s="609"/>
      <c r="BEN28" s="609"/>
      <c r="BEO28" s="609"/>
      <c r="BEP28" s="609"/>
      <c r="BEQ28" s="609"/>
      <c r="BER28" s="609"/>
      <c r="BES28" s="609"/>
      <c r="BET28" s="609"/>
      <c r="BEU28" s="609"/>
      <c r="BEV28" s="609"/>
      <c r="BEW28" s="609"/>
      <c r="BEX28" s="609"/>
      <c r="BEY28" s="609"/>
      <c r="BEZ28" s="609"/>
      <c r="BFA28" s="609"/>
      <c r="BFB28" s="609"/>
      <c r="BFC28" s="609"/>
      <c r="BFD28" s="609"/>
      <c r="BFE28" s="609"/>
      <c r="BFF28" s="609"/>
      <c r="BFG28" s="609"/>
      <c r="BFH28" s="609"/>
      <c r="BFI28" s="609"/>
      <c r="BFJ28" s="609"/>
      <c r="BFK28" s="609"/>
      <c r="BFL28" s="609"/>
      <c r="BFM28" s="609"/>
      <c r="BFN28" s="609"/>
      <c r="BFO28" s="609"/>
      <c r="BFP28" s="609"/>
      <c r="BFQ28" s="609"/>
      <c r="BFR28" s="609"/>
      <c r="BFS28" s="609"/>
      <c r="BFT28" s="609"/>
      <c r="BFU28" s="609"/>
      <c r="BFV28" s="609"/>
      <c r="BFW28" s="609"/>
      <c r="BFX28" s="609"/>
      <c r="BFY28" s="609"/>
      <c r="BFZ28" s="609"/>
      <c r="BGA28" s="609"/>
      <c r="BGB28" s="609"/>
      <c r="BGC28" s="609"/>
      <c r="BGD28" s="609"/>
      <c r="BGE28" s="609"/>
      <c r="BGF28" s="609"/>
      <c r="BGG28" s="609"/>
      <c r="BGH28" s="609"/>
      <c r="BGI28" s="609"/>
      <c r="BGJ28" s="609"/>
      <c r="BGK28" s="609"/>
      <c r="BGL28" s="609"/>
      <c r="BGM28" s="609"/>
      <c r="BGN28" s="609"/>
      <c r="BGO28" s="609"/>
      <c r="BGP28" s="609"/>
      <c r="BGQ28" s="609"/>
      <c r="BGR28" s="609"/>
      <c r="BGS28" s="609"/>
      <c r="BGT28" s="609"/>
      <c r="BGU28" s="609"/>
      <c r="BGV28" s="609"/>
      <c r="BGW28" s="609"/>
      <c r="BGX28" s="609"/>
      <c r="BGY28" s="609"/>
      <c r="BGZ28" s="609"/>
      <c r="BHA28" s="609"/>
      <c r="BHB28" s="609"/>
      <c r="BHC28" s="609"/>
      <c r="BHD28" s="609"/>
      <c r="BHE28" s="609"/>
      <c r="BHF28" s="609"/>
      <c r="BHG28" s="609"/>
      <c r="BHH28" s="609"/>
      <c r="BHI28" s="609"/>
      <c r="BHJ28" s="609"/>
      <c r="BHK28" s="609"/>
      <c r="BHL28" s="609"/>
      <c r="BHM28" s="609"/>
      <c r="BHN28" s="609"/>
      <c r="BHO28" s="609"/>
      <c r="BHP28" s="609"/>
      <c r="BHQ28" s="609"/>
      <c r="BHR28" s="609"/>
      <c r="BHS28" s="609"/>
      <c r="BHT28" s="609"/>
      <c r="BHU28" s="609"/>
      <c r="BHV28" s="609"/>
      <c r="BHW28" s="609"/>
      <c r="BHX28" s="609"/>
      <c r="BHY28" s="609"/>
      <c r="BHZ28" s="609"/>
      <c r="BIA28" s="609"/>
      <c r="BIB28" s="609"/>
      <c r="BIC28" s="609"/>
      <c r="BID28" s="609"/>
      <c r="BIE28" s="609"/>
      <c r="BIF28" s="609"/>
      <c r="BIG28" s="609"/>
      <c r="BIH28" s="609"/>
      <c r="BII28" s="609"/>
      <c r="BIJ28" s="609"/>
      <c r="BIK28" s="609"/>
      <c r="BIL28" s="609"/>
      <c r="BIM28" s="609"/>
      <c r="BIN28" s="609"/>
      <c r="BIO28" s="609"/>
      <c r="BIP28" s="609"/>
      <c r="BIQ28" s="609"/>
      <c r="BIR28" s="609"/>
      <c r="BIS28" s="609"/>
      <c r="BIT28" s="609"/>
      <c r="BIU28" s="609"/>
      <c r="BIV28" s="609"/>
      <c r="BIW28" s="609"/>
      <c r="BIX28" s="609"/>
      <c r="BIY28" s="609"/>
      <c r="BIZ28" s="609"/>
      <c r="BJA28" s="609"/>
      <c r="BJB28" s="609"/>
      <c r="BJC28" s="609"/>
      <c r="BJD28" s="609"/>
      <c r="BJE28" s="609"/>
      <c r="BJF28" s="609"/>
      <c r="BJG28" s="609"/>
      <c r="BJH28" s="609"/>
      <c r="BJI28" s="609"/>
      <c r="BJJ28" s="609"/>
      <c r="BJK28" s="609"/>
      <c r="BJL28" s="609"/>
      <c r="BJM28" s="609"/>
      <c r="BJN28" s="609"/>
      <c r="BJO28" s="609"/>
      <c r="BJP28" s="609"/>
      <c r="BJQ28" s="609"/>
      <c r="BJR28" s="609"/>
      <c r="BJS28" s="609"/>
      <c r="BJT28" s="609"/>
      <c r="BJU28" s="609"/>
      <c r="BJV28" s="609"/>
      <c r="BJW28" s="609"/>
      <c r="BJX28" s="609"/>
      <c r="BJY28" s="609"/>
      <c r="BJZ28" s="609"/>
      <c r="BKA28" s="609"/>
      <c r="BKB28" s="609"/>
      <c r="BKC28" s="609"/>
      <c r="BKD28" s="609"/>
      <c r="BKE28" s="609"/>
      <c r="BKF28" s="609"/>
      <c r="BKG28" s="609"/>
      <c r="BKH28" s="609"/>
      <c r="BKI28" s="609"/>
      <c r="BKJ28" s="609"/>
      <c r="BKK28" s="609"/>
      <c r="BKL28" s="609"/>
      <c r="BKM28" s="609"/>
      <c r="BKN28" s="609"/>
      <c r="BKO28" s="609"/>
      <c r="BKP28" s="609"/>
      <c r="BKQ28" s="609"/>
      <c r="BKR28" s="609"/>
      <c r="BKS28" s="609"/>
      <c r="BKT28" s="609"/>
      <c r="BKU28" s="609"/>
      <c r="BKV28" s="609"/>
      <c r="BKW28" s="609"/>
      <c r="BKX28" s="609"/>
      <c r="BKY28" s="609"/>
      <c r="BKZ28" s="609"/>
      <c r="BLA28" s="609"/>
      <c r="BLB28" s="609"/>
      <c r="BLC28" s="609"/>
      <c r="BLD28" s="609"/>
      <c r="BLE28" s="609"/>
      <c r="BLF28" s="609"/>
      <c r="BLG28" s="609"/>
      <c r="BLH28" s="609"/>
      <c r="BLI28" s="609"/>
      <c r="BLJ28" s="609"/>
      <c r="BLK28" s="609"/>
      <c r="BLL28" s="609"/>
      <c r="BLM28" s="609"/>
      <c r="BLN28" s="609"/>
      <c r="BLO28" s="609"/>
      <c r="BLP28" s="609"/>
      <c r="BLQ28" s="609"/>
      <c r="BLR28" s="609"/>
      <c r="BLS28" s="609"/>
      <c r="BLT28" s="609"/>
      <c r="BLU28" s="609"/>
      <c r="BLV28" s="609"/>
      <c r="BLW28" s="609"/>
      <c r="BLX28" s="609"/>
      <c r="BLY28" s="609"/>
      <c r="BLZ28" s="609"/>
      <c r="BMA28" s="609"/>
      <c r="BMB28" s="609"/>
      <c r="BMC28" s="609"/>
      <c r="BMD28" s="609"/>
      <c r="BME28" s="609"/>
      <c r="BMF28" s="609"/>
      <c r="BMG28" s="609"/>
      <c r="BMH28" s="609"/>
      <c r="BMI28" s="609"/>
      <c r="BMJ28" s="609"/>
      <c r="BMK28" s="609"/>
      <c r="BML28" s="609"/>
      <c r="BMM28" s="609"/>
      <c r="BMN28" s="609"/>
      <c r="BMO28" s="609"/>
      <c r="BMP28" s="609"/>
      <c r="BMQ28" s="609"/>
      <c r="BMR28" s="609"/>
      <c r="BMS28" s="609"/>
      <c r="BMT28" s="609"/>
      <c r="BMU28" s="609"/>
      <c r="BMV28" s="609"/>
      <c r="BMW28" s="609"/>
      <c r="BMX28" s="609"/>
      <c r="BMY28" s="609"/>
      <c r="BMZ28" s="609"/>
      <c r="BNA28" s="609"/>
      <c r="BNB28" s="609"/>
      <c r="BNC28" s="609"/>
      <c r="BND28" s="609"/>
      <c r="BNE28" s="609"/>
      <c r="BNF28" s="609"/>
      <c r="BNG28" s="609"/>
      <c r="BNH28" s="609"/>
      <c r="BNI28" s="609"/>
      <c r="BNJ28" s="609"/>
      <c r="BNK28" s="609"/>
      <c r="BNL28" s="609"/>
      <c r="BNM28" s="609"/>
      <c r="BNN28" s="609"/>
      <c r="BNO28" s="609"/>
      <c r="BNP28" s="609"/>
      <c r="BNQ28" s="609"/>
      <c r="BNR28" s="609"/>
      <c r="BNS28" s="609"/>
      <c r="BNT28" s="609"/>
      <c r="BNU28" s="609"/>
      <c r="BNV28" s="609"/>
      <c r="BNW28" s="609"/>
      <c r="BNX28" s="609"/>
      <c r="BNY28" s="609"/>
      <c r="BNZ28" s="609"/>
      <c r="BOA28" s="609"/>
      <c r="BOB28" s="609"/>
      <c r="BOC28" s="609"/>
      <c r="BOD28" s="609"/>
      <c r="BOE28" s="609"/>
      <c r="BOF28" s="609"/>
      <c r="BOG28" s="609"/>
      <c r="BOH28" s="609"/>
      <c r="BOI28" s="609"/>
      <c r="BOJ28" s="609"/>
      <c r="BOK28" s="609"/>
      <c r="BOL28" s="609"/>
      <c r="BOM28" s="609"/>
      <c r="BON28" s="609"/>
      <c r="BOO28" s="609"/>
      <c r="BOP28" s="609"/>
      <c r="BOQ28" s="609"/>
      <c r="BOR28" s="609"/>
      <c r="BOS28" s="609"/>
      <c r="BOT28" s="609"/>
      <c r="BOU28" s="609"/>
      <c r="BOV28" s="609"/>
      <c r="BOW28" s="609"/>
      <c r="BOX28" s="609"/>
      <c r="BOY28" s="609"/>
      <c r="BOZ28" s="609"/>
      <c r="BPA28" s="609"/>
      <c r="BPB28" s="609"/>
      <c r="BPC28" s="609"/>
      <c r="BPD28" s="609"/>
      <c r="BPE28" s="609"/>
      <c r="BPF28" s="609"/>
      <c r="BPG28" s="609"/>
      <c r="BPH28" s="609"/>
      <c r="BPI28" s="609"/>
      <c r="BPJ28" s="609"/>
      <c r="BPK28" s="609"/>
      <c r="BPL28" s="609"/>
      <c r="BPM28" s="609"/>
      <c r="BPN28" s="609"/>
      <c r="BPO28" s="609"/>
      <c r="BPP28" s="609"/>
      <c r="BPQ28" s="609"/>
      <c r="BPR28" s="609"/>
      <c r="BPS28" s="609"/>
      <c r="BPT28" s="609"/>
      <c r="BPU28" s="609"/>
      <c r="BPV28" s="609"/>
      <c r="BPW28" s="609"/>
      <c r="BPX28" s="609"/>
      <c r="BPY28" s="609"/>
      <c r="BPZ28" s="609"/>
      <c r="BQA28" s="609"/>
      <c r="BQB28" s="609"/>
      <c r="BQC28" s="609"/>
      <c r="BQD28" s="609"/>
      <c r="BQE28" s="609"/>
      <c r="BQF28" s="609"/>
      <c r="BQG28" s="609"/>
      <c r="BQH28" s="609"/>
      <c r="BQI28" s="609"/>
      <c r="BQJ28" s="609"/>
      <c r="BQK28" s="609"/>
      <c r="BQL28" s="609"/>
      <c r="BQM28" s="609"/>
      <c r="BQN28" s="609"/>
      <c r="BQO28" s="609"/>
      <c r="BQP28" s="609"/>
      <c r="BQQ28" s="609"/>
      <c r="BQR28" s="609"/>
      <c r="BQS28" s="609"/>
      <c r="BQT28" s="609"/>
      <c r="BQU28" s="609"/>
      <c r="BQV28" s="609"/>
      <c r="BQW28" s="609"/>
      <c r="BQX28" s="609"/>
      <c r="BQY28" s="609"/>
      <c r="BQZ28" s="609"/>
      <c r="BRA28" s="609"/>
      <c r="BRB28" s="609"/>
      <c r="BRC28" s="609"/>
      <c r="BRD28" s="609"/>
      <c r="BRE28" s="609"/>
      <c r="BRF28" s="609"/>
      <c r="BRG28" s="609"/>
      <c r="BRH28" s="609"/>
      <c r="BRI28" s="609"/>
      <c r="BRJ28" s="609"/>
      <c r="BRK28" s="609"/>
      <c r="BRL28" s="609"/>
      <c r="BRM28" s="609"/>
      <c r="BRN28" s="609"/>
      <c r="BRO28" s="609"/>
      <c r="BRP28" s="609"/>
      <c r="BRQ28" s="609"/>
      <c r="BRR28" s="609"/>
      <c r="BRS28" s="609"/>
      <c r="BRT28" s="609"/>
      <c r="BRU28" s="609"/>
      <c r="BRV28" s="609"/>
      <c r="BRW28" s="609"/>
      <c r="BRX28" s="609"/>
      <c r="BRY28" s="609"/>
      <c r="BRZ28" s="609"/>
      <c r="BSA28" s="609"/>
      <c r="BSB28" s="609"/>
      <c r="BSC28" s="609"/>
      <c r="BSD28" s="609"/>
      <c r="BSE28" s="609"/>
      <c r="BSF28" s="609"/>
      <c r="BSG28" s="609"/>
      <c r="BSH28" s="609"/>
      <c r="BSI28" s="609"/>
      <c r="BSJ28" s="609"/>
      <c r="BSK28" s="609"/>
      <c r="BSL28" s="609"/>
      <c r="BSM28" s="609"/>
      <c r="BSN28" s="609"/>
      <c r="BSO28" s="609"/>
      <c r="BSP28" s="609"/>
      <c r="BSQ28" s="609"/>
      <c r="BSR28" s="609"/>
      <c r="BSS28" s="609"/>
      <c r="BST28" s="609"/>
      <c r="BSU28" s="609"/>
      <c r="BSV28" s="609"/>
      <c r="BSW28" s="609"/>
      <c r="BSX28" s="609"/>
      <c r="BSY28" s="609"/>
      <c r="BSZ28" s="609"/>
      <c r="BTA28" s="609"/>
      <c r="BTB28" s="609"/>
      <c r="BTC28" s="609"/>
      <c r="BTD28" s="609"/>
      <c r="BTE28" s="609"/>
      <c r="BTF28" s="609"/>
      <c r="BTG28" s="609"/>
      <c r="BTH28" s="609"/>
      <c r="BTI28" s="609"/>
      <c r="BTJ28" s="609"/>
      <c r="BTK28" s="609"/>
      <c r="BTL28" s="609"/>
      <c r="BTM28" s="609"/>
      <c r="BTN28" s="609"/>
      <c r="BTO28" s="609"/>
      <c r="BTP28" s="609"/>
      <c r="BTQ28" s="609"/>
      <c r="BTR28" s="609"/>
      <c r="BTS28" s="609"/>
      <c r="BTT28" s="609"/>
      <c r="BTU28" s="609"/>
      <c r="BTV28" s="609"/>
      <c r="BTW28" s="609"/>
      <c r="BTX28" s="609"/>
      <c r="BTY28" s="609"/>
      <c r="BTZ28" s="609"/>
      <c r="BUA28" s="609"/>
      <c r="BUB28" s="609"/>
      <c r="BUC28" s="609"/>
      <c r="BUD28" s="609"/>
      <c r="BUE28" s="609"/>
      <c r="BUF28" s="609"/>
      <c r="BUG28" s="609"/>
      <c r="BUH28" s="609"/>
      <c r="BUI28" s="609"/>
      <c r="BUJ28" s="609"/>
      <c r="BUK28" s="609"/>
      <c r="BUL28" s="609"/>
      <c r="BUM28" s="609"/>
      <c r="BUN28" s="609"/>
      <c r="BUO28" s="609"/>
      <c r="BUP28" s="609"/>
      <c r="BUQ28" s="609"/>
      <c r="BUR28" s="609"/>
      <c r="BUS28" s="609"/>
      <c r="BUT28" s="609"/>
      <c r="BUU28" s="609"/>
      <c r="BUV28" s="609"/>
      <c r="BUW28" s="609"/>
      <c r="BUX28" s="609"/>
      <c r="BUY28" s="609"/>
      <c r="BUZ28" s="609"/>
      <c r="BVA28" s="609"/>
      <c r="BVB28" s="609"/>
      <c r="BVC28" s="609"/>
      <c r="BVD28" s="609"/>
      <c r="BVE28" s="609"/>
      <c r="BVF28" s="609"/>
      <c r="BVG28" s="609"/>
      <c r="BVH28" s="609"/>
      <c r="BVI28" s="609"/>
      <c r="BVJ28" s="609"/>
      <c r="BVK28" s="609"/>
      <c r="BVL28" s="609"/>
      <c r="BVM28" s="609"/>
      <c r="BVN28" s="609"/>
      <c r="BVO28" s="609"/>
      <c r="BVP28" s="609"/>
      <c r="BVQ28" s="609"/>
      <c r="BVR28" s="609"/>
      <c r="BVS28" s="609"/>
      <c r="BVT28" s="609"/>
      <c r="BVU28" s="609"/>
      <c r="BVV28" s="609"/>
      <c r="BVW28" s="609"/>
      <c r="BVX28" s="609"/>
      <c r="BVY28" s="609"/>
      <c r="BVZ28" s="609"/>
      <c r="BWA28" s="609"/>
      <c r="BWB28" s="609"/>
      <c r="BWC28" s="609"/>
      <c r="BWD28" s="609"/>
      <c r="BWE28" s="609"/>
      <c r="BWF28" s="609"/>
      <c r="BWG28" s="609"/>
      <c r="BWH28" s="609"/>
      <c r="BWI28" s="609"/>
      <c r="BWJ28" s="609"/>
      <c r="BWK28" s="609"/>
      <c r="BWL28" s="609"/>
      <c r="BWM28" s="609"/>
      <c r="BWN28" s="609"/>
      <c r="BWO28" s="609"/>
      <c r="BWP28" s="609"/>
      <c r="BWQ28" s="609"/>
      <c r="BWR28" s="609"/>
      <c r="BWS28" s="609"/>
      <c r="BWT28" s="609"/>
      <c r="BWU28" s="609"/>
      <c r="BWV28" s="609"/>
      <c r="BWW28" s="609"/>
      <c r="BWX28" s="609"/>
      <c r="BWY28" s="609"/>
      <c r="BWZ28" s="609"/>
      <c r="BXA28" s="609"/>
      <c r="BXB28" s="609"/>
      <c r="BXC28" s="609"/>
      <c r="BXD28" s="609"/>
      <c r="BXE28" s="609"/>
      <c r="BXF28" s="609"/>
      <c r="BXG28" s="609"/>
      <c r="BXH28" s="609"/>
      <c r="BXI28" s="609"/>
      <c r="BXJ28" s="609"/>
      <c r="BXK28" s="609"/>
      <c r="BXL28" s="609"/>
      <c r="BXM28" s="609"/>
      <c r="BXN28" s="609"/>
      <c r="BXO28" s="609"/>
      <c r="BXP28" s="609"/>
      <c r="BXQ28" s="609"/>
      <c r="BXR28" s="609"/>
      <c r="BXS28" s="609"/>
      <c r="BXT28" s="609"/>
      <c r="BXU28" s="609"/>
      <c r="BXV28" s="609"/>
      <c r="BXW28" s="609"/>
      <c r="BXX28" s="609"/>
      <c r="BXY28" s="609"/>
      <c r="BXZ28" s="609"/>
      <c r="BYA28" s="609"/>
      <c r="BYB28" s="609"/>
      <c r="BYC28" s="609"/>
      <c r="BYD28" s="609"/>
      <c r="BYE28" s="609"/>
      <c r="BYF28" s="609"/>
      <c r="BYG28" s="609"/>
      <c r="BYH28" s="609"/>
      <c r="BYI28" s="609"/>
      <c r="BYJ28" s="609"/>
      <c r="BYK28" s="609"/>
      <c r="BYL28" s="609"/>
      <c r="BYM28" s="609"/>
      <c r="BYN28" s="609"/>
      <c r="BYO28" s="609"/>
      <c r="BYP28" s="609"/>
      <c r="BYQ28" s="609"/>
      <c r="BYR28" s="609"/>
      <c r="BYS28" s="609"/>
      <c r="BYT28" s="609"/>
      <c r="BYU28" s="609"/>
      <c r="BYV28" s="609"/>
      <c r="BYW28" s="609"/>
      <c r="BYX28" s="609"/>
      <c r="BYY28" s="609"/>
      <c r="BYZ28" s="609"/>
      <c r="BZA28" s="609"/>
      <c r="BZB28" s="609"/>
      <c r="BZC28" s="609"/>
      <c r="BZD28" s="609"/>
      <c r="BZE28" s="609"/>
      <c r="BZF28" s="609"/>
      <c r="BZG28" s="609"/>
      <c r="BZH28" s="609"/>
      <c r="BZI28" s="609"/>
      <c r="BZJ28" s="609"/>
      <c r="BZK28" s="609"/>
      <c r="BZL28" s="609"/>
      <c r="BZM28" s="609"/>
      <c r="BZN28" s="609"/>
      <c r="BZO28" s="609"/>
      <c r="BZP28" s="609"/>
      <c r="BZQ28" s="609"/>
      <c r="BZR28" s="609"/>
      <c r="BZS28" s="609"/>
      <c r="BZT28" s="609"/>
      <c r="BZU28" s="609"/>
      <c r="BZV28" s="609"/>
      <c r="BZW28" s="609"/>
      <c r="BZX28" s="609"/>
      <c r="BZY28" s="609"/>
      <c r="BZZ28" s="609"/>
      <c r="CAA28" s="609"/>
      <c r="CAB28" s="609"/>
      <c r="CAC28" s="609"/>
      <c r="CAD28" s="609"/>
      <c r="CAE28" s="609"/>
      <c r="CAF28" s="609"/>
      <c r="CAG28" s="609"/>
      <c r="CAH28" s="609"/>
      <c r="CAI28" s="609"/>
      <c r="CAJ28" s="609"/>
      <c r="CAK28" s="609"/>
      <c r="CAL28" s="609"/>
      <c r="CAM28" s="609"/>
      <c r="CAN28" s="609"/>
      <c r="CAO28" s="609"/>
      <c r="CAP28" s="609"/>
      <c r="CAQ28" s="609"/>
      <c r="CAR28" s="609"/>
      <c r="CAS28" s="609"/>
      <c r="CAT28" s="609"/>
      <c r="CAU28" s="609"/>
      <c r="CAV28" s="609"/>
      <c r="CAW28" s="609"/>
      <c r="CAX28" s="609"/>
      <c r="CAY28" s="609"/>
      <c r="CAZ28" s="609"/>
      <c r="CBA28" s="609"/>
      <c r="CBB28" s="609"/>
      <c r="CBC28" s="609"/>
      <c r="CBD28" s="609"/>
      <c r="CBE28" s="609"/>
      <c r="CBF28" s="609"/>
      <c r="CBG28" s="609"/>
      <c r="CBH28" s="609"/>
      <c r="CBI28" s="609"/>
      <c r="CBJ28" s="609"/>
      <c r="CBK28" s="609"/>
      <c r="CBL28" s="609"/>
      <c r="CBM28" s="609"/>
      <c r="CBN28" s="609"/>
      <c r="CBO28" s="609"/>
      <c r="CBP28" s="609"/>
      <c r="CBQ28" s="609"/>
      <c r="CBR28" s="609"/>
      <c r="CBS28" s="609"/>
      <c r="CBT28" s="609"/>
      <c r="CBU28" s="609"/>
      <c r="CBV28" s="609"/>
      <c r="CBW28" s="609"/>
      <c r="CBX28" s="609"/>
      <c r="CBY28" s="609"/>
      <c r="CBZ28" s="609"/>
      <c r="CCA28" s="609"/>
      <c r="CCB28" s="609"/>
      <c r="CCC28" s="609"/>
      <c r="CCD28" s="609"/>
      <c r="CCE28" s="609"/>
      <c r="CCF28" s="609"/>
      <c r="CCG28" s="609"/>
      <c r="CCH28" s="609"/>
      <c r="CCI28" s="609"/>
      <c r="CCJ28" s="609"/>
      <c r="CCK28" s="609"/>
      <c r="CCL28" s="609"/>
      <c r="CCM28" s="609"/>
      <c r="CCN28" s="609"/>
      <c r="CCO28" s="609"/>
      <c r="CCP28" s="609"/>
      <c r="CCQ28" s="609"/>
      <c r="CCR28" s="609"/>
      <c r="CCS28" s="609"/>
      <c r="CCT28" s="609"/>
      <c r="CCU28" s="609"/>
      <c r="CCV28" s="609"/>
      <c r="CCW28" s="609"/>
      <c r="CCX28" s="609"/>
      <c r="CCY28" s="609"/>
      <c r="CCZ28" s="609"/>
      <c r="CDA28" s="609"/>
      <c r="CDB28" s="609"/>
      <c r="CDC28" s="609"/>
      <c r="CDD28" s="609"/>
      <c r="CDE28" s="609"/>
      <c r="CDF28" s="609"/>
      <c r="CDG28" s="609"/>
      <c r="CDH28" s="609"/>
      <c r="CDI28" s="609"/>
      <c r="CDJ28" s="609"/>
      <c r="CDK28" s="609"/>
      <c r="CDL28" s="609"/>
      <c r="CDM28" s="609"/>
      <c r="CDN28" s="609"/>
      <c r="CDO28" s="609"/>
      <c r="CDP28" s="609"/>
      <c r="CDQ28" s="609"/>
      <c r="CDR28" s="609"/>
      <c r="CDS28" s="609"/>
      <c r="CDT28" s="609"/>
      <c r="CDU28" s="609"/>
      <c r="CDV28" s="609"/>
      <c r="CDW28" s="609"/>
      <c r="CDX28" s="609"/>
      <c r="CDY28" s="609"/>
      <c r="CDZ28" s="609"/>
      <c r="CEA28" s="609"/>
      <c r="CEB28" s="609"/>
      <c r="CEC28" s="609"/>
      <c r="CED28" s="609"/>
      <c r="CEE28" s="609"/>
      <c r="CEF28" s="609"/>
      <c r="CEG28" s="609"/>
      <c r="CEH28" s="609"/>
      <c r="CEI28" s="609"/>
      <c r="CEJ28" s="609"/>
      <c r="CEK28" s="609"/>
      <c r="CEL28" s="609"/>
      <c r="CEM28" s="609"/>
      <c r="CEN28" s="609"/>
      <c r="CEO28" s="609"/>
      <c r="CEP28" s="609"/>
      <c r="CEQ28" s="609"/>
      <c r="CER28" s="609"/>
      <c r="CES28" s="609"/>
      <c r="CET28" s="609"/>
      <c r="CEU28" s="609"/>
      <c r="CEV28" s="609"/>
      <c r="CEW28" s="609"/>
      <c r="CEX28" s="609"/>
      <c r="CEY28" s="609"/>
      <c r="CEZ28" s="609"/>
      <c r="CFA28" s="609"/>
      <c r="CFB28" s="609"/>
      <c r="CFC28" s="609"/>
      <c r="CFD28" s="609"/>
      <c r="CFE28" s="609"/>
      <c r="CFF28" s="609"/>
      <c r="CFG28" s="609"/>
      <c r="CFH28" s="609"/>
      <c r="CFI28" s="609"/>
      <c r="CFJ28" s="609"/>
      <c r="CFK28" s="609"/>
      <c r="CFL28" s="609"/>
      <c r="CFM28" s="609"/>
      <c r="CFN28" s="609"/>
      <c r="CFO28" s="609"/>
      <c r="CFP28" s="609"/>
      <c r="CFQ28" s="609"/>
      <c r="CFR28" s="609"/>
      <c r="CFS28" s="609"/>
      <c r="CFT28" s="609"/>
      <c r="CFU28" s="609"/>
      <c r="CFV28" s="609"/>
      <c r="CFW28" s="609"/>
      <c r="CFX28" s="609"/>
      <c r="CFY28" s="609"/>
      <c r="CFZ28" s="609"/>
      <c r="CGA28" s="609"/>
      <c r="CGB28" s="609"/>
      <c r="CGC28" s="609"/>
      <c r="CGD28" s="609"/>
      <c r="CGE28" s="609"/>
      <c r="CGF28" s="609"/>
      <c r="CGG28" s="609"/>
      <c r="CGH28" s="609"/>
      <c r="CGI28" s="609"/>
      <c r="CGJ28" s="609"/>
      <c r="CGK28" s="609"/>
      <c r="CGL28" s="609"/>
      <c r="CGM28" s="609"/>
      <c r="CGN28" s="609"/>
      <c r="CGO28" s="609"/>
      <c r="CGP28" s="609"/>
      <c r="CGQ28" s="609"/>
      <c r="CGR28" s="609"/>
      <c r="CGS28" s="609"/>
      <c r="CGT28" s="609"/>
      <c r="CGU28" s="609"/>
      <c r="CGV28" s="609"/>
      <c r="CGW28" s="609"/>
      <c r="CGX28" s="609"/>
      <c r="CGY28" s="609"/>
      <c r="CGZ28" s="609"/>
      <c r="CHA28" s="609"/>
      <c r="CHB28" s="609"/>
      <c r="CHC28" s="609"/>
      <c r="CHD28" s="609"/>
      <c r="CHE28" s="609"/>
      <c r="CHF28" s="609"/>
      <c r="CHG28" s="609"/>
      <c r="CHH28" s="609"/>
      <c r="CHI28" s="609"/>
      <c r="CHJ28" s="609"/>
      <c r="CHK28" s="609"/>
      <c r="CHL28" s="609"/>
      <c r="CHM28" s="609"/>
      <c r="CHN28" s="609"/>
      <c r="CHO28" s="609"/>
      <c r="CHP28" s="609"/>
      <c r="CHQ28" s="609"/>
      <c r="CHR28" s="609"/>
      <c r="CHS28" s="609"/>
      <c r="CHT28" s="609"/>
      <c r="CHU28" s="609"/>
      <c r="CHV28" s="609"/>
      <c r="CHW28" s="609"/>
      <c r="CHX28" s="609"/>
      <c r="CHY28" s="609"/>
      <c r="CHZ28" s="609"/>
      <c r="CIA28" s="609"/>
      <c r="CIB28" s="609"/>
      <c r="CIC28" s="609"/>
      <c r="CID28" s="609"/>
      <c r="CIE28" s="609"/>
      <c r="CIF28" s="609"/>
      <c r="CIG28" s="609"/>
      <c r="CIH28" s="609"/>
      <c r="CII28" s="609"/>
      <c r="CIJ28" s="609"/>
      <c r="CIK28" s="609"/>
      <c r="CIL28" s="609"/>
      <c r="CIM28" s="609"/>
      <c r="CIN28" s="609"/>
      <c r="CIO28" s="609"/>
      <c r="CIP28" s="609"/>
      <c r="CIQ28" s="609"/>
      <c r="CIR28" s="609"/>
      <c r="CIS28" s="609"/>
      <c r="CIT28" s="609"/>
      <c r="CIU28" s="609"/>
      <c r="CIV28" s="609"/>
      <c r="CIW28" s="609"/>
      <c r="CIX28" s="609"/>
      <c r="CIY28" s="609"/>
      <c r="CIZ28" s="609"/>
      <c r="CJA28" s="609"/>
      <c r="CJB28" s="609"/>
      <c r="CJC28" s="609"/>
      <c r="CJD28" s="609"/>
      <c r="CJE28" s="609"/>
      <c r="CJF28" s="609"/>
      <c r="CJG28" s="609"/>
      <c r="CJH28" s="609"/>
      <c r="CJI28" s="609"/>
      <c r="CJJ28" s="609"/>
      <c r="CJK28" s="609"/>
      <c r="CJL28" s="609"/>
      <c r="CJM28" s="609"/>
      <c r="CJN28" s="609"/>
      <c r="CJO28" s="609"/>
      <c r="CJP28" s="609"/>
      <c r="CJQ28" s="609"/>
      <c r="CJR28" s="609"/>
      <c r="CJS28" s="609"/>
      <c r="CJT28" s="609"/>
      <c r="CJU28" s="609"/>
      <c r="CJV28" s="609"/>
      <c r="CJW28" s="609"/>
      <c r="CJX28" s="609"/>
      <c r="CJY28" s="609"/>
      <c r="CJZ28" s="609"/>
      <c r="CKA28" s="609"/>
      <c r="CKB28" s="609"/>
      <c r="CKC28" s="609"/>
      <c r="CKD28" s="609"/>
      <c r="CKE28" s="609"/>
      <c r="CKF28" s="609"/>
      <c r="CKG28" s="609"/>
      <c r="CKH28" s="609"/>
      <c r="CKI28" s="609"/>
      <c r="CKJ28" s="609"/>
      <c r="CKK28" s="609"/>
      <c r="CKL28" s="609"/>
      <c r="CKM28" s="609"/>
      <c r="CKN28" s="609"/>
      <c r="CKO28" s="609"/>
      <c r="CKP28" s="609"/>
      <c r="CKQ28" s="609"/>
      <c r="CKR28" s="609"/>
      <c r="CKS28" s="609"/>
      <c r="CKT28" s="609"/>
      <c r="CKU28" s="609"/>
      <c r="CKV28" s="609"/>
      <c r="CKW28" s="609"/>
      <c r="CKX28" s="609"/>
      <c r="CKY28" s="609"/>
      <c r="CKZ28" s="609"/>
      <c r="CLA28" s="609"/>
      <c r="CLB28" s="609"/>
      <c r="CLC28" s="609"/>
      <c r="CLD28" s="609"/>
      <c r="CLE28" s="609"/>
      <c r="CLF28" s="609"/>
      <c r="CLG28" s="609"/>
      <c r="CLH28" s="609"/>
      <c r="CLI28" s="609"/>
      <c r="CLJ28" s="609"/>
      <c r="CLK28" s="609"/>
      <c r="CLL28" s="609"/>
      <c r="CLM28" s="609"/>
      <c r="CLN28" s="609"/>
      <c r="CLO28" s="609"/>
      <c r="CLP28" s="609"/>
      <c r="CLQ28" s="609"/>
      <c r="CLR28" s="609"/>
      <c r="CLS28" s="609"/>
      <c r="CLT28" s="609"/>
      <c r="CLU28" s="609"/>
      <c r="CLV28" s="609"/>
      <c r="CLW28" s="609"/>
      <c r="CLX28" s="609"/>
      <c r="CLY28" s="609"/>
      <c r="CLZ28" s="609"/>
      <c r="CMA28" s="609"/>
      <c r="CMB28" s="609"/>
      <c r="CMC28" s="609"/>
      <c r="CMD28" s="609"/>
      <c r="CME28" s="609"/>
      <c r="CMF28" s="609"/>
      <c r="CMG28" s="609"/>
      <c r="CMH28" s="609"/>
      <c r="CMI28" s="609"/>
      <c r="CMJ28" s="609"/>
      <c r="CMK28" s="609"/>
      <c r="CML28" s="609"/>
      <c r="CMM28" s="609"/>
      <c r="CMN28" s="609"/>
      <c r="CMO28" s="609"/>
      <c r="CMP28" s="609"/>
      <c r="CMQ28" s="609"/>
      <c r="CMR28" s="609"/>
      <c r="CMS28" s="609"/>
      <c r="CMT28" s="609"/>
      <c r="CMU28" s="609"/>
      <c r="CMV28" s="609"/>
      <c r="CMW28" s="609"/>
      <c r="CMX28" s="609"/>
      <c r="CMY28" s="609"/>
      <c r="CMZ28" s="609"/>
      <c r="CNA28" s="609"/>
      <c r="CNB28" s="609"/>
      <c r="CNC28" s="609"/>
      <c r="CND28" s="609"/>
      <c r="CNE28" s="609"/>
      <c r="CNF28" s="609"/>
      <c r="CNG28" s="609"/>
      <c r="CNH28" s="609"/>
      <c r="CNI28" s="609"/>
      <c r="CNJ28" s="609"/>
      <c r="CNK28" s="609"/>
      <c r="CNL28" s="609"/>
      <c r="CNM28" s="609"/>
      <c r="CNN28" s="609"/>
      <c r="CNO28" s="609"/>
      <c r="CNP28" s="609"/>
      <c r="CNQ28" s="609"/>
      <c r="CNR28" s="609"/>
      <c r="CNS28" s="609"/>
      <c r="CNT28" s="609"/>
      <c r="CNU28" s="609"/>
      <c r="CNV28" s="609"/>
      <c r="CNW28" s="609"/>
      <c r="CNX28" s="609"/>
      <c r="CNY28" s="609"/>
      <c r="CNZ28" s="609"/>
      <c r="COA28" s="609"/>
      <c r="COB28" s="609"/>
      <c r="COC28" s="609"/>
      <c r="COD28" s="609"/>
      <c r="COE28" s="609"/>
      <c r="COF28" s="609"/>
      <c r="COG28" s="609"/>
      <c r="COH28" s="609"/>
      <c r="COI28" s="609"/>
      <c r="COJ28" s="609"/>
      <c r="COK28" s="609"/>
      <c r="COL28" s="609"/>
      <c r="COM28" s="609"/>
      <c r="CON28" s="609"/>
      <c r="COO28" s="609"/>
      <c r="COP28" s="609"/>
      <c r="COQ28" s="609"/>
      <c r="COR28" s="609"/>
      <c r="COS28" s="609"/>
      <c r="COT28" s="609"/>
      <c r="COU28" s="609"/>
      <c r="COV28" s="609"/>
      <c r="COW28" s="609"/>
      <c r="COX28" s="609"/>
      <c r="COY28" s="609"/>
      <c r="COZ28" s="609"/>
      <c r="CPA28" s="609"/>
      <c r="CPB28" s="609"/>
      <c r="CPC28" s="609"/>
      <c r="CPD28" s="609"/>
      <c r="CPE28" s="609"/>
      <c r="CPF28" s="609"/>
      <c r="CPG28" s="609"/>
      <c r="CPH28" s="609"/>
      <c r="CPI28" s="609"/>
      <c r="CPJ28" s="609"/>
      <c r="CPK28" s="609"/>
      <c r="CPL28" s="609"/>
      <c r="CPM28" s="609"/>
      <c r="CPN28" s="609"/>
      <c r="CPO28" s="609"/>
      <c r="CPP28" s="609"/>
      <c r="CPQ28" s="609"/>
      <c r="CPR28" s="609"/>
      <c r="CPS28" s="609"/>
      <c r="CPT28" s="609"/>
      <c r="CPU28" s="609"/>
      <c r="CPV28" s="609"/>
      <c r="CPW28" s="609"/>
      <c r="CPX28" s="609"/>
      <c r="CPY28" s="609"/>
      <c r="CPZ28" s="609"/>
      <c r="CQA28" s="609"/>
      <c r="CQB28" s="609"/>
      <c r="CQC28" s="609"/>
      <c r="CQD28" s="609"/>
      <c r="CQE28" s="609"/>
      <c r="CQF28" s="609"/>
      <c r="CQG28" s="609"/>
      <c r="CQH28" s="609"/>
      <c r="CQI28" s="609"/>
      <c r="CQJ28" s="609"/>
      <c r="CQK28" s="609"/>
      <c r="CQL28" s="609"/>
      <c r="CQM28" s="609"/>
      <c r="CQN28" s="609"/>
      <c r="CQO28" s="609"/>
      <c r="CQP28" s="609"/>
      <c r="CQQ28" s="609"/>
      <c r="CQR28" s="609"/>
      <c r="CQS28" s="609"/>
      <c r="CQT28" s="609"/>
      <c r="CQU28" s="609"/>
      <c r="CQV28" s="609"/>
      <c r="CQW28" s="609"/>
      <c r="CQX28" s="609"/>
      <c r="CQY28" s="609"/>
      <c r="CQZ28" s="609"/>
      <c r="CRA28" s="609"/>
      <c r="CRB28" s="609"/>
      <c r="CRC28" s="609"/>
      <c r="CRD28" s="609"/>
      <c r="CRE28" s="609"/>
      <c r="CRF28" s="609"/>
      <c r="CRG28" s="609"/>
      <c r="CRH28" s="609"/>
      <c r="CRI28" s="609"/>
      <c r="CRJ28" s="609"/>
      <c r="CRK28" s="609"/>
      <c r="CRL28" s="609"/>
      <c r="CRM28" s="609"/>
      <c r="CRN28" s="609"/>
      <c r="CRO28" s="609"/>
      <c r="CRP28" s="609"/>
      <c r="CRQ28" s="609"/>
      <c r="CRR28" s="609"/>
      <c r="CRS28" s="609"/>
      <c r="CRT28" s="609"/>
      <c r="CRU28" s="609"/>
      <c r="CRV28" s="609"/>
      <c r="CRW28" s="609"/>
      <c r="CRX28" s="609"/>
      <c r="CRY28" s="609"/>
      <c r="CRZ28" s="609"/>
      <c r="CSA28" s="609"/>
      <c r="CSB28" s="609"/>
      <c r="CSC28" s="609"/>
      <c r="CSD28" s="609"/>
      <c r="CSE28" s="609"/>
      <c r="CSF28" s="609"/>
      <c r="CSG28" s="609"/>
      <c r="CSH28" s="609"/>
      <c r="CSI28" s="609"/>
      <c r="CSJ28" s="609"/>
      <c r="CSK28" s="609"/>
      <c r="CSL28" s="609"/>
      <c r="CSM28" s="609"/>
      <c r="CSN28" s="609"/>
      <c r="CSO28" s="609"/>
      <c r="CSP28" s="609"/>
      <c r="CSQ28" s="609"/>
      <c r="CSR28" s="609"/>
      <c r="CSS28" s="609"/>
      <c r="CST28" s="609"/>
      <c r="CSU28" s="609"/>
      <c r="CSV28" s="609"/>
      <c r="CSW28" s="609"/>
      <c r="CSX28" s="609"/>
      <c r="CSY28" s="609"/>
      <c r="CSZ28" s="609"/>
      <c r="CTA28" s="609"/>
      <c r="CTB28" s="609"/>
      <c r="CTC28" s="609"/>
      <c r="CTD28" s="609"/>
      <c r="CTE28" s="609"/>
      <c r="CTF28" s="609"/>
      <c r="CTG28" s="609"/>
      <c r="CTH28" s="609"/>
      <c r="CTI28" s="609"/>
      <c r="CTJ28" s="609"/>
      <c r="CTK28" s="609"/>
      <c r="CTL28" s="609"/>
      <c r="CTM28" s="609"/>
      <c r="CTN28" s="609"/>
      <c r="CTO28" s="609"/>
      <c r="CTP28" s="609"/>
      <c r="CTQ28" s="609"/>
      <c r="CTR28" s="609"/>
      <c r="CTS28" s="609"/>
      <c r="CTT28" s="609"/>
      <c r="CTU28" s="609"/>
      <c r="CTV28" s="609"/>
      <c r="CTW28" s="609"/>
      <c r="CTX28" s="609"/>
      <c r="CTY28" s="609"/>
      <c r="CTZ28" s="609"/>
      <c r="CUA28" s="609"/>
      <c r="CUB28" s="609"/>
      <c r="CUC28" s="609"/>
      <c r="CUD28" s="609"/>
      <c r="CUE28" s="609"/>
      <c r="CUF28" s="609"/>
      <c r="CUG28" s="609"/>
      <c r="CUH28" s="609"/>
      <c r="CUI28" s="609"/>
      <c r="CUJ28" s="609"/>
      <c r="CUK28" s="609"/>
      <c r="CUL28" s="609"/>
      <c r="CUM28" s="609"/>
      <c r="CUN28" s="609"/>
      <c r="CUO28" s="609"/>
      <c r="CUP28" s="609"/>
      <c r="CUQ28" s="609"/>
      <c r="CUR28" s="609"/>
      <c r="CUS28" s="609"/>
      <c r="CUT28" s="609"/>
      <c r="CUU28" s="609"/>
      <c r="CUV28" s="609"/>
      <c r="CUW28" s="609"/>
      <c r="CUX28" s="609"/>
      <c r="CUY28" s="609"/>
      <c r="CUZ28" s="609"/>
      <c r="CVA28" s="609"/>
      <c r="CVB28" s="609"/>
      <c r="CVC28" s="609"/>
      <c r="CVD28" s="609"/>
      <c r="CVE28" s="609"/>
      <c r="CVF28" s="609"/>
      <c r="CVG28" s="609"/>
      <c r="CVH28" s="609"/>
      <c r="CVI28" s="609"/>
      <c r="CVJ28" s="609"/>
      <c r="CVK28" s="609"/>
      <c r="CVL28" s="609"/>
      <c r="CVM28" s="609"/>
      <c r="CVN28" s="609"/>
      <c r="CVO28" s="609"/>
      <c r="CVP28" s="609"/>
      <c r="CVQ28" s="609"/>
      <c r="CVR28" s="609"/>
      <c r="CVS28" s="609"/>
      <c r="CVT28" s="609"/>
      <c r="CVU28" s="609"/>
      <c r="CVV28" s="609"/>
      <c r="CVW28" s="609"/>
      <c r="CVX28" s="609"/>
      <c r="CVY28" s="609"/>
      <c r="CVZ28" s="609"/>
      <c r="CWA28" s="609"/>
      <c r="CWB28" s="609"/>
      <c r="CWC28" s="609"/>
      <c r="CWD28" s="609"/>
      <c r="CWE28" s="609"/>
      <c r="CWF28" s="609"/>
      <c r="CWG28" s="609"/>
      <c r="CWH28" s="609"/>
      <c r="CWI28" s="609"/>
      <c r="CWJ28" s="609"/>
      <c r="CWK28" s="609"/>
      <c r="CWL28" s="609"/>
      <c r="CWM28" s="609"/>
      <c r="CWN28" s="609"/>
      <c r="CWO28" s="609"/>
      <c r="CWP28" s="609"/>
      <c r="CWQ28" s="609"/>
      <c r="CWR28" s="609"/>
      <c r="CWS28" s="609"/>
      <c r="CWT28" s="609"/>
      <c r="CWU28" s="609"/>
      <c r="CWV28" s="609"/>
      <c r="CWW28" s="609"/>
      <c r="CWX28" s="609"/>
      <c r="CWY28" s="609"/>
      <c r="CWZ28" s="609"/>
      <c r="CXA28" s="609"/>
      <c r="CXB28" s="609"/>
      <c r="CXC28" s="609"/>
      <c r="CXD28" s="609"/>
      <c r="CXE28" s="609"/>
      <c r="CXF28" s="609"/>
      <c r="CXG28" s="609"/>
      <c r="CXH28" s="609"/>
      <c r="CXI28" s="609"/>
      <c r="CXJ28" s="609"/>
      <c r="CXK28" s="609"/>
      <c r="CXL28" s="609"/>
      <c r="CXM28" s="609"/>
      <c r="CXN28" s="609"/>
      <c r="CXO28" s="609"/>
      <c r="CXP28" s="609"/>
      <c r="CXQ28" s="609"/>
      <c r="CXR28" s="609"/>
      <c r="CXS28" s="609"/>
      <c r="CXT28" s="609"/>
      <c r="CXU28" s="609"/>
      <c r="CXV28" s="609"/>
      <c r="CXW28" s="609"/>
      <c r="CXX28" s="609"/>
      <c r="CXY28" s="609"/>
      <c r="CXZ28" s="609"/>
      <c r="CYA28" s="609"/>
      <c r="CYB28" s="609"/>
      <c r="CYC28" s="609"/>
      <c r="CYD28" s="609"/>
      <c r="CYE28" s="609"/>
      <c r="CYF28" s="609"/>
      <c r="CYG28" s="609"/>
      <c r="CYH28" s="609"/>
      <c r="CYI28" s="609"/>
      <c r="CYJ28" s="609"/>
      <c r="CYK28" s="609"/>
      <c r="CYL28" s="609"/>
      <c r="CYM28" s="609"/>
      <c r="CYN28" s="609"/>
      <c r="CYO28" s="609"/>
      <c r="CYP28" s="609"/>
      <c r="CYQ28" s="609"/>
      <c r="CYR28" s="609"/>
      <c r="CYS28" s="609"/>
      <c r="CYT28" s="609"/>
      <c r="CYU28" s="609"/>
      <c r="CYV28" s="609"/>
      <c r="CYW28" s="609"/>
      <c r="CYX28" s="609"/>
      <c r="CYY28" s="609"/>
      <c r="CYZ28" s="609"/>
      <c r="CZA28" s="609"/>
      <c r="CZB28" s="609"/>
      <c r="CZC28" s="609"/>
      <c r="CZD28" s="609"/>
      <c r="CZE28" s="609"/>
      <c r="CZF28" s="609"/>
      <c r="CZG28" s="609"/>
      <c r="CZH28" s="609"/>
      <c r="CZI28" s="609"/>
      <c r="CZJ28" s="609"/>
      <c r="CZK28" s="609"/>
      <c r="CZL28" s="609"/>
      <c r="CZM28" s="609"/>
      <c r="CZN28" s="609"/>
      <c r="CZO28" s="609"/>
      <c r="CZP28" s="609"/>
      <c r="CZQ28" s="609"/>
      <c r="CZR28" s="609"/>
      <c r="CZS28" s="609"/>
      <c r="CZT28" s="609"/>
      <c r="CZU28" s="609"/>
      <c r="CZV28" s="609"/>
      <c r="CZW28" s="609"/>
      <c r="CZX28" s="609"/>
      <c r="CZY28" s="609"/>
      <c r="CZZ28" s="609"/>
      <c r="DAA28" s="609"/>
      <c r="DAB28" s="609"/>
      <c r="DAC28" s="609"/>
      <c r="DAD28" s="609"/>
      <c r="DAE28" s="609"/>
      <c r="DAF28" s="609"/>
      <c r="DAG28" s="609"/>
      <c r="DAH28" s="609"/>
      <c r="DAI28" s="609"/>
      <c r="DAJ28" s="609"/>
      <c r="DAK28" s="609"/>
      <c r="DAL28" s="609"/>
      <c r="DAM28" s="609"/>
      <c r="DAN28" s="609"/>
      <c r="DAO28" s="609"/>
      <c r="DAP28" s="609"/>
      <c r="DAQ28" s="609"/>
      <c r="DAR28" s="609"/>
      <c r="DAS28" s="609"/>
      <c r="DAT28" s="609"/>
      <c r="DAU28" s="609"/>
      <c r="DAV28" s="609"/>
      <c r="DAW28" s="609"/>
      <c r="DAX28" s="609"/>
      <c r="DAY28" s="609"/>
      <c r="DAZ28" s="609"/>
      <c r="DBA28" s="609"/>
      <c r="DBB28" s="609"/>
      <c r="DBC28" s="609"/>
      <c r="DBD28" s="609"/>
      <c r="DBE28" s="609"/>
      <c r="DBF28" s="609"/>
      <c r="DBG28" s="609"/>
      <c r="DBH28" s="609"/>
      <c r="DBI28" s="609"/>
      <c r="DBJ28" s="609"/>
      <c r="DBK28" s="609"/>
      <c r="DBL28" s="609"/>
      <c r="DBM28" s="609"/>
      <c r="DBN28" s="609"/>
      <c r="DBO28" s="609"/>
      <c r="DBP28" s="609"/>
      <c r="DBQ28" s="609"/>
      <c r="DBR28" s="609"/>
      <c r="DBS28" s="609"/>
      <c r="DBT28" s="609"/>
      <c r="DBU28" s="609"/>
      <c r="DBV28" s="609"/>
      <c r="DBW28" s="609"/>
      <c r="DBX28" s="609"/>
      <c r="DBY28" s="609"/>
      <c r="DBZ28" s="609"/>
      <c r="DCA28" s="609"/>
      <c r="DCB28" s="609"/>
      <c r="DCC28" s="609"/>
      <c r="DCD28" s="609"/>
      <c r="DCE28" s="609"/>
      <c r="DCF28" s="609"/>
      <c r="DCG28" s="609"/>
      <c r="DCH28" s="609"/>
      <c r="DCI28" s="609"/>
      <c r="DCJ28" s="609"/>
      <c r="DCK28" s="609"/>
      <c r="DCL28" s="609"/>
      <c r="DCM28" s="609"/>
      <c r="DCN28" s="609"/>
      <c r="DCO28" s="609"/>
      <c r="DCP28" s="609"/>
      <c r="DCQ28" s="609"/>
      <c r="DCR28" s="609"/>
      <c r="DCS28" s="609"/>
      <c r="DCT28" s="609"/>
      <c r="DCU28" s="609"/>
      <c r="DCV28" s="609"/>
      <c r="DCW28" s="609"/>
      <c r="DCX28" s="609"/>
      <c r="DCY28" s="609"/>
      <c r="DCZ28" s="609"/>
      <c r="DDA28" s="609"/>
      <c r="DDB28" s="609"/>
      <c r="DDC28" s="609"/>
      <c r="DDD28" s="609"/>
      <c r="DDE28" s="609"/>
      <c r="DDF28" s="609"/>
      <c r="DDG28" s="609"/>
      <c r="DDH28" s="609"/>
      <c r="DDI28" s="609"/>
      <c r="DDJ28" s="609"/>
      <c r="DDK28" s="609"/>
      <c r="DDL28" s="609"/>
      <c r="DDM28" s="609"/>
      <c r="DDN28" s="609"/>
      <c r="DDO28" s="609"/>
      <c r="DDP28" s="609"/>
      <c r="DDQ28" s="609"/>
      <c r="DDR28" s="609"/>
      <c r="DDS28" s="609"/>
      <c r="DDT28" s="609"/>
      <c r="DDU28" s="609"/>
      <c r="DDV28" s="609"/>
      <c r="DDW28" s="609"/>
      <c r="DDX28" s="609"/>
      <c r="DDY28" s="609"/>
      <c r="DDZ28" s="609"/>
      <c r="DEA28" s="609"/>
      <c r="DEB28" s="609"/>
      <c r="DEC28" s="609"/>
      <c r="DED28" s="609"/>
      <c r="DEE28" s="609"/>
      <c r="DEF28" s="609"/>
      <c r="DEG28" s="609"/>
      <c r="DEH28" s="609"/>
      <c r="DEI28" s="609"/>
      <c r="DEJ28" s="609"/>
      <c r="DEK28" s="609"/>
      <c r="DEL28" s="609"/>
      <c r="DEM28" s="609"/>
      <c r="DEN28" s="609"/>
      <c r="DEO28" s="609"/>
      <c r="DEP28" s="609"/>
      <c r="DEQ28" s="609"/>
      <c r="DER28" s="609"/>
      <c r="DES28" s="609"/>
      <c r="DET28" s="609"/>
      <c r="DEU28" s="609"/>
      <c r="DEV28" s="609"/>
      <c r="DEW28" s="609"/>
      <c r="DEX28" s="609"/>
      <c r="DEY28" s="609"/>
      <c r="DEZ28" s="609"/>
      <c r="DFA28" s="609"/>
      <c r="DFB28" s="609"/>
      <c r="DFC28" s="609"/>
      <c r="DFD28" s="609"/>
      <c r="DFE28" s="609"/>
      <c r="DFF28" s="609"/>
      <c r="DFG28" s="609"/>
      <c r="DFH28" s="609"/>
      <c r="DFI28" s="609"/>
      <c r="DFJ28" s="609"/>
      <c r="DFK28" s="609"/>
      <c r="DFL28" s="609"/>
      <c r="DFM28" s="609"/>
      <c r="DFN28" s="609"/>
      <c r="DFO28" s="609"/>
      <c r="DFP28" s="609"/>
      <c r="DFQ28" s="609"/>
      <c r="DFR28" s="609"/>
      <c r="DFS28" s="609"/>
      <c r="DFT28" s="609"/>
      <c r="DFU28" s="609"/>
      <c r="DFV28" s="609"/>
      <c r="DFW28" s="609"/>
      <c r="DFX28" s="609"/>
      <c r="DFY28" s="609"/>
      <c r="DFZ28" s="609"/>
      <c r="DGA28" s="609"/>
      <c r="DGB28" s="609"/>
      <c r="DGC28" s="609"/>
      <c r="DGD28" s="609"/>
      <c r="DGE28" s="609"/>
      <c r="DGF28" s="609"/>
      <c r="DGG28" s="609"/>
      <c r="DGH28" s="609"/>
      <c r="DGI28" s="609"/>
      <c r="DGJ28" s="609"/>
      <c r="DGK28" s="609"/>
      <c r="DGL28" s="609"/>
      <c r="DGM28" s="609"/>
      <c r="DGN28" s="609"/>
      <c r="DGO28" s="609"/>
      <c r="DGP28" s="609"/>
      <c r="DGQ28" s="609"/>
      <c r="DGR28" s="609"/>
      <c r="DGS28" s="609"/>
      <c r="DGT28" s="609"/>
      <c r="DGU28" s="609"/>
      <c r="DGV28" s="609"/>
      <c r="DGW28" s="609"/>
      <c r="DGX28" s="609"/>
      <c r="DGY28" s="609"/>
      <c r="DGZ28" s="609"/>
      <c r="DHA28" s="609"/>
      <c r="DHB28" s="609"/>
      <c r="DHC28" s="609"/>
      <c r="DHD28" s="609"/>
      <c r="DHE28" s="609"/>
      <c r="DHF28" s="609"/>
      <c r="DHG28" s="609"/>
      <c r="DHH28" s="609"/>
      <c r="DHI28" s="609"/>
      <c r="DHJ28" s="609"/>
      <c r="DHK28" s="609"/>
      <c r="DHL28" s="609"/>
      <c r="DHM28" s="609"/>
      <c r="DHN28" s="609"/>
      <c r="DHO28" s="609"/>
      <c r="DHP28" s="609"/>
      <c r="DHQ28" s="609"/>
      <c r="DHR28" s="609"/>
      <c r="DHS28" s="609"/>
      <c r="DHT28" s="609"/>
      <c r="DHU28" s="609"/>
      <c r="DHV28" s="609"/>
      <c r="DHW28" s="609"/>
      <c r="DHX28" s="609"/>
      <c r="DHY28" s="609"/>
      <c r="DHZ28" s="609"/>
      <c r="DIA28" s="609"/>
      <c r="DIB28" s="609"/>
      <c r="DIC28" s="609"/>
      <c r="DID28" s="609"/>
      <c r="DIE28" s="609"/>
      <c r="DIF28" s="609"/>
      <c r="DIG28" s="609"/>
      <c r="DIH28" s="609"/>
      <c r="DII28" s="609"/>
      <c r="DIJ28" s="609"/>
      <c r="DIK28" s="609"/>
      <c r="DIL28" s="609"/>
      <c r="DIM28" s="609"/>
      <c r="DIN28" s="609"/>
      <c r="DIO28" s="609"/>
      <c r="DIP28" s="609"/>
      <c r="DIQ28" s="609"/>
      <c r="DIR28" s="609"/>
      <c r="DIS28" s="609"/>
      <c r="DIT28" s="609"/>
      <c r="DIU28" s="609"/>
      <c r="DIV28" s="609"/>
      <c r="DIW28" s="609"/>
      <c r="DIX28" s="609"/>
      <c r="DIY28" s="609"/>
      <c r="DIZ28" s="609"/>
      <c r="DJA28" s="609"/>
      <c r="DJB28" s="609"/>
      <c r="DJC28" s="609"/>
      <c r="DJD28" s="609"/>
      <c r="DJE28" s="609"/>
      <c r="DJF28" s="609"/>
      <c r="DJG28" s="609"/>
      <c r="DJH28" s="609"/>
      <c r="DJI28" s="609"/>
      <c r="DJJ28" s="609"/>
      <c r="DJK28" s="609"/>
      <c r="DJL28" s="609"/>
      <c r="DJM28" s="609"/>
      <c r="DJN28" s="609"/>
      <c r="DJO28" s="609"/>
      <c r="DJP28" s="609"/>
      <c r="DJQ28" s="609"/>
      <c r="DJR28" s="609"/>
      <c r="DJS28" s="609"/>
      <c r="DJT28" s="609"/>
      <c r="DJU28" s="609"/>
      <c r="DJV28" s="609"/>
      <c r="DJW28" s="609"/>
      <c r="DJX28" s="609"/>
      <c r="DJY28" s="609"/>
      <c r="DJZ28" s="609"/>
      <c r="DKA28" s="609"/>
      <c r="DKB28" s="609"/>
      <c r="DKC28" s="609"/>
      <c r="DKD28" s="609"/>
      <c r="DKE28" s="609"/>
      <c r="DKF28" s="609"/>
      <c r="DKG28" s="609"/>
      <c r="DKH28" s="609"/>
      <c r="DKI28" s="609"/>
      <c r="DKJ28" s="609"/>
      <c r="DKK28" s="609"/>
      <c r="DKL28" s="609"/>
      <c r="DKM28" s="609"/>
      <c r="DKN28" s="609"/>
      <c r="DKO28" s="609"/>
      <c r="DKP28" s="609"/>
      <c r="DKQ28" s="609"/>
      <c r="DKR28" s="609"/>
      <c r="DKS28" s="609"/>
      <c r="DKT28" s="609"/>
      <c r="DKU28" s="609"/>
      <c r="DKV28" s="609"/>
      <c r="DKW28" s="609"/>
      <c r="DKX28" s="609"/>
      <c r="DKY28" s="609"/>
      <c r="DKZ28" s="609"/>
      <c r="DLA28" s="609"/>
      <c r="DLB28" s="609"/>
      <c r="DLC28" s="609"/>
      <c r="DLD28" s="609"/>
      <c r="DLE28" s="609"/>
      <c r="DLF28" s="609"/>
      <c r="DLG28" s="609"/>
      <c r="DLH28" s="609"/>
      <c r="DLI28" s="609"/>
      <c r="DLJ28" s="609"/>
      <c r="DLK28" s="609"/>
      <c r="DLL28" s="609"/>
      <c r="DLM28" s="609"/>
      <c r="DLN28" s="609"/>
      <c r="DLO28" s="609"/>
      <c r="DLP28" s="609"/>
      <c r="DLQ28" s="609"/>
      <c r="DLR28" s="609"/>
      <c r="DLS28" s="609"/>
      <c r="DLT28" s="609"/>
      <c r="DLU28" s="609"/>
      <c r="DLV28" s="609"/>
      <c r="DLW28" s="609"/>
      <c r="DLX28" s="609"/>
      <c r="DLY28" s="609"/>
      <c r="DLZ28" s="609"/>
      <c r="DMA28" s="609"/>
      <c r="DMB28" s="609"/>
      <c r="DMC28" s="609"/>
      <c r="DMD28" s="609"/>
      <c r="DME28" s="609"/>
      <c r="DMF28" s="609"/>
      <c r="DMG28" s="609"/>
      <c r="DMH28" s="609"/>
      <c r="DMI28" s="609"/>
      <c r="DMJ28" s="609"/>
      <c r="DMK28" s="609"/>
      <c r="DML28" s="609"/>
      <c r="DMM28" s="609"/>
      <c r="DMN28" s="609"/>
      <c r="DMO28" s="609"/>
      <c r="DMP28" s="609"/>
      <c r="DMQ28" s="609"/>
      <c r="DMR28" s="609"/>
      <c r="DMS28" s="609"/>
      <c r="DMT28" s="609"/>
      <c r="DMU28" s="609"/>
      <c r="DMV28" s="609"/>
      <c r="DMW28" s="609"/>
      <c r="DMX28" s="609"/>
      <c r="DMY28" s="609"/>
      <c r="DMZ28" s="609"/>
      <c r="DNA28" s="609"/>
      <c r="DNB28" s="609"/>
      <c r="DNC28" s="609"/>
      <c r="DND28" s="609"/>
      <c r="DNE28" s="609"/>
      <c r="DNF28" s="609"/>
      <c r="DNG28" s="609"/>
      <c r="DNH28" s="609"/>
      <c r="DNI28" s="609"/>
      <c r="DNJ28" s="609"/>
      <c r="DNK28" s="609"/>
      <c r="DNL28" s="609"/>
      <c r="DNM28" s="609"/>
      <c r="DNN28" s="609"/>
      <c r="DNO28" s="609"/>
      <c r="DNP28" s="609"/>
      <c r="DNQ28" s="609"/>
      <c r="DNR28" s="609"/>
      <c r="DNS28" s="609"/>
      <c r="DNT28" s="609"/>
      <c r="DNU28" s="609"/>
      <c r="DNV28" s="609"/>
      <c r="DNW28" s="609"/>
      <c r="DNX28" s="609"/>
      <c r="DNY28" s="609"/>
      <c r="DNZ28" s="609"/>
      <c r="DOA28" s="609"/>
      <c r="DOB28" s="609"/>
      <c r="DOC28" s="609"/>
      <c r="DOD28" s="609"/>
      <c r="DOE28" s="609"/>
      <c r="DOF28" s="609"/>
      <c r="DOG28" s="609"/>
      <c r="DOH28" s="609"/>
      <c r="DOI28" s="609"/>
      <c r="DOJ28" s="609"/>
      <c r="DOK28" s="609"/>
      <c r="DOL28" s="609"/>
      <c r="DOM28" s="609"/>
      <c r="DON28" s="609"/>
      <c r="DOO28" s="609"/>
      <c r="DOP28" s="609"/>
      <c r="DOQ28" s="609"/>
      <c r="DOR28" s="609"/>
      <c r="DOS28" s="609"/>
      <c r="DOT28" s="609"/>
      <c r="DOU28" s="609"/>
      <c r="DOV28" s="609"/>
      <c r="DOW28" s="609"/>
      <c r="DOX28" s="609"/>
      <c r="DOY28" s="609"/>
      <c r="DOZ28" s="609"/>
      <c r="DPA28" s="609"/>
      <c r="DPB28" s="609"/>
      <c r="DPC28" s="609"/>
      <c r="DPD28" s="609"/>
      <c r="DPE28" s="609"/>
      <c r="DPF28" s="609"/>
      <c r="DPG28" s="609"/>
      <c r="DPH28" s="609"/>
      <c r="DPI28" s="609"/>
      <c r="DPJ28" s="609"/>
      <c r="DPK28" s="609"/>
      <c r="DPL28" s="609"/>
      <c r="DPM28" s="609"/>
      <c r="DPN28" s="609"/>
      <c r="DPO28" s="609"/>
      <c r="DPP28" s="609"/>
      <c r="DPQ28" s="609"/>
      <c r="DPR28" s="609"/>
      <c r="DPS28" s="609"/>
      <c r="DPT28" s="609"/>
      <c r="DPU28" s="609"/>
      <c r="DPV28" s="609"/>
      <c r="DPW28" s="609"/>
      <c r="DPX28" s="609"/>
      <c r="DPY28" s="609"/>
      <c r="DPZ28" s="609"/>
      <c r="DQA28" s="609"/>
      <c r="DQB28" s="609"/>
      <c r="DQC28" s="609"/>
      <c r="DQD28" s="609"/>
      <c r="DQE28" s="609"/>
      <c r="DQF28" s="609"/>
      <c r="DQG28" s="609"/>
      <c r="DQH28" s="609"/>
      <c r="DQI28" s="609"/>
      <c r="DQJ28" s="609"/>
      <c r="DQK28" s="609"/>
      <c r="DQL28" s="609"/>
      <c r="DQM28" s="609"/>
      <c r="DQN28" s="609"/>
      <c r="DQO28" s="609"/>
      <c r="DQP28" s="609"/>
      <c r="DQQ28" s="609"/>
      <c r="DQR28" s="609"/>
      <c r="DQS28" s="609"/>
      <c r="DQT28" s="609"/>
      <c r="DQU28" s="609"/>
      <c r="DQV28" s="609"/>
      <c r="DQW28" s="609"/>
      <c r="DQX28" s="609"/>
      <c r="DQY28" s="609"/>
      <c r="DQZ28" s="609"/>
      <c r="DRA28" s="609"/>
      <c r="DRB28" s="609"/>
      <c r="DRC28" s="609"/>
      <c r="DRD28" s="609"/>
      <c r="DRE28" s="609"/>
      <c r="DRF28" s="609"/>
      <c r="DRG28" s="609"/>
      <c r="DRH28" s="609"/>
      <c r="DRI28" s="609"/>
      <c r="DRJ28" s="609"/>
      <c r="DRK28" s="609"/>
      <c r="DRL28" s="609"/>
      <c r="DRM28" s="609"/>
      <c r="DRN28" s="609"/>
      <c r="DRO28" s="609"/>
      <c r="DRP28" s="609"/>
      <c r="DRQ28" s="609"/>
      <c r="DRR28" s="609"/>
      <c r="DRS28" s="609"/>
      <c r="DRT28" s="609"/>
      <c r="DRU28" s="609"/>
      <c r="DRV28" s="609"/>
      <c r="DRW28" s="609"/>
      <c r="DRX28" s="609"/>
      <c r="DRY28" s="609"/>
      <c r="DRZ28" s="609"/>
      <c r="DSA28" s="609"/>
      <c r="DSB28" s="609"/>
      <c r="DSC28" s="609"/>
      <c r="DSD28" s="609"/>
      <c r="DSE28" s="609"/>
      <c r="DSF28" s="609"/>
      <c r="DSG28" s="609"/>
      <c r="DSH28" s="609"/>
      <c r="DSI28" s="609"/>
      <c r="DSJ28" s="609"/>
      <c r="DSK28" s="609"/>
      <c r="DSL28" s="609"/>
      <c r="DSM28" s="609"/>
      <c r="DSN28" s="609"/>
      <c r="DSO28" s="609"/>
      <c r="DSP28" s="609"/>
      <c r="DSQ28" s="609"/>
      <c r="DSR28" s="609"/>
      <c r="DSS28" s="609"/>
      <c r="DST28" s="609"/>
      <c r="DSU28" s="609"/>
      <c r="DSV28" s="609"/>
      <c r="DSW28" s="609"/>
      <c r="DSX28" s="609"/>
      <c r="DSY28" s="609"/>
      <c r="DSZ28" s="609"/>
      <c r="DTA28" s="609"/>
      <c r="DTB28" s="609"/>
      <c r="DTC28" s="609"/>
      <c r="DTD28" s="609"/>
      <c r="DTE28" s="609"/>
      <c r="DTF28" s="609"/>
      <c r="DTG28" s="609"/>
      <c r="DTH28" s="609"/>
      <c r="DTI28" s="609"/>
      <c r="DTJ28" s="609"/>
      <c r="DTK28" s="609"/>
      <c r="DTL28" s="609"/>
      <c r="DTM28" s="609"/>
      <c r="DTN28" s="609"/>
      <c r="DTO28" s="609"/>
      <c r="DTP28" s="609"/>
      <c r="DTQ28" s="609"/>
      <c r="DTR28" s="609"/>
      <c r="DTS28" s="609"/>
      <c r="DTT28" s="609"/>
      <c r="DTU28" s="609"/>
      <c r="DTV28" s="609"/>
      <c r="DTW28" s="609"/>
      <c r="DTX28" s="609"/>
      <c r="DTY28" s="609"/>
      <c r="DTZ28" s="609"/>
      <c r="DUA28" s="609"/>
      <c r="DUB28" s="609"/>
      <c r="DUC28" s="609"/>
      <c r="DUD28" s="609"/>
      <c r="DUE28" s="609"/>
      <c r="DUF28" s="609"/>
      <c r="DUG28" s="609"/>
      <c r="DUH28" s="609"/>
      <c r="DUI28" s="609"/>
      <c r="DUJ28" s="609"/>
      <c r="DUK28" s="609"/>
      <c r="DUL28" s="609"/>
      <c r="DUM28" s="609"/>
      <c r="DUN28" s="609"/>
      <c r="DUO28" s="609"/>
      <c r="DUP28" s="609"/>
      <c r="DUQ28" s="609"/>
      <c r="DUR28" s="609"/>
      <c r="DUS28" s="609"/>
      <c r="DUT28" s="609"/>
      <c r="DUU28" s="609"/>
      <c r="DUV28" s="609"/>
      <c r="DUW28" s="609"/>
      <c r="DUX28" s="609"/>
      <c r="DUY28" s="609"/>
      <c r="DUZ28" s="609"/>
      <c r="DVA28" s="609"/>
      <c r="DVB28" s="609"/>
      <c r="DVC28" s="609"/>
      <c r="DVD28" s="609"/>
      <c r="DVE28" s="609"/>
      <c r="DVF28" s="609"/>
      <c r="DVG28" s="609"/>
      <c r="DVH28" s="609"/>
      <c r="DVI28" s="609"/>
      <c r="DVJ28" s="609"/>
      <c r="DVK28" s="609"/>
      <c r="DVL28" s="609"/>
      <c r="DVM28" s="609"/>
      <c r="DVN28" s="609"/>
      <c r="DVO28" s="609"/>
      <c r="DVP28" s="609"/>
      <c r="DVQ28" s="609"/>
      <c r="DVR28" s="609"/>
      <c r="DVS28" s="609"/>
      <c r="DVT28" s="609"/>
      <c r="DVU28" s="609"/>
      <c r="DVV28" s="609"/>
      <c r="DVW28" s="609"/>
      <c r="DVX28" s="609"/>
      <c r="DVY28" s="609"/>
      <c r="DVZ28" s="609"/>
      <c r="DWA28" s="609"/>
      <c r="DWB28" s="609"/>
      <c r="DWC28" s="609"/>
      <c r="DWD28" s="609"/>
      <c r="DWE28" s="609"/>
      <c r="DWF28" s="609"/>
      <c r="DWG28" s="609"/>
      <c r="DWH28" s="609"/>
      <c r="DWI28" s="609"/>
      <c r="DWJ28" s="609"/>
      <c r="DWK28" s="609"/>
      <c r="DWL28" s="609"/>
      <c r="DWM28" s="609"/>
      <c r="DWN28" s="609"/>
      <c r="DWO28" s="609"/>
      <c r="DWP28" s="609"/>
      <c r="DWQ28" s="609"/>
      <c r="DWR28" s="609"/>
      <c r="DWS28" s="609"/>
      <c r="DWT28" s="609"/>
      <c r="DWU28" s="609"/>
      <c r="DWV28" s="609"/>
      <c r="DWW28" s="609"/>
      <c r="DWX28" s="609"/>
      <c r="DWY28" s="609"/>
      <c r="DWZ28" s="609"/>
      <c r="DXA28" s="609"/>
      <c r="DXB28" s="609"/>
      <c r="DXC28" s="609"/>
      <c r="DXD28" s="609"/>
      <c r="DXE28" s="609"/>
      <c r="DXF28" s="609"/>
      <c r="DXG28" s="609"/>
      <c r="DXH28" s="609"/>
      <c r="DXI28" s="609"/>
      <c r="DXJ28" s="609"/>
      <c r="DXK28" s="609"/>
      <c r="DXL28" s="609"/>
      <c r="DXM28" s="609"/>
      <c r="DXN28" s="609"/>
      <c r="DXO28" s="609"/>
      <c r="DXP28" s="609"/>
      <c r="DXQ28" s="609"/>
      <c r="DXR28" s="609"/>
      <c r="DXS28" s="609"/>
      <c r="DXT28" s="609"/>
      <c r="DXU28" s="609"/>
      <c r="DXV28" s="609"/>
      <c r="DXW28" s="609"/>
      <c r="DXX28" s="609"/>
      <c r="DXY28" s="609"/>
      <c r="DXZ28" s="609"/>
      <c r="DYA28" s="609"/>
      <c r="DYB28" s="609"/>
      <c r="DYC28" s="609"/>
      <c r="DYD28" s="609"/>
      <c r="DYE28" s="609"/>
      <c r="DYF28" s="609"/>
      <c r="DYG28" s="609"/>
      <c r="DYH28" s="609"/>
      <c r="DYI28" s="609"/>
      <c r="DYJ28" s="609"/>
      <c r="DYK28" s="609"/>
      <c r="DYL28" s="609"/>
      <c r="DYM28" s="609"/>
      <c r="DYN28" s="609"/>
      <c r="DYO28" s="609"/>
      <c r="DYP28" s="609"/>
      <c r="DYQ28" s="609"/>
      <c r="DYR28" s="609"/>
      <c r="DYS28" s="609"/>
      <c r="DYT28" s="609"/>
      <c r="DYU28" s="609"/>
      <c r="DYV28" s="609"/>
      <c r="DYW28" s="609"/>
      <c r="DYX28" s="609"/>
      <c r="DYY28" s="609"/>
      <c r="DYZ28" s="609"/>
      <c r="DZA28" s="609"/>
      <c r="DZB28" s="609"/>
      <c r="DZC28" s="609"/>
      <c r="DZD28" s="609"/>
      <c r="DZE28" s="609"/>
      <c r="DZF28" s="609"/>
      <c r="DZG28" s="609"/>
      <c r="DZH28" s="609"/>
      <c r="DZI28" s="609"/>
      <c r="DZJ28" s="609"/>
      <c r="DZK28" s="609"/>
      <c r="DZL28" s="609"/>
      <c r="DZM28" s="609"/>
      <c r="DZN28" s="609"/>
      <c r="DZO28" s="609"/>
      <c r="DZP28" s="609"/>
      <c r="DZQ28" s="609"/>
      <c r="DZR28" s="609"/>
      <c r="DZS28" s="609"/>
      <c r="DZT28" s="609"/>
      <c r="DZU28" s="609"/>
      <c r="DZV28" s="609"/>
      <c r="DZW28" s="609"/>
      <c r="DZX28" s="609"/>
      <c r="DZY28" s="609"/>
      <c r="DZZ28" s="609"/>
      <c r="EAA28" s="609"/>
      <c r="EAB28" s="609"/>
      <c r="EAC28" s="609"/>
      <c r="EAD28" s="609"/>
      <c r="EAE28" s="609"/>
      <c r="EAF28" s="609"/>
      <c r="EAG28" s="609"/>
      <c r="EAH28" s="609"/>
      <c r="EAI28" s="609"/>
      <c r="EAJ28" s="609"/>
      <c r="EAK28" s="609"/>
      <c r="EAL28" s="609"/>
      <c r="EAM28" s="609"/>
      <c r="EAN28" s="609"/>
      <c r="EAO28" s="609"/>
      <c r="EAP28" s="609"/>
      <c r="EAQ28" s="609"/>
      <c r="EAR28" s="609"/>
      <c r="EAS28" s="609"/>
      <c r="EAT28" s="609"/>
      <c r="EAU28" s="609"/>
      <c r="EAV28" s="609"/>
      <c r="EAW28" s="609"/>
      <c r="EAX28" s="609"/>
      <c r="EAY28" s="609"/>
      <c r="EAZ28" s="609"/>
      <c r="EBA28" s="609"/>
      <c r="EBB28" s="609"/>
      <c r="EBC28" s="609"/>
      <c r="EBD28" s="609"/>
      <c r="EBE28" s="609"/>
      <c r="EBF28" s="609"/>
      <c r="EBG28" s="609"/>
      <c r="EBH28" s="609"/>
      <c r="EBI28" s="609"/>
      <c r="EBJ28" s="609"/>
      <c r="EBK28" s="609"/>
      <c r="EBL28" s="609"/>
      <c r="EBM28" s="609"/>
      <c r="EBN28" s="609"/>
      <c r="EBO28" s="609"/>
      <c r="EBP28" s="609"/>
      <c r="EBQ28" s="609"/>
      <c r="EBR28" s="609"/>
      <c r="EBS28" s="609"/>
      <c r="EBT28" s="609"/>
      <c r="EBU28" s="609"/>
      <c r="EBV28" s="609"/>
      <c r="EBW28" s="609"/>
      <c r="EBX28" s="609"/>
      <c r="EBY28" s="609"/>
      <c r="EBZ28" s="609"/>
      <c r="ECA28" s="609"/>
      <c r="ECB28" s="609"/>
      <c r="ECC28" s="609"/>
      <c r="ECD28" s="609"/>
      <c r="ECE28" s="609"/>
      <c r="ECF28" s="609"/>
      <c r="ECG28" s="609"/>
      <c r="ECH28" s="609"/>
      <c r="ECI28" s="609"/>
      <c r="ECJ28" s="609"/>
      <c r="ECK28" s="609"/>
      <c r="ECL28" s="609"/>
      <c r="ECM28" s="609"/>
      <c r="ECN28" s="609"/>
      <c r="ECO28" s="609"/>
      <c r="ECP28" s="609"/>
      <c r="ECQ28" s="609"/>
      <c r="ECR28" s="609"/>
      <c r="ECS28" s="609"/>
      <c r="ECT28" s="609"/>
      <c r="ECU28" s="609"/>
      <c r="ECV28" s="609"/>
      <c r="ECW28" s="609"/>
      <c r="ECX28" s="609"/>
      <c r="ECY28" s="609"/>
      <c r="ECZ28" s="609"/>
      <c r="EDA28" s="609"/>
      <c r="EDB28" s="609"/>
      <c r="EDC28" s="609"/>
      <c r="EDD28" s="609"/>
      <c r="EDE28" s="609"/>
      <c r="EDF28" s="609"/>
      <c r="EDG28" s="609"/>
      <c r="EDH28" s="609"/>
      <c r="EDI28" s="609"/>
      <c r="EDJ28" s="609"/>
      <c r="EDK28" s="609"/>
      <c r="EDL28" s="609"/>
      <c r="EDM28" s="609"/>
      <c r="EDN28" s="609"/>
      <c r="EDO28" s="609"/>
      <c r="EDP28" s="609"/>
      <c r="EDQ28" s="609"/>
      <c r="EDR28" s="609"/>
      <c r="EDS28" s="609"/>
      <c r="EDT28" s="609"/>
      <c r="EDU28" s="609"/>
      <c r="EDV28" s="609"/>
      <c r="EDW28" s="609"/>
      <c r="EDX28" s="609"/>
      <c r="EDY28" s="609"/>
      <c r="EDZ28" s="609"/>
      <c r="EEA28" s="609"/>
      <c r="EEB28" s="609"/>
      <c r="EEC28" s="609"/>
      <c r="EED28" s="609"/>
      <c r="EEE28" s="609"/>
      <c r="EEF28" s="609"/>
      <c r="EEG28" s="609"/>
      <c r="EEH28" s="609"/>
      <c r="EEI28" s="609"/>
      <c r="EEJ28" s="609"/>
      <c r="EEK28" s="609"/>
      <c r="EEL28" s="609"/>
      <c r="EEM28" s="609"/>
      <c r="EEN28" s="609"/>
      <c r="EEO28" s="609"/>
      <c r="EEP28" s="609"/>
      <c r="EEQ28" s="609"/>
      <c r="EER28" s="609"/>
      <c r="EES28" s="609"/>
      <c r="EET28" s="609"/>
      <c r="EEU28" s="609"/>
      <c r="EEV28" s="609"/>
      <c r="EEW28" s="609"/>
      <c r="EEX28" s="609"/>
      <c r="EEY28" s="609"/>
      <c r="EEZ28" s="609"/>
      <c r="EFA28" s="609"/>
      <c r="EFB28" s="609"/>
      <c r="EFC28" s="609"/>
      <c r="EFD28" s="609"/>
      <c r="EFE28" s="609"/>
      <c r="EFF28" s="609"/>
      <c r="EFG28" s="609"/>
      <c r="EFH28" s="609"/>
      <c r="EFI28" s="609"/>
      <c r="EFJ28" s="609"/>
      <c r="EFK28" s="609"/>
      <c r="EFL28" s="609"/>
      <c r="EFM28" s="609"/>
      <c r="EFN28" s="609"/>
      <c r="EFO28" s="609"/>
      <c r="EFP28" s="609"/>
      <c r="EFQ28" s="609"/>
      <c r="EFR28" s="609"/>
      <c r="EFS28" s="609"/>
      <c r="EFT28" s="609"/>
      <c r="EFU28" s="609"/>
      <c r="EFV28" s="609"/>
      <c r="EFW28" s="609"/>
      <c r="EFX28" s="609"/>
      <c r="EFY28" s="609"/>
      <c r="EFZ28" s="609"/>
      <c r="EGA28" s="609"/>
      <c r="EGB28" s="609"/>
      <c r="EGC28" s="609"/>
      <c r="EGD28" s="609"/>
      <c r="EGE28" s="609"/>
      <c r="EGF28" s="609"/>
      <c r="EGG28" s="609"/>
      <c r="EGH28" s="609"/>
      <c r="EGI28" s="609"/>
      <c r="EGJ28" s="609"/>
      <c r="EGK28" s="609"/>
      <c r="EGL28" s="609"/>
      <c r="EGM28" s="609"/>
      <c r="EGN28" s="609"/>
      <c r="EGO28" s="609"/>
      <c r="EGP28" s="609"/>
      <c r="EGQ28" s="609"/>
      <c r="EGR28" s="609"/>
      <c r="EGS28" s="609"/>
      <c r="EGT28" s="609"/>
      <c r="EGU28" s="609"/>
      <c r="EGV28" s="609"/>
      <c r="EGW28" s="609"/>
      <c r="EGX28" s="609"/>
      <c r="EGY28" s="609"/>
      <c r="EGZ28" s="609"/>
      <c r="EHA28" s="609"/>
      <c r="EHB28" s="609"/>
      <c r="EHC28" s="609"/>
      <c r="EHD28" s="609"/>
      <c r="EHE28" s="609"/>
      <c r="EHF28" s="609"/>
      <c r="EHG28" s="609"/>
      <c r="EHH28" s="609"/>
      <c r="EHI28" s="609"/>
      <c r="EHJ28" s="609"/>
      <c r="EHK28" s="609"/>
      <c r="EHL28" s="609"/>
      <c r="EHM28" s="609"/>
      <c r="EHN28" s="609"/>
      <c r="EHO28" s="609"/>
      <c r="EHP28" s="609"/>
      <c r="EHQ28" s="609"/>
      <c r="EHR28" s="609"/>
      <c r="EHS28" s="609"/>
      <c r="EHT28" s="609"/>
      <c r="EHU28" s="609"/>
      <c r="EHV28" s="609"/>
      <c r="EHW28" s="609"/>
      <c r="EHX28" s="609"/>
      <c r="EHY28" s="609"/>
      <c r="EHZ28" s="609"/>
      <c r="EIA28" s="609"/>
      <c r="EIB28" s="609"/>
      <c r="EIC28" s="609"/>
      <c r="EID28" s="609"/>
      <c r="EIE28" s="609"/>
      <c r="EIF28" s="609"/>
      <c r="EIG28" s="609"/>
      <c r="EIH28" s="609"/>
      <c r="EII28" s="609"/>
      <c r="EIJ28" s="609"/>
      <c r="EIK28" s="609"/>
      <c r="EIL28" s="609"/>
      <c r="EIM28" s="609"/>
      <c r="EIN28" s="609"/>
      <c r="EIO28" s="609"/>
      <c r="EIP28" s="609"/>
      <c r="EIQ28" s="609"/>
      <c r="EIR28" s="609"/>
      <c r="EIS28" s="609"/>
      <c r="EIT28" s="609"/>
      <c r="EIU28" s="609"/>
      <c r="EIV28" s="609"/>
      <c r="EIW28" s="609"/>
      <c r="EIX28" s="609"/>
      <c r="EIY28" s="609"/>
      <c r="EIZ28" s="609"/>
      <c r="EJA28" s="609"/>
      <c r="EJB28" s="609"/>
      <c r="EJC28" s="609"/>
      <c r="EJD28" s="609"/>
      <c r="EJE28" s="609"/>
      <c r="EJF28" s="609"/>
      <c r="EJG28" s="609"/>
      <c r="EJH28" s="609"/>
      <c r="EJI28" s="609"/>
      <c r="EJJ28" s="609"/>
      <c r="EJK28" s="609"/>
      <c r="EJL28" s="609"/>
      <c r="EJM28" s="609"/>
      <c r="EJN28" s="609"/>
      <c r="EJO28" s="609"/>
      <c r="EJP28" s="609"/>
      <c r="EJQ28" s="609"/>
      <c r="EJR28" s="609"/>
      <c r="EJS28" s="609"/>
      <c r="EJT28" s="609"/>
      <c r="EJU28" s="609"/>
      <c r="EJV28" s="609"/>
      <c r="EJW28" s="609"/>
      <c r="EJX28" s="609"/>
      <c r="EJY28" s="609"/>
      <c r="EJZ28" s="609"/>
      <c r="EKA28" s="609"/>
      <c r="EKB28" s="609"/>
      <c r="EKC28" s="609"/>
      <c r="EKD28" s="609"/>
      <c r="EKE28" s="609"/>
      <c r="EKF28" s="609"/>
      <c r="EKG28" s="609"/>
      <c r="EKH28" s="609"/>
      <c r="EKI28" s="609"/>
      <c r="EKJ28" s="609"/>
      <c r="EKK28" s="609"/>
      <c r="EKL28" s="609"/>
      <c r="EKM28" s="609"/>
      <c r="EKN28" s="609"/>
      <c r="EKO28" s="609"/>
      <c r="EKP28" s="609"/>
      <c r="EKQ28" s="609"/>
      <c r="EKR28" s="609"/>
      <c r="EKS28" s="609"/>
      <c r="EKT28" s="609"/>
      <c r="EKU28" s="609"/>
      <c r="EKV28" s="609"/>
      <c r="EKW28" s="609"/>
      <c r="EKX28" s="609"/>
      <c r="EKY28" s="609"/>
      <c r="EKZ28" s="609"/>
      <c r="ELA28" s="609"/>
      <c r="ELB28" s="609"/>
      <c r="ELC28" s="609"/>
      <c r="ELD28" s="609"/>
      <c r="ELE28" s="609"/>
      <c r="ELF28" s="609"/>
      <c r="ELG28" s="609"/>
      <c r="ELH28" s="609"/>
      <c r="ELI28" s="609"/>
      <c r="ELJ28" s="609"/>
      <c r="ELK28" s="609"/>
      <c r="ELL28" s="609"/>
      <c r="ELM28" s="609"/>
      <c r="ELN28" s="609"/>
      <c r="ELO28" s="609"/>
      <c r="ELP28" s="609"/>
      <c r="ELQ28" s="609"/>
      <c r="ELR28" s="609"/>
      <c r="ELS28" s="609"/>
      <c r="ELT28" s="609"/>
      <c r="ELU28" s="609"/>
      <c r="ELV28" s="609"/>
      <c r="ELW28" s="609"/>
      <c r="ELX28" s="609"/>
      <c r="ELY28" s="609"/>
      <c r="ELZ28" s="609"/>
      <c r="EMA28" s="609"/>
      <c r="EMB28" s="609"/>
      <c r="EMC28" s="609"/>
      <c r="EMD28" s="609"/>
      <c r="EME28" s="609"/>
      <c r="EMF28" s="609"/>
      <c r="EMG28" s="609"/>
      <c r="EMH28" s="609"/>
      <c r="EMI28" s="609"/>
      <c r="EMJ28" s="609"/>
      <c r="EMK28" s="609"/>
      <c r="EML28" s="609"/>
      <c r="EMM28" s="609"/>
      <c r="EMN28" s="609"/>
      <c r="EMO28" s="609"/>
      <c r="EMP28" s="609"/>
      <c r="EMQ28" s="609"/>
      <c r="EMR28" s="609"/>
      <c r="EMS28" s="609"/>
      <c r="EMT28" s="609"/>
      <c r="EMU28" s="609"/>
      <c r="EMV28" s="609"/>
      <c r="EMW28" s="609"/>
      <c r="EMX28" s="609"/>
      <c r="EMY28" s="609"/>
      <c r="EMZ28" s="609"/>
      <c r="ENA28" s="609"/>
      <c r="ENB28" s="609"/>
      <c r="ENC28" s="609"/>
      <c r="END28" s="609"/>
      <c r="ENE28" s="609"/>
      <c r="ENF28" s="609"/>
      <c r="ENG28" s="609"/>
      <c r="ENH28" s="609"/>
      <c r="ENI28" s="609"/>
      <c r="ENJ28" s="609"/>
      <c r="ENK28" s="609"/>
      <c r="ENL28" s="609"/>
      <c r="ENM28" s="609"/>
      <c r="ENN28" s="609"/>
      <c r="ENO28" s="609"/>
      <c r="ENP28" s="609"/>
      <c r="ENQ28" s="609"/>
      <c r="ENR28" s="609"/>
      <c r="ENS28" s="609"/>
      <c r="ENT28" s="609"/>
      <c r="ENU28" s="609"/>
      <c r="ENV28" s="609"/>
      <c r="ENW28" s="609"/>
      <c r="ENX28" s="609"/>
      <c r="ENY28" s="609"/>
      <c r="ENZ28" s="609"/>
      <c r="EOA28" s="609"/>
      <c r="EOB28" s="609"/>
      <c r="EOC28" s="609"/>
      <c r="EOD28" s="609"/>
      <c r="EOE28" s="609"/>
      <c r="EOF28" s="609"/>
      <c r="EOG28" s="609"/>
      <c r="EOH28" s="609"/>
      <c r="EOI28" s="609"/>
      <c r="EOJ28" s="609"/>
      <c r="EOK28" s="609"/>
      <c r="EOL28" s="609"/>
      <c r="EOM28" s="609"/>
      <c r="EON28" s="609"/>
      <c r="EOO28" s="609"/>
      <c r="EOP28" s="609"/>
      <c r="EOQ28" s="609"/>
      <c r="EOR28" s="609"/>
      <c r="EOS28" s="609"/>
      <c r="EOT28" s="609"/>
      <c r="EOU28" s="609"/>
      <c r="EOV28" s="609"/>
      <c r="EOW28" s="609"/>
      <c r="EOX28" s="609"/>
      <c r="EOY28" s="609"/>
      <c r="EOZ28" s="609"/>
      <c r="EPA28" s="609"/>
      <c r="EPB28" s="609"/>
      <c r="EPC28" s="609"/>
      <c r="EPD28" s="609"/>
      <c r="EPE28" s="609"/>
      <c r="EPF28" s="609"/>
      <c r="EPG28" s="609"/>
      <c r="EPH28" s="609"/>
      <c r="EPI28" s="609"/>
      <c r="EPJ28" s="609"/>
      <c r="EPK28" s="609"/>
      <c r="EPL28" s="609"/>
      <c r="EPM28" s="609"/>
      <c r="EPN28" s="609"/>
      <c r="EPO28" s="609"/>
      <c r="EPP28" s="609"/>
      <c r="EPQ28" s="609"/>
      <c r="EPR28" s="609"/>
      <c r="EPS28" s="609"/>
      <c r="EPT28" s="609"/>
      <c r="EPU28" s="609"/>
      <c r="EPV28" s="609"/>
      <c r="EPW28" s="609"/>
      <c r="EPX28" s="609"/>
      <c r="EPY28" s="609"/>
      <c r="EPZ28" s="609"/>
      <c r="EQA28" s="609"/>
      <c r="EQB28" s="609"/>
      <c r="EQC28" s="609"/>
      <c r="EQD28" s="609"/>
      <c r="EQE28" s="609"/>
      <c r="EQF28" s="609"/>
      <c r="EQG28" s="609"/>
      <c r="EQH28" s="609"/>
      <c r="EQI28" s="609"/>
      <c r="EQJ28" s="609"/>
      <c r="EQK28" s="609"/>
      <c r="EQL28" s="609"/>
      <c r="EQM28" s="609"/>
      <c r="EQN28" s="609"/>
      <c r="EQO28" s="609"/>
      <c r="EQP28" s="609"/>
      <c r="EQQ28" s="609"/>
      <c r="EQR28" s="609"/>
      <c r="EQS28" s="609"/>
      <c r="EQT28" s="609"/>
      <c r="EQU28" s="609"/>
      <c r="EQV28" s="609"/>
      <c r="EQW28" s="609"/>
      <c r="EQX28" s="609"/>
      <c r="EQY28" s="609"/>
      <c r="EQZ28" s="609"/>
      <c r="ERA28" s="609"/>
      <c r="ERB28" s="609"/>
      <c r="ERC28" s="609"/>
      <c r="ERD28" s="609"/>
      <c r="ERE28" s="609"/>
      <c r="ERF28" s="609"/>
      <c r="ERG28" s="609"/>
      <c r="ERH28" s="609"/>
      <c r="ERI28" s="609"/>
      <c r="ERJ28" s="609"/>
      <c r="ERK28" s="609"/>
      <c r="ERL28" s="609"/>
      <c r="ERM28" s="609"/>
      <c r="ERN28" s="609"/>
      <c r="ERO28" s="609"/>
      <c r="ERP28" s="609"/>
      <c r="ERQ28" s="609"/>
      <c r="ERR28" s="609"/>
      <c r="ERS28" s="609"/>
      <c r="ERT28" s="609"/>
      <c r="ERU28" s="609"/>
      <c r="ERV28" s="609"/>
      <c r="ERW28" s="609"/>
      <c r="ERX28" s="609"/>
      <c r="ERY28" s="609"/>
      <c r="ERZ28" s="609"/>
      <c r="ESA28" s="609"/>
      <c r="ESB28" s="609"/>
      <c r="ESC28" s="609"/>
      <c r="ESD28" s="609"/>
      <c r="ESE28" s="609"/>
      <c r="ESF28" s="609"/>
      <c r="ESG28" s="609"/>
      <c r="ESH28" s="609"/>
      <c r="ESI28" s="609"/>
      <c r="ESJ28" s="609"/>
      <c r="ESK28" s="609"/>
      <c r="ESL28" s="609"/>
      <c r="ESM28" s="609"/>
      <c r="ESN28" s="609"/>
      <c r="ESO28" s="609"/>
      <c r="ESP28" s="609"/>
      <c r="ESQ28" s="609"/>
      <c r="ESR28" s="609"/>
      <c r="ESS28" s="609"/>
      <c r="EST28" s="609"/>
      <c r="ESU28" s="609"/>
      <c r="ESV28" s="609"/>
      <c r="ESW28" s="609"/>
      <c r="ESX28" s="609"/>
      <c r="ESY28" s="609"/>
      <c r="ESZ28" s="609"/>
      <c r="ETA28" s="609"/>
      <c r="ETB28" s="609"/>
      <c r="ETC28" s="609"/>
      <c r="ETD28" s="609"/>
      <c r="ETE28" s="609"/>
      <c r="ETF28" s="609"/>
      <c r="ETG28" s="609"/>
      <c r="ETH28" s="609"/>
      <c r="ETI28" s="609"/>
      <c r="ETJ28" s="609"/>
      <c r="ETK28" s="609"/>
      <c r="ETL28" s="609"/>
      <c r="ETM28" s="609"/>
      <c r="ETN28" s="609"/>
      <c r="ETO28" s="609"/>
      <c r="ETP28" s="609"/>
      <c r="ETQ28" s="609"/>
      <c r="ETR28" s="609"/>
      <c r="ETS28" s="609"/>
      <c r="ETT28" s="609"/>
      <c r="ETU28" s="609"/>
      <c r="ETV28" s="609"/>
      <c r="ETW28" s="609"/>
      <c r="ETX28" s="609"/>
      <c r="ETY28" s="609"/>
      <c r="ETZ28" s="609"/>
      <c r="EUA28" s="609"/>
      <c r="EUB28" s="609"/>
      <c r="EUC28" s="609"/>
      <c r="EUD28" s="609"/>
      <c r="EUE28" s="609"/>
      <c r="EUF28" s="609"/>
      <c r="EUG28" s="609"/>
      <c r="EUH28" s="609"/>
      <c r="EUI28" s="609"/>
      <c r="EUJ28" s="609"/>
      <c r="EUK28" s="609"/>
      <c r="EUL28" s="609"/>
      <c r="EUM28" s="609"/>
      <c r="EUN28" s="609"/>
      <c r="EUO28" s="609"/>
      <c r="EUP28" s="609"/>
      <c r="EUQ28" s="609"/>
      <c r="EUR28" s="609"/>
      <c r="EUS28" s="609"/>
      <c r="EUT28" s="609"/>
      <c r="EUU28" s="609"/>
      <c r="EUV28" s="609"/>
      <c r="EUW28" s="609"/>
      <c r="EUX28" s="609"/>
      <c r="EUY28" s="609"/>
      <c r="EUZ28" s="609"/>
      <c r="EVA28" s="609"/>
      <c r="EVB28" s="609"/>
      <c r="EVC28" s="609"/>
      <c r="EVD28" s="609"/>
      <c r="EVE28" s="609"/>
      <c r="EVF28" s="609"/>
      <c r="EVG28" s="609"/>
      <c r="EVH28" s="609"/>
      <c r="EVI28" s="609"/>
      <c r="EVJ28" s="609"/>
      <c r="EVK28" s="609"/>
      <c r="EVL28" s="609"/>
      <c r="EVM28" s="609"/>
      <c r="EVN28" s="609"/>
      <c r="EVO28" s="609"/>
      <c r="EVP28" s="609"/>
      <c r="EVQ28" s="609"/>
      <c r="EVR28" s="609"/>
      <c r="EVS28" s="609"/>
      <c r="EVT28" s="609"/>
      <c r="EVU28" s="609"/>
      <c r="EVV28" s="609"/>
      <c r="EVW28" s="609"/>
      <c r="EVX28" s="609"/>
      <c r="EVY28" s="609"/>
      <c r="EVZ28" s="609"/>
      <c r="EWA28" s="609"/>
      <c r="EWB28" s="609"/>
      <c r="EWC28" s="609"/>
      <c r="EWD28" s="609"/>
      <c r="EWE28" s="609"/>
      <c r="EWF28" s="609"/>
      <c r="EWG28" s="609"/>
      <c r="EWH28" s="609"/>
      <c r="EWI28" s="609"/>
      <c r="EWJ28" s="609"/>
      <c r="EWK28" s="609"/>
      <c r="EWL28" s="609"/>
      <c r="EWM28" s="609"/>
      <c r="EWN28" s="609"/>
      <c r="EWO28" s="609"/>
      <c r="EWP28" s="609"/>
      <c r="EWQ28" s="609"/>
      <c r="EWR28" s="609"/>
      <c r="EWS28" s="609"/>
      <c r="EWT28" s="609"/>
      <c r="EWU28" s="609"/>
      <c r="EWV28" s="609"/>
      <c r="EWW28" s="609"/>
      <c r="EWX28" s="609"/>
      <c r="EWY28" s="609"/>
      <c r="EWZ28" s="609"/>
      <c r="EXA28" s="609"/>
      <c r="EXB28" s="609"/>
      <c r="EXC28" s="609"/>
      <c r="EXD28" s="609"/>
      <c r="EXE28" s="609"/>
      <c r="EXF28" s="609"/>
      <c r="EXG28" s="609"/>
      <c r="EXH28" s="609"/>
      <c r="EXI28" s="609"/>
      <c r="EXJ28" s="609"/>
      <c r="EXK28" s="609"/>
      <c r="EXL28" s="609"/>
      <c r="EXM28" s="609"/>
      <c r="EXN28" s="609"/>
      <c r="EXO28" s="609"/>
      <c r="EXP28" s="609"/>
      <c r="EXQ28" s="609"/>
      <c r="EXR28" s="609"/>
      <c r="EXS28" s="609"/>
      <c r="EXT28" s="609"/>
      <c r="EXU28" s="609"/>
      <c r="EXV28" s="609"/>
      <c r="EXW28" s="609"/>
      <c r="EXX28" s="609"/>
      <c r="EXY28" s="609"/>
      <c r="EXZ28" s="609"/>
      <c r="EYA28" s="609"/>
      <c r="EYB28" s="609"/>
      <c r="EYC28" s="609"/>
      <c r="EYD28" s="609"/>
      <c r="EYE28" s="609"/>
      <c r="EYF28" s="609"/>
      <c r="EYG28" s="609"/>
      <c r="EYH28" s="609"/>
      <c r="EYI28" s="609"/>
      <c r="EYJ28" s="609"/>
      <c r="EYK28" s="609"/>
      <c r="EYL28" s="609"/>
      <c r="EYM28" s="609"/>
      <c r="EYN28" s="609"/>
      <c r="EYO28" s="609"/>
      <c r="EYP28" s="609"/>
      <c r="EYQ28" s="609"/>
      <c r="EYR28" s="609"/>
      <c r="EYS28" s="609"/>
      <c r="EYT28" s="609"/>
      <c r="EYU28" s="609"/>
      <c r="EYV28" s="609"/>
      <c r="EYW28" s="609"/>
      <c r="EYX28" s="609"/>
      <c r="EYY28" s="609"/>
      <c r="EYZ28" s="609"/>
      <c r="EZA28" s="609"/>
      <c r="EZB28" s="609"/>
      <c r="EZC28" s="609"/>
      <c r="EZD28" s="609"/>
      <c r="EZE28" s="609"/>
      <c r="EZF28" s="609"/>
      <c r="EZG28" s="609"/>
      <c r="EZH28" s="609"/>
      <c r="EZI28" s="609"/>
      <c r="EZJ28" s="609"/>
      <c r="EZK28" s="609"/>
      <c r="EZL28" s="609"/>
      <c r="EZM28" s="609"/>
      <c r="EZN28" s="609"/>
      <c r="EZO28" s="609"/>
      <c r="EZP28" s="609"/>
      <c r="EZQ28" s="609"/>
      <c r="EZR28" s="609"/>
      <c r="EZS28" s="609"/>
      <c r="EZT28" s="609"/>
      <c r="EZU28" s="609"/>
      <c r="EZV28" s="609"/>
      <c r="EZW28" s="609"/>
      <c r="EZX28" s="609"/>
      <c r="EZY28" s="609"/>
      <c r="EZZ28" s="609"/>
      <c r="FAA28" s="609"/>
      <c r="FAB28" s="609"/>
      <c r="FAC28" s="609"/>
      <c r="FAD28" s="609"/>
      <c r="FAE28" s="609"/>
      <c r="FAF28" s="609"/>
      <c r="FAG28" s="609"/>
      <c r="FAH28" s="609"/>
      <c r="FAI28" s="609"/>
      <c r="FAJ28" s="609"/>
      <c r="FAK28" s="609"/>
      <c r="FAL28" s="609"/>
      <c r="FAM28" s="609"/>
      <c r="FAN28" s="609"/>
      <c r="FAO28" s="609"/>
      <c r="FAP28" s="609"/>
      <c r="FAQ28" s="609"/>
      <c r="FAR28" s="609"/>
      <c r="FAS28" s="609"/>
      <c r="FAT28" s="609"/>
      <c r="FAU28" s="609"/>
      <c r="FAV28" s="609"/>
      <c r="FAW28" s="609"/>
      <c r="FAX28" s="609"/>
      <c r="FAY28" s="609"/>
      <c r="FAZ28" s="609"/>
      <c r="FBA28" s="609"/>
      <c r="FBB28" s="609"/>
      <c r="FBC28" s="609"/>
      <c r="FBD28" s="609"/>
      <c r="FBE28" s="609"/>
      <c r="FBF28" s="609"/>
      <c r="FBG28" s="609"/>
      <c r="FBH28" s="609"/>
      <c r="FBI28" s="609"/>
      <c r="FBJ28" s="609"/>
      <c r="FBK28" s="609"/>
      <c r="FBL28" s="609"/>
      <c r="FBM28" s="609"/>
      <c r="FBN28" s="609"/>
      <c r="FBO28" s="609"/>
      <c r="FBP28" s="609"/>
      <c r="FBQ28" s="609"/>
      <c r="FBR28" s="609"/>
      <c r="FBS28" s="609"/>
      <c r="FBT28" s="609"/>
      <c r="FBU28" s="609"/>
      <c r="FBV28" s="609"/>
      <c r="FBW28" s="609"/>
      <c r="FBX28" s="609"/>
      <c r="FBY28" s="609"/>
      <c r="FBZ28" s="609"/>
      <c r="FCA28" s="609"/>
      <c r="FCB28" s="609"/>
      <c r="FCC28" s="609"/>
      <c r="FCD28" s="609"/>
      <c r="FCE28" s="609"/>
      <c r="FCF28" s="609"/>
      <c r="FCG28" s="609"/>
      <c r="FCH28" s="609"/>
      <c r="FCI28" s="609"/>
      <c r="FCJ28" s="609"/>
      <c r="FCK28" s="609"/>
      <c r="FCL28" s="609"/>
      <c r="FCM28" s="609"/>
      <c r="FCN28" s="609"/>
      <c r="FCO28" s="609"/>
      <c r="FCP28" s="609"/>
      <c r="FCQ28" s="609"/>
      <c r="FCR28" s="609"/>
      <c r="FCS28" s="609"/>
      <c r="FCT28" s="609"/>
      <c r="FCU28" s="609"/>
      <c r="FCV28" s="609"/>
      <c r="FCW28" s="609"/>
      <c r="FCX28" s="609"/>
      <c r="FCY28" s="609"/>
      <c r="FCZ28" s="609"/>
      <c r="FDA28" s="609"/>
      <c r="FDB28" s="609"/>
      <c r="FDC28" s="609"/>
      <c r="FDD28" s="609"/>
      <c r="FDE28" s="609"/>
      <c r="FDF28" s="609"/>
      <c r="FDG28" s="609"/>
      <c r="FDH28" s="609"/>
      <c r="FDI28" s="609"/>
      <c r="FDJ28" s="609"/>
      <c r="FDK28" s="609"/>
      <c r="FDL28" s="609"/>
      <c r="FDM28" s="609"/>
      <c r="FDN28" s="609"/>
      <c r="FDO28" s="609"/>
      <c r="FDP28" s="609"/>
      <c r="FDQ28" s="609"/>
      <c r="FDR28" s="609"/>
      <c r="FDS28" s="609"/>
      <c r="FDT28" s="609"/>
      <c r="FDU28" s="609"/>
      <c r="FDV28" s="609"/>
      <c r="FDW28" s="609"/>
      <c r="FDX28" s="609"/>
      <c r="FDY28" s="609"/>
      <c r="FDZ28" s="609"/>
      <c r="FEA28" s="609"/>
      <c r="FEB28" s="609"/>
      <c r="FEC28" s="609"/>
      <c r="FED28" s="609"/>
      <c r="FEE28" s="609"/>
      <c r="FEF28" s="609"/>
      <c r="FEG28" s="609"/>
      <c r="FEH28" s="609"/>
      <c r="FEI28" s="609"/>
      <c r="FEJ28" s="609"/>
      <c r="FEK28" s="609"/>
      <c r="FEL28" s="609"/>
      <c r="FEM28" s="609"/>
      <c r="FEN28" s="609"/>
      <c r="FEO28" s="609"/>
      <c r="FEP28" s="609"/>
      <c r="FEQ28" s="609"/>
      <c r="FER28" s="609"/>
      <c r="FES28" s="609"/>
      <c r="FET28" s="609"/>
      <c r="FEU28" s="609"/>
      <c r="FEV28" s="609"/>
      <c r="FEW28" s="609"/>
      <c r="FEX28" s="609"/>
      <c r="FEY28" s="609"/>
      <c r="FEZ28" s="609"/>
      <c r="FFA28" s="609"/>
      <c r="FFB28" s="609"/>
      <c r="FFC28" s="609"/>
      <c r="FFD28" s="609"/>
      <c r="FFE28" s="609"/>
      <c r="FFF28" s="609"/>
      <c r="FFG28" s="609"/>
      <c r="FFH28" s="609"/>
      <c r="FFI28" s="609"/>
      <c r="FFJ28" s="609"/>
      <c r="FFK28" s="609"/>
      <c r="FFL28" s="609"/>
      <c r="FFM28" s="609"/>
      <c r="FFN28" s="609"/>
      <c r="FFO28" s="609"/>
      <c r="FFP28" s="609"/>
      <c r="FFQ28" s="609"/>
      <c r="FFR28" s="609"/>
      <c r="FFS28" s="609"/>
      <c r="FFT28" s="609"/>
      <c r="FFU28" s="609"/>
      <c r="FFV28" s="609"/>
      <c r="FFW28" s="609"/>
      <c r="FFX28" s="609"/>
      <c r="FFY28" s="609"/>
      <c r="FFZ28" s="609"/>
      <c r="FGA28" s="609"/>
      <c r="FGB28" s="609"/>
      <c r="FGC28" s="609"/>
      <c r="FGD28" s="609"/>
      <c r="FGE28" s="609"/>
      <c r="FGF28" s="609"/>
      <c r="FGG28" s="609"/>
      <c r="FGH28" s="609"/>
      <c r="FGI28" s="609"/>
      <c r="FGJ28" s="609"/>
      <c r="FGK28" s="609"/>
      <c r="FGL28" s="609"/>
      <c r="FGM28" s="609"/>
      <c r="FGN28" s="609"/>
      <c r="FGO28" s="609"/>
      <c r="FGP28" s="609"/>
      <c r="FGQ28" s="609"/>
      <c r="FGR28" s="609"/>
      <c r="FGS28" s="609"/>
      <c r="FGT28" s="609"/>
      <c r="FGU28" s="609"/>
      <c r="FGV28" s="609"/>
      <c r="FGW28" s="609"/>
      <c r="FGX28" s="609"/>
      <c r="FGY28" s="609"/>
      <c r="FGZ28" s="609"/>
      <c r="FHA28" s="609"/>
      <c r="FHB28" s="609"/>
      <c r="FHC28" s="609"/>
      <c r="FHD28" s="609"/>
      <c r="FHE28" s="609"/>
      <c r="FHF28" s="609"/>
      <c r="FHG28" s="609"/>
      <c r="FHH28" s="609"/>
      <c r="FHI28" s="609"/>
      <c r="FHJ28" s="609"/>
      <c r="FHK28" s="609"/>
      <c r="FHL28" s="609"/>
      <c r="FHM28" s="609"/>
      <c r="FHN28" s="609"/>
      <c r="FHO28" s="609"/>
      <c r="FHP28" s="609"/>
      <c r="FHQ28" s="609"/>
      <c r="FHR28" s="609"/>
      <c r="FHS28" s="609"/>
      <c r="FHT28" s="609"/>
      <c r="FHU28" s="609"/>
      <c r="FHV28" s="609"/>
      <c r="FHW28" s="609"/>
      <c r="FHX28" s="609"/>
      <c r="FHY28" s="609"/>
      <c r="FHZ28" s="609"/>
      <c r="FIA28" s="609"/>
      <c r="FIB28" s="609"/>
      <c r="FIC28" s="609"/>
      <c r="FID28" s="609"/>
      <c r="FIE28" s="609"/>
      <c r="FIF28" s="609"/>
      <c r="FIG28" s="609"/>
      <c r="FIH28" s="609"/>
      <c r="FII28" s="609"/>
      <c r="FIJ28" s="609"/>
      <c r="FIK28" s="609"/>
      <c r="FIL28" s="609"/>
      <c r="FIM28" s="609"/>
      <c r="FIN28" s="609"/>
      <c r="FIO28" s="609"/>
      <c r="FIP28" s="609"/>
      <c r="FIQ28" s="609"/>
      <c r="FIR28" s="609"/>
      <c r="FIS28" s="609"/>
      <c r="FIT28" s="609"/>
      <c r="FIU28" s="609"/>
      <c r="FIV28" s="609"/>
      <c r="FIW28" s="609"/>
      <c r="FIX28" s="609"/>
      <c r="FIY28" s="609"/>
      <c r="FIZ28" s="609"/>
      <c r="FJA28" s="609"/>
      <c r="FJB28" s="609"/>
      <c r="FJC28" s="609"/>
      <c r="FJD28" s="609"/>
      <c r="FJE28" s="609"/>
      <c r="FJF28" s="609"/>
      <c r="FJG28" s="609"/>
      <c r="FJH28" s="609"/>
      <c r="FJI28" s="609"/>
      <c r="FJJ28" s="609"/>
      <c r="FJK28" s="609"/>
      <c r="FJL28" s="609"/>
      <c r="FJM28" s="609"/>
      <c r="FJN28" s="609"/>
      <c r="FJO28" s="609"/>
      <c r="FJP28" s="609"/>
      <c r="FJQ28" s="609"/>
      <c r="FJR28" s="609"/>
      <c r="FJS28" s="609"/>
      <c r="FJT28" s="609"/>
      <c r="FJU28" s="609"/>
      <c r="FJV28" s="609"/>
      <c r="FJW28" s="609"/>
      <c r="FJX28" s="609"/>
      <c r="FJY28" s="609"/>
      <c r="FJZ28" s="609"/>
      <c r="FKA28" s="609"/>
      <c r="FKB28" s="609"/>
      <c r="FKC28" s="609"/>
      <c r="FKD28" s="609"/>
      <c r="FKE28" s="609"/>
      <c r="FKF28" s="609"/>
      <c r="FKG28" s="609"/>
      <c r="FKH28" s="609"/>
      <c r="FKI28" s="609"/>
      <c r="FKJ28" s="609"/>
      <c r="FKK28" s="609"/>
      <c r="FKL28" s="609"/>
      <c r="FKM28" s="609"/>
      <c r="FKN28" s="609"/>
      <c r="FKO28" s="609"/>
      <c r="FKP28" s="609"/>
      <c r="FKQ28" s="609"/>
      <c r="FKR28" s="609"/>
      <c r="FKS28" s="609"/>
      <c r="FKT28" s="609"/>
      <c r="FKU28" s="609"/>
      <c r="FKV28" s="609"/>
      <c r="FKW28" s="609"/>
      <c r="FKX28" s="609"/>
      <c r="FKY28" s="609"/>
      <c r="FKZ28" s="609"/>
      <c r="FLA28" s="609"/>
      <c r="FLB28" s="609"/>
      <c r="FLC28" s="609"/>
      <c r="FLD28" s="609"/>
      <c r="FLE28" s="609"/>
      <c r="FLF28" s="609"/>
      <c r="FLG28" s="609"/>
      <c r="FLH28" s="609"/>
      <c r="FLI28" s="609"/>
      <c r="FLJ28" s="609"/>
      <c r="FLK28" s="609"/>
      <c r="FLL28" s="609"/>
      <c r="FLM28" s="609"/>
      <c r="FLN28" s="609"/>
      <c r="FLO28" s="609"/>
      <c r="FLP28" s="609"/>
      <c r="FLQ28" s="609"/>
      <c r="FLR28" s="609"/>
      <c r="FLS28" s="609"/>
      <c r="FLT28" s="609"/>
      <c r="FLU28" s="609"/>
      <c r="FLV28" s="609"/>
      <c r="FLW28" s="609"/>
      <c r="FLX28" s="609"/>
      <c r="FLY28" s="609"/>
      <c r="FLZ28" s="609"/>
      <c r="FMA28" s="609"/>
      <c r="FMB28" s="609"/>
      <c r="FMC28" s="609"/>
      <c r="FMD28" s="609"/>
      <c r="FME28" s="609"/>
      <c r="FMF28" s="609"/>
      <c r="FMG28" s="609"/>
      <c r="FMH28" s="609"/>
      <c r="FMI28" s="609"/>
      <c r="FMJ28" s="609"/>
      <c r="FMK28" s="609"/>
      <c r="FML28" s="609"/>
      <c r="FMM28" s="609"/>
      <c r="FMN28" s="609"/>
      <c r="FMO28" s="609"/>
      <c r="FMP28" s="609"/>
      <c r="FMQ28" s="609"/>
      <c r="FMR28" s="609"/>
      <c r="FMS28" s="609"/>
      <c r="FMT28" s="609"/>
      <c r="FMU28" s="609"/>
      <c r="FMV28" s="609"/>
      <c r="FMW28" s="609"/>
      <c r="FMX28" s="609"/>
      <c r="FMY28" s="609"/>
      <c r="FMZ28" s="609"/>
      <c r="FNA28" s="609"/>
      <c r="FNB28" s="609"/>
      <c r="FNC28" s="609"/>
      <c r="FND28" s="609"/>
      <c r="FNE28" s="609"/>
      <c r="FNF28" s="609"/>
      <c r="FNG28" s="609"/>
      <c r="FNH28" s="609"/>
      <c r="FNI28" s="609"/>
      <c r="FNJ28" s="609"/>
      <c r="FNK28" s="609"/>
      <c r="FNL28" s="609"/>
      <c r="FNM28" s="609"/>
      <c r="FNN28" s="609"/>
      <c r="FNO28" s="609"/>
      <c r="FNP28" s="609"/>
      <c r="FNQ28" s="609"/>
      <c r="FNR28" s="609"/>
      <c r="FNS28" s="609"/>
      <c r="FNT28" s="609"/>
      <c r="FNU28" s="609"/>
      <c r="FNV28" s="609"/>
      <c r="FNW28" s="609"/>
      <c r="FNX28" s="609"/>
      <c r="FNY28" s="609"/>
      <c r="FNZ28" s="609"/>
      <c r="FOA28" s="609"/>
      <c r="FOB28" s="609"/>
      <c r="FOC28" s="609"/>
      <c r="FOD28" s="609"/>
      <c r="FOE28" s="609"/>
      <c r="FOF28" s="609"/>
      <c r="FOG28" s="609"/>
      <c r="FOH28" s="609"/>
      <c r="FOI28" s="609"/>
      <c r="FOJ28" s="609"/>
      <c r="FOK28" s="609"/>
      <c r="FOL28" s="609"/>
      <c r="FOM28" s="609"/>
      <c r="FON28" s="609"/>
      <c r="FOO28" s="609"/>
      <c r="FOP28" s="609"/>
      <c r="FOQ28" s="609"/>
      <c r="FOR28" s="609"/>
      <c r="FOS28" s="609"/>
      <c r="FOT28" s="609"/>
      <c r="FOU28" s="609"/>
      <c r="FOV28" s="609"/>
      <c r="FOW28" s="609"/>
      <c r="FOX28" s="609"/>
      <c r="FOY28" s="609"/>
      <c r="FOZ28" s="609"/>
      <c r="FPA28" s="609"/>
      <c r="FPB28" s="609"/>
      <c r="FPC28" s="609"/>
      <c r="FPD28" s="609"/>
      <c r="FPE28" s="609"/>
      <c r="FPF28" s="609"/>
      <c r="FPG28" s="609"/>
      <c r="FPH28" s="609"/>
      <c r="FPI28" s="609"/>
      <c r="FPJ28" s="609"/>
      <c r="FPK28" s="609"/>
      <c r="FPL28" s="609"/>
      <c r="FPM28" s="609"/>
      <c r="FPN28" s="609"/>
      <c r="FPO28" s="609"/>
      <c r="FPP28" s="609"/>
      <c r="FPQ28" s="609"/>
      <c r="FPR28" s="609"/>
      <c r="FPS28" s="609"/>
      <c r="FPT28" s="609"/>
      <c r="FPU28" s="609"/>
      <c r="FPV28" s="609"/>
      <c r="FPW28" s="609"/>
      <c r="FPX28" s="609"/>
      <c r="FPY28" s="609"/>
      <c r="FPZ28" s="609"/>
      <c r="FQA28" s="609"/>
      <c r="FQB28" s="609"/>
      <c r="FQC28" s="609"/>
      <c r="FQD28" s="609"/>
      <c r="FQE28" s="609"/>
      <c r="FQF28" s="609"/>
      <c r="FQG28" s="609"/>
      <c r="FQH28" s="609"/>
      <c r="FQI28" s="609"/>
      <c r="FQJ28" s="609"/>
      <c r="FQK28" s="609"/>
      <c r="FQL28" s="609"/>
      <c r="FQM28" s="609"/>
      <c r="FQN28" s="609"/>
      <c r="FQO28" s="609"/>
      <c r="FQP28" s="609"/>
      <c r="FQQ28" s="609"/>
      <c r="FQR28" s="609"/>
      <c r="FQS28" s="609"/>
      <c r="FQT28" s="609"/>
      <c r="FQU28" s="609"/>
      <c r="FQV28" s="609"/>
      <c r="FQW28" s="609"/>
      <c r="FQX28" s="609"/>
      <c r="FQY28" s="609"/>
      <c r="FQZ28" s="609"/>
      <c r="FRA28" s="609"/>
      <c r="FRB28" s="609"/>
      <c r="FRC28" s="609"/>
      <c r="FRD28" s="609"/>
      <c r="FRE28" s="609"/>
      <c r="FRF28" s="609"/>
      <c r="FRG28" s="609"/>
      <c r="FRH28" s="609"/>
      <c r="FRI28" s="609"/>
      <c r="FRJ28" s="609"/>
      <c r="FRK28" s="609"/>
      <c r="FRL28" s="609"/>
      <c r="FRM28" s="609"/>
      <c r="FRN28" s="609"/>
      <c r="FRO28" s="609"/>
      <c r="FRP28" s="609"/>
      <c r="FRQ28" s="609"/>
      <c r="FRR28" s="609"/>
      <c r="FRS28" s="609"/>
      <c r="FRT28" s="609"/>
      <c r="FRU28" s="609"/>
      <c r="FRV28" s="609"/>
      <c r="FRW28" s="609"/>
      <c r="FRX28" s="609"/>
      <c r="FRY28" s="609"/>
      <c r="FRZ28" s="609"/>
      <c r="FSA28" s="609"/>
      <c r="FSB28" s="609"/>
      <c r="FSC28" s="609"/>
      <c r="FSD28" s="609"/>
      <c r="FSE28" s="609"/>
      <c r="FSF28" s="609"/>
      <c r="FSG28" s="609"/>
      <c r="FSH28" s="609"/>
      <c r="FSI28" s="609"/>
      <c r="FSJ28" s="609"/>
      <c r="FSK28" s="609"/>
      <c r="FSL28" s="609"/>
      <c r="FSM28" s="609"/>
      <c r="FSN28" s="609"/>
      <c r="FSO28" s="609"/>
      <c r="FSP28" s="609"/>
      <c r="FSQ28" s="609"/>
      <c r="FSR28" s="609"/>
      <c r="FSS28" s="609"/>
      <c r="FST28" s="609"/>
      <c r="FSU28" s="609"/>
      <c r="FSV28" s="609"/>
      <c r="FSW28" s="609"/>
      <c r="FSX28" s="609"/>
      <c r="FSY28" s="609"/>
      <c r="FSZ28" s="609"/>
      <c r="FTA28" s="609"/>
      <c r="FTB28" s="609"/>
      <c r="FTC28" s="609"/>
      <c r="FTD28" s="609"/>
      <c r="FTE28" s="609"/>
      <c r="FTF28" s="609"/>
      <c r="FTG28" s="609"/>
      <c r="FTH28" s="609"/>
      <c r="FTI28" s="609"/>
      <c r="FTJ28" s="609"/>
      <c r="FTK28" s="609"/>
      <c r="FTL28" s="609"/>
      <c r="FTM28" s="609"/>
      <c r="FTN28" s="609"/>
      <c r="FTO28" s="609"/>
      <c r="FTP28" s="609"/>
      <c r="FTQ28" s="609"/>
      <c r="FTR28" s="609"/>
      <c r="FTS28" s="609"/>
      <c r="FTT28" s="609"/>
      <c r="FTU28" s="609"/>
      <c r="FTV28" s="609"/>
      <c r="FTW28" s="609"/>
      <c r="FTX28" s="609"/>
      <c r="FTY28" s="609"/>
      <c r="FTZ28" s="609"/>
      <c r="FUA28" s="609"/>
      <c r="FUB28" s="609"/>
      <c r="FUC28" s="609"/>
      <c r="FUD28" s="609"/>
      <c r="FUE28" s="609"/>
      <c r="FUF28" s="609"/>
      <c r="FUG28" s="609"/>
      <c r="FUH28" s="609"/>
      <c r="FUI28" s="609"/>
      <c r="FUJ28" s="609"/>
      <c r="FUK28" s="609"/>
      <c r="FUL28" s="609"/>
      <c r="FUM28" s="609"/>
      <c r="FUN28" s="609"/>
      <c r="FUO28" s="609"/>
      <c r="FUP28" s="609"/>
      <c r="FUQ28" s="609"/>
      <c r="FUR28" s="609"/>
      <c r="FUS28" s="609"/>
      <c r="FUT28" s="609"/>
      <c r="FUU28" s="609"/>
      <c r="FUV28" s="609"/>
      <c r="FUW28" s="609"/>
      <c r="FUX28" s="609"/>
      <c r="FUY28" s="609"/>
      <c r="FUZ28" s="609"/>
      <c r="FVA28" s="609"/>
      <c r="FVB28" s="609"/>
      <c r="FVC28" s="609"/>
      <c r="FVD28" s="609"/>
      <c r="FVE28" s="609"/>
      <c r="FVF28" s="609"/>
      <c r="FVG28" s="609"/>
      <c r="FVH28" s="609"/>
      <c r="FVI28" s="609"/>
      <c r="FVJ28" s="609"/>
      <c r="FVK28" s="609"/>
      <c r="FVL28" s="609"/>
      <c r="FVM28" s="609"/>
      <c r="FVN28" s="609"/>
      <c r="FVO28" s="609"/>
      <c r="FVP28" s="609"/>
      <c r="FVQ28" s="609"/>
      <c r="FVR28" s="609"/>
      <c r="FVS28" s="609"/>
      <c r="FVT28" s="609"/>
      <c r="FVU28" s="609"/>
      <c r="FVV28" s="609"/>
      <c r="FVW28" s="609"/>
      <c r="FVX28" s="609"/>
      <c r="FVY28" s="609"/>
      <c r="FVZ28" s="609"/>
      <c r="FWA28" s="609"/>
      <c r="FWB28" s="609"/>
      <c r="FWC28" s="609"/>
      <c r="FWD28" s="609"/>
      <c r="FWE28" s="609"/>
      <c r="FWF28" s="609"/>
      <c r="FWG28" s="609"/>
      <c r="FWH28" s="609"/>
      <c r="FWI28" s="609"/>
      <c r="FWJ28" s="609"/>
      <c r="FWK28" s="609"/>
      <c r="FWL28" s="609"/>
      <c r="FWM28" s="609"/>
      <c r="FWN28" s="609"/>
      <c r="FWO28" s="609"/>
      <c r="FWP28" s="609"/>
      <c r="FWQ28" s="609"/>
      <c r="FWR28" s="609"/>
      <c r="FWS28" s="609"/>
      <c r="FWT28" s="609"/>
      <c r="FWU28" s="609"/>
      <c r="FWV28" s="609"/>
      <c r="FWW28" s="609"/>
      <c r="FWX28" s="609"/>
      <c r="FWY28" s="609"/>
      <c r="FWZ28" s="609"/>
      <c r="FXA28" s="609"/>
      <c r="FXB28" s="609"/>
      <c r="FXC28" s="609"/>
      <c r="FXD28" s="609"/>
      <c r="FXE28" s="609"/>
      <c r="FXF28" s="609"/>
      <c r="FXG28" s="609"/>
      <c r="FXH28" s="609"/>
      <c r="FXI28" s="609"/>
      <c r="FXJ28" s="609"/>
      <c r="FXK28" s="609"/>
      <c r="FXL28" s="609"/>
      <c r="FXM28" s="609"/>
      <c r="FXN28" s="609"/>
      <c r="FXO28" s="609"/>
      <c r="FXP28" s="609"/>
      <c r="FXQ28" s="609"/>
      <c r="FXR28" s="609"/>
      <c r="FXS28" s="609"/>
      <c r="FXT28" s="609"/>
      <c r="FXU28" s="609"/>
      <c r="FXV28" s="609"/>
      <c r="FXW28" s="609"/>
      <c r="FXX28" s="609"/>
      <c r="FXY28" s="609"/>
      <c r="FXZ28" s="609"/>
      <c r="FYA28" s="609"/>
      <c r="FYB28" s="609"/>
      <c r="FYC28" s="609"/>
      <c r="FYD28" s="609"/>
      <c r="FYE28" s="609"/>
      <c r="FYF28" s="609"/>
      <c r="FYG28" s="609"/>
      <c r="FYH28" s="609"/>
      <c r="FYI28" s="609"/>
      <c r="FYJ28" s="609"/>
      <c r="FYK28" s="609"/>
      <c r="FYL28" s="609"/>
      <c r="FYM28" s="609"/>
      <c r="FYN28" s="609"/>
      <c r="FYO28" s="609"/>
      <c r="FYP28" s="609"/>
      <c r="FYQ28" s="609"/>
      <c r="FYR28" s="609"/>
      <c r="FYS28" s="609"/>
      <c r="FYT28" s="609"/>
      <c r="FYU28" s="609"/>
      <c r="FYV28" s="609"/>
      <c r="FYW28" s="609"/>
      <c r="FYX28" s="609"/>
      <c r="FYY28" s="609"/>
      <c r="FYZ28" s="609"/>
      <c r="FZA28" s="609"/>
      <c r="FZB28" s="609"/>
      <c r="FZC28" s="609"/>
      <c r="FZD28" s="609"/>
      <c r="FZE28" s="609"/>
      <c r="FZF28" s="609"/>
      <c r="FZG28" s="609"/>
      <c r="FZH28" s="609"/>
      <c r="FZI28" s="609"/>
      <c r="FZJ28" s="609"/>
      <c r="FZK28" s="609"/>
      <c r="FZL28" s="609"/>
      <c r="FZM28" s="609"/>
      <c r="FZN28" s="609"/>
      <c r="FZO28" s="609"/>
      <c r="FZP28" s="609"/>
      <c r="FZQ28" s="609"/>
      <c r="FZR28" s="609"/>
      <c r="FZS28" s="609"/>
      <c r="FZT28" s="609"/>
      <c r="FZU28" s="609"/>
      <c r="FZV28" s="609"/>
      <c r="FZW28" s="609"/>
      <c r="FZX28" s="609"/>
      <c r="FZY28" s="609"/>
      <c r="FZZ28" s="609"/>
      <c r="GAA28" s="609"/>
      <c r="GAB28" s="609"/>
      <c r="GAC28" s="609"/>
      <c r="GAD28" s="609"/>
      <c r="GAE28" s="609"/>
      <c r="GAF28" s="609"/>
      <c r="GAG28" s="609"/>
      <c r="GAH28" s="609"/>
      <c r="GAI28" s="609"/>
      <c r="GAJ28" s="609"/>
      <c r="GAK28" s="609"/>
      <c r="GAL28" s="609"/>
      <c r="GAM28" s="609"/>
      <c r="GAN28" s="609"/>
      <c r="GAO28" s="609"/>
      <c r="GAP28" s="609"/>
      <c r="GAQ28" s="609"/>
      <c r="GAR28" s="609"/>
      <c r="GAS28" s="609"/>
      <c r="GAT28" s="609"/>
      <c r="GAU28" s="609"/>
      <c r="GAV28" s="609"/>
      <c r="GAW28" s="609"/>
      <c r="GAX28" s="609"/>
      <c r="GAY28" s="609"/>
      <c r="GAZ28" s="609"/>
      <c r="GBA28" s="609"/>
      <c r="GBB28" s="609"/>
      <c r="GBC28" s="609"/>
      <c r="GBD28" s="609"/>
      <c r="GBE28" s="609"/>
      <c r="GBF28" s="609"/>
      <c r="GBG28" s="609"/>
      <c r="GBH28" s="609"/>
      <c r="GBI28" s="609"/>
      <c r="GBJ28" s="609"/>
      <c r="GBK28" s="609"/>
      <c r="GBL28" s="609"/>
      <c r="GBM28" s="609"/>
      <c r="GBN28" s="609"/>
      <c r="GBO28" s="609"/>
      <c r="GBP28" s="609"/>
      <c r="GBQ28" s="609"/>
      <c r="GBR28" s="609"/>
      <c r="GBS28" s="609"/>
      <c r="GBT28" s="609"/>
      <c r="GBU28" s="609"/>
      <c r="GBV28" s="609"/>
      <c r="GBW28" s="609"/>
      <c r="GBX28" s="609"/>
      <c r="GBY28" s="609"/>
      <c r="GBZ28" s="609"/>
      <c r="GCA28" s="609"/>
      <c r="GCB28" s="609"/>
      <c r="GCC28" s="609"/>
      <c r="GCD28" s="609"/>
      <c r="GCE28" s="609"/>
      <c r="GCF28" s="609"/>
      <c r="GCG28" s="609"/>
      <c r="GCH28" s="609"/>
      <c r="GCI28" s="609"/>
      <c r="GCJ28" s="609"/>
      <c r="GCK28" s="609"/>
      <c r="GCL28" s="609"/>
      <c r="GCM28" s="609"/>
      <c r="GCN28" s="609"/>
      <c r="GCO28" s="609"/>
      <c r="GCP28" s="609"/>
      <c r="GCQ28" s="609"/>
      <c r="GCR28" s="609"/>
      <c r="GCS28" s="609"/>
      <c r="GCT28" s="609"/>
      <c r="GCU28" s="609"/>
      <c r="GCV28" s="609"/>
      <c r="GCW28" s="609"/>
      <c r="GCX28" s="609"/>
      <c r="GCY28" s="609"/>
      <c r="GCZ28" s="609"/>
      <c r="GDA28" s="609"/>
      <c r="GDB28" s="609"/>
      <c r="GDC28" s="609"/>
      <c r="GDD28" s="609"/>
      <c r="GDE28" s="609"/>
      <c r="GDF28" s="609"/>
      <c r="GDG28" s="609"/>
      <c r="GDH28" s="609"/>
      <c r="GDI28" s="609"/>
      <c r="GDJ28" s="609"/>
      <c r="GDK28" s="609"/>
      <c r="GDL28" s="609"/>
      <c r="GDM28" s="609"/>
      <c r="GDN28" s="609"/>
      <c r="GDO28" s="609"/>
      <c r="GDP28" s="609"/>
      <c r="GDQ28" s="609"/>
      <c r="GDR28" s="609"/>
      <c r="GDS28" s="609"/>
      <c r="GDT28" s="609"/>
      <c r="GDU28" s="609"/>
      <c r="GDV28" s="609"/>
      <c r="GDW28" s="609"/>
      <c r="GDX28" s="609"/>
      <c r="GDY28" s="609"/>
      <c r="GDZ28" s="609"/>
      <c r="GEA28" s="609"/>
      <c r="GEB28" s="609"/>
      <c r="GEC28" s="609"/>
      <c r="GED28" s="609"/>
      <c r="GEE28" s="609"/>
      <c r="GEF28" s="609"/>
      <c r="GEG28" s="609"/>
      <c r="GEH28" s="609"/>
      <c r="GEI28" s="609"/>
      <c r="GEJ28" s="609"/>
      <c r="GEK28" s="609"/>
      <c r="GEL28" s="609"/>
      <c r="GEM28" s="609"/>
      <c r="GEN28" s="609"/>
      <c r="GEO28" s="609"/>
      <c r="GEP28" s="609"/>
      <c r="GEQ28" s="609"/>
      <c r="GER28" s="609"/>
      <c r="GES28" s="609"/>
      <c r="GET28" s="609"/>
      <c r="GEU28" s="609"/>
      <c r="GEV28" s="609"/>
      <c r="GEW28" s="609"/>
      <c r="GEX28" s="609"/>
      <c r="GEY28" s="609"/>
      <c r="GEZ28" s="609"/>
      <c r="GFA28" s="609"/>
      <c r="GFB28" s="609"/>
      <c r="GFC28" s="609"/>
      <c r="GFD28" s="609"/>
      <c r="GFE28" s="609"/>
      <c r="GFF28" s="609"/>
      <c r="GFG28" s="609"/>
      <c r="GFH28" s="609"/>
      <c r="GFI28" s="609"/>
      <c r="GFJ28" s="609"/>
      <c r="GFK28" s="609"/>
      <c r="GFL28" s="609"/>
      <c r="GFM28" s="609"/>
      <c r="GFN28" s="609"/>
      <c r="GFO28" s="609"/>
      <c r="GFP28" s="609"/>
      <c r="GFQ28" s="609"/>
      <c r="GFR28" s="609"/>
      <c r="GFS28" s="609"/>
      <c r="GFT28" s="609"/>
      <c r="GFU28" s="609"/>
      <c r="GFV28" s="609"/>
      <c r="GFW28" s="609"/>
      <c r="GFX28" s="609"/>
      <c r="GFY28" s="609"/>
      <c r="GFZ28" s="609"/>
      <c r="GGA28" s="609"/>
      <c r="GGB28" s="609"/>
      <c r="GGC28" s="609"/>
      <c r="GGD28" s="609"/>
      <c r="GGE28" s="609"/>
      <c r="GGF28" s="609"/>
      <c r="GGG28" s="609"/>
      <c r="GGH28" s="609"/>
      <c r="GGI28" s="609"/>
      <c r="GGJ28" s="609"/>
      <c r="GGK28" s="609"/>
      <c r="GGL28" s="609"/>
      <c r="GGM28" s="609"/>
      <c r="GGN28" s="609"/>
      <c r="GGO28" s="609"/>
      <c r="GGP28" s="609"/>
      <c r="GGQ28" s="609"/>
      <c r="GGR28" s="609"/>
      <c r="GGS28" s="609"/>
      <c r="GGT28" s="609"/>
      <c r="GGU28" s="609"/>
      <c r="GGV28" s="609"/>
      <c r="GGW28" s="609"/>
      <c r="GGX28" s="609"/>
      <c r="GGY28" s="609"/>
      <c r="GGZ28" s="609"/>
      <c r="GHA28" s="609"/>
      <c r="GHB28" s="609"/>
      <c r="GHC28" s="609"/>
      <c r="GHD28" s="609"/>
      <c r="GHE28" s="609"/>
      <c r="GHF28" s="609"/>
      <c r="GHG28" s="609"/>
      <c r="GHH28" s="609"/>
      <c r="GHI28" s="609"/>
      <c r="GHJ28" s="609"/>
      <c r="GHK28" s="609"/>
      <c r="GHL28" s="609"/>
      <c r="GHM28" s="609"/>
      <c r="GHN28" s="609"/>
      <c r="GHO28" s="609"/>
      <c r="GHP28" s="609"/>
      <c r="GHQ28" s="609"/>
      <c r="GHR28" s="609"/>
      <c r="GHS28" s="609"/>
      <c r="GHT28" s="609"/>
      <c r="GHU28" s="609"/>
      <c r="GHV28" s="609"/>
      <c r="GHW28" s="609"/>
      <c r="GHX28" s="609"/>
      <c r="GHY28" s="609"/>
      <c r="GHZ28" s="609"/>
      <c r="GIA28" s="609"/>
      <c r="GIB28" s="609"/>
      <c r="GIC28" s="609"/>
      <c r="GID28" s="609"/>
      <c r="GIE28" s="609"/>
      <c r="GIF28" s="609"/>
      <c r="GIG28" s="609"/>
      <c r="GIH28" s="609"/>
      <c r="GII28" s="609"/>
      <c r="GIJ28" s="609"/>
      <c r="GIK28" s="609"/>
      <c r="GIL28" s="609"/>
      <c r="GIM28" s="609"/>
      <c r="GIN28" s="609"/>
      <c r="GIO28" s="609"/>
      <c r="GIP28" s="609"/>
      <c r="GIQ28" s="609"/>
      <c r="GIR28" s="609"/>
      <c r="GIS28" s="609"/>
      <c r="GIT28" s="609"/>
      <c r="GIU28" s="609"/>
      <c r="GIV28" s="609"/>
      <c r="GIW28" s="609"/>
      <c r="GIX28" s="609"/>
      <c r="GIY28" s="609"/>
      <c r="GIZ28" s="609"/>
      <c r="GJA28" s="609"/>
      <c r="GJB28" s="609"/>
      <c r="GJC28" s="609"/>
      <c r="GJD28" s="609"/>
      <c r="GJE28" s="609"/>
      <c r="GJF28" s="609"/>
      <c r="GJG28" s="609"/>
      <c r="GJH28" s="609"/>
      <c r="GJI28" s="609"/>
      <c r="GJJ28" s="609"/>
      <c r="GJK28" s="609"/>
      <c r="GJL28" s="609"/>
      <c r="GJM28" s="609"/>
      <c r="GJN28" s="609"/>
      <c r="GJO28" s="609"/>
      <c r="GJP28" s="609"/>
      <c r="GJQ28" s="609"/>
      <c r="GJR28" s="609"/>
      <c r="GJS28" s="609"/>
      <c r="GJT28" s="609"/>
      <c r="GJU28" s="609"/>
      <c r="GJV28" s="609"/>
      <c r="GJW28" s="609"/>
      <c r="GJX28" s="609"/>
      <c r="GJY28" s="609"/>
      <c r="GJZ28" s="609"/>
      <c r="GKA28" s="609"/>
      <c r="GKB28" s="609"/>
      <c r="GKC28" s="609"/>
      <c r="GKD28" s="609"/>
      <c r="GKE28" s="609"/>
      <c r="GKF28" s="609"/>
      <c r="GKG28" s="609"/>
      <c r="GKH28" s="609"/>
      <c r="GKI28" s="609"/>
      <c r="GKJ28" s="609"/>
      <c r="GKK28" s="609"/>
      <c r="GKL28" s="609"/>
      <c r="GKM28" s="609"/>
      <c r="GKN28" s="609"/>
      <c r="GKO28" s="609"/>
      <c r="GKP28" s="609"/>
      <c r="GKQ28" s="609"/>
      <c r="GKR28" s="609"/>
      <c r="GKS28" s="609"/>
      <c r="GKT28" s="609"/>
      <c r="GKU28" s="609"/>
      <c r="GKV28" s="609"/>
      <c r="GKW28" s="609"/>
      <c r="GKX28" s="609"/>
      <c r="GKY28" s="609"/>
      <c r="GKZ28" s="609"/>
      <c r="GLA28" s="609"/>
      <c r="GLB28" s="609"/>
      <c r="GLC28" s="609"/>
      <c r="GLD28" s="609"/>
      <c r="GLE28" s="609"/>
      <c r="GLF28" s="609"/>
      <c r="GLG28" s="609"/>
      <c r="GLH28" s="609"/>
      <c r="GLI28" s="609"/>
      <c r="GLJ28" s="609"/>
      <c r="GLK28" s="609"/>
      <c r="GLL28" s="609"/>
      <c r="GLM28" s="609"/>
      <c r="GLN28" s="609"/>
      <c r="GLO28" s="609"/>
      <c r="GLP28" s="609"/>
      <c r="GLQ28" s="609"/>
      <c r="GLR28" s="609"/>
      <c r="GLS28" s="609"/>
      <c r="GLT28" s="609"/>
      <c r="GLU28" s="609"/>
      <c r="GLV28" s="609"/>
      <c r="GLW28" s="609"/>
      <c r="GLX28" s="609"/>
      <c r="GLY28" s="609"/>
      <c r="GLZ28" s="609"/>
      <c r="GMA28" s="609"/>
      <c r="GMB28" s="609"/>
      <c r="GMC28" s="609"/>
      <c r="GMD28" s="609"/>
      <c r="GME28" s="609"/>
      <c r="GMF28" s="609"/>
      <c r="GMG28" s="609"/>
      <c r="GMH28" s="609"/>
      <c r="GMI28" s="609"/>
      <c r="GMJ28" s="609"/>
      <c r="GMK28" s="609"/>
      <c r="GML28" s="609"/>
      <c r="GMM28" s="609"/>
      <c r="GMN28" s="609"/>
      <c r="GMO28" s="609"/>
      <c r="GMP28" s="609"/>
      <c r="GMQ28" s="609"/>
      <c r="GMR28" s="609"/>
      <c r="GMS28" s="609"/>
      <c r="GMT28" s="609"/>
      <c r="GMU28" s="609"/>
      <c r="GMV28" s="609"/>
      <c r="GMW28" s="609"/>
      <c r="GMX28" s="609"/>
      <c r="GMY28" s="609"/>
      <c r="GMZ28" s="609"/>
      <c r="GNA28" s="609"/>
      <c r="GNB28" s="609"/>
      <c r="GNC28" s="609"/>
      <c r="GND28" s="609"/>
      <c r="GNE28" s="609"/>
      <c r="GNF28" s="609"/>
      <c r="GNG28" s="609"/>
      <c r="GNH28" s="609"/>
      <c r="GNI28" s="609"/>
      <c r="GNJ28" s="609"/>
      <c r="GNK28" s="609"/>
      <c r="GNL28" s="609"/>
      <c r="GNM28" s="609"/>
      <c r="GNN28" s="609"/>
      <c r="GNO28" s="609"/>
      <c r="GNP28" s="609"/>
      <c r="GNQ28" s="609"/>
      <c r="GNR28" s="609"/>
      <c r="GNS28" s="609"/>
      <c r="GNT28" s="609"/>
      <c r="GNU28" s="609"/>
      <c r="GNV28" s="609"/>
      <c r="GNW28" s="609"/>
      <c r="GNX28" s="609"/>
      <c r="GNY28" s="609"/>
      <c r="GNZ28" s="609"/>
      <c r="GOA28" s="609"/>
      <c r="GOB28" s="609"/>
      <c r="GOC28" s="609"/>
      <c r="GOD28" s="609"/>
      <c r="GOE28" s="609"/>
      <c r="GOF28" s="609"/>
      <c r="GOG28" s="609"/>
      <c r="GOH28" s="609"/>
      <c r="GOI28" s="609"/>
      <c r="GOJ28" s="609"/>
      <c r="GOK28" s="609"/>
      <c r="GOL28" s="609"/>
      <c r="GOM28" s="609"/>
      <c r="GON28" s="609"/>
      <c r="GOO28" s="609"/>
      <c r="GOP28" s="609"/>
      <c r="GOQ28" s="609"/>
      <c r="GOR28" s="609"/>
      <c r="GOS28" s="609"/>
      <c r="GOT28" s="609"/>
      <c r="GOU28" s="609"/>
      <c r="GOV28" s="609"/>
      <c r="GOW28" s="609"/>
      <c r="GOX28" s="609"/>
      <c r="GOY28" s="609"/>
      <c r="GOZ28" s="609"/>
      <c r="GPA28" s="609"/>
      <c r="GPB28" s="609"/>
      <c r="GPC28" s="609"/>
      <c r="GPD28" s="609"/>
      <c r="GPE28" s="609"/>
      <c r="GPF28" s="609"/>
      <c r="GPG28" s="609"/>
      <c r="GPH28" s="609"/>
      <c r="GPI28" s="609"/>
      <c r="GPJ28" s="609"/>
      <c r="GPK28" s="609"/>
      <c r="GPL28" s="609"/>
      <c r="GPM28" s="609"/>
      <c r="GPN28" s="609"/>
      <c r="GPO28" s="609"/>
      <c r="GPP28" s="609"/>
      <c r="GPQ28" s="609"/>
      <c r="GPR28" s="609"/>
      <c r="GPS28" s="609"/>
      <c r="GPT28" s="609"/>
      <c r="GPU28" s="609"/>
      <c r="GPV28" s="609"/>
      <c r="GPW28" s="609"/>
      <c r="GPX28" s="609"/>
      <c r="GPY28" s="609"/>
      <c r="GPZ28" s="609"/>
      <c r="GQA28" s="609"/>
      <c r="GQB28" s="609"/>
      <c r="GQC28" s="609"/>
      <c r="GQD28" s="609"/>
      <c r="GQE28" s="609"/>
      <c r="GQF28" s="609"/>
      <c r="GQG28" s="609"/>
      <c r="GQH28" s="609"/>
      <c r="GQI28" s="609"/>
      <c r="GQJ28" s="609"/>
      <c r="GQK28" s="609"/>
      <c r="GQL28" s="609"/>
      <c r="GQM28" s="609"/>
      <c r="GQN28" s="609"/>
      <c r="GQO28" s="609"/>
      <c r="GQP28" s="609"/>
      <c r="GQQ28" s="609"/>
      <c r="GQR28" s="609"/>
      <c r="GQS28" s="609"/>
      <c r="GQT28" s="609"/>
      <c r="GQU28" s="609"/>
      <c r="GQV28" s="609"/>
      <c r="GQW28" s="609"/>
      <c r="GQX28" s="609"/>
      <c r="GQY28" s="609"/>
      <c r="GQZ28" s="609"/>
      <c r="GRA28" s="609"/>
      <c r="GRB28" s="609"/>
      <c r="GRC28" s="609"/>
      <c r="GRD28" s="609"/>
      <c r="GRE28" s="609"/>
      <c r="GRF28" s="609"/>
      <c r="GRG28" s="609"/>
      <c r="GRH28" s="609"/>
      <c r="GRI28" s="609"/>
      <c r="GRJ28" s="609"/>
      <c r="GRK28" s="609"/>
      <c r="GRL28" s="609"/>
      <c r="GRM28" s="609"/>
      <c r="GRN28" s="609"/>
      <c r="GRO28" s="609"/>
      <c r="GRP28" s="609"/>
      <c r="GRQ28" s="609"/>
      <c r="GRR28" s="609"/>
      <c r="GRS28" s="609"/>
      <c r="GRT28" s="609"/>
      <c r="GRU28" s="609"/>
      <c r="GRV28" s="609"/>
      <c r="GRW28" s="609"/>
      <c r="GRX28" s="609"/>
      <c r="GRY28" s="609"/>
      <c r="GRZ28" s="609"/>
      <c r="GSA28" s="609"/>
      <c r="GSB28" s="609"/>
      <c r="GSC28" s="609"/>
      <c r="GSD28" s="609"/>
      <c r="GSE28" s="609"/>
      <c r="GSF28" s="609"/>
      <c r="GSG28" s="609"/>
      <c r="GSH28" s="609"/>
      <c r="GSI28" s="609"/>
      <c r="GSJ28" s="609"/>
      <c r="GSK28" s="609"/>
      <c r="GSL28" s="609"/>
      <c r="GSM28" s="609"/>
      <c r="GSN28" s="609"/>
      <c r="GSO28" s="609"/>
      <c r="GSP28" s="609"/>
      <c r="GSQ28" s="609"/>
      <c r="GSR28" s="609"/>
      <c r="GSS28" s="609"/>
      <c r="GST28" s="609"/>
      <c r="GSU28" s="609"/>
      <c r="GSV28" s="609"/>
      <c r="GSW28" s="609"/>
      <c r="GSX28" s="609"/>
      <c r="GSY28" s="609"/>
      <c r="GSZ28" s="609"/>
      <c r="GTA28" s="609"/>
      <c r="GTB28" s="609"/>
      <c r="GTC28" s="609"/>
      <c r="GTD28" s="609"/>
      <c r="GTE28" s="609"/>
      <c r="GTF28" s="609"/>
      <c r="GTG28" s="609"/>
      <c r="GTH28" s="609"/>
      <c r="GTI28" s="609"/>
      <c r="GTJ28" s="609"/>
      <c r="GTK28" s="609"/>
      <c r="GTL28" s="609"/>
      <c r="GTM28" s="609"/>
      <c r="GTN28" s="609"/>
      <c r="GTO28" s="609"/>
      <c r="GTP28" s="609"/>
      <c r="GTQ28" s="609"/>
      <c r="GTR28" s="609"/>
      <c r="GTS28" s="609"/>
      <c r="GTT28" s="609"/>
      <c r="GTU28" s="609"/>
      <c r="GTV28" s="609"/>
      <c r="GTW28" s="609"/>
      <c r="GTX28" s="609"/>
      <c r="GTY28" s="609"/>
      <c r="GTZ28" s="609"/>
      <c r="GUA28" s="609"/>
      <c r="GUB28" s="609"/>
      <c r="GUC28" s="609"/>
      <c r="GUD28" s="609"/>
      <c r="GUE28" s="609"/>
      <c r="GUF28" s="609"/>
      <c r="GUG28" s="609"/>
      <c r="GUH28" s="609"/>
      <c r="GUI28" s="609"/>
      <c r="GUJ28" s="609"/>
      <c r="GUK28" s="609"/>
      <c r="GUL28" s="609"/>
      <c r="GUM28" s="609"/>
      <c r="GUN28" s="609"/>
      <c r="GUO28" s="609"/>
      <c r="GUP28" s="609"/>
      <c r="GUQ28" s="609"/>
      <c r="GUR28" s="609"/>
      <c r="GUS28" s="609"/>
      <c r="GUT28" s="609"/>
      <c r="GUU28" s="609"/>
      <c r="GUV28" s="609"/>
      <c r="GUW28" s="609"/>
      <c r="GUX28" s="609"/>
      <c r="GUY28" s="609"/>
      <c r="GUZ28" s="609"/>
      <c r="GVA28" s="609"/>
      <c r="GVB28" s="609"/>
      <c r="GVC28" s="609"/>
      <c r="GVD28" s="609"/>
      <c r="GVE28" s="609"/>
      <c r="GVF28" s="609"/>
      <c r="GVG28" s="609"/>
      <c r="GVH28" s="609"/>
      <c r="GVI28" s="609"/>
      <c r="GVJ28" s="609"/>
      <c r="GVK28" s="609"/>
      <c r="GVL28" s="609"/>
      <c r="GVM28" s="609"/>
      <c r="GVN28" s="609"/>
      <c r="GVO28" s="609"/>
      <c r="GVP28" s="609"/>
      <c r="GVQ28" s="609"/>
      <c r="GVR28" s="609"/>
      <c r="GVS28" s="609"/>
      <c r="GVT28" s="609"/>
      <c r="GVU28" s="609"/>
      <c r="GVV28" s="609"/>
      <c r="GVW28" s="609"/>
      <c r="GVX28" s="609"/>
      <c r="GVY28" s="609"/>
      <c r="GVZ28" s="609"/>
      <c r="GWA28" s="609"/>
      <c r="GWB28" s="609"/>
      <c r="GWC28" s="609"/>
      <c r="GWD28" s="609"/>
      <c r="GWE28" s="609"/>
      <c r="GWF28" s="609"/>
      <c r="GWG28" s="609"/>
      <c r="GWH28" s="609"/>
      <c r="GWI28" s="609"/>
      <c r="GWJ28" s="609"/>
      <c r="GWK28" s="609"/>
      <c r="GWL28" s="609"/>
      <c r="GWM28" s="609"/>
      <c r="GWN28" s="609"/>
      <c r="GWO28" s="609"/>
      <c r="GWP28" s="609"/>
      <c r="GWQ28" s="609"/>
      <c r="GWR28" s="609"/>
      <c r="GWS28" s="609"/>
      <c r="GWT28" s="609"/>
      <c r="GWU28" s="609"/>
      <c r="GWV28" s="609"/>
      <c r="GWW28" s="609"/>
      <c r="GWX28" s="609"/>
      <c r="GWY28" s="609"/>
      <c r="GWZ28" s="609"/>
      <c r="GXA28" s="609"/>
      <c r="GXB28" s="609"/>
      <c r="GXC28" s="609"/>
      <c r="GXD28" s="609"/>
      <c r="GXE28" s="609"/>
      <c r="GXF28" s="609"/>
      <c r="GXG28" s="609"/>
      <c r="GXH28" s="609"/>
      <c r="GXI28" s="609"/>
      <c r="GXJ28" s="609"/>
      <c r="GXK28" s="609"/>
      <c r="GXL28" s="609"/>
      <c r="GXM28" s="609"/>
      <c r="GXN28" s="609"/>
      <c r="GXO28" s="609"/>
      <c r="GXP28" s="609"/>
      <c r="GXQ28" s="609"/>
      <c r="GXR28" s="609"/>
      <c r="GXS28" s="609"/>
      <c r="GXT28" s="609"/>
      <c r="GXU28" s="609"/>
      <c r="GXV28" s="609"/>
      <c r="GXW28" s="609"/>
      <c r="GXX28" s="609"/>
      <c r="GXY28" s="609"/>
      <c r="GXZ28" s="609"/>
      <c r="GYA28" s="609"/>
      <c r="GYB28" s="609"/>
      <c r="GYC28" s="609"/>
      <c r="GYD28" s="609"/>
      <c r="GYE28" s="609"/>
      <c r="GYF28" s="609"/>
      <c r="GYG28" s="609"/>
      <c r="GYH28" s="609"/>
      <c r="GYI28" s="609"/>
      <c r="GYJ28" s="609"/>
      <c r="GYK28" s="609"/>
      <c r="GYL28" s="609"/>
      <c r="GYM28" s="609"/>
      <c r="GYN28" s="609"/>
      <c r="GYO28" s="609"/>
      <c r="GYP28" s="609"/>
      <c r="GYQ28" s="609"/>
      <c r="GYR28" s="609"/>
      <c r="GYS28" s="609"/>
      <c r="GYT28" s="609"/>
      <c r="GYU28" s="609"/>
      <c r="GYV28" s="609"/>
      <c r="GYW28" s="609"/>
      <c r="GYX28" s="609"/>
      <c r="GYY28" s="609"/>
      <c r="GYZ28" s="609"/>
      <c r="GZA28" s="609"/>
      <c r="GZB28" s="609"/>
      <c r="GZC28" s="609"/>
      <c r="GZD28" s="609"/>
      <c r="GZE28" s="609"/>
      <c r="GZF28" s="609"/>
      <c r="GZG28" s="609"/>
      <c r="GZH28" s="609"/>
      <c r="GZI28" s="609"/>
      <c r="GZJ28" s="609"/>
      <c r="GZK28" s="609"/>
      <c r="GZL28" s="609"/>
      <c r="GZM28" s="609"/>
      <c r="GZN28" s="609"/>
      <c r="GZO28" s="609"/>
      <c r="GZP28" s="609"/>
      <c r="GZQ28" s="609"/>
      <c r="GZR28" s="609"/>
      <c r="GZS28" s="609"/>
      <c r="GZT28" s="609"/>
      <c r="GZU28" s="609"/>
      <c r="GZV28" s="609"/>
      <c r="GZW28" s="609"/>
      <c r="GZX28" s="609"/>
      <c r="GZY28" s="609"/>
      <c r="GZZ28" s="609"/>
      <c r="HAA28" s="609"/>
      <c r="HAB28" s="609"/>
      <c r="HAC28" s="609"/>
      <c r="HAD28" s="609"/>
      <c r="HAE28" s="609"/>
      <c r="HAF28" s="609"/>
      <c r="HAG28" s="609"/>
      <c r="HAH28" s="609"/>
      <c r="HAI28" s="609"/>
      <c r="HAJ28" s="609"/>
      <c r="HAK28" s="609"/>
      <c r="HAL28" s="609"/>
      <c r="HAM28" s="609"/>
      <c r="HAN28" s="609"/>
      <c r="HAO28" s="609"/>
      <c r="HAP28" s="609"/>
      <c r="HAQ28" s="609"/>
      <c r="HAR28" s="609"/>
      <c r="HAS28" s="609"/>
      <c r="HAT28" s="609"/>
      <c r="HAU28" s="609"/>
      <c r="HAV28" s="609"/>
      <c r="HAW28" s="609"/>
      <c r="HAX28" s="609"/>
      <c r="HAY28" s="609"/>
      <c r="HAZ28" s="609"/>
      <c r="HBA28" s="609"/>
      <c r="HBB28" s="609"/>
      <c r="HBC28" s="609"/>
      <c r="HBD28" s="609"/>
      <c r="HBE28" s="609"/>
      <c r="HBF28" s="609"/>
      <c r="HBG28" s="609"/>
      <c r="HBH28" s="609"/>
      <c r="HBI28" s="609"/>
      <c r="HBJ28" s="609"/>
      <c r="HBK28" s="609"/>
      <c r="HBL28" s="609"/>
      <c r="HBM28" s="609"/>
      <c r="HBN28" s="609"/>
      <c r="HBO28" s="609"/>
      <c r="HBP28" s="609"/>
      <c r="HBQ28" s="609"/>
      <c r="HBR28" s="609"/>
      <c r="HBS28" s="609"/>
      <c r="HBT28" s="609"/>
      <c r="HBU28" s="609"/>
      <c r="HBV28" s="609"/>
      <c r="HBW28" s="609"/>
      <c r="HBX28" s="609"/>
      <c r="HBY28" s="609"/>
      <c r="HBZ28" s="609"/>
      <c r="HCA28" s="609"/>
      <c r="HCB28" s="609"/>
      <c r="HCC28" s="609"/>
      <c r="HCD28" s="609"/>
      <c r="HCE28" s="609"/>
      <c r="HCF28" s="609"/>
      <c r="HCG28" s="609"/>
      <c r="HCH28" s="609"/>
      <c r="HCI28" s="609"/>
      <c r="HCJ28" s="609"/>
      <c r="HCK28" s="609"/>
      <c r="HCL28" s="609"/>
      <c r="HCM28" s="609"/>
      <c r="HCN28" s="609"/>
      <c r="HCO28" s="609"/>
      <c r="HCP28" s="609"/>
      <c r="HCQ28" s="609"/>
      <c r="HCR28" s="609"/>
      <c r="HCS28" s="609"/>
      <c r="HCT28" s="609"/>
      <c r="HCU28" s="609"/>
      <c r="HCV28" s="609"/>
      <c r="HCW28" s="609"/>
      <c r="HCX28" s="609"/>
      <c r="HCY28" s="609"/>
      <c r="HCZ28" s="609"/>
      <c r="HDA28" s="609"/>
      <c r="HDB28" s="609"/>
      <c r="HDC28" s="609"/>
      <c r="HDD28" s="609"/>
      <c r="HDE28" s="609"/>
      <c r="HDF28" s="609"/>
      <c r="HDG28" s="609"/>
      <c r="HDH28" s="609"/>
      <c r="HDI28" s="609"/>
      <c r="HDJ28" s="609"/>
      <c r="HDK28" s="609"/>
      <c r="HDL28" s="609"/>
      <c r="HDM28" s="609"/>
      <c r="HDN28" s="609"/>
      <c r="HDO28" s="609"/>
      <c r="HDP28" s="609"/>
      <c r="HDQ28" s="609"/>
      <c r="HDR28" s="609"/>
      <c r="HDS28" s="609"/>
      <c r="HDT28" s="609"/>
      <c r="HDU28" s="609"/>
      <c r="HDV28" s="609"/>
      <c r="HDW28" s="609"/>
      <c r="HDX28" s="609"/>
      <c r="HDY28" s="609"/>
      <c r="HDZ28" s="609"/>
      <c r="HEA28" s="609"/>
      <c r="HEB28" s="609"/>
      <c r="HEC28" s="609"/>
      <c r="HED28" s="609"/>
      <c r="HEE28" s="609"/>
      <c r="HEF28" s="609"/>
      <c r="HEG28" s="609"/>
      <c r="HEH28" s="609"/>
      <c r="HEI28" s="609"/>
      <c r="HEJ28" s="609"/>
      <c r="HEK28" s="609"/>
      <c r="HEL28" s="609"/>
      <c r="HEM28" s="609"/>
      <c r="HEN28" s="609"/>
      <c r="HEO28" s="609"/>
      <c r="HEP28" s="609"/>
      <c r="HEQ28" s="609"/>
      <c r="HER28" s="609"/>
      <c r="HES28" s="609"/>
      <c r="HET28" s="609"/>
      <c r="HEU28" s="609"/>
      <c r="HEV28" s="609"/>
      <c r="HEW28" s="609"/>
      <c r="HEX28" s="609"/>
      <c r="HEY28" s="609"/>
      <c r="HEZ28" s="609"/>
      <c r="HFA28" s="609"/>
      <c r="HFB28" s="609"/>
      <c r="HFC28" s="609"/>
      <c r="HFD28" s="609"/>
      <c r="HFE28" s="609"/>
      <c r="HFF28" s="609"/>
      <c r="HFG28" s="609"/>
      <c r="HFH28" s="609"/>
      <c r="HFI28" s="609"/>
      <c r="HFJ28" s="609"/>
      <c r="HFK28" s="609"/>
      <c r="HFL28" s="609"/>
      <c r="HFM28" s="609"/>
      <c r="HFN28" s="609"/>
      <c r="HFO28" s="609"/>
      <c r="HFP28" s="609"/>
      <c r="HFQ28" s="609"/>
      <c r="HFR28" s="609"/>
      <c r="HFS28" s="609"/>
      <c r="HFT28" s="609"/>
      <c r="HFU28" s="609"/>
      <c r="HFV28" s="609"/>
      <c r="HFW28" s="609"/>
      <c r="HFX28" s="609"/>
      <c r="HFY28" s="609"/>
      <c r="HFZ28" s="609"/>
      <c r="HGA28" s="609"/>
      <c r="HGB28" s="609"/>
      <c r="HGC28" s="609"/>
      <c r="HGD28" s="609"/>
      <c r="HGE28" s="609"/>
      <c r="HGF28" s="609"/>
      <c r="HGG28" s="609"/>
      <c r="HGH28" s="609"/>
      <c r="HGI28" s="609"/>
      <c r="HGJ28" s="609"/>
      <c r="HGK28" s="609"/>
      <c r="HGL28" s="609"/>
      <c r="HGM28" s="609"/>
      <c r="HGN28" s="609"/>
      <c r="HGO28" s="609"/>
      <c r="HGP28" s="609"/>
      <c r="HGQ28" s="609"/>
      <c r="HGR28" s="609"/>
      <c r="HGS28" s="609"/>
      <c r="HGT28" s="609"/>
      <c r="HGU28" s="609"/>
      <c r="HGV28" s="609"/>
      <c r="HGW28" s="609"/>
      <c r="HGX28" s="609"/>
      <c r="HGY28" s="609"/>
      <c r="HGZ28" s="609"/>
      <c r="HHA28" s="609"/>
      <c r="HHB28" s="609"/>
      <c r="HHC28" s="609"/>
      <c r="HHD28" s="609"/>
      <c r="HHE28" s="609"/>
      <c r="HHF28" s="609"/>
      <c r="HHG28" s="609"/>
      <c r="HHH28" s="609"/>
      <c r="HHI28" s="609"/>
      <c r="HHJ28" s="609"/>
      <c r="HHK28" s="609"/>
      <c r="HHL28" s="609"/>
      <c r="HHM28" s="609"/>
      <c r="HHN28" s="609"/>
      <c r="HHO28" s="609"/>
      <c r="HHP28" s="609"/>
      <c r="HHQ28" s="609"/>
      <c r="HHR28" s="609"/>
      <c r="HHS28" s="609"/>
      <c r="HHT28" s="609"/>
      <c r="HHU28" s="609"/>
      <c r="HHV28" s="609"/>
      <c r="HHW28" s="609"/>
      <c r="HHX28" s="609"/>
      <c r="HHY28" s="609"/>
      <c r="HHZ28" s="609"/>
      <c r="HIA28" s="609"/>
      <c r="HIB28" s="609"/>
      <c r="HIC28" s="609"/>
      <c r="HID28" s="609"/>
      <c r="HIE28" s="609"/>
      <c r="HIF28" s="609"/>
      <c r="HIG28" s="609"/>
      <c r="HIH28" s="609"/>
      <c r="HII28" s="609"/>
      <c r="HIJ28" s="609"/>
      <c r="HIK28" s="609"/>
      <c r="HIL28" s="609"/>
      <c r="HIM28" s="609"/>
      <c r="HIN28" s="609"/>
      <c r="HIO28" s="609"/>
      <c r="HIP28" s="609"/>
      <c r="HIQ28" s="609"/>
      <c r="HIR28" s="609"/>
      <c r="HIS28" s="609"/>
      <c r="HIT28" s="609"/>
      <c r="HIU28" s="609"/>
      <c r="HIV28" s="609"/>
      <c r="HIW28" s="609"/>
      <c r="HIX28" s="609"/>
      <c r="HIY28" s="609"/>
      <c r="HIZ28" s="609"/>
      <c r="HJA28" s="609"/>
      <c r="HJB28" s="609"/>
      <c r="HJC28" s="609"/>
      <c r="HJD28" s="609"/>
      <c r="HJE28" s="609"/>
      <c r="HJF28" s="609"/>
      <c r="HJG28" s="609"/>
      <c r="HJH28" s="609"/>
      <c r="HJI28" s="609"/>
      <c r="HJJ28" s="609"/>
      <c r="HJK28" s="609"/>
      <c r="HJL28" s="609"/>
      <c r="HJM28" s="609"/>
      <c r="HJN28" s="609"/>
      <c r="HJO28" s="609"/>
      <c r="HJP28" s="609"/>
      <c r="HJQ28" s="609"/>
      <c r="HJR28" s="609"/>
      <c r="HJS28" s="609"/>
      <c r="HJT28" s="609"/>
      <c r="HJU28" s="609"/>
      <c r="HJV28" s="609"/>
      <c r="HJW28" s="609"/>
      <c r="HJX28" s="609"/>
      <c r="HJY28" s="609"/>
      <c r="HJZ28" s="609"/>
      <c r="HKA28" s="609"/>
      <c r="HKB28" s="609"/>
      <c r="HKC28" s="609"/>
      <c r="HKD28" s="609"/>
      <c r="HKE28" s="609"/>
      <c r="HKF28" s="609"/>
      <c r="HKG28" s="609"/>
      <c r="HKH28" s="609"/>
      <c r="HKI28" s="609"/>
      <c r="HKJ28" s="609"/>
      <c r="HKK28" s="609"/>
      <c r="HKL28" s="609"/>
      <c r="HKM28" s="609"/>
      <c r="HKN28" s="609"/>
      <c r="HKO28" s="609"/>
      <c r="HKP28" s="609"/>
      <c r="HKQ28" s="609"/>
      <c r="HKR28" s="609"/>
      <c r="HKS28" s="609"/>
      <c r="HKT28" s="609"/>
      <c r="HKU28" s="609"/>
      <c r="HKV28" s="609"/>
      <c r="HKW28" s="609"/>
      <c r="HKX28" s="609"/>
      <c r="HKY28" s="609"/>
      <c r="HKZ28" s="609"/>
      <c r="HLA28" s="609"/>
      <c r="HLB28" s="609"/>
      <c r="HLC28" s="609"/>
      <c r="HLD28" s="609"/>
      <c r="HLE28" s="609"/>
      <c r="HLF28" s="609"/>
      <c r="HLG28" s="609"/>
      <c r="HLH28" s="609"/>
      <c r="HLI28" s="609"/>
      <c r="HLJ28" s="609"/>
      <c r="HLK28" s="609"/>
      <c r="HLL28" s="609"/>
      <c r="HLM28" s="609"/>
      <c r="HLN28" s="609"/>
      <c r="HLO28" s="609"/>
      <c r="HLP28" s="609"/>
      <c r="HLQ28" s="609"/>
      <c r="HLR28" s="609"/>
      <c r="HLS28" s="609"/>
      <c r="HLT28" s="609"/>
      <c r="HLU28" s="609"/>
      <c r="HLV28" s="609"/>
      <c r="HLW28" s="609"/>
      <c r="HLX28" s="609"/>
      <c r="HLY28" s="609"/>
      <c r="HLZ28" s="609"/>
      <c r="HMA28" s="609"/>
      <c r="HMB28" s="609"/>
      <c r="HMC28" s="609"/>
      <c r="HMD28" s="609"/>
      <c r="HME28" s="609"/>
      <c r="HMF28" s="609"/>
      <c r="HMG28" s="609"/>
      <c r="HMH28" s="609"/>
      <c r="HMI28" s="609"/>
      <c r="HMJ28" s="609"/>
      <c r="HMK28" s="609"/>
      <c r="HML28" s="609"/>
      <c r="HMM28" s="609"/>
      <c r="HMN28" s="609"/>
      <c r="HMO28" s="609"/>
      <c r="HMP28" s="609"/>
      <c r="HMQ28" s="609"/>
      <c r="HMR28" s="609"/>
      <c r="HMS28" s="609"/>
      <c r="HMT28" s="609"/>
      <c r="HMU28" s="609"/>
      <c r="HMV28" s="609"/>
      <c r="HMW28" s="609"/>
      <c r="HMX28" s="609"/>
      <c r="HMY28" s="609"/>
      <c r="HMZ28" s="609"/>
      <c r="HNA28" s="609"/>
      <c r="HNB28" s="609"/>
      <c r="HNC28" s="609"/>
      <c r="HND28" s="609"/>
      <c r="HNE28" s="609"/>
      <c r="HNF28" s="609"/>
      <c r="HNG28" s="609"/>
      <c r="HNH28" s="609"/>
      <c r="HNI28" s="609"/>
      <c r="HNJ28" s="609"/>
      <c r="HNK28" s="609"/>
      <c r="HNL28" s="609"/>
      <c r="HNM28" s="609"/>
      <c r="HNN28" s="609"/>
      <c r="HNO28" s="609"/>
      <c r="HNP28" s="609"/>
      <c r="HNQ28" s="609"/>
      <c r="HNR28" s="609"/>
      <c r="HNS28" s="609"/>
      <c r="HNT28" s="609"/>
      <c r="HNU28" s="609"/>
      <c r="HNV28" s="609"/>
      <c r="HNW28" s="609"/>
      <c r="HNX28" s="609"/>
      <c r="HNY28" s="609"/>
      <c r="HNZ28" s="609"/>
      <c r="HOA28" s="609"/>
      <c r="HOB28" s="609"/>
      <c r="HOC28" s="609"/>
      <c r="HOD28" s="609"/>
      <c r="HOE28" s="609"/>
      <c r="HOF28" s="609"/>
      <c r="HOG28" s="609"/>
      <c r="HOH28" s="609"/>
      <c r="HOI28" s="609"/>
      <c r="HOJ28" s="609"/>
      <c r="HOK28" s="609"/>
      <c r="HOL28" s="609"/>
      <c r="HOM28" s="609"/>
      <c r="HON28" s="609"/>
      <c r="HOO28" s="609"/>
      <c r="HOP28" s="609"/>
      <c r="HOQ28" s="609"/>
      <c r="HOR28" s="609"/>
      <c r="HOS28" s="609"/>
      <c r="HOT28" s="609"/>
      <c r="HOU28" s="609"/>
      <c r="HOV28" s="609"/>
      <c r="HOW28" s="609"/>
      <c r="HOX28" s="609"/>
      <c r="HOY28" s="609"/>
      <c r="HOZ28" s="609"/>
      <c r="HPA28" s="609"/>
      <c r="HPB28" s="609"/>
      <c r="HPC28" s="609"/>
      <c r="HPD28" s="609"/>
      <c r="HPE28" s="609"/>
      <c r="HPF28" s="609"/>
      <c r="HPG28" s="609"/>
      <c r="HPH28" s="609"/>
      <c r="HPI28" s="609"/>
      <c r="HPJ28" s="609"/>
      <c r="HPK28" s="609"/>
      <c r="HPL28" s="609"/>
      <c r="HPM28" s="609"/>
      <c r="HPN28" s="609"/>
      <c r="HPO28" s="609"/>
      <c r="HPP28" s="609"/>
      <c r="HPQ28" s="609"/>
      <c r="HPR28" s="609"/>
      <c r="HPS28" s="609"/>
      <c r="HPT28" s="609"/>
      <c r="HPU28" s="609"/>
      <c r="HPV28" s="609"/>
      <c r="HPW28" s="609"/>
      <c r="HPX28" s="609"/>
      <c r="HPY28" s="609"/>
      <c r="HPZ28" s="609"/>
      <c r="HQA28" s="609"/>
      <c r="HQB28" s="609"/>
      <c r="HQC28" s="609"/>
      <c r="HQD28" s="609"/>
      <c r="HQE28" s="609"/>
      <c r="HQF28" s="609"/>
      <c r="HQG28" s="609"/>
      <c r="HQH28" s="609"/>
      <c r="HQI28" s="609"/>
      <c r="HQJ28" s="609"/>
      <c r="HQK28" s="609"/>
      <c r="HQL28" s="609"/>
      <c r="HQM28" s="609"/>
      <c r="HQN28" s="609"/>
      <c r="HQO28" s="609"/>
      <c r="HQP28" s="609"/>
      <c r="HQQ28" s="609"/>
      <c r="HQR28" s="609"/>
      <c r="HQS28" s="609"/>
      <c r="HQT28" s="609"/>
      <c r="HQU28" s="609"/>
      <c r="HQV28" s="609"/>
      <c r="HQW28" s="609"/>
      <c r="HQX28" s="609"/>
      <c r="HQY28" s="609"/>
      <c r="HQZ28" s="609"/>
      <c r="HRA28" s="609"/>
      <c r="HRB28" s="609"/>
      <c r="HRC28" s="609"/>
      <c r="HRD28" s="609"/>
      <c r="HRE28" s="609"/>
      <c r="HRF28" s="609"/>
      <c r="HRG28" s="609"/>
      <c r="HRH28" s="609"/>
      <c r="HRI28" s="609"/>
      <c r="HRJ28" s="609"/>
      <c r="HRK28" s="609"/>
      <c r="HRL28" s="609"/>
      <c r="HRM28" s="609"/>
      <c r="HRN28" s="609"/>
      <c r="HRO28" s="609"/>
      <c r="HRP28" s="609"/>
      <c r="HRQ28" s="609"/>
      <c r="HRR28" s="609"/>
      <c r="HRS28" s="609"/>
      <c r="HRT28" s="609"/>
      <c r="HRU28" s="609"/>
      <c r="HRV28" s="609"/>
      <c r="HRW28" s="609"/>
      <c r="HRX28" s="609"/>
      <c r="HRY28" s="609"/>
      <c r="HRZ28" s="609"/>
      <c r="HSA28" s="609"/>
      <c r="HSB28" s="609"/>
      <c r="HSC28" s="609"/>
      <c r="HSD28" s="609"/>
      <c r="HSE28" s="609"/>
      <c r="HSF28" s="609"/>
      <c r="HSG28" s="609"/>
      <c r="HSH28" s="609"/>
      <c r="HSI28" s="609"/>
      <c r="HSJ28" s="609"/>
      <c r="HSK28" s="609"/>
      <c r="HSL28" s="609"/>
      <c r="HSM28" s="609"/>
      <c r="HSN28" s="609"/>
      <c r="HSO28" s="609"/>
      <c r="HSP28" s="609"/>
      <c r="HSQ28" s="609"/>
      <c r="HSR28" s="609"/>
      <c r="HSS28" s="609"/>
      <c r="HST28" s="609"/>
      <c r="HSU28" s="609"/>
      <c r="HSV28" s="609"/>
      <c r="HSW28" s="609"/>
      <c r="HSX28" s="609"/>
      <c r="HSY28" s="609"/>
      <c r="HSZ28" s="609"/>
      <c r="HTA28" s="609"/>
      <c r="HTB28" s="609"/>
      <c r="HTC28" s="609"/>
      <c r="HTD28" s="609"/>
      <c r="HTE28" s="609"/>
      <c r="HTF28" s="609"/>
      <c r="HTG28" s="609"/>
      <c r="HTH28" s="609"/>
      <c r="HTI28" s="609"/>
      <c r="HTJ28" s="609"/>
      <c r="HTK28" s="609"/>
      <c r="HTL28" s="609"/>
      <c r="HTM28" s="609"/>
      <c r="HTN28" s="609"/>
      <c r="HTO28" s="609"/>
      <c r="HTP28" s="609"/>
      <c r="HTQ28" s="609"/>
      <c r="HTR28" s="609"/>
      <c r="HTS28" s="609"/>
      <c r="HTT28" s="609"/>
      <c r="HTU28" s="609"/>
      <c r="HTV28" s="609"/>
      <c r="HTW28" s="609"/>
      <c r="HTX28" s="609"/>
      <c r="HTY28" s="609"/>
      <c r="HTZ28" s="609"/>
      <c r="HUA28" s="609"/>
      <c r="HUB28" s="609"/>
      <c r="HUC28" s="609"/>
      <c r="HUD28" s="609"/>
      <c r="HUE28" s="609"/>
      <c r="HUF28" s="609"/>
      <c r="HUG28" s="609"/>
      <c r="HUH28" s="609"/>
      <c r="HUI28" s="609"/>
      <c r="HUJ28" s="609"/>
      <c r="HUK28" s="609"/>
      <c r="HUL28" s="609"/>
      <c r="HUM28" s="609"/>
      <c r="HUN28" s="609"/>
      <c r="HUO28" s="609"/>
      <c r="HUP28" s="609"/>
      <c r="HUQ28" s="609"/>
      <c r="HUR28" s="609"/>
      <c r="HUS28" s="609"/>
      <c r="HUT28" s="609"/>
      <c r="HUU28" s="609"/>
      <c r="HUV28" s="609"/>
      <c r="HUW28" s="609"/>
      <c r="HUX28" s="609"/>
      <c r="HUY28" s="609"/>
      <c r="HUZ28" s="609"/>
      <c r="HVA28" s="609"/>
      <c r="HVB28" s="609"/>
      <c r="HVC28" s="609"/>
      <c r="HVD28" s="609"/>
      <c r="HVE28" s="609"/>
      <c r="HVF28" s="609"/>
      <c r="HVG28" s="609"/>
      <c r="HVH28" s="609"/>
      <c r="HVI28" s="609"/>
      <c r="HVJ28" s="609"/>
      <c r="HVK28" s="609"/>
      <c r="HVL28" s="609"/>
      <c r="HVM28" s="609"/>
      <c r="HVN28" s="609"/>
      <c r="HVO28" s="609"/>
      <c r="HVP28" s="609"/>
      <c r="HVQ28" s="609"/>
      <c r="HVR28" s="609"/>
      <c r="HVS28" s="609"/>
      <c r="HVT28" s="609"/>
      <c r="HVU28" s="609"/>
      <c r="HVV28" s="609"/>
      <c r="HVW28" s="609"/>
      <c r="HVX28" s="609"/>
      <c r="HVY28" s="609"/>
      <c r="HVZ28" s="609"/>
      <c r="HWA28" s="609"/>
      <c r="HWB28" s="609"/>
      <c r="HWC28" s="609"/>
      <c r="HWD28" s="609"/>
      <c r="HWE28" s="609"/>
      <c r="HWF28" s="609"/>
      <c r="HWG28" s="609"/>
      <c r="HWH28" s="609"/>
      <c r="HWI28" s="609"/>
      <c r="HWJ28" s="609"/>
      <c r="HWK28" s="609"/>
      <c r="HWL28" s="609"/>
      <c r="HWM28" s="609"/>
      <c r="HWN28" s="609"/>
      <c r="HWO28" s="609"/>
      <c r="HWP28" s="609"/>
      <c r="HWQ28" s="609"/>
      <c r="HWR28" s="609"/>
      <c r="HWS28" s="609"/>
      <c r="HWT28" s="609"/>
      <c r="HWU28" s="609"/>
      <c r="HWV28" s="609"/>
      <c r="HWW28" s="609"/>
      <c r="HWX28" s="609"/>
      <c r="HWY28" s="609"/>
      <c r="HWZ28" s="609"/>
      <c r="HXA28" s="609"/>
      <c r="HXB28" s="609"/>
      <c r="HXC28" s="609"/>
      <c r="HXD28" s="609"/>
      <c r="HXE28" s="609"/>
      <c r="HXF28" s="609"/>
      <c r="HXG28" s="609"/>
      <c r="HXH28" s="609"/>
      <c r="HXI28" s="609"/>
      <c r="HXJ28" s="609"/>
      <c r="HXK28" s="609"/>
      <c r="HXL28" s="609"/>
      <c r="HXM28" s="609"/>
      <c r="HXN28" s="609"/>
      <c r="HXO28" s="609"/>
      <c r="HXP28" s="609"/>
      <c r="HXQ28" s="609"/>
      <c r="HXR28" s="609"/>
      <c r="HXS28" s="609"/>
      <c r="HXT28" s="609"/>
      <c r="HXU28" s="609"/>
      <c r="HXV28" s="609"/>
      <c r="HXW28" s="609"/>
      <c r="HXX28" s="609"/>
      <c r="HXY28" s="609"/>
      <c r="HXZ28" s="609"/>
      <c r="HYA28" s="609"/>
      <c r="HYB28" s="609"/>
      <c r="HYC28" s="609"/>
      <c r="HYD28" s="609"/>
      <c r="HYE28" s="609"/>
      <c r="HYF28" s="609"/>
      <c r="HYG28" s="609"/>
      <c r="HYH28" s="609"/>
      <c r="HYI28" s="609"/>
      <c r="HYJ28" s="609"/>
      <c r="HYK28" s="609"/>
      <c r="HYL28" s="609"/>
      <c r="HYM28" s="609"/>
      <c r="HYN28" s="609"/>
      <c r="HYO28" s="609"/>
      <c r="HYP28" s="609"/>
      <c r="HYQ28" s="609"/>
      <c r="HYR28" s="609"/>
      <c r="HYS28" s="609"/>
      <c r="HYT28" s="609"/>
      <c r="HYU28" s="609"/>
      <c r="HYV28" s="609"/>
      <c r="HYW28" s="609"/>
      <c r="HYX28" s="609"/>
      <c r="HYY28" s="609"/>
      <c r="HYZ28" s="609"/>
      <c r="HZA28" s="609"/>
      <c r="HZB28" s="609"/>
      <c r="HZC28" s="609"/>
      <c r="HZD28" s="609"/>
      <c r="HZE28" s="609"/>
      <c r="HZF28" s="609"/>
      <c r="HZG28" s="609"/>
      <c r="HZH28" s="609"/>
      <c r="HZI28" s="609"/>
      <c r="HZJ28" s="609"/>
      <c r="HZK28" s="609"/>
      <c r="HZL28" s="609"/>
      <c r="HZM28" s="609"/>
      <c r="HZN28" s="609"/>
      <c r="HZO28" s="609"/>
      <c r="HZP28" s="609"/>
      <c r="HZQ28" s="609"/>
      <c r="HZR28" s="609"/>
      <c r="HZS28" s="609"/>
      <c r="HZT28" s="609"/>
      <c r="HZU28" s="609"/>
      <c r="HZV28" s="609"/>
      <c r="HZW28" s="609"/>
      <c r="HZX28" s="609"/>
      <c r="HZY28" s="609"/>
      <c r="HZZ28" s="609"/>
      <c r="IAA28" s="609"/>
      <c r="IAB28" s="609"/>
      <c r="IAC28" s="609"/>
      <c r="IAD28" s="609"/>
      <c r="IAE28" s="609"/>
      <c r="IAF28" s="609"/>
      <c r="IAG28" s="609"/>
      <c r="IAH28" s="609"/>
      <c r="IAI28" s="609"/>
      <c r="IAJ28" s="609"/>
      <c r="IAK28" s="609"/>
      <c r="IAL28" s="609"/>
      <c r="IAM28" s="609"/>
      <c r="IAN28" s="609"/>
      <c r="IAO28" s="609"/>
      <c r="IAP28" s="609"/>
      <c r="IAQ28" s="609"/>
      <c r="IAR28" s="609"/>
      <c r="IAS28" s="609"/>
      <c r="IAT28" s="609"/>
      <c r="IAU28" s="609"/>
      <c r="IAV28" s="609"/>
      <c r="IAW28" s="609"/>
      <c r="IAX28" s="609"/>
      <c r="IAY28" s="609"/>
      <c r="IAZ28" s="609"/>
      <c r="IBA28" s="609"/>
      <c r="IBB28" s="609"/>
      <c r="IBC28" s="609"/>
      <c r="IBD28" s="609"/>
      <c r="IBE28" s="609"/>
      <c r="IBF28" s="609"/>
      <c r="IBG28" s="609"/>
      <c r="IBH28" s="609"/>
      <c r="IBI28" s="609"/>
      <c r="IBJ28" s="609"/>
      <c r="IBK28" s="609"/>
      <c r="IBL28" s="609"/>
      <c r="IBM28" s="609"/>
      <c r="IBN28" s="609"/>
      <c r="IBO28" s="609"/>
      <c r="IBP28" s="609"/>
      <c r="IBQ28" s="609"/>
      <c r="IBR28" s="609"/>
      <c r="IBS28" s="609"/>
      <c r="IBT28" s="609"/>
      <c r="IBU28" s="609"/>
      <c r="IBV28" s="609"/>
      <c r="IBW28" s="609"/>
      <c r="IBX28" s="609"/>
      <c r="IBY28" s="609"/>
      <c r="IBZ28" s="609"/>
      <c r="ICA28" s="609"/>
      <c r="ICB28" s="609"/>
      <c r="ICC28" s="609"/>
      <c r="ICD28" s="609"/>
      <c r="ICE28" s="609"/>
      <c r="ICF28" s="609"/>
      <c r="ICG28" s="609"/>
      <c r="ICH28" s="609"/>
      <c r="ICI28" s="609"/>
      <c r="ICJ28" s="609"/>
      <c r="ICK28" s="609"/>
      <c r="ICL28" s="609"/>
      <c r="ICM28" s="609"/>
      <c r="ICN28" s="609"/>
      <c r="ICO28" s="609"/>
      <c r="ICP28" s="609"/>
      <c r="ICQ28" s="609"/>
      <c r="ICR28" s="609"/>
      <c r="ICS28" s="609"/>
      <c r="ICT28" s="609"/>
      <c r="ICU28" s="609"/>
      <c r="ICV28" s="609"/>
      <c r="ICW28" s="609"/>
      <c r="ICX28" s="609"/>
      <c r="ICY28" s="609"/>
      <c r="ICZ28" s="609"/>
      <c r="IDA28" s="609"/>
      <c r="IDB28" s="609"/>
      <c r="IDC28" s="609"/>
      <c r="IDD28" s="609"/>
      <c r="IDE28" s="609"/>
      <c r="IDF28" s="609"/>
      <c r="IDG28" s="609"/>
      <c r="IDH28" s="609"/>
      <c r="IDI28" s="609"/>
      <c r="IDJ28" s="609"/>
      <c r="IDK28" s="609"/>
      <c r="IDL28" s="609"/>
      <c r="IDM28" s="609"/>
      <c r="IDN28" s="609"/>
      <c r="IDO28" s="609"/>
      <c r="IDP28" s="609"/>
      <c r="IDQ28" s="609"/>
      <c r="IDR28" s="609"/>
      <c r="IDS28" s="609"/>
      <c r="IDT28" s="609"/>
      <c r="IDU28" s="609"/>
      <c r="IDV28" s="609"/>
      <c r="IDW28" s="609"/>
      <c r="IDX28" s="609"/>
      <c r="IDY28" s="609"/>
      <c r="IDZ28" s="609"/>
      <c r="IEA28" s="609"/>
      <c r="IEB28" s="609"/>
      <c r="IEC28" s="609"/>
      <c r="IED28" s="609"/>
      <c r="IEE28" s="609"/>
      <c r="IEF28" s="609"/>
      <c r="IEG28" s="609"/>
      <c r="IEH28" s="609"/>
      <c r="IEI28" s="609"/>
      <c r="IEJ28" s="609"/>
      <c r="IEK28" s="609"/>
      <c r="IEL28" s="609"/>
      <c r="IEM28" s="609"/>
      <c r="IEN28" s="609"/>
      <c r="IEO28" s="609"/>
      <c r="IEP28" s="609"/>
      <c r="IEQ28" s="609"/>
      <c r="IER28" s="609"/>
      <c r="IES28" s="609"/>
      <c r="IET28" s="609"/>
      <c r="IEU28" s="609"/>
      <c r="IEV28" s="609"/>
      <c r="IEW28" s="609"/>
      <c r="IEX28" s="609"/>
      <c r="IEY28" s="609"/>
      <c r="IEZ28" s="609"/>
      <c r="IFA28" s="609"/>
      <c r="IFB28" s="609"/>
      <c r="IFC28" s="609"/>
      <c r="IFD28" s="609"/>
      <c r="IFE28" s="609"/>
      <c r="IFF28" s="609"/>
      <c r="IFG28" s="609"/>
      <c r="IFH28" s="609"/>
      <c r="IFI28" s="609"/>
      <c r="IFJ28" s="609"/>
      <c r="IFK28" s="609"/>
      <c r="IFL28" s="609"/>
      <c r="IFM28" s="609"/>
      <c r="IFN28" s="609"/>
      <c r="IFO28" s="609"/>
      <c r="IFP28" s="609"/>
      <c r="IFQ28" s="609"/>
      <c r="IFR28" s="609"/>
      <c r="IFS28" s="609"/>
      <c r="IFT28" s="609"/>
      <c r="IFU28" s="609"/>
      <c r="IFV28" s="609"/>
      <c r="IFW28" s="609"/>
      <c r="IFX28" s="609"/>
      <c r="IFY28" s="609"/>
      <c r="IFZ28" s="609"/>
      <c r="IGA28" s="609"/>
      <c r="IGB28" s="609"/>
      <c r="IGC28" s="609"/>
      <c r="IGD28" s="609"/>
      <c r="IGE28" s="609"/>
      <c r="IGF28" s="609"/>
      <c r="IGG28" s="609"/>
      <c r="IGH28" s="609"/>
      <c r="IGI28" s="609"/>
      <c r="IGJ28" s="609"/>
      <c r="IGK28" s="609"/>
      <c r="IGL28" s="609"/>
      <c r="IGM28" s="609"/>
      <c r="IGN28" s="609"/>
      <c r="IGO28" s="609"/>
      <c r="IGP28" s="609"/>
      <c r="IGQ28" s="609"/>
      <c r="IGR28" s="609"/>
      <c r="IGS28" s="609"/>
      <c r="IGT28" s="609"/>
      <c r="IGU28" s="609"/>
      <c r="IGV28" s="609"/>
      <c r="IGW28" s="609"/>
      <c r="IGX28" s="609"/>
      <c r="IGY28" s="609"/>
      <c r="IGZ28" s="609"/>
      <c r="IHA28" s="609"/>
      <c r="IHB28" s="609"/>
      <c r="IHC28" s="609"/>
      <c r="IHD28" s="609"/>
      <c r="IHE28" s="609"/>
      <c r="IHF28" s="609"/>
      <c r="IHG28" s="609"/>
      <c r="IHH28" s="609"/>
      <c r="IHI28" s="609"/>
      <c r="IHJ28" s="609"/>
      <c r="IHK28" s="609"/>
      <c r="IHL28" s="609"/>
      <c r="IHM28" s="609"/>
      <c r="IHN28" s="609"/>
      <c r="IHO28" s="609"/>
      <c r="IHP28" s="609"/>
      <c r="IHQ28" s="609"/>
      <c r="IHR28" s="609"/>
      <c r="IHS28" s="609"/>
      <c r="IHT28" s="609"/>
      <c r="IHU28" s="609"/>
      <c r="IHV28" s="609"/>
      <c r="IHW28" s="609"/>
      <c r="IHX28" s="609"/>
      <c r="IHY28" s="609"/>
      <c r="IHZ28" s="609"/>
      <c r="IIA28" s="609"/>
      <c r="IIB28" s="609"/>
      <c r="IIC28" s="609"/>
      <c r="IID28" s="609"/>
      <c r="IIE28" s="609"/>
      <c r="IIF28" s="609"/>
      <c r="IIG28" s="609"/>
      <c r="IIH28" s="609"/>
      <c r="III28" s="609"/>
      <c r="IIJ28" s="609"/>
      <c r="IIK28" s="609"/>
      <c r="IIL28" s="609"/>
      <c r="IIM28" s="609"/>
      <c r="IIN28" s="609"/>
      <c r="IIO28" s="609"/>
      <c r="IIP28" s="609"/>
      <c r="IIQ28" s="609"/>
      <c r="IIR28" s="609"/>
      <c r="IIS28" s="609"/>
      <c r="IIT28" s="609"/>
      <c r="IIU28" s="609"/>
      <c r="IIV28" s="609"/>
      <c r="IIW28" s="609"/>
      <c r="IIX28" s="609"/>
      <c r="IIY28" s="609"/>
      <c r="IIZ28" s="609"/>
      <c r="IJA28" s="609"/>
      <c r="IJB28" s="609"/>
      <c r="IJC28" s="609"/>
      <c r="IJD28" s="609"/>
      <c r="IJE28" s="609"/>
      <c r="IJF28" s="609"/>
      <c r="IJG28" s="609"/>
      <c r="IJH28" s="609"/>
      <c r="IJI28" s="609"/>
      <c r="IJJ28" s="609"/>
      <c r="IJK28" s="609"/>
      <c r="IJL28" s="609"/>
      <c r="IJM28" s="609"/>
      <c r="IJN28" s="609"/>
      <c r="IJO28" s="609"/>
      <c r="IJP28" s="609"/>
      <c r="IJQ28" s="609"/>
      <c r="IJR28" s="609"/>
      <c r="IJS28" s="609"/>
      <c r="IJT28" s="609"/>
      <c r="IJU28" s="609"/>
      <c r="IJV28" s="609"/>
      <c r="IJW28" s="609"/>
      <c r="IJX28" s="609"/>
      <c r="IJY28" s="609"/>
      <c r="IJZ28" s="609"/>
      <c r="IKA28" s="609"/>
      <c r="IKB28" s="609"/>
      <c r="IKC28" s="609"/>
      <c r="IKD28" s="609"/>
      <c r="IKE28" s="609"/>
      <c r="IKF28" s="609"/>
      <c r="IKG28" s="609"/>
      <c r="IKH28" s="609"/>
      <c r="IKI28" s="609"/>
      <c r="IKJ28" s="609"/>
      <c r="IKK28" s="609"/>
      <c r="IKL28" s="609"/>
      <c r="IKM28" s="609"/>
      <c r="IKN28" s="609"/>
      <c r="IKO28" s="609"/>
      <c r="IKP28" s="609"/>
      <c r="IKQ28" s="609"/>
      <c r="IKR28" s="609"/>
      <c r="IKS28" s="609"/>
      <c r="IKT28" s="609"/>
      <c r="IKU28" s="609"/>
      <c r="IKV28" s="609"/>
      <c r="IKW28" s="609"/>
      <c r="IKX28" s="609"/>
      <c r="IKY28" s="609"/>
      <c r="IKZ28" s="609"/>
      <c r="ILA28" s="609"/>
      <c r="ILB28" s="609"/>
      <c r="ILC28" s="609"/>
      <c r="ILD28" s="609"/>
      <c r="ILE28" s="609"/>
      <c r="ILF28" s="609"/>
      <c r="ILG28" s="609"/>
      <c r="ILH28" s="609"/>
      <c r="ILI28" s="609"/>
      <c r="ILJ28" s="609"/>
      <c r="ILK28" s="609"/>
      <c r="ILL28" s="609"/>
      <c r="ILM28" s="609"/>
      <c r="ILN28" s="609"/>
      <c r="ILO28" s="609"/>
      <c r="ILP28" s="609"/>
      <c r="ILQ28" s="609"/>
      <c r="ILR28" s="609"/>
      <c r="ILS28" s="609"/>
      <c r="ILT28" s="609"/>
      <c r="ILU28" s="609"/>
      <c r="ILV28" s="609"/>
      <c r="ILW28" s="609"/>
      <c r="ILX28" s="609"/>
      <c r="ILY28" s="609"/>
      <c r="ILZ28" s="609"/>
      <c r="IMA28" s="609"/>
      <c r="IMB28" s="609"/>
      <c r="IMC28" s="609"/>
      <c r="IMD28" s="609"/>
      <c r="IME28" s="609"/>
      <c r="IMF28" s="609"/>
      <c r="IMG28" s="609"/>
      <c r="IMH28" s="609"/>
      <c r="IMI28" s="609"/>
      <c r="IMJ28" s="609"/>
      <c r="IMK28" s="609"/>
      <c r="IML28" s="609"/>
      <c r="IMM28" s="609"/>
      <c r="IMN28" s="609"/>
      <c r="IMO28" s="609"/>
      <c r="IMP28" s="609"/>
      <c r="IMQ28" s="609"/>
      <c r="IMR28" s="609"/>
      <c r="IMS28" s="609"/>
      <c r="IMT28" s="609"/>
      <c r="IMU28" s="609"/>
      <c r="IMV28" s="609"/>
      <c r="IMW28" s="609"/>
      <c r="IMX28" s="609"/>
      <c r="IMY28" s="609"/>
      <c r="IMZ28" s="609"/>
      <c r="INA28" s="609"/>
      <c r="INB28" s="609"/>
      <c r="INC28" s="609"/>
      <c r="IND28" s="609"/>
      <c r="INE28" s="609"/>
      <c r="INF28" s="609"/>
      <c r="ING28" s="609"/>
      <c r="INH28" s="609"/>
      <c r="INI28" s="609"/>
      <c r="INJ28" s="609"/>
      <c r="INK28" s="609"/>
      <c r="INL28" s="609"/>
      <c r="INM28" s="609"/>
      <c r="INN28" s="609"/>
      <c r="INO28" s="609"/>
      <c r="INP28" s="609"/>
      <c r="INQ28" s="609"/>
      <c r="INR28" s="609"/>
      <c r="INS28" s="609"/>
      <c r="INT28" s="609"/>
      <c r="INU28" s="609"/>
      <c r="INV28" s="609"/>
      <c r="INW28" s="609"/>
      <c r="INX28" s="609"/>
      <c r="INY28" s="609"/>
      <c r="INZ28" s="609"/>
      <c r="IOA28" s="609"/>
      <c r="IOB28" s="609"/>
      <c r="IOC28" s="609"/>
      <c r="IOD28" s="609"/>
      <c r="IOE28" s="609"/>
      <c r="IOF28" s="609"/>
      <c r="IOG28" s="609"/>
      <c r="IOH28" s="609"/>
      <c r="IOI28" s="609"/>
      <c r="IOJ28" s="609"/>
      <c r="IOK28" s="609"/>
      <c r="IOL28" s="609"/>
      <c r="IOM28" s="609"/>
      <c r="ION28" s="609"/>
      <c r="IOO28" s="609"/>
      <c r="IOP28" s="609"/>
      <c r="IOQ28" s="609"/>
      <c r="IOR28" s="609"/>
      <c r="IOS28" s="609"/>
      <c r="IOT28" s="609"/>
      <c r="IOU28" s="609"/>
      <c r="IOV28" s="609"/>
      <c r="IOW28" s="609"/>
      <c r="IOX28" s="609"/>
      <c r="IOY28" s="609"/>
      <c r="IOZ28" s="609"/>
      <c r="IPA28" s="609"/>
      <c r="IPB28" s="609"/>
      <c r="IPC28" s="609"/>
      <c r="IPD28" s="609"/>
      <c r="IPE28" s="609"/>
      <c r="IPF28" s="609"/>
      <c r="IPG28" s="609"/>
      <c r="IPH28" s="609"/>
      <c r="IPI28" s="609"/>
      <c r="IPJ28" s="609"/>
      <c r="IPK28" s="609"/>
      <c r="IPL28" s="609"/>
      <c r="IPM28" s="609"/>
      <c r="IPN28" s="609"/>
      <c r="IPO28" s="609"/>
      <c r="IPP28" s="609"/>
      <c r="IPQ28" s="609"/>
      <c r="IPR28" s="609"/>
      <c r="IPS28" s="609"/>
      <c r="IPT28" s="609"/>
      <c r="IPU28" s="609"/>
      <c r="IPV28" s="609"/>
      <c r="IPW28" s="609"/>
      <c r="IPX28" s="609"/>
      <c r="IPY28" s="609"/>
      <c r="IPZ28" s="609"/>
      <c r="IQA28" s="609"/>
      <c r="IQB28" s="609"/>
      <c r="IQC28" s="609"/>
      <c r="IQD28" s="609"/>
      <c r="IQE28" s="609"/>
      <c r="IQF28" s="609"/>
      <c r="IQG28" s="609"/>
      <c r="IQH28" s="609"/>
      <c r="IQI28" s="609"/>
      <c r="IQJ28" s="609"/>
      <c r="IQK28" s="609"/>
      <c r="IQL28" s="609"/>
      <c r="IQM28" s="609"/>
      <c r="IQN28" s="609"/>
      <c r="IQO28" s="609"/>
      <c r="IQP28" s="609"/>
      <c r="IQQ28" s="609"/>
      <c r="IQR28" s="609"/>
      <c r="IQS28" s="609"/>
      <c r="IQT28" s="609"/>
      <c r="IQU28" s="609"/>
      <c r="IQV28" s="609"/>
      <c r="IQW28" s="609"/>
      <c r="IQX28" s="609"/>
      <c r="IQY28" s="609"/>
      <c r="IQZ28" s="609"/>
      <c r="IRA28" s="609"/>
      <c r="IRB28" s="609"/>
      <c r="IRC28" s="609"/>
      <c r="IRD28" s="609"/>
      <c r="IRE28" s="609"/>
      <c r="IRF28" s="609"/>
      <c r="IRG28" s="609"/>
      <c r="IRH28" s="609"/>
      <c r="IRI28" s="609"/>
      <c r="IRJ28" s="609"/>
      <c r="IRK28" s="609"/>
      <c r="IRL28" s="609"/>
      <c r="IRM28" s="609"/>
      <c r="IRN28" s="609"/>
      <c r="IRO28" s="609"/>
      <c r="IRP28" s="609"/>
      <c r="IRQ28" s="609"/>
      <c r="IRR28" s="609"/>
      <c r="IRS28" s="609"/>
      <c r="IRT28" s="609"/>
      <c r="IRU28" s="609"/>
      <c r="IRV28" s="609"/>
      <c r="IRW28" s="609"/>
      <c r="IRX28" s="609"/>
      <c r="IRY28" s="609"/>
      <c r="IRZ28" s="609"/>
      <c r="ISA28" s="609"/>
      <c r="ISB28" s="609"/>
      <c r="ISC28" s="609"/>
      <c r="ISD28" s="609"/>
      <c r="ISE28" s="609"/>
      <c r="ISF28" s="609"/>
      <c r="ISG28" s="609"/>
      <c r="ISH28" s="609"/>
      <c r="ISI28" s="609"/>
      <c r="ISJ28" s="609"/>
      <c r="ISK28" s="609"/>
      <c r="ISL28" s="609"/>
      <c r="ISM28" s="609"/>
      <c r="ISN28" s="609"/>
      <c r="ISO28" s="609"/>
      <c r="ISP28" s="609"/>
      <c r="ISQ28" s="609"/>
      <c r="ISR28" s="609"/>
      <c r="ISS28" s="609"/>
      <c r="IST28" s="609"/>
      <c r="ISU28" s="609"/>
      <c r="ISV28" s="609"/>
      <c r="ISW28" s="609"/>
      <c r="ISX28" s="609"/>
      <c r="ISY28" s="609"/>
      <c r="ISZ28" s="609"/>
      <c r="ITA28" s="609"/>
      <c r="ITB28" s="609"/>
      <c r="ITC28" s="609"/>
      <c r="ITD28" s="609"/>
      <c r="ITE28" s="609"/>
      <c r="ITF28" s="609"/>
      <c r="ITG28" s="609"/>
      <c r="ITH28" s="609"/>
      <c r="ITI28" s="609"/>
      <c r="ITJ28" s="609"/>
      <c r="ITK28" s="609"/>
      <c r="ITL28" s="609"/>
      <c r="ITM28" s="609"/>
      <c r="ITN28" s="609"/>
      <c r="ITO28" s="609"/>
      <c r="ITP28" s="609"/>
      <c r="ITQ28" s="609"/>
      <c r="ITR28" s="609"/>
      <c r="ITS28" s="609"/>
      <c r="ITT28" s="609"/>
      <c r="ITU28" s="609"/>
      <c r="ITV28" s="609"/>
      <c r="ITW28" s="609"/>
      <c r="ITX28" s="609"/>
      <c r="ITY28" s="609"/>
      <c r="ITZ28" s="609"/>
      <c r="IUA28" s="609"/>
      <c r="IUB28" s="609"/>
      <c r="IUC28" s="609"/>
      <c r="IUD28" s="609"/>
      <c r="IUE28" s="609"/>
      <c r="IUF28" s="609"/>
      <c r="IUG28" s="609"/>
      <c r="IUH28" s="609"/>
      <c r="IUI28" s="609"/>
      <c r="IUJ28" s="609"/>
      <c r="IUK28" s="609"/>
      <c r="IUL28" s="609"/>
      <c r="IUM28" s="609"/>
      <c r="IUN28" s="609"/>
      <c r="IUO28" s="609"/>
      <c r="IUP28" s="609"/>
      <c r="IUQ28" s="609"/>
      <c r="IUR28" s="609"/>
      <c r="IUS28" s="609"/>
      <c r="IUT28" s="609"/>
      <c r="IUU28" s="609"/>
      <c r="IUV28" s="609"/>
      <c r="IUW28" s="609"/>
      <c r="IUX28" s="609"/>
      <c r="IUY28" s="609"/>
      <c r="IUZ28" s="609"/>
      <c r="IVA28" s="609"/>
      <c r="IVB28" s="609"/>
      <c r="IVC28" s="609"/>
      <c r="IVD28" s="609"/>
      <c r="IVE28" s="609"/>
      <c r="IVF28" s="609"/>
      <c r="IVG28" s="609"/>
      <c r="IVH28" s="609"/>
      <c r="IVI28" s="609"/>
      <c r="IVJ28" s="609"/>
      <c r="IVK28" s="609"/>
      <c r="IVL28" s="609"/>
      <c r="IVM28" s="609"/>
      <c r="IVN28" s="609"/>
      <c r="IVO28" s="609"/>
      <c r="IVP28" s="609"/>
      <c r="IVQ28" s="609"/>
      <c r="IVR28" s="609"/>
      <c r="IVS28" s="609"/>
      <c r="IVT28" s="609"/>
      <c r="IVU28" s="609"/>
      <c r="IVV28" s="609"/>
      <c r="IVW28" s="609"/>
      <c r="IVX28" s="609"/>
      <c r="IVY28" s="609"/>
      <c r="IVZ28" s="609"/>
      <c r="IWA28" s="609"/>
      <c r="IWB28" s="609"/>
      <c r="IWC28" s="609"/>
      <c r="IWD28" s="609"/>
      <c r="IWE28" s="609"/>
      <c r="IWF28" s="609"/>
      <c r="IWG28" s="609"/>
      <c r="IWH28" s="609"/>
      <c r="IWI28" s="609"/>
      <c r="IWJ28" s="609"/>
      <c r="IWK28" s="609"/>
      <c r="IWL28" s="609"/>
      <c r="IWM28" s="609"/>
      <c r="IWN28" s="609"/>
      <c r="IWO28" s="609"/>
      <c r="IWP28" s="609"/>
      <c r="IWQ28" s="609"/>
      <c r="IWR28" s="609"/>
      <c r="IWS28" s="609"/>
      <c r="IWT28" s="609"/>
      <c r="IWU28" s="609"/>
      <c r="IWV28" s="609"/>
      <c r="IWW28" s="609"/>
      <c r="IWX28" s="609"/>
      <c r="IWY28" s="609"/>
      <c r="IWZ28" s="609"/>
      <c r="IXA28" s="609"/>
      <c r="IXB28" s="609"/>
      <c r="IXC28" s="609"/>
      <c r="IXD28" s="609"/>
      <c r="IXE28" s="609"/>
      <c r="IXF28" s="609"/>
      <c r="IXG28" s="609"/>
      <c r="IXH28" s="609"/>
      <c r="IXI28" s="609"/>
      <c r="IXJ28" s="609"/>
      <c r="IXK28" s="609"/>
      <c r="IXL28" s="609"/>
      <c r="IXM28" s="609"/>
      <c r="IXN28" s="609"/>
      <c r="IXO28" s="609"/>
      <c r="IXP28" s="609"/>
      <c r="IXQ28" s="609"/>
      <c r="IXR28" s="609"/>
      <c r="IXS28" s="609"/>
      <c r="IXT28" s="609"/>
      <c r="IXU28" s="609"/>
      <c r="IXV28" s="609"/>
      <c r="IXW28" s="609"/>
      <c r="IXX28" s="609"/>
      <c r="IXY28" s="609"/>
      <c r="IXZ28" s="609"/>
      <c r="IYA28" s="609"/>
      <c r="IYB28" s="609"/>
      <c r="IYC28" s="609"/>
      <c r="IYD28" s="609"/>
      <c r="IYE28" s="609"/>
      <c r="IYF28" s="609"/>
      <c r="IYG28" s="609"/>
      <c r="IYH28" s="609"/>
      <c r="IYI28" s="609"/>
      <c r="IYJ28" s="609"/>
      <c r="IYK28" s="609"/>
      <c r="IYL28" s="609"/>
      <c r="IYM28" s="609"/>
      <c r="IYN28" s="609"/>
      <c r="IYO28" s="609"/>
      <c r="IYP28" s="609"/>
      <c r="IYQ28" s="609"/>
      <c r="IYR28" s="609"/>
      <c r="IYS28" s="609"/>
      <c r="IYT28" s="609"/>
      <c r="IYU28" s="609"/>
      <c r="IYV28" s="609"/>
      <c r="IYW28" s="609"/>
      <c r="IYX28" s="609"/>
      <c r="IYY28" s="609"/>
      <c r="IYZ28" s="609"/>
      <c r="IZA28" s="609"/>
      <c r="IZB28" s="609"/>
      <c r="IZC28" s="609"/>
      <c r="IZD28" s="609"/>
      <c r="IZE28" s="609"/>
      <c r="IZF28" s="609"/>
      <c r="IZG28" s="609"/>
      <c r="IZH28" s="609"/>
      <c r="IZI28" s="609"/>
      <c r="IZJ28" s="609"/>
      <c r="IZK28" s="609"/>
      <c r="IZL28" s="609"/>
      <c r="IZM28" s="609"/>
      <c r="IZN28" s="609"/>
      <c r="IZO28" s="609"/>
      <c r="IZP28" s="609"/>
      <c r="IZQ28" s="609"/>
      <c r="IZR28" s="609"/>
      <c r="IZS28" s="609"/>
      <c r="IZT28" s="609"/>
      <c r="IZU28" s="609"/>
      <c r="IZV28" s="609"/>
      <c r="IZW28" s="609"/>
      <c r="IZX28" s="609"/>
      <c r="IZY28" s="609"/>
      <c r="IZZ28" s="609"/>
      <c r="JAA28" s="609"/>
      <c r="JAB28" s="609"/>
      <c r="JAC28" s="609"/>
      <c r="JAD28" s="609"/>
      <c r="JAE28" s="609"/>
      <c r="JAF28" s="609"/>
      <c r="JAG28" s="609"/>
      <c r="JAH28" s="609"/>
      <c r="JAI28" s="609"/>
      <c r="JAJ28" s="609"/>
      <c r="JAK28" s="609"/>
      <c r="JAL28" s="609"/>
      <c r="JAM28" s="609"/>
      <c r="JAN28" s="609"/>
      <c r="JAO28" s="609"/>
      <c r="JAP28" s="609"/>
      <c r="JAQ28" s="609"/>
      <c r="JAR28" s="609"/>
      <c r="JAS28" s="609"/>
      <c r="JAT28" s="609"/>
      <c r="JAU28" s="609"/>
      <c r="JAV28" s="609"/>
      <c r="JAW28" s="609"/>
      <c r="JAX28" s="609"/>
      <c r="JAY28" s="609"/>
      <c r="JAZ28" s="609"/>
      <c r="JBA28" s="609"/>
      <c r="JBB28" s="609"/>
      <c r="JBC28" s="609"/>
      <c r="JBD28" s="609"/>
      <c r="JBE28" s="609"/>
      <c r="JBF28" s="609"/>
      <c r="JBG28" s="609"/>
      <c r="JBH28" s="609"/>
      <c r="JBI28" s="609"/>
      <c r="JBJ28" s="609"/>
      <c r="JBK28" s="609"/>
      <c r="JBL28" s="609"/>
      <c r="JBM28" s="609"/>
      <c r="JBN28" s="609"/>
      <c r="JBO28" s="609"/>
      <c r="JBP28" s="609"/>
      <c r="JBQ28" s="609"/>
      <c r="JBR28" s="609"/>
      <c r="JBS28" s="609"/>
      <c r="JBT28" s="609"/>
      <c r="JBU28" s="609"/>
      <c r="JBV28" s="609"/>
      <c r="JBW28" s="609"/>
      <c r="JBX28" s="609"/>
      <c r="JBY28" s="609"/>
      <c r="JBZ28" s="609"/>
      <c r="JCA28" s="609"/>
      <c r="JCB28" s="609"/>
      <c r="JCC28" s="609"/>
      <c r="JCD28" s="609"/>
      <c r="JCE28" s="609"/>
      <c r="JCF28" s="609"/>
      <c r="JCG28" s="609"/>
      <c r="JCH28" s="609"/>
      <c r="JCI28" s="609"/>
      <c r="JCJ28" s="609"/>
      <c r="JCK28" s="609"/>
      <c r="JCL28" s="609"/>
      <c r="JCM28" s="609"/>
      <c r="JCN28" s="609"/>
      <c r="JCO28" s="609"/>
      <c r="JCP28" s="609"/>
      <c r="JCQ28" s="609"/>
      <c r="JCR28" s="609"/>
      <c r="JCS28" s="609"/>
      <c r="JCT28" s="609"/>
      <c r="JCU28" s="609"/>
      <c r="JCV28" s="609"/>
      <c r="JCW28" s="609"/>
      <c r="JCX28" s="609"/>
      <c r="JCY28" s="609"/>
      <c r="JCZ28" s="609"/>
      <c r="JDA28" s="609"/>
      <c r="JDB28" s="609"/>
      <c r="JDC28" s="609"/>
      <c r="JDD28" s="609"/>
      <c r="JDE28" s="609"/>
      <c r="JDF28" s="609"/>
      <c r="JDG28" s="609"/>
      <c r="JDH28" s="609"/>
      <c r="JDI28" s="609"/>
      <c r="JDJ28" s="609"/>
      <c r="JDK28" s="609"/>
      <c r="JDL28" s="609"/>
      <c r="JDM28" s="609"/>
      <c r="JDN28" s="609"/>
      <c r="JDO28" s="609"/>
      <c r="JDP28" s="609"/>
      <c r="JDQ28" s="609"/>
      <c r="JDR28" s="609"/>
      <c r="JDS28" s="609"/>
      <c r="JDT28" s="609"/>
      <c r="JDU28" s="609"/>
      <c r="JDV28" s="609"/>
      <c r="JDW28" s="609"/>
      <c r="JDX28" s="609"/>
      <c r="JDY28" s="609"/>
      <c r="JDZ28" s="609"/>
      <c r="JEA28" s="609"/>
      <c r="JEB28" s="609"/>
      <c r="JEC28" s="609"/>
      <c r="JED28" s="609"/>
      <c r="JEE28" s="609"/>
      <c r="JEF28" s="609"/>
      <c r="JEG28" s="609"/>
      <c r="JEH28" s="609"/>
      <c r="JEI28" s="609"/>
      <c r="JEJ28" s="609"/>
      <c r="JEK28" s="609"/>
      <c r="JEL28" s="609"/>
      <c r="JEM28" s="609"/>
      <c r="JEN28" s="609"/>
      <c r="JEO28" s="609"/>
      <c r="JEP28" s="609"/>
      <c r="JEQ28" s="609"/>
      <c r="JER28" s="609"/>
      <c r="JES28" s="609"/>
      <c r="JET28" s="609"/>
      <c r="JEU28" s="609"/>
      <c r="JEV28" s="609"/>
      <c r="JEW28" s="609"/>
      <c r="JEX28" s="609"/>
      <c r="JEY28" s="609"/>
      <c r="JEZ28" s="609"/>
      <c r="JFA28" s="609"/>
      <c r="JFB28" s="609"/>
      <c r="JFC28" s="609"/>
      <c r="JFD28" s="609"/>
      <c r="JFE28" s="609"/>
      <c r="JFF28" s="609"/>
      <c r="JFG28" s="609"/>
      <c r="JFH28" s="609"/>
      <c r="JFI28" s="609"/>
      <c r="JFJ28" s="609"/>
      <c r="JFK28" s="609"/>
      <c r="JFL28" s="609"/>
      <c r="JFM28" s="609"/>
      <c r="JFN28" s="609"/>
      <c r="JFO28" s="609"/>
      <c r="JFP28" s="609"/>
      <c r="JFQ28" s="609"/>
      <c r="JFR28" s="609"/>
      <c r="JFS28" s="609"/>
      <c r="JFT28" s="609"/>
      <c r="JFU28" s="609"/>
      <c r="JFV28" s="609"/>
      <c r="JFW28" s="609"/>
      <c r="JFX28" s="609"/>
      <c r="JFY28" s="609"/>
      <c r="JFZ28" s="609"/>
      <c r="JGA28" s="609"/>
      <c r="JGB28" s="609"/>
      <c r="JGC28" s="609"/>
      <c r="JGD28" s="609"/>
      <c r="JGE28" s="609"/>
      <c r="JGF28" s="609"/>
      <c r="JGG28" s="609"/>
      <c r="JGH28" s="609"/>
      <c r="JGI28" s="609"/>
      <c r="JGJ28" s="609"/>
      <c r="JGK28" s="609"/>
      <c r="JGL28" s="609"/>
      <c r="JGM28" s="609"/>
      <c r="JGN28" s="609"/>
      <c r="JGO28" s="609"/>
      <c r="JGP28" s="609"/>
      <c r="JGQ28" s="609"/>
      <c r="JGR28" s="609"/>
      <c r="JGS28" s="609"/>
      <c r="JGT28" s="609"/>
      <c r="JGU28" s="609"/>
      <c r="JGV28" s="609"/>
      <c r="JGW28" s="609"/>
      <c r="JGX28" s="609"/>
      <c r="JGY28" s="609"/>
      <c r="JGZ28" s="609"/>
      <c r="JHA28" s="609"/>
      <c r="JHB28" s="609"/>
      <c r="JHC28" s="609"/>
      <c r="JHD28" s="609"/>
      <c r="JHE28" s="609"/>
      <c r="JHF28" s="609"/>
      <c r="JHG28" s="609"/>
      <c r="JHH28" s="609"/>
      <c r="JHI28" s="609"/>
      <c r="JHJ28" s="609"/>
      <c r="JHK28" s="609"/>
      <c r="JHL28" s="609"/>
      <c r="JHM28" s="609"/>
      <c r="JHN28" s="609"/>
      <c r="JHO28" s="609"/>
      <c r="JHP28" s="609"/>
      <c r="JHQ28" s="609"/>
      <c r="JHR28" s="609"/>
      <c r="JHS28" s="609"/>
      <c r="JHT28" s="609"/>
      <c r="JHU28" s="609"/>
      <c r="JHV28" s="609"/>
      <c r="JHW28" s="609"/>
      <c r="JHX28" s="609"/>
      <c r="JHY28" s="609"/>
      <c r="JHZ28" s="609"/>
      <c r="JIA28" s="609"/>
      <c r="JIB28" s="609"/>
      <c r="JIC28" s="609"/>
      <c r="JID28" s="609"/>
      <c r="JIE28" s="609"/>
      <c r="JIF28" s="609"/>
      <c r="JIG28" s="609"/>
      <c r="JIH28" s="609"/>
      <c r="JII28" s="609"/>
      <c r="JIJ28" s="609"/>
      <c r="JIK28" s="609"/>
      <c r="JIL28" s="609"/>
      <c r="JIM28" s="609"/>
      <c r="JIN28" s="609"/>
      <c r="JIO28" s="609"/>
      <c r="JIP28" s="609"/>
      <c r="JIQ28" s="609"/>
      <c r="JIR28" s="609"/>
      <c r="JIS28" s="609"/>
      <c r="JIT28" s="609"/>
      <c r="JIU28" s="609"/>
      <c r="JIV28" s="609"/>
      <c r="JIW28" s="609"/>
      <c r="JIX28" s="609"/>
      <c r="JIY28" s="609"/>
      <c r="JIZ28" s="609"/>
      <c r="JJA28" s="609"/>
      <c r="JJB28" s="609"/>
      <c r="JJC28" s="609"/>
      <c r="JJD28" s="609"/>
      <c r="JJE28" s="609"/>
      <c r="JJF28" s="609"/>
      <c r="JJG28" s="609"/>
      <c r="JJH28" s="609"/>
      <c r="JJI28" s="609"/>
      <c r="JJJ28" s="609"/>
      <c r="JJK28" s="609"/>
      <c r="JJL28" s="609"/>
      <c r="JJM28" s="609"/>
      <c r="JJN28" s="609"/>
      <c r="JJO28" s="609"/>
      <c r="JJP28" s="609"/>
      <c r="JJQ28" s="609"/>
      <c r="JJR28" s="609"/>
      <c r="JJS28" s="609"/>
      <c r="JJT28" s="609"/>
      <c r="JJU28" s="609"/>
      <c r="JJV28" s="609"/>
      <c r="JJW28" s="609"/>
      <c r="JJX28" s="609"/>
      <c r="JJY28" s="609"/>
      <c r="JJZ28" s="609"/>
      <c r="JKA28" s="609"/>
      <c r="JKB28" s="609"/>
      <c r="JKC28" s="609"/>
      <c r="JKD28" s="609"/>
      <c r="JKE28" s="609"/>
      <c r="JKF28" s="609"/>
      <c r="JKG28" s="609"/>
      <c r="JKH28" s="609"/>
      <c r="JKI28" s="609"/>
      <c r="JKJ28" s="609"/>
      <c r="JKK28" s="609"/>
      <c r="JKL28" s="609"/>
      <c r="JKM28" s="609"/>
      <c r="JKN28" s="609"/>
      <c r="JKO28" s="609"/>
      <c r="JKP28" s="609"/>
      <c r="JKQ28" s="609"/>
      <c r="JKR28" s="609"/>
      <c r="JKS28" s="609"/>
      <c r="JKT28" s="609"/>
      <c r="JKU28" s="609"/>
      <c r="JKV28" s="609"/>
      <c r="JKW28" s="609"/>
      <c r="JKX28" s="609"/>
      <c r="JKY28" s="609"/>
      <c r="JKZ28" s="609"/>
      <c r="JLA28" s="609"/>
      <c r="JLB28" s="609"/>
      <c r="JLC28" s="609"/>
      <c r="JLD28" s="609"/>
      <c r="JLE28" s="609"/>
      <c r="JLF28" s="609"/>
      <c r="JLG28" s="609"/>
      <c r="JLH28" s="609"/>
      <c r="JLI28" s="609"/>
      <c r="JLJ28" s="609"/>
      <c r="JLK28" s="609"/>
      <c r="JLL28" s="609"/>
      <c r="JLM28" s="609"/>
      <c r="JLN28" s="609"/>
      <c r="JLO28" s="609"/>
      <c r="JLP28" s="609"/>
      <c r="JLQ28" s="609"/>
      <c r="JLR28" s="609"/>
      <c r="JLS28" s="609"/>
      <c r="JLT28" s="609"/>
      <c r="JLU28" s="609"/>
      <c r="JLV28" s="609"/>
      <c r="JLW28" s="609"/>
      <c r="JLX28" s="609"/>
      <c r="JLY28" s="609"/>
      <c r="JLZ28" s="609"/>
      <c r="JMA28" s="609"/>
      <c r="JMB28" s="609"/>
      <c r="JMC28" s="609"/>
      <c r="JMD28" s="609"/>
      <c r="JME28" s="609"/>
      <c r="JMF28" s="609"/>
      <c r="JMG28" s="609"/>
      <c r="JMH28" s="609"/>
      <c r="JMI28" s="609"/>
      <c r="JMJ28" s="609"/>
      <c r="JMK28" s="609"/>
      <c r="JML28" s="609"/>
      <c r="JMM28" s="609"/>
      <c r="JMN28" s="609"/>
      <c r="JMO28" s="609"/>
      <c r="JMP28" s="609"/>
      <c r="JMQ28" s="609"/>
      <c r="JMR28" s="609"/>
      <c r="JMS28" s="609"/>
      <c r="JMT28" s="609"/>
      <c r="JMU28" s="609"/>
      <c r="JMV28" s="609"/>
      <c r="JMW28" s="609"/>
      <c r="JMX28" s="609"/>
      <c r="JMY28" s="609"/>
      <c r="JMZ28" s="609"/>
      <c r="JNA28" s="609"/>
      <c r="JNB28" s="609"/>
      <c r="JNC28" s="609"/>
      <c r="JND28" s="609"/>
      <c r="JNE28" s="609"/>
      <c r="JNF28" s="609"/>
      <c r="JNG28" s="609"/>
      <c r="JNH28" s="609"/>
      <c r="JNI28" s="609"/>
      <c r="JNJ28" s="609"/>
      <c r="JNK28" s="609"/>
      <c r="JNL28" s="609"/>
      <c r="JNM28" s="609"/>
      <c r="JNN28" s="609"/>
      <c r="JNO28" s="609"/>
      <c r="JNP28" s="609"/>
      <c r="JNQ28" s="609"/>
      <c r="JNR28" s="609"/>
      <c r="JNS28" s="609"/>
      <c r="JNT28" s="609"/>
      <c r="JNU28" s="609"/>
      <c r="JNV28" s="609"/>
      <c r="JNW28" s="609"/>
      <c r="JNX28" s="609"/>
      <c r="JNY28" s="609"/>
      <c r="JNZ28" s="609"/>
      <c r="JOA28" s="609"/>
      <c r="JOB28" s="609"/>
      <c r="JOC28" s="609"/>
      <c r="JOD28" s="609"/>
      <c r="JOE28" s="609"/>
      <c r="JOF28" s="609"/>
      <c r="JOG28" s="609"/>
      <c r="JOH28" s="609"/>
      <c r="JOI28" s="609"/>
      <c r="JOJ28" s="609"/>
      <c r="JOK28" s="609"/>
      <c r="JOL28" s="609"/>
      <c r="JOM28" s="609"/>
      <c r="JON28" s="609"/>
      <c r="JOO28" s="609"/>
      <c r="JOP28" s="609"/>
      <c r="JOQ28" s="609"/>
      <c r="JOR28" s="609"/>
      <c r="JOS28" s="609"/>
      <c r="JOT28" s="609"/>
      <c r="JOU28" s="609"/>
      <c r="JOV28" s="609"/>
      <c r="JOW28" s="609"/>
      <c r="JOX28" s="609"/>
      <c r="JOY28" s="609"/>
      <c r="JOZ28" s="609"/>
      <c r="JPA28" s="609"/>
      <c r="JPB28" s="609"/>
      <c r="JPC28" s="609"/>
      <c r="JPD28" s="609"/>
      <c r="JPE28" s="609"/>
      <c r="JPF28" s="609"/>
      <c r="JPG28" s="609"/>
      <c r="JPH28" s="609"/>
      <c r="JPI28" s="609"/>
      <c r="JPJ28" s="609"/>
      <c r="JPK28" s="609"/>
      <c r="JPL28" s="609"/>
      <c r="JPM28" s="609"/>
      <c r="JPN28" s="609"/>
      <c r="JPO28" s="609"/>
      <c r="JPP28" s="609"/>
      <c r="JPQ28" s="609"/>
      <c r="JPR28" s="609"/>
      <c r="JPS28" s="609"/>
      <c r="JPT28" s="609"/>
      <c r="JPU28" s="609"/>
      <c r="JPV28" s="609"/>
      <c r="JPW28" s="609"/>
      <c r="JPX28" s="609"/>
      <c r="JPY28" s="609"/>
      <c r="JPZ28" s="609"/>
      <c r="JQA28" s="609"/>
      <c r="JQB28" s="609"/>
      <c r="JQC28" s="609"/>
      <c r="JQD28" s="609"/>
      <c r="JQE28" s="609"/>
      <c r="JQF28" s="609"/>
      <c r="JQG28" s="609"/>
      <c r="JQH28" s="609"/>
      <c r="JQI28" s="609"/>
      <c r="JQJ28" s="609"/>
      <c r="JQK28" s="609"/>
      <c r="JQL28" s="609"/>
      <c r="JQM28" s="609"/>
      <c r="JQN28" s="609"/>
      <c r="JQO28" s="609"/>
      <c r="JQP28" s="609"/>
      <c r="JQQ28" s="609"/>
      <c r="JQR28" s="609"/>
      <c r="JQS28" s="609"/>
      <c r="JQT28" s="609"/>
      <c r="JQU28" s="609"/>
      <c r="JQV28" s="609"/>
      <c r="JQW28" s="609"/>
      <c r="JQX28" s="609"/>
      <c r="JQY28" s="609"/>
      <c r="JQZ28" s="609"/>
      <c r="JRA28" s="609"/>
      <c r="JRB28" s="609"/>
      <c r="JRC28" s="609"/>
      <c r="JRD28" s="609"/>
      <c r="JRE28" s="609"/>
      <c r="JRF28" s="609"/>
      <c r="JRG28" s="609"/>
      <c r="JRH28" s="609"/>
      <c r="JRI28" s="609"/>
      <c r="JRJ28" s="609"/>
      <c r="JRK28" s="609"/>
      <c r="JRL28" s="609"/>
      <c r="JRM28" s="609"/>
      <c r="JRN28" s="609"/>
      <c r="JRO28" s="609"/>
      <c r="JRP28" s="609"/>
      <c r="JRQ28" s="609"/>
      <c r="JRR28" s="609"/>
      <c r="JRS28" s="609"/>
      <c r="JRT28" s="609"/>
      <c r="JRU28" s="609"/>
      <c r="JRV28" s="609"/>
      <c r="JRW28" s="609"/>
      <c r="JRX28" s="609"/>
      <c r="JRY28" s="609"/>
      <c r="JRZ28" s="609"/>
      <c r="JSA28" s="609"/>
      <c r="JSB28" s="609"/>
      <c r="JSC28" s="609"/>
      <c r="JSD28" s="609"/>
      <c r="JSE28" s="609"/>
      <c r="JSF28" s="609"/>
      <c r="JSG28" s="609"/>
      <c r="JSH28" s="609"/>
      <c r="JSI28" s="609"/>
      <c r="JSJ28" s="609"/>
      <c r="JSK28" s="609"/>
      <c r="JSL28" s="609"/>
      <c r="JSM28" s="609"/>
      <c r="JSN28" s="609"/>
      <c r="JSO28" s="609"/>
      <c r="JSP28" s="609"/>
      <c r="JSQ28" s="609"/>
      <c r="JSR28" s="609"/>
      <c r="JSS28" s="609"/>
      <c r="JST28" s="609"/>
      <c r="JSU28" s="609"/>
      <c r="JSV28" s="609"/>
      <c r="JSW28" s="609"/>
      <c r="JSX28" s="609"/>
      <c r="JSY28" s="609"/>
      <c r="JSZ28" s="609"/>
      <c r="JTA28" s="609"/>
      <c r="JTB28" s="609"/>
      <c r="JTC28" s="609"/>
      <c r="JTD28" s="609"/>
      <c r="JTE28" s="609"/>
      <c r="JTF28" s="609"/>
      <c r="JTG28" s="609"/>
      <c r="JTH28" s="609"/>
      <c r="JTI28" s="609"/>
      <c r="JTJ28" s="609"/>
      <c r="JTK28" s="609"/>
      <c r="JTL28" s="609"/>
      <c r="JTM28" s="609"/>
      <c r="JTN28" s="609"/>
      <c r="JTO28" s="609"/>
      <c r="JTP28" s="609"/>
      <c r="JTQ28" s="609"/>
      <c r="JTR28" s="609"/>
      <c r="JTS28" s="609"/>
      <c r="JTT28" s="609"/>
      <c r="JTU28" s="609"/>
      <c r="JTV28" s="609"/>
      <c r="JTW28" s="609"/>
      <c r="JTX28" s="609"/>
      <c r="JTY28" s="609"/>
      <c r="JTZ28" s="609"/>
      <c r="JUA28" s="609"/>
      <c r="JUB28" s="609"/>
      <c r="JUC28" s="609"/>
      <c r="JUD28" s="609"/>
      <c r="JUE28" s="609"/>
      <c r="JUF28" s="609"/>
      <c r="JUG28" s="609"/>
      <c r="JUH28" s="609"/>
      <c r="JUI28" s="609"/>
      <c r="JUJ28" s="609"/>
      <c r="JUK28" s="609"/>
      <c r="JUL28" s="609"/>
      <c r="JUM28" s="609"/>
      <c r="JUN28" s="609"/>
      <c r="JUO28" s="609"/>
      <c r="JUP28" s="609"/>
      <c r="JUQ28" s="609"/>
      <c r="JUR28" s="609"/>
      <c r="JUS28" s="609"/>
      <c r="JUT28" s="609"/>
      <c r="JUU28" s="609"/>
      <c r="JUV28" s="609"/>
      <c r="JUW28" s="609"/>
      <c r="JUX28" s="609"/>
      <c r="JUY28" s="609"/>
      <c r="JUZ28" s="609"/>
      <c r="JVA28" s="609"/>
      <c r="JVB28" s="609"/>
      <c r="JVC28" s="609"/>
      <c r="JVD28" s="609"/>
      <c r="JVE28" s="609"/>
      <c r="JVF28" s="609"/>
      <c r="JVG28" s="609"/>
      <c r="JVH28" s="609"/>
      <c r="JVI28" s="609"/>
      <c r="JVJ28" s="609"/>
      <c r="JVK28" s="609"/>
      <c r="JVL28" s="609"/>
      <c r="JVM28" s="609"/>
      <c r="JVN28" s="609"/>
      <c r="JVO28" s="609"/>
      <c r="JVP28" s="609"/>
      <c r="JVQ28" s="609"/>
      <c r="JVR28" s="609"/>
      <c r="JVS28" s="609"/>
      <c r="JVT28" s="609"/>
      <c r="JVU28" s="609"/>
      <c r="JVV28" s="609"/>
      <c r="JVW28" s="609"/>
      <c r="JVX28" s="609"/>
      <c r="JVY28" s="609"/>
      <c r="JVZ28" s="609"/>
      <c r="JWA28" s="609"/>
      <c r="JWB28" s="609"/>
      <c r="JWC28" s="609"/>
      <c r="JWD28" s="609"/>
      <c r="JWE28" s="609"/>
      <c r="JWF28" s="609"/>
      <c r="JWG28" s="609"/>
      <c r="JWH28" s="609"/>
      <c r="JWI28" s="609"/>
      <c r="JWJ28" s="609"/>
      <c r="JWK28" s="609"/>
      <c r="JWL28" s="609"/>
      <c r="JWM28" s="609"/>
      <c r="JWN28" s="609"/>
      <c r="JWO28" s="609"/>
      <c r="JWP28" s="609"/>
      <c r="JWQ28" s="609"/>
      <c r="JWR28" s="609"/>
      <c r="JWS28" s="609"/>
      <c r="JWT28" s="609"/>
      <c r="JWU28" s="609"/>
      <c r="JWV28" s="609"/>
      <c r="JWW28" s="609"/>
      <c r="JWX28" s="609"/>
      <c r="JWY28" s="609"/>
      <c r="JWZ28" s="609"/>
      <c r="JXA28" s="609"/>
      <c r="JXB28" s="609"/>
      <c r="JXC28" s="609"/>
      <c r="JXD28" s="609"/>
      <c r="JXE28" s="609"/>
      <c r="JXF28" s="609"/>
      <c r="JXG28" s="609"/>
      <c r="JXH28" s="609"/>
      <c r="JXI28" s="609"/>
      <c r="JXJ28" s="609"/>
      <c r="JXK28" s="609"/>
      <c r="JXL28" s="609"/>
      <c r="JXM28" s="609"/>
      <c r="JXN28" s="609"/>
      <c r="JXO28" s="609"/>
      <c r="JXP28" s="609"/>
      <c r="JXQ28" s="609"/>
      <c r="JXR28" s="609"/>
      <c r="JXS28" s="609"/>
      <c r="JXT28" s="609"/>
      <c r="JXU28" s="609"/>
      <c r="JXV28" s="609"/>
      <c r="JXW28" s="609"/>
      <c r="JXX28" s="609"/>
      <c r="JXY28" s="609"/>
      <c r="JXZ28" s="609"/>
      <c r="JYA28" s="609"/>
      <c r="JYB28" s="609"/>
      <c r="JYC28" s="609"/>
      <c r="JYD28" s="609"/>
      <c r="JYE28" s="609"/>
      <c r="JYF28" s="609"/>
      <c r="JYG28" s="609"/>
      <c r="JYH28" s="609"/>
      <c r="JYI28" s="609"/>
      <c r="JYJ28" s="609"/>
      <c r="JYK28" s="609"/>
      <c r="JYL28" s="609"/>
      <c r="JYM28" s="609"/>
      <c r="JYN28" s="609"/>
      <c r="JYO28" s="609"/>
      <c r="JYP28" s="609"/>
      <c r="JYQ28" s="609"/>
      <c r="JYR28" s="609"/>
      <c r="JYS28" s="609"/>
      <c r="JYT28" s="609"/>
      <c r="JYU28" s="609"/>
      <c r="JYV28" s="609"/>
      <c r="JYW28" s="609"/>
      <c r="JYX28" s="609"/>
      <c r="JYY28" s="609"/>
      <c r="JYZ28" s="609"/>
      <c r="JZA28" s="609"/>
      <c r="JZB28" s="609"/>
      <c r="JZC28" s="609"/>
      <c r="JZD28" s="609"/>
      <c r="JZE28" s="609"/>
      <c r="JZF28" s="609"/>
      <c r="JZG28" s="609"/>
      <c r="JZH28" s="609"/>
      <c r="JZI28" s="609"/>
      <c r="JZJ28" s="609"/>
      <c r="JZK28" s="609"/>
      <c r="JZL28" s="609"/>
      <c r="JZM28" s="609"/>
      <c r="JZN28" s="609"/>
      <c r="JZO28" s="609"/>
      <c r="JZP28" s="609"/>
      <c r="JZQ28" s="609"/>
      <c r="JZR28" s="609"/>
      <c r="JZS28" s="609"/>
      <c r="JZT28" s="609"/>
      <c r="JZU28" s="609"/>
      <c r="JZV28" s="609"/>
      <c r="JZW28" s="609"/>
      <c r="JZX28" s="609"/>
      <c r="JZY28" s="609"/>
      <c r="JZZ28" s="609"/>
      <c r="KAA28" s="609"/>
      <c r="KAB28" s="609"/>
      <c r="KAC28" s="609"/>
      <c r="KAD28" s="609"/>
      <c r="KAE28" s="609"/>
      <c r="KAF28" s="609"/>
      <c r="KAG28" s="609"/>
      <c r="KAH28" s="609"/>
      <c r="KAI28" s="609"/>
      <c r="KAJ28" s="609"/>
      <c r="KAK28" s="609"/>
      <c r="KAL28" s="609"/>
      <c r="KAM28" s="609"/>
      <c r="KAN28" s="609"/>
      <c r="KAO28" s="609"/>
      <c r="KAP28" s="609"/>
      <c r="KAQ28" s="609"/>
      <c r="KAR28" s="609"/>
      <c r="KAS28" s="609"/>
      <c r="KAT28" s="609"/>
      <c r="KAU28" s="609"/>
      <c r="KAV28" s="609"/>
      <c r="KAW28" s="609"/>
      <c r="KAX28" s="609"/>
      <c r="KAY28" s="609"/>
      <c r="KAZ28" s="609"/>
      <c r="KBA28" s="609"/>
      <c r="KBB28" s="609"/>
      <c r="KBC28" s="609"/>
      <c r="KBD28" s="609"/>
      <c r="KBE28" s="609"/>
      <c r="KBF28" s="609"/>
      <c r="KBG28" s="609"/>
      <c r="KBH28" s="609"/>
      <c r="KBI28" s="609"/>
      <c r="KBJ28" s="609"/>
      <c r="KBK28" s="609"/>
      <c r="KBL28" s="609"/>
      <c r="KBM28" s="609"/>
      <c r="KBN28" s="609"/>
      <c r="KBO28" s="609"/>
      <c r="KBP28" s="609"/>
      <c r="KBQ28" s="609"/>
      <c r="KBR28" s="609"/>
      <c r="KBS28" s="609"/>
      <c r="KBT28" s="609"/>
      <c r="KBU28" s="609"/>
      <c r="KBV28" s="609"/>
      <c r="KBW28" s="609"/>
      <c r="KBX28" s="609"/>
      <c r="KBY28" s="609"/>
      <c r="KBZ28" s="609"/>
      <c r="KCA28" s="609"/>
      <c r="KCB28" s="609"/>
      <c r="KCC28" s="609"/>
      <c r="KCD28" s="609"/>
      <c r="KCE28" s="609"/>
      <c r="KCF28" s="609"/>
      <c r="KCG28" s="609"/>
      <c r="KCH28" s="609"/>
      <c r="KCI28" s="609"/>
      <c r="KCJ28" s="609"/>
      <c r="KCK28" s="609"/>
      <c r="KCL28" s="609"/>
      <c r="KCM28" s="609"/>
      <c r="KCN28" s="609"/>
      <c r="KCO28" s="609"/>
      <c r="KCP28" s="609"/>
      <c r="KCQ28" s="609"/>
      <c r="KCR28" s="609"/>
      <c r="KCS28" s="609"/>
      <c r="KCT28" s="609"/>
      <c r="KCU28" s="609"/>
      <c r="KCV28" s="609"/>
      <c r="KCW28" s="609"/>
      <c r="KCX28" s="609"/>
      <c r="KCY28" s="609"/>
      <c r="KCZ28" s="609"/>
      <c r="KDA28" s="609"/>
      <c r="KDB28" s="609"/>
      <c r="KDC28" s="609"/>
      <c r="KDD28" s="609"/>
      <c r="KDE28" s="609"/>
      <c r="KDF28" s="609"/>
      <c r="KDG28" s="609"/>
      <c r="KDH28" s="609"/>
      <c r="KDI28" s="609"/>
      <c r="KDJ28" s="609"/>
      <c r="KDK28" s="609"/>
      <c r="KDL28" s="609"/>
      <c r="KDM28" s="609"/>
      <c r="KDN28" s="609"/>
      <c r="KDO28" s="609"/>
      <c r="KDP28" s="609"/>
      <c r="KDQ28" s="609"/>
      <c r="KDR28" s="609"/>
      <c r="KDS28" s="609"/>
      <c r="KDT28" s="609"/>
      <c r="KDU28" s="609"/>
      <c r="KDV28" s="609"/>
      <c r="KDW28" s="609"/>
      <c r="KDX28" s="609"/>
      <c r="KDY28" s="609"/>
      <c r="KDZ28" s="609"/>
      <c r="KEA28" s="609"/>
      <c r="KEB28" s="609"/>
      <c r="KEC28" s="609"/>
      <c r="KED28" s="609"/>
      <c r="KEE28" s="609"/>
      <c r="KEF28" s="609"/>
      <c r="KEG28" s="609"/>
      <c r="KEH28" s="609"/>
      <c r="KEI28" s="609"/>
      <c r="KEJ28" s="609"/>
      <c r="KEK28" s="609"/>
      <c r="KEL28" s="609"/>
      <c r="KEM28" s="609"/>
      <c r="KEN28" s="609"/>
      <c r="KEO28" s="609"/>
      <c r="KEP28" s="609"/>
      <c r="KEQ28" s="609"/>
      <c r="KER28" s="609"/>
      <c r="KES28" s="609"/>
      <c r="KET28" s="609"/>
      <c r="KEU28" s="609"/>
      <c r="KEV28" s="609"/>
      <c r="KEW28" s="609"/>
      <c r="KEX28" s="609"/>
      <c r="KEY28" s="609"/>
      <c r="KEZ28" s="609"/>
      <c r="KFA28" s="609"/>
      <c r="KFB28" s="609"/>
      <c r="KFC28" s="609"/>
      <c r="KFD28" s="609"/>
      <c r="KFE28" s="609"/>
      <c r="KFF28" s="609"/>
      <c r="KFG28" s="609"/>
      <c r="KFH28" s="609"/>
      <c r="KFI28" s="609"/>
      <c r="KFJ28" s="609"/>
      <c r="KFK28" s="609"/>
      <c r="KFL28" s="609"/>
      <c r="KFM28" s="609"/>
      <c r="KFN28" s="609"/>
      <c r="KFO28" s="609"/>
      <c r="KFP28" s="609"/>
      <c r="KFQ28" s="609"/>
      <c r="KFR28" s="609"/>
      <c r="KFS28" s="609"/>
      <c r="KFT28" s="609"/>
      <c r="KFU28" s="609"/>
      <c r="KFV28" s="609"/>
      <c r="KFW28" s="609"/>
      <c r="KFX28" s="609"/>
      <c r="KFY28" s="609"/>
      <c r="KFZ28" s="609"/>
      <c r="KGA28" s="609"/>
      <c r="KGB28" s="609"/>
      <c r="KGC28" s="609"/>
      <c r="KGD28" s="609"/>
      <c r="KGE28" s="609"/>
      <c r="KGF28" s="609"/>
      <c r="KGG28" s="609"/>
      <c r="KGH28" s="609"/>
      <c r="KGI28" s="609"/>
      <c r="KGJ28" s="609"/>
      <c r="KGK28" s="609"/>
      <c r="KGL28" s="609"/>
      <c r="KGM28" s="609"/>
      <c r="KGN28" s="609"/>
      <c r="KGO28" s="609"/>
      <c r="KGP28" s="609"/>
      <c r="KGQ28" s="609"/>
      <c r="KGR28" s="609"/>
      <c r="KGS28" s="609"/>
      <c r="KGT28" s="609"/>
      <c r="KGU28" s="609"/>
      <c r="KGV28" s="609"/>
      <c r="KGW28" s="609"/>
      <c r="KGX28" s="609"/>
      <c r="KGY28" s="609"/>
      <c r="KGZ28" s="609"/>
      <c r="KHA28" s="609"/>
      <c r="KHB28" s="609"/>
      <c r="KHC28" s="609"/>
      <c r="KHD28" s="609"/>
      <c r="KHE28" s="609"/>
      <c r="KHF28" s="609"/>
      <c r="KHG28" s="609"/>
      <c r="KHH28" s="609"/>
      <c r="KHI28" s="609"/>
      <c r="KHJ28" s="609"/>
      <c r="KHK28" s="609"/>
      <c r="KHL28" s="609"/>
      <c r="KHM28" s="609"/>
      <c r="KHN28" s="609"/>
      <c r="KHO28" s="609"/>
      <c r="KHP28" s="609"/>
      <c r="KHQ28" s="609"/>
      <c r="KHR28" s="609"/>
      <c r="KHS28" s="609"/>
      <c r="KHT28" s="609"/>
      <c r="KHU28" s="609"/>
      <c r="KHV28" s="609"/>
      <c r="KHW28" s="609"/>
      <c r="KHX28" s="609"/>
      <c r="KHY28" s="609"/>
      <c r="KHZ28" s="609"/>
      <c r="KIA28" s="609"/>
      <c r="KIB28" s="609"/>
      <c r="KIC28" s="609"/>
      <c r="KID28" s="609"/>
      <c r="KIE28" s="609"/>
      <c r="KIF28" s="609"/>
      <c r="KIG28" s="609"/>
      <c r="KIH28" s="609"/>
      <c r="KII28" s="609"/>
      <c r="KIJ28" s="609"/>
      <c r="KIK28" s="609"/>
      <c r="KIL28" s="609"/>
      <c r="KIM28" s="609"/>
      <c r="KIN28" s="609"/>
      <c r="KIO28" s="609"/>
      <c r="KIP28" s="609"/>
      <c r="KIQ28" s="609"/>
      <c r="KIR28" s="609"/>
      <c r="KIS28" s="609"/>
      <c r="KIT28" s="609"/>
      <c r="KIU28" s="609"/>
      <c r="KIV28" s="609"/>
      <c r="KIW28" s="609"/>
      <c r="KIX28" s="609"/>
      <c r="KIY28" s="609"/>
      <c r="KIZ28" s="609"/>
      <c r="KJA28" s="609"/>
      <c r="KJB28" s="609"/>
      <c r="KJC28" s="609"/>
      <c r="KJD28" s="609"/>
      <c r="KJE28" s="609"/>
      <c r="KJF28" s="609"/>
      <c r="KJG28" s="609"/>
      <c r="KJH28" s="609"/>
      <c r="KJI28" s="609"/>
      <c r="KJJ28" s="609"/>
      <c r="KJK28" s="609"/>
      <c r="KJL28" s="609"/>
      <c r="KJM28" s="609"/>
      <c r="KJN28" s="609"/>
      <c r="KJO28" s="609"/>
      <c r="KJP28" s="609"/>
      <c r="KJQ28" s="609"/>
      <c r="KJR28" s="609"/>
      <c r="KJS28" s="609"/>
      <c r="KJT28" s="609"/>
      <c r="KJU28" s="609"/>
      <c r="KJV28" s="609"/>
      <c r="KJW28" s="609"/>
      <c r="KJX28" s="609"/>
      <c r="KJY28" s="609"/>
      <c r="KJZ28" s="609"/>
      <c r="KKA28" s="609"/>
      <c r="KKB28" s="609"/>
      <c r="KKC28" s="609"/>
      <c r="KKD28" s="609"/>
      <c r="KKE28" s="609"/>
      <c r="KKF28" s="609"/>
      <c r="KKG28" s="609"/>
      <c r="KKH28" s="609"/>
      <c r="KKI28" s="609"/>
      <c r="KKJ28" s="609"/>
      <c r="KKK28" s="609"/>
      <c r="KKL28" s="609"/>
      <c r="KKM28" s="609"/>
      <c r="KKN28" s="609"/>
      <c r="KKO28" s="609"/>
      <c r="KKP28" s="609"/>
      <c r="KKQ28" s="609"/>
      <c r="KKR28" s="609"/>
      <c r="KKS28" s="609"/>
      <c r="KKT28" s="609"/>
      <c r="KKU28" s="609"/>
      <c r="KKV28" s="609"/>
      <c r="KKW28" s="609"/>
      <c r="KKX28" s="609"/>
      <c r="KKY28" s="609"/>
      <c r="KKZ28" s="609"/>
      <c r="KLA28" s="609"/>
      <c r="KLB28" s="609"/>
      <c r="KLC28" s="609"/>
      <c r="KLD28" s="609"/>
      <c r="KLE28" s="609"/>
      <c r="KLF28" s="609"/>
      <c r="KLG28" s="609"/>
      <c r="KLH28" s="609"/>
      <c r="KLI28" s="609"/>
      <c r="KLJ28" s="609"/>
      <c r="KLK28" s="609"/>
      <c r="KLL28" s="609"/>
      <c r="KLM28" s="609"/>
      <c r="KLN28" s="609"/>
      <c r="KLO28" s="609"/>
      <c r="KLP28" s="609"/>
      <c r="KLQ28" s="609"/>
      <c r="KLR28" s="609"/>
      <c r="KLS28" s="609"/>
      <c r="KLT28" s="609"/>
      <c r="KLU28" s="609"/>
      <c r="KLV28" s="609"/>
      <c r="KLW28" s="609"/>
      <c r="KLX28" s="609"/>
      <c r="KLY28" s="609"/>
      <c r="KLZ28" s="609"/>
      <c r="KMA28" s="609"/>
      <c r="KMB28" s="609"/>
      <c r="KMC28" s="609"/>
      <c r="KMD28" s="609"/>
      <c r="KME28" s="609"/>
      <c r="KMF28" s="609"/>
      <c r="KMG28" s="609"/>
      <c r="KMH28" s="609"/>
      <c r="KMI28" s="609"/>
      <c r="KMJ28" s="609"/>
      <c r="KMK28" s="609"/>
      <c r="KML28" s="609"/>
      <c r="KMM28" s="609"/>
      <c r="KMN28" s="609"/>
      <c r="KMO28" s="609"/>
      <c r="KMP28" s="609"/>
      <c r="KMQ28" s="609"/>
      <c r="KMR28" s="609"/>
      <c r="KMS28" s="609"/>
      <c r="KMT28" s="609"/>
      <c r="KMU28" s="609"/>
      <c r="KMV28" s="609"/>
      <c r="KMW28" s="609"/>
      <c r="KMX28" s="609"/>
      <c r="KMY28" s="609"/>
      <c r="KMZ28" s="609"/>
      <c r="KNA28" s="609"/>
      <c r="KNB28" s="609"/>
      <c r="KNC28" s="609"/>
      <c r="KND28" s="609"/>
      <c r="KNE28" s="609"/>
      <c r="KNF28" s="609"/>
      <c r="KNG28" s="609"/>
      <c r="KNH28" s="609"/>
      <c r="KNI28" s="609"/>
      <c r="KNJ28" s="609"/>
      <c r="KNK28" s="609"/>
      <c r="KNL28" s="609"/>
      <c r="KNM28" s="609"/>
      <c r="KNN28" s="609"/>
      <c r="KNO28" s="609"/>
      <c r="KNP28" s="609"/>
      <c r="KNQ28" s="609"/>
      <c r="KNR28" s="609"/>
      <c r="KNS28" s="609"/>
      <c r="KNT28" s="609"/>
      <c r="KNU28" s="609"/>
      <c r="KNV28" s="609"/>
      <c r="KNW28" s="609"/>
      <c r="KNX28" s="609"/>
      <c r="KNY28" s="609"/>
      <c r="KNZ28" s="609"/>
      <c r="KOA28" s="609"/>
      <c r="KOB28" s="609"/>
      <c r="KOC28" s="609"/>
      <c r="KOD28" s="609"/>
      <c r="KOE28" s="609"/>
      <c r="KOF28" s="609"/>
      <c r="KOG28" s="609"/>
      <c r="KOH28" s="609"/>
      <c r="KOI28" s="609"/>
      <c r="KOJ28" s="609"/>
      <c r="KOK28" s="609"/>
      <c r="KOL28" s="609"/>
      <c r="KOM28" s="609"/>
      <c r="KON28" s="609"/>
      <c r="KOO28" s="609"/>
      <c r="KOP28" s="609"/>
      <c r="KOQ28" s="609"/>
      <c r="KOR28" s="609"/>
      <c r="KOS28" s="609"/>
      <c r="KOT28" s="609"/>
      <c r="KOU28" s="609"/>
      <c r="KOV28" s="609"/>
      <c r="KOW28" s="609"/>
      <c r="KOX28" s="609"/>
      <c r="KOY28" s="609"/>
      <c r="KOZ28" s="609"/>
      <c r="KPA28" s="609"/>
      <c r="KPB28" s="609"/>
      <c r="KPC28" s="609"/>
      <c r="KPD28" s="609"/>
      <c r="KPE28" s="609"/>
      <c r="KPF28" s="609"/>
      <c r="KPG28" s="609"/>
      <c r="KPH28" s="609"/>
      <c r="KPI28" s="609"/>
      <c r="KPJ28" s="609"/>
      <c r="KPK28" s="609"/>
      <c r="KPL28" s="609"/>
      <c r="KPM28" s="609"/>
      <c r="KPN28" s="609"/>
      <c r="KPO28" s="609"/>
      <c r="KPP28" s="609"/>
      <c r="KPQ28" s="609"/>
      <c r="KPR28" s="609"/>
      <c r="KPS28" s="609"/>
      <c r="KPT28" s="609"/>
      <c r="KPU28" s="609"/>
      <c r="KPV28" s="609"/>
      <c r="KPW28" s="609"/>
      <c r="KPX28" s="609"/>
      <c r="KPY28" s="609"/>
      <c r="KPZ28" s="609"/>
      <c r="KQA28" s="609"/>
      <c r="KQB28" s="609"/>
      <c r="KQC28" s="609"/>
      <c r="KQD28" s="609"/>
      <c r="KQE28" s="609"/>
      <c r="KQF28" s="609"/>
      <c r="KQG28" s="609"/>
      <c r="KQH28" s="609"/>
      <c r="KQI28" s="609"/>
      <c r="KQJ28" s="609"/>
      <c r="KQK28" s="609"/>
      <c r="KQL28" s="609"/>
      <c r="KQM28" s="609"/>
      <c r="KQN28" s="609"/>
      <c r="KQO28" s="609"/>
      <c r="KQP28" s="609"/>
      <c r="KQQ28" s="609"/>
      <c r="KQR28" s="609"/>
      <c r="KQS28" s="609"/>
      <c r="KQT28" s="609"/>
      <c r="KQU28" s="609"/>
      <c r="KQV28" s="609"/>
      <c r="KQW28" s="609"/>
      <c r="KQX28" s="609"/>
      <c r="KQY28" s="609"/>
      <c r="KQZ28" s="609"/>
      <c r="KRA28" s="609"/>
      <c r="KRB28" s="609"/>
      <c r="KRC28" s="609"/>
      <c r="KRD28" s="609"/>
      <c r="KRE28" s="609"/>
      <c r="KRF28" s="609"/>
      <c r="KRG28" s="609"/>
      <c r="KRH28" s="609"/>
      <c r="KRI28" s="609"/>
      <c r="KRJ28" s="609"/>
      <c r="KRK28" s="609"/>
      <c r="KRL28" s="609"/>
      <c r="KRM28" s="609"/>
      <c r="KRN28" s="609"/>
      <c r="KRO28" s="609"/>
      <c r="KRP28" s="609"/>
      <c r="KRQ28" s="609"/>
      <c r="KRR28" s="609"/>
      <c r="KRS28" s="609"/>
      <c r="KRT28" s="609"/>
      <c r="KRU28" s="609"/>
      <c r="KRV28" s="609"/>
      <c r="KRW28" s="609"/>
      <c r="KRX28" s="609"/>
      <c r="KRY28" s="609"/>
      <c r="KRZ28" s="609"/>
      <c r="KSA28" s="609"/>
      <c r="KSB28" s="609"/>
      <c r="KSC28" s="609"/>
      <c r="KSD28" s="609"/>
      <c r="KSE28" s="609"/>
      <c r="KSF28" s="609"/>
      <c r="KSG28" s="609"/>
      <c r="KSH28" s="609"/>
      <c r="KSI28" s="609"/>
      <c r="KSJ28" s="609"/>
      <c r="KSK28" s="609"/>
      <c r="KSL28" s="609"/>
      <c r="KSM28" s="609"/>
      <c r="KSN28" s="609"/>
      <c r="KSO28" s="609"/>
      <c r="KSP28" s="609"/>
      <c r="KSQ28" s="609"/>
      <c r="KSR28" s="609"/>
      <c r="KSS28" s="609"/>
      <c r="KST28" s="609"/>
      <c r="KSU28" s="609"/>
      <c r="KSV28" s="609"/>
      <c r="KSW28" s="609"/>
      <c r="KSX28" s="609"/>
      <c r="KSY28" s="609"/>
      <c r="KSZ28" s="609"/>
      <c r="KTA28" s="609"/>
      <c r="KTB28" s="609"/>
      <c r="KTC28" s="609"/>
      <c r="KTD28" s="609"/>
      <c r="KTE28" s="609"/>
      <c r="KTF28" s="609"/>
      <c r="KTG28" s="609"/>
      <c r="KTH28" s="609"/>
      <c r="KTI28" s="609"/>
      <c r="KTJ28" s="609"/>
      <c r="KTK28" s="609"/>
      <c r="KTL28" s="609"/>
      <c r="KTM28" s="609"/>
      <c r="KTN28" s="609"/>
      <c r="KTO28" s="609"/>
      <c r="KTP28" s="609"/>
      <c r="KTQ28" s="609"/>
      <c r="KTR28" s="609"/>
      <c r="KTS28" s="609"/>
      <c r="KTT28" s="609"/>
      <c r="KTU28" s="609"/>
      <c r="KTV28" s="609"/>
      <c r="KTW28" s="609"/>
      <c r="KTX28" s="609"/>
      <c r="KTY28" s="609"/>
      <c r="KTZ28" s="609"/>
      <c r="KUA28" s="609"/>
      <c r="KUB28" s="609"/>
      <c r="KUC28" s="609"/>
      <c r="KUD28" s="609"/>
      <c r="KUE28" s="609"/>
      <c r="KUF28" s="609"/>
      <c r="KUG28" s="609"/>
      <c r="KUH28" s="609"/>
      <c r="KUI28" s="609"/>
      <c r="KUJ28" s="609"/>
      <c r="KUK28" s="609"/>
      <c r="KUL28" s="609"/>
      <c r="KUM28" s="609"/>
      <c r="KUN28" s="609"/>
      <c r="KUO28" s="609"/>
      <c r="KUP28" s="609"/>
      <c r="KUQ28" s="609"/>
      <c r="KUR28" s="609"/>
      <c r="KUS28" s="609"/>
      <c r="KUT28" s="609"/>
      <c r="KUU28" s="609"/>
      <c r="KUV28" s="609"/>
      <c r="KUW28" s="609"/>
      <c r="KUX28" s="609"/>
      <c r="KUY28" s="609"/>
      <c r="KUZ28" s="609"/>
      <c r="KVA28" s="609"/>
      <c r="KVB28" s="609"/>
      <c r="KVC28" s="609"/>
      <c r="KVD28" s="609"/>
      <c r="KVE28" s="609"/>
      <c r="KVF28" s="609"/>
      <c r="KVG28" s="609"/>
      <c r="KVH28" s="609"/>
      <c r="KVI28" s="609"/>
      <c r="KVJ28" s="609"/>
      <c r="KVK28" s="609"/>
      <c r="KVL28" s="609"/>
      <c r="KVM28" s="609"/>
      <c r="KVN28" s="609"/>
      <c r="KVO28" s="609"/>
      <c r="KVP28" s="609"/>
      <c r="KVQ28" s="609"/>
      <c r="KVR28" s="609"/>
      <c r="KVS28" s="609"/>
      <c r="KVT28" s="609"/>
      <c r="KVU28" s="609"/>
      <c r="KVV28" s="609"/>
      <c r="KVW28" s="609"/>
      <c r="KVX28" s="609"/>
      <c r="KVY28" s="609"/>
      <c r="KVZ28" s="609"/>
      <c r="KWA28" s="609"/>
      <c r="KWB28" s="609"/>
      <c r="KWC28" s="609"/>
      <c r="KWD28" s="609"/>
      <c r="KWE28" s="609"/>
      <c r="KWF28" s="609"/>
      <c r="KWG28" s="609"/>
      <c r="KWH28" s="609"/>
      <c r="KWI28" s="609"/>
      <c r="KWJ28" s="609"/>
      <c r="KWK28" s="609"/>
      <c r="KWL28" s="609"/>
      <c r="KWM28" s="609"/>
      <c r="KWN28" s="609"/>
      <c r="KWO28" s="609"/>
      <c r="KWP28" s="609"/>
      <c r="KWQ28" s="609"/>
      <c r="KWR28" s="609"/>
      <c r="KWS28" s="609"/>
      <c r="KWT28" s="609"/>
      <c r="KWU28" s="609"/>
      <c r="KWV28" s="609"/>
      <c r="KWW28" s="609"/>
      <c r="KWX28" s="609"/>
      <c r="KWY28" s="609"/>
      <c r="KWZ28" s="609"/>
      <c r="KXA28" s="609"/>
      <c r="KXB28" s="609"/>
      <c r="KXC28" s="609"/>
      <c r="KXD28" s="609"/>
      <c r="KXE28" s="609"/>
      <c r="KXF28" s="609"/>
      <c r="KXG28" s="609"/>
      <c r="KXH28" s="609"/>
      <c r="KXI28" s="609"/>
      <c r="KXJ28" s="609"/>
      <c r="KXK28" s="609"/>
      <c r="KXL28" s="609"/>
      <c r="KXM28" s="609"/>
      <c r="KXN28" s="609"/>
      <c r="KXO28" s="609"/>
      <c r="KXP28" s="609"/>
      <c r="KXQ28" s="609"/>
      <c r="KXR28" s="609"/>
      <c r="KXS28" s="609"/>
      <c r="KXT28" s="609"/>
      <c r="KXU28" s="609"/>
      <c r="KXV28" s="609"/>
      <c r="KXW28" s="609"/>
      <c r="KXX28" s="609"/>
      <c r="KXY28" s="609"/>
      <c r="KXZ28" s="609"/>
      <c r="KYA28" s="609"/>
      <c r="KYB28" s="609"/>
      <c r="KYC28" s="609"/>
      <c r="KYD28" s="609"/>
      <c r="KYE28" s="609"/>
      <c r="KYF28" s="609"/>
      <c r="KYG28" s="609"/>
      <c r="KYH28" s="609"/>
      <c r="KYI28" s="609"/>
      <c r="KYJ28" s="609"/>
      <c r="KYK28" s="609"/>
      <c r="KYL28" s="609"/>
      <c r="KYM28" s="609"/>
      <c r="KYN28" s="609"/>
      <c r="KYO28" s="609"/>
      <c r="KYP28" s="609"/>
      <c r="KYQ28" s="609"/>
      <c r="KYR28" s="609"/>
      <c r="KYS28" s="609"/>
      <c r="KYT28" s="609"/>
      <c r="KYU28" s="609"/>
      <c r="KYV28" s="609"/>
      <c r="KYW28" s="609"/>
      <c r="KYX28" s="609"/>
      <c r="KYY28" s="609"/>
      <c r="KYZ28" s="609"/>
      <c r="KZA28" s="609"/>
      <c r="KZB28" s="609"/>
      <c r="KZC28" s="609"/>
      <c r="KZD28" s="609"/>
      <c r="KZE28" s="609"/>
      <c r="KZF28" s="609"/>
      <c r="KZG28" s="609"/>
      <c r="KZH28" s="609"/>
      <c r="KZI28" s="609"/>
      <c r="KZJ28" s="609"/>
      <c r="KZK28" s="609"/>
      <c r="KZL28" s="609"/>
      <c r="KZM28" s="609"/>
      <c r="KZN28" s="609"/>
      <c r="KZO28" s="609"/>
      <c r="KZP28" s="609"/>
      <c r="KZQ28" s="609"/>
      <c r="KZR28" s="609"/>
      <c r="KZS28" s="609"/>
      <c r="KZT28" s="609"/>
      <c r="KZU28" s="609"/>
      <c r="KZV28" s="609"/>
      <c r="KZW28" s="609"/>
      <c r="KZX28" s="609"/>
      <c r="KZY28" s="609"/>
      <c r="KZZ28" s="609"/>
      <c r="LAA28" s="609"/>
      <c r="LAB28" s="609"/>
      <c r="LAC28" s="609"/>
      <c r="LAD28" s="609"/>
      <c r="LAE28" s="609"/>
      <c r="LAF28" s="609"/>
      <c r="LAG28" s="609"/>
      <c r="LAH28" s="609"/>
      <c r="LAI28" s="609"/>
      <c r="LAJ28" s="609"/>
      <c r="LAK28" s="609"/>
      <c r="LAL28" s="609"/>
      <c r="LAM28" s="609"/>
      <c r="LAN28" s="609"/>
      <c r="LAO28" s="609"/>
      <c r="LAP28" s="609"/>
      <c r="LAQ28" s="609"/>
      <c r="LAR28" s="609"/>
      <c r="LAS28" s="609"/>
      <c r="LAT28" s="609"/>
      <c r="LAU28" s="609"/>
      <c r="LAV28" s="609"/>
      <c r="LAW28" s="609"/>
      <c r="LAX28" s="609"/>
      <c r="LAY28" s="609"/>
      <c r="LAZ28" s="609"/>
      <c r="LBA28" s="609"/>
      <c r="LBB28" s="609"/>
      <c r="LBC28" s="609"/>
      <c r="LBD28" s="609"/>
      <c r="LBE28" s="609"/>
      <c r="LBF28" s="609"/>
      <c r="LBG28" s="609"/>
      <c r="LBH28" s="609"/>
      <c r="LBI28" s="609"/>
      <c r="LBJ28" s="609"/>
      <c r="LBK28" s="609"/>
      <c r="LBL28" s="609"/>
      <c r="LBM28" s="609"/>
      <c r="LBN28" s="609"/>
      <c r="LBO28" s="609"/>
      <c r="LBP28" s="609"/>
      <c r="LBQ28" s="609"/>
      <c r="LBR28" s="609"/>
      <c r="LBS28" s="609"/>
      <c r="LBT28" s="609"/>
      <c r="LBU28" s="609"/>
      <c r="LBV28" s="609"/>
      <c r="LBW28" s="609"/>
      <c r="LBX28" s="609"/>
      <c r="LBY28" s="609"/>
      <c r="LBZ28" s="609"/>
      <c r="LCA28" s="609"/>
      <c r="LCB28" s="609"/>
      <c r="LCC28" s="609"/>
      <c r="LCD28" s="609"/>
      <c r="LCE28" s="609"/>
      <c r="LCF28" s="609"/>
      <c r="LCG28" s="609"/>
      <c r="LCH28" s="609"/>
      <c r="LCI28" s="609"/>
      <c r="LCJ28" s="609"/>
      <c r="LCK28" s="609"/>
      <c r="LCL28" s="609"/>
      <c r="LCM28" s="609"/>
      <c r="LCN28" s="609"/>
      <c r="LCO28" s="609"/>
      <c r="LCP28" s="609"/>
      <c r="LCQ28" s="609"/>
      <c r="LCR28" s="609"/>
      <c r="LCS28" s="609"/>
      <c r="LCT28" s="609"/>
      <c r="LCU28" s="609"/>
      <c r="LCV28" s="609"/>
      <c r="LCW28" s="609"/>
      <c r="LCX28" s="609"/>
      <c r="LCY28" s="609"/>
      <c r="LCZ28" s="609"/>
      <c r="LDA28" s="609"/>
      <c r="LDB28" s="609"/>
      <c r="LDC28" s="609"/>
      <c r="LDD28" s="609"/>
      <c r="LDE28" s="609"/>
      <c r="LDF28" s="609"/>
      <c r="LDG28" s="609"/>
      <c r="LDH28" s="609"/>
      <c r="LDI28" s="609"/>
      <c r="LDJ28" s="609"/>
      <c r="LDK28" s="609"/>
      <c r="LDL28" s="609"/>
      <c r="LDM28" s="609"/>
      <c r="LDN28" s="609"/>
      <c r="LDO28" s="609"/>
      <c r="LDP28" s="609"/>
      <c r="LDQ28" s="609"/>
      <c r="LDR28" s="609"/>
      <c r="LDS28" s="609"/>
      <c r="LDT28" s="609"/>
      <c r="LDU28" s="609"/>
      <c r="LDV28" s="609"/>
      <c r="LDW28" s="609"/>
      <c r="LDX28" s="609"/>
      <c r="LDY28" s="609"/>
      <c r="LDZ28" s="609"/>
      <c r="LEA28" s="609"/>
      <c r="LEB28" s="609"/>
      <c r="LEC28" s="609"/>
      <c r="LED28" s="609"/>
      <c r="LEE28" s="609"/>
      <c r="LEF28" s="609"/>
      <c r="LEG28" s="609"/>
      <c r="LEH28" s="609"/>
      <c r="LEI28" s="609"/>
      <c r="LEJ28" s="609"/>
      <c r="LEK28" s="609"/>
      <c r="LEL28" s="609"/>
      <c r="LEM28" s="609"/>
      <c r="LEN28" s="609"/>
      <c r="LEO28" s="609"/>
      <c r="LEP28" s="609"/>
      <c r="LEQ28" s="609"/>
      <c r="LER28" s="609"/>
      <c r="LES28" s="609"/>
      <c r="LET28" s="609"/>
      <c r="LEU28" s="609"/>
      <c r="LEV28" s="609"/>
      <c r="LEW28" s="609"/>
      <c r="LEX28" s="609"/>
      <c r="LEY28" s="609"/>
      <c r="LEZ28" s="609"/>
      <c r="LFA28" s="609"/>
      <c r="LFB28" s="609"/>
      <c r="LFC28" s="609"/>
      <c r="LFD28" s="609"/>
      <c r="LFE28" s="609"/>
      <c r="LFF28" s="609"/>
      <c r="LFG28" s="609"/>
      <c r="LFH28" s="609"/>
      <c r="LFI28" s="609"/>
      <c r="LFJ28" s="609"/>
      <c r="LFK28" s="609"/>
      <c r="LFL28" s="609"/>
      <c r="LFM28" s="609"/>
      <c r="LFN28" s="609"/>
      <c r="LFO28" s="609"/>
      <c r="LFP28" s="609"/>
      <c r="LFQ28" s="609"/>
      <c r="LFR28" s="609"/>
      <c r="LFS28" s="609"/>
      <c r="LFT28" s="609"/>
      <c r="LFU28" s="609"/>
      <c r="LFV28" s="609"/>
      <c r="LFW28" s="609"/>
      <c r="LFX28" s="609"/>
      <c r="LFY28" s="609"/>
      <c r="LFZ28" s="609"/>
      <c r="LGA28" s="609"/>
      <c r="LGB28" s="609"/>
      <c r="LGC28" s="609"/>
      <c r="LGD28" s="609"/>
      <c r="LGE28" s="609"/>
      <c r="LGF28" s="609"/>
      <c r="LGG28" s="609"/>
      <c r="LGH28" s="609"/>
      <c r="LGI28" s="609"/>
      <c r="LGJ28" s="609"/>
      <c r="LGK28" s="609"/>
      <c r="LGL28" s="609"/>
      <c r="LGM28" s="609"/>
      <c r="LGN28" s="609"/>
      <c r="LGO28" s="609"/>
      <c r="LGP28" s="609"/>
      <c r="LGQ28" s="609"/>
      <c r="LGR28" s="609"/>
      <c r="LGS28" s="609"/>
      <c r="LGT28" s="609"/>
      <c r="LGU28" s="609"/>
      <c r="LGV28" s="609"/>
      <c r="LGW28" s="609"/>
      <c r="LGX28" s="609"/>
      <c r="LGY28" s="609"/>
      <c r="LGZ28" s="609"/>
      <c r="LHA28" s="609"/>
      <c r="LHB28" s="609"/>
      <c r="LHC28" s="609"/>
      <c r="LHD28" s="609"/>
      <c r="LHE28" s="609"/>
      <c r="LHF28" s="609"/>
      <c r="LHG28" s="609"/>
      <c r="LHH28" s="609"/>
      <c r="LHI28" s="609"/>
      <c r="LHJ28" s="609"/>
      <c r="LHK28" s="609"/>
      <c r="LHL28" s="609"/>
      <c r="LHM28" s="609"/>
      <c r="LHN28" s="609"/>
      <c r="LHO28" s="609"/>
      <c r="LHP28" s="609"/>
      <c r="LHQ28" s="609"/>
      <c r="LHR28" s="609"/>
      <c r="LHS28" s="609"/>
      <c r="LHT28" s="609"/>
      <c r="LHU28" s="609"/>
      <c r="LHV28" s="609"/>
      <c r="LHW28" s="609"/>
      <c r="LHX28" s="609"/>
      <c r="LHY28" s="609"/>
      <c r="LHZ28" s="609"/>
      <c r="LIA28" s="609"/>
      <c r="LIB28" s="609"/>
      <c r="LIC28" s="609"/>
      <c r="LID28" s="609"/>
      <c r="LIE28" s="609"/>
      <c r="LIF28" s="609"/>
      <c r="LIG28" s="609"/>
      <c r="LIH28" s="609"/>
      <c r="LII28" s="609"/>
      <c r="LIJ28" s="609"/>
      <c r="LIK28" s="609"/>
      <c r="LIL28" s="609"/>
      <c r="LIM28" s="609"/>
      <c r="LIN28" s="609"/>
      <c r="LIO28" s="609"/>
      <c r="LIP28" s="609"/>
      <c r="LIQ28" s="609"/>
      <c r="LIR28" s="609"/>
      <c r="LIS28" s="609"/>
      <c r="LIT28" s="609"/>
      <c r="LIU28" s="609"/>
      <c r="LIV28" s="609"/>
      <c r="LIW28" s="609"/>
      <c r="LIX28" s="609"/>
      <c r="LIY28" s="609"/>
      <c r="LIZ28" s="609"/>
      <c r="LJA28" s="609"/>
      <c r="LJB28" s="609"/>
      <c r="LJC28" s="609"/>
      <c r="LJD28" s="609"/>
      <c r="LJE28" s="609"/>
      <c r="LJF28" s="609"/>
      <c r="LJG28" s="609"/>
      <c r="LJH28" s="609"/>
      <c r="LJI28" s="609"/>
      <c r="LJJ28" s="609"/>
      <c r="LJK28" s="609"/>
      <c r="LJL28" s="609"/>
      <c r="LJM28" s="609"/>
      <c r="LJN28" s="609"/>
      <c r="LJO28" s="609"/>
      <c r="LJP28" s="609"/>
      <c r="LJQ28" s="609"/>
      <c r="LJR28" s="609"/>
      <c r="LJS28" s="609"/>
      <c r="LJT28" s="609"/>
      <c r="LJU28" s="609"/>
      <c r="LJV28" s="609"/>
      <c r="LJW28" s="609"/>
      <c r="LJX28" s="609"/>
      <c r="LJY28" s="609"/>
      <c r="LJZ28" s="609"/>
      <c r="LKA28" s="609"/>
      <c r="LKB28" s="609"/>
      <c r="LKC28" s="609"/>
      <c r="LKD28" s="609"/>
      <c r="LKE28" s="609"/>
      <c r="LKF28" s="609"/>
      <c r="LKG28" s="609"/>
      <c r="LKH28" s="609"/>
      <c r="LKI28" s="609"/>
      <c r="LKJ28" s="609"/>
      <c r="LKK28" s="609"/>
      <c r="LKL28" s="609"/>
      <c r="LKM28" s="609"/>
      <c r="LKN28" s="609"/>
      <c r="LKO28" s="609"/>
      <c r="LKP28" s="609"/>
      <c r="LKQ28" s="609"/>
      <c r="LKR28" s="609"/>
      <c r="LKS28" s="609"/>
      <c r="LKT28" s="609"/>
      <c r="LKU28" s="609"/>
      <c r="LKV28" s="609"/>
      <c r="LKW28" s="609"/>
      <c r="LKX28" s="609"/>
      <c r="LKY28" s="609"/>
      <c r="LKZ28" s="609"/>
      <c r="LLA28" s="609"/>
      <c r="LLB28" s="609"/>
      <c r="LLC28" s="609"/>
      <c r="LLD28" s="609"/>
      <c r="LLE28" s="609"/>
      <c r="LLF28" s="609"/>
      <c r="LLG28" s="609"/>
      <c r="LLH28" s="609"/>
      <c r="LLI28" s="609"/>
      <c r="LLJ28" s="609"/>
      <c r="LLK28" s="609"/>
      <c r="LLL28" s="609"/>
      <c r="LLM28" s="609"/>
      <c r="LLN28" s="609"/>
      <c r="LLO28" s="609"/>
      <c r="LLP28" s="609"/>
      <c r="LLQ28" s="609"/>
      <c r="LLR28" s="609"/>
      <c r="LLS28" s="609"/>
      <c r="LLT28" s="609"/>
      <c r="LLU28" s="609"/>
      <c r="LLV28" s="609"/>
      <c r="LLW28" s="609"/>
      <c r="LLX28" s="609"/>
      <c r="LLY28" s="609"/>
      <c r="LLZ28" s="609"/>
      <c r="LMA28" s="609"/>
      <c r="LMB28" s="609"/>
      <c r="LMC28" s="609"/>
      <c r="LMD28" s="609"/>
      <c r="LME28" s="609"/>
      <c r="LMF28" s="609"/>
      <c r="LMG28" s="609"/>
      <c r="LMH28" s="609"/>
      <c r="LMI28" s="609"/>
      <c r="LMJ28" s="609"/>
      <c r="LMK28" s="609"/>
      <c r="LML28" s="609"/>
      <c r="LMM28" s="609"/>
      <c r="LMN28" s="609"/>
      <c r="LMO28" s="609"/>
      <c r="LMP28" s="609"/>
      <c r="LMQ28" s="609"/>
      <c r="LMR28" s="609"/>
      <c r="LMS28" s="609"/>
      <c r="LMT28" s="609"/>
      <c r="LMU28" s="609"/>
      <c r="LMV28" s="609"/>
      <c r="LMW28" s="609"/>
      <c r="LMX28" s="609"/>
      <c r="LMY28" s="609"/>
      <c r="LMZ28" s="609"/>
      <c r="LNA28" s="609"/>
      <c r="LNB28" s="609"/>
      <c r="LNC28" s="609"/>
      <c r="LND28" s="609"/>
      <c r="LNE28" s="609"/>
      <c r="LNF28" s="609"/>
      <c r="LNG28" s="609"/>
      <c r="LNH28" s="609"/>
      <c r="LNI28" s="609"/>
      <c r="LNJ28" s="609"/>
      <c r="LNK28" s="609"/>
      <c r="LNL28" s="609"/>
      <c r="LNM28" s="609"/>
      <c r="LNN28" s="609"/>
      <c r="LNO28" s="609"/>
      <c r="LNP28" s="609"/>
      <c r="LNQ28" s="609"/>
      <c r="LNR28" s="609"/>
      <c r="LNS28" s="609"/>
      <c r="LNT28" s="609"/>
      <c r="LNU28" s="609"/>
      <c r="LNV28" s="609"/>
      <c r="LNW28" s="609"/>
      <c r="LNX28" s="609"/>
      <c r="LNY28" s="609"/>
      <c r="LNZ28" s="609"/>
      <c r="LOA28" s="609"/>
      <c r="LOB28" s="609"/>
      <c r="LOC28" s="609"/>
      <c r="LOD28" s="609"/>
      <c r="LOE28" s="609"/>
      <c r="LOF28" s="609"/>
      <c r="LOG28" s="609"/>
      <c r="LOH28" s="609"/>
      <c r="LOI28" s="609"/>
      <c r="LOJ28" s="609"/>
      <c r="LOK28" s="609"/>
      <c r="LOL28" s="609"/>
      <c r="LOM28" s="609"/>
      <c r="LON28" s="609"/>
      <c r="LOO28" s="609"/>
      <c r="LOP28" s="609"/>
      <c r="LOQ28" s="609"/>
      <c r="LOR28" s="609"/>
      <c r="LOS28" s="609"/>
      <c r="LOT28" s="609"/>
      <c r="LOU28" s="609"/>
      <c r="LOV28" s="609"/>
      <c r="LOW28" s="609"/>
      <c r="LOX28" s="609"/>
      <c r="LOY28" s="609"/>
      <c r="LOZ28" s="609"/>
      <c r="LPA28" s="609"/>
      <c r="LPB28" s="609"/>
      <c r="LPC28" s="609"/>
      <c r="LPD28" s="609"/>
      <c r="LPE28" s="609"/>
      <c r="LPF28" s="609"/>
      <c r="LPG28" s="609"/>
      <c r="LPH28" s="609"/>
      <c r="LPI28" s="609"/>
      <c r="LPJ28" s="609"/>
      <c r="LPK28" s="609"/>
      <c r="LPL28" s="609"/>
      <c r="LPM28" s="609"/>
      <c r="LPN28" s="609"/>
      <c r="LPO28" s="609"/>
      <c r="LPP28" s="609"/>
      <c r="LPQ28" s="609"/>
      <c r="LPR28" s="609"/>
      <c r="LPS28" s="609"/>
      <c r="LPT28" s="609"/>
      <c r="LPU28" s="609"/>
      <c r="LPV28" s="609"/>
      <c r="LPW28" s="609"/>
      <c r="LPX28" s="609"/>
      <c r="LPY28" s="609"/>
      <c r="LPZ28" s="609"/>
      <c r="LQA28" s="609"/>
      <c r="LQB28" s="609"/>
      <c r="LQC28" s="609"/>
      <c r="LQD28" s="609"/>
      <c r="LQE28" s="609"/>
      <c r="LQF28" s="609"/>
      <c r="LQG28" s="609"/>
      <c r="LQH28" s="609"/>
      <c r="LQI28" s="609"/>
      <c r="LQJ28" s="609"/>
      <c r="LQK28" s="609"/>
      <c r="LQL28" s="609"/>
      <c r="LQM28" s="609"/>
      <c r="LQN28" s="609"/>
      <c r="LQO28" s="609"/>
      <c r="LQP28" s="609"/>
      <c r="LQQ28" s="609"/>
      <c r="LQR28" s="609"/>
      <c r="LQS28" s="609"/>
      <c r="LQT28" s="609"/>
      <c r="LQU28" s="609"/>
      <c r="LQV28" s="609"/>
      <c r="LQW28" s="609"/>
      <c r="LQX28" s="609"/>
      <c r="LQY28" s="609"/>
      <c r="LQZ28" s="609"/>
      <c r="LRA28" s="609"/>
      <c r="LRB28" s="609"/>
      <c r="LRC28" s="609"/>
      <c r="LRD28" s="609"/>
      <c r="LRE28" s="609"/>
      <c r="LRF28" s="609"/>
      <c r="LRG28" s="609"/>
      <c r="LRH28" s="609"/>
      <c r="LRI28" s="609"/>
      <c r="LRJ28" s="609"/>
      <c r="LRK28" s="609"/>
      <c r="LRL28" s="609"/>
      <c r="LRM28" s="609"/>
      <c r="LRN28" s="609"/>
      <c r="LRO28" s="609"/>
      <c r="LRP28" s="609"/>
      <c r="LRQ28" s="609"/>
      <c r="LRR28" s="609"/>
      <c r="LRS28" s="609"/>
      <c r="LRT28" s="609"/>
      <c r="LRU28" s="609"/>
      <c r="LRV28" s="609"/>
      <c r="LRW28" s="609"/>
      <c r="LRX28" s="609"/>
      <c r="LRY28" s="609"/>
      <c r="LRZ28" s="609"/>
      <c r="LSA28" s="609"/>
      <c r="LSB28" s="609"/>
      <c r="LSC28" s="609"/>
      <c r="LSD28" s="609"/>
      <c r="LSE28" s="609"/>
      <c r="LSF28" s="609"/>
      <c r="LSG28" s="609"/>
      <c r="LSH28" s="609"/>
      <c r="LSI28" s="609"/>
      <c r="LSJ28" s="609"/>
      <c r="LSK28" s="609"/>
      <c r="LSL28" s="609"/>
      <c r="LSM28" s="609"/>
      <c r="LSN28" s="609"/>
      <c r="LSO28" s="609"/>
      <c r="LSP28" s="609"/>
      <c r="LSQ28" s="609"/>
      <c r="LSR28" s="609"/>
      <c r="LSS28" s="609"/>
      <c r="LST28" s="609"/>
      <c r="LSU28" s="609"/>
      <c r="LSV28" s="609"/>
      <c r="LSW28" s="609"/>
      <c r="LSX28" s="609"/>
      <c r="LSY28" s="609"/>
      <c r="LSZ28" s="609"/>
      <c r="LTA28" s="609"/>
      <c r="LTB28" s="609"/>
      <c r="LTC28" s="609"/>
      <c r="LTD28" s="609"/>
      <c r="LTE28" s="609"/>
      <c r="LTF28" s="609"/>
      <c r="LTG28" s="609"/>
      <c r="LTH28" s="609"/>
      <c r="LTI28" s="609"/>
      <c r="LTJ28" s="609"/>
      <c r="LTK28" s="609"/>
      <c r="LTL28" s="609"/>
      <c r="LTM28" s="609"/>
      <c r="LTN28" s="609"/>
      <c r="LTO28" s="609"/>
      <c r="LTP28" s="609"/>
      <c r="LTQ28" s="609"/>
      <c r="LTR28" s="609"/>
      <c r="LTS28" s="609"/>
      <c r="LTT28" s="609"/>
      <c r="LTU28" s="609"/>
      <c r="LTV28" s="609"/>
      <c r="LTW28" s="609"/>
      <c r="LTX28" s="609"/>
      <c r="LTY28" s="609"/>
      <c r="LTZ28" s="609"/>
      <c r="LUA28" s="609"/>
      <c r="LUB28" s="609"/>
      <c r="LUC28" s="609"/>
      <c r="LUD28" s="609"/>
      <c r="LUE28" s="609"/>
      <c r="LUF28" s="609"/>
      <c r="LUG28" s="609"/>
      <c r="LUH28" s="609"/>
      <c r="LUI28" s="609"/>
      <c r="LUJ28" s="609"/>
      <c r="LUK28" s="609"/>
      <c r="LUL28" s="609"/>
      <c r="LUM28" s="609"/>
      <c r="LUN28" s="609"/>
      <c r="LUO28" s="609"/>
      <c r="LUP28" s="609"/>
      <c r="LUQ28" s="609"/>
      <c r="LUR28" s="609"/>
      <c r="LUS28" s="609"/>
      <c r="LUT28" s="609"/>
      <c r="LUU28" s="609"/>
      <c r="LUV28" s="609"/>
      <c r="LUW28" s="609"/>
      <c r="LUX28" s="609"/>
      <c r="LUY28" s="609"/>
      <c r="LUZ28" s="609"/>
      <c r="LVA28" s="609"/>
      <c r="LVB28" s="609"/>
      <c r="LVC28" s="609"/>
      <c r="LVD28" s="609"/>
      <c r="LVE28" s="609"/>
      <c r="LVF28" s="609"/>
      <c r="LVG28" s="609"/>
      <c r="LVH28" s="609"/>
      <c r="LVI28" s="609"/>
      <c r="LVJ28" s="609"/>
      <c r="LVK28" s="609"/>
      <c r="LVL28" s="609"/>
      <c r="LVM28" s="609"/>
      <c r="LVN28" s="609"/>
      <c r="LVO28" s="609"/>
      <c r="LVP28" s="609"/>
      <c r="LVQ28" s="609"/>
      <c r="LVR28" s="609"/>
      <c r="LVS28" s="609"/>
      <c r="LVT28" s="609"/>
      <c r="LVU28" s="609"/>
      <c r="LVV28" s="609"/>
      <c r="LVW28" s="609"/>
      <c r="LVX28" s="609"/>
      <c r="LVY28" s="609"/>
      <c r="LVZ28" s="609"/>
      <c r="LWA28" s="609"/>
      <c r="LWB28" s="609"/>
      <c r="LWC28" s="609"/>
      <c r="LWD28" s="609"/>
      <c r="LWE28" s="609"/>
      <c r="LWF28" s="609"/>
      <c r="LWG28" s="609"/>
      <c r="LWH28" s="609"/>
      <c r="LWI28" s="609"/>
      <c r="LWJ28" s="609"/>
      <c r="LWK28" s="609"/>
      <c r="LWL28" s="609"/>
      <c r="LWM28" s="609"/>
      <c r="LWN28" s="609"/>
      <c r="LWO28" s="609"/>
      <c r="LWP28" s="609"/>
      <c r="LWQ28" s="609"/>
      <c r="LWR28" s="609"/>
      <c r="LWS28" s="609"/>
      <c r="LWT28" s="609"/>
      <c r="LWU28" s="609"/>
      <c r="LWV28" s="609"/>
      <c r="LWW28" s="609"/>
      <c r="LWX28" s="609"/>
      <c r="LWY28" s="609"/>
      <c r="LWZ28" s="609"/>
      <c r="LXA28" s="609"/>
      <c r="LXB28" s="609"/>
      <c r="LXC28" s="609"/>
      <c r="LXD28" s="609"/>
      <c r="LXE28" s="609"/>
      <c r="LXF28" s="609"/>
      <c r="LXG28" s="609"/>
      <c r="LXH28" s="609"/>
      <c r="LXI28" s="609"/>
      <c r="LXJ28" s="609"/>
      <c r="LXK28" s="609"/>
      <c r="LXL28" s="609"/>
      <c r="LXM28" s="609"/>
      <c r="LXN28" s="609"/>
      <c r="LXO28" s="609"/>
      <c r="LXP28" s="609"/>
      <c r="LXQ28" s="609"/>
      <c r="LXR28" s="609"/>
      <c r="LXS28" s="609"/>
      <c r="LXT28" s="609"/>
      <c r="LXU28" s="609"/>
      <c r="LXV28" s="609"/>
      <c r="LXW28" s="609"/>
      <c r="LXX28" s="609"/>
      <c r="LXY28" s="609"/>
      <c r="LXZ28" s="609"/>
      <c r="LYA28" s="609"/>
      <c r="LYB28" s="609"/>
      <c r="LYC28" s="609"/>
      <c r="LYD28" s="609"/>
      <c r="LYE28" s="609"/>
      <c r="LYF28" s="609"/>
      <c r="LYG28" s="609"/>
      <c r="LYH28" s="609"/>
      <c r="LYI28" s="609"/>
      <c r="LYJ28" s="609"/>
      <c r="LYK28" s="609"/>
      <c r="LYL28" s="609"/>
      <c r="LYM28" s="609"/>
      <c r="LYN28" s="609"/>
      <c r="LYO28" s="609"/>
      <c r="LYP28" s="609"/>
      <c r="LYQ28" s="609"/>
      <c r="LYR28" s="609"/>
      <c r="LYS28" s="609"/>
      <c r="LYT28" s="609"/>
      <c r="LYU28" s="609"/>
      <c r="LYV28" s="609"/>
      <c r="LYW28" s="609"/>
      <c r="LYX28" s="609"/>
      <c r="LYY28" s="609"/>
      <c r="LYZ28" s="609"/>
      <c r="LZA28" s="609"/>
      <c r="LZB28" s="609"/>
      <c r="LZC28" s="609"/>
      <c r="LZD28" s="609"/>
      <c r="LZE28" s="609"/>
      <c r="LZF28" s="609"/>
      <c r="LZG28" s="609"/>
      <c r="LZH28" s="609"/>
      <c r="LZI28" s="609"/>
      <c r="LZJ28" s="609"/>
      <c r="LZK28" s="609"/>
      <c r="LZL28" s="609"/>
      <c r="LZM28" s="609"/>
      <c r="LZN28" s="609"/>
      <c r="LZO28" s="609"/>
      <c r="LZP28" s="609"/>
      <c r="LZQ28" s="609"/>
      <c r="LZR28" s="609"/>
      <c r="LZS28" s="609"/>
      <c r="LZT28" s="609"/>
      <c r="LZU28" s="609"/>
      <c r="LZV28" s="609"/>
      <c r="LZW28" s="609"/>
      <c r="LZX28" s="609"/>
      <c r="LZY28" s="609"/>
      <c r="LZZ28" s="609"/>
      <c r="MAA28" s="609"/>
      <c r="MAB28" s="609"/>
      <c r="MAC28" s="609"/>
      <c r="MAD28" s="609"/>
      <c r="MAE28" s="609"/>
      <c r="MAF28" s="609"/>
      <c r="MAG28" s="609"/>
      <c r="MAH28" s="609"/>
      <c r="MAI28" s="609"/>
      <c r="MAJ28" s="609"/>
      <c r="MAK28" s="609"/>
      <c r="MAL28" s="609"/>
      <c r="MAM28" s="609"/>
      <c r="MAN28" s="609"/>
      <c r="MAO28" s="609"/>
      <c r="MAP28" s="609"/>
      <c r="MAQ28" s="609"/>
      <c r="MAR28" s="609"/>
      <c r="MAS28" s="609"/>
      <c r="MAT28" s="609"/>
      <c r="MAU28" s="609"/>
      <c r="MAV28" s="609"/>
      <c r="MAW28" s="609"/>
      <c r="MAX28" s="609"/>
      <c r="MAY28" s="609"/>
      <c r="MAZ28" s="609"/>
      <c r="MBA28" s="609"/>
      <c r="MBB28" s="609"/>
      <c r="MBC28" s="609"/>
      <c r="MBD28" s="609"/>
      <c r="MBE28" s="609"/>
      <c r="MBF28" s="609"/>
      <c r="MBG28" s="609"/>
      <c r="MBH28" s="609"/>
      <c r="MBI28" s="609"/>
      <c r="MBJ28" s="609"/>
      <c r="MBK28" s="609"/>
      <c r="MBL28" s="609"/>
      <c r="MBM28" s="609"/>
      <c r="MBN28" s="609"/>
      <c r="MBO28" s="609"/>
      <c r="MBP28" s="609"/>
      <c r="MBQ28" s="609"/>
      <c r="MBR28" s="609"/>
      <c r="MBS28" s="609"/>
      <c r="MBT28" s="609"/>
      <c r="MBU28" s="609"/>
      <c r="MBV28" s="609"/>
      <c r="MBW28" s="609"/>
      <c r="MBX28" s="609"/>
      <c r="MBY28" s="609"/>
      <c r="MBZ28" s="609"/>
      <c r="MCA28" s="609"/>
      <c r="MCB28" s="609"/>
      <c r="MCC28" s="609"/>
      <c r="MCD28" s="609"/>
      <c r="MCE28" s="609"/>
      <c r="MCF28" s="609"/>
      <c r="MCG28" s="609"/>
      <c r="MCH28" s="609"/>
      <c r="MCI28" s="609"/>
      <c r="MCJ28" s="609"/>
      <c r="MCK28" s="609"/>
      <c r="MCL28" s="609"/>
      <c r="MCM28" s="609"/>
      <c r="MCN28" s="609"/>
      <c r="MCO28" s="609"/>
      <c r="MCP28" s="609"/>
      <c r="MCQ28" s="609"/>
      <c r="MCR28" s="609"/>
      <c r="MCS28" s="609"/>
      <c r="MCT28" s="609"/>
      <c r="MCU28" s="609"/>
      <c r="MCV28" s="609"/>
      <c r="MCW28" s="609"/>
      <c r="MCX28" s="609"/>
      <c r="MCY28" s="609"/>
      <c r="MCZ28" s="609"/>
      <c r="MDA28" s="609"/>
      <c r="MDB28" s="609"/>
      <c r="MDC28" s="609"/>
      <c r="MDD28" s="609"/>
      <c r="MDE28" s="609"/>
      <c r="MDF28" s="609"/>
      <c r="MDG28" s="609"/>
      <c r="MDH28" s="609"/>
      <c r="MDI28" s="609"/>
      <c r="MDJ28" s="609"/>
      <c r="MDK28" s="609"/>
      <c r="MDL28" s="609"/>
      <c r="MDM28" s="609"/>
      <c r="MDN28" s="609"/>
      <c r="MDO28" s="609"/>
      <c r="MDP28" s="609"/>
      <c r="MDQ28" s="609"/>
      <c r="MDR28" s="609"/>
      <c r="MDS28" s="609"/>
      <c r="MDT28" s="609"/>
      <c r="MDU28" s="609"/>
      <c r="MDV28" s="609"/>
      <c r="MDW28" s="609"/>
      <c r="MDX28" s="609"/>
      <c r="MDY28" s="609"/>
      <c r="MDZ28" s="609"/>
      <c r="MEA28" s="609"/>
      <c r="MEB28" s="609"/>
      <c r="MEC28" s="609"/>
      <c r="MED28" s="609"/>
      <c r="MEE28" s="609"/>
      <c r="MEF28" s="609"/>
      <c r="MEG28" s="609"/>
      <c r="MEH28" s="609"/>
      <c r="MEI28" s="609"/>
      <c r="MEJ28" s="609"/>
      <c r="MEK28" s="609"/>
      <c r="MEL28" s="609"/>
      <c r="MEM28" s="609"/>
      <c r="MEN28" s="609"/>
      <c r="MEO28" s="609"/>
      <c r="MEP28" s="609"/>
      <c r="MEQ28" s="609"/>
      <c r="MER28" s="609"/>
      <c r="MES28" s="609"/>
      <c r="MET28" s="609"/>
      <c r="MEU28" s="609"/>
      <c r="MEV28" s="609"/>
      <c r="MEW28" s="609"/>
      <c r="MEX28" s="609"/>
      <c r="MEY28" s="609"/>
      <c r="MEZ28" s="609"/>
      <c r="MFA28" s="609"/>
      <c r="MFB28" s="609"/>
      <c r="MFC28" s="609"/>
      <c r="MFD28" s="609"/>
      <c r="MFE28" s="609"/>
      <c r="MFF28" s="609"/>
      <c r="MFG28" s="609"/>
      <c r="MFH28" s="609"/>
      <c r="MFI28" s="609"/>
      <c r="MFJ28" s="609"/>
      <c r="MFK28" s="609"/>
      <c r="MFL28" s="609"/>
      <c r="MFM28" s="609"/>
      <c r="MFN28" s="609"/>
      <c r="MFO28" s="609"/>
      <c r="MFP28" s="609"/>
      <c r="MFQ28" s="609"/>
      <c r="MFR28" s="609"/>
      <c r="MFS28" s="609"/>
      <c r="MFT28" s="609"/>
      <c r="MFU28" s="609"/>
      <c r="MFV28" s="609"/>
      <c r="MFW28" s="609"/>
      <c r="MFX28" s="609"/>
      <c r="MFY28" s="609"/>
      <c r="MFZ28" s="609"/>
      <c r="MGA28" s="609"/>
      <c r="MGB28" s="609"/>
      <c r="MGC28" s="609"/>
      <c r="MGD28" s="609"/>
      <c r="MGE28" s="609"/>
      <c r="MGF28" s="609"/>
      <c r="MGG28" s="609"/>
      <c r="MGH28" s="609"/>
      <c r="MGI28" s="609"/>
      <c r="MGJ28" s="609"/>
      <c r="MGK28" s="609"/>
      <c r="MGL28" s="609"/>
      <c r="MGM28" s="609"/>
      <c r="MGN28" s="609"/>
      <c r="MGO28" s="609"/>
      <c r="MGP28" s="609"/>
      <c r="MGQ28" s="609"/>
      <c r="MGR28" s="609"/>
      <c r="MGS28" s="609"/>
      <c r="MGT28" s="609"/>
      <c r="MGU28" s="609"/>
      <c r="MGV28" s="609"/>
      <c r="MGW28" s="609"/>
      <c r="MGX28" s="609"/>
      <c r="MGY28" s="609"/>
      <c r="MGZ28" s="609"/>
      <c r="MHA28" s="609"/>
      <c r="MHB28" s="609"/>
      <c r="MHC28" s="609"/>
      <c r="MHD28" s="609"/>
      <c r="MHE28" s="609"/>
      <c r="MHF28" s="609"/>
      <c r="MHG28" s="609"/>
      <c r="MHH28" s="609"/>
      <c r="MHI28" s="609"/>
      <c r="MHJ28" s="609"/>
      <c r="MHK28" s="609"/>
      <c r="MHL28" s="609"/>
      <c r="MHM28" s="609"/>
      <c r="MHN28" s="609"/>
      <c r="MHO28" s="609"/>
      <c r="MHP28" s="609"/>
      <c r="MHQ28" s="609"/>
      <c r="MHR28" s="609"/>
      <c r="MHS28" s="609"/>
      <c r="MHT28" s="609"/>
      <c r="MHU28" s="609"/>
      <c r="MHV28" s="609"/>
      <c r="MHW28" s="609"/>
      <c r="MHX28" s="609"/>
      <c r="MHY28" s="609"/>
      <c r="MHZ28" s="609"/>
      <c r="MIA28" s="609"/>
      <c r="MIB28" s="609"/>
      <c r="MIC28" s="609"/>
      <c r="MID28" s="609"/>
      <c r="MIE28" s="609"/>
      <c r="MIF28" s="609"/>
      <c r="MIG28" s="609"/>
      <c r="MIH28" s="609"/>
      <c r="MII28" s="609"/>
      <c r="MIJ28" s="609"/>
      <c r="MIK28" s="609"/>
      <c r="MIL28" s="609"/>
      <c r="MIM28" s="609"/>
      <c r="MIN28" s="609"/>
      <c r="MIO28" s="609"/>
      <c r="MIP28" s="609"/>
      <c r="MIQ28" s="609"/>
      <c r="MIR28" s="609"/>
      <c r="MIS28" s="609"/>
      <c r="MIT28" s="609"/>
      <c r="MIU28" s="609"/>
      <c r="MIV28" s="609"/>
      <c r="MIW28" s="609"/>
      <c r="MIX28" s="609"/>
      <c r="MIY28" s="609"/>
      <c r="MIZ28" s="609"/>
      <c r="MJA28" s="609"/>
      <c r="MJB28" s="609"/>
      <c r="MJC28" s="609"/>
      <c r="MJD28" s="609"/>
      <c r="MJE28" s="609"/>
      <c r="MJF28" s="609"/>
      <c r="MJG28" s="609"/>
      <c r="MJH28" s="609"/>
      <c r="MJI28" s="609"/>
      <c r="MJJ28" s="609"/>
      <c r="MJK28" s="609"/>
      <c r="MJL28" s="609"/>
      <c r="MJM28" s="609"/>
      <c r="MJN28" s="609"/>
      <c r="MJO28" s="609"/>
      <c r="MJP28" s="609"/>
      <c r="MJQ28" s="609"/>
      <c r="MJR28" s="609"/>
      <c r="MJS28" s="609"/>
      <c r="MJT28" s="609"/>
      <c r="MJU28" s="609"/>
      <c r="MJV28" s="609"/>
      <c r="MJW28" s="609"/>
      <c r="MJX28" s="609"/>
      <c r="MJY28" s="609"/>
      <c r="MJZ28" s="609"/>
      <c r="MKA28" s="609"/>
      <c r="MKB28" s="609"/>
      <c r="MKC28" s="609"/>
      <c r="MKD28" s="609"/>
      <c r="MKE28" s="609"/>
      <c r="MKF28" s="609"/>
      <c r="MKG28" s="609"/>
      <c r="MKH28" s="609"/>
      <c r="MKI28" s="609"/>
      <c r="MKJ28" s="609"/>
      <c r="MKK28" s="609"/>
      <c r="MKL28" s="609"/>
      <c r="MKM28" s="609"/>
      <c r="MKN28" s="609"/>
      <c r="MKO28" s="609"/>
      <c r="MKP28" s="609"/>
      <c r="MKQ28" s="609"/>
      <c r="MKR28" s="609"/>
      <c r="MKS28" s="609"/>
      <c r="MKT28" s="609"/>
      <c r="MKU28" s="609"/>
      <c r="MKV28" s="609"/>
      <c r="MKW28" s="609"/>
      <c r="MKX28" s="609"/>
      <c r="MKY28" s="609"/>
      <c r="MKZ28" s="609"/>
      <c r="MLA28" s="609"/>
      <c r="MLB28" s="609"/>
      <c r="MLC28" s="609"/>
      <c r="MLD28" s="609"/>
      <c r="MLE28" s="609"/>
      <c r="MLF28" s="609"/>
      <c r="MLG28" s="609"/>
      <c r="MLH28" s="609"/>
      <c r="MLI28" s="609"/>
      <c r="MLJ28" s="609"/>
      <c r="MLK28" s="609"/>
      <c r="MLL28" s="609"/>
      <c r="MLM28" s="609"/>
      <c r="MLN28" s="609"/>
      <c r="MLO28" s="609"/>
      <c r="MLP28" s="609"/>
      <c r="MLQ28" s="609"/>
      <c r="MLR28" s="609"/>
      <c r="MLS28" s="609"/>
      <c r="MLT28" s="609"/>
      <c r="MLU28" s="609"/>
      <c r="MLV28" s="609"/>
      <c r="MLW28" s="609"/>
      <c r="MLX28" s="609"/>
      <c r="MLY28" s="609"/>
      <c r="MLZ28" s="609"/>
      <c r="MMA28" s="609"/>
      <c r="MMB28" s="609"/>
      <c r="MMC28" s="609"/>
      <c r="MMD28" s="609"/>
      <c r="MME28" s="609"/>
      <c r="MMF28" s="609"/>
      <c r="MMG28" s="609"/>
      <c r="MMH28" s="609"/>
      <c r="MMI28" s="609"/>
      <c r="MMJ28" s="609"/>
      <c r="MMK28" s="609"/>
      <c r="MML28" s="609"/>
      <c r="MMM28" s="609"/>
      <c r="MMN28" s="609"/>
      <c r="MMO28" s="609"/>
      <c r="MMP28" s="609"/>
      <c r="MMQ28" s="609"/>
      <c r="MMR28" s="609"/>
      <c r="MMS28" s="609"/>
      <c r="MMT28" s="609"/>
      <c r="MMU28" s="609"/>
      <c r="MMV28" s="609"/>
      <c r="MMW28" s="609"/>
      <c r="MMX28" s="609"/>
      <c r="MMY28" s="609"/>
      <c r="MMZ28" s="609"/>
      <c r="MNA28" s="609"/>
      <c r="MNB28" s="609"/>
      <c r="MNC28" s="609"/>
      <c r="MND28" s="609"/>
      <c r="MNE28" s="609"/>
      <c r="MNF28" s="609"/>
      <c r="MNG28" s="609"/>
      <c r="MNH28" s="609"/>
      <c r="MNI28" s="609"/>
      <c r="MNJ28" s="609"/>
      <c r="MNK28" s="609"/>
      <c r="MNL28" s="609"/>
      <c r="MNM28" s="609"/>
      <c r="MNN28" s="609"/>
      <c r="MNO28" s="609"/>
      <c r="MNP28" s="609"/>
      <c r="MNQ28" s="609"/>
      <c r="MNR28" s="609"/>
      <c r="MNS28" s="609"/>
      <c r="MNT28" s="609"/>
      <c r="MNU28" s="609"/>
      <c r="MNV28" s="609"/>
      <c r="MNW28" s="609"/>
      <c r="MNX28" s="609"/>
      <c r="MNY28" s="609"/>
      <c r="MNZ28" s="609"/>
      <c r="MOA28" s="609"/>
      <c r="MOB28" s="609"/>
      <c r="MOC28" s="609"/>
      <c r="MOD28" s="609"/>
      <c r="MOE28" s="609"/>
      <c r="MOF28" s="609"/>
      <c r="MOG28" s="609"/>
      <c r="MOH28" s="609"/>
      <c r="MOI28" s="609"/>
      <c r="MOJ28" s="609"/>
      <c r="MOK28" s="609"/>
      <c r="MOL28" s="609"/>
      <c r="MOM28" s="609"/>
      <c r="MON28" s="609"/>
      <c r="MOO28" s="609"/>
      <c r="MOP28" s="609"/>
      <c r="MOQ28" s="609"/>
      <c r="MOR28" s="609"/>
      <c r="MOS28" s="609"/>
      <c r="MOT28" s="609"/>
      <c r="MOU28" s="609"/>
      <c r="MOV28" s="609"/>
      <c r="MOW28" s="609"/>
      <c r="MOX28" s="609"/>
      <c r="MOY28" s="609"/>
      <c r="MOZ28" s="609"/>
      <c r="MPA28" s="609"/>
      <c r="MPB28" s="609"/>
      <c r="MPC28" s="609"/>
      <c r="MPD28" s="609"/>
      <c r="MPE28" s="609"/>
      <c r="MPF28" s="609"/>
      <c r="MPG28" s="609"/>
      <c r="MPH28" s="609"/>
      <c r="MPI28" s="609"/>
      <c r="MPJ28" s="609"/>
      <c r="MPK28" s="609"/>
      <c r="MPL28" s="609"/>
      <c r="MPM28" s="609"/>
      <c r="MPN28" s="609"/>
      <c r="MPO28" s="609"/>
      <c r="MPP28" s="609"/>
      <c r="MPQ28" s="609"/>
      <c r="MPR28" s="609"/>
      <c r="MPS28" s="609"/>
      <c r="MPT28" s="609"/>
      <c r="MPU28" s="609"/>
      <c r="MPV28" s="609"/>
      <c r="MPW28" s="609"/>
      <c r="MPX28" s="609"/>
      <c r="MPY28" s="609"/>
      <c r="MPZ28" s="609"/>
      <c r="MQA28" s="609"/>
      <c r="MQB28" s="609"/>
      <c r="MQC28" s="609"/>
      <c r="MQD28" s="609"/>
      <c r="MQE28" s="609"/>
      <c r="MQF28" s="609"/>
      <c r="MQG28" s="609"/>
      <c r="MQH28" s="609"/>
      <c r="MQI28" s="609"/>
      <c r="MQJ28" s="609"/>
      <c r="MQK28" s="609"/>
      <c r="MQL28" s="609"/>
      <c r="MQM28" s="609"/>
      <c r="MQN28" s="609"/>
      <c r="MQO28" s="609"/>
      <c r="MQP28" s="609"/>
      <c r="MQQ28" s="609"/>
      <c r="MQR28" s="609"/>
      <c r="MQS28" s="609"/>
      <c r="MQT28" s="609"/>
      <c r="MQU28" s="609"/>
      <c r="MQV28" s="609"/>
      <c r="MQW28" s="609"/>
      <c r="MQX28" s="609"/>
      <c r="MQY28" s="609"/>
      <c r="MQZ28" s="609"/>
      <c r="MRA28" s="609"/>
      <c r="MRB28" s="609"/>
      <c r="MRC28" s="609"/>
      <c r="MRD28" s="609"/>
      <c r="MRE28" s="609"/>
      <c r="MRF28" s="609"/>
      <c r="MRG28" s="609"/>
      <c r="MRH28" s="609"/>
      <c r="MRI28" s="609"/>
      <c r="MRJ28" s="609"/>
      <c r="MRK28" s="609"/>
      <c r="MRL28" s="609"/>
      <c r="MRM28" s="609"/>
      <c r="MRN28" s="609"/>
      <c r="MRO28" s="609"/>
      <c r="MRP28" s="609"/>
      <c r="MRQ28" s="609"/>
      <c r="MRR28" s="609"/>
      <c r="MRS28" s="609"/>
      <c r="MRT28" s="609"/>
      <c r="MRU28" s="609"/>
      <c r="MRV28" s="609"/>
      <c r="MRW28" s="609"/>
      <c r="MRX28" s="609"/>
      <c r="MRY28" s="609"/>
      <c r="MRZ28" s="609"/>
      <c r="MSA28" s="609"/>
      <c r="MSB28" s="609"/>
      <c r="MSC28" s="609"/>
      <c r="MSD28" s="609"/>
      <c r="MSE28" s="609"/>
      <c r="MSF28" s="609"/>
      <c r="MSG28" s="609"/>
      <c r="MSH28" s="609"/>
      <c r="MSI28" s="609"/>
      <c r="MSJ28" s="609"/>
      <c r="MSK28" s="609"/>
      <c r="MSL28" s="609"/>
      <c r="MSM28" s="609"/>
      <c r="MSN28" s="609"/>
      <c r="MSO28" s="609"/>
      <c r="MSP28" s="609"/>
      <c r="MSQ28" s="609"/>
      <c r="MSR28" s="609"/>
      <c r="MSS28" s="609"/>
      <c r="MST28" s="609"/>
      <c r="MSU28" s="609"/>
      <c r="MSV28" s="609"/>
      <c r="MSW28" s="609"/>
      <c r="MSX28" s="609"/>
      <c r="MSY28" s="609"/>
      <c r="MSZ28" s="609"/>
      <c r="MTA28" s="609"/>
      <c r="MTB28" s="609"/>
      <c r="MTC28" s="609"/>
      <c r="MTD28" s="609"/>
      <c r="MTE28" s="609"/>
      <c r="MTF28" s="609"/>
      <c r="MTG28" s="609"/>
      <c r="MTH28" s="609"/>
      <c r="MTI28" s="609"/>
      <c r="MTJ28" s="609"/>
      <c r="MTK28" s="609"/>
      <c r="MTL28" s="609"/>
      <c r="MTM28" s="609"/>
      <c r="MTN28" s="609"/>
      <c r="MTO28" s="609"/>
      <c r="MTP28" s="609"/>
      <c r="MTQ28" s="609"/>
      <c r="MTR28" s="609"/>
      <c r="MTS28" s="609"/>
      <c r="MTT28" s="609"/>
      <c r="MTU28" s="609"/>
      <c r="MTV28" s="609"/>
      <c r="MTW28" s="609"/>
      <c r="MTX28" s="609"/>
      <c r="MTY28" s="609"/>
      <c r="MTZ28" s="609"/>
      <c r="MUA28" s="609"/>
      <c r="MUB28" s="609"/>
      <c r="MUC28" s="609"/>
      <c r="MUD28" s="609"/>
      <c r="MUE28" s="609"/>
      <c r="MUF28" s="609"/>
      <c r="MUG28" s="609"/>
      <c r="MUH28" s="609"/>
      <c r="MUI28" s="609"/>
      <c r="MUJ28" s="609"/>
      <c r="MUK28" s="609"/>
      <c r="MUL28" s="609"/>
      <c r="MUM28" s="609"/>
      <c r="MUN28" s="609"/>
      <c r="MUO28" s="609"/>
      <c r="MUP28" s="609"/>
      <c r="MUQ28" s="609"/>
      <c r="MUR28" s="609"/>
      <c r="MUS28" s="609"/>
      <c r="MUT28" s="609"/>
      <c r="MUU28" s="609"/>
      <c r="MUV28" s="609"/>
      <c r="MUW28" s="609"/>
      <c r="MUX28" s="609"/>
      <c r="MUY28" s="609"/>
      <c r="MUZ28" s="609"/>
      <c r="MVA28" s="609"/>
      <c r="MVB28" s="609"/>
      <c r="MVC28" s="609"/>
      <c r="MVD28" s="609"/>
      <c r="MVE28" s="609"/>
      <c r="MVF28" s="609"/>
      <c r="MVG28" s="609"/>
      <c r="MVH28" s="609"/>
      <c r="MVI28" s="609"/>
      <c r="MVJ28" s="609"/>
      <c r="MVK28" s="609"/>
      <c r="MVL28" s="609"/>
      <c r="MVM28" s="609"/>
      <c r="MVN28" s="609"/>
      <c r="MVO28" s="609"/>
      <c r="MVP28" s="609"/>
      <c r="MVQ28" s="609"/>
      <c r="MVR28" s="609"/>
      <c r="MVS28" s="609"/>
      <c r="MVT28" s="609"/>
      <c r="MVU28" s="609"/>
      <c r="MVV28" s="609"/>
      <c r="MVW28" s="609"/>
      <c r="MVX28" s="609"/>
      <c r="MVY28" s="609"/>
      <c r="MVZ28" s="609"/>
      <c r="MWA28" s="609"/>
      <c r="MWB28" s="609"/>
      <c r="MWC28" s="609"/>
      <c r="MWD28" s="609"/>
      <c r="MWE28" s="609"/>
      <c r="MWF28" s="609"/>
      <c r="MWG28" s="609"/>
      <c r="MWH28" s="609"/>
      <c r="MWI28" s="609"/>
      <c r="MWJ28" s="609"/>
      <c r="MWK28" s="609"/>
      <c r="MWL28" s="609"/>
      <c r="MWM28" s="609"/>
      <c r="MWN28" s="609"/>
      <c r="MWO28" s="609"/>
      <c r="MWP28" s="609"/>
      <c r="MWQ28" s="609"/>
      <c r="MWR28" s="609"/>
      <c r="MWS28" s="609"/>
      <c r="MWT28" s="609"/>
      <c r="MWU28" s="609"/>
      <c r="MWV28" s="609"/>
      <c r="MWW28" s="609"/>
      <c r="MWX28" s="609"/>
      <c r="MWY28" s="609"/>
      <c r="MWZ28" s="609"/>
      <c r="MXA28" s="609"/>
      <c r="MXB28" s="609"/>
      <c r="MXC28" s="609"/>
      <c r="MXD28" s="609"/>
      <c r="MXE28" s="609"/>
      <c r="MXF28" s="609"/>
      <c r="MXG28" s="609"/>
      <c r="MXH28" s="609"/>
      <c r="MXI28" s="609"/>
      <c r="MXJ28" s="609"/>
      <c r="MXK28" s="609"/>
      <c r="MXL28" s="609"/>
      <c r="MXM28" s="609"/>
      <c r="MXN28" s="609"/>
      <c r="MXO28" s="609"/>
      <c r="MXP28" s="609"/>
      <c r="MXQ28" s="609"/>
      <c r="MXR28" s="609"/>
      <c r="MXS28" s="609"/>
      <c r="MXT28" s="609"/>
      <c r="MXU28" s="609"/>
      <c r="MXV28" s="609"/>
      <c r="MXW28" s="609"/>
      <c r="MXX28" s="609"/>
      <c r="MXY28" s="609"/>
      <c r="MXZ28" s="609"/>
      <c r="MYA28" s="609"/>
      <c r="MYB28" s="609"/>
      <c r="MYC28" s="609"/>
      <c r="MYD28" s="609"/>
      <c r="MYE28" s="609"/>
      <c r="MYF28" s="609"/>
      <c r="MYG28" s="609"/>
      <c r="MYH28" s="609"/>
      <c r="MYI28" s="609"/>
      <c r="MYJ28" s="609"/>
      <c r="MYK28" s="609"/>
      <c r="MYL28" s="609"/>
      <c r="MYM28" s="609"/>
      <c r="MYN28" s="609"/>
      <c r="MYO28" s="609"/>
      <c r="MYP28" s="609"/>
      <c r="MYQ28" s="609"/>
      <c r="MYR28" s="609"/>
      <c r="MYS28" s="609"/>
      <c r="MYT28" s="609"/>
      <c r="MYU28" s="609"/>
      <c r="MYV28" s="609"/>
      <c r="MYW28" s="609"/>
      <c r="MYX28" s="609"/>
      <c r="MYY28" s="609"/>
      <c r="MYZ28" s="609"/>
      <c r="MZA28" s="609"/>
      <c r="MZB28" s="609"/>
      <c r="MZC28" s="609"/>
      <c r="MZD28" s="609"/>
      <c r="MZE28" s="609"/>
      <c r="MZF28" s="609"/>
      <c r="MZG28" s="609"/>
      <c r="MZH28" s="609"/>
      <c r="MZI28" s="609"/>
      <c r="MZJ28" s="609"/>
      <c r="MZK28" s="609"/>
      <c r="MZL28" s="609"/>
      <c r="MZM28" s="609"/>
      <c r="MZN28" s="609"/>
      <c r="MZO28" s="609"/>
      <c r="MZP28" s="609"/>
      <c r="MZQ28" s="609"/>
      <c r="MZR28" s="609"/>
      <c r="MZS28" s="609"/>
      <c r="MZT28" s="609"/>
      <c r="MZU28" s="609"/>
      <c r="MZV28" s="609"/>
      <c r="MZW28" s="609"/>
      <c r="MZX28" s="609"/>
      <c r="MZY28" s="609"/>
      <c r="MZZ28" s="609"/>
      <c r="NAA28" s="609"/>
      <c r="NAB28" s="609"/>
      <c r="NAC28" s="609"/>
      <c r="NAD28" s="609"/>
      <c r="NAE28" s="609"/>
      <c r="NAF28" s="609"/>
      <c r="NAG28" s="609"/>
      <c r="NAH28" s="609"/>
      <c r="NAI28" s="609"/>
      <c r="NAJ28" s="609"/>
      <c r="NAK28" s="609"/>
      <c r="NAL28" s="609"/>
      <c r="NAM28" s="609"/>
      <c r="NAN28" s="609"/>
      <c r="NAO28" s="609"/>
      <c r="NAP28" s="609"/>
      <c r="NAQ28" s="609"/>
      <c r="NAR28" s="609"/>
      <c r="NAS28" s="609"/>
      <c r="NAT28" s="609"/>
      <c r="NAU28" s="609"/>
      <c r="NAV28" s="609"/>
      <c r="NAW28" s="609"/>
      <c r="NAX28" s="609"/>
      <c r="NAY28" s="609"/>
      <c r="NAZ28" s="609"/>
      <c r="NBA28" s="609"/>
      <c r="NBB28" s="609"/>
      <c r="NBC28" s="609"/>
      <c r="NBD28" s="609"/>
      <c r="NBE28" s="609"/>
      <c r="NBF28" s="609"/>
      <c r="NBG28" s="609"/>
      <c r="NBH28" s="609"/>
      <c r="NBI28" s="609"/>
      <c r="NBJ28" s="609"/>
      <c r="NBK28" s="609"/>
      <c r="NBL28" s="609"/>
      <c r="NBM28" s="609"/>
      <c r="NBN28" s="609"/>
      <c r="NBO28" s="609"/>
      <c r="NBP28" s="609"/>
      <c r="NBQ28" s="609"/>
      <c r="NBR28" s="609"/>
      <c r="NBS28" s="609"/>
      <c r="NBT28" s="609"/>
      <c r="NBU28" s="609"/>
      <c r="NBV28" s="609"/>
      <c r="NBW28" s="609"/>
      <c r="NBX28" s="609"/>
      <c r="NBY28" s="609"/>
      <c r="NBZ28" s="609"/>
      <c r="NCA28" s="609"/>
      <c r="NCB28" s="609"/>
      <c r="NCC28" s="609"/>
      <c r="NCD28" s="609"/>
      <c r="NCE28" s="609"/>
      <c r="NCF28" s="609"/>
      <c r="NCG28" s="609"/>
      <c r="NCH28" s="609"/>
      <c r="NCI28" s="609"/>
      <c r="NCJ28" s="609"/>
      <c r="NCK28" s="609"/>
      <c r="NCL28" s="609"/>
      <c r="NCM28" s="609"/>
      <c r="NCN28" s="609"/>
      <c r="NCO28" s="609"/>
      <c r="NCP28" s="609"/>
      <c r="NCQ28" s="609"/>
      <c r="NCR28" s="609"/>
      <c r="NCS28" s="609"/>
      <c r="NCT28" s="609"/>
      <c r="NCU28" s="609"/>
      <c r="NCV28" s="609"/>
      <c r="NCW28" s="609"/>
      <c r="NCX28" s="609"/>
      <c r="NCY28" s="609"/>
      <c r="NCZ28" s="609"/>
      <c r="NDA28" s="609"/>
      <c r="NDB28" s="609"/>
      <c r="NDC28" s="609"/>
      <c r="NDD28" s="609"/>
      <c r="NDE28" s="609"/>
      <c r="NDF28" s="609"/>
      <c r="NDG28" s="609"/>
      <c r="NDH28" s="609"/>
      <c r="NDI28" s="609"/>
      <c r="NDJ28" s="609"/>
      <c r="NDK28" s="609"/>
      <c r="NDL28" s="609"/>
      <c r="NDM28" s="609"/>
      <c r="NDN28" s="609"/>
      <c r="NDO28" s="609"/>
      <c r="NDP28" s="609"/>
      <c r="NDQ28" s="609"/>
      <c r="NDR28" s="609"/>
      <c r="NDS28" s="609"/>
      <c r="NDT28" s="609"/>
      <c r="NDU28" s="609"/>
      <c r="NDV28" s="609"/>
      <c r="NDW28" s="609"/>
      <c r="NDX28" s="609"/>
      <c r="NDY28" s="609"/>
      <c r="NDZ28" s="609"/>
      <c r="NEA28" s="609"/>
      <c r="NEB28" s="609"/>
      <c r="NEC28" s="609"/>
      <c r="NED28" s="609"/>
      <c r="NEE28" s="609"/>
      <c r="NEF28" s="609"/>
      <c r="NEG28" s="609"/>
      <c r="NEH28" s="609"/>
      <c r="NEI28" s="609"/>
      <c r="NEJ28" s="609"/>
      <c r="NEK28" s="609"/>
      <c r="NEL28" s="609"/>
      <c r="NEM28" s="609"/>
      <c r="NEN28" s="609"/>
      <c r="NEO28" s="609"/>
      <c r="NEP28" s="609"/>
      <c r="NEQ28" s="609"/>
      <c r="NER28" s="609"/>
      <c r="NES28" s="609"/>
      <c r="NET28" s="609"/>
      <c r="NEU28" s="609"/>
      <c r="NEV28" s="609"/>
      <c r="NEW28" s="609"/>
      <c r="NEX28" s="609"/>
      <c r="NEY28" s="609"/>
      <c r="NEZ28" s="609"/>
      <c r="NFA28" s="609"/>
      <c r="NFB28" s="609"/>
      <c r="NFC28" s="609"/>
      <c r="NFD28" s="609"/>
      <c r="NFE28" s="609"/>
      <c r="NFF28" s="609"/>
      <c r="NFG28" s="609"/>
      <c r="NFH28" s="609"/>
      <c r="NFI28" s="609"/>
      <c r="NFJ28" s="609"/>
      <c r="NFK28" s="609"/>
      <c r="NFL28" s="609"/>
      <c r="NFM28" s="609"/>
      <c r="NFN28" s="609"/>
      <c r="NFO28" s="609"/>
      <c r="NFP28" s="609"/>
      <c r="NFQ28" s="609"/>
      <c r="NFR28" s="609"/>
      <c r="NFS28" s="609"/>
      <c r="NFT28" s="609"/>
      <c r="NFU28" s="609"/>
      <c r="NFV28" s="609"/>
      <c r="NFW28" s="609"/>
      <c r="NFX28" s="609"/>
      <c r="NFY28" s="609"/>
      <c r="NFZ28" s="609"/>
      <c r="NGA28" s="609"/>
      <c r="NGB28" s="609"/>
      <c r="NGC28" s="609"/>
      <c r="NGD28" s="609"/>
      <c r="NGE28" s="609"/>
      <c r="NGF28" s="609"/>
      <c r="NGG28" s="609"/>
      <c r="NGH28" s="609"/>
      <c r="NGI28" s="609"/>
      <c r="NGJ28" s="609"/>
      <c r="NGK28" s="609"/>
      <c r="NGL28" s="609"/>
      <c r="NGM28" s="609"/>
      <c r="NGN28" s="609"/>
      <c r="NGO28" s="609"/>
      <c r="NGP28" s="609"/>
      <c r="NGQ28" s="609"/>
      <c r="NGR28" s="609"/>
      <c r="NGS28" s="609"/>
      <c r="NGT28" s="609"/>
      <c r="NGU28" s="609"/>
      <c r="NGV28" s="609"/>
      <c r="NGW28" s="609"/>
      <c r="NGX28" s="609"/>
      <c r="NGY28" s="609"/>
      <c r="NGZ28" s="609"/>
      <c r="NHA28" s="609"/>
      <c r="NHB28" s="609"/>
      <c r="NHC28" s="609"/>
      <c r="NHD28" s="609"/>
      <c r="NHE28" s="609"/>
      <c r="NHF28" s="609"/>
      <c r="NHG28" s="609"/>
      <c r="NHH28" s="609"/>
      <c r="NHI28" s="609"/>
      <c r="NHJ28" s="609"/>
      <c r="NHK28" s="609"/>
      <c r="NHL28" s="609"/>
      <c r="NHM28" s="609"/>
      <c r="NHN28" s="609"/>
      <c r="NHO28" s="609"/>
      <c r="NHP28" s="609"/>
      <c r="NHQ28" s="609"/>
      <c r="NHR28" s="609"/>
      <c r="NHS28" s="609"/>
      <c r="NHT28" s="609"/>
      <c r="NHU28" s="609"/>
      <c r="NHV28" s="609"/>
      <c r="NHW28" s="609"/>
      <c r="NHX28" s="609"/>
      <c r="NHY28" s="609"/>
      <c r="NHZ28" s="609"/>
      <c r="NIA28" s="609"/>
      <c r="NIB28" s="609"/>
      <c r="NIC28" s="609"/>
      <c r="NID28" s="609"/>
      <c r="NIE28" s="609"/>
      <c r="NIF28" s="609"/>
      <c r="NIG28" s="609"/>
      <c r="NIH28" s="609"/>
      <c r="NII28" s="609"/>
      <c r="NIJ28" s="609"/>
      <c r="NIK28" s="609"/>
      <c r="NIL28" s="609"/>
      <c r="NIM28" s="609"/>
      <c r="NIN28" s="609"/>
      <c r="NIO28" s="609"/>
      <c r="NIP28" s="609"/>
      <c r="NIQ28" s="609"/>
      <c r="NIR28" s="609"/>
      <c r="NIS28" s="609"/>
      <c r="NIT28" s="609"/>
      <c r="NIU28" s="609"/>
      <c r="NIV28" s="609"/>
      <c r="NIW28" s="609"/>
      <c r="NIX28" s="609"/>
      <c r="NIY28" s="609"/>
      <c r="NIZ28" s="609"/>
      <c r="NJA28" s="609"/>
      <c r="NJB28" s="609"/>
      <c r="NJC28" s="609"/>
      <c r="NJD28" s="609"/>
      <c r="NJE28" s="609"/>
      <c r="NJF28" s="609"/>
      <c r="NJG28" s="609"/>
      <c r="NJH28" s="609"/>
      <c r="NJI28" s="609"/>
      <c r="NJJ28" s="609"/>
      <c r="NJK28" s="609"/>
      <c r="NJL28" s="609"/>
      <c r="NJM28" s="609"/>
      <c r="NJN28" s="609"/>
      <c r="NJO28" s="609"/>
      <c r="NJP28" s="609"/>
      <c r="NJQ28" s="609"/>
      <c r="NJR28" s="609"/>
      <c r="NJS28" s="609"/>
      <c r="NJT28" s="609"/>
      <c r="NJU28" s="609"/>
      <c r="NJV28" s="609"/>
      <c r="NJW28" s="609"/>
      <c r="NJX28" s="609"/>
      <c r="NJY28" s="609"/>
      <c r="NJZ28" s="609"/>
      <c r="NKA28" s="609"/>
      <c r="NKB28" s="609"/>
      <c r="NKC28" s="609"/>
      <c r="NKD28" s="609"/>
      <c r="NKE28" s="609"/>
      <c r="NKF28" s="609"/>
      <c r="NKG28" s="609"/>
      <c r="NKH28" s="609"/>
      <c r="NKI28" s="609"/>
      <c r="NKJ28" s="609"/>
      <c r="NKK28" s="609"/>
      <c r="NKL28" s="609"/>
      <c r="NKM28" s="609"/>
      <c r="NKN28" s="609"/>
      <c r="NKO28" s="609"/>
      <c r="NKP28" s="609"/>
      <c r="NKQ28" s="609"/>
      <c r="NKR28" s="609"/>
      <c r="NKS28" s="609"/>
      <c r="NKT28" s="609"/>
      <c r="NKU28" s="609"/>
      <c r="NKV28" s="609"/>
      <c r="NKW28" s="609"/>
      <c r="NKX28" s="609"/>
      <c r="NKY28" s="609"/>
      <c r="NKZ28" s="609"/>
      <c r="NLA28" s="609"/>
      <c r="NLB28" s="609"/>
      <c r="NLC28" s="609"/>
      <c r="NLD28" s="609"/>
      <c r="NLE28" s="609"/>
      <c r="NLF28" s="609"/>
      <c r="NLG28" s="609"/>
      <c r="NLH28" s="609"/>
      <c r="NLI28" s="609"/>
      <c r="NLJ28" s="609"/>
      <c r="NLK28" s="609"/>
      <c r="NLL28" s="609"/>
      <c r="NLM28" s="609"/>
      <c r="NLN28" s="609"/>
      <c r="NLO28" s="609"/>
      <c r="NLP28" s="609"/>
      <c r="NLQ28" s="609"/>
      <c r="NLR28" s="609"/>
      <c r="NLS28" s="609"/>
      <c r="NLT28" s="609"/>
      <c r="NLU28" s="609"/>
      <c r="NLV28" s="609"/>
      <c r="NLW28" s="609"/>
      <c r="NLX28" s="609"/>
      <c r="NLY28" s="609"/>
      <c r="NLZ28" s="609"/>
      <c r="NMA28" s="609"/>
      <c r="NMB28" s="609"/>
      <c r="NMC28" s="609"/>
      <c r="NMD28" s="609"/>
      <c r="NME28" s="609"/>
      <c r="NMF28" s="609"/>
      <c r="NMG28" s="609"/>
      <c r="NMH28" s="609"/>
      <c r="NMI28" s="609"/>
      <c r="NMJ28" s="609"/>
      <c r="NMK28" s="609"/>
      <c r="NML28" s="609"/>
      <c r="NMM28" s="609"/>
      <c r="NMN28" s="609"/>
      <c r="NMO28" s="609"/>
      <c r="NMP28" s="609"/>
      <c r="NMQ28" s="609"/>
      <c r="NMR28" s="609"/>
      <c r="NMS28" s="609"/>
      <c r="NMT28" s="609"/>
      <c r="NMU28" s="609"/>
      <c r="NMV28" s="609"/>
      <c r="NMW28" s="609"/>
      <c r="NMX28" s="609"/>
      <c r="NMY28" s="609"/>
      <c r="NMZ28" s="609"/>
      <c r="NNA28" s="609"/>
      <c r="NNB28" s="609"/>
      <c r="NNC28" s="609"/>
      <c r="NND28" s="609"/>
      <c r="NNE28" s="609"/>
      <c r="NNF28" s="609"/>
      <c r="NNG28" s="609"/>
      <c r="NNH28" s="609"/>
      <c r="NNI28" s="609"/>
      <c r="NNJ28" s="609"/>
      <c r="NNK28" s="609"/>
      <c r="NNL28" s="609"/>
      <c r="NNM28" s="609"/>
      <c r="NNN28" s="609"/>
      <c r="NNO28" s="609"/>
      <c r="NNP28" s="609"/>
      <c r="NNQ28" s="609"/>
      <c r="NNR28" s="609"/>
      <c r="NNS28" s="609"/>
      <c r="NNT28" s="609"/>
      <c r="NNU28" s="609"/>
      <c r="NNV28" s="609"/>
      <c r="NNW28" s="609"/>
      <c r="NNX28" s="609"/>
      <c r="NNY28" s="609"/>
      <c r="NNZ28" s="609"/>
      <c r="NOA28" s="609"/>
      <c r="NOB28" s="609"/>
      <c r="NOC28" s="609"/>
      <c r="NOD28" s="609"/>
      <c r="NOE28" s="609"/>
      <c r="NOF28" s="609"/>
      <c r="NOG28" s="609"/>
      <c r="NOH28" s="609"/>
      <c r="NOI28" s="609"/>
      <c r="NOJ28" s="609"/>
      <c r="NOK28" s="609"/>
      <c r="NOL28" s="609"/>
      <c r="NOM28" s="609"/>
      <c r="NON28" s="609"/>
      <c r="NOO28" s="609"/>
      <c r="NOP28" s="609"/>
      <c r="NOQ28" s="609"/>
      <c r="NOR28" s="609"/>
      <c r="NOS28" s="609"/>
      <c r="NOT28" s="609"/>
      <c r="NOU28" s="609"/>
      <c r="NOV28" s="609"/>
      <c r="NOW28" s="609"/>
      <c r="NOX28" s="609"/>
      <c r="NOY28" s="609"/>
      <c r="NOZ28" s="609"/>
      <c r="NPA28" s="609"/>
      <c r="NPB28" s="609"/>
      <c r="NPC28" s="609"/>
      <c r="NPD28" s="609"/>
      <c r="NPE28" s="609"/>
      <c r="NPF28" s="609"/>
      <c r="NPG28" s="609"/>
      <c r="NPH28" s="609"/>
      <c r="NPI28" s="609"/>
      <c r="NPJ28" s="609"/>
      <c r="NPK28" s="609"/>
      <c r="NPL28" s="609"/>
      <c r="NPM28" s="609"/>
      <c r="NPN28" s="609"/>
      <c r="NPO28" s="609"/>
      <c r="NPP28" s="609"/>
      <c r="NPQ28" s="609"/>
      <c r="NPR28" s="609"/>
      <c r="NPS28" s="609"/>
      <c r="NPT28" s="609"/>
      <c r="NPU28" s="609"/>
      <c r="NPV28" s="609"/>
      <c r="NPW28" s="609"/>
      <c r="NPX28" s="609"/>
      <c r="NPY28" s="609"/>
      <c r="NPZ28" s="609"/>
      <c r="NQA28" s="609"/>
      <c r="NQB28" s="609"/>
      <c r="NQC28" s="609"/>
      <c r="NQD28" s="609"/>
      <c r="NQE28" s="609"/>
      <c r="NQF28" s="609"/>
      <c r="NQG28" s="609"/>
      <c r="NQH28" s="609"/>
      <c r="NQI28" s="609"/>
      <c r="NQJ28" s="609"/>
      <c r="NQK28" s="609"/>
      <c r="NQL28" s="609"/>
      <c r="NQM28" s="609"/>
      <c r="NQN28" s="609"/>
      <c r="NQO28" s="609"/>
      <c r="NQP28" s="609"/>
      <c r="NQQ28" s="609"/>
      <c r="NQR28" s="609"/>
      <c r="NQS28" s="609"/>
      <c r="NQT28" s="609"/>
      <c r="NQU28" s="609"/>
      <c r="NQV28" s="609"/>
      <c r="NQW28" s="609"/>
      <c r="NQX28" s="609"/>
      <c r="NQY28" s="609"/>
      <c r="NQZ28" s="609"/>
      <c r="NRA28" s="609"/>
      <c r="NRB28" s="609"/>
      <c r="NRC28" s="609"/>
      <c r="NRD28" s="609"/>
      <c r="NRE28" s="609"/>
      <c r="NRF28" s="609"/>
      <c r="NRG28" s="609"/>
      <c r="NRH28" s="609"/>
      <c r="NRI28" s="609"/>
      <c r="NRJ28" s="609"/>
      <c r="NRK28" s="609"/>
      <c r="NRL28" s="609"/>
      <c r="NRM28" s="609"/>
      <c r="NRN28" s="609"/>
      <c r="NRO28" s="609"/>
      <c r="NRP28" s="609"/>
      <c r="NRQ28" s="609"/>
      <c r="NRR28" s="609"/>
      <c r="NRS28" s="609"/>
      <c r="NRT28" s="609"/>
      <c r="NRU28" s="609"/>
      <c r="NRV28" s="609"/>
      <c r="NRW28" s="609"/>
      <c r="NRX28" s="609"/>
      <c r="NRY28" s="609"/>
      <c r="NRZ28" s="609"/>
      <c r="NSA28" s="609"/>
      <c r="NSB28" s="609"/>
      <c r="NSC28" s="609"/>
      <c r="NSD28" s="609"/>
      <c r="NSE28" s="609"/>
      <c r="NSF28" s="609"/>
      <c r="NSG28" s="609"/>
      <c r="NSH28" s="609"/>
      <c r="NSI28" s="609"/>
      <c r="NSJ28" s="609"/>
      <c r="NSK28" s="609"/>
      <c r="NSL28" s="609"/>
      <c r="NSM28" s="609"/>
      <c r="NSN28" s="609"/>
      <c r="NSO28" s="609"/>
      <c r="NSP28" s="609"/>
      <c r="NSQ28" s="609"/>
      <c r="NSR28" s="609"/>
      <c r="NSS28" s="609"/>
      <c r="NST28" s="609"/>
      <c r="NSU28" s="609"/>
      <c r="NSV28" s="609"/>
      <c r="NSW28" s="609"/>
      <c r="NSX28" s="609"/>
      <c r="NSY28" s="609"/>
      <c r="NSZ28" s="609"/>
      <c r="NTA28" s="609"/>
      <c r="NTB28" s="609"/>
      <c r="NTC28" s="609"/>
      <c r="NTD28" s="609"/>
      <c r="NTE28" s="609"/>
      <c r="NTF28" s="609"/>
      <c r="NTG28" s="609"/>
      <c r="NTH28" s="609"/>
      <c r="NTI28" s="609"/>
      <c r="NTJ28" s="609"/>
      <c r="NTK28" s="609"/>
      <c r="NTL28" s="609"/>
      <c r="NTM28" s="609"/>
      <c r="NTN28" s="609"/>
      <c r="NTO28" s="609"/>
      <c r="NTP28" s="609"/>
      <c r="NTQ28" s="609"/>
      <c r="NTR28" s="609"/>
      <c r="NTS28" s="609"/>
      <c r="NTT28" s="609"/>
      <c r="NTU28" s="609"/>
      <c r="NTV28" s="609"/>
      <c r="NTW28" s="609"/>
      <c r="NTX28" s="609"/>
      <c r="NTY28" s="609"/>
      <c r="NTZ28" s="609"/>
      <c r="NUA28" s="609"/>
      <c r="NUB28" s="609"/>
      <c r="NUC28" s="609"/>
      <c r="NUD28" s="609"/>
      <c r="NUE28" s="609"/>
      <c r="NUF28" s="609"/>
      <c r="NUG28" s="609"/>
      <c r="NUH28" s="609"/>
      <c r="NUI28" s="609"/>
      <c r="NUJ28" s="609"/>
      <c r="NUK28" s="609"/>
      <c r="NUL28" s="609"/>
      <c r="NUM28" s="609"/>
      <c r="NUN28" s="609"/>
      <c r="NUO28" s="609"/>
      <c r="NUP28" s="609"/>
      <c r="NUQ28" s="609"/>
      <c r="NUR28" s="609"/>
      <c r="NUS28" s="609"/>
      <c r="NUT28" s="609"/>
      <c r="NUU28" s="609"/>
      <c r="NUV28" s="609"/>
      <c r="NUW28" s="609"/>
      <c r="NUX28" s="609"/>
      <c r="NUY28" s="609"/>
      <c r="NUZ28" s="609"/>
      <c r="NVA28" s="609"/>
      <c r="NVB28" s="609"/>
      <c r="NVC28" s="609"/>
      <c r="NVD28" s="609"/>
      <c r="NVE28" s="609"/>
      <c r="NVF28" s="609"/>
      <c r="NVG28" s="609"/>
      <c r="NVH28" s="609"/>
      <c r="NVI28" s="609"/>
      <c r="NVJ28" s="609"/>
      <c r="NVK28" s="609"/>
      <c r="NVL28" s="609"/>
      <c r="NVM28" s="609"/>
      <c r="NVN28" s="609"/>
      <c r="NVO28" s="609"/>
      <c r="NVP28" s="609"/>
      <c r="NVQ28" s="609"/>
      <c r="NVR28" s="609"/>
      <c r="NVS28" s="609"/>
      <c r="NVT28" s="609"/>
      <c r="NVU28" s="609"/>
      <c r="NVV28" s="609"/>
      <c r="NVW28" s="609"/>
      <c r="NVX28" s="609"/>
      <c r="NVY28" s="609"/>
      <c r="NVZ28" s="609"/>
      <c r="NWA28" s="609"/>
      <c r="NWB28" s="609"/>
      <c r="NWC28" s="609"/>
      <c r="NWD28" s="609"/>
      <c r="NWE28" s="609"/>
      <c r="NWF28" s="609"/>
      <c r="NWG28" s="609"/>
      <c r="NWH28" s="609"/>
      <c r="NWI28" s="609"/>
      <c r="NWJ28" s="609"/>
      <c r="NWK28" s="609"/>
      <c r="NWL28" s="609"/>
      <c r="NWM28" s="609"/>
      <c r="NWN28" s="609"/>
      <c r="NWO28" s="609"/>
      <c r="NWP28" s="609"/>
      <c r="NWQ28" s="609"/>
      <c r="NWR28" s="609"/>
      <c r="NWS28" s="609"/>
      <c r="NWT28" s="609"/>
      <c r="NWU28" s="609"/>
      <c r="NWV28" s="609"/>
      <c r="NWW28" s="609"/>
      <c r="NWX28" s="609"/>
      <c r="NWY28" s="609"/>
      <c r="NWZ28" s="609"/>
      <c r="NXA28" s="609"/>
      <c r="NXB28" s="609"/>
      <c r="NXC28" s="609"/>
      <c r="NXD28" s="609"/>
      <c r="NXE28" s="609"/>
      <c r="NXF28" s="609"/>
      <c r="NXG28" s="609"/>
      <c r="NXH28" s="609"/>
      <c r="NXI28" s="609"/>
      <c r="NXJ28" s="609"/>
      <c r="NXK28" s="609"/>
      <c r="NXL28" s="609"/>
      <c r="NXM28" s="609"/>
      <c r="NXN28" s="609"/>
      <c r="NXO28" s="609"/>
      <c r="NXP28" s="609"/>
      <c r="NXQ28" s="609"/>
      <c r="NXR28" s="609"/>
      <c r="NXS28" s="609"/>
      <c r="NXT28" s="609"/>
      <c r="NXU28" s="609"/>
      <c r="NXV28" s="609"/>
      <c r="NXW28" s="609"/>
      <c r="NXX28" s="609"/>
      <c r="NXY28" s="609"/>
      <c r="NXZ28" s="609"/>
      <c r="NYA28" s="609"/>
      <c r="NYB28" s="609"/>
      <c r="NYC28" s="609"/>
      <c r="NYD28" s="609"/>
      <c r="NYE28" s="609"/>
      <c r="NYF28" s="609"/>
      <c r="NYG28" s="609"/>
      <c r="NYH28" s="609"/>
      <c r="NYI28" s="609"/>
      <c r="NYJ28" s="609"/>
      <c r="NYK28" s="609"/>
      <c r="NYL28" s="609"/>
      <c r="NYM28" s="609"/>
      <c r="NYN28" s="609"/>
      <c r="NYO28" s="609"/>
      <c r="NYP28" s="609"/>
      <c r="NYQ28" s="609"/>
      <c r="NYR28" s="609"/>
      <c r="NYS28" s="609"/>
      <c r="NYT28" s="609"/>
      <c r="NYU28" s="609"/>
      <c r="NYV28" s="609"/>
      <c r="NYW28" s="609"/>
      <c r="NYX28" s="609"/>
      <c r="NYY28" s="609"/>
      <c r="NYZ28" s="609"/>
      <c r="NZA28" s="609"/>
      <c r="NZB28" s="609"/>
      <c r="NZC28" s="609"/>
      <c r="NZD28" s="609"/>
      <c r="NZE28" s="609"/>
      <c r="NZF28" s="609"/>
      <c r="NZG28" s="609"/>
      <c r="NZH28" s="609"/>
      <c r="NZI28" s="609"/>
      <c r="NZJ28" s="609"/>
      <c r="NZK28" s="609"/>
      <c r="NZL28" s="609"/>
      <c r="NZM28" s="609"/>
      <c r="NZN28" s="609"/>
      <c r="NZO28" s="609"/>
      <c r="NZP28" s="609"/>
      <c r="NZQ28" s="609"/>
      <c r="NZR28" s="609"/>
      <c r="NZS28" s="609"/>
      <c r="NZT28" s="609"/>
      <c r="NZU28" s="609"/>
      <c r="NZV28" s="609"/>
      <c r="NZW28" s="609"/>
      <c r="NZX28" s="609"/>
      <c r="NZY28" s="609"/>
      <c r="NZZ28" s="609"/>
      <c r="OAA28" s="609"/>
      <c r="OAB28" s="609"/>
      <c r="OAC28" s="609"/>
      <c r="OAD28" s="609"/>
      <c r="OAE28" s="609"/>
      <c r="OAF28" s="609"/>
      <c r="OAG28" s="609"/>
      <c r="OAH28" s="609"/>
      <c r="OAI28" s="609"/>
      <c r="OAJ28" s="609"/>
      <c r="OAK28" s="609"/>
      <c r="OAL28" s="609"/>
      <c r="OAM28" s="609"/>
      <c r="OAN28" s="609"/>
      <c r="OAO28" s="609"/>
      <c r="OAP28" s="609"/>
      <c r="OAQ28" s="609"/>
      <c r="OAR28" s="609"/>
      <c r="OAS28" s="609"/>
      <c r="OAT28" s="609"/>
      <c r="OAU28" s="609"/>
      <c r="OAV28" s="609"/>
      <c r="OAW28" s="609"/>
      <c r="OAX28" s="609"/>
      <c r="OAY28" s="609"/>
      <c r="OAZ28" s="609"/>
      <c r="OBA28" s="609"/>
      <c r="OBB28" s="609"/>
      <c r="OBC28" s="609"/>
      <c r="OBD28" s="609"/>
      <c r="OBE28" s="609"/>
      <c r="OBF28" s="609"/>
      <c r="OBG28" s="609"/>
      <c r="OBH28" s="609"/>
      <c r="OBI28" s="609"/>
      <c r="OBJ28" s="609"/>
      <c r="OBK28" s="609"/>
      <c r="OBL28" s="609"/>
      <c r="OBM28" s="609"/>
      <c r="OBN28" s="609"/>
      <c r="OBO28" s="609"/>
      <c r="OBP28" s="609"/>
      <c r="OBQ28" s="609"/>
      <c r="OBR28" s="609"/>
      <c r="OBS28" s="609"/>
      <c r="OBT28" s="609"/>
      <c r="OBU28" s="609"/>
      <c r="OBV28" s="609"/>
      <c r="OBW28" s="609"/>
      <c r="OBX28" s="609"/>
      <c r="OBY28" s="609"/>
      <c r="OBZ28" s="609"/>
      <c r="OCA28" s="609"/>
      <c r="OCB28" s="609"/>
      <c r="OCC28" s="609"/>
      <c r="OCD28" s="609"/>
      <c r="OCE28" s="609"/>
      <c r="OCF28" s="609"/>
      <c r="OCG28" s="609"/>
      <c r="OCH28" s="609"/>
      <c r="OCI28" s="609"/>
      <c r="OCJ28" s="609"/>
      <c r="OCK28" s="609"/>
      <c r="OCL28" s="609"/>
      <c r="OCM28" s="609"/>
      <c r="OCN28" s="609"/>
      <c r="OCO28" s="609"/>
      <c r="OCP28" s="609"/>
      <c r="OCQ28" s="609"/>
      <c r="OCR28" s="609"/>
      <c r="OCS28" s="609"/>
      <c r="OCT28" s="609"/>
      <c r="OCU28" s="609"/>
      <c r="OCV28" s="609"/>
      <c r="OCW28" s="609"/>
      <c r="OCX28" s="609"/>
      <c r="OCY28" s="609"/>
      <c r="OCZ28" s="609"/>
      <c r="ODA28" s="609"/>
      <c r="ODB28" s="609"/>
      <c r="ODC28" s="609"/>
      <c r="ODD28" s="609"/>
      <c r="ODE28" s="609"/>
      <c r="ODF28" s="609"/>
      <c r="ODG28" s="609"/>
      <c r="ODH28" s="609"/>
      <c r="ODI28" s="609"/>
      <c r="ODJ28" s="609"/>
      <c r="ODK28" s="609"/>
      <c r="ODL28" s="609"/>
      <c r="ODM28" s="609"/>
      <c r="ODN28" s="609"/>
      <c r="ODO28" s="609"/>
      <c r="ODP28" s="609"/>
      <c r="ODQ28" s="609"/>
      <c r="ODR28" s="609"/>
      <c r="ODS28" s="609"/>
      <c r="ODT28" s="609"/>
      <c r="ODU28" s="609"/>
      <c r="ODV28" s="609"/>
      <c r="ODW28" s="609"/>
      <c r="ODX28" s="609"/>
      <c r="ODY28" s="609"/>
      <c r="ODZ28" s="609"/>
      <c r="OEA28" s="609"/>
      <c r="OEB28" s="609"/>
      <c r="OEC28" s="609"/>
      <c r="OED28" s="609"/>
      <c r="OEE28" s="609"/>
      <c r="OEF28" s="609"/>
      <c r="OEG28" s="609"/>
      <c r="OEH28" s="609"/>
      <c r="OEI28" s="609"/>
      <c r="OEJ28" s="609"/>
      <c r="OEK28" s="609"/>
      <c r="OEL28" s="609"/>
      <c r="OEM28" s="609"/>
      <c r="OEN28" s="609"/>
      <c r="OEO28" s="609"/>
      <c r="OEP28" s="609"/>
      <c r="OEQ28" s="609"/>
      <c r="OER28" s="609"/>
      <c r="OES28" s="609"/>
      <c r="OET28" s="609"/>
      <c r="OEU28" s="609"/>
      <c r="OEV28" s="609"/>
      <c r="OEW28" s="609"/>
      <c r="OEX28" s="609"/>
      <c r="OEY28" s="609"/>
      <c r="OEZ28" s="609"/>
      <c r="OFA28" s="609"/>
      <c r="OFB28" s="609"/>
      <c r="OFC28" s="609"/>
      <c r="OFD28" s="609"/>
      <c r="OFE28" s="609"/>
      <c r="OFF28" s="609"/>
      <c r="OFG28" s="609"/>
      <c r="OFH28" s="609"/>
      <c r="OFI28" s="609"/>
      <c r="OFJ28" s="609"/>
      <c r="OFK28" s="609"/>
      <c r="OFL28" s="609"/>
      <c r="OFM28" s="609"/>
      <c r="OFN28" s="609"/>
      <c r="OFO28" s="609"/>
      <c r="OFP28" s="609"/>
      <c r="OFQ28" s="609"/>
      <c r="OFR28" s="609"/>
      <c r="OFS28" s="609"/>
      <c r="OFT28" s="609"/>
      <c r="OFU28" s="609"/>
      <c r="OFV28" s="609"/>
      <c r="OFW28" s="609"/>
      <c r="OFX28" s="609"/>
      <c r="OFY28" s="609"/>
      <c r="OFZ28" s="609"/>
      <c r="OGA28" s="609"/>
      <c r="OGB28" s="609"/>
      <c r="OGC28" s="609"/>
      <c r="OGD28" s="609"/>
      <c r="OGE28" s="609"/>
      <c r="OGF28" s="609"/>
      <c r="OGG28" s="609"/>
      <c r="OGH28" s="609"/>
      <c r="OGI28" s="609"/>
      <c r="OGJ28" s="609"/>
      <c r="OGK28" s="609"/>
      <c r="OGL28" s="609"/>
      <c r="OGM28" s="609"/>
      <c r="OGN28" s="609"/>
      <c r="OGO28" s="609"/>
      <c r="OGP28" s="609"/>
      <c r="OGQ28" s="609"/>
      <c r="OGR28" s="609"/>
      <c r="OGS28" s="609"/>
      <c r="OGT28" s="609"/>
      <c r="OGU28" s="609"/>
      <c r="OGV28" s="609"/>
      <c r="OGW28" s="609"/>
      <c r="OGX28" s="609"/>
      <c r="OGY28" s="609"/>
      <c r="OGZ28" s="609"/>
      <c r="OHA28" s="609"/>
      <c r="OHB28" s="609"/>
      <c r="OHC28" s="609"/>
      <c r="OHD28" s="609"/>
      <c r="OHE28" s="609"/>
      <c r="OHF28" s="609"/>
      <c r="OHG28" s="609"/>
      <c r="OHH28" s="609"/>
      <c r="OHI28" s="609"/>
      <c r="OHJ28" s="609"/>
      <c r="OHK28" s="609"/>
      <c r="OHL28" s="609"/>
      <c r="OHM28" s="609"/>
      <c r="OHN28" s="609"/>
      <c r="OHO28" s="609"/>
      <c r="OHP28" s="609"/>
      <c r="OHQ28" s="609"/>
      <c r="OHR28" s="609"/>
      <c r="OHS28" s="609"/>
      <c r="OHT28" s="609"/>
      <c r="OHU28" s="609"/>
      <c r="OHV28" s="609"/>
      <c r="OHW28" s="609"/>
      <c r="OHX28" s="609"/>
      <c r="OHY28" s="609"/>
      <c r="OHZ28" s="609"/>
      <c r="OIA28" s="609"/>
      <c r="OIB28" s="609"/>
      <c r="OIC28" s="609"/>
      <c r="OID28" s="609"/>
      <c r="OIE28" s="609"/>
      <c r="OIF28" s="609"/>
      <c r="OIG28" s="609"/>
      <c r="OIH28" s="609"/>
      <c r="OII28" s="609"/>
      <c r="OIJ28" s="609"/>
      <c r="OIK28" s="609"/>
      <c r="OIL28" s="609"/>
      <c r="OIM28" s="609"/>
      <c r="OIN28" s="609"/>
      <c r="OIO28" s="609"/>
      <c r="OIP28" s="609"/>
      <c r="OIQ28" s="609"/>
      <c r="OIR28" s="609"/>
      <c r="OIS28" s="609"/>
      <c r="OIT28" s="609"/>
      <c r="OIU28" s="609"/>
      <c r="OIV28" s="609"/>
      <c r="OIW28" s="609"/>
      <c r="OIX28" s="609"/>
      <c r="OIY28" s="609"/>
      <c r="OIZ28" s="609"/>
      <c r="OJA28" s="609"/>
      <c r="OJB28" s="609"/>
      <c r="OJC28" s="609"/>
      <c r="OJD28" s="609"/>
      <c r="OJE28" s="609"/>
      <c r="OJF28" s="609"/>
      <c r="OJG28" s="609"/>
      <c r="OJH28" s="609"/>
      <c r="OJI28" s="609"/>
      <c r="OJJ28" s="609"/>
      <c r="OJK28" s="609"/>
      <c r="OJL28" s="609"/>
      <c r="OJM28" s="609"/>
      <c r="OJN28" s="609"/>
      <c r="OJO28" s="609"/>
      <c r="OJP28" s="609"/>
      <c r="OJQ28" s="609"/>
      <c r="OJR28" s="609"/>
      <c r="OJS28" s="609"/>
      <c r="OJT28" s="609"/>
      <c r="OJU28" s="609"/>
      <c r="OJV28" s="609"/>
      <c r="OJW28" s="609"/>
      <c r="OJX28" s="609"/>
      <c r="OJY28" s="609"/>
      <c r="OJZ28" s="609"/>
      <c r="OKA28" s="609"/>
      <c r="OKB28" s="609"/>
      <c r="OKC28" s="609"/>
      <c r="OKD28" s="609"/>
      <c r="OKE28" s="609"/>
      <c r="OKF28" s="609"/>
      <c r="OKG28" s="609"/>
      <c r="OKH28" s="609"/>
      <c r="OKI28" s="609"/>
      <c r="OKJ28" s="609"/>
      <c r="OKK28" s="609"/>
      <c r="OKL28" s="609"/>
      <c r="OKM28" s="609"/>
      <c r="OKN28" s="609"/>
      <c r="OKO28" s="609"/>
      <c r="OKP28" s="609"/>
      <c r="OKQ28" s="609"/>
      <c r="OKR28" s="609"/>
      <c r="OKS28" s="609"/>
      <c r="OKT28" s="609"/>
      <c r="OKU28" s="609"/>
      <c r="OKV28" s="609"/>
      <c r="OKW28" s="609"/>
      <c r="OKX28" s="609"/>
      <c r="OKY28" s="609"/>
      <c r="OKZ28" s="609"/>
      <c r="OLA28" s="609"/>
      <c r="OLB28" s="609"/>
      <c r="OLC28" s="609"/>
      <c r="OLD28" s="609"/>
      <c r="OLE28" s="609"/>
      <c r="OLF28" s="609"/>
      <c r="OLG28" s="609"/>
      <c r="OLH28" s="609"/>
      <c r="OLI28" s="609"/>
      <c r="OLJ28" s="609"/>
      <c r="OLK28" s="609"/>
      <c r="OLL28" s="609"/>
      <c r="OLM28" s="609"/>
      <c r="OLN28" s="609"/>
      <c r="OLO28" s="609"/>
      <c r="OLP28" s="609"/>
      <c r="OLQ28" s="609"/>
      <c r="OLR28" s="609"/>
      <c r="OLS28" s="609"/>
      <c r="OLT28" s="609"/>
      <c r="OLU28" s="609"/>
      <c r="OLV28" s="609"/>
      <c r="OLW28" s="609"/>
      <c r="OLX28" s="609"/>
      <c r="OLY28" s="609"/>
      <c r="OLZ28" s="609"/>
      <c r="OMA28" s="609"/>
      <c r="OMB28" s="609"/>
      <c r="OMC28" s="609"/>
      <c r="OMD28" s="609"/>
      <c r="OME28" s="609"/>
      <c r="OMF28" s="609"/>
      <c r="OMG28" s="609"/>
      <c r="OMH28" s="609"/>
      <c r="OMI28" s="609"/>
      <c r="OMJ28" s="609"/>
      <c r="OMK28" s="609"/>
      <c r="OML28" s="609"/>
      <c r="OMM28" s="609"/>
      <c r="OMN28" s="609"/>
      <c r="OMO28" s="609"/>
      <c r="OMP28" s="609"/>
      <c r="OMQ28" s="609"/>
      <c r="OMR28" s="609"/>
      <c r="OMS28" s="609"/>
      <c r="OMT28" s="609"/>
      <c r="OMU28" s="609"/>
      <c r="OMV28" s="609"/>
      <c r="OMW28" s="609"/>
      <c r="OMX28" s="609"/>
      <c r="OMY28" s="609"/>
      <c r="OMZ28" s="609"/>
      <c r="ONA28" s="609"/>
      <c r="ONB28" s="609"/>
      <c r="ONC28" s="609"/>
      <c r="OND28" s="609"/>
      <c r="ONE28" s="609"/>
      <c r="ONF28" s="609"/>
      <c r="ONG28" s="609"/>
      <c r="ONH28" s="609"/>
      <c r="ONI28" s="609"/>
      <c r="ONJ28" s="609"/>
      <c r="ONK28" s="609"/>
      <c r="ONL28" s="609"/>
      <c r="ONM28" s="609"/>
      <c r="ONN28" s="609"/>
      <c r="ONO28" s="609"/>
      <c r="ONP28" s="609"/>
      <c r="ONQ28" s="609"/>
      <c r="ONR28" s="609"/>
      <c r="ONS28" s="609"/>
      <c r="ONT28" s="609"/>
      <c r="ONU28" s="609"/>
      <c r="ONV28" s="609"/>
      <c r="ONW28" s="609"/>
      <c r="ONX28" s="609"/>
      <c r="ONY28" s="609"/>
      <c r="ONZ28" s="609"/>
      <c r="OOA28" s="609"/>
      <c r="OOB28" s="609"/>
      <c r="OOC28" s="609"/>
      <c r="OOD28" s="609"/>
      <c r="OOE28" s="609"/>
      <c r="OOF28" s="609"/>
      <c r="OOG28" s="609"/>
      <c r="OOH28" s="609"/>
      <c r="OOI28" s="609"/>
      <c r="OOJ28" s="609"/>
      <c r="OOK28" s="609"/>
      <c r="OOL28" s="609"/>
      <c r="OOM28" s="609"/>
      <c r="OON28" s="609"/>
      <c r="OOO28" s="609"/>
      <c r="OOP28" s="609"/>
      <c r="OOQ28" s="609"/>
      <c r="OOR28" s="609"/>
      <c r="OOS28" s="609"/>
      <c r="OOT28" s="609"/>
      <c r="OOU28" s="609"/>
      <c r="OOV28" s="609"/>
      <c r="OOW28" s="609"/>
      <c r="OOX28" s="609"/>
      <c r="OOY28" s="609"/>
      <c r="OOZ28" s="609"/>
      <c r="OPA28" s="609"/>
      <c r="OPB28" s="609"/>
      <c r="OPC28" s="609"/>
      <c r="OPD28" s="609"/>
      <c r="OPE28" s="609"/>
      <c r="OPF28" s="609"/>
      <c r="OPG28" s="609"/>
      <c r="OPH28" s="609"/>
      <c r="OPI28" s="609"/>
      <c r="OPJ28" s="609"/>
      <c r="OPK28" s="609"/>
      <c r="OPL28" s="609"/>
      <c r="OPM28" s="609"/>
      <c r="OPN28" s="609"/>
      <c r="OPO28" s="609"/>
      <c r="OPP28" s="609"/>
      <c r="OPQ28" s="609"/>
      <c r="OPR28" s="609"/>
      <c r="OPS28" s="609"/>
      <c r="OPT28" s="609"/>
      <c r="OPU28" s="609"/>
      <c r="OPV28" s="609"/>
      <c r="OPW28" s="609"/>
      <c r="OPX28" s="609"/>
      <c r="OPY28" s="609"/>
      <c r="OPZ28" s="609"/>
      <c r="OQA28" s="609"/>
      <c r="OQB28" s="609"/>
      <c r="OQC28" s="609"/>
      <c r="OQD28" s="609"/>
      <c r="OQE28" s="609"/>
      <c r="OQF28" s="609"/>
      <c r="OQG28" s="609"/>
      <c r="OQH28" s="609"/>
      <c r="OQI28" s="609"/>
      <c r="OQJ28" s="609"/>
      <c r="OQK28" s="609"/>
      <c r="OQL28" s="609"/>
      <c r="OQM28" s="609"/>
      <c r="OQN28" s="609"/>
      <c r="OQO28" s="609"/>
      <c r="OQP28" s="609"/>
      <c r="OQQ28" s="609"/>
      <c r="OQR28" s="609"/>
      <c r="OQS28" s="609"/>
      <c r="OQT28" s="609"/>
      <c r="OQU28" s="609"/>
      <c r="OQV28" s="609"/>
      <c r="OQW28" s="609"/>
      <c r="OQX28" s="609"/>
      <c r="OQY28" s="609"/>
      <c r="OQZ28" s="609"/>
      <c r="ORA28" s="609"/>
      <c r="ORB28" s="609"/>
      <c r="ORC28" s="609"/>
      <c r="ORD28" s="609"/>
      <c r="ORE28" s="609"/>
      <c r="ORF28" s="609"/>
      <c r="ORG28" s="609"/>
      <c r="ORH28" s="609"/>
      <c r="ORI28" s="609"/>
      <c r="ORJ28" s="609"/>
      <c r="ORK28" s="609"/>
      <c r="ORL28" s="609"/>
      <c r="ORM28" s="609"/>
      <c r="ORN28" s="609"/>
      <c r="ORO28" s="609"/>
      <c r="ORP28" s="609"/>
      <c r="ORQ28" s="609"/>
      <c r="ORR28" s="609"/>
      <c r="ORS28" s="609"/>
      <c r="ORT28" s="609"/>
      <c r="ORU28" s="609"/>
      <c r="ORV28" s="609"/>
      <c r="ORW28" s="609"/>
      <c r="ORX28" s="609"/>
      <c r="ORY28" s="609"/>
      <c r="ORZ28" s="609"/>
      <c r="OSA28" s="609"/>
      <c r="OSB28" s="609"/>
      <c r="OSC28" s="609"/>
      <c r="OSD28" s="609"/>
      <c r="OSE28" s="609"/>
      <c r="OSF28" s="609"/>
      <c r="OSG28" s="609"/>
      <c r="OSH28" s="609"/>
      <c r="OSI28" s="609"/>
      <c r="OSJ28" s="609"/>
      <c r="OSK28" s="609"/>
      <c r="OSL28" s="609"/>
      <c r="OSM28" s="609"/>
      <c r="OSN28" s="609"/>
      <c r="OSO28" s="609"/>
      <c r="OSP28" s="609"/>
      <c r="OSQ28" s="609"/>
      <c r="OSR28" s="609"/>
      <c r="OSS28" s="609"/>
      <c r="OST28" s="609"/>
      <c r="OSU28" s="609"/>
      <c r="OSV28" s="609"/>
      <c r="OSW28" s="609"/>
      <c r="OSX28" s="609"/>
      <c r="OSY28" s="609"/>
      <c r="OSZ28" s="609"/>
      <c r="OTA28" s="609"/>
      <c r="OTB28" s="609"/>
      <c r="OTC28" s="609"/>
      <c r="OTD28" s="609"/>
      <c r="OTE28" s="609"/>
      <c r="OTF28" s="609"/>
      <c r="OTG28" s="609"/>
      <c r="OTH28" s="609"/>
      <c r="OTI28" s="609"/>
      <c r="OTJ28" s="609"/>
      <c r="OTK28" s="609"/>
      <c r="OTL28" s="609"/>
      <c r="OTM28" s="609"/>
      <c r="OTN28" s="609"/>
      <c r="OTO28" s="609"/>
      <c r="OTP28" s="609"/>
      <c r="OTQ28" s="609"/>
      <c r="OTR28" s="609"/>
      <c r="OTS28" s="609"/>
      <c r="OTT28" s="609"/>
      <c r="OTU28" s="609"/>
      <c r="OTV28" s="609"/>
      <c r="OTW28" s="609"/>
      <c r="OTX28" s="609"/>
      <c r="OTY28" s="609"/>
      <c r="OTZ28" s="609"/>
      <c r="OUA28" s="609"/>
      <c r="OUB28" s="609"/>
      <c r="OUC28" s="609"/>
      <c r="OUD28" s="609"/>
      <c r="OUE28" s="609"/>
      <c r="OUF28" s="609"/>
      <c r="OUG28" s="609"/>
      <c r="OUH28" s="609"/>
      <c r="OUI28" s="609"/>
      <c r="OUJ28" s="609"/>
      <c r="OUK28" s="609"/>
      <c r="OUL28" s="609"/>
      <c r="OUM28" s="609"/>
      <c r="OUN28" s="609"/>
      <c r="OUO28" s="609"/>
      <c r="OUP28" s="609"/>
      <c r="OUQ28" s="609"/>
      <c r="OUR28" s="609"/>
      <c r="OUS28" s="609"/>
      <c r="OUT28" s="609"/>
      <c r="OUU28" s="609"/>
      <c r="OUV28" s="609"/>
      <c r="OUW28" s="609"/>
      <c r="OUX28" s="609"/>
      <c r="OUY28" s="609"/>
      <c r="OUZ28" s="609"/>
      <c r="OVA28" s="609"/>
      <c r="OVB28" s="609"/>
      <c r="OVC28" s="609"/>
      <c r="OVD28" s="609"/>
      <c r="OVE28" s="609"/>
      <c r="OVF28" s="609"/>
      <c r="OVG28" s="609"/>
      <c r="OVH28" s="609"/>
      <c r="OVI28" s="609"/>
      <c r="OVJ28" s="609"/>
      <c r="OVK28" s="609"/>
      <c r="OVL28" s="609"/>
      <c r="OVM28" s="609"/>
      <c r="OVN28" s="609"/>
      <c r="OVO28" s="609"/>
      <c r="OVP28" s="609"/>
      <c r="OVQ28" s="609"/>
      <c r="OVR28" s="609"/>
      <c r="OVS28" s="609"/>
      <c r="OVT28" s="609"/>
      <c r="OVU28" s="609"/>
      <c r="OVV28" s="609"/>
      <c r="OVW28" s="609"/>
      <c r="OVX28" s="609"/>
      <c r="OVY28" s="609"/>
      <c r="OVZ28" s="609"/>
      <c r="OWA28" s="609"/>
      <c r="OWB28" s="609"/>
      <c r="OWC28" s="609"/>
      <c r="OWD28" s="609"/>
      <c r="OWE28" s="609"/>
      <c r="OWF28" s="609"/>
      <c r="OWG28" s="609"/>
      <c r="OWH28" s="609"/>
      <c r="OWI28" s="609"/>
      <c r="OWJ28" s="609"/>
      <c r="OWK28" s="609"/>
      <c r="OWL28" s="609"/>
      <c r="OWM28" s="609"/>
      <c r="OWN28" s="609"/>
      <c r="OWO28" s="609"/>
      <c r="OWP28" s="609"/>
      <c r="OWQ28" s="609"/>
      <c r="OWR28" s="609"/>
      <c r="OWS28" s="609"/>
      <c r="OWT28" s="609"/>
      <c r="OWU28" s="609"/>
      <c r="OWV28" s="609"/>
      <c r="OWW28" s="609"/>
      <c r="OWX28" s="609"/>
      <c r="OWY28" s="609"/>
      <c r="OWZ28" s="609"/>
      <c r="OXA28" s="609"/>
      <c r="OXB28" s="609"/>
      <c r="OXC28" s="609"/>
      <c r="OXD28" s="609"/>
      <c r="OXE28" s="609"/>
      <c r="OXF28" s="609"/>
      <c r="OXG28" s="609"/>
      <c r="OXH28" s="609"/>
      <c r="OXI28" s="609"/>
      <c r="OXJ28" s="609"/>
      <c r="OXK28" s="609"/>
      <c r="OXL28" s="609"/>
      <c r="OXM28" s="609"/>
      <c r="OXN28" s="609"/>
      <c r="OXO28" s="609"/>
      <c r="OXP28" s="609"/>
      <c r="OXQ28" s="609"/>
      <c r="OXR28" s="609"/>
      <c r="OXS28" s="609"/>
      <c r="OXT28" s="609"/>
      <c r="OXU28" s="609"/>
      <c r="OXV28" s="609"/>
      <c r="OXW28" s="609"/>
      <c r="OXX28" s="609"/>
      <c r="OXY28" s="609"/>
      <c r="OXZ28" s="609"/>
      <c r="OYA28" s="609"/>
      <c r="OYB28" s="609"/>
      <c r="OYC28" s="609"/>
      <c r="OYD28" s="609"/>
      <c r="OYE28" s="609"/>
      <c r="OYF28" s="609"/>
      <c r="OYG28" s="609"/>
      <c r="OYH28" s="609"/>
      <c r="OYI28" s="609"/>
      <c r="OYJ28" s="609"/>
      <c r="OYK28" s="609"/>
      <c r="OYL28" s="609"/>
      <c r="OYM28" s="609"/>
      <c r="OYN28" s="609"/>
      <c r="OYO28" s="609"/>
      <c r="OYP28" s="609"/>
      <c r="OYQ28" s="609"/>
      <c r="OYR28" s="609"/>
      <c r="OYS28" s="609"/>
      <c r="OYT28" s="609"/>
      <c r="OYU28" s="609"/>
      <c r="OYV28" s="609"/>
      <c r="OYW28" s="609"/>
      <c r="OYX28" s="609"/>
      <c r="OYY28" s="609"/>
      <c r="OYZ28" s="609"/>
      <c r="OZA28" s="609"/>
      <c r="OZB28" s="609"/>
      <c r="OZC28" s="609"/>
      <c r="OZD28" s="609"/>
      <c r="OZE28" s="609"/>
      <c r="OZF28" s="609"/>
      <c r="OZG28" s="609"/>
      <c r="OZH28" s="609"/>
      <c r="OZI28" s="609"/>
      <c r="OZJ28" s="609"/>
      <c r="OZK28" s="609"/>
      <c r="OZL28" s="609"/>
      <c r="OZM28" s="609"/>
      <c r="OZN28" s="609"/>
      <c r="OZO28" s="609"/>
      <c r="OZP28" s="609"/>
      <c r="OZQ28" s="609"/>
      <c r="OZR28" s="609"/>
      <c r="OZS28" s="609"/>
      <c r="OZT28" s="609"/>
      <c r="OZU28" s="609"/>
      <c r="OZV28" s="609"/>
      <c r="OZW28" s="609"/>
      <c r="OZX28" s="609"/>
      <c r="OZY28" s="609"/>
      <c r="OZZ28" s="609"/>
      <c r="PAA28" s="609"/>
      <c r="PAB28" s="609"/>
      <c r="PAC28" s="609"/>
      <c r="PAD28" s="609"/>
      <c r="PAE28" s="609"/>
      <c r="PAF28" s="609"/>
      <c r="PAG28" s="609"/>
      <c r="PAH28" s="609"/>
      <c r="PAI28" s="609"/>
      <c r="PAJ28" s="609"/>
      <c r="PAK28" s="609"/>
      <c r="PAL28" s="609"/>
      <c r="PAM28" s="609"/>
      <c r="PAN28" s="609"/>
      <c r="PAO28" s="609"/>
      <c r="PAP28" s="609"/>
      <c r="PAQ28" s="609"/>
      <c r="PAR28" s="609"/>
      <c r="PAS28" s="609"/>
      <c r="PAT28" s="609"/>
      <c r="PAU28" s="609"/>
      <c r="PAV28" s="609"/>
      <c r="PAW28" s="609"/>
      <c r="PAX28" s="609"/>
      <c r="PAY28" s="609"/>
      <c r="PAZ28" s="609"/>
      <c r="PBA28" s="609"/>
      <c r="PBB28" s="609"/>
      <c r="PBC28" s="609"/>
      <c r="PBD28" s="609"/>
      <c r="PBE28" s="609"/>
      <c r="PBF28" s="609"/>
      <c r="PBG28" s="609"/>
      <c r="PBH28" s="609"/>
      <c r="PBI28" s="609"/>
      <c r="PBJ28" s="609"/>
      <c r="PBK28" s="609"/>
      <c r="PBL28" s="609"/>
      <c r="PBM28" s="609"/>
      <c r="PBN28" s="609"/>
      <c r="PBO28" s="609"/>
      <c r="PBP28" s="609"/>
      <c r="PBQ28" s="609"/>
      <c r="PBR28" s="609"/>
      <c r="PBS28" s="609"/>
      <c r="PBT28" s="609"/>
      <c r="PBU28" s="609"/>
      <c r="PBV28" s="609"/>
      <c r="PBW28" s="609"/>
      <c r="PBX28" s="609"/>
      <c r="PBY28" s="609"/>
      <c r="PBZ28" s="609"/>
      <c r="PCA28" s="609"/>
      <c r="PCB28" s="609"/>
      <c r="PCC28" s="609"/>
      <c r="PCD28" s="609"/>
      <c r="PCE28" s="609"/>
      <c r="PCF28" s="609"/>
      <c r="PCG28" s="609"/>
      <c r="PCH28" s="609"/>
      <c r="PCI28" s="609"/>
      <c r="PCJ28" s="609"/>
      <c r="PCK28" s="609"/>
      <c r="PCL28" s="609"/>
      <c r="PCM28" s="609"/>
      <c r="PCN28" s="609"/>
      <c r="PCO28" s="609"/>
      <c r="PCP28" s="609"/>
      <c r="PCQ28" s="609"/>
      <c r="PCR28" s="609"/>
      <c r="PCS28" s="609"/>
      <c r="PCT28" s="609"/>
      <c r="PCU28" s="609"/>
      <c r="PCV28" s="609"/>
      <c r="PCW28" s="609"/>
      <c r="PCX28" s="609"/>
      <c r="PCY28" s="609"/>
      <c r="PCZ28" s="609"/>
      <c r="PDA28" s="609"/>
      <c r="PDB28" s="609"/>
      <c r="PDC28" s="609"/>
      <c r="PDD28" s="609"/>
      <c r="PDE28" s="609"/>
      <c r="PDF28" s="609"/>
      <c r="PDG28" s="609"/>
      <c r="PDH28" s="609"/>
      <c r="PDI28" s="609"/>
      <c r="PDJ28" s="609"/>
      <c r="PDK28" s="609"/>
      <c r="PDL28" s="609"/>
      <c r="PDM28" s="609"/>
      <c r="PDN28" s="609"/>
      <c r="PDO28" s="609"/>
      <c r="PDP28" s="609"/>
      <c r="PDQ28" s="609"/>
      <c r="PDR28" s="609"/>
      <c r="PDS28" s="609"/>
      <c r="PDT28" s="609"/>
      <c r="PDU28" s="609"/>
      <c r="PDV28" s="609"/>
      <c r="PDW28" s="609"/>
      <c r="PDX28" s="609"/>
      <c r="PDY28" s="609"/>
      <c r="PDZ28" s="609"/>
      <c r="PEA28" s="609"/>
      <c r="PEB28" s="609"/>
      <c r="PEC28" s="609"/>
      <c r="PED28" s="609"/>
      <c r="PEE28" s="609"/>
      <c r="PEF28" s="609"/>
      <c r="PEG28" s="609"/>
      <c r="PEH28" s="609"/>
      <c r="PEI28" s="609"/>
      <c r="PEJ28" s="609"/>
      <c r="PEK28" s="609"/>
      <c r="PEL28" s="609"/>
      <c r="PEM28" s="609"/>
      <c r="PEN28" s="609"/>
      <c r="PEO28" s="609"/>
      <c r="PEP28" s="609"/>
      <c r="PEQ28" s="609"/>
      <c r="PER28" s="609"/>
      <c r="PES28" s="609"/>
      <c r="PET28" s="609"/>
      <c r="PEU28" s="609"/>
      <c r="PEV28" s="609"/>
      <c r="PEW28" s="609"/>
      <c r="PEX28" s="609"/>
      <c r="PEY28" s="609"/>
      <c r="PEZ28" s="609"/>
      <c r="PFA28" s="609"/>
      <c r="PFB28" s="609"/>
      <c r="PFC28" s="609"/>
      <c r="PFD28" s="609"/>
      <c r="PFE28" s="609"/>
      <c r="PFF28" s="609"/>
      <c r="PFG28" s="609"/>
      <c r="PFH28" s="609"/>
      <c r="PFI28" s="609"/>
      <c r="PFJ28" s="609"/>
      <c r="PFK28" s="609"/>
      <c r="PFL28" s="609"/>
      <c r="PFM28" s="609"/>
      <c r="PFN28" s="609"/>
      <c r="PFO28" s="609"/>
      <c r="PFP28" s="609"/>
      <c r="PFQ28" s="609"/>
      <c r="PFR28" s="609"/>
      <c r="PFS28" s="609"/>
      <c r="PFT28" s="609"/>
      <c r="PFU28" s="609"/>
      <c r="PFV28" s="609"/>
      <c r="PFW28" s="609"/>
      <c r="PFX28" s="609"/>
      <c r="PFY28" s="609"/>
      <c r="PFZ28" s="609"/>
      <c r="PGA28" s="609"/>
      <c r="PGB28" s="609"/>
      <c r="PGC28" s="609"/>
      <c r="PGD28" s="609"/>
      <c r="PGE28" s="609"/>
      <c r="PGF28" s="609"/>
      <c r="PGG28" s="609"/>
      <c r="PGH28" s="609"/>
      <c r="PGI28" s="609"/>
      <c r="PGJ28" s="609"/>
      <c r="PGK28" s="609"/>
      <c r="PGL28" s="609"/>
      <c r="PGM28" s="609"/>
      <c r="PGN28" s="609"/>
      <c r="PGO28" s="609"/>
      <c r="PGP28" s="609"/>
      <c r="PGQ28" s="609"/>
      <c r="PGR28" s="609"/>
      <c r="PGS28" s="609"/>
      <c r="PGT28" s="609"/>
      <c r="PGU28" s="609"/>
      <c r="PGV28" s="609"/>
      <c r="PGW28" s="609"/>
      <c r="PGX28" s="609"/>
      <c r="PGY28" s="609"/>
      <c r="PGZ28" s="609"/>
      <c r="PHA28" s="609"/>
      <c r="PHB28" s="609"/>
      <c r="PHC28" s="609"/>
      <c r="PHD28" s="609"/>
      <c r="PHE28" s="609"/>
      <c r="PHF28" s="609"/>
      <c r="PHG28" s="609"/>
      <c r="PHH28" s="609"/>
      <c r="PHI28" s="609"/>
      <c r="PHJ28" s="609"/>
      <c r="PHK28" s="609"/>
      <c r="PHL28" s="609"/>
      <c r="PHM28" s="609"/>
      <c r="PHN28" s="609"/>
      <c r="PHO28" s="609"/>
      <c r="PHP28" s="609"/>
      <c r="PHQ28" s="609"/>
      <c r="PHR28" s="609"/>
      <c r="PHS28" s="609"/>
      <c r="PHT28" s="609"/>
      <c r="PHU28" s="609"/>
      <c r="PHV28" s="609"/>
      <c r="PHW28" s="609"/>
      <c r="PHX28" s="609"/>
      <c r="PHY28" s="609"/>
      <c r="PHZ28" s="609"/>
      <c r="PIA28" s="609"/>
      <c r="PIB28" s="609"/>
      <c r="PIC28" s="609"/>
      <c r="PID28" s="609"/>
      <c r="PIE28" s="609"/>
      <c r="PIF28" s="609"/>
      <c r="PIG28" s="609"/>
      <c r="PIH28" s="609"/>
      <c r="PII28" s="609"/>
      <c r="PIJ28" s="609"/>
      <c r="PIK28" s="609"/>
      <c r="PIL28" s="609"/>
      <c r="PIM28" s="609"/>
      <c r="PIN28" s="609"/>
      <c r="PIO28" s="609"/>
      <c r="PIP28" s="609"/>
      <c r="PIQ28" s="609"/>
      <c r="PIR28" s="609"/>
      <c r="PIS28" s="609"/>
      <c r="PIT28" s="609"/>
      <c r="PIU28" s="609"/>
      <c r="PIV28" s="609"/>
      <c r="PIW28" s="609"/>
      <c r="PIX28" s="609"/>
      <c r="PIY28" s="609"/>
      <c r="PIZ28" s="609"/>
      <c r="PJA28" s="609"/>
      <c r="PJB28" s="609"/>
      <c r="PJC28" s="609"/>
      <c r="PJD28" s="609"/>
      <c r="PJE28" s="609"/>
      <c r="PJF28" s="609"/>
      <c r="PJG28" s="609"/>
      <c r="PJH28" s="609"/>
      <c r="PJI28" s="609"/>
      <c r="PJJ28" s="609"/>
      <c r="PJK28" s="609"/>
      <c r="PJL28" s="609"/>
      <c r="PJM28" s="609"/>
      <c r="PJN28" s="609"/>
      <c r="PJO28" s="609"/>
      <c r="PJP28" s="609"/>
      <c r="PJQ28" s="609"/>
      <c r="PJR28" s="609"/>
      <c r="PJS28" s="609"/>
      <c r="PJT28" s="609"/>
      <c r="PJU28" s="609"/>
      <c r="PJV28" s="609"/>
      <c r="PJW28" s="609"/>
      <c r="PJX28" s="609"/>
      <c r="PJY28" s="609"/>
      <c r="PJZ28" s="609"/>
      <c r="PKA28" s="609"/>
      <c r="PKB28" s="609"/>
      <c r="PKC28" s="609"/>
      <c r="PKD28" s="609"/>
      <c r="PKE28" s="609"/>
      <c r="PKF28" s="609"/>
      <c r="PKG28" s="609"/>
      <c r="PKH28" s="609"/>
      <c r="PKI28" s="609"/>
      <c r="PKJ28" s="609"/>
      <c r="PKK28" s="609"/>
      <c r="PKL28" s="609"/>
      <c r="PKM28" s="609"/>
      <c r="PKN28" s="609"/>
      <c r="PKO28" s="609"/>
      <c r="PKP28" s="609"/>
      <c r="PKQ28" s="609"/>
      <c r="PKR28" s="609"/>
      <c r="PKS28" s="609"/>
      <c r="PKT28" s="609"/>
      <c r="PKU28" s="609"/>
      <c r="PKV28" s="609"/>
      <c r="PKW28" s="609"/>
      <c r="PKX28" s="609"/>
      <c r="PKY28" s="609"/>
      <c r="PKZ28" s="609"/>
      <c r="PLA28" s="609"/>
      <c r="PLB28" s="609"/>
      <c r="PLC28" s="609"/>
      <c r="PLD28" s="609"/>
      <c r="PLE28" s="609"/>
      <c r="PLF28" s="609"/>
      <c r="PLG28" s="609"/>
      <c r="PLH28" s="609"/>
      <c r="PLI28" s="609"/>
      <c r="PLJ28" s="609"/>
      <c r="PLK28" s="609"/>
      <c r="PLL28" s="609"/>
      <c r="PLM28" s="609"/>
      <c r="PLN28" s="609"/>
      <c r="PLO28" s="609"/>
      <c r="PLP28" s="609"/>
      <c r="PLQ28" s="609"/>
      <c r="PLR28" s="609"/>
      <c r="PLS28" s="609"/>
      <c r="PLT28" s="609"/>
      <c r="PLU28" s="609"/>
      <c r="PLV28" s="609"/>
      <c r="PLW28" s="609"/>
      <c r="PLX28" s="609"/>
      <c r="PLY28" s="609"/>
      <c r="PLZ28" s="609"/>
      <c r="PMA28" s="609"/>
      <c r="PMB28" s="609"/>
      <c r="PMC28" s="609"/>
      <c r="PMD28" s="609"/>
      <c r="PME28" s="609"/>
      <c r="PMF28" s="609"/>
      <c r="PMG28" s="609"/>
      <c r="PMH28" s="609"/>
      <c r="PMI28" s="609"/>
      <c r="PMJ28" s="609"/>
      <c r="PMK28" s="609"/>
      <c r="PML28" s="609"/>
      <c r="PMM28" s="609"/>
      <c r="PMN28" s="609"/>
      <c r="PMO28" s="609"/>
      <c r="PMP28" s="609"/>
      <c r="PMQ28" s="609"/>
      <c r="PMR28" s="609"/>
      <c r="PMS28" s="609"/>
      <c r="PMT28" s="609"/>
      <c r="PMU28" s="609"/>
      <c r="PMV28" s="609"/>
      <c r="PMW28" s="609"/>
      <c r="PMX28" s="609"/>
      <c r="PMY28" s="609"/>
      <c r="PMZ28" s="609"/>
      <c r="PNA28" s="609"/>
      <c r="PNB28" s="609"/>
      <c r="PNC28" s="609"/>
      <c r="PND28" s="609"/>
      <c r="PNE28" s="609"/>
      <c r="PNF28" s="609"/>
      <c r="PNG28" s="609"/>
      <c r="PNH28" s="609"/>
      <c r="PNI28" s="609"/>
      <c r="PNJ28" s="609"/>
      <c r="PNK28" s="609"/>
      <c r="PNL28" s="609"/>
      <c r="PNM28" s="609"/>
      <c r="PNN28" s="609"/>
      <c r="PNO28" s="609"/>
      <c r="PNP28" s="609"/>
      <c r="PNQ28" s="609"/>
      <c r="PNR28" s="609"/>
      <c r="PNS28" s="609"/>
      <c r="PNT28" s="609"/>
      <c r="PNU28" s="609"/>
      <c r="PNV28" s="609"/>
      <c r="PNW28" s="609"/>
      <c r="PNX28" s="609"/>
      <c r="PNY28" s="609"/>
      <c r="PNZ28" s="609"/>
      <c r="POA28" s="609"/>
      <c r="POB28" s="609"/>
      <c r="POC28" s="609"/>
      <c r="POD28" s="609"/>
      <c r="POE28" s="609"/>
      <c r="POF28" s="609"/>
      <c r="POG28" s="609"/>
      <c r="POH28" s="609"/>
      <c r="POI28" s="609"/>
      <c r="POJ28" s="609"/>
      <c r="POK28" s="609"/>
      <c r="POL28" s="609"/>
      <c r="POM28" s="609"/>
      <c r="PON28" s="609"/>
      <c r="POO28" s="609"/>
      <c r="POP28" s="609"/>
      <c r="POQ28" s="609"/>
      <c r="POR28" s="609"/>
      <c r="POS28" s="609"/>
      <c r="POT28" s="609"/>
      <c r="POU28" s="609"/>
      <c r="POV28" s="609"/>
      <c r="POW28" s="609"/>
      <c r="POX28" s="609"/>
      <c r="POY28" s="609"/>
      <c r="POZ28" s="609"/>
      <c r="PPA28" s="609"/>
      <c r="PPB28" s="609"/>
      <c r="PPC28" s="609"/>
      <c r="PPD28" s="609"/>
      <c r="PPE28" s="609"/>
      <c r="PPF28" s="609"/>
      <c r="PPG28" s="609"/>
      <c r="PPH28" s="609"/>
      <c r="PPI28" s="609"/>
      <c r="PPJ28" s="609"/>
      <c r="PPK28" s="609"/>
      <c r="PPL28" s="609"/>
      <c r="PPM28" s="609"/>
      <c r="PPN28" s="609"/>
      <c r="PPO28" s="609"/>
      <c r="PPP28" s="609"/>
      <c r="PPQ28" s="609"/>
      <c r="PPR28" s="609"/>
      <c r="PPS28" s="609"/>
      <c r="PPT28" s="609"/>
      <c r="PPU28" s="609"/>
      <c r="PPV28" s="609"/>
      <c r="PPW28" s="609"/>
      <c r="PPX28" s="609"/>
      <c r="PPY28" s="609"/>
      <c r="PPZ28" s="609"/>
      <c r="PQA28" s="609"/>
      <c r="PQB28" s="609"/>
      <c r="PQC28" s="609"/>
      <c r="PQD28" s="609"/>
      <c r="PQE28" s="609"/>
      <c r="PQF28" s="609"/>
      <c r="PQG28" s="609"/>
      <c r="PQH28" s="609"/>
      <c r="PQI28" s="609"/>
      <c r="PQJ28" s="609"/>
      <c r="PQK28" s="609"/>
      <c r="PQL28" s="609"/>
      <c r="PQM28" s="609"/>
      <c r="PQN28" s="609"/>
      <c r="PQO28" s="609"/>
      <c r="PQP28" s="609"/>
      <c r="PQQ28" s="609"/>
      <c r="PQR28" s="609"/>
      <c r="PQS28" s="609"/>
      <c r="PQT28" s="609"/>
      <c r="PQU28" s="609"/>
      <c r="PQV28" s="609"/>
      <c r="PQW28" s="609"/>
      <c r="PQX28" s="609"/>
      <c r="PQY28" s="609"/>
      <c r="PQZ28" s="609"/>
      <c r="PRA28" s="609"/>
      <c r="PRB28" s="609"/>
      <c r="PRC28" s="609"/>
      <c r="PRD28" s="609"/>
      <c r="PRE28" s="609"/>
      <c r="PRF28" s="609"/>
      <c r="PRG28" s="609"/>
      <c r="PRH28" s="609"/>
      <c r="PRI28" s="609"/>
      <c r="PRJ28" s="609"/>
      <c r="PRK28" s="609"/>
      <c r="PRL28" s="609"/>
      <c r="PRM28" s="609"/>
      <c r="PRN28" s="609"/>
      <c r="PRO28" s="609"/>
      <c r="PRP28" s="609"/>
      <c r="PRQ28" s="609"/>
      <c r="PRR28" s="609"/>
      <c r="PRS28" s="609"/>
      <c r="PRT28" s="609"/>
      <c r="PRU28" s="609"/>
      <c r="PRV28" s="609"/>
      <c r="PRW28" s="609"/>
      <c r="PRX28" s="609"/>
      <c r="PRY28" s="609"/>
      <c r="PRZ28" s="609"/>
      <c r="PSA28" s="609"/>
      <c r="PSB28" s="609"/>
      <c r="PSC28" s="609"/>
      <c r="PSD28" s="609"/>
      <c r="PSE28" s="609"/>
      <c r="PSF28" s="609"/>
      <c r="PSG28" s="609"/>
      <c r="PSH28" s="609"/>
      <c r="PSI28" s="609"/>
      <c r="PSJ28" s="609"/>
      <c r="PSK28" s="609"/>
      <c r="PSL28" s="609"/>
      <c r="PSM28" s="609"/>
      <c r="PSN28" s="609"/>
      <c r="PSO28" s="609"/>
      <c r="PSP28" s="609"/>
      <c r="PSQ28" s="609"/>
      <c r="PSR28" s="609"/>
      <c r="PSS28" s="609"/>
      <c r="PST28" s="609"/>
      <c r="PSU28" s="609"/>
      <c r="PSV28" s="609"/>
      <c r="PSW28" s="609"/>
      <c r="PSX28" s="609"/>
      <c r="PSY28" s="609"/>
      <c r="PSZ28" s="609"/>
      <c r="PTA28" s="609"/>
      <c r="PTB28" s="609"/>
      <c r="PTC28" s="609"/>
      <c r="PTD28" s="609"/>
      <c r="PTE28" s="609"/>
      <c r="PTF28" s="609"/>
      <c r="PTG28" s="609"/>
      <c r="PTH28" s="609"/>
      <c r="PTI28" s="609"/>
      <c r="PTJ28" s="609"/>
      <c r="PTK28" s="609"/>
      <c r="PTL28" s="609"/>
      <c r="PTM28" s="609"/>
      <c r="PTN28" s="609"/>
      <c r="PTO28" s="609"/>
      <c r="PTP28" s="609"/>
      <c r="PTQ28" s="609"/>
      <c r="PTR28" s="609"/>
      <c r="PTS28" s="609"/>
      <c r="PTT28" s="609"/>
      <c r="PTU28" s="609"/>
      <c r="PTV28" s="609"/>
      <c r="PTW28" s="609"/>
      <c r="PTX28" s="609"/>
      <c r="PTY28" s="609"/>
      <c r="PTZ28" s="609"/>
      <c r="PUA28" s="609"/>
      <c r="PUB28" s="609"/>
      <c r="PUC28" s="609"/>
      <c r="PUD28" s="609"/>
      <c r="PUE28" s="609"/>
      <c r="PUF28" s="609"/>
      <c r="PUG28" s="609"/>
      <c r="PUH28" s="609"/>
      <c r="PUI28" s="609"/>
      <c r="PUJ28" s="609"/>
      <c r="PUK28" s="609"/>
      <c r="PUL28" s="609"/>
      <c r="PUM28" s="609"/>
      <c r="PUN28" s="609"/>
      <c r="PUO28" s="609"/>
      <c r="PUP28" s="609"/>
      <c r="PUQ28" s="609"/>
      <c r="PUR28" s="609"/>
      <c r="PUS28" s="609"/>
      <c r="PUT28" s="609"/>
      <c r="PUU28" s="609"/>
      <c r="PUV28" s="609"/>
      <c r="PUW28" s="609"/>
      <c r="PUX28" s="609"/>
      <c r="PUY28" s="609"/>
      <c r="PUZ28" s="609"/>
      <c r="PVA28" s="609"/>
      <c r="PVB28" s="609"/>
      <c r="PVC28" s="609"/>
      <c r="PVD28" s="609"/>
      <c r="PVE28" s="609"/>
      <c r="PVF28" s="609"/>
      <c r="PVG28" s="609"/>
      <c r="PVH28" s="609"/>
      <c r="PVI28" s="609"/>
      <c r="PVJ28" s="609"/>
      <c r="PVK28" s="609"/>
      <c r="PVL28" s="609"/>
      <c r="PVM28" s="609"/>
      <c r="PVN28" s="609"/>
      <c r="PVO28" s="609"/>
      <c r="PVP28" s="609"/>
      <c r="PVQ28" s="609"/>
      <c r="PVR28" s="609"/>
      <c r="PVS28" s="609"/>
      <c r="PVT28" s="609"/>
      <c r="PVU28" s="609"/>
      <c r="PVV28" s="609"/>
      <c r="PVW28" s="609"/>
      <c r="PVX28" s="609"/>
      <c r="PVY28" s="609"/>
      <c r="PVZ28" s="609"/>
      <c r="PWA28" s="609"/>
      <c r="PWB28" s="609"/>
      <c r="PWC28" s="609"/>
      <c r="PWD28" s="609"/>
      <c r="PWE28" s="609"/>
      <c r="PWF28" s="609"/>
      <c r="PWG28" s="609"/>
      <c r="PWH28" s="609"/>
      <c r="PWI28" s="609"/>
      <c r="PWJ28" s="609"/>
      <c r="PWK28" s="609"/>
      <c r="PWL28" s="609"/>
      <c r="PWM28" s="609"/>
      <c r="PWN28" s="609"/>
      <c r="PWO28" s="609"/>
      <c r="PWP28" s="609"/>
      <c r="PWQ28" s="609"/>
      <c r="PWR28" s="609"/>
      <c r="PWS28" s="609"/>
      <c r="PWT28" s="609"/>
      <c r="PWU28" s="609"/>
      <c r="PWV28" s="609"/>
      <c r="PWW28" s="609"/>
      <c r="PWX28" s="609"/>
      <c r="PWY28" s="609"/>
      <c r="PWZ28" s="609"/>
      <c r="PXA28" s="609"/>
      <c r="PXB28" s="609"/>
      <c r="PXC28" s="609"/>
      <c r="PXD28" s="609"/>
      <c r="PXE28" s="609"/>
      <c r="PXF28" s="609"/>
      <c r="PXG28" s="609"/>
      <c r="PXH28" s="609"/>
      <c r="PXI28" s="609"/>
      <c r="PXJ28" s="609"/>
      <c r="PXK28" s="609"/>
      <c r="PXL28" s="609"/>
      <c r="PXM28" s="609"/>
      <c r="PXN28" s="609"/>
      <c r="PXO28" s="609"/>
      <c r="PXP28" s="609"/>
      <c r="PXQ28" s="609"/>
      <c r="PXR28" s="609"/>
      <c r="PXS28" s="609"/>
      <c r="PXT28" s="609"/>
      <c r="PXU28" s="609"/>
      <c r="PXV28" s="609"/>
      <c r="PXW28" s="609"/>
      <c r="PXX28" s="609"/>
      <c r="PXY28" s="609"/>
      <c r="PXZ28" s="609"/>
      <c r="PYA28" s="609"/>
      <c r="PYB28" s="609"/>
      <c r="PYC28" s="609"/>
      <c r="PYD28" s="609"/>
      <c r="PYE28" s="609"/>
      <c r="PYF28" s="609"/>
      <c r="PYG28" s="609"/>
      <c r="PYH28" s="609"/>
      <c r="PYI28" s="609"/>
      <c r="PYJ28" s="609"/>
      <c r="PYK28" s="609"/>
      <c r="PYL28" s="609"/>
      <c r="PYM28" s="609"/>
      <c r="PYN28" s="609"/>
      <c r="PYO28" s="609"/>
      <c r="PYP28" s="609"/>
      <c r="PYQ28" s="609"/>
      <c r="PYR28" s="609"/>
      <c r="PYS28" s="609"/>
      <c r="PYT28" s="609"/>
      <c r="PYU28" s="609"/>
      <c r="PYV28" s="609"/>
      <c r="PYW28" s="609"/>
      <c r="PYX28" s="609"/>
      <c r="PYY28" s="609"/>
      <c r="PYZ28" s="609"/>
      <c r="PZA28" s="609"/>
      <c r="PZB28" s="609"/>
      <c r="PZC28" s="609"/>
      <c r="PZD28" s="609"/>
      <c r="PZE28" s="609"/>
      <c r="PZF28" s="609"/>
      <c r="PZG28" s="609"/>
      <c r="PZH28" s="609"/>
      <c r="PZI28" s="609"/>
      <c r="PZJ28" s="609"/>
      <c r="PZK28" s="609"/>
      <c r="PZL28" s="609"/>
      <c r="PZM28" s="609"/>
      <c r="PZN28" s="609"/>
      <c r="PZO28" s="609"/>
      <c r="PZP28" s="609"/>
      <c r="PZQ28" s="609"/>
      <c r="PZR28" s="609"/>
      <c r="PZS28" s="609"/>
      <c r="PZT28" s="609"/>
      <c r="PZU28" s="609"/>
      <c r="PZV28" s="609"/>
      <c r="PZW28" s="609"/>
      <c r="PZX28" s="609"/>
      <c r="PZY28" s="609"/>
      <c r="PZZ28" s="609"/>
      <c r="QAA28" s="609"/>
      <c r="QAB28" s="609"/>
      <c r="QAC28" s="609"/>
      <c r="QAD28" s="609"/>
      <c r="QAE28" s="609"/>
      <c r="QAF28" s="609"/>
      <c r="QAG28" s="609"/>
      <c r="QAH28" s="609"/>
      <c r="QAI28" s="609"/>
      <c r="QAJ28" s="609"/>
      <c r="QAK28" s="609"/>
      <c r="QAL28" s="609"/>
      <c r="QAM28" s="609"/>
      <c r="QAN28" s="609"/>
      <c r="QAO28" s="609"/>
      <c r="QAP28" s="609"/>
      <c r="QAQ28" s="609"/>
      <c r="QAR28" s="609"/>
      <c r="QAS28" s="609"/>
      <c r="QAT28" s="609"/>
      <c r="QAU28" s="609"/>
      <c r="QAV28" s="609"/>
      <c r="QAW28" s="609"/>
      <c r="QAX28" s="609"/>
      <c r="QAY28" s="609"/>
      <c r="QAZ28" s="609"/>
      <c r="QBA28" s="609"/>
      <c r="QBB28" s="609"/>
      <c r="QBC28" s="609"/>
      <c r="QBD28" s="609"/>
      <c r="QBE28" s="609"/>
      <c r="QBF28" s="609"/>
      <c r="QBG28" s="609"/>
      <c r="QBH28" s="609"/>
      <c r="QBI28" s="609"/>
      <c r="QBJ28" s="609"/>
      <c r="QBK28" s="609"/>
      <c r="QBL28" s="609"/>
      <c r="QBM28" s="609"/>
      <c r="QBN28" s="609"/>
      <c r="QBO28" s="609"/>
      <c r="QBP28" s="609"/>
      <c r="QBQ28" s="609"/>
      <c r="QBR28" s="609"/>
      <c r="QBS28" s="609"/>
      <c r="QBT28" s="609"/>
      <c r="QBU28" s="609"/>
      <c r="QBV28" s="609"/>
      <c r="QBW28" s="609"/>
      <c r="QBX28" s="609"/>
      <c r="QBY28" s="609"/>
      <c r="QBZ28" s="609"/>
      <c r="QCA28" s="609"/>
      <c r="QCB28" s="609"/>
      <c r="QCC28" s="609"/>
      <c r="QCD28" s="609"/>
      <c r="QCE28" s="609"/>
      <c r="QCF28" s="609"/>
      <c r="QCG28" s="609"/>
      <c r="QCH28" s="609"/>
      <c r="QCI28" s="609"/>
      <c r="QCJ28" s="609"/>
      <c r="QCK28" s="609"/>
      <c r="QCL28" s="609"/>
      <c r="QCM28" s="609"/>
      <c r="QCN28" s="609"/>
      <c r="QCO28" s="609"/>
      <c r="QCP28" s="609"/>
      <c r="QCQ28" s="609"/>
      <c r="QCR28" s="609"/>
      <c r="QCS28" s="609"/>
      <c r="QCT28" s="609"/>
      <c r="QCU28" s="609"/>
      <c r="QCV28" s="609"/>
      <c r="QCW28" s="609"/>
      <c r="QCX28" s="609"/>
      <c r="QCY28" s="609"/>
      <c r="QCZ28" s="609"/>
      <c r="QDA28" s="609"/>
      <c r="QDB28" s="609"/>
      <c r="QDC28" s="609"/>
      <c r="QDD28" s="609"/>
      <c r="QDE28" s="609"/>
      <c r="QDF28" s="609"/>
      <c r="QDG28" s="609"/>
      <c r="QDH28" s="609"/>
      <c r="QDI28" s="609"/>
      <c r="QDJ28" s="609"/>
      <c r="QDK28" s="609"/>
      <c r="QDL28" s="609"/>
      <c r="QDM28" s="609"/>
      <c r="QDN28" s="609"/>
      <c r="QDO28" s="609"/>
      <c r="QDP28" s="609"/>
      <c r="QDQ28" s="609"/>
      <c r="QDR28" s="609"/>
      <c r="QDS28" s="609"/>
      <c r="QDT28" s="609"/>
      <c r="QDU28" s="609"/>
      <c r="QDV28" s="609"/>
      <c r="QDW28" s="609"/>
      <c r="QDX28" s="609"/>
      <c r="QDY28" s="609"/>
      <c r="QDZ28" s="609"/>
      <c r="QEA28" s="609"/>
      <c r="QEB28" s="609"/>
      <c r="QEC28" s="609"/>
      <c r="QED28" s="609"/>
      <c r="QEE28" s="609"/>
      <c r="QEF28" s="609"/>
      <c r="QEG28" s="609"/>
      <c r="QEH28" s="609"/>
      <c r="QEI28" s="609"/>
      <c r="QEJ28" s="609"/>
      <c r="QEK28" s="609"/>
      <c r="QEL28" s="609"/>
      <c r="QEM28" s="609"/>
      <c r="QEN28" s="609"/>
      <c r="QEO28" s="609"/>
      <c r="QEP28" s="609"/>
      <c r="QEQ28" s="609"/>
      <c r="QER28" s="609"/>
      <c r="QES28" s="609"/>
      <c r="QET28" s="609"/>
      <c r="QEU28" s="609"/>
      <c r="QEV28" s="609"/>
      <c r="QEW28" s="609"/>
      <c r="QEX28" s="609"/>
      <c r="QEY28" s="609"/>
      <c r="QEZ28" s="609"/>
      <c r="QFA28" s="609"/>
      <c r="QFB28" s="609"/>
      <c r="QFC28" s="609"/>
      <c r="QFD28" s="609"/>
      <c r="QFE28" s="609"/>
      <c r="QFF28" s="609"/>
      <c r="QFG28" s="609"/>
      <c r="QFH28" s="609"/>
      <c r="QFI28" s="609"/>
      <c r="QFJ28" s="609"/>
      <c r="QFK28" s="609"/>
      <c r="QFL28" s="609"/>
      <c r="QFM28" s="609"/>
      <c r="QFN28" s="609"/>
      <c r="QFO28" s="609"/>
      <c r="QFP28" s="609"/>
      <c r="QFQ28" s="609"/>
      <c r="QFR28" s="609"/>
      <c r="QFS28" s="609"/>
      <c r="QFT28" s="609"/>
      <c r="QFU28" s="609"/>
      <c r="QFV28" s="609"/>
      <c r="QFW28" s="609"/>
      <c r="QFX28" s="609"/>
      <c r="QFY28" s="609"/>
      <c r="QFZ28" s="609"/>
      <c r="QGA28" s="609"/>
      <c r="QGB28" s="609"/>
      <c r="QGC28" s="609"/>
      <c r="QGD28" s="609"/>
      <c r="QGE28" s="609"/>
      <c r="QGF28" s="609"/>
      <c r="QGG28" s="609"/>
      <c r="QGH28" s="609"/>
      <c r="QGI28" s="609"/>
      <c r="QGJ28" s="609"/>
      <c r="QGK28" s="609"/>
      <c r="QGL28" s="609"/>
      <c r="QGM28" s="609"/>
      <c r="QGN28" s="609"/>
      <c r="QGO28" s="609"/>
      <c r="QGP28" s="609"/>
      <c r="QGQ28" s="609"/>
      <c r="QGR28" s="609"/>
      <c r="QGS28" s="609"/>
      <c r="QGT28" s="609"/>
      <c r="QGU28" s="609"/>
      <c r="QGV28" s="609"/>
      <c r="QGW28" s="609"/>
      <c r="QGX28" s="609"/>
      <c r="QGY28" s="609"/>
      <c r="QGZ28" s="609"/>
      <c r="QHA28" s="609"/>
      <c r="QHB28" s="609"/>
      <c r="QHC28" s="609"/>
      <c r="QHD28" s="609"/>
      <c r="QHE28" s="609"/>
      <c r="QHF28" s="609"/>
      <c r="QHG28" s="609"/>
      <c r="QHH28" s="609"/>
      <c r="QHI28" s="609"/>
      <c r="QHJ28" s="609"/>
      <c r="QHK28" s="609"/>
      <c r="QHL28" s="609"/>
      <c r="QHM28" s="609"/>
      <c r="QHN28" s="609"/>
      <c r="QHO28" s="609"/>
      <c r="QHP28" s="609"/>
      <c r="QHQ28" s="609"/>
      <c r="QHR28" s="609"/>
      <c r="QHS28" s="609"/>
      <c r="QHT28" s="609"/>
      <c r="QHU28" s="609"/>
      <c r="QHV28" s="609"/>
      <c r="QHW28" s="609"/>
      <c r="QHX28" s="609"/>
      <c r="QHY28" s="609"/>
      <c r="QHZ28" s="609"/>
      <c r="QIA28" s="609"/>
      <c r="QIB28" s="609"/>
      <c r="QIC28" s="609"/>
      <c r="QID28" s="609"/>
      <c r="QIE28" s="609"/>
      <c r="QIF28" s="609"/>
      <c r="QIG28" s="609"/>
      <c r="QIH28" s="609"/>
      <c r="QII28" s="609"/>
      <c r="QIJ28" s="609"/>
      <c r="QIK28" s="609"/>
      <c r="QIL28" s="609"/>
      <c r="QIM28" s="609"/>
      <c r="QIN28" s="609"/>
      <c r="QIO28" s="609"/>
      <c r="QIP28" s="609"/>
      <c r="QIQ28" s="609"/>
      <c r="QIR28" s="609"/>
      <c r="QIS28" s="609"/>
      <c r="QIT28" s="609"/>
      <c r="QIU28" s="609"/>
      <c r="QIV28" s="609"/>
      <c r="QIW28" s="609"/>
      <c r="QIX28" s="609"/>
      <c r="QIY28" s="609"/>
      <c r="QIZ28" s="609"/>
      <c r="QJA28" s="609"/>
      <c r="QJB28" s="609"/>
      <c r="QJC28" s="609"/>
      <c r="QJD28" s="609"/>
      <c r="QJE28" s="609"/>
      <c r="QJF28" s="609"/>
      <c r="QJG28" s="609"/>
      <c r="QJH28" s="609"/>
      <c r="QJI28" s="609"/>
      <c r="QJJ28" s="609"/>
      <c r="QJK28" s="609"/>
      <c r="QJL28" s="609"/>
      <c r="QJM28" s="609"/>
      <c r="QJN28" s="609"/>
      <c r="QJO28" s="609"/>
      <c r="QJP28" s="609"/>
      <c r="QJQ28" s="609"/>
      <c r="QJR28" s="609"/>
      <c r="QJS28" s="609"/>
      <c r="QJT28" s="609"/>
      <c r="QJU28" s="609"/>
      <c r="QJV28" s="609"/>
      <c r="QJW28" s="609"/>
      <c r="QJX28" s="609"/>
      <c r="QJY28" s="609"/>
      <c r="QJZ28" s="609"/>
      <c r="QKA28" s="609"/>
      <c r="QKB28" s="609"/>
      <c r="QKC28" s="609"/>
      <c r="QKD28" s="609"/>
      <c r="QKE28" s="609"/>
      <c r="QKF28" s="609"/>
      <c r="QKG28" s="609"/>
      <c r="QKH28" s="609"/>
      <c r="QKI28" s="609"/>
      <c r="QKJ28" s="609"/>
      <c r="QKK28" s="609"/>
      <c r="QKL28" s="609"/>
      <c r="QKM28" s="609"/>
      <c r="QKN28" s="609"/>
      <c r="QKO28" s="609"/>
      <c r="QKP28" s="609"/>
      <c r="QKQ28" s="609"/>
      <c r="QKR28" s="609"/>
      <c r="QKS28" s="609"/>
      <c r="QKT28" s="609"/>
      <c r="QKU28" s="609"/>
      <c r="QKV28" s="609"/>
      <c r="QKW28" s="609"/>
      <c r="QKX28" s="609"/>
      <c r="QKY28" s="609"/>
      <c r="QKZ28" s="609"/>
      <c r="QLA28" s="609"/>
      <c r="QLB28" s="609"/>
      <c r="QLC28" s="609"/>
      <c r="QLD28" s="609"/>
      <c r="QLE28" s="609"/>
      <c r="QLF28" s="609"/>
      <c r="QLG28" s="609"/>
      <c r="QLH28" s="609"/>
      <c r="QLI28" s="609"/>
      <c r="QLJ28" s="609"/>
      <c r="QLK28" s="609"/>
      <c r="QLL28" s="609"/>
      <c r="QLM28" s="609"/>
      <c r="QLN28" s="609"/>
      <c r="QLO28" s="609"/>
      <c r="QLP28" s="609"/>
      <c r="QLQ28" s="609"/>
      <c r="QLR28" s="609"/>
      <c r="QLS28" s="609"/>
      <c r="QLT28" s="609"/>
      <c r="QLU28" s="609"/>
      <c r="QLV28" s="609"/>
      <c r="QLW28" s="609"/>
      <c r="QLX28" s="609"/>
      <c r="QLY28" s="609"/>
      <c r="QLZ28" s="609"/>
      <c r="QMA28" s="609"/>
      <c r="QMB28" s="609"/>
      <c r="QMC28" s="609"/>
      <c r="QMD28" s="609"/>
      <c r="QME28" s="609"/>
      <c r="QMF28" s="609"/>
      <c r="QMG28" s="609"/>
      <c r="QMH28" s="609"/>
      <c r="QMI28" s="609"/>
      <c r="QMJ28" s="609"/>
      <c r="QMK28" s="609"/>
      <c r="QML28" s="609"/>
      <c r="QMM28" s="609"/>
      <c r="QMN28" s="609"/>
      <c r="QMO28" s="609"/>
      <c r="QMP28" s="609"/>
      <c r="QMQ28" s="609"/>
      <c r="QMR28" s="609"/>
      <c r="QMS28" s="609"/>
      <c r="QMT28" s="609"/>
      <c r="QMU28" s="609"/>
      <c r="QMV28" s="609"/>
      <c r="QMW28" s="609"/>
      <c r="QMX28" s="609"/>
      <c r="QMY28" s="609"/>
      <c r="QMZ28" s="609"/>
      <c r="QNA28" s="609"/>
      <c r="QNB28" s="609"/>
      <c r="QNC28" s="609"/>
      <c r="QND28" s="609"/>
      <c r="QNE28" s="609"/>
      <c r="QNF28" s="609"/>
      <c r="QNG28" s="609"/>
      <c r="QNH28" s="609"/>
      <c r="QNI28" s="609"/>
      <c r="QNJ28" s="609"/>
      <c r="QNK28" s="609"/>
      <c r="QNL28" s="609"/>
      <c r="QNM28" s="609"/>
      <c r="QNN28" s="609"/>
      <c r="QNO28" s="609"/>
      <c r="QNP28" s="609"/>
      <c r="QNQ28" s="609"/>
      <c r="QNR28" s="609"/>
      <c r="QNS28" s="609"/>
      <c r="QNT28" s="609"/>
      <c r="QNU28" s="609"/>
      <c r="QNV28" s="609"/>
      <c r="QNW28" s="609"/>
      <c r="QNX28" s="609"/>
      <c r="QNY28" s="609"/>
      <c r="QNZ28" s="609"/>
      <c r="QOA28" s="609"/>
      <c r="QOB28" s="609"/>
      <c r="QOC28" s="609"/>
      <c r="QOD28" s="609"/>
      <c r="QOE28" s="609"/>
      <c r="QOF28" s="609"/>
      <c r="QOG28" s="609"/>
      <c r="QOH28" s="609"/>
      <c r="QOI28" s="609"/>
      <c r="QOJ28" s="609"/>
      <c r="QOK28" s="609"/>
      <c r="QOL28" s="609"/>
      <c r="QOM28" s="609"/>
      <c r="QON28" s="609"/>
      <c r="QOO28" s="609"/>
      <c r="QOP28" s="609"/>
      <c r="QOQ28" s="609"/>
      <c r="QOR28" s="609"/>
      <c r="QOS28" s="609"/>
      <c r="QOT28" s="609"/>
      <c r="QOU28" s="609"/>
      <c r="QOV28" s="609"/>
      <c r="QOW28" s="609"/>
      <c r="QOX28" s="609"/>
      <c r="QOY28" s="609"/>
      <c r="QOZ28" s="609"/>
      <c r="QPA28" s="609"/>
      <c r="QPB28" s="609"/>
      <c r="QPC28" s="609"/>
      <c r="QPD28" s="609"/>
      <c r="QPE28" s="609"/>
      <c r="QPF28" s="609"/>
      <c r="QPG28" s="609"/>
      <c r="QPH28" s="609"/>
      <c r="QPI28" s="609"/>
      <c r="QPJ28" s="609"/>
      <c r="QPK28" s="609"/>
      <c r="QPL28" s="609"/>
      <c r="QPM28" s="609"/>
      <c r="QPN28" s="609"/>
      <c r="QPO28" s="609"/>
      <c r="QPP28" s="609"/>
      <c r="QPQ28" s="609"/>
      <c r="QPR28" s="609"/>
      <c r="QPS28" s="609"/>
      <c r="QPT28" s="609"/>
      <c r="QPU28" s="609"/>
      <c r="QPV28" s="609"/>
      <c r="QPW28" s="609"/>
      <c r="QPX28" s="609"/>
      <c r="QPY28" s="609"/>
      <c r="QPZ28" s="609"/>
      <c r="QQA28" s="609"/>
      <c r="QQB28" s="609"/>
      <c r="QQC28" s="609"/>
      <c r="QQD28" s="609"/>
      <c r="QQE28" s="609"/>
      <c r="QQF28" s="609"/>
      <c r="QQG28" s="609"/>
      <c r="QQH28" s="609"/>
      <c r="QQI28" s="609"/>
      <c r="QQJ28" s="609"/>
      <c r="QQK28" s="609"/>
      <c r="QQL28" s="609"/>
      <c r="QQM28" s="609"/>
      <c r="QQN28" s="609"/>
      <c r="QQO28" s="609"/>
      <c r="QQP28" s="609"/>
      <c r="QQQ28" s="609"/>
      <c r="QQR28" s="609"/>
      <c r="QQS28" s="609"/>
      <c r="QQT28" s="609"/>
      <c r="QQU28" s="609"/>
      <c r="QQV28" s="609"/>
      <c r="QQW28" s="609"/>
      <c r="QQX28" s="609"/>
      <c r="QQY28" s="609"/>
      <c r="QQZ28" s="609"/>
      <c r="QRA28" s="609"/>
      <c r="QRB28" s="609"/>
      <c r="QRC28" s="609"/>
      <c r="QRD28" s="609"/>
      <c r="QRE28" s="609"/>
      <c r="QRF28" s="609"/>
      <c r="QRG28" s="609"/>
      <c r="QRH28" s="609"/>
      <c r="QRI28" s="609"/>
      <c r="QRJ28" s="609"/>
      <c r="QRK28" s="609"/>
      <c r="QRL28" s="609"/>
      <c r="QRM28" s="609"/>
      <c r="QRN28" s="609"/>
      <c r="QRO28" s="609"/>
      <c r="QRP28" s="609"/>
      <c r="QRQ28" s="609"/>
      <c r="QRR28" s="609"/>
      <c r="QRS28" s="609"/>
      <c r="QRT28" s="609"/>
      <c r="QRU28" s="609"/>
      <c r="QRV28" s="609"/>
      <c r="QRW28" s="609"/>
      <c r="QRX28" s="609"/>
      <c r="QRY28" s="609"/>
      <c r="QRZ28" s="609"/>
      <c r="QSA28" s="609"/>
      <c r="QSB28" s="609"/>
      <c r="QSC28" s="609"/>
      <c r="QSD28" s="609"/>
      <c r="QSE28" s="609"/>
      <c r="QSF28" s="609"/>
      <c r="QSG28" s="609"/>
      <c r="QSH28" s="609"/>
      <c r="QSI28" s="609"/>
      <c r="QSJ28" s="609"/>
      <c r="QSK28" s="609"/>
      <c r="QSL28" s="609"/>
      <c r="QSM28" s="609"/>
      <c r="QSN28" s="609"/>
      <c r="QSO28" s="609"/>
      <c r="QSP28" s="609"/>
      <c r="QSQ28" s="609"/>
      <c r="QSR28" s="609"/>
      <c r="QSS28" s="609"/>
      <c r="QST28" s="609"/>
      <c r="QSU28" s="609"/>
      <c r="QSV28" s="609"/>
      <c r="QSW28" s="609"/>
      <c r="QSX28" s="609"/>
      <c r="QSY28" s="609"/>
      <c r="QSZ28" s="609"/>
      <c r="QTA28" s="609"/>
      <c r="QTB28" s="609"/>
      <c r="QTC28" s="609"/>
      <c r="QTD28" s="609"/>
      <c r="QTE28" s="609"/>
      <c r="QTF28" s="609"/>
      <c r="QTG28" s="609"/>
      <c r="QTH28" s="609"/>
      <c r="QTI28" s="609"/>
      <c r="QTJ28" s="609"/>
      <c r="QTK28" s="609"/>
      <c r="QTL28" s="609"/>
      <c r="QTM28" s="609"/>
      <c r="QTN28" s="609"/>
      <c r="QTO28" s="609"/>
      <c r="QTP28" s="609"/>
      <c r="QTQ28" s="609"/>
      <c r="QTR28" s="609"/>
      <c r="QTS28" s="609"/>
      <c r="QTT28" s="609"/>
      <c r="QTU28" s="609"/>
      <c r="QTV28" s="609"/>
      <c r="QTW28" s="609"/>
      <c r="QTX28" s="609"/>
      <c r="QTY28" s="609"/>
      <c r="QTZ28" s="609"/>
      <c r="QUA28" s="609"/>
      <c r="QUB28" s="609"/>
      <c r="QUC28" s="609"/>
      <c r="QUD28" s="609"/>
      <c r="QUE28" s="609"/>
      <c r="QUF28" s="609"/>
      <c r="QUG28" s="609"/>
      <c r="QUH28" s="609"/>
      <c r="QUI28" s="609"/>
      <c r="QUJ28" s="609"/>
      <c r="QUK28" s="609"/>
      <c r="QUL28" s="609"/>
      <c r="QUM28" s="609"/>
      <c r="QUN28" s="609"/>
      <c r="QUO28" s="609"/>
      <c r="QUP28" s="609"/>
      <c r="QUQ28" s="609"/>
      <c r="QUR28" s="609"/>
      <c r="QUS28" s="609"/>
      <c r="QUT28" s="609"/>
      <c r="QUU28" s="609"/>
      <c r="QUV28" s="609"/>
      <c r="QUW28" s="609"/>
      <c r="QUX28" s="609"/>
      <c r="QUY28" s="609"/>
      <c r="QUZ28" s="609"/>
      <c r="QVA28" s="609"/>
      <c r="QVB28" s="609"/>
      <c r="QVC28" s="609"/>
      <c r="QVD28" s="609"/>
      <c r="QVE28" s="609"/>
      <c r="QVF28" s="609"/>
      <c r="QVG28" s="609"/>
      <c r="QVH28" s="609"/>
      <c r="QVI28" s="609"/>
      <c r="QVJ28" s="609"/>
      <c r="QVK28" s="609"/>
      <c r="QVL28" s="609"/>
      <c r="QVM28" s="609"/>
      <c r="QVN28" s="609"/>
      <c r="QVO28" s="609"/>
      <c r="QVP28" s="609"/>
      <c r="QVQ28" s="609"/>
      <c r="QVR28" s="609"/>
      <c r="QVS28" s="609"/>
      <c r="QVT28" s="609"/>
      <c r="QVU28" s="609"/>
      <c r="QVV28" s="609"/>
      <c r="QVW28" s="609"/>
      <c r="QVX28" s="609"/>
      <c r="QVY28" s="609"/>
      <c r="QVZ28" s="609"/>
      <c r="QWA28" s="609"/>
      <c r="QWB28" s="609"/>
      <c r="QWC28" s="609"/>
      <c r="QWD28" s="609"/>
      <c r="QWE28" s="609"/>
      <c r="QWF28" s="609"/>
      <c r="QWG28" s="609"/>
      <c r="QWH28" s="609"/>
      <c r="QWI28" s="609"/>
      <c r="QWJ28" s="609"/>
      <c r="QWK28" s="609"/>
      <c r="QWL28" s="609"/>
      <c r="QWM28" s="609"/>
      <c r="QWN28" s="609"/>
      <c r="QWO28" s="609"/>
      <c r="QWP28" s="609"/>
      <c r="QWQ28" s="609"/>
      <c r="QWR28" s="609"/>
      <c r="QWS28" s="609"/>
      <c r="QWT28" s="609"/>
      <c r="QWU28" s="609"/>
      <c r="QWV28" s="609"/>
      <c r="QWW28" s="609"/>
      <c r="QWX28" s="609"/>
      <c r="QWY28" s="609"/>
      <c r="QWZ28" s="609"/>
      <c r="QXA28" s="609"/>
      <c r="QXB28" s="609"/>
      <c r="QXC28" s="609"/>
      <c r="QXD28" s="609"/>
      <c r="QXE28" s="609"/>
      <c r="QXF28" s="609"/>
      <c r="QXG28" s="609"/>
      <c r="QXH28" s="609"/>
      <c r="QXI28" s="609"/>
      <c r="QXJ28" s="609"/>
      <c r="QXK28" s="609"/>
      <c r="QXL28" s="609"/>
      <c r="QXM28" s="609"/>
      <c r="QXN28" s="609"/>
      <c r="QXO28" s="609"/>
      <c r="QXP28" s="609"/>
      <c r="QXQ28" s="609"/>
      <c r="QXR28" s="609"/>
      <c r="QXS28" s="609"/>
      <c r="QXT28" s="609"/>
      <c r="QXU28" s="609"/>
      <c r="QXV28" s="609"/>
      <c r="QXW28" s="609"/>
      <c r="QXX28" s="609"/>
      <c r="QXY28" s="609"/>
      <c r="QXZ28" s="609"/>
      <c r="QYA28" s="609"/>
      <c r="QYB28" s="609"/>
      <c r="QYC28" s="609"/>
      <c r="QYD28" s="609"/>
      <c r="QYE28" s="609"/>
      <c r="QYF28" s="609"/>
      <c r="QYG28" s="609"/>
      <c r="QYH28" s="609"/>
      <c r="QYI28" s="609"/>
      <c r="QYJ28" s="609"/>
      <c r="QYK28" s="609"/>
      <c r="QYL28" s="609"/>
      <c r="QYM28" s="609"/>
      <c r="QYN28" s="609"/>
      <c r="QYO28" s="609"/>
      <c r="QYP28" s="609"/>
      <c r="QYQ28" s="609"/>
      <c r="QYR28" s="609"/>
      <c r="QYS28" s="609"/>
      <c r="QYT28" s="609"/>
      <c r="QYU28" s="609"/>
      <c r="QYV28" s="609"/>
      <c r="QYW28" s="609"/>
      <c r="QYX28" s="609"/>
      <c r="QYY28" s="609"/>
      <c r="QYZ28" s="609"/>
      <c r="QZA28" s="609"/>
      <c r="QZB28" s="609"/>
      <c r="QZC28" s="609"/>
      <c r="QZD28" s="609"/>
      <c r="QZE28" s="609"/>
      <c r="QZF28" s="609"/>
      <c r="QZG28" s="609"/>
      <c r="QZH28" s="609"/>
      <c r="QZI28" s="609"/>
      <c r="QZJ28" s="609"/>
      <c r="QZK28" s="609"/>
      <c r="QZL28" s="609"/>
      <c r="QZM28" s="609"/>
      <c r="QZN28" s="609"/>
      <c r="QZO28" s="609"/>
      <c r="QZP28" s="609"/>
      <c r="QZQ28" s="609"/>
      <c r="QZR28" s="609"/>
      <c r="QZS28" s="609"/>
      <c r="QZT28" s="609"/>
      <c r="QZU28" s="609"/>
      <c r="QZV28" s="609"/>
      <c r="QZW28" s="609"/>
      <c r="QZX28" s="609"/>
      <c r="QZY28" s="609"/>
      <c r="QZZ28" s="609"/>
      <c r="RAA28" s="609"/>
      <c r="RAB28" s="609"/>
      <c r="RAC28" s="609"/>
      <c r="RAD28" s="609"/>
      <c r="RAE28" s="609"/>
      <c r="RAF28" s="609"/>
      <c r="RAG28" s="609"/>
      <c r="RAH28" s="609"/>
      <c r="RAI28" s="609"/>
      <c r="RAJ28" s="609"/>
      <c r="RAK28" s="609"/>
      <c r="RAL28" s="609"/>
      <c r="RAM28" s="609"/>
      <c r="RAN28" s="609"/>
      <c r="RAO28" s="609"/>
      <c r="RAP28" s="609"/>
      <c r="RAQ28" s="609"/>
      <c r="RAR28" s="609"/>
      <c r="RAS28" s="609"/>
      <c r="RAT28" s="609"/>
      <c r="RAU28" s="609"/>
      <c r="RAV28" s="609"/>
      <c r="RAW28" s="609"/>
      <c r="RAX28" s="609"/>
      <c r="RAY28" s="609"/>
      <c r="RAZ28" s="609"/>
      <c r="RBA28" s="609"/>
      <c r="RBB28" s="609"/>
      <c r="RBC28" s="609"/>
      <c r="RBD28" s="609"/>
      <c r="RBE28" s="609"/>
      <c r="RBF28" s="609"/>
      <c r="RBG28" s="609"/>
      <c r="RBH28" s="609"/>
      <c r="RBI28" s="609"/>
      <c r="RBJ28" s="609"/>
      <c r="RBK28" s="609"/>
      <c r="RBL28" s="609"/>
      <c r="RBM28" s="609"/>
      <c r="RBN28" s="609"/>
      <c r="RBO28" s="609"/>
      <c r="RBP28" s="609"/>
      <c r="RBQ28" s="609"/>
      <c r="RBR28" s="609"/>
      <c r="RBS28" s="609"/>
      <c r="RBT28" s="609"/>
      <c r="RBU28" s="609"/>
      <c r="RBV28" s="609"/>
      <c r="RBW28" s="609"/>
      <c r="RBX28" s="609"/>
      <c r="RBY28" s="609"/>
      <c r="RBZ28" s="609"/>
      <c r="RCA28" s="609"/>
      <c r="RCB28" s="609"/>
      <c r="RCC28" s="609"/>
      <c r="RCD28" s="609"/>
      <c r="RCE28" s="609"/>
      <c r="RCF28" s="609"/>
      <c r="RCG28" s="609"/>
      <c r="RCH28" s="609"/>
      <c r="RCI28" s="609"/>
      <c r="RCJ28" s="609"/>
      <c r="RCK28" s="609"/>
      <c r="RCL28" s="609"/>
      <c r="RCM28" s="609"/>
      <c r="RCN28" s="609"/>
      <c r="RCO28" s="609"/>
      <c r="RCP28" s="609"/>
      <c r="RCQ28" s="609"/>
      <c r="RCR28" s="609"/>
      <c r="RCS28" s="609"/>
      <c r="RCT28" s="609"/>
      <c r="RCU28" s="609"/>
      <c r="RCV28" s="609"/>
      <c r="RCW28" s="609"/>
      <c r="RCX28" s="609"/>
      <c r="RCY28" s="609"/>
      <c r="RCZ28" s="609"/>
      <c r="RDA28" s="609"/>
      <c r="RDB28" s="609"/>
      <c r="RDC28" s="609"/>
      <c r="RDD28" s="609"/>
      <c r="RDE28" s="609"/>
      <c r="RDF28" s="609"/>
      <c r="RDG28" s="609"/>
      <c r="RDH28" s="609"/>
      <c r="RDI28" s="609"/>
      <c r="RDJ28" s="609"/>
      <c r="RDK28" s="609"/>
      <c r="RDL28" s="609"/>
      <c r="RDM28" s="609"/>
      <c r="RDN28" s="609"/>
      <c r="RDO28" s="609"/>
      <c r="RDP28" s="609"/>
      <c r="RDQ28" s="609"/>
      <c r="RDR28" s="609"/>
      <c r="RDS28" s="609"/>
      <c r="RDT28" s="609"/>
      <c r="RDU28" s="609"/>
      <c r="RDV28" s="609"/>
      <c r="RDW28" s="609"/>
      <c r="RDX28" s="609"/>
      <c r="RDY28" s="609"/>
      <c r="RDZ28" s="609"/>
      <c r="REA28" s="609"/>
      <c r="REB28" s="609"/>
      <c r="REC28" s="609"/>
      <c r="RED28" s="609"/>
      <c r="REE28" s="609"/>
      <c r="REF28" s="609"/>
      <c r="REG28" s="609"/>
      <c r="REH28" s="609"/>
      <c r="REI28" s="609"/>
      <c r="REJ28" s="609"/>
      <c r="REK28" s="609"/>
      <c r="REL28" s="609"/>
      <c r="REM28" s="609"/>
      <c r="REN28" s="609"/>
      <c r="REO28" s="609"/>
      <c r="REP28" s="609"/>
      <c r="REQ28" s="609"/>
      <c r="RER28" s="609"/>
      <c r="RES28" s="609"/>
      <c r="RET28" s="609"/>
      <c r="REU28" s="609"/>
      <c r="REV28" s="609"/>
      <c r="REW28" s="609"/>
      <c r="REX28" s="609"/>
      <c r="REY28" s="609"/>
      <c r="REZ28" s="609"/>
      <c r="RFA28" s="609"/>
      <c r="RFB28" s="609"/>
      <c r="RFC28" s="609"/>
      <c r="RFD28" s="609"/>
      <c r="RFE28" s="609"/>
      <c r="RFF28" s="609"/>
      <c r="RFG28" s="609"/>
      <c r="RFH28" s="609"/>
      <c r="RFI28" s="609"/>
      <c r="RFJ28" s="609"/>
      <c r="RFK28" s="609"/>
      <c r="RFL28" s="609"/>
      <c r="RFM28" s="609"/>
      <c r="RFN28" s="609"/>
      <c r="RFO28" s="609"/>
      <c r="RFP28" s="609"/>
      <c r="RFQ28" s="609"/>
      <c r="RFR28" s="609"/>
      <c r="RFS28" s="609"/>
      <c r="RFT28" s="609"/>
      <c r="RFU28" s="609"/>
      <c r="RFV28" s="609"/>
      <c r="RFW28" s="609"/>
      <c r="RFX28" s="609"/>
      <c r="RFY28" s="609"/>
      <c r="RFZ28" s="609"/>
      <c r="RGA28" s="609"/>
      <c r="RGB28" s="609"/>
      <c r="RGC28" s="609"/>
      <c r="RGD28" s="609"/>
      <c r="RGE28" s="609"/>
      <c r="RGF28" s="609"/>
      <c r="RGG28" s="609"/>
      <c r="RGH28" s="609"/>
      <c r="RGI28" s="609"/>
      <c r="RGJ28" s="609"/>
      <c r="RGK28" s="609"/>
      <c r="RGL28" s="609"/>
      <c r="RGM28" s="609"/>
      <c r="RGN28" s="609"/>
      <c r="RGO28" s="609"/>
      <c r="RGP28" s="609"/>
      <c r="RGQ28" s="609"/>
      <c r="RGR28" s="609"/>
      <c r="RGS28" s="609"/>
      <c r="RGT28" s="609"/>
      <c r="RGU28" s="609"/>
      <c r="RGV28" s="609"/>
      <c r="RGW28" s="609"/>
      <c r="RGX28" s="609"/>
      <c r="RGY28" s="609"/>
      <c r="RGZ28" s="609"/>
      <c r="RHA28" s="609"/>
      <c r="RHB28" s="609"/>
      <c r="RHC28" s="609"/>
      <c r="RHD28" s="609"/>
      <c r="RHE28" s="609"/>
      <c r="RHF28" s="609"/>
      <c r="RHG28" s="609"/>
      <c r="RHH28" s="609"/>
      <c r="RHI28" s="609"/>
      <c r="RHJ28" s="609"/>
      <c r="RHK28" s="609"/>
      <c r="RHL28" s="609"/>
      <c r="RHM28" s="609"/>
      <c r="RHN28" s="609"/>
      <c r="RHO28" s="609"/>
      <c r="RHP28" s="609"/>
      <c r="RHQ28" s="609"/>
      <c r="RHR28" s="609"/>
      <c r="RHS28" s="609"/>
      <c r="RHT28" s="609"/>
      <c r="RHU28" s="609"/>
      <c r="RHV28" s="609"/>
      <c r="RHW28" s="609"/>
      <c r="RHX28" s="609"/>
      <c r="RHY28" s="609"/>
      <c r="RHZ28" s="609"/>
      <c r="RIA28" s="609"/>
      <c r="RIB28" s="609"/>
      <c r="RIC28" s="609"/>
      <c r="RID28" s="609"/>
      <c r="RIE28" s="609"/>
      <c r="RIF28" s="609"/>
      <c r="RIG28" s="609"/>
      <c r="RIH28" s="609"/>
      <c r="RII28" s="609"/>
      <c r="RIJ28" s="609"/>
      <c r="RIK28" s="609"/>
      <c r="RIL28" s="609"/>
      <c r="RIM28" s="609"/>
      <c r="RIN28" s="609"/>
      <c r="RIO28" s="609"/>
      <c r="RIP28" s="609"/>
      <c r="RIQ28" s="609"/>
      <c r="RIR28" s="609"/>
      <c r="RIS28" s="609"/>
      <c r="RIT28" s="609"/>
      <c r="RIU28" s="609"/>
      <c r="RIV28" s="609"/>
      <c r="RIW28" s="609"/>
      <c r="RIX28" s="609"/>
      <c r="RIY28" s="609"/>
      <c r="RIZ28" s="609"/>
      <c r="RJA28" s="609"/>
      <c r="RJB28" s="609"/>
      <c r="RJC28" s="609"/>
      <c r="RJD28" s="609"/>
      <c r="RJE28" s="609"/>
      <c r="RJF28" s="609"/>
      <c r="RJG28" s="609"/>
      <c r="RJH28" s="609"/>
      <c r="RJI28" s="609"/>
      <c r="RJJ28" s="609"/>
      <c r="RJK28" s="609"/>
      <c r="RJL28" s="609"/>
      <c r="RJM28" s="609"/>
      <c r="RJN28" s="609"/>
      <c r="RJO28" s="609"/>
      <c r="RJP28" s="609"/>
      <c r="RJQ28" s="609"/>
      <c r="RJR28" s="609"/>
      <c r="RJS28" s="609"/>
      <c r="RJT28" s="609"/>
      <c r="RJU28" s="609"/>
      <c r="RJV28" s="609"/>
      <c r="RJW28" s="609"/>
      <c r="RJX28" s="609"/>
      <c r="RJY28" s="609"/>
      <c r="RJZ28" s="609"/>
      <c r="RKA28" s="609"/>
      <c r="RKB28" s="609"/>
      <c r="RKC28" s="609"/>
      <c r="RKD28" s="609"/>
      <c r="RKE28" s="609"/>
      <c r="RKF28" s="609"/>
      <c r="RKG28" s="609"/>
      <c r="RKH28" s="609"/>
      <c r="RKI28" s="609"/>
      <c r="RKJ28" s="609"/>
      <c r="RKK28" s="609"/>
      <c r="RKL28" s="609"/>
      <c r="RKM28" s="609"/>
      <c r="RKN28" s="609"/>
      <c r="RKO28" s="609"/>
      <c r="RKP28" s="609"/>
      <c r="RKQ28" s="609"/>
      <c r="RKR28" s="609"/>
      <c r="RKS28" s="609"/>
      <c r="RKT28" s="609"/>
      <c r="RKU28" s="609"/>
      <c r="RKV28" s="609"/>
      <c r="RKW28" s="609"/>
      <c r="RKX28" s="609"/>
      <c r="RKY28" s="609"/>
      <c r="RKZ28" s="609"/>
      <c r="RLA28" s="609"/>
      <c r="RLB28" s="609"/>
      <c r="RLC28" s="609"/>
      <c r="RLD28" s="609"/>
      <c r="RLE28" s="609"/>
      <c r="RLF28" s="609"/>
      <c r="RLG28" s="609"/>
      <c r="RLH28" s="609"/>
      <c r="RLI28" s="609"/>
      <c r="RLJ28" s="609"/>
      <c r="RLK28" s="609"/>
      <c r="RLL28" s="609"/>
      <c r="RLM28" s="609"/>
      <c r="RLN28" s="609"/>
      <c r="RLO28" s="609"/>
      <c r="RLP28" s="609"/>
      <c r="RLQ28" s="609"/>
      <c r="RLR28" s="609"/>
      <c r="RLS28" s="609"/>
      <c r="RLT28" s="609"/>
      <c r="RLU28" s="609"/>
      <c r="RLV28" s="609"/>
      <c r="RLW28" s="609"/>
      <c r="RLX28" s="609"/>
      <c r="RLY28" s="609"/>
      <c r="RLZ28" s="609"/>
      <c r="RMA28" s="609"/>
      <c r="RMB28" s="609"/>
      <c r="RMC28" s="609"/>
      <c r="RMD28" s="609"/>
      <c r="RME28" s="609"/>
      <c r="RMF28" s="609"/>
      <c r="RMG28" s="609"/>
      <c r="RMH28" s="609"/>
      <c r="RMI28" s="609"/>
      <c r="RMJ28" s="609"/>
      <c r="RMK28" s="609"/>
      <c r="RML28" s="609"/>
      <c r="RMM28" s="609"/>
      <c r="RMN28" s="609"/>
      <c r="RMO28" s="609"/>
      <c r="RMP28" s="609"/>
      <c r="RMQ28" s="609"/>
      <c r="RMR28" s="609"/>
      <c r="RMS28" s="609"/>
      <c r="RMT28" s="609"/>
      <c r="RMU28" s="609"/>
      <c r="RMV28" s="609"/>
      <c r="RMW28" s="609"/>
      <c r="RMX28" s="609"/>
      <c r="RMY28" s="609"/>
      <c r="RMZ28" s="609"/>
      <c r="RNA28" s="609"/>
      <c r="RNB28" s="609"/>
      <c r="RNC28" s="609"/>
      <c r="RND28" s="609"/>
      <c r="RNE28" s="609"/>
      <c r="RNF28" s="609"/>
      <c r="RNG28" s="609"/>
      <c r="RNH28" s="609"/>
      <c r="RNI28" s="609"/>
      <c r="RNJ28" s="609"/>
      <c r="RNK28" s="609"/>
      <c r="RNL28" s="609"/>
      <c r="RNM28" s="609"/>
      <c r="RNN28" s="609"/>
      <c r="RNO28" s="609"/>
      <c r="RNP28" s="609"/>
      <c r="RNQ28" s="609"/>
      <c r="RNR28" s="609"/>
      <c r="RNS28" s="609"/>
      <c r="RNT28" s="609"/>
      <c r="RNU28" s="609"/>
      <c r="RNV28" s="609"/>
      <c r="RNW28" s="609"/>
      <c r="RNX28" s="609"/>
      <c r="RNY28" s="609"/>
      <c r="RNZ28" s="609"/>
      <c r="ROA28" s="609"/>
      <c r="ROB28" s="609"/>
      <c r="ROC28" s="609"/>
      <c r="ROD28" s="609"/>
      <c r="ROE28" s="609"/>
      <c r="ROF28" s="609"/>
      <c r="ROG28" s="609"/>
      <c r="ROH28" s="609"/>
      <c r="ROI28" s="609"/>
      <c r="ROJ28" s="609"/>
      <c r="ROK28" s="609"/>
      <c r="ROL28" s="609"/>
      <c r="ROM28" s="609"/>
      <c r="RON28" s="609"/>
      <c r="ROO28" s="609"/>
      <c r="ROP28" s="609"/>
      <c r="ROQ28" s="609"/>
      <c r="ROR28" s="609"/>
      <c r="ROS28" s="609"/>
      <c r="ROT28" s="609"/>
      <c r="ROU28" s="609"/>
      <c r="ROV28" s="609"/>
      <c r="ROW28" s="609"/>
      <c r="ROX28" s="609"/>
      <c r="ROY28" s="609"/>
      <c r="ROZ28" s="609"/>
      <c r="RPA28" s="609"/>
      <c r="RPB28" s="609"/>
      <c r="RPC28" s="609"/>
      <c r="RPD28" s="609"/>
      <c r="RPE28" s="609"/>
      <c r="RPF28" s="609"/>
      <c r="RPG28" s="609"/>
      <c r="RPH28" s="609"/>
      <c r="RPI28" s="609"/>
      <c r="RPJ28" s="609"/>
      <c r="RPK28" s="609"/>
      <c r="RPL28" s="609"/>
      <c r="RPM28" s="609"/>
      <c r="RPN28" s="609"/>
      <c r="RPO28" s="609"/>
      <c r="RPP28" s="609"/>
      <c r="RPQ28" s="609"/>
      <c r="RPR28" s="609"/>
      <c r="RPS28" s="609"/>
      <c r="RPT28" s="609"/>
      <c r="RPU28" s="609"/>
      <c r="RPV28" s="609"/>
      <c r="RPW28" s="609"/>
      <c r="RPX28" s="609"/>
      <c r="RPY28" s="609"/>
      <c r="RPZ28" s="609"/>
      <c r="RQA28" s="609"/>
      <c r="RQB28" s="609"/>
      <c r="RQC28" s="609"/>
      <c r="RQD28" s="609"/>
      <c r="RQE28" s="609"/>
      <c r="RQF28" s="609"/>
      <c r="RQG28" s="609"/>
      <c r="RQH28" s="609"/>
      <c r="RQI28" s="609"/>
      <c r="RQJ28" s="609"/>
      <c r="RQK28" s="609"/>
      <c r="RQL28" s="609"/>
      <c r="RQM28" s="609"/>
      <c r="RQN28" s="609"/>
      <c r="RQO28" s="609"/>
      <c r="RQP28" s="609"/>
      <c r="RQQ28" s="609"/>
      <c r="RQR28" s="609"/>
      <c r="RQS28" s="609"/>
      <c r="RQT28" s="609"/>
      <c r="RQU28" s="609"/>
      <c r="RQV28" s="609"/>
      <c r="RQW28" s="609"/>
      <c r="RQX28" s="609"/>
      <c r="RQY28" s="609"/>
      <c r="RQZ28" s="609"/>
      <c r="RRA28" s="609"/>
      <c r="RRB28" s="609"/>
      <c r="RRC28" s="609"/>
      <c r="RRD28" s="609"/>
      <c r="RRE28" s="609"/>
      <c r="RRF28" s="609"/>
      <c r="RRG28" s="609"/>
      <c r="RRH28" s="609"/>
      <c r="RRI28" s="609"/>
      <c r="RRJ28" s="609"/>
      <c r="RRK28" s="609"/>
      <c r="RRL28" s="609"/>
      <c r="RRM28" s="609"/>
      <c r="RRN28" s="609"/>
      <c r="RRO28" s="609"/>
      <c r="RRP28" s="609"/>
      <c r="RRQ28" s="609"/>
      <c r="RRR28" s="609"/>
      <c r="RRS28" s="609"/>
      <c r="RRT28" s="609"/>
      <c r="RRU28" s="609"/>
      <c r="RRV28" s="609"/>
      <c r="RRW28" s="609"/>
      <c r="RRX28" s="609"/>
      <c r="RRY28" s="609"/>
      <c r="RRZ28" s="609"/>
      <c r="RSA28" s="609"/>
      <c r="RSB28" s="609"/>
      <c r="RSC28" s="609"/>
      <c r="RSD28" s="609"/>
      <c r="RSE28" s="609"/>
      <c r="RSF28" s="609"/>
      <c r="RSG28" s="609"/>
      <c r="RSH28" s="609"/>
      <c r="RSI28" s="609"/>
      <c r="RSJ28" s="609"/>
      <c r="RSK28" s="609"/>
      <c r="RSL28" s="609"/>
      <c r="RSM28" s="609"/>
      <c r="RSN28" s="609"/>
      <c r="RSO28" s="609"/>
      <c r="RSP28" s="609"/>
      <c r="RSQ28" s="609"/>
      <c r="RSR28" s="609"/>
      <c r="RSS28" s="609"/>
      <c r="RST28" s="609"/>
      <c r="RSU28" s="609"/>
      <c r="RSV28" s="609"/>
      <c r="RSW28" s="609"/>
      <c r="RSX28" s="609"/>
      <c r="RSY28" s="609"/>
      <c r="RSZ28" s="609"/>
      <c r="RTA28" s="609"/>
      <c r="RTB28" s="609"/>
      <c r="RTC28" s="609"/>
      <c r="RTD28" s="609"/>
      <c r="RTE28" s="609"/>
      <c r="RTF28" s="609"/>
      <c r="RTG28" s="609"/>
      <c r="RTH28" s="609"/>
      <c r="RTI28" s="609"/>
      <c r="RTJ28" s="609"/>
      <c r="RTK28" s="609"/>
      <c r="RTL28" s="609"/>
      <c r="RTM28" s="609"/>
      <c r="RTN28" s="609"/>
      <c r="RTO28" s="609"/>
      <c r="RTP28" s="609"/>
      <c r="RTQ28" s="609"/>
      <c r="RTR28" s="609"/>
      <c r="RTS28" s="609"/>
      <c r="RTT28" s="609"/>
      <c r="RTU28" s="609"/>
      <c r="RTV28" s="609"/>
      <c r="RTW28" s="609"/>
      <c r="RTX28" s="609"/>
      <c r="RTY28" s="609"/>
      <c r="RTZ28" s="609"/>
      <c r="RUA28" s="609"/>
      <c r="RUB28" s="609"/>
      <c r="RUC28" s="609"/>
      <c r="RUD28" s="609"/>
      <c r="RUE28" s="609"/>
      <c r="RUF28" s="609"/>
      <c r="RUG28" s="609"/>
      <c r="RUH28" s="609"/>
      <c r="RUI28" s="609"/>
      <c r="RUJ28" s="609"/>
      <c r="RUK28" s="609"/>
      <c r="RUL28" s="609"/>
      <c r="RUM28" s="609"/>
      <c r="RUN28" s="609"/>
      <c r="RUO28" s="609"/>
      <c r="RUP28" s="609"/>
      <c r="RUQ28" s="609"/>
      <c r="RUR28" s="609"/>
      <c r="RUS28" s="609"/>
      <c r="RUT28" s="609"/>
      <c r="RUU28" s="609"/>
      <c r="RUV28" s="609"/>
      <c r="RUW28" s="609"/>
      <c r="RUX28" s="609"/>
      <c r="RUY28" s="609"/>
      <c r="RUZ28" s="609"/>
      <c r="RVA28" s="609"/>
      <c r="RVB28" s="609"/>
      <c r="RVC28" s="609"/>
      <c r="RVD28" s="609"/>
      <c r="RVE28" s="609"/>
      <c r="RVF28" s="609"/>
      <c r="RVG28" s="609"/>
      <c r="RVH28" s="609"/>
      <c r="RVI28" s="609"/>
      <c r="RVJ28" s="609"/>
      <c r="RVK28" s="609"/>
      <c r="RVL28" s="609"/>
      <c r="RVM28" s="609"/>
      <c r="RVN28" s="609"/>
      <c r="RVO28" s="609"/>
      <c r="RVP28" s="609"/>
      <c r="RVQ28" s="609"/>
      <c r="RVR28" s="609"/>
      <c r="RVS28" s="609"/>
      <c r="RVT28" s="609"/>
      <c r="RVU28" s="609"/>
      <c r="RVV28" s="609"/>
      <c r="RVW28" s="609"/>
      <c r="RVX28" s="609"/>
      <c r="RVY28" s="609"/>
      <c r="RVZ28" s="609"/>
      <c r="RWA28" s="609"/>
      <c r="RWB28" s="609"/>
      <c r="RWC28" s="609"/>
      <c r="RWD28" s="609"/>
      <c r="RWE28" s="609"/>
      <c r="RWF28" s="609"/>
      <c r="RWG28" s="609"/>
      <c r="RWH28" s="609"/>
      <c r="RWI28" s="609"/>
      <c r="RWJ28" s="609"/>
      <c r="RWK28" s="609"/>
      <c r="RWL28" s="609"/>
      <c r="RWM28" s="609"/>
      <c r="RWN28" s="609"/>
      <c r="RWO28" s="609"/>
      <c r="RWP28" s="609"/>
      <c r="RWQ28" s="609"/>
      <c r="RWR28" s="609"/>
      <c r="RWS28" s="609"/>
      <c r="RWT28" s="609"/>
      <c r="RWU28" s="609"/>
      <c r="RWV28" s="609"/>
      <c r="RWW28" s="609"/>
      <c r="RWX28" s="609"/>
      <c r="RWY28" s="609"/>
      <c r="RWZ28" s="609"/>
      <c r="RXA28" s="609"/>
      <c r="RXB28" s="609"/>
      <c r="RXC28" s="609"/>
      <c r="RXD28" s="609"/>
      <c r="RXE28" s="609"/>
      <c r="RXF28" s="609"/>
      <c r="RXG28" s="609"/>
      <c r="RXH28" s="609"/>
      <c r="RXI28" s="609"/>
      <c r="RXJ28" s="609"/>
      <c r="RXK28" s="609"/>
      <c r="RXL28" s="609"/>
      <c r="RXM28" s="609"/>
      <c r="RXN28" s="609"/>
      <c r="RXO28" s="609"/>
      <c r="RXP28" s="609"/>
      <c r="RXQ28" s="609"/>
      <c r="RXR28" s="609"/>
      <c r="RXS28" s="609"/>
      <c r="RXT28" s="609"/>
      <c r="RXU28" s="609"/>
      <c r="RXV28" s="609"/>
      <c r="RXW28" s="609"/>
      <c r="RXX28" s="609"/>
      <c r="RXY28" s="609"/>
      <c r="RXZ28" s="609"/>
      <c r="RYA28" s="609"/>
      <c r="RYB28" s="609"/>
      <c r="RYC28" s="609"/>
      <c r="RYD28" s="609"/>
      <c r="RYE28" s="609"/>
      <c r="RYF28" s="609"/>
      <c r="RYG28" s="609"/>
      <c r="RYH28" s="609"/>
      <c r="RYI28" s="609"/>
      <c r="RYJ28" s="609"/>
      <c r="RYK28" s="609"/>
      <c r="RYL28" s="609"/>
      <c r="RYM28" s="609"/>
      <c r="RYN28" s="609"/>
      <c r="RYO28" s="609"/>
      <c r="RYP28" s="609"/>
      <c r="RYQ28" s="609"/>
      <c r="RYR28" s="609"/>
      <c r="RYS28" s="609"/>
      <c r="RYT28" s="609"/>
      <c r="RYU28" s="609"/>
      <c r="RYV28" s="609"/>
      <c r="RYW28" s="609"/>
      <c r="RYX28" s="609"/>
      <c r="RYY28" s="609"/>
      <c r="RYZ28" s="609"/>
      <c r="RZA28" s="609"/>
      <c r="RZB28" s="609"/>
      <c r="RZC28" s="609"/>
      <c r="RZD28" s="609"/>
      <c r="RZE28" s="609"/>
      <c r="RZF28" s="609"/>
      <c r="RZG28" s="609"/>
      <c r="RZH28" s="609"/>
      <c r="RZI28" s="609"/>
      <c r="RZJ28" s="609"/>
      <c r="RZK28" s="609"/>
      <c r="RZL28" s="609"/>
      <c r="RZM28" s="609"/>
      <c r="RZN28" s="609"/>
      <c r="RZO28" s="609"/>
      <c r="RZP28" s="609"/>
      <c r="RZQ28" s="609"/>
      <c r="RZR28" s="609"/>
      <c r="RZS28" s="609"/>
      <c r="RZT28" s="609"/>
      <c r="RZU28" s="609"/>
      <c r="RZV28" s="609"/>
      <c r="RZW28" s="609"/>
      <c r="RZX28" s="609"/>
      <c r="RZY28" s="609"/>
      <c r="RZZ28" s="609"/>
      <c r="SAA28" s="609"/>
      <c r="SAB28" s="609"/>
      <c r="SAC28" s="609"/>
      <c r="SAD28" s="609"/>
      <c r="SAE28" s="609"/>
      <c r="SAF28" s="609"/>
      <c r="SAG28" s="609"/>
      <c r="SAH28" s="609"/>
      <c r="SAI28" s="609"/>
      <c r="SAJ28" s="609"/>
      <c r="SAK28" s="609"/>
      <c r="SAL28" s="609"/>
      <c r="SAM28" s="609"/>
      <c r="SAN28" s="609"/>
      <c r="SAO28" s="609"/>
      <c r="SAP28" s="609"/>
      <c r="SAQ28" s="609"/>
      <c r="SAR28" s="609"/>
      <c r="SAS28" s="609"/>
      <c r="SAT28" s="609"/>
      <c r="SAU28" s="609"/>
      <c r="SAV28" s="609"/>
      <c r="SAW28" s="609"/>
      <c r="SAX28" s="609"/>
      <c r="SAY28" s="609"/>
      <c r="SAZ28" s="609"/>
      <c r="SBA28" s="609"/>
      <c r="SBB28" s="609"/>
      <c r="SBC28" s="609"/>
      <c r="SBD28" s="609"/>
      <c r="SBE28" s="609"/>
      <c r="SBF28" s="609"/>
      <c r="SBG28" s="609"/>
      <c r="SBH28" s="609"/>
      <c r="SBI28" s="609"/>
      <c r="SBJ28" s="609"/>
      <c r="SBK28" s="609"/>
      <c r="SBL28" s="609"/>
      <c r="SBM28" s="609"/>
      <c r="SBN28" s="609"/>
      <c r="SBO28" s="609"/>
      <c r="SBP28" s="609"/>
      <c r="SBQ28" s="609"/>
      <c r="SBR28" s="609"/>
      <c r="SBS28" s="609"/>
      <c r="SBT28" s="609"/>
      <c r="SBU28" s="609"/>
      <c r="SBV28" s="609"/>
      <c r="SBW28" s="609"/>
      <c r="SBX28" s="609"/>
      <c r="SBY28" s="609"/>
      <c r="SBZ28" s="609"/>
      <c r="SCA28" s="609"/>
      <c r="SCB28" s="609"/>
      <c r="SCC28" s="609"/>
      <c r="SCD28" s="609"/>
      <c r="SCE28" s="609"/>
      <c r="SCF28" s="609"/>
      <c r="SCG28" s="609"/>
      <c r="SCH28" s="609"/>
      <c r="SCI28" s="609"/>
      <c r="SCJ28" s="609"/>
      <c r="SCK28" s="609"/>
      <c r="SCL28" s="609"/>
      <c r="SCM28" s="609"/>
      <c r="SCN28" s="609"/>
      <c r="SCO28" s="609"/>
      <c r="SCP28" s="609"/>
      <c r="SCQ28" s="609"/>
      <c r="SCR28" s="609"/>
      <c r="SCS28" s="609"/>
      <c r="SCT28" s="609"/>
      <c r="SCU28" s="609"/>
      <c r="SCV28" s="609"/>
      <c r="SCW28" s="609"/>
      <c r="SCX28" s="609"/>
      <c r="SCY28" s="609"/>
      <c r="SCZ28" s="609"/>
      <c r="SDA28" s="609"/>
      <c r="SDB28" s="609"/>
      <c r="SDC28" s="609"/>
      <c r="SDD28" s="609"/>
      <c r="SDE28" s="609"/>
      <c r="SDF28" s="609"/>
      <c r="SDG28" s="609"/>
      <c r="SDH28" s="609"/>
      <c r="SDI28" s="609"/>
      <c r="SDJ28" s="609"/>
      <c r="SDK28" s="609"/>
      <c r="SDL28" s="609"/>
      <c r="SDM28" s="609"/>
      <c r="SDN28" s="609"/>
      <c r="SDO28" s="609"/>
      <c r="SDP28" s="609"/>
      <c r="SDQ28" s="609"/>
      <c r="SDR28" s="609"/>
      <c r="SDS28" s="609"/>
      <c r="SDT28" s="609"/>
      <c r="SDU28" s="609"/>
      <c r="SDV28" s="609"/>
      <c r="SDW28" s="609"/>
      <c r="SDX28" s="609"/>
      <c r="SDY28" s="609"/>
      <c r="SDZ28" s="609"/>
      <c r="SEA28" s="609"/>
      <c r="SEB28" s="609"/>
      <c r="SEC28" s="609"/>
      <c r="SED28" s="609"/>
      <c r="SEE28" s="609"/>
      <c r="SEF28" s="609"/>
      <c r="SEG28" s="609"/>
      <c r="SEH28" s="609"/>
      <c r="SEI28" s="609"/>
      <c r="SEJ28" s="609"/>
      <c r="SEK28" s="609"/>
      <c r="SEL28" s="609"/>
      <c r="SEM28" s="609"/>
      <c r="SEN28" s="609"/>
      <c r="SEO28" s="609"/>
      <c r="SEP28" s="609"/>
      <c r="SEQ28" s="609"/>
      <c r="SER28" s="609"/>
      <c r="SES28" s="609"/>
      <c r="SET28" s="609"/>
      <c r="SEU28" s="609"/>
      <c r="SEV28" s="609"/>
      <c r="SEW28" s="609"/>
      <c r="SEX28" s="609"/>
      <c r="SEY28" s="609"/>
      <c r="SEZ28" s="609"/>
      <c r="SFA28" s="609"/>
      <c r="SFB28" s="609"/>
      <c r="SFC28" s="609"/>
      <c r="SFD28" s="609"/>
      <c r="SFE28" s="609"/>
      <c r="SFF28" s="609"/>
      <c r="SFG28" s="609"/>
      <c r="SFH28" s="609"/>
      <c r="SFI28" s="609"/>
      <c r="SFJ28" s="609"/>
      <c r="SFK28" s="609"/>
      <c r="SFL28" s="609"/>
      <c r="SFM28" s="609"/>
      <c r="SFN28" s="609"/>
      <c r="SFO28" s="609"/>
      <c r="SFP28" s="609"/>
      <c r="SFQ28" s="609"/>
      <c r="SFR28" s="609"/>
      <c r="SFS28" s="609"/>
      <c r="SFT28" s="609"/>
      <c r="SFU28" s="609"/>
      <c r="SFV28" s="609"/>
      <c r="SFW28" s="609"/>
      <c r="SFX28" s="609"/>
      <c r="SFY28" s="609"/>
      <c r="SFZ28" s="609"/>
      <c r="SGA28" s="609"/>
      <c r="SGB28" s="609"/>
      <c r="SGC28" s="609"/>
      <c r="SGD28" s="609"/>
      <c r="SGE28" s="609"/>
      <c r="SGF28" s="609"/>
      <c r="SGG28" s="609"/>
      <c r="SGH28" s="609"/>
      <c r="SGI28" s="609"/>
      <c r="SGJ28" s="609"/>
      <c r="SGK28" s="609"/>
      <c r="SGL28" s="609"/>
      <c r="SGM28" s="609"/>
      <c r="SGN28" s="609"/>
      <c r="SGO28" s="609"/>
      <c r="SGP28" s="609"/>
      <c r="SGQ28" s="609"/>
      <c r="SGR28" s="609"/>
      <c r="SGS28" s="609"/>
      <c r="SGT28" s="609"/>
      <c r="SGU28" s="609"/>
      <c r="SGV28" s="609"/>
      <c r="SGW28" s="609"/>
      <c r="SGX28" s="609"/>
      <c r="SGY28" s="609"/>
      <c r="SGZ28" s="609"/>
      <c r="SHA28" s="609"/>
      <c r="SHB28" s="609"/>
      <c r="SHC28" s="609"/>
      <c r="SHD28" s="609"/>
      <c r="SHE28" s="609"/>
      <c r="SHF28" s="609"/>
      <c r="SHG28" s="609"/>
      <c r="SHH28" s="609"/>
      <c r="SHI28" s="609"/>
      <c r="SHJ28" s="609"/>
      <c r="SHK28" s="609"/>
      <c r="SHL28" s="609"/>
      <c r="SHM28" s="609"/>
      <c r="SHN28" s="609"/>
      <c r="SHO28" s="609"/>
      <c r="SHP28" s="609"/>
      <c r="SHQ28" s="609"/>
      <c r="SHR28" s="609"/>
      <c r="SHS28" s="609"/>
      <c r="SHT28" s="609"/>
      <c r="SHU28" s="609"/>
      <c r="SHV28" s="609"/>
      <c r="SHW28" s="609"/>
      <c r="SHX28" s="609"/>
      <c r="SHY28" s="609"/>
      <c r="SHZ28" s="609"/>
      <c r="SIA28" s="609"/>
      <c r="SIB28" s="609"/>
      <c r="SIC28" s="609"/>
      <c r="SID28" s="609"/>
      <c r="SIE28" s="609"/>
      <c r="SIF28" s="609"/>
      <c r="SIG28" s="609"/>
      <c r="SIH28" s="609"/>
      <c r="SII28" s="609"/>
      <c r="SIJ28" s="609"/>
      <c r="SIK28" s="609"/>
      <c r="SIL28" s="609"/>
      <c r="SIM28" s="609"/>
      <c r="SIN28" s="609"/>
      <c r="SIO28" s="609"/>
      <c r="SIP28" s="609"/>
      <c r="SIQ28" s="609"/>
      <c r="SIR28" s="609"/>
      <c r="SIS28" s="609"/>
      <c r="SIT28" s="609"/>
      <c r="SIU28" s="609"/>
      <c r="SIV28" s="609"/>
      <c r="SIW28" s="609"/>
      <c r="SIX28" s="609"/>
      <c r="SIY28" s="609"/>
      <c r="SIZ28" s="609"/>
      <c r="SJA28" s="609"/>
      <c r="SJB28" s="609"/>
      <c r="SJC28" s="609"/>
      <c r="SJD28" s="609"/>
      <c r="SJE28" s="609"/>
      <c r="SJF28" s="609"/>
      <c r="SJG28" s="609"/>
      <c r="SJH28" s="609"/>
      <c r="SJI28" s="609"/>
      <c r="SJJ28" s="609"/>
      <c r="SJK28" s="609"/>
      <c r="SJL28" s="609"/>
      <c r="SJM28" s="609"/>
      <c r="SJN28" s="609"/>
      <c r="SJO28" s="609"/>
      <c r="SJP28" s="609"/>
      <c r="SJQ28" s="609"/>
      <c r="SJR28" s="609"/>
      <c r="SJS28" s="609"/>
      <c r="SJT28" s="609"/>
      <c r="SJU28" s="609"/>
      <c r="SJV28" s="609"/>
      <c r="SJW28" s="609"/>
      <c r="SJX28" s="609"/>
      <c r="SJY28" s="609"/>
      <c r="SJZ28" s="609"/>
      <c r="SKA28" s="609"/>
      <c r="SKB28" s="609"/>
      <c r="SKC28" s="609"/>
      <c r="SKD28" s="609"/>
      <c r="SKE28" s="609"/>
      <c r="SKF28" s="609"/>
      <c r="SKG28" s="609"/>
      <c r="SKH28" s="609"/>
      <c r="SKI28" s="609"/>
      <c r="SKJ28" s="609"/>
      <c r="SKK28" s="609"/>
      <c r="SKL28" s="609"/>
      <c r="SKM28" s="609"/>
      <c r="SKN28" s="609"/>
      <c r="SKO28" s="609"/>
      <c r="SKP28" s="609"/>
      <c r="SKQ28" s="609"/>
      <c r="SKR28" s="609"/>
      <c r="SKS28" s="609"/>
      <c r="SKT28" s="609"/>
      <c r="SKU28" s="609"/>
      <c r="SKV28" s="609"/>
      <c r="SKW28" s="609"/>
      <c r="SKX28" s="609"/>
      <c r="SKY28" s="609"/>
      <c r="SKZ28" s="609"/>
      <c r="SLA28" s="609"/>
      <c r="SLB28" s="609"/>
      <c r="SLC28" s="609"/>
      <c r="SLD28" s="609"/>
      <c r="SLE28" s="609"/>
      <c r="SLF28" s="609"/>
      <c r="SLG28" s="609"/>
      <c r="SLH28" s="609"/>
      <c r="SLI28" s="609"/>
      <c r="SLJ28" s="609"/>
      <c r="SLK28" s="609"/>
      <c r="SLL28" s="609"/>
      <c r="SLM28" s="609"/>
      <c r="SLN28" s="609"/>
      <c r="SLO28" s="609"/>
      <c r="SLP28" s="609"/>
      <c r="SLQ28" s="609"/>
      <c r="SLR28" s="609"/>
      <c r="SLS28" s="609"/>
      <c r="SLT28" s="609"/>
      <c r="SLU28" s="609"/>
      <c r="SLV28" s="609"/>
      <c r="SLW28" s="609"/>
      <c r="SLX28" s="609"/>
      <c r="SLY28" s="609"/>
      <c r="SLZ28" s="609"/>
      <c r="SMA28" s="609"/>
      <c r="SMB28" s="609"/>
      <c r="SMC28" s="609"/>
      <c r="SMD28" s="609"/>
      <c r="SME28" s="609"/>
      <c r="SMF28" s="609"/>
      <c r="SMG28" s="609"/>
      <c r="SMH28" s="609"/>
      <c r="SMI28" s="609"/>
      <c r="SMJ28" s="609"/>
      <c r="SMK28" s="609"/>
      <c r="SML28" s="609"/>
      <c r="SMM28" s="609"/>
      <c r="SMN28" s="609"/>
      <c r="SMO28" s="609"/>
      <c r="SMP28" s="609"/>
      <c r="SMQ28" s="609"/>
      <c r="SMR28" s="609"/>
      <c r="SMS28" s="609"/>
      <c r="SMT28" s="609"/>
      <c r="SMU28" s="609"/>
      <c r="SMV28" s="609"/>
      <c r="SMW28" s="609"/>
      <c r="SMX28" s="609"/>
      <c r="SMY28" s="609"/>
      <c r="SMZ28" s="609"/>
      <c r="SNA28" s="609"/>
      <c r="SNB28" s="609"/>
      <c r="SNC28" s="609"/>
      <c r="SND28" s="609"/>
      <c r="SNE28" s="609"/>
      <c r="SNF28" s="609"/>
      <c r="SNG28" s="609"/>
      <c r="SNH28" s="609"/>
      <c r="SNI28" s="609"/>
      <c r="SNJ28" s="609"/>
      <c r="SNK28" s="609"/>
      <c r="SNL28" s="609"/>
      <c r="SNM28" s="609"/>
      <c r="SNN28" s="609"/>
      <c r="SNO28" s="609"/>
      <c r="SNP28" s="609"/>
      <c r="SNQ28" s="609"/>
      <c r="SNR28" s="609"/>
      <c r="SNS28" s="609"/>
      <c r="SNT28" s="609"/>
      <c r="SNU28" s="609"/>
      <c r="SNV28" s="609"/>
      <c r="SNW28" s="609"/>
      <c r="SNX28" s="609"/>
      <c r="SNY28" s="609"/>
      <c r="SNZ28" s="609"/>
      <c r="SOA28" s="609"/>
      <c r="SOB28" s="609"/>
      <c r="SOC28" s="609"/>
      <c r="SOD28" s="609"/>
      <c r="SOE28" s="609"/>
      <c r="SOF28" s="609"/>
      <c r="SOG28" s="609"/>
      <c r="SOH28" s="609"/>
      <c r="SOI28" s="609"/>
      <c r="SOJ28" s="609"/>
      <c r="SOK28" s="609"/>
      <c r="SOL28" s="609"/>
      <c r="SOM28" s="609"/>
      <c r="SON28" s="609"/>
      <c r="SOO28" s="609"/>
      <c r="SOP28" s="609"/>
      <c r="SOQ28" s="609"/>
      <c r="SOR28" s="609"/>
      <c r="SOS28" s="609"/>
      <c r="SOT28" s="609"/>
      <c r="SOU28" s="609"/>
      <c r="SOV28" s="609"/>
      <c r="SOW28" s="609"/>
      <c r="SOX28" s="609"/>
      <c r="SOY28" s="609"/>
      <c r="SOZ28" s="609"/>
      <c r="SPA28" s="609"/>
      <c r="SPB28" s="609"/>
      <c r="SPC28" s="609"/>
      <c r="SPD28" s="609"/>
      <c r="SPE28" s="609"/>
      <c r="SPF28" s="609"/>
      <c r="SPG28" s="609"/>
      <c r="SPH28" s="609"/>
      <c r="SPI28" s="609"/>
      <c r="SPJ28" s="609"/>
      <c r="SPK28" s="609"/>
      <c r="SPL28" s="609"/>
      <c r="SPM28" s="609"/>
      <c r="SPN28" s="609"/>
      <c r="SPO28" s="609"/>
      <c r="SPP28" s="609"/>
      <c r="SPQ28" s="609"/>
      <c r="SPR28" s="609"/>
      <c r="SPS28" s="609"/>
      <c r="SPT28" s="609"/>
      <c r="SPU28" s="609"/>
      <c r="SPV28" s="609"/>
      <c r="SPW28" s="609"/>
      <c r="SPX28" s="609"/>
      <c r="SPY28" s="609"/>
      <c r="SPZ28" s="609"/>
      <c r="SQA28" s="609"/>
      <c r="SQB28" s="609"/>
      <c r="SQC28" s="609"/>
      <c r="SQD28" s="609"/>
      <c r="SQE28" s="609"/>
      <c r="SQF28" s="609"/>
      <c r="SQG28" s="609"/>
      <c r="SQH28" s="609"/>
      <c r="SQI28" s="609"/>
      <c r="SQJ28" s="609"/>
      <c r="SQK28" s="609"/>
      <c r="SQL28" s="609"/>
      <c r="SQM28" s="609"/>
      <c r="SQN28" s="609"/>
      <c r="SQO28" s="609"/>
      <c r="SQP28" s="609"/>
      <c r="SQQ28" s="609"/>
      <c r="SQR28" s="609"/>
      <c r="SQS28" s="609"/>
      <c r="SQT28" s="609"/>
      <c r="SQU28" s="609"/>
      <c r="SQV28" s="609"/>
      <c r="SQW28" s="609"/>
      <c r="SQX28" s="609"/>
      <c r="SQY28" s="609"/>
      <c r="SQZ28" s="609"/>
      <c r="SRA28" s="609"/>
      <c r="SRB28" s="609"/>
      <c r="SRC28" s="609"/>
      <c r="SRD28" s="609"/>
      <c r="SRE28" s="609"/>
      <c r="SRF28" s="609"/>
      <c r="SRG28" s="609"/>
      <c r="SRH28" s="609"/>
      <c r="SRI28" s="609"/>
      <c r="SRJ28" s="609"/>
      <c r="SRK28" s="609"/>
      <c r="SRL28" s="609"/>
      <c r="SRM28" s="609"/>
      <c r="SRN28" s="609"/>
      <c r="SRO28" s="609"/>
      <c r="SRP28" s="609"/>
      <c r="SRQ28" s="609"/>
      <c r="SRR28" s="609"/>
      <c r="SRS28" s="609"/>
      <c r="SRT28" s="609"/>
      <c r="SRU28" s="609"/>
      <c r="SRV28" s="609"/>
      <c r="SRW28" s="609"/>
      <c r="SRX28" s="609"/>
      <c r="SRY28" s="609"/>
      <c r="SRZ28" s="609"/>
      <c r="SSA28" s="609"/>
      <c r="SSB28" s="609"/>
      <c r="SSC28" s="609"/>
      <c r="SSD28" s="609"/>
      <c r="SSE28" s="609"/>
      <c r="SSF28" s="609"/>
      <c r="SSG28" s="609"/>
      <c r="SSH28" s="609"/>
      <c r="SSI28" s="609"/>
      <c r="SSJ28" s="609"/>
      <c r="SSK28" s="609"/>
      <c r="SSL28" s="609"/>
      <c r="SSM28" s="609"/>
      <c r="SSN28" s="609"/>
      <c r="SSO28" s="609"/>
      <c r="SSP28" s="609"/>
      <c r="SSQ28" s="609"/>
      <c r="SSR28" s="609"/>
      <c r="SSS28" s="609"/>
      <c r="SST28" s="609"/>
      <c r="SSU28" s="609"/>
      <c r="SSV28" s="609"/>
      <c r="SSW28" s="609"/>
      <c r="SSX28" s="609"/>
      <c r="SSY28" s="609"/>
      <c r="SSZ28" s="609"/>
      <c r="STA28" s="609"/>
      <c r="STB28" s="609"/>
      <c r="STC28" s="609"/>
      <c r="STD28" s="609"/>
      <c r="STE28" s="609"/>
      <c r="STF28" s="609"/>
      <c r="STG28" s="609"/>
      <c r="STH28" s="609"/>
      <c r="STI28" s="609"/>
      <c r="STJ28" s="609"/>
      <c r="STK28" s="609"/>
      <c r="STL28" s="609"/>
      <c r="STM28" s="609"/>
      <c r="STN28" s="609"/>
      <c r="STO28" s="609"/>
      <c r="STP28" s="609"/>
      <c r="STQ28" s="609"/>
      <c r="STR28" s="609"/>
      <c r="STS28" s="609"/>
      <c r="STT28" s="609"/>
      <c r="STU28" s="609"/>
      <c r="STV28" s="609"/>
      <c r="STW28" s="609"/>
      <c r="STX28" s="609"/>
      <c r="STY28" s="609"/>
      <c r="STZ28" s="609"/>
      <c r="SUA28" s="609"/>
      <c r="SUB28" s="609"/>
      <c r="SUC28" s="609"/>
      <c r="SUD28" s="609"/>
      <c r="SUE28" s="609"/>
      <c r="SUF28" s="609"/>
      <c r="SUG28" s="609"/>
      <c r="SUH28" s="609"/>
      <c r="SUI28" s="609"/>
      <c r="SUJ28" s="609"/>
      <c r="SUK28" s="609"/>
      <c r="SUL28" s="609"/>
      <c r="SUM28" s="609"/>
      <c r="SUN28" s="609"/>
      <c r="SUO28" s="609"/>
      <c r="SUP28" s="609"/>
      <c r="SUQ28" s="609"/>
      <c r="SUR28" s="609"/>
      <c r="SUS28" s="609"/>
      <c r="SUT28" s="609"/>
      <c r="SUU28" s="609"/>
      <c r="SUV28" s="609"/>
      <c r="SUW28" s="609"/>
      <c r="SUX28" s="609"/>
      <c r="SUY28" s="609"/>
      <c r="SUZ28" s="609"/>
      <c r="SVA28" s="609"/>
      <c r="SVB28" s="609"/>
      <c r="SVC28" s="609"/>
      <c r="SVD28" s="609"/>
      <c r="SVE28" s="609"/>
      <c r="SVF28" s="609"/>
      <c r="SVG28" s="609"/>
      <c r="SVH28" s="609"/>
      <c r="SVI28" s="609"/>
      <c r="SVJ28" s="609"/>
      <c r="SVK28" s="609"/>
      <c r="SVL28" s="609"/>
      <c r="SVM28" s="609"/>
      <c r="SVN28" s="609"/>
      <c r="SVO28" s="609"/>
      <c r="SVP28" s="609"/>
      <c r="SVQ28" s="609"/>
      <c r="SVR28" s="609"/>
      <c r="SVS28" s="609"/>
      <c r="SVT28" s="609"/>
      <c r="SVU28" s="609"/>
      <c r="SVV28" s="609"/>
      <c r="SVW28" s="609"/>
      <c r="SVX28" s="609"/>
      <c r="SVY28" s="609"/>
      <c r="SVZ28" s="609"/>
      <c r="SWA28" s="609"/>
      <c r="SWB28" s="609"/>
      <c r="SWC28" s="609"/>
      <c r="SWD28" s="609"/>
      <c r="SWE28" s="609"/>
      <c r="SWF28" s="609"/>
      <c r="SWG28" s="609"/>
      <c r="SWH28" s="609"/>
      <c r="SWI28" s="609"/>
      <c r="SWJ28" s="609"/>
      <c r="SWK28" s="609"/>
      <c r="SWL28" s="609"/>
      <c r="SWM28" s="609"/>
      <c r="SWN28" s="609"/>
      <c r="SWO28" s="609"/>
      <c r="SWP28" s="609"/>
      <c r="SWQ28" s="609"/>
      <c r="SWR28" s="609"/>
      <c r="SWS28" s="609"/>
      <c r="SWT28" s="609"/>
      <c r="SWU28" s="609"/>
      <c r="SWV28" s="609"/>
      <c r="SWW28" s="609"/>
      <c r="SWX28" s="609"/>
      <c r="SWY28" s="609"/>
      <c r="SWZ28" s="609"/>
      <c r="SXA28" s="609"/>
      <c r="SXB28" s="609"/>
      <c r="SXC28" s="609"/>
      <c r="SXD28" s="609"/>
      <c r="SXE28" s="609"/>
      <c r="SXF28" s="609"/>
      <c r="SXG28" s="609"/>
      <c r="SXH28" s="609"/>
      <c r="SXI28" s="609"/>
      <c r="SXJ28" s="609"/>
      <c r="SXK28" s="609"/>
      <c r="SXL28" s="609"/>
      <c r="SXM28" s="609"/>
      <c r="SXN28" s="609"/>
      <c r="SXO28" s="609"/>
      <c r="SXP28" s="609"/>
      <c r="SXQ28" s="609"/>
      <c r="SXR28" s="609"/>
      <c r="SXS28" s="609"/>
      <c r="SXT28" s="609"/>
      <c r="SXU28" s="609"/>
      <c r="SXV28" s="609"/>
      <c r="SXW28" s="609"/>
      <c r="SXX28" s="609"/>
      <c r="SXY28" s="609"/>
      <c r="SXZ28" s="609"/>
      <c r="SYA28" s="609"/>
      <c r="SYB28" s="609"/>
      <c r="SYC28" s="609"/>
      <c r="SYD28" s="609"/>
      <c r="SYE28" s="609"/>
      <c r="SYF28" s="609"/>
      <c r="SYG28" s="609"/>
      <c r="SYH28" s="609"/>
      <c r="SYI28" s="609"/>
      <c r="SYJ28" s="609"/>
      <c r="SYK28" s="609"/>
      <c r="SYL28" s="609"/>
      <c r="SYM28" s="609"/>
      <c r="SYN28" s="609"/>
      <c r="SYO28" s="609"/>
      <c r="SYP28" s="609"/>
      <c r="SYQ28" s="609"/>
      <c r="SYR28" s="609"/>
      <c r="SYS28" s="609"/>
      <c r="SYT28" s="609"/>
      <c r="SYU28" s="609"/>
      <c r="SYV28" s="609"/>
      <c r="SYW28" s="609"/>
      <c r="SYX28" s="609"/>
      <c r="SYY28" s="609"/>
      <c r="SYZ28" s="609"/>
      <c r="SZA28" s="609"/>
      <c r="SZB28" s="609"/>
      <c r="SZC28" s="609"/>
      <c r="SZD28" s="609"/>
      <c r="SZE28" s="609"/>
      <c r="SZF28" s="609"/>
      <c r="SZG28" s="609"/>
      <c r="SZH28" s="609"/>
      <c r="SZI28" s="609"/>
      <c r="SZJ28" s="609"/>
      <c r="SZK28" s="609"/>
      <c r="SZL28" s="609"/>
      <c r="SZM28" s="609"/>
      <c r="SZN28" s="609"/>
      <c r="SZO28" s="609"/>
      <c r="SZP28" s="609"/>
      <c r="SZQ28" s="609"/>
      <c r="SZR28" s="609"/>
      <c r="SZS28" s="609"/>
      <c r="SZT28" s="609"/>
      <c r="SZU28" s="609"/>
      <c r="SZV28" s="609"/>
      <c r="SZW28" s="609"/>
      <c r="SZX28" s="609"/>
      <c r="SZY28" s="609"/>
      <c r="SZZ28" s="609"/>
      <c r="TAA28" s="609"/>
      <c r="TAB28" s="609"/>
      <c r="TAC28" s="609"/>
      <c r="TAD28" s="609"/>
      <c r="TAE28" s="609"/>
      <c r="TAF28" s="609"/>
      <c r="TAG28" s="609"/>
      <c r="TAH28" s="609"/>
      <c r="TAI28" s="609"/>
      <c r="TAJ28" s="609"/>
      <c r="TAK28" s="609"/>
      <c r="TAL28" s="609"/>
      <c r="TAM28" s="609"/>
      <c r="TAN28" s="609"/>
      <c r="TAO28" s="609"/>
      <c r="TAP28" s="609"/>
      <c r="TAQ28" s="609"/>
      <c r="TAR28" s="609"/>
      <c r="TAS28" s="609"/>
      <c r="TAT28" s="609"/>
      <c r="TAU28" s="609"/>
      <c r="TAV28" s="609"/>
      <c r="TAW28" s="609"/>
      <c r="TAX28" s="609"/>
      <c r="TAY28" s="609"/>
      <c r="TAZ28" s="609"/>
      <c r="TBA28" s="609"/>
      <c r="TBB28" s="609"/>
      <c r="TBC28" s="609"/>
      <c r="TBD28" s="609"/>
      <c r="TBE28" s="609"/>
      <c r="TBF28" s="609"/>
      <c r="TBG28" s="609"/>
      <c r="TBH28" s="609"/>
      <c r="TBI28" s="609"/>
      <c r="TBJ28" s="609"/>
      <c r="TBK28" s="609"/>
      <c r="TBL28" s="609"/>
      <c r="TBM28" s="609"/>
      <c r="TBN28" s="609"/>
      <c r="TBO28" s="609"/>
      <c r="TBP28" s="609"/>
      <c r="TBQ28" s="609"/>
      <c r="TBR28" s="609"/>
      <c r="TBS28" s="609"/>
      <c r="TBT28" s="609"/>
      <c r="TBU28" s="609"/>
      <c r="TBV28" s="609"/>
      <c r="TBW28" s="609"/>
      <c r="TBX28" s="609"/>
      <c r="TBY28" s="609"/>
      <c r="TBZ28" s="609"/>
      <c r="TCA28" s="609"/>
      <c r="TCB28" s="609"/>
      <c r="TCC28" s="609"/>
      <c r="TCD28" s="609"/>
      <c r="TCE28" s="609"/>
      <c r="TCF28" s="609"/>
      <c r="TCG28" s="609"/>
      <c r="TCH28" s="609"/>
      <c r="TCI28" s="609"/>
      <c r="TCJ28" s="609"/>
      <c r="TCK28" s="609"/>
      <c r="TCL28" s="609"/>
      <c r="TCM28" s="609"/>
      <c r="TCN28" s="609"/>
      <c r="TCO28" s="609"/>
      <c r="TCP28" s="609"/>
      <c r="TCQ28" s="609"/>
      <c r="TCR28" s="609"/>
      <c r="TCS28" s="609"/>
      <c r="TCT28" s="609"/>
      <c r="TCU28" s="609"/>
      <c r="TCV28" s="609"/>
      <c r="TCW28" s="609"/>
      <c r="TCX28" s="609"/>
      <c r="TCY28" s="609"/>
      <c r="TCZ28" s="609"/>
      <c r="TDA28" s="609"/>
      <c r="TDB28" s="609"/>
      <c r="TDC28" s="609"/>
      <c r="TDD28" s="609"/>
      <c r="TDE28" s="609"/>
      <c r="TDF28" s="609"/>
      <c r="TDG28" s="609"/>
      <c r="TDH28" s="609"/>
      <c r="TDI28" s="609"/>
      <c r="TDJ28" s="609"/>
      <c r="TDK28" s="609"/>
      <c r="TDL28" s="609"/>
      <c r="TDM28" s="609"/>
      <c r="TDN28" s="609"/>
      <c r="TDO28" s="609"/>
      <c r="TDP28" s="609"/>
      <c r="TDQ28" s="609"/>
      <c r="TDR28" s="609"/>
      <c r="TDS28" s="609"/>
      <c r="TDT28" s="609"/>
      <c r="TDU28" s="609"/>
      <c r="TDV28" s="609"/>
      <c r="TDW28" s="609"/>
      <c r="TDX28" s="609"/>
      <c r="TDY28" s="609"/>
      <c r="TDZ28" s="609"/>
      <c r="TEA28" s="609"/>
      <c r="TEB28" s="609"/>
      <c r="TEC28" s="609"/>
      <c r="TED28" s="609"/>
      <c r="TEE28" s="609"/>
      <c r="TEF28" s="609"/>
      <c r="TEG28" s="609"/>
      <c r="TEH28" s="609"/>
      <c r="TEI28" s="609"/>
      <c r="TEJ28" s="609"/>
      <c r="TEK28" s="609"/>
      <c r="TEL28" s="609"/>
      <c r="TEM28" s="609"/>
      <c r="TEN28" s="609"/>
      <c r="TEO28" s="609"/>
      <c r="TEP28" s="609"/>
      <c r="TEQ28" s="609"/>
      <c r="TER28" s="609"/>
      <c r="TES28" s="609"/>
      <c r="TET28" s="609"/>
      <c r="TEU28" s="609"/>
      <c r="TEV28" s="609"/>
      <c r="TEW28" s="609"/>
      <c r="TEX28" s="609"/>
      <c r="TEY28" s="609"/>
      <c r="TEZ28" s="609"/>
      <c r="TFA28" s="609"/>
      <c r="TFB28" s="609"/>
      <c r="TFC28" s="609"/>
      <c r="TFD28" s="609"/>
      <c r="TFE28" s="609"/>
      <c r="TFF28" s="609"/>
      <c r="TFG28" s="609"/>
      <c r="TFH28" s="609"/>
      <c r="TFI28" s="609"/>
      <c r="TFJ28" s="609"/>
      <c r="TFK28" s="609"/>
      <c r="TFL28" s="609"/>
      <c r="TFM28" s="609"/>
      <c r="TFN28" s="609"/>
      <c r="TFO28" s="609"/>
      <c r="TFP28" s="609"/>
      <c r="TFQ28" s="609"/>
      <c r="TFR28" s="609"/>
      <c r="TFS28" s="609"/>
      <c r="TFT28" s="609"/>
      <c r="TFU28" s="609"/>
      <c r="TFV28" s="609"/>
      <c r="TFW28" s="609"/>
      <c r="TFX28" s="609"/>
      <c r="TFY28" s="609"/>
      <c r="TFZ28" s="609"/>
      <c r="TGA28" s="609"/>
      <c r="TGB28" s="609"/>
      <c r="TGC28" s="609"/>
      <c r="TGD28" s="609"/>
      <c r="TGE28" s="609"/>
      <c r="TGF28" s="609"/>
      <c r="TGG28" s="609"/>
      <c r="TGH28" s="609"/>
      <c r="TGI28" s="609"/>
      <c r="TGJ28" s="609"/>
      <c r="TGK28" s="609"/>
      <c r="TGL28" s="609"/>
      <c r="TGM28" s="609"/>
      <c r="TGN28" s="609"/>
      <c r="TGO28" s="609"/>
      <c r="TGP28" s="609"/>
      <c r="TGQ28" s="609"/>
      <c r="TGR28" s="609"/>
      <c r="TGS28" s="609"/>
      <c r="TGT28" s="609"/>
      <c r="TGU28" s="609"/>
      <c r="TGV28" s="609"/>
      <c r="TGW28" s="609"/>
      <c r="TGX28" s="609"/>
      <c r="TGY28" s="609"/>
      <c r="TGZ28" s="609"/>
      <c r="THA28" s="609"/>
      <c r="THB28" s="609"/>
      <c r="THC28" s="609"/>
      <c r="THD28" s="609"/>
      <c r="THE28" s="609"/>
      <c r="THF28" s="609"/>
      <c r="THG28" s="609"/>
      <c r="THH28" s="609"/>
      <c r="THI28" s="609"/>
      <c r="THJ28" s="609"/>
      <c r="THK28" s="609"/>
      <c r="THL28" s="609"/>
      <c r="THM28" s="609"/>
      <c r="THN28" s="609"/>
      <c r="THO28" s="609"/>
      <c r="THP28" s="609"/>
      <c r="THQ28" s="609"/>
      <c r="THR28" s="609"/>
      <c r="THS28" s="609"/>
      <c r="THT28" s="609"/>
      <c r="THU28" s="609"/>
      <c r="THV28" s="609"/>
      <c r="THW28" s="609"/>
      <c r="THX28" s="609"/>
      <c r="THY28" s="609"/>
      <c r="THZ28" s="609"/>
      <c r="TIA28" s="609"/>
      <c r="TIB28" s="609"/>
      <c r="TIC28" s="609"/>
      <c r="TID28" s="609"/>
      <c r="TIE28" s="609"/>
      <c r="TIF28" s="609"/>
      <c r="TIG28" s="609"/>
      <c r="TIH28" s="609"/>
      <c r="TII28" s="609"/>
      <c r="TIJ28" s="609"/>
      <c r="TIK28" s="609"/>
      <c r="TIL28" s="609"/>
      <c r="TIM28" s="609"/>
      <c r="TIN28" s="609"/>
      <c r="TIO28" s="609"/>
      <c r="TIP28" s="609"/>
      <c r="TIQ28" s="609"/>
      <c r="TIR28" s="609"/>
      <c r="TIS28" s="609"/>
      <c r="TIT28" s="609"/>
      <c r="TIU28" s="609"/>
      <c r="TIV28" s="609"/>
      <c r="TIW28" s="609"/>
      <c r="TIX28" s="609"/>
      <c r="TIY28" s="609"/>
      <c r="TIZ28" s="609"/>
      <c r="TJA28" s="609"/>
      <c r="TJB28" s="609"/>
      <c r="TJC28" s="609"/>
      <c r="TJD28" s="609"/>
      <c r="TJE28" s="609"/>
      <c r="TJF28" s="609"/>
      <c r="TJG28" s="609"/>
      <c r="TJH28" s="609"/>
      <c r="TJI28" s="609"/>
      <c r="TJJ28" s="609"/>
      <c r="TJK28" s="609"/>
      <c r="TJL28" s="609"/>
      <c r="TJM28" s="609"/>
      <c r="TJN28" s="609"/>
      <c r="TJO28" s="609"/>
      <c r="TJP28" s="609"/>
      <c r="TJQ28" s="609"/>
      <c r="TJR28" s="609"/>
      <c r="TJS28" s="609"/>
      <c r="TJT28" s="609"/>
      <c r="TJU28" s="609"/>
      <c r="TJV28" s="609"/>
      <c r="TJW28" s="609"/>
      <c r="TJX28" s="609"/>
      <c r="TJY28" s="609"/>
      <c r="TJZ28" s="609"/>
      <c r="TKA28" s="609"/>
      <c r="TKB28" s="609"/>
      <c r="TKC28" s="609"/>
      <c r="TKD28" s="609"/>
      <c r="TKE28" s="609"/>
      <c r="TKF28" s="609"/>
      <c r="TKG28" s="609"/>
      <c r="TKH28" s="609"/>
      <c r="TKI28" s="609"/>
      <c r="TKJ28" s="609"/>
      <c r="TKK28" s="609"/>
      <c r="TKL28" s="609"/>
      <c r="TKM28" s="609"/>
      <c r="TKN28" s="609"/>
      <c r="TKO28" s="609"/>
      <c r="TKP28" s="609"/>
      <c r="TKQ28" s="609"/>
      <c r="TKR28" s="609"/>
      <c r="TKS28" s="609"/>
      <c r="TKT28" s="609"/>
      <c r="TKU28" s="609"/>
      <c r="TKV28" s="609"/>
      <c r="TKW28" s="609"/>
      <c r="TKX28" s="609"/>
      <c r="TKY28" s="609"/>
      <c r="TKZ28" s="609"/>
      <c r="TLA28" s="609"/>
      <c r="TLB28" s="609"/>
      <c r="TLC28" s="609"/>
      <c r="TLD28" s="609"/>
      <c r="TLE28" s="609"/>
      <c r="TLF28" s="609"/>
      <c r="TLG28" s="609"/>
      <c r="TLH28" s="609"/>
      <c r="TLI28" s="609"/>
      <c r="TLJ28" s="609"/>
      <c r="TLK28" s="609"/>
      <c r="TLL28" s="609"/>
      <c r="TLM28" s="609"/>
      <c r="TLN28" s="609"/>
      <c r="TLO28" s="609"/>
      <c r="TLP28" s="609"/>
      <c r="TLQ28" s="609"/>
      <c r="TLR28" s="609"/>
      <c r="TLS28" s="609"/>
      <c r="TLT28" s="609"/>
      <c r="TLU28" s="609"/>
      <c r="TLV28" s="609"/>
      <c r="TLW28" s="609"/>
      <c r="TLX28" s="609"/>
      <c r="TLY28" s="609"/>
      <c r="TLZ28" s="609"/>
      <c r="TMA28" s="609"/>
      <c r="TMB28" s="609"/>
      <c r="TMC28" s="609"/>
      <c r="TMD28" s="609"/>
      <c r="TME28" s="609"/>
      <c r="TMF28" s="609"/>
      <c r="TMG28" s="609"/>
      <c r="TMH28" s="609"/>
      <c r="TMI28" s="609"/>
      <c r="TMJ28" s="609"/>
      <c r="TMK28" s="609"/>
      <c r="TML28" s="609"/>
      <c r="TMM28" s="609"/>
      <c r="TMN28" s="609"/>
      <c r="TMO28" s="609"/>
      <c r="TMP28" s="609"/>
      <c r="TMQ28" s="609"/>
      <c r="TMR28" s="609"/>
      <c r="TMS28" s="609"/>
      <c r="TMT28" s="609"/>
      <c r="TMU28" s="609"/>
      <c r="TMV28" s="609"/>
      <c r="TMW28" s="609"/>
      <c r="TMX28" s="609"/>
      <c r="TMY28" s="609"/>
      <c r="TMZ28" s="609"/>
      <c r="TNA28" s="609"/>
      <c r="TNB28" s="609"/>
      <c r="TNC28" s="609"/>
      <c r="TND28" s="609"/>
      <c r="TNE28" s="609"/>
      <c r="TNF28" s="609"/>
      <c r="TNG28" s="609"/>
      <c r="TNH28" s="609"/>
      <c r="TNI28" s="609"/>
      <c r="TNJ28" s="609"/>
      <c r="TNK28" s="609"/>
      <c r="TNL28" s="609"/>
      <c r="TNM28" s="609"/>
      <c r="TNN28" s="609"/>
      <c r="TNO28" s="609"/>
      <c r="TNP28" s="609"/>
      <c r="TNQ28" s="609"/>
      <c r="TNR28" s="609"/>
      <c r="TNS28" s="609"/>
      <c r="TNT28" s="609"/>
      <c r="TNU28" s="609"/>
      <c r="TNV28" s="609"/>
      <c r="TNW28" s="609"/>
      <c r="TNX28" s="609"/>
      <c r="TNY28" s="609"/>
      <c r="TNZ28" s="609"/>
      <c r="TOA28" s="609"/>
      <c r="TOB28" s="609"/>
      <c r="TOC28" s="609"/>
      <c r="TOD28" s="609"/>
      <c r="TOE28" s="609"/>
      <c r="TOF28" s="609"/>
      <c r="TOG28" s="609"/>
      <c r="TOH28" s="609"/>
      <c r="TOI28" s="609"/>
      <c r="TOJ28" s="609"/>
      <c r="TOK28" s="609"/>
      <c r="TOL28" s="609"/>
      <c r="TOM28" s="609"/>
      <c r="TON28" s="609"/>
      <c r="TOO28" s="609"/>
      <c r="TOP28" s="609"/>
      <c r="TOQ28" s="609"/>
      <c r="TOR28" s="609"/>
      <c r="TOS28" s="609"/>
      <c r="TOT28" s="609"/>
      <c r="TOU28" s="609"/>
      <c r="TOV28" s="609"/>
      <c r="TOW28" s="609"/>
      <c r="TOX28" s="609"/>
      <c r="TOY28" s="609"/>
      <c r="TOZ28" s="609"/>
      <c r="TPA28" s="609"/>
      <c r="TPB28" s="609"/>
      <c r="TPC28" s="609"/>
      <c r="TPD28" s="609"/>
      <c r="TPE28" s="609"/>
      <c r="TPF28" s="609"/>
      <c r="TPG28" s="609"/>
      <c r="TPH28" s="609"/>
      <c r="TPI28" s="609"/>
      <c r="TPJ28" s="609"/>
      <c r="TPK28" s="609"/>
      <c r="TPL28" s="609"/>
      <c r="TPM28" s="609"/>
      <c r="TPN28" s="609"/>
      <c r="TPO28" s="609"/>
      <c r="TPP28" s="609"/>
      <c r="TPQ28" s="609"/>
      <c r="TPR28" s="609"/>
      <c r="TPS28" s="609"/>
      <c r="TPT28" s="609"/>
      <c r="TPU28" s="609"/>
      <c r="TPV28" s="609"/>
      <c r="TPW28" s="609"/>
      <c r="TPX28" s="609"/>
      <c r="TPY28" s="609"/>
      <c r="TPZ28" s="609"/>
      <c r="TQA28" s="609"/>
      <c r="TQB28" s="609"/>
      <c r="TQC28" s="609"/>
      <c r="TQD28" s="609"/>
      <c r="TQE28" s="609"/>
      <c r="TQF28" s="609"/>
      <c r="TQG28" s="609"/>
      <c r="TQH28" s="609"/>
      <c r="TQI28" s="609"/>
      <c r="TQJ28" s="609"/>
      <c r="TQK28" s="609"/>
      <c r="TQL28" s="609"/>
      <c r="TQM28" s="609"/>
      <c r="TQN28" s="609"/>
      <c r="TQO28" s="609"/>
      <c r="TQP28" s="609"/>
      <c r="TQQ28" s="609"/>
      <c r="TQR28" s="609"/>
      <c r="TQS28" s="609"/>
      <c r="TQT28" s="609"/>
      <c r="TQU28" s="609"/>
      <c r="TQV28" s="609"/>
      <c r="TQW28" s="609"/>
      <c r="TQX28" s="609"/>
      <c r="TQY28" s="609"/>
      <c r="TQZ28" s="609"/>
      <c r="TRA28" s="609"/>
      <c r="TRB28" s="609"/>
      <c r="TRC28" s="609"/>
      <c r="TRD28" s="609"/>
      <c r="TRE28" s="609"/>
      <c r="TRF28" s="609"/>
      <c r="TRG28" s="609"/>
      <c r="TRH28" s="609"/>
      <c r="TRI28" s="609"/>
      <c r="TRJ28" s="609"/>
      <c r="TRK28" s="609"/>
      <c r="TRL28" s="609"/>
      <c r="TRM28" s="609"/>
      <c r="TRN28" s="609"/>
      <c r="TRO28" s="609"/>
      <c r="TRP28" s="609"/>
      <c r="TRQ28" s="609"/>
      <c r="TRR28" s="609"/>
      <c r="TRS28" s="609"/>
      <c r="TRT28" s="609"/>
      <c r="TRU28" s="609"/>
      <c r="TRV28" s="609"/>
      <c r="TRW28" s="609"/>
      <c r="TRX28" s="609"/>
      <c r="TRY28" s="609"/>
      <c r="TRZ28" s="609"/>
      <c r="TSA28" s="609"/>
      <c r="TSB28" s="609"/>
      <c r="TSC28" s="609"/>
      <c r="TSD28" s="609"/>
      <c r="TSE28" s="609"/>
      <c r="TSF28" s="609"/>
      <c r="TSG28" s="609"/>
      <c r="TSH28" s="609"/>
      <c r="TSI28" s="609"/>
      <c r="TSJ28" s="609"/>
      <c r="TSK28" s="609"/>
      <c r="TSL28" s="609"/>
      <c r="TSM28" s="609"/>
      <c r="TSN28" s="609"/>
      <c r="TSO28" s="609"/>
      <c r="TSP28" s="609"/>
      <c r="TSQ28" s="609"/>
      <c r="TSR28" s="609"/>
      <c r="TSS28" s="609"/>
      <c r="TST28" s="609"/>
      <c r="TSU28" s="609"/>
      <c r="TSV28" s="609"/>
      <c r="TSW28" s="609"/>
      <c r="TSX28" s="609"/>
      <c r="TSY28" s="609"/>
      <c r="TSZ28" s="609"/>
      <c r="TTA28" s="609"/>
      <c r="TTB28" s="609"/>
      <c r="TTC28" s="609"/>
      <c r="TTD28" s="609"/>
      <c r="TTE28" s="609"/>
      <c r="TTF28" s="609"/>
      <c r="TTG28" s="609"/>
      <c r="TTH28" s="609"/>
      <c r="TTI28" s="609"/>
      <c r="TTJ28" s="609"/>
      <c r="TTK28" s="609"/>
      <c r="TTL28" s="609"/>
      <c r="TTM28" s="609"/>
      <c r="TTN28" s="609"/>
      <c r="TTO28" s="609"/>
      <c r="TTP28" s="609"/>
      <c r="TTQ28" s="609"/>
      <c r="TTR28" s="609"/>
      <c r="TTS28" s="609"/>
      <c r="TTT28" s="609"/>
      <c r="TTU28" s="609"/>
      <c r="TTV28" s="609"/>
      <c r="TTW28" s="609"/>
      <c r="TTX28" s="609"/>
      <c r="TTY28" s="609"/>
      <c r="TTZ28" s="609"/>
      <c r="TUA28" s="609"/>
      <c r="TUB28" s="609"/>
      <c r="TUC28" s="609"/>
      <c r="TUD28" s="609"/>
      <c r="TUE28" s="609"/>
      <c r="TUF28" s="609"/>
      <c r="TUG28" s="609"/>
      <c r="TUH28" s="609"/>
      <c r="TUI28" s="609"/>
      <c r="TUJ28" s="609"/>
      <c r="TUK28" s="609"/>
      <c r="TUL28" s="609"/>
      <c r="TUM28" s="609"/>
      <c r="TUN28" s="609"/>
      <c r="TUO28" s="609"/>
      <c r="TUP28" s="609"/>
      <c r="TUQ28" s="609"/>
      <c r="TUR28" s="609"/>
      <c r="TUS28" s="609"/>
      <c r="TUT28" s="609"/>
      <c r="TUU28" s="609"/>
      <c r="TUV28" s="609"/>
      <c r="TUW28" s="609"/>
      <c r="TUX28" s="609"/>
      <c r="TUY28" s="609"/>
      <c r="TUZ28" s="609"/>
      <c r="TVA28" s="609"/>
      <c r="TVB28" s="609"/>
      <c r="TVC28" s="609"/>
      <c r="TVD28" s="609"/>
      <c r="TVE28" s="609"/>
      <c r="TVF28" s="609"/>
      <c r="TVG28" s="609"/>
      <c r="TVH28" s="609"/>
      <c r="TVI28" s="609"/>
      <c r="TVJ28" s="609"/>
      <c r="TVK28" s="609"/>
      <c r="TVL28" s="609"/>
      <c r="TVM28" s="609"/>
      <c r="TVN28" s="609"/>
      <c r="TVO28" s="609"/>
      <c r="TVP28" s="609"/>
      <c r="TVQ28" s="609"/>
      <c r="TVR28" s="609"/>
      <c r="TVS28" s="609"/>
      <c r="TVT28" s="609"/>
      <c r="TVU28" s="609"/>
      <c r="TVV28" s="609"/>
      <c r="TVW28" s="609"/>
      <c r="TVX28" s="609"/>
      <c r="TVY28" s="609"/>
      <c r="TVZ28" s="609"/>
      <c r="TWA28" s="609"/>
      <c r="TWB28" s="609"/>
      <c r="TWC28" s="609"/>
      <c r="TWD28" s="609"/>
      <c r="TWE28" s="609"/>
      <c r="TWF28" s="609"/>
      <c r="TWG28" s="609"/>
      <c r="TWH28" s="609"/>
      <c r="TWI28" s="609"/>
      <c r="TWJ28" s="609"/>
      <c r="TWK28" s="609"/>
      <c r="TWL28" s="609"/>
      <c r="TWM28" s="609"/>
      <c r="TWN28" s="609"/>
      <c r="TWO28" s="609"/>
      <c r="TWP28" s="609"/>
      <c r="TWQ28" s="609"/>
      <c r="TWR28" s="609"/>
      <c r="TWS28" s="609"/>
      <c r="TWT28" s="609"/>
      <c r="TWU28" s="609"/>
      <c r="TWV28" s="609"/>
      <c r="TWW28" s="609"/>
      <c r="TWX28" s="609"/>
      <c r="TWY28" s="609"/>
      <c r="TWZ28" s="609"/>
      <c r="TXA28" s="609"/>
      <c r="TXB28" s="609"/>
      <c r="TXC28" s="609"/>
      <c r="TXD28" s="609"/>
      <c r="TXE28" s="609"/>
      <c r="TXF28" s="609"/>
      <c r="TXG28" s="609"/>
      <c r="TXH28" s="609"/>
      <c r="TXI28" s="609"/>
      <c r="TXJ28" s="609"/>
      <c r="TXK28" s="609"/>
      <c r="TXL28" s="609"/>
      <c r="TXM28" s="609"/>
      <c r="TXN28" s="609"/>
      <c r="TXO28" s="609"/>
      <c r="TXP28" s="609"/>
      <c r="TXQ28" s="609"/>
      <c r="TXR28" s="609"/>
      <c r="TXS28" s="609"/>
      <c r="TXT28" s="609"/>
      <c r="TXU28" s="609"/>
      <c r="TXV28" s="609"/>
      <c r="TXW28" s="609"/>
      <c r="TXX28" s="609"/>
      <c r="TXY28" s="609"/>
      <c r="TXZ28" s="609"/>
      <c r="TYA28" s="609"/>
      <c r="TYB28" s="609"/>
      <c r="TYC28" s="609"/>
      <c r="TYD28" s="609"/>
      <c r="TYE28" s="609"/>
      <c r="TYF28" s="609"/>
      <c r="TYG28" s="609"/>
      <c r="TYH28" s="609"/>
      <c r="TYI28" s="609"/>
      <c r="TYJ28" s="609"/>
      <c r="TYK28" s="609"/>
      <c r="TYL28" s="609"/>
      <c r="TYM28" s="609"/>
      <c r="TYN28" s="609"/>
      <c r="TYO28" s="609"/>
      <c r="TYP28" s="609"/>
      <c r="TYQ28" s="609"/>
      <c r="TYR28" s="609"/>
      <c r="TYS28" s="609"/>
      <c r="TYT28" s="609"/>
      <c r="TYU28" s="609"/>
      <c r="TYV28" s="609"/>
      <c r="TYW28" s="609"/>
      <c r="TYX28" s="609"/>
      <c r="TYY28" s="609"/>
      <c r="TYZ28" s="609"/>
      <c r="TZA28" s="609"/>
      <c r="TZB28" s="609"/>
      <c r="TZC28" s="609"/>
      <c r="TZD28" s="609"/>
      <c r="TZE28" s="609"/>
      <c r="TZF28" s="609"/>
      <c r="TZG28" s="609"/>
      <c r="TZH28" s="609"/>
      <c r="TZI28" s="609"/>
      <c r="TZJ28" s="609"/>
      <c r="TZK28" s="609"/>
      <c r="TZL28" s="609"/>
      <c r="TZM28" s="609"/>
      <c r="TZN28" s="609"/>
      <c r="TZO28" s="609"/>
      <c r="TZP28" s="609"/>
      <c r="TZQ28" s="609"/>
      <c r="TZR28" s="609"/>
      <c r="TZS28" s="609"/>
      <c r="TZT28" s="609"/>
      <c r="TZU28" s="609"/>
      <c r="TZV28" s="609"/>
      <c r="TZW28" s="609"/>
      <c r="TZX28" s="609"/>
      <c r="TZY28" s="609"/>
      <c r="TZZ28" s="609"/>
      <c r="UAA28" s="609"/>
      <c r="UAB28" s="609"/>
      <c r="UAC28" s="609"/>
      <c r="UAD28" s="609"/>
      <c r="UAE28" s="609"/>
      <c r="UAF28" s="609"/>
      <c r="UAG28" s="609"/>
      <c r="UAH28" s="609"/>
      <c r="UAI28" s="609"/>
      <c r="UAJ28" s="609"/>
      <c r="UAK28" s="609"/>
      <c r="UAL28" s="609"/>
      <c r="UAM28" s="609"/>
      <c r="UAN28" s="609"/>
      <c r="UAO28" s="609"/>
      <c r="UAP28" s="609"/>
      <c r="UAQ28" s="609"/>
      <c r="UAR28" s="609"/>
      <c r="UAS28" s="609"/>
      <c r="UAT28" s="609"/>
      <c r="UAU28" s="609"/>
      <c r="UAV28" s="609"/>
      <c r="UAW28" s="609"/>
      <c r="UAX28" s="609"/>
      <c r="UAY28" s="609"/>
      <c r="UAZ28" s="609"/>
      <c r="UBA28" s="609"/>
      <c r="UBB28" s="609"/>
      <c r="UBC28" s="609"/>
      <c r="UBD28" s="609"/>
      <c r="UBE28" s="609"/>
      <c r="UBF28" s="609"/>
      <c r="UBG28" s="609"/>
      <c r="UBH28" s="609"/>
      <c r="UBI28" s="609"/>
      <c r="UBJ28" s="609"/>
      <c r="UBK28" s="609"/>
      <c r="UBL28" s="609"/>
      <c r="UBM28" s="609"/>
      <c r="UBN28" s="609"/>
      <c r="UBO28" s="609"/>
      <c r="UBP28" s="609"/>
      <c r="UBQ28" s="609"/>
      <c r="UBR28" s="609"/>
      <c r="UBS28" s="609"/>
      <c r="UBT28" s="609"/>
      <c r="UBU28" s="609"/>
      <c r="UBV28" s="609"/>
      <c r="UBW28" s="609"/>
      <c r="UBX28" s="609"/>
      <c r="UBY28" s="609"/>
      <c r="UBZ28" s="609"/>
      <c r="UCA28" s="609"/>
      <c r="UCB28" s="609"/>
      <c r="UCC28" s="609"/>
      <c r="UCD28" s="609"/>
      <c r="UCE28" s="609"/>
      <c r="UCF28" s="609"/>
      <c r="UCG28" s="609"/>
      <c r="UCH28" s="609"/>
      <c r="UCI28" s="609"/>
      <c r="UCJ28" s="609"/>
      <c r="UCK28" s="609"/>
      <c r="UCL28" s="609"/>
      <c r="UCM28" s="609"/>
      <c r="UCN28" s="609"/>
      <c r="UCO28" s="609"/>
      <c r="UCP28" s="609"/>
      <c r="UCQ28" s="609"/>
      <c r="UCR28" s="609"/>
      <c r="UCS28" s="609"/>
      <c r="UCT28" s="609"/>
      <c r="UCU28" s="609"/>
      <c r="UCV28" s="609"/>
      <c r="UCW28" s="609"/>
      <c r="UCX28" s="609"/>
      <c r="UCY28" s="609"/>
      <c r="UCZ28" s="609"/>
      <c r="UDA28" s="609"/>
      <c r="UDB28" s="609"/>
      <c r="UDC28" s="609"/>
      <c r="UDD28" s="609"/>
      <c r="UDE28" s="609"/>
      <c r="UDF28" s="609"/>
      <c r="UDG28" s="609"/>
      <c r="UDH28" s="609"/>
      <c r="UDI28" s="609"/>
      <c r="UDJ28" s="609"/>
      <c r="UDK28" s="609"/>
      <c r="UDL28" s="609"/>
      <c r="UDM28" s="609"/>
      <c r="UDN28" s="609"/>
      <c r="UDO28" s="609"/>
      <c r="UDP28" s="609"/>
      <c r="UDQ28" s="609"/>
      <c r="UDR28" s="609"/>
      <c r="UDS28" s="609"/>
      <c r="UDT28" s="609"/>
      <c r="UDU28" s="609"/>
      <c r="UDV28" s="609"/>
      <c r="UDW28" s="609"/>
      <c r="UDX28" s="609"/>
      <c r="UDY28" s="609"/>
      <c r="UDZ28" s="609"/>
      <c r="UEA28" s="609"/>
      <c r="UEB28" s="609"/>
      <c r="UEC28" s="609"/>
      <c r="UED28" s="609"/>
      <c r="UEE28" s="609"/>
      <c r="UEF28" s="609"/>
      <c r="UEG28" s="609"/>
      <c r="UEH28" s="609"/>
      <c r="UEI28" s="609"/>
      <c r="UEJ28" s="609"/>
      <c r="UEK28" s="609"/>
      <c r="UEL28" s="609"/>
      <c r="UEM28" s="609"/>
      <c r="UEN28" s="609"/>
      <c r="UEO28" s="609"/>
      <c r="UEP28" s="609"/>
      <c r="UEQ28" s="609"/>
      <c r="UER28" s="609"/>
      <c r="UES28" s="609"/>
      <c r="UET28" s="609"/>
      <c r="UEU28" s="609"/>
      <c r="UEV28" s="609"/>
      <c r="UEW28" s="609"/>
      <c r="UEX28" s="609"/>
      <c r="UEY28" s="609"/>
      <c r="UEZ28" s="609"/>
      <c r="UFA28" s="609"/>
      <c r="UFB28" s="609"/>
      <c r="UFC28" s="609"/>
      <c r="UFD28" s="609"/>
      <c r="UFE28" s="609"/>
      <c r="UFF28" s="609"/>
      <c r="UFG28" s="609"/>
      <c r="UFH28" s="609"/>
      <c r="UFI28" s="609"/>
      <c r="UFJ28" s="609"/>
      <c r="UFK28" s="609"/>
      <c r="UFL28" s="609"/>
      <c r="UFM28" s="609"/>
      <c r="UFN28" s="609"/>
      <c r="UFO28" s="609"/>
      <c r="UFP28" s="609"/>
      <c r="UFQ28" s="609"/>
      <c r="UFR28" s="609"/>
      <c r="UFS28" s="609"/>
      <c r="UFT28" s="609"/>
      <c r="UFU28" s="609"/>
      <c r="UFV28" s="609"/>
      <c r="UFW28" s="609"/>
      <c r="UFX28" s="609"/>
      <c r="UFY28" s="609"/>
      <c r="UFZ28" s="609"/>
      <c r="UGA28" s="609"/>
      <c r="UGB28" s="609"/>
      <c r="UGC28" s="609"/>
      <c r="UGD28" s="609"/>
      <c r="UGE28" s="609"/>
      <c r="UGF28" s="609"/>
      <c r="UGG28" s="609"/>
      <c r="UGH28" s="609"/>
      <c r="UGI28" s="609"/>
      <c r="UGJ28" s="609"/>
      <c r="UGK28" s="609"/>
      <c r="UGL28" s="609"/>
      <c r="UGM28" s="609"/>
      <c r="UGN28" s="609"/>
      <c r="UGO28" s="609"/>
      <c r="UGP28" s="609"/>
      <c r="UGQ28" s="609"/>
      <c r="UGR28" s="609"/>
      <c r="UGS28" s="609"/>
      <c r="UGT28" s="609"/>
      <c r="UGU28" s="609"/>
      <c r="UGV28" s="609"/>
      <c r="UGW28" s="609"/>
      <c r="UGX28" s="609"/>
      <c r="UGY28" s="609"/>
      <c r="UGZ28" s="609"/>
      <c r="UHA28" s="609"/>
      <c r="UHB28" s="609"/>
      <c r="UHC28" s="609"/>
      <c r="UHD28" s="609"/>
      <c r="UHE28" s="609"/>
      <c r="UHF28" s="609"/>
      <c r="UHG28" s="609"/>
      <c r="UHH28" s="609"/>
      <c r="UHI28" s="609"/>
      <c r="UHJ28" s="609"/>
      <c r="UHK28" s="609"/>
      <c r="UHL28" s="609"/>
      <c r="UHM28" s="609"/>
      <c r="UHN28" s="609"/>
      <c r="UHO28" s="609"/>
      <c r="UHP28" s="609"/>
      <c r="UHQ28" s="609"/>
      <c r="UHR28" s="609"/>
      <c r="UHS28" s="609"/>
      <c r="UHT28" s="609"/>
      <c r="UHU28" s="609"/>
      <c r="UHV28" s="609"/>
      <c r="UHW28" s="609"/>
      <c r="UHX28" s="609"/>
      <c r="UHY28" s="609"/>
      <c r="UHZ28" s="609"/>
      <c r="UIA28" s="609"/>
      <c r="UIB28" s="609"/>
      <c r="UIC28" s="609"/>
      <c r="UID28" s="609"/>
      <c r="UIE28" s="609"/>
      <c r="UIF28" s="609"/>
      <c r="UIG28" s="609"/>
      <c r="UIH28" s="609"/>
      <c r="UII28" s="609"/>
      <c r="UIJ28" s="609"/>
      <c r="UIK28" s="609"/>
      <c r="UIL28" s="609"/>
      <c r="UIM28" s="609"/>
      <c r="UIN28" s="609"/>
      <c r="UIO28" s="609"/>
      <c r="UIP28" s="609"/>
      <c r="UIQ28" s="609"/>
      <c r="UIR28" s="609"/>
      <c r="UIS28" s="609"/>
      <c r="UIT28" s="609"/>
      <c r="UIU28" s="609"/>
      <c r="UIV28" s="609"/>
      <c r="UIW28" s="609"/>
      <c r="UIX28" s="609"/>
      <c r="UIY28" s="609"/>
      <c r="UIZ28" s="609"/>
      <c r="UJA28" s="609"/>
      <c r="UJB28" s="609"/>
      <c r="UJC28" s="609"/>
      <c r="UJD28" s="609"/>
      <c r="UJE28" s="609"/>
      <c r="UJF28" s="609"/>
      <c r="UJG28" s="609"/>
      <c r="UJH28" s="609"/>
      <c r="UJI28" s="609"/>
      <c r="UJJ28" s="609"/>
      <c r="UJK28" s="609"/>
      <c r="UJL28" s="609"/>
      <c r="UJM28" s="609"/>
      <c r="UJN28" s="609"/>
      <c r="UJO28" s="609"/>
      <c r="UJP28" s="609"/>
      <c r="UJQ28" s="609"/>
      <c r="UJR28" s="609"/>
      <c r="UJS28" s="609"/>
      <c r="UJT28" s="609"/>
      <c r="UJU28" s="609"/>
      <c r="UJV28" s="609"/>
      <c r="UJW28" s="609"/>
      <c r="UJX28" s="609"/>
      <c r="UJY28" s="609"/>
      <c r="UJZ28" s="609"/>
      <c r="UKA28" s="609"/>
      <c r="UKB28" s="609"/>
      <c r="UKC28" s="609"/>
      <c r="UKD28" s="609"/>
      <c r="UKE28" s="609"/>
      <c r="UKF28" s="609"/>
      <c r="UKG28" s="609"/>
      <c r="UKH28" s="609"/>
      <c r="UKI28" s="609"/>
      <c r="UKJ28" s="609"/>
      <c r="UKK28" s="609"/>
      <c r="UKL28" s="609"/>
      <c r="UKM28" s="609"/>
      <c r="UKN28" s="609"/>
      <c r="UKO28" s="609"/>
      <c r="UKP28" s="609"/>
      <c r="UKQ28" s="609"/>
      <c r="UKR28" s="609"/>
      <c r="UKS28" s="609"/>
      <c r="UKT28" s="609"/>
      <c r="UKU28" s="609"/>
      <c r="UKV28" s="609"/>
      <c r="UKW28" s="609"/>
      <c r="UKX28" s="609"/>
      <c r="UKY28" s="609"/>
      <c r="UKZ28" s="609"/>
      <c r="ULA28" s="609"/>
      <c r="ULB28" s="609"/>
      <c r="ULC28" s="609"/>
      <c r="ULD28" s="609"/>
      <c r="ULE28" s="609"/>
      <c r="ULF28" s="609"/>
      <c r="ULG28" s="609"/>
      <c r="ULH28" s="609"/>
      <c r="ULI28" s="609"/>
      <c r="ULJ28" s="609"/>
      <c r="ULK28" s="609"/>
      <c r="ULL28" s="609"/>
      <c r="ULM28" s="609"/>
      <c r="ULN28" s="609"/>
      <c r="ULO28" s="609"/>
      <c r="ULP28" s="609"/>
      <c r="ULQ28" s="609"/>
      <c r="ULR28" s="609"/>
      <c r="ULS28" s="609"/>
      <c r="ULT28" s="609"/>
      <c r="ULU28" s="609"/>
      <c r="ULV28" s="609"/>
      <c r="ULW28" s="609"/>
      <c r="ULX28" s="609"/>
      <c r="ULY28" s="609"/>
      <c r="ULZ28" s="609"/>
      <c r="UMA28" s="609"/>
      <c r="UMB28" s="609"/>
      <c r="UMC28" s="609"/>
      <c r="UMD28" s="609"/>
      <c r="UME28" s="609"/>
      <c r="UMF28" s="609"/>
      <c r="UMG28" s="609"/>
      <c r="UMH28" s="609"/>
      <c r="UMI28" s="609"/>
      <c r="UMJ28" s="609"/>
      <c r="UMK28" s="609"/>
      <c r="UML28" s="609"/>
      <c r="UMM28" s="609"/>
      <c r="UMN28" s="609"/>
      <c r="UMO28" s="609"/>
      <c r="UMP28" s="609"/>
      <c r="UMQ28" s="609"/>
      <c r="UMR28" s="609"/>
      <c r="UMS28" s="609"/>
      <c r="UMT28" s="609"/>
      <c r="UMU28" s="609"/>
      <c r="UMV28" s="609"/>
      <c r="UMW28" s="609"/>
      <c r="UMX28" s="609"/>
      <c r="UMY28" s="609"/>
      <c r="UMZ28" s="609"/>
      <c r="UNA28" s="609"/>
      <c r="UNB28" s="609"/>
      <c r="UNC28" s="609"/>
      <c r="UND28" s="609"/>
      <c r="UNE28" s="609"/>
      <c r="UNF28" s="609"/>
      <c r="UNG28" s="609"/>
      <c r="UNH28" s="609"/>
      <c r="UNI28" s="609"/>
      <c r="UNJ28" s="609"/>
      <c r="UNK28" s="609"/>
      <c r="UNL28" s="609"/>
      <c r="UNM28" s="609"/>
      <c r="UNN28" s="609"/>
      <c r="UNO28" s="609"/>
      <c r="UNP28" s="609"/>
      <c r="UNQ28" s="609"/>
      <c r="UNR28" s="609"/>
      <c r="UNS28" s="609"/>
      <c r="UNT28" s="609"/>
      <c r="UNU28" s="609"/>
      <c r="UNV28" s="609"/>
      <c r="UNW28" s="609"/>
      <c r="UNX28" s="609"/>
      <c r="UNY28" s="609"/>
      <c r="UNZ28" s="609"/>
      <c r="UOA28" s="609"/>
      <c r="UOB28" s="609"/>
      <c r="UOC28" s="609"/>
      <c r="UOD28" s="609"/>
      <c r="UOE28" s="609"/>
      <c r="UOF28" s="609"/>
      <c r="UOG28" s="609"/>
      <c r="UOH28" s="609"/>
      <c r="UOI28" s="609"/>
      <c r="UOJ28" s="609"/>
      <c r="UOK28" s="609"/>
      <c r="UOL28" s="609"/>
      <c r="UOM28" s="609"/>
      <c r="UON28" s="609"/>
      <c r="UOO28" s="609"/>
      <c r="UOP28" s="609"/>
      <c r="UOQ28" s="609"/>
      <c r="UOR28" s="609"/>
      <c r="UOS28" s="609"/>
      <c r="UOT28" s="609"/>
      <c r="UOU28" s="609"/>
      <c r="UOV28" s="609"/>
      <c r="UOW28" s="609"/>
      <c r="UOX28" s="609"/>
      <c r="UOY28" s="609"/>
      <c r="UOZ28" s="609"/>
      <c r="UPA28" s="609"/>
      <c r="UPB28" s="609"/>
      <c r="UPC28" s="609"/>
      <c r="UPD28" s="609"/>
      <c r="UPE28" s="609"/>
      <c r="UPF28" s="609"/>
      <c r="UPG28" s="609"/>
      <c r="UPH28" s="609"/>
      <c r="UPI28" s="609"/>
      <c r="UPJ28" s="609"/>
      <c r="UPK28" s="609"/>
      <c r="UPL28" s="609"/>
      <c r="UPM28" s="609"/>
      <c r="UPN28" s="609"/>
      <c r="UPO28" s="609"/>
      <c r="UPP28" s="609"/>
      <c r="UPQ28" s="609"/>
      <c r="UPR28" s="609"/>
      <c r="UPS28" s="609"/>
      <c r="UPT28" s="609"/>
      <c r="UPU28" s="609"/>
      <c r="UPV28" s="609"/>
      <c r="UPW28" s="609"/>
      <c r="UPX28" s="609"/>
      <c r="UPY28" s="609"/>
      <c r="UPZ28" s="609"/>
      <c r="UQA28" s="609"/>
      <c r="UQB28" s="609"/>
      <c r="UQC28" s="609"/>
      <c r="UQD28" s="609"/>
      <c r="UQE28" s="609"/>
      <c r="UQF28" s="609"/>
      <c r="UQG28" s="609"/>
      <c r="UQH28" s="609"/>
      <c r="UQI28" s="609"/>
      <c r="UQJ28" s="609"/>
      <c r="UQK28" s="609"/>
      <c r="UQL28" s="609"/>
      <c r="UQM28" s="609"/>
      <c r="UQN28" s="609"/>
      <c r="UQO28" s="609"/>
      <c r="UQP28" s="609"/>
      <c r="UQQ28" s="609"/>
      <c r="UQR28" s="609"/>
      <c r="UQS28" s="609"/>
      <c r="UQT28" s="609"/>
      <c r="UQU28" s="609"/>
      <c r="UQV28" s="609"/>
      <c r="UQW28" s="609"/>
      <c r="UQX28" s="609"/>
      <c r="UQY28" s="609"/>
      <c r="UQZ28" s="609"/>
      <c r="URA28" s="609"/>
      <c r="URB28" s="609"/>
      <c r="URC28" s="609"/>
      <c r="URD28" s="609"/>
      <c r="URE28" s="609"/>
      <c r="URF28" s="609"/>
      <c r="URG28" s="609"/>
      <c r="URH28" s="609"/>
      <c r="URI28" s="609"/>
      <c r="URJ28" s="609"/>
      <c r="URK28" s="609"/>
      <c r="URL28" s="609"/>
      <c r="URM28" s="609"/>
      <c r="URN28" s="609"/>
      <c r="URO28" s="609"/>
      <c r="URP28" s="609"/>
      <c r="URQ28" s="609"/>
      <c r="URR28" s="609"/>
      <c r="URS28" s="609"/>
      <c r="URT28" s="609"/>
      <c r="URU28" s="609"/>
      <c r="URV28" s="609"/>
      <c r="URW28" s="609"/>
      <c r="URX28" s="609"/>
      <c r="URY28" s="609"/>
      <c r="URZ28" s="609"/>
      <c r="USA28" s="609"/>
      <c r="USB28" s="609"/>
      <c r="USC28" s="609"/>
      <c r="USD28" s="609"/>
      <c r="USE28" s="609"/>
      <c r="USF28" s="609"/>
      <c r="USG28" s="609"/>
      <c r="USH28" s="609"/>
      <c r="USI28" s="609"/>
      <c r="USJ28" s="609"/>
      <c r="USK28" s="609"/>
      <c r="USL28" s="609"/>
      <c r="USM28" s="609"/>
      <c r="USN28" s="609"/>
      <c r="USO28" s="609"/>
      <c r="USP28" s="609"/>
      <c r="USQ28" s="609"/>
      <c r="USR28" s="609"/>
      <c r="USS28" s="609"/>
      <c r="UST28" s="609"/>
      <c r="USU28" s="609"/>
      <c r="USV28" s="609"/>
      <c r="USW28" s="609"/>
      <c r="USX28" s="609"/>
      <c r="USY28" s="609"/>
      <c r="USZ28" s="609"/>
      <c r="UTA28" s="609"/>
      <c r="UTB28" s="609"/>
      <c r="UTC28" s="609"/>
      <c r="UTD28" s="609"/>
      <c r="UTE28" s="609"/>
      <c r="UTF28" s="609"/>
      <c r="UTG28" s="609"/>
      <c r="UTH28" s="609"/>
      <c r="UTI28" s="609"/>
      <c r="UTJ28" s="609"/>
      <c r="UTK28" s="609"/>
      <c r="UTL28" s="609"/>
      <c r="UTM28" s="609"/>
      <c r="UTN28" s="609"/>
      <c r="UTO28" s="609"/>
      <c r="UTP28" s="609"/>
      <c r="UTQ28" s="609"/>
      <c r="UTR28" s="609"/>
      <c r="UTS28" s="609"/>
      <c r="UTT28" s="609"/>
      <c r="UTU28" s="609"/>
      <c r="UTV28" s="609"/>
      <c r="UTW28" s="609"/>
      <c r="UTX28" s="609"/>
      <c r="UTY28" s="609"/>
      <c r="UTZ28" s="609"/>
      <c r="UUA28" s="609"/>
      <c r="UUB28" s="609"/>
      <c r="UUC28" s="609"/>
      <c r="UUD28" s="609"/>
      <c r="UUE28" s="609"/>
      <c r="UUF28" s="609"/>
      <c r="UUG28" s="609"/>
      <c r="UUH28" s="609"/>
      <c r="UUI28" s="609"/>
      <c r="UUJ28" s="609"/>
      <c r="UUK28" s="609"/>
      <c r="UUL28" s="609"/>
      <c r="UUM28" s="609"/>
      <c r="UUN28" s="609"/>
      <c r="UUO28" s="609"/>
      <c r="UUP28" s="609"/>
      <c r="UUQ28" s="609"/>
      <c r="UUR28" s="609"/>
      <c r="UUS28" s="609"/>
      <c r="UUT28" s="609"/>
      <c r="UUU28" s="609"/>
      <c r="UUV28" s="609"/>
      <c r="UUW28" s="609"/>
      <c r="UUX28" s="609"/>
      <c r="UUY28" s="609"/>
      <c r="UUZ28" s="609"/>
      <c r="UVA28" s="609"/>
      <c r="UVB28" s="609"/>
      <c r="UVC28" s="609"/>
      <c r="UVD28" s="609"/>
      <c r="UVE28" s="609"/>
      <c r="UVF28" s="609"/>
      <c r="UVG28" s="609"/>
      <c r="UVH28" s="609"/>
      <c r="UVI28" s="609"/>
      <c r="UVJ28" s="609"/>
      <c r="UVK28" s="609"/>
      <c r="UVL28" s="609"/>
      <c r="UVM28" s="609"/>
      <c r="UVN28" s="609"/>
      <c r="UVO28" s="609"/>
      <c r="UVP28" s="609"/>
      <c r="UVQ28" s="609"/>
      <c r="UVR28" s="609"/>
      <c r="UVS28" s="609"/>
      <c r="UVT28" s="609"/>
      <c r="UVU28" s="609"/>
      <c r="UVV28" s="609"/>
      <c r="UVW28" s="609"/>
      <c r="UVX28" s="609"/>
      <c r="UVY28" s="609"/>
      <c r="UVZ28" s="609"/>
      <c r="UWA28" s="609"/>
      <c r="UWB28" s="609"/>
      <c r="UWC28" s="609"/>
      <c r="UWD28" s="609"/>
      <c r="UWE28" s="609"/>
      <c r="UWF28" s="609"/>
      <c r="UWG28" s="609"/>
      <c r="UWH28" s="609"/>
      <c r="UWI28" s="609"/>
      <c r="UWJ28" s="609"/>
      <c r="UWK28" s="609"/>
      <c r="UWL28" s="609"/>
      <c r="UWM28" s="609"/>
      <c r="UWN28" s="609"/>
      <c r="UWO28" s="609"/>
      <c r="UWP28" s="609"/>
      <c r="UWQ28" s="609"/>
      <c r="UWR28" s="609"/>
      <c r="UWS28" s="609"/>
      <c r="UWT28" s="609"/>
      <c r="UWU28" s="609"/>
      <c r="UWV28" s="609"/>
      <c r="UWW28" s="609"/>
      <c r="UWX28" s="609"/>
      <c r="UWY28" s="609"/>
      <c r="UWZ28" s="609"/>
      <c r="UXA28" s="609"/>
      <c r="UXB28" s="609"/>
      <c r="UXC28" s="609"/>
      <c r="UXD28" s="609"/>
      <c r="UXE28" s="609"/>
      <c r="UXF28" s="609"/>
      <c r="UXG28" s="609"/>
      <c r="UXH28" s="609"/>
      <c r="UXI28" s="609"/>
      <c r="UXJ28" s="609"/>
      <c r="UXK28" s="609"/>
      <c r="UXL28" s="609"/>
      <c r="UXM28" s="609"/>
      <c r="UXN28" s="609"/>
      <c r="UXO28" s="609"/>
      <c r="UXP28" s="609"/>
      <c r="UXQ28" s="609"/>
      <c r="UXR28" s="609"/>
      <c r="UXS28" s="609"/>
      <c r="UXT28" s="609"/>
      <c r="UXU28" s="609"/>
      <c r="UXV28" s="609"/>
      <c r="UXW28" s="609"/>
      <c r="UXX28" s="609"/>
      <c r="UXY28" s="609"/>
      <c r="UXZ28" s="609"/>
      <c r="UYA28" s="609"/>
      <c r="UYB28" s="609"/>
      <c r="UYC28" s="609"/>
      <c r="UYD28" s="609"/>
      <c r="UYE28" s="609"/>
      <c r="UYF28" s="609"/>
      <c r="UYG28" s="609"/>
      <c r="UYH28" s="609"/>
      <c r="UYI28" s="609"/>
      <c r="UYJ28" s="609"/>
      <c r="UYK28" s="609"/>
      <c r="UYL28" s="609"/>
      <c r="UYM28" s="609"/>
      <c r="UYN28" s="609"/>
      <c r="UYO28" s="609"/>
      <c r="UYP28" s="609"/>
      <c r="UYQ28" s="609"/>
      <c r="UYR28" s="609"/>
      <c r="UYS28" s="609"/>
      <c r="UYT28" s="609"/>
      <c r="UYU28" s="609"/>
      <c r="UYV28" s="609"/>
      <c r="UYW28" s="609"/>
      <c r="UYX28" s="609"/>
      <c r="UYY28" s="609"/>
      <c r="UYZ28" s="609"/>
      <c r="UZA28" s="609"/>
      <c r="UZB28" s="609"/>
      <c r="UZC28" s="609"/>
      <c r="UZD28" s="609"/>
      <c r="UZE28" s="609"/>
      <c r="UZF28" s="609"/>
      <c r="UZG28" s="609"/>
      <c r="UZH28" s="609"/>
      <c r="UZI28" s="609"/>
      <c r="UZJ28" s="609"/>
      <c r="UZK28" s="609"/>
      <c r="UZL28" s="609"/>
      <c r="UZM28" s="609"/>
      <c r="UZN28" s="609"/>
      <c r="UZO28" s="609"/>
      <c r="UZP28" s="609"/>
      <c r="UZQ28" s="609"/>
      <c r="UZR28" s="609"/>
      <c r="UZS28" s="609"/>
      <c r="UZT28" s="609"/>
      <c r="UZU28" s="609"/>
      <c r="UZV28" s="609"/>
      <c r="UZW28" s="609"/>
      <c r="UZX28" s="609"/>
      <c r="UZY28" s="609"/>
      <c r="UZZ28" s="609"/>
      <c r="VAA28" s="609"/>
      <c r="VAB28" s="609"/>
      <c r="VAC28" s="609"/>
      <c r="VAD28" s="609"/>
      <c r="VAE28" s="609"/>
      <c r="VAF28" s="609"/>
      <c r="VAG28" s="609"/>
      <c r="VAH28" s="609"/>
      <c r="VAI28" s="609"/>
      <c r="VAJ28" s="609"/>
      <c r="VAK28" s="609"/>
      <c r="VAL28" s="609"/>
      <c r="VAM28" s="609"/>
      <c r="VAN28" s="609"/>
      <c r="VAO28" s="609"/>
      <c r="VAP28" s="609"/>
      <c r="VAQ28" s="609"/>
      <c r="VAR28" s="609"/>
      <c r="VAS28" s="609"/>
      <c r="VAT28" s="609"/>
      <c r="VAU28" s="609"/>
      <c r="VAV28" s="609"/>
      <c r="VAW28" s="609"/>
      <c r="VAX28" s="609"/>
      <c r="VAY28" s="609"/>
      <c r="VAZ28" s="609"/>
      <c r="VBA28" s="609"/>
      <c r="VBB28" s="609"/>
      <c r="VBC28" s="609"/>
      <c r="VBD28" s="609"/>
      <c r="VBE28" s="609"/>
      <c r="VBF28" s="609"/>
      <c r="VBG28" s="609"/>
      <c r="VBH28" s="609"/>
      <c r="VBI28" s="609"/>
      <c r="VBJ28" s="609"/>
      <c r="VBK28" s="609"/>
      <c r="VBL28" s="609"/>
      <c r="VBM28" s="609"/>
      <c r="VBN28" s="609"/>
      <c r="VBO28" s="609"/>
      <c r="VBP28" s="609"/>
      <c r="VBQ28" s="609"/>
      <c r="VBR28" s="609"/>
      <c r="VBS28" s="609"/>
      <c r="VBT28" s="609"/>
      <c r="VBU28" s="609"/>
      <c r="VBV28" s="609"/>
      <c r="VBW28" s="609"/>
      <c r="VBX28" s="609"/>
      <c r="VBY28" s="609"/>
      <c r="VBZ28" s="609"/>
      <c r="VCA28" s="609"/>
      <c r="VCB28" s="609"/>
      <c r="VCC28" s="609"/>
      <c r="VCD28" s="609"/>
      <c r="VCE28" s="609"/>
      <c r="VCF28" s="609"/>
      <c r="VCG28" s="609"/>
      <c r="VCH28" s="609"/>
      <c r="VCI28" s="609"/>
      <c r="VCJ28" s="609"/>
      <c r="VCK28" s="609"/>
      <c r="VCL28" s="609"/>
      <c r="VCM28" s="609"/>
      <c r="VCN28" s="609"/>
      <c r="VCO28" s="609"/>
      <c r="VCP28" s="609"/>
      <c r="VCQ28" s="609"/>
      <c r="VCR28" s="609"/>
      <c r="VCS28" s="609"/>
      <c r="VCT28" s="609"/>
      <c r="VCU28" s="609"/>
      <c r="VCV28" s="609"/>
      <c r="VCW28" s="609"/>
      <c r="VCX28" s="609"/>
      <c r="VCY28" s="609"/>
      <c r="VCZ28" s="609"/>
      <c r="VDA28" s="609"/>
      <c r="VDB28" s="609"/>
      <c r="VDC28" s="609"/>
      <c r="VDD28" s="609"/>
      <c r="VDE28" s="609"/>
      <c r="VDF28" s="609"/>
      <c r="VDG28" s="609"/>
      <c r="VDH28" s="609"/>
      <c r="VDI28" s="609"/>
      <c r="VDJ28" s="609"/>
      <c r="VDK28" s="609"/>
      <c r="VDL28" s="609"/>
      <c r="VDM28" s="609"/>
      <c r="VDN28" s="609"/>
      <c r="VDO28" s="609"/>
      <c r="VDP28" s="609"/>
      <c r="VDQ28" s="609"/>
      <c r="VDR28" s="609"/>
      <c r="VDS28" s="609"/>
      <c r="VDT28" s="609"/>
      <c r="VDU28" s="609"/>
      <c r="VDV28" s="609"/>
      <c r="VDW28" s="609"/>
      <c r="VDX28" s="609"/>
      <c r="VDY28" s="609"/>
      <c r="VDZ28" s="609"/>
      <c r="VEA28" s="609"/>
      <c r="VEB28" s="609"/>
      <c r="VEC28" s="609"/>
      <c r="VED28" s="609"/>
      <c r="VEE28" s="609"/>
      <c r="VEF28" s="609"/>
      <c r="VEG28" s="609"/>
      <c r="VEH28" s="609"/>
      <c r="VEI28" s="609"/>
      <c r="VEJ28" s="609"/>
      <c r="VEK28" s="609"/>
      <c r="VEL28" s="609"/>
      <c r="VEM28" s="609"/>
      <c r="VEN28" s="609"/>
      <c r="VEO28" s="609"/>
      <c r="VEP28" s="609"/>
      <c r="VEQ28" s="609"/>
      <c r="VER28" s="609"/>
      <c r="VES28" s="609"/>
      <c r="VET28" s="609"/>
      <c r="VEU28" s="609"/>
      <c r="VEV28" s="609"/>
      <c r="VEW28" s="609"/>
      <c r="VEX28" s="609"/>
      <c r="VEY28" s="609"/>
      <c r="VEZ28" s="609"/>
      <c r="VFA28" s="609"/>
      <c r="VFB28" s="609"/>
      <c r="VFC28" s="609"/>
      <c r="VFD28" s="609"/>
      <c r="VFE28" s="609"/>
      <c r="VFF28" s="609"/>
      <c r="VFG28" s="609"/>
      <c r="VFH28" s="609"/>
      <c r="VFI28" s="609"/>
      <c r="VFJ28" s="609"/>
      <c r="VFK28" s="609"/>
      <c r="VFL28" s="609"/>
      <c r="VFM28" s="609"/>
      <c r="VFN28" s="609"/>
      <c r="VFO28" s="609"/>
      <c r="VFP28" s="609"/>
      <c r="VFQ28" s="609"/>
      <c r="VFR28" s="609"/>
      <c r="VFS28" s="609"/>
      <c r="VFT28" s="609"/>
      <c r="VFU28" s="609"/>
      <c r="VFV28" s="609"/>
      <c r="VFW28" s="609"/>
      <c r="VFX28" s="609"/>
      <c r="VFY28" s="609"/>
      <c r="VFZ28" s="609"/>
      <c r="VGA28" s="609"/>
      <c r="VGB28" s="609"/>
      <c r="VGC28" s="609"/>
      <c r="VGD28" s="609"/>
      <c r="VGE28" s="609"/>
      <c r="VGF28" s="609"/>
      <c r="VGG28" s="609"/>
      <c r="VGH28" s="609"/>
      <c r="VGI28" s="609"/>
      <c r="VGJ28" s="609"/>
      <c r="VGK28" s="609"/>
      <c r="VGL28" s="609"/>
      <c r="VGM28" s="609"/>
      <c r="VGN28" s="609"/>
      <c r="VGO28" s="609"/>
      <c r="VGP28" s="609"/>
      <c r="VGQ28" s="609"/>
      <c r="VGR28" s="609"/>
      <c r="VGS28" s="609"/>
      <c r="VGT28" s="609"/>
      <c r="VGU28" s="609"/>
      <c r="VGV28" s="609"/>
      <c r="VGW28" s="609"/>
      <c r="VGX28" s="609"/>
      <c r="VGY28" s="609"/>
      <c r="VGZ28" s="609"/>
      <c r="VHA28" s="609"/>
      <c r="VHB28" s="609"/>
      <c r="VHC28" s="609"/>
      <c r="VHD28" s="609"/>
      <c r="VHE28" s="609"/>
      <c r="VHF28" s="609"/>
      <c r="VHG28" s="609"/>
      <c r="VHH28" s="609"/>
      <c r="VHI28" s="609"/>
      <c r="VHJ28" s="609"/>
      <c r="VHK28" s="609"/>
      <c r="VHL28" s="609"/>
      <c r="VHM28" s="609"/>
      <c r="VHN28" s="609"/>
      <c r="VHO28" s="609"/>
      <c r="VHP28" s="609"/>
      <c r="VHQ28" s="609"/>
      <c r="VHR28" s="609"/>
      <c r="VHS28" s="609"/>
      <c r="VHT28" s="609"/>
      <c r="VHU28" s="609"/>
      <c r="VHV28" s="609"/>
      <c r="VHW28" s="609"/>
      <c r="VHX28" s="609"/>
      <c r="VHY28" s="609"/>
      <c r="VHZ28" s="609"/>
      <c r="VIA28" s="609"/>
      <c r="VIB28" s="609"/>
      <c r="VIC28" s="609"/>
      <c r="VID28" s="609"/>
      <c r="VIE28" s="609"/>
      <c r="VIF28" s="609"/>
      <c r="VIG28" s="609"/>
      <c r="VIH28" s="609"/>
      <c r="VII28" s="609"/>
      <c r="VIJ28" s="609"/>
      <c r="VIK28" s="609"/>
      <c r="VIL28" s="609"/>
      <c r="VIM28" s="609"/>
      <c r="VIN28" s="609"/>
      <c r="VIO28" s="609"/>
      <c r="VIP28" s="609"/>
      <c r="VIQ28" s="609"/>
      <c r="VIR28" s="609"/>
      <c r="VIS28" s="609"/>
      <c r="VIT28" s="609"/>
      <c r="VIU28" s="609"/>
      <c r="VIV28" s="609"/>
      <c r="VIW28" s="609"/>
      <c r="VIX28" s="609"/>
      <c r="VIY28" s="609"/>
      <c r="VIZ28" s="609"/>
      <c r="VJA28" s="609"/>
      <c r="VJB28" s="609"/>
      <c r="VJC28" s="609"/>
      <c r="VJD28" s="609"/>
      <c r="VJE28" s="609"/>
      <c r="VJF28" s="609"/>
      <c r="VJG28" s="609"/>
      <c r="VJH28" s="609"/>
      <c r="VJI28" s="609"/>
      <c r="VJJ28" s="609"/>
      <c r="VJK28" s="609"/>
      <c r="VJL28" s="609"/>
      <c r="VJM28" s="609"/>
      <c r="VJN28" s="609"/>
      <c r="VJO28" s="609"/>
      <c r="VJP28" s="609"/>
      <c r="VJQ28" s="609"/>
      <c r="VJR28" s="609"/>
      <c r="VJS28" s="609"/>
      <c r="VJT28" s="609"/>
      <c r="VJU28" s="609"/>
      <c r="VJV28" s="609"/>
      <c r="VJW28" s="609"/>
      <c r="VJX28" s="609"/>
      <c r="VJY28" s="609"/>
      <c r="VJZ28" s="609"/>
      <c r="VKA28" s="609"/>
      <c r="VKB28" s="609"/>
      <c r="VKC28" s="609"/>
      <c r="VKD28" s="609"/>
      <c r="VKE28" s="609"/>
      <c r="VKF28" s="609"/>
      <c r="VKG28" s="609"/>
      <c r="VKH28" s="609"/>
      <c r="VKI28" s="609"/>
      <c r="VKJ28" s="609"/>
      <c r="VKK28" s="609"/>
      <c r="VKL28" s="609"/>
      <c r="VKM28" s="609"/>
      <c r="VKN28" s="609"/>
      <c r="VKO28" s="609"/>
      <c r="VKP28" s="609"/>
      <c r="VKQ28" s="609"/>
      <c r="VKR28" s="609"/>
      <c r="VKS28" s="609"/>
      <c r="VKT28" s="609"/>
      <c r="VKU28" s="609"/>
      <c r="VKV28" s="609"/>
      <c r="VKW28" s="609"/>
      <c r="VKX28" s="609"/>
      <c r="VKY28" s="609"/>
      <c r="VKZ28" s="609"/>
      <c r="VLA28" s="609"/>
      <c r="VLB28" s="609"/>
      <c r="VLC28" s="609"/>
      <c r="VLD28" s="609"/>
      <c r="VLE28" s="609"/>
      <c r="VLF28" s="609"/>
      <c r="VLG28" s="609"/>
      <c r="VLH28" s="609"/>
      <c r="VLI28" s="609"/>
      <c r="VLJ28" s="609"/>
      <c r="VLK28" s="609"/>
      <c r="VLL28" s="609"/>
      <c r="VLM28" s="609"/>
      <c r="VLN28" s="609"/>
      <c r="VLO28" s="609"/>
      <c r="VLP28" s="609"/>
      <c r="VLQ28" s="609"/>
      <c r="VLR28" s="609"/>
      <c r="VLS28" s="609"/>
      <c r="VLT28" s="609"/>
      <c r="VLU28" s="609"/>
      <c r="VLV28" s="609"/>
      <c r="VLW28" s="609"/>
      <c r="VLX28" s="609"/>
      <c r="VLY28" s="609"/>
      <c r="VLZ28" s="609"/>
      <c r="VMA28" s="609"/>
      <c r="VMB28" s="609"/>
      <c r="VMC28" s="609"/>
      <c r="VMD28" s="609"/>
      <c r="VME28" s="609"/>
      <c r="VMF28" s="609"/>
      <c r="VMG28" s="609"/>
      <c r="VMH28" s="609"/>
      <c r="VMI28" s="609"/>
      <c r="VMJ28" s="609"/>
      <c r="VMK28" s="609"/>
      <c r="VML28" s="609"/>
      <c r="VMM28" s="609"/>
      <c r="VMN28" s="609"/>
      <c r="VMO28" s="609"/>
      <c r="VMP28" s="609"/>
      <c r="VMQ28" s="609"/>
      <c r="VMR28" s="609"/>
      <c r="VMS28" s="609"/>
      <c r="VMT28" s="609"/>
      <c r="VMU28" s="609"/>
      <c r="VMV28" s="609"/>
      <c r="VMW28" s="609"/>
      <c r="VMX28" s="609"/>
      <c r="VMY28" s="609"/>
      <c r="VMZ28" s="609"/>
      <c r="VNA28" s="609"/>
      <c r="VNB28" s="609"/>
      <c r="VNC28" s="609"/>
      <c r="VND28" s="609"/>
      <c r="VNE28" s="609"/>
      <c r="VNF28" s="609"/>
      <c r="VNG28" s="609"/>
      <c r="VNH28" s="609"/>
      <c r="VNI28" s="609"/>
      <c r="VNJ28" s="609"/>
      <c r="VNK28" s="609"/>
      <c r="VNL28" s="609"/>
      <c r="VNM28" s="609"/>
      <c r="VNN28" s="609"/>
      <c r="VNO28" s="609"/>
      <c r="VNP28" s="609"/>
      <c r="VNQ28" s="609"/>
      <c r="VNR28" s="609"/>
      <c r="VNS28" s="609"/>
      <c r="VNT28" s="609"/>
      <c r="VNU28" s="609"/>
      <c r="VNV28" s="609"/>
      <c r="VNW28" s="609"/>
      <c r="VNX28" s="609"/>
      <c r="VNY28" s="609"/>
      <c r="VNZ28" s="609"/>
      <c r="VOA28" s="609"/>
      <c r="VOB28" s="609"/>
      <c r="VOC28" s="609"/>
      <c r="VOD28" s="609"/>
      <c r="VOE28" s="609"/>
      <c r="VOF28" s="609"/>
      <c r="VOG28" s="609"/>
      <c r="VOH28" s="609"/>
      <c r="VOI28" s="609"/>
      <c r="VOJ28" s="609"/>
      <c r="VOK28" s="609"/>
      <c r="VOL28" s="609"/>
      <c r="VOM28" s="609"/>
      <c r="VON28" s="609"/>
      <c r="VOO28" s="609"/>
      <c r="VOP28" s="609"/>
      <c r="VOQ28" s="609"/>
      <c r="VOR28" s="609"/>
      <c r="VOS28" s="609"/>
      <c r="VOT28" s="609"/>
      <c r="VOU28" s="609"/>
      <c r="VOV28" s="609"/>
      <c r="VOW28" s="609"/>
      <c r="VOX28" s="609"/>
      <c r="VOY28" s="609"/>
      <c r="VOZ28" s="609"/>
      <c r="VPA28" s="609"/>
      <c r="VPB28" s="609"/>
      <c r="VPC28" s="609"/>
      <c r="VPD28" s="609"/>
      <c r="VPE28" s="609"/>
      <c r="VPF28" s="609"/>
      <c r="VPG28" s="609"/>
      <c r="VPH28" s="609"/>
      <c r="VPI28" s="609"/>
      <c r="VPJ28" s="609"/>
      <c r="VPK28" s="609"/>
      <c r="VPL28" s="609"/>
      <c r="VPM28" s="609"/>
      <c r="VPN28" s="609"/>
      <c r="VPO28" s="609"/>
      <c r="VPP28" s="609"/>
      <c r="VPQ28" s="609"/>
      <c r="VPR28" s="609"/>
      <c r="VPS28" s="609"/>
      <c r="VPT28" s="609"/>
      <c r="VPU28" s="609"/>
      <c r="VPV28" s="609"/>
      <c r="VPW28" s="609"/>
      <c r="VPX28" s="609"/>
      <c r="VPY28" s="609"/>
      <c r="VPZ28" s="609"/>
      <c r="VQA28" s="609"/>
      <c r="VQB28" s="609"/>
      <c r="VQC28" s="609"/>
      <c r="VQD28" s="609"/>
      <c r="VQE28" s="609"/>
      <c r="VQF28" s="609"/>
      <c r="VQG28" s="609"/>
      <c r="VQH28" s="609"/>
      <c r="VQI28" s="609"/>
      <c r="VQJ28" s="609"/>
      <c r="VQK28" s="609"/>
      <c r="VQL28" s="609"/>
      <c r="VQM28" s="609"/>
      <c r="VQN28" s="609"/>
      <c r="VQO28" s="609"/>
      <c r="VQP28" s="609"/>
      <c r="VQQ28" s="609"/>
      <c r="VQR28" s="609"/>
      <c r="VQS28" s="609"/>
      <c r="VQT28" s="609"/>
      <c r="VQU28" s="609"/>
      <c r="VQV28" s="609"/>
      <c r="VQW28" s="609"/>
      <c r="VQX28" s="609"/>
      <c r="VQY28" s="609"/>
      <c r="VQZ28" s="609"/>
      <c r="VRA28" s="609"/>
      <c r="VRB28" s="609"/>
      <c r="VRC28" s="609"/>
      <c r="VRD28" s="609"/>
      <c r="VRE28" s="609"/>
      <c r="VRF28" s="609"/>
      <c r="VRG28" s="609"/>
      <c r="VRH28" s="609"/>
      <c r="VRI28" s="609"/>
      <c r="VRJ28" s="609"/>
      <c r="VRK28" s="609"/>
      <c r="VRL28" s="609"/>
      <c r="VRM28" s="609"/>
      <c r="VRN28" s="609"/>
      <c r="VRO28" s="609"/>
      <c r="VRP28" s="609"/>
      <c r="VRQ28" s="609"/>
      <c r="VRR28" s="609"/>
      <c r="VRS28" s="609"/>
      <c r="VRT28" s="609"/>
      <c r="VRU28" s="609"/>
      <c r="VRV28" s="609"/>
      <c r="VRW28" s="609"/>
      <c r="VRX28" s="609"/>
      <c r="VRY28" s="609"/>
      <c r="VRZ28" s="609"/>
      <c r="VSA28" s="609"/>
      <c r="VSB28" s="609"/>
      <c r="VSC28" s="609"/>
      <c r="VSD28" s="609"/>
      <c r="VSE28" s="609"/>
      <c r="VSF28" s="609"/>
      <c r="VSG28" s="609"/>
      <c r="VSH28" s="609"/>
      <c r="VSI28" s="609"/>
      <c r="VSJ28" s="609"/>
      <c r="VSK28" s="609"/>
      <c r="VSL28" s="609"/>
      <c r="VSM28" s="609"/>
      <c r="VSN28" s="609"/>
      <c r="VSO28" s="609"/>
      <c r="VSP28" s="609"/>
      <c r="VSQ28" s="609"/>
      <c r="VSR28" s="609"/>
      <c r="VSS28" s="609"/>
      <c r="VST28" s="609"/>
      <c r="VSU28" s="609"/>
      <c r="VSV28" s="609"/>
      <c r="VSW28" s="609"/>
      <c r="VSX28" s="609"/>
      <c r="VSY28" s="609"/>
      <c r="VSZ28" s="609"/>
      <c r="VTA28" s="609"/>
      <c r="VTB28" s="609"/>
      <c r="VTC28" s="609"/>
      <c r="VTD28" s="609"/>
      <c r="VTE28" s="609"/>
      <c r="VTF28" s="609"/>
      <c r="VTG28" s="609"/>
      <c r="VTH28" s="609"/>
      <c r="VTI28" s="609"/>
      <c r="VTJ28" s="609"/>
      <c r="VTK28" s="609"/>
      <c r="VTL28" s="609"/>
      <c r="VTM28" s="609"/>
      <c r="VTN28" s="609"/>
      <c r="VTO28" s="609"/>
      <c r="VTP28" s="609"/>
      <c r="VTQ28" s="609"/>
      <c r="VTR28" s="609"/>
      <c r="VTS28" s="609"/>
      <c r="VTT28" s="609"/>
      <c r="VTU28" s="609"/>
      <c r="VTV28" s="609"/>
      <c r="VTW28" s="609"/>
      <c r="VTX28" s="609"/>
      <c r="VTY28" s="609"/>
      <c r="VTZ28" s="609"/>
      <c r="VUA28" s="609"/>
      <c r="VUB28" s="609"/>
      <c r="VUC28" s="609"/>
      <c r="VUD28" s="609"/>
      <c r="VUE28" s="609"/>
      <c r="VUF28" s="609"/>
      <c r="VUG28" s="609"/>
      <c r="VUH28" s="609"/>
      <c r="VUI28" s="609"/>
      <c r="VUJ28" s="609"/>
      <c r="VUK28" s="609"/>
      <c r="VUL28" s="609"/>
      <c r="VUM28" s="609"/>
      <c r="VUN28" s="609"/>
      <c r="VUO28" s="609"/>
      <c r="VUP28" s="609"/>
      <c r="VUQ28" s="609"/>
      <c r="VUR28" s="609"/>
      <c r="VUS28" s="609"/>
      <c r="VUT28" s="609"/>
      <c r="VUU28" s="609"/>
      <c r="VUV28" s="609"/>
      <c r="VUW28" s="609"/>
      <c r="VUX28" s="609"/>
      <c r="VUY28" s="609"/>
      <c r="VUZ28" s="609"/>
      <c r="VVA28" s="609"/>
      <c r="VVB28" s="609"/>
      <c r="VVC28" s="609"/>
      <c r="VVD28" s="609"/>
      <c r="VVE28" s="609"/>
      <c r="VVF28" s="609"/>
      <c r="VVG28" s="609"/>
      <c r="VVH28" s="609"/>
      <c r="VVI28" s="609"/>
      <c r="VVJ28" s="609"/>
      <c r="VVK28" s="609"/>
      <c r="VVL28" s="609"/>
      <c r="VVM28" s="609"/>
      <c r="VVN28" s="609"/>
      <c r="VVO28" s="609"/>
      <c r="VVP28" s="609"/>
      <c r="VVQ28" s="609"/>
      <c r="VVR28" s="609"/>
      <c r="VVS28" s="609"/>
      <c r="VVT28" s="609"/>
      <c r="VVU28" s="609"/>
      <c r="VVV28" s="609"/>
      <c r="VVW28" s="609"/>
      <c r="VVX28" s="609"/>
      <c r="VVY28" s="609"/>
      <c r="VVZ28" s="609"/>
      <c r="VWA28" s="609"/>
      <c r="VWB28" s="609"/>
      <c r="VWC28" s="609"/>
      <c r="VWD28" s="609"/>
      <c r="VWE28" s="609"/>
      <c r="VWF28" s="609"/>
      <c r="VWG28" s="609"/>
      <c r="VWH28" s="609"/>
      <c r="VWI28" s="609"/>
      <c r="VWJ28" s="609"/>
      <c r="VWK28" s="609"/>
      <c r="VWL28" s="609"/>
      <c r="VWM28" s="609"/>
      <c r="VWN28" s="609"/>
      <c r="VWO28" s="609"/>
      <c r="VWP28" s="609"/>
      <c r="VWQ28" s="609"/>
      <c r="VWR28" s="609"/>
      <c r="VWS28" s="609"/>
      <c r="VWT28" s="609"/>
      <c r="VWU28" s="609"/>
      <c r="VWV28" s="609"/>
      <c r="VWW28" s="609"/>
      <c r="VWX28" s="609"/>
      <c r="VWY28" s="609"/>
      <c r="VWZ28" s="609"/>
      <c r="VXA28" s="609"/>
      <c r="VXB28" s="609"/>
      <c r="VXC28" s="609"/>
      <c r="VXD28" s="609"/>
      <c r="VXE28" s="609"/>
      <c r="VXF28" s="609"/>
      <c r="VXG28" s="609"/>
      <c r="VXH28" s="609"/>
      <c r="VXI28" s="609"/>
      <c r="VXJ28" s="609"/>
      <c r="VXK28" s="609"/>
      <c r="VXL28" s="609"/>
      <c r="VXM28" s="609"/>
      <c r="VXN28" s="609"/>
      <c r="VXO28" s="609"/>
      <c r="VXP28" s="609"/>
      <c r="VXQ28" s="609"/>
      <c r="VXR28" s="609"/>
      <c r="VXS28" s="609"/>
      <c r="VXT28" s="609"/>
      <c r="VXU28" s="609"/>
      <c r="VXV28" s="609"/>
      <c r="VXW28" s="609"/>
      <c r="VXX28" s="609"/>
      <c r="VXY28" s="609"/>
      <c r="VXZ28" s="609"/>
      <c r="VYA28" s="609"/>
      <c r="VYB28" s="609"/>
      <c r="VYC28" s="609"/>
      <c r="VYD28" s="609"/>
      <c r="VYE28" s="609"/>
      <c r="VYF28" s="609"/>
      <c r="VYG28" s="609"/>
      <c r="VYH28" s="609"/>
      <c r="VYI28" s="609"/>
      <c r="VYJ28" s="609"/>
      <c r="VYK28" s="609"/>
      <c r="VYL28" s="609"/>
      <c r="VYM28" s="609"/>
      <c r="VYN28" s="609"/>
      <c r="VYO28" s="609"/>
      <c r="VYP28" s="609"/>
      <c r="VYQ28" s="609"/>
      <c r="VYR28" s="609"/>
      <c r="VYS28" s="609"/>
      <c r="VYT28" s="609"/>
      <c r="VYU28" s="609"/>
      <c r="VYV28" s="609"/>
      <c r="VYW28" s="609"/>
      <c r="VYX28" s="609"/>
      <c r="VYY28" s="609"/>
      <c r="VYZ28" s="609"/>
      <c r="VZA28" s="609"/>
      <c r="VZB28" s="609"/>
      <c r="VZC28" s="609"/>
      <c r="VZD28" s="609"/>
      <c r="VZE28" s="609"/>
      <c r="VZF28" s="609"/>
      <c r="VZG28" s="609"/>
      <c r="VZH28" s="609"/>
      <c r="VZI28" s="609"/>
      <c r="VZJ28" s="609"/>
      <c r="VZK28" s="609"/>
      <c r="VZL28" s="609"/>
      <c r="VZM28" s="609"/>
      <c r="VZN28" s="609"/>
      <c r="VZO28" s="609"/>
      <c r="VZP28" s="609"/>
      <c r="VZQ28" s="609"/>
      <c r="VZR28" s="609"/>
      <c r="VZS28" s="609"/>
      <c r="VZT28" s="609"/>
      <c r="VZU28" s="609"/>
      <c r="VZV28" s="609"/>
      <c r="VZW28" s="609"/>
      <c r="VZX28" s="609"/>
      <c r="VZY28" s="609"/>
      <c r="VZZ28" s="609"/>
      <c r="WAA28" s="609"/>
      <c r="WAB28" s="609"/>
      <c r="WAC28" s="609"/>
      <c r="WAD28" s="609"/>
      <c r="WAE28" s="609"/>
      <c r="WAF28" s="609"/>
      <c r="WAG28" s="609"/>
      <c r="WAH28" s="609"/>
      <c r="WAI28" s="609"/>
      <c r="WAJ28" s="609"/>
      <c r="WAK28" s="609"/>
      <c r="WAL28" s="609"/>
      <c r="WAM28" s="609"/>
      <c r="WAN28" s="609"/>
      <c r="WAO28" s="609"/>
      <c r="WAP28" s="609"/>
      <c r="WAQ28" s="609"/>
      <c r="WAR28" s="609"/>
      <c r="WAS28" s="609"/>
      <c r="WAT28" s="609"/>
      <c r="WAU28" s="609"/>
      <c r="WAV28" s="609"/>
      <c r="WAW28" s="609"/>
      <c r="WAX28" s="609"/>
      <c r="WAY28" s="609"/>
      <c r="WAZ28" s="609"/>
      <c r="WBA28" s="609"/>
      <c r="WBB28" s="609"/>
      <c r="WBC28" s="609"/>
      <c r="WBD28" s="609"/>
      <c r="WBE28" s="609"/>
      <c r="WBF28" s="609"/>
      <c r="WBG28" s="609"/>
      <c r="WBH28" s="609"/>
      <c r="WBI28" s="609"/>
      <c r="WBJ28" s="609"/>
      <c r="WBK28" s="609"/>
      <c r="WBL28" s="609"/>
      <c r="WBM28" s="609"/>
      <c r="WBN28" s="609"/>
      <c r="WBO28" s="609"/>
      <c r="WBP28" s="609"/>
      <c r="WBQ28" s="609"/>
      <c r="WBR28" s="609"/>
      <c r="WBS28" s="609"/>
      <c r="WBT28" s="609"/>
      <c r="WBU28" s="609"/>
      <c r="WBV28" s="609"/>
      <c r="WBW28" s="609"/>
      <c r="WBX28" s="609"/>
      <c r="WBY28" s="609"/>
      <c r="WBZ28" s="609"/>
      <c r="WCA28" s="609"/>
      <c r="WCB28" s="609"/>
      <c r="WCC28" s="609"/>
      <c r="WCD28" s="609"/>
      <c r="WCE28" s="609"/>
      <c r="WCF28" s="609"/>
      <c r="WCG28" s="609"/>
      <c r="WCH28" s="609"/>
      <c r="WCI28" s="609"/>
      <c r="WCJ28" s="609"/>
      <c r="WCK28" s="609"/>
      <c r="WCL28" s="609"/>
      <c r="WCM28" s="609"/>
      <c r="WCN28" s="609"/>
      <c r="WCO28" s="609"/>
      <c r="WCP28" s="609"/>
      <c r="WCQ28" s="609"/>
      <c r="WCR28" s="609"/>
      <c r="WCS28" s="609"/>
      <c r="WCT28" s="609"/>
      <c r="WCU28" s="609"/>
      <c r="WCV28" s="609"/>
      <c r="WCW28" s="609"/>
      <c r="WCX28" s="609"/>
      <c r="WCY28" s="609"/>
      <c r="WCZ28" s="609"/>
      <c r="WDA28" s="609"/>
      <c r="WDB28" s="609"/>
      <c r="WDC28" s="609"/>
      <c r="WDD28" s="609"/>
      <c r="WDE28" s="609"/>
      <c r="WDF28" s="609"/>
      <c r="WDG28" s="609"/>
      <c r="WDH28" s="609"/>
      <c r="WDI28" s="609"/>
      <c r="WDJ28" s="609"/>
      <c r="WDK28" s="609"/>
      <c r="WDL28" s="609"/>
      <c r="WDM28" s="609"/>
      <c r="WDN28" s="609"/>
      <c r="WDO28" s="609"/>
      <c r="WDP28" s="609"/>
      <c r="WDQ28" s="609"/>
      <c r="WDR28" s="609"/>
      <c r="WDS28" s="609"/>
      <c r="WDT28" s="609"/>
      <c r="WDU28" s="609"/>
      <c r="WDV28" s="609"/>
      <c r="WDW28" s="609"/>
      <c r="WDX28" s="609"/>
      <c r="WDY28" s="609"/>
      <c r="WDZ28" s="609"/>
      <c r="WEA28" s="609"/>
      <c r="WEB28" s="609"/>
      <c r="WEC28" s="609"/>
      <c r="WED28" s="609"/>
      <c r="WEE28" s="609"/>
      <c r="WEF28" s="609"/>
      <c r="WEG28" s="609"/>
      <c r="WEH28" s="609"/>
      <c r="WEI28" s="609"/>
      <c r="WEJ28" s="609"/>
      <c r="WEK28" s="609"/>
      <c r="WEL28" s="609"/>
      <c r="WEM28" s="609"/>
      <c r="WEN28" s="609"/>
      <c r="WEO28" s="609"/>
      <c r="WEP28" s="609"/>
      <c r="WEQ28" s="609"/>
      <c r="WER28" s="609"/>
      <c r="WES28" s="609"/>
      <c r="WET28" s="609"/>
      <c r="WEU28" s="609"/>
      <c r="WEV28" s="609"/>
      <c r="WEW28" s="609"/>
      <c r="WEX28" s="609"/>
      <c r="WEY28" s="609"/>
      <c r="WEZ28" s="609"/>
      <c r="WFA28" s="609"/>
      <c r="WFB28" s="609"/>
      <c r="WFC28" s="609"/>
      <c r="WFD28" s="609"/>
      <c r="WFE28" s="609"/>
      <c r="WFF28" s="609"/>
      <c r="WFG28" s="609"/>
      <c r="WFH28" s="609"/>
      <c r="WFI28" s="609"/>
      <c r="WFJ28" s="609"/>
      <c r="WFK28" s="609"/>
      <c r="WFL28" s="609"/>
      <c r="WFM28" s="609"/>
      <c r="WFN28" s="609"/>
      <c r="WFO28" s="609"/>
      <c r="WFP28" s="609"/>
      <c r="WFQ28" s="609"/>
      <c r="WFR28" s="609"/>
      <c r="WFS28" s="609"/>
      <c r="WFT28" s="609"/>
      <c r="WFU28" s="609"/>
      <c r="WFV28" s="609"/>
      <c r="WFW28" s="609"/>
      <c r="WFX28" s="609"/>
      <c r="WFY28" s="609"/>
      <c r="WFZ28" s="609"/>
      <c r="WGA28" s="609"/>
      <c r="WGB28" s="609"/>
      <c r="WGC28" s="609"/>
      <c r="WGD28" s="609"/>
      <c r="WGE28" s="609"/>
      <c r="WGF28" s="609"/>
      <c r="WGG28" s="609"/>
      <c r="WGH28" s="609"/>
      <c r="WGI28" s="609"/>
      <c r="WGJ28" s="609"/>
      <c r="WGK28" s="609"/>
      <c r="WGL28" s="609"/>
      <c r="WGM28" s="609"/>
      <c r="WGN28" s="609"/>
      <c r="WGO28" s="609"/>
      <c r="WGP28" s="609"/>
      <c r="WGQ28" s="609"/>
      <c r="WGR28" s="609"/>
      <c r="WGS28" s="609"/>
      <c r="WGT28" s="609"/>
      <c r="WGU28" s="609"/>
      <c r="WGV28" s="609"/>
      <c r="WGW28" s="609"/>
      <c r="WGX28" s="609"/>
      <c r="WGY28" s="609"/>
      <c r="WGZ28" s="609"/>
      <c r="WHA28" s="609"/>
      <c r="WHB28" s="609"/>
      <c r="WHC28" s="609"/>
      <c r="WHD28" s="609"/>
      <c r="WHE28" s="609"/>
      <c r="WHF28" s="609"/>
      <c r="WHG28" s="609"/>
      <c r="WHH28" s="609"/>
      <c r="WHI28" s="609"/>
      <c r="WHJ28" s="609"/>
      <c r="WHK28" s="609"/>
      <c r="WHL28" s="609"/>
      <c r="WHM28" s="609"/>
      <c r="WHN28" s="609"/>
      <c r="WHO28" s="609"/>
      <c r="WHP28" s="609"/>
      <c r="WHQ28" s="609"/>
      <c r="WHR28" s="609"/>
      <c r="WHS28" s="609"/>
      <c r="WHT28" s="609"/>
      <c r="WHU28" s="609"/>
      <c r="WHV28" s="609"/>
      <c r="WHW28" s="609"/>
      <c r="WHX28" s="609"/>
      <c r="WHY28" s="609"/>
      <c r="WHZ28" s="609"/>
      <c r="WIA28" s="609"/>
      <c r="WIB28" s="609"/>
      <c r="WIC28" s="609"/>
      <c r="WID28" s="609"/>
      <c r="WIE28" s="609"/>
      <c r="WIF28" s="609"/>
      <c r="WIG28" s="609"/>
      <c r="WIH28" s="609"/>
      <c r="WII28" s="609"/>
      <c r="WIJ28" s="609"/>
      <c r="WIK28" s="609"/>
      <c r="WIL28" s="609"/>
      <c r="WIM28" s="609"/>
      <c r="WIN28" s="609"/>
      <c r="WIO28" s="609"/>
      <c r="WIP28" s="609"/>
      <c r="WIQ28" s="609"/>
      <c r="WIR28" s="609"/>
      <c r="WIS28" s="609"/>
      <c r="WIT28" s="609"/>
      <c r="WIU28" s="609"/>
      <c r="WIV28" s="609"/>
      <c r="WIW28" s="609"/>
      <c r="WIX28" s="609"/>
      <c r="WIY28" s="609"/>
      <c r="WIZ28" s="609"/>
      <c r="WJA28" s="609"/>
      <c r="WJB28" s="609"/>
      <c r="WJC28" s="609"/>
      <c r="WJD28" s="609"/>
      <c r="WJE28" s="609"/>
      <c r="WJF28" s="609"/>
      <c r="WJG28" s="609"/>
      <c r="WJH28" s="609"/>
      <c r="WJI28" s="609"/>
      <c r="WJJ28" s="609"/>
      <c r="WJK28" s="609"/>
      <c r="WJL28" s="609"/>
      <c r="WJM28" s="609"/>
      <c r="WJN28" s="609"/>
      <c r="WJO28" s="609"/>
      <c r="WJP28" s="609"/>
      <c r="WJQ28" s="609"/>
      <c r="WJR28" s="609"/>
      <c r="WJS28" s="609"/>
      <c r="WJT28" s="609"/>
      <c r="WJU28" s="609"/>
      <c r="WJV28" s="609"/>
      <c r="WJW28" s="609"/>
      <c r="WJX28" s="609"/>
      <c r="WJY28" s="609"/>
      <c r="WJZ28" s="609"/>
      <c r="WKA28" s="609"/>
      <c r="WKB28" s="609"/>
      <c r="WKC28" s="609"/>
      <c r="WKD28" s="609"/>
      <c r="WKE28" s="609"/>
      <c r="WKF28" s="609"/>
      <c r="WKG28" s="609"/>
      <c r="WKH28" s="609"/>
      <c r="WKI28" s="609"/>
      <c r="WKJ28" s="609"/>
      <c r="WKK28" s="609"/>
      <c r="WKL28" s="609"/>
      <c r="WKM28" s="609"/>
      <c r="WKN28" s="609"/>
      <c r="WKO28" s="609"/>
      <c r="WKP28" s="609"/>
      <c r="WKQ28" s="609"/>
      <c r="WKR28" s="609"/>
      <c r="WKS28" s="609"/>
      <c r="WKT28" s="609"/>
      <c r="WKU28" s="609"/>
      <c r="WKV28" s="609"/>
      <c r="WKW28" s="609"/>
      <c r="WKX28" s="609"/>
      <c r="WKY28" s="609"/>
      <c r="WKZ28" s="609"/>
      <c r="WLA28" s="609"/>
      <c r="WLB28" s="609"/>
      <c r="WLC28" s="609"/>
      <c r="WLD28" s="609"/>
      <c r="WLE28" s="609"/>
      <c r="WLF28" s="609"/>
      <c r="WLG28" s="609"/>
      <c r="WLH28" s="609"/>
      <c r="WLI28" s="609"/>
      <c r="WLJ28" s="609"/>
      <c r="WLK28" s="609"/>
      <c r="WLL28" s="609"/>
      <c r="WLM28" s="609"/>
      <c r="WLN28" s="609"/>
      <c r="WLO28" s="609"/>
      <c r="WLP28" s="609"/>
      <c r="WLQ28" s="609"/>
      <c r="WLR28" s="609"/>
      <c r="WLS28" s="609"/>
      <c r="WLT28" s="609"/>
      <c r="WLU28" s="609"/>
      <c r="WLV28" s="609"/>
      <c r="WLW28" s="609"/>
      <c r="WLX28" s="609"/>
      <c r="WLY28" s="609"/>
      <c r="WLZ28" s="609"/>
      <c r="WMA28" s="609"/>
      <c r="WMB28" s="609"/>
      <c r="WMC28" s="609"/>
      <c r="WMD28" s="609"/>
      <c r="WME28" s="609"/>
      <c r="WMF28" s="609"/>
      <c r="WMG28" s="609"/>
      <c r="WMH28" s="609"/>
      <c r="WMI28" s="609"/>
      <c r="WMJ28" s="609"/>
      <c r="WMK28" s="609"/>
      <c r="WML28" s="609"/>
      <c r="WMM28" s="609"/>
      <c r="WMN28" s="609"/>
      <c r="WMO28" s="609"/>
      <c r="WMP28" s="609"/>
      <c r="WMQ28" s="609"/>
      <c r="WMR28" s="609"/>
      <c r="WMS28" s="609"/>
      <c r="WMT28" s="609"/>
      <c r="WMU28" s="609"/>
      <c r="WMV28" s="609"/>
      <c r="WMW28" s="609"/>
      <c r="WMX28" s="609"/>
      <c r="WMY28" s="609"/>
      <c r="WMZ28" s="609"/>
      <c r="WNA28" s="609"/>
      <c r="WNB28" s="609"/>
      <c r="WNC28" s="609"/>
      <c r="WND28" s="609"/>
      <c r="WNE28" s="609"/>
      <c r="WNF28" s="609"/>
      <c r="WNG28" s="609"/>
      <c r="WNH28" s="609"/>
      <c r="WNI28" s="609"/>
      <c r="WNJ28" s="609"/>
      <c r="WNK28" s="609"/>
      <c r="WNL28" s="609"/>
      <c r="WNM28" s="609"/>
      <c r="WNN28" s="609"/>
      <c r="WNO28" s="609"/>
      <c r="WNP28" s="609"/>
      <c r="WNQ28" s="609"/>
      <c r="WNR28" s="609"/>
      <c r="WNS28" s="609"/>
      <c r="WNT28" s="609"/>
      <c r="WNU28" s="609"/>
      <c r="WNV28" s="609"/>
      <c r="WNW28" s="609"/>
      <c r="WNX28" s="609"/>
      <c r="WNY28" s="609"/>
      <c r="WNZ28" s="609"/>
      <c r="WOA28" s="609"/>
      <c r="WOB28" s="609"/>
      <c r="WOC28" s="609"/>
      <c r="WOD28" s="609"/>
      <c r="WOE28" s="609"/>
      <c r="WOF28" s="609"/>
      <c r="WOG28" s="609"/>
      <c r="WOH28" s="609"/>
      <c r="WOI28" s="609"/>
      <c r="WOJ28" s="609"/>
      <c r="WOK28" s="609"/>
      <c r="WOL28" s="609"/>
      <c r="WOM28" s="609"/>
      <c r="WON28" s="609"/>
      <c r="WOO28" s="609"/>
      <c r="WOP28" s="609"/>
      <c r="WOQ28" s="609"/>
      <c r="WOR28" s="609"/>
      <c r="WOS28" s="609"/>
      <c r="WOT28" s="609"/>
      <c r="WOU28" s="609"/>
      <c r="WOV28" s="609"/>
      <c r="WOW28" s="609"/>
      <c r="WOX28" s="609"/>
      <c r="WOY28" s="609"/>
      <c r="WOZ28" s="609"/>
      <c r="WPA28" s="609"/>
      <c r="WPB28" s="609"/>
      <c r="WPC28" s="609"/>
      <c r="WPD28" s="609"/>
      <c r="WPE28" s="609"/>
      <c r="WPF28" s="609"/>
      <c r="WPG28" s="609"/>
      <c r="WPH28" s="609"/>
      <c r="WPI28" s="609"/>
      <c r="WPJ28" s="609"/>
      <c r="WPK28" s="609"/>
      <c r="WPL28" s="609"/>
      <c r="WPM28" s="609"/>
      <c r="WPN28" s="609"/>
      <c r="WPO28" s="609"/>
      <c r="WPP28" s="609"/>
      <c r="WPQ28" s="609"/>
      <c r="WPR28" s="609"/>
      <c r="WPS28" s="609"/>
      <c r="WPT28" s="609"/>
      <c r="WPU28" s="609"/>
      <c r="WPV28" s="609"/>
      <c r="WPW28" s="609"/>
      <c r="WPX28" s="609"/>
      <c r="WPY28" s="609"/>
      <c r="WPZ28" s="609"/>
      <c r="WQA28" s="609"/>
      <c r="WQB28" s="609"/>
      <c r="WQC28" s="609"/>
      <c r="WQD28" s="609"/>
      <c r="WQE28" s="609"/>
      <c r="WQF28" s="609"/>
      <c r="WQG28" s="609"/>
      <c r="WQH28" s="609"/>
      <c r="WQI28" s="609"/>
      <c r="WQJ28" s="609"/>
      <c r="WQK28" s="609"/>
      <c r="WQL28" s="609"/>
      <c r="WQM28" s="609"/>
      <c r="WQN28" s="609"/>
      <c r="WQO28" s="609"/>
      <c r="WQP28" s="609"/>
      <c r="WQQ28" s="609"/>
      <c r="WQR28" s="609"/>
      <c r="WQS28" s="609"/>
      <c r="WQT28" s="609"/>
      <c r="WQU28" s="609"/>
      <c r="WQV28" s="609"/>
      <c r="WQW28" s="609"/>
      <c r="WQX28" s="609"/>
      <c r="WQY28" s="609"/>
      <c r="WQZ28" s="609"/>
      <c r="WRA28" s="609"/>
      <c r="WRB28" s="609"/>
      <c r="WRC28" s="609"/>
      <c r="WRD28" s="609"/>
      <c r="WRE28" s="609"/>
      <c r="WRF28" s="609"/>
      <c r="WRG28" s="609"/>
      <c r="WRH28" s="609"/>
      <c r="WRI28" s="609"/>
      <c r="WRJ28" s="609"/>
      <c r="WRK28" s="609"/>
      <c r="WRL28" s="609"/>
      <c r="WRM28" s="609"/>
      <c r="WRN28" s="609"/>
      <c r="WRO28" s="609"/>
      <c r="WRP28" s="609"/>
      <c r="WRQ28" s="609"/>
      <c r="WRR28" s="609"/>
      <c r="WRS28" s="609"/>
      <c r="WRT28" s="609"/>
      <c r="WRU28" s="609"/>
      <c r="WRV28" s="609"/>
      <c r="WRW28" s="609"/>
      <c r="WRX28" s="609"/>
      <c r="WRY28" s="609"/>
      <c r="WRZ28" s="609"/>
      <c r="WSA28" s="609"/>
      <c r="WSB28" s="609"/>
      <c r="WSC28" s="609"/>
      <c r="WSD28" s="609"/>
      <c r="WSE28" s="609"/>
      <c r="WSF28" s="609"/>
      <c r="WSG28" s="609"/>
      <c r="WSH28" s="609"/>
      <c r="WSI28" s="609"/>
      <c r="WSJ28" s="609"/>
      <c r="WSK28" s="609"/>
      <c r="WSL28" s="609"/>
      <c r="WSM28" s="609"/>
      <c r="WSN28" s="609"/>
      <c r="WSO28" s="609"/>
      <c r="WSP28" s="609"/>
      <c r="WSQ28" s="609"/>
      <c r="WSR28" s="609"/>
      <c r="WSS28" s="609"/>
      <c r="WST28" s="609"/>
      <c r="WSU28" s="609"/>
      <c r="WSV28" s="609"/>
      <c r="WSW28" s="609"/>
      <c r="WSX28" s="609"/>
      <c r="WSY28" s="609"/>
      <c r="WSZ28" s="609"/>
      <c r="WTA28" s="609"/>
      <c r="WTB28" s="609"/>
      <c r="WTC28" s="609"/>
      <c r="WTD28" s="609"/>
      <c r="WTE28" s="609"/>
      <c r="WTF28" s="609"/>
      <c r="WTG28" s="609"/>
      <c r="WTH28" s="609"/>
      <c r="WTI28" s="609"/>
      <c r="WTJ28" s="609"/>
      <c r="WTK28" s="609"/>
      <c r="WTL28" s="609"/>
      <c r="WTM28" s="609"/>
      <c r="WTN28" s="609"/>
      <c r="WTO28" s="609"/>
      <c r="WTP28" s="609"/>
      <c r="WTQ28" s="609"/>
      <c r="WTR28" s="609"/>
      <c r="WTS28" s="609"/>
      <c r="WTT28" s="609"/>
      <c r="WTU28" s="609"/>
      <c r="WTV28" s="609"/>
      <c r="WTW28" s="609"/>
      <c r="WTX28" s="609"/>
      <c r="WTY28" s="609"/>
      <c r="WTZ28" s="609"/>
      <c r="WUA28" s="609"/>
      <c r="WUB28" s="609"/>
      <c r="WUC28" s="609"/>
      <c r="WUD28" s="609"/>
      <c r="WUE28" s="609"/>
      <c r="WUF28" s="609"/>
      <c r="WUG28" s="609"/>
      <c r="WUH28" s="609"/>
      <c r="WUI28" s="609"/>
      <c r="WUJ28" s="609"/>
      <c r="WUK28" s="609"/>
      <c r="WUL28" s="609"/>
      <c r="WUM28" s="609"/>
      <c r="WUN28" s="609"/>
      <c r="WUO28" s="609"/>
      <c r="WUP28" s="609"/>
      <c r="WUQ28" s="609"/>
      <c r="WUR28" s="609"/>
      <c r="WUS28" s="609"/>
      <c r="WUT28" s="609"/>
      <c r="WUU28" s="609"/>
      <c r="WUV28" s="609"/>
      <c r="WUW28" s="609"/>
      <c r="WUX28" s="609"/>
      <c r="WUY28" s="609"/>
      <c r="WUZ28" s="609"/>
      <c r="WVA28" s="609"/>
      <c r="WVB28" s="609"/>
      <c r="WVC28" s="609"/>
      <c r="WVD28" s="609"/>
      <c r="WVE28" s="609"/>
      <c r="WVF28" s="609"/>
      <c r="WVG28" s="609"/>
      <c r="WVH28" s="609"/>
      <c r="WVI28" s="609"/>
      <c r="WVJ28" s="609"/>
      <c r="WVK28" s="609"/>
      <c r="WVL28" s="609"/>
      <c r="WVM28" s="609"/>
      <c r="WVN28" s="609"/>
      <c r="WVO28" s="609"/>
      <c r="WVP28" s="609"/>
      <c r="WVQ28" s="609"/>
      <c r="WVR28" s="609"/>
      <c r="WVS28" s="609"/>
      <c r="WVT28" s="609"/>
      <c r="WVU28" s="609"/>
      <c r="WVV28" s="609"/>
      <c r="WVW28" s="609"/>
      <c r="WVX28" s="609"/>
      <c r="WVY28" s="609"/>
      <c r="WVZ28" s="609"/>
      <c r="WWA28" s="609"/>
      <c r="WWB28" s="609"/>
      <c r="WWC28" s="609"/>
      <c r="WWD28" s="609"/>
      <c r="WWE28" s="609"/>
      <c r="WWF28" s="609"/>
      <c r="WWG28" s="609"/>
      <c r="WWH28" s="609"/>
      <c r="WWI28" s="609"/>
      <c r="WWJ28" s="609"/>
      <c r="WWK28" s="609"/>
      <c r="WWL28" s="609"/>
      <c r="WWM28" s="609"/>
      <c r="WWN28" s="609"/>
      <c r="WWO28" s="609"/>
      <c r="WWP28" s="609"/>
      <c r="WWQ28" s="609"/>
      <c r="WWR28" s="609"/>
      <c r="WWS28" s="609"/>
      <c r="WWT28" s="609"/>
      <c r="WWU28" s="609"/>
      <c r="WWV28" s="609"/>
      <c r="WWW28" s="609"/>
      <c r="WWX28" s="609"/>
      <c r="WWY28" s="609"/>
      <c r="WWZ28" s="609"/>
      <c r="WXA28" s="609"/>
      <c r="WXB28" s="609"/>
      <c r="WXC28" s="609"/>
      <c r="WXD28" s="609"/>
      <c r="WXE28" s="609"/>
      <c r="WXF28" s="609"/>
      <c r="WXG28" s="609"/>
      <c r="WXH28" s="609"/>
      <c r="WXI28" s="609"/>
      <c r="WXJ28" s="609"/>
      <c r="WXK28" s="609"/>
      <c r="WXL28" s="609"/>
      <c r="WXM28" s="609"/>
      <c r="WXN28" s="609"/>
      <c r="WXO28" s="609"/>
      <c r="WXP28" s="609"/>
      <c r="WXQ28" s="609"/>
      <c r="WXR28" s="609"/>
      <c r="WXS28" s="609"/>
      <c r="WXT28" s="609"/>
      <c r="WXU28" s="609"/>
      <c r="WXV28" s="609"/>
      <c r="WXW28" s="609"/>
      <c r="WXX28" s="609"/>
      <c r="WXY28" s="609"/>
      <c r="WXZ28" s="609"/>
      <c r="WYA28" s="609"/>
      <c r="WYB28" s="609"/>
      <c r="WYC28" s="609"/>
      <c r="WYD28" s="609"/>
      <c r="WYE28" s="609"/>
      <c r="WYF28" s="609"/>
      <c r="WYG28" s="609"/>
      <c r="WYH28" s="609"/>
      <c r="WYI28" s="609"/>
      <c r="WYJ28" s="609"/>
      <c r="WYK28" s="609"/>
      <c r="WYL28" s="609"/>
      <c r="WYM28" s="609"/>
      <c r="WYN28" s="609"/>
      <c r="WYO28" s="609"/>
      <c r="WYP28" s="609"/>
      <c r="WYQ28" s="609"/>
      <c r="WYR28" s="609"/>
      <c r="WYS28" s="609"/>
      <c r="WYT28" s="609"/>
      <c r="WYU28" s="609"/>
      <c r="WYV28" s="609"/>
      <c r="WYW28" s="609"/>
      <c r="WYX28" s="609"/>
      <c r="WYY28" s="609"/>
      <c r="WYZ28" s="609"/>
      <c r="WZA28" s="609"/>
      <c r="WZB28" s="609"/>
      <c r="WZC28" s="609"/>
      <c r="WZD28" s="609"/>
      <c r="WZE28" s="609"/>
      <c r="WZF28" s="609"/>
      <c r="WZG28" s="609"/>
      <c r="WZH28" s="609"/>
      <c r="WZI28" s="609"/>
      <c r="WZJ28" s="609"/>
      <c r="WZK28" s="609"/>
      <c r="WZL28" s="609"/>
      <c r="WZM28" s="609"/>
      <c r="WZN28" s="609"/>
      <c r="WZO28" s="609"/>
      <c r="WZP28" s="609"/>
      <c r="WZQ28" s="609"/>
      <c r="WZR28" s="609"/>
      <c r="WZS28" s="609"/>
      <c r="WZT28" s="609"/>
      <c r="WZU28" s="609"/>
      <c r="WZV28" s="609"/>
      <c r="WZW28" s="609"/>
      <c r="WZX28" s="609"/>
      <c r="WZY28" s="609"/>
      <c r="WZZ28" s="609"/>
      <c r="XAA28" s="609"/>
      <c r="XAB28" s="609"/>
      <c r="XAC28" s="609"/>
      <c r="XAD28" s="609"/>
      <c r="XAE28" s="609"/>
      <c r="XAF28" s="609"/>
      <c r="XAG28" s="609"/>
      <c r="XAH28" s="609"/>
      <c r="XAI28" s="609"/>
      <c r="XAJ28" s="609"/>
      <c r="XAK28" s="609"/>
      <c r="XAL28" s="609"/>
      <c r="XAM28" s="609"/>
      <c r="XAN28" s="609"/>
      <c r="XAO28" s="609"/>
      <c r="XAP28" s="609"/>
      <c r="XAQ28" s="609"/>
      <c r="XAR28" s="609"/>
      <c r="XAS28" s="609"/>
      <c r="XAT28" s="609"/>
      <c r="XAU28" s="609"/>
      <c r="XAV28" s="609"/>
      <c r="XAW28" s="609"/>
      <c r="XAX28" s="609"/>
      <c r="XAY28" s="609"/>
      <c r="XAZ28" s="609"/>
      <c r="XBA28" s="609"/>
      <c r="XBB28" s="609"/>
      <c r="XBC28" s="609"/>
      <c r="XBD28" s="609"/>
      <c r="XBE28" s="609"/>
      <c r="XBF28" s="609"/>
      <c r="XBG28" s="609"/>
      <c r="XBH28" s="609"/>
      <c r="XBI28" s="609"/>
      <c r="XBJ28" s="609"/>
      <c r="XBK28" s="609"/>
      <c r="XBL28" s="609"/>
      <c r="XBM28" s="609"/>
      <c r="XBN28" s="609"/>
      <c r="XBO28" s="609"/>
      <c r="XBP28" s="609"/>
      <c r="XBQ28" s="609"/>
      <c r="XBR28" s="609"/>
      <c r="XBS28" s="609"/>
      <c r="XBT28" s="609"/>
      <c r="XBU28" s="609"/>
      <c r="XBV28" s="609"/>
      <c r="XBW28" s="609"/>
      <c r="XBX28" s="609"/>
      <c r="XBY28" s="609"/>
      <c r="XBZ28" s="609"/>
      <c r="XCA28" s="609"/>
      <c r="XCB28" s="609"/>
      <c r="XCC28" s="609"/>
      <c r="XCD28" s="609"/>
      <c r="XCE28" s="609"/>
      <c r="XCF28" s="609"/>
      <c r="XCG28" s="609"/>
      <c r="XCH28" s="609"/>
      <c r="XCI28" s="609"/>
      <c r="XCJ28" s="609"/>
      <c r="XCK28" s="609"/>
      <c r="XCL28" s="609"/>
      <c r="XCM28" s="609"/>
      <c r="XCN28" s="609"/>
      <c r="XCO28" s="609"/>
      <c r="XCP28" s="609"/>
      <c r="XCQ28" s="609"/>
      <c r="XCR28" s="609"/>
      <c r="XCS28" s="609"/>
      <c r="XCT28" s="609"/>
      <c r="XCU28" s="609"/>
      <c r="XCV28" s="609"/>
      <c r="XCW28" s="609"/>
      <c r="XCX28" s="609"/>
      <c r="XCY28" s="609"/>
      <c r="XCZ28" s="609"/>
      <c r="XDA28" s="609"/>
      <c r="XDB28" s="609"/>
      <c r="XDC28" s="609"/>
      <c r="XDD28" s="609"/>
      <c r="XDE28" s="609"/>
      <c r="XDF28" s="609"/>
      <c r="XDG28" s="609"/>
      <c r="XDH28" s="609"/>
      <c r="XDI28" s="609"/>
      <c r="XDJ28" s="609"/>
      <c r="XDK28" s="609"/>
      <c r="XDL28" s="609"/>
      <c r="XDM28" s="609"/>
      <c r="XDN28" s="609"/>
      <c r="XDO28" s="609"/>
      <c r="XDP28" s="609"/>
      <c r="XDQ28" s="609"/>
      <c r="XDR28" s="609"/>
      <c r="XDS28" s="609"/>
      <c r="XDT28" s="609"/>
      <c r="XDU28" s="609"/>
      <c r="XDV28" s="609"/>
      <c r="XDW28" s="609"/>
      <c r="XDX28" s="609"/>
      <c r="XDY28" s="609"/>
      <c r="XDZ28" s="609"/>
      <c r="XEA28" s="609"/>
      <c r="XEB28" s="609"/>
      <c r="XEC28" s="609"/>
      <c r="XED28" s="609"/>
      <c r="XEE28" s="609"/>
      <c r="XEF28" s="609"/>
      <c r="XEG28" s="609"/>
      <c r="XEH28" s="609"/>
      <c r="XEI28" s="609"/>
      <c r="XEJ28" s="609"/>
      <c r="XEK28" s="609"/>
      <c r="XEL28" s="609"/>
      <c r="XEM28" s="609"/>
      <c r="XEN28" s="609"/>
      <c r="XEO28" s="609"/>
      <c r="XEP28" s="609"/>
      <c r="XEQ28" s="609"/>
      <c r="XER28" s="609"/>
      <c r="XES28" s="609"/>
      <c r="XET28" s="609"/>
      <c r="XEU28" s="609"/>
      <c r="XEV28" s="609"/>
      <c r="XEW28" s="609"/>
      <c r="XEX28" s="609"/>
      <c r="XEY28" s="609"/>
      <c r="XEZ28" s="609"/>
      <c r="XFA28" s="609"/>
    </row>
    <row r="29" spans="1:16381" s="143" customFormat="1" ht="33.75">
      <c r="A29" s="609" t="str">
        <f t="shared" si="0"/>
        <v>AXA Leben v. 01.08.2020</v>
      </c>
      <c r="B29" s="609">
        <f>ROW()</f>
        <v>29</v>
      </c>
      <c r="C29" s="635" t="s">
        <v>701</v>
      </c>
      <c r="D29" s="1201">
        <v>44044</v>
      </c>
      <c r="E29" s="636" t="s">
        <v>676</v>
      </c>
      <c r="F29" s="637" t="str">
        <f t="shared" ref="F29:F74" si="5">IF(K29=1,"Ja","")</f>
        <v>Ja</v>
      </c>
      <c r="G29" s="634" t="str">
        <f t="shared" si="2"/>
        <v xml:space="preserve">TO ermöglicht: Tarifwechel; </v>
      </c>
      <c r="I29" s="634"/>
      <c r="J29" s="790" t="s">
        <v>704</v>
      </c>
      <c r="K29" s="1199">
        <v>1</v>
      </c>
      <c r="L29" s="1199"/>
      <c r="M29" s="1199"/>
      <c r="N29" s="1199"/>
      <c r="O29" s="634"/>
      <c r="P29" s="144">
        <f t="shared" ref="P29:P96" si="6">SUM(K29:N29)</f>
        <v>1</v>
      </c>
      <c r="Q29" s="609"/>
      <c r="R29" s="609"/>
      <c r="S29" s="609"/>
      <c r="T29" s="609"/>
      <c r="U29" s="609"/>
      <c r="V29" s="609"/>
      <c r="W29" s="609"/>
      <c r="X29" s="609"/>
      <c r="Y29" s="609"/>
      <c r="Z29" s="609"/>
      <c r="AA29" s="609"/>
      <c r="AB29" s="609"/>
      <c r="AC29" s="609"/>
      <c r="AD29" s="609"/>
      <c r="AE29" s="609"/>
      <c r="AF29" s="609"/>
      <c r="AG29" s="609"/>
      <c r="AH29" s="609"/>
      <c r="AI29" s="609"/>
      <c r="AJ29" s="609"/>
      <c r="AK29" s="609"/>
      <c r="AL29" s="609"/>
      <c r="AM29" s="609"/>
      <c r="AN29" s="609"/>
      <c r="AO29" s="609"/>
      <c r="AP29" s="609"/>
      <c r="AQ29" s="609"/>
      <c r="AR29" s="609"/>
      <c r="AS29" s="609"/>
      <c r="AT29" s="609"/>
      <c r="AU29" s="609"/>
      <c r="AV29" s="609"/>
      <c r="AW29" s="609"/>
      <c r="AX29" s="609"/>
      <c r="AY29" s="609"/>
      <c r="AZ29" s="609"/>
      <c r="BA29" s="609"/>
      <c r="BB29" s="609"/>
      <c r="BC29" s="609"/>
      <c r="BD29" s="609"/>
      <c r="BE29" s="609"/>
      <c r="BF29" s="609"/>
      <c r="BG29" s="609"/>
      <c r="BH29" s="609"/>
      <c r="BI29" s="609"/>
      <c r="BJ29" s="609"/>
      <c r="BK29" s="609"/>
      <c r="BL29" s="609"/>
      <c r="BM29" s="609"/>
      <c r="BN29" s="609"/>
      <c r="BO29" s="609"/>
      <c r="BP29" s="609"/>
      <c r="BQ29" s="609"/>
      <c r="BR29" s="609"/>
      <c r="BS29" s="609"/>
      <c r="BT29" s="609"/>
      <c r="BU29" s="609"/>
      <c r="BV29" s="609"/>
      <c r="BW29" s="609"/>
      <c r="BX29" s="609"/>
      <c r="BY29" s="609"/>
      <c r="BZ29" s="609"/>
      <c r="CA29" s="609"/>
      <c r="CB29" s="609"/>
      <c r="CC29" s="609"/>
      <c r="CD29" s="609"/>
      <c r="CE29" s="609"/>
      <c r="CF29" s="609"/>
      <c r="CG29" s="609"/>
      <c r="CH29" s="609"/>
      <c r="CI29" s="609"/>
      <c r="CJ29" s="609"/>
      <c r="CK29" s="609"/>
      <c r="CL29" s="609"/>
      <c r="CM29" s="609"/>
      <c r="CN29" s="609"/>
      <c r="CO29" s="609"/>
      <c r="CP29" s="609"/>
      <c r="CQ29" s="609"/>
      <c r="CR29" s="609"/>
      <c r="CS29" s="609"/>
      <c r="CT29" s="609"/>
      <c r="CU29" s="609"/>
      <c r="CV29" s="609"/>
      <c r="CW29" s="609"/>
      <c r="CX29" s="609"/>
      <c r="CY29" s="609"/>
      <c r="CZ29" s="609"/>
      <c r="DA29" s="609"/>
      <c r="DB29" s="609"/>
      <c r="DC29" s="609"/>
      <c r="DD29" s="609"/>
      <c r="DE29" s="609"/>
      <c r="DF29" s="609"/>
      <c r="DG29" s="609"/>
      <c r="DH29" s="609"/>
      <c r="DI29" s="609"/>
      <c r="DJ29" s="609"/>
      <c r="DK29" s="609"/>
      <c r="DL29" s="609"/>
      <c r="DM29" s="609"/>
      <c r="DN29" s="609"/>
      <c r="DO29" s="609"/>
      <c r="DP29" s="609"/>
      <c r="DQ29" s="609"/>
      <c r="DR29" s="609"/>
      <c r="DS29" s="609"/>
      <c r="DT29" s="609"/>
      <c r="DU29" s="609"/>
      <c r="DV29" s="609"/>
      <c r="DW29" s="609"/>
      <c r="DX29" s="609"/>
      <c r="DY29" s="609"/>
      <c r="DZ29" s="609"/>
      <c r="EA29" s="609"/>
      <c r="EB29" s="609"/>
      <c r="EC29" s="609"/>
      <c r="ED29" s="609"/>
      <c r="EE29" s="609"/>
      <c r="EF29" s="609"/>
      <c r="EG29" s="609"/>
      <c r="EH29" s="609"/>
      <c r="EI29" s="609"/>
      <c r="EJ29" s="609"/>
      <c r="EK29" s="609"/>
      <c r="EL29" s="609"/>
      <c r="EM29" s="609"/>
      <c r="EN29" s="609"/>
      <c r="EO29" s="609"/>
      <c r="EP29" s="609"/>
      <c r="EQ29" s="609"/>
      <c r="ER29" s="609"/>
      <c r="ES29" s="609"/>
      <c r="ET29" s="609"/>
      <c r="EU29" s="609"/>
      <c r="EV29" s="609"/>
      <c r="EW29" s="609"/>
      <c r="EX29" s="609"/>
      <c r="EY29" s="609"/>
      <c r="EZ29" s="609"/>
      <c r="FA29" s="609"/>
      <c r="FB29" s="609"/>
      <c r="FC29" s="609"/>
      <c r="FD29" s="609"/>
      <c r="FE29" s="609"/>
      <c r="FF29" s="609"/>
      <c r="FG29" s="609"/>
      <c r="FH29" s="609"/>
      <c r="FI29" s="609"/>
      <c r="FJ29" s="609"/>
      <c r="FK29" s="609"/>
      <c r="FL29" s="609"/>
      <c r="FM29" s="609"/>
      <c r="FN29" s="609"/>
      <c r="FO29" s="609"/>
      <c r="FP29" s="609"/>
      <c r="FQ29" s="609"/>
      <c r="FR29" s="609"/>
      <c r="FS29" s="609"/>
      <c r="FT29" s="609"/>
      <c r="FU29" s="609"/>
      <c r="FV29" s="609"/>
      <c r="FW29" s="609"/>
      <c r="FX29" s="609"/>
      <c r="FY29" s="609"/>
      <c r="FZ29" s="609"/>
      <c r="GA29" s="609"/>
      <c r="GB29" s="609"/>
      <c r="GC29" s="609"/>
      <c r="GD29" s="609"/>
      <c r="GE29" s="609"/>
      <c r="GF29" s="609"/>
      <c r="GG29" s="609"/>
      <c r="GH29" s="609"/>
      <c r="GI29" s="609"/>
      <c r="GJ29" s="609"/>
      <c r="GK29" s="609"/>
      <c r="GL29" s="609"/>
      <c r="GM29" s="609"/>
      <c r="GN29" s="609"/>
      <c r="GO29" s="609"/>
      <c r="GP29" s="609"/>
      <c r="GQ29" s="609"/>
      <c r="GR29" s="609"/>
      <c r="GS29" s="609"/>
      <c r="GT29" s="609"/>
      <c r="GU29" s="609"/>
      <c r="GV29" s="609"/>
      <c r="GW29" s="609"/>
      <c r="GX29" s="609"/>
      <c r="GY29" s="609"/>
      <c r="GZ29" s="609"/>
      <c r="HA29" s="609"/>
      <c r="HB29" s="609"/>
      <c r="HC29" s="609"/>
      <c r="HD29" s="609"/>
      <c r="HE29" s="609"/>
      <c r="HF29" s="609"/>
      <c r="HG29" s="609"/>
      <c r="HH29" s="609"/>
      <c r="HI29" s="609"/>
      <c r="HJ29" s="609"/>
      <c r="HK29" s="609"/>
      <c r="HL29" s="609"/>
      <c r="HM29" s="609"/>
      <c r="HN29" s="609"/>
      <c r="HO29" s="609"/>
      <c r="HP29" s="609"/>
      <c r="HQ29" s="609"/>
      <c r="HR29" s="609"/>
      <c r="HS29" s="609"/>
      <c r="HT29" s="609"/>
      <c r="HU29" s="609"/>
      <c r="HV29" s="609"/>
      <c r="HW29" s="609"/>
      <c r="HX29" s="609"/>
      <c r="HY29" s="609"/>
      <c r="HZ29" s="609"/>
      <c r="IA29" s="609"/>
      <c r="IB29" s="609"/>
      <c r="IC29" s="609"/>
      <c r="ID29" s="609"/>
      <c r="IE29" s="609"/>
      <c r="IF29" s="609"/>
      <c r="IG29" s="609"/>
      <c r="IH29" s="609"/>
      <c r="II29" s="609"/>
      <c r="IJ29" s="609"/>
      <c r="IK29" s="609"/>
      <c r="IL29" s="609"/>
      <c r="IM29" s="609"/>
      <c r="IN29" s="609"/>
      <c r="IO29" s="609"/>
      <c r="IP29" s="609"/>
      <c r="IQ29" s="609"/>
      <c r="IR29" s="609"/>
      <c r="IS29" s="609"/>
      <c r="IT29" s="609"/>
      <c r="IU29" s="609"/>
      <c r="IV29" s="609"/>
      <c r="IW29" s="609"/>
      <c r="IX29" s="609"/>
      <c r="IY29" s="609"/>
      <c r="IZ29" s="609"/>
      <c r="JA29" s="609"/>
      <c r="JB29" s="609"/>
      <c r="JC29" s="609"/>
      <c r="JD29" s="609"/>
      <c r="JE29" s="609"/>
      <c r="JF29" s="609"/>
      <c r="JG29" s="609"/>
      <c r="JH29" s="609"/>
      <c r="JI29" s="609"/>
      <c r="JJ29" s="609"/>
      <c r="JK29" s="609"/>
      <c r="JL29" s="609"/>
      <c r="JM29" s="609"/>
      <c r="JN29" s="609"/>
      <c r="JO29" s="609"/>
      <c r="JP29" s="609"/>
      <c r="JQ29" s="609"/>
      <c r="JR29" s="609"/>
      <c r="JS29" s="609"/>
      <c r="JT29" s="609"/>
      <c r="JU29" s="609"/>
      <c r="JV29" s="609"/>
      <c r="JW29" s="609"/>
      <c r="JX29" s="609"/>
      <c r="JY29" s="609"/>
      <c r="JZ29" s="609"/>
      <c r="KA29" s="609"/>
      <c r="KB29" s="609"/>
      <c r="KC29" s="609"/>
      <c r="KD29" s="609"/>
      <c r="KE29" s="609"/>
      <c r="KF29" s="609"/>
      <c r="KG29" s="609"/>
      <c r="KH29" s="609"/>
      <c r="KI29" s="609"/>
      <c r="KJ29" s="609"/>
      <c r="KK29" s="609"/>
      <c r="KL29" s="609"/>
      <c r="KM29" s="609"/>
      <c r="KN29" s="609"/>
      <c r="KO29" s="609"/>
      <c r="KP29" s="609"/>
      <c r="KQ29" s="609"/>
      <c r="KR29" s="609"/>
      <c r="KS29" s="609"/>
      <c r="KT29" s="609"/>
      <c r="KU29" s="609"/>
      <c r="KV29" s="609"/>
      <c r="KW29" s="609"/>
      <c r="KX29" s="609"/>
      <c r="KY29" s="609"/>
      <c r="KZ29" s="609"/>
      <c r="LA29" s="609"/>
      <c r="LB29" s="609"/>
      <c r="LC29" s="609"/>
      <c r="LD29" s="609"/>
      <c r="LE29" s="609"/>
      <c r="LF29" s="609"/>
      <c r="LG29" s="609"/>
      <c r="LH29" s="609"/>
      <c r="LI29" s="609"/>
      <c r="LJ29" s="609"/>
      <c r="LK29" s="609"/>
      <c r="LL29" s="609"/>
      <c r="LM29" s="609"/>
      <c r="LN29" s="609"/>
      <c r="LO29" s="609"/>
      <c r="LP29" s="609"/>
      <c r="LQ29" s="609"/>
      <c r="LR29" s="609"/>
      <c r="LS29" s="609"/>
      <c r="LT29" s="609"/>
      <c r="LU29" s="609"/>
      <c r="LV29" s="609"/>
      <c r="LW29" s="609"/>
      <c r="LX29" s="609"/>
      <c r="LY29" s="609"/>
      <c r="LZ29" s="609"/>
      <c r="MA29" s="609"/>
      <c r="MB29" s="609"/>
      <c r="MC29" s="609"/>
      <c r="MD29" s="609"/>
      <c r="ME29" s="609"/>
      <c r="MF29" s="609"/>
      <c r="MG29" s="609"/>
      <c r="MH29" s="609"/>
      <c r="MI29" s="609"/>
      <c r="MJ29" s="609"/>
      <c r="MK29" s="609"/>
      <c r="ML29" s="609"/>
      <c r="MM29" s="609"/>
      <c r="MN29" s="609"/>
      <c r="MO29" s="609"/>
      <c r="MP29" s="609"/>
      <c r="MQ29" s="609"/>
      <c r="MR29" s="609"/>
      <c r="MS29" s="609"/>
      <c r="MT29" s="609"/>
      <c r="MU29" s="609"/>
      <c r="MV29" s="609"/>
      <c r="MW29" s="609"/>
      <c r="MX29" s="609"/>
      <c r="MY29" s="609"/>
      <c r="MZ29" s="609"/>
      <c r="NA29" s="609"/>
      <c r="NB29" s="609"/>
      <c r="NC29" s="609"/>
      <c r="ND29" s="609"/>
      <c r="NE29" s="609"/>
      <c r="NF29" s="609"/>
      <c r="NG29" s="609"/>
      <c r="NH29" s="609"/>
      <c r="NI29" s="609"/>
      <c r="NJ29" s="609"/>
      <c r="NK29" s="609"/>
      <c r="NL29" s="609"/>
      <c r="NM29" s="609"/>
      <c r="NN29" s="609"/>
      <c r="NO29" s="609"/>
      <c r="NP29" s="609"/>
      <c r="NQ29" s="609"/>
      <c r="NR29" s="609"/>
      <c r="NS29" s="609"/>
      <c r="NT29" s="609"/>
      <c r="NU29" s="609"/>
      <c r="NV29" s="609"/>
      <c r="NW29" s="609"/>
      <c r="NX29" s="609"/>
      <c r="NY29" s="609"/>
      <c r="NZ29" s="609"/>
      <c r="OA29" s="609"/>
      <c r="OB29" s="609"/>
      <c r="OC29" s="609"/>
      <c r="OD29" s="609"/>
      <c r="OE29" s="609"/>
      <c r="OF29" s="609"/>
      <c r="OG29" s="609"/>
      <c r="OH29" s="609"/>
      <c r="OI29" s="609"/>
      <c r="OJ29" s="609"/>
      <c r="OK29" s="609"/>
      <c r="OL29" s="609"/>
      <c r="OM29" s="609"/>
      <c r="ON29" s="609"/>
      <c r="OO29" s="609"/>
      <c r="OP29" s="609"/>
      <c r="OQ29" s="609"/>
      <c r="OR29" s="609"/>
      <c r="OS29" s="609"/>
      <c r="OT29" s="609"/>
      <c r="OU29" s="609"/>
      <c r="OV29" s="609"/>
      <c r="OW29" s="609"/>
      <c r="OX29" s="609"/>
      <c r="OY29" s="609"/>
      <c r="OZ29" s="609"/>
      <c r="PA29" s="609"/>
      <c r="PB29" s="609"/>
      <c r="PC29" s="609"/>
      <c r="PD29" s="609"/>
      <c r="PE29" s="609"/>
      <c r="PF29" s="609"/>
      <c r="PG29" s="609"/>
      <c r="PH29" s="609"/>
      <c r="PI29" s="609"/>
      <c r="PJ29" s="609"/>
      <c r="PK29" s="609"/>
      <c r="PL29" s="609"/>
      <c r="PM29" s="609"/>
      <c r="PN29" s="609"/>
      <c r="PO29" s="609"/>
      <c r="PP29" s="609"/>
      <c r="PQ29" s="609"/>
      <c r="PR29" s="609"/>
      <c r="PS29" s="609"/>
      <c r="PT29" s="609"/>
      <c r="PU29" s="609"/>
      <c r="PV29" s="609"/>
      <c r="PW29" s="609"/>
      <c r="PX29" s="609"/>
      <c r="PY29" s="609"/>
      <c r="PZ29" s="609"/>
      <c r="QA29" s="609"/>
      <c r="QB29" s="609"/>
      <c r="QC29" s="609"/>
      <c r="QD29" s="609"/>
      <c r="QE29" s="609"/>
      <c r="QF29" s="609"/>
      <c r="QG29" s="609"/>
      <c r="QH29" s="609"/>
      <c r="QI29" s="609"/>
      <c r="QJ29" s="609"/>
      <c r="QK29" s="609"/>
      <c r="QL29" s="609"/>
      <c r="QM29" s="609"/>
      <c r="QN29" s="609"/>
      <c r="QO29" s="609"/>
      <c r="QP29" s="609"/>
      <c r="QQ29" s="609"/>
      <c r="QR29" s="609"/>
      <c r="QS29" s="609"/>
      <c r="QT29" s="609"/>
      <c r="QU29" s="609"/>
      <c r="QV29" s="609"/>
      <c r="QW29" s="609"/>
      <c r="QX29" s="609"/>
      <c r="QY29" s="609"/>
      <c r="QZ29" s="609"/>
      <c r="RA29" s="609"/>
      <c r="RB29" s="609"/>
      <c r="RC29" s="609"/>
      <c r="RD29" s="609"/>
      <c r="RE29" s="609"/>
      <c r="RF29" s="609"/>
      <c r="RG29" s="609"/>
      <c r="RH29" s="609"/>
      <c r="RI29" s="609"/>
      <c r="RJ29" s="609"/>
      <c r="RK29" s="609"/>
      <c r="RL29" s="609"/>
      <c r="RM29" s="609"/>
      <c r="RN29" s="609"/>
      <c r="RO29" s="609"/>
      <c r="RP29" s="609"/>
      <c r="RQ29" s="609"/>
      <c r="RR29" s="609"/>
      <c r="RS29" s="609"/>
      <c r="RT29" s="609"/>
      <c r="RU29" s="609"/>
      <c r="RV29" s="609"/>
      <c r="RW29" s="609"/>
      <c r="RX29" s="609"/>
      <c r="RY29" s="609"/>
      <c r="RZ29" s="609"/>
      <c r="SA29" s="609"/>
      <c r="SB29" s="609"/>
      <c r="SC29" s="609"/>
      <c r="SD29" s="609"/>
      <c r="SE29" s="609"/>
      <c r="SF29" s="609"/>
      <c r="SG29" s="609"/>
      <c r="SH29" s="609"/>
      <c r="SI29" s="609"/>
      <c r="SJ29" s="609"/>
      <c r="SK29" s="609"/>
      <c r="SL29" s="609"/>
      <c r="SM29" s="609"/>
      <c r="SN29" s="609"/>
      <c r="SO29" s="609"/>
      <c r="SP29" s="609"/>
      <c r="SQ29" s="609"/>
      <c r="SR29" s="609"/>
      <c r="SS29" s="609"/>
      <c r="ST29" s="609"/>
      <c r="SU29" s="609"/>
      <c r="SV29" s="609"/>
      <c r="SW29" s="609"/>
      <c r="SX29" s="609"/>
      <c r="SY29" s="609"/>
      <c r="SZ29" s="609"/>
      <c r="TA29" s="609"/>
      <c r="TB29" s="609"/>
      <c r="TC29" s="609"/>
      <c r="TD29" s="609"/>
      <c r="TE29" s="609"/>
      <c r="TF29" s="609"/>
      <c r="TG29" s="609"/>
      <c r="TH29" s="609"/>
      <c r="TI29" s="609"/>
      <c r="TJ29" s="609"/>
      <c r="TK29" s="609"/>
      <c r="TL29" s="609"/>
      <c r="TM29" s="609"/>
      <c r="TN29" s="609"/>
      <c r="TO29" s="609"/>
      <c r="TP29" s="609"/>
      <c r="TQ29" s="609"/>
      <c r="TR29" s="609"/>
      <c r="TS29" s="609"/>
      <c r="TT29" s="609"/>
      <c r="TU29" s="609"/>
      <c r="TV29" s="609"/>
      <c r="TW29" s="609"/>
      <c r="TX29" s="609"/>
      <c r="TY29" s="609"/>
      <c r="TZ29" s="609"/>
      <c r="UA29" s="609"/>
      <c r="UB29" s="609"/>
      <c r="UC29" s="609"/>
      <c r="UD29" s="609"/>
      <c r="UE29" s="609"/>
      <c r="UF29" s="609"/>
      <c r="UG29" s="609"/>
      <c r="UH29" s="609"/>
      <c r="UI29" s="609"/>
      <c r="UJ29" s="609"/>
      <c r="UK29" s="609"/>
      <c r="UL29" s="609"/>
      <c r="UM29" s="609"/>
      <c r="UN29" s="609"/>
      <c r="UO29" s="609"/>
      <c r="UP29" s="609"/>
      <c r="UQ29" s="609"/>
      <c r="UR29" s="609"/>
      <c r="US29" s="609"/>
      <c r="UT29" s="609"/>
      <c r="UU29" s="609"/>
      <c r="UV29" s="609"/>
      <c r="UW29" s="609"/>
      <c r="UX29" s="609"/>
      <c r="UY29" s="609"/>
      <c r="UZ29" s="609"/>
      <c r="VA29" s="609"/>
      <c r="VB29" s="609"/>
      <c r="VC29" s="609"/>
      <c r="VD29" s="609"/>
      <c r="VE29" s="609"/>
      <c r="VF29" s="609"/>
      <c r="VG29" s="609"/>
      <c r="VH29" s="609"/>
      <c r="VI29" s="609"/>
      <c r="VJ29" s="609"/>
      <c r="VK29" s="609"/>
      <c r="VL29" s="609"/>
      <c r="VM29" s="609"/>
      <c r="VN29" s="609"/>
      <c r="VO29" s="609"/>
      <c r="VP29" s="609"/>
      <c r="VQ29" s="609"/>
      <c r="VR29" s="609"/>
      <c r="VS29" s="609"/>
      <c r="VT29" s="609"/>
      <c r="VU29" s="609"/>
      <c r="VV29" s="609"/>
      <c r="VW29" s="609"/>
      <c r="VX29" s="609"/>
      <c r="VY29" s="609"/>
      <c r="VZ29" s="609"/>
      <c r="WA29" s="609"/>
      <c r="WB29" s="609"/>
      <c r="WC29" s="609"/>
      <c r="WD29" s="609"/>
      <c r="WE29" s="609"/>
      <c r="WF29" s="609"/>
      <c r="WG29" s="609"/>
      <c r="WH29" s="609"/>
      <c r="WI29" s="609"/>
      <c r="WJ29" s="609"/>
      <c r="WK29" s="609"/>
      <c r="WL29" s="609"/>
      <c r="WM29" s="609"/>
      <c r="WN29" s="609"/>
      <c r="WO29" s="609"/>
      <c r="WP29" s="609"/>
      <c r="WQ29" s="609"/>
      <c r="WR29" s="609"/>
      <c r="WS29" s="609"/>
      <c r="WT29" s="609"/>
      <c r="WU29" s="609"/>
      <c r="WV29" s="609"/>
      <c r="WW29" s="609"/>
      <c r="WX29" s="609"/>
      <c r="WY29" s="609"/>
      <c r="WZ29" s="609"/>
      <c r="XA29" s="609"/>
      <c r="XB29" s="609"/>
      <c r="XC29" s="609"/>
      <c r="XD29" s="609"/>
      <c r="XE29" s="609"/>
      <c r="XF29" s="609"/>
      <c r="XG29" s="609"/>
      <c r="XH29" s="609"/>
      <c r="XI29" s="609"/>
      <c r="XJ29" s="609"/>
      <c r="XK29" s="609"/>
      <c r="XL29" s="609"/>
      <c r="XM29" s="609"/>
      <c r="XN29" s="609"/>
      <c r="XO29" s="609"/>
      <c r="XP29" s="609"/>
      <c r="XQ29" s="609"/>
      <c r="XR29" s="609"/>
      <c r="XS29" s="609"/>
      <c r="XT29" s="609"/>
      <c r="XU29" s="609"/>
      <c r="XV29" s="609"/>
      <c r="XW29" s="609"/>
      <c r="XX29" s="609"/>
      <c r="XY29" s="609"/>
      <c r="XZ29" s="609"/>
      <c r="YA29" s="609"/>
      <c r="YB29" s="609"/>
      <c r="YC29" s="609"/>
      <c r="YD29" s="609"/>
      <c r="YE29" s="609"/>
      <c r="YF29" s="609"/>
      <c r="YG29" s="609"/>
      <c r="YH29" s="609"/>
      <c r="YI29" s="609"/>
      <c r="YJ29" s="609"/>
      <c r="YK29" s="609"/>
      <c r="YL29" s="609"/>
      <c r="YM29" s="609"/>
      <c r="YN29" s="609"/>
      <c r="YO29" s="609"/>
      <c r="YP29" s="609"/>
      <c r="YQ29" s="609"/>
      <c r="YR29" s="609"/>
      <c r="YS29" s="609"/>
      <c r="YT29" s="609"/>
      <c r="YU29" s="609"/>
      <c r="YV29" s="609"/>
      <c r="YW29" s="609"/>
      <c r="YX29" s="609"/>
      <c r="YY29" s="609"/>
      <c r="YZ29" s="609"/>
      <c r="ZA29" s="609"/>
      <c r="ZB29" s="609"/>
      <c r="ZC29" s="609"/>
      <c r="ZD29" s="609"/>
      <c r="ZE29" s="609"/>
      <c r="ZF29" s="609"/>
      <c r="ZG29" s="609"/>
      <c r="ZH29" s="609"/>
      <c r="ZI29" s="609"/>
      <c r="ZJ29" s="609"/>
      <c r="ZK29" s="609"/>
      <c r="ZL29" s="609"/>
      <c r="ZM29" s="609"/>
      <c r="ZN29" s="609"/>
      <c r="ZO29" s="609"/>
      <c r="ZP29" s="609"/>
      <c r="ZQ29" s="609"/>
      <c r="ZR29" s="609"/>
      <c r="ZS29" s="609"/>
      <c r="ZT29" s="609"/>
      <c r="ZU29" s="609"/>
      <c r="ZV29" s="609"/>
      <c r="ZW29" s="609"/>
      <c r="ZX29" s="609"/>
      <c r="ZY29" s="609"/>
      <c r="ZZ29" s="609"/>
      <c r="AAA29" s="609"/>
      <c r="AAB29" s="609"/>
      <c r="AAC29" s="609"/>
      <c r="AAD29" s="609"/>
      <c r="AAE29" s="609"/>
      <c r="AAF29" s="609"/>
      <c r="AAG29" s="609"/>
      <c r="AAH29" s="609"/>
      <c r="AAI29" s="609"/>
      <c r="AAJ29" s="609"/>
      <c r="AAK29" s="609"/>
      <c r="AAL29" s="609"/>
      <c r="AAM29" s="609"/>
      <c r="AAN29" s="609"/>
      <c r="AAO29" s="609"/>
      <c r="AAP29" s="609"/>
      <c r="AAQ29" s="609"/>
      <c r="AAR29" s="609"/>
      <c r="AAS29" s="609"/>
      <c r="AAT29" s="609"/>
      <c r="AAU29" s="609"/>
      <c r="AAV29" s="609"/>
      <c r="AAW29" s="609"/>
      <c r="AAX29" s="609"/>
      <c r="AAY29" s="609"/>
      <c r="AAZ29" s="609"/>
      <c r="ABA29" s="609"/>
      <c r="ABB29" s="609"/>
      <c r="ABC29" s="609"/>
      <c r="ABD29" s="609"/>
      <c r="ABE29" s="609"/>
      <c r="ABF29" s="609"/>
      <c r="ABG29" s="609"/>
      <c r="ABH29" s="609"/>
      <c r="ABI29" s="609"/>
      <c r="ABJ29" s="609"/>
      <c r="ABK29" s="609"/>
      <c r="ABL29" s="609"/>
      <c r="ABM29" s="609"/>
      <c r="ABN29" s="609"/>
      <c r="ABO29" s="609"/>
      <c r="ABP29" s="609"/>
      <c r="ABQ29" s="609"/>
      <c r="ABR29" s="609"/>
      <c r="ABS29" s="609"/>
      <c r="ABT29" s="609"/>
      <c r="ABU29" s="609"/>
      <c r="ABV29" s="609"/>
      <c r="ABW29" s="609"/>
      <c r="ABX29" s="609"/>
      <c r="ABY29" s="609"/>
      <c r="ABZ29" s="609"/>
      <c r="ACA29" s="609"/>
      <c r="ACB29" s="609"/>
      <c r="ACC29" s="609"/>
      <c r="ACD29" s="609"/>
      <c r="ACE29" s="609"/>
      <c r="ACF29" s="609"/>
      <c r="ACG29" s="609"/>
      <c r="ACH29" s="609"/>
      <c r="ACI29" s="609"/>
      <c r="ACJ29" s="609"/>
      <c r="ACK29" s="609"/>
      <c r="ACL29" s="609"/>
      <c r="ACM29" s="609"/>
      <c r="ACN29" s="609"/>
      <c r="ACO29" s="609"/>
      <c r="ACP29" s="609"/>
      <c r="ACQ29" s="609"/>
      <c r="ACR29" s="609"/>
      <c r="ACS29" s="609"/>
      <c r="ACT29" s="609"/>
      <c r="ACU29" s="609"/>
      <c r="ACV29" s="609"/>
      <c r="ACW29" s="609"/>
      <c r="ACX29" s="609"/>
      <c r="ACY29" s="609"/>
      <c r="ACZ29" s="609"/>
      <c r="ADA29" s="609"/>
      <c r="ADB29" s="609"/>
      <c r="ADC29" s="609"/>
      <c r="ADD29" s="609"/>
      <c r="ADE29" s="609"/>
      <c r="ADF29" s="609"/>
      <c r="ADG29" s="609"/>
      <c r="ADH29" s="609"/>
      <c r="ADI29" s="609"/>
      <c r="ADJ29" s="609"/>
      <c r="ADK29" s="609"/>
      <c r="ADL29" s="609"/>
      <c r="ADM29" s="609"/>
      <c r="ADN29" s="609"/>
      <c r="ADO29" s="609"/>
      <c r="ADP29" s="609"/>
      <c r="ADQ29" s="609"/>
      <c r="ADR29" s="609"/>
      <c r="ADS29" s="609"/>
      <c r="ADT29" s="609"/>
      <c r="ADU29" s="609"/>
      <c r="ADV29" s="609"/>
      <c r="ADW29" s="609"/>
      <c r="ADX29" s="609"/>
      <c r="ADY29" s="609"/>
      <c r="ADZ29" s="609"/>
      <c r="AEA29" s="609"/>
      <c r="AEB29" s="609"/>
      <c r="AEC29" s="609"/>
      <c r="AED29" s="609"/>
      <c r="AEE29" s="609"/>
      <c r="AEF29" s="609"/>
      <c r="AEG29" s="609"/>
      <c r="AEH29" s="609"/>
      <c r="AEI29" s="609"/>
      <c r="AEJ29" s="609"/>
      <c r="AEK29" s="609"/>
      <c r="AEL29" s="609"/>
      <c r="AEM29" s="609"/>
      <c r="AEN29" s="609"/>
      <c r="AEO29" s="609"/>
      <c r="AEP29" s="609"/>
      <c r="AEQ29" s="609"/>
      <c r="AER29" s="609"/>
      <c r="AES29" s="609"/>
      <c r="AET29" s="609"/>
      <c r="AEU29" s="609"/>
      <c r="AEV29" s="609"/>
      <c r="AEW29" s="609"/>
      <c r="AEX29" s="609"/>
      <c r="AEY29" s="609"/>
      <c r="AEZ29" s="609"/>
      <c r="AFA29" s="609"/>
      <c r="AFB29" s="609"/>
      <c r="AFC29" s="609"/>
      <c r="AFD29" s="609"/>
      <c r="AFE29" s="609"/>
      <c r="AFF29" s="609"/>
      <c r="AFG29" s="609"/>
      <c r="AFH29" s="609"/>
      <c r="AFI29" s="609"/>
      <c r="AFJ29" s="609"/>
      <c r="AFK29" s="609"/>
      <c r="AFL29" s="609"/>
      <c r="AFM29" s="609"/>
      <c r="AFN29" s="609"/>
      <c r="AFO29" s="609"/>
      <c r="AFP29" s="609"/>
      <c r="AFQ29" s="609"/>
      <c r="AFR29" s="609"/>
      <c r="AFS29" s="609"/>
      <c r="AFT29" s="609"/>
      <c r="AFU29" s="609"/>
      <c r="AFV29" s="609"/>
      <c r="AFW29" s="609"/>
      <c r="AFX29" s="609"/>
      <c r="AFY29" s="609"/>
      <c r="AFZ29" s="609"/>
      <c r="AGA29" s="609"/>
      <c r="AGB29" s="609"/>
      <c r="AGC29" s="609"/>
      <c r="AGD29" s="609"/>
      <c r="AGE29" s="609"/>
      <c r="AGF29" s="609"/>
      <c r="AGG29" s="609"/>
      <c r="AGH29" s="609"/>
      <c r="AGI29" s="609"/>
      <c r="AGJ29" s="609"/>
      <c r="AGK29" s="609"/>
      <c r="AGL29" s="609"/>
      <c r="AGM29" s="609"/>
      <c r="AGN29" s="609"/>
      <c r="AGO29" s="609"/>
      <c r="AGP29" s="609"/>
      <c r="AGQ29" s="609"/>
      <c r="AGR29" s="609"/>
      <c r="AGS29" s="609"/>
      <c r="AGT29" s="609"/>
      <c r="AGU29" s="609"/>
      <c r="AGV29" s="609"/>
      <c r="AGW29" s="609"/>
      <c r="AGX29" s="609"/>
      <c r="AGY29" s="609"/>
      <c r="AGZ29" s="609"/>
      <c r="AHA29" s="609"/>
      <c r="AHB29" s="609"/>
      <c r="AHC29" s="609"/>
      <c r="AHD29" s="609"/>
      <c r="AHE29" s="609"/>
      <c r="AHF29" s="609"/>
      <c r="AHG29" s="609"/>
      <c r="AHH29" s="609"/>
      <c r="AHI29" s="609"/>
      <c r="AHJ29" s="609"/>
      <c r="AHK29" s="609"/>
      <c r="AHL29" s="609"/>
      <c r="AHM29" s="609"/>
      <c r="AHN29" s="609"/>
      <c r="AHO29" s="609"/>
      <c r="AHP29" s="609"/>
      <c r="AHQ29" s="609"/>
      <c r="AHR29" s="609"/>
      <c r="AHS29" s="609"/>
      <c r="AHT29" s="609"/>
      <c r="AHU29" s="609"/>
      <c r="AHV29" s="609"/>
      <c r="AHW29" s="609"/>
      <c r="AHX29" s="609"/>
      <c r="AHY29" s="609"/>
      <c r="AHZ29" s="609"/>
      <c r="AIA29" s="609"/>
      <c r="AIB29" s="609"/>
      <c r="AIC29" s="609"/>
      <c r="AID29" s="609"/>
      <c r="AIE29" s="609"/>
      <c r="AIF29" s="609"/>
      <c r="AIG29" s="609"/>
      <c r="AIH29" s="609"/>
      <c r="AII29" s="609"/>
      <c r="AIJ29" s="609"/>
      <c r="AIK29" s="609"/>
      <c r="AIL29" s="609"/>
      <c r="AIM29" s="609"/>
      <c r="AIN29" s="609"/>
      <c r="AIO29" s="609"/>
      <c r="AIP29" s="609"/>
      <c r="AIQ29" s="609"/>
      <c r="AIR29" s="609"/>
      <c r="AIS29" s="609"/>
      <c r="AIT29" s="609"/>
      <c r="AIU29" s="609"/>
      <c r="AIV29" s="609"/>
      <c r="AIW29" s="609"/>
      <c r="AIX29" s="609"/>
      <c r="AIY29" s="609"/>
      <c r="AIZ29" s="609"/>
      <c r="AJA29" s="609"/>
      <c r="AJB29" s="609"/>
      <c r="AJC29" s="609"/>
      <c r="AJD29" s="609"/>
      <c r="AJE29" s="609"/>
      <c r="AJF29" s="609"/>
      <c r="AJG29" s="609"/>
      <c r="AJH29" s="609"/>
      <c r="AJI29" s="609"/>
      <c r="AJJ29" s="609"/>
      <c r="AJK29" s="609"/>
      <c r="AJL29" s="609"/>
      <c r="AJM29" s="609"/>
      <c r="AJN29" s="609"/>
      <c r="AJO29" s="609"/>
      <c r="AJP29" s="609"/>
      <c r="AJQ29" s="609"/>
      <c r="AJR29" s="609"/>
      <c r="AJS29" s="609"/>
      <c r="AJT29" s="609"/>
      <c r="AJU29" s="609"/>
      <c r="AJV29" s="609"/>
      <c r="AJW29" s="609"/>
      <c r="AJX29" s="609"/>
      <c r="AJY29" s="609"/>
      <c r="AJZ29" s="609"/>
      <c r="AKA29" s="609"/>
      <c r="AKB29" s="609"/>
      <c r="AKC29" s="609"/>
      <c r="AKD29" s="609"/>
      <c r="AKE29" s="609"/>
      <c r="AKF29" s="609"/>
      <c r="AKG29" s="609"/>
      <c r="AKH29" s="609"/>
      <c r="AKI29" s="609"/>
      <c r="AKJ29" s="609"/>
      <c r="AKK29" s="609"/>
      <c r="AKL29" s="609"/>
      <c r="AKM29" s="609"/>
      <c r="AKN29" s="609"/>
      <c r="AKO29" s="609"/>
      <c r="AKP29" s="609"/>
      <c r="AKQ29" s="609"/>
      <c r="AKR29" s="609"/>
      <c r="AKS29" s="609"/>
      <c r="AKT29" s="609"/>
      <c r="AKU29" s="609"/>
      <c r="AKV29" s="609"/>
      <c r="AKW29" s="609"/>
      <c r="AKX29" s="609"/>
      <c r="AKY29" s="609"/>
      <c r="AKZ29" s="609"/>
      <c r="ALA29" s="609"/>
      <c r="ALB29" s="609"/>
      <c r="ALC29" s="609"/>
      <c r="ALD29" s="609"/>
      <c r="ALE29" s="609"/>
      <c r="ALF29" s="609"/>
      <c r="ALG29" s="609"/>
      <c r="ALH29" s="609"/>
      <c r="ALI29" s="609"/>
      <c r="ALJ29" s="609"/>
      <c r="ALK29" s="609"/>
      <c r="ALL29" s="609"/>
      <c r="ALM29" s="609"/>
      <c r="ALN29" s="609"/>
      <c r="ALO29" s="609"/>
      <c r="ALP29" s="609"/>
      <c r="ALQ29" s="609"/>
      <c r="ALR29" s="609"/>
      <c r="ALS29" s="609"/>
      <c r="ALT29" s="609"/>
      <c r="ALU29" s="609"/>
      <c r="ALV29" s="609"/>
      <c r="ALW29" s="609"/>
      <c r="ALX29" s="609"/>
      <c r="ALY29" s="609"/>
      <c r="ALZ29" s="609"/>
      <c r="AMA29" s="609"/>
      <c r="AMB29" s="609"/>
      <c r="AMC29" s="609"/>
      <c r="AMD29" s="609"/>
      <c r="AME29" s="609"/>
      <c r="AMF29" s="609"/>
      <c r="AMG29" s="609"/>
      <c r="AMH29" s="609"/>
      <c r="AMI29" s="609"/>
      <c r="AMJ29" s="609"/>
      <c r="AMK29" s="609"/>
      <c r="AML29" s="609"/>
      <c r="AMM29" s="609"/>
      <c r="AMN29" s="609"/>
      <c r="AMO29" s="609"/>
      <c r="AMP29" s="609"/>
      <c r="AMQ29" s="609"/>
      <c r="AMR29" s="609"/>
      <c r="AMS29" s="609"/>
      <c r="AMT29" s="609"/>
      <c r="AMU29" s="609"/>
      <c r="AMV29" s="609"/>
      <c r="AMW29" s="609"/>
      <c r="AMX29" s="609"/>
      <c r="AMY29" s="609"/>
      <c r="AMZ29" s="609"/>
      <c r="ANA29" s="609"/>
      <c r="ANB29" s="609"/>
      <c r="ANC29" s="609"/>
      <c r="AND29" s="609"/>
      <c r="ANE29" s="609"/>
      <c r="ANF29" s="609"/>
      <c r="ANG29" s="609"/>
      <c r="ANH29" s="609"/>
      <c r="ANI29" s="609"/>
      <c r="ANJ29" s="609"/>
      <c r="ANK29" s="609"/>
      <c r="ANL29" s="609"/>
      <c r="ANM29" s="609"/>
      <c r="ANN29" s="609"/>
      <c r="ANO29" s="609"/>
      <c r="ANP29" s="609"/>
      <c r="ANQ29" s="609"/>
      <c r="ANR29" s="609"/>
      <c r="ANS29" s="609"/>
      <c r="ANT29" s="609"/>
      <c r="ANU29" s="609"/>
      <c r="ANV29" s="609"/>
      <c r="ANW29" s="609"/>
      <c r="ANX29" s="609"/>
      <c r="ANY29" s="609"/>
      <c r="ANZ29" s="609"/>
      <c r="AOA29" s="609"/>
      <c r="AOB29" s="609"/>
      <c r="AOC29" s="609"/>
      <c r="AOD29" s="609"/>
      <c r="AOE29" s="609"/>
      <c r="AOF29" s="609"/>
      <c r="AOG29" s="609"/>
      <c r="AOH29" s="609"/>
      <c r="AOI29" s="609"/>
      <c r="AOJ29" s="609"/>
      <c r="AOK29" s="609"/>
      <c r="AOL29" s="609"/>
      <c r="AOM29" s="609"/>
      <c r="AON29" s="609"/>
      <c r="AOO29" s="609"/>
      <c r="AOP29" s="609"/>
      <c r="AOQ29" s="609"/>
      <c r="AOR29" s="609"/>
      <c r="AOS29" s="609"/>
      <c r="AOT29" s="609"/>
      <c r="AOU29" s="609"/>
      <c r="AOV29" s="609"/>
      <c r="AOW29" s="609"/>
      <c r="AOX29" s="609"/>
      <c r="AOY29" s="609"/>
      <c r="AOZ29" s="609"/>
      <c r="APA29" s="609"/>
      <c r="APB29" s="609"/>
      <c r="APC29" s="609"/>
      <c r="APD29" s="609"/>
      <c r="APE29" s="609"/>
      <c r="APF29" s="609"/>
      <c r="APG29" s="609"/>
      <c r="APH29" s="609"/>
      <c r="API29" s="609"/>
      <c r="APJ29" s="609"/>
      <c r="APK29" s="609"/>
      <c r="APL29" s="609"/>
      <c r="APM29" s="609"/>
      <c r="APN29" s="609"/>
      <c r="APO29" s="609"/>
      <c r="APP29" s="609"/>
      <c r="APQ29" s="609"/>
      <c r="APR29" s="609"/>
      <c r="APS29" s="609"/>
      <c r="APT29" s="609"/>
      <c r="APU29" s="609"/>
      <c r="APV29" s="609"/>
      <c r="APW29" s="609"/>
      <c r="APX29" s="609"/>
      <c r="APY29" s="609"/>
      <c r="APZ29" s="609"/>
      <c r="AQA29" s="609"/>
      <c r="AQB29" s="609"/>
      <c r="AQC29" s="609"/>
      <c r="AQD29" s="609"/>
      <c r="AQE29" s="609"/>
      <c r="AQF29" s="609"/>
      <c r="AQG29" s="609"/>
      <c r="AQH29" s="609"/>
      <c r="AQI29" s="609"/>
      <c r="AQJ29" s="609"/>
      <c r="AQK29" s="609"/>
      <c r="AQL29" s="609"/>
      <c r="AQM29" s="609"/>
      <c r="AQN29" s="609"/>
      <c r="AQO29" s="609"/>
      <c r="AQP29" s="609"/>
      <c r="AQQ29" s="609"/>
      <c r="AQR29" s="609"/>
      <c r="AQS29" s="609"/>
      <c r="AQT29" s="609"/>
      <c r="AQU29" s="609"/>
      <c r="AQV29" s="609"/>
      <c r="AQW29" s="609"/>
      <c r="AQX29" s="609"/>
      <c r="AQY29" s="609"/>
      <c r="AQZ29" s="609"/>
      <c r="ARA29" s="609"/>
      <c r="ARB29" s="609"/>
      <c r="ARC29" s="609"/>
      <c r="ARD29" s="609"/>
      <c r="ARE29" s="609"/>
      <c r="ARF29" s="609"/>
      <c r="ARG29" s="609"/>
      <c r="ARH29" s="609"/>
      <c r="ARI29" s="609"/>
      <c r="ARJ29" s="609"/>
      <c r="ARK29" s="609"/>
      <c r="ARL29" s="609"/>
      <c r="ARM29" s="609"/>
      <c r="ARN29" s="609"/>
      <c r="ARO29" s="609"/>
      <c r="ARP29" s="609"/>
      <c r="ARQ29" s="609"/>
      <c r="ARR29" s="609"/>
      <c r="ARS29" s="609"/>
      <c r="ART29" s="609"/>
      <c r="ARU29" s="609"/>
      <c r="ARV29" s="609"/>
      <c r="ARW29" s="609"/>
      <c r="ARX29" s="609"/>
      <c r="ARY29" s="609"/>
      <c r="ARZ29" s="609"/>
      <c r="ASA29" s="609"/>
      <c r="ASB29" s="609"/>
      <c r="ASC29" s="609"/>
      <c r="ASD29" s="609"/>
      <c r="ASE29" s="609"/>
      <c r="ASF29" s="609"/>
      <c r="ASG29" s="609"/>
      <c r="ASH29" s="609"/>
      <c r="ASI29" s="609"/>
      <c r="ASJ29" s="609"/>
      <c r="ASK29" s="609"/>
      <c r="ASL29" s="609"/>
      <c r="ASM29" s="609"/>
      <c r="ASN29" s="609"/>
      <c r="ASO29" s="609"/>
      <c r="ASP29" s="609"/>
      <c r="ASQ29" s="609"/>
      <c r="ASR29" s="609"/>
      <c r="ASS29" s="609"/>
      <c r="AST29" s="609"/>
      <c r="ASU29" s="609"/>
      <c r="ASV29" s="609"/>
      <c r="ASW29" s="609"/>
      <c r="ASX29" s="609"/>
      <c r="ASY29" s="609"/>
      <c r="ASZ29" s="609"/>
      <c r="ATA29" s="609"/>
      <c r="ATB29" s="609"/>
      <c r="ATC29" s="609"/>
      <c r="ATD29" s="609"/>
      <c r="ATE29" s="609"/>
      <c r="ATF29" s="609"/>
      <c r="ATG29" s="609"/>
      <c r="ATH29" s="609"/>
      <c r="ATI29" s="609"/>
      <c r="ATJ29" s="609"/>
      <c r="ATK29" s="609"/>
      <c r="ATL29" s="609"/>
      <c r="ATM29" s="609"/>
      <c r="ATN29" s="609"/>
      <c r="ATO29" s="609"/>
      <c r="ATP29" s="609"/>
      <c r="ATQ29" s="609"/>
      <c r="ATR29" s="609"/>
      <c r="ATS29" s="609"/>
      <c r="ATT29" s="609"/>
      <c r="ATU29" s="609"/>
      <c r="ATV29" s="609"/>
      <c r="ATW29" s="609"/>
      <c r="ATX29" s="609"/>
      <c r="ATY29" s="609"/>
      <c r="ATZ29" s="609"/>
      <c r="AUA29" s="609"/>
      <c r="AUB29" s="609"/>
      <c r="AUC29" s="609"/>
      <c r="AUD29" s="609"/>
      <c r="AUE29" s="609"/>
      <c r="AUF29" s="609"/>
      <c r="AUG29" s="609"/>
      <c r="AUH29" s="609"/>
      <c r="AUI29" s="609"/>
      <c r="AUJ29" s="609"/>
      <c r="AUK29" s="609"/>
      <c r="AUL29" s="609"/>
      <c r="AUM29" s="609"/>
      <c r="AUN29" s="609"/>
      <c r="AUO29" s="609"/>
      <c r="AUP29" s="609"/>
      <c r="AUQ29" s="609"/>
      <c r="AUR29" s="609"/>
      <c r="AUS29" s="609"/>
      <c r="AUT29" s="609"/>
      <c r="AUU29" s="609"/>
      <c r="AUV29" s="609"/>
      <c r="AUW29" s="609"/>
      <c r="AUX29" s="609"/>
      <c r="AUY29" s="609"/>
      <c r="AUZ29" s="609"/>
      <c r="AVA29" s="609"/>
      <c r="AVB29" s="609"/>
      <c r="AVC29" s="609"/>
      <c r="AVD29" s="609"/>
      <c r="AVE29" s="609"/>
      <c r="AVF29" s="609"/>
      <c r="AVG29" s="609"/>
      <c r="AVH29" s="609"/>
      <c r="AVI29" s="609"/>
      <c r="AVJ29" s="609"/>
      <c r="AVK29" s="609"/>
      <c r="AVL29" s="609"/>
      <c r="AVM29" s="609"/>
      <c r="AVN29" s="609"/>
      <c r="AVO29" s="609"/>
      <c r="AVP29" s="609"/>
      <c r="AVQ29" s="609"/>
      <c r="AVR29" s="609"/>
      <c r="AVS29" s="609"/>
      <c r="AVT29" s="609"/>
      <c r="AVU29" s="609"/>
      <c r="AVV29" s="609"/>
      <c r="AVW29" s="609"/>
      <c r="AVX29" s="609"/>
      <c r="AVY29" s="609"/>
      <c r="AVZ29" s="609"/>
      <c r="AWA29" s="609"/>
      <c r="AWB29" s="609"/>
      <c r="AWC29" s="609"/>
      <c r="AWD29" s="609"/>
      <c r="AWE29" s="609"/>
      <c r="AWF29" s="609"/>
      <c r="AWG29" s="609"/>
      <c r="AWH29" s="609"/>
      <c r="AWI29" s="609"/>
      <c r="AWJ29" s="609"/>
      <c r="AWK29" s="609"/>
      <c r="AWL29" s="609"/>
      <c r="AWM29" s="609"/>
      <c r="AWN29" s="609"/>
      <c r="AWO29" s="609"/>
      <c r="AWP29" s="609"/>
      <c r="AWQ29" s="609"/>
      <c r="AWR29" s="609"/>
      <c r="AWS29" s="609"/>
      <c r="AWT29" s="609"/>
      <c r="AWU29" s="609"/>
      <c r="AWV29" s="609"/>
      <c r="AWW29" s="609"/>
      <c r="AWX29" s="609"/>
      <c r="AWY29" s="609"/>
      <c r="AWZ29" s="609"/>
      <c r="AXA29" s="609"/>
      <c r="AXB29" s="609"/>
      <c r="AXC29" s="609"/>
      <c r="AXD29" s="609"/>
      <c r="AXE29" s="609"/>
      <c r="AXF29" s="609"/>
      <c r="AXG29" s="609"/>
      <c r="AXH29" s="609"/>
      <c r="AXI29" s="609"/>
      <c r="AXJ29" s="609"/>
      <c r="AXK29" s="609"/>
      <c r="AXL29" s="609"/>
      <c r="AXM29" s="609"/>
      <c r="AXN29" s="609"/>
      <c r="AXO29" s="609"/>
      <c r="AXP29" s="609"/>
      <c r="AXQ29" s="609"/>
      <c r="AXR29" s="609"/>
      <c r="AXS29" s="609"/>
      <c r="AXT29" s="609"/>
      <c r="AXU29" s="609"/>
      <c r="AXV29" s="609"/>
      <c r="AXW29" s="609"/>
      <c r="AXX29" s="609"/>
      <c r="AXY29" s="609"/>
      <c r="AXZ29" s="609"/>
      <c r="AYA29" s="609"/>
      <c r="AYB29" s="609"/>
      <c r="AYC29" s="609"/>
      <c r="AYD29" s="609"/>
      <c r="AYE29" s="609"/>
      <c r="AYF29" s="609"/>
      <c r="AYG29" s="609"/>
      <c r="AYH29" s="609"/>
      <c r="AYI29" s="609"/>
      <c r="AYJ29" s="609"/>
      <c r="AYK29" s="609"/>
      <c r="AYL29" s="609"/>
      <c r="AYM29" s="609"/>
      <c r="AYN29" s="609"/>
      <c r="AYO29" s="609"/>
      <c r="AYP29" s="609"/>
      <c r="AYQ29" s="609"/>
      <c r="AYR29" s="609"/>
      <c r="AYS29" s="609"/>
      <c r="AYT29" s="609"/>
      <c r="AYU29" s="609"/>
      <c r="AYV29" s="609"/>
      <c r="AYW29" s="609"/>
      <c r="AYX29" s="609"/>
      <c r="AYY29" s="609"/>
      <c r="AYZ29" s="609"/>
      <c r="AZA29" s="609"/>
      <c r="AZB29" s="609"/>
      <c r="AZC29" s="609"/>
      <c r="AZD29" s="609"/>
      <c r="AZE29" s="609"/>
      <c r="AZF29" s="609"/>
      <c r="AZG29" s="609"/>
      <c r="AZH29" s="609"/>
      <c r="AZI29" s="609"/>
      <c r="AZJ29" s="609"/>
      <c r="AZK29" s="609"/>
      <c r="AZL29" s="609"/>
      <c r="AZM29" s="609"/>
      <c r="AZN29" s="609"/>
      <c r="AZO29" s="609"/>
      <c r="AZP29" s="609"/>
      <c r="AZQ29" s="609"/>
      <c r="AZR29" s="609"/>
      <c r="AZS29" s="609"/>
      <c r="AZT29" s="609"/>
      <c r="AZU29" s="609"/>
      <c r="AZV29" s="609"/>
      <c r="AZW29" s="609"/>
      <c r="AZX29" s="609"/>
      <c r="AZY29" s="609"/>
      <c r="AZZ29" s="609"/>
      <c r="BAA29" s="609"/>
      <c r="BAB29" s="609"/>
      <c r="BAC29" s="609"/>
      <c r="BAD29" s="609"/>
      <c r="BAE29" s="609"/>
      <c r="BAF29" s="609"/>
      <c r="BAG29" s="609"/>
      <c r="BAH29" s="609"/>
      <c r="BAI29" s="609"/>
      <c r="BAJ29" s="609"/>
      <c r="BAK29" s="609"/>
      <c r="BAL29" s="609"/>
      <c r="BAM29" s="609"/>
      <c r="BAN29" s="609"/>
      <c r="BAO29" s="609"/>
      <c r="BAP29" s="609"/>
      <c r="BAQ29" s="609"/>
      <c r="BAR29" s="609"/>
      <c r="BAS29" s="609"/>
      <c r="BAT29" s="609"/>
      <c r="BAU29" s="609"/>
      <c r="BAV29" s="609"/>
      <c r="BAW29" s="609"/>
      <c r="BAX29" s="609"/>
      <c r="BAY29" s="609"/>
      <c r="BAZ29" s="609"/>
      <c r="BBA29" s="609"/>
      <c r="BBB29" s="609"/>
      <c r="BBC29" s="609"/>
      <c r="BBD29" s="609"/>
      <c r="BBE29" s="609"/>
      <c r="BBF29" s="609"/>
      <c r="BBG29" s="609"/>
      <c r="BBH29" s="609"/>
      <c r="BBI29" s="609"/>
      <c r="BBJ29" s="609"/>
      <c r="BBK29" s="609"/>
      <c r="BBL29" s="609"/>
      <c r="BBM29" s="609"/>
      <c r="BBN29" s="609"/>
      <c r="BBO29" s="609"/>
      <c r="BBP29" s="609"/>
      <c r="BBQ29" s="609"/>
      <c r="BBR29" s="609"/>
      <c r="BBS29" s="609"/>
      <c r="BBT29" s="609"/>
      <c r="BBU29" s="609"/>
      <c r="BBV29" s="609"/>
      <c r="BBW29" s="609"/>
      <c r="BBX29" s="609"/>
      <c r="BBY29" s="609"/>
      <c r="BBZ29" s="609"/>
      <c r="BCA29" s="609"/>
      <c r="BCB29" s="609"/>
      <c r="BCC29" s="609"/>
      <c r="BCD29" s="609"/>
      <c r="BCE29" s="609"/>
      <c r="BCF29" s="609"/>
      <c r="BCG29" s="609"/>
      <c r="BCH29" s="609"/>
      <c r="BCI29" s="609"/>
      <c r="BCJ29" s="609"/>
      <c r="BCK29" s="609"/>
      <c r="BCL29" s="609"/>
      <c r="BCM29" s="609"/>
      <c r="BCN29" s="609"/>
      <c r="BCO29" s="609"/>
      <c r="BCP29" s="609"/>
      <c r="BCQ29" s="609"/>
      <c r="BCR29" s="609"/>
      <c r="BCS29" s="609"/>
      <c r="BCT29" s="609"/>
      <c r="BCU29" s="609"/>
      <c r="BCV29" s="609"/>
      <c r="BCW29" s="609"/>
      <c r="BCX29" s="609"/>
      <c r="BCY29" s="609"/>
      <c r="BCZ29" s="609"/>
      <c r="BDA29" s="609"/>
      <c r="BDB29" s="609"/>
      <c r="BDC29" s="609"/>
      <c r="BDD29" s="609"/>
      <c r="BDE29" s="609"/>
      <c r="BDF29" s="609"/>
      <c r="BDG29" s="609"/>
      <c r="BDH29" s="609"/>
      <c r="BDI29" s="609"/>
      <c r="BDJ29" s="609"/>
      <c r="BDK29" s="609"/>
      <c r="BDL29" s="609"/>
      <c r="BDM29" s="609"/>
      <c r="BDN29" s="609"/>
      <c r="BDO29" s="609"/>
      <c r="BDP29" s="609"/>
      <c r="BDQ29" s="609"/>
      <c r="BDR29" s="609"/>
      <c r="BDS29" s="609"/>
      <c r="BDT29" s="609"/>
      <c r="BDU29" s="609"/>
      <c r="BDV29" s="609"/>
      <c r="BDW29" s="609"/>
      <c r="BDX29" s="609"/>
      <c r="BDY29" s="609"/>
      <c r="BDZ29" s="609"/>
      <c r="BEA29" s="609"/>
      <c r="BEB29" s="609"/>
      <c r="BEC29" s="609"/>
      <c r="BED29" s="609"/>
      <c r="BEE29" s="609"/>
      <c r="BEF29" s="609"/>
      <c r="BEG29" s="609"/>
      <c r="BEH29" s="609"/>
      <c r="BEI29" s="609"/>
      <c r="BEJ29" s="609"/>
      <c r="BEK29" s="609"/>
      <c r="BEL29" s="609"/>
      <c r="BEM29" s="609"/>
      <c r="BEN29" s="609"/>
      <c r="BEO29" s="609"/>
      <c r="BEP29" s="609"/>
      <c r="BEQ29" s="609"/>
      <c r="BER29" s="609"/>
      <c r="BES29" s="609"/>
      <c r="BET29" s="609"/>
      <c r="BEU29" s="609"/>
      <c r="BEV29" s="609"/>
      <c r="BEW29" s="609"/>
      <c r="BEX29" s="609"/>
      <c r="BEY29" s="609"/>
      <c r="BEZ29" s="609"/>
      <c r="BFA29" s="609"/>
      <c r="BFB29" s="609"/>
      <c r="BFC29" s="609"/>
      <c r="BFD29" s="609"/>
      <c r="BFE29" s="609"/>
      <c r="BFF29" s="609"/>
      <c r="BFG29" s="609"/>
      <c r="BFH29" s="609"/>
      <c r="BFI29" s="609"/>
      <c r="BFJ29" s="609"/>
      <c r="BFK29" s="609"/>
      <c r="BFL29" s="609"/>
      <c r="BFM29" s="609"/>
      <c r="BFN29" s="609"/>
      <c r="BFO29" s="609"/>
      <c r="BFP29" s="609"/>
      <c r="BFQ29" s="609"/>
      <c r="BFR29" s="609"/>
      <c r="BFS29" s="609"/>
      <c r="BFT29" s="609"/>
      <c r="BFU29" s="609"/>
      <c r="BFV29" s="609"/>
      <c r="BFW29" s="609"/>
      <c r="BFX29" s="609"/>
      <c r="BFY29" s="609"/>
      <c r="BFZ29" s="609"/>
      <c r="BGA29" s="609"/>
      <c r="BGB29" s="609"/>
      <c r="BGC29" s="609"/>
      <c r="BGD29" s="609"/>
      <c r="BGE29" s="609"/>
      <c r="BGF29" s="609"/>
      <c r="BGG29" s="609"/>
      <c r="BGH29" s="609"/>
      <c r="BGI29" s="609"/>
      <c r="BGJ29" s="609"/>
      <c r="BGK29" s="609"/>
      <c r="BGL29" s="609"/>
      <c r="BGM29" s="609"/>
      <c r="BGN29" s="609"/>
      <c r="BGO29" s="609"/>
      <c r="BGP29" s="609"/>
      <c r="BGQ29" s="609"/>
      <c r="BGR29" s="609"/>
      <c r="BGS29" s="609"/>
      <c r="BGT29" s="609"/>
      <c r="BGU29" s="609"/>
      <c r="BGV29" s="609"/>
      <c r="BGW29" s="609"/>
      <c r="BGX29" s="609"/>
      <c r="BGY29" s="609"/>
      <c r="BGZ29" s="609"/>
      <c r="BHA29" s="609"/>
      <c r="BHB29" s="609"/>
      <c r="BHC29" s="609"/>
      <c r="BHD29" s="609"/>
      <c r="BHE29" s="609"/>
      <c r="BHF29" s="609"/>
      <c r="BHG29" s="609"/>
      <c r="BHH29" s="609"/>
      <c r="BHI29" s="609"/>
      <c r="BHJ29" s="609"/>
      <c r="BHK29" s="609"/>
      <c r="BHL29" s="609"/>
      <c r="BHM29" s="609"/>
      <c r="BHN29" s="609"/>
      <c r="BHO29" s="609"/>
      <c r="BHP29" s="609"/>
      <c r="BHQ29" s="609"/>
      <c r="BHR29" s="609"/>
      <c r="BHS29" s="609"/>
      <c r="BHT29" s="609"/>
      <c r="BHU29" s="609"/>
      <c r="BHV29" s="609"/>
      <c r="BHW29" s="609"/>
      <c r="BHX29" s="609"/>
      <c r="BHY29" s="609"/>
      <c r="BHZ29" s="609"/>
      <c r="BIA29" s="609"/>
      <c r="BIB29" s="609"/>
      <c r="BIC29" s="609"/>
      <c r="BID29" s="609"/>
      <c r="BIE29" s="609"/>
      <c r="BIF29" s="609"/>
      <c r="BIG29" s="609"/>
      <c r="BIH29" s="609"/>
      <c r="BII29" s="609"/>
      <c r="BIJ29" s="609"/>
      <c r="BIK29" s="609"/>
      <c r="BIL29" s="609"/>
      <c r="BIM29" s="609"/>
      <c r="BIN29" s="609"/>
      <c r="BIO29" s="609"/>
      <c r="BIP29" s="609"/>
      <c r="BIQ29" s="609"/>
      <c r="BIR29" s="609"/>
      <c r="BIS29" s="609"/>
      <c r="BIT29" s="609"/>
      <c r="BIU29" s="609"/>
      <c r="BIV29" s="609"/>
      <c r="BIW29" s="609"/>
      <c r="BIX29" s="609"/>
      <c r="BIY29" s="609"/>
      <c r="BIZ29" s="609"/>
      <c r="BJA29" s="609"/>
      <c r="BJB29" s="609"/>
      <c r="BJC29" s="609"/>
      <c r="BJD29" s="609"/>
      <c r="BJE29" s="609"/>
      <c r="BJF29" s="609"/>
      <c r="BJG29" s="609"/>
      <c r="BJH29" s="609"/>
      <c r="BJI29" s="609"/>
      <c r="BJJ29" s="609"/>
      <c r="BJK29" s="609"/>
      <c r="BJL29" s="609"/>
      <c r="BJM29" s="609"/>
      <c r="BJN29" s="609"/>
      <c r="BJO29" s="609"/>
      <c r="BJP29" s="609"/>
      <c r="BJQ29" s="609"/>
      <c r="BJR29" s="609"/>
      <c r="BJS29" s="609"/>
      <c r="BJT29" s="609"/>
      <c r="BJU29" s="609"/>
      <c r="BJV29" s="609"/>
      <c r="BJW29" s="609"/>
      <c r="BJX29" s="609"/>
      <c r="BJY29" s="609"/>
      <c r="BJZ29" s="609"/>
      <c r="BKA29" s="609"/>
      <c r="BKB29" s="609"/>
      <c r="BKC29" s="609"/>
      <c r="BKD29" s="609"/>
      <c r="BKE29" s="609"/>
      <c r="BKF29" s="609"/>
      <c r="BKG29" s="609"/>
      <c r="BKH29" s="609"/>
      <c r="BKI29" s="609"/>
      <c r="BKJ29" s="609"/>
      <c r="BKK29" s="609"/>
      <c r="BKL29" s="609"/>
      <c r="BKM29" s="609"/>
      <c r="BKN29" s="609"/>
      <c r="BKO29" s="609"/>
      <c r="BKP29" s="609"/>
      <c r="BKQ29" s="609"/>
      <c r="BKR29" s="609"/>
      <c r="BKS29" s="609"/>
      <c r="BKT29" s="609"/>
      <c r="BKU29" s="609"/>
      <c r="BKV29" s="609"/>
      <c r="BKW29" s="609"/>
      <c r="BKX29" s="609"/>
      <c r="BKY29" s="609"/>
      <c r="BKZ29" s="609"/>
      <c r="BLA29" s="609"/>
      <c r="BLB29" s="609"/>
      <c r="BLC29" s="609"/>
      <c r="BLD29" s="609"/>
      <c r="BLE29" s="609"/>
      <c r="BLF29" s="609"/>
      <c r="BLG29" s="609"/>
      <c r="BLH29" s="609"/>
      <c r="BLI29" s="609"/>
      <c r="BLJ29" s="609"/>
      <c r="BLK29" s="609"/>
      <c r="BLL29" s="609"/>
      <c r="BLM29" s="609"/>
      <c r="BLN29" s="609"/>
      <c r="BLO29" s="609"/>
      <c r="BLP29" s="609"/>
      <c r="BLQ29" s="609"/>
      <c r="BLR29" s="609"/>
      <c r="BLS29" s="609"/>
      <c r="BLT29" s="609"/>
      <c r="BLU29" s="609"/>
      <c r="BLV29" s="609"/>
      <c r="BLW29" s="609"/>
      <c r="BLX29" s="609"/>
      <c r="BLY29" s="609"/>
      <c r="BLZ29" s="609"/>
      <c r="BMA29" s="609"/>
      <c r="BMB29" s="609"/>
      <c r="BMC29" s="609"/>
      <c r="BMD29" s="609"/>
      <c r="BME29" s="609"/>
      <c r="BMF29" s="609"/>
      <c r="BMG29" s="609"/>
      <c r="BMH29" s="609"/>
      <c r="BMI29" s="609"/>
      <c r="BMJ29" s="609"/>
      <c r="BMK29" s="609"/>
      <c r="BML29" s="609"/>
      <c r="BMM29" s="609"/>
      <c r="BMN29" s="609"/>
      <c r="BMO29" s="609"/>
      <c r="BMP29" s="609"/>
      <c r="BMQ29" s="609"/>
      <c r="BMR29" s="609"/>
      <c r="BMS29" s="609"/>
      <c r="BMT29" s="609"/>
      <c r="BMU29" s="609"/>
      <c r="BMV29" s="609"/>
      <c r="BMW29" s="609"/>
      <c r="BMX29" s="609"/>
      <c r="BMY29" s="609"/>
      <c r="BMZ29" s="609"/>
      <c r="BNA29" s="609"/>
      <c r="BNB29" s="609"/>
      <c r="BNC29" s="609"/>
      <c r="BND29" s="609"/>
      <c r="BNE29" s="609"/>
      <c r="BNF29" s="609"/>
      <c r="BNG29" s="609"/>
      <c r="BNH29" s="609"/>
      <c r="BNI29" s="609"/>
      <c r="BNJ29" s="609"/>
      <c r="BNK29" s="609"/>
      <c r="BNL29" s="609"/>
      <c r="BNM29" s="609"/>
      <c r="BNN29" s="609"/>
      <c r="BNO29" s="609"/>
      <c r="BNP29" s="609"/>
      <c r="BNQ29" s="609"/>
      <c r="BNR29" s="609"/>
      <c r="BNS29" s="609"/>
      <c r="BNT29" s="609"/>
      <c r="BNU29" s="609"/>
      <c r="BNV29" s="609"/>
      <c r="BNW29" s="609"/>
      <c r="BNX29" s="609"/>
      <c r="BNY29" s="609"/>
      <c r="BNZ29" s="609"/>
      <c r="BOA29" s="609"/>
      <c r="BOB29" s="609"/>
      <c r="BOC29" s="609"/>
      <c r="BOD29" s="609"/>
      <c r="BOE29" s="609"/>
      <c r="BOF29" s="609"/>
      <c r="BOG29" s="609"/>
      <c r="BOH29" s="609"/>
      <c r="BOI29" s="609"/>
      <c r="BOJ29" s="609"/>
      <c r="BOK29" s="609"/>
      <c r="BOL29" s="609"/>
      <c r="BOM29" s="609"/>
      <c r="BON29" s="609"/>
      <c r="BOO29" s="609"/>
      <c r="BOP29" s="609"/>
      <c r="BOQ29" s="609"/>
      <c r="BOR29" s="609"/>
      <c r="BOS29" s="609"/>
      <c r="BOT29" s="609"/>
      <c r="BOU29" s="609"/>
      <c r="BOV29" s="609"/>
      <c r="BOW29" s="609"/>
      <c r="BOX29" s="609"/>
      <c r="BOY29" s="609"/>
      <c r="BOZ29" s="609"/>
      <c r="BPA29" s="609"/>
      <c r="BPB29" s="609"/>
      <c r="BPC29" s="609"/>
      <c r="BPD29" s="609"/>
      <c r="BPE29" s="609"/>
      <c r="BPF29" s="609"/>
      <c r="BPG29" s="609"/>
      <c r="BPH29" s="609"/>
      <c r="BPI29" s="609"/>
      <c r="BPJ29" s="609"/>
      <c r="BPK29" s="609"/>
      <c r="BPL29" s="609"/>
      <c r="BPM29" s="609"/>
      <c r="BPN29" s="609"/>
      <c r="BPO29" s="609"/>
      <c r="BPP29" s="609"/>
      <c r="BPQ29" s="609"/>
      <c r="BPR29" s="609"/>
      <c r="BPS29" s="609"/>
      <c r="BPT29" s="609"/>
      <c r="BPU29" s="609"/>
      <c r="BPV29" s="609"/>
      <c r="BPW29" s="609"/>
      <c r="BPX29" s="609"/>
      <c r="BPY29" s="609"/>
      <c r="BPZ29" s="609"/>
      <c r="BQA29" s="609"/>
      <c r="BQB29" s="609"/>
      <c r="BQC29" s="609"/>
      <c r="BQD29" s="609"/>
      <c r="BQE29" s="609"/>
      <c r="BQF29" s="609"/>
      <c r="BQG29" s="609"/>
      <c r="BQH29" s="609"/>
      <c r="BQI29" s="609"/>
      <c r="BQJ29" s="609"/>
      <c r="BQK29" s="609"/>
      <c r="BQL29" s="609"/>
      <c r="BQM29" s="609"/>
      <c r="BQN29" s="609"/>
      <c r="BQO29" s="609"/>
      <c r="BQP29" s="609"/>
      <c r="BQQ29" s="609"/>
      <c r="BQR29" s="609"/>
      <c r="BQS29" s="609"/>
      <c r="BQT29" s="609"/>
      <c r="BQU29" s="609"/>
      <c r="BQV29" s="609"/>
      <c r="BQW29" s="609"/>
      <c r="BQX29" s="609"/>
      <c r="BQY29" s="609"/>
      <c r="BQZ29" s="609"/>
      <c r="BRA29" s="609"/>
      <c r="BRB29" s="609"/>
      <c r="BRC29" s="609"/>
      <c r="BRD29" s="609"/>
      <c r="BRE29" s="609"/>
      <c r="BRF29" s="609"/>
      <c r="BRG29" s="609"/>
      <c r="BRH29" s="609"/>
      <c r="BRI29" s="609"/>
      <c r="BRJ29" s="609"/>
      <c r="BRK29" s="609"/>
      <c r="BRL29" s="609"/>
      <c r="BRM29" s="609"/>
      <c r="BRN29" s="609"/>
      <c r="BRO29" s="609"/>
      <c r="BRP29" s="609"/>
      <c r="BRQ29" s="609"/>
      <c r="BRR29" s="609"/>
      <c r="BRS29" s="609"/>
      <c r="BRT29" s="609"/>
      <c r="BRU29" s="609"/>
      <c r="BRV29" s="609"/>
      <c r="BRW29" s="609"/>
      <c r="BRX29" s="609"/>
      <c r="BRY29" s="609"/>
      <c r="BRZ29" s="609"/>
      <c r="BSA29" s="609"/>
      <c r="BSB29" s="609"/>
      <c r="BSC29" s="609"/>
      <c r="BSD29" s="609"/>
      <c r="BSE29" s="609"/>
      <c r="BSF29" s="609"/>
      <c r="BSG29" s="609"/>
      <c r="BSH29" s="609"/>
      <c r="BSI29" s="609"/>
      <c r="BSJ29" s="609"/>
      <c r="BSK29" s="609"/>
      <c r="BSL29" s="609"/>
      <c r="BSM29" s="609"/>
      <c r="BSN29" s="609"/>
      <c r="BSO29" s="609"/>
      <c r="BSP29" s="609"/>
      <c r="BSQ29" s="609"/>
      <c r="BSR29" s="609"/>
      <c r="BSS29" s="609"/>
      <c r="BST29" s="609"/>
      <c r="BSU29" s="609"/>
      <c r="BSV29" s="609"/>
      <c r="BSW29" s="609"/>
      <c r="BSX29" s="609"/>
      <c r="BSY29" s="609"/>
      <c r="BSZ29" s="609"/>
      <c r="BTA29" s="609"/>
      <c r="BTB29" s="609"/>
      <c r="BTC29" s="609"/>
      <c r="BTD29" s="609"/>
      <c r="BTE29" s="609"/>
      <c r="BTF29" s="609"/>
      <c r="BTG29" s="609"/>
      <c r="BTH29" s="609"/>
      <c r="BTI29" s="609"/>
      <c r="BTJ29" s="609"/>
      <c r="BTK29" s="609"/>
      <c r="BTL29" s="609"/>
      <c r="BTM29" s="609"/>
      <c r="BTN29" s="609"/>
      <c r="BTO29" s="609"/>
      <c r="BTP29" s="609"/>
      <c r="BTQ29" s="609"/>
      <c r="BTR29" s="609"/>
      <c r="BTS29" s="609"/>
      <c r="BTT29" s="609"/>
      <c r="BTU29" s="609"/>
      <c r="BTV29" s="609"/>
      <c r="BTW29" s="609"/>
      <c r="BTX29" s="609"/>
      <c r="BTY29" s="609"/>
      <c r="BTZ29" s="609"/>
      <c r="BUA29" s="609"/>
      <c r="BUB29" s="609"/>
      <c r="BUC29" s="609"/>
      <c r="BUD29" s="609"/>
      <c r="BUE29" s="609"/>
      <c r="BUF29" s="609"/>
      <c r="BUG29" s="609"/>
      <c r="BUH29" s="609"/>
      <c r="BUI29" s="609"/>
      <c r="BUJ29" s="609"/>
      <c r="BUK29" s="609"/>
      <c r="BUL29" s="609"/>
      <c r="BUM29" s="609"/>
      <c r="BUN29" s="609"/>
      <c r="BUO29" s="609"/>
      <c r="BUP29" s="609"/>
      <c r="BUQ29" s="609"/>
      <c r="BUR29" s="609"/>
      <c r="BUS29" s="609"/>
      <c r="BUT29" s="609"/>
      <c r="BUU29" s="609"/>
      <c r="BUV29" s="609"/>
      <c r="BUW29" s="609"/>
      <c r="BUX29" s="609"/>
      <c r="BUY29" s="609"/>
      <c r="BUZ29" s="609"/>
      <c r="BVA29" s="609"/>
      <c r="BVB29" s="609"/>
      <c r="BVC29" s="609"/>
      <c r="BVD29" s="609"/>
      <c r="BVE29" s="609"/>
      <c r="BVF29" s="609"/>
      <c r="BVG29" s="609"/>
      <c r="BVH29" s="609"/>
      <c r="BVI29" s="609"/>
      <c r="BVJ29" s="609"/>
      <c r="BVK29" s="609"/>
      <c r="BVL29" s="609"/>
      <c r="BVM29" s="609"/>
      <c r="BVN29" s="609"/>
      <c r="BVO29" s="609"/>
      <c r="BVP29" s="609"/>
      <c r="BVQ29" s="609"/>
      <c r="BVR29" s="609"/>
      <c r="BVS29" s="609"/>
      <c r="BVT29" s="609"/>
      <c r="BVU29" s="609"/>
      <c r="BVV29" s="609"/>
      <c r="BVW29" s="609"/>
      <c r="BVX29" s="609"/>
      <c r="BVY29" s="609"/>
      <c r="BVZ29" s="609"/>
      <c r="BWA29" s="609"/>
      <c r="BWB29" s="609"/>
      <c r="BWC29" s="609"/>
      <c r="BWD29" s="609"/>
      <c r="BWE29" s="609"/>
      <c r="BWF29" s="609"/>
      <c r="BWG29" s="609"/>
      <c r="BWH29" s="609"/>
      <c r="BWI29" s="609"/>
      <c r="BWJ29" s="609"/>
      <c r="BWK29" s="609"/>
      <c r="BWL29" s="609"/>
      <c r="BWM29" s="609"/>
      <c r="BWN29" s="609"/>
      <c r="BWO29" s="609"/>
      <c r="BWP29" s="609"/>
      <c r="BWQ29" s="609"/>
      <c r="BWR29" s="609"/>
      <c r="BWS29" s="609"/>
      <c r="BWT29" s="609"/>
      <c r="BWU29" s="609"/>
      <c r="BWV29" s="609"/>
      <c r="BWW29" s="609"/>
      <c r="BWX29" s="609"/>
      <c r="BWY29" s="609"/>
      <c r="BWZ29" s="609"/>
      <c r="BXA29" s="609"/>
      <c r="BXB29" s="609"/>
      <c r="BXC29" s="609"/>
      <c r="BXD29" s="609"/>
      <c r="BXE29" s="609"/>
      <c r="BXF29" s="609"/>
      <c r="BXG29" s="609"/>
      <c r="BXH29" s="609"/>
      <c r="BXI29" s="609"/>
      <c r="BXJ29" s="609"/>
      <c r="BXK29" s="609"/>
      <c r="BXL29" s="609"/>
      <c r="BXM29" s="609"/>
      <c r="BXN29" s="609"/>
      <c r="BXO29" s="609"/>
      <c r="BXP29" s="609"/>
      <c r="BXQ29" s="609"/>
      <c r="BXR29" s="609"/>
      <c r="BXS29" s="609"/>
      <c r="BXT29" s="609"/>
      <c r="BXU29" s="609"/>
      <c r="BXV29" s="609"/>
      <c r="BXW29" s="609"/>
      <c r="BXX29" s="609"/>
      <c r="BXY29" s="609"/>
      <c r="BXZ29" s="609"/>
      <c r="BYA29" s="609"/>
      <c r="BYB29" s="609"/>
      <c r="BYC29" s="609"/>
      <c r="BYD29" s="609"/>
      <c r="BYE29" s="609"/>
      <c r="BYF29" s="609"/>
      <c r="BYG29" s="609"/>
      <c r="BYH29" s="609"/>
      <c r="BYI29" s="609"/>
      <c r="BYJ29" s="609"/>
      <c r="BYK29" s="609"/>
      <c r="BYL29" s="609"/>
      <c r="BYM29" s="609"/>
      <c r="BYN29" s="609"/>
      <c r="BYO29" s="609"/>
      <c r="BYP29" s="609"/>
      <c r="BYQ29" s="609"/>
      <c r="BYR29" s="609"/>
      <c r="BYS29" s="609"/>
      <c r="BYT29" s="609"/>
      <c r="BYU29" s="609"/>
      <c r="BYV29" s="609"/>
      <c r="BYW29" s="609"/>
      <c r="BYX29" s="609"/>
      <c r="BYY29" s="609"/>
      <c r="BYZ29" s="609"/>
      <c r="BZA29" s="609"/>
      <c r="BZB29" s="609"/>
      <c r="BZC29" s="609"/>
      <c r="BZD29" s="609"/>
      <c r="BZE29" s="609"/>
      <c r="BZF29" s="609"/>
      <c r="BZG29" s="609"/>
      <c r="BZH29" s="609"/>
      <c r="BZI29" s="609"/>
      <c r="BZJ29" s="609"/>
      <c r="BZK29" s="609"/>
      <c r="BZL29" s="609"/>
      <c r="BZM29" s="609"/>
      <c r="BZN29" s="609"/>
      <c r="BZO29" s="609"/>
      <c r="BZP29" s="609"/>
      <c r="BZQ29" s="609"/>
      <c r="BZR29" s="609"/>
      <c r="BZS29" s="609"/>
      <c r="BZT29" s="609"/>
      <c r="BZU29" s="609"/>
      <c r="BZV29" s="609"/>
      <c r="BZW29" s="609"/>
      <c r="BZX29" s="609"/>
      <c r="BZY29" s="609"/>
      <c r="BZZ29" s="609"/>
      <c r="CAA29" s="609"/>
      <c r="CAB29" s="609"/>
      <c r="CAC29" s="609"/>
      <c r="CAD29" s="609"/>
      <c r="CAE29" s="609"/>
      <c r="CAF29" s="609"/>
      <c r="CAG29" s="609"/>
      <c r="CAH29" s="609"/>
      <c r="CAI29" s="609"/>
      <c r="CAJ29" s="609"/>
      <c r="CAK29" s="609"/>
      <c r="CAL29" s="609"/>
      <c r="CAM29" s="609"/>
      <c r="CAN29" s="609"/>
      <c r="CAO29" s="609"/>
      <c r="CAP29" s="609"/>
      <c r="CAQ29" s="609"/>
      <c r="CAR29" s="609"/>
      <c r="CAS29" s="609"/>
      <c r="CAT29" s="609"/>
      <c r="CAU29" s="609"/>
      <c r="CAV29" s="609"/>
      <c r="CAW29" s="609"/>
      <c r="CAX29" s="609"/>
      <c r="CAY29" s="609"/>
      <c r="CAZ29" s="609"/>
      <c r="CBA29" s="609"/>
      <c r="CBB29" s="609"/>
      <c r="CBC29" s="609"/>
      <c r="CBD29" s="609"/>
      <c r="CBE29" s="609"/>
      <c r="CBF29" s="609"/>
      <c r="CBG29" s="609"/>
      <c r="CBH29" s="609"/>
      <c r="CBI29" s="609"/>
      <c r="CBJ29" s="609"/>
      <c r="CBK29" s="609"/>
      <c r="CBL29" s="609"/>
      <c r="CBM29" s="609"/>
      <c r="CBN29" s="609"/>
      <c r="CBO29" s="609"/>
      <c r="CBP29" s="609"/>
      <c r="CBQ29" s="609"/>
      <c r="CBR29" s="609"/>
      <c r="CBS29" s="609"/>
      <c r="CBT29" s="609"/>
      <c r="CBU29" s="609"/>
      <c r="CBV29" s="609"/>
      <c r="CBW29" s="609"/>
      <c r="CBX29" s="609"/>
      <c r="CBY29" s="609"/>
      <c r="CBZ29" s="609"/>
      <c r="CCA29" s="609"/>
      <c r="CCB29" s="609"/>
      <c r="CCC29" s="609"/>
      <c r="CCD29" s="609"/>
      <c r="CCE29" s="609"/>
      <c r="CCF29" s="609"/>
      <c r="CCG29" s="609"/>
      <c r="CCH29" s="609"/>
      <c r="CCI29" s="609"/>
      <c r="CCJ29" s="609"/>
      <c r="CCK29" s="609"/>
      <c r="CCL29" s="609"/>
      <c r="CCM29" s="609"/>
      <c r="CCN29" s="609"/>
      <c r="CCO29" s="609"/>
      <c r="CCP29" s="609"/>
      <c r="CCQ29" s="609"/>
      <c r="CCR29" s="609"/>
      <c r="CCS29" s="609"/>
      <c r="CCT29" s="609"/>
      <c r="CCU29" s="609"/>
      <c r="CCV29" s="609"/>
      <c r="CCW29" s="609"/>
      <c r="CCX29" s="609"/>
      <c r="CCY29" s="609"/>
      <c r="CCZ29" s="609"/>
      <c r="CDA29" s="609"/>
      <c r="CDB29" s="609"/>
      <c r="CDC29" s="609"/>
      <c r="CDD29" s="609"/>
      <c r="CDE29" s="609"/>
      <c r="CDF29" s="609"/>
      <c r="CDG29" s="609"/>
      <c r="CDH29" s="609"/>
      <c r="CDI29" s="609"/>
      <c r="CDJ29" s="609"/>
      <c r="CDK29" s="609"/>
      <c r="CDL29" s="609"/>
      <c r="CDM29" s="609"/>
      <c r="CDN29" s="609"/>
      <c r="CDO29" s="609"/>
      <c r="CDP29" s="609"/>
      <c r="CDQ29" s="609"/>
      <c r="CDR29" s="609"/>
      <c r="CDS29" s="609"/>
      <c r="CDT29" s="609"/>
      <c r="CDU29" s="609"/>
      <c r="CDV29" s="609"/>
      <c r="CDW29" s="609"/>
      <c r="CDX29" s="609"/>
      <c r="CDY29" s="609"/>
      <c r="CDZ29" s="609"/>
      <c r="CEA29" s="609"/>
      <c r="CEB29" s="609"/>
      <c r="CEC29" s="609"/>
      <c r="CED29" s="609"/>
      <c r="CEE29" s="609"/>
      <c r="CEF29" s="609"/>
      <c r="CEG29" s="609"/>
      <c r="CEH29" s="609"/>
      <c r="CEI29" s="609"/>
      <c r="CEJ29" s="609"/>
      <c r="CEK29" s="609"/>
      <c r="CEL29" s="609"/>
      <c r="CEM29" s="609"/>
      <c r="CEN29" s="609"/>
      <c r="CEO29" s="609"/>
      <c r="CEP29" s="609"/>
      <c r="CEQ29" s="609"/>
      <c r="CER29" s="609"/>
      <c r="CES29" s="609"/>
      <c r="CET29" s="609"/>
      <c r="CEU29" s="609"/>
      <c r="CEV29" s="609"/>
      <c r="CEW29" s="609"/>
      <c r="CEX29" s="609"/>
      <c r="CEY29" s="609"/>
      <c r="CEZ29" s="609"/>
      <c r="CFA29" s="609"/>
      <c r="CFB29" s="609"/>
      <c r="CFC29" s="609"/>
      <c r="CFD29" s="609"/>
      <c r="CFE29" s="609"/>
      <c r="CFF29" s="609"/>
      <c r="CFG29" s="609"/>
      <c r="CFH29" s="609"/>
      <c r="CFI29" s="609"/>
      <c r="CFJ29" s="609"/>
      <c r="CFK29" s="609"/>
      <c r="CFL29" s="609"/>
      <c r="CFM29" s="609"/>
      <c r="CFN29" s="609"/>
      <c r="CFO29" s="609"/>
      <c r="CFP29" s="609"/>
      <c r="CFQ29" s="609"/>
      <c r="CFR29" s="609"/>
      <c r="CFS29" s="609"/>
      <c r="CFT29" s="609"/>
      <c r="CFU29" s="609"/>
      <c r="CFV29" s="609"/>
      <c r="CFW29" s="609"/>
      <c r="CFX29" s="609"/>
      <c r="CFY29" s="609"/>
      <c r="CFZ29" s="609"/>
      <c r="CGA29" s="609"/>
      <c r="CGB29" s="609"/>
      <c r="CGC29" s="609"/>
      <c r="CGD29" s="609"/>
      <c r="CGE29" s="609"/>
      <c r="CGF29" s="609"/>
      <c r="CGG29" s="609"/>
      <c r="CGH29" s="609"/>
      <c r="CGI29" s="609"/>
      <c r="CGJ29" s="609"/>
      <c r="CGK29" s="609"/>
      <c r="CGL29" s="609"/>
      <c r="CGM29" s="609"/>
      <c r="CGN29" s="609"/>
      <c r="CGO29" s="609"/>
      <c r="CGP29" s="609"/>
      <c r="CGQ29" s="609"/>
      <c r="CGR29" s="609"/>
      <c r="CGS29" s="609"/>
      <c r="CGT29" s="609"/>
      <c r="CGU29" s="609"/>
      <c r="CGV29" s="609"/>
      <c r="CGW29" s="609"/>
      <c r="CGX29" s="609"/>
      <c r="CGY29" s="609"/>
      <c r="CGZ29" s="609"/>
      <c r="CHA29" s="609"/>
      <c r="CHB29" s="609"/>
      <c r="CHC29" s="609"/>
      <c r="CHD29" s="609"/>
      <c r="CHE29" s="609"/>
      <c r="CHF29" s="609"/>
      <c r="CHG29" s="609"/>
      <c r="CHH29" s="609"/>
      <c r="CHI29" s="609"/>
      <c r="CHJ29" s="609"/>
      <c r="CHK29" s="609"/>
      <c r="CHL29" s="609"/>
      <c r="CHM29" s="609"/>
      <c r="CHN29" s="609"/>
      <c r="CHO29" s="609"/>
      <c r="CHP29" s="609"/>
      <c r="CHQ29" s="609"/>
      <c r="CHR29" s="609"/>
      <c r="CHS29" s="609"/>
      <c r="CHT29" s="609"/>
      <c r="CHU29" s="609"/>
      <c r="CHV29" s="609"/>
      <c r="CHW29" s="609"/>
      <c r="CHX29" s="609"/>
      <c r="CHY29" s="609"/>
      <c r="CHZ29" s="609"/>
      <c r="CIA29" s="609"/>
      <c r="CIB29" s="609"/>
      <c r="CIC29" s="609"/>
      <c r="CID29" s="609"/>
      <c r="CIE29" s="609"/>
      <c r="CIF29" s="609"/>
      <c r="CIG29" s="609"/>
      <c r="CIH29" s="609"/>
      <c r="CII29" s="609"/>
      <c r="CIJ29" s="609"/>
      <c r="CIK29" s="609"/>
      <c r="CIL29" s="609"/>
      <c r="CIM29" s="609"/>
      <c r="CIN29" s="609"/>
      <c r="CIO29" s="609"/>
      <c r="CIP29" s="609"/>
      <c r="CIQ29" s="609"/>
      <c r="CIR29" s="609"/>
      <c r="CIS29" s="609"/>
      <c r="CIT29" s="609"/>
      <c r="CIU29" s="609"/>
      <c r="CIV29" s="609"/>
      <c r="CIW29" s="609"/>
      <c r="CIX29" s="609"/>
      <c r="CIY29" s="609"/>
      <c r="CIZ29" s="609"/>
      <c r="CJA29" s="609"/>
      <c r="CJB29" s="609"/>
      <c r="CJC29" s="609"/>
      <c r="CJD29" s="609"/>
      <c r="CJE29" s="609"/>
      <c r="CJF29" s="609"/>
      <c r="CJG29" s="609"/>
      <c r="CJH29" s="609"/>
      <c r="CJI29" s="609"/>
      <c r="CJJ29" s="609"/>
      <c r="CJK29" s="609"/>
      <c r="CJL29" s="609"/>
      <c r="CJM29" s="609"/>
      <c r="CJN29" s="609"/>
      <c r="CJO29" s="609"/>
      <c r="CJP29" s="609"/>
      <c r="CJQ29" s="609"/>
      <c r="CJR29" s="609"/>
      <c r="CJS29" s="609"/>
      <c r="CJT29" s="609"/>
      <c r="CJU29" s="609"/>
      <c r="CJV29" s="609"/>
      <c r="CJW29" s="609"/>
      <c r="CJX29" s="609"/>
      <c r="CJY29" s="609"/>
      <c r="CJZ29" s="609"/>
      <c r="CKA29" s="609"/>
      <c r="CKB29" s="609"/>
      <c r="CKC29" s="609"/>
      <c r="CKD29" s="609"/>
      <c r="CKE29" s="609"/>
      <c r="CKF29" s="609"/>
      <c r="CKG29" s="609"/>
      <c r="CKH29" s="609"/>
      <c r="CKI29" s="609"/>
      <c r="CKJ29" s="609"/>
      <c r="CKK29" s="609"/>
      <c r="CKL29" s="609"/>
      <c r="CKM29" s="609"/>
      <c r="CKN29" s="609"/>
      <c r="CKO29" s="609"/>
      <c r="CKP29" s="609"/>
      <c r="CKQ29" s="609"/>
      <c r="CKR29" s="609"/>
      <c r="CKS29" s="609"/>
      <c r="CKT29" s="609"/>
      <c r="CKU29" s="609"/>
      <c r="CKV29" s="609"/>
      <c r="CKW29" s="609"/>
      <c r="CKX29" s="609"/>
      <c r="CKY29" s="609"/>
      <c r="CKZ29" s="609"/>
      <c r="CLA29" s="609"/>
      <c r="CLB29" s="609"/>
      <c r="CLC29" s="609"/>
      <c r="CLD29" s="609"/>
      <c r="CLE29" s="609"/>
      <c r="CLF29" s="609"/>
      <c r="CLG29" s="609"/>
      <c r="CLH29" s="609"/>
      <c r="CLI29" s="609"/>
      <c r="CLJ29" s="609"/>
      <c r="CLK29" s="609"/>
      <c r="CLL29" s="609"/>
      <c r="CLM29" s="609"/>
      <c r="CLN29" s="609"/>
      <c r="CLO29" s="609"/>
      <c r="CLP29" s="609"/>
      <c r="CLQ29" s="609"/>
      <c r="CLR29" s="609"/>
      <c r="CLS29" s="609"/>
      <c r="CLT29" s="609"/>
      <c r="CLU29" s="609"/>
      <c r="CLV29" s="609"/>
      <c r="CLW29" s="609"/>
      <c r="CLX29" s="609"/>
      <c r="CLY29" s="609"/>
      <c r="CLZ29" s="609"/>
      <c r="CMA29" s="609"/>
      <c r="CMB29" s="609"/>
      <c r="CMC29" s="609"/>
      <c r="CMD29" s="609"/>
      <c r="CME29" s="609"/>
      <c r="CMF29" s="609"/>
      <c r="CMG29" s="609"/>
      <c r="CMH29" s="609"/>
      <c r="CMI29" s="609"/>
      <c r="CMJ29" s="609"/>
      <c r="CMK29" s="609"/>
      <c r="CML29" s="609"/>
      <c r="CMM29" s="609"/>
      <c r="CMN29" s="609"/>
      <c r="CMO29" s="609"/>
      <c r="CMP29" s="609"/>
      <c r="CMQ29" s="609"/>
      <c r="CMR29" s="609"/>
      <c r="CMS29" s="609"/>
      <c r="CMT29" s="609"/>
      <c r="CMU29" s="609"/>
      <c r="CMV29" s="609"/>
      <c r="CMW29" s="609"/>
      <c r="CMX29" s="609"/>
      <c r="CMY29" s="609"/>
      <c r="CMZ29" s="609"/>
      <c r="CNA29" s="609"/>
      <c r="CNB29" s="609"/>
      <c r="CNC29" s="609"/>
      <c r="CND29" s="609"/>
      <c r="CNE29" s="609"/>
      <c r="CNF29" s="609"/>
      <c r="CNG29" s="609"/>
      <c r="CNH29" s="609"/>
      <c r="CNI29" s="609"/>
      <c r="CNJ29" s="609"/>
      <c r="CNK29" s="609"/>
      <c r="CNL29" s="609"/>
      <c r="CNM29" s="609"/>
      <c r="CNN29" s="609"/>
      <c r="CNO29" s="609"/>
      <c r="CNP29" s="609"/>
      <c r="CNQ29" s="609"/>
      <c r="CNR29" s="609"/>
      <c r="CNS29" s="609"/>
      <c r="CNT29" s="609"/>
      <c r="CNU29" s="609"/>
      <c r="CNV29" s="609"/>
      <c r="CNW29" s="609"/>
      <c r="CNX29" s="609"/>
      <c r="CNY29" s="609"/>
      <c r="CNZ29" s="609"/>
      <c r="COA29" s="609"/>
      <c r="COB29" s="609"/>
      <c r="COC29" s="609"/>
      <c r="COD29" s="609"/>
      <c r="COE29" s="609"/>
      <c r="COF29" s="609"/>
      <c r="COG29" s="609"/>
      <c r="COH29" s="609"/>
      <c r="COI29" s="609"/>
      <c r="COJ29" s="609"/>
      <c r="COK29" s="609"/>
      <c r="COL29" s="609"/>
      <c r="COM29" s="609"/>
      <c r="CON29" s="609"/>
      <c r="COO29" s="609"/>
      <c r="COP29" s="609"/>
      <c r="COQ29" s="609"/>
      <c r="COR29" s="609"/>
      <c r="COS29" s="609"/>
      <c r="COT29" s="609"/>
      <c r="COU29" s="609"/>
      <c r="COV29" s="609"/>
      <c r="COW29" s="609"/>
      <c r="COX29" s="609"/>
      <c r="COY29" s="609"/>
      <c r="COZ29" s="609"/>
      <c r="CPA29" s="609"/>
      <c r="CPB29" s="609"/>
      <c r="CPC29" s="609"/>
      <c r="CPD29" s="609"/>
      <c r="CPE29" s="609"/>
      <c r="CPF29" s="609"/>
      <c r="CPG29" s="609"/>
      <c r="CPH29" s="609"/>
      <c r="CPI29" s="609"/>
      <c r="CPJ29" s="609"/>
      <c r="CPK29" s="609"/>
      <c r="CPL29" s="609"/>
      <c r="CPM29" s="609"/>
      <c r="CPN29" s="609"/>
      <c r="CPO29" s="609"/>
      <c r="CPP29" s="609"/>
      <c r="CPQ29" s="609"/>
      <c r="CPR29" s="609"/>
      <c r="CPS29" s="609"/>
      <c r="CPT29" s="609"/>
      <c r="CPU29" s="609"/>
      <c r="CPV29" s="609"/>
      <c r="CPW29" s="609"/>
      <c r="CPX29" s="609"/>
      <c r="CPY29" s="609"/>
      <c r="CPZ29" s="609"/>
      <c r="CQA29" s="609"/>
      <c r="CQB29" s="609"/>
      <c r="CQC29" s="609"/>
      <c r="CQD29" s="609"/>
      <c r="CQE29" s="609"/>
      <c r="CQF29" s="609"/>
      <c r="CQG29" s="609"/>
      <c r="CQH29" s="609"/>
      <c r="CQI29" s="609"/>
      <c r="CQJ29" s="609"/>
      <c r="CQK29" s="609"/>
      <c r="CQL29" s="609"/>
      <c r="CQM29" s="609"/>
      <c r="CQN29" s="609"/>
      <c r="CQO29" s="609"/>
      <c r="CQP29" s="609"/>
      <c r="CQQ29" s="609"/>
      <c r="CQR29" s="609"/>
      <c r="CQS29" s="609"/>
      <c r="CQT29" s="609"/>
      <c r="CQU29" s="609"/>
      <c r="CQV29" s="609"/>
      <c r="CQW29" s="609"/>
      <c r="CQX29" s="609"/>
      <c r="CQY29" s="609"/>
      <c r="CQZ29" s="609"/>
      <c r="CRA29" s="609"/>
      <c r="CRB29" s="609"/>
      <c r="CRC29" s="609"/>
      <c r="CRD29" s="609"/>
      <c r="CRE29" s="609"/>
      <c r="CRF29" s="609"/>
      <c r="CRG29" s="609"/>
      <c r="CRH29" s="609"/>
      <c r="CRI29" s="609"/>
      <c r="CRJ29" s="609"/>
      <c r="CRK29" s="609"/>
      <c r="CRL29" s="609"/>
      <c r="CRM29" s="609"/>
      <c r="CRN29" s="609"/>
      <c r="CRO29" s="609"/>
      <c r="CRP29" s="609"/>
      <c r="CRQ29" s="609"/>
      <c r="CRR29" s="609"/>
      <c r="CRS29" s="609"/>
      <c r="CRT29" s="609"/>
      <c r="CRU29" s="609"/>
      <c r="CRV29" s="609"/>
      <c r="CRW29" s="609"/>
      <c r="CRX29" s="609"/>
      <c r="CRY29" s="609"/>
      <c r="CRZ29" s="609"/>
      <c r="CSA29" s="609"/>
      <c r="CSB29" s="609"/>
      <c r="CSC29" s="609"/>
      <c r="CSD29" s="609"/>
      <c r="CSE29" s="609"/>
      <c r="CSF29" s="609"/>
      <c r="CSG29" s="609"/>
      <c r="CSH29" s="609"/>
      <c r="CSI29" s="609"/>
      <c r="CSJ29" s="609"/>
      <c r="CSK29" s="609"/>
      <c r="CSL29" s="609"/>
      <c r="CSM29" s="609"/>
      <c r="CSN29" s="609"/>
      <c r="CSO29" s="609"/>
      <c r="CSP29" s="609"/>
      <c r="CSQ29" s="609"/>
      <c r="CSR29" s="609"/>
      <c r="CSS29" s="609"/>
      <c r="CST29" s="609"/>
      <c r="CSU29" s="609"/>
      <c r="CSV29" s="609"/>
      <c r="CSW29" s="609"/>
      <c r="CSX29" s="609"/>
      <c r="CSY29" s="609"/>
      <c r="CSZ29" s="609"/>
      <c r="CTA29" s="609"/>
      <c r="CTB29" s="609"/>
      <c r="CTC29" s="609"/>
      <c r="CTD29" s="609"/>
      <c r="CTE29" s="609"/>
      <c r="CTF29" s="609"/>
      <c r="CTG29" s="609"/>
      <c r="CTH29" s="609"/>
      <c r="CTI29" s="609"/>
      <c r="CTJ29" s="609"/>
      <c r="CTK29" s="609"/>
      <c r="CTL29" s="609"/>
      <c r="CTM29" s="609"/>
      <c r="CTN29" s="609"/>
      <c r="CTO29" s="609"/>
      <c r="CTP29" s="609"/>
      <c r="CTQ29" s="609"/>
      <c r="CTR29" s="609"/>
      <c r="CTS29" s="609"/>
      <c r="CTT29" s="609"/>
      <c r="CTU29" s="609"/>
      <c r="CTV29" s="609"/>
      <c r="CTW29" s="609"/>
      <c r="CTX29" s="609"/>
      <c r="CTY29" s="609"/>
      <c r="CTZ29" s="609"/>
      <c r="CUA29" s="609"/>
      <c r="CUB29" s="609"/>
      <c r="CUC29" s="609"/>
      <c r="CUD29" s="609"/>
      <c r="CUE29" s="609"/>
      <c r="CUF29" s="609"/>
      <c r="CUG29" s="609"/>
      <c r="CUH29" s="609"/>
      <c r="CUI29" s="609"/>
      <c r="CUJ29" s="609"/>
      <c r="CUK29" s="609"/>
      <c r="CUL29" s="609"/>
      <c r="CUM29" s="609"/>
      <c r="CUN29" s="609"/>
      <c r="CUO29" s="609"/>
      <c r="CUP29" s="609"/>
      <c r="CUQ29" s="609"/>
      <c r="CUR29" s="609"/>
      <c r="CUS29" s="609"/>
      <c r="CUT29" s="609"/>
      <c r="CUU29" s="609"/>
      <c r="CUV29" s="609"/>
      <c r="CUW29" s="609"/>
      <c r="CUX29" s="609"/>
      <c r="CUY29" s="609"/>
      <c r="CUZ29" s="609"/>
      <c r="CVA29" s="609"/>
      <c r="CVB29" s="609"/>
      <c r="CVC29" s="609"/>
      <c r="CVD29" s="609"/>
      <c r="CVE29" s="609"/>
      <c r="CVF29" s="609"/>
      <c r="CVG29" s="609"/>
      <c r="CVH29" s="609"/>
      <c r="CVI29" s="609"/>
      <c r="CVJ29" s="609"/>
      <c r="CVK29" s="609"/>
      <c r="CVL29" s="609"/>
      <c r="CVM29" s="609"/>
      <c r="CVN29" s="609"/>
      <c r="CVO29" s="609"/>
      <c r="CVP29" s="609"/>
      <c r="CVQ29" s="609"/>
      <c r="CVR29" s="609"/>
      <c r="CVS29" s="609"/>
      <c r="CVT29" s="609"/>
      <c r="CVU29" s="609"/>
      <c r="CVV29" s="609"/>
      <c r="CVW29" s="609"/>
      <c r="CVX29" s="609"/>
      <c r="CVY29" s="609"/>
      <c r="CVZ29" s="609"/>
      <c r="CWA29" s="609"/>
      <c r="CWB29" s="609"/>
      <c r="CWC29" s="609"/>
      <c r="CWD29" s="609"/>
      <c r="CWE29" s="609"/>
      <c r="CWF29" s="609"/>
      <c r="CWG29" s="609"/>
      <c r="CWH29" s="609"/>
      <c r="CWI29" s="609"/>
      <c r="CWJ29" s="609"/>
      <c r="CWK29" s="609"/>
      <c r="CWL29" s="609"/>
      <c r="CWM29" s="609"/>
      <c r="CWN29" s="609"/>
      <c r="CWO29" s="609"/>
      <c r="CWP29" s="609"/>
      <c r="CWQ29" s="609"/>
      <c r="CWR29" s="609"/>
      <c r="CWS29" s="609"/>
      <c r="CWT29" s="609"/>
      <c r="CWU29" s="609"/>
      <c r="CWV29" s="609"/>
      <c r="CWW29" s="609"/>
      <c r="CWX29" s="609"/>
      <c r="CWY29" s="609"/>
      <c r="CWZ29" s="609"/>
      <c r="CXA29" s="609"/>
      <c r="CXB29" s="609"/>
      <c r="CXC29" s="609"/>
      <c r="CXD29" s="609"/>
      <c r="CXE29" s="609"/>
      <c r="CXF29" s="609"/>
      <c r="CXG29" s="609"/>
      <c r="CXH29" s="609"/>
      <c r="CXI29" s="609"/>
      <c r="CXJ29" s="609"/>
      <c r="CXK29" s="609"/>
      <c r="CXL29" s="609"/>
      <c r="CXM29" s="609"/>
      <c r="CXN29" s="609"/>
      <c r="CXO29" s="609"/>
      <c r="CXP29" s="609"/>
      <c r="CXQ29" s="609"/>
      <c r="CXR29" s="609"/>
      <c r="CXS29" s="609"/>
      <c r="CXT29" s="609"/>
      <c r="CXU29" s="609"/>
      <c r="CXV29" s="609"/>
      <c r="CXW29" s="609"/>
      <c r="CXX29" s="609"/>
      <c r="CXY29" s="609"/>
      <c r="CXZ29" s="609"/>
      <c r="CYA29" s="609"/>
      <c r="CYB29" s="609"/>
      <c r="CYC29" s="609"/>
      <c r="CYD29" s="609"/>
      <c r="CYE29" s="609"/>
      <c r="CYF29" s="609"/>
      <c r="CYG29" s="609"/>
      <c r="CYH29" s="609"/>
      <c r="CYI29" s="609"/>
      <c r="CYJ29" s="609"/>
      <c r="CYK29" s="609"/>
      <c r="CYL29" s="609"/>
      <c r="CYM29" s="609"/>
      <c r="CYN29" s="609"/>
      <c r="CYO29" s="609"/>
      <c r="CYP29" s="609"/>
      <c r="CYQ29" s="609"/>
      <c r="CYR29" s="609"/>
      <c r="CYS29" s="609"/>
      <c r="CYT29" s="609"/>
      <c r="CYU29" s="609"/>
      <c r="CYV29" s="609"/>
      <c r="CYW29" s="609"/>
      <c r="CYX29" s="609"/>
      <c r="CYY29" s="609"/>
      <c r="CYZ29" s="609"/>
      <c r="CZA29" s="609"/>
      <c r="CZB29" s="609"/>
      <c r="CZC29" s="609"/>
      <c r="CZD29" s="609"/>
      <c r="CZE29" s="609"/>
      <c r="CZF29" s="609"/>
      <c r="CZG29" s="609"/>
      <c r="CZH29" s="609"/>
      <c r="CZI29" s="609"/>
      <c r="CZJ29" s="609"/>
      <c r="CZK29" s="609"/>
      <c r="CZL29" s="609"/>
      <c r="CZM29" s="609"/>
      <c r="CZN29" s="609"/>
      <c r="CZO29" s="609"/>
      <c r="CZP29" s="609"/>
      <c r="CZQ29" s="609"/>
      <c r="CZR29" s="609"/>
      <c r="CZS29" s="609"/>
      <c r="CZT29" s="609"/>
      <c r="CZU29" s="609"/>
      <c r="CZV29" s="609"/>
      <c r="CZW29" s="609"/>
      <c r="CZX29" s="609"/>
      <c r="CZY29" s="609"/>
      <c r="CZZ29" s="609"/>
      <c r="DAA29" s="609"/>
      <c r="DAB29" s="609"/>
      <c r="DAC29" s="609"/>
      <c r="DAD29" s="609"/>
      <c r="DAE29" s="609"/>
      <c r="DAF29" s="609"/>
      <c r="DAG29" s="609"/>
      <c r="DAH29" s="609"/>
      <c r="DAI29" s="609"/>
      <c r="DAJ29" s="609"/>
      <c r="DAK29" s="609"/>
      <c r="DAL29" s="609"/>
      <c r="DAM29" s="609"/>
      <c r="DAN29" s="609"/>
      <c r="DAO29" s="609"/>
      <c r="DAP29" s="609"/>
      <c r="DAQ29" s="609"/>
      <c r="DAR29" s="609"/>
      <c r="DAS29" s="609"/>
      <c r="DAT29" s="609"/>
      <c r="DAU29" s="609"/>
      <c r="DAV29" s="609"/>
      <c r="DAW29" s="609"/>
      <c r="DAX29" s="609"/>
      <c r="DAY29" s="609"/>
      <c r="DAZ29" s="609"/>
      <c r="DBA29" s="609"/>
      <c r="DBB29" s="609"/>
      <c r="DBC29" s="609"/>
      <c r="DBD29" s="609"/>
      <c r="DBE29" s="609"/>
      <c r="DBF29" s="609"/>
      <c r="DBG29" s="609"/>
      <c r="DBH29" s="609"/>
      <c r="DBI29" s="609"/>
      <c r="DBJ29" s="609"/>
      <c r="DBK29" s="609"/>
      <c r="DBL29" s="609"/>
      <c r="DBM29" s="609"/>
      <c r="DBN29" s="609"/>
      <c r="DBO29" s="609"/>
      <c r="DBP29" s="609"/>
      <c r="DBQ29" s="609"/>
      <c r="DBR29" s="609"/>
      <c r="DBS29" s="609"/>
      <c r="DBT29" s="609"/>
      <c r="DBU29" s="609"/>
      <c r="DBV29" s="609"/>
      <c r="DBW29" s="609"/>
      <c r="DBX29" s="609"/>
      <c r="DBY29" s="609"/>
      <c r="DBZ29" s="609"/>
      <c r="DCA29" s="609"/>
      <c r="DCB29" s="609"/>
      <c r="DCC29" s="609"/>
      <c r="DCD29" s="609"/>
      <c r="DCE29" s="609"/>
      <c r="DCF29" s="609"/>
      <c r="DCG29" s="609"/>
      <c r="DCH29" s="609"/>
      <c r="DCI29" s="609"/>
      <c r="DCJ29" s="609"/>
      <c r="DCK29" s="609"/>
      <c r="DCL29" s="609"/>
      <c r="DCM29" s="609"/>
      <c r="DCN29" s="609"/>
      <c r="DCO29" s="609"/>
      <c r="DCP29" s="609"/>
      <c r="DCQ29" s="609"/>
      <c r="DCR29" s="609"/>
      <c r="DCS29" s="609"/>
      <c r="DCT29" s="609"/>
      <c r="DCU29" s="609"/>
      <c r="DCV29" s="609"/>
      <c r="DCW29" s="609"/>
      <c r="DCX29" s="609"/>
      <c r="DCY29" s="609"/>
      <c r="DCZ29" s="609"/>
      <c r="DDA29" s="609"/>
      <c r="DDB29" s="609"/>
      <c r="DDC29" s="609"/>
      <c r="DDD29" s="609"/>
      <c r="DDE29" s="609"/>
      <c r="DDF29" s="609"/>
      <c r="DDG29" s="609"/>
      <c r="DDH29" s="609"/>
      <c r="DDI29" s="609"/>
      <c r="DDJ29" s="609"/>
      <c r="DDK29" s="609"/>
      <c r="DDL29" s="609"/>
      <c r="DDM29" s="609"/>
      <c r="DDN29" s="609"/>
      <c r="DDO29" s="609"/>
      <c r="DDP29" s="609"/>
      <c r="DDQ29" s="609"/>
      <c r="DDR29" s="609"/>
      <c r="DDS29" s="609"/>
      <c r="DDT29" s="609"/>
      <c r="DDU29" s="609"/>
      <c r="DDV29" s="609"/>
      <c r="DDW29" s="609"/>
      <c r="DDX29" s="609"/>
      <c r="DDY29" s="609"/>
      <c r="DDZ29" s="609"/>
      <c r="DEA29" s="609"/>
      <c r="DEB29" s="609"/>
      <c r="DEC29" s="609"/>
      <c r="DED29" s="609"/>
      <c r="DEE29" s="609"/>
      <c r="DEF29" s="609"/>
      <c r="DEG29" s="609"/>
      <c r="DEH29" s="609"/>
      <c r="DEI29" s="609"/>
      <c r="DEJ29" s="609"/>
      <c r="DEK29" s="609"/>
      <c r="DEL29" s="609"/>
      <c r="DEM29" s="609"/>
      <c r="DEN29" s="609"/>
      <c r="DEO29" s="609"/>
      <c r="DEP29" s="609"/>
      <c r="DEQ29" s="609"/>
      <c r="DER29" s="609"/>
      <c r="DES29" s="609"/>
      <c r="DET29" s="609"/>
      <c r="DEU29" s="609"/>
      <c r="DEV29" s="609"/>
      <c r="DEW29" s="609"/>
      <c r="DEX29" s="609"/>
      <c r="DEY29" s="609"/>
      <c r="DEZ29" s="609"/>
      <c r="DFA29" s="609"/>
      <c r="DFB29" s="609"/>
      <c r="DFC29" s="609"/>
      <c r="DFD29" s="609"/>
      <c r="DFE29" s="609"/>
      <c r="DFF29" s="609"/>
      <c r="DFG29" s="609"/>
      <c r="DFH29" s="609"/>
      <c r="DFI29" s="609"/>
      <c r="DFJ29" s="609"/>
      <c r="DFK29" s="609"/>
      <c r="DFL29" s="609"/>
      <c r="DFM29" s="609"/>
      <c r="DFN29" s="609"/>
      <c r="DFO29" s="609"/>
      <c r="DFP29" s="609"/>
      <c r="DFQ29" s="609"/>
      <c r="DFR29" s="609"/>
      <c r="DFS29" s="609"/>
      <c r="DFT29" s="609"/>
      <c r="DFU29" s="609"/>
      <c r="DFV29" s="609"/>
      <c r="DFW29" s="609"/>
      <c r="DFX29" s="609"/>
      <c r="DFY29" s="609"/>
      <c r="DFZ29" s="609"/>
      <c r="DGA29" s="609"/>
      <c r="DGB29" s="609"/>
      <c r="DGC29" s="609"/>
      <c r="DGD29" s="609"/>
      <c r="DGE29" s="609"/>
      <c r="DGF29" s="609"/>
      <c r="DGG29" s="609"/>
      <c r="DGH29" s="609"/>
      <c r="DGI29" s="609"/>
      <c r="DGJ29" s="609"/>
      <c r="DGK29" s="609"/>
      <c r="DGL29" s="609"/>
      <c r="DGM29" s="609"/>
      <c r="DGN29" s="609"/>
      <c r="DGO29" s="609"/>
      <c r="DGP29" s="609"/>
      <c r="DGQ29" s="609"/>
      <c r="DGR29" s="609"/>
      <c r="DGS29" s="609"/>
      <c r="DGT29" s="609"/>
      <c r="DGU29" s="609"/>
      <c r="DGV29" s="609"/>
      <c r="DGW29" s="609"/>
      <c r="DGX29" s="609"/>
      <c r="DGY29" s="609"/>
      <c r="DGZ29" s="609"/>
      <c r="DHA29" s="609"/>
      <c r="DHB29" s="609"/>
      <c r="DHC29" s="609"/>
      <c r="DHD29" s="609"/>
      <c r="DHE29" s="609"/>
      <c r="DHF29" s="609"/>
      <c r="DHG29" s="609"/>
      <c r="DHH29" s="609"/>
      <c r="DHI29" s="609"/>
      <c r="DHJ29" s="609"/>
      <c r="DHK29" s="609"/>
      <c r="DHL29" s="609"/>
      <c r="DHM29" s="609"/>
      <c r="DHN29" s="609"/>
      <c r="DHO29" s="609"/>
      <c r="DHP29" s="609"/>
      <c r="DHQ29" s="609"/>
      <c r="DHR29" s="609"/>
      <c r="DHS29" s="609"/>
      <c r="DHT29" s="609"/>
      <c r="DHU29" s="609"/>
      <c r="DHV29" s="609"/>
      <c r="DHW29" s="609"/>
      <c r="DHX29" s="609"/>
      <c r="DHY29" s="609"/>
      <c r="DHZ29" s="609"/>
      <c r="DIA29" s="609"/>
      <c r="DIB29" s="609"/>
      <c r="DIC29" s="609"/>
      <c r="DID29" s="609"/>
      <c r="DIE29" s="609"/>
      <c r="DIF29" s="609"/>
      <c r="DIG29" s="609"/>
      <c r="DIH29" s="609"/>
      <c r="DII29" s="609"/>
      <c r="DIJ29" s="609"/>
      <c r="DIK29" s="609"/>
      <c r="DIL29" s="609"/>
      <c r="DIM29" s="609"/>
      <c r="DIN29" s="609"/>
      <c r="DIO29" s="609"/>
      <c r="DIP29" s="609"/>
      <c r="DIQ29" s="609"/>
      <c r="DIR29" s="609"/>
      <c r="DIS29" s="609"/>
      <c r="DIT29" s="609"/>
      <c r="DIU29" s="609"/>
      <c r="DIV29" s="609"/>
      <c r="DIW29" s="609"/>
      <c r="DIX29" s="609"/>
      <c r="DIY29" s="609"/>
      <c r="DIZ29" s="609"/>
      <c r="DJA29" s="609"/>
      <c r="DJB29" s="609"/>
      <c r="DJC29" s="609"/>
      <c r="DJD29" s="609"/>
      <c r="DJE29" s="609"/>
      <c r="DJF29" s="609"/>
      <c r="DJG29" s="609"/>
      <c r="DJH29" s="609"/>
      <c r="DJI29" s="609"/>
      <c r="DJJ29" s="609"/>
      <c r="DJK29" s="609"/>
      <c r="DJL29" s="609"/>
      <c r="DJM29" s="609"/>
      <c r="DJN29" s="609"/>
      <c r="DJO29" s="609"/>
      <c r="DJP29" s="609"/>
      <c r="DJQ29" s="609"/>
      <c r="DJR29" s="609"/>
      <c r="DJS29" s="609"/>
      <c r="DJT29" s="609"/>
      <c r="DJU29" s="609"/>
      <c r="DJV29" s="609"/>
      <c r="DJW29" s="609"/>
      <c r="DJX29" s="609"/>
      <c r="DJY29" s="609"/>
      <c r="DJZ29" s="609"/>
      <c r="DKA29" s="609"/>
      <c r="DKB29" s="609"/>
      <c r="DKC29" s="609"/>
      <c r="DKD29" s="609"/>
      <c r="DKE29" s="609"/>
      <c r="DKF29" s="609"/>
      <c r="DKG29" s="609"/>
      <c r="DKH29" s="609"/>
      <c r="DKI29" s="609"/>
      <c r="DKJ29" s="609"/>
      <c r="DKK29" s="609"/>
      <c r="DKL29" s="609"/>
      <c r="DKM29" s="609"/>
      <c r="DKN29" s="609"/>
      <c r="DKO29" s="609"/>
      <c r="DKP29" s="609"/>
      <c r="DKQ29" s="609"/>
      <c r="DKR29" s="609"/>
      <c r="DKS29" s="609"/>
      <c r="DKT29" s="609"/>
      <c r="DKU29" s="609"/>
      <c r="DKV29" s="609"/>
      <c r="DKW29" s="609"/>
      <c r="DKX29" s="609"/>
      <c r="DKY29" s="609"/>
      <c r="DKZ29" s="609"/>
      <c r="DLA29" s="609"/>
      <c r="DLB29" s="609"/>
      <c r="DLC29" s="609"/>
      <c r="DLD29" s="609"/>
      <c r="DLE29" s="609"/>
      <c r="DLF29" s="609"/>
      <c r="DLG29" s="609"/>
      <c r="DLH29" s="609"/>
      <c r="DLI29" s="609"/>
      <c r="DLJ29" s="609"/>
      <c r="DLK29" s="609"/>
      <c r="DLL29" s="609"/>
      <c r="DLM29" s="609"/>
      <c r="DLN29" s="609"/>
      <c r="DLO29" s="609"/>
      <c r="DLP29" s="609"/>
      <c r="DLQ29" s="609"/>
      <c r="DLR29" s="609"/>
      <c r="DLS29" s="609"/>
      <c r="DLT29" s="609"/>
      <c r="DLU29" s="609"/>
      <c r="DLV29" s="609"/>
      <c r="DLW29" s="609"/>
      <c r="DLX29" s="609"/>
      <c r="DLY29" s="609"/>
      <c r="DLZ29" s="609"/>
      <c r="DMA29" s="609"/>
      <c r="DMB29" s="609"/>
      <c r="DMC29" s="609"/>
      <c r="DMD29" s="609"/>
      <c r="DME29" s="609"/>
      <c r="DMF29" s="609"/>
      <c r="DMG29" s="609"/>
      <c r="DMH29" s="609"/>
      <c r="DMI29" s="609"/>
      <c r="DMJ29" s="609"/>
      <c r="DMK29" s="609"/>
      <c r="DML29" s="609"/>
      <c r="DMM29" s="609"/>
      <c r="DMN29" s="609"/>
      <c r="DMO29" s="609"/>
      <c r="DMP29" s="609"/>
      <c r="DMQ29" s="609"/>
      <c r="DMR29" s="609"/>
      <c r="DMS29" s="609"/>
      <c r="DMT29" s="609"/>
      <c r="DMU29" s="609"/>
      <c r="DMV29" s="609"/>
      <c r="DMW29" s="609"/>
      <c r="DMX29" s="609"/>
      <c r="DMY29" s="609"/>
      <c r="DMZ29" s="609"/>
      <c r="DNA29" s="609"/>
      <c r="DNB29" s="609"/>
      <c r="DNC29" s="609"/>
      <c r="DND29" s="609"/>
      <c r="DNE29" s="609"/>
      <c r="DNF29" s="609"/>
      <c r="DNG29" s="609"/>
      <c r="DNH29" s="609"/>
      <c r="DNI29" s="609"/>
      <c r="DNJ29" s="609"/>
      <c r="DNK29" s="609"/>
      <c r="DNL29" s="609"/>
      <c r="DNM29" s="609"/>
      <c r="DNN29" s="609"/>
      <c r="DNO29" s="609"/>
      <c r="DNP29" s="609"/>
      <c r="DNQ29" s="609"/>
      <c r="DNR29" s="609"/>
      <c r="DNS29" s="609"/>
      <c r="DNT29" s="609"/>
      <c r="DNU29" s="609"/>
      <c r="DNV29" s="609"/>
      <c r="DNW29" s="609"/>
      <c r="DNX29" s="609"/>
      <c r="DNY29" s="609"/>
      <c r="DNZ29" s="609"/>
      <c r="DOA29" s="609"/>
      <c r="DOB29" s="609"/>
      <c r="DOC29" s="609"/>
      <c r="DOD29" s="609"/>
      <c r="DOE29" s="609"/>
      <c r="DOF29" s="609"/>
      <c r="DOG29" s="609"/>
      <c r="DOH29" s="609"/>
      <c r="DOI29" s="609"/>
      <c r="DOJ29" s="609"/>
      <c r="DOK29" s="609"/>
      <c r="DOL29" s="609"/>
      <c r="DOM29" s="609"/>
      <c r="DON29" s="609"/>
      <c r="DOO29" s="609"/>
      <c r="DOP29" s="609"/>
      <c r="DOQ29" s="609"/>
      <c r="DOR29" s="609"/>
      <c r="DOS29" s="609"/>
      <c r="DOT29" s="609"/>
      <c r="DOU29" s="609"/>
      <c r="DOV29" s="609"/>
      <c r="DOW29" s="609"/>
      <c r="DOX29" s="609"/>
      <c r="DOY29" s="609"/>
      <c r="DOZ29" s="609"/>
      <c r="DPA29" s="609"/>
      <c r="DPB29" s="609"/>
      <c r="DPC29" s="609"/>
      <c r="DPD29" s="609"/>
      <c r="DPE29" s="609"/>
      <c r="DPF29" s="609"/>
      <c r="DPG29" s="609"/>
      <c r="DPH29" s="609"/>
      <c r="DPI29" s="609"/>
      <c r="DPJ29" s="609"/>
      <c r="DPK29" s="609"/>
      <c r="DPL29" s="609"/>
      <c r="DPM29" s="609"/>
      <c r="DPN29" s="609"/>
      <c r="DPO29" s="609"/>
      <c r="DPP29" s="609"/>
      <c r="DPQ29" s="609"/>
      <c r="DPR29" s="609"/>
      <c r="DPS29" s="609"/>
      <c r="DPT29" s="609"/>
      <c r="DPU29" s="609"/>
      <c r="DPV29" s="609"/>
      <c r="DPW29" s="609"/>
      <c r="DPX29" s="609"/>
      <c r="DPY29" s="609"/>
      <c r="DPZ29" s="609"/>
      <c r="DQA29" s="609"/>
      <c r="DQB29" s="609"/>
      <c r="DQC29" s="609"/>
      <c r="DQD29" s="609"/>
      <c r="DQE29" s="609"/>
      <c r="DQF29" s="609"/>
      <c r="DQG29" s="609"/>
      <c r="DQH29" s="609"/>
      <c r="DQI29" s="609"/>
      <c r="DQJ29" s="609"/>
      <c r="DQK29" s="609"/>
      <c r="DQL29" s="609"/>
      <c r="DQM29" s="609"/>
      <c r="DQN29" s="609"/>
      <c r="DQO29" s="609"/>
      <c r="DQP29" s="609"/>
      <c r="DQQ29" s="609"/>
      <c r="DQR29" s="609"/>
      <c r="DQS29" s="609"/>
      <c r="DQT29" s="609"/>
      <c r="DQU29" s="609"/>
      <c r="DQV29" s="609"/>
      <c r="DQW29" s="609"/>
      <c r="DQX29" s="609"/>
      <c r="DQY29" s="609"/>
      <c r="DQZ29" s="609"/>
      <c r="DRA29" s="609"/>
      <c r="DRB29" s="609"/>
      <c r="DRC29" s="609"/>
      <c r="DRD29" s="609"/>
      <c r="DRE29" s="609"/>
      <c r="DRF29" s="609"/>
      <c r="DRG29" s="609"/>
      <c r="DRH29" s="609"/>
      <c r="DRI29" s="609"/>
      <c r="DRJ29" s="609"/>
      <c r="DRK29" s="609"/>
      <c r="DRL29" s="609"/>
      <c r="DRM29" s="609"/>
      <c r="DRN29" s="609"/>
      <c r="DRO29" s="609"/>
      <c r="DRP29" s="609"/>
      <c r="DRQ29" s="609"/>
      <c r="DRR29" s="609"/>
      <c r="DRS29" s="609"/>
      <c r="DRT29" s="609"/>
      <c r="DRU29" s="609"/>
      <c r="DRV29" s="609"/>
      <c r="DRW29" s="609"/>
      <c r="DRX29" s="609"/>
      <c r="DRY29" s="609"/>
      <c r="DRZ29" s="609"/>
      <c r="DSA29" s="609"/>
      <c r="DSB29" s="609"/>
      <c r="DSC29" s="609"/>
      <c r="DSD29" s="609"/>
      <c r="DSE29" s="609"/>
      <c r="DSF29" s="609"/>
      <c r="DSG29" s="609"/>
      <c r="DSH29" s="609"/>
      <c r="DSI29" s="609"/>
      <c r="DSJ29" s="609"/>
      <c r="DSK29" s="609"/>
      <c r="DSL29" s="609"/>
      <c r="DSM29" s="609"/>
      <c r="DSN29" s="609"/>
      <c r="DSO29" s="609"/>
      <c r="DSP29" s="609"/>
      <c r="DSQ29" s="609"/>
      <c r="DSR29" s="609"/>
      <c r="DSS29" s="609"/>
      <c r="DST29" s="609"/>
      <c r="DSU29" s="609"/>
      <c r="DSV29" s="609"/>
      <c r="DSW29" s="609"/>
      <c r="DSX29" s="609"/>
      <c r="DSY29" s="609"/>
      <c r="DSZ29" s="609"/>
      <c r="DTA29" s="609"/>
      <c r="DTB29" s="609"/>
      <c r="DTC29" s="609"/>
      <c r="DTD29" s="609"/>
      <c r="DTE29" s="609"/>
      <c r="DTF29" s="609"/>
      <c r="DTG29" s="609"/>
      <c r="DTH29" s="609"/>
      <c r="DTI29" s="609"/>
      <c r="DTJ29" s="609"/>
      <c r="DTK29" s="609"/>
      <c r="DTL29" s="609"/>
      <c r="DTM29" s="609"/>
      <c r="DTN29" s="609"/>
      <c r="DTO29" s="609"/>
      <c r="DTP29" s="609"/>
      <c r="DTQ29" s="609"/>
      <c r="DTR29" s="609"/>
      <c r="DTS29" s="609"/>
      <c r="DTT29" s="609"/>
      <c r="DTU29" s="609"/>
      <c r="DTV29" s="609"/>
      <c r="DTW29" s="609"/>
      <c r="DTX29" s="609"/>
      <c r="DTY29" s="609"/>
      <c r="DTZ29" s="609"/>
      <c r="DUA29" s="609"/>
      <c r="DUB29" s="609"/>
      <c r="DUC29" s="609"/>
      <c r="DUD29" s="609"/>
      <c r="DUE29" s="609"/>
      <c r="DUF29" s="609"/>
      <c r="DUG29" s="609"/>
      <c r="DUH29" s="609"/>
      <c r="DUI29" s="609"/>
      <c r="DUJ29" s="609"/>
      <c r="DUK29" s="609"/>
      <c r="DUL29" s="609"/>
      <c r="DUM29" s="609"/>
      <c r="DUN29" s="609"/>
      <c r="DUO29" s="609"/>
      <c r="DUP29" s="609"/>
      <c r="DUQ29" s="609"/>
      <c r="DUR29" s="609"/>
      <c r="DUS29" s="609"/>
      <c r="DUT29" s="609"/>
      <c r="DUU29" s="609"/>
      <c r="DUV29" s="609"/>
      <c r="DUW29" s="609"/>
      <c r="DUX29" s="609"/>
      <c r="DUY29" s="609"/>
      <c r="DUZ29" s="609"/>
      <c r="DVA29" s="609"/>
      <c r="DVB29" s="609"/>
      <c r="DVC29" s="609"/>
      <c r="DVD29" s="609"/>
      <c r="DVE29" s="609"/>
      <c r="DVF29" s="609"/>
      <c r="DVG29" s="609"/>
      <c r="DVH29" s="609"/>
      <c r="DVI29" s="609"/>
      <c r="DVJ29" s="609"/>
      <c r="DVK29" s="609"/>
      <c r="DVL29" s="609"/>
      <c r="DVM29" s="609"/>
      <c r="DVN29" s="609"/>
      <c r="DVO29" s="609"/>
      <c r="DVP29" s="609"/>
      <c r="DVQ29" s="609"/>
      <c r="DVR29" s="609"/>
      <c r="DVS29" s="609"/>
      <c r="DVT29" s="609"/>
      <c r="DVU29" s="609"/>
      <c r="DVV29" s="609"/>
      <c r="DVW29" s="609"/>
      <c r="DVX29" s="609"/>
      <c r="DVY29" s="609"/>
      <c r="DVZ29" s="609"/>
      <c r="DWA29" s="609"/>
      <c r="DWB29" s="609"/>
      <c r="DWC29" s="609"/>
      <c r="DWD29" s="609"/>
      <c r="DWE29" s="609"/>
      <c r="DWF29" s="609"/>
      <c r="DWG29" s="609"/>
      <c r="DWH29" s="609"/>
      <c r="DWI29" s="609"/>
      <c r="DWJ29" s="609"/>
      <c r="DWK29" s="609"/>
      <c r="DWL29" s="609"/>
      <c r="DWM29" s="609"/>
      <c r="DWN29" s="609"/>
      <c r="DWO29" s="609"/>
      <c r="DWP29" s="609"/>
      <c r="DWQ29" s="609"/>
      <c r="DWR29" s="609"/>
      <c r="DWS29" s="609"/>
      <c r="DWT29" s="609"/>
      <c r="DWU29" s="609"/>
      <c r="DWV29" s="609"/>
      <c r="DWW29" s="609"/>
      <c r="DWX29" s="609"/>
      <c r="DWY29" s="609"/>
      <c r="DWZ29" s="609"/>
      <c r="DXA29" s="609"/>
      <c r="DXB29" s="609"/>
      <c r="DXC29" s="609"/>
      <c r="DXD29" s="609"/>
      <c r="DXE29" s="609"/>
      <c r="DXF29" s="609"/>
      <c r="DXG29" s="609"/>
      <c r="DXH29" s="609"/>
      <c r="DXI29" s="609"/>
      <c r="DXJ29" s="609"/>
      <c r="DXK29" s="609"/>
      <c r="DXL29" s="609"/>
      <c r="DXM29" s="609"/>
      <c r="DXN29" s="609"/>
      <c r="DXO29" s="609"/>
      <c r="DXP29" s="609"/>
      <c r="DXQ29" s="609"/>
      <c r="DXR29" s="609"/>
      <c r="DXS29" s="609"/>
      <c r="DXT29" s="609"/>
      <c r="DXU29" s="609"/>
      <c r="DXV29" s="609"/>
      <c r="DXW29" s="609"/>
      <c r="DXX29" s="609"/>
      <c r="DXY29" s="609"/>
      <c r="DXZ29" s="609"/>
      <c r="DYA29" s="609"/>
      <c r="DYB29" s="609"/>
      <c r="DYC29" s="609"/>
      <c r="DYD29" s="609"/>
      <c r="DYE29" s="609"/>
      <c r="DYF29" s="609"/>
      <c r="DYG29" s="609"/>
      <c r="DYH29" s="609"/>
      <c r="DYI29" s="609"/>
      <c r="DYJ29" s="609"/>
      <c r="DYK29" s="609"/>
      <c r="DYL29" s="609"/>
      <c r="DYM29" s="609"/>
      <c r="DYN29" s="609"/>
      <c r="DYO29" s="609"/>
      <c r="DYP29" s="609"/>
      <c r="DYQ29" s="609"/>
      <c r="DYR29" s="609"/>
      <c r="DYS29" s="609"/>
      <c r="DYT29" s="609"/>
      <c r="DYU29" s="609"/>
      <c r="DYV29" s="609"/>
      <c r="DYW29" s="609"/>
      <c r="DYX29" s="609"/>
      <c r="DYY29" s="609"/>
      <c r="DYZ29" s="609"/>
      <c r="DZA29" s="609"/>
      <c r="DZB29" s="609"/>
      <c r="DZC29" s="609"/>
      <c r="DZD29" s="609"/>
      <c r="DZE29" s="609"/>
      <c r="DZF29" s="609"/>
      <c r="DZG29" s="609"/>
      <c r="DZH29" s="609"/>
      <c r="DZI29" s="609"/>
      <c r="DZJ29" s="609"/>
      <c r="DZK29" s="609"/>
      <c r="DZL29" s="609"/>
      <c r="DZM29" s="609"/>
      <c r="DZN29" s="609"/>
      <c r="DZO29" s="609"/>
      <c r="DZP29" s="609"/>
      <c r="DZQ29" s="609"/>
      <c r="DZR29" s="609"/>
      <c r="DZS29" s="609"/>
      <c r="DZT29" s="609"/>
      <c r="DZU29" s="609"/>
      <c r="DZV29" s="609"/>
      <c r="DZW29" s="609"/>
      <c r="DZX29" s="609"/>
      <c r="DZY29" s="609"/>
      <c r="DZZ29" s="609"/>
      <c r="EAA29" s="609"/>
      <c r="EAB29" s="609"/>
      <c r="EAC29" s="609"/>
      <c r="EAD29" s="609"/>
      <c r="EAE29" s="609"/>
      <c r="EAF29" s="609"/>
      <c r="EAG29" s="609"/>
      <c r="EAH29" s="609"/>
      <c r="EAI29" s="609"/>
      <c r="EAJ29" s="609"/>
      <c r="EAK29" s="609"/>
      <c r="EAL29" s="609"/>
      <c r="EAM29" s="609"/>
      <c r="EAN29" s="609"/>
      <c r="EAO29" s="609"/>
      <c r="EAP29" s="609"/>
      <c r="EAQ29" s="609"/>
      <c r="EAR29" s="609"/>
      <c r="EAS29" s="609"/>
      <c r="EAT29" s="609"/>
      <c r="EAU29" s="609"/>
      <c r="EAV29" s="609"/>
      <c r="EAW29" s="609"/>
      <c r="EAX29" s="609"/>
      <c r="EAY29" s="609"/>
      <c r="EAZ29" s="609"/>
      <c r="EBA29" s="609"/>
      <c r="EBB29" s="609"/>
      <c r="EBC29" s="609"/>
      <c r="EBD29" s="609"/>
      <c r="EBE29" s="609"/>
      <c r="EBF29" s="609"/>
      <c r="EBG29" s="609"/>
      <c r="EBH29" s="609"/>
      <c r="EBI29" s="609"/>
      <c r="EBJ29" s="609"/>
      <c r="EBK29" s="609"/>
      <c r="EBL29" s="609"/>
      <c r="EBM29" s="609"/>
      <c r="EBN29" s="609"/>
      <c r="EBO29" s="609"/>
      <c r="EBP29" s="609"/>
      <c r="EBQ29" s="609"/>
      <c r="EBR29" s="609"/>
      <c r="EBS29" s="609"/>
      <c r="EBT29" s="609"/>
      <c r="EBU29" s="609"/>
      <c r="EBV29" s="609"/>
      <c r="EBW29" s="609"/>
      <c r="EBX29" s="609"/>
      <c r="EBY29" s="609"/>
      <c r="EBZ29" s="609"/>
      <c r="ECA29" s="609"/>
      <c r="ECB29" s="609"/>
      <c r="ECC29" s="609"/>
      <c r="ECD29" s="609"/>
      <c r="ECE29" s="609"/>
      <c r="ECF29" s="609"/>
      <c r="ECG29" s="609"/>
      <c r="ECH29" s="609"/>
      <c r="ECI29" s="609"/>
      <c r="ECJ29" s="609"/>
      <c r="ECK29" s="609"/>
      <c r="ECL29" s="609"/>
      <c r="ECM29" s="609"/>
      <c r="ECN29" s="609"/>
      <c r="ECO29" s="609"/>
      <c r="ECP29" s="609"/>
      <c r="ECQ29" s="609"/>
      <c r="ECR29" s="609"/>
      <c r="ECS29" s="609"/>
      <c r="ECT29" s="609"/>
      <c r="ECU29" s="609"/>
      <c r="ECV29" s="609"/>
      <c r="ECW29" s="609"/>
      <c r="ECX29" s="609"/>
      <c r="ECY29" s="609"/>
      <c r="ECZ29" s="609"/>
      <c r="EDA29" s="609"/>
      <c r="EDB29" s="609"/>
      <c r="EDC29" s="609"/>
      <c r="EDD29" s="609"/>
      <c r="EDE29" s="609"/>
      <c r="EDF29" s="609"/>
      <c r="EDG29" s="609"/>
      <c r="EDH29" s="609"/>
      <c r="EDI29" s="609"/>
      <c r="EDJ29" s="609"/>
      <c r="EDK29" s="609"/>
      <c r="EDL29" s="609"/>
      <c r="EDM29" s="609"/>
      <c r="EDN29" s="609"/>
      <c r="EDO29" s="609"/>
      <c r="EDP29" s="609"/>
      <c r="EDQ29" s="609"/>
      <c r="EDR29" s="609"/>
      <c r="EDS29" s="609"/>
      <c r="EDT29" s="609"/>
      <c r="EDU29" s="609"/>
      <c r="EDV29" s="609"/>
      <c r="EDW29" s="609"/>
      <c r="EDX29" s="609"/>
      <c r="EDY29" s="609"/>
      <c r="EDZ29" s="609"/>
      <c r="EEA29" s="609"/>
      <c r="EEB29" s="609"/>
      <c r="EEC29" s="609"/>
      <c r="EED29" s="609"/>
      <c r="EEE29" s="609"/>
      <c r="EEF29" s="609"/>
      <c r="EEG29" s="609"/>
      <c r="EEH29" s="609"/>
      <c r="EEI29" s="609"/>
      <c r="EEJ29" s="609"/>
      <c r="EEK29" s="609"/>
      <c r="EEL29" s="609"/>
      <c r="EEM29" s="609"/>
      <c r="EEN29" s="609"/>
      <c r="EEO29" s="609"/>
      <c r="EEP29" s="609"/>
      <c r="EEQ29" s="609"/>
      <c r="EER29" s="609"/>
      <c r="EES29" s="609"/>
      <c r="EET29" s="609"/>
      <c r="EEU29" s="609"/>
      <c r="EEV29" s="609"/>
      <c r="EEW29" s="609"/>
      <c r="EEX29" s="609"/>
      <c r="EEY29" s="609"/>
      <c r="EEZ29" s="609"/>
      <c r="EFA29" s="609"/>
      <c r="EFB29" s="609"/>
      <c r="EFC29" s="609"/>
      <c r="EFD29" s="609"/>
      <c r="EFE29" s="609"/>
      <c r="EFF29" s="609"/>
      <c r="EFG29" s="609"/>
      <c r="EFH29" s="609"/>
      <c r="EFI29" s="609"/>
      <c r="EFJ29" s="609"/>
      <c r="EFK29" s="609"/>
      <c r="EFL29" s="609"/>
      <c r="EFM29" s="609"/>
      <c r="EFN29" s="609"/>
      <c r="EFO29" s="609"/>
      <c r="EFP29" s="609"/>
      <c r="EFQ29" s="609"/>
      <c r="EFR29" s="609"/>
      <c r="EFS29" s="609"/>
      <c r="EFT29" s="609"/>
      <c r="EFU29" s="609"/>
      <c r="EFV29" s="609"/>
      <c r="EFW29" s="609"/>
      <c r="EFX29" s="609"/>
      <c r="EFY29" s="609"/>
      <c r="EFZ29" s="609"/>
      <c r="EGA29" s="609"/>
      <c r="EGB29" s="609"/>
      <c r="EGC29" s="609"/>
      <c r="EGD29" s="609"/>
      <c r="EGE29" s="609"/>
      <c r="EGF29" s="609"/>
      <c r="EGG29" s="609"/>
      <c r="EGH29" s="609"/>
      <c r="EGI29" s="609"/>
      <c r="EGJ29" s="609"/>
      <c r="EGK29" s="609"/>
      <c r="EGL29" s="609"/>
      <c r="EGM29" s="609"/>
      <c r="EGN29" s="609"/>
      <c r="EGO29" s="609"/>
      <c r="EGP29" s="609"/>
      <c r="EGQ29" s="609"/>
      <c r="EGR29" s="609"/>
      <c r="EGS29" s="609"/>
      <c r="EGT29" s="609"/>
      <c r="EGU29" s="609"/>
      <c r="EGV29" s="609"/>
      <c r="EGW29" s="609"/>
      <c r="EGX29" s="609"/>
      <c r="EGY29" s="609"/>
      <c r="EGZ29" s="609"/>
      <c r="EHA29" s="609"/>
      <c r="EHB29" s="609"/>
      <c r="EHC29" s="609"/>
      <c r="EHD29" s="609"/>
      <c r="EHE29" s="609"/>
      <c r="EHF29" s="609"/>
      <c r="EHG29" s="609"/>
      <c r="EHH29" s="609"/>
      <c r="EHI29" s="609"/>
      <c r="EHJ29" s="609"/>
      <c r="EHK29" s="609"/>
      <c r="EHL29" s="609"/>
      <c r="EHM29" s="609"/>
      <c r="EHN29" s="609"/>
      <c r="EHO29" s="609"/>
      <c r="EHP29" s="609"/>
      <c r="EHQ29" s="609"/>
      <c r="EHR29" s="609"/>
      <c r="EHS29" s="609"/>
      <c r="EHT29" s="609"/>
      <c r="EHU29" s="609"/>
      <c r="EHV29" s="609"/>
      <c r="EHW29" s="609"/>
      <c r="EHX29" s="609"/>
      <c r="EHY29" s="609"/>
      <c r="EHZ29" s="609"/>
      <c r="EIA29" s="609"/>
      <c r="EIB29" s="609"/>
      <c r="EIC29" s="609"/>
      <c r="EID29" s="609"/>
      <c r="EIE29" s="609"/>
      <c r="EIF29" s="609"/>
      <c r="EIG29" s="609"/>
      <c r="EIH29" s="609"/>
      <c r="EII29" s="609"/>
      <c r="EIJ29" s="609"/>
      <c r="EIK29" s="609"/>
      <c r="EIL29" s="609"/>
      <c r="EIM29" s="609"/>
      <c r="EIN29" s="609"/>
      <c r="EIO29" s="609"/>
      <c r="EIP29" s="609"/>
      <c r="EIQ29" s="609"/>
      <c r="EIR29" s="609"/>
      <c r="EIS29" s="609"/>
      <c r="EIT29" s="609"/>
      <c r="EIU29" s="609"/>
      <c r="EIV29" s="609"/>
      <c r="EIW29" s="609"/>
      <c r="EIX29" s="609"/>
      <c r="EIY29" s="609"/>
      <c r="EIZ29" s="609"/>
      <c r="EJA29" s="609"/>
      <c r="EJB29" s="609"/>
      <c r="EJC29" s="609"/>
      <c r="EJD29" s="609"/>
      <c r="EJE29" s="609"/>
      <c r="EJF29" s="609"/>
      <c r="EJG29" s="609"/>
      <c r="EJH29" s="609"/>
      <c r="EJI29" s="609"/>
      <c r="EJJ29" s="609"/>
      <c r="EJK29" s="609"/>
      <c r="EJL29" s="609"/>
      <c r="EJM29" s="609"/>
      <c r="EJN29" s="609"/>
      <c r="EJO29" s="609"/>
      <c r="EJP29" s="609"/>
      <c r="EJQ29" s="609"/>
      <c r="EJR29" s="609"/>
      <c r="EJS29" s="609"/>
      <c r="EJT29" s="609"/>
      <c r="EJU29" s="609"/>
      <c r="EJV29" s="609"/>
      <c r="EJW29" s="609"/>
      <c r="EJX29" s="609"/>
      <c r="EJY29" s="609"/>
      <c r="EJZ29" s="609"/>
      <c r="EKA29" s="609"/>
      <c r="EKB29" s="609"/>
      <c r="EKC29" s="609"/>
      <c r="EKD29" s="609"/>
      <c r="EKE29" s="609"/>
      <c r="EKF29" s="609"/>
      <c r="EKG29" s="609"/>
      <c r="EKH29" s="609"/>
      <c r="EKI29" s="609"/>
      <c r="EKJ29" s="609"/>
      <c r="EKK29" s="609"/>
      <c r="EKL29" s="609"/>
      <c r="EKM29" s="609"/>
      <c r="EKN29" s="609"/>
      <c r="EKO29" s="609"/>
      <c r="EKP29" s="609"/>
      <c r="EKQ29" s="609"/>
      <c r="EKR29" s="609"/>
      <c r="EKS29" s="609"/>
      <c r="EKT29" s="609"/>
      <c r="EKU29" s="609"/>
      <c r="EKV29" s="609"/>
      <c r="EKW29" s="609"/>
      <c r="EKX29" s="609"/>
      <c r="EKY29" s="609"/>
      <c r="EKZ29" s="609"/>
      <c r="ELA29" s="609"/>
      <c r="ELB29" s="609"/>
      <c r="ELC29" s="609"/>
      <c r="ELD29" s="609"/>
      <c r="ELE29" s="609"/>
      <c r="ELF29" s="609"/>
      <c r="ELG29" s="609"/>
      <c r="ELH29" s="609"/>
      <c r="ELI29" s="609"/>
      <c r="ELJ29" s="609"/>
      <c r="ELK29" s="609"/>
      <c r="ELL29" s="609"/>
      <c r="ELM29" s="609"/>
      <c r="ELN29" s="609"/>
      <c r="ELO29" s="609"/>
      <c r="ELP29" s="609"/>
      <c r="ELQ29" s="609"/>
      <c r="ELR29" s="609"/>
      <c r="ELS29" s="609"/>
      <c r="ELT29" s="609"/>
      <c r="ELU29" s="609"/>
      <c r="ELV29" s="609"/>
      <c r="ELW29" s="609"/>
      <c r="ELX29" s="609"/>
      <c r="ELY29" s="609"/>
      <c r="ELZ29" s="609"/>
      <c r="EMA29" s="609"/>
      <c r="EMB29" s="609"/>
      <c r="EMC29" s="609"/>
      <c r="EMD29" s="609"/>
      <c r="EME29" s="609"/>
      <c r="EMF29" s="609"/>
      <c r="EMG29" s="609"/>
      <c r="EMH29" s="609"/>
      <c r="EMI29" s="609"/>
      <c r="EMJ29" s="609"/>
      <c r="EMK29" s="609"/>
      <c r="EML29" s="609"/>
      <c r="EMM29" s="609"/>
      <c r="EMN29" s="609"/>
      <c r="EMO29" s="609"/>
      <c r="EMP29" s="609"/>
      <c r="EMQ29" s="609"/>
      <c r="EMR29" s="609"/>
      <c r="EMS29" s="609"/>
      <c r="EMT29" s="609"/>
      <c r="EMU29" s="609"/>
      <c r="EMV29" s="609"/>
      <c r="EMW29" s="609"/>
      <c r="EMX29" s="609"/>
      <c r="EMY29" s="609"/>
      <c r="EMZ29" s="609"/>
      <c r="ENA29" s="609"/>
      <c r="ENB29" s="609"/>
      <c r="ENC29" s="609"/>
      <c r="END29" s="609"/>
      <c r="ENE29" s="609"/>
      <c r="ENF29" s="609"/>
      <c r="ENG29" s="609"/>
      <c r="ENH29" s="609"/>
      <c r="ENI29" s="609"/>
      <c r="ENJ29" s="609"/>
      <c r="ENK29" s="609"/>
      <c r="ENL29" s="609"/>
      <c r="ENM29" s="609"/>
      <c r="ENN29" s="609"/>
      <c r="ENO29" s="609"/>
      <c r="ENP29" s="609"/>
      <c r="ENQ29" s="609"/>
      <c r="ENR29" s="609"/>
      <c r="ENS29" s="609"/>
      <c r="ENT29" s="609"/>
      <c r="ENU29" s="609"/>
      <c r="ENV29" s="609"/>
      <c r="ENW29" s="609"/>
      <c r="ENX29" s="609"/>
      <c r="ENY29" s="609"/>
      <c r="ENZ29" s="609"/>
      <c r="EOA29" s="609"/>
      <c r="EOB29" s="609"/>
      <c r="EOC29" s="609"/>
      <c r="EOD29" s="609"/>
      <c r="EOE29" s="609"/>
      <c r="EOF29" s="609"/>
      <c r="EOG29" s="609"/>
      <c r="EOH29" s="609"/>
      <c r="EOI29" s="609"/>
      <c r="EOJ29" s="609"/>
      <c r="EOK29" s="609"/>
      <c r="EOL29" s="609"/>
      <c r="EOM29" s="609"/>
      <c r="EON29" s="609"/>
      <c r="EOO29" s="609"/>
      <c r="EOP29" s="609"/>
      <c r="EOQ29" s="609"/>
      <c r="EOR29" s="609"/>
      <c r="EOS29" s="609"/>
      <c r="EOT29" s="609"/>
      <c r="EOU29" s="609"/>
      <c r="EOV29" s="609"/>
      <c r="EOW29" s="609"/>
      <c r="EOX29" s="609"/>
      <c r="EOY29" s="609"/>
      <c r="EOZ29" s="609"/>
      <c r="EPA29" s="609"/>
      <c r="EPB29" s="609"/>
      <c r="EPC29" s="609"/>
      <c r="EPD29" s="609"/>
      <c r="EPE29" s="609"/>
      <c r="EPF29" s="609"/>
      <c r="EPG29" s="609"/>
      <c r="EPH29" s="609"/>
      <c r="EPI29" s="609"/>
      <c r="EPJ29" s="609"/>
      <c r="EPK29" s="609"/>
      <c r="EPL29" s="609"/>
      <c r="EPM29" s="609"/>
      <c r="EPN29" s="609"/>
      <c r="EPO29" s="609"/>
      <c r="EPP29" s="609"/>
      <c r="EPQ29" s="609"/>
      <c r="EPR29" s="609"/>
      <c r="EPS29" s="609"/>
      <c r="EPT29" s="609"/>
      <c r="EPU29" s="609"/>
      <c r="EPV29" s="609"/>
      <c r="EPW29" s="609"/>
      <c r="EPX29" s="609"/>
      <c r="EPY29" s="609"/>
      <c r="EPZ29" s="609"/>
      <c r="EQA29" s="609"/>
      <c r="EQB29" s="609"/>
      <c r="EQC29" s="609"/>
      <c r="EQD29" s="609"/>
      <c r="EQE29" s="609"/>
      <c r="EQF29" s="609"/>
      <c r="EQG29" s="609"/>
      <c r="EQH29" s="609"/>
      <c r="EQI29" s="609"/>
      <c r="EQJ29" s="609"/>
      <c r="EQK29" s="609"/>
      <c r="EQL29" s="609"/>
      <c r="EQM29" s="609"/>
      <c r="EQN29" s="609"/>
      <c r="EQO29" s="609"/>
      <c r="EQP29" s="609"/>
      <c r="EQQ29" s="609"/>
      <c r="EQR29" s="609"/>
      <c r="EQS29" s="609"/>
      <c r="EQT29" s="609"/>
      <c r="EQU29" s="609"/>
      <c r="EQV29" s="609"/>
      <c r="EQW29" s="609"/>
      <c r="EQX29" s="609"/>
      <c r="EQY29" s="609"/>
      <c r="EQZ29" s="609"/>
      <c r="ERA29" s="609"/>
      <c r="ERB29" s="609"/>
      <c r="ERC29" s="609"/>
      <c r="ERD29" s="609"/>
      <c r="ERE29" s="609"/>
      <c r="ERF29" s="609"/>
      <c r="ERG29" s="609"/>
      <c r="ERH29" s="609"/>
      <c r="ERI29" s="609"/>
      <c r="ERJ29" s="609"/>
      <c r="ERK29" s="609"/>
      <c r="ERL29" s="609"/>
      <c r="ERM29" s="609"/>
      <c r="ERN29" s="609"/>
      <c r="ERO29" s="609"/>
      <c r="ERP29" s="609"/>
      <c r="ERQ29" s="609"/>
      <c r="ERR29" s="609"/>
      <c r="ERS29" s="609"/>
      <c r="ERT29" s="609"/>
      <c r="ERU29" s="609"/>
      <c r="ERV29" s="609"/>
      <c r="ERW29" s="609"/>
      <c r="ERX29" s="609"/>
      <c r="ERY29" s="609"/>
      <c r="ERZ29" s="609"/>
      <c r="ESA29" s="609"/>
      <c r="ESB29" s="609"/>
      <c r="ESC29" s="609"/>
      <c r="ESD29" s="609"/>
      <c r="ESE29" s="609"/>
      <c r="ESF29" s="609"/>
      <c r="ESG29" s="609"/>
      <c r="ESH29" s="609"/>
      <c r="ESI29" s="609"/>
      <c r="ESJ29" s="609"/>
      <c r="ESK29" s="609"/>
      <c r="ESL29" s="609"/>
      <c r="ESM29" s="609"/>
      <c r="ESN29" s="609"/>
      <c r="ESO29" s="609"/>
      <c r="ESP29" s="609"/>
      <c r="ESQ29" s="609"/>
      <c r="ESR29" s="609"/>
      <c r="ESS29" s="609"/>
      <c r="EST29" s="609"/>
      <c r="ESU29" s="609"/>
      <c r="ESV29" s="609"/>
      <c r="ESW29" s="609"/>
      <c r="ESX29" s="609"/>
      <c r="ESY29" s="609"/>
      <c r="ESZ29" s="609"/>
      <c r="ETA29" s="609"/>
      <c r="ETB29" s="609"/>
      <c r="ETC29" s="609"/>
      <c r="ETD29" s="609"/>
      <c r="ETE29" s="609"/>
      <c r="ETF29" s="609"/>
      <c r="ETG29" s="609"/>
      <c r="ETH29" s="609"/>
      <c r="ETI29" s="609"/>
      <c r="ETJ29" s="609"/>
      <c r="ETK29" s="609"/>
      <c r="ETL29" s="609"/>
      <c r="ETM29" s="609"/>
      <c r="ETN29" s="609"/>
      <c r="ETO29" s="609"/>
      <c r="ETP29" s="609"/>
      <c r="ETQ29" s="609"/>
      <c r="ETR29" s="609"/>
      <c r="ETS29" s="609"/>
      <c r="ETT29" s="609"/>
      <c r="ETU29" s="609"/>
      <c r="ETV29" s="609"/>
      <c r="ETW29" s="609"/>
      <c r="ETX29" s="609"/>
      <c r="ETY29" s="609"/>
      <c r="ETZ29" s="609"/>
      <c r="EUA29" s="609"/>
      <c r="EUB29" s="609"/>
      <c r="EUC29" s="609"/>
      <c r="EUD29" s="609"/>
      <c r="EUE29" s="609"/>
      <c r="EUF29" s="609"/>
      <c r="EUG29" s="609"/>
      <c r="EUH29" s="609"/>
      <c r="EUI29" s="609"/>
      <c r="EUJ29" s="609"/>
      <c r="EUK29" s="609"/>
      <c r="EUL29" s="609"/>
      <c r="EUM29" s="609"/>
      <c r="EUN29" s="609"/>
      <c r="EUO29" s="609"/>
      <c r="EUP29" s="609"/>
      <c r="EUQ29" s="609"/>
      <c r="EUR29" s="609"/>
      <c r="EUS29" s="609"/>
      <c r="EUT29" s="609"/>
      <c r="EUU29" s="609"/>
      <c r="EUV29" s="609"/>
      <c r="EUW29" s="609"/>
      <c r="EUX29" s="609"/>
      <c r="EUY29" s="609"/>
      <c r="EUZ29" s="609"/>
      <c r="EVA29" s="609"/>
      <c r="EVB29" s="609"/>
      <c r="EVC29" s="609"/>
      <c r="EVD29" s="609"/>
      <c r="EVE29" s="609"/>
      <c r="EVF29" s="609"/>
      <c r="EVG29" s="609"/>
      <c r="EVH29" s="609"/>
      <c r="EVI29" s="609"/>
      <c r="EVJ29" s="609"/>
      <c r="EVK29" s="609"/>
      <c r="EVL29" s="609"/>
      <c r="EVM29" s="609"/>
      <c r="EVN29" s="609"/>
      <c r="EVO29" s="609"/>
      <c r="EVP29" s="609"/>
      <c r="EVQ29" s="609"/>
      <c r="EVR29" s="609"/>
      <c r="EVS29" s="609"/>
      <c r="EVT29" s="609"/>
      <c r="EVU29" s="609"/>
      <c r="EVV29" s="609"/>
      <c r="EVW29" s="609"/>
      <c r="EVX29" s="609"/>
      <c r="EVY29" s="609"/>
      <c r="EVZ29" s="609"/>
      <c r="EWA29" s="609"/>
      <c r="EWB29" s="609"/>
      <c r="EWC29" s="609"/>
      <c r="EWD29" s="609"/>
      <c r="EWE29" s="609"/>
      <c r="EWF29" s="609"/>
      <c r="EWG29" s="609"/>
      <c r="EWH29" s="609"/>
      <c r="EWI29" s="609"/>
      <c r="EWJ29" s="609"/>
      <c r="EWK29" s="609"/>
      <c r="EWL29" s="609"/>
      <c r="EWM29" s="609"/>
      <c r="EWN29" s="609"/>
      <c r="EWO29" s="609"/>
      <c r="EWP29" s="609"/>
      <c r="EWQ29" s="609"/>
      <c r="EWR29" s="609"/>
      <c r="EWS29" s="609"/>
      <c r="EWT29" s="609"/>
      <c r="EWU29" s="609"/>
      <c r="EWV29" s="609"/>
      <c r="EWW29" s="609"/>
      <c r="EWX29" s="609"/>
      <c r="EWY29" s="609"/>
      <c r="EWZ29" s="609"/>
      <c r="EXA29" s="609"/>
      <c r="EXB29" s="609"/>
      <c r="EXC29" s="609"/>
      <c r="EXD29" s="609"/>
      <c r="EXE29" s="609"/>
      <c r="EXF29" s="609"/>
      <c r="EXG29" s="609"/>
      <c r="EXH29" s="609"/>
      <c r="EXI29" s="609"/>
      <c r="EXJ29" s="609"/>
      <c r="EXK29" s="609"/>
      <c r="EXL29" s="609"/>
      <c r="EXM29" s="609"/>
      <c r="EXN29" s="609"/>
      <c r="EXO29" s="609"/>
      <c r="EXP29" s="609"/>
      <c r="EXQ29" s="609"/>
      <c r="EXR29" s="609"/>
      <c r="EXS29" s="609"/>
      <c r="EXT29" s="609"/>
      <c r="EXU29" s="609"/>
      <c r="EXV29" s="609"/>
      <c r="EXW29" s="609"/>
      <c r="EXX29" s="609"/>
      <c r="EXY29" s="609"/>
      <c r="EXZ29" s="609"/>
      <c r="EYA29" s="609"/>
      <c r="EYB29" s="609"/>
      <c r="EYC29" s="609"/>
      <c r="EYD29" s="609"/>
      <c r="EYE29" s="609"/>
      <c r="EYF29" s="609"/>
      <c r="EYG29" s="609"/>
      <c r="EYH29" s="609"/>
      <c r="EYI29" s="609"/>
      <c r="EYJ29" s="609"/>
      <c r="EYK29" s="609"/>
      <c r="EYL29" s="609"/>
      <c r="EYM29" s="609"/>
      <c r="EYN29" s="609"/>
      <c r="EYO29" s="609"/>
      <c r="EYP29" s="609"/>
      <c r="EYQ29" s="609"/>
      <c r="EYR29" s="609"/>
      <c r="EYS29" s="609"/>
      <c r="EYT29" s="609"/>
      <c r="EYU29" s="609"/>
      <c r="EYV29" s="609"/>
      <c r="EYW29" s="609"/>
      <c r="EYX29" s="609"/>
      <c r="EYY29" s="609"/>
      <c r="EYZ29" s="609"/>
      <c r="EZA29" s="609"/>
      <c r="EZB29" s="609"/>
      <c r="EZC29" s="609"/>
      <c r="EZD29" s="609"/>
      <c r="EZE29" s="609"/>
      <c r="EZF29" s="609"/>
      <c r="EZG29" s="609"/>
      <c r="EZH29" s="609"/>
      <c r="EZI29" s="609"/>
      <c r="EZJ29" s="609"/>
      <c r="EZK29" s="609"/>
      <c r="EZL29" s="609"/>
      <c r="EZM29" s="609"/>
      <c r="EZN29" s="609"/>
      <c r="EZO29" s="609"/>
      <c r="EZP29" s="609"/>
      <c r="EZQ29" s="609"/>
      <c r="EZR29" s="609"/>
      <c r="EZS29" s="609"/>
      <c r="EZT29" s="609"/>
      <c r="EZU29" s="609"/>
      <c r="EZV29" s="609"/>
      <c r="EZW29" s="609"/>
      <c r="EZX29" s="609"/>
      <c r="EZY29" s="609"/>
      <c r="EZZ29" s="609"/>
      <c r="FAA29" s="609"/>
      <c r="FAB29" s="609"/>
      <c r="FAC29" s="609"/>
      <c r="FAD29" s="609"/>
      <c r="FAE29" s="609"/>
      <c r="FAF29" s="609"/>
      <c r="FAG29" s="609"/>
      <c r="FAH29" s="609"/>
      <c r="FAI29" s="609"/>
      <c r="FAJ29" s="609"/>
      <c r="FAK29" s="609"/>
      <c r="FAL29" s="609"/>
      <c r="FAM29" s="609"/>
      <c r="FAN29" s="609"/>
      <c r="FAO29" s="609"/>
      <c r="FAP29" s="609"/>
      <c r="FAQ29" s="609"/>
      <c r="FAR29" s="609"/>
      <c r="FAS29" s="609"/>
      <c r="FAT29" s="609"/>
      <c r="FAU29" s="609"/>
      <c r="FAV29" s="609"/>
      <c r="FAW29" s="609"/>
      <c r="FAX29" s="609"/>
      <c r="FAY29" s="609"/>
      <c r="FAZ29" s="609"/>
      <c r="FBA29" s="609"/>
      <c r="FBB29" s="609"/>
      <c r="FBC29" s="609"/>
      <c r="FBD29" s="609"/>
      <c r="FBE29" s="609"/>
      <c r="FBF29" s="609"/>
      <c r="FBG29" s="609"/>
      <c r="FBH29" s="609"/>
      <c r="FBI29" s="609"/>
      <c r="FBJ29" s="609"/>
      <c r="FBK29" s="609"/>
      <c r="FBL29" s="609"/>
      <c r="FBM29" s="609"/>
      <c r="FBN29" s="609"/>
      <c r="FBO29" s="609"/>
      <c r="FBP29" s="609"/>
      <c r="FBQ29" s="609"/>
      <c r="FBR29" s="609"/>
      <c r="FBS29" s="609"/>
      <c r="FBT29" s="609"/>
      <c r="FBU29" s="609"/>
      <c r="FBV29" s="609"/>
      <c r="FBW29" s="609"/>
      <c r="FBX29" s="609"/>
      <c r="FBY29" s="609"/>
      <c r="FBZ29" s="609"/>
      <c r="FCA29" s="609"/>
      <c r="FCB29" s="609"/>
      <c r="FCC29" s="609"/>
      <c r="FCD29" s="609"/>
      <c r="FCE29" s="609"/>
      <c r="FCF29" s="609"/>
      <c r="FCG29" s="609"/>
      <c r="FCH29" s="609"/>
      <c r="FCI29" s="609"/>
      <c r="FCJ29" s="609"/>
      <c r="FCK29" s="609"/>
      <c r="FCL29" s="609"/>
      <c r="FCM29" s="609"/>
      <c r="FCN29" s="609"/>
      <c r="FCO29" s="609"/>
      <c r="FCP29" s="609"/>
      <c r="FCQ29" s="609"/>
      <c r="FCR29" s="609"/>
      <c r="FCS29" s="609"/>
      <c r="FCT29" s="609"/>
      <c r="FCU29" s="609"/>
      <c r="FCV29" s="609"/>
      <c r="FCW29" s="609"/>
      <c r="FCX29" s="609"/>
      <c r="FCY29" s="609"/>
      <c r="FCZ29" s="609"/>
      <c r="FDA29" s="609"/>
      <c r="FDB29" s="609"/>
      <c r="FDC29" s="609"/>
      <c r="FDD29" s="609"/>
      <c r="FDE29" s="609"/>
      <c r="FDF29" s="609"/>
      <c r="FDG29" s="609"/>
      <c r="FDH29" s="609"/>
      <c r="FDI29" s="609"/>
      <c r="FDJ29" s="609"/>
      <c r="FDK29" s="609"/>
      <c r="FDL29" s="609"/>
      <c r="FDM29" s="609"/>
      <c r="FDN29" s="609"/>
      <c r="FDO29" s="609"/>
      <c r="FDP29" s="609"/>
      <c r="FDQ29" s="609"/>
      <c r="FDR29" s="609"/>
      <c r="FDS29" s="609"/>
      <c r="FDT29" s="609"/>
      <c r="FDU29" s="609"/>
      <c r="FDV29" s="609"/>
      <c r="FDW29" s="609"/>
      <c r="FDX29" s="609"/>
      <c r="FDY29" s="609"/>
      <c r="FDZ29" s="609"/>
      <c r="FEA29" s="609"/>
      <c r="FEB29" s="609"/>
      <c r="FEC29" s="609"/>
      <c r="FED29" s="609"/>
      <c r="FEE29" s="609"/>
      <c r="FEF29" s="609"/>
      <c r="FEG29" s="609"/>
      <c r="FEH29" s="609"/>
      <c r="FEI29" s="609"/>
      <c r="FEJ29" s="609"/>
      <c r="FEK29" s="609"/>
      <c r="FEL29" s="609"/>
      <c r="FEM29" s="609"/>
      <c r="FEN29" s="609"/>
      <c r="FEO29" s="609"/>
      <c r="FEP29" s="609"/>
      <c r="FEQ29" s="609"/>
      <c r="FER29" s="609"/>
      <c r="FES29" s="609"/>
      <c r="FET29" s="609"/>
      <c r="FEU29" s="609"/>
      <c r="FEV29" s="609"/>
      <c r="FEW29" s="609"/>
      <c r="FEX29" s="609"/>
      <c r="FEY29" s="609"/>
      <c r="FEZ29" s="609"/>
      <c r="FFA29" s="609"/>
      <c r="FFB29" s="609"/>
      <c r="FFC29" s="609"/>
      <c r="FFD29" s="609"/>
      <c r="FFE29" s="609"/>
      <c r="FFF29" s="609"/>
      <c r="FFG29" s="609"/>
      <c r="FFH29" s="609"/>
      <c r="FFI29" s="609"/>
      <c r="FFJ29" s="609"/>
      <c r="FFK29" s="609"/>
      <c r="FFL29" s="609"/>
      <c r="FFM29" s="609"/>
      <c r="FFN29" s="609"/>
      <c r="FFO29" s="609"/>
      <c r="FFP29" s="609"/>
      <c r="FFQ29" s="609"/>
      <c r="FFR29" s="609"/>
      <c r="FFS29" s="609"/>
      <c r="FFT29" s="609"/>
      <c r="FFU29" s="609"/>
      <c r="FFV29" s="609"/>
      <c r="FFW29" s="609"/>
      <c r="FFX29" s="609"/>
      <c r="FFY29" s="609"/>
      <c r="FFZ29" s="609"/>
      <c r="FGA29" s="609"/>
      <c r="FGB29" s="609"/>
      <c r="FGC29" s="609"/>
      <c r="FGD29" s="609"/>
      <c r="FGE29" s="609"/>
      <c r="FGF29" s="609"/>
      <c r="FGG29" s="609"/>
      <c r="FGH29" s="609"/>
      <c r="FGI29" s="609"/>
      <c r="FGJ29" s="609"/>
      <c r="FGK29" s="609"/>
      <c r="FGL29" s="609"/>
      <c r="FGM29" s="609"/>
      <c r="FGN29" s="609"/>
      <c r="FGO29" s="609"/>
      <c r="FGP29" s="609"/>
      <c r="FGQ29" s="609"/>
      <c r="FGR29" s="609"/>
      <c r="FGS29" s="609"/>
      <c r="FGT29" s="609"/>
      <c r="FGU29" s="609"/>
      <c r="FGV29" s="609"/>
      <c r="FGW29" s="609"/>
      <c r="FGX29" s="609"/>
      <c r="FGY29" s="609"/>
      <c r="FGZ29" s="609"/>
      <c r="FHA29" s="609"/>
      <c r="FHB29" s="609"/>
      <c r="FHC29" s="609"/>
      <c r="FHD29" s="609"/>
      <c r="FHE29" s="609"/>
      <c r="FHF29" s="609"/>
      <c r="FHG29" s="609"/>
      <c r="FHH29" s="609"/>
      <c r="FHI29" s="609"/>
      <c r="FHJ29" s="609"/>
      <c r="FHK29" s="609"/>
      <c r="FHL29" s="609"/>
      <c r="FHM29" s="609"/>
      <c r="FHN29" s="609"/>
      <c r="FHO29" s="609"/>
      <c r="FHP29" s="609"/>
      <c r="FHQ29" s="609"/>
      <c r="FHR29" s="609"/>
      <c r="FHS29" s="609"/>
      <c r="FHT29" s="609"/>
      <c r="FHU29" s="609"/>
      <c r="FHV29" s="609"/>
      <c r="FHW29" s="609"/>
      <c r="FHX29" s="609"/>
      <c r="FHY29" s="609"/>
      <c r="FHZ29" s="609"/>
      <c r="FIA29" s="609"/>
      <c r="FIB29" s="609"/>
      <c r="FIC29" s="609"/>
      <c r="FID29" s="609"/>
      <c r="FIE29" s="609"/>
      <c r="FIF29" s="609"/>
      <c r="FIG29" s="609"/>
      <c r="FIH29" s="609"/>
      <c r="FII29" s="609"/>
      <c r="FIJ29" s="609"/>
      <c r="FIK29" s="609"/>
      <c r="FIL29" s="609"/>
      <c r="FIM29" s="609"/>
      <c r="FIN29" s="609"/>
      <c r="FIO29" s="609"/>
      <c r="FIP29" s="609"/>
      <c r="FIQ29" s="609"/>
      <c r="FIR29" s="609"/>
      <c r="FIS29" s="609"/>
      <c r="FIT29" s="609"/>
      <c r="FIU29" s="609"/>
      <c r="FIV29" s="609"/>
      <c r="FIW29" s="609"/>
      <c r="FIX29" s="609"/>
      <c r="FIY29" s="609"/>
      <c r="FIZ29" s="609"/>
      <c r="FJA29" s="609"/>
      <c r="FJB29" s="609"/>
      <c r="FJC29" s="609"/>
      <c r="FJD29" s="609"/>
      <c r="FJE29" s="609"/>
      <c r="FJF29" s="609"/>
      <c r="FJG29" s="609"/>
      <c r="FJH29" s="609"/>
      <c r="FJI29" s="609"/>
      <c r="FJJ29" s="609"/>
      <c r="FJK29" s="609"/>
      <c r="FJL29" s="609"/>
      <c r="FJM29" s="609"/>
      <c r="FJN29" s="609"/>
      <c r="FJO29" s="609"/>
      <c r="FJP29" s="609"/>
      <c r="FJQ29" s="609"/>
      <c r="FJR29" s="609"/>
      <c r="FJS29" s="609"/>
      <c r="FJT29" s="609"/>
      <c r="FJU29" s="609"/>
      <c r="FJV29" s="609"/>
      <c r="FJW29" s="609"/>
      <c r="FJX29" s="609"/>
      <c r="FJY29" s="609"/>
      <c r="FJZ29" s="609"/>
      <c r="FKA29" s="609"/>
      <c r="FKB29" s="609"/>
      <c r="FKC29" s="609"/>
      <c r="FKD29" s="609"/>
      <c r="FKE29" s="609"/>
      <c r="FKF29" s="609"/>
      <c r="FKG29" s="609"/>
      <c r="FKH29" s="609"/>
      <c r="FKI29" s="609"/>
      <c r="FKJ29" s="609"/>
      <c r="FKK29" s="609"/>
      <c r="FKL29" s="609"/>
      <c r="FKM29" s="609"/>
      <c r="FKN29" s="609"/>
      <c r="FKO29" s="609"/>
      <c r="FKP29" s="609"/>
      <c r="FKQ29" s="609"/>
      <c r="FKR29" s="609"/>
      <c r="FKS29" s="609"/>
      <c r="FKT29" s="609"/>
      <c r="FKU29" s="609"/>
      <c r="FKV29" s="609"/>
      <c r="FKW29" s="609"/>
      <c r="FKX29" s="609"/>
      <c r="FKY29" s="609"/>
      <c r="FKZ29" s="609"/>
      <c r="FLA29" s="609"/>
      <c r="FLB29" s="609"/>
      <c r="FLC29" s="609"/>
      <c r="FLD29" s="609"/>
      <c r="FLE29" s="609"/>
      <c r="FLF29" s="609"/>
      <c r="FLG29" s="609"/>
      <c r="FLH29" s="609"/>
      <c r="FLI29" s="609"/>
      <c r="FLJ29" s="609"/>
      <c r="FLK29" s="609"/>
      <c r="FLL29" s="609"/>
      <c r="FLM29" s="609"/>
      <c r="FLN29" s="609"/>
      <c r="FLO29" s="609"/>
      <c r="FLP29" s="609"/>
      <c r="FLQ29" s="609"/>
      <c r="FLR29" s="609"/>
      <c r="FLS29" s="609"/>
      <c r="FLT29" s="609"/>
      <c r="FLU29" s="609"/>
      <c r="FLV29" s="609"/>
      <c r="FLW29" s="609"/>
      <c r="FLX29" s="609"/>
      <c r="FLY29" s="609"/>
      <c r="FLZ29" s="609"/>
      <c r="FMA29" s="609"/>
      <c r="FMB29" s="609"/>
      <c r="FMC29" s="609"/>
      <c r="FMD29" s="609"/>
      <c r="FME29" s="609"/>
      <c r="FMF29" s="609"/>
      <c r="FMG29" s="609"/>
      <c r="FMH29" s="609"/>
      <c r="FMI29" s="609"/>
      <c r="FMJ29" s="609"/>
      <c r="FMK29" s="609"/>
      <c r="FML29" s="609"/>
      <c r="FMM29" s="609"/>
      <c r="FMN29" s="609"/>
      <c r="FMO29" s="609"/>
      <c r="FMP29" s="609"/>
      <c r="FMQ29" s="609"/>
      <c r="FMR29" s="609"/>
      <c r="FMS29" s="609"/>
      <c r="FMT29" s="609"/>
      <c r="FMU29" s="609"/>
      <c r="FMV29" s="609"/>
      <c r="FMW29" s="609"/>
      <c r="FMX29" s="609"/>
      <c r="FMY29" s="609"/>
      <c r="FMZ29" s="609"/>
      <c r="FNA29" s="609"/>
      <c r="FNB29" s="609"/>
      <c r="FNC29" s="609"/>
      <c r="FND29" s="609"/>
      <c r="FNE29" s="609"/>
      <c r="FNF29" s="609"/>
      <c r="FNG29" s="609"/>
      <c r="FNH29" s="609"/>
      <c r="FNI29" s="609"/>
      <c r="FNJ29" s="609"/>
      <c r="FNK29" s="609"/>
      <c r="FNL29" s="609"/>
      <c r="FNM29" s="609"/>
      <c r="FNN29" s="609"/>
      <c r="FNO29" s="609"/>
      <c r="FNP29" s="609"/>
      <c r="FNQ29" s="609"/>
      <c r="FNR29" s="609"/>
      <c r="FNS29" s="609"/>
      <c r="FNT29" s="609"/>
      <c r="FNU29" s="609"/>
      <c r="FNV29" s="609"/>
      <c r="FNW29" s="609"/>
      <c r="FNX29" s="609"/>
      <c r="FNY29" s="609"/>
      <c r="FNZ29" s="609"/>
      <c r="FOA29" s="609"/>
      <c r="FOB29" s="609"/>
      <c r="FOC29" s="609"/>
      <c r="FOD29" s="609"/>
      <c r="FOE29" s="609"/>
      <c r="FOF29" s="609"/>
      <c r="FOG29" s="609"/>
      <c r="FOH29" s="609"/>
      <c r="FOI29" s="609"/>
      <c r="FOJ29" s="609"/>
      <c r="FOK29" s="609"/>
      <c r="FOL29" s="609"/>
      <c r="FOM29" s="609"/>
      <c r="FON29" s="609"/>
      <c r="FOO29" s="609"/>
      <c r="FOP29" s="609"/>
      <c r="FOQ29" s="609"/>
      <c r="FOR29" s="609"/>
      <c r="FOS29" s="609"/>
      <c r="FOT29" s="609"/>
      <c r="FOU29" s="609"/>
      <c r="FOV29" s="609"/>
      <c r="FOW29" s="609"/>
      <c r="FOX29" s="609"/>
      <c r="FOY29" s="609"/>
      <c r="FOZ29" s="609"/>
      <c r="FPA29" s="609"/>
      <c r="FPB29" s="609"/>
      <c r="FPC29" s="609"/>
      <c r="FPD29" s="609"/>
      <c r="FPE29" s="609"/>
      <c r="FPF29" s="609"/>
      <c r="FPG29" s="609"/>
      <c r="FPH29" s="609"/>
      <c r="FPI29" s="609"/>
      <c r="FPJ29" s="609"/>
      <c r="FPK29" s="609"/>
      <c r="FPL29" s="609"/>
      <c r="FPM29" s="609"/>
      <c r="FPN29" s="609"/>
      <c r="FPO29" s="609"/>
      <c r="FPP29" s="609"/>
      <c r="FPQ29" s="609"/>
      <c r="FPR29" s="609"/>
      <c r="FPS29" s="609"/>
      <c r="FPT29" s="609"/>
      <c r="FPU29" s="609"/>
      <c r="FPV29" s="609"/>
      <c r="FPW29" s="609"/>
      <c r="FPX29" s="609"/>
      <c r="FPY29" s="609"/>
      <c r="FPZ29" s="609"/>
      <c r="FQA29" s="609"/>
      <c r="FQB29" s="609"/>
      <c r="FQC29" s="609"/>
      <c r="FQD29" s="609"/>
      <c r="FQE29" s="609"/>
      <c r="FQF29" s="609"/>
      <c r="FQG29" s="609"/>
      <c r="FQH29" s="609"/>
      <c r="FQI29" s="609"/>
      <c r="FQJ29" s="609"/>
      <c r="FQK29" s="609"/>
      <c r="FQL29" s="609"/>
      <c r="FQM29" s="609"/>
      <c r="FQN29" s="609"/>
      <c r="FQO29" s="609"/>
      <c r="FQP29" s="609"/>
      <c r="FQQ29" s="609"/>
      <c r="FQR29" s="609"/>
      <c r="FQS29" s="609"/>
      <c r="FQT29" s="609"/>
      <c r="FQU29" s="609"/>
      <c r="FQV29" s="609"/>
      <c r="FQW29" s="609"/>
      <c r="FQX29" s="609"/>
      <c r="FQY29" s="609"/>
      <c r="FQZ29" s="609"/>
      <c r="FRA29" s="609"/>
      <c r="FRB29" s="609"/>
      <c r="FRC29" s="609"/>
      <c r="FRD29" s="609"/>
      <c r="FRE29" s="609"/>
      <c r="FRF29" s="609"/>
      <c r="FRG29" s="609"/>
      <c r="FRH29" s="609"/>
      <c r="FRI29" s="609"/>
      <c r="FRJ29" s="609"/>
      <c r="FRK29" s="609"/>
      <c r="FRL29" s="609"/>
      <c r="FRM29" s="609"/>
      <c r="FRN29" s="609"/>
      <c r="FRO29" s="609"/>
      <c r="FRP29" s="609"/>
      <c r="FRQ29" s="609"/>
      <c r="FRR29" s="609"/>
      <c r="FRS29" s="609"/>
      <c r="FRT29" s="609"/>
      <c r="FRU29" s="609"/>
      <c r="FRV29" s="609"/>
      <c r="FRW29" s="609"/>
      <c r="FRX29" s="609"/>
      <c r="FRY29" s="609"/>
      <c r="FRZ29" s="609"/>
      <c r="FSA29" s="609"/>
      <c r="FSB29" s="609"/>
      <c r="FSC29" s="609"/>
      <c r="FSD29" s="609"/>
      <c r="FSE29" s="609"/>
      <c r="FSF29" s="609"/>
      <c r="FSG29" s="609"/>
      <c r="FSH29" s="609"/>
      <c r="FSI29" s="609"/>
      <c r="FSJ29" s="609"/>
      <c r="FSK29" s="609"/>
      <c r="FSL29" s="609"/>
      <c r="FSM29" s="609"/>
      <c r="FSN29" s="609"/>
      <c r="FSO29" s="609"/>
      <c r="FSP29" s="609"/>
      <c r="FSQ29" s="609"/>
      <c r="FSR29" s="609"/>
      <c r="FSS29" s="609"/>
      <c r="FST29" s="609"/>
      <c r="FSU29" s="609"/>
      <c r="FSV29" s="609"/>
      <c r="FSW29" s="609"/>
      <c r="FSX29" s="609"/>
      <c r="FSY29" s="609"/>
      <c r="FSZ29" s="609"/>
      <c r="FTA29" s="609"/>
      <c r="FTB29" s="609"/>
      <c r="FTC29" s="609"/>
      <c r="FTD29" s="609"/>
      <c r="FTE29" s="609"/>
      <c r="FTF29" s="609"/>
      <c r="FTG29" s="609"/>
      <c r="FTH29" s="609"/>
      <c r="FTI29" s="609"/>
      <c r="FTJ29" s="609"/>
      <c r="FTK29" s="609"/>
      <c r="FTL29" s="609"/>
      <c r="FTM29" s="609"/>
      <c r="FTN29" s="609"/>
      <c r="FTO29" s="609"/>
      <c r="FTP29" s="609"/>
      <c r="FTQ29" s="609"/>
      <c r="FTR29" s="609"/>
      <c r="FTS29" s="609"/>
      <c r="FTT29" s="609"/>
      <c r="FTU29" s="609"/>
      <c r="FTV29" s="609"/>
      <c r="FTW29" s="609"/>
      <c r="FTX29" s="609"/>
      <c r="FTY29" s="609"/>
      <c r="FTZ29" s="609"/>
      <c r="FUA29" s="609"/>
      <c r="FUB29" s="609"/>
      <c r="FUC29" s="609"/>
      <c r="FUD29" s="609"/>
      <c r="FUE29" s="609"/>
      <c r="FUF29" s="609"/>
      <c r="FUG29" s="609"/>
      <c r="FUH29" s="609"/>
      <c r="FUI29" s="609"/>
      <c r="FUJ29" s="609"/>
      <c r="FUK29" s="609"/>
      <c r="FUL29" s="609"/>
      <c r="FUM29" s="609"/>
      <c r="FUN29" s="609"/>
      <c r="FUO29" s="609"/>
      <c r="FUP29" s="609"/>
      <c r="FUQ29" s="609"/>
      <c r="FUR29" s="609"/>
      <c r="FUS29" s="609"/>
      <c r="FUT29" s="609"/>
      <c r="FUU29" s="609"/>
      <c r="FUV29" s="609"/>
      <c r="FUW29" s="609"/>
      <c r="FUX29" s="609"/>
      <c r="FUY29" s="609"/>
      <c r="FUZ29" s="609"/>
      <c r="FVA29" s="609"/>
      <c r="FVB29" s="609"/>
      <c r="FVC29" s="609"/>
      <c r="FVD29" s="609"/>
      <c r="FVE29" s="609"/>
      <c r="FVF29" s="609"/>
      <c r="FVG29" s="609"/>
      <c r="FVH29" s="609"/>
      <c r="FVI29" s="609"/>
      <c r="FVJ29" s="609"/>
      <c r="FVK29" s="609"/>
      <c r="FVL29" s="609"/>
      <c r="FVM29" s="609"/>
      <c r="FVN29" s="609"/>
      <c r="FVO29" s="609"/>
      <c r="FVP29" s="609"/>
      <c r="FVQ29" s="609"/>
      <c r="FVR29" s="609"/>
      <c r="FVS29" s="609"/>
      <c r="FVT29" s="609"/>
      <c r="FVU29" s="609"/>
      <c r="FVV29" s="609"/>
      <c r="FVW29" s="609"/>
      <c r="FVX29" s="609"/>
      <c r="FVY29" s="609"/>
      <c r="FVZ29" s="609"/>
      <c r="FWA29" s="609"/>
      <c r="FWB29" s="609"/>
      <c r="FWC29" s="609"/>
      <c r="FWD29" s="609"/>
      <c r="FWE29" s="609"/>
      <c r="FWF29" s="609"/>
      <c r="FWG29" s="609"/>
      <c r="FWH29" s="609"/>
      <c r="FWI29" s="609"/>
      <c r="FWJ29" s="609"/>
      <c r="FWK29" s="609"/>
      <c r="FWL29" s="609"/>
      <c r="FWM29" s="609"/>
      <c r="FWN29" s="609"/>
      <c r="FWO29" s="609"/>
      <c r="FWP29" s="609"/>
      <c r="FWQ29" s="609"/>
      <c r="FWR29" s="609"/>
      <c r="FWS29" s="609"/>
      <c r="FWT29" s="609"/>
      <c r="FWU29" s="609"/>
      <c r="FWV29" s="609"/>
      <c r="FWW29" s="609"/>
      <c r="FWX29" s="609"/>
      <c r="FWY29" s="609"/>
      <c r="FWZ29" s="609"/>
      <c r="FXA29" s="609"/>
      <c r="FXB29" s="609"/>
      <c r="FXC29" s="609"/>
      <c r="FXD29" s="609"/>
      <c r="FXE29" s="609"/>
      <c r="FXF29" s="609"/>
      <c r="FXG29" s="609"/>
      <c r="FXH29" s="609"/>
      <c r="FXI29" s="609"/>
      <c r="FXJ29" s="609"/>
      <c r="FXK29" s="609"/>
      <c r="FXL29" s="609"/>
      <c r="FXM29" s="609"/>
      <c r="FXN29" s="609"/>
      <c r="FXO29" s="609"/>
      <c r="FXP29" s="609"/>
      <c r="FXQ29" s="609"/>
      <c r="FXR29" s="609"/>
      <c r="FXS29" s="609"/>
      <c r="FXT29" s="609"/>
      <c r="FXU29" s="609"/>
      <c r="FXV29" s="609"/>
      <c r="FXW29" s="609"/>
      <c r="FXX29" s="609"/>
      <c r="FXY29" s="609"/>
      <c r="FXZ29" s="609"/>
      <c r="FYA29" s="609"/>
      <c r="FYB29" s="609"/>
      <c r="FYC29" s="609"/>
      <c r="FYD29" s="609"/>
      <c r="FYE29" s="609"/>
      <c r="FYF29" s="609"/>
      <c r="FYG29" s="609"/>
      <c r="FYH29" s="609"/>
      <c r="FYI29" s="609"/>
      <c r="FYJ29" s="609"/>
      <c r="FYK29" s="609"/>
      <c r="FYL29" s="609"/>
      <c r="FYM29" s="609"/>
      <c r="FYN29" s="609"/>
      <c r="FYO29" s="609"/>
      <c r="FYP29" s="609"/>
      <c r="FYQ29" s="609"/>
      <c r="FYR29" s="609"/>
      <c r="FYS29" s="609"/>
      <c r="FYT29" s="609"/>
      <c r="FYU29" s="609"/>
      <c r="FYV29" s="609"/>
      <c r="FYW29" s="609"/>
      <c r="FYX29" s="609"/>
      <c r="FYY29" s="609"/>
      <c r="FYZ29" s="609"/>
      <c r="FZA29" s="609"/>
      <c r="FZB29" s="609"/>
      <c r="FZC29" s="609"/>
      <c r="FZD29" s="609"/>
      <c r="FZE29" s="609"/>
      <c r="FZF29" s="609"/>
      <c r="FZG29" s="609"/>
      <c r="FZH29" s="609"/>
      <c r="FZI29" s="609"/>
      <c r="FZJ29" s="609"/>
      <c r="FZK29" s="609"/>
      <c r="FZL29" s="609"/>
      <c r="FZM29" s="609"/>
      <c r="FZN29" s="609"/>
      <c r="FZO29" s="609"/>
      <c r="FZP29" s="609"/>
      <c r="FZQ29" s="609"/>
      <c r="FZR29" s="609"/>
      <c r="FZS29" s="609"/>
      <c r="FZT29" s="609"/>
      <c r="FZU29" s="609"/>
      <c r="FZV29" s="609"/>
      <c r="FZW29" s="609"/>
      <c r="FZX29" s="609"/>
      <c r="FZY29" s="609"/>
      <c r="FZZ29" s="609"/>
      <c r="GAA29" s="609"/>
      <c r="GAB29" s="609"/>
      <c r="GAC29" s="609"/>
      <c r="GAD29" s="609"/>
      <c r="GAE29" s="609"/>
      <c r="GAF29" s="609"/>
      <c r="GAG29" s="609"/>
      <c r="GAH29" s="609"/>
      <c r="GAI29" s="609"/>
      <c r="GAJ29" s="609"/>
      <c r="GAK29" s="609"/>
      <c r="GAL29" s="609"/>
      <c r="GAM29" s="609"/>
      <c r="GAN29" s="609"/>
      <c r="GAO29" s="609"/>
      <c r="GAP29" s="609"/>
      <c r="GAQ29" s="609"/>
      <c r="GAR29" s="609"/>
      <c r="GAS29" s="609"/>
      <c r="GAT29" s="609"/>
      <c r="GAU29" s="609"/>
      <c r="GAV29" s="609"/>
      <c r="GAW29" s="609"/>
      <c r="GAX29" s="609"/>
      <c r="GAY29" s="609"/>
      <c r="GAZ29" s="609"/>
      <c r="GBA29" s="609"/>
      <c r="GBB29" s="609"/>
      <c r="GBC29" s="609"/>
      <c r="GBD29" s="609"/>
      <c r="GBE29" s="609"/>
      <c r="GBF29" s="609"/>
      <c r="GBG29" s="609"/>
      <c r="GBH29" s="609"/>
      <c r="GBI29" s="609"/>
      <c r="GBJ29" s="609"/>
      <c r="GBK29" s="609"/>
      <c r="GBL29" s="609"/>
      <c r="GBM29" s="609"/>
      <c r="GBN29" s="609"/>
      <c r="GBO29" s="609"/>
      <c r="GBP29" s="609"/>
      <c r="GBQ29" s="609"/>
      <c r="GBR29" s="609"/>
      <c r="GBS29" s="609"/>
      <c r="GBT29" s="609"/>
      <c r="GBU29" s="609"/>
      <c r="GBV29" s="609"/>
      <c r="GBW29" s="609"/>
      <c r="GBX29" s="609"/>
      <c r="GBY29" s="609"/>
      <c r="GBZ29" s="609"/>
      <c r="GCA29" s="609"/>
      <c r="GCB29" s="609"/>
      <c r="GCC29" s="609"/>
      <c r="GCD29" s="609"/>
      <c r="GCE29" s="609"/>
      <c r="GCF29" s="609"/>
      <c r="GCG29" s="609"/>
      <c r="GCH29" s="609"/>
      <c r="GCI29" s="609"/>
      <c r="GCJ29" s="609"/>
      <c r="GCK29" s="609"/>
      <c r="GCL29" s="609"/>
      <c r="GCM29" s="609"/>
      <c r="GCN29" s="609"/>
      <c r="GCO29" s="609"/>
      <c r="GCP29" s="609"/>
      <c r="GCQ29" s="609"/>
      <c r="GCR29" s="609"/>
      <c r="GCS29" s="609"/>
      <c r="GCT29" s="609"/>
      <c r="GCU29" s="609"/>
      <c r="GCV29" s="609"/>
      <c r="GCW29" s="609"/>
      <c r="GCX29" s="609"/>
      <c r="GCY29" s="609"/>
      <c r="GCZ29" s="609"/>
      <c r="GDA29" s="609"/>
      <c r="GDB29" s="609"/>
      <c r="GDC29" s="609"/>
      <c r="GDD29" s="609"/>
      <c r="GDE29" s="609"/>
      <c r="GDF29" s="609"/>
      <c r="GDG29" s="609"/>
      <c r="GDH29" s="609"/>
      <c r="GDI29" s="609"/>
      <c r="GDJ29" s="609"/>
      <c r="GDK29" s="609"/>
      <c r="GDL29" s="609"/>
      <c r="GDM29" s="609"/>
      <c r="GDN29" s="609"/>
      <c r="GDO29" s="609"/>
      <c r="GDP29" s="609"/>
      <c r="GDQ29" s="609"/>
      <c r="GDR29" s="609"/>
      <c r="GDS29" s="609"/>
      <c r="GDT29" s="609"/>
      <c r="GDU29" s="609"/>
      <c r="GDV29" s="609"/>
      <c r="GDW29" s="609"/>
      <c r="GDX29" s="609"/>
      <c r="GDY29" s="609"/>
      <c r="GDZ29" s="609"/>
      <c r="GEA29" s="609"/>
      <c r="GEB29" s="609"/>
      <c r="GEC29" s="609"/>
      <c r="GED29" s="609"/>
      <c r="GEE29" s="609"/>
      <c r="GEF29" s="609"/>
      <c r="GEG29" s="609"/>
      <c r="GEH29" s="609"/>
      <c r="GEI29" s="609"/>
      <c r="GEJ29" s="609"/>
      <c r="GEK29" s="609"/>
      <c r="GEL29" s="609"/>
      <c r="GEM29" s="609"/>
      <c r="GEN29" s="609"/>
      <c r="GEO29" s="609"/>
      <c r="GEP29" s="609"/>
      <c r="GEQ29" s="609"/>
      <c r="GER29" s="609"/>
      <c r="GES29" s="609"/>
      <c r="GET29" s="609"/>
      <c r="GEU29" s="609"/>
      <c r="GEV29" s="609"/>
      <c r="GEW29" s="609"/>
      <c r="GEX29" s="609"/>
      <c r="GEY29" s="609"/>
      <c r="GEZ29" s="609"/>
      <c r="GFA29" s="609"/>
      <c r="GFB29" s="609"/>
      <c r="GFC29" s="609"/>
      <c r="GFD29" s="609"/>
      <c r="GFE29" s="609"/>
      <c r="GFF29" s="609"/>
      <c r="GFG29" s="609"/>
      <c r="GFH29" s="609"/>
      <c r="GFI29" s="609"/>
      <c r="GFJ29" s="609"/>
      <c r="GFK29" s="609"/>
      <c r="GFL29" s="609"/>
      <c r="GFM29" s="609"/>
      <c r="GFN29" s="609"/>
      <c r="GFO29" s="609"/>
      <c r="GFP29" s="609"/>
      <c r="GFQ29" s="609"/>
      <c r="GFR29" s="609"/>
      <c r="GFS29" s="609"/>
      <c r="GFT29" s="609"/>
      <c r="GFU29" s="609"/>
      <c r="GFV29" s="609"/>
      <c r="GFW29" s="609"/>
      <c r="GFX29" s="609"/>
      <c r="GFY29" s="609"/>
      <c r="GFZ29" s="609"/>
      <c r="GGA29" s="609"/>
      <c r="GGB29" s="609"/>
      <c r="GGC29" s="609"/>
      <c r="GGD29" s="609"/>
      <c r="GGE29" s="609"/>
      <c r="GGF29" s="609"/>
      <c r="GGG29" s="609"/>
      <c r="GGH29" s="609"/>
      <c r="GGI29" s="609"/>
      <c r="GGJ29" s="609"/>
      <c r="GGK29" s="609"/>
      <c r="GGL29" s="609"/>
      <c r="GGM29" s="609"/>
      <c r="GGN29" s="609"/>
      <c r="GGO29" s="609"/>
      <c r="GGP29" s="609"/>
      <c r="GGQ29" s="609"/>
      <c r="GGR29" s="609"/>
      <c r="GGS29" s="609"/>
      <c r="GGT29" s="609"/>
      <c r="GGU29" s="609"/>
      <c r="GGV29" s="609"/>
      <c r="GGW29" s="609"/>
      <c r="GGX29" s="609"/>
      <c r="GGY29" s="609"/>
      <c r="GGZ29" s="609"/>
      <c r="GHA29" s="609"/>
      <c r="GHB29" s="609"/>
      <c r="GHC29" s="609"/>
      <c r="GHD29" s="609"/>
      <c r="GHE29" s="609"/>
      <c r="GHF29" s="609"/>
      <c r="GHG29" s="609"/>
      <c r="GHH29" s="609"/>
      <c r="GHI29" s="609"/>
      <c r="GHJ29" s="609"/>
      <c r="GHK29" s="609"/>
      <c r="GHL29" s="609"/>
      <c r="GHM29" s="609"/>
      <c r="GHN29" s="609"/>
      <c r="GHO29" s="609"/>
      <c r="GHP29" s="609"/>
      <c r="GHQ29" s="609"/>
      <c r="GHR29" s="609"/>
      <c r="GHS29" s="609"/>
      <c r="GHT29" s="609"/>
      <c r="GHU29" s="609"/>
      <c r="GHV29" s="609"/>
      <c r="GHW29" s="609"/>
      <c r="GHX29" s="609"/>
      <c r="GHY29" s="609"/>
      <c r="GHZ29" s="609"/>
      <c r="GIA29" s="609"/>
      <c r="GIB29" s="609"/>
      <c r="GIC29" s="609"/>
      <c r="GID29" s="609"/>
      <c r="GIE29" s="609"/>
      <c r="GIF29" s="609"/>
      <c r="GIG29" s="609"/>
      <c r="GIH29" s="609"/>
      <c r="GII29" s="609"/>
      <c r="GIJ29" s="609"/>
      <c r="GIK29" s="609"/>
      <c r="GIL29" s="609"/>
      <c r="GIM29" s="609"/>
      <c r="GIN29" s="609"/>
      <c r="GIO29" s="609"/>
      <c r="GIP29" s="609"/>
      <c r="GIQ29" s="609"/>
      <c r="GIR29" s="609"/>
      <c r="GIS29" s="609"/>
      <c r="GIT29" s="609"/>
      <c r="GIU29" s="609"/>
      <c r="GIV29" s="609"/>
      <c r="GIW29" s="609"/>
      <c r="GIX29" s="609"/>
      <c r="GIY29" s="609"/>
      <c r="GIZ29" s="609"/>
      <c r="GJA29" s="609"/>
      <c r="GJB29" s="609"/>
      <c r="GJC29" s="609"/>
      <c r="GJD29" s="609"/>
      <c r="GJE29" s="609"/>
      <c r="GJF29" s="609"/>
      <c r="GJG29" s="609"/>
      <c r="GJH29" s="609"/>
      <c r="GJI29" s="609"/>
      <c r="GJJ29" s="609"/>
      <c r="GJK29" s="609"/>
      <c r="GJL29" s="609"/>
      <c r="GJM29" s="609"/>
      <c r="GJN29" s="609"/>
      <c r="GJO29" s="609"/>
      <c r="GJP29" s="609"/>
      <c r="GJQ29" s="609"/>
      <c r="GJR29" s="609"/>
      <c r="GJS29" s="609"/>
      <c r="GJT29" s="609"/>
      <c r="GJU29" s="609"/>
      <c r="GJV29" s="609"/>
      <c r="GJW29" s="609"/>
      <c r="GJX29" s="609"/>
      <c r="GJY29" s="609"/>
      <c r="GJZ29" s="609"/>
      <c r="GKA29" s="609"/>
      <c r="GKB29" s="609"/>
      <c r="GKC29" s="609"/>
      <c r="GKD29" s="609"/>
      <c r="GKE29" s="609"/>
      <c r="GKF29" s="609"/>
      <c r="GKG29" s="609"/>
      <c r="GKH29" s="609"/>
      <c r="GKI29" s="609"/>
      <c r="GKJ29" s="609"/>
      <c r="GKK29" s="609"/>
      <c r="GKL29" s="609"/>
      <c r="GKM29" s="609"/>
      <c r="GKN29" s="609"/>
      <c r="GKO29" s="609"/>
      <c r="GKP29" s="609"/>
      <c r="GKQ29" s="609"/>
      <c r="GKR29" s="609"/>
      <c r="GKS29" s="609"/>
      <c r="GKT29" s="609"/>
      <c r="GKU29" s="609"/>
      <c r="GKV29" s="609"/>
      <c r="GKW29" s="609"/>
      <c r="GKX29" s="609"/>
      <c r="GKY29" s="609"/>
      <c r="GKZ29" s="609"/>
      <c r="GLA29" s="609"/>
      <c r="GLB29" s="609"/>
      <c r="GLC29" s="609"/>
      <c r="GLD29" s="609"/>
      <c r="GLE29" s="609"/>
      <c r="GLF29" s="609"/>
      <c r="GLG29" s="609"/>
      <c r="GLH29" s="609"/>
      <c r="GLI29" s="609"/>
      <c r="GLJ29" s="609"/>
      <c r="GLK29" s="609"/>
      <c r="GLL29" s="609"/>
      <c r="GLM29" s="609"/>
      <c r="GLN29" s="609"/>
      <c r="GLO29" s="609"/>
      <c r="GLP29" s="609"/>
      <c r="GLQ29" s="609"/>
      <c r="GLR29" s="609"/>
      <c r="GLS29" s="609"/>
      <c r="GLT29" s="609"/>
      <c r="GLU29" s="609"/>
      <c r="GLV29" s="609"/>
      <c r="GLW29" s="609"/>
      <c r="GLX29" s="609"/>
      <c r="GLY29" s="609"/>
      <c r="GLZ29" s="609"/>
      <c r="GMA29" s="609"/>
      <c r="GMB29" s="609"/>
      <c r="GMC29" s="609"/>
      <c r="GMD29" s="609"/>
      <c r="GME29" s="609"/>
      <c r="GMF29" s="609"/>
      <c r="GMG29" s="609"/>
      <c r="GMH29" s="609"/>
      <c r="GMI29" s="609"/>
      <c r="GMJ29" s="609"/>
      <c r="GMK29" s="609"/>
      <c r="GML29" s="609"/>
      <c r="GMM29" s="609"/>
      <c r="GMN29" s="609"/>
      <c r="GMO29" s="609"/>
      <c r="GMP29" s="609"/>
      <c r="GMQ29" s="609"/>
      <c r="GMR29" s="609"/>
      <c r="GMS29" s="609"/>
      <c r="GMT29" s="609"/>
      <c r="GMU29" s="609"/>
      <c r="GMV29" s="609"/>
      <c r="GMW29" s="609"/>
      <c r="GMX29" s="609"/>
      <c r="GMY29" s="609"/>
      <c r="GMZ29" s="609"/>
      <c r="GNA29" s="609"/>
      <c r="GNB29" s="609"/>
      <c r="GNC29" s="609"/>
      <c r="GND29" s="609"/>
      <c r="GNE29" s="609"/>
      <c r="GNF29" s="609"/>
      <c r="GNG29" s="609"/>
      <c r="GNH29" s="609"/>
      <c r="GNI29" s="609"/>
      <c r="GNJ29" s="609"/>
      <c r="GNK29" s="609"/>
      <c r="GNL29" s="609"/>
      <c r="GNM29" s="609"/>
      <c r="GNN29" s="609"/>
      <c r="GNO29" s="609"/>
      <c r="GNP29" s="609"/>
      <c r="GNQ29" s="609"/>
      <c r="GNR29" s="609"/>
      <c r="GNS29" s="609"/>
      <c r="GNT29" s="609"/>
      <c r="GNU29" s="609"/>
      <c r="GNV29" s="609"/>
      <c r="GNW29" s="609"/>
      <c r="GNX29" s="609"/>
      <c r="GNY29" s="609"/>
      <c r="GNZ29" s="609"/>
      <c r="GOA29" s="609"/>
      <c r="GOB29" s="609"/>
      <c r="GOC29" s="609"/>
      <c r="GOD29" s="609"/>
      <c r="GOE29" s="609"/>
      <c r="GOF29" s="609"/>
      <c r="GOG29" s="609"/>
      <c r="GOH29" s="609"/>
      <c r="GOI29" s="609"/>
      <c r="GOJ29" s="609"/>
      <c r="GOK29" s="609"/>
      <c r="GOL29" s="609"/>
      <c r="GOM29" s="609"/>
      <c r="GON29" s="609"/>
      <c r="GOO29" s="609"/>
      <c r="GOP29" s="609"/>
      <c r="GOQ29" s="609"/>
      <c r="GOR29" s="609"/>
      <c r="GOS29" s="609"/>
      <c r="GOT29" s="609"/>
      <c r="GOU29" s="609"/>
      <c r="GOV29" s="609"/>
      <c r="GOW29" s="609"/>
      <c r="GOX29" s="609"/>
      <c r="GOY29" s="609"/>
      <c r="GOZ29" s="609"/>
      <c r="GPA29" s="609"/>
      <c r="GPB29" s="609"/>
      <c r="GPC29" s="609"/>
      <c r="GPD29" s="609"/>
      <c r="GPE29" s="609"/>
      <c r="GPF29" s="609"/>
      <c r="GPG29" s="609"/>
      <c r="GPH29" s="609"/>
      <c r="GPI29" s="609"/>
      <c r="GPJ29" s="609"/>
      <c r="GPK29" s="609"/>
      <c r="GPL29" s="609"/>
      <c r="GPM29" s="609"/>
      <c r="GPN29" s="609"/>
      <c r="GPO29" s="609"/>
      <c r="GPP29" s="609"/>
      <c r="GPQ29" s="609"/>
      <c r="GPR29" s="609"/>
      <c r="GPS29" s="609"/>
      <c r="GPT29" s="609"/>
      <c r="GPU29" s="609"/>
      <c r="GPV29" s="609"/>
      <c r="GPW29" s="609"/>
      <c r="GPX29" s="609"/>
      <c r="GPY29" s="609"/>
      <c r="GPZ29" s="609"/>
      <c r="GQA29" s="609"/>
      <c r="GQB29" s="609"/>
      <c r="GQC29" s="609"/>
      <c r="GQD29" s="609"/>
      <c r="GQE29" s="609"/>
      <c r="GQF29" s="609"/>
      <c r="GQG29" s="609"/>
      <c r="GQH29" s="609"/>
      <c r="GQI29" s="609"/>
      <c r="GQJ29" s="609"/>
      <c r="GQK29" s="609"/>
      <c r="GQL29" s="609"/>
      <c r="GQM29" s="609"/>
      <c r="GQN29" s="609"/>
      <c r="GQO29" s="609"/>
      <c r="GQP29" s="609"/>
      <c r="GQQ29" s="609"/>
      <c r="GQR29" s="609"/>
      <c r="GQS29" s="609"/>
      <c r="GQT29" s="609"/>
      <c r="GQU29" s="609"/>
      <c r="GQV29" s="609"/>
      <c r="GQW29" s="609"/>
      <c r="GQX29" s="609"/>
      <c r="GQY29" s="609"/>
      <c r="GQZ29" s="609"/>
      <c r="GRA29" s="609"/>
      <c r="GRB29" s="609"/>
      <c r="GRC29" s="609"/>
      <c r="GRD29" s="609"/>
      <c r="GRE29" s="609"/>
      <c r="GRF29" s="609"/>
      <c r="GRG29" s="609"/>
      <c r="GRH29" s="609"/>
      <c r="GRI29" s="609"/>
      <c r="GRJ29" s="609"/>
      <c r="GRK29" s="609"/>
      <c r="GRL29" s="609"/>
      <c r="GRM29" s="609"/>
      <c r="GRN29" s="609"/>
      <c r="GRO29" s="609"/>
      <c r="GRP29" s="609"/>
      <c r="GRQ29" s="609"/>
      <c r="GRR29" s="609"/>
      <c r="GRS29" s="609"/>
      <c r="GRT29" s="609"/>
      <c r="GRU29" s="609"/>
      <c r="GRV29" s="609"/>
      <c r="GRW29" s="609"/>
      <c r="GRX29" s="609"/>
      <c r="GRY29" s="609"/>
      <c r="GRZ29" s="609"/>
      <c r="GSA29" s="609"/>
      <c r="GSB29" s="609"/>
      <c r="GSC29" s="609"/>
      <c r="GSD29" s="609"/>
      <c r="GSE29" s="609"/>
      <c r="GSF29" s="609"/>
      <c r="GSG29" s="609"/>
      <c r="GSH29" s="609"/>
      <c r="GSI29" s="609"/>
      <c r="GSJ29" s="609"/>
      <c r="GSK29" s="609"/>
      <c r="GSL29" s="609"/>
      <c r="GSM29" s="609"/>
      <c r="GSN29" s="609"/>
      <c r="GSO29" s="609"/>
      <c r="GSP29" s="609"/>
      <c r="GSQ29" s="609"/>
      <c r="GSR29" s="609"/>
      <c r="GSS29" s="609"/>
      <c r="GST29" s="609"/>
      <c r="GSU29" s="609"/>
      <c r="GSV29" s="609"/>
      <c r="GSW29" s="609"/>
      <c r="GSX29" s="609"/>
      <c r="GSY29" s="609"/>
      <c r="GSZ29" s="609"/>
      <c r="GTA29" s="609"/>
      <c r="GTB29" s="609"/>
      <c r="GTC29" s="609"/>
      <c r="GTD29" s="609"/>
      <c r="GTE29" s="609"/>
      <c r="GTF29" s="609"/>
      <c r="GTG29" s="609"/>
      <c r="GTH29" s="609"/>
      <c r="GTI29" s="609"/>
      <c r="GTJ29" s="609"/>
      <c r="GTK29" s="609"/>
      <c r="GTL29" s="609"/>
      <c r="GTM29" s="609"/>
      <c r="GTN29" s="609"/>
      <c r="GTO29" s="609"/>
      <c r="GTP29" s="609"/>
      <c r="GTQ29" s="609"/>
      <c r="GTR29" s="609"/>
      <c r="GTS29" s="609"/>
      <c r="GTT29" s="609"/>
      <c r="GTU29" s="609"/>
      <c r="GTV29" s="609"/>
      <c r="GTW29" s="609"/>
      <c r="GTX29" s="609"/>
      <c r="GTY29" s="609"/>
      <c r="GTZ29" s="609"/>
      <c r="GUA29" s="609"/>
      <c r="GUB29" s="609"/>
      <c r="GUC29" s="609"/>
      <c r="GUD29" s="609"/>
      <c r="GUE29" s="609"/>
      <c r="GUF29" s="609"/>
      <c r="GUG29" s="609"/>
      <c r="GUH29" s="609"/>
      <c r="GUI29" s="609"/>
      <c r="GUJ29" s="609"/>
      <c r="GUK29" s="609"/>
      <c r="GUL29" s="609"/>
      <c r="GUM29" s="609"/>
      <c r="GUN29" s="609"/>
      <c r="GUO29" s="609"/>
      <c r="GUP29" s="609"/>
      <c r="GUQ29" s="609"/>
      <c r="GUR29" s="609"/>
      <c r="GUS29" s="609"/>
      <c r="GUT29" s="609"/>
      <c r="GUU29" s="609"/>
      <c r="GUV29" s="609"/>
      <c r="GUW29" s="609"/>
      <c r="GUX29" s="609"/>
      <c r="GUY29" s="609"/>
      <c r="GUZ29" s="609"/>
      <c r="GVA29" s="609"/>
      <c r="GVB29" s="609"/>
      <c r="GVC29" s="609"/>
      <c r="GVD29" s="609"/>
      <c r="GVE29" s="609"/>
      <c r="GVF29" s="609"/>
      <c r="GVG29" s="609"/>
      <c r="GVH29" s="609"/>
      <c r="GVI29" s="609"/>
      <c r="GVJ29" s="609"/>
      <c r="GVK29" s="609"/>
      <c r="GVL29" s="609"/>
      <c r="GVM29" s="609"/>
      <c r="GVN29" s="609"/>
      <c r="GVO29" s="609"/>
      <c r="GVP29" s="609"/>
      <c r="GVQ29" s="609"/>
      <c r="GVR29" s="609"/>
      <c r="GVS29" s="609"/>
      <c r="GVT29" s="609"/>
      <c r="GVU29" s="609"/>
      <c r="GVV29" s="609"/>
      <c r="GVW29" s="609"/>
      <c r="GVX29" s="609"/>
      <c r="GVY29" s="609"/>
      <c r="GVZ29" s="609"/>
      <c r="GWA29" s="609"/>
      <c r="GWB29" s="609"/>
      <c r="GWC29" s="609"/>
      <c r="GWD29" s="609"/>
      <c r="GWE29" s="609"/>
      <c r="GWF29" s="609"/>
      <c r="GWG29" s="609"/>
      <c r="GWH29" s="609"/>
      <c r="GWI29" s="609"/>
      <c r="GWJ29" s="609"/>
      <c r="GWK29" s="609"/>
      <c r="GWL29" s="609"/>
      <c r="GWM29" s="609"/>
      <c r="GWN29" s="609"/>
      <c r="GWO29" s="609"/>
      <c r="GWP29" s="609"/>
      <c r="GWQ29" s="609"/>
      <c r="GWR29" s="609"/>
      <c r="GWS29" s="609"/>
      <c r="GWT29" s="609"/>
      <c r="GWU29" s="609"/>
      <c r="GWV29" s="609"/>
      <c r="GWW29" s="609"/>
      <c r="GWX29" s="609"/>
      <c r="GWY29" s="609"/>
      <c r="GWZ29" s="609"/>
      <c r="GXA29" s="609"/>
      <c r="GXB29" s="609"/>
      <c r="GXC29" s="609"/>
      <c r="GXD29" s="609"/>
      <c r="GXE29" s="609"/>
      <c r="GXF29" s="609"/>
      <c r="GXG29" s="609"/>
      <c r="GXH29" s="609"/>
      <c r="GXI29" s="609"/>
      <c r="GXJ29" s="609"/>
      <c r="GXK29" s="609"/>
      <c r="GXL29" s="609"/>
      <c r="GXM29" s="609"/>
      <c r="GXN29" s="609"/>
      <c r="GXO29" s="609"/>
      <c r="GXP29" s="609"/>
      <c r="GXQ29" s="609"/>
      <c r="GXR29" s="609"/>
      <c r="GXS29" s="609"/>
      <c r="GXT29" s="609"/>
      <c r="GXU29" s="609"/>
      <c r="GXV29" s="609"/>
      <c r="GXW29" s="609"/>
      <c r="GXX29" s="609"/>
      <c r="GXY29" s="609"/>
      <c r="GXZ29" s="609"/>
      <c r="GYA29" s="609"/>
      <c r="GYB29" s="609"/>
      <c r="GYC29" s="609"/>
      <c r="GYD29" s="609"/>
      <c r="GYE29" s="609"/>
      <c r="GYF29" s="609"/>
      <c r="GYG29" s="609"/>
      <c r="GYH29" s="609"/>
      <c r="GYI29" s="609"/>
      <c r="GYJ29" s="609"/>
      <c r="GYK29" s="609"/>
      <c r="GYL29" s="609"/>
      <c r="GYM29" s="609"/>
      <c r="GYN29" s="609"/>
      <c r="GYO29" s="609"/>
      <c r="GYP29" s="609"/>
      <c r="GYQ29" s="609"/>
      <c r="GYR29" s="609"/>
      <c r="GYS29" s="609"/>
      <c r="GYT29" s="609"/>
      <c r="GYU29" s="609"/>
      <c r="GYV29" s="609"/>
      <c r="GYW29" s="609"/>
      <c r="GYX29" s="609"/>
      <c r="GYY29" s="609"/>
      <c r="GYZ29" s="609"/>
      <c r="GZA29" s="609"/>
      <c r="GZB29" s="609"/>
      <c r="GZC29" s="609"/>
      <c r="GZD29" s="609"/>
      <c r="GZE29" s="609"/>
      <c r="GZF29" s="609"/>
      <c r="GZG29" s="609"/>
      <c r="GZH29" s="609"/>
      <c r="GZI29" s="609"/>
      <c r="GZJ29" s="609"/>
      <c r="GZK29" s="609"/>
      <c r="GZL29" s="609"/>
      <c r="GZM29" s="609"/>
      <c r="GZN29" s="609"/>
      <c r="GZO29" s="609"/>
      <c r="GZP29" s="609"/>
      <c r="GZQ29" s="609"/>
      <c r="GZR29" s="609"/>
      <c r="GZS29" s="609"/>
      <c r="GZT29" s="609"/>
      <c r="GZU29" s="609"/>
      <c r="GZV29" s="609"/>
      <c r="GZW29" s="609"/>
      <c r="GZX29" s="609"/>
      <c r="GZY29" s="609"/>
      <c r="GZZ29" s="609"/>
      <c r="HAA29" s="609"/>
      <c r="HAB29" s="609"/>
      <c r="HAC29" s="609"/>
      <c r="HAD29" s="609"/>
      <c r="HAE29" s="609"/>
      <c r="HAF29" s="609"/>
      <c r="HAG29" s="609"/>
      <c r="HAH29" s="609"/>
      <c r="HAI29" s="609"/>
      <c r="HAJ29" s="609"/>
      <c r="HAK29" s="609"/>
      <c r="HAL29" s="609"/>
      <c r="HAM29" s="609"/>
      <c r="HAN29" s="609"/>
      <c r="HAO29" s="609"/>
      <c r="HAP29" s="609"/>
      <c r="HAQ29" s="609"/>
      <c r="HAR29" s="609"/>
      <c r="HAS29" s="609"/>
      <c r="HAT29" s="609"/>
      <c r="HAU29" s="609"/>
      <c r="HAV29" s="609"/>
      <c r="HAW29" s="609"/>
      <c r="HAX29" s="609"/>
      <c r="HAY29" s="609"/>
      <c r="HAZ29" s="609"/>
      <c r="HBA29" s="609"/>
      <c r="HBB29" s="609"/>
      <c r="HBC29" s="609"/>
      <c r="HBD29" s="609"/>
      <c r="HBE29" s="609"/>
      <c r="HBF29" s="609"/>
      <c r="HBG29" s="609"/>
      <c r="HBH29" s="609"/>
      <c r="HBI29" s="609"/>
      <c r="HBJ29" s="609"/>
      <c r="HBK29" s="609"/>
      <c r="HBL29" s="609"/>
      <c r="HBM29" s="609"/>
      <c r="HBN29" s="609"/>
      <c r="HBO29" s="609"/>
      <c r="HBP29" s="609"/>
      <c r="HBQ29" s="609"/>
      <c r="HBR29" s="609"/>
      <c r="HBS29" s="609"/>
      <c r="HBT29" s="609"/>
      <c r="HBU29" s="609"/>
      <c r="HBV29" s="609"/>
      <c r="HBW29" s="609"/>
      <c r="HBX29" s="609"/>
      <c r="HBY29" s="609"/>
      <c r="HBZ29" s="609"/>
      <c r="HCA29" s="609"/>
      <c r="HCB29" s="609"/>
      <c r="HCC29" s="609"/>
      <c r="HCD29" s="609"/>
      <c r="HCE29" s="609"/>
      <c r="HCF29" s="609"/>
      <c r="HCG29" s="609"/>
      <c r="HCH29" s="609"/>
      <c r="HCI29" s="609"/>
      <c r="HCJ29" s="609"/>
      <c r="HCK29" s="609"/>
      <c r="HCL29" s="609"/>
      <c r="HCM29" s="609"/>
      <c r="HCN29" s="609"/>
      <c r="HCO29" s="609"/>
      <c r="HCP29" s="609"/>
      <c r="HCQ29" s="609"/>
      <c r="HCR29" s="609"/>
      <c r="HCS29" s="609"/>
      <c r="HCT29" s="609"/>
      <c r="HCU29" s="609"/>
      <c r="HCV29" s="609"/>
      <c r="HCW29" s="609"/>
      <c r="HCX29" s="609"/>
      <c r="HCY29" s="609"/>
      <c r="HCZ29" s="609"/>
      <c r="HDA29" s="609"/>
      <c r="HDB29" s="609"/>
      <c r="HDC29" s="609"/>
      <c r="HDD29" s="609"/>
      <c r="HDE29" s="609"/>
      <c r="HDF29" s="609"/>
      <c r="HDG29" s="609"/>
      <c r="HDH29" s="609"/>
      <c r="HDI29" s="609"/>
      <c r="HDJ29" s="609"/>
      <c r="HDK29" s="609"/>
      <c r="HDL29" s="609"/>
      <c r="HDM29" s="609"/>
      <c r="HDN29" s="609"/>
      <c r="HDO29" s="609"/>
      <c r="HDP29" s="609"/>
      <c r="HDQ29" s="609"/>
      <c r="HDR29" s="609"/>
      <c r="HDS29" s="609"/>
      <c r="HDT29" s="609"/>
      <c r="HDU29" s="609"/>
      <c r="HDV29" s="609"/>
      <c r="HDW29" s="609"/>
      <c r="HDX29" s="609"/>
      <c r="HDY29" s="609"/>
      <c r="HDZ29" s="609"/>
      <c r="HEA29" s="609"/>
      <c r="HEB29" s="609"/>
      <c r="HEC29" s="609"/>
      <c r="HED29" s="609"/>
      <c r="HEE29" s="609"/>
      <c r="HEF29" s="609"/>
      <c r="HEG29" s="609"/>
      <c r="HEH29" s="609"/>
      <c r="HEI29" s="609"/>
      <c r="HEJ29" s="609"/>
      <c r="HEK29" s="609"/>
      <c r="HEL29" s="609"/>
      <c r="HEM29" s="609"/>
      <c r="HEN29" s="609"/>
      <c r="HEO29" s="609"/>
      <c r="HEP29" s="609"/>
      <c r="HEQ29" s="609"/>
      <c r="HER29" s="609"/>
      <c r="HES29" s="609"/>
      <c r="HET29" s="609"/>
      <c r="HEU29" s="609"/>
      <c r="HEV29" s="609"/>
      <c r="HEW29" s="609"/>
      <c r="HEX29" s="609"/>
      <c r="HEY29" s="609"/>
      <c r="HEZ29" s="609"/>
      <c r="HFA29" s="609"/>
      <c r="HFB29" s="609"/>
      <c r="HFC29" s="609"/>
      <c r="HFD29" s="609"/>
      <c r="HFE29" s="609"/>
      <c r="HFF29" s="609"/>
      <c r="HFG29" s="609"/>
      <c r="HFH29" s="609"/>
      <c r="HFI29" s="609"/>
      <c r="HFJ29" s="609"/>
      <c r="HFK29" s="609"/>
      <c r="HFL29" s="609"/>
      <c r="HFM29" s="609"/>
      <c r="HFN29" s="609"/>
      <c r="HFO29" s="609"/>
      <c r="HFP29" s="609"/>
      <c r="HFQ29" s="609"/>
      <c r="HFR29" s="609"/>
      <c r="HFS29" s="609"/>
      <c r="HFT29" s="609"/>
      <c r="HFU29" s="609"/>
      <c r="HFV29" s="609"/>
      <c r="HFW29" s="609"/>
      <c r="HFX29" s="609"/>
      <c r="HFY29" s="609"/>
      <c r="HFZ29" s="609"/>
      <c r="HGA29" s="609"/>
      <c r="HGB29" s="609"/>
      <c r="HGC29" s="609"/>
      <c r="HGD29" s="609"/>
      <c r="HGE29" s="609"/>
      <c r="HGF29" s="609"/>
      <c r="HGG29" s="609"/>
      <c r="HGH29" s="609"/>
      <c r="HGI29" s="609"/>
      <c r="HGJ29" s="609"/>
      <c r="HGK29" s="609"/>
      <c r="HGL29" s="609"/>
      <c r="HGM29" s="609"/>
      <c r="HGN29" s="609"/>
      <c r="HGO29" s="609"/>
      <c r="HGP29" s="609"/>
      <c r="HGQ29" s="609"/>
      <c r="HGR29" s="609"/>
      <c r="HGS29" s="609"/>
      <c r="HGT29" s="609"/>
      <c r="HGU29" s="609"/>
      <c r="HGV29" s="609"/>
      <c r="HGW29" s="609"/>
      <c r="HGX29" s="609"/>
      <c r="HGY29" s="609"/>
      <c r="HGZ29" s="609"/>
      <c r="HHA29" s="609"/>
      <c r="HHB29" s="609"/>
      <c r="HHC29" s="609"/>
      <c r="HHD29" s="609"/>
      <c r="HHE29" s="609"/>
      <c r="HHF29" s="609"/>
      <c r="HHG29" s="609"/>
      <c r="HHH29" s="609"/>
      <c r="HHI29" s="609"/>
      <c r="HHJ29" s="609"/>
      <c r="HHK29" s="609"/>
      <c r="HHL29" s="609"/>
      <c r="HHM29" s="609"/>
      <c r="HHN29" s="609"/>
      <c r="HHO29" s="609"/>
      <c r="HHP29" s="609"/>
      <c r="HHQ29" s="609"/>
      <c r="HHR29" s="609"/>
      <c r="HHS29" s="609"/>
      <c r="HHT29" s="609"/>
      <c r="HHU29" s="609"/>
      <c r="HHV29" s="609"/>
      <c r="HHW29" s="609"/>
      <c r="HHX29" s="609"/>
      <c r="HHY29" s="609"/>
      <c r="HHZ29" s="609"/>
      <c r="HIA29" s="609"/>
      <c r="HIB29" s="609"/>
      <c r="HIC29" s="609"/>
      <c r="HID29" s="609"/>
      <c r="HIE29" s="609"/>
      <c r="HIF29" s="609"/>
      <c r="HIG29" s="609"/>
      <c r="HIH29" s="609"/>
      <c r="HII29" s="609"/>
      <c r="HIJ29" s="609"/>
      <c r="HIK29" s="609"/>
      <c r="HIL29" s="609"/>
      <c r="HIM29" s="609"/>
      <c r="HIN29" s="609"/>
      <c r="HIO29" s="609"/>
      <c r="HIP29" s="609"/>
      <c r="HIQ29" s="609"/>
      <c r="HIR29" s="609"/>
      <c r="HIS29" s="609"/>
      <c r="HIT29" s="609"/>
      <c r="HIU29" s="609"/>
      <c r="HIV29" s="609"/>
      <c r="HIW29" s="609"/>
      <c r="HIX29" s="609"/>
      <c r="HIY29" s="609"/>
      <c r="HIZ29" s="609"/>
      <c r="HJA29" s="609"/>
      <c r="HJB29" s="609"/>
      <c r="HJC29" s="609"/>
      <c r="HJD29" s="609"/>
      <c r="HJE29" s="609"/>
      <c r="HJF29" s="609"/>
      <c r="HJG29" s="609"/>
      <c r="HJH29" s="609"/>
      <c r="HJI29" s="609"/>
      <c r="HJJ29" s="609"/>
      <c r="HJK29" s="609"/>
      <c r="HJL29" s="609"/>
      <c r="HJM29" s="609"/>
      <c r="HJN29" s="609"/>
      <c r="HJO29" s="609"/>
      <c r="HJP29" s="609"/>
      <c r="HJQ29" s="609"/>
      <c r="HJR29" s="609"/>
      <c r="HJS29" s="609"/>
      <c r="HJT29" s="609"/>
      <c r="HJU29" s="609"/>
      <c r="HJV29" s="609"/>
      <c r="HJW29" s="609"/>
      <c r="HJX29" s="609"/>
      <c r="HJY29" s="609"/>
      <c r="HJZ29" s="609"/>
      <c r="HKA29" s="609"/>
      <c r="HKB29" s="609"/>
      <c r="HKC29" s="609"/>
      <c r="HKD29" s="609"/>
      <c r="HKE29" s="609"/>
      <c r="HKF29" s="609"/>
      <c r="HKG29" s="609"/>
      <c r="HKH29" s="609"/>
      <c r="HKI29" s="609"/>
      <c r="HKJ29" s="609"/>
      <c r="HKK29" s="609"/>
      <c r="HKL29" s="609"/>
      <c r="HKM29" s="609"/>
      <c r="HKN29" s="609"/>
      <c r="HKO29" s="609"/>
      <c r="HKP29" s="609"/>
      <c r="HKQ29" s="609"/>
      <c r="HKR29" s="609"/>
      <c r="HKS29" s="609"/>
      <c r="HKT29" s="609"/>
      <c r="HKU29" s="609"/>
      <c r="HKV29" s="609"/>
      <c r="HKW29" s="609"/>
      <c r="HKX29" s="609"/>
      <c r="HKY29" s="609"/>
      <c r="HKZ29" s="609"/>
      <c r="HLA29" s="609"/>
      <c r="HLB29" s="609"/>
      <c r="HLC29" s="609"/>
      <c r="HLD29" s="609"/>
      <c r="HLE29" s="609"/>
      <c r="HLF29" s="609"/>
      <c r="HLG29" s="609"/>
      <c r="HLH29" s="609"/>
      <c r="HLI29" s="609"/>
      <c r="HLJ29" s="609"/>
      <c r="HLK29" s="609"/>
      <c r="HLL29" s="609"/>
      <c r="HLM29" s="609"/>
      <c r="HLN29" s="609"/>
      <c r="HLO29" s="609"/>
      <c r="HLP29" s="609"/>
      <c r="HLQ29" s="609"/>
      <c r="HLR29" s="609"/>
      <c r="HLS29" s="609"/>
      <c r="HLT29" s="609"/>
      <c r="HLU29" s="609"/>
      <c r="HLV29" s="609"/>
      <c r="HLW29" s="609"/>
      <c r="HLX29" s="609"/>
      <c r="HLY29" s="609"/>
      <c r="HLZ29" s="609"/>
      <c r="HMA29" s="609"/>
      <c r="HMB29" s="609"/>
      <c r="HMC29" s="609"/>
      <c r="HMD29" s="609"/>
      <c r="HME29" s="609"/>
      <c r="HMF29" s="609"/>
      <c r="HMG29" s="609"/>
      <c r="HMH29" s="609"/>
      <c r="HMI29" s="609"/>
      <c r="HMJ29" s="609"/>
      <c r="HMK29" s="609"/>
      <c r="HML29" s="609"/>
      <c r="HMM29" s="609"/>
      <c r="HMN29" s="609"/>
      <c r="HMO29" s="609"/>
      <c r="HMP29" s="609"/>
      <c r="HMQ29" s="609"/>
      <c r="HMR29" s="609"/>
      <c r="HMS29" s="609"/>
      <c r="HMT29" s="609"/>
      <c r="HMU29" s="609"/>
      <c r="HMV29" s="609"/>
      <c r="HMW29" s="609"/>
      <c r="HMX29" s="609"/>
      <c r="HMY29" s="609"/>
      <c r="HMZ29" s="609"/>
      <c r="HNA29" s="609"/>
      <c r="HNB29" s="609"/>
      <c r="HNC29" s="609"/>
      <c r="HND29" s="609"/>
      <c r="HNE29" s="609"/>
      <c r="HNF29" s="609"/>
      <c r="HNG29" s="609"/>
      <c r="HNH29" s="609"/>
      <c r="HNI29" s="609"/>
      <c r="HNJ29" s="609"/>
      <c r="HNK29" s="609"/>
      <c r="HNL29" s="609"/>
      <c r="HNM29" s="609"/>
      <c r="HNN29" s="609"/>
      <c r="HNO29" s="609"/>
      <c r="HNP29" s="609"/>
      <c r="HNQ29" s="609"/>
      <c r="HNR29" s="609"/>
      <c r="HNS29" s="609"/>
      <c r="HNT29" s="609"/>
      <c r="HNU29" s="609"/>
      <c r="HNV29" s="609"/>
      <c r="HNW29" s="609"/>
      <c r="HNX29" s="609"/>
      <c r="HNY29" s="609"/>
      <c r="HNZ29" s="609"/>
      <c r="HOA29" s="609"/>
      <c r="HOB29" s="609"/>
      <c r="HOC29" s="609"/>
      <c r="HOD29" s="609"/>
      <c r="HOE29" s="609"/>
      <c r="HOF29" s="609"/>
      <c r="HOG29" s="609"/>
      <c r="HOH29" s="609"/>
      <c r="HOI29" s="609"/>
      <c r="HOJ29" s="609"/>
      <c r="HOK29" s="609"/>
      <c r="HOL29" s="609"/>
      <c r="HOM29" s="609"/>
      <c r="HON29" s="609"/>
      <c r="HOO29" s="609"/>
      <c r="HOP29" s="609"/>
      <c r="HOQ29" s="609"/>
      <c r="HOR29" s="609"/>
      <c r="HOS29" s="609"/>
      <c r="HOT29" s="609"/>
      <c r="HOU29" s="609"/>
      <c r="HOV29" s="609"/>
      <c r="HOW29" s="609"/>
      <c r="HOX29" s="609"/>
      <c r="HOY29" s="609"/>
      <c r="HOZ29" s="609"/>
      <c r="HPA29" s="609"/>
      <c r="HPB29" s="609"/>
      <c r="HPC29" s="609"/>
      <c r="HPD29" s="609"/>
      <c r="HPE29" s="609"/>
      <c r="HPF29" s="609"/>
      <c r="HPG29" s="609"/>
      <c r="HPH29" s="609"/>
      <c r="HPI29" s="609"/>
      <c r="HPJ29" s="609"/>
      <c r="HPK29" s="609"/>
      <c r="HPL29" s="609"/>
      <c r="HPM29" s="609"/>
      <c r="HPN29" s="609"/>
      <c r="HPO29" s="609"/>
      <c r="HPP29" s="609"/>
      <c r="HPQ29" s="609"/>
      <c r="HPR29" s="609"/>
      <c r="HPS29" s="609"/>
      <c r="HPT29" s="609"/>
      <c r="HPU29" s="609"/>
      <c r="HPV29" s="609"/>
      <c r="HPW29" s="609"/>
      <c r="HPX29" s="609"/>
      <c r="HPY29" s="609"/>
      <c r="HPZ29" s="609"/>
      <c r="HQA29" s="609"/>
      <c r="HQB29" s="609"/>
      <c r="HQC29" s="609"/>
      <c r="HQD29" s="609"/>
      <c r="HQE29" s="609"/>
      <c r="HQF29" s="609"/>
      <c r="HQG29" s="609"/>
      <c r="HQH29" s="609"/>
      <c r="HQI29" s="609"/>
      <c r="HQJ29" s="609"/>
      <c r="HQK29" s="609"/>
      <c r="HQL29" s="609"/>
      <c r="HQM29" s="609"/>
      <c r="HQN29" s="609"/>
      <c r="HQO29" s="609"/>
      <c r="HQP29" s="609"/>
      <c r="HQQ29" s="609"/>
      <c r="HQR29" s="609"/>
      <c r="HQS29" s="609"/>
      <c r="HQT29" s="609"/>
      <c r="HQU29" s="609"/>
      <c r="HQV29" s="609"/>
      <c r="HQW29" s="609"/>
      <c r="HQX29" s="609"/>
      <c r="HQY29" s="609"/>
      <c r="HQZ29" s="609"/>
      <c r="HRA29" s="609"/>
      <c r="HRB29" s="609"/>
      <c r="HRC29" s="609"/>
      <c r="HRD29" s="609"/>
      <c r="HRE29" s="609"/>
      <c r="HRF29" s="609"/>
      <c r="HRG29" s="609"/>
      <c r="HRH29" s="609"/>
      <c r="HRI29" s="609"/>
      <c r="HRJ29" s="609"/>
      <c r="HRK29" s="609"/>
      <c r="HRL29" s="609"/>
      <c r="HRM29" s="609"/>
      <c r="HRN29" s="609"/>
      <c r="HRO29" s="609"/>
      <c r="HRP29" s="609"/>
      <c r="HRQ29" s="609"/>
      <c r="HRR29" s="609"/>
      <c r="HRS29" s="609"/>
      <c r="HRT29" s="609"/>
      <c r="HRU29" s="609"/>
      <c r="HRV29" s="609"/>
      <c r="HRW29" s="609"/>
      <c r="HRX29" s="609"/>
      <c r="HRY29" s="609"/>
      <c r="HRZ29" s="609"/>
      <c r="HSA29" s="609"/>
      <c r="HSB29" s="609"/>
      <c r="HSC29" s="609"/>
      <c r="HSD29" s="609"/>
      <c r="HSE29" s="609"/>
      <c r="HSF29" s="609"/>
      <c r="HSG29" s="609"/>
      <c r="HSH29" s="609"/>
      <c r="HSI29" s="609"/>
      <c r="HSJ29" s="609"/>
      <c r="HSK29" s="609"/>
      <c r="HSL29" s="609"/>
      <c r="HSM29" s="609"/>
      <c r="HSN29" s="609"/>
      <c r="HSO29" s="609"/>
      <c r="HSP29" s="609"/>
      <c r="HSQ29" s="609"/>
      <c r="HSR29" s="609"/>
      <c r="HSS29" s="609"/>
      <c r="HST29" s="609"/>
      <c r="HSU29" s="609"/>
      <c r="HSV29" s="609"/>
      <c r="HSW29" s="609"/>
      <c r="HSX29" s="609"/>
      <c r="HSY29" s="609"/>
      <c r="HSZ29" s="609"/>
      <c r="HTA29" s="609"/>
      <c r="HTB29" s="609"/>
      <c r="HTC29" s="609"/>
      <c r="HTD29" s="609"/>
      <c r="HTE29" s="609"/>
      <c r="HTF29" s="609"/>
      <c r="HTG29" s="609"/>
      <c r="HTH29" s="609"/>
      <c r="HTI29" s="609"/>
      <c r="HTJ29" s="609"/>
      <c r="HTK29" s="609"/>
      <c r="HTL29" s="609"/>
      <c r="HTM29" s="609"/>
      <c r="HTN29" s="609"/>
      <c r="HTO29" s="609"/>
      <c r="HTP29" s="609"/>
      <c r="HTQ29" s="609"/>
      <c r="HTR29" s="609"/>
      <c r="HTS29" s="609"/>
      <c r="HTT29" s="609"/>
      <c r="HTU29" s="609"/>
      <c r="HTV29" s="609"/>
      <c r="HTW29" s="609"/>
      <c r="HTX29" s="609"/>
      <c r="HTY29" s="609"/>
      <c r="HTZ29" s="609"/>
      <c r="HUA29" s="609"/>
      <c r="HUB29" s="609"/>
      <c r="HUC29" s="609"/>
      <c r="HUD29" s="609"/>
      <c r="HUE29" s="609"/>
      <c r="HUF29" s="609"/>
      <c r="HUG29" s="609"/>
      <c r="HUH29" s="609"/>
      <c r="HUI29" s="609"/>
      <c r="HUJ29" s="609"/>
      <c r="HUK29" s="609"/>
      <c r="HUL29" s="609"/>
      <c r="HUM29" s="609"/>
      <c r="HUN29" s="609"/>
      <c r="HUO29" s="609"/>
      <c r="HUP29" s="609"/>
      <c r="HUQ29" s="609"/>
      <c r="HUR29" s="609"/>
      <c r="HUS29" s="609"/>
      <c r="HUT29" s="609"/>
      <c r="HUU29" s="609"/>
      <c r="HUV29" s="609"/>
      <c r="HUW29" s="609"/>
      <c r="HUX29" s="609"/>
      <c r="HUY29" s="609"/>
      <c r="HUZ29" s="609"/>
      <c r="HVA29" s="609"/>
      <c r="HVB29" s="609"/>
      <c r="HVC29" s="609"/>
      <c r="HVD29" s="609"/>
      <c r="HVE29" s="609"/>
      <c r="HVF29" s="609"/>
      <c r="HVG29" s="609"/>
      <c r="HVH29" s="609"/>
      <c r="HVI29" s="609"/>
      <c r="HVJ29" s="609"/>
      <c r="HVK29" s="609"/>
      <c r="HVL29" s="609"/>
      <c r="HVM29" s="609"/>
      <c r="HVN29" s="609"/>
      <c r="HVO29" s="609"/>
      <c r="HVP29" s="609"/>
      <c r="HVQ29" s="609"/>
      <c r="HVR29" s="609"/>
      <c r="HVS29" s="609"/>
      <c r="HVT29" s="609"/>
      <c r="HVU29" s="609"/>
      <c r="HVV29" s="609"/>
      <c r="HVW29" s="609"/>
      <c r="HVX29" s="609"/>
      <c r="HVY29" s="609"/>
      <c r="HVZ29" s="609"/>
      <c r="HWA29" s="609"/>
      <c r="HWB29" s="609"/>
      <c r="HWC29" s="609"/>
      <c r="HWD29" s="609"/>
      <c r="HWE29" s="609"/>
      <c r="HWF29" s="609"/>
      <c r="HWG29" s="609"/>
      <c r="HWH29" s="609"/>
      <c r="HWI29" s="609"/>
      <c r="HWJ29" s="609"/>
      <c r="HWK29" s="609"/>
      <c r="HWL29" s="609"/>
      <c r="HWM29" s="609"/>
      <c r="HWN29" s="609"/>
      <c r="HWO29" s="609"/>
      <c r="HWP29" s="609"/>
      <c r="HWQ29" s="609"/>
      <c r="HWR29" s="609"/>
      <c r="HWS29" s="609"/>
      <c r="HWT29" s="609"/>
      <c r="HWU29" s="609"/>
      <c r="HWV29" s="609"/>
      <c r="HWW29" s="609"/>
      <c r="HWX29" s="609"/>
      <c r="HWY29" s="609"/>
      <c r="HWZ29" s="609"/>
      <c r="HXA29" s="609"/>
      <c r="HXB29" s="609"/>
      <c r="HXC29" s="609"/>
      <c r="HXD29" s="609"/>
      <c r="HXE29" s="609"/>
      <c r="HXF29" s="609"/>
      <c r="HXG29" s="609"/>
      <c r="HXH29" s="609"/>
      <c r="HXI29" s="609"/>
      <c r="HXJ29" s="609"/>
      <c r="HXK29" s="609"/>
      <c r="HXL29" s="609"/>
      <c r="HXM29" s="609"/>
      <c r="HXN29" s="609"/>
      <c r="HXO29" s="609"/>
      <c r="HXP29" s="609"/>
      <c r="HXQ29" s="609"/>
      <c r="HXR29" s="609"/>
      <c r="HXS29" s="609"/>
      <c r="HXT29" s="609"/>
      <c r="HXU29" s="609"/>
      <c r="HXV29" s="609"/>
      <c r="HXW29" s="609"/>
      <c r="HXX29" s="609"/>
      <c r="HXY29" s="609"/>
      <c r="HXZ29" s="609"/>
      <c r="HYA29" s="609"/>
      <c r="HYB29" s="609"/>
      <c r="HYC29" s="609"/>
      <c r="HYD29" s="609"/>
      <c r="HYE29" s="609"/>
      <c r="HYF29" s="609"/>
      <c r="HYG29" s="609"/>
      <c r="HYH29" s="609"/>
      <c r="HYI29" s="609"/>
      <c r="HYJ29" s="609"/>
      <c r="HYK29" s="609"/>
      <c r="HYL29" s="609"/>
      <c r="HYM29" s="609"/>
      <c r="HYN29" s="609"/>
      <c r="HYO29" s="609"/>
      <c r="HYP29" s="609"/>
      <c r="HYQ29" s="609"/>
      <c r="HYR29" s="609"/>
      <c r="HYS29" s="609"/>
      <c r="HYT29" s="609"/>
      <c r="HYU29" s="609"/>
      <c r="HYV29" s="609"/>
      <c r="HYW29" s="609"/>
      <c r="HYX29" s="609"/>
      <c r="HYY29" s="609"/>
      <c r="HYZ29" s="609"/>
      <c r="HZA29" s="609"/>
      <c r="HZB29" s="609"/>
      <c r="HZC29" s="609"/>
      <c r="HZD29" s="609"/>
      <c r="HZE29" s="609"/>
      <c r="HZF29" s="609"/>
      <c r="HZG29" s="609"/>
      <c r="HZH29" s="609"/>
      <c r="HZI29" s="609"/>
      <c r="HZJ29" s="609"/>
      <c r="HZK29" s="609"/>
      <c r="HZL29" s="609"/>
      <c r="HZM29" s="609"/>
      <c r="HZN29" s="609"/>
      <c r="HZO29" s="609"/>
      <c r="HZP29" s="609"/>
      <c r="HZQ29" s="609"/>
      <c r="HZR29" s="609"/>
      <c r="HZS29" s="609"/>
      <c r="HZT29" s="609"/>
      <c r="HZU29" s="609"/>
      <c r="HZV29" s="609"/>
      <c r="HZW29" s="609"/>
      <c r="HZX29" s="609"/>
      <c r="HZY29" s="609"/>
      <c r="HZZ29" s="609"/>
      <c r="IAA29" s="609"/>
      <c r="IAB29" s="609"/>
      <c r="IAC29" s="609"/>
      <c r="IAD29" s="609"/>
      <c r="IAE29" s="609"/>
      <c r="IAF29" s="609"/>
      <c r="IAG29" s="609"/>
      <c r="IAH29" s="609"/>
      <c r="IAI29" s="609"/>
      <c r="IAJ29" s="609"/>
      <c r="IAK29" s="609"/>
      <c r="IAL29" s="609"/>
      <c r="IAM29" s="609"/>
      <c r="IAN29" s="609"/>
      <c r="IAO29" s="609"/>
      <c r="IAP29" s="609"/>
      <c r="IAQ29" s="609"/>
      <c r="IAR29" s="609"/>
      <c r="IAS29" s="609"/>
      <c r="IAT29" s="609"/>
      <c r="IAU29" s="609"/>
      <c r="IAV29" s="609"/>
      <c r="IAW29" s="609"/>
      <c r="IAX29" s="609"/>
      <c r="IAY29" s="609"/>
      <c r="IAZ29" s="609"/>
      <c r="IBA29" s="609"/>
      <c r="IBB29" s="609"/>
      <c r="IBC29" s="609"/>
      <c r="IBD29" s="609"/>
      <c r="IBE29" s="609"/>
      <c r="IBF29" s="609"/>
      <c r="IBG29" s="609"/>
      <c r="IBH29" s="609"/>
      <c r="IBI29" s="609"/>
      <c r="IBJ29" s="609"/>
      <c r="IBK29" s="609"/>
      <c r="IBL29" s="609"/>
      <c r="IBM29" s="609"/>
      <c r="IBN29" s="609"/>
      <c r="IBO29" s="609"/>
      <c r="IBP29" s="609"/>
      <c r="IBQ29" s="609"/>
      <c r="IBR29" s="609"/>
      <c r="IBS29" s="609"/>
      <c r="IBT29" s="609"/>
      <c r="IBU29" s="609"/>
      <c r="IBV29" s="609"/>
      <c r="IBW29" s="609"/>
      <c r="IBX29" s="609"/>
      <c r="IBY29" s="609"/>
      <c r="IBZ29" s="609"/>
      <c r="ICA29" s="609"/>
      <c r="ICB29" s="609"/>
      <c r="ICC29" s="609"/>
      <c r="ICD29" s="609"/>
      <c r="ICE29" s="609"/>
      <c r="ICF29" s="609"/>
      <c r="ICG29" s="609"/>
      <c r="ICH29" s="609"/>
      <c r="ICI29" s="609"/>
      <c r="ICJ29" s="609"/>
      <c r="ICK29" s="609"/>
      <c r="ICL29" s="609"/>
      <c r="ICM29" s="609"/>
      <c r="ICN29" s="609"/>
      <c r="ICO29" s="609"/>
      <c r="ICP29" s="609"/>
      <c r="ICQ29" s="609"/>
      <c r="ICR29" s="609"/>
      <c r="ICS29" s="609"/>
      <c r="ICT29" s="609"/>
      <c r="ICU29" s="609"/>
      <c r="ICV29" s="609"/>
      <c r="ICW29" s="609"/>
      <c r="ICX29" s="609"/>
      <c r="ICY29" s="609"/>
      <c r="ICZ29" s="609"/>
      <c r="IDA29" s="609"/>
      <c r="IDB29" s="609"/>
      <c r="IDC29" s="609"/>
      <c r="IDD29" s="609"/>
      <c r="IDE29" s="609"/>
      <c r="IDF29" s="609"/>
      <c r="IDG29" s="609"/>
      <c r="IDH29" s="609"/>
      <c r="IDI29" s="609"/>
      <c r="IDJ29" s="609"/>
      <c r="IDK29" s="609"/>
      <c r="IDL29" s="609"/>
      <c r="IDM29" s="609"/>
      <c r="IDN29" s="609"/>
      <c r="IDO29" s="609"/>
      <c r="IDP29" s="609"/>
      <c r="IDQ29" s="609"/>
      <c r="IDR29" s="609"/>
      <c r="IDS29" s="609"/>
      <c r="IDT29" s="609"/>
      <c r="IDU29" s="609"/>
      <c r="IDV29" s="609"/>
      <c r="IDW29" s="609"/>
      <c r="IDX29" s="609"/>
      <c r="IDY29" s="609"/>
      <c r="IDZ29" s="609"/>
      <c r="IEA29" s="609"/>
      <c r="IEB29" s="609"/>
      <c r="IEC29" s="609"/>
      <c r="IED29" s="609"/>
      <c r="IEE29" s="609"/>
      <c r="IEF29" s="609"/>
      <c r="IEG29" s="609"/>
      <c r="IEH29" s="609"/>
      <c r="IEI29" s="609"/>
      <c r="IEJ29" s="609"/>
      <c r="IEK29" s="609"/>
      <c r="IEL29" s="609"/>
      <c r="IEM29" s="609"/>
      <c r="IEN29" s="609"/>
      <c r="IEO29" s="609"/>
      <c r="IEP29" s="609"/>
      <c r="IEQ29" s="609"/>
      <c r="IER29" s="609"/>
      <c r="IES29" s="609"/>
      <c r="IET29" s="609"/>
      <c r="IEU29" s="609"/>
      <c r="IEV29" s="609"/>
      <c r="IEW29" s="609"/>
      <c r="IEX29" s="609"/>
      <c r="IEY29" s="609"/>
      <c r="IEZ29" s="609"/>
      <c r="IFA29" s="609"/>
      <c r="IFB29" s="609"/>
      <c r="IFC29" s="609"/>
      <c r="IFD29" s="609"/>
      <c r="IFE29" s="609"/>
      <c r="IFF29" s="609"/>
      <c r="IFG29" s="609"/>
      <c r="IFH29" s="609"/>
      <c r="IFI29" s="609"/>
      <c r="IFJ29" s="609"/>
      <c r="IFK29" s="609"/>
      <c r="IFL29" s="609"/>
      <c r="IFM29" s="609"/>
      <c r="IFN29" s="609"/>
      <c r="IFO29" s="609"/>
      <c r="IFP29" s="609"/>
      <c r="IFQ29" s="609"/>
      <c r="IFR29" s="609"/>
      <c r="IFS29" s="609"/>
      <c r="IFT29" s="609"/>
      <c r="IFU29" s="609"/>
      <c r="IFV29" s="609"/>
      <c r="IFW29" s="609"/>
      <c r="IFX29" s="609"/>
      <c r="IFY29" s="609"/>
      <c r="IFZ29" s="609"/>
      <c r="IGA29" s="609"/>
      <c r="IGB29" s="609"/>
      <c r="IGC29" s="609"/>
      <c r="IGD29" s="609"/>
      <c r="IGE29" s="609"/>
      <c r="IGF29" s="609"/>
      <c r="IGG29" s="609"/>
      <c r="IGH29" s="609"/>
      <c r="IGI29" s="609"/>
      <c r="IGJ29" s="609"/>
      <c r="IGK29" s="609"/>
      <c r="IGL29" s="609"/>
      <c r="IGM29" s="609"/>
      <c r="IGN29" s="609"/>
      <c r="IGO29" s="609"/>
      <c r="IGP29" s="609"/>
      <c r="IGQ29" s="609"/>
      <c r="IGR29" s="609"/>
      <c r="IGS29" s="609"/>
      <c r="IGT29" s="609"/>
      <c r="IGU29" s="609"/>
      <c r="IGV29" s="609"/>
      <c r="IGW29" s="609"/>
      <c r="IGX29" s="609"/>
      <c r="IGY29" s="609"/>
      <c r="IGZ29" s="609"/>
      <c r="IHA29" s="609"/>
      <c r="IHB29" s="609"/>
      <c r="IHC29" s="609"/>
      <c r="IHD29" s="609"/>
      <c r="IHE29" s="609"/>
      <c r="IHF29" s="609"/>
      <c r="IHG29" s="609"/>
      <c r="IHH29" s="609"/>
      <c r="IHI29" s="609"/>
      <c r="IHJ29" s="609"/>
      <c r="IHK29" s="609"/>
      <c r="IHL29" s="609"/>
      <c r="IHM29" s="609"/>
      <c r="IHN29" s="609"/>
      <c r="IHO29" s="609"/>
      <c r="IHP29" s="609"/>
      <c r="IHQ29" s="609"/>
      <c r="IHR29" s="609"/>
      <c r="IHS29" s="609"/>
      <c r="IHT29" s="609"/>
      <c r="IHU29" s="609"/>
      <c r="IHV29" s="609"/>
      <c r="IHW29" s="609"/>
      <c r="IHX29" s="609"/>
      <c r="IHY29" s="609"/>
      <c r="IHZ29" s="609"/>
      <c r="IIA29" s="609"/>
      <c r="IIB29" s="609"/>
      <c r="IIC29" s="609"/>
      <c r="IID29" s="609"/>
      <c r="IIE29" s="609"/>
      <c r="IIF29" s="609"/>
      <c r="IIG29" s="609"/>
      <c r="IIH29" s="609"/>
      <c r="III29" s="609"/>
      <c r="IIJ29" s="609"/>
      <c r="IIK29" s="609"/>
      <c r="IIL29" s="609"/>
      <c r="IIM29" s="609"/>
      <c r="IIN29" s="609"/>
      <c r="IIO29" s="609"/>
      <c r="IIP29" s="609"/>
      <c r="IIQ29" s="609"/>
      <c r="IIR29" s="609"/>
      <c r="IIS29" s="609"/>
      <c r="IIT29" s="609"/>
      <c r="IIU29" s="609"/>
      <c r="IIV29" s="609"/>
      <c r="IIW29" s="609"/>
      <c r="IIX29" s="609"/>
      <c r="IIY29" s="609"/>
      <c r="IIZ29" s="609"/>
      <c r="IJA29" s="609"/>
      <c r="IJB29" s="609"/>
      <c r="IJC29" s="609"/>
      <c r="IJD29" s="609"/>
      <c r="IJE29" s="609"/>
      <c r="IJF29" s="609"/>
      <c r="IJG29" s="609"/>
      <c r="IJH29" s="609"/>
      <c r="IJI29" s="609"/>
      <c r="IJJ29" s="609"/>
      <c r="IJK29" s="609"/>
      <c r="IJL29" s="609"/>
      <c r="IJM29" s="609"/>
      <c r="IJN29" s="609"/>
      <c r="IJO29" s="609"/>
      <c r="IJP29" s="609"/>
      <c r="IJQ29" s="609"/>
      <c r="IJR29" s="609"/>
      <c r="IJS29" s="609"/>
      <c r="IJT29" s="609"/>
      <c r="IJU29" s="609"/>
      <c r="IJV29" s="609"/>
      <c r="IJW29" s="609"/>
      <c r="IJX29" s="609"/>
      <c r="IJY29" s="609"/>
      <c r="IJZ29" s="609"/>
      <c r="IKA29" s="609"/>
      <c r="IKB29" s="609"/>
      <c r="IKC29" s="609"/>
      <c r="IKD29" s="609"/>
      <c r="IKE29" s="609"/>
      <c r="IKF29" s="609"/>
      <c r="IKG29" s="609"/>
      <c r="IKH29" s="609"/>
      <c r="IKI29" s="609"/>
      <c r="IKJ29" s="609"/>
      <c r="IKK29" s="609"/>
      <c r="IKL29" s="609"/>
      <c r="IKM29" s="609"/>
      <c r="IKN29" s="609"/>
      <c r="IKO29" s="609"/>
      <c r="IKP29" s="609"/>
      <c r="IKQ29" s="609"/>
      <c r="IKR29" s="609"/>
      <c r="IKS29" s="609"/>
      <c r="IKT29" s="609"/>
      <c r="IKU29" s="609"/>
      <c r="IKV29" s="609"/>
      <c r="IKW29" s="609"/>
      <c r="IKX29" s="609"/>
      <c r="IKY29" s="609"/>
      <c r="IKZ29" s="609"/>
      <c r="ILA29" s="609"/>
      <c r="ILB29" s="609"/>
      <c r="ILC29" s="609"/>
      <c r="ILD29" s="609"/>
      <c r="ILE29" s="609"/>
      <c r="ILF29" s="609"/>
      <c r="ILG29" s="609"/>
      <c r="ILH29" s="609"/>
      <c r="ILI29" s="609"/>
      <c r="ILJ29" s="609"/>
      <c r="ILK29" s="609"/>
      <c r="ILL29" s="609"/>
      <c r="ILM29" s="609"/>
      <c r="ILN29" s="609"/>
      <c r="ILO29" s="609"/>
      <c r="ILP29" s="609"/>
      <c r="ILQ29" s="609"/>
      <c r="ILR29" s="609"/>
      <c r="ILS29" s="609"/>
      <c r="ILT29" s="609"/>
      <c r="ILU29" s="609"/>
      <c r="ILV29" s="609"/>
      <c r="ILW29" s="609"/>
      <c r="ILX29" s="609"/>
      <c r="ILY29" s="609"/>
      <c r="ILZ29" s="609"/>
      <c r="IMA29" s="609"/>
      <c r="IMB29" s="609"/>
      <c r="IMC29" s="609"/>
      <c r="IMD29" s="609"/>
      <c r="IME29" s="609"/>
      <c r="IMF29" s="609"/>
      <c r="IMG29" s="609"/>
      <c r="IMH29" s="609"/>
      <c r="IMI29" s="609"/>
      <c r="IMJ29" s="609"/>
      <c r="IMK29" s="609"/>
      <c r="IML29" s="609"/>
      <c r="IMM29" s="609"/>
      <c r="IMN29" s="609"/>
      <c r="IMO29" s="609"/>
      <c r="IMP29" s="609"/>
      <c r="IMQ29" s="609"/>
      <c r="IMR29" s="609"/>
      <c r="IMS29" s="609"/>
      <c r="IMT29" s="609"/>
      <c r="IMU29" s="609"/>
      <c r="IMV29" s="609"/>
      <c r="IMW29" s="609"/>
      <c r="IMX29" s="609"/>
      <c r="IMY29" s="609"/>
      <c r="IMZ29" s="609"/>
      <c r="INA29" s="609"/>
      <c r="INB29" s="609"/>
      <c r="INC29" s="609"/>
      <c r="IND29" s="609"/>
      <c r="INE29" s="609"/>
      <c r="INF29" s="609"/>
      <c r="ING29" s="609"/>
      <c r="INH29" s="609"/>
      <c r="INI29" s="609"/>
      <c r="INJ29" s="609"/>
      <c r="INK29" s="609"/>
      <c r="INL29" s="609"/>
      <c r="INM29" s="609"/>
      <c r="INN29" s="609"/>
      <c r="INO29" s="609"/>
      <c r="INP29" s="609"/>
      <c r="INQ29" s="609"/>
      <c r="INR29" s="609"/>
      <c r="INS29" s="609"/>
      <c r="INT29" s="609"/>
      <c r="INU29" s="609"/>
      <c r="INV29" s="609"/>
      <c r="INW29" s="609"/>
      <c r="INX29" s="609"/>
      <c r="INY29" s="609"/>
      <c r="INZ29" s="609"/>
      <c r="IOA29" s="609"/>
      <c r="IOB29" s="609"/>
      <c r="IOC29" s="609"/>
      <c r="IOD29" s="609"/>
      <c r="IOE29" s="609"/>
      <c r="IOF29" s="609"/>
      <c r="IOG29" s="609"/>
      <c r="IOH29" s="609"/>
      <c r="IOI29" s="609"/>
      <c r="IOJ29" s="609"/>
      <c r="IOK29" s="609"/>
      <c r="IOL29" s="609"/>
      <c r="IOM29" s="609"/>
      <c r="ION29" s="609"/>
      <c r="IOO29" s="609"/>
      <c r="IOP29" s="609"/>
      <c r="IOQ29" s="609"/>
      <c r="IOR29" s="609"/>
      <c r="IOS29" s="609"/>
      <c r="IOT29" s="609"/>
      <c r="IOU29" s="609"/>
      <c r="IOV29" s="609"/>
      <c r="IOW29" s="609"/>
      <c r="IOX29" s="609"/>
      <c r="IOY29" s="609"/>
      <c r="IOZ29" s="609"/>
      <c r="IPA29" s="609"/>
      <c r="IPB29" s="609"/>
      <c r="IPC29" s="609"/>
      <c r="IPD29" s="609"/>
      <c r="IPE29" s="609"/>
      <c r="IPF29" s="609"/>
      <c r="IPG29" s="609"/>
      <c r="IPH29" s="609"/>
      <c r="IPI29" s="609"/>
      <c r="IPJ29" s="609"/>
      <c r="IPK29" s="609"/>
      <c r="IPL29" s="609"/>
      <c r="IPM29" s="609"/>
      <c r="IPN29" s="609"/>
      <c r="IPO29" s="609"/>
      <c r="IPP29" s="609"/>
      <c r="IPQ29" s="609"/>
      <c r="IPR29" s="609"/>
      <c r="IPS29" s="609"/>
      <c r="IPT29" s="609"/>
      <c r="IPU29" s="609"/>
      <c r="IPV29" s="609"/>
      <c r="IPW29" s="609"/>
      <c r="IPX29" s="609"/>
      <c r="IPY29" s="609"/>
      <c r="IPZ29" s="609"/>
      <c r="IQA29" s="609"/>
      <c r="IQB29" s="609"/>
      <c r="IQC29" s="609"/>
      <c r="IQD29" s="609"/>
      <c r="IQE29" s="609"/>
      <c r="IQF29" s="609"/>
      <c r="IQG29" s="609"/>
      <c r="IQH29" s="609"/>
      <c r="IQI29" s="609"/>
      <c r="IQJ29" s="609"/>
      <c r="IQK29" s="609"/>
      <c r="IQL29" s="609"/>
      <c r="IQM29" s="609"/>
      <c r="IQN29" s="609"/>
      <c r="IQO29" s="609"/>
      <c r="IQP29" s="609"/>
      <c r="IQQ29" s="609"/>
      <c r="IQR29" s="609"/>
      <c r="IQS29" s="609"/>
      <c r="IQT29" s="609"/>
      <c r="IQU29" s="609"/>
      <c r="IQV29" s="609"/>
      <c r="IQW29" s="609"/>
      <c r="IQX29" s="609"/>
      <c r="IQY29" s="609"/>
      <c r="IQZ29" s="609"/>
      <c r="IRA29" s="609"/>
      <c r="IRB29" s="609"/>
      <c r="IRC29" s="609"/>
      <c r="IRD29" s="609"/>
      <c r="IRE29" s="609"/>
      <c r="IRF29" s="609"/>
      <c r="IRG29" s="609"/>
      <c r="IRH29" s="609"/>
      <c r="IRI29" s="609"/>
      <c r="IRJ29" s="609"/>
      <c r="IRK29" s="609"/>
      <c r="IRL29" s="609"/>
      <c r="IRM29" s="609"/>
      <c r="IRN29" s="609"/>
      <c r="IRO29" s="609"/>
      <c r="IRP29" s="609"/>
      <c r="IRQ29" s="609"/>
      <c r="IRR29" s="609"/>
      <c r="IRS29" s="609"/>
      <c r="IRT29" s="609"/>
      <c r="IRU29" s="609"/>
      <c r="IRV29" s="609"/>
      <c r="IRW29" s="609"/>
      <c r="IRX29" s="609"/>
      <c r="IRY29" s="609"/>
      <c r="IRZ29" s="609"/>
      <c r="ISA29" s="609"/>
      <c r="ISB29" s="609"/>
      <c r="ISC29" s="609"/>
      <c r="ISD29" s="609"/>
      <c r="ISE29" s="609"/>
      <c r="ISF29" s="609"/>
      <c r="ISG29" s="609"/>
      <c r="ISH29" s="609"/>
      <c r="ISI29" s="609"/>
      <c r="ISJ29" s="609"/>
      <c r="ISK29" s="609"/>
      <c r="ISL29" s="609"/>
      <c r="ISM29" s="609"/>
      <c r="ISN29" s="609"/>
      <c r="ISO29" s="609"/>
      <c r="ISP29" s="609"/>
      <c r="ISQ29" s="609"/>
      <c r="ISR29" s="609"/>
      <c r="ISS29" s="609"/>
      <c r="IST29" s="609"/>
      <c r="ISU29" s="609"/>
      <c r="ISV29" s="609"/>
      <c r="ISW29" s="609"/>
      <c r="ISX29" s="609"/>
      <c r="ISY29" s="609"/>
      <c r="ISZ29" s="609"/>
      <c r="ITA29" s="609"/>
      <c r="ITB29" s="609"/>
      <c r="ITC29" s="609"/>
      <c r="ITD29" s="609"/>
      <c r="ITE29" s="609"/>
      <c r="ITF29" s="609"/>
      <c r="ITG29" s="609"/>
      <c r="ITH29" s="609"/>
      <c r="ITI29" s="609"/>
      <c r="ITJ29" s="609"/>
      <c r="ITK29" s="609"/>
      <c r="ITL29" s="609"/>
      <c r="ITM29" s="609"/>
      <c r="ITN29" s="609"/>
      <c r="ITO29" s="609"/>
      <c r="ITP29" s="609"/>
      <c r="ITQ29" s="609"/>
      <c r="ITR29" s="609"/>
      <c r="ITS29" s="609"/>
      <c r="ITT29" s="609"/>
      <c r="ITU29" s="609"/>
      <c r="ITV29" s="609"/>
      <c r="ITW29" s="609"/>
      <c r="ITX29" s="609"/>
      <c r="ITY29" s="609"/>
      <c r="ITZ29" s="609"/>
      <c r="IUA29" s="609"/>
      <c r="IUB29" s="609"/>
      <c r="IUC29" s="609"/>
      <c r="IUD29" s="609"/>
      <c r="IUE29" s="609"/>
      <c r="IUF29" s="609"/>
      <c r="IUG29" s="609"/>
      <c r="IUH29" s="609"/>
      <c r="IUI29" s="609"/>
      <c r="IUJ29" s="609"/>
      <c r="IUK29" s="609"/>
      <c r="IUL29" s="609"/>
      <c r="IUM29" s="609"/>
      <c r="IUN29" s="609"/>
      <c r="IUO29" s="609"/>
      <c r="IUP29" s="609"/>
      <c r="IUQ29" s="609"/>
      <c r="IUR29" s="609"/>
      <c r="IUS29" s="609"/>
      <c r="IUT29" s="609"/>
      <c r="IUU29" s="609"/>
      <c r="IUV29" s="609"/>
      <c r="IUW29" s="609"/>
      <c r="IUX29" s="609"/>
      <c r="IUY29" s="609"/>
      <c r="IUZ29" s="609"/>
      <c r="IVA29" s="609"/>
      <c r="IVB29" s="609"/>
      <c r="IVC29" s="609"/>
      <c r="IVD29" s="609"/>
      <c r="IVE29" s="609"/>
      <c r="IVF29" s="609"/>
      <c r="IVG29" s="609"/>
      <c r="IVH29" s="609"/>
      <c r="IVI29" s="609"/>
      <c r="IVJ29" s="609"/>
      <c r="IVK29" s="609"/>
      <c r="IVL29" s="609"/>
      <c r="IVM29" s="609"/>
      <c r="IVN29" s="609"/>
      <c r="IVO29" s="609"/>
      <c r="IVP29" s="609"/>
      <c r="IVQ29" s="609"/>
      <c r="IVR29" s="609"/>
      <c r="IVS29" s="609"/>
      <c r="IVT29" s="609"/>
      <c r="IVU29" s="609"/>
      <c r="IVV29" s="609"/>
      <c r="IVW29" s="609"/>
      <c r="IVX29" s="609"/>
      <c r="IVY29" s="609"/>
      <c r="IVZ29" s="609"/>
      <c r="IWA29" s="609"/>
      <c r="IWB29" s="609"/>
      <c r="IWC29" s="609"/>
      <c r="IWD29" s="609"/>
      <c r="IWE29" s="609"/>
      <c r="IWF29" s="609"/>
      <c r="IWG29" s="609"/>
      <c r="IWH29" s="609"/>
      <c r="IWI29" s="609"/>
      <c r="IWJ29" s="609"/>
      <c r="IWK29" s="609"/>
      <c r="IWL29" s="609"/>
      <c r="IWM29" s="609"/>
      <c r="IWN29" s="609"/>
      <c r="IWO29" s="609"/>
      <c r="IWP29" s="609"/>
      <c r="IWQ29" s="609"/>
      <c r="IWR29" s="609"/>
      <c r="IWS29" s="609"/>
      <c r="IWT29" s="609"/>
      <c r="IWU29" s="609"/>
      <c r="IWV29" s="609"/>
      <c r="IWW29" s="609"/>
      <c r="IWX29" s="609"/>
      <c r="IWY29" s="609"/>
      <c r="IWZ29" s="609"/>
      <c r="IXA29" s="609"/>
      <c r="IXB29" s="609"/>
      <c r="IXC29" s="609"/>
      <c r="IXD29" s="609"/>
      <c r="IXE29" s="609"/>
      <c r="IXF29" s="609"/>
      <c r="IXG29" s="609"/>
      <c r="IXH29" s="609"/>
      <c r="IXI29" s="609"/>
      <c r="IXJ29" s="609"/>
      <c r="IXK29" s="609"/>
      <c r="IXL29" s="609"/>
      <c r="IXM29" s="609"/>
      <c r="IXN29" s="609"/>
      <c r="IXO29" s="609"/>
      <c r="IXP29" s="609"/>
      <c r="IXQ29" s="609"/>
      <c r="IXR29" s="609"/>
      <c r="IXS29" s="609"/>
      <c r="IXT29" s="609"/>
      <c r="IXU29" s="609"/>
      <c r="IXV29" s="609"/>
      <c r="IXW29" s="609"/>
      <c r="IXX29" s="609"/>
      <c r="IXY29" s="609"/>
      <c r="IXZ29" s="609"/>
      <c r="IYA29" s="609"/>
      <c r="IYB29" s="609"/>
      <c r="IYC29" s="609"/>
      <c r="IYD29" s="609"/>
      <c r="IYE29" s="609"/>
      <c r="IYF29" s="609"/>
      <c r="IYG29" s="609"/>
      <c r="IYH29" s="609"/>
      <c r="IYI29" s="609"/>
      <c r="IYJ29" s="609"/>
      <c r="IYK29" s="609"/>
      <c r="IYL29" s="609"/>
      <c r="IYM29" s="609"/>
      <c r="IYN29" s="609"/>
      <c r="IYO29" s="609"/>
      <c r="IYP29" s="609"/>
      <c r="IYQ29" s="609"/>
      <c r="IYR29" s="609"/>
      <c r="IYS29" s="609"/>
      <c r="IYT29" s="609"/>
      <c r="IYU29" s="609"/>
      <c r="IYV29" s="609"/>
      <c r="IYW29" s="609"/>
      <c r="IYX29" s="609"/>
      <c r="IYY29" s="609"/>
      <c r="IYZ29" s="609"/>
      <c r="IZA29" s="609"/>
      <c r="IZB29" s="609"/>
      <c r="IZC29" s="609"/>
      <c r="IZD29" s="609"/>
      <c r="IZE29" s="609"/>
      <c r="IZF29" s="609"/>
      <c r="IZG29" s="609"/>
      <c r="IZH29" s="609"/>
      <c r="IZI29" s="609"/>
      <c r="IZJ29" s="609"/>
      <c r="IZK29" s="609"/>
      <c r="IZL29" s="609"/>
      <c r="IZM29" s="609"/>
      <c r="IZN29" s="609"/>
      <c r="IZO29" s="609"/>
      <c r="IZP29" s="609"/>
      <c r="IZQ29" s="609"/>
      <c r="IZR29" s="609"/>
      <c r="IZS29" s="609"/>
      <c r="IZT29" s="609"/>
      <c r="IZU29" s="609"/>
      <c r="IZV29" s="609"/>
      <c r="IZW29" s="609"/>
      <c r="IZX29" s="609"/>
      <c r="IZY29" s="609"/>
      <c r="IZZ29" s="609"/>
      <c r="JAA29" s="609"/>
      <c r="JAB29" s="609"/>
      <c r="JAC29" s="609"/>
      <c r="JAD29" s="609"/>
      <c r="JAE29" s="609"/>
      <c r="JAF29" s="609"/>
      <c r="JAG29" s="609"/>
      <c r="JAH29" s="609"/>
      <c r="JAI29" s="609"/>
      <c r="JAJ29" s="609"/>
      <c r="JAK29" s="609"/>
      <c r="JAL29" s="609"/>
      <c r="JAM29" s="609"/>
      <c r="JAN29" s="609"/>
      <c r="JAO29" s="609"/>
      <c r="JAP29" s="609"/>
      <c r="JAQ29" s="609"/>
      <c r="JAR29" s="609"/>
      <c r="JAS29" s="609"/>
      <c r="JAT29" s="609"/>
      <c r="JAU29" s="609"/>
      <c r="JAV29" s="609"/>
      <c r="JAW29" s="609"/>
      <c r="JAX29" s="609"/>
      <c r="JAY29" s="609"/>
      <c r="JAZ29" s="609"/>
      <c r="JBA29" s="609"/>
      <c r="JBB29" s="609"/>
      <c r="JBC29" s="609"/>
      <c r="JBD29" s="609"/>
      <c r="JBE29" s="609"/>
      <c r="JBF29" s="609"/>
      <c r="JBG29" s="609"/>
      <c r="JBH29" s="609"/>
      <c r="JBI29" s="609"/>
      <c r="JBJ29" s="609"/>
      <c r="JBK29" s="609"/>
      <c r="JBL29" s="609"/>
      <c r="JBM29" s="609"/>
      <c r="JBN29" s="609"/>
      <c r="JBO29" s="609"/>
      <c r="JBP29" s="609"/>
      <c r="JBQ29" s="609"/>
      <c r="JBR29" s="609"/>
      <c r="JBS29" s="609"/>
      <c r="JBT29" s="609"/>
      <c r="JBU29" s="609"/>
      <c r="JBV29" s="609"/>
      <c r="JBW29" s="609"/>
      <c r="JBX29" s="609"/>
      <c r="JBY29" s="609"/>
      <c r="JBZ29" s="609"/>
      <c r="JCA29" s="609"/>
      <c r="JCB29" s="609"/>
      <c r="JCC29" s="609"/>
      <c r="JCD29" s="609"/>
      <c r="JCE29" s="609"/>
      <c r="JCF29" s="609"/>
      <c r="JCG29" s="609"/>
      <c r="JCH29" s="609"/>
      <c r="JCI29" s="609"/>
      <c r="JCJ29" s="609"/>
      <c r="JCK29" s="609"/>
      <c r="JCL29" s="609"/>
      <c r="JCM29" s="609"/>
      <c r="JCN29" s="609"/>
      <c r="JCO29" s="609"/>
      <c r="JCP29" s="609"/>
      <c r="JCQ29" s="609"/>
      <c r="JCR29" s="609"/>
      <c r="JCS29" s="609"/>
      <c r="JCT29" s="609"/>
      <c r="JCU29" s="609"/>
      <c r="JCV29" s="609"/>
      <c r="JCW29" s="609"/>
      <c r="JCX29" s="609"/>
      <c r="JCY29" s="609"/>
      <c r="JCZ29" s="609"/>
      <c r="JDA29" s="609"/>
      <c r="JDB29" s="609"/>
      <c r="JDC29" s="609"/>
      <c r="JDD29" s="609"/>
      <c r="JDE29" s="609"/>
      <c r="JDF29" s="609"/>
      <c r="JDG29" s="609"/>
      <c r="JDH29" s="609"/>
      <c r="JDI29" s="609"/>
      <c r="JDJ29" s="609"/>
      <c r="JDK29" s="609"/>
      <c r="JDL29" s="609"/>
      <c r="JDM29" s="609"/>
      <c r="JDN29" s="609"/>
      <c r="JDO29" s="609"/>
      <c r="JDP29" s="609"/>
      <c r="JDQ29" s="609"/>
      <c r="JDR29" s="609"/>
      <c r="JDS29" s="609"/>
      <c r="JDT29" s="609"/>
      <c r="JDU29" s="609"/>
      <c r="JDV29" s="609"/>
      <c r="JDW29" s="609"/>
      <c r="JDX29" s="609"/>
      <c r="JDY29" s="609"/>
      <c r="JDZ29" s="609"/>
      <c r="JEA29" s="609"/>
      <c r="JEB29" s="609"/>
      <c r="JEC29" s="609"/>
      <c r="JED29" s="609"/>
      <c r="JEE29" s="609"/>
      <c r="JEF29" s="609"/>
      <c r="JEG29" s="609"/>
      <c r="JEH29" s="609"/>
      <c r="JEI29" s="609"/>
      <c r="JEJ29" s="609"/>
      <c r="JEK29" s="609"/>
      <c r="JEL29" s="609"/>
      <c r="JEM29" s="609"/>
      <c r="JEN29" s="609"/>
      <c r="JEO29" s="609"/>
      <c r="JEP29" s="609"/>
      <c r="JEQ29" s="609"/>
      <c r="JER29" s="609"/>
      <c r="JES29" s="609"/>
      <c r="JET29" s="609"/>
      <c r="JEU29" s="609"/>
      <c r="JEV29" s="609"/>
      <c r="JEW29" s="609"/>
      <c r="JEX29" s="609"/>
      <c r="JEY29" s="609"/>
      <c r="JEZ29" s="609"/>
      <c r="JFA29" s="609"/>
      <c r="JFB29" s="609"/>
      <c r="JFC29" s="609"/>
      <c r="JFD29" s="609"/>
      <c r="JFE29" s="609"/>
      <c r="JFF29" s="609"/>
      <c r="JFG29" s="609"/>
      <c r="JFH29" s="609"/>
      <c r="JFI29" s="609"/>
      <c r="JFJ29" s="609"/>
      <c r="JFK29" s="609"/>
      <c r="JFL29" s="609"/>
      <c r="JFM29" s="609"/>
      <c r="JFN29" s="609"/>
      <c r="JFO29" s="609"/>
      <c r="JFP29" s="609"/>
      <c r="JFQ29" s="609"/>
      <c r="JFR29" s="609"/>
      <c r="JFS29" s="609"/>
      <c r="JFT29" s="609"/>
      <c r="JFU29" s="609"/>
      <c r="JFV29" s="609"/>
      <c r="JFW29" s="609"/>
      <c r="JFX29" s="609"/>
      <c r="JFY29" s="609"/>
      <c r="JFZ29" s="609"/>
      <c r="JGA29" s="609"/>
      <c r="JGB29" s="609"/>
      <c r="JGC29" s="609"/>
      <c r="JGD29" s="609"/>
      <c r="JGE29" s="609"/>
      <c r="JGF29" s="609"/>
      <c r="JGG29" s="609"/>
      <c r="JGH29" s="609"/>
      <c r="JGI29" s="609"/>
      <c r="JGJ29" s="609"/>
      <c r="JGK29" s="609"/>
      <c r="JGL29" s="609"/>
      <c r="JGM29" s="609"/>
      <c r="JGN29" s="609"/>
      <c r="JGO29" s="609"/>
      <c r="JGP29" s="609"/>
      <c r="JGQ29" s="609"/>
      <c r="JGR29" s="609"/>
      <c r="JGS29" s="609"/>
      <c r="JGT29" s="609"/>
      <c r="JGU29" s="609"/>
      <c r="JGV29" s="609"/>
      <c r="JGW29" s="609"/>
      <c r="JGX29" s="609"/>
      <c r="JGY29" s="609"/>
      <c r="JGZ29" s="609"/>
      <c r="JHA29" s="609"/>
      <c r="JHB29" s="609"/>
      <c r="JHC29" s="609"/>
      <c r="JHD29" s="609"/>
      <c r="JHE29" s="609"/>
      <c r="JHF29" s="609"/>
      <c r="JHG29" s="609"/>
      <c r="JHH29" s="609"/>
      <c r="JHI29" s="609"/>
      <c r="JHJ29" s="609"/>
      <c r="JHK29" s="609"/>
      <c r="JHL29" s="609"/>
      <c r="JHM29" s="609"/>
      <c r="JHN29" s="609"/>
      <c r="JHO29" s="609"/>
      <c r="JHP29" s="609"/>
      <c r="JHQ29" s="609"/>
      <c r="JHR29" s="609"/>
      <c r="JHS29" s="609"/>
      <c r="JHT29" s="609"/>
      <c r="JHU29" s="609"/>
      <c r="JHV29" s="609"/>
      <c r="JHW29" s="609"/>
      <c r="JHX29" s="609"/>
      <c r="JHY29" s="609"/>
      <c r="JHZ29" s="609"/>
      <c r="JIA29" s="609"/>
      <c r="JIB29" s="609"/>
      <c r="JIC29" s="609"/>
      <c r="JID29" s="609"/>
      <c r="JIE29" s="609"/>
      <c r="JIF29" s="609"/>
      <c r="JIG29" s="609"/>
      <c r="JIH29" s="609"/>
      <c r="JII29" s="609"/>
      <c r="JIJ29" s="609"/>
      <c r="JIK29" s="609"/>
      <c r="JIL29" s="609"/>
      <c r="JIM29" s="609"/>
      <c r="JIN29" s="609"/>
      <c r="JIO29" s="609"/>
      <c r="JIP29" s="609"/>
      <c r="JIQ29" s="609"/>
      <c r="JIR29" s="609"/>
      <c r="JIS29" s="609"/>
      <c r="JIT29" s="609"/>
      <c r="JIU29" s="609"/>
      <c r="JIV29" s="609"/>
      <c r="JIW29" s="609"/>
      <c r="JIX29" s="609"/>
      <c r="JIY29" s="609"/>
      <c r="JIZ29" s="609"/>
      <c r="JJA29" s="609"/>
      <c r="JJB29" s="609"/>
      <c r="JJC29" s="609"/>
      <c r="JJD29" s="609"/>
      <c r="JJE29" s="609"/>
      <c r="JJF29" s="609"/>
      <c r="JJG29" s="609"/>
      <c r="JJH29" s="609"/>
      <c r="JJI29" s="609"/>
      <c r="JJJ29" s="609"/>
      <c r="JJK29" s="609"/>
      <c r="JJL29" s="609"/>
      <c r="JJM29" s="609"/>
      <c r="JJN29" s="609"/>
      <c r="JJO29" s="609"/>
      <c r="JJP29" s="609"/>
      <c r="JJQ29" s="609"/>
      <c r="JJR29" s="609"/>
      <c r="JJS29" s="609"/>
      <c r="JJT29" s="609"/>
      <c r="JJU29" s="609"/>
      <c r="JJV29" s="609"/>
      <c r="JJW29" s="609"/>
      <c r="JJX29" s="609"/>
      <c r="JJY29" s="609"/>
      <c r="JJZ29" s="609"/>
      <c r="JKA29" s="609"/>
      <c r="JKB29" s="609"/>
      <c r="JKC29" s="609"/>
      <c r="JKD29" s="609"/>
      <c r="JKE29" s="609"/>
      <c r="JKF29" s="609"/>
      <c r="JKG29" s="609"/>
      <c r="JKH29" s="609"/>
      <c r="JKI29" s="609"/>
      <c r="JKJ29" s="609"/>
      <c r="JKK29" s="609"/>
      <c r="JKL29" s="609"/>
      <c r="JKM29" s="609"/>
      <c r="JKN29" s="609"/>
      <c r="JKO29" s="609"/>
      <c r="JKP29" s="609"/>
      <c r="JKQ29" s="609"/>
      <c r="JKR29" s="609"/>
      <c r="JKS29" s="609"/>
      <c r="JKT29" s="609"/>
      <c r="JKU29" s="609"/>
      <c r="JKV29" s="609"/>
      <c r="JKW29" s="609"/>
      <c r="JKX29" s="609"/>
      <c r="JKY29" s="609"/>
      <c r="JKZ29" s="609"/>
      <c r="JLA29" s="609"/>
      <c r="JLB29" s="609"/>
      <c r="JLC29" s="609"/>
      <c r="JLD29" s="609"/>
      <c r="JLE29" s="609"/>
      <c r="JLF29" s="609"/>
      <c r="JLG29" s="609"/>
      <c r="JLH29" s="609"/>
      <c r="JLI29" s="609"/>
      <c r="JLJ29" s="609"/>
      <c r="JLK29" s="609"/>
      <c r="JLL29" s="609"/>
      <c r="JLM29" s="609"/>
      <c r="JLN29" s="609"/>
      <c r="JLO29" s="609"/>
      <c r="JLP29" s="609"/>
      <c r="JLQ29" s="609"/>
      <c r="JLR29" s="609"/>
      <c r="JLS29" s="609"/>
      <c r="JLT29" s="609"/>
      <c r="JLU29" s="609"/>
      <c r="JLV29" s="609"/>
      <c r="JLW29" s="609"/>
      <c r="JLX29" s="609"/>
      <c r="JLY29" s="609"/>
      <c r="JLZ29" s="609"/>
      <c r="JMA29" s="609"/>
      <c r="JMB29" s="609"/>
      <c r="JMC29" s="609"/>
      <c r="JMD29" s="609"/>
      <c r="JME29" s="609"/>
      <c r="JMF29" s="609"/>
      <c r="JMG29" s="609"/>
      <c r="JMH29" s="609"/>
      <c r="JMI29" s="609"/>
      <c r="JMJ29" s="609"/>
      <c r="JMK29" s="609"/>
      <c r="JML29" s="609"/>
      <c r="JMM29" s="609"/>
      <c r="JMN29" s="609"/>
      <c r="JMO29" s="609"/>
      <c r="JMP29" s="609"/>
      <c r="JMQ29" s="609"/>
      <c r="JMR29" s="609"/>
      <c r="JMS29" s="609"/>
      <c r="JMT29" s="609"/>
      <c r="JMU29" s="609"/>
      <c r="JMV29" s="609"/>
      <c r="JMW29" s="609"/>
      <c r="JMX29" s="609"/>
      <c r="JMY29" s="609"/>
      <c r="JMZ29" s="609"/>
      <c r="JNA29" s="609"/>
      <c r="JNB29" s="609"/>
      <c r="JNC29" s="609"/>
      <c r="JND29" s="609"/>
      <c r="JNE29" s="609"/>
      <c r="JNF29" s="609"/>
      <c r="JNG29" s="609"/>
      <c r="JNH29" s="609"/>
      <c r="JNI29" s="609"/>
      <c r="JNJ29" s="609"/>
      <c r="JNK29" s="609"/>
      <c r="JNL29" s="609"/>
      <c r="JNM29" s="609"/>
      <c r="JNN29" s="609"/>
      <c r="JNO29" s="609"/>
      <c r="JNP29" s="609"/>
      <c r="JNQ29" s="609"/>
      <c r="JNR29" s="609"/>
      <c r="JNS29" s="609"/>
      <c r="JNT29" s="609"/>
      <c r="JNU29" s="609"/>
      <c r="JNV29" s="609"/>
      <c r="JNW29" s="609"/>
      <c r="JNX29" s="609"/>
      <c r="JNY29" s="609"/>
      <c r="JNZ29" s="609"/>
      <c r="JOA29" s="609"/>
      <c r="JOB29" s="609"/>
      <c r="JOC29" s="609"/>
      <c r="JOD29" s="609"/>
      <c r="JOE29" s="609"/>
      <c r="JOF29" s="609"/>
      <c r="JOG29" s="609"/>
      <c r="JOH29" s="609"/>
      <c r="JOI29" s="609"/>
      <c r="JOJ29" s="609"/>
      <c r="JOK29" s="609"/>
      <c r="JOL29" s="609"/>
      <c r="JOM29" s="609"/>
      <c r="JON29" s="609"/>
      <c r="JOO29" s="609"/>
      <c r="JOP29" s="609"/>
      <c r="JOQ29" s="609"/>
      <c r="JOR29" s="609"/>
      <c r="JOS29" s="609"/>
      <c r="JOT29" s="609"/>
      <c r="JOU29" s="609"/>
      <c r="JOV29" s="609"/>
      <c r="JOW29" s="609"/>
      <c r="JOX29" s="609"/>
      <c r="JOY29" s="609"/>
      <c r="JOZ29" s="609"/>
      <c r="JPA29" s="609"/>
      <c r="JPB29" s="609"/>
      <c r="JPC29" s="609"/>
      <c r="JPD29" s="609"/>
      <c r="JPE29" s="609"/>
      <c r="JPF29" s="609"/>
      <c r="JPG29" s="609"/>
      <c r="JPH29" s="609"/>
      <c r="JPI29" s="609"/>
      <c r="JPJ29" s="609"/>
      <c r="JPK29" s="609"/>
      <c r="JPL29" s="609"/>
      <c r="JPM29" s="609"/>
      <c r="JPN29" s="609"/>
      <c r="JPO29" s="609"/>
      <c r="JPP29" s="609"/>
      <c r="JPQ29" s="609"/>
      <c r="JPR29" s="609"/>
      <c r="JPS29" s="609"/>
      <c r="JPT29" s="609"/>
      <c r="JPU29" s="609"/>
      <c r="JPV29" s="609"/>
      <c r="JPW29" s="609"/>
      <c r="JPX29" s="609"/>
      <c r="JPY29" s="609"/>
      <c r="JPZ29" s="609"/>
      <c r="JQA29" s="609"/>
      <c r="JQB29" s="609"/>
      <c r="JQC29" s="609"/>
      <c r="JQD29" s="609"/>
      <c r="JQE29" s="609"/>
      <c r="JQF29" s="609"/>
      <c r="JQG29" s="609"/>
      <c r="JQH29" s="609"/>
      <c r="JQI29" s="609"/>
      <c r="JQJ29" s="609"/>
      <c r="JQK29" s="609"/>
      <c r="JQL29" s="609"/>
      <c r="JQM29" s="609"/>
      <c r="JQN29" s="609"/>
      <c r="JQO29" s="609"/>
      <c r="JQP29" s="609"/>
      <c r="JQQ29" s="609"/>
      <c r="JQR29" s="609"/>
      <c r="JQS29" s="609"/>
      <c r="JQT29" s="609"/>
      <c r="JQU29" s="609"/>
      <c r="JQV29" s="609"/>
      <c r="JQW29" s="609"/>
      <c r="JQX29" s="609"/>
      <c r="JQY29" s="609"/>
      <c r="JQZ29" s="609"/>
      <c r="JRA29" s="609"/>
      <c r="JRB29" s="609"/>
      <c r="JRC29" s="609"/>
      <c r="JRD29" s="609"/>
      <c r="JRE29" s="609"/>
      <c r="JRF29" s="609"/>
      <c r="JRG29" s="609"/>
      <c r="JRH29" s="609"/>
      <c r="JRI29" s="609"/>
      <c r="JRJ29" s="609"/>
      <c r="JRK29" s="609"/>
      <c r="JRL29" s="609"/>
      <c r="JRM29" s="609"/>
      <c r="JRN29" s="609"/>
      <c r="JRO29" s="609"/>
      <c r="JRP29" s="609"/>
      <c r="JRQ29" s="609"/>
      <c r="JRR29" s="609"/>
      <c r="JRS29" s="609"/>
      <c r="JRT29" s="609"/>
      <c r="JRU29" s="609"/>
      <c r="JRV29" s="609"/>
      <c r="JRW29" s="609"/>
      <c r="JRX29" s="609"/>
      <c r="JRY29" s="609"/>
      <c r="JRZ29" s="609"/>
      <c r="JSA29" s="609"/>
      <c r="JSB29" s="609"/>
      <c r="JSC29" s="609"/>
      <c r="JSD29" s="609"/>
      <c r="JSE29" s="609"/>
      <c r="JSF29" s="609"/>
      <c r="JSG29" s="609"/>
      <c r="JSH29" s="609"/>
      <c r="JSI29" s="609"/>
      <c r="JSJ29" s="609"/>
      <c r="JSK29" s="609"/>
      <c r="JSL29" s="609"/>
      <c r="JSM29" s="609"/>
      <c r="JSN29" s="609"/>
      <c r="JSO29" s="609"/>
      <c r="JSP29" s="609"/>
      <c r="JSQ29" s="609"/>
      <c r="JSR29" s="609"/>
      <c r="JSS29" s="609"/>
      <c r="JST29" s="609"/>
      <c r="JSU29" s="609"/>
      <c r="JSV29" s="609"/>
      <c r="JSW29" s="609"/>
      <c r="JSX29" s="609"/>
      <c r="JSY29" s="609"/>
      <c r="JSZ29" s="609"/>
      <c r="JTA29" s="609"/>
      <c r="JTB29" s="609"/>
      <c r="JTC29" s="609"/>
      <c r="JTD29" s="609"/>
      <c r="JTE29" s="609"/>
      <c r="JTF29" s="609"/>
      <c r="JTG29" s="609"/>
      <c r="JTH29" s="609"/>
      <c r="JTI29" s="609"/>
      <c r="JTJ29" s="609"/>
      <c r="JTK29" s="609"/>
      <c r="JTL29" s="609"/>
      <c r="JTM29" s="609"/>
      <c r="JTN29" s="609"/>
      <c r="JTO29" s="609"/>
      <c r="JTP29" s="609"/>
      <c r="JTQ29" s="609"/>
      <c r="JTR29" s="609"/>
      <c r="JTS29" s="609"/>
      <c r="JTT29" s="609"/>
      <c r="JTU29" s="609"/>
      <c r="JTV29" s="609"/>
      <c r="JTW29" s="609"/>
      <c r="JTX29" s="609"/>
      <c r="JTY29" s="609"/>
      <c r="JTZ29" s="609"/>
      <c r="JUA29" s="609"/>
      <c r="JUB29" s="609"/>
      <c r="JUC29" s="609"/>
      <c r="JUD29" s="609"/>
      <c r="JUE29" s="609"/>
      <c r="JUF29" s="609"/>
      <c r="JUG29" s="609"/>
      <c r="JUH29" s="609"/>
      <c r="JUI29" s="609"/>
      <c r="JUJ29" s="609"/>
      <c r="JUK29" s="609"/>
      <c r="JUL29" s="609"/>
      <c r="JUM29" s="609"/>
      <c r="JUN29" s="609"/>
      <c r="JUO29" s="609"/>
      <c r="JUP29" s="609"/>
      <c r="JUQ29" s="609"/>
      <c r="JUR29" s="609"/>
      <c r="JUS29" s="609"/>
      <c r="JUT29" s="609"/>
      <c r="JUU29" s="609"/>
      <c r="JUV29" s="609"/>
      <c r="JUW29" s="609"/>
      <c r="JUX29" s="609"/>
      <c r="JUY29" s="609"/>
      <c r="JUZ29" s="609"/>
      <c r="JVA29" s="609"/>
      <c r="JVB29" s="609"/>
      <c r="JVC29" s="609"/>
      <c r="JVD29" s="609"/>
      <c r="JVE29" s="609"/>
      <c r="JVF29" s="609"/>
      <c r="JVG29" s="609"/>
      <c r="JVH29" s="609"/>
      <c r="JVI29" s="609"/>
      <c r="JVJ29" s="609"/>
      <c r="JVK29" s="609"/>
      <c r="JVL29" s="609"/>
      <c r="JVM29" s="609"/>
      <c r="JVN29" s="609"/>
      <c r="JVO29" s="609"/>
      <c r="JVP29" s="609"/>
      <c r="JVQ29" s="609"/>
      <c r="JVR29" s="609"/>
      <c r="JVS29" s="609"/>
      <c r="JVT29" s="609"/>
      <c r="JVU29" s="609"/>
      <c r="JVV29" s="609"/>
      <c r="JVW29" s="609"/>
      <c r="JVX29" s="609"/>
      <c r="JVY29" s="609"/>
      <c r="JVZ29" s="609"/>
      <c r="JWA29" s="609"/>
      <c r="JWB29" s="609"/>
      <c r="JWC29" s="609"/>
      <c r="JWD29" s="609"/>
      <c r="JWE29" s="609"/>
      <c r="JWF29" s="609"/>
      <c r="JWG29" s="609"/>
      <c r="JWH29" s="609"/>
      <c r="JWI29" s="609"/>
      <c r="JWJ29" s="609"/>
      <c r="JWK29" s="609"/>
      <c r="JWL29" s="609"/>
      <c r="JWM29" s="609"/>
      <c r="JWN29" s="609"/>
      <c r="JWO29" s="609"/>
      <c r="JWP29" s="609"/>
      <c r="JWQ29" s="609"/>
      <c r="JWR29" s="609"/>
      <c r="JWS29" s="609"/>
      <c r="JWT29" s="609"/>
      <c r="JWU29" s="609"/>
      <c r="JWV29" s="609"/>
      <c r="JWW29" s="609"/>
      <c r="JWX29" s="609"/>
      <c r="JWY29" s="609"/>
      <c r="JWZ29" s="609"/>
      <c r="JXA29" s="609"/>
      <c r="JXB29" s="609"/>
      <c r="JXC29" s="609"/>
      <c r="JXD29" s="609"/>
      <c r="JXE29" s="609"/>
      <c r="JXF29" s="609"/>
      <c r="JXG29" s="609"/>
      <c r="JXH29" s="609"/>
      <c r="JXI29" s="609"/>
      <c r="JXJ29" s="609"/>
      <c r="JXK29" s="609"/>
      <c r="JXL29" s="609"/>
      <c r="JXM29" s="609"/>
      <c r="JXN29" s="609"/>
      <c r="JXO29" s="609"/>
      <c r="JXP29" s="609"/>
      <c r="JXQ29" s="609"/>
      <c r="JXR29" s="609"/>
      <c r="JXS29" s="609"/>
      <c r="JXT29" s="609"/>
      <c r="JXU29" s="609"/>
      <c r="JXV29" s="609"/>
      <c r="JXW29" s="609"/>
      <c r="JXX29" s="609"/>
      <c r="JXY29" s="609"/>
      <c r="JXZ29" s="609"/>
      <c r="JYA29" s="609"/>
      <c r="JYB29" s="609"/>
      <c r="JYC29" s="609"/>
      <c r="JYD29" s="609"/>
      <c r="JYE29" s="609"/>
      <c r="JYF29" s="609"/>
      <c r="JYG29" s="609"/>
      <c r="JYH29" s="609"/>
      <c r="JYI29" s="609"/>
      <c r="JYJ29" s="609"/>
      <c r="JYK29" s="609"/>
      <c r="JYL29" s="609"/>
      <c r="JYM29" s="609"/>
      <c r="JYN29" s="609"/>
      <c r="JYO29" s="609"/>
      <c r="JYP29" s="609"/>
      <c r="JYQ29" s="609"/>
      <c r="JYR29" s="609"/>
      <c r="JYS29" s="609"/>
      <c r="JYT29" s="609"/>
      <c r="JYU29" s="609"/>
      <c r="JYV29" s="609"/>
      <c r="JYW29" s="609"/>
      <c r="JYX29" s="609"/>
      <c r="JYY29" s="609"/>
      <c r="JYZ29" s="609"/>
      <c r="JZA29" s="609"/>
      <c r="JZB29" s="609"/>
      <c r="JZC29" s="609"/>
      <c r="JZD29" s="609"/>
      <c r="JZE29" s="609"/>
      <c r="JZF29" s="609"/>
      <c r="JZG29" s="609"/>
      <c r="JZH29" s="609"/>
      <c r="JZI29" s="609"/>
      <c r="JZJ29" s="609"/>
      <c r="JZK29" s="609"/>
      <c r="JZL29" s="609"/>
      <c r="JZM29" s="609"/>
      <c r="JZN29" s="609"/>
      <c r="JZO29" s="609"/>
      <c r="JZP29" s="609"/>
      <c r="JZQ29" s="609"/>
      <c r="JZR29" s="609"/>
      <c r="JZS29" s="609"/>
      <c r="JZT29" s="609"/>
      <c r="JZU29" s="609"/>
      <c r="JZV29" s="609"/>
      <c r="JZW29" s="609"/>
      <c r="JZX29" s="609"/>
      <c r="JZY29" s="609"/>
      <c r="JZZ29" s="609"/>
      <c r="KAA29" s="609"/>
      <c r="KAB29" s="609"/>
      <c r="KAC29" s="609"/>
      <c r="KAD29" s="609"/>
      <c r="KAE29" s="609"/>
      <c r="KAF29" s="609"/>
      <c r="KAG29" s="609"/>
      <c r="KAH29" s="609"/>
      <c r="KAI29" s="609"/>
      <c r="KAJ29" s="609"/>
      <c r="KAK29" s="609"/>
      <c r="KAL29" s="609"/>
      <c r="KAM29" s="609"/>
      <c r="KAN29" s="609"/>
      <c r="KAO29" s="609"/>
      <c r="KAP29" s="609"/>
      <c r="KAQ29" s="609"/>
      <c r="KAR29" s="609"/>
      <c r="KAS29" s="609"/>
      <c r="KAT29" s="609"/>
      <c r="KAU29" s="609"/>
      <c r="KAV29" s="609"/>
      <c r="KAW29" s="609"/>
      <c r="KAX29" s="609"/>
      <c r="KAY29" s="609"/>
      <c r="KAZ29" s="609"/>
      <c r="KBA29" s="609"/>
      <c r="KBB29" s="609"/>
      <c r="KBC29" s="609"/>
      <c r="KBD29" s="609"/>
      <c r="KBE29" s="609"/>
      <c r="KBF29" s="609"/>
      <c r="KBG29" s="609"/>
      <c r="KBH29" s="609"/>
      <c r="KBI29" s="609"/>
      <c r="KBJ29" s="609"/>
      <c r="KBK29" s="609"/>
      <c r="KBL29" s="609"/>
      <c r="KBM29" s="609"/>
      <c r="KBN29" s="609"/>
      <c r="KBO29" s="609"/>
      <c r="KBP29" s="609"/>
      <c r="KBQ29" s="609"/>
      <c r="KBR29" s="609"/>
      <c r="KBS29" s="609"/>
      <c r="KBT29" s="609"/>
      <c r="KBU29" s="609"/>
      <c r="KBV29" s="609"/>
      <c r="KBW29" s="609"/>
      <c r="KBX29" s="609"/>
      <c r="KBY29" s="609"/>
      <c r="KBZ29" s="609"/>
      <c r="KCA29" s="609"/>
      <c r="KCB29" s="609"/>
      <c r="KCC29" s="609"/>
      <c r="KCD29" s="609"/>
      <c r="KCE29" s="609"/>
      <c r="KCF29" s="609"/>
      <c r="KCG29" s="609"/>
      <c r="KCH29" s="609"/>
      <c r="KCI29" s="609"/>
      <c r="KCJ29" s="609"/>
      <c r="KCK29" s="609"/>
      <c r="KCL29" s="609"/>
      <c r="KCM29" s="609"/>
      <c r="KCN29" s="609"/>
      <c r="KCO29" s="609"/>
      <c r="KCP29" s="609"/>
      <c r="KCQ29" s="609"/>
      <c r="KCR29" s="609"/>
      <c r="KCS29" s="609"/>
      <c r="KCT29" s="609"/>
      <c r="KCU29" s="609"/>
      <c r="KCV29" s="609"/>
      <c r="KCW29" s="609"/>
      <c r="KCX29" s="609"/>
      <c r="KCY29" s="609"/>
      <c r="KCZ29" s="609"/>
      <c r="KDA29" s="609"/>
      <c r="KDB29" s="609"/>
      <c r="KDC29" s="609"/>
      <c r="KDD29" s="609"/>
      <c r="KDE29" s="609"/>
      <c r="KDF29" s="609"/>
      <c r="KDG29" s="609"/>
      <c r="KDH29" s="609"/>
      <c r="KDI29" s="609"/>
      <c r="KDJ29" s="609"/>
      <c r="KDK29" s="609"/>
      <c r="KDL29" s="609"/>
      <c r="KDM29" s="609"/>
      <c r="KDN29" s="609"/>
      <c r="KDO29" s="609"/>
      <c r="KDP29" s="609"/>
      <c r="KDQ29" s="609"/>
      <c r="KDR29" s="609"/>
      <c r="KDS29" s="609"/>
      <c r="KDT29" s="609"/>
      <c r="KDU29" s="609"/>
      <c r="KDV29" s="609"/>
      <c r="KDW29" s="609"/>
      <c r="KDX29" s="609"/>
      <c r="KDY29" s="609"/>
      <c r="KDZ29" s="609"/>
      <c r="KEA29" s="609"/>
      <c r="KEB29" s="609"/>
      <c r="KEC29" s="609"/>
      <c r="KED29" s="609"/>
      <c r="KEE29" s="609"/>
      <c r="KEF29" s="609"/>
      <c r="KEG29" s="609"/>
      <c r="KEH29" s="609"/>
      <c r="KEI29" s="609"/>
      <c r="KEJ29" s="609"/>
      <c r="KEK29" s="609"/>
      <c r="KEL29" s="609"/>
      <c r="KEM29" s="609"/>
      <c r="KEN29" s="609"/>
      <c r="KEO29" s="609"/>
      <c r="KEP29" s="609"/>
      <c r="KEQ29" s="609"/>
      <c r="KER29" s="609"/>
      <c r="KES29" s="609"/>
      <c r="KET29" s="609"/>
      <c r="KEU29" s="609"/>
      <c r="KEV29" s="609"/>
      <c r="KEW29" s="609"/>
      <c r="KEX29" s="609"/>
      <c r="KEY29" s="609"/>
      <c r="KEZ29" s="609"/>
      <c r="KFA29" s="609"/>
      <c r="KFB29" s="609"/>
      <c r="KFC29" s="609"/>
      <c r="KFD29" s="609"/>
      <c r="KFE29" s="609"/>
      <c r="KFF29" s="609"/>
      <c r="KFG29" s="609"/>
      <c r="KFH29" s="609"/>
      <c r="KFI29" s="609"/>
      <c r="KFJ29" s="609"/>
      <c r="KFK29" s="609"/>
      <c r="KFL29" s="609"/>
      <c r="KFM29" s="609"/>
      <c r="KFN29" s="609"/>
      <c r="KFO29" s="609"/>
      <c r="KFP29" s="609"/>
      <c r="KFQ29" s="609"/>
      <c r="KFR29" s="609"/>
      <c r="KFS29" s="609"/>
      <c r="KFT29" s="609"/>
      <c r="KFU29" s="609"/>
      <c r="KFV29" s="609"/>
      <c r="KFW29" s="609"/>
      <c r="KFX29" s="609"/>
      <c r="KFY29" s="609"/>
      <c r="KFZ29" s="609"/>
      <c r="KGA29" s="609"/>
      <c r="KGB29" s="609"/>
      <c r="KGC29" s="609"/>
      <c r="KGD29" s="609"/>
      <c r="KGE29" s="609"/>
      <c r="KGF29" s="609"/>
      <c r="KGG29" s="609"/>
      <c r="KGH29" s="609"/>
      <c r="KGI29" s="609"/>
      <c r="KGJ29" s="609"/>
      <c r="KGK29" s="609"/>
      <c r="KGL29" s="609"/>
      <c r="KGM29" s="609"/>
      <c r="KGN29" s="609"/>
      <c r="KGO29" s="609"/>
      <c r="KGP29" s="609"/>
      <c r="KGQ29" s="609"/>
      <c r="KGR29" s="609"/>
      <c r="KGS29" s="609"/>
      <c r="KGT29" s="609"/>
      <c r="KGU29" s="609"/>
      <c r="KGV29" s="609"/>
      <c r="KGW29" s="609"/>
      <c r="KGX29" s="609"/>
      <c r="KGY29" s="609"/>
      <c r="KGZ29" s="609"/>
      <c r="KHA29" s="609"/>
      <c r="KHB29" s="609"/>
      <c r="KHC29" s="609"/>
      <c r="KHD29" s="609"/>
      <c r="KHE29" s="609"/>
      <c r="KHF29" s="609"/>
      <c r="KHG29" s="609"/>
      <c r="KHH29" s="609"/>
      <c r="KHI29" s="609"/>
      <c r="KHJ29" s="609"/>
      <c r="KHK29" s="609"/>
      <c r="KHL29" s="609"/>
      <c r="KHM29" s="609"/>
      <c r="KHN29" s="609"/>
      <c r="KHO29" s="609"/>
      <c r="KHP29" s="609"/>
      <c r="KHQ29" s="609"/>
      <c r="KHR29" s="609"/>
      <c r="KHS29" s="609"/>
      <c r="KHT29" s="609"/>
      <c r="KHU29" s="609"/>
      <c r="KHV29" s="609"/>
      <c r="KHW29" s="609"/>
      <c r="KHX29" s="609"/>
      <c r="KHY29" s="609"/>
      <c r="KHZ29" s="609"/>
      <c r="KIA29" s="609"/>
      <c r="KIB29" s="609"/>
      <c r="KIC29" s="609"/>
      <c r="KID29" s="609"/>
      <c r="KIE29" s="609"/>
      <c r="KIF29" s="609"/>
      <c r="KIG29" s="609"/>
      <c r="KIH29" s="609"/>
      <c r="KII29" s="609"/>
      <c r="KIJ29" s="609"/>
      <c r="KIK29" s="609"/>
      <c r="KIL29" s="609"/>
      <c r="KIM29" s="609"/>
      <c r="KIN29" s="609"/>
      <c r="KIO29" s="609"/>
      <c r="KIP29" s="609"/>
      <c r="KIQ29" s="609"/>
      <c r="KIR29" s="609"/>
      <c r="KIS29" s="609"/>
      <c r="KIT29" s="609"/>
      <c r="KIU29" s="609"/>
      <c r="KIV29" s="609"/>
      <c r="KIW29" s="609"/>
      <c r="KIX29" s="609"/>
      <c r="KIY29" s="609"/>
      <c r="KIZ29" s="609"/>
      <c r="KJA29" s="609"/>
      <c r="KJB29" s="609"/>
      <c r="KJC29" s="609"/>
      <c r="KJD29" s="609"/>
      <c r="KJE29" s="609"/>
      <c r="KJF29" s="609"/>
      <c r="KJG29" s="609"/>
      <c r="KJH29" s="609"/>
      <c r="KJI29" s="609"/>
      <c r="KJJ29" s="609"/>
      <c r="KJK29" s="609"/>
      <c r="KJL29" s="609"/>
      <c r="KJM29" s="609"/>
      <c r="KJN29" s="609"/>
      <c r="KJO29" s="609"/>
      <c r="KJP29" s="609"/>
      <c r="KJQ29" s="609"/>
      <c r="KJR29" s="609"/>
      <c r="KJS29" s="609"/>
      <c r="KJT29" s="609"/>
      <c r="KJU29" s="609"/>
      <c r="KJV29" s="609"/>
      <c r="KJW29" s="609"/>
      <c r="KJX29" s="609"/>
      <c r="KJY29" s="609"/>
      <c r="KJZ29" s="609"/>
      <c r="KKA29" s="609"/>
      <c r="KKB29" s="609"/>
      <c r="KKC29" s="609"/>
      <c r="KKD29" s="609"/>
      <c r="KKE29" s="609"/>
      <c r="KKF29" s="609"/>
      <c r="KKG29" s="609"/>
      <c r="KKH29" s="609"/>
      <c r="KKI29" s="609"/>
      <c r="KKJ29" s="609"/>
      <c r="KKK29" s="609"/>
      <c r="KKL29" s="609"/>
      <c r="KKM29" s="609"/>
      <c r="KKN29" s="609"/>
      <c r="KKO29" s="609"/>
      <c r="KKP29" s="609"/>
      <c r="KKQ29" s="609"/>
      <c r="KKR29" s="609"/>
      <c r="KKS29" s="609"/>
      <c r="KKT29" s="609"/>
      <c r="KKU29" s="609"/>
      <c r="KKV29" s="609"/>
      <c r="KKW29" s="609"/>
      <c r="KKX29" s="609"/>
      <c r="KKY29" s="609"/>
      <c r="KKZ29" s="609"/>
      <c r="KLA29" s="609"/>
      <c r="KLB29" s="609"/>
      <c r="KLC29" s="609"/>
      <c r="KLD29" s="609"/>
      <c r="KLE29" s="609"/>
      <c r="KLF29" s="609"/>
      <c r="KLG29" s="609"/>
      <c r="KLH29" s="609"/>
      <c r="KLI29" s="609"/>
      <c r="KLJ29" s="609"/>
      <c r="KLK29" s="609"/>
      <c r="KLL29" s="609"/>
      <c r="KLM29" s="609"/>
      <c r="KLN29" s="609"/>
      <c r="KLO29" s="609"/>
      <c r="KLP29" s="609"/>
      <c r="KLQ29" s="609"/>
      <c r="KLR29" s="609"/>
      <c r="KLS29" s="609"/>
      <c r="KLT29" s="609"/>
      <c r="KLU29" s="609"/>
      <c r="KLV29" s="609"/>
      <c r="KLW29" s="609"/>
      <c r="KLX29" s="609"/>
      <c r="KLY29" s="609"/>
      <c r="KLZ29" s="609"/>
      <c r="KMA29" s="609"/>
      <c r="KMB29" s="609"/>
      <c r="KMC29" s="609"/>
      <c r="KMD29" s="609"/>
      <c r="KME29" s="609"/>
      <c r="KMF29" s="609"/>
      <c r="KMG29" s="609"/>
      <c r="KMH29" s="609"/>
      <c r="KMI29" s="609"/>
      <c r="KMJ29" s="609"/>
      <c r="KMK29" s="609"/>
      <c r="KML29" s="609"/>
      <c r="KMM29" s="609"/>
      <c r="KMN29" s="609"/>
      <c r="KMO29" s="609"/>
      <c r="KMP29" s="609"/>
      <c r="KMQ29" s="609"/>
      <c r="KMR29" s="609"/>
      <c r="KMS29" s="609"/>
      <c r="KMT29" s="609"/>
      <c r="KMU29" s="609"/>
      <c r="KMV29" s="609"/>
      <c r="KMW29" s="609"/>
      <c r="KMX29" s="609"/>
      <c r="KMY29" s="609"/>
      <c r="KMZ29" s="609"/>
      <c r="KNA29" s="609"/>
      <c r="KNB29" s="609"/>
      <c r="KNC29" s="609"/>
      <c r="KND29" s="609"/>
      <c r="KNE29" s="609"/>
      <c r="KNF29" s="609"/>
      <c r="KNG29" s="609"/>
      <c r="KNH29" s="609"/>
      <c r="KNI29" s="609"/>
      <c r="KNJ29" s="609"/>
      <c r="KNK29" s="609"/>
      <c r="KNL29" s="609"/>
      <c r="KNM29" s="609"/>
      <c r="KNN29" s="609"/>
      <c r="KNO29" s="609"/>
      <c r="KNP29" s="609"/>
      <c r="KNQ29" s="609"/>
      <c r="KNR29" s="609"/>
      <c r="KNS29" s="609"/>
      <c r="KNT29" s="609"/>
      <c r="KNU29" s="609"/>
      <c r="KNV29" s="609"/>
      <c r="KNW29" s="609"/>
      <c r="KNX29" s="609"/>
      <c r="KNY29" s="609"/>
      <c r="KNZ29" s="609"/>
      <c r="KOA29" s="609"/>
      <c r="KOB29" s="609"/>
      <c r="KOC29" s="609"/>
      <c r="KOD29" s="609"/>
      <c r="KOE29" s="609"/>
      <c r="KOF29" s="609"/>
      <c r="KOG29" s="609"/>
      <c r="KOH29" s="609"/>
      <c r="KOI29" s="609"/>
      <c r="KOJ29" s="609"/>
      <c r="KOK29" s="609"/>
      <c r="KOL29" s="609"/>
      <c r="KOM29" s="609"/>
      <c r="KON29" s="609"/>
      <c r="KOO29" s="609"/>
      <c r="KOP29" s="609"/>
      <c r="KOQ29" s="609"/>
      <c r="KOR29" s="609"/>
      <c r="KOS29" s="609"/>
      <c r="KOT29" s="609"/>
      <c r="KOU29" s="609"/>
      <c r="KOV29" s="609"/>
      <c r="KOW29" s="609"/>
      <c r="KOX29" s="609"/>
      <c r="KOY29" s="609"/>
      <c r="KOZ29" s="609"/>
      <c r="KPA29" s="609"/>
      <c r="KPB29" s="609"/>
      <c r="KPC29" s="609"/>
      <c r="KPD29" s="609"/>
      <c r="KPE29" s="609"/>
      <c r="KPF29" s="609"/>
      <c r="KPG29" s="609"/>
      <c r="KPH29" s="609"/>
      <c r="KPI29" s="609"/>
      <c r="KPJ29" s="609"/>
      <c r="KPK29" s="609"/>
      <c r="KPL29" s="609"/>
      <c r="KPM29" s="609"/>
      <c r="KPN29" s="609"/>
      <c r="KPO29" s="609"/>
      <c r="KPP29" s="609"/>
      <c r="KPQ29" s="609"/>
      <c r="KPR29" s="609"/>
      <c r="KPS29" s="609"/>
      <c r="KPT29" s="609"/>
      <c r="KPU29" s="609"/>
      <c r="KPV29" s="609"/>
      <c r="KPW29" s="609"/>
      <c r="KPX29" s="609"/>
      <c r="KPY29" s="609"/>
      <c r="KPZ29" s="609"/>
      <c r="KQA29" s="609"/>
      <c r="KQB29" s="609"/>
      <c r="KQC29" s="609"/>
      <c r="KQD29" s="609"/>
      <c r="KQE29" s="609"/>
      <c r="KQF29" s="609"/>
      <c r="KQG29" s="609"/>
      <c r="KQH29" s="609"/>
      <c r="KQI29" s="609"/>
      <c r="KQJ29" s="609"/>
      <c r="KQK29" s="609"/>
      <c r="KQL29" s="609"/>
      <c r="KQM29" s="609"/>
      <c r="KQN29" s="609"/>
      <c r="KQO29" s="609"/>
      <c r="KQP29" s="609"/>
      <c r="KQQ29" s="609"/>
      <c r="KQR29" s="609"/>
      <c r="KQS29" s="609"/>
      <c r="KQT29" s="609"/>
      <c r="KQU29" s="609"/>
      <c r="KQV29" s="609"/>
      <c r="KQW29" s="609"/>
      <c r="KQX29" s="609"/>
      <c r="KQY29" s="609"/>
      <c r="KQZ29" s="609"/>
      <c r="KRA29" s="609"/>
      <c r="KRB29" s="609"/>
      <c r="KRC29" s="609"/>
      <c r="KRD29" s="609"/>
      <c r="KRE29" s="609"/>
      <c r="KRF29" s="609"/>
      <c r="KRG29" s="609"/>
      <c r="KRH29" s="609"/>
      <c r="KRI29" s="609"/>
      <c r="KRJ29" s="609"/>
      <c r="KRK29" s="609"/>
      <c r="KRL29" s="609"/>
      <c r="KRM29" s="609"/>
      <c r="KRN29" s="609"/>
      <c r="KRO29" s="609"/>
      <c r="KRP29" s="609"/>
      <c r="KRQ29" s="609"/>
      <c r="KRR29" s="609"/>
      <c r="KRS29" s="609"/>
      <c r="KRT29" s="609"/>
      <c r="KRU29" s="609"/>
      <c r="KRV29" s="609"/>
      <c r="KRW29" s="609"/>
      <c r="KRX29" s="609"/>
      <c r="KRY29" s="609"/>
      <c r="KRZ29" s="609"/>
      <c r="KSA29" s="609"/>
      <c r="KSB29" s="609"/>
      <c r="KSC29" s="609"/>
      <c r="KSD29" s="609"/>
      <c r="KSE29" s="609"/>
      <c r="KSF29" s="609"/>
      <c r="KSG29" s="609"/>
      <c r="KSH29" s="609"/>
      <c r="KSI29" s="609"/>
      <c r="KSJ29" s="609"/>
      <c r="KSK29" s="609"/>
      <c r="KSL29" s="609"/>
      <c r="KSM29" s="609"/>
      <c r="KSN29" s="609"/>
      <c r="KSO29" s="609"/>
      <c r="KSP29" s="609"/>
      <c r="KSQ29" s="609"/>
      <c r="KSR29" s="609"/>
      <c r="KSS29" s="609"/>
      <c r="KST29" s="609"/>
      <c r="KSU29" s="609"/>
      <c r="KSV29" s="609"/>
      <c r="KSW29" s="609"/>
      <c r="KSX29" s="609"/>
      <c r="KSY29" s="609"/>
      <c r="KSZ29" s="609"/>
      <c r="KTA29" s="609"/>
      <c r="KTB29" s="609"/>
      <c r="KTC29" s="609"/>
      <c r="KTD29" s="609"/>
      <c r="KTE29" s="609"/>
      <c r="KTF29" s="609"/>
      <c r="KTG29" s="609"/>
      <c r="KTH29" s="609"/>
      <c r="KTI29" s="609"/>
      <c r="KTJ29" s="609"/>
      <c r="KTK29" s="609"/>
      <c r="KTL29" s="609"/>
      <c r="KTM29" s="609"/>
      <c r="KTN29" s="609"/>
      <c r="KTO29" s="609"/>
      <c r="KTP29" s="609"/>
      <c r="KTQ29" s="609"/>
      <c r="KTR29" s="609"/>
      <c r="KTS29" s="609"/>
      <c r="KTT29" s="609"/>
      <c r="KTU29" s="609"/>
      <c r="KTV29" s="609"/>
      <c r="KTW29" s="609"/>
      <c r="KTX29" s="609"/>
      <c r="KTY29" s="609"/>
      <c r="KTZ29" s="609"/>
      <c r="KUA29" s="609"/>
      <c r="KUB29" s="609"/>
      <c r="KUC29" s="609"/>
      <c r="KUD29" s="609"/>
      <c r="KUE29" s="609"/>
      <c r="KUF29" s="609"/>
      <c r="KUG29" s="609"/>
      <c r="KUH29" s="609"/>
      <c r="KUI29" s="609"/>
      <c r="KUJ29" s="609"/>
      <c r="KUK29" s="609"/>
      <c r="KUL29" s="609"/>
      <c r="KUM29" s="609"/>
      <c r="KUN29" s="609"/>
      <c r="KUO29" s="609"/>
      <c r="KUP29" s="609"/>
      <c r="KUQ29" s="609"/>
      <c r="KUR29" s="609"/>
      <c r="KUS29" s="609"/>
      <c r="KUT29" s="609"/>
      <c r="KUU29" s="609"/>
      <c r="KUV29" s="609"/>
      <c r="KUW29" s="609"/>
      <c r="KUX29" s="609"/>
      <c r="KUY29" s="609"/>
      <c r="KUZ29" s="609"/>
      <c r="KVA29" s="609"/>
      <c r="KVB29" s="609"/>
      <c r="KVC29" s="609"/>
      <c r="KVD29" s="609"/>
      <c r="KVE29" s="609"/>
      <c r="KVF29" s="609"/>
      <c r="KVG29" s="609"/>
      <c r="KVH29" s="609"/>
      <c r="KVI29" s="609"/>
      <c r="KVJ29" s="609"/>
      <c r="KVK29" s="609"/>
      <c r="KVL29" s="609"/>
      <c r="KVM29" s="609"/>
      <c r="KVN29" s="609"/>
      <c r="KVO29" s="609"/>
      <c r="KVP29" s="609"/>
      <c r="KVQ29" s="609"/>
      <c r="KVR29" s="609"/>
      <c r="KVS29" s="609"/>
      <c r="KVT29" s="609"/>
      <c r="KVU29" s="609"/>
      <c r="KVV29" s="609"/>
      <c r="KVW29" s="609"/>
      <c r="KVX29" s="609"/>
      <c r="KVY29" s="609"/>
      <c r="KVZ29" s="609"/>
      <c r="KWA29" s="609"/>
      <c r="KWB29" s="609"/>
      <c r="KWC29" s="609"/>
      <c r="KWD29" s="609"/>
      <c r="KWE29" s="609"/>
      <c r="KWF29" s="609"/>
      <c r="KWG29" s="609"/>
      <c r="KWH29" s="609"/>
      <c r="KWI29" s="609"/>
      <c r="KWJ29" s="609"/>
      <c r="KWK29" s="609"/>
      <c r="KWL29" s="609"/>
      <c r="KWM29" s="609"/>
      <c r="KWN29" s="609"/>
      <c r="KWO29" s="609"/>
      <c r="KWP29" s="609"/>
      <c r="KWQ29" s="609"/>
      <c r="KWR29" s="609"/>
      <c r="KWS29" s="609"/>
      <c r="KWT29" s="609"/>
      <c r="KWU29" s="609"/>
      <c r="KWV29" s="609"/>
      <c r="KWW29" s="609"/>
      <c r="KWX29" s="609"/>
      <c r="KWY29" s="609"/>
      <c r="KWZ29" s="609"/>
      <c r="KXA29" s="609"/>
      <c r="KXB29" s="609"/>
      <c r="KXC29" s="609"/>
      <c r="KXD29" s="609"/>
      <c r="KXE29" s="609"/>
      <c r="KXF29" s="609"/>
      <c r="KXG29" s="609"/>
      <c r="KXH29" s="609"/>
      <c r="KXI29" s="609"/>
      <c r="KXJ29" s="609"/>
      <c r="KXK29" s="609"/>
      <c r="KXL29" s="609"/>
      <c r="KXM29" s="609"/>
      <c r="KXN29" s="609"/>
      <c r="KXO29" s="609"/>
      <c r="KXP29" s="609"/>
      <c r="KXQ29" s="609"/>
      <c r="KXR29" s="609"/>
      <c r="KXS29" s="609"/>
      <c r="KXT29" s="609"/>
      <c r="KXU29" s="609"/>
      <c r="KXV29" s="609"/>
      <c r="KXW29" s="609"/>
      <c r="KXX29" s="609"/>
      <c r="KXY29" s="609"/>
      <c r="KXZ29" s="609"/>
      <c r="KYA29" s="609"/>
      <c r="KYB29" s="609"/>
      <c r="KYC29" s="609"/>
      <c r="KYD29" s="609"/>
      <c r="KYE29" s="609"/>
      <c r="KYF29" s="609"/>
      <c r="KYG29" s="609"/>
      <c r="KYH29" s="609"/>
      <c r="KYI29" s="609"/>
      <c r="KYJ29" s="609"/>
      <c r="KYK29" s="609"/>
      <c r="KYL29" s="609"/>
      <c r="KYM29" s="609"/>
      <c r="KYN29" s="609"/>
      <c r="KYO29" s="609"/>
      <c r="KYP29" s="609"/>
      <c r="KYQ29" s="609"/>
      <c r="KYR29" s="609"/>
      <c r="KYS29" s="609"/>
      <c r="KYT29" s="609"/>
      <c r="KYU29" s="609"/>
      <c r="KYV29" s="609"/>
      <c r="KYW29" s="609"/>
      <c r="KYX29" s="609"/>
      <c r="KYY29" s="609"/>
      <c r="KYZ29" s="609"/>
      <c r="KZA29" s="609"/>
      <c r="KZB29" s="609"/>
      <c r="KZC29" s="609"/>
      <c r="KZD29" s="609"/>
      <c r="KZE29" s="609"/>
      <c r="KZF29" s="609"/>
      <c r="KZG29" s="609"/>
      <c r="KZH29" s="609"/>
      <c r="KZI29" s="609"/>
      <c r="KZJ29" s="609"/>
      <c r="KZK29" s="609"/>
      <c r="KZL29" s="609"/>
      <c r="KZM29" s="609"/>
      <c r="KZN29" s="609"/>
      <c r="KZO29" s="609"/>
      <c r="KZP29" s="609"/>
      <c r="KZQ29" s="609"/>
      <c r="KZR29" s="609"/>
      <c r="KZS29" s="609"/>
      <c r="KZT29" s="609"/>
      <c r="KZU29" s="609"/>
      <c r="KZV29" s="609"/>
      <c r="KZW29" s="609"/>
      <c r="KZX29" s="609"/>
      <c r="KZY29" s="609"/>
      <c r="KZZ29" s="609"/>
      <c r="LAA29" s="609"/>
      <c r="LAB29" s="609"/>
      <c r="LAC29" s="609"/>
      <c r="LAD29" s="609"/>
      <c r="LAE29" s="609"/>
      <c r="LAF29" s="609"/>
      <c r="LAG29" s="609"/>
      <c r="LAH29" s="609"/>
      <c r="LAI29" s="609"/>
      <c r="LAJ29" s="609"/>
      <c r="LAK29" s="609"/>
      <c r="LAL29" s="609"/>
      <c r="LAM29" s="609"/>
      <c r="LAN29" s="609"/>
      <c r="LAO29" s="609"/>
      <c r="LAP29" s="609"/>
      <c r="LAQ29" s="609"/>
      <c r="LAR29" s="609"/>
      <c r="LAS29" s="609"/>
      <c r="LAT29" s="609"/>
      <c r="LAU29" s="609"/>
      <c r="LAV29" s="609"/>
      <c r="LAW29" s="609"/>
      <c r="LAX29" s="609"/>
      <c r="LAY29" s="609"/>
      <c r="LAZ29" s="609"/>
      <c r="LBA29" s="609"/>
      <c r="LBB29" s="609"/>
      <c r="LBC29" s="609"/>
      <c r="LBD29" s="609"/>
      <c r="LBE29" s="609"/>
      <c r="LBF29" s="609"/>
      <c r="LBG29" s="609"/>
      <c r="LBH29" s="609"/>
      <c r="LBI29" s="609"/>
      <c r="LBJ29" s="609"/>
      <c r="LBK29" s="609"/>
      <c r="LBL29" s="609"/>
      <c r="LBM29" s="609"/>
      <c r="LBN29" s="609"/>
      <c r="LBO29" s="609"/>
      <c r="LBP29" s="609"/>
      <c r="LBQ29" s="609"/>
      <c r="LBR29" s="609"/>
      <c r="LBS29" s="609"/>
      <c r="LBT29" s="609"/>
      <c r="LBU29" s="609"/>
      <c r="LBV29" s="609"/>
      <c r="LBW29" s="609"/>
      <c r="LBX29" s="609"/>
      <c r="LBY29" s="609"/>
      <c r="LBZ29" s="609"/>
      <c r="LCA29" s="609"/>
      <c r="LCB29" s="609"/>
      <c r="LCC29" s="609"/>
      <c r="LCD29" s="609"/>
      <c r="LCE29" s="609"/>
      <c r="LCF29" s="609"/>
      <c r="LCG29" s="609"/>
      <c r="LCH29" s="609"/>
      <c r="LCI29" s="609"/>
      <c r="LCJ29" s="609"/>
      <c r="LCK29" s="609"/>
      <c r="LCL29" s="609"/>
      <c r="LCM29" s="609"/>
      <c r="LCN29" s="609"/>
      <c r="LCO29" s="609"/>
      <c r="LCP29" s="609"/>
      <c r="LCQ29" s="609"/>
      <c r="LCR29" s="609"/>
      <c r="LCS29" s="609"/>
      <c r="LCT29" s="609"/>
      <c r="LCU29" s="609"/>
      <c r="LCV29" s="609"/>
      <c r="LCW29" s="609"/>
      <c r="LCX29" s="609"/>
      <c r="LCY29" s="609"/>
      <c r="LCZ29" s="609"/>
      <c r="LDA29" s="609"/>
      <c r="LDB29" s="609"/>
      <c r="LDC29" s="609"/>
      <c r="LDD29" s="609"/>
      <c r="LDE29" s="609"/>
      <c r="LDF29" s="609"/>
      <c r="LDG29" s="609"/>
      <c r="LDH29" s="609"/>
      <c r="LDI29" s="609"/>
      <c r="LDJ29" s="609"/>
      <c r="LDK29" s="609"/>
      <c r="LDL29" s="609"/>
      <c r="LDM29" s="609"/>
      <c r="LDN29" s="609"/>
      <c r="LDO29" s="609"/>
      <c r="LDP29" s="609"/>
      <c r="LDQ29" s="609"/>
      <c r="LDR29" s="609"/>
      <c r="LDS29" s="609"/>
      <c r="LDT29" s="609"/>
      <c r="LDU29" s="609"/>
      <c r="LDV29" s="609"/>
      <c r="LDW29" s="609"/>
      <c r="LDX29" s="609"/>
      <c r="LDY29" s="609"/>
      <c r="LDZ29" s="609"/>
      <c r="LEA29" s="609"/>
      <c r="LEB29" s="609"/>
      <c r="LEC29" s="609"/>
      <c r="LED29" s="609"/>
      <c r="LEE29" s="609"/>
      <c r="LEF29" s="609"/>
      <c r="LEG29" s="609"/>
      <c r="LEH29" s="609"/>
      <c r="LEI29" s="609"/>
      <c r="LEJ29" s="609"/>
      <c r="LEK29" s="609"/>
      <c r="LEL29" s="609"/>
      <c r="LEM29" s="609"/>
      <c r="LEN29" s="609"/>
      <c r="LEO29" s="609"/>
      <c r="LEP29" s="609"/>
      <c r="LEQ29" s="609"/>
      <c r="LER29" s="609"/>
      <c r="LES29" s="609"/>
      <c r="LET29" s="609"/>
      <c r="LEU29" s="609"/>
      <c r="LEV29" s="609"/>
      <c r="LEW29" s="609"/>
      <c r="LEX29" s="609"/>
      <c r="LEY29" s="609"/>
      <c r="LEZ29" s="609"/>
      <c r="LFA29" s="609"/>
      <c r="LFB29" s="609"/>
      <c r="LFC29" s="609"/>
      <c r="LFD29" s="609"/>
      <c r="LFE29" s="609"/>
      <c r="LFF29" s="609"/>
      <c r="LFG29" s="609"/>
      <c r="LFH29" s="609"/>
      <c r="LFI29" s="609"/>
      <c r="LFJ29" s="609"/>
      <c r="LFK29" s="609"/>
      <c r="LFL29" s="609"/>
      <c r="LFM29" s="609"/>
      <c r="LFN29" s="609"/>
      <c r="LFO29" s="609"/>
      <c r="LFP29" s="609"/>
      <c r="LFQ29" s="609"/>
      <c r="LFR29" s="609"/>
      <c r="LFS29" s="609"/>
      <c r="LFT29" s="609"/>
      <c r="LFU29" s="609"/>
      <c r="LFV29" s="609"/>
      <c r="LFW29" s="609"/>
      <c r="LFX29" s="609"/>
      <c r="LFY29" s="609"/>
      <c r="LFZ29" s="609"/>
      <c r="LGA29" s="609"/>
      <c r="LGB29" s="609"/>
      <c r="LGC29" s="609"/>
      <c r="LGD29" s="609"/>
      <c r="LGE29" s="609"/>
      <c r="LGF29" s="609"/>
      <c r="LGG29" s="609"/>
      <c r="LGH29" s="609"/>
      <c r="LGI29" s="609"/>
      <c r="LGJ29" s="609"/>
      <c r="LGK29" s="609"/>
      <c r="LGL29" s="609"/>
      <c r="LGM29" s="609"/>
      <c r="LGN29" s="609"/>
      <c r="LGO29" s="609"/>
      <c r="LGP29" s="609"/>
      <c r="LGQ29" s="609"/>
      <c r="LGR29" s="609"/>
      <c r="LGS29" s="609"/>
      <c r="LGT29" s="609"/>
      <c r="LGU29" s="609"/>
      <c r="LGV29" s="609"/>
      <c r="LGW29" s="609"/>
      <c r="LGX29" s="609"/>
      <c r="LGY29" s="609"/>
      <c r="LGZ29" s="609"/>
      <c r="LHA29" s="609"/>
      <c r="LHB29" s="609"/>
      <c r="LHC29" s="609"/>
      <c r="LHD29" s="609"/>
      <c r="LHE29" s="609"/>
      <c r="LHF29" s="609"/>
      <c r="LHG29" s="609"/>
      <c r="LHH29" s="609"/>
      <c r="LHI29" s="609"/>
      <c r="LHJ29" s="609"/>
      <c r="LHK29" s="609"/>
      <c r="LHL29" s="609"/>
      <c r="LHM29" s="609"/>
      <c r="LHN29" s="609"/>
      <c r="LHO29" s="609"/>
      <c r="LHP29" s="609"/>
      <c r="LHQ29" s="609"/>
      <c r="LHR29" s="609"/>
      <c r="LHS29" s="609"/>
      <c r="LHT29" s="609"/>
      <c r="LHU29" s="609"/>
      <c r="LHV29" s="609"/>
      <c r="LHW29" s="609"/>
      <c r="LHX29" s="609"/>
      <c r="LHY29" s="609"/>
      <c r="LHZ29" s="609"/>
      <c r="LIA29" s="609"/>
      <c r="LIB29" s="609"/>
      <c r="LIC29" s="609"/>
      <c r="LID29" s="609"/>
      <c r="LIE29" s="609"/>
      <c r="LIF29" s="609"/>
      <c r="LIG29" s="609"/>
      <c r="LIH29" s="609"/>
      <c r="LII29" s="609"/>
      <c r="LIJ29" s="609"/>
      <c r="LIK29" s="609"/>
      <c r="LIL29" s="609"/>
      <c r="LIM29" s="609"/>
      <c r="LIN29" s="609"/>
      <c r="LIO29" s="609"/>
      <c r="LIP29" s="609"/>
      <c r="LIQ29" s="609"/>
      <c r="LIR29" s="609"/>
      <c r="LIS29" s="609"/>
      <c r="LIT29" s="609"/>
      <c r="LIU29" s="609"/>
      <c r="LIV29" s="609"/>
      <c r="LIW29" s="609"/>
      <c r="LIX29" s="609"/>
      <c r="LIY29" s="609"/>
      <c r="LIZ29" s="609"/>
      <c r="LJA29" s="609"/>
      <c r="LJB29" s="609"/>
      <c r="LJC29" s="609"/>
      <c r="LJD29" s="609"/>
      <c r="LJE29" s="609"/>
      <c r="LJF29" s="609"/>
      <c r="LJG29" s="609"/>
      <c r="LJH29" s="609"/>
      <c r="LJI29" s="609"/>
      <c r="LJJ29" s="609"/>
      <c r="LJK29" s="609"/>
      <c r="LJL29" s="609"/>
      <c r="LJM29" s="609"/>
      <c r="LJN29" s="609"/>
      <c r="LJO29" s="609"/>
      <c r="LJP29" s="609"/>
      <c r="LJQ29" s="609"/>
      <c r="LJR29" s="609"/>
      <c r="LJS29" s="609"/>
      <c r="LJT29" s="609"/>
      <c r="LJU29" s="609"/>
      <c r="LJV29" s="609"/>
      <c r="LJW29" s="609"/>
      <c r="LJX29" s="609"/>
      <c r="LJY29" s="609"/>
      <c r="LJZ29" s="609"/>
      <c r="LKA29" s="609"/>
      <c r="LKB29" s="609"/>
      <c r="LKC29" s="609"/>
      <c r="LKD29" s="609"/>
      <c r="LKE29" s="609"/>
      <c r="LKF29" s="609"/>
      <c r="LKG29" s="609"/>
      <c r="LKH29" s="609"/>
      <c r="LKI29" s="609"/>
      <c r="LKJ29" s="609"/>
      <c r="LKK29" s="609"/>
      <c r="LKL29" s="609"/>
      <c r="LKM29" s="609"/>
      <c r="LKN29" s="609"/>
      <c r="LKO29" s="609"/>
      <c r="LKP29" s="609"/>
      <c r="LKQ29" s="609"/>
      <c r="LKR29" s="609"/>
      <c r="LKS29" s="609"/>
      <c r="LKT29" s="609"/>
      <c r="LKU29" s="609"/>
      <c r="LKV29" s="609"/>
      <c r="LKW29" s="609"/>
      <c r="LKX29" s="609"/>
      <c r="LKY29" s="609"/>
      <c r="LKZ29" s="609"/>
      <c r="LLA29" s="609"/>
      <c r="LLB29" s="609"/>
      <c r="LLC29" s="609"/>
      <c r="LLD29" s="609"/>
      <c r="LLE29" s="609"/>
      <c r="LLF29" s="609"/>
      <c r="LLG29" s="609"/>
      <c r="LLH29" s="609"/>
      <c r="LLI29" s="609"/>
      <c r="LLJ29" s="609"/>
      <c r="LLK29" s="609"/>
      <c r="LLL29" s="609"/>
      <c r="LLM29" s="609"/>
      <c r="LLN29" s="609"/>
      <c r="LLO29" s="609"/>
      <c r="LLP29" s="609"/>
      <c r="LLQ29" s="609"/>
      <c r="LLR29" s="609"/>
      <c r="LLS29" s="609"/>
      <c r="LLT29" s="609"/>
      <c r="LLU29" s="609"/>
      <c r="LLV29" s="609"/>
      <c r="LLW29" s="609"/>
      <c r="LLX29" s="609"/>
      <c r="LLY29" s="609"/>
      <c r="LLZ29" s="609"/>
      <c r="LMA29" s="609"/>
      <c r="LMB29" s="609"/>
      <c r="LMC29" s="609"/>
      <c r="LMD29" s="609"/>
      <c r="LME29" s="609"/>
      <c r="LMF29" s="609"/>
      <c r="LMG29" s="609"/>
      <c r="LMH29" s="609"/>
      <c r="LMI29" s="609"/>
      <c r="LMJ29" s="609"/>
      <c r="LMK29" s="609"/>
      <c r="LML29" s="609"/>
      <c r="LMM29" s="609"/>
      <c r="LMN29" s="609"/>
      <c r="LMO29" s="609"/>
      <c r="LMP29" s="609"/>
      <c r="LMQ29" s="609"/>
      <c r="LMR29" s="609"/>
      <c r="LMS29" s="609"/>
      <c r="LMT29" s="609"/>
      <c r="LMU29" s="609"/>
      <c r="LMV29" s="609"/>
      <c r="LMW29" s="609"/>
      <c r="LMX29" s="609"/>
      <c r="LMY29" s="609"/>
      <c r="LMZ29" s="609"/>
      <c r="LNA29" s="609"/>
      <c r="LNB29" s="609"/>
      <c r="LNC29" s="609"/>
      <c r="LND29" s="609"/>
      <c r="LNE29" s="609"/>
      <c r="LNF29" s="609"/>
      <c r="LNG29" s="609"/>
      <c r="LNH29" s="609"/>
      <c r="LNI29" s="609"/>
      <c r="LNJ29" s="609"/>
      <c r="LNK29" s="609"/>
      <c r="LNL29" s="609"/>
      <c r="LNM29" s="609"/>
      <c r="LNN29" s="609"/>
      <c r="LNO29" s="609"/>
      <c r="LNP29" s="609"/>
      <c r="LNQ29" s="609"/>
      <c r="LNR29" s="609"/>
      <c r="LNS29" s="609"/>
      <c r="LNT29" s="609"/>
      <c r="LNU29" s="609"/>
      <c r="LNV29" s="609"/>
      <c r="LNW29" s="609"/>
      <c r="LNX29" s="609"/>
      <c r="LNY29" s="609"/>
      <c r="LNZ29" s="609"/>
      <c r="LOA29" s="609"/>
      <c r="LOB29" s="609"/>
      <c r="LOC29" s="609"/>
      <c r="LOD29" s="609"/>
      <c r="LOE29" s="609"/>
      <c r="LOF29" s="609"/>
      <c r="LOG29" s="609"/>
      <c r="LOH29" s="609"/>
      <c r="LOI29" s="609"/>
      <c r="LOJ29" s="609"/>
      <c r="LOK29" s="609"/>
      <c r="LOL29" s="609"/>
      <c r="LOM29" s="609"/>
      <c r="LON29" s="609"/>
      <c r="LOO29" s="609"/>
      <c r="LOP29" s="609"/>
      <c r="LOQ29" s="609"/>
      <c r="LOR29" s="609"/>
      <c r="LOS29" s="609"/>
      <c r="LOT29" s="609"/>
      <c r="LOU29" s="609"/>
      <c r="LOV29" s="609"/>
      <c r="LOW29" s="609"/>
      <c r="LOX29" s="609"/>
      <c r="LOY29" s="609"/>
      <c r="LOZ29" s="609"/>
      <c r="LPA29" s="609"/>
      <c r="LPB29" s="609"/>
      <c r="LPC29" s="609"/>
      <c r="LPD29" s="609"/>
      <c r="LPE29" s="609"/>
      <c r="LPF29" s="609"/>
      <c r="LPG29" s="609"/>
      <c r="LPH29" s="609"/>
      <c r="LPI29" s="609"/>
      <c r="LPJ29" s="609"/>
      <c r="LPK29" s="609"/>
      <c r="LPL29" s="609"/>
      <c r="LPM29" s="609"/>
      <c r="LPN29" s="609"/>
      <c r="LPO29" s="609"/>
      <c r="LPP29" s="609"/>
      <c r="LPQ29" s="609"/>
      <c r="LPR29" s="609"/>
      <c r="LPS29" s="609"/>
      <c r="LPT29" s="609"/>
      <c r="LPU29" s="609"/>
      <c r="LPV29" s="609"/>
      <c r="LPW29" s="609"/>
      <c r="LPX29" s="609"/>
      <c r="LPY29" s="609"/>
      <c r="LPZ29" s="609"/>
      <c r="LQA29" s="609"/>
      <c r="LQB29" s="609"/>
      <c r="LQC29" s="609"/>
      <c r="LQD29" s="609"/>
      <c r="LQE29" s="609"/>
      <c r="LQF29" s="609"/>
      <c r="LQG29" s="609"/>
      <c r="LQH29" s="609"/>
      <c r="LQI29" s="609"/>
      <c r="LQJ29" s="609"/>
      <c r="LQK29" s="609"/>
      <c r="LQL29" s="609"/>
      <c r="LQM29" s="609"/>
      <c r="LQN29" s="609"/>
      <c r="LQO29" s="609"/>
      <c r="LQP29" s="609"/>
      <c r="LQQ29" s="609"/>
      <c r="LQR29" s="609"/>
      <c r="LQS29" s="609"/>
      <c r="LQT29" s="609"/>
      <c r="LQU29" s="609"/>
      <c r="LQV29" s="609"/>
      <c r="LQW29" s="609"/>
      <c r="LQX29" s="609"/>
      <c r="LQY29" s="609"/>
      <c r="LQZ29" s="609"/>
      <c r="LRA29" s="609"/>
      <c r="LRB29" s="609"/>
      <c r="LRC29" s="609"/>
      <c r="LRD29" s="609"/>
      <c r="LRE29" s="609"/>
      <c r="LRF29" s="609"/>
      <c r="LRG29" s="609"/>
      <c r="LRH29" s="609"/>
      <c r="LRI29" s="609"/>
      <c r="LRJ29" s="609"/>
      <c r="LRK29" s="609"/>
      <c r="LRL29" s="609"/>
      <c r="LRM29" s="609"/>
      <c r="LRN29" s="609"/>
      <c r="LRO29" s="609"/>
      <c r="LRP29" s="609"/>
      <c r="LRQ29" s="609"/>
      <c r="LRR29" s="609"/>
      <c r="LRS29" s="609"/>
      <c r="LRT29" s="609"/>
      <c r="LRU29" s="609"/>
      <c r="LRV29" s="609"/>
      <c r="LRW29" s="609"/>
      <c r="LRX29" s="609"/>
      <c r="LRY29" s="609"/>
      <c r="LRZ29" s="609"/>
      <c r="LSA29" s="609"/>
      <c r="LSB29" s="609"/>
      <c r="LSC29" s="609"/>
      <c r="LSD29" s="609"/>
      <c r="LSE29" s="609"/>
      <c r="LSF29" s="609"/>
      <c r="LSG29" s="609"/>
      <c r="LSH29" s="609"/>
      <c r="LSI29" s="609"/>
      <c r="LSJ29" s="609"/>
      <c r="LSK29" s="609"/>
      <c r="LSL29" s="609"/>
      <c r="LSM29" s="609"/>
      <c r="LSN29" s="609"/>
      <c r="LSO29" s="609"/>
      <c r="LSP29" s="609"/>
      <c r="LSQ29" s="609"/>
      <c r="LSR29" s="609"/>
      <c r="LSS29" s="609"/>
      <c r="LST29" s="609"/>
      <c r="LSU29" s="609"/>
      <c r="LSV29" s="609"/>
      <c r="LSW29" s="609"/>
      <c r="LSX29" s="609"/>
      <c r="LSY29" s="609"/>
      <c r="LSZ29" s="609"/>
      <c r="LTA29" s="609"/>
      <c r="LTB29" s="609"/>
      <c r="LTC29" s="609"/>
      <c r="LTD29" s="609"/>
      <c r="LTE29" s="609"/>
      <c r="LTF29" s="609"/>
      <c r="LTG29" s="609"/>
      <c r="LTH29" s="609"/>
      <c r="LTI29" s="609"/>
      <c r="LTJ29" s="609"/>
      <c r="LTK29" s="609"/>
      <c r="LTL29" s="609"/>
      <c r="LTM29" s="609"/>
      <c r="LTN29" s="609"/>
      <c r="LTO29" s="609"/>
      <c r="LTP29" s="609"/>
      <c r="LTQ29" s="609"/>
      <c r="LTR29" s="609"/>
      <c r="LTS29" s="609"/>
      <c r="LTT29" s="609"/>
      <c r="LTU29" s="609"/>
      <c r="LTV29" s="609"/>
      <c r="LTW29" s="609"/>
      <c r="LTX29" s="609"/>
      <c r="LTY29" s="609"/>
      <c r="LTZ29" s="609"/>
      <c r="LUA29" s="609"/>
      <c r="LUB29" s="609"/>
      <c r="LUC29" s="609"/>
      <c r="LUD29" s="609"/>
      <c r="LUE29" s="609"/>
      <c r="LUF29" s="609"/>
      <c r="LUG29" s="609"/>
      <c r="LUH29" s="609"/>
      <c r="LUI29" s="609"/>
      <c r="LUJ29" s="609"/>
      <c r="LUK29" s="609"/>
      <c r="LUL29" s="609"/>
      <c r="LUM29" s="609"/>
      <c r="LUN29" s="609"/>
      <c r="LUO29" s="609"/>
      <c r="LUP29" s="609"/>
      <c r="LUQ29" s="609"/>
      <c r="LUR29" s="609"/>
      <c r="LUS29" s="609"/>
      <c r="LUT29" s="609"/>
      <c r="LUU29" s="609"/>
      <c r="LUV29" s="609"/>
      <c r="LUW29" s="609"/>
      <c r="LUX29" s="609"/>
      <c r="LUY29" s="609"/>
      <c r="LUZ29" s="609"/>
      <c r="LVA29" s="609"/>
      <c r="LVB29" s="609"/>
      <c r="LVC29" s="609"/>
      <c r="LVD29" s="609"/>
      <c r="LVE29" s="609"/>
      <c r="LVF29" s="609"/>
      <c r="LVG29" s="609"/>
      <c r="LVH29" s="609"/>
      <c r="LVI29" s="609"/>
      <c r="LVJ29" s="609"/>
      <c r="LVK29" s="609"/>
      <c r="LVL29" s="609"/>
      <c r="LVM29" s="609"/>
      <c r="LVN29" s="609"/>
      <c r="LVO29" s="609"/>
      <c r="LVP29" s="609"/>
      <c r="LVQ29" s="609"/>
      <c r="LVR29" s="609"/>
      <c r="LVS29" s="609"/>
      <c r="LVT29" s="609"/>
      <c r="LVU29" s="609"/>
      <c r="LVV29" s="609"/>
      <c r="LVW29" s="609"/>
      <c r="LVX29" s="609"/>
      <c r="LVY29" s="609"/>
      <c r="LVZ29" s="609"/>
      <c r="LWA29" s="609"/>
      <c r="LWB29" s="609"/>
      <c r="LWC29" s="609"/>
      <c r="LWD29" s="609"/>
      <c r="LWE29" s="609"/>
      <c r="LWF29" s="609"/>
      <c r="LWG29" s="609"/>
      <c r="LWH29" s="609"/>
      <c r="LWI29" s="609"/>
      <c r="LWJ29" s="609"/>
      <c r="LWK29" s="609"/>
      <c r="LWL29" s="609"/>
      <c r="LWM29" s="609"/>
      <c r="LWN29" s="609"/>
      <c r="LWO29" s="609"/>
      <c r="LWP29" s="609"/>
      <c r="LWQ29" s="609"/>
      <c r="LWR29" s="609"/>
      <c r="LWS29" s="609"/>
      <c r="LWT29" s="609"/>
      <c r="LWU29" s="609"/>
      <c r="LWV29" s="609"/>
      <c r="LWW29" s="609"/>
      <c r="LWX29" s="609"/>
      <c r="LWY29" s="609"/>
      <c r="LWZ29" s="609"/>
      <c r="LXA29" s="609"/>
      <c r="LXB29" s="609"/>
      <c r="LXC29" s="609"/>
      <c r="LXD29" s="609"/>
      <c r="LXE29" s="609"/>
      <c r="LXF29" s="609"/>
      <c r="LXG29" s="609"/>
      <c r="LXH29" s="609"/>
      <c r="LXI29" s="609"/>
      <c r="LXJ29" s="609"/>
      <c r="LXK29" s="609"/>
      <c r="LXL29" s="609"/>
      <c r="LXM29" s="609"/>
      <c r="LXN29" s="609"/>
      <c r="LXO29" s="609"/>
      <c r="LXP29" s="609"/>
      <c r="LXQ29" s="609"/>
      <c r="LXR29" s="609"/>
      <c r="LXS29" s="609"/>
      <c r="LXT29" s="609"/>
      <c r="LXU29" s="609"/>
      <c r="LXV29" s="609"/>
      <c r="LXW29" s="609"/>
      <c r="LXX29" s="609"/>
      <c r="LXY29" s="609"/>
      <c r="LXZ29" s="609"/>
      <c r="LYA29" s="609"/>
      <c r="LYB29" s="609"/>
      <c r="LYC29" s="609"/>
      <c r="LYD29" s="609"/>
      <c r="LYE29" s="609"/>
      <c r="LYF29" s="609"/>
      <c r="LYG29" s="609"/>
      <c r="LYH29" s="609"/>
      <c r="LYI29" s="609"/>
      <c r="LYJ29" s="609"/>
      <c r="LYK29" s="609"/>
      <c r="LYL29" s="609"/>
      <c r="LYM29" s="609"/>
      <c r="LYN29" s="609"/>
      <c r="LYO29" s="609"/>
      <c r="LYP29" s="609"/>
      <c r="LYQ29" s="609"/>
      <c r="LYR29" s="609"/>
      <c r="LYS29" s="609"/>
      <c r="LYT29" s="609"/>
      <c r="LYU29" s="609"/>
      <c r="LYV29" s="609"/>
      <c r="LYW29" s="609"/>
      <c r="LYX29" s="609"/>
      <c r="LYY29" s="609"/>
      <c r="LYZ29" s="609"/>
      <c r="LZA29" s="609"/>
      <c r="LZB29" s="609"/>
      <c r="LZC29" s="609"/>
      <c r="LZD29" s="609"/>
      <c r="LZE29" s="609"/>
      <c r="LZF29" s="609"/>
      <c r="LZG29" s="609"/>
      <c r="LZH29" s="609"/>
      <c r="LZI29" s="609"/>
      <c r="LZJ29" s="609"/>
      <c r="LZK29" s="609"/>
      <c r="LZL29" s="609"/>
      <c r="LZM29" s="609"/>
      <c r="LZN29" s="609"/>
      <c r="LZO29" s="609"/>
      <c r="LZP29" s="609"/>
      <c r="LZQ29" s="609"/>
      <c r="LZR29" s="609"/>
      <c r="LZS29" s="609"/>
      <c r="LZT29" s="609"/>
      <c r="LZU29" s="609"/>
      <c r="LZV29" s="609"/>
      <c r="LZW29" s="609"/>
      <c r="LZX29" s="609"/>
      <c r="LZY29" s="609"/>
      <c r="LZZ29" s="609"/>
      <c r="MAA29" s="609"/>
      <c r="MAB29" s="609"/>
      <c r="MAC29" s="609"/>
      <c r="MAD29" s="609"/>
      <c r="MAE29" s="609"/>
      <c r="MAF29" s="609"/>
      <c r="MAG29" s="609"/>
      <c r="MAH29" s="609"/>
      <c r="MAI29" s="609"/>
      <c r="MAJ29" s="609"/>
      <c r="MAK29" s="609"/>
      <c r="MAL29" s="609"/>
      <c r="MAM29" s="609"/>
      <c r="MAN29" s="609"/>
      <c r="MAO29" s="609"/>
      <c r="MAP29" s="609"/>
      <c r="MAQ29" s="609"/>
      <c r="MAR29" s="609"/>
      <c r="MAS29" s="609"/>
      <c r="MAT29" s="609"/>
      <c r="MAU29" s="609"/>
      <c r="MAV29" s="609"/>
      <c r="MAW29" s="609"/>
      <c r="MAX29" s="609"/>
      <c r="MAY29" s="609"/>
      <c r="MAZ29" s="609"/>
      <c r="MBA29" s="609"/>
      <c r="MBB29" s="609"/>
      <c r="MBC29" s="609"/>
      <c r="MBD29" s="609"/>
      <c r="MBE29" s="609"/>
      <c r="MBF29" s="609"/>
      <c r="MBG29" s="609"/>
      <c r="MBH29" s="609"/>
      <c r="MBI29" s="609"/>
      <c r="MBJ29" s="609"/>
      <c r="MBK29" s="609"/>
      <c r="MBL29" s="609"/>
      <c r="MBM29" s="609"/>
      <c r="MBN29" s="609"/>
      <c r="MBO29" s="609"/>
      <c r="MBP29" s="609"/>
      <c r="MBQ29" s="609"/>
      <c r="MBR29" s="609"/>
      <c r="MBS29" s="609"/>
      <c r="MBT29" s="609"/>
      <c r="MBU29" s="609"/>
      <c r="MBV29" s="609"/>
      <c r="MBW29" s="609"/>
      <c r="MBX29" s="609"/>
      <c r="MBY29" s="609"/>
      <c r="MBZ29" s="609"/>
      <c r="MCA29" s="609"/>
      <c r="MCB29" s="609"/>
      <c r="MCC29" s="609"/>
      <c r="MCD29" s="609"/>
      <c r="MCE29" s="609"/>
      <c r="MCF29" s="609"/>
      <c r="MCG29" s="609"/>
      <c r="MCH29" s="609"/>
      <c r="MCI29" s="609"/>
      <c r="MCJ29" s="609"/>
      <c r="MCK29" s="609"/>
      <c r="MCL29" s="609"/>
      <c r="MCM29" s="609"/>
      <c r="MCN29" s="609"/>
      <c r="MCO29" s="609"/>
      <c r="MCP29" s="609"/>
      <c r="MCQ29" s="609"/>
      <c r="MCR29" s="609"/>
      <c r="MCS29" s="609"/>
      <c r="MCT29" s="609"/>
      <c r="MCU29" s="609"/>
      <c r="MCV29" s="609"/>
      <c r="MCW29" s="609"/>
      <c r="MCX29" s="609"/>
      <c r="MCY29" s="609"/>
      <c r="MCZ29" s="609"/>
      <c r="MDA29" s="609"/>
      <c r="MDB29" s="609"/>
      <c r="MDC29" s="609"/>
      <c r="MDD29" s="609"/>
      <c r="MDE29" s="609"/>
      <c r="MDF29" s="609"/>
      <c r="MDG29" s="609"/>
      <c r="MDH29" s="609"/>
      <c r="MDI29" s="609"/>
      <c r="MDJ29" s="609"/>
      <c r="MDK29" s="609"/>
      <c r="MDL29" s="609"/>
      <c r="MDM29" s="609"/>
      <c r="MDN29" s="609"/>
      <c r="MDO29" s="609"/>
      <c r="MDP29" s="609"/>
      <c r="MDQ29" s="609"/>
      <c r="MDR29" s="609"/>
      <c r="MDS29" s="609"/>
      <c r="MDT29" s="609"/>
      <c r="MDU29" s="609"/>
      <c r="MDV29" s="609"/>
      <c r="MDW29" s="609"/>
      <c r="MDX29" s="609"/>
      <c r="MDY29" s="609"/>
      <c r="MDZ29" s="609"/>
      <c r="MEA29" s="609"/>
      <c r="MEB29" s="609"/>
      <c r="MEC29" s="609"/>
      <c r="MED29" s="609"/>
      <c r="MEE29" s="609"/>
      <c r="MEF29" s="609"/>
      <c r="MEG29" s="609"/>
      <c r="MEH29" s="609"/>
      <c r="MEI29" s="609"/>
      <c r="MEJ29" s="609"/>
      <c r="MEK29" s="609"/>
      <c r="MEL29" s="609"/>
      <c r="MEM29" s="609"/>
      <c r="MEN29" s="609"/>
      <c r="MEO29" s="609"/>
      <c r="MEP29" s="609"/>
      <c r="MEQ29" s="609"/>
      <c r="MER29" s="609"/>
      <c r="MES29" s="609"/>
      <c r="MET29" s="609"/>
      <c r="MEU29" s="609"/>
      <c r="MEV29" s="609"/>
      <c r="MEW29" s="609"/>
      <c r="MEX29" s="609"/>
      <c r="MEY29" s="609"/>
      <c r="MEZ29" s="609"/>
      <c r="MFA29" s="609"/>
      <c r="MFB29" s="609"/>
      <c r="MFC29" s="609"/>
      <c r="MFD29" s="609"/>
      <c r="MFE29" s="609"/>
      <c r="MFF29" s="609"/>
      <c r="MFG29" s="609"/>
      <c r="MFH29" s="609"/>
      <c r="MFI29" s="609"/>
      <c r="MFJ29" s="609"/>
      <c r="MFK29" s="609"/>
      <c r="MFL29" s="609"/>
      <c r="MFM29" s="609"/>
      <c r="MFN29" s="609"/>
      <c r="MFO29" s="609"/>
      <c r="MFP29" s="609"/>
      <c r="MFQ29" s="609"/>
      <c r="MFR29" s="609"/>
      <c r="MFS29" s="609"/>
      <c r="MFT29" s="609"/>
      <c r="MFU29" s="609"/>
      <c r="MFV29" s="609"/>
      <c r="MFW29" s="609"/>
      <c r="MFX29" s="609"/>
      <c r="MFY29" s="609"/>
      <c r="MFZ29" s="609"/>
      <c r="MGA29" s="609"/>
      <c r="MGB29" s="609"/>
      <c r="MGC29" s="609"/>
      <c r="MGD29" s="609"/>
      <c r="MGE29" s="609"/>
      <c r="MGF29" s="609"/>
      <c r="MGG29" s="609"/>
      <c r="MGH29" s="609"/>
      <c r="MGI29" s="609"/>
      <c r="MGJ29" s="609"/>
      <c r="MGK29" s="609"/>
      <c r="MGL29" s="609"/>
      <c r="MGM29" s="609"/>
      <c r="MGN29" s="609"/>
      <c r="MGO29" s="609"/>
      <c r="MGP29" s="609"/>
      <c r="MGQ29" s="609"/>
      <c r="MGR29" s="609"/>
      <c r="MGS29" s="609"/>
      <c r="MGT29" s="609"/>
      <c r="MGU29" s="609"/>
      <c r="MGV29" s="609"/>
      <c r="MGW29" s="609"/>
      <c r="MGX29" s="609"/>
      <c r="MGY29" s="609"/>
      <c r="MGZ29" s="609"/>
      <c r="MHA29" s="609"/>
      <c r="MHB29" s="609"/>
      <c r="MHC29" s="609"/>
      <c r="MHD29" s="609"/>
      <c r="MHE29" s="609"/>
      <c r="MHF29" s="609"/>
      <c r="MHG29" s="609"/>
      <c r="MHH29" s="609"/>
      <c r="MHI29" s="609"/>
      <c r="MHJ29" s="609"/>
      <c r="MHK29" s="609"/>
      <c r="MHL29" s="609"/>
      <c r="MHM29" s="609"/>
      <c r="MHN29" s="609"/>
      <c r="MHO29" s="609"/>
      <c r="MHP29" s="609"/>
      <c r="MHQ29" s="609"/>
      <c r="MHR29" s="609"/>
      <c r="MHS29" s="609"/>
      <c r="MHT29" s="609"/>
      <c r="MHU29" s="609"/>
      <c r="MHV29" s="609"/>
      <c r="MHW29" s="609"/>
      <c r="MHX29" s="609"/>
      <c r="MHY29" s="609"/>
      <c r="MHZ29" s="609"/>
      <c r="MIA29" s="609"/>
      <c r="MIB29" s="609"/>
      <c r="MIC29" s="609"/>
      <c r="MID29" s="609"/>
      <c r="MIE29" s="609"/>
      <c r="MIF29" s="609"/>
      <c r="MIG29" s="609"/>
      <c r="MIH29" s="609"/>
      <c r="MII29" s="609"/>
      <c r="MIJ29" s="609"/>
      <c r="MIK29" s="609"/>
      <c r="MIL29" s="609"/>
      <c r="MIM29" s="609"/>
      <c r="MIN29" s="609"/>
      <c r="MIO29" s="609"/>
      <c r="MIP29" s="609"/>
      <c r="MIQ29" s="609"/>
      <c r="MIR29" s="609"/>
      <c r="MIS29" s="609"/>
      <c r="MIT29" s="609"/>
      <c r="MIU29" s="609"/>
      <c r="MIV29" s="609"/>
      <c r="MIW29" s="609"/>
      <c r="MIX29" s="609"/>
      <c r="MIY29" s="609"/>
      <c r="MIZ29" s="609"/>
      <c r="MJA29" s="609"/>
      <c r="MJB29" s="609"/>
      <c r="MJC29" s="609"/>
      <c r="MJD29" s="609"/>
      <c r="MJE29" s="609"/>
      <c r="MJF29" s="609"/>
      <c r="MJG29" s="609"/>
      <c r="MJH29" s="609"/>
      <c r="MJI29" s="609"/>
      <c r="MJJ29" s="609"/>
      <c r="MJK29" s="609"/>
      <c r="MJL29" s="609"/>
      <c r="MJM29" s="609"/>
      <c r="MJN29" s="609"/>
      <c r="MJO29" s="609"/>
      <c r="MJP29" s="609"/>
      <c r="MJQ29" s="609"/>
      <c r="MJR29" s="609"/>
      <c r="MJS29" s="609"/>
      <c r="MJT29" s="609"/>
      <c r="MJU29" s="609"/>
      <c r="MJV29" s="609"/>
      <c r="MJW29" s="609"/>
      <c r="MJX29" s="609"/>
      <c r="MJY29" s="609"/>
      <c r="MJZ29" s="609"/>
      <c r="MKA29" s="609"/>
      <c r="MKB29" s="609"/>
      <c r="MKC29" s="609"/>
      <c r="MKD29" s="609"/>
      <c r="MKE29" s="609"/>
      <c r="MKF29" s="609"/>
      <c r="MKG29" s="609"/>
      <c r="MKH29" s="609"/>
      <c r="MKI29" s="609"/>
      <c r="MKJ29" s="609"/>
      <c r="MKK29" s="609"/>
      <c r="MKL29" s="609"/>
      <c r="MKM29" s="609"/>
      <c r="MKN29" s="609"/>
      <c r="MKO29" s="609"/>
      <c r="MKP29" s="609"/>
      <c r="MKQ29" s="609"/>
      <c r="MKR29" s="609"/>
      <c r="MKS29" s="609"/>
      <c r="MKT29" s="609"/>
      <c r="MKU29" s="609"/>
      <c r="MKV29" s="609"/>
      <c r="MKW29" s="609"/>
      <c r="MKX29" s="609"/>
      <c r="MKY29" s="609"/>
      <c r="MKZ29" s="609"/>
      <c r="MLA29" s="609"/>
      <c r="MLB29" s="609"/>
      <c r="MLC29" s="609"/>
      <c r="MLD29" s="609"/>
      <c r="MLE29" s="609"/>
      <c r="MLF29" s="609"/>
      <c r="MLG29" s="609"/>
      <c r="MLH29" s="609"/>
      <c r="MLI29" s="609"/>
      <c r="MLJ29" s="609"/>
      <c r="MLK29" s="609"/>
      <c r="MLL29" s="609"/>
      <c r="MLM29" s="609"/>
      <c r="MLN29" s="609"/>
      <c r="MLO29" s="609"/>
      <c r="MLP29" s="609"/>
      <c r="MLQ29" s="609"/>
      <c r="MLR29" s="609"/>
      <c r="MLS29" s="609"/>
      <c r="MLT29" s="609"/>
      <c r="MLU29" s="609"/>
      <c r="MLV29" s="609"/>
      <c r="MLW29" s="609"/>
      <c r="MLX29" s="609"/>
      <c r="MLY29" s="609"/>
      <c r="MLZ29" s="609"/>
      <c r="MMA29" s="609"/>
      <c r="MMB29" s="609"/>
      <c r="MMC29" s="609"/>
      <c r="MMD29" s="609"/>
      <c r="MME29" s="609"/>
      <c r="MMF29" s="609"/>
      <c r="MMG29" s="609"/>
      <c r="MMH29" s="609"/>
      <c r="MMI29" s="609"/>
      <c r="MMJ29" s="609"/>
      <c r="MMK29" s="609"/>
      <c r="MML29" s="609"/>
      <c r="MMM29" s="609"/>
      <c r="MMN29" s="609"/>
      <c r="MMO29" s="609"/>
      <c r="MMP29" s="609"/>
      <c r="MMQ29" s="609"/>
      <c r="MMR29" s="609"/>
      <c r="MMS29" s="609"/>
      <c r="MMT29" s="609"/>
      <c r="MMU29" s="609"/>
      <c r="MMV29" s="609"/>
      <c r="MMW29" s="609"/>
      <c r="MMX29" s="609"/>
      <c r="MMY29" s="609"/>
      <c r="MMZ29" s="609"/>
      <c r="MNA29" s="609"/>
      <c r="MNB29" s="609"/>
      <c r="MNC29" s="609"/>
      <c r="MND29" s="609"/>
      <c r="MNE29" s="609"/>
      <c r="MNF29" s="609"/>
      <c r="MNG29" s="609"/>
      <c r="MNH29" s="609"/>
      <c r="MNI29" s="609"/>
      <c r="MNJ29" s="609"/>
      <c r="MNK29" s="609"/>
      <c r="MNL29" s="609"/>
      <c r="MNM29" s="609"/>
      <c r="MNN29" s="609"/>
      <c r="MNO29" s="609"/>
      <c r="MNP29" s="609"/>
      <c r="MNQ29" s="609"/>
      <c r="MNR29" s="609"/>
      <c r="MNS29" s="609"/>
      <c r="MNT29" s="609"/>
      <c r="MNU29" s="609"/>
      <c r="MNV29" s="609"/>
      <c r="MNW29" s="609"/>
      <c r="MNX29" s="609"/>
      <c r="MNY29" s="609"/>
      <c r="MNZ29" s="609"/>
      <c r="MOA29" s="609"/>
      <c r="MOB29" s="609"/>
      <c r="MOC29" s="609"/>
      <c r="MOD29" s="609"/>
      <c r="MOE29" s="609"/>
      <c r="MOF29" s="609"/>
      <c r="MOG29" s="609"/>
      <c r="MOH29" s="609"/>
      <c r="MOI29" s="609"/>
      <c r="MOJ29" s="609"/>
      <c r="MOK29" s="609"/>
      <c r="MOL29" s="609"/>
      <c r="MOM29" s="609"/>
      <c r="MON29" s="609"/>
      <c r="MOO29" s="609"/>
      <c r="MOP29" s="609"/>
      <c r="MOQ29" s="609"/>
      <c r="MOR29" s="609"/>
      <c r="MOS29" s="609"/>
      <c r="MOT29" s="609"/>
      <c r="MOU29" s="609"/>
      <c r="MOV29" s="609"/>
      <c r="MOW29" s="609"/>
      <c r="MOX29" s="609"/>
      <c r="MOY29" s="609"/>
      <c r="MOZ29" s="609"/>
      <c r="MPA29" s="609"/>
      <c r="MPB29" s="609"/>
      <c r="MPC29" s="609"/>
      <c r="MPD29" s="609"/>
      <c r="MPE29" s="609"/>
      <c r="MPF29" s="609"/>
      <c r="MPG29" s="609"/>
      <c r="MPH29" s="609"/>
      <c r="MPI29" s="609"/>
      <c r="MPJ29" s="609"/>
      <c r="MPK29" s="609"/>
      <c r="MPL29" s="609"/>
      <c r="MPM29" s="609"/>
      <c r="MPN29" s="609"/>
      <c r="MPO29" s="609"/>
      <c r="MPP29" s="609"/>
      <c r="MPQ29" s="609"/>
      <c r="MPR29" s="609"/>
      <c r="MPS29" s="609"/>
      <c r="MPT29" s="609"/>
      <c r="MPU29" s="609"/>
      <c r="MPV29" s="609"/>
      <c r="MPW29" s="609"/>
      <c r="MPX29" s="609"/>
      <c r="MPY29" s="609"/>
      <c r="MPZ29" s="609"/>
      <c r="MQA29" s="609"/>
      <c r="MQB29" s="609"/>
      <c r="MQC29" s="609"/>
      <c r="MQD29" s="609"/>
      <c r="MQE29" s="609"/>
      <c r="MQF29" s="609"/>
      <c r="MQG29" s="609"/>
      <c r="MQH29" s="609"/>
      <c r="MQI29" s="609"/>
      <c r="MQJ29" s="609"/>
      <c r="MQK29" s="609"/>
      <c r="MQL29" s="609"/>
      <c r="MQM29" s="609"/>
      <c r="MQN29" s="609"/>
      <c r="MQO29" s="609"/>
      <c r="MQP29" s="609"/>
      <c r="MQQ29" s="609"/>
      <c r="MQR29" s="609"/>
      <c r="MQS29" s="609"/>
      <c r="MQT29" s="609"/>
      <c r="MQU29" s="609"/>
      <c r="MQV29" s="609"/>
      <c r="MQW29" s="609"/>
      <c r="MQX29" s="609"/>
      <c r="MQY29" s="609"/>
      <c r="MQZ29" s="609"/>
      <c r="MRA29" s="609"/>
      <c r="MRB29" s="609"/>
      <c r="MRC29" s="609"/>
      <c r="MRD29" s="609"/>
      <c r="MRE29" s="609"/>
      <c r="MRF29" s="609"/>
      <c r="MRG29" s="609"/>
      <c r="MRH29" s="609"/>
      <c r="MRI29" s="609"/>
      <c r="MRJ29" s="609"/>
      <c r="MRK29" s="609"/>
      <c r="MRL29" s="609"/>
      <c r="MRM29" s="609"/>
      <c r="MRN29" s="609"/>
      <c r="MRO29" s="609"/>
      <c r="MRP29" s="609"/>
      <c r="MRQ29" s="609"/>
      <c r="MRR29" s="609"/>
      <c r="MRS29" s="609"/>
      <c r="MRT29" s="609"/>
      <c r="MRU29" s="609"/>
      <c r="MRV29" s="609"/>
      <c r="MRW29" s="609"/>
      <c r="MRX29" s="609"/>
      <c r="MRY29" s="609"/>
      <c r="MRZ29" s="609"/>
      <c r="MSA29" s="609"/>
      <c r="MSB29" s="609"/>
      <c r="MSC29" s="609"/>
      <c r="MSD29" s="609"/>
      <c r="MSE29" s="609"/>
      <c r="MSF29" s="609"/>
      <c r="MSG29" s="609"/>
      <c r="MSH29" s="609"/>
      <c r="MSI29" s="609"/>
      <c r="MSJ29" s="609"/>
      <c r="MSK29" s="609"/>
      <c r="MSL29" s="609"/>
      <c r="MSM29" s="609"/>
      <c r="MSN29" s="609"/>
      <c r="MSO29" s="609"/>
      <c r="MSP29" s="609"/>
      <c r="MSQ29" s="609"/>
      <c r="MSR29" s="609"/>
      <c r="MSS29" s="609"/>
      <c r="MST29" s="609"/>
      <c r="MSU29" s="609"/>
      <c r="MSV29" s="609"/>
      <c r="MSW29" s="609"/>
      <c r="MSX29" s="609"/>
      <c r="MSY29" s="609"/>
      <c r="MSZ29" s="609"/>
      <c r="MTA29" s="609"/>
      <c r="MTB29" s="609"/>
      <c r="MTC29" s="609"/>
      <c r="MTD29" s="609"/>
      <c r="MTE29" s="609"/>
      <c r="MTF29" s="609"/>
      <c r="MTG29" s="609"/>
      <c r="MTH29" s="609"/>
      <c r="MTI29" s="609"/>
      <c r="MTJ29" s="609"/>
      <c r="MTK29" s="609"/>
      <c r="MTL29" s="609"/>
      <c r="MTM29" s="609"/>
      <c r="MTN29" s="609"/>
      <c r="MTO29" s="609"/>
      <c r="MTP29" s="609"/>
      <c r="MTQ29" s="609"/>
      <c r="MTR29" s="609"/>
      <c r="MTS29" s="609"/>
      <c r="MTT29" s="609"/>
      <c r="MTU29" s="609"/>
      <c r="MTV29" s="609"/>
      <c r="MTW29" s="609"/>
      <c r="MTX29" s="609"/>
      <c r="MTY29" s="609"/>
      <c r="MTZ29" s="609"/>
      <c r="MUA29" s="609"/>
      <c r="MUB29" s="609"/>
      <c r="MUC29" s="609"/>
      <c r="MUD29" s="609"/>
      <c r="MUE29" s="609"/>
      <c r="MUF29" s="609"/>
      <c r="MUG29" s="609"/>
      <c r="MUH29" s="609"/>
      <c r="MUI29" s="609"/>
      <c r="MUJ29" s="609"/>
      <c r="MUK29" s="609"/>
      <c r="MUL29" s="609"/>
      <c r="MUM29" s="609"/>
      <c r="MUN29" s="609"/>
      <c r="MUO29" s="609"/>
      <c r="MUP29" s="609"/>
      <c r="MUQ29" s="609"/>
      <c r="MUR29" s="609"/>
      <c r="MUS29" s="609"/>
      <c r="MUT29" s="609"/>
      <c r="MUU29" s="609"/>
      <c r="MUV29" s="609"/>
      <c r="MUW29" s="609"/>
      <c r="MUX29" s="609"/>
      <c r="MUY29" s="609"/>
      <c r="MUZ29" s="609"/>
      <c r="MVA29" s="609"/>
      <c r="MVB29" s="609"/>
      <c r="MVC29" s="609"/>
      <c r="MVD29" s="609"/>
      <c r="MVE29" s="609"/>
      <c r="MVF29" s="609"/>
      <c r="MVG29" s="609"/>
      <c r="MVH29" s="609"/>
      <c r="MVI29" s="609"/>
      <c r="MVJ29" s="609"/>
      <c r="MVK29" s="609"/>
      <c r="MVL29" s="609"/>
      <c r="MVM29" s="609"/>
      <c r="MVN29" s="609"/>
      <c r="MVO29" s="609"/>
      <c r="MVP29" s="609"/>
      <c r="MVQ29" s="609"/>
      <c r="MVR29" s="609"/>
      <c r="MVS29" s="609"/>
      <c r="MVT29" s="609"/>
      <c r="MVU29" s="609"/>
      <c r="MVV29" s="609"/>
      <c r="MVW29" s="609"/>
      <c r="MVX29" s="609"/>
      <c r="MVY29" s="609"/>
      <c r="MVZ29" s="609"/>
      <c r="MWA29" s="609"/>
      <c r="MWB29" s="609"/>
      <c r="MWC29" s="609"/>
      <c r="MWD29" s="609"/>
      <c r="MWE29" s="609"/>
      <c r="MWF29" s="609"/>
      <c r="MWG29" s="609"/>
      <c r="MWH29" s="609"/>
      <c r="MWI29" s="609"/>
      <c r="MWJ29" s="609"/>
      <c r="MWK29" s="609"/>
      <c r="MWL29" s="609"/>
      <c r="MWM29" s="609"/>
      <c r="MWN29" s="609"/>
      <c r="MWO29" s="609"/>
      <c r="MWP29" s="609"/>
      <c r="MWQ29" s="609"/>
      <c r="MWR29" s="609"/>
      <c r="MWS29" s="609"/>
      <c r="MWT29" s="609"/>
      <c r="MWU29" s="609"/>
      <c r="MWV29" s="609"/>
      <c r="MWW29" s="609"/>
      <c r="MWX29" s="609"/>
      <c r="MWY29" s="609"/>
      <c r="MWZ29" s="609"/>
      <c r="MXA29" s="609"/>
      <c r="MXB29" s="609"/>
      <c r="MXC29" s="609"/>
      <c r="MXD29" s="609"/>
      <c r="MXE29" s="609"/>
      <c r="MXF29" s="609"/>
      <c r="MXG29" s="609"/>
      <c r="MXH29" s="609"/>
      <c r="MXI29" s="609"/>
      <c r="MXJ29" s="609"/>
      <c r="MXK29" s="609"/>
      <c r="MXL29" s="609"/>
      <c r="MXM29" s="609"/>
      <c r="MXN29" s="609"/>
      <c r="MXO29" s="609"/>
      <c r="MXP29" s="609"/>
      <c r="MXQ29" s="609"/>
      <c r="MXR29" s="609"/>
      <c r="MXS29" s="609"/>
      <c r="MXT29" s="609"/>
      <c r="MXU29" s="609"/>
      <c r="MXV29" s="609"/>
      <c r="MXW29" s="609"/>
      <c r="MXX29" s="609"/>
      <c r="MXY29" s="609"/>
      <c r="MXZ29" s="609"/>
      <c r="MYA29" s="609"/>
      <c r="MYB29" s="609"/>
      <c r="MYC29" s="609"/>
      <c r="MYD29" s="609"/>
      <c r="MYE29" s="609"/>
      <c r="MYF29" s="609"/>
      <c r="MYG29" s="609"/>
      <c r="MYH29" s="609"/>
      <c r="MYI29" s="609"/>
      <c r="MYJ29" s="609"/>
      <c r="MYK29" s="609"/>
      <c r="MYL29" s="609"/>
      <c r="MYM29" s="609"/>
      <c r="MYN29" s="609"/>
      <c r="MYO29" s="609"/>
      <c r="MYP29" s="609"/>
      <c r="MYQ29" s="609"/>
      <c r="MYR29" s="609"/>
      <c r="MYS29" s="609"/>
      <c r="MYT29" s="609"/>
      <c r="MYU29" s="609"/>
      <c r="MYV29" s="609"/>
      <c r="MYW29" s="609"/>
      <c r="MYX29" s="609"/>
      <c r="MYY29" s="609"/>
      <c r="MYZ29" s="609"/>
      <c r="MZA29" s="609"/>
      <c r="MZB29" s="609"/>
      <c r="MZC29" s="609"/>
      <c r="MZD29" s="609"/>
      <c r="MZE29" s="609"/>
      <c r="MZF29" s="609"/>
      <c r="MZG29" s="609"/>
      <c r="MZH29" s="609"/>
      <c r="MZI29" s="609"/>
      <c r="MZJ29" s="609"/>
      <c r="MZK29" s="609"/>
      <c r="MZL29" s="609"/>
      <c r="MZM29" s="609"/>
      <c r="MZN29" s="609"/>
      <c r="MZO29" s="609"/>
      <c r="MZP29" s="609"/>
      <c r="MZQ29" s="609"/>
      <c r="MZR29" s="609"/>
      <c r="MZS29" s="609"/>
      <c r="MZT29" s="609"/>
      <c r="MZU29" s="609"/>
      <c r="MZV29" s="609"/>
      <c r="MZW29" s="609"/>
      <c r="MZX29" s="609"/>
      <c r="MZY29" s="609"/>
      <c r="MZZ29" s="609"/>
      <c r="NAA29" s="609"/>
      <c r="NAB29" s="609"/>
      <c r="NAC29" s="609"/>
      <c r="NAD29" s="609"/>
      <c r="NAE29" s="609"/>
      <c r="NAF29" s="609"/>
      <c r="NAG29" s="609"/>
      <c r="NAH29" s="609"/>
      <c r="NAI29" s="609"/>
      <c r="NAJ29" s="609"/>
      <c r="NAK29" s="609"/>
      <c r="NAL29" s="609"/>
      <c r="NAM29" s="609"/>
      <c r="NAN29" s="609"/>
      <c r="NAO29" s="609"/>
      <c r="NAP29" s="609"/>
      <c r="NAQ29" s="609"/>
      <c r="NAR29" s="609"/>
      <c r="NAS29" s="609"/>
      <c r="NAT29" s="609"/>
      <c r="NAU29" s="609"/>
      <c r="NAV29" s="609"/>
      <c r="NAW29" s="609"/>
      <c r="NAX29" s="609"/>
      <c r="NAY29" s="609"/>
      <c r="NAZ29" s="609"/>
      <c r="NBA29" s="609"/>
      <c r="NBB29" s="609"/>
      <c r="NBC29" s="609"/>
      <c r="NBD29" s="609"/>
      <c r="NBE29" s="609"/>
      <c r="NBF29" s="609"/>
      <c r="NBG29" s="609"/>
      <c r="NBH29" s="609"/>
      <c r="NBI29" s="609"/>
      <c r="NBJ29" s="609"/>
      <c r="NBK29" s="609"/>
      <c r="NBL29" s="609"/>
      <c r="NBM29" s="609"/>
      <c r="NBN29" s="609"/>
      <c r="NBO29" s="609"/>
      <c r="NBP29" s="609"/>
      <c r="NBQ29" s="609"/>
      <c r="NBR29" s="609"/>
      <c r="NBS29" s="609"/>
      <c r="NBT29" s="609"/>
      <c r="NBU29" s="609"/>
      <c r="NBV29" s="609"/>
      <c r="NBW29" s="609"/>
      <c r="NBX29" s="609"/>
      <c r="NBY29" s="609"/>
      <c r="NBZ29" s="609"/>
      <c r="NCA29" s="609"/>
      <c r="NCB29" s="609"/>
      <c r="NCC29" s="609"/>
      <c r="NCD29" s="609"/>
      <c r="NCE29" s="609"/>
      <c r="NCF29" s="609"/>
      <c r="NCG29" s="609"/>
      <c r="NCH29" s="609"/>
      <c r="NCI29" s="609"/>
      <c r="NCJ29" s="609"/>
      <c r="NCK29" s="609"/>
      <c r="NCL29" s="609"/>
      <c r="NCM29" s="609"/>
      <c r="NCN29" s="609"/>
      <c r="NCO29" s="609"/>
      <c r="NCP29" s="609"/>
      <c r="NCQ29" s="609"/>
      <c r="NCR29" s="609"/>
      <c r="NCS29" s="609"/>
      <c r="NCT29" s="609"/>
      <c r="NCU29" s="609"/>
      <c r="NCV29" s="609"/>
      <c r="NCW29" s="609"/>
      <c r="NCX29" s="609"/>
      <c r="NCY29" s="609"/>
      <c r="NCZ29" s="609"/>
      <c r="NDA29" s="609"/>
      <c r="NDB29" s="609"/>
      <c r="NDC29" s="609"/>
      <c r="NDD29" s="609"/>
      <c r="NDE29" s="609"/>
      <c r="NDF29" s="609"/>
      <c r="NDG29" s="609"/>
      <c r="NDH29" s="609"/>
      <c r="NDI29" s="609"/>
      <c r="NDJ29" s="609"/>
      <c r="NDK29" s="609"/>
      <c r="NDL29" s="609"/>
      <c r="NDM29" s="609"/>
      <c r="NDN29" s="609"/>
      <c r="NDO29" s="609"/>
      <c r="NDP29" s="609"/>
      <c r="NDQ29" s="609"/>
      <c r="NDR29" s="609"/>
      <c r="NDS29" s="609"/>
      <c r="NDT29" s="609"/>
      <c r="NDU29" s="609"/>
      <c r="NDV29" s="609"/>
      <c r="NDW29" s="609"/>
      <c r="NDX29" s="609"/>
      <c r="NDY29" s="609"/>
      <c r="NDZ29" s="609"/>
      <c r="NEA29" s="609"/>
      <c r="NEB29" s="609"/>
      <c r="NEC29" s="609"/>
      <c r="NED29" s="609"/>
      <c r="NEE29" s="609"/>
      <c r="NEF29" s="609"/>
      <c r="NEG29" s="609"/>
      <c r="NEH29" s="609"/>
      <c r="NEI29" s="609"/>
      <c r="NEJ29" s="609"/>
      <c r="NEK29" s="609"/>
      <c r="NEL29" s="609"/>
      <c r="NEM29" s="609"/>
      <c r="NEN29" s="609"/>
      <c r="NEO29" s="609"/>
      <c r="NEP29" s="609"/>
      <c r="NEQ29" s="609"/>
      <c r="NER29" s="609"/>
      <c r="NES29" s="609"/>
      <c r="NET29" s="609"/>
      <c r="NEU29" s="609"/>
      <c r="NEV29" s="609"/>
      <c r="NEW29" s="609"/>
      <c r="NEX29" s="609"/>
      <c r="NEY29" s="609"/>
      <c r="NEZ29" s="609"/>
      <c r="NFA29" s="609"/>
      <c r="NFB29" s="609"/>
      <c r="NFC29" s="609"/>
      <c r="NFD29" s="609"/>
      <c r="NFE29" s="609"/>
      <c r="NFF29" s="609"/>
      <c r="NFG29" s="609"/>
      <c r="NFH29" s="609"/>
      <c r="NFI29" s="609"/>
      <c r="NFJ29" s="609"/>
      <c r="NFK29" s="609"/>
      <c r="NFL29" s="609"/>
      <c r="NFM29" s="609"/>
      <c r="NFN29" s="609"/>
      <c r="NFO29" s="609"/>
      <c r="NFP29" s="609"/>
      <c r="NFQ29" s="609"/>
      <c r="NFR29" s="609"/>
      <c r="NFS29" s="609"/>
      <c r="NFT29" s="609"/>
      <c r="NFU29" s="609"/>
      <c r="NFV29" s="609"/>
      <c r="NFW29" s="609"/>
      <c r="NFX29" s="609"/>
      <c r="NFY29" s="609"/>
      <c r="NFZ29" s="609"/>
      <c r="NGA29" s="609"/>
      <c r="NGB29" s="609"/>
      <c r="NGC29" s="609"/>
      <c r="NGD29" s="609"/>
      <c r="NGE29" s="609"/>
      <c r="NGF29" s="609"/>
      <c r="NGG29" s="609"/>
      <c r="NGH29" s="609"/>
      <c r="NGI29" s="609"/>
      <c r="NGJ29" s="609"/>
      <c r="NGK29" s="609"/>
      <c r="NGL29" s="609"/>
      <c r="NGM29" s="609"/>
      <c r="NGN29" s="609"/>
      <c r="NGO29" s="609"/>
      <c r="NGP29" s="609"/>
      <c r="NGQ29" s="609"/>
      <c r="NGR29" s="609"/>
      <c r="NGS29" s="609"/>
      <c r="NGT29" s="609"/>
      <c r="NGU29" s="609"/>
      <c r="NGV29" s="609"/>
      <c r="NGW29" s="609"/>
      <c r="NGX29" s="609"/>
      <c r="NGY29" s="609"/>
      <c r="NGZ29" s="609"/>
      <c r="NHA29" s="609"/>
      <c r="NHB29" s="609"/>
      <c r="NHC29" s="609"/>
      <c r="NHD29" s="609"/>
      <c r="NHE29" s="609"/>
      <c r="NHF29" s="609"/>
      <c r="NHG29" s="609"/>
      <c r="NHH29" s="609"/>
      <c r="NHI29" s="609"/>
      <c r="NHJ29" s="609"/>
      <c r="NHK29" s="609"/>
      <c r="NHL29" s="609"/>
      <c r="NHM29" s="609"/>
      <c r="NHN29" s="609"/>
      <c r="NHO29" s="609"/>
      <c r="NHP29" s="609"/>
      <c r="NHQ29" s="609"/>
      <c r="NHR29" s="609"/>
      <c r="NHS29" s="609"/>
      <c r="NHT29" s="609"/>
      <c r="NHU29" s="609"/>
      <c r="NHV29" s="609"/>
      <c r="NHW29" s="609"/>
      <c r="NHX29" s="609"/>
      <c r="NHY29" s="609"/>
      <c r="NHZ29" s="609"/>
      <c r="NIA29" s="609"/>
      <c r="NIB29" s="609"/>
      <c r="NIC29" s="609"/>
      <c r="NID29" s="609"/>
      <c r="NIE29" s="609"/>
      <c r="NIF29" s="609"/>
      <c r="NIG29" s="609"/>
      <c r="NIH29" s="609"/>
      <c r="NII29" s="609"/>
      <c r="NIJ29" s="609"/>
      <c r="NIK29" s="609"/>
      <c r="NIL29" s="609"/>
      <c r="NIM29" s="609"/>
      <c r="NIN29" s="609"/>
      <c r="NIO29" s="609"/>
      <c r="NIP29" s="609"/>
      <c r="NIQ29" s="609"/>
      <c r="NIR29" s="609"/>
      <c r="NIS29" s="609"/>
      <c r="NIT29" s="609"/>
      <c r="NIU29" s="609"/>
      <c r="NIV29" s="609"/>
      <c r="NIW29" s="609"/>
      <c r="NIX29" s="609"/>
      <c r="NIY29" s="609"/>
      <c r="NIZ29" s="609"/>
      <c r="NJA29" s="609"/>
      <c r="NJB29" s="609"/>
      <c r="NJC29" s="609"/>
      <c r="NJD29" s="609"/>
      <c r="NJE29" s="609"/>
      <c r="NJF29" s="609"/>
      <c r="NJG29" s="609"/>
      <c r="NJH29" s="609"/>
      <c r="NJI29" s="609"/>
      <c r="NJJ29" s="609"/>
      <c r="NJK29" s="609"/>
      <c r="NJL29" s="609"/>
      <c r="NJM29" s="609"/>
      <c r="NJN29" s="609"/>
      <c r="NJO29" s="609"/>
      <c r="NJP29" s="609"/>
      <c r="NJQ29" s="609"/>
      <c r="NJR29" s="609"/>
      <c r="NJS29" s="609"/>
      <c r="NJT29" s="609"/>
      <c r="NJU29" s="609"/>
      <c r="NJV29" s="609"/>
      <c r="NJW29" s="609"/>
      <c r="NJX29" s="609"/>
      <c r="NJY29" s="609"/>
      <c r="NJZ29" s="609"/>
      <c r="NKA29" s="609"/>
      <c r="NKB29" s="609"/>
      <c r="NKC29" s="609"/>
      <c r="NKD29" s="609"/>
      <c r="NKE29" s="609"/>
      <c r="NKF29" s="609"/>
      <c r="NKG29" s="609"/>
      <c r="NKH29" s="609"/>
      <c r="NKI29" s="609"/>
      <c r="NKJ29" s="609"/>
      <c r="NKK29" s="609"/>
      <c r="NKL29" s="609"/>
      <c r="NKM29" s="609"/>
      <c r="NKN29" s="609"/>
      <c r="NKO29" s="609"/>
      <c r="NKP29" s="609"/>
      <c r="NKQ29" s="609"/>
      <c r="NKR29" s="609"/>
      <c r="NKS29" s="609"/>
      <c r="NKT29" s="609"/>
      <c r="NKU29" s="609"/>
      <c r="NKV29" s="609"/>
      <c r="NKW29" s="609"/>
      <c r="NKX29" s="609"/>
      <c r="NKY29" s="609"/>
      <c r="NKZ29" s="609"/>
      <c r="NLA29" s="609"/>
      <c r="NLB29" s="609"/>
      <c r="NLC29" s="609"/>
      <c r="NLD29" s="609"/>
      <c r="NLE29" s="609"/>
      <c r="NLF29" s="609"/>
      <c r="NLG29" s="609"/>
      <c r="NLH29" s="609"/>
      <c r="NLI29" s="609"/>
      <c r="NLJ29" s="609"/>
      <c r="NLK29" s="609"/>
      <c r="NLL29" s="609"/>
      <c r="NLM29" s="609"/>
      <c r="NLN29" s="609"/>
      <c r="NLO29" s="609"/>
      <c r="NLP29" s="609"/>
      <c r="NLQ29" s="609"/>
      <c r="NLR29" s="609"/>
      <c r="NLS29" s="609"/>
      <c r="NLT29" s="609"/>
      <c r="NLU29" s="609"/>
      <c r="NLV29" s="609"/>
      <c r="NLW29" s="609"/>
      <c r="NLX29" s="609"/>
      <c r="NLY29" s="609"/>
      <c r="NLZ29" s="609"/>
      <c r="NMA29" s="609"/>
      <c r="NMB29" s="609"/>
      <c r="NMC29" s="609"/>
      <c r="NMD29" s="609"/>
      <c r="NME29" s="609"/>
      <c r="NMF29" s="609"/>
      <c r="NMG29" s="609"/>
      <c r="NMH29" s="609"/>
      <c r="NMI29" s="609"/>
      <c r="NMJ29" s="609"/>
      <c r="NMK29" s="609"/>
      <c r="NML29" s="609"/>
      <c r="NMM29" s="609"/>
      <c r="NMN29" s="609"/>
      <c r="NMO29" s="609"/>
      <c r="NMP29" s="609"/>
      <c r="NMQ29" s="609"/>
      <c r="NMR29" s="609"/>
      <c r="NMS29" s="609"/>
      <c r="NMT29" s="609"/>
      <c r="NMU29" s="609"/>
      <c r="NMV29" s="609"/>
      <c r="NMW29" s="609"/>
      <c r="NMX29" s="609"/>
      <c r="NMY29" s="609"/>
      <c r="NMZ29" s="609"/>
      <c r="NNA29" s="609"/>
      <c r="NNB29" s="609"/>
      <c r="NNC29" s="609"/>
      <c r="NND29" s="609"/>
      <c r="NNE29" s="609"/>
      <c r="NNF29" s="609"/>
      <c r="NNG29" s="609"/>
      <c r="NNH29" s="609"/>
      <c r="NNI29" s="609"/>
      <c r="NNJ29" s="609"/>
      <c r="NNK29" s="609"/>
      <c r="NNL29" s="609"/>
      <c r="NNM29" s="609"/>
      <c r="NNN29" s="609"/>
      <c r="NNO29" s="609"/>
      <c r="NNP29" s="609"/>
      <c r="NNQ29" s="609"/>
      <c r="NNR29" s="609"/>
      <c r="NNS29" s="609"/>
      <c r="NNT29" s="609"/>
      <c r="NNU29" s="609"/>
      <c r="NNV29" s="609"/>
      <c r="NNW29" s="609"/>
      <c r="NNX29" s="609"/>
      <c r="NNY29" s="609"/>
      <c r="NNZ29" s="609"/>
      <c r="NOA29" s="609"/>
      <c r="NOB29" s="609"/>
      <c r="NOC29" s="609"/>
      <c r="NOD29" s="609"/>
      <c r="NOE29" s="609"/>
      <c r="NOF29" s="609"/>
      <c r="NOG29" s="609"/>
      <c r="NOH29" s="609"/>
      <c r="NOI29" s="609"/>
      <c r="NOJ29" s="609"/>
      <c r="NOK29" s="609"/>
      <c r="NOL29" s="609"/>
      <c r="NOM29" s="609"/>
      <c r="NON29" s="609"/>
      <c r="NOO29" s="609"/>
      <c r="NOP29" s="609"/>
      <c r="NOQ29" s="609"/>
      <c r="NOR29" s="609"/>
      <c r="NOS29" s="609"/>
      <c r="NOT29" s="609"/>
      <c r="NOU29" s="609"/>
      <c r="NOV29" s="609"/>
      <c r="NOW29" s="609"/>
      <c r="NOX29" s="609"/>
      <c r="NOY29" s="609"/>
      <c r="NOZ29" s="609"/>
      <c r="NPA29" s="609"/>
      <c r="NPB29" s="609"/>
      <c r="NPC29" s="609"/>
      <c r="NPD29" s="609"/>
      <c r="NPE29" s="609"/>
      <c r="NPF29" s="609"/>
      <c r="NPG29" s="609"/>
      <c r="NPH29" s="609"/>
      <c r="NPI29" s="609"/>
      <c r="NPJ29" s="609"/>
      <c r="NPK29" s="609"/>
      <c r="NPL29" s="609"/>
      <c r="NPM29" s="609"/>
      <c r="NPN29" s="609"/>
      <c r="NPO29" s="609"/>
      <c r="NPP29" s="609"/>
      <c r="NPQ29" s="609"/>
      <c r="NPR29" s="609"/>
      <c r="NPS29" s="609"/>
      <c r="NPT29" s="609"/>
      <c r="NPU29" s="609"/>
      <c r="NPV29" s="609"/>
      <c r="NPW29" s="609"/>
      <c r="NPX29" s="609"/>
      <c r="NPY29" s="609"/>
      <c r="NPZ29" s="609"/>
      <c r="NQA29" s="609"/>
      <c r="NQB29" s="609"/>
      <c r="NQC29" s="609"/>
      <c r="NQD29" s="609"/>
      <c r="NQE29" s="609"/>
      <c r="NQF29" s="609"/>
      <c r="NQG29" s="609"/>
      <c r="NQH29" s="609"/>
      <c r="NQI29" s="609"/>
      <c r="NQJ29" s="609"/>
      <c r="NQK29" s="609"/>
      <c r="NQL29" s="609"/>
      <c r="NQM29" s="609"/>
      <c r="NQN29" s="609"/>
      <c r="NQO29" s="609"/>
      <c r="NQP29" s="609"/>
      <c r="NQQ29" s="609"/>
      <c r="NQR29" s="609"/>
      <c r="NQS29" s="609"/>
      <c r="NQT29" s="609"/>
      <c r="NQU29" s="609"/>
      <c r="NQV29" s="609"/>
      <c r="NQW29" s="609"/>
      <c r="NQX29" s="609"/>
      <c r="NQY29" s="609"/>
      <c r="NQZ29" s="609"/>
      <c r="NRA29" s="609"/>
      <c r="NRB29" s="609"/>
      <c r="NRC29" s="609"/>
      <c r="NRD29" s="609"/>
      <c r="NRE29" s="609"/>
      <c r="NRF29" s="609"/>
      <c r="NRG29" s="609"/>
      <c r="NRH29" s="609"/>
      <c r="NRI29" s="609"/>
      <c r="NRJ29" s="609"/>
      <c r="NRK29" s="609"/>
      <c r="NRL29" s="609"/>
      <c r="NRM29" s="609"/>
      <c r="NRN29" s="609"/>
      <c r="NRO29" s="609"/>
      <c r="NRP29" s="609"/>
      <c r="NRQ29" s="609"/>
      <c r="NRR29" s="609"/>
      <c r="NRS29" s="609"/>
      <c r="NRT29" s="609"/>
      <c r="NRU29" s="609"/>
      <c r="NRV29" s="609"/>
      <c r="NRW29" s="609"/>
      <c r="NRX29" s="609"/>
      <c r="NRY29" s="609"/>
      <c r="NRZ29" s="609"/>
      <c r="NSA29" s="609"/>
      <c r="NSB29" s="609"/>
      <c r="NSC29" s="609"/>
      <c r="NSD29" s="609"/>
      <c r="NSE29" s="609"/>
      <c r="NSF29" s="609"/>
      <c r="NSG29" s="609"/>
      <c r="NSH29" s="609"/>
      <c r="NSI29" s="609"/>
      <c r="NSJ29" s="609"/>
      <c r="NSK29" s="609"/>
      <c r="NSL29" s="609"/>
      <c r="NSM29" s="609"/>
      <c r="NSN29" s="609"/>
      <c r="NSO29" s="609"/>
      <c r="NSP29" s="609"/>
      <c r="NSQ29" s="609"/>
      <c r="NSR29" s="609"/>
      <c r="NSS29" s="609"/>
      <c r="NST29" s="609"/>
      <c r="NSU29" s="609"/>
      <c r="NSV29" s="609"/>
      <c r="NSW29" s="609"/>
      <c r="NSX29" s="609"/>
      <c r="NSY29" s="609"/>
      <c r="NSZ29" s="609"/>
      <c r="NTA29" s="609"/>
      <c r="NTB29" s="609"/>
      <c r="NTC29" s="609"/>
      <c r="NTD29" s="609"/>
      <c r="NTE29" s="609"/>
      <c r="NTF29" s="609"/>
      <c r="NTG29" s="609"/>
      <c r="NTH29" s="609"/>
      <c r="NTI29" s="609"/>
      <c r="NTJ29" s="609"/>
      <c r="NTK29" s="609"/>
      <c r="NTL29" s="609"/>
      <c r="NTM29" s="609"/>
      <c r="NTN29" s="609"/>
      <c r="NTO29" s="609"/>
      <c r="NTP29" s="609"/>
      <c r="NTQ29" s="609"/>
      <c r="NTR29" s="609"/>
      <c r="NTS29" s="609"/>
      <c r="NTT29" s="609"/>
      <c r="NTU29" s="609"/>
      <c r="NTV29" s="609"/>
      <c r="NTW29" s="609"/>
      <c r="NTX29" s="609"/>
      <c r="NTY29" s="609"/>
      <c r="NTZ29" s="609"/>
      <c r="NUA29" s="609"/>
      <c r="NUB29" s="609"/>
      <c r="NUC29" s="609"/>
      <c r="NUD29" s="609"/>
      <c r="NUE29" s="609"/>
      <c r="NUF29" s="609"/>
      <c r="NUG29" s="609"/>
      <c r="NUH29" s="609"/>
      <c r="NUI29" s="609"/>
      <c r="NUJ29" s="609"/>
      <c r="NUK29" s="609"/>
      <c r="NUL29" s="609"/>
      <c r="NUM29" s="609"/>
      <c r="NUN29" s="609"/>
      <c r="NUO29" s="609"/>
      <c r="NUP29" s="609"/>
      <c r="NUQ29" s="609"/>
      <c r="NUR29" s="609"/>
      <c r="NUS29" s="609"/>
      <c r="NUT29" s="609"/>
      <c r="NUU29" s="609"/>
      <c r="NUV29" s="609"/>
      <c r="NUW29" s="609"/>
      <c r="NUX29" s="609"/>
      <c r="NUY29" s="609"/>
      <c r="NUZ29" s="609"/>
      <c r="NVA29" s="609"/>
      <c r="NVB29" s="609"/>
      <c r="NVC29" s="609"/>
      <c r="NVD29" s="609"/>
      <c r="NVE29" s="609"/>
      <c r="NVF29" s="609"/>
      <c r="NVG29" s="609"/>
      <c r="NVH29" s="609"/>
      <c r="NVI29" s="609"/>
      <c r="NVJ29" s="609"/>
      <c r="NVK29" s="609"/>
      <c r="NVL29" s="609"/>
      <c r="NVM29" s="609"/>
      <c r="NVN29" s="609"/>
      <c r="NVO29" s="609"/>
      <c r="NVP29" s="609"/>
      <c r="NVQ29" s="609"/>
      <c r="NVR29" s="609"/>
      <c r="NVS29" s="609"/>
      <c r="NVT29" s="609"/>
      <c r="NVU29" s="609"/>
      <c r="NVV29" s="609"/>
      <c r="NVW29" s="609"/>
      <c r="NVX29" s="609"/>
      <c r="NVY29" s="609"/>
      <c r="NVZ29" s="609"/>
      <c r="NWA29" s="609"/>
      <c r="NWB29" s="609"/>
      <c r="NWC29" s="609"/>
      <c r="NWD29" s="609"/>
      <c r="NWE29" s="609"/>
      <c r="NWF29" s="609"/>
      <c r="NWG29" s="609"/>
      <c r="NWH29" s="609"/>
      <c r="NWI29" s="609"/>
      <c r="NWJ29" s="609"/>
      <c r="NWK29" s="609"/>
      <c r="NWL29" s="609"/>
      <c r="NWM29" s="609"/>
      <c r="NWN29" s="609"/>
      <c r="NWO29" s="609"/>
      <c r="NWP29" s="609"/>
      <c r="NWQ29" s="609"/>
      <c r="NWR29" s="609"/>
      <c r="NWS29" s="609"/>
      <c r="NWT29" s="609"/>
      <c r="NWU29" s="609"/>
      <c r="NWV29" s="609"/>
      <c r="NWW29" s="609"/>
      <c r="NWX29" s="609"/>
      <c r="NWY29" s="609"/>
      <c r="NWZ29" s="609"/>
      <c r="NXA29" s="609"/>
      <c r="NXB29" s="609"/>
      <c r="NXC29" s="609"/>
      <c r="NXD29" s="609"/>
      <c r="NXE29" s="609"/>
      <c r="NXF29" s="609"/>
      <c r="NXG29" s="609"/>
      <c r="NXH29" s="609"/>
      <c r="NXI29" s="609"/>
      <c r="NXJ29" s="609"/>
      <c r="NXK29" s="609"/>
      <c r="NXL29" s="609"/>
      <c r="NXM29" s="609"/>
      <c r="NXN29" s="609"/>
      <c r="NXO29" s="609"/>
      <c r="NXP29" s="609"/>
      <c r="NXQ29" s="609"/>
      <c r="NXR29" s="609"/>
      <c r="NXS29" s="609"/>
      <c r="NXT29" s="609"/>
      <c r="NXU29" s="609"/>
      <c r="NXV29" s="609"/>
      <c r="NXW29" s="609"/>
      <c r="NXX29" s="609"/>
      <c r="NXY29" s="609"/>
      <c r="NXZ29" s="609"/>
      <c r="NYA29" s="609"/>
      <c r="NYB29" s="609"/>
      <c r="NYC29" s="609"/>
      <c r="NYD29" s="609"/>
      <c r="NYE29" s="609"/>
      <c r="NYF29" s="609"/>
      <c r="NYG29" s="609"/>
      <c r="NYH29" s="609"/>
      <c r="NYI29" s="609"/>
      <c r="NYJ29" s="609"/>
      <c r="NYK29" s="609"/>
      <c r="NYL29" s="609"/>
      <c r="NYM29" s="609"/>
      <c r="NYN29" s="609"/>
      <c r="NYO29" s="609"/>
      <c r="NYP29" s="609"/>
      <c r="NYQ29" s="609"/>
      <c r="NYR29" s="609"/>
      <c r="NYS29" s="609"/>
      <c r="NYT29" s="609"/>
      <c r="NYU29" s="609"/>
      <c r="NYV29" s="609"/>
      <c r="NYW29" s="609"/>
      <c r="NYX29" s="609"/>
      <c r="NYY29" s="609"/>
      <c r="NYZ29" s="609"/>
      <c r="NZA29" s="609"/>
      <c r="NZB29" s="609"/>
      <c r="NZC29" s="609"/>
      <c r="NZD29" s="609"/>
      <c r="NZE29" s="609"/>
      <c r="NZF29" s="609"/>
      <c r="NZG29" s="609"/>
      <c r="NZH29" s="609"/>
      <c r="NZI29" s="609"/>
      <c r="NZJ29" s="609"/>
      <c r="NZK29" s="609"/>
      <c r="NZL29" s="609"/>
      <c r="NZM29" s="609"/>
      <c r="NZN29" s="609"/>
      <c r="NZO29" s="609"/>
      <c r="NZP29" s="609"/>
      <c r="NZQ29" s="609"/>
      <c r="NZR29" s="609"/>
      <c r="NZS29" s="609"/>
      <c r="NZT29" s="609"/>
      <c r="NZU29" s="609"/>
      <c r="NZV29" s="609"/>
      <c r="NZW29" s="609"/>
      <c r="NZX29" s="609"/>
      <c r="NZY29" s="609"/>
      <c r="NZZ29" s="609"/>
      <c r="OAA29" s="609"/>
      <c r="OAB29" s="609"/>
      <c r="OAC29" s="609"/>
      <c r="OAD29" s="609"/>
      <c r="OAE29" s="609"/>
      <c r="OAF29" s="609"/>
      <c r="OAG29" s="609"/>
      <c r="OAH29" s="609"/>
      <c r="OAI29" s="609"/>
      <c r="OAJ29" s="609"/>
      <c r="OAK29" s="609"/>
      <c r="OAL29" s="609"/>
      <c r="OAM29" s="609"/>
      <c r="OAN29" s="609"/>
      <c r="OAO29" s="609"/>
      <c r="OAP29" s="609"/>
      <c r="OAQ29" s="609"/>
      <c r="OAR29" s="609"/>
      <c r="OAS29" s="609"/>
      <c r="OAT29" s="609"/>
      <c r="OAU29" s="609"/>
      <c r="OAV29" s="609"/>
      <c r="OAW29" s="609"/>
      <c r="OAX29" s="609"/>
      <c r="OAY29" s="609"/>
      <c r="OAZ29" s="609"/>
      <c r="OBA29" s="609"/>
      <c r="OBB29" s="609"/>
      <c r="OBC29" s="609"/>
      <c r="OBD29" s="609"/>
      <c r="OBE29" s="609"/>
      <c r="OBF29" s="609"/>
      <c r="OBG29" s="609"/>
      <c r="OBH29" s="609"/>
      <c r="OBI29" s="609"/>
      <c r="OBJ29" s="609"/>
      <c r="OBK29" s="609"/>
      <c r="OBL29" s="609"/>
      <c r="OBM29" s="609"/>
      <c r="OBN29" s="609"/>
      <c r="OBO29" s="609"/>
      <c r="OBP29" s="609"/>
      <c r="OBQ29" s="609"/>
      <c r="OBR29" s="609"/>
      <c r="OBS29" s="609"/>
      <c r="OBT29" s="609"/>
      <c r="OBU29" s="609"/>
      <c r="OBV29" s="609"/>
      <c r="OBW29" s="609"/>
      <c r="OBX29" s="609"/>
      <c r="OBY29" s="609"/>
      <c r="OBZ29" s="609"/>
      <c r="OCA29" s="609"/>
      <c r="OCB29" s="609"/>
      <c r="OCC29" s="609"/>
      <c r="OCD29" s="609"/>
      <c r="OCE29" s="609"/>
      <c r="OCF29" s="609"/>
      <c r="OCG29" s="609"/>
      <c r="OCH29" s="609"/>
      <c r="OCI29" s="609"/>
      <c r="OCJ29" s="609"/>
      <c r="OCK29" s="609"/>
      <c r="OCL29" s="609"/>
      <c r="OCM29" s="609"/>
      <c r="OCN29" s="609"/>
      <c r="OCO29" s="609"/>
      <c r="OCP29" s="609"/>
      <c r="OCQ29" s="609"/>
      <c r="OCR29" s="609"/>
      <c r="OCS29" s="609"/>
      <c r="OCT29" s="609"/>
      <c r="OCU29" s="609"/>
      <c r="OCV29" s="609"/>
      <c r="OCW29" s="609"/>
      <c r="OCX29" s="609"/>
      <c r="OCY29" s="609"/>
      <c r="OCZ29" s="609"/>
      <c r="ODA29" s="609"/>
      <c r="ODB29" s="609"/>
      <c r="ODC29" s="609"/>
      <c r="ODD29" s="609"/>
      <c r="ODE29" s="609"/>
      <c r="ODF29" s="609"/>
      <c r="ODG29" s="609"/>
      <c r="ODH29" s="609"/>
      <c r="ODI29" s="609"/>
      <c r="ODJ29" s="609"/>
      <c r="ODK29" s="609"/>
      <c r="ODL29" s="609"/>
      <c r="ODM29" s="609"/>
      <c r="ODN29" s="609"/>
      <c r="ODO29" s="609"/>
      <c r="ODP29" s="609"/>
      <c r="ODQ29" s="609"/>
      <c r="ODR29" s="609"/>
      <c r="ODS29" s="609"/>
      <c r="ODT29" s="609"/>
      <c r="ODU29" s="609"/>
      <c r="ODV29" s="609"/>
      <c r="ODW29" s="609"/>
      <c r="ODX29" s="609"/>
      <c r="ODY29" s="609"/>
      <c r="ODZ29" s="609"/>
      <c r="OEA29" s="609"/>
      <c r="OEB29" s="609"/>
      <c r="OEC29" s="609"/>
      <c r="OED29" s="609"/>
      <c r="OEE29" s="609"/>
      <c r="OEF29" s="609"/>
      <c r="OEG29" s="609"/>
      <c r="OEH29" s="609"/>
      <c r="OEI29" s="609"/>
      <c r="OEJ29" s="609"/>
      <c r="OEK29" s="609"/>
      <c r="OEL29" s="609"/>
      <c r="OEM29" s="609"/>
      <c r="OEN29" s="609"/>
      <c r="OEO29" s="609"/>
      <c r="OEP29" s="609"/>
      <c r="OEQ29" s="609"/>
      <c r="OER29" s="609"/>
      <c r="OES29" s="609"/>
      <c r="OET29" s="609"/>
      <c r="OEU29" s="609"/>
      <c r="OEV29" s="609"/>
      <c r="OEW29" s="609"/>
      <c r="OEX29" s="609"/>
      <c r="OEY29" s="609"/>
      <c r="OEZ29" s="609"/>
      <c r="OFA29" s="609"/>
      <c r="OFB29" s="609"/>
      <c r="OFC29" s="609"/>
      <c r="OFD29" s="609"/>
      <c r="OFE29" s="609"/>
      <c r="OFF29" s="609"/>
      <c r="OFG29" s="609"/>
      <c r="OFH29" s="609"/>
      <c r="OFI29" s="609"/>
      <c r="OFJ29" s="609"/>
      <c r="OFK29" s="609"/>
      <c r="OFL29" s="609"/>
      <c r="OFM29" s="609"/>
      <c r="OFN29" s="609"/>
      <c r="OFO29" s="609"/>
      <c r="OFP29" s="609"/>
      <c r="OFQ29" s="609"/>
      <c r="OFR29" s="609"/>
      <c r="OFS29" s="609"/>
      <c r="OFT29" s="609"/>
      <c r="OFU29" s="609"/>
      <c r="OFV29" s="609"/>
      <c r="OFW29" s="609"/>
      <c r="OFX29" s="609"/>
      <c r="OFY29" s="609"/>
      <c r="OFZ29" s="609"/>
      <c r="OGA29" s="609"/>
      <c r="OGB29" s="609"/>
      <c r="OGC29" s="609"/>
      <c r="OGD29" s="609"/>
      <c r="OGE29" s="609"/>
      <c r="OGF29" s="609"/>
      <c r="OGG29" s="609"/>
      <c r="OGH29" s="609"/>
      <c r="OGI29" s="609"/>
      <c r="OGJ29" s="609"/>
      <c r="OGK29" s="609"/>
      <c r="OGL29" s="609"/>
      <c r="OGM29" s="609"/>
      <c r="OGN29" s="609"/>
      <c r="OGO29" s="609"/>
      <c r="OGP29" s="609"/>
      <c r="OGQ29" s="609"/>
      <c r="OGR29" s="609"/>
      <c r="OGS29" s="609"/>
      <c r="OGT29" s="609"/>
      <c r="OGU29" s="609"/>
      <c r="OGV29" s="609"/>
      <c r="OGW29" s="609"/>
      <c r="OGX29" s="609"/>
      <c r="OGY29" s="609"/>
      <c r="OGZ29" s="609"/>
      <c r="OHA29" s="609"/>
      <c r="OHB29" s="609"/>
      <c r="OHC29" s="609"/>
      <c r="OHD29" s="609"/>
      <c r="OHE29" s="609"/>
      <c r="OHF29" s="609"/>
      <c r="OHG29" s="609"/>
      <c r="OHH29" s="609"/>
      <c r="OHI29" s="609"/>
      <c r="OHJ29" s="609"/>
      <c r="OHK29" s="609"/>
      <c r="OHL29" s="609"/>
      <c r="OHM29" s="609"/>
      <c r="OHN29" s="609"/>
      <c r="OHO29" s="609"/>
      <c r="OHP29" s="609"/>
      <c r="OHQ29" s="609"/>
      <c r="OHR29" s="609"/>
      <c r="OHS29" s="609"/>
      <c r="OHT29" s="609"/>
      <c r="OHU29" s="609"/>
      <c r="OHV29" s="609"/>
      <c r="OHW29" s="609"/>
      <c r="OHX29" s="609"/>
      <c r="OHY29" s="609"/>
      <c r="OHZ29" s="609"/>
      <c r="OIA29" s="609"/>
      <c r="OIB29" s="609"/>
      <c r="OIC29" s="609"/>
      <c r="OID29" s="609"/>
      <c r="OIE29" s="609"/>
      <c r="OIF29" s="609"/>
      <c r="OIG29" s="609"/>
      <c r="OIH29" s="609"/>
      <c r="OII29" s="609"/>
      <c r="OIJ29" s="609"/>
      <c r="OIK29" s="609"/>
      <c r="OIL29" s="609"/>
      <c r="OIM29" s="609"/>
      <c r="OIN29" s="609"/>
      <c r="OIO29" s="609"/>
      <c r="OIP29" s="609"/>
      <c r="OIQ29" s="609"/>
      <c r="OIR29" s="609"/>
      <c r="OIS29" s="609"/>
      <c r="OIT29" s="609"/>
      <c r="OIU29" s="609"/>
      <c r="OIV29" s="609"/>
      <c r="OIW29" s="609"/>
      <c r="OIX29" s="609"/>
      <c r="OIY29" s="609"/>
      <c r="OIZ29" s="609"/>
      <c r="OJA29" s="609"/>
      <c r="OJB29" s="609"/>
      <c r="OJC29" s="609"/>
      <c r="OJD29" s="609"/>
      <c r="OJE29" s="609"/>
      <c r="OJF29" s="609"/>
      <c r="OJG29" s="609"/>
      <c r="OJH29" s="609"/>
      <c r="OJI29" s="609"/>
      <c r="OJJ29" s="609"/>
      <c r="OJK29" s="609"/>
      <c r="OJL29" s="609"/>
      <c r="OJM29" s="609"/>
      <c r="OJN29" s="609"/>
      <c r="OJO29" s="609"/>
      <c r="OJP29" s="609"/>
      <c r="OJQ29" s="609"/>
      <c r="OJR29" s="609"/>
      <c r="OJS29" s="609"/>
      <c r="OJT29" s="609"/>
      <c r="OJU29" s="609"/>
      <c r="OJV29" s="609"/>
      <c r="OJW29" s="609"/>
      <c r="OJX29" s="609"/>
      <c r="OJY29" s="609"/>
      <c r="OJZ29" s="609"/>
      <c r="OKA29" s="609"/>
      <c r="OKB29" s="609"/>
      <c r="OKC29" s="609"/>
      <c r="OKD29" s="609"/>
      <c r="OKE29" s="609"/>
      <c r="OKF29" s="609"/>
      <c r="OKG29" s="609"/>
      <c r="OKH29" s="609"/>
      <c r="OKI29" s="609"/>
      <c r="OKJ29" s="609"/>
      <c r="OKK29" s="609"/>
      <c r="OKL29" s="609"/>
      <c r="OKM29" s="609"/>
      <c r="OKN29" s="609"/>
      <c r="OKO29" s="609"/>
      <c r="OKP29" s="609"/>
      <c r="OKQ29" s="609"/>
      <c r="OKR29" s="609"/>
      <c r="OKS29" s="609"/>
      <c r="OKT29" s="609"/>
      <c r="OKU29" s="609"/>
      <c r="OKV29" s="609"/>
      <c r="OKW29" s="609"/>
      <c r="OKX29" s="609"/>
      <c r="OKY29" s="609"/>
      <c r="OKZ29" s="609"/>
      <c r="OLA29" s="609"/>
      <c r="OLB29" s="609"/>
      <c r="OLC29" s="609"/>
      <c r="OLD29" s="609"/>
      <c r="OLE29" s="609"/>
      <c r="OLF29" s="609"/>
      <c r="OLG29" s="609"/>
      <c r="OLH29" s="609"/>
      <c r="OLI29" s="609"/>
      <c r="OLJ29" s="609"/>
      <c r="OLK29" s="609"/>
      <c r="OLL29" s="609"/>
      <c r="OLM29" s="609"/>
      <c r="OLN29" s="609"/>
      <c r="OLO29" s="609"/>
      <c r="OLP29" s="609"/>
      <c r="OLQ29" s="609"/>
      <c r="OLR29" s="609"/>
      <c r="OLS29" s="609"/>
      <c r="OLT29" s="609"/>
      <c r="OLU29" s="609"/>
      <c r="OLV29" s="609"/>
      <c r="OLW29" s="609"/>
      <c r="OLX29" s="609"/>
      <c r="OLY29" s="609"/>
      <c r="OLZ29" s="609"/>
      <c r="OMA29" s="609"/>
      <c r="OMB29" s="609"/>
      <c r="OMC29" s="609"/>
      <c r="OMD29" s="609"/>
      <c r="OME29" s="609"/>
      <c r="OMF29" s="609"/>
      <c r="OMG29" s="609"/>
      <c r="OMH29" s="609"/>
      <c r="OMI29" s="609"/>
      <c r="OMJ29" s="609"/>
      <c r="OMK29" s="609"/>
      <c r="OML29" s="609"/>
      <c r="OMM29" s="609"/>
      <c r="OMN29" s="609"/>
      <c r="OMO29" s="609"/>
      <c r="OMP29" s="609"/>
      <c r="OMQ29" s="609"/>
      <c r="OMR29" s="609"/>
      <c r="OMS29" s="609"/>
      <c r="OMT29" s="609"/>
      <c r="OMU29" s="609"/>
      <c r="OMV29" s="609"/>
      <c r="OMW29" s="609"/>
      <c r="OMX29" s="609"/>
      <c r="OMY29" s="609"/>
      <c r="OMZ29" s="609"/>
      <c r="ONA29" s="609"/>
      <c r="ONB29" s="609"/>
      <c r="ONC29" s="609"/>
      <c r="OND29" s="609"/>
      <c r="ONE29" s="609"/>
      <c r="ONF29" s="609"/>
      <c r="ONG29" s="609"/>
      <c r="ONH29" s="609"/>
      <c r="ONI29" s="609"/>
      <c r="ONJ29" s="609"/>
      <c r="ONK29" s="609"/>
      <c r="ONL29" s="609"/>
      <c r="ONM29" s="609"/>
      <c r="ONN29" s="609"/>
      <c r="ONO29" s="609"/>
      <c r="ONP29" s="609"/>
      <c r="ONQ29" s="609"/>
      <c r="ONR29" s="609"/>
      <c r="ONS29" s="609"/>
      <c r="ONT29" s="609"/>
      <c r="ONU29" s="609"/>
      <c r="ONV29" s="609"/>
      <c r="ONW29" s="609"/>
      <c r="ONX29" s="609"/>
      <c r="ONY29" s="609"/>
      <c r="ONZ29" s="609"/>
      <c r="OOA29" s="609"/>
      <c r="OOB29" s="609"/>
      <c r="OOC29" s="609"/>
      <c r="OOD29" s="609"/>
      <c r="OOE29" s="609"/>
      <c r="OOF29" s="609"/>
      <c r="OOG29" s="609"/>
      <c r="OOH29" s="609"/>
      <c r="OOI29" s="609"/>
      <c r="OOJ29" s="609"/>
      <c r="OOK29" s="609"/>
      <c r="OOL29" s="609"/>
      <c r="OOM29" s="609"/>
      <c r="OON29" s="609"/>
      <c r="OOO29" s="609"/>
      <c r="OOP29" s="609"/>
      <c r="OOQ29" s="609"/>
      <c r="OOR29" s="609"/>
      <c r="OOS29" s="609"/>
      <c r="OOT29" s="609"/>
      <c r="OOU29" s="609"/>
      <c r="OOV29" s="609"/>
      <c r="OOW29" s="609"/>
      <c r="OOX29" s="609"/>
      <c r="OOY29" s="609"/>
      <c r="OOZ29" s="609"/>
      <c r="OPA29" s="609"/>
      <c r="OPB29" s="609"/>
      <c r="OPC29" s="609"/>
      <c r="OPD29" s="609"/>
      <c r="OPE29" s="609"/>
      <c r="OPF29" s="609"/>
      <c r="OPG29" s="609"/>
      <c r="OPH29" s="609"/>
      <c r="OPI29" s="609"/>
      <c r="OPJ29" s="609"/>
      <c r="OPK29" s="609"/>
      <c r="OPL29" s="609"/>
      <c r="OPM29" s="609"/>
      <c r="OPN29" s="609"/>
      <c r="OPO29" s="609"/>
      <c r="OPP29" s="609"/>
      <c r="OPQ29" s="609"/>
      <c r="OPR29" s="609"/>
      <c r="OPS29" s="609"/>
      <c r="OPT29" s="609"/>
      <c r="OPU29" s="609"/>
      <c r="OPV29" s="609"/>
      <c r="OPW29" s="609"/>
      <c r="OPX29" s="609"/>
      <c r="OPY29" s="609"/>
      <c r="OPZ29" s="609"/>
      <c r="OQA29" s="609"/>
      <c r="OQB29" s="609"/>
      <c r="OQC29" s="609"/>
      <c r="OQD29" s="609"/>
      <c r="OQE29" s="609"/>
      <c r="OQF29" s="609"/>
      <c r="OQG29" s="609"/>
      <c r="OQH29" s="609"/>
      <c r="OQI29" s="609"/>
      <c r="OQJ29" s="609"/>
      <c r="OQK29" s="609"/>
      <c r="OQL29" s="609"/>
      <c r="OQM29" s="609"/>
      <c r="OQN29" s="609"/>
      <c r="OQO29" s="609"/>
      <c r="OQP29" s="609"/>
      <c r="OQQ29" s="609"/>
      <c r="OQR29" s="609"/>
      <c r="OQS29" s="609"/>
      <c r="OQT29" s="609"/>
      <c r="OQU29" s="609"/>
      <c r="OQV29" s="609"/>
      <c r="OQW29" s="609"/>
      <c r="OQX29" s="609"/>
      <c r="OQY29" s="609"/>
      <c r="OQZ29" s="609"/>
      <c r="ORA29" s="609"/>
      <c r="ORB29" s="609"/>
      <c r="ORC29" s="609"/>
      <c r="ORD29" s="609"/>
      <c r="ORE29" s="609"/>
      <c r="ORF29" s="609"/>
      <c r="ORG29" s="609"/>
      <c r="ORH29" s="609"/>
      <c r="ORI29" s="609"/>
      <c r="ORJ29" s="609"/>
      <c r="ORK29" s="609"/>
      <c r="ORL29" s="609"/>
      <c r="ORM29" s="609"/>
      <c r="ORN29" s="609"/>
      <c r="ORO29" s="609"/>
      <c r="ORP29" s="609"/>
      <c r="ORQ29" s="609"/>
      <c r="ORR29" s="609"/>
      <c r="ORS29" s="609"/>
      <c r="ORT29" s="609"/>
      <c r="ORU29" s="609"/>
      <c r="ORV29" s="609"/>
      <c r="ORW29" s="609"/>
      <c r="ORX29" s="609"/>
      <c r="ORY29" s="609"/>
      <c r="ORZ29" s="609"/>
      <c r="OSA29" s="609"/>
      <c r="OSB29" s="609"/>
      <c r="OSC29" s="609"/>
      <c r="OSD29" s="609"/>
      <c r="OSE29" s="609"/>
      <c r="OSF29" s="609"/>
      <c r="OSG29" s="609"/>
      <c r="OSH29" s="609"/>
      <c r="OSI29" s="609"/>
      <c r="OSJ29" s="609"/>
      <c r="OSK29" s="609"/>
      <c r="OSL29" s="609"/>
      <c r="OSM29" s="609"/>
      <c r="OSN29" s="609"/>
      <c r="OSO29" s="609"/>
      <c r="OSP29" s="609"/>
      <c r="OSQ29" s="609"/>
      <c r="OSR29" s="609"/>
      <c r="OSS29" s="609"/>
      <c r="OST29" s="609"/>
      <c r="OSU29" s="609"/>
      <c r="OSV29" s="609"/>
      <c r="OSW29" s="609"/>
      <c r="OSX29" s="609"/>
      <c r="OSY29" s="609"/>
      <c r="OSZ29" s="609"/>
      <c r="OTA29" s="609"/>
      <c r="OTB29" s="609"/>
      <c r="OTC29" s="609"/>
      <c r="OTD29" s="609"/>
      <c r="OTE29" s="609"/>
      <c r="OTF29" s="609"/>
      <c r="OTG29" s="609"/>
      <c r="OTH29" s="609"/>
      <c r="OTI29" s="609"/>
      <c r="OTJ29" s="609"/>
      <c r="OTK29" s="609"/>
      <c r="OTL29" s="609"/>
      <c r="OTM29" s="609"/>
      <c r="OTN29" s="609"/>
      <c r="OTO29" s="609"/>
      <c r="OTP29" s="609"/>
      <c r="OTQ29" s="609"/>
      <c r="OTR29" s="609"/>
      <c r="OTS29" s="609"/>
      <c r="OTT29" s="609"/>
      <c r="OTU29" s="609"/>
      <c r="OTV29" s="609"/>
      <c r="OTW29" s="609"/>
      <c r="OTX29" s="609"/>
      <c r="OTY29" s="609"/>
      <c r="OTZ29" s="609"/>
      <c r="OUA29" s="609"/>
      <c r="OUB29" s="609"/>
      <c r="OUC29" s="609"/>
      <c r="OUD29" s="609"/>
      <c r="OUE29" s="609"/>
      <c r="OUF29" s="609"/>
      <c r="OUG29" s="609"/>
      <c r="OUH29" s="609"/>
      <c r="OUI29" s="609"/>
      <c r="OUJ29" s="609"/>
      <c r="OUK29" s="609"/>
      <c r="OUL29" s="609"/>
      <c r="OUM29" s="609"/>
      <c r="OUN29" s="609"/>
      <c r="OUO29" s="609"/>
      <c r="OUP29" s="609"/>
      <c r="OUQ29" s="609"/>
      <c r="OUR29" s="609"/>
      <c r="OUS29" s="609"/>
      <c r="OUT29" s="609"/>
      <c r="OUU29" s="609"/>
      <c r="OUV29" s="609"/>
      <c r="OUW29" s="609"/>
      <c r="OUX29" s="609"/>
      <c r="OUY29" s="609"/>
      <c r="OUZ29" s="609"/>
      <c r="OVA29" s="609"/>
      <c r="OVB29" s="609"/>
      <c r="OVC29" s="609"/>
      <c r="OVD29" s="609"/>
      <c r="OVE29" s="609"/>
      <c r="OVF29" s="609"/>
      <c r="OVG29" s="609"/>
      <c r="OVH29" s="609"/>
      <c r="OVI29" s="609"/>
      <c r="OVJ29" s="609"/>
      <c r="OVK29" s="609"/>
      <c r="OVL29" s="609"/>
      <c r="OVM29" s="609"/>
      <c r="OVN29" s="609"/>
      <c r="OVO29" s="609"/>
      <c r="OVP29" s="609"/>
      <c r="OVQ29" s="609"/>
      <c r="OVR29" s="609"/>
      <c r="OVS29" s="609"/>
      <c r="OVT29" s="609"/>
      <c r="OVU29" s="609"/>
      <c r="OVV29" s="609"/>
      <c r="OVW29" s="609"/>
      <c r="OVX29" s="609"/>
      <c r="OVY29" s="609"/>
      <c r="OVZ29" s="609"/>
      <c r="OWA29" s="609"/>
      <c r="OWB29" s="609"/>
      <c r="OWC29" s="609"/>
      <c r="OWD29" s="609"/>
      <c r="OWE29" s="609"/>
      <c r="OWF29" s="609"/>
      <c r="OWG29" s="609"/>
      <c r="OWH29" s="609"/>
      <c r="OWI29" s="609"/>
      <c r="OWJ29" s="609"/>
      <c r="OWK29" s="609"/>
      <c r="OWL29" s="609"/>
      <c r="OWM29" s="609"/>
      <c r="OWN29" s="609"/>
      <c r="OWO29" s="609"/>
      <c r="OWP29" s="609"/>
      <c r="OWQ29" s="609"/>
      <c r="OWR29" s="609"/>
      <c r="OWS29" s="609"/>
      <c r="OWT29" s="609"/>
      <c r="OWU29" s="609"/>
      <c r="OWV29" s="609"/>
      <c r="OWW29" s="609"/>
      <c r="OWX29" s="609"/>
      <c r="OWY29" s="609"/>
      <c r="OWZ29" s="609"/>
      <c r="OXA29" s="609"/>
      <c r="OXB29" s="609"/>
      <c r="OXC29" s="609"/>
      <c r="OXD29" s="609"/>
      <c r="OXE29" s="609"/>
      <c r="OXF29" s="609"/>
      <c r="OXG29" s="609"/>
      <c r="OXH29" s="609"/>
      <c r="OXI29" s="609"/>
      <c r="OXJ29" s="609"/>
      <c r="OXK29" s="609"/>
      <c r="OXL29" s="609"/>
      <c r="OXM29" s="609"/>
      <c r="OXN29" s="609"/>
      <c r="OXO29" s="609"/>
      <c r="OXP29" s="609"/>
      <c r="OXQ29" s="609"/>
      <c r="OXR29" s="609"/>
      <c r="OXS29" s="609"/>
      <c r="OXT29" s="609"/>
      <c r="OXU29" s="609"/>
      <c r="OXV29" s="609"/>
      <c r="OXW29" s="609"/>
      <c r="OXX29" s="609"/>
      <c r="OXY29" s="609"/>
      <c r="OXZ29" s="609"/>
      <c r="OYA29" s="609"/>
      <c r="OYB29" s="609"/>
      <c r="OYC29" s="609"/>
      <c r="OYD29" s="609"/>
      <c r="OYE29" s="609"/>
      <c r="OYF29" s="609"/>
      <c r="OYG29" s="609"/>
      <c r="OYH29" s="609"/>
      <c r="OYI29" s="609"/>
      <c r="OYJ29" s="609"/>
      <c r="OYK29" s="609"/>
      <c r="OYL29" s="609"/>
      <c r="OYM29" s="609"/>
      <c r="OYN29" s="609"/>
      <c r="OYO29" s="609"/>
      <c r="OYP29" s="609"/>
      <c r="OYQ29" s="609"/>
      <c r="OYR29" s="609"/>
      <c r="OYS29" s="609"/>
      <c r="OYT29" s="609"/>
      <c r="OYU29" s="609"/>
      <c r="OYV29" s="609"/>
      <c r="OYW29" s="609"/>
      <c r="OYX29" s="609"/>
      <c r="OYY29" s="609"/>
      <c r="OYZ29" s="609"/>
      <c r="OZA29" s="609"/>
      <c r="OZB29" s="609"/>
      <c r="OZC29" s="609"/>
      <c r="OZD29" s="609"/>
      <c r="OZE29" s="609"/>
      <c r="OZF29" s="609"/>
      <c r="OZG29" s="609"/>
      <c r="OZH29" s="609"/>
      <c r="OZI29" s="609"/>
      <c r="OZJ29" s="609"/>
      <c r="OZK29" s="609"/>
      <c r="OZL29" s="609"/>
      <c r="OZM29" s="609"/>
      <c r="OZN29" s="609"/>
      <c r="OZO29" s="609"/>
      <c r="OZP29" s="609"/>
      <c r="OZQ29" s="609"/>
      <c r="OZR29" s="609"/>
      <c r="OZS29" s="609"/>
      <c r="OZT29" s="609"/>
      <c r="OZU29" s="609"/>
      <c r="OZV29" s="609"/>
      <c r="OZW29" s="609"/>
      <c r="OZX29" s="609"/>
      <c r="OZY29" s="609"/>
      <c r="OZZ29" s="609"/>
      <c r="PAA29" s="609"/>
      <c r="PAB29" s="609"/>
      <c r="PAC29" s="609"/>
      <c r="PAD29" s="609"/>
      <c r="PAE29" s="609"/>
      <c r="PAF29" s="609"/>
      <c r="PAG29" s="609"/>
      <c r="PAH29" s="609"/>
      <c r="PAI29" s="609"/>
      <c r="PAJ29" s="609"/>
      <c r="PAK29" s="609"/>
      <c r="PAL29" s="609"/>
      <c r="PAM29" s="609"/>
      <c r="PAN29" s="609"/>
      <c r="PAO29" s="609"/>
      <c r="PAP29" s="609"/>
      <c r="PAQ29" s="609"/>
      <c r="PAR29" s="609"/>
      <c r="PAS29" s="609"/>
      <c r="PAT29" s="609"/>
      <c r="PAU29" s="609"/>
      <c r="PAV29" s="609"/>
      <c r="PAW29" s="609"/>
      <c r="PAX29" s="609"/>
      <c r="PAY29" s="609"/>
      <c r="PAZ29" s="609"/>
      <c r="PBA29" s="609"/>
      <c r="PBB29" s="609"/>
      <c r="PBC29" s="609"/>
      <c r="PBD29" s="609"/>
      <c r="PBE29" s="609"/>
      <c r="PBF29" s="609"/>
      <c r="PBG29" s="609"/>
      <c r="PBH29" s="609"/>
      <c r="PBI29" s="609"/>
      <c r="PBJ29" s="609"/>
      <c r="PBK29" s="609"/>
      <c r="PBL29" s="609"/>
      <c r="PBM29" s="609"/>
      <c r="PBN29" s="609"/>
      <c r="PBO29" s="609"/>
      <c r="PBP29" s="609"/>
      <c r="PBQ29" s="609"/>
      <c r="PBR29" s="609"/>
      <c r="PBS29" s="609"/>
      <c r="PBT29" s="609"/>
      <c r="PBU29" s="609"/>
      <c r="PBV29" s="609"/>
      <c r="PBW29" s="609"/>
      <c r="PBX29" s="609"/>
      <c r="PBY29" s="609"/>
      <c r="PBZ29" s="609"/>
      <c r="PCA29" s="609"/>
      <c r="PCB29" s="609"/>
      <c r="PCC29" s="609"/>
      <c r="PCD29" s="609"/>
      <c r="PCE29" s="609"/>
      <c r="PCF29" s="609"/>
      <c r="PCG29" s="609"/>
      <c r="PCH29" s="609"/>
      <c r="PCI29" s="609"/>
      <c r="PCJ29" s="609"/>
      <c r="PCK29" s="609"/>
      <c r="PCL29" s="609"/>
      <c r="PCM29" s="609"/>
      <c r="PCN29" s="609"/>
      <c r="PCO29" s="609"/>
      <c r="PCP29" s="609"/>
      <c r="PCQ29" s="609"/>
      <c r="PCR29" s="609"/>
      <c r="PCS29" s="609"/>
      <c r="PCT29" s="609"/>
      <c r="PCU29" s="609"/>
      <c r="PCV29" s="609"/>
      <c r="PCW29" s="609"/>
      <c r="PCX29" s="609"/>
      <c r="PCY29" s="609"/>
      <c r="PCZ29" s="609"/>
      <c r="PDA29" s="609"/>
      <c r="PDB29" s="609"/>
      <c r="PDC29" s="609"/>
      <c r="PDD29" s="609"/>
      <c r="PDE29" s="609"/>
      <c r="PDF29" s="609"/>
      <c r="PDG29" s="609"/>
      <c r="PDH29" s="609"/>
      <c r="PDI29" s="609"/>
      <c r="PDJ29" s="609"/>
      <c r="PDK29" s="609"/>
      <c r="PDL29" s="609"/>
      <c r="PDM29" s="609"/>
      <c r="PDN29" s="609"/>
      <c r="PDO29" s="609"/>
      <c r="PDP29" s="609"/>
      <c r="PDQ29" s="609"/>
      <c r="PDR29" s="609"/>
      <c r="PDS29" s="609"/>
      <c r="PDT29" s="609"/>
      <c r="PDU29" s="609"/>
      <c r="PDV29" s="609"/>
      <c r="PDW29" s="609"/>
      <c r="PDX29" s="609"/>
      <c r="PDY29" s="609"/>
      <c r="PDZ29" s="609"/>
      <c r="PEA29" s="609"/>
      <c r="PEB29" s="609"/>
      <c r="PEC29" s="609"/>
      <c r="PED29" s="609"/>
      <c r="PEE29" s="609"/>
      <c r="PEF29" s="609"/>
      <c r="PEG29" s="609"/>
      <c r="PEH29" s="609"/>
      <c r="PEI29" s="609"/>
      <c r="PEJ29" s="609"/>
      <c r="PEK29" s="609"/>
      <c r="PEL29" s="609"/>
      <c r="PEM29" s="609"/>
      <c r="PEN29" s="609"/>
      <c r="PEO29" s="609"/>
      <c r="PEP29" s="609"/>
      <c r="PEQ29" s="609"/>
      <c r="PER29" s="609"/>
      <c r="PES29" s="609"/>
      <c r="PET29" s="609"/>
      <c r="PEU29" s="609"/>
      <c r="PEV29" s="609"/>
      <c r="PEW29" s="609"/>
      <c r="PEX29" s="609"/>
      <c r="PEY29" s="609"/>
      <c r="PEZ29" s="609"/>
      <c r="PFA29" s="609"/>
      <c r="PFB29" s="609"/>
      <c r="PFC29" s="609"/>
      <c r="PFD29" s="609"/>
      <c r="PFE29" s="609"/>
      <c r="PFF29" s="609"/>
      <c r="PFG29" s="609"/>
      <c r="PFH29" s="609"/>
      <c r="PFI29" s="609"/>
      <c r="PFJ29" s="609"/>
      <c r="PFK29" s="609"/>
      <c r="PFL29" s="609"/>
      <c r="PFM29" s="609"/>
      <c r="PFN29" s="609"/>
      <c r="PFO29" s="609"/>
      <c r="PFP29" s="609"/>
      <c r="PFQ29" s="609"/>
      <c r="PFR29" s="609"/>
      <c r="PFS29" s="609"/>
      <c r="PFT29" s="609"/>
      <c r="PFU29" s="609"/>
      <c r="PFV29" s="609"/>
      <c r="PFW29" s="609"/>
      <c r="PFX29" s="609"/>
      <c r="PFY29" s="609"/>
      <c r="PFZ29" s="609"/>
      <c r="PGA29" s="609"/>
      <c r="PGB29" s="609"/>
      <c r="PGC29" s="609"/>
      <c r="PGD29" s="609"/>
      <c r="PGE29" s="609"/>
      <c r="PGF29" s="609"/>
      <c r="PGG29" s="609"/>
      <c r="PGH29" s="609"/>
      <c r="PGI29" s="609"/>
      <c r="PGJ29" s="609"/>
      <c r="PGK29" s="609"/>
      <c r="PGL29" s="609"/>
      <c r="PGM29" s="609"/>
      <c r="PGN29" s="609"/>
      <c r="PGO29" s="609"/>
      <c r="PGP29" s="609"/>
      <c r="PGQ29" s="609"/>
      <c r="PGR29" s="609"/>
      <c r="PGS29" s="609"/>
      <c r="PGT29" s="609"/>
      <c r="PGU29" s="609"/>
      <c r="PGV29" s="609"/>
      <c r="PGW29" s="609"/>
      <c r="PGX29" s="609"/>
      <c r="PGY29" s="609"/>
      <c r="PGZ29" s="609"/>
      <c r="PHA29" s="609"/>
      <c r="PHB29" s="609"/>
      <c r="PHC29" s="609"/>
      <c r="PHD29" s="609"/>
      <c r="PHE29" s="609"/>
      <c r="PHF29" s="609"/>
      <c r="PHG29" s="609"/>
      <c r="PHH29" s="609"/>
      <c r="PHI29" s="609"/>
      <c r="PHJ29" s="609"/>
      <c r="PHK29" s="609"/>
      <c r="PHL29" s="609"/>
      <c r="PHM29" s="609"/>
      <c r="PHN29" s="609"/>
      <c r="PHO29" s="609"/>
      <c r="PHP29" s="609"/>
      <c r="PHQ29" s="609"/>
      <c r="PHR29" s="609"/>
      <c r="PHS29" s="609"/>
      <c r="PHT29" s="609"/>
      <c r="PHU29" s="609"/>
      <c r="PHV29" s="609"/>
      <c r="PHW29" s="609"/>
      <c r="PHX29" s="609"/>
      <c r="PHY29" s="609"/>
      <c r="PHZ29" s="609"/>
      <c r="PIA29" s="609"/>
      <c r="PIB29" s="609"/>
      <c r="PIC29" s="609"/>
      <c r="PID29" s="609"/>
      <c r="PIE29" s="609"/>
      <c r="PIF29" s="609"/>
      <c r="PIG29" s="609"/>
      <c r="PIH29" s="609"/>
      <c r="PII29" s="609"/>
      <c r="PIJ29" s="609"/>
      <c r="PIK29" s="609"/>
      <c r="PIL29" s="609"/>
      <c r="PIM29" s="609"/>
      <c r="PIN29" s="609"/>
      <c r="PIO29" s="609"/>
      <c r="PIP29" s="609"/>
      <c r="PIQ29" s="609"/>
      <c r="PIR29" s="609"/>
      <c r="PIS29" s="609"/>
      <c r="PIT29" s="609"/>
      <c r="PIU29" s="609"/>
      <c r="PIV29" s="609"/>
      <c r="PIW29" s="609"/>
      <c r="PIX29" s="609"/>
      <c r="PIY29" s="609"/>
      <c r="PIZ29" s="609"/>
      <c r="PJA29" s="609"/>
      <c r="PJB29" s="609"/>
      <c r="PJC29" s="609"/>
      <c r="PJD29" s="609"/>
      <c r="PJE29" s="609"/>
      <c r="PJF29" s="609"/>
      <c r="PJG29" s="609"/>
      <c r="PJH29" s="609"/>
      <c r="PJI29" s="609"/>
      <c r="PJJ29" s="609"/>
      <c r="PJK29" s="609"/>
      <c r="PJL29" s="609"/>
      <c r="PJM29" s="609"/>
      <c r="PJN29" s="609"/>
      <c r="PJO29" s="609"/>
      <c r="PJP29" s="609"/>
      <c r="PJQ29" s="609"/>
      <c r="PJR29" s="609"/>
      <c r="PJS29" s="609"/>
      <c r="PJT29" s="609"/>
      <c r="PJU29" s="609"/>
      <c r="PJV29" s="609"/>
      <c r="PJW29" s="609"/>
      <c r="PJX29" s="609"/>
      <c r="PJY29" s="609"/>
      <c r="PJZ29" s="609"/>
      <c r="PKA29" s="609"/>
      <c r="PKB29" s="609"/>
      <c r="PKC29" s="609"/>
      <c r="PKD29" s="609"/>
      <c r="PKE29" s="609"/>
      <c r="PKF29" s="609"/>
      <c r="PKG29" s="609"/>
      <c r="PKH29" s="609"/>
      <c r="PKI29" s="609"/>
      <c r="PKJ29" s="609"/>
      <c r="PKK29" s="609"/>
      <c r="PKL29" s="609"/>
      <c r="PKM29" s="609"/>
      <c r="PKN29" s="609"/>
      <c r="PKO29" s="609"/>
      <c r="PKP29" s="609"/>
      <c r="PKQ29" s="609"/>
      <c r="PKR29" s="609"/>
      <c r="PKS29" s="609"/>
      <c r="PKT29" s="609"/>
      <c r="PKU29" s="609"/>
      <c r="PKV29" s="609"/>
      <c r="PKW29" s="609"/>
      <c r="PKX29" s="609"/>
      <c r="PKY29" s="609"/>
      <c r="PKZ29" s="609"/>
      <c r="PLA29" s="609"/>
      <c r="PLB29" s="609"/>
      <c r="PLC29" s="609"/>
      <c r="PLD29" s="609"/>
      <c r="PLE29" s="609"/>
      <c r="PLF29" s="609"/>
      <c r="PLG29" s="609"/>
      <c r="PLH29" s="609"/>
      <c r="PLI29" s="609"/>
      <c r="PLJ29" s="609"/>
      <c r="PLK29" s="609"/>
      <c r="PLL29" s="609"/>
      <c r="PLM29" s="609"/>
      <c r="PLN29" s="609"/>
      <c r="PLO29" s="609"/>
      <c r="PLP29" s="609"/>
      <c r="PLQ29" s="609"/>
      <c r="PLR29" s="609"/>
      <c r="PLS29" s="609"/>
      <c r="PLT29" s="609"/>
      <c r="PLU29" s="609"/>
      <c r="PLV29" s="609"/>
      <c r="PLW29" s="609"/>
      <c r="PLX29" s="609"/>
      <c r="PLY29" s="609"/>
      <c r="PLZ29" s="609"/>
      <c r="PMA29" s="609"/>
      <c r="PMB29" s="609"/>
      <c r="PMC29" s="609"/>
      <c r="PMD29" s="609"/>
      <c r="PME29" s="609"/>
      <c r="PMF29" s="609"/>
      <c r="PMG29" s="609"/>
      <c r="PMH29" s="609"/>
      <c r="PMI29" s="609"/>
      <c r="PMJ29" s="609"/>
      <c r="PMK29" s="609"/>
      <c r="PML29" s="609"/>
      <c r="PMM29" s="609"/>
      <c r="PMN29" s="609"/>
      <c r="PMO29" s="609"/>
      <c r="PMP29" s="609"/>
      <c r="PMQ29" s="609"/>
      <c r="PMR29" s="609"/>
      <c r="PMS29" s="609"/>
      <c r="PMT29" s="609"/>
      <c r="PMU29" s="609"/>
      <c r="PMV29" s="609"/>
      <c r="PMW29" s="609"/>
      <c r="PMX29" s="609"/>
      <c r="PMY29" s="609"/>
      <c r="PMZ29" s="609"/>
      <c r="PNA29" s="609"/>
      <c r="PNB29" s="609"/>
      <c r="PNC29" s="609"/>
      <c r="PND29" s="609"/>
      <c r="PNE29" s="609"/>
      <c r="PNF29" s="609"/>
      <c r="PNG29" s="609"/>
      <c r="PNH29" s="609"/>
      <c r="PNI29" s="609"/>
      <c r="PNJ29" s="609"/>
      <c r="PNK29" s="609"/>
      <c r="PNL29" s="609"/>
      <c r="PNM29" s="609"/>
      <c r="PNN29" s="609"/>
      <c r="PNO29" s="609"/>
      <c r="PNP29" s="609"/>
      <c r="PNQ29" s="609"/>
      <c r="PNR29" s="609"/>
      <c r="PNS29" s="609"/>
      <c r="PNT29" s="609"/>
      <c r="PNU29" s="609"/>
      <c r="PNV29" s="609"/>
      <c r="PNW29" s="609"/>
      <c r="PNX29" s="609"/>
      <c r="PNY29" s="609"/>
      <c r="PNZ29" s="609"/>
      <c r="POA29" s="609"/>
      <c r="POB29" s="609"/>
      <c r="POC29" s="609"/>
      <c r="POD29" s="609"/>
      <c r="POE29" s="609"/>
      <c r="POF29" s="609"/>
      <c r="POG29" s="609"/>
      <c r="POH29" s="609"/>
      <c r="POI29" s="609"/>
      <c r="POJ29" s="609"/>
      <c r="POK29" s="609"/>
      <c r="POL29" s="609"/>
      <c r="POM29" s="609"/>
      <c r="PON29" s="609"/>
      <c r="POO29" s="609"/>
      <c r="POP29" s="609"/>
      <c r="POQ29" s="609"/>
      <c r="POR29" s="609"/>
      <c r="POS29" s="609"/>
      <c r="POT29" s="609"/>
      <c r="POU29" s="609"/>
      <c r="POV29" s="609"/>
      <c r="POW29" s="609"/>
      <c r="POX29" s="609"/>
      <c r="POY29" s="609"/>
      <c r="POZ29" s="609"/>
      <c r="PPA29" s="609"/>
      <c r="PPB29" s="609"/>
      <c r="PPC29" s="609"/>
      <c r="PPD29" s="609"/>
      <c r="PPE29" s="609"/>
      <c r="PPF29" s="609"/>
      <c r="PPG29" s="609"/>
      <c r="PPH29" s="609"/>
      <c r="PPI29" s="609"/>
      <c r="PPJ29" s="609"/>
      <c r="PPK29" s="609"/>
      <c r="PPL29" s="609"/>
      <c r="PPM29" s="609"/>
      <c r="PPN29" s="609"/>
      <c r="PPO29" s="609"/>
      <c r="PPP29" s="609"/>
      <c r="PPQ29" s="609"/>
      <c r="PPR29" s="609"/>
      <c r="PPS29" s="609"/>
      <c r="PPT29" s="609"/>
      <c r="PPU29" s="609"/>
      <c r="PPV29" s="609"/>
      <c r="PPW29" s="609"/>
      <c r="PPX29" s="609"/>
      <c r="PPY29" s="609"/>
      <c r="PPZ29" s="609"/>
      <c r="PQA29" s="609"/>
      <c r="PQB29" s="609"/>
      <c r="PQC29" s="609"/>
      <c r="PQD29" s="609"/>
      <c r="PQE29" s="609"/>
      <c r="PQF29" s="609"/>
      <c r="PQG29" s="609"/>
      <c r="PQH29" s="609"/>
      <c r="PQI29" s="609"/>
      <c r="PQJ29" s="609"/>
      <c r="PQK29" s="609"/>
      <c r="PQL29" s="609"/>
      <c r="PQM29" s="609"/>
      <c r="PQN29" s="609"/>
      <c r="PQO29" s="609"/>
      <c r="PQP29" s="609"/>
      <c r="PQQ29" s="609"/>
      <c r="PQR29" s="609"/>
      <c r="PQS29" s="609"/>
      <c r="PQT29" s="609"/>
      <c r="PQU29" s="609"/>
      <c r="PQV29" s="609"/>
      <c r="PQW29" s="609"/>
      <c r="PQX29" s="609"/>
      <c r="PQY29" s="609"/>
      <c r="PQZ29" s="609"/>
      <c r="PRA29" s="609"/>
      <c r="PRB29" s="609"/>
      <c r="PRC29" s="609"/>
      <c r="PRD29" s="609"/>
      <c r="PRE29" s="609"/>
      <c r="PRF29" s="609"/>
      <c r="PRG29" s="609"/>
      <c r="PRH29" s="609"/>
      <c r="PRI29" s="609"/>
      <c r="PRJ29" s="609"/>
      <c r="PRK29" s="609"/>
      <c r="PRL29" s="609"/>
      <c r="PRM29" s="609"/>
      <c r="PRN29" s="609"/>
      <c r="PRO29" s="609"/>
      <c r="PRP29" s="609"/>
      <c r="PRQ29" s="609"/>
      <c r="PRR29" s="609"/>
      <c r="PRS29" s="609"/>
      <c r="PRT29" s="609"/>
      <c r="PRU29" s="609"/>
      <c r="PRV29" s="609"/>
      <c r="PRW29" s="609"/>
      <c r="PRX29" s="609"/>
      <c r="PRY29" s="609"/>
      <c r="PRZ29" s="609"/>
      <c r="PSA29" s="609"/>
      <c r="PSB29" s="609"/>
      <c r="PSC29" s="609"/>
      <c r="PSD29" s="609"/>
      <c r="PSE29" s="609"/>
      <c r="PSF29" s="609"/>
      <c r="PSG29" s="609"/>
      <c r="PSH29" s="609"/>
      <c r="PSI29" s="609"/>
      <c r="PSJ29" s="609"/>
      <c r="PSK29" s="609"/>
      <c r="PSL29" s="609"/>
      <c r="PSM29" s="609"/>
      <c r="PSN29" s="609"/>
      <c r="PSO29" s="609"/>
      <c r="PSP29" s="609"/>
      <c r="PSQ29" s="609"/>
      <c r="PSR29" s="609"/>
      <c r="PSS29" s="609"/>
      <c r="PST29" s="609"/>
      <c r="PSU29" s="609"/>
      <c r="PSV29" s="609"/>
      <c r="PSW29" s="609"/>
      <c r="PSX29" s="609"/>
      <c r="PSY29" s="609"/>
      <c r="PSZ29" s="609"/>
      <c r="PTA29" s="609"/>
      <c r="PTB29" s="609"/>
      <c r="PTC29" s="609"/>
      <c r="PTD29" s="609"/>
      <c r="PTE29" s="609"/>
      <c r="PTF29" s="609"/>
      <c r="PTG29" s="609"/>
      <c r="PTH29" s="609"/>
      <c r="PTI29" s="609"/>
      <c r="PTJ29" s="609"/>
      <c r="PTK29" s="609"/>
      <c r="PTL29" s="609"/>
      <c r="PTM29" s="609"/>
      <c r="PTN29" s="609"/>
      <c r="PTO29" s="609"/>
      <c r="PTP29" s="609"/>
      <c r="PTQ29" s="609"/>
      <c r="PTR29" s="609"/>
      <c r="PTS29" s="609"/>
      <c r="PTT29" s="609"/>
      <c r="PTU29" s="609"/>
      <c r="PTV29" s="609"/>
      <c r="PTW29" s="609"/>
      <c r="PTX29" s="609"/>
      <c r="PTY29" s="609"/>
      <c r="PTZ29" s="609"/>
      <c r="PUA29" s="609"/>
      <c r="PUB29" s="609"/>
      <c r="PUC29" s="609"/>
      <c r="PUD29" s="609"/>
      <c r="PUE29" s="609"/>
      <c r="PUF29" s="609"/>
      <c r="PUG29" s="609"/>
      <c r="PUH29" s="609"/>
      <c r="PUI29" s="609"/>
      <c r="PUJ29" s="609"/>
      <c r="PUK29" s="609"/>
      <c r="PUL29" s="609"/>
      <c r="PUM29" s="609"/>
      <c r="PUN29" s="609"/>
      <c r="PUO29" s="609"/>
      <c r="PUP29" s="609"/>
      <c r="PUQ29" s="609"/>
      <c r="PUR29" s="609"/>
      <c r="PUS29" s="609"/>
      <c r="PUT29" s="609"/>
      <c r="PUU29" s="609"/>
      <c r="PUV29" s="609"/>
      <c r="PUW29" s="609"/>
      <c r="PUX29" s="609"/>
      <c r="PUY29" s="609"/>
      <c r="PUZ29" s="609"/>
      <c r="PVA29" s="609"/>
      <c r="PVB29" s="609"/>
      <c r="PVC29" s="609"/>
      <c r="PVD29" s="609"/>
      <c r="PVE29" s="609"/>
      <c r="PVF29" s="609"/>
      <c r="PVG29" s="609"/>
      <c r="PVH29" s="609"/>
      <c r="PVI29" s="609"/>
      <c r="PVJ29" s="609"/>
      <c r="PVK29" s="609"/>
      <c r="PVL29" s="609"/>
      <c r="PVM29" s="609"/>
      <c r="PVN29" s="609"/>
      <c r="PVO29" s="609"/>
      <c r="PVP29" s="609"/>
      <c r="PVQ29" s="609"/>
      <c r="PVR29" s="609"/>
      <c r="PVS29" s="609"/>
      <c r="PVT29" s="609"/>
      <c r="PVU29" s="609"/>
      <c r="PVV29" s="609"/>
      <c r="PVW29" s="609"/>
      <c r="PVX29" s="609"/>
      <c r="PVY29" s="609"/>
      <c r="PVZ29" s="609"/>
      <c r="PWA29" s="609"/>
      <c r="PWB29" s="609"/>
      <c r="PWC29" s="609"/>
      <c r="PWD29" s="609"/>
      <c r="PWE29" s="609"/>
      <c r="PWF29" s="609"/>
      <c r="PWG29" s="609"/>
      <c r="PWH29" s="609"/>
      <c r="PWI29" s="609"/>
      <c r="PWJ29" s="609"/>
      <c r="PWK29" s="609"/>
      <c r="PWL29" s="609"/>
      <c r="PWM29" s="609"/>
      <c r="PWN29" s="609"/>
      <c r="PWO29" s="609"/>
      <c r="PWP29" s="609"/>
      <c r="PWQ29" s="609"/>
      <c r="PWR29" s="609"/>
      <c r="PWS29" s="609"/>
      <c r="PWT29" s="609"/>
      <c r="PWU29" s="609"/>
      <c r="PWV29" s="609"/>
      <c r="PWW29" s="609"/>
      <c r="PWX29" s="609"/>
      <c r="PWY29" s="609"/>
      <c r="PWZ29" s="609"/>
      <c r="PXA29" s="609"/>
      <c r="PXB29" s="609"/>
      <c r="PXC29" s="609"/>
      <c r="PXD29" s="609"/>
      <c r="PXE29" s="609"/>
      <c r="PXF29" s="609"/>
      <c r="PXG29" s="609"/>
      <c r="PXH29" s="609"/>
      <c r="PXI29" s="609"/>
      <c r="PXJ29" s="609"/>
      <c r="PXK29" s="609"/>
      <c r="PXL29" s="609"/>
      <c r="PXM29" s="609"/>
      <c r="PXN29" s="609"/>
      <c r="PXO29" s="609"/>
      <c r="PXP29" s="609"/>
      <c r="PXQ29" s="609"/>
      <c r="PXR29" s="609"/>
      <c r="PXS29" s="609"/>
      <c r="PXT29" s="609"/>
      <c r="PXU29" s="609"/>
      <c r="PXV29" s="609"/>
      <c r="PXW29" s="609"/>
      <c r="PXX29" s="609"/>
      <c r="PXY29" s="609"/>
      <c r="PXZ29" s="609"/>
      <c r="PYA29" s="609"/>
      <c r="PYB29" s="609"/>
      <c r="PYC29" s="609"/>
      <c r="PYD29" s="609"/>
      <c r="PYE29" s="609"/>
      <c r="PYF29" s="609"/>
      <c r="PYG29" s="609"/>
      <c r="PYH29" s="609"/>
      <c r="PYI29" s="609"/>
      <c r="PYJ29" s="609"/>
      <c r="PYK29" s="609"/>
      <c r="PYL29" s="609"/>
      <c r="PYM29" s="609"/>
      <c r="PYN29" s="609"/>
      <c r="PYO29" s="609"/>
      <c r="PYP29" s="609"/>
      <c r="PYQ29" s="609"/>
      <c r="PYR29" s="609"/>
      <c r="PYS29" s="609"/>
      <c r="PYT29" s="609"/>
      <c r="PYU29" s="609"/>
      <c r="PYV29" s="609"/>
      <c r="PYW29" s="609"/>
      <c r="PYX29" s="609"/>
      <c r="PYY29" s="609"/>
      <c r="PYZ29" s="609"/>
      <c r="PZA29" s="609"/>
      <c r="PZB29" s="609"/>
      <c r="PZC29" s="609"/>
      <c r="PZD29" s="609"/>
      <c r="PZE29" s="609"/>
      <c r="PZF29" s="609"/>
      <c r="PZG29" s="609"/>
      <c r="PZH29" s="609"/>
      <c r="PZI29" s="609"/>
      <c r="PZJ29" s="609"/>
      <c r="PZK29" s="609"/>
      <c r="PZL29" s="609"/>
      <c r="PZM29" s="609"/>
      <c r="PZN29" s="609"/>
      <c r="PZO29" s="609"/>
      <c r="PZP29" s="609"/>
      <c r="PZQ29" s="609"/>
      <c r="PZR29" s="609"/>
      <c r="PZS29" s="609"/>
      <c r="PZT29" s="609"/>
      <c r="PZU29" s="609"/>
      <c r="PZV29" s="609"/>
      <c r="PZW29" s="609"/>
      <c r="PZX29" s="609"/>
      <c r="PZY29" s="609"/>
      <c r="PZZ29" s="609"/>
      <c r="QAA29" s="609"/>
      <c r="QAB29" s="609"/>
      <c r="QAC29" s="609"/>
      <c r="QAD29" s="609"/>
      <c r="QAE29" s="609"/>
      <c r="QAF29" s="609"/>
      <c r="QAG29" s="609"/>
      <c r="QAH29" s="609"/>
      <c r="QAI29" s="609"/>
      <c r="QAJ29" s="609"/>
      <c r="QAK29" s="609"/>
      <c r="QAL29" s="609"/>
      <c r="QAM29" s="609"/>
      <c r="QAN29" s="609"/>
      <c r="QAO29" s="609"/>
      <c r="QAP29" s="609"/>
      <c r="QAQ29" s="609"/>
      <c r="QAR29" s="609"/>
      <c r="QAS29" s="609"/>
      <c r="QAT29" s="609"/>
      <c r="QAU29" s="609"/>
      <c r="QAV29" s="609"/>
      <c r="QAW29" s="609"/>
      <c r="QAX29" s="609"/>
      <c r="QAY29" s="609"/>
      <c r="QAZ29" s="609"/>
      <c r="QBA29" s="609"/>
      <c r="QBB29" s="609"/>
      <c r="QBC29" s="609"/>
      <c r="QBD29" s="609"/>
      <c r="QBE29" s="609"/>
      <c r="QBF29" s="609"/>
      <c r="QBG29" s="609"/>
      <c r="QBH29" s="609"/>
      <c r="QBI29" s="609"/>
      <c r="QBJ29" s="609"/>
      <c r="QBK29" s="609"/>
      <c r="QBL29" s="609"/>
      <c r="QBM29" s="609"/>
      <c r="QBN29" s="609"/>
      <c r="QBO29" s="609"/>
      <c r="QBP29" s="609"/>
      <c r="QBQ29" s="609"/>
      <c r="QBR29" s="609"/>
      <c r="QBS29" s="609"/>
      <c r="QBT29" s="609"/>
      <c r="QBU29" s="609"/>
      <c r="QBV29" s="609"/>
      <c r="QBW29" s="609"/>
      <c r="QBX29" s="609"/>
      <c r="QBY29" s="609"/>
      <c r="QBZ29" s="609"/>
      <c r="QCA29" s="609"/>
      <c r="QCB29" s="609"/>
      <c r="QCC29" s="609"/>
      <c r="QCD29" s="609"/>
      <c r="QCE29" s="609"/>
      <c r="QCF29" s="609"/>
      <c r="QCG29" s="609"/>
      <c r="QCH29" s="609"/>
      <c r="QCI29" s="609"/>
      <c r="QCJ29" s="609"/>
      <c r="QCK29" s="609"/>
      <c r="QCL29" s="609"/>
      <c r="QCM29" s="609"/>
      <c r="QCN29" s="609"/>
      <c r="QCO29" s="609"/>
      <c r="QCP29" s="609"/>
      <c r="QCQ29" s="609"/>
      <c r="QCR29" s="609"/>
      <c r="QCS29" s="609"/>
      <c r="QCT29" s="609"/>
      <c r="QCU29" s="609"/>
      <c r="QCV29" s="609"/>
      <c r="QCW29" s="609"/>
      <c r="QCX29" s="609"/>
      <c r="QCY29" s="609"/>
      <c r="QCZ29" s="609"/>
      <c r="QDA29" s="609"/>
      <c r="QDB29" s="609"/>
      <c r="QDC29" s="609"/>
      <c r="QDD29" s="609"/>
      <c r="QDE29" s="609"/>
      <c r="QDF29" s="609"/>
      <c r="QDG29" s="609"/>
      <c r="QDH29" s="609"/>
      <c r="QDI29" s="609"/>
      <c r="QDJ29" s="609"/>
      <c r="QDK29" s="609"/>
      <c r="QDL29" s="609"/>
      <c r="QDM29" s="609"/>
      <c r="QDN29" s="609"/>
      <c r="QDO29" s="609"/>
      <c r="QDP29" s="609"/>
      <c r="QDQ29" s="609"/>
      <c r="QDR29" s="609"/>
      <c r="QDS29" s="609"/>
      <c r="QDT29" s="609"/>
      <c r="QDU29" s="609"/>
      <c r="QDV29" s="609"/>
      <c r="QDW29" s="609"/>
      <c r="QDX29" s="609"/>
      <c r="QDY29" s="609"/>
      <c r="QDZ29" s="609"/>
      <c r="QEA29" s="609"/>
      <c r="QEB29" s="609"/>
      <c r="QEC29" s="609"/>
      <c r="QED29" s="609"/>
      <c r="QEE29" s="609"/>
      <c r="QEF29" s="609"/>
      <c r="QEG29" s="609"/>
      <c r="QEH29" s="609"/>
      <c r="QEI29" s="609"/>
      <c r="QEJ29" s="609"/>
      <c r="QEK29" s="609"/>
      <c r="QEL29" s="609"/>
      <c r="QEM29" s="609"/>
      <c r="QEN29" s="609"/>
      <c r="QEO29" s="609"/>
      <c r="QEP29" s="609"/>
      <c r="QEQ29" s="609"/>
      <c r="QER29" s="609"/>
      <c r="QES29" s="609"/>
      <c r="QET29" s="609"/>
      <c r="QEU29" s="609"/>
      <c r="QEV29" s="609"/>
      <c r="QEW29" s="609"/>
      <c r="QEX29" s="609"/>
      <c r="QEY29" s="609"/>
      <c r="QEZ29" s="609"/>
      <c r="QFA29" s="609"/>
      <c r="QFB29" s="609"/>
      <c r="QFC29" s="609"/>
      <c r="QFD29" s="609"/>
      <c r="QFE29" s="609"/>
      <c r="QFF29" s="609"/>
      <c r="QFG29" s="609"/>
      <c r="QFH29" s="609"/>
      <c r="QFI29" s="609"/>
      <c r="QFJ29" s="609"/>
      <c r="QFK29" s="609"/>
      <c r="QFL29" s="609"/>
      <c r="QFM29" s="609"/>
      <c r="QFN29" s="609"/>
      <c r="QFO29" s="609"/>
      <c r="QFP29" s="609"/>
      <c r="QFQ29" s="609"/>
      <c r="QFR29" s="609"/>
      <c r="QFS29" s="609"/>
      <c r="QFT29" s="609"/>
      <c r="QFU29" s="609"/>
      <c r="QFV29" s="609"/>
      <c r="QFW29" s="609"/>
      <c r="QFX29" s="609"/>
      <c r="QFY29" s="609"/>
      <c r="QFZ29" s="609"/>
      <c r="QGA29" s="609"/>
      <c r="QGB29" s="609"/>
      <c r="QGC29" s="609"/>
      <c r="QGD29" s="609"/>
      <c r="QGE29" s="609"/>
      <c r="QGF29" s="609"/>
      <c r="QGG29" s="609"/>
      <c r="QGH29" s="609"/>
      <c r="QGI29" s="609"/>
      <c r="QGJ29" s="609"/>
      <c r="QGK29" s="609"/>
      <c r="QGL29" s="609"/>
      <c r="QGM29" s="609"/>
      <c r="QGN29" s="609"/>
      <c r="QGO29" s="609"/>
      <c r="QGP29" s="609"/>
      <c r="QGQ29" s="609"/>
      <c r="QGR29" s="609"/>
      <c r="QGS29" s="609"/>
      <c r="QGT29" s="609"/>
      <c r="QGU29" s="609"/>
      <c r="QGV29" s="609"/>
      <c r="QGW29" s="609"/>
      <c r="QGX29" s="609"/>
      <c r="QGY29" s="609"/>
      <c r="QGZ29" s="609"/>
      <c r="QHA29" s="609"/>
      <c r="QHB29" s="609"/>
      <c r="QHC29" s="609"/>
      <c r="QHD29" s="609"/>
      <c r="QHE29" s="609"/>
      <c r="QHF29" s="609"/>
      <c r="QHG29" s="609"/>
      <c r="QHH29" s="609"/>
      <c r="QHI29" s="609"/>
      <c r="QHJ29" s="609"/>
      <c r="QHK29" s="609"/>
      <c r="QHL29" s="609"/>
      <c r="QHM29" s="609"/>
      <c r="QHN29" s="609"/>
      <c r="QHO29" s="609"/>
      <c r="QHP29" s="609"/>
      <c r="QHQ29" s="609"/>
      <c r="QHR29" s="609"/>
      <c r="QHS29" s="609"/>
      <c r="QHT29" s="609"/>
      <c r="QHU29" s="609"/>
      <c r="QHV29" s="609"/>
      <c r="QHW29" s="609"/>
      <c r="QHX29" s="609"/>
      <c r="QHY29" s="609"/>
      <c r="QHZ29" s="609"/>
      <c r="QIA29" s="609"/>
      <c r="QIB29" s="609"/>
      <c r="QIC29" s="609"/>
      <c r="QID29" s="609"/>
      <c r="QIE29" s="609"/>
      <c r="QIF29" s="609"/>
      <c r="QIG29" s="609"/>
      <c r="QIH29" s="609"/>
      <c r="QII29" s="609"/>
      <c r="QIJ29" s="609"/>
      <c r="QIK29" s="609"/>
      <c r="QIL29" s="609"/>
      <c r="QIM29" s="609"/>
      <c r="QIN29" s="609"/>
      <c r="QIO29" s="609"/>
      <c r="QIP29" s="609"/>
      <c r="QIQ29" s="609"/>
      <c r="QIR29" s="609"/>
      <c r="QIS29" s="609"/>
      <c r="QIT29" s="609"/>
      <c r="QIU29" s="609"/>
      <c r="QIV29" s="609"/>
      <c r="QIW29" s="609"/>
      <c r="QIX29" s="609"/>
      <c r="QIY29" s="609"/>
      <c r="QIZ29" s="609"/>
      <c r="QJA29" s="609"/>
      <c r="QJB29" s="609"/>
      <c r="QJC29" s="609"/>
      <c r="QJD29" s="609"/>
      <c r="QJE29" s="609"/>
      <c r="QJF29" s="609"/>
      <c r="QJG29" s="609"/>
      <c r="QJH29" s="609"/>
      <c r="QJI29" s="609"/>
      <c r="QJJ29" s="609"/>
      <c r="QJK29" s="609"/>
      <c r="QJL29" s="609"/>
      <c r="QJM29" s="609"/>
      <c r="QJN29" s="609"/>
      <c r="QJO29" s="609"/>
      <c r="QJP29" s="609"/>
      <c r="QJQ29" s="609"/>
      <c r="QJR29" s="609"/>
      <c r="QJS29" s="609"/>
      <c r="QJT29" s="609"/>
      <c r="QJU29" s="609"/>
      <c r="QJV29" s="609"/>
      <c r="QJW29" s="609"/>
      <c r="QJX29" s="609"/>
      <c r="QJY29" s="609"/>
      <c r="QJZ29" s="609"/>
      <c r="QKA29" s="609"/>
      <c r="QKB29" s="609"/>
      <c r="QKC29" s="609"/>
      <c r="QKD29" s="609"/>
      <c r="QKE29" s="609"/>
      <c r="QKF29" s="609"/>
      <c r="QKG29" s="609"/>
      <c r="QKH29" s="609"/>
      <c r="QKI29" s="609"/>
      <c r="QKJ29" s="609"/>
      <c r="QKK29" s="609"/>
      <c r="QKL29" s="609"/>
      <c r="QKM29" s="609"/>
      <c r="QKN29" s="609"/>
      <c r="QKO29" s="609"/>
      <c r="QKP29" s="609"/>
      <c r="QKQ29" s="609"/>
      <c r="QKR29" s="609"/>
      <c r="QKS29" s="609"/>
      <c r="QKT29" s="609"/>
      <c r="QKU29" s="609"/>
      <c r="QKV29" s="609"/>
      <c r="QKW29" s="609"/>
      <c r="QKX29" s="609"/>
      <c r="QKY29" s="609"/>
      <c r="QKZ29" s="609"/>
      <c r="QLA29" s="609"/>
      <c r="QLB29" s="609"/>
      <c r="QLC29" s="609"/>
      <c r="QLD29" s="609"/>
      <c r="QLE29" s="609"/>
      <c r="QLF29" s="609"/>
      <c r="QLG29" s="609"/>
      <c r="QLH29" s="609"/>
      <c r="QLI29" s="609"/>
      <c r="QLJ29" s="609"/>
      <c r="QLK29" s="609"/>
      <c r="QLL29" s="609"/>
      <c r="QLM29" s="609"/>
      <c r="QLN29" s="609"/>
      <c r="QLO29" s="609"/>
      <c r="QLP29" s="609"/>
      <c r="QLQ29" s="609"/>
      <c r="QLR29" s="609"/>
      <c r="QLS29" s="609"/>
      <c r="QLT29" s="609"/>
      <c r="QLU29" s="609"/>
      <c r="QLV29" s="609"/>
      <c r="QLW29" s="609"/>
      <c r="QLX29" s="609"/>
      <c r="QLY29" s="609"/>
      <c r="QLZ29" s="609"/>
      <c r="QMA29" s="609"/>
      <c r="QMB29" s="609"/>
      <c r="QMC29" s="609"/>
      <c r="QMD29" s="609"/>
      <c r="QME29" s="609"/>
      <c r="QMF29" s="609"/>
      <c r="QMG29" s="609"/>
      <c r="QMH29" s="609"/>
      <c r="QMI29" s="609"/>
      <c r="QMJ29" s="609"/>
      <c r="QMK29" s="609"/>
      <c r="QML29" s="609"/>
      <c r="QMM29" s="609"/>
      <c r="QMN29" s="609"/>
      <c r="QMO29" s="609"/>
      <c r="QMP29" s="609"/>
      <c r="QMQ29" s="609"/>
      <c r="QMR29" s="609"/>
      <c r="QMS29" s="609"/>
      <c r="QMT29" s="609"/>
      <c r="QMU29" s="609"/>
      <c r="QMV29" s="609"/>
      <c r="QMW29" s="609"/>
      <c r="QMX29" s="609"/>
      <c r="QMY29" s="609"/>
      <c r="QMZ29" s="609"/>
      <c r="QNA29" s="609"/>
      <c r="QNB29" s="609"/>
      <c r="QNC29" s="609"/>
      <c r="QND29" s="609"/>
      <c r="QNE29" s="609"/>
      <c r="QNF29" s="609"/>
      <c r="QNG29" s="609"/>
      <c r="QNH29" s="609"/>
      <c r="QNI29" s="609"/>
      <c r="QNJ29" s="609"/>
      <c r="QNK29" s="609"/>
      <c r="QNL29" s="609"/>
      <c r="QNM29" s="609"/>
      <c r="QNN29" s="609"/>
      <c r="QNO29" s="609"/>
      <c r="QNP29" s="609"/>
      <c r="QNQ29" s="609"/>
      <c r="QNR29" s="609"/>
      <c r="QNS29" s="609"/>
      <c r="QNT29" s="609"/>
      <c r="QNU29" s="609"/>
      <c r="QNV29" s="609"/>
      <c r="QNW29" s="609"/>
      <c r="QNX29" s="609"/>
      <c r="QNY29" s="609"/>
      <c r="QNZ29" s="609"/>
      <c r="QOA29" s="609"/>
      <c r="QOB29" s="609"/>
      <c r="QOC29" s="609"/>
      <c r="QOD29" s="609"/>
      <c r="QOE29" s="609"/>
      <c r="QOF29" s="609"/>
      <c r="QOG29" s="609"/>
      <c r="QOH29" s="609"/>
      <c r="QOI29" s="609"/>
      <c r="QOJ29" s="609"/>
      <c r="QOK29" s="609"/>
      <c r="QOL29" s="609"/>
      <c r="QOM29" s="609"/>
      <c r="QON29" s="609"/>
      <c r="QOO29" s="609"/>
      <c r="QOP29" s="609"/>
      <c r="QOQ29" s="609"/>
      <c r="QOR29" s="609"/>
      <c r="QOS29" s="609"/>
      <c r="QOT29" s="609"/>
      <c r="QOU29" s="609"/>
      <c r="QOV29" s="609"/>
      <c r="QOW29" s="609"/>
      <c r="QOX29" s="609"/>
      <c r="QOY29" s="609"/>
      <c r="QOZ29" s="609"/>
      <c r="QPA29" s="609"/>
      <c r="QPB29" s="609"/>
      <c r="QPC29" s="609"/>
      <c r="QPD29" s="609"/>
      <c r="QPE29" s="609"/>
      <c r="QPF29" s="609"/>
      <c r="QPG29" s="609"/>
      <c r="QPH29" s="609"/>
      <c r="QPI29" s="609"/>
      <c r="QPJ29" s="609"/>
      <c r="QPK29" s="609"/>
      <c r="QPL29" s="609"/>
      <c r="QPM29" s="609"/>
      <c r="QPN29" s="609"/>
      <c r="QPO29" s="609"/>
      <c r="QPP29" s="609"/>
      <c r="QPQ29" s="609"/>
      <c r="QPR29" s="609"/>
      <c r="QPS29" s="609"/>
      <c r="QPT29" s="609"/>
      <c r="QPU29" s="609"/>
      <c r="QPV29" s="609"/>
      <c r="QPW29" s="609"/>
      <c r="QPX29" s="609"/>
      <c r="QPY29" s="609"/>
      <c r="QPZ29" s="609"/>
      <c r="QQA29" s="609"/>
      <c r="QQB29" s="609"/>
      <c r="QQC29" s="609"/>
      <c r="QQD29" s="609"/>
      <c r="QQE29" s="609"/>
      <c r="QQF29" s="609"/>
      <c r="QQG29" s="609"/>
      <c r="QQH29" s="609"/>
      <c r="QQI29" s="609"/>
      <c r="QQJ29" s="609"/>
      <c r="QQK29" s="609"/>
      <c r="QQL29" s="609"/>
      <c r="QQM29" s="609"/>
      <c r="QQN29" s="609"/>
      <c r="QQO29" s="609"/>
      <c r="QQP29" s="609"/>
      <c r="QQQ29" s="609"/>
      <c r="QQR29" s="609"/>
      <c r="QQS29" s="609"/>
      <c r="QQT29" s="609"/>
      <c r="QQU29" s="609"/>
      <c r="QQV29" s="609"/>
      <c r="QQW29" s="609"/>
      <c r="QQX29" s="609"/>
      <c r="QQY29" s="609"/>
      <c r="QQZ29" s="609"/>
      <c r="QRA29" s="609"/>
      <c r="QRB29" s="609"/>
      <c r="QRC29" s="609"/>
      <c r="QRD29" s="609"/>
      <c r="QRE29" s="609"/>
      <c r="QRF29" s="609"/>
      <c r="QRG29" s="609"/>
      <c r="QRH29" s="609"/>
      <c r="QRI29" s="609"/>
      <c r="QRJ29" s="609"/>
      <c r="QRK29" s="609"/>
      <c r="QRL29" s="609"/>
      <c r="QRM29" s="609"/>
      <c r="QRN29" s="609"/>
      <c r="QRO29" s="609"/>
      <c r="QRP29" s="609"/>
      <c r="QRQ29" s="609"/>
      <c r="QRR29" s="609"/>
      <c r="QRS29" s="609"/>
      <c r="QRT29" s="609"/>
      <c r="QRU29" s="609"/>
      <c r="QRV29" s="609"/>
      <c r="QRW29" s="609"/>
      <c r="QRX29" s="609"/>
      <c r="QRY29" s="609"/>
      <c r="QRZ29" s="609"/>
      <c r="QSA29" s="609"/>
      <c r="QSB29" s="609"/>
      <c r="QSC29" s="609"/>
      <c r="QSD29" s="609"/>
      <c r="QSE29" s="609"/>
      <c r="QSF29" s="609"/>
      <c r="QSG29" s="609"/>
      <c r="QSH29" s="609"/>
      <c r="QSI29" s="609"/>
      <c r="QSJ29" s="609"/>
      <c r="QSK29" s="609"/>
      <c r="QSL29" s="609"/>
      <c r="QSM29" s="609"/>
      <c r="QSN29" s="609"/>
      <c r="QSO29" s="609"/>
      <c r="QSP29" s="609"/>
      <c r="QSQ29" s="609"/>
      <c r="QSR29" s="609"/>
      <c r="QSS29" s="609"/>
      <c r="QST29" s="609"/>
      <c r="QSU29" s="609"/>
      <c r="QSV29" s="609"/>
      <c r="QSW29" s="609"/>
      <c r="QSX29" s="609"/>
      <c r="QSY29" s="609"/>
      <c r="QSZ29" s="609"/>
      <c r="QTA29" s="609"/>
      <c r="QTB29" s="609"/>
      <c r="QTC29" s="609"/>
      <c r="QTD29" s="609"/>
      <c r="QTE29" s="609"/>
      <c r="QTF29" s="609"/>
      <c r="QTG29" s="609"/>
      <c r="QTH29" s="609"/>
      <c r="QTI29" s="609"/>
      <c r="QTJ29" s="609"/>
      <c r="QTK29" s="609"/>
      <c r="QTL29" s="609"/>
      <c r="QTM29" s="609"/>
      <c r="QTN29" s="609"/>
      <c r="QTO29" s="609"/>
      <c r="QTP29" s="609"/>
      <c r="QTQ29" s="609"/>
      <c r="QTR29" s="609"/>
      <c r="QTS29" s="609"/>
      <c r="QTT29" s="609"/>
      <c r="QTU29" s="609"/>
      <c r="QTV29" s="609"/>
      <c r="QTW29" s="609"/>
      <c r="QTX29" s="609"/>
      <c r="QTY29" s="609"/>
      <c r="QTZ29" s="609"/>
      <c r="QUA29" s="609"/>
      <c r="QUB29" s="609"/>
      <c r="QUC29" s="609"/>
      <c r="QUD29" s="609"/>
      <c r="QUE29" s="609"/>
      <c r="QUF29" s="609"/>
      <c r="QUG29" s="609"/>
      <c r="QUH29" s="609"/>
      <c r="QUI29" s="609"/>
      <c r="QUJ29" s="609"/>
      <c r="QUK29" s="609"/>
      <c r="QUL29" s="609"/>
      <c r="QUM29" s="609"/>
      <c r="QUN29" s="609"/>
      <c r="QUO29" s="609"/>
      <c r="QUP29" s="609"/>
      <c r="QUQ29" s="609"/>
      <c r="QUR29" s="609"/>
      <c r="QUS29" s="609"/>
      <c r="QUT29" s="609"/>
      <c r="QUU29" s="609"/>
      <c r="QUV29" s="609"/>
      <c r="QUW29" s="609"/>
      <c r="QUX29" s="609"/>
      <c r="QUY29" s="609"/>
      <c r="QUZ29" s="609"/>
      <c r="QVA29" s="609"/>
      <c r="QVB29" s="609"/>
      <c r="QVC29" s="609"/>
      <c r="QVD29" s="609"/>
      <c r="QVE29" s="609"/>
      <c r="QVF29" s="609"/>
      <c r="QVG29" s="609"/>
      <c r="QVH29" s="609"/>
      <c r="QVI29" s="609"/>
      <c r="QVJ29" s="609"/>
      <c r="QVK29" s="609"/>
      <c r="QVL29" s="609"/>
      <c r="QVM29" s="609"/>
      <c r="QVN29" s="609"/>
      <c r="QVO29" s="609"/>
      <c r="QVP29" s="609"/>
      <c r="QVQ29" s="609"/>
      <c r="QVR29" s="609"/>
      <c r="QVS29" s="609"/>
      <c r="QVT29" s="609"/>
      <c r="QVU29" s="609"/>
      <c r="QVV29" s="609"/>
      <c r="QVW29" s="609"/>
      <c r="QVX29" s="609"/>
      <c r="QVY29" s="609"/>
      <c r="QVZ29" s="609"/>
      <c r="QWA29" s="609"/>
      <c r="QWB29" s="609"/>
      <c r="QWC29" s="609"/>
      <c r="QWD29" s="609"/>
      <c r="QWE29" s="609"/>
      <c r="QWF29" s="609"/>
      <c r="QWG29" s="609"/>
      <c r="QWH29" s="609"/>
      <c r="QWI29" s="609"/>
      <c r="QWJ29" s="609"/>
      <c r="QWK29" s="609"/>
      <c r="QWL29" s="609"/>
      <c r="QWM29" s="609"/>
      <c r="QWN29" s="609"/>
      <c r="QWO29" s="609"/>
      <c r="QWP29" s="609"/>
      <c r="QWQ29" s="609"/>
      <c r="QWR29" s="609"/>
      <c r="QWS29" s="609"/>
      <c r="QWT29" s="609"/>
      <c r="QWU29" s="609"/>
      <c r="QWV29" s="609"/>
      <c r="QWW29" s="609"/>
      <c r="QWX29" s="609"/>
      <c r="QWY29" s="609"/>
      <c r="QWZ29" s="609"/>
      <c r="QXA29" s="609"/>
      <c r="QXB29" s="609"/>
      <c r="QXC29" s="609"/>
      <c r="QXD29" s="609"/>
      <c r="QXE29" s="609"/>
      <c r="QXF29" s="609"/>
      <c r="QXG29" s="609"/>
      <c r="QXH29" s="609"/>
      <c r="QXI29" s="609"/>
      <c r="QXJ29" s="609"/>
      <c r="QXK29" s="609"/>
      <c r="QXL29" s="609"/>
      <c r="QXM29" s="609"/>
      <c r="QXN29" s="609"/>
      <c r="QXO29" s="609"/>
      <c r="QXP29" s="609"/>
      <c r="QXQ29" s="609"/>
      <c r="QXR29" s="609"/>
      <c r="QXS29" s="609"/>
      <c r="QXT29" s="609"/>
      <c r="QXU29" s="609"/>
      <c r="QXV29" s="609"/>
      <c r="QXW29" s="609"/>
      <c r="QXX29" s="609"/>
      <c r="QXY29" s="609"/>
      <c r="QXZ29" s="609"/>
      <c r="QYA29" s="609"/>
      <c r="QYB29" s="609"/>
      <c r="QYC29" s="609"/>
      <c r="QYD29" s="609"/>
      <c r="QYE29" s="609"/>
      <c r="QYF29" s="609"/>
      <c r="QYG29" s="609"/>
      <c r="QYH29" s="609"/>
      <c r="QYI29" s="609"/>
      <c r="QYJ29" s="609"/>
      <c r="QYK29" s="609"/>
      <c r="QYL29" s="609"/>
      <c r="QYM29" s="609"/>
      <c r="QYN29" s="609"/>
      <c r="QYO29" s="609"/>
      <c r="QYP29" s="609"/>
      <c r="QYQ29" s="609"/>
      <c r="QYR29" s="609"/>
      <c r="QYS29" s="609"/>
      <c r="QYT29" s="609"/>
      <c r="QYU29" s="609"/>
      <c r="QYV29" s="609"/>
      <c r="QYW29" s="609"/>
      <c r="QYX29" s="609"/>
      <c r="QYY29" s="609"/>
      <c r="QYZ29" s="609"/>
      <c r="QZA29" s="609"/>
      <c r="QZB29" s="609"/>
      <c r="QZC29" s="609"/>
      <c r="QZD29" s="609"/>
      <c r="QZE29" s="609"/>
      <c r="QZF29" s="609"/>
      <c r="QZG29" s="609"/>
      <c r="QZH29" s="609"/>
      <c r="QZI29" s="609"/>
      <c r="QZJ29" s="609"/>
      <c r="QZK29" s="609"/>
      <c r="QZL29" s="609"/>
      <c r="QZM29" s="609"/>
      <c r="QZN29" s="609"/>
      <c r="QZO29" s="609"/>
      <c r="QZP29" s="609"/>
      <c r="QZQ29" s="609"/>
      <c r="QZR29" s="609"/>
      <c r="QZS29" s="609"/>
      <c r="QZT29" s="609"/>
      <c r="QZU29" s="609"/>
      <c r="QZV29" s="609"/>
      <c r="QZW29" s="609"/>
      <c r="QZX29" s="609"/>
      <c r="QZY29" s="609"/>
      <c r="QZZ29" s="609"/>
      <c r="RAA29" s="609"/>
      <c r="RAB29" s="609"/>
      <c r="RAC29" s="609"/>
      <c r="RAD29" s="609"/>
      <c r="RAE29" s="609"/>
      <c r="RAF29" s="609"/>
      <c r="RAG29" s="609"/>
      <c r="RAH29" s="609"/>
      <c r="RAI29" s="609"/>
      <c r="RAJ29" s="609"/>
      <c r="RAK29" s="609"/>
      <c r="RAL29" s="609"/>
      <c r="RAM29" s="609"/>
      <c r="RAN29" s="609"/>
      <c r="RAO29" s="609"/>
      <c r="RAP29" s="609"/>
      <c r="RAQ29" s="609"/>
      <c r="RAR29" s="609"/>
      <c r="RAS29" s="609"/>
      <c r="RAT29" s="609"/>
      <c r="RAU29" s="609"/>
      <c r="RAV29" s="609"/>
      <c r="RAW29" s="609"/>
      <c r="RAX29" s="609"/>
      <c r="RAY29" s="609"/>
      <c r="RAZ29" s="609"/>
      <c r="RBA29" s="609"/>
      <c r="RBB29" s="609"/>
      <c r="RBC29" s="609"/>
      <c r="RBD29" s="609"/>
      <c r="RBE29" s="609"/>
      <c r="RBF29" s="609"/>
      <c r="RBG29" s="609"/>
      <c r="RBH29" s="609"/>
      <c r="RBI29" s="609"/>
      <c r="RBJ29" s="609"/>
      <c r="RBK29" s="609"/>
      <c r="RBL29" s="609"/>
      <c r="RBM29" s="609"/>
      <c r="RBN29" s="609"/>
      <c r="RBO29" s="609"/>
      <c r="RBP29" s="609"/>
      <c r="RBQ29" s="609"/>
      <c r="RBR29" s="609"/>
      <c r="RBS29" s="609"/>
      <c r="RBT29" s="609"/>
      <c r="RBU29" s="609"/>
      <c r="RBV29" s="609"/>
      <c r="RBW29" s="609"/>
      <c r="RBX29" s="609"/>
      <c r="RBY29" s="609"/>
      <c r="RBZ29" s="609"/>
      <c r="RCA29" s="609"/>
      <c r="RCB29" s="609"/>
      <c r="RCC29" s="609"/>
      <c r="RCD29" s="609"/>
      <c r="RCE29" s="609"/>
      <c r="RCF29" s="609"/>
      <c r="RCG29" s="609"/>
      <c r="RCH29" s="609"/>
      <c r="RCI29" s="609"/>
      <c r="RCJ29" s="609"/>
      <c r="RCK29" s="609"/>
      <c r="RCL29" s="609"/>
      <c r="RCM29" s="609"/>
      <c r="RCN29" s="609"/>
      <c r="RCO29" s="609"/>
      <c r="RCP29" s="609"/>
      <c r="RCQ29" s="609"/>
      <c r="RCR29" s="609"/>
      <c r="RCS29" s="609"/>
      <c r="RCT29" s="609"/>
      <c r="RCU29" s="609"/>
      <c r="RCV29" s="609"/>
      <c r="RCW29" s="609"/>
      <c r="RCX29" s="609"/>
      <c r="RCY29" s="609"/>
      <c r="RCZ29" s="609"/>
      <c r="RDA29" s="609"/>
      <c r="RDB29" s="609"/>
      <c r="RDC29" s="609"/>
      <c r="RDD29" s="609"/>
      <c r="RDE29" s="609"/>
      <c r="RDF29" s="609"/>
      <c r="RDG29" s="609"/>
      <c r="RDH29" s="609"/>
      <c r="RDI29" s="609"/>
      <c r="RDJ29" s="609"/>
      <c r="RDK29" s="609"/>
      <c r="RDL29" s="609"/>
      <c r="RDM29" s="609"/>
      <c r="RDN29" s="609"/>
      <c r="RDO29" s="609"/>
      <c r="RDP29" s="609"/>
      <c r="RDQ29" s="609"/>
      <c r="RDR29" s="609"/>
      <c r="RDS29" s="609"/>
      <c r="RDT29" s="609"/>
      <c r="RDU29" s="609"/>
      <c r="RDV29" s="609"/>
      <c r="RDW29" s="609"/>
      <c r="RDX29" s="609"/>
      <c r="RDY29" s="609"/>
      <c r="RDZ29" s="609"/>
      <c r="REA29" s="609"/>
      <c r="REB29" s="609"/>
      <c r="REC29" s="609"/>
      <c r="RED29" s="609"/>
      <c r="REE29" s="609"/>
      <c r="REF29" s="609"/>
      <c r="REG29" s="609"/>
      <c r="REH29" s="609"/>
      <c r="REI29" s="609"/>
      <c r="REJ29" s="609"/>
      <c r="REK29" s="609"/>
      <c r="REL29" s="609"/>
      <c r="REM29" s="609"/>
      <c r="REN29" s="609"/>
      <c r="REO29" s="609"/>
      <c r="REP29" s="609"/>
      <c r="REQ29" s="609"/>
      <c r="RER29" s="609"/>
      <c r="RES29" s="609"/>
      <c r="RET29" s="609"/>
      <c r="REU29" s="609"/>
      <c r="REV29" s="609"/>
      <c r="REW29" s="609"/>
      <c r="REX29" s="609"/>
      <c r="REY29" s="609"/>
      <c r="REZ29" s="609"/>
      <c r="RFA29" s="609"/>
      <c r="RFB29" s="609"/>
      <c r="RFC29" s="609"/>
      <c r="RFD29" s="609"/>
      <c r="RFE29" s="609"/>
      <c r="RFF29" s="609"/>
      <c r="RFG29" s="609"/>
      <c r="RFH29" s="609"/>
      <c r="RFI29" s="609"/>
      <c r="RFJ29" s="609"/>
      <c r="RFK29" s="609"/>
      <c r="RFL29" s="609"/>
      <c r="RFM29" s="609"/>
      <c r="RFN29" s="609"/>
      <c r="RFO29" s="609"/>
      <c r="RFP29" s="609"/>
      <c r="RFQ29" s="609"/>
      <c r="RFR29" s="609"/>
      <c r="RFS29" s="609"/>
      <c r="RFT29" s="609"/>
      <c r="RFU29" s="609"/>
      <c r="RFV29" s="609"/>
      <c r="RFW29" s="609"/>
      <c r="RFX29" s="609"/>
      <c r="RFY29" s="609"/>
      <c r="RFZ29" s="609"/>
      <c r="RGA29" s="609"/>
      <c r="RGB29" s="609"/>
      <c r="RGC29" s="609"/>
      <c r="RGD29" s="609"/>
      <c r="RGE29" s="609"/>
      <c r="RGF29" s="609"/>
      <c r="RGG29" s="609"/>
      <c r="RGH29" s="609"/>
      <c r="RGI29" s="609"/>
      <c r="RGJ29" s="609"/>
      <c r="RGK29" s="609"/>
      <c r="RGL29" s="609"/>
      <c r="RGM29" s="609"/>
      <c r="RGN29" s="609"/>
      <c r="RGO29" s="609"/>
      <c r="RGP29" s="609"/>
      <c r="RGQ29" s="609"/>
      <c r="RGR29" s="609"/>
      <c r="RGS29" s="609"/>
      <c r="RGT29" s="609"/>
      <c r="RGU29" s="609"/>
      <c r="RGV29" s="609"/>
      <c r="RGW29" s="609"/>
      <c r="RGX29" s="609"/>
      <c r="RGY29" s="609"/>
      <c r="RGZ29" s="609"/>
      <c r="RHA29" s="609"/>
      <c r="RHB29" s="609"/>
      <c r="RHC29" s="609"/>
      <c r="RHD29" s="609"/>
      <c r="RHE29" s="609"/>
      <c r="RHF29" s="609"/>
      <c r="RHG29" s="609"/>
      <c r="RHH29" s="609"/>
      <c r="RHI29" s="609"/>
      <c r="RHJ29" s="609"/>
      <c r="RHK29" s="609"/>
      <c r="RHL29" s="609"/>
      <c r="RHM29" s="609"/>
      <c r="RHN29" s="609"/>
      <c r="RHO29" s="609"/>
      <c r="RHP29" s="609"/>
      <c r="RHQ29" s="609"/>
      <c r="RHR29" s="609"/>
      <c r="RHS29" s="609"/>
      <c r="RHT29" s="609"/>
      <c r="RHU29" s="609"/>
      <c r="RHV29" s="609"/>
      <c r="RHW29" s="609"/>
      <c r="RHX29" s="609"/>
      <c r="RHY29" s="609"/>
      <c r="RHZ29" s="609"/>
      <c r="RIA29" s="609"/>
      <c r="RIB29" s="609"/>
      <c r="RIC29" s="609"/>
      <c r="RID29" s="609"/>
      <c r="RIE29" s="609"/>
      <c r="RIF29" s="609"/>
      <c r="RIG29" s="609"/>
      <c r="RIH29" s="609"/>
      <c r="RII29" s="609"/>
      <c r="RIJ29" s="609"/>
      <c r="RIK29" s="609"/>
      <c r="RIL29" s="609"/>
      <c r="RIM29" s="609"/>
      <c r="RIN29" s="609"/>
      <c r="RIO29" s="609"/>
      <c r="RIP29" s="609"/>
      <c r="RIQ29" s="609"/>
      <c r="RIR29" s="609"/>
      <c r="RIS29" s="609"/>
      <c r="RIT29" s="609"/>
      <c r="RIU29" s="609"/>
      <c r="RIV29" s="609"/>
      <c r="RIW29" s="609"/>
      <c r="RIX29" s="609"/>
      <c r="RIY29" s="609"/>
      <c r="RIZ29" s="609"/>
      <c r="RJA29" s="609"/>
      <c r="RJB29" s="609"/>
      <c r="RJC29" s="609"/>
      <c r="RJD29" s="609"/>
      <c r="RJE29" s="609"/>
      <c r="RJF29" s="609"/>
      <c r="RJG29" s="609"/>
      <c r="RJH29" s="609"/>
      <c r="RJI29" s="609"/>
      <c r="RJJ29" s="609"/>
      <c r="RJK29" s="609"/>
      <c r="RJL29" s="609"/>
      <c r="RJM29" s="609"/>
      <c r="RJN29" s="609"/>
      <c r="RJO29" s="609"/>
      <c r="RJP29" s="609"/>
      <c r="RJQ29" s="609"/>
      <c r="RJR29" s="609"/>
      <c r="RJS29" s="609"/>
      <c r="RJT29" s="609"/>
      <c r="RJU29" s="609"/>
      <c r="RJV29" s="609"/>
      <c r="RJW29" s="609"/>
      <c r="RJX29" s="609"/>
      <c r="RJY29" s="609"/>
      <c r="RJZ29" s="609"/>
      <c r="RKA29" s="609"/>
      <c r="RKB29" s="609"/>
      <c r="RKC29" s="609"/>
      <c r="RKD29" s="609"/>
      <c r="RKE29" s="609"/>
      <c r="RKF29" s="609"/>
      <c r="RKG29" s="609"/>
      <c r="RKH29" s="609"/>
      <c r="RKI29" s="609"/>
      <c r="RKJ29" s="609"/>
      <c r="RKK29" s="609"/>
      <c r="RKL29" s="609"/>
      <c r="RKM29" s="609"/>
      <c r="RKN29" s="609"/>
      <c r="RKO29" s="609"/>
      <c r="RKP29" s="609"/>
      <c r="RKQ29" s="609"/>
      <c r="RKR29" s="609"/>
      <c r="RKS29" s="609"/>
      <c r="RKT29" s="609"/>
      <c r="RKU29" s="609"/>
      <c r="RKV29" s="609"/>
      <c r="RKW29" s="609"/>
      <c r="RKX29" s="609"/>
      <c r="RKY29" s="609"/>
      <c r="RKZ29" s="609"/>
      <c r="RLA29" s="609"/>
      <c r="RLB29" s="609"/>
      <c r="RLC29" s="609"/>
      <c r="RLD29" s="609"/>
      <c r="RLE29" s="609"/>
      <c r="RLF29" s="609"/>
      <c r="RLG29" s="609"/>
      <c r="RLH29" s="609"/>
      <c r="RLI29" s="609"/>
      <c r="RLJ29" s="609"/>
      <c r="RLK29" s="609"/>
      <c r="RLL29" s="609"/>
      <c r="RLM29" s="609"/>
      <c r="RLN29" s="609"/>
      <c r="RLO29" s="609"/>
      <c r="RLP29" s="609"/>
      <c r="RLQ29" s="609"/>
      <c r="RLR29" s="609"/>
      <c r="RLS29" s="609"/>
      <c r="RLT29" s="609"/>
      <c r="RLU29" s="609"/>
      <c r="RLV29" s="609"/>
      <c r="RLW29" s="609"/>
      <c r="RLX29" s="609"/>
      <c r="RLY29" s="609"/>
      <c r="RLZ29" s="609"/>
      <c r="RMA29" s="609"/>
      <c r="RMB29" s="609"/>
      <c r="RMC29" s="609"/>
      <c r="RMD29" s="609"/>
      <c r="RME29" s="609"/>
      <c r="RMF29" s="609"/>
      <c r="RMG29" s="609"/>
      <c r="RMH29" s="609"/>
      <c r="RMI29" s="609"/>
      <c r="RMJ29" s="609"/>
      <c r="RMK29" s="609"/>
      <c r="RML29" s="609"/>
      <c r="RMM29" s="609"/>
      <c r="RMN29" s="609"/>
      <c r="RMO29" s="609"/>
      <c r="RMP29" s="609"/>
      <c r="RMQ29" s="609"/>
      <c r="RMR29" s="609"/>
      <c r="RMS29" s="609"/>
      <c r="RMT29" s="609"/>
      <c r="RMU29" s="609"/>
      <c r="RMV29" s="609"/>
      <c r="RMW29" s="609"/>
      <c r="RMX29" s="609"/>
      <c r="RMY29" s="609"/>
      <c r="RMZ29" s="609"/>
      <c r="RNA29" s="609"/>
      <c r="RNB29" s="609"/>
      <c r="RNC29" s="609"/>
      <c r="RND29" s="609"/>
      <c r="RNE29" s="609"/>
      <c r="RNF29" s="609"/>
      <c r="RNG29" s="609"/>
      <c r="RNH29" s="609"/>
      <c r="RNI29" s="609"/>
      <c r="RNJ29" s="609"/>
      <c r="RNK29" s="609"/>
      <c r="RNL29" s="609"/>
      <c r="RNM29" s="609"/>
      <c r="RNN29" s="609"/>
      <c r="RNO29" s="609"/>
      <c r="RNP29" s="609"/>
      <c r="RNQ29" s="609"/>
      <c r="RNR29" s="609"/>
      <c r="RNS29" s="609"/>
      <c r="RNT29" s="609"/>
      <c r="RNU29" s="609"/>
      <c r="RNV29" s="609"/>
      <c r="RNW29" s="609"/>
      <c r="RNX29" s="609"/>
      <c r="RNY29" s="609"/>
      <c r="RNZ29" s="609"/>
      <c r="ROA29" s="609"/>
      <c r="ROB29" s="609"/>
      <c r="ROC29" s="609"/>
      <c r="ROD29" s="609"/>
      <c r="ROE29" s="609"/>
      <c r="ROF29" s="609"/>
      <c r="ROG29" s="609"/>
      <c r="ROH29" s="609"/>
      <c r="ROI29" s="609"/>
      <c r="ROJ29" s="609"/>
      <c r="ROK29" s="609"/>
      <c r="ROL29" s="609"/>
      <c r="ROM29" s="609"/>
      <c r="RON29" s="609"/>
      <c r="ROO29" s="609"/>
      <c r="ROP29" s="609"/>
      <c r="ROQ29" s="609"/>
      <c r="ROR29" s="609"/>
      <c r="ROS29" s="609"/>
      <c r="ROT29" s="609"/>
      <c r="ROU29" s="609"/>
      <c r="ROV29" s="609"/>
      <c r="ROW29" s="609"/>
      <c r="ROX29" s="609"/>
      <c r="ROY29" s="609"/>
      <c r="ROZ29" s="609"/>
      <c r="RPA29" s="609"/>
      <c r="RPB29" s="609"/>
      <c r="RPC29" s="609"/>
      <c r="RPD29" s="609"/>
      <c r="RPE29" s="609"/>
      <c r="RPF29" s="609"/>
      <c r="RPG29" s="609"/>
      <c r="RPH29" s="609"/>
      <c r="RPI29" s="609"/>
      <c r="RPJ29" s="609"/>
      <c r="RPK29" s="609"/>
      <c r="RPL29" s="609"/>
      <c r="RPM29" s="609"/>
      <c r="RPN29" s="609"/>
      <c r="RPO29" s="609"/>
      <c r="RPP29" s="609"/>
      <c r="RPQ29" s="609"/>
      <c r="RPR29" s="609"/>
      <c r="RPS29" s="609"/>
      <c r="RPT29" s="609"/>
      <c r="RPU29" s="609"/>
      <c r="RPV29" s="609"/>
      <c r="RPW29" s="609"/>
      <c r="RPX29" s="609"/>
      <c r="RPY29" s="609"/>
      <c r="RPZ29" s="609"/>
      <c r="RQA29" s="609"/>
      <c r="RQB29" s="609"/>
      <c r="RQC29" s="609"/>
      <c r="RQD29" s="609"/>
      <c r="RQE29" s="609"/>
      <c r="RQF29" s="609"/>
      <c r="RQG29" s="609"/>
      <c r="RQH29" s="609"/>
      <c r="RQI29" s="609"/>
      <c r="RQJ29" s="609"/>
      <c r="RQK29" s="609"/>
      <c r="RQL29" s="609"/>
      <c r="RQM29" s="609"/>
      <c r="RQN29" s="609"/>
      <c r="RQO29" s="609"/>
      <c r="RQP29" s="609"/>
      <c r="RQQ29" s="609"/>
      <c r="RQR29" s="609"/>
      <c r="RQS29" s="609"/>
      <c r="RQT29" s="609"/>
      <c r="RQU29" s="609"/>
      <c r="RQV29" s="609"/>
      <c r="RQW29" s="609"/>
      <c r="RQX29" s="609"/>
      <c r="RQY29" s="609"/>
      <c r="RQZ29" s="609"/>
      <c r="RRA29" s="609"/>
      <c r="RRB29" s="609"/>
      <c r="RRC29" s="609"/>
      <c r="RRD29" s="609"/>
      <c r="RRE29" s="609"/>
      <c r="RRF29" s="609"/>
      <c r="RRG29" s="609"/>
      <c r="RRH29" s="609"/>
      <c r="RRI29" s="609"/>
      <c r="RRJ29" s="609"/>
      <c r="RRK29" s="609"/>
      <c r="RRL29" s="609"/>
      <c r="RRM29" s="609"/>
      <c r="RRN29" s="609"/>
      <c r="RRO29" s="609"/>
      <c r="RRP29" s="609"/>
      <c r="RRQ29" s="609"/>
      <c r="RRR29" s="609"/>
      <c r="RRS29" s="609"/>
      <c r="RRT29" s="609"/>
      <c r="RRU29" s="609"/>
      <c r="RRV29" s="609"/>
      <c r="RRW29" s="609"/>
      <c r="RRX29" s="609"/>
      <c r="RRY29" s="609"/>
      <c r="RRZ29" s="609"/>
      <c r="RSA29" s="609"/>
      <c r="RSB29" s="609"/>
      <c r="RSC29" s="609"/>
      <c r="RSD29" s="609"/>
      <c r="RSE29" s="609"/>
      <c r="RSF29" s="609"/>
      <c r="RSG29" s="609"/>
      <c r="RSH29" s="609"/>
      <c r="RSI29" s="609"/>
      <c r="RSJ29" s="609"/>
      <c r="RSK29" s="609"/>
      <c r="RSL29" s="609"/>
      <c r="RSM29" s="609"/>
      <c r="RSN29" s="609"/>
      <c r="RSO29" s="609"/>
      <c r="RSP29" s="609"/>
      <c r="RSQ29" s="609"/>
      <c r="RSR29" s="609"/>
      <c r="RSS29" s="609"/>
      <c r="RST29" s="609"/>
      <c r="RSU29" s="609"/>
      <c r="RSV29" s="609"/>
      <c r="RSW29" s="609"/>
      <c r="RSX29" s="609"/>
      <c r="RSY29" s="609"/>
      <c r="RSZ29" s="609"/>
      <c r="RTA29" s="609"/>
      <c r="RTB29" s="609"/>
      <c r="RTC29" s="609"/>
      <c r="RTD29" s="609"/>
      <c r="RTE29" s="609"/>
      <c r="RTF29" s="609"/>
      <c r="RTG29" s="609"/>
      <c r="RTH29" s="609"/>
      <c r="RTI29" s="609"/>
      <c r="RTJ29" s="609"/>
      <c r="RTK29" s="609"/>
      <c r="RTL29" s="609"/>
      <c r="RTM29" s="609"/>
      <c r="RTN29" s="609"/>
      <c r="RTO29" s="609"/>
      <c r="RTP29" s="609"/>
      <c r="RTQ29" s="609"/>
      <c r="RTR29" s="609"/>
      <c r="RTS29" s="609"/>
      <c r="RTT29" s="609"/>
      <c r="RTU29" s="609"/>
      <c r="RTV29" s="609"/>
      <c r="RTW29" s="609"/>
      <c r="RTX29" s="609"/>
      <c r="RTY29" s="609"/>
      <c r="RTZ29" s="609"/>
      <c r="RUA29" s="609"/>
      <c r="RUB29" s="609"/>
      <c r="RUC29" s="609"/>
      <c r="RUD29" s="609"/>
      <c r="RUE29" s="609"/>
      <c r="RUF29" s="609"/>
      <c r="RUG29" s="609"/>
      <c r="RUH29" s="609"/>
      <c r="RUI29" s="609"/>
      <c r="RUJ29" s="609"/>
      <c r="RUK29" s="609"/>
      <c r="RUL29" s="609"/>
      <c r="RUM29" s="609"/>
      <c r="RUN29" s="609"/>
      <c r="RUO29" s="609"/>
      <c r="RUP29" s="609"/>
      <c r="RUQ29" s="609"/>
      <c r="RUR29" s="609"/>
      <c r="RUS29" s="609"/>
      <c r="RUT29" s="609"/>
      <c r="RUU29" s="609"/>
      <c r="RUV29" s="609"/>
      <c r="RUW29" s="609"/>
      <c r="RUX29" s="609"/>
      <c r="RUY29" s="609"/>
      <c r="RUZ29" s="609"/>
      <c r="RVA29" s="609"/>
      <c r="RVB29" s="609"/>
      <c r="RVC29" s="609"/>
      <c r="RVD29" s="609"/>
      <c r="RVE29" s="609"/>
      <c r="RVF29" s="609"/>
      <c r="RVG29" s="609"/>
      <c r="RVH29" s="609"/>
      <c r="RVI29" s="609"/>
      <c r="RVJ29" s="609"/>
      <c r="RVK29" s="609"/>
      <c r="RVL29" s="609"/>
      <c r="RVM29" s="609"/>
      <c r="RVN29" s="609"/>
      <c r="RVO29" s="609"/>
      <c r="RVP29" s="609"/>
      <c r="RVQ29" s="609"/>
      <c r="RVR29" s="609"/>
      <c r="RVS29" s="609"/>
      <c r="RVT29" s="609"/>
      <c r="RVU29" s="609"/>
      <c r="RVV29" s="609"/>
      <c r="RVW29" s="609"/>
      <c r="RVX29" s="609"/>
      <c r="RVY29" s="609"/>
      <c r="RVZ29" s="609"/>
      <c r="RWA29" s="609"/>
      <c r="RWB29" s="609"/>
      <c r="RWC29" s="609"/>
      <c r="RWD29" s="609"/>
      <c r="RWE29" s="609"/>
      <c r="RWF29" s="609"/>
      <c r="RWG29" s="609"/>
      <c r="RWH29" s="609"/>
      <c r="RWI29" s="609"/>
      <c r="RWJ29" s="609"/>
      <c r="RWK29" s="609"/>
      <c r="RWL29" s="609"/>
      <c r="RWM29" s="609"/>
      <c r="RWN29" s="609"/>
      <c r="RWO29" s="609"/>
      <c r="RWP29" s="609"/>
      <c r="RWQ29" s="609"/>
      <c r="RWR29" s="609"/>
      <c r="RWS29" s="609"/>
      <c r="RWT29" s="609"/>
      <c r="RWU29" s="609"/>
      <c r="RWV29" s="609"/>
      <c r="RWW29" s="609"/>
      <c r="RWX29" s="609"/>
      <c r="RWY29" s="609"/>
      <c r="RWZ29" s="609"/>
      <c r="RXA29" s="609"/>
      <c r="RXB29" s="609"/>
      <c r="RXC29" s="609"/>
      <c r="RXD29" s="609"/>
      <c r="RXE29" s="609"/>
      <c r="RXF29" s="609"/>
      <c r="RXG29" s="609"/>
      <c r="RXH29" s="609"/>
      <c r="RXI29" s="609"/>
      <c r="RXJ29" s="609"/>
      <c r="RXK29" s="609"/>
      <c r="RXL29" s="609"/>
      <c r="RXM29" s="609"/>
      <c r="RXN29" s="609"/>
      <c r="RXO29" s="609"/>
      <c r="RXP29" s="609"/>
      <c r="RXQ29" s="609"/>
      <c r="RXR29" s="609"/>
      <c r="RXS29" s="609"/>
      <c r="RXT29" s="609"/>
      <c r="RXU29" s="609"/>
      <c r="RXV29" s="609"/>
      <c r="RXW29" s="609"/>
      <c r="RXX29" s="609"/>
      <c r="RXY29" s="609"/>
      <c r="RXZ29" s="609"/>
      <c r="RYA29" s="609"/>
      <c r="RYB29" s="609"/>
      <c r="RYC29" s="609"/>
      <c r="RYD29" s="609"/>
      <c r="RYE29" s="609"/>
      <c r="RYF29" s="609"/>
      <c r="RYG29" s="609"/>
      <c r="RYH29" s="609"/>
      <c r="RYI29" s="609"/>
      <c r="RYJ29" s="609"/>
      <c r="RYK29" s="609"/>
      <c r="RYL29" s="609"/>
      <c r="RYM29" s="609"/>
      <c r="RYN29" s="609"/>
      <c r="RYO29" s="609"/>
      <c r="RYP29" s="609"/>
      <c r="RYQ29" s="609"/>
      <c r="RYR29" s="609"/>
      <c r="RYS29" s="609"/>
      <c r="RYT29" s="609"/>
      <c r="RYU29" s="609"/>
      <c r="RYV29" s="609"/>
      <c r="RYW29" s="609"/>
      <c r="RYX29" s="609"/>
      <c r="RYY29" s="609"/>
      <c r="RYZ29" s="609"/>
      <c r="RZA29" s="609"/>
      <c r="RZB29" s="609"/>
      <c r="RZC29" s="609"/>
      <c r="RZD29" s="609"/>
      <c r="RZE29" s="609"/>
      <c r="RZF29" s="609"/>
      <c r="RZG29" s="609"/>
      <c r="RZH29" s="609"/>
      <c r="RZI29" s="609"/>
      <c r="RZJ29" s="609"/>
      <c r="RZK29" s="609"/>
      <c r="RZL29" s="609"/>
      <c r="RZM29" s="609"/>
      <c r="RZN29" s="609"/>
      <c r="RZO29" s="609"/>
      <c r="RZP29" s="609"/>
      <c r="RZQ29" s="609"/>
      <c r="RZR29" s="609"/>
      <c r="RZS29" s="609"/>
      <c r="RZT29" s="609"/>
      <c r="RZU29" s="609"/>
      <c r="RZV29" s="609"/>
      <c r="RZW29" s="609"/>
      <c r="RZX29" s="609"/>
      <c r="RZY29" s="609"/>
      <c r="RZZ29" s="609"/>
      <c r="SAA29" s="609"/>
      <c r="SAB29" s="609"/>
      <c r="SAC29" s="609"/>
      <c r="SAD29" s="609"/>
      <c r="SAE29" s="609"/>
      <c r="SAF29" s="609"/>
      <c r="SAG29" s="609"/>
      <c r="SAH29" s="609"/>
      <c r="SAI29" s="609"/>
      <c r="SAJ29" s="609"/>
      <c r="SAK29" s="609"/>
      <c r="SAL29" s="609"/>
      <c r="SAM29" s="609"/>
      <c r="SAN29" s="609"/>
      <c r="SAO29" s="609"/>
      <c r="SAP29" s="609"/>
      <c r="SAQ29" s="609"/>
      <c r="SAR29" s="609"/>
      <c r="SAS29" s="609"/>
      <c r="SAT29" s="609"/>
      <c r="SAU29" s="609"/>
      <c r="SAV29" s="609"/>
      <c r="SAW29" s="609"/>
      <c r="SAX29" s="609"/>
      <c r="SAY29" s="609"/>
      <c r="SAZ29" s="609"/>
      <c r="SBA29" s="609"/>
      <c r="SBB29" s="609"/>
      <c r="SBC29" s="609"/>
      <c r="SBD29" s="609"/>
      <c r="SBE29" s="609"/>
      <c r="SBF29" s="609"/>
      <c r="SBG29" s="609"/>
      <c r="SBH29" s="609"/>
      <c r="SBI29" s="609"/>
      <c r="SBJ29" s="609"/>
      <c r="SBK29" s="609"/>
      <c r="SBL29" s="609"/>
      <c r="SBM29" s="609"/>
      <c r="SBN29" s="609"/>
      <c r="SBO29" s="609"/>
      <c r="SBP29" s="609"/>
      <c r="SBQ29" s="609"/>
      <c r="SBR29" s="609"/>
      <c r="SBS29" s="609"/>
      <c r="SBT29" s="609"/>
      <c r="SBU29" s="609"/>
      <c r="SBV29" s="609"/>
      <c r="SBW29" s="609"/>
      <c r="SBX29" s="609"/>
      <c r="SBY29" s="609"/>
      <c r="SBZ29" s="609"/>
      <c r="SCA29" s="609"/>
      <c r="SCB29" s="609"/>
      <c r="SCC29" s="609"/>
      <c r="SCD29" s="609"/>
      <c r="SCE29" s="609"/>
      <c r="SCF29" s="609"/>
      <c r="SCG29" s="609"/>
      <c r="SCH29" s="609"/>
      <c r="SCI29" s="609"/>
      <c r="SCJ29" s="609"/>
      <c r="SCK29" s="609"/>
      <c r="SCL29" s="609"/>
      <c r="SCM29" s="609"/>
      <c r="SCN29" s="609"/>
      <c r="SCO29" s="609"/>
      <c r="SCP29" s="609"/>
      <c r="SCQ29" s="609"/>
      <c r="SCR29" s="609"/>
      <c r="SCS29" s="609"/>
      <c r="SCT29" s="609"/>
      <c r="SCU29" s="609"/>
      <c r="SCV29" s="609"/>
      <c r="SCW29" s="609"/>
      <c r="SCX29" s="609"/>
      <c r="SCY29" s="609"/>
      <c r="SCZ29" s="609"/>
      <c r="SDA29" s="609"/>
      <c r="SDB29" s="609"/>
      <c r="SDC29" s="609"/>
      <c r="SDD29" s="609"/>
      <c r="SDE29" s="609"/>
      <c r="SDF29" s="609"/>
      <c r="SDG29" s="609"/>
      <c r="SDH29" s="609"/>
      <c r="SDI29" s="609"/>
      <c r="SDJ29" s="609"/>
      <c r="SDK29" s="609"/>
      <c r="SDL29" s="609"/>
      <c r="SDM29" s="609"/>
      <c r="SDN29" s="609"/>
      <c r="SDO29" s="609"/>
      <c r="SDP29" s="609"/>
      <c r="SDQ29" s="609"/>
      <c r="SDR29" s="609"/>
      <c r="SDS29" s="609"/>
      <c r="SDT29" s="609"/>
      <c r="SDU29" s="609"/>
      <c r="SDV29" s="609"/>
      <c r="SDW29" s="609"/>
      <c r="SDX29" s="609"/>
      <c r="SDY29" s="609"/>
      <c r="SDZ29" s="609"/>
      <c r="SEA29" s="609"/>
      <c r="SEB29" s="609"/>
      <c r="SEC29" s="609"/>
      <c r="SED29" s="609"/>
      <c r="SEE29" s="609"/>
      <c r="SEF29" s="609"/>
      <c r="SEG29" s="609"/>
      <c r="SEH29" s="609"/>
      <c r="SEI29" s="609"/>
      <c r="SEJ29" s="609"/>
      <c r="SEK29" s="609"/>
      <c r="SEL29" s="609"/>
      <c r="SEM29" s="609"/>
      <c r="SEN29" s="609"/>
      <c r="SEO29" s="609"/>
      <c r="SEP29" s="609"/>
      <c r="SEQ29" s="609"/>
      <c r="SER29" s="609"/>
      <c r="SES29" s="609"/>
      <c r="SET29" s="609"/>
      <c r="SEU29" s="609"/>
      <c r="SEV29" s="609"/>
      <c r="SEW29" s="609"/>
      <c r="SEX29" s="609"/>
      <c r="SEY29" s="609"/>
      <c r="SEZ29" s="609"/>
      <c r="SFA29" s="609"/>
      <c r="SFB29" s="609"/>
      <c r="SFC29" s="609"/>
      <c r="SFD29" s="609"/>
      <c r="SFE29" s="609"/>
      <c r="SFF29" s="609"/>
      <c r="SFG29" s="609"/>
      <c r="SFH29" s="609"/>
      <c r="SFI29" s="609"/>
      <c r="SFJ29" s="609"/>
      <c r="SFK29" s="609"/>
      <c r="SFL29" s="609"/>
      <c r="SFM29" s="609"/>
      <c r="SFN29" s="609"/>
      <c r="SFO29" s="609"/>
      <c r="SFP29" s="609"/>
      <c r="SFQ29" s="609"/>
      <c r="SFR29" s="609"/>
      <c r="SFS29" s="609"/>
      <c r="SFT29" s="609"/>
      <c r="SFU29" s="609"/>
      <c r="SFV29" s="609"/>
      <c r="SFW29" s="609"/>
      <c r="SFX29" s="609"/>
      <c r="SFY29" s="609"/>
      <c r="SFZ29" s="609"/>
      <c r="SGA29" s="609"/>
      <c r="SGB29" s="609"/>
      <c r="SGC29" s="609"/>
      <c r="SGD29" s="609"/>
      <c r="SGE29" s="609"/>
      <c r="SGF29" s="609"/>
      <c r="SGG29" s="609"/>
      <c r="SGH29" s="609"/>
      <c r="SGI29" s="609"/>
      <c r="SGJ29" s="609"/>
      <c r="SGK29" s="609"/>
      <c r="SGL29" s="609"/>
      <c r="SGM29" s="609"/>
      <c r="SGN29" s="609"/>
      <c r="SGO29" s="609"/>
      <c r="SGP29" s="609"/>
      <c r="SGQ29" s="609"/>
      <c r="SGR29" s="609"/>
      <c r="SGS29" s="609"/>
      <c r="SGT29" s="609"/>
      <c r="SGU29" s="609"/>
      <c r="SGV29" s="609"/>
      <c r="SGW29" s="609"/>
      <c r="SGX29" s="609"/>
      <c r="SGY29" s="609"/>
      <c r="SGZ29" s="609"/>
      <c r="SHA29" s="609"/>
      <c r="SHB29" s="609"/>
      <c r="SHC29" s="609"/>
      <c r="SHD29" s="609"/>
      <c r="SHE29" s="609"/>
      <c r="SHF29" s="609"/>
      <c r="SHG29" s="609"/>
      <c r="SHH29" s="609"/>
      <c r="SHI29" s="609"/>
      <c r="SHJ29" s="609"/>
      <c r="SHK29" s="609"/>
      <c r="SHL29" s="609"/>
      <c r="SHM29" s="609"/>
      <c r="SHN29" s="609"/>
      <c r="SHO29" s="609"/>
      <c r="SHP29" s="609"/>
      <c r="SHQ29" s="609"/>
      <c r="SHR29" s="609"/>
      <c r="SHS29" s="609"/>
      <c r="SHT29" s="609"/>
      <c r="SHU29" s="609"/>
      <c r="SHV29" s="609"/>
      <c r="SHW29" s="609"/>
      <c r="SHX29" s="609"/>
      <c r="SHY29" s="609"/>
      <c r="SHZ29" s="609"/>
      <c r="SIA29" s="609"/>
      <c r="SIB29" s="609"/>
      <c r="SIC29" s="609"/>
      <c r="SID29" s="609"/>
      <c r="SIE29" s="609"/>
      <c r="SIF29" s="609"/>
      <c r="SIG29" s="609"/>
      <c r="SIH29" s="609"/>
      <c r="SII29" s="609"/>
      <c r="SIJ29" s="609"/>
      <c r="SIK29" s="609"/>
      <c r="SIL29" s="609"/>
      <c r="SIM29" s="609"/>
      <c r="SIN29" s="609"/>
      <c r="SIO29" s="609"/>
      <c r="SIP29" s="609"/>
      <c r="SIQ29" s="609"/>
      <c r="SIR29" s="609"/>
      <c r="SIS29" s="609"/>
      <c r="SIT29" s="609"/>
      <c r="SIU29" s="609"/>
      <c r="SIV29" s="609"/>
      <c r="SIW29" s="609"/>
      <c r="SIX29" s="609"/>
      <c r="SIY29" s="609"/>
      <c r="SIZ29" s="609"/>
      <c r="SJA29" s="609"/>
      <c r="SJB29" s="609"/>
      <c r="SJC29" s="609"/>
      <c r="SJD29" s="609"/>
      <c r="SJE29" s="609"/>
      <c r="SJF29" s="609"/>
      <c r="SJG29" s="609"/>
      <c r="SJH29" s="609"/>
      <c r="SJI29" s="609"/>
      <c r="SJJ29" s="609"/>
      <c r="SJK29" s="609"/>
      <c r="SJL29" s="609"/>
      <c r="SJM29" s="609"/>
      <c r="SJN29" s="609"/>
      <c r="SJO29" s="609"/>
      <c r="SJP29" s="609"/>
      <c r="SJQ29" s="609"/>
      <c r="SJR29" s="609"/>
      <c r="SJS29" s="609"/>
      <c r="SJT29" s="609"/>
      <c r="SJU29" s="609"/>
      <c r="SJV29" s="609"/>
      <c r="SJW29" s="609"/>
      <c r="SJX29" s="609"/>
      <c r="SJY29" s="609"/>
      <c r="SJZ29" s="609"/>
      <c r="SKA29" s="609"/>
      <c r="SKB29" s="609"/>
      <c r="SKC29" s="609"/>
      <c r="SKD29" s="609"/>
      <c r="SKE29" s="609"/>
      <c r="SKF29" s="609"/>
      <c r="SKG29" s="609"/>
      <c r="SKH29" s="609"/>
      <c r="SKI29" s="609"/>
      <c r="SKJ29" s="609"/>
      <c r="SKK29" s="609"/>
      <c r="SKL29" s="609"/>
      <c r="SKM29" s="609"/>
      <c r="SKN29" s="609"/>
      <c r="SKO29" s="609"/>
      <c r="SKP29" s="609"/>
      <c r="SKQ29" s="609"/>
      <c r="SKR29" s="609"/>
      <c r="SKS29" s="609"/>
      <c r="SKT29" s="609"/>
      <c r="SKU29" s="609"/>
      <c r="SKV29" s="609"/>
      <c r="SKW29" s="609"/>
      <c r="SKX29" s="609"/>
      <c r="SKY29" s="609"/>
      <c r="SKZ29" s="609"/>
      <c r="SLA29" s="609"/>
      <c r="SLB29" s="609"/>
      <c r="SLC29" s="609"/>
      <c r="SLD29" s="609"/>
      <c r="SLE29" s="609"/>
      <c r="SLF29" s="609"/>
      <c r="SLG29" s="609"/>
      <c r="SLH29" s="609"/>
      <c r="SLI29" s="609"/>
      <c r="SLJ29" s="609"/>
      <c r="SLK29" s="609"/>
      <c r="SLL29" s="609"/>
      <c r="SLM29" s="609"/>
      <c r="SLN29" s="609"/>
      <c r="SLO29" s="609"/>
      <c r="SLP29" s="609"/>
      <c r="SLQ29" s="609"/>
      <c r="SLR29" s="609"/>
      <c r="SLS29" s="609"/>
      <c r="SLT29" s="609"/>
      <c r="SLU29" s="609"/>
      <c r="SLV29" s="609"/>
      <c r="SLW29" s="609"/>
      <c r="SLX29" s="609"/>
      <c r="SLY29" s="609"/>
      <c r="SLZ29" s="609"/>
      <c r="SMA29" s="609"/>
      <c r="SMB29" s="609"/>
      <c r="SMC29" s="609"/>
      <c r="SMD29" s="609"/>
      <c r="SME29" s="609"/>
      <c r="SMF29" s="609"/>
      <c r="SMG29" s="609"/>
      <c r="SMH29" s="609"/>
      <c r="SMI29" s="609"/>
      <c r="SMJ29" s="609"/>
      <c r="SMK29" s="609"/>
      <c r="SML29" s="609"/>
      <c r="SMM29" s="609"/>
      <c r="SMN29" s="609"/>
      <c r="SMO29" s="609"/>
      <c r="SMP29" s="609"/>
      <c r="SMQ29" s="609"/>
      <c r="SMR29" s="609"/>
      <c r="SMS29" s="609"/>
      <c r="SMT29" s="609"/>
      <c r="SMU29" s="609"/>
      <c r="SMV29" s="609"/>
      <c r="SMW29" s="609"/>
      <c r="SMX29" s="609"/>
      <c r="SMY29" s="609"/>
      <c r="SMZ29" s="609"/>
      <c r="SNA29" s="609"/>
      <c r="SNB29" s="609"/>
      <c r="SNC29" s="609"/>
      <c r="SND29" s="609"/>
      <c r="SNE29" s="609"/>
      <c r="SNF29" s="609"/>
      <c r="SNG29" s="609"/>
      <c r="SNH29" s="609"/>
      <c r="SNI29" s="609"/>
      <c r="SNJ29" s="609"/>
      <c r="SNK29" s="609"/>
      <c r="SNL29" s="609"/>
      <c r="SNM29" s="609"/>
      <c r="SNN29" s="609"/>
      <c r="SNO29" s="609"/>
      <c r="SNP29" s="609"/>
      <c r="SNQ29" s="609"/>
      <c r="SNR29" s="609"/>
      <c r="SNS29" s="609"/>
      <c r="SNT29" s="609"/>
      <c r="SNU29" s="609"/>
      <c r="SNV29" s="609"/>
      <c r="SNW29" s="609"/>
      <c r="SNX29" s="609"/>
      <c r="SNY29" s="609"/>
      <c r="SNZ29" s="609"/>
      <c r="SOA29" s="609"/>
      <c r="SOB29" s="609"/>
      <c r="SOC29" s="609"/>
      <c r="SOD29" s="609"/>
      <c r="SOE29" s="609"/>
      <c r="SOF29" s="609"/>
      <c r="SOG29" s="609"/>
      <c r="SOH29" s="609"/>
      <c r="SOI29" s="609"/>
      <c r="SOJ29" s="609"/>
      <c r="SOK29" s="609"/>
      <c r="SOL29" s="609"/>
      <c r="SOM29" s="609"/>
      <c r="SON29" s="609"/>
      <c r="SOO29" s="609"/>
      <c r="SOP29" s="609"/>
      <c r="SOQ29" s="609"/>
      <c r="SOR29" s="609"/>
      <c r="SOS29" s="609"/>
      <c r="SOT29" s="609"/>
      <c r="SOU29" s="609"/>
      <c r="SOV29" s="609"/>
      <c r="SOW29" s="609"/>
      <c r="SOX29" s="609"/>
      <c r="SOY29" s="609"/>
      <c r="SOZ29" s="609"/>
      <c r="SPA29" s="609"/>
      <c r="SPB29" s="609"/>
      <c r="SPC29" s="609"/>
      <c r="SPD29" s="609"/>
      <c r="SPE29" s="609"/>
      <c r="SPF29" s="609"/>
      <c r="SPG29" s="609"/>
      <c r="SPH29" s="609"/>
      <c r="SPI29" s="609"/>
      <c r="SPJ29" s="609"/>
      <c r="SPK29" s="609"/>
      <c r="SPL29" s="609"/>
      <c r="SPM29" s="609"/>
      <c r="SPN29" s="609"/>
      <c r="SPO29" s="609"/>
      <c r="SPP29" s="609"/>
      <c r="SPQ29" s="609"/>
      <c r="SPR29" s="609"/>
      <c r="SPS29" s="609"/>
      <c r="SPT29" s="609"/>
      <c r="SPU29" s="609"/>
      <c r="SPV29" s="609"/>
      <c r="SPW29" s="609"/>
      <c r="SPX29" s="609"/>
      <c r="SPY29" s="609"/>
      <c r="SPZ29" s="609"/>
      <c r="SQA29" s="609"/>
      <c r="SQB29" s="609"/>
      <c r="SQC29" s="609"/>
      <c r="SQD29" s="609"/>
      <c r="SQE29" s="609"/>
      <c r="SQF29" s="609"/>
      <c r="SQG29" s="609"/>
      <c r="SQH29" s="609"/>
      <c r="SQI29" s="609"/>
      <c r="SQJ29" s="609"/>
      <c r="SQK29" s="609"/>
      <c r="SQL29" s="609"/>
      <c r="SQM29" s="609"/>
      <c r="SQN29" s="609"/>
      <c r="SQO29" s="609"/>
      <c r="SQP29" s="609"/>
      <c r="SQQ29" s="609"/>
      <c r="SQR29" s="609"/>
      <c r="SQS29" s="609"/>
      <c r="SQT29" s="609"/>
      <c r="SQU29" s="609"/>
      <c r="SQV29" s="609"/>
      <c r="SQW29" s="609"/>
      <c r="SQX29" s="609"/>
      <c r="SQY29" s="609"/>
      <c r="SQZ29" s="609"/>
      <c r="SRA29" s="609"/>
      <c r="SRB29" s="609"/>
      <c r="SRC29" s="609"/>
      <c r="SRD29" s="609"/>
      <c r="SRE29" s="609"/>
      <c r="SRF29" s="609"/>
      <c r="SRG29" s="609"/>
      <c r="SRH29" s="609"/>
      <c r="SRI29" s="609"/>
      <c r="SRJ29" s="609"/>
      <c r="SRK29" s="609"/>
      <c r="SRL29" s="609"/>
      <c r="SRM29" s="609"/>
      <c r="SRN29" s="609"/>
      <c r="SRO29" s="609"/>
      <c r="SRP29" s="609"/>
      <c r="SRQ29" s="609"/>
      <c r="SRR29" s="609"/>
      <c r="SRS29" s="609"/>
      <c r="SRT29" s="609"/>
      <c r="SRU29" s="609"/>
      <c r="SRV29" s="609"/>
      <c r="SRW29" s="609"/>
      <c r="SRX29" s="609"/>
      <c r="SRY29" s="609"/>
      <c r="SRZ29" s="609"/>
      <c r="SSA29" s="609"/>
      <c r="SSB29" s="609"/>
      <c r="SSC29" s="609"/>
      <c r="SSD29" s="609"/>
      <c r="SSE29" s="609"/>
      <c r="SSF29" s="609"/>
      <c r="SSG29" s="609"/>
      <c r="SSH29" s="609"/>
      <c r="SSI29" s="609"/>
      <c r="SSJ29" s="609"/>
      <c r="SSK29" s="609"/>
      <c r="SSL29" s="609"/>
      <c r="SSM29" s="609"/>
      <c r="SSN29" s="609"/>
      <c r="SSO29" s="609"/>
      <c r="SSP29" s="609"/>
      <c r="SSQ29" s="609"/>
      <c r="SSR29" s="609"/>
      <c r="SSS29" s="609"/>
      <c r="SST29" s="609"/>
      <c r="SSU29" s="609"/>
      <c r="SSV29" s="609"/>
      <c r="SSW29" s="609"/>
      <c r="SSX29" s="609"/>
      <c r="SSY29" s="609"/>
      <c r="SSZ29" s="609"/>
      <c r="STA29" s="609"/>
      <c r="STB29" s="609"/>
      <c r="STC29" s="609"/>
      <c r="STD29" s="609"/>
      <c r="STE29" s="609"/>
      <c r="STF29" s="609"/>
      <c r="STG29" s="609"/>
      <c r="STH29" s="609"/>
      <c r="STI29" s="609"/>
      <c r="STJ29" s="609"/>
      <c r="STK29" s="609"/>
      <c r="STL29" s="609"/>
      <c r="STM29" s="609"/>
      <c r="STN29" s="609"/>
      <c r="STO29" s="609"/>
      <c r="STP29" s="609"/>
      <c r="STQ29" s="609"/>
      <c r="STR29" s="609"/>
      <c r="STS29" s="609"/>
      <c r="STT29" s="609"/>
      <c r="STU29" s="609"/>
      <c r="STV29" s="609"/>
      <c r="STW29" s="609"/>
      <c r="STX29" s="609"/>
      <c r="STY29" s="609"/>
      <c r="STZ29" s="609"/>
      <c r="SUA29" s="609"/>
      <c r="SUB29" s="609"/>
      <c r="SUC29" s="609"/>
      <c r="SUD29" s="609"/>
      <c r="SUE29" s="609"/>
      <c r="SUF29" s="609"/>
      <c r="SUG29" s="609"/>
      <c r="SUH29" s="609"/>
      <c r="SUI29" s="609"/>
      <c r="SUJ29" s="609"/>
      <c r="SUK29" s="609"/>
      <c r="SUL29" s="609"/>
      <c r="SUM29" s="609"/>
      <c r="SUN29" s="609"/>
      <c r="SUO29" s="609"/>
      <c r="SUP29" s="609"/>
      <c r="SUQ29" s="609"/>
      <c r="SUR29" s="609"/>
      <c r="SUS29" s="609"/>
      <c r="SUT29" s="609"/>
      <c r="SUU29" s="609"/>
      <c r="SUV29" s="609"/>
      <c r="SUW29" s="609"/>
      <c r="SUX29" s="609"/>
      <c r="SUY29" s="609"/>
      <c r="SUZ29" s="609"/>
      <c r="SVA29" s="609"/>
      <c r="SVB29" s="609"/>
      <c r="SVC29" s="609"/>
      <c r="SVD29" s="609"/>
      <c r="SVE29" s="609"/>
      <c r="SVF29" s="609"/>
      <c r="SVG29" s="609"/>
      <c r="SVH29" s="609"/>
      <c r="SVI29" s="609"/>
      <c r="SVJ29" s="609"/>
      <c r="SVK29" s="609"/>
      <c r="SVL29" s="609"/>
      <c r="SVM29" s="609"/>
      <c r="SVN29" s="609"/>
      <c r="SVO29" s="609"/>
      <c r="SVP29" s="609"/>
      <c r="SVQ29" s="609"/>
      <c r="SVR29" s="609"/>
      <c r="SVS29" s="609"/>
      <c r="SVT29" s="609"/>
      <c r="SVU29" s="609"/>
      <c r="SVV29" s="609"/>
      <c r="SVW29" s="609"/>
      <c r="SVX29" s="609"/>
      <c r="SVY29" s="609"/>
      <c r="SVZ29" s="609"/>
      <c r="SWA29" s="609"/>
      <c r="SWB29" s="609"/>
      <c r="SWC29" s="609"/>
      <c r="SWD29" s="609"/>
      <c r="SWE29" s="609"/>
      <c r="SWF29" s="609"/>
      <c r="SWG29" s="609"/>
      <c r="SWH29" s="609"/>
      <c r="SWI29" s="609"/>
      <c r="SWJ29" s="609"/>
      <c r="SWK29" s="609"/>
      <c r="SWL29" s="609"/>
      <c r="SWM29" s="609"/>
      <c r="SWN29" s="609"/>
      <c r="SWO29" s="609"/>
      <c r="SWP29" s="609"/>
      <c r="SWQ29" s="609"/>
      <c r="SWR29" s="609"/>
      <c r="SWS29" s="609"/>
      <c r="SWT29" s="609"/>
      <c r="SWU29" s="609"/>
      <c r="SWV29" s="609"/>
      <c r="SWW29" s="609"/>
      <c r="SWX29" s="609"/>
      <c r="SWY29" s="609"/>
      <c r="SWZ29" s="609"/>
      <c r="SXA29" s="609"/>
      <c r="SXB29" s="609"/>
      <c r="SXC29" s="609"/>
      <c r="SXD29" s="609"/>
      <c r="SXE29" s="609"/>
      <c r="SXF29" s="609"/>
      <c r="SXG29" s="609"/>
      <c r="SXH29" s="609"/>
      <c r="SXI29" s="609"/>
      <c r="SXJ29" s="609"/>
      <c r="SXK29" s="609"/>
      <c r="SXL29" s="609"/>
      <c r="SXM29" s="609"/>
      <c r="SXN29" s="609"/>
      <c r="SXO29" s="609"/>
      <c r="SXP29" s="609"/>
      <c r="SXQ29" s="609"/>
      <c r="SXR29" s="609"/>
      <c r="SXS29" s="609"/>
      <c r="SXT29" s="609"/>
      <c r="SXU29" s="609"/>
      <c r="SXV29" s="609"/>
      <c r="SXW29" s="609"/>
      <c r="SXX29" s="609"/>
      <c r="SXY29" s="609"/>
      <c r="SXZ29" s="609"/>
      <c r="SYA29" s="609"/>
      <c r="SYB29" s="609"/>
      <c r="SYC29" s="609"/>
      <c r="SYD29" s="609"/>
      <c r="SYE29" s="609"/>
      <c r="SYF29" s="609"/>
      <c r="SYG29" s="609"/>
      <c r="SYH29" s="609"/>
      <c r="SYI29" s="609"/>
      <c r="SYJ29" s="609"/>
      <c r="SYK29" s="609"/>
      <c r="SYL29" s="609"/>
      <c r="SYM29" s="609"/>
      <c r="SYN29" s="609"/>
      <c r="SYO29" s="609"/>
      <c r="SYP29" s="609"/>
      <c r="SYQ29" s="609"/>
      <c r="SYR29" s="609"/>
      <c r="SYS29" s="609"/>
      <c r="SYT29" s="609"/>
      <c r="SYU29" s="609"/>
      <c r="SYV29" s="609"/>
      <c r="SYW29" s="609"/>
      <c r="SYX29" s="609"/>
      <c r="SYY29" s="609"/>
      <c r="SYZ29" s="609"/>
      <c r="SZA29" s="609"/>
      <c r="SZB29" s="609"/>
      <c r="SZC29" s="609"/>
      <c r="SZD29" s="609"/>
      <c r="SZE29" s="609"/>
      <c r="SZF29" s="609"/>
      <c r="SZG29" s="609"/>
      <c r="SZH29" s="609"/>
      <c r="SZI29" s="609"/>
      <c r="SZJ29" s="609"/>
      <c r="SZK29" s="609"/>
      <c r="SZL29" s="609"/>
      <c r="SZM29" s="609"/>
      <c r="SZN29" s="609"/>
      <c r="SZO29" s="609"/>
      <c r="SZP29" s="609"/>
      <c r="SZQ29" s="609"/>
      <c r="SZR29" s="609"/>
      <c r="SZS29" s="609"/>
      <c r="SZT29" s="609"/>
      <c r="SZU29" s="609"/>
      <c r="SZV29" s="609"/>
      <c r="SZW29" s="609"/>
      <c r="SZX29" s="609"/>
      <c r="SZY29" s="609"/>
      <c r="SZZ29" s="609"/>
      <c r="TAA29" s="609"/>
      <c r="TAB29" s="609"/>
      <c r="TAC29" s="609"/>
      <c r="TAD29" s="609"/>
      <c r="TAE29" s="609"/>
      <c r="TAF29" s="609"/>
      <c r="TAG29" s="609"/>
      <c r="TAH29" s="609"/>
      <c r="TAI29" s="609"/>
      <c r="TAJ29" s="609"/>
      <c r="TAK29" s="609"/>
      <c r="TAL29" s="609"/>
      <c r="TAM29" s="609"/>
      <c r="TAN29" s="609"/>
      <c r="TAO29" s="609"/>
      <c r="TAP29" s="609"/>
      <c r="TAQ29" s="609"/>
      <c r="TAR29" s="609"/>
      <c r="TAS29" s="609"/>
      <c r="TAT29" s="609"/>
      <c r="TAU29" s="609"/>
      <c r="TAV29" s="609"/>
      <c r="TAW29" s="609"/>
      <c r="TAX29" s="609"/>
      <c r="TAY29" s="609"/>
      <c r="TAZ29" s="609"/>
      <c r="TBA29" s="609"/>
      <c r="TBB29" s="609"/>
      <c r="TBC29" s="609"/>
      <c r="TBD29" s="609"/>
      <c r="TBE29" s="609"/>
      <c r="TBF29" s="609"/>
      <c r="TBG29" s="609"/>
      <c r="TBH29" s="609"/>
      <c r="TBI29" s="609"/>
      <c r="TBJ29" s="609"/>
      <c r="TBK29" s="609"/>
      <c r="TBL29" s="609"/>
      <c r="TBM29" s="609"/>
      <c r="TBN29" s="609"/>
      <c r="TBO29" s="609"/>
      <c r="TBP29" s="609"/>
      <c r="TBQ29" s="609"/>
      <c r="TBR29" s="609"/>
      <c r="TBS29" s="609"/>
      <c r="TBT29" s="609"/>
      <c r="TBU29" s="609"/>
      <c r="TBV29" s="609"/>
      <c r="TBW29" s="609"/>
      <c r="TBX29" s="609"/>
      <c r="TBY29" s="609"/>
      <c r="TBZ29" s="609"/>
      <c r="TCA29" s="609"/>
      <c r="TCB29" s="609"/>
      <c r="TCC29" s="609"/>
      <c r="TCD29" s="609"/>
      <c r="TCE29" s="609"/>
      <c r="TCF29" s="609"/>
      <c r="TCG29" s="609"/>
      <c r="TCH29" s="609"/>
      <c r="TCI29" s="609"/>
      <c r="TCJ29" s="609"/>
      <c r="TCK29" s="609"/>
      <c r="TCL29" s="609"/>
      <c r="TCM29" s="609"/>
      <c r="TCN29" s="609"/>
      <c r="TCO29" s="609"/>
      <c r="TCP29" s="609"/>
      <c r="TCQ29" s="609"/>
      <c r="TCR29" s="609"/>
      <c r="TCS29" s="609"/>
      <c r="TCT29" s="609"/>
      <c r="TCU29" s="609"/>
      <c r="TCV29" s="609"/>
      <c r="TCW29" s="609"/>
      <c r="TCX29" s="609"/>
      <c r="TCY29" s="609"/>
      <c r="TCZ29" s="609"/>
      <c r="TDA29" s="609"/>
      <c r="TDB29" s="609"/>
      <c r="TDC29" s="609"/>
      <c r="TDD29" s="609"/>
      <c r="TDE29" s="609"/>
      <c r="TDF29" s="609"/>
      <c r="TDG29" s="609"/>
      <c r="TDH29" s="609"/>
      <c r="TDI29" s="609"/>
      <c r="TDJ29" s="609"/>
      <c r="TDK29" s="609"/>
      <c r="TDL29" s="609"/>
      <c r="TDM29" s="609"/>
      <c r="TDN29" s="609"/>
      <c r="TDO29" s="609"/>
      <c r="TDP29" s="609"/>
      <c r="TDQ29" s="609"/>
      <c r="TDR29" s="609"/>
      <c r="TDS29" s="609"/>
      <c r="TDT29" s="609"/>
      <c r="TDU29" s="609"/>
      <c r="TDV29" s="609"/>
      <c r="TDW29" s="609"/>
      <c r="TDX29" s="609"/>
      <c r="TDY29" s="609"/>
      <c r="TDZ29" s="609"/>
      <c r="TEA29" s="609"/>
      <c r="TEB29" s="609"/>
      <c r="TEC29" s="609"/>
      <c r="TED29" s="609"/>
      <c r="TEE29" s="609"/>
      <c r="TEF29" s="609"/>
      <c r="TEG29" s="609"/>
      <c r="TEH29" s="609"/>
      <c r="TEI29" s="609"/>
      <c r="TEJ29" s="609"/>
      <c r="TEK29" s="609"/>
      <c r="TEL29" s="609"/>
      <c r="TEM29" s="609"/>
      <c r="TEN29" s="609"/>
      <c r="TEO29" s="609"/>
      <c r="TEP29" s="609"/>
      <c r="TEQ29" s="609"/>
      <c r="TER29" s="609"/>
      <c r="TES29" s="609"/>
      <c r="TET29" s="609"/>
      <c r="TEU29" s="609"/>
      <c r="TEV29" s="609"/>
      <c r="TEW29" s="609"/>
      <c r="TEX29" s="609"/>
      <c r="TEY29" s="609"/>
      <c r="TEZ29" s="609"/>
      <c r="TFA29" s="609"/>
      <c r="TFB29" s="609"/>
      <c r="TFC29" s="609"/>
      <c r="TFD29" s="609"/>
      <c r="TFE29" s="609"/>
      <c r="TFF29" s="609"/>
      <c r="TFG29" s="609"/>
      <c r="TFH29" s="609"/>
      <c r="TFI29" s="609"/>
      <c r="TFJ29" s="609"/>
      <c r="TFK29" s="609"/>
      <c r="TFL29" s="609"/>
      <c r="TFM29" s="609"/>
      <c r="TFN29" s="609"/>
      <c r="TFO29" s="609"/>
      <c r="TFP29" s="609"/>
      <c r="TFQ29" s="609"/>
      <c r="TFR29" s="609"/>
      <c r="TFS29" s="609"/>
      <c r="TFT29" s="609"/>
      <c r="TFU29" s="609"/>
      <c r="TFV29" s="609"/>
      <c r="TFW29" s="609"/>
      <c r="TFX29" s="609"/>
      <c r="TFY29" s="609"/>
      <c r="TFZ29" s="609"/>
      <c r="TGA29" s="609"/>
      <c r="TGB29" s="609"/>
      <c r="TGC29" s="609"/>
      <c r="TGD29" s="609"/>
      <c r="TGE29" s="609"/>
      <c r="TGF29" s="609"/>
      <c r="TGG29" s="609"/>
      <c r="TGH29" s="609"/>
      <c r="TGI29" s="609"/>
      <c r="TGJ29" s="609"/>
      <c r="TGK29" s="609"/>
      <c r="TGL29" s="609"/>
      <c r="TGM29" s="609"/>
      <c r="TGN29" s="609"/>
      <c r="TGO29" s="609"/>
      <c r="TGP29" s="609"/>
      <c r="TGQ29" s="609"/>
      <c r="TGR29" s="609"/>
      <c r="TGS29" s="609"/>
      <c r="TGT29" s="609"/>
      <c r="TGU29" s="609"/>
      <c r="TGV29" s="609"/>
      <c r="TGW29" s="609"/>
      <c r="TGX29" s="609"/>
      <c r="TGY29" s="609"/>
      <c r="TGZ29" s="609"/>
      <c r="THA29" s="609"/>
      <c r="THB29" s="609"/>
      <c r="THC29" s="609"/>
      <c r="THD29" s="609"/>
      <c r="THE29" s="609"/>
      <c r="THF29" s="609"/>
      <c r="THG29" s="609"/>
      <c r="THH29" s="609"/>
      <c r="THI29" s="609"/>
      <c r="THJ29" s="609"/>
      <c r="THK29" s="609"/>
      <c r="THL29" s="609"/>
      <c r="THM29" s="609"/>
      <c r="THN29" s="609"/>
      <c r="THO29" s="609"/>
      <c r="THP29" s="609"/>
      <c r="THQ29" s="609"/>
      <c r="THR29" s="609"/>
      <c r="THS29" s="609"/>
      <c r="THT29" s="609"/>
      <c r="THU29" s="609"/>
      <c r="THV29" s="609"/>
      <c r="THW29" s="609"/>
      <c r="THX29" s="609"/>
      <c r="THY29" s="609"/>
      <c r="THZ29" s="609"/>
      <c r="TIA29" s="609"/>
      <c r="TIB29" s="609"/>
      <c r="TIC29" s="609"/>
      <c r="TID29" s="609"/>
      <c r="TIE29" s="609"/>
      <c r="TIF29" s="609"/>
      <c r="TIG29" s="609"/>
      <c r="TIH29" s="609"/>
      <c r="TII29" s="609"/>
      <c r="TIJ29" s="609"/>
      <c r="TIK29" s="609"/>
      <c r="TIL29" s="609"/>
      <c r="TIM29" s="609"/>
      <c r="TIN29" s="609"/>
      <c r="TIO29" s="609"/>
      <c r="TIP29" s="609"/>
      <c r="TIQ29" s="609"/>
      <c r="TIR29" s="609"/>
      <c r="TIS29" s="609"/>
      <c r="TIT29" s="609"/>
      <c r="TIU29" s="609"/>
      <c r="TIV29" s="609"/>
      <c r="TIW29" s="609"/>
      <c r="TIX29" s="609"/>
      <c r="TIY29" s="609"/>
      <c r="TIZ29" s="609"/>
      <c r="TJA29" s="609"/>
      <c r="TJB29" s="609"/>
      <c r="TJC29" s="609"/>
      <c r="TJD29" s="609"/>
      <c r="TJE29" s="609"/>
      <c r="TJF29" s="609"/>
      <c r="TJG29" s="609"/>
      <c r="TJH29" s="609"/>
      <c r="TJI29" s="609"/>
      <c r="TJJ29" s="609"/>
      <c r="TJK29" s="609"/>
      <c r="TJL29" s="609"/>
      <c r="TJM29" s="609"/>
      <c r="TJN29" s="609"/>
      <c r="TJO29" s="609"/>
      <c r="TJP29" s="609"/>
      <c r="TJQ29" s="609"/>
      <c r="TJR29" s="609"/>
      <c r="TJS29" s="609"/>
      <c r="TJT29" s="609"/>
      <c r="TJU29" s="609"/>
      <c r="TJV29" s="609"/>
      <c r="TJW29" s="609"/>
      <c r="TJX29" s="609"/>
      <c r="TJY29" s="609"/>
      <c r="TJZ29" s="609"/>
      <c r="TKA29" s="609"/>
      <c r="TKB29" s="609"/>
      <c r="TKC29" s="609"/>
      <c r="TKD29" s="609"/>
      <c r="TKE29" s="609"/>
      <c r="TKF29" s="609"/>
      <c r="TKG29" s="609"/>
      <c r="TKH29" s="609"/>
      <c r="TKI29" s="609"/>
      <c r="TKJ29" s="609"/>
      <c r="TKK29" s="609"/>
      <c r="TKL29" s="609"/>
      <c r="TKM29" s="609"/>
      <c r="TKN29" s="609"/>
      <c r="TKO29" s="609"/>
      <c r="TKP29" s="609"/>
      <c r="TKQ29" s="609"/>
      <c r="TKR29" s="609"/>
      <c r="TKS29" s="609"/>
      <c r="TKT29" s="609"/>
      <c r="TKU29" s="609"/>
      <c r="TKV29" s="609"/>
      <c r="TKW29" s="609"/>
      <c r="TKX29" s="609"/>
      <c r="TKY29" s="609"/>
      <c r="TKZ29" s="609"/>
      <c r="TLA29" s="609"/>
      <c r="TLB29" s="609"/>
      <c r="TLC29" s="609"/>
      <c r="TLD29" s="609"/>
      <c r="TLE29" s="609"/>
      <c r="TLF29" s="609"/>
      <c r="TLG29" s="609"/>
      <c r="TLH29" s="609"/>
      <c r="TLI29" s="609"/>
      <c r="TLJ29" s="609"/>
      <c r="TLK29" s="609"/>
      <c r="TLL29" s="609"/>
      <c r="TLM29" s="609"/>
      <c r="TLN29" s="609"/>
      <c r="TLO29" s="609"/>
      <c r="TLP29" s="609"/>
      <c r="TLQ29" s="609"/>
      <c r="TLR29" s="609"/>
      <c r="TLS29" s="609"/>
      <c r="TLT29" s="609"/>
      <c r="TLU29" s="609"/>
      <c r="TLV29" s="609"/>
      <c r="TLW29" s="609"/>
      <c r="TLX29" s="609"/>
      <c r="TLY29" s="609"/>
      <c r="TLZ29" s="609"/>
      <c r="TMA29" s="609"/>
      <c r="TMB29" s="609"/>
      <c r="TMC29" s="609"/>
      <c r="TMD29" s="609"/>
      <c r="TME29" s="609"/>
      <c r="TMF29" s="609"/>
      <c r="TMG29" s="609"/>
      <c r="TMH29" s="609"/>
      <c r="TMI29" s="609"/>
      <c r="TMJ29" s="609"/>
      <c r="TMK29" s="609"/>
      <c r="TML29" s="609"/>
      <c r="TMM29" s="609"/>
      <c r="TMN29" s="609"/>
      <c r="TMO29" s="609"/>
      <c r="TMP29" s="609"/>
      <c r="TMQ29" s="609"/>
      <c r="TMR29" s="609"/>
      <c r="TMS29" s="609"/>
      <c r="TMT29" s="609"/>
      <c r="TMU29" s="609"/>
      <c r="TMV29" s="609"/>
      <c r="TMW29" s="609"/>
      <c r="TMX29" s="609"/>
      <c r="TMY29" s="609"/>
      <c r="TMZ29" s="609"/>
      <c r="TNA29" s="609"/>
      <c r="TNB29" s="609"/>
      <c r="TNC29" s="609"/>
      <c r="TND29" s="609"/>
      <c r="TNE29" s="609"/>
      <c r="TNF29" s="609"/>
      <c r="TNG29" s="609"/>
      <c r="TNH29" s="609"/>
      <c r="TNI29" s="609"/>
      <c r="TNJ29" s="609"/>
      <c r="TNK29" s="609"/>
      <c r="TNL29" s="609"/>
      <c r="TNM29" s="609"/>
      <c r="TNN29" s="609"/>
      <c r="TNO29" s="609"/>
      <c r="TNP29" s="609"/>
      <c r="TNQ29" s="609"/>
      <c r="TNR29" s="609"/>
      <c r="TNS29" s="609"/>
      <c r="TNT29" s="609"/>
      <c r="TNU29" s="609"/>
      <c r="TNV29" s="609"/>
      <c r="TNW29" s="609"/>
      <c r="TNX29" s="609"/>
      <c r="TNY29" s="609"/>
      <c r="TNZ29" s="609"/>
      <c r="TOA29" s="609"/>
      <c r="TOB29" s="609"/>
      <c r="TOC29" s="609"/>
      <c r="TOD29" s="609"/>
      <c r="TOE29" s="609"/>
      <c r="TOF29" s="609"/>
      <c r="TOG29" s="609"/>
      <c r="TOH29" s="609"/>
      <c r="TOI29" s="609"/>
      <c r="TOJ29" s="609"/>
      <c r="TOK29" s="609"/>
      <c r="TOL29" s="609"/>
      <c r="TOM29" s="609"/>
      <c r="TON29" s="609"/>
      <c r="TOO29" s="609"/>
      <c r="TOP29" s="609"/>
      <c r="TOQ29" s="609"/>
      <c r="TOR29" s="609"/>
      <c r="TOS29" s="609"/>
      <c r="TOT29" s="609"/>
      <c r="TOU29" s="609"/>
      <c r="TOV29" s="609"/>
      <c r="TOW29" s="609"/>
      <c r="TOX29" s="609"/>
      <c r="TOY29" s="609"/>
      <c r="TOZ29" s="609"/>
      <c r="TPA29" s="609"/>
      <c r="TPB29" s="609"/>
      <c r="TPC29" s="609"/>
      <c r="TPD29" s="609"/>
      <c r="TPE29" s="609"/>
      <c r="TPF29" s="609"/>
      <c r="TPG29" s="609"/>
      <c r="TPH29" s="609"/>
      <c r="TPI29" s="609"/>
      <c r="TPJ29" s="609"/>
      <c r="TPK29" s="609"/>
      <c r="TPL29" s="609"/>
      <c r="TPM29" s="609"/>
      <c r="TPN29" s="609"/>
      <c r="TPO29" s="609"/>
      <c r="TPP29" s="609"/>
      <c r="TPQ29" s="609"/>
      <c r="TPR29" s="609"/>
      <c r="TPS29" s="609"/>
      <c r="TPT29" s="609"/>
      <c r="TPU29" s="609"/>
      <c r="TPV29" s="609"/>
      <c r="TPW29" s="609"/>
      <c r="TPX29" s="609"/>
      <c r="TPY29" s="609"/>
      <c r="TPZ29" s="609"/>
      <c r="TQA29" s="609"/>
      <c r="TQB29" s="609"/>
      <c r="TQC29" s="609"/>
      <c r="TQD29" s="609"/>
      <c r="TQE29" s="609"/>
      <c r="TQF29" s="609"/>
      <c r="TQG29" s="609"/>
      <c r="TQH29" s="609"/>
      <c r="TQI29" s="609"/>
      <c r="TQJ29" s="609"/>
      <c r="TQK29" s="609"/>
      <c r="TQL29" s="609"/>
      <c r="TQM29" s="609"/>
      <c r="TQN29" s="609"/>
      <c r="TQO29" s="609"/>
      <c r="TQP29" s="609"/>
      <c r="TQQ29" s="609"/>
      <c r="TQR29" s="609"/>
      <c r="TQS29" s="609"/>
      <c r="TQT29" s="609"/>
      <c r="TQU29" s="609"/>
      <c r="TQV29" s="609"/>
      <c r="TQW29" s="609"/>
      <c r="TQX29" s="609"/>
      <c r="TQY29" s="609"/>
      <c r="TQZ29" s="609"/>
      <c r="TRA29" s="609"/>
      <c r="TRB29" s="609"/>
      <c r="TRC29" s="609"/>
      <c r="TRD29" s="609"/>
      <c r="TRE29" s="609"/>
      <c r="TRF29" s="609"/>
      <c r="TRG29" s="609"/>
      <c r="TRH29" s="609"/>
      <c r="TRI29" s="609"/>
      <c r="TRJ29" s="609"/>
      <c r="TRK29" s="609"/>
      <c r="TRL29" s="609"/>
      <c r="TRM29" s="609"/>
      <c r="TRN29" s="609"/>
      <c r="TRO29" s="609"/>
      <c r="TRP29" s="609"/>
      <c r="TRQ29" s="609"/>
      <c r="TRR29" s="609"/>
      <c r="TRS29" s="609"/>
      <c r="TRT29" s="609"/>
      <c r="TRU29" s="609"/>
      <c r="TRV29" s="609"/>
      <c r="TRW29" s="609"/>
      <c r="TRX29" s="609"/>
      <c r="TRY29" s="609"/>
      <c r="TRZ29" s="609"/>
      <c r="TSA29" s="609"/>
      <c r="TSB29" s="609"/>
      <c r="TSC29" s="609"/>
      <c r="TSD29" s="609"/>
      <c r="TSE29" s="609"/>
      <c r="TSF29" s="609"/>
      <c r="TSG29" s="609"/>
      <c r="TSH29" s="609"/>
      <c r="TSI29" s="609"/>
      <c r="TSJ29" s="609"/>
      <c r="TSK29" s="609"/>
      <c r="TSL29" s="609"/>
      <c r="TSM29" s="609"/>
      <c r="TSN29" s="609"/>
      <c r="TSO29" s="609"/>
      <c r="TSP29" s="609"/>
      <c r="TSQ29" s="609"/>
      <c r="TSR29" s="609"/>
      <c r="TSS29" s="609"/>
      <c r="TST29" s="609"/>
      <c r="TSU29" s="609"/>
      <c r="TSV29" s="609"/>
      <c r="TSW29" s="609"/>
      <c r="TSX29" s="609"/>
      <c r="TSY29" s="609"/>
      <c r="TSZ29" s="609"/>
      <c r="TTA29" s="609"/>
      <c r="TTB29" s="609"/>
      <c r="TTC29" s="609"/>
      <c r="TTD29" s="609"/>
      <c r="TTE29" s="609"/>
      <c r="TTF29" s="609"/>
      <c r="TTG29" s="609"/>
      <c r="TTH29" s="609"/>
      <c r="TTI29" s="609"/>
      <c r="TTJ29" s="609"/>
      <c r="TTK29" s="609"/>
      <c r="TTL29" s="609"/>
      <c r="TTM29" s="609"/>
      <c r="TTN29" s="609"/>
      <c r="TTO29" s="609"/>
      <c r="TTP29" s="609"/>
      <c r="TTQ29" s="609"/>
      <c r="TTR29" s="609"/>
      <c r="TTS29" s="609"/>
      <c r="TTT29" s="609"/>
      <c r="TTU29" s="609"/>
      <c r="TTV29" s="609"/>
      <c r="TTW29" s="609"/>
      <c r="TTX29" s="609"/>
      <c r="TTY29" s="609"/>
      <c r="TTZ29" s="609"/>
      <c r="TUA29" s="609"/>
      <c r="TUB29" s="609"/>
      <c r="TUC29" s="609"/>
      <c r="TUD29" s="609"/>
      <c r="TUE29" s="609"/>
      <c r="TUF29" s="609"/>
      <c r="TUG29" s="609"/>
      <c r="TUH29" s="609"/>
      <c r="TUI29" s="609"/>
      <c r="TUJ29" s="609"/>
      <c r="TUK29" s="609"/>
      <c r="TUL29" s="609"/>
      <c r="TUM29" s="609"/>
      <c r="TUN29" s="609"/>
      <c r="TUO29" s="609"/>
      <c r="TUP29" s="609"/>
      <c r="TUQ29" s="609"/>
      <c r="TUR29" s="609"/>
      <c r="TUS29" s="609"/>
      <c r="TUT29" s="609"/>
      <c r="TUU29" s="609"/>
      <c r="TUV29" s="609"/>
      <c r="TUW29" s="609"/>
      <c r="TUX29" s="609"/>
      <c r="TUY29" s="609"/>
      <c r="TUZ29" s="609"/>
      <c r="TVA29" s="609"/>
      <c r="TVB29" s="609"/>
      <c r="TVC29" s="609"/>
      <c r="TVD29" s="609"/>
      <c r="TVE29" s="609"/>
      <c r="TVF29" s="609"/>
      <c r="TVG29" s="609"/>
      <c r="TVH29" s="609"/>
      <c r="TVI29" s="609"/>
      <c r="TVJ29" s="609"/>
      <c r="TVK29" s="609"/>
      <c r="TVL29" s="609"/>
      <c r="TVM29" s="609"/>
      <c r="TVN29" s="609"/>
      <c r="TVO29" s="609"/>
      <c r="TVP29" s="609"/>
      <c r="TVQ29" s="609"/>
      <c r="TVR29" s="609"/>
      <c r="TVS29" s="609"/>
      <c r="TVT29" s="609"/>
      <c r="TVU29" s="609"/>
      <c r="TVV29" s="609"/>
      <c r="TVW29" s="609"/>
      <c r="TVX29" s="609"/>
      <c r="TVY29" s="609"/>
      <c r="TVZ29" s="609"/>
      <c r="TWA29" s="609"/>
      <c r="TWB29" s="609"/>
      <c r="TWC29" s="609"/>
      <c r="TWD29" s="609"/>
      <c r="TWE29" s="609"/>
      <c r="TWF29" s="609"/>
      <c r="TWG29" s="609"/>
      <c r="TWH29" s="609"/>
      <c r="TWI29" s="609"/>
      <c r="TWJ29" s="609"/>
      <c r="TWK29" s="609"/>
      <c r="TWL29" s="609"/>
      <c r="TWM29" s="609"/>
      <c r="TWN29" s="609"/>
      <c r="TWO29" s="609"/>
      <c r="TWP29" s="609"/>
      <c r="TWQ29" s="609"/>
      <c r="TWR29" s="609"/>
      <c r="TWS29" s="609"/>
      <c r="TWT29" s="609"/>
      <c r="TWU29" s="609"/>
      <c r="TWV29" s="609"/>
      <c r="TWW29" s="609"/>
      <c r="TWX29" s="609"/>
      <c r="TWY29" s="609"/>
      <c r="TWZ29" s="609"/>
      <c r="TXA29" s="609"/>
      <c r="TXB29" s="609"/>
      <c r="TXC29" s="609"/>
      <c r="TXD29" s="609"/>
      <c r="TXE29" s="609"/>
      <c r="TXF29" s="609"/>
      <c r="TXG29" s="609"/>
      <c r="TXH29" s="609"/>
      <c r="TXI29" s="609"/>
      <c r="TXJ29" s="609"/>
      <c r="TXK29" s="609"/>
      <c r="TXL29" s="609"/>
      <c r="TXM29" s="609"/>
      <c r="TXN29" s="609"/>
      <c r="TXO29" s="609"/>
      <c r="TXP29" s="609"/>
      <c r="TXQ29" s="609"/>
      <c r="TXR29" s="609"/>
      <c r="TXS29" s="609"/>
      <c r="TXT29" s="609"/>
      <c r="TXU29" s="609"/>
      <c r="TXV29" s="609"/>
      <c r="TXW29" s="609"/>
      <c r="TXX29" s="609"/>
      <c r="TXY29" s="609"/>
      <c r="TXZ29" s="609"/>
      <c r="TYA29" s="609"/>
      <c r="TYB29" s="609"/>
      <c r="TYC29" s="609"/>
      <c r="TYD29" s="609"/>
      <c r="TYE29" s="609"/>
      <c r="TYF29" s="609"/>
      <c r="TYG29" s="609"/>
      <c r="TYH29" s="609"/>
      <c r="TYI29" s="609"/>
      <c r="TYJ29" s="609"/>
      <c r="TYK29" s="609"/>
      <c r="TYL29" s="609"/>
      <c r="TYM29" s="609"/>
      <c r="TYN29" s="609"/>
      <c r="TYO29" s="609"/>
      <c r="TYP29" s="609"/>
      <c r="TYQ29" s="609"/>
      <c r="TYR29" s="609"/>
      <c r="TYS29" s="609"/>
      <c r="TYT29" s="609"/>
      <c r="TYU29" s="609"/>
      <c r="TYV29" s="609"/>
      <c r="TYW29" s="609"/>
      <c r="TYX29" s="609"/>
      <c r="TYY29" s="609"/>
      <c r="TYZ29" s="609"/>
      <c r="TZA29" s="609"/>
      <c r="TZB29" s="609"/>
      <c r="TZC29" s="609"/>
      <c r="TZD29" s="609"/>
      <c r="TZE29" s="609"/>
      <c r="TZF29" s="609"/>
      <c r="TZG29" s="609"/>
      <c r="TZH29" s="609"/>
      <c r="TZI29" s="609"/>
      <c r="TZJ29" s="609"/>
      <c r="TZK29" s="609"/>
      <c r="TZL29" s="609"/>
      <c r="TZM29" s="609"/>
      <c r="TZN29" s="609"/>
      <c r="TZO29" s="609"/>
      <c r="TZP29" s="609"/>
      <c r="TZQ29" s="609"/>
      <c r="TZR29" s="609"/>
      <c r="TZS29" s="609"/>
      <c r="TZT29" s="609"/>
      <c r="TZU29" s="609"/>
      <c r="TZV29" s="609"/>
      <c r="TZW29" s="609"/>
      <c r="TZX29" s="609"/>
      <c r="TZY29" s="609"/>
      <c r="TZZ29" s="609"/>
      <c r="UAA29" s="609"/>
      <c r="UAB29" s="609"/>
      <c r="UAC29" s="609"/>
      <c r="UAD29" s="609"/>
      <c r="UAE29" s="609"/>
      <c r="UAF29" s="609"/>
      <c r="UAG29" s="609"/>
      <c r="UAH29" s="609"/>
      <c r="UAI29" s="609"/>
      <c r="UAJ29" s="609"/>
      <c r="UAK29" s="609"/>
      <c r="UAL29" s="609"/>
      <c r="UAM29" s="609"/>
      <c r="UAN29" s="609"/>
      <c r="UAO29" s="609"/>
      <c r="UAP29" s="609"/>
      <c r="UAQ29" s="609"/>
      <c r="UAR29" s="609"/>
      <c r="UAS29" s="609"/>
      <c r="UAT29" s="609"/>
      <c r="UAU29" s="609"/>
      <c r="UAV29" s="609"/>
      <c r="UAW29" s="609"/>
      <c r="UAX29" s="609"/>
      <c r="UAY29" s="609"/>
      <c r="UAZ29" s="609"/>
      <c r="UBA29" s="609"/>
      <c r="UBB29" s="609"/>
      <c r="UBC29" s="609"/>
      <c r="UBD29" s="609"/>
      <c r="UBE29" s="609"/>
      <c r="UBF29" s="609"/>
      <c r="UBG29" s="609"/>
      <c r="UBH29" s="609"/>
      <c r="UBI29" s="609"/>
      <c r="UBJ29" s="609"/>
      <c r="UBK29" s="609"/>
      <c r="UBL29" s="609"/>
      <c r="UBM29" s="609"/>
      <c r="UBN29" s="609"/>
      <c r="UBO29" s="609"/>
      <c r="UBP29" s="609"/>
      <c r="UBQ29" s="609"/>
      <c r="UBR29" s="609"/>
      <c r="UBS29" s="609"/>
      <c r="UBT29" s="609"/>
      <c r="UBU29" s="609"/>
      <c r="UBV29" s="609"/>
      <c r="UBW29" s="609"/>
      <c r="UBX29" s="609"/>
      <c r="UBY29" s="609"/>
      <c r="UBZ29" s="609"/>
      <c r="UCA29" s="609"/>
      <c r="UCB29" s="609"/>
      <c r="UCC29" s="609"/>
      <c r="UCD29" s="609"/>
      <c r="UCE29" s="609"/>
      <c r="UCF29" s="609"/>
      <c r="UCG29" s="609"/>
      <c r="UCH29" s="609"/>
      <c r="UCI29" s="609"/>
      <c r="UCJ29" s="609"/>
      <c r="UCK29" s="609"/>
      <c r="UCL29" s="609"/>
      <c r="UCM29" s="609"/>
      <c r="UCN29" s="609"/>
      <c r="UCO29" s="609"/>
      <c r="UCP29" s="609"/>
      <c r="UCQ29" s="609"/>
      <c r="UCR29" s="609"/>
      <c r="UCS29" s="609"/>
      <c r="UCT29" s="609"/>
      <c r="UCU29" s="609"/>
      <c r="UCV29" s="609"/>
      <c r="UCW29" s="609"/>
      <c r="UCX29" s="609"/>
      <c r="UCY29" s="609"/>
      <c r="UCZ29" s="609"/>
      <c r="UDA29" s="609"/>
      <c r="UDB29" s="609"/>
      <c r="UDC29" s="609"/>
      <c r="UDD29" s="609"/>
      <c r="UDE29" s="609"/>
      <c r="UDF29" s="609"/>
      <c r="UDG29" s="609"/>
      <c r="UDH29" s="609"/>
      <c r="UDI29" s="609"/>
      <c r="UDJ29" s="609"/>
      <c r="UDK29" s="609"/>
      <c r="UDL29" s="609"/>
      <c r="UDM29" s="609"/>
      <c r="UDN29" s="609"/>
      <c r="UDO29" s="609"/>
      <c r="UDP29" s="609"/>
      <c r="UDQ29" s="609"/>
      <c r="UDR29" s="609"/>
      <c r="UDS29" s="609"/>
      <c r="UDT29" s="609"/>
      <c r="UDU29" s="609"/>
      <c r="UDV29" s="609"/>
      <c r="UDW29" s="609"/>
      <c r="UDX29" s="609"/>
      <c r="UDY29" s="609"/>
      <c r="UDZ29" s="609"/>
      <c r="UEA29" s="609"/>
      <c r="UEB29" s="609"/>
      <c r="UEC29" s="609"/>
      <c r="UED29" s="609"/>
      <c r="UEE29" s="609"/>
      <c r="UEF29" s="609"/>
      <c r="UEG29" s="609"/>
      <c r="UEH29" s="609"/>
      <c r="UEI29" s="609"/>
      <c r="UEJ29" s="609"/>
      <c r="UEK29" s="609"/>
      <c r="UEL29" s="609"/>
      <c r="UEM29" s="609"/>
      <c r="UEN29" s="609"/>
      <c r="UEO29" s="609"/>
      <c r="UEP29" s="609"/>
      <c r="UEQ29" s="609"/>
      <c r="UER29" s="609"/>
      <c r="UES29" s="609"/>
      <c r="UET29" s="609"/>
      <c r="UEU29" s="609"/>
      <c r="UEV29" s="609"/>
      <c r="UEW29" s="609"/>
      <c r="UEX29" s="609"/>
      <c r="UEY29" s="609"/>
      <c r="UEZ29" s="609"/>
      <c r="UFA29" s="609"/>
      <c r="UFB29" s="609"/>
      <c r="UFC29" s="609"/>
      <c r="UFD29" s="609"/>
      <c r="UFE29" s="609"/>
      <c r="UFF29" s="609"/>
      <c r="UFG29" s="609"/>
      <c r="UFH29" s="609"/>
      <c r="UFI29" s="609"/>
      <c r="UFJ29" s="609"/>
      <c r="UFK29" s="609"/>
      <c r="UFL29" s="609"/>
      <c r="UFM29" s="609"/>
      <c r="UFN29" s="609"/>
      <c r="UFO29" s="609"/>
      <c r="UFP29" s="609"/>
      <c r="UFQ29" s="609"/>
      <c r="UFR29" s="609"/>
      <c r="UFS29" s="609"/>
      <c r="UFT29" s="609"/>
      <c r="UFU29" s="609"/>
      <c r="UFV29" s="609"/>
      <c r="UFW29" s="609"/>
      <c r="UFX29" s="609"/>
      <c r="UFY29" s="609"/>
      <c r="UFZ29" s="609"/>
      <c r="UGA29" s="609"/>
      <c r="UGB29" s="609"/>
      <c r="UGC29" s="609"/>
      <c r="UGD29" s="609"/>
      <c r="UGE29" s="609"/>
      <c r="UGF29" s="609"/>
      <c r="UGG29" s="609"/>
      <c r="UGH29" s="609"/>
      <c r="UGI29" s="609"/>
      <c r="UGJ29" s="609"/>
      <c r="UGK29" s="609"/>
      <c r="UGL29" s="609"/>
      <c r="UGM29" s="609"/>
      <c r="UGN29" s="609"/>
      <c r="UGO29" s="609"/>
      <c r="UGP29" s="609"/>
      <c r="UGQ29" s="609"/>
      <c r="UGR29" s="609"/>
      <c r="UGS29" s="609"/>
      <c r="UGT29" s="609"/>
      <c r="UGU29" s="609"/>
      <c r="UGV29" s="609"/>
      <c r="UGW29" s="609"/>
      <c r="UGX29" s="609"/>
      <c r="UGY29" s="609"/>
      <c r="UGZ29" s="609"/>
      <c r="UHA29" s="609"/>
      <c r="UHB29" s="609"/>
      <c r="UHC29" s="609"/>
      <c r="UHD29" s="609"/>
      <c r="UHE29" s="609"/>
      <c r="UHF29" s="609"/>
      <c r="UHG29" s="609"/>
      <c r="UHH29" s="609"/>
      <c r="UHI29" s="609"/>
      <c r="UHJ29" s="609"/>
      <c r="UHK29" s="609"/>
      <c r="UHL29" s="609"/>
      <c r="UHM29" s="609"/>
      <c r="UHN29" s="609"/>
      <c r="UHO29" s="609"/>
      <c r="UHP29" s="609"/>
      <c r="UHQ29" s="609"/>
      <c r="UHR29" s="609"/>
      <c r="UHS29" s="609"/>
      <c r="UHT29" s="609"/>
      <c r="UHU29" s="609"/>
      <c r="UHV29" s="609"/>
      <c r="UHW29" s="609"/>
      <c r="UHX29" s="609"/>
      <c r="UHY29" s="609"/>
      <c r="UHZ29" s="609"/>
      <c r="UIA29" s="609"/>
      <c r="UIB29" s="609"/>
      <c r="UIC29" s="609"/>
      <c r="UID29" s="609"/>
      <c r="UIE29" s="609"/>
      <c r="UIF29" s="609"/>
      <c r="UIG29" s="609"/>
      <c r="UIH29" s="609"/>
      <c r="UII29" s="609"/>
      <c r="UIJ29" s="609"/>
      <c r="UIK29" s="609"/>
      <c r="UIL29" s="609"/>
      <c r="UIM29" s="609"/>
      <c r="UIN29" s="609"/>
      <c r="UIO29" s="609"/>
      <c r="UIP29" s="609"/>
      <c r="UIQ29" s="609"/>
      <c r="UIR29" s="609"/>
      <c r="UIS29" s="609"/>
      <c r="UIT29" s="609"/>
      <c r="UIU29" s="609"/>
      <c r="UIV29" s="609"/>
      <c r="UIW29" s="609"/>
      <c r="UIX29" s="609"/>
      <c r="UIY29" s="609"/>
      <c r="UIZ29" s="609"/>
      <c r="UJA29" s="609"/>
      <c r="UJB29" s="609"/>
      <c r="UJC29" s="609"/>
      <c r="UJD29" s="609"/>
      <c r="UJE29" s="609"/>
      <c r="UJF29" s="609"/>
      <c r="UJG29" s="609"/>
      <c r="UJH29" s="609"/>
      <c r="UJI29" s="609"/>
      <c r="UJJ29" s="609"/>
      <c r="UJK29" s="609"/>
      <c r="UJL29" s="609"/>
      <c r="UJM29" s="609"/>
      <c r="UJN29" s="609"/>
      <c r="UJO29" s="609"/>
      <c r="UJP29" s="609"/>
      <c r="UJQ29" s="609"/>
      <c r="UJR29" s="609"/>
      <c r="UJS29" s="609"/>
      <c r="UJT29" s="609"/>
      <c r="UJU29" s="609"/>
      <c r="UJV29" s="609"/>
      <c r="UJW29" s="609"/>
      <c r="UJX29" s="609"/>
      <c r="UJY29" s="609"/>
      <c r="UJZ29" s="609"/>
      <c r="UKA29" s="609"/>
      <c r="UKB29" s="609"/>
      <c r="UKC29" s="609"/>
      <c r="UKD29" s="609"/>
      <c r="UKE29" s="609"/>
      <c r="UKF29" s="609"/>
      <c r="UKG29" s="609"/>
      <c r="UKH29" s="609"/>
      <c r="UKI29" s="609"/>
      <c r="UKJ29" s="609"/>
      <c r="UKK29" s="609"/>
      <c r="UKL29" s="609"/>
      <c r="UKM29" s="609"/>
      <c r="UKN29" s="609"/>
      <c r="UKO29" s="609"/>
      <c r="UKP29" s="609"/>
      <c r="UKQ29" s="609"/>
      <c r="UKR29" s="609"/>
      <c r="UKS29" s="609"/>
      <c r="UKT29" s="609"/>
      <c r="UKU29" s="609"/>
      <c r="UKV29" s="609"/>
      <c r="UKW29" s="609"/>
      <c r="UKX29" s="609"/>
      <c r="UKY29" s="609"/>
      <c r="UKZ29" s="609"/>
      <c r="ULA29" s="609"/>
      <c r="ULB29" s="609"/>
      <c r="ULC29" s="609"/>
      <c r="ULD29" s="609"/>
      <c r="ULE29" s="609"/>
      <c r="ULF29" s="609"/>
      <c r="ULG29" s="609"/>
      <c r="ULH29" s="609"/>
      <c r="ULI29" s="609"/>
      <c r="ULJ29" s="609"/>
      <c r="ULK29" s="609"/>
      <c r="ULL29" s="609"/>
      <c r="ULM29" s="609"/>
      <c r="ULN29" s="609"/>
      <c r="ULO29" s="609"/>
      <c r="ULP29" s="609"/>
      <c r="ULQ29" s="609"/>
      <c r="ULR29" s="609"/>
      <c r="ULS29" s="609"/>
      <c r="ULT29" s="609"/>
      <c r="ULU29" s="609"/>
      <c r="ULV29" s="609"/>
      <c r="ULW29" s="609"/>
      <c r="ULX29" s="609"/>
      <c r="ULY29" s="609"/>
      <c r="ULZ29" s="609"/>
      <c r="UMA29" s="609"/>
      <c r="UMB29" s="609"/>
      <c r="UMC29" s="609"/>
      <c r="UMD29" s="609"/>
      <c r="UME29" s="609"/>
      <c r="UMF29" s="609"/>
      <c r="UMG29" s="609"/>
      <c r="UMH29" s="609"/>
      <c r="UMI29" s="609"/>
      <c r="UMJ29" s="609"/>
      <c r="UMK29" s="609"/>
      <c r="UML29" s="609"/>
      <c r="UMM29" s="609"/>
      <c r="UMN29" s="609"/>
      <c r="UMO29" s="609"/>
      <c r="UMP29" s="609"/>
      <c r="UMQ29" s="609"/>
      <c r="UMR29" s="609"/>
      <c r="UMS29" s="609"/>
      <c r="UMT29" s="609"/>
      <c r="UMU29" s="609"/>
      <c r="UMV29" s="609"/>
      <c r="UMW29" s="609"/>
      <c r="UMX29" s="609"/>
      <c r="UMY29" s="609"/>
      <c r="UMZ29" s="609"/>
      <c r="UNA29" s="609"/>
      <c r="UNB29" s="609"/>
      <c r="UNC29" s="609"/>
      <c r="UND29" s="609"/>
      <c r="UNE29" s="609"/>
      <c r="UNF29" s="609"/>
      <c r="UNG29" s="609"/>
      <c r="UNH29" s="609"/>
      <c r="UNI29" s="609"/>
      <c r="UNJ29" s="609"/>
      <c r="UNK29" s="609"/>
      <c r="UNL29" s="609"/>
      <c r="UNM29" s="609"/>
      <c r="UNN29" s="609"/>
      <c r="UNO29" s="609"/>
      <c r="UNP29" s="609"/>
      <c r="UNQ29" s="609"/>
      <c r="UNR29" s="609"/>
      <c r="UNS29" s="609"/>
      <c r="UNT29" s="609"/>
      <c r="UNU29" s="609"/>
      <c r="UNV29" s="609"/>
      <c r="UNW29" s="609"/>
      <c r="UNX29" s="609"/>
      <c r="UNY29" s="609"/>
      <c r="UNZ29" s="609"/>
      <c r="UOA29" s="609"/>
      <c r="UOB29" s="609"/>
      <c r="UOC29" s="609"/>
      <c r="UOD29" s="609"/>
      <c r="UOE29" s="609"/>
      <c r="UOF29" s="609"/>
      <c r="UOG29" s="609"/>
      <c r="UOH29" s="609"/>
      <c r="UOI29" s="609"/>
      <c r="UOJ29" s="609"/>
      <c r="UOK29" s="609"/>
      <c r="UOL29" s="609"/>
      <c r="UOM29" s="609"/>
      <c r="UON29" s="609"/>
      <c r="UOO29" s="609"/>
      <c r="UOP29" s="609"/>
      <c r="UOQ29" s="609"/>
      <c r="UOR29" s="609"/>
      <c r="UOS29" s="609"/>
      <c r="UOT29" s="609"/>
      <c r="UOU29" s="609"/>
      <c r="UOV29" s="609"/>
      <c r="UOW29" s="609"/>
      <c r="UOX29" s="609"/>
      <c r="UOY29" s="609"/>
      <c r="UOZ29" s="609"/>
      <c r="UPA29" s="609"/>
      <c r="UPB29" s="609"/>
      <c r="UPC29" s="609"/>
      <c r="UPD29" s="609"/>
      <c r="UPE29" s="609"/>
      <c r="UPF29" s="609"/>
      <c r="UPG29" s="609"/>
      <c r="UPH29" s="609"/>
      <c r="UPI29" s="609"/>
      <c r="UPJ29" s="609"/>
      <c r="UPK29" s="609"/>
      <c r="UPL29" s="609"/>
      <c r="UPM29" s="609"/>
      <c r="UPN29" s="609"/>
      <c r="UPO29" s="609"/>
      <c r="UPP29" s="609"/>
      <c r="UPQ29" s="609"/>
      <c r="UPR29" s="609"/>
      <c r="UPS29" s="609"/>
      <c r="UPT29" s="609"/>
      <c r="UPU29" s="609"/>
      <c r="UPV29" s="609"/>
      <c r="UPW29" s="609"/>
      <c r="UPX29" s="609"/>
      <c r="UPY29" s="609"/>
      <c r="UPZ29" s="609"/>
      <c r="UQA29" s="609"/>
      <c r="UQB29" s="609"/>
      <c r="UQC29" s="609"/>
      <c r="UQD29" s="609"/>
      <c r="UQE29" s="609"/>
      <c r="UQF29" s="609"/>
      <c r="UQG29" s="609"/>
      <c r="UQH29" s="609"/>
      <c r="UQI29" s="609"/>
      <c r="UQJ29" s="609"/>
      <c r="UQK29" s="609"/>
      <c r="UQL29" s="609"/>
      <c r="UQM29" s="609"/>
      <c r="UQN29" s="609"/>
      <c r="UQO29" s="609"/>
      <c r="UQP29" s="609"/>
      <c r="UQQ29" s="609"/>
      <c r="UQR29" s="609"/>
      <c r="UQS29" s="609"/>
      <c r="UQT29" s="609"/>
      <c r="UQU29" s="609"/>
      <c r="UQV29" s="609"/>
      <c r="UQW29" s="609"/>
      <c r="UQX29" s="609"/>
      <c r="UQY29" s="609"/>
      <c r="UQZ29" s="609"/>
      <c r="URA29" s="609"/>
      <c r="URB29" s="609"/>
      <c r="URC29" s="609"/>
      <c r="URD29" s="609"/>
      <c r="URE29" s="609"/>
      <c r="URF29" s="609"/>
      <c r="URG29" s="609"/>
      <c r="URH29" s="609"/>
      <c r="URI29" s="609"/>
      <c r="URJ29" s="609"/>
      <c r="URK29" s="609"/>
      <c r="URL29" s="609"/>
      <c r="URM29" s="609"/>
      <c r="URN29" s="609"/>
      <c r="URO29" s="609"/>
      <c r="URP29" s="609"/>
      <c r="URQ29" s="609"/>
      <c r="URR29" s="609"/>
      <c r="URS29" s="609"/>
      <c r="URT29" s="609"/>
      <c r="URU29" s="609"/>
      <c r="URV29" s="609"/>
      <c r="URW29" s="609"/>
      <c r="URX29" s="609"/>
      <c r="URY29" s="609"/>
      <c r="URZ29" s="609"/>
      <c r="USA29" s="609"/>
      <c r="USB29" s="609"/>
      <c r="USC29" s="609"/>
      <c r="USD29" s="609"/>
      <c r="USE29" s="609"/>
      <c r="USF29" s="609"/>
      <c r="USG29" s="609"/>
      <c r="USH29" s="609"/>
      <c r="USI29" s="609"/>
      <c r="USJ29" s="609"/>
      <c r="USK29" s="609"/>
      <c r="USL29" s="609"/>
      <c r="USM29" s="609"/>
      <c r="USN29" s="609"/>
      <c r="USO29" s="609"/>
      <c r="USP29" s="609"/>
      <c r="USQ29" s="609"/>
      <c r="USR29" s="609"/>
      <c r="USS29" s="609"/>
      <c r="UST29" s="609"/>
      <c r="USU29" s="609"/>
      <c r="USV29" s="609"/>
      <c r="USW29" s="609"/>
      <c r="USX29" s="609"/>
      <c r="USY29" s="609"/>
      <c r="USZ29" s="609"/>
      <c r="UTA29" s="609"/>
      <c r="UTB29" s="609"/>
      <c r="UTC29" s="609"/>
      <c r="UTD29" s="609"/>
      <c r="UTE29" s="609"/>
      <c r="UTF29" s="609"/>
      <c r="UTG29" s="609"/>
      <c r="UTH29" s="609"/>
      <c r="UTI29" s="609"/>
      <c r="UTJ29" s="609"/>
      <c r="UTK29" s="609"/>
      <c r="UTL29" s="609"/>
      <c r="UTM29" s="609"/>
      <c r="UTN29" s="609"/>
      <c r="UTO29" s="609"/>
      <c r="UTP29" s="609"/>
      <c r="UTQ29" s="609"/>
      <c r="UTR29" s="609"/>
      <c r="UTS29" s="609"/>
      <c r="UTT29" s="609"/>
      <c r="UTU29" s="609"/>
      <c r="UTV29" s="609"/>
      <c r="UTW29" s="609"/>
      <c r="UTX29" s="609"/>
      <c r="UTY29" s="609"/>
      <c r="UTZ29" s="609"/>
      <c r="UUA29" s="609"/>
      <c r="UUB29" s="609"/>
      <c r="UUC29" s="609"/>
      <c r="UUD29" s="609"/>
      <c r="UUE29" s="609"/>
      <c r="UUF29" s="609"/>
      <c r="UUG29" s="609"/>
      <c r="UUH29" s="609"/>
      <c r="UUI29" s="609"/>
      <c r="UUJ29" s="609"/>
      <c r="UUK29" s="609"/>
      <c r="UUL29" s="609"/>
      <c r="UUM29" s="609"/>
      <c r="UUN29" s="609"/>
      <c r="UUO29" s="609"/>
      <c r="UUP29" s="609"/>
      <c r="UUQ29" s="609"/>
      <c r="UUR29" s="609"/>
      <c r="UUS29" s="609"/>
      <c r="UUT29" s="609"/>
      <c r="UUU29" s="609"/>
      <c r="UUV29" s="609"/>
      <c r="UUW29" s="609"/>
      <c r="UUX29" s="609"/>
      <c r="UUY29" s="609"/>
      <c r="UUZ29" s="609"/>
      <c r="UVA29" s="609"/>
      <c r="UVB29" s="609"/>
      <c r="UVC29" s="609"/>
      <c r="UVD29" s="609"/>
      <c r="UVE29" s="609"/>
      <c r="UVF29" s="609"/>
      <c r="UVG29" s="609"/>
      <c r="UVH29" s="609"/>
      <c r="UVI29" s="609"/>
      <c r="UVJ29" s="609"/>
      <c r="UVK29" s="609"/>
      <c r="UVL29" s="609"/>
      <c r="UVM29" s="609"/>
      <c r="UVN29" s="609"/>
      <c r="UVO29" s="609"/>
      <c r="UVP29" s="609"/>
      <c r="UVQ29" s="609"/>
      <c r="UVR29" s="609"/>
      <c r="UVS29" s="609"/>
      <c r="UVT29" s="609"/>
      <c r="UVU29" s="609"/>
      <c r="UVV29" s="609"/>
      <c r="UVW29" s="609"/>
      <c r="UVX29" s="609"/>
      <c r="UVY29" s="609"/>
      <c r="UVZ29" s="609"/>
      <c r="UWA29" s="609"/>
      <c r="UWB29" s="609"/>
      <c r="UWC29" s="609"/>
      <c r="UWD29" s="609"/>
      <c r="UWE29" s="609"/>
      <c r="UWF29" s="609"/>
      <c r="UWG29" s="609"/>
      <c r="UWH29" s="609"/>
      <c r="UWI29" s="609"/>
      <c r="UWJ29" s="609"/>
      <c r="UWK29" s="609"/>
      <c r="UWL29" s="609"/>
      <c r="UWM29" s="609"/>
      <c r="UWN29" s="609"/>
      <c r="UWO29" s="609"/>
      <c r="UWP29" s="609"/>
      <c r="UWQ29" s="609"/>
      <c r="UWR29" s="609"/>
      <c r="UWS29" s="609"/>
      <c r="UWT29" s="609"/>
      <c r="UWU29" s="609"/>
      <c r="UWV29" s="609"/>
      <c r="UWW29" s="609"/>
      <c r="UWX29" s="609"/>
      <c r="UWY29" s="609"/>
      <c r="UWZ29" s="609"/>
      <c r="UXA29" s="609"/>
      <c r="UXB29" s="609"/>
      <c r="UXC29" s="609"/>
      <c r="UXD29" s="609"/>
      <c r="UXE29" s="609"/>
      <c r="UXF29" s="609"/>
      <c r="UXG29" s="609"/>
      <c r="UXH29" s="609"/>
      <c r="UXI29" s="609"/>
      <c r="UXJ29" s="609"/>
      <c r="UXK29" s="609"/>
      <c r="UXL29" s="609"/>
      <c r="UXM29" s="609"/>
      <c r="UXN29" s="609"/>
      <c r="UXO29" s="609"/>
      <c r="UXP29" s="609"/>
      <c r="UXQ29" s="609"/>
      <c r="UXR29" s="609"/>
      <c r="UXS29" s="609"/>
      <c r="UXT29" s="609"/>
      <c r="UXU29" s="609"/>
      <c r="UXV29" s="609"/>
      <c r="UXW29" s="609"/>
      <c r="UXX29" s="609"/>
      <c r="UXY29" s="609"/>
      <c r="UXZ29" s="609"/>
      <c r="UYA29" s="609"/>
      <c r="UYB29" s="609"/>
      <c r="UYC29" s="609"/>
      <c r="UYD29" s="609"/>
      <c r="UYE29" s="609"/>
      <c r="UYF29" s="609"/>
      <c r="UYG29" s="609"/>
      <c r="UYH29" s="609"/>
      <c r="UYI29" s="609"/>
      <c r="UYJ29" s="609"/>
      <c r="UYK29" s="609"/>
      <c r="UYL29" s="609"/>
      <c r="UYM29" s="609"/>
      <c r="UYN29" s="609"/>
      <c r="UYO29" s="609"/>
      <c r="UYP29" s="609"/>
      <c r="UYQ29" s="609"/>
      <c r="UYR29" s="609"/>
      <c r="UYS29" s="609"/>
      <c r="UYT29" s="609"/>
      <c r="UYU29" s="609"/>
      <c r="UYV29" s="609"/>
      <c r="UYW29" s="609"/>
      <c r="UYX29" s="609"/>
      <c r="UYY29" s="609"/>
      <c r="UYZ29" s="609"/>
      <c r="UZA29" s="609"/>
      <c r="UZB29" s="609"/>
      <c r="UZC29" s="609"/>
      <c r="UZD29" s="609"/>
      <c r="UZE29" s="609"/>
      <c r="UZF29" s="609"/>
      <c r="UZG29" s="609"/>
      <c r="UZH29" s="609"/>
      <c r="UZI29" s="609"/>
      <c r="UZJ29" s="609"/>
      <c r="UZK29" s="609"/>
      <c r="UZL29" s="609"/>
      <c r="UZM29" s="609"/>
      <c r="UZN29" s="609"/>
      <c r="UZO29" s="609"/>
      <c r="UZP29" s="609"/>
      <c r="UZQ29" s="609"/>
      <c r="UZR29" s="609"/>
      <c r="UZS29" s="609"/>
      <c r="UZT29" s="609"/>
      <c r="UZU29" s="609"/>
      <c r="UZV29" s="609"/>
      <c r="UZW29" s="609"/>
      <c r="UZX29" s="609"/>
      <c r="UZY29" s="609"/>
      <c r="UZZ29" s="609"/>
      <c r="VAA29" s="609"/>
      <c r="VAB29" s="609"/>
      <c r="VAC29" s="609"/>
      <c r="VAD29" s="609"/>
      <c r="VAE29" s="609"/>
      <c r="VAF29" s="609"/>
      <c r="VAG29" s="609"/>
      <c r="VAH29" s="609"/>
      <c r="VAI29" s="609"/>
      <c r="VAJ29" s="609"/>
      <c r="VAK29" s="609"/>
      <c r="VAL29" s="609"/>
      <c r="VAM29" s="609"/>
      <c r="VAN29" s="609"/>
      <c r="VAO29" s="609"/>
      <c r="VAP29" s="609"/>
      <c r="VAQ29" s="609"/>
      <c r="VAR29" s="609"/>
      <c r="VAS29" s="609"/>
      <c r="VAT29" s="609"/>
      <c r="VAU29" s="609"/>
      <c r="VAV29" s="609"/>
      <c r="VAW29" s="609"/>
      <c r="VAX29" s="609"/>
      <c r="VAY29" s="609"/>
      <c r="VAZ29" s="609"/>
      <c r="VBA29" s="609"/>
      <c r="VBB29" s="609"/>
      <c r="VBC29" s="609"/>
      <c r="VBD29" s="609"/>
      <c r="VBE29" s="609"/>
      <c r="VBF29" s="609"/>
      <c r="VBG29" s="609"/>
      <c r="VBH29" s="609"/>
      <c r="VBI29" s="609"/>
      <c r="VBJ29" s="609"/>
      <c r="VBK29" s="609"/>
      <c r="VBL29" s="609"/>
      <c r="VBM29" s="609"/>
      <c r="VBN29" s="609"/>
      <c r="VBO29" s="609"/>
      <c r="VBP29" s="609"/>
      <c r="VBQ29" s="609"/>
      <c r="VBR29" s="609"/>
      <c r="VBS29" s="609"/>
      <c r="VBT29" s="609"/>
      <c r="VBU29" s="609"/>
      <c r="VBV29" s="609"/>
      <c r="VBW29" s="609"/>
      <c r="VBX29" s="609"/>
      <c r="VBY29" s="609"/>
      <c r="VBZ29" s="609"/>
      <c r="VCA29" s="609"/>
      <c r="VCB29" s="609"/>
      <c r="VCC29" s="609"/>
      <c r="VCD29" s="609"/>
      <c r="VCE29" s="609"/>
      <c r="VCF29" s="609"/>
      <c r="VCG29" s="609"/>
      <c r="VCH29" s="609"/>
      <c r="VCI29" s="609"/>
      <c r="VCJ29" s="609"/>
      <c r="VCK29" s="609"/>
      <c r="VCL29" s="609"/>
      <c r="VCM29" s="609"/>
      <c r="VCN29" s="609"/>
      <c r="VCO29" s="609"/>
      <c r="VCP29" s="609"/>
      <c r="VCQ29" s="609"/>
      <c r="VCR29" s="609"/>
      <c r="VCS29" s="609"/>
      <c r="VCT29" s="609"/>
      <c r="VCU29" s="609"/>
      <c r="VCV29" s="609"/>
      <c r="VCW29" s="609"/>
      <c r="VCX29" s="609"/>
      <c r="VCY29" s="609"/>
      <c r="VCZ29" s="609"/>
      <c r="VDA29" s="609"/>
      <c r="VDB29" s="609"/>
      <c r="VDC29" s="609"/>
      <c r="VDD29" s="609"/>
      <c r="VDE29" s="609"/>
      <c r="VDF29" s="609"/>
      <c r="VDG29" s="609"/>
      <c r="VDH29" s="609"/>
      <c r="VDI29" s="609"/>
      <c r="VDJ29" s="609"/>
      <c r="VDK29" s="609"/>
      <c r="VDL29" s="609"/>
      <c r="VDM29" s="609"/>
      <c r="VDN29" s="609"/>
      <c r="VDO29" s="609"/>
      <c r="VDP29" s="609"/>
      <c r="VDQ29" s="609"/>
      <c r="VDR29" s="609"/>
      <c r="VDS29" s="609"/>
      <c r="VDT29" s="609"/>
      <c r="VDU29" s="609"/>
      <c r="VDV29" s="609"/>
      <c r="VDW29" s="609"/>
      <c r="VDX29" s="609"/>
      <c r="VDY29" s="609"/>
      <c r="VDZ29" s="609"/>
      <c r="VEA29" s="609"/>
      <c r="VEB29" s="609"/>
      <c r="VEC29" s="609"/>
      <c r="VED29" s="609"/>
      <c r="VEE29" s="609"/>
      <c r="VEF29" s="609"/>
      <c r="VEG29" s="609"/>
      <c r="VEH29" s="609"/>
      <c r="VEI29" s="609"/>
      <c r="VEJ29" s="609"/>
      <c r="VEK29" s="609"/>
      <c r="VEL29" s="609"/>
      <c r="VEM29" s="609"/>
      <c r="VEN29" s="609"/>
      <c r="VEO29" s="609"/>
      <c r="VEP29" s="609"/>
      <c r="VEQ29" s="609"/>
      <c r="VER29" s="609"/>
      <c r="VES29" s="609"/>
      <c r="VET29" s="609"/>
      <c r="VEU29" s="609"/>
      <c r="VEV29" s="609"/>
      <c r="VEW29" s="609"/>
      <c r="VEX29" s="609"/>
      <c r="VEY29" s="609"/>
      <c r="VEZ29" s="609"/>
      <c r="VFA29" s="609"/>
      <c r="VFB29" s="609"/>
      <c r="VFC29" s="609"/>
      <c r="VFD29" s="609"/>
      <c r="VFE29" s="609"/>
      <c r="VFF29" s="609"/>
      <c r="VFG29" s="609"/>
      <c r="VFH29" s="609"/>
      <c r="VFI29" s="609"/>
      <c r="VFJ29" s="609"/>
      <c r="VFK29" s="609"/>
      <c r="VFL29" s="609"/>
      <c r="VFM29" s="609"/>
      <c r="VFN29" s="609"/>
      <c r="VFO29" s="609"/>
      <c r="VFP29" s="609"/>
      <c r="VFQ29" s="609"/>
      <c r="VFR29" s="609"/>
      <c r="VFS29" s="609"/>
      <c r="VFT29" s="609"/>
      <c r="VFU29" s="609"/>
      <c r="VFV29" s="609"/>
      <c r="VFW29" s="609"/>
      <c r="VFX29" s="609"/>
      <c r="VFY29" s="609"/>
      <c r="VFZ29" s="609"/>
      <c r="VGA29" s="609"/>
      <c r="VGB29" s="609"/>
      <c r="VGC29" s="609"/>
      <c r="VGD29" s="609"/>
      <c r="VGE29" s="609"/>
      <c r="VGF29" s="609"/>
      <c r="VGG29" s="609"/>
      <c r="VGH29" s="609"/>
      <c r="VGI29" s="609"/>
      <c r="VGJ29" s="609"/>
      <c r="VGK29" s="609"/>
      <c r="VGL29" s="609"/>
      <c r="VGM29" s="609"/>
      <c r="VGN29" s="609"/>
      <c r="VGO29" s="609"/>
      <c r="VGP29" s="609"/>
      <c r="VGQ29" s="609"/>
      <c r="VGR29" s="609"/>
      <c r="VGS29" s="609"/>
      <c r="VGT29" s="609"/>
      <c r="VGU29" s="609"/>
      <c r="VGV29" s="609"/>
      <c r="VGW29" s="609"/>
      <c r="VGX29" s="609"/>
      <c r="VGY29" s="609"/>
      <c r="VGZ29" s="609"/>
      <c r="VHA29" s="609"/>
      <c r="VHB29" s="609"/>
      <c r="VHC29" s="609"/>
      <c r="VHD29" s="609"/>
      <c r="VHE29" s="609"/>
      <c r="VHF29" s="609"/>
      <c r="VHG29" s="609"/>
      <c r="VHH29" s="609"/>
      <c r="VHI29" s="609"/>
      <c r="VHJ29" s="609"/>
      <c r="VHK29" s="609"/>
      <c r="VHL29" s="609"/>
      <c r="VHM29" s="609"/>
      <c r="VHN29" s="609"/>
      <c r="VHO29" s="609"/>
      <c r="VHP29" s="609"/>
      <c r="VHQ29" s="609"/>
      <c r="VHR29" s="609"/>
      <c r="VHS29" s="609"/>
      <c r="VHT29" s="609"/>
      <c r="VHU29" s="609"/>
      <c r="VHV29" s="609"/>
      <c r="VHW29" s="609"/>
      <c r="VHX29" s="609"/>
      <c r="VHY29" s="609"/>
      <c r="VHZ29" s="609"/>
      <c r="VIA29" s="609"/>
      <c r="VIB29" s="609"/>
      <c r="VIC29" s="609"/>
      <c r="VID29" s="609"/>
      <c r="VIE29" s="609"/>
      <c r="VIF29" s="609"/>
      <c r="VIG29" s="609"/>
      <c r="VIH29" s="609"/>
      <c r="VII29" s="609"/>
      <c r="VIJ29" s="609"/>
      <c r="VIK29" s="609"/>
      <c r="VIL29" s="609"/>
      <c r="VIM29" s="609"/>
      <c r="VIN29" s="609"/>
      <c r="VIO29" s="609"/>
      <c r="VIP29" s="609"/>
      <c r="VIQ29" s="609"/>
      <c r="VIR29" s="609"/>
      <c r="VIS29" s="609"/>
      <c r="VIT29" s="609"/>
      <c r="VIU29" s="609"/>
      <c r="VIV29" s="609"/>
      <c r="VIW29" s="609"/>
      <c r="VIX29" s="609"/>
      <c r="VIY29" s="609"/>
      <c r="VIZ29" s="609"/>
      <c r="VJA29" s="609"/>
      <c r="VJB29" s="609"/>
      <c r="VJC29" s="609"/>
      <c r="VJD29" s="609"/>
      <c r="VJE29" s="609"/>
      <c r="VJF29" s="609"/>
      <c r="VJG29" s="609"/>
      <c r="VJH29" s="609"/>
      <c r="VJI29" s="609"/>
      <c r="VJJ29" s="609"/>
      <c r="VJK29" s="609"/>
      <c r="VJL29" s="609"/>
      <c r="VJM29" s="609"/>
      <c r="VJN29" s="609"/>
      <c r="VJO29" s="609"/>
      <c r="VJP29" s="609"/>
      <c r="VJQ29" s="609"/>
      <c r="VJR29" s="609"/>
      <c r="VJS29" s="609"/>
      <c r="VJT29" s="609"/>
      <c r="VJU29" s="609"/>
      <c r="VJV29" s="609"/>
      <c r="VJW29" s="609"/>
      <c r="VJX29" s="609"/>
      <c r="VJY29" s="609"/>
      <c r="VJZ29" s="609"/>
      <c r="VKA29" s="609"/>
      <c r="VKB29" s="609"/>
      <c r="VKC29" s="609"/>
      <c r="VKD29" s="609"/>
      <c r="VKE29" s="609"/>
      <c r="VKF29" s="609"/>
      <c r="VKG29" s="609"/>
      <c r="VKH29" s="609"/>
      <c r="VKI29" s="609"/>
      <c r="VKJ29" s="609"/>
      <c r="VKK29" s="609"/>
      <c r="VKL29" s="609"/>
      <c r="VKM29" s="609"/>
      <c r="VKN29" s="609"/>
      <c r="VKO29" s="609"/>
      <c r="VKP29" s="609"/>
      <c r="VKQ29" s="609"/>
      <c r="VKR29" s="609"/>
      <c r="VKS29" s="609"/>
      <c r="VKT29" s="609"/>
      <c r="VKU29" s="609"/>
      <c r="VKV29" s="609"/>
      <c r="VKW29" s="609"/>
      <c r="VKX29" s="609"/>
      <c r="VKY29" s="609"/>
      <c r="VKZ29" s="609"/>
      <c r="VLA29" s="609"/>
      <c r="VLB29" s="609"/>
      <c r="VLC29" s="609"/>
      <c r="VLD29" s="609"/>
      <c r="VLE29" s="609"/>
      <c r="VLF29" s="609"/>
      <c r="VLG29" s="609"/>
      <c r="VLH29" s="609"/>
      <c r="VLI29" s="609"/>
      <c r="VLJ29" s="609"/>
      <c r="VLK29" s="609"/>
      <c r="VLL29" s="609"/>
      <c r="VLM29" s="609"/>
      <c r="VLN29" s="609"/>
      <c r="VLO29" s="609"/>
      <c r="VLP29" s="609"/>
      <c r="VLQ29" s="609"/>
      <c r="VLR29" s="609"/>
      <c r="VLS29" s="609"/>
      <c r="VLT29" s="609"/>
      <c r="VLU29" s="609"/>
      <c r="VLV29" s="609"/>
      <c r="VLW29" s="609"/>
      <c r="VLX29" s="609"/>
      <c r="VLY29" s="609"/>
      <c r="VLZ29" s="609"/>
      <c r="VMA29" s="609"/>
      <c r="VMB29" s="609"/>
      <c r="VMC29" s="609"/>
      <c r="VMD29" s="609"/>
      <c r="VME29" s="609"/>
      <c r="VMF29" s="609"/>
      <c r="VMG29" s="609"/>
      <c r="VMH29" s="609"/>
      <c r="VMI29" s="609"/>
      <c r="VMJ29" s="609"/>
      <c r="VMK29" s="609"/>
      <c r="VML29" s="609"/>
      <c r="VMM29" s="609"/>
      <c r="VMN29" s="609"/>
      <c r="VMO29" s="609"/>
      <c r="VMP29" s="609"/>
      <c r="VMQ29" s="609"/>
      <c r="VMR29" s="609"/>
      <c r="VMS29" s="609"/>
      <c r="VMT29" s="609"/>
      <c r="VMU29" s="609"/>
      <c r="VMV29" s="609"/>
      <c r="VMW29" s="609"/>
      <c r="VMX29" s="609"/>
      <c r="VMY29" s="609"/>
      <c r="VMZ29" s="609"/>
      <c r="VNA29" s="609"/>
      <c r="VNB29" s="609"/>
      <c r="VNC29" s="609"/>
      <c r="VND29" s="609"/>
      <c r="VNE29" s="609"/>
      <c r="VNF29" s="609"/>
      <c r="VNG29" s="609"/>
      <c r="VNH29" s="609"/>
      <c r="VNI29" s="609"/>
      <c r="VNJ29" s="609"/>
      <c r="VNK29" s="609"/>
      <c r="VNL29" s="609"/>
      <c r="VNM29" s="609"/>
      <c r="VNN29" s="609"/>
      <c r="VNO29" s="609"/>
      <c r="VNP29" s="609"/>
      <c r="VNQ29" s="609"/>
      <c r="VNR29" s="609"/>
      <c r="VNS29" s="609"/>
      <c r="VNT29" s="609"/>
      <c r="VNU29" s="609"/>
      <c r="VNV29" s="609"/>
      <c r="VNW29" s="609"/>
      <c r="VNX29" s="609"/>
      <c r="VNY29" s="609"/>
      <c r="VNZ29" s="609"/>
      <c r="VOA29" s="609"/>
      <c r="VOB29" s="609"/>
      <c r="VOC29" s="609"/>
      <c r="VOD29" s="609"/>
      <c r="VOE29" s="609"/>
      <c r="VOF29" s="609"/>
      <c r="VOG29" s="609"/>
      <c r="VOH29" s="609"/>
      <c r="VOI29" s="609"/>
      <c r="VOJ29" s="609"/>
      <c r="VOK29" s="609"/>
      <c r="VOL29" s="609"/>
      <c r="VOM29" s="609"/>
      <c r="VON29" s="609"/>
      <c r="VOO29" s="609"/>
      <c r="VOP29" s="609"/>
      <c r="VOQ29" s="609"/>
      <c r="VOR29" s="609"/>
      <c r="VOS29" s="609"/>
      <c r="VOT29" s="609"/>
      <c r="VOU29" s="609"/>
      <c r="VOV29" s="609"/>
      <c r="VOW29" s="609"/>
      <c r="VOX29" s="609"/>
      <c r="VOY29" s="609"/>
      <c r="VOZ29" s="609"/>
      <c r="VPA29" s="609"/>
      <c r="VPB29" s="609"/>
      <c r="VPC29" s="609"/>
      <c r="VPD29" s="609"/>
      <c r="VPE29" s="609"/>
      <c r="VPF29" s="609"/>
      <c r="VPG29" s="609"/>
      <c r="VPH29" s="609"/>
      <c r="VPI29" s="609"/>
      <c r="VPJ29" s="609"/>
      <c r="VPK29" s="609"/>
      <c r="VPL29" s="609"/>
      <c r="VPM29" s="609"/>
      <c r="VPN29" s="609"/>
      <c r="VPO29" s="609"/>
      <c r="VPP29" s="609"/>
      <c r="VPQ29" s="609"/>
      <c r="VPR29" s="609"/>
      <c r="VPS29" s="609"/>
      <c r="VPT29" s="609"/>
      <c r="VPU29" s="609"/>
      <c r="VPV29" s="609"/>
      <c r="VPW29" s="609"/>
      <c r="VPX29" s="609"/>
      <c r="VPY29" s="609"/>
      <c r="VPZ29" s="609"/>
      <c r="VQA29" s="609"/>
      <c r="VQB29" s="609"/>
      <c r="VQC29" s="609"/>
      <c r="VQD29" s="609"/>
      <c r="VQE29" s="609"/>
      <c r="VQF29" s="609"/>
      <c r="VQG29" s="609"/>
      <c r="VQH29" s="609"/>
      <c r="VQI29" s="609"/>
      <c r="VQJ29" s="609"/>
      <c r="VQK29" s="609"/>
      <c r="VQL29" s="609"/>
      <c r="VQM29" s="609"/>
      <c r="VQN29" s="609"/>
      <c r="VQO29" s="609"/>
      <c r="VQP29" s="609"/>
      <c r="VQQ29" s="609"/>
      <c r="VQR29" s="609"/>
      <c r="VQS29" s="609"/>
      <c r="VQT29" s="609"/>
      <c r="VQU29" s="609"/>
      <c r="VQV29" s="609"/>
      <c r="VQW29" s="609"/>
      <c r="VQX29" s="609"/>
      <c r="VQY29" s="609"/>
      <c r="VQZ29" s="609"/>
      <c r="VRA29" s="609"/>
      <c r="VRB29" s="609"/>
      <c r="VRC29" s="609"/>
      <c r="VRD29" s="609"/>
      <c r="VRE29" s="609"/>
      <c r="VRF29" s="609"/>
      <c r="VRG29" s="609"/>
      <c r="VRH29" s="609"/>
      <c r="VRI29" s="609"/>
      <c r="VRJ29" s="609"/>
      <c r="VRK29" s="609"/>
      <c r="VRL29" s="609"/>
      <c r="VRM29" s="609"/>
      <c r="VRN29" s="609"/>
      <c r="VRO29" s="609"/>
      <c r="VRP29" s="609"/>
      <c r="VRQ29" s="609"/>
      <c r="VRR29" s="609"/>
      <c r="VRS29" s="609"/>
      <c r="VRT29" s="609"/>
      <c r="VRU29" s="609"/>
      <c r="VRV29" s="609"/>
      <c r="VRW29" s="609"/>
      <c r="VRX29" s="609"/>
      <c r="VRY29" s="609"/>
      <c r="VRZ29" s="609"/>
      <c r="VSA29" s="609"/>
      <c r="VSB29" s="609"/>
      <c r="VSC29" s="609"/>
      <c r="VSD29" s="609"/>
      <c r="VSE29" s="609"/>
      <c r="VSF29" s="609"/>
      <c r="VSG29" s="609"/>
      <c r="VSH29" s="609"/>
      <c r="VSI29" s="609"/>
      <c r="VSJ29" s="609"/>
      <c r="VSK29" s="609"/>
      <c r="VSL29" s="609"/>
      <c r="VSM29" s="609"/>
      <c r="VSN29" s="609"/>
      <c r="VSO29" s="609"/>
      <c r="VSP29" s="609"/>
      <c r="VSQ29" s="609"/>
      <c r="VSR29" s="609"/>
      <c r="VSS29" s="609"/>
      <c r="VST29" s="609"/>
      <c r="VSU29" s="609"/>
      <c r="VSV29" s="609"/>
      <c r="VSW29" s="609"/>
      <c r="VSX29" s="609"/>
      <c r="VSY29" s="609"/>
      <c r="VSZ29" s="609"/>
      <c r="VTA29" s="609"/>
      <c r="VTB29" s="609"/>
      <c r="VTC29" s="609"/>
      <c r="VTD29" s="609"/>
      <c r="VTE29" s="609"/>
      <c r="VTF29" s="609"/>
      <c r="VTG29" s="609"/>
      <c r="VTH29" s="609"/>
      <c r="VTI29" s="609"/>
      <c r="VTJ29" s="609"/>
      <c r="VTK29" s="609"/>
      <c r="VTL29" s="609"/>
      <c r="VTM29" s="609"/>
      <c r="VTN29" s="609"/>
      <c r="VTO29" s="609"/>
      <c r="VTP29" s="609"/>
      <c r="VTQ29" s="609"/>
      <c r="VTR29" s="609"/>
      <c r="VTS29" s="609"/>
      <c r="VTT29" s="609"/>
      <c r="VTU29" s="609"/>
      <c r="VTV29" s="609"/>
      <c r="VTW29" s="609"/>
      <c r="VTX29" s="609"/>
      <c r="VTY29" s="609"/>
      <c r="VTZ29" s="609"/>
      <c r="VUA29" s="609"/>
      <c r="VUB29" s="609"/>
      <c r="VUC29" s="609"/>
      <c r="VUD29" s="609"/>
      <c r="VUE29" s="609"/>
      <c r="VUF29" s="609"/>
      <c r="VUG29" s="609"/>
      <c r="VUH29" s="609"/>
      <c r="VUI29" s="609"/>
      <c r="VUJ29" s="609"/>
      <c r="VUK29" s="609"/>
      <c r="VUL29" s="609"/>
      <c r="VUM29" s="609"/>
      <c r="VUN29" s="609"/>
      <c r="VUO29" s="609"/>
      <c r="VUP29" s="609"/>
      <c r="VUQ29" s="609"/>
      <c r="VUR29" s="609"/>
      <c r="VUS29" s="609"/>
      <c r="VUT29" s="609"/>
      <c r="VUU29" s="609"/>
      <c r="VUV29" s="609"/>
      <c r="VUW29" s="609"/>
      <c r="VUX29" s="609"/>
      <c r="VUY29" s="609"/>
      <c r="VUZ29" s="609"/>
      <c r="VVA29" s="609"/>
      <c r="VVB29" s="609"/>
      <c r="VVC29" s="609"/>
      <c r="VVD29" s="609"/>
      <c r="VVE29" s="609"/>
      <c r="VVF29" s="609"/>
      <c r="VVG29" s="609"/>
      <c r="VVH29" s="609"/>
      <c r="VVI29" s="609"/>
      <c r="VVJ29" s="609"/>
      <c r="VVK29" s="609"/>
      <c r="VVL29" s="609"/>
      <c r="VVM29" s="609"/>
      <c r="VVN29" s="609"/>
      <c r="VVO29" s="609"/>
      <c r="VVP29" s="609"/>
      <c r="VVQ29" s="609"/>
      <c r="VVR29" s="609"/>
      <c r="VVS29" s="609"/>
      <c r="VVT29" s="609"/>
      <c r="VVU29" s="609"/>
      <c r="VVV29" s="609"/>
      <c r="VVW29" s="609"/>
      <c r="VVX29" s="609"/>
      <c r="VVY29" s="609"/>
      <c r="VVZ29" s="609"/>
      <c r="VWA29" s="609"/>
      <c r="VWB29" s="609"/>
      <c r="VWC29" s="609"/>
      <c r="VWD29" s="609"/>
      <c r="VWE29" s="609"/>
      <c r="VWF29" s="609"/>
      <c r="VWG29" s="609"/>
      <c r="VWH29" s="609"/>
      <c r="VWI29" s="609"/>
      <c r="VWJ29" s="609"/>
      <c r="VWK29" s="609"/>
      <c r="VWL29" s="609"/>
      <c r="VWM29" s="609"/>
      <c r="VWN29" s="609"/>
      <c r="VWO29" s="609"/>
      <c r="VWP29" s="609"/>
      <c r="VWQ29" s="609"/>
      <c r="VWR29" s="609"/>
      <c r="VWS29" s="609"/>
      <c r="VWT29" s="609"/>
      <c r="VWU29" s="609"/>
      <c r="VWV29" s="609"/>
      <c r="VWW29" s="609"/>
      <c r="VWX29" s="609"/>
      <c r="VWY29" s="609"/>
      <c r="VWZ29" s="609"/>
      <c r="VXA29" s="609"/>
      <c r="VXB29" s="609"/>
      <c r="VXC29" s="609"/>
      <c r="VXD29" s="609"/>
      <c r="VXE29" s="609"/>
      <c r="VXF29" s="609"/>
      <c r="VXG29" s="609"/>
      <c r="VXH29" s="609"/>
      <c r="VXI29" s="609"/>
      <c r="VXJ29" s="609"/>
      <c r="VXK29" s="609"/>
      <c r="VXL29" s="609"/>
      <c r="VXM29" s="609"/>
      <c r="VXN29" s="609"/>
      <c r="VXO29" s="609"/>
      <c r="VXP29" s="609"/>
      <c r="VXQ29" s="609"/>
      <c r="VXR29" s="609"/>
      <c r="VXS29" s="609"/>
      <c r="VXT29" s="609"/>
      <c r="VXU29" s="609"/>
      <c r="VXV29" s="609"/>
      <c r="VXW29" s="609"/>
      <c r="VXX29" s="609"/>
      <c r="VXY29" s="609"/>
      <c r="VXZ29" s="609"/>
      <c r="VYA29" s="609"/>
      <c r="VYB29" s="609"/>
      <c r="VYC29" s="609"/>
      <c r="VYD29" s="609"/>
      <c r="VYE29" s="609"/>
      <c r="VYF29" s="609"/>
      <c r="VYG29" s="609"/>
      <c r="VYH29" s="609"/>
      <c r="VYI29" s="609"/>
      <c r="VYJ29" s="609"/>
      <c r="VYK29" s="609"/>
      <c r="VYL29" s="609"/>
      <c r="VYM29" s="609"/>
      <c r="VYN29" s="609"/>
      <c r="VYO29" s="609"/>
      <c r="VYP29" s="609"/>
      <c r="VYQ29" s="609"/>
      <c r="VYR29" s="609"/>
      <c r="VYS29" s="609"/>
      <c r="VYT29" s="609"/>
      <c r="VYU29" s="609"/>
      <c r="VYV29" s="609"/>
      <c r="VYW29" s="609"/>
      <c r="VYX29" s="609"/>
      <c r="VYY29" s="609"/>
      <c r="VYZ29" s="609"/>
      <c r="VZA29" s="609"/>
      <c r="VZB29" s="609"/>
      <c r="VZC29" s="609"/>
      <c r="VZD29" s="609"/>
      <c r="VZE29" s="609"/>
      <c r="VZF29" s="609"/>
      <c r="VZG29" s="609"/>
      <c r="VZH29" s="609"/>
      <c r="VZI29" s="609"/>
      <c r="VZJ29" s="609"/>
      <c r="VZK29" s="609"/>
      <c r="VZL29" s="609"/>
      <c r="VZM29" s="609"/>
      <c r="VZN29" s="609"/>
      <c r="VZO29" s="609"/>
      <c r="VZP29" s="609"/>
      <c r="VZQ29" s="609"/>
      <c r="VZR29" s="609"/>
      <c r="VZS29" s="609"/>
      <c r="VZT29" s="609"/>
      <c r="VZU29" s="609"/>
      <c r="VZV29" s="609"/>
      <c r="VZW29" s="609"/>
      <c r="VZX29" s="609"/>
      <c r="VZY29" s="609"/>
      <c r="VZZ29" s="609"/>
      <c r="WAA29" s="609"/>
      <c r="WAB29" s="609"/>
      <c r="WAC29" s="609"/>
      <c r="WAD29" s="609"/>
      <c r="WAE29" s="609"/>
      <c r="WAF29" s="609"/>
      <c r="WAG29" s="609"/>
      <c r="WAH29" s="609"/>
      <c r="WAI29" s="609"/>
      <c r="WAJ29" s="609"/>
      <c r="WAK29" s="609"/>
      <c r="WAL29" s="609"/>
      <c r="WAM29" s="609"/>
      <c r="WAN29" s="609"/>
      <c r="WAO29" s="609"/>
      <c r="WAP29" s="609"/>
      <c r="WAQ29" s="609"/>
      <c r="WAR29" s="609"/>
      <c r="WAS29" s="609"/>
      <c r="WAT29" s="609"/>
      <c r="WAU29" s="609"/>
      <c r="WAV29" s="609"/>
      <c r="WAW29" s="609"/>
      <c r="WAX29" s="609"/>
      <c r="WAY29" s="609"/>
      <c r="WAZ29" s="609"/>
      <c r="WBA29" s="609"/>
      <c r="WBB29" s="609"/>
      <c r="WBC29" s="609"/>
      <c r="WBD29" s="609"/>
      <c r="WBE29" s="609"/>
      <c r="WBF29" s="609"/>
      <c r="WBG29" s="609"/>
      <c r="WBH29" s="609"/>
      <c r="WBI29" s="609"/>
      <c r="WBJ29" s="609"/>
      <c r="WBK29" s="609"/>
      <c r="WBL29" s="609"/>
      <c r="WBM29" s="609"/>
      <c r="WBN29" s="609"/>
      <c r="WBO29" s="609"/>
      <c r="WBP29" s="609"/>
      <c r="WBQ29" s="609"/>
      <c r="WBR29" s="609"/>
      <c r="WBS29" s="609"/>
      <c r="WBT29" s="609"/>
      <c r="WBU29" s="609"/>
      <c r="WBV29" s="609"/>
      <c r="WBW29" s="609"/>
      <c r="WBX29" s="609"/>
      <c r="WBY29" s="609"/>
      <c r="WBZ29" s="609"/>
      <c r="WCA29" s="609"/>
      <c r="WCB29" s="609"/>
      <c r="WCC29" s="609"/>
      <c r="WCD29" s="609"/>
      <c r="WCE29" s="609"/>
      <c r="WCF29" s="609"/>
      <c r="WCG29" s="609"/>
      <c r="WCH29" s="609"/>
      <c r="WCI29" s="609"/>
      <c r="WCJ29" s="609"/>
      <c r="WCK29" s="609"/>
      <c r="WCL29" s="609"/>
      <c r="WCM29" s="609"/>
      <c r="WCN29" s="609"/>
      <c r="WCO29" s="609"/>
      <c r="WCP29" s="609"/>
      <c r="WCQ29" s="609"/>
      <c r="WCR29" s="609"/>
      <c r="WCS29" s="609"/>
      <c r="WCT29" s="609"/>
      <c r="WCU29" s="609"/>
      <c r="WCV29" s="609"/>
      <c r="WCW29" s="609"/>
      <c r="WCX29" s="609"/>
      <c r="WCY29" s="609"/>
      <c r="WCZ29" s="609"/>
      <c r="WDA29" s="609"/>
      <c r="WDB29" s="609"/>
      <c r="WDC29" s="609"/>
      <c r="WDD29" s="609"/>
      <c r="WDE29" s="609"/>
      <c r="WDF29" s="609"/>
      <c r="WDG29" s="609"/>
      <c r="WDH29" s="609"/>
      <c r="WDI29" s="609"/>
      <c r="WDJ29" s="609"/>
      <c r="WDK29" s="609"/>
      <c r="WDL29" s="609"/>
      <c r="WDM29" s="609"/>
      <c r="WDN29" s="609"/>
      <c r="WDO29" s="609"/>
      <c r="WDP29" s="609"/>
      <c r="WDQ29" s="609"/>
      <c r="WDR29" s="609"/>
      <c r="WDS29" s="609"/>
      <c r="WDT29" s="609"/>
      <c r="WDU29" s="609"/>
      <c r="WDV29" s="609"/>
      <c r="WDW29" s="609"/>
      <c r="WDX29" s="609"/>
      <c r="WDY29" s="609"/>
      <c r="WDZ29" s="609"/>
      <c r="WEA29" s="609"/>
      <c r="WEB29" s="609"/>
      <c r="WEC29" s="609"/>
      <c r="WED29" s="609"/>
      <c r="WEE29" s="609"/>
      <c r="WEF29" s="609"/>
      <c r="WEG29" s="609"/>
      <c r="WEH29" s="609"/>
      <c r="WEI29" s="609"/>
      <c r="WEJ29" s="609"/>
      <c r="WEK29" s="609"/>
      <c r="WEL29" s="609"/>
      <c r="WEM29" s="609"/>
      <c r="WEN29" s="609"/>
      <c r="WEO29" s="609"/>
      <c r="WEP29" s="609"/>
      <c r="WEQ29" s="609"/>
      <c r="WER29" s="609"/>
      <c r="WES29" s="609"/>
      <c r="WET29" s="609"/>
      <c r="WEU29" s="609"/>
      <c r="WEV29" s="609"/>
      <c r="WEW29" s="609"/>
      <c r="WEX29" s="609"/>
      <c r="WEY29" s="609"/>
      <c r="WEZ29" s="609"/>
      <c r="WFA29" s="609"/>
      <c r="WFB29" s="609"/>
      <c r="WFC29" s="609"/>
      <c r="WFD29" s="609"/>
      <c r="WFE29" s="609"/>
      <c r="WFF29" s="609"/>
      <c r="WFG29" s="609"/>
      <c r="WFH29" s="609"/>
      <c r="WFI29" s="609"/>
      <c r="WFJ29" s="609"/>
      <c r="WFK29" s="609"/>
      <c r="WFL29" s="609"/>
      <c r="WFM29" s="609"/>
      <c r="WFN29" s="609"/>
      <c r="WFO29" s="609"/>
      <c r="WFP29" s="609"/>
      <c r="WFQ29" s="609"/>
      <c r="WFR29" s="609"/>
      <c r="WFS29" s="609"/>
      <c r="WFT29" s="609"/>
      <c r="WFU29" s="609"/>
      <c r="WFV29" s="609"/>
      <c r="WFW29" s="609"/>
      <c r="WFX29" s="609"/>
      <c r="WFY29" s="609"/>
      <c r="WFZ29" s="609"/>
      <c r="WGA29" s="609"/>
      <c r="WGB29" s="609"/>
      <c r="WGC29" s="609"/>
      <c r="WGD29" s="609"/>
      <c r="WGE29" s="609"/>
      <c r="WGF29" s="609"/>
      <c r="WGG29" s="609"/>
      <c r="WGH29" s="609"/>
      <c r="WGI29" s="609"/>
      <c r="WGJ29" s="609"/>
      <c r="WGK29" s="609"/>
      <c r="WGL29" s="609"/>
      <c r="WGM29" s="609"/>
      <c r="WGN29" s="609"/>
      <c r="WGO29" s="609"/>
      <c r="WGP29" s="609"/>
      <c r="WGQ29" s="609"/>
      <c r="WGR29" s="609"/>
      <c r="WGS29" s="609"/>
      <c r="WGT29" s="609"/>
      <c r="WGU29" s="609"/>
      <c r="WGV29" s="609"/>
      <c r="WGW29" s="609"/>
      <c r="WGX29" s="609"/>
      <c r="WGY29" s="609"/>
      <c r="WGZ29" s="609"/>
      <c r="WHA29" s="609"/>
      <c r="WHB29" s="609"/>
      <c r="WHC29" s="609"/>
      <c r="WHD29" s="609"/>
      <c r="WHE29" s="609"/>
      <c r="WHF29" s="609"/>
      <c r="WHG29" s="609"/>
      <c r="WHH29" s="609"/>
      <c r="WHI29" s="609"/>
      <c r="WHJ29" s="609"/>
      <c r="WHK29" s="609"/>
      <c r="WHL29" s="609"/>
      <c r="WHM29" s="609"/>
      <c r="WHN29" s="609"/>
      <c r="WHO29" s="609"/>
      <c r="WHP29" s="609"/>
      <c r="WHQ29" s="609"/>
      <c r="WHR29" s="609"/>
      <c r="WHS29" s="609"/>
      <c r="WHT29" s="609"/>
      <c r="WHU29" s="609"/>
      <c r="WHV29" s="609"/>
      <c r="WHW29" s="609"/>
      <c r="WHX29" s="609"/>
      <c r="WHY29" s="609"/>
      <c r="WHZ29" s="609"/>
      <c r="WIA29" s="609"/>
      <c r="WIB29" s="609"/>
      <c r="WIC29" s="609"/>
      <c r="WID29" s="609"/>
      <c r="WIE29" s="609"/>
      <c r="WIF29" s="609"/>
      <c r="WIG29" s="609"/>
      <c r="WIH29" s="609"/>
      <c r="WII29" s="609"/>
      <c r="WIJ29" s="609"/>
      <c r="WIK29" s="609"/>
      <c r="WIL29" s="609"/>
      <c r="WIM29" s="609"/>
      <c r="WIN29" s="609"/>
      <c r="WIO29" s="609"/>
      <c r="WIP29" s="609"/>
      <c r="WIQ29" s="609"/>
      <c r="WIR29" s="609"/>
      <c r="WIS29" s="609"/>
      <c r="WIT29" s="609"/>
      <c r="WIU29" s="609"/>
      <c r="WIV29" s="609"/>
      <c r="WIW29" s="609"/>
      <c r="WIX29" s="609"/>
      <c r="WIY29" s="609"/>
      <c r="WIZ29" s="609"/>
      <c r="WJA29" s="609"/>
      <c r="WJB29" s="609"/>
      <c r="WJC29" s="609"/>
      <c r="WJD29" s="609"/>
      <c r="WJE29" s="609"/>
      <c r="WJF29" s="609"/>
      <c r="WJG29" s="609"/>
      <c r="WJH29" s="609"/>
      <c r="WJI29" s="609"/>
      <c r="WJJ29" s="609"/>
      <c r="WJK29" s="609"/>
      <c r="WJL29" s="609"/>
      <c r="WJM29" s="609"/>
      <c r="WJN29" s="609"/>
      <c r="WJO29" s="609"/>
      <c r="WJP29" s="609"/>
      <c r="WJQ29" s="609"/>
      <c r="WJR29" s="609"/>
      <c r="WJS29" s="609"/>
      <c r="WJT29" s="609"/>
      <c r="WJU29" s="609"/>
      <c r="WJV29" s="609"/>
      <c r="WJW29" s="609"/>
      <c r="WJX29" s="609"/>
      <c r="WJY29" s="609"/>
      <c r="WJZ29" s="609"/>
      <c r="WKA29" s="609"/>
      <c r="WKB29" s="609"/>
      <c r="WKC29" s="609"/>
      <c r="WKD29" s="609"/>
      <c r="WKE29" s="609"/>
      <c r="WKF29" s="609"/>
      <c r="WKG29" s="609"/>
      <c r="WKH29" s="609"/>
      <c r="WKI29" s="609"/>
      <c r="WKJ29" s="609"/>
      <c r="WKK29" s="609"/>
      <c r="WKL29" s="609"/>
      <c r="WKM29" s="609"/>
      <c r="WKN29" s="609"/>
      <c r="WKO29" s="609"/>
      <c r="WKP29" s="609"/>
      <c r="WKQ29" s="609"/>
      <c r="WKR29" s="609"/>
      <c r="WKS29" s="609"/>
      <c r="WKT29" s="609"/>
      <c r="WKU29" s="609"/>
      <c r="WKV29" s="609"/>
      <c r="WKW29" s="609"/>
      <c r="WKX29" s="609"/>
      <c r="WKY29" s="609"/>
      <c r="WKZ29" s="609"/>
      <c r="WLA29" s="609"/>
      <c r="WLB29" s="609"/>
      <c r="WLC29" s="609"/>
      <c r="WLD29" s="609"/>
      <c r="WLE29" s="609"/>
      <c r="WLF29" s="609"/>
      <c r="WLG29" s="609"/>
      <c r="WLH29" s="609"/>
      <c r="WLI29" s="609"/>
      <c r="WLJ29" s="609"/>
      <c r="WLK29" s="609"/>
      <c r="WLL29" s="609"/>
      <c r="WLM29" s="609"/>
      <c r="WLN29" s="609"/>
      <c r="WLO29" s="609"/>
      <c r="WLP29" s="609"/>
      <c r="WLQ29" s="609"/>
      <c r="WLR29" s="609"/>
      <c r="WLS29" s="609"/>
      <c r="WLT29" s="609"/>
      <c r="WLU29" s="609"/>
      <c r="WLV29" s="609"/>
      <c r="WLW29" s="609"/>
      <c r="WLX29" s="609"/>
      <c r="WLY29" s="609"/>
      <c r="WLZ29" s="609"/>
      <c r="WMA29" s="609"/>
      <c r="WMB29" s="609"/>
      <c r="WMC29" s="609"/>
      <c r="WMD29" s="609"/>
      <c r="WME29" s="609"/>
      <c r="WMF29" s="609"/>
      <c r="WMG29" s="609"/>
      <c r="WMH29" s="609"/>
      <c r="WMI29" s="609"/>
      <c r="WMJ29" s="609"/>
      <c r="WMK29" s="609"/>
      <c r="WML29" s="609"/>
      <c r="WMM29" s="609"/>
      <c r="WMN29" s="609"/>
      <c r="WMO29" s="609"/>
      <c r="WMP29" s="609"/>
      <c r="WMQ29" s="609"/>
      <c r="WMR29" s="609"/>
      <c r="WMS29" s="609"/>
      <c r="WMT29" s="609"/>
      <c r="WMU29" s="609"/>
      <c r="WMV29" s="609"/>
      <c r="WMW29" s="609"/>
      <c r="WMX29" s="609"/>
      <c r="WMY29" s="609"/>
      <c r="WMZ29" s="609"/>
      <c r="WNA29" s="609"/>
      <c r="WNB29" s="609"/>
      <c r="WNC29" s="609"/>
      <c r="WND29" s="609"/>
      <c r="WNE29" s="609"/>
      <c r="WNF29" s="609"/>
      <c r="WNG29" s="609"/>
      <c r="WNH29" s="609"/>
      <c r="WNI29" s="609"/>
      <c r="WNJ29" s="609"/>
      <c r="WNK29" s="609"/>
      <c r="WNL29" s="609"/>
      <c r="WNM29" s="609"/>
      <c r="WNN29" s="609"/>
      <c r="WNO29" s="609"/>
      <c r="WNP29" s="609"/>
      <c r="WNQ29" s="609"/>
      <c r="WNR29" s="609"/>
      <c r="WNS29" s="609"/>
      <c r="WNT29" s="609"/>
      <c r="WNU29" s="609"/>
      <c r="WNV29" s="609"/>
      <c r="WNW29" s="609"/>
      <c r="WNX29" s="609"/>
      <c r="WNY29" s="609"/>
      <c r="WNZ29" s="609"/>
      <c r="WOA29" s="609"/>
      <c r="WOB29" s="609"/>
      <c r="WOC29" s="609"/>
      <c r="WOD29" s="609"/>
      <c r="WOE29" s="609"/>
      <c r="WOF29" s="609"/>
      <c r="WOG29" s="609"/>
      <c r="WOH29" s="609"/>
      <c r="WOI29" s="609"/>
      <c r="WOJ29" s="609"/>
      <c r="WOK29" s="609"/>
      <c r="WOL29" s="609"/>
      <c r="WOM29" s="609"/>
      <c r="WON29" s="609"/>
      <c r="WOO29" s="609"/>
      <c r="WOP29" s="609"/>
      <c r="WOQ29" s="609"/>
      <c r="WOR29" s="609"/>
      <c r="WOS29" s="609"/>
      <c r="WOT29" s="609"/>
      <c r="WOU29" s="609"/>
      <c r="WOV29" s="609"/>
      <c r="WOW29" s="609"/>
      <c r="WOX29" s="609"/>
      <c r="WOY29" s="609"/>
      <c r="WOZ29" s="609"/>
      <c r="WPA29" s="609"/>
      <c r="WPB29" s="609"/>
      <c r="WPC29" s="609"/>
      <c r="WPD29" s="609"/>
      <c r="WPE29" s="609"/>
      <c r="WPF29" s="609"/>
      <c r="WPG29" s="609"/>
      <c r="WPH29" s="609"/>
      <c r="WPI29" s="609"/>
      <c r="WPJ29" s="609"/>
      <c r="WPK29" s="609"/>
      <c r="WPL29" s="609"/>
      <c r="WPM29" s="609"/>
      <c r="WPN29" s="609"/>
      <c r="WPO29" s="609"/>
      <c r="WPP29" s="609"/>
      <c r="WPQ29" s="609"/>
      <c r="WPR29" s="609"/>
      <c r="WPS29" s="609"/>
      <c r="WPT29" s="609"/>
      <c r="WPU29" s="609"/>
      <c r="WPV29" s="609"/>
      <c r="WPW29" s="609"/>
      <c r="WPX29" s="609"/>
      <c r="WPY29" s="609"/>
      <c r="WPZ29" s="609"/>
      <c r="WQA29" s="609"/>
      <c r="WQB29" s="609"/>
      <c r="WQC29" s="609"/>
      <c r="WQD29" s="609"/>
      <c r="WQE29" s="609"/>
      <c r="WQF29" s="609"/>
      <c r="WQG29" s="609"/>
      <c r="WQH29" s="609"/>
      <c r="WQI29" s="609"/>
      <c r="WQJ29" s="609"/>
      <c r="WQK29" s="609"/>
      <c r="WQL29" s="609"/>
      <c r="WQM29" s="609"/>
      <c r="WQN29" s="609"/>
      <c r="WQO29" s="609"/>
      <c r="WQP29" s="609"/>
      <c r="WQQ29" s="609"/>
      <c r="WQR29" s="609"/>
      <c r="WQS29" s="609"/>
      <c r="WQT29" s="609"/>
      <c r="WQU29" s="609"/>
      <c r="WQV29" s="609"/>
      <c r="WQW29" s="609"/>
      <c r="WQX29" s="609"/>
      <c r="WQY29" s="609"/>
      <c r="WQZ29" s="609"/>
      <c r="WRA29" s="609"/>
      <c r="WRB29" s="609"/>
      <c r="WRC29" s="609"/>
      <c r="WRD29" s="609"/>
      <c r="WRE29" s="609"/>
      <c r="WRF29" s="609"/>
      <c r="WRG29" s="609"/>
      <c r="WRH29" s="609"/>
      <c r="WRI29" s="609"/>
      <c r="WRJ29" s="609"/>
      <c r="WRK29" s="609"/>
      <c r="WRL29" s="609"/>
      <c r="WRM29" s="609"/>
      <c r="WRN29" s="609"/>
      <c r="WRO29" s="609"/>
      <c r="WRP29" s="609"/>
      <c r="WRQ29" s="609"/>
      <c r="WRR29" s="609"/>
      <c r="WRS29" s="609"/>
      <c r="WRT29" s="609"/>
      <c r="WRU29" s="609"/>
      <c r="WRV29" s="609"/>
      <c r="WRW29" s="609"/>
      <c r="WRX29" s="609"/>
      <c r="WRY29" s="609"/>
      <c r="WRZ29" s="609"/>
      <c r="WSA29" s="609"/>
      <c r="WSB29" s="609"/>
      <c r="WSC29" s="609"/>
      <c r="WSD29" s="609"/>
      <c r="WSE29" s="609"/>
      <c r="WSF29" s="609"/>
      <c r="WSG29" s="609"/>
      <c r="WSH29" s="609"/>
      <c r="WSI29" s="609"/>
      <c r="WSJ29" s="609"/>
      <c r="WSK29" s="609"/>
      <c r="WSL29" s="609"/>
      <c r="WSM29" s="609"/>
      <c r="WSN29" s="609"/>
      <c r="WSO29" s="609"/>
      <c r="WSP29" s="609"/>
      <c r="WSQ29" s="609"/>
      <c r="WSR29" s="609"/>
      <c r="WSS29" s="609"/>
      <c r="WST29" s="609"/>
      <c r="WSU29" s="609"/>
      <c r="WSV29" s="609"/>
      <c r="WSW29" s="609"/>
      <c r="WSX29" s="609"/>
      <c r="WSY29" s="609"/>
      <c r="WSZ29" s="609"/>
      <c r="WTA29" s="609"/>
      <c r="WTB29" s="609"/>
      <c r="WTC29" s="609"/>
      <c r="WTD29" s="609"/>
      <c r="WTE29" s="609"/>
      <c r="WTF29" s="609"/>
      <c r="WTG29" s="609"/>
      <c r="WTH29" s="609"/>
      <c r="WTI29" s="609"/>
      <c r="WTJ29" s="609"/>
      <c r="WTK29" s="609"/>
      <c r="WTL29" s="609"/>
      <c r="WTM29" s="609"/>
      <c r="WTN29" s="609"/>
      <c r="WTO29" s="609"/>
      <c r="WTP29" s="609"/>
      <c r="WTQ29" s="609"/>
      <c r="WTR29" s="609"/>
      <c r="WTS29" s="609"/>
      <c r="WTT29" s="609"/>
      <c r="WTU29" s="609"/>
      <c r="WTV29" s="609"/>
      <c r="WTW29" s="609"/>
      <c r="WTX29" s="609"/>
      <c r="WTY29" s="609"/>
      <c r="WTZ29" s="609"/>
      <c r="WUA29" s="609"/>
      <c r="WUB29" s="609"/>
      <c r="WUC29" s="609"/>
      <c r="WUD29" s="609"/>
      <c r="WUE29" s="609"/>
      <c r="WUF29" s="609"/>
      <c r="WUG29" s="609"/>
      <c r="WUH29" s="609"/>
      <c r="WUI29" s="609"/>
      <c r="WUJ29" s="609"/>
      <c r="WUK29" s="609"/>
      <c r="WUL29" s="609"/>
      <c r="WUM29" s="609"/>
      <c r="WUN29" s="609"/>
      <c r="WUO29" s="609"/>
      <c r="WUP29" s="609"/>
      <c r="WUQ29" s="609"/>
      <c r="WUR29" s="609"/>
      <c r="WUS29" s="609"/>
      <c r="WUT29" s="609"/>
      <c r="WUU29" s="609"/>
      <c r="WUV29" s="609"/>
      <c r="WUW29" s="609"/>
      <c r="WUX29" s="609"/>
      <c r="WUY29" s="609"/>
      <c r="WUZ29" s="609"/>
      <c r="WVA29" s="609"/>
      <c r="WVB29" s="609"/>
      <c r="WVC29" s="609"/>
      <c r="WVD29" s="609"/>
      <c r="WVE29" s="609"/>
      <c r="WVF29" s="609"/>
      <c r="WVG29" s="609"/>
      <c r="WVH29" s="609"/>
      <c r="WVI29" s="609"/>
      <c r="WVJ29" s="609"/>
      <c r="WVK29" s="609"/>
      <c r="WVL29" s="609"/>
      <c r="WVM29" s="609"/>
      <c r="WVN29" s="609"/>
      <c r="WVO29" s="609"/>
      <c r="WVP29" s="609"/>
      <c r="WVQ29" s="609"/>
      <c r="WVR29" s="609"/>
      <c r="WVS29" s="609"/>
      <c r="WVT29" s="609"/>
      <c r="WVU29" s="609"/>
      <c r="WVV29" s="609"/>
      <c r="WVW29" s="609"/>
      <c r="WVX29" s="609"/>
      <c r="WVY29" s="609"/>
      <c r="WVZ29" s="609"/>
      <c r="WWA29" s="609"/>
      <c r="WWB29" s="609"/>
      <c r="WWC29" s="609"/>
      <c r="WWD29" s="609"/>
      <c r="WWE29" s="609"/>
      <c r="WWF29" s="609"/>
      <c r="WWG29" s="609"/>
      <c r="WWH29" s="609"/>
      <c r="WWI29" s="609"/>
      <c r="WWJ29" s="609"/>
      <c r="WWK29" s="609"/>
      <c r="WWL29" s="609"/>
      <c r="WWM29" s="609"/>
      <c r="WWN29" s="609"/>
      <c r="WWO29" s="609"/>
      <c r="WWP29" s="609"/>
      <c r="WWQ29" s="609"/>
      <c r="WWR29" s="609"/>
      <c r="WWS29" s="609"/>
      <c r="WWT29" s="609"/>
      <c r="WWU29" s="609"/>
      <c r="WWV29" s="609"/>
      <c r="WWW29" s="609"/>
      <c r="WWX29" s="609"/>
      <c r="WWY29" s="609"/>
      <c r="WWZ29" s="609"/>
      <c r="WXA29" s="609"/>
      <c r="WXB29" s="609"/>
      <c r="WXC29" s="609"/>
      <c r="WXD29" s="609"/>
      <c r="WXE29" s="609"/>
      <c r="WXF29" s="609"/>
      <c r="WXG29" s="609"/>
      <c r="WXH29" s="609"/>
      <c r="WXI29" s="609"/>
      <c r="WXJ29" s="609"/>
      <c r="WXK29" s="609"/>
      <c r="WXL29" s="609"/>
      <c r="WXM29" s="609"/>
      <c r="WXN29" s="609"/>
      <c r="WXO29" s="609"/>
      <c r="WXP29" s="609"/>
      <c r="WXQ29" s="609"/>
      <c r="WXR29" s="609"/>
      <c r="WXS29" s="609"/>
      <c r="WXT29" s="609"/>
      <c r="WXU29" s="609"/>
      <c r="WXV29" s="609"/>
      <c r="WXW29" s="609"/>
      <c r="WXX29" s="609"/>
      <c r="WXY29" s="609"/>
      <c r="WXZ29" s="609"/>
      <c r="WYA29" s="609"/>
      <c r="WYB29" s="609"/>
      <c r="WYC29" s="609"/>
      <c r="WYD29" s="609"/>
      <c r="WYE29" s="609"/>
      <c r="WYF29" s="609"/>
      <c r="WYG29" s="609"/>
      <c r="WYH29" s="609"/>
      <c r="WYI29" s="609"/>
      <c r="WYJ29" s="609"/>
      <c r="WYK29" s="609"/>
      <c r="WYL29" s="609"/>
      <c r="WYM29" s="609"/>
      <c r="WYN29" s="609"/>
      <c r="WYO29" s="609"/>
      <c r="WYP29" s="609"/>
      <c r="WYQ29" s="609"/>
      <c r="WYR29" s="609"/>
      <c r="WYS29" s="609"/>
      <c r="WYT29" s="609"/>
      <c r="WYU29" s="609"/>
      <c r="WYV29" s="609"/>
      <c r="WYW29" s="609"/>
      <c r="WYX29" s="609"/>
      <c r="WYY29" s="609"/>
      <c r="WYZ29" s="609"/>
      <c r="WZA29" s="609"/>
      <c r="WZB29" s="609"/>
      <c r="WZC29" s="609"/>
      <c r="WZD29" s="609"/>
      <c r="WZE29" s="609"/>
      <c r="WZF29" s="609"/>
      <c r="WZG29" s="609"/>
      <c r="WZH29" s="609"/>
      <c r="WZI29" s="609"/>
      <c r="WZJ29" s="609"/>
      <c r="WZK29" s="609"/>
      <c r="WZL29" s="609"/>
      <c r="WZM29" s="609"/>
      <c r="WZN29" s="609"/>
      <c r="WZO29" s="609"/>
      <c r="WZP29" s="609"/>
      <c r="WZQ29" s="609"/>
      <c r="WZR29" s="609"/>
      <c r="WZS29" s="609"/>
      <c r="WZT29" s="609"/>
      <c r="WZU29" s="609"/>
      <c r="WZV29" s="609"/>
      <c r="WZW29" s="609"/>
      <c r="WZX29" s="609"/>
      <c r="WZY29" s="609"/>
      <c r="WZZ29" s="609"/>
      <c r="XAA29" s="609"/>
      <c r="XAB29" s="609"/>
      <c r="XAC29" s="609"/>
      <c r="XAD29" s="609"/>
      <c r="XAE29" s="609"/>
      <c r="XAF29" s="609"/>
      <c r="XAG29" s="609"/>
      <c r="XAH29" s="609"/>
      <c r="XAI29" s="609"/>
      <c r="XAJ29" s="609"/>
      <c r="XAK29" s="609"/>
      <c r="XAL29" s="609"/>
      <c r="XAM29" s="609"/>
      <c r="XAN29" s="609"/>
      <c r="XAO29" s="609"/>
      <c r="XAP29" s="609"/>
      <c r="XAQ29" s="609"/>
      <c r="XAR29" s="609"/>
      <c r="XAS29" s="609"/>
      <c r="XAT29" s="609"/>
      <c r="XAU29" s="609"/>
      <c r="XAV29" s="609"/>
      <c r="XAW29" s="609"/>
      <c r="XAX29" s="609"/>
      <c r="XAY29" s="609"/>
      <c r="XAZ29" s="609"/>
      <c r="XBA29" s="609"/>
      <c r="XBB29" s="609"/>
      <c r="XBC29" s="609"/>
      <c r="XBD29" s="609"/>
      <c r="XBE29" s="609"/>
      <c r="XBF29" s="609"/>
      <c r="XBG29" s="609"/>
      <c r="XBH29" s="609"/>
      <c r="XBI29" s="609"/>
      <c r="XBJ29" s="609"/>
      <c r="XBK29" s="609"/>
      <c r="XBL29" s="609"/>
      <c r="XBM29" s="609"/>
      <c r="XBN29" s="609"/>
      <c r="XBO29" s="609"/>
      <c r="XBP29" s="609"/>
      <c r="XBQ29" s="609"/>
      <c r="XBR29" s="609"/>
      <c r="XBS29" s="609"/>
      <c r="XBT29" s="609"/>
      <c r="XBU29" s="609"/>
      <c r="XBV29" s="609"/>
      <c r="XBW29" s="609"/>
      <c r="XBX29" s="609"/>
      <c r="XBY29" s="609"/>
      <c r="XBZ29" s="609"/>
      <c r="XCA29" s="609"/>
      <c r="XCB29" s="609"/>
      <c r="XCC29" s="609"/>
      <c r="XCD29" s="609"/>
      <c r="XCE29" s="609"/>
      <c r="XCF29" s="609"/>
      <c r="XCG29" s="609"/>
      <c r="XCH29" s="609"/>
      <c r="XCI29" s="609"/>
      <c r="XCJ29" s="609"/>
      <c r="XCK29" s="609"/>
      <c r="XCL29" s="609"/>
      <c r="XCM29" s="609"/>
      <c r="XCN29" s="609"/>
      <c r="XCO29" s="609"/>
      <c r="XCP29" s="609"/>
      <c r="XCQ29" s="609"/>
      <c r="XCR29" s="609"/>
      <c r="XCS29" s="609"/>
      <c r="XCT29" s="609"/>
      <c r="XCU29" s="609"/>
      <c r="XCV29" s="609"/>
      <c r="XCW29" s="609"/>
      <c r="XCX29" s="609"/>
      <c r="XCY29" s="609"/>
      <c r="XCZ29" s="609"/>
      <c r="XDA29" s="609"/>
      <c r="XDB29" s="609"/>
      <c r="XDC29" s="609"/>
      <c r="XDD29" s="609"/>
      <c r="XDE29" s="609"/>
      <c r="XDF29" s="609"/>
      <c r="XDG29" s="609"/>
      <c r="XDH29" s="609"/>
      <c r="XDI29" s="609"/>
      <c r="XDJ29" s="609"/>
      <c r="XDK29" s="609"/>
      <c r="XDL29" s="609"/>
      <c r="XDM29" s="609"/>
      <c r="XDN29" s="609"/>
      <c r="XDO29" s="609"/>
      <c r="XDP29" s="609"/>
      <c r="XDQ29" s="609"/>
      <c r="XDR29" s="609"/>
      <c r="XDS29" s="609"/>
      <c r="XDT29" s="609"/>
      <c r="XDU29" s="609"/>
      <c r="XDV29" s="609"/>
      <c r="XDW29" s="609"/>
      <c r="XDX29" s="609"/>
      <c r="XDY29" s="609"/>
      <c r="XDZ29" s="609"/>
      <c r="XEA29" s="609"/>
      <c r="XEB29" s="609"/>
      <c r="XEC29" s="609"/>
      <c r="XED29" s="609"/>
      <c r="XEE29" s="609"/>
      <c r="XEF29" s="609"/>
      <c r="XEG29" s="609"/>
      <c r="XEH29" s="609"/>
      <c r="XEI29" s="609"/>
      <c r="XEJ29" s="609"/>
      <c r="XEK29" s="609"/>
      <c r="XEL29" s="609"/>
      <c r="XEM29" s="609"/>
      <c r="XEN29" s="609"/>
      <c r="XEO29" s="609"/>
      <c r="XEP29" s="609"/>
      <c r="XEQ29" s="609"/>
      <c r="XER29" s="609"/>
      <c r="XES29" s="609"/>
      <c r="XET29" s="609"/>
      <c r="XEU29" s="609"/>
      <c r="XEV29" s="609"/>
      <c r="XEW29" s="609"/>
      <c r="XEX29" s="609"/>
      <c r="XEY29" s="609"/>
      <c r="XEZ29" s="609"/>
      <c r="XFA29" s="609"/>
    </row>
    <row r="30" spans="1:16381" s="609" customFormat="1" ht="33.75">
      <c r="A30" s="609" t="str">
        <f t="shared" si="0"/>
        <v>AXA Überbetriebliche Unterstützungskasse e.V. v. 01.01.2018</v>
      </c>
      <c r="B30" s="609">
        <f>ROW()</f>
        <v>30</v>
      </c>
      <c r="C30" s="635" t="s">
        <v>1052</v>
      </c>
      <c r="D30" s="1201">
        <v>43101</v>
      </c>
      <c r="E30" s="636"/>
      <c r="F30" s="637" t="str">
        <f t="shared" si="5"/>
        <v>Ja</v>
      </c>
      <c r="G30" s="634" t="str">
        <f t="shared" si="2"/>
        <v>TO ermöglicht: Tarifwechel; doppelten Kostenabzug;  Abweichungen vom gerichtl. festgelegten Ausgleichswert;  Verzinsung zwischen EzE und RK geltend machen</v>
      </c>
      <c r="I30" s="634"/>
      <c r="J30" s="784"/>
      <c r="K30" s="1199">
        <v>1</v>
      </c>
      <c r="L30" s="1199">
        <v>2</v>
      </c>
      <c r="M30" s="1199">
        <v>3</v>
      </c>
      <c r="N30" s="1199">
        <v>4</v>
      </c>
      <c r="O30" s="785"/>
      <c r="P30" s="144">
        <f t="shared" si="6"/>
        <v>10</v>
      </c>
    </row>
    <row r="31" spans="1:16381" s="609" customFormat="1">
      <c r="A31" s="609" t="str">
        <f t="shared" si="0"/>
        <v>Baden-Badener Pensionskasse v. 30.11.2009</v>
      </c>
      <c r="B31" s="609">
        <f>ROW()</f>
        <v>31</v>
      </c>
      <c r="C31" s="635" t="s">
        <v>945</v>
      </c>
      <c r="D31" s="1201">
        <v>40147</v>
      </c>
      <c r="E31" s="636"/>
      <c r="F31" s="637" t="str">
        <f t="shared" si="5"/>
        <v/>
      </c>
      <c r="G31" s="634" t="str">
        <f t="shared" si="2"/>
        <v/>
      </c>
      <c r="I31" s="634"/>
      <c r="J31" s="784"/>
      <c r="K31" s="1199"/>
      <c r="L31" s="1199"/>
      <c r="M31" s="1199"/>
      <c r="N31" s="1199"/>
      <c r="O31" s="785"/>
      <c r="P31" s="144">
        <f t="shared" si="6"/>
        <v>0</v>
      </c>
    </row>
    <row r="32" spans="1:16381" s="609" customFormat="1" ht="33.75">
      <c r="A32" s="609" t="str">
        <f t="shared" si="0"/>
        <v>Baloise Lebensversicherung AG Deutschland v. 01.10.2009</v>
      </c>
      <c r="B32" s="609">
        <f>ROW()</f>
        <v>32</v>
      </c>
      <c r="C32" s="635" t="s">
        <v>1373</v>
      </c>
      <c r="D32" s="1202">
        <v>40087</v>
      </c>
      <c r="E32" s="636">
        <v>6</v>
      </c>
      <c r="F32" s="637" t="str">
        <f t="shared" si="5"/>
        <v>Ja</v>
      </c>
      <c r="G32" s="634" t="str">
        <f t="shared" si="2"/>
        <v>TO ermöglicht: Tarifwechel; doppelten Kostenabzug;  Abweichungen vom gerichtl. festgelegten Ausgleichswert;  Verzinsung zwischen EzE und RK geltend machen</v>
      </c>
      <c r="I32" s="634"/>
      <c r="J32" s="784"/>
      <c r="K32" s="1199">
        <v>1</v>
      </c>
      <c r="L32" s="1199">
        <v>2</v>
      </c>
      <c r="M32" s="1199">
        <v>3</v>
      </c>
      <c r="N32" s="1199">
        <v>4</v>
      </c>
      <c r="O32" s="785"/>
      <c r="P32" s="144">
        <f t="shared" si="6"/>
        <v>10</v>
      </c>
      <c r="Q32" s="414"/>
      <c r="R32" s="414"/>
      <c r="S32" s="414"/>
      <c r="T32" s="414"/>
      <c r="U32" s="414"/>
      <c r="V32" s="414"/>
      <c r="W32" s="414"/>
      <c r="X32" s="414"/>
      <c r="Y32" s="414"/>
      <c r="Z32" s="414"/>
      <c r="AA32" s="414"/>
      <c r="AB32" s="414"/>
      <c r="AC32" s="414"/>
      <c r="AD32" s="414"/>
      <c r="AE32" s="414"/>
      <c r="AF32" s="414"/>
      <c r="AG32" s="414"/>
      <c r="AH32" s="414"/>
      <c r="AI32" s="414"/>
      <c r="AJ32" s="414"/>
      <c r="AK32" s="414"/>
      <c r="AL32" s="414"/>
      <c r="AM32" s="414"/>
      <c r="AN32" s="414"/>
      <c r="AO32" s="414"/>
      <c r="AP32" s="414"/>
      <c r="AQ32" s="414"/>
      <c r="AR32" s="414"/>
      <c r="AS32" s="414"/>
      <c r="AT32" s="414"/>
      <c r="AU32" s="414"/>
      <c r="AV32" s="414"/>
      <c r="AW32" s="414"/>
      <c r="AX32" s="414"/>
      <c r="AY32" s="414"/>
      <c r="AZ32" s="414"/>
      <c r="BA32" s="414"/>
      <c r="BB32" s="414"/>
      <c r="BC32" s="414"/>
      <c r="BD32" s="414"/>
      <c r="BE32" s="414"/>
      <c r="BF32" s="414"/>
      <c r="BG32" s="414"/>
      <c r="BH32" s="414"/>
      <c r="BI32" s="414"/>
      <c r="BJ32" s="414"/>
      <c r="BK32" s="414"/>
      <c r="BL32" s="414"/>
      <c r="BM32" s="414"/>
      <c r="BN32" s="414"/>
      <c r="BO32" s="414"/>
      <c r="BP32" s="414"/>
      <c r="BQ32" s="414"/>
      <c r="BR32" s="414"/>
      <c r="BS32" s="414"/>
      <c r="BT32" s="414"/>
      <c r="BU32" s="414"/>
      <c r="BV32" s="414"/>
      <c r="BW32" s="414"/>
      <c r="BX32" s="414"/>
      <c r="BY32" s="414"/>
      <c r="BZ32" s="414"/>
      <c r="CA32" s="414"/>
      <c r="CB32" s="414"/>
      <c r="CC32" s="414"/>
      <c r="CD32" s="414"/>
      <c r="CE32" s="414"/>
      <c r="CF32" s="414"/>
      <c r="CG32" s="414"/>
      <c r="CH32" s="414"/>
      <c r="CI32" s="414"/>
      <c r="CJ32" s="414"/>
      <c r="CK32" s="414"/>
      <c r="CL32" s="414"/>
      <c r="CM32" s="414"/>
      <c r="CN32" s="414"/>
      <c r="CO32" s="414"/>
      <c r="CP32" s="414"/>
      <c r="CQ32" s="414"/>
      <c r="CR32" s="414"/>
      <c r="CS32" s="414"/>
      <c r="CT32" s="414"/>
      <c r="CU32" s="414"/>
      <c r="CV32" s="414"/>
      <c r="CW32" s="414"/>
      <c r="CX32" s="414"/>
      <c r="CY32" s="414"/>
      <c r="CZ32" s="414"/>
      <c r="DA32" s="414"/>
      <c r="DB32" s="414"/>
      <c r="DC32" s="414"/>
      <c r="DD32" s="414"/>
      <c r="DE32" s="414"/>
      <c r="DF32" s="414"/>
      <c r="DG32" s="414"/>
      <c r="DH32" s="414"/>
      <c r="DI32" s="414"/>
      <c r="DJ32" s="414"/>
      <c r="DK32" s="414"/>
      <c r="DL32" s="414"/>
      <c r="DM32" s="414"/>
      <c r="DN32" s="414"/>
      <c r="DO32" s="414"/>
      <c r="DP32" s="414"/>
      <c r="DQ32" s="414"/>
      <c r="DR32" s="414"/>
      <c r="DS32" s="414"/>
      <c r="DT32" s="414"/>
      <c r="DU32" s="414"/>
      <c r="DV32" s="414"/>
      <c r="DW32" s="414"/>
      <c r="DX32" s="414"/>
      <c r="DY32" s="414"/>
      <c r="DZ32" s="414"/>
      <c r="EA32" s="414"/>
      <c r="EB32" s="414"/>
      <c r="EC32" s="414"/>
      <c r="ED32" s="414"/>
      <c r="EE32" s="414"/>
      <c r="EF32" s="414"/>
      <c r="EG32" s="414"/>
      <c r="EH32" s="414"/>
      <c r="EI32" s="414"/>
      <c r="EJ32" s="414"/>
      <c r="EK32" s="414"/>
      <c r="EL32" s="414"/>
      <c r="EM32" s="414"/>
      <c r="EN32" s="414"/>
      <c r="EO32" s="414"/>
      <c r="EP32" s="414"/>
      <c r="EQ32" s="414"/>
      <c r="ER32" s="414"/>
      <c r="ES32" s="414"/>
      <c r="ET32" s="414"/>
      <c r="EU32" s="414"/>
      <c r="EV32" s="414"/>
      <c r="EW32" s="414"/>
      <c r="EX32" s="414"/>
      <c r="EY32" s="414"/>
      <c r="EZ32" s="414"/>
      <c r="FA32" s="414"/>
      <c r="FB32" s="414"/>
      <c r="FC32" s="414"/>
      <c r="FD32" s="414"/>
      <c r="FE32" s="414"/>
      <c r="FF32" s="414"/>
      <c r="FG32" s="414"/>
      <c r="FH32" s="414"/>
      <c r="FI32" s="414"/>
      <c r="FJ32" s="414"/>
      <c r="FK32" s="414"/>
      <c r="FL32" s="414"/>
      <c r="FM32" s="414"/>
      <c r="FN32" s="414"/>
      <c r="FO32" s="414"/>
      <c r="FP32" s="414"/>
      <c r="FQ32" s="414"/>
      <c r="FR32" s="414"/>
      <c r="FS32" s="414"/>
      <c r="FT32" s="414"/>
      <c r="FU32" s="414"/>
      <c r="FV32" s="414"/>
      <c r="FW32" s="414"/>
      <c r="FX32" s="414"/>
      <c r="FY32" s="414"/>
      <c r="FZ32" s="414"/>
      <c r="GA32" s="414"/>
      <c r="GB32" s="414"/>
      <c r="GC32" s="414"/>
      <c r="GD32" s="414"/>
      <c r="GE32" s="414"/>
      <c r="GF32" s="414"/>
      <c r="GG32" s="414"/>
      <c r="GH32" s="414"/>
      <c r="GI32" s="414"/>
      <c r="GJ32" s="414"/>
      <c r="GK32" s="414"/>
      <c r="GL32" s="414"/>
      <c r="GM32" s="414"/>
      <c r="GN32" s="414"/>
      <c r="GO32" s="414"/>
      <c r="GP32" s="414"/>
      <c r="GQ32" s="414"/>
      <c r="GR32" s="414"/>
      <c r="GS32" s="414"/>
      <c r="GT32" s="414"/>
      <c r="GU32" s="414"/>
      <c r="GV32" s="414"/>
      <c r="GW32" s="414"/>
      <c r="GX32" s="414"/>
      <c r="GY32" s="414"/>
      <c r="GZ32" s="414"/>
      <c r="HA32" s="414"/>
      <c r="HB32" s="414"/>
      <c r="HC32" s="414"/>
      <c r="HD32" s="414"/>
      <c r="HE32" s="414"/>
      <c r="HF32" s="414"/>
      <c r="HG32" s="414"/>
      <c r="HH32" s="414"/>
      <c r="HI32" s="414"/>
      <c r="HJ32" s="414"/>
      <c r="HK32" s="414"/>
      <c r="HL32" s="414"/>
      <c r="HM32" s="414"/>
      <c r="HN32" s="414"/>
      <c r="HO32" s="414"/>
      <c r="HP32" s="414"/>
      <c r="HQ32" s="414"/>
      <c r="HR32" s="414"/>
      <c r="HS32" s="414"/>
      <c r="HT32" s="414"/>
      <c r="HU32" s="414"/>
      <c r="HV32" s="414"/>
      <c r="HW32" s="414"/>
      <c r="HX32" s="414"/>
      <c r="HY32" s="414"/>
      <c r="HZ32" s="414"/>
      <c r="IA32" s="414"/>
      <c r="IB32" s="414"/>
      <c r="IC32" s="414"/>
      <c r="ID32" s="414"/>
      <c r="IE32" s="414"/>
      <c r="IF32" s="414"/>
      <c r="IG32" s="414"/>
      <c r="IH32" s="414"/>
      <c r="II32" s="414"/>
      <c r="IJ32" s="414"/>
      <c r="IK32" s="414"/>
      <c r="IL32" s="414"/>
      <c r="IM32" s="414"/>
      <c r="IN32" s="414"/>
      <c r="IO32" s="414"/>
      <c r="IP32" s="414"/>
      <c r="IQ32" s="414"/>
      <c r="IR32" s="414"/>
      <c r="IS32" s="414"/>
      <c r="IT32" s="414"/>
      <c r="IU32" s="414"/>
      <c r="IV32" s="414"/>
      <c r="IW32" s="414"/>
      <c r="IX32" s="414"/>
      <c r="IY32" s="414"/>
      <c r="IZ32" s="414"/>
      <c r="JA32" s="414"/>
      <c r="JB32" s="414"/>
      <c r="JC32" s="414"/>
      <c r="JD32" s="414"/>
      <c r="JE32" s="414"/>
      <c r="JF32" s="414"/>
      <c r="JG32" s="414"/>
      <c r="JH32" s="414"/>
      <c r="JI32" s="414"/>
      <c r="JJ32" s="414"/>
      <c r="JK32" s="414"/>
      <c r="JL32" s="414"/>
      <c r="JM32" s="414"/>
      <c r="JN32" s="414"/>
      <c r="JO32" s="414"/>
      <c r="JP32" s="414"/>
      <c r="JQ32" s="414"/>
      <c r="JR32" s="414"/>
      <c r="JS32" s="414"/>
      <c r="JT32" s="414"/>
      <c r="JU32" s="414"/>
      <c r="JV32" s="414"/>
      <c r="JW32" s="414"/>
      <c r="JX32" s="414"/>
      <c r="JY32" s="414"/>
      <c r="JZ32" s="414"/>
      <c r="KA32" s="414"/>
      <c r="KB32" s="414"/>
      <c r="KC32" s="414"/>
      <c r="KD32" s="414"/>
      <c r="KE32" s="414"/>
      <c r="KF32" s="414"/>
      <c r="KG32" s="414"/>
      <c r="KH32" s="414"/>
      <c r="KI32" s="414"/>
      <c r="KJ32" s="414"/>
      <c r="KK32" s="414"/>
      <c r="KL32" s="414"/>
      <c r="KM32" s="414"/>
      <c r="KN32" s="414"/>
      <c r="KO32" s="414"/>
      <c r="KP32" s="414"/>
      <c r="KQ32" s="414"/>
      <c r="KR32" s="414"/>
      <c r="KS32" s="414"/>
      <c r="KT32" s="414"/>
      <c r="KU32" s="414"/>
      <c r="KV32" s="414"/>
      <c r="KW32" s="414"/>
      <c r="KX32" s="414"/>
      <c r="KY32" s="414"/>
      <c r="KZ32" s="414"/>
      <c r="LA32" s="414"/>
      <c r="LB32" s="414"/>
      <c r="LC32" s="414"/>
      <c r="LD32" s="414"/>
      <c r="LE32" s="414"/>
      <c r="LF32" s="414"/>
      <c r="LG32" s="414"/>
      <c r="LH32" s="414"/>
      <c r="LI32" s="414"/>
      <c r="LJ32" s="414"/>
      <c r="LK32" s="414"/>
      <c r="LL32" s="414"/>
      <c r="LM32" s="414"/>
      <c r="LN32" s="414"/>
      <c r="LO32" s="414"/>
      <c r="LP32" s="414"/>
      <c r="LQ32" s="414"/>
      <c r="LR32" s="414"/>
      <c r="LS32" s="414"/>
      <c r="LT32" s="414"/>
      <c r="LU32" s="414"/>
      <c r="LV32" s="414"/>
      <c r="LW32" s="414"/>
      <c r="LX32" s="414"/>
      <c r="LY32" s="414"/>
      <c r="LZ32" s="414"/>
      <c r="MA32" s="414"/>
      <c r="MB32" s="414"/>
      <c r="MC32" s="414"/>
      <c r="MD32" s="414"/>
      <c r="ME32" s="414"/>
      <c r="MF32" s="414"/>
      <c r="MG32" s="414"/>
      <c r="MH32" s="414"/>
      <c r="MI32" s="414"/>
      <c r="MJ32" s="414"/>
      <c r="MK32" s="414"/>
      <c r="ML32" s="414"/>
      <c r="MM32" s="414"/>
      <c r="MN32" s="414"/>
      <c r="MO32" s="414"/>
      <c r="MP32" s="414"/>
      <c r="MQ32" s="414"/>
      <c r="MR32" s="414"/>
      <c r="MS32" s="414"/>
      <c r="MT32" s="414"/>
      <c r="MU32" s="414"/>
      <c r="MV32" s="414"/>
      <c r="MW32" s="414"/>
      <c r="MX32" s="414"/>
      <c r="MY32" s="414"/>
      <c r="MZ32" s="414"/>
      <c r="NA32" s="414"/>
      <c r="NB32" s="414"/>
      <c r="NC32" s="414"/>
      <c r="ND32" s="414"/>
      <c r="NE32" s="414"/>
      <c r="NF32" s="414"/>
      <c r="NG32" s="414"/>
      <c r="NH32" s="414"/>
      <c r="NI32" s="414"/>
      <c r="NJ32" s="414"/>
      <c r="NK32" s="414"/>
      <c r="NL32" s="414"/>
      <c r="NM32" s="414"/>
      <c r="NN32" s="414"/>
      <c r="NO32" s="414"/>
      <c r="NP32" s="414"/>
      <c r="NQ32" s="414"/>
      <c r="NR32" s="414"/>
      <c r="NS32" s="414"/>
      <c r="NT32" s="414"/>
      <c r="NU32" s="414"/>
      <c r="NV32" s="414"/>
      <c r="NW32" s="414"/>
      <c r="NX32" s="414"/>
      <c r="NY32" s="414"/>
      <c r="NZ32" s="414"/>
      <c r="OA32" s="414"/>
      <c r="OB32" s="414"/>
      <c r="OC32" s="414"/>
      <c r="OD32" s="414"/>
      <c r="OE32" s="414"/>
      <c r="OF32" s="414"/>
      <c r="OG32" s="414"/>
      <c r="OH32" s="414"/>
      <c r="OI32" s="414"/>
      <c r="OJ32" s="414"/>
      <c r="OK32" s="414"/>
      <c r="OL32" s="414"/>
      <c r="OM32" s="414"/>
      <c r="ON32" s="414"/>
      <c r="OO32" s="414"/>
      <c r="OP32" s="414"/>
      <c r="OQ32" s="414"/>
      <c r="OR32" s="414"/>
      <c r="OS32" s="414"/>
      <c r="OT32" s="414"/>
      <c r="OU32" s="414"/>
      <c r="OV32" s="414"/>
      <c r="OW32" s="414"/>
      <c r="OX32" s="414"/>
      <c r="OY32" s="414"/>
      <c r="OZ32" s="414"/>
      <c r="PA32" s="414"/>
      <c r="PB32" s="414"/>
      <c r="PC32" s="414"/>
      <c r="PD32" s="414"/>
      <c r="PE32" s="414"/>
      <c r="PF32" s="414"/>
      <c r="PG32" s="414"/>
      <c r="PH32" s="414"/>
      <c r="PI32" s="414"/>
      <c r="PJ32" s="414"/>
      <c r="PK32" s="414"/>
      <c r="PL32" s="414"/>
      <c r="PM32" s="414"/>
      <c r="PN32" s="414"/>
      <c r="PO32" s="414"/>
      <c r="PP32" s="414"/>
      <c r="PQ32" s="414"/>
      <c r="PR32" s="414"/>
      <c r="PS32" s="414"/>
      <c r="PT32" s="414"/>
      <c r="PU32" s="414"/>
      <c r="PV32" s="414"/>
      <c r="PW32" s="414"/>
      <c r="PX32" s="414"/>
      <c r="PY32" s="414"/>
      <c r="PZ32" s="414"/>
      <c r="QA32" s="414"/>
      <c r="QB32" s="414"/>
      <c r="QC32" s="414"/>
      <c r="QD32" s="414"/>
      <c r="QE32" s="414"/>
      <c r="QF32" s="414"/>
      <c r="QG32" s="414"/>
      <c r="QH32" s="414"/>
      <c r="QI32" s="414"/>
      <c r="QJ32" s="414"/>
      <c r="QK32" s="414"/>
      <c r="QL32" s="414"/>
      <c r="QM32" s="414"/>
      <c r="QN32" s="414"/>
      <c r="QO32" s="414"/>
      <c r="QP32" s="414"/>
      <c r="QQ32" s="414"/>
      <c r="QR32" s="414"/>
      <c r="QS32" s="414"/>
      <c r="QT32" s="414"/>
      <c r="QU32" s="414"/>
      <c r="QV32" s="414"/>
      <c r="QW32" s="414"/>
      <c r="QX32" s="414"/>
      <c r="QY32" s="414"/>
      <c r="QZ32" s="414"/>
      <c r="RA32" s="414"/>
      <c r="RB32" s="414"/>
      <c r="RC32" s="414"/>
      <c r="RD32" s="414"/>
      <c r="RE32" s="414"/>
      <c r="RF32" s="414"/>
      <c r="RG32" s="414"/>
      <c r="RH32" s="414"/>
      <c r="RI32" s="414"/>
      <c r="RJ32" s="414"/>
      <c r="RK32" s="414"/>
      <c r="RL32" s="414"/>
      <c r="RM32" s="414"/>
      <c r="RN32" s="414"/>
      <c r="RO32" s="414"/>
      <c r="RP32" s="414"/>
      <c r="RQ32" s="414"/>
      <c r="RR32" s="414"/>
      <c r="RS32" s="414"/>
      <c r="RT32" s="414"/>
      <c r="RU32" s="414"/>
      <c r="RV32" s="414"/>
      <c r="RW32" s="414"/>
      <c r="RX32" s="414"/>
      <c r="RY32" s="414"/>
      <c r="RZ32" s="414"/>
      <c r="SA32" s="414"/>
      <c r="SB32" s="414"/>
      <c r="SC32" s="414"/>
      <c r="SD32" s="414"/>
      <c r="SE32" s="414"/>
      <c r="SF32" s="414"/>
      <c r="SG32" s="414"/>
      <c r="SH32" s="414"/>
      <c r="SI32" s="414"/>
      <c r="SJ32" s="414"/>
      <c r="SK32" s="414"/>
      <c r="SL32" s="414"/>
      <c r="SM32" s="414"/>
      <c r="SN32" s="414"/>
      <c r="SO32" s="414"/>
      <c r="SP32" s="414"/>
      <c r="SQ32" s="414"/>
      <c r="SR32" s="414"/>
      <c r="SS32" s="414"/>
      <c r="ST32" s="414"/>
      <c r="SU32" s="414"/>
      <c r="SV32" s="414"/>
      <c r="SW32" s="414"/>
      <c r="SX32" s="414"/>
      <c r="SY32" s="414"/>
      <c r="SZ32" s="414"/>
      <c r="TA32" s="414"/>
      <c r="TB32" s="414"/>
      <c r="TC32" s="414"/>
      <c r="TD32" s="414"/>
      <c r="TE32" s="414"/>
      <c r="TF32" s="414"/>
      <c r="TG32" s="414"/>
      <c r="TH32" s="414"/>
      <c r="TI32" s="414"/>
      <c r="TJ32" s="414"/>
      <c r="TK32" s="414"/>
      <c r="TL32" s="414"/>
      <c r="TM32" s="414"/>
      <c r="TN32" s="414"/>
      <c r="TO32" s="414"/>
      <c r="TP32" s="414"/>
      <c r="TQ32" s="414"/>
      <c r="TR32" s="414"/>
      <c r="TS32" s="414"/>
      <c r="TT32" s="414"/>
      <c r="TU32" s="414"/>
      <c r="TV32" s="414"/>
      <c r="TW32" s="414"/>
      <c r="TX32" s="414"/>
      <c r="TY32" s="414"/>
      <c r="TZ32" s="414"/>
      <c r="UA32" s="414"/>
      <c r="UB32" s="414"/>
      <c r="UC32" s="414"/>
      <c r="UD32" s="414"/>
      <c r="UE32" s="414"/>
      <c r="UF32" s="414"/>
      <c r="UG32" s="414"/>
      <c r="UH32" s="414"/>
      <c r="UI32" s="414"/>
      <c r="UJ32" s="414"/>
      <c r="UK32" s="414"/>
      <c r="UL32" s="414"/>
      <c r="UM32" s="414"/>
      <c r="UN32" s="414"/>
      <c r="UO32" s="414"/>
      <c r="UP32" s="414"/>
      <c r="UQ32" s="414"/>
      <c r="UR32" s="414"/>
      <c r="US32" s="414"/>
      <c r="UT32" s="414"/>
      <c r="UU32" s="414"/>
      <c r="UV32" s="414"/>
      <c r="UW32" s="414"/>
      <c r="UX32" s="414"/>
      <c r="UY32" s="414"/>
      <c r="UZ32" s="414"/>
      <c r="VA32" s="414"/>
      <c r="VB32" s="414"/>
      <c r="VC32" s="414"/>
      <c r="VD32" s="414"/>
      <c r="VE32" s="414"/>
      <c r="VF32" s="414"/>
      <c r="VG32" s="414"/>
      <c r="VH32" s="414"/>
      <c r="VI32" s="414"/>
      <c r="VJ32" s="414"/>
      <c r="VK32" s="414"/>
      <c r="VL32" s="414"/>
      <c r="VM32" s="414"/>
      <c r="VN32" s="414"/>
      <c r="VO32" s="414"/>
      <c r="VP32" s="414"/>
      <c r="VQ32" s="414"/>
      <c r="VR32" s="414"/>
      <c r="VS32" s="414"/>
      <c r="VT32" s="414"/>
      <c r="VU32" s="414"/>
      <c r="VV32" s="414"/>
      <c r="VW32" s="414"/>
      <c r="VX32" s="414"/>
      <c r="VY32" s="414"/>
      <c r="VZ32" s="414"/>
      <c r="WA32" s="414"/>
      <c r="WB32" s="414"/>
      <c r="WC32" s="414"/>
      <c r="WD32" s="414"/>
      <c r="WE32" s="414"/>
      <c r="WF32" s="414"/>
      <c r="WG32" s="414"/>
      <c r="WH32" s="414"/>
      <c r="WI32" s="414"/>
      <c r="WJ32" s="414"/>
      <c r="WK32" s="414"/>
      <c r="WL32" s="414"/>
      <c r="WM32" s="414"/>
      <c r="WN32" s="414"/>
      <c r="WO32" s="414"/>
      <c r="WP32" s="414"/>
      <c r="WQ32" s="414"/>
      <c r="WR32" s="414"/>
      <c r="WS32" s="414"/>
      <c r="WT32" s="414"/>
      <c r="WU32" s="414"/>
      <c r="WV32" s="414"/>
      <c r="WW32" s="414"/>
      <c r="WX32" s="414"/>
      <c r="WY32" s="414"/>
      <c r="WZ32" s="414"/>
      <c r="XA32" s="414"/>
      <c r="XB32" s="414"/>
      <c r="XC32" s="414"/>
      <c r="XD32" s="414"/>
      <c r="XE32" s="414"/>
      <c r="XF32" s="414"/>
      <c r="XG32" s="414"/>
      <c r="XH32" s="414"/>
      <c r="XI32" s="414"/>
      <c r="XJ32" s="414"/>
      <c r="XK32" s="414"/>
      <c r="XL32" s="414"/>
      <c r="XM32" s="414"/>
      <c r="XN32" s="414"/>
      <c r="XO32" s="414"/>
      <c r="XP32" s="414"/>
      <c r="XQ32" s="414"/>
      <c r="XR32" s="414"/>
      <c r="XS32" s="414"/>
      <c r="XT32" s="414"/>
      <c r="XU32" s="414"/>
      <c r="XV32" s="414"/>
      <c r="XW32" s="414"/>
      <c r="XX32" s="414"/>
      <c r="XY32" s="414"/>
      <c r="XZ32" s="414"/>
      <c r="YA32" s="414"/>
      <c r="YB32" s="414"/>
      <c r="YC32" s="414"/>
      <c r="YD32" s="414"/>
      <c r="YE32" s="414"/>
      <c r="YF32" s="414"/>
      <c r="YG32" s="414"/>
      <c r="YH32" s="414"/>
      <c r="YI32" s="414"/>
      <c r="YJ32" s="414"/>
      <c r="YK32" s="414"/>
      <c r="YL32" s="414"/>
      <c r="YM32" s="414"/>
      <c r="YN32" s="414"/>
      <c r="YO32" s="414"/>
      <c r="YP32" s="414"/>
      <c r="YQ32" s="414"/>
      <c r="YR32" s="414"/>
      <c r="YS32" s="414"/>
      <c r="YT32" s="414"/>
      <c r="YU32" s="414"/>
      <c r="YV32" s="414"/>
      <c r="YW32" s="414"/>
      <c r="YX32" s="414"/>
      <c r="YY32" s="414"/>
      <c r="YZ32" s="414"/>
      <c r="ZA32" s="414"/>
      <c r="ZB32" s="414"/>
      <c r="ZC32" s="414"/>
      <c r="ZD32" s="414"/>
      <c r="ZE32" s="414"/>
      <c r="ZF32" s="414"/>
      <c r="ZG32" s="414"/>
      <c r="ZH32" s="414"/>
      <c r="ZI32" s="414"/>
      <c r="ZJ32" s="414"/>
      <c r="ZK32" s="414"/>
      <c r="ZL32" s="414"/>
      <c r="ZM32" s="414"/>
      <c r="ZN32" s="414"/>
      <c r="ZO32" s="414"/>
      <c r="ZP32" s="414"/>
      <c r="ZQ32" s="414"/>
      <c r="ZR32" s="414"/>
      <c r="ZS32" s="414"/>
      <c r="ZT32" s="414"/>
      <c r="ZU32" s="414"/>
      <c r="ZV32" s="414"/>
      <c r="ZW32" s="414"/>
      <c r="ZX32" s="414"/>
      <c r="ZY32" s="414"/>
      <c r="ZZ32" s="414"/>
      <c r="AAA32" s="414"/>
      <c r="AAB32" s="414"/>
      <c r="AAC32" s="414"/>
      <c r="AAD32" s="414"/>
      <c r="AAE32" s="414"/>
      <c r="AAF32" s="414"/>
      <c r="AAG32" s="414"/>
      <c r="AAH32" s="414"/>
      <c r="AAI32" s="414"/>
      <c r="AAJ32" s="414"/>
      <c r="AAK32" s="414"/>
      <c r="AAL32" s="414"/>
      <c r="AAM32" s="414"/>
      <c r="AAN32" s="414"/>
      <c r="AAO32" s="414"/>
      <c r="AAP32" s="414"/>
      <c r="AAQ32" s="414"/>
      <c r="AAR32" s="414"/>
      <c r="AAS32" s="414"/>
      <c r="AAT32" s="414"/>
      <c r="AAU32" s="414"/>
      <c r="AAV32" s="414"/>
      <c r="AAW32" s="414"/>
      <c r="AAX32" s="414"/>
      <c r="AAY32" s="414"/>
      <c r="AAZ32" s="414"/>
      <c r="ABA32" s="414"/>
      <c r="ABB32" s="414"/>
      <c r="ABC32" s="414"/>
      <c r="ABD32" s="414"/>
      <c r="ABE32" s="414"/>
      <c r="ABF32" s="414"/>
      <c r="ABG32" s="414"/>
      <c r="ABH32" s="414"/>
      <c r="ABI32" s="414"/>
      <c r="ABJ32" s="414"/>
      <c r="ABK32" s="414"/>
      <c r="ABL32" s="414"/>
      <c r="ABM32" s="414"/>
      <c r="ABN32" s="414"/>
      <c r="ABO32" s="414"/>
      <c r="ABP32" s="414"/>
      <c r="ABQ32" s="414"/>
      <c r="ABR32" s="414"/>
      <c r="ABS32" s="414"/>
      <c r="ABT32" s="414"/>
      <c r="ABU32" s="414"/>
      <c r="ABV32" s="414"/>
      <c r="ABW32" s="414"/>
      <c r="ABX32" s="414"/>
      <c r="ABY32" s="414"/>
      <c r="ABZ32" s="414"/>
      <c r="ACA32" s="414"/>
      <c r="ACB32" s="414"/>
      <c r="ACC32" s="414"/>
      <c r="ACD32" s="414"/>
      <c r="ACE32" s="414"/>
      <c r="ACF32" s="414"/>
      <c r="ACG32" s="414"/>
      <c r="ACH32" s="414"/>
      <c r="ACI32" s="414"/>
      <c r="ACJ32" s="414"/>
      <c r="ACK32" s="414"/>
      <c r="ACL32" s="414"/>
      <c r="ACM32" s="414"/>
      <c r="ACN32" s="414"/>
      <c r="ACO32" s="414"/>
      <c r="ACP32" s="414"/>
      <c r="ACQ32" s="414"/>
      <c r="ACR32" s="414"/>
      <c r="ACS32" s="414"/>
      <c r="ACT32" s="414"/>
      <c r="ACU32" s="414"/>
      <c r="ACV32" s="414"/>
      <c r="ACW32" s="414"/>
      <c r="ACX32" s="414"/>
      <c r="ACY32" s="414"/>
      <c r="ACZ32" s="414"/>
      <c r="ADA32" s="414"/>
      <c r="ADB32" s="414"/>
      <c r="ADC32" s="414"/>
      <c r="ADD32" s="414"/>
      <c r="ADE32" s="414"/>
      <c r="ADF32" s="414"/>
      <c r="ADG32" s="414"/>
      <c r="ADH32" s="414"/>
      <c r="ADI32" s="414"/>
      <c r="ADJ32" s="414"/>
      <c r="ADK32" s="414"/>
      <c r="ADL32" s="414"/>
      <c r="ADM32" s="414"/>
      <c r="ADN32" s="414"/>
      <c r="ADO32" s="414"/>
      <c r="ADP32" s="414"/>
      <c r="ADQ32" s="414"/>
      <c r="ADR32" s="414"/>
      <c r="ADS32" s="414"/>
      <c r="ADT32" s="414"/>
      <c r="ADU32" s="414"/>
      <c r="ADV32" s="414"/>
      <c r="ADW32" s="414"/>
      <c r="ADX32" s="414"/>
      <c r="ADY32" s="414"/>
      <c r="ADZ32" s="414"/>
      <c r="AEA32" s="414"/>
      <c r="AEB32" s="414"/>
      <c r="AEC32" s="414"/>
      <c r="AED32" s="414"/>
      <c r="AEE32" s="414"/>
      <c r="AEF32" s="414"/>
      <c r="AEG32" s="414"/>
      <c r="AEH32" s="414"/>
      <c r="AEI32" s="414"/>
      <c r="AEJ32" s="414"/>
      <c r="AEK32" s="414"/>
      <c r="AEL32" s="414"/>
      <c r="AEM32" s="414"/>
      <c r="AEN32" s="414"/>
      <c r="AEO32" s="414"/>
      <c r="AEP32" s="414"/>
      <c r="AEQ32" s="414"/>
      <c r="AER32" s="414"/>
      <c r="AES32" s="414"/>
      <c r="AET32" s="414"/>
      <c r="AEU32" s="414"/>
      <c r="AEV32" s="414"/>
      <c r="AEW32" s="414"/>
      <c r="AEX32" s="414"/>
      <c r="AEY32" s="414"/>
      <c r="AEZ32" s="414"/>
      <c r="AFA32" s="414"/>
      <c r="AFB32" s="414"/>
      <c r="AFC32" s="414"/>
      <c r="AFD32" s="414"/>
      <c r="AFE32" s="414"/>
      <c r="AFF32" s="414"/>
      <c r="AFG32" s="414"/>
      <c r="AFH32" s="414"/>
      <c r="AFI32" s="414"/>
      <c r="AFJ32" s="414"/>
      <c r="AFK32" s="414"/>
      <c r="AFL32" s="414"/>
      <c r="AFM32" s="414"/>
      <c r="AFN32" s="414"/>
      <c r="AFO32" s="414"/>
      <c r="AFP32" s="414"/>
      <c r="AFQ32" s="414"/>
      <c r="AFR32" s="414"/>
      <c r="AFS32" s="414"/>
      <c r="AFT32" s="414"/>
      <c r="AFU32" s="414"/>
      <c r="AFV32" s="414"/>
      <c r="AFW32" s="414"/>
      <c r="AFX32" s="414"/>
      <c r="AFY32" s="414"/>
      <c r="AFZ32" s="414"/>
      <c r="AGA32" s="414"/>
      <c r="AGB32" s="414"/>
      <c r="AGC32" s="414"/>
      <c r="AGD32" s="414"/>
      <c r="AGE32" s="414"/>
      <c r="AGF32" s="414"/>
      <c r="AGG32" s="414"/>
      <c r="AGH32" s="414"/>
      <c r="AGI32" s="414"/>
      <c r="AGJ32" s="414"/>
      <c r="AGK32" s="414"/>
      <c r="AGL32" s="414"/>
      <c r="AGM32" s="414"/>
      <c r="AGN32" s="414"/>
      <c r="AGO32" s="414"/>
      <c r="AGP32" s="414"/>
      <c r="AGQ32" s="414"/>
      <c r="AGR32" s="414"/>
      <c r="AGS32" s="414"/>
      <c r="AGT32" s="414"/>
      <c r="AGU32" s="414"/>
      <c r="AGV32" s="414"/>
      <c r="AGW32" s="414"/>
      <c r="AGX32" s="414"/>
      <c r="AGY32" s="414"/>
      <c r="AGZ32" s="414"/>
      <c r="AHA32" s="414"/>
      <c r="AHB32" s="414"/>
      <c r="AHC32" s="414"/>
      <c r="AHD32" s="414"/>
      <c r="AHE32" s="414"/>
      <c r="AHF32" s="414"/>
      <c r="AHG32" s="414"/>
      <c r="AHH32" s="414"/>
      <c r="AHI32" s="414"/>
      <c r="AHJ32" s="414"/>
      <c r="AHK32" s="414"/>
      <c r="AHL32" s="414"/>
      <c r="AHM32" s="414"/>
      <c r="AHN32" s="414"/>
      <c r="AHO32" s="414"/>
      <c r="AHP32" s="414"/>
      <c r="AHQ32" s="414"/>
      <c r="AHR32" s="414"/>
      <c r="AHS32" s="414"/>
      <c r="AHT32" s="414"/>
      <c r="AHU32" s="414"/>
      <c r="AHV32" s="414"/>
      <c r="AHW32" s="414"/>
      <c r="AHX32" s="414"/>
      <c r="AHY32" s="414"/>
      <c r="AHZ32" s="414"/>
      <c r="AIA32" s="414"/>
      <c r="AIB32" s="414"/>
      <c r="AIC32" s="414"/>
      <c r="AID32" s="414"/>
      <c r="AIE32" s="414"/>
      <c r="AIF32" s="414"/>
      <c r="AIG32" s="414"/>
      <c r="AIH32" s="414"/>
      <c r="AII32" s="414"/>
      <c r="AIJ32" s="414"/>
      <c r="AIK32" s="414"/>
      <c r="AIL32" s="414"/>
      <c r="AIM32" s="414"/>
      <c r="AIN32" s="414"/>
      <c r="AIO32" s="414"/>
      <c r="AIP32" s="414"/>
      <c r="AIQ32" s="414"/>
      <c r="AIR32" s="414"/>
      <c r="AIS32" s="414"/>
      <c r="AIT32" s="414"/>
      <c r="AIU32" s="414"/>
      <c r="AIV32" s="414"/>
      <c r="AIW32" s="414"/>
      <c r="AIX32" s="414"/>
      <c r="AIY32" s="414"/>
      <c r="AIZ32" s="414"/>
      <c r="AJA32" s="414"/>
      <c r="AJB32" s="414"/>
      <c r="AJC32" s="414"/>
      <c r="AJD32" s="414"/>
      <c r="AJE32" s="414"/>
      <c r="AJF32" s="414"/>
      <c r="AJG32" s="414"/>
      <c r="AJH32" s="414"/>
      <c r="AJI32" s="414"/>
      <c r="AJJ32" s="414"/>
      <c r="AJK32" s="414"/>
      <c r="AJL32" s="414"/>
      <c r="AJM32" s="414"/>
      <c r="AJN32" s="414"/>
      <c r="AJO32" s="414"/>
      <c r="AJP32" s="414"/>
      <c r="AJQ32" s="414"/>
      <c r="AJR32" s="414"/>
      <c r="AJS32" s="414"/>
      <c r="AJT32" s="414"/>
      <c r="AJU32" s="414"/>
      <c r="AJV32" s="414"/>
      <c r="AJW32" s="414"/>
      <c r="AJX32" s="414"/>
      <c r="AJY32" s="414"/>
      <c r="AJZ32" s="414"/>
      <c r="AKA32" s="414"/>
      <c r="AKB32" s="414"/>
      <c r="AKC32" s="414"/>
      <c r="AKD32" s="414"/>
      <c r="AKE32" s="414"/>
      <c r="AKF32" s="414"/>
      <c r="AKG32" s="414"/>
      <c r="AKH32" s="414"/>
      <c r="AKI32" s="414"/>
      <c r="AKJ32" s="414"/>
      <c r="AKK32" s="414"/>
      <c r="AKL32" s="414"/>
      <c r="AKM32" s="414"/>
      <c r="AKN32" s="414"/>
      <c r="AKO32" s="414"/>
      <c r="AKP32" s="414"/>
      <c r="AKQ32" s="414"/>
      <c r="AKR32" s="414"/>
      <c r="AKS32" s="414"/>
      <c r="AKT32" s="414"/>
      <c r="AKU32" s="414"/>
      <c r="AKV32" s="414"/>
      <c r="AKW32" s="414"/>
      <c r="AKX32" s="414"/>
      <c r="AKY32" s="414"/>
      <c r="AKZ32" s="414"/>
      <c r="ALA32" s="414"/>
      <c r="ALB32" s="414"/>
      <c r="ALC32" s="414"/>
      <c r="ALD32" s="414"/>
      <c r="ALE32" s="414"/>
      <c r="ALF32" s="414"/>
      <c r="ALG32" s="414"/>
      <c r="ALH32" s="414"/>
      <c r="ALI32" s="414"/>
      <c r="ALJ32" s="414"/>
      <c r="ALK32" s="414"/>
      <c r="ALL32" s="414"/>
      <c r="ALM32" s="414"/>
      <c r="ALN32" s="414"/>
      <c r="ALO32" s="414"/>
      <c r="ALP32" s="414"/>
      <c r="ALQ32" s="414"/>
      <c r="ALR32" s="414"/>
      <c r="ALS32" s="414"/>
      <c r="ALT32" s="414"/>
      <c r="ALU32" s="414"/>
      <c r="ALV32" s="414"/>
      <c r="ALW32" s="414"/>
      <c r="ALX32" s="414"/>
      <c r="ALY32" s="414"/>
      <c r="ALZ32" s="414"/>
      <c r="AMA32" s="414"/>
      <c r="AMB32" s="414"/>
      <c r="AMC32" s="414"/>
      <c r="AMD32" s="414"/>
      <c r="AME32" s="414"/>
      <c r="AMF32" s="414"/>
      <c r="AMG32" s="414"/>
      <c r="AMH32" s="414"/>
      <c r="AMI32" s="414"/>
      <c r="AMJ32" s="414"/>
      <c r="AMK32" s="414"/>
      <c r="AML32" s="414"/>
      <c r="AMM32" s="414"/>
      <c r="AMN32" s="414"/>
      <c r="AMO32" s="414"/>
      <c r="AMP32" s="414"/>
      <c r="AMQ32" s="414"/>
      <c r="AMR32" s="414"/>
      <c r="AMS32" s="414"/>
      <c r="AMT32" s="414"/>
      <c r="AMU32" s="414"/>
      <c r="AMV32" s="414"/>
      <c r="AMW32" s="414"/>
      <c r="AMX32" s="414"/>
      <c r="AMY32" s="414"/>
      <c r="AMZ32" s="414"/>
      <c r="ANA32" s="414"/>
      <c r="ANB32" s="414"/>
      <c r="ANC32" s="414"/>
      <c r="AND32" s="414"/>
      <c r="ANE32" s="414"/>
      <c r="ANF32" s="414"/>
      <c r="ANG32" s="414"/>
      <c r="ANH32" s="414"/>
      <c r="ANI32" s="414"/>
      <c r="ANJ32" s="414"/>
      <c r="ANK32" s="414"/>
      <c r="ANL32" s="414"/>
      <c r="ANM32" s="414"/>
      <c r="ANN32" s="414"/>
      <c r="ANO32" s="414"/>
      <c r="ANP32" s="414"/>
      <c r="ANQ32" s="414"/>
      <c r="ANR32" s="414"/>
      <c r="ANS32" s="414"/>
      <c r="ANT32" s="414"/>
      <c r="ANU32" s="414"/>
      <c r="ANV32" s="414"/>
      <c r="ANW32" s="414"/>
      <c r="ANX32" s="414"/>
      <c r="ANY32" s="414"/>
      <c r="ANZ32" s="414"/>
      <c r="AOA32" s="414"/>
      <c r="AOB32" s="414"/>
      <c r="AOC32" s="414"/>
      <c r="AOD32" s="414"/>
      <c r="AOE32" s="414"/>
      <c r="AOF32" s="414"/>
      <c r="AOG32" s="414"/>
      <c r="AOH32" s="414"/>
      <c r="AOI32" s="414"/>
      <c r="AOJ32" s="414"/>
      <c r="AOK32" s="414"/>
      <c r="AOL32" s="414"/>
      <c r="AOM32" s="414"/>
      <c r="AON32" s="414"/>
      <c r="AOO32" s="414"/>
      <c r="AOP32" s="414"/>
      <c r="AOQ32" s="414"/>
      <c r="AOR32" s="414"/>
      <c r="AOS32" s="414"/>
      <c r="AOT32" s="414"/>
      <c r="AOU32" s="414"/>
      <c r="AOV32" s="414"/>
      <c r="AOW32" s="414"/>
      <c r="AOX32" s="414"/>
      <c r="AOY32" s="414"/>
      <c r="AOZ32" s="414"/>
      <c r="APA32" s="414"/>
      <c r="APB32" s="414"/>
      <c r="APC32" s="414"/>
      <c r="APD32" s="414"/>
      <c r="APE32" s="414"/>
      <c r="APF32" s="414"/>
      <c r="APG32" s="414"/>
      <c r="APH32" s="414"/>
      <c r="API32" s="414"/>
      <c r="APJ32" s="414"/>
      <c r="APK32" s="414"/>
      <c r="APL32" s="414"/>
      <c r="APM32" s="414"/>
      <c r="APN32" s="414"/>
      <c r="APO32" s="414"/>
      <c r="APP32" s="414"/>
      <c r="APQ32" s="414"/>
      <c r="APR32" s="414"/>
      <c r="APS32" s="414"/>
      <c r="APT32" s="414"/>
      <c r="APU32" s="414"/>
      <c r="APV32" s="414"/>
      <c r="APW32" s="414"/>
      <c r="APX32" s="414"/>
      <c r="APY32" s="414"/>
      <c r="APZ32" s="414"/>
      <c r="AQA32" s="414"/>
      <c r="AQB32" s="414"/>
      <c r="AQC32" s="414"/>
      <c r="AQD32" s="414"/>
      <c r="AQE32" s="414"/>
      <c r="AQF32" s="414"/>
      <c r="AQG32" s="414"/>
      <c r="AQH32" s="414"/>
      <c r="AQI32" s="414"/>
      <c r="AQJ32" s="414"/>
      <c r="AQK32" s="414"/>
      <c r="AQL32" s="414"/>
      <c r="AQM32" s="414"/>
      <c r="AQN32" s="414"/>
      <c r="AQO32" s="414"/>
      <c r="AQP32" s="414"/>
      <c r="AQQ32" s="414"/>
      <c r="AQR32" s="414"/>
      <c r="AQS32" s="414"/>
      <c r="AQT32" s="414"/>
      <c r="AQU32" s="414"/>
      <c r="AQV32" s="414"/>
      <c r="AQW32" s="414"/>
      <c r="AQX32" s="414"/>
      <c r="AQY32" s="414"/>
      <c r="AQZ32" s="414"/>
      <c r="ARA32" s="414"/>
      <c r="ARB32" s="414"/>
      <c r="ARC32" s="414"/>
      <c r="ARD32" s="414"/>
      <c r="ARE32" s="414"/>
      <c r="ARF32" s="414"/>
      <c r="ARG32" s="414"/>
      <c r="ARH32" s="414"/>
      <c r="ARI32" s="414"/>
      <c r="ARJ32" s="414"/>
      <c r="ARK32" s="414"/>
      <c r="ARL32" s="414"/>
      <c r="ARM32" s="414"/>
      <c r="ARN32" s="414"/>
      <c r="ARO32" s="414"/>
      <c r="ARP32" s="414"/>
      <c r="ARQ32" s="414"/>
      <c r="ARR32" s="414"/>
      <c r="ARS32" s="414"/>
      <c r="ART32" s="414"/>
      <c r="ARU32" s="414"/>
      <c r="ARV32" s="414"/>
      <c r="ARW32" s="414"/>
      <c r="ARX32" s="414"/>
      <c r="ARY32" s="414"/>
      <c r="ARZ32" s="414"/>
      <c r="ASA32" s="414"/>
      <c r="ASB32" s="414"/>
      <c r="ASC32" s="414"/>
      <c r="ASD32" s="414"/>
      <c r="ASE32" s="414"/>
      <c r="ASF32" s="414"/>
      <c r="ASG32" s="414"/>
      <c r="ASH32" s="414"/>
      <c r="ASI32" s="414"/>
      <c r="ASJ32" s="414"/>
      <c r="ASK32" s="414"/>
      <c r="ASL32" s="414"/>
      <c r="ASM32" s="414"/>
      <c r="ASN32" s="414"/>
      <c r="ASO32" s="414"/>
      <c r="ASP32" s="414"/>
      <c r="ASQ32" s="414"/>
      <c r="ASR32" s="414"/>
      <c r="ASS32" s="414"/>
      <c r="AST32" s="414"/>
      <c r="ASU32" s="414"/>
      <c r="ASV32" s="414"/>
      <c r="ASW32" s="414"/>
      <c r="ASX32" s="414"/>
      <c r="ASY32" s="414"/>
      <c r="ASZ32" s="414"/>
      <c r="ATA32" s="414"/>
      <c r="ATB32" s="414"/>
      <c r="ATC32" s="414"/>
      <c r="ATD32" s="414"/>
      <c r="ATE32" s="414"/>
      <c r="ATF32" s="414"/>
      <c r="ATG32" s="414"/>
      <c r="ATH32" s="414"/>
      <c r="ATI32" s="414"/>
      <c r="ATJ32" s="414"/>
      <c r="ATK32" s="414"/>
      <c r="ATL32" s="414"/>
      <c r="ATM32" s="414"/>
      <c r="ATN32" s="414"/>
      <c r="ATO32" s="414"/>
      <c r="ATP32" s="414"/>
      <c r="ATQ32" s="414"/>
      <c r="ATR32" s="414"/>
      <c r="ATS32" s="414"/>
      <c r="ATT32" s="414"/>
      <c r="ATU32" s="414"/>
      <c r="ATV32" s="414"/>
      <c r="ATW32" s="414"/>
      <c r="ATX32" s="414"/>
      <c r="ATY32" s="414"/>
      <c r="ATZ32" s="414"/>
      <c r="AUA32" s="414"/>
      <c r="AUB32" s="414"/>
      <c r="AUC32" s="414"/>
      <c r="AUD32" s="414"/>
      <c r="AUE32" s="414"/>
      <c r="AUF32" s="414"/>
      <c r="AUG32" s="414"/>
      <c r="AUH32" s="414"/>
      <c r="AUI32" s="414"/>
      <c r="AUJ32" s="414"/>
      <c r="AUK32" s="414"/>
      <c r="AUL32" s="414"/>
      <c r="AUM32" s="414"/>
      <c r="AUN32" s="414"/>
      <c r="AUO32" s="414"/>
      <c r="AUP32" s="414"/>
      <c r="AUQ32" s="414"/>
      <c r="AUR32" s="414"/>
      <c r="AUS32" s="414"/>
      <c r="AUT32" s="414"/>
      <c r="AUU32" s="414"/>
      <c r="AUV32" s="414"/>
      <c r="AUW32" s="414"/>
      <c r="AUX32" s="414"/>
      <c r="AUY32" s="414"/>
      <c r="AUZ32" s="414"/>
      <c r="AVA32" s="414"/>
      <c r="AVB32" s="414"/>
      <c r="AVC32" s="414"/>
      <c r="AVD32" s="414"/>
      <c r="AVE32" s="414"/>
      <c r="AVF32" s="414"/>
      <c r="AVG32" s="414"/>
      <c r="AVH32" s="414"/>
      <c r="AVI32" s="414"/>
      <c r="AVJ32" s="414"/>
      <c r="AVK32" s="414"/>
      <c r="AVL32" s="414"/>
      <c r="AVM32" s="414"/>
      <c r="AVN32" s="414"/>
      <c r="AVO32" s="414"/>
      <c r="AVP32" s="414"/>
      <c r="AVQ32" s="414"/>
      <c r="AVR32" s="414"/>
      <c r="AVS32" s="414"/>
      <c r="AVT32" s="414"/>
      <c r="AVU32" s="414"/>
      <c r="AVV32" s="414"/>
      <c r="AVW32" s="414"/>
      <c r="AVX32" s="414"/>
      <c r="AVY32" s="414"/>
      <c r="AVZ32" s="414"/>
      <c r="AWA32" s="414"/>
      <c r="AWB32" s="414"/>
      <c r="AWC32" s="414"/>
      <c r="AWD32" s="414"/>
      <c r="AWE32" s="414"/>
      <c r="AWF32" s="414"/>
      <c r="AWG32" s="414"/>
      <c r="AWH32" s="414"/>
      <c r="AWI32" s="414"/>
      <c r="AWJ32" s="414"/>
      <c r="AWK32" s="414"/>
      <c r="AWL32" s="414"/>
      <c r="AWM32" s="414"/>
      <c r="AWN32" s="414"/>
      <c r="AWO32" s="414"/>
      <c r="AWP32" s="414"/>
      <c r="AWQ32" s="414"/>
      <c r="AWR32" s="414"/>
      <c r="AWS32" s="414"/>
      <c r="AWT32" s="414"/>
      <c r="AWU32" s="414"/>
      <c r="AWV32" s="414"/>
      <c r="AWW32" s="414"/>
      <c r="AWX32" s="414"/>
      <c r="AWY32" s="414"/>
      <c r="AWZ32" s="414"/>
      <c r="AXA32" s="414"/>
      <c r="AXB32" s="414"/>
      <c r="AXC32" s="414"/>
      <c r="AXD32" s="414"/>
      <c r="AXE32" s="414"/>
      <c r="AXF32" s="414"/>
      <c r="AXG32" s="414"/>
      <c r="AXH32" s="414"/>
      <c r="AXI32" s="414"/>
      <c r="AXJ32" s="414"/>
      <c r="AXK32" s="414"/>
      <c r="AXL32" s="414"/>
      <c r="AXM32" s="414"/>
      <c r="AXN32" s="414"/>
      <c r="AXO32" s="414"/>
      <c r="AXP32" s="414"/>
      <c r="AXQ32" s="414"/>
      <c r="AXR32" s="414"/>
      <c r="AXS32" s="414"/>
      <c r="AXT32" s="414"/>
      <c r="AXU32" s="414"/>
      <c r="AXV32" s="414"/>
      <c r="AXW32" s="414"/>
      <c r="AXX32" s="414"/>
      <c r="AXY32" s="414"/>
      <c r="AXZ32" s="414"/>
      <c r="AYA32" s="414"/>
      <c r="AYB32" s="414"/>
      <c r="AYC32" s="414"/>
      <c r="AYD32" s="414"/>
      <c r="AYE32" s="414"/>
      <c r="AYF32" s="414"/>
      <c r="AYG32" s="414"/>
      <c r="AYH32" s="414"/>
      <c r="AYI32" s="414"/>
      <c r="AYJ32" s="414"/>
      <c r="AYK32" s="414"/>
      <c r="AYL32" s="414"/>
      <c r="AYM32" s="414"/>
      <c r="AYN32" s="414"/>
      <c r="AYO32" s="414"/>
      <c r="AYP32" s="414"/>
      <c r="AYQ32" s="414"/>
      <c r="AYR32" s="414"/>
      <c r="AYS32" s="414"/>
      <c r="AYT32" s="414"/>
      <c r="AYU32" s="414"/>
      <c r="AYV32" s="414"/>
      <c r="AYW32" s="414"/>
      <c r="AYX32" s="414"/>
      <c r="AYY32" s="414"/>
      <c r="AYZ32" s="414"/>
      <c r="AZA32" s="414"/>
      <c r="AZB32" s="414"/>
      <c r="AZC32" s="414"/>
      <c r="AZD32" s="414"/>
      <c r="AZE32" s="414"/>
      <c r="AZF32" s="414"/>
      <c r="AZG32" s="414"/>
      <c r="AZH32" s="414"/>
      <c r="AZI32" s="414"/>
      <c r="AZJ32" s="414"/>
      <c r="AZK32" s="414"/>
      <c r="AZL32" s="414"/>
      <c r="AZM32" s="414"/>
      <c r="AZN32" s="414"/>
      <c r="AZO32" s="414"/>
      <c r="AZP32" s="414"/>
      <c r="AZQ32" s="414"/>
      <c r="AZR32" s="414"/>
      <c r="AZS32" s="414"/>
      <c r="AZT32" s="414"/>
      <c r="AZU32" s="414"/>
      <c r="AZV32" s="414"/>
      <c r="AZW32" s="414"/>
      <c r="AZX32" s="414"/>
      <c r="AZY32" s="414"/>
      <c r="AZZ32" s="414"/>
      <c r="BAA32" s="414"/>
      <c r="BAB32" s="414"/>
      <c r="BAC32" s="414"/>
      <c r="BAD32" s="414"/>
      <c r="BAE32" s="414"/>
      <c r="BAF32" s="414"/>
      <c r="BAG32" s="414"/>
      <c r="BAH32" s="414"/>
      <c r="BAI32" s="414"/>
      <c r="BAJ32" s="414"/>
      <c r="BAK32" s="414"/>
      <c r="BAL32" s="414"/>
      <c r="BAM32" s="414"/>
      <c r="BAN32" s="414"/>
      <c r="BAO32" s="414"/>
      <c r="BAP32" s="414"/>
      <c r="BAQ32" s="414"/>
      <c r="BAR32" s="414"/>
      <c r="BAS32" s="414"/>
      <c r="BAT32" s="414"/>
      <c r="BAU32" s="414"/>
      <c r="BAV32" s="414"/>
      <c r="BAW32" s="414"/>
      <c r="BAX32" s="414"/>
      <c r="BAY32" s="414"/>
      <c r="BAZ32" s="414"/>
      <c r="BBA32" s="414"/>
      <c r="BBB32" s="414"/>
      <c r="BBC32" s="414"/>
      <c r="BBD32" s="414"/>
      <c r="BBE32" s="414"/>
      <c r="BBF32" s="414"/>
      <c r="BBG32" s="414"/>
      <c r="BBH32" s="414"/>
      <c r="BBI32" s="414"/>
      <c r="BBJ32" s="414"/>
      <c r="BBK32" s="414"/>
      <c r="BBL32" s="414"/>
      <c r="BBM32" s="414"/>
      <c r="BBN32" s="414"/>
      <c r="BBO32" s="414"/>
      <c r="BBP32" s="414"/>
      <c r="BBQ32" s="414"/>
      <c r="BBR32" s="414"/>
      <c r="BBS32" s="414"/>
      <c r="BBT32" s="414"/>
      <c r="BBU32" s="414"/>
      <c r="BBV32" s="414"/>
      <c r="BBW32" s="414"/>
      <c r="BBX32" s="414"/>
      <c r="BBY32" s="414"/>
      <c r="BBZ32" s="414"/>
      <c r="BCA32" s="414"/>
      <c r="BCB32" s="414"/>
      <c r="BCC32" s="414"/>
      <c r="BCD32" s="414"/>
      <c r="BCE32" s="414"/>
      <c r="BCF32" s="414"/>
      <c r="BCG32" s="414"/>
      <c r="BCH32" s="414"/>
      <c r="BCI32" s="414"/>
      <c r="BCJ32" s="414"/>
      <c r="BCK32" s="414"/>
      <c r="BCL32" s="414"/>
      <c r="BCM32" s="414"/>
      <c r="BCN32" s="414"/>
      <c r="BCO32" s="414"/>
      <c r="BCP32" s="414"/>
      <c r="BCQ32" s="414"/>
      <c r="BCR32" s="414"/>
      <c r="BCS32" s="414"/>
      <c r="BCT32" s="414"/>
      <c r="BCU32" s="414"/>
      <c r="BCV32" s="414"/>
      <c r="BCW32" s="414"/>
      <c r="BCX32" s="414"/>
      <c r="BCY32" s="414"/>
      <c r="BCZ32" s="414"/>
      <c r="BDA32" s="414"/>
      <c r="BDB32" s="414"/>
      <c r="BDC32" s="414"/>
      <c r="BDD32" s="414"/>
      <c r="BDE32" s="414"/>
      <c r="BDF32" s="414"/>
      <c r="BDG32" s="414"/>
      <c r="BDH32" s="414"/>
      <c r="BDI32" s="414"/>
      <c r="BDJ32" s="414"/>
      <c r="BDK32" s="414"/>
      <c r="BDL32" s="414"/>
      <c r="BDM32" s="414"/>
      <c r="BDN32" s="414"/>
      <c r="BDO32" s="414"/>
      <c r="BDP32" s="414"/>
      <c r="BDQ32" s="414"/>
      <c r="BDR32" s="414"/>
      <c r="BDS32" s="414"/>
      <c r="BDT32" s="414"/>
      <c r="BDU32" s="414"/>
      <c r="BDV32" s="414"/>
      <c r="BDW32" s="414"/>
      <c r="BDX32" s="414"/>
      <c r="BDY32" s="414"/>
      <c r="BDZ32" s="414"/>
      <c r="BEA32" s="414"/>
      <c r="BEB32" s="414"/>
      <c r="BEC32" s="414"/>
      <c r="BED32" s="414"/>
      <c r="BEE32" s="414"/>
      <c r="BEF32" s="414"/>
      <c r="BEG32" s="414"/>
      <c r="BEH32" s="414"/>
      <c r="BEI32" s="414"/>
      <c r="BEJ32" s="414"/>
      <c r="BEK32" s="414"/>
      <c r="BEL32" s="414"/>
      <c r="BEM32" s="414"/>
      <c r="BEN32" s="414"/>
      <c r="BEO32" s="414"/>
      <c r="BEP32" s="414"/>
      <c r="BEQ32" s="414"/>
      <c r="BER32" s="414"/>
      <c r="BES32" s="414"/>
      <c r="BET32" s="414"/>
      <c r="BEU32" s="414"/>
      <c r="BEV32" s="414"/>
      <c r="BEW32" s="414"/>
      <c r="BEX32" s="414"/>
      <c r="BEY32" s="414"/>
      <c r="BEZ32" s="414"/>
      <c r="BFA32" s="414"/>
      <c r="BFB32" s="414"/>
      <c r="BFC32" s="414"/>
      <c r="BFD32" s="414"/>
      <c r="BFE32" s="414"/>
      <c r="BFF32" s="414"/>
      <c r="BFG32" s="414"/>
      <c r="BFH32" s="414"/>
      <c r="BFI32" s="414"/>
      <c r="BFJ32" s="414"/>
      <c r="BFK32" s="414"/>
      <c r="BFL32" s="414"/>
      <c r="BFM32" s="414"/>
      <c r="BFN32" s="414"/>
      <c r="BFO32" s="414"/>
      <c r="BFP32" s="414"/>
      <c r="BFQ32" s="414"/>
      <c r="BFR32" s="414"/>
      <c r="BFS32" s="414"/>
      <c r="BFT32" s="414"/>
      <c r="BFU32" s="414"/>
      <c r="BFV32" s="414"/>
      <c r="BFW32" s="414"/>
      <c r="BFX32" s="414"/>
      <c r="BFY32" s="414"/>
      <c r="BFZ32" s="414"/>
      <c r="BGA32" s="414"/>
      <c r="BGB32" s="414"/>
      <c r="BGC32" s="414"/>
      <c r="BGD32" s="414"/>
      <c r="BGE32" s="414"/>
      <c r="BGF32" s="414"/>
      <c r="BGG32" s="414"/>
      <c r="BGH32" s="414"/>
      <c r="BGI32" s="414"/>
      <c r="BGJ32" s="414"/>
      <c r="BGK32" s="414"/>
      <c r="BGL32" s="414"/>
      <c r="BGM32" s="414"/>
      <c r="BGN32" s="414"/>
      <c r="BGO32" s="414"/>
      <c r="BGP32" s="414"/>
      <c r="BGQ32" s="414"/>
      <c r="BGR32" s="414"/>
      <c r="BGS32" s="414"/>
      <c r="BGT32" s="414"/>
      <c r="BGU32" s="414"/>
      <c r="BGV32" s="414"/>
      <c r="BGW32" s="414"/>
      <c r="BGX32" s="414"/>
      <c r="BGY32" s="414"/>
      <c r="BGZ32" s="414"/>
      <c r="BHA32" s="414"/>
      <c r="BHB32" s="414"/>
      <c r="BHC32" s="414"/>
      <c r="BHD32" s="414"/>
      <c r="BHE32" s="414"/>
      <c r="BHF32" s="414"/>
      <c r="BHG32" s="414"/>
      <c r="BHH32" s="414"/>
      <c r="BHI32" s="414"/>
      <c r="BHJ32" s="414"/>
      <c r="BHK32" s="414"/>
      <c r="BHL32" s="414"/>
      <c r="BHM32" s="414"/>
      <c r="BHN32" s="414"/>
      <c r="BHO32" s="414"/>
      <c r="BHP32" s="414"/>
      <c r="BHQ32" s="414"/>
      <c r="BHR32" s="414"/>
      <c r="BHS32" s="414"/>
      <c r="BHT32" s="414"/>
      <c r="BHU32" s="414"/>
      <c r="BHV32" s="414"/>
      <c r="BHW32" s="414"/>
      <c r="BHX32" s="414"/>
      <c r="BHY32" s="414"/>
      <c r="BHZ32" s="414"/>
      <c r="BIA32" s="414"/>
      <c r="BIB32" s="414"/>
      <c r="BIC32" s="414"/>
      <c r="BID32" s="414"/>
      <c r="BIE32" s="414"/>
      <c r="BIF32" s="414"/>
      <c r="BIG32" s="414"/>
      <c r="BIH32" s="414"/>
      <c r="BII32" s="414"/>
      <c r="BIJ32" s="414"/>
      <c r="BIK32" s="414"/>
      <c r="BIL32" s="414"/>
      <c r="BIM32" s="414"/>
      <c r="BIN32" s="414"/>
      <c r="BIO32" s="414"/>
      <c r="BIP32" s="414"/>
      <c r="BIQ32" s="414"/>
      <c r="BIR32" s="414"/>
      <c r="BIS32" s="414"/>
      <c r="BIT32" s="414"/>
      <c r="BIU32" s="414"/>
      <c r="BIV32" s="414"/>
      <c r="BIW32" s="414"/>
      <c r="BIX32" s="414"/>
      <c r="BIY32" s="414"/>
      <c r="BIZ32" s="414"/>
      <c r="BJA32" s="414"/>
      <c r="BJB32" s="414"/>
      <c r="BJC32" s="414"/>
      <c r="BJD32" s="414"/>
      <c r="BJE32" s="414"/>
      <c r="BJF32" s="414"/>
      <c r="BJG32" s="414"/>
      <c r="BJH32" s="414"/>
      <c r="BJI32" s="414"/>
      <c r="BJJ32" s="414"/>
      <c r="BJK32" s="414"/>
      <c r="BJL32" s="414"/>
      <c r="BJM32" s="414"/>
      <c r="BJN32" s="414"/>
      <c r="BJO32" s="414"/>
      <c r="BJP32" s="414"/>
      <c r="BJQ32" s="414"/>
      <c r="BJR32" s="414"/>
      <c r="BJS32" s="414"/>
      <c r="BJT32" s="414"/>
      <c r="BJU32" s="414"/>
      <c r="BJV32" s="414"/>
      <c r="BJW32" s="414"/>
      <c r="BJX32" s="414"/>
      <c r="BJY32" s="414"/>
      <c r="BJZ32" s="414"/>
      <c r="BKA32" s="414"/>
      <c r="BKB32" s="414"/>
      <c r="BKC32" s="414"/>
      <c r="BKD32" s="414"/>
      <c r="BKE32" s="414"/>
      <c r="BKF32" s="414"/>
      <c r="BKG32" s="414"/>
      <c r="BKH32" s="414"/>
      <c r="BKI32" s="414"/>
      <c r="BKJ32" s="414"/>
      <c r="BKK32" s="414"/>
      <c r="BKL32" s="414"/>
      <c r="BKM32" s="414"/>
      <c r="BKN32" s="414"/>
      <c r="BKO32" s="414"/>
      <c r="BKP32" s="414"/>
      <c r="BKQ32" s="414"/>
      <c r="BKR32" s="414"/>
      <c r="BKS32" s="414"/>
      <c r="BKT32" s="414"/>
      <c r="BKU32" s="414"/>
      <c r="BKV32" s="414"/>
      <c r="BKW32" s="414"/>
      <c r="BKX32" s="414"/>
      <c r="BKY32" s="414"/>
      <c r="BKZ32" s="414"/>
      <c r="BLA32" s="414"/>
      <c r="BLB32" s="414"/>
      <c r="BLC32" s="414"/>
      <c r="BLD32" s="414"/>
      <c r="BLE32" s="414"/>
      <c r="BLF32" s="414"/>
      <c r="BLG32" s="414"/>
      <c r="BLH32" s="414"/>
      <c r="BLI32" s="414"/>
      <c r="BLJ32" s="414"/>
      <c r="BLK32" s="414"/>
      <c r="BLL32" s="414"/>
      <c r="BLM32" s="414"/>
      <c r="BLN32" s="414"/>
      <c r="BLO32" s="414"/>
      <c r="BLP32" s="414"/>
      <c r="BLQ32" s="414"/>
      <c r="BLR32" s="414"/>
      <c r="BLS32" s="414"/>
      <c r="BLT32" s="414"/>
      <c r="BLU32" s="414"/>
      <c r="BLV32" s="414"/>
      <c r="BLW32" s="414"/>
      <c r="BLX32" s="414"/>
      <c r="BLY32" s="414"/>
      <c r="BLZ32" s="414"/>
      <c r="BMA32" s="414"/>
      <c r="BMB32" s="414"/>
      <c r="BMC32" s="414"/>
      <c r="BMD32" s="414"/>
      <c r="BME32" s="414"/>
      <c r="BMF32" s="414"/>
      <c r="BMG32" s="414"/>
      <c r="BMH32" s="414"/>
      <c r="BMI32" s="414"/>
      <c r="BMJ32" s="414"/>
      <c r="BMK32" s="414"/>
      <c r="BML32" s="414"/>
      <c r="BMM32" s="414"/>
      <c r="BMN32" s="414"/>
      <c r="BMO32" s="414"/>
      <c r="BMP32" s="414"/>
      <c r="BMQ32" s="414"/>
      <c r="BMR32" s="414"/>
      <c r="BMS32" s="414"/>
      <c r="BMT32" s="414"/>
      <c r="BMU32" s="414"/>
      <c r="BMV32" s="414"/>
      <c r="BMW32" s="414"/>
      <c r="BMX32" s="414"/>
      <c r="BMY32" s="414"/>
      <c r="BMZ32" s="414"/>
      <c r="BNA32" s="414"/>
      <c r="BNB32" s="414"/>
      <c r="BNC32" s="414"/>
      <c r="BND32" s="414"/>
      <c r="BNE32" s="414"/>
      <c r="BNF32" s="414"/>
      <c r="BNG32" s="414"/>
      <c r="BNH32" s="414"/>
      <c r="BNI32" s="414"/>
      <c r="BNJ32" s="414"/>
      <c r="BNK32" s="414"/>
      <c r="BNL32" s="414"/>
      <c r="BNM32" s="414"/>
      <c r="BNN32" s="414"/>
      <c r="BNO32" s="414"/>
      <c r="BNP32" s="414"/>
      <c r="BNQ32" s="414"/>
      <c r="BNR32" s="414"/>
      <c r="BNS32" s="414"/>
      <c r="BNT32" s="414"/>
      <c r="BNU32" s="414"/>
      <c r="BNV32" s="414"/>
      <c r="BNW32" s="414"/>
      <c r="BNX32" s="414"/>
      <c r="BNY32" s="414"/>
      <c r="BNZ32" s="414"/>
      <c r="BOA32" s="414"/>
      <c r="BOB32" s="414"/>
      <c r="BOC32" s="414"/>
      <c r="BOD32" s="414"/>
      <c r="BOE32" s="414"/>
      <c r="BOF32" s="414"/>
      <c r="BOG32" s="414"/>
      <c r="BOH32" s="414"/>
      <c r="BOI32" s="414"/>
      <c r="BOJ32" s="414"/>
      <c r="BOK32" s="414"/>
      <c r="BOL32" s="414"/>
      <c r="BOM32" s="414"/>
      <c r="BON32" s="414"/>
      <c r="BOO32" s="414"/>
      <c r="BOP32" s="414"/>
      <c r="BOQ32" s="414"/>
      <c r="BOR32" s="414"/>
      <c r="BOS32" s="414"/>
      <c r="BOT32" s="414"/>
      <c r="BOU32" s="414"/>
      <c r="BOV32" s="414"/>
      <c r="BOW32" s="414"/>
      <c r="BOX32" s="414"/>
      <c r="BOY32" s="414"/>
      <c r="BOZ32" s="414"/>
      <c r="BPA32" s="414"/>
      <c r="BPB32" s="414"/>
      <c r="BPC32" s="414"/>
      <c r="BPD32" s="414"/>
      <c r="BPE32" s="414"/>
      <c r="BPF32" s="414"/>
      <c r="BPG32" s="414"/>
      <c r="BPH32" s="414"/>
      <c r="BPI32" s="414"/>
      <c r="BPJ32" s="414"/>
      <c r="BPK32" s="414"/>
      <c r="BPL32" s="414"/>
      <c r="BPM32" s="414"/>
      <c r="BPN32" s="414"/>
      <c r="BPO32" s="414"/>
      <c r="BPP32" s="414"/>
      <c r="BPQ32" s="414"/>
      <c r="BPR32" s="414"/>
      <c r="BPS32" s="414"/>
      <c r="BPT32" s="414"/>
      <c r="BPU32" s="414"/>
      <c r="BPV32" s="414"/>
      <c r="BPW32" s="414"/>
      <c r="BPX32" s="414"/>
      <c r="BPY32" s="414"/>
      <c r="BPZ32" s="414"/>
      <c r="BQA32" s="414"/>
      <c r="BQB32" s="414"/>
      <c r="BQC32" s="414"/>
      <c r="BQD32" s="414"/>
      <c r="BQE32" s="414"/>
      <c r="BQF32" s="414"/>
      <c r="BQG32" s="414"/>
      <c r="BQH32" s="414"/>
      <c r="BQI32" s="414"/>
      <c r="BQJ32" s="414"/>
      <c r="BQK32" s="414"/>
      <c r="BQL32" s="414"/>
      <c r="BQM32" s="414"/>
      <c r="BQN32" s="414"/>
      <c r="BQO32" s="414"/>
      <c r="BQP32" s="414"/>
      <c r="BQQ32" s="414"/>
      <c r="BQR32" s="414"/>
      <c r="BQS32" s="414"/>
      <c r="BQT32" s="414"/>
      <c r="BQU32" s="414"/>
      <c r="BQV32" s="414"/>
      <c r="BQW32" s="414"/>
      <c r="BQX32" s="414"/>
      <c r="BQY32" s="414"/>
      <c r="BQZ32" s="414"/>
      <c r="BRA32" s="414"/>
      <c r="BRB32" s="414"/>
      <c r="BRC32" s="414"/>
      <c r="BRD32" s="414"/>
      <c r="BRE32" s="414"/>
      <c r="BRF32" s="414"/>
      <c r="BRG32" s="414"/>
      <c r="BRH32" s="414"/>
      <c r="BRI32" s="414"/>
      <c r="BRJ32" s="414"/>
      <c r="BRK32" s="414"/>
      <c r="BRL32" s="414"/>
      <c r="BRM32" s="414"/>
      <c r="BRN32" s="414"/>
      <c r="BRO32" s="414"/>
      <c r="BRP32" s="414"/>
      <c r="BRQ32" s="414"/>
      <c r="BRR32" s="414"/>
      <c r="BRS32" s="414"/>
      <c r="BRT32" s="414"/>
      <c r="BRU32" s="414"/>
      <c r="BRV32" s="414"/>
      <c r="BRW32" s="414"/>
      <c r="BRX32" s="414"/>
      <c r="BRY32" s="414"/>
      <c r="BRZ32" s="414"/>
      <c r="BSA32" s="414"/>
      <c r="BSB32" s="414"/>
      <c r="BSC32" s="414"/>
      <c r="BSD32" s="414"/>
      <c r="BSE32" s="414"/>
      <c r="BSF32" s="414"/>
      <c r="BSG32" s="414"/>
      <c r="BSH32" s="414"/>
      <c r="BSI32" s="414"/>
      <c r="BSJ32" s="414"/>
      <c r="BSK32" s="414"/>
      <c r="BSL32" s="414"/>
      <c r="BSM32" s="414"/>
      <c r="BSN32" s="414"/>
      <c r="BSO32" s="414"/>
      <c r="BSP32" s="414"/>
      <c r="BSQ32" s="414"/>
      <c r="BSR32" s="414"/>
      <c r="BSS32" s="414"/>
      <c r="BST32" s="414"/>
      <c r="BSU32" s="414"/>
      <c r="BSV32" s="414"/>
      <c r="BSW32" s="414"/>
      <c r="BSX32" s="414"/>
      <c r="BSY32" s="414"/>
      <c r="BSZ32" s="414"/>
      <c r="BTA32" s="414"/>
      <c r="BTB32" s="414"/>
      <c r="BTC32" s="414"/>
      <c r="BTD32" s="414"/>
      <c r="BTE32" s="414"/>
      <c r="BTF32" s="414"/>
      <c r="BTG32" s="414"/>
      <c r="BTH32" s="414"/>
      <c r="BTI32" s="414"/>
      <c r="BTJ32" s="414"/>
      <c r="BTK32" s="414"/>
      <c r="BTL32" s="414"/>
      <c r="BTM32" s="414"/>
      <c r="BTN32" s="414"/>
      <c r="BTO32" s="414"/>
      <c r="BTP32" s="414"/>
      <c r="BTQ32" s="414"/>
      <c r="BTR32" s="414"/>
      <c r="BTS32" s="414"/>
      <c r="BTT32" s="414"/>
      <c r="BTU32" s="414"/>
      <c r="BTV32" s="414"/>
      <c r="BTW32" s="414"/>
      <c r="BTX32" s="414"/>
      <c r="BTY32" s="414"/>
      <c r="BTZ32" s="414"/>
      <c r="BUA32" s="414"/>
      <c r="BUB32" s="414"/>
      <c r="BUC32" s="414"/>
      <c r="BUD32" s="414"/>
      <c r="BUE32" s="414"/>
      <c r="BUF32" s="414"/>
      <c r="BUG32" s="414"/>
      <c r="BUH32" s="414"/>
      <c r="BUI32" s="414"/>
      <c r="BUJ32" s="414"/>
      <c r="BUK32" s="414"/>
      <c r="BUL32" s="414"/>
      <c r="BUM32" s="414"/>
      <c r="BUN32" s="414"/>
      <c r="BUO32" s="414"/>
      <c r="BUP32" s="414"/>
      <c r="BUQ32" s="414"/>
      <c r="BUR32" s="414"/>
      <c r="BUS32" s="414"/>
      <c r="BUT32" s="414"/>
      <c r="BUU32" s="414"/>
      <c r="BUV32" s="414"/>
      <c r="BUW32" s="414"/>
      <c r="BUX32" s="414"/>
      <c r="BUY32" s="414"/>
      <c r="BUZ32" s="414"/>
      <c r="BVA32" s="414"/>
      <c r="BVB32" s="414"/>
      <c r="BVC32" s="414"/>
      <c r="BVD32" s="414"/>
      <c r="BVE32" s="414"/>
      <c r="BVF32" s="414"/>
      <c r="BVG32" s="414"/>
      <c r="BVH32" s="414"/>
      <c r="BVI32" s="414"/>
      <c r="BVJ32" s="414"/>
      <c r="BVK32" s="414"/>
      <c r="BVL32" s="414"/>
      <c r="BVM32" s="414"/>
      <c r="BVN32" s="414"/>
      <c r="BVO32" s="414"/>
      <c r="BVP32" s="414"/>
      <c r="BVQ32" s="414"/>
      <c r="BVR32" s="414"/>
      <c r="BVS32" s="414"/>
      <c r="BVT32" s="414"/>
      <c r="BVU32" s="414"/>
      <c r="BVV32" s="414"/>
      <c r="BVW32" s="414"/>
      <c r="BVX32" s="414"/>
      <c r="BVY32" s="414"/>
      <c r="BVZ32" s="414"/>
      <c r="BWA32" s="414"/>
      <c r="BWB32" s="414"/>
      <c r="BWC32" s="414"/>
      <c r="BWD32" s="414"/>
      <c r="BWE32" s="414"/>
      <c r="BWF32" s="414"/>
      <c r="BWG32" s="414"/>
      <c r="BWH32" s="414"/>
      <c r="BWI32" s="414"/>
      <c r="BWJ32" s="414"/>
      <c r="BWK32" s="414"/>
      <c r="BWL32" s="414"/>
      <c r="BWM32" s="414"/>
      <c r="BWN32" s="414"/>
      <c r="BWO32" s="414"/>
      <c r="BWP32" s="414"/>
      <c r="BWQ32" s="414"/>
      <c r="BWR32" s="414"/>
      <c r="BWS32" s="414"/>
      <c r="BWT32" s="414"/>
      <c r="BWU32" s="414"/>
      <c r="BWV32" s="414"/>
      <c r="BWW32" s="414"/>
      <c r="BWX32" s="414"/>
      <c r="BWY32" s="414"/>
      <c r="BWZ32" s="414"/>
      <c r="BXA32" s="414"/>
      <c r="BXB32" s="414"/>
      <c r="BXC32" s="414"/>
      <c r="BXD32" s="414"/>
      <c r="BXE32" s="414"/>
      <c r="BXF32" s="414"/>
      <c r="BXG32" s="414"/>
      <c r="BXH32" s="414"/>
      <c r="BXI32" s="414"/>
      <c r="BXJ32" s="414"/>
      <c r="BXK32" s="414"/>
      <c r="BXL32" s="414"/>
      <c r="BXM32" s="414"/>
      <c r="BXN32" s="414"/>
      <c r="BXO32" s="414"/>
      <c r="BXP32" s="414"/>
      <c r="BXQ32" s="414"/>
      <c r="BXR32" s="414"/>
      <c r="BXS32" s="414"/>
      <c r="BXT32" s="414"/>
      <c r="BXU32" s="414"/>
      <c r="BXV32" s="414"/>
      <c r="BXW32" s="414"/>
      <c r="BXX32" s="414"/>
      <c r="BXY32" s="414"/>
      <c r="BXZ32" s="414"/>
      <c r="BYA32" s="414"/>
      <c r="BYB32" s="414"/>
      <c r="BYC32" s="414"/>
      <c r="BYD32" s="414"/>
      <c r="BYE32" s="414"/>
      <c r="BYF32" s="414"/>
      <c r="BYG32" s="414"/>
      <c r="BYH32" s="414"/>
      <c r="BYI32" s="414"/>
      <c r="BYJ32" s="414"/>
      <c r="BYK32" s="414"/>
      <c r="BYL32" s="414"/>
      <c r="BYM32" s="414"/>
      <c r="BYN32" s="414"/>
      <c r="BYO32" s="414"/>
      <c r="BYP32" s="414"/>
      <c r="BYQ32" s="414"/>
      <c r="BYR32" s="414"/>
      <c r="BYS32" s="414"/>
      <c r="BYT32" s="414"/>
      <c r="BYU32" s="414"/>
      <c r="BYV32" s="414"/>
      <c r="BYW32" s="414"/>
      <c r="BYX32" s="414"/>
      <c r="BYY32" s="414"/>
      <c r="BYZ32" s="414"/>
      <c r="BZA32" s="414"/>
      <c r="BZB32" s="414"/>
      <c r="BZC32" s="414"/>
      <c r="BZD32" s="414"/>
      <c r="BZE32" s="414"/>
      <c r="BZF32" s="414"/>
      <c r="BZG32" s="414"/>
      <c r="BZH32" s="414"/>
      <c r="BZI32" s="414"/>
      <c r="BZJ32" s="414"/>
      <c r="BZK32" s="414"/>
      <c r="BZL32" s="414"/>
      <c r="BZM32" s="414"/>
      <c r="BZN32" s="414"/>
      <c r="BZO32" s="414"/>
      <c r="BZP32" s="414"/>
      <c r="BZQ32" s="414"/>
      <c r="BZR32" s="414"/>
      <c r="BZS32" s="414"/>
      <c r="BZT32" s="414"/>
      <c r="BZU32" s="414"/>
      <c r="BZV32" s="414"/>
      <c r="BZW32" s="414"/>
      <c r="BZX32" s="414"/>
      <c r="BZY32" s="414"/>
      <c r="BZZ32" s="414"/>
      <c r="CAA32" s="414"/>
      <c r="CAB32" s="414"/>
      <c r="CAC32" s="414"/>
      <c r="CAD32" s="414"/>
      <c r="CAE32" s="414"/>
      <c r="CAF32" s="414"/>
      <c r="CAG32" s="414"/>
      <c r="CAH32" s="414"/>
      <c r="CAI32" s="414"/>
      <c r="CAJ32" s="414"/>
      <c r="CAK32" s="414"/>
      <c r="CAL32" s="414"/>
      <c r="CAM32" s="414"/>
      <c r="CAN32" s="414"/>
      <c r="CAO32" s="414"/>
      <c r="CAP32" s="414"/>
      <c r="CAQ32" s="414"/>
      <c r="CAR32" s="414"/>
      <c r="CAS32" s="414"/>
      <c r="CAT32" s="414"/>
      <c r="CAU32" s="414"/>
      <c r="CAV32" s="414"/>
      <c r="CAW32" s="414"/>
      <c r="CAX32" s="414"/>
      <c r="CAY32" s="414"/>
      <c r="CAZ32" s="414"/>
      <c r="CBA32" s="414"/>
      <c r="CBB32" s="414"/>
      <c r="CBC32" s="414"/>
      <c r="CBD32" s="414"/>
      <c r="CBE32" s="414"/>
      <c r="CBF32" s="414"/>
      <c r="CBG32" s="414"/>
      <c r="CBH32" s="414"/>
      <c r="CBI32" s="414"/>
      <c r="CBJ32" s="414"/>
      <c r="CBK32" s="414"/>
      <c r="CBL32" s="414"/>
      <c r="CBM32" s="414"/>
      <c r="CBN32" s="414"/>
      <c r="CBO32" s="414"/>
      <c r="CBP32" s="414"/>
      <c r="CBQ32" s="414"/>
      <c r="CBR32" s="414"/>
      <c r="CBS32" s="414"/>
      <c r="CBT32" s="414"/>
      <c r="CBU32" s="414"/>
      <c r="CBV32" s="414"/>
      <c r="CBW32" s="414"/>
      <c r="CBX32" s="414"/>
      <c r="CBY32" s="414"/>
      <c r="CBZ32" s="414"/>
      <c r="CCA32" s="414"/>
      <c r="CCB32" s="414"/>
      <c r="CCC32" s="414"/>
      <c r="CCD32" s="414"/>
      <c r="CCE32" s="414"/>
      <c r="CCF32" s="414"/>
      <c r="CCG32" s="414"/>
      <c r="CCH32" s="414"/>
      <c r="CCI32" s="414"/>
      <c r="CCJ32" s="414"/>
      <c r="CCK32" s="414"/>
      <c r="CCL32" s="414"/>
      <c r="CCM32" s="414"/>
      <c r="CCN32" s="414"/>
      <c r="CCO32" s="414"/>
      <c r="CCP32" s="414"/>
      <c r="CCQ32" s="414"/>
      <c r="CCR32" s="414"/>
      <c r="CCS32" s="414"/>
      <c r="CCT32" s="414"/>
      <c r="CCU32" s="414"/>
      <c r="CCV32" s="414"/>
      <c r="CCW32" s="414"/>
      <c r="CCX32" s="414"/>
      <c r="CCY32" s="414"/>
      <c r="CCZ32" s="414"/>
      <c r="CDA32" s="414"/>
      <c r="CDB32" s="414"/>
      <c r="CDC32" s="414"/>
      <c r="CDD32" s="414"/>
      <c r="CDE32" s="414"/>
      <c r="CDF32" s="414"/>
      <c r="CDG32" s="414"/>
      <c r="CDH32" s="414"/>
      <c r="CDI32" s="414"/>
      <c r="CDJ32" s="414"/>
      <c r="CDK32" s="414"/>
      <c r="CDL32" s="414"/>
      <c r="CDM32" s="414"/>
      <c r="CDN32" s="414"/>
      <c r="CDO32" s="414"/>
      <c r="CDP32" s="414"/>
      <c r="CDQ32" s="414"/>
      <c r="CDR32" s="414"/>
      <c r="CDS32" s="414"/>
      <c r="CDT32" s="414"/>
      <c r="CDU32" s="414"/>
      <c r="CDV32" s="414"/>
      <c r="CDW32" s="414"/>
      <c r="CDX32" s="414"/>
      <c r="CDY32" s="414"/>
      <c r="CDZ32" s="414"/>
      <c r="CEA32" s="414"/>
      <c r="CEB32" s="414"/>
      <c r="CEC32" s="414"/>
      <c r="CED32" s="414"/>
      <c r="CEE32" s="414"/>
      <c r="CEF32" s="414"/>
      <c r="CEG32" s="414"/>
      <c r="CEH32" s="414"/>
      <c r="CEI32" s="414"/>
      <c r="CEJ32" s="414"/>
      <c r="CEK32" s="414"/>
      <c r="CEL32" s="414"/>
      <c r="CEM32" s="414"/>
      <c r="CEN32" s="414"/>
      <c r="CEO32" s="414"/>
      <c r="CEP32" s="414"/>
      <c r="CEQ32" s="414"/>
      <c r="CER32" s="414"/>
      <c r="CES32" s="414"/>
      <c r="CET32" s="414"/>
      <c r="CEU32" s="414"/>
      <c r="CEV32" s="414"/>
      <c r="CEW32" s="414"/>
      <c r="CEX32" s="414"/>
      <c r="CEY32" s="414"/>
      <c r="CEZ32" s="414"/>
      <c r="CFA32" s="414"/>
      <c r="CFB32" s="414"/>
      <c r="CFC32" s="414"/>
      <c r="CFD32" s="414"/>
      <c r="CFE32" s="414"/>
      <c r="CFF32" s="414"/>
      <c r="CFG32" s="414"/>
      <c r="CFH32" s="414"/>
      <c r="CFI32" s="414"/>
      <c r="CFJ32" s="414"/>
      <c r="CFK32" s="414"/>
      <c r="CFL32" s="414"/>
      <c r="CFM32" s="414"/>
      <c r="CFN32" s="414"/>
      <c r="CFO32" s="414"/>
      <c r="CFP32" s="414"/>
      <c r="CFQ32" s="414"/>
      <c r="CFR32" s="414"/>
      <c r="CFS32" s="414"/>
      <c r="CFT32" s="414"/>
      <c r="CFU32" s="414"/>
      <c r="CFV32" s="414"/>
      <c r="CFW32" s="414"/>
      <c r="CFX32" s="414"/>
      <c r="CFY32" s="414"/>
      <c r="CFZ32" s="414"/>
      <c r="CGA32" s="414"/>
      <c r="CGB32" s="414"/>
      <c r="CGC32" s="414"/>
      <c r="CGD32" s="414"/>
      <c r="CGE32" s="414"/>
      <c r="CGF32" s="414"/>
      <c r="CGG32" s="414"/>
      <c r="CGH32" s="414"/>
      <c r="CGI32" s="414"/>
      <c r="CGJ32" s="414"/>
      <c r="CGK32" s="414"/>
      <c r="CGL32" s="414"/>
      <c r="CGM32" s="414"/>
      <c r="CGN32" s="414"/>
      <c r="CGO32" s="414"/>
      <c r="CGP32" s="414"/>
      <c r="CGQ32" s="414"/>
      <c r="CGR32" s="414"/>
      <c r="CGS32" s="414"/>
      <c r="CGT32" s="414"/>
      <c r="CGU32" s="414"/>
      <c r="CGV32" s="414"/>
      <c r="CGW32" s="414"/>
      <c r="CGX32" s="414"/>
      <c r="CGY32" s="414"/>
      <c r="CGZ32" s="414"/>
      <c r="CHA32" s="414"/>
      <c r="CHB32" s="414"/>
      <c r="CHC32" s="414"/>
      <c r="CHD32" s="414"/>
      <c r="CHE32" s="414"/>
      <c r="CHF32" s="414"/>
      <c r="CHG32" s="414"/>
      <c r="CHH32" s="414"/>
      <c r="CHI32" s="414"/>
      <c r="CHJ32" s="414"/>
      <c r="CHK32" s="414"/>
      <c r="CHL32" s="414"/>
      <c r="CHM32" s="414"/>
      <c r="CHN32" s="414"/>
      <c r="CHO32" s="414"/>
      <c r="CHP32" s="414"/>
      <c r="CHQ32" s="414"/>
      <c r="CHR32" s="414"/>
      <c r="CHS32" s="414"/>
      <c r="CHT32" s="414"/>
      <c r="CHU32" s="414"/>
      <c r="CHV32" s="414"/>
      <c r="CHW32" s="414"/>
      <c r="CHX32" s="414"/>
      <c r="CHY32" s="414"/>
      <c r="CHZ32" s="414"/>
      <c r="CIA32" s="414"/>
      <c r="CIB32" s="414"/>
      <c r="CIC32" s="414"/>
      <c r="CID32" s="414"/>
      <c r="CIE32" s="414"/>
      <c r="CIF32" s="414"/>
      <c r="CIG32" s="414"/>
      <c r="CIH32" s="414"/>
      <c r="CII32" s="414"/>
      <c r="CIJ32" s="414"/>
      <c r="CIK32" s="414"/>
      <c r="CIL32" s="414"/>
      <c r="CIM32" s="414"/>
      <c r="CIN32" s="414"/>
      <c r="CIO32" s="414"/>
      <c r="CIP32" s="414"/>
      <c r="CIQ32" s="414"/>
      <c r="CIR32" s="414"/>
      <c r="CIS32" s="414"/>
      <c r="CIT32" s="414"/>
      <c r="CIU32" s="414"/>
      <c r="CIV32" s="414"/>
      <c r="CIW32" s="414"/>
      <c r="CIX32" s="414"/>
      <c r="CIY32" s="414"/>
      <c r="CIZ32" s="414"/>
      <c r="CJA32" s="414"/>
      <c r="CJB32" s="414"/>
      <c r="CJC32" s="414"/>
      <c r="CJD32" s="414"/>
      <c r="CJE32" s="414"/>
      <c r="CJF32" s="414"/>
      <c r="CJG32" s="414"/>
      <c r="CJH32" s="414"/>
      <c r="CJI32" s="414"/>
      <c r="CJJ32" s="414"/>
      <c r="CJK32" s="414"/>
      <c r="CJL32" s="414"/>
      <c r="CJM32" s="414"/>
      <c r="CJN32" s="414"/>
      <c r="CJO32" s="414"/>
      <c r="CJP32" s="414"/>
      <c r="CJQ32" s="414"/>
      <c r="CJR32" s="414"/>
      <c r="CJS32" s="414"/>
      <c r="CJT32" s="414"/>
      <c r="CJU32" s="414"/>
      <c r="CJV32" s="414"/>
      <c r="CJW32" s="414"/>
      <c r="CJX32" s="414"/>
      <c r="CJY32" s="414"/>
      <c r="CJZ32" s="414"/>
      <c r="CKA32" s="414"/>
      <c r="CKB32" s="414"/>
      <c r="CKC32" s="414"/>
      <c r="CKD32" s="414"/>
      <c r="CKE32" s="414"/>
      <c r="CKF32" s="414"/>
      <c r="CKG32" s="414"/>
      <c r="CKH32" s="414"/>
      <c r="CKI32" s="414"/>
      <c r="CKJ32" s="414"/>
      <c r="CKK32" s="414"/>
      <c r="CKL32" s="414"/>
      <c r="CKM32" s="414"/>
      <c r="CKN32" s="414"/>
      <c r="CKO32" s="414"/>
      <c r="CKP32" s="414"/>
      <c r="CKQ32" s="414"/>
      <c r="CKR32" s="414"/>
      <c r="CKS32" s="414"/>
      <c r="CKT32" s="414"/>
      <c r="CKU32" s="414"/>
      <c r="CKV32" s="414"/>
      <c r="CKW32" s="414"/>
      <c r="CKX32" s="414"/>
      <c r="CKY32" s="414"/>
      <c r="CKZ32" s="414"/>
      <c r="CLA32" s="414"/>
      <c r="CLB32" s="414"/>
      <c r="CLC32" s="414"/>
      <c r="CLD32" s="414"/>
      <c r="CLE32" s="414"/>
      <c r="CLF32" s="414"/>
      <c r="CLG32" s="414"/>
      <c r="CLH32" s="414"/>
      <c r="CLI32" s="414"/>
      <c r="CLJ32" s="414"/>
      <c r="CLK32" s="414"/>
      <c r="CLL32" s="414"/>
      <c r="CLM32" s="414"/>
      <c r="CLN32" s="414"/>
      <c r="CLO32" s="414"/>
      <c r="CLP32" s="414"/>
      <c r="CLQ32" s="414"/>
      <c r="CLR32" s="414"/>
      <c r="CLS32" s="414"/>
      <c r="CLT32" s="414"/>
      <c r="CLU32" s="414"/>
      <c r="CLV32" s="414"/>
      <c r="CLW32" s="414"/>
      <c r="CLX32" s="414"/>
      <c r="CLY32" s="414"/>
      <c r="CLZ32" s="414"/>
      <c r="CMA32" s="414"/>
      <c r="CMB32" s="414"/>
      <c r="CMC32" s="414"/>
      <c r="CMD32" s="414"/>
      <c r="CME32" s="414"/>
      <c r="CMF32" s="414"/>
      <c r="CMG32" s="414"/>
      <c r="CMH32" s="414"/>
      <c r="CMI32" s="414"/>
      <c r="CMJ32" s="414"/>
      <c r="CMK32" s="414"/>
      <c r="CML32" s="414"/>
      <c r="CMM32" s="414"/>
      <c r="CMN32" s="414"/>
      <c r="CMO32" s="414"/>
      <c r="CMP32" s="414"/>
      <c r="CMQ32" s="414"/>
      <c r="CMR32" s="414"/>
      <c r="CMS32" s="414"/>
      <c r="CMT32" s="414"/>
      <c r="CMU32" s="414"/>
      <c r="CMV32" s="414"/>
      <c r="CMW32" s="414"/>
      <c r="CMX32" s="414"/>
      <c r="CMY32" s="414"/>
      <c r="CMZ32" s="414"/>
      <c r="CNA32" s="414"/>
      <c r="CNB32" s="414"/>
      <c r="CNC32" s="414"/>
      <c r="CND32" s="414"/>
      <c r="CNE32" s="414"/>
      <c r="CNF32" s="414"/>
      <c r="CNG32" s="414"/>
      <c r="CNH32" s="414"/>
      <c r="CNI32" s="414"/>
      <c r="CNJ32" s="414"/>
      <c r="CNK32" s="414"/>
      <c r="CNL32" s="414"/>
      <c r="CNM32" s="414"/>
      <c r="CNN32" s="414"/>
      <c r="CNO32" s="414"/>
      <c r="CNP32" s="414"/>
      <c r="CNQ32" s="414"/>
      <c r="CNR32" s="414"/>
      <c r="CNS32" s="414"/>
      <c r="CNT32" s="414"/>
      <c r="CNU32" s="414"/>
      <c r="CNV32" s="414"/>
      <c r="CNW32" s="414"/>
      <c r="CNX32" s="414"/>
      <c r="CNY32" s="414"/>
      <c r="CNZ32" s="414"/>
      <c r="COA32" s="414"/>
      <c r="COB32" s="414"/>
      <c r="COC32" s="414"/>
      <c r="COD32" s="414"/>
      <c r="COE32" s="414"/>
      <c r="COF32" s="414"/>
      <c r="COG32" s="414"/>
      <c r="COH32" s="414"/>
      <c r="COI32" s="414"/>
      <c r="COJ32" s="414"/>
      <c r="COK32" s="414"/>
      <c r="COL32" s="414"/>
      <c r="COM32" s="414"/>
      <c r="CON32" s="414"/>
      <c r="COO32" s="414"/>
      <c r="COP32" s="414"/>
      <c r="COQ32" s="414"/>
      <c r="COR32" s="414"/>
      <c r="COS32" s="414"/>
      <c r="COT32" s="414"/>
      <c r="COU32" s="414"/>
      <c r="COV32" s="414"/>
      <c r="COW32" s="414"/>
      <c r="COX32" s="414"/>
      <c r="COY32" s="414"/>
      <c r="COZ32" s="414"/>
      <c r="CPA32" s="414"/>
      <c r="CPB32" s="414"/>
      <c r="CPC32" s="414"/>
      <c r="CPD32" s="414"/>
      <c r="CPE32" s="414"/>
      <c r="CPF32" s="414"/>
      <c r="CPG32" s="414"/>
      <c r="CPH32" s="414"/>
      <c r="CPI32" s="414"/>
      <c r="CPJ32" s="414"/>
      <c r="CPK32" s="414"/>
      <c r="CPL32" s="414"/>
      <c r="CPM32" s="414"/>
      <c r="CPN32" s="414"/>
      <c r="CPO32" s="414"/>
      <c r="CPP32" s="414"/>
      <c r="CPQ32" s="414"/>
      <c r="CPR32" s="414"/>
      <c r="CPS32" s="414"/>
      <c r="CPT32" s="414"/>
      <c r="CPU32" s="414"/>
      <c r="CPV32" s="414"/>
      <c r="CPW32" s="414"/>
      <c r="CPX32" s="414"/>
      <c r="CPY32" s="414"/>
      <c r="CPZ32" s="414"/>
      <c r="CQA32" s="414"/>
      <c r="CQB32" s="414"/>
      <c r="CQC32" s="414"/>
      <c r="CQD32" s="414"/>
      <c r="CQE32" s="414"/>
      <c r="CQF32" s="414"/>
      <c r="CQG32" s="414"/>
      <c r="CQH32" s="414"/>
      <c r="CQI32" s="414"/>
      <c r="CQJ32" s="414"/>
      <c r="CQK32" s="414"/>
      <c r="CQL32" s="414"/>
      <c r="CQM32" s="414"/>
      <c r="CQN32" s="414"/>
      <c r="CQO32" s="414"/>
      <c r="CQP32" s="414"/>
      <c r="CQQ32" s="414"/>
      <c r="CQR32" s="414"/>
      <c r="CQS32" s="414"/>
      <c r="CQT32" s="414"/>
      <c r="CQU32" s="414"/>
      <c r="CQV32" s="414"/>
      <c r="CQW32" s="414"/>
      <c r="CQX32" s="414"/>
      <c r="CQY32" s="414"/>
      <c r="CQZ32" s="414"/>
      <c r="CRA32" s="414"/>
      <c r="CRB32" s="414"/>
      <c r="CRC32" s="414"/>
      <c r="CRD32" s="414"/>
      <c r="CRE32" s="414"/>
      <c r="CRF32" s="414"/>
      <c r="CRG32" s="414"/>
      <c r="CRH32" s="414"/>
      <c r="CRI32" s="414"/>
      <c r="CRJ32" s="414"/>
      <c r="CRK32" s="414"/>
      <c r="CRL32" s="414"/>
      <c r="CRM32" s="414"/>
      <c r="CRN32" s="414"/>
      <c r="CRO32" s="414"/>
      <c r="CRP32" s="414"/>
      <c r="CRQ32" s="414"/>
      <c r="CRR32" s="414"/>
      <c r="CRS32" s="414"/>
      <c r="CRT32" s="414"/>
      <c r="CRU32" s="414"/>
      <c r="CRV32" s="414"/>
      <c r="CRW32" s="414"/>
      <c r="CRX32" s="414"/>
      <c r="CRY32" s="414"/>
      <c r="CRZ32" s="414"/>
      <c r="CSA32" s="414"/>
      <c r="CSB32" s="414"/>
      <c r="CSC32" s="414"/>
      <c r="CSD32" s="414"/>
      <c r="CSE32" s="414"/>
      <c r="CSF32" s="414"/>
      <c r="CSG32" s="414"/>
      <c r="CSH32" s="414"/>
      <c r="CSI32" s="414"/>
      <c r="CSJ32" s="414"/>
      <c r="CSK32" s="414"/>
      <c r="CSL32" s="414"/>
      <c r="CSM32" s="414"/>
      <c r="CSN32" s="414"/>
      <c r="CSO32" s="414"/>
      <c r="CSP32" s="414"/>
      <c r="CSQ32" s="414"/>
      <c r="CSR32" s="414"/>
      <c r="CSS32" s="414"/>
      <c r="CST32" s="414"/>
      <c r="CSU32" s="414"/>
      <c r="CSV32" s="414"/>
      <c r="CSW32" s="414"/>
      <c r="CSX32" s="414"/>
      <c r="CSY32" s="414"/>
      <c r="CSZ32" s="414"/>
      <c r="CTA32" s="414"/>
      <c r="CTB32" s="414"/>
      <c r="CTC32" s="414"/>
      <c r="CTD32" s="414"/>
      <c r="CTE32" s="414"/>
      <c r="CTF32" s="414"/>
      <c r="CTG32" s="414"/>
      <c r="CTH32" s="414"/>
      <c r="CTI32" s="414"/>
      <c r="CTJ32" s="414"/>
      <c r="CTK32" s="414"/>
      <c r="CTL32" s="414"/>
      <c r="CTM32" s="414"/>
      <c r="CTN32" s="414"/>
      <c r="CTO32" s="414"/>
      <c r="CTP32" s="414"/>
      <c r="CTQ32" s="414"/>
      <c r="CTR32" s="414"/>
      <c r="CTS32" s="414"/>
      <c r="CTT32" s="414"/>
      <c r="CTU32" s="414"/>
      <c r="CTV32" s="414"/>
      <c r="CTW32" s="414"/>
      <c r="CTX32" s="414"/>
      <c r="CTY32" s="414"/>
      <c r="CTZ32" s="414"/>
      <c r="CUA32" s="414"/>
      <c r="CUB32" s="414"/>
      <c r="CUC32" s="414"/>
      <c r="CUD32" s="414"/>
      <c r="CUE32" s="414"/>
      <c r="CUF32" s="414"/>
      <c r="CUG32" s="414"/>
      <c r="CUH32" s="414"/>
      <c r="CUI32" s="414"/>
      <c r="CUJ32" s="414"/>
      <c r="CUK32" s="414"/>
      <c r="CUL32" s="414"/>
      <c r="CUM32" s="414"/>
      <c r="CUN32" s="414"/>
      <c r="CUO32" s="414"/>
      <c r="CUP32" s="414"/>
      <c r="CUQ32" s="414"/>
      <c r="CUR32" s="414"/>
      <c r="CUS32" s="414"/>
      <c r="CUT32" s="414"/>
      <c r="CUU32" s="414"/>
      <c r="CUV32" s="414"/>
      <c r="CUW32" s="414"/>
      <c r="CUX32" s="414"/>
      <c r="CUY32" s="414"/>
      <c r="CUZ32" s="414"/>
      <c r="CVA32" s="414"/>
      <c r="CVB32" s="414"/>
      <c r="CVC32" s="414"/>
      <c r="CVD32" s="414"/>
      <c r="CVE32" s="414"/>
      <c r="CVF32" s="414"/>
      <c r="CVG32" s="414"/>
      <c r="CVH32" s="414"/>
      <c r="CVI32" s="414"/>
      <c r="CVJ32" s="414"/>
      <c r="CVK32" s="414"/>
      <c r="CVL32" s="414"/>
      <c r="CVM32" s="414"/>
      <c r="CVN32" s="414"/>
      <c r="CVO32" s="414"/>
      <c r="CVP32" s="414"/>
      <c r="CVQ32" s="414"/>
      <c r="CVR32" s="414"/>
      <c r="CVS32" s="414"/>
      <c r="CVT32" s="414"/>
      <c r="CVU32" s="414"/>
      <c r="CVV32" s="414"/>
      <c r="CVW32" s="414"/>
      <c r="CVX32" s="414"/>
      <c r="CVY32" s="414"/>
      <c r="CVZ32" s="414"/>
      <c r="CWA32" s="414"/>
      <c r="CWB32" s="414"/>
      <c r="CWC32" s="414"/>
      <c r="CWD32" s="414"/>
      <c r="CWE32" s="414"/>
      <c r="CWF32" s="414"/>
      <c r="CWG32" s="414"/>
      <c r="CWH32" s="414"/>
      <c r="CWI32" s="414"/>
      <c r="CWJ32" s="414"/>
      <c r="CWK32" s="414"/>
      <c r="CWL32" s="414"/>
      <c r="CWM32" s="414"/>
      <c r="CWN32" s="414"/>
      <c r="CWO32" s="414"/>
      <c r="CWP32" s="414"/>
      <c r="CWQ32" s="414"/>
      <c r="CWR32" s="414"/>
      <c r="CWS32" s="414"/>
      <c r="CWT32" s="414"/>
      <c r="CWU32" s="414"/>
      <c r="CWV32" s="414"/>
      <c r="CWW32" s="414"/>
      <c r="CWX32" s="414"/>
      <c r="CWY32" s="414"/>
      <c r="CWZ32" s="414"/>
      <c r="CXA32" s="414"/>
      <c r="CXB32" s="414"/>
      <c r="CXC32" s="414"/>
      <c r="CXD32" s="414"/>
      <c r="CXE32" s="414"/>
      <c r="CXF32" s="414"/>
      <c r="CXG32" s="414"/>
      <c r="CXH32" s="414"/>
      <c r="CXI32" s="414"/>
      <c r="CXJ32" s="414"/>
      <c r="CXK32" s="414"/>
      <c r="CXL32" s="414"/>
      <c r="CXM32" s="414"/>
      <c r="CXN32" s="414"/>
      <c r="CXO32" s="414"/>
      <c r="CXP32" s="414"/>
      <c r="CXQ32" s="414"/>
      <c r="CXR32" s="414"/>
      <c r="CXS32" s="414"/>
      <c r="CXT32" s="414"/>
      <c r="CXU32" s="414"/>
      <c r="CXV32" s="414"/>
      <c r="CXW32" s="414"/>
      <c r="CXX32" s="414"/>
      <c r="CXY32" s="414"/>
      <c r="CXZ32" s="414"/>
      <c r="CYA32" s="414"/>
      <c r="CYB32" s="414"/>
      <c r="CYC32" s="414"/>
      <c r="CYD32" s="414"/>
      <c r="CYE32" s="414"/>
      <c r="CYF32" s="414"/>
      <c r="CYG32" s="414"/>
      <c r="CYH32" s="414"/>
      <c r="CYI32" s="414"/>
      <c r="CYJ32" s="414"/>
      <c r="CYK32" s="414"/>
      <c r="CYL32" s="414"/>
      <c r="CYM32" s="414"/>
      <c r="CYN32" s="414"/>
      <c r="CYO32" s="414"/>
      <c r="CYP32" s="414"/>
      <c r="CYQ32" s="414"/>
      <c r="CYR32" s="414"/>
      <c r="CYS32" s="414"/>
      <c r="CYT32" s="414"/>
      <c r="CYU32" s="414"/>
      <c r="CYV32" s="414"/>
      <c r="CYW32" s="414"/>
      <c r="CYX32" s="414"/>
      <c r="CYY32" s="414"/>
      <c r="CYZ32" s="414"/>
      <c r="CZA32" s="414"/>
      <c r="CZB32" s="414"/>
      <c r="CZC32" s="414"/>
      <c r="CZD32" s="414"/>
      <c r="CZE32" s="414"/>
      <c r="CZF32" s="414"/>
      <c r="CZG32" s="414"/>
      <c r="CZH32" s="414"/>
      <c r="CZI32" s="414"/>
      <c r="CZJ32" s="414"/>
      <c r="CZK32" s="414"/>
      <c r="CZL32" s="414"/>
      <c r="CZM32" s="414"/>
      <c r="CZN32" s="414"/>
      <c r="CZO32" s="414"/>
      <c r="CZP32" s="414"/>
      <c r="CZQ32" s="414"/>
      <c r="CZR32" s="414"/>
      <c r="CZS32" s="414"/>
      <c r="CZT32" s="414"/>
      <c r="CZU32" s="414"/>
      <c r="CZV32" s="414"/>
      <c r="CZW32" s="414"/>
      <c r="CZX32" s="414"/>
      <c r="CZY32" s="414"/>
      <c r="CZZ32" s="414"/>
      <c r="DAA32" s="414"/>
      <c r="DAB32" s="414"/>
      <c r="DAC32" s="414"/>
      <c r="DAD32" s="414"/>
      <c r="DAE32" s="414"/>
      <c r="DAF32" s="414"/>
      <c r="DAG32" s="414"/>
      <c r="DAH32" s="414"/>
      <c r="DAI32" s="414"/>
      <c r="DAJ32" s="414"/>
      <c r="DAK32" s="414"/>
      <c r="DAL32" s="414"/>
      <c r="DAM32" s="414"/>
      <c r="DAN32" s="414"/>
      <c r="DAO32" s="414"/>
      <c r="DAP32" s="414"/>
      <c r="DAQ32" s="414"/>
      <c r="DAR32" s="414"/>
      <c r="DAS32" s="414"/>
      <c r="DAT32" s="414"/>
      <c r="DAU32" s="414"/>
      <c r="DAV32" s="414"/>
      <c r="DAW32" s="414"/>
      <c r="DAX32" s="414"/>
      <c r="DAY32" s="414"/>
      <c r="DAZ32" s="414"/>
      <c r="DBA32" s="414"/>
      <c r="DBB32" s="414"/>
      <c r="DBC32" s="414"/>
      <c r="DBD32" s="414"/>
      <c r="DBE32" s="414"/>
      <c r="DBF32" s="414"/>
      <c r="DBG32" s="414"/>
      <c r="DBH32" s="414"/>
      <c r="DBI32" s="414"/>
      <c r="DBJ32" s="414"/>
      <c r="DBK32" s="414"/>
      <c r="DBL32" s="414"/>
      <c r="DBM32" s="414"/>
      <c r="DBN32" s="414"/>
      <c r="DBO32" s="414"/>
      <c r="DBP32" s="414"/>
      <c r="DBQ32" s="414"/>
      <c r="DBR32" s="414"/>
      <c r="DBS32" s="414"/>
      <c r="DBT32" s="414"/>
      <c r="DBU32" s="414"/>
      <c r="DBV32" s="414"/>
      <c r="DBW32" s="414"/>
      <c r="DBX32" s="414"/>
      <c r="DBY32" s="414"/>
      <c r="DBZ32" s="414"/>
      <c r="DCA32" s="414"/>
      <c r="DCB32" s="414"/>
      <c r="DCC32" s="414"/>
      <c r="DCD32" s="414"/>
      <c r="DCE32" s="414"/>
      <c r="DCF32" s="414"/>
      <c r="DCG32" s="414"/>
      <c r="DCH32" s="414"/>
      <c r="DCI32" s="414"/>
      <c r="DCJ32" s="414"/>
      <c r="DCK32" s="414"/>
      <c r="DCL32" s="414"/>
      <c r="DCM32" s="414"/>
      <c r="DCN32" s="414"/>
      <c r="DCO32" s="414"/>
      <c r="DCP32" s="414"/>
      <c r="DCQ32" s="414"/>
      <c r="DCR32" s="414"/>
      <c r="DCS32" s="414"/>
      <c r="DCT32" s="414"/>
      <c r="DCU32" s="414"/>
      <c r="DCV32" s="414"/>
      <c r="DCW32" s="414"/>
      <c r="DCX32" s="414"/>
      <c r="DCY32" s="414"/>
      <c r="DCZ32" s="414"/>
      <c r="DDA32" s="414"/>
      <c r="DDB32" s="414"/>
      <c r="DDC32" s="414"/>
      <c r="DDD32" s="414"/>
      <c r="DDE32" s="414"/>
      <c r="DDF32" s="414"/>
      <c r="DDG32" s="414"/>
      <c r="DDH32" s="414"/>
      <c r="DDI32" s="414"/>
      <c r="DDJ32" s="414"/>
      <c r="DDK32" s="414"/>
      <c r="DDL32" s="414"/>
      <c r="DDM32" s="414"/>
      <c r="DDN32" s="414"/>
      <c r="DDO32" s="414"/>
      <c r="DDP32" s="414"/>
      <c r="DDQ32" s="414"/>
      <c r="DDR32" s="414"/>
      <c r="DDS32" s="414"/>
      <c r="DDT32" s="414"/>
      <c r="DDU32" s="414"/>
      <c r="DDV32" s="414"/>
      <c r="DDW32" s="414"/>
      <c r="DDX32" s="414"/>
      <c r="DDY32" s="414"/>
      <c r="DDZ32" s="414"/>
      <c r="DEA32" s="414"/>
      <c r="DEB32" s="414"/>
      <c r="DEC32" s="414"/>
      <c r="DED32" s="414"/>
      <c r="DEE32" s="414"/>
      <c r="DEF32" s="414"/>
      <c r="DEG32" s="414"/>
      <c r="DEH32" s="414"/>
      <c r="DEI32" s="414"/>
      <c r="DEJ32" s="414"/>
      <c r="DEK32" s="414"/>
      <c r="DEL32" s="414"/>
      <c r="DEM32" s="414"/>
      <c r="DEN32" s="414"/>
      <c r="DEO32" s="414"/>
      <c r="DEP32" s="414"/>
      <c r="DEQ32" s="414"/>
      <c r="DER32" s="414"/>
      <c r="DES32" s="414"/>
      <c r="DET32" s="414"/>
      <c r="DEU32" s="414"/>
      <c r="DEV32" s="414"/>
      <c r="DEW32" s="414"/>
      <c r="DEX32" s="414"/>
      <c r="DEY32" s="414"/>
      <c r="DEZ32" s="414"/>
      <c r="DFA32" s="414"/>
      <c r="DFB32" s="414"/>
      <c r="DFC32" s="414"/>
      <c r="DFD32" s="414"/>
      <c r="DFE32" s="414"/>
      <c r="DFF32" s="414"/>
      <c r="DFG32" s="414"/>
      <c r="DFH32" s="414"/>
      <c r="DFI32" s="414"/>
      <c r="DFJ32" s="414"/>
      <c r="DFK32" s="414"/>
      <c r="DFL32" s="414"/>
      <c r="DFM32" s="414"/>
      <c r="DFN32" s="414"/>
      <c r="DFO32" s="414"/>
      <c r="DFP32" s="414"/>
      <c r="DFQ32" s="414"/>
      <c r="DFR32" s="414"/>
      <c r="DFS32" s="414"/>
      <c r="DFT32" s="414"/>
      <c r="DFU32" s="414"/>
      <c r="DFV32" s="414"/>
      <c r="DFW32" s="414"/>
      <c r="DFX32" s="414"/>
      <c r="DFY32" s="414"/>
      <c r="DFZ32" s="414"/>
      <c r="DGA32" s="414"/>
      <c r="DGB32" s="414"/>
      <c r="DGC32" s="414"/>
      <c r="DGD32" s="414"/>
      <c r="DGE32" s="414"/>
      <c r="DGF32" s="414"/>
      <c r="DGG32" s="414"/>
      <c r="DGH32" s="414"/>
      <c r="DGI32" s="414"/>
      <c r="DGJ32" s="414"/>
      <c r="DGK32" s="414"/>
      <c r="DGL32" s="414"/>
      <c r="DGM32" s="414"/>
      <c r="DGN32" s="414"/>
      <c r="DGO32" s="414"/>
      <c r="DGP32" s="414"/>
      <c r="DGQ32" s="414"/>
      <c r="DGR32" s="414"/>
      <c r="DGS32" s="414"/>
      <c r="DGT32" s="414"/>
      <c r="DGU32" s="414"/>
      <c r="DGV32" s="414"/>
      <c r="DGW32" s="414"/>
      <c r="DGX32" s="414"/>
      <c r="DGY32" s="414"/>
      <c r="DGZ32" s="414"/>
      <c r="DHA32" s="414"/>
      <c r="DHB32" s="414"/>
      <c r="DHC32" s="414"/>
      <c r="DHD32" s="414"/>
      <c r="DHE32" s="414"/>
      <c r="DHF32" s="414"/>
      <c r="DHG32" s="414"/>
      <c r="DHH32" s="414"/>
      <c r="DHI32" s="414"/>
      <c r="DHJ32" s="414"/>
      <c r="DHK32" s="414"/>
      <c r="DHL32" s="414"/>
      <c r="DHM32" s="414"/>
      <c r="DHN32" s="414"/>
      <c r="DHO32" s="414"/>
      <c r="DHP32" s="414"/>
      <c r="DHQ32" s="414"/>
      <c r="DHR32" s="414"/>
      <c r="DHS32" s="414"/>
      <c r="DHT32" s="414"/>
      <c r="DHU32" s="414"/>
      <c r="DHV32" s="414"/>
      <c r="DHW32" s="414"/>
      <c r="DHX32" s="414"/>
      <c r="DHY32" s="414"/>
      <c r="DHZ32" s="414"/>
      <c r="DIA32" s="414"/>
      <c r="DIB32" s="414"/>
      <c r="DIC32" s="414"/>
      <c r="DID32" s="414"/>
      <c r="DIE32" s="414"/>
      <c r="DIF32" s="414"/>
      <c r="DIG32" s="414"/>
      <c r="DIH32" s="414"/>
      <c r="DII32" s="414"/>
      <c r="DIJ32" s="414"/>
      <c r="DIK32" s="414"/>
      <c r="DIL32" s="414"/>
      <c r="DIM32" s="414"/>
      <c r="DIN32" s="414"/>
      <c r="DIO32" s="414"/>
      <c r="DIP32" s="414"/>
      <c r="DIQ32" s="414"/>
      <c r="DIR32" s="414"/>
      <c r="DIS32" s="414"/>
      <c r="DIT32" s="414"/>
      <c r="DIU32" s="414"/>
      <c r="DIV32" s="414"/>
      <c r="DIW32" s="414"/>
      <c r="DIX32" s="414"/>
      <c r="DIY32" s="414"/>
      <c r="DIZ32" s="414"/>
      <c r="DJA32" s="414"/>
      <c r="DJB32" s="414"/>
      <c r="DJC32" s="414"/>
      <c r="DJD32" s="414"/>
      <c r="DJE32" s="414"/>
      <c r="DJF32" s="414"/>
      <c r="DJG32" s="414"/>
      <c r="DJH32" s="414"/>
      <c r="DJI32" s="414"/>
      <c r="DJJ32" s="414"/>
      <c r="DJK32" s="414"/>
      <c r="DJL32" s="414"/>
      <c r="DJM32" s="414"/>
      <c r="DJN32" s="414"/>
      <c r="DJO32" s="414"/>
      <c r="DJP32" s="414"/>
      <c r="DJQ32" s="414"/>
      <c r="DJR32" s="414"/>
      <c r="DJS32" s="414"/>
      <c r="DJT32" s="414"/>
      <c r="DJU32" s="414"/>
      <c r="DJV32" s="414"/>
      <c r="DJW32" s="414"/>
      <c r="DJX32" s="414"/>
      <c r="DJY32" s="414"/>
      <c r="DJZ32" s="414"/>
      <c r="DKA32" s="414"/>
      <c r="DKB32" s="414"/>
      <c r="DKC32" s="414"/>
      <c r="DKD32" s="414"/>
      <c r="DKE32" s="414"/>
      <c r="DKF32" s="414"/>
      <c r="DKG32" s="414"/>
      <c r="DKH32" s="414"/>
      <c r="DKI32" s="414"/>
      <c r="DKJ32" s="414"/>
      <c r="DKK32" s="414"/>
      <c r="DKL32" s="414"/>
      <c r="DKM32" s="414"/>
      <c r="DKN32" s="414"/>
      <c r="DKO32" s="414"/>
      <c r="DKP32" s="414"/>
      <c r="DKQ32" s="414"/>
      <c r="DKR32" s="414"/>
      <c r="DKS32" s="414"/>
      <c r="DKT32" s="414"/>
      <c r="DKU32" s="414"/>
      <c r="DKV32" s="414"/>
      <c r="DKW32" s="414"/>
      <c r="DKX32" s="414"/>
      <c r="DKY32" s="414"/>
      <c r="DKZ32" s="414"/>
      <c r="DLA32" s="414"/>
      <c r="DLB32" s="414"/>
      <c r="DLC32" s="414"/>
      <c r="DLD32" s="414"/>
      <c r="DLE32" s="414"/>
      <c r="DLF32" s="414"/>
      <c r="DLG32" s="414"/>
      <c r="DLH32" s="414"/>
      <c r="DLI32" s="414"/>
      <c r="DLJ32" s="414"/>
      <c r="DLK32" s="414"/>
      <c r="DLL32" s="414"/>
      <c r="DLM32" s="414"/>
      <c r="DLN32" s="414"/>
      <c r="DLO32" s="414"/>
      <c r="DLP32" s="414"/>
      <c r="DLQ32" s="414"/>
      <c r="DLR32" s="414"/>
      <c r="DLS32" s="414"/>
      <c r="DLT32" s="414"/>
      <c r="DLU32" s="414"/>
      <c r="DLV32" s="414"/>
      <c r="DLW32" s="414"/>
      <c r="DLX32" s="414"/>
      <c r="DLY32" s="414"/>
      <c r="DLZ32" s="414"/>
      <c r="DMA32" s="414"/>
      <c r="DMB32" s="414"/>
      <c r="DMC32" s="414"/>
      <c r="DMD32" s="414"/>
      <c r="DME32" s="414"/>
      <c r="DMF32" s="414"/>
      <c r="DMG32" s="414"/>
      <c r="DMH32" s="414"/>
      <c r="DMI32" s="414"/>
      <c r="DMJ32" s="414"/>
      <c r="DMK32" s="414"/>
      <c r="DML32" s="414"/>
      <c r="DMM32" s="414"/>
      <c r="DMN32" s="414"/>
      <c r="DMO32" s="414"/>
      <c r="DMP32" s="414"/>
      <c r="DMQ32" s="414"/>
      <c r="DMR32" s="414"/>
      <c r="DMS32" s="414"/>
      <c r="DMT32" s="414"/>
      <c r="DMU32" s="414"/>
      <c r="DMV32" s="414"/>
      <c r="DMW32" s="414"/>
      <c r="DMX32" s="414"/>
      <c r="DMY32" s="414"/>
      <c r="DMZ32" s="414"/>
      <c r="DNA32" s="414"/>
      <c r="DNB32" s="414"/>
      <c r="DNC32" s="414"/>
      <c r="DND32" s="414"/>
      <c r="DNE32" s="414"/>
      <c r="DNF32" s="414"/>
      <c r="DNG32" s="414"/>
      <c r="DNH32" s="414"/>
      <c r="DNI32" s="414"/>
      <c r="DNJ32" s="414"/>
      <c r="DNK32" s="414"/>
      <c r="DNL32" s="414"/>
      <c r="DNM32" s="414"/>
      <c r="DNN32" s="414"/>
      <c r="DNO32" s="414"/>
      <c r="DNP32" s="414"/>
      <c r="DNQ32" s="414"/>
      <c r="DNR32" s="414"/>
      <c r="DNS32" s="414"/>
      <c r="DNT32" s="414"/>
      <c r="DNU32" s="414"/>
      <c r="DNV32" s="414"/>
      <c r="DNW32" s="414"/>
      <c r="DNX32" s="414"/>
      <c r="DNY32" s="414"/>
      <c r="DNZ32" s="414"/>
      <c r="DOA32" s="414"/>
      <c r="DOB32" s="414"/>
      <c r="DOC32" s="414"/>
      <c r="DOD32" s="414"/>
      <c r="DOE32" s="414"/>
      <c r="DOF32" s="414"/>
      <c r="DOG32" s="414"/>
      <c r="DOH32" s="414"/>
      <c r="DOI32" s="414"/>
      <c r="DOJ32" s="414"/>
      <c r="DOK32" s="414"/>
      <c r="DOL32" s="414"/>
      <c r="DOM32" s="414"/>
      <c r="DON32" s="414"/>
      <c r="DOO32" s="414"/>
      <c r="DOP32" s="414"/>
      <c r="DOQ32" s="414"/>
      <c r="DOR32" s="414"/>
      <c r="DOS32" s="414"/>
      <c r="DOT32" s="414"/>
      <c r="DOU32" s="414"/>
      <c r="DOV32" s="414"/>
      <c r="DOW32" s="414"/>
      <c r="DOX32" s="414"/>
      <c r="DOY32" s="414"/>
      <c r="DOZ32" s="414"/>
      <c r="DPA32" s="414"/>
      <c r="DPB32" s="414"/>
      <c r="DPC32" s="414"/>
      <c r="DPD32" s="414"/>
      <c r="DPE32" s="414"/>
      <c r="DPF32" s="414"/>
      <c r="DPG32" s="414"/>
      <c r="DPH32" s="414"/>
      <c r="DPI32" s="414"/>
      <c r="DPJ32" s="414"/>
      <c r="DPK32" s="414"/>
      <c r="DPL32" s="414"/>
      <c r="DPM32" s="414"/>
      <c r="DPN32" s="414"/>
      <c r="DPO32" s="414"/>
      <c r="DPP32" s="414"/>
      <c r="DPQ32" s="414"/>
      <c r="DPR32" s="414"/>
      <c r="DPS32" s="414"/>
      <c r="DPT32" s="414"/>
      <c r="DPU32" s="414"/>
      <c r="DPV32" s="414"/>
      <c r="DPW32" s="414"/>
      <c r="DPX32" s="414"/>
      <c r="DPY32" s="414"/>
      <c r="DPZ32" s="414"/>
      <c r="DQA32" s="414"/>
      <c r="DQB32" s="414"/>
      <c r="DQC32" s="414"/>
      <c r="DQD32" s="414"/>
      <c r="DQE32" s="414"/>
      <c r="DQF32" s="414"/>
      <c r="DQG32" s="414"/>
      <c r="DQH32" s="414"/>
      <c r="DQI32" s="414"/>
      <c r="DQJ32" s="414"/>
      <c r="DQK32" s="414"/>
      <c r="DQL32" s="414"/>
      <c r="DQM32" s="414"/>
      <c r="DQN32" s="414"/>
      <c r="DQO32" s="414"/>
      <c r="DQP32" s="414"/>
      <c r="DQQ32" s="414"/>
      <c r="DQR32" s="414"/>
      <c r="DQS32" s="414"/>
      <c r="DQT32" s="414"/>
      <c r="DQU32" s="414"/>
      <c r="DQV32" s="414"/>
      <c r="DQW32" s="414"/>
      <c r="DQX32" s="414"/>
      <c r="DQY32" s="414"/>
      <c r="DQZ32" s="414"/>
      <c r="DRA32" s="414"/>
      <c r="DRB32" s="414"/>
      <c r="DRC32" s="414"/>
      <c r="DRD32" s="414"/>
      <c r="DRE32" s="414"/>
      <c r="DRF32" s="414"/>
      <c r="DRG32" s="414"/>
      <c r="DRH32" s="414"/>
      <c r="DRI32" s="414"/>
      <c r="DRJ32" s="414"/>
      <c r="DRK32" s="414"/>
      <c r="DRL32" s="414"/>
      <c r="DRM32" s="414"/>
      <c r="DRN32" s="414"/>
      <c r="DRO32" s="414"/>
      <c r="DRP32" s="414"/>
      <c r="DRQ32" s="414"/>
      <c r="DRR32" s="414"/>
      <c r="DRS32" s="414"/>
      <c r="DRT32" s="414"/>
      <c r="DRU32" s="414"/>
      <c r="DRV32" s="414"/>
      <c r="DRW32" s="414"/>
      <c r="DRX32" s="414"/>
      <c r="DRY32" s="414"/>
      <c r="DRZ32" s="414"/>
      <c r="DSA32" s="414"/>
      <c r="DSB32" s="414"/>
      <c r="DSC32" s="414"/>
      <c r="DSD32" s="414"/>
      <c r="DSE32" s="414"/>
      <c r="DSF32" s="414"/>
      <c r="DSG32" s="414"/>
      <c r="DSH32" s="414"/>
      <c r="DSI32" s="414"/>
      <c r="DSJ32" s="414"/>
      <c r="DSK32" s="414"/>
      <c r="DSL32" s="414"/>
      <c r="DSM32" s="414"/>
      <c r="DSN32" s="414"/>
      <c r="DSO32" s="414"/>
      <c r="DSP32" s="414"/>
      <c r="DSQ32" s="414"/>
      <c r="DSR32" s="414"/>
      <c r="DSS32" s="414"/>
      <c r="DST32" s="414"/>
      <c r="DSU32" s="414"/>
      <c r="DSV32" s="414"/>
      <c r="DSW32" s="414"/>
      <c r="DSX32" s="414"/>
      <c r="DSY32" s="414"/>
      <c r="DSZ32" s="414"/>
      <c r="DTA32" s="414"/>
      <c r="DTB32" s="414"/>
      <c r="DTC32" s="414"/>
      <c r="DTD32" s="414"/>
      <c r="DTE32" s="414"/>
      <c r="DTF32" s="414"/>
      <c r="DTG32" s="414"/>
      <c r="DTH32" s="414"/>
      <c r="DTI32" s="414"/>
      <c r="DTJ32" s="414"/>
      <c r="DTK32" s="414"/>
      <c r="DTL32" s="414"/>
      <c r="DTM32" s="414"/>
      <c r="DTN32" s="414"/>
      <c r="DTO32" s="414"/>
      <c r="DTP32" s="414"/>
      <c r="DTQ32" s="414"/>
      <c r="DTR32" s="414"/>
      <c r="DTS32" s="414"/>
      <c r="DTT32" s="414"/>
      <c r="DTU32" s="414"/>
      <c r="DTV32" s="414"/>
      <c r="DTW32" s="414"/>
      <c r="DTX32" s="414"/>
      <c r="DTY32" s="414"/>
      <c r="DTZ32" s="414"/>
      <c r="DUA32" s="414"/>
      <c r="DUB32" s="414"/>
      <c r="DUC32" s="414"/>
      <c r="DUD32" s="414"/>
      <c r="DUE32" s="414"/>
      <c r="DUF32" s="414"/>
      <c r="DUG32" s="414"/>
      <c r="DUH32" s="414"/>
      <c r="DUI32" s="414"/>
      <c r="DUJ32" s="414"/>
      <c r="DUK32" s="414"/>
      <c r="DUL32" s="414"/>
      <c r="DUM32" s="414"/>
      <c r="DUN32" s="414"/>
      <c r="DUO32" s="414"/>
      <c r="DUP32" s="414"/>
      <c r="DUQ32" s="414"/>
      <c r="DUR32" s="414"/>
      <c r="DUS32" s="414"/>
      <c r="DUT32" s="414"/>
      <c r="DUU32" s="414"/>
      <c r="DUV32" s="414"/>
      <c r="DUW32" s="414"/>
      <c r="DUX32" s="414"/>
      <c r="DUY32" s="414"/>
      <c r="DUZ32" s="414"/>
      <c r="DVA32" s="414"/>
      <c r="DVB32" s="414"/>
      <c r="DVC32" s="414"/>
      <c r="DVD32" s="414"/>
      <c r="DVE32" s="414"/>
      <c r="DVF32" s="414"/>
      <c r="DVG32" s="414"/>
      <c r="DVH32" s="414"/>
      <c r="DVI32" s="414"/>
      <c r="DVJ32" s="414"/>
      <c r="DVK32" s="414"/>
      <c r="DVL32" s="414"/>
      <c r="DVM32" s="414"/>
      <c r="DVN32" s="414"/>
      <c r="DVO32" s="414"/>
      <c r="DVP32" s="414"/>
      <c r="DVQ32" s="414"/>
      <c r="DVR32" s="414"/>
      <c r="DVS32" s="414"/>
      <c r="DVT32" s="414"/>
      <c r="DVU32" s="414"/>
      <c r="DVV32" s="414"/>
      <c r="DVW32" s="414"/>
      <c r="DVX32" s="414"/>
      <c r="DVY32" s="414"/>
      <c r="DVZ32" s="414"/>
      <c r="DWA32" s="414"/>
      <c r="DWB32" s="414"/>
      <c r="DWC32" s="414"/>
      <c r="DWD32" s="414"/>
      <c r="DWE32" s="414"/>
      <c r="DWF32" s="414"/>
      <c r="DWG32" s="414"/>
      <c r="DWH32" s="414"/>
      <c r="DWI32" s="414"/>
      <c r="DWJ32" s="414"/>
      <c r="DWK32" s="414"/>
      <c r="DWL32" s="414"/>
      <c r="DWM32" s="414"/>
      <c r="DWN32" s="414"/>
      <c r="DWO32" s="414"/>
      <c r="DWP32" s="414"/>
      <c r="DWQ32" s="414"/>
      <c r="DWR32" s="414"/>
      <c r="DWS32" s="414"/>
      <c r="DWT32" s="414"/>
      <c r="DWU32" s="414"/>
      <c r="DWV32" s="414"/>
      <c r="DWW32" s="414"/>
      <c r="DWX32" s="414"/>
      <c r="DWY32" s="414"/>
      <c r="DWZ32" s="414"/>
      <c r="DXA32" s="414"/>
      <c r="DXB32" s="414"/>
      <c r="DXC32" s="414"/>
      <c r="DXD32" s="414"/>
      <c r="DXE32" s="414"/>
      <c r="DXF32" s="414"/>
      <c r="DXG32" s="414"/>
      <c r="DXH32" s="414"/>
      <c r="DXI32" s="414"/>
      <c r="DXJ32" s="414"/>
      <c r="DXK32" s="414"/>
      <c r="DXL32" s="414"/>
      <c r="DXM32" s="414"/>
      <c r="DXN32" s="414"/>
      <c r="DXO32" s="414"/>
      <c r="DXP32" s="414"/>
      <c r="DXQ32" s="414"/>
      <c r="DXR32" s="414"/>
      <c r="DXS32" s="414"/>
      <c r="DXT32" s="414"/>
      <c r="DXU32" s="414"/>
      <c r="DXV32" s="414"/>
      <c r="DXW32" s="414"/>
      <c r="DXX32" s="414"/>
      <c r="DXY32" s="414"/>
      <c r="DXZ32" s="414"/>
      <c r="DYA32" s="414"/>
      <c r="DYB32" s="414"/>
      <c r="DYC32" s="414"/>
      <c r="DYD32" s="414"/>
      <c r="DYE32" s="414"/>
      <c r="DYF32" s="414"/>
      <c r="DYG32" s="414"/>
      <c r="DYH32" s="414"/>
      <c r="DYI32" s="414"/>
      <c r="DYJ32" s="414"/>
      <c r="DYK32" s="414"/>
      <c r="DYL32" s="414"/>
      <c r="DYM32" s="414"/>
      <c r="DYN32" s="414"/>
      <c r="DYO32" s="414"/>
      <c r="DYP32" s="414"/>
      <c r="DYQ32" s="414"/>
      <c r="DYR32" s="414"/>
      <c r="DYS32" s="414"/>
      <c r="DYT32" s="414"/>
      <c r="DYU32" s="414"/>
      <c r="DYV32" s="414"/>
      <c r="DYW32" s="414"/>
      <c r="DYX32" s="414"/>
      <c r="DYY32" s="414"/>
      <c r="DYZ32" s="414"/>
      <c r="DZA32" s="414"/>
      <c r="DZB32" s="414"/>
      <c r="DZC32" s="414"/>
      <c r="DZD32" s="414"/>
      <c r="DZE32" s="414"/>
      <c r="DZF32" s="414"/>
      <c r="DZG32" s="414"/>
      <c r="DZH32" s="414"/>
      <c r="DZI32" s="414"/>
      <c r="DZJ32" s="414"/>
      <c r="DZK32" s="414"/>
      <c r="DZL32" s="414"/>
      <c r="DZM32" s="414"/>
      <c r="DZN32" s="414"/>
      <c r="DZO32" s="414"/>
      <c r="DZP32" s="414"/>
      <c r="DZQ32" s="414"/>
      <c r="DZR32" s="414"/>
      <c r="DZS32" s="414"/>
      <c r="DZT32" s="414"/>
      <c r="DZU32" s="414"/>
      <c r="DZV32" s="414"/>
      <c r="DZW32" s="414"/>
      <c r="DZX32" s="414"/>
      <c r="DZY32" s="414"/>
      <c r="DZZ32" s="414"/>
      <c r="EAA32" s="414"/>
      <c r="EAB32" s="414"/>
      <c r="EAC32" s="414"/>
      <c r="EAD32" s="414"/>
      <c r="EAE32" s="414"/>
      <c r="EAF32" s="414"/>
      <c r="EAG32" s="414"/>
      <c r="EAH32" s="414"/>
      <c r="EAI32" s="414"/>
      <c r="EAJ32" s="414"/>
      <c r="EAK32" s="414"/>
      <c r="EAL32" s="414"/>
      <c r="EAM32" s="414"/>
      <c r="EAN32" s="414"/>
      <c r="EAO32" s="414"/>
      <c r="EAP32" s="414"/>
      <c r="EAQ32" s="414"/>
      <c r="EAR32" s="414"/>
      <c r="EAS32" s="414"/>
      <c r="EAT32" s="414"/>
      <c r="EAU32" s="414"/>
      <c r="EAV32" s="414"/>
      <c r="EAW32" s="414"/>
      <c r="EAX32" s="414"/>
      <c r="EAY32" s="414"/>
      <c r="EAZ32" s="414"/>
      <c r="EBA32" s="414"/>
      <c r="EBB32" s="414"/>
      <c r="EBC32" s="414"/>
      <c r="EBD32" s="414"/>
      <c r="EBE32" s="414"/>
      <c r="EBF32" s="414"/>
      <c r="EBG32" s="414"/>
      <c r="EBH32" s="414"/>
      <c r="EBI32" s="414"/>
      <c r="EBJ32" s="414"/>
      <c r="EBK32" s="414"/>
      <c r="EBL32" s="414"/>
      <c r="EBM32" s="414"/>
      <c r="EBN32" s="414"/>
      <c r="EBO32" s="414"/>
      <c r="EBP32" s="414"/>
      <c r="EBQ32" s="414"/>
      <c r="EBR32" s="414"/>
      <c r="EBS32" s="414"/>
      <c r="EBT32" s="414"/>
      <c r="EBU32" s="414"/>
      <c r="EBV32" s="414"/>
      <c r="EBW32" s="414"/>
      <c r="EBX32" s="414"/>
      <c r="EBY32" s="414"/>
      <c r="EBZ32" s="414"/>
      <c r="ECA32" s="414"/>
      <c r="ECB32" s="414"/>
      <c r="ECC32" s="414"/>
      <c r="ECD32" s="414"/>
      <c r="ECE32" s="414"/>
      <c r="ECF32" s="414"/>
      <c r="ECG32" s="414"/>
      <c r="ECH32" s="414"/>
      <c r="ECI32" s="414"/>
      <c r="ECJ32" s="414"/>
      <c r="ECK32" s="414"/>
      <c r="ECL32" s="414"/>
      <c r="ECM32" s="414"/>
      <c r="ECN32" s="414"/>
      <c r="ECO32" s="414"/>
      <c r="ECP32" s="414"/>
      <c r="ECQ32" s="414"/>
      <c r="ECR32" s="414"/>
      <c r="ECS32" s="414"/>
      <c r="ECT32" s="414"/>
      <c r="ECU32" s="414"/>
      <c r="ECV32" s="414"/>
      <c r="ECW32" s="414"/>
      <c r="ECX32" s="414"/>
      <c r="ECY32" s="414"/>
      <c r="ECZ32" s="414"/>
      <c r="EDA32" s="414"/>
      <c r="EDB32" s="414"/>
      <c r="EDC32" s="414"/>
      <c r="EDD32" s="414"/>
      <c r="EDE32" s="414"/>
      <c r="EDF32" s="414"/>
      <c r="EDG32" s="414"/>
      <c r="EDH32" s="414"/>
      <c r="EDI32" s="414"/>
      <c r="EDJ32" s="414"/>
      <c r="EDK32" s="414"/>
      <c r="EDL32" s="414"/>
      <c r="EDM32" s="414"/>
      <c r="EDN32" s="414"/>
      <c r="EDO32" s="414"/>
      <c r="EDP32" s="414"/>
      <c r="EDQ32" s="414"/>
      <c r="EDR32" s="414"/>
      <c r="EDS32" s="414"/>
      <c r="EDT32" s="414"/>
      <c r="EDU32" s="414"/>
      <c r="EDV32" s="414"/>
      <c r="EDW32" s="414"/>
      <c r="EDX32" s="414"/>
      <c r="EDY32" s="414"/>
      <c r="EDZ32" s="414"/>
      <c r="EEA32" s="414"/>
      <c r="EEB32" s="414"/>
      <c r="EEC32" s="414"/>
      <c r="EED32" s="414"/>
      <c r="EEE32" s="414"/>
      <c r="EEF32" s="414"/>
      <c r="EEG32" s="414"/>
      <c r="EEH32" s="414"/>
      <c r="EEI32" s="414"/>
      <c r="EEJ32" s="414"/>
      <c r="EEK32" s="414"/>
      <c r="EEL32" s="414"/>
      <c r="EEM32" s="414"/>
      <c r="EEN32" s="414"/>
      <c r="EEO32" s="414"/>
      <c r="EEP32" s="414"/>
      <c r="EEQ32" s="414"/>
      <c r="EER32" s="414"/>
      <c r="EES32" s="414"/>
      <c r="EET32" s="414"/>
      <c r="EEU32" s="414"/>
      <c r="EEV32" s="414"/>
      <c r="EEW32" s="414"/>
      <c r="EEX32" s="414"/>
      <c r="EEY32" s="414"/>
      <c r="EEZ32" s="414"/>
      <c r="EFA32" s="414"/>
      <c r="EFB32" s="414"/>
      <c r="EFC32" s="414"/>
      <c r="EFD32" s="414"/>
      <c r="EFE32" s="414"/>
      <c r="EFF32" s="414"/>
      <c r="EFG32" s="414"/>
      <c r="EFH32" s="414"/>
      <c r="EFI32" s="414"/>
      <c r="EFJ32" s="414"/>
      <c r="EFK32" s="414"/>
      <c r="EFL32" s="414"/>
      <c r="EFM32" s="414"/>
      <c r="EFN32" s="414"/>
      <c r="EFO32" s="414"/>
      <c r="EFP32" s="414"/>
      <c r="EFQ32" s="414"/>
      <c r="EFR32" s="414"/>
      <c r="EFS32" s="414"/>
      <c r="EFT32" s="414"/>
      <c r="EFU32" s="414"/>
      <c r="EFV32" s="414"/>
      <c r="EFW32" s="414"/>
      <c r="EFX32" s="414"/>
      <c r="EFY32" s="414"/>
      <c r="EFZ32" s="414"/>
      <c r="EGA32" s="414"/>
      <c r="EGB32" s="414"/>
      <c r="EGC32" s="414"/>
      <c r="EGD32" s="414"/>
      <c r="EGE32" s="414"/>
      <c r="EGF32" s="414"/>
      <c r="EGG32" s="414"/>
      <c r="EGH32" s="414"/>
      <c r="EGI32" s="414"/>
      <c r="EGJ32" s="414"/>
      <c r="EGK32" s="414"/>
      <c r="EGL32" s="414"/>
      <c r="EGM32" s="414"/>
      <c r="EGN32" s="414"/>
      <c r="EGO32" s="414"/>
      <c r="EGP32" s="414"/>
      <c r="EGQ32" s="414"/>
      <c r="EGR32" s="414"/>
      <c r="EGS32" s="414"/>
      <c r="EGT32" s="414"/>
      <c r="EGU32" s="414"/>
      <c r="EGV32" s="414"/>
      <c r="EGW32" s="414"/>
      <c r="EGX32" s="414"/>
      <c r="EGY32" s="414"/>
      <c r="EGZ32" s="414"/>
      <c r="EHA32" s="414"/>
      <c r="EHB32" s="414"/>
      <c r="EHC32" s="414"/>
      <c r="EHD32" s="414"/>
      <c r="EHE32" s="414"/>
      <c r="EHF32" s="414"/>
      <c r="EHG32" s="414"/>
      <c r="EHH32" s="414"/>
      <c r="EHI32" s="414"/>
      <c r="EHJ32" s="414"/>
      <c r="EHK32" s="414"/>
      <c r="EHL32" s="414"/>
      <c r="EHM32" s="414"/>
      <c r="EHN32" s="414"/>
      <c r="EHO32" s="414"/>
      <c r="EHP32" s="414"/>
      <c r="EHQ32" s="414"/>
      <c r="EHR32" s="414"/>
      <c r="EHS32" s="414"/>
      <c r="EHT32" s="414"/>
      <c r="EHU32" s="414"/>
      <c r="EHV32" s="414"/>
      <c r="EHW32" s="414"/>
      <c r="EHX32" s="414"/>
      <c r="EHY32" s="414"/>
      <c r="EHZ32" s="414"/>
      <c r="EIA32" s="414"/>
      <c r="EIB32" s="414"/>
      <c r="EIC32" s="414"/>
      <c r="EID32" s="414"/>
      <c r="EIE32" s="414"/>
      <c r="EIF32" s="414"/>
      <c r="EIG32" s="414"/>
      <c r="EIH32" s="414"/>
      <c r="EII32" s="414"/>
      <c r="EIJ32" s="414"/>
      <c r="EIK32" s="414"/>
      <c r="EIL32" s="414"/>
      <c r="EIM32" s="414"/>
      <c r="EIN32" s="414"/>
      <c r="EIO32" s="414"/>
      <c r="EIP32" s="414"/>
      <c r="EIQ32" s="414"/>
      <c r="EIR32" s="414"/>
      <c r="EIS32" s="414"/>
      <c r="EIT32" s="414"/>
      <c r="EIU32" s="414"/>
      <c r="EIV32" s="414"/>
      <c r="EIW32" s="414"/>
      <c r="EIX32" s="414"/>
      <c r="EIY32" s="414"/>
      <c r="EIZ32" s="414"/>
      <c r="EJA32" s="414"/>
      <c r="EJB32" s="414"/>
      <c r="EJC32" s="414"/>
      <c r="EJD32" s="414"/>
      <c r="EJE32" s="414"/>
      <c r="EJF32" s="414"/>
      <c r="EJG32" s="414"/>
      <c r="EJH32" s="414"/>
      <c r="EJI32" s="414"/>
      <c r="EJJ32" s="414"/>
      <c r="EJK32" s="414"/>
      <c r="EJL32" s="414"/>
      <c r="EJM32" s="414"/>
      <c r="EJN32" s="414"/>
      <c r="EJO32" s="414"/>
      <c r="EJP32" s="414"/>
      <c r="EJQ32" s="414"/>
      <c r="EJR32" s="414"/>
      <c r="EJS32" s="414"/>
      <c r="EJT32" s="414"/>
      <c r="EJU32" s="414"/>
      <c r="EJV32" s="414"/>
      <c r="EJW32" s="414"/>
      <c r="EJX32" s="414"/>
      <c r="EJY32" s="414"/>
      <c r="EJZ32" s="414"/>
      <c r="EKA32" s="414"/>
      <c r="EKB32" s="414"/>
      <c r="EKC32" s="414"/>
      <c r="EKD32" s="414"/>
      <c r="EKE32" s="414"/>
      <c r="EKF32" s="414"/>
      <c r="EKG32" s="414"/>
      <c r="EKH32" s="414"/>
      <c r="EKI32" s="414"/>
      <c r="EKJ32" s="414"/>
      <c r="EKK32" s="414"/>
      <c r="EKL32" s="414"/>
      <c r="EKM32" s="414"/>
      <c r="EKN32" s="414"/>
      <c r="EKO32" s="414"/>
      <c r="EKP32" s="414"/>
      <c r="EKQ32" s="414"/>
      <c r="EKR32" s="414"/>
      <c r="EKS32" s="414"/>
      <c r="EKT32" s="414"/>
      <c r="EKU32" s="414"/>
      <c r="EKV32" s="414"/>
      <c r="EKW32" s="414"/>
      <c r="EKX32" s="414"/>
      <c r="EKY32" s="414"/>
      <c r="EKZ32" s="414"/>
      <c r="ELA32" s="414"/>
      <c r="ELB32" s="414"/>
      <c r="ELC32" s="414"/>
      <c r="ELD32" s="414"/>
      <c r="ELE32" s="414"/>
      <c r="ELF32" s="414"/>
      <c r="ELG32" s="414"/>
      <c r="ELH32" s="414"/>
      <c r="ELI32" s="414"/>
      <c r="ELJ32" s="414"/>
      <c r="ELK32" s="414"/>
      <c r="ELL32" s="414"/>
      <c r="ELM32" s="414"/>
      <c r="ELN32" s="414"/>
      <c r="ELO32" s="414"/>
      <c r="ELP32" s="414"/>
      <c r="ELQ32" s="414"/>
      <c r="ELR32" s="414"/>
      <c r="ELS32" s="414"/>
      <c r="ELT32" s="414"/>
      <c r="ELU32" s="414"/>
      <c r="ELV32" s="414"/>
      <c r="ELW32" s="414"/>
      <c r="ELX32" s="414"/>
      <c r="ELY32" s="414"/>
      <c r="ELZ32" s="414"/>
      <c r="EMA32" s="414"/>
      <c r="EMB32" s="414"/>
      <c r="EMC32" s="414"/>
      <c r="EMD32" s="414"/>
      <c r="EME32" s="414"/>
      <c r="EMF32" s="414"/>
      <c r="EMG32" s="414"/>
      <c r="EMH32" s="414"/>
      <c r="EMI32" s="414"/>
      <c r="EMJ32" s="414"/>
      <c r="EMK32" s="414"/>
      <c r="EML32" s="414"/>
      <c r="EMM32" s="414"/>
      <c r="EMN32" s="414"/>
      <c r="EMO32" s="414"/>
      <c r="EMP32" s="414"/>
      <c r="EMQ32" s="414"/>
      <c r="EMR32" s="414"/>
      <c r="EMS32" s="414"/>
      <c r="EMT32" s="414"/>
      <c r="EMU32" s="414"/>
      <c r="EMV32" s="414"/>
      <c r="EMW32" s="414"/>
      <c r="EMX32" s="414"/>
      <c r="EMY32" s="414"/>
      <c r="EMZ32" s="414"/>
      <c r="ENA32" s="414"/>
      <c r="ENB32" s="414"/>
      <c r="ENC32" s="414"/>
      <c r="END32" s="414"/>
      <c r="ENE32" s="414"/>
      <c r="ENF32" s="414"/>
      <c r="ENG32" s="414"/>
      <c r="ENH32" s="414"/>
      <c r="ENI32" s="414"/>
      <c r="ENJ32" s="414"/>
      <c r="ENK32" s="414"/>
      <c r="ENL32" s="414"/>
      <c r="ENM32" s="414"/>
      <c r="ENN32" s="414"/>
      <c r="ENO32" s="414"/>
      <c r="ENP32" s="414"/>
      <c r="ENQ32" s="414"/>
      <c r="ENR32" s="414"/>
      <c r="ENS32" s="414"/>
      <c r="ENT32" s="414"/>
      <c r="ENU32" s="414"/>
      <c r="ENV32" s="414"/>
      <c r="ENW32" s="414"/>
      <c r="ENX32" s="414"/>
      <c r="ENY32" s="414"/>
      <c r="ENZ32" s="414"/>
      <c r="EOA32" s="414"/>
      <c r="EOB32" s="414"/>
      <c r="EOC32" s="414"/>
      <c r="EOD32" s="414"/>
      <c r="EOE32" s="414"/>
      <c r="EOF32" s="414"/>
      <c r="EOG32" s="414"/>
      <c r="EOH32" s="414"/>
      <c r="EOI32" s="414"/>
      <c r="EOJ32" s="414"/>
      <c r="EOK32" s="414"/>
      <c r="EOL32" s="414"/>
      <c r="EOM32" s="414"/>
      <c r="EON32" s="414"/>
      <c r="EOO32" s="414"/>
      <c r="EOP32" s="414"/>
      <c r="EOQ32" s="414"/>
      <c r="EOR32" s="414"/>
      <c r="EOS32" s="414"/>
      <c r="EOT32" s="414"/>
      <c r="EOU32" s="414"/>
      <c r="EOV32" s="414"/>
      <c r="EOW32" s="414"/>
      <c r="EOX32" s="414"/>
      <c r="EOY32" s="414"/>
      <c r="EOZ32" s="414"/>
      <c r="EPA32" s="414"/>
      <c r="EPB32" s="414"/>
      <c r="EPC32" s="414"/>
      <c r="EPD32" s="414"/>
      <c r="EPE32" s="414"/>
      <c r="EPF32" s="414"/>
      <c r="EPG32" s="414"/>
      <c r="EPH32" s="414"/>
      <c r="EPI32" s="414"/>
      <c r="EPJ32" s="414"/>
      <c r="EPK32" s="414"/>
      <c r="EPL32" s="414"/>
      <c r="EPM32" s="414"/>
      <c r="EPN32" s="414"/>
      <c r="EPO32" s="414"/>
      <c r="EPP32" s="414"/>
      <c r="EPQ32" s="414"/>
      <c r="EPR32" s="414"/>
      <c r="EPS32" s="414"/>
      <c r="EPT32" s="414"/>
      <c r="EPU32" s="414"/>
      <c r="EPV32" s="414"/>
      <c r="EPW32" s="414"/>
      <c r="EPX32" s="414"/>
      <c r="EPY32" s="414"/>
      <c r="EPZ32" s="414"/>
      <c r="EQA32" s="414"/>
      <c r="EQB32" s="414"/>
      <c r="EQC32" s="414"/>
      <c r="EQD32" s="414"/>
      <c r="EQE32" s="414"/>
      <c r="EQF32" s="414"/>
      <c r="EQG32" s="414"/>
      <c r="EQH32" s="414"/>
      <c r="EQI32" s="414"/>
      <c r="EQJ32" s="414"/>
      <c r="EQK32" s="414"/>
      <c r="EQL32" s="414"/>
      <c r="EQM32" s="414"/>
      <c r="EQN32" s="414"/>
      <c r="EQO32" s="414"/>
      <c r="EQP32" s="414"/>
      <c r="EQQ32" s="414"/>
      <c r="EQR32" s="414"/>
      <c r="EQS32" s="414"/>
      <c r="EQT32" s="414"/>
      <c r="EQU32" s="414"/>
      <c r="EQV32" s="414"/>
      <c r="EQW32" s="414"/>
      <c r="EQX32" s="414"/>
      <c r="EQY32" s="414"/>
      <c r="EQZ32" s="414"/>
      <c r="ERA32" s="414"/>
      <c r="ERB32" s="414"/>
      <c r="ERC32" s="414"/>
      <c r="ERD32" s="414"/>
      <c r="ERE32" s="414"/>
      <c r="ERF32" s="414"/>
      <c r="ERG32" s="414"/>
      <c r="ERH32" s="414"/>
      <c r="ERI32" s="414"/>
      <c r="ERJ32" s="414"/>
      <c r="ERK32" s="414"/>
      <c r="ERL32" s="414"/>
      <c r="ERM32" s="414"/>
      <c r="ERN32" s="414"/>
      <c r="ERO32" s="414"/>
      <c r="ERP32" s="414"/>
      <c r="ERQ32" s="414"/>
      <c r="ERR32" s="414"/>
      <c r="ERS32" s="414"/>
      <c r="ERT32" s="414"/>
      <c r="ERU32" s="414"/>
      <c r="ERV32" s="414"/>
      <c r="ERW32" s="414"/>
      <c r="ERX32" s="414"/>
      <c r="ERY32" s="414"/>
      <c r="ERZ32" s="414"/>
      <c r="ESA32" s="414"/>
      <c r="ESB32" s="414"/>
      <c r="ESC32" s="414"/>
      <c r="ESD32" s="414"/>
      <c r="ESE32" s="414"/>
      <c r="ESF32" s="414"/>
      <c r="ESG32" s="414"/>
      <c r="ESH32" s="414"/>
      <c r="ESI32" s="414"/>
      <c r="ESJ32" s="414"/>
      <c r="ESK32" s="414"/>
      <c r="ESL32" s="414"/>
      <c r="ESM32" s="414"/>
      <c r="ESN32" s="414"/>
      <c r="ESO32" s="414"/>
      <c r="ESP32" s="414"/>
      <c r="ESQ32" s="414"/>
      <c r="ESR32" s="414"/>
      <c r="ESS32" s="414"/>
      <c r="EST32" s="414"/>
      <c r="ESU32" s="414"/>
      <c r="ESV32" s="414"/>
      <c r="ESW32" s="414"/>
      <c r="ESX32" s="414"/>
      <c r="ESY32" s="414"/>
      <c r="ESZ32" s="414"/>
      <c r="ETA32" s="414"/>
      <c r="ETB32" s="414"/>
      <c r="ETC32" s="414"/>
      <c r="ETD32" s="414"/>
      <c r="ETE32" s="414"/>
      <c r="ETF32" s="414"/>
      <c r="ETG32" s="414"/>
      <c r="ETH32" s="414"/>
      <c r="ETI32" s="414"/>
      <c r="ETJ32" s="414"/>
      <c r="ETK32" s="414"/>
      <c r="ETL32" s="414"/>
      <c r="ETM32" s="414"/>
      <c r="ETN32" s="414"/>
      <c r="ETO32" s="414"/>
      <c r="ETP32" s="414"/>
      <c r="ETQ32" s="414"/>
      <c r="ETR32" s="414"/>
      <c r="ETS32" s="414"/>
      <c r="ETT32" s="414"/>
      <c r="ETU32" s="414"/>
      <c r="ETV32" s="414"/>
      <c r="ETW32" s="414"/>
      <c r="ETX32" s="414"/>
      <c r="ETY32" s="414"/>
      <c r="ETZ32" s="414"/>
      <c r="EUA32" s="414"/>
      <c r="EUB32" s="414"/>
      <c r="EUC32" s="414"/>
      <c r="EUD32" s="414"/>
      <c r="EUE32" s="414"/>
      <c r="EUF32" s="414"/>
      <c r="EUG32" s="414"/>
      <c r="EUH32" s="414"/>
      <c r="EUI32" s="414"/>
      <c r="EUJ32" s="414"/>
      <c r="EUK32" s="414"/>
      <c r="EUL32" s="414"/>
      <c r="EUM32" s="414"/>
      <c r="EUN32" s="414"/>
      <c r="EUO32" s="414"/>
      <c r="EUP32" s="414"/>
      <c r="EUQ32" s="414"/>
      <c r="EUR32" s="414"/>
      <c r="EUS32" s="414"/>
      <c r="EUT32" s="414"/>
      <c r="EUU32" s="414"/>
      <c r="EUV32" s="414"/>
      <c r="EUW32" s="414"/>
      <c r="EUX32" s="414"/>
      <c r="EUY32" s="414"/>
      <c r="EUZ32" s="414"/>
      <c r="EVA32" s="414"/>
      <c r="EVB32" s="414"/>
      <c r="EVC32" s="414"/>
      <c r="EVD32" s="414"/>
      <c r="EVE32" s="414"/>
      <c r="EVF32" s="414"/>
      <c r="EVG32" s="414"/>
      <c r="EVH32" s="414"/>
      <c r="EVI32" s="414"/>
      <c r="EVJ32" s="414"/>
      <c r="EVK32" s="414"/>
      <c r="EVL32" s="414"/>
      <c r="EVM32" s="414"/>
      <c r="EVN32" s="414"/>
      <c r="EVO32" s="414"/>
      <c r="EVP32" s="414"/>
      <c r="EVQ32" s="414"/>
      <c r="EVR32" s="414"/>
      <c r="EVS32" s="414"/>
      <c r="EVT32" s="414"/>
      <c r="EVU32" s="414"/>
      <c r="EVV32" s="414"/>
      <c r="EVW32" s="414"/>
      <c r="EVX32" s="414"/>
      <c r="EVY32" s="414"/>
      <c r="EVZ32" s="414"/>
      <c r="EWA32" s="414"/>
      <c r="EWB32" s="414"/>
      <c r="EWC32" s="414"/>
      <c r="EWD32" s="414"/>
      <c r="EWE32" s="414"/>
      <c r="EWF32" s="414"/>
      <c r="EWG32" s="414"/>
      <c r="EWH32" s="414"/>
      <c r="EWI32" s="414"/>
      <c r="EWJ32" s="414"/>
      <c r="EWK32" s="414"/>
      <c r="EWL32" s="414"/>
      <c r="EWM32" s="414"/>
      <c r="EWN32" s="414"/>
      <c r="EWO32" s="414"/>
      <c r="EWP32" s="414"/>
      <c r="EWQ32" s="414"/>
      <c r="EWR32" s="414"/>
      <c r="EWS32" s="414"/>
      <c r="EWT32" s="414"/>
      <c r="EWU32" s="414"/>
      <c r="EWV32" s="414"/>
      <c r="EWW32" s="414"/>
      <c r="EWX32" s="414"/>
      <c r="EWY32" s="414"/>
      <c r="EWZ32" s="414"/>
      <c r="EXA32" s="414"/>
      <c r="EXB32" s="414"/>
      <c r="EXC32" s="414"/>
      <c r="EXD32" s="414"/>
      <c r="EXE32" s="414"/>
      <c r="EXF32" s="414"/>
      <c r="EXG32" s="414"/>
      <c r="EXH32" s="414"/>
      <c r="EXI32" s="414"/>
      <c r="EXJ32" s="414"/>
      <c r="EXK32" s="414"/>
      <c r="EXL32" s="414"/>
      <c r="EXM32" s="414"/>
      <c r="EXN32" s="414"/>
      <c r="EXO32" s="414"/>
      <c r="EXP32" s="414"/>
      <c r="EXQ32" s="414"/>
      <c r="EXR32" s="414"/>
      <c r="EXS32" s="414"/>
      <c r="EXT32" s="414"/>
      <c r="EXU32" s="414"/>
      <c r="EXV32" s="414"/>
      <c r="EXW32" s="414"/>
      <c r="EXX32" s="414"/>
      <c r="EXY32" s="414"/>
      <c r="EXZ32" s="414"/>
      <c r="EYA32" s="414"/>
      <c r="EYB32" s="414"/>
      <c r="EYC32" s="414"/>
      <c r="EYD32" s="414"/>
      <c r="EYE32" s="414"/>
      <c r="EYF32" s="414"/>
      <c r="EYG32" s="414"/>
      <c r="EYH32" s="414"/>
      <c r="EYI32" s="414"/>
      <c r="EYJ32" s="414"/>
      <c r="EYK32" s="414"/>
      <c r="EYL32" s="414"/>
      <c r="EYM32" s="414"/>
      <c r="EYN32" s="414"/>
      <c r="EYO32" s="414"/>
      <c r="EYP32" s="414"/>
      <c r="EYQ32" s="414"/>
      <c r="EYR32" s="414"/>
      <c r="EYS32" s="414"/>
      <c r="EYT32" s="414"/>
      <c r="EYU32" s="414"/>
      <c r="EYV32" s="414"/>
      <c r="EYW32" s="414"/>
      <c r="EYX32" s="414"/>
      <c r="EYY32" s="414"/>
      <c r="EYZ32" s="414"/>
      <c r="EZA32" s="414"/>
      <c r="EZB32" s="414"/>
      <c r="EZC32" s="414"/>
      <c r="EZD32" s="414"/>
      <c r="EZE32" s="414"/>
      <c r="EZF32" s="414"/>
      <c r="EZG32" s="414"/>
      <c r="EZH32" s="414"/>
      <c r="EZI32" s="414"/>
      <c r="EZJ32" s="414"/>
      <c r="EZK32" s="414"/>
      <c r="EZL32" s="414"/>
      <c r="EZM32" s="414"/>
      <c r="EZN32" s="414"/>
      <c r="EZO32" s="414"/>
      <c r="EZP32" s="414"/>
      <c r="EZQ32" s="414"/>
      <c r="EZR32" s="414"/>
      <c r="EZS32" s="414"/>
      <c r="EZT32" s="414"/>
      <c r="EZU32" s="414"/>
      <c r="EZV32" s="414"/>
      <c r="EZW32" s="414"/>
      <c r="EZX32" s="414"/>
      <c r="EZY32" s="414"/>
      <c r="EZZ32" s="414"/>
      <c r="FAA32" s="414"/>
      <c r="FAB32" s="414"/>
      <c r="FAC32" s="414"/>
      <c r="FAD32" s="414"/>
      <c r="FAE32" s="414"/>
      <c r="FAF32" s="414"/>
      <c r="FAG32" s="414"/>
      <c r="FAH32" s="414"/>
      <c r="FAI32" s="414"/>
      <c r="FAJ32" s="414"/>
      <c r="FAK32" s="414"/>
      <c r="FAL32" s="414"/>
      <c r="FAM32" s="414"/>
      <c r="FAN32" s="414"/>
      <c r="FAO32" s="414"/>
      <c r="FAP32" s="414"/>
      <c r="FAQ32" s="414"/>
      <c r="FAR32" s="414"/>
      <c r="FAS32" s="414"/>
      <c r="FAT32" s="414"/>
      <c r="FAU32" s="414"/>
      <c r="FAV32" s="414"/>
      <c r="FAW32" s="414"/>
      <c r="FAX32" s="414"/>
      <c r="FAY32" s="414"/>
      <c r="FAZ32" s="414"/>
      <c r="FBA32" s="414"/>
      <c r="FBB32" s="414"/>
      <c r="FBC32" s="414"/>
      <c r="FBD32" s="414"/>
      <c r="FBE32" s="414"/>
      <c r="FBF32" s="414"/>
      <c r="FBG32" s="414"/>
      <c r="FBH32" s="414"/>
      <c r="FBI32" s="414"/>
      <c r="FBJ32" s="414"/>
      <c r="FBK32" s="414"/>
      <c r="FBL32" s="414"/>
      <c r="FBM32" s="414"/>
      <c r="FBN32" s="414"/>
      <c r="FBO32" s="414"/>
      <c r="FBP32" s="414"/>
      <c r="FBQ32" s="414"/>
      <c r="FBR32" s="414"/>
      <c r="FBS32" s="414"/>
      <c r="FBT32" s="414"/>
      <c r="FBU32" s="414"/>
      <c r="FBV32" s="414"/>
      <c r="FBW32" s="414"/>
      <c r="FBX32" s="414"/>
      <c r="FBY32" s="414"/>
      <c r="FBZ32" s="414"/>
      <c r="FCA32" s="414"/>
      <c r="FCB32" s="414"/>
      <c r="FCC32" s="414"/>
      <c r="FCD32" s="414"/>
      <c r="FCE32" s="414"/>
      <c r="FCF32" s="414"/>
      <c r="FCG32" s="414"/>
      <c r="FCH32" s="414"/>
      <c r="FCI32" s="414"/>
      <c r="FCJ32" s="414"/>
      <c r="FCK32" s="414"/>
      <c r="FCL32" s="414"/>
      <c r="FCM32" s="414"/>
      <c r="FCN32" s="414"/>
      <c r="FCO32" s="414"/>
      <c r="FCP32" s="414"/>
      <c r="FCQ32" s="414"/>
      <c r="FCR32" s="414"/>
      <c r="FCS32" s="414"/>
      <c r="FCT32" s="414"/>
      <c r="FCU32" s="414"/>
      <c r="FCV32" s="414"/>
      <c r="FCW32" s="414"/>
      <c r="FCX32" s="414"/>
      <c r="FCY32" s="414"/>
      <c r="FCZ32" s="414"/>
      <c r="FDA32" s="414"/>
      <c r="FDB32" s="414"/>
      <c r="FDC32" s="414"/>
      <c r="FDD32" s="414"/>
      <c r="FDE32" s="414"/>
      <c r="FDF32" s="414"/>
      <c r="FDG32" s="414"/>
      <c r="FDH32" s="414"/>
      <c r="FDI32" s="414"/>
      <c r="FDJ32" s="414"/>
      <c r="FDK32" s="414"/>
      <c r="FDL32" s="414"/>
      <c r="FDM32" s="414"/>
      <c r="FDN32" s="414"/>
      <c r="FDO32" s="414"/>
      <c r="FDP32" s="414"/>
      <c r="FDQ32" s="414"/>
      <c r="FDR32" s="414"/>
      <c r="FDS32" s="414"/>
      <c r="FDT32" s="414"/>
      <c r="FDU32" s="414"/>
      <c r="FDV32" s="414"/>
      <c r="FDW32" s="414"/>
      <c r="FDX32" s="414"/>
      <c r="FDY32" s="414"/>
      <c r="FDZ32" s="414"/>
      <c r="FEA32" s="414"/>
      <c r="FEB32" s="414"/>
      <c r="FEC32" s="414"/>
      <c r="FED32" s="414"/>
      <c r="FEE32" s="414"/>
      <c r="FEF32" s="414"/>
      <c r="FEG32" s="414"/>
      <c r="FEH32" s="414"/>
      <c r="FEI32" s="414"/>
      <c r="FEJ32" s="414"/>
      <c r="FEK32" s="414"/>
      <c r="FEL32" s="414"/>
      <c r="FEM32" s="414"/>
      <c r="FEN32" s="414"/>
      <c r="FEO32" s="414"/>
      <c r="FEP32" s="414"/>
      <c r="FEQ32" s="414"/>
      <c r="FER32" s="414"/>
      <c r="FES32" s="414"/>
      <c r="FET32" s="414"/>
      <c r="FEU32" s="414"/>
      <c r="FEV32" s="414"/>
      <c r="FEW32" s="414"/>
      <c r="FEX32" s="414"/>
      <c r="FEY32" s="414"/>
      <c r="FEZ32" s="414"/>
      <c r="FFA32" s="414"/>
      <c r="FFB32" s="414"/>
      <c r="FFC32" s="414"/>
      <c r="FFD32" s="414"/>
      <c r="FFE32" s="414"/>
      <c r="FFF32" s="414"/>
      <c r="FFG32" s="414"/>
      <c r="FFH32" s="414"/>
      <c r="FFI32" s="414"/>
      <c r="FFJ32" s="414"/>
      <c r="FFK32" s="414"/>
      <c r="FFL32" s="414"/>
      <c r="FFM32" s="414"/>
      <c r="FFN32" s="414"/>
      <c r="FFO32" s="414"/>
      <c r="FFP32" s="414"/>
      <c r="FFQ32" s="414"/>
      <c r="FFR32" s="414"/>
      <c r="FFS32" s="414"/>
      <c r="FFT32" s="414"/>
      <c r="FFU32" s="414"/>
      <c r="FFV32" s="414"/>
      <c r="FFW32" s="414"/>
      <c r="FFX32" s="414"/>
      <c r="FFY32" s="414"/>
      <c r="FFZ32" s="414"/>
      <c r="FGA32" s="414"/>
      <c r="FGB32" s="414"/>
      <c r="FGC32" s="414"/>
      <c r="FGD32" s="414"/>
      <c r="FGE32" s="414"/>
      <c r="FGF32" s="414"/>
      <c r="FGG32" s="414"/>
      <c r="FGH32" s="414"/>
      <c r="FGI32" s="414"/>
      <c r="FGJ32" s="414"/>
      <c r="FGK32" s="414"/>
      <c r="FGL32" s="414"/>
      <c r="FGM32" s="414"/>
      <c r="FGN32" s="414"/>
      <c r="FGO32" s="414"/>
      <c r="FGP32" s="414"/>
      <c r="FGQ32" s="414"/>
      <c r="FGR32" s="414"/>
      <c r="FGS32" s="414"/>
      <c r="FGT32" s="414"/>
      <c r="FGU32" s="414"/>
      <c r="FGV32" s="414"/>
      <c r="FGW32" s="414"/>
      <c r="FGX32" s="414"/>
      <c r="FGY32" s="414"/>
      <c r="FGZ32" s="414"/>
      <c r="FHA32" s="414"/>
      <c r="FHB32" s="414"/>
      <c r="FHC32" s="414"/>
      <c r="FHD32" s="414"/>
      <c r="FHE32" s="414"/>
      <c r="FHF32" s="414"/>
      <c r="FHG32" s="414"/>
      <c r="FHH32" s="414"/>
      <c r="FHI32" s="414"/>
      <c r="FHJ32" s="414"/>
      <c r="FHK32" s="414"/>
      <c r="FHL32" s="414"/>
      <c r="FHM32" s="414"/>
      <c r="FHN32" s="414"/>
      <c r="FHO32" s="414"/>
      <c r="FHP32" s="414"/>
      <c r="FHQ32" s="414"/>
      <c r="FHR32" s="414"/>
      <c r="FHS32" s="414"/>
      <c r="FHT32" s="414"/>
      <c r="FHU32" s="414"/>
      <c r="FHV32" s="414"/>
      <c r="FHW32" s="414"/>
      <c r="FHX32" s="414"/>
      <c r="FHY32" s="414"/>
      <c r="FHZ32" s="414"/>
      <c r="FIA32" s="414"/>
      <c r="FIB32" s="414"/>
      <c r="FIC32" s="414"/>
      <c r="FID32" s="414"/>
      <c r="FIE32" s="414"/>
      <c r="FIF32" s="414"/>
      <c r="FIG32" s="414"/>
      <c r="FIH32" s="414"/>
      <c r="FII32" s="414"/>
      <c r="FIJ32" s="414"/>
      <c r="FIK32" s="414"/>
      <c r="FIL32" s="414"/>
      <c r="FIM32" s="414"/>
      <c r="FIN32" s="414"/>
      <c r="FIO32" s="414"/>
      <c r="FIP32" s="414"/>
      <c r="FIQ32" s="414"/>
      <c r="FIR32" s="414"/>
      <c r="FIS32" s="414"/>
      <c r="FIT32" s="414"/>
      <c r="FIU32" s="414"/>
      <c r="FIV32" s="414"/>
      <c r="FIW32" s="414"/>
      <c r="FIX32" s="414"/>
      <c r="FIY32" s="414"/>
      <c r="FIZ32" s="414"/>
      <c r="FJA32" s="414"/>
      <c r="FJB32" s="414"/>
      <c r="FJC32" s="414"/>
      <c r="FJD32" s="414"/>
      <c r="FJE32" s="414"/>
      <c r="FJF32" s="414"/>
      <c r="FJG32" s="414"/>
      <c r="FJH32" s="414"/>
      <c r="FJI32" s="414"/>
      <c r="FJJ32" s="414"/>
      <c r="FJK32" s="414"/>
      <c r="FJL32" s="414"/>
      <c r="FJM32" s="414"/>
      <c r="FJN32" s="414"/>
      <c r="FJO32" s="414"/>
      <c r="FJP32" s="414"/>
      <c r="FJQ32" s="414"/>
      <c r="FJR32" s="414"/>
      <c r="FJS32" s="414"/>
      <c r="FJT32" s="414"/>
      <c r="FJU32" s="414"/>
      <c r="FJV32" s="414"/>
      <c r="FJW32" s="414"/>
      <c r="FJX32" s="414"/>
      <c r="FJY32" s="414"/>
      <c r="FJZ32" s="414"/>
      <c r="FKA32" s="414"/>
      <c r="FKB32" s="414"/>
      <c r="FKC32" s="414"/>
      <c r="FKD32" s="414"/>
      <c r="FKE32" s="414"/>
      <c r="FKF32" s="414"/>
      <c r="FKG32" s="414"/>
      <c r="FKH32" s="414"/>
      <c r="FKI32" s="414"/>
      <c r="FKJ32" s="414"/>
      <c r="FKK32" s="414"/>
      <c r="FKL32" s="414"/>
      <c r="FKM32" s="414"/>
      <c r="FKN32" s="414"/>
      <c r="FKO32" s="414"/>
      <c r="FKP32" s="414"/>
      <c r="FKQ32" s="414"/>
      <c r="FKR32" s="414"/>
      <c r="FKS32" s="414"/>
      <c r="FKT32" s="414"/>
      <c r="FKU32" s="414"/>
      <c r="FKV32" s="414"/>
      <c r="FKW32" s="414"/>
      <c r="FKX32" s="414"/>
      <c r="FKY32" s="414"/>
      <c r="FKZ32" s="414"/>
      <c r="FLA32" s="414"/>
      <c r="FLB32" s="414"/>
      <c r="FLC32" s="414"/>
      <c r="FLD32" s="414"/>
      <c r="FLE32" s="414"/>
      <c r="FLF32" s="414"/>
      <c r="FLG32" s="414"/>
      <c r="FLH32" s="414"/>
      <c r="FLI32" s="414"/>
      <c r="FLJ32" s="414"/>
      <c r="FLK32" s="414"/>
      <c r="FLL32" s="414"/>
      <c r="FLM32" s="414"/>
      <c r="FLN32" s="414"/>
      <c r="FLO32" s="414"/>
      <c r="FLP32" s="414"/>
      <c r="FLQ32" s="414"/>
      <c r="FLR32" s="414"/>
      <c r="FLS32" s="414"/>
      <c r="FLT32" s="414"/>
      <c r="FLU32" s="414"/>
      <c r="FLV32" s="414"/>
      <c r="FLW32" s="414"/>
      <c r="FLX32" s="414"/>
      <c r="FLY32" s="414"/>
      <c r="FLZ32" s="414"/>
      <c r="FMA32" s="414"/>
      <c r="FMB32" s="414"/>
      <c r="FMC32" s="414"/>
      <c r="FMD32" s="414"/>
      <c r="FME32" s="414"/>
      <c r="FMF32" s="414"/>
      <c r="FMG32" s="414"/>
      <c r="FMH32" s="414"/>
      <c r="FMI32" s="414"/>
      <c r="FMJ32" s="414"/>
      <c r="FMK32" s="414"/>
      <c r="FML32" s="414"/>
      <c r="FMM32" s="414"/>
      <c r="FMN32" s="414"/>
      <c r="FMO32" s="414"/>
      <c r="FMP32" s="414"/>
      <c r="FMQ32" s="414"/>
      <c r="FMR32" s="414"/>
      <c r="FMS32" s="414"/>
      <c r="FMT32" s="414"/>
      <c r="FMU32" s="414"/>
      <c r="FMV32" s="414"/>
      <c r="FMW32" s="414"/>
      <c r="FMX32" s="414"/>
      <c r="FMY32" s="414"/>
      <c r="FMZ32" s="414"/>
      <c r="FNA32" s="414"/>
      <c r="FNB32" s="414"/>
      <c r="FNC32" s="414"/>
      <c r="FND32" s="414"/>
      <c r="FNE32" s="414"/>
      <c r="FNF32" s="414"/>
      <c r="FNG32" s="414"/>
      <c r="FNH32" s="414"/>
      <c r="FNI32" s="414"/>
      <c r="FNJ32" s="414"/>
      <c r="FNK32" s="414"/>
      <c r="FNL32" s="414"/>
      <c r="FNM32" s="414"/>
      <c r="FNN32" s="414"/>
      <c r="FNO32" s="414"/>
      <c r="FNP32" s="414"/>
      <c r="FNQ32" s="414"/>
      <c r="FNR32" s="414"/>
      <c r="FNS32" s="414"/>
      <c r="FNT32" s="414"/>
      <c r="FNU32" s="414"/>
      <c r="FNV32" s="414"/>
      <c r="FNW32" s="414"/>
      <c r="FNX32" s="414"/>
      <c r="FNY32" s="414"/>
      <c r="FNZ32" s="414"/>
      <c r="FOA32" s="414"/>
      <c r="FOB32" s="414"/>
      <c r="FOC32" s="414"/>
      <c r="FOD32" s="414"/>
      <c r="FOE32" s="414"/>
      <c r="FOF32" s="414"/>
      <c r="FOG32" s="414"/>
      <c r="FOH32" s="414"/>
      <c r="FOI32" s="414"/>
      <c r="FOJ32" s="414"/>
      <c r="FOK32" s="414"/>
      <c r="FOL32" s="414"/>
      <c r="FOM32" s="414"/>
      <c r="FON32" s="414"/>
      <c r="FOO32" s="414"/>
      <c r="FOP32" s="414"/>
      <c r="FOQ32" s="414"/>
      <c r="FOR32" s="414"/>
      <c r="FOS32" s="414"/>
      <c r="FOT32" s="414"/>
      <c r="FOU32" s="414"/>
      <c r="FOV32" s="414"/>
      <c r="FOW32" s="414"/>
      <c r="FOX32" s="414"/>
      <c r="FOY32" s="414"/>
      <c r="FOZ32" s="414"/>
      <c r="FPA32" s="414"/>
      <c r="FPB32" s="414"/>
      <c r="FPC32" s="414"/>
      <c r="FPD32" s="414"/>
      <c r="FPE32" s="414"/>
      <c r="FPF32" s="414"/>
      <c r="FPG32" s="414"/>
      <c r="FPH32" s="414"/>
      <c r="FPI32" s="414"/>
      <c r="FPJ32" s="414"/>
      <c r="FPK32" s="414"/>
      <c r="FPL32" s="414"/>
      <c r="FPM32" s="414"/>
      <c r="FPN32" s="414"/>
      <c r="FPO32" s="414"/>
      <c r="FPP32" s="414"/>
      <c r="FPQ32" s="414"/>
      <c r="FPR32" s="414"/>
      <c r="FPS32" s="414"/>
      <c r="FPT32" s="414"/>
      <c r="FPU32" s="414"/>
      <c r="FPV32" s="414"/>
      <c r="FPW32" s="414"/>
      <c r="FPX32" s="414"/>
      <c r="FPY32" s="414"/>
      <c r="FPZ32" s="414"/>
      <c r="FQA32" s="414"/>
      <c r="FQB32" s="414"/>
      <c r="FQC32" s="414"/>
      <c r="FQD32" s="414"/>
      <c r="FQE32" s="414"/>
      <c r="FQF32" s="414"/>
      <c r="FQG32" s="414"/>
      <c r="FQH32" s="414"/>
      <c r="FQI32" s="414"/>
      <c r="FQJ32" s="414"/>
      <c r="FQK32" s="414"/>
      <c r="FQL32" s="414"/>
      <c r="FQM32" s="414"/>
      <c r="FQN32" s="414"/>
      <c r="FQO32" s="414"/>
      <c r="FQP32" s="414"/>
      <c r="FQQ32" s="414"/>
      <c r="FQR32" s="414"/>
      <c r="FQS32" s="414"/>
      <c r="FQT32" s="414"/>
      <c r="FQU32" s="414"/>
      <c r="FQV32" s="414"/>
      <c r="FQW32" s="414"/>
      <c r="FQX32" s="414"/>
      <c r="FQY32" s="414"/>
      <c r="FQZ32" s="414"/>
      <c r="FRA32" s="414"/>
      <c r="FRB32" s="414"/>
      <c r="FRC32" s="414"/>
      <c r="FRD32" s="414"/>
      <c r="FRE32" s="414"/>
      <c r="FRF32" s="414"/>
      <c r="FRG32" s="414"/>
      <c r="FRH32" s="414"/>
      <c r="FRI32" s="414"/>
      <c r="FRJ32" s="414"/>
      <c r="FRK32" s="414"/>
      <c r="FRL32" s="414"/>
      <c r="FRM32" s="414"/>
      <c r="FRN32" s="414"/>
      <c r="FRO32" s="414"/>
      <c r="FRP32" s="414"/>
      <c r="FRQ32" s="414"/>
      <c r="FRR32" s="414"/>
      <c r="FRS32" s="414"/>
      <c r="FRT32" s="414"/>
      <c r="FRU32" s="414"/>
      <c r="FRV32" s="414"/>
      <c r="FRW32" s="414"/>
      <c r="FRX32" s="414"/>
      <c r="FRY32" s="414"/>
      <c r="FRZ32" s="414"/>
      <c r="FSA32" s="414"/>
      <c r="FSB32" s="414"/>
      <c r="FSC32" s="414"/>
      <c r="FSD32" s="414"/>
      <c r="FSE32" s="414"/>
      <c r="FSF32" s="414"/>
      <c r="FSG32" s="414"/>
      <c r="FSH32" s="414"/>
      <c r="FSI32" s="414"/>
      <c r="FSJ32" s="414"/>
      <c r="FSK32" s="414"/>
      <c r="FSL32" s="414"/>
      <c r="FSM32" s="414"/>
      <c r="FSN32" s="414"/>
      <c r="FSO32" s="414"/>
      <c r="FSP32" s="414"/>
      <c r="FSQ32" s="414"/>
      <c r="FSR32" s="414"/>
      <c r="FSS32" s="414"/>
      <c r="FST32" s="414"/>
      <c r="FSU32" s="414"/>
      <c r="FSV32" s="414"/>
      <c r="FSW32" s="414"/>
      <c r="FSX32" s="414"/>
      <c r="FSY32" s="414"/>
      <c r="FSZ32" s="414"/>
      <c r="FTA32" s="414"/>
      <c r="FTB32" s="414"/>
      <c r="FTC32" s="414"/>
      <c r="FTD32" s="414"/>
      <c r="FTE32" s="414"/>
      <c r="FTF32" s="414"/>
      <c r="FTG32" s="414"/>
      <c r="FTH32" s="414"/>
      <c r="FTI32" s="414"/>
      <c r="FTJ32" s="414"/>
      <c r="FTK32" s="414"/>
      <c r="FTL32" s="414"/>
      <c r="FTM32" s="414"/>
      <c r="FTN32" s="414"/>
      <c r="FTO32" s="414"/>
      <c r="FTP32" s="414"/>
      <c r="FTQ32" s="414"/>
      <c r="FTR32" s="414"/>
      <c r="FTS32" s="414"/>
      <c r="FTT32" s="414"/>
      <c r="FTU32" s="414"/>
      <c r="FTV32" s="414"/>
      <c r="FTW32" s="414"/>
      <c r="FTX32" s="414"/>
      <c r="FTY32" s="414"/>
      <c r="FTZ32" s="414"/>
      <c r="FUA32" s="414"/>
      <c r="FUB32" s="414"/>
      <c r="FUC32" s="414"/>
      <c r="FUD32" s="414"/>
      <c r="FUE32" s="414"/>
      <c r="FUF32" s="414"/>
      <c r="FUG32" s="414"/>
      <c r="FUH32" s="414"/>
      <c r="FUI32" s="414"/>
      <c r="FUJ32" s="414"/>
      <c r="FUK32" s="414"/>
      <c r="FUL32" s="414"/>
      <c r="FUM32" s="414"/>
      <c r="FUN32" s="414"/>
      <c r="FUO32" s="414"/>
      <c r="FUP32" s="414"/>
      <c r="FUQ32" s="414"/>
      <c r="FUR32" s="414"/>
      <c r="FUS32" s="414"/>
      <c r="FUT32" s="414"/>
      <c r="FUU32" s="414"/>
      <c r="FUV32" s="414"/>
      <c r="FUW32" s="414"/>
      <c r="FUX32" s="414"/>
      <c r="FUY32" s="414"/>
      <c r="FUZ32" s="414"/>
      <c r="FVA32" s="414"/>
      <c r="FVB32" s="414"/>
      <c r="FVC32" s="414"/>
      <c r="FVD32" s="414"/>
      <c r="FVE32" s="414"/>
      <c r="FVF32" s="414"/>
      <c r="FVG32" s="414"/>
      <c r="FVH32" s="414"/>
      <c r="FVI32" s="414"/>
      <c r="FVJ32" s="414"/>
      <c r="FVK32" s="414"/>
      <c r="FVL32" s="414"/>
      <c r="FVM32" s="414"/>
      <c r="FVN32" s="414"/>
      <c r="FVO32" s="414"/>
      <c r="FVP32" s="414"/>
      <c r="FVQ32" s="414"/>
      <c r="FVR32" s="414"/>
      <c r="FVS32" s="414"/>
      <c r="FVT32" s="414"/>
      <c r="FVU32" s="414"/>
      <c r="FVV32" s="414"/>
      <c r="FVW32" s="414"/>
      <c r="FVX32" s="414"/>
      <c r="FVY32" s="414"/>
      <c r="FVZ32" s="414"/>
      <c r="FWA32" s="414"/>
      <c r="FWB32" s="414"/>
      <c r="FWC32" s="414"/>
      <c r="FWD32" s="414"/>
      <c r="FWE32" s="414"/>
      <c r="FWF32" s="414"/>
      <c r="FWG32" s="414"/>
      <c r="FWH32" s="414"/>
      <c r="FWI32" s="414"/>
      <c r="FWJ32" s="414"/>
      <c r="FWK32" s="414"/>
      <c r="FWL32" s="414"/>
      <c r="FWM32" s="414"/>
      <c r="FWN32" s="414"/>
      <c r="FWO32" s="414"/>
      <c r="FWP32" s="414"/>
      <c r="FWQ32" s="414"/>
      <c r="FWR32" s="414"/>
      <c r="FWS32" s="414"/>
      <c r="FWT32" s="414"/>
      <c r="FWU32" s="414"/>
      <c r="FWV32" s="414"/>
      <c r="FWW32" s="414"/>
      <c r="FWX32" s="414"/>
      <c r="FWY32" s="414"/>
      <c r="FWZ32" s="414"/>
      <c r="FXA32" s="414"/>
      <c r="FXB32" s="414"/>
      <c r="FXC32" s="414"/>
      <c r="FXD32" s="414"/>
      <c r="FXE32" s="414"/>
      <c r="FXF32" s="414"/>
      <c r="FXG32" s="414"/>
      <c r="FXH32" s="414"/>
      <c r="FXI32" s="414"/>
      <c r="FXJ32" s="414"/>
      <c r="FXK32" s="414"/>
      <c r="FXL32" s="414"/>
      <c r="FXM32" s="414"/>
      <c r="FXN32" s="414"/>
      <c r="FXO32" s="414"/>
      <c r="FXP32" s="414"/>
      <c r="FXQ32" s="414"/>
      <c r="FXR32" s="414"/>
      <c r="FXS32" s="414"/>
      <c r="FXT32" s="414"/>
      <c r="FXU32" s="414"/>
      <c r="FXV32" s="414"/>
      <c r="FXW32" s="414"/>
      <c r="FXX32" s="414"/>
      <c r="FXY32" s="414"/>
      <c r="FXZ32" s="414"/>
      <c r="FYA32" s="414"/>
      <c r="FYB32" s="414"/>
      <c r="FYC32" s="414"/>
      <c r="FYD32" s="414"/>
      <c r="FYE32" s="414"/>
      <c r="FYF32" s="414"/>
      <c r="FYG32" s="414"/>
      <c r="FYH32" s="414"/>
      <c r="FYI32" s="414"/>
      <c r="FYJ32" s="414"/>
      <c r="FYK32" s="414"/>
      <c r="FYL32" s="414"/>
      <c r="FYM32" s="414"/>
      <c r="FYN32" s="414"/>
      <c r="FYO32" s="414"/>
      <c r="FYP32" s="414"/>
      <c r="FYQ32" s="414"/>
      <c r="FYR32" s="414"/>
      <c r="FYS32" s="414"/>
      <c r="FYT32" s="414"/>
      <c r="FYU32" s="414"/>
      <c r="FYV32" s="414"/>
      <c r="FYW32" s="414"/>
      <c r="FYX32" s="414"/>
      <c r="FYY32" s="414"/>
      <c r="FYZ32" s="414"/>
      <c r="FZA32" s="414"/>
      <c r="FZB32" s="414"/>
      <c r="FZC32" s="414"/>
      <c r="FZD32" s="414"/>
      <c r="FZE32" s="414"/>
      <c r="FZF32" s="414"/>
      <c r="FZG32" s="414"/>
      <c r="FZH32" s="414"/>
      <c r="FZI32" s="414"/>
      <c r="FZJ32" s="414"/>
      <c r="FZK32" s="414"/>
      <c r="FZL32" s="414"/>
      <c r="FZM32" s="414"/>
      <c r="FZN32" s="414"/>
      <c r="FZO32" s="414"/>
      <c r="FZP32" s="414"/>
      <c r="FZQ32" s="414"/>
      <c r="FZR32" s="414"/>
      <c r="FZS32" s="414"/>
      <c r="FZT32" s="414"/>
      <c r="FZU32" s="414"/>
      <c r="FZV32" s="414"/>
      <c r="FZW32" s="414"/>
      <c r="FZX32" s="414"/>
      <c r="FZY32" s="414"/>
      <c r="FZZ32" s="414"/>
      <c r="GAA32" s="414"/>
      <c r="GAB32" s="414"/>
      <c r="GAC32" s="414"/>
      <c r="GAD32" s="414"/>
      <c r="GAE32" s="414"/>
      <c r="GAF32" s="414"/>
      <c r="GAG32" s="414"/>
      <c r="GAH32" s="414"/>
      <c r="GAI32" s="414"/>
      <c r="GAJ32" s="414"/>
      <c r="GAK32" s="414"/>
      <c r="GAL32" s="414"/>
      <c r="GAM32" s="414"/>
      <c r="GAN32" s="414"/>
      <c r="GAO32" s="414"/>
      <c r="GAP32" s="414"/>
      <c r="GAQ32" s="414"/>
      <c r="GAR32" s="414"/>
      <c r="GAS32" s="414"/>
      <c r="GAT32" s="414"/>
      <c r="GAU32" s="414"/>
      <c r="GAV32" s="414"/>
      <c r="GAW32" s="414"/>
      <c r="GAX32" s="414"/>
      <c r="GAY32" s="414"/>
      <c r="GAZ32" s="414"/>
      <c r="GBA32" s="414"/>
      <c r="GBB32" s="414"/>
      <c r="GBC32" s="414"/>
      <c r="GBD32" s="414"/>
      <c r="GBE32" s="414"/>
      <c r="GBF32" s="414"/>
      <c r="GBG32" s="414"/>
      <c r="GBH32" s="414"/>
      <c r="GBI32" s="414"/>
      <c r="GBJ32" s="414"/>
      <c r="GBK32" s="414"/>
      <c r="GBL32" s="414"/>
      <c r="GBM32" s="414"/>
      <c r="GBN32" s="414"/>
      <c r="GBO32" s="414"/>
      <c r="GBP32" s="414"/>
      <c r="GBQ32" s="414"/>
      <c r="GBR32" s="414"/>
      <c r="GBS32" s="414"/>
      <c r="GBT32" s="414"/>
      <c r="GBU32" s="414"/>
      <c r="GBV32" s="414"/>
      <c r="GBW32" s="414"/>
      <c r="GBX32" s="414"/>
      <c r="GBY32" s="414"/>
      <c r="GBZ32" s="414"/>
      <c r="GCA32" s="414"/>
      <c r="GCB32" s="414"/>
      <c r="GCC32" s="414"/>
      <c r="GCD32" s="414"/>
      <c r="GCE32" s="414"/>
      <c r="GCF32" s="414"/>
      <c r="GCG32" s="414"/>
      <c r="GCH32" s="414"/>
      <c r="GCI32" s="414"/>
      <c r="GCJ32" s="414"/>
      <c r="GCK32" s="414"/>
      <c r="GCL32" s="414"/>
      <c r="GCM32" s="414"/>
      <c r="GCN32" s="414"/>
      <c r="GCO32" s="414"/>
      <c r="GCP32" s="414"/>
      <c r="GCQ32" s="414"/>
      <c r="GCR32" s="414"/>
      <c r="GCS32" s="414"/>
      <c r="GCT32" s="414"/>
      <c r="GCU32" s="414"/>
      <c r="GCV32" s="414"/>
      <c r="GCW32" s="414"/>
      <c r="GCX32" s="414"/>
      <c r="GCY32" s="414"/>
      <c r="GCZ32" s="414"/>
      <c r="GDA32" s="414"/>
      <c r="GDB32" s="414"/>
      <c r="GDC32" s="414"/>
      <c r="GDD32" s="414"/>
      <c r="GDE32" s="414"/>
      <c r="GDF32" s="414"/>
      <c r="GDG32" s="414"/>
      <c r="GDH32" s="414"/>
      <c r="GDI32" s="414"/>
      <c r="GDJ32" s="414"/>
      <c r="GDK32" s="414"/>
      <c r="GDL32" s="414"/>
      <c r="GDM32" s="414"/>
      <c r="GDN32" s="414"/>
      <c r="GDO32" s="414"/>
      <c r="GDP32" s="414"/>
      <c r="GDQ32" s="414"/>
      <c r="GDR32" s="414"/>
      <c r="GDS32" s="414"/>
      <c r="GDT32" s="414"/>
      <c r="GDU32" s="414"/>
      <c r="GDV32" s="414"/>
      <c r="GDW32" s="414"/>
      <c r="GDX32" s="414"/>
      <c r="GDY32" s="414"/>
      <c r="GDZ32" s="414"/>
      <c r="GEA32" s="414"/>
      <c r="GEB32" s="414"/>
      <c r="GEC32" s="414"/>
      <c r="GED32" s="414"/>
      <c r="GEE32" s="414"/>
      <c r="GEF32" s="414"/>
      <c r="GEG32" s="414"/>
      <c r="GEH32" s="414"/>
      <c r="GEI32" s="414"/>
      <c r="GEJ32" s="414"/>
      <c r="GEK32" s="414"/>
      <c r="GEL32" s="414"/>
      <c r="GEM32" s="414"/>
      <c r="GEN32" s="414"/>
      <c r="GEO32" s="414"/>
      <c r="GEP32" s="414"/>
      <c r="GEQ32" s="414"/>
      <c r="GER32" s="414"/>
      <c r="GES32" s="414"/>
      <c r="GET32" s="414"/>
      <c r="GEU32" s="414"/>
      <c r="GEV32" s="414"/>
      <c r="GEW32" s="414"/>
      <c r="GEX32" s="414"/>
      <c r="GEY32" s="414"/>
      <c r="GEZ32" s="414"/>
      <c r="GFA32" s="414"/>
      <c r="GFB32" s="414"/>
      <c r="GFC32" s="414"/>
      <c r="GFD32" s="414"/>
      <c r="GFE32" s="414"/>
      <c r="GFF32" s="414"/>
      <c r="GFG32" s="414"/>
      <c r="GFH32" s="414"/>
      <c r="GFI32" s="414"/>
      <c r="GFJ32" s="414"/>
      <c r="GFK32" s="414"/>
      <c r="GFL32" s="414"/>
      <c r="GFM32" s="414"/>
      <c r="GFN32" s="414"/>
      <c r="GFO32" s="414"/>
      <c r="GFP32" s="414"/>
      <c r="GFQ32" s="414"/>
      <c r="GFR32" s="414"/>
      <c r="GFS32" s="414"/>
      <c r="GFT32" s="414"/>
      <c r="GFU32" s="414"/>
      <c r="GFV32" s="414"/>
      <c r="GFW32" s="414"/>
      <c r="GFX32" s="414"/>
      <c r="GFY32" s="414"/>
      <c r="GFZ32" s="414"/>
      <c r="GGA32" s="414"/>
      <c r="GGB32" s="414"/>
      <c r="GGC32" s="414"/>
      <c r="GGD32" s="414"/>
      <c r="GGE32" s="414"/>
      <c r="GGF32" s="414"/>
      <c r="GGG32" s="414"/>
      <c r="GGH32" s="414"/>
      <c r="GGI32" s="414"/>
      <c r="GGJ32" s="414"/>
      <c r="GGK32" s="414"/>
      <c r="GGL32" s="414"/>
      <c r="GGM32" s="414"/>
      <c r="GGN32" s="414"/>
      <c r="GGO32" s="414"/>
      <c r="GGP32" s="414"/>
      <c r="GGQ32" s="414"/>
      <c r="GGR32" s="414"/>
      <c r="GGS32" s="414"/>
      <c r="GGT32" s="414"/>
      <c r="GGU32" s="414"/>
      <c r="GGV32" s="414"/>
      <c r="GGW32" s="414"/>
      <c r="GGX32" s="414"/>
      <c r="GGY32" s="414"/>
      <c r="GGZ32" s="414"/>
      <c r="GHA32" s="414"/>
      <c r="GHB32" s="414"/>
      <c r="GHC32" s="414"/>
      <c r="GHD32" s="414"/>
      <c r="GHE32" s="414"/>
      <c r="GHF32" s="414"/>
      <c r="GHG32" s="414"/>
      <c r="GHH32" s="414"/>
      <c r="GHI32" s="414"/>
      <c r="GHJ32" s="414"/>
      <c r="GHK32" s="414"/>
      <c r="GHL32" s="414"/>
      <c r="GHM32" s="414"/>
      <c r="GHN32" s="414"/>
      <c r="GHO32" s="414"/>
      <c r="GHP32" s="414"/>
      <c r="GHQ32" s="414"/>
      <c r="GHR32" s="414"/>
      <c r="GHS32" s="414"/>
      <c r="GHT32" s="414"/>
      <c r="GHU32" s="414"/>
      <c r="GHV32" s="414"/>
      <c r="GHW32" s="414"/>
      <c r="GHX32" s="414"/>
      <c r="GHY32" s="414"/>
      <c r="GHZ32" s="414"/>
      <c r="GIA32" s="414"/>
      <c r="GIB32" s="414"/>
      <c r="GIC32" s="414"/>
      <c r="GID32" s="414"/>
      <c r="GIE32" s="414"/>
      <c r="GIF32" s="414"/>
      <c r="GIG32" s="414"/>
      <c r="GIH32" s="414"/>
      <c r="GII32" s="414"/>
      <c r="GIJ32" s="414"/>
      <c r="GIK32" s="414"/>
      <c r="GIL32" s="414"/>
      <c r="GIM32" s="414"/>
      <c r="GIN32" s="414"/>
      <c r="GIO32" s="414"/>
      <c r="GIP32" s="414"/>
      <c r="GIQ32" s="414"/>
      <c r="GIR32" s="414"/>
      <c r="GIS32" s="414"/>
      <c r="GIT32" s="414"/>
      <c r="GIU32" s="414"/>
      <c r="GIV32" s="414"/>
      <c r="GIW32" s="414"/>
      <c r="GIX32" s="414"/>
      <c r="GIY32" s="414"/>
      <c r="GIZ32" s="414"/>
      <c r="GJA32" s="414"/>
      <c r="GJB32" s="414"/>
      <c r="GJC32" s="414"/>
      <c r="GJD32" s="414"/>
      <c r="GJE32" s="414"/>
      <c r="GJF32" s="414"/>
      <c r="GJG32" s="414"/>
      <c r="GJH32" s="414"/>
      <c r="GJI32" s="414"/>
      <c r="GJJ32" s="414"/>
      <c r="GJK32" s="414"/>
      <c r="GJL32" s="414"/>
      <c r="GJM32" s="414"/>
      <c r="GJN32" s="414"/>
      <c r="GJO32" s="414"/>
      <c r="GJP32" s="414"/>
      <c r="GJQ32" s="414"/>
      <c r="GJR32" s="414"/>
      <c r="GJS32" s="414"/>
      <c r="GJT32" s="414"/>
      <c r="GJU32" s="414"/>
      <c r="GJV32" s="414"/>
      <c r="GJW32" s="414"/>
      <c r="GJX32" s="414"/>
      <c r="GJY32" s="414"/>
      <c r="GJZ32" s="414"/>
      <c r="GKA32" s="414"/>
      <c r="GKB32" s="414"/>
      <c r="GKC32" s="414"/>
      <c r="GKD32" s="414"/>
      <c r="GKE32" s="414"/>
      <c r="GKF32" s="414"/>
      <c r="GKG32" s="414"/>
      <c r="GKH32" s="414"/>
      <c r="GKI32" s="414"/>
      <c r="GKJ32" s="414"/>
      <c r="GKK32" s="414"/>
      <c r="GKL32" s="414"/>
      <c r="GKM32" s="414"/>
      <c r="GKN32" s="414"/>
      <c r="GKO32" s="414"/>
      <c r="GKP32" s="414"/>
      <c r="GKQ32" s="414"/>
      <c r="GKR32" s="414"/>
      <c r="GKS32" s="414"/>
      <c r="GKT32" s="414"/>
      <c r="GKU32" s="414"/>
      <c r="GKV32" s="414"/>
      <c r="GKW32" s="414"/>
      <c r="GKX32" s="414"/>
      <c r="GKY32" s="414"/>
      <c r="GKZ32" s="414"/>
      <c r="GLA32" s="414"/>
      <c r="GLB32" s="414"/>
      <c r="GLC32" s="414"/>
      <c r="GLD32" s="414"/>
      <c r="GLE32" s="414"/>
      <c r="GLF32" s="414"/>
      <c r="GLG32" s="414"/>
      <c r="GLH32" s="414"/>
      <c r="GLI32" s="414"/>
      <c r="GLJ32" s="414"/>
      <c r="GLK32" s="414"/>
      <c r="GLL32" s="414"/>
      <c r="GLM32" s="414"/>
      <c r="GLN32" s="414"/>
      <c r="GLO32" s="414"/>
      <c r="GLP32" s="414"/>
      <c r="GLQ32" s="414"/>
      <c r="GLR32" s="414"/>
      <c r="GLS32" s="414"/>
      <c r="GLT32" s="414"/>
      <c r="GLU32" s="414"/>
      <c r="GLV32" s="414"/>
      <c r="GLW32" s="414"/>
      <c r="GLX32" s="414"/>
      <c r="GLY32" s="414"/>
      <c r="GLZ32" s="414"/>
      <c r="GMA32" s="414"/>
      <c r="GMB32" s="414"/>
      <c r="GMC32" s="414"/>
      <c r="GMD32" s="414"/>
      <c r="GME32" s="414"/>
      <c r="GMF32" s="414"/>
      <c r="GMG32" s="414"/>
      <c r="GMH32" s="414"/>
      <c r="GMI32" s="414"/>
      <c r="GMJ32" s="414"/>
      <c r="GMK32" s="414"/>
      <c r="GML32" s="414"/>
      <c r="GMM32" s="414"/>
      <c r="GMN32" s="414"/>
      <c r="GMO32" s="414"/>
      <c r="GMP32" s="414"/>
      <c r="GMQ32" s="414"/>
      <c r="GMR32" s="414"/>
      <c r="GMS32" s="414"/>
      <c r="GMT32" s="414"/>
      <c r="GMU32" s="414"/>
      <c r="GMV32" s="414"/>
      <c r="GMW32" s="414"/>
      <c r="GMX32" s="414"/>
      <c r="GMY32" s="414"/>
      <c r="GMZ32" s="414"/>
      <c r="GNA32" s="414"/>
      <c r="GNB32" s="414"/>
      <c r="GNC32" s="414"/>
      <c r="GND32" s="414"/>
      <c r="GNE32" s="414"/>
      <c r="GNF32" s="414"/>
      <c r="GNG32" s="414"/>
      <c r="GNH32" s="414"/>
      <c r="GNI32" s="414"/>
      <c r="GNJ32" s="414"/>
      <c r="GNK32" s="414"/>
      <c r="GNL32" s="414"/>
      <c r="GNM32" s="414"/>
      <c r="GNN32" s="414"/>
      <c r="GNO32" s="414"/>
      <c r="GNP32" s="414"/>
      <c r="GNQ32" s="414"/>
      <c r="GNR32" s="414"/>
      <c r="GNS32" s="414"/>
      <c r="GNT32" s="414"/>
      <c r="GNU32" s="414"/>
      <c r="GNV32" s="414"/>
      <c r="GNW32" s="414"/>
      <c r="GNX32" s="414"/>
      <c r="GNY32" s="414"/>
      <c r="GNZ32" s="414"/>
      <c r="GOA32" s="414"/>
      <c r="GOB32" s="414"/>
      <c r="GOC32" s="414"/>
      <c r="GOD32" s="414"/>
      <c r="GOE32" s="414"/>
      <c r="GOF32" s="414"/>
      <c r="GOG32" s="414"/>
      <c r="GOH32" s="414"/>
      <c r="GOI32" s="414"/>
      <c r="GOJ32" s="414"/>
      <c r="GOK32" s="414"/>
      <c r="GOL32" s="414"/>
      <c r="GOM32" s="414"/>
      <c r="GON32" s="414"/>
      <c r="GOO32" s="414"/>
      <c r="GOP32" s="414"/>
      <c r="GOQ32" s="414"/>
      <c r="GOR32" s="414"/>
      <c r="GOS32" s="414"/>
      <c r="GOT32" s="414"/>
      <c r="GOU32" s="414"/>
      <c r="GOV32" s="414"/>
      <c r="GOW32" s="414"/>
      <c r="GOX32" s="414"/>
      <c r="GOY32" s="414"/>
      <c r="GOZ32" s="414"/>
      <c r="GPA32" s="414"/>
      <c r="GPB32" s="414"/>
      <c r="GPC32" s="414"/>
      <c r="GPD32" s="414"/>
      <c r="GPE32" s="414"/>
      <c r="GPF32" s="414"/>
      <c r="GPG32" s="414"/>
      <c r="GPH32" s="414"/>
      <c r="GPI32" s="414"/>
      <c r="GPJ32" s="414"/>
      <c r="GPK32" s="414"/>
      <c r="GPL32" s="414"/>
      <c r="GPM32" s="414"/>
      <c r="GPN32" s="414"/>
      <c r="GPO32" s="414"/>
      <c r="GPP32" s="414"/>
      <c r="GPQ32" s="414"/>
      <c r="GPR32" s="414"/>
      <c r="GPS32" s="414"/>
      <c r="GPT32" s="414"/>
      <c r="GPU32" s="414"/>
      <c r="GPV32" s="414"/>
      <c r="GPW32" s="414"/>
      <c r="GPX32" s="414"/>
      <c r="GPY32" s="414"/>
      <c r="GPZ32" s="414"/>
      <c r="GQA32" s="414"/>
      <c r="GQB32" s="414"/>
      <c r="GQC32" s="414"/>
      <c r="GQD32" s="414"/>
      <c r="GQE32" s="414"/>
      <c r="GQF32" s="414"/>
      <c r="GQG32" s="414"/>
      <c r="GQH32" s="414"/>
      <c r="GQI32" s="414"/>
      <c r="GQJ32" s="414"/>
      <c r="GQK32" s="414"/>
      <c r="GQL32" s="414"/>
      <c r="GQM32" s="414"/>
      <c r="GQN32" s="414"/>
      <c r="GQO32" s="414"/>
      <c r="GQP32" s="414"/>
      <c r="GQQ32" s="414"/>
      <c r="GQR32" s="414"/>
      <c r="GQS32" s="414"/>
      <c r="GQT32" s="414"/>
      <c r="GQU32" s="414"/>
      <c r="GQV32" s="414"/>
      <c r="GQW32" s="414"/>
      <c r="GQX32" s="414"/>
      <c r="GQY32" s="414"/>
      <c r="GQZ32" s="414"/>
      <c r="GRA32" s="414"/>
      <c r="GRB32" s="414"/>
      <c r="GRC32" s="414"/>
      <c r="GRD32" s="414"/>
      <c r="GRE32" s="414"/>
      <c r="GRF32" s="414"/>
      <c r="GRG32" s="414"/>
      <c r="GRH32" s="414"/>
      <c r="GRI32" s="414"/>
      <c r="GRJ32" s="414"/>
      <c r="GRK32" s="414"/>
      <c r="GRL32" s="414"/>
      <c r="GRM32" s="414"/>
      <c r="GRN32" s="414"/>
      <c r="GRO32" s="414"/>
      <c r="GRP32" s="414"/>
      <c r="GRQ32" s="414"/>
      <c r="GRR32" s="414"/>
      <c r="GRS32" s="414"/>
      <c r="GRT32" s="414"/>
      <c r="GRU32" s="414"/>
      <c r="GRV32" s="414"/>
      <c r="GRW32" s="414"/>
      <c r="GRX32" s="414"/>
      <c r="GRY32" s="414"/>
      <c r="GRZ32" s="414"/>
      <c r="GSA32" s="414"/>
      <c r="GSB32" s="414"/>
      <c r="GSC32" s="414"/>
      <c r="GSD32" s="414"/>
      <c r="GSE32" s="414"/>
      <c r="GSF32" s="414"/>
      <c r="GSG32" s="414"/>
      <c r="GSH32" s="414"/>
      <c r="GSI32" s="414"/>
      <c r="GSJ32" s="414"/>
      <c r="GSK32" s="414"/>
      <c r="GSL32" s="414"/>
      <c r="GSM32" s="414"/>
      <c r="GSN32" s="414"/>
      <c r="GSO32" s="414"/>
      <c r="GSP32" s="414"/>
      <c r="GSQ32" s="414"/>
      <c r="GSR32" s="414"/>
      <c r="GSS32" s="414"/>
      <c r="GST32" s="414"/>
      <c r="GSU32" s="414"/>
      <c r="GSV32" s="414"/>
      <c r="GSW32" s="414"/>
      <c r="GSX32" s="414"/>
      <c r="GSY32" s="414"/>
      <c r="GSZ32" s="414"/>
      <c r="GTA32" s="414"/>
      <c r="GTB32" s="414"/>
      <c r="GTC32" s="414"/>
      <c r="GTD32" s="414"/>
      <c r="GTE32" s="414"/>
      <c r="GTF32" s="414"/>
      <c r="GTG32" s="414"/>
      <c r="GTH32" s="414"/>
      <c r="GTI32" s="414"/>
      <c r="GTJ32" s="414"/>
      <c r="GTK32" s="414"/>
      <c r="GTL32" s="414"/>
      <c r="GTM32" s="414"/>
      <c r="GTN32" s="414"/>
      <c r="GTO32" s="414"/>
      <c r="GTP32" s="414"/>
      <c r="GTQ32" s="414"/>
      <c r="GTR32" s="414"/>
      <c r="GTS32" s="414"/>
      <c r="GTT32" s="414"/>
      <c r="GTU32" s="414"/>
      <c r="GTV32" s="414"/>
      <c r="GTW32" s="414"/>
      <c r="GTX32" s="414"/>
      <c r="GTY32" s="414"/>
      <c r="GTZ32" s="414"/>
      <c r="GUA32" s="414"/>
      <c r="GUB32" s="414"/>
      <c r="GUC32" s="414"/>
      <c r="GUD32" s="414"/>
      <c r="GUE32" s="414"/>
      <c r="GUF32" s="414"/>
      <c r="GUG32" s="414"/>
      <c r="GUH32" s="414"/>
      <c r="GUI32" s="414"/>
      <c r="GUJ32" s="414"/>
      <c r="GUK32" s="414"/>
      <c r="GUL32" s="414"/>
      <c r="GUM32" s="414"/>
      <c r="GUN32" s="414"/>
      <c r="GUO32" s="414"/>
      <c r="GUP32" s="414"/>
      <c r="GUQ32" s="414"/>
      <c r="GUR32" s="414"/>
      <c r="GUS32" s="414"/>
      <c r="GUT32" s="414"/>
      <c r="GUU32" s="414"/>
      <c r="GUV32" s="414"/>
      <c r="GUW32" s="414"/>
      <c r="GUX32" s="414"/>
      <c r="GUY32" s="414"/>
      <c r="GUZ32" s="414"/>
      <c r="GVA32" s="414"/>
      <c r="GVB32" s="414"/>
      <c r="GVC32" s="414"/>
      <c r="GVD32" s="414"/>
      <c r="GVE32" s="414"/>
      <c r="GVF32" s="414"/>
      <c r="GVG32" s="414"/>
      <c r="GVH32" s="414"/>
      <c r="GVI32" s="414"/>
      <c r="GVJ32" s="414"/>
      <c r="GVK32" s="414"/>
      <c r="GVL32" s="414"/>
      <c r="GVM32" s="414"/>
      <c r="GVN32" s="414"/>
      <c r="GVO32" s="414"/>
      <c r="GVP32" s="414"/>
      <c r="GVQ32" s="414"/>
      <c r="GVR32" s="414"/>
      <c r="GVS32" s="414"/>
      <c r="GVT32" s="414"/>
      <c r="GVU32" s="414"/>
      <c r="GVV32" s="414"/>
      <c r="GVW32" s="414"/>
      <c r="GVX32" s="414"/>
      <c r="GVY32" s="414"/>
      <c r="GVZ32" s="414"/>
      <c r="GWA32" s="414"/>
      <c r="GWB32" s="414"/>
      <c r="GWC32" s="414"/>
      <c r="GWD32" s="414"/>
      <c r="GWE32" s="414"/>
      <c r="GWF32" s="414"/>
      <c r="GWG32" s="414"/>
      <c r="GWH32" s="414"/>
      <c r="GWI32" s="414"/>
      <c r="GWJ32" s="414"/>
      <c r="GWK32" s="414"/>
      <c r="GWL32" s="414"/>
      <c r="GWM32" s="414"/>
      <c r="GWN32" s="414"/>
      <c r="GWO32" s="414"/>
      <c r="GWP32" s="414"/>
      <c r="GWQ32" s="414"/>
      <c r="GWR32" s="414"/>
      <c r="GWS32" s="414"/>
      <c r="GWT32" s="414"/>
      <c r="GWU32" s="414"/>
      <c r="GWV32" s="414"/>
      <c r="GWW32" s="414"/>
      <c r="GWX32" s="414"/>
      <c r="GWY32" s="414"/>
      <c r="GWZ32" s="414"/>
      <c r="GXA32" s="414"/>
      <c r="GXB32" s="414"/>
      <c r="GXC32" s="414"/>
      <c r="GXD32" s="414"/>
      <c r="GXE32" s="414"/>
      <c r="GXF32" s="414"/>
      <c r="GXG32" s="414"/>
      <c r="GXH32" s="414"/>
      <c r="GXI32" s="414"/>
      <c r="GXJ32" s="414"/>
      <c r="GXK32" s="414"/>
      <c r="GXL32" s="414"/>
      <c r="GXM32" s="414"/>
      <c r="GXN32" s="414"/>
      <c r="GXO32" s="414"/>
      <c r="GXP32" s="414"/>
      <c r="GXQ32" s="414"/>
      <c r="GXR32" s="414"/>
      <c r="GXS32" s="414"/>
      <c r="GXT32" s="414"/>
      <c r="GXU32" s="414"/>
      <c r="GXV32" s="414"/>
      <c r="GXW32" s="414"/>
      <c r="GXX32" s="414"/>
      <c r="GXY32" s="414"/>
      <c r="GXZ32" s="414"/>
      <c r="GYA32" s="414"/>
      <c r="GYB32" s="414"/>
      <c r="GYC32" s="414"/>
      <c r="GYD32" s="414"/>
      <c r="GYE32" s="414"/>
      <c r="GYF32" s="414"/>
      <c r="GYG32" s="414"/>
      <c r="GYH32" s="414"/>
      <c r="GYI32" s="414"/>
      <c r="GYJ32" s="414"/>
      <c r="GYK32" s="414"/>
      <c r="GYL32" s="414"/>
      <c r="GYM32" s="414"/>
      <c r="GYN32" s="414"/>
      <c r="GYO32" s="414"/>
      <c r="GYP32" s="414"/>
      <c r="GYQ32" s="414"/>
      <c r="GYR32" s="414"/>
      <c r="GYS32" s="414"/>
      <c r="GYT32" s="414"/>
      <c r="GYU32" s="414"/>
      <c r="GYV32" s="414"/>
      <c r="GYW32" s="414"/>
      <c r="GYX32" s="414"/>
      <c r="GYY32" s="414"/>
      <c r="GYZ32" s="414"/>
      <c r="GZA32" s="414"/>
      <c r="GZB32" s="414"/>
      <c r="GZC32" s="414"/>
      <c r="GZD32" s="414"/>
      <c r="GZE32" s="414"/>
      <c r="GZF32" s="414"/>
      <c r="GZG32" s="414"/>
      <c r="GZH32" s="414"/>
      <c r="GZI32" s="414"/>
      <c r="GZJ32" s="414"/>
      <c r="GZK32" s="414"/>
      <c r="GZL32" s="414"/>
      <c r="GZM32" s="414"/>
      <c r="GZN32" s="414"/>
      <c r="GZO32" s="414"/>
      <c r="GZP32" s="414"/>
      <c r="GZQ32" s="414"/>
      <c r="GZR32" s="414"/>
      <c r="GZS32" s="414"/>
      <c r="GZT32" s="414"/>
      <c r="GZU32" s="414"/>
      <c r="GZV32" s="414"/>
      <c r="GZW32" s="414"/>
      <c r="GZX32" s="414"/>
      <c r="GZY32" s="414"/>
      <c r="GZZ32" s="414"/>
      <c r="HAA32" s="414"/>
      <c r="HAB32" s="414"/>
      <c r="HAC32" s="414"/>
      <c r="HAD32" s="414"/>
      <c r="HAE32" s="414"/>
      <c r="HAF32" s="414"/>
      <c r="HAG32" s="414"/>
      <c r="HAH32" s="414"/>
      <c r="HAI32" s="414"/>
      <c r="HAJ32" s="414"/>
      <c r="HAK32" s="414"/>
      <c r="HAL32" s="414"/>
      <c r="HAM32" s="414"/>
      <c r="HAN32" s="414"/>
      <c r="HAO32" s="414"/>
      <c r="HAP32" s="414"/>
      <c r="HAQ32" s="414"/>
      <c r="HAR32" s="414"/>
      <c r="HAS32" s="414"/>
      <c r="HAT32" s="414"/>
      <c r="HAU32" s="414"/>
      <c r="HAV32" s="414"/>
      <c r="HAW32" s="414"/>
      <c r="HAX32" s="414"/>
      <c r="HAY32" s="414"/>
      <c r="HAZ32" s="414"/>
      <c r="HBA32" s="414"/>
      <c r="HBB32" s="414"/>
      <c r="HBC32" s="414"/>
      <c r="HBD32" s="414"/>
      <c r="HBE32" s="414"/>
      <c r="HBF32" s="414"/>
      <c r="HBG32" s="414"/>
      <c r="HBH32" s="414"/>
      <c r="HBI32" s="414"/>
      <c r="HBJ32" s="414"/>
      <c r="HBK32" s="414"/>
      <c r="HBL32" s="414"/>
      <c r="HBM32" s="414"/>
      <c r="HBN32" s="414"/>
      <c r="HBO32" s="414"/>
      <c r="HBP32" s="414"/>
      <c r="HBQ32" s="414"/>
      <c r="HBR32" s="414"/>
      <c r="HBS32" s="414"/>
      <c r="HBT32" s="414"/>
      <c r="HBU32" s="414"/>
      <c r="HBV32" s="414"/>
      <c r="HBW32" s="414"/>
      <c r="HBX32" s="414"/>
      <c r="HBY32" s="414"/>
      <c r="HBZ32" s="414"/>
      <c r="HCA32" s="414"/>
      <c r="HCB32" s="414"/>
      <c r="HCC32" s="414"/>
      <c r="HCD32" s="414"/>
      <c r="HCE32" s="414"/>
      <c r="HCF32" s="414"/>
      <c r="HCG32" s="414"/>
      <c r="HCH32" s="414"/>
      <c r="HCI32" s="414"/>
      <c r="HCJ32" s="414"/>
      <c r="HCK32" s="414"/>
      <c r="HCL32" s="414"/>
      <c r="HCM32" s="414"/>
      <c r="HCN32" s="414"/>
      <c r="HCO32" s="414"/>
      <c r="HCP32" s="414"/>
      <c r="HCQ32" s="414"/>
      <c r="HCR32" s="414"/>
      <c r="HCS32" s="414"/>
      <c r="HCT32" s="414"/>
      <c r="HCU32" s="414"/>
      <c r="HCV32" s="414"/>
      <c r="HCW32" s="414"/>
      <c r="HCX32" s="414"/>
      <c r="HCY32" s="414"/>
      <c r="HCZ32" s="414"/>
      <c r="HDA32" s="414"/>
      <c r="HDB32" s="414"/>
      <c r="HDC32" s="414"/>
      <c r="HDD32" s="414"/>
      <c r="HDE32" s="414"/>
      <c r="HDF32" s="414"/>
      <c r="HDG32" s="414"/>
      <c r="HDH32" s="414"/>
      <c r="HDI32" s="414"/>
      <c r="HDJ32" s="414"/>
      <c r="HDK32" s="414"/>
      <c r="HDL32" s="414"/>
      <c r="HDM32" s="414"/>
      <c r="HDN32" s="414"/>
      <c r="HDO32" s="414"/>
      <c r="HDP32" s="414"/>
      <c r="HDQ32" s="414"/>
      <c r="HDR32" s="414"/>
      <c r="HDS32" s="414"/>
      <c r="HDT32" s="414"/>
      <c r="HDU32" s="414"/>
      <c r="HDV32" s="414"/>
      <c r="HDW32" s="414"/>
      <c r="HDX32" s="414"/>
      <c r="HDY32" s="414"/>
      <c r="HDZ32" s="414"/>
      <c r="HEA32" s="414"/>
      <c r="HEB32" s="414"/>
      <c r="HEC32" s="414"/>
      <c r="HED32" s="414"/>
      <c r="HEE32" s="414"/>
      <c r="HEF32" s="414"/>
      <c r="HEG32" s="414"/>
      <c r="HEH32" s="414"/>
      <c r="HEI32" s="414"/>
      <c r="HEJ32" s="414"/>
      <c r="HEK32" s="414"/>
      <c r="HEL32" s="414"/>
      <c r="HEM32" s="414"/>
      <c r="HEN32" s="414"/>
      <c r="HEO32" s="414"/>
      <c r="HEP32" s="414"/>
      <c r="HEQ32" s="414"/>
      <c r="HER32" s="414"/>
      <c r="HES32" s="414"/>
      <c r="HET32" s="414"/>
      <c r="HEU32" s="414"/>
      <c r="HEV32" s="414"/>
      <c r="HEW32" s="414"/>
      <c r="HEX32" s="414"/>
      <c r="HEY32" s="414"/>
      <c r="HEZ32" s="414"/>
      <c r="HFA32" s="414"/>
      <c r="HFB32" s="414"/>
      <c r="HFC32" s="414"/>
      <c r="HFD32" s="414"/>
      <c r="HFE32" s="414"/>
      <c r="HFF32" s="414"/>
      <c r="HFG32" s="414"/>
      <c r="HFH32" s="414"/>
      <c r="HFI32" s="414"/>
      <c r="HFJ32" s="414"/>
      <c r="HFK32" s="414"/>
      <c r="HFL32" s="414"/>
      <c r="HFM32" s="414"/>
      <c r="HFN32" s="414"/>
      <c r="HFO32" s="414"/>
      <c r="HFP32" s="414"/>
      <c r="HFQ32" s="414"/>
      <c r="HFR32" s="414"/>
      <c r="HFS32" s="414"/>
      <c r="HFT32" s="414"/>
      <c r="HFU32" s="414"/>
      <c r="HFV32" s="414"/>
      <c r="HFW32" s="414"/>
      <c r="HFX32" s="414"/>
      <c r="HFY32" s="414"/>
      <c r="HFZ32" s="414"/>
      <c r="HGA32" s="414"/>
      <c r="HGB32" s="414"/>
      <c r="HGC32" s="414"/>
      <c r="HGD32" s="414"/>
      <c r="HGE32" s="414"/>
      <c r="HGF32" s="414"/>
      <c r="HGG32" s="414"/>
      <c r="HGH32" s="414"/>
      <c r="HGI32" s="414"/>
      <c r="HGJ32" s="414"/>
      <c r="HGK32" s="414"/>
      <c r="HGL32" s="414"/>
      <c r="HGM32" s="414"/>
      <c r="HGN32" s="414"/>
      <c r="HGO32" s="414"/>
      <c r="HGP32" s="414"/>
      <c r="HGQ32" s="414"/>
      <c r="HGR32" s="414"/>
      <c r="HGS32" s="414"/>
      <c r="HGT32" s="414"/>
      <c r="HGU32" s="414"/>
      <c r="HGV32" s="414"/>
      <c r="HGW32" s="414"/>
      <c r="HGX32" s="414"/>
      <c r="HGY32" s="414"/>
      <c r="HGZ32" s="414"/>
      <c r="HHA32" s="414"/>
      <c r="HHB32" s="414"/>
      <c r="HHC32" s="414"/>
      <c r="HHD32" s="414"/>
      <c r="HHE32" s="414"/>
      <c r="HHF32" s="414"/>
      <c r="HHG32" s="414"/>
      <c r="HHH32" s="414"/>
      <c r="HHI32" s="414"/>
      <c r="HHJ32" s="414"/>
      <c r="HHK32" s="414"/>
      <c r="HHL32" s="414"/>
      <c r="HHM32" s="414"/>
      <c r="HHN32" s="414"/>
      <c r="HHO32" s="414"/>
      <c r="HHP32" s="414"/>
      <c r="HHQ32" s="414"/>
      <c r="HHR32" s="414"/>
      <c r="HHS32" s="414"/>
      <c r="HHT32" s="414"/>
      <c r="HHU32" s="414"/>
      <c r="HHV32" s="414"/>
      <c r="HHW32" s="414"/>
      <c r="HHX32" s="414"/>
      <c r="HHY32" s="414"/>
      <c r="HHZ32" s="414"/>
      <c r="HIA32" s="414"/>
      <c r="HIB32" s="414"/>
      <c r="HIC32" s="414"/>
      <c r="HID32" s="414"/>
      <c r="HIE32" s="414"/>
      <c r="HIF32" s="414"/>
      <c r="HIG32" s="414"/>
      <c r="HIH32" s="414"/>
      <c r="HII32" s="414"/>
      <c r="HIJ32" s="414"/>
      <c r="HIK32" s="414"/>
      <c r="HIL32" s="414"/>
      <c r="HIM32" s="414"/>
      <c r="HIN32" s="414"/>
      <c r="HIO32" s="414"/>
      <c r="HIP32" s="414"/>
      <c r="HIQ32" s="414"/>
      <c r="HIR32" s="414"/>
      <c r="HIS32" s="414"/>
      <c r="HIT32" s="414"/>
      <c r="HIU32" s="414"/>
      <c r="HIV32" s="414"/>
      <c r="HIW32" s="414"/>
      <c r="HIX32" s="414"/>
      <c r="HIY32" s="414"/>
      <c r="HIZ32" s="414"/>
      <c r="HJA32" s="414"/>
      <c r="HJB32" s="414"/>
      <c r="HJC32" s="414"/>
      <c r="HJD32" s="414"/>
      <c r="HJE32" s="414"/>
      <c r="HJF32" s="414"/>
      <c r="HJG32" s="414"/>
      <c r="HJH32" s="414"/>
      <c r="HJI32" s="414"/>
      <c r="HJJ32" s="414"/>
      <c r="HJK32" s="414"/>
      <c r="HJL32" s="414"/>
      <c r="HJM32" s="414"/>
      <c r="HJN32" s="414"/>
      <c r="HJO32" s="414"/>
      <c r="HJP32" s="414"/>
      <c r="HJQ32" s="414"/>
      <c r="HJR32" s="414"/>
      <c r="HJS32" s="414"/>
      <c r="HJT32" s="414"/>
      <c r="HJU32" s="414"/>
      <c r="HJV32" s="414"/>
      <c r="HJW32" s="414"/>
      <c r="HJX32" s="414"/>
      <c r="HJY32" s="414"/>
      <c r="HJZ32" s="414"/>
      <c r="HKA32" s="414"/>
      <c r="HKB32" s="414"/>
      <c r="HKC32" s="414"/>
      <c r="HKD32" s="414"/>
      <c r="HKE32" s="414"/>
      <c r="HKF32" s="414"/>
      <c r="HKG32" s="414"/>
      <c r="HKH32" s="414"/>
      <c r="HKI32" s="414"/>
      <c r="HKJ32" s="414"/>
      <c r="HKK32" s="414"/>
      <c r="HKL32" s="414"/>
      <c r="HKM32" s="414"/>
      <c r="HKN32" s="414"/>
      <c r="HKO32" s="414"/>
      <c r="HKP32" s="414"/>
      <c r="HKQ32" s="414"/>
      <c r="HKR32" s="414"/>
      <c r="HKS32" s="414"/>
      <c r="HKT32" s="414"/>
      <c r="HKU32" s="414"/>
      <c r="HKV32" s="414"/>
      <c r="HKW32" s="414"/>
      <c r="HKX32" s="414"/>
      <c r="HKY32" s="414"/>
      <c r="HKZ32" s="414"/>
      <c r="HLA32" s="414"/>
      <c r="HLB32" s="414"/>
      <c r="HLC32" s="414"/>
      <c r="HLD32" s="414"/>
      <c r="HLE32" s="414"/>
      <c r="HLF32" s="414"/>
      <c r="HLG32" s="414"/>
      <c r="HLH32" s="414"/>
      <c r="HLI32" s="414"/>
      <c r="HLJ32" s="414"/>
      <c r="HLK32" s="414"/>
      <c r="HLL32" s="414"/>
      <c r="HLM32" s="414"/>
      <c r="HLN32" s="414"/>
      <c r="HLO32" s="414"/>
      <c r="HLP32" s="414"/>
      <c r="HLQ32" s="414"/>
      <c r="HLR32" s="414"/>
      <c r="HLS32" s="414"/>
      <c r="HLT32" s="414"/>
      <c r="HLU32" s="414"/>
      <c r="HLV32" s="414"/>
      <c r="HLW32" s="414"/>
      <c r="HLX32" s="414"/>
      <c r="HLY32" s="414"/>
      <c r="HLZ32" s="414"/>
      <c r="HMA32" s="414"/>
      <c r="HMB32" s="414"/>
      <c r="HMC32" s="414"/>
      <c r="HMD32" s="414"/>
      <c r="HME32" s="414"/>
      <c r="HMF32" s="414"/>
      <c r="HMG32" s="414"/>
      <c r="HMH32" s="414"/>
      <c r="HMI32" s="414"/>
      <c r="HMJ32" s="414"/>
      <c r="HMK32" s="414"/>
      <c r="HML32" s="414"/>
      <c r="HMM32" s="414"/>
      <c r="HMN32" s="414"/>
      <c r="HMO32" s="414"/>
      <c r="HMP32" s="414"/>
      <c r="HMQ32" s="414"/>
      <c r="HMR32" s="414"/>
      <c r="HMS32" s="414"/>
      <c r="HMT32" s="414"/>
      <c r="HMU32" s="414"/>
      <c r="HMV32" s="414"/>
      <c r="HMW32" s="414"/>
      <c r="HMX32" s="414"/>
      <c r="HMY32" s="414"/>
      <c r="HMZ32" s="414"/>
      <c r="HNA32" s="414"/>
      <c r="HNB32" s="414"/>
      <c r="HNC32" s="414"/>
      <c r="HND32" s="414"/>
      <c r="HNE32" s="414"/>
      <c r="HNF32" s="414"/>
      <c r="HNG32" s="414"/>
      <c r="HNH32" s="414"/>
      <c r="HNI32" s="414"/>
      <c r="HNJ32" s="414"/>
      <c r="HNK32" s="414"/>
      <c r="HNL32" s="414"/>
      <c r="HNM32" s="414"/>
      <c r="HNN32" s="414"/>
      <c r="HNO32" s="414"/>
      <c r="HNP32" s="414"/>
      <c r="HNQ32" s="414"/>
      <c r="HNR32" s="414"/>
      <c r="HNS32" s="414"/>
      <c r="HNT32" s="414"/>
      <c r="HNU32" s="414"/>
      <c r="HNV32" s="414"/>
      <c r="HNW32" s="414"/>
      <c r="HNX32" s="414"/>
      <c r="HNY32" s="414"/>
      <c r="HNZ32" s="414"/>
      <c r="HOA32" s="414"/>
      <c r="HOB32" s="414"/>
      <c r="HOC32" s="414"/>
      <c r="HOD32" s="414"/>
      <c r="HOE32" s="414"/>
      <c r="HOF32" s="414"/>
      <c r="HOG32" s="414"/>
      <c r="HOH32" s="414"/>
      <c r="HOI32" s="414"/>
      <c r="HOJ32" s="414"/>
      <c r="HOK32" s="414"/>
      <c r="HOL32" s="414"/>
      <c r="HOM32" s="414"/>
      <c r="HON32" s="414"/>
      <c r="HOO32" s="414"/>
      <c r="HOP32" s="414"/>
      <c r="HOQ32" s="414"/>
      <c r="HOR32" s="414"/>
      <c r="HOS32" s="414"/>
      <c r="HOT32" s="414"/>
      <c r="HOU32" s="414"/>
      <c r="HOV32" s="414"/>
      <c r="HOW32" s="414"/>
      <c r="HOX32" s="414"/>
      <c r="HOY32" s="414"/>
      <c r="HOZ32" s="414"/>
      <c r="HPA32" s="414"/>
      <c r="HPB32" s="414"/>
      <c r="HPC32" s="414"/>
      <c r="HPD32" s="414"/>
      <c r="HPE32" s="414"/>
      <c r="HPF32" s="414"/>
      <c r="HPG32" s="414"/>
      <c r="HPH32" s="414"/>
      <c r="HPI32" s="414"/>
      <c r="HPJ32" s="414"/>
      <c r="HPK32" s="414"/>
      <c r="HPL32" s="414"/>
      <c r="HPM32" s="414"/>
      <c r="HPN32" s="414"/>
      <c r="HPO32" s="414"/>
      <c r="HPP32" s="414"/>
      <c r="HPQ32" s="414"/>
      <c r="HPR32" s="414"/>
      <c r="HPS32" s="414"/>
      <c r="HPT32" s="414"/>
      <c r="HPU32" s="414"/>
      <c r="HPV32" s="414"/>
      <c r="HPW32" s="414"/>
      <c r="HPX32" s="414"/>
      <c r="HPY32" s="414"/>
      <c r="HPZ32" s="414"/>
      <c r="HQA32" s="414"/>
      <c r="HQB32" s="414"/>
      <c r="HQC32" s="414"/>
      <c r="HQD32" s="414"/>
      <c r="HQE32" s="414"/>
      <c r="HQF32" s="414"/>
      <c r="HQG32" s="414"/>
      <c r="HQH32" s="414"/>
      <c r="HQI32" s="414"/>
      <c r="HQJ32" s="414"/>
      <c r="HQK32" s="414"/>
      <c r="HQL32" s="414"/>
      <c r="HQM32" s="414"/>
      <c r="HQN32" s="414"/>
      <c r="HQO32" s="414"/>
      <c r="HQP32" s="414"/>
      <c r="HQQ32" s="414"/>
      <c r="HQR32" s="414"/>
      <c r="HQS32" s="414"/>
      <c r="HQT32" s="414"/>
      <c r="HQU32" s="414"/>
      <c r="HQV32" s="414"/>
      <c r="HQW32" s="414"/>
      <c r="HQX32" s="414"/>
      <c r="HQY32" s="414"/>
      <c r="HQZ32" s="414"/>
      <c r="HRA32" s="414"/>
      <c r="HRB32" s="414"/>
      <c r="HRC32" s="414"/>
      <c r="HRD32" s="414"/>
      <c r="HRE32" s="414"/>
      <c r="HRF32" s="414"/>
      <c r="HRG32" s="414"/>
      <c r="HRH32" s="414"/>
      <c r="HRI32" s="414"/>
      <c r="HRJ32" s="414"/>
      <c r="HRK32" s="414"/>
      <c r="HRL32" s="414"/>
      <c r="HRM32" s="414"/>
      <c r="HRN32" s="414"/>
      <c r="HRO32" s="414"/>
      <c r="HRP32" s="414"/>
      <c r="HRQ32" s="414"/>
      <c r="HRR32" s="414"/>
      <c r="HRS32" s="414"/>
      <c r="HRT32" s="414"/>
      <c r="HRU32" s="414"/>
      <c r="HRV32" s="414"/>
      <c r="HRW32" s="414"/>
      <c r="HRX32" s="414"/>
      <c r="HRY32" s="414"/>
      <c r="HRZ32" s="414"/>
      <c r="HSA32" s="414"/>
      <c r="HSB32" s="414"/>
      <c r="HSC32" s="414"/>
      <c r="HSD32" s="414"/>
      <c r="HSE32" s="414"/>
      <c r="HSF32" s="414"/>
      <c r="HSG32" s="414"/>
      <c r="HSH32" s="414"/>
      <c r="HSI32" s="414"/>
      <c r="HSJ32" s="414"/>
      <c r="HSK32" s="414"/>
      <c r="HSL32" s="414"/>
      <c r="HSM32" s="414"/>
      <c r="HSN32" s="414"/>
      <c r="HSO32" s="414"/>
      <c r="HSP32" s="414"/>
      <c r="HSQ32" s="414"/>
      <c r="HSR32" s="414"/>
      <c r="HSS32" s="414"/>
      <c r="HST32" s="414"/>
      <c r="HSU32" s="414"/>
      <c r="HSV32" s="414"/>
      <c r="HSW32" s="414"/>
      <c r="HSX32" s="414"/>
      <c r="HSY32" s="414"/>
      <c r="HSZ32" s="414"/>
      <c r="HTA32" s="414"/>
      <c r="HTB32" s="414"/>
      <c r="HTC32" s="414"/>
      <c r="HTD32" s="414"/>
      <c r="HTE32" s="414"/>
      <c r="HTF32" s="414"/>
      <c r="HTG32" s="414"/>
      <c r="HTH32" s="414"/>
      <c r="HTI32" s="414"/>
      <c r="HTJ32" s="414"/>
      <c r="HTK32" s="414"/>
      <c r="HTL32" s="414"/>
      <c r="HTM32" s="414"/>
      <c r="HTN32" s="414"/>
      <c r="HTO32" s="414"/>
      <c r="HTP32" s="414"/>
      <c r="HTQ32" s="414"/>
      <c r="HTR32" s="414"/>
      <c r="HTS32" s="414"/>
      <c r="HTT32" s="414"/>
      <c r="HTU32" s="414"/>
      <c r="HTV32" s="414"/>
      <c r="HTW32" s="414"/>
      <c r="HTX32" s="414"/>
      <c r="HTY32" s="414"/>
      <c r="HTZ32" s="414"/>
      <c r="HUA32" s="414"/>
      <c r="HUB32" s="414"/>
      <c r="HUC32" s="414"/>
      <c r="HUD32" s="414"/>
      <c r="HUE32" s="414"/>
      <c r="HUF32" s="414"/>
      <c r="HUG32" s="414"/>
      <c r="HUH32" s="414"/>
      <c r="HUI32" s="414"/>
      <c r="HUJ32" s="414"/>
      <c r="HUK32" s="414"/>
      <c r="HUL32" s="414"/>
      <c r="HUM32" s="414"/>
      <c r="HUN32" s="414"/>
      <c r="HUO32" s="414"/>
      <c r="HUP32" s="414"/>
      <c r="HUQ32" s="414"/>
      <c r="HUR32" s="414"/>
      <c r="HUS32" s="414"/>
      <c r="HUT32" s="414"/>
      <c r="HUU32" s="414"/>
      <c r="HUV32" s="414"/>
      <c r="HUW32" s="414"/>
      <c r="HUX32" s="414"/>
      <c r="HUY32" s="414"/>
      <c r="HUZ32" s="414"/>
      <c r="HVA32" s="414"/>
      <c r="HVB32" s="414"/>
      <c r="HVC32" s="414"/>
      <c r="HVD32" s="414"/>
      <c r="HVE32" s="414"/>
      <c r="HVF32" s="414"/>
      <c r="HVG32" s="414"/>
      <c r="HVH32" s="414"/>
      <c r="HVI32" s="414"/>
      <c r="HVJ32" s="414"/>
      <c r="HVK32" s="414"/>
      <c r="HVL32" s="414"/>
      <c r="HVM32" s="414"/>
      <c r="HVN32" s="414"/>
      <c r="HVO32" s="414"/>
      <c r="HVP32" s="414"/>
      <c r="HVQ32" s="414"/>
      <c r="HVR32" s="414"/>
      <c r="HVS32" s="414"/>
      <c r="HVT32" s="414"/>
      <c r="HVU32" s="414"/>
      <c r="HVV32" s="414"/>
      <c r="HVW32" s="414"/>
      <c r="HVX32" s="414"/>
      <c r="HVY32" s="414"/>
      <c r="HVZ32" s="414"/>
      <c r="HWA32" s="414"/>
      <c r="HWB32" s="414"/>
      <c r="HWC32" s="414"/>
      <c r="HWD32" s="414"/>
      <c r="HWE32" s="414"/>
      <c r="HWF32" s="414"/>
      <c r="HWG32" s="414"/>
      <c r="HWH32" s="414"/>
      <c r="HWI32" s="414"/>
      <c r="HWJ32" s="414"/>
      <c r="HWK32" s="414"/>
      <c r="HWL32" s="414"/>
      <c r="HWM32" s="414"/>
      <c r="HWN32" s="414"/>
      <c r="HWO32" s="414"/>
      <c r="HWP32" s="414"/>
      <c r="HWQ32" s="414"/>
      <c r="HWR32" s="414"/>
      <c r="HWS32" s="414"/>
      <c r="HWT32" s="414"/>
      <c r="HWU32" s="414"/>
      <c r="HWV32" s="414"/>
      <c r="HWW32" s="414"/>
      <c r="HWX32" s="414"/>
      <c r="HWY32" s="414"/>
      <c r="HWZ32" s="414"/>
      <c r="HXA32" s="414"/>
      <c r="HXB32" s="414"/>
      <c r="HXC32" s="414"/>
      <c r="HXD32" s="414"/>
      <c r="HXE32" s="414"/>
      <c r="HXF32" s="414"/>
      <c r="HXG32" s="414"/>
      <c r="HXH32" s="414"/>
      <c r="HXI32" s="414"/>
      <c r="HXJ32" s="414"/>
      <c r="HXK32" s="414"/>
      <c r="HXL32" s="414"/>
      <c r="HXM32" s="414"/>
      <c r="HXN32" s="414"/>
      <c r="HXO32" s="414"/>
      <c r="HXP32" s="414"/>
      <c r="HXQ32" s="414"/>
      <c r="HXR32" s="414"/>
      <c r="HXS32" s="414"/>
      <c r="HXT32" s="414"/>
      <c r="HXU32" s="414"/>
      <c r="HXV32" s="414"/>
      <c r="HXW32" s="414"/>
      <c r="HXX32" s="414"/>
      <c r="HXY32" s="414"/>
      <c r="HXZ32" s="414"/>
      <c r="HYA32" s="414"/>
      <c r="HYB32" s="414"/>
      <c r="HYC32" s="414"/>
      <c r="HYD32" s="414"/>
      <c r="HYE32" s="414"/>
      <c r="HYF32" s="414"/>
      <c r="HYG32" s="414"/>
      <c r="HYH32" s="414"/>
      <c r="HYI32" s="414"/>
      <c r="HYJ32" s="414"/>
      <c r="HYK32" s="414"/>
      <c r="HYL32" s="414"/>
      <c r="HYM32" s="414"/>
      <c r="HYN32" s="414"/>
      <c r="HYO32" s="414"/>
      <c r="HYP32" s="414"/>
      <c r="HYQ32" s="414"/>
      <c r="HYR32" s="414"/>
      <c r="HYS32" s="414"/>
      <c r="HYT32" s="414"/>
      <c r="HYU32" s="414"/>
      <c r="HYV32" s="414"/>
      <c r="HYW32" s="414"/>
      <c r="HYX32" s="414"/>
      <c r="HYY32" s="414"/>
      <c r="HYZ32" s="414"/>
      <c r="HZA32" s="414"/>
      <c r="HZB32" s="414"/>
      <c r="HZC32" s="414"/>
      <c r="HZD32" s="414"/>
      <c r="HZE32" s="414"/>
      <c r="HZF32" s="414"/>
      <c r="HZG32" s="414"/>
      <c r="HZH32" s="414"/>
      <c r="HZI32" s="414"/>
      <c r="HZJ32" s="414"/>
      <c r="HZK32" s="414"/>
      <c r="HZL32" s="414"/>
      <c r="HZM32" s="414"/>
      <c r="HZN32" s="414"/>
      <c r="HZO32" s="414"/>
      <c r="HZP32" s="414"/>
      <c r="HZQ32" s="414"/>
      <c r="HZR32" s="414"/>
      <c r="HZS32" s="414"/>
      <c r="HZT32" s="414"/>
      <c r="HZU32" s="414"/>
      <c r="HZV32" s="414"/>
      <c r="HZW32" s="414"/>
      <c r="HZX32" s="414"/>
      <c r="HZY32" s="414"/>
      <c r="HZZ32" s="414"/>
      <c r="IAA32" s="414"/>
      <c r="IAB32" s="414"/>
      <c r="IAC32" s="414"/>
      <c r="IAD32" s="414"/>
      <c r="IAE32" s="414"/>
      <c r="IAF32" s="414"/>
      <c r="IAG32" s="414"/>
      <c r="IAH32" s="414"/>
      <c r="IAI32" s="414"/>
      <c r="IAJ32" s="414"/>
      <c r="IAK32" s="414"/>
      <c r="IAL32" s="414"/>
      <c r="IAM32" s="414"/>
      <c r="IAN32" s="414"/>
      <c r="IAO32" s="414"/>
      <c r="IAP32" s="414"/>
      <c r="IAQ32" s="414"/>
      <c r="IAR32" s="414"/>
      <c r="IAS32" s="414"/>
      <c r="IAT32" s="414"/>
      <c r="IAU32" s="414"/>
      <c r="IAV32" s="414"/>
      <c r="IAW32" s="414"/>
      <c r="IAX32" s="414"/>
      <c r="IAY32" s="414"/>
      <c r="IAZ32" s="414"/>
      <c r="IBA32" s="414"/>
      <c r="IBB32" s="414"/>
      <c r="IBC32" s="414"/>
      <c r="IBD32" s="414"/>
      <c r="IBE32" s="414"/>
      <c r="IBF32" s="414"/>
      <c r="IBG32" s="414"/>
      <c r="IBH32" s="414"/>
      <c r="IBI32" s="414"/>
      <c r="IBJ32" s="414"/>
      <c r="IBK32" s="414"/>
      <c r="IBL32" s="414"/>
      <c r="IBM32" s="414"/>
      <c r="IBN32" s="414"/>
      <c r="IBO32" s="414"/>
      <c r="IBP32" s="414"/>
      <c r="IBQ32" s="414"/>
      <c r="IBR32" s="414"/>
      <c r="IBS32" s="414"/>
      <c r="IBT32" s="414"/>
      <c r="IBU32" s="414"/>
      <c r="IBV32" s="414"/>
      <c r="IBW32" s="414"/>
      <c r="IBX32" s="414"/>
      <c r="IBY32" s="414"/>
      <c r="IBZ32" s="414"/>
      <c r="ICA32" s="414"/>
      <c r="ICB32" s="414"/>
      <c r="ICC32" s="414"/>
      <c r="ICD32" s="414"/>
      <c r="ICE32" s="414"/>
      <c r="ICF32" s="414"/>
      <c r="ICG32" s="414"/>
      <c r="ICH32" s="414"/>
      <c r="ICI32" s="414"/>
      <c r="ICJ32" s="414"/>
      <c r="ICK32" s="414"/>
      <c r="ICL32" s="414"/>
      <c r="ICM32" s="414"/>
      <c r="ICN32" s="414"/>
      <c r="ICO32" s="414"/>
      <c r="ICP32" s="414"/>
      <c r="ICQ32" s="414"/>
      <c r="ICR32" s="414"/>
      <c r="ICS32" s="414"/>
      <c r="ICT32" s="414"/>
      <c r="ICU32" s="414"/>
      <c r="ICV32" s="414"/>
      <c r="ICW32" s="414"/>
      <c r="ICX32" s="414"/>
      <c r="ICY32" s="414"/>
      <c r="ICZ32" s="414"/>
      <c r="IDA32" s="414"/>
      <c r="IDB32" s="414"/>
      <c r="IDC32" s="414"/>
      <c r="IDD32" s="414"/>
      <c r="IDE32" s="414"/>
      <c r="IDF32" s="414"/>
      <c r="IDG32" s="414"/>
      <c r="IDH32" s="414"/>
      <c r="IDI32" s="414"/>
      <c r="IDJ32" s="414"/>
      <c r="IDK32" s="414"/>
      <c r="IDL32" s="414"/>
      <c r="IDM32" s="414"/>
      <c r="IDN32" s="414"/>
      <c r="IDO32" s="414"/>
      <c r="IDP32" s="414"/>
      <c r="IDQ32" s="414"/>
      <c r="IDR32" s="414"/>
      <c r="IDS32" s="414"/>
      <c r="IDT32" s="414"/>
      <c r="IDU32" s="414"/>
      <c r="IDV32" s="414"/>
      <c r="IDW32" s="414"/>
      <c r="IDX32" s="414"/>
      <c r="IDY32" s="414"/>
      <c r="IDZ32" s="414"/>
      <c r="IEA32" s="414"/>
      <c r="IEB32" s="414"/>
      <c r="IEC32" s="414"/>
      <c r="IED32" s="414"/>
      <c r="IEE32" s="414"/>
      <c r="IEF32" s="414"/>
      <c r="IEG32" s="414"/>
      <c r="IEH32" s="414"/>
      <c r="IEI32" s="414"/>
      <c r="IEJ32" s="414"/>
      <c r="IEK32" s="414"/>
      <c r="IEL32" s="414"/>
      <c r="IEM32" s="414"/>
      <c r="IEN32" s="414"/>
      <c r="IEO32" s="414"/>
      <c r="IEP32" s="414"/>
      <c r="IEQ32" s="414"/>
      <c r="IER32" s="414"/>
      <c r="IES32" s="414"/>
      <c r="IET32" s="414"/>
      <c r="IEU32" s="414"/>
      <c r="IEV32" s="414"/>
      <c r="IEW32" s="414"/>
      <c r="IEX32" s="414"/>
      <c r="IEY32" s="414"/>
      <c r="IEZ32" s="414"/>
      <c r="IFA32" s="414"/>
      <c r="IFB32" s="414"/>
      <c r="IFC32" s="414"/>
      <c r="IFD32" s="414"/>
      <c r="IFE32" s="414"/>
      <c r="IFF32" s="414"/>
      <c r="IFG32" s="414"/>
      <c r="IFH32" s="414"/>
      <c r="IFI32" s="414"/>
      <c r="IFJ32" s="414"/>
      <c r="IFK32" s="414"/>
      <c r="IFL32" s="414"/>
      <c r="IFM32" s="414"/>
      <c r="IFN32" s="414"/>
      <c r="IFO32" s="414"/>
      <c r="IFP32" s="414"/>
      <c r="IFQ32" s="414"/>
      <c r="IFR32" s="414"/>
      <c r="IFS32" s="414"/>
      <c r="IFT32" s="414"/>
      <c r="IFU32" s="414"/>
      <c r="IFV32" s="414"/>
      <c r="IFW32" s="414"/>
      <c r="IFX32" s="414"/>
      <c r="IFY32" s="414"/>
      <c r="IFZ32" s="414"/>
      <c r="IGA32" s="414"/>
      <c r="IGB32" s="414"/>
      <c r="IGC32" s="414"/>
      <c r="IGD32" s="414"/>
      <c r="IGE32" s="414"/>
      <c r="IGF32" s="414"/>
      <c r="IGG32" s="414"/>
      <c r="IGH32" s="414"/>
      <c r="IGI32" s="414"/>
      <c r="IGJ32" s="414"/>
      <c r="IGK32" s="414"/>
      <c r="IGL32" s="414"/>
      <c r="IGM32" s="414"/>
      <c r="IGN32" s="414"/>
      <c r="IGO32" s="414"/>
      <c r="IGP32" s="414"/>
      <c r="IGQ32" s="414"/>
      <c r="IGR32" s="414"/>
      <c r="IGS32" s="414"/>
      <c r="IGT32" s="414"/>
      <c r="IGU32" s="414"/>
      <c r="IGV32" s="414"/>
      <c r="IGW32" s="414"/>
      <c r="IGX32" s="414"/>
      <c r="IGY32" s="414"/>
      <c r="IGZ32" s="414"/>
      <c r="IHA32" s="414"/>
      <c r="IHB32" s="414"/>
      <c r="IHC32" s="414"/>
      <c r="IHD32" s="414"/>
      <c r="IHE32" s="414"/>
      <c r="IHF32" s="414"/>
      <c r="IHG32" s="414"/>
      <c r="IHH32" s="414"/>
      <c r="IHI32" s="414"/>
      <c r="IHJ32" s="414"/>
      <c r="IHK32" s="414"/>
      <c r="IHL32" s="414"/>
      <c r="IHM32" s="414"/>
      <c r="IHN32" s="414"/>
      <c r="IHO32" s="414"/>
      <c r="IHP32" s="414"/>
      <c r="IHQ32" s="414"/>
      <c r="IHR32" s="414"/>
      <c r="IHS32" s="414"/>
      <c r="IHT32" s="414"/>
      <c r="IHU32" s="414"/>
      <c r="IHV32" s="414"/>
      <c r="IHW32" s="414"/>
      <c r="IHX32" s="414"/>
      <c r="IHY32" s="414"/>
      <c r="IHZ32" s="414"/>
      <c r="IIA32" s="414"/>
      <c r="IIB32" s="414"/>
      <c r="IIC32" s="414"/>
      <c r="IID32" s="414"/>
      <c r="IIE32" s="414"/>
      <c r="IIF32" s="414"/>
      <c r="IIG32" s="414"/>
      <c r="IIH32" s="414"/>
      <c r="III32" s="414"/>
      <c r="IIJ32" s="414"/>
      <c r="IIK32" s="414"/>
      <c r="IIL32" s="414"/>
      <c r="IIM32" s="414"/>
      <c r="IIN32" s="414"/>
      <c r="IIO32" s="414"/>
      <c r="IIP32" s="414"/>
      <c r="IIQ32" s="414"/>
      <c r="IIR32" s="414"/>
      <c r="IIS32" s="414"/>
      <c r="IIT32" s="414"/>
      <c r="IIU32" s="414"/>
      <c r="IIV32" s="414"/>
      <c r="IIW32" s="414"/>
      <c r="IIX32" s="414"/>
      <c r="IIY32" s="414"/>
      <c r="IIZ32" s="414"/>
      <c r="IJA32" s="414"/>
      <c r="IJB32" s="414"/>
      <c r="IJC32" s="414"/>
      <c r="IJD32" s="414"/>
      <c r="IJE32" s="414"/>
      <c r="IJF32" s="414"/>
      <c r="IJG32" s="414"/>
      <c r="IJH32" s="414"/>
      <c r="IJI32" s="414"/>
      <c r="IJJ32" s="414"/>
      <c r="IJK32" s="414"/>
      <c r="IJL32" s="414"/>
      <c r="IJM32" s="414"/>
      <c r="IJN32" s="414"/>
      <c r="IJO32" s="414"/>
      <c r="IJP32" s="414"/>
      <c r="IJQ32" s="414"/>
      <c r="IJR32" s="414"/>
      <c r="IJS32" s="414"/>
      <c r="IJT32" s="414"/>
      <c r="IJU32" s="414"/>
      <c r="IJV32" s="414"/>
      <c r="IJW32" s="414"/>
      <c r="IJX32" s="414"/>
      <c r="IJY32" s="414"/>
      <c r="IJZ32" s="414"/>
      <c r="IKA32" s="414"/>
      <c r="IKB32" s="414"/>
      <c r="IKC32" s="414"/>
      <c r="IKD32" s="414"/>
      <c r="IKE32" s="414"/>
      <c r="IKF32" s="414"/>
      <c r="IKG32" s="414"/>
      <c r="IKH32" s="414"/>
      <c r="IKI32" s="414"/>
      <c r="IKJ32" s="414"/>
      <c r="IKK32" s="414"/>
      <c r="IKL32" s="414"/>
      <c r="IKM32" s="414"/>
      <c r="IKN32" s="414"/>
      <c r="IKO32" s="414"/>
      <c r="IKP32" s="414"/>
      <c r="IKQ32" s="414"/>
      <c r="IKR32" s="414"/>
      <c r="IKS32" s="414"/>
      <c r="IKT32" s="414"/>
      <c r="IKU32" s="414"/>
      <c r="IKV32" s="414"/>
      <c r="IKW32" s="414"/>
      <c r="IKX32" s="414"/>
      <c r="IKY32" s="414"/>
      <c r="IKZ32" s="414"/>
      <c r="ILA32" s="414"/>
      <c r="ILB32" s="414"/>
      <c r="ILC32" s="414"/>
      <c r="ILD32" s="414"/>
      <c r="ILE32" s="414"/>
      <c r="ILF32" s="414"/>
      <c r="ILG32" s="414"/>
      <c r="ILH32" s="414"/>
      <c r="ILI32" s="414"/>
      <c r="ILJ32" s="414"/>
      <c r="ILK32" s="414"/>
      <c r="ILL32" s="414"/>
      <c r="ILM32" s="414"/>
      <c r="ILN32" s="414"/>
      <c r="ILO32" s="414"/>
      <c r="ILP32" s="414"/>
      <c r="ILQ32" s="414"/>
      <c r="ILR32" s="414"/>
      <c r="ILS32" s="414"/>
      <c r="ILT32" s="414"/>
      <c r="ILU32" s="414"/>
      <c r="ILV32" s="414"/>
      <c r="ILW32" s="414"/>
      <c r="ILX32" s="414"/>
      <c r="ILY32" s="414"/>
      <c r="ILZ32" s="414"/>
      <c r="IMA32" s="414"/>
      <c r="IMB32" s="414"/>
      <c r="IMC32" s="414"/>
      <c r="IMD32" s="414"/>
      <c r="IME32" s="414"/>
      <c r="IMF32" s="414"/>
      <c r="IMG32" s="414"/>
      <c r="IMH32" s="414"/>
      <c r="IMI32" s="414"/>
      <c r="IMJ32" s="414"/>
      <c r="IMK32" s="414"/>
      <c r="IML32" s="414"/>
      <c r="IMM32" s="414"/>
      <c r="IMN32" s="414"/>
      <c r="IMO32" s="414"/>
      <c r="IMP32" s="414"/>
      <c r="IMQ32" s="414"/>
      <c r="IMR32" s="414"/>
      <c r="IMS32" s="414"/>
      <c r="IMT32" s="414"/>
      <c r="IMU32" s="414"/>
      <c r="IMV32" s="414"/>
      <c r="IMW32" s="414"/>
      <c r="IMX32" s="414"/>
      <c r="IMY32" s="414"/>
      <c r="IMZ32" s="414"/>
      <c r="INA32" s="414"/>
      <c r="INB32" s="414"/>
      <c r="INC32" s="414"/>
      <c r="IND32" s="414"/>
      <c r="INE32" s="414"/>
      <c r="INF32" s="414"/>
      <c r="ING32" s="414"/>
      <c r="INH32" s="414"/>
      <c r="INI32" s="414"/>
      <c r="INJ32" s="414"/>
      <c r="INK32" s="414"/>
      <c r="INL32" s="414"/>
      <c r="INM32" s="414"/>
      <c r="INN32" s="414"/>
      <c r="INO32" s="414"/>
      <c r="INP32" s="414"/>
      <c r="INQ32" s="414"/>
      <c r="INR32" s="414"/>
      <c r="INS32" s="414"/>
      <c r="INT32" s="414"/>
      <c r="INU32" s="414"/>
      <c r="INV32" s="414"/>
      <c r="INW32" s="414"/>
      <c r="INX32" s="414"/>
      <c r="INY32" s="414"/>
      <c r="INZ32" s="414"/>
      <c r="IOA32" s="414"/>
      <c r="IOB32" s="414"/>
      <c r="IOC32" s="414"/>
      <c r="IOD32" s="414"/>
      <c r="IOE32" s="414"/>
      <c r="IOF32" s="414"/>
      <c r="IOG32" s="414"/>
      <c r="IOH32" s="414"/>
      <c r="IOI32" s="414"/>
      <c r="IOJ32" s="414"/>
      <c r="IOK32" s="414"/>
      <c r="IOL32" s="414"/>
      <c r="IOM32" s="414"/>
      <c r="ION32" s="414"/>
      <c r="IOO32" s="414"/>
      <c r="IOP32" s="414"/>
      <c r="IOQ32" s="414"/>
      <c r="IOR32" s="414"/>
      <c r="IOS32" s="414"/>
      <c r="IOT32" s="414"/>
      <c r="IOU32" s="414"/>
      <c r="IOV32" s="414"/>
      <c r="IOW32" s="414"/>
      <c r="IOX32" s="414"/>
      <c r="IOY32" s="414"/>
      <c r="IOZ32" s="414"/>
      <c r="IPA32" s="414"/>
      <c r="IPB32" s="414"/>
      <c r="IPC32" s="414"/>
      <c r="IPD32" s="414"/>
      <c r="IPE32" s="414"/>
      <c r="IPF32" s="414"/>
      <c r="IPG32" s="414"/>
      <c r="IPH32" s="414"/>
      <c r="IPI32" s="414"/>
      <c r="IPJ32" s="414"/>
      <c r="IPK32" s="414"/>
      <c r="IPL32" s="414"/>
      <c r="IPM32" s="414"/>
      <c r="IPN32" s="414"/>
      <c r="IPO32" s="414"/>
      <c r="IPP32" s="414"/>
      <c r="IPQ32" s="414"/>
      <c r="IPR32" s="414"/>
      <c r="IPS32" s="414"/>
      <c r="IPT32" s="414"/>
      <c r="IPU32" s="414"/>
      <c r="IPV32" s="414"/>
      <c r="IPW32" s="414"/>
      <c r="IPX32" s="414"/>
      <c r="IPY32" s="414"/>
      <c r="IPZ32" s="414"/>
      <c r="IQA32" s="414"/>
      <c r="IQB32" s="414"/>
      <c r="IQC32" s="414"/>
      <c r="IQD32" s="414"/>
      <c r="IQE32" s="414"/>
      <c r="IQF32" s="414"/>
      <c r="IQG32" s="414"/>
      <c r="IQH32" s="414"/>
      <c r="IQI32" s="414"/>
      <c r="IQJ32" s="414"/>
      <c r="IQK32" s="414"/>
      <c r="IQL32" s="414"/>
      <c r="IQM32" s="414"/>
      <c r="IQN32" s="414"/>
      <c r="IQO32" s="414"/>
      <c r="IQP32" s="414"/>
      <c r="IQQ32" s="414"/>
      <c r="IQR32" s="414"/>
      <c r="IQS32" s="414"/>
      <c r="IQT32" s="414"/>
      <c r="IQU32" s="414"/>
      <c r="IQV32" s="414"/>
      <c r="IQW32" s="414"/>
      <c r="IQX32" s="414"/>
      <c r="IQY32" s="414"/>
      <c r="IQZ32" s="414"/>
      <c r="IRA32" s="414"/>
      <c r="IRB32" s="414"/>
      <c r="IRC32" s="414"/>
      <c r="IRD32" s="414"/>
      <c r="IRE32" s="414"/>
      <c r="IRF32" s="414"/>
      <c r="IRG32" s="414"/>
      <c r="IRH32" s="414"/>
      <c r="IRI32" s="414"/>
      <c r="IRJ32" s="414"/>
      <c r="IRK32" s="414"/>
      <c r="IRL32" s="414"/>
      <c r="IRM32" s="414"/>
      <c r="IRN32" s="414"/>
      <c r="IRO32" s="414"/>
      <c r="IRP32" s="414"/>
      <c r="IRQ32" s="414"/>
      <c r="IRR32" s="414"/>
      <c r="IRS32" s="414"/>
      <c r="IRT32" s="414"/>
      <c r="IRU32" s="414"/>
      <c r="IRV32" s="414"/>
      <c r="IRW32" s="414"/>
      <c r="IRX32" s="414"/>
      <c r="IRY32" s="414"/>
      <c r="IRZ32" s="414"/>
      <c r="ISA32" s="414"/>
      <c r="ISB32" s="414"/>
      <c r="ISC32" s="414"/>
      <c r="ISD32" s="414"/>
      <c r="ISE32" s="414"/>
      <c r="ISF32" s="414"/>
      <c r="ISG32" s="414"/>
      <c r="ISH32" s="414"/>
      <c r="ISI32" s="414"/>
      <c r="ISJ32" s="414"/>
      <c r="ISK32" s="414"/>
      <c r="ISL32" s="414"/>
      <c r="ISM32" s="414"/>
      <c r="ISN32" s="414"/>
      <c r="ISO32" s="414"/>
      <c r="ISP32" s="414"/>
      <c r="ISQ32" s="414"/>
      <c r="ISR32" s="414"/>
      <c r="ISS32" s="414"/>
      <c r="IST32" s="414"/>
      <c r="ISU32" s="414"/>
      <c r="ISV32" s="414"/>
      <c r="ISW32" s="414"/>
      <c r="ISX32" s="414"/>
      <c r="ISY32" s="414"/>
      <c r="ISZ32" s="414"/>
      <c r="ITA32" s="414"/>
      <c r="ITB32" s="414"/>
      <c r="ITC32" s="414"/>
      <c r="ITD32" s="414"/>
      <c r="ITE32" s="414"/>
      <c r="ITF32" s="414"/>
      <c r="ITG32" s="414"/>
      <c r="ITH32" s="414"/>
      <c r="ITI32" s="414"/>
      <c r="ITJ32" s="414"/>
      <c r="ITK32" s="414"/>
      <c r="ITL32" s="414"/>
      <c r="ITM32" s="414"/>
      <c r="ITN32" s="414"/>
      <c r="ITO32" s="414"/>
      <c r="ITP32" s="414"/>
      <c r="ITQ32" s="414"/>
      <c r="ITR32" s="414"/>
      <c r="ITS32" s="414"/>
      <c r="ITT32" s="414"/>
      <c r="ITU32" s="414"/>
      <c r="ITV32" s="414"/>
      <c r="ITW32" s="414"/>
      <c r="ITX32" s="414"/>
      <c r="ITY32" s="414"/>
      <c r="ITZ32" s="414"/>
      <c r="IUA32" s="414"/>
      <c r="IUB32" s="414"/>
      <c r="IUC32" s="414"/>
      <c r="IUD32" s="414"/>
      <c r="IUE32" s="414"/>
      <c r="IUF32" s="414"/>
      <c r="IUG32" s="414"/>
      <c r="IUH32" s="414"/>
      <c r="IUI32" s="414"/>
      <c r="IUJ32" s="414"/>
      <c r="IUK32" s="414"/>
      <c r="IUL32" s="414"/>
      <c r="IUM32" s="414"/>
      <c r="IUN32" s="414"/>
      <c r="IUO32" s="414"/>
      <c r="IUP32" s="414"/>
      <c r="IUQ32" s="414"/>
      <c r="IUR32" s="414"/>
      <c r="IUS32" s="414"/>
      <c r="IUT32" s="414"/>
      <c r="IUU32" s="414"/>
      <c r="IUV32" s="414"/>
      <c r="IUW32" s="414"/>
      <c r="IUX32" s="414"/>
      <c r="IUY32" s="414"/>
      <c r="IUZ32" s="414"/>
      <c r="IVA32" s="414"/>
      <c r="IVB32" s="414"/>
      <c r="IVC32" s="414"/>
      <c r="IVD32" s="414"/>
      <c r="IVE32" s="414"/>
      <c r="IVF32" s="414"/>
      <c r="IVG32" s="414"/>
      <c r="IVH32" s="414"/>
      <c r="IVI32" s="414"/>
      <c r="IVJ32" s="414"/>
      <c r="IVK32" s="414"/>
      <c r="IVL32" s="414"/>
      <c r="IVM32" s="414"/>
      <c r="IVN32" s="414"/>
      <c r="IVO32" s="414"/>
      <c r="IVP32" s="414"/>
      <c r="IVQ32" s="414"/>
      <c r="IVR32" s="414"/>
      <c r="IVS32" s="414"/>
      <c r="IVT32" s="414"/>
      <c r="IVU32" s="414"/>
      <c r="IVV32" s="414"/>
      <c r="IVW32" s="414"/>
      <c r="IVX32" s="414"/>
      <c r="IVY32" s="414"/>
      <c r="IVZ32" s="414"/>
      <c r="IWA32" s="414"/>
      <c r="IWB32" s="414"/>
      <c r="IWC32" s="414"/>
      <c r="IWD32" s="414"/>
      <c r="IWE32" s="414"/>
      <c r="IWF32" s="414"/>
      <c r="IWG32" s="414"/>
      <c r="IWH32" s="414"/>
      <c r="IWI32" s="414"/>
      <c r="IWJ32" s="414"/>
      <c r="IWK32" s="414"/>
      <c r="IWL32" s="414"/>
      <c r="IWM32" s="414"/>
      <c r="IWN32" s="414"/>
      <c r="IWO32" s="414"/>
      <c r="IWP32" s="414"/>
      <c r="IWQ32" s="414"/>
      <c r="IWR32" s="414"/>
      <c r="IWS32" s="414"/>
      <c r="IWT32" s="414"/>
      <c r="IWU32" s="414"/>
      <c r="IWV32" s="414"/>
      <c r="IWW32" s="414"/>
      <c r="IWX32" s="414"/>
      <c r="IWY32" s="414"/>
      <c r="IWZ32" s="414"/>
      <c r="IXA32" s="414"/>
      <c r="IXB32" s="414"/>
      <c r="IXC32" s="414"/>
      <c r="IXD32" s="414"/>
      <c r="IXE32" s="414"/>
      <c r="IXF32" s="414"/>
      <c r="IXG32" s="414"/>
      <c r="IXH32" s="414"/>
      <c r="IXI32" s="414"/>
      <c r="IXJ32" s="414"/>
      <c r="IXK32" s="414"/>
      <c r="IXL32" s="414"/>
      <c r="IXM32" s="414"/>
      <c r="IXN32" s="414"/>
      <c r="IXO32" s="414"/>
      <c r="IXP32" s="414"/>
      <c r="IXQ32" s="414"/>
      <c r="IXR32" s="414"/>
      <c r="IXS32" s="414"/>
      <c r="IXT32" s="414"/>
      <c r="IXU32" s="414"/>
      <c r="IXV32" s="414"/>
      <c r="IXW32" s="414"/>
      <c r="IXX32" s="414"/>
      <c r="IXY32" s="414"/>
      <c r="IXZ32" s="414"/>
      <c r="IYA32" s="414"/>
      <c r="IYB32" s="414"/>
      <c r="IYC32" s="414"/>
      <c r="IYD32" s="414"/>
      <c r="IYE32" s="414"/>
      <c r="IYF32" s="414"/>
      <c r="IYG32" s="414"/>
      <c r="IYH32" s="414"/>
      <c r="IYI32" s="414"/>
      <c r="IYJ32" s="414"/>
      <c r="IYK32" s="414"/>
      <c r="IYL32" s="414"/>
      <c r="IYM32" s="414"/>
      <c r="IYN32" s="414"/>
      <c r="IYO32" s="414"/>
      <c r="IYP32" s="414"/>
      <c r="IYQ32" s="414"/>
      <c r="IYR32" s="414"/>
      <c r="IYS32" s="414"/>
      <c r="IYT32" s="414"/>
      <c r="IYU32" s="414"/>
      <c r="IYV32" s="414"/>
      <c r="IYW32" s="414"/>
      <c r="IYX32" s="414"/>
      <c r="IYY32" s="414"/>
      <c r="IYZ32" s="414"/>
      <c r="IZA32" s="414"/>
      <c r="IZB32" s="414"/>
      <c r="IZC32" s="414"/>
      <c r="IZD32" s="414"/>
      <c r="IZE32" s="414"/>
      <c r="IZF32" s="414"/>
      <c r="IZG32" s="414"/>
      <c r="IZH32" s="414"/>
      <c r="IZI32" s="414"/>
      <c r="IZJ32" s="414"/>
      <c r="IZK32" s="414"/>
      <c r="IZL32" s="414"/>
      <c r="IZM32" s="414"/>
      <c r="IZN32" s="414"/>
      <c r="IZO32" s="414"/>
      <c r="IZP32" s="414"/>
      <c r="IZQ32" s="414"/>
      <c r="IZR32" s="414"/>
      <c r="IZS32" s="414"/>
      <c r="IZT32" s="414"/>
      <c r="IZU32" s="414"/>
      <c r="IZV32" s="414"/>
      <c r="IZW32" s="414"/>
      <c r="IZX32" s="414"/>
      <c r="IZY32" s="414"/>
      <c r="IZZ32" s="414"/>
      <c r="JAA32" s="414"/>
      <c r="JAB32" s="414"/>
      <c r="JAC32" s="414"/>
      <c r="JAD32" s="414"/>
      <c r="JAE32" s="414"/>
      <c r="JAF32" s="414"/>
      <c r="JAG32" s="414"/>
      <c r="JAH32" s="414"/>
      <c r="JAI32" s="414"/>
      <c r="JAJ32" s="414"/>
      <c r="JAK32" s="414"/>
      <c r="JAL32" s="414"/>
      <c r="JAM32" s="414"/>
      <c r="JAN32" s="414"/>
      <c r="JAO32" s="414"/>
      <c r="JAP32" s="414"/>
      <c r="JAQ32" s="414"/>
      <c r="JAR32" s="414"/>
      <c r="JAS32" s="414"/>
      <c r="JAT32" s="414"/>
      <c r="JAU32" s="414"/>
      <c r="JAV32" s="414"/>
      <c r="JAW32" s="414"/>
      <c r="JAX32" s="414"/>
      <c r="JAY32" s="414"/>
      <c r="JAZ32" s="414"/>
      <c r="JBA32" s="414"/>
      <c r="JBB32" s="414"/>
      <c r="JBC32" s="414"/>
      <c r="JBD32" s="414"/>
      <c r="JBE32" s="414"/>
      <c r="JBF32" s="414"/>
      <c r="JBG32" s="414"/>
      <c r="JBH32" s="414"/>
      <c r="JBI32" s="414"/>
      <c r="JBJ32" s="414"/>
      <c r="JBK32" s="414"/>
      <c r="JBL32" s="414"/>
      <c r="JBM32" s="414"/>
      <c r="JBN32" s="414"/>
      <c r="JBO32" s="414"/>
      <c r="JBP32" s="414"/>
      <c r="JBQ32" s="414"/>
      <c r="JBR32" s="414"/>
      <c r="JBS32" s="414"/>
      <c r="JBT32" s="414"/>
      <c r="JBU32" s="414"/>
      <c r="JBV32" s="414"/>
      <c r="JBW32" s="414"/>
      <c r="JBX32" s="414"/>
      <c r="JBY32" s="414"/>
      <c r="JBZ32" s="414"/>
      <c r="JCA32" s="414"/>
      <c r="JCB32" s="414"/>
      <c r="JCC32" s="414"/>
      <c r="JCD32" s="414"/>
      <c r="JCE32" s="414"/>
      <c r="JCF32" s="414"/>
      <c r="JCG32" s="414"/>
      <c r="JCH32" s="414"/>
      <c r="JCI32" s="414"/>
      <c r="JCJ32" s="414"/>
      <c r="JCK32" s="414"/>
      <c r="JCL32" s="414"/>
      <c r="JCM32" s="414"/>
      <c r="JCN32" s="414"/>
      <c r="JCO32" s="414"/>
      <c r="JCP32" s="414"/>
      <c r="JCQ32" s="414"/>
      <c r="JCR32" s="414"/>
      <c r="JCS32" s="414"/>
      <c r="JCT32" s="414"/>
      <c r="JCU32" s="414"/>
      <c r="JCV32" s="414"/>
      <c r="JCW32" s="414"/>
      <c r="JCX32" s="414"/>
      <c r="JCY32" s="414"/>
      <c r="JCZ32" s="414"/>
      <c r="JDA32" s="414"/>
      <c r="JDB32" s="414"/>
      <c r="JDC32" s="414"/>
      <c r="JDD32" s="414"/>
      <c r="JDE32" s="414"/>
      <c r="JDF32" s="414"/>
      <c r="JDG32" s="414"/>
      <c r="JDH32" s="414"/>
      <c r="JDI32" s="414"/>
      <c r="JDJ32" s="414"/>
      <c r="JDK32" s="414"/>
      <c r="JDL32" s="414"/>
      <c r="JDM32" s="414"/>
      <c r="JDN32" s="414"/>
      <c r="JDO32" s="414"/>
      <c r="JDP32" s="414"/>
      <c r="JDQ32" s="414"/>
      <c r="JDR32" s="414"/>
      <c r="JDS32" s="414"/>
      <c r="JDT32" s="414"/>
      <c r="JDU32" s="414"/>
      <c r="JDV32" s="414"/>
      <c r="JDW32" s="414"/>
      <c r="JDX32" s="414"/>
      <c r="JDY32" s="414"/>
      <c r="JDZ32" s="414"/>
      <c r="JEA32" s="414"/>
      <c r="JEB32" s="414"/>
      <c r="JEC32" s="414"/>
      <c r="JED32" s="414"/>
      <c r="JEE32" s="414"/>
      <c r="JEF32" s="414"/>
      <c r="JEG32" s="414"/>
      <c r="JEH32" s="414"/>
      <c r="JEI32" s="414"/>
      <c r="JEJ32" s="414"/>
      <c r="JEK32" s="414"/>
      <c r="JEL32" s="414"/>
      <c r="JEM32" s="414"/>
      <c r="JEN32" s="414"/>
      <c r="JEO32" s="414"/>
      <c r="JEP32" s="414"/>
      <c r="JEQ32" s="414"/>
      <c r="JER32" s="414"/>
      <c r="JES32" s="414"/>
      <c r="JET32" s="414"/>
      <c r="JEU32" s="414"/>
      <c r="JEV32" s="414"/>
      <c r="JEW32" s="414"/>
      <c r="JEX32" s="414"/>
      <c r="JEY32" s="414"/>
      <c r="JEZ32" s="414"/>
      <c r="JFA32" s="414"/>
      <c r="JFB32" s="414"/>
      <c r="JFC32" s="414"/>
      <c r="JFD32" s="414"/>
      <c r="JFE32" s="414"/>
      <c r="JFF32" s="414"/>
      <c r="JFG32" s="414"/>
      <c r="JFH32" s="414"/>
      <c r="JFI32" s="414"/>
      <c r="JFJ32" s="414"/>
      <c r="JFK32" s="414"/>
      <c r="JFL32" s="414"/>
      <c r="JFM32" s="414"/>
      <c r="JFN32" s="414"/>
      <c r="JFO32" s="414"/>
      <c r="JFP32" s="414"/>
      <c r="JFQ32" s="414"/>
      <c r="JFR32" s="414"/>
      <c r="JFS32" s="414"/>
      <c r="JFT32" s="414"/>
      <c r="JFU32" s="414"/>
      <c r="JFV32" s="414"/>
      <c r="JFW32" s="414"/>
      <c r="JFX32" s="414"/>
      <c r="JFY32" s="414"/>
      <c r="JFZ32" s="414"/>
      <c r="JGA32" s="414"/>
      <c r="JGB32" s="414"/>
      <c r="JGC32" s="414"/>
      <c r="JGD32" s="414"/>
      <c r="JGE32" s="414"/>
      <c r="JGF32" s="414"/>
      <c r="JGG32" s="414"/>
      <c r="JGH32" s="414"/>
      <c r="JGI32" s="414"/>
      <c r="JGJ32" s="414"/>
      <c r="JGK32" s="414"/>
      <c r="JGL32" s="414"/>
      <c r="JGM32" s="414"/>
      <c r="JGN32" s="414"/>
      <c r="JGO32" s="414"/>
      <c r="JGP32" s="414"/>
      <c r="JGQ32" s="414"/>
      <c r="JGR32" s="414"/>
      <c r="JGS32" s="414"/>
      <c r="JGT32" s="414"/>
      <c r="JGU32" s="414"/>
      <c r="JGV32" s="414"/>
      <c r="JGW32" s="414"/>
      <c r="JGX32" s="414"/>
      <c r="JGY32" s="414"/>
      <c r="JGZ32" s="414"/>
      <c r="JHA32" s="414"/>
      <c r="JHB32" s="414"/>
      <c r="JHC32" s="414"/>
      <c r="JHD32" s="414"/>
      <c r="JHE32" s="414"/>
      <c r="JHF32" s="414"/>
      <c r="JHG32" s="414"/>
      <c r="JHH32" s="414"/>
      <c r="JHI32" s="414"/>
      <c r="JHJ32" s="414"/>
      <c r="JHK32" s="414"/>
      <c r="JHL32" s="414"/>
      <c r="JHM32" s="414"/>
      <c r="JHN32" s="414"/>
      <c r="JHO32" s="414"/>
      <c r="JHP32" s="414"/>
      <c r="JHQ32" s="414"/>
      <c r="JHR32" s="414"/>
      <c r="JHS32" s="414"/>
      <c r="JHT32" s="414"/>
      <c r="JHU32" s="414"/>
      <c r="JHV32" s="414"/>
      <c r="JHW32" s="414"/>
      <c r="JHX32" s="414"/>
      <c r="JHY32" s="414"/>
      <c r="JHZ32" s="414"/>
      <c r="JIA32" s="414"/>
      <c r="JIB32" s="414"/>
      <c r="JIC32" s="414"/>
      <c r="JID32" s="414"/>
      <c r="JIE32" s="414"/>
      <c r="JIF32" s="414"/>
      <c r="JIG32" s="414"/>
      <c r="JIH32" s="414"/>
      <c r="JII32" s="414"/>
      <c r="JIJ32" s="414"/>
      <c r="JIK32" s="414"/>
      <c r="JIL32" s="414"/>
      <c r="JIM32" s="414"/>
      <c r="JIN32" s="414"/>
      <c r="JIO32" s="414"/>
      <c r="JIP32" s="414"/>
      <c r="JIQ32" s="414"/>
      <c r="JIR32" s="414"/>
      <c r="JIS32" s="414"/>
      <c r="JIT32" s="414"/>
      <c r="JIU32" s="414"/>
      <c r="JIV32" s="414"/>
      <c r="JIW32" s="414"/>
      <c r="JIX32" s="414"/>
      <c r="JIY32" s="414"/>
      <c r="JIZ32" s="414"/>
      <c r="JJA32" s="414"/>
      <c r="JJB32" s="414"/>
      <c r="JJC32" s="414"/>
      <c r="JJD32" s="414"/>
      <c r="JJE32" s="414"/>
      <c r="JJF32" s="414"/>
      <c r="JJG32" s="414"/>
      <c r="JJH32" s="414"/>
      <c r="JJI32" s="414"/>
      <c r="JJJ32" s="414"/>
      <c r="JJK32" s="414"/>
      <c r="JJL32" s="414"/>
      <c r="JJM32" s="414"/>
      <c r="JJN32" s="414"/>
      <c r="JJO32" s="414"/>
      <c r="JJP32" s="414"/>
      <c r="JJQ32" s="414"/>
      <c r="JJR32" s="414"/>
      <c r="JJS32" s="414"/>
      <c r="JJT32" s="414"/>
      <c r="JJU32" s="414"/>
      <c r="JJV32" s="414"/>
      <c r="JJW32" s="414"/>
      <c r="JJX32" s="414"/>
      <c r="JJY32" s="414"/>
      <c r="JJZ32" s="414"/>
      <c r="JKA32" s="414"/>
      <c r="JKB32" s="414"/>
      <c r="JKC32" s="414"/>
      <c r="JKD32" s="414"/>
      <c r="JKE32" s="414"/>
      <c r="JKF32" s="414"/>
      <c r="JKG32" s="414"/>
      <c r="JKH32" s="414"/>
      <c r="JKI32" s="414"/>
      <c r="JKJ32" s="414"/>
      <c r="JKK32" s="414"/>
      <c r="JKL32" s="414"/>
      <c r="JKM32" s="414"/>
      <c r="JKN32" s="414"/>
      <c r="JKO32" s="414"/>
      <c r="JKP32" s="414"/>
      <c r="JKQ32" s="414"/>
      <c r="JKR32" s="414"/>
      <c r="JKS32" s="414"/>
      <c r="JKT32" s="414"/>
      <c r="JKU32" s="414"/>
      <c r="JKV32" s="414"/>
      <c r="JKW32" s="414"/>
      <c r="JKX32" s="414"/>
      <c r="JKY32" s="414"/>
      <c r="JKZ32" s="414"/>
      <c r="JLA32" s="414"/>
      <c r="JLB32" s="414"/>
      <c r="JLC32" s="414"/>
      <c r="JLD32" s="414"/>
      <c r="JLE32" s="414"/>
      <c r="JLF32" s="414"/>
      <c r="JLG32" s="414"/>
      <c r="JLH32" s="414"/>
      <c r="JLI32" s="414"/>
      <c r="JLJ32" s="414"/>
      <c r="JLK32" s="414"/>
      <c r="JLL32" s="414"/>
      <c r="JLM32" s="414"/>
      <c r="JLN32" s="414"/>
      <c r="JLO32" s="414"/>
      <c r="JLP32" s="414"/>
      <c r="JLQ32" s="414"/>
      <c r="JLR32" s="414"/>
      <c r="JLS32" s="414"/>
      <c r="JLT32" s="414"/>
      <c r="JLU32" s="414"/>
      <c r="JLV32" s="414"/>
      <c r="JLW32" s="414"/>
      <c r="JLX32" s="414"/>
      <c r="JLY32" s="414"/>
      <c r="JLZ32" s="414"/>
      <c r="JMA32" s="414"/>
      <c r="JMB32" s="414"/>
      <c r="JMC32" s="414"/>
      <c r="JMD32" s="414"/>
      <c r="JME32" s="414"/>
      <c r="JMF32" s="414"/>
      <c r="JMG32" s="414"/>
      <c r="JMH32" s="414"/>
      <c r="JMI32" s="414"/>
      <c r="JMJ32" s="414"/>
      <c r="JMK32" s="414"/>
      <c r="JML32" s="414"/>
      <c r="JMM32" s="414"/>
      <c r="JMN32" s="414"/>
      <c r="JMO32" s="414"/>
      <c r="JMP32" s="414"/>
      <c r="JMQ32" s="414"/>
      <c r="JMR32" s="414"/>
      <c r="JMS32" s="414"/>
      <c r="JMT32" s="414"/>
      <c r="JMU32" s="414"/>
      <c r="JMV32" s="414"/>
      <c r="JMW32" s="414"/>
      <c r="JMX32" s="414"/>
      <c r="JMY32" s="414"/>
      <c r="JMZ32" s="414"/>
      <c r="JNA32" s="414"/>
      <c r="JNB32" s="414"/>
      <c r="JNC32" s="414"/>
      <c r="JND32" s="414"/>
      <c r="JNE32" s="414"/>
      <c r="JNF32" s="414"/>
      <c r="JNG32" s="414"/>
      <c r="JNH32" s="414"/>
      <c r="JNI32" s="414"/>
      <c r="JNJ32" s="414"/>
      <c r="JNK32" s="414"/>
      <c r="JNL32" s="414"/>
      <c r="JNM32" s="414"/>
      <c r="JNN32" s="414"/>
      <c r="JNO32" s="414"/>
      <c r="JNP32" s="414"/>
      <c r="JNQ32" s="414"/>
      <c r="JNR32" s="414"/>
      <c r="JNS32" s="414"/>
      <c r="JNT32" s="414"/>
      <c r="JNU32" s="414"/>
      <c r="JNV32" s="414"/>
      <c r="JNW32" s="414"/>
      <c r="JNX32" s="414"/>
      <c r="JNY32" s="414"/>
      <c r="JNZ32" s="414"/>
      <c r="JOA32" s="414"/>
      <c r="JOB32" s="414"/>
      <c r="JOC32" s="414"/>
      <c r="JOD32" s="414"/>
      <c r="JOE32" s="414"/>
      <c r="JOF32" s="414"/>
      <c r="JOG32" s="414"/>
      <c r="JOH32" s="414"/>
      <c r="JOI32" s="414"/>
      <c r="JOJ32" s="414"/>
      <c r="JOK32" s="414"/>
      <c r="JOL32" s="414"/>
      <c r="JOM32" s="414"/>
      <c r="JON32" s="414"/>
      <c r="JOO32" s="414"/>
      <c r="JOP32" s="414"/>
      <c r="JOQ32" s="414"/>
      <c r="JOR32" s="414"/>
      <c r="JOS32" s="414"/>
      <c r="JOT32" s="414"/>
      <c r="JOU32" s="414"/>
      <c r="JOV32" s="414"/>
      <c r="JOW32" s="414"/>
      <c r="JOX32" s="414"/>
      <c r="JOY32" s="414"/>
      <c r="JOZ32" s="414"/>
      <c r="JPA32" s="414"/>
      <c r="JPB32" s="414"/>
      <c r="JPC32" s="414"/>
      <c r="JPD32" s="414"/>
      <c r="JPE32" s="414"/>
      <c r="JPF32" s="414"/>
      <c r="JPG32" s="414"/>
      <c r="JPH32" s="414"/>
      <c r="JPI32" s="414"/>
      <c r="JPJ32" s="414"/>
      <c r="JPK32" s="414"/>
      <c r="JPL32" s="414"/>
      <c r="JPM32" s="414"/>
      <c r="JPN32" s="414"/>
      <c r="JPO32" s="414"/>
      <c r="JPP32" s="414"/>
      <c r="JPQ32" s="414"/>
      <c r="JPR32" s="414"/>
      <c r="JPS32" s="414"/>
      <c r="JPT32" s="414"/>
      <c r="JPU32" s="414"/>
      <c r="JPV32" s="414"/>
      <c r="JPW32" s="414"/>
      <c r="JPX32" s="414"/>
      <c r="JPY32" s="414"/>
      <c r="JPZ32" s="414"/>
      <c r="JQA32" s="414"/>
      <c r="JQB32" s="414"/>
      <c r="JQC32" s="414"/>
      <c r="JQD32" s="414"/>
      <c r="JQE32" s="414"/>
      <c r="JQF32" s="414"/>
      <c r="JQG32" s="414"/>
      <c r="JQH32" s="414"/>
      <c r="JQI32" s="414"/>
      <c r="JQJ32" s="414"/>
      <c r="JQK32" s="414"/>
      <c r="JQL32" s="414"/>
      <c r="JQM32" s="414"/>
      <c r="JQN32" s="414"/>
      <c r="JQO32" s="414"/>
      <c r="JQP32" s="414"/>
      <c r="JQQ32" s="414"/>
      <c r="JQR32" s="414"/>
      <c r="JQS32" s="414"/>
      <c r="JQT32" s="414"/>
      <c r="JQU32" s="414"/>
      <c r="JQV32" s="414"/>
      <c r="JQW32" s="414"/>
      <c r="JQX32" s="414"/>
      <c r="JQY32" s="414"/>
      <c r="JQZ32" s="414"/>
      <c r="JRA32" s="414"/>
      <c r="JRB32" s="414"/>
      <c r="JRC32" s="414"/>
      <c r="JRD32" s="414"/>
      <c r="JRE32" s="414"/>
      <c r="JRF32" s="414"/>
      <c r="JRG32" s="414"/>
      <c r="JRH32" s="414"/>
      <c r="JRI32" s="414"/>
      <c r="JRJ32" s="414"/>
      <c r="JRK32" s="414"/>
      <c r="JRL32" s="414"/>
      <c r="JRM32" s="414"/>
      <c r="JRN32" s="414"/>
      <c r="JRO32" s="414"/>
      <c r="JRP32" s="414"/>
      <c r="JRQ32" s="414"/>
      <c r="JRR32" s="414"/>
      <c r="JRS32" s="414"/>
      <c r="JRT32" s="414"/>
      <c r="JRU32" s="414"/>
      <c r="JRV32" s="414"/>
      <c r="JRW32" s="414"/>
      <c r="JRX32" s="414"/>
      <c r="JRY32" s="414"/>
      <c r="JRZ32" s="414"/>
      <c r="JSA32" s="414"/>
      <c r="JSB32" s="414"/>
      <c r="JSC32" s="414"/>
      <c r="JSD32" s="414"/>
      <c r="JSE32" s="414"/>
      <c r="JSF32" s="414"/>
      <c r="JSG32" s="414"/>
      <c r="JSH32" s="414"/>
      <c r="JSI32" s="414"/>
      <c r="JSJ32" s="414"/>
      <c r="JSK32" s="414"/>
      <c r="JSL32" s="414"/>
      <c r="JSM32" s="414"/>
      <c r="JSN32" s="414"/>
      <c r="JSO32" s="414"/>
      <c r="JSP32" s="414"/>
      <c r="JSQ32" s="414"/>
      <c r="JSR32" s="414"/>
      <c r="JSS32" s="414"/>
      <c r="JST32" s="414"/>
      <c r="JSU32" s="414"/>
      <c r="JSV32" s="414"/>
      <c r="JSW32" s="414"/>
      <c r="JSX32" s="414"/>
      <c r="JSY32" s="414"/>
      <c r="JSZ32" s="414"/>
      <c r="JTA32" s="414"/>
      <c r="JTB32" s="414"/>
      <c r="JTC32" s="414"/>
      <c r="JTD32" s="414"/>
      <c r="JTE32" s="414"/>
      <c r="JTF32" s="414"/>
      <c r="JTG32" s="414"/>
      <c r="JTH32" s="414"/>
      <c r="JTI32" s="414"/>
      <c r="JTJ32" s="414"/>
      <c r="JTK32" s="414"/>
      <c r="JTL32" s="414"/>
      <c r="JTM32" s="414"/>
      <c r="JTN32" s="414"/>
      <c r="JTO32" s="414"/>
      <c r="JTP32" s="414"/>
      <c r="JTQ32" s="414"/>
      <c r="JTR32" s="414"/>
      <c r="JTS32" s="414"/>
      <c r="JTT32" s="414"/>
      <c r="JTU32" s="414"/>
      <c r="JTV32" s="414"/>
      <c r="JTW32" s="414"/>
      <c r="JTX32" s="414"/>
      <c r="JTY32" s="414"/>
      <c r="JTZ32" s="414"/>
      <c r="JUA32" s="414"/>
      <c r="JUB32" s="414"/>
      <c r="JUC32" s="414"/>
      <c r="JUD32" s="414"/>
      <c r="JUE32" s="414"/>
      <c r="JUF32" s="414"/>
      <c r="JUG32" s="414"/>
      <c r="JUH32" s="414"/>
      <c r="JUI32" s="414"/>
      <c r="JUJ32" s="414"/>
      <c r="JUK32" s="414"/>
      <c r="JUL32" s="414"/>
      <c r="JUM32" s="414"/>
      <c r="JUN32" s="414"/>
      <c r="JUO32" s="414"/>
      <c r="JUP32" s="414"/>
      <c r="JUQ32" s="414"/>
      <c r="JUR32" s="414"/>
      <c r="JUS32" s="414"/>
      <c r="JUT32" s="414"/>
      <c r="JUU32" s="414"/>
      <c r="JUV32" s="414"/>
      <c r="JUW32" s="414"/>
      <c r="JUX32" s="414"/>
      <c r="JUY32" s="414"/>
      <c r="JUZ32" s="414"/>
      <c r="JVA32" s="414"/>
      <c r="JVB32" s="414"/>
      <c r="JVC32" s="414"/>
      <c r="JVD32" s="414"/>
      <c r="JVE32" s="414"/>
      <c r="JVF32" s="414"/>
      <c r="JVG32" s="414"/>
      <c r="JVH32" s="414"/>
      <c r="JVI32" s="414"/>
      <c r="JVJ32" s="414"/>
      <c r="JVK32" s="414"/>
      <c r="JVL32" s="414"/>
      <c r="JVM32" s="414"/>
      <c r="JVN32" s="414"/>
      <c r="JVO32" s="414"/>
      <c r="JVP32" s="414"/>
      <c r="JVQ32" s="414"/>
      <c r="JVR32" s="414"/>
      <c r="JVS32" s="414"/>
      <c r="JVT32" s="414"/>
      <c r="JVU32" s="414"/>
      <c r="JVV32" s="414"/>
      <c r="JVW32" s="414"/>
      <c r="JVX32" s="414"/>
      <c r="JVY32" s="414"/>
      <c r="JVZ32" s="414"/>
      <c r="JWA32" s="414"/>
      <c r="JWB32" s="414"/>
      <c r="JWC32" s="414"/>
      <c r="JWD32" s="414"/>
      <c r="JWE32" s="414"/>
      <c r="JWF32" s="414"/>
      <c r="JWG32" s="414"/>
      <c r="JWH32" s="414"/>
      <c r="JWI32" s="414"/>
      <c r="JWJ32" s="414"/>
      <c r="JWK32" s="414"/>
      <c r="JWL32" s="414"/>
      <c r="JWM32" s="414"/>
      <c r="JWN32" s="414"/>
      <c r="JWO32" s="414"/>
      <c r="JWP32" s="414"/>
      <c r="JWQ32" s="414"/>
      <c r="JWR32" s="414"/>
      <c r="JWS32" s="414"/>
      <c r="JWT32" s="414"/>
      <c r="JWU32" s="414"/>
      <c r="JWV32" s="414"/>
      <c r="JWW32" s="414"/>
      <c r="JWX32" s="414"/>
      <c r="JWY32" s="414"/>
      <c r="JWZ32" s="414"/>
      <c r="JXA32" s="414"/>
      <c r="JXB32" s="414"/>
      <c r="JXC32" s="414"/>
      <c r="JXD32" s="414"/>
      <c r="JXE32" s="414"/>
      <c r="JXF32" s="414"/>
      <c r="JXG32" s="414"/>
      <c r="JXH32" s="414"/>
      <c r="JXI32" s="414"/>
      <c r="JXJ32" s="414"/>
      <c r="JXK32" s="414"/>
      <c r="JXL32" s="414"/>
      <c r="JXM32" s="414"/>
      <c r="JXN32" s="414"/>
      <c r="JXO32" s="414"/>
      <c r="JXP32" s="414"/>
      <c r="JXQ32" s="414"/>
      <c r="JXR32" s="414"/>
      <c r="JXS32" s="414"/>
      <c r="JXT32" s="414"/>
      <c r="JXU32" s="414"/>
      <c r="JXV32" s="414"/>
      <c r="JXW32" s="414"/>
      <c r="JXX32" s="414"/>
      <c r="JXY32" s="414"/>
      <c r="JXZ32" s="414"/>
      <c r="JYA32" s="414"/>
      <c r="JYB32" s="414"/>
      <c r="JYC32" s="414"/>
      <c r="JYD32" s="414"/>
      <c r="JYE32" s="414"/>
      <c r="JYF32" s="414"/>
      <c r="JYG32" s="414"/>
      <c r="JYH32" s="414"/>
      <c r="JYI32" s="414"/>
      <c r="JYJ32" s="414"/>
      <c r="JYK32" s="414"/>
      <c r="JYL32" s="414"/>
      <c r="JYM32" s="414"/>
      <c r="JYN32" s="414"/>
      <c r="JYO32" s="414"/>
      <c r="JYP32" s="414"/>
      <c r="JYQ32" s="414"/>
      <c r="JYR32" s="414"/>
      <c r="JYS32" s="414"/>
      <c r="JYT32" s="414"/>
      <c r="JYU32" s="414"/>
      <c r="JYV32" s="414"/>
      <c r="JYW32" s="414"/>
      <c r="JYX32" s="414"/>
      <c r="JYY32" s="414"/>
      <c r="JYZ32" s="414"/>
      <c r="JZA32" s="414"/>
      <c r="JZB32" s="414"/>
      <c r="JZC32" s="414"/>
      <c r="JZD32" s="414"/>
      <c r="JZE32" s="414"/>
      <c r="JZF32" s="414"/>
      <c r="JZG32" s="414"/>
      <c r="JZH32" s="414"/>
      <c r="JZI32" s="414"/>
      <c r="JZJ32" s="414"/>
      <c r="JZK32" s="414"/>
      <c r="JZL32" s="414"/>
      <c r="JZM32" s="414"/>
      <c r="JZN32" s="414"/>
      <c r="JZO32" s="414"/>
      <c r="JZP32" s="414"/>
      <c r="JZQ32" s="414"/>
      <c r="JZR32" s="414"/>
      <c r="JZS32" s="414"/>
      <c r="JZT32" s="414"/>
      <c r="JZU32" s="414"/>
      <c r="JZV32" s="414"/>
      <c r="JZW32" s="414"/>
      <c r="JZX32" s="414"/>
      <c r="JZY32" s="414"/>
      <c r="JZZ32" s="414"/>
      <c r="KAA32" s="414"/>
      <c r="KAB32" s="414"/>
      <c r="KAC32" s="414"/>
      <c r="KAD32" s="414"/>
      <c r="KAE32" s="414"/>
      <c r="KAF32" s="414"/>
      <c r="KAG32" s="414"/>
      <c r="KAH32" s="414"/>
      <c r="KAI32" s="414"/>
      <c r="KAJ32" s="414"/>
      <c r="KAK32" s="414"/>
      <c r="KAL32" s="414"/>
      <c r="KAM32" s="414"/>
      <c r="KAN32" s="414"/>
      <c r="KAO32" s="414"/>
      <c r="KAP32" s="414"/>
      <c r="KAQ32" s="414"/>
      <c r="KAR32" s="414"/>
      <c r="KAS32" s="414"/>
      <c r="KAT32" s="414"/>
      <c r="KAU32" s="414"/>
      <c r="KAV32" s="414"/>
      <c r="KAW32" s="414"/>
      <c r="KAX32" s="414"/>
      <c r="KAY32" s="414"/>
      <c r="KAZ32" s="414"/>
      <c r="KBA32" s="414"/>
      <c r="KBB32" s="414"/>
      <c r="KBC32" s="414"/>
      <c r="KBD32" s="414"/>
      <c r="KBE32" s="414"/>
      <c r="KBF32" s="414"/>
      <c r="KBG32" s="414"/>
      <c r="KBH32" s="414"/>
      <c r="KBI32" s="414"/>
      <c r="KBJ32" s="414"/>
      <c r="KBK32" s="414"/>
      <c r="KBL32" s="414"/>
      <c r="KBM32" s="414"/>
      <c r="KBN32" s="414"/>
      <c r="KBO32" s="414"/>
      <c r="KBP32" s="414"/>
      <c r="KBQ32" s="414"/>
      <c r="KBR32" s="414"/>
      <c r="KBS32" s="414"/>
      <c r="KBT32" s="414"/>
      <c r="KBU32" s="414"/>
      <c r="KBV32" s="414"/>
      <c r="KBW32" s="414"/>
      <c r="KBX32" s="414"/>
      <c r="KBY32" s="414"/>
      <c r="KBZ32" s="414"/>
      <c r="KCA32" s="414"/>
      <c r="KCB32" s="414"/>
      <c r="KCC32" s="414"/>
      <c r="KCD32" s="414"/>
      <c r="KCE32" s="414"/>
      <c r="KCF32" s="414"/>
      <c r="KCG32" s="414"/>
      <c r="KCH32" s="414"/>
      <c r="KCI32" s="414"/>
      <c r="KCJ32" s="414"/>
      <c r="KCK32" s="414"/>
      <c r="KCL32" s="414"/>
      <c r="KCM32" s="414"/>
      <c r="KCN32" s="414"/>
      <c r="KCO32" s="414"/>
      <c r="KCP32" s="414"/>
      <c r="KCQ32" s="414"/>
      <c r="KCR32" s="414"/>
      <c r="KCS32" s="414"/>
      <c r="KCT32" s="414"/>
      <c r="KCU32" s="414"/>
      <c r="KCV32" s="414"/>
      <c r="KCW32" s="414"/>
      <c r="KCX32" s="414"/>
      <c r="KCY32" s="414"/>
      <c r="KCZ32" s="414"/>
      <c r="KDA32" s="414"/>
      <c r="KDB32" s="414"/>
      <c r="KDC32" s="414"/>
      <c r="KDD32" s="414"/>
      <c r="KDE32" s="414"/>
      <c r="KDF32" s="414"/>
      <c r="KDG32" s="414"/>
      <c r="KDH32" s="414"/>
      <c r="KDI32" s="414"/>
      <c r="KDJ32" s="414"/>
      <c r="KDK32" s="414"/>
      <c r="KDL32" s="414"/>
      <c r="KDM32" s="414"/>
      <c r="KDN32" s="414"/>
      <c r="KDO32" s="414"/>
      <c r="KDP32" s="414"/>
      <c r="KDQ32" s="414"/>
      <c r="KDR32" s="414"/>
      <c r="KDS32" s="414"/>
      <c r="KDT32" s="414"/>
      <c r="KDU32" s="414"/>
      <c r="KDV32" s="414"/>
      <c r="KDW32" s="414"/>
      <c r="KDX32" s="414"/>
      <c r="KDY32" s="414"/>
      <c r="KDZ32" s="414"/>
      <c r="KEA32" s="414"/>
      <c r="KEB32" s="414"/>
      <c r="KEC32" s="414"/>
      <c r="KED32" s="414"/>
      <c r="KEE32" s="414"/>
      <c r="KEF32" s="414"/>
      <c r="KEG32" s="414"/>
      <c r="KEH32" s="414"/>
      <c r="KEI32" s="414"/>
      <c r="KEJ32" s="414"/>
      <c r="KEK32" s="414"/>
      <c r="KEL32" s="414"/>
      <c r="KEM32" s="414"/>
      <c r="KEN32" s="414"/>
      <c r="KEO32" s="414"/>
      <c r="KEP32" s="414"/>
      <c r="KEQ32" s="414"/>
      <c r="KER32" s="414"/>
      <c r="KES32" s="414"/>
      <c r="KET32" s="414"/>
      <c r="KEU32" s="414"/>
      <c r="KEV32" s="414"/>
      <c r="KEW32" s="414"/>
      <c r="KEX32" s="414"/>
      <c r="KEY32" s="414"/>
      <c r="KEZ32" s="414"/>
      <c r="KFA32" s="414"/>
      <c r="KFB32" s="414"/>
      <c r="KFC32" s="414"/>
      <c r="KFD32" s="414"/>
      <c r="KFE32" s="414"/>
      <c r="KFF32" s="414"/>
      <c r="KFG32" s="414"/>
      <c r="KFH32" s="414"/>
      <c r="KFI32" s="414"/>
      <c r="KFJ32" s="414"/>
      <c r="KFK32" s="414"/>
      <c r="KFL32" s="414"/>
      <c r="KFM32" s="414"/>
      <c r="KFN32" s="414"/>
      <c r="KFO32" s="414"/>
      <c r="KFP32" s="414"/>
      <c r="KFQ32" s="414"/>
      <c r="KFR32" s="414"/>
      <c r="KFS32" s="414"/>
      <c r="KFT32" s="414"/>
      <c r="KFU32" s="414"/>
      <c r="KFV32" s="414"/>
      <c r="KFW32" s="414"/>
      <c r="KFX32" s="414"/>
      <c r="KFY32" s="414"/>
      <c r="KFZ32" s="414"/>
      <c r="KGA32" s="414"/>
      <c r="KGB32" s="414"/>
      <c r="KGC32" s="414"/>
      <c r="KGD32" s="414"/>
      <c r="KGE32" s="414"/>
      <c r="KGF32" s="414"/>
      <c r="KGG32" s="414"/>
      <c r="KGH32" s="414"/>
      <c r="KGI32" s="414"/>
      <c r="KGJ32" s="414"/>
      <c r="KGK32" s="414"/>
      <c r="KGL32" s="414"/>
      <c r="KGM32" s="414"/>
      <c r="KGN32" s="414"/>
      <c r="KGO32" s="414"/>
      <c r="KGP32" s="414"/>
      <c r="KGQ32" s="414"/>
      <c r="KGR32" s="414"/>
      <c r="KGS32" s="414"/>
      <c r="KGT32" s="414"/>
      <c r="KGU32" s="414"/>
      <c r="KGV32" s="414"/>
      <c r="KGW32" s="414"/>
      <c r="KGX32" s="414"/>
      <c r="KGY32" s="414"/>
      <c r="KGZ32" s="414"/>
      <c r="KHA32" s="414"/>
      <c r="KHB32" s="414"/>
      <c r="KHC32" s="414"/>
      <c r="KHD32" s="414"/>
      <c r="KHE32" s="414"/>
      <c r="KHF32" s="414"/>
      <c r="KHG32" s="414"/>
      <c r="KHH32" s="414"/>
      <c r="KHI32" s="414"/>
      <c r="KHJ32" s="414"/>
      <c r="KHK32" s="414"/>
      <c r="KHL32" s="414"/>
      <c r="KHM32" s="414"/>
      <c r="KHN32" s="414"/>
      <c r="KHO32" s="414"/>
      <c r="KHP32" s="414"/>
      <c r="KHQ32" s="414"/>
      <c r="KHR32" s="414"/>
      <c r="KHS32" s="414"/>
      <c r="KHT32" s="414"/>
      <c r="KHU32" s="414"/>
      <c r="KHV32" s="414"/>
      <c r="KHW32" s="414"/>
      <c r="KHX32" s="414"/>
      <c r="KHY32" s="414"/>
      <c r="KHZ32" s="414"/>
      <c r="KIA32" s="414"/>
      <c r="KIB32" s="414"/>
      <c r="KIC32" s="414"/>
      <c r="KID32" s="414"/>
      <c r="KIE32" s="414"/>
      <c r="KIF32" s="414"/>
      <c r="KIG32" s="414"/>
      <c r="KIH32" s="414"/>
      <c r="KII32" s="414"/>
      <c r="KIJ32" s="414"/>
      <c r="KIK32" s="414"/>
      <c r="KIL32" s="414"/>
      <c r="KIM32" s="414"/>
      <c r="KIN32" s="414"/>
      <c r="KIO32" s="414"/>
      <c r="KIP32" s="414"/>
      <c r="KIQ32" s="414"/>
      <c r="KIR32" s="414"/>
      <c r="KIS32" s="414"/>
      <c r="KIT32" s="414"/>
      <c r="KIU32" s="414"/>
      <c r="KIV32" s="414"/>
      <c r="KIW32" s="414"/>
      <c r="KIX32" s="414"/>
      <c r="KIY32" s="414"/>
      <c r="KIZ32" s="414"/>
      <c r="KJA32" s="414"/>
      <c r="KJB32" s="414"/>
      <c r="KJC32" s="414"/>
      <c r="KJD32" s="414"/>
      <c r="KJE32" s="414"/>
      <c r="KJF32" s="414"/>
      <c r="KJG32" s="414"/>
      <c r="KJH32" s="414"/>
      <c r="KJI32" s="414"/>
      <c r="KJJ32" s="414"/>
      <c r="KJK32" s="414"/>
      <c r="KJL32" s="414"/>
      <c r="KJM32" s="414"/>
      <c r="KJN32" s="414"/>
      <c r="KJO32" s="414"/>
      <c r="KJP32" s="414"/>
      <c r="KJQ32" s="414"/>
      <c r="KJR32" s="414"/>
      <c r="KJS32" s="414"/>
      <c r="KJT32" s="414"/>
      <c r="KJU32" s="414"/>
      <c r="KJV32" s="414"/>
      <c r="KJW32" s="414"/>
      <c r="KJX32" s="414"/>
      <c r="KJY32" s="414"/>
      <c r="KJZ32" s="414"/>
      <c r="KKA32" s="414"/>
      <c r="KKB32" s="414"/>
      <c r="KKC32" s="414"/>
      <c r="KKD32" s="414"/>
      <c r="KKE32" s="414"/>
      <c r="KKF32" s="414"/>
      <c r="KKG32" s="414"/>
      <c r="KKH32" s="414"/>
      <c r="KKI32" s="414"/>
      <c r="KKJ32" s="414"/>
      <c r="KKK32" s="414"/>
      <c r="KKL32" s="414"/>
      <c r="KKM32" s="414"/>
      <c r="KKN32" s="414"/>
      <c r="KKO32" s="414"/>
      <c r="KKP32" s="414"/>
      <c r="KKQ32" s="414"/>
      <c r="KKR32" s="414"/>
      <c r="KKS32" s="414"/>
      <c r="KKT32" s="414"/>
      <c r="KKU32" s="414"/>
      <c r="KKV32" s="414"/>
      <c r="KKW32" s="414"/>
      <c r="KKX32" s="414"/>
      <c r="KKY32" s="414"/>
      <c r="KKZ32" s="414"/>
      <c r="KLA32" s="414"/>
      <c r="KLB32" s="414"/>
      <c r="KLC32" s="414"/>
      <c r="KLD32" s="414"/>
      <c r="KLE32" s="414"/>
      <c r="KLF32" s="414"/>
      <c r="KLG32" s="414"/>
      <c r="KLH32" s="414"/>
      <c r="KLI32" s="414"/>
      <c r="KLJ32" s="414"/>
      <c r="KLK32" s="414"/>
      <c r="KLL32" s="414"/>
      <c r="KLM32" s="414"/>
      <c r="KLN32" s="414"/>
      <c r="KLO32" s="414"/>
      <c r="KLP32" s="414"/>
      <c r="KLQ32" s="414"/>
      <c r="KLR32" s="414"/>
      <c r="KLS32" s="414"/>
      <c r="KLT32" s="414"/>
      <c r="KLU32" s="414"/>
      <c r="KLV32" s="414"/>
      <c r="KLW32" s="414"/>
      <c r="KLX32" s="414"/>
      <c r="KLY32" s="414"/>
      <c r="KLZ32" s="414"/>
      <c r="KMA32" s="414"/>
      <c r="KMB32" s="414"/>
      <c r="KMC32" s="414"/>
      <c r="KMD32" s="414"/>
      <c r="KME32" s="414"/>
      <c r="KMF32" s="414"/>
      <c r="KMG32" s="414"/>
      <c r="KMH32" s="414"/>
      <c r="KMI32" s="414"/>
      <c r="KMJ32" s="414"/>
      <c r="KMK32" s="414"/>
      <c r="KML32" s="414"/>
      <c r="KMM32" s="414"/>
      <c r="KMN32" s="414"/>
      <c r="KMO32" s="414"/>
      <c r="KMP32" s="414"/>
      <c r="KMQ32" s="414"/>
      <c r="KMR32" s="414"/>
      <c r="KMS32" s="414"/>
      <c r="KMT32" s="414"/>
      <c r="KMU32" s="414"/>
      <c r="KMV32" s="414"/>
      <c r="KMW32" s="414"/>
      <c r="KMX32" s="414"/>
      <c r="KMY32" s="414"/>
      <c r="KMZ32" s="414"/>
      <c r="KNA32" s="414"/>
      <c r="KNB32" s="414"/>
      <c r="KNC32" s="414"/>
      <c r="KND32" s="414"/>
      <c r="KNE32" s="414"/>
      <c r="KNF32" s="414"/>
      <c r="KNG32" s="414"/>
      <c r="KNH32" s="414"/>
      <c r="KNI32" s="414"/>
      <c r="KNJ32" s="414"/>
      <c r="KNK32" s="414"/>
      <c r="KNL32" s="414"/>
      <c r="KNM32" s="414"/>
      <c r="KNN32" s="414"/>
      <c r="KNO32" s="414"/>
      <c r="KNP32" s="414"/>
      <c r="KNQ32" s="414"/>
      <c r="KNR32" s="414"/>
      <c r="KNS32" s="414"/>
      <c r="KNT32" s="414"/>
      <c r="KNU32" s="414"/>
      <c r="KNV32" s="414"/>
      <c r="KNW32" s="414"/>
      <c r="KNX32" s="414"/>
      <c r="KNY32" s="414"/>
      <c r="KNZ32" s="414"/>
      <c r="KOA32" s="414"/>
      <c r="KOB32" s="414"/>
      <c r="KOC32" s="414"/>
      <c r="KOD32" s="414"/>
      <c r="KOE32" s="414"/>
      <c r="KOF32" s="414"/>
      <c r="KOG32" s="414"/>
      <c r="KOH32" s="414"/>
      <c r="KOI32" s="414"/>
      <c r="KOJ32" s="414"/>
      <c r="KOK32" s="414"/>
      <c r="KOL32" s="414"/>
      <c r="KOM32" s="414"/>
      <c r="KON32" s="414"/>
      <c r="KOO32" s="414"/>
      <c r="KOP32" s="414"/>
      <c r="KOQ32" s="414"/>
      <c r="KOR32" s="414"/>
      <c r="KOS32" s="414"/>
      <c r="KOT32" s="414"/>
      <c r="KOU32" s="414"/>
      <c r="KOV32" s="414"/>
      <c r="KOW32" s="414"/>
      <c r="KOX32" s="414"/>
      <c r="KOY32" s="414"/>
      <c r="KOZ32" s="414"/>
      <c r="KPA32" s="414"/>
      <c r="KPB32" s="414"/>
      <c r="KPC32" s="414"/>
      <c r="KPD32" s="414"/>
      <c r="KPE32" s="414"/>
      <c r="KPF32" s="414"/>
      <c r="KPG32" s="414"/>
      <c r="KPH32" s="414"/>
      <c r="KPI32" s="414"/>
      <c r="KPJ32" s="414"/>
      <c r="KPK32" s="414"/>
      <c r="KPL32" s="414"/>
      <c r="KPM32" s="414"/>
      <c r="KPN32" s="414"/>
      <c r="KPO32" s="414"/>
      <c r="KPP32" s="414"/>
      <c r="KPQ32" s="414"/>
      <c r="KPR32" s="414"/>
      <c r="KPS32" s="414"/>
      <c r="KPT32" s="414"/>
      <c r="KPU32" s="414"/>
      <c r="KPV32" s="414"/>
      <c r="KPW32" s="414"/>
      <c r="KPX32" s="414"/>
      <c r="KPY32" s="414"/>
      <c r="KPZ32" s="414"/>
      <c r="KQA32" s="414"/>
      <c r="KQB32" s="414"/>
      <c r="KQC32" s="414"/>
      <c r="KQD32" s="414"/>
      <c r="KQE32" s="414"/>
      <c r="KQF32" s="414"/>
      <c r="KQG32" s="414"/>
      <c r="KQH32" s="414"/>
      <c r="KQI32" s="414"/>
      <c r="KQJ32" s="414"/>
      <c r="KQK32" s="414"/>
      <c r="KQL32" s="414"/>
      <c r="KQM32" s="414"/>
      <c r="KQN32" s="414"/>
      <c r="KQO32" s="414"/>
      <c r="KQP32" s="414"/>
      <c r="KQQ32" s="414"/>
      <c r="KQR32" s="414"/>
      <c r="KQS32" s="414"/>
      <c r="KQT32" s="414"/>
      <c r="KQU32" s="414"/>
      <c r="KQV32" s="414"/>
      <c r="KQW32" s="414"/>
      <c r="KQX32" s="414"/>
      <c r="KQY32" s="414"/>
      <c r="KQZ32" s="414"/>
      <c r="KRA32" s="414"/>
      <c r="KRB32" s="414"/>
      <c r="KRC32" s="414"/>
      <c r="KRD32" s="414"/>
      <c r="KRE32" s="414"/>
      <c r="KRF32" s="414"/>
      <c r="KRG32" s="414"/>
      <c r="KRH32" s="414"/>
      <c r="KRI32" s="414"/>
      <c r="KRJ32" s="414"/>
      <c r="KRK32" s="414"/>
      <c r="KRL32" s="414"/>
      <c r="KRM32" s="414"/>
      <c r="KRN32" s="414"/>
      <c r="KRO32" s="414"/>
      <c r="KRP32" s="414"/>
      <c r="KRQ32" s="414"/>
      <c r="KRR32" s="414"/>
      <c r="KRS32" s="414"/>
      <c r="KRT32" s="414"/>
      <c r="KRU32" s="414"/>
      <c r="KRV32" s="414"/>
      <c r="KRW32" s="414"/>
      <c r="KRX32" s="414"/>
      <c r="KRY32" s="414"/>
      <c r="KRZ32" s="414"/>
      <c r="KSA32" s="414"/>
      <c r="KSB32" s="414"/>
      <c r="KSC32" s="414"/>
      <c r="KSD32" s="414"/>
      <c r="KSE32" s="414"/>
      <c r="KSF32" s="414"/>
      <c r="KSG32" s="414"/>
      <c r="KSH32" s="414"/>
      <c r="KSI32" s="414"/>
      <c r="KSJ32" s="414"/>
      <c r="KSK32" s="414"/>
      <c r="KSL32" s="414"/>
      <c r="KSM32" s="414"/>
      <c r="KSN32" s="414"/>
      <c r="KSO32" s="414"/>
      <c r="KSP32" s="414"/>
      <c r="KSQ32" s="414"/>
      <c r="KSR32" s="414"/>
      <c r="KSS32" s="414"/>
      <c r="KST32" s="414"/>
      <c r="KSU32" s="414"/>
      <c r="KSV32" s="414"/>
      <c r="KSW32" s="414"/>
      <c r="KSX32" s="414"/>
      <c r="KSY32" s="414"/>
      <c r="KSZ32" s="414"/>
      <c r="KTA32" s="414"/>
      <c r="KTB32" s="414"/>
      <c r="KTC32" s="414"/>
      <c r="KTD32" s="414"/>
      <c r="KTE32" s="414"/>
      <c r="KTF32" s="414"/>
      <c r="KTG32" s="414"/>
      <c r="KTH32" s="414"/>
      <c r="KTI32" s="414"/>
      <c r="KTJ32" s="414"/>
      <c r="KTK32" s="414"/>
      <c r="KTL32" s="414"/>
      <c r="KTM32" s="414"/>
      <c r="KTN32" s="414"/>
      <c r="KTO32" s="414"/>
      <c r="KTP32" s="414"/>
      <c r="KTQ32" s="414"/>
      <c r="KTR32" s="414"/>
      <c r="KTS32" s="414"/>
      <c r="KTT32" s="414"/>
      <c r="KTU32" s="414"/>
      <c r="KTV32" s="414"/>
      <c r="KTW32" s="414"/>
      <c r="KTX32" s="414"/>
      <c r="KTY32" s="414"/>
      <c r="KTZ32" s="414"/>
      <c r="KUA32" s="414"/>
      <c r="KUB32" s="414"/>
      <c r="KUC32" s="414"/>
      <c r="KUD32" s="414"/>
      <c r="KUE32" s="414"/>
      <c r="KUF32" s="414"/>
      <c r="KUG32" s="414"/>
      <c r="KUH32" s="414"/>
      <c r="KUI32" s="414"/>
      <c r="KUJ32" s="414"/>
      <c r="KUK32" s="414"/>
      <c r="KUL32" s="414"/>
      <c r="KUM32" s="414"/>
      <c r="KUN32" s="414"/>
      <c r="KUO32" s="414"/>
      <c r="KUP32" s="414"/>
      <c r="KUQ32" s="414"/>
      <c r="KUR32" s="414"/>
      <c r="KUS32" s="414"/>
      <c r="KUT32" s="414"/>
      <c r="KUU32" s="414"/>
      <c r="KUV32" s="414"/>
      <c r="KUW32" s="414"/>
      <c r="KUX32" s="414"/>
      <c r="KUY32" s="414"/>
      <c r="KUZ32" s="414"/>
      <c r="KVA32" s="414"/>
      <c r="KVB32" s="414"/>
      <c r="KVC32" s="414"/>
      <c r="KVD32" s="414"/>
      <c r="KVE32" s="414"/>
      <c r="KVF32" s="414"/>
      <c r="KVG32" s="414"/>
      <c r="KVH32" s="414"/>
      <c r="KVI32" s="414"/>
      <c r="KVJ32" s="414"/>
      <c r="KVK32" s="414"/>
      <c r="KVL32" s="414"/>
      <c r="KVM32" s="414"/>
      <c r="KVN32" s="414"/>
      <c r="KVO32" s="414"/>
      <c r="KVP32" s="414"/>
      <c r="KVQ32" s="414"/>
      <c r="KVR32" s="414"/>
      <c r="KVS32" s="414"/>
      <c r="KVT32" s="414"/>
      <c r="KVU32" s="414"/>
      <c r="KVV32" s="414"/>
      <c r="KVW32" s="414"/>
      <c r="KVX32" s="414"/>
      <c r="KVY32" s="414"/>
      <c r="KVZ32" s="414"/>
      <c r="KWA32" s="414"/>
      <c r="KWB32" s="414"/>
      <c r="KWC32" s="414"/>
      <c r="KWD32" s="414"/>
      <c r="KWE32" s="414"/>
      <c r="KWF32" s="414"/>
      <c r="KWG32" s="414"/>
      <c r="KWH32" s="414"/>
      <c r="KWI32" s="414"/>
      <c r="KWJ32" s="414"/>
      <c r="KWK32" s="414"/>
      <c r="KWL32" s="414"/>
      <c r="KWM32" s="414"/>
      <c r="KWN32" s="414"/>
      <c r="KWO32" s="414"/>
      <c r="KWP32" s="414"/>
      <c r="KWQ32" s="414"/>
      <c r="KWR32" s="414"/>
      <c r="KWS32" s="414"/>
      <c r="KWT32" s="414"/>
      <c r="KWU32" s="414"/>
      <c r="KWV32" s="414"/>
      <c r="KWW32" s="414"/>
      <c r="KWX32" s="414"/>
      <c r="KWY32" s="414"/>
      <c r="KWZ32" s="414"/>
      <c r="KXA32" s="414"/>
      <c r="KXB32" s="414"/>
      <c r="KXC32" s="414"/>
      <c r="KXD32" s="414"/>
      <c r="KXE32" s="414"/>
      <c r="KXF32" s="414"/>
      <c r="KXG32" s="414"/>
      <c r="KXH32" s="414"/>
      <c r="KXI32" s="414"/>
      <c r="KXJ32" s="414"/>
      <c r="KXK32" s="414"/>
      <c r="KXL32" s="414"/>
      <c r="KXM32" s="414"/>
      <c r="KXN32" s="414"/>
      <c r="KXO32" s="414"/>
      <c r="KXP32" s="414"/>
      <c r="KXQ32" s="414"/>
      <c r="KXR32" s="414"/>
      <c r="KXS32" s="414"/>
      <c r="KXT32" s="414"/>
      <c r="KXU32" s="414"/>
      <c r="KXV32" s="414"/>
      <c r="KXW32" s="414"/>
      <c r="KXX32" s="414"/>
      <c r="KXY32" s="414"/>
      <c r="KXZ32" s="414"/>
      <c r="KYA32" s="414"/>
      <c r="KYB32" s="414"/>
      <c r="KYC32" s="414"/>
      <c r="KYD32" s="414"/>
      <c r="KYE32" s="414"/>
      <c r="KYF32" s="414"/>
      <c r="KYG32" s="414"/>
      <c r="KYH32" s="414"/>
      <c r="KYI32" s="414"/>
      <c r="KYJ32" s="414"/>
      <c r="KYK32" s="414"/>
      <c r="KYL32" s="414"/>
      <c r="KYM32" s="414"/>
      <c r="KYN32" s="414"/>
      <c r="KYO32" s="414"/>
      <c r="KYP32" s="414"/>
      <c r="KYQ32" s="414"/>
      <c r="KYR32" s="414"/>
      <c r="KYS32" s="414"/>
      <c r="KYT32" s="414"/>
      <c r="KYU32" s="414"/>
      <c r="KYV32" s="414"/>
      <c r="KYW32" s="414"/>
      <c r="KYX32" s="414"/>
      <c r="KYY32" s="414"/>
      <c r="KYZ32" s="414"/>
      <c r="KZA32" s="414"/>
      <c r="KZB32" s="414"/>
      <c r="KZC32" s="414"/>
      <c r="KZD32" s="414"/>
      <c r="KZE32" s="414"/>
      <c r="KZF32" s="414"/>
      <c r="KZG32" s="414"/>
      <c r="KZH32" s="414"/>
      <c r="KZI32" s="414"/>
      <c r="KZJ32" s="414"/>
      <c r="KZK32" s="414"/>
      <c r="KZL32" s="414"/>
      <c r="KZM32" s="414"/>
      <c r="KZN32" s="414"/>
      <c r="KZO32" s="414"/>
      <c r="KZP32" s="414"/>
      <c r="KZQ32" s="414"/>
      <c r="KZR32" s="414"/>
      <c r="KZS32" s="414"/>
      <c r="KZT32" s="414"/>
      <c r="KZU32" s="414"/>
      <c r="KZV32" s="414"/>
      <c r="KZW32" s="414"/>
      <c r="KZX32" s="414"/>
      <c r="KZY32" s="414"/>
      <c r="KZZ32" s="414"/>
      <c r="LAA32" s="414"/>
      <c r="LAB32" s="414"/>
      <c r="LAC32" s="414"/>
      <c r="LAD32" s="414"/>
      <c r="LAE32" s="414"/>
      <c r="LAF32" s="414"/>
      <c r="LAG32" s="414"/>
      <c r="LAH32" s="414"/>
      <c r="LAI32" s="414"/>
      <c r="LAJ32" s="414"/>
      <c r="LAK32" s="414"/>
      <c r="LAL32" s="414"/>
      <c r="LAM32" s="414"/>
      <c r="LAN32" s="414"/>
      <c r="LAO32" s="414"/>
      <c r="LAP32" s="414"/>
      <c r="LAQ32" s="414"/>
      <c r="LAR32" s="414"/>
      <c r="LAS32" s="414"/>
      <c r="LAT32" s="414"/>
      <c r="LAU32" s="414"/>
      <c r="LAV32" s="414"/>
      <c r="LAW32" s="414"/>
      <c r="LAX32" s="414"/>
      <c r="LAY32" s="414"/>
      <c r="LAZ32" s="414"/>
      <c r="LBA32" s="414"/>
      <c r="LBB32" s="414"/>
      <c r="LBC32" s="414"/>
      <c r="LBD32" s="414"/>
      <c r="LBE32" s="414"/>
      <c r="LBF32" s="414"/>
      <c r="LBG32" s="414"/>
      <c r="LBH32" s="414"/>
      <c r="LBI32" s="414"/>
      <c r="LBJ32" s="414"/>
      <c r="LBK32" s="414"/>
      <c r="LBL32" s="414"/>
      <c r="LBM32" s="414"/>
      <c r="LBN32" s="414"/>
      <c r="LBO32" s="414"/>
      <c r="LBP32" s="414"/>
      <c r="LBQ32" s="414"/>
      <c r="LBR32" s="414"/>
      <c r="LBS32" s="414"/>
      <c r="LBT32" s="414"/>
      <c r="LBU32" s="414"/>
      <c r="LBV32" s="414"/>
      <c r="LBW32" s="414"/>
      <c r="LBX32" s="414"/>
      <c r="LBY32" s="414"/>
      <c r="LBZ32" s="414"/>
      <c r="LCA32" s="414"/>
      <c r="LCB32" s="414"/>
      <c r="LCC32" s="414"/>
      <c r="LCD32" s="414"/>
      <c r="LCE32" s="414"/>
      <c r="LCF32" s="414"/>
      <c r="LCG32" s="414"/>
      <c r="LCH32" s="414"/>
      <c r="LCI32" s="414"/>
      <c r="LCJ32" s="414"/>
      <c r="LCK32" s="414"/>
      <c r="LCL32" s="414"/>
      <c r="LCM32" s="414"/>
      <c r="LCN32" s="414"/>
      <c r="LCO32" s="414"/>
      <c r="LCP32" s="414"/>
      <c r="LCQ32" s="414"/>
      <c r="LCR32" s="414"/>
      <c r="LCS32" s="414"/>
      <c r="LCT32" s="414"/>
      <c r="LCU32" s="414"/>
      <c r="LCV32" s="414"/>
      <c r="LCW32" s="414"/>
      <c r="LCX32" s="414"/>
      <c r="LCY32" s="414"/>
      <c r="LCZ32" s="414"/>
      <c r="LDA32" s="414"/>
      <c r="LDB32" s="414"/>
      <c r="LDC32" s="414"/>
      <c r="LDD32" s="414"/>
      <c r="LDE32" s="414"/>
      <c r="LDF32" s="414"/>
      <c r="LDG32" s="414"/>
      <c r="LDH32" s="414"/>
      <c r="LDI32" s="414"/>
      <c r="LDJ32" s="414"/>
      <c r="LDK32" s="414"/>
      <c r="LDL32" s="414"/>
      <c r="LDM32" s="414"/>
      <c r="LDN32" s="414"/>
      <c r="LDO32" s="414"/>
      <c r="LDP32" s="414"/>
      <c r="LDQ32" s="414"/>
      <c r="LDR32" s="414"/>
      <c r="LDS32" s="414"/>
      <c r="LDT32" s="414"/>
      <c r="LDU32" s="414"/>
      <c r="LDV32" s="414"/>
      <c r="LDW32" s="414"/>
      <c r="LDX32" s="414"/>
      <c r="LDY32" s="414"/>
      <c r="LDZ32" s="414"/>
      <c r="LEA32" s="414"/>
      <c r="LEB32" s="414"/>
      <c r="LEC32" s="414"/>
      <c r="LED32" s="414"/>
      <c r="LEE32" s="414"/>
      <c r="LEF32" s="414"/>
      <c r="LEG32" s="414"/>
      <c r="LEH32" s="414"/>
      <c r="LEI32" s="414"/>
      <c r="LEJ32" s="414"/>
      <c r="LEK32" s="414"/>
      <c r="LEL32" s="414"/>
      <c r="LEM32" s="414"/>
      <c r="LEN32" s="414"/>
      <c r="LEO32" s="414"/>
      <c r="LEP32" s="414"/>
      <c r="LEQ32" s="414"/>
      <c r="LER32" s="414"/>
      <c r="LES32" s="414"/>
      <c r="LET32" s="414"/>
      <c r="LEU32" s="414"/>
      <c r="LEV32" s="414"/>
      <c r="LEW32" s="414"/>
      <c r="LEX32" s="414"/>
      <c r="LEY32" s="414"/>
      <c r="LEZ32" s="414"/>
      <c r="LFA32" s="414"/>
      <c r="LFB32" s="414"/>
      <c r="LFC32" s="414"/>
      <c r="LFD32" s="414"/>
      <c r="LFE32" s="414"/>
      <c r="LFF32" s="414"/>
      <c r="LFG32" s="414"/>
      <c r="LFH32" s="414"/>
      <c r="LFI32" s="414"/>
      <c r="LFJ32" s="414"/>
      <c r="LFK32" s="414"/>
      <c r="LFL32" s="414"/>
      <c r="LFM32" s="414"/>
      <c r="LFN32" s="414"/>
      <c r="LFO32" s="414"/>
      <c r="LFP32" s="414"/>
      <c r="LFQ32" s="414"/>
      <c r="LFR32" s="414"/>
      <c r="LFS32" s="414"/>
      <c r="LFT32" s="414"/>
      <c r="LFU32" s="414"/>
      <c r="LFV32" s="414"/>
      <c r="LFW32" s="414"/>
      <c r="LFX32" s="414"/>
      <c r="LFY32" s="414"/>
      <c r="LFZ32" s="414"/>
      <c r="LGA32" s="414"/>
      <c r="LGB32" s="414"/>
      <c r="LGC32" s="414"/>
      <c r="LGD32" s="414"/>
      <c r="LGE32" s="414"/>
      <c r="LGF32" s="414"/>
      <c r="LGG32" s="414"/>
      <c r="LGH32" s="414"/>
      <c r="LGI32" s="414"/>
      <c r="LGJ32" s="414"/>
      <c r="LGK32" s="414"/>
      <c r="LGL32" s="414"/>
      <c r="LGM32" s="414"/>
      <c r="LGN32" s="414"/>
      <c r="LGO32" s="414"/>
      <c r="LGP32" s="414"/>
      <c r="LGQ32" s="414"/>
      <c r="LGR32" s="414"/>
      <c r="LGS32" s="414"/>
      <c r="LGT32" s="414"/>
      <c r="LGU32" s="414"/>
      <c r="LGV32" s="414"/>
      <c r="LGW32" s="414"/>
      <c r="LGX32" s="414"/>
      <c r="LGY32" s="414"/>
      <c r="LGZ32" s="414"/>
      <c r="LHA32" s="414"/>
      <c r="LHB32" s="414"/>
      <c r="LHC32" s="414"/>
      <c r="LHD32" s="414"/>
      <c r="LHE32" s="414"/>
      <c r="LHF32" s="414"/>
      <c r="LHG32" s="414"/>
      <c r="LHH32" s="414"/>
      <c r="LHI32" s="414"/>
      <c r="LHJ32" s="414"/>
      <c r="LHK32" s="414"/>
      <c r="LHL32" s="414"/>
      <c r="LHM32" s="414"/>
      <c r="LHN32" s="414"/>
      <c r="LHO32" s="414"/>
      <c r="LHP32" s="414"/>
      <c r="LHQ32" s="414"/>
      <c r="LHR32" s="414"/>
      <c r="LHS32" s="414"/>
      <c r="LHT32" s="414"/>
      <c r="LHU32" s="414"/>
      <c r="LHV32" s="414"/>
      <c r="LHW32" s="414"/>
      <c r="LHX32" s="414"/>
      <c r="LHY32" s="414"/>
      <c r="LHZ32" s="414"/>
      <c r="LIA32" s="414"/>
      <c r="LIB32" s="414"/>
      <c r="LIC32" s="414"/>
      <c r="LID32" s="414"/>
      <c r="LIE32" s="414"/>
      <c r="LIF32" s="414"/>
      <c r="LIG32" s="414"/>
      <c r="LIH32" s="414"/>
      <c r="LII32" s="414"/>
      <c r="LIJ32" s="414"/>
      <c r="LIK32" s="414"/>
      <c r="LIL32" s="414"/>
      <c r="LIM32" s="414"/>
      <c r="LIN32" s="414"/>
      <c r="LIO32" s="414"/>
      <c r="LIP32" s="414"/>
      <c r="LIQ32" s="414"/>
      <c r="LIR32" s="414"/>
      <c r="LIS32" s="414"/>
      <c r="LIT32" s="414"/>
      <c r="LIU32" s="414"/>
      <c r="LIV32" s="414"/>
      <c r="LIW32" s="414"/>
      <c r="LIX32" s="414"/>
      <c r="LIY32" s="414"/>
      <c r="LIZ32" s="414"/>
      <c r="LJA32" s="414"/>
      <c r="LJB32" s="414"/>
      <c r="LJC32" s="414"/>
      <c r="LJD32" s="414"/>
      <c r="LJE32" s="414"/>
      <c r="LJF32" s="414"/>
      <c r="LJG32" s="414"/>
      <c r="LJH32" s="414"/>
      <c r="LJI32" s="414"/>
      <c r="LJJ32" s="414"/>
      <c r="LJK32" s="414"/>
      <c r="LJL32" s="414"/>
      <c r="LJM32" s="414"/>
      <c r="LJN32" s="414"/>
      <c r="LJO32" s="414"/>
      <c r="LJP32" s="414"/>
      <c r="LJQ32" s="414"/>
      <c r="LJR32" s="414"/>
      <c r="LJS32" s="414"/>
      <c r="LJT32" s="414"/>
      <c r="LJU32" s="414"/>
      <c r="LJV32" s="414"/>
      <c r="LJW32" s="414"/>
      <c r="LJX32" s="414"/>
      <c r="LJY32" s="414"/>
      <c r="LJZ32" s="414"/>
      <c r="LKA32" s="414"/>
      <c r="LKB32" s="414"/>
      <c r="LKC32" s="414"/>
      <c r="LKD32" s="414"/>
      <c r="LKE32" s="414"/>
      <c r="LKF32" s="414"/>
      <c r="LKG32" s="414"/>
      <c r="LKH32" s="414"/>
      <c r="LKI32" s="414"/>
      <c r="LKJ32" s="414"/>
      <c r="LKK32" s="414"/>
      <c r="LKL32" s="414"/>
      <c r="LKM32" s="414"/>
      <c r="LKN32" s="414"/>
      <c r="LKO32" s="414"/>
      <c r="LKP32" s="414"/>
      <c r="LKQ32" s="414"/>
      <c r="LKR32" s="414"/>
      <c r="LKS32" s="414"/>
      <c r="LKT32" s="414"/>
      <c r="LKU32" s="414"/>
      <c r="LKV32" s="414"/>
      <c r="LKW32" s="414"/>
      <c r="LKX32" s="414"/>
      <c r="LKY32" s="414"/>
      <c r="LKZ32" s="414"/>
      <c r="LLA32" s="414"/>
      <c r="LLB32" s="414"/>
      <c r="LLC32" s="414"/>
      <c r="LLD32" s="414"/>
      <c r="LLE32" s="414"/>
      <c r="LLF32" s="414"/>
      <c r="LLG32" s="414"/>
      <c r="LLH32" s="414"/>
      <c r="LLI32" s="414"/>
      <c r="LLJ32" s="414"/>
      <c r="LLK32" s="414"/>
      <c r="LLL32" s="414"/>
      <c r="LLM32" s="414"/>
      <c r="LLN32" s="414"/>
      <c r="LLO32" s="414"/>
      <c r="LLP32" s="414"/>
      <c r="LLQ32" s="414"/>
      <c r="LLR32" s="414"/>
      <c r="LLS32" s="414"/>
      <c r="LLT32" s="414"/>
      <c r="LLU32" s="414"/>
      <c r="LLV32" s="414"/>
      <c r="LLW32" s="414"/>
      <c r="LLX32" s="414"/>
      <c r="LLY32" s="414"/>
      <c r="LLZ32" s="414"/>
      <c r="LMA32" s="414"/>
      <c r="LMB32" s="414"/>
      <c r="LMC32" s="414"/>
      <c r="LMD32" s="414"/>
      <c r="LME32" s="414"/>
      <c r="LMF32" s="414"/>
      <c r="LMG32" s="414"/>
      <c r="LMH32" s="414"/>
      <c r="LMI32" s="414"/>
      <c r="LMJ32" s="414"/>
      <c r="LMK32" s="414"/>
      <c r="LML32" s="414"/>
      <c r="LMM32" s="414"/>
      <c r="LMN32" s="414"/>
      <c r="LMO32" s="414"/>
      <c r="LMP32" s="414"/>
      <c r="LMQ32" s="414"/>
      <c r="LMR32" s="414"/>
      <c r="LMS32" s="414"/>
      <c r="LMT32" s="414"/>
      <c r="LMU32" s="414"/>
      <c r="LMV32" s="414"/>
      <c r="LMW32" s="414"/>
      <c r="LMX32" s="414"/>
      <c r="LMY32" s="414"/>
      <c r="LMZ32" s="414"/>
      <c r="LNA32" s="414"/>
      <c r="LNB32" s="414"/>
      <c r="LNC32" s="414"/>
      <c r="LND32" s="414"/>
      <c r="LNE32" s="414"/>
      <c r="LNF32" s="414"/>
      <c r="LNG32" s="414"/>
      <c r="LNH32" s="414"/>
      <c r="LNI32" s="414"/>
      <c r="LNJ32" s="414"/>
      <c r="LNK32" s="414"/>
      <c r="LNL32" s="414"/>
      <c r="LNM32" s="414"/>
      <c r="LNN32" s="414"/>
      <c r="LNO32" s="414"/>
      <c r="LNP32" s="414"/>
      <c r="LNQ32" s="414"/>
      <c r="LNR32" s="414"/>
      <c r="LNS32" s="414"/>
      <c r="LNT32" s="414"/>
      <c r="LNU32" s="414"/>
      <c r="LNV32" s="414"/>
      <c r="LNW32" s="414"/>
      <c r="LNX32" s="414"/>
      <c r="LNY32" s="414"/>
      <c r="LNZ32" s="414"/>
      <c r="LOA32" s="414"/>
      <c r="LOB32" s="414"/>
      <c r="LOC32" s="414"/>
      <c r="LOD32" s="414"/>
      <c r="LOE32" s="414"/>
      <c r="LOF32" s="414"/>
      <c r="LOG32" s="414"/>
      <c r="LOH32" s="414"/>
      <c r="LOI32" s="414"/>
      <c r="LOJ32" s="414"/>
      <c r="LOK32" s="414"/>
      <c r="LOL32" s="414"/>
      <c r="LOM32" s="414"/>
      <c r="LON32" s="414"/>
      <c r="LOO32" s="414"/>
      <c r="LOP32" s="414"/>
      <c r="LOQ32" s="414"/>
      <c r="LOR32" s="414"/>
      <c r="LOS32" s="414"/>
      <c r="LOT32" s="414"/>
      <c r="LOU32" s="414"/>
      <c r="LOV32" s="414"/>
      <c r="LOW32" s="414"/>
      <c r="LOX32" s="414"/>
      <c r="LOY32" s="414"/>
      <c r="LOZ32" s="414"/>
      <c r="LPA32" s="414"/>
      <c r="LPB32" s="414"/>
      <c r="LPC32" s="414"/>
      <c r="LPD32" s="414"/>
      <c r="LPE32" s="414"/>
      <c r="LPF32" s="414"/>
      <c r="LPG32" s="414"/>
      <c r="LPH32" s="414"/>
      <c r="LPI32" s="414"/>
      <c r="LPJ32" s="414"/>
      <c r="LPK32" s="414"/>
      <c r="LPL32" s="414"/>
      <c r="LPM32" s="414"/>
      <c r="LPN32" s="414"/>
      <c r="LPO32" s="414"/>
      <c r="LPP32" s="414"/>
      <c r="LPQ32" s="414"/>
      <c r="LPR32" s="414"/>
      <c r="LPS32" s="414"/>
      <c r="LPT32" s="414"/>
      <c r="LPU32" s="414"/>
      <c r="LPV32" s="414"/>
      <c r="LPW32" s="414"/>
      <c r="LPX32" s="414"/>
      <c r="LPY32" s="414"/>
      <c r="LPZ32" s="414"/>
      <c r="LQA32" s="414"/>
      <c r="LQB32" s="414"/>
      <c r="LQC32" s="414"/>
      <c r="LQD32" s="414"/>
      <c r="LQE32" s="414"/>
      <c r="LQF32" s="414"/>
      <c r="LQG32" s="414"/>
      <c r="LQH32" s="414"/>
      <c r="LQI32" s="414"/>
      <c r="LQJ32" s="414"/>
      <c r="LQK32" s="414"/>
      <c r="LQL32" s="414"/>
      <c r="LQM32" s="414"/>
      <c r="LQN32" s="414"/>
      <c r="LQO32" s="414"/>
      <c r="LQP32" s="414"/>
      <c r="LQQ32" s="414"/>
      <c r="LQR32" s="414"/>
      <c r="LQS32" s="414"/>
      <c r="LQT32" s="414"/>
      <c r="LQU32" s="414"/>
      <c r="LQV32" s="414"/>
      <c r="LQW32" s="414"/>
      <c r="LQX32" s="414"/>
      <c r="LQY32" s="414"/>
      <c r="LQZ32" s="414"/>
      <c r="LRA32" s="414"/>
      <c r="LRB32" s="414"/>
      <c r="LRC32" s="414"/>
      <c r="LRD32" s="414"/>
      <c r="LRE32" s="414"/>
      <c r="LRF32" s="414"/>
      <c r="LRG32" s="414"/>
      <c r="LRH32" s="414"/>
      <c r="LRI32" s="414"/>
      <c r="LRJ32" s="414"/>
      <c r="LRK32" s="414"/>
      <c r="LRL32" s="414"/>
      <c r="LRM32" s="414"/>
      <c r="LRN32" s="414"/>
      <c r="LRO32" s="414"/>
      <c r="LRP32" s="414"/>
      <c r="LRQ32" s="414"/>
      <c r="LRR32" s="414"/>
      <c r="LRS32" s="414"/>
      <c r="LRT32" s="414"/>
      <c r="LRU32" s="414"/>
      <c r="LRV32" s="414"/>
      <c r="LRW32" s="414"/>
      <c r="LRX32" s="414"/>
      <c r="LRY32" s="414"/>
      <c r="LRZ32" s="414"/>
      <c r="LSA32" s="414"/>
      <c r="LSB32" s="414"/>
      <c r="LSC32" s="414"/>
      <c r="LSD32" s="414"/>
      <c r="LSE32" s="414"/>
      <c r="LSF32" s="414"/>
      <c r="LSG32" s="414"/>
      <c r="LSH32" s="414"/>
      <c r="LSI32" s="414"/>
      <c r="LSJ32" s="414"/>
      <c r="LSK32" s="414"/>
      <c r="LSL32" s="414"/>
      <c r="LSM32" s="414"/>
      <c r="LSN32" s="414"/>
      <c r="LSO32" s="414"/>
      <c r="LSP32" s="414"/>
      <c r="LSQ32" s="414"/>
      <c r="LSR32" s="414"/>
      <c r="LSS32" s="414"/>
      <c r="LST32" s="414"/>
      <c r="LSU32" s="414"/>
      <c r="LSV32" s="414"/>
      <c r="LSW32" s="414"/>
      <c r="LSX32" s="414"/>
      <c r="LSY32" s="414"/>
      <c r="LSZ32" s="414"/>
      <c r="LTA32" s="414"/>
      <c r="LTB32" s="414"/>
      <c r="LTC32" s="414"/>
      <c r="LTD32" s="414"/>
      <c r="LTE32" s="414"/>
      <c r="LTF32" s="414"/>
      <c r="LTG32" s="414"/>
      <c r="LTH32" s="414"/>
      <c r="LTI32" s="414"/>
      <c r="LTJ32" s="414"/>
      <c r="LTK32" s="414"/>
      <c r="LTL32" s="414"/>
      <c r="LTM32" s="414"/>
      <c r="LTN32" s="414"/>
      <c r="LTO32" s="414"/>
      <c r="LTP32" s="414"/>
      <c r="LTQ32" s="414"/>
      <c r="LTR32" s="414"/>
      <c r="LTS32" s="414"/>
      <c r="LTT32" s="414"/>
      <c r="LTU32" s="414"/>
      <c r="LTV32" s="414"/>
      <c r="LTW32" s="414"/>
      <c r="LTX32" s="414"/>
      <c r="LTY32" s="414"/>
      <c r="LTZ32" s="414"/>
      <c r="LUA32" s="414"/>
      <c r="LUB32" s="414"/>
      <c r="LUC32" s="414"/>
      <c r="LUD32" s="414"/>
      <c r="LUE32" s="414"/>
      <c r="LUF32" s="414"/>
      <c r="LUG32" s="414"/>
      <c r="LUH32" s="414"/>
      <c r="LUI32" s="414"/>
      <c r="LUJ32" s="414"/>
      <c r="LUK32" s="414"/>
      <c r="LUL32" s="414"/>
      <c r="LUM32" s="414"/>
      <c r="LUN32" s="414"/>
      <c r="LUO32" s="414"/>
      <c r="LUP32" s="414"/>
      <c r="LUQ32" s="414"/>
      <c r="LUR32" s="414"/>
      <c r="LUS32" s="414"/>
      <c r="LUT32" s="414"/>
      <c r="LUU32" s="414"/>
      <c r="LUV32" s="414"/>
      <c r="LUW32" s="414"/>
      <c r="LUX32" s="414"/>
      <c r="LUY32" s="414"/>
      <c r="LUZ32" s="414"/>
      <c r="LVA32" s="414"/>
      <c r="LVB32" s="414"/>
      <c r="LVC32" s="414"/>
      <c r="LVD32" s="414"/>
      <c r="LVE32" s="414"/>
      <c r="LVF32" s="414"/>
      <c r="LVG32" s="414"/>
      <c r="LVH32" s="414"/>
      <c r="LVI32" s="414"/>
      <c r="LVJ32" s="414"/>
      <c r="LVK32" s="414"/>
      <c r="LVL32" s="414"/>
      <c r="LVM32" s="414"/>
      <c r="LVN32" s="414"/>
      <c r="LVO32" s="414"/>
      <c r="LVP32" s="414"/>
      <c r="LVQ32" s="414"/>
      <c r="LVR32" s="414"/>
      <c r="LVS32" s="414"/>
      <c r="LVT32" s="414"/>
      <c r="LVU32" s="414"/>
      <c r="LVV32" s="414"/>
      <c r="LVW32" s="414"/>
      <c r="LVX32" s="414"/>
      <c r="LVY32" s="414"/>
      <c r="LVZ32" s="414"/>
      <c r="LWA32" s="414"/>
      <c r="LWB32" s="414"/>
      <c r="LWC32" s="414"/>
      <c r="LWD32" s="414"/>
      <c r="LWE32" s="414"/>
      <c r="LWF32" s="414"/>
      <c r="LWG32" s="414"/>
      <c r="LWH32" s="414"/>
      <c r="LWI32" s="414"/>
      <c r="LWJ32" s="414"/>
      <c r="LWK32" s="414"/>
      <c r="LWL32" s="414"/>
      <c r="LWM32" s="414"/>
      <c r="LWN32" s="414"/>
      <c r="LWO32" s="414"/>
      <c r="LWP32" s="414"/>
      <c r="LWQ32" s="414"/>
      <c r="LWR32" s="414"/>
      <c r="LWS32" s="414"/>
      <c r="LWT32" s="414"/>
      <c r="LWU32" s="414"/>
      <c r="LWV32" s="414"/>
      <c r="LWW32" s="414"/>
      <c r="LWX32" s="414"/>
      <c r="LWY32" s="414"/>
      <c r="LWZ32" s="414"/>
      <c r="LXA32" s="414"/>
      <c r="LXB32" s="414"/>
      <c r="LXC32" s="414"/>
      <c r="LXD32" s="414"/>
      <c r="LXE32" s="414"/>
      <c r="LXF32" s="414"/>
      <c r="LXG32" s="414"/>
      <c r="LXH32" s="414"/>
      <c r="LXI32" s="414"/>
      <c r="LXJ32" s="414"/>
      <c r="LXK32" s="414"/>
      <c r="LXL32" s="414"/>
      <c r="LXM32" s="414"/>
      <c r="LXN32" s="414"/>
      <c r="LXO32" s="414"/>
      <c r="LXP32" s="414"/>
      <c r="LXQ32" s="414"/>
      <c r="LXR32" s="414"/>
      <c r="LXS32" s="414"/>
      <c r="LXT32" s="414"/>
      <c r="LXU32" s="414"/>
      <c r="LXV32" s="414"/>
      <c r="LXW32" s="414"/>
      <c r="LXX32" s="414"/>
      <c r="LXY32" s="414"/>
      <c r="LXZ32" s="414"/>
      <c r="LYA32" s="414"/>
      <c r="LYB32" s="414"/>
      <c r="LYC32" s="414"/>
      <c r="LYD32" s="414"/>
      <c r="LYE32" s="414"/>
      <c r="LYF32" s="414"/>
      <c r="LYG32" s="414"/>
      <c r="LYH32" s="414"/>
      <c r="LYI32" s="414"/>
      <c r="LYJ32" s="414"/>
      <c r="LYK32" s="414"/>
      <c r="LYL32" s="414"/>
      <c r="LYM32" s="414"/>
      <c r="LYN32" s="414"/>
      <c r="LYO32" s="414"/>
      <c r="LYP32" s="414"/>
      <c r="LYQ32" s="414"/>
      <c r="LYR32" s="414"/>
      <c r="LYS32" s="414"/>
      <c r="LYT32" s="414"/>
      <c r="LYU32" s="414"/>
      <c r="LYV32" s="414"/>
      <c r="LYW32" s="414"/>
      <c r="LYX32" s="414"/>
      <c r="LYY32" s="414"/>
      <c r="LYZ32" s="414"/>
      <c r="LZA32" s="414"/>
      <c r="LZB32" s="414"/>
      <c r="LZC32" s="414"/>
      <c r="LZD32" s="414"/>
      <c r="LZE32" s="414"/>
      <c r="LZF32" s="414"/>
      <c r="LZG32" s="414"/>
      <c r="LZH32" s="414"/>
      <c r="LZI32" s="414"/>
      <c r="LZJ32" s="414"/>
      <c r="LZK32" s="414"/>
      <c r="LZL32" s="414"/>
      <c r="LZM32" s="414"/>
      <c r="LZN32" s="414"/>
      <c r="LZO32" s="414"/>
      <c r="LZP32" s="414"/>
      <c r="LZQ32" s="414"/>
      <c r="LZR32" s="414"/>
      <c r="LZS32" s="414"/>
      <c r="LZT32" s="414"/>
      <c r="LZU32" s="414"/>
      <c r="LZV32" s="414"/>
      <c r="LZW32" s="414"/>
      <c r="LZX32" s="414"/>
      <c r="LZY32" s="414"/>
      <c r="LZZ32" s="414"/>
      <c r="MAA32" s="414"/>
      <c r="MAB32" s="414"/>
      <c r="MAC32" s="414"/>
      <c r="MAD32" s="414"/>
      <c r="MAE32" s="414"/>
      <c r="MAF32" s="414"/>
      <c r="MAG32" s="414"/>
      <c r="MAH32" s="414"/>
      <c r="MAI32" s="414"/>
      <c r="MAJ32" s="414"/>
      <c r="MAK32" s="414"/>
      <c r="MAL32" s="414"/>
      <c r="MAM32" s="414"/>
      <c r="MAN32" s="414"/>
      <c r="MAO32" s="414"/>
      <c r="MAP32" s="414"/>
      <c r="MAQ32" s="414"/>
      <c r="MAR32" s="414"/>
      <c r="MAS32" s="414"/>
      <c r="MAT32" s="414"/>
      <c r="MAU32" s="414"/>
      <c r="MAV32" s="414"/>
      <c r="MAW32" s="414"/>
      <c r="MAX32" s="414"/>
      <c r="MAY32" s="414"/>
      <c r="MAZ32" s="414"/>
      <c r="MBA32" s="414"/>
      <c r="MBB32" s="414"/>
      <c r="MBC32" s="414"/>
      <c r="MBD32" s="414"/>
      <c r="MBE32" s="414"/>
      <c r="MBF32" s="414"/>
      <c r="MBG32" s="414"/>
      <c r="MBH32" s="414"/>
      <c r="MBI32" s="414"/>
      <c r="MBJ32" s="414"/>
      <c r="MBK32" s="414"/>
      <c r="MBL32" s="414"/>
      <c r="MBM32" s="414"/>
      <c r="MBN32" s="414"/>
      <c r="MBO32" s="414"/>
      <c r="MBP32" s="414"/>
      <c r="MBQ32" s="414"/>
      <c r="MBR32" s="414"/>
      <c r="MBS32" s="414"/>
      <c r="MBT32" s="414"/>
      <c r="MBU32" s="414"/>
      <c r="MBV32" s="414"/>
      <c r="MBW32" s="414"/>
      <c r="MBX32" s="414"/>
      <c r="MBY32" s="414"/>
      <c r="MBZ32" s="414"/>
      <c r="MCA32" s="414"/>
      <c r="MCB32" s="414"/>
      <c r="MCC32" s="414"/>
      <c r="MCD32" s="414"/>
      <c r="MCE32" s="414"/>
      <c r="MCF32" s="414"/>
      <c r="MCG32" s="414"/>
      <c r="MCH32" s="414"/>
      <c r="MCI32" s="414"/>
      <c r="MCJ32" s="414"/>
      <c r="MCK32" s="414"/>
      <c r="MCL32" s="414"/>
      <c r="MCM32" s="414"/>
      <c r="MCN32" s="414"/>
      <c r="MCO32" s="414"/>
      <c r="MCP32" s="414"/>
      <c r="MCQ32" s="414"/>
      <c r="MCR32" s="414"/>
      <c r="MCS32" s="414"/>
      <c r="MCT32" s="414"/>
      <c r="MCU32" s="414"/>
      <c r="MCV32" s="414"/>
      <c r="MCW32" s="414"/>
      <c r="MCX32" s="414"/>
      <c r="MCY32" s="414"/>
      <c r="MCZ32" s="414"/>
      <c r="MDA32" s="414"/>
      <c r="MDB32" s="414"/>
      <c r="MDC32" s="414"/>
      <c r="MDD32" s="414"/>
      <c r="MDE32" s="414"/>
      <c r="MDF32" s="414"/>
      <c r="MDG32" s="414"/>
      <c r="MDH32" s="414"/>
      <c r="MDI32" s="414"/>
      <c r="MDJ32" s="414"/>
      <c r="MDK32" s="414"/>
      <c r="MDL32" s="414"/>
      <c r="MDM32" s="414"/>
      <c r="MDN32" s="414"/>
      <c r="MDO32" s="414"/>
      <c r="MDP32" s="414"/>
      <c r="MDQ32" s="414"/>
      <c r="MDR32" s="414"/>
      <c r="MDS32" s="414"/>
      <c r="MDT32" s="414"/>
      <c r="MDU32" s="414"/>
      <c r="MDV32" s="414"/>
      <c r="MDW32" s="414"/>
      <c r="MDX32" s="414"/>
      <c r="MDY32" s="414"/>
      <c r="MDZ32" s="414"/>
      <c r="MEA32" s="414"/>
      <c r="MEB32" s="414"/>
      <c r="MEC32" s="414"/>
      <c r="MED32" s="414"/>
      <c r="MEE32" s="414"/>
      <c r="MEF32" s="414"/>
      <c r="MEG32" s="414"/>
      <c r="MEH32" s="414"/>
      <c r="MEI32" s="414"/>
      <c r="MEJ32" s="414"/>
      <c r="MEK32" s="414"/>
      <c r="MEL32" s="414"/>
      <c r="MEM32" s="414"/>
      <c r="MEN32" s="414"/>
      <c r="MEO32" s="414"/>
      <c r="MEP32" s="414"/>
      <c r="MEQ32" s="414"/>
      <c r="MER32" s="414"/>
      <c r="MES32" s="414"/>
      <c r="MET32" s="414"/>
      <c r="MEU32" s="414"/>
      <c r="MEV32" s="414"/>
      <c r="MEW32" s="414"/>
      <c r="MEX32" s="414"/>
      <c r="MEY32" s="414"/>
      <c r="MEZ32" s="414"/>
      <c r="MFA32" s="414"/>
      <c r="MFB32" s="414"/>
      <c r="MFC32" s="414"/>
      <c r="MFD32" s="414"/>
      <c r="MFE32" s="414"/>
      <c r="MFF32" s="414"/>
      <c r="MFG32" s="414"/>
      <c r="MFH32" s="414"/>
      <c r="MFI32" s="414"/>
      <c r="MFJ32" s="414"/>
      <c r="MFK32" s="414"/>
      <c r="MFL32" s="414"/>
      <c r="MFM32" s="414"/>
      <c r="MFN32" s="414"/>
      <c r="MFO32" s="414"/>
      <c r="MFP32" s="414"/>
      <c r="MFQ32" s="414"/>
      <c r="MFR32" s="414"/>
      <c r="MFS32" s="414"/>
      <c r="MFT32" s="414"/>
      <c r="MFU32" s="414"/>
      <c r="MFV32" s="414"/>
      <c r="MFW32" s="414"/>
      <c r="MFX32" s="414"/>
      <c r="MFY32" s="414"/>
      <c r="MFZ32" s="414"/>
      <c r="MGA32" s="414"/>
      <c r="MGB32" s="414"/>
      <c r="MGC32" s="414"/>
      <c r="MGD32" s="414"/>
      <c r="MGE32" s="414"/>
      <c r="MGF32" s="414"/>
      <c r="MGG32" s="414"/>
      <c r="MGH32" s="414"/>
      <c r="MGI32" s="414"/>
      <c r="MGJ32" s="414"/>
      <c r="MGK32" s="414"/>
      <c r="MGL32" s="414"/>
      <c r="MGM32" s="414"/>
      <c r="MGN32" s="414"/>
      <c r="MGO32" s="414"/>
      <c r="MGP32" s="414"/>
      <c r="MGQ32" s="414"/>
      <c r="MGR32" s="414"/>
      <c r="MGS32" s="414"/>
      <c r="MGT32" s="414"/>
      <c r="MGU32" s="414"/>
      <c r="MGV32" s="414"/>
      <c r="MGW32" s="414"/>
      <c r="MGX32" s="414"/>
      <c r="MGY32" s="414"/>
      <c r="MGZ32" s="414"/>
      <c r="MHA32" s="414"/>
      <c r="MHB32" s="414"/>
      <c r="MHC32" s="414"/>
      <c r="MHD32" s="414"/>
      <c r="MHE32" s="414"/>
      <c r="MHF32" s="414"/>
      <c r="MHG32" s="414"/>
      <c r="MHH32" s="414"/>
      <c r="MHI32" s="414"/>
      <c r="MHJ32" s="414"/>
      <c r="MHK32" s="414"/>
      <c r="MHL32" s="414"/>
      <c r="MHM32" s="414"/>
      <c r="MHN32" s="414"/>
      <c r="MHO32" s="414"/>
      <c r="MHP32" s="414"/>
      <c r="MHQ32" s="414"/>
      <c r="MHR32" s="414"/>
      <c r="MHS32" s="414"/>
      <c r="MHT32" s="414"/>
      <c r="MHU32" s="414"/>
      <c r="MHV32" s="414"/>
      <c r="MHW32" s="414"/>
      <c r="MHX32" s="414"/>
      <c r="MHY32" s="414"/>
      <c r="MHZ32" s="414"/>
      <c r="MIA32" s="414"/>
      <c r="MIB32" s="414"/>
      <c r="MIC32" s="414"/>
      <c r="MID32" s="414"/>
      <c r="MIE32" s="414"/>
      <c r="MIF32" s="414"/>
      <c r="MIG32" s="414"/>
      <c r="MIH32" s="414"/>
      <c r="MII32" s="414"/>
      <c r="MIJ32" s="414"/>
      <c r="MIK32" s="414"/>
      <c r="MIL32" s="414"/>
      <c r="MIM32" s="414"/>
      <c r="MIN32" s="414"/>
      <c r="MIO32" s="414"/>
      <c r="MIP32" s="414"/>
      <c r="MIQ32" s="414"/>
      <c r="MIR32" s="414"/>
      <c r="MIS32" s="414"/>
      <c r="MIT32" s="414"/>
      <c r="MIU32" s="414"/>
      <c r="MIV32" s="414"/>
      <c r="MIW32" s="414"/>
      <c r="MIX32" s="414"/>
      <c r="MIY32" s="414"/>
      <c r="MIZ32" s="414"/>
      <c r="MJA32" s="414"/>
      <c r="MJB32" s="414"/>
      <c r="MJC32" s="414"/>
      <c r="MJD32" s="414"/>
      <c r="MJE32" s="414"/>
      <c r="MJF32" s="414"/>
      <c r="MJG32" s="414"/>
      <c r="MJH32" s="414"/>
      <c r="MJI32" s="414"/>
      <c r="MJJ32" s="414"/>
      <c r="MJK32" s="414"/>
      <c r="MJL32" s="414"/>
      <c r="MJM32" s="414"/>
      <c r="MJN32" s="414"/>
      <c r="MJO32" s="414"/>
      <c r="MJP32" s="414"/>
      <c r="MJQ32" s="414"/>
      <c r="MJR32" s="414"/>
      <c r="MJS32" s="414"/>
      <c r="MJT32" s="414"/>
      <c r="MJU32" s="414"/>
      <c r="MJV32" s="414"/>
      <c r="MJW32" s="414"/>
      <c r="MJX32" s="414"/>
      <c r="MJY32" s="414"/>
      <c r="MJZ32" s="414"/>
      <c r="MKA32" s="414"/>
      <c r="MKB32" s="414"/>
      <c r="MKC32" s="414"/>
      <c r="MKD32" s="414"/>
      <c r="MKE32" s="414"/>
      <c r="MKF32" s="414"/>
      <c r="MKG32" s="414"/>
      <c r="MKH32" s="414"/>
      <c r="MKI32" s="414"/>
      <c r="MKJ32" s="414"/>
      <c r="MKK32" s="414"/>
      <c r="MKL32" s="414"/>
      <c r="MKM32" s="414"/>
      <c r="MKN32" s="414"/>
      <c r="MKO32" s="414"/>
      <c r="MKP32" s="414"/>
      <c r="MKQ32" s="414"/>
      <c r="MKR32" s="414"/>
      <c r="MKS32" s="414"/>
      <c r="MKT32" s="414"/>
      <c r="MKU32" s="414"/>
      <c r="MKV32" s="414"/>
      <c r="MKW32" s="414"/>
      <c r="MKX32" s="414"/>
      <c r="MKY32" s="414"/>
      <c r="MKZ32" s="414"/>
      <c r="MLA32" s="414"/>
      <c r="MLB32" s="414"/>
      <c r="MLC32" s="414"/>
      <c r="MLD32" s="414"/>
      <c r="MLE32" s="414"/>
      <c r="MLF32" s="414"/>
      <c r="MLG32" s="414"/>
      <c r="MLH32" s="414"/>
      <c r="MLI32" s="414"/>
      <c r="MLJ32" s="414"/>
      <c r="MLK32" s="414"/>
      <c r="MLL32" s="414"/>
      <c r="MLM32" s="414"/>
      <c r="MLN32" s="414"/>
      <c r="MLO32" s="414"/>
      <c r="MLP32" s="414"/>
      <c r="MLQ32" s="414"/>
      <c r="MLR32" s="414"/>
      <c r="MLS32" s="414"/>
      <c r="MLT32" s="414"/>
      <c r="MLU32" s="414"/>
      <c r="MLV32" s="414"/>
      <c r="MLW32" s="414"/>
      <c r="MLX32" s="414"/>
      <c r="MLY32" s="414"/>
      <c r="MLZ32" s="414"/>
      <c r="MMA32" s="414"/>
      <c r="MMB32" s="414"/>
      <c r="MMC32" s="414"/>
      <c r="MMD32" s="414"/>
      <c r="MME32" s="414"/>
      <c r="MMF32" s="414"/>
      <c r="MMG32" s="414"/>
      <c r="MMH32" s="414"/>
      <c r="MMI32" s="414"/>
      <c r="MMJ32" s="414"/>
      <c r="MMK32" s="414"/>
      <c r="MML32" s="414"/>
      <c r="MMM32" s="414"/>
      <c r="MMN32" s="414"/>
      <c r="MMO32" s="414"/>
      <c r="MMP32" s="414"/>
      <c r="MMQ32" s="414"/>
      <c r="MMR32" s="414"/>
      <c r="MMS32" s="414"/>
      <c r="MMT32" s="414"/>
      <c r="MMU32" s="414"/>
      <c r="MMV32" s="414"/>
      <c r="MMW32" s="414"/>
      <c r="MMX32" s="414"/>
      <c r="MMY32" s="414"/>
      <c r="MMZ32" s="414"/>
      <c r="MNA32" s="414"/>
      <c r="MNB32" s="414"/>
      <c r="MNC32" s="414"/>
      <c r="MND32" s="414"/>
      <c r="MNE32" s="414"/>
      <c r="MNF32" s="414"/>
      <c r="MNG32" s="414"/>
      <c r="MNH32" s="414"/>
      <c r="MNI32" s="414"/>
      <c r="MNJ32" s="414"/>
      <c r="MNK32" s="414"/>
      <c r="MNL32" s="414"/>
      <c r="MNM32" s="414"/>
      <c r="MNN32" s="414"/>
      <c r="MNO32" s="414"/>
      <c r="MNP32" s="414"/>
      <c r="MNQ32" s="414"/>
      <c r="MNR32" s="414"/>
      <c r="MNS32" s="414"/>
      <c r="MNT32" s="414"/>
      <c r="MNU32" s="414"/>
      <c r="MNV32" s="414"/>
      <c r="MNW32" s="414"/>
      <c r="MNX32" s="414"/>
      <c r="MNY32" s="414"/>
      <c r="MNZ32" s="414"/>
      <c r="MOA32" s="414"/>
      <c r="MOB32" s="414"/>
      <c r="MOC32" s="414"/>
      <c r="MOD32" s="414"/>
      <c r="MOE32" s="414"/>
      <c r="MOF32" s="414"/>
      <c r="MOG32" s="414"/>
      <c r="MOH32" s="414"/>
      <c r="MOI32" s="414"/>
      <c r="MOJ32" s="414"/>
      <c r="MOK32" s="414"/>
      <c r="MOL32" s="414"/>
      <c r="MOM32" s="414"/>
      <c r="MON32" s="414"/>
      <c r="MOO32" s="414"/>
      <c r="MOP32" s="414"/>
      <c r="MOQ32" s="414"/>
      <c r="MOR32" s="414"/>
      <c r="MOS32" s="414"/>
      <c r="MOT32" s="414"/>
      <c r="MOU32" s="414"/>
      <c r="MOV32" s="414"/>
      <c r="MOW32" s="414"/>
      <c r="MOX32" s="414"/>
      <c r="MOY32" s="414"/>
      <c r="MOZ32" s="414"/>
      <c r="MPA32" s="414"/>
      <c r="MPB32" s="414"/>
      <c r="MPC32" s="414"/>
      <c r="MPD32" s="414"/>
      <c r="MPE32" s="414"/>
      <c r="MPF32" s="414"/>
      <c r="MPG32" s="414"/>
      <c r="MPH32" s="414"/>
      <c r="MPI32" s="414"/>
      <c r="MPJ32" s="414"/>
      <c r="MPK32" s="414"/>
      <c r="MPL32" s="414"/>
      <c r="MPM32" s="414"/>
      <c r="MPN32" s="414"/>
      <c r="MPO32" s="414"/>
      <c r="MPP32" s="414"/>
      <c r="MPQ32" s="414"/>
      <c r="MPR32" s="414"/>
      <c r="MPS32" s="414"/>
      <c r="MPT32" s="414"/>
      <c r="MPU32" s="414"/>
      <c r="MPV32" s="414"/>
      <c r="MPW32" s="414"/>
      <c r="MPX32" s="414"/>
      <c r="MPY32" s="414"/>
      <c r="MPZ32" s="414"/>
      <c r="MQA32" s="414"/>
      <c r="MQB32" s="414"/>
      <c r="MQC32" s="414"/>
      <c r="MQD32" s="414"/>
      <c r="MQE32" s="414"/>
      <c r="MQF32" s="414"/>
      <c r="MQG32" s="414"/>
      <c r="MQH32" s="414"/>
      <c r="MQI32" s="414"/>
      <c r="MQJ32" s="414"/>
      <c r="MQK32" s="414"/>
      <c r="MQL32" s="414"/>
      <c r="MQM32" s="414"/>
      <c r="MQN32" s="414"/>
      <c r="MQO32" s="414"/>
      <c r="MQP32" s="414"/>
      <c r="MQQ32" s="414"/>
      <c r="MQR32" s="414"/>
      <c r="MQS32" s="414"/>
      <c r="MQT32" s="414"/>
      <c r="MQU32" s="414"/>
      <c r="MQV32" s="414"/>
      <c r="MQW32" s="414"/>
      <c r="MQX32" s="414"/>
      <c r="MQY32" s="414"/>
      <c r="MQZ32" s="414"/>
      <c r="MRA32" s="414"/>
      <c r="MRB32" s="414"/>
      <c r="MRC32" s="414"/>
      <c r="MRD32" s="414"/>
      <c r="MRE32" s="414"/>
      <c r="MRF32" s="414"/>
      <c r="MRG32" s="414"/>
      <c r="MRH32" s="414"/>
      <c r="MRI32" s="414"/>
      <c r="MRJ32" s="414"/>
      <c r="MRK32" s="414"/>
      <c r="MRL32" s="414"/>
      <c r="MRM32" s="414"/>
      <c r="MRN32" s="414"/>
      <c r="MRO32" s="414"/>
      <c r="MRP32" s="414"/>
      <c r="MRQ32" s="414"/>
      <c r="MRR32" s="414"/>
      <c r="MRS32" s="414"/>
      <c r="MRT32" s="414"/>
      <c r="MRU32" s="414"/>
      <c r="MRV32" s="414"/>
      <c r="MRW32" s="414"/>
      <c r="MRX32" s="414"/>
      <c r="MRY32" s="414"/>
      <c r="MRZ32" s="414"/>
      <c r="MSA32" s="414"/>
      <c r="MSB32" s="414"/>
      <c r="MSC32" s="414"/>
      <c r="MSD32" s="414"/>
      <c r="MSE32" s="414"/>
      <c r="MSF32" s="414"/>
      <c r="MSG32" s="414"/>
      <c r="MSH32" s="414"/>
      <c r="MSI32" s="414"/>
      <c r="MSJ32" s="414"/>
      <c r="MSK32" s="414"/>
      <c r="MSL32" s="414"/>
      <c r="MSM32" s="414"/>
      <c r="MSN32" s="414"/>
      <c r="MSO32" s="414"/>
      <c r="MSP32" s="414"/>
      <c r="MSQ32" s="414"/>
      <c r="MSR32" s="414"/>
      <c r="MSS32" s="414"/>
      <c r="MST32" s="414"/>
      <c r="MSU32" s="414"/>
      <c r="MSV32" s="414"/>
      <c r="MSW32" s="414"/>
      <c r="MSX32" s="414"/>
      <c r="MSY32" s="414"/>
      <c r="MSZ32" s="414"/>
      <c r="MTA32" s="414"/>
      <c r="MTB32" s="414"/>
      <c r="MTC32" s="414"/>
      <c r="MTD32" s="414"/>
      <c r="MTE32" s="414"/>
      <c r="MTF32" s="414"/>
      <c r="MTG32" s="414"/>
      <c r="MTH32" s="414"/>
      <c r="MTI32" s="414"/>
      <c r="MTJ32" s="414"/>
      <c r="MTK32" s="414"/>
      <c r="MTL32" s="414"/>
      <c r="MTM32" s="414"/>
      <c r="MTN32" s="414"/>
      <c r="MTO32" s="414"/>
      <c r="MTP32" s="414"/>
      <c r="MTQ32" s="414"/>
      <c r="MTR32" s="414"/>
      <c r="MTS32" s="414"/>
      <c r="MTT32" s="414"/>
      <c r="MTU32" s="414"/>
      <c r="MTV32" s="414"/>
      <c r="MTW32" s="414"/>
      <c r="MTX32" s="414"/>
      <c r="MTY32" s="414"/>
      <c r="MTZ32" s="414"/>
      <c r="MUA32" s="414"/>
      <c r="MUB32" s="414"/>
      <c r="MUC32" s="414"/>
      <c r="MUD32" s="414"/>
      <c r="MUE32" s="414"/>
      <c r="MUF32" s="414"/>
      <c r="MUG32" s="414"/>
      <c r="MUH32" s="414"/>
      <c r="MUI32" s="414"/>
      <c r="MUJ32" s="414"/>
      <c r="MUK32" s="414"/>
      <c r="MUL32" s="414"/>
      <c r="MUM32" s="414"/>
      <c r="MUN32" s="414"/>
      <c r="MUO32" s="414"/>
      <c r="MUP32" s="414"/>
      <c r="MUQ32" s="414"/>
      <c r="MUR32" s="414"/>
      <c r="MUS32" s="414"/>
      <c r="MUT32" s="414"/>
      <c r="MUU32" s="414"/>
      <c r="MUV32" s="414"/>
      <c r="MUW32" s="414"/>
      <c r="MUX32" s="414"/>
      <c r="MUY32" s="414"/>
      <c r="MUZ32" s="414"/>
      <c r="MVA32" s="414"/>
      <c r="MVB32" s="414"/>
      <c r="MVC32" s="414"/>
      <c r="MVD32" s="414"/>
      <c r="MVE32" s="414"/>
      <c r="MVF32" s="414"/>
      <c r="MVG32" s="414"/>
      <c r="MVH32" s="414"/>
      <c r="MVI32" s="414"/>
      <c r="MVJ32" s="414"/>
      <c r="MVK32" s="414"/>
      <c r="MVL32" s="414"/>
      <c r="MVM32" s="414"/>
      <c r="MVN32" s="414"/>
      <c r="MVO32" s="414"/>
      <c r="MVP32" s="414"/>
      <c r="MVQ32" s="414"/>
      <c r="MVR32" s="414"/>
      <c r="MVS32" s="414"/>
      <c r="MVT32" s="414"/>
      <c r="MVU32" s="414"/>
      <c r="MVV32" s="414"/>
      <c r="MVW32" s="414"/>
      <c r="MVX32" s="414"/>
      <c r="MVY32" s="414"/>
      <c r="MVZ32" s="414"/>
      <c r="MWA32" s="414"/>
      <c r="MWB32" s="414"/>
      <c r="MWC32" s="414"/>
      <c r="MWD32" s="414"/>
      <c r="MWE32" s="414"/>
      <c r="MWF32" s="414"/>
      <c r="MWG32" s="414"/>
      <c r="MWH32" s="414"/>
      <c r="MWI32" s="414"/>
      <c r="MWJ32" s="414"/>
      <c r="MWK32" s="414"/>
      <c r="MWL32" s="414"/>
      <c r="MWM32" s="414"/>
      <c r="MWN32" s="414"/>
      <c r="MWO32" s="414"/>
      <c r="MWP32" s="414"/>
      <c r="MWQ32" s="414"/>
      <c r="MWR32" s="414"/>
      <c r="MWS32" s="414"/>
      <c r="MWT32" s="414"/>
      <c r="MWU32" s="414"/>
      <c r="MWV32" s="414"/>
      <c r="MWW32" s="414"/>
      <c r="MWX32" s="414"/>
      <c r="MWY32" s="414"/>
      <c r="MWZ32" s="414"/>
      <c r="MXA32" s="414"/>
      <c r="MXB32" s="414"/>
      <c r="MXC32" s="414"/>
      <c r="MXD32" s="414"/>
      <c r="MXE32" s="414"/>
      <c r="MXF32" s="414"/>
      <c r="MXG32" s="414"/>
      <c r="MXH32" s="414"/>
      <c r="MXI32" s="414"/>
      <c r="MXJ32" s="414"/>
      <c r="MXK32" s="414"/>
      <c r="MXL32" s="414"/>
      <c r="MXM32" s="414"/>
      <c r="MXN32" s="414"/>
      <c r="MXO32" s="414"/>
      <c r="MXP32" s="414"/>
      <c r="MXQ32" s="414"/>
      <c r="MXR32" s="414"/>
      <c r="MXS32" s="414"/>
      <c r="MXT32" s="414"/>
      <c r="MXU32" s="414"/>
      <c r="MXV32" s="414"/>
      <c r="MXW32" s="414"/>
      <c r="MXX32" s="414"/>
      <c r="MXY32" s="414"/>
      <c r="MXZ32" s="414"/>
      <c r="MYA32" s="414"/>
      <c r="MYB32" s="414"/>
      <c r="MYC32" s="414"/>
      <c r="MYD32" s="414"/>
      <c r="MYE32" s="414"/>
      <c r="MYF32" s="414"/>
      <c r="MYG32" s="414"/>
      <c r="MYH32" s="414"/>
      <c r="MYI32" s="414"/>
      <c r="MYJ32" s="414"/>
      <c r="MYK32" s="414"/>
      <c r="MYL32" s="414"/>
      <c r="MYM32" s="414"/>
      <c r="MYN32" s="414"/>
      <c r="MYO32" s="414"/>
      <c r="MYP32" s="414"/>
      <c r="MYQ32" s="414"/>
      <c r="MYR32" s="414"/>
      <c r="MYS32" s="414"/>
      <c r="MYT32" s="414"/>
      <c r="MYU32" s="414"/>
      <c r="MYV32" s="414"/>
      <c r="MYW32" s="414"/>
      <c r="MYX32" s="414"/>
      <c r="MYY32" s="414"/>
      <c r="MYZ32" s="414"/>
      <c r="MZA32" s="414"/>
      <c r="MZB32" s="414"/>
      <c r="MZC32" s="414"/>
      <c r="MZD32" s="414"/>
      <c r="MZE32" s="414"/>
      <c r="MZF32" s="414"/>
      <c r="MZG32" s="414"/>
      <c r="MZH32" s="414"/>
      <c r="MZI32" s="414"/>
      <c r="MZJ32" s="414"/>
      <c r="MZK32" s="414"/>
      <c r="MZL32" s="414"/>
      <c r="MZM32" s="414"/>
      <c r="MZN32" s="414"/>
      <c r="MZO32" s="414"/>
      <c r="MZP32" s="414"/>
      <c r="MZQ32" s="414"/>
      <c r="MZR32" s="414"/>
      <c r="MZS32" s="414"/>
      <c r="MZT32" s="414"/>
      <c r="MZU32" s="414"/>
      <c r="MZV32" s="414"/>
      <c r="MZW32" s="414"/>
      <c r="MZX32" s="414"/>
      <c r="MZY32" s="414"/>
      <c r="MZZ32" s="414"/>
      <c r="NAA32" s="414"/>
      <c r="NAB32" s="414"/>
      <c r="NAC32" s="414"/>
      <c r="NAD32" s="414"/>
      <c r="NAE32" s="414"/>
      <c r="NAF32" s="414"/>
      <c r="NAG32" s="414"/>
      <c r="NAH32" s="414"/>
      <c r="NAI32" s="414"/>
      <c r="NAJ32" s="414"/>
      <c r="NAK32" s="414"/>
      <c r="NAL32" s="414"/>
      <c r="NAM32" s="414"/>
      <c r="NAN32" s="414"/>
      <c r="NAO32" s="414"/>
      <c r="NAP32" s="414"/>
      <c r="NAQ32" s="414"/>
      <c r="NAR32" s="414"/>
      <c r="NAS32" s="414"/>
      <c r="NAT32" s="414"/>
      <c r="NAU32" s="414"/>
      <c r="NAV32" s="414"/>
      <c r="NAW32" s="414"/>
      <c r="NAX32" s="414"/>
      <c r="NAY32" s="414"/>
      <c r="NAZ32" s="414"/>
      <c r="NBA32" s="414"/>
      <c r="NBB32" s="414"/>
      <c r="NBC32" s="414"/>
      <c r="NBD32" s="414"/>
      <c r="NBE32" s="414"/>
      <c r="NBF32" s="414"/>
      <c r="NBG32" s="414"/>
      <c r="NBH32" s="414"/>
      <c r="NBI32" s="414"/>
      <c r="NBJ32" s="414"/>
      <c r="NBK32" s="414"/>
      <c r="NBL32" s="414"/>
      <c r="NBM32" s="414"/>
      <c r="NBN32" s="414"/>
      <c r="NBO32" s="414"/>
      <c r="NBP32" s="414"/>
      <c r="NBQ32" s="414"/>
      <c r="NBR32" s="414"/>
      <c r="NBS32" s="414"/>
      <c r="NBT32" s="414"/>
      <c r="NBU32" s="414"/>
      <c r="NBV32" s="414"/>
      <c r="NBW32" s="414"/>
      <c r="NBX32" s="414"/>
      <c r="NBY32" s="414"/>
      <c r="NBZ32" s="414"/>
      <c r="NCA32" s="414"/>
      <c r="NCB32" s="414"/>
      <c r="NCC32" s="414"/>
      <c r="NCD32" s="414"/>
      <c r="NCE32" s="414"/>
      <c r="NCF32" s="414"/>
      <c r="NCG32" s="414"/>
      <c r="NCH32" s="414"/>
      <c r="NCI32" s="414"/>
      <c r="NCJ32" s="414"/>
      <c r="NCK32" s="414"/>
      <c r="NCL32" s="414"/>
      <c r="NCM32" s="414"/>
      <c r="NCN32" s="414"/>
      <c r="NCO32" s="414"/>
      <c r="NCP32" s="414"/>
      <c r="NCQ32" s="414"/>
      <c r="NCR32" s="414"/>
      <c r="NCS32" s="414"/>
      <c r="NCT32" s="414"/>
      <c r="NCU32" s="414"/>
      <c r="NCV32" s="414"/>
      <c r="NCW32" s="414"/>
      <c r="NCX32" s="414"/>
      <c r="NCY32" s="414"/>
      <c r="NCZ32" s="414"/>
      <c r="NDA32" s="414"/>
      <c r="NDB32" s="414"/>
      <c r="NDC32" s="414"/>
      <c r="NDD32" s="414"/>
      <c r="NDE32" s="414"/>
      <c r="NDF32" s="414"/>
      <c r="NDG32" s="414"/>
      <c r="NDH32" s="414"/>
      <c r="NDI32" s="414"/>
      <c r="NDJ32" s="414"/>
      <c r="NDK32" s="414"/>
      <c r="NDL32" s="414"/>
      <c r="NDM32" s="414"/>
      <c r="NDN32" s="414"/>
      <c r="NDO32" s="414"/>
      <c r="NDP32" s="414"/>
      <c r="NDQ32" s="414"/>
      <c r="NDR32" s="414"/>
      <c r="NDS32" s="414"/>
      <c r="NDT32" s="414"/>
      <c r="NDU32" s="414"/>
      <c r="NDV32" s="414"/>
      <c r="NDW32" s="414"/>
      <c r="NDX32" s="414"/>
      <c r="NDY32" s="414"/>
      <c r="NDZ32" s="414"/>
      <c r="NEA32" s="414"/>
      <c r="NEB32" s="414"/>
      <c r="NEC32" s="414"/>
      <c r="NED32" s="414"/>
      <c r="NEE32" s="414"/>
      <c r="NEF32" s="414"/>
      <c r="NEG32" s="414"/>
      <c r="NEH32" s="414"/>
      <c r="NEI32" s="414"/>
      <c r="NEJ32" s="414"/>
      <c r="NEK32" s="414"/>
      <c r="NEL32" s="414"/>
      <c r="NEM32" s="414"/>
      <c r="NEN32" s="414"/>
      <c r="NEO32" s="414"/>
      <c r="NEP32" s="414"/>
      <c r="NEQ32" s="414"/>
      <c r="NER32" s="414"/>
      <c r="NES32" s="414"/>
      <c r="NET32" s="414"/>
      <c r="NEU32" s="414"/>
      <c r="NEV32" s="414"/>
      <c r="NEW32" s="414"/>
      <c r="NEX32" s="414"/>
      <c r="NEY32" s="414"/>
      <c r="NEZ32" s="414"/>
      <c r="NFA32" s="414"/>
      <c r="NFB32" s="414"/>
      <c r="NFC32" s="414"/>
      <c r="NFD32" s="414"/>
      <c r="NFE32" s="414"/>
      <c r="NFF32" s="414"/>
      <c r="NFG32" s="414"/>
      <c r="NFH32" s="414"/>
      <c r="NFI32" s="414"/>
      <c r="NFJ32" s="414"/>
      <c r="NFK32" s="414"/>
      <c r="NFL32" s="414"/>
      <c r="NFM32" s="414"/>
      <c r="NFN32" s="414"/>
      <c r="NFO32" s="414"/>
      <c r="NFP32" s="414"/>
      <c r="NFQ32" s="414"/>
      <c r="NFR32" s="414"/>
      <c r="NFS32" s="414"/>
      <c r="NFT32" s="414"/>
      <c r="NFU32" s="414"/>
      <c r="NFV32" s="414"/>
      <c r="NFW32" s="414"/>
      <c r="NFX32" s="414"/>
      <c r="NFY32" s="414"/>
      <c r="NFZ32" s="414"/>
      <c r="NGA32" s="414"/>
      <c r="NGB32" s="414"/>
      <c r="NGC32" s="414"/>
      <c r="NGD32" s="414"/>
      <c r="NGE32" s="414"/>
      <c r="NGF32" s="414"/>
      <c r="NGG32" s="414"/>
      <c r="NGH32" s="414"/>
      <c r="NGI32" s="414"/>
      <c r="NGJ32" s="414"/>
      <c r="NGK32" s="414"/>
      <c r="NGL32" s="414"/>
      <c r="NGM32" s="414"/>
      <c r="NGN32" s="414"/>
      <c r="NGO32" s="414"/>
      <c r="NGP32" s="414"/>
      <c r="NGQ32" s="414"/>
      <c r="NGR32" s="414"/>
      <c r="NGS32" s="414"/>
      <c r="NGT32" s="414"/>
      <c r="NGU32" s="414"/>
      <c r="NGV32" s="414"/>
      <c r="NGW32" s="414"/>
      <c r="NGX32" s="414"/>
      <c r="NGY32" s="414"/>
      <c r="NGZ32" s="414"/>
      <c r="NHA32" s="414"/>
      <c r="NHB32" s="414"/>
      <c r="NHC32" s="414"/>
      <c r="NHD32" s="414"/>
      <c r="NHE32" s="414"/>
      <c r="NHF32" s="414"/>
      <c r="NHG32" s="414"/>
      <c r="NHH32" s="414"/>
      <c r="NHI32" s="414"/>
      <c r="NHJ32" s="414"/>
      <c r="NHK32" s="414"/>
      <c r="NHL32" s="414"/>
      <c r="NHM32" s="414"/>
      <c r="NHN32" s="414"/>
      <c r="NHO32" s="414"/>
      <c r="NHP32" s="414"/>
      <c r="NHQ32" s="414"/>
      <c r="NHR32" s="414"/>
      <c r="NHS32" s="414"/>
      <c r="NHT32" s="414"/>
      <c r="NHU32" s="414"/>
      <c r="NHV32" s="414"/>
      <c r="NHW32" s="414"/>
      <c r="NHX32" s="414"/>
      <c r="NHY32" s="414"/>
      <c r="NHZ32" s="414"/>
      <c r="NIA32" s="414"/>
      <c r="NIB32" s="414"/>
      <c r="NIC32" s="414"/>
      <c r="NID32" s="414"/>
      <c r="NIE32" s="414"/>
      <c r="NIF32" s="414"/>
      <c r="NIG32" s="414"/>
      <c r="NIH32" s="414"/>
      <c r="NII32" s="414"/>
      <c r="NIJ32" s="414"/>
      <c r="NIK32" s="414"/>
      <c r="NIL32" s="414"/>
      <c r="NIM32" s="414"/>
      <c r="NIN32" s="414"/>
      <c r="NIO32" s="414"/>
      <c r="NIP32" s="414"/>
      <c r="NIQ32" s="414"/>
      <c r="NIR32" s="414"/>
      <c r="NIS32" s="414"/>
      <c r="NIT32" s="414"/>
      <c r="NIU32" s="414"/>
      <c r="NIV32" s="414"/>
      <c r="NIW32" s="414"/>
      <c r="NIX32" s="414"/>
      <c r="NIY32" s="414"/>
      <c r="NIZ32" s="414"/>
      <c r="NJA32" s="414"/>
      <c r="NJB32" s="414"/>
      <c r="NJC32" s="414"/>
      <c r="NJD32" s="414"/>
      <c r="NJE32" s="414"/>
      <c r="NJF32" s="414"/>
      <c r="NJG32" s="414"/>
      <c r="NJH32" s="414"/>
      <c r="NJI32" s="414"/>
      <c r="NJJ32" s="414"/>
      <c r="NJK32" s="414"/>
      <c r="NJL32" s="414"/>
      <c r="NJM32" s="414"/>
      <c r="NJN32" s="414"/>
      <c r="NJO32" s="414"/>
      <c r="NJP32" s="414"/>
      <c r="NJQ32" s="414"/>
      <c r="NJR32" s="414"/>
      <c r="NJS32" s="414"/>
      <c r="NJT32" s="414"/>
      <c r="NJU32" s="414"/>
      <c r="NJV32" s="414"/>
      <c r="NJW32" s="414"/>
      <c r="NJX32" s="414"/>
      <c r="NJY32" s="414"/>
      <c r="NJZ32" s="414"/>
      <c r="NKA32" s="414"/>
      <c r="NKB32" s="414"/>
      <c r="NKC32" s="414"/>
      <c r="NKD32" s="414"/>
      <c r="NKE32" s="414"/>
      <c r="NKF32" s="414"/>
      <c r="NKG32" s="414"/>
      <c r="NKH32" s="414"/>
      <c r="NKI32" s="414"/>
      <c r="NKJ32" s="414"/>
      <c r="NKK32" s="414"/>
      <c r="NKL32" s="414"/>
      <c r="NKM32" s="414"/>
      <c r="NKN32" s="414"/>
      <c r="NKO32" s="414"/>
      <c r="NKP32" s="414"/>
      <c r="NKQ32" s="414"/>
      <c r="NKR32" s="414"/>
      <c r="NKS32" s="414"/>
      <c r="NKT32" s="414"/>
      <c r="NKU32" s="414"/>
      <c r="NKV32" s="414"/>
      <c r="NKW32" s="414"/>
      <c r="NKX32" s="414"/>
      <c r="NKY32" s="414"/>
      <c r="NKZ32" s="414"/>
      <c r="NLA32" s="414"/>
      <c r="NLB32" s="414"/>
      <c r="NLC32" s="414"/>
      <c r="NLD32" s="414"/>
      <c r="NLE32" s="414"/>
      <c r="NLF32" s="414"/>
      <c r="NLG32" s="414"/>
      <c r="NLH32" s="414"/>
      <c r="NLI32" s="414"/>
      <c r="NLJ32" s="414"/>
      <c r="NLK32" s="414"/>
      <c r="NLL32" s="414"/>
      <c r="NLM32" s="414"/>
      <c r="NLN32" s="414"/>
      <c r="NLO32" s="414"/>
      <c r="NLP32" s="414"/>
      <c r="NLQ32" s="414"/>
      <c r="NLR32" s="414"/>
      <c r="NLS32" s="414"/>
      <c r="NLT32" s="414"/>
      <c r="NLU32" s="414"/>
      <c r="NLV32" s="414"/>
      <c r="NLW32" s="414"/>
      <c r="NLX32" s="414"/>
      <c r="NLY32" s="414"/>
      <c r="NLZ32" s="414"/>
      <c r="NMA32" s="414"/>
      <c r="NMB32" s="414"/>
      <c r="NMC32" s="414"/>
      <c r="NMD32" s="414"/>
      <c r="NME32" s="414"/>
      <c r="NMF32" s="414"/>
      <c r="NMG32" s="414"/>
      <c r="NMH32" s="414"/>
      <c r="NMI32" s="414"/>
      <c r="NMJ32" s="414"/>
      <c r="NMK32" s="414"/>
      <c r="NML32" s="414"/>
      <c r="NMM32" s="414"/>
      <c r="NMN32" s="414"/>
      <c r="NMO32" s="414"/>
      <c r="NMP32" s="414"/>
      <c r="NMQ32" s="414"/>
      <c r="NMR32" s="414"/>
      <c r="NMS32" s="414"/>
      <c r="NMT32" s="414"/>
      <c r="NMU32" s="414"/>
      <c r="NMV32" s="414"/>
      <c r="NMW32" s="414"/>
      <c r="NMX32" s="414"/>
      <c r="NMY32" s="414"/>
      <c r="NMZ32" s="414"/>
      <c r="NNA32" s="414"/>
      <c r="NNB32" s="414"/>
      <c r="NNC32" s="414"/>
      <c r="NND32" s="414"/>
      <c r="NNE32" s="414"/>
      <c r="NNF32" s="414"/>
      <c r="NNG32" s="414"/>
      <c r="NNH32" s="414"/>
      <c r="NNI32" s="414"/>
      <c r="NNJ32" s="414"/>
      <c r="NNK32" s="414"/>
      <c r="NNL32" s="414"/>
      <c r="NNM32" s="414"/>
      <c r="NNN32" s="414"/>
      <c r="NNO32" s="414"/>
      <c r="NNP32" s="414"/>
      <c r="NNQ32" s="414"/>
      <c r="NNR32" s="414"/>
      <c r="NNS32" s="414"/>
      <c r="NNT32" s="414"/>
      <c r="NNU32" s="414"/>
      <c r="NNV32" s="414"/>
      <c r="NNW32" s="414"/>
      <c r="NNX32" s="414"/>
      <c r="NNY32" s="414"/>
      <c r="NNZ32" s="414"/>
      <c r="NOA32" s="414"/>
      <c r="NOB32" s="414"/>
      <c r="NOC32" s="414"/>
      <c r="NOD32" s="414"/>
      <c r="NOE32" s="414"/>
      <c r="NOF32" s="414"/>
      <c r="NOG32" s="414"/>
      <c r="NOH32" s="414"/>
      <c r="NOI32" s="414"/>
      <c r="NOJ32" s="414"/>
      <c r="NOK32" s="414"/>
      <c r="NOL32" s="414"/>
      <c r="NOM32" s="414"/>
      <c r="NON32" s="414"/>
      <c r="NOO32" s="414"/>
      <c r="NOP32" s="414"/>
      <c r="NOQ32" s="414"/>
      <c r="NOR32" s="414"/>
      <c r="NOS32" s="414"/>
      <c r="NOT32" s="414"/>
      <c r="NOU32" s="414"/>
      <c r="NOV32" s="414"/>
      <c r="NOW32" s="414"/>
      <c r="NOX32" s="414"/>
      <c r="NOY32" s="414"/>
      <c r="NOZ32" s="414"/>
      <c r="NPA32" s="414"/>
      <c r="NPB32" s="414"/>
      <c r="NPC32" s="414"/>
      <c r="NPD32" s="414"/>
      <c r="NPE32" s="414"/>
      <c r="NPF32" s="414"/>
      <c r="NPG32" s="414"/>
      <c r="NPH32" s="414"/>
      <c r="NPI32" s="414"/>
      <c r="NPJ32" s="414"/>
      <c r="NPK32" s="414"/>
      <c r="NPL32" s="414"/>
      <c r="NPM32" s="414"/>
      <c r="NPN32" s="414"/>
      <c r="NPO32" s="414"/>
      <c r="NPP32" s="414"/>
      <c r="NPQ32" s="414"/>
      <c r="NPR32" s="414"/>
      <c r="NPS32" s="414"/>
      <c r="NPT32" s="414"/>
      <c r="NPU32" s="414"/>
      <c r="NPV32" s="414"/>
      <c r="NPW32" s="414"/>
      <c r="NPX32" s="414"/>
      <c r="NPY32" s="414"/>
      <c r="NPZ32" s="414"/>
      <c r="NQA32" s="414"/>
      <c r="NQB32" s="414"/>
      <c r="NQC32" s="414"/>
      <c r="NQD32" s="414"/>
      <c r="NQE32" s="414"/>
      <c r="NQF32" s="414"/>
      <c r="NQG32" s="414"/>
      <c r="NQH32" s="414"/>
      <c r="NQI32" s="414"/>
      <c r="NQJ32" s="414"/>
      <c r="NQK32" s="414"/>
      <c r="NQL32" s="414"/>
      <c r="NQM32" s="414"/>
      <c r="NQN32" s="414"/>
      <c r="NQO32" s="414"/>
      <c r="NQP32" s="414"/>
      <c r="NQQ32" s="414"/>
      <c r="NQR32" s="414"/>
      <c r="NQS32" s="414"/>
      <c r="NQT32" s="414"/>
      <c r="NQU32" s="414"/>
      <c r="NQV32" s="414"/>
      <c r="NQW32" s="414"/>
      <c r="NQX32" s="414"/>
      <c r="NQY32" s="414"/>
      <c r="NQZ32" s="414"/>
      <c r="NRA32" s="414"/>
      <c r="NRB32" s="414"/>
      <c r="NRC32" s="414"/>
      <c r="NRD32" s="414"/>
      <c r="NRE32" s="414"/>
      <c r="NRF32" s="414"/>
      <c r="NRG32" s="414"/>
      <c r="NRH32" s="414"/>
      <c r="NRI32" s="414"/>
      <c r="NRJ32" s="414"/>
      <c r="NRK32" s="414"/>
      <c r="NRL32" s="414"/>
      <c r="NRM32" s="414"/>
      <c r="NRN32" s="414"/>
      <c r="NRO32" s="414"/>
      <c r="NRP32" s="414"/>
      <c r="NRQ32" s="414"/>
      <c r="NRR32" s="414"/>
      <c r="NRS32" s="414"/>
      <c r="NRT32" s="414"/>
      <c r="NRU32" s="414"/>
      <c r="NRV32" s="414"/>
      <c r="NRW32" s="414"/>
      <c r="NRX32" s="414"/>
      <c r="NRY32" s="414"/>
      <c r="NRZ32" s="414"/>
      <c r="NSA32" s="414"/>
      <c r="NSB32" s="414"/>
      <c r="NSC32" s="414"/>
      <c r="NSD32" s="414"/>
      <c r="NSE32" s="414"/>
      <c r="NSF32" s="414"/>
      <c r="NSG32" s="414"/>
      <c r="NSH32" s="414"/>
      <c r="NSI32" s="414"/>
      <c r="NSJ32" s="414"/>
      <c r="NSK32" s="414"/>
      <c r="NSL32" s="414"/>
      <c r="NSM32" s="414"/>
      <c r="NSN32" s="414"/>
      <c r="NSO32" s="414"/>
      <c r="NSP32" s="414"/>
      <c r="NSQ32" s="414"/>
      <c r="NSR32" s="414"/>
      <c r="NSS32" s="414"/>
      <c r="NST32" s="414"/>
      <c r="NSU32" s="414"/>
      <c r="NSV32" s="414"/>
      <c r="NSW32" s="414"/>
      <c r="NSX32" s="414"/>
      <c r="NSY32" s="414"/>
      <c r="NSZ32" s="414"/>
      <c r="NTA32" s="414"/>
      <c r="NTB32" s="414"/>
      <c r="NTC32" s="414"/>
      <c r="NTD32" s="414"/>
      <c r="NTE32" s="414"/>
      <c r="NTF32" s="414"/>
      <c r="NTG32" s="414"/>
      <c r="NTH32" s="414"/>
      <c r="NTI32" s="414"/>
      <c r="NTJ32" s="414"/>
      <c r="NTK32" s="414"/>
      <c r="NTL32" s="414"/>
      <c r="NTM32" s="414"/>
      <c r="NTN32" s="414"/>
      <c r="NTO32" s="414"/>
      <c r="NTP32" s="414"/>
      <c r="NTQ32" s="414"/>
      <c r="NTR32" s="414"/>
      <c r="NTS32" s="414"/>
      <c r="NTT32" s="414"/>
      <c r="NTU32" s="414"/>
      <c r="NTV32" s="414"/>
      <c r="NTW32" s="414"/>
      <c r="NTX32" s="414"/>
      <c r="NTY32" s="414"/>
      <c r="NTZ32" s="414"/>
      <c r="NUA32" s="414"/>
      <c r="NUB32" s="414"/>
      <c r="NUC32" s="414"/>
      <c r="NUD32" s="414"/>
      <c r="NUE32" s="414"/>
      <c r="NUF32" s="414"/>
      <c r="NUG32" s="414"/>
      <c r="NUH32" s="414"/>
      <c r="NUI32" s="414"/>
      <c r="NUJ32" s="414"/>
      <c r="NUK32" s="414"/>
      <c r="NUL32" s="414"/>
      <c r="NUM32" s="414"/>
      <c r="NUN32" s="414"/>
      <c r="NUO32" s="414"/>
      <c r="NUP32" s="414"/>
      <c r="NUQ32" s="414"/>
      <c r="NUR32" s="414"/>
      <c r="NUS32" s="414"/>
      <c r="NUT32" s="414"/>
      <c r="NUU32" s="414"/>
      <c r="NUV32" s="414"/>
      <c r="NUW32" s="414"/>
      <c r="NUX32" s="414"/>
      <c r="NUY32" s="414"/>
      <c r="NUZ32" s="414"/>
      <c r="NVA32" s="414"/>
      <c r="NVB32" s="414"/>
      <c r="NVC32" s="414"/>
      <c r="NVD32" s="414"/>
      <c r="NVE32" s="414"/>
      <c r="NVF32" s="414"/>
      <c r="NVG32" s="414"/>
      <c r="NVH32" s="414"/>
      <c r="NVI32" s="414"/>
      <c r="NVJ32" s="414"/>
      <c r="NVK32" s="414"/>
      <c r="NVL32" s="414"/>
      <c r="NVM32" s="414"/>
      <c r="NVN32" s="414"/>
      <c r="NVO32" s="414"/>
      <c r="NVP32" s="414"/>
      <c r="NVQ32" s="414"/>
      <c r="NVR32" s="414"/>
      <c r="NVS32" s="414"/>
      <c r="NVT32" s="414"/>
      <c r="NVU32" s="414"/>
      <c r="NVV32" s="414"/>
      <c r="NVW32" s="414"/>
      <c r="NVX32" s="414"/>
      <c r="NVY32" s="414"/>
      <c r="NVZ32" s="414"/>
      <c r="NWA32" s="414"/>
      <c r="NWB32" s="414"/>
      <c r="NWC32" s="414"/>
      <c r="NWD32" s="414"/>
      <c r="NWE32" s="414"/>
      <c r="NWF32" s="414"/>
      <c r="NWG32" s="414"/>
      <c r="NWH32" s="414"/>
      <c r="NWI32" s="414"/>
      <c r="NWJ32" s="414"/>
      <c r="NWK32" s="414"/>
      <c r="NWL32" s="414"/>
      <c r="NWM32" s="414"/>
      <c r="NWN32" s="414"/>
      <c r="NWO32" s="414"/>
      <c r="NWP32" s="414"/>
      <c r="NWQ32" s="414"/>
      <c r="NWR32" s="414"/>
      <c r="NWS32" s="414"/>
      <c r="NWT32" s="414"/>
      <c r="NWU32" s="414"/>
      <c r="NWV32" s="414"/>
      <c r="NWW32" s="414"/>
      <c r="NWX32" s="414"/>
      <c r="NWY32" s="414"/>
      <c r="NWZ32" s="414"/>
      <c r="NXA32" s="414"/>
      <c r="NXB32" s="414"/>
      <c r="NXC32" s="414"/>
      <c r="NXD32" s="414"/>
      <c r="NXE32" s="414"/>
      <c r="NXF32" s="414"/>
      <c r="NXG32" s="414"/>
      <c r="NXH32" s="414"/>
      <c r="NXI32" s="414"/>
      <c r="NXJ32" s="414"/>
      <c r="NXK32" s="414"/>
      <c r="NXL32" s="414"/>
      <c r="NXM32" s="414"/>
      <c r="NXN32" s="414"/>
      <c r="NXO32" s="414"/>
      <c r="NXP32" s="414"/>
      <c r="NXQ32" s="414"/>
      <c r="NXR32" s="414"/>
      <c r="NXS32" s="414"/>
      <c r="NXT32" s="414"/>
      <c r="NXU32" s="414"/>
      <c r="NXV32" s="414"/>
      <c r="NXW32" s="414"/>
      <c r="NXX32" s="414"/>
      <c r="NXY32" s="414"/>
      <c r="NXZ32" s="414"/>
      <c r="NYA32" s="414"/>
      <c r="NYB32" s="414"/>
      <c r="NYC32" s="414"/>
      <c r="NYD32" s="414"/>
      <c r="NYE32" s="414"/>
      <c r="NYF32" s="414"/>
      <c r="NYG32" s="414"/>
      <c r="NYH32" s="414"/>
      <c r="NYI32" s="414"/>
      <c r="NYJ32" s="414"/>
      <c r="NYK32" s="414"/>
      <c r="NYL32" s="414"/>
      <c r="NYM32" s="414"/>
      <c r="NYN32" s="414"/>
      <c r="NYO32" s="414"/>
      <c r="NYP32" s="414"/>
      <c r="NYQ32" s="414"/>
      <c r="NYR32" s="414"/>
      <c r="NYS32" s="414"/>
      <c r="NYT32" s="414"/>
      <c r="NYU32" s="414"/>
      <c r="NYV32" s="414"/>
      <c r="NYW32" s="414"/>
      <c r="NYX32" s="414"/>
      <c r="NYY32" s="414"/>
      <c r="NYZ32" s="414"/>
      <c r="NZA32" s="414"/>
      <c r="NZB32" s="414"/>
      <c r="NZC32" s="414"/>
      <c r="NZD32" s="414"/>
      <c r="NZE32" s="414"/>
      <c r="NZF32" s="414"/>
      <c r="NZG32" s="414"/>
      <c r="NZH32" s="414"/>
      <c r="NZI32" s="414"/>
      <c r="NZJ32" s="414"/>
      <c r="NZK32" s="414"/>
      <c r="NZL32" s="414"/>
      <c r="NZM32" s="414"/>
      <c r="NZN32" s="414"/>
      <c r="NZO32" s="414"/>
      <c r="NZP32" s="414"/>
      <c r="NZQ32" s="414"/>
      <c r="NZR32" s="414"/>
      <c r="NZS32" s="414"/>
      <c r="NZT32" s="414"/>
      <c r="NZU32" s="414"/>
      <c r="NZV32" s="414"/>
      <c r="NZW32" s="414"/>
      <c r="NZX32" s="414"/>
      <c r="NZY32" s="414"/>
      <c r="NZZ32" s="414"/>
      <c r="OAA32" s="414"/>
      <c r="OAB32" s="414"/>
      <c r="OAC32" s="414"/>
      <c r="OAD32" s="414"/>
      <c r="OAE32" s="414"/>
      <c r="OAF32" s="414"/>
      <c r="OAG32" s="414"/>
      <c r="OAH32" s="414"/>
      <c r="OAI32" s="414"/>
      <c r="OAJ32" s="414"/>
      <c r="OAK32" s="414"/>
      <c r="OAL32" s="414"/>
      <c r="OAM32" s="414"/>
      <c r="OAN32" s="414"/>
      <c r="OAO32" s="414"/>
      <c r="OAP32" s="414"/>
      <c r="OAQ32" s="414"/>
      <c r="OAR32" s="414"/>
      <c r="OAS32" s="414"/>
      <c r="OAT32" s="414"/>
      <c r="OAU32" s="414"/>
      <c r="OAV32" s="414"/>
      <c r="OAW32" s="414"/>
      <c r="OAX32" s="414"/>
      <c r="OAY32" s="414"/>
      <c r="OAZ32" s="414"/>
      <c r="OBA32" s="414"/>
      <c r="OBB32" s="414"/>
      <c r="OBC32" s="414"/>
      <c r="OBD32" s="414"/>
      <c r="OBE32" s="414"/>
      <c r="OBF32" s="414"/>
      <c r="OBG32" s="414"/>
      <c r="OBH32" s="414"/>
      <c r="OBI32" s="414"/>
      <c r="OBJ32" s="414"/>
      <c r="OBK32" s="414"/>
      <c r="OBL32" s="414"/>
      <c r="OBM32" s="414"/>
      <c r="OBN32" s="414"/>
      <c r="OBO32" s="414"/>
      <c r="OBP32" s="414"/>
      <c r="OBQ32" s="414"/>
      <c r="OBR32" s="414"/>
      <c r="OBS32" s="414"/>
      <c r="OBT32" s="414"/>
      <c r="OBU32" s="414"/>
      <c r="OBV32" s="414"/>
      <c r="OBW32" s="414"/>
      <c r="OBX32" s="414"/>
      <c r="OBY32" s="414"/>
      <c r="OBZ32" s="414"/>
      <c r="OCA32" s="414"/>
      <c r="OCB32" s="414"/>
      <c r="OCC32" s="414"/>
      <c r="OCD32" s="414"/>
      <c r="OCE32" s="414"/>
      <c r="OCF32" s="414"/>
      <c r="OCG32" s="414"/>
      <c r="OCH32" s="414"/>
      <c r="OCI32" s="414"/>
      <c r="OCJ32" s="414"/>
      <c r="OCK32" s="414"/>
      <c r="OCL32" s="414"/>
      <c r="OCM32" s="414"/>
      <c r="OCN32" s="414"/>
      <c r="OCO32" s="414"/>
      <c r="OCP32" s="414"/>
      <c r="OCQ32" s="414"/>
      <c r="OCR32" s="414"/>
      <c r="OCS32" s="414"/>
      <c r="OCT32" s="414"/>
      <c r="OCU32" s="414"/>
      <c r="OCV32" s="414"/>
      <c r="OCW32" s="414"/>
      <c r="OCX32" s="414"/>
      <c r="OCY32" s="414"/>
      <c r="OCZ32" s="414"/>
      <c r="ODA32" s="414"/>
      <c r="ODB32" s="414"/>
      <c r="ODC32" s="414"/>
      <c r="ODD32" s="414"/>
      <c r="ODE32" s="414"/>
      <c r="ODF32" s="414"/>
      <c r="ODG32" s="414"/>
      <c r="ODH32" s="414"/>
      <c r="ODI32" s="414"/>
      <c r="ODJ32" s="414"/>
      <c r="ODK32" s="414"/>
      <c r="ODL32" s="414"/>
      <c r="ODM32" s="414"/>
      <c r="ODN32" s="414"/>
      <c r="ODO32" s="414"/>
      <c r="ODP32" s="414"/>
      <c r="ODQ32" s="414"/>
      <c r="ODR32" s="414"/>
      <c r="ODS32" s="414"/>
      <c r="ODT32" s="414"/>
      <c r="ODU32" s="414"/>
      <c r="ODV32" s="414"/>
      <c r="ODW32" s="414"/>
      <c r="ODX32" s="414"/>
      <c r="ODY32" s="414"/>
      <c r="ODZ32" s="414"/>
      <c r="OEA32" s="414"/>
      <c r="OEB32" s="414"/>
      <c r="OEC32" s="414"/>
      <c r="OED32" s="414"/>
      <c r="OEE32" s="414"/>
      <c r="OEF32" s="414"/>
      <c r="OEG32" s="414"/>
      <c r="OEH32" s="414"/>
      <c r="OEI32" s="414"/>
      <c r="OEJ32" s="414"/>
      <c r="OEK32" s="414"/>
      <c r="OEL32" s="414"/>
      <c r="OEM32" s="414"/>
      <c r="OEN32" s="414"/>
      <c r="OEO32" s="414"/>
      <c r="OEP32" s="414"/>
      <c r="OEQ32" s="414"/>
      <c r="OER32" s="414"/>
      <c r="OES32" s="414"/>
      <c r="OET32" s="414"/>
      <c r="OEU32" s="414"/>
      <c r="OEV32" s="414"/>
      <c r="OEW32" s="414"/>
      <c r="OEX32" s="414"/>
      <c r="OEY32" s="414"/>
      <c r="OEZ32" s="414"/>
      <c r="OFA32" s="414"/>
      <c r="OFB32" s="414"/>
      <c r="OFC32" s="414"/>
      <c r="OFD32" s="414"/>
      <c r="OFE32" s="414"/>
      <c r="OFF32" s="414"/>
      <c r="OFG32" s="414"/>
      <c r="OFH32" s="414"/>
      <c r="OFI32" s="414"/>
      <c r="OFJ32" s="414"/>
      <c r="OFK32" s="414"/>
      <c r="OFL32" s="414"/>
      <c r="OFM32" s="414"/>
      <c r="OFN32" s="414"/>
      <c r="OFO32" s="414"/>
      <c r="OFP32" s="414"/>
      <c r="OFQ32" s="414"/>
      <c r="OFR32" s="414"/>
      <c r="OFS32" s="414"/>
      <c r="OFT32" s="414"/>
      <c r="OFU32" s="414"/>
      <c r="OFV32" s="414"/>
      <c r="OFW32" s="414"/>
      <c r="OFX32" s="414"/>
      <c r="OFY32" s="414"/>
      <c r="OFZ32" s="414"/>
      <c r="OGA32" s="414"/>
      <c r="OGB32" s="414"/>
      <c r="OGC32" s="414"/>
      <c r="OGD32" s="414"/>
      <c r="OGE32" s="414"/>
      <c r="OGF32" s="414"/>
      <c r="OGG32" s="414"/>
      <c r="OGH32" s="414"/>
      <c r="OGI32" s="414"/>
      <c r="OGJ32" s="414"/>
      <c r="OGK32" s="414"/>
      <c r="OGL32" s="414"/>
      <c r="OGM32" s="414"/>
      <c r="OGN32" s="414"/>
      <c r="OGO32" s="414"/>
      <c r="OGP32" s="414"/>
      <c r="OGQ32" s="414"/>
      <c r="OGR32" s="414"/>
      <c r="OGS32" s="414"/>
      <c r="OGT32" s="414"/>
      <c r="OGU32" s="414"/>
      <c r="OGV32" s="414"/>
      <c r="OGW32" s="414"/>
      <c r="OGX32" s="414"/>
      <c r="OGY32" s="414"/>
      <c r="OGZ32" s="414"/>
      <c r="OHA32" s="414"/>
      <c r="OHB32" s="414"/>
      <c r="OHC32" s="414"/>
      <c r="OHD32" s="414"/>
      <c r="OHE32" s="414"/>
      <c r="OHF32" s="414"/>
      <c r="OHG32" s="414"/>
      <c r="OHH32" s="414"/>
      <c r="OHI32" s="414"/>
      <c r="OHJ32" s="414"/>
      <c r="OHK32" s="414"/>
      <c r="OHL32" s="414"/>
      <c r="OHM32" s="414"/>
      <c r="OHN32" s="414"/>
      <c r="OHO32" s="414"/>
      <c r="OHP32" s="414"/>
      <c r="OHQ32" s="414"/>
      <c r="OHR32" s="414"/>
      <c r="OHS32" s="414"/>
      <c r="OHT32" s="414"/>
      <c r="OHU32" s="414"/>
      <c r="OHV32" s="414"/>
      <c r="OHW32" s="414"/>
      <c r="OHX32" s="414"/>
      <c r="OHY32" s="414"/>
      <c r="OHZ32" s="414"/>
      <c r="OIA32" s="414"/>
      <c r="OIB32" s="414"/>
      <c r="OIC32" s="414"/>
      <c r="OID32" s="414"/>
      <c r="OIE32" s="414"/>
      <c r="OIF32" s="414"/>
      <c r="OIG32" s="414"/>
      <c r="OIH32" s="414"/>
      <c r="OII32" s="414"/>
      <c r="OIJ32" s="414"/>
      <c r="OIK32" s="414"/>
      <c r="OIL32" s="414"/>
      <c r="OIM32" s="414"/>
      <c r="OIN32" s="414"/>
      <c r="OIO32" s="414"/>
      <c r="OIP32" s="414"/>
      <c r="OIQ32" s="414"/>
      <c r="OIR32" s="414"/>
      <c r="OIS32" s="414"/>
      <c r="OIT32" s="414"/>
      <c r="OIU32" s="414"/>
      <c r="OIV32" s="414"/>
      <c r="OIW32" s="414"/>
      <c r="OIX32" s="414"/>
      <c r="OIY32" s="414"/>
      <c r="OIZ32" s="414"/>
      <c r="OJA32" s="414"/>
      <c r="OJB32" s="414"/>
      <c r="OJC32" s="414"/>
      <c r="OJD32" s="414"/>
      <c r="OJE32" s="414"/>
      <c r="OJF32" s="414"/>
      <c r="OJG32" s="414"/>
      <c r="OJH32" s="414"/>
      <c r="OJI32" s="414"/>
      <c r="OJJ32" s="414"/>
      <c r="OJK32" s="414"/>
      <c r="OJL32" s="414"/>
      <c r="OJM32" s="414"/>
      <c r="OJN32" s="414"/>
      <c r="OJO32" s="414"/>
      <c r="OJP32" s="414"/>
      <c r="OJQ32" s="414"/>
      <c r="OJR32" s="414"/>
      <c r="OJS32" s="414"/>
      <c r="OJT32" s="414"/>
      <c r="OJU32" s="414"/>
      <c r="OJV32" s="414"/>
      <c r="OJW32" s="414"/>
      <c r="OJX32" s="414"/>
      <c r="OJY32" s="414"/>
      <c r="OJZ32" s="414"/>
      <c r="OKA32" s="414"/>
      <c r="OKB32" s="414"/>
      <c r="OKC32" s="414"/>
      <c r="OKD32" s="414"/>
      <c r="OKE32" s="414"/>
      <c r="OKF32" s="414"/>
      <c r="OKG32" s="414"/>
      <c r="OKH32" s="414"/>
      <c r="OKI32" s="414"/>
      <c r="OKJ32" s="414"/>
      <c r="OKK32" s="414"/>
      <c r="OKL32" s="414"/>
      <c r="OKM32" s="414"/>
      <c r="OKN32" s="414"/>
      <c r="OKO32" s="414"/>
      <c r="OKP32" s="414"/>
      <c r="OKQ32" s="414"/>
      <c r="OKR32" s="414"/>
      <c r="OKS32" s="414"/>
      <c r="OKT32" s="414"/>
      <c r="OKU32" s="414"/>
      <c r="OKV32" s="414"/>
      <c r="OKW32" s="414"/>
      <c r="OKX32" s="414"/>
      <c r="OKY32" s="414"/>
      <c r="OKZ32" s="414"/>
      <c r="OLA32" s="414"/>
      <c r="OLB32" s="414"/>
      <c r="OLC32" s="414"/>
      <c r="OLD32" s="414"/>
      <c r="OLE32" s="414"/>
      <c r="OLF32" s="414"/>
      <c r="OLG32" s="414"/>
      <c r="OLH32" s="414"/>
      <c r="OLI32" s="414"/>
      <c r="OLJ32" s="414"/>
      <c r="OLK32" s="414"/>
      <c r="OLL32" s="414"/>
      <c r="OLM32" s="414"/>
      <c r="OLN32" s="414"/>
      <c r="OLO32" s="414"/>
      <c r="OLP32" s="414"/>
      <c r="OLQ32" s="414"/>
      <c r="OLR32" s="414"/>
      <c r="OLS32" s="414"/>
      <c r="OLT32" s="414"/>
      <c r="OLU32" s="414"/>
      <c r="OLV32" s="414"/>
      <c r="OLW32" s="414"/>
      <c r="OLX32" s="414"/>
      <c r="OLY32" s="414"/>
      <c r="OLZ32" s="414"/>
      <c r="OMA32" s="414"/>
      <c r="OMB32" s="414"/>
      <c r="OMC32" s="414"/>
      <c r="OMD32" s="414"/>
      <c r="OME32" s="414"/>
      <c r="OMF32" s="414"/>
      <c r="OMG32" s="414"/>
      <c r="OMH32" s="414"/>
      <c r="OMI32" s="414"/>
      <c r="OMJ32" s="414"/>
      <c r="OMK32" s="414"/>
      <c r="OML32" s="414"/>
      <c r="OMM32" s="414"/>
      <c r="OMN32" s="414"/>
      <c r="OMO32" s="414"/>
      <c r="OMP32" s="414"/>
      <c r="OMQ32" s="414"/>
      <c r="OMR32" s="414"/>
      <c r="OMS32" s="414"/>
      <c r="OMT32" s="414"/>
      <c r="OMU32" s="414"/>
      <c r="OMV32" s="414"/>
      <c r="OMW32" s="414"/>
      <c r="OMX32" s="414"/>
      <c r="OMY32" s="414"/>
      <c r="OMZ32" s="414"/>
      <c r="ONA32" s="414"/>
      <c r="ONB32" s="414"/>
      <c r="ONC32" s="414"/>
      <c r="OND32" s="414"/>
      <c r="ONE32" s="414"/>
      <c r="ONF32" s="414"/>
      <c r="ONG32" s="414"/>
      <c r="ONH32" s="414"/>
      <c r="ONI32" s="414"/>
      <c r="ONJ32" s="414"/>
      <c r="ONK32" s="414"/>
      <c r="ONL32" s="414"/>
      <c r="ONM32" s="414"/>
      <c r="ONN32" s="414"/>
      <c r="ONO32" s="414"/>
      <c r="ONP32" s="414"/>
      <c r="ONQ32" s="414"/>
      <c r="ONR32" s="414"/>
      <c r="ONS32" s="414"/>
      <c r="ONT32" s="414"/>
      <c r="ONU32" s="414"/>
      <c r="ONV32" s="414"/>
      <c r="ONW32" s="414"/>
      <c r="ONX32" s="414"/>
      <c r="ONY32" s="414"/>
      <c r="ONZ32" s="414"/>
      <c r="OOA32" s="414"/>
      <c r="OOB32" s="414"/>
      <c r="OOC32" s="414"/>
      <c r="OOD32" s="414"/>
      <c r="OOE32" s="414"/>
      <c r="OOF32" s="414"/>
      <c r="OOG32" s="414"/>
      <c r="OOH32" s="414"/>
      <c r="OOI32" s="414"/>
      <c r="OOJ32" s="414"/>
      <c r="OOK32" s="414"/>
      <c r="OOL32" s="414"/>
      <c r="OOM32" s="414"/>
      <c r="OON32" s="414"/>
      <c r="OOO32" s="414"/>
      <c r="OOP32" s="414"/>
      <c r="OOQ32" s="414"/>
      <c r="OOR32" s="414"/>
      <c r="OOS32" s="414"/>
      <c r="OOT32" s="414"/>
      <c r="OOU32" s="414"/>
      <c r="OOV32" s="414"/>
      <c r="OOW32" s="414"/>
      <c r="OOX32" s="414"/>
      <c r="OOY32" s="414"/>
      <c r="OOZ32" s="414"/>
      <c r="OPA32" s="414"/>
      <c r="OPB32" s="414"/>
      <c r="OPC32" s="414"/>
      <c r="OPD32" s="414"/>
      <c r="OPE32" s="414"/>
      <c r="OPF32" s="414"/>
      <c r="OPG32" s="414"/>
      <c r="OPH32" s="414"/>
      <c r="OPI32" s="414"/>
      <c r="OPJ32" s="414"/>
      <c r="OPK32" s="414"/>
      <c r="OPL32" s="414"/>
      <c r="OPM32" s="414"/>
      <c r="OPN32" s="414"/>
      <c r="OPO32" s="414"/>
      <c r="OPP32" s="414"/>
      <c r="OPQ32" s="414"/>
      <c r="OPR32" s="414"/>
      <c r="OPS32" s="414"/>
      <c r="OPT32" s="414"/>
      <c r="OPU32" s="414"/>
      <c r="OPV32" s="414"/>
      <c r="OPW32" s="414"/>
      <c r="OPX32" s="414"/>
      <c r="OPY32" s="414"/>
      <c r="OPZ32" s="414"/>
      <c r="OQA32" s="414"/>
      <c r="OQB32" s="414"/>
      <c r="OQC32" s="414"/>
      <c r="OQD32" s="414"/>
      <c r="OQE32" s="414"/>
      <c r="OQF32" s="414"/>
      <c r="OQG32" s="414"/>
      <c r="OQH32" s="414"/>
      <c r="OQI32" s="414"/>
      <c r="OQJ32" s="414"/>
      <c r="OQK32" s="414"/>
      <c r="OQL32" s="414"/>
      <c r="OQM32" s="414"/>
      <c r="OQN32" s="414"/>
      <c r="OQO32" s="414"/>
      <c r="OQP32" s="414"/>
      <c r="OQQ32" s="414"/>
      <c r="OQR32" s="414"/>
      <c r="OQS32" s="414"/>
      <c r="OQT32" s="414"/>
      <c r="OQU32" s="414"/>
      <c r="OQV32" s="414"/>
      <c r="OQW32" s="414"/>
      <c r="OQX32" s="414"/>
      <c r="OQY32" s="414"/>
      <c r="OQZ32" s="414"/>
      <c r="ORA32" s="414"/>
      <c r="ORB32" s="414"/>
      <c r="ORC32" s="414"/>
      <c r="ORD32" s="414"/>
      <c r="ORE32" s="414"/>
      <c r="ORF32" s="414"/>
      <c r="ORG32" s="414"/>
      <c r="ORH32" s="414"/>
      <c r="ORI32" s="414"/>
      <c r="ORJ32" s="414"/>
      <c r="ORK32" s="414"/>
      <c r="ORL32" s="414"/>
      <c r="ORM32" s="414"/>
      <c r="ORN32" s="414"/>
      <c r="ORO32" s="414"/>
      <c r="ORP32" s="414"/>
      <c r="ORQ32" s="414"/>
      <c r="ORR32" s="414"/>
      <c r="ORS32" s="414"/>
      <c r="ORT32" s="414"/>
      <c r="ORU32" s="414"/>
      <c r="ORV32" s="414"/>
      <c r="ORW32" s="414"/>
      <c r="ORX32" s="414"/>
      <c r="ORY32" s="414"/>
      <c r="ORZ32" s="414"/>
      <c r="OSA32" s="414"/>
      <c r="OSB32" s="414"/>
      <c r="OSC32" s="414"/>
      <c r="OSD32" s="414"/>
      <c r="OSE32" s="414"/>
      <c r="OSF32" s="414"/>
      <c r="OSG32" s="414"/>
      <c r="OSH32" s="414"/>
      <c r="OSI32" s="414"/>
      <c r="OSJ32" s="414"/>
      <c r="OSK32" s="414"/>
      <c r="OSL32" s="414"/>
      <c r="OSM32" s="414"/>
      <c r="OSN32" s="414"/>
      <c r="OSO32" s="414"/>
      <c r="OSP32" s="414"/>
      <c r="OSQ32" s="414"/>
      <c r="OSR32" s="414"/>
      <c r="OSS32" s="414"/>
      <c r="OST32" s="414"/>
      <c r="OSU32" s="414"/>
      <c r="OSV32" s="414"/>
      <c r="OSW32" s="414"/>
      <c r="OSX32" s="414"/>
      <c r="OSY32" s="414"/>
      <c r="OSZ32" s="414"/>
      <c r="OTA32" s="414"/>
      <c r="OTB32" s="414"/>
      <c r="OTC32" s="414"/>
      <c r="OTD32" s="414"/>
      <c r="OTE32" s="414"/>
      <c r="OTF32" s="414"/>
      <c r="OTG32" s="414"/>
      <c r="OTH32" s="414"/>
      <c r="OTI32" s="414"/>
      <c r="OTJ32" s="414"/>
      <c r="OTK32" s="414"/>
      <c r="OTL32" s="414"/>
      <c r="OTM32" s="414"/>
      <c r="OTN32" s="414"/>
      <c r="OTO32" s="414"/>
      <c r="OTP32" s="414"/>
      <c r="OTQ32" s="414"/>
      <c r="OTR32" s="414"/>
      <c r="OTS32" s="414"/>
      <c r="OTT32" s="414"/>
      <c r="OTU32" s="414"/>
      <c r="OTV32" s="414"/>
      <c r="OTW32" s="414"/>
      <c r="OTX32" s="414"/>
      <c r="OTY32" s="414"/>
      <c r="OTZ32" s="414"/>
      <c r="OUA32" s="414"/>
      <c r="OUB32" s="414"/>
      <c r="OUC32" s="414"/>
      <c r="OUD32" s="414"/>
      <c r="OUE32" s="414"/>
      <c r="OUF32" s="414"/>
      <c r="OUG32" s="414"/>
      <c r="OUH32" s="414"/>
      <c r="OUI32" s="414"/>
      <c r="OUJ32" s="414"/>
      <c r="OUK32" s="414"/>
      <c r="OUL32" s="414"/>
      <c r="OUM32" s="414"/>
      <c r="OUN32" s="414"/>
      <c r="OUO32" s="414"/>
      <c r="OUP32" s="414"/>
      <c r="OUQ32" s="414"/>
      <c r="OUR32" s="414"/>
      <c r="OUS32" s="414"/>
      <c r="OUT32" s="414"/>
      <c r="OUU32" s="414"/>
      <c r="OUV32" s="414"/>
      <c r="OUW32" s="414"/>
      <c r="OUX32" s="414"/>
      <c r="OUY32" s="414"/>
      <c r="OUZ32" s="414"/>
      <c r="OVA32" s="414"/>
      <c r="OVB32" s="414"/>
      <c r="OVC32" s="414"/>
      <c r="OVD32" s="414"/>
      <c r="OVE32" s="414"/>
      <c r="OVF32" s="414"/>
      <c r="OVG32" s="414"/>
      <c r="OVH32" s="414"/>
      <c r="OVI32" s="414"/>
      <c r="OVJ32" s="414"/>
      <c r="OVK32" s="414"/>
      <c r="OVL32" s="414"/>
      <c r="OVM32" s="414"/>
      <c r="OVN32" s="414"/>
      <c r="OVO32" s="414"/>
      <c r="OVP32" s="414"/>
      <c r="OVQ32" s="414"/>
      <c r="OVR32" s="414"/>
      <c r="OVS32" s="414"/>
      <c r="OVT32" s="414"/>
      <c r="OVU32" s="414"/>
      <c r="OVV32" s="414"/>
      <c r="OVW32" s="414"/>
      <c r="OVX32" s="414"/>
      <c r="OVY32" s="414"/>
      <c r="OVZ32" s="414"/>
      <c r="OWA32" s="414"/>
      <c r="OWB32" s="414"/>
      <c r="OWC32" s="414"/>
      <c r="OWD32" s="414"/>
      <c r="OWE32" s="414"/>
      <c r="OWF32" s="414"/>
      <c r="OWG32" s="414"/>
      <c r="OWH32" s="414"/>
      <c r="OWI32" s="414"/>
      <c r="OWJ32" s="414"/>
      <c r="OWK32" s="414"/>
      <c r="OWL32" s="414"/>
      <c r="OWM32" s="414"/>
      <c r="OWN32" s="414"/>
      <c r="OWO32" s="414"/>
      <c r="OWP32" s="414"/>
      <c r="OWQ32" s="414"/>
      <c r="OWR32" s="414"/>
      <c r="OWS32" s="414"/>
      <c r="OWT32" s="414"/>
      <c r="OWU32" s="414"/>
      <c r="OWV32" s="414"/>
      <c r="OWW32" s="414"/>
      <c r="OWX32" s="414"/>
      <c r="OWY32" s="414"/>
      <c r="OWZ32" s="414"/>
      <c r="OXA32" s="414"/>
      <c r="OXB32" s="414"/>
      <c r="OXC32" s="414"/>
      <c r="OXD32" s="414"/>
      <c r="OXE32" s="414"/>
      <c r="OXF32" s="414"/>
      <c r="OXG32" s="414"/>
      <c r="OXH32" s="414"/>
      <c r="OXI32" s="414"/>
      <c r="OXJ32" s="414"/>
      <c r="OXK32" s="414"/>
      <c r="OXL32" s="414"/>
      <c r="OXM32" s="414"/>
      <c r="OXN32" s="414"/>
      <c r="OXO32" s="414"/>
      <c r="OXP32" s="414"/>
      <c r="OXQ32" s="414"/>
      <c r="OXR32" s="414"/>
      <c r="OXS32" s="414"/>
      <c r="OXT32" s="414"/>
      <c r="OXU32" s="414"/>
      <c r="OXV32" s="414"/>
      <c r="OXW32" s="414"/>
      <c r="OXX32" s="414"/>
      <c r="OXY32" s="414"/>
      <c r="OXZ32" s="414"/>
      <c r="OYA32" s="414"/>
      <c r="OYB32" s="414"/>
      <c r="OYC32" s="414"/>
      <c r="OYD32" s="414"/>
      <c r="OYE32" s="414"/>
      <c r="OYF32" s="414"/>
      <c r="OYG32" s="414"/>
      <c r="OYH32" s="414"/>
      <c r="OYI32" s="414"/>
      <c r="OYJ32" s="414"/>
      <c r="OYK32" s="414"/>
      <c r="OYL32" s="414"/>
      <c r="OYM32" s="414"/>
      <c r="OYN32" s="414"/>
      <c r="OYO32" s="414"/>
      <c r="OYP32" s="414"/>
      <c r="OYQ32" s="414"/>
      <c r="OYR32" s="414"/>
      <c r="OYS32" s="414"/>
      <c r="OYT32" s="414"/>
      <c r="OYU32" s="414"/>
      <c r="OYV32" s="414"/>
      <c r="OYW32" s="414"/>
      <c r="OYX32" s="414"/>
      <c r="OYY32" s="414"/>
      <c r="OYZ32" s="414"/>
      <c r="OZA32" s="414"/>
      <c r="OZB32" s="414"/>
      <c r="OZC32" s="414"/>
      <c r="OZD32" s="414"/>
      <c r="OZE32" s="414"/>
      <c r="OZF32" s="414"/>
      <c r="OZG32" s="414"/>
      <c r="OZH32" s="414"/>
      <c r="OZI32" s="414"/>
      <c r="OZJ32" s="414"/>
      <c r="OZK32" s="414"/>
      <c r="OZL32" s="414"/>
      <c r="OZM32" s="414"/>
      <c r="OZN32" s="414"/>
      <c r="OZO32" s="414"/>
      <c r="OZP32" s="414"/>
      <c r="OZQ32" s="414"/>
      <c r="OZR32" s="414"/>
      <c r="OZS32" s="414"/>
      <c r="OZT32" s="414"/>
      <c r="OZU32" s="414"/>
      <c r="OZV32" s="414"/>
      <c r="OZW32" s="414"/>
      <c r="OZX32" s="414"/>
      <c r="OZY32" s="414"/>
      <c r="OZZ32" s="414"/>
      <c r="PAA32" s="414"/>
      <c r="PAB32" s="414"/>
      <c r="PAC32" s="414"/>
      <c r="PAD32" s="414"/>
      <c r="PAE32" s="414"/>
      <c r="PAF32" s="414"/>
      <c r="PAG32" s="414"/>
      <c r="PAH32" s="414"/>
      <c r="PAI32" s="414"/>
      <c r="PAJ32" s="414"/>
      <c r="PAK32" s="414"/>
      <c r="PAL32" s="414"/>
      <c r="PAM32" s="414"/>
      <c r="PAN32" s="414"/>
      <c r="PAO32" s="414"/>
      <c r="PAP32" s="414"/>
      <c r="PAQ32" s="414"/>
      <c r="PAR32" s="414"/>
      <c r="PAS32" s="414"/>
      <c r="PAT32" s="414"/>
      <c r="PAU32" s="414"/>
      <c r="PAV32" s="414"/>
      <c r="PAW32" s="414"/>
      <c r="PAX32" s="414"/>
      <c r="PAY32" s="414"/>
      <c r="PAZ32" s="414"/>
      <c r="PBA32" s="414"/>
      <c r="PBB32" s="414"/>
      <c r="PBC32" s="414"/>
      <c r="PBD32" s="414"/>
      <c r="PBE32" s="414"/>
      <c r="PBF32" s="414"/>
      <c r="PBG32" s="414"/>
      <c r="PBH32" s="414"/>
      <c r="PBI32" s="414"/>
      <c r="PBJ32" s="414"/>
      <c r="PBK32" s="414"/>
      <c r="PBL32" s="414"/>
      <c r="PBM32" s="414"/>
      <c r="PBN32" s="414"/>
      <c r="PBO32" s="414"/>
      <c r="PBP32" s="414"/>
      <c r="PBQ32" s="414"/>
      <c r="PBR32" s="414"/>
      <c r="PBS32" s="414"/>
      <c r="PBT32" s="414"/>
      <c r="PBU32" s="414"/>
      <c r="PBV32" s="414"/>
      <c r="PBW32" s="414"/>
      <c r="PBX32" s="414"/>
      <c r="PBY32" s="414"/>
      <c r="PBZ32" s="414"/>
      <c r="PCA32" s="414"/>
      <c r="PCB32" s="414"/>
      <c r="PCC32" s="414"/>
      <c r="PCD32" s="414"/>
      <c r="PCE32" s="414"/>
      <c r="PCF32" s="414"/>
      <c r="PCG32" s="414"/>
      <c r="PCH32" s="414"/>
      <c r="PCI32" s="414"/>
      <c r="PCJ32" s="414"/>
      <c r="PCK32" s="414"/>
      <c r="PCL32" s="414"/>
      <c r="PCM32" s="414"/>
      <c r="PCN32" s="414"/>
      <c r="PCO32" s="414"/>
      <c r="PCP32" s="414"/>
      <c r="PCQ32" s="414"/>
      <c r="PCR32" s="414"/>
      <c r="PCS32" s="414"/>
      <c r="PCT32" s="414"/>
      <c r="PCU32" s="414"/>
      <c r="PCV32" s="414"/>
      <c r="PCW32" s="414"/>
      <c r="PCX32" s="414"/>
      <c r="PCY32" s="414"/>
      <c r="PCZ32" s="414"/>
      <c r="PDA32" s="414"/>
      <c r="PDB32" s="414"/>
      <c r="PDC32" s="414"/>
      <c r="PDD32" s="414"/>
      <c r="PDE32" s="414"/>
      <c r="PDF32" s="414"/>
      <c r="PDG32" s="414"/>
      <c r="PDH32" s="414"/>
      <c r="PDI32" s="414"/>
      <c r="PDJ32" s="414"/>
      <c r="PDK32" s="414"/>
      <c r="PDL32" s="414"/>
      <c r="PDM32" s="414"/>
      <c r="PDN32" s="414"/>
      <c r="PDO32" s="414"/>
      <c r="PDP32" s="414"/>
      <c r="PDQ32" s="414"/>
      <c r="PDR32" s="414"/>
      <c r="PDS32" s="414"/>
      <c r="PDT32" s="414"/>
      <c r="PDU32" s="414"/>
      <c r="PDV32" s="414"/>
      <c r="PDW32" s="414"/>
      <c r="PDX32" s="414"/>
      <c r="PDY32" s="414"/>
      <c r="PDZ32" s="414"/>
      <c r="PEA32" s="414"/>
      <c r="PEB32" s="414"/>
      <c r="PEC32" s="414"/>
      <c r="PED32" s="414"/>
      <c r="PEE32" s="414"/>
      <c r="PEF32" s="414"/>
      <c r="PEG32" s="414"/>
      <c r="PEH32" s="414"/>
      <c r="PEI32" s="414"/>
      <c r="PEJ32" s="414"/>
      <c r="PEK32" s="414"/>
      <c r="PEL32" s="414"/>
      <c r="PEM32" s="414"/>
      <c r="PEN32" s="414"/>
      <c r="PEO32" s="414"/>
      <c r="PEP32" s="414"/>
      <c r="PEQ32" s="414"/>
      <c r="PER32" s="414"/>
      <c r="PES32" s="414"/>
      <c r="PET32" s="414"/>
      <c r="PEU32" s="414"/>
      <c r="PEV32" s="414"/>
      <c r="PEW32" s="414"/>
      <c r="PEX32" s="414"/>
      <c r="PEY32" s="414"/>
      <c r="PEZ32" s="414"/>
      <c r="PFA32" s="414"/>
      <c r="PFB32" s="414"/>
      <c r="PFC32" s="414"/>
      <c r="PFD32" s="414"/>
      <c r="PFE32" s="414"/>
      <c r="PFF32" s="414"/>
      <c r="PFG32" s="414"/>
      <c r="PFH32" s="414"/>
      <c r="PFI32" s="414"/>
      <c r="PFJ32" s="414"/>
      <c r="PFK32" s="414"/>
      <c r="PFL32" s="414"/>
      <c r="PFM32" s="414"/>
      <c r="PFN32" s="414"/>
      <c r="PFO32" s="414"/>
      <c r="PFP32" s="414"/>
      <c r="PFQ32" s="414"/>
      <c r="PFR32" s="414"/>
      <c r="PFS32" s="414"/>
      <c r="PFT32" s="414"/>
      <c r="PFU32" s="414"/>
      <c r="PFV32" s="414"/>
      <c r="PFW32" s="414"/>
      <c r="PFX32" s="414"/>
      <c r="PFY32" s="414"/>
      <c r="PFZ32" s="414"/>
      <c r="PGA32" s="414"/>
      <c r="PGB32" s="414"/>
      <c r="PGC32" s="414"/>
      <c r="PGD32" s="414"/>
      <c r="PGE32" s="414"/>
      <c r="PGF32" s="414"/>
      <c r="PGG32" s="414"/>
      <c r="PGH32" s="414"/>
      <c r="PGI32" s="414"/>
      <c r="PGJ32" s="414"/>
      <c r="PGK32" s="414"/>
      <c r="PGL32" s="414"/>
      <c r="PGM32" s="414"/>
      <c r="PGN32" s="414"/>
      <c r="PGO32" s="414"/>
      <c r="PGP32" s="414"/>
      <c r="PGQ32" s="414"/>
      <c r="PGR32" s="414"/>
      <c r="PGS32" s="414"/>
      <c r="PGT32" s="414"/>
      <c r="PGU32" s="414"/>
      <c r="PGV32" s="414"/>
      <c r="PGW32" s="414"/>
      <c r="PGX32" s="414"/>
      <c r="PGY32" s="414"/>
      <c r="PGZ32" s="414"/>
      <c r="PHA32" s="414"/>
      <c r="PHB32" s="414"/>
      <c r="PHC32" s="414"/>
      <c r="PHD32" s="414"/>
      <c r="PHE32" s="414"/>
      <c r="PHF32" s="414"/>
      <c r="PHG32" s="414"/>
      <c r="PHH32" s="414"/>
      <c r="PHI32" s="414"/>
      <c r="PHJ32" s="414"/>
      <c r="PHK32" s="414"/>
      <c r="PHL32" s="414"/>
      <c r="PHM32" s="414"/>
      <c r="PHN32" s="414"/>
      <c r="PHO32" s="414"/>
      <c r="PHP32" s="414"/>
      <c r="PHQ32" s="414"/>
      <c r="PHR32" s="414"/>
      <c r="PHS32" s="414"/>
      <c r="PHT32" s="414"/>
      <c r="PHU32" s="414"/>
      <c r="PHV32" s="414"/>
      <c r="PHW32" s="414"/>
      <c r="PHX32" s="414"/>
      <c r="PHY32" s="414"/>
      <c r="PHZ32" s="414"/>
      <c r="PIA32" s="414"/>
      <c r="PIB32" s="414"/>
      <c r="PIC32" s="414"/>
      <c r="PID32" s="414"/>
      <c r="PIE32" s="414"/>
      <c r="PIF32" s="414"/>
      <c r="PIG32" s="414"/>
      <c r="PIH32" s="414"/>
      <c r="PII32" s="414"/>
      <c r="PIJ32" s="414"/>
      <c r="PIK32" s="414"/>
      <c r="PIL32" s="414"/>
      <c r="PIM32" s="414"/>
      <c r="PIN32" s="414"/>
      <c r="PIO32" s="414"/>
      <c r="PIP32" s="414"/>
      <c r="PIQ32" s="414"/>
      <c r="PIR32" s="414"/>
      <c r="PIS32" s="414"/>
      <c r="PIT32" s="414"/>
      <c r="PIU32" s="414"/>
      <c r="PIV32" s="414"/>
      <c r="PIW32" s="414"/>
      <c r="PIX32" s="414"/>
      <c r="PIY32" s="414"/>
      <c r="PIZ32" s="414"/>
      <c r="PJA32" s="414"/>
      <c r="PJB32" s="414"/>
      <c r="PJC32" s="414"/>
      <c r="PJD32" s="414"/>
      <c r="PJE32" s="414"/>
      <c r="PJF32" s="414"/>
      <c r="PJG32" s="414"/>
      <c r="PJH32" s="414"/>
      <c r="PJI32" s="414"/>
      <c r="PJJ32" s="414"/>
      <c r="PJK32" s="414"/>
      <c r="PJL32" s="414"/>
      <c r="PJM32" s="414"/>
      <c r="PJN32" s="414"/>
      <c r="PJO32" s="414"/>
      <c r="PJP32" s="414"/>
      <c r="PJQ32" s="414"/>
      <c r="PJR32" s="414"/>
      <c r="PJS32" s="414"/>
      <c r="PJT32" s="414"/>
      <c r="PJU32" s="414"/>
      <c r="PJV32" s="414"/>
      <c r="PJW32" s="414"/>
      <c r="PJX32" s="414"/>
      <c r="PJY32" s="414"/>
      <c r="PJZ32" s="414"/>
      <c r="PKA32" s="414"/>
      <c r="PKB32" s="414"/>
      <c r="PKC32" s="414"/>
      <c r="PKD32" s="414"/>
      <c r="PKE32" s="414"/>
      <c r="PKF32" s="414"/>
      <c r="PKG32" s="414"/>
      <c r="PKH32" s="414"/>
      <c r="PKI32" s="414"/>
      <c r="PKJ32" s="414"/>
      <c r="PKK32" s="414"/>
      <c r="PKL32" s="414"/>
      <c r="PKM32" s="414"/>
      <c r="PKN32" s="414"/>
      <c r="PKO32" s="414"/>
      <c r="PKP32" s="414"/>
      <c r="PKQ32" s="414"/>
      <c r="PKR32" s="414"/>
      <c r="PKS32" s="414"/>
      <c r="PKT32" s="414"/>
      <c r="PKU32" s="414"/>
      <c r="PKV32" s="414"/>
      <c r="PKW32" s="414"/>
      <c r="PKX32" s="414"/>
      <c r="PKY32" s="414"/>
      <c r="PKZ32" s="414"/>
      <c r="PLA32" s="414"/>
      <c r="PLB32" s="414"/>
      <c r="PLC32" s="414"/>
      <c r="PLD32" s="414"/>
      <c r="PLE32" s="414"/>
      <c r="PLF32" s="414"/>
      <c r="PLG32" s="414"/>
      <c r="PLH32" s="414"/>
      <c r="PLI32" s="414"/>
      <c r="PLJ32" s="414"/>
      <c r="PLK32" s="414"/>
      <c r="PLL32" s="414"/>
      <c r="PLM32" s="414"/>
      <c r="PLN32" s="414"/>
      <c r="PLO32" s="414"/>
      <c r="PLP32" s="414"/>
      <c r="PLQ32" s="414"/>
      <c r="PLR32" s="414"/>
      <c r="PLS32" s="414"/>
      <c r="PLT32" s="414"/>
      <c r="PLU32" s="414"/>
      <c r="PLV32" s="414"/>
      <c r="PLW32" s="414"/>
      <c r="PLX32" s="414"/>
      <c r="PLY32" s="414"/>
      <c r="PLZ32" s="414"/>
      <c r="PMA32" s="414"/>
      <c r="PMB32" s="414"/>
      <c r="PMC32" s="414"/>
      <c r="PMD32" s="414"/>
      <c r="PME32" s="414"/>
      <c r="PMF32" s="414"/>
      <c r="PMG32" s="414"/>
      <c r="PMH32" s="414"/>
      <c r="PMI32" s="414"/>
      <c r="PMJ32" s="414"/>
      <c r="PMK32" s="414"/>
      <c r="PML32" s="414"/>
      <c r="PMM32" s="414"/>
      <c r="PMN32" s="414"/>
      <c r="PMO32" s="414"/>
      <c r="PMP32" s="414"/>
      <c r="PMQ32" s="414"/>
      <c r="PMR32" s="414"/>
      <c r="PMS32" s="414"/>
      <c r="PMT32" s="414"/>
      <c r="PMU32" s="414"/>
      <c r="PMV32" s="414"/>
      <c r="PMW32" s="414"/>
      <c r="PMX32" s="414"/>
      <c r="PMY32" s="414"/>
      <c r="PMZ32" s="414"/>
      <c r="PNA32" s="414"/>
      <c r="PNB32" s="414"/>
      <c r="PNC32" s="414"/>
      <c r="PND32" s="414"/>
      <c r="PNE32" s="414"/>
      <c r="PNF32" s="414"/>
      <c r="PNG32" s="414"/>
      <c r="PNH32" s="414"/>
      <c r="PNI32" s="414"/>
      <c r="PNJ32" s="414"/>
      <c r="PNK32" s="414"/>
      <c r="PNL32" s="414"/>
      <c r="PNM32" s="414"/>
      <c r="PNN32" s="414"/>
      <c r="PNO32" s="414"/>
      <c r="PNP32" s="414"/>
      <c r="PNQ32" s="414"/>
      <c r="PNR32" s="414"/>
      <c r="PNS32" s="414"/>
      <c r="PNT32" s="414"/>
      <c r="PNU32" s="414"/>
      <c r="PNV32" s="414"/>
      <c r="PNW32" s="414"/>
      <c r="PNX32" s="414"/>
      <c r="PNY32" s="414"/>
      <c r="PNZ32" s="414"/>
      <c r="POA32" s="414"/>
      <c r="POB32" s="414"/>
      <c r="POC32" s="414"/>
      <c r="POD32" s="414"/>
      <c r="POE32" s="414"/>
      <c r="POF32" s="414"/>
      <c r="POG32" s="414"/>
      <c r="POH32" s="414"/>
      <c r="POI32" s="414"/>
      <c r="POJ32" s="414"/>
      <c r="POK32" s="414"/>
      <c r="POL32" s="414"/>
      <c r="POM32" s="414"/>
      <c r="PON32" s="414"/>
      <c r="POO32" s="414"/>
      <c r="POP32" s="414"/>
      <c r="POQ32" s="414"/>
      <c r="POR32" s="414"/>
      <c r="POS32" s="414"/>
      <c r="POT32" s="414"/>
      <c r="POU32" s="414"/>
      <c r="POV32" s="414"/>
      <c r="POW32" s="414"/>
      <c r="POX32" s="414"/>
      <c r="POY32" s="414"/>
      <c r="POZ32" s="414"/>
      <c r="PPA32" s="414"/>
      <c r="PPB32" s="414"/>
      <c r="PPC32" s="414"/>
      <c r="PPD32" s="414"/>
      <c r="PPE32" s="414"/>
      <c r="PPF32" s="414"/>
      <c r="PPG32" s="414"/>
      <c r="PPH32" s="414"/>
      <c r="PPI32" s="414"/>
      <c r="PPJ32" s="414"/>
      <c r="PPK32" s="414"/>
      <c r="PPL32" s="414"/>
      <c r="PPM32" s="414"/>
      <c r="PPN32" s="414"/>
      <c r="PPO32" s="414"/>
      <c r="PPP32" s="414"/>
      <c r="PPQ32" s="414"/>
      <c r="PPR32" s="414"/>
      <c r="PPS32" s="414"/>
      <c r="PPT32" s="414"/>
      <c r="PPU32" s="414"/>
      <c r="PPV32" s="414"/>
      <c r="PPW32" s="414"/>
      <c r="PPX32" s="414"/>
      <c r="PPY32" s="414"/>
      <c r="PPZ32" s="414"/>
      <c r="PQA32" s="414"/>
      <c r="PQB32" s="414"/>
      <c r="PQC32" s="414"/>
      <c r="PQD32" s="414"/>
      <c r="PQE32" s="414"/>
      <c r="PQF32" s="414"/>
      <c r="PQG32" s="414"/>
      <c r="PQH32" s="414"/>
      <c r="PQI32" s="414"/>
      <c r="PQJ32" s="414"/>
      <c r="PQK32" s="414"/>
      <c r="PQL32" s="414"/>
      <c r="PQM32" s="414"/>
      <c r="PQN32" s="414"/>
      <c r="PQO32" s="414"/>
      <c r="PQP32" s="414"/>
      <c r="PQQ32" s="414"/>
      <c r="PQR32" s="414"/>
      <c r="PQS32" s="414"/>
      <c r="PQT32" s="414"/>
      <c r="PQU32" s="414"/>
      <c r="PQV32" s="414"/>
      <c r="PQW32" s="414"/>
      <c r="PQX32" s="414"/>
      <c r="PQY32" s="414"/>
      <c r="PQZ32" s="414"/>
      <c r="PRA32" s="414"/>
      <c r="PRB32" s="414"/>
      <c r="PRC32" s="414"/>
      <c r="PRD32" s="414"/>
      <c r="PRE32" s="414"/>
      <c r="PRF32" s="414"/>
      <c r="PRG32" s="414"/>
      <c r="PRH32" s="414"/>
      <c r="PRI32" s="414"/>
      <c r="PRJ32" s="414"/>
      <c r="PRK32" s="414"/>
      <c r="PRL32" s="414"/>
      <c r="PRM32" s="414"/>
      <c r="PRN32" s="414"/>
      <c r="PRO32" s="414"/>
      <c r="PRP32" s="414"/>
      <c r="PRQ32" s="414"/>
      <c r="PRR32" s="414"/>
      <c r="PRS32" s="414"/>
      <c r="PRT32" s="414"/>
      <c r="PRU32" s="414"/>
      <c r="PRV32" s="414"/>
      <c r="PRW32" s="414"/>
      <c r="PRX32" s="414"/>
      <c r="PRY32" s="414"/>
      <c r="PRZ32" s="414"/>
      <c r="PSA32" s="414"/>
      <c r="PSB32" s="414"/>
      <c r="PSC32" s="414"/>
      <c r="PSD32" s="414"/>
      <c r="PSE32" s="414"/>
      <c r="PSF32" s="414"/>
      <c r="PSG32" s="414"/>
      <c r="PSH32" s="414"/>
      <c r="PSI32" s="414"/>
      <c r="PSJ32" s="414"/>
      <c r="PSK32" s="414"/>
      <c r="PSL32" s="414"/>
      <c r="PSM32" s="414"/>
      <c r="PSN32" s="414"/>
      <c r="PSO32" s="414"/>
      <c r="PSP32" s="414"/>
      <c r="PSQ32" s="414"/>
      <c r="PSR32" s="414"/>
      <c r="PSS32" s="414"/>
      <c r="PST32" s="414"/>
      <c r="PSU32" s="414"/>
      <c r="PSV32" s="414"/>
      <c r="PSW32" s="414"/>
      <c r="PSX32" s="414"/>
      <c r="PSY32" s="414"/>
      <c r="PSZ32" s="414"/>
      <c r="PTA32" s="414"/>
      <c r="PTB32" s="414"/>
      <c r="PTC32" s="414"/>
      <c r="PTD32" s="414"/>
      <c r="PTE32" s="414"/>
      <c r="PTF32" s="414"/>
      <c r="PTG32" s="414"/>
      <c r="PTH32" s="414"/>
      <c r="PTI32" s="414"/>
      <c r="PTJ32" s="414"/>
      <c r="PTK32" s="414"/>
      <c r="PTL32" s="414"/>
      <c r="PTM32" s="414"/>
      <c r="PTN32" s="414"/>
      <c r="PTO32" s="414"/>
      <c r="PTP32" s="414"/>
      <c r="PTQ32" s="414"/>
      <c r="PTR32" s="414"/>
      <c r="PTS32" s="414"/>
      <c r="PTT32" s="414"/>
      <c r="PTU32" s="414"/>
      <c r="PTV32" s="414"/>
      <c r="PTW32" s="414"/>
      <c r="PTX32" s="414"/>
      <c r="PTY32" s="414"/>
      <c r="PTZ32" s="414"/>
      <c r="PUA32" s="414"/>
      <c r="PUB32" s="414"/>
      <c r="PUC32" s="414"/>
      <c r="PUD32" s="414"/>
      <c r="PUE32" s="414"/>
      <c r="PUF32" s="414"/>
      <c r="PUG32" s="414"/>
      <c r="PUH32" s="414"/>
      <c r="PUI32" s="414"/>
      <c r="PUJ32" s="414"/>
      <c r="PUK32" s="414"/>
      <c r="PUL32" s="414"/>
      <c r="PUM32" s="414"/>
      <c r="PUN32" s="414"/>
      <c r="PUO32" s="414"/>
      <c r="PUP32" s="414"/>
      <c r="PUQ32" s="414"/>
      <c r="PUR32" s="414"/>
      <c r="PUS32" s="414"/>
      <c r="PUT32" s="414"/>
      <c r="PUU32" s="414"/>
      <c r="PUV32" s="414"/>
      <c r="PUW32" s="414"/>
      <c r="PUX32" s="414"/>
      <c r="PUY32" s="414"/>
      <c r="PUZ32" s="414"/>
      <c r="PVA32" s="414"/>
      <c r="PVB32" s="414"/>
      <c r="PVC32" s="414"/>
      <c r="PVD32" s="414"/>
      <c r="PVE32" s="414"/>
      <c r="PVF32" s="414"/>
      <c r="PVG32" s="414"/>
      <c r="PVH32" s="414"/>
      <c r="PVI32" s="414"/>
      <c r="PVJ32" s="414"/>
      <c r="PVK32" s="414"/>
      <c r="PVL32" s="414"/>
      <c r="PVM32" s="414"/>
      <c r="PVN32" s="414"/>
      <c r="PVO32" s="414"/>
      <c r="PVP32" s="414"/>
      <c r="PVQ32" s="414"/>
      <c r="PVR32" s="414"/>
      <c r="PVS32" s="414"/>
      <c r="PVT32" s="414"/>
      <c r="PVU32" s="414"/>
      <c r="PVV32" s="414"/>
      <c r="PVW32" s="414"/>
      <c r="PVX32" s="414"/>
      <c r="PVY32" s="414"/>
      <c r="PVZ32" s="414"/>
      <c r="PWA32" s="414"/>
      <c r="PWB32" s="414"/>
      <c r="PWC32" s="414"/>
      <c r="PWD32" s="414"/>
      <c r="PWE32" s="414"/>
      <c r="PWF32" s="414"/>
      <c r="PWG32" s="414"/>
      <c r="PWH32" s="414"/>
      <c r="PWI32" s="414"/>
      <c r="PWJ32" s="414"/>
      <c r="PWK32" s="414"/>
      <c r="PWL32" s="414"/>
      <c r="PWM32" s="414"/>
      <c r="PWN32" s="414"/>
      <c r="PWO32" s="414"/>
      <c r="PWP32" s="414"/>
      <c r="PWQ32" s="414"/>
      <c r="PWR32" s="414"/>
      <c r="PWS32" s="414"/>
      <c r="PWT32" s="414"/>
      <c r="PWU32" s="414"/>
      <c r="PWV32" s="414"/>
      <c r="PWW32" s="414"/>
      <c r="PWX32" s="414"/>
      <c r="PWY32" s="414"/>
      <c r="PWZ32" s="414"/>
      <c r="PXA32" s="414"/>
      <c r="PXB32" s="414"/>
      <c r="PXC32" s="414"/>
      <c r="PXD32" s="414"/>
      <c r="PXE32" s="414"/>
      <c r="PXF32" s="414"/>
      <c r="PXG32" s="414"/>
      <c r="PXH32" s="414"/>
      <c r="PXI32" s="414"/>
      <c r="PXJ32" s="414"/>
      <c r="PXK32" s="414"/>
      <c r="PXL32" s="414"/>
      <c r="PXM32" s="414"/>
      <c r="PXN32" s="414"/>
      <c r="PXO32" s="414"/>
      <c r="PXP32" s="414"/>
      <c r="PXQ32" s="414"/>
      <c r="PXR32" s="414"/>
      <c r="PXS32" s="414"/>
      <c r="PXT32" s="414"/>
      <c r="PXU32" s="414"/>
      <c r="PXV32" s="414"/>
      <c r="PXW32" s="414"/>
      <c r="PXX32" s="414"/>
      <c r="PXY32" s="414"/>
      <c r="PXZ32" s="414"/>
      <c r="PYA32" s="414"/>
      <c r="PYB32" s="414"/>
      <c r="PYC32" s="414"/>
      <c r="PYD32" s="414"/>
      <c r="PYE32" s="414"/>
      <c r="PYF32" s="414"/>
      <c r="PYG32" s="414"/>
      <c r="PYH32" s="414"/>
      <c r="PYI32" s="414"/>
      <c r="PYJ32" s="414"/>
      <c r="PYK32" s="414"/>
      <c r="PYL32" s="414"/>
      <c r="PYM32" s="414"/>
      <c r="PYN32" s="414"/>
      <c r="PYO32" s="414"/>
      <c r="PYP32" s="414"/>
      <c r="PYQ32" s="414"/>
      <c r="PYR32" s="414"/>
      <c r="PYS32" s="414"/>
      <c r="PYT32" s="414"/>
      <c r="PYU32" s="414"/>
      <c r="PYV32" s="414"/>
      <c r="PYW32" s="414"/>
      <c r="PYX32" s="414"/>
      <c r="PYY32" s="414"/>
      <c r="PYZ32" s="414"/>
      <c r="PZA32" s="414"/>
      <c r="PZB32" s="414"/>
      <c r="PZC32" s="414"/>
      <c r="PZD32" s="414"/>
      <c r="PZE32" s="414"/>
      <c r="PZF32" s="414"/>
      <c r="PZG32" s="414"/>
      <c r="PZH32" s="414"/>
      <c r="PZI32" s="414"/>
      <c r="PZJ32" s="414"/>
      <c r="PZK32" s="414"/>
      <c r="PZL32" s="414"/>
      <c r="PZM32" s="414"/>
      <c r="PZN32" s="414"/>
      <c r="PZO32" s="414"/>
      <c r="PZP32" s="414"/>
      <c r="PZQ32" s="414"/>
      <c r="PZR32" s="414"/>
      <c r="PZS32" s="414"/>
      <c r="PZT32" s="414"/>
      <c r="PZU32" s="414"/>
      <c r="PZV32" s="414"/>
      <c r="PZW32" s="414"/>
      <c r="PZX32" s="414"/>
      <c r="PZY32" s="414"/>
      <c r="PZZ32" s="414"/>
      <c r="QAA32" s="414"/>
      <c r="QAB32" s="414"/>
      <c r="QAC32" s="414"/>
      <c r="QAD32" s="414"/>
      <c r="QAE32" s="414"/>
      <c r="QAF32" s="414"/>
      <c r="QAG32" s="414"/>
      <c r="QAH32" s="414"/>
      <c r="QAI32" s="414"/>
      <c r="QAJ32" s="414"/>
      <c r="QAK32" s="414"/>
      <c r="QAL32" s="414"/>
      <c r="QAM32" s="414"/>
      <c r="QAN32" s="414"/>
      <c r="QAO32" s="414"/>
      <c r="QAP32" s="414"/>
      <c r="QAQ32" s="414"/>
      <c r="QAR32" s="414"/>
      <c r="QAS32" s="414"/>
      <c r="QAT32" s="414"/>
      <c r="QAU32" s="414"/>
      <c r="QAV32" s="414"/>
      <c r="QAW32" s="414"/>
      <c r="QAX32" s="414"/>
      <c r="QAY32" s="414"/>
      <c r="QAZ32" s="414"/>
      <c r="QBA32" s="414"/>
      <c r="QBB32" s="414"/>
      <c r="QBC32" s="414"/>
      <c r="QBD32" s="414"/>
      <c r="QBE32" s="414"/>
      <c r="QBF32" s="414"/>
      <c r="QBG32" s="414"/>
      <c r="QBH32" s="414"/>
      <c r="QBI32" s="414"/>
      <c r="QBJ32" s="414"/>
      <c r="QBK32" s="414"/>
      <c r="QBL32" s="414"/>
      <c r="QBM32" s="414"/>
      <c r="QBN32" s="414"/>
      <c r="QBO32" s="414"/>
      <c r="QBP32" s="414"/>
      <c r="QBQ32" s="414"/>
      <c r="QBR32" s="414"/>
      <c r="QBS32" s="414"/>
      <c r="QBT32" s="414"/>
      <c r="QBU32" s="414"/>
      <c r="QBV32" s="414"/>
      <c r="QBW32" s="414"/>
      <c r="QBX32" s="414"/>
      <c r="QBY32" s="414"/>
      <c r="QBZ32" s="414"/>
      <c r="QCA32" s="414"/>
      <c r="QCB32" s="414"/>
      <c r="QCC32" s="414"/>
      <c r="QCD32" s="414"/>
      <c r="QCE32" s="414"/>
      <c r="QCF32" s="414"/>
      <c r="QCG32" s="414"/>
      <c r="QCH32" s="414"/>
      <c r="QCI32" s="414"/>
      <c r="QCJ32" s="414"/>
      <c r="QCK32" s="414"/>
      <c r="QCL32" s="414"/>
      <c r="QCM32" s="414"/>
      <c r="QCN32" s="414"/>
      <c r="QCO32" s="414"/>
      <c r="QCP32" s="414"/>
      <c r="QCQ32" s="414"/>
      <c r="QCR32" s="414"/>
      <c r="QCS32" s="414"/>
      <c r="QCT32" s="414"/>
      <c r="QCU32" s="414"/>
      <c r="QCV32" s="414"/>
      <c r="QCW32" s="414"/>
      <c r="QCX32" s="414"/>
      <c r="QCY32" s="414"/>
      <c r="QCZ32" s="414"/>
      <c r="QDA32" s="414"/>
      <c r="QDB32" s="414"/>
      <c r="QDC32" s="414"/>
      <c r="QDD32" s="414"/>
      <c r="QDE32" s="414"/>
      <c r="QDF32" s="414"/>
      <c r="QDG32" s="414"/>
      <c r="QDH32" s="414"/>
      <c r="QDI32" s="414"/>
      <c r="QDJ32" s="414"/>
      <c r="QDK32" s="414"/>
      <c r="QDL32" s="414"/>
      <c r="QDM32" s="414"/>
      <c r="QDN32" s="414"/>
      <c r="QDO32" s="414"/>
      <c r="QDP32" s="414"/>
      <c r="QDQ32" s="414"/>
      <c r="QDR32" s="414"/>
      <c r="QDS32" s="414"/>
      <c r="QDT32" s="414"/>
      <c r="QDU32" s="414"/>
      <c r="QDV32" s="414"/>
      <c r="QDW32" s="414"/>
      <c r="QDX32" s="414"/>
      <c r="QDY32" s="414"/>
      <c r="QDZ32" s="414"/>
      <c r="QEA32" s="414"/>
      <c r="QEB32" s="414"/>
      <c r="QEC32" s="414"/>
      <c r="QED32" s="414"/>
      <c r="QEE32" s="414"/>
      <c r="QEF32" s="414"/>
      <c r="QEG32" s="414"/>
      <c r="QEH32" s="414"/>
      <c r="QEI32" s="414"/>
      <c r="QEJ32" s="414"/>
      <c r="QEK32" s="414"/>
      <c r="QEL32" s="414"/>
      <c r="QEM32" s="414"/>
      <c r="QEN32" s="414"/>
      <c r="QEO32" s="414"/>
      <c r="QEP32" s="414"/>
      <c r="QEQ32" s="414"/>
      <c r="QER32" s="414"/>
      <c r="QES32" s="414"/>
      <c r="QET32" s="414"/>
      <c r="QEU32" s="414"/>
      <c r="QEV32" s="414"/>
      <c r="QEW32" s="414"/>
      <c r="QEX32" s="414"/>
      <c r="QEY32" s="414"/>
      <c r="QEZ32" s="414"/>
      <c r="QFA32" s="414"/>
      <c r="QFB32" s="414"/>
      <c r="QFC32" s="414"/>
      <c r="QFD32" s="414"/>
      <c r="QFE32" s="414"/>
      <c r="QFF32" s="414"/>
      <c r="QFG32" s="414"/>
      <c r="QFH32" s="414"/>
      <c r="QFI32" s="414"/>
      <c r="QFJ32" s="414"/>
      <c r="QFK32" s="414"/>
      <c r="QFL32" s="414"/>
      <c r="QFM32" s="414"/>
      <c r="QFN32" s="414"/>
      <c r="QFO32" s="414"/>
      <c r="QFP32" s="414"/>
      <c r="QFQ32" s="414"/>
      <c r="QFR32" s="414"/>
      <c r="QFS32" s="414"/>
      <c r="QFT32" s="414"/>
      <c r="QFU32" s="414"/>
      <c r="QFV32" s="414"/>
      <c r="QFW32" s="414"/>
      <c r="QFX32" s="414"/>
      <c r="QFY32" s="414"/>
      <c r="QFZ32" s="414"/>
      <c r="QGA32" s="414"/>
      <c r="QGB32" s="414"/>
      <c r="QGC32" s="414"/>
      <c r="QGD32" s="414"/>
      <c r="QGE32" s="414"/>
      <c r="QGF32" s="414"/>
      <c r="QGG32" s="414"/>
      <c r="QGH32" s="414"/>
      <c r="QGI32" s="414"/>
      <c r="QGJ32" s="414"/>
      <c r="QGK32" s="414"/>
      <c r="QGL32" s="414"/>
      <c r="QGM32" s="414"/>
      <c r="QGN32" s="414"/>
      <c r="QGO32" s="414"/>
      <c r="QGP32" s="414"/>
      <c r="QGQ32" s="414"/>
      <c r="QGR32" s="414"/>
      <c r="QGS32" s="414"/>
      <c r="QGT32" s="414"/>
      <c r="QGU32" s="414"/>
      <c r="QGV32" s="414"/>
      <c r="QGW32" s="414"/>
      <c r="QGX32" s="414"/>
      <c r="QGY32" s="414"/>
      <c r="QGZ32" s="414"/>
      <c r="QHA32" s="414"/>
      <c r="QHB32" s="414"/>
      <c r="QHC32" s="414"/>
      <c r="QHD32" s="414"/>
      <c r="QHE32" s="414"/>
      <c r="QHF32" s="414"/>
      <c r="QHG32" s="414"/>
      <c r="QHH32" s="414"/>
      <c r="QHI32" s="414"/>
      <c r="QHJ32" s="414"/>
      <c r="QHK32" s="414"/>
      <c r="QHL32" s="414"/>
      <c r="QHM32" s="414"/>
      <c r="QHN32" s="414"/>
      <c r="QHO32" s="414"/>
      <c r="QHP32" s="414"/>
      <c r="QHQ32" s="414"/>
      <c r="QHR32" s="414"/>
      <c r="QHS32" s="414"/>
      <c r="QHT32" s="414"/>
      <c r="QHU32" s="414"/>
      <c r="QHV32" s="414"/>
      <c r="QHW32" s="414"/>
      <c r="QHX32" s="414"/>
      <c r="QHY32" s="414"/>
      <c r="QHZ32" s="414"/>
      <c r="QIA32" s="414"/>
      <c r="QIB32" s="414"/>
      <c r="QIC32" s="414"/>
      <c r="QID32" s="414"/>
      <c r="QIE32" s="414"/>
      <c r="QIF32" s="414"/>
      <c r="QIG32" s="414"/>
      <c r="QIH32" s="414"/>
      <c r="QII32" s="414"/>
      <c r="QIJ32" s="414"/>
      <c r="QIK32" s="414"/>
      <c r="QIL32" s="414"/>
      <c r="QIM32" s="414"/>
      <c r="QIN32" s="414"/>
      <c r="QIO32" s="414"/>
      <c r="QIP32" s="414"/>
      <c r="QIQ32" s="414"/>
      <c r="QIR32" s="414"/>
      <c r="QIS32" s="414"/>
      <c r="QIT32" s="414"/>
      <c r="QIU32" s="414"/>
      <c r="QIV32" s="414"/>
      <c r="QIW32" s="414"/>
      <c r="QIX32" s="414"/>
      <c r="QIY32" s="414"/>
      <c r="QIZ32" s="414"/>
      <c r="QJA32" s="414"/>
      <c r="QJB32" s="414"/>
      <c r="QJC32" s="414"/>
      <c r="QJD32" s="414"/>
      <c r="QJE32" s="414"/>
      <c r="QJF32" s="414"/>
      <c r="QJG32" s="414"/>
      <c r="QJH32" s="414"/>
      <c r="QJI32" s="414"/>
      <c r="QJJ32" s="414"/>
      <c r="QJK32" s="414"/>
      <c r="QJL32" s="414"/>
      <c r="QJM32" s="414"/>
      <c r="QJN32" s="414"/>
      <c r="QJO32" s="414"/>
      <c r="QJP32" s="414"/>
      <c r="QJQ32" s="414"/>
      <c r="QJR32" s="414"/>
      <c r="QJS32" s="414"/>
      <c r="QJT32" s="414"/>
      <c r="QJU32" s="414"/>
      <c r="QJV32" s="414"/>
      <c r="QJW32" s="414"/>
      <c r="QJX32" s="414"/>
      <c r="QJY32" s="414"/>
      <c r="QJZ32" s="414"/>
      <c r="QKA32" s="414"/>
      <c r="QKB32" s="414"/>
      <c r="QKC32" s="414"/>
      <c r="QKD32" s="414"/>
      <c r="QKE32" s="414"/>
      <c r="QKF32" s="414"/>
      <c r="QKG32" s="414"/>
      <c r="QKH32" s="414"/>
      <c r="QKI32" s="414"/>
      <c r="QKJ32" s="414"/>
      <c r="QKK32" s="414"/>
      <c r="QKL32" s="414"/>
      <c r="QKM32" s="414"/>
      <c r="QKN32" s="414"/>
      <c r="QKO32" s="414"/>
      <c r="QKP32" s="414"/>
      <c r="QKQ32" s="414"/>
      <c r="QKR32" s="414"/>
      <c r="QKS32" s="414"/>
      <c r="QKT32" s="414"/>
      <c r="QKU32" s="414"/>
      <c r="QKV32" s="414"/>
      <c r="QKW32" s="414"/>
      <c r="QKX32" s="414"/>
      <c r="QKY32" s="414"/>
      <c r="QKZ32" s="414"/>
      <c r="QLA32" s="414"/>
      <c r="QLB32" s="414"/>
      <c r="QLC32" s="414"/>
      <c r="QLD32" s="414"/>
      <c r="QLE32" s="414"/>
      <c r="QLF32" s="414"/>
      <c r="QLG32" s="414"/>
      <c r="QLH32" s="414"/>
      <c r="QLI32" s="414"/>
      <c r="QLJ32" s="414"/>
      <c r="QLK32" s="414"/>
      <c r="QLL32" s="414"/>
      <c r="QLM32" s="414"/>
      <c r="QLN32" s="414"/>
      <c r="QLO32" s="414"/>
      <c r="QLP32" s="414"/>
      <c r="QLQ32" s="414"/>
      <c r="QLR32" s="414"/>
      <c r="QLS32" s="414"/>
      <c r="QLT32" s="414"/>
      <c r="QLU32" s="414"/>
      <c r="QLV32" s="414"/>
      <c r="QLW32" s="414"/>
      <c r="QLX32" s="414"/>
      <c r="QLY32" s="414"/>
      <c r="QLZ32" s="414"/>
      <c r="QMA32" s="414"/>
      <c r="QMB32" s="414"/>
      <c r="QMC32" s="414"/>
      <c r="QMD32" s="414"/>
      <c r="QME32" s="414"/>
      <c r="QMF32" s="414"/>
      <c r="QMG32" s="414"/>
      <c r="QMH32" s="414"/>
      <c r="QMI32" s="414"/>
      <c r="QMJ32" s="414"/>
      <c r="QMK32" s="414"/>
      <c r="QML32" s="414"/>
      <c r="QMM32" s="414"/>
      <c r="QMN32" s="414"/>
      <c r="QMO32" s="414"/>
      <c r="QMP32" s="414"/>
      <c r="QMQ32" s="414"/>
      <c r="QMR32" s="414"/>
      <c r="QMS32" s="414"/>
      <c r="QMT32" s="414"/>
      <c r="QMU32" s="414"/>
      <c r="QMV32" s="414"/>
      <c r="QMW32" s="414"/>
      <c r="QMX32" s="414"/>
      <c r="QMY32" s="414"/>
      <c r="QMZ32" s="414"/>
      <c r="QNA32" s="414"/>
      <c r="QNB32" s="414"/>
      <c r="QNC32" s="414"/>
      <c r="QND32" s="414"/>
      <c r="QNE32" s="414"/>
      <c r="QNF32" s="414"/>
      <c r="QNG32" s="414"/>
      <c r="QNH32" s="414"/>
      <c r="QNI32" s="414"/>
      <c r="QNJ32" s="414"/>
      <c r="QNK32" s="414"/>
      <c r="QNL32" s="414"/>
      <c r="QNM32" s="414"/>
      <c r="QNN32" s="414"/>
      <c r="QNO32" s="414"/>
      <c r="QNP32" s="414"/>
      <c r="QNQ32" s="414"/>
      <c r="QNR32" s="414"/>
      <c r="QNS32" s="414"/>
      <c r="QNT32" s="414"/>
      <c r="QNU32" s="414"/>
      <c r="QNV32" s="414"/>
      <c r="QNW32" s="414"/>
      <c r="QNX32" s="414"/>
      <c r="QNY32" s="414"/>
      <c r="QNZ32" s="414"/>
      <c r="QOA32" s="414"/>
      <c r="QOB32" s="414"/>
      <c r="QOC32" s="414"/>
      <c r="QOD32" s="414"/>
      <c r="QOE32" s="414"/>
      <c r="QOF32" s="414"/>
      <c r="QOG32" s="414"/>
      <c r="QOH32" s="414"/>
      <c r="QOI32" s="414"/>
      <c r="QOJ32" s="414"/>
      <c r="QOK32" s="414"/>
      <c r="QOL32" s="414"/>
      <c r="QOM32" s="414"/>
      <c r="QON32" s="414"/>
      <c r="QOO32" s="414"/>
      <c r="QOP32" s="414"/>
      <c r="QOQ32" s="414"/>
      <c r="QOR32" s="414"/>
      <c r="QOS32" s="414"/>
      <c r="QOT32" s="414"/>
      <c r="QOU32" s="414"/>
      <c r="QOV32" s="414"/>
      <c r="QOW32" s="414"/>
      <c r="QOX32" s="414"/>
      <c r="QOY32" s="414"/>
      <c r="QOZ32" s="414"/>
      <c r="QPA32" s="414"/>
      <c r="QPB32" s="414"/>
      <c r="QPC32" s="414"/>
      <c r="QPD32" s="414"/>
      <c r="QPE32" s="414"/>
      <c r="QPF32" s="414"/>
      <c r="QPG32" s="414"/>
      <c r="QPH32" s="414"/>
      <c r="QPI32" s="414"/>
      <c r="QPJ32" s="414"/>
      <c r="QPK32" s="414"/>
      <c r="QPL32" s="414"/>
      <c r="QPM32" s="414"/>
      <c r="QPN32" s="414"/>
      <c r="QPO32" s="414"/>
      <c r="QPP32" s="414"/>
      <c r="QPQ32" s="414"/>
      <c r="QPR32" s="414"/>
      <c r="QPS32" s="414"/>
      <c r="QPT32" s="414"/>
      <c r="QPU32" s="414"/>
      <c r="QPV32" s="414"/>
      <c r="QPW32" s="414"/>
      <c r="QPX32" s="414"/>
      <c r="QPY32" s="414"/>
      <c r="QPZ32" s="414"/>
      <c r="QQA32" s="414"/>
      <c r="QQB32" s="414"/>
      <c r="QQC32" s="414"/>
      <c r="QQD32" s="414"/>
      <c r="QQE32" s="414"/>
      <c r="QQF32" s="414"/>
      <c r="QQG32" s="414"/>
      <c r="QQH32" s="414"/>
      <c r="QQI32" s="414"/>
      <c r="QQJ32" s="414"/>
      <c r="QQK32" s="414"/>
      <c r="QQL32" s="414"/>
      <c r="QQM32" s="414"/>
      <c r="QQN32" s="414"/>
      <c r="QQO32" s="414"/>
      <c r="QQP32" s="414"/>
      <c r="QQQ32" s="414"/>
      <c r="QQR32" s="414"/>
      <c r="QQS32" s="414"/>
      <c r="QQT32" s="414"/>
      <c r="QQU32" s="414"/>
      <c r="QQV32" s="414"/>
      <c r="QQW32" s="414"/>
      <c r="QQX32" s="414"/>
      <c r="QQY32" s="414"/>
      <c r="QQZ32" s="414"/>
      <c r="QRA32" s="414"/>
      <c r="QRB32" s="414"/>
      <c r="QRC32" s="414"/>
      <c r="QRD32" s="414"/>
      <c r="QRE32" s="414"/>
      <c r="QRF32" s="414"/>
      <c r="QRG32" s="414"/>
      <c r="QRH32" s="414"/>
      <c r="QRI32" s="414"/>
      <c r="QRJ32" s="414"/>
      <c r="QRK32" s="414"/>
      <c r="QRL32" s="414"/>
      <c r="QRM32" s="414"/>
      <c r="QRN32" s="414"/>
      <c r="QRO32" s="414"/>
      <c r="QRP32" s="414"/>
      <c r="QRQ32" s="414"/>
      <c r="QRR32" s="414"/>
      <c r="QRS32" s="414"/>
      <c r="QRT32" s="414"/>
      <c r="QRU32" s="414"/>
      <c r="QRV32" s="414"/>
      <c r="QRW32" s="414"/>
      <c r="QRX32" s="414"/>
      <c r="QRY32" s="414"/>
      <c r="QRZ32" s="414"/>
      <c r="QSA32" s="414"/>
      <c r="QSB32" s="414"/>
      <c r="QSC32" s="414"/>
      <c r="QSD32" s="414"/>
      <c r="QSE32" s="414"/>
      <c r="QSF32" s="414"/>
      <c r="QSG32" s="414"/>
      <c r="QSH32" s="414"/>
      <c r="QSI32" s="414"/>
      <c r="QSJ32" s="414"/>
      <c r="QSK32" s="414"/>
      <c r="QSL32" s="414"/>
      <c r="QSM32" s="414"/>
      <c r="QSN32" s="414"/>
      <c r="QSO32" s="414"/>
      <c r="QSP32" s="414"/>
      <c r="QSQ32" s="414"/>
      <c r="QSR32" s="414"/>
      <c r="QSS32" s="414"/>
      <c r="QST32" s="414"/>
      <c r="QSU32" s="414"/>
      <c r="QSV32" s="414"/>
      <c r="QSW32" s="414"/>
      <c r="QSX32" s="414"/>
      <c r="QSY32" s="414"/>
      <c r="QSZ32" s="414"/>
      <c r="QTA32" s="414"/>
      <c r="QTB32" s="414"/>
      <c r="QTC32" s="414"/>
      <c r="QTD32" s="414"/>
      <c r="QTE32" s="414"/>
      <c r="QTF32" s="414"/>
      <c r="QTG32" s="414"/>
      <c r="QTH32" s="414"/>
      <c r="QTI32" s="414"/>
      <c r="QTJ32" s="414"/>
      <c r="QTK32" s="414"/>
      <c r="QTL32" s="414"/>
      <c r="QTM32" s="414"/>
      <c r="QTN32" s="414"/>
      <c r="QTO32" s="414"/>
      <c r="QTP32" s="414"/>
      <c r="QTQ32" s="414"/>
      <c r="QTR32" s="414"/>
      <c r="QTS32" s="414"/>
      <c r="QTT32" s="414"/>
      <c r="QTU32" s="414"/>
      <c r="QTV32" s="414"/>
      <c r="QTW32" s="414"/>
      <c r="QTX32" s="414"/>
      <c r="QTY32" s="414"/>
      <c r="QTZ32" s="414"/>
      <c r="QUA32" s="414"/>
      <c r="QUB32" s="414"/>
      <c r="QUC32" s="414"/>
      <c r="QUD32" s="414"/>
      <c r="QUE32" s="414"/>
      <c r="QUF32" s="414"/>
      <c r="QUG32" s="414"/>
      <c r="QUH32" s="414"/>
      <c r="QUI32" s="414"/>
      <c r="QUJ32" s="414"/>
      <c r="QUK32" s="414"/>
      <c r="QUL32" s="414"/>
      <c r="QUM32" s="414"/>
      <c r="QUN32" s="414"/>
      <c r="QUO32" s="414"/>
      <c r="QUP32" s="414"/>
      <c r="QUQ32" s="414"/>
      <c r="QUR32" s="414"/>
      <c r="QUS32" s="414"/>
      <c r="QUT32" s="414"/>
      <c r="QUU32" s="414"/>
      <c r="QUV32" s="414"/>
      <c r="QUW32" s="414"/>
      <c r="QUX32" s="414"/>
      <c r="QUY32" s="414"/>
      <c r="QUZ32" s="414"/>
      <c r="QVA32" s="414"/>
      <c r="QVB32" s="414"/>
      <c r="QVC32" s="414"/>
      <c r="QVD32" s="414"/>
      <c r="QVE32" s="414"/>
      <c r="QVF32" s="414"/>
      <c r="QVG32" s="414"/>
      <c r="QVH32" s="414"/>
      <c r="QVI32" s="414"/>
      <c r="QVJ32" s="414"/>
      <c r="QVK32" s="414"/>
      <c r="QVL32" s="414"/>
      <c r="QVM32" s="414"/>
      <c r="QVN32" s="414"/>
      <c r="QVO32" s="414"/>
      <c r="QVP32" s="414"/>
      <c r="QVQ32" s="414"/>
      <c r="QVR32" s="414"/>
      <c r="QVS32" s="414"/>
      <c r="QVT32" s="414"/>
      <c r="QVU32" s="414"/>
      <c r="QVV32" s="414"/>
      <c r="QVW32" s="414"/>
      <c r="QVX32" s="414"/>
      <c r="QVY32" s="414"/>
      <c r="QVZ32" s="414"/>
      <c r="QWA32" s="414"/>
      <c r="QWB32" s="414"/>
      <c r="QWC32" s="414"/>
      <c r="QWD32" s="414"/>
      <c r="QWE32" s="414"/>
      <c r="QWF32" s="414"/>
      <c r="QWG32" s="414"/>
      <c r="QWH32" s="414"/>
      <c r="QWI32" s="414"/>
      <c r="QWJ32" s="414"/>
      <c r="QWK32" s="414"/>
      <c r="QWL32" s="414"/>
      <c r="QWM32" s="414"/>
      <c r="QWN32" s="414"/>
      <c r="QWO32" s="414"/>
      <c r="QWP32" s="414"/>
      <c r="QWQ32" s="414"/>
      <c r="QWR32" s="414"/>
      <c r="QWS32" s="414"/>
      <c r="QWT32" s="414"/>
      <c r="QWU32" s="414"/>
      <c r="QWV32" s="414"/>
      <c r="QWW32" s="414"/>
      <c r="QWX32" s="414"/>
      <c r="QWY32" s="414"/>
      <c r="QWZ32" s="414"/>
      <c r="QXA32" s="414"/>
      <c r="QXB32" s="414"/>
      <c r="QXC32" s="414"/>
      <c r="QXD32" s="414"/>
      <c r="QXE32" s="414"/>
      <c r="QXF32" s="414"/>
      <c r="QXG32" s="414"/>
      <c r="QXH32" s="414"/>
      <c r="QXI32" s="414"/>
      <c r="QXJ32" s="414"/>
      <c r="QXK32" s="414"/>
      <c r="QXL32" s="414"/>
      <c r="QXM32" s="414"/>
      <c r="QXN32" s="414"/>
      <c r="QXO32" s="414"/>
      <c r="QXP32" s="414"/>
      <c r="QXQ32" s="414"/>
      <c r="QXR32" s="414"/>
      <c r="QXS32" s="414"/>
      <c r="QXT32" s="414"/>
      <c r="QXU32" s="414"/>
      <c r="QXV32" s="414"/>
      <c r="QXW32" s="414"/>
      <c r="QXX32" s="414"/>
      <c r="QXY32" s="414"/>
      <c r="QXZ32" s="414"/>
      <c r="QYA32" s="414"/>
      <c r="QYB32" s="414"/>
      <c r="QYC32" s="414"/>
      <c r="QYD32" s="414"/>
      <c r="QYE32" s="414"/>
      <c r="QYF32" s="414"/>
      <c r="QYG32" s="414"/>
      <c r="QYH32" s="414"/>
      <c r="QYI32" s="414"/>
      <c r="QYJ32" s="414"/>
      <c r="QYK32" s="414"/>
      <c r="QYL32" s="414"/>
      <c r="QYM32" s="414"/>
      <c r="QYN32" s="414"/>
      <c r="QYO32" s="414"/>
      <c r="QYP32" s="414"/>
      <c r="QYQ32" s="414"/>
      <c r="QYR32" s="414"/>
      <c r="QYS32" s="414"/>
      <c r="QYT32" s="414"/>
      <c r="QYU32" s="414"/>
      <c r="QYV32" s="414"/>
      <c r="QYW32" s="414"/>
      <c r="QYX32" s="414"/>
      <c r="QYY32" s="414"/>
      <c r="QYZ32" s="414"/>
      <c r="QZA32" s="414"/>
      <c r="QZB32" s="414"/>
      <c r="QZC32" s="414"/>
      <c r="QZD32" s="414"/>
      <c r="QZE32" s="414"/>
      <c r="QZF32" s="414"/>
      <c r="QZG32" s="414"/>
      <c r="QZH32" s="414"/>
      <c r="QZI32" s="414"/>
      <c r="QZJ32" s="414"/>
      <c r="QZK32" s="414"/>
      <c r="QZL32" s="414"/>
      <c r="QZM32" s="414"/>
      <c r="QZN32" s="414"/>
      <c r="QZO32" s="414"/>
      <c r="QZP32" s="414"/>
      <c r="QZQ32" s="414"/>
      <c r="QZR32" s="414"/>
      <c r="QZS32" s="414"/>
      <c r="QZT32" s="414"/>
      <c r="QZU32" s="414"/>
      <c r="QZV32" s="414"/>
      <c r="QZW32" s="414"/>
      <c r="QZX32" s="414"/>
      <c r="QZY32" s="414"/>
      <c r="QZZ32" s="414"/>
      <c r="RAA32" s="414"/>
      <c r="RAB32" s="414"/>
      <c r="RAC32" s="414"/>
      <c r="RAD32" s="414"/>
      <c r="RAE32" s="414"/>
      <c r="RAF32" s="414"/>
      <c r="RAG32" s="414"/>
      <c r="RAH32" s="414"/>
      <c r="RAI32" s="414"/>
      <c r="RAJ32" s="414"/>
      <c r="RAK32" s="414"/>
      <c r="RAL32" s="414"/>
      <c r="RAM32" s="414"/>
      <c r="RAN32" s="414"/>
      <c r="RAO32" s="414"/>
      <c r="RAP32" s="414"/>
      <c r="RAQ32" s="414"/>
      <c r="RAR32" s="414"/>
      <c r="RAS32" s="414"/>
      <c r="RAT32" s="414"/>
      <c r="RAU32" s="414"/>
      <c r="RAV32" s="414"/>
      <c r="RAW32" s="414"/>
      <c r="RAX32" s="414"/>
      <c r="RAY32" s="414"/>
      <c r="RAZ32" s="414"/>
      <c r="RBA32" s="414"/>
      <c r="RBB32" s="414"/>
      <c r="RBC32" s="414"/>
      <c r="RBD32" s="414"/>
      <c r="RBE32" s="414"/>
      <c r="RBF32" s="414"/>
      <c r="RBG32" s="414"/>
      <c r="RBH32" s="414"/>
      <c r="RBI32" s="414"/>
      <c r="RBJ32" s="414"/>
      <c r="RBK32" s="414"/>
      <c r="RBL32" s="414"/>
      <c r="RBM32" s="414"/>
      <c r="RBN32" s="414"/>
      <c r="RBO32" s="414"/>
      <c r="RBP32" s="414"/>
      <c r="RBQ32" s="414"/>
      <c r="RBR32" s="414"/>
      <c r="RBS32" s="414"/>
      <c r="RBT32" s="414"/>
      <c r="RBU32" s="414"/>
      <c r="RBV32" s="414"/>
      <c r="RBW32" s="414"/>
      <c r="RBX32" s="414"/>
      <c r="RBY32" s="414"/>
      <c r="RBZ32" s="414"/>
      <c r="RCA32" s="414"/>
      <c r="RCB32" s="414"/>
      <c r="RCC32" s="414"/>
      <c r="RCD32" s="414"/>
      <c r="RCE32" s="414"/>
      <c r="RCF32" s="414"/>
      <c r="RCG32" s="414"/>
      <c r="RCH32" s="414"/>
      <c r="RCI32" s="414"/>
      <c r="RCJ32" s="414"/>
      <c r="RCK32" s="414"/>
      <c r="RCL32" s="414"/>
      <c r="RCM32" s="414"/>
      <c r="RCN32" s="414"/>
      <c r="RCO32" s="414"/>
      <c r="RCP32" s="414"/>
      <c r="RCQ32" s="414"/>
      <c r="RCR32" s="414"/>
      <c r="RCS32" s="414"/>
      <c r="RCT32" s="414"/>
      <c r="RCU32" s="414"/>
      <c r="RCV32" s="414"/>
      <c r="RCW32" s="414"/>
      <c r="RCX32" s="414"/>
      <c r="RCY32" s="414"/>
      <c r="RCZ32" s="414"/>
      <c r="RDA32" s="414"/>
      <c r="RDB32" s="414"/>
      <c r="RDC32" s="414"/>
      <c r="RDD32" s="414"/>
      <c r="RDE32" s="414"/>
      <c r="RDF32" s="414"/>
      <c r="RDG32" s="414"/>
      <c r="RDH32" s="414"/>
      <c r="RDI32" s="414"/>
      <c r="RDJ32" s="414"/>
      <c r="RDK32" s="414"/>
      <c r="RDL32" s="414"/>
      <c r="RDM32" s="414"/>
      <c r="RDN32" s="414"/>
      <c r="RDO32" s="414"/>
      <c r="RDP32" s="414"/>
      <c r="RDQ32" s="414"/>
      <c r="RDR32" s="414"/>
      <c r="RDS32" s="414"/>
      <c r="RDT32" s="414"/>
      <c r="RDU32" s="414"/>
      <c r="RDV32" s="414"/>
      <c r="RDW32" s="414"/>
      <c r="RDX32" s="414"/>
      <c r="RDY32" s="414"/>
      <c r="RDZ32" s="414"/>
      <c r="REA32" s="414"/>
      <c r="REB32" s="414"/>
      <c r="REC32" s="414"/>
      <c r="RED32" s="414"/>
      <c r="REE32" s="414"/>
      <c r="REF32" s="414"/>
      <c r="REG32" s="414"/>
      <c r="REH32" s="414"/>
      <c r="REI32" s="414"/>
      <c r="REJ32" s="414"/>
      <c r="REK32" s="414"/>
      <c r="REL32" s="414"/>
      <c r="REM32" s="414"/>
      <c r="REN32" s="414"/>
      <c r="REO32" s="414"/>
      <c r="REP32" s="414"/>
      <c r="REQ32" s="414"/>
      <c r="RER32" s="414"/>
      <c r="RES32" s="414"/>
      <c r="RET32" s="414"/>
      <c r="REU32" s="414"/>
      <c r="REV32" s="414"/>
      <c r="REW32" s="414"/>
      <c r="REX32" s="414"/>
      <c r="REY32" s="414"/>
      <c r="REZ32" s="414"/>
      <c r="RFA32" s="414"/>
      <c r="RFB32" s="414"/>
      <c r="RFC32" s="414"/>
      <c r="RFD32" s="414"/>
      <c r="RFE32" s="414"/>
      <c r="RFF32" s="414"/>
      <c r="RFG32" s="414"/>
      <c r="RFH32" s="414"/>
      <c r="RFI32" s="414"/>
      <c r="RFJ32" s="414"/>
      <c r="RFK32" s="414"/>
      <c r="RFL32" s="414"/>
      <c r="RFM32" s="414"/>
      <c r="RFN32" s="414"/>
      <c r="RFO32" s="414"/>
      <c r="RFP32" s="414"/>
      <c r="RFQ32" s="414"/>
      <c r="RFR32" s="414"/>
      <c r="RFS32" s="414"/>
      <c r="RFT32" s="414"/>
      <c r="RFU32" s="414"/>
      <c r="RFV32" s="414"/>
      <c r="RFW32" s="414"/>
      <c r="RFX32" s="414"/>
      <c r="RFY32" s="414"/>
      <c r="RFZ32" s="414"/>
      <c r="RGA32" s="414"/>
      <c r="RGB32" s="414"/>
      <c r="RGC32" s="414"/>
      <c r="RGD32" s="414"/>
      <c r="RGE32" s="414"/>
      <c r="RGF32" s="414"/>
      <c r="RGG32" s="414"/>
      <c r="RGH32" s="414"/>
      <c r="RGI32" s="414"/>
      <c r="RGJ32" s="414"/>
      <c r="RGK32" s="414"/>
      <c r="RGL32" s="414"/>
      <c r="RGM32" s="414"/>
      <c r="RGN32" s="414"/>
      <c r="RGO32" s="414"/>
      <c r="RGP32" s="414"/>
      <c r="RGQ32" s="414"/>
      <c r="RGR32" s="414"/>
      <c r="RGS32" s="414"/>
      <c r="RGT32" s="414"/>
      <c r="RGU32" s="414"/>
      <c r="RGV32" s="414"/>
      <c r="RGW32" s="414"/>
      <c r="RGX32" s="414"/>
      <c r="RGY32" s="414"/>
      <c r="RGZ32" s="414"/>
      <c r="RHA32" s="414"/>
      <c r="RHB32" s="414"/>
      <c r="RHC32" s="414"/>
      <c r="RHD32" s="414"/>
      <c r="RHE32" s="414"/>
      <c r="RHF32" s="414"/>
      <c r="RHG32" s="414"/>
      <c r="RHH32" s="414"/>
      <c r="RHI32" s="414"/>
      <c r="RHJ32" s="414"/>
      <c r="RHK32" s="414"/>
      <c r="RHL32" s="414"/>
      <c r="RHM32" s="414"/>
      <c r="RHN32" s="414"/>
      <c r="RHO32" s="414"/>
      <c r="RHP32" s="414"/>
      <c r="RHQ32" s="414"/>
      <c r="RHR32" s="414"/>
      <c r="RHS32" s="414"/>
      <c r="RHT32" s="414"/>
      <c r="RHU32" s="414"/>
      <c r="RHV32" s="414"/>
      <c r="RHW32" s="414"/>
      <c r="RHX32" s="414"/>
      <c r="RHY32" s="414"/>
      <c r="RHZ32" s="414"/>
      <c r="RIA32" s="414"/>
      <c r="RIB32" s="414"/>
      <c r="RIC32" s="414"/>
      <c r="RID32" s="414"/>
      <c r="RIE32" s="414"/>
      <c r="RIF32" s="414"/>
      <c r="RIG32" s="414"/>
      <c r="RIH32" s="414"/>
      <c r="RII32" s="414"/>
      <c r="RIJ32" s="414"/>
      <c r="RIK32" s="414"/>
      <c r="RIL32" s="414"/>
      <c r="RIM32" s="414"/>
      <c r="RIN32" s="414"/>
      <c r="RIO32" s="414"/>
      <c r="RIP32" s="414"/>
      <c r="RIQ32" s="414"/>
      <c r="RIR32" s="414"/>
      <c r="RIS32" s="414"/>
      <c r="RIT32" s="414"/>
      <c r="RIU32" s="414"/>
      <c r="RIV32" s="414"/>
      <c r="RIW32" s="414"/>
      <c r="RIX32" s="414"/>
      <c r="RIY32" s="414"/>
      <c r="RIZ32" s="414"/>
      <c r="RJA32" s="414"/>
      <c r="RJB32" s="414"/>
      <c r="RJC32" s="414"/>
      <c r="RJD32" s="414"/>
      <c r="RJE32" s="414"/>
      <c r="RJF32" s="414"/>
      <c r="RJG32" s="414"/>
      <c r="RJH32" s="414"/>
      <c r="RJI32" s="414"/>
      <c r="RJJ32" s="414"/>
      <c r="RJK32" s="414"/>
      <c r="RJL32" s="414"/>
      <c r="RJM32" s="414"/>
      <c r="RJN32" s="414"/>
      <c r="RJO32" s="414"/>
      <c r="RJP32" s="414"/>
      <c r="RJQ32" s="414"/>
      <c r="RJR32" s="414"/>
      <c r="RJS32" s="414"/>
      <c r="RJT32" s="414"/>
      <c r="RJU32" s="414"/>
      <c r="RJV32" s="414"/>
      <c r="RJW32" s="414"/>
      <c r="RJX32" s="414"/>
      <c r="RJY32" s="414"/>
      <c r="RJZ32" s="414"/>
      <c r="RKA32" s="414"/>
      <c r="RKB32" s="414"/>
      <c r="RKC32" s="414"/>
      <c r="RKD32" s="414"/>
      <c r="RKE32" s="414"/>
      <c r="RKF32" s="414"/>
      <c r="RKG32" s="414"/>
      <c r="RKH32" s="414"/>
      <c r="RKI32" s="414"/>
      <c r="RKJ32" s="414"/>
      <c r="RKK32" s="414"/>
      <c r="RKL32" s="414"/>
      <c r="RKM32" s="414"/>
      <c r="RKN32" s="414"/>
      <c r="RKO32" s="414"/>
      <c r="RKP32" s="414"/>
      <c r="RKQ32" s="414"/>
      <c r="RKR32" s="414"/>
      <c r="RKS32" s="414"/>
      <c r="RKT32" s="414"/>
      <c r="RKU32" s="414"/>
      <c r="RKV32" s="414"/>
      <c r="RKW32" s="414"/>
      <c r="RKX32" s="414"/>
      <c r="RKY32" s="414"/>
      <c r="RKZ32" s="414"/>
      <c r="RLA32" s="414"/>
      <c r="RLB32" s="414"/>
      <c r="RLC32" s="414"/>
      <c r="RLD32" s="414"/>
      <c r="RLE32" s="414"/>
      <c r="RLF32" s="414"/>
      <c r="RLG32" s="414"/>
      <c r="RLH32" s="414"/>
      <c r="RLI32" s="414"/>
      <c r="RLJ32" s="414"/>
      <c r="RLK32" s="414"/>
      <c r="RLL32" s="414"/>
      <c r="RLM32" s="414"/>
      <c r="RLN32" s="414"/>
      <c r="RLO32" s="414"/>
      <c r="RLP32" s="414"/>
      <c r="RLQ32" s="414"/>
      <c r="RLR32" s="414"/>
      <c r="RLS32" s="414"/>
      <c r="RLT32" s="414"/>
      <c r="RLU32" s="414"/>
      <c r="RLV32" s="414"/>
      <c r="RLW32" s="414"/>
      <c r="RLX32" s="414"/>
      <c r="RLY32" s="414"/>
      <c r="RLZ32" s="414"/>
      <c r="RMA32" s="414"/>
      <c r="RMB32" s="414"/>
      <c r="RMC32" s="414"/>
      <c r="RMD32" s="414"/>
      <c r="RME32" s="414"/>
      <c r="RMF32" s="414"/>
      <c r="RMG32" s="414"/>
      <c r="RMH32" s="414"/>
      <c r="RMI32" s="414"/>
      <c r="RMJ32" s="414"/>
      <c r="RMK32" s="414"/>
      <c r="RML32" s="414"/>
      <c r="RMM32" s="414"/>
      <c r="RMN32" s="414"/>
      <c r="RMO32" s="414"/>
      <c r="RMP32" s="414"/>
      <c r="RMQ32" s="414"/>
      <c r="RMR32" s="414"/>
      <c r="RMS32" s="414"/>
      <c r="RMT32" s="414"/>
      <c r="RMU32" s="414"/>
      <c r="RMV32" s="414"/>
      <c r="RMW32" s="414"/>
      <c r="RMX32" s="414"/>
      <c r="RMY32" s="414"/>
      <c r="RMZ32" s="414"/>
      <c r="RNA32" s="414"/>
      <c r="RNB32" s="414"/>
      <c r="RNC32" s="414"/>
      <c r="RND32" s="414"/>
      <c r="RNE32" s="414"/>
      <c r="RNF32" s="414"/>
      <c r="RNG32" s="414"/>
      <c r="RNH32" s="414"/>
      <c r="RNI32" s="414"/>
      <c r="RNJ32" s="414"/>
      <c r="RNK32" s="414"/>
      <c r="RNL32" s="414"/>
      <c r="RNM32" s="414"/>
      <c r="RNN32" s="414"/>
      <c r="RNO32" s="414"/>
      <c r="RNP32" s="414"/>
      <c r="RNQ32" s="414"/>
      <c r="RNR32" s="414"/>
      <c r="RNS32" s="414"/>
      <c r="RNT32" s="414"/>
      <c r="RNU32" s="414"/>
      <c r="RNV32" s="414"/>
      <c r="RNW32" s="414"/>
      <c r="RNX32" s="414"/>
      <c r="RNY32" s="414"/>
      <c r="RNZ32" s="414"/>
      <c r="ROA32" s="414"/>
      <c r="ROB32" s="414"/>
      <c r="ROC32" s="414"/>
      <c r="ROD32" s="414"/>
      <c r="ROE32" s="414"/>
      <c r="ROF32" s="414"/>
      <c r="ROG32" s="414"/>
      <c r="ROH32" s="414"/>
      <c r="ROI32" s="414"/>
      <c r="ROJ32" s="414"/>
      <c r="ROK32" s="414"/>
      <c r="ROL32" s="414"/>
      <c r="ROM32" s="414"/>
      <c r="RON32" s="414"/>
      <c r="ROO32" s="414"/>
      <c r="ROP32" s="414"/>
      <c r="ROQ32" s="414"/>
      <c r="ROR32" s="414"/>
      <c r="ROS32" s="414"/>
      <c r="ROT32" s="414"/>
      <c r="ROU32" s="414"/>
      <c r="ROV32" s="414"/>
      <c r="ROW32" s="414"/>
      <c r="ROX32" s="414"/>
      <c r="ROY32" s="414"/>
      <c r="ROZ32" s="414"/>
      <c r="RPA32" s="414"/>
      <c r="RPB32" s="414"/>
      <c r="RPC32" s="414"/>
      <c r="RPD32" s="414"/>
      <c r="RPE32" s="414"/>
      <c r="RPF32" s="414"/>
      <c r="RPG32" s="414"/>
      <c r="RPH32" s="414"/>
      <c r="RPI32" s="414"/>
      <c r="RPJ32" s="414"/>
      <c r="RPK32" s="414"/>
      <c r="RPL32" s="414"/>
      <c r="RPM32" s="414"/>
      <c r="RPN32" s="414"/>
      <c r="RPO32" s="414"/>
      <c r="RPP32" s="414"/>
      <c r="RPQ32" s="414"/>
      <c r="RPR32" s="414"/>
      <c r="RPS32" s="414"/>
      <c r="RPT32" s="414"/>
      <c r="RPU32" s="414"/>
      <c r="RPV32" s="414"/>
      <c r="RPW32" s="414"/>
      <c r="RPX32" s="414"/>
      <c r="RPY32" s="414"/>
      <c r="RPZ32" s="414"/>
      <c r="RQA32" s="414"/>
      <c r="RQB32" s="414"/>
      <c r="RQC32" s="414"/>
      <c r="RQD32" s="414"/>
      <c r="RQE32" s="414"/>
      <c r="RQF32" s="414"/>
      <c r="RQG32" s="414"/>
      <c r="RQH32" s="414"/>
      <c r="RQI32" s="414"/>
      <c r="RQJ32" s="414"/>
      <c r="RQK32" s="414"/>
      <c r="RQL32" s="414"/>
      <c r="RQM32" s="414"/>
      <c r="RQN32" s="414"/>
      <c r="RQO32" s="414"/>
      <c r="RQP32" s="414"/>
      <c r="RQQ32" s="414"/>
      <c r="RQR32" s="414"/>
      <c r="RQS32" s="414"/>
      <c r="RQT32" s="414"/>
      <c r="RQU32" s="414"/>
      <c r="RQV32" s="414"/>
      <c r="RQW32" s="414"/>
      <c r="RQX32" s="414"/>
      <c r="RQY32" s="414"/>
      <c r="RQZ32" s="414"/>
      <c r="RRA32" s="414"/>
      <c r="RRB32" s="414"/>
      <c r="RRC32" s="414"/>
      <c r="RRD32" s="414"/>
      <c r="RRE32" s="414"/>
      <c r="RRF32" s="414"/>
      <c r="RRG32" s="414"/>
      <c r="RRH32" s="414"/>
      <c r="RRI32" s="414"/>
      <c r="RRJ32" s="414"/>
      <c r="RRK32" s="414"/>
      <c r="RRL32" s="414"/>
      <c r="RRM32" s="414"/>
      <c r="RRN32" s="414"/>
      <c r="RRO32" s="414"/>
      <c r="RRP32" s="414"/>
      <c r="RRQ32" s="414"/>
      <c r="RRR32" s="414"/>
      <c r="RRS32" s="414"/>
      <c r="RRT32" s="414"/>
      <c r="RRU32" s="414"/>
      <c r="RRV32" s="414"/>
      <c r="RRW32" s="414"/>
      <c r="RRX32" s="414"/>
      <c r="RRY32" s="414"/>
      <c r="RRZ32" s="414"/>
      <c r="RSA32" s="414"/>
      <c r="RSB32" s="414"/>
      <c r="RSC32" s="414"/>
      <c r="RSD32" s="414"/>
      <c r="RSE32" s="414"/>
      <c r="RSF32" s="414"/>
      <c r="RSG32" s="414"/>
      <c r="RSH32" s="414"/>
      <c r="RSI32" s="414"/>
      <c r="RSJ32" s="414"/>
      <c r="RSK32" s="414"/>
      <c r="RSL32" s="414"/>
      <c r="RSM32" s="414"/>
      <c r="RSN32" s="414"/>
      <c r="RSO32" s="414"/>
      <c r="RSP32" s="414"/>
      <c r="RSQ32" s="414"/>
      <c r="RSR32" s="414"/>
      <c r="RSS32" s="414"/>
      <c r="RST32" s="414"/>
      <c r="RSU32" s="414"/>
      <c r="RSV32" s="414"/>
      <c r="RSW32" s="414"/>
      <c r="RSX32" s="414"/>
      <c r="RSY32" s="414"/>
      <c r="RSZ32" s="414"/>
      <c r="RTA32" s="414"/>
      <c r="RTB32" s="414"/>
      <c r="RTC32" s="414"/>
      <c r="RTD32" s="414"/>
      <c r="RTE32" s="414"/>
      <c r="RTF32" s="414"/>
      <c r="RTG32" s="414"/>
      <c r="RTH32" s="414"/>
      <c r="RTI32" s="414"/>
      <c r="RTJ32" s="414"/>
      <c r="RTK32" s="414"/>
      <c r="RTL32" s="414"/>
      <c r="RTM32" s="414"/>
      <c r="RTN32" s="414"/>
      <c r="RTO32" s="414"/>
      <c r="RTP32" s="414"/>
      <c r="RTQ32" s="414"/>
      <c r="RTR32" s="414"/>
      <c r="RTS32" s="414"/>
      <c r="RTT32" s="414"/>
      <c r="RTU32" s="414"/>
      <c r="RTV32" s="414"/>
      <c r="RTW32" s="414"/>
      <c r="RTX32" s="414"/>
      <c r="RTY32" s="414"/>
      <c r="RTZ32" s="414"/>
      <c r="RUA32" s="414"/>
      <c r="RUB32" s="414"/>
      <c r="RUC32" s="414"/>
      <c r="RUD32" s="414"/>
      <c r="RUE32" s="414"/>
      <c r="RUF32" s="414"/>
      <c r="RUG32" s="414"/>
      <c r="RUH32" s="414"/>
      <c r="RUI32" s="414"/>
      <c r="RUJ32" s="414"/>
      <c r="RUK32" s="414"/>
      <c r="RUL32" s="414"/>
      <c r="RUM32" s="414"/>
      <c r="RUN32" s="414"/>
      <c r="RUO32" s="414"/>
      <c r="RUP32" s="414"/>
      <c r="RUQ32" s="414"/>
      <c r="RUR32" s="414"/>
      <c r="RUS32" s="414"/>
      <c r="RUT32" s="414"/>
      <c r="RUU32" s="414"/>
      <c r="RUV32" s="414"/>
      <c r="RUW32" s="414"/>
      <c r="RUX32" s="414"/>
      <c r="RUY32" s="414"/>
      <c r="RUZ32" s="414"/>
      <c r="RVA32" s="414"/>
      <c r="RVB32" s="414"/>
      <c r="RVC32" s="414"/>
      <c r="RVD32" s="414"/>
      <c r="RVE32" s="414"/>
      <c r="RVF32" s="414"/>
      <c r="RVG32" s="414"/>
      <c r="RVH32" s="414"/>
      <c r="RVI32" s="414"/>
      <c r="RVJ32" s="414"/>
      <c r="RVK32" s="414"/>
      <c r="RVL32" s="414"/>
      <c r="RVM32" s="414"/>
      <c r="RVN32" s="414"/>
      <c r="RVO32" s="414"/>
      <c r="RVP32" s="414"/>
      <c r="RVQ32" s="414"/>
      <c r="RVR32" s="414"/>
      <c r="RVS32" s="414"/>
      <c r="RVT32" s="414"/>
      <c r="RVU32" s="414"/>
      <c r="RVV32" s="414"/>
      <c r="RVW32" s="414"/>
      <c r="RVX32" s="414"/>
      <c r="RVY32" s="414"/>
      <c r="RVZ32" s="414"/>
      <c r="RWA32" s="414"/>
      <c r="RWB32" s="414"/>
      <c r="RWC32" s="414"/>
      <c r="RWD32" s="414"/>
      <c r="RWE32" s="414"/>
      <c r="RWF32" s="414"/>
      <c r="RWG32" s="414"/>
      <c r="RWH32" s="414"/>
      <c r="RWI32" s="414"/>
      <c r="RWJ32" s="414"/>
      <c r="RWK32" s="414"/>
      <c r="RWL32" s="414"/>
      <c r="RWM32" s="414"/>
      <c r="RWN32" s="414"/>
      <c r="RWO32" s="414"/>
      <c r="RWP32" s="414"/>
      <c r="RWQ32" s="414"/>
      <c r="RWR32" s="414"/>
      <c r="RWS32" s="414"/>
      <c r="RWT32" s="414"/>
      <c r="RWU32" s="414"/>
      <c r="RWV32" s="414"/>
      <c r="RWW32" s="414"/>
      <c r="RWX32" s="414"/>
      <c r="RWY32" s="414"/>
      <c r="RWZ32" s="414"/>
      <c r="RXA32" s="414"/>
      <c r="RXB32" s="414"/>
      <c r="RXC32" s="414"/>
      <c r="RXD32" s="414"/>
      <c r="RXE32" s="414"/>
      <c r="RXF32" s="414"/>
      <c r="RXG32" s="414"/>
      <c r="RXH32" s="414"/>
      <c r="RXI32" s="414"/>
      <c r="RXJ32" s="414"/>
      <c r="RXK32" s="414"/>
      <c r="RXL32" s="414"/>
      <c r="RXM32" s="414"/>
      <c r="RXN32" s="414"/>
      <c r="RXO32" s="414"/>
      <c r="RXP32" s="414"/>
      <c r="RXQ32" s="414"/>
      <c r="RXR32" s="414"/>
      <c r="RXS32" s="414"/>
      <c r="RXT32" s="414"/>
      <c r="RXU32" s="414"/>
      <c r="RXV32" s="414"/>
      <c r="RXW32" s="414"/>
      <c r="RXX32" s="414"/>
      <c r="RXY32" s="414"/>
      <c r="RXZ32" s="414"/>
      <c r="RYA32" s="414"/>
      <c r="RYB32" s="414"/>
      <c r="RYC32" s="414"/>
      <c r="RYD32" s="414"/>
      <c r="RYE32" s="414"/>
      <c r="RYF32" s="414"/>
      <c r="RYG32" s="414"/>
      <c r="RYH32" s="414"/>
      <c r="RYI32" s="414"/>
      <c r="RYJ32" s="414"/>
      <c r="RYK32" s="414"/>
      <c r="RYL32" s="414"/>
      <c r="RYM32" s="414"/>
      <c r="RYN32" s="414"/>
      <c r="RYO32" s="414"/>
      <c r="RYP32" s="414"/>
      <c r="RYQ32" s="414"/>
      <c r="RYR32" s="414"/>
      <c r="RYS32" s="414"/>
      <c r="RYT32" s="414"/>
      <c r="RYU32" s="414"/>
      <c r="RYV32" s="414"/>
      <c r="RYW32" s="414"/>
      <c r="RYX32" s="414"/>
      <c r="RYY32" s="414"/>
      <c r="RYZ32" s="414"/>
      <c r="RZA32" s="414"/>
      <c r="RZB32" s="414"/>
      <c r="RZC32" s="414"/>
      <c r="RZD32" s="414"/>
      <c r="RZE32" s="414"/>
      <c r="RZF32" s="414"/>
      <c r="RZG32" s="414"/>
      <c r="RZH32" s="414"/>
      <c r="RZI32" s="414"/>
      <c r="RZJ32" s="414"/>
      <c r="RZK32" s="414"/>
      <c r="RZL32" s="414"/>
      <c r="RZM32" s="414"/>
      <c r="RZN32" s="414"/>
      <c r="RZO32" s="414"/>
      <c r="RZP32" s="414"/>
      <c r="RZQ32" s="414"/>
      <c r="RZR32" s="414"/>
      <c r="RZS32" s="414"/>
      <c r="RZT32" s="414"/>
      <c r="RZU32" s="414"/>
      <c r="RZV32" s="414"/>
      <c r="RZW32" s="414"/>
      <c r="RZX32" s="414"/>
      <c r="RZY32" s="414"/>
      <c r="RZZ32" s="414"/>
      <c r="SAA32" s="414"/>
      <c r="SAB32" s="414"/>
      <c r="SAC32" s="414"/>
      <c r="SAD32" s="414"/>
      <c r="SAE32" s="414"/>
      <c r="SAF32" s="414"/>
      <c r="SAG32" s="414"/>
      <c r="SAH32" s="414"/>
      <c r="SAI32" s="414"/>
      <c r="SAJ32" s="414"/>
      <c r="SAK32" s="414"/>
      <c r="SAL32" s="414"/>
      <c r="SAM32" s="414"/>
      <c r="SAN32" s="414"/>
      <c r="SAO32" s="414"/>
      <c r="SAP32" s="414"/>
      <c r="SAQ32" s="414"/>
      <c r="SAR32" s="414"/>
      <c r="SAS32" s="414"/>
      <c r="SAT32" s="414"/>
      <c r="SAU32" s="414"/>
      <c r="SAV32" s="414"/>
      <c r="SAW32" s="414"/>
      <c r="SAX32" s="414"/>
      <c r="SAY32" s="414"/>
      <c r="SAZ32" s="414"/>
      <c r="SBA32" s="414"/>
      <c r="SBB32" s="414"/>
      <c r="SBC32" s="414"/>
      <c r="SBD32" s="414"/>
      <c r="SBE32" s="414"/>
      <c r="SBF32" s="414"/>
      <c r="SBG32" s="414"/>
      <c r="SBH32" s="414"/>
      <c r="SBI32" s="414"/>
      <c r="SBJ32" s="414"/>
      <c r="SBK32" s="414"/>
      <c r="SBL32" s="414"/>
      <c r="SBM32" s="414"/>
      <c r="SBN32" s="414"/>
      <c r="SBO32" s="414"/>
      <c r="SBP32" s="414"/>
      <c r="SBQ32" s="414"/>
      <c r="SBR32" s="414"/>
      <c r="SBS32" s="414"/>
      <c r="SBT32" s="414"/>
      <c r="SBU32" s="414"/>
      <c r="SBV32" s="414"/>
      <c r="SBW32" s="414"/>
      <c r="SBX32" s="414"/>
      <c r="SBY32" s="414"/>
      <c r="SBZ32" s="414"/>
      <c r="SCA32" s="414"/>
      <c r="SCB32" s="414"/>
      <c r="SCC32" s="414"/>
      <c r="SCD32" s="414"/>
      <c r="SCE32" s="414"/>
      <c r="SCF32" s="414"/>
      <c r="SCG32" s="414"/>
      <c r="SCH32" s="414"/>
      <c r="SCI32" s="414"/>
      <c r="SCJ32" s="414"/>
      <c r="SCK32" s="414"/>
      <c r="SCL32" s="414"/>
      <c r="SCM32" s="414"/>
      <c r="SCN32" s="414"/>
      <c r="SCO32" s="414"/>
      <c r="SCP32" s="414"/>
      <c r="SCQ32" s="414"/>
      <c r="SCR32" s="414"/>
      <c r="SCS32" s="414"/>
      <c r="SCT32" s="414"/>
      <c r="SCU32" s="414"/>
      <c r="SCV32" s="414"/>
      <c r="SCW32" s="414"/>
      <c r="SCX32" s="414"/>
      <c r="SCY32" s="414"/>
      <c r="SCZ32" s="414"/>
      <c r="SDA32" s="414"/>
      <c r="SDB32" s="414"/>
      <c r="SDC32" s="414"/>
      <c r="SDD32" s="414"/>
      <c r="SDE32" s="414"/>
      <c r="SDF32" s="414"/>
      <c r="SDG32" s="414"/>
      <c r="SDH32" s="414"/>
      <c r="SDI32" s="414"/>
      <c r="SDJ32" s="414"/>
      <c r="SDK32" s="414"/>
      <c r="SDL32" s="414"/>
      <c r="SDM32" s="414"/>
      <c r="SDN32" s="414"/>
      <c r="SDO32" s="414"/>
      <c r="SDP32" s="414"/>
      <c r="SDQ32" s="414"/>
      <c r="SDR32" s="414"/>
      <c r="SDS32" s="414"/>
      <c r="SDT32" s="414"/>
      <c r="SDU32" s="414"/>
      <c r="SDV32" s="414"/>
      <c r="SDW32" s="414"/>
      <c r="SDX32" s="414"/>
      <c r="SDY32" s="414"/>
      <c r="SDZ32" s="414"/>
      <c r="SEA32" s="414"/>
      <c r="SEB32" s="414"/>
      <c r="SEC32" s="414"/>
      <c r="SED32" s="414"/>
      <c r="SEE32" s="414"/>
      <c r="SEF32" s="414"/>
      <c r="SEG32" s="414"/>
      <c r="SEH32" s="414"/>
      <c r="SEI32" s="414"/>
      <c r="SEJ32" s="414"/>
      <c r="SEK32" s="414"/>
      <c r="SEL32" s="414"/>
      <c r="SEM32" s="414"/>
      <c r="SEN32" s="414"/>
      <c r="SEO32" s="414"/>
      <c r="SEP32" s="414"/>
      <c r="SEQ32" s="414"/>
      <c r="SER32" s="414"/>
      <c r="SES32" s="414"/>
      <c r="SET32" s="414"/>
      <c r="SEU32" s="414"/>
      <c r="SEV32" s="414"/>
      <c r="SEW32" s="414"/>
      <c r="SEX32" s="414"/>
      <c r="SEY32" s="414"/>
      <c r="SEZ32" s="414"/>
      <c r="SFA32" s="414"/>
      <c r="SFB32" s="414"/>
      <c r="SFC32" s="414"/>
      <c r="SFD32" s="414"/>
      <c r="SFE32" s="414"/>
      <c r="SFF32" s="414"/>
      <c r="SFG32" s="414"/>
      <c r="SFH32" s="414"/>
      <c r="SFI32" s="414"/>
      <c r="SFJ32" s="414"/>
      <c r="SFK32" s="414"/>
      <c r="SFL32" s="414"/>
      <c r="SFM32" s="414"/>
      <c r="SFN32" s="414"/>
      <c r="SFO32" s="414"/>
      <c r="SFP32" s="414"/>
      <c r="SFQ32" s="414"/>
      <c r="SFR32" s="414"/>
      <c r="SFS32" s="414"/>
      <c r="SFT32" s="414"/>
      <c r="SFU32" s="414"/>
      <c r="SFV32" s="414"/>
      <c r="SFW32" s="414"/>
      <c r="SFX32" s="414"/>
      <c r="SFY32" s="414"/>
      <c r="SFZ32" s="414"/>
      <c r="SGA32" s="414"/>
      <c r="SGB32" s="414"/>
      <c r="SGC32" s="414"/>
      <c r="SGD32" s="414"/>
      <c r="SGE32" s="414"/>
      <c r="SGF32" s="414"/>
      <c r="SGG32" s="414"/>
      <c r="SGH32" s="414"/>
      <c r="SGI32" s="414"/>
      <c r="SGJ32" s="414"/>
      <c r="SGK32" s="414"/>
      <c r="SGL32" s="414"/>
      <c r="SGM32" s="414"/>
      <c r="SGN32" s="414"/>
      <c r="SGO32" s="414"/>
      <c r="SGP32" s="414"/>
      <c r="SGQ32" s="414"/>
      <c r="SGR32" s="414"/>
      <c r="SGS32" s="414"/>
      <c r="SGT32" s="414"/>
      <c r="SGU32" s="414"/>
      <c r="SGV32" s="414"/>
      <c r="SGW32" s="414"/>
      <c r="SGX32" s="414"/>
      <c r="SGY32" s="414"/>
      <c r="SGZ32" s="414"/>
      <c r="SHA32" s="414"/>
      <c r="SHB32" s="414"/>
      <c r="SHC32" s="414"/>
      <c r="SHD32" s="414"/>
      <c r="SHE32" s="414"/>
      <c r="SHF32" s="414"/>
      <c r="SHG32" s="414"/>
      <c r="SHH32" s="414"/>
      <c r="SHI32" s="414"/>
      <c r="SHJ32" s="414"/>
      <c r="SHK32" s="414"/>
      <c r="SHL32" s="414"/>
      <c r="SHM32" s="414"/>
      <c r="SHN32" s="414"/>
      <c r="SHO32" s="414"/>
      <c r="SHP32" s="414"/>
      <c r="SHQ32" s="414"/>
      <c r="SHR32" s="414"/>
      <c r="SHS32" s="414"/>
      <c r="SHT32" s="414"/>
      <c r="SHU32" s="414"/>
      <c r="SHV32" s="414"/>
      <c r="SHW32" s="414"/>
      <c r="SHX32" s="414"/>
      <c r="SHY32" s="414"/>
      <c r="SHZ32" s="414"/>
      <c r="SIA32" s="414"/>
      <c r="SIB32" s="414"/>
      <c r="SIC32" s="414"/>
      <c r="SID32" s="414"/>
      <c r="SIE32" s="414"/>
      <c r="SIF32" s="414"/>
      <c r="SIG32" s="414"/>
      <c r="SIH32" s="414"/>
      <c r="SII32" s="414"/>
      <c r="SIJ32" s="414"/>
      <c r="SIK32" s="414"/>
      <c r="SIL32" s="414"/>
      <c r="SIM32" s="414"/>
      <c r="SIN32" s="414"/>
      <c r="SIO32" s="414"/>
      <c r="SIP32" s="414"/>
      <c r="SIQ32" s="414"/>
      <c r="SIR32" s="414"/>
      <c r="SIS32" s="414"/>
      <c r="SIT32" s="414"/>
      <c r="SIU32" s="414"/>
      <c r="SIV32" s="414"/>
      <c r="SIW32" s="414"/>
      <c r="SIX32" s="414"/>
      <c r="SIY32" s="414"/>
      <c r="SIZ32" s="414"/>
      <c r="SJA32" s="414"/>
      <c r="SJB32" s="414"/>
      <c r="SJC32" s="414"/>
      <c r="SJD32" s="414"/>
      <c r="SJE32" s="414"/>
      <c r="SJF32" s="414"/>
      <c r="SJG32" s="414"/>
      <c r="SJH32" s="414"/>
      <c r="SJI32" s="414"/>
      <c r="SJJ32" s="414"/>
      <c r="SJK32" s="414"/>
      <c r="SJL32" s="414"/>
      <c r="SJM32" s="414"/>
      <c r="SJN32" s="414"/>
      <c r="SJO32" s="414"/>
      <c r="SJP32" s="414"/>
      <c r="SJQ32" s="414"/>
      <c r="SJR32" s="414"/>
      <c r="SJS32" s="414"/>
      <c r="SJT32" s="414"/>
      <c r="SJU32" s="414"/>
      <c r="SJV32" s="414"/>
      <c r="SJW32" s="414"/>
      <c r="SJX32" s="414"/>
      <c r="SJY32" s="414"/>
      <c r="SJZ32" s="414"/>
      <c r="SKA32" s="414"/>
      <c r="SKB32" s="414"/>
      <c r="SKC32" s="414"/>
      <c r="SKD32" s="414"/>
      <c r="SKE32" s="414"/>
      <c r="SKF32" s="414"/>
      <c r="SKG32" s="414"/>
      <c r="SKH32" s="414"/>
      <c r="SKI32" s="414"/>
      <c r="SKJ32" s="414"/>
      <c r="SKK32" s="414"/>
      <c r="SKL32" s="414"/>
      <c r="SKM32" s="414"/>
      <c r="SKN32" s="414"/>
      <c r="SKO32" s="414"/>
      <c r="SKP32" s="414"/>
      <c r="SKQ32" s="414"/>
      <c r="SKR32" s="414"/>
      <c r="SKS32" s="414"/>
      <c r="SKT32" s="414"/>
      <c r="SKU32" s="414"/>
      <c r="SKV32" s="414"/>
      <c r="SKW32" s="414"/>
      <c r="SKX32" s="414"/>
      <c r="SKY32" s="414"/>
      <c r="SKZ32" s="414"/>
      <c r="SLA32" s="414"/>
      <c r="SLB32" s="414"/>
      <c r="SLC32" s="414"/>
      <c r="SLD32" s="414"/>
      <c r="SLE32" s="414"/>
      <c r="SLF32" s="414"/>
      <c r="SLG32" s="414"/>
      <c r="SLH32" s="414"/>
      <c r="SLI32" s="414"/>
      <c r="SLJ32" s="414"/>
      <c r="SLK32" s="414"/>
      <c r="SLL32" s="414"/>
      <c r="SLM32" s="414"/>
      <c r="SLN32" s="414"/>
      <c r="SLO32" s="414"/>
      <c r="SLP32" s="414"/>
      <c r="SLQ32" s="414"/>
      <c r="SLR32" s="414"/>
      <c r="SLS32" s="414"/>
      <c r="SLT32" s="414"/>
      <c r="SLU32" s="414"/>
      <c r="SLV32" s="414"/>
      <c r="SLW32" s="414"/>
      <c r="SLX32" s="414"/>
      <c r="SLY32" s="414"/>
      <c r="SLZ32" s="414"/>
      <c r="SMA32" s="414"/>
      <c r="SMB32" s="414"/>
      <c r="SMC32" s="414"/>
      <c r="SMD32" s="414"/>
      <c r="SME32" s="414"/>
      <c r="SMF32" s="414"/>
      <c r="SMG32" s="414"/>
      <c r="SMH32" s="414"/>
      <c r="SMI32" s="414"/>
      <c r="SMJ32" s="414"/>
      <c r="SMK32" s="414"/>
      <c r="SML32" s="414"/>
      <c r="SMM32" s="414"/>
      <c r="SMN32" s="414"/>
      <c r="SMO32" s="414"/>
      <c r="SMP32" s="414"/>
      <c r="SMQ32" s="414"/>
      <c r="SMR32" s="414"/>
      <c r="SMS32" s="414"/>
      <c r="SMT32" s="414"/>
      <c r="SMU32" s="414"/>
      <c r="SMV32" s="414"/>
      <c r="SMW32" s="414"/>
      <c r="SMX32" s="414"/>
      <c r="SMY32" s="414"/>
      <c r="SMZ32" s="414"/>
      <c r="SNA32" s="414"/>
      <c r="SNB32" s="414"/>
      <c r="SNC32" s="414"/>
      <c r="SND32" s="414"/>
      <c r="SNE32" s="414"/>
      <c r="SNF32" s="414"/>
      <c r="SNG32" s="414"/>
      <c r="SNH32" s="414"/>
      <c r="SNI32" s="414"/>
      <c r="SNJ32" s="414"/>
      <c r="SNK32" s="414"/>
      <c r="SNL32" s="414"/>
      <c r="SNM32" s="414"/>
      <c r="SNN32" s="414"/>
      <c r="SNO32" s="414"/>
      <c r="SNP32" s="414"/>
      <c r="SNQ32" s="414"/>
      <c r="SNR32" s="414"/>
      <c r="SNS32" s="414"/>
      <c r="SNT32" s="414"/>
      <c r="SNU32" s="414"/>
      <c r="SNV32" s="414"/>
      <c r="SNW32" s="414"/>
      <c r="SNX32" s="414"/>
      <c r="SNY32" s="414"/>
      <c r="SNZ32" s="414"/>
      <c r="SOA32" s="414"/>
      <c r="SOB32" s="414"/>
      <c r="SOC32" s="414"/>
      <c r="SOD32" s="414"/>
      <c r="SOE32" s="414"/>
      <c r="SOF32" s="414"/>
      <c r="SOG32" s="414"/>
      <c r="SOH32" s="414"/>
      <c r="SOI32" s="414"/>
      <c r="SOJ32" s="414"/>
      <c r="SOK32" s="414"/>
      <c r="SOL32" s="414"/>
      <c r="SOM32" s="414"/>
      <c r="SON32" s="414"/>
      <c r="SOO32" s="414"/>
      <c r="SOP32" s="414"/>
      <c r="SOQ32" s="414"/>
      <c r="SOR32" s="414"/>
      <c r="SOS32" s="414"/>
      <c r="SOT32" s="414"/>
      <c r="SOU32" s="414"/>
      <c r="SOV32" s="414"/>
      <c r="SOW32" s="414"/>
      <c r="SOX32" s="414"/>
      <c r="SOY32" s="414"/>
      <c r="SOZ32" s="414"/>
      <c r="SPA32" s="414"/>
      <c r="SPB32" s="414"/>
      <c r="SPC32" s="414"/>
      <c r="SPD32" s="414"/>
      <c r="SPE32" s="414"/>
      <c r="SPF32" s="414"/>
      <c r="SPG32" s="414"/>
      <c r="SPH32" s="414"/>
      <c r="SPI32" s="414"/>
      <c r="SPJ32" s="414"/>
      <c r="SPK32" s="414"/>
      <c r="SPL32" s="414"/>
      <c r="SPM32" s="414"/>
      <c r="SPN32" s="414"/>
      <c r="SPO32" s="414"/>
      <c r="SPP32" s="414"/>
      <c r="SPQ32" s="414"/>
      <c r="SPR32" s="414"/>
      <c r="SPS32" s="414"/>
      <c r="SPT32" s="414"/>
      <c r="SPU32" s="414"/>
      <c r="SPV32" s="414"/>
      <c r="SPW32" s="414"/>
      <c r="SPX32" s="414"/>
      <c r="SPY32" s="414"/>
      <c r="SPZ32" s="414"/>
      <c r="SQA32" s="414"/>
      <c r="SQB32" s="414"/>
      <c r="SQC32" s="414"/>
      <c r="SQD32" s="414"/>
      <c r="SQE32" s="414"/>
      <c r="SQF32" s="414"/>
      <c r="SQG32" s="414"/>
      <c r="SQH32" s="414"/>
      <c r="SQI32" s="414"/>
      <c r="SQJ32" s="414"/>
      <c r="SQK32" s="414"/>
      <c r="SQL32" s="414"/>
      <c r="SQM32" s="414"/>
      <c r="SQN32" s="414"/>
      <c r="SQO32" s="414"/>
      <c r="SQP32" s="414"/>
      <c r="SQQ32" s="414"/>
      <c r="SQR32" s="414"/>
      <c r="SQS32" s="414"/>
      <c r="SQT32" s="414"/>
      <c r="SQU32" s="414"/>
      <c r="SQV32" s="414"/>
      <c r="SQW32" s="414"/>
      <c r="SQX32" s="414"/>
      <c r="SQY32" s="414"/>
      <c r="SQZ32" s="414"/>
      <c r="SRA32" s="414"/>
      <c r="SRB32" s="414"/>
      <c r="SRC32" s="414"/>
      <c r="SRD32" s="414"/>
      <c r="SRE32" s="414"/>
      <c r="SRF32" s="414"/>
      <c r="SRG32" s="414"/>
      <c r="SRH32" s="414"/>
      <c r="SRI32" s="414"/>
      <c r="SRJ32" s="414"/>
      <c r="SRK32" s="414"/>
      <c r="SRL32" s="414"/>
      <c r="SRM32" s="414"/>
      <c r="SRN32" s="414"/>
      <c r="SRO32" s="414"/>
      <c r="SRP32" s="414"/>
      <c r="SRQ32" s="414"/>
      <c r="SRR32" s="414"/>
      <c r="SRS32" s="414"/>
      <c r="SRT32" s="414"/>
      <c r="SRU32" s="414"/>
      <c r="SRV32" s="414"/>
      <c r="SRW32" s="414"/>
      <c r="SRX32" s="414"/>
      <c r="SRY32" s="414"/>
      <c r="SRZ32" s="414"/>
      <c r="SSA32" s="414"/>
      <c r="SSB32" s="414"/>
      <c r="SSC32" s="414"/>
      <c r="SSD32" s="414"/>
      <c r="SSE32" s="414"/>
      <c r="SSF32" s="414"/>
      <c r="SSG32" s="414"/>
      <c r="SSH32" s="414"/>
      <c r="SSI32" s="414"/>
      <c r="SSJ32" s="414"/>
      <c r="SSK32" s="414"/>
      <c r="SSL32" s="414"/>
      <c r="SSM32" s="414"/>
      <c r="SSN32" s="414"/>
      <c r="SSO32" s="414"/>
      <c r="SSP32" s="414"/>
      <c r="SSQ32" s="414"/>
      <c r="SSR32" s="414"/>
      <c r="SSS32" s="414"/>
      <c r="SST32" s="414"/>
      <c r="SSU32" s="414"/>
      <c r="SSV32" s="414"/>
      <c r="SSW32" s="414"/>
      <c r="SSX32" s="414"/>
      <c r="SSY32" s="414"/>
      <c r="SSZ32" s="414"/>
      <c r="STA32" s="414"/>
      <c r="STB32" s="414"/>
      <c r="STC32" s="414"/>
      <c r="STD32" s="414"/>
      <c r="STE32" s="414"/>
      <c r="STF32" s="414"/>
      <c r="STG32" s="414"/>
      <c r="STH32" s="414"/>
      <c r="STI32" s="414"/>
      <c r="STJ32" s="414"/>
      <c r="STK32" s="414"/>
      <c r="STL32" s="414"/>
      <c r="STM32" s="414"/>
      <c r="STN32" s="414"/>
      <c r="STO32" s="414"/>
      <c r="STP32" s="414"/>
      <c r="STQ32" s="414"/>
      <c r="STR32" s="414"/>
      <c r="STS32" s="414"/>
      <c r="STT32" s="414"/>
      <c r="STU32" s="414"/>
      <c r="STV32" s="414"/>
      <c r="STW32" s="414"/>
      <c r="STX32" s="414"/>
      <c r="STY32" s="414"/>
      <c r="STZ32" s="414"/>
      <c r="SUA32" s="414"/>
      <c r="SUB32" s="414"/>
      <c r="SUC32" s="414"/>
      <c r="SUD32" s="414"/>
      <c r="SUE32" s="414"/>
      <c r="SUF32" s="414"/>
      <c r="SUG32" s="414"/>
      <c r="SUH32" s="414"/>
      <c r="SUI32" s="414"/>
      <c r="SUJ32" s="414"/>
      <c r="SUK32" s="414"/>
      <c r="SUL32" s="414"/>
      <c r="SUM32" s="414"/>
      <c r="SUN32" s="414"/>
      <c r="SUO32" s="414"/>
      <c r="SUP32" s="414"/>
      <c r="SUQ32" s="414"/>
      <c r="SUR32" s="414"/>
      <c r="SUS32" s="414"/>
      <c r="SUT32" s="414"/>
      <c r="SUU32" s="414"/>
      <c r="SUV32" s="414"/>
      <c r="SUW32" s="414"/>
      <c r="SUX32" s="414"/>
      <c r="SUY32" s="414"/>
      <c r="SUZ32" s="414"/>
      <c r="SVA32" s="414"/>
      <c r="SVB32" s="414"/>
      <c r="SVC32" s="414"/>
      <c r="SVD32" s="414"/>
      <c r="SVE32" s="414"/>
      <c r="SVF32" s="414"/>
      <c r="SVG32" s="414"/>
      <c r="SVH32" s="414"/>
      <c r="SVI32" s="414"/>
      <c r="SVJ32" s="414"/>
      <c r="SVK32" s="414"/>
      <c r="SVL32" s="414"/>
      <c r="SVM32" s="414"/>
      <c r="SVN32" s="414"/>
      <c r="SVO32" s="414"/>
      <c r="SVP32" s="414"/>
      <c r="SVQ32" s="414"/>
      <c r="SVR32" s="414"/>
      <c r="SVS32" s="414"/>
      <c r="SVT32" s="414"/>
      <c r="SVU32" s="414"/>
      <c r="SVV32" s="414"/>
      <c r="SVW32" s="414"/>
      <c r="SVX32" s="414"/>
      <c r="SVY32" s="414"/>
      <c r="SVZ32" s="414"/>
      <c r="SWA32" s="414"/>
      <c r="SWB32" s="414"/>
      <c r="SWC32" s="414"/>
      <c r="SWD32" s="414"/>
      <c r="SWE32" s="414"/>
      <c r="SWF32" s="414"/>
      <c r="SWG32" s="414"/>
      <c r="SWH32" s="414"/>
      <c r="SWI32" s="414"/>
      <c r="SWJ32" s="414"/>
      <c r="SWK32" s="414"/>
      <c r="SWL32" s="414"/>
      <c r="SWM32" s="414"/>
      <c r="SWN32" s="414"/>
      <c r="SWO32" s="414"/>
      <c r="SWP32" s="414"/>
      <c r="SWQ32" s="414"/>
      <c r="SWR32" s="414"/>
      <c r="SWS32" s="414"/>
      <c r="SWT32" s="414"/>
      <c r="SWU32" s="414"/>
      <c r="SWV32" s="414"/>
      <c r="SWW32" s="414"/>
      <c r="SWX32" s="414"/>
      <c r="SWY32" s="414"/>
      <c r="SWZ32" s="414"/>
      <c r="SXA32" s="414"/>
      <c r="SXB32" s="414"/>
      <c r="SXC32" s="414"/>
      <c r="SXD32" s="414"/>
      <c r="SXE32" s="414"/>
      <c r="SXF32" s="414"/>
      <c r="SXG32" s="414"/>
      <c r="SXH32" s="414"/>
      <c r="SXI32" s="414"/>
      <c r="SXJ32" s="414"/>
      <c r="SXK32" s="414"/>
      <c r="SXL32" s="414"/>
      <c r="SXM32" s="414"/>
      <c r="SXN32" s="414"/>
      <c r="SXO32" s="414"/>
      <c r="SXP32" s="414"/>
      <c r="SXQ32" s="414"/>
      <c r="SXR32" s="414"/>
      <c r="SXS32" s="414"/>
      <c r="SXT32" s="414"/>
      <c r="SXU32" s="414"/>
      <c r="SXV32" s="414"/>
      <c r="SXW32" s="414"/>
      <c r="SXX32" s="414"/>
      <c r="SXY32" s="414"/>
      <c r="SXZ32" s="414"/>
      <c r="SYA32" s="414"/>
      <c r="SYB32" s="414"/>
      <c r="SYC32" s="414"/>
      <c r="SYD32" s="414"/>
      <c r="SYE32" s="414"/>
      <c r="SYF32" s="414"/>
      <c r="SYG32" s="414"/>
      <c r="SYH32" s="414"/>
      <c r="SYI32" s="414"/>
      <c r="SYJ32" s="414"/>
      <c r="SYK32" s="414"/>
      <c r="SYL32" s="414"/>
      <c r="SYM32" s="414"/>
      <c r="SYN32" s="414"/>
      <c r="SYO32" s="414"/>
      <c r="SYP32" s="414"/>
      <c r="SYQ32" s="414"/>
      <c r="SYR32" s="414"/>
      <c r="SYS32" s="414"/>
      <c r="SYT32" s="414"/>
      <c r="SYU32" s="414"/>
      <c r="SYV32" s="414"/>
      <c r="SYW32" s="414"/>
      <c r="SYX32" s="414"/>
      <c r="SYY32" s="414"/>
      <c r="SYZ32" s="414"/>
      <c r="SZA32" s="414"/>
      <c r="SZB32" s="414"/>
      <c r="SZC32" s="414"/>
      <c r="SZD32" s="414"/>
      <c r="SZE32" s="414"/>
      <c r="SZF32" s="414"/>
      <c r="SZG32" s="414"/>
      <c r="SZH32" s="414"/>
      <c r="SZI32" s="414"/>
      <c r="SZJ32" s="414"/>
      <c r="SZK32" s="414"/>
      <c r="SZL32" s="414"/>
      <c r="SZM32" s="414"/>
      <c r="SZN32" s="414"/>
      <c r="SZO32" s="414"/>
      <c r="SZP32" s="414"/>
      <c r="SZQ32" s="414"/>
      <c r="SZR32" s="414"/>
      <c r="SZS32" s="414"/>
      <c r="SZT32" s="414"/>
      <c r="SZU32" s="414"/>
      <c r="SZV32" s="414"/>
      <c r="SZW32" s="414"/>
      <c r="SZX32" s="414"/>
      <c r="SZY32" s="414"/>
      <c r="SZZ32" s="414"/>
      <c r="TAA32" s="414"/>
      <c r="TAB32" s="414"/>
      <c r="TAC32" s="414"/>
      <c r="TAD32" s="414"/>
      <c r="TAE32" s="414"/>
      <c r="TAF32" s="414"/>
      <c r="TAG32" s="414"/>
      <c r="TAH32" s="414"/>
      <c r="TAI32" s="414"/>
      <c r="TAJ32" s="414"/>
      <c r="TAK32" s="414"/>
      <c r="TAL32" s="414"/>
      <c r="TAM32" s="414"/>
      <c r="TAN32" s="414"/>
      <c r="TAO32" s="414"/>
      <c r="TAP32" s="414"/>
      <c r="TAQ32" s="414"/>
      <c r="TAR32" s="414"/>
      <c r="TAS32" s="414"/>
      <c r="TAT32" s="414"/>
      <c r="TAU32" s="414"/>
      <c r="TAV32" s="414"/>
      <c r="TAW32" s="414"/>
      <c r="TAX32" s="414"/>
      <c r="TAY32" s="414"/>
      <c r="TAZ32" s="414"/>
      <c r="TBA32" s="414"/>
      <c r="TBB32" s="414"/>
      <c r="TBC32" s="414"/>
      <c r="TBD32" s="414"/>
      <c r="TBE32" s="414"/>
      <c r="TBF32" s="414"/>
      <c r="TBG32" s="414"/>
      <c r="TBH32" s="414"/>
      <c r="TBI32" s="414"/>
      <c r="TBJ32" s="414"/>
      <c r="TBK32" s="414"/>
      <c r="TBL32" s="414"/>
      <c r="TBM32" s="414"/>
      <c r="TBN32" s="414"/>
      <c r="TBO32" s="414"/>
      <c r="TBP32" s="414"/>
      <c r="TBQ32" s="414"/>
      <c r="TBR32" s="414"/>
      <c r="TBS32" s="414"/>
      <c r="TBT32" s="414"/>
      <c r="TBU32" s="414"/>
      <c r="TBV32" s="414"/>
      <c r="TBW32" s="414"/>
      <c r="TBX32" s="414"/>
      <c r="TBY32" s="414"/>
      <c r="TBZ32" s="414"/>
      <c r="TCA32" s="414"/>
      <c r="TCB32" s="414"/>
      <c r="TCC32" s="414"/>
      <c r="TCD32" s="414"/>
      <c r="TCE32" s="414"/>
      <c r="TCF32" s="414"/>
      <c r="TCG32" s="414"/>
      <c r="TCH32" s="414"/>
      <c r="TCI32" s="414"/>
      <c r="TCJ32" s="414"/>
      <c r="TCK32" s="414"/>
      <c r="TCL32" s="414"/>
      <c r="TCM32" s="414"/>
      <c r="TCN32" s="414"/>
      <c r="TCO32" s="414"/>
      <c r="TCP32" s="414"/>
      <c r="TCQ32" s="414"/>
      <c r="TCR32" s="414"/>
      <c r="TCS32" s="414"/>
      <c r="TCT32" s="414"/>
      <c r="TCU32" s="414"/>
      <c r="TCV32" s="414"/>
      <c r="TCW32" s="414"/>
      <c r="TCX32" s="414"/>
      <c r="TCY32" s="414"/>
      <c r="TCZ32" s="414"/>
      <c r="TDA32" s="414"/>
      <c r="TDB32" s="414"/>
      <c r="TDC32" s="414"/>
      <c r="TDD32" s="414"/>
      <c r="TDE32" s="414"/>
      <c r="TDF32" s="414"/>
      <c r="TDG32" s="414"/>
      <c r="TDH32" s="414"/>
      <c r="TDI32" s="414"/>
      <c r="TDJ32" s="414"/>
      <c r="TDK32" s="414"/>
      <c r="TDL32" s="414"/>
      <c r="TDM32" s="414"/>
      <c r="TDN32" s="414"/>
      <c r="TDO32" s="414"/>
      <c r="TDP32" s="414"/>
      <c r="TDQ32" s="414"/>
      <c r="TDR32" s="414"/>
      <c r="TDS32" s="414"/>
      <c r="TDT32" s="414"/>
      <c r="TDU32" s="414"/>
      <c r="TDV32" s="414"/>
      <c r="TDW32" s="414"/>
      <c r="TDX32" s="414"/>
      <c r="TDY32" s="414"/>
      <c r="TDZ32" s="414"/>
      <c r="TEA32" s="414"/>
      <c r="TEB32" s="414"/>
      <c r="TEC32" s="414"/>
      <c r="TED32" s="414"/>
      <c r="TEE32" s="414"/>
      <c r="TEF32" s="414"/>
      <c r="TEG32" s="414"/>
      <c r="TEH32" s="414"/>
      <c r="TEI32" s="414"/>
      <c r="TEJ32" s="414"/>
      <c r="TEK32" s="414"/>
      <c r="TEL32" s="414"/>
      <c r="TEM32" s="414"/>
      <c r="TEN32" s="414"/>
      <c r="TEO32" s="414"/>
      <c r="TEP32" s="414"/>
      <c r="TEQ32" s="414"/>
      <c r="TER32" s="414"/>
      <c r="TES32" s="414"/>
      <c r="TET32" s="414"/>
      <c r="TEU32" s="414"/>
      <c r="TEV32" s="414"/>
      <c r="TEW32" s="414"/>
      <c r="TEX32" s="414"/>
      <c r="TEY32" s="414"/>
      <c r="TEZ32" s="414"/>
      <c r="TFA32" s="414"/>
      <c r="TFB32" s="414"/>
      <c r="TFC32" s="414"/>
      <c r="TFD32" s="414"/>
      <c r="TFE32" s="414"/>
      <c r="TFF32" s="414"/>
      <c r="TFG32" s="414"/>
      <c r="TFH32" s="414"/>
      <c r="TFI32" s="414"/>
      <c r="TFJ32" s="414"/>
      <c r="TFK32" s="414"/>
      <c r="TFL32" s="414"/>
      <c r="TFM32" s="414"/>
      <c r="TFN32" s="414"/>
      <c r="TFO32" s="414"/>
      <c r="TFP32" s="414"/>
      <c r="TFQ32" s="414"/>
      <c r="TFR32" s="414"/>
      <c r="TFS32" s="414"/>
      <c r="TFT32" s="414"/>
      <c r="TFU32" s="414"/>
      <c r="TFV32" s="414"/>
      <c r="TFW32" s="414"/>
      <c r="TFX32" s="414"/>
      <c r="TFY32" s="414"/>
      <c r="TFZ32" s="414"/>
      <c r="TGA32" s="414"/>
      <c r="TGB32" s="414"/>
      <c r="TGC32" s="414"/>
      <c r="TGD32" s="414"/>
      <c r="TGE32" s="414"/>
      <c r="TGF32" s="414"/>
      <c r="TGG32" s="414"/>
      <c r="TGH32" s="414"/>
      <c r="TGI32" s="414"/>
      <c r="TGJ32" s="414"/>
      <c r="TGK32" s="414"/>
      <c r="TGL32" s="414"/>
      <c r="TGM32" s="414"/>
      <c r="TGN32" s="414"/>
      <c r="TGO32" s="414"/>
      <c r="TGP32" s="414"/>
      <c r="TGQ32" s="414"/>
      <c r="TGR32" s="414"/>
      <c r="TGS32" s="414"/>
      <c r="TGT32" s="414"/>
      <c r="TGU32" s="414"/>
      <c r="TGV32" s="414"/>
      <c r="TGW32" s="414"/>
      <c r="TGX32" s="414"/>
      <c r="TGY32" s="414"/>
      <c r="TGZ32" s="414"/>
      <c r="THA32" s="414"/>
      <c r="THB32" s="414"/>
      <c r="THC32" s="414"/>
      <c r="THD32" s="414"/>
      <c r="THE32" s="414"/>
      <c r="THF32" s="414"/>
      <c r="THG32" s="414"/>
      <c r="THH32" s="414"/>
      <c r="THI32" s="414"/>
      <c r="THJ32" s="414"/>
      <c r="THK32" s="414"/>
      <c r="THL32" s="414"/>
      <c r="THM32" s="414"/>
      <c r="THN32" s="414"/>
      <c r="THO32" s="414"/>
      <c r="THP32" s="414"/>
      <c r="THQ32" s="414"/>
      <c r="THR32" s="414"/>
      <c r="THS32" s="414"/>
      <c r="THT32" s="414"/>
      <c r="THU32" s="414"/>
      <c r="THV32" s="414"/>
      <c r="THW32" s="414"/>
      <c r="THX32" s="414"/>
      <c r="THY32" s="414"/>
      <c r="THZ32" s="414"/>
      <c r="TIA32" s="414"/>
      <c r="TIB32" s="414"/>
      <c r="TIC32" s="414"/>
      <c r="TID32" s="414"/>
      <c r="TIE32" s="414"/>
      <c r="TIF32" s="414"/>
      <c r="TIG32" s="414"/>
      <c r="TIH32" s="414"/>
      <c r="TII32" s="414"/>
      <c r="TIJ32" s="414"/>
      <c r="TIK32" s="414"/>
      <c r="TIL32" s="414"/>
      <c r="TIM32" s="414"/>
      <c r="TIN32" s="414"/>
      <c r="TIO32" s="414"/>
      <c r="TIP32" s="414"/>
      <c r="TIQ32" s="414"/>
      <c r="TIR32" s="414"/>
      <c r="TIS32" s="414"/>
      <c r="TIT32" s="414"/>
      <c r="TIU32" s="414"/>
      <c r="TIV32" s="414"/>
      <c r="TIW32" s="414"/>
      <c r="TIX32" s="414"/>
      <c r="TIY32" s="414"/>
      <c r="TIZ32" s="414"/>
      <c r="TJA32" s="414"/>
      <c r="TJB32" s="414"/>
      <c r="TJC32" s="414"/>
      <c r="TJD32" s="414"/>
      <c r="TJE32" s="414"/>
      <c r="TJF32" s="414"/>
      <c r="TJG32" s="414"/>
      <c r="TJH32" s="414"/>
      <c r="TJI32" s="414"/>
      <c r="TJJ32" s="414"/>
      <c r="TJK32" s="414"/>
      <c r="TJL32" s="414"/>
      <c r="TJM32" s="414"/>
      <c r="TJN32" s="414"/>
      <c r="TJO32" s="414"/>
      <c r="TJP32" s="414"/>
      <c r="TJQ32" s="414"/>
      <c r="TJR32" s="414"/>
      <c r="TJS32" s="414"/>
      <c r="TJT32" s="414"/>
      <c r="TJU32" s="414"/>
      <c r="TJV32" s="414"/>
      <c r="TJW32" s="414"/>
      <c r="TJX32" s="414"/>
      <c r="TJY32" s="414"/>
      <c r="TJZ32" s="414"/>
      <c r="TKA32" s="414"/>
      <c r="TKB32" s="414"/>
      <c r="TKC32" s="414"/>
      <c r="TKD32" s="414"/>
      <c r="TKE32" s="414"/>
      <c r="TKF32" s="414"/>
      <c r="TKG32" s="414"/>
      <c r="TKH32" s="414"/>
      <c r="TKI32" s="414"/>
      <c r="TKJ32" s="414"/>
      <c r="TKK32" s="414"/>
      <c r="TKL32" s="414"/>
      <c r="TKM32" s="414"/>
      <c r="TKN32" s="414"/>
      <c r="TKO32" s="414"/>
      <c r="TKP32" s="414"/>
      <c r="TKQ32" s="414"/>
      <c r="TKR32" s="414"/>
      <c r="TKS32" s="414"/>
      <c r="TKT32" s="414"/>
      <c r="TKU32" s="414"/>
      <c r="TKV32" s="414"/>
      <c r="TKW32" s="414"/>
      <c r="TKX32" s="414"/>
      <c r="TKY32" s="414"/>
      <c r="TKZ32" s="414"/>
      <c r="TLA32" s="414"/>
      <c r="TLB32" s="414"/>
      <c r="TLC32" s="414"/>
      <c r="TLD32" s="414"/>
      <c r="TLE32" s="414"/>
      <c r="TLF32" s="414"/>
      <c r="TLG32" s="414"/>
      <c r="TLH32" s="414"/>
      <c r="TLI32" s="414"/>
      <c r="TLJ32" s="414"/>
      <c r="TLK32" s="414"/>
      <c r="TLL32" s="414"/>
      <c r="TLM32" s="414"/>
      <c r="TLN32" s="414"/>
      <c r="TLO32" s="414"/>
      <c r="TLP32" s="414"/>
      <c r="TLQ32" s="414"/>
      <c r="TLR32" s="414"/>
      <c r="TLS32" s="414"/>
      <c r="TLT32" s="414"/>
      <c r="TLU32" s="414"/>
      <c r="TLV32" s="414"/>
      <c r="TLW32" s="414"/>
      <c r="TLX32" s="414"/>
      <c r="TLY32" s="414"/>
      <c r="TLZ32" s="414"/>
      <c r="TMA32" s="414"/>
      <c r="TMB32" s="414"/>
      <c r="TMC32" s="414"/>
      <c r="TMD32" s="414"/>
      <c r="TME32" s="414"/>
      <c r="TMF32" s="414"/>
      <c r="TMG32" s="414"/>
      <c r="TMH32" s="414"/>
      <c r="TMI32" s="414"/>
      <c r="TMJ32" s="414"/>
      <c r="TMK32" s="414"/>
      <c r="TML32" s="414"/>
      <c r="TMM32" s="414"/>
      <c r="TMN32" s="414"/>
      <c r="TMO32" s="414"/>
      <c r="TMP32" s="414"/>
      <c r="TMQ32" s="414"/>
      <c r="TMR32" s="414"/>
      <c r="TMS32" s="414"/>
      <c r="TMT32" s="414"/>
      <c r="TMU32" s="414"/>
      <c r="TMV32" s="414"/>
      <c r="TMW32" s="414"/>
      <c r="TMX32" s="414"/>
      <c r="TMY32" s="414"/>
      <c r="TMZ32" s="414"/>
      <c r="TNA32" s="414"/>
      <c r="TNB32" s="414"/>
      <c r="TNC32" s="414"/>
      <c r="TND32" s="414"/>
      <c r="TNE32" s="414"/>
      <c r="TNF32" s="414"/>
      <c r="TNG32" s="414"/>
      <c r="TNH32" s="414"/>
      <c r="TNI32" s="414"/>
      <c r="TNJ32" s="414"/>
      <c r="TNK32" s="414"/>
      <c r="TNL32" s="414"/>
      <c r="TNM32" s="414"/>
      <c r="TNN32" s="414"/>
      <c r="TNO32" s="414"/>
      <c r="TNP32" s="414"/>
      <c r="TNQ32" s="414"/>
      <c r="TNR32" s="414"/>
      <c r="TNS32" s="414"/>
      <c r="TNT32" s="414"/>
      <c r="TNU32" s="414"/>
      <c r="TNV32" s="414"/>
      <c r="TNW32" s="414"/>
      <c r="TNX32" s="414"/>
      <c r="TNY32" s="414"/>
      <c r="TNZ32" s="414"/>
      <c r="TOA32" s="414"/>
      <c r="TOB32" s="414"/>
      <c r="TOC32" s="414"/>
      <c r="TOD32" s="414"/>
      <c r="TOE32" s="414"/>
      <c r="TOF32" s="414"/>
      <c r="TOG32" s="414"/>
      <c r="TOH32" s="414"/>
      <c r="TOI32" s="414"/>
      <c r="TOJ32" s="414"/>
      <c r="TOK32" s="414"/>
      <c r="TOL32" s="414"/>
      <c r="TOM32" s="414"/>
      <c r="TON32" s="414"/>
      <c r="TOO32" s="414"/>
      <c r="TOP32" s="414"/>
      <c r="TOQ32" s="414"/>
      <c r="TOR32" s="414"/>
      <c r="TOS32" s="414"/>
      <c r="TOT32" s="414"/>
      <c r="TOU32" s="414"/>
      <c r="TOV32" s="414"/>
      <c r="TOW32" s="414"/>
      <c r="TOX32" s="414"/>
      <c r="TOY32" s="414"/>
      <c r="TOZ32" s="414"/>
      <c r="TPA32" s="414"/>
      <c r="TPB32" s="414"/>
      <c r="TPC32" s="414"/>
      <c r="TPD32" s="414"/>
      <c r="TPE32" s="414"/>
      <c r="TPF32" s="414"/>
      <c r="TPG32" s="414"/>
      <c r="TPH32" s="414"/>
      <c r="TPI32" s="414"/>
      <c r="TPJ32" s="414"/>
      <c r="TPK32" s="414"/>
      <c r="TPL32" s="414"/>
      <c r="TPM32" s="414"/>
      <c r="TPN32" s="414"/>
      <c r="TPO32" s="414"/>
      <c r="TPP32" s="414"/>
      <c r="TPQ32" s="414"/>
      <c r="TPR32" s="414"/>
      <c r="TPS32" s="414"/>
      <c r="TPT32" s="414"/>
      <c r="TPU32" s="414"/>
      <c r="TPV32" s="414"/>
      <c r="TPW32" s="414"/>
      <c r="TPX32" s="414"/>
      <c r="TPY32" s="414"/>
      <c r="TPZ32" s="414"/>
      <c r="TQA32" s="414"/>
      <c r="TQB32" s="414"/>
      <c r="TQC32" s="414"/>
      <c r="TQD32" s="414"/>
      <c r="TQE32" s="414"/>
      <c r="TQF32" s="414"/>
      <c r="TQG32" s="414"/>
      <c r="TQH32" s="414"/>
      <c r="TQI32" s="414"/>
      <c r="TQJ32" s="414"/>
      <c r="TQK32" s="414"/>
      <c r="TQL32" s="414"/>
      <c r="TQM32" s="414"/>
      <c r="TQN32" s="414"/>
      <c r="TQO32" s="414"/>
      <c r="TQP32" s="414"/>
      <c r="TQQ32" s="414"/>
      <c r="TQR32" s="414"/>
      <c r="TQS32" s="414"/>
      <c r="TQT32" s="414"/>
      <c r="TQU32" s="414"/>
      <c r="TQV32" s="414"/>
      <c r="TQW32" s="414"/>
      <c r="TQX32" s="414"/>
      <c r="TQY32" s="414"/>
      <c r="TQZ32" s="414"/>
      <c r="TRA32" s="414"/>
      <c r="TRB32" s="414"/>
      <c r="TRC32" s="414"/>
      <c r="TRD32" s="414"/>
      <c r="TRE32" s="414"/>
      <c r="TRF32" s="414"/>
      <c r="TRG32" s="414"/>
      <c r="TRH32" s="414"/>
      <c r="TRI32" s="414"/>
      <c r="TRJ32" s="414"/>
      <c r="TRK32" s="414"/>
      <c r="TRL32" s="414"/>
      <c r="TRM32" s="414"/>
      <c r="TRN32" s="414"/>
      <c r="TRO32" s="414"/>
      <c r="TRP32" s="414"/>
      <c r="TRQ32" s="414"/>
      <c r="TRR32" s="414"/>
      <c r="TRS32" s="414"/>
      <c r="TRT32" s="414"/>
      <c r="TRU32" s="414"/>
      <c r="TRV32" s="414"/>
      <c r="TRW32" s="414"/>
      <c r="TRX32" s="414"/>
      <c r="TRY32" s="414"/>
      <c r="TRZ32" s="414"/>
      <c r="TSA32" s="414"/>
      <c r="TSB32" s="414"/>
      <c r="TSC32" s="414"/>
      <c r="TSD32" s="414"/>
      <c r="TSE32" s="414"/>
      <c r="TSF32" s="414"/>
      <c r="TSG32" s="414"/>
      <c r="TSH32" s="414"/>
      <c r="TSI32" s="414"/>
      <c r="TSJ32" s="414"/>
      <c r="TSK32" s="414"/>
      <c r="TSL32" s="414"/>
      <c r="TSM32" s="414"/>
      <c r="TSN32" s="414"/>
      <c r="TSO32" s="414"/>
      <c r="TSP32" s="414"/>
      <c r="TSQ32" s="414"/>
      <c r="TSR32" s="414"/>
      <c r="TSS32" s="414"/>
      <c r="TST32" s="414"/>
      <c r="TSU32" s="414"/>
      <c r="TSV32" s="414"/>
      <c r="TSW32" s="414"/>
      <c r="TSX32" s="414"/>
      <c r="TSY32" s="414"/>
      <c r="TSZ32" s="414"/>
      <c r="TTA32" s="414"/>
      <c r="TTB32" s="414"/>
      <c r="TTC32" s="414"/>
      <c r="TTD32" s="414"/>
      <c r="TTE32" s="414"/>
      <c r="TTF32" s="414"/>
      <c r="TTG32" s="414"/>
      <c r="TTH32" s="414"/>
      <c r="TTI32" s="414"/>
      <c r="TTJ32" s="414"/>
      <c r="TTK32" s="414"/>
      <c r="TTL32" s="414"/>
      <c r="TTM32" s="414"/>
      <c r="TTN32" s="414"/>
      <c r="TTO32" s="414"/>
      <c r="TTP32" s="414"/>
      <c r="TTQ32" s="414"/>
      <c r="TTR32" s="414"/>
      <c r="TTS32" s="414"/>
      <c r="TTT32" s="414"/>
      <c r="TTU32" s="414"/>
      <c r="TTV32" s="414"/>
      <c r="TTW32" s="414"/>
      <c r="TTX32" s="414"/>
      <c r="TTY32" s="414"/>
      <c r="TTZ32" s="414"/>
      <c r="TUA32" s="414"/>
      <c r="TUB32" s="414"/>
      <c r="TUC32" s="414"/>
      <c r="TUD32" s="414"/>
      <c r="TUE32" s="414"/>
      <c r="TUF32" s="414"/>
      <c r="TUG32" s="414"/>
      <c r="TUH32" s="414"/>
      <c r="TUI32" s="414"/>
      <c r="TUJ32" s="414"/>
      <c r="TUK32" s="414"/>
      <c r="TUL32" s="414"/>
      <c r="TUM32" s="414"/>
      <c r="TUN32" s="414"/>
      <c r="TUO32" s="414"/>
      <c r="TUP32" s="414"/>
      <c r="TUQ32" s="414"/>
      <c r="TUR32" s="414"/>
      <c r="TUS32" s="414"/>
      <c r="TUT32" s="414"/>
      <c r="TUU32" s="414"/>
      <c r="TUV32" s="414"/>
      <c r="TUW32" s="414"/>
      <c r="TUX32" s="414"/>
      <c r="TUY32" s="414"/>
      <c r="TUZ32" s="414"/>
      <c r="TVA32" s="414"/>
      <c r="TVB32" s="414"/>
      <c r="TVC32" s="414"/>
      <c r="TVD32" s="414"/>
      <c r="TVE32" s="414"/>
      <c r="TVF32" s="414"/>
      <c r="TVG32" s="414"/>
      <c r="TVH32" s="414"/>
      <c r="TVI32" s="414"/>
      <c r="TVJ32" s="414"/>
      <c r="TVK32" s="414"/>
      <c r="TVL32" s="414"/>
      <c r="TVM32" s="414"/>
      <c r="TVN32" s="414"/>
      <c r="TVO32" s="414"/>
      <c r="TVP32" s="414"/>
      <c r="TVQ32" s="414"/>
      <c r="TVR32" s="414"/>
      <c r="TVS32" s="414"/>
      <c r="TVT32" s="414"/>
      <c r="TVU32" s="414"/>
      <c r="TVV32" s="414"/>
      <c r="TVW32" s="414"/>
      <c r="TVX32" s="414"/>
      <c r="TVY32" s="414"/>
      <c r="TVZ32" s="414"/>
      <c r="TWA32" s="414"/>
      <c r="TWB32" s="414"/>
      <c r="TWC32" s="414"/>
      <c r="TWD32" s="414"/>
      <c r="TWE32" s="414"/>
      <c r="TWF32" s="414"/>
      <c r="TWG32" s="414"/>
      <c r="TWH32" s="414"/>
      <c r="TWI32" s="414"/>
      <c r="TWJ32" s="414"/>
      <c r="TWK32" s="414"/>
      <c r="TWL32" s="414"/>
      <c r="TWM32" s="414"/>
      <c r="TWN32" s="414"/>
      <c r="TWO32" s="414"/>
      <c r="TWP32" s="414"/>
      <c r="TWQ32" s="414"/>
      <c r="TWR32" s="414"/>
      <c r="TWS32" s="414"/>
      <c r="TWT32" s="414"/>
      <c r="TWU32" s="414"/>
      <c r="TWV32" s="414"/>
      <c r="TWW32" s="414"/>
      <c r="TWX32" s="414"/>
      <c r="TWY32" s="414"/>
      <c r="TWZ32" s="414"/>
      <c r="TXA32" s="414"/>
      <c r="TXB32" s="414"/>
      <c r="TXC32" s="414"/>
      <c r="TXD32" s="414"/>
      <c r="TXE32" s="414"/>
      <c r="TXF32" s="414"/>
      <c r="TXG32" s="414"/>
      <c r="TXH32" s="414"/>
      <c r="TXI32" s="414"/>
      <c r="TXJ32" s="414"/>
      <c r="TXK32" s="414"/>
      <c r="TXL32" s="414"/>
      <c r="TXM32" s="414"/>
      <c r="TXN32" s="414"/>
      <c r="TXO32" s="414"/>
      <c r="TXP32" s="414"/>
      <c r="TXQ32" s="414"/>
      <c r="TXR32" s="414"/>
      <c r="TXS32" s="414"/>
      <c r="TXT32" s="414"/>
      <c r="TXU32" s="414"/>
      <c r="TXV32" s="414"/>
      <c r="TXW32" s="414"/>
      <c r="TXX32" s="414"/>
      <c r="TXY32" s="414"/>
      <c r="TXZ32" s="414"/>
      <c r="TYA32" s="414"/>
      <c r="TYB32" s="414"/>
      <c r="TYC32" s="414"/>
      <c r="TYD32" s="414"/>
      <c r="TYE32" s="414"/>
      <c r="TYF32" s="414"/>
      <c r="TYG32" s="414"/>
      <c r="TYH32" s="414"/>
      <c r="TYI32" s="414"/>
      <c r="TYJ32" s="414"/>
      <c r="TYK32" s="414"/>
      <c r="TYL32" s="414"/>
      <c r="TYM32" s="414"/>
      <c r="TYN32" s="414"/>
      <c r="TYO32" s="414"/>
      <c r="TYP32" s="414"/>
      <c r="TYQ32" s="414"/>
      <c r="TYR32" s="414"/>
      <c r="TYS32" s="414"/>
      <c r="TYT32" s="414"/>
      <c r="TYU32" s="414"/>
      <c r="TYV32" s="414"/>
      <c r="TYW32" s="414"/>
      <c r="TYX32" s="414"/>
      <c r="TYY32" s="414"/>
      <c r="TYZ32" s="414"/>
      <c r="TZA32" s="414"/>
      <c r="TZB32" s="414"/>
      <c r="TZC32" s="414"/>
      <c r="TZD32" s="414"/>
      <c r="TZE32" s="414"/>
      <c r="TZF32" s="414"/>
      <c r="TZG32" s="414"/>
      <c r="TZH32" s="414"/>
      <c r="TZI32" s="414"/>
      <c r="TZJ32" s="414"/>
      <c r="TZK32" s="414"/>
      <c r="TZL32" s="414"/>
      <c r="TZM32" s="414"/>
      <c r="TZN32" s="414"/>
      <c r="TZO32" s="414"/>
      <c r="TZP32" s="414"/>
      <c r="TZQ32" s="414"/>
      <c r="TZR32" s="414"/>
      <c r="TZS32" s="414"/>
      <c r="TZT32" s="414"/>
      <c r="TZU32" s="414"/>
      <c r="TZV32" s="414"/>
      <c r="TZW32" s="414"/>
      <c r="TZX32" s="414"/>
      <c r="TZY32" s="414"/>
      <c r="TZZ32" s="414"/>
      <c r="UAA32" s="414"/>
      <c r="UAB32" s="414"/>
      <c r="UAC32" s="414"/>
      <c r="UAD32" s="414"/>
      <c r="UAE32" s="414"/>
      <c r="UAF32" s="414"/>
      <c r="UAG32" s="414"/>
      <c r="UAH32" s="414"/>
      <c r="UAI32" s="414"/>
      <c r="UAJ32" s="414"/>
      <c r="UAK32" s="414"/>
      <c r="UAL32" s="414"/>
      <c r="UAM32" s="414"/>
      <c r="UAN32" s="414"/>
      <c r="UAO32" s="414"/>
      <c r="UAP32" s="414"/>
      <c r="UAQ32" s="414"/>
      <c r="UAR32" s="414"/>
      <c r="UAS32" s="414"/>
      <c r="UAT32" s="414"/>
      <c r="UAU32" s="414"/>
      <c r="UAV32" s="414"/>
      <c r="UAW32" s="414"/>
      <c r="UAX32" s="414"/>
      <c r="UAY32" s="414"/>
      <c r="UAZ32" s="414"/>
      <c r="UBA32" s="414"/>
      <c r="UBB32" s="414"/>
      <c r="UBC32" s="414"/>
      <c r="UBD32" s="414"/>
      <c r="UBE32" s="414"/>
      <c r="UBF32" s="414"/>
      <c r="UBG32" s="414"/>
      <c r="UBH32" s="414"/>
      <c r="UBI32" s="414"/>
      <c r="UBJ32" s="414"/>
      <c r="UBK32" s="414"/>
      <c r="UBL32" s="414"/>
      <c r="UBM32" s="414"/>
      <c r="UBN32" s="414"/>
      <c r="UBO32" s="414"/>
      <c r="UBP32" s="414"/>
      <c r="UBQ32" s="414"/>
      <c r="UBR32" s="414"/>
      <c r="UBS32" s="414"/>
      <c r="UBT32" s="414"/>
      <c r="UBU32" s="414"/>
      <c r="UBV32" s="414"/>
      <c r="UBW32" s="414"/>
      <c r="UBX32" s="414"/>
      <c r="UBY32" s="414"/>
      <c r="UBZ32" s="414"/>
      <c r="UCA32" s="414"/>
      <c r="UCB32" s="414"/>
      <c r="UCC32" s="414"/>
      <c r="UCD32" s="414"/>
      <c r="UCE32" s="414"/>
      <c r="UCF32" s="414"/>
      <c r="UCG32" s="414"/>
      <c r="UCH32" s="414"/>
      <c r="UCI32" s="414"/>
      <c r="UCJ32" s="414"/>
      <c r="UCK32" s="414"/>
      <c r="UCL32" s="414"/>
      <c r="UCM32" s="414"/>
      <c r="UCN32" s="414"/>
      <c r="UCO32" s="414"/>
      <c r="UCP32" s="414"/>
      <c r="UCQ32" s="414"/>
      <c r="UCR32" s="414"/>
      <c r="UCS32" s="414"/>
      <c r="UCT32" s="414"/>
      <c r="UCU32" s="414"/>
      <c r="UCV32" s="414"/>
      <c r="UCW32" s="414"/>
      <c r="UCX32" s="414"/>
      <c r="UCY32" s="414"/>
      <c r="UCZ32" s="414"/>
      <c r="UDA32" s="414"/>
      <c r="UDB32" s="414"/>
      <c r="UDC32" s="414"/>
      <c r="UDD32" s="414"/>
      <c r="UDE32" s="414"/>
      <c r="UDF32" s="414"/>
      <c r="UDG32" s="414"/>
      <c r="UDH32" s="414"/>
      <c r="UDI32" s="414"/>
      <c r="UDJ32" s="414"/>
      <c r="UDK32" s="414"/>
      <c r="UDL32" s="414"/>
      <c r="UDM32" s="414"/>
      <c r="UDN32" s="414"/>
      <c r="UDO32" s="414"/>
      <c r="UDP32" s="414"/>
      <c r="UDQ32" s="414"/>
      <c r="UDR32" s="414"/>
      <c r="UDS32" s="414"/>
      <c r="UDT32" s="414"/>
      <c r="UDU32" s="414"/>
      <c r="UDV32" s="414"/>
      <c r="UDW32" s="414"/>
      <c r="UDX32" s="414"/>
      <c r="UDY32" s="414"/>
      <c r="UDZ32" s="414"/>
      <c r="UEA32" s="414"/>
      <c r="UEB32" s="414"/>
      <c r="UEC32" s="414"/>
      <c r="UED32" s="414"/>
      <c r="UEE32" s="414"/>
      <c r="UEF32" s="414"/>
      <c r="UEG32" s="414"/>
      <c r="UEH32" s="414"/>
      <c r="UEI32" s="414"/>
      <c r="UEJ32" s="414"/>
      <c r="UEK32" s="414"/>
      <c r="UEL32" s="414"/>
      <c r="UEM32" s="414"/>
      <c r="UEN32" s="414"/>
      <c r="UEO32" s="414"/>
      <c r="UEP32" s="414"/>
      <c r="UEQ32" s="414"/>
      <c r="UER32" s="414"/>
      <c r="UES32" s="414"/>
      <c r="UET32" s="414"/>
      <c r="UEU32" s="414"/>
      <c r="UEV32" s="414"/>
      <c r="UEW32" s="414"/>
      <c r="UEX32" s="414"/>
      <c r="UEY32" s="414"/>
      <c r="UEZ32" s="414"/>
      <c r="UFA32" s="414"/>
      <c r="UFB32" s="414"/>
      <c r="UFC32" s="414"/>
      <c r="UFD32" s="414"/>
      <c r="UFE32" s="414"/>
      <c r="UFF32" s="414"/>
      <c r="UFG32" s="414"/>
      <c r="UFH32" s="414"/>
      <c r="UFI32" s="414"/>
      <c r="UFJ32" s="414"/>
      <c r="UFK32" s="414"/>
      <c r="UFL32" s="414"/>
      <c r="UFM32" s="414"/>
      <c r="UFN32" s="414"/>
      <c r="UFO32" s="414"/>
      <c r="UFP32" s="414"/>
      <c r="UFQ32" s="414"/>
      <c r="UFR32" s="414"/>
      <c r="UFS32" s="414"/>
      <c r="UFT32" s="414"/>
      <c r="UFU32" s="414"/>
      <c r="UFV32" s="414"/>
      <c r="UFW32" s="414"/>
      <c r="UFX32" s="414"/>
      <c r="UFY32" s="414"/>
      <c r="UFZ32" s="414"/>
      <c r="UGA32" s="414"/>
      <c r="UGB32" s="414"/>
      <c r="UGC32" s="414"/>
      <c r="UGD32" s="414"/>
      <c r="UGE32" s="414"/>
      <c r="UGF32" s="414"/>
      <c r="UGG32" s="414"/>
      <c r="UGH32" s="414"/>
      <c r="UGI32" s="414"/>
      <c r="UGJ32" s="414"/>
      <c r="UGK32" s="414"/>
      <c r="UGL32" s="414"/>
      <c r="UGM32" s="414"/>
      <c r="UGN32" s="414"/>
      <c r="UGO32" s="414"/>
      <c r="UGP32" s="414"/>
      <c r="UGQ32" s="414"/>
      <c r="UGR32" s="414"/>
      <c r="UGS32" s="414"/>
      <c r="UGT32" s="414"/>
      <c r="UGU32" s="414"/>
      <c r="UGV32" s="414"/>
      <c r="UGW32" s="414"/>
      <c r="UGX32" s="414"/>
      <c r="UGY32" s="414"/>
      <c r="UGZ32" s="414"/>
      <c r="UHA32" s="414"/>
      <c r="UHB32" s="414"/>
      <c r="UHC32" s="414"/>
      <c r="UHD32" s="414"/>
      <c r="UHE32" s="414"/>
      <c r="UHF32" s="414"/>
      <c r="UHG32" s="414"/>
      <c r="UHH32" s="414"/>
      <c r="UHI32" s="414"/>
      <c r="UHJ32" s="414"/>
      <c r="UHK32" s="414"/>
      <c r="UHL32" s="414"/>
      <c r="UHM32" s="414"/>
      <c r="UHN32" s="414"/>
      <c r="UHO32" s="414"/>
      <c r="UHP32" s="414"/>
      <c r="UHQ32" s="414"/>
      <c r="UHR32" s="414"/>
      <c r="UHS32" s="414"/>
      <c r="UHT32" s="414"/>
      <c r="UHU32" s="414"/>
      <c r="UHV32" s="414"/>
      <c r="UHW32" s="414"/>
      <c r="UHX32" s="414"/>
      <c r="UHY32" s="414"/>
      <c r="UHZ32" s="414"/>
      <c r="UIA32" s="414"/>
      <c r="UIB32" s="414"/>
      <c r="UIC32" s="414"/>
      <c r="UID32" s="414"/>
      <c r="UIE32" s="414"/>
      <c r="UIF32" s="414"/>
      <c r="UIG32" s="414"/>
      <c r="UIH32" s="414"/>
      <c r="UII32" s="414"/>
      <c r="UIJ32" s="414"/>
      <c r="UIK32" s="414"/>
      <c r="UIL32" s="414"/>
      <c r="UIM32" s="414"/>
      <c r="UIN32" s="414"/>
      <c r="UIO32" s="414"/>
      <c r="UIP32" s="414"/>
      <c r="UIQ32" s="414"/>
      <c r="UIR32" s="414"/>
      <c r="UIS32" s="414"/>
      <c r="UIT32" s="414"/>
      <c r="UIU32" s="414"/>
      <c r="UIV32" s="414"/>
      <c r="UIW32" s="414"/>
      <c r="UIX32" s="414"/>
      <c r="UIY32" s="414"/>
      <c r="UIZ32" s="414"/>
      <c r="UJA32" s="414"/>
      <c r="UJB32" s="414"/>
      <c r="UJC32" s="414"/>
      <c r="UJD32" s="414"/>
      <c r="UJE32" s="414"/>
      <c r="UJF32" s="414"/>
      <c r="UJG32" s="414"/>
      <c r="UJH32" s="414"/>
      <c r="UJI32" s="414"/>
      <c r="UJJ32" s="414"/>
      <c r="UJK32" s="414"/>
      <c r="UJL32" s="414"/>
      <c r="UJM32" s="414"/>
      <c r="UJN32" s="414"/>
      <c r="UJO32" s="414"/>
      <c r="UJP32" s="414"/>
      <c r="UJQ32" s="414"/>
      <c r="UJR32" s="414"/>
      <c r="UJS32" s="414"/>
      <c r="UJT32" s="414"/>
      <c r="UJU32" s="414"/>
      <c r="UJV32" s="414"/>
      <c r="UJW32" s="414"/>
      <c r="UJX32" s="414"/>
      <c r="UJY32" s="414"/>
      <c r="UJZ32" s="414"/>
      <c r="UKA32" s="414"/>
      <c r="UKB32" s="414"/>
      <c r="UKC32" s="414"/>
      <c r="UKD32" s="414"/>
      <c r="UKE32" s="414"/>
      <c r="UKF32" s="414"/>
      <c r="UKG32" s="414"/>
      <c r="UKH32" s="414"/>
      <c r="UKI32" s="414"/>
      <c r="UKJ32" s="414"/>
      <c r="UKK32" s="414"/>
      <c r="UKL32" s="414"/>
      <c r="UKM32" s="414"/>
      <c r="UKN32" s="414"/>
      <c r="UKO32" s="414"/>
      <c r="UKP32" s="414"/>
      <c r="UKQ32" s="414"/>
      <c r="UKR32" s="414"/>
      <c r="UKS32" s="414"/>
      <c r="UKT32" s="414"/>
      <c r="UKU32" s="414"/>
      <c r="UKV32" s="414"/>
      <c r="UKW32" s="414"/>
      <c r="UKX32" s="414"/>
      <c r="UKY32" s="414"/>
      <c r="UKZ32" s="414"/>
      <c r="ULA32" s="414"/>
      <c r="ULB32" s="414"/>
      <c r="ULC32" s="414"/>
      <c r="ULD32" s="414"/>
      <c r="ULE32" s="414"/>
      <c r="ULF32" s="414"/>
      <c r="ULG32" s="414"/>
      <c r="ULH32" s="414"/>
      <c r="ULI32" s="414"/>
      <c r="ULJ32" s="414"/>
      <c r="ULK32" s="414"/>
      <c r="ULL32" s="414"/>
      <c r="ULM32" s="414"/>
      <c r="ULN32" s="414"/>
      <c r="ULO32" s="414"/>
      <c r="ULP32" s="414"/>
      <c r="ULQ32" s="414"/>
      <c r="ULR32" s="414"/>
      <c r="ULS32" s="414"/>
      <c r="ULT32" s="414"/>
      <c r="ULU32" s="414"/>
      <c r="ULV32" s="414"/>
      <c r="ULW32" s="414"/>
      <c r="ULX32" s="414"/>
      <c r="ULY32" s="414"/>
      <c r="ULZ32" s="414"/>
      <c r="UMA32" s="414"/>
      <c r="UMB32" s="414"/>
      <c r="UMC32" s="414"/>
      <c r="UMD32" s="414"/>
      <c r="UME32" s="414"/>
      <c r="UMF32" s="414"/>
      <c r="UMG32" s="414"/>
      <c r="UMH32" s="414"/>
      <c r="UMI32" s="414"/>
      <c r="UMJ32" s="414"/>
      <c r="UMK32" s="414"/>
      <c r="UML32" s="414"/>
      <c r="UMM32" s="414"/>
      <c r="UMN32" s="414"/>
      <c r="UMO32" s="414"/>
      <c r="UMP32" s="414"/>
      <c r="UMQ32" s="414"/>
      <c r="UMR32" s="414"/>
      <c r="UMS32" s="414"/>
      <c r="UMT32" s="414"/>
      <c r="UMU32" s="414"/>
      <c r="UMV32" s="414"/>
      <c r="UMW32" s="414"/>
      <c r="UMX32" s="414"/>
      <c r="UMY32" s="414"/>
      <c r="UMZ32" s="414"/>
      <c r="UNA32" s="414"/>
      <c r="UNB32" s="414"/>
      <c r="UNC32" s="414"/>
      <c r="UND32" s="414"/>
      <c r="UNE32" s="414"/>
      <c r="UNF32" s="414"/>
      <c r="UNG32" s="414"/>
      <c r="UNH32" s="414"/>
      <c r="UNI32" s="414"/>
      <c r="UNJ32" s="414"/>
      <c r="UNK32" s="414"/>
      <c r="UNL32" s="414"/>
      <c r="UNM32" s="414"/>
      <c r="UNN32" s="414"/>
      <c r="UNO32" s="414"/>
      <c r="UNP32" s="414"/>
      <c r="UNQ32" s="414"/>
      <c r="UNR32" s="414"/>
      <c r="UNS32" s="414"/>
      <c r="UNT32" s="414"/>
      <c r="UNU32" s="414"/>
      <c r="UNV32" s="414"/>
      <c r="UNW32" s="414"/>
      <c r="UNX32" s="414"/>
      <c r="UNY32" s="414"/>
      <c r="UNZ32" s="414"/>
      <c r="UOA32" s="414"/>
      <c r="UOB32" s="414"/>
      <c r="UOC32" s="414"/>
      <c r="UOD32" s="414"/>
      <c r="UOE32" s="414"/>
      <c r="UOF32" s="414"/>
      <c r="UOG32" s="414"/>
      <c r="UOH32" s="414"/>
      <c r="UOI32" s="414"/>
      <c r="UOJ32" s="414"/>
      <c r="UOK32" s="414"/>
      <c r="UOL32" s="414"/>
      <c r="UOM32" s="414"/>
      <c r="UON32" s="414"/>
      <c r="UOO32" s="414"/>
      <c r="UOP32" s="414"/>
      <c r="UOQ32" s="414"/>
      <c r="UOR32" s="414"/>
      <c r="UOS32" s="414"/>
      <c r="UOT32" s="414"/>
      <c r="UOU32" s="414"/>
      <c r="UOV32" s="414"/>
      <c r="UOW32" s="414"/>
      <c r="UOX32" s="414"/>
      <c r="UOY32" s="414"/>
      <c r="UOZ32" s="414"/>
      <c r="UPA32" s="414"/>
      <c r="UPB32" s="414"/>
      <c r="UPC32" s="414"/>
      <c r="UPD32" s="414"/>
      <c r="UPE32" s="414"/>
      <c r="UPF32" s="414"/>
      <c r="UPG32" s="414"/>
      <c r="UPH32" s="414"/>
      <c r="UPI32" s="414"/>
      <c r="UPJ32" s="414"/>
      <c r="UPK32" s="414"/>
      <c r="UPL32" s="414"/>
      <c r="UPM32" s="414"/>
      <c r="UPN32" s="414"/>
      <c r="UPO32" s="414"/>
      <c r="UPP32" s="414"/>
      <c r="UPQ32" s="414"/>
      <c r="UPR32" s="414"/>
      <c r="UPS32" s="414"/>
      <c r="UPT32" s="414"/>
      <c r="UPU32" s="414"/>
      <c r="UPV32" s="414"/>
      <c r="UPW32" s="414"/>
      <c r="UPX32" s="414"/>
      <c r="UPY32" s="414"/>
      <c r="UPZ32" s="414"/>
      <c r="UQA32" s="414"/>
      <c r="UQB32" s="414"/>
      <c r="UQC32" s="414"/>
      <c r="UQD32" s="414"/>
      <c r="UQE32" s="414"/>
      <c r="UQF32" s="414"/>
      <c r="UQG32" s="414"/>
      <c r="UQH32" s="414"/>
      <c r="UQI32" s="414"/>
      <c r="UQJ32" s="414"/>
      <c r="UQK32" s="414"/>
      <c r="UQL32" s="414"/>
      <c r="UQM32" s="414"/>
      <c r="UQN32" s="414"/>
      <c r="UQO32" s="414"/>
      <c r="UQP32" s="414"/>
      <c r="UQQ32" s="414"/>
      <c r="UQR32" s="414"/>
      <c r="UQS32" s="414"/>
      <c r="UQT32" s="414"/>
      <c r="UQU32" s="414"/>
      <c r="UQV32" s="414"/>
      <c r="UQW32" s="414"/>
      <c r="UQX32" s="414"/>
      <c r="UQY32" s="414"/>
      <c r="UQZ32" s="414"/>
      <c r="URA32" s="414"/>
      <c r="URB32" s="414"/>
      <c r="URC32" s="414"/>
      <c r="URD32" s="414"/>
      <c r="URE32" s="414"/>
      <c r="URF32" s="414"/>
      <c r="URG32" s="414"/>
      <c r="URH32" s="414"/>
      <c r="URI32" s="414"/>
      <c r="URJ32" s="414"/>
      <c r="URK32" s="414"/>
      <c r="URL32" s="414"/>
      <c r="URM32" s="414"/>
      <c r="URN32" s="414"/>
      <c r="URO32" s="414"/>
      <c r="URP32" s="414"/>
      <c r="URQ32" s="414"/>
      <c r="URR32" s="414"/>
      <c r="URS32" s="414"/>
      <c r="URT32" s="414"/>
      <c r="URU32" s="414"/>
      <c r="URV32" s="414"/>
      <c r="URW32" s="414"/>
      <c r="URX32" s="414"/>
      <c r="URY32" s="414"/>
      <c r="URZ32" s="414"/>
      <c r="USA32" s="414"/>
      <c r="USB32" s="414"/>
      <c r="USC32" s="414"/>
      <c r="USD32" s="414"/>
      <c r="USE32" s="414"/>
      <c r="USF32" s="414"/>
      <c r="USG32" s="414"/>
      <c r="USH32" s="414"/>
      <c r="USI32" s="414"/>
      <c r="USJ32" s="414"/>
      <c r="USK32" s="414"/>
      <c r="USL32" s="414"/>
      <c r="USM32" s="414"/>
      <c r="USN32" s="414"/>
      <c r="USO32" s="414"/>
      <c r="USP32" s="414"/>
      <c r="USQ32" s="414"/>
      <c r="USR32" s="414"/>
      <c r="USS32" s="414"/>
      <c r="UST32" s="414"/>
      <c r="USU32" s="414"/>
      <c r="USV32" s="414"/>
      <c r="USW32" s="414"/>
      <c r="USX32" s="414"/>
      <c r="USY32" s="414"/>
      <c r="USZ32" s="414"/>
      <c r="UTA32" s="414"/>
      <c r="UTB32" s="414"/>
      <c r="UTC32" s="414"/>
      <c r="UTD32" s="414"/>
      <c r="UTE32" s="414"/>
      <c r="UTF32" s="414"/>
      <c r="UTG32" s="414"/>
      <c r="UTH32" s="414"/>
      <c r="UTI32" s="414"/>
      <c r="UTJ32" s="414"/>
      <c r="UTK32" s="414"/>
      <c r="UTL32" s="414"/>
      <c r="UTM32" s="414"/>
      <c r="UTN32" s="414"/>
      <c r="UTO32" s="414"/>
      <c r="UTP32" s="414"/>
      <c r="UTQ32" s="414"/>
      <c r="UTR32" s="414"/>
      <c r="UTS32" s="414"/>
      <c r="UTT32" s="414"/>
      <c r="UTU32" s="414"/>
      <c r="UTV32" s="414"/>
      <c r="UTW32" s="414"/>
      <c r="UTX32" s="414"/>
      <c r="UTY32" s="414"/>
      <c r="UTZ32" s="414"/>
      <c r="UUA32" s="414"/>
      <c r="UUB32" s="414"/>
      <c r="UUC32" s="414"/>
      <c r="UUD32" s="414"/>
      <c r="UUE32" s="414"/>
      <c r="UUF32" s="414"/>
      <c r="UUG32" s="414"/>
      <c r="UUH32" s="414"/>
      <c r="UUI32" s="414"/>
      <c r="UUJ32" s="414"/>
      <c r="UUK32" s="414"/>
      <c r="UUL32" s="414"/>
      <c r="UUM32" s="414"/>
      <c r="UUN32" s="414"/>
      <c r="UUO32" s="414"/>
      <c r="UUP32" s="414"/>
      <c r="UUQ32" s="414"/>
      <c r="UUR32" s="414"/>
      <c r="UUS32" s="414"/>
      <c r="UUT32" s="414"/>
      <c r="UUU32" s="414"/>
      <c r="UUV32" s="414"/>
      <c r="UUW32" s="414"/>
      <c r="UUX32" s="414"/>
      <c r="UUY32" s="414"/>
      <c r="UUZ32" s="414"/>
      <c r="UVA32" s="414"/>
      <c r="UVB32" s="414"/>
      <c r="UVC32" s="414"/>
      <c r="UVD32" s="414"/>
      <c r="UVE32" s="414"/>
      <c r="UVF32" s="414"/>
      <c r="UVG32" s="414"/>
      <c r="UVH32" s="414"/>
      <c r="UVI32" s="414"/>
      <c r="UVJ32" s="414"/>
      <c r="UVK32" s="414"/>
      <c r="UVL32" s="414"/>
      <c r="UVM32" s="414"/>
      <c r="UVN32" s="414"/>
      <c r="UVO32" s="414"/>
      <c r="UVP32" s="414"/>
      <c r="UVQ32" s="414"/>
      <c r="UVR32" s="414"/>
      <c r="UVS32" s="414"/>
      <c r="UVT32" s="414"/>
      <c r="UVU32" s="414"/>
      <c r="UVV32" s="414"/>
      <c r="UVW32" s="414"/>
      <c r="UVX32" s="414"/>
      <c r="UVY32" s="414"/>
      <c r="UVZ32" s="414"/>
      <c r="UWA32" s="414"/>
      <c r="UWB32" s="414"/>
      <c r="UWC32" s="414"/>
      <c r="UWD32" s="414"/>
      <c r="UWE32" s="414"/>
      <c r="UWF32" s="414"/>
      <c r="UWG32" s="414"/>
      <c r="UWH32" s="414"/>
      <c r="UWI32" s="414"/>
      <c r="UWJ32" s="414"/>
      <c r="UWK32" s="414"/>
      <c r="UWL32" s="414"/>
      <c r="UWM32" s="414"/>
      <c r="UWN32" s="414"/>
      <c r="UWO32" s="414"/>
      <c r="UWP32" s="414"/>
      <c r="UWQ32" s="414"/>
      <c r="UWR32" s="414"/>
      <c r="UWS32" s="414"/>
      <c r="UWT32" s="414"/>
      <c r="UWU32" s="414"/>
      <c r="UWV32" s="414"/>
      <c r="UWW32" s="414"/>
      <c r="UWX32" s="414"/>
      <c r="UWY32" s="414"/>
      <c r="UWZ32" s="414"/>
      <c r="UXA32" s="414"/>
      <c r="UXB32" s="414"/>
      <c r="UXC32" s="414"/>
      <c r="UXD32" s="414"/>
      <c r="UXE32" s="414"/>
      <c r="UXF32" s="414"/>
      <c r="UXG32" s="414"/>
      <c r="UXH32" s="414"/>
      <c r="UXI32" s="414"/>
      <c r="UXJ32" s="414"/>
      <c r="UXK32" s="414"/>
      <c r="UXL32" s="414"/>
      <c r="UXM32" s="414"/>
      <c r="UXN32" s="414"/>
      <c r="UXO32" s="414"/>
      <c r="UXP32" s="414"/>
      <c r="UXQ32" s="414"/>
      <c r="UXR32" s="414"/>
      <c r="UXS32" s="414"/>
      <c r="UXT32" s="414"/>
      <c r="UXU32" s="414"/>
      <c r="UXV32" s="414"/>
      <c r="UXW32" s="414"/>
      <c r="UXX32" s="414"/>
      <c r="UXY32" s="414"/>
      <c r="UXZ32" s="414"/>
      <c r="UYA32" s="414"/>
      <c r="UYB32" s="414"/>
      <c r="UYC32" s="414"/>
      <c r="UYD32" s="414"/>
      <c r="UYE32" s="414"/>
      <c r="UYF32" s="414"/>
      <c r="UYG32" s="414"/>
      <c r="UYH32" s="414"/>
      <c r="UYI32" s="414"/>
      <c r="UYJ32" s="414"/>
      <c r="UYK32" s="414"/>
      <c r="UYL32" s="414"/>
      <c r="UYM32" s="414"/>
      <c r="UYN32" s="414"/>
      <c r="UYO32" s="414"/>
      <c r="UYP32" s="414"/>
      <c r="UYQ32" s="414"/>
      <c r="UYR32" s="414"/>
      <c r="UYS32" s="414"/>
      <c r="UYT32" s="414"/>
      <c r="UYU32" s="414"/>
      <c r="UYV32" s="414"/>
      <c r="UYW32" s="414"/>
      <c r="UYX32" s="414"/>
      <c r="UYY32" s="414"/>
      <c r="UYZ32" s="414"/>
      <c r="UZA32" s="414"/>
      <c r="UZB32" s="414"/>
      <c r="UZC32" s="414"/>
      <c r="UZD32" s="414"/>
      <c r="UZE32" s="414"/>
      <c r="UZF32" s="414"/>
      <c r="UZG32" s="414"/>
      <c r="UZH32" s="414"/>
      <c r="UZI32" s="414"/>
      <c r="UZJ32" s="414"/>
      <c r="UZK32" s="414"/>
      <c r="UZL32" s="414"/>
      <c r="UZM32" s="414"/>
      <c r="UZN32" s="414"/>
      <c r="UZO32" s="414"/>
      <c r="UZP32" s="414"/>
      <c r="UZQ32" s="414"/>
      <c r="UZR32" s="414"/>
      <c r="UZS32" s="414"/>
      <c r="UZT32" s="414"/>
      <c r="UZU32" s="414"/>
      <c r="UZV32" s="414"/>
      <c r="UZW32" s="414"/>
      <c r="UZX32" s="414"/>
      <c r="UZY32" s="414"/>
      <c r="UZZ32" s="414"/>
      <c r="VAA32" s="414"/>
      <c r="VAB32" s="414"/>
      <c r="VAC32" s="414"/>
      <c r="VAD32" s="414"/>
      <c r="VAE32" s="414"/>
      <c r="VAF32" s="414"/>
      <c r="VAG32" s="414"/>
      <c r="VAH32" s="414"/>
      <c r="VAI32" s="414"/>
      <c r="VAJ32" s="414"/>
      <c r="VAK32" s="414"/>
      <c r="VAL32" s="414"/>
      <c r="VAM32" s="414"/>
      <c r="VAN32" s="414"/>
      <c r="VAO32" s="414"/>
      <c r="VAP32" s="414"/>
      <c r="VAQ32" s="414"/>
      <c r="VAR32" s="414"/>
      <c r="VAS32" s="414"/>
      <c r="VAT32" s="414"/>
      <c r="VAU32" s="414"/>
      <c r="VAV32" s="414"/>
      <c r="VAW32" s="414"/>
      <c r="VAX32" s="414"/>
      <c r="VAY32" s="414"/>
      <c r="VAZ32" s="414"/>
      <c r="VBA32" s="414"/>
      <c r="VBB32" s="414"/>
      <c r="VBC32" s="414"/>
      <c r="VBD32" s="414"/>
      <c r="VBE32" s="414"/>
      <c r="VBF32" s="414"/>
      <c r="VBG32" s="414"/>
      <c r="VBH32" s="414"/>
      <c r="VBI32" s="414"/>
      <c r="VBJ32" s="414"/>
      <c r="VBK32" s="414"/>
      <c r="VBL32" s="414"/>
      <c r="VBM32" s="414"/>
      <c r="VBN32" s="414"/>
      <c r="VBO32" s="414"/>
      <c r="VBP32" s="414"/>
      <c r="VBQ32" s="414"/>
      <c r="VBR32" s="414"/>
      <c r="VBS32" s="414"/>
      <c r="VBT32" s="414"/>
      <c r="VBU32" s="414"/>
      <c r="VBV32" s="414"/>
      <c r="VBW32" s="414"/>
      <c r="VBX32" s="414"/>
      <c r="VBY32" s="414"/>
      <c r="VBZ32" s="414"/>
      <c r="VCA32" s="414"/>
      <c r="VCB32" s="414"/>
      <c r="VCC32" s="414"/>
      <c r="VCD32" s="414"/>
      <c r="VCE32" s="414"/>
      <c r="VCF32" s="414"/>
      <c r="VCG32" s="414"/>
      <c r="VCH32" s="414"/>
      <c r="VCI32" s="414"/>
      <c r="VCJ32" s="414"/>
      <c r="VCK32" s="414"/>
      <c r="VCL32" s="414"/>
      <c r="VCM32" s="414"/>
      <c r="VCN32" s="414"/>
      <c r="VCO32" s="414"/>
      <c r="VCP32" s="414"/>
      <c r="VCQ32" s="414"/>
      <c r="VCR32" s="414"/>
      <c r="VCS32" s="414"/>
      <c r="VCT32" s="414"/>
      <c r="VCU32" s="414"/>
      <c r="VCV32" s="414"/>
      <c r="VCW32" s="414"/>
      <c r="VCX32" s="414"/>
      <c r="VCY32" s="414"/>
      <c r="VCZ32" s="414"/>
      <c r="VDA32" s="414"/>
      <c r="VDB32" s="414"/>
      <c r="VDC32" s="414"/>
      <c r="VDD32" s="414"/>
      <c r="VDE32" s="414"/>
      <c r="VDF32" s="414"/>
      <c r="VDG32" s="414"/>
      <c r="VDH32" s="414"/>
      <c r="VDI32" s="414"/>
      <c r="VDJ32" s="414"/>
      <c r="VDK32" s="414"/>
      <c r="VDL32" s="414"/>
      <c r="VDM32" s="414"/>
      <c r="VDN32" s="414"/>
      <c r="VDO32" s="414"/>
      <c r="VDP32" s="414"/>
      <c r="VDQ32" s="414"/>
      <c r="VDR32" s="414"/>
      <c r="VDS32" s="414"/>
      <c r="VDT32" s="414"/>
      <c r="VDU32" s="414"/>
      <c r="VDV32" s="414"/>
      <c r="VDW32" s="414"/>
      <c r="VDX32" s="414"/>
      <c r="VDY32" s="414"/>
      <c r="VDZ32" s="414"/>
      <c r="VEA32" s="414"/>
      <c r="VEB32" s="414"/>
      <c r="VEC32" s="414"/>
      <c r="VED32" s="414"/>
      <c r="VEE32" s="414"/>
      <c r="VEF32" s="414"/>
      <c r="VEG32" s="414"/>
      <c r="VEH32" s="414"/>
      <c r="VEI32" s="414"/>
      <c r="VEJ32" s="414"/>
      <c r="VEK32" s="414"/>
      <c r="VEL32" s="414"/>
      <c r="VEM32" s="414"/>
      <c r="VEN32" s="414"/>
      <c r="VEO32" s="414"/>
      <c r="VEP32" s="414"/>
      <c r="VEQ32" s="414"/>
      <c r="VER32" s="414"/>
      <c r="VES32" s="414"/>
      <c r="VET32" s="414"/>
      <c r="VEU32" s="414"/>
      <c r="VEV32" s="414"/>
      <c r="VEW32" s="414"/>
      <c r="VEX32" s="414"/>
      <c r="VEY32" s="414"/>
      <c r="VEZ32" s="414"/>
      <c r="VFA32" s="414"/>
      <c r="VFB32" s="414"/>
      <c r="VFC32" s="414"/>
      <c r="VFD32" s="414"/>
      <c r="VFE32" s="414"/>
      <c r="VFF32" s="414"/>
      <c r="VFG32" s="414"/>
      <c r="VFH32" s="414"/>
      <c r="VFI32" s="414"/>
      <c r="VFJ32" s="414"/>
      <c r="VFK32" s="414"/>
      <c r="VFL32" s="414"/>
      <c r="VFM32" s="414"/>
      <c r="VFN32" s="414"/>
      <c r="VFO32" s="414"/>
      <c r="VFP32" s="414"/>
      <c r="VFQ32" s="414"/>
      <c r="VFR32" s="414"/>
      <c r="VFS32" s="414"/>
      <c r="VFT32" s="414"/>
      <c r="VFU32" s="414"/>
      <c r="VFV32" s="414"/>
      <c r="VFW32" s="414"/>
      <c r="VFX32" s="414"/>
      <c r="VFY32" s="414"/>
      <c r="VFZ32" s="414"/>
      <c r="VGA32" s="414"/>
      <c r="VGB32" s="414"/>
      <c r="VGC32" s="414"/>
      <c r="VGD32" s="414"/>
      <c r="VGE32" s="414"/>
      <c r="VGF32" s="414"/>
      <c r="VGG32" s="414"/>
      <c r="VGH32" s="414"/>
      <c r="VGI32" s="414"/>
      <c r="VGJ32" s="414"/>
      <c r="VGK32" s="414"/>
      <c r="VGL32" s="414"/>
      <c r="VGM32" s="414"/>
      <c r="VGN32" s="414"/>
      <c r="VGO32" s="414"/>
      <c r="VGP32" s="414"/>
      <c r="VGQ32" s="414"/>
      <c r="VGR32" s="414"/>
      <c r="VGS32" s="414"/>
      <c r="VGT32" s="414"/>
      <c r="VGU32" s="414"/>
      <c r="VGV32" s="414"/>
      <c r="VGW32" s="414"/>
      <c r="VGX32" s="414"/>
      <c r="VGY32" s="414"/>
      <c r="VGZ32" s="414"/>
      <c r="VHA32" s="414"/>
      <c r="VHB32" s="414"/>
      <c r="VHC32" s="414"/>
      <c r="VHD32" s="414"/>
      <c r="VHE32" s="414"/>
      <c r="VHF32" s="414"/>
      <c r="VHG32" s="414"/>
      <c r="VHH32" s="414"/>
      <c r="VHI32" s="414"/>
      <c r="VHJ32" s="414"/>
      <c r="VHK32" s="414"/>
      <c r="VHL32" s="414"/>
      <c r="VHM32" s="414"/>
      <c r="VHN32" s="414"/>
      <c r="VHO32" s="414"/>
      <c r="VHP32" s="414"/>
      <c r="VHQ32" s="414"/>
      <c r="VHR32" s="414"/>
      <c r="VHS32" s="414"/>
      <c r="VHT32" s="414"/>
      <c r="VHU32" s="414"/>
      <c r="VHV32" s="414"/>
      <c r="VHW32" s="414"/>
      <c r="VHX32" s="414"/>
      <c r="VHY32" s="414"/>
      <c r="VHZ32" s="414"/>
      <c r="VIA32" s="414"/>
      <c r="VIB32" s="414"/>
      <c r="VIC32" s="414"/>
      <c r="VID32" s="414"/>
      <c r="VIE32" s="414"/>
      <c r="VIF32" s="414"/>
      <c r="VIG32" s="414"/>
      <c r="VIH32" s="414"/>
      <c r="VII32" s="414"/>
      <c r="VIJ32" s="414"/>
      <c r="VIK32" s="414"/>
      <c r="VIL32" s="414"/>
      <c r="VIM32" s="414"/>
      <c r="VIN32" s="414"/>
      <c r="VIO32" s="414"/>
      <c r="VIP32" s="414"/>
      <c r="VIQ32" s="414"/>
      <c r="VIR32" s="414"/>
      <c r="VIS32" s="414"/>
      <c r="VIT32" s="414"/>
      <c r="VIU32" s="414"/>
      <c r="VIV32" s="414"/>
      <c r="VIW32" s="414"/>
      <c r="VIX32" s="414"/>
      <c r="VIY32" s="414"/>
      <c r="VIZ32" s="414"/>
      <c r="VJA32" s="414"/>
      <c r="VJB32" s="414"/>
      <c r="VJC32" s="414"/>
      <c r="VJD32" s="414"/>
      <c r="VJE32" s="414"/>
      <c r="VJF32" s="414"/>
      <c r="VJG32" s="414"/>
      <c r="VJH32" s="414"/>
      <c r="VJI32" s="414"/>
      <c r="VJJ32" s="414"/>
      <c r="VJK32" s="414"/>
      <c r="VJL32" s="414"/>
      <c r="VJM32" s="414"/>
      <c r="VJN32" s="414"/>
      <c r="VJO32" s="414"/>
      <c r="VJP32" s="414"/>
      <c r="VJQ32" s="414"/>
      <c r="VJR32" s="414"/>
      <c r="VJS32" s="414"/>
      <c r="VJT32" s="414"/>
      <c r="VJU32" s="414"/>
      <c r="VJV32" s="414"/>
      <c r="VJW32" s="414"/>
      <c r="VJX32" s="414"/>
      <c r="VJY32" s="414"/>
      <c r="VJZ32" s="414"/>
      <c r="VKA32" s="414"/>
      <c r="VKB32" s="414"/>
      <c r="VKC32" s="414"/>
      <c r="VKD32" s="414"/>
      <c r="VKE32" s="414"/>
      <c r="VKF32" s="414"/>
      <c r="VKG32" s="414"/>
      <c r="VKH32" s="414"/>
      <c r="VKI32" s="414"/>
      <c r="VKJ32" s="414"/>
      <c r="VKK32" s="414"/>
      <c r="VKL32" s="414"/>
      <c r="VKM32" s="414"/>
      <c r="VKN32" s="414"/>
      <c r="VKO32" s="414"/>
      <c r="VKP32" s="414"/>
      <c r="VKQ32" s="414"/>
      <c r="VKR32" s="414"/>
      <c r="VKS32" s="414"/>
      <c r="VKT32" s="414"/>
      <c r="VKU32" s="414"/>
      <c r="VKV32" s="414"/>
      <c r="VKW32" s="414"/>
      <c r="VKX32" s="414"/>
      <c r="VKY32" s="414"/>
      <c r="VKZ32" s="414"/>
      <c r="VLA32" s="414"/>
      <c r="VLB32" s="414"/>
      <c r="VLC32" s="414"/>
      <c r="VLD32" s="414"/>
      <c r="VLE32" s="414"/>
      <c r="VLF32" s="414"/>
      <c r="VLG32" s="414"/>
      <c r="VLH32" s="414"/>
      <c r="VLI32" s="414"/>
      <c r="VLJ32" s="414"/>
      <c r="VLK32" s="414"/>
      <c r="VLL32" s="414"/>
      <c r="VLM32" s="414"/>
      <c r="VLN32" s="414"/>
      <c r="VLO32" s="414"/>
      <c r="VLP32" s="414"/>
      <c r="VLQ32" s="414"/>
      <c r="VLR32" s="414"/>
      <c r="VLS32" s="414"/>
      <c r="VLT32" s="414"/>
      <c r="VLU32" s="414"/>
      <c r="VLV32" s="414"/>
      <c r="VLW32" s="414"/>
      <c r="VLX32" s="414"/>
      <c r="VLY32" s="414"/>
      <c r="VLZ32" s="414"/>
      <c r="VMA32" s="414"/>
      <c r="VMB32" s="414"/>
      <c r="VMC32" s="414"/>
      <c r="VMD32" s="414"/>
      <c r="VME32" s="414"/>
      <c r="VMF32" s="414"/>
      <c r="VMG32" s="414"/>
      <c r="VMH32" s="414"/>
      <c r="VMI32" s="414"/>
      <c r="VMJ32" s="414"/>
      <c r="VMK32" s="414"/>
      <c r="VML32" s="414"/>
      <c r="VMM32" s="414"/>
      <c r="VMN32" s="414"/>
      <c r="VMO32" s="414"/>
      <c r="VMP32" s="414"/>
      <c r="VMQ32" s="414"/>
      <c r="VMR32" s="414"/>
      <c r="VMS32" s="414"/>
      <c r="VMT32" s="414"/>
      <c r="VMU32" s="414"/>
      <c r="VMV32" s="414"/>
      <c r="VMW32" s="414"/>
      <c r="VMX32" s="414"/>
      <c r="VMY32" s="414"/>
      <c r="VMZ32" s="414"/>
      <c r="VNA32" s="414"/>
      <c r="VNB32" s="414"/>
      <c r="VNC32" s="414"/>
      <c r="VND32" s="414"/>
      <c r="VNE32" s="414"/>
      <c r="VNF32" s="414"/>
      <c r="VNG32" s="414"/>
      <c r="VNH32" s="414"/>
      <c r="VNI32" s="414"/>
      <c r="VNJ32" s="414"/>
      <c r="VNK32" s="414"/>
      <c r="VNL32" s="414"/>
      <c r="VNM32" s="414"/>
      <c r="VNN32" s="414"/>
      <c r="VNO32" s="414"/>
      <c r="VNP32" s="414"/>
      <c r="VNQ32" s="414"/>
      <c r="VNR32" s="414"/>
      <c r="VNS32" s="414"/>
      <c r="VNT32" s="414"/>
      <c r="VNU32" s="414"/>
      <c r="VNV32" s="414"/>
      <c r="VNW32" s="414"/>
      <c r="VNX32" s="414"/>
      <c r="VNY32" s="414"/>
      <c r="VNZ32" s="414"/>
      <c r="VOA32" s="414"/>
      <c r="VOB32" s="414"/>
      <c r="VOC32" s="414"/>
      <c r="VOD32" s="414"/>
      <c r="VOE32" s="414"/>
      <c r="VOF32" s="414"/>
      <c r="VOG32" s="414"/>
      <c r="VOH32" s="414"/>
      <c r="VOI32" s="414"/>
      <c r="VOJ32" s="414"/>
      <c r="VOK32" s="414"/>
      <c r="VOL32" s="414"/>
      <c r="VOM32" s="414"/>
      <c r="VON32" s="414"/>
      <c r="VOO32" s="414"/>
      <c r="VOP32" s="414"/>
      <c r="VOQ32" s="414"/>
      <c r="VOR32" s="414"/>
      <c r="VOS32" s="414"/>
      <c r="VOT32" s="414"/>
      <c r="VOU32" s="414"/>
      <c r="VOV32" s="414"/>
      <c r="VOW32" s="414"/>
      <c r="VOX32" s="414"/>
      <c r="VOY32" s="414"/>
      <c r="VOZ32" s="414"/>
      <c r="VPA32" s="414"/>
      <c r="VPB32" s="414"/>
      <c r="VPC32" s="414"/>
      <c r="VPD32" s="414"/>
      <c r="VPE32" s="414"/>
      <c r="VPF32" s="414"/>
      <c r="VPG32" s="414"/>
      <c r="VPH32" s="414"/>
      <c r="VPI32" s="414"/>
      <c r="VPJ32" s="414"/>
      <c r="VPK32" s="414"/>
      <c r="VPL32" s="414"/>
      <c r="VPM32" s="414"/>
      <c r="VPN32" s="414"/>
      <c r="VPO32" s="414"/>
      <c r="VPP32" s="414"/>
      <c r="VPQ32" s="414"/>
      <c r="VPR32" s="414"/>
      <c r="VPS32" s="414"/>
      <c r="VPT32" s="414"/>
      <c r="VPU32" s="414"/>
      <c r="VPV32" s="414"/>
      <c r="VPW32" s="414"/>
      <c r="VPX32" s="414"/>
      <c r="VPY32" s="414"/>
      <c r="VPZ32" s="414"/>
      <c r="VQA32" s="414"/>
      <c r="VQB32" s="414"/>
      <c r="VQC32" s="414"/>
      <c r="VQD32" s="414"/>
      <c r="VQE32" s="414"/>
      <c r="VQF32" s="414"/>
      <c r="VQG32" s="414"/>
      <c r="VQH32" s="414"/>
      <c r="VQI32" s="414"/>
      <c r="VQJ32" s="414"/>
      <c r="VQK32" s="414"/>
      <c r="VQL32" s="414"/>
      <c r="VQM32" s="414"/>
      <c r="VQN32" s="414"/>
      <c r="VQO32" s="414"/>
      <c r="VQP32" s="414"/>
      <c r="VQQ32" s="414"/>
      <c r="VQR32" s="414"/>
      <c r="VQS32" s="414"/>
      <c r="VQT32" s="414"/>
      <c r="VQU32" s="414"/>
      <c r="VQV32" s="414"/>
      <c r="VQW32" s="414"/>
      <c r="VQX32" s="414"/>
      <c r="VQY32" s="414"/>
      <c r="VQZ32" s="414"/>
      <c r="VRA32" s="414"/>
      <c r="VRB32" s="414"/>
      <c r="VRC32" s="414"/>
      <c r="VRD32" s="414"/>
      <c r="VRE32" s="414"/>
      <c r="VRF32" s="414"/>
      <c r="VRG32" s="414"/>
      <c r="VRH32" s="414"/>
      <c r="VRI32" s="414"/>
      <c r="VRJ32" s="414"/>
      <c r="VRK32" s="414"/>
      <c r="VRL32" s="414"/>
      <c r="VRM32" s="414"/>
      <c r="VRN32" s="414"/>
      <c r="VRO32" s="414"/>
      <c r="VRP32" s="414"/>
      <c r="VRQ32" s="414"/>
      <c r="VRR32" s="414"/>
      <c r="VRS32" s="414"/>
      <c r="VRT32" s="414"/>
      <c r="VRU32" s="414"/>
      <c r="VRV32" s="414"/>
      <c r="VRW32" s="414"/>
      <c r="VRX32" s="414"/>
      <c r="VRY32" s="414"/>
      <c r="VRZ32" s="414"/>
      <c r="VSA32" s="414"/>
      <c r="VSB32" s="414"/>
      <c r="VSC32" s="414"/>
      <c r="VSD32" s="414"/>
      <c r="VSE32" s="414"/>
      <c r="VSF32" s="414"/>
      <c r="VSG32" s="414"/>
      <c r="VSH32" s="414"/>
      <c r="VSI32" s="414"/>
      <c r="VSJ32" s="414"/>
      <c r="VSK32" s="414"/>
      <c r="VSL32" s="414"/>
      <c r="VSM32" s="414"/>
      <c r="VSN32" s="414"/>
      <c r="VSO32" s="414"/>
      <c r="VSP32" s="414"/>
      <c r="VSQ32" s="414"/>
      <c r="VSR32" s="414"/>
      <c r="VSS32" s="414"/>
      <c r="VST32" s="414"/>
      <c r="VSU32" s="414"/>
      <c r="VSV32" s="414"/>
      <c r="VSW32" s="414"/>
      <c r="VSX32" s="414"/>
      <c r="VSY32" s="414"/>
      <c r="VSZ32" s="414"/>
      <c r="VTA32" s="414"/>
      <c r="VTB32" s="414"/>
      <c r="VTC32" s="414"/>
      <c r="VTD32" s="414"/>
      <c r="VTE32" s="414"/>
      <c r="VTF32" s="414"/>
      <c r="VTG32" s="414"/>
      <c r="VTH32" s="414"/>
      <c r="VTI32" s="414"/>
      <c r="VTJ32" s="414"/>
      <c r="VTK32" s="414"/>
      <c r="VTL32" s="414"/>
      <c r="VTM32" s="414"/>
      <c r="VTN32" s="414"/>
      <c r="VTO32" s="414"/>
      <c r="VTP32" s="414"/>
      <c r="VTQ32" s="414"/>
      <c r="VTR32" s="414"/>
      <c r="VTS32" s="414"/>
      <c r="VTT32" s="414"/>
      <c r="VTU32" s="414"/>
      <c r="VTV32" s="414"/>
      <c r="VTW32" s="414"/>
      <c r="VTX32" s="414"/>
      <c r="VTY32" s="414"/>
      <c r="VTZ32" s="414"/>
      <c r="VUA32" s="414"/>
      <c r="VUB32" s="414"/>
      <c r="VUC32" s="414"/>
      <c r="VUD32" s="414"/>
      <c r="VUE32" s="414"/>
      <c r="VUF32" s="414"/>
      <c r="VUG32" s="414"/>
      <c r="VUH32" s="414"/>
      <c r="VUI32" s="414"/>
      <c r="VUJ32" s="414"/>
      <c r="VUK32" s="414"/>
      <c r="VUL32" s="414"/>
      <c r="VUM32" s="414"/>
      <c r="VUN32" s="414"/>
      <c r="VUO32" s="414"/>
      <c r="VUP32" s="414"/>
      <c r="VUQ32" s="414"/>
      <c r="VUR32" s="414"/>
      <c r="VUS32" s="414"/>
      <c r="VUT32" s="414"/>
      <c r="VUU32" s="414"/>
      <c r="VUV32" s="414"/>
      <c r="VUW32" s="414"/>
      <c r="VUX32" s="414"/>
      <c r="VUY32" s="414"/>
      <c r="VUZ32" s="414"/>
      <c r="VVA32" s="414"/>
      <c r="VVB32" s="414"/>
      <c r="VVC32" s="414"/>
      <c r="VVD32" s="414"/>
      <c r="VVE32" s="414"/>
      <c r="VVF32" s="414"/>
      <c r="VVG32" s="414"/>
      <c r="VVH32" s="414"/>
      <c r="VVI32" s="414"/>
      <c r="VVJ32" s="414"/>
      <c r="VVK32" s="414"/>
      <c r="VVL32" s="414"/>
      <c r="VVM32" s="414"/>
      <c r="VVN32" s="414"/>
      <c r="VVO32" s="414"/>
      <c r="VVP32" s="414"/>
      <c r="VVQ32" s="414"/>
      <c r="VVR32" s="414"/>
      <c r="VVS32" s="414"/>
      <c r="VVT32" s="414"/>
      <c r="VVU32" s="414"/>
      <c r="VVV32" s="414"/>
      <c r="VVW32" s="414"/>
      <c r="VVX32" s="414"/>
      <c r="VVY32" s="414"/>
      <c r="VVZ32" s="414"/>
      <c r="VWA32" s="414"/>
      <c r="VWB32" s="414"/>
      <c r="VWC32" s="414"/>
      <c r="VWD32" s="414"/>
      <c r="VWE32" s="414"/>
      <c r="VWF32" s="414"/>
      <c r="VWG32" s="414"/>
      <c r="VWH32" s="414"/>
      <c r="VWI32" s="414"/>
      <c r="VWJ32" s="414"/>
      <c r="VWK32" s="414"/>
      <c r="VWL32" s="414"/>
      <c r="VWM32" s="414"/>
      <c r="VWN32" s="414"/>
      <c r="VWO32" s="414"/>
      <c r="VWP32" s="414"/>
      <c r="VWQ32" s="414"/>
      <c r="VWR32" s="414"/>
      <c r="VWS32" s="414"/>
      <c r="VWT32" s="414"/>
      <c r="VWU32" s="414"/>
      <c r="VWV32" s="414"/>
      <c r="VWW32" s="414"/>
      <c r="VWX32" s="414"/>
      <c r="VWY32" s="414"/>
      <c r="VWZ32" s="414"/>
      <c r="VXA32" s="414"/>
      <c r="VXB32" s="414"/>
      <c r="VXC32" s="414"/>
      <c r="VXD32" s="414"/>
      <c r="VXE32" s="414"/>
      <c r="VXF32" s="414"/>
      <c r="VXG32" s="414"/>
      <c r="VXH32" s="414"/>
      <c r="VXI32" s="414"/>
      <c r="VXJ32" s="414"/>
      <c r="VXK32" s="414"/>
      <c r="VXL32" s="414"/>
      <c r="VXM32" s="414"/>
      <c r="VXN32" s="414"/>
      <c r="VXO32" s="414"/>
      <c r="VXP32" s="414"/>
      <c r="VXQ32" s="414"/>
      <c r="VXR32" s="414"/>
      <c r="VXS32" s="414"/>
      <c r="VXT32" s="414"/>
      <c r="VXU32" s="414"/>
      <c r="VXV32" s="414"/>
      <c r="VXW32" s="414"/>
      <c r="VXX32" s="414"/>
      <c r="VXY32" s="414"/>
      <c r="VXZ32" s="414"/>
      <c r="VYA32" s="414"/>
      <c r="VYB32" s="414"/>
      <c r="VYC32" s="414"/>
      <c r="VYD32" s="414"/>
      <c r="VYE32" s="414"/>
      <c r="VYF32" s="414"/>
      <c r="VYG32" s="414"/>
      <c r="VYH32" s="414"/>
      <c r="VYI32" s="414"/>
      <c r="VYJ32" s="414"/>
      <c r="VYK32" s="414"/>
      <c r="VYL32" s="414"/>
      <c r="VYM32" s="414"/>
      <c r="VYN32" s="414"/>
      <c r="VYO32" s="414"/>
      <c r="VYP32" s="414"/>
      <c r="VYQ32" s="414"/>
      <c r="VYR32" s="414"/>
      <c r="VYS32" s="414"/>
      <c r="VYT32" s="414"/>
      <c r="VYU32" s="414"/>
      <c r="VYV32" s="414"/>
      <c r="VYW32" s="414"/>
      <c r="VYX32" s="414"/>
      <c r="VYY32" s="414"/>
      <c r="VYZ32" s="414"/>
      <c r="VZA32" s="414"/>
      <c r="VZB32" s="414"/>
      <c r="VZC32" s="414"/>
      <c r="VZD32" s="414"/>
      <c r="VZE32" s="414"/>
      <c r="VZF32" s="414"/>
      <c r="VZG32" s="414"/>
      <c r="VZH32" s="414"/>
      <c r="VZI32" s="414"/>
      <c r="VZJ32" s="414"/>
      <c r="VZK32" s="414"/>
      <c r="VZL32" s="414"/>
      <c r="VZM32" s="414"/>
      <c r="VZN32" s="414"/>
      <c r="VZO32" s="414"/>
      <c r="VZP32" s="414"/>
      <c r="VZQ32" s="414"/>
      <c r="VZR32" s="414"/>
      <c r="VZS32" s="414"/>
      <c r="VZT32" s="414"/>
      <c r="VZU32" s="414"/>
      <c r="VZV32" s="414"/>
      <c r="VZW32" s="414"/>
      <c r="VZX32" s="414"/>
      <c r="VZY32" s="414"/>
      <c r="VZZ32" s="414"/>
      <c r="WAA32" s="414"/>
      <c r="WAB32" s="414"/>
      <c r="WAC32" s="414"/>
      <c r="WAD32" s="414"/>
      <c r="WAE32" s="414"/>
      <c r="WAF32" s="414"/>
      <c r="WAG32" s="414"/>
      <c r="WAH32" s="414"/>
      <c r="WAI32" s="414"/>
      <c r="WAJ32" s="414"/>
      <c r="WAK32" s="414"/>
      <c r="WAL32" s="414"/>
      <c r="WAM32" s="414"/>
      <c r="WAN32" s="414"/>
      <c r="WAO32" s="414"/>
      <c r="WAP32" s="414"/>
      <c r="WAQ32" s="414"/>
      <c r="WAR32" s="414"/>
      <c r="WAS32" s="414"/>
      <c r="WAT32" s="414"/>
      <c r="WAU32" s="414"/>
      <c r="WAV32" s="414"/>
      <c r="WAW32" s="414"/>
      <c r="WAX32" s="414"/>
      <c r="WAY32" s="414"/>
      <c r="WAZ32" s="414"/>
      <c r="WBA32" s="414"/>
      <c r="WBB32" s="414"/>
      <c r="WBC32" s="414"/>
      <c r="WBD32" s="414"/>
      <c r="WBE32" s="414"/>
      <c r="WBF32" s="414"/>
      <c r="WBG32" s="414"/>
      <c r="WBH32" s="414"/>
      <c r="WBI32" s="414"/>
      <c r="WBJ32" s="414"/>
      <c r="WBK32" s="414"/>
      <c r="WBL32" s="414"/>
      <c r="WBM32" s="414"/>
      <c r="WBN32" s="414"/>
      <c r="WBO32" s="414"/>
      <c r="WBP32" s="414"/>
      <c r="WBQ32" s="414"/>
      <c r="WBR32" s="414"/>
      <c r="WBS32" s="414"/>
      <c r="WBT32" s="414"/>
      <c r="WBU32" s="414"/>
      <c r="WBV32" s="414"/>
      <c r="WBW32" s="414"/>
      <c r="WBX32" s="414"/>
      <c r="WBY32" s="414"/>
      <c r="WBZ32" s="414"/>
      <c r="WCA32" s="414"/>
      <c r="WCB32" s="414"/>
      <c r="WCC32" s="414"/>
      <c r="WCD32" s="414"/>
      <c r="WCE32" s="414"/>
      <c r="WCF32" s="414"/>
      <c r="WCG32" s="414"/>
      <c r="WCH32" s="414"/>
      <c r="WCI32" s="414"/>
      <c r="WCJ32" s="414"/>
      <c r="WCK32" s="414"/>
      <c r="WCL32" s="414"/>
      <c r="WCM32" s="414"/>
      <c r="WCN32" s="414"/>
      <c r="WCO32" s="414"/>
      <c r="WCP32" s="414"/>
      <c r="WCQ32" s="414"/>
      <c r="WCR32" s="414"/>
      <c r="WCS32" s="414"/>
      <c r="WCT32" s="414"/>
      <c r="WCU32" s="414"/>
      <c r="WCV32" s="414"/>
      <c r="WCW32" s="414"/>
      <c r="WCX32" s="414"/>
      <c r="WCY32" s="414"/>
      <c r="WCZ32" s="414"/>
      <c r="WDA32" s="414"/>
      <c r="WDB32" s="414"/>
      <c r="WDC32" s="414"/>
      <c r="WDD32" s="414"/>
      <c r="WDE32" s="414"/>
      <c r="WDF32" s="414"/>
      <c r="WDG32" s="414"/>
      <c r="WDH32" s="414"/>
      <c r="WDI32" s="414"/>
      <c r="WDJ32" s="414"/>
      <c r="WDK32" s="414"/>
      <c r="WDL32" s="414"/>
      <c r="WDM32" s="414"/>
      <c r="WDN32" s="414"/>
      <c r="WDO32" s="414"/>
      <c r="WDP32" s="414"/>
      <c r="WDQ32" s="414"/>
      <c r="WDR32" s="414"/>
      <c r="WDS32" s="414"/>
      <c r="WDT32" s="414"/>
      <c r="WDU32" s="414"/>
      <c r="WDV32" s="414"/>
      <c r="WDW32" s="414"/>
      <c r="WDX32" s="414"/>
      <c r="WDY32" s="414"/>
      <c r="WDZ32" s="414"/>
      <c r="WEA32" s="414"/>
      <c r="WEB32" s="414"/>
      <c r="WEC32" s="414"/>
      <c r="WED32" s="414"/>
      <c r="WEE32" s="414"/>
      <c r="WEF32" s="414"/>
      <c r="WEG32" s="414"/>
      <c r="WEH32" s="414"/>
      <c r="WEI32" s="414"/>
      <c r="WEJ32" s="414"/>
      <c r="WEK32" s="414"/>
      <c r="WEL32" s="414"/>
      <c r="WEM32" s="414"/>
      <c r="WEN32" s="414"/>
      <c r="WEO32" s="414"/>
      <c r="WEP32" s="414"/>
      <c r="WEQ32" s="414"/>
      <c r="WER32" s="414"/>
      <c r="WES32" s="414"/>
      <c r="WET32" s="414"/>
      <c r="WEU32" s="414"/>
      <c r="WEV32" s="414"/>
      <c r="WEW32" s="414"/>
      <c r="WEX32" s="414"/>
      <c r="WEY32" s="414"/>
      <c r="WEZ32" s="414"/>
      <c r="WFA32" s="414"/>
      <c r="WFB32" s="414"/>
      <c r="WFC32" s="414"/>
      <c r="WFD32" s="414"/>
      <c r="WFE32" s="414"/>
      <c r="WFF32" s="414"/>
      <c r="WFG32" s="414"/>
      <c r="WFH32" s="414"/>
      <c r="WFI32" s="414"/>
      <c r="WFJ32" s="414"/>
      <c r="WFK32" s="414"/>
      <c r="WFL32" s="414"/>
      <c r="WFM32" s="414"/>
      <c r="WFN32" s="414"/>
      <c r="WFO32" s="414"/>
      <c r="WFP32" s="414"/>
      <c r="WFQ32" s="414"/>
      <c r="WFR32" s="414"/>
      <c r="WFS32" s="414"/>
      <c r="WFT32" s="414"/>
      <c r="WFU32" s="414"/>
      <c r="WFV32" s="414"/>
      <c r="WFW32" s="414"/>
      <c r="WFX32" s="414"/>
      <c r="WFY32" s="414"/>
      <c r="WFZ32" s="414"/>
      <c r="WGA32" s="414"/>
      <c r="WGB32" s="414"/>
      <c r="WGC32" s="414"/>
      <c r="WGD32" s="414"/>
      <c r="WGE32" s="414"/>
      <c r="WGF32" s="414"/>
      <c r="WGG32" s="414"/>
      <c r="WGH32" s="414"/>
      <c r="WGI32" s="414"/>
      <c r="WGJ32" s="414"/>
      <c r="WGK32" s="414"/>
      <c r="WGL32" s="414"/>
      <c r="WGM32" s="414"/>
      <c r="WGN32" s="414"/>
      <c r="WGO32" s="414"/>
      <c r="WGP32" s="414"/>
      <c r="WGQ32" s="414"/>
      <c r="WGR32" s="414"/>
      <c r="WGS32" s="414"/>
      <c r="WGT32" s="414"/>
      <c r="WGU32" s="414"/>
      <c r="WGV32" s="414"/>
      <c r="WGW32" s="414"/>
      <c r="WGX32" s="414"/>
      <c r="WGY32" s="414"/>
      <c r="WGZ32" s="414"/>
      <c r="WHA32" s="414"/>
      <c r="WHB32" s="414"/>
      <c r="WHC32" s="414"/>
      <c r="WHD32" s="414"/>
      <c r="WHE32" s="414"/>
      <c r="WHF32" s="414"/>
      <c r="WHG32" s="414"/>
      <c r="WHH32" s="414"/>
      <c r="WHI32" s="414"/>
      <c r="WHJ32" s="414"/>
      <c r="WHK32" s="414"/>
      <c r="WHL32" s="414"/>
      <c r="WHM32" s="414"/>
      <c r="WHN32" s="414"/>
      <c r="WHO32" s="414"/>
      <c r="WHP32" s="414"/>
      <c r="WHQ32" s="414"/>
      <c r="WHR32" s="414"/>
      <c r="WHS32" s="414"/>
      <c r="WHT32" s="414"/>
      <c r="WHU32" s="414"/>
      <c r="WHV32" s="414"/>
      <c r="WHW32" s="414"/>
      <c r="WHX32" s="414"/>
      <c r="WHY32" s="414"/>
      <c r="WHZ32" s="414"/>
      <c r="WIA32" s="414"/>
      <c r="WIB32" s="414"/>
      <c r="WIC32" s="414"/>
      <c r="WID32" s="414"/>
      <c r="WIE32" s="414"/>
      <c r="WIF32" s="414"/>
      <c r="WIG32" s="414"/>
      <c r="WIH32" s="414"/>
      <c r="WII32" s="414"/>
      <c r="WIJ32" s="414"/>
      <c r="WIK32" s="414"/>
      <c r="WIL32" s="414"/>
      <c r="WIM32" s="414"/>
      <c r="WIN32" s="414"/>
      <c r="WIO32" s="414"/>
      <c r="WIP32" s="414"/>
      <c r="WIQ32" s="414"/>
      <c r="WIR32" s="414"/>
      <c r="WIS32" s="414"/>
      <c r="WIT32" s="414"/>
      <c r="WIU32" s="414"/>
      <c r="WIV32" s="414"/>
      <c r="WIW32" s="414"/>
      <c r="WIX32" s="414"/>
      <c r="WIY32" s="414"/>
      <c r="WIZ32" s="414"/>
      <c r="WJA32" s="414"/>
      <c r="WJB32" s="414"/>
      <c r="WJC32" s="414"/>
      <c r="WJD32" s="414"/>
      <c r="WJE32" s="414"/>
      <c r="WJF32" s="414"/>
      <c r="WJG32" s="414"/>
      <c r="WJH32" s="414"/>
      <c r="WJI32" s="414"/>
      <c r="WJJ32" s="414"/>
      <c r="WJK32" s="414"/>
      <c r="WJL32" s="414"/>
      <c r="WJM32" s="414"/>
      <c r="WJN32" s="414"/>
      <c r="WJO32" s="414"/>
      <c r="WJP32" s="414"/>
      <c r="WJQ32" s="414"/>
      <c r="WJR32" s="414"/>
      <c r="WJS32" s="414"/>
      <c r="WJT32" s="414"/>
      <c r="WJU32" s="414"/>
      <c r="WJV32" s="414"/>
      <c r="WJW32" s="414"/>
      <c r="WJX32" s="414"/>
      <c r="WJY32" s="414"/>
      <c r="WJZ32" s="414"/>
      <c r="WKA32" s="414"/>
      <c r="WKB32" s="414"/>
      <c r="WKC32" s="414"/>
      <c r="WKD32" s="414"/>
      <c r="WKE32" s="414"/>
      <c r="WKF32" s="414"/>
      <c r="WKG32" s="414"/>
      <c r="WKH32" s="414"/>
      <c r="WKI32" s="414"/>
      <c r="WKJ32" s="414"/>
      <c r="WKK32" s="414"/>
      <c r="WKL32" s="414"/>
      <c r="WKM32" s="414"/>
      <c r="WKN32" s="414"/>
      <c r="WKO32" s="414"/>
      <c r="WKP32" s="414"/>
      <c r="WKQ32" s="414"/>
      <c r="WKR32" s="414"/>
      <c r="WKS32" s="414"/>
      <c r="WKT32" s="414"/>
      <c r="WKU32" s="414"/>
      <c r="WKV32" s="414"/>
      <c r="WKW32" s="414"/>
      <c r="WKX32" s="414"/>
      <c r="WKY32" s="414"/>
      <c r="WKZ32" s="414"/>
      <c r="WLA32" s="414"/>
      <c r="WLB32" s="414"/>
      <c r="WLC32" s="414"/>
      <c r="WLD32" s="414"/>
      <c r="WLE32" s="414"/>
      <c r="WLF32" s="414"/>
      <c r="WLG32" s="414"/>
      <c r="WLH32" s="414"/>
      <c r="WLI32" s="414"/>
      <c r="WLJ32" s="414"/>
      <c r="WLK32" s="414"/>
      <c r="WLL32" s="414"/>
      <c r="WLM32" s="414"/>
      <c r="WLN32" s="414"/>
      <c r="WLO32" s="414"/>
      <c r="WLP32" s="414"/>
      <c r="WLQ32" s="414"/>
      <c r="WLR32" s="414"/>
      <c r="WLS32" s="414"/>
      <c r="WLT32" s="414"/>
      <c r="WLU32" s="414"/>
      <c r="WLV32" s="414"/>
      <c r="WLW32" s="414"/>
      <c r="WLX32" s="414"/>
      <c r="WLY32" s="414"/>
      <c r="WLZ32" s="414"/>
      <c r="WMA32" s="414"/>
      <c r="WMB32" s="414"/>
      <c r="WMC32" s="414"/>
      <c r="WMD32" s="414"/>
      <c r="WME32" s="414"/>
      <c r="WMF32" s="414"/>
      <c r="WMG32" s="414"/>
      <c r="WMH32" s="414"/>
      <c r="WMI32" s="414"/>
      <c r="WMJ32" s="414"/>
      <c r="WMK32" s="414"/>
      <c r="WML32" s="414"/>
      <c r="WMM32" s="414"/>
      <c r="WMN32" s="414"/>
      <c r="WMO32" s="414"/>
      <c r="WMP32" s="414"/>
      <c r="WMQ32" s="414"/>
      <c r="WMR32" s="414"/>
      <c r="WMS32" s="414"/>
      <c r="WMT32" s="414"/>
      <c r="WMU32" s="414"/>
      <c r="WMV32" s="414"/>
      <c r="WMW32" s="414"/>
      <c r="WMX32" s="414"/>
      <c r="WMY32" s="414"/>
      <c r="WMZ32" s="414"/>
      <c r="WNA32" s="414"/>
      <c r="WNB32" s="414"/>
      <c r="WNC32" s="414"/>
      <c r="WND32" s="414"/>
      <c r="WNE32" s="414"/>
      <c r="WNF32" s="414"/>
      <c r="WNG32" s="414"/>
      <c r="WNH32" s="414"/>
      <c r="WNI32" s="414"/>
      <c r="WNJ32" s="414"/>
      <c r="WNK32" s="414"/>
      <c r="WNL32" s="414"/>
      <c r="WNM32" s="414"/>
      <c r="WNN32" s="414"/>
      <c r="WNO32" s="414"/>
      <c r="WNP32" s="414"/>
      <c r="WNQ32" s="414"/>
      <c r="WNR32" s="414"/>
      <c r="WNS32" s="414"/>
      <c r="WNT32" s="414"/>
      <c r="WNU32" s="414"/>
      <c r="WNV32" s="414"/>
      <c r="WNW32" s="414"/>
      <c r="WNX32" s="414"/>
      <c r="WNY32" s="414"/>
      <c r="WNZ32" s="414"/>
      <c r="WOA32" s="414"/>
      <c r="WOB32" s="414"/>
      <c r="WOC32" s="414"/>
      <c r="WOD32" s="414"/>
      <c r="WOE32" s="414"/>
      <c r="WOF32" s="414"/>
      <c r="WOG32" s="414"/>
      <c r="WOH32" s="414"/>
      <c r="WOI32" s="414"/>
      <c r="WOJ32" s="414"/>
      <c r="WOK32" s="414"/>
      <c r="WOL32" s="414"/>
      <c r="WOM32" s="414"/>
      <c r="WON32" s="414"/>
      <c r="WOO32" s="414"/>
      <c r="WOP32" s="414"/>
      <c r="WOQ32" s="414"/>
      <c r="WOR32" s="414"/>
      <c r="WOS32" s="414"/>
      <c r="WOT32" s="414"/>
      <c r="WOU32" s="414"/>
      <c r="WOV32" s="414"/>
      <c r="WOW32" s="414"/>
      <c r="WOX32" s="414"/>
      <c r="WOY32" s="414"/>
      <c r="WOZ32" s="414"/>
      <c r="WPA32" s="414"/>
      <c r="WPB32" s="414"/>
      <c r="WPC32" s="414"/>
      <c r="WPD32" s="414"/>
      <c r="WPE32" s="414"/>
      <c r="WPF32" s="414"/>
      <c r="WPG32" s="414"/>
      <c r="WPH32" s="414"/>
      <c r="WPI32" s="414"/>
      <c r="WPJ32" s="414"/>
      <c r="WPK32" s="414"/>
      <c r="WPL32" s="414"/>
      <c r="WPM32" s="414"/>
      <c r="WPN32" s="414"/>
      <c r="WPO32" s="414"/>
      <c r="WPP32" s="414"/>
      <c r="WPQ32" s="414"/>
      <c r="WPR32" s="414"/>
      <c r="WPS32" s="414"/>
      <c r="WPT32" s="414"/>
      <c r="WPU32" s="414"/>
      <c r="WPV32" s="414"/>
      <c r="WPW32" s="414"/>
      <c r="WPX32" s="414"/>
      <c r="WPY32" s="414"/>
      <c r="WPZ32" s="414"/>
      <c r="WQA32" s="414"/>
      <c r="WQB32" s="414"/>
      <c r="WQC32" s="414"/>
      <c r="WQD32" s="414"/>
      <c r="WQE32" s="414"/>
      <c r="WQF32" s="414"/>
      <c r="WQG32" s="414"/>
      <c r="WQH32" s="414"/>
      <c r="WQI32" s="414"/>
      <c r="WQJ32" s="414"/>
      <c r="WQK32" s="414"/>
      <c r="WQL32" s="414"/>
      <c r="WQM32" s="414"/>
      <c r="WQN32" s="414"/>
      <c r="WQO32" s="414"/>
      <c r="WQP32" s="414"/>
      <c r="WQQ32" s="414"/>
      <c r="WQR32" s="414"/>
      <c r="WQS32" s="414"/>
      <c r="WQT32" s="414"/>
      <c r="WQU32" s="414"/>
      <c r="WQV32" s="414"/>
      <c r="WQW32" s="414"/>
      <c r="WQX32" s="414"/>
      <c r="WQY32" s="414"/>
      <c r="WQZ32" s="414"/>
      <c r="WRA32" s="414"/>
      <c r="WRB32" s="414"/>
      <c r="WRC32" s="414"/>
      <c r="WRD32" s="414"/>
      <c r="WRE32" s="414"/>
      <c r="WRF32" s="414"/>
      <c r="WRG32" s="414"/>
      <c r="WRH32" s="414"/>
      <c r="WRI32" s="414"/>
      <c r="WRJ32" s="414"/>
      <c r="WRK32" s="414"/>
      <c r="WRL32" s="414"/>
      <c r="WRM32" s="414"/>
      <c r="WRN32" s="414"/>
      <c r="WRO32" s="414"/>
      <c r="WRP32" s="414"/>
      <c r="WRQ32" s="414"/>
      <c r="WRR32" s="414"/>
      <c r="WRS32" s="414"/>
      <c r="WRT32" s="414"/>
      <c r="WRU32" s="414"/>
      <c r="WRV32" s="414"/>
      <c r="WRW32" s="414"/>
      <c r="WRX32" s="414"/>
      <c r="WRY32" s="414"/>
      <c r="WRZ32" s="414"/>
      <c r="WSA32" s="414"/>
      <c r="WSB32" s="414"/>
      <c r="WSC32" s="414"/>
      <c r="WSD32" s="414"/>
      <c r="WSE32" s="414"/>
      <c r="WSF32" s="414"/>
      <c r="WSG32" s="414"/>
      <c r="WSH32" s="414"/>
      <c r="WSI32" s="414"/>
      <c r="WSJ32" s="414"/>
      <c r="WSK32" s="414"/>
      <c r="WSL32" s="414"/>
      <c r="WSM32" s="414"/>
      <c r="WSN32" s="414"/>
      <c r="WSO32" s="414"/>
      <c r="WSP32" s="414"/>
      <c r="WSQ32" s="414"/>
      <c r="WSR32" s="414"/>
      <c r="WSS32" s="414"/>
      <c r="WST32" s="414"/>
      <c r="WSU32" s="414"/>
      <c r="WSV32" s="414"/>
      <c r="WSW32" s="414"/>
      <c r="WSX32" s="414"/>
      <c r="WSY32" s="414"/>
      <c r="WSZ32" s="414"/>
      <c r="WTA32" s="414"/>
      <c r="WTB32" s="414"/>
      <c r="WTC32" s="414"/>
      <c r="WTD32" s="414"/>
      <c r="WTE32" s="414"/>
      <c r="WTF32" s="414"/>
      <c r="WTG32" s="414"/>
      <c r="WTH32" s="414"/>
      <c r="WTI32" s="414"/>
      <c r="WTJ32" s="414"/>
      <c r="WTK32" s="414"/>
      <c r="WTL32" s="414"/>
      <c r="WTM32" s="414"/>
      <c r="WTN32" s="414"/>
      <c r="WTO32" s="414"/>
      <c r="WTP32" s="414"/>
      <c r="WTQ32" s="414"/>
      <c r="WTR32" s="414"/>
      <c r="WTS32" s="414"/>
      <c r="WTT32" s="414"/>
      <c r="WTU32" s="414"/>
      <c r="WTV32" s="414"/>
      <c r="WTW32" s="414"/>
      <c r="WTX32" s="414"/>
      <c r="WTY32" s="414"/>
      <c r="WTZ32" s="414"/>
      <c r="WUA32" s="414"/>
      <c r="WUB32" s="414"/>
      <c r="WUC32" s="414"/>
      <c r="WUD32" s="414"/>
      <c r="WUE32" s="414"/>
      <c r="WUF32" s="414"/>
      <c r="WUG32" s="414"/>
      <c r="WUH32" s="414"/>
      <c r="WUI32" s="414"/>
      <c r="WUJ32" s="414"/>
      <c r="WUK32" s="414"/>
      <c r="WUL32" s="414"/>
      <c r="WUM32" s="414"/>
      <c r="WUN32" s="414"/>
      <c r="WUO32" s="414"/>
      <c r="WUP32" s="414"/>
      <c r="WUQ32" s="414"/>
      <c r="WUR32" s="414"/>
      <c r="WUS32" s="414"/>
      <c r="WUT32" s="414"/>
      <c r="WUU32" s="414"/>
      <c r="WUV32" s="414"/>
      <c r="WUW32" s="414"/>
      <c r="WUX32" s="414"/>
      <c r="WUY32" s="414"/>
      <c r="WUZ32" s="414"/>
      <c r="WVA32" s="414"/>
      <c r="WVB32" s="414"/>
      <c r="WVC32" s="414"/>
      <c r="WVD32" s="414"/>
      <c r="WVE32" s="414"/>
      <c r="WVF32" s="414"/>
      <c r="WVG32" s="414"/>
      <c r="WVH32" s="414"/>
      <c r="WVI32" s="414"/>
      <c r="WVJ32" s="414"/>
      <c r="WVK32" s="414"/>
      <c r="WVL32" s="414"/>
      <c r="WVM32" s="414"/>
      <c r="WVN32" s="414"/>
      <c r="WVO32" s="414"/>
      <c r="WVP32" s="414"/>
      <c r="WVQ32" s="414"/>
      <c r="WVR32" s="414"/>
      <c r="WVS32" s="414"/>
      <c r="WVT32" s="414"/>
      <c r="WVU32" s="414"/>
      <c r="WVV32" s="414"/>
      <c r="WVW32" s="414"/>
      <c r="WVX32" s="414"/>
      <c r="WVY32" s="414"/>
      <c r="WVZ32" s="414"/>
      <c r="WWA32" s="414"/>
      <c r="WWB32" s="414"/>
      <c r="WWC32" s="414"/>
      <c r="WWD32" s="414"/>
      <c r="WWE32" s="414"/>
      <c r="WWF32" s="414"/>
      <c r="WWG32" s="414"/>
      <c r="WWH32" s="414"/>
      <c r="WWI32" s="414"/>
      <c r="WWJ32" s="414"/>
      <c r="WWK32" s="414"/>
      <c r="WWL32" s="414"/>
      <c r="WWM32" s="414"/>
      <c r="WWN32" s="414"/>
      <c r="WWO32" s="414"/>
      <c r="WWP32" s="414"/>
      <c r="WWQ32" s="414"/>
      <c r="WWR32" s="414"/>
      <c r="WWS32" s="414"/>
      <c r="WWT32" s="414"/>
      <c r="WWU32" s="414"/>
      <c r="WWV32" s="414"/>
      <c r="WWW32" s="414"/>
      <c r="WWX32" s="414"/>
      <c r="WWY32" s="414"/>
      <c r="WWZ32" s="414"/>
      <c r="WXA32" s="414"/>
      <c r="WXB32" s="414"/>
      <c r="WXC32" s="414"/>
      <c r="WXD32" s="414"/>
      <c r="WXE32" s="414"/>
      <c r="WXF32" s="414"/>
      <c r="WXG32" s="414"/>
      <c r="WXH32" s="414"/>
      <c r="WXI32" s="414"/>
      <c r="WXJ32" s="414"/>
      <c r="WXK32" s="414"/>
      <c r="WXL32" s="414"/>
      <c r="WXM32" s="414"/>
      <c r="WXN32" s="414"/>
      <c r="WXO32" s="414"/>
      <c r="WXP32" s="414"/>
      <c r="WXQ32" s="414"/>
      <c r="WXR32" s="414"/>
      <c r="WXS32" s="414"/>
      <c r="WXT32" s="414"/>
      <c r="WXU32" s="414"/>
      <c r="WXV32" s="414"/>
      <c r="WXW32" s="414"/>
      <c r="WXX32" s="414"/>
      <c r="WXY32" s="414"/>
      <c r="WXZ32" s="414"/>
      <c r="WYA32" s="414"/>
      <c r="WYB32" s="414"/>
      <c r="WYC32" s="414"/>
      <c r="WYD32" s="414"/>
      <c r="WYE32" s="414"/>
      <c r="WYF32" s="414"/>
      <c r="WYG32" s="414"/>
      <c r="WYH32" s="414"/>
      <c r="WYI32" s="414"/>
      <c r="WYJ32" s="414"/>
      <c r="WYK32" s="414"/>
      <c r="WYL32" s="414"/>
      <c r="WYM32" s="414"/>
      <c r="WYN32" s="414"/>
      <c r="WYO32" s="414"/>
      <c r="WYP32" s="414"/>
      <c r="WYQ32" s="414"/>
      <c r="WYR32" s="414"/>
      <c r="WYS32" s="414"/>
      <c r="WYT32" s="414"/>
      <c r="WYU32" s="414"/>
      <c r="WYV32" s="414"/>
      <c r="WYW32" s="414"/>
      <c r="WYX32" s="414"/>
      <c r="WYY32" s="414"/>
      <c r="WYZ32" s="414"/>
      <c r="WZA32" s="414"/>
      <c r="WZB32" s="414"/>
      <c r="WZC32" s="414"/>
      <c r="WZD32" s="414"/>
      <c r="WZE32" s="414"/>
      <c r="WZF32" s="414"/>
      <c r="WZG32" s="414"/>
      <c r="WZH32" s="414"/>
      <c r="WZI32" s="414"/>
      <c r="WZJ32" s="414"/>
      <c r="WZK32" s="414"/>
      <c r="WZL32" s="414"/>
      <c r="WZM32" s="414"/>
      <c r="WZN32" s="414"/>
      <c r="WZO32" s="414"/>
      <c r="WZP32" s="414"/>
      <c r="WZQ32" s="414"/>
      <c r="WZR32" s="414"/>
      <c r="WZS32" s="414"/>
      <c r="WZT32" s="414"/>
      <c r="WZU32" s="414"/>
      <c r="WZV32" s="414"/>
      <c r="WZW32" s="414"/>
      <c r="WZX32" s="414"/>
      <c r="WZY32" s="414"/>
      <c r="WZZ32" s="414"/>
      <c r="XAA32" s="414"/>
      <c r="XAB32" s="414"/>
      <c r="XAC32" s="414"/>
      <c r="XAD32" s="414"/>
      <c r="XAE32" s="414"/>
      <c r="XAF32" s="414"/>
      <c r="XAG32" s="414"/>
      <c r="XAH32" s="414"/>
      <c r="XAI32" s="414"/>
      <c r="XAJ32" s="414"/>
      <c r="XAK32" s="414"/>
      <c r="XAL32" s="414"/>
      <c r="XAM32" s="414"/>
      <c r="XAN32" s="414"/>
      <c r="XAO32" s="414"/>
      <c r="XAP32" s="414"/>
      <c r="XAQ32" s="414"/>
      <c r="XAR32" s="414"/>
      <c r="XAS32" s="414"/>
      <c r="XAT32" s="414"/>
      <c r="XAU32" s="414"/>
      <c r="XAV32" s="414"/>
      <c r="XAW32" s="414"/>
      <c r="XAX32" s="414"/>
      <c r="XAY32" s="414"/>
      <c r="XAZ32" s="414"/>
      <c r="XBA32" s="414"/>
      <c r="XBB32" s="414"/>
      <c r="XBC32" s="414"/>
      <c r="XBD32" s="414"/>
      <c r="XBE32" s="414"/>
      <c r="XBF32" s="414"/>
      <c r="XBG32" s="414"/>
      <c r="XBH32" s="414"/>
      <c r="XBI32" s="414"/>
      <c r="XBJ32" s="414"/>
      <c r="XBK32" s="414"/>
      <c r="XBL32" s="414"/>
      <c r="XBM32" s="414"/>
      <c r="XBN32" s="414"/>
      <c r="XBO32" s="414"/>
      <c r="XBP32" s="414"/>
      <c r="XBQ32" s="414"/>
      <c r="XBR32" s="414"/>
      <c r="XBS32" s="414"/>
      <c r="XBT32" s="414"/>
      <c r="XBU32" s="414"/>
      <c r="XBV32" s="414"/>
      <c r="XBW32" s="414"/>
      <c r="XBX32" s="414"/>
      <c r="XBY32" s="414"/>
      <c r="XBZ32" s="414"/>
      <c r="XCA32" s="414"/>
      <c r="XCB32" s="414"/>
      <c r="XCC32" s="414"/>
      <c r="XCD32" s="414"/>
      <c r="XCE32" s="414"/>
      <c r="XCF32" s="414"/>
      <c r="XCG32" s="414"/>
      <c r="XCH32" s="414"/>
      <c r="XCI32" s="414"/>
      <c r="XCJ32" s="414"/>
      <c r="XCK32" s="414"/>
      <c r="XCL32" s="414"/>
      <c r="XCM32" s="414"/>
      <c r="XCN32" s="414"/>
      <c r="XCO32" s="414"/>
      <c r="XCP32" s="414"/>
      <c r="XCQ32" s="414"/>
      <c r="XCR32" s="414"/>
      <c r="XCS32" s="414"/>
      <c r="XCT32" s="414"/>
      <c r="XCU32" s="414"/>
      <c r="XCV32" s="414"/>
      <c r="XCW32" s="414"/>
      <c r="XCX32" s="414"/>
      <c r="XCY32" s="414"/>
      <c r="XCZ32" s="414"/>
      <c r="XDA32" s="414"/>
      <c r="XDB32" s="414"/>
      <c r="XDC32" s="414"/>
      <c r="XDD32" s="414"/>
      <c r="XDE32" s="414"/>
      <c r="XDF32" s="414"/>
      <c r="XDG32" s="414"/>
      <c r="XDH32" s="414"/>
      <c r="XDI32" s="414"/>
      <c r="XDJ32" s="414"/>
      <c r="XDK32" s="414"/>
      <c r="XDL32" s="414"/>
      <c r="XDM32" s="414"/>
      <c r="XDN32" s="414"/>
      <c r="XDO32" s="414"/>
      <c r="XDP32" s="414"/>
      <c r="XDQ32" s="414"/>
      <c r="XDR32" s="414"/>
      <c r="XDS32" s="414"/>
      <c r="XDT32" s="414"/>
      <c r="XDU32" s="414"/>
      <c r="XDV32" s="414"/>
      <c r="XDW32" s="414"/>
      <c r="XDX32" s="414"/>
      <c r="XDY32" s="414"/>
      <c r="XDZ32" s="414"/>
      <c r="XEA32" s="414"/>
      <c r="XEB32" s="414"/>
      <c r="XEC32" s="414"/>
      <c r="XED32" s="414"/>
      <c r="XEE32" s="414"/>
      <c r="XEF32" s="414"/>
      <c r="XEG32" s="414"/>
      <c r="XEH32" s="414"/>
      <c r="XEI32" s="414"/>
      <c r="XEJ32" s="414"/>
      <c r="XEK32" s="414"/>
      <c r="XEL32" s="414"/>
      <c r="XEM32" s="414"/>
      <c r="XEN32" s="414"/>
      <c r="XEO32" s="414"/>
      <c r="XEP32" s="414"/>
      <c r="XEQ32" s="414"/>
      <c r="XER32" s="414"/>
      <c r="XES32" s="414"/>
      <c r="XET32" s="414"/>
      <c r="XEU32" s="414"/>
      <c r="XEV32" s="414"/>
      <c r="XEW32" s="414"/>
      <c r="XEX32" s="414"/>
      <c r="XEY32" s="414"/>
      <c r="XEZ32" s="414"/>
      <c r="XFA32" s="414"/>
    </row>
    <row r="33" spans="1:16381" s="609" customFormat="1">
      <c r="A33" s="609" t="str">
        <f t="shared" si="0"/>
        <v>BASF Pensionskasse VVaG v. 01.07.2019</v>
      </c>
      <c r="B33" s="609">
        <f>ROW()</f>
        <v>33</v>
      </c>
      <c r="C33" s="635" t="s">
        <v>996</v>
      </c>
      <c r="D33" s="1201">
        <v>43647</v>
      </c>
      <c r="E33" s="636" t="s">
        <v>997</v>
      </c>
      <c r="F33" s="637" t="str">
        <f t="shared" si="5"/>
        <v/>
      </c>
      <c r="G33" s="634" t="str">
        <f t="shared" si="2"/>
        <v/>
      </c>
      <c r="I33" s="634"/>
      <c r="J33" s="784"/>
      <c r="K33" s="1199"/>
      <c r="L33" s="1199"/>
      <c r="M33" s="1199"/>
      <c r="N33" s="1199"/>
      <c r="O33" s="785"/>
      <c r="P33" s="144">
        <f t="shared" si="6"/>
        <v>0</v>
      </c>
      <c r="Q33" s="143"/>
      <c r="R33" s="143"/>
      <c r="S33" s="143"/>
      <c r="T33" s="143"/>
      <c r="U33" s="143"/>
      <c r="V33" s="143"/>
      <c r="W33" s="143"/>
      <c r="X33" s="143"/>
      <c r="Y33" s="143"/>
      <c r="Z33" s="143"/>
      <c r="AA33" s="143"/>
      <c r="AB33" s="143"/>
      <c r="AC33" s="143"/>
      <c r="AD33" s="143"/>
      <c r="AE33" s="143"/>
      <c r="AF33" s="143"/>
      <c r="AG33" s="143"/>
      <c r="AH33" s="143"/>
      <c r="AI33" s="143"/>
      <c r="AJ33" s="143"/>
      <c r="AK33" s="143"/>
      <c r="AL33" s="143"/>
      <c r="AM33" s="143"/>
      <c r="AN33" s="143"/>
      <c r="AO33" s="143"/>
      <c r="AP33" s="143"/>
      <c r="AQ33" s="143"/>
      <c r="AR33" s="143"/>
      <c r="AS33" s="143"/>
      <c r="AT33" s="143"/>
      <c r="AU33" s="143"/>
      <c r="AV33" s="143"/>
      <c r="AW33" s="143"/>
      <c r="AX33" s="143"/>
      <c r="AY33" s="143"/>
      <c r="AZ33" s="143"/>
      <c r="BA33" s="143"/>
      <c r="BB33" s="143"/>
      <c r="BC33" s="143"/>
      <c r="BD33" s="143"/>
      <c r="BE33" s="143"/>
      <c r="BF33" s="143"/>
      <c r="BG33" s="143"/>
      <c r="BH33" s="143"/>
      <c r="BI33" s="143"/>
      <c r="BJ33" s="143"/>
      <c r="BK33" s="143"/>
      <c r="BL33" s="143"/>
      <c r="BM33" s="143"/>
      <c r="BN33" s="143"/>
      <c r="BO33" s="143"/>
      <c r="BP33" s="143"/>
      <c r="BQ33" s="143"/>
      <c r="BR33" s="143"/>
      <c r="BS33" s="143"/>
      <c r="BT33" s="143"/>
      <c r="BU33" s="143"/>
      <c r="BV33" s="143"/>
      <c r="BW33" s="143"/>
      <c r="BX33" s="143"/>
      <c r="BY33" s="143"/>
      <c r="BZ33" s="143"/>
      <c r="CA33" s="143"/>
      <c r="CB33" s="143"/>
      <c r="CC33" s="143"/>
      <c r="CD33" s="143"/>
      <c r="CE33" s="143"/>
      <c r="CF33" s="143"/>
      <c r="CG33" s="143"/>
      <c r="CH33" s="143"/>
      <c r="CI33" s="143"/>
      <c r="CJ33" s="143"/>
      <c r="CK33" s="143"/>
      <c r="CL33" s="143"/>
      <c r="CM33" s="143"/>
      <c r="CN33" s="143"/>
      <c r="CO33" s="143"/>
      <c r="CP33" s="143"/>
      <c r="CQ33" s="143"/>
      <c r="CR33" s="143"/>
      <c r="CS33" s="143"/>
      <c r="CT33" s="143"/>
      <c r="CU33" s="143"/>
      <c r="CV33" s="143"/>
      <c r="CW33" s="143"/>
      <c r="CX33" s="143"/>
      <c r="CY33" s="143"/>
      <c r="CZ33" s="143"/>
      <c r="DA33" s="143"/>
      <c r="DB33" s="143"/>
      <c r="DC33" s="143"/>
      <c r="DD33" s="143"/>
      <c r="DE33" s="143"/>
      <c r="DF33" s="143"/>
      <c r="DG33" s="143"/>
      <c r="DH33" s="143"/>
      <c r="DI33" s="143"/>
      <c r="DJ33" s="143"/>
      <c r="DK33" s="143"/>
      <c r="DL33" s="143"/>
      <c r="DM33" s="143"/>
      <c r="DN33" s="143"/>
      <c r="DO33" s="143"/>
      <c r="DP33" s="143"/>
      <c r="DQ33" s="143"/>
      <c r="DR33" s="143"/>
      <c r="DS33" s="143"/>
      <c r="DT33" s="143"/>
      <c r="DU33" s="143"/>
      <c r="DV33" s="143"/>
      <c r="DW33" s="143"/>
      <c r="DX33" s="143"/>
      <c r="DY33" s="143"/>
      <c r="DZ33" s="143"/>
      <c r="EA33" s="143"/>
      <c r="EB33" s="143"/>
      <c r="EC33" s="143"/>
      <c r="ED33" s="143"/>
      <c r="EE33" s="143"/>
      <c r="EF33" s="143"/>
      <c r="EG33" s="143"/>
      <c r="EH33" s="143"/>
      <c r="EI33" s="143"/>
      <c r="EJ33" s="143"/>
      <c r="EK33" s="143"/>
      <c r="EL33" s="143"/>
      <c r="EM33" s="143"/>
      <c r="EN33" s="143"/>
      <c r="EO33" s="143"/>
      <c r="EP33" s="143"/>
      <c r="EQ33" s="143"/>
      <c r="ER33" s="143"/>
      <c r="ES33" s="143"/>
      <c r="ET33" s="143"/>
      <c r="EU33" s="143"/>
      <c r="EV33" s="143"/>
      <c r="EW33" s="143"/>
      <c r="EX33" s="143"/>
      <c r="EY33" s="143"/>
      <c r="EZ33" s="143"/>
      <c r="FA33" s="143"/>
      <c r="FB33" s="143"/>
      <c r="FC33" s="143"/>
      <c r="FD33" s="143"/>
      <c r="FE33" s="143"/>
      <c r="FF33" s="143"/>
      <c r="FG33" s="143"/>
      <c r="FH33" s="143"/>
      <c r="FI33" s="143"/>
      <c r="FJ33" s="143"/>
      <c r="FK33" s="143"/>
      <c r="FL33" s="143"/>
      <c r="FM33" s="143"/>
      <c r="FN33" s="143"/>
      <c r="FO33" s="143"/>
      <c r="FP33" s="143"/>
      <c r="FQ33" s="143"/>
      <c r="FR33" s="143"/>
      <c r="FS33" s="143"/>
      <c r="FT33" s="143"/>
      <c r="FU33" s="143"/>
      <c r="FV33" s="143"/>
      <c r="FW33" s="143"/>
      <c r="FX33" s="143"/>
      <c r="FY33" s="143"/>
      <c r="FZ33" s="143"/>
      <c r="GA33" s="143"/>
      <c r="GB33" s="143"/>
      <c r="GC33" s="143"/>
      <c r="GD33" s="143"/>
      <c r="GE33" s="143"/>
      <c r="GF33" s="143"/>
      <c r="GG33" s="143"/>
      <c r="GH33" s="143"/>
      <c r="GI33" s="143"/>
      <c r="GJ33" s="143"/>
      <c r="GK33" s="143"/>
      <c r="GL33" s="143"/>
      <c r="GM33" s="143"/>
      <c r="GN33" s="143"/>
      <c r="GO33" s="143"/>
      <c r="GP33" s="143"/>
      <c r="GQ33" s="143"/>
      <c r="GR33" s="143"/>
      <c r="GS33" s="143"/>
      <c r="GT33" s="143"/>
      <c r="GU33" s="143"/>
      <c r="GV33" s="143"/>
      <c r="GW33" s="143"/>
      <c r="GX33" s="143"/>
      <c r="GY33" s="143"/>
      <c r="GZ33" s="143"/>
      <c r="HA33" s="143"/>
      <c r="HB33" s="143"/>
      <c r="HC33" s="143"/>
      <c r="HD33" s="143"/>
      <c r="HE33" s="143"/>
      <c r="HF33" s="143"/>
      <c r="HG33" s="143"/>
      <c r="HH33" s="143"/>
      <c r="HI33" s="143"/>
      <c r="HJ33" s="143"/>
      <c r="HK33" s="143"/>
      <c r="HL33" s="143"/>
      <c r="HM33" s="143"/>
      <c r="HN33" s="143"/>
      <c r="HO33" s="143"/>
      <c r="HP33" s="143"/>
      <c r="HQ33" s="143"/>
      <c r="HR33" s="143"/>
      <c r="HS33" s="143"/>
      <c r="HT33" s="143"/>
      <c r="HU33" s="143"/>
      <c r="HV33" s="143"/>
      <c r="HW33" s="143"/>
      <c r="HX33" s="143"/>
      <c r="HY33" s="143"/>
      <c r="HZ33" s="143"/>
      <c r="IA33" s="143"/>
      <c r="IB33" s="143"/>
      <c r="IC33" s="143"/>
      <c r="ID33" s="143"/>
      <c r="IE33" s="143"/>
      <c r="IF33" s="143"/>
      <c r="IG33" s="143"/>
      <c r="IH33" s="143"/>
      <c r="II33" s="143"/>
      <c r="IJ33" s="143"/>
      <c r="IK33" s="143"/>
      <c r="IL33" s="143"/>
      <c r="IM33" s="143"/>
      <c r="IN33" s="143"/>
      <c r="IO33" s="143"/>
      <c r="IP33" s="143"/>
      <c r="IQ33" s="143"/>
      <c r="IR33" s="143"/>
      <c r="IS33" s="143"/>
      <c r="IT33" s="143"/>
      <c r="IU33" s="143"/>
      <c r="IV33" s="143"/>
      <c r="IW33" s="143"/>
      <c r="IX33" s="143"/>
      <c r="IY33" s="143"/>
      <c r="IZ33" s="143"/>
      <c r="JA33" s="143"/>
      <c r="JB33" s="143"/>
      <c r="JC33" s="143"/>
      <c r="JD33" s="143"/>
      <c r="JE33" s="143"/>
      <c r="JF33" s="143"/>
      <c r="JG33" s="143"/>
      <c r="JH33" s="143"/>
      <c r="JI33" s="143"/>
      <c r="JJ33" s="143"/>
      <c r="JK33" s="143"/>
      <c r="JL33" s="143"/>
      <c r="JM33" s="143"/>
      <c r="JN33" s="143"/>
      <c r="JO33" s="143"/>
      <c r="JP33" s="143"/>
      <c r="JQ33" s="143"/>
      <c r="JR33" s="143"/>
      <c r="JS33" s="143"/>
      <c r="JT33" s="143"/>
      <c r="JU33" s="143"/>
      <c r="JV33" s="143"/>
      <c r="JW33" s="143"/>
      <c r="JX33" s="143"/>
      <c r="JY33" s="143"/>
      <c r="JZ33" s="143"/>
      <c r="KA33" s="143"/>
      <c r="KB33" s="143"/>
      <c r="KC33" s="143"/>
      <c r="KD33" s="143"/>
      <c r="KE33" s="143"/>
      <c r="KF33" s="143"/>
      <c r="KG33" s="143"/>
      <c r="KH33" s="143"/>
      <c r="KI33" s="143"/>
      <c r="KJ33" s="143"/>
      <c r="KK33" s="143"/>
      <c r="KL33" s="143"/>
      <c r="KM33" s="143"/>
      <c r="KN33" s="143"/>
      <c r="KO33" s="143"/>
      <c r="KP33" s="143"/>
      <c r="KQ33" s="143"/>
      <c r="KR33" s="143"/>
      <c r="KS33" s="143"/>
      <c r="KT33" s="143"/>
      <c r="KU33" s="143"/>
      <c r="KV33" s="143"/>
      <c r="KW33" s="143"/>
      <c r="KX33" s="143"/>
      <c r="KY33" s="143"/>
      <c r="KZ33" s="143"/>
      <c r="LA33" s="143"/>
      <c r="LB33" s="143"/>
      <c r="LC33" s="143"/>
      <c r="LD33" s="143"/>
      <c r="LE33" s="143"/>
      <c r="LF33" s="143"/>
      <c r="LG33" s="143"/>
      <c r="LH33" s="143"/>
      <c r="LI33" s="143"/>
      <c r="LJ33" s="143"/>
      <c r="LK33" s="143"/>
      <c r="LL33" s="143"/>
      <c r="LM33" s="143"/>
      <c r="LN33" s="143"/>
      <c r="LO33" s="143"/>
      <c r="LP33" s="143"/>
      <c r="LQ33" s="143"/>
      <c r="LR33" s="143"/>
      <c r="LS33" s="143"/>
      <c r="LT33" s="143"/>
      <c r="LU33" s="143"/>
      <c r="LV33" s="143"/>
      <c r="LW33" s="143"/>
      <c r="LX33" s="143"/>
      <c r="LY33" s="143"/>
      <c r="LZ33" s="143"/>
      <c r="MA33" s="143"/>
      <c r="MB33" s="143"/>
      <c r="MC33" s="143"/>
      <c r="MD33" s="143"/>
      <c r="ME33" s="143"/>
      <c r="MF33" s="143"/>
      <c r="MG33" s="143"/>
      <c r="MH33" s="143"/>
      <c r="MI33" s="143"/>
      <c r="MJ33" s="143"/>
      <c r="MK33" s="143"/>
      <c r="ML33" s="143"/>
      <c r="MM33" s="143"/>
      <c r="MN33" s="143"/>
      <c r="MO33" s="143"/>
      <c r="MP33" s="143"/>
      <c r="MQ33" s="143"/>
      <c r="MR33" s="143"/>
      <c r="MS33" s="143"/>
      <c r="MT33" s="143"/>
      <c r="MU33" s="143"/>
      <c r="MV33" s="143"/>
      <c r="MW33" s="143"/>
      <c r="MX33" s="143"/>
      <c r="MY33" s="143"/>
      <c r="MZ33" s="143"/>
      <c r="NA33" s="143"/>
      <c r="NB33" s="143"/>
      <c r="NC33" s="143"/>
      <c r="ND33" s="143"/>
      <c r="NE33" s="143"/>
      <c r="NF33" s="143"/>
      <c r="NG33" s="143"/>
      <c r="NH33" s="143"/>
      <c r="NI33" s="143"/>
      <c r="NJ33" s="143"/>
      <c r="NK33" s="143"/>
      <c r="NL33" s="143"/>
      <c r="NM33" s="143"/>
      <c r="NN33" s="143"/>
      <c r="NO33" s="143"/>
      <c r="NP33" s="143"/>
      <c r="NQ33" s="143"/>
      <c r="NR33" s="143"/>
      <c r="NS33" s="143"/>
      <c r="NT33" s="143"/>
      <c r="NU33" s="143"/>
      <c r="NV33" s="143"/>
      <c r="NW33" s="143"/>
      <c r="NX33" s="143"/>
      <c r="NY33" s="143"/>
      <c r="NZ33" s="143"/>
      <c r="OA33" s="143"/>
      <c r="OB33" s="143"/>
      <c r="OC33" s="143"/>
      <c r="OD33" s="143"/>
      <c r="OE33" s="143"/>
      <c r="OF33" s="143"/>
      <c r="OG33" s="143"/>
      <c r="OH33" s="143"/>
      <c r="OI33" s="143"/>
      <c r="OJ33" s="143"/>
      <c r="OK33" s="143"/>
      <c r="OL33" s="143"/>
      <c r="OM33" s="143"/>
      <c r="ON33" s="143"/>
      <c r="OO33" s="143"/>
      <c r="OP33" s="143"/>
      <c r="OQ33" s="143"/>
      <c r="OR33" s="143"/>
      <c r="OS33" s="143"/>
      <c r="OT33" s="143"/>
      <c r="OU33" s="143"/>
      <c r="OV33" s="143"/>
      <c r="OW33" s="143"/>
      <c r="OX33" s="143"/>
      <c r="OY33" s="143"/>
      <c r="OZ33" s="143"/>
      <c r="PA33" s="143"/>
      <c r="PB33" s="143"/>
      <c r="PC33" s="143"/>
      <c r="PD33" s="143"/>
      <c r="PE33" s="143"/>
      <c r="PF33" s="143"/>
      <c r="PG33" s="143"/>
      <c r="PH33" s="143"/>
      <c r="PI33" s="143"/>
      <c r="PJ33" s="143"/>
      <c r="PK33" s="143"/>
      <c r="PL33" s="143"/>
      <c r="PM33" s="143"/>
      <c r="PN33" s="143"/>
      <c r="PO33" s="143"/>
      <c r="PP33" s="143"/>
      <c r="PQ33" s="143"/>
      <c r="PR33" s="143"/>
      <c r="PS33" s="143"/>
      <c r="PT33" s="143"/>
      <c r="PU33" s="143"/>
      <c r="PV33" s="143"/>
      <c r="PW33" s="143"/>
      <c r="PX33" s="143"/>
      <c r="PY33" s="143"/>
      <c r="PZ33" s="143"/>
      <c r="QA33" s="143"/>
      <c r="QB33" s="143"/>
      <c r="QC33" s="143"/>
      <c r="QD33" s="143"/>
      <c r="QE33" s="143"/>
      <c r="QF33" s="143"/>
      <c r="QG33" s="143"/>
      <c r="QH33" s="143"/>
      <c r="QI33" s="143"/>
      <c r="QJ33" s="143"/>
      <c r="QK33" s="143"/>
      <c r="QL33" s="143"/>
      <c r="QM33" s="143"/>
      <c r="QN33" s="143"/>
      <c r="QO33" s="143"/>
      <c r="QP33" s="143"/>
      <c r="QQ33" s="143"/>
      <c r="QR33" s="143"/>
      <c r="QS33" s="143"/>
      <c r="QT33" s="143"/>
      <c r="QU33" s="143"/>
      <c r="QV33" s="143"/>
      <c r="QW33" s="143"/>
      <c r="QX33" s="143"/>
      <c r="QY33" s="143"/>
      <c r="QZ33" s="143"/>
      <c r="RA33" s="143"/>
      <c r="RB33" s="143"/>
      <c r="RC33" s="143"/>
      <c r="RD33" s="143"/>
      <c r="RE33" s="143"/>
      <c r="RF33" s="143"/>
      <c r="RG33" s="143"/>
      <c r="RH33" s="143"/>
      <c r="RI33" s="143"/>
      <c r="RJ33" s="143"/>
      <c r="RK33" s="143"/>
      <c r="RL33" s="143"/>
      <c r="RM33" s="143"/>
      <c r="RN33" s="143"/>
      <c r="RO33" s="143"/>
      <c r="RP33" s="143"/>
      <c r="RQ33" s="143"/>
      <c r="RR33" s="143"/>
      <c r="RS33" s="143"/>
      <c r="RT33" s="143"/>
      <c r="RU33" s="143"/>
      <c r="RV33" s="143"/>
      <c r="RW33" s="143"/>
      <c r="RX33" s="143"/>
      <c r="RY33" s="143"/>
      <c r="RZ33" s="143"/>
      <c r="SA33" s="143"/>
      <c r="SB33" s="143"/>
      <c r="SC33" s="143"/>
      <c r="SD33" s="143"/>
      <c r="SE33" s="143"/>
      <c r="SF33" s="143"/>
      <c r="SG33" s="143"/>
      <c r="SH33" s="143"/>
      <c r="SI33" s="143"/>
      <c r="SJ33" s="143"/>
      <c r="SK33" s="143"/>
      <c r="SL33" s="143"/>
      <c r="SM33" s="143"/>
      <c r="SN33" s="143"/>
      <c r="SO33" s="143"/>
      <c r="SP33" s="143"/>
      <c r="SQ33" s="143"/>
      <c r="SR33" s="143"/>
      <c r="SS33" s="143"/>
      <c r="ST33" s="143"/>
      <c r="SU33" s="143"/>
      <c r="SV33" s="143"/>
      <c r="SW33" s="143"/>
      <c r="SX33" s="143"/>
      <c r="SY33" s="143"/>
      <c r="SZ33" s="143"/>
      <c r="TA33" s="143"/>
      <c r="TB33" s="143"/>
      <c r="TC33" s="143"/>
      <c r="TD33" s="143"/>
      <c r="TE33" s="143"/>
      <c r="TF33" s="143"/>
      <c r="TG33" s="143"/>
      <c r="TH33" s="143"/>
      <c r="TI33" s="143"/>
      <c r="TJ33" s="143"/>
      <c r="TK33" s="143"/>
      <c r="TL33" s="143"/>
      <c r="TM33" s="143"/>
      <c r="TN33" s="143"/>
      <c r="TO33" s="143"/>
      <c r="TP33" s="143"/>
      <c r="TQ33" s="143"/>
      <c r="TR33" s="143"/>
      <c r="TS33" s="143"/>
      <c r="TT33" s="143"/>
      <c r="TU33" s="143"/>
      <c r="TV33" s="143"/>
      <c r="TW33" s="143"/>
      <c r="TX33" s="143"/>
      <c r="TY33" s="143"/>
      <c r="TZ33" s="143"/>
      <c r="UA33" s="143"/>
      <c r="UB33" s="143"/>
      <c r="UC33" s="143"/>
      <c r="UD33" s="143"/>
      <c r="UE33" s="143"/>
      <c r="UF33" s="143"/>
      <c r="UG33" s="143"/>
      <c r="UH33" s="143"/>
      <c r="UI33" s="143"/>
      <c r="UJ33" s="143"/>
      <c r="UK33" s="143"/>
      <c r="UL33" s="143"/>
      <c r="UM33" s="143"/>
      <c r="UN33" s="143"/>
      <c r="UO33" s="143"/>
      <c r="UP33" s="143"/>
      <c r="UQ33" s="143"/>
      <c r="UR33" s="143"/>
      <c r="US33" s="143"/>
      <c r="UT33" s="143"/>
      <c r="UU33" s="143"/>
      <c r="UV33" s="143"/>
      <c r="UW33" s="143"/>
      <c r="UX33" s="143"/>
      <c r="UY33" s="143"/>
      <c r="UZ33" s="143"/>
      <c r="VA33" s="143"/>
      <c r="VB33" s="143"/>
      <c r="VC33" s="143"/>
      <c r="VD33" s="143"/>
      <c r="VE33" s="143"/>
      <c r="VF33" s="143"/>
      <c r="VG33" s="143"/>
      <c r="VH33" s="143"/>
      <c r="VI33" s="143"/>
      <c r="VJ33" s="143"/>
      <c r="VK33" s="143"/>
      <c r="VL33" s="143"/>
      <c r="VM33" s="143"/>
      <c r="VN33" s="143"/>
      <c r="VO33" s="143"/>
      <c r="VP33" s="143"/>
      <c r="VQ33" s="143"/>
      <c r="VR33" s="143"/>
      <c r="VS33" s="143"/>
      <c r="VT33" s="143"/>
      <c r="VU33" s="143"/>
      <c r="VV33" s="143"/>
      <c r="VW33" s="143"/>
      <c r="VX33" s="143"/>
      <c r="VY33" s="143"/>
      <c r="VZ33" s="143"/>
      <c r="WA33" s="143"/>
      <c r="WB33" s="143"/>
      <c r="WC33" s="143"/>
      <c r="WD33" s="143"/>
      <c r="WE33" s="143"/>
      <c r="WF33" s="143"/>
      <c r="WG33" s="143"/>
      <c r="WH33" s="143"/>
      <c r="WI33" s="143"/>
      <c r="WJ33" s="143"/>
      <c r="WK33" s="143"/>
      <c r="WL33" s="143"/>
      <c r="WM33" s="143"/>
      <c r="WN33" s="143"/>
      <c r="WO33" s="143"/>
      <c r="WP33" s="143"/>
      <c r="WQ33" s="143"/>
      <c r="WR33" s="143"/>
      <c r="WS33" s="143"/>
      <c r="WT33" s="143"/>
      <c r="WU33" s="143"/>
      <c r="WV33" s="143"/>
      <c r="WW33" s="143"/>
      <c r="WX33" s="143"/>
      <c r="WY33" s="143"/>
      <c r="WZ33" s="143"/>
      <c r="XA33" s="143"/>
      <c r="XB33" s="143"/>
      <c r="XC33" s="143"/>
      <c r="XD33" s="143"/>
      <c r="XE33" s="143"/>
      <c r="XF33" s="143"/>
      <c r="XG33" s="143"/>
      <c r="XH33" s="143"/>
      <c r="XI33" s="143"/>
      <c r="XJ33" s="143"/>
      <c r="XK33" s="143"/>
      <c r="XL33" s="143"/>
      <c r="XM33" s="143"/>
      <c r="XN33" s="143"/>
      <c r="XO33" s="143"/>
      <c r="XP33" s="143"/>
      <c r="XQ33" s="143"/>
      <c r="XR33" s="143"/>
      <c r="XS33" s="143"/>
      <c r="XT33" s="143"/>
      <c r="XU33" s="143"/>
      <c r="XV33" s="143"/>
      <c r="XW33" s="143"/>
      <c r="XX33" s="143"/>
      <c r="XY33" s="143"/>
      <c r="XZ33" s="143"/>
      <c r="YA33" s="143"/>
      <c r="YB33" s="143"/>
      <c r="YC33" s="143"/>
      <c r="YD33" s="143"/>
      <c r="YE33" s="143"/>
      <c r="YF33" s="143"/>
      <c r="YG33" s="143"/>
      <c r="YH33" s="143"/>
      <c r="YI33" s="143"/>
      <c r="YJ33" s="143"/>
      <c r="YK33" s="143"/>
      <c r="YL33" s="143"/>
      <c r="YM33" s="143"/>
      <c r="YN33" s="143"/>
      <c r="YO33" s="143"/>
      <c r="YP33" s="143"/>
      <c r="YQ33" s="143"/>
      <c r="YR33" s="143"/>
      <c r="YS33" s="143"/>
      <c r="YT33" s="143"/>
      <c r="YU33" s="143"/>
      <c r="YV33" s="143"/>
      <c r="YW33" s="143"/>
      <c r="YX33" s="143"/>
      <c r="YY33" s="143"/>
      <c r="YZ33" s="143"/>
      <c r="ZA33" s="143"/>
      <c r="ZB33" s="143"/>
      <c r="ZC33" s="143"/>
      <c r="ZD33" s="143"/>
      <c r="ZE33" s="143"/>
      <c r="ZF33" s="143"/>
      <c r="ZG33" s="143"/>
      <c r="ZH33" s="143"/>
      <c r="ZI33" s="143"/>
      <c r="ZJ33" s="143"/>
      <c r="ZK33" s="143"/>
      <c r="ZL33" s="143"/>
      <c r="ZM33" s="143"/>
      <c r="ZN33" s="143"/>
      <c r="ZO33" s="143"/>
      <c r="ZP33" s="143"/>
      <c r="ZQ33" s="143"/>
      <c r="ZR33" s="143"/>
      <c r="ZS33" s="143"/>
      <c r="ZT33" s="143"/>
      <c r="ZU33" s="143"/>
      <c r="ZV33" s="143"/>
      <c r="ZW33" s="143"/>
      <c r="ZX33" s="143"/>
      <c r="ZY33" s="143"/>
      <c r="ZZ33" s="143"/>
      <c r="AAA33" s="143"/>
      <c r="AAB33" s="143"/>
      <c r="AAC33" s="143"/>
      <c r="AAD33" s="143"/>
      <c r="AAE33" s="143"/>
      <c r="AAF33" s="143"/>
      <c r="AAG33" s="143"/>
      <c r="AAH33" s="143"/>
      <c r="AAI33" s="143"/>
      <c r="AAJ33" s="143"/>
      <c r="AAK33" s="143"/>
      <c r="AAL33" s="143"/>
      <c r="AAM33" s="143"/>
      <c r="AAN33" s="143"/>
      <c r="AAO33" s="143"/>
      <c r="AAP33" s="143"/>
      <c r="AAQ33" s="143"/>
      <c r="AAR33" s="143"/>
      <c r="AAS33" s="143"/>
      <c r="AAT33" s="143"/>
      <c r="AAU33" s="143"/>
      <c r="AAV33" s="143"/>
      <c r="AAW33" s="143"/>
      <c r="AAX33" s="143"/>
      <c r="AAY33" s="143"/>
      <c r="AAZ33" s="143"/>
      <c r="ABA33" s="143"/>
      <c r="ABB33" s="143"/>
      <c r="ABC33" s="143"/>
      <c r="ABD33" s="143"/>
      <c r="ABE33" s="143"/>
      <c r="ABF33" s="143"/>
      <c r="ABG33" s="143"/>
      <c r="ABH33" s="143"/>
      <c r="ABI33" s="143"/>
      <c r="ABJ33" s="143"/>
      <c r="ABK33" s="143"/>
      <c r="ABL33" s="143"/>
      <c r="ABM33" s="143"/>
      <c r="ABN33" s="143"/>
      <c r="ABO33" s="143"/>
      <c r="ABP33" s="143"/>
      <c r="ABQ33" s="143"/>
      <c r="ABR33" s="143"/>
      <c r="ABS33" s="143"/>
      <c r="ABT33" s="143"/>
      <c r="ABU33" s="143"/>
      <c r="ABV33" s="143"/>
      <c r="ABW33" s="143"/>
      <c r="ABX33" s="143"/>
      <c r="ABY33" s="143"/>
      <c r="ABZ33" s="143"/>
      <c r="ACA33" s="143"/>
      <c r="ACB33" s="143"/>
      <c r="ACC33" s="143"/>
      <c r="ACD33" s="143"/>
      <c r="ACE33" s="143"/>
      <c r="ACF33" s="143"/>
      <c r="ACG33" s="143"/>
      <c r="ACH33" s="143"/>
      <c r="ACI33" s="143"/>
      <c r="ACJ33" s="143"/>
      <c r="ACK33" s="143"/>
      <c r="ACL33" s="143"/>
      <c r="ACM33" s="143"/>
      <c r="ACN33" s="143"/>
      <c r="ACO33" s="143"/>
      <c r="ACP33" s="143"/>
      <c r="ACQ33" s="143"/>
      <c r="ACR33" s="143"/>
      <c r="ACS33" s="143"/>
      <c r="ACT33" s="143"/>
      <c r="ACU33" s="143"/>
      <c r="ACV33" s="143"/>
      <c r="ACW33" s="143"/>
      <c r="ACX33" s="143"/>
      <c r="ACY33" s="143"/>
      <c r="ACZ33" s="143"/>
      <c r="ADA33" s="143"/>
      <c r="ADB33" s="143"/>
      <c r="ADC33" s="143"/>
      <c r="ADD33" s="143"/>
      <c r="ADE33" s="143"/>
      <c r="ADF33" s="143"/>
      <c r="ADG33" s="143"/>
      <c r="ADH33" s="143"/>
      <c r="ADI33" s="143"/>
      <c r="ADJ33" s="143"/>
      <c r="ADK33" s="143"/>
      <c r="ADL33" s="143"/>
      <c r="ADM33" s="143"/>
      <c r="ADN33" s="143"/>
      <c r="ADO33" s="143"/>
      <c r="ADP33" s="143"/>
      <c r="ADQ33" s="143"/>
      <c r="ADR33" s="143"/>
      <c r="ADS33" s="143"/>
      <c r="ADT33" s="143"/>
      <c r="ADU33" s="143"/>
      <c r="ADV33" s="143"/>
      <c r="ADW33" s="143"/>
      <c r="ADX33" s="143"/>
      <c r="ADY33" s="143"/>
      <c r="ADZ33" s="143"/>
      <c r="AEA33" s="143"/>
      <c r="AEB33" s="143"/>
      <c r="AEC33" s="143"/>
      <c r="AED33" s="143"/>
      <c r="AEE33" s="143"/>
      <c r="AEF33" s="143"/>
      <c r="AEG33" s="143"/>
      <c r="AEH33" s="143"/>
      <c r="AEI33" s="143"/>
      <c r="AEJ33" s="143"/>
      <c r="AEK33" s="143"/>
      <c r="AEL33" s="143"/>
      <c r="AEM33" s="143"/>
      <c r="AEN33" s="143"/>
      <c r="AEO33" s="143"/>
      <c r="AEP33" s="143"/>
      <c r="AEQ33" s="143"/>
      <c r="AER33" s="143"/>
      <c r="AES33" s="143"/>
      <c r="AET33" s="143"/>
      <c r="AEU33" s="143"/>
      <c r="AEV33" s="143"/>
      <c r="AEW33" s="143"/>
      <c r="AEX33" s="143"/>
      <c r="AEY33" s="143"/>
      <c r="AEZ33" s="143"/>
      <c r="AFA33" s="143"/>
      <c r="AFB33" s="143"/>
      <c r="AFC33" s="143"/>
      <c r="AFD33" s="143"/>
      <c r="AFE33" s="143"/>
      <c r="AFF33" s="143"/>
      <c r="AFG33" s="143"/>
      <c r="AFH33" s="143"/>
      <c r="AFI33" s="143"/>
      <c r="AFJ33" s="143"/>
      <c r="AFK33" s="143"/>
      <c r="AFL33" s="143"/>
      <c r="AFM33" s="143"/>
      <c r="AFN33" s="143"/>
      <c r="AFO33" s="143"/>
      <c r="AFP33" s="143"/>
      <c r="AFQ33" s="143"/>
      <c r="AFR33" s="143"/>
      <c r="AFS33" s="143"/>
      <c r="AFT33" s="143"/>
      <c r="AFU33" s="143"/>
      <c r="AFV33" s="143"/>
      <c r="AFW33" s="143"/>
      <c r="AFX33" s="143"/>
      <c r="AFY33" s="143"/>
      <c r="AFZ33" s="143"/>
      <c r="AGA33" s="143"/>
      <c r="AGB33" s="143"/>
      <c r="AGC33" s="143"/>
      <c r="AGD33" s="143"/>
      <c r="AGE33" s="143"/>
      <c r="AGF33" s="143"/>
      <c r="AGG33" s="143"/>
      <c r="AGH33" s="143"/>
      <c r="AGI33" s="143"/>
      <c r="AGJ33" s="143"/>
      <c r="AGK33" s="143"/>
      <c r="AGL33" s="143"/>
      <c r="AGM33" s="143"/>
      <c r="AGN33" s="143"/>
      <c r="AGO33" s="143"/>
      <c r="AGP33" s="143"/>
      <c r="AGQ33" s="143"/>
      <c r="AGR33" s="143"/>
      <c r="AGS33" s="143"/>
      <c r="AGT33" s="143"/>
      <c r="AGU33" s="143"/>
      <c r="AGV33" s="143"/>
      <c r="AGW33" s="143"/>
      <c r="AGX33" s="143"/>
      <c r="AGY33" s="143"/>
      <c r="AGZ33" s="143"/>
      <c r="AHA33" s="143"/>
      <c r="AHB33" s="143"/>
      <c r="AHC33" s="143"/>
      <c r="AHD33" s="143"/>
      <c r="AHE33" s="143"/>
      <c r="AHF33" s="143"/>
      <c r="AHG33" s="143"/>
      <c r="AHH33" s="143"/>
      <c r="AHI33" s="143"/>
      <c r="AHJ33" s="143"/>
      <c r="AHK33" s="143"/>
      <c r="AHL33" s="143"/>
      <c r="AHM33" s="143"/>
      <c r="AHN33" s="143"/>
      <c r="AHO33" s="143"/>
      <c r="AHP33" s="143"/>
      <c r="AHQ33" s="143"/>
      <c r="AHR33" s="143"/>
      <c r="AHS33" s="143"/>
      <c r="AHT33" s="143"/>
      <c r="AHU33" s="143"/>
      <c r="AHV33" s="143"/>
      <c r="AHW33" s="143"/>
      <c r="AHX33" s="143"/>
      <c r="AHY33" s="143"/>
      <c r="AHZ33" s="143"/>
      <c r="AIA33" s="143"/>
      <c r="AIB33" s="143"/>
      <c r="AIC33" s="143"/>
      <c r="AID33" s="143"/>
      <c r="AIE33" s="143"/>
      <c r="AIF33" s="143"/>
      <c r="AIG33" s="143"/>
      <c r="AIH33" s="143"/>
      <c r="AII33" s="143"/>
      <c r="AIJ33" s="143"/>
      <c r="AIK33" s="143"/>
      <c r="AIL33" s="143"/>
      <c r="AIM33" s="143"/>
      <c r="AIN33" s="143"/>
      <c r="AIO33" s="143"/>
      <c r="AIP33" s="143"/>
      <c r="AIQ33" s="143"/>
      <c r="AIR33" s="143"/>
      <c r="AIS33" s="143"/>
      <c r="AIT33" s="143"/>
      <c r="AIU33" s="143"/>
      <c r="AIV33" s="143"/>
      <c r="AIW33" s="143"/>
      <c r="AIX33" s="143"/>
      <c r="AIY33" s="143"/>
      <c r="AIZ33" s="143"/>
      <c r="AJA33" s="143"/>
      <c r="AJB33" s="143"/>
      <c r="AJC33" s="143"/>
      <c r="AJD33" s="143"/>
      <c r="AJE33" s="143"/>
      <c r="AJF33" s="143"/>
      <c r="AJG33" s="143"/>
      <c r="AJH33" s="143"/>
      <c r="AJI33" s="143"/>
      <c r="AJJ33" s="143"/>
      <c r="AJK33" s="143"/>
      <c r="AJL33" s="143"/>
      <c r="AJM33" s="143"/>
      <c r="AJN33" s="143"/>
      <c r="AJO33" s="143"/>
      <c r="AJP33" s="143"/>
      <c r="AJQ33" s="143"/>
      <c r="AJR33" s="143"/>
      <c r="AJS33" s="143"/>
      <c r="AJT33" s="143"/>
      <c r="AJU33" s="143"/>
      <c r="AJV33" s="143"/>
      <c r="AJW33" s="143"/>
      <c r="AJX33" s="143"/>
      <c r="AJY33" s="143"/>
      <c r="AJZ33" s="143"/>
      <c r="AKA33" s="143"/>
      <c r="AKB33" s="143"/>
      <c r="AKC33" s="143"/>
      <c r="AKD33" s="143"/>
      <c r="AKE33" s="143"/>
      <c r="AKF33" s="143"/>
      <c r="AKG33" s="143"/>
      <c r="AKH33" s="143"/>
      <c r="AKI33" s="143"/>
      <c r="AKJ33" s="143"/>
      <c r="AKK33" s="143"/>
      <c r="AKL33" s="143"/>
      <c r="AKM33" s="143"/>
      <c r="AKN33" s="143"/>
      <c r="AKO33" s="143"/>
      <c r="AKP33" s="143"/>
      <c r="AKQ33" s="143"/>
      <c r="AKR33" s="143"/>
      <c r="AKS33" s="143"/>
      <c r="AKT33" s="143"/>
      <c r="AKU33" s="143"/>
      <c r="AKV33" s="143"/>
      <c r="AKW33" s="143"/>
      <c r="AKX33" s="143"/>
      <c r="AKY33" s="143"/>
      <c r="AKZ33" s="143"/>
      <c r="ALA33" s="143"/>
      <c r="ALB33" s="143"/>
      <c r="ALC33" s="143"/>
      <c r="ALD33" s="143"/>
      <c r="ALE33" s="143"/>
      <c r="ALF33" s="143"/>
      <c r="ALG33" s="143"/>
      <c r="ALH33" s="143"/>
      <c r="ALI33" s="143"/>
      <c r="ALJ33" s="143"/>
      <c r="ALK33" s="143"/>
      <c r="ALL33" s="143"/>
      <c r="ALM33" s="143"/>
      <c r="ALN33" s="143"/>
      <c r="ALO33" s="143"/>
      <c r="ALP33" s="143"/>
      <c r="ALQ33" s="143"/>
      <c r="ALR33" s="143"/>
      <c r="ALS33" s="143"/>
      <c r="ALT33" s="143"/>
      <c r="ALU33" s="143"/>
      <c r="ALV33" s="143"/>
      <c r="ALW33" s="143"/>
      <c r="ALX33" s="143"/>
      <c r="ALY33" s="143"/>
      <c r="ALZ33" s="143"/>
      <c r="AMA33" s="143"/>
      <c r="AMB33" s="143"/>
      <c r="AMC33" s="143"/>
      <c r="AMD33" s="143"/>
      <c r="AME33" s="143"/>
      <c r="AMF33" s="143"/>
      <c r="AMG33" s="143"/>
      <c r="AMH33" s="143"/>
      <c r="AMI33" s="143"/>
      <c r="AMJ33" s="143"/>
      <c r="AMK33" s="143"/>
      <c r="AML33" s="143"/>
      <c r="AMM33" s="143"/>
      <c r="AMN33" s="143"/>
      <c r="AMO33" s="143"/>
      <c r="AMP33" s="143"/>
      <c r="AMQ33" s="143"/>
      <c r="AMR33" s="143"/>
      <c r="AMS33" s="143"/>
      <c r="AMT33" s="143"/>
      <c r="AMU33" s="143"/>
      <c r="AMV33" s="143"/>
      <c r="AMW33" s="143"/>
      <c r="AMX33" s="143"/>
      <c r="AMY33" s="143"/>
      <c r="AMZ33" s="143"/>
      <c r="ANA33" s="143"/>
      <c r="ANB33" s="143"/>
      <c r="ANC33" s="143"/>
      <c r="AND33" s="143"/>
      <c r="ANE33" s="143"/>
      <c r="ANF33" s="143"/>
      <c r="ANG33" s="143"/>
      <c r="ANH33" s="143"/>
      <c r="ANI33" s="143"/>
      <c r="ANJ33" s="143"/>
      <c r="ANK33" s="143"/>
      <c r="ANL33" s="143"/>
      <c r="ANM33" s="143"/>
      <c r="ANN33" s="143"/>
      <c r="ANO33" s="143"/>
      <c r="ANP33" s="143"/>
      <c r="ANQ33" s="143"/>
      <c r="ANR33" s="143"/>
      <c r="ANS33" s="143"/>
      <c r="ANT33" s="143"/>
      <c r="ANU33" s="143"/>
      <c r="ANV33" s="143"/>
      <c r="ANW33" s="143"/>
      <c r="ANX33" s="143"/>
      <c r="ANY33" s="143"/>
      <c r="ANZ33" s="143"/>
      <c r="AOA33" s="143"/>
      <c r="AOB33" s="143"/>
      <c r="AOC33" s="143"/>
      <c r="AOD33" s="143"/>
      <c r="AOE33" s="143"/>
      <c r="AOF33" s="143"/>
      <c r="AOG33" s="143"/>
      <c r="AOH33" s="143"/>
      <c r="AOI33" s="143"/>
      <c r="AOJ33" s="143"/>
      <c r="AOK33" s="143"/>
      <c r="AOL33" s="143"/>
      <c r="AOM33" s="143"/>
      <c r="AON33" s="143"/>
      <c r="AOO33" s="143"/>
      <c r="AOP33" s="143"/>
      <c r="AOQ33" s="143"/>
      <c r="AOR33" s="143"/>
      <c r="AOS33" s="143"/>
      <c r="AOT33" s="143"/>
      <c r="AOU33" s="143"/>
      <c r="AOV33" s="143"/>
      <c r="AOW33" s="143"/>
      <c r="AOX33" s="143"/>
      <c r="AOY33" s="143"/>
      <c r="AOZ33" s="143"/>
      <c r="APA33" s="143"/>
      <c r="APB33" s="143"/>
      <c r="APC33" s="143"/>
      <c r="APD33" s="143"/>
      <c r="APE33" s="143"/>
      <c r="APF33" s="143"/>
      <c r="APG33" s="143"/>
      <c r="APH33" s="143"/>
      <c r="API33" s="143"/>
      <c r="APJ33" s="143"/>
      <c r="APK33" s="143"/>
      <c r="APL33" s="143"/>
      <c r="APM33" s="143"/>
      <c r="APN33" s="143"/>
      <c r="APO33" s="143"/>
      <c r="APP33" s="143"/>
      <c r="APQ33" s="143"/>
      <c r="APR33" s="143"/>
      <c r="APS33" s="143"/>
      <c r="APT33" s="143"/>
      <c r="APU33" s="143"/>
      <c r="APV33" s="143"/>
      <c r="APW33" s="143"/>
      <c r="APX33" s="143"/>
      <c r="APY33" s="143"/>
      <c r="APZ33" s="143"/>
      <c r="AQA33" s="143"/>
      <c r="AQB33" s="143"/>
      <c r="AQC33" s="143"/>
      <c r="AQD33" s="143"/>
      <c r="AQE33" s="143"/>
      <c r="AQF33" s="143"/>
      <c r="AQG33" s="143"/>
      <c r="AQH33" s="143"/>
      <c r="AQI33" s="143"/>
      <c r="AQJ33" s="143"/>
      <c r="AQK33" s="143"/>
      <c r="AQL33" s="143"/>
      <c r="AQM33" s="143"/>
      <c r="AQN33" s="143"/>
      <c r="AQO33" s="143"/>
      <c r="AQP33" s="143"/>
      <c r="AQQ33" s="143"/>
      <c r="AQR33" s="143"/>
      <c r="AQS33" s="143"/>
      <c r="AQT33" s="143"/>
      <c r="AQU33" s="143"/>
      <c r="AQV33" s="143"/>
      <c r="AQW33" s="143"/>
      <c r="AQX33" s="143"/>
      <c r="AQY33" s="143"/>
      <c r="AQZ33" s="143"/>
      <c r="ARA33" s="143"/>
      <c r="ARB33" s="143"/>
      <c r="ARC33" s="143"/>
      <c r="ARD33" s="143"/>
      <c r="ARE33" s="143"/>
      <c r="ARF33" s="143"/>
      <c r="ARG33" s="143"/>
      <c r="ARH33" s="143"/>
      <c r="ARI33" s="143"/>
      <c r="ARJ33" s="143"/>
      <c r="ARK33" s="143"/>
      <c r="ARL33" s="143"/>
      <c r="ARM33" s="143"/>
      <c r="ARN33" s="143"/>
      <c r="ARO33" s="143"/>
      <c r="ARP33" s="143"/>
      <c r="ARQ33" s="143"/>
      <c r="ARR33" s="143"/>
      <c r="ARS33" s="143"/>
      <c r="ART33" s="143"/>
      <c r="ARU33" s="143"/>
      <c r="ARV33" s="143"/>
      <c r="ARW33" s="143"/>
      <c r="ARX33" s="143"/>
      <c r="ARY33" s="143"/>
      <c r="ARZ33" s="143"/>
      <c r="ASA33" s="143"/>
      <c r="ASB33" s="143"/>
      <c r="ASC33" s="143"/>
      <c r="ASD33" s="143"/>
      <c r="ASE33" s="143"/>
      <c r="ASF33" s="143"/>
      <c r="ASG33" s="143"/>
      <c r="ASH33" s="143"/>
      <c r="ASI33" s="143"/>
      <c r="ASJ33" s="143"/>
      <c r="ASK33" s="143"/>
      <c r="ASL33" s="143"/>
      <c r="ASM33" s="143"/>
      <c r="ASN33" s="143"/>
      <c r="ASO33" s="143"/>
      <c r="ASP33" s="143"/>
      <c r="ASQ33" s="143"/>
      <c r="ASR33" s="143"/>
      <c r="ASS33" s="143"/>
      <c r="AST33" s="143"/>
      <c r="ASU33" s="143"/>
      <c r="ASV33" s="143"/>
      <c r="ASW33" s="143"/>
      <c r="ASX33" s="143"/>
      <c r="ASY33" s="143"/>
      <c r="ASZ33" s="143"/>
      <c r="ATA33" s="143"/>
      <c r="ATB33" s="143"/>
      <c r="ATC33" s="143"/>
      <c r="ATD33" s="143"/>
      <c r="ATE33" s="143"/>
      <c r="ATF33" s="143"/>
      <c r="ATG33" s="143"/>
      <c r="ATH33" s="143"/>
      <c r="ATI33" s="143"/>
      <c r="ATJ33" s="143"/>
      <c r="ATK33" s="143"/>
      <c r="ATL33" s="143"/>
      <c r="ATM33" s="143"/>
      <c r="ATN33" s="143"/>
      <c r="ATO33" s="143"/>
      <c r="ATP33" s="143"/>
      <c r="ATQ33" s="143"/>
      <c r="ATR33" s="143"/>
      <c r="ATS33" s="143"/>
      <c r="ATT33" s="143"/>
      <c r="ATU33" s="143"/>
      <c r="ATV33" s="143"/>
      <c r="ATW33" s="143"/>
      <c r="ATX33" s="143"/>
      <c r="ATY33" s="143"/>
      <c r="ATZ33" s="143"/>
      <c r="AUA33" s="143"/>
      <c r="AUB33" s="143"/>
      <c r="AUC33" s="143"/>
      <c r="AUD33" s="143"/>
      <c r="AUE33" s="143"/>
      <c r="AUF33" s="143"/>
      <c r="AUG33" s="143"/>
      <c r="AUH33" s="143"/>
      <c r="AUI33" s="143"/>
      <c r="AUJ33" s="143"/>
      <c r="AUK33" s="143"/>
      <c r="AUL33" s="143"/>
      <c r="AUM33" s="143"/>
      <c r="AUN33" s="143"/>
      <c r="AUO33" s="143"/>
      <c r="AUP33" s="143"/>
      <c r="AUQ33" s="143"/>
      <c r="AUR33" s="143"/>
      <c r="AUS33" s="143"/>
      <c r="AUT33" s="143"/>
      <c r="AUU33" s="143"/>
      <c r="AUV33" s="143"/>
      <c r="AUW33" s="143"/>
      <c r="AUX33" s="143"/>
      <c r="AUY33" s="143"/>
      <c r="AUZ33" s="143"/>
      <c r="AVA33" s="143"/>
      <c r="AVB33" s="143"/>
      <c r="AVC33" s="143"/>
      <c r="AVD33" s="143"/>
      <c r="AVE33" s="143"/>
      <c r="AVF33" s="143"/>
      <c r="AVG33" s="143"/>
      <c r="AVH33" s="143"/>
      <c r="AVI33" s="143"/>
      <c r="AVJ33" s="143"/>
      <c r="AVK33" s="143"/>
      <c r="AVL33" s="143"/>
      <c r="AVM33" s="143"/>
      <c r="AVN33" s="143"/>
      <c r="AVO33" s="143"/>
      <c r="AVP33" s="143"/>
      <c r="AVQ33" s="143"/>
      <c r="AVR33" s="143"/>
      <c r="AVS33" s="143"/>
      <c r="AVT33" s="143"/>
      <c r="AVU33" s="143"/>
      <c r="AVV33" s="143"/>
      <c r="AVW33" s="143"/>
      <c r="AVX33" s="143"/>
      <c r="AVY33" s="143"/>
      <c r="AVZ33" s="143"/>
      <c r="AWA33" s="143"/>
      <c r="AWB33" s="143"/>
      <c r="AWC33" s="143"/>
      <c r="AWD33" s="143"/>
      <c r="AWE33" s="143"/>
      <c r="AWF33" s="143"/>
      <c r="AWG33" s="143"/>
      <c r="AWH33" s="143"/>
      <c r="AWI33" s="143"/>
      <c r="AWJ33" s="143"/>
      <c r="AWK33" s="143"/>
      <c r="AWL33" s="143"/>
      <c r="AWM33" s="143"/>
      <c r="AWN33" s="143"/>
      <c r="AWO33" s="143"/>
      <c r="AWP33" s="143"/>
      <c r="AWQ33" s="143"/>
      <c r="AWR33" s="143"/>
      <c r="AWS33" s="143"/>
      <c r="AWT33" s="143"/>
      <c r="AWU33" s="143"/>
      <c r="AWV33" s="143"/>
      <c r="AWW33" s="143"/>
      <c r="AWX33" s="143"/>
      <c r="AWY33" s="143"/>
      <c r="AWZ33" s="143"/>
      <c r="AXA33" s="143"/>
      <c r="AXB33" s="143"/>
      <c r="AXC33" s="143"/>
      <c r="AXD33" s="143"/>
      <c r="AXE33" s="143"/>
      <c r="AXF33" s="143"/>
      <c r="AXG33" s="143"/>
      <c r="AXH33" s="143"/>
      <c r="AXI33" s="143"/>
      <c r="AXJ33" s="143"/>
      <c r="AXK33" s="143"/>
      <c r="AXL33" s="143"/>
      <c r="AXM33" s="143"/>
      <c r="AXN33" s="143"/>
      <c r="AXO33" s="143"/>
      <c r="AXP33" s="143"/>
      <c r="AXQ33" s="143"/>
      <c r="AXR33" s="143"/>
      <c r="AXS33" s="143"/>
      <c r="AXT33" s="143"/>
      <c r="AXU33" s="143"/>
      <c r="AXV33" s="143"/>
      <c r="AXW33" s="143"/>
      <c r="AXX33" s="143"/>
      <c r="AXY33" s="143"/>
      <c r="AXZ33" s="143"/>
      <c r="AYA33" s="143"/>
      <c r="AYB33" s="143"/>
      <c r="AYC33" s="143"/>
      <c r="AYD33" s="143"/>
      <c r="AYE33" s="143"/>
      <c r="AYF33" s="143"/>
      <c r="AYG33" s="143"/>
      <c r="AYH33" s="143"/>
      <c r="AYI33" s="143"/>
      <c r="AYJ33" s="143"/>
      <c r="AYK33" s="143"/>
      <c r="AYL33" s="143"/>
      <c r="AYM33" s="143"/>
      <c r="AYN33" s="143"/>
      <c r="AYO33" s="143"/>
      <c r="AYP33" s="143"/>
      <c r="AYQ33" s="143"/>
      <c r="AYR33" s="143"/>
      <c r="AYS33" s="143"/>
      <c r="AYT33" s="143"/>
      <c r="AYU33" s="143"/>
      <c r="AYV33" s="143"/>
      <c r="AYW33" s="143"/>
      <c r="AYX33" s="143"/>
      <c r="AYY33" s="143"/>
      <c r="AYZ33" s="143"/>
      <c r="AZA33" s="143"/>
      <c r="AZB33" s="143"/>
      <c r="AZC33" s="143"/>
      <c r="AZD33" s="143"/>
      <c r="AZE33" s="143"/>
      <c r="AZF33" s="143"/>
      <c r="AZG33" s="143"/>
      <c r="AZH33" s="143"/>
      <c r="AZI33" s="143"/>
      <c r="AZJ33" s="143"/>
      <c r="AZK33" s="143"/>
      <c r="AZL33" s="143"/>
      <c r="AZM33" s="143"/>
      <c r="AZN33" s="143"/>
      <c r="AZO33" s="143"/>
      <c r="AZP33" s="143"/>
      <c r="AZQ33" s="143"/>
      <c r="AZR33" s="143"/>
      <c r="AZS33" s="143"/>
      <c r="AZT33" s="143"/>
      <c r="AZU33" s="143"/>
      <c r="AZV33" s="143"/>
      <c r="AZW33" s="143"/>
      <c r="AZX33" s="143"/>
      <c r="AZY33" s="143"/>
      <c r="AZZ33" s="143"/>
      <c r="BAA33" s="143"/>
      <c r="BAB33" s="143"/>
      <c r="BAC33" s="143"/>
      <c r="BAD33" s="143"/>
      <c r="BAE33" s="143"/>
      <c r="BAF33" s="143"/>
      <c r="BAG33" s="143"/>
      <c r="BAH33" s="143"/>
      <c r="BAI33" s="143"/>
      <c r="BAJ33" s="143"/>
      <c r="BAK33" s="143"/>
      <c r="BAL33" s="143"/>
      <c r="BAM33" s="143"/>
      <c r="BAN33" s="143"/>
      <c r="BAO33" s="143"/>
      <c r="BAP33" s="143"/>
      <c r="BAQ33" s="143"/>
      <c r="BAR33" s="143"/>
      <c r="BAS33" s="143"/>
      <c r="BAT33" s="143"/>
      <c r="BAU33" s="143"/>
      <c r="BAV33" s="143"/>
      <c r="BAW33" s="143"/>
      <c r="BAX33" s="143"/>
      <c r="BAY33" s="143"/>
      <c r="BAZ33" s="143"/>
      <c r="BBA33" s="143"/>
      <c r="BBB33" s="143"/>
      <c r="BBC33" s="143"/>
      <c r="BBD33" s="143"/>
      <c r="BBE33" s="143"/>
      <c r="BBF33" s="143"/>
      <c r="BBG33" s="143"/>
      <c r="BBH33" s="143"/>
      <c r="BBI33" s="143"/>
      <c r="BBJ33" s="143"/>
      <c r="BBK33" s="143"/>
      <c r="BBL33" s="143"/>
      <c r="BBM33" s="143"/>
      <c r="BBN33" s="143"/>
      <c r="BBO33" s="143"/>
      <c r="BBP33" s="143"/>
      <c r="BBQ33" s="143"/>
      <c r="BBR33" s="143"/>
      <c r="BBS33" s="143"/>
      <c r="BBT33" s="143"/>
      <c r="BBU33" s="143"/>
      <c r="BBV33" s="143"/>
      <c r="BBW33" s="143"/>
      <c r="BBX33" s="143"/>
      <c r="BBY33" s="143"/>
      <c r="BBZ33" s="143"/>
      <c r="BCA33" s="143"/>
      <c r="BCB33" s="143"/>
      <c r="BCC33" s="143"/>
      <c r="BCD33" s="143"/>
      <c r="BCE33" s="143"/>
      <c r="BCF33" s="143"/>
      <c r="BCG33" s="143"/>
      <c r="BCH33" s="143"/>
      <c r="BCI33" s="143"/>
      <c r="BCJ33" s="143"/>
      <c r="BCK33" s="143"/>
      <c r="BCL33" s="143"/>
      <c r="BCM33" s="143"/>
      <c r="BCN33" s="143"/>
      <c r="BCO33" s="143"/>
      <c r="BCP33" s="143"/>
      <c r="BCQ33" s="143"/>
      <c r="BCR33" s="143"/>
      <c r="BCS33" s="143"/>
      <c r="BCT33" s="143"/>
      <c r="BCU33" s="143"/>
      <c r="BCV33" s="143"/>
      <c r="BCW33" s="143"/>
      <c r="BCX33" s="143"/>
      <c r="BCY33" s="143"/>
      <c r="BCZ33" s="143"/>
      <c r="BDA33" s="143"/>
      <c r="BDB33" s="143"/>
      <c r="BDC33" s="143"/>
      <c r="BDD33" s="143"/>
      <c r="BDE33" s="143"/>
      <c r="BDF33" s="143"/>
      <c r="BDG33" s="143"/>
      <c r="BDH33" s="143"/>
      <c r="BDI33" s="143"/>
      <c r="BDJ33" s="143"/>
      <c r="BDK33" s="143"/>
      <c r="BDL33" s="143"/>
      <c r="BDM33" s="143"/>
      <c r="BDN33" s="143"/>
      <c r="BDO33" s="143"/>
      <c r="BDP33" s="143"/>
      <c r="BDQ33" s="143"/>
      <c r="BDR33" s="143"/>
      <c r="BDS33" s="143"/>
      <c r="BDT33" s="143"/>
      <c r="BDU33" s="143"/>
      <c r="BDV33" s="143"/>
      <c r="BDW33" s="143"/>
      <c r="BDX33" s="143"/>
      <c r="BDY33" s="143"/>
      <c r="BDZ33" s="143"/>
      <c r="BEA33" s="143"/>
      <c r="BEB33" s="143"/>
      <c r="BEC33" s="143"/>
      <c r="BED33" s="143"/>
      <c r="BEE33" s="143"/>
      <c r="BEF33" s="143"/>
      <c r="BEG33" s="143"/>
      <c r="BEH33" s="143"/>
      <c r="BEI33" s="143"/>
      <c r="BEJ33" s="143"/>
      <c r="BEK33" s="143"/>
      <c r="BEL33" s="143"/>
      <c r="BEM33" s="143"/>
      <c r="BEN33" s="143"/>
      <c r="BEO33" s="143"/>
      <c r="BEP33" s="143"/>
      <c r="BEQ33" s="143"/>
      <c r="BER33" s="143"/>
      <c r="BES33" s="143"/>
      <c r="BET33" s="143"/>
      <c r="BEU33" s="143"/>
      <c r="BEV33" s="143"/>
      <c r="BEW33" s="143"/>
      <c r="BEX33" s="143"/>
      <c r="BEY33" s="143"/>
      <c r="BEZ33" s="143"/>
      <c r="BFA33" s="143"/>
      <c r="BFB33" s="143"/>
      <c r="BFC33" s="143"/>
      <c r="BFD33" s="143"/>
      <c r="BFE33" s="143"/>
      <c r="BFF33" s="143"/>
      <c r="BFG33" s="143"/>
      <c r="BFH33" s="143"/>
      <c r="BFI33" s="143"/>
      <c r="BFJ33" s="143"/>
      <c r="BFK33" s="143"/>
      <c r="BFL33" s="143"/>
      <c r="BFM33" s="143"/>
      <c r="BFN33" s="143"/>
      <c r="BFO33" s="143"/>
      <c r="BFP33" s="143"/>
      <c r="BFQ33" s="143"/>
      <c r="BFR33" s="143"/>
      <c r="BFS33" s="143"/>
      <c r="BFT33" s="143"/>
      <c r="BFU33" s="143"/>
      <c r="BFV33" s="143"/>
      <c r="BFW33" s="143"/>
      <c r="BFX33" s="143"/>
      <c r="BFY33" s="143"/>
      <c r="BFZ33" s="143"/>
      <c r="BGA33" s="143"/>
      <c r="BGB33" s="143"/>
      <c r="BGC33" s="143"/>
      <c r="BGD33" s="143"/>
      <c r="BGE33" s="143"/>
      <c r="BGF33" s="143"/>
      <c r="BGG33" s="143"/>
      <c r="BGH33" s="143"/>
      <c r="BGI33" s="143"/>
      <c r="BGJ33" s="143"/>
      <c r="BGK33" s="143"/>
      <c r="BGL33" s="143"/>
      <c r="BGM33" s="143"/>
      <c r="BGN33" s="143"/>
      <c r="BGO33" s="143"/>
      <c r="BGP33" s="143"/>
      <c r="BGQ33" s="143"/>
      <c r="BGR33" s="143"/>
      <c r="BGS33" s="143"/>
      <c r="BGT33" s="143"/>
      <c r="BGU33" s="143"/>
      <c r="BGV33" s="143"/>
      <c r="BGW33" s="143"/>
      <c r="BGX33" s="143"/>
      <c r="BGY33" s="143"/>
      <c r="BGZ33" s="143"/>
      <c r="BHA33" s="143"/>
      <c r="BHB33" s="143"/>
      <c r="BHC33" s="143"/>
      <c r="BHD33" s="143"/>
      <c r="BHE33" s="143"/>
      <c r="BHF33" s="143"/>
      <c r="BHG33" s="143"/>
      <c r="BHH33" s="143"/>
      <c r="BHI33" s="143"/>
      <c r="BHJ33" s="143"/>
      <c r="BHK33" s="143"/>
      <c r="BHL33" s="143"/>
      <c r="BHM33" s="143"/>
      <c r="BHN33" s="143"/>
      <c r="BHO33" s="143"/>
      <c r="BHP33" s="143"/>
      <c r="BHQ33" s="143"/>
      <c r="BHR33" s="143"/>
      <c r="BHS33" s="143"/>
      <c r="BHT33" s="143"/>
      <c r="BHU33" s="143"/>
      <c r="BHV33" s="143"/>
      <c r="BHW33" s="143"/>
      <c r="BHX33" s="143"/>
      <c r="BHY33" s="143"/>
      <c r="BHZ33" s="143"/>
      <c r="BIA33" s="143"/>
      <c r="BIB33" s="143"/>
      <c r="BIC33" s="143"/>
      <c r="BID33" s="143"/>
      <c r="BIE33" s="143"/>
      <c r="BIF33" s="143"/>
      <c r="BIG33" s="143"/>
      <c r="BIH33" s="143"/>
      <c r="BII33" s="143"/>
      <c r="BIJ33" s="143"/>
      <c r="BIK33" s="143"/>
      <c r="BIL33" s="143"/>
      <c r="BIM33" s="143"/>
      <c r="BIN33" s="143"/>
      <c r="BIO33" s="143"/>
      <c r="BIP33" s="143"/>
      <c r="BIQ33" s="143"/>
      <c r="BIR33" s="143"/>
      <c r="BIS33" s="143"/>
      <c r="BIT33" s="143"/>
      <c r="BIU33" s="143"/>
      <c r="BIV33" s="143"/>
      <c r="BIW33" s="143"/>
      <c r="BIX33" s="143"/>
      <c r="BIY33" s="143"/>
      <c r="BIZ33" s="143"/>
      <c r="BJA33" s="143"/>
      <c r="BJB33" s="143"/>
      <c r="BJC33" s="143"/>
      <c r="BJD33" s="143"/>
      <c r="BJE33" s="143"/>
      <c r="BJF33" s="143"/>
      <c r="BJG33" s="143"/>
      <c r="BJH33" s="143"/>
      <c r="BJI33" s="143"/>
      <c r="BJJ33" s="143"/>
      <c r="BJK33" s="143"/>
      <c r="BJL33" s="143"/>
      <c r="BJM33" s="143"/>
      <c r="BJN33" s="143"/>
      <c r="BJO33" s="143"/>
      <c r="BJP33" s="143"/>
      <c r="BJQ33" s="143"/>
      <c r="BJR33" s="143"/>
      <c r="BJS33" s="143"/>
      <c r="BJT33" s="143"/>
      <c r="BJU33" s="143"/>
      <c r="BJV33" s="143"/>
      <c r="BJW33" s="143"/>
      <c r="BJX33" s="143"/>
      <c r="BJY33" s="143"/>
      <c r="BJZ33" s="143"/>
      <c r="BKA33" s="143"/>
      <c r="BKB33" s="143"/>
      <c r="BKC33" s="143"/>
      <c r="BKD33" s="143"/>
      <c r="BKE33" s="143"/>
      <c r="BKF33" s="143"/>
      <c r="BKG33" s="143"/>
      <c r="BKH33" s="143"/>
      <c r="BKI33" s="143"/>
      <c r="BKJ33" s="143"/>
      <c r="BKK33" s="143"/>
      <c r="BKL33" s="143"/>
      <c r="BKM33" s="143"/>
      <c r="BKN33" s="143"/>
      <c r="BKO33" s="143"/>
      <c r="BKP33" s="143"/>
      <c r="BKQ33" s="143"/>
      <c r="BKR33" s="143"/>
      <c r="BKS33" s="143"/>
      <c r="BKT33" s="143"/>
      <c r="BKU33" s="143"/>
      <c r="BKV33" s="143"/>
      <c r="BKW33" s="143"/>
      <c r="BKX33" s="143"/>
      <c r="BKY33" s="143"/>
      <c r="BKZ33" s="143"/>
      <c r="BLA33" s="143"/>
      <c r="BLB33" s="143"/>
      <c r="BLC33" s="143"/>
      <c r="BLD33" s="143"/>
      <c r="BLE33" s="143"/>
      <c r="BLF33" s="143"/>
      <c r="BLG33" s="143"/>
      <c r="BLH33" s="143"/>
      <c r="BLI33" s="143"/>
      <c r="BLJ33" s="143"/>
      <c r="BLK33" s="143"/>
      <c r="BLL33" s="143"/>
      <c r="BLM33" s="143"/>
      <c r="BLN33" s="143"/>
      <c r="BLO33" s="143"/>
      <c r="BLP33" s="143"/>
      <c r="BLQ33" s="143"/>
      <c r="BLR33" s="143"/>
      <c r="BLS33" s="143"/>
      <c r="BLT33" s="143"/>
      <c r="BLU33" s="143"/>
      <c r="BLV33" s="143"/>
      <c r="BLW33" s="143"/>
      <c r="BLX33" s="143"/>
      <c r="BLY33" s="143"/>
      <c r="BLZ33" s="143"/>
      <c r="BMA33" s="143"/>
      <c r="BMB33" s="143"/>
      <c r="BMC33" s="143"/>
      <c r="BMD33" s="143"/>
      <c r="BME33" s="143"/>
      <c r="BMF33" s="143"/>
      <c r="BMG33" s="143"/>
      <c r="BMH33" s="143"/>
      <c r="BMI33" s="143"/>
      <c r="BMJ33" s="143"/>
      <c r="BMK33" s="143"/>
      <c r="BML33" s="143"/>
      <c r="BMM33" s="143"/>
      <c r="BMN33" s="143"/>
      <c r="BMO33" s="143"/>
      <c r="BMP33" s="143"/>
      <c r="BMQ33" s="143"/>
      <c r="BMR33" s="143"/>
      <c r="BMS33" s="143"/>
      <c r="BMT33" s="143"/>
      <c r="BMU33" s="143"/>
      <c r="BMV33" s="143"/>
      <c r="BMW33" s="143"/>
      <c r="BMX33" s="143"/>
      <c r="BMY33" s="143"/>
      <c r="BMZ33" s="143"/>
      <c r="BNA33" s="143"/>
      <c r="BNB33" s="143"/>
      <c r="BNC33" s="143"/>
      <c r="BND33" s="143"/>
      <c r="BNE33" s="143"/>
      <c r="BNF33" s="143"/>
      <c r="BNG33" s="143"/>
      <c r="BNH33" s="143"/>
      <c r="BNI33" s="143"/>
      <c r="BNJ33" s="143"/>
      <c r="BNK33" s="143"/>
      <c r="BNL33" s="143"/>
      <c r="BNM33" s="143"/>
      <c r="BNN33" s="143"/>
      <c r="BNO33" s="143"/>
      <c r="BNP33" s="143"/>
      <c r="BNQ33" s="143"/>
      <c r="BNR33" s="143"/>
      <c r="BNS33" s="143"/>
      <c r="BNT33" s="143"/>
      <c r="BNU33" s="143"/>
      <c r="BNV33" s="143"/>
      <c r="BNW33" s="143"/>
      <c r="BNX33" s="143"/>
      <c r="BNY33" s="143"/>
      <c r="BNZ33" s="143"/>
      <c r="BOA33" s="143"/>
      <c r="BOB33" s="143"/>
      <c r="BOC33" s="143"/>
      <c r="BOD33" s="143"/>
      <c r="BOE33" s="143"/>
      <c r="BOF33" s="143"/>
      <c r="BOG33" s="143"/>
      <c r="BOH33" s="143"/>
      <c r="BOI33" s="143"/>
      <c r="BOJ33" s="143"/>
      <c r="BOK33" s="143"/>
      <c r="BOL33" s="143"/>
      <c r="BOM33" s="143"/>
      <c r="BON33" s="143"/>
      <c r="BOO33" s="143"/>
      <c r="BOP33" s="143"/>
      <c r="BOQ33" s="143"/>
      <c r="BOR33" s="143"/>
      <c r="BOS33" s="143"/>
      <c r="BOT33" s="143"/>
      <c r="BOU33" s="143"/>
      <c r="BOV33" s="143"/>
      <c r="BOW33" s="143"/>
      <c r="BOX33" s="143"/>
      <c r="BOY33" s="143"/>
      <c r="BOZ33" s="143"/>
      <c r="BPA33" s="143"/>
      <c r="BPB33" s="143"/>
      <c r="BPC33" s="143"/>
      <c r="BPD33" s="143"/>
      <c r="BPE33" s="143"/>
      <c r="BPF33" s="143"/>
      <c r="BPG33" s="143"/>
      <c r="BPH33" s="143"/>
      <c r="BPI33" s="143"/>
      <c r="BPJ33" s="143"/>
      <c r="BPK33" s="143"/>
      <c r="BPL33" s="143"/>
      <c r="BPM33" s="143"/>
      <c r="BPN33" s="143"/>
      <c r="BPO33" s="143"/>
      <c r="BPP33" s="143"/>
      <c r="BPQ33" s="143"/>
      <c r="BPR33" s="143"/>
      <c r="BPS33" s="143"/>
      <c r="BPT33" s="143"/>
      <c r="BPU33" s="143"/>
      <c r="BPV33" s="143"/>
      <c r="BPW33" s="143"/>
      <c r="BPX33" s="143"/>
      <c r="BPY33" s="143"/>
      <c r="BPZ33" s="143"/>
      <c r="BQA33" s="143"/>
      <c r="BQB33" s="143"/>
      <c r="BQC33" s="143"/>
      <c r="BQD33" s="143"/>
      <c r="BQE33" s="143"/>
      <c r="BQF33" s="143"/>
      <c r="BQG33" s="143"/>
      <c r="BQH33" s="143"/>
      <c r="BQI33" s="143"/>
      <c r="BQJ33" s="143"/>
      <c r="BQK33" s="143"/>
      <c r="BQL33" s="143"/>
      <c r="BQM33" s="143"/>
      <c r="BQN33" s="143"/>
      <c r="BQO33" s="143"/>
      <c r="BQP33" s="143"/>
      <c r="BQQ33" s="143"/>
      <c r="BQR33" s="143"/>
      <c r="BQS33" s="143"/>
      <c r="BQT33" s="143"/>
      <c r="BQU33" s="143"/>
      <c r="BQV33" s="143"/>
      <c r="BQW33" s="143"/>
      <c r="BQX33" s="143"/>
      <c r="BQY33" s="143"/>
      <c r="BQZ33" s="143"/>
      <c r="BRA33" s="143"/>
      <c r="BRB33" s="143"/>
      <c r="BRC33" s="143"/>
      <c r="BRD33" s="143"/>
      <c r="BRE33" s="143"/>
      <c r="BRF33" s="143"/>
      <c r="BRG33" s="143"/>
      <c r="BRH33" s="143"/>
      <c r="BRI33" s="143"/>
      <c r="BRJ33" s="143"/>
      <c r="BRK33" s="143"/>
      <c r="BRL33" s="143"/>
      <c r="BRM33" s="143"/>
      <c r="BRN33" s="143"/>
      <c r="BRO33" s="143"/>
      <c r="BRP33" s="143"/>
      <c r="BRQ33" s="143"/>
      <c r="BRR33" s="143"/>
      <c r="BRS33" s="143"/>
      <c r="BRT33" s="143"/>
      <c r="BRU33" s="143"/>
      <c r="BRV33" s="143"/>
      <c r="BRW33" s="143"/>
      <c r="BRX33" s="143"/>
      <c r="BRY33" s="143"/>
      <c r="BRZ33" s="143"/>
      <c r="BSA33" s="143"/>
      <c r="BSB33" s="143"/>
      <c r="BSC33" s="143"/>
      <c r="BSD33" s="143"/>
      <c r="BSE33" s="143"/>
      <c r="BSF33" s="143"/>
      <c r="BSG33" s="143"/>
      <c r="BSH33" s="143"/>
      <c r="BSI33" s="143"/>
      <c r="BSJ33" s="143"/>
      <c r="BSK33" s="143"/>
      <c r="BSL33" s="143"/>
      <c r="BSM33" s="143"/>
      <c r="BSN33" s="143"/>
      <c r="BSO33" s="143"/>
      <c r="BSP33" s="143"/>
      <c r="BSQ33" s="143"/>
      <c r="BSR33" s="143"/>
      <c r="BSS33" s="143"/>
      <c r="BST33" s="143"/>
      <c r="BSU33" s="143"/>
      <c r="BSV33" s="143"/>
      <c r="BSW33" s="143"/>
      <c r="BSX33" s="143"/>
      <c r="BSY33" s="143"/>
      <c r="BSZ33" s="143"/>
      <c r="BTA33" s="143"/>
      <c r="BTB33" s="143"/>
      <c r="BTC33" s="143"/>
      <c r="BTD33" s="143"/>
      <c r="BTE33" s="143"/>
      <c r="BTF33" s="143"/>
      <c r="BTG33" s="143"/>
      <c r="BTH33" s="143"/>
      <c r="BTI33" s="143"/>
      <c r="BTJ33" s="143"/>
      <c r="BTK33" s="143"/>
      <c r="BTL33" s="143"/>
      <c r="BTM33" s="143"/>
      <c r="BTN33" s="143"/>
      <c r="BTO33" s="143"/>
      <c r="BTP33" s="143"/>
      <c r="BTQ33" s="143"/>
      <c r="BTR33" s="143"/>
      <c r="BTS33" s="143"/>
      <c r="BTT33" s="143"/>
      <c r="BTU33" s="143"/>
      <c r="BTV33" s="143"/>
      <c r="BTW33" s="143"/>
      <c r="BTX33" s="143"/>
      <c r="BTY33" s="143"/>
      <c r="BTZ33" s="143"/>
      <c r="BUA33" s="143"/>
      <c r="BUB33" s="143"/>
      <c r="BUC33" s="143"/>
      <c r="BUD33" s="143"/>
      <c r="BUE33" s="143"/>
      <c r="BUF33" s="143"/>
      <c r="BUG33" s="143"/>
      <c r="BUH33" s="143"/>
      <c r="BUI33" s="143"/>
      <c r="BUJ33" s="143"/>
      <c r="BUK33" s="143"/>
      <c r="BUL33" s="143"/>
      <c r="BUM33" s="143"/>
      <c r="BUN33" s="143"/>
      <c r="BUO33" s="143"/>
      <c r="BUP33" s="143"/>
      <c r="BUQ33" s="143"/>
      <c r="BUR33" s="143"/>
      <c r="BUS33" s="143"/>
      <c r="BUT33" s="143"/>
      <c r="BUU33" s="143"/>
      <c r="BUV33" s="143"/>
      <c r="BUW33" s="143"/>
      <c r="BUX33" s="143"/>
      <c r="BUY33" s="143"/>
      <c r="BUZ33" s="143"/>
      <c r="BVA33" s="143"/>
      <c r="BVB33" s="143"/>
      <c r="BVC33" s="143"/>
      <c r="BVD33" s="143"/>
      <c r="BVE33" s="143"/>
      <c r="BVF33" s="143"/>
      <c r="BVG33" s="143"/>
      <c r="BVH33" s="143"/>
      <c r="BVI33" s="143"/>
      <c r="BVJ33" s="143"/>
      <c r="BVK33" s="143"/>
      <c r="BVL33" s="143"/>
      <c r="BVM33" s="143"/>
      <c r="BVN33" s="143"/>
      <c r="BVO33" s="143"/>
      <c r="BVP33" s="143"/>
      <c r="BVQ33" s="143"/>
      <c r="BVR33" s="143"/>
      <c r="BVS33" s="143"/>
      <c r="BVT33" s="143"/>
      <c r="BVU33" s="143"/>
      <c r="BVV33" s="143"/>
      <c r="BVW33" s="143"/>
      <c r="BVX33" s="143"/>
      <c r="BVY33" s="143"/>
      <c r="BVZ33" s="143"/>
      <c r="BWA33" s="143"/>
      <c r="BWB33" s="143"/>
      <c r="BWC33" s="143"/>
      <c r="BWD33" s="143"/>
      <c r="BWE33" s="143"/>
      <c r="BWF33" s="143"/>
      <c r="BWG33" s="143"/>
      <c r="BWH33" s="143"/>
      <c r="BWI33" s="143"/>
      <c r="BWJ33" s="143"/>
      <c r="BWK33" s="143"/>
      <c r="BWL33" s="143"/>
      <c r="BWM33" s="143"/>
      <c r="BWN33" s="143"/>
      <c r="BWO33" s="143"/>
      <c r="BWP33" s="143"/>
      <c r="BWQ33" s="143"/>
      <c r="BWR33" s="143"/>
      <c r="BWS33" s="143"/>
      <c r="BWT33" s="143"/>
      <c r="BWU33" s="143"/>
      <c r="BWV33" s="143"/>
      <c r="BWW33" s="143"/>
      <c r="BWX33" s="143"/>
      <c r="BWY33" s="143"/>
      <c r="BWZ33" s="143"/>
      <c r="BXA33" s="143"/>
      <c r="BXB33" s="143"/>
      <c r="BXC33" s="143"/>
      <c r="BXD33" s="143"/>
      <c r="BXE33" s="143"/>
      <c r="BXF33" s="143"/>
      <c r="BXG33" s="143"/>
      <c r="BXH33" s="143"/>
      <c r="BXI33" s="143"/>
      <c r="BXJ33" s="143"/>
      <c r="BXK33" s="143"/>
      <c r="BXL33" s="143"/>
      <c r="BXM33" s="143"/>
      <c r="BXN33" s="143"/>
      <c r="BXO33" s="143"/>
      <c r="BXP33" s="143"/>
      <c r="BXQ33" s="143"/>
      <c r="BXR33" s="143"/>
      <c r="BXS33" s="143"/>
      <c r="BXT33" s="143"/>
      <c r="BXU33" s="143"/>
      <c r="BXV33" s="143"/>
      <c r="BXW33" s="143"/>
      <c r="BXX33" s="143"/>
      <c r="BXY33" s="143"/>
      <c r="BXZ33" s="143"/>
      <c r="BYA33" s="143"/>
      <c r="BYB33" s="143"/>
      <c r="BYC33" s="143"/>
      <c r="BYD33" s="143"/>
      <c r="BYE33" s="143"/>
      <c r="BYF33" s="143"/>
      <c r="BYG33" s="143"/>
      <c r="BYH33" s="143"/>
      <c r="BYI33" s="143"/>
      <c r="BYJ33" s="143"/>
      <c r="BYK33" s="143"/>
      <c r="BYL33" s="143"/>
      <c r="BYM33" s="143"/>
      <c r="BYN33" s="143"/>
      <c r="BYO33" s="143"/>
      <c r="BYP33" s="143"/>
      <c r="BYQ33" s="143"/>
      <c r="BYR33" s="143"/>
      <c r="BYS33" s="143"/>
      <c r="BYT33" s="143"/>
      <c r="BYU33" s="143"/>
      <c r="BYV33" s="143"/>
      <c r="BYW33" s="143"/>
      <c r="BYX33" s="143"/>
      <c r="BYY33" s="143"/>
      <c r="BYZ33" s="143"/>
      <c r="BZA33" s="143"/>
      <c r="BZB33" s="143"/>
      <c r="BZC33" s="143"/>
      <c r="BZD33" s="143"/>
      <c r="BZE33" s="143"/>
      <c r="BZF33" s="143"/>
      <c r="BZG33" s="143"/>
      <c r="BZH33" s="143"/>
      <c r="BZI33" s="143"/>
      <c r="BZJ33" s="143"/>
      <c r="BZK33" s="143"/>
      <c r="BZL33" s="143"/>
      <c r="BZM33" s="143"/>
      <c r="BZN33" s="143"/>
      <c r="BZO33" s="143"/>
      <c r="BZP33" s="143"/>
      <c r="BZQ33" s="143"/>
      <c r="BZR33" s="143"/>
      <c r="BZS33" s="143"/>
      <c r="BZT33" s="143"/>
      <c r="BZU33" s="143"/>
      <c r="BZV33" s="143"/>
      <c r="BZW33" s="143"/>
      <c r="BZX33" s="143"/>
      <c r="BZY33" s="143"/>
      <c r="BZZ33" s="143"/>
      <c r="CAA33" s="143"/>
      <c r="CAB33" s="143"/>
      <c r="CAC33" s="143"/>
      <c r="CAD33" s="143"/>
      <c r="CAE33" s="143"/>
      <c r="CAF33" s="143"/>
      <c r="CAG33" s="143"/>
      <c r="CAH33" s="143"/>
      <c r="CAI33" s="143"/>
      <c r="CAJ33" s="143"/>
      <c r="CAK33" s="143"/>
      <c r="CAL33" s="143"/>
      <c r="CAM33" s="143"/>
      <c r="CAN33" s="143"/>
      <c r="CAO33" s="143"/>
      <c r="CAP33" s="143"/>
      <c r="CAQ33" s="143"/>
      <c r="CAR33" s="143"/>
      <c r="CAS33" s="143"/>
      <c r="CAT33" s="143"/>
      <c r="CAU33" s="143"/>
      <c r="CAV33" s="143"/>
      <c r="CAW33" s="143"/>
      <c r="CAX33" s="143"/>
      <c r="CAY33" s="143"/>
      <c r="CAZ33" s="143"/>
      <c r="CBA33" s="143"/>
      <c r="CBB33" s="143"/>
      <c r="CBC33" s="143"/>
      <c r="CBD33" s="143"/>
      <c r="CBE33" s="143"/>
      <c r="CBF33" s="143"/>
      <c r="CBG33" s="143"/>
      <c r="CBH33" s="143"/>
      <c r="CBI33" s="143"/>
      <c r="CBJ33" s="143"/>
      <c r="CBK33" s="143"/>
      <c r="CBL33" s="143"/>
      <c r="CBM33" s="143"/>
      <c r="CBN33" s="143"/>
      <c r="CBO33" s="143"/>
      <c r="CBP33" s="143"/>
      <c r="CBQ33" s="143"/>
      <c r="CBR33" s="143"/>
      <c r="CBS33" s="143"/>
      <c r="CBT33" s="143"/>
      <c r="CBU33" s="143"/>
      <c r="CBV33" s="143"/>
      <c r="CBW33" s="143"/>
      <c r="CBX33" s="143"/>
      <c r="CBY33" s="143"/>
      <c r="CBZ33" s="143"/>
      <c r="CCA33" s="143"/>
      <c r="CCB33" s="143"/>
      <c r="CCC33" s="143"/>
      <c r="CCD33" s="143"/>
      <c r="CCE33" s="143"/>
      <c r="CCF33" s="143"/>
      <c r="CCG33" s="143"/>
      <c r="CCH33" s="143"/>
      <c r="CCI33" s="143"/>
      <c r="CCJ33" s="143"/>
      <c r="CCK33" s="143"/>
      <c r="CCL33" s="143"/>
      <c r="CCM33" s="143"/>
      <c r="CCN33" s="143"/>
      <c r="CCO33" s="143"/>
      <c r="CCP33" s="143"/>
      <c r="CCQ33" s="143"/>
      <c r="CCR33" s="143"/>
      <c r="CCS33" s="143"/>
      <c r="CCT33" s="143"/>
      <c r="CCU33" s="143"/>
      <c r="CCV33" s="143"/>
      <c r="CCW33" s="143"/>
      <c r="CCX33" s="143"/>
      <c r="CCY33" s="143"/>
      <c r="CCZ33" s="143"/>
      <c r="CDA33" s="143"/>
      <c r="CDB33" s="143"/>
      <c r="CDC33" s="143"/>
      <c r="CDD33" s="143"/>
      <c r="CDE33" s="143"/>
      <c r="CDF33" s="143"/>
      <c r="CDG33" s="143"/>
      <c r="CDH33" s="143"/>
      <c r="CDI33" s="143"/>
      <c r="CDJ33" s="143"/>
      <c r="CDK33" s="143"/>
      <c r="CDL33" s="143"/>
      <c r="CDM33" s="143"/>
      <c r="CDN33" s="143"/>
      <c r="CDO33" s="143"/>
      <c r="CDP33" s="143"/>
      <c r="CDQ33" s="143"/>
      <c r="CDR33" s="143"/>
      <c r="CDS33" s="143"/>
      <c r="CDT33" s="143"/>
      <c r="CDU33" s="143"/>
      <c r="CDV33" s="143"/>
      <c r="CDW33" s="143"/>
      <c r="CDX33" s="143"/>
      <c r="CDY33" s="143"/>
      <c r="CDZ33" s="143"/>
      <c r="CEA33" s="143"/>
      <c r="CEB33" s="143"/>
      <c r="CEC33" s="143"/>
      <c r="CED33" s="143"/>
      <c r="CEE33" s="143"/>
      <c r="CEF33" s="143"/>
      <c r="CEG33" s="143"/>
      <c r="CEH33" s="143"/>
      <c r="CEI33" s="143"/>
      <c r="CEJ33" s="143"/>
      <c r="CEK33" s="143"/>
      <c r="CEL33" s="143"/>
      <c r="CEM33" s="143"/>
      <c r="CEN33" s="143"/>
      <c r="CEO33" s="143"/>
      <c r="CEP33" s="143"/>
      <c r="CEQ33" s="143"/>
      <c r="CER33" s="143"/>
      <c r="CES33" s="143"/>
      <c r="CET33" s="143"/>
      <c r="CEU33" s="143"/>
      <c r="CEV33" s="143"/>
      <c r="CEW33" s="143"/>
      <c r="CEX33" s="143"/>
      <c r="CEY33" s="143"/>
      <c r="CEZ33" s="143"/>
      <c r="CFA33" s="143"/>
      <c r="CFB33" s="143"/>
      <c r="CFC33" s="143"/>
      <c r="CFD33" s="143"/>
      <c r="CFE33" s="143"/>
      <c r="CFF33" s="143"/>
      <c r="CFG33" s="143"/>
      <c r="CFH33" s="143"/>
      <c r="CFI33" s="143"/>
      <c r="CFJ33" s="143"/>
      <c r="CFK33" s="143"/>
      <c r="CFL33" s="143"/>
      <c r="CFM33" s="143"/>
      <c r="CFN33" s="143"/>
      <c r="CFO33" s="143"/>
      <c r="CFP33" s="143"/>
      <c r="CFQ33" s="143"/>
      <c r="CFR33" s="143"/>
      <c r="CFS33" s="143"/>
      <c r="CFT33" s="143"/>
      <c r="CFU33" s="143"/>
      <c r="CFV33" s="143"/>
      <c r="CFW33" s="143"/>
      <c r="CFX33" s="143"/>
      <c r="CFY33" s="143"/>
      <c r="CFZ33" s="143"/>
      <c r="CGA33" s="143"/>
      <c r="CGB33" s="143"/>
      <c r="CGC33" s="143"/>
      <c r="CGD33" s="143"/>
      <c r="CGE33" s="143"/>
      <c r="CGF33" s="143"/>
      <c r="CGG33" s="143"/>
      <c r="CGH33" s="143"/>
      <c r="CGI33" s="143"/>
      <c r="CGJ33" s="143"/>
      <c r="CGK33" s="143"/>
      <c r="CGL33" s="143"/>
      <c r="CGM33" s="143"/>
      <c r="CGN33" s="143"/>
      <c r="CGO33" s="143"/>
      <c r="CGP33" s="143"/>
      <c r="CGQ33" s="143"/>
      <c r="CGR33" s="143"/>
      <c r="CGS33" s="143"/>
      <c r="CGT33" s="143"/>
      <c r="CGU33" s="143"/>
      <c r="CGV33" s="143"/>
      <c r="CGW33" s="143"/>
      <c r="CGX33" s="143"/>
      <c r="CGY33" s="143"/>
      <c r="CGZ33" s="143"/>
      <c r="CHA33" s="143"/>
      <c r="CHB33" s="143"/>
      <c r="CHC33" s="143"/>
      <c r="CHD33" s="143"/>
      <c r="CHE33" s="143"/>
      <c r="CHF33" s="143"/>
      <c r="CHG33" s="143"/>
      <c r="CHH33" s="143"/>
      <c r="CHI33" s="143"/>
      <c r="CHJ33" s="143"/>
      <c r="CHK33" s="143"/>
      <c r="CHL33" s="143"/>
      <c r="CHM33" s="143"/>
      <c r="CHN33" s="143"/>
      <c r="CHO33" s="143"/>
      <c r="CHP33" s="143"/>
      <c r="CHQ33" s="143"/>
      <c r="CHR33" s="143"/>
      <c r="CHS33" s="143"/>
      <c r="CHT33" s="143"/>
      <c r="CHU33" s="143"/>
      <c r="CHV33" s="143"/>
      <c r="CHW33" s="143"/>
      <c r="CHX33" s="143"/>
      <c r="CHY33" s="143"/>
      <c r="CHZ33" s="143"/>
      <c r="CIA33" s="143"/>
      <c r="CIB33" s="143"/>
      <c r="CIC33" s="143"/>
      <c r="CID33" s="143"/>
      <c r="CIE33" s="143"/>
      <c r="CIF33" s="143"/>
      <c r="CIG33" s="143"/>
      <c r="CIH33" s="143"/>
      <c r="CII33" s="143"/>
      <c r="CIJ33" s="143"/>
      <c r="CIK33" s="143"/>
      <c r="CIL33" s="143"/>
      <c r="CIM33" s="143"/>
      <c r="CIN33" s="143"/>
      <c r="CIO33" s="143"/>
      <c r="CIP33" s="143"/>
      <c r="CIQ33" s="143"/>
      <c r="CIR33" s="143"/>
      <c r="CIS33" s="143"/>
      <c r="CIT33" s="143"/>
      <c r="CIU33" s="143"/>
      <c r="CIV33" s="143"/>
      <c r="CIW33" s="143"/>
      <c r="CIX33" s="143"/>
      <c r="CIY33" s="143"/>
      <c r="CIZ33" s="143"/>
      <c r="CJA33" s="143"/>
      <c r="CJB33" s="143"/>
      <c r="CJC33" s="143"/>
      <c r="CJD33" s="143"/>
      <c r="CJE33" s="143"/>
      <c r="CJF33" s="143"/>
      <c r="CJG33" s="143"/>
      <c r="CJH33" s="143"/>
      <c r="CJI33" s="143"/>
      <c r="CJJ33" s="143"/>
      <c r="CJK33" s="143"/>
      <c r="CJL33" s="143"/>
      <c r="CJM33" s="143"/>
      <c r="CJN33" s="143"/>
      <c r="CJO33" s="143"/>
      <c r="CJP33" s="143"/>
      <c r="CJQ33" s="143"/>
      <c r="CJR33" s="143"/>
      <c r="CJS33" s="143"/>
      <c r="CJT33" s="143"/>
      <c r="CJU33" s="143"/>
      <c r="CJV33" s="143"/>
      <c r="CJW33" s="143"/>
      <c r="CJX33" s="143"/>
      <c r="CJY33" s="143"/>
      <c r="CJZ33" s="143"/>
      <c r="CKA33" s="143"/>
      <c r="CKB33" s="143"/>
      <c r="CKC33" s="143"/>
      <c r="CKD33" s="143"/>
      <c r="CKE33" s="143"/>
      <c r="CKF33" s="143"/>
      <c r="CKG33" s="143"/>
      <c r="CKH33" s="143"/>
      <c r="CKI33" s="143"/>
      <c r="CKJ33" s="143"/>
      <c r="CKK33" s="143"/>
      <c r="CKL33" s="143"/>
      <c r="CKM33" s="143"/>
      <c r="CKN33" s="143"/>
      <c r="CKO33" s="143"/>
      <c r="CKP33" s="143"/>
      <c r="CKQ33" s="143"/>
      <c r="CKR33" s="143"/>
      <c r="CKS33" s="143"/>
      <c r="CKT33" s="143"/>
      <c r="CKU33" s="143"/>
      <c r="CKV33" s="143"/>
      <c r="CKW33" s="143"/>
      <c r="CKX33" s="143"/>
      <c r="CKY33" s="143"/>
      <c r="CKZ33" s="143"/>
      <c r="CLA33" s="143"/>
      <c r="CLB33" s="143"/>
      <c r="CLC33" s="143"/>
      <c r="CLD33" s="143"/>
      <c r="CLE33" s="143"/>
      <c r="CLF33" s="143"/>
      <c r="CLG33" s="143"/>
      <c r="CLH33" s="143"/>
      <c r="CLI33" s="143"/>
      <c r="CLJ33" s="143"/>
      <c r="CLK33" s="143"/>
      <c r="CLL33" s="143"/>
      <c r="CLM33" s="143"/>
      <c r="CLN33" s="143"/>
      <c r="CLO33" s="143"/>
      <c r="CLP33" s="143"/>
      <c r="CLQ33" s="143"/>
      <c r="CLR33" s="143"/>
      <c r="CLS33" s="143"/>
      <c r="CLT33" s="143"/>
      <c r="CLU33" s="143"/>
      <c r="CLV33" s="143"/>
      <c r="CLW33" s="143"/>
      <c r="CLX33" s="143"/>
      <c r="CLY33" s="143"/>
      <c r="CLZ33" s="143"/>
      <c r="CMA33" s="143"/>
      <c r="CMB33" s="143"/>
      <c r="CMC33" s="143"/>
      <c r="CMD33" s="143"/>
      <c r="CME33" s="143"/>
      <c r="CMF33" s="143"/>
      <c r="CMG33" s="143"/>
      <c r="CMH33" s="143"/>
      <c r="CMI33" s="143"/>
      <c r="CMJ33" s="143"/>
      <c r="CMK33" s="143"/>
      <c r="CML33" s="143"/>
      <c r="CMM33" s="143"/>
      <c r="CMN33" s="143"/>
      <c r="CMO33" s="143"/>
      <c r="CMP33" s="143"/>
      <c r="CMQ33" s="143"/>
      <c r="CMR33" s="143"/>
      <c r="CMS33" s="143"/>
      <c r="CMT33" s="143"/>
      <c r="CMU33" s="143"/>
      <c r="CMV33" s="143"/>
      <c r="CMW33" s="143"/>
      <c r="CMX33" s="143"/>
      <c r="CMY33" s="143"/>
      <c r="CMZ33" s="143"/>
      <c r="CNA33" s="143"/>
      <c r="CNB33" s="143"/>
      <c r="CNC33" s="143"/>
      <c r="CND33" s="143"/>
      <c r="CNE33" s="143"/>
      <c r="CNF33" s="143"/>
      <c r="CNG33" s="143"/>
      <c r="CNH33" s="143"/>
      <c r="CNI33" s="143"/>
      <c r="CNJ33" s="143"/>
      <c r="CNK33" s="143"/>
      <c r="CNL33" s="143"/>
      <c r="CNM33" s="143"/>
      <c r="CNN33" s="143"/>
      <c r="CNO33" s="143"/>
      <c r="CNP33" s="143"/>
      <c r="CNQ33" s="143"/>
      <c r="CNR33" s="143"/>
      <c r="CNS33" s="143"/>
      <c r="CNT33" s="143"/>
      <c r="CNU33" s="143"/>
      <c r="CNV33" s="143"/>
      <c r="CNW33" s="143"/>
      <c r="CNX33" s="143"/>
      <c r="CNY33" s="143"/>
      <c r="CNZ33" s="143"/>
      <c r="COA33" s="143"/>
      <c r="COB33" s="143"/>
      <c r="COC33" s="143"/>
      <c r="COD33" s="143"/>
      <c r="COE33" s="143"/>
      <c r="COF33" s="143"/>
      <c r="COG33" s="143"/>
      <c r="COH33" s="143"/>
      <c r="COI33" s="143"/>
      <c r="COJ33" s="143"/>
      <c r="COK33" s="143"/>
      <c r="COL33" s="143"/>
      <c r="COM33" s="143"/>
      <c r="CON33" s="143"/>
      <c r="COO33" s="143"/>
      <c r="COP33" s="143"/>
      <c r="COQ33" s="143"/>
      <c r="COR33" s="143"/>
      <c r="COS33" s="143"/>
      <c r="COT33" s="143"/>
      <c r="COU33" s="143"/>
      <c r="COV33" s="143"/>
      <c r="COW33" s="143"/>
      <c r="COX33" s="143"/>
      <c r="COY33" s="143"/>
      <c r="COZ33" s="143"/>
      <c r="CPA33" s="143"/>
      <c r="CPB33" s="143"/>
      <c r="CPC33" s="143"/>
      <c r="CPD33" s="143"/>
      <c r="CPE33" s="143"/>
      <c r="CPF33" s="143"/>
      <c r="CPG33" s="143"/>
      <c r="CPH33" s="143"/>
      <c r="CPI33" s="143"/>
      <c r="CPJ33" s="143"/>
      <c r="CPK33" s="143"/>
      <c r="CPL33" s="143"/>
      <c r="CPM33" s="143"/>
      <c r="CPN33" s="143"/>
      <c r="CPO33" s="143"/>
      <c r="CPP33" s="143"/>
      <c r="CPQ33" s="143"/>
      <c r="CPR33" s="143"/>
      <c r="CPS33" s="143"/>
      <c r="CPT33" s="143"/>
      <c r="CPU33" s="143"/>
      <c r="CPV33" s="143"/>
      <c r="CPW33" s="143"/>
      <c r="CPX33" s="143"/>
      <c r="CPY33" s="143"/>
      <c r="CPZ33" s="143"/>
      <c r="CQA33" s="143"/>
      <c r="CQB33" s="143"/>
      <c r="CQC33" s="143"/>
      <c r="CQD33" s="143"/>
      <c r="CQE33" s="143"/>
      <c r="CQF33" s="143"/>
      <c r="CQG33" s="143"/>
      <c r="CQH33" s="143"/>
      <c r="CQI33" s="143"/>
      <c r="CQJ33" s="143"/>
      <c r="CQK33" s="143"/>
      <c r="CQL33" s="143"/>
      <c r="CQM33" s="143"/>
      <c r="CQN33" s="143"/>
      <c r="CQO33" s="143"/>
      <c r="CQP33" s="143"/>
      <c r="CQQ33" s="143"/>
      <c r="CQR33" s="143"/>
      <c r="CQS33" s="143"/>
      <c r="CQT33" s="143"/>
      <c r="CQU33" s="143"/>
      <c r="CQV33" s="143"/>
      <c r="CQW33" s="143"/>
      <c r="CQX33" s="143"/>
      <c r="CQY33" s="143"/>
      <c r="CQZ33" s="143"/>
      <c r="CRA33" s="143"/>
      <c r="CRB33" s="143"/>
      <c r="CRC33" s="143"/>
      <c r="CRD33" s="143"/>
      <c r="CRE33" s="143"/>
      <c r="CRF33" s="143"/>
      <c r="CRG33" s="143"/>
      <c r="CRH33" s="143"/>
      <c r="CRI33" s="143"/>
      <c r="CRJ33" s="143"/>
      <c r="CRK33" s="143"/>
      <c r="CRL33" s="143"/>
      <c r="CRM33" s="143"/>
      <c r="CRN33" s="143"/>
      <c r="CRO33" s="143"/>
      <c r="CRP33" s="143"/>
      <c r="CRQ33" s="143"/>
      <c r="CRR33" s="143"/>
      <c r="CRS33" s="143"/>
      <c r="CRT33" s="143"/>
      <c r="CRU33" s="143"/>
      <c r="CRV33" s="143"/>
      <c r="CRW33" s="143"/>
      <c r="CRX33" s="143"/>
      <c r="CRY33" s="143"/>
      <c r="CRZ33" s="143"/>
      <c r="CSA33" s="143"/>
      <c r="CSB33" s="143"/>
      <c r="CSC33" s="143"/>
      <c r="CSD33" s="143"/>
      <c r="CSE33" s="143"/>
      <c r="CSF33" s="143"/>
      <c r="CSG33" s="143"/>
      <c r="CSH33" s="143"/>
      <c r="CSI33" s="143"/>
      <c r="CSJ33" s="143"/>
      <c r="CSK33" s="143"/>
      <c r="CSL33" s="143"/>
      <c r="CSM33" s="143"/>
      <c r="CSN33" s="143"/>
      <c r="CSO33" s="143"/>
      <c r="CSP33" s="143"/>
      <c r="CSQ33" s="143"/>
      <c r="CSR33" s="143"/>
      <c r="CSS33" s="143"/>
      <c r="CST33" s="143"/>
      <c r="CSU33" s="143"/>
      <c r="CSV33" s="143"/>
      <c r="CSW33" s="143"/>
      <c r="CSX33" s="143"/>
      <c r="CSY33" s="143"/>
      <c r="CSZ33" s="143"/>
      <c r="CTA33" s="143"/>
      <c r="CTB33" s="143"/>
      <c r="CTC33" s="143"/>
      <c r="CTD33" s="143"/>
      <c r="CTE33" s="143"/>
      <c r="CTF33" s="143"/>
      <c r="CTG33" s="143"/>
      <c r="CTH33" s="143"/>
      <c r="CTI33" s="143"/>
      <c r="CTJ33" s="143"/>
      <c r="CTK33" s="143"/>
      <c r="CTL33" s="143"/>
      <c r="CTM33" s="143"/>
      <c r="CTN33" s="143"/>
      <c r="CTO33" s="143"/>
      <c r="CTP33" s="143"/>
      <c r="CTQ33" s="143"/>
      <c r="CTR33" s="143"/>
      <c r="CTS33" s="143"/>
      <c r="CTT33" s="143"/>
      <c r="CTU33" s="143"/>
      <c r="CTV33" s="143"/>
      <c r="CTW33" s="143"/>
      <c r="CTX33" s="143"/>
      <c r="CTY33" s="143"/>
      <c r="CTZ33" s="143"/>
      <c r="CUA33" s="143"/>
      <c r="CUB33" s="143"/>
      <c r="CUC33" s="143"/>
      <c r="CUD33" s="143"/>
      <c r="CUE33" s="143"/>
      <c r="CUF33" s="143"/>
      <c r="CUG33" s="143"/>
      <c r="CUH33" s="143"/>
      <c r="CUI33" s="143"/>
      <c r="CUJ33" s="143"/>
      <c r="CUK33" s="143"/>
      <c r="CUL33" s="143"/>
      <c r="CUM33" s="143"/>
      <c r="CUN33" s="143"/>
      <c r="CUO33" s="143"/>
      <c r="CUP33" s="143"/>
      <c r="CUQ33" s="143"/>
      <c r="CUR33" s="143"/>
      <c r="CUS33" s="143"/>
      <c r="CUT33" s="143"/>
      <c r="CUU33" s="143"/>
      <c r="CUV33" s="143"/>
      <c r="CUW33" s="143"/>
      <c r="CUX33" s="143"/>
      <c r="CUY33" s="143"/>
      <c r="CUZ33" s="143"/>
      <c r="CVA33" s="143"/>
      <c r="CVB33" s="143"/>
      <c r="CVC33" s="143"/>
      <c r="CVD33" s="143"/>
      <c r="CVE33" s="143"/>
      <c r="CVF33" s="143"/>
      <c r="CVG33" s="143"/>
      <c r="CVH33" s="143"/>
      <c r="CVI33" s="143"/>
      <c r="CVJ33" s="143"/>
      <c r="CVK33" s="143"/>
      <c r="CVL33" s="143"/>
      <c r="CVM33" s="143"/>
      <c r="CVN33" s="143"/>
      <c r="CVO33" s="143"/>
      <c r="CVP33" s="143"/>
      <c r="CVQ33" s="143"/>
      <c r="CVR33" s="143"/>
      <c r="CVS33" s="143"/>
      <c r="CVT33" s="143"/>
      <c r="CVU33" s="143"/>
      <c r="CVV33" s="143"/>
      <c r="CVW33" s="143"/>
      <c r="CVX33" s="143"/>
      <c r="CVY33" s="143"/>
      <c r="CVZ33" s="143"/>
      <c r="CWA33" s="143"/>
      <c r="CWB33" s="143"/>
      <c r="CWC33" s="143"/>
      <c r="CWD33" s="143"/>
      <c r="CWE33" s="143"/>
      <c r="CWF33" s="143"/>
      <c r="CWG33" s="143"/>
      <c r="CWH33" s="143"/>
      <c r="CWI33" s="143"/>
      <c r="CWJ33" s="143"/>
      <c r="CWK33" s="143"/>
      <c r="CWL33" s="143"/>
      <c r="CWM33" s="143"/>
      <c r="CWN33" s="143"/>
      <c r="CWO33" s="143"/>
      <c r="CWP33" s="143"/>
      <c r="CWQ33" s="143"/>
      <c r="CWR33" s="143"/>
      <c r="CWS33" s="143"/>
      <c r="CWT33" s="143"/>
      <c r="CWU33" s="143"/>
      <c r="CWV33" s="143"/>
      <c r="CWW33" s="143"/>
      <c r="CWX33" s="143"/>
      <c r="CWY33" s="143"/>
      <c r="CWZ33" s="143"/>
      <c r="CXA33" s="143"/>
      <c r="CXB33" s="143"/>
      <c r="CXC33" s="143"/>
      <c r="CXD33" s="143"/>
      <c r="CXE33" s="143"/>
      <c r="CXF33" s="143"/>
      <c r="CXG33" s="143"/>
      <c r="CXH33" s="143"/>
      <c r="CXI33" s="143"/>
      <c r="CXJ33" s="143"/>
      <c r="CXK33" s="143"/>
      <c r="CXL33" s="143"/>
      <c r="CXM33" s="143"/>
      <c r="CXN33" s="143"/>
      <c r="CXO33" s="143"/>
      <c r="CXP33" s="143"/>
      <c r="CXQ33" s="143"/>
      <c r="CXR33" s="143"/>
      <c r="CXS33" s="143"/>
      <c r="CXT33" s="143"/>
      <c r="CXU33" s="143"/>
      <c r="CXV33" s="143"/>
      <c r="CXW33" s="143"/>
      <c r="CXX33" s="143"/>
      <c r="CXY33" s="143"/>
      <c r="CXZ33" s="143"/>
      <c r="CYA33" s="143"/>
      <c r="CYB33" s="143"/>
      <c r="CYC33" s="143"/>
      <c r="CYD33" s="143"/>
      <c r="CYE33" s="143"/>
      <c r="CYF33" s="143"/>
      <c r="CYG33" s="143"/>
      <c r="CYH33" s="143"/>
      <c r="CYI33" s="143"/>
      <c r="CYJ33" s="143"/>
      <c r="CYK33" s="143"/>
      <c r="CYL33" s="143"/>
      <c r="CYM33" s="143"/>
      <c r="CYN33" s="143"/>
      <c r="CYO33" s="143"/>
      <c r="CYP33" s="143"/>
      <c r="CYQ33" s="143"/>
      <c r="CYR33" s="143"/>
      <c r="CYS33" s="143"/>
      <c r="CYT33" s="143"/>
      <c r="CYU33" s="143"/>
      <c r="CYV33" s="143"/>
      <c r="CYW33" s="143"/>
      <c r="CYX33" s="143"/>
      <c r="CYY33" s="143"/>
      <c r="CYZ33" s="143"/>
      <c r="CZA33" s="143"/>
      <c r="CZB33" s="143"/>
      <c r="CZC33" s="143"/>
      <c r="CZD33" s="143"/>
      <c r="CZE33" s="143"/>
      <c r="CZF33" s="143"/>
      <c r="CZG33" s="143"/>
      <c r="CZH33" s="143"/>
      <c r="CZI33" s="143"/>
      <c r="CZJ33" s="143"/>
      <c r="CZK33" s="143"/>
      <c r="CZL33" s="143"/>
      <c r="CZM33" s="143"/>
      <c r="CZN33" s="143"/>
      <c r="CZO33" s="143"/>
      <c r="CZP33" s="143"/>
      <c r="CZQ33" s="143"/>
      <c r="CZR33" s="143"/>
      <c r="CZS33" s="143"/>
      <c r="CZT33" s="143"/>
      <c r="CZU33" s="143"/>
      <c r="CZV33" s="143"/>
      <c r="CZW33" s="143"/>
      <c r="CZX33" s="143"/>
      <c r="CZY33" s="143"/>
      <c r="CZZ33" s="143"/>
      <c r="DAA33" s="143"/>
      <c r="DAB33" s="143"/>
      <c r="DAC33" s="143"/>
      <c r="DAD33" s="143"/>
      <c r="DAE33" s="143"/>
      <c r="DAF33" s="143"/>
      <c r="DAG33" s="143"/>
      <c r="DAH33" s="143"/>
      <c r="DAI33" s="143"/>
      <c r="DAJ33" s="143"/>
      <c r="DAK33" s="143"/>
      <c r="DAL33" s="143"/>
      <c r="DAM33" s="143"/>
      <c r="DAN33" s="143"/>
      <c r="DAO33" s="143"/>
      <c r="DAP33" s="143"/>
      <c r="DAQ33" s="143"/>
      <c r="DAR33" s="143"/>
      <c r="DAS33" s="143"/>
      <c r="DAT33" s="143"/>
      <c r="DAU33" s="143"/>
      <c r="DAV33" s="143"/>
      <c r="DAW33" s="143"/>
      <c r="DAX33" s="143"/>
      <c r="DAY33" s="143"/>
      <c r="DAZ33" s="143"/>
      <c r="DBA33" s="143"/>
      <c r="DBB33" s="143"/>
      <c r="DBC33" s="143"/>
      <c r="DBD33" s="143"/>
      <c r="DBE33" s="143"/>
      <c r="DBF33" s="143"/>
      <c r="DBG33" s="143"/>
      <c r="DBH33" s="143"/>
      <c r="DBI33" s="143"/>
      <c r="DBJ33" s="143"/>
      <c r="DBK33" s="143"/>
      <c r="DBL33" s="143"/>
      <c r="DBM33" s="143"/>
      <c r="DBN33" s="143"/>
      <c r="DBO33" s="143"/>
      <c r="DBP33" s="143"/>
      <c r="DBQ33" s="143"/>
      <c r="DBR33" s="143"/>
      <c r="DBS33" s="143"/>
      <c r="DBT33" s="143"/>
      <c r="DBU33" s="143"/>
      <c r="DBV33" s="143"/>
      <c r="DBW33" s="143"/>
      <c r="DBX33" s="143"/>
      <c r="DBY33" s="143"/>
      <c r="DBZ33" s="143"/>
      <c r="DCA33" s="143"/>
      <c r="DCB33" s="143"/>
      <c r="DCC33" s="143"/>
      <c r="DCD33" s="143"/>
      <c r="DCE33" s="143"/>
      <c r="DCF33" s="143"/>
      <c r="DCG33" s="143"/>
      <c r="DCH33" s="143"/>
      <c r="DCI33" s="143"/>
      <c r="DCJ33" s="143"/>
      <c r="DCK33" s="143"/>
      <c r="DCL33" s="143"/>
      <c r="DCM33" s="143"/>
      <c r="DCN33" s="143"/>
      <c r="DCO33" s="143"/>
      <c r="DCP33" s="143"/>
      <c r="DCQ33" s="143"/>
      <c r="DCR33" s="143"/>
      <c r="DCS33" s="143"/>
      <c r="DCT33" s="143"/>
      <c r="DCU33" s="143"/>
      <c r="DCV33" s="143"/>
      <c r="DCW33" s="143"/>
      <c r="DCX33" s="143"/>
      <c r="DCY33" s="143"/>
      <c r="DCZ33" s="143"/>
      <c r="DDA33" s="143"/>
      <c r="DDB33" s="143"/>
      <c r="DDC33" s="143"/>
      <c r="DDD33" s="143"/>
      <c r="DDE33" s="143"/>
      <c r="DDF33" s="143"/>
      <c r="DDG33" s="143"/>
      <c r="DDH33" s="143"/>
      <c r="DDI33" s="143"/>
      <c r="DDJ33" s="143"/>
      <c r="DDK33" s="143"/>
      <c r="DDL33" s="143"/>
      <c r="DDM33" s="143"/>
      <c r="DDN33" s="143"/>
      <c r="DDO33" s="143"/>
      <c r="DDP33" s="143"/>
      <c r="DDQ33" s="143"/>
      <c r="DDR33" s="143"/>
      <c r="DDS33" s="143"/>
      <c r="DDT33" s="143"/>
      <c r="DDU33" s="143"/>
      <c r="DDV33" s="143"/>
      <c r="DDW33" s="143"/>
      <c r="DDX33" s="143"/>
      <c r="DDY33" s="143"/>
      <c r="DDZ33" s="143"/>
      <c r="DEA33" s="143"/>
      <c r="DEB33" s="143"/>
      <c r="DEC33" s="143"/>
      <c r="DED33" s="143"/>
      <c r="DEE33" s="143"/>
      <c r="DEF33" s="143"/>
      <c r="DEG33" s="143"/>
      <c r="DEH33" s="143"/>
      <c r="DEI33" s="143"/>
      <c r="DEJ33" s="143"/>
      <c r="DEK33" s="143"/>
      <c r="DEL33" s="143"/>
      <c r="DEM33" s="143"/>
      <c r="DEN33" s="143"/>
      <c r="DEO33" s="143"/>
      <c r="DEP33" s="143"/>
      <c r="DEQ33" s="143"/>
      <c r="DER33" s="143"/>
      <c r="DES33" s="143"/>
      <c r="DET33" s="143"/>
      <c r="DEU33" s="143"/>
      <c r="DEV33" s="143"/>
      <c r="DEW33" s="143"/>
      <c r="DEX33" s="143"/>
      <c r="DEY33" s="143"/>
      <c r="DEZ33" s="143"/>
      <c r="DFA33" s="143"/>
      <c r="DFB33" s="143"/>
      <c r="DFC33" s="143"/>
      <c r="DFD33" s="143"/>
      <c r="DFE33" s="143"/>
      <c r="DFF33" s="143"/>
      <c r="DFG33" s="143"/>
      <c r="DFH33" s="143"/>
      <c r="DFI33" s="143"/>
      <c r="DFJ33" s="143"/>
      <c r="DFK33" s="143"/>
      <c r="DFL33" s="143"/>
      <c r="DFM33" s="143"/>
      <c r="DFN33" s="143"/>
      <c r="DFO33" s="143"/>
      <c r="DFP33" s="143"/>
      <c r="DFQ33" s="143"/>
      <c r="DFR33" s="143"/>
      <c r="DFS33" s="143"/>
      <c r="DFT33" s="143"/>
      <c r="DFU33" s="143"/>
      <c r="DFV33" s="143"/>
      <c r="DFW33" s="143"/>
      <c r="DFX33" s="143"/>
      <c r="DFY33" s="143"/>
      <c r="DFZ33" s="143"/>
      <c r="DGA33" s="143"/>
      <c r="DGB33" s="143"/>
      <c r="DGC33" s="143"/>
      <c r="DGD33" s="143"/>
      <c r="DGE33" s="143"/>
      <c r="DGF33" s="143"/>
      <c r="DGG33" s="143"/>
      <c r="DGH33" s="143"/>
      <c r="DGI33" s="143"/>
      <c r="DGJ33" s="143"/>
      <c r="DGK33" s="143"/>
      <c r="DGL33" s="143"/>
      <c r="DGM33" s="143"/>
      <c r="DGN33" s="143"/>
      <c r="DGO33" s="143"/>
      <c r="DGP33" s="143"/>
      <c r="DGQ33" s="143"/>
      <c r="DGR33" s="143"/>
      <c r="DGS33" s="143"/>
      <c r="DGT33" s="143"/>
      <c r="DGU33" s="143"/>
      <c r="DGV33" s="143"/>
      <c r="DGW33" s="143"/>
      <c r="DGX33" s="143"/>
      <c r="DGY33" s="143"/>
      <c r="DGZ33" s="143"/>
      <c r="DHA33" s="143"/>
      <c r="DHB33" s="143"/>
      <c r="DHC33" s="143"/>
      <c r="DHD33" s="143"/>
      <c r="DHE33" s="143"/>
      <c r="DHF33" s="143"/>
      <c r="DHG33" s="143"/>
      <c r="DHH33" s="143"/>
      <c r="DHI33" s="143"/>
      <c r="DHJ33" s="143"/>
      <c r="DHK33" s="143"/>
      <c r="DHL33" s="143"/>
      <c r="DHM33" s="143"/>
      <c r="DHN33" s="143"/>
      <c r="DHO33" s="143"/>
      <c r="DHP33" s="143"/>
      <c r="DHQ33" s="143"/>
      <c r="DHR33" s="143"/>
      <c r="DHS33" s="143"/>
      <c r="DHT33" s="143"/>
      <c r="DHU33" s="143"/>
      <c r="DHV33" s="143"/>
      <c r="DHW33" s="143"/>
      <c r="DHX33" s="143"/>
      <c r="DHY33" s="143"/>
      <c r="DHZ33" s="143"/>
      <c r="DIA33" s="143"/>
      <c r="DIB33" s="143"/>
      <c r="DIC33" s="143"/>
      <c r="DID33" s="143"/>
      <c r="DIE33" s="143"/>
      <c r="DIF33" s="143"/>
      <c r="DIG33" s="143"/>
      <c r="DIH33" s="143"/>
      <c r="DII33" s="143"/>
      <c r="DIJ33" s="143"/>
      <c r="DIK33" s="143"/>
      <c r="DIL33" s="143"/>
      <c r="DIM33" s="143"/>
      <c r="DIN33" s="143"/>
      <c r="DIO33" s="143"/>
      <c r="DIP33" s="143"/>
      <c r="DIQ33" s="143"/>
      <c r="DIR33" s="143"/>
      <c r="DIS33" s="143"/>
      <c r="DIT33" s="143"/>
      <c r="DIU33" s="143"/>
      <c r="DIV33" s="143"/>
      <c r="DIW33" s="143"/>
      <c r="DIX33" s="143"/>
      <c r="DIY33" s="143"/>
      <c r="DIZ33" s="143"/>
      <c r="DJA33" s="143"/>
      <c r="DJB33" s="143"/>
      <c r="DJC33" s="143"/>
      <c r="DJD33" s="143"/>
      <c r="DJE33" s="143"/>
      <c r="DJF33" s="143"/>
      <c r="DJG33" s="143"/>
      <c r="DJH33" s="143"/>
      <c r="DJI33" s="143"/>
      <c r="DJJ33" s="143"/>
      <c r="DJK33" s="143"/>
      <c r="DJL33" s="143"/>
      <c r="DJM33" s="143"/>
      <c r="DJN33" s="143"/>
      <c r="DJO33" s="143"/>
      <c r="DJP33" s="143"/>
      <c r="DJQ33" s="143"/>
      <c r="DJR33" s="143"/>
      <c r="DJS33" s="143"/>
      <c r="DJT33" s="143"/>
      <c r="DJU33" s="143"/>
      <c r="DJV33" s="143"/>
      <c r="DJW33" s="143"/>
      <c r="DJX33" s="143"/>
      <c r="DJY33" s="143"/>
      <c r="DJZ33" s="143"/>
      <c r="DKA33" s="143"/>
      <c r="DKB33" s="143"/>
      <c r="DKC33" s="143"/>
      <c r="DKD33" s="143"/>
      <c r="DKE33" s="143"/>
      <c r="DKF33" s="143"/>
      <c r="DKG33" s="143"/>
      <c r="DKH33" s="143"/>
      <c r="DKI33" s="143"/>
      <c r="DKJ33" s="143"/>
      <c r="DKK33" s="143"/>
      <c r="DKL33" s="143"/>
      <c r="DKM33" s="143"/>
      <c r="DKN33" s="143"/>
      <c r="DKO33" s="143"/>
      <c r="DKP33" s="143"/>
      <c r="DKQ33" s="143"/>
      <c r="DKR33" s="143"/>
      <c r="DKS33" s="143"/>
      <c r="DKT33" s="143"/>
      <c r="DKU33" s="143"/>
      <c r="DKV33" s="143"/>
      <c r="DKW33" s="143"/>
      <c r="DKX33" s="143"/>
      <c r="DKY33" s="143"/>
      <c r="DKZ33" s="143"/>
      <c r="DLA33" s="143"/>
      <c r="DLB33" s="143"/>
      <c r="DLC33" s="143"/>
      <c r="DLD33" s="143"/>
      <c r="DLE33" s="143"/>
      <c r="DLF33" s="143"/>
      <c r="DLG33" s="143"/>
      <c r="DLH33" s="143"/>
      <c r="DLI33" s="143"/>
      <c r="DLJ33" s="143"/>
      <c r="DLK33" s="143"/>
      <c r="DLL33" s="143"/>
      <c r="DLM33" s="143"/>
      <c r="DLN33" s="143"/>
      <c r="DLO33" s="143"/>
      <c r="DLP33" s="143"/>
      <c r="DLQ33" s="143"/>
      <c r="DLR33" s="143"/>
      <c r="DLS33" s="143"/>
      <c r="DLT33" s="143"/>
      <c r="DLU33" s="143"/>
      <c r="DLV33" s="143"/>
      <c r="DLW33" s="143"/>
      <c r="DLX33" s="143"/>
      <c r="DLY33" s="143"/>
      <c r="DLZ33" s="143"/>
      <c r="DMA33" s="143"/>
      <c r="DMB33" s="143"/>
      <c r="DMC33" s="143"/>
      <c r="DMD33" s="143"/>
      <c r="DME33" s="143"/>
      <c r="DMF33" s="143"/>
      <c r="DMG33" s="143"/>
      <c r="DMH33" s="143"/>
      <c r="DMI33" s="143"/>
      <c r="DMJ33" s="143"/>
      <c r="DMK33" s="143"/>
      <c r="DML33" s="143"/>
      <c r="DMM33" s="143"/>
      <c r="DMN33" s="143"/>
      <c r="DMO33" s="143"/>
      <c r="DMP33" s="143"/>
      <c r="DMQ33" s="143"/>
      <c r="DMR33" s="143"/>
      <c r="DMS33" s="143"/>
      <c r="DMT33" s="143"/>
      <c r="DMU33" s="143"/>
      <c r="DMV33" s="143"/>
      <c r="DMW33" s="143"/>
      <c r="DMX33" s="143"/>
      <c r="DMY33" s="143"/>
      <c r="DMZ33" s="143"/>
      <c r="DNA33" s="143"/>
      <c r="DNB33" s="143"/>
      <c r="DNC33" s="143"/>
      <c r="DND33" s="143"/>
      <c r="DNE33" s="143"/>
      <c r="DNF33" s="143"/>
      <c r="DNG33" s="143"/>
      <c r="DNH33" s="143"/>
      <c r="DNI33" s="143"/>
      <c r="DNJ33" s="143"/>
      <c r="DNK33" s="143"/>
      <c r="DNL33" s="143"/>
      <c r="DNM33" s="143"/>
      <c r="DNN33" s="143"/>
      <c r="DNO33" s="143"/>
      <c r="DNP33" s="143"/>
      <c r="DNQ33" s="143"/>
      <c r="DNR33" s="143"/>
      <c r="DNS33" s="143"/>
      <c r="DNT33" s="143"/>
      <c r="DNU33" s="143"/>
      <c r="DNV33" s="143"/>
      <c r="DNW33" s="143"/>
      <c r="DNX33" s="143"/>
      <c r="DNY33" s="143"/>
      <c r="DNZ33" s="143"/>
      <c r="DOA33" s="143"/>
      <c r="DOB33" s="143"/>
      <c r="DOC33" s="143"/>
      <c r="DOD33" s="143"/>
      <c r="DOE33" s="143"/>
      <c r="DOF33" s="143"/>
      <c r="DOG33" s="143"/>
      <c r="DOH33" s="143"/>
      <c r="DOI33" s="143"/>
      <c r="DOJ33" s="143"/>
      <c r="DOK33" s="143"/>
      <c r="DOL33" s="143"/>
      <c r="DOM33" s="143"/>
      <c r="DON33" s="143"/>
      <c r="DOO33" s="143"/>
      <c r="DOP33" s="143"/>
      <c r="DOQ33" s="143"/>
      <c r="DOR33" s="143"/>
      <c r="DOS33" s="143"/>
      <c r="DOT33" s="143"/>
      <c r="DOU33" s="143"/>
      <c r="DOV33" s="143"/>
      <c r="DOW33" s="143"/>
      <c r="DOX33" s="143"/>
      <c r="DOY33" s="143"/>
      <c r="DOZ33" s="143"/>
      <c r="DPA33" s="143"/>
      <c r="DPB33" s="143"/>
      <c r="DPC33" s="143"/>
      <c r="DPD33" s="143"/>
      <c r="DPE33" s="143"/>
      <c r="DPF33" s="143"/>
      <c r="DPG33" s="143"/>
      <c r="DPH33" s="143"/>
      <c r="DPI33" s="143"/>
      <c r="DPJ33" s="143"/>
      <c r="DPK33" s="143"/>
      <c r="DPL33" s="143"/>
      <c r="DPM33" s="143"/>
      <c r="DPN33" s="143"/>
      <c r="DPO33" s="143"/>
      <c r="DPP33" s="143"/>
      <c r="DPQ33" s="143"/>
      <c r="DPR33" s="143"/>
      <c r="DPS33" s="143"/>
      <c r="DPT33" s="143"/>
      <c r="DPU33" s="143"/>
      <c r="DPV33" s="143"/>
      <c r="DPW33" s="143"/>
      <c r="DPX33" s="143"/>
      <c r="DPY33" s="143"/>
      <c r="DPZ33" s="143"/>
      <c r="DQA33" s="143"/>
      <c r="DQB33" s="143"/>
      <c r="DQC33" s="143"/>
      <c r="DQD33" s="143"/>
      <c r="DQE33" s="143"/>
      <c r="DQF33" s="143"/>
      <c r="DQG33" s="143"/>
      <c r="DQH33" s="143"/>
      <c r="DQI33" s="143"/>
      <c r="DQJ33" s="143"/>
      <c r="DQK33" s="143"/>
      <c r="DQL33" s="143"/>
      <c r="DQM33" s="143"/>
      <c r="DQN33" s="143"/>
      <c r="DQO33" s="143"/>
      <c r="DQP33" s="143"/>
      <c r="DQQ33" s="143"/>
      <c r="DQR33" s="143"/>
      <c r="DQS33" s="143"/>
      <c r="DQT33" s="143"/>
      <c r="DQU33" s="143"/>
      <c r="DQV33" s="143"/>
      <c r="DQW33" s="143"/>
      <c r="DQX33" s="143"/>
      <c r="DQY33" s="143"/>
      <c r="DQZ33" s="143"/>
      <c r="DRA33" s="143"/>
      <c r="DRB33" s="143"/>
      <c r="DRC33" s="143"/>
      <c r="DRD33" s="143"/>
      <c r="DRE33" s="143"/>
      <c r="DRF33" s="143"/>
      <c r="DRG33" s="143"/>
      <c r="DRH33" s="143"/>
      <c r="DRI33" s="143"/>
      <c r="DRJ33" s="143"/>
      <c r="DRK33" s="143"/>
      <c r="DRL33" s="143"/>
      <c r="DRM33" s="143"/>
      <c r="DRN33" s="143"/>
      <c r="DRO33" s="143"/>
      <c r="DRP33" s="143"/>
      <c r="DRQ33" s="143"/>
      <c r="DRR33" s="143"/>
      <c r="DRS33" s="143"/>
      <c r="DRT33" s="143"/>
      <c r="DRU33" s="143"/>
      <c r="DRV33" s="143"/>
      <c r="DRW33" s="143"/>
      <c r="DRX33" s="143"/>
      <c r="DRY33" s="143"/>
      <c r="DRZ33" s="143"/>
      <c r="DSA33" s="143"/>
      <c r="DSB33" s="143"/>
      <c r="DSC33" s="143"/>
      <c r="DSD33" s="143"/>
      <c r="DSE33" s="143"/>
      <c r="DSF33" s="143"/>
      <c r="DSG33" s="143"/>
      <c r="DSH33" s="143"/>
      <c r="DSI33" s="143"/>
      <c r="DSJ33" s="143"/>
      <c r="DSK33" s="143"/>
      <c r="DSL33" s="143"/>
      <c r="DSM33" s="143"/>
      <c r="DSN33" s="143"/>
      <c r="DSO33" s="143"/>
      <c r="DSP33" s="143"/>
      <c r="DSQ33" s="143"/>
      <c r="DSR33" s="143"/>
      <c r="DSS33" s="143"/>
      <c r="DST33" s="143"/>
      <c r="DSU33" s="143"/>
      <c r="DSV33" s="143"/>
      <c r="DSW33" s="143"/>
      <c r="DSX33" s="143"/>
      <c r="DSY33" s="143"/>
      <c r="DSZ33" s="143"/>
      <c r="DTA33" s="143"/>
      <c r="DTB33" s="143"/>
      <c r="DTC33" s="143"/>
      <c r="DTD33" s="143"/>
      <c r="DTE33" s="143"/>
      <c r="DTF33" s="143"/>
      <c r="DTG33" s="143"/>
      <c r="DTH33" s="143"/>
      <c r="DTI33" s="143"/>
      <c r="DTJ33" s="143"/>
      <c r="DTK33" s="143"/>
      <c r="DTL33" s="143"/>
      <c r="DTM33" s="143"/>
      <c r="DTN33" s="143"/>
      <c r="DTO33" s="143"/>
      <c r="DTP33" s="143"/>
      <c r="DTQ33" s="143"/>
      <c r="DTR33" s="143"/>
      <c r="DTS33" s="143"/>
      <c r="DTT33" s="143"/>
      <c r="DTU33" s="143"/>
      <c r="DTV33" s="143"/>
      <c r="DTW33" s="143"/>
      <c r="DTX33" s="143"/>
      <c r="DTY33" s="143"/>
      <c r="DTZ33" s="143"/>
      <c r="DUA33" s="143"/>
      <c r="DUB33" s="143"/>
      <c r="DUC33" s="143"/>
      <c r="DUD33" s="143"/>
      <c r="DUE33" s="143"/>
      <c r="DUF33" s="143"/>
      <c r="DUG33" s="143"/>
      <c r="DUH33" s="143"/>
      <c r="DUI33" s="143"/>
      <c r="DUJ33" s="143"/>
      <c r="DUK33" s="143"/>
      <c r="DUL33" s="143"/>
      <c r="DUM33" s="143"/>
      <c r="DUN33" s="143"/>
      <c r="DUO33" s="143"/>
      <c r="DUP33" s="143"/>
      <c r="DUQ33" s="143"/>
      <c r="DUR33" s="143"/>
      <c r="DUS33" s="143"/>
      <c r="DUT33" s="143"/>
      <c r="DUU33" s="143"/>
      <c r="DUV33" s="143"/>
      <c r="DUW33" s="143"/>
      <c r="DUX33" s="143"/>
      <c r="DUY33" s="143"/>
      <c r="DUZ33" s="143"/>
      <c r="DVA33" s="143"/>
      <c r="DVB33" s="143"/>
      <c r="DVC33" s="143"/>
      <c r="DVD33" s="143"/>
      <c r="DVE33" s="143"/>
      <c r="DVF33" s="143"/>
      <c r="DVG33" s="143"/>
      <c r="DVH33" s="143"/>
      <c r="DVI33" s="143"/>
      <c r="DVJ33" s="143"/>
      <c r="DVK33" s="143"/>
      <c r="DVL33" s="143"/>
      <c r="DVM33" s="143"/>
      <c r="DVN33" s="143"/>
      <c r="DVO33" s="143"/>
      <c r="DVP33" s="143"/>
      <c r="DVQ33" s="143"/>
      <c r="DVR33" s="143"/>
      <c r="DVS33" s="143"/>
      <c r="DVT33" s="143"/>
      <c r="DVU33" s="143"/>
      <c r="DVV33" s="143"/>
      <c r="DVW33" s="143"/>
      <c r="DVX33" s="143"/>
      <c r="DVY33" s="143"/>
      <c r="DVZ33" s="143"/>
      <c r="DWA33" s="143"/>
      <c r="DWB33" s="143"/>
      <c r="DWC33" s="143"/>
      <c r="DWD33" s="143"/>
      <c r="DWE33" s="143"/>
      <c r="DWF33" s="143"/>
      <c r="DWG33" s="143"/>
      <c r="DWH33" s="143"/>
      <c r="DWI33" s="143"/>
      <c r="DWJ33" s="143"/>
      <c r="DWK33" s="143"/>
      <c r="DWL33" s="143"/>
      <c r="DWM33" s="143"/>
      <c r="DWN33" s="143"/>
      <c r="DWO33" s="143"/>
      <c r="DWP33" s="143"/>
      <c r="DWQ33" s="143"/>
      <c r="DWR33" s="143"/>
      <c r="DWS33" s="143"/>
      <c r="DWT33" s="143"/>
      <c r="DWU33" s="143"/>
      <c r="DWV33" s="143"/>
      <c r="DWW33" s="143"/>
      <c r="DWX33" s="143"/>
      <c r="DWY33" s="143"/>
      <c r="DWZ33" s="143"/>
      <c r="DXA33" s="143"/>
      <c r="DXB33" s="143"/>
      <c r="DXC33" s="143"/>
      <c r="DXD33" s="143"/>
      <c r="DXE33" s="143"/>
      <c r="DXF33" s="143"/>
      <c r="DXG33" s="143"/>
      <c r="DXH33" s="143"/>
      <c r="DXI33" s="143"/>
      <c r="DXJ33" s="143"/>
      <c r="DXK33" s="143"/>
      <c r="DXL33" s="143"/>
      <c r="DXM33" s="143"/>
      <c r="DXN33" s="143"/>
      <c r="DXO33" s="143"/>
      <c r="DXP33" s="143"/>
      <c r="DXQ33" s="143"/>
      <c r="DXR33" s="143"/>
      <c r="DXS33" s="143"/>
      <c r="DXT33" s="143"/>
      <c r="DXU33" s="143"/>
      <c r="DXV33" s="143"/>
      <c r="DXW33" s="143"/>
      <c r="DXX33" s="143"/>
      <c r="DXY33" s="143"/>
      <c r="DXZ33" s="143"/>
      <c r="DYA33" s="143"/>
      <c r="DYB33" s="143"/>
      <c r="DYC33" s="143"/>
      <c r="DYD33" s="143"/>
      <c r="DYE33" s="143"/>
      <c r="DYF33" s="143"/>
      <c r="DYG33" s="143"/>
      <c r="DYH33" s="143"/>
      <c r="DYI33" s="143"/>
      <c r="DYJ33" s="143"/>
      <c r="DYK33" s="143"/>
      <c r="DYL33" s="143"/>
      <c r="DYM33" s="143"/>
      <c r="DYN33" s="143"/>
      <c r="DYO33" s="143"/>
      <c r="DYP33" s="143"/>
      <c r="DYQ33" s="143"/>
      <c r="DYR33" s="143"/>
      <c r="DYS33" s="143"/>
      <c r="DYT33" s="143"/>
      <c r="DYU33" s="143"/>
      <c r="DYV33" s="143"/>
      <c r="DYW33" s="143"/>
      <c r="DYX33" s="143"/>
      <c r="DYY33" s="143"/>
      <c r="DYZ33" s="143"/>
      <c r="DZA33" s="143"/>
      <c r="DZB33" s="143"/>
      <c r="DZC33" s="143"/>
      <c r="DZD33" s="143"/>
      <c r="DZE33" s="143"/>
      <c r="DZF33" s="143"/>
      <c r="DZG33" s="143"/>
      <c r="DZH33" s="143"/>
      <c r="DZI33" s="143"/>
      <c r="DZJ33" s="143"/>
      <c r="DZK33" s="143"/>
      <c r="DZL33" s="143"/>
      <c r="DZM33" s="143"/>
      <c r="DZN33" s="143"/>
      <c r="DZO33" s="143"/>
      <c r="DZP33" s="143"/>
      <c r="DZQ33" s="143"/>
      <c r="DZR33" s="143"/>
      <c r="DZS33" s="143"/>
      <c r="DZT33" s="143"/>
      <c r="DZU33" s="143"/>
      <c r="DZV33" s="143"/>
      <c r="DZW33" s="143"/>
      <c r="DZX33" s="143"/>
      <c r="DZY33" s="143"/>
      <c r="DZZ33" s="143"/>
      <c r="EAA33" s="143"/>
      <c r="EAB33" s="143"/>
      <c r="EAC33" s="143"/>
      <c r="EAD33" s="143"/>
      <c r="EAE33" s="143"/>
      <c r="EAF33" s="143"/>
      <c r="EAG33" s="143"/>
      <c r="EAH33" s="143"/>
      <c r="EAI33" s="143"/>
      <c r="EAJ33" s="143"/>
      <c r="EAK33" s="143"/>
      <c r="EAL33" s="143"/>
      <c r="EAM33" s="143"/>
      <c r="EAN33" s="143"/>
      <c r="EAO33" s="143"/>
      <c r="EAP33" s="143"/>
      <c r="EAQ33" s="143"/>
      <c r="EAR33" s="143"/>
      <c r="EAS33" s="143"/>
      <c r="EAT33" s="143"/>
      <c r="EAU33" s="143"/>
      <c r="EAV33" s="143"/>
      <c r="EAW33" s="143"/>
      <c r="EAX33" s="143"/>
      <c r="EAY33" s="143"/>
      <c r="EAZ33" s="143"/>
      <c r="EBA33" s="143"/>
      <c r="EBB33" s="143"/>
      <c r="EBC33" s="143"/>
      <c r="EBD33" s="143"/>
      <c r="EBE33" s="143"/>
      <c r="EBF33" s="143"/>
      <c r="EBG33" s="143"/>
      <c r="EBH33" s="143"/>
      <c r="EBI33" s="143"/>
      <c r="EBJ33" s="143"/>
      <c r="EBK33" s="143"/>
      <c r="EBL33" s="143"/>
      <c r="EBM33" s="143"/>
      <c r="EBN33" s="143"/>
      <c r="EBO33" s="143"/>
      <c r="EBP33" s="143"/>
      <c r="EBQ33" s="143"/>
      <c r="EBR33" s="143"/>
      <c r="EBS33" s="143"/>
      <c r="EBT33" s="143"/>
      <c r="EBU33" s="143"/>
      <c r="EBV33" s="143"/>
      <c r="EBW33" s="143"/>
      <c r="EBX33" s="143"/>
      <c r="EBY33" s="143"/>
      <c r="EBZ33" s="143"/>
      <c r="ECA33" s="143"/>
      <c r="ECB33" s="143"/>
      <c r="ECC33" s="143"/>
      <c r="ECD33" s="143"/>
      <c r="ECE33" s="143"/>
      <c r="ECF33" s="143"/>
      <c r="ECG33" s="143"/>
      <c r="ECH33" s="143"/>
      <c r="ECI33" s="143"/>
      <c r="ECJ33" s="143"/>
      <c r="ECK33" s="143"/>
      <c r="ECL33" s="143"/>
      <c r="ECM33" s="143"/>
      <c r="ECN33" s="143"/>
      <c r="ECO33" s="143"/>
      <c r="ECP33" s="143"/>
      <c r="ECQ33" s="143"/>
      <c r="ECR33" s="143"/>
      <c r="ECS33" s="143"/>
      <c r="ECT33" s="143"/>
      <c r="ECU33" s="143"/>
      <c r="ECV33" s="143"/>
      <c r="ECW33" s="143"/>
      <c r="ECX33" s="143"/>
      <c r="ECY33" s="143"/>
      <c r="ECZ33" s="143"/>
      <c r="EDA33" s="143"/>
      <c r="EDB33" s="143"/>
      <c r="EDC33" s="143"/>
      <c r="EDD33" s="143"/>
      <c r="EDE33" s="143"/>
      <c r="EDF33" s="143"/>
      <c r="EDG33" s="143"/>
      <c r="EDH33" s="143"/>
      <c r="EDI33" s="143"/>
      <c r="EDJ33" s="143"/>
      <c r="EDK33" s="143"/>
      <c r="EDL33" s="143"/>
      <c r="EDM33" s="143"/>
      <c r="EDN33" s="143"/>
      <c r="EDO33" s="143"/>
      <c r="EDP33" s="143"/>
      <c r="EDQ33" s="143"/>
      <c r="EDR33" s="143"/>
      <c r="EDS33" s="143"/>
      <c r="EDT33" s="143"/>
      <c r="EDU33" s="143"/>
      <c r="EDV33" s="143"/>
      <c r="EDW33" s="143"/>
      <c r="EDX33" s="143"/>
      <c r="EDY33" s="143"/>
      <c r="EDZ33" s="143"/>
      <c r="EEA33" s="143"/>
      <c r="EEB33" s="143"/>
      <c r="EEC33" s="143"/>
      <c r="EED33" s="143"/>
      <c r="EEE33" s="143"/>
      <c r="EEF33" s="143"/>
      <c r="EEG33" s="143"/>
      <c r="EEH33" s="143"/>
      <c r="EEI33" s="143"/>
      <c r="EEJ33" s="143"/>
      <c r="EEK33" s="143"/>
      <c r="EEL33" s="143"/>
      <c r="EEM33" s="143"/>
      <c r="EEN33" s="143"/>
      <c r="EEO33" s="143"/>
      <c r="EEP33" s="143"/>
      <c r="EEQ33" s="143"/>
      <c r="EER33" s="143"/>
      <c r="EES33" s="143"/>
      <c r="EET33" s="143"/>
      <c r="EEU33" s="143"/>
      <c r="EEV33" s="143"/>
      <c r="EEW33" s="143"/>
      <c r="EEX33" s="143"/>
      <c r="EEY33" s="143"/>
      <c r="EEZ33" s="143"/>
      <c r="EFA33" s="143"/>
      <c r="EFB33" s="143"/>
      <c r="EFC33" s="143"/>
      <c r="EFD33" s="143"/>
      <c r="EFE33" s="143"/>
      <c r="EFF33" s="143"/>
      <c r="EFG33" s="143"/>
      <c r="EFH33" s="143"/>
      <c r="EFI33" s="143"/>
      <c r="EFJ33" s="143"/>
      <c r="EFK33" s="143"/>
      <c r="EFL33" s="143"/>
      <c r="EFM33" s="143"/>
      <c r="EFN33" s="143"/>
      <c r="EFO33" s="143"/>
      <c r="EFP33" s="143"/>
      <c r="EFQ33" s="143"/>
      <c r="EFR33" s="143"/>
      <c r="EFS33" s="143"/>
      <c r="EFT33" s="143"/>
      <c r="EFU33" s="143"/>
      <c r="EFV33" s="143"/>
      <c r="EFW33" s="143"/>
      <c r="EFX33" s="143"/>
      <c r="EFY33" s="143"/>
      <c r="EFZ33" s="143"/>
      <c r="EGA33" s="143"/>
      <c r="EGB33" s="143"/>
      <c r="EGC33" s="143"/>
      <c r="EGD33" s="143"/>
      <c r="EGE33" s="143"/>
      <c r="EGF33" s="143"/>
      <c r="EGG33" s="143"/>
      <c r="EGH33" s="143"/>
      <c r="EGI33" s="143"/>
      <c r="EGJ33" s="143"/>
      <c r="EGK33" s="143"/>
      <c r="EGL33" s="143"/>
      <c r="EGM33" s="143"/>
      <c r="EGN33" s="143"/>
      <c r="EGO33" s="143"/>
      <c r="EGP33" s="143"/>
      <c r="EGQ33" s="143"/>
      <c r="EGR33" s="143"/>
      <c r="EGS33" s="143"/>
      <c r="EGT33" s="143"/>
      <c r="EGU33" s="143"/>
      <c r="EGV33" s="143"/>
      <c r="EGW33" s="143"/>
      <c r="EGX33" s="143"/>
      <c r="EGY33" s="143"/>
      <c r="EGZ33" s="143"/>
      <c r="EHA33" s="143"/>
      <c r="EHB33" s="143"/>
      <c r="EHC33" s="143"/>
      <c r="EHD33" s="143"/>
      <c r="EHE33" s="143"/>
      <c r="EHF33" s="143"/>
      <c r="EHG33" s="143"/>
      <c r="EHH33" s="143"/>
      <c r="EHI33" s="143"/>
      <c r="EHJ33" s="143"/>
      <c r="EHK33" s="143"/>
      <c r="EHL33" s="143"/>
      <c r="EHM33" s="143"/>
      <c r="EHN33" s="143"/>
      <c r="EHO33" s="143"/>
      <c r="EHP33" s="143"/>
      <c r="EHQ33" s="143"/>
      <c r="EHR33" s="143"/>
      <c r="EHS33" s="143"/>
      <c r="EHT33" s="143"/>
      <c r="EHU33" s="143"/>
      <c r="EHV33" s="143"/>
      <c r="EHW33" s="143"/>
      <c r="EHX33" s="143"/>
      <c r="EHY33" s="143"/>
      <c r="EHZ33" s="143"/>
      <c r="EIA33" s="143"/>
      <c r="EIB33" s="143"/>
      <c r="EIC33" s="143"/>
      <c r="EID33" s="143"/>
      <c r="EIE33" s="143"/>
      <c r="EIF33" s="143"/>
      <c r="EIG33" s="143"/>
      <c r="EIH33" s="143"/>
      <c r="EII33" s="143"/>
      <c r="EIJ33" s="143"/>
      <c r="EIK33" s="143"/>
      <c r="EIL33" s="143"/>
      <c r="EIM33" s="143"/>
      <c r="EIN33" s="143"/>
      <c r="EIO33" s="143"/>
      <c r="EIP33" s="143"/>
      <c r="EIQ33" s="143"/>
      <c r="EIR33" s="143"/>
      <c r="EIS33" s="143"/>
      <c r="EIT33" s="143"/>
      <c r="EIU33" s="143"/>
      <c r="EIV33" s="143"/>
      <c r="EIW33" s="143"/>
      <c r="EIX33" s="143"/>
      <c r="EIY33" s="143"/>
      <c r="EIZ33" s="143"/>
      <c r="EJA33" s="143"/>
      <c r="EJB33" s="143"/>
      <c r="EJC33" s="143"/>
      <c r="EJD33" s="143"/>
      <c r="EJE33" s="143"/>
      <c r="EJF33" s="143"/>
      <c r="EJG33" s="143"/>
      <c r="EJH33" s="143"/>
      <c r="EJI33" s="143"/>
      <c r="EJJ33" s="143"/>
      <c r="EJK33" s="143"/>
      <c r="EJL33" s="143"/>
      <c r="EJM33" s="143"/>
      <c r="EJN33" s="143"/>
      <c r="EJO33" s="143"/>
      <c r="EJP33" s="143"/>
      <c r="EJQ33" s="143"/>
      <c r="EJR33" s="143"/>
      <c r="EJS33" s="143"/>
      <c r="EJT33" s="143"/>
      <c r="EJU33" s="143"/>
      <c r="EJV33" s="143"/>
      <c r="EJW33" s="143"/>
      <c r="EJX33" s="143"/>
      <c r="EJY33" s="143"/>
      <c r="EJZ33" s="143"/>
      <c r="EKA33" s="143"/>
      <c r="EKB33" s="143"/>
      <c r="EKC33" s="143"/>
      <c r="EKD33" s="143"/>
      <c r="EKE33" s="143"/>
      <c r="EKF33" s="143"/>
      <c r="EKG33" s="143"/>
      <c r="EKH33" s="143"/>
      <c r="EKI33" s="143"/>
      <c r="EKJ33" s="143"/>
      <c r="EKK33" s="143"/>
      <c r="EKL33" s="143"/>
      <c r="EKM33" s="143"/>
      <c r="EKN33" s="143"/>
      <c r="EKO33" s="143"/>
      <c r="EKP33" s="143"/>
      <c r="EKQ33" s="143"/>
      <c r="EKR33" s="143"/>
      <c r="EKS33" s="143"/>
      <c r="EKT33" s="143"/>
      <c r="EKU33" s="143"/>
      <c r="EKV33" s="143"/>
      <c r="EKW33" s="143"/>
      <c r="EKX33" s="143"/>
      <c r="EKY33" s="143"/>
      <c r="EKZ33" s="143"/>
      <c r="ELA33" s="143"/>
      <c r="ELB33" s="143"/>
      <c r="ELC33" s="143"/>
      <c r="ELD33" s="143"/>
      <c r="ELE33" s="143"/>
      <c r="ELF33" s="143"/>
      <c r="ELG33" s="143"/>
      <c r="ELH33" s="143"/>
      <c r="ELI33" s="143"/>
      <c r="ELJ33" s="143"/>
      <c r="ELK33" s="143"/>
      <c r="ELL33" s="143"/>
      <c r="ELM33" s="143"/>
      <c r="ELN33" s="143"/>
      <c r="ELO33" s="143"/>
      <c r="ELP33" s="143"/>
      <c r="ELQ33" s="143"/>
      <c r="ELR33" s="143"/>
      <c r="ELS33" s="143"/>
      <c r="ELT33" s="143"/>
      <c r="ELU33" s="143"/>
      <c r="ELV33" s="143"/>
      <c r="ELW33" s="143"/>
      <c r="ELX33" s="143"/>
      <c r="ELY33" s="143"/>
      <c r="ELZ33" s="143"/>
      <c r="EMA33" s="143"/>
      <c r="EMB33" s="143"/>
      <c r="EMC33" s="143"/>
      <c r="EMD33" s="143"/>
      <c r="EME33" s="143"/>
      <c r="EMF33" s="143"/>
      <c r="EMG33" s="143"/>
      <c r="EMH33" s="143"/>
      <c r="EMI33" s="143"/>
      <c r="EMJ33" s="143"/>
      <c r="EMK33" s="143"/>
      <c r="EML33" s="143"/>
      <c r="EMM33" s="143"/>
      <c r="EMN33" s="143"/>
      <c r="EMO33" s="143"/>
      <c r="EMP33" s="143"/>
      <c r="EMQ33" s="143"/>
      <c r="EMR33" s="143"/>
      <c r="EMS33" s="143"/>
      <c r="EMT33" s="143"/>
      <c r="EMU33" s="143"/>
      <c r="EMV33" s="143"/>
      <c r="EMW33" s="143"/>
      <c r="EMX33" s="143"/>
      <c r="EMY33" s="143"/>
      <c r="EMZ33" s="143"/>
      <c r="ENA33" s="143"/>
      <c r="ENB33" s="143"/>
      <c r="ENC33" s="143"/>
      <c r="END33" s="143"/>
      <c r="ENE33" s="143"/>
      <c r="ENF33" s="143"/>
      <c r="ENG33" s="143"/>
      <c r="ENH33" s="143"/>
      <c r="ENI33" s="143"/>
      <c r="ENJ33" s="143"/>
      <c r="ENK33" s="143"/>
      <c r="ENL33" s="143"/>
      <c r="ENM33" s="143"/>
      <c r="ENN33" s="143"/>
      <c r="ENO33" s="143"/>
      <c r="ENP33" s="143"/>
      <c r="ENQ33" s="143"/>
      <c r="ENR33" s="143"/>
      <c r="ENS33" s="143"/>
      <c r="ENT33" s="143"/>
      <c r="ENU33" s="143"/>
      <c r="ENV33" s="143"/>
      <c r="ENW33" s="143"/>
      <c r="ENX33" s="143"/>
      <c r="ENY33" s="143"/>
      <c r="ENZ33" s="143"/>
      <c r="EOA33" s="143"/>
      <c r="EOB33" s="143"/>
      <c r="EOC33" s="143"/>
      <c r="EOD33" s="143"/>
      <c r="EOE33" s="143"/>
      <c r="EOF33" s="143"/>
      <c r="EOG33" s="143"/>
      <c r="EOH33" s="143"/>
      <c r="EOI33" s="143"/>
      <c r="EOJ33" s="143"/>
      <c r="EOK33" s="143"/>
      <c r="EOL33" s="143"/>
      <c r="EOM33" s="143"/>
      <c r="EON33" s="143"/>
      <c r="EOO33" s="143"/>
      <c r="EOP33" s="143"/>
      <c r="EOQ33" s="143"/>
      <c r="EOR33" s="143"/>
      <c r="EOS33" s="143"/>
      <c r="EOT33" s="143"/>
      <c r="EOU33" s="143"/>
      <c r="EOV33" s="143"/>
      <c r="EOW33" s="143"/>
      <c r="EOX33" s="143"/>
      <c r="EOY33" s="143"/>
      <c r="EOZ33" s="143"/>
      <c r="EPA33" s="143"/>
      <c r="EPB33" s="143"/>
      <c r="EPC33" s="143"/>
      <c r="EPD33" s="143"/>
      <c r="EPE33" s="143"/>
      <c r="EPF33" s="143"/>
      <c r="EPG33" s="143"/>
      <c r="EPH33" s="143"/>
      <c r="EPI33" s="143"/>
      <c r="EPJ33" s="143"/>
      <c r="EPK33" s="143"/>
      <c r="EPL33" s="143"/>
      <c r="EPM33" s="143"/>
      <c r="EPN33" s="143"/>
      <c r="EPO33" s="143"/>
      <c r="EPP33" s="143"/>
      <c r="EPQ33" s="143"/>
      <c r="EPR33" s="143"/>
      <c r="EPS33" s="143"/>
      <c r="EPT33" s="143"/>
      <c r="EPU33" s="143"/>
      <c r="EPV33" s="143"/>
      <c r="EPW33" s="143"/>
      <c r="EPX33" s="143"/>
      <c r="EPY33" s="143"/>
      <c r="EPZ33" s="143"/>
      <c r="EQA33" s="143"/>
      <c r="EQB33" s="143"/>
      <c r="EQC33" s="143"/>
      <c r="EQD33" s="143"/>
      <c r="EQE33" s="143"/>
      <c r="EQF33" s="143"/>
      <c r="EQG33" s="143"/>
      <c r="EQH33" s="143"/>
      <c r="EQI33" s="143"/>
      <c r="EQJ33" s="143"/>
      <c r="EQK33" s="143"/>
      <c r="EQL33" s="143"/>
      <c r="EQM33" s="143"/>
      <c r="EQN33" s="143"/>
      <c r="EQO33" s="143"/>
      <c r="EQP33" s="143"/>
      <c r="EQQ33" s="143"/>
      <c r="EQR33" s="143"/>
      <c r="EQS33" s="143"/>
      <c r="EQT33" s="143"/>
      <c r="EQU33" s="143"/>
      <c r="EQV33" s="143"/>
      <c r="EQW33" s="143"/>
      <c r="EQX33" s="143"/>
      <c r="EQY33" s="143"/>
      <c r="EQZ33" s="143"/>
      <c r="ERA33" s="143"/>
      <c r="ERB33" s="143"/>
      <c r="ERC33" s="143"/>
      <c r="ERD33" s="143"/>
      <c r="ERE33" s="143"/>
      <c r="ERF33" s="143"/>
      <c r="ERG33" s="143"/>
      <c r="ERH33" s="143"/>
      <c r="ERI33" s="143"/>
      <c r="ERJ33" s="143"/>
      <c r="ERK33" s="143"/>
      <c r="ERL33" s="143"/>
      <c r="ERM33" s="143"/>
      <c r="ERN33" s="143"/>
      <c r="ERO33" s="143"/>
      <c r="ERP33" s="143"/>
      <c r="ERQ33" s="143"/>
      <c r="ERR33" s="143"/>
      <c r="ERS33" s="143"/>
      <c r="ERT33" s="143"/>
      <c r="ERU33" s="143"/>
      <c r="ERV33" s="143"/>
      <c r="ERW33" s="143"/>
      <c r="ERX33" s="143"/>
      <c r="ERY33" s="143"/>
      <c r="ERZ33" s="143"/>
      <c r="ESA33" s="143"/>
      <c r="ESB33" s="143"/>
      <c r="ESC33" s="143"/>
      <c r="ESD33" s="143"/>
      <c r="ESE33" s="143"/>
      <c r="ESF33" s="143"/>
      <c r="ESG33" s="143"/>
      <c r="ESH33" s="143"/>
      <c r="ESI33" s="143"/>
      <c r="ESJ33" s="143"/>
      <c r="ESK33" s="143"/>
      <c r="ESL33" s="143"/>
      <c r="ESM33" s="143"/>
      <c r="ESN33" s="143"/>
      <c r="ESO33" s="143"/>
      <c r="ESP33" s="143"/>
      <c r="ESQ33" s="143"/>
      <c r="ESR33" s="143"/>
      <c r="ESS33" s="143"/>
      <c r="EST33" s="143"/>
      <c r="ESU33" s="143"/>
      <c r="ESV33" s="143"/>
      <c r="ESW33" s="143"/>
      <c r="ESX33" s="143"/>
      <c r="ESY33" s="143"/>
      <c r="ESZ33" s="143"/>
      <c r="ETA33" s="143"/>
      <c r="ETB33" s="143"/>
      <c r="ETC33" s="143"/>
      <c r="ETD33" s="143"/>
      <c r="ETE33" s="143"/>
      <c r="ETF33" s="143"/>
      <c r="ETG33" s="143"/>
      <c r="ETH33" s="143"/>
      <c r="ETI33" s="143"/>
      <c r="ETJ33" s="143"/>
      <c r="ETK33" s="143"/>
      <c r="ETL33" s="143"/>
      <c r="ETM33" s="143"/>
      <c r="ETN33" s="143"/>
      <c r="ETO33" s="143"/>
      <c r="ETP33" s="143"/>
      <c r="ETQ33" s="143"/>
      <c r="ETR33" s="143"/>
      <c r="ETS33" s="143"/>
      <c r="ETT33" s="143"/>
      <c r="ETU33" s="143"/>
      <c r="ETV33" s="143"/>
      <c r="ETW33" s="143"/>
      <c r="ETX33" s="143"/>
      <c r="ETY33" s="143"/>
      <c r="ETZ33" s="143"/>
      <c r="EUA33" s="143"/>
      <c r="EUB33" s="143"/>
      <c r="EUC33" s="143"/>
      <c r="EUD33" s="143"/>
      <c r="EUE33" s="143"/>
      <c r="EUF33" s="143"/>
      <c r="EUG33" s="143"/>
      <c r="EUH33" s="143"/>
      <c r="EUI33" s="143"/>
      <c r="EUJ33" s="143"/>
      <c r="EUK33" s="143"/>
      <c r="EUL33" s="143"/>
      <c r="EUM33" s="143"/>
      <c r="EUN33" s="143"/>
      <c r="EUO33" s="143"/>
      <c r="EUP33" s="143"/>
      <c r="EUQ33" s="143"/>
      <c r="EUR33" s="143"/>
      <c r="EUS33" s="143"/>
      <c r="EUT33" s="143"/>
      <c r="EUU33" s="143"/>
      <c r="EUV33" s="143"/>
      <c r="EUW33" s="143"/>
      <c r="EUX33" s="143"/>
      <c r="EUY33" s="143"/>
      <c r="EUZ33" s="143"/>
      <c r="EVA33" s="143"/>
      <c r="EVB33" s="143"/>
      <c r="EVC33" s="143"/>
      <c r="EVD33" s="143"/>
      <c r="EVE33" s="143"/>
      <c r="EVF33" s="143"/>
      <c r="EVG33" s="143"/>
      <c r="EVH33" s="143"/>
      <c r="EVI33" s="143"/>
      <c r="EVJ33" s="143"/>
      <c r="EVK33" s="143"/>
      <c r="EVL33" s="143"/>
      <c r="EVM33" s="143"/>
      <c r="EVN33" s="143"/>
      <c r="EVO33" s="143"/>
      <c r="EVP33" s="143"/>
      <c r="EVQ33" s="143"/>
      <c r="EVR33" s="143"/>
      <c r="EVS33" s="143"/>
      <c r="EVT33" s="143"/>
      <c r="EVU33" s="143"/>
      <c r="EVV33" s="143"/>
      <c r="EVW33" s="143"/>
      <c r="EVX33" s="143"/>
      <c r="EVY33" s="143"/>
      <c r="EVZ33" s="143"/>
      <c r="EWA33" s="143"/>
      <c r="EWB33" s="143"/>
      <c r="EWC33" s="143"/>
      <c r="EWD33" s="143"/>
      <c r="EWE33" s="143"/>
      <c r="EWF33" s="143"/>
      <c r="EWG33" s="143"/>
      <c r="EWH33" s="143"/>
      <c r="EWI33" s="143"/>
      <c r="EWJ33" s="143"/>
      <c r="EWK33" s="143"/>
      <c r="EWL33" s="143"/>
      <c r="EWM33" s="143"/>
      <c r="EWN33" s="143"/>
      <c r="EWO33" s="143"/>
      <c r="EWP33" s="143"/>
      <c r="EWQ33" s="143"/>
      <c r="EWR33" s="143"/>
      <c r="EWS33" s="143"/>
      <c r="EWT33" s="143"/>
      <c r="EWU33" s="143"/>
      <c r="EWV33" s="143"/>
      <c r="EWW33" s="143"/>
      <c r="EWX33" s="143"/>
      <c r="EWY33" s="143"/>
      <c r="EWZ33" s="143"/>
      <c r="EXA33" s="143"/>
      <c r="EXB33" s="143"/>
      <c r="EXC33" s="143"/>
      <c r="EXD33" s="143"/>
      <c r="EXE33" s="143"/>
      <c r="EXF33" s="143"/>
      <c r="EXG33" s="143"/>
      <c r="EXH33" s="143"/>
      <c r="EXI33" s="143"/>
      <c r="EXJ33" s="143"/>
      <c r="EXK33" s="143"/>
      <c r="EXL33" s="143"/>
      <c r="EXM33" s="143"/>
      <c r="EXN33" s="143"/>
      <c r="EXO33" s="143"/>
      <c r="EXP33" s="143"/>
      <c r="EXQ33" s="143"/>
      <c r="EXR33" s="143"/>
      <c r="EXS33" s="143"/>
      <c r="EXT33" s="143"/>
      <c r="EXU33" s="143"/>
      <c r="EXV33" s="143"/>
      <c r="EXW33" s="143"/>
      <c r="EXX33" s="143"/>
      <c r="EXY33" s="143"/>
      <c r="EXZ33" s="143"/>
      <c r="EYA33" s="143"/>
      <c r="EYB33" s="143"/>
      <c r="EYC33" s="143"/>
      <c r="EYD33" s="143"/>
      <c r="EYE33" s="143"/>
      <c r="EYF33" s="143"/>
      <c r="EYG33" s="143"/>
      <c r="EYH33" s="143"/>
      <c r="EYI33" s="143"/>
      <c r="EYJ33" s="143"/>
      <c r="EYK33" s="143"/>
      <c r="EYL33" s="143"/>
      <c r="EYM33" s="143"/>
      <c r="EYN33" s="143"/>
      <c r="EYO33" s="143"/>
      <c r="EYP33" s="143"/>
      <c r="EYQ33" s="143"/>
      <c r="EYR33" s="143"/>
      <c r="EYS33" s="143"/>
      <c r="EYT33" s="143"/>
      <c r="EYU33" s="143"/>
      <c r="EYV33" s="143"/>
      <c r="EYW33" s="143"/>
      <c r="EYX33" s="143"/>
      <c r="EYY33" s="143"/>
      <c r="EYZ33" s="143"/>
      <c r="EZA33" s="143"/>
      <c r="EZB33" s="143"/>
      <c r="EZC33" s="143"/>
      <c r="EZD33" s="143"/>
      <c r="EZE33" s="143"/>
      <c r="EZF33" s="143"/>
      <c r="EZG33" s="143"/>
      <c r="EZH33" s="143"/>
      <c r="EZI33" s="143"/>
      <c r="EZJ33" s="143"/>
      <c r="EZK33" s="143"/>
      <c r="EZL33" s="143"/>
      <c r="EZM33" s="143"/>
      <c r="EZN33" s="143"/>
      <c r="EZO33" s="143"/>
      <c r="EZP33" s="143"/>
      <c r="EZQ33" s="143"/>
      <c r="EZR33" s="143"/>
      <c r="EZS33" s="143"/>
      <c r="EZT33" s="143"/>
      <c r="EZU33" s="143"/>
      <c r="EZV33" s="143"/>
      <c r="EZW33" s="143"/>
      <c r="EZX33" s="143"/>
      <c r="EZY33" s="143"/>
      <c r="EZZ33" s="143"/>
      <c r="FAA33" s="143"/>
      <c r="FAB33" s="143"/>
      <c r="FAC33" s="143"/>
      <c r="FAD33" s="143"/>
      <c r="FAE33" s="143"/>
      <c r="FAF33" s="143"/>
      <c r="FAG33" s="143"/>
      <c r="FAH33" s="143"/>
      <c r="FAI33" s="143"/>
      <c r="FAJ33" s="143"/>
      <c r="FAK33" s="143"/>
      <c r="FAL33" s="143"/>
      <c r="FAM33" s="143"/>
      <c r="FAN33" s="143"/>
      <c r="FAO33" s="143"/>
      <c r="FAP33" s="143"/>
      <c r="FAQ33" s="143"/>
      <c r="FAR33" s="143"/>
      <c r="FAS33" s="143"/>
      <c r="FAT33" s="143"/>
      <c r="FAU33" s="143"/>
      <c r="FAV33" s="143"/>
      <c r="FAW33" s="143"/>
      <c r="FAX33" s="143"/>
      <c r="FAY33" s="143"/>
      <c r="FAZ33" s="143"/>
      <c r="FBA33" s="143"/>
      <c r="FBB33" s="143"/>
      <c r="FBC33" s="143"/>
      <c r="FBD33" s="143"/>
      <c r="FBE33" s="143"/>
      <c r="FBF33" s="143"/>
      <c r="FBG33" s="143"/>
      <c r="FBH33" s="143"/>
      <c r="FBI33" s="143"/>
      <c r="FBJ33" s="143"/>
      <c r="FBK33" s="143"/>
      <c r="FBL33" s="143"/>
      <c r="FBM33" s="143"/>
      <c r="FBN33" s="143"/>
      <c r="FBO33" s="143"/>
      <c r="FBP33" s="143"/>
      <c r="FBQ33" s="143"/>
      <c r="FBR33" s="143"/>
      <c r="FBS33" s="143"/>
      <c r="FBT33" s="143"/>
      <c r="FBU33" s="143"/>
      <c r="FBV33" s="143"/>
      <c r="FBW33" s="143"/>
      <c r="FBX33" s="143"/>
      <c r="FBY33" s="143"/>
      <c r="FBZ33" s="143"/>
      <c r="FCA33" s="143"/>
      <c r="FCB33" s="143"/>
      <c r="FCC33" s="143"/>
      <c r="FCD33" s="143"/>
      <c r="FCE33" s="143"/>
      <c r="FCF33" s="143"/>
      <c r="FCG33" s="143"/>
      <c r="FCH33" s="143"/>
      <c r="FCI33" s="143"/>
      <c r="FCJ33" s="143"/>
      <c r="FCK33" s="143"/>
      <c r="FCL33" s="143"/>
      <c r="FCM33" s="143"/>
      <c r="FCN33" s="143"/>
      <c r="FCO33" s="143"/>
      <c r="FCP33" s="143"/>
      <c r="FCQ33" s="143"/>
      <c r="FCR33" s="143"/>
      <c r="FCS33" s="143"/>
      <c r="FCT33" s="143"/>
      <c r="FCU33" s="143"/>
      <c r="FCV33" s="143"/>
      <c r="FCW33" s="143"/>
      <c r="FCX33" s="143"/>
      <c r="FCY33" s="143"/>
      <c r="FCZ33" s="143"/>
      <c r="FDA33" s="143"/>
      <c r="FDB33" s="143"/>
      <c r="FDC33" s="143"/>
      <c r="FDD33" s="143"/>
      <c r="FDE33" s="143"/>
      <c r="FDF33" s="143"/>
      <c r="FDG33" s="143"/>
      <c r="FDH33" s="143"/>
      <c r="FDI33" s="143"/>
      <c r="FDJ33" s="143"/>
      <c r="FDK33" s="143"/>
      <c r="FDL33" s="143"/>
      <c r="FDM33" s="143"/>
      <c r="FDN33" s="143"/>
      <c r="FDO33" s="143"/>
      <c r="FDP33" s="143"/>
      <c r="FDQ33" s="143"/>
      <c r="FDR33" s="143"/>
      <c r="FDS33" s="143"/>
      <c r="FDT33" s="143"/>
      <c r="FDU33" s="143"/>
      <c r="FDV33" s="143"/>
      <c r="FDW33" s="143"/>
      <c r="FDX33" s="143"/>
      <c r="FDY33" s="143"/>
      <c r="FDZ33" s="143"/>
      <c r="FEA33" s="143"/>
      <c r="FEB33" s="143"/>
      <c r="FEC33" s="143"/>
      <c r="FED33" s="143"/>
      <c r="FEE33" s="143"/>
      <c r="FEF33" s="143"/>
      <c r="FEG33" s="143"/>
      <c r="FEH33" s="143"/>
      <c r="FEI33" s="143"/>
      <c r="FEJ33" s="143"/>
      <c r="FEK33" s="143"/>
      <c r="FEL33" s="143"/>
      <c r="FEM33" s="143"/>
      <c r="FEN33" s="143"/>
      <c r="FEO33" s="143"/>
      <c r="FEP33" s="143"/>
      <c r="FEQ33" s="143"/>
      <c r="FER33" s="143"/>
      <c r="FES33" s="143"/>
      <c r="FET33" s="143"/>
      <c r="FEU33" s="143"/>
      <c r="FEV33" s="143"/>
      <c r="FEW33" s="143"/>
      <c r="FEX33" s="143"/>
      <c r="FEY33" s="143"/>
      <c r="FEZ33" s="143"/>
      <c r="FFA33" s="143"/>
      <c r="FFB33" s="143"/>
      <c r="FFC33" s="143"/>
      <c r="FFD33" s="143"/>
      <c r="FFE33" s="143"/>
      <c r="FFF33" s="143"/>
      <c r="FFG33" s="143"/>
      <c r="FFH33" s="143"/>
      <c r="FFI33" s="143"/>
      <c r="FFJ33" s="143"/>
      <c r="FFK33" s="143"/>
      <c r="FFL33" s="143"/>
      <c r="FFM33" s="143"/>
      <c r="FFN33" s="143"/>
      <c r="FFO33" s="143"/>
      <c r="FFP33" s="143"/>
      <c r="FFQ33" s="143"/>
      <c r="FFR33" s="143"/>
      <c r="FFS33" s="143"/>
      <c r="FFT33" s="143"/>
      <c r="FFU33" s="143"/>
      <c r="FFV33" s="143"/>
      <c r="FFW33" s="143"/>
      <c r="FFX33" s="143"/>
      <c r="FFY33" s="143"/>
      <c r="FFZ33" s="143"/>
      <c r="FGA33" s="143"/>
      <c r="FGB33" s="143"/>
      <c r="FGC33" s="143"/>
      <c r="FGD33" s="143"/>
      <c r="FGE33" s="143"/>
      <c r="FGF33" s="143"/>
      <c r="FGG33" s="143"/>
      <c r="FGH33" s="143"/>
      <c r="FGI33" s="143"/>
      <c r="FGJ33" s="143"/>
      <c r="FGK33" s="143"/>
      <c r="FGL33" s="143"/>
      <c r="FGM33" s="143"/>
      <c r="FGN33" s="143"/>
      <c r="FGO33" s="143"/>
      <c r="FGP33" s="143"/>
      <c r="FGQ33" s="143"/>
      <c r="FGR33" s="143"/>
      <c r="FGS33" s="143"/>
      <c r="FGT33" s="143"/>
      <c r="FGU33" s="143"/>
      <c r="FGV33" s="143"/>
      <c r="FGW33" s="143"/>
      <c r="FGX33" s="143"/>
      <c r="FGY33" s="143"/>
      <c r="FGZ33" s="143"/>
      <c r="FHA33" s="143"/>
      <c r="FHB33" s="143"/>
      <c r="FHC33" s="143"/>
      <c r="FHD33" s="143"/>
      <c r="FHE33" s="143"/>
      <c r="FHF33" s="143"/>
      <c r="FHG33" s="143"/>
      <c r="FHH33" s="143"/>
      <c r="FHI33" s="143"/>
      <c r="FHJ33" s="143"/>
      <c r="FHK33" s="143"/>
      <c r="FHL33" s="143"/>
      <c r="FHM33" s="143"/>
      <c r="FHN33" s="143"/>
      <c r="FHO33" s="143"/>
      <c r="FHP33" s="143"/>
      <c r="FHQ33" s="143"/>
      <c r="FHR33" s="143"/>
      <c r="FHS33" s="143"/>
      <c r="FHT33" s="143"/>
      <c r="FHU33" s="143"/>
      <c r="FHV33" s="143"/>
      <c r="FHW33" s="143"/>
      <c r="FHX33" s="143"/>
      <c r="FHY33" s="143"/>
      <c r="FHZ33" s="143"/>
      <c r="FIA33" s="143"/>
      <c r="FIB33" s="143"/>
      <c r="FIC33" s="143"/>
      <c r="FID33" s="143"/>
      <c r="FIE33" s="143"/>
      <c r="FIF33" s="143"/>
      <c r="FIG33" s="143"/>
      <c r="FIH33" s="143"/>
      <c r="FII33" s="143"/>
      <c r="FIJ33" s="143"/>
      <c r="FIK33" s="143"/>
      <c r="FIL33" s="143"/>
      <c r="FIM33" s="143"/>
      <c r="FIN33" s="143"/>
      <c r="FIO33" s="143"/>
      <c r="FIP33" s="143"/>
      <c r="FIQ33" s="143"/>
      <c r="FIR33" s="143"/>
      <c r="FIS33" s="143"/>
      <c r="FIT33" s="143"/>
      <c r="FIU33" s="143"/>
      <c r="FIV33" s="143"/>
      <c r="FIW33" s="143"/>
      <c r="FIX33" s="143"/>
      <c r="FIY33" s="143"/>
      <c r="FIZ33" s="143"/>
      <c r="FJA33" s="143"/>
      <c r="FJB33" s="143"/>
      <c r="FJC33" s="143"/>
      <c r="FJD33" s="143"/>
      <c r="FJE33" s="143"/>
      <c r="FJF33" s="143"/>
      <c r="FJG33" s="143"/>
      <c r="FJH33" s="143"/>
      <c r="FJI33" s="143"/>
      <c r="FJJ33" s="143"/>
      <c r="FJK33" s="143"/>
      <c r="FJL33" s="143"/>
      <c r="FJM33" s="143"/>
      <c r="FJN33" s="143"/>
      <c r="FJO33" s="143"/>
      <c r="FJP33" s="143"/>
      <c r="FJQ33" s="143"/>
      <c r="FJR33" s="143"/>
      <c r="FJS33" s="143"/>
      <c r="FJT33" s="143"/>
      <c r="FJU33" s="143"/>
      <c r="FJV33" s="143"/>
      <c r="FJW33" s="143"/>
      <c r="FJX33" s="143"/>
      <c r="FJY33" s="143"/>
      <c r="FJZ33" s="143"/>
      <c r="FKA33" s="143"/>
      <c r="FKB33" s="143"/>
      <c r="FKC33" s="143"/>
      <c r="FKD33" s="143"/>
      <c r="FKE33" s="143"/>
      <c r="FKF33" s="143"/>
      <c r="FKG33" s="143"/>
      <c r="FKH33" s="143"/>
      <c r="FKI33" s="143"/>
      <c r="FKJ33" s="143"/>
      <c r="FKK33" s="143"/>
      <c r="FKL33" s="143"/>
      <c r="FKM33" s="143"/>
      <c r="FKN33" s="143"/>
      <c r="FKO33" s="143"/>
      <c r="FKP33" s="143"/>
      <c r="FKQ33" s="143"/>
      <c r="FKR33" s="143"/>
      <c r="FKS33" s="143"/>
      <c r="FKT33" s="143"/>
      <c r="FKU33" s="143"/>
      <c r="FKV33" s="143"/>
      <c r="FKW33" s="143"/>
      <c r="FKX33" s="143"/>
      <c r="FKY33" s="143"/>
      <c r="FKZ33" s="143"/>
      <c r="FLA33" s="143"/>
      <c r="FLB33" s="143"/>
      <c r="FLC33" s="143"/>
      <c r="FLD33" s="143"/>
      <c r="FLE33" s="143"/>
      <c r="FLF33" s="143"/>
      <c r="FLG33" s="143"/>
      <c r="FLH33" s="143"/>
      <c r="FLI33" s="143"/>
      <c r="FLJ33" s="143"/>
      <c r="FLK33" s="143"/>
      <c r="FLL33" s="143"/>
      <c r="FLM33" s="143"/>
      <c r="FLN33" s="143"/>
      <c r="FLO33" s="143"/>
      <c r="FLP33" s="143"/>
      <c r="FLQ33" s="143"/>
      <c r="FLR33" s="143"/>
      <c r="FLS33" s="143"/>
      <c r="FLT33" s="143"/>
      <c r="FLU33" s="143"/>
      <c r="FLV33" s="143"/>
      <c r="FLW33" s="143"/>
      <c r="FLX33" s="143"/>
      <c r="FLY33" s="143"/>
      <c r="FLZ33" s="143"/>
      <c r="FMA33" s="143"/>
      <c r="FMB33" s="143"/>
      <c r="FMC33" s="143"/>
      <c r="FMD33" s="143"/>
      <c r="FME33" s="143"/>
      <c r="FMF33" s="143"/>
      <c r="FMG33" s="143"/>
      <c r="FMH33" s="143"/>
      <c r="FMI33" s="143"/>
      <c r="FMJ33" s="143"/>
      <c r="FMK33" s="143"/>
      <c r="FML33" s="143"/>
      <c r="FMM33" s="143"/>
      <c r="FMN33" s="143"/>
      <c r="FMO33" s="143"/>
      <c r="FMP33" s="143"/>
      <c r="FMQ33" s="143"/>
      <c r="FMR33" s="143"/>
      <c r="FMS33" s="143"/>
      <c r="FMT33" s="143"/>
      <c r="FMU33" s="143"/>
      <c r="FMV33" s="143"/>
      <c r="FMW33" s="143"/>
      <c r="FMX33" s="143"/>
      <c r="FMY33" s="143"/>
      <c r="FMZ33" s="143"/>
      <c r="FNA33" s="143"/>
      <c r="FNB33" s="143"/>
      <c r="FNC33" s="143"/>
      <c r="FND33" s="143"/>
      <c r="FNE33" s="143"/>
      <c r="FNF33" s="143"/>
      <c r="FNG33" s="143"/>
      <c r="FNH33" s="143"/>
      <c r="FNI33" s="143"/>
      <c r="FNJ33" s="143"/>
      <c r="FNK33" s="143"/>
      <c r="FNL33" s="143"/>
      <c r="FNM33" s="143"/>
      <c r="FNN33" s="143"/>
      <c r="FNO33" s="143"/>
      <c r="FNP33" s="143"/>
      <c r="FNQ33" s="143"/>
      <c r="FNR33" s="143"/>
      <c r="FNS33" s="143"/>
      <c r="FNT33" s="143"/>
      <c r="FNU33" s="143"/>
      <c r="FNV33" s="143"/>
      <c r="FNW33" s="143"/>
      <c r="FNX33" s="143"/>
      <c r="FNY33" s="143"/>
      <c r="FNZ33" s="143"/>
      <c r="FOA33" s="143"/>
      <c r="FOB33" s="143"/>
      <c r="FOC33" s="143"/>
      <c r="FOD33" s="143"/>
      <c r="FOE33" s="143"/>
      <c r="FOF33" s="143"/>
      <c r="FOG33" s="143"/>
      <c r="FOH33" s="143"/>
      <c r="FOI33" s="143"/>
      <c r="FOJ33" s="143"/>
      <c r="FOK33" s="143"/>
      <c r="FOL33" s="143"/>
      <c r="FOM33" s="143"/>
      <c r="FON33" s="143"/>
      <c r="FOO33" s="143"/>
      <c r="FOP33" s="143"/>
      <c r="FOQ33" s="143"/>
      <c r="FOR33" s="143"/>
      <c r="FOS33" s="143"/>
      <c r="FOT33" s="143"/>
      <c r="FOU33" s="143"/>
      <c r="FOV33" s="143"/>
      <c r="FOW33" s="143"/>
      <c r="FOX33" s="143"/>
      <c r="FOY33" s="143"/>
      <c r="FOZ33" s="143"/>
      <c r="FPA33" s="143"/>
      <c r="FPB33" s="143"/>
      <c r="FPC33" s="143"/>
      <c r="FPD33" s="143"/>
      <c r="FPE33" s="143"/>
      <c r="FPF33" s="143"/>
      <c r="FPG33" s="143"/>
      <c r="FPH33" s="143"/>
      <c r="FPI33" s="143"/>
      <c r="FPJ33" s="143"/>
      <c r="FPK33" s="143"/>
      <c r="FPL33" s="143"/>
      <c r="FPM33" s="143"/>
      <c r="FPN33" s="143"/>
      <c r="FPO33" s="143"/>
      <c r="FPP33" s="143"/>
      <c r="FPQ33" s="143"/>
      <c r="FPR33" s="143"/>
      <c r="FPS33" s="143"/>
      <c r="FPT33" s="143"/>
      <c r="FPU33" s="143"/>
      <c r="FPV33" s="143"/>
      <c r="FPW33" s="143"/>
      <c r="FPX33" s="143"/>
      <c r="FPY33" s="143"/>
      <c r="FPZ33" s="143"/>
      <c r="FQA33" s="143"/>
      <c r="FQB33" s="143"/>
      <c r="FQC33" s="143"/>
      <c r="FQD33" s="143"/>
      <c r="FQE33" s="143"/>
      <c r="FQF33" s="143"/>
      <c r="FQG33" s="143"/>
      <c r="FQH33" s="143"/>
      <c r="FQI33" s="143"/>
      <c r="FQJ33" s="143"/>
      <c r="FQK33" s="143"/>
      <c r="FQL33" s="143"/>
      <c r="FQM33" s="143"/>
      <c r="FQN33" s="143"/>
      <c r="FQO33" s="143"/>
      <c r="FQP33" s="143"/>
      <c r="FQQ33" s="143"/>
      <c r="FQR33" s="143"/>
      <c r="FQS33" s="143"/>
      <c r="FQT33" s="143"/>
      <c r="FQU33" s="143"/>
      <c r="FQV33" s="143"/>
      <c r="FQW33" s="143"/>
      <c r="FQX33" s="143"/>
      <c r="FQY33" s="143"/>
      <c r="FQZ33" s="143"/>
      <c r="FRA33" s="143"/>
      <c r="FRB33" s="143"/>
      <c r="FRC33" s="143"/>
      <c r="FRD33" s="143"/>
      <c r="FRE33" s="143"/>
      <c r="FRF33" s="143"/>
      <c r="FRG33" s="143"/>
      <c r="FRH33" s="143"/>
      <c r="FRI33" s="143"/>
      <c r="FRJ33" s="143"/>
      <c r="FRK33" s="143"/>
      <c r="FRL33" s="143"/>
      <c r="FRM33" s="143"/>
      <c r="FRN33" s="143"/>
      <c r="FRO33" s="143"/>
      <c r="FRP33" s="143"/>
      <c r="FRQ33" s="143"/>
      <c r="FRR33" s="143"/>
      <c r="FRS33" s="143"/>
      <c r="FRT33" s="143"/>
      <c r="FRU33" s="143"/>
      <c r="FRV33" s="143"/>
      <c r="FRW33" s="143"/>
      <c r="FRX33" s="143"/>
      <c r="FRY33" s="143"/>
      <c r="FRZ33" s="143"/>
      <c r="FSA33" s="143"/>
      <c r="FSB33" s="143"/>
      <c r="FSC33" s="143"/>
      <c r="FSD33" s="143"/>
      <c r="FSE33" s="143"/>
      <c r="FSF33" s="143"/>
      <c r="FSG33" s="143"/>
      <c r="FSH33" s="143"/>
      <c r="FSI33" s="143"/>
      <c r="FSJ33" s="143"/>
      <c r="FSK33" s="143"/>
      <c r="FSL33" s="143"/>
      <c r="FSM33" s="143"/>
      <c r="FSN33" s="143"/>
      <c r="FSO33" s="143"/>
      <c r="FSP33" s="143"/>
      <c r="FSQ33" s="143"/>
      <c r="FSR33" s="143"/>
      <c r="FSS33" s="143"/>
      <c r="FST33" s="143"/>
      <c r="FSU33" s="143"/>
      <c r="FSV33" s="143"/>
      <c r="FSW33" s="143"/>
      <c r="FSX33" s="143"/>
      <c r="FSY33" s="143"/>
      <c r="FSZ33" s="143"/>
      <c r="FTA33" s="143"/>
      <c r="FTB33" s="143"/>
      <c r="FTC33" s="143"/>
      <c r="FTD33" s="143"/>
      <c r="FTE33" s="143"/>
      <c r="FTF33" s="143"/>
      <c r="FTG33" s="143"/>
      <c r="FTH33" s="143"/>
      <c r="FTI33" s="143"/>
      <c r="FTJ33" s="143"/>
      <c r="FTK33" s="143"/>
      <c r="FTL33" s="143"/>
      <c r="FTM33" s="143"/>
      <c r="FTN33" s="143"/>
      <c r="FTO33" s="143"/>
      <c r="FTP33" s="143"/>
      <c r="FTQ33" s="143"/>
      <c r="FTR33" s="143"/>
      <c r="FTS33" s="143"/>
      <c r="FTT33" s="143"/>
      <c r="FTU33" s="143"/>
      <c r="FTV33" s="143"/>
      <c r="FTW33" s="143"/>
      <c r="FTX33" s="143"/>
      <c r="FTY33" s="143"/>
      <c r="FTZ33" s="143"/>
      <c r="FUA33" s="143"/>
      <c r="FUB33" s="143"/>
      <c r="FUC33" s="143"/>
      <c r="FUD33" s="143"/>
      <c r="FUE33" s="143"/>
      <c r="FUF33" s="143"/>
      <c r="FUG33" s="143"/>
      <c r="FUH33" s="143"/>
      <c r="FUI33" s="143"/>
      <c r="FUJ33" s="143"/>
      <c r="FUK33" s="143"/>
      <c r="FUL33" s="143"/>
      <c r="FUM33" s="143"/>
      <c r="FUN33" s="143"/>
      <c r="FUO33" s="143"/>
      <c r="FUP33" s="143"/>
      <c r="FUQ33" s="143"/>
      <c r="FUR33" s="143"/>
      <c r="FUS33" s="143"/>
      <c r="FUT33" s="143"/>
      <c r="FUU33" s="143"/>
      <c r="FUV33" s="143"/>
      <c r="FUW33" s="143"/>
      <c r="FUX33" s="143"/>
      <c r="FUY33" s="143"/>
      <c r="FUZ33" s="143"/>
      <c r="FVA33" s="143"/>
      <c r="FVB33" s="143"/>
      <c r="FVC33" s="143"/>
      <c r="FVD33" s="143"/>
      <c r="FVE33" s="143"/>
      <c r="FVF33" s="143"/>
      <c r="FVG33" s="143"/>
      <c r="FVH33" s="143"/>
      <c r="FVI33" s="143"/>
      <c r="FVJ33" s="143"/>
      <c r="FVK33" s="143"/>
      <c r="FVL33" s="143"/>
      <c r="FVM33" s="143"/>
      <c r="FVN33" s="143"/>
      <c r="FVO33" s="143"/>
      <c r="FVP33" s="143"/>
      <c r="FVQ33" s="143"/>
      <c r="FVR33" s="143"/>
      <c r="FVS33" s="143"/>
      <c r="FVT33" s="143"/>
      <c r="FVU33" s="143"/>
      <c r="FVV33" s="143"/>
      <c r="FVW33" s="143"/>
      <c r="FVX33" s="143"/>
      <c r="FVY33" s="143"/>
      <c r="FVZ33" s="143"/>
      <c r="FWA33" s="143"/>
      <c r="FWB33" s="143"/>
      <c r="FWC33" s="143"/>
      <c r="FWD33" s="143"/>
      <c r="FWE33" s="143"/>
      <c r="FWF33" s="143"/>
      <c r="FWG33" s="143"/>
      <c r="FWH33" s="143"/>
      <c r="FWI33" s="143"/>
      <c r="FWJ33" s="143"/>
      <c r="FWK33" s="143"/>
      <c r="FWL33" s="143"/>
      <c r="FWM33" s="143"/>
      <c r="FWN33" s="143"/>
      <c r="FWO33" s="143"/>
      <c r="FWP33" s="143"/>
      <c r="FWQ33" s="143"/>
      <c r="FWR33" s="143"/>
      <c r="FWS33" s="143"/>
      <c r="FWT33" s="143"/>
      <c r="FWU33" s="143"/>
      <c r="FWV33" s="143"/>
      <c r="FWW33" s="143"/>
      <c r="FWX33" s="143"/>
      <c r="FWY33" s="143"/>
      <c r="FWZ33" s="143"/>
      <c r="FXA33" s="143"/>
      <c r="FXB33" s="143"/>
      <c r="FXC33" s="143"/>
      <c r="FXD33" s="143"/>
      <c r="FXE33" s="143"/>
      <c r="FXF33" s="143"/>
      <c r="FXG33" s="143"/>
      <c r="FXH33" s="143"/>
      <c r="FXI33" s="143"/>
      <c r="FXJ33" s="143"/>
      <c r="FXK33" s="143"/>
      <c r="FXL33" s="143"/>
      <c r="FXM33" s="143"/>
      <c r="FXN33" s="143"/>
      <c r="FXO33" s="143"/>
      <c r="FXP33" s="143"/>
      <c r="FXQ33" s="143"/>
      <c r="FXR33" s="143"/>
      <c r="FXS33" s="143"/>
      <c r="FXT33" s="143"/>
      <c r="FXU33" s="143"/>
      <c r="FXV33" s="143"/>
      <c r="FXW33" s="143"/>
      <c r="FXX33" s="143"/>
      <c r="FXY33" s="143"/>
      <c r="FXZ33" s="143"/>
      <c r="FYA33" s="143"/>
      <c r="FYB33" s="143"/>
      <c r="FYC33" s="143"/>
      <c r="FYD33" s="143"/>
      <c r="FYE33" s="143"/>
      <c r="FYF33" s="143"/>
      <c r="FYG33" s="143"/>
      <c r="FYH33" s="143"/>
      <c r="FYI33" s="143"/>
      <c r="FYJ33" s="143"/>
      <c r="FYK33" s="143"/>
      <c r="FYL33" s="143"/>
      <c r="FYM33" s="143"/>
      <c r="FYN33" s="143"/>
      <c r="FYO33" s="143"/>
      <c r="FYP33" s="143"/>
      <c r="FYQ33" s="143"/>
      <c r="FYR33" s="143"/>
      <c r="FYS33" s="143"/>
      <c r="FYT33" s="143"/>
      <c r="FYU33" s="143"/>
      <c r="FYV33" s="143"/>
      <c r="FYW33" s="143"/>
      <c r="FYX33" s="143"/>
      <c r="FYY33" s="143"/>
      <c r="FYZ33" s="143"/>
      <c r="FZA33" s="143"/>
      <c r="FZB33" s="143"/>
      <c r="FZC33" s="143"/>
      <c r="FZD33" s="143"/>
      <c r="FZE33" s="143"/>
      <c r="FZF33" s="143"/>
      <c r="FZG33" s="143"/>
      <c r="FZH33" s="143"/>
      <c r="FZI33" s="143"/>
      <c r="FZJ33" s="143"/>
      <c r="FZK33" s="143"/>
      <c r="FZL33" s="143"/>
      <c r="FZM33" s="143"/>
      <c r="FZN33" s="143"/>
      <c r="FZO33" s="143"/>
      <c r="FZP33" s="143"/>
      <c r="FZQ33" s="143"/>
      <c r="FZR33" s="143"/>
      <c r="FZS33" s="143"/>
      <c r="FZT33" s="143"/>
      <c r="FZU33" s="143"/>
      <c r="FZV33" s="143"/>
      <c r="FZW33" s="143"/>
      <c r="FZX33" s="143"/>
      <c r="FZY33" s="143"/>
      <c r="FZZ33" s="143"/>
      <c r="GAA33" s="143"/>
      <c r="GAB33" s="143"/>
      <c r="GAC33" s="143"/>
      <c r="GAD33" s="143"/>
      <c r="GAE33" s="143"/>
      <c r="GAF33" s="143"/>
      <c r="GAG33" s="143"/>
      <c r="GAH33" s="143"/>
      <c r="GAI33" s="143"/>
      <c r="GAJ33" s="143"/>
      <c r="GAK33" s="143"/>
      <c r="GAL33" s="143"/>
      <c r="GAM33" s="143"/>
      <c r="GAN33" s="143"/>
      <c r="GAO33" s="143"/>
      <c r="GAP33" s="143"/>
      <c r="GAQ33" s="143"/>
      <c r="GAR33" s="143"/>
      <c r="GAS33" s="143"/>
      <c r="GAT33" s="143"/>
      <c r="GAU33" s="143"/>
      <c r="GAV33" s="143"/>
      <c r="GAW33" s="143"/>
      <c r="GAX33" s="143"/>
      <c r="GAY33" s="143"/>
      <c r="GAZ33" s="143"/>
      <c r="GBA33" s="143"/>
      <c r="GBB33" s="143"/>
      <c r="GBC33" s="143"/>
      <c r="GBD33" s="143"/>
      <c r="GBE33" s="143"/>
      <c r="GBF33" s="143"/>
      <c r="GBG33" s="143"/>
      <c r="GBH33" s="143"/>
      <c r="GBI33" s="143"/>
      <c r="GBJ33" s="143"/>
      <c r="GBK33" s="143"/>
      <c r="GBL33" s="143"/>
      <c r="GBM33" s="143"/>
      <c r="GBN33" s="143"/>
      <c r="GBO33" s="143"/>
      <c r="GBP33" s="143"/>
      <c r="GBQ33" s="143"/>
      <c r="GBR33" s="143"/>
      <c r="GBS33" s="143"/>
      <c r="GBT33" s="143"/>
      <c r="GBU33" s="143"/>
      <c r="GBV33" s="143"/>
      <c r="GBW33" s="143"/>
      <c r="GBX33" s="143"/>
      <c r="GBY33" s="143"/>
      <c r="GBZ33" s="143"/>
      <c r="GCA33" s="143"/>
      <c r="GCB33" s="143"/>
      <c r="GCC33" s="143"/>
      <c r="GCD33" s="143"/>
      <c r="GCE33" s="143"/>
      <c r="GCF33" s="143"/>
      <c r="GCG33" s="143"/>
      <c r="GCH33" s="143"/>
      <c r="GCI33" s="143"/>
      <c r="GCJ33" s="143"/>
      <c r="GCK33" s="143"/>
      <c r="GCL33" s="143"/>
      <c r="GCM33" s="143"/>
      <c r="GCN33" s="143"/>
      <c r="GCO33" s="143"/>
      <c r="GCP33" s="143"/>
      <c r="GCQ33" s="143"/>
      <c r="GCR33" s="143"/>
      <c r="GCS33" s="143"/>
      <c r="GCT33" s="143"/>
      <c r="GCU33" s="143"/>
      <c r="GCV33" s="143"/>
      <c r="GCW33" s="143"/>
      <c r="GCX33" s="143"/>
      <c r="GCY33" s="143"/>
      <c r="GCZ33" s="143"/>
      <c r="GDA33" s="143"/>
      <c r="GDB33" s="143"/>
      <c r="GDC33" s="143"/>
      <c r="GDD33" s="143"/>
      <c r="GDE33" s="143"/>
      <c r="GDF33" s="143"/>
      <c r="GDG33" s="143"/>
      <c r="GDH33" s="143"/>
      <c r="GDI33" s="143"/>
      <c r="GDJ33" s="143"/>
      <c r="GDK33" s="143"/>
      <c r="GDL33" s="143"/>
      <c r="GDM33" s="143"/>
      <c r="GDN33" s="143"/>
      <c r="GDO33" s="143"/>
      <c r="GDP33" s="143"/>
      <c r="GDQ33" s="143"/>
      <c r="GDR33" s="143"/>
      <c r="GDS33" s="143"/>
      <c r="GDT33" s="143"/>
      <c r="GDU33" s="143"/>
      <c r="GDV33" s="143"/>
      <c r="GDW33" s="143"/>
      <c r="GDX33" s="143"/>
      <c r="GDY33" s="143"/>
      <c r="GDZ33" s="143"/>
      <c r="GEA33" s="143"/>
      <c r="GEB33" s="143"/>
      <c r="GEC33" s="143"/>
      <c r="GED33" s="143"/>
      <c r="GEE33" s="143"/>
      <c r="GEF33" s="143"/>
      <c r="GEG33" s="143"/>
      <c r="GEH33" s="143"/>
      <c r="GEI33" s="143"/>
      <c r="GEJ33" s="143"/>
      <c r="GEK33" s="143"/>
      <c r="GEL33" s="143"/>
      <c r="GEM33" s="143"/>
      <c r="GEN33" s="143"/>
      <c r="GEO33" s="143"/>
      <c r="GEP33" s="143"/>
      <c r="GEQ33" s="143"/>
      <c r="GER33" s="143"/>
      <c r="GES33" s="143"/>
      <c r="GET33" s="143"/>
      <c r="GEU33" s="143"/>
      <c r="GEV33" s="143"/>
      <c r="GEW33" s="143"/>
      <c r="GEX33" s="143"/>
      <c r="GEY33" s="143"/>
      <c r="GEZ33" s="143"/>
      <c r="GFA33" s="143"/>
      <c r="GFB33" s="143"/>
      <c r="GFC33" s="143"/>
      <c r="GFD33" s="143"/>
      <c r="GFE33" s="143"/>
      <c r="GFF33" s="143"/>
      <c r="GFG33" s="143"/>
      <c r="GFH33" s="143"/>
      <c r="GFI33" s="143"/>
      <c r="GFJ33" s="143"/>
      <c r="GFK33" s="143"/>
      <c r="GFL33" s="143"/>
      <c r="GFM33" s="143"/>
      <c r="GFN33" s="143"/>
      <c r="GFO33" s="143"/>
      <c r="GFP33" s="143"/>
      <c r="GFQ33" s="143"/>
      <c r="GFR33" s="143"/>
      <c r="GFS33" s="143"/>
      <c r="GFT33" s="143"/>
      <c r="GFU33" s="143"/>
      <c r="GFV33" s="143"/>
      <c r="GFW33" s="143"/>
      <c r="GFX33" s="143"/>
      <c r="GFY33" s="143"/>
      <c r="GFZ33" s="143"/>
      <c r="GGA33" s="143"/>
      <c r="GGB33" s="143"/>
      <c r="GGC33" s="143"/>
      <c r="GGD33" s="143"/>
      <c r="GGE33" s="143"/>
      <c r="GGF33" s="143"/>
      <c r="GGG33" s="143"/>
      <c r="GGH33" s="143"/>
      <c r="GGI33" s="143"/>
      <c r="GGJ33" s="143"/>
      <c r="GGK33" s="143"/>
      <c r="GGL33" s="143"/>
      <c r="GGM33" s="143"/>
      <c r="GGN33" s="143"/>
      <c r="GGO33" s="143"/>
      <c r="GGP33" s="143"/>
      <c r="GGQ33" s="143"/>
      <c r="GGR33" s="143"/>
      <c r="GGS33" s="143"/>
      <c r="GGT33" s="143"/>
      <c r="GGU33" s="143"/>
      <c r="GGV33" s="143"/>
      <c r="GGW33" s="143"/>
      <c r="GGX33" s="143"/>
      <c r="GGY33" s="143"/>
      <c r="GGZ33" s="143"/>
      <c r="GHA33" s="143"/>
      <c r="GHB33" s="143"/>
      <c r="GHC33" s="143"/>
      <c r="GHD33" s="143"/>
      <c r="GHE33" s="143"/>
      <c r="GHF33" s="143"/>
      <c r="GHG33" s="143"/>
      <c r="GHH33" s="143"/>
      <c r="GHI33" s="143"/>
      <c r="GHJ33" s="143"/>
      <c r="GHK33" s="143"/>
      <c r="GHL33" s="143"/>
      <c r="GHM33" s="143"/>
      <c r="GHN33" s="143"/>
      <c r="GHO33" s="143"/>
      <c r="GHP33" s="143"/>
      <c r="GHQ33" s="143"/>
      <c r="GHR33" s="143"/>
      <c r="GHS33" s="143"/>
      <c r="GHT33" s="143"/>
      <c r="GHU33" s="143"/>
      <c r="GHV33" s="143"/>
      <c r="GHW33" s="143"/>
      <c r="GHX33" s="143"/>
      <c r="GHY33" s="143"/>
      <c r="GHZ33" s="143"/>
      <c r="GIA33" s="143"/>
      <c r="GIB33" s="143"/>
      <c r="GIC33" s="143"/>
      <c r="GID33" s="143"/>
      <c r="GIE33" s="143"/>
      <c r="GIF33" s="143"/>
      <c r="GIG33" s="143"/>
      <c r="GIH33" s="143"/>
      <c r="GII33" s="143"/>
      <c r="GIJ33" s="143"/>
      <c r="GIK33" s="143"/>
      <c r="GIL33" s="143"/>
      <c r="GIM33" s="143"/>
      <c r="GIN33" s="143"/>
      <c r="GIO33" s="143"/>
      <c r="GIP33" s="143"/>
      <c r="GIQ33" s="143"/>
      <c r="GIR33" s="143"/>
      <c r="GIS33" s="143"/>
      <c r="GIT33" s="143"/>
      <c r="GIU33" s="143"/>
      <c r="GIV33" s="143"/>
      <c r="GIW33" s="143"/>
      <c r="GIX33" s="143"/>
      <c r="GIY33" s="143"/>
      <c r="GIZ33" s="143"/>
      <c r="GJA33" s="143"/>
      <c r="GJB33" s="143"/>
      <c r="GJC33" s="143"/>
      <c r="GJD33" s="143"/>
      <c r="GJE33" s="143"/>
      <c r="GJF33" s="143"/>
      <c r="GJG33" s="143"/>
      <c r="GJH33" s="143"/>
      <c r="GJI33" s="143"/>
      <c r="GJJ33" s="143"/>
      <c r="GJK33" s="143"/>
      <c r="GJL33" s="143"/>
      <c r="GJM33" s="143"/>
      <c r="GJN33" s="143"/>
      <c r="GJO33" s="143"/>
      <c r="GJP33" s="143"/>
      <c r="GJQ33" s="143"/>
      <c r="GJR33" s="143"/>
      <c r="GJS33" s="143"/>
      <c r="GJT33" s="143"/>
      <c r="GJU33" s="143"/>
      <c r="GJV33" s="143"/>
      <c r="GJW33" s="143"/>
      <c r="GJX33" s="143"/>
      <c r="GJY33" s="143"/>
      <c r="GJZ33" s="143"/>
      <c r="GKA33" s="143"/>
      <c r="GKB33" s="143"/>
      <c r="GKC33" s="143"/>
      <c r="GKD33" s="143"/>
      <c r="GKE33" s="143"/>
      <c r="GKF33" s="143"/>
      <c r="GKG33" s="143"/>
      <c r="GKH33" s="143"/>
      <c r="GKI33" s="143"/>
      <c r="GKJ33" s="143"/>
      <c r="GKK33" s="143"/>
      <c r="GKL33" s="143"/>
      <c r="GKM33" s="143"/>
      <c r="GKN33" s="143"/>
      <c r="GKO33" s="143"/>
      <c r="GKP33" s="143"/>
      <c r="GKQ33" s="143"/>
      <c r="GKR33" s="143"/>
      <c r="GKS33" s="143"/>
      <c r="GKT33" s="143"/>
      <c r="GKU33" s="143"/>
      <c r="GKV33" s="143"/>
      <c r="GKW33" s="143"/>
      <c r="GKX33" s="143"/>
      <c r="GKY33" s="143"/>
      <c r="GKZ33" s="143"/>
      <c r="GLA33" s="143"/>
      <c r="GLB33" s="143"/>
      <c r="GLC33" s="143"/>
      <c r="GLD33" s="143"/>
      <c r="GLE33" s="143"/>
      <c r="GLF33" s="143"/>
      <c r="GLG33" s="143"/>
      <c r="GLH33" s="143"/>
      <c r="GLI33" s="143"/>
      <c r="GLJ33" s="143"/>
      <c r="GLK33" s="143"/>
      <c r="GLL33" s="143"/>
      <c r="GLM33" s="143"/>
      <c r="GLN33" s="143"/>
      <c r="GLO33" s="143"/>
      <c r="GLP33" s="143"/>
      <c r="GLQ33" s="143"/>
      <c r="GLR33" s="143"/>
      <c r="GLS33" s="143"/>
      <c r="GLT33" s="143"/>
      <c r="GLU33" s="143"/>
      <c r="GLV33" s="143"/>
      <c r="GLW33" s="143"/>
      <c r="GLX33" s="143"/>
      <c r="GLY33" s="143"/>
      <c r="GLZ33" s="143"/>
      <c r="GMA33" s="143"/>
      <c r="GMB33" s="143"/>
      <c r="GMC33" s="143"/>
      <c r="GMD33" s="143"/>
      <c r="GME33" s="143"/>
      <c r="GMF33" s="143"/>
      <c r="GMG33" s="143"/>
      <c r="GMH33" s="143"/>
      <c r="GMI33" s="143"/>
      <c r="GMJ33" s="143"/>
      <c r="GMK33" s="143"/>
      <c r="GML33" s="143"/>
      <c r="GMM33" s="143"/>
      <c r="GMN33" s="143"/>
      <c r="GMO33" s="143"/>
      <c r="GMP33" s="143"/>
      <c r="GMQ33" s="143"/>
      <c r="GMR33" s="143"/>
      <c r="GMS33" s="143"/>
      <c r="GMT33" s="143"/>
      <c r="GMU33" s="143"/>
      <c r="GMV33" s="143"/>
      <c r="GMW33" s="143"/>
      <c r="GMX33" s="143"/>
      <c r="GMY33" s="143"/>
      <c r="GMZ33" s="143"/>
      <c r="GNA33" s="143"/>
      <c r="GNB33" s="143"/>
      <c r="GNC33" s="143"/>
      <c r="GND33" s="143"/>
      <c r="GNE33" s="143"/>
      <c r="GNF33" s="143"/>
      <c r="GNG33" s="143"/>
      <c r="GNH33" s="143"/>
      <c r="GNI33" s="143"/>
      <c r="GNJ33" s="143"/>
      <c r="GNK33" s="143"/>
      <c r="GNL33" s="143"/>
      <c r="GNM33" s="143"/>
      <c r="GNN33" s="143"/>
      <c r="GNO33" s="143"/>
      <c r="GNP33" s="143"/>
      <c r="GNQ33" s="143"/>
      <c r="GNR33" s="143"/>
      <c r="GNS33" s="143"/>
      <c r="GNT33" s="143"/>
      <c r="GNU33" s="143"/>
      <c r="GNV33" s="143"/>
      <c r="GNW33" s="143"/>
      <c r="GNX33" s="143"/>
      <c r="GNY33" s="143"/>
      <c r="GNZ33" s="143"/>
      <c r="GOA33" s="143"/>
      <c r="GOB33" s="143"/>
      <c r="GOC33" s="143"/>
      <c r="GOD33" s="143"/>
      <c r="GOE33" s="143"/>
      <c r="GOF33" s="143"/>
      <c r="GOG33" s="143"/>
      <c r="GOH33" s="143"/>
      <c r="GOI33" s="143"/>
      <c r="GOJ33" s="143"/>
      <c r="GOK33" s="143"/>
      <c r="GOL33" s="143"/>
      <c r="GOM33" s="143"/>
      <c r="GON33" s="143"/>
      <c r="GOO33" s="143"/>
      <c r="GOP33" s="143"/>
      <c r="GOQ33" s="143"/>
      <c r="GOR33" s="143"/>
      <c r="GOS33" s="143"/>
      <c r="GOT33" s="143"/>
      <c r="GOU33" s="143"/>
      <c r="GOV33" s="143"/>
      <c r="GOW33" s="143"/>
      <c r="GOX33" s="143"/>
      <c r="GOY33" s="143"/>
      <c r="GOZ33" s="143"/>
      <c r="GPA33" s="143"/>
      <c r="GPB33" s="143"/>
      <c r="GPC33" s="143"/>
      <c r="GPD33" s="143"/>
      <c r="GPE33" s="143"/>
      <c r="GPF33" s="143"/>
      <c r="GPG33" s="143"/>
      <c r="GPH33" s="143"/>
      <c r="GPI33" s="143"/>
      <c r="GPJ33" s="143"/>
      <c r="GPK33" s="143"/>
      <c r="GPL33" s="143"/>
      <c r="GPM33" s="143"/>
      <c r="GPN33" s="143"/>
      <c r="GPO33" s="143"/>
      <c r="GPP33" s="143"/>
      <c r="GPQ33" s="143"/>
      <c r="GPR33" s="143"/>
      <c r="GPS33" s="143"/>
      <c r="GPT33" s="143"/>
      <c r="GPU33" s="143"/>
      <c r="GPV33" s="143"/>
      <c r="GPW33" s="143"/>
      <c r="GPX33" s="143"/>
      <c r="GPY33" s="143"/>
      <c r="GPZ33" s="143"/>
      <c r="GQA33" s="143"/>
      <c r="GQB33" s="143"/>
      <c r="GQC33" s="143"/>
      <c r="GQD33" s="143"/>
      <c r="GQE33" s="143"/>
      <c r="GQF33" s="143"/>
      <c r="GQG33" s="143"/>
      <c r="GQH33" s="143"/>
      <c r="GQI33" s="143"/>
      <c r="GQJ33" s="143"/>
      <c r="GQK33" s="143"/>
      <c r="GQL33" s="143"/>
      <c r="GQM33" s="143"/>
      <c r="GQN33" s="143"/>
      <c r="GQO33" s="143"/>
      <c r="GQP33" s="143"/>
      <c r="GQQ33" s="143"/>
      <c r="GQR33" s="143"/>
      <c r="GQS33" s="143"/>
      <c r="GQT33" s="143"/>
      <c r="GQU33" s="143"/>
      <c r="GQV33" s="143"/>
      <c r="GQW33" s="143"/>
      <c r="GQX33" s="143"/>
      <c r="GQY33" s="143"/>
      <c r="GQZ33" s="143"/>
      <c r="GRA33" s="143"/>
      <c r="GRB33" s="143"/>
      <c r="GRC33" s="143"/>
      <c r="GRD33" s="143"/>
      <c r="GRE33" s="143"/>
      <c r="GRF33" s="143"/>
      <c r="GRG33" s="143"/>
      <c r="GRH33" s="143"/>
      <c r="GRI33" s="143"/>
      <c r="GRJ33" s="143"/>
      <c r="GRK33" s="143"/>
      <c r="GRL33" s="143"/>
      <c r="GRM33" s="143"/>
      <c r="GRN33" s="143"/>
      <c r="GRO33" s="143"/>
      <c r="GRP33" s="143"/>
      <c r="GRQ33" s="143"/>
      <c r="GRR33" s="143"/>
      <c r="GRS33" s="143"/>
      <c r="GRT33" s="143"/>
      <c r="GRU33" s="143"/>
      <c r="GRV33" s="143"/>
      <c r="GRW33" s="143"/>
      <c r="GRX33" s="143"/>
      <c r="GRY33" s="143"/>
      <c r="GRZ33" s="143"/>
      <c r="GSA33" s="143"/>
      <c r="GSB33" s="143"/>
      <c r="GSC33" s="143"/>
      <c r="GSD33" s="143"/>
      <c r="GSE33" s="143"/>
      <c r="GSF33" s="143"/>
      <c r="GSG33" s="143"/>
      <c r="GSH33" s="143"/>
      <c r="GSI33" s="143"/>
      <c r="GSJ33" s="143"/>
      <c r="GSK33" s="143"/>
      <c r="GSL33" s="143"/>
      <c r="GSM33" s="143"/>
      <c r="GSN33" s="143"/>
      <c r="GSO33" s="143"/>
      <c r="GSP33" s="143"/>
      <c r="GSQ33" s="143"/>
      <c r="GSR33" s="143"/>
      <c r="GSS33" s="143"/>
      <c r="GST33" s="143"/>
      <c r="GSU33" s="143"/>
      <c r="GSV33" s="143"/>
      <c r="GSW33" s="143"/>
      <c r="GSX33" s="143"/>
      <c r="GSY33" s="143"/>
      <c r="GSZ33" s="143"/>
      <c r="GTA33" s="143"/>
      <c r="GTB33" s="143"/>
      <c r="GTC33" s="143"/>
      <c r="GTD33" s="143"/>
      <c r="GTE33" s="143"/>
      <c r="GTF33" s="143"/>
      <c r="GTG33" s="143"/>
      <c r="GTH33" s="143"/>
      <c r="GTI33" s="143"/>
      <c r="GTJ33" s="143"/>
      <c r="GTK33" s="143"/>
      <c r="GTL33" s="143"/>
      <c r="GTM33" s="143"/>
      <c r="GTN33" s="143"/>
      <c r="GTO33" s="143"/>
      <c r="GTP33" s="143"/>
      <c r="GTQ33" s="143"/>
      <c r="GTR33" s="143"/>
      <c r="GTS33" s="143"/>
      <c r="GTT33" s="143"/>
      <c r="GTU33" s="143"/>
      <c r="GTV33" s="143"/>
      <c r="GTW33" s="143"/>
      <c r="GTX33" s="143"/>
      <c r="GTY33" s="143"/>
      <c r="GTZ33" s="143"/>
      <c r="GUA33" s="143"/>
      <c r="GUB33" s="143"/>
      <c r="GUC33" s="143"/>
      <c r="GUD33" s="143"/>
      <c r="GUE33" s="143"/>
      <c r="GUF33" s="143"/>
      <c r="GUG33" s="143"/>
      <c r="GUH33" s="143"/>
      <c r="GUI33" s="143"/>
      <c r="GUJ33" s="143"/>
      <c r="GUK33" s="143"/>
      <c r="GUL33" s="143"/>
      <c r="GUM33" s="143"/>
      <c r="GUN33" s="143"/>
      <c r="GUO33" s="143"/>
      <c r="GUP33" s="143"/>
      <c r="GUQ33" s="143"/>
      <c r="GUR33" s="143"/>
      <c r="GUS33" s="143"/>
      <c r="GUT33" s="143"/>
      <c r="GUU33" s="143"/>
      <c r="GUV33" s="143"/>
      <c r="GUW33" s="143"/>
      <c r="GUX33" s="143"/>
      <c r="GUY33" s="143"/>
      <c r="GUZ33" s="143"/>
      <c r="GVA33" s="143"/>
      <c r="GVB33" s="143"/>
      <c r="GVC33" s="143"/>
      <c r="GVD33" s="143"/>
      <c r="GVE33" s="143"/>
      <c r="GVF33" s="143"/>
      <c r="GVG33" s="143"/>
      <c r="GVH33" s="143"/>
      <c r="GVI33" s="143"/>
      <c r="GVJ33" s="143"/>
      <c r="GVK33" s="143"/>
      <c r="GVL33" s="143"/>
      <c r="GVM33" s="143"/>
      <c r="GVN33" s="143"/>
      <c r="GVO33" s="143"/>
      <c r="GVP33" s="143"/>
      <c r="GVQ33" s="143"/>
      <c r="GVR33" s="143"/>
      <c r="GVS33" s="143"/>
      <c r="GVT33" s="143"/>
      <c r="GVU33" s="143"/>
      <c r="GVV33" s="143"/>
      <c r="GVW33" s="143"/>
      <c r="GVX33" s="143"/>
      <c r="GVY33" s="143"/>
      <c r="GVZ33" s="143"/>
      <c r="GWA33" s="143"/>
      <c r="GWB33" s="143"/>
      <c r="GWC33" s="143"/>
      <c r="GWD33" s="143"/>
      <c r="GWE33" s="143"/>
      <c r="GWF33" s="143"/>
      <c r="GWG33" s="143"/>
      <c r="GWH33" s="143"/>
      <c r="GWI33" s="143"/>
      <c r="GWJ33" s="143"/>
      <c r="GWK33" s="143"/>
      <c r="GWL33" s="143"/>
      <c r="GWM33" s="143"/>
      <c r="GWN33" s="143"/>
      <c r="GWO33" s="143"/>
      <c r="GWP33" s="143"/>
      <c r="GWQ33" s="143"/>
      <c r="GWR33" s="143"/>
      <c r="GWS33" s="143"/>
      <c r="GWT33" s="143"/>
      <c r="GWU33" s="143"/>
      <c r="GWV33" s="143"/>
      <c r="GWW33" s="143"/>
      <c r="GWX33" s="143"/>
      <c r="GWY33" s="143"/>
      <c r="GWZ33" s="143"/>
      <c r="GXA33" s="143"/>
      <c r="GXB33" s="143"/>
      <c r="GXC33" s="143"/>
      <c r="GXD33" s="143"/>
      <c r="GXE33" s="143"/>
      <c r="GXF33" s="143"/>
      <c r="GXG33" s="143"/>
      <c r="GXH33" s="143"/>
      <c r="GXI33" s="143"/>
      <c r="GXJ33" s="143"/>
      <c r="GXK33" s="143"/>
      <c r="GXL33" s="143"/>
      <c r="GXM33" s="143"/>
      <c r="GXN33" s="143"/>
      <c r="GXO33" s="143"/>
      <c r="GXP33" s="143"/>
      <c r="GXQ33" s="143"/>
      <c r="GXR33" s="143"/>
      <c r="GXS33" s="143"/>
      <c r="GXT33" s="143"/>
      <c r="GXU33" s="143"/>
      <c r="GXV33" s="143"/>
      <c r="GXW33" s="143"/>
      <c r="GXX33" s="143"/>
      <c r="GXY33" s="143"/>
      <c r="GXZ33" s="143"/>
      <c r="GYA33" s="143"/>
      <c r="GYB33" s="143"/>
      <c r="GYC33" s="143"/>
      <c r="GYD33" s="143"/>
      <c r="GYE33" s="143"/>
      <c r="GYF33" s="143"/>
      <c r="GYG33" s="143"/>
      <c r="GYH33" s="143"/>
      <c r="GYI33" s="143"/>
      <c r="GYJ33" s="143"/>
      <c r="GYK33" s="143"/>
      <c r="GYL33" s="143"/>
      <c r="GYM33" s="143"/>
      <c r="GYN33" s="143"/>
      <c r="GYO33" s="143"/>
      <c r="GYP33" s="143"/>
      <c r="GYQ33" s="143"/>
      <c r="GYR33" s="143"/>
      <c r="GYS33" s="143"/>
      <c r="GYT33" s="143"/>
      <c r="GYU33" s="143"/>
      <c r="GYV33" s="143"/>
      <c r="GYW33" s="143"/>
      <c r="GYX33" s="143"/>
      <c r="GYY33" s="143"/>
      <c r="GYZ33" s="143"/>
      <c r="GZA33" s="143"/>
      <c r="GZB33" s="143"/>
      <c r="GZC33" s="143"/>
      <c r="GZD33" s="143"/>
      <c r="GZE33" s="143"/>
      <c r="GZF33" s="143"/>
      <c r="GZG33" s="143"/>
      <c r="GZH33" s="143"/>
      <c r="GZI33" s="143"/>
      <c r="GZJ33" s="143"/>
      <c r="GZK33" s="143"/>
      <c r="GZL33" s="143"/>
      <c r="GZM33" s="143"/>
      <c r="GZN33" s="143"/>
      <c r="GZO33" s="143"/>
      <c r="GZP33" s="143"/>
      <c r="GZQ33" s="143"/>
      <c r="GZR33" s="143"/>
      <c r="GZS33" s="143"/>
      <c r="GZT33" s="143"/>
      <c r="GZU33" s="143"/>
      <c r="GZV33" s="143"/>
      <c r="GZW33" s="143"/>
      <c r="GZX33" s="143"/>
      <c r="GZY33" s="143"/>
      <c r="GZZ33" s="143"/>
      <c r="HAA33" s="143"/>
      <c r="HAB33" s="143"/>
      <c r="HAC33" s="143"/>
      <c r="HAD33" s="143"/>
      <c r="HAE33" s="143"/>
      <c r="HAF33" s="143"/>
      <c r="HAG33" s="143"/>
      <c r="HAH33" s="143"/>
      <c r="HAI33" s="143"/>
      <c r="HAJ33" s="143"/>
      <c r="HAK33" s="143"/>
      <c r="HAL33" s="143"/>
      <c r="HAM33" s="143"/>
      <c r="HAN33" s="143"/>
      <c r="HAO33" s="143"/>
      <c r="HAP33" s="143"/>
      <c r="HAQ33" s="143"/>
      <c r="HAR33" s="143"/>
      <c r="HAS33" s="143"/>
      <c r="HAT33" s="143"/>
      <c r="HAU33" s="143"/>
      <c r="HAV33" s="143"/>
      <c r="HAW33" s="143"/>
      <c r="HAX33" s="143"/>
      <c r="HAY33" s="143"/>
      <c r="HAZ33" s="143"/>
      <c r="HBA33" s="143"/>
      <c r="HBB33" s="143"/>
      <c r="HBC33" s="143"/>
      <c r="HBD33" s="143"/>
      <c r="HBE33" s="143"/>
      <c r="HBF33" s="143"/>
      <c r="HBG33" s="143"/>
      <c r="HBH33" s="143"/>
      <c r="HBI33" s="143"/>
      <c r="HBJ33" s="143"/>
      <c r="HBK33" s="143"/>
      <c r="HBL33" s="143"/>
      <c r="HBM33" s="143"/>
      <c r="HBN33" s="143"/>
      <c r="HBO33" s="143"/>
      <c r="HBP33" s="143"/>
      <c r="HBQ33" s="143"/>
      <c r="HBR33" s="143"/>
      <c r="HBS33" s="143"/>
      <c r="HBT33" s="143"/>
      <c r="HBU33" s="143"/>
      <c r="HBV33" s="143"/>
      <c r="HBW33" s="143"/>
      <c r="HBX33" s="143"/>
      <c r="HBY33" s="143"/>
      <c r="HBZ33" s="143"/>
      <c r="HCA33" s="143"/>
      <c r="HCB33" s="143"/>
      <c r="HCC33" s="143"/>
      <c r="HCD33" s="143"/>
      <c r="HCE33" s="143"/>
      <c r="HCF33" s="143"/>
      <c r="HCG33" s="143"/>
      <c r="HCH33" s="143"/>
      <c r="HCI33" s="143"/>
      <c r="HCJ33" s="143"/>
      <c r="HCK33" s="143"/>
      <c r="HCL33" s="143"/>
      <c r="HCM33" s="143"/>
      <c r="HCN33" s="143"/>
      <c r="HCO33" s="143"/>
      <c r="HCP33" s="143"/>
      <c r="HCQ33" s="143"/>
      <c r="HCR33" s="143"/>
      <c r="HCS33" s="143"/>
      <c r="HCT33" s="143"/>
      <c r="HCU33" s="143"/>
      <c r="HCV33" s="143"/>
      <c r="HCW33" s="143"/>
      <c r="HCX33" s="143"/>
      <c r="HCY33" s="143"/>
      <c r="HCZ33" s="143"/>
      <c r="HDA33" s="143"/>
      <c r="HDB33" s="143"/>
      <c r="HDC33" s="143"/>
      <c r="HDD33" s="143"/>
      <c r="HDE33" s="143"/>
      <c r="HDF33" s="143"/>
      <c r="HDG33" s="143"/>
      <c r="HDH33" s="143"/>
      <c r="HDI33" s="143"/>
      <c r="HDJ33" s="143"/>
      <c r="HDK33" s="143"/>
      <c r="HDL33" s="143"/>
      <c r="HDM33" s="143"/>
      <c r="HDN33" s="143"/>
      <c r="HDO33" s="143"/>
      <c r="HDP33" s="143"/>
      <c r="HDQ33" s="143"/>
      <c r="HDR33" s="143"/>
      <c r="HDS33" s="143"/>
      <c r="HDT33" s="143"/>
      <c r="HDU33" s="143"/>
      <c r="HDV33" s="143"/>
      <c r="HDW33" s="143"/>
      <c r="HDX33" s="143"/>
      <c r="HDY33" s="143"/>
      <c r="HDZ33" s="143"/>
      <c r="HEA33" s="143"/>
      <c r="HEB33" s="143"/>
      <c r="HEC33" s="143"/>
      <c r="HED33" s="143"/>
      <c r="HEE33" s="143"/>
      <c r="HEF33" s="143"/>
      <c r="HEG33" s="143"/>
      <c r="HEH33" s="143"/>
      <c r="HEI33" s="143"/>
      <c r="HEJ33" s="143"/>
      <c r="HEK33" s="143"/>
      <c r="HEL33" s="143"/>
      <c r="HEM33" s="143"/>
      <c r="HEN33" s="143"/>
      <c r="HEO33" s="143"/>
      <c r="HEP33" s="143"/>
      <c r="HEQ33" s="143"/>
      <c r="HER33" s="143"/>
      <c r="HES33" s="143"/>
      <c r="HET33" s="143"/>
      <c r="HEU33" s="143"/>
      <c r="HEV33" s="143"/>
      <c r="HEW33" s="143"/>
      <c r="HEX33" s="143"/>
      <c r="HEY33" s="143"/>
      <c r="HEZ33" s="143"/>
      <c r="HFA33" s="143"/>
      <c r="HFB33" s="143"/>
      <c r="HFC33" s="143"/>
      <c r="HFD33" s="143"/>
      <c r="HFE33" s="143"/>
      <c r="HFF33" s="143"/>
      <c r="HFG33" s="143"/>
      <c r="HFH33" s="143"/>
      <c r="HFI33" s="143"/>
      <c r="HFJ33" s="143"/>
      <c r="HFK33" s="143"/>
      <c r="HFL33" s="143"/>
      <c r="HFM33" s="143"/>
      <c r="HFN33" s="143"/>
      <c r="HFO33" s="143"/>
      <c r="HFP33" s="143"/>
      <c r="HFQ33" s="143"/>
      <c r="HFR33" s="143"/>
      <c r="HFS33" s="143"/>
      <c r="HFT33" s="143"/>
      <c r="HFU33" s="143"/>
      <c r="HFV33" s="143"/>
      <c r="HFW33" s="143"/>
      <c r="HFX33" s="143"/>
      <c r="HFY33" s="143"/>
      <c r="HFZ33" s="143"/>
      <c r="HGA33" s="143"/>
      <c r="HGB33" s="143"/>
      <c r="HGC33" s="143"/>
      <c r="HGD33" s="143"/>
      <c r="HGE33" s="143"/>
      <c r="HGF33" s="143"/>
      <c r="HGG33" s="143"/>
      <c r="HGH33" s="143"/>
      <c r="HGI33" s="143"/>
      <c r="HGJ33" s="143"/>
      <c r="HGK33" s="143"/>
      <c r="HGL33" s="143"/>
      <c r="HGM33" s="143"/>
      <c r="HGN33" s="143"/>
      <c r="HGO33" s="143"/>
      <c r="HGP33" s="143"/>
      <c r="HGQ33" s="143"/>
      <c r="HGR33" s="143"/>
      <c r="HGS33" s="143"/>
      <c r="HGT33" s="143"/>
      <c r="HGU33" s="143"/>
      <c r="HGV33" s="143"/>
      <c r="HGW33" s="143"/>
      <c r="HGX33" s="143"/>
      <c r="HGY33" s="143"/>
      <c r="HGZ33" s="143"/>
      <c r="HHA33" s="143"/>
      <c r="HHB33" s="143"/>
      <c r="HHC33" s="143"/>
      <c r="HHD33" s="143"/>
      <c r="HHE33" s="143"/>
      <c r="HHF33" s="143"/>
      <c r="HHG33" s="143"/>
      <c r="HHH33" s="143"/>
      <c r="HHI33" s="143"/>
      <c r="HHJ33" s="143"/>
      <c r="HHK33" s="143"/>
      <c r="HHL33" s="143"/>
      <c r="HHM33" s="143"/>
      <c r="HHN33" s="143"/>
      <c r="HHO33" s="143"/>
      <c r="HHP33" s="143"/>
      <c r="HHQ33" s="143"/>
      <c r="HHR33" s="143"/>
      <c r="HHS33" s="143"/>
      <c r="HHT33" s="143"/>
      <c r="HHU33" s="143"/>
      <c r="HHV33" s="143"/>
      <c r="HHW33" s="143"/>
      <c r="HHX33" s="143"/>
      <c r="HHY33" s="143"/>
      <c r="HHZ33" s="143"/>
      <c r="HIA33" s="143"/>
      <c r="HIB33" s="143"/>
      <c r="HIC33" s="143"/>
      <c r="HID33" s="143"/>
      <c r="HIE33" s="143"/>
      <c r="HIF33" s="143"/>
      <c r="HIG33" s="143"/>
      <c r="HIH33" s="143"/>
      <c r="HII33" s="143"/>
      <c r="HIJ33" s="143"/>
      <c r="HIK33" s="143"/>
      <c r="HIL33" s="143"/>
      <c r="HIM33" s="143"/>
      <c r="HIN33" s="143"/>
      <c r="HIO33" s="143"/>
      <c r="HIP33" s="143"/>
      <c r="HIQ33" s="143"/>
      <c r="HIR33" s="143"/>
      <c r="HIS33" s="143"/>
      <c r="HIT33" s="143"/>
      <c r="HIU33" s="143"/>
      <c r="HIV33" s="143"/>
      <c r="HIW33" s="143"/>
      <c r="HIX33" s="143"/>
      <c r="HIY33" s="143"/>
      <c r="HIZ33" s="143"/>
      <c r="HJA33" s="143"/>
      <c r="HJB33" s="143"/>
      <c r="HJC33" s="143"/>
      <c r="HJD33" s="143"/>
      <c r="HJE33" s="143"/>
      <c r="HJF33" s="143"/>
      <c r="HJG33" s="143"/>
      <c r="HJH33" s="143"/>
      <c r="HJI33" s="143"/>
      <c r="HJJ33" s="143"/>
      <c r="HJK33" s="143"/>
      <c r="HJL33" s="143"/>
      <c r="HJM33" s="143"/>
      <c r="HJN33" s="143"/>
      <c r="HJO33" s="143"/>
      <c r="HJP33" s="143"/>
      <c r="HJQ33" s="143"/>
      <c r="HJR33" s="143"/>
      <c r="HJS33" s="143"/>
      <c r="HJT33" s="143"/>
      <c r="HJU33" s="143"/>
      <c r="HJV33" s="143"/>
      <c r="HJW33" s="143"/>
      <c r="HJX33" s="143"/>
      <c r="HJY33" s="143"/>
      <c r="HJZ33" s="143"/>
      <c r="HKA33" s="143"/>
      <c r="HKB33" s="143"/>
      <c r="HKC33" s="143"/>
      <c r="HKD33" s="143"/>
      <c r="HKE33" s="143"/>
      <c r="HKF33" s="143"/>
      <c r="HKG33" s="143"/>
      <c r="HKH33" s="143"/>
      <c r="HKI33" s="143"/>
      <c r="HKJ33" s="143"/>
      <c r="HKK33" s="143"/>
      <c r="HKL33" s="143"/>
      <c r="HKM33" s="143"/>
      <c r="HKN33" s="143"/>
      <c r="HKO33" s="143"/>
      <c r="HKP33" s="143"/>
      <c r="HKQ33" s="143"/>
      <c r="HKR33" s="143"/>
      <c r="HKS33" s="143"/>
      <c r="HKT33" s="143"/>
      <c r="HKU33" s="143"/>
      <c r="HKV33" s="143"/>
      <c r="HKW33" s="143"/>
      <c r="HKX33" s="143"/>
      <c r="HKY33" s="143"/>
      <c r="HKZ33" s="143"/>
      <c r="HLA33" s="143"/>
      <c r="HLB33" s="143"/>
      <c r="HLC33" s="143"/>
      <c r="HLD33" s="143"/>
      <c r="HLE33" s="143"/>
      <c r="HLF33" s="143"/>
      <c r="HLG33" s="143"/>
      <c r="HLH33" s="143"/>
      <c r="HLI33" s="143"/>
      <c r="HLJ33" s="143"/>
      <c r="HLK33" s="143"/>
      <c r="HLL33" s="143"/>
      <c r="HLM33" s="143"/>
      <c r="HLN33" s="143"/>
      <c r="HLO33" s="143"/>
      <c r="HLP33" s="143"/>
      <c r="HLQ33" s="143"/>
      <c r="HLR33" s="143"/>
      <c r="HLS33" s="143"/>
      <c r="HLT33" s="143"/>
      <c r="HLU33" s="143"/>
      <c r="HLV33" s="143"/>
      <c r="HLW33" s="143"/>
      <c r="HLX33" s="143"/>
      <c r="HLY33" s="143"/>
      <c r="HLZ33" s="143"/>
      <c r="HMA33" s="143"/>
      <c r="HMB33" s="143"/>
      <c r="HMC33" s="143"/>
      <c r="HMD33" s="143"/>
      <c r="HME33" s="143"/>
      <c r="HMF33" s="143"/>
      <c r="HMG33" s="143"/>
      <c r="HMH33" s="143"/>
      <c r="HMI33" s="143"/>
      <c r="HMJ33" s="143"/>
      <c r="HMK33" s="143"/>
      <c r="HML33" s="143"/>
      <c r="HMM33" s="143"/>
      <c r="HMN33" s="143"/>
      <c r="HMO33" s="143"/>
      <c r="HMP33" s="143"/>
      <c r="HMQ33" s="143"/>
      <c r="HMR33" s="143"/>
      <c r="HMS33" s="143"/>
      <c r="HMT33" s="143"/>
      <c r="HMU33" s="143"/>
      <c r="HMV33" s="143"/>
      <c r="HMW33" s="143"/>
      <c r="HMX33" s="143"/>
      <c r="HMY33" s="143"/>
      <c r="HMZ33" s="143"/>
      <c r="HNA33" s="143"/>
      <c r="HNB33" s="143"/>
      <c r="HNC33" s="143"/>
      <c r="HND33" s="143"/>
      <c r="HNE33" s="143"/>
      <c r="HNF33" s="143"/>
      <c r="HNG33" s="143"/>
      <c r="HNH33" s="143"/>
      <c r="HNI33" s="143"/>
      <c r="HNJ33" s="143"/>
      <c r="HNK33" s="143"/>
      <c r="HNL33" s="143"/>
      <c r="HNM33" s="143"/>
      <c r="HNN33" s="143"/>
      <c r="HNO33" s="143"/>
      <c r="HNP33" s="143"/>
      <c r="HNQ33" s="143"/>
      <c r="HNR33" s="143"/>
      <c r="HNS33" s="143"/>
      <c r="HNT33" s="143"/>
      <c r="HNU33" s="143"/>
      <c r="HNV33" s="143"/>
      <c r="HNW33" s="143"/>
      <c r="HNX33" s="143"/>
      <c r="HNY33" s="143"/>
      <c r="HNZ33" s="143"/>
      <c r="HOA33" s="143"/>
      <c r="HOB33" s="143"/>
      <c r="HOC33" s="143"/>
      <c r="HOD33" s="143"/>
      <c r="HOE33" s="143"/>
      <c r="HOF33" s="143"/>
      <c r="HOG33" s="143"/>
      <c r="HOH33" s="143"/>
      <c r="HOI33" s="143"/>
      <c r="HOJ33" s="143"/>
      <c r="HOK33" s="143"/>
      <c r="HOL33" s="143"/>
      <c r="HOM33" s="143"/>
      <c r="HON33" s="143"/>
      <c r="HOO33" s="143"/>
      <c r="HOP33" s="143"/>
      <c r="HOQ33" s="143"/>
      <c r="HOR33" s="143"/>
      <c r="HOS33" s="143"/>
      <c r="HOT33" s="143"/>
      <c r="HOU33" s="143"/>
      <c r="HOV33" s="143"/>
      <c r="HOW33" s="143"/>
      <c r="HOX33" s="143"/>
      <c r="HOY33" s="143"/>
      <c r="HOZ33" s="143"/>
      <c r="HPA33" s="143"/>
      <c r="HPB33" s="143"/>
      <c r="HPC33" s="143"/>
      <c r="HPD33" s="143"/>
      <c r="HPE33" s="143"/>
      <c r="HPF33" s="143"/>
      <c r="HPG33" s="143"/>
      <c r="HPH33" s="143"/>
      <c r="HPI33" s="143"/>
      <c r="HPJ33" s="143"/>
      <c r="HPK33" s="143"/>
      <c r="HPL33" s="143"/>
      <c r="HPM33" s="143"/>
      <c r="HPN33" s="143"/>
      <c r="HPO33" s="143"/>
      <c r="HPP33" s="143"/>
      <c r="HPQ33" s="143"/>
      <c r="HPR33" s="143"/>
      <c r="HPS33" s="143"/>
      <c r="HPT33" s="143"/>
      <c r="HPU33" s="143"/>
      <c r="HPV33" s="143"/>
      <c r="HPW33" s="143"/>
      <c r="HPX33" s="143"/>
      <c r="HPY33" s="143"/>
      <c r="HPZ33" s="143"/>
      <c r="HQA33" s="143"/>
      <c r="HQB33" s="143"/>
      <c r="HQC33" s="143"/>
      <c r="HQD33" s="143"/>
      <c r="HQE33" s="143"/>
      <c r="HQF33" s="143"/>
      <c r="HQG33" s="143"/>
      <c r="HQH33" s="143"/>
      <c r="HQI33" s="143"/>
      <c r="HQJ33" s="143"/>
      <c r="HQK33" s="143"/>
      <c r="HQL33" s="143"/>
      <c r="HQM33" s="143"/>
      <c r="HQN33" s="143"/>
      <c r="HQO33" s="143"/>
      <c r="HQP33" s="143"/>
      <c r="HQQ33" s="143"/>
      <c r="HQR33" s="143"/>
      <c r="HQS33" s="143"/>
      <c r="HQT33" s="143"/>
      <c r="HQU33" s="143"/>
      <c r="HQV33" s="143"/>
      <c r="HQW33" s="143"/>
      <c r="HQX33" s="143"/>
      <c r="HQY33" s="143"/>
      <c r="HQZ33" s="143"/>
      <c r="HRA33" s="143"/>
      <c r="HRB33" s="143"/>
      <c r="HRC33" s="143"/>
      <c r="HRD33" s="143"/>
      <c r="HRE33" s="143"/>
      <c r="HRF33" s="143"/>
      <c r="HRG33" s="143"/>
      <c r="HRH33" s="143"/>
      <c r="HRI33" s="143"/>
      <c r="HRJ33" s="143"/>
      <c r="HRK33" s="143"/>
      <c r="HRL33" s="143"/>
      <c r="HRM33" s="143"/>
      <c r="HRN33" s="143"/>
      <c r="HRO33" s="143"/>
      <c r="HRP33" s="143"/>
      <c r="HRQ33" s="143"/>
      <c r="HRR33" s="143"/>
      <c r="HRS33" s="143"/>
      <c r="HRT33" s="143"/>
      <c r="HRU33" s="143"/>
      <c r="HRV33" s="143"/>
      <c r="HRW33" s="143"/>
      <c r="HRX33" s="143"/>
      <c r="HRY33" s="143"/>
      <c r="HRZ33" s="143"/>
      <c r="HSA33" s="143"/>
      <c r="HSB33" s="143"/>
      <c r="HSC33" s="143"/>
      <c r="HSD33" s="143"/>
      <c r="HSE33" s="143"/>
      <c r="HSF33" s="143"/>
      <c r="HSG33" s="143"/>
      <c r="HSH33" s="143"/>
      <c r="HSI33" s="143"/>
      <c r="HSJ33" s="143"/>
      <c r="HSK33" s="143"/>
      <c r="HSL33" s="143"/>
      <c r="HSM33" s="143"/>
      <c r="HSN33" s="143"/>
      <c r="HSO33" s="143"/>
      <c r="HSP33" s="143"/>
      <c r="HSQ33" s="143"/>
      <c r="HSR33" s="143"/>
      <c r="HSS33" s="143"/>
      <c r="HST33" s="143"/>
      <c r="HSU33" s="143"/>
      <c r="HSV33" s="143"/>
      <c r="HSW33" s="143"/>
      <c r="HSX33" s="143"/>
      <c r="HSY33" s="143"/>
      <c r="HSZ33" s="143"/>
      <c r="HTA33" s="143"/>
      <c r="HTB33" s="143"/>
      <c r="HTC33" s="143"/>
      <c r="HTD33" s="143"/>
      <c r="HTE33" s="143"/>
      <c r="HTF33" s="143"/>
      <c r="HTG33" s="143"/>
      <c r="HTH33" s="143"/>
      <c r="HTI33" s="143"/>
      <c r="HTJ33" s="143"/>
      <c r="HTK33" s="143"/>
      <c r="HTL33" s="143"/>
      <c r="HTM33" s="143"/>
      <c r="HTN33" s="143"/>
      <c r="HTO33" s="143"/>
      <c r="HTP33" s="143"/>
      <c r="HTQ33" s="143"/>
      <c r="HTR33" s="143"/>
      <c r="HTS33" s="143"/>
      <c r="HTT33" s="143"/>
      <c r="HTU33" s="143"/>
      <c r="HTV33" s="143"/>
      <c r="HTW33" s="143"/>
      <c r="HTX33" s="143"/>
      <c r="HTY33" s="143"/>
      <c r="HTZ33" s="143"/>
      <c r="HUA33" s="143"/>
      <c r="HUB33" s="143"/>
      <c r="HUC33" s="143"/>
      <c r="HUD33" s="143"/>
      <c r="HUE33" s="143"/>
      <c r="HUF33" s="143"/>
      <c r="HUG33" s="143"/>
      <c r="HUH33" s="143"/>
      <c r="HUI33" s="143"/>
      <c r="HUJ33" s="143"/>
      <c r="HUK33" s="143"/>
      <c r="HUL33" s="143"/>
      <c r="HUM33" s="143"/>
      <c r="HUN33" s="143"/>
      <c r="HUO33" s="143"/>
      <c r="HUP33" s="143"/>
      <c r="HUQ33" s="143"/>
      <c r="HUR33" s="143"/>
      <c r="HUS33" s="143"/>
      <c r="HUT33" s="143"/>
      <c r="HUU33" s="143"/>
      <c r="HUV33" s="143"/>
      <c r="HUW33" s="143"/>
      <c r="HUX33" s="143"/>
      <c r="HUY33" s="143"/>
      <c r="HUZ33" s="143"/>
      <c r="HVA33" s="143"/>
      <c r="HVB33" s="143"/>
      <c r="HVC33" s="143"/>
      <c r="HVD33" s="143"/>
      <c r="HVE33" s="143"/>
      <c r="HVF33" s="143"/>
      <c r="HVG33" s="143"/>
      <c r="HVH33" s="143"/>
      <c r="HVI33" s="143"/>
      <c r="HVJ33" s="143"/>
      <c r="HVK33" s="143"/>
      <c r="HVL33" s="143"/>
      <c r="HVM33" s="143"/>
      <c r="HVN33" s="143"/>
      <c r="HVO33" s="143"/>
      <c r="HVP33" s="143"/>
      <c r="HVQ33" s="143"/>
      <c r="HVR33" s="143"/>
      <c r="HVS33" s="143"/>
      <c r="HVT33" s="143"/>
      <c r="HVU33" s="143"/>
      <c r="HVV33" s="143"/>
      <c r="HVW33" s="143"/>
      <c r="HVX33" s="143"/>
      <c r="HVY33" s="143"/>
      <c r="HVZ33" s="143"/>
      <c r="HWA33" s="143"/>
      <c r="HWB33" s="143"/>
      <c r="HWC33" s="143"/>
      <c r="HWD33" s="143"/>
      <c r="HWE33" s="143"/>
      <c r="HWF33" s="143"/>
      <c r="HWG33" s="143"/>
      <c r="HWH33" s="143"/>
      <c r="HWI33" s="143"/>
      <c r="HWJ33" s="143"/>
      <c r="HWK33" s="143"/>
      <c r="HWL33" s="143"/>
      <c r="HWM33" s="143"/>
      <c r="HWN33" s="143"/>
      <c r="HWO33" s="143"/>
      <c r="HWP33" s="143"/>
      <c r="HWQ33" s="143"/>
      <c r="HWR33" s="143"/>
      <c r="HWS33" s="143"/>
      <c r="HWT33" s="143"/>
      <c r="HWU33" s="143"/>
      <c r="HWV33" s="143"/>
      <c r="HWW33" s="143"/>
      <c r="HWX33" s="143"/>
      <c r="HWY33" s="143"/>
      <c r="HWZ33" s="143"/>
      <c r="HXA33" s="143"/>
      <c r="HXB33" s="143"/>
      <c r="HXC33" s="143"/>
      <c r="HXD33" s="143"/>
      <c r="HXE33" s="143"/>
      <c r="HXF33" s="143"/>
      <c r="HXG33" s="143"/>
      <c r="HXH33" s="143"/>
      <c r="HXI33" s="143"/>
      <c r="HXJ33" s="143"/>
      <c r="HXK33" s="143"/>
      <c r="HXL33" s="143"/>
      <c r="HXM33" s="143"/>
      <c r="HXN33" s="143"/>
      <c r="HXO33" s="143"/>
      <c r="HXP33" s="143"/>
      <c r="HXQ33" s="143"/>
      <c r="HXR33" s="143"/>
      <c r="HXS33" s="143"/>
      <c r="HXT33" s="143"/>
      <c r="HXU33" s="143"/>
      <c r="HXV33" s="143"/>
      <c r="HXW33" s="143"/>
      <c r="HXX33" s="143"/>
      <c r="HXY33" s="143"/>
      <c r="HXZ33" s="143"/>
      <c r="HYA33" s="143"/>
      <c r="HYB33" s="143"/>
      <c r="HYC33" s="143"/>
      <c r="HYD33" s="143"/>
      <c r="HYE33" s="143"/>
      <c r="HYF33" s="143"/>
      <c r="HYG33" s="143"/>
      <c r="HYH33" s="143"/>
      <c r="HYI33" s="143"/>
      <c r="HYJ33" s="143"/>
      <c r="HYK33" s="143"/>
      <c r="HYL33" s="143"/>
      <c r="HYM33" s="143"/>
      <c r="HYN33" s="143"/>
      <c r="HYO33" s="143"/>
      <c r="HYP33" s="143"/>
      <c r="HYQ33" s="143"/>
      <c r="HYR33" s="143"/>
      <c r="HYS33" s="143"/>
      <c r="HYT33" s="143"/>
      <c r="HYU33" s="143"/>
      <c r="HYV33" s="143"/>
      <c r="HYW33" s="143"/>
      <c r="HYX33" s="143"/>
      <c r="HYY33" s="143"/>
      <c r="HYZ33" s="143"/>
      <c r="HZA33" s="143"/>
      <c r="HZB33" s="143"/>
      <c r="HZC33" s="143"/>
      <c r="HZD33" s="143"/>
      <c r="HZE33" s="143"/>
      <c r="HZF33" s="143"/>
      <c r="HZG33" s="143"/>
      <c r="HZH33" s="143"/>
      <c r="HZI33" s="143"/>
      <c r="HZJ33" s="143"/>
      <c r="HZK33" s="143"/>
      <c r="HZL33" s="143"/>
      <c r="HZM33" s="143"/>
      <c r="HZN33" s="143"/>
      <c r="HZO33" s="143"/>
      <c r="HZP33" s="143"/>
      <c r="HZQ33" s="143"/>
      <c r="HZR33" s="143"/>
      <c r="HZS33" s="143"/>
      <c r="HZT33" s="143"/>
      <c r="HZU33" s="143"/>
      <c r="HZV33" s="143"/>
      <c r="HZW33" s="143"/>
      <c r="HZX33" s="143"/>
      <c r="HZY33" s="143"/>
      <c r="HZZ33" s="143"/>
      <c r="IAA33" s="143"/>
      <c r="IAB33" s="143"/>
      <c r="IAC33" s="143"/>
      <c r="IAD33" s="143"/>
      <c r="IAE33" s="143"/>
      <c r="IAF33" s="143"/>
      <c r="IAG33" s="143"/>
      <c r="IAH33" s="143"/>
      <c r="IAI33" s="143"/>
      <c r="IAJ33" s="143"/>
      <c r="IAK33" s="143"/>
      <c r="IAL33" s="143"/>
      <c r="IAM33" s="143"/>
      <c r="IAN33" s="143"/>
      <c r="IAO33" s="143"/>
      <c r="IAP33" s="143"/>
      <c r="IAQ33" s="143"/>
      <c r="IAR33" s="143"/>
      <c r="IAS33" s="143"/>
      <c r="IAT33" s="143"/>
      <c r="IAU33" s="143"/>
      <c r="IAV33" s="143"/>
      <c r="IAW33" s="143"/>
      <c r="IAX33" s="143"/>
      <c r="IAY33" s="143"/>
      <c r="IAZ33" s="143"/>
      <c r="IBA33" s="143"/>
      <c r="IBB33" s="143"/>
      <c r="IBC33" s="143"/>
      <c r="IBD33" s="143"/>
      <c r="IBE33" s="143"/>
      <c r="IBF33" s="143"/>
      <c r="IBG33" s="143"/>
      <c r="IBH33" s="143"/>
      <c r="IBI33" s="143"/>
      <c r="IBJ33" s="143"/>
      <c r="IBK33" s="143"/>
      <c r="IBL33" s="143"/>
      <c r="IBM33" s="143"/>
      <c r="IBN33" s="143"/>
      <c r="IBO33" s="143"/>
      <c r="IBP33" s="143"/>
      <c r="IBQ33" s="143"/>
      <c r="IBR33" s="143"/>
      <c r="IBS33" s="143"/>
      <c r="IBT33" s="143"/>
      <c r="IBU33" s="143"/>
      <c r="IBV33" s="143"/>
      <c r="IBW33" s="143"/>
      <c r="IBX33" s="143"/>
      <c r="IBY33" s="143"/>
      <c r="IBZ33" s="143"/>
      <c r="ICA33" s="143"/>
      <c r="ICB33" s="143"/>
      <c r="ICC33" s="143"/>
      <c r="ICD33" s="143"/>
      <c r="ICE33" s="143"/>
      <c r="ICF33" s="143"/>
      <c r="ICG33" s="143"/>
      <c r="ICH33" s="143"/>
      <c r="ICI33" s="143"/>
      <c r="ICJ33" s="143"/>
      <c r="ICK33" s="143"/>
      <c r="ICL33" s="143"/>
      <c r="ICM33" s="143"/>
      <c r="ICN33" s="143"/>
      <c r="ICO33" s="143"/>
      <c r="ICP33" s="143"/>
      <c r="ICQ33" s="143"/>
      <c r="ICR33" s="143"/>
      <c r="ICS33" s="143"/>
      <c r="ICT33" s="143"/>
      <c r="ICU33" s="143"/>
      <c r="ICV33" s="143"/>
      <c r="ICW33" s="143"/>
      <c r="ICX33" s="143"/>
      <c r="ICY33" s="143"/>
      <c r="ICZ33" s="143"/>
      <c r="IDA33" s="143"/>
      <c r="IDB33" s="143"/>
      <c r="IDC33" s="143"/>
      <c r="IDD33" s="143"/>
      <c r="IDE33" s="143"/>
      <c r="IDF33" s="143"/>
      <c r="IDG33" s="143"/>
      <c r="IDH33" s="143"/>
      <c r="IDI33" s="143"/>
      <c r="IDJ33" s="143"/>
      <c r="IDK33" s="143"/>
      <c r="IDL33" s="143"/>
      <c r="IDM33" s="143"/>
      <c r="IDN33" s="143"/>
      <c r="IDO33" s="143"/>
      <c r="IDP33" s="143"/>
      <c r="IDQ33" s="143"/>
      <c r="IDR33" s="143"/>
      <c r="IDS33" s="143"/>
      <c r="IDT33" s="143"/>
      <c r="IDU33" s="143"/>
      <c r="IDV33" s="143"/>
      <c r="IDW33" s="143"/>
      <c r="IDX33" s="143"/>
      <c r="IDY33" s="143"/>
      <c r="IDZ33" s="143"/>
      <c r="IEA33" s="143"/>
      <c r="IEB33" s="143"/>
      <c r="IEC33" s="143"/>
      <c r="IED33" s="143"/>
      <c r="IEE33" s="143"/>
      <c r="IEF33" s="143"/>
      <c r="IEG33" s="143"/>
      <c r="IEH33" s="143"/>
      <c r="IEI33" s="143"/>
      <c r="IEJ33" s="143"/>
      <c r="IEK33" s="143"/>
      <c r="IEL33" s="143"/>
      <c r="IEM33" s="143"/>
      <c r="IEN33" s="143"/>
      <c r="IEO33" s="143"/>
      <c r="IEP33" s="143"/>
      <c r="IEQ33" s="143"/>
      <c r="IER33" s="143"/>
      <c r="IES33" s="143"/>
      <c r="IET33" s="143"/>
      <c r="IEU33" s="143"/>
      <c r="IEV33" s="143"/>
      <c r="IEW33" s="143"/>
      <c r="IEX33" s="143"/>
      <c r="IEY33" s="143"/>
      <c r="IEZ33" s="143"/>
      <c r="IFA33" s="143"/>
      <c r="IFB33" s="143"/>
      <c r="IFC33" s="143"/>
      <c r="IFD33" s="143"/>
      <c r="IFE33" s="143"/>
      <c r="IFF33" s="143"/>
      <c r="IFG33" s="143"/>
      <c r="IFH33" s="143"/>
      <c r="IFI33" s="143"/>
      <c r="IFJ33" s="143"/>
      <c r="IFK33" s="143"/>
      <c r="IFL33" s="143"/>
      <c r="IFM33" s="143"/>
      <c r="IFN33" s="143"/>
      <c r="IFO33" s="143"/>
      <c r="IFP33" s="143"/>
      <c r="IFQ33" s="143"/>
      <c r="IFR33" s="143"/>
      <c r="IFS33" s="143"/>
      <c r="IFT33" s="143"/>
      <c r="IFU33" s="143"/>
      <c r="IFV33" s="143"/>
      <c r="IFW33" s="143"/>
      <c r="IFX33" s="143"/>
      <c r="IFY33" s="143"/>
      <c r="IFZ33" s="143"/>
      <c r="IGA33" s="143"/>
      <c r="IGB33" s="143"/>
      <c r="IGC33" s="143"/>
      <c r="IGD33" s="143"/>
      <c r="IGE33" s="143"/>
      <c r="IGF33" s="143"/>
      <c r="IGG33" s="143"/>
      <c r="IGH33" s="143"/>
      <c r="IGI33" s="143"/>
      <c r="IGJ33" s="143"/>
      <c r="IGK33" s="143"/>
      <c r="IGL33" s="143"/>
      <c r="IGM33" s="143"/>
      <c r="IGN33" s="143"/>
      <c r="IGO33" s="143"/>
      <c r="IGP33" s="143"/>
      <c r="IGQ33" s="143"/>
      <c r="IGR33" s="143"/>
      <c r="IGS33" s="143"/>
      <c r="IGT33" s="143"/>
      <c r="IGU33" s="143"/>
      <c r="IGV33" s="143"/>
      <c r="IGW33" s="143"/>
      <c r="IGX33" s="143"/>
      <c r="IGY33" s="143"/>
      <c r="IGZ33" s="143"/>
      <c r="IHA33" s="143"/>
      <c r="IHB33" s="143"/>
      <c r="IHC33" s="143"/>
      <c r="IHD33" s="143"/>
      <c r="IHE33" s="143"/>
      <c r="IHF33" s="143"/>
      <c r="IHG33" s="143"/>
      <c r="IHH33" s="143"/>
      <c r="IHI33" s="143"/>
      <c r="IHJ33" s="143"/>
      <c r="IHK33" s="143"/>
      <c r="IHL33" s="143"/>
      <c r="IHM33" s="143"/>
      <c r="IHN33" s="143"/>
      <c r="IHO33" s="143"/>
      <c r="IHP33" s="143"/>
      <c r="IHQ33" s="143"/>
      <c r="IHR33" s="143"/>
      <c r="IHS33" s="143"/>
      <c r="IHT33" s="143"/>
      <c r="IHU33" s="143"/>
      <c r="IHV33" s="143"/>
      <c r="IHW33" s="143"/>
      <c r="IHX33" s="143"/>
      <c r="IHY33" s="143"/>
      <c r="IHZ33" s="143"/>
      <c r="IIA33" s="143"/>
      <c r="IIB33" s="143"/>
      <c r="IIC33" s="143"/>
      <c r="IID33" s="143"/>
      <c r="IIE33" s="143"/>
      <c r="IIF33" s="143"/>
      <c r="IIG33" s="143"/>
      <c r="IIH33" s="143"/>
      <c r="III33" s="143"/>
      <c r="IIJ33" s="143"/>
      <c r="IIK33" s="143"/>
      <c r="IIL33" s="143"/>
      <c r="IIM33" s="143"/>
      <c r="IIN33" s="143"/>
      <c r="IIO33" s="143"/>
      <c r="IIP33" s="143"/>
      <c r="IIQ33" s="143"/>
      <c r="IIR33" s="143"/>
      <c r="IIS33" s="143"/>
      <c r="IIT33" s="143"/>
      <c r="IIU33" s="143"/>
      <c r="IIV33" s="143"/>
      <c r="IIW33" s="143"/>
      <c r="IIX33" s="143"/>
      <c r="IIY33" s="143"/>
      <c r="IIZ33" s="143"/>
      <c r="IJA33" s="143"/>
      <c r="IJB33" s="143"/>
      <c r="IJC33" s="143"/>
      <c r="IJD33" s="143"/>
      <c r="IJE33" s="143"/>
      <c r="IJF33" s="143"/>
      <c r="IJG33" s="143"/>
      <c r="IJH33" s="143"/>
      <c r="IJI33" s="143"/>
      <c r="IJJ33" s="143"/>
      <c r="IJK33" s="143"/>
      <c r="IJL33" s="143"/>
      <c r="IJM33" s="143"/>
      <c r="IJN33" s="143"/>
      <c r="IJO33" s="143"/>
      <c r="IJP33" s="143"/>
      <c r="IJQ33" s="143"/>
      <c r="IJR33" s="143"/>
      <c r="IJS33" s="143"/>
      <c r="IJT33" s="143"/>
      <c r="IJU33" s="143"/>
      <c r="IJV33" s="143"/>
      <c r="IJW33" s="143"/>
      <c r="IJX33" s="143"/>
      <c r="IJY33" s="143"/>
      <c r="IJZ33" s="143"/>
      <c r="IKA33" s="143"/>
      <c r="IKB33" s="143"/>
      <c r="IKC33" s="143"/>
      <c r="IKD33" s="143"/>
      <c r="IKE33" s="143"/>
      <c r="IKF33" s="143"/>
      <c r="IKG33" s="143"/>
      <c r="IKH33" s="143"/>
      <c r="IKI33" s="143"/>
      <c r="IKJ33" s="143"/>
      <c r="IKK33" s="143"/>
      <c r="IKL33" s="143"/>
      <c r="IKM33" s="143"/>
      <c r="IKN33" s="143"/>
      <c r="IKO33" s="143"/>
      <c r="IKP33" s="143"/>
      <c r="IKQ33" s="143"/>
      <c r="IKR33" s="143"/>
      <c r="IKS33" s="143"/>
      <c r="IKT33" s="143"/>
      <c r="IKU33" s="143"/>
      <c r="IKV33" s="143"/>
      <c r="IKW33" s="143"/>
      <c r="IKX33" s="143"/>
      <c r="IKY33" s="143"/>
      <c r="IKZ33" s="143"/>
      <c r="ILA33" s="143"/>
      <c r="ILB33" s="143"/>
      <c r="ILC33" s="143"/>
      <c r="ILD33" s="143"/>
      <c r="ILE33" s="143"/>
      <c r="ILF33" s="143"/>
      <c r="ILG33" s="143"/>
      <c r="ILH33" s="143"/>
      <c r="ILI33" s="143"/>
      <c r="ILJ33" s="143"/>
      <c r="ILK33" s="143"/>
      <c r="ILL33" s="143"/>
      <c r="ILM33" s="143"/>
      <c r="ILN33" s="143"/>
      <c r="ILO33" s="143"/>
      <c r="ILP33" s="143"/>
      <c r="ILQ33" s="143"/>
      <c r="ILR33" s="143"/>
      <c r="ILS33" s="143"/>
      <c r="ILT33" s="143"/>
      <c r="ILU33" s="143"/>
      <c r="ILV33" s="143"/>
      <c r="ILW33" s="143"/>
      <c r="ILX33" s="143"/>
      <c r="ILY33" s="143"/>
      <c r="ILZ33" s="143"/>
      <c r="IMA33" s="143"/>
      <c r="IMB33" s="143"/>
      <c r="IMC33" s="143"/>
      <c r="IMD33" s="143"/>
      <c r="IME33" s="143"/>
      <c r="IMF33" s="143"/>
      <c r="IMG33" s="143"/>
      <c r="IMH33" s="143"/>
      <c r="IMI33" s="143"/>
      <c r="IMJ33" s="143"/>
      <c r="IMK33" s="143"/>
      <c r="IML33" s="143"/>
      <c r="IMM33" s="143"/>
      <c r="IMN33" s="143"/>
      <c r="IMO33" s="143"/>
      <c r="IMP33" s="143"/>
      <c r="IMQ33" s="143"/>
      <c r="IMR33" s="143"/>
      <c r="IMS33" s="143"/>
      <c r="IMT33" s="143"/>
      <c r="IMU33" s="143"/>
      <c r="IMV33" s="143"/>
      <c r="IMW33" s="143"/>
      <c r="IMX33" s="143"/>
      <c r="IMY33" s="143"/>
      <c r="IMZ33" s="143"/>
      <c r="INA33" s="143"/>
      <c r="INB33" s="143"/>
      <c r="INC33" s="143"/>
      <c r="IND33" s="143"/>
      <c r="INE33" s="143"/>
      <c r="INF33" s="143"/>
      <c r="ING33" s="143"/>
      <c r="INH33" s="143"/>
      <c r="INI33" s="143"/>
      <c r="INJ33" s="143"/>
      <c r="INK33" s="143"/>
      <c r="INL33" s="143"/>
      <c r="INM33" s="143"/>
      <c r="INN33" s="143"/>
      <c r="INO33" s="143"/>
      <c r="INP33" s="143"/>
      <c r="INQ33" s="143"/>
      <c r="INR33" s="143"/>
      <c r="INS33" s="143"/>
      <c r="INT33" s="143"/>
      <c r="INU33" s="143"/>
      <c r="INV33" s="143"/>
      <c r="INW33" s="143"/>
      <c r="INX33" s="143"/>
      <c r="INY33" s="143"/>
      <c r="INZ33" s="143"/>
      <c r="IOA33" s="143"/>
      <c r="IOB33" s="143"/>
      <c r="IOC33" s="143"/>
      <c r="IOD33" s="143"/>
      <c r="IOE33" s="143"/>
      <c r="IOF33" s="143"/>
      <c r="IOG33" s="143"/>
      <c r="IOH33" s="143"/>
      <c r="IOI33" s="143"/>
      <c r="IOJ33" s="143"/>
      <c r="IOK33" s="143"/>
      <c r="IOL33" s="143"/>
      <c r="IOM33" s="143"/>
      <c r="ION33" s="143"/>
      <c r="IOO33" s="143"/>
      <c r="IOP33" s="143"/>
      <c r="IOQ33" s="143"/>
      <c r="IOR33" s="143"/>
      <c r="IOS33" s="143"/>
      <c r="IOT33" s="143"/>
      <c r="IOU33" s="143"/>
      <c r="IOV33" s="143"/>
      <c r="IOW33" s="143"/>
      <c r="IOX33" s="143"/>
      <c r="IOY33" s="143"/>
      <c r="IOZ33" s="143"/>
      <c r="IPA33" s="143"/>
      <c r="IPB33" s="143"/>
      <c r="IPC33" s="143"/>
      <c r="IPD33" s="143"/>
      <c r="IPE33" s="143"/>
      <c r="IPF33" s="143"/>
      <c r="IPG33" s="143"/>
      <c r="IPH33" s="143"/>
      <c r="IPI33" s="143"/>
      <c r="IPJ33" s="143"/>
      <c r="IPK33" s="143"/>
      <c r="IPL33" s="143"/>
      <c r="IPM33" s="143"/>
      <c r="IPN33" s="143"/>
      <c r="IPO33" s="143"/>
      <c r="IPP33" s="143"/>
      <c r="IPQ33" s="143"/>
      <c r="IPR33" s="143"/>
      <c r="IPS33" s="143"/>
      <c r="IPT33" s="143"/>
      <c r="IPU33" s="143"/>
      <c r="IPV33" s="143"/>
      <c r="IPW33" s="143"/>
      <c r="IPX33" s="143"/>
      <c r="IPY33" s="143"/>
      <c r="IPZ33" s="143"/>
      <c r="IQA33" s="143"/>
      <c r="IQB33" s="143"/>
      <c r="IQC33" s="143"/>
      <c r="IQD33" s="143"/>
      <c r="IQE33" s="143"/>
      <c r="IQF33" s="143"/>
      <c r="IQG33" s="143"/>
      <c r="IQH33" s="143"/>
      <c r="IQI33" s="143"/>
      <c r="IQJ33" s="143"/>
      <c r="IQK33" s="143"/>
      <c r="IQL33" s="143"/>
      <c r="IQM33" s="143"/>
      <c r="IQN33" s="143"/>
      <c r="IQO33" s="143"/>
      <c r="IQP33" s="143"/>
      <c r="IQQ33" s="143"/>
      <c r="IQR33" s="143"/>
      <c r="IQS33" s="143"/>
      <c r="IQT33" s="143"/>
      <c r="IQU33" s="143"/>
      <c r="IQV33" s="143"/>
      <c r="IQW33" s="143"/>
      <c r="IQX33" s="143"/>
      <c r="IQY33" s="143"/>
      <c r="IQZ33" s="143"/>
      <c r="IRA33" s="143"/>
      <c r="IRB33" s="143"/>
      <c r="IRC33" s="143"/>
      <c r="IRD33" s="143"/>
      <c r="IRE33" s="143"/>
      <c r="IRF33" s="143"/>
      <c r="IRG33" s="143"/>
      <c r="IRH33" s="143"/>
      <c r="IRI33" s="143"/>
      <c r="IRJ33" s="143"/>
      <c r="IRK33" s="143"/>
      <c r="IRL33" s="143"/>
      <c r="IRM33" s="143"/>
      <c r="IRN33" s="143"/>
      <c r="IRO33" s="143"/>
      <c r="IRP33" s="143"/>
      <c r="IRQ33" s="143"/>
      <c r="IRR33" s="143"/>
      <c r="IRS33" s="143"/>
      <c r="IRT33" s="143"/>
      <c r="IRU33" s="143"/>
      <c r="IRV33" s="143"/>
      <c r="IRW33" s="143"/>
      <c r="IRX33" s="143"/>
      <c r="IRY33" s="143"/>
      <c r="IRZ33" s="143"/>
      <c r="ISA33" s="143"/>
      <c r="ISB33" s="143"/>
      <c r="ISC33" s="143"/>
      <c r="ISD33" s="143"/>
      <c r="ISE33" s="143"/>
      <c r="ISF33" s="143"/>
      <c r="ISG33" s="143"/>
      <c r="ISH33" s="143"/>
      <c r="ISI33" s="143"/>
      <c r="ISJ33" s="143"/>
      <c r="ISK33" s="143"/>
      <c r="ISL33" s="143"/>
      <c r="ISM33" s="143"/>
      <c r="ISN33" s="143"/>
      <c r="ISO33" s="143"/>
      <c r="ISP33" s="143"/>
      <c r="ISQ33" s="143"/>
      <c r="ISR33" s="143"/>
      <c r="ISS33" s="143"/>
      <c r="IST33" s="143"/>
      <c r="ISU33" s="143"/>
      <c r="ISV33" s="143"/>
      <c r="ISW33" s="143"/>
      <c r="ISX33" s="143"/>
      <c r="ISY33" s="143"/>
      <c r="ISZ33" s="143"/>
      <c r="ITA33" s="143"/>
      <c r="ITB33" s="143"/>
      <c r="ITC33" s="143"/>
      <c r="ITD33" s="143"/>
      <c r="ITE33" s="143"/>
      <c r="ITF33" s="143"/>
      <c r="ITG33" s="143"/>
      <c r="ITH33" s="143"/>
      <c r="ITI33" s="143"/>
      <c r="ITJ33" s="143"/>
      <c r="ITK33" s="143"/>
      <c r="ITL33" s="143"/>
      <c r="ITM33" s="143"/>
      <c r="ITN33" s="143"/>
      <c r="ITO33" s="143"/>
      <c r="ITP33" s="143"/>
      <c r="ITQ33" s="143"/>
      <c r="ITR33" s="143"/>
      <c r="ITS33" s="143"/>
      <c r="ITT33" s="143"/>
      <c r="ITU33" s="143"/>
      <c r="ITV33" s="143"/>
      <c r="ITW33" s="143"/>
      <c r="ITX33" s="143"/>
      <c r="ITY33" s="143"/>
      <c r="ITZ33" s="143"/>
      <c r="IUA33" s="143"/>
      <c r="IUB33" s="143"/>
      <c r="IUC33" s="143"/>
      <c r="IUD33" s="143"/>
      <c r="IUE33" s="143"/>
      <c r="IUF33" s="143"/>
      <c r="IUG33" s="143"/>
      <c r="IUH33" s="143"/>
      <c r="IUI33" s="143"/>
      <c r="IUJ33" s="143"/>
      <c r="IUK33" s="143"/>
      <c r="IUL33" s="143"/>
      <c r="IUM33" s="143"/>
      <c r="IUN33" s="143"/>
      <c r="IUO33" s="143"/>
      <c r="IUP33" s="143"/>
      <c r="IUQ33" s="143"/>
      <c r="IUR33" s="143"/>
      <c r="IUS33" s="143"/>
      <c r="IUT33" s="143"/>
      <c r="IUU33" s="143"/>
      <c r="IUV33" s="143"/>
      <c r="IUW33" s="143"/>
      <c r="IUX33" s="143"/>
      <c r="IUY33" s="143"/>
      <c r="IUZ33" s="143"/>
      <c r="IVA33" s="143"/>
      <c r="IVB33" s="143"/>
      <c r="IVC33" s="143"/>
      <c r="IVD33" s="143"/>
      <c r="IVE33" s="143"/>
      <c r="IVF33" s="143"/>
      <c r="IVG33" s="143"/>
      <c r="IVH33" s="143"/>
      <c r="IVI33" s="143"/>
      <c r="IVJ33" s="143"/>
      <c r="IVK33" s="143"/>
      <c r="IVL33" s="143"/>
      <c r="IVM33" s="143"/>
      <c r="IVN33" s="143"/>
      <c r="IVO33" s="143"/>
      <c r="IVP33" s="143"/>
      <c r="IVQ33" s="143"/>
      <c r="IVR33" s="143"/>
      <c r="IVS33" s="143"/>
      <c r="IVT33" s="143"/>
      <c r="IVU33" s="143"/>
      <c r="IVV33" s="143"/>
      <c r="IVW33" s="143"/>
      <c r="IVX33" s="143"/>
      <c r="IVY33" s="143"/>
      <c r="IVZ33" s="143"/>
      <c r="IWA33" s="143"/>
      <c r="IWB33" s="143"/>
      <c r="IWC33" s="143"/>
      <c r="IWD33" s="143"/>
      <c r="IWE33" s="143"/>
      <c r="IWF33" s="143"/>
      <c r="IWG33" s="143"/>
      <c r="IWH33" s="143"/>
      <c r="IWI33" s="143"/>
      <c r="IWJ33" s="143"/>
      <c r="IWK33" s="143"/>
      <c r="IWL33" s="143"/>
      <c r="IWM33" s="143"/>
      <c r="IWN33" s="143"/>
      <c r="IWO33" s="143"/>
      <c r="IWP33" s="143"/>
      <c r="IWQ33" s="143"/>
      <c r="IWR33" s="143"/>
      <c r="IWS33" s="143"/>
      <c r="IWT33" s="143"/>
      <c r="IWU33" s="143"/>
      <c r="IWV33" s="143"/>
      <c r="IWW33" s="143"/>
      <c r="IWX33" s="143"/>
      <c r="IWY33" s="143"/>
      <c r="IWZ33" s="143"/>
      <c r="IXA33" s="143"/>
      <c r="IXB33" s="143"/>
      <c r="IXC33" s="143"/>
      <c r="IXD33" s="143"/>
      <c r="IXE33" s="143"/>
      <c r="IXF33" s="143"/>
      <c r="IXG33" s="143"/>
      <c r="IXH33" s="143"/>
      <c r="IXI33" s="143"/>
      <c r="IXJ33" s="143"/>
      <c r="IXK33" s="143"/>
      <c r="IXL33" s="143"/>
      <c r="IXM33" s="143"/>
      <c r="IXN33" s="143"/>
      <c r="IXO33" s="143"/>
      <c r="IXP33" s="143"/>
      <c r="IXQ33" s="143"/>
      <c r="IXR33" s="143"/>
      <c r="IXS33" s="143"/>
      <c r="IXT33" s="143"/>
      <c r="IXU33" s="143"/>
      <c r="IXV33" s="143"/>
      <c r="IXW33" s="143"/>
      <c r="IXX33" s="143"/>
      <c r="IXY33" s="143"/>
      <c r="IXZ33" s="143"/>
      <c r="IYA33" s="143"/>
      <c r="IYB33" s="143"/>
      <c r="IYC33" s="143"/>
      <c r="IYD33" s="143"/>
      <c r="IYE33" s="143"/>
      <c r="IYF33" s="143"/>
      <c r="IYG33" s="143"/>
      <c r="IYH33" s="143"/>
      <c r="IYI33" s="143"/>
      <c r="IYJ33" s="143"/>
      <c r="IYK33" s="143"/>
      <c r="IYL33" s="143"/>
      <c r="IYM33" s="143"/>
      <c r="IYN33" s="143"/>
      <c r="IYO33" s="143"/>
      <c r="IYP33" s="143"/>
      <c r="IYQ33" s="143"/>
      <c r="IYR33" s="143"/>
      <c r="IYS33" s="143"/>
      <c r="IYT33" s="143"/>
      <c r="IYU33" s="143"/>
      <c r="IYV33" s="143"/>
      <c r="IYW33" s="143"/>
      <c r="IYX33" s="143"/>
      <c r="IYY33" s="143"/>
      <c r="IYZ33" s="143"/>
      <c r="IZA33" s="143"/>
      <c r="IZB33" s="143"/>
      <c r="IZC33" s="143"/>
      <c r="IZD33" s="143"/>
      <c r="IZE33" s="143"/>
      <c r="IZF33" s="143"/>
      <c r="IZG33" s="143"/>
      <c r="IZH33" s="143"/>
      <c r="IZI33" s="143"/>
      <c r="IZJ33" s="143"/>
      <c r="IZK33" s="143"/>
      <c r="IZL33" s="143"/>
      <c r="IZM33" s="143"/>
      <c r="IZN33" s="143"/>
      <c r="IZO33" s="143"/>
      <c r="IZP33" s="143"/>
      <c r="IZQ33" s="143"/>
      <c r="IZR33" s="143"/>
      <c r="IZS33" s="143"/>
      <c r="IZT33" s="143"/>
      <c r="IZU33" s="143"/>
      <c r="IZV33" s="143"/>
      <c r="IZW33" s="143"/>
      <c r="IZX33" s="143"/>
      <c r="IZY33" s="143"/>
      <c r="IZZ33" s="143"/>
      <c r="JAA33" s="143"/>
      <c r="JAB33" s="143"/>
      <c r="JAC33" s="143"/>
      <c r="JAD33" s="143"/>
      <c r="JAE33" s="143"/>
      <c r="JAF33" s="143"/>
      <c r="JAG33" s="143"/>
      <c r="JAH33" s="143"/>
      <c r="JAI33" s="143"/>
      <c r="JAJ33" s="143"/>
      <c r="JAK33" s="143"/>
      <c r="JAL33" s="143"/>
      <c r="JAM33" s="143"/>
      <c r="JAN33" s="143"/>
      <c r="JAO33" s="143"/>
      <c r="JAP33" s="143"/>
      <c r="JAQ33" s="143"/>
      <c r="JAR33" s="143"/>
      <c r="JAS33" s="143"/>
      <c r="JAT33" s="143"/>
      <c r="JAU33" s="143"/>
      <c r="JAV33" s="143"/>
      <c r="JAW33" s="143"/>
      <c r="JAX33" s="143"/>
      <c r="JAY33" s="143"/>
      <c r="JAZ33" s="143"/>
      <c r="JBA33" s="143"/>
      <c r="JBB33" s="143"/>
      <c r="JBC33" s="143"/>
      <c r="JBD33" s="143"/>
      <c r="JBE33" s="143"/>
      <c r="JBF33" s="143"/>
      <c r="JBG33" s="143"/>
      <c r="JBH33" s="143"/>
      <c r="JBI33" s="143"/>
      <c r="JBJ33" s="143"/>
      <c r="JBK33" s="143"/>
      <c r="JBL33" s="143"/>
      <c r="JBM33" s="143"/>
      <c r="JBN33" s="143"/>
      <c r="JBO33" s="143"/>
      <c r="JBP33" s="143"/>
      <c r="JBQ33" s="143"/>
      <c r="JBR33" s="143"/>
      <c r="JBS33" s="143"/>
      <c r="JBT33" s="143"/>
      <c r="JBU33" s="143"/>
      <c r="JBV33" s="143"/>
      <c r="JBW33" s="143"/>
      <c r="JBX33" s="143"/>
      <c r="JBY33" s="143"/>
      <c r="JBZ33" s="143"/>
      <c r="JCA33" s="143"/>
      <c r="JCB33" s="143"/>
      <c r="JCC33" s="143"/>
      <c r="JCD33" s="143"/>
      <c r="JCE33" s="143"/>
      <c r="JCF33" s="143"/>
      <c r="JCG33" s="143"/>
      <c r="JCH33" s="143"/>
      <c r="JCI33" s="143"/>
      <c r="JCJ33" s="143"/>
      <c r="JCK33" s="143"/>
      <c r="JCL33" s="143"/>
      <c r="JCM33" s="143"/>
      <c r="JCN33" s="143"/>
      <c r="JCO33" s="143"/>
      <c r="JCP33" s="143"/>
      <c r="JCQ33" s="143"/>
      <c r="JCR33" s="143"/>
      <c r="JCS33" s="143"/>
      <c r="JCT33" s="143"/>
      <c r="JCU33" s="143"/>
      <c r="JCV33" s="143"/>
      <c r="JCW33" s="143"/>
      <c r="JCX33" s="143"/>
      <c r="JCY33" s="143"/>
      <c r="JCZ33" s="143"/>
      <c r="JDA33" s="143"/>
      <c r="JDB33" s="143"/>
      <c r="JDC33" s="143"/>
      <c r="JDD33" s="143"/>
      <c r="JDE33" s="143"/>
      <c r="JDF33" s="143"/>
      <c r="JDG33" s="143"/>
      <c r="JDH33" s="143"/>
      <c r="JDI33" s="143"/>
      <c r="JDJ33" s="143"/>
      <c r="JDK33" s="143"/>
      <c r="JDL33" s="143"/>
      <c r="JDM33" s="143"/>
      <c r="JDN33" s="143"/>
      <c r="JDO33" s="143"/>
      <c r="JDP33" s="143"/>
      <c r="JDQ33" s="143"/>
      <c r="JDR33" s="143"/>
      <c r="JDS33" s="143"/>
      <c r="JDT33" s="143"/>
      <c r="JDU33" s="143"/>
      <c r="JDV33" s="143"/>
      <c r="JDW33" s="143"/>
      <c r="JDX33" s="143"/>
      <c r="JDY33" s="143"/>
      <c r="JDZ33" s="143"/>
      <c r="JEA33" s="143"/>
      <c r="JEB33" s="143"/>
      <c r="JEC33" s="143"/>
      <c r="JED33" s="143"/>
      <c r="JEE33" s="143"/>
      <c r="JEF33" s="143"/>
      <c r="JEG33" s="143"/>
      <c r="JEH33" s="143"/>
      <c r="JEI33" s="143"/>
      <c r="JEJ33" s="143"/>
      <c r="JEK33" s="143"/>
      <c r="JEL33" s="143"/>
      <c r="JEM33" s="143"/>
      <c r="JEN33" s="143"/>
      <c r="JEO33" s="143"/>
      <c r="JEP33" s="143"/>
      <c r="JEQ33" s="143"/>
      <c r="JER33" s="143"/>
      <c r="JES33" s="143"/>
      <c r="JET33" s="143"/>
      <c r="JEU33" s="143"/>
      <c r="JEV33" s="143"/>
      <c r="JEW33" s="143"/>
      <c r="JEX33" s="143"/>
      <c r="JEY33" s="143"/>
      <c r="JEZ33" s="143"/>
      <c r="JFA33" s="143"/>
      <c r="JFB33" s="143"/>
      <c r="JFC33" s="143"/>
      <c r="JFD33" s="143"/>
      <c r="JFE33" s="143"/>
      <c r="JFF33" s="143"/>
      <c r="JFG33" s="143"/>
      <c r="JFH33" s="143"/>
      <c r="JFI33" s="143"/>
      <c r="JFJ33" s="143"/>
      <c r="JFK33" s="143"/>
      <c r="JFL33" s="143"/>
      <c r="JFM33" s="143"/>
      <c r="JFN33" s="143"/>
      <c r="JFO33" s="143"/>
      <c r="JFP33" s="143"/>
      <c r="JFQ33" s="143"/>
      <c r="JFR33" s="143"/>
      <c r="JFS33" s="143"/>
      <c r="JFT33" s="143"/>
      <c r="JFU33" s="143"/>
      <c r="JFV33" s="143"/>
      <c r="JFW33" s="143"/>
      <c r="JFX33" s="143"/>
      <c r="JFY33" s="143"/>
      <c r="JFZ33" s="143"/>
      <c r="JGA33" s="143"/>
      <c r="JGB33" s="143"/>
      <c r="JGC33" s="143"/>
      <c r="JGD33" s="143"/>
      <c r="JGE33" s="143"/>
      <c r="JGF33" s="143"/>
      <c r="JGG33" s="143"/>
      <c r="JGH33" s="143"/>
      <c r="JGI33" s="143"/>
      <c r="JGJ33" s="143"/>
      <c r="JGK33" s="143"/>
      <c r="JGL33" s="143"/>
      <c r="JGM33" s="143"/>
      <c r="JGN33" s="143"/>
      <c r="JGO33" s="143"/>
      <c r="JGP33" s="143"/>
      <c r="JGQ33" s="143"/>
      <c r="JGR33" s="143"/>
      <c r="JGS33" s="143"/>
      <c r="JGT33" s="143"/>
      <c r="JGU33" s="143"/>
      <c r="JGV33" s="143"/>
      <c r="JGW33" s="143"/>
      <c r="JGX33" s="143"/>
      <c r="JGY33" s="143"/>
      <c r="JGZ33" s="143"/>
      <c r="JHA33" s="143"/>
      <c r="JHB33" s="143"/>
      <c r="JHC33" s="143"/>
      <c r="JHD33" s="143"/>
      <c r="JHE33" s="143"/>
      <c r="JHF33" s="143"/>
      <c r="JHG33" s="143"/>
      <c r="JHH33" s="143"/>
      <c r="JHI33" s="143"/>
      <c r="JHJ33" s="143"/>
      <c r="JHK33" s="143"/>
      <c r="JHL33" s="143"/>
      <c r="JHM33" s="143"/>
      <c r="JHN33" s="143"/>
      <c r="JHO33" s="143"/>
      <c r="JHP33" s="143"/>
      <c r="JHQ33" s="143"/>
      <c r="JHR33" s="143"/>
      <c r="JHS33" s="143"/>
      <c r="JHT33" s="143"/>
      <c r="JHU33" s="143"/>
      <c r="JHV33" s="143"/>
      <c r="JHW33" s="143"/>
      <c r="JHX33" s="143"/>
      <c r="JHY33" s="143"/>
      <c r="JHZ33" s="143"/>
      <c r="JIA33" s="143"/>
      <c r="JIB33" s="143"/>
      <c r="JIC33" s="143"/>
      <c r="JID33" s="143"/>
      <c r="JIE33" s="143"/>
      <c r="JIF33" s="143"/>
      <c r="JIG33" s="143"/>
      <c r="JIH33" s="143"/>
      <c r="JII33" s="143"/>
      <c r="JIJ33" s="143"/>
      <c r="JIK33" s="143"/>
      <c r="JIL33" s="143"/>
      <c r="JIM33" s="143"/>
      <c r="JIN33" s="143"/>
      <c r="JIO33" s="143"/>
      <c r="JIP33" s="143"/>
      <c r="JIQ33" s="143"/>
      <c r="JIR33" s="143"/>
      <c r="JIS33" s="143"/>
      <c r="JIT33" s="143"/>
      <c r="JIU33" s="143"/>
      <c r="JIV33" s="143"/>
      <c r="JIW33" s="143"/>
      <c r="JIX33" s="143"/>
      <c r="JIY33" s="143"/>
      <c r="JIZ33" s="143"/>
      <c r="JJA33" s="143"/>
      <c r="JJB33" s="143"/>
      <c r="JJC33" s="143"/>
      <c r="JJD33" s="143"/>
      <c r="JJE33" s="143"/>
      <c r="JJF33" s="143"/>
      <c r="JJG33" s="143"/>
      <c r="JJH33" s="143"/>
      <c r="JJI33" s="143"/>
      <c r="JJJ33" s="143"/>
      <c r="JJK33" s="143"/>
      <c r="JJL33" s="143"/>
      <c r="JJM33" s="143"/>
      <c r="JJN33" s="143"/>
      <c r="JJO33" s="143"/>
      <c r="JJP33" s="143"/>
      <c r="JJQ33" s="143"/>
      <c r="JJR33" s="143"/>
      <c r="JJS33" s="143"/>
      <c r="JJT33" s="143"/>
      <c r="JJU33" s="143"/>
      <c r="JJV33" s="143"/>
      <c r="JJW33" s="143"/>
      <c r="JJX33" s="143"/>
      <c r="JJY33" s="143"/>
      <c r="JJZ33" s="143"/>
      <c r="JKA33" s="143"/>
      <c r="JKB33" s="143"/>
      <c r="JKC33" s="143"/>
      <c r="JKD33" s="143"/>
      <c r="JKE33" s="143"/>
      <c r="JKF33" s="143"/>
      <c r="JKG33" s="143"/>
      <c r="JKH33" s="143"/>
      <c r="JKI33" s="143"/>
      <c r="JKJ33" s="143"/>
      <c r="JKK33" s="143"/>
      <c r="JKL33" s="143"/>
      <c r="JKM33" s="143"/>
      <c r="JKN33" s="143"/>
      <c r="JKO33" s="143"/>
      <c r="JKP33" s="143"/>
      <c r="JKQ33" s="143"/>
      <c r="JKR33" s="143"/>
      <c r="JKS33" s="143"/>
      <c r="JKT33" s="143"/>
      <c r="JKU33" s="143"/>
      <c r="JKV33" s="143"/>
      <c r="JKW33" s="143"/>
      <c r="JKX33" s="143"/>
      <c r="JKY33" s="143"/>
      <c r="JKZ33" s="143"/>
      <c r="JLA33" s="143"/>
      <c r="JLB33" s="143"/>
      <c r="JLC33" s="143"/>
      <c r="JLD33" s="143"/>
      <c r="JLE33" s="143"/>
      <c r="JLF33" s="143"/>
      <c r="JLG33" s="143"/>
      <c r="JLH33" s="143"/>
      <c r="JLI33" s="143"/>
      <c r="JLJ33" s="143"/>
      <c r="JLK33" s="143"/>
      <c r="JLL33" s="143"/>
      <c r="JLM33" s="143"/>
      <c r="JLN33" s="143"/>
      <c r="JLO33" s="143"/>
      <c r="JLP33" s="143"/>
      <c r="JLQ33" s="143"/>
      <c r="JLR33" s="143"/>
      <c r="JLS33" s="143"/>
      <c r="JLT33" s="143"/>
      <c r="JLU33" s="143"/>
      <c r="JLV33" s="143"/>
      <c r="JLW33" s="143"/>
      <c r="JLX33" s="143"/>
      <c r="JLY33" s="143"/>
      <c r="JLZ33" s="143"/>
      <c r="JMA33" s="143"/>
      <c r="JMB33" s="143"/>
      <c r="JMC33" s="143"/>
      <c r="JMD33" s="143"/>
      <c r="JME33" s="143"/>
      <c r="JMF33" s="143"/>
      <c r="JMG33" s="143"/>
      <c r="JMH33" s="143"/>
      <c r="JMI33" s="143"/>
      <c r="JMJ33" s="143"/>
      <c r="JMK33" s="143"/>
      <c r="JML33" s="143"/>
      <c r="JMM33" s="143"/>
      <c r="JMN33" s="143"/>
      <c r="JMO33" s="143"/>
      <c r="JMP33" s="143"/>
      <c r="JMQ33" s="143"/>
      <c r="JMR33" s="143"/>
      <c r="JMS33" s="143"/>
      <c r="JMT33" s="143"/>
      <c r="JMU33" s="143"/>
      <c r="JMV33" s="143"/>
      <c r="JMW33" s="143"/>
      <c r="JMX33" s="143"/>
      <c r="JMY33" s="143"/>
      <c r="JMZ33" s="143"/>
      <c r="JNA33" s="143"/>
      <c r="JNB33" s="143"/>
      <c r="JNC33" s="143"/>
      <c r="JND33" s="143"/>
      <c r="JNE33" s="143"/>
      <c r="JNF33" s="143"/>
      <c r="JNG33" s="143"/>
      <c r="JNH33" s="143"/>
      <c r="JNI33" s="143"/>
      <c r="JNJ33" s="143"/>
      <c r="JNK33" s="143"/>
      <c r="JNL33" s="143"/>
      <c r="JNM33" s="143"/>
      <c r="JNN33" s="143"/>
      <c r="JNO33" s="143"/>
      <c r="JNP33" s="143"/>
      <c r="JNQ33" s="143"/>
      <c r="JNR33" s="143"/>
      <c r="JNS33" s="143"/>
      <c r="JNT33" s="143"/>
      <c r="JNU33" s="143"/>
      <c r="JNV33" s="143"/>
      <c r="JNW33" s="143"/>
      <c r="JNX33" s="143"/>
      <c r="JNY33" s="143"/>
      <c r="JNZ33" s="143"/>
      <c r="JOA33" s="143"/>
      <c r="JOB33" s="143"/>
      <c r="JOC33" s="143"/>
      <c r="JOD33" s="143"/>
      <c r="JOE33" s="143"/>
      <c r="JOF33" s="143"/>
      <c r="JOG33" s="143"/>
      <c r="JOH33" s="143"/>
      <c r="JOI33" s="143"/>
      <c r="JOJ33" s="143"/>
      <c r="JOK33" s="143"/>
      <c r="JOL33" s="143"/>
      <c r="JOM33" s="143"/>
      <c r="JON33" s="143"/>
      <c r="JOO33" s="143"/>
      <c r="JOP33" s="143"/>
      <c r="JOQ33" s="143"/>
      <c r="JOR33" s="143"/>
      <c r="JOS33" s="143"/>
      <c r="JOT33" s="143"/>
      <c r="JOU33" s="143"/>
      <c r="JOV33" s="143"/>
      <c r="JOW33" s="143"/>
      <c r="JOX33" s="143"/>
      <c r="JOY33" s="143"/>
      <c r="JOZ33" s="143"/>
      <c r="JPA33" s="143"/>
      <c r="JPB33" s="143"/>
      <c r="JPC33" s="143"/>
      <c r="JPD33" s="143"/>
      <c r="JPE33" s="143"/>
      <c r="JPF33" s="143"/>
      <c r="JPG33" s="143"/>
      <c r="JPH33" s="143"/>
      <c r="JPI33" s="143"/>
      <c r="JPJ33" s="143"/>
      <c r="JPK33" s="143"/>
      <c r="JPL33" s="143"/>
      <c r="JPM33" s="143"/>
      <c r="JPN33" s="143"/>
      <c r="JPO33" s="143"/>
      <c r="JPP33" s="143"/>
      <c r="JPQ33" s="143"/>
      <c r="JPR33" s="143"/>
      <c r="JPS33" s="143"/>
      <c r="JPT33" s="143"/>
      <c r="JPU33" s="143"/>
      <c r="JPV33" s="143"/>
      <c r="JPW33" s="143"/>
      <c r="JPX33" s="143"/>
      <c r="JPY33" s="143"/>
      <c r="JPZ33" s="143"/>
      <c r="JQA33" s="143"/>
      <c r="JQB33" s="143"/>
      <c r="JQC33" s="143"/>
      <c r="JQD33" s="143"/>
      <c r="JQE33" s="143"/>
      <c r="JQF33" s="143"/>
      <c r="JQG33" s="143"/>
      <c r="JQH33" s="143"/>
      <c r="JQI33" s="143"/>
      <c r="JQJ33" s="143"/>
      <c r="JQK33" s="143"/>
      <c r="JQL33" s="143"/>
      <c r="JQM33" s="143"/>
      <c r="JQN33" s="143"/>
      <c r="JQO33" s="143"/>
      <c r="JQP33" s="143"/>
      <c r="JQQ33" s="143"/>
      <c r="JQR33" s="143"/>
      <c r="JQS33" s="143"/>
      <c r="JQT33" s="143"/>
      <c r="JQU33" s="143"/>
      <c r="JQV33" s="143"/>
      <c r="JQW33" s="143"/>
      <c r="JQX33" s="143"/>
      <c r="JQY33" s="143"/>
      <c r="JQZ33" s="143"/>
      <c r="JRA33" s="143"/>
      <c r="JRB33" s="143"/>
      <c r="JRC33" s="143"/>
      <c r="JRD33" s="143"/>
      <c r="JRE33" s="143"/>
      <c r="JRF33" s="143"/>
      <c r="JRG33" s="143"/>
      <c r="JRH33" s="143"/>
      <c r="JRI33" s="143"/>
      <c r="JRJ33" s="143"/>
      <c r="JRK33" s="143"/>
      <c r="JRL33" s="143"/>
      <c r="JRM33" s="143"/>
      <c r="JRN33" s="143"/>
      <c r="JRO33" s="143"/>
      <c r="JRP33" s="143"/>
      <c r="JRQ33" s="143"/>
      <c r="JRR33" s="143"/>
      <c r="JRS33" s="143"/>
      <c r="JRT33" s="143"/>
      <c r="JRU33" s="143"/>
      <c r="JRV33" s="143"/>
      <c r="JRW33" s="143"/>
      <c r="JRX33" s="143"/>
      <c r="JRY33" s="143"/>
      <c r="JRZ33" s="143"/>
      <c r="JSA33" s="143"/>
      <c r="JSB33" s="143"/>
      <c r="JSC33" s="143"/>
      <c r="JSD33" s="143"/>
      <c r="JSE33" s="143"/>
      <c r="JSF33" s="143"/>
      <c r="JSG33" s="143"/>
      <c r="JSH33" s="143"/>
      <c r="JSI33" s="143"/>
      <c r="JSJ33" s="143"/>
      <c r="JSK33" s="143"/>
      <c r="JSL33" s="143"/>
      <c r="JSM33" s="143"/>
      <c r="JSN33" s="143"/>
      <c r="JSO33" s="143"/>
      <c r="JSP33" s="143"/>
      <c r="JSQ33" s="143"/>
      <c r="JSR33" s="143"/>
      <c r="JSS33" s="143"/>
      <c r="JST33" s="143"/>
      <c r="JSU33" s="143"/>
      <c r="JSV33" s="143"/>
      <c r="JSW33" s="143"/>
      <c r="JSX33" s="143"/>
      <c r="JSY33" s="143"/>
      <c r="JSZ33" s="143"/>
      <c r="JTA33" s="143"/>
      <c r="JTB33" s="143"/>
      <c r="JTC33" s="143"/>
      <c r="JTD33" s="143"/>
      <c r="JTE33" s="143"/>
      <c r="JTF33" s="143"/>
      <c r="JTG33" s="143"/>
      <c r="JTH33" s="143"/>
      <c r="JTI33" s="143"/>
      <c r="JTJ33" s="143"/>
      <c r="JTK33" s="143"/>
      <c r="JTL33" s="143"/>
      <c r="JTM33" s="143"/>
      <c r="JTN33" s="143"/>
      <c r="JTO33" s="143"/>
      <c r="JTP33" s="143"/>
      <c r="JTQ33" s="143"/>
      <c r="JTR33" s="143"/>
      <c r="JTS33" s="143"/>
      <c r="JTT33" s="143"/>
      <c r="JTU33" s="143"/>
      <c r="JTV33" s="143"/>
      <c r="JTW33" s="143"/>
      <c r="JTX33" s="143"/>
      <c r="JTY33" s="143"/>
      <c r="JTZ33" s="143"/>
      <c r="JUA33" s="143"/>
      <c r="JUB33" s="143"/>
      <c r="JUC33" s="143"/>
      <c r="JUD33" s="143"/>
      <c r="JUE33" s="143"/>
      <c r="JUF33" s="143"/>
      <c r="JUG33" s="143"/>
      <c r="JUH33" s="143"/>
      <c r="JUI33" s="143"/>
      <c r="JUJ33" s="143"/>
      <c r="JUK33" s="143"/>
      <c r="JUL33" s="143"/>
      <c r="JUM33" s="143"/>
      <c r="JUN33" s="143"/>
      <c r="JUO33" s="143"/>
      <c r="JUP33" s="143"/>
      <c r="JUQ33" s="143"/>
      <c r="JUR33" s="143"/>
      <c r="JUS33" s="143"/>
      <c r="JUT33" s="143"/>
      <c r="JUU33" s="143"/>
      <c r="JUV33" s="143"/>
      <c r="JUW33" s="143"/>
      <c r="JUX33" s="143"/>
      <c r="JUY33" s="143"/>
      <c r="JUZ33" s="143"/>
      <c r="JVA33" s="143"/>
      <c r="JVB33" s="143"/>
      <c r="JVC33" s="143"/>
      <c r="JVD33" s="143"/>
      <c r="JVE33" s="143"/>
      <c r="JVF33" s="143"/>
      <c r="JVG33" s="143"/>
      <c r="JVH33" s="143"/>
      <c r="JVI33" s="143"/>
      <c r="JVJ33" s="143"/>
      <c r="JVK33" s="143"/>
      <c r="JVL33" s="143"/>
      <c r="JVM33" s="143"/>
      <c r="JVN33" s="143"/>
      <c r="JVO33" s="143"/>
      <c r="JVP33" s="143"/>
      <c r="JVQ33" s="143"/>
      <c r="JVR33" s="143"/>
      <c r="JVS33" s="143"/>
      <c r="JVT33" s="143"/>
      <c r="JVU33" s="143"/>
      <c r="JVV33" s="143"/>
      <c r="JVW33" s="143"/>
      <c r="JVX33" s="143"/>
      <c r="JVY33" s="143"/>
      <c r="JVZ33" s="143"/>
      <c r="JWA33" s="143"/>
      <c r="JWB33" s="143"/>
      <c r="JWC33" s="143"/>
      <c r="JWD33" s="143"/>
      <c r="JWE33" s="143"/>
      <c r="JWF33" s="143"/>
      <c r="JWG33" s="143"/>
      <c r="JWH33" s="143"/>
      <c r="JWI33" s="143"/>
      <c r="JWJ33" s="143"/>
      <c r="JWK33" s="143"/>
      <c r="JWL33" s="143"/>
      <c r="JWM33" s="143"/>
      <c r="JWN33" s="143"/>
      <c r="JWO33" s="143"/>
      <c r="JWP33" s="143"/>
      <c r="JWQ33" s="143"/>
      <c r="JWR33" s="143"/>
      <c r="JWS33" s="143"/>
      <c r="JWT33" s="143"/>
      <c r="JWU33" s="143"/>
      <c r="JWV33" s="143"/>
      <c r="JWW33" s="143"/>
      <c r="JWX33" s="143"/>
      <c r="JWY33" s="143"/>
      <c r="JWZ33" s="143"/>
      <c r="JXA33" s="143"/>
      <c r="JXB33" s="143"/>
      <c r="JXC33" s="143"/>
      <c r="JXD33" s="143"/>
      <c r="JXE33" s="143"/>
      <c r="JXF33" s="143"/>
      <c r="JXG33" s="143"/>
      <c r="JXH33" s="143"/>
      <c r="JXI33" s="143"/>
      <c r="JXJ33" s="143"/>
      <c r="JXK33" s="143"/>
      <c r="JXL33" s="143"/>
      <c r="JXM33" s="143"/>
      <c r="JXN33" s="143"/>
      <c r="JXO33" s="143"/>
      <c r="JXP33" s="143"/>
      <c r="JXQ33" s="143"/>
      <c r="JXR33" s="143"/>
      <c r="JXS33" s="143"/>
      <c r="JXT33" s="143"/>
      <c r="JXU33" s="143"/>
      <c r="JXV33" s="143"/>
      <c r="JXW33" s="143"/>
      <c r="JXX33" s="143"/>
      <c r="JXY33" s="143"/>
      <c r="JXZ33" s="143"/>
      <c r="JYA33" s="143"/>
      <c r="JYB33" s="143"/>
      <c r="JYC33" s="143"/>
      <c r="JYD33" s="143"/>
      <c r="JYE33" s="143"/>
      <c r="JYF33" s="143"/>
      <c r="JYG33" s="143"/>
      <c r="JYH33" s="143"/>
      <c r="JYI33" s="143"/>
      <c r="JYJ33" s="143"/>
      <c r="JYK33" s="143"/>
      <c r="JYL33" s="143"/>
      <c r="JYM33" s="143"/>
      <c r="JYN33" s="143"/>
      <c r="JYO33" s="143"/>
      <c r="JYP33" s="143"/>
      <c r="JYQ33" s="143"/>
      <c r="JYR33" s="143"/>
      <c r="JYS33" s="143"/>
      <c r="JYT33" s="143"/>
      <c r="JYU33" s="143"/>
      <c r="JYV33" s="143"/>
      <c r="JYW33" s="143"/>
      <c r="JYX33" s="143"/>
      <c r="JYY33" s="143"/>
      <c r="JYZ33" s="143"/>
      <c r="JZA33" s="143"/>
      <c r="JZB33" s="143"/>
      <c r="JZC33" s="143"/>
      <c r="JZD33" s="143"/>
      <c r="JZE33" s="143"/>
      <c r="JZF33" s="143"/>
      <c r="JZG33" s="143"/>
      <c r="JZH33" s="143"/>
      <c r="JZI33" s="143"/>
      <c r="JZJ33" s="143"/>
      <c r="JZK33" s="143"/>
      <c r="JZL33" s="143"/>
      <c r="JZM33" s="143"/>
      <c r="JZN33" s="143"/>
      <c r="JZO33" s="143"/>
      <c r="JZP33" s="143"/>
      <c r="JZQ33" s="143"/>
      <c r="JZR33" s="143"/>
      <c r="JZS33" s="143"/>
      <c r="JZT33" s="143"/>
      <c r="JZU33" s="143"/>
      <c r="JZV33" s="143"/>
      <c r="JZW33" s="143"/>
      <c r="JZX33" s="143"/>
      <c r="JZY33" s="143"/>
      <c r="JZZ33" s="143"/>
      <c r="KAA33" s="143"/>
      <c r="KAB33" s="143"/>
      <c r="KAC33" s="143"/>
      <c r="KAD33" s="143"/>
      <c r="KAE33" s="143"/>
      <c r="KAF33" s="143"/>
      <c r="KAG33" s="143"/>
      <c r="KAH33" s="143"/>
      <c r="KAI33" s="143"/>
      <c r="KAJ33" s="143"/>
      <c r="KAK33" s="143"/>
      <c r="KAL33" s="143"/>
      <c r="KAM33" s="143"/>
      <c r="KAN33" s="143"/>
      <c r="KAO33" s="143"/>
      <c r="KAP33" s="143"/>
      <c r="KAQ33" s="143"/>
      <c r="KAR33" s="143"/>
      <c r="KAS33" s="143"/>
      <c r="KAT33" s="143"/>
      <c r="KAU33" s="143"/>
      <c r="KAV33" s="143"/>
      <c r="KAW33" s="143"/>
      <c r="KAX33" s="143"/>
      <c r="KAY33" s="143"/>
      <c r="KAZ33" s="143"/>
      <c r="KBA33" s="143"/>
      <c r="KBB33" s="143"/>
      <c r="KBC33" s="143"/>
      <c r="KBD33" s="143"/>
      <c r="KBE33" s="143"/>
      <c r="KBF33" s="143"/>
      <c r="KBG33" s="143"/>
      <c r="KBH33" s="143"/>
      <c r="KBI33" s="143"/>
      <c r="KBJ33" s="143"/>
      <c r="KBK33" s="143"/>
      <c r="KBL33" s="143"/>
      <c r="KBM33" s="143"/>
      <c r="KBN33" s="143"/>
      <c r="KBO33" s="143"/>
      <c r="KBP33" s="143"/>
      <c r="KBQ33" s="143"/>
      <c r="KBR33" s="143"/>
      <c r="KBS33" s="143"/>
      <c r="KBT33" s="143"/>
      <c r="KBU33" s="143"/>
      <c r="KBV33" s="143"/>
      <c r="KBW33" s="143"/>
      <c r="KBX33" s="143"/>
      <c r="KBY33" s="143"/>
      <c r="KBZ33" s="143"/>
      <c r="KCA33" s="143"/>
      <c r="KCB33" s="143"/>
      <c r="KCC33" s="143"/>
      <c r="KCD33" s="143"/>
      <c r="KCE33" s="143"/>
      <c r="KCF33" s="143"/>
      <c r="KCG33" s="143"/>
      <c r="KCH33" s="143"/>
      <c r="KCI33" s="143"/>
      <c r="KCJ33" s="143"/>
      <c r="KCK33" s="143"/>
      <c r="KCL33" s="143"/>
      <c r="KCM33" s="143"/>
      <c r="KCN33" s="143"/>
      <c r="KCO33" s="143"/>
      <c r="KCP33" s="143"/>
      <c r="KCQ33" s="143"/>
      <c r="KCR33" s="143"/>
      <c r="KCS33" s="143"/>
      <c r="KCT33" s="143"/>
      <c r="KCU33" s="143"/>
      <c r="KCV33" s="143"/>
      <c r="KCW33" s="143"/>
      <c r="KCX33" s="143"/>
      <c r="KCY33" s="143"/>
      <c r="KCZ33" s="143"/>
      <c r="KDA33" s="143"/>
      <c r="KDB33" s="143"/>
      <c r="KDC33" s="143"/>
      <c r="KDD33" s="143"/>
      <c r="KDE33" s="143"/>
      <c r="KDF33" s="143"/>
      <c r="KDG33" s="143"/>
      <c r="KDH33" s="143"/>
      <c r="KDI33" s="143"/>
      <c r="KDJ33" s="143"/>
      <c r="KDK33" s="143"/>
      <c r="KDL33" s="143"/>
      <c r="KDM33" s="143"/>
      <c r="KDN33" s="143"/>
      <c r="KDO33" s="143"/>
      <c r="KDP33" s="143"/>
      <c r="KDQ33" s="143"/>
      <c r="KDR33" s="143"/>
      <c r="KDS33" s="143"/>
      <c r="KDT33" s="143"/>
      <c r="KDU33" s="143"/>
      <c r="KDV33" s="143"/>
      <c r="KDW33" s="143"/>
      <c r="KDX33" s="143"/>
      <c r="KDY33" s="143"/>
      <c r="KDZ33" s="143"/>
      <c r="KEA33" s="143"/>
      <c r="KEB33" s="143"/>
      <c r="KEC33" s="143"/>
      <c r="KED33" s="143"/>
      <c r="KEE33" s="143"/>
      <c r="KEF33" s="143"/>
      <c r="KEG33" s="143"/>
      <c r="KEH33" s="143"/>
      <c r="KEI33" s="143"/>
      <c r="KEJ33" s="143"/>
      <c r="KEK33" s="143"/>
      <c r="KEL33" s="143"/>
      <c r="KEM33" s="143"/>
      <c r="KEN33" s="143"/>
      <c r="KEO33" s="143"/>
      <c r="KEP33" s="143"/>
      <c r="KEQ33" s="143"/>
      <c r="KER33" s="143"/>
      <c r="KES33" s="143"/>
      <c r="KET33" s="143"/>
      <c r="KEU33" s="143"/>
      <c r="KEV33" s="143"/>
      <c r="KEW33" s="143"/>
      <c r="KEX33" s="143"/>
      <c r="KEY33" s="143"/>
      <c r="KEZ33" s="143"/>
      <c r="KFA33" s="143"/>
      <c r="KFB33" s="143"/>
      <c r="KFC33" s="143"/>
      <c r="KFD33" s="143"/>
      <c r="KFE33" s="143"/>
      <c r="KFF33" s="143"/>
      <c r="KFG33" s="143"/>
      <c r="KFH33" s="143"/>
      <c r="KFI33" s="143"/>
      <c r="KFJ33" s="143"/>
      <c r="KFK33" s="143"/>
      <c r="KFL33" s="143"/>
      <c r="KFM33" s="143"/>
      <c r="KFN33" s="143"/>
      <c r="KFO33" s="143"/>
      <c r="KFP33" s="143"/>
      <c r="KFQ33" s="143"/>
      <c r="KFR33" s="143"/>
      <c r="KFS33" s="143"/>
      <c r="KFT33" s="143"/>
      <c r="KFU33" s="143"/>
      <c r="KFV33" s="143"/>
      <c r="KFW33" s="143"/>
      <c r="KFX33" s="143"/>
      <c r="KFY33" s="143"/>
      <c r="KFZ33" s="143"/>
      <c r="KGA33" s="143"/>
      <c r="KGB33" s="143"/>
      <c r="KGC33" s="143"/>
      <c r="KGD33" s="143"/>
      <c r="KGE33" s="143"/>
      <c r="KGF33" s="143"/>
      <c r="KGG33" s="143"/>
      <c r="KGH33" s="143"/>
      <c r="KGI33" s="143"/>
      <c r="KGJ33" s="143"/>
      <c r="KGK33" s="143"/>
      <c r="KGL33" s="143"/>
      <c r="KGM33" s="143"/>
      <c r="KGN33" s="143"/>
      <c r="KGO33" s="143"/>
      <c r="KGP33" s="143"/>
      <c r="KGQ33" s="143"/>
      <c r="KGR33" s="143"/>
      <c r="KGS33" s="143"/>
      <c r="KGT33" s="143"/>
      <c r="KGU33" s="143"/>
      <c r="KGV33" s="143"/>
      <c r="KGW33" s="143"/>
      <c r="KGX33" s="143"/>
      <c r="KGY33" s="143"/>
      <c r="KGZ33" s="143"/>
      <c r="KHA33" s="143"/>
      <c r="KHB33" s="143"/>
      <c r="KHC33" s="143"/>
      <c r="KHD33" s="143"/>
      <c r="KHE33" s="143"/>
      <c r="KHF33" s="143"/>
      <c r="KHG33" s="143"/>
      <c r="KHH33" s="143"/>
      <c r="KHI33" s="143"/>
      <c r="KHJ33" s="143"/>
      <c r="KHK33" s="143"/>
      <c r="KHL33" s="143"/>
      <c r="KHM33" s="143"/>
      <c r="KHN33" s="143"/>
      <c r="KHO33" s="143"/>
      <c r="KHP33" s="143"/>
      <c r="KHQ33" s="143"/>
      <c r="KHR33" s="143"/>
      <c r="KHS33" s="143"/>
      <c r="KHT33" s="143"/>
      <c r="KHU33" s="143"/>
      <c r="KHV33" s="143"/>
      <c r="KHW33" s="143"/>
      <c r="KHX33" s="143"/>
      <c r="KHY33" s="143"/>
      <c r="KHZ33" s="143"/>
      <c r="KIA33" s="143"/>
      <c r="KIB33" s="143"/>
      <c r="KIC33" s="143"/>
      <c r="KID33" s="143"/>
      <c r="KIE33" s="143"/>
      <c r="KIF33" s="143"/>
      <c r="KIG33" s="143"/>
      <c r="KIH33" s="143"/>
      <c r="KII33" s="143"/>
      <c r="KIJ33" s="143"/>
      <c r="KIK33" s="143"/>
      <c r="KIL33" s="143"/>
      <c r="KIM33" s="143"/>
      <c r="KIN33" s="143"/>
      <c r="KIO33" s="143"/>
      <c r="KIP33" s="143"/>
      <c r="KIQ33" s="143"/>
      <c r="KIR33" s="143"/>
      <c r="KIS33" s="143"/>
      <c r="KIT33" s="143"/>
      <c r="KIU33" s="143"/>
      <c r="KIV33" s="143"/>
      <c r="KIW33" s="143"/>
      <c r="KIX33" s="143"/>
      <c r="KIY33" s="143"/>
      <c r="KIZ33" s="143"/>
      <c r="KJA33" s="143"/>
      <c r="KJB33" s="143"/>
      <c r="KJC33" s="143"/>
      <c r="KJD33" s="143"/>
      <c r="KJE33" s="143"/>
      <c r="KJF33" s="143"/>
      <c r="KJG33" s="143"/>
      <c r="KJH33" s="143"/>
      <c r="KJI33" s="143"/>
      <c r="KJJ33" s="143"/>
      <c r="KJK33" s="143"/>
      <c r="KJL33" s="143"/>
      <c r="KJM33" s="143"/>
      <c r="KJN33" s="143"/>
      <c r="KJO33" s="143"/>
      <c r="KJP33" s="143"/>
      <c r="KJQ33" s="143"/>
      <c r="KJR33" s="143"/>
      <c r="KJS33" s="143"/>
      <c r="KJT33" s="143"/>
      <c r="KJU33" s="143"/>
      <c r="KJV33" s="143"/>
      <c r="KJW33" s="143"/>
      <c r="KJX33" s="143"/>
      <c r="KJY33" s="143"/>
      <c r="KJZ33" s="143"/>
      <c r="KKA33" s="143"/>
      <c r="KKB33" s="143"/>
      <c r="KKC33" s="143"/>
      <c r="KKD33" s="143"/>
      <c r="KKE33" s="143"/>
      <c r="KKF33" s="143"/>
      <c r="KKG33" s="143"/>
      <c r="KKH33" s="143"/>
      <c r="KKI33" s="143"/>
      <c r="KKJ33" s="143"/>
      <c r="KKK33" s="143"/>
      <c r="KKL33" s="143"/>
      <c r="KKM33" s="143"/>
      <c r="KKN33" s="143"/>
      <c r="KKO33" s="143"/>
      <c r="KKP33" s="143"/>
      <c r="KKQ33" s="143"/>
      <c r="KKR33" s="143"/>
      <c r="KKS33" s="143"/>
      <c r="KKT33" s="143"/>
      <c r="KKU33" s="143"/>
      <c r="KKV33" s="143"/>
      <c r="KKW33" s="143"/>
      <c r="KKX33" s="143"/>
      <c r="KKY33" s="143"/>
      <c r="KKZ33" s="143"/>
      <c r="KLA33" s="143"/>
      <c r="KLB33" s="143"/>
      <c r="KLC33" s="143"/>
      <c r="KLD33" s="143"/>
      <c r="KLE33" s="143"/>
      <c r="KLF33" s="143"/>
      <c r="KLG33" s="143"/>
      <c r="KLH33" s="143"/>
      <c r="KLI33" s="143"/>
      <c r="KLJ33" s="143"/>
      <c r="KLK33" s="143"/>
      <c r="KLL33" s="143"/>
      <c r="KLM33" s="143"/>
      <c r="KLN33" s="143"/>
      <c r="KLO33" s="143"/>
      <c r="KLP33" s="143"/>
      <c r="KLQ33" s="143"/>
      <c r="KLR33" s="143"/>
      <c r="KLS33" s="143"/>
      <c r="KLT33" s="143"/>
      <c r="KLU33" s="143"/>
      <c r="KLV33" s="143"/>
      <c r="KLW33" s="143"/>
      <c r="KLX33" s="143"/>
      <c r="KLY33" s="143"/>
      <c r="KLZ33" s="143"/>
      <c r="KMA33" s="143"/>
      <c r="KMB33" s="143"/>
      <c r="KMC33" s="143"/>
      <c r="KMD33" s="143"/>
      <c r="KME33" s="143"/>
      <c r="KMF33" s="143"/>
      <c r="KMG33" s="143"/>
      <c r="KMH33" s="143"/>
      <c r="KMI33" s="143"/>
      <c r="KMJ33" s="143"/>
      <c r="KMK33" s="143"/>
      <c r="KML33" s="143"/>
      <c r="KMM33" s="143"/>
      <c r="KMN33" s="143"/>
      <c r="KMO33" s="143"/>
      <c r="KMP33" s="143"/>
      <c r="KMQ33" s="143"/>
      <c r="KMR33" s="143"/>
      <c r="KMS33" s="143"/>
      <c r="KMT33" s="143"/>
      <c r="KMU33" s="143"/>
      <c r="KMV33" s="143"/>
      <c r="KMW33" s="143"/>
      <c r="KMX33" s="143"/>
      <c r="KMY33" s="143"/>
      <c r="KMZ33" s="143"/>
      <c r="KNA33" s="143"/>
      <c r="KNB33" s="143"/>
      <c r="KNC33" s="143"/>
      <c r="KND33" s="143"/>
      <c r="KNE33" s="143"/>
      <c r="KNF33" s="143"/>
      <c r="KNG33" s="143"/>
      <c r="KNH33" s="143"/>
      <c r="KNI33" s="143"/>
      <c r="KNJ33" s="143"/>
      <c r="KNK33" s="143"/>
      <c r="KNL33" s="143"/>
      <c r="KNM33" s="143"/>
      <c r="KNN33" s="143"/>
      <c r="KNO33" s="143"/>
      <c r="KNP33" s="143"/>
      <c r="KNQ33" s="143"/>
      <c r="KNR33" s="143"/>
      <c r="KNS33" s="143"/>
      <c r="KNT33" s="143"/>
      <c r="KNU33" s="143"/>
      <c r="KNV33" s="143"/>
      <c r="KNW33" s="143"/>
      <c r="KNX33" s="143"/>
      <c r="KNY33" s="143"/>
      <c r="KNZ33" s="143"/>
      <c r="KOA33" s="143"/>
      <c r="KOB33" s="143"/>
      <c r="KOC33" s="143"/>
      <c r="KOD33" s="143"/>
      <c r="KOE33" s="143"/>
      <c r="KOF33" s="143"/>
      <c r="KOG33" s="143"/>
      <c r="KOH33" s="143"/>
      <c r="KOI33" s="143"/>
      <c r="KOJ33" s="143"/>
      <c r="KOK33" s="143"/>
      <c r="KOL33" s="143"/>
      <c r="KOM33" s="143"/>
      <c r="KON33" s="143"/>
      <c r="KOO33" s="143"/>
      <c r="KOP33" s="143"/>
      <c r="KOQ33" s="143"/>
      <c r="KOR33" s="143"/>
      <c r="KOS33" s="143"/>
      <c r="KOT33" s="143"/>
      <c r="KOU33" s="143"/>
      <c r="KOV33" s="143"/>
      <c r="KOW33" s="143"/>
      <c r="KOX33" s="143"/>
      <c r="KOY33" s="143"/>
      <c r="KOZ33" s="143"/>
      <c r="KPA33" s="143"/>
      <c r="KPB33" s="143"/>
      <c r="KPC33" s="143"/>
      <c r="KPD33" s="143"/>
      <c r="KPE33" s="143"/>
      <c r="KPF33" s="143"/>
      <c r="KPG33" s="143"/>
      <c r="KPH33" s="143"/>
      <c r="KPI33" s="143"/>
      <c r="KPJ33" s="143"/>
      <c r="KPK33" s="143"/>
      <c r="KPL33" s="143"/>
      <c r="KPM33" s="143"/>
      <c r="KPN33" s="143"/>
      <c r="KPO33" s="143"/>
      <c r="KPP33" s="143"/>
      <c r="KPQ33" s="143"/>
      <c r="KPR33" s="143"/>
      <c r="KPS33" s="143"/>
      <c r="KPT33" s="143"/>
      <c r="KPU33" s="143"/>
      <c r="KPV33" s="143"/>
      <c r="KPW33" s="143"/>
      <c r="KPX33" s="143"/>
      <c r="KPY33" s="143"/>
      <c r="KPZ33" s="143"/>
      <c r="KQA33" s="143"/>
      <c r="KQB33" s="143"/>
      <c r="KQC33" s="143"/>
      <c r="KQD33" s="143"/>
      <c r="KQE33" s="143"/>
      <c r="KQF33" s="143"/>
      <c r="KQG33" s="143"/>
      <c r="KQH33" s="143"/>
      <c r="KQI33" s="143"/>
      <c r="KQJ33" s="143"/>
      <c r="KQK33" s="143"/>
      <c r="KQL33" s="143"/>
      <c r="KQM33" s="143"/>
      <c r="KQN33" s="143"/>
      <c r="KQO33" s="143"/>
      <c r="KQP33" s="143"/>
      <c r="KQQ33" s="143"/>
      <c r="KQR33" s="143"/>
      <c r="KQS33" s="143"/>
      <c r="KQT33" s="143"/>
      <c r="KQU33" s="143"/>
      <c r="KQV33" s="143"/>
      <c r="KQW33" s="143"/>
      <c r="KQX33" s="143"/>
      <c r="KQY33" s="143"/>
      <c r="KQZ33" s="143"/>
      <c r="KRA33" s="143"/>
      <c r="KRB33" s="143"/>
      <c r="KRC33" s="143"/>
      <c r="KRD33" s="143"/>
      <c r="KRE33" s="143"/>
      <c r="KRF33" s="143"/>
      <c r="KRG33" s="143"/>
      <c r="KRH33" s="143"/>
      <c r="KRI33" s="143"/>
      <c r="KRJ33" s="143"/>
      <c r="KRK33" s="143"/>
      <c r="KRL33" s="143"/>
      <c r="KRM33" s="143"/>
      <c r="KRN33" s="143"/>
      <c r="KRO33" s="143"/>
      <c r="KRP33" s="143"/>
      <c r="KRQ33" s="143"/>
      <c r="KRR33" s="143"/>
      <c r="KRS33" s="143"/>
      <c r="KRT33" s="143"/>
      <c r="KRU33" s="143"/>
      <c r="KRV33" s="143"/>
      <c r="KRW33" s="143"/>
      <c r="KRX33" s="143"/>
      <c r="KRY33" s="143"/>
      <c r="KRZ33" s="143"/>
      <c r="KSA33" s="143"/>
      <c r="KSB33" s="143"/>
      <c r="KSC33" s="143"/>
      <c r="KSD33" s="143"/>
      <c r="KSE33" s="143"/>
      <c r="KSF33" s="143"/>
      <c r="KSG33" s="143"/>
      <c r="KSH33" s="143"/>
      <c r="KSI33" s="143"/>
      <c r="KSJ33" s="143"/>
      <c r="KSK33" s="143"/>
      <c r="KSL33" s="143"/>
      <c r="KSM33" s="143"/>
      <c r="KSN33" s="143"/>
      <c r="KSO33" s="143"/>
      <c r="KSP33" s="143"/>
      <c r="KSQ33" s="143"/>
      <c r="KSR33" s="143"/>
      <c r="KSS33" s="143"/>
      <c r="KST33" s="143"/>
      <c r="KSU33" s="143"/>
      <c r="KSV33" s="143"/>
      <c r="KSW33" s="143"/>
      <c r="KSX33" s="143"/>
      <c r="KSY33" s="143"/>
      <c r="KSZ33" s="143"/>
      <c r="KTA33" s="143"/>
      <c r="KTB33" s="143"/>
      <c r="KTC33" s="143"/>
      <c r="KTD33" s="143"/>
      <c r="KTE33" s="143"/>
      <c r="KTF33" s="143"/>
      <c r="KTG33" s="143"/>
      <c r="KTH33" s="143"/>
      <c r="KTI33" s="143"/>
      <c r="KTJ33" s="143"/>
      <c r="KTK33" s="143"/>
      <c r="KTL33" s="143"/>
      <c r="KTM33" s="143"/>
      <c r="KTN33" s="143"/>
      <c r="KTO33" s="143"/>
      <c r="KTP33" s="143"/>
      <c r="KTQ33" s="143"/>
      <c r="KTR33" s="143"/>
      <c r="KTS33" s="143"/>
      <c r="KTT33" s="143"/>
      <c r="KTU33" s="143"/>
      <c r="KTV33" s="143"/>
      <c r="KTW33" s="143"/>
      <c r="KTX33" s="143"/>
      <c r="KTY33" s="143"/>
      <c r="KTZ33" s="143"/>
      <c r="KUA33" s="143"/>
      <c r="KUB33" s="143"/>
      <c r="KUC33" s="143"/>
      <c r="KUD33" s="143"/>
      <c r="KUE33" s="143"/>
      <c r="KUF33" s="143"/>
      <c r="KUG33" s="143"/>
      <c r="KUH33" s="143"/>
      <c r="KUI33" s="143"/>
      <c r="KUJ33" s="143"/>
      <c r="KUK33" s="143"/>
      <c r="KUL33" s="143"/>
      <c r="KUM33" s="143"/>
      <c r="KUN33" s="143"/>
      <c r="KUO33" s="143"/>
      <c r="KUP33" s="143"/>
      <c r="KUQ33" s="143"/>
      <c r="KUR33" s="143"/>
      <c r="KUS33" s="143"/>
      <c r="KUT33" s="143"/>
      <c r="KUU33" s="143"/>
      <c r="KUV33" s="143"/>
      <c r="KUW33" s="143"/>
      <c r="KUX33" s="143"/>
      <c r="KUY33" s="143"/>
      <c r="KUZ33" s="143"/>
      <c r="KVA33" s="143"/>
      <c r="KVB33" s="143"/>
      <c r="KVC33" s="143"/>
      <c r="KVD33" s="143"/>
      <c r="KVE33" s="143"/>
      <c r="KVF33" s="143"/>
      <c r="KVG33" s="143"/>
      <c r="KVH33" s="143"/>
      <c r="KVI33" s="143"/>
      <c r="KVJ33" s="143"/>
      <c r="KVK33" s="143"/>
      <c r="KVL33" s="143"/>
      <c r="KVM33" s="143"/>
      <c r="KVN33" s="143"/>
      <c r="KVO33" s="143"/>
      <c r="KVP33" s="143"/>
      <c r="KVQ33" s="143"/>
      <c r="KVR33" s="143"/>
      <c r="KVS33" s="143"/>
      <c r="KVT33" s="143"/>
      <c r="KVU33" s="143"/>
      <c r="KVV33" s="143"/>
      <c r="KVW33" s="143"/>
      <c r="KVX33" s="143"/>
      <c r="KVY33" s="143"/>
      <c r="KVZ33" s="143"/>
      <c r="KWA33" s="143"/>
      <c r="KWB33" s="143"/>
      <c r="KWC33" s="143"/>
      <c r="KWD33" s="143"/>
      <c r="KWE33" s="143"/>
      <c r="KWF33" s="143"/>
      <c r="KWG33" s="143"/>
      <c r="KWH33" s="143"/>
      <c r="KWI33" s="143"/>
      <c r="KWJ33" s="143"/>
      <c r="KWK33" s="143"/>
      <c r="KWL33" s="143"/>
      <c r="KWM33" s="143"/>
      <c r="KWN33" s="143"/>
      <c r="KWO33" s="143"/>
      <c r="KWP33" s="143"/>
      <c r="KWQ33" s="143"/>
      <c r="KWR33" s="143"/>
      <c r="KWS33" s="143"/>
      <c r="KWT33" s="143"/>
      <c r="KWU33" s="143"/>
      <c r="KWV33" s="143"/>
      <c r="KWW33" s="143"/>
      <c r="KWX33" s="143"/>
      <c r="KWY33" s="143"/>
      <c r="KWZ33" s="143"/>
      <c r="KXA33" s="143"/>
      <c r="KXB33" s="143"/>
      <c r="KXC33" s="143"/>
      <c r="KXD33" s="143"/>
      <c r="KXE33" s="143"/>
      <c r="KXF33" s="143"/>
      <c r="KXG33" s="143"/>
      <c r="KXH33" s="143"/>
      <c r="KXI33" s="143"/>
      <c r="KXJ33" s="143"/>
      <c r="KXK33" s="143"/>
      <c r="KXL33" s="143"/>
      <c r="KXM33" s="143"/>
      <c r="KXN33" s="143"/>
      <c r="KXO33" s="143"/>
      <c r="KXP33" s="143"/>
      <c r="KXQ33" s="143"/>
      <c r="KXR33" s="143"/>
      <c r="KXS33" s="143"/>
      <c r="KXT33" s="143"/>
      <c r="KXU33" s="143"/>
      <c r="KXV33" s="143"/>
      <c r="KXW33" s="143"/>
      <c r="KXX33" s="143"/>
      <c r="KXY33" s="143"/>
      <c r="KXZ33" s="143"/>
      <c r="KYA33" s="143"/>
      <c r="KYB33" s="143"/>
      <c r="KYC33" s="143"/>
      <c r="KYD33" s="143"/>
      <c r="KYE33" s="143"/>
      <c r="KYF33" s="143"/>
      <c r="KYG33" s="143"/>
      <c r="KYH33" s="143"/>
      <c r="KYI33" s="143"/>
      <c r="KYJ33" s="143"/>
      <c r="KYK33" s="143"/>
      <c r="KYL33" s="143"/>
      <c r="KYM33" s="143"/>
      <c r="KYN33" s="143"/>
      <c r="KYO33" s="143"/>
      <c r="KYP33" s="143"/>
      <c r="KYQ33" s="143"/>
      <c r="KYR33" s="143"/>
      <c r="KYS33" s="143"/>
      <c r="KYT33" s="143"/>
      <c r="KYU33" s="143"/>
      <c r="KYV33" s="143"/>
      <c r="KYW33" s="143"/>
      <c r="KYX33" s="143"/>
      <c r="KYY33" s="143"/>
      <c r="KYZ33" s="143"/>
      <c r="KZA33" s="143"/>
      <c r="KZB33" s="143"/>
      <c r="KZC33" s="143"/>
      <c r="KZD33" s="143"/>
      <c r="KZE33" s="143"/>
      <c r="KZF33" s="143"/>
      <c r="KZG33" s="143"/>
      <c r="KZH33" s="143"/>
      <c r="KZI33" s="143"/>
      <c r="KZJ33" s="143"/>
      <c r="KZK33" s="143"/>
      <c r="KZL33" s="143"/>
      <c r="KZM33" s="143"/>
      <c r="KZN33" s="143"/>
      <c r="KZO33" s="143"/>
      <c r="KZP33" s="143"/>
      <c r="KZQ33" s="143"/>
      <c r="KZR33" s="143"/>
      <c r="KZS33" s="143"/>
      <c r="KZT33" s="143"/>
      <c r="KZU33" s="143"/>
      <c r="KZV33" s="143"/>
      <c r="KZW33" s="143"/>
      <c r="KZX33" s="143"/>
      <c r="KZY33" s="143"/>
      <c r="KZZ33" s="143"/>
      <c r="LAA33" s="143"/>
      <c r="LAB33" s="143"/>
      <c r="LAC33" s="143"/>
      <c r="LAD33" s="143"/>
      <c r="LAE33" s="143"/>
      <c r="LAF33" s="143"/>
      <c r="LAG33" s="143"/>
      <c r="LAH33" s="143"/>
      <c r="LAI33" s="143"/>
      <c r="LAJ33" s="143"/>
      <c r="LAK33" s="143"/>
      <c r="LAL33" s="143"/>
      <c r="LAM33" s="143"/>
      <c r="LAN33" s="143"/>
      <c r="LAO33" s="143"/>
      <c r="LAP33" s="143"/>
      <c r="LAQ33" s="143"/>
      <c r="LAR33" s="143"/>
      <c r="LAS33" s="143"/>
      <c r="LAT33" s="143"/>
      <c r="LAU33" s="143"/>
      <c r="LAV33" s="143"/>
      <c r="LAW33" s="143"/>
      <c r="LAX33" s="143"/>
      <c r="LAY33" s="143"/>
      <c r="LAZ33" s="143"/>
      <c r="LBA33" s="143"/>
      <c r="LBB33" s="143"/>
      <c r="LBC33" s="143"/>
      <c r="LBD33" s="143"/>
      <c r="LBE33" s="143"/>
      <c r="LBF33" s="143"/>
      <c r="LBG33" s="143"/>
      <c r="LBH33" s="143"/>
      <c r="LBI33" s="143"/>
      <c r="LBJ33" s="143"/>
      <c r="LBK33" s="143"/>
      <c r="LBL33" s="143"/>
      <c r="LBM33" s="143"/>
      <c r="LBN33" s="143"/>
      <c r="LBO33" s="143"/>
      <c r="LBP33" s="143"/>
      <c r="LBQ33" s="143"/>
      <c r="LBR33" s="143"/>
      <c r="LBS33" s="143"/>
      <c r="LBT33" s="143"/>
      <c r="LBU33" s="143"/>
      <c r="LBV33" s="143"/>
      <c r="LBW33" s="143"/>
      <c r="LBX33" s="143"/>
      <c r="LBY33" s="143"/>
      <c r="LBZ33" s="143"/>
      <c r="LCA33" s="143"/>
      <c r="LCB33" s="143"/>
      <c r="LCC33" s="143"/>
      <c r="LCD33" s="143"/>
      <c r="LCE33" s="143"/>
      <c r="LCF33" s="143"/>
      <c r="LCG33" s="143"/>
      <c r="LCH33" s="143"/>
      <c r="LCI33" s="143"/>
      <c r="LCJ33" s="143"/>
      <c r="LCK33" s="143"/>
      <c r="LCL33" s="143"/>
      <c r="LCM33" s="143"/>
      <c r="LCN33" s="143"/>
      <c r="LCO33" s="143"/>
      <c r="LCP33" s="143"/>
      <c r="LCQ33" s="143"/>
      <c r="LCR33" s="143"/>
      <c r="LCS33" s="143"/>
      <c r="LCT33" s="143"/>
      <c r="LCU33" s="143"/>
      <c r="LCV33" s="143"/>
      <c r="LCW33" s="143"/>
      <c r="LCX33" s="143"/>
      <c r="LCY33" s="143"/>
      <c r="LCZ33" s="143"/>
      <c r="LDA33" s="143"/>
      <c r="LDB33" s="143"/>
      <c r="LDC33" s="143"/>
      <c r="LDD33" s="143"/>
      <c r="LDE33" s="143"/>
      <c r="LDF33" s="143"/>
      <c r="LDG33" s="143"/>
      <c r="LDH33" s="143"/>
      <c r="LDI33" s="143"/>
      <c r="LDJ33" s="143"/>
      <c r="LDK33" s="143"/>
      <c r="LDL33" s="143"/>
      <c r="LDM33" s="143"/>
      <c r="LDN33" s="143"/>
      <c r="LDO33" s="143"/>
      <c r="LDP33" s="143"/>
      <c r="LDQ33" s="143"/>
      <c r="LDR33" s="143"/>
      <c r="LDS33" s="143"/>
      <c r="LDT33" s="143"/>
      <c r="LDU33" s="143"/>
      <c r="LDV33" s="143"/>
      <c r="LDW33" s="143"/>
      <c r="LDX33" s="143"/>
      <c r="LDY33" s="143"/>
      <c r="LDZ33" s="143"/>
      <c r="LEA33" s="143"/>
      <c r="LEB33" s="143"/>
      <c r="LEC33" s="143"/>
      <c r="LED33" s="143"/>
      <c r="LEE33" s="143"/>
      <c r="LEF33" s="143"/>
      <c r="LEG33" s="143"/>
      <c r="LEH33" s="143"/>
      <c r="LEI33" s="143"/>
      <c r="LEJ33" s="143"/>
      <c r="LEK33" s="143"/>
      <c r="LEL33" s="143"/>
      <c r="LEM33" s="143"/>
      <c r="LEN33" s="143"/>
      <c r="LEO33" s="143"/>
      <c r="LEP33" s="143"/>
      <c r="LEQ33" s="143"/>
      <c r="LER33" s="143"/>
      <c r="LES33" s="143"/>
      <c r="LET33" s="143"/>
      <c r="LEU33" s="143"/>
      <c r="LEV33" s="143"/>
      <c r="LEW33" s="143"/>
      <c r="LEX33" s="143"/>
      <c r="LEY33" s="143"/>
      <c r="LEZ33" s="143"/>
      <c r="LFA33" s="143"/>
      <c r="LFB33" s="143"/>
      <c r="LFC33" s="143"/>
      <c r="LFD33" s="143"/>
      <c r="LFE33" s="143"/>
      <c r="LFF33" s="143"/>
      <c r="LFG33" s="143"/>
      <c r="LFH33" s="143"/>
      <c r="LFI33" s="143"/>
      <c r="LFJ33" s="143"/>
      <c r="LFK33" s="143"/>
      <c r="LFL33" s="143"/>
      <c r="LFM33" s="143"/>
      <c r="LFN33" s="143"/>
      <c r="LFO33" s="143"/>
      <c r="LFP33" s="143"/>
      <c r="LFQ33" s="143"/>
      <c r="LFR33" s="143"/>
      <c r="LFS33" s="143"/>
      <c r="LFT33" s="143"/>
      <c r="LFU33" s="143"/>
      <c r="LFV33" s="143"/>
      <c r="LFW33" s="143"/>
      <c r="LFX33" s="143"/>
      <c r="LFY33" s="143"/>
      <c r="LFZ33" s="143"/>
      <c r="LGA33" s="143"/>
      <c r="LGB33" s="143"/>
      <c r="LGC33" s="143"/>
      <c r="LGD33" s="143"/>
      <c r="LGE33" s="143"/>
      <c r="LGF33" s="143"/>
      <c r="LGG33" s="143"/>
      <c r="LGH33" s="143"/>
      <c r="LGI33" s="143"/>
      <c r="LGJ33" s="143"/>
      <c r="LGK33" s="143"/>
      <c r="LGL33" s="143"/>
      <c r="LGM33" s="143"/>
      <c r="LGN33" s="143"/>
      <c r="LGO33" s="143"/>
      <c r="LGP33" s="143"/>
      <c r="LGQ33" s="143"/>
      <c r="LGR33" s="143"/>
      <c r="LGS33" s="143"/>
      <c r="LGT33" s="143"/>
      <c r="LGU33" s="143"/>
      <c r="LGV33" s="143"/>
      <c r="LGW33" s="143"/>
      <c r="LGX33" s="143"/>
      <c r="LGY33" s="143"/>
      <c r="LGZ33" s="143"/>
      <c r="LHA33" s="143"/>
      <c r="LHB33" s="143"/>
      <c r="LHC33" s="143"/>
      <c r="LHD33" s="143"/>
      <c r="LHE33" s="143"/>
      <c r="LHF33" s="143"/>
      <c r="LHG33" s="143"/>
      <c r="LHH33" s="143"/>
      <c r="LHI33" s="143"/>
      <c r="LHJ33" s="143"/>
      <c r="LHK33" s="143"/>
      <c r="LHL33" s="143"/>
      <c r="LHM33" s="143"/>
      <c r="LHN33" s="143"/>
      <c r="LHO33" s="143"/>
      <c r="LHP33" s="143"/>
      <c r="LHQ33" s="143"/>
      <c r="LHR33" s="143"/>
      <c r="LHS33" s="143"/>
      <c r="LHT33" s="143"/>
      <c r="LHU33" s="143"/>
      <c r="LHV33" s="143"/>
      <c r="LHW33" s="143"/>
      <c r="LHX33" s="143"/>
      <c r="LHY33" s="143"/>
      <c r="LHZ33" s="143"/>
      <c r="LIA33" s="143"/>
      <c r="LIB33" s="143"/>
      <c r="LIC33" s="143"/>
      <c r="LID33" s="143"/>
      <c r="LIE33" s="143"/>
      <c r="LIF33" s="143"/>
      <c r="LIG33" s="143"/>
      <c r="LIH33" s="143"/>
      <c r="LII33" s="143"/>
      <c r="LIJ33" s="143"/>
      <c r="LIK33" s="143"/>
      <c r="LIL33" s="143"/>
      <c r="LIM33" s="143"/>
      <c r="LIN33" s="143"/>
      <c r="LIO33" s="143"/>
      <c r="LIP33" s="143"/>
      <c r="LIQ33" s="143"/>
      <c r="LIR33" s="143"/>
      <c r="LIS33" s="143"/>
      <c r="LIT33" s="143"/>
      <c r="LIU33" s="143"/>
      <c r="LIV33" s="143"/>
      <c r="LIW33" s="143"/>
      <c r="LIX33" s="143"/>
      <c r="LIY33" s="143"/>
      <c r="LIZ33" s="143"/>
      <c r="LJA33" s="143"/>
      <c r="LJB33" s="143"/>
      <c r="LJC33" s="143"/>
      <c r="LJD33" s="143"/>
      <c r="LJE33" s="143"/>
      <c r="LJF33" s="143"/>
      <c r="LJG33" s="143"/>
      <c r="LJH33" s="143"/>
      <c r="LJI33" s="143"/>
      <c r="LJJ33" s="143"/>
      <c r="LJK33" s="143"/>
      <c r="LJL33" s="143"/>
      <c r="LJM33" s="143"/>
      <c r="LJN33" s="143"/>
      <c r="LJO33" s="143"/>
      <c r="LJP33" s="143"/>
      <c r="LJQ33" s="143"/>
      <c r="LJR33" s="143"/>
      <c r="LJS33" s="143"/>
      <c r="LJT33" s="143"/>
      <c r="LJU33" s="143"/>
      <c r="LJV33" s="143"/>
      <c r="LJW33" s="143"/>
      <c r="LJX33" s="143"/>
      <c r="LJY33" s="143"/>
      <c r="LJZ33" s="143"/>
      <c r="LKA33" s="143"/>
      <c r="LKB33" s="143"/>
      <c r="LKC33" s="143"/>
      <c r="LKD33" s="143"/>
      <c r="LKE33" s="143"/>
      <c r="LKF33" s="143"/>
      <c r="LKG33" s="143"/>
      <c r="LKH33" s="143"/>
      <c r="LKI33" s="143"/>
      <c r="LKJ33" s="143"/>
      <c r="LKK33" s="143"/>
      <c r="LKL33" s="143"/>
      <c r="LKM33" s="143"/>
      <c r="LKN33" s="143"/>
      <c r="LKO33" s="143"/>
      <c r="LKP33" s="143"/>
      <c r="LKQ33" s="143"/>
      <c r="LKR33" s="143"/>
      <c r="LKS33" s="143"/>
      <c r="LKT33" s="143"/>
      <c r="LKU33" s="143"/>
      <c r="LKV33" s="143"/>
      <c r="LKW33" s="143"/>
      <c r="LKX33" s="143"/>
      <c r="LKY33" s="143"/>
      <c r="LKZ33" s="143"/>
      <c r="LLA33" s="143"/>
      <c r="LLB33" s="143"/>
      <c r="LLC33" s="143"/>
      <c r="LLD33" s="143"/>
      <c r="LLE33" s="143"/>
      <c r="LLF33" s="143"/>
      <c r="LLG33" s="143"/>
      <c r="LLH33" s="143"/>
      <c r="LLI33" s="143"/>
      <c r="LLJ33" s="143"/>
      <c r="LLK33" s="143"/>
      <c r="LLL33" s="143"/>
      <c r="LLM33" s="143"/>
      <c r="LLN33" s="143"/>
      <c r="LLO33" s="143"/>
      <c r="LLP33" s="143"/>
      <c r="LLQ33" s="143"/>
      <c r="LLR33" s="143"/>
      <c r="LLS33" s="143"/>
      <c r="LLT33" s="143"/>
      <c r="LLU33" s="143"/>
      <c r="LLV33" s="143"/>
      <c r="LLW33" s="143"/>
      <c r="LLX33" s="143"/>
      <c r="LLY33" s="143"/>
      <c r="LLZ33" s="143"/>
      <c r="LMA33" s="143"/>
      <c r="LMB33" s="143"/>
      <c r="LMC33" s="143"/>
      <c r="LMD33" s="143"/>
      <c r="LME33" s="143"/>
      <c r="LMF33" s="143"/>
      <c r="LMG33" s="143"/>
      <c r="LMH33" s="143"/>
      <c r="LMI33" s="143"/>
      <c r="LMJ33" s="143"/>
      <c r="LMK33" s="143"/>
      <c r="LML33" s="143"/>
      <c r="LMM33" s="143"/>
      <c r="LMN33" s="143"/>
      <c r="LMO33" s="143"/>
      <c r="LMP33" s="143"/>
      <c r="LMQ33" s="143"/>
      <c r="LMR33" s="143"/>
      <c r="LMS33" s="143"/>
      <c r="LMT33" s="143"/>
      <c r="LMU33" s="143"/>
      <c r="LMV33" s="143"/>
      <c r="LMW33" s="143"/>
      <c r="LMX33" s="143"/>
      <c r="LMY33" s="143"/>
      <c r="LMZ33" s="143"/>
      <c r="LNA33" s="143"/>
      <c r="LNB33" s="143"/>
      <c r="LNC33" s="143"/>
      <c r="LND33" s="143"/>
      <c r="LNE33" s="143"/>
      <c r="LNF33" s="143"/>
      <c r="LNG33" s="143"/>
      <c r="LNH33" s="143"/>
      <c r="LNI33" s="143"/>
      <c r="LNJ33" s="143"/>
      <c r="LNK33" s="143"/>
      <c r="LNL33" s="143"/>
      <c r="LNM33" s="143"/>
      <c r="LNN33" s="143"/>
      <c r="LNO33" s="143"/>
      <c r="LNP33" s="143"/>
      <c r="LNQ33" s="143"/>
      <c r="LNR33" s="143"/>
      <c r="LNS33" s="143"/>
      <c r="LNT33" s="143"/>
      <c r="LNU33" s="143"/>
      <c r="LNV33" s="143"/>
      <c r="LNW33" s="143"/>
      <c r="LNX33" s="143"/>
      <c r="LNY33" s="143"/>
      <c r="LNZ33" s="143"/>
      <c r="LOA33" s="143"/>
      <c r="LOB33" s="143"/>
      <c r="LOC33" s="143"/>
      <c r="LOD33" s="143"/>
      <c r="LOE33" s="143"/>
      <c r="LOF33" s="143"/>
      <c r="LOG33" s="143"/>
      <c r="LOH33" s="143"/>
      <c r="LOI33" s="143"/>
      <c r="LOJ33" s="143"/>
      <c r="LOK33" s="143"/>
      <c r="LOL33" s="143"/>
      <c r="LOM33" s="143"/>
      <c r="LON33" s="143"/>
      <c r="LOO33" s="143"/>
      <c r="LOP33" s="143"/>
      <c r="LOQ33" s="143"/>
      <c r="LOR33" s="143"/>
      <c r="LOS33" s="143"/>
      <c r="LOT33" s="143"/>
      <c r="LOU33" s="143"/>
      <c r="LOV33" s="143"/>
      <c r="LOW33" s="143"/>
      <c r="LOX33" s="143"/>
      <c r="LOY33" s="143"/>
      <c r="LOZ33" s="143"/>
      <c r="LPA33" s="143"/>
      <c r="LPB33" s="143"/>
      <c r="LPC33" s="143"/>
      <c r="LPD33" s="143"/>
      <c r="LPE33" s="143"/>
      <c r="LPF33" s="143"/>
      <c r="LPG33" s="143"/>
      <c r="LPH33" s="143"/>
      <c r="LPI33" s="143"/>
      <c r="LPJ33" s="143"/>
      <c r="LPK33" s="143"/>
      <c r="LPL33" s="143"/>
      <c r="LPM33" s="143"/>
      <c r="LPN33" s="143"/>
      <c r="LPO33" s="143"/>
      <c r="LPP33" s="143"/>
      <c r="LPQ33" s="143"/>
      <c r="LPR33" s="143"/>
      <c r="LPS33" s="143"/>
      <c r="LPT33" s="143"/>
      <c r="LPU33" s="143"/>
      <c r="LPV33" s="143"/>
      <c r="LPW33" s="143"/>
      <c r="LPX33" s="143"/>
      <c r="LPY33" s="143"/>
      <c r="LPZ33" s="143"/>
      <c r="LQA33" s="143"/>
      <c r="LQB33" s="143"/>
      <c r="LQC33" s="143"/>
      <c r="LQD33" s="143"/>
      <c r="LQE33" s="143"/>
      <c r="LQF33" s="143"/>
      <c r="LQG33" s="143"/>
      <c r="LQH33" s="143"/>
      <c r="LQI33" s="143"/>
      <c r="LQJ33" s="143"/>
      <c r="LQK33" s="143"/>
      <c r="LQL33" s="143"/>
      <c r="LQM33" s="143"/>
      <c r="LQN33" s="143"/>
      <c r="LQO33" s="143"/>
      <c r="LQP33" s="143"/>
      <c r="LQQ33" s="143"/>
      <c r="LQR33" s="143"/>
      <c r="LQS33" s="143"/>
      <c r="LQT33" s="143"/>
      <c r="LQU33" s="143"/>
      <c r="LQV33" s="143"/>
      <c r="LQW33" s="143"/>
      <c r="LQX33" s="143"/>
      <c r="LQY33" s="143"/>
      <c r="LQZ33" s="143"/>
      <c r="LRA33" s="143"/>
      <c r="LRB33" s="143"/>
      <c r="LRC33" s="143"/>
      <c r="LRD33" s="143"/>
      <c r="LRE33" s="143"/>
      <c r="LRF33" s="143"/>
      <c r="LRG33" s="143"/>
      <c r="LRH33" s="143"/>
      <c r="LRI33" s="143"/>
      <c r="LRJ33" s="143"/>
      <c r="LRK33" s="143"/>
      <c r="LRL33" s="143"/>
      <c r="LRM33" s="143"/>
      <c r="LRN33" s="143"/>
      <c r="LRO33" s="143"/>
      <c r="LRP33" s="143"/>
      <c r="LRQ33" s="143"/>
      <c r="LRR33" s="143"/>
      <c r="LRS33" s="143"/>
      <c r="LRT33" s="143"/>
      <c r="LRU33" s="143"/>
      <c r="LRV33" s="143"/>
      <c r="LRW33" s="143"/>
      <c r="LRX33" s="143"/>
      <c r="LRY33" s="143"/>
      <c r="LRZ33" s="143"/>
      <c r="LSA33" s="143"/>
      <c r="LSB33" s="143"/>
      <c r="LSC33" s="143"/>
      <c r="LSD33" s="143"/>
      <c r="LSE33" s="143"/>
      <c r="LSF33" s="143"/>
      <c r="LSG33" s="143"/>
      <c r="LSH33" s="143"/>
      <c r="LSI33" s="143"/>
      <c r="LSJ33" s="143"/>
      <c r="LSK33" s="143"/>
      <c r="LSL33" s="143"/>
      <c r="LSM33" s="143"/>
      <c r="LSN33" s="143"/>
      <c r="LSO33" s="143"/>
      <c r="LSP33" s="143"/>
      <c r="LSQ33" s="143"/>
      <c r="LSR33" s="143"/>
      <c r="LSS33" s="143"/>
      <c r="LST33" s="143"/>
      <c r="LSU33" s="143"/>
      <c r="LSV33" s="143"/>
      <c r="LSW33" s="143"/>
      <c r="LSX33" s="143"/>
      <c r="LSY33" s="143"/>
      <c r="LSZ33" s="143"/>
      <c r="LTA33" s="143"/>
      <c r="LTB33" s="143"/>
      <c r="LTC33" s="143"/>
      <c r="LTD33" s="143"/>
      <c r="LTE33" s="143"/>
      <c r="LTF33" s="143"/>
      <c r="LTG33" s="143"/>
      <c r="LTH33" s="143"/>
      <c r="LTI33" s="143"/>
      <c r="LTJ33" s="143"/>
      <c r="LTK33" s="143"/>
      <c r="LTL33" s="143"/>
      <c r="LTM33" s="143"/>
      <c r="LTN33" s="143"/>
      <c r="LTO33" s="143"/>
      <c r="LTP33" s="143"/>
      <c r="LTQ33" s="143"/>
      <c r="LTR33" s="143"/>
      <c r="LTS33" s="143"/>
      <c r="LTT33" s="143"/>
      <c r="LTU33" s="143"/>
      <c r="LTV33" s="143"/>
      <c r="LTW33" s="143"/>
      <c r="LTX33" s="143"/>
      <c r="LTY33" s="143"/>
      <c r="LTZ33" s="143"/>
      <c r="LUA33" s="143"/>
      <c r="LUB33" s="143"/>
      <c r="LUC33" s="143"/>
      <c r="LUD33" s="143"/>
      <c r="LUE33" s="143"/>
      <c r="LUF33" s="143"/>
      <c r="LUG33" s="143"/>
      <c r="LUH33" s="143"/>
      <c r="LUI33" s="143"/>
      <c r="LUJ33" s="143"/>
      <c r="LUK33" s="143"/>
      <c r="LUL33" s="143"/>
      <c r="LUM33" s="143"/>
      <c r="LUN33" s="143"/>
      <c r="LUO33" s="143"/>
      <c r="LUP33" s="143"/>
      <c r="LUQ33" s="143"/>
      <c r="LUR33" s="143"/>
      <c r="LUS33" s="143"/>
      <c r="LUT33" s="143"/>
      <c r="LUU33" s="143"/>
      <c r="LUV33" s="143"/>
      <c r="LUW33" s="143"/>
      <c r="LUX33" s="143"/>
      <c r="LUY33" s="143"/>
      <c r="LUZ33" s="143"/>
      <c r="LVA33" s="143"/>
      <c r="LVB33" s="143"/>
      <c r="LVC33" s="143"/>
      <c r="LVD33" s="143"/>
      <c r="LVE33" s="143"/>
      <c r="LVF33" s="143"/>
      <c r="LVG33" s="143"/>
      <c r="LVH33" s="143"/>
      <c r="LVI33" s="143"/>
      <c r="LVJ33" s="143"/>
      <c r="LVK33" s="143"/>
      <c r="LVL33" s="143"/>
      <c r="LVM33" s="143"/>
      <c r="LVN33" s="143"/>
      <c r="LVO33" s="143"/>
      <c r="LVP33" s="143"/>
      <c r="LVQ33" s="143"/>
      <c r="LVR33" s="143"/>
      <c r="LVS33" s="143"/>
      <c r="LVT33" s="143"/>
      <c r="LVU33" s="143"/>
      <c r="LVV33" s="143"/>
      <c r="LVW33" s="143"/>
      <c r="LVX33" s="143"/>
      <c r="LVY33" s="143"/>
      <c r="LVZ33" s="143"/>
      <c r="LWA33" s="143"/>
      <c r="LWB33" s="143"/>
      <c r="LWC33" s="143"/>
      <c r="LWD33" s="143"/>
      <c r="LWE33" s="143"/>
      <c r="LWF33" s="143"/>
      <c r="LWG33" s="143"/>
      <c r="LWH33" s="143"/>
      <c r="LWI33" s="143"/>
      <c r="LWJ33" s="143"/>
      <c r="LWK33" s="143"/>
      <c r="LWL33" s="143"/>
      <c r="LWM33" s="143"/>
      <c r="LWN33" s="143"/>
      <c r="LWO33" s="143"/>
      <c r="LWP33" s="143"/>
      <c r="LWQ33" s="143"/>
      <c r="LWR33" s="143"/>
      <c r="LWS33" s="143"/>
      <c r="LWT33" s="143"/>
      <c r="LWU33" s="143"/>
      <c r="LWV33" s="143"/>
      <c r="LWW33" s="143"/>
      <c r="LWX33" s="143"/>
      <c r="LWY33" s="143"/>
      <c r="LWZ33" s="143"/>
      <c r="LXA33" s="143"/>
      <c r="LXB33" s="143"/>
      <c r="LXC33" s="143"/>
      <c r="LXD33" s="143"/>
      <c r="LXE33" s="143"/>
      <c r="LXF33" s="143"/>
      <c r="LXG33" s="143"/>
      <c r="LXH33" s="143"/>
      <c r="LXI33" s="143"/>
      <c r="LXJ33" s="143"/>
      <c r="LXK33" s="143"/>
      <c r="LXL33" s="143"/>
      <c r="LXM33" s="143"/>
      <c r="LXN33" s="143"/>
      <c r="LXO33" s="143"/>
      <c r="LXP33" s="143"/>
      <c r="LXQ33" s="143"/>
      <c r="LXR33" s="143"/>
      <c r="LXS33" s="143"/>
      <c r="LXT33" s="143"/>
      <c r="LXU33" s="143"/>
      <c r="LXV33" s="143"/>
      <c r="LXW33" s="143"/>
      <c r="LXX33" s="143"/>
      <c r="LXY33" s="143"/>
      <c r="LXZ33" s="143"/>
      <c r="LYA33" s="143"/>
      <c r="LYB33" s="143"/>
      <c r="LYC33" s="143"/>
      <c r="LYD33" s="143"/>
      <c r="LYE33" s="143"/>
      <c r="LYF33" s="143"/>
      <c r="LYG33" s="143"/>
      <c r="LYH33" s="143"/>
      <c r="LYI33" s="143"/>
      <c r="LYJ33" s="143"/>
      <c r="LYK33" s="143"/>
      <c r="LYL33" s="143"/>
      <c r="LYM33" s="143"/>
      <c r="LYN33" s="143"/>
      <c r="LYO33" s="143"/>
      <c r="LYP33" s="143"/>
      <c r="LYQ33" s="143"/>
      <c r="LYR33" s="143"/>
      <c r="LYS33" s="143"/>
      <c r="LYT33" s="143"/>
      <c r="LYU33" s="143"/>
      <c r="LYV33" s="143"/>
      <c r="LYW33" s="143"/>
      <c r="LYX33" s="143"/>
      <c r="LYY33" s="143"/>
      <c r="LYZ33" s="143"/>
      <c r="LZA33" s="143"/>
      <c r="LZB33" s="143"/>
      <c r="LZC33" s="143"/>
      <c r="LZD33" s="143"/>
      <c r="LZE33" s="143"/>
      <c r="LZF33" s="143"/>
      <c r="LZG33" s="143"/>
      <c r="LZH33" s="143"/>
      <c r="LZI33" s="143"/>
      <c r="LZJ33" s="143"/>
      <c r="LZK33" s="143"/>
      <c r="LZL33" s="143"/>
      <c r="LZM33" s="143"/>
      <c r="LZN33" s="143"/>
      <c r="LZO33" s="143"/>
      <c r="LZP33" s="143"/>
      <c r="LZQ33" s="143"/>
      <c r="LZR33" s="143"/>
      <c r="LZS33" s="143"/>
      <c r="LZT33" s="143"/>
      <c r="LZU33" s="143"/>
      <c r="LZV33" s="143"/>
      <c r="LZW33" s="143"/>
      <c r="LZX33" s="143"/>
      <c r="LZY33" s="143"/>
      <c r="LZZ33" s="143"/>
      <c r="MAA33" s="143"/>
      <c r="MAB33" s="143"/>
      <c r="MAC33" s="143"/>
      <c r="MAD33" s="143"/>
      <c r="MAE33" s="143"/>
      <c r="MAF33" s="143"/>
      <c r="MAG33" s="143"/>
      <c r="MAH33" s="143"/>
      <c r="MAI33" s="143"/>
      <c r="MAJ33" s="143"/>
      <c r="MAK33" s="143"/>
      <c r="MAL33" s="143"/>
      <c r="MAM33" s="143"/>
      <c r="MAN33" s="143"/>
      <c r="MAO33" s="143"/>
      <c r="MAP33" s="143"/>
      <c r="MAQ33" s="143"/>
      <c r="MAR33" s="143"/>
      <c r="MAS33" s="143"/>
      <c r="MAT33" s="143"/>
      <c r="MAU33" s="143"/>
      <c r="MAV33" s="143"/>
      <c r="MAW33" s="143"/>
      <c r="MAX33" s="143"/>
      <c r="MAY33" s="143"/>
      <c r="MAZ33" s="143"/>
      <c r="MBA33" s="143"/>
      <c r="MBB33" s="143"/>
      <c r="MBC33" s="143"/>
      <c r="MBD33" s="143"/>
      <c r="MBE33" s="143"/>
      <c r="MBF33" s="143"/>
      <c r="MBG33" s="143"/>
      <c r="MBH33" s="143"/>
      <c r="MBI33" s="143"/>
      <c r="MBJ33" s="143"/>
      <c r="MBK33" s="143"/>
      <c r="MBL33" s="143"/>
      <c r="MBM33" s="143"/>
      <c r="MBN33" s="143"/>
      <c r="MBO33" s="143"/>
      <c r="MBP33" s="143"/>
      <c r="MBQ33" s="143"/>
      <c r="MBR33" s="143"/>
      <c r="MBS33" s="143"/>
      <c r="MBT33" s="143"/>
      <c r="MBU33" s="143"/>
      <c r="MBV33" s="143"/>
      <c r="MBW33" s="143"/>
      <c r="MBX33" s="143"/>
      <c r="MBY33" s="143"/>
      <c r="MBZ33" s="143"/>
      <c r="MCA33" s="143"/>
      <c r="MCB33" s="143"/>
      <c r="MCC33" s="143"/>
      <c r="MCD33" s="143"/>
      <c r="MCE33" s="143"/>
      <c r="MCF33" s="143"/>
      <c r="MCG33" s="143"/>
      <c r="MCH33" s="143"/>
      <c r="MCI33" s="143"/>
      <c r="MCJ33" s="143"/>
      <c r="MCK33" s="143"/>
      <c r="MCL33" s="143"/>
      <c r="MCM33" s="143"/>
      <c r="MCN33" s="143"/>
      <c r="MCO33" s="143"/>
      <c r="MCP33" s="143"/>
      <c r="MCQ33" s="143"/>
      <c r="MCR33" s="143"/>
      <c r="MCS33" s="143"/>
      <c r="MCT33" s="143"/>
      <c r="MCU33" s="143"/>
      <c r="MCV33" s="143"/>
      <c r="MCW33" s="143"/>
      <c r="MCX33" s="143"/>
      <c r="MCY33" s="143"/>
      <c r="MCZ33" s="143"/>
      <c r="MDA33" s="143"/>
      <c r="MDB33" s="143"/>
      <c r="MDC33" s="143"/>
      <c r="MDD33" s="143"/>
      <c r="MDE33" s="143"/>
      <c r="MDF33" s="143"/>
      <c r="MDG33" s="143"/>
      <c r="MDH33" s="143"/>
      <c r="MDI33" s="143"/>
      <c r="MDJ33" s="143"/>
      <c r="MDK33" s="143"/>
      <c r="MDL33" s="143"/>
      <c r="MDM33" s="143"/>
      <c r="MDN33" s="143"/>
      <c r="MDO33" s="143"/>
      <c r="MDP33" s="143"/>
      <c r="MDQ33" s="143"/>
      <c r="MDR33" s="143"/>
      <c r="MDS33" s="143"/>
      <c r="MDT33" s="143"/>
      <c r="MDU33" s="143"/>
      <c r="MDV33" s="143"/>
      <c r="MDW33" s="143"/>
      <c r="MDX33" s="143"/>
      <c r="MDY33" s="143"/>
      <c r="MDZ33" s="143"/>
      <c r="MEA33" s="143"/>
      <c r="MEB33" s="143"/>
      <c r="MEC33" s="143"/>
      <c r="MED33" s="143"/>
      <c r="MEE33" s="143"/>
      <c r="MEF33" s="143"/>
      <c r="MEG33" s="143"/>
      <c r="MEH33" s="143"/>
      <c r="MEI33" s="143"/>
      <c r="MEJ33" s="143"/>
      <c r="MEK33" s="143"/>
      <c r="MEL33" s="143"/>
      <c r="MEM33" s="143"/>
      <c r="MEN33" s="143"/>
      <c r="MEO33" s="143"/>
      <c r="MEP33" s="143"/>
      <c r="MEQ33" s="143"/>
      <c r="MER33" s="143"/>
      <c r="MES33" s="143"/>
      <c r="MET33" s="143"/>
      <c r="MEU33" s="143"/>
      <c r="MEV33" s="143"/>
      <c r="MEW33" s="143"/>
      <c r="MEX33" s="143"/>
      <c r="MEY33" s="143"/>
      <c r="MEZ33" s="143"/>
      <c r="MFA33" s="143"/>
      <c r="MFB33" s="143"/>
      <c r="MFC33" s="143"/>
      <c r="MFD33" s="143"/>
      <c r="MFE33" s="143"/>
      <c r="MFF33" s="143"/>
      <c r="MFG33" s="143"/>
      <c r="MFH33" s="143"/>
      <c r="MFI33" s="143"/>
      <c r="MFJ33" s="143"/>
      <c r="MFK33" s="143"/>
      <c r="MFL33" s="143"/>
      <c r="MFM33" s="143"/>
      <c r="MFN33" s="143"/>
      <c r="MFO33" s="143"/>
      <c r="MFP33" s="143"/>
      <c r="MFQ33" s="143"/>
      <c r="MFR33" s="143"/>
      <c r="MFS33" s="143"/>
      <c r="MFT33" s="143"/>
      <c r="MFU33" s="143"/>
      <c r="MFV33" s="143"/>
      <c r="MFW33" s="143"/>
      <c r="MFX33" s="143"/>
      <c r="MFY33" s="143"/>
      <c r="MFZ33" s="143"/>
      <c r="MGA33" s="143"/>
      <c r="MGB33" s="143"/>
      <c r="MGC33" s="143"/>
      <c r="MGD33" s="143"/>
      <c r="MGE33" s="143"/>
      <c r="MGF33" s="143"/>
      <c r="MGG33" s="143"/>
      <c r="MGH33" s="143"/>
      <c r="MGI33" s="143"/>
      <c r="MGJ33" s="143"/>
      <c r="MGK33" s="143"/>
      <c r="MGL33" s="143"/>
      <c r="MGM33" s="143"/>
      <c r="MGN33" s="143"/>
      <c r="MGO33" s="143"/>
      <c r="MGP33" s="143"/>
      <c r="MGQ33" s="143"/>
      <c r="MGR33" s="143"/>
      <c r="MGS33" s="143"/>
      <c r="MGT33" s="143"/>
      <c r="MGU33" s="143"/>
      <c r="MGV33" s="143"/>
      <c r="MGW33" s="143"/>
      <c r="MGX33" s="143"/>
      <c r="MGY33" s="143"/>
      <c r="MGZ33" s="143"/>
      <c r="MHA33" s="143"/>
      <c r="MHB33" s="143"/>
      <c r="MHC33" s="143"/>
      <c r="MHD33" s="143"/>
      <c r="MHE33" s="143"/>
      <c r="MHF33" s="143"/>
      <c r="MHG33" s="143"/>
      <c r="MHH33" s="143"/>
      <c r="MHI33" s="143"/>
      <c r="MHJ33" s="143"/>
      <c r="MHK33" s="143"/>
      <c r="MHL33" s="143"/>
      <c r="MHM33" s="143"/>
      <c r="MHN33" s="143"/>
      <c r="MHO33" s="143"/>
      <c r="MHP33" s="143"/>
      <c r="MHQ33" s="143"/>
      <c r="MHR33" s="143"/>
      <c r="MHS33" s="143"/>
      <c r="MHT33" s="143"/>
      <c r="MHU33" s="143"/>
      <c r="MHV33" s="143"/>
      <c r="MHW33" s="143"/>
      <c r="MHX33" s="143"/>
      <c r="MHY33" s="143"/>
      <c r="MHZ33" s="143"/>
      <c r="MIA33" s="143"/>
      <c r="MIB33" s="143"/>
      <c r="MIC33" s="143"/>
      <c r="MID33" s="143"/>
      <c r="MIE33" s="143"/>
      <c r="MIF33" s="143"/>
      <c r="MIG33" s="143"/>
      <c r="MIH33" s="143"/>
      <c r="MII33" s="143"/>
      <c r="MIJ33" s="143"/>
      <c r="MIK33" s="143"/>
      <c r="MIL33" s="143"/>
      <c r="MIM33" s="143"/>
      <c r="MIN33" s="143"/>
      <c r="MIO33" s="143"/>
      <c r="MIP33" s="143"/>
      <c r="MIQ33" s="143"/>
      <c r="MIR33" s="143"/>
      <c r="MIS33" s="143"/>
      <c r="MIT33" s="143"/>
      <c r="MIU33" s="143"/>
      <c r="MIV33" s="143"/>
      <c r="MIW33" s="143"/>
      <c r="MIX33" s="143"/>
      <c r="MIY33" s="143"/>
      <c r="MIZ33" s="143"/>
      <c r="MJA33" s="143"/>
      <c r="MJB33" s="143"/>
      <c r="MJC33" s="143"/>
      <c r="MJD33" s="143"/>
      <c r="MJE33" s="143"/>
      <c r="MJF33" s="143"/>
      <c r="MJG33" s="143"/>
      <c r="MJH33" s="143"/>
      <c r="MJI33" s="143"/>
      <c r="MJJ33" s="143"/>
      <c r="MJK33" s="143"/>
      <c r="MJL33" s="143"/>
      <c r="MJM33" s="143"/>
      <c r="MJN33" s="143"/>
      <c r="MJO33" s="143"/>
      <c r="MJP33" s="143"/>
      <c r="MJQ33" s="143"/>
      <c r="MJR33" s="143"/>
      <c r="MJS33" s="143"/>
      <c r="MJT33" s="143"/>
      <c r="MJU33" s="143"/>
      <c r="MJV33" s="143"/>
      <c r="MJW33" s="143"/>
      <c r="MJX33" s="143"/>
      <c r="MJY33" s="143"/>
      <c r="MJZ33" s="143"/>
      <c r="MKA33" s="143"/>
      <c r="MKB33" s="143"/>
      <c r="MKC33" s="143"/>
      <c r="MKD33" s="143"/>
      <c r="MKE33" s="143"/>
      <c r="MKF33" s="143"/>
      <c r="MKG33" s="143"/>
      <c r="MKH33" s="143"/>
      <c r="MKI33" s="143"/>
      <c r="MKJ33" s="143"/>
      <c r="MKK33" s="143"/>
      <c r="MKL33" s="143"/>
      <c r="MKM33" s="143"/>
      <c r="MKN33" s="143"/>
      <c r="MKO33" s="143"/>
      <c r="MKP33" s="143"/>
      <c r="MKQ33" s="143"/>
      <c r="MKR33" s="143"/>
      <c r="MKS33" s="143"/>
      <c r="MKT33" s="143"/>
      <c r="MKU33" s="143"/>
      <c r="MKV33" s="143"/>
      <c r="MKW33" s="143"/>
      <c r="MKX33" s="143"/>
      <c r="MKY33" s="143"/>
      <c r="MKZ33" s="143"/>
      <c r="MLA33" s="143"/>
      <c r="MLB33" s="143"/>
      <c r="MLC33" s="143"/>
      <c r="MLD33" s="143"/>
      <c r="MLE33" s="143"/>
      <c r="MLF33" s="143"/>
      <c r="MLG33" s="143"/>
      <c r="MLH33" s="143"/>
      <c r="MLI33" s="143"/>
      <c r="MLJ33" s="143"/>
      <c r="MLK33" s="143"/>
      <c r="MLL33" s="143"/>
      <c r="MLM33" s="143"/>
      <c r="MLN33" s="143"/>
      <c r="MLO33" s="143"/>
      <c r="MLP33" s="143"/>
      <c r="MLQ33" s="143"/>
      <c r="MLR33" s="143"/>
      <c r="MLS33" s="143"/>
      <c r="MLT33" s="143"/>
      <c r="MLU33" s="143"/>
      <c r="MLV33" s="143"/>
      <c r="MLW33" s="143"/>
      <c r="MLX33" s="143"/>
      <c r="MLY33" s="143"/>
      <c r="MLZ33" s="143"/>
      <c r="MMA33" s="143"/>
      <c r="MMB33" s="143"/>
      <c r="MMC33" s="143"/>
      <c r="MMD33" s="143"/>
      <c r="MME33" s="143"/>
      <c r="MMF33" s="143"/>
      <c r="MMG33" s="143"/>
      <c r="MMH33" s="143"/>
      <c r="MMI33" s="143"/>
      <c r="MMJ33" s="143"/>
      <c r="MMK33" s="143"/>
      <c r="MML33" s="143"/>
      <c r="MMM33" s="143"/>
      <c r="MMN33" s="143"/>
      <c r="MMO33" s="143"/>
      <c r="MMP33" s="143"/>
      <c r="MMQ33" s="143"/>
      <c r="MMR33" s="143"/>
      <c r="MMS33" s="143"/>
      <c r="MMT33" s="143"/>
      <c r="MMU33" s="143"/>
      <c r="MMV33" s="143"/>
      <c r="MMW33" s="143"/>
      <c r="MMX33" s="143"/>
      <c r="MMY33" s="143"/>
      <c r="MMZ33" s="143"/>
      <c r="MNA33" s="143"/>
      <c r="MNB33" s="143"/>
      <c r="MNC33" s="143"/>
      <c r="MND33" s="143"/>
      <c r="MNE33" s="143"/>
      <c r="MNF33" s="143"/>
      <c r="MNG33" s="143"/>
      <c r="MNH33" s="143"/>
      <c r="MNI33" s="143"/>
      <c r="MNJ33" s="143"/>
      <c r="MNK33" s="143"/>
      <c r="MNL33" s="143"/>
      <c r="MNM33" s="143"/>
      <c r="MNN33" s="143"/>
      <c r="MNO33" s="143"/>
      <c r="MNP33" s="143"/>
      <c r="MNQ33" s="143"/>
      <c r="MNR33" s="143"/>
      <c r="MNS33" s="143"/>
      <c r="MNT33" s="143"/>
      <c r="MNU33" s="143"/>
      <c r="MNV33" s="143"/>
      <c r="MNW33" s="143"/>
      <c r="MNX33" s="143"/>
      <c r="MNY33" s="143"/>
      <c r="MNZ33" s="143"/>
      <c r="MOA33" s="143"/>
      <c r="MOB33" s="143"/>
      <c r="MOC33" s="143"/>
      <c r="MOD33" s="143"/>
      <c r="MOE33" s="143"/>
      <c r="MOF33" s="143"/>
      <c r="MOG33" s="143"/>
      <c r="MOH33" s="143"/>
      <c r="MOI33" s="143"/>
      <c r="MOJ33" s="143"/>
      <c r="MOK33" s="143"/>
      <c r="MOL33" s="143"/>
      <c r="MOM33" s="143"/>
      <c r="MON33" s="143"/>
      <c r="MOO33" s="143"/>
      <c r="MOP33" s="143"/>
      <c r="MOQ33" s="143"/>
      <c r="MOR33" s="143"/>
      <c r="MOS33" s="143"/>
      <c r="MOT33" s="143"/>
      <c r="MOU33" s="143"/>
      <c r="MOV33" s="143"/>
      <c r="MOW33" s="143"/>
      <c r="MOX33" s="143"/>
      <c r="MOY33" s="143"/>
      <c r="MOZ33" s="143"/>
      <c r="MPA33" s="143"/>
      <c r="MPB33" s="143"/>
      <c r="MPC33" s="143"/>
      <c r="MPD33" s="143"/>
      <c r="MPE33" s="143"/>
      <c r="MPF33" s="143"/>
      <c r="MPG33" s="143"/>
      <c r="MPH33" s="143"/>
      <c r="MPI33" s="143"/>
      <c r="MPJ33" s="143"/>
      <c r="MPK33" s="143"/>
      <c r="MPL33" s="143"/>
      <c r="MPM33" s="143"/>
      <c r="MPN33" s="143"/>
      <c r="MPO33" s="143"/>
      <c r="MPP33" s="143"/>
      <c r="MPQ33" s="143"/>
      <c r="MPR33" s="143"/>
      <c r="MPS33" s="143"/>
      <c r="MPT33" s="143"/>
      <c r="MPU33" s="143"/>
      <c r="MPV33" s="143"/>
      <c r="MPW33" s="143"/>
      <c r="MPX33" s="143"/>
      <c r="MPY33" s="143"/>
      <c r="MPZ33" s="143"/>
      <c r="MQA33" s="143"/>
      <c r="MQB33" s="143"/>
      <c r="MQC33" s="143"/>
      <c r="MQD33" s="143"/>
      <c r="MQE33" s="143"/>
      <c r="MQF33" s="143"/>
      <c r="MQG33" s="143"/>
      <c r="MQH33" s="143"/>
      <c r="MQI33" s="143"/>
      <c r="MQJ33" s="143"/>
      <c r="MQK33" s="143"/>
      <c r="MQL33" s="143"/>
      <c r="MQM33" s="143"/>
      <c r="MQN33" s="143"/>
      <c r="MQO33" s="143"/>
      <c r="MQP33" s="143"/>
      <c r="MQQ33" s="143"/>
      <c r="MQR33" s="143"/>
      <c r="MQS33" s="143"/>
      <c r="MQT33" s="143"/>
      <c r="MQU33" s="143"/>
      <c r="MQV33" s="143"/>
      <c r="MQW33" s="143"/>
      <c r="MQX33" s="143"/>
      <c r="MQY33" s="143"/>
      <c r="MQZ33" s="143"/>
      <c r="MRA33" s="143"/>
      <c r="MRB33" s="143"/>
      <c r="MRC33" s="143"/>
      <c r="MRD33" s="143"/>
      <c r="MRE33" s="143"/>
      <c r="MRF33" s="143"/>
      <c r="MRG33" s="143"/>
      <c r="MRH33" s="143"/>
      <c r="MRI33" s="143"/>
      <c r="MRJ33" s="143"/>
      <c r="MRK33" s="143"/>
      <c r="MRL33" s="143"/>
      <c r="MRM33" s="143"/>
      <c r="MRN33" s="143"/>
      <c r="MRO33" s="143"/>
      <c r="MRP33" s="143"/>
      <c r="MRQ33" s="143"/>
      <c r="MRR33" s="143"/>
      <c r="MRS33" s="143"/>
      <c r="MRT33" s="143"/>
      <c r="MRU33" s="143"/>
      <c r="MRV33" s="143"/>
      <c r="MRW33" s="143"/>
      <c r="MRX33" s="143"/>
      <c r="MRY33" s="143"/>
      <c r="MRZ33" s="143"/>
      <c r="MSA33" s="143"/>
      <c r="MSB33" s="143"/>
      <c r="MSC33" s="143"/>
      <c r="MSD33" s="143"/>
      <c r="MSE33" s="143"/>
      <c r="MSF33" s="143"/>
      <c r="MSG33" s="143"/>
      <c r="MSH33" s="143"/>
      <c r="MSI33" s="143"/>
      <c r="MSJ33" s="143"/>
      <c r="MSK33" s="143"/>
      <c r="MSL33" s="143"/>
      <c r="MSM33" s="143"/>
      <c r="MSN33" s="143"/>
      <c r="MSO33" s="143"/>
      <c r="MSP33" s="143"/>
      <c r="MSQ33" s="143"/>
      <c r="MSR33" s="143"/>
      <c r="MSS33" s="143"/>
      <c r="MST33" s="143"/>
      <c r="MSU33" s="143"/>
      <c r="MSV33" s="143"/>
      <c r="MSW33" s="143"/>
      <c r="MSX33" s="143"/>
      <c r="MSY33" s="143"/>
      <c r="MSZ33" s="143"/>
      <c r="MTA33" s="143"/>
      <c r="MTB33" s="143"/>
      <c r="MTC33" s="143"/>
      <c r="MTD33" s="143"/>
      <c r="MTE33" s="143"/>
      <c r="MTF33" s="143"/>
      <c r="MTG33" s="143"/>
      <c r="MTH33" s="143"/>
      <c r="MTI33" s="143"/>
      <c r="MTJ33" s="143"/>
      <c r="MTK33" s="143"/>
      <c r="MTL33" s="143"/>
      <c r="MTM33" s="143"/>
      <c r="MTN33" s="143"/>
      <c r="MTO33" s="143"/>
      <c r="MTP33" s="143"/>
      <c r="MTQ33" s="143"/>
      <c r="MTR33" s="143"/>
      <c r="MTS33" s="143"/>
      <c r="MTT33" s="143"/>
      <c r="MTU33" s="143"/>
      <c r="MTV33" s="143"/>
      <c r="MTW33" s="143"/>
      <c r="MTX33" s="143"/>
      <c r="MTY33" s="143"/>
      <c r="MTZ33" s="143"/>
      <c r="MUA33" s="143"/>
      <c r="MUB33" s="143"/>
      <c r="MUC33" s="143"/>
      <c r="MUD33" s="143"/>
      <c r="MUE33" s="143"/>
      <c r="MUF33" s="143"/>
      <c r="MUG33" s="143"/>
      <c r="MUH33" s="143"/>
      <c r="MUI33" s="143"/>
      <c r="MUJ33" s="143"/>
      <c r="MUK33" s="143"/>
      <c r="MUL33" s="143"/>
      <c r="MUM33" s="143"/>
      <c r="MUN33" s="143"/>
      <c r="MUO33" s="143"/>
      <c r="MUP33" s="143"/>
      <c r="MUQ33" s="143"/>
      <c r="MUR33" s="143"/>
      <c r="MUS33" s="143"/>
      <c r="MUT33" s="143"/>
      <c r="MUU33" s="143"/>
      <c r="MUV33" s="143"/>
      <c r="MUW33" s="143"/>
      <c r="MUX33" s="143"/>
      <c r="MUY33" s="143"/>
      <c r="MUZ33" s="143"/>
      <c r="MVA33" s="143"/>
      <c r="MVB33" s="143"/>
      <c r="MVC33" s="143"/>
      <c r="MVD33" s="143"/>
      <c r="MVE33" s="143"/>
      <c r="MVF33" s="143"/>
      <c r="MVG33" s="143"/>
      <c r="MVH33" s="143"/>
      <c r="MVI33" s="143"/>
      <c r="MVJ33" s="143"/>
      <c r="MVK33" s="143"/>
      <c r="MVL33" s="143"/>
      <c r="MVM33" s="143"/>
      <c r="MVN33" s="143"/>
      <c r="MVO33" s="143"/>
      <c r="MVP33" s="143"/>
      <c r="MVQ33" s="143"/>
      <c r="MVR33" s="143"/>
      <c r="MVS33" s="143"/>
      <c r="MVT33" s="143"/>
      <c r="MVU33" s="143"/>
      <c r="MVV33" s="143"/>
      <c r="MVW33" s="143"/>
      <c r="MVX33" s="143"/>
      <c r="MVY33" s="143"/>
      <c r="MVZ33" s="143"/>
      <c r="MWA33" s="143"/>
      <c r="MWB33" s="143"/>
      <c r="MWC33" s="143"/>
      <c r="MWD33" s="143"/>
      <c r="MWE33" s="143"/>
      <c r="MWF33" s="143"/>
      <c r="MWG33" s="143"/>
      <c r="MWH33" s="143"/>
      <c r="MWI33" s="143"/>
      <c r="MWJ33" s="143"/>
      <c r="MWK33" s="143"/>
      <c r="MWL33" s="143"/>
      <c r="MWM33" s="143"/>
      <c r="MWN33" s="143"/>
      <c r="MWO33" s="143"/>
      <c r="MWP33" s="143"/>
      <c r="MWQ33" s="143"/>
      <c r="MWR33" s="143"/>
      <c r="MWS33" s="143"/>
      <c r="MWT33" s="143"/>
      <c r="MWU33" s="143"/>
      <c r="MWV33" s="143"/>
      <c r="MWW33" s="143"/>
      <c r="MWX33" s="143"/>
      <c r="MWY33" s="143"/>
      <c r="MWZ33" s="143"/>
      <c r="MXA33" s="143"/>
      <c r="MXB33" s="143"/>
      <c r="MXC33" s="143"/>
      <c r="MXD33" s="143"/>
      <c r="MXE33" s="143"/>
      <c r="MXF33" s="143"/>
      <c r="MXG33" s="143"/>
      <c r="MXH33" s="143"/>
      <c r="MXI33" s="143"/>
      <c r="MXJ33" s="143"/>
      <c r="MXK33" s="143"/>
      <c r="MXL33" s="143"/>
      <c r="MXM33" s="143"/>
      <c r="MXN33" s="143"/>
      <c r="MXO33" s="143"/>
      <c r="MXP33" s="143"/>
      <c r="MXQ33" s="143"/>
      <c r="MXR33" s="143"/>
      <c r="MXS33" s="143"/>
      <c r="MXT33" s="143"/>
      <c r="MXU33" s="143"/>
      <c r="MXV33" s="143"/>
      <c r="MXW33" s="143"/>
      <c r="MXX33" s="143"/>
      <c r="MXY33" s="143"/>
      <c r="MXZ33" s="143"/>
      <c r="MYA33" s="143"/>
      <c r="MYB33" s="143"/>
      <c r="MYC33" s="143"/>
      <c r="MYD33" s="143"/>
      <c r="MYE33" s="143"/>
      <c r="MYF33" s="143"/>
      <c r="MYG33" s="143"/>
      <c r="MYH33" s="143"/>
      <c r="MYI33" s="143"/>
      <c r="MYJ33" s="143"/>
      <c r="MYK33" s="143"/>
      <c r="MYL33" s="143"/>
      <c r="MYM33" s="143"/>
      <c r="MYN33" s="143"/>
      <c r="MYO33" s="143"/>
      <c r="MYP33" s="143"/>
      <c r="MYQ33" s="143"/>
      <c r="MYR33" s="143"/>
      <c r="MYS33" s="143"/>
      <c r="MYT33" s="143"/>
      <c r="MYU33" s="143"/>
      <c r="MYV33" s="143"/>
      <c r="MYW33" s="143"/>
      <c r="MYX33" s="143"/>
      <c r="MYY33" s="143"/>
      <c r="MYZ33" s="143"/>
      <c r="MZA33" s="143"/>
      <c r="MZB33" s="143"/>
      <c r="MZC33" s="143"/>
      <c r="MZD33" s="143"/>
      <c r="MZE33" s="143"/>
      <c r="MZF33" s="143"/>
      <c r="MZG33" s="143"/>
      <c r="MZH33" s="143"/>
      <c r="MZI33" s="143"/>
      <c r="MZJ33" s="143"/>
      <c r="MZK33" s="143"/>
      <c r="MZL33" s="143"/>
      <c r="MZM33" s="143"/>
      <c r="MZN33" s="143"/>
      <c r="MZO33" s="143"/>
      <c r="MZP33" s="143"/>
      <c r="MZQ33" s="143"/>
      <c r="MZR33" s="143"/>
      <c r="MZS33" s="143"/>
      <c r="MZT33" s="143"/>
      <c r="MZU33" s="143"/>
      <c r="MZV33" s="143"/>
      <c r="MZW33" s="143"/>
      <c r="MZX33" s="143"/>
      <c r="MZY33" s="143"/>
      <c r="MZZ33" s="143"/>
      <c r="NAA33" s="143"/>
      <c r="NAB33" s="143"/>
      <c r="NAC33" s="143"/>
      <c r="NAD33" s="143"/>
      <c r="NAE33" s="143"/>
      <c r="NAF33" s="143"/>
      <c r="NAG33" s="143"/>
      <c r="NAH33" s="143"/>
      <c r="NAI33" s="143"/>
      <c r="NAJ33" s="143"/>
      <c r="NAK33" s="143"/>
      <c r="NAL33" s="143"/>
      <c r="NAM33" s="143"/>
      <c r="NAN33" s="143"/>
      <c r="NAO33" s="143"/>
      <c r="NAP33" s="143"/>
      <c r="NAQ33" s="143"/>
      <c r="NAR33" s="143"/>
      <c r="NAS33" s="143"/>
      <c r="NAT33" s="143"/>
      <c r="NAU33" s="143"/>
      <c r="NAV33" s="143"/>
      <c r="NAW33" s="143"/>
      <c r="NAX33" s="143"/>
      <c r="NAY33" s="143"/>
      <c r="NAZ33" s="143"/>
      <c r="NBA33" s="143"/>
      <c r="NBB33" s="143"/>
      <c r="NBC33" s="143"/>
      <c r="NBD33" s="143"/>
      <c r="NBE33" s="143"/>
      <c r="NBF33" s="143"/>
      <c r="NBG33" s="143"/>
      <c r="NBH33" s="143"/>
      <c r="NBI33" s="143"/>
      <c r="NBJ33" s="143"/>
      <c r="NBK33" s="143"/>
      <c r="NBL33" s="143"/>
      <c r="NBM33" s="143"/>
      <c r="NBN33" s="143"/>
      <c r="NBO33" s="143"/>
      <c r="NBP33" s="143"/>
      <c r="NBQ33" s="143"/>
      <c r="NBR33" s="143"/>
      <c r="NBS33" s="143"/>
      <c r="NBT33" s="143"/>
      <c r="NBU33" s="143"/>
      <c r="NBV33" s="143"/>
      <c r="NBW33" s="143"/>
      <c r="NBX33" s="143"/>
      <c r="NBY33" s="143"/>
      <c r="NBZ33" s="143"/>
      <c r="NCA33" s="143"/>
      <c r="NCB33" s="143"/>
      <c r="NCC33" s="143"/>
      <c r="NCD33" s="143"/>
      <c r="NCE33" s="143"/>
      <c r="NCF33" s="143"/>
      <c r="NCG33" s="143"/>
      <c r="NCH33" s="143"/>
      <c r="NCI33" s="143"/>
      <c r="NCJ33" s="143"/>
      <c r="NCK33" s="143"/>
      <c r="NCL33" s="143"/>
      <c r="NCM33" s="143"/>
      <c r="NCN33" s="143"/>
      <c r="NCO33" s="143"/>
      <c r="NCP33" s="143"/>
      <c r="NCQ33" s="143"/>
      <c r="NCR33" s="143"/>
      <c r="NCS33" s="143"/>
      <c r="NCT33" s="143"/>
      <c r="NCU33" s="143"/>
      <c r="NCV33" s="143"/>
      <c r="NCW33" s="143"/>
      <c r="NCX33" s="143"/>
      <c r="NCY33" s="143"/>
      <c r="NCZ33" s="143"/>
      <c r="NDA33" s="143"/>
      <c r="NDB33" s="143"/>
      <c r="NDC33" s="143"/>
      <c r="NDD33" s="143"/>
      <c r="NDE33" s="143"/>
      <c r="NDF33" s="143"/>
      <c r="NDG33" s="143"/>
      <c r="NDH33" s="143"/>
      <c r="NDI33" s="143"/>
      <c r="NDJ33" s="143"/>
      <c r="NDK33" s="143"/>
      <c r="NDL33" s="143"/>
      <c r="NDM33" s="143"/>
      <c r="NDN33" s="143"/>
      <c r="NDO33" s="143"/>
      <c r="NDP33" s="143"/>
      <c r="NDQ33" s="143"/>
      <c r="NDR33" s="143"/>
      <c r="NDS33" s="143"/>
      <c r="NDT33" s="143"/>
      <c r="NDU33" s="143"/>
      <c r="NDV33" s="143"/>
      <c r="NDW33" s="143"/>
      <c r="NDX33" s="143"/>
      <c r="NDY33" s="143"/>
      <c r="NDZ33" s="143"/>
      <c r="NEA33" s="143"/>
      <c r="NEB33" s="143"/>
      <c r="NEC33" s="143"/>
      <c r="NED33" s="143"/>
      <c r="NEE33" s="143"/>
      <c r="NEF33" s="143"/>
      <c r="NEG33" s="143"/>
      <c r="NEH33" s="143"/>
      <c r="NEI33" s="143"/>
      <c r="NEJ33" s="143"/>
      <c r="NEK33" s="143"/>
      <c r="NEL33" s="143"/>
      <c r="NEM33" s="143"/>
      <c r="NEN33" s="143"/>
      <c r="NEO33" s="143"/>
      <c r="NEP33" s="143"/>
      <c r="NEQ33" s="143"/>
      <c r="NER33" s="143"/>
      <c r="NES33" s="143"/>
      <c r="NET33" s="143"/>
      <c r="NEU33" s="143"/>
      <c r="NEV33" s="143"/>
      <c r="NEW33" s="143"/>
      <c r="NEX33" s="143"/>
      <c r="NEY33" s="143"/>
      <c r="NEZ33" s="143"/>
      <c r="NFA33" s="143"/>
      <c r="NFB33" s="143"/>
      <c r="NFC33" s="143"/>
      <c r="NFD33" s="143"/>
      <c r="NFE33" s="143"/>
      <c r="NFF33" s="143"/>
      <c r="NFG33" s="143"/>
      <c r="NFH33" s="143"/>
      <c r="NFI33" s="143"/>
      <c r="NFJ33" s="143"/>
      <c r="NFK33" s="143"/>
      <c r="NFL33" s="143"/>
      <c r="NFM33" s="143"/>
      <c r="NFN33" s="143"/>
      <c r="NFO33" s="143"/>
      <c r="NFP33" s="143"/>
      <c r="NFQ33" s="143"/>
      <c r="NFR33" s="143"/>
      <c r="NFS33" s="143"/>
      <c r="NFT33" s="143"/>
      <c r="NFU33" s="143"/>
      <c r="NFV33" s="143"/>
      <c r="NFW33" s="143"/>
      <c r="NFX33" s="143"/>
      <c r="NFY33" s="143"/>
      <c r="NFZ33" s="143"/>
      <c r="NGA33" s="143"/>
      <c r="NGB33" s="143"/>
      <c r="NGC33" s="143"/>
      <c r="NGD33" s="143"/>
      <c r="NGE33" s="143"/>
      <c r="NGF33" s="143"/>
      <c r="NGG33" s="143"/>
      <c r="NGH33" s="143"/>
      <c r="NGI33" s="143"/>
      <c r="NGJ33" s="143"/>
      <c r="NGK33" s="143"/>
      <c r="NGL33" s="143"/>
      <c r="NGM33" s="143"/>
      <c r="NGN33" s="143"/>
      <c r="NGO33" s="143"/>
      <c r="NGP33" s="143"/>
      <c r="NGQ33" s="143"/>
      <c r="NGR33" s="143"/>
      <c r="NGS33" s="143"/>
      <c r="NGT33" s="143"/>
      <c r="NGU33" s="143"/>
      <c r="NGV33" s="143"/>
      <c r="NGW33" s="143"/>
      <c r="NGX33" s="143"/>
      <c r="NGY33" s="143"/>
      <c r="NGZ33" s="143"/>
      <c r="NHA33" s="143"/>
      <c r="NHB33" s="143"/>
      <c r="NHC33" s="143"/>
      <c r="NHD33" s="143"/>
      <c r="NHE33" s="143"/>
      <c r="NHF33" s="143"/>
      <c r="NHG33" s="143"/>
      <c r="NHH33" s="143"/>
      <c r="NHI33" s="143"/>
      <c r="NHJ33" s="143"/>
      <c r="NHK33" s="143"/>
      <c r="NHL33" s="143"/>
      <c r="NHM33" s="143"/>
      <c r="NHN33" s="143"/>
      <c r="NHO33" s="143"/>
      <c r="NHP33" s="143"/>
      <c r="NHQ33" s="143"/>
      <c r="NHR33" s="143"/>
      <c r="NHS33" s="143"/>
      <c r="NHT33" s="143"/>
      <c r="NHU33" s="143"/>
      <c r="NHV33" s="143"/>
      <c r="NHW33" s="143"/>
      <c r="NHX33" s="143"/>
      <c r="NHY33" s="143"/>
      <c r="NHZ33" s="143"/>
      <c r="NIA33" s="143"/>
      <c r="NIB33" s="143"/>
      <c r="NIC33" s="143"/>
      <c r="NID33" s="143"/>
      <c r="NIE33" s="143"/>
      <c r="NIF33" s="143"/>
      <c r="NIG33" s="143"/>
      <c r="NIH33" s="143"/>
      <c r="NII33" s="143"/>
      <c r="NIJ33" s="143"/>
      <c r="NIK33" s="143"/>
      <c r="NIL33" s="143"/>
      <c r="NIM33" s="143"/>
      <c r="NIN33" s="143"/>
      <c r="NIO33" s="143"/>
      <c r="NIP33" s="143"/>
      <c r="NIQ33" s="143"/>
      <c r="NIR33" s="143"/>
      <c r="NIS33" s="143"/>
      <c r="NIT33" s="143"/>
      <c r="NIU33" s="143"/>
      <c r="NIV33" s="143"/>
      <c r="NIW33" s="143"/>
      <c r="NIX33" s="143"/>
      <c r="NIY33" s="143"/>
      <c r="NIZ33" s="143"/>
      <c r="NJA33" s="143"/>
      <c r="NJB33" s="143"/>
      <c r="NJC33" s="143"/>
      <c r="NJD33" s="143"/>
      <c r="NJE33" s="143"/>
      <c r="NJF33" s="143"/>
      <c r="NJG33" s="143"/>
      <c r="NJH33" s="143"/>
      <c r="NJI33" s="143"/>
      <c r="NJJ33" s="143"/>
      <c r="NJK33" s="143"/>
      <c r="NJL33" s="143"/>
      <c r="NJM33" s="143"/>
      <c r="NJN33" s="143"/>
      <c r="NJO33" s="143"/>
      <c r="NJP33" s="143"/>
      <c r="NJQ33" s="143"/>
      <c r="NJR33" s="143"/>
      <c r="NJS33" s="143"/>
      <c r="NJT33" s="143"/>
      <c r="NJU33" s="143"/>
      <c r="NJV33" s="143"/>
      <c r="NJW33" s="143"/>
      <c r="NJX33" s="143"/>
      <c r="NJY33" s="143"/>
      <c r="NJZ33" s="143"/>
      <c r="NKA33" s="143"/>
      <c r="NKB33" s="143"/>
      <c r="NKC33" s="143"/>
      <c r="NKD33" s="143"/>
      <c r="NKE33" s="143"/>
      <c r="NKF33" s="143"/>
      <c r="NKG33" s="143"/>
      <c r="NKH33" s="143"/>
      <c r="NKI33" s="143"/>
      <c r="NKJ33" s="143"/>
      <c r="NKK33" s="143"/>
      <c r="NKL33" s="143"/>
      <c r="NKM33" s="143"/>
      <c r="NKN33" s="143"/>
      <c r="NKO33" s="143"/>
      <c r="NKP33" s="143"/>
      <c r="NKQ33" s="143"/>
      <c r="NKR33" s="143"/>
      <c r="NKS33" s="143"/>
      <c r="NKT33" s="143"/>
      <c r="NKU33" s="143"/>
      <c r="NKV33" s="143"/>
      <c r="NKW33" s="143"/>
      <c r="NKX33" s="143"/>
      <c r="NKY33" s="143"/>
      <c r="NKZ33" s="143"/>
      <c r="NLA33" s="143"/>
      <c r="NLB33" s="143"/>
      <c r="NLC33" s="143"/>
      <c r="NLD33" s="143"/>
      <c r="NLE33" s="143"/>
      <c r="NLF33" s="143"/>
      <c r="NLG33" s="143"/>
      <c r="NLH33" s="143"/>
      <c r="NLI33" s="143"/>
      <c r="NLJ33" s="143"/>
      <c r="NLK33" s="143"/>
      <c r="NLL33" s="143"/>
      <c r="NLM33" s="143"/>
      <c r="NLN33" s="143"/>
      <c r="NLO33" s="143"/>
      <c r="NLP33" s="143"/>
      <c r="NLQ33" s="143"/>
      <c r="NLR33" s="143"/>
      <c r="NLS33" s="143"/>
      <c r="NLT33" s="143"/>
      <c r="NLU33" s="143"/>
      <c r="NLV33" s="143"/>
      <c r="NLW33" s="143"/>
      <c r="NLX33" s="143"/>
      <c r="NLY33" s="143"/>
      <c r="NLZ33" s="143"/>
      <c r="NMA33" s="143"/>
      <c r="NMB33" s="143"/>
      <c r="NMC33" s="143"/>
      <c r="NMD33" s="143"/>
      <c r="NME33" s="143"/>
      <c r="NMF33" s="143"/>
      <c r="NMG33" s="143"/>
      <c r="NMH33" s="143"/>
      <c r="NMI33" s="143"/>
      <c r="NMJ33" s="143"/>
      <c r="NMK33" s="143"/>
      <c r="NML33" s="143"/>
      <c r="NMM33" s="143"/>
      <c r="NMN33" s="143"/>
      <c r="NMO33" s="143"/>
      <c r="NMP33" s="143"/>
      <c r="NMQ33" s="143"/>
      <c r="NMR33" s="143"/>
      <c r="NMS33" s="143"/>
      <c r="NMT33" s="143"/>
      <c r="NMU33" s="143"/>
      <c r="NMV33" s="143"/>
      <c r="NMW33" s="143"/>
      <c r="NMX33" s="143"/>
      <c r="NMY33" s="143"/>
      <c r="NMZ33" s="143"/>
      <c r="NNA33" s="143"/>
      <c r="NNB33" s="143"/>
      <c r="NNC33" s="143"/>
      <c r="NND33" s="143"/>
      <c r="NNE33" s="143"/>
      <c r="NNF33" s="143"/>
      <c r="NNG33" s="143"/>
      <c r="NNH33" s="143"/>
      <c r="NNI33" s="143"/>
      <c r="NNJ33" s="143"/>
      <c r="NNK33" s="143"/>
      <c r="NNL33" s="143"/>
      <c r="NNM33" s="143"/>
      <c r="NNN33" s="143"/>
      <c r="NNO33" s="143"/>
      <c r="NNP33" s="143"/>
      <c r="NNQ33" s="143"/>
      <c r="NNR33" s="143"/>
      <c r="NNS33" s="143"/>
      <c r="NNT33" s="143"/>
      <c r="NNU33" s="143"/>
      <c r="NNV33" s="143"/>
      <c r="NNW33" s="143"/>
      <c r="NNX33" s="143"/>
      <c r="NNY33" s="143"/>
      <c r="NNZ33" s="143"/>
      <c r="NOA33" s="143"/>
      <c r="NOB33" s="143"/>
      <c r="NOC33" s="143"/>
      <c r="NOD33" s="143"/>
      <c r="NOE33" s="143"/>
      <c r="NOF33" s="143"/>
      <c r="NOG33" s="143"/>
      <c r="NOH33" s="143"/>
      <c r="NOI33" s="143"/>
      <c r="NOJ33" s="143"/>
      <c r="NOK33" s="143"/>
      <c r="NOL33" s="143"/>
      <c r="NOM33" s="143"/>
      <c r="NON33" s="143"/>
      <c r="NOO33" s="143"/>
      <c r="NOP33" s="143"/>
      <c r="NOQ33" s="143"/>
      <c r="NOR33" s="143"/>
      <c r="NOS33" s="143"/>
      <c r="NOT33" s="143"/>
      <c r="NOU33" s="143"/>
      <c r="NOV33" s="143"/>
      <c r="NOW33" s="143"/>
      <c r="NOX33" s="143"/>
      <c r="NOY33" s="143"/>
      <c r="NOZ33" s="143"/>
      <c r="NPA33" s="143"/>
      <c r="NPB33" s="143"/>
      <c r="NPC33" s="143"/>
      <c r="NPD33" s="143"/>
      <c r="NPE33" s="143"/>
      <c r="NPF33" s="143"/>
      <c r="NPG33" s="143"/>
      <c r="NPH33" s="143"/>
      <c r="NPI33" s="143"/>
      <c r="NPJ33" s="143"/>
      <c r="NPK33" s="143"/>
      <c r="NPL33" s="143"/>
      <c r="NPM33" s="143"/>
      <c r="NPN33" s="143"/>
      <c r="NPO33" s="143"/>
      <c r="NPP33" s="143"/>
      <c r="NPQ33" s="143"/>
      <c r="NPR33" s="143"/>
      <c r="NPS33" s="143"/>
      <c r="NPT33" s="143"/>
      <c r="NPU33" s="143"/>
      <c r="NPV33" s="143"/>
      <c r="NPW33" s="143"/>
      <c r="NPX33" s="143"/>
      <c r="NPY33" s="143"/>
      <c r="NPZ33" s="143"/>
      <c r="NQA33" s="143"/>
      <c r="NQB33" s="143"/>
      <c r="NQC33" s="143"/>
      <c r="NQD33" s="143"/>
      <c r="NQE33" s="143"/>
      <c r="NQF33" s="143"/>
      <c r="NQG33" s="143"/>
      <c r="NQH33" s="143"/>
      <c r="NQI33" s="143"/>
      <c r="NQJ33" s="143"/>
      <c r="NQK33" s="143"/>
      <c r="NQL33" s="143"/>
      <c r="NQM33" s="143"/>
      <c r="NQN33" s="143"/>
      <c r="NQO33" s="143"/>
      <c r="NQP33" s="143"/>
      <c r="NQQ33" s="143"/>
      <c r="NQR33" s="143"/>
      <c r="NQS33" s="143"/>
      <c r="NQT33" s="143"/>
      <c r="NQU33" s="143"/>
      <c r="NQV33" s="143"/>
      <c r="NQW33" s="143"/>
      <c r="NQX33" s="143"/>
      <c r="NQY33" s="143"/>
      <c r="NQZ33" s="143"/>
      <c r="NRA33" s="143"/>
      <c r="NRB33" s="143"/>
      <c r="NRC33" s="143"/>
      <c r="NRD33" s="143"/>
      <c r="NRE33" s="143"/>
      <c r="NRF33" s="143"/>
      <c r="NRG33" s="143"/>
      <c r="NRH33" s="143"/>
      <c r="NRI33" s="143"/>
      <c r="NRJ33" s="143"/>
      <c r="NRK33" s="143"/>
      <c r="NRL33" s="143"/>
      <c r="NRM33" s="143"/>
      <c r="NRN33" s="143"/>
      <c r="NRO33" s="143"/>
      <c r="NRP33" s="143"/>
      <c r="NRQ33" s="143"/>
      <c r="NRR33" s="143"/>
      <c r="NRS33" s="143"/>
      <c r="NRT33" s="143"/>
      <c r="NRU33" s="143"/>
      <c r="NRV33" s="143"/>
      <c r="NRW33" s="143"/>
      <c r="NRX33" s="143"/>
      <c r="NRY33" s="143"/>
      <c r="NRZ33" s="143"/>
      <c r="NSA33" s="143"/>
      <c r="NSB33" s="143"/>
      <c r="NSC33" s="143"/>
      <c r="NSD33" s="143"/>
      <c r="NSE33" s="143"/>
      <c r="NSF33" s="143"/>
      <c r="NSG33" s="143"/>
      <c r="NSH33" s="143"/>
      <c r="NSI33" s="143"/>
      <c r="NSJ33" s="143"/>
      <c r="NSK33" s="143"/>
      <c r="NSL33" s="143"/>
      <c r="NSM33" s="143"/>
      <c r="NSN33" s="143"/>
      <c r="NSO33" s="143"/>
      <c r="NSP33" s="143"/>
      <c r="NSQ33" s="143"/>
      <c r="NSR33" s="143"/>
      <c r="NSS33" s="143"/>
      <c r="NST33" s="143"/>
      <c r="NSU33" s="143"/>
      <c r="NSV33" s="143"/>
      <c r="NSW33" s="143"/>
      <c r="NSX33" s="143"/>
      <c r="NSY33" s="143"/>
      <c r="NSZ33" s="143"/>
      <c r="NTA33" s="143"/>
      <c r="NTB33" s="143"/>
      <c r="NTC33" s="143"/>
      <c r="NTD33" s="143"/>
      <c r="NTE33" s="143"/>
      <c r="NTF33" s="143"/>
      <c r="NTG33" s="143"/>
      <c r="NTH33" s="143"/>
      <c r="NTI33" s="143"/>
      <c r="NTJ33" s="143"/>
      <c r="NTK33" s="143"/>
      <c r="NTL33" s="143"/>
      <c r="NTM33" s="143"/>
      <c r="NTN33" s="143"/>
      <c r="NTO33" s="143"/>
      <c r="NTP33" s="143"/>
      <c r="NTQ33" s="143"/>
      <c r="NTR33" s="143"/>
      <c r="NTS33" s="143"/>
      <c r="NTT33" s="143"/>
      <c r="NTU33" s="143"/>
      <c r="NTV33" s="143"/>
      <c r="NTW33" s="143"/>
      <c r="NTX33" s="143"/>
      <c r="NTY33" s="143"/>
      <c r="NTZ33" s="143"/>
      <c r="NUA33" s="143"/>
      <c r="NUB33" s="143"/>
      <c r="NUC33" s="143"/>
      <c r="NUD33" s="143"/>
      <c r="NUE33" s="143"/>
      <c r="NUF33" s="143"/>
      <c r="NUG33" s="143"/>
      <c r="NUH33" s="143"/>
      <c r="NUI33" s="143"/>
      <c r="NUJ33" s="143"/>
      <c r="NUK33" s="143"/>
      <c r="NUL33" s="143"/>
      <c r="NUM33" s="143"/>
      <c r="NUN33" s="143"/>
      <c r="NUO33" s="143"/>
      <c r="NUP33" s="143"/>
      <c r="NUQ33" s="143"/>
      <c r="NUR33" s="143"/>
      <c r="NUS33" s="143"/>
      <c r="NUT33" s="143"/>
      <c r="NUU33" s="143"/>
      <c r="NUV33" s="143"/>
      <c r="NUW33" s="143"/>
      <c r="NUX33" s="143"/>
      <c r="NUY33" s="143"/>
      <c r="NUZ33" s="143"/>
      <c r="NVA33" s="143"/>
      <c r="NVB33" s="143"/>
      <c r="NVC33" s="143"/>
      <c r="NVD33" s="143"/>
      <c r="NVE33" s="143"/>
      <c r="NVF33" s="143"/>
      <c r="NVG33" s="143"/>
      <c r="NVH33" s="143"/>
      <c r="NVI33" s="143"/>
      <c r="NVJ33" s="143"/>
      <c r="NVK33" s="143"/>
      <c r="NVL33" s="143"/>
      <c r="NVM33" s="143"/>
      <c r="NVN33" s="143"/>
      <c r="NVO33" s="143"/>
      <c r="NVP33" s="143"/>
      <c r="NVQ33" s="143"/>
      <c r="NVR33" s="143"/>
      <c r="NVS33" s="143"/>
      <c r="NVT33" s="143"/>
      <c r="NVU33" s="143"/>
      <c r="NVV33" s="143"/>
      <c r="NVW33" s="143"/>
      <c r="NVX33" s="143"/>
      <c r="NVY33" s="143"/>
      <c r="NVZ33" s="143"/>
      <c r="NWA33" s="143"/>
      <c r="NWB33" s="143"/>
      <c r="NWC33" s="143"/>
      <c r="NWD33" s="143"/>
      <c r="NWE33" s="143"/>
      <c r="NWF33" s="143"/>
      <c r="NWG33" s="143"/>
      <c r="NWH33" s="143"/>
      <c r="NWI33" s="143"/>
      <c r="NWJ33" s="143"/>
      <c r="NWK33" s="143"/>
      <c r="NWL33" s="143"/>
      <c r="NWM33" s="143"/>
      <c r="NWN33" s="143"/>
      <c r="NWO33" s="143"/>
      <c r="NWP33" s="143"/>
      <c r="NWQ33" s="143"/>
      <c r="NWR33" s="143"/>
      <c r="NWS33" s="143"/>
      <c r="NWT33" s="143"/>
      <c r="NWU33" s="143"/>
      <c r="NWV33" s="143"/>
      <c r="NWW33" s="143"/>
      <c r="NWX33" s="143"/>
      <c r="NWY33" s="143"/>
      <c r="NWZ33" s="143"/>
      <c r="NXA33" s="143"/>
      <c r="NXB33" s="143"/>
      <c r="NXC33" s="143"/>
      <c r="NXD33" s="143"/>
      <c r="NXE33" s="143"/>
      <c r="NXF33" s="143"/>
      <c r="NXG33" s="143"/>
      <c r="NXH33" s="143"/>
      <c r="NXI33" s="143"/>
      <c r="NXJ33" s="143"/>
      <c r="NXK33" s="143"/>
      <c r="NXL33" s="143"/>
      <c r="NXM33" s="143"/>
      <c r="NXN33" s="143"/>
      <c r="NXO33" s="143"/>
      <c r="NXP33" s="143"/>
      <c r="NXQ33" s="143"/>
      <c r="NXR33" s="143"/>
      <c r="NXS33" s="143"/>
      <c r="NXT33" s="143"/>
      <c r="NXU33" s="143"/>
      <c r="NXV33" s="143"/>
      <c r="NXW33" s="143"/>
      <c r="NXX33" s="143"/>
      <c r="NXY33" s="143"/>
      <c r="NXZ33" s="143"/>
      <c r="NYA33" s="143"/>
      <c r="NYB33" s="143"/>
      <c r="NYC33" s="143"/>
      <c r="NYD33" s="143"/>
      <c r="NYE33" s="143"/>
      <c r="NYF33" s="143"/>
      <c r="NYG33" s="143"/>
      <c r="NYH33" s="143"/>
      <c r="NYI33" s="143"/>
      <c r="NYJ33" s="143"/>
      <c r="NYK33" s="143"/>
      <c r="NYL33" s="143"/>
      <c r="NYM33" s="143"/>
      <c r="NYN33" s="143"/>
      <c r="NYO33" s="143"/>
      <c r="NYP33" s="143"/>
      <c r="NYQ33" s="143"/>
      <c r="NYR33" s="143"/>
      <c r="NYS33" s="143"/>
      <c r="NYT33" s="143"/>
      <c r="NYU33" s="143"/>
      <c r="NYV33" s="143"/>
      <c r="NYW33" s="143"/>
      <c r="NYX33" s="143"/>
      <c r="NYY33" s="143"/>
      <c r="NYZ33" s="143"/>
      <c r="NZA33" s="143"/>
      <c r="NZB33" s="143"/>
      <c r="NZC33" s="143"/>
      <c r="NZD33" s="143"/>
      <c r="NZE33" s="143"/>
      <c r="NZF33" s="143"/>
      <c r="NZG33" s="143"/>
      <c r="NZH33" s="143"/>
      <c r="NZI33" s="143"/>
      <c r="NZJ33" s="143"/>
      <c r="NZK33" s="143"/>
      <c r="NZL33" s="143"/>
      <c r="NZM33" s="143"/>
      <c r="NZN33" s="143"/>
      <c r="NZO33" s="143"/>
      <c r="NZP33" s="143"/>
      <c r="NZQ33" s="143"/>
      <c r="NZR33" s="143"/>
      <c r="NZS33" s="143"/>
      <c r="NZT33" s="143"/>
      <c r="NZU33" s="143"/>
      <c r="NZV33" s="143"/>
      <c r="NZW33" s="143"/>
      <c r="NZX33" s="143"/>
      <c r="NZY33" s="143"/>
      <c r="NZZ33" s="143"/>
      <c r="OAA33" s="143"/>
      <c r="OAB33" s="143"/>
      <c r="OAC33" s="143"/>
      <c r="OAD33" s="143"/>
      <c r="OAE33" s="143"/>
      <c r="OAF33" s="143"/>
      <c r="OAG33" s="143"/>
      <c r="OAH33" s="143"/>
      <c r="OAI33" s="143"/>
      <c r="OAJ33" s="143"/>
      <c r="OAK33" s="143"/>
      <c r="OAL33" s="143"/>
      <c r="OAM33" s="143"/>
      <c r="OAN33" s="143"/>
      <c r="OAO33" s="143"/>
      <c r="OAP33" s="143"/>
      <c r="OAQ33" s="143"/>
      <c r="OAR33" s="143"/>
      <c r="OAS33" s="143"/>
      <c r="OAT33" s="143"/>
      <c r="OAU33" s="143"/>
      <c r="OAV33" s="143"/>
      <c r="OAW33" s="143"/>
      <c r="OAX33" s="143"/>
      <c r="OAY33" s="143"/>
      <c r="OAZ33" s="143"/>
      <c r="OBA33" s="143"/>
      <c r="OBB33" s="143"/>
      <c r="OBC33" s="143"/>
      <c r="OBD33" s="143"/>
      <c r="OBE33" s="143"/>
      <c r="OBF33" s="143"/>
      <c r="OBG33" s="143"/>
      <c r="OBH33" s="143"/>
      <c r="OBI33" s="143"/>
      <c r="OBJ33" s="143"/>
      <c r="OBK33" s="143"/>
      <c r="OBL33" s="143"/>
      <c r="OBM33" s="143"/>
      <c r="OBN33" s="143"/>
      <c r="OBO33" s="143"/>
      <c r="OBP33" s="143"/>
      <c r="OBQ33" s="143"/>
      <c r="OBR33" s="143"/>
      <c r="OBS33" s="143"/>
      <c r="OBT33" s="143"/>
      <c r="OBU33" s="143"/>
      <c r="OBV33" s="143"/>
      <c r="OBW33" s="143"/>
      <c r="OBX33" s="143"/>
      <c r="OBY33" s="143"/>
      <c r="OBZ33" s="143"/>
      <c r="OCA33" s="143"/>
      <c r="OCB33" s="143"/>
      <c r="OCC33" s="143"/>
      <c r="OCD33" s="143"/>
      <c r="OCE33" s="143"/>
      <c r="OCF33" s="143"/>
      <c r="OCG33" s="143"/>
      <c r="OCH33" s="143"/>
      <c r="OCI33" s="143"/>
      <c r="OCJ33" s="143"/>
      <c r="OCK33" s="143"/>
      <c r="OCL33" s="143"/>
      <c r="OCM33" s="143"/>
      <c r="OCN33" s="143"/>
      <c r="OCO33" s="143"/>
      <c r="OCP33" s="143"/>
      <c r="OCQ33" s="143"/>
      <c r="OCR33" s="143"/>
      <c r="OCS33" s="143"/>
      <c r="OCT33" s="143"/>
      <c r="OCU33" s="143"/>
      <c r="OCV33" s="143"/>
      <c r="OCW33" s="143"/>
      <c r="OCX33" s="143"/>
      <c r="OCY33" s="143"/>
      <c r="OCZ33" s="143"/>
      <c r="ODA33" s="143"/>
      <c r="ODB33" s="143"/>
      <c r="ODC33" s="143"/>
      <c r="ODD33" s="143"/>
      <c r="ODE33" s="143"/>
      <c r="ODF33" s="143"/>
      <c r="ODG33" s="143"/>
      <c r="ODH33" s="143"/>
      <c r="ODI33" s="143"/>
      <c r="ODJ33" s="143"/>
      <c r="ODK33" s="143"/>
      <c r="ODL33" s="143"/>
      <c r="ODM33" s="143"/>
      <c r="ODN33" s="143"/>
      <c r="ODO33" s="143"/>
      <c r="ODP33" s="143"/>
      <c r="ODQ33" s="143"/>
      <c r="ODR33" s="143"/>
      <c r="ODS33" s="143"/>
      <c r="ODT33" s="143"/>
      <c r="ODU33" s="143"/>
      <c r="ODV33" s="143"/>
      <c r="ODW33" s="143"/>
      <c r="ODX33" s="143"/>
      <c r="ODY33" s="143"/>
      <c r="ODZ33" s="143"/>
      <c r="OEA33" s="143"/>
      <c r="OEB33" s="143"/>
      <c r="OEC33" s="143"/>
      <c r="OED33" s="143"/>
      <c r="OEE33" s="143"/>
      <c r="OEF33" s="143"/>
      <c r="OEG33" s="143"/>
      <c r="OEH33" s="143"/>
      <c r="OEI33" s="143"/>
      <c r="OEJ33" s="143"/>
      <c r="OEK33" s="143"/>
      <c r="OEL33" s="143"/>
      <c r="OEM33" s="143"/>
      <c r="OEN33" s="143"/>
      <c r="OEO33" s="143"/>
      <c r="OEP33" s="143"/>
      <c r="OEQ33" s="143"/>
      <c r="OER33" s="143"/>
      <c r="OES33" s="143"/>
      <c r="OET33" s="143"/>
      <c r="OEU33" s="143"/>
      <c r="OEV33" s="143"/>
      <c r="OEW33" s="143"/>
      <c r="OEX33" s="143"/>
      <c r="OEY33" s="143"/>
      <c r="OEZ33" s="143"/>
      <c r="OFA33" s="143"/>
      <c r="OFB33" s="143"/>
      <c r="OFC33" s="143"/>
      <c r="OFD33" s="143"/>
      <c r="OFE33" s="143"/>
      <c r="OFF33" s="143"/>
      <c r="OFG33" s="143"/>
      <c r="OFH33" s="143"/>
      <c r="OFI33" s="143"/>
      <c r="OFJ33" s="143"/>
      <c r="OFK33" s="143"/>
      <c r="OFL33" s="143"/>
      <c r="OFM33" s="143"/>
      <c r="OFN33" s="143"/>
      <c r="OFO33" s="143"/>
      <c r="OFP33" s="143"/>
      <c r="OFQ33" s="143"/>
      <c r="OFR33" s="143"/>
      <c r="OFS33" s="143"/>
      <c r="OFT33" s="143"/>
      <c r="OFU33" s="143"/>
      <c r="OFV33" s="143"/>
      <c r="OFW33" s="143"/>
      <c r="OFX33" s="143"/>
      <c r="OFY33" s="143"/>
      <c r="OFZ33" s="143"/>
      <c r="OGA33" s="143"/>
      <c r="OGB33" s="143"/>
      <c r="OGC33" s="143"/>
      <c r="OGD33" s="143"/>
      <c r="OGE33" s="143"/>
      <c r="OGF33" s="143"/>
      <c r="OGG33" s="143"/>
      <c r="OGH33" s="143"/>
      <c r="OGI33" s="143"/>
      <c r="OGJ33" s="143"/>
      <c r="OGK33" s="143"/>
      <c r="OGL33" s="143"/>
      <c r="OGM33" s="143"/>
      <c r="OGN33" s="143"/>
      <c r="OGO33" s="143"/>
      <c r="OGP33" s="143"/>
      <c r="OGQ33" s="143"/>
      <c r="OGR33" s="143"/>
      <c r="OGS33" s="143"/>
      <c r="OGT33" s="143"/>
      <c r="OGU33" s="143"/>
      <c r="OGV33" s="143"/>
      <c r="OGW33" s="143"/>
      <c r="OGX33" s="143"/>
      <c r="OGY33" s="143"/>
      <c r="OGZ33" s="143"/>
      <c r="OHA33" s="143"/>
      <c r="OHB33" s="143"/>
      <c r="OHC33" s="143"/>
      <c r="OHD33" s="143"/>
      <c r="OHE33" s="143"/>
      <c r="OHF33" s="143"/>
      <c r="OHG33" s="143"/>
      <c r="OHH33" s="143"/>
      <c r="OHI33" s="143"/>
      <c r="OHJ33" s="143"/>
      <c r="OHK33" s="143"/>
      <c r="OHL33" s="143"/>
      <c r="OHM33" s="143"/>
      <c r="OHN33" s="143"/>
      <c r="OHO33" s="143"/>
      <c r="OHP33" s="143"/>
      <c r="OHQ33" s="143"/>
      <c r="OHR33" s="143"/>
      <c r="OHS33" s="143"/>
      <c r="OHT33" s="143"/>
      <c r="OHU33" s="143"/>
      <c r="OHV33" s="143"/>
      <c r="OHW33" s="143"/>
      <c r="OHX33" s="143"/>
      <c r="OHY33" s="143"/>
      <c r="OHZ33" s="143"/>
      <c r="OIA33" s="143"/>
      <c r="OIB33" s="143"/>
      <c r="OIC33" s="143"/>
      <c r="OID33" s="143"/>
      <c r="OIE33" s="143"/>
      <c r="OIF33" s="143"/>
      <c r="OIG33" s="143"/>
      <c r="OIH33" s="143"/>
      <c r="OII33" s="143"/>
      <c r="OIJ33" s="143"/>
      <c r="OIK33" s="143"/>
      <c r="OIL33" s="143"/>
      <c r="OIM33" s="143"/>
      <c r="OIN33" s="143"/>
      <c r="OIO33" s="143"/>
      <c r="OIP33" s="143"/>
      <c r="OIQ33" s="143"/>
      <c r="OIR33" s="143"/>
      <c r="OIS33" s="143"/>
      <c r="OIT33" s="143"/>
      <c r="OIU33" s="143"/>
      <c r="OIV33" s="143"/>
      <c r="OIW33" s="143"/>
      <c r="OIX33" s="143"/>
      <c r="OIY33" s="143"/>
      <c r="OIZ33" s="143"/>
      <c r="OJA33" s="143"/>
      <c r="OJB33" s="143"/>
      <c r="OJC33" s="143"/>
      <c r="OJD33" s="143"/>
      <c r="OJE33" s="143"/>
      <c r="OJF33" s="143"/>
      <c r="OJG33" s="143"/>
      <c r="OJH33" s="143"/>
      <c r="OJI33" s="143"/>
      <c r="OJJ33" s="143"/>
      <c r="OJK33" s="143"/>
      <c r="OJL33" s="143"/>
      <c r="OJM33" s="143"/>
      <c r="OJN33" s="143"/>
      <c r="OJO33" s="143"/>
      <c r="OJP33" s="143"/>
      <c r="OJQ33" s="143"/>
      <c r="OJR33" s="143"/>
      <c r="OJS33" s="143"/>
      <c r="OJT33" s="143"/>
      <c r="OJU33" s="143"/>
      <c r="OJV33" s="143"/>
      <c r="OJW33" s="143"/>
      <c r="OJX33" s="143"/>
      <c r="OJY33" s="143"/>
      <c r="OJZ33" s="143"/>
      <c r="OKA33" s="143"/>
      <c r="OKB33" s="143"/>
      <c r="OKC33" s="143"/>
      <c r="OKD33" s="143"/>
      <c r="OKE33" s="143"/>
      <c r="OKF33" s="143"/>
      <c r="OKG33" s="143"/>
      <c r="OKH33" s="143"/>
      <c r="OKI33" s="143"/>
      <c r="OKJ33" s="143"/>
      <c r="OKK33" s="143"/>
      <c r="OKL33" s="143"/>
      <c r="OKM33" s="143"/>
      <c r="OKN33" s="143"/>
      <c r="OKO33" s="143"/>
      <c r="OKP33" s="143"/>
      <c r="OKQ33" s="143"/>
      <c r="OKR33" s="143"/>
      <c r="OKS33" s="143"/>
      <c r="OKT33" s="143"/>
      <c r="OKU33" s="143"/>
      <c r="OKV33" s="143"/>
      <c r="OKW33" s="143"/>
      <c r="OKX33" s="143"/>
      <c r="OKY33" s="143"/>
      <c r="OKZ33" s="143"/>
      <c r="OLA33" s="143"/>
      <c r="OLB33" s="143"/>
      <c r="OLC33" s="143"/>
      <c r="OLD33" s="143"/>
      <c r="OLE33" s="143"/>
      <c r="OLF33" s="143"/>
      <c r="OLG33" s="143"/>
      <c r="OLH33" s="143"/>
      <c r="OLI33" s="143"/>
      <c r="OLJ33" s="143"/>
      <c r="OLK33" s="143"/>
      <c r="OLL33" s="143"/>
      <c r="OLM33" s="143"/>
      <c r="OLN33" s="143"/>
      <c r="OLO33" s="143"/>
      <c r="OLP33" s="143"/>
      <c r="OLQ33" s="143"/>
      <c r="OLR33" s="143"/>
      <c r="OLS33" s="143"/>
      <c r="OLT33" s="143"/>
      <c r="OLU33" s="143"/>
      <c r="OLV33" s="143"/>
      <c r="OLW33" s="143"/>
      <c r="OLX33" s="143"/>
      <c r="OLY33" s="143"/>
      <c r="OLZ33" s="143"/>
      <c r="OMA33" s="143"/>
      <c r="OMB33" s="143"/>
      <c r="OMC33" s="143"/>
      <c r="OMD33" s="143"/>
      <c r="OME33" s="143"/>
      <c r="OMF33" s="143"/>
      <c r="OMG33" s="143"/>
      <c r="OMH33" s="143"/>
      <c r="OMI33" s="143"/>
      <c r="OMJ33" s="143"/>
      <c r="OMK33" s="143"/>
      <c r="OML33" s="143"/>
      <c r="OMM33" s="143"/>
      <c r="OMN33" s="143"/>
      <c r="OMO33" s="143"/>
      <c r="OMP33" s="143"/>
      <c r="OMQ33" s="143"/>
      <c r="OMR33" s="143"/>
      <c r="OMS33" s="143"/>
      <c r="OMT33" s="143"/>
      <c r="OMU33" s="143"/>
      <c r="OMV33" s="143"/>
      <c r="OMW33" s="143"/>
      <c r="OMX33" s="143"/>
      <c r="OMY33" s="143"/>
      <c r="OMZ33" s="143"/>
      <c r="ONA33" s="143"/>
      <c r="ONB33" s="143"/>
      <c r="ONC33" s="143"/>
      <c r="OND33" s="143"/>
      <c r="ONE33" s="143"/>
      <c r="ONF33" s="143"/>
      <c r="ONG33" s="143"/>
      <c r="ONH33" s="143"/>
      <c r="ONI33" s="143"/>
      <c r="ONJ33" s="143"/>
      <c r="ONK33" s="143"/>
      <c r="ONL33" s="143"/>
      <c r="ONM33" s="143"/>
      <c r="ONN33" s="143"/>
      <c r="ONO33" s="143"/>
      <c r="ONP33" s="143"/>
      <c r="ONQ33" s="143"/>
      <c r="ONR33" s="143"/>
      <c r="ONS33" s="143"/>
      <c r="ONT33" s="143"/>
      <c r="ONU33" s="143"/>
      <c r="ONV33" s="143"/>
      <c r="ONW33" s="143"/>
      <c r="ONX33" s="143"/>
      <c r="ONY33" s="143"/>
      <c r="ONZ33" s="143"/>
      <c r="OOA33" s="143"/>
      <c r="OOB33" s="143"/>
      <c r="OOC33" s="143"/>
      <c r="OOD33" s="143"/>
      <c r="OOE33" s="143"/>
      <c r="OOF33" s="143"/>
      <c r="OOG33" s="143"/>
      <c r="OOH33" s="143"/>
      <c r="OOI33" s="143"/>
      <c r="OOJ33" s="143"/>
      <c r="OOK33" s="143"/>
      <c r="OOL33" s="143"/>
      <c r="OOM33" s="143"/>
      <c r="OON33" s="143"/>
      <c r="OOO33" s="143"/>
      <c r="OOP33" s="143"/>
      <c r="OOQ33" s="143"/>
      <c r="OOR33" s="143"/>
      <c r="OOS33" s="143"/>
      <c r="OOT33" s="143"/>
      <c r="OOU33" s="143"/>
      <c r="OOV33" s="143"/>
      <c r="OOW33" s="143"/>
      <c r="OOX33" s="143"/>
      <c r="OOY33" s="143"/>
      <c r="OOZ33" s="143"/>
      <c r="OPA33" s="143"/>
      <c r="OPB33" s="143"/>
      <c r="OPC33" s="143"/>
      <c r="OPD33" s="143"/>
      <c r="OPE33" s="143"/>
      <c r="OPF33" s="143"/>
      <c r="OPG33" s="143"/>
      <c r="OPH33" s="143"/>
      <c r="OPI33" s="143"/>
      <c r="OPJ33" s="143"/>
      <c r="OPK33" s="143"/>
      <c r="OPL33" s="143"/>
      <c r="OPM33" s="143"/>
      <c r="OPN33" s="143"/>
      <c r="OPO33" s="143"/>
      <c r="OPP33" s="143"/>
      <c r="OPQ33" s="143"/>
      <c r="OPR33" s="143"/>
      <c r="OPS33" s="143"/>
      <c r="OPT33" s="143"/>
      <c r="OPU33" s="143"/>
      <c r="OPV33" s="143"/>
      <c r="OPW33" s="143"/>
      <c r="OPX33" s="143"/>
      <c r="OPY33" s="143"/>
      <c r="OPZ33" s="143"/>
      <c r="OQA33" s="143"/>
      <c r="OQB33" s="143"/>
      <c r="OQC33" s="143"/>
      <c r="OQD33" s="143"/>
      <c r="OQE33" s="143"/>
      <c r="OQF33" s="143"/>
      <c r="OQG33" s="143"/>
      <c r="OQH33" s="143"/>
      <c r="OQI33" s="143"/>
      <c r="OQJ33" s="143"/>
      <c r="OQK33" s="143"/>
      <c r="OQL33" s="143"/>
      <c r="OQM33" s="143"/>
      <c r="OQN33" s="143"/>
      <c r="OQO33" s="143"/>
      <c r="OQP33" s="143"/>
      <c r="OQQ33" s="143"/>
      <c r="OQR33" s="143"/>
      <c r="OQS33" s="143"/>
      <c r="OQT33" s="143"/>
      <c r="OQU33" s="143"/>
      <c r="OQV33" s="143"/>
      <c r="OQW33" s="143"/>
      <c r="OQX33" s="143"/>
      <c r="OQY33" s="143"/>
      <c r="OQZ33" s="143"/>
      <c r="ORA33" s="143"/>
      <c r="ORB33" s="143"/>
      <c r="ORC33" s="143"/>
      <c r="ORD33" s="143"/>
      <c r="ORE33" s="143"/>
      <c r="ORF33" s="143"/>
      <c r="ORG33" s="143"/>
      <c r="ORH33" s="143"/>
      <c r="ORI33" s="143"/>
      <c r="ORJ33" s="143"/>
      <c r="ORK33" s="143"/>
      <c r="ORL33" s="143"/>
      <c r="ORM33" s="143"/>
      <c r="ORN33" s="143"/>
      <c r="ORO33" s="143"/>
      <c r="ORP33" s="143"/>
      <c r="ORQ33" s="143"/>
      <c r="ORR33" s="143"/>
      <c r="ORS33" s="143"/>
      <c r="ORT33" s="143"/>
      <c r="ORU33" s="143"/>
      <c r="ORV33" s="143"/>
      <c r="ORW33" s="143"/>
      <c r="ORX33" s="143"/>
      <c r="ORY33" s="143"/>
      <c r="ORZ33" s="143"/>
      <c r="OSA33" s="143"/>
      <c r="OSB33" s="143"/>
      <c r="OSC33" s="143"/>
      <c r="OSD33" s="143"/>
      <c r="OSE33" s="143"/>
      <c r="OSF33" s="143"/>
      <c r="OSG33" s="143"/>
      <c r="OSH33" s="143"/>
      <c r="OSI33" s="143"/>
      <c r="OSJ33" s="143"/>
      <c r="OSK33" s="143"/>
      <c r="OSL33" s="143"/>
      <c r="OSM33" s="143"/>
      <c r="OSN33" s="143"/>
      <c r="OSO33" s="143"/>
      <c r="OSP33" s="143"/>
      <c r="OSQ33" s="143"/>
      <c r="OSR33" s="143"/>
      <c r="OSS33" s="143"/>
      <c r="OST33" s="143"/>
      <c r="OSU33" s="143"/>
      <c r="OSV33" s="143"/>
      <c r="OSW33" s="143"/>
      <c r="OSX33" s="143"/>
      <c r="OSY33" s="143"/>
      <c r="OSZ33" s="143"/>
      <c r="OTA33" s="143"/>
      <c r="OTB33" s="143"/>
      <c r="OTC33" s="143"/>
      <c r="OTD33" s="143"/>
      <c r="OTE33" s="143"/>
      <c r="OTF33" s="143"/>
      <c r="OTG33" s="143"/>
      <c r="OTH33" s="143"/>
      <c r="OTI33" s="143"/>
      <c r="OTJ33" s="143"/>
      <c r="OTK33" s="143"/>
      <c r="OTL33" s="143"/>
      <c r="OTM33" s="143"/>
      <c r="OTN33" s="143"/>
      <c r="OTO33" s="143"/>
      <c r="OTP33" s="143"/>
      <c r="OTQ33" s="143"/>
      <c r="OTR33" s="143"/>
      <c r="OTS33" s="143"/>
      <c r="OTT33" s="143"/>
      <c r="OTU33" s="143"/>
      <c r="OTV33" s="143"/>
      <c r="OTW33" s="143"/>
      <c r="OTX33" s="143"/>
      <c r="OTY33" s="143"/>
      <c r="OTZ33" s="143"/>
      <c r="OUA33" s="143"/>
      <c r="OUB33" s="143"/>
      <c r="OUC33" s="143"/>
      <c r="OUD33" s="143"/>
      <c r="OUE33" s="143"/>
      <c r="OUF33" s="143"/>
      <c r="OUG33" s="143"/>
      <c r="OUH33" s="143"/>
      <c r="OUI33" s="143"/>
      <c r="OUJ33" s="143"/>
      <c r="OUK33" s="143"/>
      <c r="OUL33" s="143"/>
      <c r="OUM33" s="143"/>
      <c r="OUN33" s="143"/>
      <c r="OUO33" s="143"/>
      <c r="OUP33" s="143"/>
      <c r="OUQ33" s="143"/>
      <c r="OUR33" s="143"/>
      <c r="OUS33" s="143"/>
      <c r="OUT33" s="143"/>
      <c r="OUU33" s="143"/>
      <c r="OUV33" s="143"/>
      <c r="OUW33" s="143"/>
      <c r="OUX33" s="143"/>
      <c r="OUY33" s="143"/>
      <c r="OUZ33" s="143"/>
      <c r="OVA33" s="143"/>
      <c r="OVB33" s="143"/>
      <c r="OVC33" s="143"/>
      <c r="OVD33" s="143"/>
      <c r="OVE33" s="143"/>
      <c r="OVF33" s="143"/>
      <c r="OVG33" s="143"/>
      <c r="OVH33" s="143"/>
      <c r="OVI33" s="143"/>
      <c r="OVJ33" s="143"/>
      <c r="OVK33" s="143"/>
      <c r="OVL33" s="143"/>
      <c r="OVM33" s="143"/>
      <c r="OVN33" s="143"/>
      <c r="OVO33" s="143"/>
      <c r="OVP33" s="143"/>
      <c r="OVQ33" s="143"/>
      <c r="OVR33" s="143"/>
      <c r="OVS33" s="143"/>
      <c r="OVT33" s="143"/>
      <c r="OVU33" s="143"/>
      <c r="OVV33" s="143"/>
      <c r="OVW33" s="143"/>
      <c r="OVX33" s="143"/>
      <c r="OVY33" s="143"/>
      <c r="OVZ33" s="143"/>
      <c r="OWA33" s="143"/>
      <c r="OWB33" s="143"/>
      <c r="OWC33" s="143"/>
      <c r="OWD33" s="143"/>
      <c r="OWE33" s="143"/>
      <c r="OWF33" s="143"/>
      <c r="OWG33" s="143"/>
      <c r="OWH33" s="143"/>
      <c r="OWI33" s="143"/>
      <c r="OWJ33" s="143"/>
      <c r="OWK33" s="143"/>
      <c r="OWL33" s="143"/>
      <c r="OWM33" s="143"/>
      <c r="OWN33" s="143"/>
      <c r="OWO33" s="143"/>
      <c r="OWP33" s="143"/>
      <c r="OWQ33" s="143"/>
      <c r="OWR33" s="143"/>
      <c r="OWS33" s="143"/>
      <c r="OWT33" s="143"/>
      <c r="OWU33" s="143"/>
      <c r="OWV33" s="143"/>
      <c r="OWW33" s="143"/>
      <c r="OWX33" s="143"/>
      <c r="OWY33" s="143"/>
      <c r="OWZ33" s="143"/>
      <c r="OXA33" s="143"/>
      <c r="OXB33" s="143"/>
      <c r="OXC33" s="143"/>
      <c r="OXD33" s="143"/>
      <c r="OXE33" s="143"/>
      <c r="OXF33" s="143"/>
      <c r="OXG33" s="143"/>
      <c r="OXH33" s="143"/>
      <c r="OXI33" s="143"/>
      <c r="OXJ33" s="143"/>
      <c r="OXK33" s="143"/>
      <c r="OXL33" s="143"/>
      <c r="OXM33" s="143"/>
      <c r="OXN33" s="143"/>
      <c r="OXO33" s="143"/>
      <c r="OXP33" s="143"/>
      <c r="OXQ33" s="143"/>
      <c r="OXR33" s="143"/>
      <c r="OXS33" s="143"/>
      <c r="OXT33" s="143"/>
      <c r="OXU33" s="143"/>
      <c r="OXV33" s="143"/>
      <c r="OXW33" s="143"/>
      <c r="OXX33" s="143"/>
      <c r="OXY33" s="143"/>
      <c r="OXZ33" s="143"/>
      <c r="OYA33" s="143"/>
      <c r="OYB33" s="143"/>
      <c r="OYC33" s="143"/>
      <c r="OYD33" s="143"/>
      <c r="OYE33" s="143"/>
      <c r="OYF33" s="143"/>
      <c r="OYG33" s="143"/>
      <c r="OYH33" s="143"/>
      <c r="OYI33" s="143"/>
      <c r="OYJ33" s="143"/>
      <c r="OYK33" s="143"/>
      <c r="OYL33" s="143"/>
      <c r="OYM33" s="143"/>
      <c r="OYN33" s="143"/>
      <c r="OYO33" s="143"/>
      <c r="OYP33" s="143"/>
      <c r="OYQ33" s="143"/>
      <c r="OYR33" s="143"/>
      <c r="OYS33" s="143"/>
      <c r="OYT33" s="143"/>
      <c r="OYU33" s="143"/>
      <c r="OYV33" s="143"/>
      <c r="OYW33" s="143"/>
      <c r="OYX33" s="143"/>
      <c r="OYY33" s="143"/>
      <c r="OYZ33" s="143"/>
      <c r="OZA33" s="143"/>
      <c r="OZB33" s="143"/>
      <c r="OZC33" s="143"/>
      <c r="OZD33" s="143"/>
      <c r="OZE33" s="143"/>
      <c r="OZF33" s="143"/>
      <c r="OZG33" s="143"/>
      <c r="OZH33" s="143"/>
      <c r="OZI33" s="143"/>
      <c r="OZJ33" s="143"/>
      <c r="OZK33" s="143"/>
      <c r="OZL33" s="143"/>
      <c r="OZM33" s="143"/>
      <c r="OZN33" s="143"/>
      <c r="OZO33" s="143"/>
      <c r="OZP33" s="143"/>
      <c r="OZQ33" s="143"/>
      <c r="OZR33" s="143"/>
      <c r="OZS33" s="143"/>
      <c r="OZT33" s="143"/>
      <c r="OZU33" s="143"/>
      <c r="OZV33" s="143"/>
      <c r="OZW33" s="143"/>
      <c r="OZX33" s="143"/>
      <c r="OZY33" s="143"/>
      <c r="OZZ33" s="143"/>
      <c r="PAA33" s="143"/>
      <c r="PAB33" s="143"/>
      <c r="PAC33" s="143"/>
      <c r="PAD33" s="143"/>
      <c r="PAE33" s="143"/>
      <c r="PAF33" s="143"/>
      <c r="PAG33" s="143"/>
      <c r="PAH33" s="143"/>
      <c r="PAI33" s="143"/>
      <c r="PAJ33" s="143"/>
      <c r="PAK33" s="143"/>
      <c r="PAL33" s="143"/>
      <c r="PAM33" s="143"/>
      <c r="PAN33" s="143"/>
      <c r="PAO33" s="143"/>
      <c r="PAP33" s="143"/>
      <c r="PAQ33" s="143"/>
      <c r="PAR33" s="143"/>
      <c r="PAS33" s="143"/>
      <c r="PAT33" s="143"/>
      <c r="PAU33" s="143"/>
      <c r="PAV33" s="143"/>
      <c r="PAW33" s="143"/>
      <c r="PAX33" s="143"/>
      <c r="PAY33" s="143"/>
      <c r="PAZ33" s="143"/>
      <c r="PBA33" s="143"/>
      <c r="PBB33" s="143"/>
      <c r="PBC33" s="143"/>
      <c r="PBD33" s="143"/>
      <c r="PBE33" s="143"/>
      <c r="PBF33" s="143"/>
      <c r="PBG33" s="143"/>
      <c r="PBH33" s="143"/>
      <c r="PBI33" s="143"/>
      <c r="PBJ33" s="143"/>
      <c r="PBK33" s="143"/>
      <c r="PBL33" s="143"/>
      <c r="PBM33" s="143"/>
      <c r="PBN33" s="143"/>
      <c r="PBO33" s="143"/>
      <c r="PBP33" s="143"/>
      <c r="PBQ33" s="143"/>
      <c r="PBR33" s="143"/>
      <c r="PBS33" s="143"/>
      <c r="PBT33" s="143"/>
      <c r="PBU33" s="143"/>
      <c r="PBV33" s="143"/>
      <c r="PBW33" s="143"/>
      <c r="PBX33" s="143"/>
      <c r="PBY33" s="143"/>
      <c r="PBZ33" s="143"/>
      <c r="PCA33" s="143"/>
      <c r="PCB33" s="143"/>
      <c r="PCC33" s="143"/>
      <c r="PCD33" s="143"/>
      <c r="PCE33" s="143"/>
      <c r="PCF33" s="143"/>
      <c r="PCG33" s="143"/>
      <c r="PCH33" s="143"/>
      <c r="PCI33" s="143"/>
      <c r="PCJ33" s="143"/>
      <c r="PCK33" s="143"/>
      <c r="PCL33" s="143"/>
      <c r="PCM33" s="143"/>
      <c r="PCN33" s="143"/>
      <c r="PCO33" s="143"/>
      <c r="PCP33" s="143"/>
      <c r="PCQ33" s="143"/>
      <c r="PCR33" s="143"/>
      <c r="PCS33" s="143"/>
      <c r="PCT33" s="143"/>
      <c r="PCU33" s="143"/>
      <c r="PCV33" s="143"/>
      <c r="PCW33" s="143"/>
      <c r="PCX33" s="143"/>
      <c r="PCY33" s="143"/>
      <c r="PCZ33" s="143"/>
      <c r="PDA33" s="143"/>
      <c r="PDB33" s="143"/>
      <c r="PDC33" s="143"/>
      <c r="PDD33" s="143"/>
      <c r="PDE33" s="143"/>
      <c r="PDF33" s="143"/>
      <c r="PDG33" s="143"/>
      <c r="PDH33" s="143"/>
      <c r="PDI33" s="143"/>
      <c r="PDJ33" s="143"/>
      <c r="PDK33" s="143"/>
      <c r="PDL33" s="143"/>
      <c r="PDM33" s="143"/>
      <c r="PDN33" s="143"/>
      <c r="PDO33" s="143"/>
      <c r="PDP33" s="143"/>
      <c r="PDQ33" s="143"/>
      <c r="PDR33" s="143"/>
      <c r="PDS33" s="143"/>
      <c r="PDT33" s="143"/>
      <c r="PDU33" s="143"/>
      <c r="PDV33" s="143"/>
      <c r="PDW33" s="143"/>
      <c r="PDX33" s="143"/>
      <c r="PDY33" s="143"/>
      <c r="PDZ33" s="143"/>
      <c r="PEA33" s="143"/>
      <c r="PEB33" s="143"/>
      <c r="PEC33" s="143"/>
      <c r="PED33" s="143"/>
      <c r="PEE33" s="143"/>
      <c r="PEF33" s="143"/>
      <c r="PEG33" s="143"/>
      <c r="PEH33" s="143"/>
      <c r="PEI33" s="143"/>
      <c r="PEJ33" s="143"/>
      <c r="PEK33" s="143"/>
      <c r="PEL33" s="143"/>
      <c r="PEM33" s="143"/>
      <c r="PEN33" s="143"/>
      <c r="PEO33" s="143"/>
      <c r="PEP33" s="143"/>
      <c r="PEQ33" s="143"/>
      <c r="PER33" s="143"/>
      <c r="PES33" s="143"/>
      <c r="PET33" s="143"/>
      <c r="PEU33" s="143"/>
      <c r="PEV33" s="143"/>
      <c r="PEW33" s="143"/>
      <c r="PEX33" s="143"/>
      <c r="PEY33" s="143"/>
      <c r="PEZ33" s="143"/>
      <c r="PFA33" s="143"/>
      <c r="PFB33" s="143"/>
      <c r="PFC33" s="143"/>
      <c r="PFD33" s="143"/>
      <c r="PFE33" s="143"/>
      <c r="PFF33" s="143"/>
      <c r="PFG33" s="143"/>
      <c r="PFH33" s="143"/>
      <c r="PFI33" s="143"/>
      <c r="PFJ33" s="143"/>
      <c r="PFK33" s="143"/>
      <c r="PFL33" s="143"/>
      <c r="PFM33" s="143"/>
      <c r="PFN33" s="143"/>
      <c r="PFO33" s="143"/>
      <c r="PFP33" s="143"/>
      <c r="PFQ33" s="143"/>
      <c r="PFR33" s="143"/>
      <c r="PFS33" s="143"/>
      <c r="PFT33" s="143"/>
      <c r="PFU33" s="143"/>
      <c r="PFV33" s="143"/>
      <c r="PFW33" s="143"/>
      <c r="PFX33" s="143"/>
      <c r="PFY33" s="143"/>
      <c r="PFZ33" s="143"/>
      <c r="PGA33" s="143"/>
      <c r="PGB33" s="143"/>
      <c r="PGC33" s="143"/>
      <c r="PGD33" s="143"/>
      <c r="PGE33" s="143"/>
      <c r="PGF33" s="143"/>
      <c r="PGG33" s="143"/>
      <c r="PGH33" s="143"/>
      <c r="PGI33" s="143"/>
      <c r="PGJ33" s="143"/>
      <c r="PGK33" s="143"/>
      <c r="PGL33" s="143"/>
      <c r="PGM33" s="143"/>
      <c r="PGN33" s="143"/>
      <c r="PGO33" s="143"/>
      <c r="PGP33" s="143"/>
      <c r="PGQ33" s="143"/>
      <c r="PGR33" s="143"/>
      <c r="PGS33" s="143"/>
      <c r="PGT33" s="143"/>
      <c r="PGU33" s="143"/>
      <c r="PGV33" s="143"/>
      <c r="PGW33" s="143"/>
      <c r="PGX33" s="143"/>
      <c r="PGY33" s="143"/>
      <c r="PGZ33" s="143"/>
      <c r="PHA33" s="143"/>
      <c r="PHB33" s="143"/>
      <c r="PHC33" s="143"/>
      <c r="PHD33" s="143"/>
      <c r="PHE33" s="143"/>
      <c r="PHF33" s="143"/>
      <c r="PHG33" s="143"/>
      <c r="PHH33" s="143"/>
      <c r="PHI33" s="143"/>
      <c r="PHJ33" s="143"/>
      <c r="PHK33" s="143"/>
      <c r="PHL33" s="143"/>
      <c r="PHM33" s="143"/>
      <c r="PHN33" s="143"/>
      <c r="PHO33" s="143"/>
      <c r="PHP33" s="143"/>
      <c r="PHQ33" s="143"/>
      <c r="PHR33" s="143"/>
      <c r="PHS33" s="143"/>
      <c r="PHT33" s="143"/>
      <c r="PHU33" s="143"/>
      <c r="PHV33" s="143"/>
      <c r="PHW33" s="143"/>
      <c r="PHX33" s="143"/>
      <c r="PHY33" s="143"/>
      <c r="PHZ33" s="143"/>
      <c r="PIA33" s="143"/>
      <c r="PIB33" s="143"/>
      <c r="PIC33" s="143"/>
      <c r="PID33" s="143"/>
      <c r="PIE33" s="143"/>
      <c r="PIF33" s="143"/>
      <c r="PIG33" s="143"/>
      <c r="PIH33" s="143"/>
      <c r="PII33" s="143"/>
      <c r="PIJ33" s="143"/>
      <c r="PIK33" s="143"/>
      <c r="PIL33" s="143"/>
      <c r="PIM33" s="143"/>
      <c r="PIN33" s="143"/>
      <c r="PIO33" s="143"/>
      <c r="PIP33" s="143"/>
      <c r="PIQ33" s="143"/>
      <c r="PIR33" s="143"/>
      <c r="PIS33" s="143"/>
      <c r="PIT33" s="143"/>
      <c r="PIU33" s="143"/>
      <c r="PIV33" s="143"/>
      <c r="PIW33" s="143"/>
      <c r="PIX33" s="143"/>
      <c r="PIY33" s="143"/>
      <c r="PIZ33" s="143"/>
      <c r="PJA33" s="143"/>
      <c r="PJB33" s="143"/>
      <c r="PJC33" s="143"/>
      <c r="PJD33" s="143"/>
      <c r="PJE33" s="143"/>
      <c r="PJF33" s="143"/>
      <c r="PJG33" s="143"/>
      <c r="PJH33" s="143"/>
      <c r="PJI33" s="143"/>
      <c r="PJJ33" s="143"/>
      <c r="PJK33" s="143"/>
      <c r="PJL33" s="143"/>
      <c r="PJM33" s="143"/>
      <c r="PJN33" s="143"/>
      <c r="PJO33" s="143"/>
      <c r="PJP33" s="143"/>
      <c r="PJQ33" s="143"/>
      <c r="PJR33" s="143"/>
      <c r="PJS33" s="143"/>
      <c r="PJT33" s="143"/>
      <c r="PJU33" s="143"/>
      <c r="PJV33" s="143"/>
      <c r="PJW33" s="143"/>
      <c r="PJX33" s="143"/>
      <c r="PJY33" s="143"/>
      <c r="PJZ33" s="143"/>
      <c r="PKA33" s="143"/>
      <c r="PKB33" s="143"/>
      <c r="PKC33" s="143"/>
      <c r="PKD33" s="143"/>
      <c r="PKE33" s="143"/>
      <c r="PKF33" s="143"/>
      <c r="PKG33" s="143"/>
      <c r="PKH33" s="143"/>
      <c r="PKI33" s="143"/>
      <c r="PKJ33" s="143"/>
      <c r="PKK33" s="143"/>
      <c r="PKL33" s="143"/>
      <c r="PKM33" s="143"/>
      <c r="PKN33" s="143"/>
      <c r="PKO33" s="143"/>
      <c r="PKP33" s="143"/>
      <c r="PKQ33" s="143"/>
      <c r="PKR33" s="143"/>
      <c r="PKS33" s="143"/>
      <c r="PKT33" s="143"/>
      <c r="PKU33" s="143"/>
      <c r="PKV33" s="143"/>
      <c r="PKW33" s="143"/>
      <c r="PKX33" s="143"/>
      <c r="PKY33" s="143"/>
      <c r="PKZ33" s="143"/>
      <c r="PLA33" s="143"/>
      <c r="PLB33" s="143"/>
      <c r="PLC33" s="143"/>
      <c r="PLD33" s="143"/>
      <c r="PLE33" s="143"/>
      <c r="PLF33" s="143"/>
      <c r="PLG33" s="143"/>
      <c r="PLH33" s="143"/>
      <c r="PLI33" s="143"/>
      <c r="PLJ33" s="143"/>
      <c r="PLK33" s="143"/>
      <c r="PLL33" s="143"/>
      <c r="PLM33" s="143"/>
      <c r="PLN33" s="143"/>
      <c r="PLO33" s="143"/>
      <c r="PLP33" s="143"/>
      <c r="PLQ33" s="143"/>
      <c r="PLR33" s="143"/>
      <c r="PLS33" s="143"/>
      <c r="PLT33" s="143"/>
      <c r="PLU33" s="143"/>
      <c r="PLV33" s="143"/>
      <c r="PLW33" s="143"/>
      <c r="PLX33" s="143"/>
      <c r="PLY33" s="143"/>
      <c r="PLZ33" s="143"/>
      <c r="PMA33" s="143"/>
      <c r="PMB33" s="143"/>
      <c r="PMC33" s="143"/>
      <c r="PMD33" s="143"/>
      <c r="PME33" s="143"/>
      <c r="PMF33" s="143"/>
      <c r="PMG33" s="143"/>
      <c r="PMH33" s="143"/>
      <c r="PMI33" s="143"/>
      <c r="PMJ33" s="143"/>
      <c r="PMK33" s="143"/>
      <c r="PML33" s="143"/>
      <c r="PMM33" s="143"/>
      <c r="PMN33" s="143"/>
      <c r="PMO33" s="143"/>
      <c r="PMP33" s="143"/>
      <c r="PMQ33" s="143"/>
      <c r="PMR33" s="143"/>
      <c r="PMS33" s="143"/>
      <c r="PMT33" s="143"/>
      <c r="PMU33" s="143"/>
      <c r="PMV33" s="143"/>
      <c r="PMW33" s="143"/>
      <c r="PMX33" s="143"/>
      <c r="PMY33" s="143"/>
      <c r="PMZ33" s="143"/>
      <c r="PNA33" s="143"/>
      <c r="PNB33" s="143"/>
      <c r="PNC33" s="143"/>
      <c r="PND33" s="143"/>
      <c r="PNE33" s="143"/>
      <c r="PNF33" s="143"/>
      <c r="PNG33" s="143"/>
      <c r="PNH33" s="143"/>
      <c r="PNI33" s="143"/>
      <c r="PNJ33" s="143"/>
      <c r="PNK33" s="143"/>
      <c r="PNL33" s="143"/>
      <c r="PNM33" s="143"/>
      <c r="PNN33" s="143"/>
      <c r="PNO33" s="143"/>
      <c r="PNP33" s="143"/>
      <c r="PNQ33" s="143"/>
      <c r="PNR33" s="143"/>
      <c r="PNS33" s="143"/>
      <c r="PNT33" s="143"/>
      <c r="PNU33" s="143"/>
      <c r="PNV33" s="143"/>
      <c r="PNW33" s="143"/>
      <c r="PNX33" s="143"/>
      <c r="PNY33" s="143"/>
      <c r="PNZ33" s="143"/>
      <c r="POA33" s="143"/>
      <c r="POB33" s="143"/>
      <c r="POC33" s="143"/>
      <c r="POD33" s="143"/>
      <c r="POE33" s="143"/>
      <c r="POF33" s="143"/>
      <c r="POG33" s="143"/>
      <c r="POH33" s="143"/>
      <c r="POI33" s="143"/>
      <c r="POJ33" s="143"/>
      <c r="POK33" s="143"/>
      <c r="POL33" s="143"/>
      <c r="POM33" s="143"/>
      <c r="PON33" s="143"/>
      <c r="POO33" s="143"/>
      <c r="POP33" s="143"/>
      <c r="POQ33" s="143"/>
      <c r="POR33" s="143"/>
      <c r="POS33" s="143"/>
      <c r="POT33" s="143"/>
      <c r="POU33" s="143"/>
      <c r="POV33" s="143"/>
      <c r="POW33" s="143"/>
      <c r="POX33" s="143"/>
      <c r="POY33" s="143"/>
      <c r="POZ33" s="143"/>
      <c r="PPA33" s="143"/>
      <c r="PPB33" s="143"/>
      <c r="PPC33" s="143"/>
      <c r="PPD33" s="143"/>
      <c r="PPE33" s="143"/>
      <c r="PPF33" s="143"/>
      <c r="PPG33" s="143"/>
      <c r="PPH33" s="143"/>
      <c r="PPI33" s="143"/>
      <c r="PPJ33" s="143"/>
      <c r="PPK33" s="143"/>
      <c r="PPL33" s="143"/>
      <c r="PPM33" s="143"/>
      <c r="PPN33" s="143"/>
      <c r="PPO33" s="143"/>
      <c r="PPP33" s="143"/>
      <c r="PPQ33" s="143"/>
      <c r="PPR33" s="143"/>
      <c r="PPS33" s="143"/>
      <c r="PPT33" s="143"/>
      <c r="PPU33" s="143"/>
      <c r="PPV33" s="143"/>
      <c r="PPW33" s="143"/>
      <c r="PPX33" s="143"/>
      <c r="PPY33" s="143"/>
      <c r="PPZ33" s="143"/>
      <c r="PQA33" s="143"/>
      <c r="PQB33" s="143"/>
      <c r="PQC33" s="143"/>
      <c r="PQD33" s="143"/>
      <c r="PQE33" s="143"/>
      <c r="PQF33" s="143"/>
      <c r="PQG33" s="143"/>
      <c r="PQH33" s="143"/>
      <c r="PQI33" s="143"/>
      <c r="PQJ33" s="143"/>
      <c r="PQK33" s="143"/>
      <c r="PQL33" s="143"/>
      <c r="PQM33" s="143"/>
      <c r="PQN33" s="143"/>
      <c r="PQO33" s="143"/>
      <c r="PQP33" s="143"/>
      <c r="PQQ33" s="143"/>
      <c r="PQR33" s="143"/>
      <c r="PQS33" s="143"/>
      <c r="PQT33" s="143"/>
      <c r="PQU33" s="143"/>
      <c r="PQV33" s="143"/>
      <c r="PQW33" s="143"/>
      <c r="PQX33" s="143"/>
      <c r="PQY33" s="143"/>
      <c r="PQZ33" s="143"/>
      <c r="PRA33" s="143"/>
      <c r="PRB33" s="143"/>
      <c r="PRC33" s="143"/>
      <c r="PRD33" s="143"/>
      <c r="PRE33" s="143"/>
      <c r="PRF33" s="143"/>
      <c r="PRG33" s="143"/>
      <c r="PRH33" s="143"/>
      <c r="PRI33" s="143"/>
      <c r="PRJ33" s="143"/>
      <c r="PRK33" s="143"/>
      <c r="PRL33" s="143"/>
      <c r="PRM33" s="143"/>
      <c r="PRN33" s="143"/>
      <c r="PRO33" s="143"/>
      <c r="PRP33" s="143"/>
      <c r="PRQ33" s="143"/>
      <c r="PRR33" s="143"/>
      <c r="PRS33" s="143"/>
      <c r="PRT33" s="143"/>
      <c r="PRU33" s="143"/>
      <c r="PRV33" s="143"/>
      <c r="PRW33" s="143"/>
      <c r="PRX33" s="143"/>
      <c r="PRY33" s="143"/>
      <c r="PRZ33" s="143"/>
      <c r="PSA33" s="143"/>
      <c r="PSB33" s="143"/>
      <c r="PSC33" s="143"/>
      <c r="PSD33" s="143"/>
      <c r="PSE33" s="143"/>
      <c r="PSF33" s="143"/>
      <c r="PSG33" s="143"/>
      <c r="PSH33" s="143"/>
      <c r="PSI33" s="143"/>
      <c r="PSJ33" s="143"/>
      <c r="PSK33" s="143"/>
      <c r="PSL33" s="143"/>
      <c r="PSM33" s="143"/>
      <c r="PSN33" s="143"/>
      <c r="PSO33" s="143"/>
      <c r="PSP33" s="143"/>
      <c r="PSQ33" s="143"/>
      <c r="PSR33" s="143"/>
      <c r="PSS33" s="143"/>
      <c r="PST33" s="143"/>
      <c r="PSU33" s="143"/>
      <c r="PSV33" s="143"/>
      <c r="PSW33" s="143"/>
      <c r="PSX33" s="143"/>
      <c r="PSY33" s="143"/>
      <c r="PSZ33" s="143"/>
      <c r="PTA33" s="143"/>
      <c r="PTB33" s="143"/>
      <c r="PTC33" s="143"/>
      <c r="PTD33" s="143"/>
      <c r="PTE33" s="143"/>
      <c r="PTF33" s="143"/>
      <c r="PTG33" s="143"/>
      <c r="PTH33" s="143"/>
      <c r="PTI33" s="143"/>
      <c r="PTJ33" s="143"/>
      <c r="PTK33" s="143"/>
      <c r="PTL33" s="143"/>
      <c r="PTM33" s="143"/>
      <c r="PTN33" s="143"/>
      <c r="PTO33" s="143"/>
      <c r="PTP33" s="143"/>
      <c r="PTQ33" s="143"/>
      <c r="PTR33" s="143"/>
      <c r="PTS33" s="143"/>
      <c r="PTT33" s="143"/>
      <c r="PTU33" s="143"/>
      <c r="PTV33" s="143"/>
      <c r="PTW33" s="143"/>
      <c r="PTX33" s="143"/>
      <c r="PTY33" s="143"/>
      <c r="PTZ33" s="143"/>
      <c r="PUA33" s="143"/>
      <c r="PUB33" s="143"/>
      <c r="PUC33" s="143"/>
      <c r="PUD33" s="143"/>
      <c r="PUE33" s="143"/>
      <c r="PUF33" s="143"/>
      <c r="PUG33" s="143"/>
      <c r="PUH33" s="143"/>
      <c r="PUI33" s="143"/>
      <c r="PUJ33" s="143"/>
      <c r="PUK33" s="143"/>
      <c r="PUL33" s="143"/>
      <c r="PUM33" s="143"/>
      <c r="PUN33" s="143"/>
      <c r="PUO33" s="143"/>
      <c r="PUP33" s="143"/>
      <c r="PUQ33" s="143"/>
      <c r="PUR33" s="143"/>
      <c r="PUS33" s="143"/>
      <c r="PUT33" s="143"/>
      <c r="PUU33" s="143"/>
      <c r="PUV33" s="143"/>
      <c r="PUW33" s="143"/>
      <c r="PUX33" s="143"/>
      <c r="PUY33" s="143"/>
      <c r="PUZ33" s="143"/>
      <c r="PVA33" s="143"/>
      <c r="PVB33" s="143"/>
      <c r="PVC33" s="143"/>
      <c r="PVD33" s="143"/>
      <c r="PVE33" s="143"/>
      <c r="PVF33" s="143"/>
      <c r="PVG33" s="143"/>
      <c r="PVH33" s="143"/>
      <c r="PVI33" s="143"/>
      <c r="PVJ33" s="143"/>
      <c r="PVK33" s="143"/>
      <c r="PVL33" s="143"/>
      <c r="PVM33" s="143"/>
      <c r="PVN33" s="143"/>
      <c r="PVO33" s="143"/>
      <c r="PVP33" s="143"/>
      <c r="PVQ33" s="143"/>
      <c r="PVR33" s="143"/>
      <c r="PVS33" s="143"/>
      <c r="PVT33" s="143"/>
      <c r="PVU33" s="143"/>
      <c r="PVV33" s="143"/>
      <c r="PVW33" s="143"/>
      <c r="PVX33" s="143"/>
      <c r="PVY33" s="143"/>
      <c r="PVZ33" s="143"/>
      <c r="PWA33" s="143"/>
      <c r="PWB33" s="143"/>
      <c r="PWC33" s="143"/>
      <c r="PWD33" s="143"/>
      <c r="PWE33" s="143"/>
      <c r="PWF33" s="143"/>
      <c r="PWG33" s="143"/>
      <c r="PWH33" s="143"/>
      <c r="PWI33" s="143"/>
      <c r="PWJ33" s="143"/>
      <c r="PWK33" s="143"/>
      <c r="PWL33" s="143"/>
      <c r="PWM33" s="143"/>
      <c r="PWN33" s="143"/>
      <c r="PWO33" s="143"/>
      <c r="PWP33" s="143"/>
      <c r="PWQ33" s="143"/>
      <c r="PWR33" s="143"/>
      <c r="PWS33" s="143"/>
      <c r="PWT33" s="143"/>
      <c r="PWU33" s="143"/>
      <c r="PWV33" s="143"/>
      <c r="PWW33" s="143"/>
      <c r="PWX33" s="143"/>
      <c r="PWY33" s="143"/>
      <c r="PWZ33" s="143"/>
      <c r="PXA33" s="143"/>
      <c r="PXB33" s="143"/>
      <c r="PXC33" s="143"/>
      <c r="PXD33" s="143"/>
      <c r="PXE33" s="143"/>
      <c r="PXF33" s="143"/>
      <c r="PXG33" s="143"/>
      <c r="PXH33" s="143"/>
      <c r="PXI33" s="143"/>
      <c r="PXJ33" s="143"/>
      <c r="PXK33" s="143"/>
      <c r="PXL33" s="143"/>
      <c r="PXM33" s="143"/>
      <c r="PXN33" s="143"/>
      <c r="PXO33" s="143"/>
      <c r="PXP33" s="143"/>
      <c r="PXQ33" s="143"/>
      <c r="PXR33" s="143"/>
      <c r="PXS33" s="143"/>
      <c r="PXT33" s="143"/>
      <c r="PXU33" s="143"/>
      <c r="PXV33" s="143"/>
      <c r="PXW33" s="143"/>
      <c r="PXX33" s="143"/>
      <c r="PXY33" s="143"/>
      <c r="PXZ33" s="143"/>
      <c r="PYA33" s="143"/>
      <c r="PYB33" s="143"/>
      <c r="PYC33" s="143"/>
      <c r="PYD33" s="143"/>
      <c r="PYE33" s="143"/>
      <c r="PYF33" s="143"/>
      <c r="PYG33" s="143"/>
      <c r="PYH33" s="143"/>
      <c r="PYI33" s="143"/>
      <c r="PYJ33" s="143"/>
      <c r="PYK33" s="143"/>
      <c r="PYL33" s="143"/>
      <c r="PYM33" s="143"/>
      <c r="PYN33" s="143"/>
      <c r="PYO33" s="143"/>
      <c r="PYP33" s="143"/>
      <c r="PYQ33" s="143"/>
      <c r="PYR33" s="143"/>
      <c r="PYS33" s="143"/>
      <c r="PYT33" s="143"/>
      <c r="PYU33" s="143"/>
      <c r="PYV33" s="143"/>
      <c r="PYW33" s="143"/>
      <c r="PYX33" s="143"/>
      <c r="PYY33" s="143"/>
      <c r="PYZ33" s="143"/>
      <c r="PZA33" s="143"/>
      <c r="PZB33" s="143"/>
      <c r="PZC33" s="143"/>
      <c r="PZD33" s="143"/>
      <c r="PZE33" s="143"/>
      <c r="PZF33" s="143"/>
      <c r="PZG33" s="143"/>
      <c r="PZH33" s="143"/>
      <c r="PZI33" s="143"/>
      <c r="PZJ33" s="143"/>
      <c r="PZK33" s="143"/>
      <c r="PZL33" s="143"/>
      <c r="PZM33" s="143"/>
      <c r="PZN33" s="143"/>
      <c r="PZO33" s="143"/>
      <c r="PZP33" s="143"/>
      <c r="PZQ33" s="143"/>
      <c r="PZR33" s="143"/>
      <c r="PZS33" s="143"/>
      <c r="PZT33" s="143"/>
      <c r="PZU33" s="143"/>
      <c r="PZV33" s="143"/>
      <c r="PZW33" s="143"/>
      <c r="PZX33" s="143"/>
      <c r="PZY33" s="143"/>
      <c r="PZZ33" s="143"/>
      <c r="QAA33" s="143"/>
      <c r="QAB33" s="143"/>
      <c r="QAC33" s="143"/>
      <c r="QAD33" s="143"/>
      <c r="QAE33" s="143"/>
      <c r="QAF33" s="143"/>
      <c r="QAG33" s="143"/>
      <c r="QAH33" s="143"/>
      <c r="QAI33" s="143"/>
      <c r="QAJ33" s="143"/>
      <c r="QAK33" s="143"/>
      <c r="QAL33" s="143"/>
      <c r="QAM33" s="143"/>
      <c r="QAN33" s="143"/>
      <c r="QAO33" s="143"/>
      <c r="QAP33" s="143"/>
      <c r="QAQ33" s="143"/>
      <c r="QAR33" s="143"/>
      <c r="QAS33" s="143"/>
      <c r="QAT33" s="143"/>
      <c r="QAU33" s="143"/>
      <c r="QAV33" s="143"/>
      <c r="QAW33" s="143"/>
      <c r="QAX33" s="143"/>
      <c r="QAY33" s="143"/>
      <c r="QAZ33" s="143"/>
      <c r="QBA33" s="143"/>
      <c r="QBB33" s="143"/>
      <c r="QBC33" s="143"/>
      <c r="QBD33" s="143"/>
      <c r="QBE33" s="143"/>
      <c r="QBF33" s="143"/>
      <c r="QBG33" s="143"/>
      <c r="QBH33" s="143"/>
      <c r="QBI33" s="143"/>
      <c r="QBJ33" s="143"/>
      <c r="QBK33" s="143"/>
      <c r="QBL33" s="143"/>
      <c r="QBM33" s="143"/>
      <c r="QBN33" s="143"/>
      <c r="QBO33" s="143"/>
      <c r="QBP33" s="143"/>
      <c r="QBQ33" s="143"/>
      <c r="QBR33" s="143"/>
      <c r="QBS33" s="143"/>
      <c r="QBT33" s="143"/>
      <c r="QBU33" s="143"/>
      <c r="QBV33" s="143"/>
      <c r="QBW33" s="143"/>
      <c r="QBX33" s="143"/>
      <c r="QBY33" s="143"/>
      <c r="QBZ33" s="143"/>
      <c r="QCA33" s="143"/>
      <c r="QCB33" s="143"/>
      <c r="QCC33" s="143"/>
      <c r="QCD33" s="143"/>
      <c r="QCE33" s="143"/>
      <c r="QCF33" s="143"/>
      <c r="QCG33" s="143"/>
      <c r="QCH33" s="143"/>
      <c r="QCI33" s="143"/>
      <c r="QCJ33" s="143"/>
      <c r="QCK33" s="143"/>
      <c r="QCL33" s="143"/>
      <c r="QCM33" s="143"/>
      <c r="QCN33" s="143"/>
      <c r="QCO33" s="143"/>
      <c r="QCP33" s="143"/>
      <c r="QCQ33" s="143"/>
      <c r="QCR33" s="143"/>
      <c r="QCS33" s="143"/>
      <c r="QCT33" s="143"/>
      <c r="QCU33" s="143"/>
      <c r="QCV33" s="143"/>
      <c r="QCW33" s="143"/>
      <c r="QCX33" s="143"/>
      <c r="QCY33" s="143"/>
      <c r="QCZ33" s="143"/>
      <c r="QDA33" s="143"/>
      <c r="QDB33" s="143"/>
      <c r="QDC33" s="143"/>
      <c r="QDD33" s="143"/>
      <c r="QDE33" s="143"/>
      <c r="QDF33" s="143"/>
      <c r="QDG33" s="143"/>
      <c r="QDH33" s="143"/>
      <c r="QDI33" s="143"/>
      <c r="QDJ33" s="143"/>
      <c r="QDK33" s="143"/>
      <c r="QDL33" s="143"/>
      <c r="QDM33" s="143"/>
      <c r="QDN33" s="143"/>
      <c r="QDO33" s="143"/>
      <c r="QDP33" s="143"/>
      <c r="QDQ33" s="143"/>
      <c r="QDR33" s="143"/>
      <c r="QDS33" s="143"/>
      <c r="QDT33" s="143"/>
      <c r="QDU33" s="143"/>
      <c r="QDV33" s="143"/>
      <c r="QDW33" s="143"/>
      <c r="QDX33" s="143"/>
      <c r="QDY33" s="143"/>
      <c r="QDZ33" s="143"/>
      <c r="QEA33" s="143"/>
      <c r="QEB33" s="143"/>
      <c r="QEC33" s="143"/>
      <c r="QED33" s="143"/>
      <c r="QEE33" s="143"/>
      <c r="QEF33" s="143"/>
      <c r="QEG33" s="143"/>
      <c r="QEH33" s="143"/>
      <c r="QEI33" s="143"/>
      <c r="QEJ33" s="143"/>
      <c r="QEK33" s="143"/>
      <c r="QEL33" s="143"/>
      <c r="QEM33" s="143"/>
      <c r="QEN33" s="143"/>
      <c r="QEO33" s="143"/>
      <c r="QEP33" s="143"/>
      <c r="QEQ33" s="143"/>
      <c r="QER33" s="143"/>
      <c r="QES33" s="143"/>
      <c r="QET33" s="143"/>
      <c r="QEU33" s="143"/>
      <c r="QEV33" s="143"/>
      <c r="QEW33" s="143"/>
      <c r="QEX33" s="143"/>
      <c r="QEY33" s="143"/>
      <c r="QEZ33" s="143"/>
      <c r="QFA33" s="143"/>
      <c r="QFB33" s="143"/>
      <c r="QFC33" s="143"/>
      <c r="QFD33" s="143"/>
      <c r="QFE33" s="143"/>
      <c r="QFF33" s="143"/>
      <c r="QFG33" s="143"/>
      <c r="QFH33" s="143"/>
      <c r="QFI33" s="143"/>
      <c r="QFJ33" s="143"/>
      <c r="QFK33" s="143"/>
      <c r="QFL33" s="143"/>
      <c r="QFM33" s="143"/>
      <c r="QFN33" s="143"/>
      <c r="QFO33" s="143"/>
      <c r="QFP33" s="143"/>
      <c r="QFQ33" s="143"/>
      <c r="QFR33" s="143"/>
      <c r="QFS33" s="143"/>
      <c r="QFT33" s="143"/>
      <c r="QFU33" s="143"/>
      <c r="QFV33" s="143"/>
      <c r="QFW33" s="143"/>
      <c r="QFX33" s="143"/>
      <c r="QFY33" s="143"/>
      <c r="QFZ33" s="143"/>
      <c r="QGA33" s="143"/>
      <c r="QGB33" s="143"/>
      <c r="QGC33" s="143"/>
      <c r="QGD33" s="143"/>
      <c r="QGE33" s="143"/>
      <c r="QGF33" s="143"/>
      <c r="QGG33" s="143"/>
      <c r="QGH33" s="143"/>
      <c r="QGI33" s="143"/>
      <c r="QGJ33" s="143"/>
      <c r="QGK33" s="143"/>
      <c r="QGL33" s="143"/>
      <c r="QGM33" s="143"/>
      <c r="QGN33" s="143"/>
      <c r="QGO33" s="143"/>
      <c r="QGP33" s="143"/>
      <c r="QGQ33" s="143"/>
      <c r="QGR33" s="143"/>
      <c r="QGS33" s="143"/>
      <c r="QGT33" s="143"/>
      <c r="QGU33" s="143"/>
      <c r="QGV33" s="143"/>
      <c r="QGW33" s="143"/>
      <c r="QGX33" s="143"/>
      <c r="QGY33" s="143"/>
      <c r="QGZ33" s="143"/>
      <c r="QHA33" s="143"/>
      <c r="QHB33" s="143"/>
      <c r="QHC33" s="143"/>
      <c r="QHD33" s="143"/>
      <c r="QHE33" s="143"/>
      <c r="QHF33" s="143"/>
      <c r="QHG33" s="143"/>
      <c r="QHH33" s="143"/>
      <c r="QHI33" s="143"/>
      <c r="QHJ33" s="143"/>
      <c r="QHK33" s="143"/>
      <c r="QHL33" s="143"/>
      <c r="QHM33" s="143"/>
      <c r="QHN33" s="143"/>
      <c r="QHO33" s="143"/>
      <c r="QHP33" s="143"/>
      <c r="QHQ33" s="143"/>
      <c r="QHR33" s="143"/>
      <c r="QHS33" s="143"/>
      <c r="QHT33" s="143"/>
      <c r="QHU33" s="143"/>
      <c r="QHV33" s="143"/>
      <c r="QHW33" s="143"/>
      <c r="QHX33" s="143"/>
      <c r="QHY33" s="143"/>
      <c r="QHZ33" s="143"/>
      <c r="QIA33" s="143"/>
      <c r="QIB33" s="143"/>
      <c r="QIC33" s="143"/>
      <c r="QID33" s="143"/>
      <c r="QIE33" s="143"/>
      <c r="QIF33" s="143"/>
      <c r="QIG33" s="143"/>
      <c r="QIH33" s="143"/>
      <c r="QII33" s="143"/>
      <c r="QIJ33" s="143"/>
      <c r="QIK33" s="143"/>
      <c r="QIL33" s="143"/>
      <c r="QIM33" s="143"/>
      <c r="QIN33" s="143"/>
      <c r="QIO33" s="143"/>
      <c r="QIP33" s="143"/>
      <c r="QIQ33" s="143"/>
      <c r="QIR33" s="143"/>
      <c r="QIS33" s="143"/>
      <c r="QIT33" s="143"/>
      <c r="QIU33" s="143"/>
      <c r="QIV33" s="143"/>
      <c r="QIW33" s="143"/>
      <c r="QIX33" s="143"/>
      <c r="QIY33" s="143"/>
      <c r="QIZ33" s="143"/>
      <c r="QJA33" s="143"/>
      <c r="QJB33" s="143"/>
      <c r="QJC33" s="143"/>
      <c r="QJD33" s="143"/>
      <c r="QJE33" s="143"/>
      <c r="QJF33" s="143"/>
      <c r="QJG33" s="143"/>
      <c r="QJH33" s="143"/>
      <c r="QJI33" s="143"/>
      <c r="QJJ33" s="143"/>
      <c r="QJK33" s="143"/>
      <c r="QJL33" s="143"/>
      <c r="QJM33" s="143"/>
      <c r="QJN33" s="143"/>
      <c r="QJO33" s="143"/>
      <c r="QJP33" s="143"/>
      <c r="QJQ33" s="143"/>
      <c r="QJR33" s="143"/>
      <c r="QJS33" s="143"/>
      <c r="QJT33" s="143"/>
      <c r="QJU33" s="143"/>
      <c r="QJV33" s="143"/>
      <c r="QJW33" s="143"/>
      <c r="QJX33" s="143"/>
      <c r="QJY33" s="143"/>
      <c r="QJZ33" s="143"/>
      <c r="QKA33" s="143"/>
      <c r="QKB33" s="143"/>
      <c r="QKC33" s="143"/>
      <c r="QKD33" s="143"/>
      <c r="QKE33" s="143"/>
      <c r="QKF33" s="143"/>
      <c r="QKG33" s="143"/>
      <c r="QKH33" s="143"/>
      <c r="QKI33" s="143"/>
      <c r="QKJ33" s="143"/>
      <c r="QKK33" s="143"/>
      <c r="QKL33" s="143"/>
      <c r="QKM33" s="143"/>
      <c r="QKN33" s="143"/>
      <c r="QKO33" s="143"/>
      <c r="QKP33" s="143"/>
      <c r="QKQ33" s="143"/>
      <c r="QKR33" s="143"/>
      <c r="QKS33" s="143"/>
      <c r="QKT33" s="143"/>
      <c r="QKU33" s="143"/>
      <c r="QKV33" s="143"/>
      <c r="QKW33" s="143"/>
      <c r="QKX33" s="143"/>
      <c r="QKY33" s="143"/>
      <c r="QKZ33" s="143"/>
      <c r="QLA33" s="143"/>
      <c r="QLB33" s="143"/>
      <c r="QLC33" s="143"/>
      <c r="QLD33" s="143"/>
      <c r="QLE33" s="143"/>
      <c r="QLF33" s="143"/>
      <c r="QLG33" s="143"/>
      <c r="QLH33" s="143"/>
      <c r="QLI33" s="143"/>
      <c r="QLJ33" s="143"/>
      <c r="QLK33" s="143"/>
      <c r="QLL33" s="143"/>
      <c r="QLM33" s="143"/>
      <c r="QLN33" s="143"/>
      <c r="QLO33" s="143"/>
      <c r="QLP33" s="143"/>
      <c r="QLQ33" s="143"/>
      <c r="QLR33" s="143"/>
      <c r="QLS33" s="143"/>
      <c r="QLT33" s="143"/>
      <c r="QLU33" s="143"/>
      <c r="QLV33" s="143"/>
      <c r="QLW33" s="143"/>
      <c r="QLX33" s="143"/>
      <c r="QLY33" s="143"/>
      <c r="QLZ33" s="143"/>
      <c r="QMA33" s="143"/>
      <c r="QMB33" s="143"/>
      <c r="QMC33" s="143"/>
      <c r="QMD33" s="143"/>
      <c r="QME33" s="143"/>
      <c r="QMF33" s="143"/>
      <c r="QMG33" s="143"/>
      <c r="QMH33" s="143"/>
      <c r="QMI33" s="143"/>
      <c r="QMJ33" s="143"/>
      <c r="QMK33" s="143"/>
      <c r="QML33" s="143"/>
      <c r="QMM33" s="143"/>
      <c r="QMN33" s="143"/>
      <c r="QMO33" s="143"/>
      <c r="QMP33" s="143"/>
      <c r="QMQ33" s="143"/>
      <c r="QMR33" s="143"/>
      <c r="QMS33" s="143"/>
      <c r="QMT33" s="143"/>
      <c r="QMU33" s="143"/>
      <c r="QMV33" s="143"/>
      <c r="QMW33" s="143"/>
      <c r="QMX33" s="143"/>
      <c r="QMY33" s="143"/>
      <c r="QMZ33" s="143"/>
      <c r="QNA33" s="143"/>
      <c r="QNB33" s="143"/>
      <c r="QNC33" s="143"/>
      <c r="QND33" s="143"/>
      <c r="QNE33" s="143"/>
      <c r="QNF33" s="143"/>
      <c r="QNG33" s="143"/>
      <c r="QNH33" s="143"/>
      <c r="QNI33" s="143"/>
      <c r="QNJ33" s="143"/>
      <c r="QNK33" s="143"/>
      <c r="QNL33" s="143"/>
      <c r="QNM33" s="143"/>
      <c r="QNN33" s="143"/>
      <c r="QNO33" s="143"/>
      <c r="QNP33" s="143"/>
      <c r="QNQ33" s="143"/>
      <c r="QNR33" s="143"/>
      <c r="QNS33" s="143"/>
      <c r="QNT33" s="143"/>
      <c r="QNU33" s="143"/>
      <c r="QNV33" s="143"/>
      <c r="QNW33" s="143"/>
      <c r="QNX33" s="143"/>
      <c r="QNY33" s="143"/>
      <c r="QNZ33" s="143"/>
      <c r="QOA33" s="143"/>
      <c r="QOB33" s="143"/>
      <c r="QOC33" s="143"/>
      <c r="QOD33" s="143"/>
      <c r="QOE33" s="143"/>
      <c r="QOF33" s="143"/>
      <c r="QOG33" s="143"/>
      <c r="QOH33" s="143"/>
      <c r="QOI33" s="143"/>
      <c r="QOJ33" s="143"/>
      <c r="QOK33" s="143"/>
      <c r="QOL33" s="143"/>
      <c r="QOM33" s="143"/>
      <c r="QON33" s="143"/>
      <c r="QOO33" s="143"/>
      <c r="QOP33" s="143"/>
      <c r="QOQ33" s="143"/>
      <c r="QOR33" s="143"/>
      <c r="QOS33" s="143"/>
      <c r="QOT33" s="143"/>
      <c r="QOU33" s="143"/>
      <c r="QOV33" s="143"/>
      <c r="QOW33" s="143"/>
      <c r="QOX33" s="143"/>
      <c r="QOY33" s="143"/>
      <c r="QOZ33" s="143"/>
      <c r="QPA33" s="143"/>
      <c r="QPB33" s="143"/>
      <c r="QPC33" s="143"/>
      <c r="QPD33" s="143"/>
      <c r="QPE33" s="143"/>
      <c r="QPF33" s="143"/>
      <c r="QPG33" s="143"/>
      <c r="QPH33" s="143"/>
      <c r="QPI33" s="143"/>
      <c r="QPJ33" s="143"/>
      <c r="QPK33" s="143"/>
      <c r="QPL33" s="143"/>
      <c r="QPM33" s="143"/>
      <c r="QPN33" s="143"/>
      <c r="QPO33" s="143"/>
      <c r="QPP33" s="143"/>
      <c r="QPQ33" s="143"/>
      <c r="QPR33" s="143"/>
      <c r="QPS33" s="143"/>
      <c r="QPT33" s="143"/>
      <c r="QPU33" s="143"/>
      <c r="QPV33" s="143"/>
      <c r="QPW33" s="143"/>
      <c r="QPX33" s="143"/>
      <c r="QPY33" s="143"/>
      <c r="QPZ33" s="143"/>
      <c r="QQA33" s="143"/>
      <c r="QQB33" s="143"/>
      <c r="QQC33" s="143"/>
      <c r="QQD33" s="143"/>
      <c r="QQE33" s="143"/>
      <c r="QQF33" s="143"/>
      <c r="QQG33" s="143"/>
      <c r="QQH33" s="143"/>
      <c r="QQI33" s="143"/>
      <c r="QQJ33" s="143"/>
      <c r="QQK33" s="143"/>
      <c r="QQL33" s="143"/>
      <c r="QQM33" s="143"/>
      <c r="QQN33" s="143"/>
      <c r="QQO33" s="143"/>
      <c r="QQP33" s="143"/>
      <c r="QQQ33" s="143"/>
      <c r="QQR33" s="143"/>
      <c r="QQS33" s="143"/>
      <c r="QQT33" s="143"/>
      <c r="QQU33" s="143"/>
      <c r="QQV33" s="143"/>
      <c r="QQW33" s="143"/>
      <c r="QQX33" s="143"/>
      <c r="QQY33" s="143"/>
      <c r="QQZ33" s="143"/>
      <c r="QRA33" s="143"/>
      <c r="QRB33" s="143"/>
      <c r="QRC33" s="143"/>
      <c r="QRD33" s="143"/>
      <c r="QRE33" s="143"/>
      <c r="QRF33" s="143"/>
      <c r="QRG33" s="143"/>
      <c r="QRH33" s="143"/>
      <c r="QRI33" s="143"/>
      <c r="QRJ33" s="143"/>
      <c r="QRK33" s="143"/>
      <c r="QRL33" s="143"/>
      <c r="QRM33" s="143"/>
      <c r="QRN33" s="143"/>
      <c r="QRO33" s="143"/>
      <c r="QRP33" s="143"/>
      <c r="QRQ33" s="143"/>
      <c r="QRR33" s="143"/>
      <c r="QRS33" s="143"/>
      <c r="QRT33" s="143"/>
      <c r="QRU33" s="143"/>
      <c r="QRV33" s="143"/>
      <c r="QRW33" s="143"/>
      <c r="QRX33" s="143"/>
      <c r="QRY33" s="143"/>
      <c r="QRZ33" s="143"/>
      <c r="QSA33" s="143"/>
      <c r="QSB33" s="143"/>
      <c r="QSC33" s="143"/>
      <c r="QSD33" s="143"/>
      <c r="QSE33" s="143"/>
      <c r="QSF33" s="143"/>
      <c r="QSG33" s="143"/>
      <c r="QSH33" s="143"/>
      <c r="QSI33" s="143"/>
      <c r="QSJ33" s="143"/>
      <c r="QSK33" s="143"/>
      <c r="QSL33" s="143"/>
      <c r="QSM33" s="143"/>
      <c r="QSN33" s="143"/>
      <c r="QSO33" s="143"/>
      <c r="QSP33" s="143"/>
      <c r="QSQ33" s="143"/>
      <c r="QSR33" s="143"/>
      <c r="QSS33" s="143"/>
      <c r="QST33" s="143"/>
      <c r="QSU33" s="143"/>
      <c r="QSV33" s="143"/>
      <c r="QSW33" s="143"/>
      <c r="QSX33" s="143"/>
      <c r="QSY33" s="143"/>
      <c r="QSZ33" s="143"/>
      <c r="QTA33" s="143"/>
      <c r="QTB33" s="143"/>
      <c r="QTC33" s="143"/>
      <c r="QTD33" s="143"/>
      <c r="QTE33" s="143"/>
      <c r="QTF33" s="143"/>
      <c r="QTG33" s="143"/>
      <c r="QTH33" s="143"/>
      <c r="QTI33" s="143"/>
      <c r="QTJ33" s="143"/>
      <c r="QTK33" s="143"/>
      <c r="QTL33" s="143"/>
      <c r="QTM33" s="143"/>
      <c r="QTN33" s="143"/>
      <c r="QTO33" s="143"/>
      <c r="QTP33" s="143"/>
      <c r="QTQ33" s="143"/>
      <c r="QTR33" s="143"/>
      <c r="QTS33" s="143"/>
      <c r="QTT33" s="143"/>
      <c r="QTU33" s="143"/>
      <c r="QTV33" s="143"/>
      <c r="QTW33" s="143"/>
      <c r="QTX33" s="143"/>
      <c r="QTY33" s="143"/>
      <c r="QTZ33" s="143"/>
      <c r="QUA33" s="143"/>
      <c r="QUB33" s="143"/>
      <c r="QUC33" s="143"/>
      <c r="QUD33" s="143"/>
      <c r="QUE33" s="143"/>
      <c r="QUF33" s="143"/>
      <c r="QUG33" s="143"/>
      <c r="QUH33" s="143"/>
      <c r="QUI33" s="143"/>
      <c r="QUJ33" s="143"/>
      <c r="QUK33" s="143"/>
      <c r="QUL33" s="143"/>
      <c r="QUM33" s="143"/>
      <c r="QUN33" s="143"/>
      <c r="QUO33" s="143"/>
      <c r="QUP33" s="143"/>
      <c r="QUQ33" s="143"/>
      <c r="QUR33" s="143"/>
      <c r="QUS33" s="143"/>
      <c r="QUT33" s="143"/>
      <c r="QUU33" s="143"/>
      <c r="QUV33" s="143"/>
      <c r="QUW33" s="143"/>
      <c r="QUX33" s="143"/>
      <c r="QUY33" s="143"/>
      <c r="QUZ33" s="143"/>
      <c r="QVA33" s="143"/>
      <c r="QVB33" s="143"/>
      <c r="QVC33" s="143"/>
      <c r="QVD33" s="143"/>
      <c r="QVE33" s="143"/>
      <c r="QVF33" s="143"/>
      <c r="QVG33" s="143"/>
      <c r="QVH33" s="143"/>
      <c r="QVI33" s="143"/>
      <c r="QVJ33" s="143"/>
      <c r="QVK33" s="143"/>
      <c r="QVL33" s="143"/>
      <c r="QVM33" s="143"/>
      <c r="QVN33" s="143"/>
      <c r="QVO33" s="143"/>
      <c r="QVP33" s="143"/>
      <c r="QVQ33" s="143"/>
      <c r="QVR33" s="143"/>
      <c r="QVS33" s="143"/>
      <c r="QVT33" s="143"/>
      <c r="QVU33" s="143"/>
      <c r="QVV33" s="143"/>
      <c r="QVW33" s="143"/>
      <c r="QVX33" s="143"/>
      <c r="QVY33" s="143"/>
      <c r="QVZ33" s="143"/>
      <c r="QWA33" s="143"/>
      <c r="QWB33" s="143"/>
      <c r="QWC33" s="143"/>
      <c r="QWD33" s="143"/>
      <c r="QWE33" s="143"/>
      <c r="QWF33" s="143"/>
      <c r="QWG33" s="143"/>
      <c r="QWH33" s="143"/>
      <c r="QWI33" s="143"/>
      <c r="QWJ33" s="143"/>
      <c r="QWK33" s="143"/>
      <c r="QWL33" s="143"/>
      <c r="QWM33" s="143"/>
      <c r="QWN33" s="143"/>
      <c r="QWO33" s="143"/>
      <c r="QWP33" s="143"/>
      <c r="QWQ33" s="143"/>
      <c r="QWR33" s="143"/>
      <c r="QWS33" s="143"/>
      <c r="QWT33" s="143"/>
      <c r="QWU33" s="143"/>
      <c r="QWV33" s="143"/>
      <c r="QWW33" s="143"/>
      <c r="QWX33" s="143"/>
      <c r="QWY33" s="143"/>
      <c r="QWZ33" s="143"/>
      <c r="QXA33" s="143"/>
      <c r="QXB33" s="143"/>
      <c r="QXC33" s="143"/>
      <c r="QXD33" s="143"/>
      <c r="QXE33" s="143"/>
      <c r="QXF33" s="143"/>
      <c r="QXG33" s="143"/>
      <c r="QXH33" s="143"/>
      <c r="QXI33" s="143"/>
      <c r="QXJ33" s="143"/>
      <c r="QXK33" s="143"/>
      <c r="QXL33" s="143"/>
      <c r="QXM33" s="143"/>
      <c r="QXN33" s="143"/>
      <c r="QXO33" s="143"/>
      <c r="QXP33" s="143"/>
      <c r="QXQ33" s="143"/>
      <c r="QXR33" s="143"/>
      <c r="QXS33" s="143"/>
      <c r="QXT33" s="143"/>
      <c r="QXU33" s="143"/>
      <c r="QXV33" s="143"/>
      <c r="QXW33" s="143"/>
      <c r="QXX33" s="143"/>
      <c r="QXY33" s="143"/>
      <c r="QXZ33" s="143"/>
      <c r="QYA33" s="143"/>
      <c r="QYB33" s="143"/>
      <c r="QYC33" s="143"/>
      <c r="QYD33" s="143"/>
      <c r="QYE33" s="143"/>
      <c r="QYF33" s="143"/>
      <c r="QYG33" s="143"/>
      <c r="QYH33" s="143"/>
      <c r="QYI33" s="143"/>
      <c r="QYJ33" s="143"/>
      <c r="QYK33" s="143"/>
      <c r="QYL33" s="143"/>
      <c r="QYM33" s="143"/>
      <c r="QYN33" s="143"/>
      <c r="QYO33" s="143"/>
      <c r="QYP33" s="143"/>
      <c r="QYQ33" s="143"/>
      <c r="QYR33" s="143"/>
      <c r="QYS33" s="143"/>
      <c r="QYT33" s="143"/>
      <c r="QYU33" s="143"/>
      <c r="QYV33" s="143"/>
      <c r="QYW33" s="143"/>
      <c r="QYX33" s="143"/>
      <c r="QYY33" s="143"/>
      <c r="QYZ33" s="143"/>
      <c r="QZA33" s="143"/>
      <c r="QZB33" s="143"/>
      <c r="QZC33" s="143"/>
      <c r="QZD33" s="143"/>
      <c r="QZE33" s="143"/>
      <c r="QZF33" s="143"/>
      <c r="QZG33" s="143"/>
      <c r="QZH33" s="143"/>
      <c r="QZI33" s="143"/>
      <c r="QZJ33" s="143"/>
      <c r="QZK33" s="143"/>
      <c r="QZL33" s="143"/>
      <c r="QZM33" s="143"/>
      <c r="QZN33" s="143"/>
      <c r="QZO33" s="143"/>
      <c r="QZP33" s="143"/>
      <c r="QZQ33" s="143"/>
      <c r="QZR33" s="143"/>
      <c r="QZS33" s="143"/>
      <c r="QZT33" s="143"/>
      <c r="QZU33" s="143"/>
      <c r="QZV33" s="143"/>
      <c r="QZW33" s="143"/>
      <c r="QZX33" s="143"/>
      <c r="QZY33" s="143"/>
      <c r="QZZ33" s="143"/>
      <c r="RAA33" s="143"/>
      <c r="RAB33" s="143"/>
      <c r="RAC33" s="143"/>
      <c r="RAD33" s="143"/>
      <c r="RAE33" s="143"/>
      <c r="RAF33" s="143"/>
      <c r="RAG33" s="143"/>
      <c r="RAH33" s="143"/>
      <c r="RAI33" s="143"/>
      <c r="RAJ33" s="143"/>
      <c r="RAK33" s="143"/>
      <c r="RAL33" s="143"/>
      <c r="RAM33" s="143"/>
      <c r="RAN33" s="143"/>
      <c r="RAO33" s="143"/>
      <c r="RAP33" s="143"/>
      <c r="RAQ33" s="143"/>
      <c r="RAR33" s="143"/>
      <c r="RAS33" s="143"/>
      <c r="RAT33" s="143"/>
      <c r="RAU33" s="143"/>
      <c r="RAV33" s="143"/>
      <c r="RAW33" s="143"/>
      <c r="RAX33" s="143"/>
      <c r="RAY33" s="143"/>
      <c r="RAZ33" s="143"/>
      <c r="RBA33" s="143"/>
      <c r="RBB33" s="143"/>
      <c r="RBC33" s="143"/>
      <c r="RBD33" s="143"/>
      <c r="RBE33" s="143"/>
      <c r="RBF33" s="143"/>
      <c r="RBG33" s="143"/>
      <c r="RBH33" s="143"/>
      <c r="RBI33" s="143"/>
      <c r="RBJ33" s="143"/>
      <c r="RBK33" s="143"/>
      <c r="RBL33" s="143"/>
      <c r="RBM33" s="143"/>
      <c r="RBN33" s="143"/>
      <c r="RBO33" s="143"/>
      <c r="RBP33" s="143"/>
      <c r="RBQ33" s="143"/>
      <c r="RBR33" s="143"/>
      <c r="RBS33" s="143"/>
      <c r="RBT33" s="143"/>
      <c r="RBU33" s="143"/>
      <c r="RBV33" s="143"/>
      <c r="RBW33" s="143"/>
      <c r="RBX33" s="143"/>
      <c r="RBY33" s="143"/>
      <c r="RBZ33" s="143"/>
      <c r="RCA33" s="143"/>
      <c r="RCB33" s="143"/>
      <c r="RCC33" s="143"/>
      <c r="RCD33" s="143"/>
      <c r="RCE33" s="143"/>
      <c r="RCF33" s="143"/>
      <c r="RCG33" s="143"/>
      <c r="RCH33" s="143"/>
      <c r="RCI33" s="143"/>
      <c r="RCJ33" s="143"/>
      <c r="RCK33" s="143"/>
      <c r="RCL33" s="143"/>
      <c r="RCM33" s="143"/>
      <c r="RCN33" s="143"/>
      <c r="RCO33" s="143"/>
      <c r="RCP33" s="143"/>
      <c r="RCQ33" s="143"/>
      <c r="RCR33" s="143"/>
      <c r="RCS33" s="143"/>
      <c r="RCT33" s="143"/>
      <c r="RCU33" s="143"/>
      <c r="RCV33" s="143"/>
      <c r="RCW33" s="143"/>
      <c r="RCX33" s="143"/>
      <c r="RCY33" s="143"/>
      <c r="RCZ33" s="143"/>
      <c r="RDA33" s="143"/>
      <c r="RDB33" s="143"/>
      <c r="RDC33" s="143"/>
      <c r="RDD33" s="143"/>
      <c r="RDE33" s="143"/>
      <c r="RDF33" s="143"/>
      <c r="RDG33" s="143"/>
      <c r="RDH33" s="143"/>
      <c r="RDI33" s="143"/>
      <c r="RDJ33" s="143"/>
      <c r="RDK33" s="143"/>
      <c r="RDL33" s="143"/>
      <c r="RDM33" s="143"/>
      <c r="RDN33" s="143"/>
      <c r="RDO33" s="143"/>
      <c r="RDP33" s="143"/>
      <c r="RDQ33" s="143"/>
      <c r="RDR33" s="143"/>
      <c r="RDS33" s="143"/>
      <c r="RDT33" s="143"/>
      <c r="RDU33" s="143"/>
      <c r="RDV33" s="143"/>
      <c r="RDW33" s="143"/>
      <c r="RDX33" s="143"/>
      <c r="RDY33" s="143"/>
      <c r="RDZ33" s="143"/>
      <c r="REA33" s="143"/>
      <c r="REB33" s="143"/>
      <c r="REC33" s="143"/>
      <c r="RED33" s="143"/>
      <c r="REE33" s="143"/>
      <c r="REF33" s="143"/>
      <c r="REG33" s="143"/>
      <c r="REH33" s="143"/>
      <c r="REI33" s="143"/>
      <c r="REJ33" s="143"/>
      <c r="REK33" s="143"/>
      <c r="REL33" s="143"/>
      <c r="REM33" s="143"/>
      <c r="REN33" s="143"/>
      <c r="REO33" s="143"/>
      <c r="REP33" s="143"/>
      <c r="REQ33" s="143"/>
      <c r="RER33" s="143"/>
      <c r="RES33" s="143"/>
      <c r="RET33" s="143"/>
      <c r="REU33" s="143"/>
      <c r="REV33" s="143"/>
      <c r="REW33" s="143"/>
      <c r="REX33" s="143"/>
      <c r="REY33" s="143"/>
      <c r="REZ33" s="143"/>
      <c r="RFA33" s="143"/>
      <c r="RFB33" s="143"/>
      <c r="RFC33" s="143"/>
      <c r="RFD33" s="143"/>
      <c r="RFE33" s="143"/>
      <c r="RFF33" s="143"/>
      <c r="RFG33" s="143"/>
      <c r="RFH33" s="143"/>
      <c r="RFI33" s="143"/>
      <c r="RFJ33" s="143"/>
      <c r="RFK33" s="143"/>
      <c r="RFL33" s="143"/>
      <c r="RFM33" s="143"/>
      <c r="RFN33" s="143"/>
      <c r="RFO33" s="143"/>
      <c r="RFP33" s="143"/>
      <c r="RFQ33" s="143"/>
      <c r="RFR33" s="143"/>
      <c r="RFS33" s="143"/>
      <c r="RFT33" s="143"/>
      <c r="RFU33" s="143"/>
      <c r="RFV33" s="143"/>
      <c r="RFW33" s="143"/>
      <c r="RFX33" s="143"/>
      <c r="RFY33" s="143"/>
      <c r="RFZ33" s="143"/>
      <c r="RGA33" s="143"/>
      <c r="RGB33" s="143"/>
      <c r="RGC33" s="143"/>
      <c r="RGD33" s="143"/>
      <c r="RGE33" s="143"/>
      <c r="RGF33" s="143"/>
      <c r="RGG33" s="143"/>
      <c r="RGH33" s="143"/>
      <c r="RGI33" s="143"/>
      <c r="RGJ33" s="143"/>
      <c r="RGK33" s="143"/>
      <c r="RGL33" s="143"/>
      <c r="RGM33" s="143"/>
      <c r="RGN33" s="143"/>
      <c r="RGO33" s="143"/>
      <c r="RGP33" s="143"/>
      <c r="RGQ33" s="143"/>
      <c r="RGR33" s="143"/>
      <c r="RGS33" s="143"/>
      <c r="RGT33" s="143"/>
      <c r="RGU33" s="143"/>
      <c r="RGV33" s="143"/>
      <c r="RGW33" s="143"/>
      <c r="RGX33" s="143"/>
      <c r="RGY33" s="143"/>
      <c r="RGZ33" s="143"/>
      <c r="RHA33" s="143"/>
      <c r="RHB33" s="143"/>
      <c r="RHC33" s="143"/>
      <c r="RHD33" s="143"/>
      <c r="RHE33" s="143"/>
      <c r="RHF33" s="143"/>
      <c r="RHG33" s="143"/>
      <c r="RHH33" s="143"/>
      <c r="RHI33" s="143"/>
      <c r="RHJ33" s="143"/>
      <c r="RHK33" s="143"/>
      <c r="RHL33" s="143"/>
      <c r="RHM33" s="143"/>
      <c r="RHN33" s="143"/>
      <c r="RHO33" s="143"/>
      <c r="RHP33" s="143"/>
      <c r="RHQ33" s="143"/>
      <c r="RHR33" s="143"/>
      <c r="RHS33" s="143"/>
      <c r="RHT33" s="143"/>
      <c r="RHU33" s="143"/>
      <c r="RHV33" s="143"/>
      <c r="RHW33" s="143"/>
      <c r="RHX33" s="143"/>
      <c r="RHY33" s="143"/>
      <c r="RHZ33" s="143"/>
      <c r="RIA33" s="143"/>
      <c r="RIB33" s="143"/>
      <c r="RIC33" s="143"/>
      <c r="RID33" s="143"/>
      <c r="RIE33" s="143"/>
      <c r="RIF33" s="143"/>
      <c r="RIG33" s="143"/>
      <c r="RIH33" s="143"/>
      <c r="RII33" s="143"/>
      <c r="RIJ33" s="143"/>
      <c r="RIK33" s="143"/>
      <c r="RIL33" s="143"/>
      <c r="RIM33" s="143"/>
      <c r="RIN33" s="143"/>
      <c r="RIO33" s="143"/>
      <c r="RIP33" s="143"/>
      <c r="RIQ33" s="143"/>
      <c r="RIR33" s="143"/>
      <c r="RIS33" s="143"/>
      <c r="RIT33" s="143"/>
      <c r="RIU33" s="143"/>
      <c r="RIV33" s="143"/>
      <c r="RIW33" s="143"/>
      <c r="RIX33" s="143"/>
      <c r="RIY33" s="143"/>
      <c r="RIZ33" s="143"/>
      <c r="RJA33" s="143"/>
      <c r="RJB33" s="143"/>
      <c r="RJC33" s="143"/>
      <c r="RJD33" s="143"/>
      <c r="RJE33" s="143"/>
      <c r="RJF33" s="143"/>
      <c r="RJG33" s="143"/>
      <c r="RJH33" s="143"/>
      <c r="RJI33" s="143"/>
      <c r="RJJ33" s="143"/>
      <c r="RJK33" s="143"/>
      <c r="RJL33" s="143"/>
      <c r="RJM33" s="143"/>
      <c r="RJN33" s="143"/>
      <c r="RJO33" s="143"/>
      <c r="RJP33" s="143"/>
      <c r="RJQ33" s="143"/>
      <c r="RJR33" s="143"/>
      <c r="RJS33" s="143"/>
      <c r="RJT33" s="143"/>
      <c r="RJU33" s="143"/>
      <c r="RJV33" s="143"/>
      <c r="RJW33" s="143"/>
      <c r="RJX33" s="143"/>
      <c r="RJY33" s="143"/>
      <c r="RJZ33" s="143"/>
      <c r="RKA33" s="143"/>
      <c r="RKB33" s="143"/>
      <c r="RKC33" s="143"/>
      <c r="RKD33" s="143"/>
      <c r="RKE33" s="143"/>
      <c r="RKF33" s="143"/>
      <c r="RKG33" s="143"/>
      <c r="RKH33" s="143"/>
      <c r="RKI33" s="143"/>
      <c r="RKJ33" s="143"/>
      <c r="RKK33" s="143"/>
      <c r="RKL33" s="143"/>
      <c r="RKM33" s="143"/>
      <c r="RKN33" s="143"/>
      <c r="RKO33" s="143"/>
      <c r="RKP33" s="143"/>
      <c r="RKQ33" s="143"/>
      <c r="RKR33" s="143"/>
      <c r="RKS33" s="143"/>
      <c r="RKT33" s="143"/>
      <c r="RKU33" s="143"/>
      <c r="RKV33" s="143"/>
      <c r="RKW33" s="143"/>
      <c r="RKX33" s="143"/>
      <c r="RKY33" s="143"/>
      <c r="RKZ33" s="143"/>
      <c r="RLA33" s="143"/>
      <c r="RLB33" s="143"/>
      <c r="RLC33" s="143"/>
      <c r="RLD33" s="143"/>
      <c r="RLE33" s="143"/>
      <c r="RLF33" s="143"/>
      <c r="RLG33" s="143"/>
      <c r="RLH33" s="143"/>
      <c r="RLI33" s="143"/>
      <c r="RLJ33" s="143"/>
      <c r="RLK33" s="143"/>
      <c r="RLL33" s="143"/>
      <c r="RLM33" s="143"/>
      <c r="RLN33" s="143"/>
      <c r="RLO33" s="143"/>
      <c r="RLP33" s="143"/>
      <c r="RLQ33" s="143"/>
      <c r="RLR33" s="143"/>
      <c r="RLS33" s="143"/>
      <c r="RLT33" s="143"/>
      <c r="RLU33" s="143"/>
      <c r="RLV33" s="143"/>
      <c r="RLW33" s="143"/>
      <c r="RLX33" s="143"/>
      <c r="RLY33" s="143"/>
      <c r="RLZ33" s="143"/>
      <c r="RMA33" s="143"/>
      <c r="RMB33" s="143"/>
      <c r="RMC33" s="143"/>
      <c r="RMD33" s="143"/>
      <c r="RME33" s="143"/>
      <c r="RMF33" s="143"/>
      <c r="RMG33" s="143"/>
      <c r="RMH33" s="143"/>
      <c r="RMI33" s="143"/>
      <c r="RMJ33" s="143"/>
      <c r="RMK33" s="143"/>
      <c r="RML33" s="143"/>
      <c r="RMM33" s="143"/>
      <c r="RMN33" s="143"/>
      <c r="RMO33" s="143"/>
      <c r="RMP33" s="143"/>
      <c r="RMQ33" s="143"/>
      <c r="RMR33" s="143"/>
      <c r="RMS33" s="143"/>
      <c r="RMT33" s="143"/>
      <c r="RMU33" s="143"/>
      <c r="RMV33" s="143"/>
      <c r="RMW33" s="143"/>
      <c r="RMX33" s="143"/>
      <c r="RMY33" s="143"/>
      <c r="RMZ33" s="143"/>
      <c r="RNA33" s="143"/>
      <c r="RNB33" s="143"/>
      <c r="RNC33" s="143"/>
      <c r="RND33" s="143"/>
      <c r="RNE33" s="143"/>
      <c r="RNF33" s="143"/>
      <c r="RNG33" s="143"/>
      <c r="RNH33" s="143"/>
      <c r="RNI33" s="143"/>
      <c r="RNJ33" s="143"/>
      <c r="RNK33" s="143"/>
      <c r="RNL33" s="143"/>
      <c r="RNM33" s="143"/>
      <c r="RNN33" s="143"/>
      <c r="RNO33" s="143"/>
      <c r="RNP33" s="143"/>
      <c r="RNQ33" s="143"/>
      <c r="RNR33" s="143"/>
      <c r="RNS33" s="143"/>
      <c r="RNT33" s="143"/>
      <c r="RNU33" s="143"/>
      <c r="RNV33" s="143"/>
      <c r="RNW33" s="143"/>
      <c r="RNX33" s="143"/>
      <c r="RNY33" s="143"/>
      <c r="RNZ33" s="143"/>
      <c r="ROA33" s="143"/>
      <c r="ROB33" s="143"/>
      <c r="ROC33" s="143"/>
      <c r="ROD33" s="143"/>
      <c r="ROE33" s="143"/>
      <c r="ROF33" s="143"/>
      <c r="ROG33" s="143"/>
      <c r="ROH33" s="143"/>
      <c r="ROI33" s="143"/>
      <c r="ROJ33" s="143"/>
      <c r="ROK33" s="143"/>
      <c r="ROL33" s="143"/>
      <c r="ROM33" s="143"/>
      <c r="RON33" s="143"/>
      <c r="ROO33" s="143"/>
      <c r="ROP33" s="143"/>
      <c r="ROQ33" s="143"/>
      <c r="ROR33" s="143"/>
      <c r="ROS33" s="143"/>
      <c r="ROT33" s="143"/>
      <c r="ROU33" s="143"/>
      <c r="ROV33" s="143"/>
      <c r="ROW33" s="143"/>
      <c r="ROX33" s="143"/>
      <c r="ROY33" s="143"/>
      <c r="ROZ33" s="143"/>
      <c r="RPA33" s="143"/>
      <c r="RPB33" s="143"/>
      <c r="RPC33" s="143"/>
      <c r="RPD33" s="143"/>
      <c r="RPE33" s="143"/>
      <c r="RPF33" s="143"/>
      <c r="RPG33" s="143"/>
      <c r="RPH33" s="143"/>
      <c r="RPI33" s="143"/>
      <c r="RPJ33" s="143"/>
      <c r="RPK33" s="143"/>
      <c r="RPL33" s="143"/>
      <c r="RPM33" s="143"/>
      <c r="RPN33" s="143"/>
      <c r="RPO33" s="143"/>
      <c r="RPP33" s="143"/>
      <c r="RPQ33" s="143"/>
      <c r="RPR33" s="143"/>
      <c r="RPS33" s="143"/>
      <c r="RPT33" s="143"/>
      <c r="RPU33" s="143"/>
      <c r="RPV33" s="143"/>
      <c r="RPW33" s="143"/>
      <c r="RPX33" s="143"/>
      <c r="RPY33" s="143"/>
      <c r="RPZ33" s="143"/>
      <c r="RQA33" s="143"/>
      <c r="RQB33" s="143"/>
      <c r="RQC33" s="143"/>
      <c r="RQD33" s="143"/>
      <c r="RQE33" s="143"/>
      <c r="RQF33" s="143"/>
      <c r="RQG33" s="143"/>
      <c r="RQH33" s="143"/>
      <c r="RQI33" s="143"/>
      <c r="RQJ33" s="143"/>
      <c r="RQK33" s="143"/>
      <c r="RQL33" s="143"/>
      <c r="RQM33" s="143"/>
      <c r="RQN33" s="143"/>
      <c r="RQO33" s="143"/>
      <c r="RQP33" s="143"/>
      <c r="RQQ33" s="143"/>
      <c r="RQR33" s="143"/>
      <c r="RQS33" s="143"/>
      <c r="RQT33" s="143"/>
      <c r="RQU33" s="143"/>
      <c r="RQV33" s="143"/>
      <c r="RQW33" s="143"/>
      <c r="RQX33" s="143"/>
      <c r="RQY33" s="143"/>
      <c r="RQZ33" s="143"/>
      <c r="RRA33" s="143"/>
      <c r="RRB33" s="143"/>
      <c r="RRC33" s="143"/>
      <c r="RRD33" s="143"/>
      <c r="RRE33" s="143"/>
      <c r="RRF33" s="143"/>
      <c r="RRG33" s="143"/>
      <c r="RRH33" s="143"/>
      <c r="RRI33" s="143"/>
      <c r="RRJ33" s="143"/>
      <c r="RRK33" s="143"/>
      <c r="RRL33" s="143"/>
      <c r="RRM33" s="143"/>
      <c r="RRN33" s="143"/>
      <c r="RRO33" s="143"/>
      <c r="RRP33" s="143"/>
      <c r="RRQ33" s="143"/>
      <c r="RRR33" s="143"/>
      <c r="RRS33" s="143"/>
      <c r="RRT33" s="143"/>
      <c r="RRU33" s="143"/>
      <c r="RRV33" s="143"/>
      <c r="RRW33" s="143"/>
      <c r="RRX33" s="143"/>
      <c r="RRY33" s="143"/>
      <c r="RRZ33" s="143"/>
      <c r="RSA33" s="143"/>
      <c r="RSB33" s="143"/>
      <c r="RSC33" s="143"/>
      <c r="RSD33" s="143"/>
      <c r="RSE33" s="143"/>
      <c r="RSF33" s="143"/>
      <c r="RSG33" s="143"/>
      <c r="RSH33" s="143"/>
      <c r="RSI33" s="143"/>
      <c r="RSJ33" s="143"/>
      <c r="RSK33" s="143"/>
      <c r="RSL33" s="143"/>
      <c r="RSM33" s="143"/>
      <c r="RSN33" s="143"/>
      <c r="RSO33" s="143"/>
      <c r="RSP33" s="143"/>
      <c r="RSQ33" s="143"/>
      <c r="RSR33" s="143"/>
      <c r="RSS33" s="143"/>
      <c r="RST33" s="143"/>
      <c r="RSU33" s="143"/>
      <c r="RSV33" s="143"/>
      <c r="RSW33" s="143"/>
      <c r="RSX33" s="143"/>
      <c r="RSY33" s="143"/>
      <c r="RSZ33" s="143"/>
      <c r="RTA33" s="143"/>
      <c r="RTB33" s="143"/>
      <c r="RTC33" s="143"/>
      <c r="RTD33" s="143"/>
      <c r="RTE33" s="143"/>
      <c r="RTF33" s="143"/>
      <c r="RTG33" s="143"/>
      <c r="RTH33" s="143"/>
      <c r="RTI33" s="143"/>
      <c r="RTJ33" s="143"/>
      <c r="RTK33" s="143"/>
      <c r="RTL33" s="143"/>
      <c r="RTM33" s="143"/>
      <c r="RTN33" s="143"/>
      <c r="RTO33" s="143"/>
      <c r="RTP33" s="143"/>
      <c r="RTQ33" s="143"/>
      <c r="RTR33" s="143"/>
      <c r="RTS33" s="143"/>
      <c r="RTT33" s="143"/>
      <c r="RTU33" s="143"/>
      <c r="RTV33" s="143"/>
      <c r="RTW33" s="143"/>
      <c r="RTX33" s="143"/>
      <c r="RTY33" s="143"/>
      <c r="RTZ33" s="143"/>
      <c r="RUA33" s="143"/>
      <c r="RUB33" s="143"/>
      <c r="RUC33" s="143"/>
      <c r="RUD33" s="143"/>
      <c r="RUE33" s="143"/>
      <c r="RUF33" s="143"/>
      <c r="RUG33" s="143"/>
      <c r="RUH33" s="143"/>
      <c r="RUI33" s="143"/>
      <c r="RUJ33" s="143"/>
      <c r="RUK33" s="143"/>
      <c r="RUL33" s="143"/>
      <c r="RUM33" s="143"/>
      <c r="RUN33" s="143"/>
      <c r="RUO33" s="143"/>
      <c r="RUP33" s="143"/>
      <c r="RUQ33" s="143"/>
      <c r="RUR33" s="143"/>
      <c r="RUS33" s="143"/>
      <c r="RUT33" s="143"/>
      <c r="RUU33" s="143"/>
      <c r="RUV33" s="143"/>
      <c r="RUW33" s="143"/>
      <c r="RUX33" s="143"/>
      <c r="RUY33" s="143"/>
      <c r="RUZ33" s="143"/>
      <c r="RVA33" s="143"/>
      <c r="RVB33" s="143"/>
      <c r="RVC33" s="143"/>
      <c r="RVD33" s="143"/>
      <c r="RVE33" s="143"/>
      <c r="RVF33" s="143"/>
      <c r="RVG33" s="143"/>
      <c r="RVH33" s="143"/>
      <c r="RVI33" s="143"/>
      <c r="RVJ33" s="143"/>
      <c r="RVK33" s="143"/>
      <c r="RVL33" s="143"/>
      <c r="RVM33" s="143"/>
      <c r="RVN33" s="143"/>
      <c r="RVO33" s="143"/>
      <c r="RVP33" s="143"/>
      <c r="RVQ33" s="143"/>
      <c r="RVR33" s="143"/>
      <c r="RVS33" s="143"/>
      <c r="RVT33" s="143"/>
      <c r="RVU33" s="143"/>
      <c r="RVV33" s="143"/>
      <c r="RVW33" s="143"/>
      <c r="RVX33" s="143"/>
      <c r="RVY33" s="143"/>
      <c r="RVZ33" s="143"/>
      <c r="RWA33" s="143"/>
      <c r="RWB33" s="143"/>
      <c r="RWC33" s="143"/>
      <c r="RWD33" s="143"/>
      <c r="RWE33" s="143"/>
      <c r="RWF33" s="143"/>
      <c r="RWG33" s="143"/>
      <c r="RWH33" s="143"/>
      <c r="RWI33" s="143"/>
      <c r="RWJ33" s="143"/>
      <c r="RWK33" s="143"/>
      <c r="RWL33" s="143"/>
      <c r="RWM33" s="143"/>
      <c r="RWN33" s="143"/>
      <c r="RWO33" s="143"/>
      <c r="RWP33" s="143"/>
      <c r="RWQ33" s="143"/>
      <c r="RWR33" s="143"/>
      <c r="RWS33" s="143"/>
      <c r="RWT33" s="143"/>
      <c r="RWU33" s="143"/>
      <c r="RWV33" s="143"/>
      <c r="RWW33" s="143"/>
      <c r="RWX33" s="143"/>
      <c r="RWY33" s="143"/>
      <c r="RWZ33" s="143"/>
      <c r="RXA33" s="143"/>
      <c r="RXB33" s="143"/>
      <c r="RXC33" s="143"/>
      <c r="RXD33" s="143"/>
      <c r="RXE33" s="143"/>
      <c r="RXF33" s="143"/>
      <c r="RXG33" s="143"/>
      <c r="RXH33" s="143"/>
      <c r="RXI33" s="143"/>
      <c r="RXJ33" s="143"/>
      <c r="RXK33" s="143"/>
      <c r="RXL33" s="143"/>
      <c r="RXM33" s="143"/>
      <c r="RXN33" s="143"/>
      <c r="RXO33" s="143"/>
      <c r="RXP33" s="143"/>
      <c r="RXQ33" s="143"/>
      <c r="RXR33" s="143"/>
      <c r="RXS33" s="143"/>
      <c r="RXT33" s="143"/>
      <c r="RXU33" s="143"/>
      <c r="RXV33" s="143"/>
      <c r="RXW33" s="143"/>
      <c r="RXX33" s="143"/>
      <c r="RXY33" s="143"/>
      <c r="RXZ33" s="143"/>
      <c r="RYA33" s="143"/>
      <c r="RYB33" s="143"/>
      <c r="RYC33" s="143"/>
      <c r="RYD33" s="143"/>
      <c r="RYE33" s="143"/>
      <c r="RYF33" s="143"/>
      <c r="RYG33" s="143"/>
      <c r="RYH33" s="143"/>
      <c r="RYI33" s="143"/>
      <c r="RYJ33" s="143"/>
      <c r="RYK33" s="143"/>
      <c r="RYL33" s="143"/>
      <c r="RYM33" s="143"/>
      <c r="RYN33" s="143"/>
      <c r="RYO33" s="143"/>
      <c r="RYP33" s="143"/>
      <c r="RYQ33" s="143"/>
      <c r="RYR33" s="143"/>
      <c r="RYS33" s="143"/>
      <c r="RYT33" s="143"/>
      <c r="RYU33" s="143"/>
      <c r="RYV33" s="143"/>
      <c r="RYW33" s="143"/>
      <c r="RYX33" s="143"/>
      <c r="RYY33" s="143"/>
      <c r="RYZ33" s="143"/>
      <c r="RZA33" s="143"/>
      <c r="RZB33" s="143"/>
      <c r="RZC33" s="143"/>
      <c r="RZD33" s="143"/>
      <c r="RZE33" s="143"/>
      <c r="RZF33" s="143"/>
      <c r="RZG33" s="143"/>
      <c r="RZH33" s="143"/>
      <c r="RZI33" s="143"/>
      <c r="RZJ33" s="143"/>
      <c r="RZK33" s="143"/>
      <c r="RZL33" s="143"/>
      <c r="RZM33" s="143"/>
      <c r="RZN33" s="143"/>
      <c r="RZO33" s="143"/>
      <c r="RZP33" s="143"/>
      <c r="RZQ33" s="143"/>
      <c r="RZR33" s="143"/>
      <c r="RZS33" s="143"/>
      <c r="RZT33" s="143"/>
      <c r="RZU33" s="143"/>
      <c r="RZV33" s="143"/>
      <c r="RZW33" s="143"/>
      <c r="RZX33" s="143"/>
      <c r="RZY33" s="143"/>
      <c r="RZZ33" s="143"/>
      <c r="SAA33" s="143"/>
      <c r="SAB33" s="143"/>
      <c r="SAC33" s="143"/>
      <c r="SAD33" s="143"/>
      <c r="SAE33" s="143"/>
      <c r="SAF33" s="143"/>
      <c r="SAG33" s="143"/>
      <c r="SAH33" s="143"/>
      <c r="SAI33" s="143"/>
      <c r="SAJ33" s="143"/>
      <c r="SAK33" s="143"/>
      <c r="SAL33" s="143"/>
      <c r="SAM33" s="143"/>
      <c r="SAN33" s="143"/>
      <c r="SAO33" s="143"/>
      <c r="SAP33" s="143"/>
      <c r="SAQ33" s="143"/>
      <c r="SAR33" s="143"/>
      <c r="SAS33" s="143"/>
      <c r="SAT33" s="143"/>
      <c r="SAU33" s="143"/>
      <c r="SAV33" s="143"/>
      <c r="SAW33" s="143"/>
      <c r="SAX33" s="143"/>
      <c r="SAY33" s="143"/>
      <c r="SAZ33" s="143"/>
      <c r="SBA33" s="143"/>
      <c r="SBB33" s="143"/>
      <c r="SBC33" s="143"/>
      <c r="SBD33" s="143"/>
      <c r="SBE33" s="143"/>
      <c r="SBF33" s="143"/>
      <c r="SBG33" s="143"/>
      <c r="SBH33" s="143"/>
      <c r="SBI33" s="143"/>
      <c r="SBJ33" s="143"/>
      <c r="SBK33" s="143"/>
      <c r="SBL33" s="143"/>
      <c r="SBM33" s="143"/>
      <c r="SBN33" s="143"/>
      <c r="SBO33" s="143"/>
      <c r="SBP33" s="143"/>
      <c r="SBQ33" s="143"/>
      <c r="SBR33" s="143"/>
      <c r="SBS33" s="143"/>
      <c r="SBT33" s="143"/>
      <c r="SBU33" s="143"/>
      <c r="SBV33" s="143"/>
      <c r="SBW33" s="143"/>
      <c r="SBX33" s="143"/>
      <c r="SBY33" s="143"/>
      <c r="SBZ33" s="143"/>
      <c r="SCA33" s="143"/>
      <c r="SCB33" s="143"/>
      <c r="SCC33" s="143"/>
      <c r="SCD33" s="143"/>
      <c r="SCE33" s="143"/>
      <c r="SCF33" s="143"/>
      <c r="SCG33" s="143"/>
      <c r="SCH33" s="143"/>
      <c r="SCI33" s="143"/>
      <c r="SCJ33" s="143"/>
      <c r="SCK33" s="143"/>
      <c r="SCL33" s="143"/>
      <c r="SCM33" s="143"/>
      <c r="SCN33" s="143"/>
      <c r="SCO33" s="143"/>
      <c r="SCP33" s="143"/>
      <c r="SCQ33" s="143"/>
      <c r="SCR33" s="143"/>
      <c r="SCS33" s="143"/>
      <c r="SCT33" s="143"/>
      <c r="SCU33" s="143"/>
      <c r="SCV33" s="143"/>
      <c r="SCW33" s="143"/>
      <c r="SCX33" s="143"/>
      <c r="SCY33" s="143"/>
      <c r="SCZ33" s="143"/>
      <c r="SDA33" s="143"/>
      <c r="SDB33" s="143"/>
      <c r="SDC33" s="143"/>
      <c r="SDD33" s="143"/>
      <c r="SDE33" s="143"/>
      <c r="SDF33" s="143"/>
      <c r="SDG33" s="143"/>
      <c r="SDH33" s="143"/>
      <c r="SDI33" s="143"/>
      <c r="SDJ33" s="143"/>
      <c r="SDK33" s="143"/>
      <c r="SDL33" s="143"/>
      <c r="SDM33" s="143"/>
      <c r="SDN33" s="143"/>
      <c r="SDO33" s="143"/>
      <c r="SDP33" s="143"/>
      <c r="SDQ33" s="143"/>
      <c r="SDR33" s="143"/>
      <c r="SDS33" s="143"/>
      <c r="SDT33" s="143"/>
      <c r="SDU33" s="143"/>
      <c r="SDV33" s="143"/>
      <c r="SDW33" s="143"/>
      <c r="SDX33" s="143"/>
      <c r="SDY33" s="143"/>
      <c r="SDZ33" s="143"/>
      <c r="SEA33" s="143"/>
      <c r="SEB33" s="143"/>
      <c r="SEC33" s="143"/>
      <c r="SED33" s="143"/>
      <c r="SEE33" s="143"/>
      <c r="SEF33" s="143"/>
      <c r="SEG33" s="143"/>
      <c r="SEH33" s="143"/>
      <c r="SEI33" s="143"/>
      <c r="SEJ33" s="143"/>
      <c r="SEK33" s="143"/>
      <c r="SEL33" s="143"/>
      <c r="SEM33" s="143"/>
      <c r="SEN33" s="143"/>
      <c r="SEO33" s="143"/>
      <c r="SEP33" s="143"/>
      <c r="SEQ33" s="143"/>
      <c r="SER33" s="143"/>
      <c r="SES33" s="143"/>
      <c r="SET33" s="143"/>
      <c r="SEU33" s="143"/>
      <c r="SEV33" s="143"/>
      <c r="SEW33" s="143"/>
      <c r="SEX33" s="143"/>
      <c r="SEY33" s="143"/>
      <c r="SEZ33" s="143"/>
      <c r="SFA33" s="143"/>
      <c r="SFB33" s="143"/>
      <c r="SFC33" s="143"/>
      <c r="SFD33" s="143"/>
      <c r="SFE33" s="143"/>
      <c r="SFF33" s="143"/>
      <c r="SFG33" s="143"/>
      <c r="SFH33" s="143"/>
      <c r="SFI33" s="143"/>
      <c r="SFJ33" s="143"/>
      <c r="SFK33" s="143"/>
      <c r="SFL33" s="143"/>
      <c r="SFM33" s="143"/>
      <c r="SFN33" s="143"/>
      <c r="SFO33" s="143"/>
      <c r="SFP33" s="143"/>
      <c r="SFQ33" s="143"/>
      <c r="SFR33" s="143"/>
      <c r="SFS33" s="143"/>
      <c r="SFT33" s="143"/>
      <c r="SFU33" s="143"/>
      <c r="SFV33" s="143"/>
      <c r="SFW33" s="143"/>
      <c r="SFX33" s="143"/>
      <c r="SFY33" s="143"/>
      <c r="SFZ33" s="143"/>
      <c r="SGA33" s="143"/>
      <c r="SGB33" s="143"/>
      <c r="SGC33" s="143"/>
      <c r="SGD33" s="143"/>
      <c r="SGE33" s="143"/>
      <c r="SGF33" s="143"/>
      <c r="SGG33" s="143"/>
      <c r="SGH33" s="143"/>
      <c r="SGI33" s="143"/>
      <c r="SGJ33" s="143"/>
      <c r="SGK33" s="143"/>
      <c r="SGL33" s="143"/>
      <c r="SGM33" s="143"/>
      <c r="SGN33" s="143"/>
      <c r="SGO33" s="143"/>
      <c r="SGP33" s="143"/>
      <c r="SGQ33" s="143"/>
      <c r="SGR33" s="143"/>
      <c r="SGS33" s="143"/>
      <c r="SGT33" s="143"/>
      <c r="SGU33" s="143"/>
      <c r="SGV33" s="143"/>
      <c r="SGW33" s="143"/>
      <c r="SGX33" s="143"/>
      <c r="SGY33" s="143"/>
      <c r="SGZ33" s="143"/>
      <c r="SHA33" s="143"/>
      <c r="SHB33" s="143"/>
      <c r="SHC33" s="143"/>
      <c r="SHD33" s="143"/>
      <c r="SHE33" s="143"/>
      <c r="SHF33" s="143"/>
      <c r="SHG33" s="143"/>
      <c r="SHH33" s="143"/>
      <c r="SHI33" s="143"/>
      <c r="SHJ33" s="143"/>
      <c r="SHK33" s="143"/>
      <c r="SHL33" s="143"/>
      <c r="SHM33" s="143"/>
      <c r="SHN33" s="143"/>
      <c r="SHO33" s="143"/>
      <c r="SHP33" s="143"/>
      <c r="SHQ33" s="143"/>
      <c r="SHR33" s="143"/>
      <c r="SHS33" s="143"/>
      <c r="SHT33" s="143"/>
      <c r="SHU33" s="143"/>
      <c r="SHV33" s="143"/>
      <c r="SHW33" s="143"/>
      <c r="SHX33" s="143"/>
      <c r="SHY33" s="143"/>
      <c r="SHZ33" s="143"/>
      <c r="SIA33" s="143"/>
      <c r="SIB33" s="143"/>
      <c r="SIC33" s="143"/>
      <c r="SID33" s="143"/>
      <c r="SIE33" s="143"/>
      <c r="SIF33" s="143"/>
      <c r="SIG33" s="143"/>
      <c r="SIH33" s="143"/>
      <c r="SII33" s="143"/>
      <c r="SIJ33" s="143"/>
      <c r="SIK33" s="143"/>
      <c r="SIL33" s="143"/>
      <c r="SIM33" s="143"/>
      <c r="SIN33" s="143"/>
      <c r="SIO33" s="143"/>
      <c r="SIP33" s="143"/>
      <c r="SIQ33" s="143"/>
      <c r="SIR33" s="143"/>
      <c r="SIS33" s="143"/>
      <c r="SIT33" s="143"/>
      <c r="SIU33" s="143"/>
      <c r="SIV33" s="143"/>
      <c r="SIW33" s="143"/>
      <c r="SIX33" s="143"/>
      <c r="SIY33" s="143"/>
      <c r="SIZ33" s="143"/>
      <c r="SJA33" s="143"/>
      <c r="SJB33" s="143"/>
      <c r="SJC33" s="143"/>
      <c r="SJD33" s="143"/>
      <c r="SJE33" s="143"/>
      <c r="SJF33" s="143"/>
      <c r="SJG33" s="143"/>
      <c r="SJH33" s="143"/>
      <c r="SJI33" s="143"/>
      <c r="SJJ33" s="143"/>
      <c r="SJK33" s="143"/>
      <c r="SJL33" s="143"/>
      <c r="SJM33" s="143"/>
      <c r="SJN33" s="143"/>
      <c r="SJO33" s="143"/>
      <c r="SJP33" s="143"/>
      <c r="SJQ33" s="143"/>
      <c r="SJR33" s="143"/>
      <c r="SJS33" s="143"/>
      <c r="SJT33" s="143"/>
      <c r="SJU33" s="143"/>
      <c r="SJV33" s="143"/>
      <c r="SJW33" s="143"/>
      <c r="SJX33" s="143"/>
      <c r="SJY33" s="143"/>
      <c r="SJZ33" s="143"/>
      <c r="SKA33" s="143"/>
      <c r="SKB33" s="143"/>
      <c r="SKC33" s="143"/>
      <c r="SKD33" s="143"/>
      <c r="SKE33" s="143"/>
      <c r="SKF33" s="143"/>
      <c r="SKG33" s="143"/>
      <c r="SKH33" s="143"/>
      <c r="SKI33" s="143"/>
      <c r="SKJ33" s="143"/>
      <c r="SKK33" s="143"/>
      <c r="SKL33" s="143"/>
      <c r="SKM33" s="143"/>
      <c r="SKN33" s="143"/>
      <c r="SKO33" s="143"/>
      <c r="SKP33" s="143"/>
      <c r="SKQ33" s="143"/>
      <c r="SKR33" s="143"/>
      <c r="SKS33" s="143"/>
      <c r="SKT33" s="143"/>
      <c r="SKU33" s="143"/>
      <c r="SKV33" s="143"/>
      <c r="SKW33" s="143"/>
      <c r="SKX33" s="143"/>
      <c r="SKY33" s="143"/>
      <c r="SKZ33" s="143"/>
      <c r="SLA33" s="143"/>
      <c r="SLB33" s="143"/>
      <c r="SLC33" s="143"/>
      <c r="SLD33" s="143"/>
      <c r="SLE33" s="143"/>
      <c r="SLF33" s="143"/>
      <c r="SLG33" s="143"/>
      <c r="SLH33" s="143"/>
      <c r="SLI33" s="143"/>
      <c r="SLJ33" s="143"/>
      <c r="SLK33" s="143"/>
      <c r="SLL33" s="143"/>
      <c r="SLM33" s="143"/>
      <c r="SLN33" s="143"/>
      <c r="SLO33" s="143"/>
      <c r="SLP33" s="143"/>
      <c r="SLQ33" s="143"/>
      <c r="SLR33" s="143"/>
      <c r="SLS33" s="143"/>
      <c r="SLT33" s="143"/>
      <c r="SLU33" s="143"/>
      <c r="SLV33" s="143"/>
      <c r="SLW33" s="143"/>
      <c r="SLX33" s="143"/>
      <c r="SLY33" s="143"/>
      <c r="SLZ33" s="143"/>
      <c r="SMA33" s="143"/>
      <c r="SMB33" s="143"/>
      <c r="SMC33" s="143"/>
      <c r="SMD33" s="143"/>
      <c r="SME33" s="143"/>
      <c r="SMF33" s="143"/>
      <c r="SMG33" s="143"/>
      <c r="SMH33" s="143"/>
      <c r="SMI33" s="143"/>
      <c r="SMJ33" s="143"/>
      <c r="SMK33" s="143"/>
      <c r="SML33" s="143"/>
      <c r="SMM33" s="143"/>
      <c r="SMN33" s="143"/>
      <c r="SMO33" s="143"/>
      <c r="SMP33" s="143"/>
      <c r="SMQ33" s="143"/>
      <c r="SMR33" s="143"/>
      <c r="SMS33" s="143"/>
      <c r="SMT33" s="143"/>
      <c r="SMU33" s="143"/>
      <c r="SMV33" s="143"/>
      <c r="SMW33" s="143"/>
      <c r="SMX33" s="143"/>
      <c r="SMY33" s="143"/>
      <c r="SMZ33" s="143"/>
      <c r="SNA33" s="143"/>
      <c r="SNB33" s="143"/>
      <c r="SNC33" s="143"/>
      <c r="SND33" s="143"/>
      <c r="SNE33" s="143"/>
      <c r="SNF33" s="143"/>
      <c r="SNG33" s="143"/>
      <c r="SNH33" s="143"/>
      <c r="SNI33" s="143"/>
      <c r="SNJ33" s="143"/>
      <c r="SNK33" s="143"/>
      <c r="SNL33" s="143"/>
      <c r="SNM33" s="143"/>
      <c r="SNN33" s="143"/>
      <c r="SNO33" s="143"/>
      <c r="SNP33" s="143"/>
      <c r="SNQ33" s="143"/>
      <c r="SNR33" s="143"/>
      <c r="SNS33" s="143"/>
      <c r="SNT33" s="143"/>
      <c r="SNU33" s="143"/>
      <c r="SNV33" s="143"/>
      <c r="SNW33" s="143"/>
      <c r="SNX33" s="143"/>
      <c r="SNY33" s="143"/>
      <c r="SNZ33" s="143"/>
      <c r="SOA33" s="143"/>
      <c r="SOB33" s="143"/>
      <c r="SOC33" s="143"/>
      <c r="SOD33" s="143"/>
      <c r="SOE33" s="143"/>
      <c r="SOF33" s="143"/>
      <c r="SOG33" s="143"/>
      <c r="SOH33" s="143"/>
      <c r="SOI33" s="143"/>
      <c r="SOJ33" s="143"/>
      <c r="SOK33" s="143"/>
      <c r="SOL33" s="143"/>
      <c r="SOM33" s="143"/>
      <c r="SON33" s="143"/>
      <c r="SOO33" s="143"/>
      <c r="SOP33" s="143"/>
      <c r="SOQ33" s="143"/>
      <c r="SOR33" s="143"/>
      <c r="SOS33" s="143"/>
      <c r="SOT33" s="143"/>
      <c r="SOU33" s="143"/>
      <c r="SOV33" s="143"/>
      <c r="SOW33" s="143"/>
      <c r="SOX33" s="143"/>
      <c r="SOY33" s="143"/>
      <c r="SOZ33" s="143"/>
      <c r="SPA33" s="143"/>
      <c r="SPB33" s="143"/>
      <c r="SPC33" s="143"/>
      <c r="SPD33" s="143"/>
      <c r="SPE33" s="143"/>
      <c r="SPF33" s="143"/>
      <c r="SPG33" s="143"/>
      <c r="SPH33" s="143"/>
      <c r="SPI33" s="143"/>
      <c r="SPJ33" s="143"/>
      <c r="SPK33" s="143"/>
      <c r="SPL33" s="143"/>
      <c r="SPM33" s="143"/>
      <c r="SPN33" s="143"/>
      <c r="SPO33" s="143"/>
      <c r="SPP33" s="143"/>
      <c r="SPQ33" s="143"/>
      <c r="SPR33" s="143"/>
      <c r="SPS33" s="143"/>
      <c r="SPT33" s="143"/>
      <c r="SPU33" s="143"/>
      <c r="SPV33" s="143"/>
      <c r="SPW33" s="143"/>
      <c r="SPX33" s="143"/>
      <c r="SPY33" s="143"/>
      <c r="SPZ33" s="143"/>
      <c r="SQA33" s="143"/>
      <c r="SQB33" s="143"/>
      <c r="SQC33" s="143"/>
      <c r="SQD33" s="143"/>
      <c r="SQE33" s="143"/>
      <c r="SQF33" s="143"/>
      <c r="SQG33" s="143"/>
      <c r="SQH33" s="143"/>
      <c r="SQI33" s="143"/>
      <c r="SQJ33" s="143"/>
      <c r="SQK33" s="143"/>
      <c r="SQL33" s="143"/>
      <c r="SQM33" s="143"/>
      <c r="SQN33" s="143"/>
      <c r="SQO33" s="143"/>
      <c r="SQP33" s="143"/>
      <c r="SQQ33" s="143"/>
      <c r="SQR33" s="143"/>
      <c r="SQS33" s="143"/>
      <c r="SQT33" s="143"/>
      <c r="SQU33" s="143"/>
      <c r="SQV33" s="143"/>
      <c r="SQW33" s="143"/>
      <c r="SQX33" s="143"/>
      <c r="SQY33" s="143"/>
      <c r="SQZ33" s="143"/>
      <c r="SRA33" s="143"/>
      <c r="SRB33" s="143"/>
      <c r="SRC33" s="143"/>
      <c r="SRD33" s="143"/>
      <c r="SRE33" s="143"/>
      <c r="SRF33" s="143"/>
      <c r="SRG33" s="143"/>
      <c r="SRH33" s="143"/>
      <c r="SRI33" s="143"/>
      <c r="SRJ33" s="143"/>
      <c r="SRK33" s="143"/>
      <c r="SRL33" s="143"/>
      <c r="SRM33" s="143"/>
      <c r="SRN33" s="143"/>
      <c r="SRO33" s="143"/>
      <c r="SRP33" s="143"/>
      <c r="SRQ33" s="143"/>
      <c r="SRR33" s="143"/>
      <c r="SRS33" s="143"/>
      <c r="SRT33" s="143"/>
      <c r="SRU33" s="143"/>
      <c r="SRV33" s="143"/>
      <c r="SRW33" s="143"/>
      <c r="SRX33" s="143"/>
      <c r="SRY33" s="143"/>
      <c r="SRZ33" s="143"/>
      <c r="SSA33" s="143"/>
      <c r="SSB33" s="143"/>
      <c r="SSC33" s="143"/>
      <c r="SSD33" s="143"/>
      <c r="SSE33" s="143"/>
      <c r="SSF33" s="143"/>
      <c r="SSG33" s="143"/>
      <c r="SSH33" s="143"/>
      <c r="SSI33" s="143"/>
      <c r="SSJ33" s="143"/>
      <c r="SSK33" s="143"/>
      <c r="SSL33" s="143"/>
      <c r="SSM33" s="143"/>
      <c r="SSN33" s="143"/>
      <c r="SSO33" s="143"/>
      <c r="SSP33" s="143"/>
      <c r="SSQ33" s="143"/>
      <c r="SSR33" s="143"/>
      <c r="SSS33" s="143"/>
      <c r="SST33" s="143"/>
      <c r="SSU33" s="143"/>
      <c r="SSV33" s="143"/>
      <c r="SSW33" s="143"/>
      <c r="SSX33" s="143"/>
      <c r="SSY33" s="143"/>
      <c r="SSZ33" s="143"/>
      <c r="STA33" s="143"/>
      <c r="STB33" s="143"/>
      <c r="STC33" s="143"/>
      <c r="STD33" s="143"/>
      <c r="STE33" s="143"/>
      <c r="STF33" s="143"/>
      <c r="STG33" s="143"/>
      <c r="STH33" s="143"/>
      <c r="STI33" s="143"/>
      <c r="STJ33" s="143"/>
      <c r="STK33" s="143"/>
      <c r="STL33" s="143"/>
      <c r="STM33" s="143"/>
      <c r="STN33" s="143"/>
      <c r="STO33" s="143"/>
      <c r="STP33" s="143"/>
      <c r="STQ33" s="143"/>
      <c r="STR33" s="143"/>
      <c r="STS33" s="143"/>
      <c r="STT33" s="143"/>
      <c r="STU33" s="143"/>
      <c r="STV33" s="143"/>
      <c r="STW33" s="143"/>
      <c r="STX33" s="143"/>
      <c r="STY33" s="143"/>
      <c r="STZ33" s="143"/>
      <c r="SUA33" s="143"/>
      <c r="SUB33" s="143"/>
      <c r="SUC33" s="143"/>
      <c r="SUD33" s="143"/>
      <c r="SUE33" s="143"/>
      <c r="SUF33" s="143"/>
      <c r="SUG33" s="143"/>
      <c r="SUH33" s="143"/>
      <c r="SUI33" s="143"/>
      <c r="SUJ33" s="143"/>
      <c r="SUK33" s="143"/>
      <c r="SUL33" s="143"/>
      <c r="SUM33" s="143"/>
      <c r="SUN33" s="143"/>
      <c r="SUO33" s="143"/>
      <c r="SUP33" s="143"/>
      <c r="SUQ33" s="143"/>
      <c r="SUR33" s="143"/>
      <c r="SUS33" s="143"/>
      <c r="SUT33" s="143"/>
      <c r="SUU33" s="143"/>
      <c r="SUV33" s="143"/>
      <c r="SUW33" s="143"/>
      <c r="SUX33" s="143"/>
      <c r="SUY33" s="143"/>
      <c r="SUZ33" s="143"/>
      <c r="SVA33" s="143"/>
      <c r="SVB33" s="143"/>
      <c r="SVC33" s="143"/>
      <c r="SVD33" s="143"/>
      <c r="SVE33" s="143"/>
      <c r="SVF33" s="143"/>
      <c r="SVG33" s="143"/>
      <c r="SVH33" s="143"/>
      <c r="SVI33" s="143"/>
      <c r="SVJ33" s="143"/>
      <c r="SVK33" s="143"/>
      <c r="SVL33" s="143"/>
      <c r="SVM33" s="143"/>
      <c r="SVN33" s="143"/>
      <c r="SVO33" s="143"/>
      <c r="SVP33" s="143"/>
      <c r="SVQ33" s="143"/>
      <c r="SVR33" s="143"/>
      <c r="SVS33" s="143"/>
      <c r="SVT33" s="143"/>
      <c r="SVU33" s="143"/>
      <c r="SVV33" s="143"/>
      <c r="SVW33" s="143"/>
      <c r="SVX33" s="143"/>
      <c r="SVY33" s="143"/>
      <c r="SVZ33" s="143"/>
      <c r="SWA33" s="143"/>
      <c r="SWB33" s="143"/>
      <c r="SWC33" s="143"/>
      <c r="SWD33" s="143"/>
      <c r="SWE33" s="143"/>
      <c r="SWF33" s="143"/>
      <c r="SWG33" s="143"/>
      <c r="SWH33" s="143"/>
      <c r="SWI33" s="143"/>
      <c r="SWJ33" s="143"/>
      <c r="SWK33" s="143"/>
      <c r="SWL33" s="143"/>
      <c r="SWM33" s="143"/>
      <c r="SWN33" s="143"/>
      <c r="SWO33" s="143"/>
      <c r="SWP33" s="143"/>
      <c r="SWQ33" s="143"/>
      <c r="SWR33" s="143"/>
      <c r="SWS33" s="143"/>
      <c r="SWT33" s="143"/>
      <c r="SWU33" s="143"/>
      <c r="SWV33" s="143"/>
      <c r="SWW33" s="143"/>
      <c r="SWX33" s="143"/>
      <c r="SWY33" s="143"/>
      <c r="SWZ33" s="143"/>
      <c r="SXA33" s="143"/>
      <c r="SXB33" s="143"/>
      <c r="SXC33" s="143"/>
      <c r="SXD33" s="143"/>
      <c r="SXE33" s="143"/>
      <c r="SXF33" s="143"/>
      <c r="SXG33" s="143"/>
      <c r="SXH33" s="143"/>
      <c r="SXI33" s="143"/>
      <c r="SXJ33" s="143"/>
      <c r="SXK33" s="143"/>
      <c r="SXL33" s="143"/>
      <c r="SXM33" s="143"/>
      <c r="SXN33" s="143"/>
      <c r="SXO33" s="143"/>
      <c r="SXP33" s="143"/>
      <c r="SXQ33" s="143"/>
      <c r="SXR33" s="143"/>
      <c r="SXS33" s="143"/>
      <c r="SXT33" s="143"/>
      <c r="SXU33" s="143"/>
      <c r="SXV33" s="143"/>
      <c r="SXW33" s="143"/>
      <c r="SXX33" s="143"/>
      <c r="SXY33" s="143"/>
      <c r="SXZ33" s="143"/>
      <c r="SYA33" s="143"/>
      <c r="SYB33" s="143"/>
      <c r="SYC33" s="143"/>
      <c r="SYD33" s="143"/>
      <c r="SYE33" s="143"/>
      <c r="SYF33" s="143"/>
      <c r="SYG33" s="143"/>
      <c r="SYH33" s="143"/>
      <c r="SYI33" s="143"/>
      <c r="SYJ33" s="143"/>
      <c r="SYK33" s="143"/>
      <c r="SYL33" s="143"/>
      <c r="SYM33" s="143"/>
      <c r="SYN33" s="143"/>
      <c r="SYO33" s="143"/>
      <c r="SYP33" s="143"/>
      <c r="SYQ33" s="143"/>
      <c r="SYR33" s="143"/>
      <c r="SYS33" s="143"/>
      <c r="SYT33" s="143"/>
      <c r="SYU33" s="143"/>
      <c r="SYV33" s="143"/>
      <c r="SYW33" s="143"/>
      <c r="SYX33" s="143"/>
      <c r="SYY33" s="143"/>
      <c r="SYZ33" s="143"/>
      <c r="SZA33" s="143"/>
      <c r="SZB33" s="143"/>
      <c r="SZC33" s="143"/>
      <c r="SZD33" s="143"/>
      <c r="SZE33" s="143"/>
      <c r="SZF33" s="143"/>
      <c r="SZG33" s="143"/>
      <c r="SZH33" s="143"/>
      <c r="SZI33" s="143"/>
      <c r="SZJ33" s="143"/>
      <c r="SZK33" s="143"/>
      <c r="SZL33" s="143"/>
      <c r="SZM33" s="143"/>
      <c r="SZN33" s="143"/>
      <c r="SZO33" s="143"/>
      <c r="SZP33" s="143"/>
      <c r="SZQ33" s="143"/>
      <c r="SZR33" s="143"/>
      <c r="SZS33" s="143"/>
      <c r="SZT33" s="143"/>
      <c r="SZU33" s="143"/>
      <c r="SZV33" s="143"/>
      <c r="SZW33" s="143"/>
      <c r="SZX33" s="143"/>
      <c r="SZY33" s="143"/>
      <c r="SZZ33" s="143"/>
      <c r="TAA33" s="143"/>
      <c r="TAB33" s="143"/>
      <c r="TAC33" s="143"/>
      <c r="TAD33" s="143"/>
      <c r="TAE33" s="143"/>
      <c r="TAF33" s="143"/>
      <c r="TAG33" s="143"/>
      <c r="TAH33" s="143"/>
      <c r="TAI33" s="143"/>
      <c r="TAJ33" s="143"/>
      <c r="TAK33" s="143"/>
      <c r="TAL33" s="143"/>
      <c r="TAM33" s="143"/>
      <c r="TAN33" s="143"/>
      <c r="TAO33" s="143"/>
      <c r="TAP33" s="143"/>
      <c r="TAQ33" s="143"/>
      <c r="TAR33" s="143"/>
      <c r="TAS33" s="143"/>
      <c r="TAT33" s="143"/>
      <c r="TAU33" s="143"/>
      <c r="TAV33" s="143"/>
      <c r="TAW33" s="143"/>
      <c r="TAX33" s="143"/>
      <c r="TAY33" s="143"/>
      <c r="TAZ33" s="143"/>
      <c r="TBA33" s="143"/>
      <c r="TBB33" s="143"/>
      <c r="TBC33" s="143"/>
      <c r="TBD33" s="143"/>
      <c r="TBE33" s="143"/>
      <c r="TBF33" s="143"/>
      <c r="TBG33" s="143"/>
      <c r="TBH33" s="143"/>
      <c r="TBI33" s="143"/>
      <c r="TBJ33" s="143"/>
      <c r="TBK33" s="143"/>
      <c r="TBL33" s="143"/>
      <c r="TBM33" s="143"/>
      <c r="TBN33" s="143"/>
      <c r="TBO33" s="143"/>
      <c r="TBP33" s="143"/>
      <c r="TBQ33" s="143"/>
      <c r="TBR33" s="143"/>
      <c r="TBS33" s="143"/>
      <c r="TBT33" s="143"/>
      <c r="TBU33" s="143"/>
      <c r="TBV33" s="143"/>
      <c r="TBW33" s="143"/>
      <c r="TBX33" s="143"/>
      <c r="TBY33" s="143"/>
      <c r="TBZ33" s="143"/>
      <c r="TCA33" s="143"/>
      <c r="TCB33" s="143"/>
      <c r="TCC33" s="143"/>
      <c r="TCD33" s="143"/>
      <c r="TCE33" s="143"/>
      <c r="TCF33" s="143"/>
      <c r="TCG33" s="143"/>
      <c r="TCH33" s="143"/>
      <c r="TCI33" s="143"/>
      <c r="TCJ33" s="143"/>
      <c r="TCK33" s="143"/>
      <c r="TCL33" s="143"/>
      <c r="TCM33" s="143"/>
      <c r="TCN33" s="143"/>
      <c r="TCO33" s="143"/>
      <c r="TCP33" s="143"/>
      <c r="TCQ33" s="143"/>
      <c r="TCR33" s="143"/>
      <c r="TCS33" s="143"/>
      <c r="TCT33" s="143"/>
      <c r="TCU33" s="143"/>
      <c r="TCV33" s="143"/>
      <c r="TCW33" s="143"/>
      <c r="TCX33" s="143"/>
      <c r="TCY33" s="143"/>
      <c r="TCZ33" s="143"/>
      <c r="TDA33" s="143"/>
      <c r="TDB33" s="143"/>
      <c r="TDC33" s="143"/>
      <c r="TDD33" s="143"/>
      <c r="TDE33" s="143"/>
      <c r="TDF33" s="143"/>
      <c r="TDG33" s="143"/>
      <c r="TDH33" s="143"/>
      <c r="TDI33" s="143"/>
      <c r="TDJ33" s="143"/>
      <c r="TDK33" s="143"/>
      <c r="TDL33" s="143"/>
      <c r="TDM33" s="143"/>
      <c r="TDN33" s="143"/>
      <c r="TDO33" s="143"/>
      <c r="TDP33" s="143"/>
      <c r="TDQ33" s="143"/>
      <c r="TDR33" s="143"/>
      <c r="TDS33" s="143"/>
      <c r="TDT33" s="143"/>
      <c r="TDU33" s="143"/>
      <c r="TDV33" s="143"/>
      <c r="TDW33" s="143"/>
      <c r="TDX33" s="143"/>
      <c r="TDY33" s="143"/>
      <c r="TDZ33" s="143"/>
      <c r="TEA33" s="143"/>
      <c r="TEB33" s="143"/>
      <c r="TEC33" s="143"/>
      <c r="TED33" s="143"/>
      <c r="TEE33" s="143"/>
      <c r="TEF33" s="143"/>
      <c r="TEG33" s="143"/>
      <c r="TEH33" s="143"/>
      <c r="TEI33" s="143"/>
      <c r="TEJ33" s="143"/>
      <c r="TEK33" s="143"/>
      <c r="TEL33" s="143"/>
      <c r="TEM33" s="143"/>
      <c r="TEN33" s="143"/>
      <c r="TEO33" s="143"/>
      <c r="TEP33" s="143"/>
      <c r="TEQ33" s="143"/>
      <c r="TER33" s="143"/>
      <c r="TES33" s="143"/>
      <c r="TET33" s="143"/>
      <c r="TEU33" s="143"/>
      <c r="TEV33" s="143"/>
      <c r="TEW33" s="143"/>
      <c r="TEX33" s="143"/>
      <c r="TEY33" s="143"/>
      <c r="TEZ33" s="143"/>
      <c r="TFA33" s="143"/>
      <c r="TFB33" s="143"/>
      <c r="TFC33" s="143"/>
      <c r="TFD33" s="143"/>
      <c r="TFE33" s="143"/>
      <c r="TFF33" s="143"/>
      <c r="TFG33" s="143"/>
      <c r="TFH33" s="143"/>
      <c r="TFI33" s="143"/>
      <c r="TFJ33" s="143"/>
      <c r="TFK33" s="143"/>
      <c r="TFL33" s="143"/>
      <c r="TFM33" s="143"/>
      <c r="TFN33" s="143"/>
      <c r="TFO33" s="143"/>
      <c r="TFP33" s="143"/>
      <c r="TFQ33" s="143"/>
      <c r="TFR33" s="143"/>
      <c r="TFS33" s="143"/>
      <c r="TFT33" s="143"/>
      <c r="TFU33" s="143"/>
      <c r="TFV33" s="143"/>
      <c r="TFW33" s="143"/>
      <c r="TFX33" s="143"/>
      <c r="TFY33" s="143"/>
      <c r="TFZ33" s="143"/>
      <c r="TGA33" s="143"/>
      <c r="TGB33" s="143"/>
      <c r="TGC33" s="143"/>
      <c r="TGD33" s="143"/>
      <c r="TGE33" s="143"/>
      <c r="TGF33" s="143"/>
      <c r="TGG33" s="143"/>
      <c r="TGH33" s="143"/>
      <c r="TGI33" s="143"/>
      <c r="TGJ33" s="143"/>
      <c r="TGK33" s="143"/>
      <c r="TGL33" s="143"/>
      <c r="TGM33" s="143"/>
      <c r="TGN33" s="143"/>
      <c r="TGO33" s="143"/>
      <c r="TGP33" s="143"/>
      <c r="TGQ33" s="143"/>
      <c r="TGR33" s="143"/>
      <c r="TGS33" s="143"/>
      <c r="TGT33" s="143"/>
      <c r="TGU33" s="143"/>
      <c r="TGV33" s="143"/>
      <c r="TGW33" s="143"/>
      <c r="TGX33" s="143"/>
      <c r="TGY33" s="143"/>
      <c r="TGZ33" s="143"/>
      <c r="THA33" s="143"/>
      <c r="THB33" s="143"/>
      <c r="THC33" s="143"/>
      <c r="THD33" s="143"/>
      <c r="THE33" s="143"/>
      <c r="THF33" s="143"/>
      <c r="THG33" s="143"/>
      <c r="THH33" s="143"/>
      <c r="THI33" s="143"/>
      <c r="THJ33" s="143"/>
      <c r="THK33" s="143"/>
      <c r="THL33" s="143"/>
      <c r="THM33" s="143"/>
      <c r="THN33" s="143"/>
      <c r="THO33" s="143"/>
      <c r="THP33" s="143"/>
      <c r="THQ33" s="143"/>
      <c r="THR33" s="143"/>
      <c r="THS33" s="143"/>
      <c r="THT33" s="143"/>
      <c r="THU33" s="143"/>
      <c r="THV33" s="143"/>
      <c r="THW33" s="143"/>
      <c r="THX33" s="143"/>
      <c r="THY33" s="143"/>
      <c r="THZ33" s="143"/>
      <c r="TIA33" s="143"/>
      <c r="TIB33" s="143"/>
      <c r="TIC33" s="143"/>
      <c r="TID33" s="143"/>
      <c r="TIE33" s="143"/>
      <c r="TIF33" s="143"/>
      <c r="TIG33" s="143"/>
      <c r="TIH33" s="143"/>
      <c r="TII33" s="143"/>
      <c r="TIJ33" s="143"/>
      <c r="TIK33" s="143"/>
      <c r="TIL33" s="143"/>
      <c r="TIM33" s="143"/>
      <c r="TIN33" s="143"/>
      <c r="TIO33" s="143"/>
      <c r="TIP33" s="143"/>
      <c r="TIQ33" s="143"/>
      <c r="TIR33" s="143"/>
      <c r="TIS33" s="143"/>
      <c r="TIT33" s="143"/>
      <c r="TIU33" s="143"/>
      <c r="TIV33" s="143"/>
      <c r="TIW33" s="143"/>
      <c r="TIX33" s="143"/>
      <c r="TIY33" s="143"/>
      <c r="TIZ33" s="143"/>
      <c r="TJA33" s="143"/>
      <c r="TJB33" s="143"/>
      <c r="TJC33" s="143"/>
      <c r="TJD33" s="143"/>
      <c r="TJE33" s="143"/>
      <c r="TJF33" s="143"/>
      <c r="TJG33" s="143"/>
      <c r="TJH33" s="143"/>
      <c r="TJI33" s="143"/>
      <c r="TJJ33" s="143"/>
      <c r="TJK33" s="143"/>
      <c r="TJL33" s="143"/>
      <c r="TJM33" s="143"/>
      <c r="TJN33" s="143"/>
      <c r="TJO33" s="143"/>
      <c r="TJP33" s="143"/>
      <c r="TJQ33" s="143"/>
      <c r="TJR33" s="143"/>
      <c r="TJS33" s="143"/>
      <c r="TJT33" s="143"/>
      <c r="TJU33" s="143"/>
      <c r="TJV33" s="143"/>
      <c r="TJW33" s="143"/>
      <c r="TJX33" s="143"/>
      <c r="TJY33" s="143"/>
      <c r="TJZ33" s="143"/>
      <c r="TKA33" s="143"/>
      <c r="TKB33" s="143"/>
      <c r="TKC33" s="143"/>
      <c r="TKD33" s="143"/>
      <c r="TKE33" s="143"/>
      <c r="TKF33" s="143"/>
      <c r="TKG33" s="143"/>
      <c r="TKH33" s="143"/>
      <c r="TKI33" s="143"/>
      <c r="TKJ33" s="143"/>
      <c r="TKK33" s="143"/>
      <c r="TKL33" s="143"/>
      <c r="TKM33" s="143"/>
      <c r="TKN33" s="143"/>
      <c r="TKO33" s="143"/>
      <c r="TKP33" s="143"/>
      <c r="TKQ33" s="143"/>
      <c r="TKR33" s="143"/>
      <c r="TKS33" s="143"/>
      <c r="TKT33" s="143"/>
      <c r="TKU33" s="143"/>
      <c r="TKV33" s="143"/>
      <c r="TKW33" s="143"/>
      <c r="TKX33" s="143"/>
      <c r="TKY33" s="143"/>
      <c r="TKZ33" s="143"/>
      <c r="TLA33" s="143"/>
      <c r="TLB33" s="143"/>
      <c r="TLC33" s="143"/>
      <c r="TLD33" s="143"/>
      <c r="TLE33" s="143"/>
      <c r="TLF33" s="143"/>
      <c r="TLG33" s="143"/>
      <c r="TLH33" s="143"/>
      <c r="TLI33" s="143"/>
      <c r="TLJ33" s="143"/>
      <c r="TLK33" s="143"/>
      <c r="TLL33" s="143"/>
      <c r="TLM33" s="143"/>
      <c r="TLN33" s="143"/>
      <c r="TLO33" s="143"/>
      <c r="TLP33" s="143"/>
      <c r="TLQ33" s="143"/>
      <c r="TLR33" s="143"/>
      <c r="TLS33" s="143"/>
      <c r="TLT33" s="143"/>
      <c r="TLU33" s="143"/>
      <c r="TLV33" s="143"/>
      <c r="TLW33" s="143"/>
      <c r="TLX33" s="143"/>
      <c r="TLY33" s="143"/>
      <c r="TLZ33" s="143"/>
      <c r="TMA33" s="143"/>
      <c r="TMB33" s="143"/>
      <c r="TMC33" s="143"/>
      <c r="TMD33" s="143"/>
      <c r="TME33" s="143"/>
      <c r="TMF33" s="143"/>
      <c r="TMG33" s="143"/>
      <c r="TMH33" s="143"/>
      <c r="TMI33" s="143"/>
      <c r="TMJ33" s="143"/>
      <c r="TMK33" s="143"/>
      <c r="TML33" s="143"/>
      <c r="TMM33" s="143"/>
      <c r="TMN33" s="143"/>
      <c r="TMO33" s="143"/>
      <c r="TMP33" s="143"/>
      <c r="TMQ33" s="143"/>
      <c r="TMR33" s="143"/>
      <c r="TMS33" s="143"/>
      <c r="TMT33" s="143"/>
      <c r="TMU33" s="143"/>
      <c r="TMV33" s="143"/>
      <c r="TMW33" s="143"/>
      <c r="TMX33" s="143"/>
      <c r="TMY33" s="143"/>
      <c r="TMZ33" s="143"/>
      <c r="TNA33" s="143"/>
      <c r="TNB33" s="143"/>
      <c r="TNC33" s="143"/>
      <c r="TND33" s="143"/>
      <c r="TNE33" s="143"/>
      <c r="TNF33" s="143"/>
      <c r="TNG33" s="143"/>
      <c r="TNH33" s="143"/>
      <c r="TNI33" s="143"/>
      <c r="TNJ33" s="143"/>
      <c r="TNK33" s="143"/>
      <c r="TNL33" s="143"/>
      <c r="TNM33" s="143"/>
      <c r="TNN33" s="143"/>
      <c r="TNO33" s="143"/>
      <c r="TNP33" s="143"/>
      <c r="TNQ33" s="143"/>
      <c r="TNR33" s="143"/>
      <c r="TNS33" s="143"/>
      <c r="TNT33" s="143"/>
      <c r="TNU33" s="143"/>
      <c r="TNV33" s="143"/>
      <c r="TNW33" s="143"/>
      <c r="TNX33" s="143"/>
      <c r="TNY33" s="143"/>
      <c r="TNZ33" s="143"/>
      <c r="TOA33" s="143"/>
      <c r="TOB33" s="143"/>
      <c r="TOC33" s="143"/>
      <c r="TOD33" s="143"/>
      <c r="TOE33" s="143"/>
      <c r="TOF33" s="143"/>
      <c r="TOG33" s="143"/>
      <c r="TOH33" s="143"/>
      <c r="TOI33" s="143"/>
      <c r="TOJ33" s="143"/>
      <c r="TOK33" s="143"/>
      <c r="TOL33" s="143"/>
      <c r="TOM33" s="143"/>
      <c r="TON33" s="143"/>
      <c r="TOO33" s="143"/>
      <c r="TOP33" s="143"/>
      <c r="TOQ33" s="143"/>
      <c r="TOR33" s="143"/>
      <c r="TOS33" s="143"/>
      <c r="TOT33" s="143"/>
      <c r="TOU33" s="143"/>
      <c r="TOV33" s="143"/>
      <c r="TOW33" s="143"/>
      <c r="TOX33" s="143"/>
      <c r="TOY33" s="143"/>
      <c r="TOZ33" s="143"/>
      <c r="TPA33" s="143"/>
      <c r="TPB33" s="143"/>
      <c r="TPC33" s="143"/>
      <c r="TPD33" s="143"/>
      <c r="TPE33" s="143"/>
      <c r="TPF33" s="143"/>
      <c r="TPG33" s="143"/>
      <c r="TPH33" s="143"/>
      <c r="TPI33" s="143"/>
      <c r="TPJ33" s="143"/>
      <c r="TPK33" s="143"/>
      <c r="TPL33" s="143"/>
      <c r="TPM33" s="143"/>
      <c r="TPN33" s="143"/>
      <c r="TPO33" s="143"/>
      <c r="TPP33" s="143"/>
      <c r="TPQ33" s="143"/>
      <c r="TPR33" s="143"/>
      <c r="TPS33" s="143"/>
      <c r="TPT33" s="143"/>
      <c r="TPU33" s="143"/>
      <c r="TPV33" s="143"/>
      <c r="TPW33" s="143"/>
      <c r="TPX33" s="143"/>
      <c r="TPY33" s="143"/>
      <c r="TPZ33" s="143"/>
      <c r="TQA33" s="143"/>
      <c r="TQB33" s="143"/>
      <c r="TQC33" s="143"/>
      <c r="TQD33" s="143"/>
      <c r="TQE33" s="143"/>
      <c r="TQF33" s="143"/>
      <c r="TQG33" s="143"/>
      <c r="TQH33" s="143"/>
      <c r="TQI33" s="143"/>
      <c r="TQJ33" s="143"/>
      <c r="TQK33" s="143"/>
      <c r="TQL33" s="143"/>
      <c r="TQM33" s="143"/>
      <c r="TQN33" s="143"/>
      <c r="TQO33" s="143"/>
      <c r="TQP33" s="143"/>
      <c r="TQQ33" s="143"/>
      <c r="TQR33" s="143"/>
      <c r="TQS33" s="143"/>
      <c r="TQT33" s="143"/>
      <c r="TQU33" s="143"/>
      <c r="TQV33" s="143"/>
      <c r="TQW33" s="143"/>
      <c r="TQX33" s="143"/>
      <c r="TQY33" s="143"/>
      <c r="TQZ33" s="143"/>
      <c r="TRA33" s="143"/>
      <c r="TRB33" s="143"/>
      <c r="TRC33" s="143"/>
      <c r="TRD33" s="143"/>
      <c r="TRE33" s="143"/>
      <c r="TRF33" s="143"/>
      <c r="TRG33" s="143"/>
      <c r="TRH33" s="143"/>
      <c r="TRI33" s="143"/>
      <c r="TRJ33" s="143"/>
      <c r="TRK33" s="143"/>
      <c r="TRL33" s="143"/>
      <c r="TRM33" s="143"/>
      <c r="TRN33" s="143"/>
      <c r="TRO33" s="143"/>
      <c r="TRP33" s="143"/>
      <c r="TRQ33" s="143"/>
      <c r="TRR33" s="143"/>
      <c r="TRS33" s="143"/>
      <c r="TRT33" s="143"/>
      <c r="TRU33" s="143"/>
      <c r="TRV33" s="143"/>
      <c r="TRW33" s="143"/>
      <c r="TRX33" s="143"/>
      <c r="TRY33" s="143"/>
      <c r="TRZ33" s="143"/>
      <c r="TSA33" s="143"/>
      <c r="TSB33" s="143"/>
      <c r="TSC33" s="143"/>
      <c r="TSD33" s="143"/>
      <c r="TSE33" s="143"/>
      <c r="TSF33" s="143"/>
      <c r="TSG33" s="143"/>
      <c r="TSH33" s="143"/>
      <c r="TSI33" s="143"/>
      <c r="TSJ33" s="143"/>
      <c r="TSK33" s="143"/>
      <c r="TSL33" s="143"/>
      <c r="TSM33" s="143"/>
      <c r="TSN33" s="143"/>
      <c r="TSO33" s="143"/>
      <c r="TSP33" s="143"/>
      <c r="TSQ33" s="143"/>
      <c r="TSR33" s="143"/>
      <c r="TSS33" s="143"/>
      <c r="TST33" s="143"/>
      <c r="TSU33" s="143"/>
      <c r="TSV33" s="143"/>
      <c r="TSW33" s="143"/>
      <c r="TSX33" s="143"/>
      <c r="TSY33" s="143"/>
      <c r="TSZ33" s="143"/>
      <c r="TTA33" s="143"/>
      <c r="TTB33" s="143"/>
      <c r="TTC33" s="143"/>
      <c r="TTD33" s="143"/>
      <c r="TTE33" s="143"/>
      <c r="TTF33" s="143"/>
      <c r="TTG33" s="143"/>
      <c r="TTH33" s="143"/>
      <c r="TTI33" s="143"/>
      <c r="TTJ33" s="143"/>
      <c r="TTK33" s="143"/>
      <c r="TTL33" s="143"/>
      <c r="TTM33" s="143"/>
      <c r="TTN33" s="143"/>
      <c r="TTO33" s="143"/>
      <c r="TTP33" s="143"/>
      <c r="TTQ33" s="143"/>
      <c r="TTR33" s="143"/>
      <c r="TTS33" s="143"/>
      <c r="TTT33" s="143"/>
      <c r="TTU33" s="143"/>
      <c r="TTV33" s="143"/>
      <c r="TTW33" s="143"/>
      <c r="TTX33" s="143"/>
      <c r="TTY33" s="143"/>
      <c r="TTZ33" s="143"/>
      <c r="TUA33" s="143"/>
      <c r="TUB33" s="143"/>
      <c r="TUC33" s="143"/>
      <c r="TUD33" s="143"/>
      <c r="TUE33" s="143"/>
      <c r="TUF33" s="143"/>
      <c r="TUG33" s="143"/>
      <c r="TUH33" s="143"/>
      <c r="TUI33" s="143"/>
      <c r="TUJ33" s="143"/>
      <c r="TUK33" s="143"/>
      <c r="TUL33" s="143"/>
      <c r="TUM33" s="143"/>
      <c r="TUN33" s="143"/>
      <c r="TUO33" s="143"/>
      <c r="TUP33" s="143"/>
      <c r="TUQ33" s="143"/>
      <c r="TUR33" s="143"/>
      <c r="TUS33" s="143"/>
      <c r="TUT33" s="143"/>
      <c r="TUU33" s="143"/>
      <c r="TUV33" s="143"/>
      <c r="TUW33" s="143"/>
      <c r="TUX33" s="143"/>
      <c r="TUY33" s="143"/>
      <c r="TUZ33" s="143"/>
      <c r="TVA33" s="143"/>
      <c r="TVB33" s="143"/>
      <c r="TVC33" s="143"/>
      <c r="TVD33" s="143"/>
      <c r="TVE33" s="143"/>
      <c r="TVF33" s="143"/>
      <c r="TVG33" s="143"/>
      <c r="TVH33" s="143"/>
      <c r="TVI33" s="143"/>
      <c r="TVJ33" s="143"/>
      <c r="TVK33" s="143"/>
      <c r="TVL33" s="143"/>
      <c r="TVM33" s="143"/>
      <c r="TVN33" s="143"/>
      <c r="TVO33" s="143"/>
      <c r="TVP33" s="143"/>
      <c r="TVQ33" s="143"/>
      <c r="TVR33" s="143"/>
      <c r="TVS33" s="143"/>
      <c r="TVT33" s="143"/>
      <c r="TVU33" s="143"/>
      <c r="TVV33" s="143"/>
      <c r="TVW33" s="143"/>
      <c r="TVX33" s="143"/>
      <c r="TVY33" s="143"/>
      <c r="TVZ33" s="143"/>
      <c r="TWA33" s="143"/>
      <c r="TWB33" s="143"/>
      <c r="TWC33" s="143"/>
      <c r="TWD33" s="143"/>
      <c r="TWE33" s="143"/>
      <c r="TWF33" s="143"/>
      <c r="TWG33" s="143"/>
      <c r="TWH33" s="143"/>
      <c r="TWI33" s="143"/>
      <c r="TWJ33" s="143"/>
      <c r="TWK33" s="143"/>
      <c r="TWL33" s="143"/>
      <c r="TWM33" s="143"/>
      <c r="TWN33" s="143"/>
      <c r="TWO33" s="143"/>
      <c r="TWP33" s="143"/>
      <c r="TWQ33" s="143"/>
      <c r="TWR33" s="143"/>
      <c r="TWS33" s="143"/>
      <c r="TWT33" s="143"/>
      <c r="TWU33" s="143"/>
      <c r="TWV33" s="143"/>
      <c r="TWW33" s="143"/>
      <c r="TWX33" s="143"/>
      <c r="TWY33" s="143"/>
      <c r="TWZ33" s="143"/>
      <c r="TXA33" s="143"/>
      <c r="TXB33" s="143"/>
      <c r="TXC33" s="143"/>
      <c r="TXD33" s="143"/>
      <c r="TXE33" s="143"/>
      <c r="TXF33" s="143"/>
      <c r="TXG33" s="143"/>
      <c r="TXH33" s="143"/>
      <c r="TXI33" s="143"/>
      <c r="TXJ33" s="143"/>
      <c r="TXK33" s="143"/>
      <c r="TXL33" s="143"/>
      <c r="TXM33" s="143"/>
      <c r="TXN33" s="143"/>
      <c r="TXO33" s="143"/>
      <c r="TXP33" s="143"/>
      <c r="TXQ33" s="143"/>
      <c r="TXR33" s="143"/>
      <c r="TXS33" s="143"/>
      <c r="TXT33" s="143"/>
      <c r="TXU33" s="143"/>
      <c r="TXV33" s="143"/>
      <c r="TXW33" s="143"/>
      <c r="TXX33" s="143"/>
      <c r="TXY33" s="143"/>
      <c r="TXZ33" s="143"/>
      <c r="TYA33" s="143"/>
      <c r="TYB33" s="143"/>
      <c r="TYC33" s="143"/>
      <c r="TYD33" s="143"/>
      <c r="TYE33" s="143"/>
      <c r="TYF33" s="143"/>
      <c r="TYG33" s="143"/>
      <c r="TYH33" s="143"/>
      <c r="TYI33" s="143"/>
      <c r="TYJ33" s="143"/>
      <c r="TYK33" s="143"/>
      <c r="TYL33" s="143"/>
      <c r="TYM33" s="143"/>
      <c r="TYN33" s="143"/>
      <c r="TYO33" s="143"/>
      <c r="TYP33" s="143"/>
      <c r="TYQ33" s="143"/>
      <c r="TYR33" s="143"/>
      <c r="TYS33" s="143"/>
      <c r="TYT33" s="143"/>
      <c r="TYU33" s="143"/>
      <c r="TYV33" s="143"/>
      <c r="TYW33" s="143"/>
      <c r="TYX33" s="143"/>
      <c r="TYY33" s="143"/>
      <c r="TYZ33" s="143"/>
      <c r="TZA33" s="143"/>
      <c r="TZB33" s="143"/>
      <c r="TZC33" s="143"/>
      <c r="TZD33" s="143"/>
      <c r="TZE33" s="143"/>
      <c r="TZF33" s="143"/>
      <c r="TZG33" s="143"/>
      <c r="TZH33" s="143"/>
      <c r="TZI33" s="143"/>
      <c r="TZJ33" s="143"/>
      <c r="TZK33" s="143"/>
      <c r="TZL33" s="143"/>
      <c r="TZM33" s="143"/>
      <c r="TZN33" s="143"/>
      <c r="TZO33" s="143"/>
      <c r="TZP33" s="143"/>
      <c r="TZQ33" s="143"/>
      <c r="TZR33" s="143"/>
      <c r="TZS33" s="143"/>
      <c r="TZT33" s="143"/>
      <c r="TZU33" s="143"/>
      <c r="TZV33" s="143"/>
      <c r="TZW33" s="143"/>
      <c r="TZX33" s="143"/>
      <c r="TZY33" s="143"/>
      <c r="TZZ33" s="143"/>
      <c r="UAA33" s="143"/>
      <c r="UAB33" s="143"/>
      <c r="UAC33" s="143"/>
      <c r="UAD33" s="143"/>
      <c r="UAE33" s="143"/>
      <c r="UAF33" s="143"/>
      <c r="UAG33" s="143"/>
      <c r="UAH33" s="143"/>
      <c r="UAI33" s="143"/>
      <c r="UAJ33" s="143"/>
      <c r="UAK33" s="143"/>
      <c r="UAL33" s="143"/>
      <c r="UAM33" s="143"/>
      <c r="UAN33" s="143"/>
      <c r="UAO33" s="143"/>
      <c r="UAP33" s="143"/>
      <c r="UAQ33" s="143"/>
      <c r="UAR33" s="143"/>
      <c r="UAS33" s="143"/>
      <c r="UAT33" s="143"/>
      <c r="UAU33" s="143"/>
      <c r="UAV33" s="143"/>
      <c r="UAW33" s="143"/>
      <c r="UAX33" s="143"/>
      <c r="UAY33" s="143"/>
      <c r="UAZ33" s="143"/>
      <c r="UBA33" s="143"/>
      <c r="UBB33" s="143"/>
      <c r="UBC33" s="143"/>
      <c r="UBD33" s="143"/>
      <c r="UBE33" s="143"/>
      <c r="UBF33" s="143"/>
      <c r="UBG33" s="143"/>
      <c r="UBH33" s="143"/>
      <c r="UBI33" s="143"/>
      <c r="UBJ33" s="143"/>
      <c r="UBK33" s="143"/>
      <c r="UBL33" s="143"/>
      <c r="UBM33" s="143"/>
      <c r="UBN33" s="143"/>
      <c r="UBO33" s="143"/>
      <c r="UBP33" s="143"/>
      <c r="UBQ33" s="143"/>
      <c r="UBR33" s="143"/>
      <c r="UBS33" s="143"/>
      <c r="UBT33" s="143"/>
      <c r="UBU33" s="143"/>
      <c r="UBV33" s="143"/>
      <c r="UBW33" s="143"/>
      <c r="UBX33" s="143"/>
      <c r="UBY33" s="143"/>
      <c r="UBZ33" s="143"/>
      <c r="UCA33" s="143"/>
      <c r="UCB33" s="143"/>
      <c r="UCC33" s="143"/>
      <c r="UCD33" s="143"/>
      <c r="UCE33" s="143"/>
      <c r="UCF33" s="143"/>
      <c r="UCG33" s="143"/>
      <c r="UCH33" s="143"/>
      <c r="UCI33" s="143"/>
      <c r="UCJ33" s="143"/>
      <c r="UCK33" s="143"/>
      <c r="UCL33" s="143"/>
      <c r="UCM33" s="143"/>
      <c r="UCN33" s="143"/>
      <c r="UCO33" s="143"/>
      <c r="UCP33" s="143"/>
      <c r="UCQ33" s="143"/>
      <c r="UCR33" s="143"/>
      <c r="UCS33" s="143"/>
      <c r="UCT33" s="143"/>
      <c r="UCU33" s="143"/>
      <c r="UCV33" s="143"/>
      <c r="UCW33" s="143"/>
      <c r="UCX33" s="143"/>
      <c r="UCY33" s="143"/>
      <c r="UCZ33" s="143"/>
      <c r="UDA33" s="143"/>
      <c r="UDB33" s="143"/>
      <c r="UDC33" s="143"/>
      <c r="UDD33" s="143"/>
      <c r="UDE33" s="143"/>
      <c r="UDF33" s="143"/>
      <c r="UDG33" s="143"/>
      <c r="UDH33" s="143"/>
      <c r="UDI33" s="143"/>
      <c r="UDJ33" s="143"/>
      <c r="UDK33" s="143"/>
      <c r="UDL33" s="143"/>
      <c r="UDM33" s="143"/>
      <c r="UDN33" s="143"/>
      <c r="UDO33" s="143"/>
      <c r="UDP33" s="143"/>
      <c r="UDQ33" s="143"/>
      <c r="UDR33" s="143"/>
      <c r="UDS33" s="143"/>
      <c r="UDT33" s="143"/>
      <c r="UDU33" s="143"/>
      <c r="UDV33" s="143"/>
      <c r="UDW33" s="143"/>
      <c r="UDX33" s="143"/>
      <c r="UDY33" s="143"/>
      <c r="UDZ33" s="143"/>
      <c r="UEA33" s="143"/>
      <c r="UEB33" s="143"/>
      <c r="UEC33" s="143"/>
      <c r="UED33" s="143"/>
      <c r="UEE33" s="143"/>
      <c r="UEF33" s="143"/>
      <c r="UEG33" s="143"/>
      <c r="UEH33" s="143"/>
      <c r="UEI33" s="143"/>
      <c r="UEJ33" s="143"/>
      <c r="UEK33" s="143"/>
      <c r="UEL33" s="143"/>
      <c r="UEM33" s="143"/>
      <c r="UEN33" s="143"/>
      <c r="UEO33" s="143"/>
      <c r="UEP33" s="143"/>
      <c r="UEQ33" s="143"/>
      <c r="UER33" s="143"/>
      <c r="UES33" s="143"/>
      <c r="UET33" s="143"/>
      <c r="UEU33" s="143"/>
      <c r="UEV33" s="143"/>
      <c r="UEW33" s="143"/>
      <c r="UEX33" s="143"/>
      <c r="UEY33" s="143"/>
      <c r="UEZ33" s="143"/>
      <c r="UFA33" s="143"/>
      <c r="UFB33" s="143"/>
      <c r="UFC33" s="143"/>
      <c r="UFD33" s="143"/>
      <c r="UFE33" s="143"/>
      <c r="UFF33" s="143"/>
      <c r="UFG33" s="143"/>
      <c r="UFH33" s="143"/>
      <c r="UFI33" s="143"/>
      <c r="UFJ33" s="143"/>
      <c r="UFK33" s="143"/>
      <c r="UFL33" s="143"/>
      <c r="UFM33" s="143"/>
      <c r="UFN33" s="143"/>
      <c r="UFO33" s="143"/>
      <c r="UFP33" s="143"/>
      <c r="UFQ33" s="143"/>
      <c r="UFR33" s="143"/>
      <c r="UFS33" s="143"/>
      <c r="UFT33" s="143"/>
      <c r="UFU33" s="143"/>
      <c r="UFV33" s="143"/>
      <c r="UFW33" s="143"/>
      <c r="UFX33" s="143"/>
      <c r="UFY33" s="143"/>
      <c r="UFZ33" s="143"/>
      <c r="UGA33" s="143"/>
      <c r="UGB33" s="143"/>
      <c r="UGC33" s="143"/>
      <c r="UGD33" s="143"/>
      <c r="UGE33" s="143"/>
      <c r="UGF33" s="143"/>
      <c r="UGG33" s="143"/>
      <c r="UGH33" s="143"/>
      <c r="UGI33" s="143"/>
      <c r="UGJ33" s="143"/>
      <c r="UGK33" s="143"/>
      <c r="UGL33" s="143"/>
      <c r="UGM33" s="143"/>
      <c r="UGN33" s="143"/>
      <c r="UGO33" s="143"/>
      <c r="UGP33" s="143"/>
      <c r="UGQ33" s="143"/>
      <c r="UGR33" s="143"/>
      <c r="UGS33" s="143"/>
      <c r="UGT33" s="143"/>
      <c r="UGU33" s="143"/>
      <c r="UGV33" s="143"/>
      <c r="UGW33" s="143"/>
      <c r="UGX33" s="143"/>
      <c r="UGY33" s="143"/>
      <c r="UGZ33" s="143"/>
      <c r="UHA33" s="143"/>
      <c r="UHB33" s="143"/>
      <c r="UHC33" s="143"/>
      <c r="UHD33" s="143"/>
      <c r="UHE33" s="143"/>
      <c r="UHF33" s="143"/>
      <c r="UHG33" s="143"/>
      <c r="UHH33" s="143"/>
      <c r="UHI33" s="143"/>
      <c r="UHJ33" s="143"/>
      <c r="UHK33" s="143"/>
      <c r="UHL33" s="143"/>
      <c r="UHM33" s="143"/>
      <c r="UHN33" s="143"/>
      <c r="UHO33" s="143"/>
      <c r="UHP33" s="143"/>
      <c r="UHQ33" s="143"/>
      <c r="UHR33" s="143"/>
      <c r="UHS33" s="143"/>
      <c r="UHT33" s="143"/>
      <c r="UHU33" s="143"/>
      <c r="UHV33" s="143"/>
      <c r="UHW33" s="143"/>
      <c r="UHX33" s="143"/>
      <c r="UHY33" s="143"/>
      <c r="UHZ33" s="143"/>
      <c r="UIA33" s="143"/>
      <c r="UIB33" s="143"/>
      <c r="UIC33" s="143"/>
      <c r="UID33" s="143"/>
      <c r="UIE33" s="143"/>
      <c r="UIF33" s="143"/>
      <c r="UIG33" s="143"/>
      <c r="UIH33" s="143"/>
      <c r="UII33" s="143"/>
      <c r="UIJ33" s="143"/>
      <c r="UIK33" s="143"/>
      <c r="UIL33" s="143"/>
      <c r="UIM33" s="143"/>
      <c r="UIN33" s="143"/>
      <c r="UIO33" s="143"/>
      <c r="UIP33" s="143"/>
      <c r="UIQ33" s="143"/>
      <c r="UIR33" s="143"/>
      <c r="UIS33" s="143"/>
      <c r="UIT33" s="143"/>
      <c r="UIU33" s="143"/>
      <c r="UIV33" s="143"/>
      <c r="UIW33" s="143"/>
      <c r="UIX33" s="143"/>
      <c r="UIY33" s="143"/>
      <c r="UIZ33" s="143"/>
      <c r="UJA33" s="143"/>
      <c r="UJB33" s="143"/>
      <c r="UJC33" s="143"/>
      <c r="UJD33" s="143"/>
      <c r="UJE33" s="143"/>
      <c r="UJF33" s="143"/>
      <c r="UJG33" s="143"/>
      <c r="UJH33" s="143"/>
      <c r="UJI33" s="143"/>
      <c r="UJJ33" s="143"/>
      <c r="UJK33" s="143"/>
      <c r="UJL33" s="143"/>
      <c r="UJM33" s="143"/>
      <c r="UJN33" s="143"/>
      <c r="UJO33" s="143"/>
      <c r="UJP33" s="143"/>
      <c r="UJQ33" s="143"/>
      <c r="UJR33" s="143"/>
      <c r="UJS33" s="143"/>
      <c r="UJT33" s="143"/>
      <c r="UJU33" s="143"/>
      <c r="UJV33" s="143"/>
      <c r="UJW33" s="143"/>
      <c r="UJX33" s="143"/>
      <c r="UJY33" s="143"/>
      <c r="UJZ33" s="143"/>
      <c r="UKA33" s="143"/>
      <c r="UKB33" s="143"/>
      <c r="UKC33" s="143"/>
      <c r="UKD33" s="143"/>
      <c r="UKE33" s="143"/>
      <c r="UKF33" s="143"/>
      <c r="UKG33" s="143"/>
      <c r="UKH33" s="143"/>
      <c r="UKI33" s="143"/>
      <c r="UKJ33" s="143"/>
      <c r="UKK33" s="143"/>
      <c r="UKL33" s="143"/>
      <c r="UKM33" s="143"/>
      <c r="UKN33" s="143"/>
      <c r="UKO33" s="143"/>
      <c r="UKP33" s="143"/>
      <c r="UKQ33" s="143"/>
      <c r="UKR33" s="143"/>
      <c r="UKS33" s="143"/>
      <c r="UKT33" s="143"/>
      <c r="UKU33" s="143"/>
      <c r="UKV33" s="143"/>
      <c r="UKW33" s="143"/>
      <c r="UKX33" s="143"/>
      <c r="UKY33" s="143"/>
      <c r="UKZ33" s="143"/>
      <c r="ULA33" s="143"/>
      <c r="ULB33" s="143"/>
      <c r="ULC33" s="143"/>
      <c r="ULD33" s="143"/>
      <c r="ULE33" s="143"/>
      <c r="ULF33" s="143"/>
      <c r="ULG33" s="143"/>
      <c r="ULH33" s="143"/>
      <c r="ULI33" s="143"/>
      <c r="ULJ33" s="143"/>
      <c r="ULK33" s="143"/>
      <c r="ULL33" s="143"/>
      <c r="ULM33" s="143"/>
      <c r="ULN33" s="143"/>
      <c r="ULO33" s="143"/>
      <c r="ULP33" s="143"/>
      <c r="ULQ33" s="143"/>
      <c r="ULR33" s="143"/>
      <c r="ULS33" s="143"/>
      <c r="ULT33" s="143"/>
      <c r="ULU33" s="143"/>
      <c r="ULV33" s="143"/>
      <c r="ULW33" s="143"/>
      <c r="ULX33" s="143"/>
      <c r="ULY33" s="143"/>
      <c r="ULZ33" s="143"/>
      <c r="UMA33" s="143"/>
      <c r="UMB33" s="143"/>
      <c r="UMC33" s="143"/>
      <c r="UMD33" s="143"/>
      <c r="UME33" s="143"/>
      <c r="UMF33" s="143"/>
      <c r="UMG33" s="143"/>
      <c r="UMH33" s="143"/>
      <c r="UMI33" s="143"/>
      <c r="UMJ33" s="143"/>
      <c r="UMK33" s="143"/>
      <c r="UML33" s="143"/>
      <c r="UMM33" s="143"/>
      <c r="UMN33" s="143"/>
      <c r="UMO33" s="143"/>
      <c r="UMP33" s="143"/>
      <c r="UMQ33" s="143"/>
      <c r="UMR33" s="143"/>
      <c r="UMS33" s="143"/>
      <c r="UMT33" s="143"/>
      <c r="UMU33" s="143"/>
      <c r="UMV33" s="143"/>
      <c r="UMW33" s="143"/>
      <c r="UMX33" s="143"/>
      <c r="UMY33" s="143"/>
      <c r="UMZ33" s="143"/>
      <c r="UNA33" s="143"/>
      <c r="UNB33" s="143"/>
      <c r="UNC33" s="143"/>
      <c r="UND33" s="143"/>
      <c r="UNE33" s="143"/>
      <c r="UNF33" s="143"/>
      <c r="UNG33" s="143"/>
      <c r="UNH33" s="143"/>
      <c r="UNI33" s="143"/>
      <c r="UNJ33" s="143"/>
      <c r="UNK33" s="143"/>
      <c r="UNL33" s="143"/>
      <c r="UNM33" s="143"/>
      <c r="UNN33" s="143"/>
      <c r="UNO33" s="143"/>
      <c r="UNP33" s="143"/>
      <c r="UNQ33" s="143"/>
      <c r="UNR33" s="143"/>
      <c r="UNS33" s="143"/>
      <c r="UNT33" s="143"/>
      <c r="UNU33" s="143"/>
      <c r="UNV33" s="143"/>
      <c r="UNW33" s="143"/>
      <c r="UNX33" s="143"/>
      <c r="UNY33" s="143"/>
      <c r="UNZ33" s="143"/>
      <c r="UOA33" s="143"/>
      <c r="UOB33" s="143"/>
      <c r="UOC33" s="143"/>
      <c r="UOD33" s="143"/>
      <c r="UOE33" s="143"/>
      <c r="UOF33" s="143"/>
      <c r="UOG33" s="143"/>
      <c r="UOH33" s="143"/>
      <c r="UOI33" s="143"/>
      <c r="UOJ33" s="143"/>
      <c r="UOK33" s="143"/>
      <c r="UOL33" s="143"/>
      <c r="UOM33" s="143"/>
      <c r="UON33" s="143"/>
      <c r="UOO33" s="143"/>
      <c r="UOP33" s="143"/>
      <c r="UOQ33" s="143"/>
      <c r="UOR33" s="143"/>
      <c r="UOS33" s="143"/>
      <c r="UOT33" s="143"/>
      <c r="UOU33" s="143"/>
      <c r="UOV33" s="143"/>
      <c r="UOW33" s="143"/>
      <c r="UOX33" s="143"/>
      <c r="UOY33" s="143"/>
      <c r="UOZ33" s="143"/>
      <c r="UPA33" s="143"/>
      <c r="UPB33" s="143"/>
      <c r="UPC33" s="143"/>
      <c r="UPD33" s="143"/>
      <c r="UPE33" s="143"/>
      <c r="UPF33" s="143"/>
      <c r="UPG33" s="143"/>
      <c r="UPH33" s="143"/>
      <c r="UPI33" s="143"/>
      <c r="UPJ33" s="143"/>
      <c r="UPK33" s="143"/>
      <c r="UPL33" s="143"/>
      <c r="UPM33" s="143"/>
      <c r="UPN33" s="143"/>
      <c r="UPO33" s="143"/>
      <c r="UPP33" s="143"/>
      <c r="UPQ33" s="143"/>
      <c r="UPR33" s="143"/>
      <c r="UPS33" s="143"/>
      <c r="UPT33" s="143"/>
      <c r="UPU33" s="143"/>
      <c r="UPV33" s="143"/>
      <c r="UPW33" s="143"/>
      <c r="UPX33" s="143"/>
      <c r="UPY33" s="143"/>
      <c r="UPZ33" s="143"/>
      <c r="UQA33" s="143"/>
      <c r="UQB33" s="143"/>
      <c r="UQC33" s="143"/>
      <c r="UQD33" s="143"/>
      <c r="UQE33" s="143"/>
      <c r="UQF33" s="143"/>
      <c r="UQG33" s="143"/>
      <c r="UQH33" s="143"/>
      <c r="UQI33" s="143"/>
      <c r="UQJ33" s="143"/>
      <c r="UQK33" s="143"/>
      <c r="UQL33" s="143"/>
      <c r="UQM33" s="143"/>
      <c r="UQN33" s="143"/>
      <c r="UQO33" s="143"/>
      <c r="UQP33" s="143"/>
      <c r="UQQ33" s="143"/>
      <c r="UQR33" s="143"/>
      <c r="UQS33" s="143"/>
      <c r="UQT33" s="143"/>
      <c r="UQU33" s="143"/>
      <c r="UQV33" s="143"/>
      <c r="UQW33" s="143"/>
      <c r="UQX33" s="143"/>
      <c r="UQY33" s="143"/>
      <c r="UQZ33" s="143"/>
      <c r="URA33" s="143"/>
      <c r="URB33" s="143"/>
      <c r="URC33" s="143"/>
      <c r="URD33" s="143"/>
      <c r="URE33" s="143"/>
      <c r="URF33" s="143"/>
      <c r="URG33" s="143"/>
      <c r="URH33" s="143"/>
      <c r="URI33" s="143"/>
      <c r="URJ33" s="143"/>
      <c r="URK33" s="143"/>
      <c r="URL33" s="143"/>
      <c r="URM33" s="143"/>
      <c r="URN33" s="143"/>
      <c r="URO33" s="143"/>
      <c r="URP33" s="143"/>
      <c r="URQ33" s="143"/>
      <c r="URR33" s="143"/>
      <c r="URS33" s="143"/>
      <c r="URT33" s="143"/>
      <c r="URU33" s="143"/>
      <c r="URV33" s="143"/>
      <c r="URW33" s="143"/>
      <c r="URX33" s="143"/>
      <c r="URY33" s="143"/>
      <c r="URZ33" s="143"/>
      <c r="USA33" s="143"/>
      <c r="USB33" s="143"/>
      <c r="USC33" s="143"/>
      <c r="USD33" s="143"/>
      <c r="USE33" s="143"/>
      <c r="USF33" s="143"/>
      <c r="USG33" s="143"/>
      <c r="USH33" s="143"/>
      <c r="USI33" s="143"/>
      <c r="USJ33" s="143"/>
      <c r="USK33" s="143"/>
      <c r="USL33" s="143"/>
      <c r="USM33" s="143"/>
      <c r="USN33" s="143"/>
      <c r="USO33" s="143"/>
      <c r="USP33" s="143"/>
      <c r="USQ33" s="143"/>
      <c r="USR33" s="143"/>
      <c r="USS33" s="143"/>
      <c r="UST33" s="143"/>
      <c r="USU33" s="143"/>
      <c r="USV33" s="143"/>
      <c r="USW33" s="143"/>
      <c r="USX33" s="143"/>
      <c r="USY33" s="143"/>
      <c r="USZ33" s="143"/>
      <c r="UTA33" s="143"/>
      <c r="UTB33" s="143"/>
      <c r="UTC33" s="143"/>
      <c r="UTD33" s="143"/>
      <c r="UTE33" s="143"/>
      <c r="UTF33" s="143"/>
      <c r="UTG33" s="143"/>
      <c r="UTH33" s="143"/>
      <c r="UTI33" s="143"/>
      <c r="UTJ33" s="143"/>
      <c r="UTK33" s="143"/>
      <c r="UTL33" s="143"/>
      <c r="UTM33" s="143"/>
      <c r="UTN33" s="143"/>
      <c r="UTO33" s="143"/>
      <c r="UTP33" s="143"/>
      <c r="UTQ33" s="143"/>
      <c r="UTR33" s="143"/>
      <c r="UTS33" s="143"/>
      <c r="UTT33" s="143"/>
      <c r="UTU33" s="143"/>
      <c r="UTV33" s="143"/>
      <c r="UTW33" s="143"/>
      <c r="UTX33" s="143"/>
      <c r="UTY33" s="143"/>
      <c r="UTZ33" s="143"/>
      <c r="UUA33" s="143"/>
      <c r="UUB33" s="143"/>
      <c r="UUC33" s="143"/>
      <c r="UUD33" s="143"/>
      <c r="UUE33" s="143"/>
      <c r="UUF33" s="143"/>
      <c r="UUG33" s="143"/>
      <c r="UUH33" s="143"/>
      <c r="UUI33" s="143"/>
      <c r="UUJ33" s="143"/>
      <c r="UUK33" s="143"/>
      <c r="UUL33" s="143"/>
      <c r="UUM33" s="143"/>
      <c r="UUN33" s="143"/>
      <c r="UUO33" s="143"/>
      <c r="UUP33" s="143"/>
      <c r="UUQ33" s="143"/>
      <c r="UUR33" s="143"/>
      <c r="UUS33" s="143"/>
      <c r="UUT33" s="143"/>
      <c r="UUU33" s="143"/>
      <c r="UUV33" s="143"/>
      <c r="UUW33" s="143"/>
      <c r="UUX33" s="143"/>
      <c r="UUY33" s="143"/>
      <c r="UUZ33" s="143"/>
      <c r="UVA33" s="143"/>
      <c r="UVB33" s="143"/>
      <c r="UVC33" s="143"/>
      <c r="UVD33" s="143"/>
      <c r="UVE33" s="143"/>
      <c r="UVF33" s="143"/>
      <c r="UVG33" s="143"/>
      <c r="UVH33" s="143"/>
      <c r="UVI33" s="143"/>
      <c r="UVJ33" s="143"/>
      <c r="UVK33" s="143"/>
      <c r="UVL33" s="143"/>
      <c r="UVM33" s="143"/>
      <c r="UVN33" s="143"/>
      <c r="UVO33" s="143"/>
      <c r="UVP33" s="143"/>
      <c r="UVQ33" s="143"/>
      <c r="UVR33" s="143"/>
      <c r="UVS33" s="143"/>
      <c r="UVT33" s="143"/>
      <c r="UVU33" s="143"/>
      <c r="UVV33" s="143"/>
      <c r="UVW33" s="143"/>
      <c r="UVX33" s="143"/>
      <c r="UVY33" s="143"/>
      <c r="UVZ33" s="143"/>
      <c r="UWA33" s="143"/>
      <c r="UWB33" s="143"/>
      <c r="UWC33" s="143"/>
      <c r="UWD33" s="143"/>
      <c r="UWE33" s="143"/>
      <c r="UWF33" s="143"/>
      <c r="UWG33" s="143"/>
      <c r="UWH33" s="143"/>
      <c r="UWI33" s="143"/>
      <c r="UWJ33" s="143"/>
      <c r="UWK33" s="143"/>
      <c r="UWL33" s="143"/>
      <c r="UWM33" s="143"/>
      <c r="UWN33" s="143"/>
      <c r="UWO33" s="143"/>
      <c r="UWP33" s="143"/>
      <c r="UWQ33" s="143"/>
      <c r="UWR33" s="143"/>
      <c r="UWS33" s="143"/>
      <c r="UWT33" s="143"/>
      <c r="UWU33" s="143"/>
      <c r="UWV33" s="143"/>
      <c r="UWW33" s="143"/>
      <c r="UWX33" s="143"/>
      <c r="UWY33" s="143"/>
      <c r="UWZ33" s="143"/>
      <c r="UXA33" s="143"/>
      <c r="UXB33" s="143"/>
      <c r="UXC33" s="143"/>
      <c r="UXD33" s="143"/>
      <c r="UXE33" s="143"/>
      <c r="UXF33" s="143"/>
      <c r="UXG33" s="143"/>
      <c r="UXH33" s="143"/>
      <c r="UXI33" s="143"/>
      <c r="UXJ33" s="143"/>
      <c r="UXK33" s="143"/>
      <c r="UXL33" s="143"/>
      <c r="UXM33" s="143"/>
      <c r="UXN33" s="143"/>
      <c r="UXO33" s="143"/>
      <c r="UXP33" s="143"/>
      <c r="UXQ33" s="143"/>
      <c r="UXR33" s="143"/>
      <c r="UXS33" s="143"/>
      <c r="UXT33" s="143"/>
      <c r="UXU33" s="143"/>
      <c r="UXV33" s="143"/>
      <c r="UXW33" s="143"/>
      <c r="UXX33" s="143"/>
      <c r="UXY33" s="143"/>
      <c r="UXZ33" s="143"/>
      <c r="UYA33" s="143"/>
      <c r="UYB33" s="143"/>
      <c r="UYC33" s="143"/>
      <c r="UYD33" s="143"/>
      <c r="UYE33" s="143"/>
      <c r="UYF33" s="143"/>
      <c r="UYG33" s="143"/>
      <c r="UYH33" s="143"/>
      <c r="UYI33" s="143"/>
      <c r="UYJ33" s="143"/>
      <c r="UYK33" s="143"/>
      <c r="UYL33" s="143"/>
      <c r="UYM33" s="143"/>
      <c r="UYN33" s="143"/>
      <c r="UYO33" s="143"/>
      <c r="UYP33" s="143"/>
      <c r="UYQ33" s="143"/>
      <c r="UYR33" s="143"/>
      <c r="UYS33" s="143"/>
      <c r="UYT33" s="143"/>
      <c r="UYU33" s="143"/>
      <c r="UYV33" s="143"/>
      <c r="UYW33" s="143"/>
      <c r="UYX33" s="143"/>
      <c r="UYY33" s="143"/>
      <c r="UYZ33" s="143"/>
      <c r="UZA33" s="143"/>
      <c r="UZB33" s="143"/>
      <c r="UZC33" s="143"/>
      <c r="UZD33" s="143"/>
      <c r="UZE33" s="143"/>
      <c r="UZF33" s="143"/>
      <c r="UZG33" s="143"/>
      <c r="UZH33" s="143"/>
      <c r="UZI33" s="143"/>
      <c r="UZJ33" s="143"/>
      <c r="UZK33" s="143"/>
      <c r="UZL33" s="143"/>
      <c r="UZM33" s="143"/>
      <c r="UZN33" s="143"/>
      <c r="UZO33" s="143"/>
      <c r="UZP33" s="143"/>
      <c r="UZQ33" s="143"/>
      <c r="UZR33" s="143"/>
      <c r="UZS33" s="143"/>
      <c r="UZT33" s="143"/>
      <c r="UZU33" s="143"/>
      <c r="UZV33" s="143"/>
      <c r="UZW33" s="143"/>
      <c r="UZX33" s="143"/>
      <c r="UZY33" s="143"/>
      <c r="UZZ33" s="143"/>
      <c r="VAA33" s="143"/>
      <c r="VAB33" s="143"/>
      <c r="VAC33" s="143"/>
      <c r="VAD33" s="143"/>
      <c r="VAE33" s="143"/>
      <c r="VAF33" s="143"/>
      <c r="VAG33" s="143"/>
      <c r="VAH33" s="143"/>
      <c r="VAI33" s="143"/>
      <c r="VAJ33" s="143"/>
      <c r="VAK33" s="143"/>
      <c r="VAL33" s="143"/>
      <c r="VAM33" s="143"/>
      <c r="VAN33" s="143"/>
      <c r="VAO33" s="143"/>
      <c r="VAP33" s="143"/>
      <c r="VAQ33" s="143"/>
      <c r="VAR33" s="143"/>
      <c r="VAS33" s="143"/>
      <c r="VAT33" s="143"/>
      <c r="VAU33" s="143"/>
      <c r="VAV33" s="143"/>
      <c r="VAW33" s="143"/>
      <c r="VAX33" s="143"/>
      <c r="VAY33" s="143"/>
      <c r="VAZ33" s="143"/>
      <c r="VBA33" s="143"/>
      <c r="VBB33" s="143"/>
      <c r="VBC33" s="143"/>
      <c r="VBD33" s="143"/>
      <c r="VBE33" s="143"/>
      <c r="VBF33" s="143"/>
      <c r="VBG33" s="143"/>
      <c r="VBH33" s="143"/>
      <c r="VBI33" s="143"/>
      <c r="VBJ33" s="143"/>
      <c r="VBK33" s="143"/>
      <c r="VBL33" s="143"/>
      <c r="VBM33" s="143"/>
      <c r="VBN33" s="143"/>
      <c r="VBO33" s="143"/>
      <c r="VBP33" s="143"/>
      <c r="VBQ33" s="143"/>
      <c r="VBR33" s="143"/>
      <c r="VBS33" s="143"/>
      <c r="VBT33" s="143"/>
      <c r="VBU33" s="143"/>
      <c r="VBV33" s="143"/>
      <c r="VBW33" s="143"/>
      <c r="VBX33" s="143"/>
      <c r="VBY33" s="143"/>
      <c r="VBZ33" s="143"/>
      <c r="VCA33" s="143"/>
      <c r="VCB33" s="143"/>
      <c r="VCC33" s="143"/>
      <c r="VCD33" s="143"/>
      <c r="VCE33" s="143"/>
      <c r="VCF33" s="143"/>
      <c r="VCG33" s="143"/>
      <c r="VCH33" s="143"/>
      <c r="VCI33" s="143"/>
      <c r="VCJ33" s="143"/>
      <c r="VCK33" s="143"/>
      <c r="VCL33" s="143"/>
      <c r="VCM33" s="143"/>
      <c r="VCN33" s="143"/>
      <c r="VCO33" s="143"/>
      <c r="VCP33" s="143"/>
      <c r="VCQ33" s="143"/>
      <c r="VCR33" s="143"/>
      <c r="VCS33" s="143"/>
      <c r="VCT33" s="143"/>
      <c r="VCU33" s="143"/>
      <c r="VCV33" s="143"/>
      <c r="VCW33" s="143"/>
      <c r="VCX33" s="143"/>
      <c r="VCY33" s="143"/>
      <c r="VCZ33" s="143"/>
      <c r="VDA33" s="143"/>
      <c r="VDB33" s="143"/>
      <c r="VDC33" s="143"/>
      <c r="VDD33" s="143"/>
      <c r="VDE33" s="143"/>
      <c r="VDF33" s="143"/>
      <c r="VDG33" s="143"/>
      <c r="VDH33" s="143"/>
      <c r="VDI33" s="143"/>
      <c r="VDJ33" s="143"/>
      <c r="VDK33" s="143"/>
      <c r="VDL33" s="143"/>
      <c r="VDM33" s="143"/>
      <c r="VDN33" s="143"/>
      <c r="VDO33" s="143"/>
      <c r="VDP33" s="143"/>
      <c r="VDQ33" s="143"/>
      <c r="VDR33" s="143"/>
      <c r="VDS33" s="143"/>
      <c r="VDT33" s="143"/>
      <c r="VDU33" s="143"/>
      <c r="VDV33" s="143"/>
      <c r="VDW33" s="143"/>
      <c r="VDX33" s="143"/>
      <c r="VDY33" s="143"/>
      <c r="VDZ33" s="143"/>
      <c r="VEA33" s="143"/>
      <c r="VEB33" s="143"/>
      <c r="VEC33" s="143"/>
      <c r="VED33" s="143"/>
      <c r="VEE33" s="143"/>
      <c r="VEF33" s="143"/>
      <c r="VEG33" s="143"/>
      <c r="VEH33" s="143"/>
      <c r="VEI33" s="143"/>
      <c r="VEJ33" s="143"/>
      <c r="VEK33" s="143"/>
      <c r="VEL33" s="143"/>
      <c r="VEM33" s="143"/>
      <c r="VEN33" s="143"/>
      <c r="VEO33" s="143"/>
      <c r="VEP33" s="143"/>
      <c r="VEQ33" s="143"/>
      <c r="VER33" s="143"/>
      <c r="VES33" s="143"/>
      <c r="VET33" s="143"/>
      <c r="VEU33" s="143"/>
      <c r="VEV33" s="143"/>
      <c r="VEW33" s="143"/>
      <c r="VEX33" s="143"/>
      <c r="VEY33" s="143"/>
      <c r="VEZ33" s="143"/>
      <c r="VFA33" s="143"/>
      <c r="VFB33" s="143"/>
      <c r="VFC33" s="143"/>
      <c r="VFD33" s="143"/>
      <c r="VFE33" s="143"/>
      <c r="VFF33" s="143"/>
      <c r="VFG33" s="143"/>
      <c r="VFH33" s="143"/>
      <c r="VFI33" s="143"/>
      <c r="VFJ33" s="143"/>
      <c r="VFK33" s="143"/>
      <c r="VFL33" s="143"/>
      <c r="VFM33" s="143"/>
      <c r="VFN33" s="143"/>
      <c r="VFO33" s="143"/>
      <c r="VFP33" s="143"/>
      <c r="VFQ33" s="143"/>
      <c r="VFR33" s="143"/>
      <c r="VFS33" s="143"/>
      <c r="VFT33" s="143"/>
      <c r="VFU33" s="143"/>
      <c r="VFV33" s="143"/>
      <c r="VFW33" s="143"/>
      <c r="VFX33" s="143"/>
      <c r="VFY33" s="143"/>
      <c r="VFZ33" s="143"/>
      <c r="VGA33" s="143"/>
      <c r="VGB33" s="143"/>
      <c r="VGC33" s="143"/>
      <c r="VGD33" s="143"/>
      <c r="VGE33" s="143"/>
      <c r="VGF33" s="143"/>
      <c r="VGG33" s="143"/>
      <c r="VGH33" s="143"/>
      <c r="VGI33" s="143"/>
      <c r="VGJ33" s="143"/>
      <c r="VGK33" s="143"/>
      <c r="VGL33" s="143"/>
      <c r="VGM33" s="143"/>
      <c r="VGN33" s="143"/>
      <c r="VGO33" s="143"/>
      <c r="VGP33" s="143"/>
      <c r="VGQ33" s="143"/>
      <c r="VGR33" s="143"/>
      <c r="VGS33" s="143"/>
      <c r="VGT33" s="143"/>
      <c r="VGU33" s="143"/>
      <c r="VGV33" s="143"/>
      <c r="VGW33" s="143"/>
      <c r="VGX33" s="143"/>
      <c r="VGY33" s="143"/>
      <c r="VGZ33" s="143"/>
      <c r="VHA33" s="143"/>
      <c r="VHB33" s="143"/>
      <c r="VHC33" s="143"/>
      <c r="VHD33" s="143"/>
      <c r="VHE33" s="143"/>
      <c r="VHF33" s="143"/>
      <c r="VHG33" s="143"/>
      <c r="VHH33" s="143"/>
      <c r="VHI33" s="143"/>
      <c r="VHJ33" s="143"/>
      <c r="VHK33" s="143"/>
      <c r="VHL33" s="143"/>
      <c r="VHM33" s="143"/>
      <c r="VHN33" s="143"/>
      <c r="VHO33" s="143"/>
      <c r="VHP33" s="143"/>
      <c r="VHQ33" s="143"/>
      <c r="VHR33" s="143"/>
      <c r="VHS33" s="143"/>
      <c r="VHT33" s="143"/>
      <c r="VHU33" s="143"/>
      <c r="VHV33" s="143"/>
      <c r="VHW33" s="143"/>
      <c r="VHX33" s="143"/>
      <c r="VHY33" s="143"/>
      <c r="VHZ33" s="143"/>
      <c r="VIA33" s="143"/>
      <c r="VIB33" s="143"/>
      <c r="VIC33" s="143"/>
      <c r="VID33" s="143"/>
      <c r="VIE33" s="143"/>
      <c r="VIF33" s="143"/>
      <c r="VIG33" s="143"/>
      <c r="VIH33" s="143"/>
      <c r="VII33" s="143"/>
      <c r="VIJ33" s="143"/>
      <c r="VIK33" s="143"/>
      <c r="VIL33" s="143"/>
      <c r="VIM33" s="143"/>
      <c r="VIN33" s="143"/>
      <c r="VIO33" s="143"/>
      <c r="VIP33" s="143"/>
      <c r="VIQ33" s="143"/>
      <c r="VIR33" s="143"/>
      <c r="VIS33" s="143"/>
      <c r="VIT33" s="143"/>
      <c r="VIU33" s="143"/>
      <c r="VIV33" s="143"/>
      <c r="VIW33" s="143"/>
      <c r="VIX33" s="143"/>
      <c r="VIY33" s="143"/>
      <c r="VIZ33" s="143"/>
      <c r="VJA33" s="143"/>
      <c r="VJB33" s="143"/>
      <c r="VJC33" s="143"/>
      <c r="VJD33" s="143"/>
      <c r="VJE33" s="143"/>
      <c r="VJF33" s="143"/>
      <c r="VJG33" s="143"/>
      <c r="VJH33" s="143"/>
      <c r="VJI33" s="143"/>
      <c r="VJJ33" s="143"/>
      <c r="VJK33" s="143"/>
      <c r="VJL33" s="143"/>
      <c r="VJM33" s="143"/>
      <c r="VJN33" s="143"/>
      <c r="VJO33" s="143"/>
      <c r="VJP33" s="143"/>
      <c r="VJQ33" s="143"/>
      <c r="VJR33" s="143"/>
      <c r="VJS33" s="143"/>
      <c r="VJT33" s="143"/>
      <c r="VJU33" s="143"/>
      <c r="VJV33" s="143"/>
      <c r="VJW33" s="143"/>
      <c r="VJX33" s="143"/>
      <c r="VJY33" s="143"/>
      <c r="VJZ33" s="143"/>
      <c r="VKA33" s="143"/>
      <c r="VKB33" s="143"/>
      <c r="VKC33" s="143"/>
      <c r="VKD33" s="143"/>
      <c r="VKE33" s="143"/>
      <c r="VKF33" s="143"/>
      <c r="VKG33" s="143"/>
      <c r="VKH33" s="143"/>
      <c r="VKI33" s="143"/>
      <c r="VKJ33" s="143"/>
      <c r="VKK33" s="143"/>
      <c r="VKL33" s="143"/>
      <c r="VKM33" s="143"/>
      <c r="VKN33" s="143"/>
      <c r="VKO33" s="143"/>
      <c r="VKP33" s="143"/>
      <c r="VKQ33" s="143"/>
      <c r="VKR33" s="143"/>
      <c r="VKS33" s="143"/>
      <c r="VKT33" s="143"/>
      <c r="VKU33" s="143"/>
      <c r="VKV33" s="143"/>
      <c r="VKW33" s="143"/>
      <c r="VKX33" s="143"/>
      <c r="VKY33" s="143"/>
      <c r="VKZ33" s="143"/>
      <c r="VLA33" s="143"/>
      <c r="VLB33" s="143"/>
      <c r="VLC33" s="143"/>
      <c r="VLD33" s="143"/>
      <c r="VLE33" s="143"/>
      <c r="VLF33" s="143"/>
      <c r="VLG33" s="143"/>
      <c r="VLH33" s="143"/>
      <c r="VLI33" s="143"/>
      <c r="VLJ33" s="143"/>
      <c r="VLK33" s="143"/>
      <c r="VLL33" s="143"/>
      <c r="VLM33" s="143"/>
      <c r="VLN33" s="143"/>
      <c r="VLO33" s="143"/>
      <c r="VLP33" s="143"/>
      <c r="VLQ33" s="143"/>
      <c r="VLR33" s="143"/>
      <c r="VLS33" s="143"/>
      <c r="VLT33" s="143"/>
      <c r="VLU33" s="143"/>
      <c r="VLV33" s="143"/>
      <c r="VLW33" s="143"/>
      <c r="VLX33" s="143"/>
      <c r="VLY33" s="143"/>
      <c r="VLZ33" s="143"/>
      <c r="VMA33" s="143"/>
      <c r="VMB33" s="143"/>
      <c r="VMC33" s="143"/>
      <c r="VMD33" s="143"/>
      <c r="VME33" s="143"/>
      <c r="VMF33" s="143"/>
      <c r="VMG33" s="143"/>
      <c r="VMH33" s="143"/>
      <c r="VMI33" s="143"/>
      <c r="VMJ33" s="143"/>
      <c r="VMK33" s="143"/>
      <c r="VML33" s="143"/>
      <c r="VMM33" s="143"/>
      <c r="VMN33" s="143"/>
      <c r="VMO33" s="143"/>
      <c r="VMP33" s="143"/>
      <c r="VMQ33" s="143"/>
      <c r="VMR33" s="143"/>
      <c r="VMS33" s="143"/>
      <c r="VMT33" s="143"/>
      <c r="VMU33" s="143"/>
      <c r="VMV33" s="143"/>
      <c r="VMW33" s="143"/>
      <c r="VMX33" s="143"/>
      <c r="VMY33" s="143"/>
      <c r="VMZ33" s="143"/>
      <c r="VNA33" s="143"/>
      <c r="VNB33" s="143"/>
      <c r="VNC33" s="143"/>
      <c r="VND33" s="143"/>
      <c r="VNE33" s="143"/>
      <c r="VNF33" s="143"/>
      <c r="VNG33" s="143"/>
      <c r="VNH33" s="143"/>
      <c r="VNI33" s="143"/>
      <c r="VNJ33" s="143"/>
      <c r="VNK33" s="143"/>
      <c r="VNL33" s="143"/>
      <c r="VNM33" s="143"/>
      <c r="VNN33" s="143"/>
      <c r="VNO33" s="143"/>
      <c r="VNP33" s="143"/>
      <c r="VNQ33" s="143"/>
      <c r="VNR33" s="143"/>
      <c r="VNS33" s="143"/>
      <c r="VNT33" s="143"/>
      <c r="VNU33" s="143"/>
      <c r="VNV33" s="143"/>
      <c r="VNW33" s="143"/>
      <c r="VNX33" s="143"/>
      <c r="VNY33" s="143"/>
      <c r="VNZ33" s="143"/>
      <c r="VOA33" s="143"/>
      <c r="VOB33" s="143"/>
      <c r="VOC33" s="143"/>
      <c r="VOD33" s="143"/>
      <c r="VOE33" s="143"/>
      <c r="VOF33" s="143"/>
      <c r="VOG33" s="143"/>
      <c r="VOH33" s="143"/>
      <c r="VOI33" s="143"/>
      <c r="VOJ33" s="143"/>
      <c r="VOK33" s="143"/>
      <c r="VOL33" s="143"/>
      <c r="VOM33" s="143"/>
      <c r="VON33" s="143"/>
      <c r="VOO33" s="143"/>
      <c r="VOP33" s="143"/>
      <c r="VOQ33" s="143"/>
      <c r="VOR33" s="143"/>
      <c r="VOS33" s="143"/>
      <c r="VOT33" s="143"/>
      <c r="VOU33" s="143"/>
      <c r="VOV33" s="143"/>
      <c r="VOW33" s="143"/>
      <c r="VOX33" s="143"/>
      <c r="VOY33" s="143"/>
      <c r="VOZ33" s="143"/>
      <c r="VPA33" s="143"/>
      <c r="VPB33" s="143"/>
      <c r="VPC33" s="143"/>
      <c r="VPD33" s="143"/>
      <c r="VPE33" s="143"/>
      <c r="VPF33" s="143"/>
      <c r="VPG33" s="143"/>
      <c r="VPH33" s="143"/>
      <c r="VPI33" s="143"/>
      <c r="VPJ33" s="143"/>
      <c r="VPK33" s="143"/>
      <c r="VPL33" s="143"/>
      <c r="VPM33" s="143"/>
      <c r="VPN33" s="143"/>
      <c r="VPO33" s="143"/>
      <c r="VPP33" s="143"/>
      <c r="VPQ33" s="143"/>
      <c r="VPR33" s="143"/>
      <c r="VPS33" s="143"/>
      <c r="VPT33" s="143"/>
      <c r="VPU33" s="143"/>
      <c r="VPV33" s="143"/>
      <c r="VPW33" s="143"/>
      <c r="VPX33" s="143"/>
      <c r="VPY33" s="143"/>
      <c r="VPZ33" s="143"/>
      <c r="VQA33" s="143"/>
      <c r="VQB33" s="143"/>
      <c r="VQC33" s="143"/>
      <c r="VQD33" s="143"/>
      <c r="VQE33" s="143"/>
      <c r="VQF33" s="143"/>
      <c r="VQG33" s="143"/>
      <c r="VQH33" s="143"/>
      <c r="VQI33" s="143"/>
      <c r="VQJ33" s="143"/>
      <c r="VQK33" s="143"/>
      <c r="VQL33" s="143"/>
      <c r="VQM33" s="143"/>
      <c r="VQN33" s="143"/>
      <c r="VQO33" s="143"/>
      <c r="VQP33" s="143"/>
      <c r="VQQ33" s="143"/>
      <c r="VQR33" s="143"/>
      <c r="VQS33" s="143"/>
      <c r="VQT33" s="143"/>
      <c r="VQU33" s="143"/>
      <c r="VQV33" s="143"/>
      <c r="VQW33" s="143"/>
      <c r="VQX33" s="143"/>
      <c r="VQY33" s="143"/>
      <c r="VQZ33" s="143"/>
      <c r="VRA33" s="143"/>
      <c r="VRB33" s="143"/>
      <c r="VRC33" s="143"/>
      <c r="VRD33" s="143"/>
      <c r="VRE33" s="143"/>
      <c r="VRF33" s="143"/>
      <c r="VRG33" s="143"/>
      <c r="VRH33" s="143"/>
      <c r="VRI33" s="143"/>
      <c r="VRJ33" s="143"/>
      <c r="VRK33" s="143"/>
      <c r="VRL33" s="143"/>
      <c r="VRM33" s="143"/>
      <c r="VRN33" s="143"/>
      <c r="VRO33" s="143"/>
      <c r="VRP33" s="143"/>
      <c r="VRQ33" s="143"/>
      <c r="VRR33" s="143"/>
      <c r="VRS33" s="143"/>
      <c r="VRT33" s="143"/>
      <c r="VRU33" s="143"/>
      <c r="VRV33" s="143"/>
      <c r="VRW33" s="143"/>
      <c r="VRX33" s="143"/>
      <c r="VRY33" s="143"/>
      <c r="VRZ33" s="143"/>
      <c r="VSA33" s="143"/>
      <c r="VSB33" s="143"/>
      <c r="VSC33" s="143"/>
      <c r="VSD33" s="143"/>
      <c r="VSE33" s="143"/>
      <c r="VSF33" s="143"/>
      <c r="VSG33" s="143"/>
      <c r="VSH33" s="143"/>
      <c r="VSI33" s="143"/>
      <c r="VSJ33" s="143"/>
      <c r="VSK33" s="143"/>
      <c r="VSL33" s="143"/>
      <c r="VSM33" s="143"/>
      <c r="VSN33" s="143"/>
      <c r="VSO33" s="143"/>
      <c r="VSP33" s="143"/>
      <c r="VSQ33" s="143"/>
      <c r="VSR33" s="143"/>
      <c r="VSS33" s="143"/>
      <c r="VST33" s="143"/>
      <c r="VSU33" s="143"/>
      <c r="VSV33" s="143"/>
      <c r="VSW33" s="143"/>
      <c r="VSX33" s="143"/>
      <c r="VSY33" s="143"/>
      <c r="VSZ33" s="143"/>
      <c r="VTA33" s="143"/>
      <c r="VTB33" s="143"/>
      <c r="VTC33" s="143"/>
      <c r="VTD33" s="143"/>
      <c r="VTE33" s="143"/>
      <c r="VTF33" s="143"/>
      <c r="VTG33" s="143"/>
      <c r="VTH33" s="143"/>
      <c r="VTI33" s="143"/>
      <c r="VTJ33" s="143"/>
      <c r="VTK33" s="143"/>
      <c r="VTL33" s="143"/>
      <c r="VTM33" s="143"/>
      <c r="VTN33" s="143"/>
      <c r="VTO33" s="143"/>
      <c r="VTP33" s="143"/>
      <c r="VTQ33" s="143"/>
      <c r="VTR33" s="143"/>
      <c r="VTS33" s="143"/>
      <c r="VTT33" s="143"/>
      <c r="VTU33" s="143"/>
      <c r="VTV33" s="143"/>
      <c r="VTW33" s="143"/>
      <c r="VTX33" s="143"/>
      <c r="VTY33" s="143"/>
      <c r="VTZ33" s="143"/>
      <c r="VUA33" s="143"/>
      <c r="VUB33" s="143"/>
      <c r="VUC33" s="143"/>
      <c r="VUD33" s="143"/>
      <c r="VUE33" s="143"/>
      <c r="VUF33" s="143"/>
      <c r="VUG33" s="143"/>
      <c r="VUH33" s="143"/>
      <c r="VUI33" s="143"/>
      <c r="VUJ33" s="143"/>
      <c r="VUK33" s="143"/>
      <c r="VUL33" s="143"/>
      <c r="VUM33" s="143"/>
      <c r="VUN33" s="143"/>
      <c r="VUO33" s="143"/>
      <c r="VUP33" s="143"/>
      <c r="VUQ33" s="143"/>
      <c r="VUR33" s="143"/>
      <c r="VUS33" s="143"/>
      <c r="VUT33" s="143"/>
      <c r="VUU33" s="143"/>
      <c r="VUV33" s="143"/>
      <c r="VUW33" s="143"/>
      <c r="VUX33" s="143"/>
      <c r="VUY33" s="143"/>
      <c r="VUZ33" s="143"/>
      <c r="VVA33" s="143"/>
      <c r="VVB33" s="143"/>
      <c r="VVC33" s="143"/>
      <c r="VVD33" s="143"/>
      <c r="VVE33" s="143"/>
      <c r="VVF33" s="143"/>
      <c r="VVG33" s="143"/>
      <c r="VVH33" s="143"/>
      <c r="VVI33" s="143"/>
      <c r="VVJ33" s="143"/>
      <c r="VVK33" s="143"/>
      <c r="VVL33" s="143"/>
      <c r="VVM33" s="143"/>
      <c r="VVN33" s="143"/>
      <c r="VVO33" s="143"/>
      <c r="VVP33" s="143"/>
      <c r="VVQ33" s="143"/>
      <c r="VVR33" s="143"/>
      <c r="VVS33" s="143"/>
      <c r="VVT33" s="143"/>
      <c r="VVU33" s="143"/>
      <c r="VVV33" s="143"/>
      <c r="VVW33" s="143"/>
      <c r="VVX33" s="143"/>
      <c r="VVY33" s="143"/>
      <c r="VVZ33" s="143"/>
      <c r="VWA33" s="143"/>
      <c r="VWB33" s="143"/>
      <c r="VWC33" s="143"/>
      <c r="VWD33" s="143"/>
      <c r="VWE33" s="143"/>
      <c r="VWF33" s="143"/>
      <c r="VWG33" s="143"/>
      <c r="VWH33" s="143"/>
      <c r="VWI33" s="143"/>
      <c r="VWJ33" s="143"/>
      <c r="VWK33" s="143"/>
      <c r="VWL33" s="143"/>
      <c r="VWM33" s="143"/>
      <c r="VWN33" s="143"/>
      <c r="VWO33" s="143"/>
      <c r="VWP33" s="143"/>
      <c r="VWQ33" s="143"/>
      <c r="VWR33" s="143"/>
      <c r="VWS33" s="143"/>
      <c r="VWT33" s="143"/>
      <c r="VWU33" s="143"/>
      <c r="VWV33" s="143"/>
      <c r="VWW33" s="143"/>
      <c r="VWX33" s="143"/>
      <c r="VWY33" s="143"/>
      <c r="VWZ33" s="143"/>
      <c r="VXA33" s="143"/>
      <c r="VXB33" s="143"/>
      <c r="VXC33" s="143"/>
      <c r="VXD33" s="143"/>
      <c r="VXE33" s="143"/>
      <c r="VXF33" s="143"/>
      <c r="VXG33" s="143"/>
      <c r="VXH33" s="143"/>
      <c r="VXI33" s="143"/>
      <c r="VXJ33" s="143"/>
      <c r="VXK33" s="143"/>
      <c r="VXL33" s="143"/>
      <c r="VXM33" s="143"/>
      <c r="VXN33" s="143"/>
      <c r="VXO33" s="143"/>
      <c r="VXP33" s="143"/>
      <c r="VXQ33" s="143"/>
      <c r="VXR33" s="143"/>
      <c r="VXS33" s="143"/>
      <c r="VXT33" s="143"/>
      <c r="VXU33" s="143"/>
      <c r="VXV33" s="143"/>
      <c r="VXW33" s="143"/>
      <c r="VXX33" s="143"/>
      <c r="VXY33" s="143"/>
      <c r="VXZ33" s="143"/>
      <c r="VYA33" s="143"/>
      <c r="VYB33" s="143"/>
      <c r="VYC33" s="143"/>
      <c r="VYD33" s="143"/>
      <c r="VYE33" s="143"/>
      <c r="VYF33" s="143"/>
      <c r="VYG33" s="143"/>
      <c r="VYH33" s="143"/>
      <c r="VYI33" s="143"/>
      <c r="VYJ33" s="143"/>
      <c r="VYK33" s="143"/>
      <c r="VYL33" s="143"/>
      <c r="VYM33" s="143"/>
      <c r="VYN33" s="143"/>
      <c r="VYO33" s="143"/>
      <c r="VYP33" s="143"/>
      <c r="VYQ33" s="143"/>
      <c r="VYR33" s="143"/>
      <c r="VYS33" s="143"/>
      <c r="VYT33" s="143"/>
      <c r="VYU33" s="143"/>
      <c r="VYV33" s="143"/>
      <c r="VYW33" s="143"/>
      <c r="VYX33" s="143"/>
      <c r="VYY33" s="143"/>
      <c r="VYZ33" s="143"/>
      <c r="VZA33" s="143"/>
      <c r="VZB33" s="143"/>
      <c r="VZC33" s="143"/>
      <c r="VZD33" s="143"/>
      <c r="VZE33" s="143"/>
      <c r="VZF33" s="143"/>
      <c r="VZG33" s="143"/>
      <c r="VZH33" s="143"/>
      <c r="VZI33" s="143"/>
      <c r="VZJ33" s="143"/>
      <c r="VZK33" s="143"/>
      <c r="VZL33" s="143"/>
      <c r="VZM33" s="143"/>
      <c r="VZN33" s="143"/>
      <c r="VZO33" s="143"/>
      <c r="VZP33" s="143"/>
      <c r="VZQ33" s="143"/>
      <c r="VZR33" s="143"/>
      <c r="VZS33" s="143"/>
      <c r="VZT33" s="143"/>
      <c r="VZU33" s="143"/>
      <c r="VZV33" s="143"/>
      <c r="VZW33" s="143"/>
      <c r="VZX33" s="143"/>
      <c r="VZY33" s="143"/>
      <c r="VZZ33" s="143"/>
      <c r="WAA33" s="143"/>
      <c r="WAB33" s="143"/>
      <c r="WAC33" s="143"/>
      <c r="WAD33" s="143"/>
      <c r="WAE33" s="143"/>
      <c r="WAF33" s="143"/>
      <c r="WAG33" s="143"/>
      <c r="WAH33" s="143"/>
      <c r="WAI33" s="143"/>
      <c r="WAJ33" s="143"/>
      <c r="WAK33" s="143"/>
      <c r="WAL33" s="143"/>
      <c r="WAM33" s="143"/>
      <c r="WAN33" s="143"/>
      <c r="WAO33" s="143"/>
      <c r="WAP33" s="143"/>
      <c r="WAQ33" s="143"/>
      <c r="WAR33" s="143"/>
      <c r="WAS33" s="143"/>
      <c r="WAT33" s="143"/>
      <c r="WAU33" s="143"/>
      <c r="WAV33" s="143"/>
      <c r="WAW33" s="143"/>
      <c r="WAX33" s="143"/>
      <c r="WAY33" s="143"/>
      <c r="WAZ33" s="143"/>
      <c r="WBA33" s="143"/>
      <c r="WBB33" s="143"/>
      <c r="WBC33" s="143"/>
      <c r="WBD33" s="143"/>
      <c r="WBE33" s="143"/>
      <c r="WBF33" s="143"/>
      <c r="WBG33" s="143"/>
      <c r="WBH33" s="143"/>
      <c r="WBI33" s="143"/>
      <c r="WBJ33" s="143"/>
      <c r="WBK33" s="143"/>
      <c r="WBL33" s="143"/>
      <c r="WBM33" s="143"/>
      <c r="WBN33" s="143"/>
      <c r="WBO33" s="143"/>
      <c r="WBP33" s="143"/>
      <c r="WBQ33" s="143"/>
      <c r="WBR33" s="143"/>
      <c r="WBS33" s="143"/>
      <c r="WBT33" s="143"/>
      <c r="WBU33" s="143"/>
      <c r="WBV33" s="143"/>
      <c r="WBW33" s="143"/>
      <c r="WBX33" s="143"/>
      <c r="WBY33" s="143"/>
      <c r="WBZ33" s="143"/>
      <c r="WCA33" s="143"/>
      <c r="WCB33" s="143"/>
      <c r="WCC33" s="143"/>
      <c r="WCD33" s="143"/>
      <c r="WCE33" s="143"/>
      <c r="WCF33" s="143"/>
      <c r="WCG33" s="143"/>
      <c r="WCH33" s="143"/>
      <c r="WCI33" s="143"/>
      <c r="WCJ33" s="143"/>
      <c r="WCK33" s="143"/>
      <c r="WCL33" s="143"/>
      <c r="WCM33" s="143"/>
      <c r="WCN33" s="143"/>
      <c r="WCO33" s="143"/>
      <c r="WCP33" s="143"/>
      <c r="WCQ33" s="143"/>
      <c r="WCR33" s="143"/>
      <c r="WCS33" s="143"/>
      <c r="WCT33" s="143"/>
      <c r="WCU33" s="143"/>
      <c r="WCV33" s="143"/>
      <c r="WCW33" s="143"/>
      <c r="WCX33" s="143"/>
      <c r="WCY33" s="143"/>
      <c r="WCZ33" s="143"/>
      <c r="WDA33" s="143"/>
      <c r="WDB33" s="143"/>
      <c r="WDC33" s="143"/>
      <c r="WDD33" s="143"/>
      <c r="WDE33" s="143"/>
      <c r="WDF33" s="143"/>
      <c r="WDG33" s="143"/>
      <c r="WDH33" s="143"/>
      <c r="WDI33" s="143"/>
      <c r="WDJ33" s="143"/>
      <c r="WDK33" s="143"/>
      <c r="WDL33" s="143"/>
      <c r="WDM33" s="143"/>
      <c r="WDN33" s="143"/>
      <c r="WDO33" s="143"/>
      <c r="WDP33" s="143"/>
      <c r="WDQ33" s="143"/>
      <c r="WDR33" s="143"/>
      <c r="WDS33" s="143"/>
      <c r="WDT33" s="143"/>
      <c r="WDU33" s="143"/>
      <c r="WDV33" s="143"/>
      <c r="WDW33" s="143"/>
      <c r="WDX33" s="143"/>
      <c r="WDY33" s="143"/>
      <c r="WDZ33" s="143"/>
      <c r="WEA33" s="143"/>
      <c r="WEB33" s="143"/>
      <c r="WEC33" s="143"/>
      <c r="WED33" s="143"/>
      <c r="WEE33" s="143"/>
      <c r="WEF33" s="143"/>
      <c r="WEG33" s="143"/>
      <c r="WEH33" s="143"/>
      <c r="WEI33" s="143"/>
      <c r="WEJ33" s="143"/>
      <c r="WEK33" s="143"/>
      <c r="WEL33" s="143"/>
      <c r="WEM33" s="143"/>
      <c r="WEN33" s="143"/>
      <c r="WEO33" s="143"/>
      <c r="WEP33" s="143"/>
      <c r="WEQ33" s="143"/>
      <c r="WER33" s="143"/>
      <c r="WES33" s="143"/>
      <c r="WET33" s="143"/>
      <c r="WEU33" s="143"/>
      <c r="WEV33" s="143"/>
      <c r="WEW33" s="143"/>
      <c r="WEX33" s="143"/>
      <c r="WEY33" s="143"/>
      <c r="WEZ33" s="143"/>
      <c r="WFA33" s="143"/>
      <c r="WFB33" s="143"/>
      <c r="WFC33" s="143"/>
      <c r="WFD33" s="143"/>
      <c r="WFE33" s="143"/>
      <c r="WFF33" s="143"/>
      <c r="WFG33" s="143"/>
      <c r="WFH33" s="143"/>
      <c r="WFI33" s="143"/>
      <c r="WFJ33" s="143"/>
      <c r="WFK33" s="143"/>
      <c r="WFL33" s="143"/>
      <c r="WFM33" s="143"/>
      <c r="WFN33" s="143"/>
      <c r="WFO33" s="143"/>
      <c r="WFP33" s="143"/>
      <c r="WFQ33" s="143"/>
      <c r="WFR33" s="143"/>
      <c r="WFS33" s="143"/>
      <c r="WFT33" s="143"/>
      <c r="WFU33" s="143"/>
      <c r="WFV33" s="143"/>
      <c r="WFW33" s="143"/>
      <c r="WFX33" s="143"/>
      <c r="WFY33" s="143"/>
      <c r="WFZ33" s="143"/>
      <c r="WGA33" s="143"/>
      <c r="WGB33" s="143"/>
      <c r="WGC33" s="143"/>
      <c r="WGD33" s="143"/>
      <c r="WGE33" s="143"/>
      <c r="WGF33" s="143"/>
      <c r="WGG33" s="143"/>
      <c r="WGH33" s="143"/>
      <c r="WGI33" s="143"/>
      <c r="WGJ33" s="143"/>
      <c r="WGK33" s="143"/>
      <c r="WGL33" s="143"/>
      <c r="WGM33" s="143"/>
      <c r="WGN33" s="143"/>
      <c r="WGO33" s="143"/>
      <c r="WGP33" s="143"/>
      <c r="WGQ33" s="143"/>
      <c r="WGR33" s="143"/>
      <c r="WGS33" s="143"/>
      <c r="WGT33" s="143"/>
      <c r="WGU33" s="143"/>
      <c r="WGV33" s="143"/>
      <c r="WGW33" s="143"/>
      <c r="WGX33" s="143"/>
      <c r="WGY33" s="143"/>
      <c r="WGZ33" s="143"/>
      <c r="WHA33" s="143"/>
      <c r="WHB33" s="143"/>
      <c r="WHC33" s="143"/>
      <c r="WHD33" s="143"/>
      <c r="WHE33" s="143"/>
      <c r="WHF33" s="143"/>
      <c r="WHG33" s="143"/>
      <c r="WHH33" s="143"/>
      <c r="WHI33" s="143"/>
      <c r="WHJ33" s="143"/>
      <c r="WHK33" s="143"/>
      <c r="WHL33" s="143"/>
      <c r="WHM33" s="143"/>
      <c r="WHN33" s="143"/>
      <c r="WHO33" s="143"/>
      <c r="WHP33" s="143"/>
      <c r="WHQ33" s="143"/>
      <c r="WHR33" s="143"/>
      <c r="WHS33" s="143"/>
      <c r="WHT33" s="143"/>
      <c r="WHU33" s="143"/>
      <c r="WHV33" s="143"/>
      <c r="WHW33" s="143"/>
      <c r="WHX33" s="143"/>
      <c r="WHY33" s="143"/>
      <c r="WHZ33" s="143"/>
      <c r="WIA33" s="143"/>
      <c r="WIB33" s="143"/>
      <c r="WIC33" s="143"/>
      <c r="WID33" s="143"/>
      <c r="WIE33" s="143"/>
      <c r="WIF33" s="143"/>
      <c r="WIG33" s="143"/>
      <c r="WIH33" s="143"/>
      <c r="WII33" s="143"/>
      <c r="WIJ33" s="143"/>
      <c r="WIK33" s="143"/>
      <c r="WIL33" s="143"/>
      <c r="WIM33" s="143"/>
      <c r="WIN33" s="143"/>
      <c r="WIO33" s="143"/>
      <c r="WIP33" s="143"/>
      <c r="WIQ33" s="143"/>
      <c r="WIR33" s="143"/>
      <c r="WIS33" s="143"/>
      <c r="WIT33" s="143"/>
      <c r="WIU33" s="143"/>
      <c r="WIV33" s="143"/>
      <c r="WIW33" s="143"/>
      <c r="WIX33" s="143"/>
      <c r="WIY33" s="143"/>
      <c r="WIZ33" s="143"/>
      <c r="WJA33" s="143"/>
      <c r="WJB33" s="143"/>
      <c r="WJC33" s="143"/>
      <c r="WJD33" s="143"/>
      <c r="WJE33" s="143"/>
      <c r="WJF33" s="143"/>
      <c r="WJG33" s="143"/>
      <c r="WJH33" s="143"/>
      <c r="WJI33" s="143"/>
      <c r="WJJ33" s="143"/>
      <c r="WJK33" s="143"/>
      <c r="WJL33" s="143"/>
      <c r="WJM33" s="143"/>
      <c r="WJN33" s="143"/>
      <c r="WJO33" s="143"/>
      <c r="WJP33" s="143"/>
      <c r="WJQ33" s="143"/>
      <c r="WJR33" s="143"/>
      <c r="WJS33" s="143"/>
      <c r="WJT33" s="143"/>
      <c r="WJU33" s="143"/>
      <c r="WJV33" s="143"/>
      <c r="WJW33" s="143"/>
      <c r="WJX33" s="143"/>
      <c r="WJY33" s="143"/>
      <c r="WJZ33" s="143"/>
      <c r="WKA33" s="143"/>
      <c r="WKB33" s="143"/>
      <c r="WKC33" s="143"/>
      <c r="WKD33" s="143"/>
      <c r="WKE33" s="143"/>
      <c r="WKF33" s="143"/>
      <c r="WKG33" s="143"/>
      <c r="WKH33" s="143"/>
      <c r="WKI33" s="143"/>
      <c r="WKJ33" s="143"/>
      <c r="WKK33" s="143"/>
      <c r="WKL33" s="143"/>
      <c r="WKM33" s="143"/>
      <c r="WKN33" s="143"/>
      <c r="WKO33" s="143"/>
      <c r="WKP33" s="143"/>
      <c r="WKQ33" s="143"/>
      <c r="WKR33" s="143"/>
      <c r="WKS33" s="143"/>
      <c r="WKT33" s="143"/>
      <c r="WKU33" s="143"/>
      <c r="WKV33" s="143"/>
      <c r="WKW33" s="143"/>
      <c r="WKX33" s="143"/>
      <c r="WKY33" s="143"/>
      <c r="WKZ33" s="143"/>
      <c r="WLA33" s="143"/>
      <c r="WLB33" s="143"/>
      <c r="WLC33" s="143"/>
      <c r="WLD33" s="143"/>
      <c r="WLE33" s="143"/>
      <c r="WLF33" s="143"/>
      <c r="WLG33" s="143"/>
      <c r="WLH33" s="143"/>
      <c r="WLI33" s="143"/>
      <c r="WLJ33" s="143"/>
      <c r="WLK33" s="143"/>
      <c r="WLL33" s="143"/>
      <c r="WLM33" s="143"/>
      <c r="WLN33" s="143"/>
      <c r="WLO33" s="143"/>
      <c r="WLP33" s="143"/>
      <c r="WLQ33" s="143"/>
      <c r="WLR33" s="143"/>
      <c r="WLS33" s="143"/>
      <c r="WLT33" s="143"/>
      <c r="WLU33" s="143"/>
      <c r="WLV33" s="143"/>
      <c r="WLW33" s="143"/>
      <c r="WLX33" s="143"/>
      <c r="WLY33" s="143"/>
      <c r="WLZ33" s="143"/>
      <c r="WMA33" s="143"/>
      <c r="WMB33" s="143"/>
      <c r="WMC33" s="143"/>
      <c r="WMD33" s="143"/>
      <c r="WME33" s="143"/>
      <c r="WMF33" s="143"/>
      <c r="WMG33" s="143"/>
      <c r="WMH33" s="143"/>
      <c r="WMI33" s="143"/>
      <c r="WMJ33" s="143"/>
      <c r="WMK33" s="143"/>
      <c r="WML33" s="143"/>
      <c r="WMM33" s="143"/>
      <c r="WMN33" s="143"/>
      <c r="WMO33" s="143"/>
      <c r="WMP33" s="143"/>
      <c r="WMQ33" s="143"/>
      <c r="WMR33" s="143"/>
      <c r="WMS33" s="143"/>
      <c r="WMT33" s="143"/>
      <c r="WMU33" s="143"/>
      <c r="WMV33" s="143"/>
      <c r="WMW33" s="143"/>
      <c r="WMX33" s="143"/>
      <c r="WMY33" s="143"/>
      <c r="WMZ33" s="143"/>
      <c r="WNA33" s="143"/>
      <c r="WNB33" s="143"/>
      <c r="WNC33" s="143"/>
      <c r="WND33" s="143"/>
      <c r="WNE33" s="143"/>
      <c r="WNF33" s="143"/>
      <c r="WNG33" s="143"/>
      <c r="WNH33" s="143"/>
      <c r="WNI33" s="143"/>
      <c r="WNJ33" s="143"/>
      <c r="WNK33" s="143"/>
      <c r="WNL33" s="143"/>
      <c r="WNM33" s="143"/>
      <c r="WNN33" s="143"/>
      <c r="WNO33" s="143"/>
      <c r="WNP33" s="143"/>
      <c r="WNQ33" s="143"/>
      <c r="WNR33" s="143"/>
      <c r="WNS33" s="143"/>
      <c r="WNT33" s="143"/>
      <c r="WNU33" s="143"/>
      <c r="WNV33" s="143"/>
      <c r="WNW33" s="143"/>
      <c r="WNX33" s="143"/>
      <c r="WNY33" s="143"/>
      <c r="WNZ33" s="143"/>
      <c r="WOA33" s="143"/>
      <c r="WOB33" s="143"/>
      <c r="WOC33" s="143"/>
      <c r="WOD33" s="143"/>
      <c r="WOE33" s="143"/>
      <c r="WOF33" s="143"/>
      <c r="WOG33" s="143"/>
      <c r="WOH33" s="143"/>
      <c r="WOI33" s="143"/>
      <c r="WOJ33" s="143"/>
      <c r="WOK33" s="143"/>
      <c r="WOL33" s="143"/>
      <c r="WOM33" s="143"/>
      <c r="WON33" s="143"/>
      <c r="WOO33" s="143"/>
      <c r="WOP33" s="143"/>
      <c r="WOQ33" s="143"/>
      <c r="WOR33" s="143"/>
      <c r="WOS33" s="143"/>
      <c r="WOT33" s="143"/>
      <c r="WOU33" s="143"/>
      <c r="WOV33" s="143"/>
      <c r="WOW33" s="143"/>
      <c r="WOX33" s="143"/>
      <c r="WOY33" s="143"/>
      <c r="WOZ33" s="143"/>
      <c r="WPA33" s="143"/>
      <c r="WPB33" s="143"/>
      <c r="WPC33" s="143"/>
      <c r="WPD33" s="143"/>
      <c r="WPE33" s="143"/>
      <c r="WPF33" s="143"/>
      <c r="WPG33" s="143"/>
      <c r="WPH33" s="143"/>
      <c r="WPI33" s="143"/>
      <c r="WPJ33" s="143"/>
      <c r="WPK33" s="143"/>
      <c r="WPL33" s="143"/>
      <c r="WPM33" s="143"/>
      <c r="WPN33" s="143"/>
      <c r="WPO33" s="143"/>
      <c r="WPP33" s="143"/>
      <c r="WPQ33" s="143"/>
      <c r="WPR33" s="143"/>
      <c r="WPS33" s="143"/>
      <c r="WPT33" s="143"/>
      <c r="WPU33" s="143"/>
      <c r="WPV33" s="143"/>
      <c r="WPW33" s="143"/>
      <c r="WPX33" s="143"/>
      <c r="WPY33" s="143"/>
      <c r="WPZ33" s="143"/>
      <c r="WQA33" s="143"/>
      <c r="WQB33" s="143"/>
      <c r="WQC33" s="143"/>
      <c r="WQD33" s="143"/>
      <c r="WQE33" s="143"/>
      <c r="WQF33" s="143"/>
      <c r="WQG33" s="143"/>
      <c r="WQH33" s="143"/>
      <c r="WQI33" s="143"/>
      <c r="WQJ33" s="143"/>
      <c r="WQK33" s="143"/>
      <c r="WQL33" s="143"/>
      <c r="WQM33" s="143"/>
      <c r="WQN33" s="143"/>
      <c r="WQO33" s="143"/>
      <c r="WQP33" s="143"/>
      <c r="WQQ33" s="143"/>
      <c r="WQR33" s="143"/>
      <c r="WQS33" s="143"/>
      <c r="WQT33" s="143"/>
      <c r="WQU33" s="143"/>
      <c r="WQV33" s="143"/>
      <c r="WQW33" s="143"/>
      <c r="WQX33" s="143"/>
      <c r="WQY33" s="143"/>
      <c r="WQZ33" s="143"/>
      <c r="WRA33" s="143"/>
      <c r="WRB33" s="143"/>
      <c r="WRC33" s="143"/>
      <c r="WRD33" s="143"/>
      <c r="WRE33" s="143"/>
      <c r="WRF33" s="143"/>
      <c r="WRG33" s="143"/>
      <c r="WRH33" s="143"/>
      <c r="WRI33" s="143"/>
      <c r="WRJ33" s="143"/>
      <c r="WRK33" s="143"/>
      <c r="WRL33" s="143"/>
      <c r="WRM33" s="143"/>
      <c r="WRN33" s="143"/>
      <c r="WRO33" s="143"/>
      <c r="WRP33" s="143"/>
      <c r="WRQ33" s="143"/>
      <c r="WRR33" s="143"/>
      <c r="WRS33" s="143"/>
      <c r="WRT33" s="143"/>
      <c r="WRU33" s="143"/>
      <c r="WRV33" s="143"/>
      <c r="WRW33" s="143"/>
      <c r="WRX33" s="143"/>
      <c r="WRY33" s="143"/>
      <c r="WRZ33" s="143"/>
      <c r="WSA33" s="143"/>
      <c r="WSB33" s="143"/>
      <c r="WSC33" s="143"/>
      <c r="WSD33" s="143"/>
      <c r="WSE33" s="143"/>
      <c r="WSF33" s="143"/>
      <c r="WSG33" s="143"/>
      <c r="WSH33" s="143"/>
      <c r="WSI33" s="143"/>
      <c r="WSJ33" s="143"/>
      <c r="WSK33" s="143"/>
      <c r="WSL33" s="143"/>
      <c r="WSM33" s="143"/>
      <c r="WSN33" s="143"/>
      <c r="WSO33" s="143"/>
      <c r="WSP33" s="143"/>
      <c r="WSQ33" s="143"/>
      <c r="WSR33" s="143"/>
      <c r="WSS33" s="143"/>
      <c r="WST33" s="143"/>
      <c r="WSU33" s="143"/>
      <c r="WSV33" s="143"/>
      <c r="WSW33" s="143"/>
      <c r="WSX33" s="143"/>
      <c r="WSY33" s="143"/>
      <c r="WSZ33" s="143"/>
      <c r="WTA33" s="143"/>
      <c r="WTB33" s="143"/>
      <c r="WTC33" s="143"/>
      <c r="WTD33" s="143"/>
      <c r="WTE33" s="143"/>
      <c r="WTF33" s="143"/>
      <c r="WTG33" s="143"/>
      <c r="WTH33" s="143"/>
      <c r="WTI33" s="143"/>
      <c r="WTJ33" s="143"/>
      <c r="WTK33" s="143"/>
      <c r="WTL33" s="143"/>
      <c r="WTM33" s="143"/>
      <c r="WTN33" s="143"/>
      <c r="WTO33" s="143"/>
      <c r="WTP33" s="143"/>
      <c r="WTQ33" s="143"/>
      <c r="WTR33" s="143"/>
      <c r="WTS33" s="143"/>
      <c r="WTT33" s="143"/>
      <c r="WTU33" s="143"/>
      <c r="WTV33" s="143"/>
      <c r="WTW33" s="143"/>
      <c r="WTX33" s="143"/>
      <c r="WTY33" s="143"/>
      <c r="WTZ33" s="143"/>
      <c r="WUA33" s="143"/>
      <c r="WUB33" s="143"/>
      <c r="WUC33" s="143"/>
      <c r="WUD33" s="143"/>
      <c r="WUE33" s="143"/>
      <c r="WUF33" s="143"/>
      <c r="WUG33" s="143"/>
      <c r="WUH33" s="143"/>
      <c r="WUI33" s="143"/>
      <c r="WUJ33" s="143"/>
      <c r="WUK33" s="143"/>
      <c r="WUL33" s="143"/>
      <c r="WUM33" s="143"/>
      <c r="WUN33" s="143"/>
      <c r="WUO33" s="143"/>
      <c r="WUP33" s="143"/>
      <c r="WUQ33" s="143"/>
      <c r="WUR33" s="143"/>
      <c r="WUS33" s="143"/>
      <c r="WUT33" s="143"/>
      <c r="WUU33" s="143"/>
      <c r="WUV33" s="143"/>
      <c r="WUW33" s="143"/>
      <c r="WUX33" s="143"/>
      <c r="WUY33" s="143"/>
      <c r="WUZ33" s="143"/>
      <c r="WVA33" s="143"/>
      <c r="WVB33" s="143"/>
      <c r="WVC33" s="143"/>
      <c r="WVD33" s="143"/>
      <c r="WVE33" s="143"/>
      <c r="WVF33" s="143"/>
      <c r="WVG33" s="143"/>
      <c r="WVH33" s="143"/>
      <c r="WVI33" s="143"/>
      <c r="WVJ33" s="143"/>
      <c r="WVK33" s="143"/>
      <c r="WVL33" s="143"/>
      <c r="WVM33" s="143"/>
      <c r="WVN33" s="143"/>
      <c r="WVO33" s="143"/>
      <c r="WVP33" s="143"/>
      <c r="WVQ33" s="143"/>
      <c r="WVR33" s="143"/>
      <c r="WVS33" s="143"/>
      <c r="WVT33" s="143"/>
      <c r="WVU33" s="143"/>
      <c r="WVV33" s="143"/>
      <c r="WVW33" s="143"/>
      <c r="WVX33" s="143"/>
      <c r="WVY33" s="143"/>
      <c r="WVZ33" s="143"/>
      <c r="WWA33" s="143"/>
      <c r="WWB33" s="143"/>
      <c r="WWC33" s="143"/>
      <c r="WWD33" s="143"/>
      <c r="WWE33" s="143"/>
      <c r="WWF33" s="143"/>
      <c r="WWG33" s="143"/>
      <c r="WWH33" s="143"/>
      <c r="WWI33" s="143"/>
      <c r="WWJ33" s="143"/>
      <c r="WWK33" s="143"/>
      <c r="WWL33" s="143"/>
      <c r="WWM33" s="143"/>
      <c r="WWN33" s="143"/>
      <c r="WWO33" s="143"/>
      <c r="WWP33" s="143"/>
      <c r="WWQ33" s="143"/>
      <c r="WWR33" s="143"/>
      <c r="WWS33" s="143"/>
      <c r="WWT33" s="143"/>
      <c r="WWU33" s="143"/>
      <c r="WWV33" s="143"/>
      <c r="WWW33" s="143"/>
      <c r="WWX33" s="143"/>
      <c r="WWY33" s="143"/>
      <c r="WWZ33" s="143"/>
      <c r="WXA33" s="143"/>
      <c r="WXB33" s="143"/>
      <c r="WXC33" s="143"/>
      <c r="WXD33" s="143"/>
      <c r="WXE33" s="143"/>
      <c r="WXF33" s="143"/>
      <c r="WXG33" s="143"/>
      <c r="WXH33" s="143"/>
      <c r="WXI33" s="143"/>
      <c r="WXJ33" s="143"/>
      <c r="WXK33" s="143"/>
      <c r="WXL33" s="143"/>
      <c r="WXM33" s="143"/>
      <c r="WXN33" s="143"/>
      <c r="WXO33" s="143"/>
      <c r="WXP33" s="143"/>
      <c r="WXQ33" s="143"/>
      <c r="WXR33" s="143"/>
      <c r="WXS33" s="143"/>
      <c r="WXT33" s="143"/>
      <c r="WXU33" s="143"/>
      <c r="WXV33" s="143"/>
      <c r="WXW33" s="143"/>
      <c r="WXX33" s="143"/>
      <c r="WXY33" s="143"/>
      <c r="WXZ33" s="143"/>
      <c r="WYA33" s="143"/>
      <c r="WYB33" s="143"/>
      <c r="WYC33" s="143"/>
      <c r="WYD33" s="143"/>
      <c r="WYE33" s="143"/>
      <c r="WYF33" s="143"/>
      <c r="WYG33" s="143"/>
      <c r="WYH33" s="143"/>
      <c r="WYI33" s="143"/>
      <c r="WYJ33" s="143"/>
      <c r="WYK33" s="143"/>
      <c r="WYL33" s="143"/>
      <c r="WYM33" s="143"/>
      <c r="WYN33" s="143"/>
      <c r="WYO33" s="143"/>
      <c r="WYP33" s="143"/>
      <c r="WYQ33" s="143"/>
      <c r="WYR33" s="143"/>
      <c r="WYS33" s="143"/>
      <c r="WYT33" s="143"/>
      <c r="WYU33" s="143"/>
      <c r="WYV33" s="143"/>
      <c r="WYW33" s="143"/>
      <c r="WYX33" s="143"/>
      <c r="WYY33" s="143"/>
      <c r="WYZ33" s="143"/>
      <c r="WZA33" s="143"/>
      <c r="WZB33" s="143"/>
      <c r="WZC33" s="143"/>
      <c r="WZD33" s="143"/>
      <c r="WZE33" s="143"/>
      <c r="WZF33" s="143"/>
      <c r="WZG33" s="143"/>
      <c r="WZH33" s="143"/>
      <c r="WZI33" s="143"/>
      <c r="WZJ33" s="143"/>
      <c r="WZK33" s="143"/>
      <c r="WZL33" s="143"/>
      <c r="WZM33" s="143"/>
      <c r="WZN33" s="143"/>
      <c r="WZO33" s="143"/>
      <c r="WZP33" s="143"/>
      <c r="WZQ33" s="143"/>
      <c r="WZR33" s="143"/>
      <c r="WZS33" s="143"/>
      <c r="WZT33" s="143"/>
      <c r="WZU33" s="143"/>
      <c r="WZV33" s="143"/>
      <c r="WZW33" s="143"/>
      <c r="WZX33" s="143"/>
      <c r="WZY33" s="143"/>
      <c r="WZZ33" s="143"/>
      <c r="XAA33" s="143"/>
      <c r="XAB33" s="143"/>
      <c r="XAC33" s="143"/>
      <c r="XAD33" s="143"/>
      <c r="XAE33" s="143"/>
      <c r="XAF33" s="143"/>
      <c r="XAG33" s="143"/>
      <c r="XAH33" s="143"/>
      <c r="XAI33" s="143"/>
      <c r="XAJ33" s="143"/>
      <c r="XAK33" s="143"/>
      <c r="XAL33" s="143"/>
      <c r="XAM33" s="143"/>
      <c r="XAN33" s="143"/>
      <c r="XAO33" s="143"/>
      <c r="XAP33" s="143"/>
      <c r="XAQ33" s="143"/>
      <c r="XAR33" s="143"/>
      <c r="XAS33" s="143"/>
      <c r="XAT33" s="143"/>
      <c r="XAU33" s="143"/>
      <c r="XAV33" s="143"/>
      <c r="XAW33" s="143"/>
      <c r="XAX33" s="143"/>
      <c r="XAY33" s="143"/>
      <c r="XAZ33" s="143"/>
      <c r="XBA33" s="143"/>
      <c r="XBB33" s="143"/>
      <c r="XBC33" s="143"/>
      <c r="XBD33" s="143"/>
      <c r="XBE33" s="143"/>
      <c r="XBF33" s="143"/>
      <c r="XBG33" s="143"/>
      <c r="XBH33" s="143"/>
      <c r="XBI33" s="143"/>
      <c r="XBJ33" s="143"/>
      <c r="XBK33" s="143"/>
      <c r="XBL33" s="143"/>
      <c r="XBM33" s="143"/>
      <c r="XBN33" s="143"/>
      <c r="XBO33" s="143"/>
      <c r="XBP33" s="143"/>
      <c r="XBQ33" s="143"/>
      <c r="XBR33" s="143"/>
      <c r="XBS33" s="143"/>
      <c r="XBT33" s="143"/>
      <c r="XBU33" s="143"/>
      <c r="XBV33" s="143"/>
      <c r="XBW33" s="143"/>
      <c r="XBX33" s="143"/>
      <c r="XBY33" s="143"/>
      <c r="XBZ33" s="143"/>
      <c r="XCA33" s="143"/>
      <c r="XCB33" s="143"/>
      <c r="XCC33" s="143"/>
      <c r="XCD33" s="143"/>
      <c r="XCE33" s="143"/>
      <c r="XCF33" s="143"/>
      <c r="XCG33" s="143"/>
      <c r="XCH33" s="143"/>
      <c r="XCI33" s="143"/>
      <c r="XCJ33" s="143"/>
      <c r="XCK33" s="143"/>
      <c r="XCL33" s="143"/>
      <c r="XCM33" s="143"/>
      <c r="XCN33" s="143"/>
      <c r="XCO33" s="143"/>
      <c r="XCP33" s="143"/>
      <c r="XCQ33" s="143"/>
      <c r="XCR33" s="143"/>
      <c r="XCS33" s="143"/>
      <c r="XCT33" s="143"/>
      <c r="XCU33" s="143"/>
      <c r="XCV33" s="143"/>
      <c r="XCW33" s="143"/>
      <c r="XCX33" s="143"/>
      <c r="XCY33" s="143"/>
      <c r="XCZ33" s="143"/>
      <c r="XDA33" s="143"/>
      <c r="XDB33" s="143"/>
      <c r="XDC33" s="143"/>
      <c r="XDD33" s="143"/>
      <c r="XDE33" s="143"/>
      <c r="XDF33" s="143"/>
      <c r="XDG33" s="143"/>
      <c r="XDH33" s="143"/>
      <c r="XDI33" s="143"/>
      <c r="XDJ33" s="143"/>
      <c r="XDK33" s="143"/>
      <c r="XDL33" s="143"/>
      <c r="XDM33" s="143"/>
      <c r="XDN33" s="143"/>
      <c r="XDO33" s="143"/>
      <c r="XDP33" s="143"/>
      <c r="XDQ33" s="143"/>
      <c r="XDR33" s="143"/>
      <c r="XDS33" s="143"/>
      <c r="XDT33" s="143"/>
      <c r="XDU33" s="143"/>
      <c r="XDV33" s="143"/>
      <c r="XDW33" s="143"/>
      <c r="XDX33" s="143"/>
      <c r="XDY33" s="143"/>
      <c r="XDZ33" s="143"/>
      <c r="XEA33" s="143"/>
      <c r="XEB33" s="143"/>
      <c r="XEC33" s="143"/>
      <c r="XED33" s="143"/>
      <c r="XEE33" s="143"/>
      <c r="XEF33" s="143"/>
      <c r="XEG33" s="143"/>
      <c r="XEH33" s="143"/>
      <c r="XEI33" s="143"/>
      <c r="XEJ33" s="143"/>
      <c r="XEK33" s="143"/>
      <c r="XEL33" s="143"/>
      <c r="XEM33" s="143"/>
      <c r="XEN33" s="143"/>
      <c r="XEO33" s="143"/>
      <c r="XEP33" s="143"/>
      <c r="XEQ33" s="143"/>
      <c r="XER33" s="143"/>
      <c r="XES33" s="143"/>
      <c r="XET33" s="143"/>
      <c r="XEU33" s="143"/>
      <c r="XEV33" s="143"/>
      <c r="XEW33" s="143"/>
      <c r="XEX33" s="143"/>
      <c r="XEY33" s="143"/>
      <c r="XEZ33" s="143"/>
      <c r="XFA33" s="143"/>
    </row>
    <row r="34" spans="1:16381" s="609" customFormat="1">
      <c r="A34" s="609" t="str">
        <f t="shared" si="0"/>
        <v>BASF SE v. 01.07.2019</v>
      </c>
      <c r="B34" s="609">
        <f>ROW()</f>
        <v>34</v>
      </c>
      <c r="C34" s="635" t="s">
        <v>994</v>
      </c>
      <c r="D34" s="1201">
        <v>43647</v>
      </c>
      <c r="E34" s="636" t="s">
        <v>995</v>
      </c>
      <c r="F34" s="637" t="str">
        <f t="shared" si="5"/>
        <v/>
      </c>
      <c r="G34" s="634" t="str">
        <f t="shared" si="2"/>
        <v/>
      </c>
      <c r="I34" s="634"/>
      <c r="J34" s="784"/>
      <c r="K34" s="1199"/>
      <c r="L34" s="1199"/>
      <c r="M34" s="1199"/>
      <c r="N34" s="1199"/>
      <c r="O34" s="785"/>
      <c r="P34" s="144">
        <f t="shared" si="6"/>
        <v>0</v>
      </c>
      <c r="Q34" s="143"/>
      <c r="R34" s="143"/>
      <c r="S34" s="143"/>
      <c r="T34" s="143"/>
      <c r="U34" s="143"/>
      <c r="V34" s="143"/>
      <c r="W34" s="143"/>
      <c r="X34" s="143"/>
      <c r="Y34" s="143"/>
      <c r="Z34" s="143"/>
      <c r="AA34" s="143"/>
      <c r="AB34" s="143"/>
      <c r="AC34" s="143"/>
      <c r="AD34" s="143"/>
      <c r="AE34" s="143"/>
      <c r="AF34" s="143"/>
      <c r="AG34" s="143"/>
      <c r="AH34" s="143"/>
      <c r="AI34" s="143"/>
      <c r="AJ34" s="143"/>
      <c r="AK34" s="143"/>
      <c r="AL34" s="143"/>
      <c r="AM34" s="143"/>
      <c r="AN34" s="143"/>
      <c r="AO34" s="143"/>
      <c r="AP34" s="143"/>
      <c r="AQ34" s="143"/>
      <c r="AR34" s="143"/>
      <c r="AS34" s="143"/>
      <c r="AT34" s="143"/>
      <c r="AU34" s="143"/>
      <c r="AV34" s="143"/>
      <c r="AW34" s="143"/>
      <c r="AX34" s="143"/>
      <c r="AY34" s="143"/>
      <c r="AZ34" s="143"/>
      <c r="BA34" s="143"/>
      <c r="BB34" s="143"/>
      <c r="BC34" s="143"/>
      <c r="BD34" s="143"/>
      <c r="BE34" s="143"/>
      <c r="BF34" s="143"/>
      <c r="BG34" s="143"/>
      <c r="BH34" s="143"/>
      <c r="BI34" s="143"/>
      <c r="BJ34" s="143"/>
      <c r="BK34" s="143"/>
      <c r="BL34" s="143"/>
      <c r="BM34" s="143"/>
      <c r="BN34" s="143"/>
      <c r="BO34" s="143"/>
      <c r="BP34" s="143"/>
      <c r="BQ34" s="143"/>
      <c r="BR34" s="143"/>
      <c r="BS34" s="143"/>
      <c r="BT34" s="143"/>
      <c r="BU34" s="143"/>
      <c r="BV34" s="143"/>
      <c r="BW34" s="143"/>
      <c r="BX34" s="143"/>
      <c r="BY34" s="143"/>
      <c r="BZ34" s="143"/>
      <c r="CA34" s="143"/>
      <c r="CB34" s="143"/>
      <c r="CC34" s="143"/>
      <c r="CD34" s="143"/>
      <c r="CE34" s="143"/>
      <c r="CF34" s="143"/>
      <c r="CG34" s="143"/>
      <c r="CH34" s="143"/>
      <c r="CI34" s="143"/>
      <c r="CJ34" s="143"/>
      <c r="CK34" s="143"/>
      <c r="CL34" s="143"/>
      <c r="CM34" s="143"/>
      <c r="CN34" s="143"/>
      <c r="CO34" s="143"/>
      <c r="CP34" s="143"/>
      <c r="CQ34" s="143"/>
      <c r="CR34" s="143"/>
      <c r="CS34" s="143"/>
      <c r="CT34" s="143"/>
      <c r="CU34" s="143"/>
      <c r="CV34" s="143"/>
      <c r="CW34" s="143"/>
      <c r="CX34" s="143"/>
      <c r="CY34" s="143"/>
      <c r="CZ34" s="143"/>
      <c r="DA34" s="143"/>
      <c r="DB34" s="143"/>
      <c r="DC34" s="143"/>
      <c r="DD34" s="143"/>
      <c r="DE34" s="143"/>
      <c r="DF34" s="143"/>
      <c r="DG34" s="143"/>
      <c r="DH34" s="143"/>
      <c r="DI34" s="143"/>
      <c r="DJ34" s="143"/>
      <c r="DK34" s="143"/>
      <c r="DL34" s="143"/>
      <c r="DM34" s="143"/>
      <c r="DN34" s="143"/>
      <c r="DO34" s="143"/>
      <c r="DP34" s="143"/>
      <c r="DQ34" s="143"/>
      <c r="DR34" s="143"/>
      <c r="DS34" s="143"/>
      <c r="DT34" s="143"/>
      <c r="DU34" s="143"/>
      <c r="DV34" s="143"/>
      <c r="DW34" s="143"/>
      <c r="DX34" s="143"/>
      <c r="DY34" s="143"/>
      <c r="DZ34" s="143"/>
      <c r="EA34" s="143"/>
      <c r="EB34" s="143"/>
      <c r="EC34" s="143"/>
      <c r="ED34" s="143"/>
      <c r="EE34" s="143"/>
      <c r="EF34" s="143"/>
      <c r="EG34" s="143"/>
      <c r="EH34" s="143"/>
      <c r="EI34" s="143"/>
      <c r="EJ34" s="143"/>
      <c r="EK34" s="143"/>
      <c r="EL34" s="143"/>
      <c r="EM34" s="143"/>
      <c r="EN34" s="143"/>
      <c r="EO34" s="143"/>
      <c r="EP34" s="143"/>
      <c r="EQ34" s="143"/>
      <c r="ER34" s="143"/>
      <c r="ES34" s="143"/>
      <c r="ET34" s="143"/>
      <c r="EU34" s="143"/>
      <c r="EV34" s="143"/>
      <c r="EW34" s="143"/>
      <c r="EX34" s="143"/>
      <c r="EY34" s="143"/>
      <c r="EZ34" s="143"/>
      <c r="FA34" s="143"/>
      <c r="FB34" s="143"/>
      <c r="FC34" s="143"/>
      <c r="FD34" s="143"/>
      <c r="FE34" s="143"/>
      <c r="FF34" s="143"/>
      <c r="FG34" s="143"/>
      <c r="FH34" s="143"/>
      <c r="FI34" s="143"/>
      <c r="FJ34" s="143"/>
      <c r="FK34" s="143"/>
      <c r="FL34" s="143"/>
      <c r="FM34" s="143"/>
      <c r="FN34" s="143"/>
      <c r="FO34" s="143"/>
      <c r="FP34" s="143"/>
      <c r="FQ34" s="143"/>
      <c r="FR34" s="143"/>
      <c r="FS34" s="143"/>
      <c r="FT34" s="143"/>
      <c r="FU34" s="143"/>
      <c r="FV34" s="143"/>
      <c r="FW34" s="143"/>
      <c r="FX34" s="143"/>
      <c r="FY34" s="143"/>
      <c r="FZ34" s="143"/>
      <c r="GA34" s="143"/>
      <c r="GB34" s="143"/>
      <c r="GC34" s="143"/>
      <c r="GD34" s="143"/>
      <c r="GE34" s="143"/>
      <c r="GF34" s="143"/>
      <c r="GG34" s="143"/>
      <c r="GH34" s="143"/>
      <c r="GI34" s="143"/>
      <c r="GJ34" s="143"/>
      <c r="GK34" s="143"/>
      <c r="GL34" s="143"/>
      <c r="GM34" s="143"/>
      <c r="GN34" s="143"/>
      <c r="GO34" s="143"/>
      <c r="GP34" s="143"/>
      <c r="GQ34" s="143"/>
      <c r="GR34" s="143"/>
      <c r="GS34" s="143"/>
      <c r="GT34" s="143"/>
      <c r="GU34" s="143"/>
      <c r="GV34" s="143"/>
      <c r="GW34" s="143"/>
      <c r="GX34" s="143"/>
      <c r="GY34" s="143"/>
      <c r="GZ34" s="143"/>
      <c r="HA34" s="143"/>
      <c r="HB34" s="143"/>
      <c r="HC34" s="143"/>
      <c r="HD34" s="143"/>
      <c r="HE34" s="143"/>
      <c r="HF34" s="143"/>
      <c r="HG34" s="143"/>
      <c r="HH34" s="143"/>
      <c r="HI34" s="143"/>
      <c r="HJ34" s="143"/>
      <c r="HK34" s="143"/>
      <c r="HL34" s="143"/>
      <c r="HM34" s="143"/>
      <c r="HN34" s="143"/>
      <c r="HO34" s="143"/>
      <c r="HP34" s="143"/>
      <c r="HQ34" s="143"/>
      <c r="HR34" s="143"/>
      <c r="HS34" s="143"/>
      <c r="HT34" s="143"/>
      <c r="HU34" s="143"/>
      <c r="HV34" s="143"/>
      <c r="HW34" s="143"/>
      <c r="HX34" s="143"/>
      <c r="HY34" s="143"/>
      <c r="HZ34" s="143"/>
      <c r="IA34" s="143"/>
      <c r="IB34" s="143"/>
      <c r="IC34" s="143"/>
      <c r="ID34" s="143"/>
      <c r="IE34" s="143"/>
      <c r="IF34" s="143"/>
      <c r="IG34" s="143"/>
      <c r="IH34" s="143"/>
      <c r="II34" s="143"/>
      <c r="IJ34" s="143"/>
      <c r="IK34" s="143"/>
      <c r="IL34" s="143"/>
      <c r="IM34" s="143"/>
      <c r="IN34" s="143"/>
      <c r="IO34" s="143"/>
      <c r="IP34" s="143"/>
      <c r="IQ34" s="143"/>
      <c r="IR34" s="143"/>
      <c r="IS34" s="143"/>
      <c r="IT34" s="143"/>
      <c r="IU34" s="143"/>
      <c r="IV34" s="143"/>
      <c r="IW34" s="143"/>
      <c r="IX34" s="143"/>
      <c r="IY34" s="143"/>
      <c r="IZ34" s="143"/>
      <c r="JA34" s="143"/>
      <c r="JB34" s="143"/>
      <c r="JC34" s="143"/>
      <c r="JD34" s="143"/>
      <c r="JE34" s="143"/>
      <c r="JF34" s="143"/>
      <c r="JG34" s="143"/>
      <c r="JH34" s="143"/>
      <c r="JI34" s="143"/>
      <c r="JJ34" s="143"/>
      <c r="JK34" s="143"/>
      <c r="JL34" s="143"/>
      <c r="JM34" s="143"/>
      <c r="JN34" s="143"/>
      <c r="JO34" s="143"/>
      <c r="JP34" s="143"/>
      <c r="JQ34" s="143"/>
      <c r="JR34" s="143"/>
      <c r="JS34" s="143"/>
      <c r="JT34" s="143"/>
      <c r="JU34" s="143"/>
      <c r="JV34" s="143"/>
      <c r="JW34" s="143"/>
      <c r="JX34" s="143"/>
      <c r="JY34" s="143"/>
      <c r="JZ34" s="143"/>
      <c r="KA34" s="143"/>
      <c r="KB34" s="143"/>
      <c r="KC34" s="143"/>
      <c r="KD34" s="143"/>
      <c r="KE34" s="143"/>
      <c r="KF34" s="143"/>
      <c r="KG34" s="143"/>
      <c r="KH34" s="143"/>
      <c r="KI34" s="143"/>
      <c r="KJ34" s="143"/>
      <c r="KK34" s="143"/>
      <c r="KL34" s="143"/>
      <c r="KM34" s="143"/>
      <c r="KN34" s="143"/>
      <c r="KO34" s="143"/>
      <c r="KP34" s="143"/>
      <c r="KQ34" s="143"/>
      <c r="KR34" s="143"/>
      <c r="KS34" s="143"/>
      <c r="KT34" s="143"/>
      <c r="KU34" s="143"/>
      <c r="KV34" s="143"/>
      <c r="KW34" s="143"/>
      <c r="KX34" s="143"/>
      <c r="KY34" s="143"/>
      <c r="KZ34" s="143"/>
      <c r="LA34" s="143"/>
      <c r="LB34" s="143"/>
      <c r="LC34" s="143"/>
      <c r="LD34" s="143"/>
      <c r="LE34" s="143"/>
      <c r="LF34" s="143"/>
      <c r="LG34" s="143"/>
      <c r="LH34" s="143"/>
      <c r="LI34" s="143"/>
      <c r="LJ34" s="143"/>
      <c r="LK34" s="143"/>
      <c r="LL34" s="143"/>
      <c r="LM34" s="143"/>
      <c r="LN34" s="143"/>
      <c r="LO34" s="143"/>
      <c r="LP34" s="143"/>
      <c r="LQ34" s="143"/>
      <c r="LR34" s="143"/>
      <c r="LS34" s="143"/>
      <c r="LT34" s="143"/>
      <c r="LU34" s="143"/>
      <c r="LV34" s="143"/>
      <c r="LW34" s="143"/>
      <c r="LX34" s="143"/>
      <c r="LY34" s="143"/>
      <c r="LZ34" s="143"/>
      <c r="MA34" s="143"/>
      <c r="MB34" s="143"/>
      <c r="MC34" s="143"/>
      <c r="MD34" s="143"/>
      <c r="ME34" s="143"/>
      <c r="MF34" s="143"/>
      <c r="MG34" s="143"/>
      <c r="MH34" s="143"/>
      <c r="MI34" s="143"/>
      <c r="MJ34" s="143"/>
      <c r="MK34" s="143"/>
      <c r="ML34" s="143"/>
      <c r="MM34" s="143"/>
      <c r="MN34" s="143"/>
      <c r="MO34" s="143"/>
      <c r="MP34" s="143"/>
      <c r="MQ34" s="143"/>
      <c r="MR34" s="143"/>
      <c r="MS34" s="143"/>
      <c r="MT34" s="143"/>
      <c r="MU34" s="143"/>
      <c r="MV34" s="143"/>
      <c r="MW34" s="143"/>
      <c r="MX34" s="143"/>
      <c r="MY34" s="143"/>
      <c r="MZ34" s="143"/>
      <c r="NA34" s="143"/>
      <c r="NB34" s="143"/>
      <c r="NC34" s="143"/>
      <c r="ND34" s="143"/>
      <c r="NE34" s="143"/>
      <c r="NF34" s="143"/>
      <c r="NG34" s="143"/>
      <c r="NH34" s="143"/>
      <c r="NI34" s="143"/>
      <c r="NJ34" s="143"/>
      <c r="NK34" s="143"/>
      <c r="NL34" s="143"/>
      <c r="NM34" s="143"/>
      <c r="NN34" s="143"/>
      <c r="NO34" s="143"/>
      <c r="NP34" s="143"/>
      <c r="NQ34" s="143"/>
      <c r="NR34" s="143"/>
      <c r="NS34" s="143"/>
      <c r="NT34" s="143"/>
      <c r="NU34" s="143"/>
      <c r="NV34" s="143"/>
      <c r="NW34" s="143"/>
      <c r="NX34" s="143"/>
      <c r="NY34" s="143"/>
      <c r="NZ34" s="143"/>
      <c r="OA34" s="143"/>
      <c r="OB34" s="143"/>
      <c r="OC34" s="143"/>
      <c r="OD34" s="143"/>
      <c r="OE34" s="143"/>
      <c r="OF34" s="143"/>
      <c r="OG34" s="143"/>
      <c r="OH34" s="143"/>
      <c r="OI34" s="143"/>
      <c r="OJ34" s="143"/>
      <c r="OK34" s="143"/>
      <c r="OL34" s="143"/>
      <c r="OM34" s="143"/>
      <c r="ON34" s="143"/>
      <c r="OO34" s="143"/>
      <c r="OP34" s="143"/>
      <c r="OQ34" s="143"/>
      <c r="OR34" s="143"/>
      <c r="OS34" s="143"/>
      <c r="OT34" s="143"/>
      <c r="OU34" s="143"/>
      <c r="OV34" s="143"/>
      <c r="OW34" s="143"/>
      <c r="OX34" s="143"/>
      <c r="OY34" s="143"/>
      <c r="OZ34" s="143"/>
      <c r="PA34" s="143"/>
      <c r="PB34" s="143"/>
      <c r="PC34" s="143"/>
      <c r="PD34" s="143"/>
      <c r="PE34" s="143"/>
      <c r="PF34" s="143"/>
      <c r="PG34" s="143"/>
      <c r="PH34" s="143"/>
      <c r="PI34" s="143"/>
      <c r="PJ34" s="143"/>
      <c r="PK34" s="143"/>
      <c r="PL34" s="143"/>
      <c r="PM34" s="143"/>
      <c r="PN34" s="143"/>
      <c r="PO34" s="143"/>
      <c r="PP34" s="143"/>
      <c r="PQ34" s="143"/>
      <c r="PR34" s="143"/>
      <c r="PS34" s="143"/>
      <c r="PT34" s="143"/>
      <c r="PU34" s="143"/>
      <c r="PV34" s="143"/>
      <c r="PW34" s="143"/>
      <c r="PX34" s="143"/>
      <c r="PY34" s="143"/>
      <c r="PZ34" s="143"/>
      <c r="QA34" s="143"/>
      <c r="QB34" s="143"/>
      <c r="QC34" s="143"/>
      <c r="QD34" s="143"/>
      <c r="QE34" s="143"/>
      <c r="QF34" s="143"/>
      <c r="QG34" s="143"/>
      <c r="QH34" s="143"/>
      <c r="QI34" s="143"/>
      <c r="QJ34" s="143"/>
      <c r="QK34" s="143"/>
      <c r="QL34" s="143"/>
      <c r="QM34" s="143"/>
      <c r="QN34" s="143"/>
      <c r="QO34" s="143"/>
      <c r="QP34" s="143"/>
      <c r="QQ34" s="143"/>
      <c r="QR34" s="143"/>
      <c r="QS34" s="143"/>
      <c r="QT34" s="143"/>
      <c r="QU34" s="143"/>
      <c r="QV34" s="143"/>
      <c r="QW34" s="143"/>
      <c r="QX34" s="143"/>
      <c r="QY34" s="143"/>
      <c r="QZ34" s="143"/>
      <c r="RA34" s="143"/>
      <c r="RB34" s="143"/>
      <c r="RC34" s="143"/>
      <c r="RD34" s="143"/>
      <c r="RE34" s="143"/>
      <c r="RF34" s="143"/>
      <c r="RG34" s="143"/>
      <c r="RH34" s="143"/>
      <c r="RI34" s="143"/>
      <c r="RJ34" s="143"/>
      <c r="RK34" s="143"/>
      <c r="RL34" s="143"/>
      <c r="RM34" s="143"/>
      <c r="RN34" s="143"/>
      <c r="RO34" s="143"/>
      <c r="RP34" s="143"/>
      <c r="RQ34" s="143"/>
      <c r="RR34" s="143"/>
      <c r="RS34" s="143"/>
      <c r="RT34" s="143"/>
      <c r="RU34" s="143"/>
      <c r="RV34" s="143"/>
      <c r="RW34" s="143"/>
      <c r="RX34" s="143"/>
      <c r="RY34" s="143"/>
      <c r="RZ34" s="143"/>
      <c r="SA34" s="143"/>
      <c r="SB34" s="143"/>
      <c r="SC34" s="143"/>
      <c r="SD34" s="143"/>
      <c r="SE34" s="143"/>
      <c r="SF34" s="143"/>
      <c r="SG34" s="143"/>
      <c r="SH34" s="143"/>
      <c r="SI34" s="143"/>
      <c r="SJ34" s="143"/>
      <c r="SK34" s="143"/>
      <c r="SL34" s="143"/>
      <c r="SM34" s="143"/>
      <c r="SN34" s="143"/>
      <c r="SO34" s="143"/>
      <c r="SP34" s="143"/>
      <c r="SQ34" s="143"/>
      <c r="SR34" s="143"/>
      <c r="SS34" s="143"/>
      <c r="ST34" s="143"/>
      <c r="SU34" s="143"/>
      <c r="SV34" s="143"/>
      <c r="SW34" s="143"/>
      <c r="SX34" s="143"/>
      <c r="SY34" s="143"/>
      <c r="SZ34" s="143"/>
      <c r="TA34" s="143"/>
      <c r="TB34" s="143"/>
      <c r="TC34" s="143"/>
      <c r="TD34" s="143"/>
      <c r="TE34" s="143"/>
      <c r="TF34" s="143"/>
      <c r="TG34" s="143"/>
      <c r="TH34" s="143"/>
      <c r="TI34" s="143"/>
      <c r="TJ34" s="143"/>
      <c r="TK34" s="143"/>
      <c r="TL34" s="143"/>
      <c r="TM34" s="143"/>
      <c r="TN34" s="143"/>
      <c r="TO34" s="143"/>
      <c r="TP34" s="143"/>
      <c r="TQ34" s="143"/>
      <c r="TR34" s="143"/>
      <c r="TS34" s="143"/>
      <c r="TT34" s="143"/>
      <c r="TU34" s="143"/>
      <c r="TV34" s="143"/>
      <c r="TW34" s="143"/>
      <c r="TX34" s="143"/>
      <c r="TY34" s="143"/>
      <c r="TZ34" s="143"/>
      <c r="UA34" s="143"/>
      <c r="UB34" s="143"/>
      <c r="UC34" s="143"/>
      <c r="UD34" s="143"/>
      <c r="UE34" s="143"/>
      <c r="UF34" s="143"/>
      <c r="UG34" s="143"/>
      <c r="UH34" s="143"/>
      <c r="UI34" s="143"/>
      <c r="UJ34" s="143"/>
      <c r="UK34" s="143"/>
      <c r="UL34" s="143"/>
      <c r="UM34" s="143"/>
      <c r="UN34" s="143"/>
      <c r="UO34" s="143"/>
      <c r="UP34" s="143"/>
      <c r="UQ34" s="143"/>
      <c r="UR34" s="143"/>
      <c r="US34" s="143"/>
      <c r="UT34" s="143"/>
      <c r="UU34" s="143"/>
      <c r="UV34" s="143"/>
      <c r="UW34" s="143"/>
      <c r="UX34" s="143"/>
      <c r="UY34" s="143"/>
      <c r="UZ34" s="143"/>
      <c r="VA34" s="143"/>
      <c r="VB34" s="143"/>
      <c r="VC34" s="143"/>
      <c r="VD34" s="143"/>
      <c r="VE34" s="143"/>
      <c r="VF34" s="143"/>
      <c r="VG34" s="143"/>
      <c r="VH34" s="143"/>
      <c r="VI34" s="143"/>
      <c r="VJ34" s="143"/>
      <c r="VK34" s="143"/>
      <c r="VL34" s="143"/>
      <c r="VM34" s="143"/>
      <c r="VN34" s="143"/>
      <c r="VO34" s="143"/>
      <c r="VP34" s="143"/>
      <c r="VQ34" s="143"/>
      <c r="VR34" s="143"/>
      <c r="VS34" s="143"/>
      <c r="VT34" s="143"/>
      <c r="VU34" s="143"/>
      <c r="VV34" s="143"/>
      <c r="VW34" s="143"/>
      <c r="VX34" s="143"/>
      <c r="VY34" s="143"/>
      <c r="VZ34" s="143"/>
      <c r="WA34" s="143"/>
      <c r="WB34" s="143"/>
      <c r="WC34" s="143"/>
      <c r="WD34" s="143"/>
      <c r="WE34" s="143"/>
      <c r="WF34" s="143"/>
      <c r="WG34" s="143"/>
      <c r="WH34" s="143"/>
      <c r="WI34" s="143"/>
      <c r="WJ34" s="143"/>
      <c r="WK34" s="143"/>
      <c r="WL34" s="143"/>
      <c r="WM34" s="143"/>
      <c r="WN34" s="143"/>
      <c r="WO34" s="143"/>
      <c r="WP34" s="143"/>
      <c r="WQ34" s="143"/>
      <c r="WR34" s="143"/>
      <c r="WS34" s="143"/>
      <c r="WT34" s="143"/>
      <c r="WU34" s="143"/>
      <c r="WV34" s="143"/>
      <c r="WW34" s="143"/>
      <c r="WX34" s="143"/>
      <c r="WY34" s="143"/>
      <c r="WZ34" s="143"/>
      <c r="XA34" s="143"/>
      <c r="XB34" s="143"/>
      <c r="XC34" s="143"/>
      <c r="XD34" s="143"/>
      <c r="XE34" s="143"/>
      <c r="XF34" s="143"/>
      <c r="XG34" s="143"/>
      <c r="XH34" s="143"/>
      <c r="XI34" s="143"/>
      <c r="XJ34" s="143"/>
      <c r="XK34" s="143"/>
      <c r="XL34" s="143"/>
      <c r="XM34" s="143"/>
      <c r="XN34" s="143"/>
      <c r="XO34" s="143"/>
      <c r="XP34" s="143"/>
      <c r="XQ34" s="143"/>
      <c r="XR34" s="143"/>
      <c r="XS34" s="143"/>
      <c r="XT34" s="143"/>
      <c r="XU34" s="143"/>
      <c r="XV34" s="143"/>
      <c r="XW34" s="143"/>
      <c r="XX34" s="143"/>
      <c r="XY34" s="143"/>
      <c r="XZ34" s="143"/>
      <c r="YA34" s="143"/>
      <c r="YB34" s="143"/>
      <c r="YC34" s="143"/>
      <c r="YD34" s="143"/>
      <c r="YE34" s="143"/>
      <c r="YF34" s="143"/>
      <c r="YG34" s="143"/>
      <c r="YH34" s="143"/>
      <c r="YI34" s="143"/>
      <c r="YJ34" s="143"/>
      <c r="YK34" s="143"/>
      <c r="YL34" s="143"/>
      <c r="YM34" s="143"/>
      <c r="YN34" s="143"/>
      <c r="YO34" s="143"/>
      <c r="YP34" s="143"/>
      <c r="YQ34" s="143"/>
      <c r="YR34" s="143"/>
      <c r="YS34" s="143"/>
      <c r="YT34" s="143"/>
      <c r="YU34" s="143"/>
      <c r="YV34" s="143"/>
      <c r="YW34" s="143"/>
      <c r="YX34" s="143"/>
      <c r="YY34" s="143"/>
      <c r="YZ34" s="143"/>
      <c r="ZA34" s="143"/>
      <c r="ZB34" s="143"/>
      <c r="ZC34" s="143"/>
      <c r="ZD34" s="143"/>
      <c r="ZE34" s="143"/>
      <c r="ZF34" s="143"/>
      <c r="ZG34" s="143"/>
      <c r="ZH34" s="143"/>
      <c r="ZI34" s="143"/>
      <c r="ZJ34" s="143"/>
      <c r="ZK34" s="143"/>
      <c r="ZL34" s="143"/>
      <c r="ZM34" s="143"/>
      <c r="ZN34" s="143"/>
      <c r="ZO34" s="143"/>
      <c r="ZP34" s="143"/>
      <c r="ZQ34" s="143"/>
      <c r="ZR34" s="143"/>
      <c r="ZS34" s="143"/>
      <c r="ZT34" s="143"/>
      <c r="ZU34" s="143"/>
      <c r="ZV34" s="143"/>
      <c r="ZW34" s="143"/>
      <c r="ZX34" s="143"/>
      <c r="ZY34" s="143"/>
      <c r="ZZ34" s="143"/>
      <c r="AAA34" s="143"/>
      <c r="AAB34" s="143"/>
      <c r="AAC34" s="143"/>
      <c r="AAD34" s="143"/>
      <c r="AAE34" s="143"/>
      <c r="AAF34" s="143"/>
      <c r="AAG34" s="143"/>
      <c r="AAH34" s="143"/>
      <c r="AAI34" s="143"/>
      <c r="AAJ34" s="143"/>
      <c r="AAK34" s="143"/>
      <c r="AAL34" s="143"/>
      <c r="AAM34" s="143"/>
      <c r="AAN34" s="143"/>
      <c r="AAO34" s="143"/>
      <c r="AAP34" s="143"/>
      <c r="AAQ34" s="143"/>
      <c r="AAR34" s="143"/>
      <c r="AAS34" s="143"/>
      <c r="AAT34" s="143"/>
      <c r="AAU34" s="143"/>
      <c r="AAV34" s="143"/>
      <c r="AAW34" s="143"/>
      <c r="AAX34" s="143"/>
      <c r="AAY34" s="143"/>
      <c r="AAZ34" s="143"/>
      <c r="ABA34" s="143"/>
      <c r="ABB34" s="143"/>
      <c r="ABC34" s="143"/>
      <c r="ABD34" s="143"/>
      <c r="ABE34" s="143"/>
      <c r="ABF34" s="143"/>
      <c r="ABG34" s="143"/>
      <c r="ABH34" s="143"/>
      <c r="ABI34" s="143"/>
      <c r="ABJ34" s="143"/>
      <c r="ABK34" s="143"/>
      <c r="ABL34" s="143"/>
      <c r="ABM34" s="143"/>
      <c r="ABN34" s="143"/>
      <c r="ABO34" s="143"/>
      <c r="ABP34" s="143"/>
      <c r="ABQ34" s="143"/>
      <c r="ABR34" s="143"/>
      <c r="ABS34" s="143"/>
      <c r="ABT34" s="143"/>
      <c r="ABU34" s="143"/>
      <c r="ABV34" s="143"/>
      <c r="ABW34" s="143"/>
      <c r="ABX34" s="143"/>
      <c r="ABY34" s="143"/>
      <c r="ABZ34" s="143"/>
      <c r="ACA34" s="143"/>
      <c r="ACB34" s="143"/>
      <c r="ACC34" s="143"/>
      <c r="ACD34" s="143"/>
      <c r="ACE34" s="143"/>
      <c r="ACF34" s="143"/>
      <c r="ACG34" s="143"/>
      <c r="ACH34" s="143"/>
      <c r="ACI34" s="143"/>
      <c r="ACJ34" s="143"/>
      <c r="ACK34" s="143"/>
      <c r="ACL34" s="143"/>
      <c r="ACM34" s="143"/>
      <c r="ACN34" s="143"/>
      <c r="ACO34" s="143"/>
      <c r="ACP34" s="143"/>
      <c r="ACQ34" s="143"/>
      <c r="ACR34" s="143"/>
      <c r="ACS34" s="143"/>
      <c r="ACT34" s="143"/>
      <c r="ACU34" s="143"/>
      <c r="ACV34" s="143"/>
      <c r="ACW34" s="143"/>
      <c r="ACX34" s="143"/>
      <c r="ACY34" s="143"/>
      <c r="ACZ34" s="143"/>
      <c r="ADA34" s="143"/>
      <c r="ADB34" s="143"/>
      <c r="ADC34" s="143"/>
      <c r="ADD34" s="143"/>
      <c r="ADE34" s="143"/>
      <c r="ADF34" s="143"/>
      <c r="ADG34" s="143"/>
      <c r="ADH34" s="143"/>
      <c r="ADI34" s="143"/>
      <c r="ADJ34" s="143"/>
      <c r="ADK34" s="143"/>
      <c r="ADL34" s="143"/>
      <c r="ADM34" s="143"/>
      <c r="ADN34" s="143"/>
      <c r="ADO34" s="143"/>
      <c r="ADP34" s="143"/>
      <c r="ADQ34" s="143"/>
      <c r="ADR34" s="143"/>
      <c r="ADS34" s="143"/>
      <c r="ADT34" s="143"/>
      <c r="ADU34" s="143"/>
      <c r="ADV34" s="143"/>
      <c r="ADW34" s="143"/>
      <c r="ADX34" s="143"/>
      <c r="ADY34" s="143"/>
      <c r="ADZ34" s="143"/>
      <c r="AEA34" s="143"/>
      <c r="AEB34" s="143"/>
      <c r="AEC34" s="143"/>
      <c r="AED34" s="143"/>
      <c r="AEE34" s="143"/>
      <c r="AEF34" s="143"/>
      <c r="AEG34" s="143"/>
      <c r="AEH34" s="143"/>
      <c r="AEI34" s="143"/>
      <c r="AEJ34" s="143"/>
      <c r="AEK34" s="143"/>
      <c r="AEL34" s="143"/>
      <c r="AEM34" s="143"/>
      <c r="AEN34" s="143"/>
      <c r="AEO34" s="143"/>
      <c r="AEP34" s="143"/>
      <c r="AEQ34" s="143"/>
      <c r="AER34" s="143"/>
      <c r="AES34" s="143"/>
      <c r="AET34" s="143"/>
      <c r="AEU34" s="143"/>
      <c r="AEV34" s="143"/>
      <c r="AEW34" s="143"/>
      <c r="AEX34" s="143"/>
      <c r="AEY34" s="143"/>
      <c r="AEZ34" s="143"/>
      <c r="AFA34" s="143"/>
      <c r="AFB34" s="143"/>
      <c r="AFC34" s="143"/>
      <c r="AFD34" s="143"/>
      <c r="AFE34" s="143"/>
      <c r="AFF34" s="143"/>
      <c r="AFG34" s="143"/>
      <c r="AFH34" s="143"/>
      <c r="AFI34" s="143"/>
      <c r="AFJ34" s="143"/>
      <c r="AFK34" s="143"/>
      <c r="AFL34" s="143"/>
      <c r="AFM34" s="143"/>
      <c r="AFN34" s="143"/>
      <c r="AFO34" s="143"/>
      <c r="AFP34" s="143"/>
      <c r="AFQ34" s="143"/>
      <c r="AFR34" s="143"/>
      <c r="AFS34" s="143"/>
      <c r="AFT34" s="143"/>
      <c r="AFU34" s="143"/>
      <c r="AFV34" s="143"/>
      <c r="AFW34" s="143"/>
      <c r="AFX34" s="143"/>
      <c r="AFY34" s="143"/>
      <c r="AFZ34" s="143"/>
      <c r="AGA34" s="143"/>
      <c r="AGB34" s="143"/>
      <c r="AGC34" s="143"/>
      <c r="AGD34" s="143"/>
      <c r="AGE34" s="143"/>
      <c r="AGF34" s="143"/>
      <c r="AGG34" s="143"/>
      <c r="AGH34" s="143"/>
      <c r="AGI34" s="143"/>
      <c r="AGJ34" s="143"/>
      <c r="AGK34" s="143"/>
      <c r="AGL34" s="143"/>
      <c r="AGM34" s="143"/>
      <c r="AGN34" s="143"/>
      <c r="AGO34" s="143"/>
      <c r="AGP34" s="143"/>
      <c r="AGQ34" s="143"/>
      <c r="AGR34" s="143"/>
      <c r="AGS34" s="143"/>
      <c r="AGT34" s="143"/>
      <c r="AGU34" s="143"/>
      <c r="AGV34" s="143"/>
      <c r="AGW34" s="143"/>
      <c r="AGX34" s="143"/>
      <c r="AGY34" s="143"/>
      <c r="AGZ34" s="143"/>
      <c r="AHA34" s="143"/>
      <c r="AHB34" s="143"/>
      <c r="AHC34" s="143"/>
      <c r="AHD34" s="143"/>
      <c r="AHE34" s="143"/>
      <c r="AHF34" s="143"/>
      <c r="AHG34" s="143"/>
      <c r="AHH34" s="143"/>
      <c r="AHI34" s="143"/>
      <c r="AHJ34" s="143"/>
      <c r="AHK34" s="143"/>
      <c r="AHL34" s="143"/>
      <c r="AHM34" s="143"/>
      <c r="AHN34" s="143"/>
      <c r="AHO34" s="143"/>
      <c r="AHP34" s="143"/>
      <c r="AHQ34" s="143"/>
      <c r="AHR34" s="143"/>
      <c r="AHS34" s="143"/>
      <c r="AHT34" s="143"/>
      <c r="AHU34" s="143"/>
      <c r="AHV34" s="143"/>
      <c r="AHW34" s="143"/>
      <c r="AHX34" s="143"/>
      <c r="AHY34" s="143"/>
      <c r="AHZ34" s="143"/>
      <c r="AIA34" s="143"/>
      <c r="AIB34" s="143"/>
      <c r="AIC34" s="143"/>
      <c r="AID34" s="143"/>
      <c r="AIE34" s="143"/>
      <c r="AIF34" s="143"/>
      <c r="AIG34" s="143"/>
      <c r="AIH34" s="143"/>
      <c r="AII34" s="143"/>
      <c r="AIJ34" s="143"/>
      <c r="AIK34" s="143"/>
      <c r="AIL34" s="143"/>
      <c r="AIM34" s="143"/>
      <c r="AIN34" s="143"/>
      <c r="AIO34" s="143"/>
      <c r="AIP34" s="143"/>
      <c r="AIQ34" s="143"/>
      <c r="AIR34" s="143"/>
      <c r="AIS34" s="143"/>
      <c r="AIT34" s="143"/>
      <c r="AIU34" s="143"/>
      <c r="AIV34" s="143"/>
      <c r="AIW34" s="143"/>
      <c r="AIX34" s="143"/>
      <c r="AIY34" s="143"/>
      <c r="AIZ34" s="143"/>
      <c r="AJA34" s="143"/>
      <c r="AJB34" s="143"/>
      <c r="AJC34" s="143"/>
      <c r="AJD34" s="143"/>
      <c r="AJE34" s="143"/>
      <c r="AJF34" s="143"/>
      <c r="AJG34" s="143"/>
      <c r="AJH34" s="143"/>
      <c r="AJI34" s="143"/>
      <c r="AJJ34" s="143"/>
      <c r="AJK34" s="143"/>
      <c r="AJL34" s="143"/>
      <c r="AJM34" s="143"/>
      <c r="AJN34" s="143"/>
      <c r="AJO34" s="143"/>
      <c r="AJP34" s="143"/>
      <c r="AJQ34" s="143"/>
      <c r="AJR34" s="143"/>
      <c r="AJS34" s="143"/>
      <c r="AJT34" s="143"/>
      <c r="AJU34" s="143"/>
      <c r="AJV34" s="143"/>
      <c r="AJW34" s="143"/>
      <c r="AJX34" s="143"/>
      <c r="AJY34" s="143"/>
      <c r="AJZ34" s="143"/>
      <c r="AKA34" s="143"/>
      <c r="AKB34" s="143"/>
      <c r="AKC34" s="143"/>
      <c r="AKD34" s="143"/>
      <c r="AKE34" s="143"/>
      <c r="AKF34" s="143"/>
      <c r="AKG34" s="143"/>
      <c r="AKH34" s="143"/>
      <c r="AKI34" s="143"/>
      <c r="AKJ34" s="143"/>
      <c r="AKK34" s="143"/>
      <c r="AKL34" s="143"/>
      <c r="AKM34" s="143"/>
      <c r="AKN34" s="143"/>
      <c r="AKO34" s="143"/>
      <c r="AKP34" s="143"/>
      <c r="AKQ34" s="143"/>
      <c r="AKR34" s="143"/>
      <c r="AKS34" s="143"/>
      <c r="AKT34" s="143"/>
      <c r="AKU34" s="143"/>
      <c r="AKV34" s="143"/>
      <c r="AKW34" s="143"/>
      <c r="AKX34" s="143"/>
      <c r="AKY34" s="143"/>
      <c r="AKZ34" s="143"/>
      <c r="ALA34" s="143"/>
      <c r="ALB34" s="143"/>
      <c r="ALC34" s="143"/>
      <c r="ALD34" s="143"/>
      <c r="ALE34" s="143"/>
      <c r="ALF34" s="143"/>
      <c r="ALG34" s="143"/>
      <c r="ALH34" s="143"/>
      <c r="ALI34" s="143"/>
      <c r="ALJ34" s="143"/>
      <c r="ALK34" s="143"/>
      <c r="ALL34" s="143"/>
      <c r="ALM34" s="143"/>
      <c r="ALN34" s="143"/>
      <c r="ALO34" s="143"/>
      <c r="ALP34" s="143"/>
      <c r="ALQ34" s="143"/>
      <c r="ALR34" s="143"/>
      <c r="ALS34" s="143"/>
      <c r="ALT34" s="143"/>
      <c r="ALU34" s="143"/>
      <c r="ALV34" s="143"/>
      <c r="ALW34" s="143"/>
      <c r="ALX34" s="143"/>
      <c r="ALY34" s="143"/>
      <c r="ALZ34" s="143"/>
      <c r="AMA34" s="143"/>
      <c r="AMB34" s="143"/>
      <c r="AMC34" s="143"/>
      <c r="AMD34" s="143"/>
      <c r="AME34" s="143"/>
      <c r="AMF34" s="143"/>
      <c r="AMG34" s="143"/>
      <c r="AMH34" s="143"/>
      <c r="AMI34" s="143"/>
      <c r="AMJ34" s="143"/>
      <c r="AMK34" s="143"/>
      <c r="AML34" s="143"/>
      <c r="AMM34" s="143"/>
      <c r="AMN34" s="143"/>
      <c r="AMO34" s="143"/>
      <c r="AMP34" s="143"/>
      <c r="AMQ34" s="143"/>
      <c r="AMR34" s="143"/>
      <c r="AMS34" s="143"/>
      <c r="AMT34" s="143"/>
      <c r="AMU34" s="143"/>
      <c r="AMV34" s="143"/>
      <c r="AMW34" s="143"/>
      <c r="AMX34" s="143"/>
      <c r="AMY34" s="143"/>
      <c r="AMZ34" s="143"/>
      <c r="ANA34" s="143"/>
      <c r="ANB34" s="143"/>
      <c r="ANC34" s="143"/>
      <c r="AND34" s="143"/>
      <c r="ANE34" s="143"/>
      <c r="ANF34" s="143"/>
      <c r="ANG34" s="143"/>
      <c r="ANH34" s="143"/>
      <c r="ANI34" s="143"/>
      <c r="ANJ34" s="143"/>
      <c r="ANK34" s="143"/>
      <c r="ANL34" s="143"/>
      <c r="ANM34" s="143"/>
      <c r="ANN34" s="143"/>
      <c r="ANO34" s="143"/>
      <c r="ANP34" s="143"/>
      <c r="ANQ34" s="143"/>
      <c r="ANR34" s="143"/>
      <c r="ANS34" s="143"/>
      <c r="ANT34" s="143"/>
      <c r="ANU34" s="143"/>
      <c r="ANV34" s="143"/>
      <c r="ANW34" s="143"/>
      <c r="ANX34" s="143"/>
      <c r="ANY34" s="143"/>
      <c r="ANZ34" s="143"/>
      <c r="AOA34" s="143"/>
      <c r="AOB34" s="143"/>
      <c r="AOC34" s="143"/>
      <c r="AOD34" s="143"/>
      <c r="AOE34" s="143"/>
      <c r="AOF34" s="143"/>
      <c r="AOG34" s="143"/>
      <c r="AOH34" s="143"/>
      <c r="AOI34" s="143"/>
      <c r="AOJ34" s="143"/>
      <c r="AOK34" s="143"/>
      <c r="AOL34" s="143"/>
      <c r="AOM34" s="143"/>
      <c r="AON34" s="143"/>
      <c r="AOO34" s="143"/>
      <c r="AOP34" s="143"/>
      <c r="AOQ34" s="143"/>
      <c r="AOR34" s="143"/>
      <c r="AOS34" s="143"/>
      <c r="AOT34" s="143"/>
      <c r="AOU34" s="143"/>
      <c r="AOV34" s="143"/>
      <c r="AOW34" s="143"/>
      <c r="AOX34" s="143"/>
      <c r="AOY34" s="143"/>
      <c r="AOZ34" s="143"/>
      <c r="APA34" s="143"/>
      <c r="APB34" s="143"/>
      <c r="APC34" s="143"/>
      <c r="APD34" s="143"/>
      <c r="APE34" s="143"/>
      <c r="APF34" s="143"/>
      <c r="APG34" s="143"/>
      <c r="APH34" s="143"/>
      <c r="API34" s="143"/>
      <c r="APJ34" s="143"/>
      <c r="APK34" s="143"/>
      <c r="APL34" s="143"/>
      <c r="APM34" s="143"/>
      <c r="APN34" s="143"/>
      <c r="APO34" s="143"/>
      <c r="APP34" s="143"/>
      <c r="APQ34" s="143"/>
      <c r="APR34" s="143"/>
      <c r="APS34" s="143"/>
      <c r="APT34" s="143"/>
      <c r="APU34" s="143"/>
      <c r="APV34" s="143"/>
      <c r="APW34" s="143"/>
      <c r="APX34" s="143"/>
      <c r="APY34" s="143"/>
      <c r="APZ34" s="143"/>
      <c r="AQA34" s="143"/>
      <c r="AQB34" s="143"/>
      <c r="AQC34" s="143"/>
      <c r="AQD34" s="143"/>
      <c r="AQE34" s="143"/>
      <c r="AQF34" s="143"/>
      <c r="AQG34" s="143"/>
      <c r="AQH34" s="143"/>
      <c r="AQI34" s="143"/>
      <c r="AQJ34" s="143"/>
      <c r="AQK34" s="143"/>
      <c r="AQL34" s="143"/>
      <c r="AQM34" s="143"/>
      <c r="AQN34" s="143"/>
      <c r="AQO34" s="143"/>
      <c r="AQP34" s="143"/>
      <c r="AQQ34" s="143"/>
      <c r="AQR34" s="143"/>
      <c r="AQS34" s="143"/>
      <c r="AQT34" s="143"/>
      <c r="AQU34" s="143"/>
      <c r="AQV34" s="143"/>
      <c r="AQW34" s="143"/>
      <c r="AQX34" s="143"/>
      <c r="AQY34" s="143"/>
      <c r="AQZ34" s="143"/>
      <c r="ARA34" s="143"/>
      <c r="ARB34" s="143"/>
      <c r="ARC34" s="143"/>
      <c r="ARD34" s="143"/>
      <c r="ARE34" s="143"/>
      <c r="ARF34" s="143"/>
      <c r="ARG34" s="143"/>
      <c r="ARH34" s="143"/>
      <c r="ARI34" s="143"/>
      <c r="ARJ34" s="143"/>
      <c r="ARK34" s="143"/>
      <c r="ARL34" s="143"/>
      <c r="ARM34" s="143"/>
      <c r="ARN34" s="143"/>
      <c r="ARO34" s="143"/>
      <c r="ARP34" s="143"/>
      <c r="ARQ34" s="143"/>
      <c r="ARR34" s="143"/>
      <c r="ARS34" s="143"/>
      <c r="ART34" s="143"/>
      <c r="ARU34" s="143"/>
      <c r="ARV34" s="143"/>
      <c r="ARW34" s="143"/>
      <c r="ARX34" s="143"/>
      <c r="ARY34" s="143"/>
      <c r="ARZ34" s="143"/>
      <c r="ASA34" s="143"/>
      <c r="ASB34" s="143"/>
      <c r="ASC34" s="143"/>
      <c r="ASD34" s="143"/>
      <c r="ASE34" s="143"/>
      <c r="ASF34" s="143"/>
      <c r="ASG34" s="143"/>
      <c r="ASH34" s="143"/>
      <c r="ASI34" s="143"/>
      <c r="ASJ34" s="143"/>
      <c r="ASK34" s="143"/>
      <c r="ASL34" s="143"/>
      <c r="ASM34" s="143"/>
      <c r="ASN34" s="143"/>
      <c r="ASO34" s="143"/>
      <c r="ASP34" s="143"/>
      <c r="ASQ34" s="143"/>
      <c r="ASR34" s="143"/>
      <c r="ASS34" s="143"/>
      <c r="AST34" s="143"/>
      <c r="ASU34" s="143"/>
      <c r="ASV34" s="143"/>
      <c r="ASW34" s="143"/>
      <c r="ASX34" s="143"/>
      <c r="ASY34" s="143"/>
      <c r="ASZ34" s="143"/>
      <c r="ATA34" s="143"/>
      <c r="ATB34" s="143"/>
      <c r="ATC34" s="143"/>
      <c r="ATD34" s="143"/>
      <c r="ATE34" s="143"/>
      <c r="ATF34" s="143"/>
      <c r="ATG34" s="143"/>
      <c r="ATH34" s="143"/>
      <c r="ATI34" s="143"/>
      <c r="ATJ34" s="143"/>
      <c r="ATK34" s="143"/>
      <c r="ATL34" s="143"/>
      <c r="ATM34" s="143"/>
      <c r="ATN34" s="143"/>
      <c r="ATO34" s="143"/>
      <c r="ATP34" s="143"/>
      <c r="ATQ34" s="143"/>
      <c r="ATR34" s="143"/>
      <c r="ATS34" s="143"/>
      <c r="ATT34" s="143"/>
      <c r="ATU34" s="143"/>
      <c r="ATV34" s="143"/>
      <c r="ATW34" s="143"/>
      <c r="ATX34" s="143"/>
      <c r="ATY34" s="143"/>
      <c r="ATZ34" s="143"/>
      <c r="AUA34" s="143"/>
      <c r="AUB34" s="143"/>
      <c r="AUC34" s="143"/>
      <c r="AUD34" s="143"/>
      <c r="AUE34" s="143"/>
      <c r="AUF34" s="143"/>
      <c r="AUG34" s="143"/>
      <c r="AUH34" s="143"/>
      <c r="AUI34" s="143"/>
      <c r="AUJ34" s="143"/>
      <c r="AUK34" s="143"/>
      <c r="AUL34" s="143"/>
      <c r="AUM34" s="143"/>
      <c r="AUN34" s="143"/>
      <c r="AUO34" s="143"/>
      <c r="AUP34" s="143"/>
      <c r="AUQ34" s="143"/>
      <c r="AUR34" s="143"/>
      <c r="AUS34" s="143"/>
      <c r="AUT34" s="143"/>
      <c r="AUU34" s="143"/>
      <c r="AUV34" s="143"/>
      <c r="AUW34" s="143"/>
      <c r="AUX34" s="143"/>
      <c r="AUY34" s="143"/>
      <c r="AUZ34" s="143"/>
      <c r="AVA34" s="143"/>
      <c r="AVB34" s="143"/>
      <c r="AVC34" s="143"/>
      <c r="AVD34" s="143"/>
      <c r="AVE34" s="143"/>
      <c r="AVF34" s="143"/>
      <c r="AVG34" s="143"/>
      <c r="AVH34" s="143"/>
      <c r="AVI34" s="143"/>
      <c r="AVJ34" s="143"/>
      <c r="AVK34" s="143"/>
      <c r="AVL34" s="143"/>
      <c r="AVM34" s="143"/>
      <c r="AVN34" s="143"/>
      <c r="AVO34" s="143"/>
      <c r="AVP34" s="143"/>
      <c r="AVQ34" s="143"/>
      <c r="AVR34" s="143"/>
      <c r="AVS34" s="143"/>
      <c r="AVT34" s="143"/>
      <c r="AVU34" s="143"/>
      <c r="AVV34" s="143"/>
      <c r="AVW34" s="143"/>
      <c r="AVX34" s="143"/>
      <c r="AVY34" s="143"/>
      <c r="AVZ34" s="143"/>
      <c r="AWA34" s="143"/>
      <c r="AWB34" s="143"/>
      <c r="AWC34" s="143"/>
      <c r="AWD34" s="143"/>
      <c r="AWE34" s="143"/>
      <c r="AWF34" s="143"/>
      <c r="AWG34" s="143"/>
      <c r="AWH34" s="143"/>
      <c r="AWI34" s="143"/>
      <c r="AWJ34" s="143"/>
      <c r="AWK34" s="143"/>
      <c r="AWL34" s="143"/>
      <c r="AWM34" s="143"/>
      <c r="AWN34" s="143"/>
      <c r="AWO34" s="143"/>
      <c r="AWP34" s="143"/>
      <c r="AWQ34" s="143"/>
      <c r="AWR34" s="143"/>
      <c r="AWS34" s="143"/>
      <c r="AWT34" s="143"/>
      <c r="AWU34" s="143"/>
      <c r="AWV34" s="143"/>
      <c r="AWW34" s="143"/>
      <c r="AWX34" s="143"/>
      <c r="AWY34" s="143"/>
      <c r="AWZ34" s="143"/>
      <c r="AXA34" s="143"/>
      <c r="AXB34" s="143"/>
      <c r="AXC34" s="143"/>
      <c r="AXD34" s="143"/>
      <c r="AXE34" s="143"/>
      <c r="AXF34" s="143"/>
      <c r="AXG34" s="143"/>
      <c r="AXH34" s="143"/>
      <c r="AXI34" s="143"/>
      <c r="AXJ34" s="143"/>
      <c r="AXK34" s="143"/>
      <c r="AXL34" s="143"/>
      <c r="AXM34" s="143"/>
      <c r="AXN34" s="143"/>
      <c r="AXO34" s="143"/>
      <c r="AXP34" s="143"/>
      <c r="AXQ34" s="143"/>
      <c r="AXR34" s="143"/>
      <c r="AXS34" s="143"/>
      <c r="AXT34" s="143"/>
      <c r="AXU34" s="143"/>
      <c r="AXV34" s="143"/>
      <c r="AXW34" s="143"/>
      <c r="AXX34" s="143"/>
      <c r="AXY34" s="143"/>
      <c r="AXZ34" s="143"/>
      <c r="AYA34" s="143"/>
      <c r="AYB34" s="143"/>
      <c r="AYC34" s="143"/>
      <c r="AYD34" s="143"/>
      <c r="AYE34" s="143"/>
      <c r="AYF34" s="143"/>
      <c r="AYG34" s="143"/>
      <c r="AYH34" s="143"/>
      <c r="AYI34" s="143"/>
      <c r="AYJ34" s="143"/>
      <c r="AYK34" s="143"/>
      <c r="AYL34" s="143"/>
      <c r="AYM34" s="143"/>
      <c r="AYN34" s="143"/>
      <c r="AYO34" s="143"/>
      <c r="AYP34" s="143"/>
      <c r="AYQ34" s="143"/>
      <c r="AYR34" s="143"/>
      <c r="AYS34" s="143"/>
      <c r="AYT34" s="143"/>
      <c r="AYU34" s="143"/>
      <c r="AYV34" s="143"/>
      <c r="AYW34" s="143"/>
      <c r="AYX34" s="143"/>
      <c r="AYY34" s="143"/>
      <c r="AYZ34" s="143"/>
      <c r="AZA34" s="143"/>
      <c r="AZB34" s="143"/>
      <c r="AZC34" s="143"/>
      <c r="AZD34" s="143"/>
      <c r="AZE34" s="143"/>
      <c r="AZF34" s="143"/>
      <c r="AZG34" s="143"/>
      <c r="AZH34" s="143"/>
      <c r="AZI34" s="143"/>
      <c r="AZJ34" s="143"/>
      <c r="AZK34" s="143"/>
      <c r="AZL34" s="143"/>
      <c r="AZM34" s="143"/>
      <c r="AZN34" s="143"/>
      <c r="AZO34" s="143"/>
      <c r="AZP34" s="143"/>
      <c r="AZQ34" s="143"/>
      <c r="AZR34" s="143"/>
      <c r="AZS34" s="143"/>
      <c r="AZT34" s="143"/>
      <c r="AZU34" s="143"/>
      <c r="AZV34" s="143"/>
      <c r="AZW34" s="143"/>
      <c r="AZX34" s="143"/>
      <c r="AZY34" s="143"/>
      <c r="AZZ34" s="143"/>
      <c r="BAA34" s="143"/>
      <c r="BAB34" s="143"/>
      <c r="BAC34" s="143"/>
      <c r="BAD34" s="143"/>
      <c r="BAE34" s="143"/>
      <c r="BAF34" s="143"/>
      <c r="BAG34" s="143"/>
      <c r="BAH34" s="143"/>
      <c r="BAI34" s="143"/>
      <c r="BAJ34" s="143"/>
      <c r="BAK34" s="143"/>
      <c r="BAL34" s="143"/>
      <c r="BAM34" s="143"/>
      <c r="BAN34" s="143"/>
      <c r="BAO34" s="143"/>
      <c r="BAP34" s="143"/>
      <c r="BAQ34" s="143"/>
      <c r="BAR34" s="143"/>
      <c r="BAS34" s="143"/>
      <c r="BAT34" s="143"/>
      <c r="BAU34" s="143"/>
      <c r="BAV34" s="143"/>
      <c r="BAW34" s="143"/>
      <c r="BAX34" s="143"/>
      <c r="BAY34" s="143"/>
      <c r="BAZ34" s="143"/>
      <c r="BBA34" s="143"/>
      <c r="BBB34" s="143"/>
      <c r="BBC34" s="143"/>
      <c r="BBD34" s="143"/>
      <c r="BBE34" s="143"/>
      <c r="BBF34" s="143"/>
      <c r="BBG34" s="143"/>
      <c r="BBH34" s="143"/>
      <c r="BBI34" s="143"/>
      <c r="BBJ34" s="143"/>
      <c r="BBK34" s="143"/>
      <c r="BBL34" s="143"/>
      <c r="BBM34" s="143"/>
      <c r="BBN34" s="143"/>
      <c r="BBO34" s="143"/>
      <c r="BBP34" s="143"/>
      <c r="BBQ34" s="143"/>
      <c r="BBR34" s="143"/>
      <c r="BBS34" s="143"/>
      <c r="BBT34" s="143"/>
      <c r="BBU34" s="143"/>
      <c r="BBV34" s="143"/>
      <c r="BBW34" s="143"/>
      <c r="BBX34" s="143"/>
      <c r="BBY34" s="143"/>
      <c r="BBZ34" s="143"/>
      <c r="BCA34" s="143"/>
      <c r="BCB34" s="143"/>
      <c r="BCC34" s="143"/>
      <c r="BCD34" s="143"/>
      <c r="BCE34" s="143"/>
      <c r="BCF34" s="143"/>
      <c r="BCG34" s="143"/>
      <c r="BCH34" s="143"/>
      <c r="BCI34" s="143"/>
      <c r="BCJ34" s="143"/>
      <c r="BCK34" s="143"/>
      <c r="BCL34" s="143"/>
      <c r="BCM34" s="143"/>
      <c r="BCN34" s="143"/>
      <c r="BCO34" s="143"/>
      <c r="BCP34" s="143"/>
      <c r="BCQ34" s="143"/>
      <c r="BCR34" s="143"/>
      <c r="BCS34" s="143"/>
      <c r="BCT34" s="143"/>
      <c r="BCU34" s="143"/>
      <c r="BCV34" s="143"/>
      <c r="BCW34" s="143"/>
      <c r="BCX34" s="143"/>
      <c r="BCY34" s="143"/>
      <c r="BCZ34" s="143"/>
      <c r="BDA34" s="143"/>
      <c r="BDB34" s="143"/>
      <c r="BDC34" s="143"/>
      <c r="BDD34" s="143"/>
      <c r="BDE34" s="143"/>
      <c r="BDF34" s="143"/>
      <c r="BDG34" s="143"/>
      <c r="BDH34" s="143"/>
      <c r="BDI34" s="143"/>
      <c r="BDJ34" s="143"/>
      <c r="BDK34" s="143"/>
      <c r="BDL34" s="143"/>
      <c r="BDM34" s="143"/>
      <c r="BDN34" s="143"/>
      <c r="BDO34" s="143"/>
      <c r="BDP34" s="143"/>
      <c r="BDQ34" s="143"/>
      <c r="BDR34" s="143"/>
      <c r="BDS34" s="143"/>
      <c r="BDT34" s="143"/>
      <c r="BDU34" s="143"/>
      <c r="BDV34" s="143"/>
      <c r="BDW34" s="143"/>
      <c r="BDX34" s="143"/>
      <c r="BDY34" s="143"/>
      <c r="BDZ34" s="143"/>
      <c r="BEA34" s="143"/>
      <c r="BEB34" s="143"/>
      <c r="BEC34" s="143"/>
      <c r="BED34" s="143"/>
      <c r="BEE34" s="143"/>
      <c r="BEF34" s="143"/>
      <c r="BEG34" s="143"/>
      <c r="BEH34" s="143"/>
      <c r="BEI34" s="143"/>
      <c r="BEJ34" s="143"/>
      <c r="BEK34" s="143"/>
      <c r="BEL34" s="143"/>
      <c r="BEM34" s="143"/>
      <c r="BEN34" s="143"/>
      <c r="BEO34" s="143"/>
      <c r="BEP34" s="143"/>
      <c r="BEQ34" s="143"/>
      <c r="BER34" s="143"/>
      <c r="BES34" s="143"/>
      <c r="BET34" s="143"/>
      <c r="BEU34" s="143"/>
      <c r="BEV34" s="143"/>
      <c r="BEW34" s="143"/>
      <c r="BEX34" s="143"/>
      <c r="BEY34" s="143"/>
      <c r="BEZ34" s="143"/>
      <c r="BFA34" s="143"/>
      <c r="BFB34" s="143"/>
      <c r="BFC34" s="143"/>
      <c r="BFD34" s="143"/>
      <c r="BFE34" s="143"/>
      <c r="BFF34" s="143"/>
      <c r="BFG34" s="143"/>
      <c r="BFH34" s="143"/>
      <c r="BFI34" s="143"/>
      <c r="BFJ34" s="143"/>
      <c r="BFK34" s="143"/>
      <c r="BFL34" s="143"/>
      <c r="BFM34" s="143"/>
      <c r="BFN34" s="143"/>
      <c r="BFO34" s="143"/>
      <c r="BFP34" s="143"/>
      <c r="BFQ34" s="143"/>
      <c r="BFR34" s="143"/>
      <c r="BFS34" s="143"/>
      <c r="BFT34" s="143"/>
      <c r="BFU34" s="143"/>
      <c r="BFV34" s="143"/>
      <c r="BFW34" s="143"/>
      <c r="BFX34" s="143"/>
      <c r="BFY34" s="143"/>
      <c r="BFZ34" s="143"/>
      <c r="BGA34" s="143"/>
      <c r="BGB34" s="143"/>
      <c r="BGC34" s="143"/>
      <c r="BGD34" s="143"/>
      <c r="BGE34" s="143"/>
      <c r="BGF34" s="143"/>
      <c r="BGG34" s="143"/>
      <c r="BGH34" s="143"/>
      <c r="BGI34" s="143"/>
      <c r="BGJ34" s="143"/>
      <c r="BGK34" s="143"/>
      <c r="BGL34" s="143"/>
      <c r="BGM34" s="143"/>
      <c r="BGN34" s="143"/>
      <c r="BGO34" s="143"/>
      <c r="BGP34" s="143"/>
      <c r="BGQ34" s="143"/>
      <c r="BGR34" s="143"/>
      <c r="BGS34" s="143"/>
      <c r="BGT34" s="143"/>
      <c r="BGU34" s="143"/>
      <c r="BGV34" s="143"/>
      <c r="BGW34" s="143"/>
      <c r="BGX34" s="143"/>
      <c r="BGY34" s="143"/>
      <c r="BGZ34" s="143"/>
      <c r="BHA34" s="143"/>
      <c r="BHB34" s="143"/>
      <c r="BHC34" s="143"/>
      <c r="BHD34" s="143"/>
      <c r="BHE34" s="143"/>
      <c r="BHF34" s="143"/>
      <c r="BHG34" s="143"/>
      <c r="BHH34" s="143"/>
      <c r="BHI34" s="143"/>
      <c r="BHJ34" s="143"/>
      <c r="BHK34" s="143"/>
      <c r="BHL34" s="143"/>
      <c r="BHM34" s="143"/>
      <c r="BHN34" s="143"/>
      <c r="BHO34" s="143"/>
      <c r="BHP34" s="143"/>
      <c r="BHQ34" s="143"/>
      <c r="BHR34" s="143"/>
      <c r="BHS34" s="143"/>
      <c r="BHT34" s="143"/>
      <c r="BHU34" s="143"/>
      <c r="BHV34" s="143"/>
      <c r="BHW34" s="143"/>
      <c r="BHX34" s="143"/>
      <c r="BHY34" s="143"/>
      <c r="BHZ34" s="143"/>
      <c r="BIA34" s="143"/>
      <c r="BIB34" s="143"/>
      <c r="BIC34" s="143"/>
      <c r="BID34" s="143"/>
      <c r="BIE34" s="143"/>
      <c r="BIF34" s="143"/>
      <c r="BIG34" s="143"/>
      <c r="BIH34" s="143"/>
      <c r="BII34" s="143"/>
      <c r="BIJ34" s="143"/>
      <c r="BIK34" s="143"/>
      <c r="BIL34" s="143"/>
      <c r="BIM34" s="143"/>
      <c r="BIN34" s="143"/>
      <c r="BIO34" s="143"/>
      <c r="BIP34" s="143"/>
      <c r="BIQ34" s="143"/>
      <c r="BIR34" s="143"/>
      <c r="BIS34" s="143"/>
      <c r="BIT34" s="143"/>
      <c r="BIU34" s="143"/>
      <c r="BIV34" s="143"/>
      <c r="BIW34" s="143"/>
      <c r="BIX34" s="143"/>
      <c r="BIY34" s="143"/>
      <c r="BIZ34" s="143"/>
      <c r="BJA34" s="143"/>
      <c r="BJB34" s="143"/>
      <c r="BJC34" s="143"/>
      <c r="BJD34" s="143"/>
      <c r="BJE34" s="143"/>
      <c r="BJF34" s="143"/>
      <c r="BJG34" s="143"/>
      <c r="BJH34" s="143"/>
      <c r="BJI34" s="143"/>
      <c r="BJJ34" s="143"/>
      <c r="BJK34" s="143"/>
      <c r="BJL34" s="143"/>
      <c r="BJM34" s="143"/>
      <c r="BJN34" s="143"/>
      <c r="BJO34" s="143"/>
      <c r="BJP34" s="143"/>
      <c r="BJQ34" s="143"/>
      <c r="BJR34" s="143"/>
      <c r="BJS34" s="143"/>
      <c r="BJT34" s="143"/>
      <c r="BJU34" s="143"/>
      <c r="BJV34" s="143"/>
      <c r="BJW34" s="143"/>
      <c r="BJX34" s="143"/>
      <c r="BJY34" s="143"/>
      <c r="BJZ34" s="143"/>
      <c r="BKA34" s="143"/>
      <c r="BKB34" s="143"/>
      <c r="BKC34" s="143"/>
      <c r="BKD34" s="143"/>
      <c r="BKE34" s="143"/>
      <c r="BKF34" s="143"/>
      <c r="BKG34" s="143"/>
      <c r="BKH34" s="143"/>
      <c r="BKI34" s="143"/>
      <c r="BKJ34" s="143"/>
      <c r="BKK34" s="143"/>
      <c r="BKL34" s="143"/>
      <c r="BKM34" s="143"/>
      <c r="BKN34" s="143"/>
      <c r="BKO34" s="143"/>
      <c r="BKP34" s="143"/>
      <c r="BKQ34" s="143"/>
      <c r="BKR34" s="143"/>
      <c r="BKS34" s="143"/>
      <c r="BKT34" s="143"/>
      <c r="BKU34" s="143"/>
      <c r="BKV34" s="143"/>
      <c r="BKW34" s="143"/>
      <c r="BKX34" s="143"/>
      <c r="BKY34" s="143"/>
      <c r="BKZ34" s="143"/>
      <c r="BLA34" s="143"/>
      <c r="BLB34" s="143"/>
      <c r="BLC34" s="143"/>
      <c r="BLD34" s="143"/>
      <c r="BLE34" s="143"/>
      <c r="BLF34" s="143"/>
      <c r="BLG34" s="143"/>
      <c r="BLH34" s="143"/>
      <c r="BLI34" s="143"/>
      <c r="BLJ34" s="143"/>
      <c r="BLK34" s="143"/>
      <c r="BLL34" s="143"/>
      <c r="BLM34" s="143"/>
      <c r="BLN34" s="143"/>
      <c r="BLO34" s="143"/>
      <c r="BLP34" s="143"/>
      <c r="BLQ34" s="143"/>
      <c r="BLR34" s="143"/>
      <c r="BLS34" s="143"/>
      <c r="BLT34" s="143"/>
      <c r="BLU34" s="143"/>
      <c r="BLV34" s="143"/>
      <c r="BLW34" s="143"/>
      <c r="BLX34" s="143"/>
      <c r="BLY34" s="143"/>
      <c r="BLZ34" s="143"/>
      <c r="BMA34" s="143"/>
      <c r="BMB34" s="143"/>
      <c r="BMC34" s="143"/>
      <c r="BMD34" s="143"/>
      <c r="BME34" s="143"/>
      <c r="BMF34" s="143"/>
      <c r="BMG34" s="143"/>
      <c r="BMH34" s="143"/>
      <c r="BMI34" s="143"/>
      <c r="BMJ34" s="143"/>
      <c r="BMK34" s="143"/>
      <c r="BML34" s="143"/>
      <c r="BMM34" s="143"/>
      <c r="BMN34" s="143"/>
      <c r="BMO34" s="143"/>
      <c r="BMP34" s="143"/>
      <c r="BMQ34" s="143"/>
      <c r="BMR34" s="143"/>
      <c r="BMS34" s="143"/>
      <c r="BMT34" s="143"/>
      <c r="BMU34" s="143"/>
      <c r="BMV34" s="143"/>
      <c r="BMW34" s="143"/>
      <c r="BMX34" s="143"/>
      <c r="BMY34" s="143"/>
      <c r="BMZ34" s="143"/>
      <c r="BNA34" s="143"/>
      <c r="BNB34" s="143"/>
      <c r="BNC34" s="143"/>
      <c r="BND34" s="143"/>
      <c r="BNE34" s="143"/>
      <c r="BNF34" s="143"/>
      <c r="BNG34" s="143"/>
      <c r="BNH34" s="143"/>
      <c r="BNI34" s="143"/>
      <c r="BNJ34" s="143"/>
      <c r="BNK34" s="143"/>
      <c r="BNL34" s="143"/>
      <c r="BNM34" s="143"/>
      <c r="BNN34" s="143"/>
      <c r="BNO34" s="143"/>
      <c r="BNP34" s="143"/>
      <c r="BNQ34" s="143"/>
      <c r="BNR34" s="143"/>
      <c r="BNS34" s="143"/>
      <c r="BNT34" s="143"/>
      <c r="BNU34" s="143"/>
      <c r="BNV34" s="143"/>
      <c r="BNW34" s="143"/>
      <c r="BNX34" s="143"/>
      <c r="BNY34" s="143"/>
      <c r="BNZ34" s="143"/>
      <c r="BOA34" s="143"/>
      <c r="BOB34" s="143"/>
      <c r="BOC34" s="143"/>
      <c r="BOD34" s="143"/>
      <c r="BOE34" s="143"/>
      <c r="BOF34" s="143"/>
      <c r="BOG34" s="143"/>
      <c r="BOH34" s="143"/>
      <c r="BOI34" s="143"/>
      <c r="BOJ34" s="143"/>
      <c r="BOK34" s="143"/>
      <c r="BOL34" s="143"/>
      <c r="BOM34" s="143"/>
      <c r="BON34" s="143"/>
      <c r="BOO34" s="143"/>
      <c r="BOP34" s="143"/>
      <c r="BOQ34" s="143"/>
      <c r="BOR34" s="143"/>
      <c r="BOS34" s="143"/>
      <c r="BOT34" s="143"/>
      <c r="BOU34" s="143"/>
      <c r="BOV34" s="143"/>
      <c r="BOW34" s="143"/>
      <c r="BOX34" s="143"/>
      <c r="BOY34" s="143"/>
      <c r="BOZ34" s="143"/>
      <c r="BPA34" s="143"/>
      <c r="BPB34" s="143"/>
      <c r="BPC34" s="143"/>
      <c r="BPD34" s="143"/>
      <c r="BPE34" s="143"/>
      <c r="BPF34" s="143"/>
      <c r="BPG34" s="143"/>
      <c r="BPH34" s="143"/>
      <c r="BPI34" s="143"/>
      <c r="BPJ34" s="143"/>
      <c r="BPK34" s="143"/>
      <c r="BPL34" s="143"/>
      <c r="BPM34" s="143"/>
      <c r="BPN34" s="143"/>
      <c r="BPO34" s="143"/>
      <c r="BPP34" s="143"/>
      <c r="BPQ34" s="143"/>
      <c r="BPR34" s="143"/>
      <c r="BPS34" s="143"/>
      <c r="BPT34" s="143"/>
      <c r="BPU34" s="143"/>
      <c r="BPV34" s="143"/>
      <c r="BPW34" s="143"/>
      <c r="BPX34" s="143"/>
      <c r="BPY34" s="143"/>
      <c r="BPZ34" s="143"/>
      <c r="BQA34" s="143"/>
      <c r="BQB34" s="143"/>
      <c r="BQC34" s="143"/>
      <c r="BQD34" s="143"/>
      <c r="BQE34" s="143"/>
      <c r="BQF34" s="143"/>
      <c r="BQG34" s="143"/>
      <c r="BQH34" s="143"/>
      <c r="BQI34" s="143"/>
      <c r="BQJ34" s="143"/>
      <c r="BQK34" s="143"/>
      <c r="BQL34" s="143"/>
      <c r="BQM34" s="143"/>
      <c r="BQN34" s="143"/>
      <c r="BQO34" s="143"/>
      <c r="BQP34" s="143"/>
      <c r="BQQ34" s="143"/>
      <c r="BQR34" s="143"/>
      <c r="BQS34" s="143"/>
      <c r="BQT34" s="143"/>
      <c r="BQU34" s="143"/>
      <c r="BQV34" s="143"/>
      <c r="BQW34" s="143"/>
      <c r="BQX34" s="143"/>
      <c r="BQY34" s="143"/>
      <c r="BQZ34" s="143"/>
      <c r="BRA34" s="143"/>
      <c r="BRB34" s="143"/>
      <c r="BRC34" s="143"/>
      <c r="BRD34" s="143"/>
      <c r="BRE34" s="143"/>
      <c r="BRF34" s="143"/>
      <c r="BRG34" s="143"/>
      <c r="BRH34" s="143"/>
      <c r="BRI34" s="143"/>
      <c r="BRJ34" s="143"/>
      <c r="BRK34" s="143"/>
      <c r="BRL34" s="143"/>
      <c r="BRM34" s="143"/>
      <c r="BRN34" s="143"/>
      <c r="BRO34" s="143"/>
      <c r="BRP34" s="143"/>
      <c r="BRQ34" s="143"/>
      <c r="BRR34" s="143"/>
      <c r="BRS34" s="143"/>
      <c r="BRT34" s="143"/>
      <c r="BRU34" s="143"/>
      <c r="BRV34" s="143"/>
      <c r="BRW34" s="143"/>
      <c r="BRX34" s="143"/>
      <c r="BRY34" s="143"/>
      <c r="BRZ34" s="143"/>
      <c r="BSA34" s="143"/>
      <c r="BSB34" s="143"/>
      <c r="BSC34" s="143"/>
      <c r="BSD34" s="143"/>
      <c r="BSE34" s="143"/>
      <c r="BSF34" s="143"/>
      <c r="BSG34" s="143"/>
      <c r="BSH34" s="143"/>
      <c r="BSI34" s="143"/>
      <c r="BSJ34" s="143"/>
      <c r="BSK34" s="143"/>
      <c r="BSL34" s="143"/>
      <c r="BSM34" s="143"/>
      <c r="BSN34" s="143"/>
      <c r="BSO34" s="143"/>
      <c r="BSP34" s="143"/>
      <c r="BSQ34" s="143"/>
      <c r="BSR34" s="143"/>
      <c r="BSS34" s="143"/>
      <c r="BST34" s="143"/>
      <c r="BSU34" s="143"/>
      <c r="BSV34" s="143"/>
      <c r="BSW34" s="143"/>
      <c r="BSX34" s="143"/>
      <c r="BSY34" s="143"/>
      <c r="BSZ34" s="143"/>
      <c r="BTA34" s="143"/>
      <c r="BTB34" s="143"/>
      <c r="BTC34" s="143"/>
      <c r="BTD34" s="143"/>
      <c r="BTE34" s="143"/>
      <c r="BTF34" s="143"/>
      <c r="BTG34" s="143"/>
      <c r="BTH34" s="143"/>
      <c r="BTI34" s="143"/>
      <c r="BTJ34" s="143"/>
      <c r="BTK34" s="143"/>
      <c r="BTL34" s="143"/>
      <c r="BTM34" s="143"/>
      <c r="BTN34" s="143"/>
      <c r="BTO34" s="143"/>
      <c r="BTP34" s="143"/>
      <c r="BTQ34" s="143"/>
      <c r="BTR34" s="143"/>
      <c r="BTS34" s="143"/>
      <c r="BTT34" s="143"/>
      <c r="BTU34" s="143"/>
      <c r="BTV34" s="143"/>
      <c r="BTW34" s="143"/>
      <c r="BTX34" s="143"/>
      <c r="BTY34" s="143"/>
      <c r="BTZ34" s="143"/>
      <c r="BUA34" s="143"/>
      <c r="BUB34" s="143"/>
      <c r="BUC34" s="143"/>
      <c r="BUD34" s="143"/>
      <c r="BUE34" s="143"/>
      <c r="BUF34" s="143"/>
      <c r="BUG34" s="143"/>
      <c r="BUH34" s="143"/>
      <c r="BUI34" s="143"/>
      <c r="BUJ34" s="143"/>
      <c r="BUK34" s="143"/>
      <c r="BUL34" s="143"/>
      <c r="BUM34" s="143"/>
      <c r="BUN34" s="143"/>
      <c r="BUO34" s="143"/>
      <c r="BUP34" s="143"/>
      <c r="BUQ34" s="143"/>
      <c r="BUR34" s="143"/>
      <c r="BUS34" s="143"/>
      <c r="BUT34" s="143"/>
      <c r="BUU34" s="143"/>
      <c r="BUV34" s="143"/>
      <c r="BUW34" s="143"/>
      <c r="BUX34" s="143"/>
      <c r="BUY34" s="143"/>
      <c r="BUZ34" s="143"/>
      <c r="BVA34" s="143"/>
      <c r="BVB34" s="143"/>
      <c r="BVC34" s="143"/>
      <c r="BVD34" s="143"/>
      <c r="BVE34" s="143"/>
      <c r="BVF34" s="143"/>
      <c r="BVG34" s="143"/>
      <c r="BVH34" s="143"/>
      <c r="BVI34" s="143"/>
      <c r="BVJ34" s="143"/>
      <c r="BVK34" s="143"/>
      <c r="BVL34" s="143"/>
      <c r="BVM34" s="143"/>
      <c r="BVN34" s="143"/>
      <c r="BVO34" s="143"/>
      <c r="BVP34" s="143"/>
      <c r="BVQ34" s="143"/>
      <c r="BVR34" s="143"/>
      <c r="BVS34" s="143"/>
      <c r="BVT34" s="143"/>
      <c r="BVU34" s="143"/>
      <c r="BVV34" s="143"/>
      <c r="BVW34" s="143"/>
      <c r="BVX34" s="143"/>
      <c r="BVY34" s="143"/>
      <c r="BVZ34" s="143"/>
      <c r="BWA34" s="143"/>
      <c r="BWB34" s="143"/>
      <c r="BWC34" s="143"/>
      <c r="BWD34" s="143"/>
      <c r="BWE34" s="143"/>
      <c r="BWF34" s="143"/>
      <c r="BWG34" s="143"/>
      <c r="BWH34" s="143"/>
      <c r="BWI34" s="143"/>
      <c r="BWJ34" s="143"/>
      <c r="BWK34" s="143"/>
      <c r="BWL34" s="143"/>
      <c r="BWM34" s="143"/>
      <c r="BWN34" s="143"/>
      <c r="BWO34" s="143"/>
      <c r="BWP34" s="143"/>
      <c r="BWQ34" s="143"/>
      <c r="BWR34" s="143"/>
      <c r="BWS34" s="143"/>
      <c r="BWT34" s="143"/>
      <c r="BWU34" s="143"/>
      <c r="BWV34" s="143"/>
      <c r="BWW34" s="143"/>
      <c r="BWX34" s="143"/>
      <c r="BWY34" s="143"/>
      <c r="BWZ34" s="143"/>
      <c r="BXA34" s="143"/>
      <c r="BXB34" s="143"/>
      <c r="BXC34" s="143"/>
      <c r="BXD34" s="143"/>
      <c r="BXE34" s="143"/>
      <c r="BXF34" s="143"/>
      <c r="BXG34" s="143"/>
      <c r="BXH34" s="143"/>
      <c r="BXI34" s="143"/>
      <c r="BXJ34" s="143"/>
      <c r="BXK34" s="143"/>
      <c r="BXL34" s="143"/>
      <c r="BXM34" s="143"/>
      <c r="BXN34" s="143"/>
      <c r="BXO34" s="143"/>
      <c r="BXP34" s="143"/>
      <c r="BXQ34" s="143"/>
      <c r="BXR34" s="143"/>
      <c r="BXS34" s="143"/>
      <c r="BXT34" s="143"/>
      <c r="BXU34" s="143"/>
      <c r="BXV34" s="143"/>
      <c r="BXW34" s="143"/>
      <c r="BXX34" s="143"/>
      <c r="BXY34" s="143"/>
      <c r="BXZ34" s="143"/>
      <c r="BYA34" s="143"/>
      <c r="BYB34" s="143"/>
      <c r="BYC34" s="143"/>
      <c r="BYD34" s="143"/>
      <c r="BYE34" s="143"/>
      <c r="BYF34" s="143"/>
      <c r="BYG34" s="143"/>
      <c r="BYH34" s="143"/>
      <c r="BYI34" s="143"/>
      <c r="BYJ34" s="143"/>
      <c r="BYK34" s="143"/>
      <c r="BYL34" s="143"/>
      <c r="BYM34" s="143"/>
      <c r="BYN34" s="143"/>
      <c r="BYO34" s="143"/>
      <c r="BYP34" s="143"/>
      <c r="BYQ34" s="143"/>
      <c r="BYR34" s="143"/>
      <c r="BYS34" s="143"/>
      <c r="BYT34" s="143"/>
      <c r="BYU34" s="143"/>
      <c r="BYV34" s="143"/>
      <c r="BYW34" s="143"/>
      <c r="BYX34" s="143"/>
      <c r="BYY34" s="143"/>
      <c r="BYZ34" s="143"/>
      <c r="BZA34" s="143"/>
      <c r="BZB34" s="143"/>
      <c r="BZC34" s="143"/>
      <c r="BZD34" s="143"/>
      <c r="BZE34" s="143"/>
      <c r="BZF34" s="143"/>
      <c r="BZG34" s="143"/>
      <c r="BZH34" s="143"/>
      <c r="BZI34" s="143"/>
      <c r="BZJ34" s="143"/>
      <c r="BZK34" s="143"/>
      <c r="BZL34" s="143"/>
      <c r="BZM34" s="143"/>
      <c r="BZN34" s="143"/>
      <c r="BZO34" s="143"/>
      <c r="BZP34" s="143"/>
      <c r="BZQ34" s="143"/>
      <c r="BZR34" s="143"/>
      <c r="BZS34" s="143"/>
      <c r="BZT34" s="143"/>
      <c r="BZU34" s="143"/>
      <c r="BZV34" s="143"/>
      <c r="BZW34" s="143"/>
      <c r="BZX34" s="143"/>
      <c r="BZY34" s="143"/>
      <c r="BZZ34" s="143"/>
      <c r="CAA34" s="143"/>
      <c r="CAB34" s="143"/>
      <c r="CAC34" s="143"/>
      <c r="CAD34" s="143"/>
      <c r="CAE34" s="143"/>
      <c r="CAF34" s="143"/>
      <c r="CAG34" s="143"/>
      <c r="CAH34" s="143"/>
      <c r="CAI34" s="143"/>
      <c r="CAJ34" s="143"/>
      <c r="CAK34" s="143"/>
      <c r="CAL34" s="143"/>
      <c r="CAM34" s="143"/>
      <c r="CAN34" s="143"/>
      <c r="CAO34" s="143"/>
      <c r="CAP34" s="143"/>
      <c r="CAQ34" s="143"/>
      <c r="CAR34" s="143"/>
      <c r="CAS34" s="143"/>
      <c r="CAT34" s="143"/>
      <c r="CAU34" s="143"/>
      <c r="CAV34" s="143"/>
      <c r="CAW34" s="143"/>
      <c r="CAX34" s="143"/>
      <c r="CAY34" s="143"/>
      <c r="CAZ34" s="143"/>
      <c r="CBA34" s="143"/>
      <c r="CBB34" s="143"/>
      <c r="CBC34" s="143"/>
      <c r="CBD34" s="143"/>
      <c r="CBE34" s="143"/>
      <c r="CBF34" s="143"/>
      <c r="CBG34" s="143"/>
      <c r="CBH34" s="143"/>
      <c r="CBI34" s="143"/>
      <c r="CBJ34" s="143"/>
      <c r="CBK34" s="143"/>
      <c r="CBL34" s="143"/>
      <c r="CBM34" s="143"/>
      <c r="CBN34" s="143"/>
      <c r="CBO34" s="143"/>
      <c r="CBP34" s="143"/>
      <c r="CBQ34" s="143"/>
      <c r="CBR34" s="143"/>
      <c r="CBS34" s="143"/>
      <c r="CBT34" s="143"/>
      <c r="CBU34" s="143"/>
      <c r="CBV34" s="143"/>
      <c r="CBW34" s="143"/>
      <c r="CBX34" s="143"/>
      <c r="CBY34" s="143"/>
      <c r="CBZ34" s="143"/>
      <c r="CCA34" s="143"/>
      <c r="CCB34" s="143"/>
      <c r="CCC34" s="143"/>
      <c r="CCD34" s="143"/>
      <c r="CCE34" s="143"/>
      <c r="CCF34" s="143"/>
      <c r="CCG34" s="143"/>
      <c r="CCH34" s="143"/>
      <c r="CCI34" s="143"/>
      <c r="CCJ34" s="143"/>
      <c r="CCK34" s="143"/>
      <c r="CCL34" s="143"/>
      <c r="CCM34" s="143"/>
      <c r="CCN34" s="143"/>
      <c r="CCO34" s="143"/>
      <c r="CCP34" s="143"/>
      <c r="CCQ34" s="143"/>
      <c r="CCR34" s="143"/>
      <c r="CCS34" s="143"/>
      <c r="CCT34" s="143"/>
      <c r="CCU34" s="143"/>
      <c r="CCV34" s="143"/>
      <c r="CCW34" s="143"/>
      <c r="CCX34" s="143"/>
      <c r="CCY34" s="143"/>
      <c r="CCZ34" s="143"/>
      <c r="CDA34" s="143"/>
      <c r="CDB34" s="143"/>
      <c r="CDC34" s="143"/>
      <c r="CDD34" s="143"/>
      <c r="CDE34" s="143"/>
      <c r="CDF34" s="143"/>
      <c r="CDG34" s="143"/>
      <c r="CDH34" s="143"/>
      <c r="CDI34" s="143"/>
      <c r="CDJ34" s="143"/>
      <c r="CDK34" s="143"/>
      <c r="CDL34" s="143"/>
      <c r="CDM34" s="143"/>
      <c r="CDN34" s="143"/>
      <c r="CDO34" s="143"/>
      <c r="CDP34" s="143"/>
      <c r="CDQ34" s="143"/>
      <c r="CDR34" s="143"/>
      <c r="CDS34" s="143"/>
      <c r="CDT34" s="143"/>
      <c r="CDU34" s="143"/>
      <c r="CDV34" s="143"/>
      <c r="CDW34" s="143"/>
      <c r="CDX34" s="143"/>
      <c r="CDY34" s="143"/>
      <c r="CDZ34" s="143"/>
      <c r="CEA34" s="143"/>
      <c r="CEB34" s="143"/>
      <c r="CEC34" s="143"/>
      <c r="CED34" s="143"/>
      <c r="CEE34" s="143"/>
      <c r="CEF34" s="143"/>
      <c r="CEG34" s="143"/>
      <c r="CEH34" s="143"/>
      <c r="CEI34" s="143"/>
      <c r="CEJ34" s="143"/>
      <c r="CEK34" s="143"/>
      <c r="CEL34" s="143"/>
      <c r="CEM34" s="143"/>
      <c r="CEN34" s="143"/>
      <c r="CEO34" s="143"/>
      <c r="CEP34" s="143"/>
      <c r="CEQ34" s="143"/>
      <c r="CER34" s="143"/>
      <c r="CES34" s="143"/>
      <c r="CET34" s="143"/>
      <c r="CEU34" s="143"/>
      <c r="CEV34" s="143"/>
      <c r="CEW34" s="143"/>
      <c r="CEX34" s="143"/>
      <c r="CEY34" s="143"/>
      <c r="CEZ34" s="143"/>
      <c r="CFA34" s="143"/>
      <c r="CFB34" s="143"/>
      <c r="CFC34" s="143"/>
      <c r="CFD34" s="143"/>
      <c r="CFE34" s="143"/>
      <c r="CFF34" s="143"/>
      <c r="CFG34" s="143"/>
      <c r="CFH34" s="143"/>
      <c r="CFI34" s="143"/>
      <c r="CFJ34" s="143"/>
      <c r="CFK34" s="143"/>
      <c r="CFL34" s="143"/>
      <c r="CFM34" s="143"/>
      <c r="CFN34" s="143"/>
      <c r="CFO34" s="143"/>
      <c r="CFP34" s="143"/>
      <c r="CFQ34" s="143"/>
      <c r="CFR34" s="143"/>
      <c r="CFS34" s="143"/>
      <c r="CFT34" s="143"/>
      <c r="CFU34" s="143"/>
      <c r="CFV34" s="143"/>
      <c r="CFW34" s="143"/>
      <c r="CFX34" s="143"/>
      <c r="CFY34" s="143"/>
      <c r="CFZ34" s="143"/>
      <c r="CGA34" s="143"/>
      <c r="CGB34" s="143"/>
      <c r="CGC34" s="143"/>
      <c r="CGD34" s="143"/>
      <c r="CGE34" s="143"/>
      <c r="CGF34" s="143"/>
      <c r="CGG34" s="143"/>
      <c r="CGH34" s="143"/>
      <c r="CGI34" s="143"/>
      <c r="CGJ34" s="143"/>
      <c r="CGK34" s="143"/>
      <c r="CGL34" s="143"/>
      <c r="CGM34" s="143"/>
      <c r="CGN34" s="143"/>
      <c r="CGO34" s="143"/>
      <c r="CGP34" s="143"/>
      <c r="CGQ34" s="143"/>
      <c r="CGR34" s="143"/>
      <c r="CGS34" s="143"/>
      <c r="CGT34" s="143"/>
      <c r="CGU34" s="143"/>
      <c r="CGV34" s="143"/>
      <c r="CGW34" s="143"/>
      <c r="CGX34" s="143"/>
      <c r="CGY34" s="143"/>
      <c r="CGZ34" s="143"/>
      <c r="CHA34" s="143"/>
      <c r="CHB34" s="143"/>
      <c r="CHC34" s="143"/>
      <c r="CHD34" s="143"/>
      <c r="CHE34" s="143"/>
      <c r="CHF34" s="143"/>
      <c r="CHG34" s="143"/>
      <c r="CHH34" s="143"/>
      <c r="CHI34" s="143"/>
      <c r="CHJ34" s="143"/>
      <c r="CHK34" s="143"/>
      <c r="CHL34" s="143"/>
      <c r="CHM34" s="143"/>
      <c r="CHN34" s="143"/>
      <c r="CHO34" s="143"/>
      <c r="CHP34" s="143"/>
      <c r="CHQ34" s="143"/>
      <c r="CHR34" s="143"/>
      <c r="CHS34" s="143"/>
      <c r="CHT34" s="143"/>
      <c r="CHU34" s="143"/>
      <c r="CHV34" s="143"/>
      <c r="CHW34" s="143"/>
      <c r="CHX34" s="143"/>
      <c r="CHY34" s="143"/>
      <c r="CHZ34" s="143"/>
      <c r="CIA34" s="143"/>
      <c r="CIB34" s="143"/>
      <c r="CIC34" s="143"/>
      <c r="CID34" s="143"/>
      <c r="CIE34" s="143"/>
      <c r="CIF34" s="143"/>
      <c r="CIG34" s="143"/>
      <c r="CIH34" s="143"/>
      <c r="CII34" s="143"/>
      <c r="CIJ34" s="143"/>
      <c r="CIK34" s="143"/>
      <c r="CIL34" s="143"/>
      <c r="CIM34" s="143"/>
      <c r="CIN34" s="143"/>
      <c r="CIO34" s="143"/>
      <c r="CIP34" s="143"/>
      <c r="CIQ34" s="143"/>
      <c r="CIR34" s="143"/>
      <c r="CIS34" s="143"/>
      <c r="CIT34" s="143"/>
      <c r="CIU34" s="143"/>
      <c r="CIV34" s="143"/>
      <c r="CIW34" s="143"/>
      <c r="CIX34" s="143"/>
      <c r="CIY34" s="143"/>
      <c r="CIZ34" s="143"/>
      <c r="CJA34" s="143"/>
      <c r="CJB34" s="143"/>
      <c r="CJC34" s="143"/>
      <c r="CJD34" s="143"/>
      <c r="CJE34" s="143"/>
      <c r="CJF34" s="143"/>
      <c r="CJG34" s="143"/>
      <c r="CJH34" s="143"/>
      <c r="CJI34" s="143"/>
      <c r="CJJ34" s="143"/>
      <c r="CJK34" s="143"/>
      <c r="CJL34" s="143"/>
      <c r="CJM34" s="143"/>
      <c r="CJN34" s="143"/>
      <c r="CJO34" s="143"/>
      <c r="CJP34" s="143"/>
      <c r="CJQ34" s="143"/>
      <c r="CJR34" s="143"/>
      <c r="CJS34" s="143"/>
      <c r="CJT34" s="143"/>
      <c r="CJU34" s="143"/>
      <c r="CJV34" s="143"/>
      <c r="CJW34" s="143"/>
      <c r="CJX34" s="143"/>
      <c r="CJY34" s="143"/>
      <c r="CJZ34" s="143"/>
      <c r="CKA34" s="143"/>
      <c r="CKB34" s="143"/>
      <c r="CKC34" s="143"/>
      <c r="CKD34" s="143"/>
      <c r="CKE34" s="143"/>
      <c r="CKF34" s="143"/>
      <c r="CKG34" s="143"/>
      <c r="CKH34" s="143"/>
      <c r="CKI34" s="143"/>
      <c r="CKJ34" s="143"/>
      <c r="CKK34" s="143"/>
      <c r="CKL34" s="143"/>
      <c r="CKM34" s="143"/>
      <c r="CKN34" s="143"/>
      <c r="CKO34" s="143"/>
      <c r="CKP34" s="143"/>
      <c r="CKQ34" s="143"/>
      <c r="CKR34" s="143"/>
      <c r="CKS34" s="143"/>
      <c r="CKT34" s="143"/>
      <c r="CKU34" s="143"/>
      <c r="CKV34" s="143"/>
      <c r="CKW34" s="143"/>
      <c r="CKX34" s="143"/>
      <c r="CKY34" s="143"/>
      <c r="CKZ34" s="143"/>
      <c r="CLA34" s="143"/>
      <c r="CLB34" s="143"/>
      <c r="CLC34" s="143"/>
      <c r="CLD34" s="143"/>
      <c r="CLE34" s="143"/>
      <c r="CLF34" s="143"/>
      <c r="CLG34" s="143"/>
      <c r="CLH34" s="143"/>
      <c r="CLI34" s="143"/>
      <c r="CLJ34" s="143"/>
      <c r="CLK34" s="143"/>
      <c r="CLL34" s="143"/>
      <c r="CLM34" s="143"/>
      <c r="CLN34" s="143"/>
      <c r="CLO34" s="143"/>
      <c r="CLP34" s="143"/>
      <c r="CLQ34" s="143"/>
      <c r="CLR34" s="143"/>
      <c r="CLS34" s="143"/>
      <c r="CLT34" s="143"/>
      <c r="CLU34" s="143"/>
      <c r="CLV34" s="143"/>
      <c r="CLW34" s="143"/>
      <c r="CLX34" s="143"/>
      <c r="CLY34" s="143"/>
      <c r="CLZ34" s="143"/>
      <c r="CMA34" s="143"/>
      <c r="CMB34" s="143"/>
      <c r="CMC34" s="143"/>
      <c r="CMD34" s="143"/>
      <c r="CME34" s="143"/>
      <c r="CMF34" s="143"/>
      <c r="CMG34" s="143"/>
      <c r="CMH34" s="143"/>
      <c r="CMI34" s="143"/>
      <c r="CMJ34" s="143"/>
      <c r="CMK34" s="143"/>
      <c r="CML34" s="143"/>
      <c r="CMM34" s="143"/>
      <c r="CMN34" s="143"/>
      <c r="CMO34" s="143"/>
      <c r="CMP34" s="143"/>
      <c r="CMQ34" s="143"/>
      <c r="CMR34" s="143"/>
      <c r="CMS34" s="143"/>
      <c r="CMT34" s="143"/>
      <c r="CMU34" s="143"/>
      <c r="CMV34" s="143"/>
      <c r="CMW34" s="143"/>
      <c r="CMX34" s="143"/>
      <c r="CMY34" s="143"/>
      <c r="CMZ34" s="143"/>
      <c r="CNA34" s="143"/>
      <c r="CNB34" s="143"/>
      <c r="CNC34" s="143"/>
      <c r="CND34" s="143"/>
      <c r="CNE34" s="143"/>
      <c r="CNF34" s="143"/>
      <c r="CNG34" s="143"/>
      <c r="CNH34" s="143"/>
      <c r="CNI34" s="143"/>
      <c r="CNJ34" s="143"/>
      <c r="CNK34" s="143"/>
      <c r="CNL34" s="143"/>
      <c r="CNM34" s="143"/>
      <c r="CNN34" s="143"/>
      <c r="CNO34" s="143"/>
      <c r="CNP34" s="143"/>
      <c r="CNQ34" s="143"/>
      <c r="CNR34" s="143"/>
      <c r="CNS34" s="143"/>
      <c r="CNT34" s="143"/>
      <c r="CNU34" s="143"/>
      <c r="CNV34" s="143"/>
      <c r="CNW34" s="143"/>
      <c r="CNX34" s="143"/>
      <c r="CNY34" s="143"/>
      <c r="CNZ34" s="143"/>
      <c r="COA34" s="143"/>
      <c r="COB34" s="143"/>
      <c r="COC34" s="143"/>
      <c r="COD34" s="143"/>
      <c r="COE34" s="143"/>
      <c r="COF34" s="143"/>
      <c r="COG34" s="143"/>
      <c r="COH34" s="143"/>
      <c r="COI34" s="143"/>
      <c r="COJ34" s="143"/>
      <c r="COK34" s="143"/>
      <c r="COL34" s="143"/>
      <c r="COM34" s="143"/>
      <c r="CON34" s="143"/>
      <c r="COO34" s="143"/>
      <c r="COP34" s="143"/>
      <c r="COQ34" s="143"/>
      <c r="COR34" s="143"/>
      <c r="COS34" s="143"/>
      <c r="COT34" s="143"/>
      <c r="COU34" s="143"/>
      <c r="COV34" s="143"/>
      <c r="COW34" s="143"/>
      <c r="COX34" s="143"/>
      <c r="COY34" s="143"/>
      <c r="COZ34" s="143"/>
      <c r="CPA34" s="143"/>
      <c r="CPB34" s="143"/>
      <c r="CPC34" s="143"/>
      <c r="CPD34" s="143"/>
      <c r="CPE34" s="143"/>
      <c r="CPF34" s="143"/>
      <c r="CPG34" s="143"/>
      <c r="CPH34" s="143"/>
      <c r="CPI34" s="143"/>
      <c r="CPJ34" s="143"/>
      <c r="CPK34" s="143"/>
      <c r="CPL34" s="143"/>
      <c r="CPM34" s="143"/>
      <c r="CPN34" s="143"/>
      <c r="CPO34" s="143"/>
      <c r="CPP34" s="143"/>
      <c r="CPQ34" s="143"/>
      <c r="CPR34" s="143"/>
      <c r="CPS34" s="143"/>
      <c r="CPT34" s="143"/>
      <c r="CPU34" s="143"/>
      <c r="CPV34" s="143"/>
      <c r="CPW34" s="143"/>
      <c r="CPX34" s="143"/>
      <c r="CPY34" s="143"/>
      <c r="CPZ34" s="143"/>
      <c r="CQA34" s="143"/>
      <c r="CQB34" s="143"/>
      <c r="CQC34" s="143"/>
      <c r="CQD34" s="143"/>
      <c r="CQE34" s="143"/>
      <c r="CQF34" s="143"/>
      <c r="CQG34" s="143"/>
      <c r="CQH34" s="143"/>
      <c r="CQI34" s="143"/>
      <c r="CQJ34" s="143"/>
      <c r="CQK34" s="143"/>
      <c r="CQL34" s="143"/>
      <c r="CQM34" s="143"/>
      <c r="CQN34" s="143"/>
      <c r="CQO34" s="143"/>
      <c r="CQP34" s="143"/>
      <c r="CQQ34" s="143"/>
      <c r="CQR34" s="143"/>
      <c r="CQS34" s="143"/>
      <c r="CQT34" s="143"/>
      <c r="CQU34" s="143"/>
      <c r="CQV34" s="143"/>
      <c r="CQW34" s="143"/>
      <c r="CQX34" s="143"/>
      <c r="CQY34" s="143"/>
      <c r="CQZ34" s="143"/>
      <c r="CRA34" s="143"/>
      <c r="CRB34" s="143"/>
      <c r="CRC34" s="143"/>
      <c r="CRD34" s="143"/>
      <c r="CRE34" s="143"/>
      <c r="CRF34" s="143"/>
      <c r="CRG34" s="143"/>
      <c r="CRH34" s="143"/>
      <c r="CRI34" s="143"/>
      <c r="CRJ34" s="143"/>
      <c r="CRK34" s="143"/>
      <c r="CRL34" s="143"/>
      <c r="CRM34" s="143"/>
      <c r="CRN34" s="143"/>
      <c r="CRO34" s="143"/>
      <c r="CRP34" s="143"/>
      <c r="CRQ34" s="143"/>
      <c r="CRR34" s="143"/>
      <c r="CRS34" s="143"/>
      <c r="CRT34" s="143"/>
      <c r="CRU34" s="143"/>
      <c r="CRV34" s="143"/>
      <c r="CRW34" s="143"/>
      <c r="CRX34" s="143"/>
      <c r="CRY34" s="143"/>
      <c r="CRZ34" s="143"/>
      <c r="CSA34" s="143"/>
      <c r="CSB34" s="143"/>
      <c r="CSC34" s="143"/>
      <c r="CSD34" s="143"/>
      <c r="CSE34" s="143"/>
      <c r="CSF34" s="143"/>
      <c r="CSG34" s="143"/>
      <c r="CSH34" s="143"/>
      <c r="CSI34" s="143"/>
      <c r="CSJ34" s="143"/>
      <c r="CSK34" s="143"/>
      <c r="CSL34" s="143"/>
      <c r="CSM34" s="143"/>
      <c r="CSN34" s="143"/>
      <c r="CSO34" s="143"/>
      <c r="CSP34" s="143"/>
      <c r="CSQ34" s="143"/>
      <c r="CSR34" s="143"/>
      <c r="CSS34" s="143"/>
      <c r="CST34" s="143"/>
      <c r="CSU34" s="143"/>
      <c r="CSV34" s="143"/>
      <c r="CSW34" s="143"/>
      <c r="CSX34" s="143"/>
      <c r="CSY34" s="143"/>
      <c r="CSZ34" s="143"/>
      <c r="CTA34" s="143"/>
      <c r="CTB34" s="143"/>
      <c r="CTC34" s="143"/>
      <c r="CTD34" s="143"/>
      <c r="CTE34" s="143"/>
      <c r="CTF34" s="143"/>
      <c r="CTG34" s="143"/>
      <c r="CTH34" s="143"/>
      <c r="CTI34" s="143"/>
      <c r="CTJ34" s="143"/>
      <c r="CTK34" s="143"/>
      <c r="CTL34" s="143"/>
      <c r="CTM34" s="143"/>
      <c r="CTN34" s="143"/>
      <c r="CTO34" s="143"/>
      <c r="CTP34" s="143"/>
      <c r="CTQ34" s="143"/>
      <c r="CTR34" s="143"/>
      <c r="CTS34" s="143"/>
      <c r="CTT34" s="143"/>
      <c r="CTU34" s="143"/>
      <c r="CTV34" s="143"/>
      <c r="CTW34" s="143"/>
      <c r="CTX34" s="143"/>
      <c r="CTY34" s="143"/>
      <c r="CTZ34" s="143"/>
      <c r="CUA34" s="143"/>
      <c r="CUB34" s="143"/>
      <c r="CUC34" s="143"/>
      <c r="CUD34" s="143"/>
      <c r="CUE34" s="143"/>
      <c r="CUF34" s="143"/>
      <c r="CUG34" s="143"/>
      <c r="CUH34" s="143"/>
      <c r="CUI34" s="143"/>
      <c r="CUJ34" s="143"/>
      <c r="CUK34" s="143"/>
      <c r="CUL34" s="143"/>
      <c r="CUM34" s="143"/>
      <c r="CUN34" s="143"/>
      <c r="CUO34" s="143"/>
      <c r="CUP34" s="143"/>
      <c r="CUQ34" s="143"/>
      <c r="CUR34" s="143"/>
      <c r="CUS34" s="143"/>
      <c r="CUT34" s="143"/>
      <c r="CUU34" s="143"/>
      <c r="CUV34" s="143"/>
      <c r="CUW34" s="143"/>
      <c r="CUX34" s="143"/>
      <c r="CUY34" s="143"/>
      <c r="CUZ34" s="143"/>
      <c r="CVA34" s="143"/>
      <c r="CVB34" s="143"/>
      <c r="CVC34" s="143"/>
      <c r="CVD34" s="143"/>
      <c r="CVE34" s="143"/>
      <c r="CVF34" s="143"/>
      <c r="CVG34" s="143"/>
      <c r="CVH34" s="143"/>
      <c r="CVI34" s="143"/>
      <c r="CVJ34" s="143"/>
      <c r="CVK34" s="143"/>
      <c r="CVL34" s="143"/>
      <c r="CVM34" s="143"/>
      <c r="CVN34" s="143"/>
      <c r="CVO34" s="143"/>
      <c r="CVP34" s="143"/>
      <c r="CVQ34" s="143"/>
      <c r="CVR34" s="143"/>
      <c r="CVS34" s="143"/>
      <c r="CVT34" s="143"/>
      <c r="CVU34" s="143"/>
      <c r="CVV34" s="143"/>
      <c r="CVW34" s="143"/>
      <c r="CVX34" s="143"/>
      <c r="CVY34" s="143"/>
      <c r="CVZ34" s="143"/>
      <c r="CWA34" s="143"/>
      <c r="CWB34" s="143"/>
      <c r="CWC34" s="143"/>
      <c r="CWD34" s="143"/>
      <c r="CWE34" s="143"/>
      <c r="CWF34" s="143"/>
      <c r="CWG34" s="143"/>
      <c r="CWH34" s="143"/>
      <c r="CWI34" s="143"/>
      <c r="CWJ34" s="143"/>
      <c r="CWK34" s="143"/>
      <c r="CWL34" s="143"/>
      <c r="CWM34" s="143"/>
      <c r="CWN34" s="143"/>
      <c r="CWO34" s="143"/>
      <c r="CWP34" s="143"/>
      <c r="CWQ34" s="143"/>
      <c r="CWR34" s="143"/>
      <c r="CWS34" s="143"/>
      <c r="CWT34" s="143"/>
      <c r="CWU34" s="143"/>
      <c r="CWV34" s="143"/>
      <c r="CWW34" s="143"/>
      <c r="CWX34" s="143"/>
      <c r="CWY34" s="143"/>
      <c r="CWZ34" s="143"/>
      <c r="CXA34" s="143"/>
      <c r="CXB34" s="143"/>
      <c r="CXC34" s="143"/>
      <c r="CXD34" s="143"/>
      <c r="CXE34" s="143"/>
      <c r="CXF34" s="143"/>
      <c r="CXG34" s="143"/>
      <c r="CXH34" s="143"/>
      <c r="CXI34" s="143"/>
      <c r="CXJ34" s="143"/>
      <c r="CXK34" s="143"/>
      <c r="CXL34" s="143"/>
      <c r="CXM34" s="143"/>
      <c r="CXN34" s="143"/>
      <c r="CXO34" s="143"/>
      <c r="CXP34" s="143"/>
      <c r="CXQ34" s="143"/>
      <c r="CXR34" s="143"/>
      <c r="CXS34" s="143"/>
      <c r="CXT34" s="143"/>
      <c r="CXU34" s="143"/>
      <c r="CXV34" s="143"/>
      <c r="CXW34" s="143"/>
      <c r="CXX34" s="143"/>
      <c r="CXY34" s="143"/>
      <c r="CXZ34" s="143"/>
      <c r="CYA34" s="143"/>
      <c r="CYB34" s="143"/>
      <c r="CYC34" s="143"/>
      <c r="CYD34" s="143"/>
      <c r="CYE34" s="143"/>
      <c r="CYF34" s="143"/>
      <c r="CYG34" s="143"/>
      <c r="CYH34" s="143"/>
      <c r="CYI34" s="143"/>
      <c r="CYJ34" s="143"/>
      <c r="CYK34" s="143"/>
      <c r="CYL34" s="143"/>
      <c r="CYM34" s="143"/>
      <c r="CYN34" s="143"/>
      <c r="CYO34" s="143"/>
      <c r="CYP34" s="143"/>
      <c r="CYQ34" s="143"/>
      <c r="CYR34" s="143"/>
      <c r="CYS34" s="143"/>
      <c r="CYT34" s="143"/>
      <c r="CYU34" s="143"/>
      <c r="CYV34" s="143"/>
      <c r="CYW34" s="143"/>
      <c r="CYX34" s="143"/>
      <c r="CYY34" s="143"/>
      <c r="CYZ34" s="143"/>
      <c r="CZA34" s="143"/>
      <c r="CZB34" s="143"/>
      <c r="CZC34" s="143"/>
      <c r="CZD34" s="143"/>
      <c r="CZE34" s="143"/>
      <c r="CZF34" s="143"/>
      <c r="CZG34" s="143"/>
      <c r="CZH34" s="143"/>
      <c r="CZI34" s="143"/>
      <c r="CZJ34" s="143"/>
      <c r="CZK34" s="143"/>
      <c r="CZL34" s="143"/>
      <c r="CZM34" s="143"/>
      <c r="CZN34" s="143"/>
      <c r="CZO34" s="143"/>
      <c r="CZP34" s="143"/>
      <c r="CZQ34" s="143"/>
      <c r="CZR34" s="143"/>
      <c r="CZS34" s="143"/>
      <c r="CZT34" s="143"/>
      <c r="CZU34" s="143"/>
      <c r="CZV34" s="143"/>
      <c r="CZW34" s="143"/>
      <c r="CZX34" s="143"/>
      <c r="CZY34" s="143"/>
      <c r="CZZ34" s="143"/>
      <c r="DAA34" s="143"/>
      <c r="DAB34" s="143"/>
      <c r="DAC34" s="143"/>
      <c r="DAD34" s="143"/>
      <c r="DAE34" s="143"/>
      <c r="DAF34" s="143"/>
      <c r="DAG34" s="143"/>
      <c r="DAH34" s="143"/>
      <c r="DAI34" s="143"/>
      <c r="DAJ34" s="143"/>
      <c r="DAK34" s="143"/>
      <c r="DAL34" s="143"/>
      <c r="DAM34" s="143"/>
      <c r="DAN34" s="143"/>
      <c r="DAO34" s="143"/>
      <c r="DAP34" s="143"/>
      <c r="DAQ34" s="143"/>
      <c r="DAR34" s="143"/>
      <c r="DAS34" s="143"/>
      <c r="DAT34" s="143"/>
      <c r="DAU34" s="143"/>
      <c r="DAV34" s="143"/>
      <c r="DAW34" s="143"/>
      <c r="DAX34" s="143"/>
      <c r="DAY34" s="143"/>
      <c r="DAZ34" s="143"/>
      <c r="DBA34" s="143"/>
      <c r="DBB34" s="143"/>
      <c r="DBC34" s="143"/>
      <c r="DBD34" s="143"/>
      <c r="DBE34" s="143"/>
      <c r="DBF34" s="143"/>
      <c r="DBG34" s="143"/>
      <c r="DBH34" s="143"/>
      <c r="DBI34" s="143"/>
      <c r="DBJ34" s="143"/>
      <c r="DBK34" s="143"/>
      <c r="DBL34" s="143"/>
      <c r="DBM34" s="143"/>
      <c r="DBN34" s="143"/>
      <c r="DBO34" s="143"/>
      <c r="DBP34" s="143"/>
      <c r="DBQ34" s="143"/>
      <c r="DBR34" s="143"/>
      <c r="DBS34" s="143"/>
      <c r="DBT34" s="143"/>
      <c r="DBU34" s="143"/>
      <c r="DBV34" s="143"/>
      <c r="DBW34" s="143"/>
      <c r="DBX34" s="143"/>
      <c r="DBY34" s="143"/>
      <c r="DBZ34" s="143"/>
      <c r="DCA34" s="143"/>
      <c r="DCB34" s="143"/>
      <c r="DCC34" s="143"/>
      <c r="DCD34" s="143"/>
      <c r="DCE34" s="143"/>
      <c r="DCF34" s="143"/>
      <c r="DCG34" s="143"/>
      <c r="DCH34" s="143"/>
      <c r="DCI34" s="143"/>
      <c r="DCJ34" s="143"/>
      <c r="DCK34" s="143"/>
      <c r="DCL34" s="143"/>
      <c r="DCM34" s="143"/>
      <c r="DCN34" s="143"/>
      <c r="DCO34" s="143"/>
      <c r="DCP34" s="143"/>
      <c r="DCQ34" s="143"/>
      <c r="DCR34" s="143"/>
      <c r="DCS34" s="143"/>
      <c r="DCT34" s="143"/>
      <c r="DCU34" s="143"/>
      <c r="DCV34" s="143"/>
      <c r="DCW34" s="143"/>
      <c r="DCX34" s="143"/>
      <c r="DCY34" s="143"/>
      <c r="DCZ34" s="143"/>
      <c r="DDA34" s="143"/>
      <c r="DDB34" s="143"/>
      <c r="DDC34" s="143"/>
      <c r="DDD34" s="143"/>
      <c r="DDE34" s="143"/>
      <c r="DDF34" s="143"/>
      <c r="DDG34" s="143"/>
      <c r="DDH34" s="143"/>
      <c r="DDI34" s="143"/>
      <c r="DDJ34" s="143"/>
      <c r="DDK34" s="143"/>
      <c r="DDL34" s="143"/>
      <c r="DDM34" s="143"/>
      <c r="DDN34" s="143"/>
      <c r="DDO34" s="143"/>
      <c r="DDP34" s="143"/>
      <c r="DDQ34" s="143"/>
      <c r="DDR34" s="143"/>
      <c r="DDS34" s="143"/>
      <c r="DDT34" s="143"/>
      <c r="DDU34" s="143"/>
      <c r="DDV34" s="143"/>
      <c r="DDW34" s="143"/>
      <c r="DDX34" s="143"/>
      <c r="DDY34" s="143"/>
      <c r="DDZ34" s="143"/>
      <c r="DEA34" s="143"/>
      <c r="DEB34" s="143"/>
      <c r="DEC34" s="143"/>
      <c r="DED34" s="143"/>
      <c r="DEE34" s="143"/>
      <c r="DEF34" s="143"/>
      <c r="DEG34" s="143"/>
      <c r="DEH34" s="143"/>
      <c r="DEI34" s="143"/>
      <c r="DEJ34" s="143"/>
      <c r="DEK34" s="143"/>
      <c r="DEL34" s="143"/>
      <c r="DEM34" s="143"/>
      <c r="DEN34" s="143"/>
      <c r="DEO34" s="143"/>
      <c r="DEP34" s="143"/>
      <c r="DEQ34" s="143"/>
      <c r="DER34" s="143"/>
      <c r="DES34" s="143"/>
      <c r="DET34" s="143"/>
      <c r="DEU34" s="143"/>
      <c r="DEV34" s="143"/>
      <c r="DEW34" s="143"/>
      <c r="DEX34" s="143"/>
      <c r="DEY34" s="143"/>
      <c r="DEZ34" s="143"/>
      <c r="DFA34" s="143"/>
      <c r="DFB34" s="143"/>
      <c r="DFC34" s="143"/>
      <c r="DFD34" s="143"/>
      <c r="DFE34" s="143"/>
      <c r="DFF34" s="143"/>
      <c r="DFG34" s="143"/>
      <c r="DFH34" s="143"/>
      <c r="DFI34" s="143"/>
      <c r="DFJ34" s="143"/>
      <c r="DFK34" s="143"/>
      <c r="DFL34" s="143"/>
      <c r="DFM34" s="143"/>
      <c r="DFN34" s="143"/>
      <c r="DFO34" s="143"/>
      <c r="DFP34" s="143"/>
      <c r="DFQ34" s="143"/>
      <c r="DFR34" s="143"/>
      <c r="DFS34" s="143"/>
      <c r="DFT34" s="143"/>
      <c r="DFU34" s="143"/>
      <c r="DFV34" s="143"/>
      <c r="DFW34" s="143"/>
      <c r="DFX34" s="143"/>
      <c r="DFY34" s="143"/>
      <c r="DFZ34" s="143"/>
      <c r="DGA34" s="143"/>
      <c r="DGB34" s="143"/>
      <c r="DGC34" s="143"/>
      <c r="DGD34" s="143"/>
      <c r="DGE34" s="143"/>
      <c r="DGF34" s="143"/>
      <c r="DGG34" s="143"/>
      <c r="DGH34" s="143"/>
      <c r="DGI34" s="143"/>
      <c r="DGJ34" s="143"/>
      <c r="DGK34" s="143"/>
      <c r="DGL34" s="143"/>
      <c r="DGM34" s="143"/>
      <c r="DGN34" s="143"/>
      <c r="DGO34" s="143"/>
      <c r="DGP34" s="143"/>
      <c r="DGQ34" s="143"/>
      <c r="DGR34" s="143"/>
      <c r="DGS34" s="143"/>
      <c r="DGT34" s="143"/>
      <c r="DGU34" s="143"/>
      <c r="DGV34" s="143"/>
      <c r="DGW34" s="143"/>
      <c r="DGX34" s="143"/>
      <c r="DGY34" s="143"/>
      <c r="DGZ34" s="143"/>
      <c r="DHA34" s="143"/>
      <c r="DHB34" s="143"/>
      <c r="DHC34" s="143"/>
      <c r="DHD34" s="143"/>
      <c r="DHE34" s="143"/>
      <c r="DHF34" s="143"/>
      <c r="DHG34" s="143"/>
      <c r="DHH34" s="143"/>
      <c r="DHI34" s="143"/>
      <c r="DHJ34" s="143"/>
      <c r="DHK34" s="143"/>
      <c r="DHL34" s="143"/>
      <c r="DHM34" s="143"/>
      <c r="DHN34" s="143"/>
      <c r="DHO34" s="143"/>
      <c r="DHP34" s="143"/>
      <c r="DHQ34" s="143"/>
      <c r="DHR34" s="143"/>
      <c r="DHS34" s="143"/>
      <c r="DHT34" s="143"/>
      <c r="DHU34" s="143"/>
      <c r="DHV34" s="143"/>
      <c r="DHW34" s="143"/>
      <c r="DHX34" s="143"/>
      <c r="DHY34" s="143"/>
      <c r="DHZ34" s="143"/>
      <c r="DIA34" s="143"/>
      <c r="DIB34" s="143"/>
      <c r="DIC34" s="143"/>
      <c r="DID34" s="143"/>
      <c r="DIE34" s="143"/>
      <c r="DIF34" s="143"/>
      <c r="DIG34" s="143"/>
      <c r="DIH34" s="143"/>
      <c r="DII34" s="143"/>
      <c r="DIJ34" s="143"/>
      <c r="DIK34" s="143"/>
      <c r="DIL34" s="143"/>
      <c r="DIM34" s="143"/>
      <c r="DIN34" s="143"/>
      <c r="DIO34" s="143"/>
      <c r="DIP34" s="143"/>
      <c r="DIQ34" s="143"/>
      <c r="DIR34" s="143"/>
      <c r="DIS34" s="143"/>
      <c r="DIT34" s="143"/>
      <c r="DIU34" s="143"/>
      <c r="DIV34" s="143"/>
      <c r="DIW34" s="143"/>
      <c r="DIX34" s="143"/>
      <c r="DIY34" s="143"/>
      <c r="DIZ34" s="143"/>
      <c r="DJA34" s="143"/>
      <c r="DJB34" s="143"/>
      <c r="DJC34" s="143"/>
      <c r="DJD34" s="143"/>
      <c r="DJE34" s="143"/>
      <c r="DJF34" s="143"/>
      <c r="DJG34" s="143"/>
      <c r="DJH34" s="143"/>
      <c r="DJI34" s="143"/>
      <c r="DJJ34" s="143"/>
      <c r="DJK34" s="143"/>
      <c r="DJL34" s="143"/>
      <c r="DJM34" s="143"/>
      <c r="DJN34" s="143"/>
      <c r="DJO34" s="143"/>
      <c r="DJP34" s="143"/>
      <c r="DJQ34" s="143"/>
      <c r="DJR34" s="143"/>
      <c r="DJS34" s="143"/>
      <c r="DJT34" s="143"/>
      <c r="DJU34" s="143"/>
      <c r="DJV34" s="143"/>
      <c r="DJW34" s="143"/>
      <c r="DJX34" s="143"/>
      <c r="DJY34" s="143"/>
      <c r="DJZ34" s="143"/>
      <c r="DKA34" s="143"/>
      <c r="DKB34" s="143"/>
      <c r="DKC34" s="143"/>
      <c r="DKD34" s="143"/>
      <c r="DKE34" s="143"/>
      <c r="DKF34" s="143"/>
      <c r="DKG34" s="143"/>
      <c r="DKH34" s="143"/>
      <c r="DKI34" s="143"/>
      <c r="DKJ34" s="143"/>
      <c r="DKK34" s="143"/>
      <c r="DKL34" s="143"/>
      <c r="DKM34" s="143"/>
      <c r="DKN34" s="143"/>
      <c r="DKO34" s="143"/>
      <c r="DKP34" s="143"/>
      <c r="DKQ34" s="143"/>
      <c r="DKR34" s="143"/>
      <c r="DKS34" s="143"/>
      <c r="DKT34" s="143"/>
      <c r="DKU34" s="143"/>
      <c r="DKV34" s="143"/>
      <c r="DKW34" s="143"/>
      <c r="DKX34" s="143"/>
      <c r="DKY34" s="143"/>
      <c r="DKZ34" s="143"/>
      <c r="DLA34" s="143"/>
      <c r="DLB34" s="143"/>
      <c r="DLC34" s="143"/>
      <c r="DLD34" s="143"/>
      <c r="DLE34" s="143"/>
      <c r="DLF34" s="143"/>
      <c r="DLG34" s="143"/>
      <c r="DLH34" s="143"/>
      <c r="DLI34" s="143"/>
      <c r="DLJ34" s="143"/>
      <c r="DLK34" s="143"/>
      <c r="DLL34" s="143"/>
      <c r="DLM34" s="143"/>
      <c r="DLN34" s="143"/>
      <c r="DLO34" s="143"/>
      <c r="DLP34" s="143"/>
      <c r="DLQ34" s="143"/>
      <c r="DLR34" s="143"/>
      <c r="DLS34" s="143"/>
      <c r="DLT34" s="143"/>
      <c r="DLU34" s="143"/>
      <c r="DLV34" s="143"/>
      <c r="DLW34" s="143"/>
      <c r="DLX34" s="143"/>
      <c r="DLY34" s="143"/>
      <c r="DLZ34" s="143"/>
      <c r="DMA34" s="143"/>
      <c r="DMB34" s="143"/>
      <c r="DMC34" s="143"/>
      <c r="DMD34" s="143"/>
      <c r="DME34" s="143"/>
      <c r="DMF34" s="143"/>
      <c r="DMG34" s="143"/>
      <c r="DMH34" s="143"/>
      <c r="DMI34" s="143"/>
      <c r="DMJ34" s="143"/>
      <c r="DMK34" s="143"/>
      <c r="DML34" s="143"/>
      <c r="DMM34" s="143"/>
      <c r="DMN34" s="143"/>
      <c r="DMO34" s="143"/>
      <c r="DMP34" s="143"/>
      <c r="DMQ34" s="143"/>
      <c r="DMR34" s="143"/>
      <c r="DMS34" s="143"/>
      <c r="DMT34" s="143"/>
      <c r="DMU34" s="143"/>
      <c r="DMV34" s="143"/>
      <c r="DMW34" s="143"/>
      <c r="DMX34" s="143"/>
      <c r="DMY34" s="143"/>
      <c r="DMZ34" s="143"/>
      <c r="DNA34" s="143"/>
      <c r="DNB34" s="143"/>
      <c r="DNC34" s="143"/>
      <c r="DND34" s="143"/>
      <c r="DNE34" s="143"/>
      <c r="DNF34" s="143"/>
      <c r="DNG34" s="143"/>
      <c r="DNH34" s="143"/>
      <c r="DNI34" s="143"/>
      <c r="DNJ34" s="143"/>
      <c r="DNK34" s="143"/>
      <c r="DNL34" s="143"/>
      <c r="DNM34" s="143"/>
      <c r="DNN34" s="143"/>
      <c r="DNO34" s="143"/>
      <c r="DNP34" s="143"/>
      <c r="DNQ34" s="143"/>
      <c r="DNR34" s="143"/>
      <c r="DNS34" s="143"/>
      <c r="DNT34" s="143"/>
      <c r="DNU34" s="143"/>
      <c r="DNV34" s="143"/>
      <c r="DNW34" s="143"/>
      <c r="DNX34" s="143"/>
      <c r="DNY34" s="143"/>
      <c r="DNZ34" s="143"/>
      <c r="DOA34" s="143"/>
      <c r="DOB34" s="143"/>
      <c r="DOC34" s="143"/>
      <c r="DOD34" s="143"/>
      <c r="DOE34" s="143"/>
      <c r="DOF34" s="143"/>
      <c r="DOG34" s="143"/>
      <c r="DOH34" s="143"/>
      <c r="DOI34" s="143"/>
      <c r="DOJ34" s="143"/>
      <c r="DOK34" s="143"/>
      <c r="DOL34" s="143"/>
      <c r="DOM34" s="143"/>
      <c r="DON34" s="143"/>
      <c r="DOO34" s="143"/>
      <c r="DOP34" s="143"/>
      <c r="DOQ34" s="143"/>
      <c r="DOR34" s="143"/>
      <c r="DOS34" s="143"/>
      <c r="DOT34" s="143"/>
      <c r="DOU34" s="143"/>
      <c r="DOV34" s="143"/>
      <c r="DOW34" s="143"/>
      <c r="DOX34" s="143"/>
      <c r="DOY34" s="143"/>
      <c r="DOZ34" s="143"/>
      <c r="DPA34" s="143"/>
      <c r="DPB34" s="143"/>
      <c r="DPC34" s="143"/>
      <c r="DPD34" s="143"/>
      <c r="DPE34" s="143"/>
      <c r="DPF34" s="143"/>
      <c r="DPG34" s="143"/>
      <c r="DPH34" s="143"/>
      <c r="DPI34" s="143"/>
      <c r="DPJ34" s="143"/>
      <c r="DPK34" s="143"/>
      <c r="DPL34" s="143"/>
      <c r="DPM34" s="143"/>
      <c r="DPN34" s="143"/>
      <c r="DPO34" s="143"/>
      <c r="DPP34" s="143"/>
      <c r="DPQ34" s="143"/>
      <c r="DPR34" s="143"/>
      <c r="DPS34" s="143"/>
      <c r="DPT34" s="143"/>
      <c r="DPU34" s="143"/>
      <c r="DPV34" s="143"/>
      <c r="DPW34" s="143"/>
      <c r="DPX34" s="143"/>
      <c r="DPY34" s="143"/>
      <c r="DPZ34" s="143"/>
      <c r="DQA34" s="143"/>
      <c r="DQB34" s="143"/>
      <c r="DQC34" s="143"/>
      <c r="DQD34" s="143"/>
      <c r="DQE34" s="143"/>
      <c r="DQF34" s="143"/>
      <c r="DQG34" s="143"/>
      <c r="DQH34" s="143"/>
      <c r="DQI34" s="143"/>
      <c r="DQJ34" s="143"/>
      <c r="DQK34" s="143"/>
      <c r="DQL34" s="143"/>
      <c r="DQM34" s="143"/>
      <c r="DQN34" s="143"/>
      <c r="DQO34" s="143"/>
      <c r="DQP34" s="143"/>
      <c r="DQQ34" s="143"/>
      <c r="DQR34" s="143"/>
      <c r="DQS34" s="143"/>
      <c r="DQT34" s="143"/>
      <c r="DQU34" s="143"/>
      <c r="DQV34" s="143"/>
      <c r="DQW34" s="143"/>
      <c r="DQX34" s="143"/>
      <c r="DQY34" s="143"/>
      <c r="DQZ34" s="143"/>
      <c r="DRA34" s="143"/>
      <c r="DRB34" s="143"/>
      <c r="DRC34" s="143"/>
      <c r="DRD34" s="143"/>
      <c r="DRE34" s="143"/>
      <c r="DRF34" s="143"/>
      <c r="DRG34" s="143"/>
      <c r="DRH34" s="143"/>
      <c r="DRI34" s="143"/>
      <c r="DRJ34" s="143"/>
      <c r="DRK34" s="143"/>
      <c r="DRL34" s="143"/>
      <c r="DRM34" s="143"/>
      <c r="DRN34" s="143"/>
      <c r="DRO34" s="143"/>
      <c r="DRP34" s="143"/>
      <c r="DRQ34" s="143"/>
      <c r="DRR34" s="143"/>
      <c r="DRS34" s="143"/>
      <c r="DRT34" s="143"/>
      <c r="DRU34" s="143"/>
      <c r="DRV34" s="143"/>
      <c r="DRW34" s="143"/>
      <c r="DRX34" s="143"/>
      <c r="DRY34" s="143"/>
      <c r="DRZ34" s="143"/>
      <c r="DSA34" s="143"/>
      <c r="DSB34" s="143"/>
      <c r="DSC34" s="143"/>
      <c r="DSD34" s="143"/>
      <c r="DSE34" s="143"/>
      <c r="DSF34" s="143"/>
      <c r="DSG34" s="143"/>
      <c r="DSH34" s="143"/>
      <c r="DSI34" s="143"/>
      <c r="DSJ34" s="143"/>
      <c r="DSK34" s="143"/>
      <c r="DSL34" s="143"/>
      <c r="DSM34" s="143"/>
      <c r="DSN34" s="143"/>
      <c r="DSO34" s="143"/>
      <c r="DSP34" s="143"/>
      <c r="DSQ34" s="143"/>
      <c r="DSR34" s="143"/>
      <c r="DSS34" s="143"/>
      <c r="DST34" s="143"/>
      <c r="DSU34" s="143"/>
      <c r="DSV34" s="143"/>
      <c r="DSW34" s="143"/>
      <c r="DSX34" s="143"/>
      <c r="DSY34" s="143"/>
      <c r="DSZ34" s="143"/>
      <c r="DTA34" s="143"/>
      <c r="DTB34" s="143"/>
      <c r="DTC34" s="143"/>
      <c r="DTD34" s="143"/>
      <c r="DTE34" s="143"/>
      <c r="DTF34" s="143"/>
      <c r="DTG34" s="143"/>
      <c r="DTH34" s="143"/>
      <c r="DTI34" s="143"/>
      <c r="DTJ34" s="143"/>
      <c r="DTK34" s="143"/>
      <c r="DTL34" s="143"/>
      <c r="DTM34" s="143"/>
      <c r="DTN34" s="143"/>
      <c r="DTO34" s="143"/>
      <c r="DTP34" s="143"/>
      <c r="DTQ34" s="143"/>
      <c r="DTR34" s="143"/>
      <c r="DTS34" s="143"/>
      <c r="DTT34" s="143"/>
      <c r="DTU34" s="143"/>
      <c r="DTV34" s="143"/>
      <c r="DTW34" s="143"/>
      <c r="DTX34" s="143"/>
      <c r="DTY34" s="143"/>
      <c r="DTZ34" s="143"/>
      <c r="DUA34" s="143"/>
      <c r="DUB34" s="143"/>
      <c r="DUC34" s="143"/>
      <c r="DUD34" s="143"/>
      <c r="DUE34" s="143"/>
      <c r="DUF34" s="143"/>
      <c r="DUG34" s="143"/>
      <c r="DUH34" s="143"/>
      <c r="DUI34" s="143"/>
      <c r="DUJ34" s="143"/>
      <c r="DUK34" s="143"/>
      <c r="DUL34" s="143"/>
      <c r="DUM34" s="143"/>
      <c r="DUN34" s="143"/>
      <c r="DUO34" s="143"/>
      <c r="DUP34" s="143"/>
      <c r="DUQ34" s="143"/>
      <c r="DUR34" s="143"/>
      <c r="DUS34" s="143"/>
      <c r="DUT34" s="143"/>
      <c r="DUU34" s="143"/>
      <c r="DUV34" s="143"/>
      <c r="DUW34" s="143"/>
      <c r="DUX34" s="143"/>
      <c r="DUY34" s="143"/>
      <c r="DUZ34" s="143"/>
      <c r="DVA34" s="143"/>
      <c r="DVB34" s="143"/>
      <c r="DVC34" s="143"/>
      <c r="DVD34" s="143"/>
      <c r="DVE34" s="143"/>
      <c r="DVF34" s="143"/>
      <c r="DVG34" s="143"/>
      <c r="DVH34" s="143"/>
      <c r="DVI34" s="143"/>
      <c r="DVJ34" s="143"/>
      <c r="DVK34" s="143"/>
      <c r="DVL34" s="143"/>
      <c r="DVM34" s="143"/>
      <c r="DVN34" s="143"/>
      <c r="DVO34" s="143"/>
      <c r="DVP34" s="143"/>
      <c r="DVQ34" s="143"/>
      <c r="DVR34" s="143"/>
      <c r="DVS34" s="143"/>
      <c r="DVT34" s="143"/>
      <c r="DVU34" s="143"/>
      <c r="DVV34" s="143"/>
      <c r="DVW34" s="143"/>
      <c r="DVX34" s="143"/>
      <c r="DVY34" s="143"/>
      <c r="DVZ34" s="143"/>
      <c r="DWA34" s="143"/>
      <c r="DWB34" s="143"/>
      <c r="DWC34" s="143"/>
      <c r="DWD34" s="143"/>
      <c r="DWE34" s="143"/>
      <c r="DWF34" s="143"/>
      <c r="DWG34" s="143"/>
      <c r="DWH34" s="143"/>
      <c r="DWI34" s="143"/>
      <c r="DWJ34" s="143"/>
      <c r="DWK34" s="143"/>
      <c r="DWL34" s="143"/>
      <c r="DWM34" s="143"/>
      <c r="DWN34" s="143"/>
      <c r="DWO34" s="143"/>
      <c r="DWP34" s="143"/>
      <c r="DWQ34" s="143"/>
      <c r="DWR34" s="143"/>
      <c r="DWS34" s="143"/>
      <c r="DWT34" s="143"/>
      <c r="DWU34" s="143"/>
      <c r="DWV34" s="143"/>
      <c r="DWW34" s="143"/>
      <c r="DWX34" s="143"/>
      <c r="DWY34" s="143"/>
      <c r="DWZ34" s="143"/>
      <c r="DXA34" s="143"/>
      <c r="DXB34" s="143"/>
      <c r="DXC34" s="143"/>
      <c r="DXD34" s="143"/>
      <c r="DXE34" s="143"/>
      <c r="DXF34" s="143"/>
      <c r="DXG34" s="143"/>
      <c r="DXH34" s="143"/>
      <c r="DXI34" s="143"/>
      <c r="DXJ34" s="143"/>
      <c r="DXK34" s="143"/>
      <c r="DXL34" s="143"/>
      <c r="DXM34" s="143"/>
      <c r="DXN34" s="143"/>
      <c r="DXO34" s="143"/>
      <c r="DXP34" s="143"/>
      <c r="DXQ34" s="143"/>
      <c r="DXR34" s="143"/>
      <c r="DXS34" s="143"/>
      <c r="DXT34" s="143"/>
      <c r="DXU34" s="143"/>
      <c r="DXV34" s="143"/>
      <c r="DXW34" s="143"/>
      <c r="DXX34" s="143"/>
      <c r="DXY34" s="143"/>
      <c r="DXZ34" s="143"/>
      <c r="DYA34" s="143"/>
      <c r="DYB34" s="143"/>
      <c r="DYC34" s="143"/>
      <c r="DYD34" s="143"/>
      <c r="DYE34" s="143"/>
      <c r="DYF34" s="143"/>
      <c r="DYG34" s="143"/>
      <c r="DYH34" s="143"/>
      <c r="DYI34" s="143"/>
      <c r="DYJ34" s="143"/>
      <c r="DYK34" s="143"/>
      <c r="DYL34" s="143"/>
      <c r="DYM34" s="143"/>
      <c r="DYN34" s="143"/>
      <c r="DYO34" s="143"/>
      <c r="DYP34" s="143"/>
      <c r="DYQ34" s="143"/>
      <c r="DYR34" s="143"/>
      <c r="DYS34" s="143"/>
      <c r="DYT34" s="143"/>
      <c r="DYU34" s="143"/>
      <c r="DYV34" s="143"/>
      <c r="DYW34" s="143"/>
      <c r="DYX34" s="143"/>
      <c r="DYY34" s="143"/>
      <c r="DYZ34" s="143"/>
      <c r="DZA34" s="143"/>
      <c r="DZB34" s="143"/>
      <c r="DZC34" s="143"/>
      <c r="DZD34" s="143"/>
      <c r="DZE34" s="143"/>
      <c r="DZF34" s="143"/>
      <c r="DZG34" s="143"/>
      <c r="DZH34" s="143"/>
      <c r="DZI34" s="143"/>
      <c r="DZJ34" s="143"/>
      <c r="DZK34" s="143"/>
      <c r="DZL34" s="143"/>
      <c r="DZM34" s="143"/>
      <c r="DZN34" s="143"/>
      <c r="DZO34" s="143"/>
      <c r="DZP34" s="143"/>
      <c r="DZQ34" s="143"/>
      <c r="DZR34" s="143"/>
      <c r="DZS34" s="143"/>
      <c r="DZT34" s="143"/>
      <c r="DZU34" s="143"/>
      <c r="DZV34" s="143"/>
      <c r="DZW34" s="143"/>
      <c r="DZX34" s="143"/>
      <c r="DZY34" s="143"/>
      <c r="DZZ34" s="143"/>
      <c r="EAA34" s="143"/>
      <c r="EAB34" s="143"/>
      <c r="EAC34" s="143"/>
      <c r="EAD34" s="143"/>
      <c r="EAE34" s="143"/>
      <c r="EAF34" s="143"/>
      <c r="EAG34" s="143"/>
      <c r="EAH34" s="143"/>
      <c r="EAI34" s="143"/>
      <c r="EAJ34" s="143"/>
      <c r="EAK34" s="143"/>
      <c r="EAL34" s="143"/>
      <c r="EAM34" s="143"/>
      <c r="EAN34" s="143"/>
      <c r="EAO34" s="143"/>
      <c r="EAP34" s="143"/>
      <c r="EAQ34" s="143"/>
      <c r="EAR34" s="143"/>
      <c r="EAS34" s="143"/>
      <c r="EAT34" s="143"/>
      <c r="EAU34" s="143"/>
      <c r="EAV34" s="143"/>
      <c r="EAW34" s="143"/>
      <c r="EAX34" s="143"/>
      <c r="EAY34" s="143"/>
      <c r="EAZ34" s="143"/>
      <c r="EBA34" s="143"/>
      <c r="EBB34" s="143"/>
      <c r="EBC34" s="143"/>
      <c r="EBD34" s="143"/>
      <c r="EBE34" s="143"/>
      <c r="EBF34" s="143"/>
      <c r="EBG34" s="143"/>
      <c r="EBH34" s="143"/>
      <c r="EBI34" s="143"/>
      <c r="EBJ34" s="143"/>
      <c r="EBK34" s="143"/>
      <c r="EBL34" s="143"/>
      <c r="EBM34" s="143"/>
      <c r="EBN34" s="143"/>
      <c r="EBO34" s="143"/>
      <c r="EBP34" s="143"/>
      <c r="EBQ34" s="143"/>
      <c r="EBR34" s="143"/>
      <c r="EBS34" s="143"/>
      <c r="EBT34" s="143"/>
      <c r="EBU34" s="143"/>
      <c r="EBV34" s="143"/>
      <c r="EBW34" s="143"/>
      <c r="EBX34" s="143"/>
      <c r="EBY34" s="143"/>
      <c r="EBZ34" s="143"/>
      <c r="ECA34" s="143"/>
      <c r="ECB34" s="143"/>
      <c r="ECC34" s="143"/>
      <c r="ECD34" s="143"/>
      <c r="ECE34" s="143"/>
      <c r="ECF34" s="143"/>
      <c r="ECG34" s="143"/>
      <c r="ECH34" s="143"/>
      <c r="ECI34" s="143"/>
      <c r="ECJ34" s="143"/>
      <c r="ECK34" s="143"/>
      <c r="ECL34" s="143"/>
      <c r="ECM34" s="143"/>
      <c r="ECN34" s="143"/>
      <c r="ECO34" s="143"/>
      <c r="ECP34" s="143"/>
      <c r="ECQ34" s="143"/>
      <c r="ECR34" s="143"/>
      <c r="ECS34" s="143"/>
      <c r="ECT34" s="143"/>
      <c r="ECU34" s="143"/>
      <c r="ECV34" s="143"/>
      <c r="ECW34" s="143"/>
      <c r="ECX34" s="143"/>
      <c r="ECY34" s="143"/>
      <c r="ECZ34" s="143"/>
      <c r="EDA34" s="143"/>
      <c r="EDB34" s="143"/>
      <c r="EDC34" s="143"/>
      <c r="EDD34" s="143"/>
      <c r="EDE34" s="143"/>
      <c r="EDF34" s="143"/>
      <c r="EDG34" s="143"/>
      <c r="EDH34" s="143"/>
      <c r="EDI34" s="143"/>
      <c r="EDJ34" s="143"/>
      <c r="EDK34" s="143"/>
      <c r="EDL34" s="143"/>
      <c r="EDM34" s="143"/>
      <c r="EDN34" s="143"/>
      <c r="EDO34" s="143"/>
      <c r="EDP34" s="143"/>
      <c r="EDQ34" s="143"/>
      <c r="EDR34" s="143"/>
      <c r="EDS34" s="143"/>
      <c r="EDT34" s="143"/>
      <c r="EDU34" s="143"/>
      <c r="EDV34" s="143"/>
      <c r="EDW34" s="143"/>
      <c r="EDX34" s="143"/>
      <c r="EDY34" s="143"/>
      <c r="EDZ34" s="143"/>
      <c r="EEA34" s="143"/>
      <c r="EEB34" s="143"/>
      <c r="EEC34" s="143"/>
      <c r="EED34" s="143"/>
      <c r="EEE34" s="143"/>
      <c r="EEF34" s="143"/>
      <c r="EEG34" s="143"/>
      <c r="EEH34" s="143"/>
      <c r="EEI34" s="143"/>
      <c r="EEJ34" s="143"/>
      <c r="EEK34" s="143"/>
      <c r="EEL34" s="143"/>
      <c r="EEM34" s="143"/>
      <c r="EEN34" s="143"/>
      <c r="EEO34" s="143"/>
      <c r="EEP34" s="143"/>
      <c r="EEQ34" s="143"/>
      <c r="EER34" s="143"/>
      <c r="EES34" s="143"/>
      <c r="EET34" s="143"/>
      <c r="EEU34" s="143"/>
      <c r="EEV34" s="143"/>
      <c r="EEW34" s="143"/>
      <c r="EEX34" s="143"/>
      <c r="EEY34" s="143"/>
      <c r="EEZ34" s="143"/>
      <c r="EFA34" s="143"/>
      <c r="EFB34" s="143"/>
      <c r="EFC34" s="143"/>
      <c r="EFD34" s="143"/>
      <c r="EFE34" s="143"/>
      <c r="EFF34" s="143"/>
      <c r="EFG34" s="143"/>
      <c r="EFH34" s="143"/>
      <c r="EFI34" s="143"/>
      <c r="EFJ34" s="143"/>
      <c r="EFK34" s="143"/>
      <c r="EFL34" s="143"/>
      <c r="EFM34" s="143"/>
      <c r="EFN34" s="143"/>
      <c r="EFO34" s="143"/>
      <c r="EFP34" s="143"/>
      <c r="EFQ34" s="143"/>
      <c r="EFR34" s="143"/>
      <c r="EFS34" s="143"/>
      <c r="EFT34" s="143"/>
      <c r="EFU34" s="143"/>
      <c r="EFV34" s="143"/>
      <c r="EFW34" s="143"/>
      <c r="EFX34" s="143"/>
      <c r="EFY34" s="143"/>
      <c r="EFZ34" s="143"/>
      <c r="EGA34" s="143"/>
      <c r="EGB34" s="143"/>
      <c r="EGC34" s="143"/>
      <c r="EGD34" s="143"/>
      <c r="EGE34" s="143"/>
      <c r="EGF34" s="143"/>
      <c r="EGG34" s="143"/>
      <c r="EGH34" s="143"/>
      <c r="EGI34" s="143"/>
      <c r="EGJ34" s="143"/>
      <c r="EGK34" s="143"/>
      <c r="EGL34" s="143"/>
      <c r="EGM34" s="143"/>
      <c r="EGN34" s="143"/>
      <c r="EGO34" s="143"/>
      <c r="EGP34" s="143"/>
      <c r="EGQ34" s="143"/>
      <c r="EGR34" s="143"/>
      <c r="EGS34" s="143"/>
      <c r="EGT34" s="143"/>
      <c r="EGU34" s="143"/>
      <c r="EGV34" s="143"/>
      <c r="EGW34" s="143"/>
      <c r="EGX34" s="143"/>
      <c r="EGY34" s="143"/>
      <c r="EGZ34" s="143"/>
      <c r="EHA34" s="143"/>
      <c r="EHB34" s="143"/>
      <c r="EHC34" s="143"/>
      <c r="EHD34" s="143"/>
      <c r="EHE34" s="143"/>
      <c r="EHF34" s="143"/>
      <c r="EHG34" s="143"/>
      <c r="EHH34" s="143"/>
      <c r="EHI34" s="143"/>
      <c r="EHJ34" s="143"/>
      <c r="EHK34" s="143"/>
      <c r="EHL34" s="143"/>
      <c r="EHM34" s="143"/>
      <c r="EHN34" s="143"/>
      <c r="EHO34" s="143"/>
      <c r="EHP34" s="143"/>
      <c r="EHQ34" s="143"/>
      <c r="EHR34" s="143"/>
      <c r="EHS34" s="143"/>
      <c r="EHT34" s="143"/>
      <c r="EHU34" s="143"/>
      <c r="EHV34" s="143"/>
      <c r="EHW34" s="143"/>
      <c r="EHX34" s="143"/>
      <c r="EHY34" s="143"/>
      <c r="EHZ34" s="143"/>
      <c r="EIA34" s="143"/>
      <c r="EIB34" s="143"/>
      <c r="EIC34" s="143"/>
      <c r="EID34" s="143"/>
      <c r="EIE34" s="143"/>
      <c r="EIF34" s="143"/>
      <c r="EIG34" s="143"/>
      <c r="EIH34" s="143"/>
      <c r="EII34" s="143"/>
      <c r="EIJ34" s="143"/>
      <c r="EIK34" s="143"/>
      <c r="EIL34" s="143"/>
      <c r="EIM34" s="143"/>
      <c r="EIN34" s="143"/>
      <c r="EIO34" s="143"/>
      <c r="EIP34" s="143"/>
      <c r="EIQ34" s="143"/>
      <c r="EIR34" s="143"/>
      <c r="EIS34" s="143"/>
      <c r="EIT34" s="143"/>
      <c r="EIU34" s="143"/>
      <c r="EIV34" s="143"/>
      <c r="EIW34" s="143"/>
      <c r="EIX34" s="143"/>
      <c r="EIY34" s="143"/>
      <c r="EIZ34" s="143"/>
      <c r="EJA34" s="143"/>
      <c r="EJB34" s="143"/>
      <c r="EJC34" s="143"/>
      <c r="EJD34" s="143"/>
      <c r="EJE34" s="143"/>
      <c r="EJF34" s="143"/>
      <c r="EJG34" s="143"/>
      <c r="EJH34" s="143"/>
      <c r="EJI34" s="143"/>
      <c r="EJJ34" s="143"/>
      <c r="EJK34" s="143"/>
      <c r="EJL34" s="143"/>
      <c r="EJM34" s="143"/>
      <c r="EJN34" s="143"/>
      <c r="EJO34" s="143"/>
      <c r="EJP34" s="143"/>
      <c r="EJQ34" s="143"/>
      <c r="EJR34" s="143"/>
      <c r="EJS34" s="143"/>
      <c r="EJT34" s="143"/>
      <c r="EJU34" s="143"/>
      <c r="EJV34" s="143"/>
      <c r="EJW34" s="143"/>
      <c r="EJX34" s="143"/>
      <c r="EJY34" s="143"/>
      <c r="EJZ34" s="143"/>
      <c r="EKA34" s="143"/>
      <c r="EKB34" s="143"/>
      <c r="EKC34" s="143"/>
      <c r="EKD34" s="143"/>
      <c r="EKE34" s="143"/>
      <c r="EKF34" s="143"/>
      <c r="EKG34" s="143"/>
      <c r="EKH34" s="143"/>
      <c r="EKI34" s="143"/>
      <c r="EKJ34" s="143"/>
      <c r="EKK34" s="143"/>
      <c r="EKL34" s="143"/>
      <c r="EKM34" s="143"/>
      <c r="EKN34" s="143"/>
      <c r="EKO34" s="143"/>
      <c r="EKP34" s="143"/>
      <c r="EKQ34" s="143"/>
      <c r="EKR34" s="143"/>
      <c r="EKS34" s="143"/>
      <c r="EKT34" s="143"/>
      <c r="EKU34" s="143"/>
      <c r="EKV34" s="143"/>
      <c r="EKW34" s="143"/>
      <c r="EKX34" s="143"/>
      <c r="EKY34" s="143"/>
      <c r="EKZ34" s="143"/>
      <c r="ELA34" s="143"/>
      <c r="ELB34" s="143"/>
      <c r="ELC34" s="143"/>
      <c r="ELD34" s="143"/>
      <c r="ELE34" s="143"/>
      <c r="ELF34" s="143"/>
      <c r="ELG34" s="143"/>
      <c r="ELH34" s="143"/>
      <c r="ELI34" s="143"/>
      <c r="ELJ34" s="143"/>
      <c r="ELK34" s="143"/>
      <c r="ELL34" s="143"/>
      <c r="ELM34" s="143"/>
      <c r="ELN34" s="143"/>
      <c r="ELO34" s="143"/>
      <c r="ELP34" s="143"/>
      <c r="ELQ34" s="143"/>
      <c r="ELR34" s="143"/>
      <c r="ELS34" s="143"/>
      <c r="ELT34" s="143"/>
      <c r="ELU34" s="143"/>
      <c r="ELV34" s="143"/>
      <c r="ELW34" s="143"/>
      <c r="ELX34" s="143"/>
      <c r="ELY34" s="143"/>
      <c r="ELZ34" s="143"/>
      <c r="EMA34" s="143"/>
      <c r="EMB34" s="143"/>
      <c r="EMC34" s="143"/>
      <c r="EMD34" s="143"/>
      <c r="EME34" s="143"/>
      <c r="EMF34" s="143"/>
      <c r="EMG34" s="143"/>
      <c r="EMH34" s="143"/>
      <c r="EMI34" s="143"/>
      <c r="EMJ34" s="143"/>
      <c r="EMK34" s="143"/>
      <c r="EML34" s="143"/>
      <c r="EMM34" s="143"/>
      <c r="EMN34" s="143"/>
      <c r="EMO34" s="143"/>
      <c r="EMP34" s="143"/>
      <c r="EMQ34" s="143"/>
      <c r="EMR34" s="143"/>
      <c r="EMS34" s="143"/>
      <c r="EMT34" s="143"/>
      <c r="EMU34" s="143"/>
      <c r="EMV34" s="143"/>
      <c r="EMW34" s="143"/>
      <c r="EMX34" s="143"/>
      <c r="EMY34" s="143"/>
      <c r="EMZ34" s="143"/>
      <c r="ENA34" s="143"/>
      <c r="ENB34" s="143"/>
      <c r="ENC34" s="143"/>
      <c r="END34" s="143"/>
      <c r="ENE34" s="143"/>
      <c r="ENF34" s="143"/>
      <c r="ENG34" s="143"/>
      <c r="ENH34" s="143"/>
      <c r="ENI34" s="143"/>
      <c r="ENJ34" s="143"/>
      <c r="ENK34" s="143"/>
      <c r="ENL34" s="143"/>
      <c r="ENM34" s="143"/>
      <c r="ENN34" s="143"/>
      <c r="ENO34" s="143"/>
      <c r="ENP34" s="143"/>
      <c r="ENQ34" s="143"/>
      <c r="ENR34" s="143"/>
      <c r="ENS34" s="143"/>
      <c r="ENT34" s="143"/>
      <c r="ENU34" s="143"/>
      <c r="ENV34" s="143"/>
      <c r="ENW34" s="143"/>
      <c r="ENX34" s="143"/>
      <c r="ENY34" s="143"/>
      <c r="ENZ34" s="143"/>
      <c r="EOA34" s="143"/>
      <c r="EOB34" s="143"/>
      <c r="EOC34" s="143"/>
      <c r="EOD34" s="143"/>
      <c r="EOE34" s="143"/>
      <c r="EOF34" s="143"/>
      <c r="EOG34" s="143"/>
      <c r="EOH34" s="143"/>
      <c r="EOI34" s="143"/>
      <c r="EOJ34" s="143"/>
      <c r="EOK34" s="143"/>
      <c r="EOL34" s="143"/>
      <c r="EOM34" s="143"/>
      <c r="EON34" s="143"/>
      <c r="EOO34" s="143"/>
      <c r="EOP34" s="143"/>
      <c r="EOQ34" s="143"/>
      <c r="EOR34" s="143"/>
      <c r="EOS34" s="143"/>
      <c r="EOT34" s="143"/>
      <c r="EOU34" s="143"/>
      <c r="EOV34" s="143"/>
      <c r="EOW34" s="143"/>
      <c r="EOX34" s="143"/>
      <c r="EOY34" s="143"/>
      <c r="EOZ34" s="143"/>
      <c r="EPA34" s="143"/>
      <c r="EPB34" s="143"/>
      <c r="EPC34" s="143"/>
      <c r="EPD34" s="143"/>
      <c r="EPE34" s="143"/>
      <c r="EPF34" s="143"/>
      <c r="EPG34" s="143"/>
      <c r="EPH34" s="143"/>
      <c r="EPI34" s="143"/>
      <c r="EPJ34" s="143"/>
      <c r="EPK34" s="143"/>
      <c r="EPL34" s="143"/>
      <c r="EPM34" s="143"/>
      <c r="EPN34" s="143"/>
      <c r="EPO34" s="143"/>
      <c r="EPP34" s="143"/>
      <c r="EPQ34" s="143"/>
      <c r="EPR34" s="143"/>
      <c r="EPS34" s="143"/>
      <c r="EPT34" s="143"/>
      <c r="EPU34" s="143"/>
      <c r="EPV34" s="143"/>
      <c r="EPW34" s="143"/>
      <c r="EPX34" s="143"/>
      <c r="EPY34" s="143"/>
      <c r="EPZ34" s="143"/>
      <c r="EQA34" s="143"/>
      <c r="EQB34" s="143"/>
      <c r="EQC34" s="143"/>
      <c r="EQD34" s="143"/>
      <c r="EQE34" s="143"/>
      <c r="EQF34" s="143"/>
      <c r="EQG34" s="143"/>
      <c r="EQH34" s="143"/>
      <c r="EQI34" s="143"/>
      <c r="EQJ34" s="143"/>
      <c r="EQK34" s="143"/>
      <c r="EQL34" s="143"/>
      <c r="EQM34" s="143"/>
      <c r="EQN34" s="143"/>
      <c r="EQO34" s="143"/>
      <c r="EQP34" s="143"/>
      <c r="EQQ34" s="143"/>
      <c r="EQR34" s="143"/>
      <c r="EQS34" s="143"/>
      <c r="EQT34" s="143"/>
      <c r="EQU34" s="143"/>
      <c r="EQV34" s="143"/>
      <c r="EQW34" s="143"/>
      <c r="EQX34" s="143"/>
      <c r="EQY34" s="143"/>
      <c r="EQZ34" s="143"/>
      <c r="ERA34" s="143"/>
      <c r="ERB34" s="143"/>
      <c r="ERC34" s="143"/>
      <c r="ERD34" s="143"/>
      <c r="ERE34" s="143"/>
      <c r="ERF34" s="143"/>
      <c r="ERG34" s="143"/>
      <c r="ERH34" s="143"/>
      <c r="ERI34" s="143"/>
      <c r="ERJ34" s="143"/>
      <c r="ERK34" s="143"/>
      <c r="ERL34" s="143"/>
      <c r="ERM34" s="143"/>
      <c r="ERN34" s="143"/>
      <c r="ERO34" s="143"/>
      <c r="ERP34" s="143"/>
      <c r="ERQ34" s="143"/>
      <c r="ERR34" s="143"/>
      <c r="ERS34" s="143"/>
      <c r="ERT34" s="143"/>
      <c r="ERU34" s="143"/>
      <c r="ERV34" s="143"/>
      <c r="ERW34" s="143"/>
      <c r="ERX34" s="143"/>
      <c r="ERY34" s="143"/>
      <c r="ERZ34" s="143"/>
      <c r="ESA34" s="143"/>
      <c r="ESB34" s="143"/>
      <c r="ESC34" s="143"/>
      <c r="ESD34" s="143"/>
      <c r="ESE34" s="143"/>
      <c r="ESF34" s="143"/>
      <c r="ESG34" s="143"/>
      <c r="ESH34" s="143"/>
      <c r="ESI34" s="143"/>
      <c r="ESJ34" s="143"/>
      <c r="ESK34" s="143"/>
      <c r="ESL34" s="143"/>
      <c r="ESM34" s="143"/>
      <c r="ESN34" s="143"/>
      <c r="ESO34" s="143"/>
      <c r="ESP34" s="143"/>
      <c r="ESQ34" s="143"/>
      <c r="ESR34" s="143"/>
      <c r="ESS34" s="143"/>
      <c r="EST34" s="143"/>
      <c r="ESU34" s="143"/>
      <c r="ESV34" s="143"/>
      <c r="ESW34" s="143"/>
      <c r="ESX34" s="143"/>
      <c r="ESY34" s="143"/>
      <c r="ESZ34" s="143"/>
      <c r="ETA34" s="143"/>
      <c r="ETB34" s="143"/>
      <c r="ETC34" s="143"/>
      <c r="ETD34" s="143"/>
      <c r="ETE34" s="143"/>
      <c r="ETF34" s="143"/>
      <c r="ETG34" s="143"/>
      <c r="ETH34" s="143"/>
      <c r="ETI34" s="143"/>
      <c r="ETJ34" s="143"/>
      <c r="ETK34" s="143"/>
      <c r="ETL34" s="143"/>
      <c r="ETM34" s="143"/>
      <c r="ETN34" s="143"/>
      <c r="ETO34" s="143"/>
      <c r="ETP34" s="143"/>
      <c r="ETQ34" s="143"/>
      <c r="ETR34" s="143"/>
      <c r="ETS34" s="143"/>
      <c r="ETT34" s="143"/>
      <c r="ETU34" s="143"/>
      <c r="ETV34" s="143"/>
      <c r="ETW34" s="143"/>
      <c r="ETX34" s="143"/>
      <c r="ETY34" s="143"/>
      <c r="ETZ34" s="143"/>
      <c r="EUA34" s="143"/>
      <c r="EUB34" s="143"/>
      <c r="EUC34" s="143"/>
      <c r="EUD34" s="143"/>
      <c r="EUE34" s="143"/>
      <c r="EUF34" s="143"/>
      <c r="EUG34" s="143"/>
      <c r="EUH34" s="143"/>
      <c r="EUI34" s="143"/>
      <c r="EUJ34" s="143"/>
      <c r="EUK34" s="143"/>
      <c r="EUL34" s="143"/>
      <c r="EUM34" s="143"/>
      <c r="EUN34" s="143"/>
      <c r="EUO34" s="143"/>
      <c r="EUP34" s="143"/>
      <c r="EUQ34" s="143"/>
      <c r="EUR34" s="143"/>
      <c r="EUS34" s="143"/>
      <c r="EUT34" s="143"/>
      <c r="EUU34" s="143"/>
      <c r="EUV34" s="143"/>
      <c r="EUW34" s="143"/>
      <c r="EUX34" s="143"/>
      <c r="EUY34" s="143"/>
      <c r="EUZ34" s="143"/>
      <c r="EVA34" s="143"/>
      <c r="EVB34" s="143"/>
      <c r="EVC34" s="143"/>
      <c r="EVD34" s="143"/>
      <c r="EVE34" s="143"/>
      <c r="EVF34" s="143"/>
      <c r="EVG34" s="143"/>
      <c r="EVH34" s="143"/>
      <c r="EVI34" s="143"/>
      <c r="EVJ34" s="143"/>
      <c r="EVK34" s="143"/>
      <c r="EVL34" s="143"/>
      <c r="EVM34" s="143"/>
      <c r="EVN34" s="143"/>
      <c r="EVO34" s="143"/>
      <c r="EVP34" s="143"/>
      <c r="EVQ34" s="143"/>
      <c r="EVR34" s="143"/>
      <c r="EVS34" s="143"/>
      <c r="EVT34" s="143"/>
      <c r="EVU34" s="143"/>
      <c r="EVV34" s="143"/>
      <c r="EVW34" s="143"/>
      <c r="EVX34" s="143"/>
      <c r="EVY34" s="143"/>
      <c r="EVZ34" s="143"/>
      <c r="EWA34" s="143"/>
      <c r="EWB34" s="143"/>
      <c r="EWC34" s="143"/>
      <c r="EWD34" s="143"/>
      <c r="EWE34" s="143"/>
      <c r="EWF34" s="143"/>
      <c r="EWG34" s="143"/>
      <c r="EWH34" s="143"/>
      <c r="EWI34" s="143"/>
      <c r="EWJ34" s="143"/>
      <c r="EWK34" s="143"/>
      <c r="EWL34" s="143"/>
      <c r="EWM34" s="143"/>
      <c r="EWN34" s="143"/>
      <c r="EWO34" s="143"/>
      <c r="EWP34" s="143"/>
      <c r="EWQ34" s="143"/>
      <c r="EWR34" s="143"/>
      <c r="EWS34" s="143"/>
      <c r="EWT34" s="143"/>
      <c r="EWU34" s="143"/>
      <c r="EWV34" s="143"/>
      <c r="EWW34" s="143"/>
      <c r="EWX34" s="143"/>
      <c r="EWY34" s="143"/>
      <c r="EWZ34" s="143"/>
      <c r="EXA34" s="143"/>
      <c r="EXB34" s="143"/>
      <c r="EXC34" s="143"/>
      <c r="EXD34" s="143"/>
      <c r="EXE34" s="143"/>
      <c r="EXF34" s="143"/>
      <c r="EXG34" s="143"/>
      <c r="EXH34" s="143"/>
      <c r="EXI34" s="143"/>
      <c r="EXJ34" s="143"/>
      <c r="EXK34" s="143"/>
      <c r="EXL34" s="143"/>
      <c r="EXM34" s="143"/>
      <c r="EXN34" s="143"/>
      <c r="EXO34" s="143"/>
      <c r="EXP34" s="143"/>
      <c r="EXQ34" s="143"/>
      <c r="EXR34" s="143"/>
      <c r="EXS34" s="143"/>
      <c r="EXT34" s="143"/>
      <c r="EXU34" s="143"/>
      <c r="EXV34" s="143"/>
      <c r="EXW34" s="143"/>
      <c r="EXX34" s="143"/>
      <c r="EXY34" s="143"/>
      <c r="EXZ34" s="143"/>
      <c r="EYA34" s="143"/>
      <c r="EYB34" s="143"/>
      <c r="EYC34" s="143"/>
      <c r="EYD34" s="143"/>
      <c r="EYE34" s="143"/>
      <c r="EYF34" s="143"/>
      <c r="EYG34" s="143"/>
      <c r="EYH34" s="143"/>
      <c r="EYI34" s="143"/>
      <c r="EYJ34" s="143"/>
      <c r="EYK34" s="143"/>
      <c r="EYL34" s="143"/>
      <c r="EYM34" s="143"/>
      <c r="EYN34" s="143"/>
      <c r="EYO34" s="143"/>
      <c r="EYP34" s="143"/>
      <c r="EYQ34" s="143"/>
      <c r="EYR34" s="143"/>
      <c r="EYS34" s="143"/>
      <c r="EYT34" s="143"/>
      <c r="EYU34" s="143"/>
      <c r="EYV34" s="143"/>
      <c r="EYW34" s="143"/>
      <c r="EYX34" s="143"/>
      <c r="EYY34" s="143"/>
      <c r="EYZ34" s="143"/>
      <c r="EZA34" s="143"/>
      <c r="EZB34" s="143"/>
      <c r="EZC34" s="143"/>
      <c r="EZD34" s="143"/>
      <c r="EZE34" s="143"/>
      <c r="EZF34" s="143"/>
      <c r="EZG34" s="143"/>
      <c r="EZH34" s="143"/>
      <c r="EZI34" s="143"/>
      <c r="EZJ34" s="143"/>
      <c r="EZK34" s="143"/>
      <c r="EZL34" s="143"/>
      <c r="EZM34" s="143"/>
      <c r="EZN34" s="143"/>
      <c r="EZO34" s="143"/>
      <c r="EZP34" s="143"/>
      <c r="EZQ34" s="143"/>
      <c r="EZR34" s="143"/>
      <c r="EZS34" s="143"/>
      <c r="EZT34" s="143"/>
      <c r="EZU34" s="143"/>
      <c r="EZV34" s="143"/>
      <c r="EZW34" s="143"/>
      <c r="EZX34" s="143"/>
      <c r="EZY34" s="143"/>
      <c r="EZZ34" s="143"/>
      <c r="FAA34" s="143"/>
      <c r="FAB34" s="143"/>
      <c r="FAC34" s="143"/>
      <c r="FAD34" s="143"/>
      <c r="FAE34" s="143"/>
      <c r="FAF34" s="143"/>
      <c r="FAG34" s="143"/>
      <c r="FAH34" s="143"/>
      <c r="FAI34" s="143"/>
      <c r="FAJ34" s="143"/>
      <c r="FAK34" s="143"/>
      <c r="FAL34" s="143"/>
      <c r="FAM34" s="143"/>
      <c r="FAN34" s="143"/>
      <c r="FAO34" s="143"/>
      <c r="FAP34" s="143"/>
      <c r="FAQ34" s="143"/>
      <c r="FAR34" s="143"/>
      <c r="FAS34" s="143"/>
      <c r="FAT34" s="143"/>
      <c r="FAU34" s="143"/>
      <c r="FAV34" s="143"/>
      <c r="FAW34" s="143"/>
      <c r="FAX34" s="143"/>
      <c r="FAY34" s="143"/>
      <c r="FAZ34" s="143"/>
      <c r="FBA34" s="143"/>
      <c r="FBB34" s="143"/>
      <c r="FBC34" s="143"/>
      <c r="FBD34" s="143"/>
      <c r="FBE34" s="143"/>
      <c r="FBF34" s="143"/>
      <c r="FBG34" s="143"/>
      <c r="FBH34" s="143"/>
      <c r="FBI34" s="143"/>
      <c r="FBJ34" s="143"/>
      <c r="FBK34" s="143"/>
      <c r="FBL34" s="143"/>
      <c r="FBM34" s="143"/>
      <c r="FBN34" s="143"/>
      <c r="FBO34" s="143"/>
      <c r="FBP34" s="143"/>
      <c r="FBQ34" s="143"/>
      <c r="FBR34" s="143"/>
      <c r="FBS34" s="143"/>
      <c r="FBT34" s="143"/>
      <c r="FBU34" s="143"/>
      <c r="FBV34" s="143"/>
      <c r="FBW34" s="143"/>
      <c r="FBX34" s="143"/>
      <c r="FBY34" s="143"/>
      <c r="FBZ34" s="143"/>
      <c r="FCA34" s="143"/>
      <c r="FCB34" s="143"/>
      <c r="FCC34" s="143"/>
      <c r="FCD34" s="143"/>
      <c r="FCE34" s="143"/>
      <c r="FCF34" s="143"/>
      <c r="FCG34" s="143"/>
      <c r="FCH34" s="143"/>
      <c r="FCI34" s="143"/>
      <c r="FCJ34" s="143"/>
      <c r="FCK34" s="143"/>
      <c r="FCL34" s="143"/>
      <c r="FCM34" s="143"/>
      <c r="FCN34" s="143"/>
      <c r="FCO34" s="143"/>
      <c r="FCP34" s="143"/>
      <c r="FCQ34" s="143"/>
      <c r="FCR34" s="143"/>
      <c r="FCS34" s="143"/>
      <c r="FCT34" s="143"/>
      <c r="FCU34" s="143"/>
      <c r="FCV34" s="143"/>
      <c r="FCW34" s="143"/>
      <c r="FCX34" s="143"/>
      <c r="FCY34" s="143"/>
      <c r="FCZ34" s="143"/>
      <c r="FDA34" s="143"/>
      <c r="FDB34" s="143"/>
      <c r="FDC34" s="143"/>
      <c r="FDD34" s="143"/>
      <c r="FDE34" s="143"/>
      <c r="FDF34" s="143"/>
      <c r="FDG34" s="143"/>
      <c r="FDH34" s="143"/>
      <c r="FDI34" s="143"/>
      <c r="FDJ34" s="143"/>
      <c r="FDK34" s="143"/>
      <c r="FDL34" s="143"/>
      <c r="FDM34" s="143"/>
      <c r="FDN34" s="143"/>
      <c r="FDO34" s="143"/>
      <c r="FDP34" s="143"/>
      <c r="FDQ34" s="143"/>
      <c r="FDR34" s="143"/>
      <c r="FDS34" s="143"/>
      <c r="FDT34" s="143"/>
      <c r="FDU34" s="143"/>
      <c r="FDV34" s="143"/>
      <c r="FDW34" s="143"/>
      <c r="FDX34" s="143"/>
      <c r="FDY34" s="143"/>
      <c r="FDZ34" s="143"/>
      <c r="FEA34" s="143"/>
      <c r="FEB34" s="143"/>
      <c r="FEC34" s="143"/>
      <c r="FED34" s="143"/>
      <c r="FEE34" s="143"/>
      <c r="FEF34" s="143"/>
      <c r="FEG34" s="143"/>
      <c r="FEH34" s="143"/>
      <c r="FEI34" s="143"/>
      <c r="FEJ34" s="143"/>
      <c r="FEK34" s="143"/>
      <c r="FEL34" s="143"/>
      <c r="FEM34" s="143"/>
      <c r="FEN34" s="143"/>
      <c r="FEO34" s="143"/>
      <c r="FEP34" s="143"/>
      <c r="FEQ34" s="143"/>
      <c r="FER34" s="143"/>
      <c r="FES34" s="143"/>
      <c r="FET34" s="143"/>
      <c r="FEU34" s="143"/>
      <c r="FEV34" s="143"/>
      <c r="FEW34" s="143"/>
      <c r="FEX34" s="143"/>
      <c r="FEY34" s="143"/>
      <c r="FEZ34" s="143"/>
      <c r="FFA34" s="143"/>
      <c r="FFB34" s="143"/>
      <c r="FFC34" s="143"/>
      <c r="FFD34" s="143"/>
      <c r="FFE34" s="143"/>
      <c r="FFF34" s="143"/>
      <c r="FFG34" s="143"/>
      <c r="FFH34" s="143"/>
      <c r="FFI34" s="143"/>
      <c r="FFJ34" s="143"/>
      <c r="FFK34" s="143"/>
      <c r="FFL34" s="143"/>
      <c r="FFM34" s="143"/>
      <c r="FFN34" s="143"/>
      <c r="FFO34" s="143"/>
      <c r="FFP34" s="143"/>
      <c r="FFQ34" s="143"/>
      <c r="FFR34" s="143"/>
      <c r="FFS34" s="143"/>
      <c r="FFT34" s="143"/>
      <c r="FFU34" s="143"/>
      <c r="FFV34" s="143"/>
      <c r="FFW34" s="143"/>
      <c r="FFX34" s="143"/>
      <c r="FFY34" s="143"/>
      <c r="FFZ34" s="143"/>
      <c r="FGA34" s="143"/>
      <c r="FGB34" s="143"/>
      <c r="FGC34" s="143"/>
      <c r="FGD34" s="143"/>
      <c r="FGE34" s="143"/>
      <c r="FGF34" s="143"/>
      <c r="FGG34" s="143"/>
      <c r="FGH34" s="143"/>
      <c r="FGI34" s="143"/>
      <c r="FGJ34" s="143"/>
      <c r="FGK34" s="143"/>
      <c r="FGL34" s="143"/>
      <c r="FGM34" s="143"/>
      <c r="FGN34" s="143"/>
      <c r="FGO34" s="143"/>
      <c r="FGP34" s="143"/>
      <c r="FGQ34" s="143"/>
      <c r="FGR34" s="143"/>
      <c r="FGS34" s="143"/>
      <c r="FGT34" s="143"/>
      <c r="FGU34" s="143"/>
      <c r="FGV34" s="143"/>
      <c r="FGW34" s="143"/>
      <c r="FGX34" s="143"/>
      <c r="FGY34" s="143"/>
      <c r="FGZ34" s="143"/>
      <c r="FHA34" s="143"/>
      <c r="FHB34" s="143"/>
      <c r="FHC34" s="143"/>
      <c r="FHD34" s="143"/>
      <c r="FHE34" s="143"/>
      <c r="FHF34" s="143"/>
      <c r="FHG34" s="143"/>
      <c r="FHH34" s="143"/>
      <c r="FHI34" s="143"/>
      <c r="FHJ34" s="143"/>
      <c r="FHK34" s="143"/>
      <c r="FHL34" s="143"/>
      <c r="FHM34" s="143"/>
      <c r="FHN34" s="143"/>
      <c r="FHO34" s="143"/>
      <c r="FHP34" s="143"/>
      <c r="FHQ34" s="143"/>
      <c r="FHR34" s="143"/>
      <c r="FHS34" s="143"/>
      <c r="FHT34" s="143"/>
      <c r="FHU34" s="143"/>
      <c r="FHV34" s="143"/>
      <c r="FHW34" s="143"/>
      <c r="FHX34" s="143"/>
      <c r="FHY34" s="143"/>
      <c r="FHZ34" s="143"/>
      <c r="FIA34" s="143"/>
      <c r="FIB34" s="143"/>
      <c r="FIC34" s="143"/>
      <c r="FID34" s="143"/>
      <c r="FIE34" s="143"/>
      <c r="FIF34" s="143"/>
      <c r="FIG34" s="143"/>
      <c r="FIH34" s="143"/>
      <c r="FII34" s="143"/>
      <c r="FIJ34" s="143"/>
      <c r="FIK34" s="143"/>
      <c r="FIL34" s="143"/>
      <c r="FIM34" s="143"/>
      <c r="FIN34" s="143"/>
      <c r="FIO34" s="143"/>
      <c r="FIP34" s="143"/>
      <c r="FIQ34" s="143"/>
      <c r="FIR34" s="143"/>
      <c r="FIS34" s="143"/>
      <c r="FIT34" s="143"/>
      <c r="FIU34" s="143"/>
      <c r="FIV34" s="143"/>
      <c r="FIW34" s="143"/>
      <c r="FIX34" s="143"/>
      <c r="FIY34" s="143"/>
      <c r="FIZ34" s="143"/>
      <c r="FJA34" s="143"/>
      <c r="FJB34" s="143"/>
      <c r="FJC34" s="143"/>
      <c r="FJD34" s="143"/>
      <c r="FJE34" s="143"/>
      <c r="FJF34" s="143"/>
      <c r="FJG34" s="143"/>
      <c r="FJH34" s="143"/>
      <c r="FJI34" s="143"/>
      <c r="FJJ34" s="143"/>
      <c r="FJK34" s="143"/>
      <c r="FJL34" s="143"/>
      <c r="FJM34" s="143"/>
      <c r="FJN34" s="143"/>
      <c r="FJO34" s="143"/>
      <c r="FJP34" s="143"/>
      <c r="FJQ34" s="143"/>
      <c r="FJR34" s="143"/>
      <c r="FJS34" s="143"/>
      <c r="FJT34" s="143"/>
      <c r="FJU34" s="143"/>
      <c r="FJV34" s="143"/>
      <c r="FJW34" s="143"/>
      <c r="FJX34" s="143"/>
      <c r="FJY34" s="143"/>
      <c r="FJZ34" s="143"/>
      <c r="FKA34" s="143"/>
      <c r="FKB34" s="143"/>
      <c r="FKC34" s="143"/>
      <c r="FKD34" s="143"/>
      <c r="FKE34" s="143"/>
      <c r="FKF34" s="143"/>
      <c r="FKG34" s="143"/>
      <c r="FKH34" s="143"/>
      <c r="FKI34" s="143"/>
      <c r="FKJ34" s="143"/>
      <c r="FKK34" s="143"/>
      <c r="FKL34" s="143"/>
      <c r="FKM34" s="143"/>
      <c r="FKN34" s="143"/>
      <c r="FKO34" s="143"/>
      <c r="FKP34" s="143"/>
      <c r="FKQ34" s="143"/>
      <c r="FKR34" s="143"/>
      <c r="FKS34" s="143"/>
      <c r="FKT34" s="143"/>
      <c r="FKU34" s="143"/>
      <c r="FKV34" s="143"/>
      <c r="FKW34" s="143"/>
      <c r="FKX34" s="143"/>
      <c r="FKY34" s="143"/>
      <c r="FKZ34" s="143"/>
      <c r="FLA34" s="143"/>
      <c r="FLB34" s="143"/>
      <c r="FLC34" s="143"/>
      <c r="FLD34" s="143"/>
      <c r="FLE34" s="143"/>
      <c r="FLF34" s="143"/>
      <c r="FLG34" s="143"/>
      <c r="FLH34" s="143"/>
      <c r="FLI34" s="143"/>
      <c r="FLJ34" s="143"/>
      <c r="FLK34" s="143"/>
      <c r="FLL34" s="143"/>
      <c r="FLM34" s="143"/>
      <c r="FLN34" s="143"/>
      <c r="FLO34" s="143"/>
      <c r="FLP34" s="143"/>
      <c r="FLQ34" s="143"/>
      <c r="FLR34" s="143"/>
      <c r="FLS34" s="143"/>
      <c r="FLT34" s="143"/>
      <c r="FLU34" s="143"/>
      <c r="FLV34" s="143"/>
      <c r="FLW34" s="143"/>
      <c r="FLX34" s="143"/>
      <c r="FLY34" s="143"/>
      <c r="FLZ34" s="143"/>
      <c r="FMA34" s="143"/>
      <c r="FMB34" s="143"/>
      <c r="FMC34" s="143"/>
      <c r="FMD34" s="143"/>
      <c r="FME34" s="143"/>
      <c r="FMF34" s="143"/>
      <c r="FMG34" s="143"/>
      <c r="FMH34" s="143"/>
      <c r="FMI34" s="143"/>
      <c r="FMJ34" s="143"/>
      <c r="FMK34" s="143"/>
      <c r="FML34" s="143"/>
      <c r="FMM34" s="143"/>
      <c r="FMN34" s="143"/>
      <c r="FMO34" s="143"/>
      <c r="FMP34" s="143"/>
      <c r="FMQ34" s="143"/>
      <c r="FMR34" s="143"/>
      <c r="FMS34" s="143"/>
      <c r="FMT34" s="143"/>
      <c r="FMU34" s="143"/>
      <c r="FMV34" s="143"/>
      <c r="FMW34" s="143"/>
      <c r="FMX34" s="143"/>
      <c r="FMY34" s="143"/>
      <c r="FMZ34" s="143"/>
      <c r="FNA34" s="143"/>
      <c r="FNB34" s="143"/>
      <c r="FNC34" s="143"/>
      <c r="FND34" s="143"/>
      <c r="FNE34" s="143"/>
      <c r="FNF34" s="143"/>
      <c r="FNG34" s="143"/>
      <c r="FNH34" s="143"/>
      <c r="FNI34" s="143"/>
      <c r="FNJ34" s="143"/>
      <c r="FNK34" s="143"/>
      <c r="FNL34" s="143"/>
      <c r="FNM34" s="143"/>
      <c r="FNN34" s="143"/>
      <c r="FNO34" s="143"/>
      <c r="FNP34" s="143"/>
      <c r="FNQ34" s="143"/>
      <c r="FNR34" s="143"/>
      <c r="FNS34" s="143"/>
      <c r="FNT34" s="143"/>
      <c r="FNU34" s="143"/>
      <c r="FNV34" s="143"/>
      <c r="FNW34" s="143"/>
      <c r="FNX34" s="143"/>
      <c r="FNY34" s="143"/>
      <c r="FNZ34" s="143"/>
      <c r="FOA34" s="143"/>
      <c r="FOB34" s="143"/>
      <c r="FOC34" s="143"/>
      <c r="FOD34" s="143"/>
      <c r="FOE34" s="143"/>
      <c r="FOF34" s="143"/>
      <c r="FOG34" s="143"/>
      <c r="FOH34" s="143"/>
      <c r="FOI34" s="143"/>
      <c r="FOJ34" s="143"/>
      <c r="FOK34" s="143"/>
      <c r="FOL34" s="143"/>
      <c r="FOM34" s="143"/>
      <c r="FON34" s="143"/>
      <c r="FOO34" s="143"/>
      <c r="FOP34" s="143"/>
      <c r="FOQ34" s="143"/>
      <c r="FOR34" s="143"/>
      <c r="FOS34" s="143"/>
      <c r="FOT34" s="143"/>
      <c r="FOU34" s="143"/>
      <c r="FOV34" s="143"/>
      <c r="FOW34" s="143"/>
      <c r="FOX34" s="143"/>
      <c r="FOY34" s="143"/>
      <c r="FOZ34" s="143"/>
      <c r="FPA34" s="143"/>
      <c r="FPB34" s="143"/>
      <c r="FPC34" s="143"/>
      <c r="FPD34" s="143"/>
      <c r="FPE34" s="143"/>
      <c r="FPF34" s="143"/>
      <c r="FPG34" s="143"/>
      <c r="FPH34" s="143"/>
      <c r="FPI34" s="143"/>
      <c r="FPJ34" s="143"/>
      <c r="FPK34" s="143"/>
      <c r="FPL34" s="143"/>
      <c r="FPM34" s="143"/>
      <c r="FPN34" s="143"/>
      <c r="FPO34" s="143"/>
      <c r="FPP34" s="143"/>
      <c r="FPQ34" s="143"/>
      <c r="FPR34" s="143"/>
      <c r="FPS34" s="143"/>
      <c r="FPT34" s="143"/>
      <c r="FPU34" s="143"/>
      <c r="FPV34" s="143"/>
      <c r="FPW34" s="143"/>
      <c r="FPX34" s="143"/>
      <c r="FPY34" s="143"/>
      <c r="FPZ34" s="143"/>
      <c r="FQA34" s="143"/>
      <c r="FQB34" s="143"/>
      <c r="FQC34" s="143"/>
      <c r="FQD34" s="143"/>
      <c r="FQE34" s="143"/>
      <c r="FQF34" s="143"/>
      <c r="FQG34" s="143"/>
      <c r="FQH34" s="143"/>
      <c r="FQI34" s="143"/>
      <c r="FQJ34" s="143"/>
      <c r="FQK34" s="143"/>
      <c r="FQL34" s="143"/>
      <c r="FQM34" s="143"/>
      <c r="FQN34" s="143"/>
      <c r="FQO34" s="143"/>
      <c r="FQP34" s="143"/>
      <c r="FQQ34" s="143"/>
      <c r="FQR34" s="143"/>
      <c r="FQS34" s="143"/>
      <c r="FQT34" s="143"/>
      <c r="FQU34" s="143"/>
      <c r="FQV34" s="143"/>
      <c r="FQW34" s="143"/>
      <c r="FQX34" s="143"/>
      <c r="FQY34" s="143"/>
      <c r="FQZ34" s="143"/>
      <c r="FRA34" s="143"/>
      <c r="FRB34" s="143"/>
      <c r="FRC34" s="143"/>
      <c r="FRD34" s="143"/>
      <c r="FRE34" s="143"/>
      <c r="FRF34" s="143"/>
      <c r="FRG34" s="143"/>
      <c r="FRH34" s="143"/>
      <c r="FRI34" s="143"/>
      <c r="FRJ34" s="143"/>
      <c r="FRK34" s="143"/>
      <c r="FRL34" s="143"/>
      <c r="FRM34" s="143"/>
      <c r="FRN34" s="143"/>
      <c r="FRO34" s="143"/>
      <c r="FRP34" s="143"/>
      <c r="FRQ34" s="143"/>
      <c r="FRR34" s="143"/>
      <c r="FRS34" s="143"/>
      <c r="FRT34" s="143"/>
      <c r="FRU34" s="143"/>
      <c r="FRV34" s="143"/>
      <c r="FRW34" s="143"/>
      <c r="FRX34" s="143"/>
      <c r="FRY34" s="143"/>
      <c r="FRZ34" s="143"/>
      <c r="FSA34" s="143"/>
      <c r="FSB34" s="143"/>
      <c r="FSC34" s="143"/>
      <c r="FSD34" s="143"/>
      <c r="FSE34" s="143"/>
      <c r="FSF34" s="143"/>
      <c r="FSG34" s="143"/>
      <c r="FSH34" s="143"/>
      <c r="FSI34" s="143"/>
      <c r="FSJ34" s="143"/>
      <c r="FSK34" s="143"/>
      <c r="FSL34" s="143"/>
      <c r="FSM34" s="143"/>
      <c r="FSN34" s="143"/>
      <c r="FSO34" s="143"/>
      <c r="FSP34" s="143"/>
      <c r="FSQ34" s="143"/>
      <c r="FSR34" s="143"/>
      <c r="FSS34" s="143"/>
      <c r="FST34" s="143"/>
      <c r="FSU34" s="143"/>
      <c r="FSV34" s="143"/>
      <c r="FSW34" s="143"/>
      <c r="FSX34" s="143"/>
      <c r="FSY34" s="143"/>
      <c r="FSZ34" s="143"/>
      <c r="FTA34" s="143"/>
      <c r="FTB34" s="143"/>
      <c r="FTC34" s="143"/>
      <c r="FTD34" s="143"/>
      <c r="FTE34" s="143"/>
      <c r="FTF34" s="143"/>
      <c r="FTG34" s="143"/>
      <c r="FTH34" s="143"/>
      <c r="FTI34" s="143"/>
      <c r="FTJ34" s="143"/>
      <c r="FTK34" s="143"/>
      <c r="FTL34" s="143"/>
      <c r="FTM34" s="143"/>
      <c r="FTN34" s="143"/>
      <c r="FTO34" s="143"/>
      <c r="FTP34" s="143"/>
      <c r="FTQ34" s="143"/>
      <c r="FTR34" s="143"/>
      <c r="FTS34" s="143"/>
      <c r="FTT34" s="143"/>
      <c r="FTU34" s="143"/>
      <c r="FTV34" s="143"/>
      <c r="FTW34" s="143"/>
      <c r="FTX34" s="143"/>
      <c r="FTY34" s="143"/>
      <c r="FTZ34" s="143"/>
      <c r="FUA34" s="143"/>
      <c r="FUB34" s="143"/>
      <c r="FUC34" s="143"/>
      <c r="FUD34" s="143"/>
      <c r="FUE34" s="143"/>
      <c r="FUF34" s="143"/>
      <c r="FUG34" s="143"/>
      <c r="FUH34" s="143"/>
      <c r="FUI34" s="143"/>
      <c r="FUJ34" s="143"/>
      <c r="FUK34" s="143"/>
      <c r="FUL34" s="143"/>
      <c r="FUM34" s="143"/>
      <c r="FUN34" s="143"/>
      <c r="FUO34" s="143"/>
      <c r="FUP34" s="143"/>
      <c r="FUQ34" s="143"/>
      <c r="FUR34" s="143"/>
      <c r="FUS34" s="143"/>
      <c r="FUT34" s="143"/>
      <c r="FUU34" s="143"/>
      <c r="FUV34" s="143"/>
      <c r="FUW34" s="143"/>
      <c r="FUX34" s="143"/>
      <c r="FUY34" s="143"/>
      <c r="FUZ34" s="143"/>
      <c r="FVA34" s="143"/>
      <c r="FVB34" s="143"/>
      <c r="FVC34" s="143"/>
      <c r="FVD34" s="143"/>
      <c r="FVE34" s="143"/>
      <c r="FVF34" s="143"/>
      <c r="FVG34" s="143"/>
      <c r="FVH34" s="143"/>
      <c r="FVI34" s="143"/>
      <c r="FVJ34" s="143"/>
      <c r="FVK34" s="143"/>
      <c r="FVL34" s="143"/>
      <c r="FVM34" s="143"/>
      <c r="FVN34" s="143"/>
      <c r="FVO34" s="143"/>
      <c r="FVP34" s="143"/>
      <c r="FVQ34" s="143"/>
      <c r="FVR34" s="143"/>
      <c r="FVS34" s="143"/>
      <c r="FVT34" s="143"/>
      <c r="FVU34" s="143"/>
      <c r="FVV34" s="143"/>
      <c r="FVW34" s="143"/>
      <c r="FVX34" s="143"/>
      <c r="FVY34" s="143"/>
      <c r="FVZ34" s="143"/>
      <c r="FWA34" s="143"/>
      <c r="FWB34" s="143"/>
      <c r="FWC34" s="143"/>
      <c r="FWD34" s="143"/>
      <c r="FWE34" s="143"/>
      <c r="FWF34" s="143"/>
      <c r="FWG34" s="143"/>
      <c r="FWH34" s="143"/>
      <c r="FWI34" s="143"/>
      <c r="FWJ34" s="143"/>
      <c r="FWK34" s="143"/>
      <c r="FWL34" s="143"/>
      <c r="FWM34" s="143"/>
      <c r="FWN34" s="143"/>
      <c r="FWO34" s="143"/>
      <c r="FWP34" s="143"/>
      <c r="FWQ34" s="143"/>
      <c r="FWR34" s="143"/>
      <c r="FWS34" s="143"/>
      <c r="FWT34" s="143"/>
      <c r="FWU34" s="143"/>
      <c r="FWV34" s="143"/>
      <c r="FWW34" s="143"/>
      <c r="FWX34" s="143"/>
      <c r="FWY34" s="143"/>
      <c r="FWZ34" s="143"/>
      <c r="FXA34" s="143"/>
      <c r="FXB34" s="143"/>
      <c r="FXC34" s="143"/>
      <c r="FXD34" s="143"/>
      <c r="FXE34" s="143"/>
      <c r="FXF34" s="143"/>
      <c r="FXG34" s="143"/>
      <c r="FXH34" s="143"/>
      <c r="FXI34" s="143"/>
      <c r="FXJ34" s="143"/>
      <c r="FXK34" s="143"/>
      <c r="FXL34" s="143"/>
      <c r="FXM34" s="143"/>
      <c r="FXN34" s="143"/>
      <c r="FXO34" s="143"/>
      <c r="FXP34" s="143"/>
      <c r="FXQ34" s="143"/>
      <c r="FXR34" s="143"/>
      <c r="FXS34" s="143"/>
      <c r="FXT34" s="143"/>
      <c r="FXU34" s="143"/>
      <c r="FXV34" s="143"/>
      <c r="FXW34" s="143"/>
      <c r="FXX34" s="143"/>
      <c r="FXY34" s="143"/>
      <c r="FXZ34" s="143"/>
      <c r="FYA34" s="143"/>
      <c r="FYB34" s="143"/>
      <c r="FYC34" s="143"/>
      <c r="FYD34" s="143"/>
      <c r="FYE34" s="143"/>
      <c r="FYF34" s="143"/>
      <c r="FYG34" s="143"/>
      <c r="FYH34" s="143"/>
      <c r="FYI34" s="143"/>
      <c r="FYJ34" s="143"/>
      <c r="FYK34" s="143"/>
      <c r="FYL34" s="143"/>
      <c r="FYM34" s="143"/>
      <c r="FYN34" s="143"/>
      <c r="FYO34" s="143"/>
      <c r="FYP34" s="143"/>
      <c r="FYQ34" s="143"/>
      <c r="FYR34" s="143"/>
      <c r="FYS34" s="143"/>
      <c r="FYT34" s="143"/>
      <c r="FYU34" s="143"/>
      <c r="FYV34" s="143"/>
      <c r="FYW34" s="143"/>
      <c r="FYX34" s="143"/>
      <c r="FYY34" s="143"/>
      <c r="FYZ34" s="143"/>
      <c r="FZA34" s="143"/>
      <c r="FZB34" s="143"/>
      <c r="FZC34" s="143"/>
      <c r="FZD34" s="143"/>
      <c r="FZE34" s="143"/>
      <c r="FZF34" s="143"/>
      <c r="FZG34" s="143"/>
      <c r="FZH34" s="143"/>
      <c r="FZI34" s="143"/>
      <c r="FZJ34" s="143"/>
      <c r="FZK34" s="143"/>
      <c r="FZL34" s="143"/>
      <c r="FZM34" s="143"/>
      <c r="FZN34" s="143"/>
      <c r="FZO34" s="143"/>
      <c r="FZP34" s="143"/>
      <c r="FZQ34" s="143"/>
      <c r="FZR34" s="143"/>
      <c r="FZS34" s="143"/>
      <c r="FZT34" s="143"/>
      <c r="FZU34" s="143"/>
      <c r="FZV34" s="143"/>
      <c r="FZW34" s="143"/>
      <c r="FZX34" s="143"/>
      <c r="FZY34" s="143"/>
      <c r="FZZ34" s="143"/>
      <c r="GAA34" s="143"/>
      <c r="GAB34" s="143"/>
      <c r="GAC34" s="143"/>
      <c r="GAD34" s="143"/>
      <c r="GAE34" s="143"/>
      <c r="GAF34" s="143"/>
      <c r="GAG34" s="143"/>
      <c r="GAH34" s="143"/>
      <c r="GAI34" s="143"/>
      <c r="GAJ34" s="143"/>
      <c r="GAK34" s="143"/>
      <c r="GAL34" s="143"/>
      <c r="GAM34" s="143"/>
      <c r="GAN34" s="143"/>
      <c r="GAO34" s="143"/>
      <c r="GAP34" s="143"/>
      <c r="GAQ34" s="143"/>
      <c r="GAR34" s="143"/>
      <c r="GAS34" s="143"/>
      <c r="GAT34" s="143"/>
      <c r="GAU34" s="143"/>
      <c r="GAV34" s="143"/>
      <c r="GAW34" s="143"/>
      <c r="GAX34" s="143"/>
      <c r="GAY34" s="143"/>
      <c r="GAZ34" s="143"/>
      <c r="GBA34" s="143"/>
      <c r="GBB34" s="143"/>
      <c r="GBC34" s="143"/>
      <c r="GBD34" s="143"/>
      <c r="GBE34" s="143"/>
      <c r="GBF34" s="143"/>
      <c r="GBG34" s="143"/>
      <c r="GBH34" s="143"/>
      <c r="GBI34" s="143"/>
      <c r="GBJ34" s="143"/>
      <c r="GBK34" s="143"/>
      <c r="GBL34" s="143"/>
      <c r="GBM34" s="143"/>
      <c r="GBN34" s="143"/>
      <c r="GBO34" s="143"/>
      <c r="GBP34" s="143"/>
      <c r="GBQ34" s="143"/>
      <c r="GBR34" s="143"/>
      <c r="GBS34" s="143"/>
      <c r="GBT34" s="143"/>
      <c r="GBU34" s="143"/>
      <c r="GBV34" s="143"/>
      <c r="GBW34" s="143"/>
      <c r="GBX34" s="143"/>
      <c r="GBY34" s="143"/>
      <c r="GBZ34" s="143"/>
      <c r="GCA34" s="143"/>
      <c r="GCB34" s="143"/>
      <c r="GCC34" s="143"/>
      <c r="GCD34" s="143"/>
      <c r="GCE34" s="143"/>
      <c r="GCF34" s="143"/>
      <c r="GCG34" s="143"/>
      <c r="GCH34" s="143"/>
      <c r="GCI34" s="143"/>
      <c r="GCJ34" s="143"/>
      <c r="GCK34" s="143"/>
      <c r="GCL34" s="143"/>
      <c r="GCM34" s="143"/>
      <c r="GCN34" s="143"/>
      <c r="GCO34" s="143"/>
      <c r="GCP34" s="143"/>
      <c r="GCQ34" s="143"/>
      <c r="GCR34" s="143"/>
      <c r="GCS34" s="143"/>
      <c r="GCT34" s="143"/>
      <c r="GCU34" s="143"/>
      <c r="GCV34" s="143"/>
      <c r="GCW34" s="143"/>
      <c r="GCX34" s="143"/>
      <c r="GCY34" s="143"/>
      <c r="GCZ34" s="143"/>
      <c r="GDA34" s="143"/>
      <c r="GDB34" s="143"/>
      <c r="GDC34" s="143"/>
      <c r="GDD34" s="143"/>
      <c r="GDE34" s="143"/>
      <c r="GDF34" s="143"/>
      <c r="GDG34" s="143"/>
      <c r="GDH34" s="143"/>
      <c r="GDI34" s="143"/>
      <c r="GDJ34" s="143"/>
      <c r="GDK34" s="143"/>
      <c r="GDL34" s="143"/>
      <c r="GDM34" s="143"/>
      <c r="GDN34" s="143"/>
      <c r="GDO34" s="143"/>
      <c r="GDP34" s="143"/>
      <c r="GDQ34" s="143"/>
      <c r="GDR34" s="143"/>
      <c r="GDS34" s="143"/>
      <c r="GDT34" s="143"/>
      <c r="GDU34" s="143"/>
      <c r="GDV34" s="143"/>
      <c r="GDW34" s="143"/>
      <c r="GDX34" s="143"/>
      <c r="GDY34" s="143"/>
      <c r="GDZ34" s="143"/>
      <c r="GEA34" s="143"/>
      <c r="GEB34" s="143"/>
      <c r="GEC34" s="143"/>
      <c r="GED34" s="143"/>
      <c r="GEE34" s="143"/>
      <c r="GEF34" s="143"/>
      <c r="GEG34" s="143"/>
      <c r="GEH34" s="143"/>
      <c r="GEI34" s="143"/>
      <c r="GEJ34" s="143"/>
      <c r="GEK34" s="143"/>
      <c r="GEL34" s="143"/>
      <c r="GEM34" s="143"/>
      <c r="GEN34" s="143"/>
      <c r="GEO34" s="143"/>
      <c r="GEP34" s="143"/>
      <c r="GEQ34" s="143"/>
      <c r="GER34" s="143"/>
      <c r="GES34" s="143"/>
      <c r="GET34" s="143"/>
      <c r="GEU34" s="143"/>
      <c r="GEV34" s="143"/>
      <c r="GEW34" s="143"/>
      <c r="GEX34" s="143"/>
      <c r="GEY34" s="143"/>
      <c r="GEZ34" s="143"/>
      <c r="GFA34" s="143"/>
      <c r="GFB34" s="143"/>
      <c r="GFC34" s="143"/>
      <c r="GFD34" s="143"/>
      <c r="GFE34" s="143"/>
      <c r="GFF34" s="143"/>
      <c r="GFG34" s="143"/>
      <c r="GFH34" s="143"/>
      <c r="GFI34" s="143"/>
      <c r="GFJ34" s="143"/>
      <c r="GFK34" s="143"/>
      <c r="GFL34" s="143"/>
      <c r="GFM34" s="143"/>
      <c r="GFN34" s="143"/>
      <c r="GFO34" s="143"/>
      <c r="GFP34" s="143"/>
      <c r="GFQ34" s="143"/>
      <c r="GFR34" s="143"/>
      <c r="GFS34" s="143"/>
      <c r="GFT34" s="143"/>
      <c r="GFU34" s="143"/>
      <c r="GFV34" s="143"/>
      <c r="GFW34" s="143"/>
      <c r="GFX34" s="143"/>
      <c r="GFY34" s="143"/>
      <c r="GFZ34" s="143"/>
      <c r="GGA34" s="143"/>
      <c r="GGB34" s="143"/>
      <c r="GGC34" s="143"/>
      <c r="GGD34" s="143"/>
      <c r="GGE34" s="143"/>
      <c r="GGF34" s="143"/>
      <c r="GGG34" s="143"/>
      <c r="GGH34" s="143"/>
      <c r="GGI34" s="143"/>
      <c r="GGJ34" s="143"/>
      <c r="GGK34" s="143"/>
      <c r="GGL34" s="143"/>
      <c r="GGM34" s="143"/>
      <c r="GGN34" s="143"/>
      <c r="GGO34" s="143"/>
      <c r="GGP34" s="143"/>
      <c r="GGQ34" s="143"/>
      <c r="GGR34" s="143"/>
      <c r="GGS34" s="143"/>
      <c r="GGT34" s="143"/>
      <c r="GGU34" s="143"/>
      <c r="GGV34" s="143"/>
      <c r="GGW34" s="143"/>
      <c r="GGX34" s="143"/>
      <c r="GGY34" s="143"/>
      <c r="GGZ34" s="143"/>
      <c r="GHA34" s="143"/>
      <c r="GHB34" s="143"/>
      <c r="GHC34" s="143"/>
      <c r="GHD34" s="143"/>
      <c r="GHE34" s="143"/>
      <c r="GHF34" s="143"/>
      <c r="GHG34" s="143"/>
      <c r="GHH34" s="143"/>
      <c r="GHI34" s="143"/>
      <c r="GHJ34" s="143"/>
      <c r="GHK34" s="143"/>
      <c r="GHL34" s="143"/>
      <c r="GHM34" s="143"/>
      <c r="GHN34" s="143"/>
      <c r="GHO34" s="143"/>
      <c r="GHP34" s="143"/>
      <c r="GHQ34" s="143"/>
      <c r="GHR34" s="143"/>
      <c r="GHS34" s="143"/>
      <c r="GHT34" s="143"/>
      <c r="GHU34" s="143"/>
      <c r="GHV34" s="143"/>
      <c r="GHW34" s="143"/>
      <c r="GHX34" s="143"/>
      <c r="GHY34" s="143"/>
      <c r="GHZ34" s="143"/>
      <c r="GIA34" s="143"/>
      <c r="GIB34" s="143"/>
      <c r="GIC34" s="143"/>
      <c r="GID34" s="143"/>
      <c r="GIE34" s="143"/>
      <c r="GIF34" s="143"/>
      <c r="GIG34" s="143"/>
      <c r="GIH34" s="143"/>
      <c r="GII34" s="143"/>
      <c r="GIJ34" s="143"/>
      <c r="GIK34" s="143"/>
      <c r="GIL34" s="143"/>
      <c r="GIM34" s="143"/>
      <c r="GIN34" s="143"/>
      <c r="GIO34" s="143"/>
      <c r="GIP34" s="143"/>
      <c r="GIQ34" s="143"/>
      <c r="GIR34" s="143"/>
      <c r="GIS34" s="143"/>
      <c r="GIT34" s="143"/>
      <c r="GIU34" s="143"/>
      <c r="GIV34" s="143"/>
      <c r="GIW34" s="143"/>
      <c r="GIX34" s="143"/>
      <c r="GIY34" s="143"/>
      <c r="GIZ34" s="143"/>
      <c r="GJA34" s="143"/>
      <c r="GJB34" s="143"/>
      <c r="GJC34" s="143"/>
      <c r="GJD34" s="143"/>
      <c r="GJE34" s="143"/>
      <c r="GJF34" s="143"/>
      <c r="GJG34" s="143"/>
      <c r="GJH34" s="143"/>
      <c r="GJI34" s="143"/>
      <c r="GJJ34" s="143"/>
      <c r="GJK34" s="143"/>
      <c r="GJL34" s="143"/>
      <c r="GJM34" s="143"/>
      <c r="GJN34" s="143"/>
      <c r="GJO34" s="143"/>
      <c r="GJP34" s="143"/>
      <c r="GJQ34" s="143"/>
      <c r="GJR34" s="143"/>
      <c r="GJS34" s="143"/>
      <c r="GJT34" s="143"/>
      <c r="GJU34" s="143"/>
      <c r="GJV34" s="143"/>
      <c r="GJW34" s="143"/>
      <c r="GJX34" s="143"/>
      <c r="GJY34" s="143"/>
      <c r="GJZ34" s="143"/>
      <c r="GKA34" s="143"/>
      <c r="GKB34" s="143"/>
      <c r="GKC34" s="143"/>
      <c r="GKD34" s="143"/>
      <c r="GKE34" s="143"/>
      <c r="GKF34" s="143"/>
      <c r="GKG34" s="143"/>
      <c r="GKH34" s="143"/>
      <c r="GKI34" s="143"/>
      <c r="GKJ34" s="143"/>
      <c r="GKK34" s="143"/>
      <c r="GKL34" s="143"/>
      <c r="GKM34" s="143"/>
      <c r="GKN34" s="143"/>
      <c r="GKO34" s="143"/>
      <c r="GKP34" s="143"/>
      <c r="GKQ34" s="143"/>
      <c r="GKR34" s="143"/>
      <c r="GKS34" s="143"/>
      <c r="GKT34" s="143"/>
      <c r="GKU34" s="143"/>
      <c r="GKV34" s="143"/>
      <c r="GKW34" s="143"/>
      <c r="GKX34" s="143"/>
      <c r="GKY34" s="143"/>
      <c r="GKZ34" s="143"/>
      <c r="GLA34" s="143"/>
      <c r="GLB34" s="143"/>
      <c r="GLC34" s="143"/>
      <c r="GLD34" s="143"/>
      <c r="GLE34" s="143"/>
      <c r="GLF34" s="143"/>
      <c r="GLG34" s="143"/>
      <c r="GLH34" s="143"/>
      <c r="GLI34" s="143"/>
      <c r="GLJ34" s="143"/>
      <c r="GLK34" s="143"/>
      <c r="GLL34" s="143"/>
      <c r="GLM34" s="143"/>
      <c r="GLN34" s="143"/>
      <c r="GLO34" s="143"/>
      <c r="GLP34" s="143"/>
      <c r="GLQ34" s="143"/>
      <c r="GLR34" s="143"/>
      <c r="GLS34" s="143"/>
      <c r="GLT34" s="143"/>
      <c r="GLU34" s="143"/>
      <c r="GLV34" s="143"/>
      <c r="GLW34" s="143"/>
      <c r="GLX34" s="143"/>
      <c r="GLY34" s="143"/>
      <c r="GLZ34" s="143"/>
      <c r="GMA34" s="143"/>
      <c r="GMB34" s="143"/>
      <c r="GMC34" s="143"/>
      <c r="GMD34" s="143"/>
      <c r="GME34" s="143"/>
      <c r="GMF34" s="143"/>
      <c r="GMG34" s="143"/>
      <c r="GMH34" s="143"/>
      <c r="GMI34" s="143"/>
      <c r="GMJ34" s="143"/>
      <c r="GMK34" s="143"/>
      <c r="GML34" s="143"/>
      <c r="GMM34" s="143"/>
      <c r="GMN34" s="143"/>
      <c r="GMO34" s="143"/>
      <c r="GMP34" s="143"/>
      <c r="GMQ34" s="143"/>
      <c r="GMR34" s="143"/>
      <c r="GMS34" s="143"/>
      <c r="GMT34" s="143"/>
      <c r="GMU34" s="143"/>
      <c r="GMV34" s="143"/>
      <c r="GMW34" s="143"/>
      <c r="GMX34" s="143"/>
      <c r="GMY34" s="143"/>
      <c r="GMZ34" s="143"/>
      <c r="GNA34" s="143"/>
      <c r="GNB34" s="143"/>
      <c r="GNC34" s="143"/>
      <c r="GND34" s="143"/>
      <c r="GNE34" s="143"/>
      <c r="GNF34" s="143"/>
      <c r="GNG34" s="143"/>
      <c r="GNH34" s="143"/>
      <c r="GNI34" s="143"/>
      <c r="GNJ34" s="143"/>
      <c r="GNK34" s="143"/>
      <c r="GNL34" s="143"/>
      <c r="GNM34" s="143"/>
      <c r="GNN34" s="143"/>
      <c r="GNO34" s="143"/>
      <c r="GNP34" s="143"/>
      <c r="GNQ34" s="143"/>
      <c r="GNR34" s="143"/>
      <c r="GNS34" s="143"/>
      <c r="GNT34" s="143"/>
      <c r="GNU34" s="143"/>
      <c r="GNV34" s="143"/>
      <c r="GNW34" s="143"/>
      <c r="GNX34" s="143"/>
      <c r="GNY34" s="143"/>
      <c r="GNZ34" s="143"/>
      <c r="GOA34" s="143"/>
      <c r="GOB34" s="143"/>
      <c r="GOC34" s="143"/>
      <c r="GOD34" s="143"/>
      <c r="GOE34" s="143"/>
      <c r="GOF34" s="143"/>
      <c r="GOG34" s="143"/>
      <c r="GOH34" s="143"/>
      <c r="GOI34" s="143"/>
      <c r="GOJ34" s="143"/>
      <c r="GOK34" s="143"/>
      <c r="GOL34" s="143"/>
      <c r="GOM34" s="143"/>
      <c r="GON34" s="143"/>
      <c r="GOO34" s="143"/>
      <c r="GOP34" s="143"/>
      <c r="GOQ34" s="143"/>
      <c r="GOR34" s="143"/>
      <c r="GOS34" s="143"/>
      <c r="GOT34" s="143"/>
      <c r="GOU34" s="143"/>
      <c r="GOV34" s="143"/>
      <c r="GOW34" s="143"/>
      <c r="GOX34" s="143"/>
      <c r="GOY34" s="143"/>
      <c r="GOZ34" s="143"/>
      <c r="GPA34" s="143"/>
      <c r="GPB34" s="143"/>
      <c r="GPC34" s="143"/>
      <c r="GPD34" s="143"/>
      <c r="GPE34" s="143"/>
      <c r="GPF34" s="143"/>
      <c r="GPG34" s="143"/>
      <c r="GPH34" s="143"/>
      <c r="GPI34" s="143"/>
      <c r="GPJ34" s="143"/>
      <c r="GPK34" s="143"/>
      <c r="GPL34" s="143"/>
      <c r="GPM34" s="143"/>
      <c r="GPN34" s="143"/>
      <c r="GPO34" s="143"/>
      <c r="GPP34" s="143"/>
      <c r="GPQ34" s="143"/>
      <c r="GPR34" s="143"/>
      <c r="GPS34" s="143"/>
      <c r="GPT34" s="143"/>
      <c r="GPU34" s="143"/>
      <c r="GPV34" s="143"/>
      <c r="GPW34" s="143"/>
      <c r="GPX34" s="143"/>
      <c r="GPY34" s="143"/>
      <c r="GPZ34" s="143"/>
      <c r="GQA34" s="143"/>
      <c r="GQB34" s="143"/>
      <c r="GQC34" s="143"/>
      <c r="GQD34" s="143"/>
      <c r="GQE34" s="143"/>
      <c r="GQF34" s="143"/>
      <c r="GQG34" s="143"/>
      <c r="GQH34" s="143"/>
      <c r="GQI34" s="143"/>
      <c r="GQJ34" s="143"/>
      <c r="GQK34" s="143"/>
      <c r="GQL34" s="143"/>
      <c r="GQM34" s="143"/>
      <c r="GQN34" s="143"/>
      <c r="GQO34" s="143"/>
      <c r="GQP34" s="143"/>
      <c r="GQQ34" s="143"/>
      <c r="GQR34" s="143"/>
      <c r="GQS34" s="143"/>
      <c r="GQT34" s="143"/>
      <c r="GQU34" s="143"/>
      <c r="GQV34" s="143"/>
      <c r="GQW34" s="143"/>
      <c r="GQX34" s="143"/>
      <c r="GQY34" s="143"/>
      <c r="GQZ34" s="143"/>
      <c r="GRA34" s="143"/>
      <c r="GRB34" s="143"/>
      <c r="GRC34" s="143"/>
      <c r="GRD34" s="143"/>
      <c r="GRE34" s="143"/>
      <c r="GRF34" s="143"/>
      <c r="GRG34" s="143"/>
      <c r="GRH34" s="143"/>
      <c r="GRI34" s="143"/>
      <c r="GRJ34" s="143"/>
      <c r="GRK34" s="143"/>
      <c r="GRL34" s="143"/>
      <c r="GRM34" s="143"/>
      <c r="GRN34" s="143"/>
      <c r="GRO34" s="143"/>
      <c r="GRP34" s="143"/>
      <c r="GRQ34" s="143"/>
      <c r="GRR34" s="143"/>
      <c r="GRS34" s="143"/>
      <c r="GRT34" s="143"/>
      <c r="GRU34" s="143"/>
      <c r="GRV34" s="143"/>
      <c r="GRW34" s="143"/>
      <c r="GRX34" s="143"/>
      <c r="GRY34" s="143"/>
      <c r="GRZ34" s="143"/>
      <c r="GSA34" s="143"/>
      <c r="GSB34" s="143"/>
      <c r="GSC34" s="143"/>
      <c r="GSD34" s="143"/>
      <c r="GSE34" s="143"/>
      <c r="GSF34" s="143"/>
      <c r="GSG34" s="143"/>
      <c r="GSH34" s="143"/>
      <c r="GSI34" s="143"/>
      <c r="GSJ34" s="143"/>
      <c r="GSK34" s="143"/>
      <c r="GSL34" s="143"/>
      <c r="GSM34" s="143"/>
      <c r="GSN34" s="143"/>
      <c r="GSO34" s="143"/>
      <c r="GSP34" s="143"/>
      <c r="GSQ34" s="143"/>
      <c r="GSR34" s="143"/>
      <c r="GSS34" s="143"/>
      <c r="GST34" s="143"/>
      <c r="GSU34" s="143"/>
      <c r="GSV34" s="143"/>
      <c r="GSW34" s="143"/>
      <c r="GSX34" s="143"/>
      <c r="GSY34" s="143"/>
      <c r="GSZ34" s="143"/>
      <c r="GTA34" s="143"/>
      <c r="GTB34" s="143"/>
      <c r="GTC34" s="143"/>
      <c r="GTD34" s="143"/>
      <c r="GTE34" s="143"/>
      <c r="GTF34" s="143"/>
      <c r="GTG34" s="143"/>
      <c r="GTH34" s="143"/>
      <c r="GTI34" s="143"/>
      <c r="GTJ34" s="143"/>
      <c r="GTK34" s="143"/>
      <c r="GTL34" s="143"/>
      <c r="GTM34" s="143"/>
      <c r="GTN34" s="143"/>
      <c r="GTO34" s="143"/>
      <c r="GTP34" s="143"/>
      <c r="GTQ34" s="143"/>
      <c r="GTR34" s="143"/>
      <c r="GTS34" s="143"/>
      <c r="GTT34" s="143"/>
      <c r="GTU34" s="143"/>
      <c r="GTV34" s="143"/>
      <c r="GTW34" s="143"/>
      <c r="GTX34" s="143"/>
      <c r="GTY34" s="143"/>
      <c r="GTZ34" s="143"/>
      <c r="GUA34" s="143"/>
      <c r="GUB34" s="143"/>
      <c r="GUC34" s="143"/>
      <c r="GUD34" s="143"/>
      <c r="GUE34" s="143"/>
      <c r="GUF34" s="143"/>
      <c r="GUG34" s="143"/>
      <c r="GUH34" s="143"/>
      <c r="GUI34" s="143"/>
      <c r="GUJ34" s="143"/>
      <c r="GUK34" s="143"/>
      <c r="GUL34" s="143"/>
      <c r="GUM34" s="143"/>
      <c r="GUN34" s="143"/>
      <c r="GUO34" s="143"/>
      <c r="GUP34" s="143"/>
      <c r="GUQ34" s="143"/>
      <c r="GUR34" s="143"/>
      <c r="GUS34" s="143"/>
      <c r="GUT34" s="143"/>
      <c r="GUU34" s="143"/>
      <c r="GUV34" s="143"/>
      <c r="GUW34" s="143"/>
      <c r="GUX34" s="143"/>
      <c r="GUY34" s="143"/>
      <c r="GUZ34" s="143"/>
      <c r="GVA34" s="143"/>
      <c r="GVB34" s="143"/>
      <c r="GVC34" s="143"/>
      <c r="GVD34" s="143"/>
      <c r="GVE34" s="143"/>
      <c r="GVF34" s="143"/>
      <c r="GVG34" s="143"/>
      <c r="GVH34" s="143"/>
      <c r="GVI34" s="143"/>
      <c r="GVJ34" s="143"/>
      <c r="GVK34" s="143"/>
      <c r="GVL34" s="143"/>
      <c r="GVM34" s="143"/>
      <c r="GVN34" s="143"/>
      <c r="GVO34" s="143"/>
      <c r="GVP34" s="143"/>
      <c r="GVQ34" s="143"/>
      <c r="GVR34" s="143"/>
      <c r="GVS34" s="143"/>
      <c r="GVT34" s="143"/>
      <c r="GVU34" s="143"/>
      <c r="GVV34" s="143"/>
      <c r="GVW34" s="143"/>
      <c r="GVX34" s="143"/>
      <c r="GVY34" s="143"/>
      <c r="GVZ34" s="143"/>
      <c r="GWA34" s="143"/>
      <c r="GWB34" s="143"/>
      <c r="GWC34" s="143"/>
      <c r="GWD34" s="143"/>
      <c r="GWE34" s="143"/>
      <c r="GWF34" s="143"/>
      <c r="GWG34" s="143"/>
      <c r="GWH34" s="143"/>
      <c r="GWI34" s="143"/>
      <c r="GWJ34" s="143"/>
      <c r="GWK34" s="143"/>
      <c r="GWL34" s="143"/>
      <c r="GWM34" s="143"/>
      <c r="GWN34" s="143"/>
      <c r="GWO34" s="143"/>
      <c r="GWP34" s="143"/>
      <c r="GWQ34" s="143"/>
      <c r="GWR34" s="143"/>
      <c r="GWS34" s="143"/>
      <c r="GWT34" s="143"/>
      <c r="GWU34" s="143"/>
      <c r="GWV34" s="143"/>
      <c r="GWW34" s="143"/>
      <c r="GWX34" s="143"/>
      <c r="GWY34" s="143"/>
      <c r="GWZ34" s="143"/>
      <c r="GXA34" s="143"/>
      <c r="GXB34" s="143"/>
      <c r="GXC34" s="143"/>
      <c r="GXD34" s="143"/>
      <c r="GXE34" s="143"/>
      <c r="GXF34" s="143"/>
      <c r="GXG34" s="143"/>
      <c r="GXH34" s="143"/>
      <c r="GXI34" s="143"/>
      <c r="GXJ34" s="143"/>
      <c r="GXK34" s="143"/>
      <c r="GXL34" s="143"/>
      <c r="GXM34" s="143"/>
      <c r="GXN34" s="143"/>
      <c r="GXO34" s="143"/>
      <c r="GXP34" s="143"/>
      <c r="GXQ34" s="143"/>
      <c r="GXR34" s="143"/>
      <c r="GXS34" s="143"/>
      <c r="GXT34" s="143"/>
      <c r="GXU34" s="143"/>
      <c r="GXV34" s="143"/>
      <c r="GXW34" s="143"/>
      <c r="GXX34" s="143"/>
      <c r="GXY34" s="143"/>
      <c r="GXZ34" s="143"/>
      <c r="GYA34" s="143"/>
      <c r="GYB34" s="143"/>
      <c r="GYC34" s="143"/>
      <c r="GYD34" s="143"/>
      <c r="GYE34" s="143"/>
      <c r="GYF34" s="143"/>
      <c r="GYG34" s="143"/>
      <c r="GYH34" s="143"/>
      <c r="GYI34" s="143"/>
      <c r="GYJ34" s="143"/>
      <c r="GYK34" s="143"/>
      <c r="GYL34" s="143"/>
      <c r="GYM34" s="143"/>
      <c r="GYN34" s="143"/>
      <c r="GYO34" s="143"/>
      <c r="GYP34" s="143"/>
      <c r="GYQ34" s="143"/>
      <c r="GYR34" s="143"/>
      <c r="GYS34" s="143"/>
      <c r="GYT34" s="143"/>
      <c r="GYU34" s="143"/>
      <c r="GYV34" s="143"/>
      <c r="GYW34" s="143"/>
      <c r="GYX34" s="143"/>
      <c r="GYY34" s="143"/>
      <c r="GYZ34" s="143"/>
      <c r="GZA34" s="143"/>
      <c r="GZB34" s="143"/>
      <c r="GZC34" s="143"/>
      <c r="GZD34" s="143"/>
      <c r="GZE34" s="143"/>
      <c r="GZF34" s="143"/>
      <c r="GZG34" s="143"/>
      <c r="GZH34" s="143"/>
      <c r="GZI34" s="143"/>
      <c r="GZJ34" s="143"/>
      <c r="GZK34" s="143"/>
      <c r="GZL34" s="143"/>
      <c r="GZM34" s="143"/>
      <c r="GZN34" s="143"/>
      <c r="GZO34" s="143"/>
      <c r="GZP34" s="143"/>
      <c r="GZQ34" s="143"/>
      <c r="GZR34" s="143"/>
      <c r="GZS34" s="143"/>
      <c r="GZT34" s="143"/>
      <c r="GZU34" s="143"/>
      <c r="GZV34" s="143"/>
      <c r="GZW34" s="143"/>
      <c r="GZX34" s="143"/>
      <c r="GZY34" s="143"/>
      <c r="GZZ34" s="143"/>
      <c r="HAA34" s="143"/>
      <c r="HAB34" s="143"/>
      <c r="HAC34" s="143"/>
      <c r="HAD34" s="143"/>
      <c r="HAE34" s="143"/>
      <c r="HAF34" s="143"/>
      <c r="HAG34" s="143"/>
      <c r="HAH34" s="143"/>
      <c r="HAI34" s="143"/>
      <c r="HAJ34" s="143"/>
      <c r="HAK34" s="143"/>
      <c r="HAL34" s="143"/>
      <c r="HAM34" s="143"/>
      <c r="HAN34" s="143"/>
      <c r="HAO34" s="143"/>
      <c r="HAP34" s="143"/>
      <c r="HAQ34" s="143"/>
      <c r="HAR34" s="143"/>
      <c r="HAS34" s="143"/>
      <c r="HAT34" s="143"/>
      <c r="HAU34" s="143"/>
      <c r="HAV34" s="143"/>
      <c r="HAW34" s="143"/>
      <c r="HAX34" s="143"/>
      <c r="HAY34" s="143"/>
      <c r="HAZ34" s="143"/>
      <c r="HBA34" s="143"/>
      <c r="HBB34" s="143"/>
      <c r="HBC34" s="143"/>
      <c r="HBD34" s="143"/>
      <c r="HBE34" s="143"/>
      <c r="HBF34" s="143"/>
      <c r="HBG34" s="143"/>
      <c r="HBH34" s="143"/>
      <c r="HBI34" s="143"/>
      <c r="HBJ34" s="143"/>
      <c r="HBK34" s="143"/>
      <c r="HBL34" s="143"/>
      <c r="HBM34" s="143"/>
      <c r="HBN34" s="143"/>
      <c r="HBO34" s="143"/>
      <c r="HBP34" s="143"/>
      <c r="HBQ34" s="143"/>
      <c r="HBR34" s="143"/>
      <c r="HBS34" s="143"/>
      <c r="HBT34" s="143"/>
      <c r="HBU34" s="143"/>
      <c r="HBV34" s="143"/>
      <c r="HBW34" s="143"/>
      <c r="HBX34" s="143"/>
      <c r="HBY34" s="143"/>
      <c r="HBZ34" s="143"/>
      <c r="HCA34" s="143"/>
      <c r="HCB34" s="143"/>
      <c r="HCC34" s="143"/>
      <c r="HCD34" s="143"/>
      <c r="HCE34" s="143"/>
      <c r="HCF34" s="143"/>
      <c r="HCG34" s="143"/>
      <c r="HCH34" s="143"/>
      <c r="HCI34" s="143"/>
      <c r="HCJ34" s="143"/>
      <c r="HCK34" s="143"/>
      <c r="HCL34" s="143"/>
      <c r="HCM34" s="143"/>
      <c r="HCN34" s="143"/>
      <c r="HCO34" s="143"/>
      <c r="HCP34" s="143"/>
      <c r="HCQ34" s="143"/>
      <c r="HCR34" s="143"/>
      <c r="HCS34" s="143"/>
      <c r="HCT34" s="143"/>
      <c r="HCU34" s="143"/>
      <c r="HCV34" s="143"/>
      <c r="HCW34" s="143"/>
      <c r="HCX34" s="143"/>
      <c r="HCY34" s="143"/>
      <c r="HCZ34" s="143"/>
      <c r="HDA34" s="143"/>
      <c r="HDB34" s="143"/>
      <c r="HDC34" s="143"/>
      <c r="HDD34" s="143"/>
      <c r="HDE34" s="143"/>
      <c r="HDF34" s="143"/>
      <c r="HDG34" s="143"/>
      <c r="HDH34" s="143"/>
      <c r="HDI34" s="143"/>
      <c r="HDJ34" s="143"/>
      <c r="HDK34" s="143"/>
      <c r="HDL34" s="143"/>
      <c r="HDM34" s="143"/>
      <c r="HDN34" s="143"/>
      <c r="HDO34" s="143"/>
      <c r="HDP34" s="143"/>
      <c r="HDQ34" s="143"/>
      <c r="HDR34" s="143"/>
      <c r="HDS34" s="143"/>
      <c r="HDT34" s="143"/>
      <c r="HDU34" s="143"/>
      <c r="HDV34" s="143"/>
      <c r="HDW34" s="143"/>
      <c r="HDX34" s="143"/>
      <c r="HDY34" s="143"/>
      <c r="HDZ34" s="143"/>
      <c r="HEA34" s="143"/>
      <c r="HEB34" s="143"/>
      <c r="HEC34" s="143"/>
      <c r="HED34" s="143"/>
      <c r="HEE34" s="143"/>
      <c r="HEF34" s="143"/>
      <c r="HEG34" s="143"/>
      <c r="HEH34" s="143"/>
      <c r="HEI34" s="143"/>
      <c r="HEJ34" s="143"/>
      <c r="HEK34" s="143"/>
      <c r="HEL34" s="143"/>
      <c r="HEM34" s="143"/>
      <c r="HEN34" s="143"/>
      <c r="HEO34" s="143"/>
      <c r="HEP34" s="143"/>
      <c r="HEQ34" s="143"/>
      <c r="HER34" s="143"/>
      <c r="HES34" s="143"/>
      <c r="HET34" s="143"/>
      <c r="HEU34" s="143"/>
      <c r="HEV34" s="143"/>
      <c r="HEW34" s="143"/>
      <c r="HEX34" s="143"/>
      <c r="HEY34" s="143"/>
      <c r="HEZ34" s="143"/>
      <c r="HFA34" s="143"/>
      <c r="HFB34" s="143"/>
      <c r="HFC34" s="143"/>
      <c r="HFD34" s="143"/>
      <c r="HFE34" s="143"/>
      <c r="HFF34" s="143"/>
      <c r="HFG34" s="143"/>
      <c r="HFH34" s="143"/>
      <c r="HFI34" s="143"/>
      <c r="HFJ34" s="143"/>
      <c r="HFK34" s="143"/>
      <c r="HFL34" s="143"/>
      <c r="HFM34" s="143"/>
      <c r="HFN34" s="143"/>
      <c r="HFO34" s="143"/>
      <c r="HFP34" s="143"/>
      <c r="HFQ34" s="143"/>
      <c r="HFR34" s="143"/>
      <c r="HFS34" s="143"/>
      <c r="HFT34" s="143"/>
      <c r="HFU34" s="143"/>
      <c r="HFV34" s="143"/>
      <c r="HFW34" s="143"/>
      <c r="HFX34" s="143"/>
      <c r="HFY34" s="143"/>
      <c r="HFZ34" s="143"/>
      <c r="HGA34" s="143"/>
      <c r="HGB34" s="143"/>
      <c r="HGC34" s="143"/>
      <c r="HGD34" s="143"/>
      <c r="HGE34" s="143"/>
      <c r="HGF34" s="143"/>
      <c r="HGG34" s="143"/>
      <c r="HGH34" s="143"/>
      <c r="HGI34" s="143"/>
      <c r="HGJ34" s="143"/>
      <c r="HGK34" s="143"/>
      <c r="HGL34" s="143"/>
      <c r="HGM34" s="143"/>
      <c r="HGN34" s="143"/>
      <c r="HGO34" s="143"/>
      <c r="HGP34" s="143"/>
      <c r="HGQ34" s="143"/>
      <c r="HGR34" s="143"/>
      <c r="HGS34" s="143"/>
      <c r="HGT34" s="143"/>
      <c r="HGU34" s="143"/>
      <c r="HGV34" s="143"/>
      <c r="HGW34" s="143"/>
      <c r="HGX34" s="143"/>
      <c r="HGY34" s="143"/>
      <c r="HGZ34" s="143"/>
      <c r="HHA34" s="143"/>
      <c r="HHB34" s="143"/>
      <c r="HHC34" s="143"/>
      <c r="HHD34" s="143"/>
      <c r="HHE34" s="143"/>
      <c r="HHF34" s="143"/>
      <c r="HHG34" s="143"/>
      <c r="HHH34" s="143"/>
      <c r="HHI34" s="143"/>
      <c r="HHJ34" s="143"/>
      <c r="HHK34" s="143"/>
      <c r="HHL34" s="143"/>
      <c r="HHM34" s="143"/>
      <c r="HHN34" s="143"/>
      <c r="HHO34" s="143"/>
      <c r="HHP34" s="143"/>
      <c r="HHQ34" s="143"/>
      <c r="HHR34" s="143"/>
      <c r="HHS34" s="143"/>
      <c r="HHT34" s="143"/>
      <c r="HHU34" s="143"/>
      <c r="HHV34" s="143"/>
      <c r="HHW34" s="143"/>
      <c r="HHX34" s="143"/>
      <c r="HHY34" s="143"/>
      <c r="HHZ34" s="143"/>
      <c r="HIA34" s="143"/>
      <c r="HIB34" s="143"/>
      <c r="HIC34" s="143"/>
      <c r="HID34" s="143"/>
      <c r="HIE34" s="143"/>
      <c r="HIF34" s="143"/>
      <c r="HIG34" s="143"/>
      <c r="HIH34" s="143"/>
      <c r="HII34" s="143"/>
      <c r="HIJ34" s="143"/>
      <c r="HIK34" s="143"/>
      <c r="HIL34" s="143"/>
      <c r="HIM34" s="143"/>
      <c r="HIN34" s="143"/>
      <c r="HIO34" s="143"/>
      <c r="HIP34" s="143"/>
      <c r="HIQ34" s="143"/>
      <c r="HIR34" s="143"/>
      <c r="HIS34" s="143"/>
      <c r="HIT34" s="143"/>
      <c r="HIU34" s="143"/>
      <c r="HIV34" s="143"/>
      <c r="HIW34" s="143"/>
      <c r="HIX34" s="143"/>
      <c r="HIY34" s="143"/>
      <c r="HIZ34" s="143"/>
      <c r="HJA34" s="143"/>
      <c r="HJB34" s="143"/>
      <c r="HJC34" s="143"/>
      <c r="HJD34" s="143"/>
      <c r="HJE34" s="143"/>
      <c r="HJF34" s="143"/>
      <c r="HJG34" s="143"/>
      <c r="HJH34" s="143"/>
      <c r="HJI34" s="143"/>
      <c r="HJJ34" s="143"/>
      <c r="HJK34" s="143"/>
      <c r="HJL34" s="143"/>
      <c r="HJM34" s="143"/>
      <c r="HJN34" s="143"/>
      <c r="HJO34" s="143"/>
      <c r="HJP34" s="143"/>
      <c r="HJQ34" s="143"/>
      <c r="HJR34" s="143"/>
      <c r="HJS34" s="143"/>
      <c r="HJT34" s="143"/>
      <c r="HJU34" s="143"/>
      <c r="HJV34" s="143"/>
      <c r="HJW34" s="143"/>
      <c r="HJX34" s="143"/>
      <c r="HJY34" s="143"/>
      <c r="HJZ34" s="143"/>
      <c r="HKA34" s="143"/>
      <c r="HKB34" s="143"/>
      <c r="HKC34" s="143"/>
      <c r="HKD34" s="143"/>
      <c r="HKE34" s="143"/>
      <c r="HKF34" s="143"/>
      <c r="HKG34" s="143"/>
      <c r="HKH34" s="143"/>
      <c r="HKI34" s="143"/>
      <c r="HKJ34" s="143"/>
      <c r="HKK34" s="143"/>
      <c r="HKL34" s="143"/>
      <c r="HKM34" s="143"/>
      <c r="HKN34" s="143"/>
      <c r="HKO34" s="143"/>
      <c r="HKP34" s="143"/>
      <c r="HKQ34" s="143"/>
      <c r="HKR34" s="143"/>
      <c r="HKS34" s="143"/>
      <c r="HKT34" s="143"/>
      <c r="HKU34" s="143"/>
      <c r="HKV34" s="143"/>
      <c r="HKW34" s="143"/>
      <c r="HKX34" s="143"/>
      <c r="HKY34" s="143"/>
      <c r="HKZ34" s="143"/>
      <c r="HLA34" s="143"/>
      <c r="HLB34" s="143"/>
      <c r="HLC34" s="143"/>
      <c r="HLD34" s="143"/>
      <c r="HLE34" s="143"/>
      <c r="HLF34" s="143"/>
      <c r="HLG34" s="143"/>
      <c r="HLH34" s="143"/>
      <c r="HLI34" s="143"/>
      <c r="HLJ34" s="143"/>
      <c r="HLK34" s="143"/>
      <c r="HLL34" s="143"/>
      <c r="HLM34" s="143"/>
      <c r="HLN34" s="143"/>
      <c r="HLO34" s="143"/>
      <c r="HLP34" s="143"/>
      <c r="HLQ34" s="143"/>
      <c r="HLR34" s="143"/>
      <c r="HLS34" s="143"/>
      <c r="HLT34" s="143"/>
      <c r="HLU34" s="143"/>
      <c r="HLV34" s="143"/>
      <c r="HLW34" s="143"/>
      <c r="HLX34" s="143"/>
      <c r="HLY34" s="143"/>
      <c r="HLZ34" s="143"/>
      <c r="HMA34" s="143"/>
      <c r="HMB34" s="143"/>
      <c r="HMC34" s="143"/>
      <c r="HMD34" s="143"/>
      <c r="HME34" s="143"/>
      <c r="HMF34" s="143"/>
      <c r="HMG34" s="143"/>
      <c r="HMH34" s="143"/>
      <c r="HMI34" s="143"/>
      <c r="HMJ34" s="143"/>
      <c r="HMK34" s="143"/>
      <c r="HML34" s="143"/>
      <c r="HMM34" s="143"/>
      <c r="HMN34" s="143"/>
      <c r="HMO34" s="143"/>
      <c r="HMP34" s="143"/>
      <c r="HMQ34" s="143"/>
      <c r="HMR34" s="143"/>
      <c r="HMS34" s="143"/>
      <c r="HMT34" s="143"/>
      <c r="HMU34" s="143"/>
      <c r="HMV34" s="143"/>
      <c r="HMW34" s="143"/>
      <c r="HMX34" s="143"/>
      <c r="HMY34" s="143"/>
      <c r="HMZ34" s="143"/>
      <c r="HNA34" s="143"/>
      <c r="HNB34" s="143"/>
      <c r="HNC34" s="143"/>
      <c r="HND34" s="143"/>
      <c r="HNE34" s="143"/>
      <c r="HNF34" s="143"/>
      <c r="HNG34" s="143"/>
      <c r="HNH34" s="143"/>
      <c r="HNI34" s="143"/>
      <c r="HNJ34" s="143"/>
      <c r="HNK34" s="143"/>
      <c r="HNL34" s="143"/>
      <c r="HNM34" s="143"/>
      <c r="HNN34" s="143"/>
      <c r="HNO34" s="143"/>
      <c r="HNP34" s="143"/>
      <c r="HNQ34" s="143"/>
      <c r="HNR34" s="143"/>
      <c r="HNS34" s="143"/>
      <c r="HNT34" s="143"/>
      <c r="HNU34" s="143"/>
      <c r="HNV34" s="143"/>
      <c r="HNW34" s="143"/>
      <c r="HNX34" s="143"/>
      <c r="HNY34" s="143"/>
      <c r="HNZ34" s="143"/>
      <c r="HOA34" s="143"/>
      <c r="HOB34" s="143"/>
      <c r="HOC34" s="143"/>
      <c r="HOD34" s="143"/>
      <c r="HOE34" s="143"/>
      <c r="HOF34" s="143"/>
      <c r="HOG34" s="143"/>
      <c r="HOH34" s="143"/>
      <c r="HOI34" s="143"/>
      <c r="HOJ34" s="143"/>
      <c r="HOK34" s="143"/>
      <c r="HOL34" s="143"/>
      <c r="HOM34" s="143"/>
      <c r="HON34" s="143"/>
      <c r="HOO34" s="143"/>
      <c r="HOP34" s="143"/>
      <c r="HOQ34" s="143"/>
      <c r="HOR34" s="143"/>
      <c r="HOS34" s="143"/>
      <c r="HOT34" s="143"/>
      <c r="HOU34" s="143"/>
      <c r="HOV34" s="143"/>
      <c r="HOW34" s="143"/>
      <c r="HOX34" s="143"/>
      <c r="HOY34" s="143"/>
      <c r="HOZ34" s="143"/>
      <c r="HPA34" s="143"/>
      <c r="HPB34" s="143"/>
      <c r="HPC34" s="143"/>
      <c r="HPD34" s="143"/>
      <c r="HPE34" s="143"/>
      <c r="HPF34" s="143"/>
      <c r="HPG34" s="143"/>
      <c r="HPH34" s="143"/>
      <c r="HPI34" s="143"/>
      <c r="HPJ34" s="143"/>
      <c r="HPK34" s="143"/>
      <c r="HPL34" s="143"/>
      <c r="HPM34" s="143"/>
      <c r="HPN34" s="143"/>
      <c r="HPO34" s="143"/>
      <c r="HPP34" s="143"/>
      <c r="HPQ34" s="143"/>
      <c r="HPR34" s="143"/>
      <c r="HPS34" s="143"/>
      <c r="HPT34" s="143"/>
      <c r="HPU34" s="143"/>
      <c r="HPV34" s="143"/>
      <c r="HPW34" s="143"/>
      <c r="HPX34" s="143"/>
      <c r="HPY34" s="143"/>
      <c r="HPZ34" s="143"/>
      <c r="HQA34" s="143"/>
      <c r="HQB34" s="143"/>
      <c r="HQC34" s="143"/>
      <c r="HQD34" s="143"/>
      <c r="HQE34" s="143"/>
      <c r="HQF34" s="143"/>
      <c r="HQG34" s="143"/>
      <c r="HQH34" s="143"/>
      <c r="HQI34" s="143"/>
      <c r="HQJ34" s="143"/>
      <c r="HQK34" s="143"/>
      <c r="HQL34" s="143"/>
      <c r="HQM34" s="143"/>
      <c r="HQN34" s="143"/>
      <c r="HQO34" s="143"/>
      <c r="HQP34" s="143"/>
      <c r="HQQ34" s="143"/>
      <c r="HQR34" s="143"/>
      <c r="HQS34" s="143"/>
      <c r="HQT34" s="143"/>
      <c r="HQU34" s="143"/>
      <c r="HQV34" s="143"/>
      <c r="HQW34" s="143"/>
      <c r="HQX34" s="143"/>
      <c r="HQY34" s="143"/>
      <c r="HQZ34" s="143"/>
      <c r="HRA34" s="143"/>
      <c r="HRB34" s="143"/>
      <c r="HRC34" s="143"/>
      <c r="HRD34" s="143"/>
      <c r="HRE34" s="143"/>
      <c r="HRF34" s="143"/>
      <c r="HRG34" s="143"/>
      <c r="HRH34" s="143"/>
      <c r="HRI34" s="143"/>
      <c r="HRJ34" s="143"/>
      <c r="HRK34" s="143"/>
      <c r="HRL34" s="143"/>
      <c r="HRM34" s="143"/>
      <c r="HRN34" s="143"/>
      <c r="HRO34" s="143"/>
      <c r="HRP34" s="143"/>
      <c r="HRQ34" s="143"/>
      <c r="HRR34" s="143"/>
      <c r="HRS34" s="143"/>
      <c r="HRT34" s="143"/>
      <c r="HRU34" s="143"/>
      <c r="HRV34" s="143"/>
      <c r="HRW34" s="143"/>
      <c r="HRX34" s="143"/>
      <c r="HRY34" s="143"/>
      <c r="HRZ34" s="143"/>
      <c r="HSA34" s="143"/>
      <c r="HSB34" s="143"/>
      <c r="HSC34" s="143"/>
      <c r="HSD34" s="143"/>
      <c r="HSE34" s="143"/>
      <c r="HSF34" s="143"/>
      <c r="HSG34" s="143"/>
      <c r="HSH34" s="143"/>
      <c r="HSI34" s="143"/>
      <c r="HSJ34" s="143"/>
      <c r="HSK34" s="143"/>
      <c r="HSL34" s="143"/>
      <c r="HSM34" s="143"/>
      <c r="HSN34" s="143"/>
      <c r="HSO34" s="143"/>
      <c r="HSP34" s="143"/>
      <c r="HSQ34" s="143"/>
      <c r="HSR34" s="143"/>
      <c r="HSS34" s="143"/>
      <c r="HST34" s="143"/>
      <c r="HSU34" s="143"/>
      <c r="HSV34" s="143"/>
      <c r="HSW34" s="143"/>
      <c r="HSX34" s="143"/>
      <c r="HSY34" s="143"/>
      <c r="HSZ34" s="143"/>
      <c r="HTA34" s="143"/>
      <c r="HTB34" s="143"/>
      <c r="HTC34" s="143"/>
      <c r="HTD34" s="143"/>
      <c r="HTE34" s="143"/>
      <c r="HTF34" s="143"/>
      <c r="HTG34" s="143"/>
      <c r="HTH34" s="143"/>
      <c r="HTI34" s="143"/>
      <c r="HTJ34" s="143"/>
      <c r="HTK34" s="143"/>
      <c r="HTL34" s="143"/>
      <c r="HTM34" s="143"/>
      <c r="HTN34" s="143"/>
      <c r="HTO34" s="143"/>
      <c r="HTP34" s="143"/>
      <c r="HTQ34" s="143"/>
      <c r="HTR34" s="143"/>
      <c r="HTS34" s="143"/>
      <c r="HTT34" s="143"/>
      <c r="HTU34" s="143"/>
      <c r="HTV34" s="143"/>
      <c r="HTW34" s="143"/>
      <c r="HTX34" s="143"/>
      <c r="HTY34" s="143"/>
      <c r="HTZ34" s="143"/>
      <c r="HUA34" s="143"/>
      <c r="HUB34" s="143"/>
      <c r="HUC34" s="143"/>
      <c r="HUD34" s="143"/>
      <c r="HUE34" s="143"/>
      <c r="HUF34" s="143"/>
      <c r="HUG34" s="143"/>
      <c r="HUH34" s="143"/>
      <c r="HUI34" s="143"/>
      <c r="HUJ34" s="143"/>
      <c r="HUK34" s="143"/>
      <c r="HUL34" s="143"/>
      <c r="HUM34" s="143"/>
      <c r="HUN34" s="143"/>
      <c r="HUO34" s="143"/>
      <c r="HUP34" s="143"/>
      <c r="HUQ34" s="143"/>
      <c r="HUR34" s="143"/>
      <c r="HUS34" s="143"/>
      <c r="HUT34" s="143"/>
      <c r="HUU34" s="143"/>
      <c r="HUV34" s="143"/>
      <c r="HUW34" s="143"/>
      <c r="HUX34" s="143"/>
      <c r="HUY34" s="143"/>
      <c r="HUZ34" s="143"/>
      <c r="HVA34" s="143"/>
      <c r="HVB34" s="143"/>
      <c r="HVC34" s="143"/>
      <c r="HVD34" s="143"/>
      <c r="HVE34" s="143"/>
      <c r="HVF34" s="143"/>
      <c r="HVG34" s="143"/>
      <c r="HVH34" s="143"/>
      <c r="HVI34" s="143"/>
      <c r="HVJ34" s="143"/>
      <c r="HVK34" s="143"/>
      <c r="HVL34" s="143"/>
      <c r="HVM34" s="143"/>
      <c r="HVN34" s="143"/>
      <c r="HVO34" s="143"/>
      <c r="HVP34" s="143"/>
      <c r="HVQ34" s="143"/>
      <c r="HVR34" s="143"/>
      <c r="HVS34" s="143"/>
      <c r="HVT34" s="143"/>
      <c r="HVU34" s="143"/>
      <c r="HVV34" s="143"/>
      <c r="HVW34" s="143"/>
      <c r="HVX34" s="143"/>
      <c r="HVY34" s="143"/>
      <c r="HVZ34" s="143"/>
      <c r="HWA34" s="143"/>
      <c r="HWB34" s="143"/>
      <c r="HWC34" s="143"/>
      <c r="HWD34" s="143"/>
      <c r="HWE34" s="143"/>
      <c r="HWF34" s="143"/>
      <c r="HWG34" s="143"/>
      <c r="HWH34" s="143"/>
      <c r="HWI34" s="143"/>
      <c r="HWJ34" s="143"/>
      <c r="HWK34" s="143"/>
      <c r="HWL34" s="143"/>
      <c r="HWM34" s="143"/>
      <c r="HWN34" s="143"/>
      <c r="HWO34" s="143"/>
      <c r="HWP34" s="143"/>
      <c r="HWQ34" s="143"/>
      <c r="HWR34" s="143"/>
      <c r="HWS34" s="143"/>
      <c r="HWT34" s="143"/>
      <c r="HWU34" s="143"/>
      <c r="HWV34" s="143"/>
      <c r="HWW34" s="143"/>
      <c r="HWX34" s="143"/>
      <c r="HWY34" s="143"/>
      <c r="HWZ34" s="143"/>
      <c r="HXA34" s="143"/>
      <c r="HXB34" s="143"/>
      <c r="HXC34" s="143"/>
      <c r="HXD34" s="143"/>
      <c r="HXE34" s="143"/>
      <c r="HXF34" s="143"/>
      <c r="HXG34" s="143"/>
      <c r="HXH34" s="143"/>
      <c r="HXI34" s="143"/>
      <c r="HXJ34" s="143"/>
      <c r="HXK34" s="143"/>
      <c r="HXL34" s="143"/>
      <c r="HXM34" s="143"/>
      <c r="HXN34" s="143"/>
      <c r="HXO34" s="143"/>
      <c r="HXP34" s="143"/>
      <c r="HXQ34" s="143"/>
      <c r="HXR34" s="143"/>
      <c r="HXS34" s="143"/>
      <c r="HXT34" s="143"/>
      <c r="HXU34" s="143"/>
      <c r="HXV34" s="143"/>
      <c r="HXW34" s="143"/>
      <c r="HXX34" s="143"/>
      <c r="HXY34" s="143"/>
      <c r="HXZ34" s="143"/>
      <c r="HYA34" s="143"/>
      <c r="HYB34" s="143"/>
      <c r="HYC34" s="143"/>
      <c r="HYD34" s="143"/>
      <c r="HYE34" s="143"/>
      <c r="HYF34" s="143"/>
      <c r="HYG34" s="143"/>
      <c r="HYH34" s="143"/>
      <c r="HYI34" s="143"/>
      <c r="HYJ34" s="143"/>
      <c r="HYK34" s="143"/>
      <c r="HYL34" s="143"/>
      <c r="HYM34" s="143"/>
      <c r="HYN34" s="143"/>
      <c r="HYO34" s="143"/>
      <c r="HYP34" s="143"/>
      <c r="HYQ34" s="143"/>
      <c r="HYR34" s="143"/>
      <c r="HYS34" s="143"/>
      <c r="HYT34" s="143"/>
      <c r="HYU34" s="143"/>
      <c r="HYV34" s="143"/>
      <c r="HYW34" s="143"/>
      <c r="HYX34" s="143"/>
      <c r="HYY34" s="143"/>
      <c r="HYZ34" s="143"/>
      <c r="HZA34" s="143"/>
      <c r="HZB34" s="143"/>
      <c r="HZC34" s="143"/>
      <c r="HZD34" s="143"/>
      <c r="HZE34" s="143"/>
      <c r="HZF34" s="143"/>
      <c r="HZG34" s="143"/>
      <c r="HZH34" s="143"/>
      <c r="HZI34" s="143"/>
      <c r="HZJ34" s="143"/>
      <c r="HZK34" s="143"/>
      <c r="HZL34" s="143"/>
      <c r="HZM34" s="143"/>
      <c r="HZN34" s="143"/>
      <c r="HZO34" s="143"/>
      <c r="HZP34" s="143"/>
      <c r="HZQ34" s="143"/>
      <c r="HZR34" s="143"/>
      <c r="HZS34" s="143"/>
      <c r="HZT34" s="143"/>
      <c r="HZU34" s="143"/>
      <c r="HZV34" s="143"/>
      <c r="HZW34" s="143"/>
      <c r="HZX34" s="143"/>
      <c r="HZY34" s="143"/>
      <c r="HZZ34" s="143"/>
      <c r="IAA34" s="143"/>
      <c r="IAB34" s="143"/>
      <c r="IAC34" s="143"/>
      <c r="IAD34" s="143"/>
      <c r="IAE34" s="143"/>
      <c r="IAF34" s="143"/>
      <c r="IAG34" s="143"/>
      <c r="IAH34" s="143"/>
      <c r="IAI34" s="143"/>
      <c r="IAJ34" s="143"/>
      <c r="IAK34" s="143"/>
      <c r="IAL34" s="143"/>
      <c r="IAM34" s="143"/>
      <c r="IAN34" s="143"/>
      <c r="IAO34" s="143"/>
      <c r="IAP34" s="143"/>
      <c r="IAQ34" s="143"/>
      <c r="IAR34" s="143"/>
      <c r="IAS34" s="143"/>
      <c r="IAT34" s="143"/>
      <c r="IAU34" s="143"/>
      <c r="IAV34" s="143"/>
      <c r="IAW34" s="143"/>
      <c r="IAX34" s="143"/>
      <c r="IAY34" s="143"/>
      <c r="IAZ34" s="143"/>
      <c r="IBA34" s="143"/>
      <c r="IBB34" s="143"/>
      <c r="IBC34" s="143"/>
      <c r="IBD34" s="143"/>
      <c r="IBE34" s="143"/>
      <c r="IBF34" s="143"/>
      <c r="IBG34" s="143"/>
      <c r="IBH34" s="143"/>
      <c r="IBI34" s="143"/>
      <c r="IBJ34" s="143"/>
      <c r="IBK34" s="143"/>
      <c r="IBL34" s="143"/>
      <c r="IBM34" s="143"/>
      <c r="IBN34" s="143"/>
      <c r="IBO34" s="143"/>
      <c r="IBP34" s="143"/>
      <c r="IBQ34" s="143"/>
      <c r="IBR34" s="143"/>
      <c r="IBS34" s="143"/>
      <c r="IBT34" s="143"/>
      <c r="IBU34" s="143"/>
      <c r="IBV34" s="143"/>
      <c r="IBW34" s="143"/>
      <c r="IBX34" s="143"/>
      <c r="IBY34" s="143"/>
      <c r="IBZ34" s="143"/>
      <c r="ICA34" s="143"/>
      <c r="ICB34" s="143"/>
      <c r="ICC34" s="143"/>
      <c r="ICD34" s="143"/>
      <c r="ICE34" s="143"/>
      <c r="ICF34" s="143"/>
      <c r="ICG34" s="143"/>
      <c r="ICH34" s="143"/>
      <c r="ICI34" s="143"/>
      <c r="ICJ34" s="143"/>
      <c r="ICK34" s="143"/>
      <c r="ICL34" s="143"/>
      <c r="ICM34" s="143"/>
      <c r="ICN34" s="143"/>
      <c r="ICO34" s="143"/>
      <c r="ICP34" s="143"/>
      <c r="ICQ34" s="143"/>
      <c r="ICR34" s="143"/>
      <c r="ICS34" s="143"/>
      <c r="ICT34" s="143"/>
      <c r="ICU34" s="143"/>
      <c r="ICV34" s="143"/>
      <c r="ICW34" s="143"/>
      <c r="ICX34" s="143"/>
      <c r="ICY34" s="143"/>
      <c r="ICZ34" s="143"/>
      <c r="IDA34" s="143"/>
      <c r="IDB34" s="143"/>
      <c r="IDC34" s="143"/>
      <c r="IDD34" s="143"/>
      <c r="IDE34" s="143"/>
      <c r="IDF34" s="143"/>
      <c r="IDG34" s="143"/>
      <c r="IDH34" s="143"/>
      <c r="IDI34" s="143"/>
      <c r="IDJ34" s="143"/>
      <c r="IDK34" s="143"/>
      <c r="IDL34" s="143"/>
      <c r="IDM34" s="143"/>
      <c r="IDN34" s="143"/>
      <c r="IDO34" s="143"/>
      <c r="IDP34" s="143"/>
      <c r="IDQ34" s="143"/>
      <c r="IDR34" s="143"/>
      <c r="IDS34" s="143"/>
      <c r="IDT34" s="143"/>
      <c r="IDU34" s="143"/>
      <c r="IDV34" s="143"/>
      <c r="IDW34" s="143"/>
      <c r="IDX34" s="143"/>
      <c r="IDY34" s="143"/>
      <c r="IDZ34" s="143"/>
      <c r="IEA34" s="143"/>
      <c r="IEB34" s="143"/>
      <c r="IEC34" s="143"/>
      <c r="IED34" s="143"/>
      <c r="IEE34" s="143"/>
      <c r="IEF34" s="143"/>
      <c r="IEG34" s="143"/>
      <c r="IEH34" s="143"/>
      <c r="IEI34" s="143"/>
      <c r="IEJ34" s="143"/>
      <c r="IEK34" s="143"/>
      <c r="IEL34" s="143"/>
      <c r="IEM34" s="143"/>
      <c r="IEN34" s="143"/>
      <c r="IEO34" s="143"/>
      <c r="IEP34" s="143"/>
      <c r="IEQ34" s="143"/>
      <c r="IER34" s="143"/>
      <c r="IES34" s="143"/>
      <c r="IET34" s="143"/>
      <c r="IEU34" s="143"/>
      <c r="IEV34" s="143"/>
      <c r="IEW34" s="143"/>
      <c r="IEX34" s="143"/>
      <c r="IEY34" s="143"/>
      <c r="IEZ34" s="143"/>
      <c r="IFA34" s="143"/>
      <c r="IFB34" s="143"/>
      <c r="IFC34" s="143"/>
      <c r="IFD34" s="143"/>
      <c r="IFE34" s="143"/>
      <c r="IFF34" s="143"/>
      <c r="IFG34" s="143"/>
      <c r="IFH34" s="143"/>
      <c r="IFI34" s="143"/>
      <c r="IFJ34" s="143"/>
      <c r="IFK34" s="143"/>
      <c r="IFL34" s="143"/>
      <c r="IFM34" s="143"/>
      <c r="IFN34" s="143"/>
      <c r="IFO34" s="143"/>
      <c r="IFP34" s="143"/>
      <c r="IFQ34" s="143"/>
      <c r="IFR34" s="143"/>
      <c r="IFS34" s="143"/>
      <c r="IFT34" s="143"/>
      <c r="IFU34" s="143"/>
      <c r="IFV34" s="143"/>
      <c r="IFW34" s="143"/>
      <c r="IFX34" s="143"/>
      <c r="IFY34" s="143"/>
      <c r="IFZ34" s="143"/>
      <c r="IGA34" s="143"/>
      <c r="IGB34" s="143"/>
      <c r="IGC34" s="143"/>
      <c r="IGD34" s="143"/>
      <c r="IGE34" s="143"/>
      <c r="IGF34" s="143"/>
      <c r="IGG34" s="143"/>
      <c r="IGH34" s="143"/>
      <c r="IGI34" s="143"/>
      <c r="IGJ34" s="143"/>
      <c r="IGK34" s="143"/>
      <c r="IGL34" s="143"/>
      <c r="IGM34" s="143"/>
      <c r="IGN34" s="143"/>
      <c r="IGO34" s="143"/>
      <c r="IGP34" s="143"/>
      <c r="IGQ34" s="143"/>
      <c r="IGR34" s="143"/>
      <c r="IGS34" s="143"/>
      <c r="IGT34" s="143"/>
      <c r="IGU34" s="143"/>
      <c r="IGV34" s="143"/>
      <c r="IGW34" s="143"/>
      <c r="IGX34" s="143"/>
      <c r="IGY34" s="143"/>
      <c r="IGZ34" s="143"/>
      <c r="IHA34" s="143"/>
      <c r="IHB34" s="143"/>
      <c r="IHC34" s="143"/>
      <c r="IHD34" s="143"/>
      <c r="IHE34" s="143"/>
      <c r="IHF34" s="143"/>
      <c r="IHG34" s="143"/>
      <c r="IHH34" s="143"/>
      <c r="IHI34" s="143"/>
      <c r="IHJ34" s="143"/>
      <c r="IHK34" s="143"/>
      <c r="IHL34" s="143"/>
      <c r="IHM34" s="143"/>
      <c r="IHN34" s="143"/>
      <c r="IHO34" s="143"/>
      <c r="IHP34" s="143"/>
      <c r="IHQ34" s="143"/>
      <c r="IHR34" s="143"/>
      <c r="IHS34" s="143"/>
      <c r="IHT34" s="143"/>
      <c r="IHU34" s="143"/>
      <c r="IHV34" s="143"/>
      <c r="IHW34" s="143"/>
      <c r="IHX34" s="143"/>
      <c r="IHY34" s="143"/>
      <c r="IHZ34" s="143"/>
      <c r="IIA34" s="143"/>
      <c r="IIB34" s="143"/>
      <c r="IIC34" s="143"/>
      <c r="IID34" s="143"/>
      <c r="IIE34" s="143"/>
      <c r="IIF34" s="143"/>
      <c r="IIG34" s="143"/>
      <c r="IIH34" s="143"/>
      <c r="III34" s="143"/>
      <c r="IIJ34" s="143"/>
      <c r="IIK34" s="143"/>
      <c r="IIL34" s="143"/>
      <c r="IIM34" s="143"/>
      <c r="IIN34" s="143"/>
      <c r="IIO34" s="143"/>
      <c r="IIP34" s="143"/>
      <c r="IIQ34" s="143"/>
      <c r="IIR34" s="143"/>
      <c r="IIS34" s="143"/>
      <c r="IIT34" s="143"/>
      <c r="IIU34" s="143"/>
      <c r="IIV34" s="143"/>
      <c r="IIW34" s="143"/>
      <c r="IIX34" s="143"/>
      <c r="IIY34" s="143"/>
      <c r="IIZ34" s="143"/>
      <c r="IJA34" s="143"/>
      <c r="IJB34" s="143"/>
      <c r="IJC34" s="143"/>
      <c r="IJD34" s="143"/>
      <c r="IJE34" s="143"/>
      <c r="IJF34" s="143"/>
      <c r="IJG34" s="143"/>
      <c r="IJH34" s="143"/>
      <c r="IJI34" s="143"/>
      <c r="IJJ34" s="143"/>
      <c r="IJK34" s="143"/>
      <c r="IJL34" s="143"/>
      <c r="IJM34" s="143"/>
      <c r="IJN34" s="143"/>
      <c r="IJO34" s="143"/>
      <c r="IJP34" s="143"/>
      <c r="IJQ34" s="143"/>
      <c r="IJR34" s="143"/>
      <c r="IJS34" s="143"/>
      <c r="IJT34" s="143"/>
      <c r="IJU34" s="143"/>
      <c r="IJV34" s="143"/>
      <c r="IJW34" s="143"/>
      <c r="IJX34" s="143"/>
      <c r="IJY34" s="143"/>
      <c r="IJZ34" s="143"/>
      <c r="IKA34" s="143"/>
      <c r="IKB34" s="143"/>
      <c r="IKC34" s="143"/>
      <c r="IKD34" s="143"/>
      <c r="IKE34" s="143"/>
      <c r="IKF34" s="143"/>
      <c r="IKG34" s="143"/>
      <c r="IKH34" s="143"/>
      <c r="IKI34" s="143"/>
      <c r="IKJ34" s="143"/>
      <c r="IKK34" s="143"/>
      <c r="IKL34" s="143"/>
      <c r="IKM34" s="143"/>
      <c r="IKN34" s="143"/>
      <c r="IKO34" s="143"/>
      <c r="IKP34" s="143"/>
      <c r="IKQ34" s="143"/>
      <c r="IKR34" s="143"/>
      <c r="IKS34" s="143"/>
      <c r="IKT34" s="143"/>
      <c r="IKU34" s="143"/>
      <c r="IKV34" s="143"/>
      <c r="IKW34" s="143"/>
      <c r="IKX34" s="143"/>
      <c r="IKY34" s="143"/>
      <c r="IKZ34" s="143"/>
      <c r="ILA34" s="143"/>
      <c r="ILB34" s="143"/>
      <c r="ILC34" s="143"/>
      <c r="ILD34" s="143"/>
      <c r="ILE34" s="143"/>
      <c r="ILF34" s="143"/>
      <c r="ILG34" s="143"/>
      <c r="ILH34" s="143"/>
      <c r="ILI34" s="143"/>
      <c r="ILJ34" s="143"/>
      <c r="ILK34" s="143"/>
      <c r="ILL34" s="143"/>
      <c r="ILM34" s="143"/>
      <c r="ILN34" s="143"/>
      <c r="ILO34" s="143"/>
      <c r="ILP34" s="143"/>
      <c r="ILQ34" s="143"/>
      <c r="ILR34" s="143"/>
      <c r="ILS34" s="143"/>
      <c r="ILT34" s="143"/>
      <c r="ILU34" s="143"/>
      <c r="ILV34" s="143"/>
      <c r="ILW34" s="143"/>
      <c r="ILX34" s="143"/>
      <c r="ILY34" s="143"/>
      <c r="ILZ34" s="143"/>
      <c r="IMA34" s="143"/>
      <c r="IMB34" s="143"/>
      <c r="IMC34" s="143"/>
      <c r="IMD34" s="143"/>
      <c r="IME34" s="143"/>
      <c r="IMF34" s="143"/>
      <c r="IMG34" s="143"/>
      <c r="IMH34" s="143"/>
      <c r="IMI34" s="143"/>
      <c r="IMJ34" s="143"/>
      <c r="IMK34" s="143"/>
      <c r="IML34" s="143"/>
      <c r="IMM34" s="143"/>
      <c r="IMN34" s="143"/>
      <c r="IMO34" s="143"/>
      <c r="IMP34" s="143"/>
      <c r="IMQ34" s="143"/>
      <c r="IMR34" s="143"/>
      <c r="IMS34" s="143"/>
      <c r="IMT34" s="143"/>
      <c r="IMU34" s="143"/>
      <c r="IMV34" s="143"/>
      <c r="IMW34" s="143"/>
      <c r="IMX34" s="143"/>
      <c r="IMY34" s="143"/>
      <c r="IMZ34" s="143"/>
      <c r="INA34" s="143"/>
      <c r="INB34" s="143"/>
      <c r="INC34" s="143"/>
      <c r="IND34" s="143"/>
      <c r="INE34" s="143"/>
      <c r="INF34" s="143"/>
      <c r="ING34" s="143"/>
      <c r="INH34" s="143"/>
      <c r="INI34" s="143"/>
      <c r="INJ34" s="143"/>
      <c r="INK34" s="143"/>
      <c r="INL34" s="143"/>
      <c r="INM34" s="143"/>
      <c r="INN34" s="143"/>
      <c r="INO34" s="143"/>
      <c r="INP34" s="143"/>
      <c r="INQ34" s="143"/>
      <c r="INR34" s="143"/>
      <c r="INS34" s="143"/>
      <c r="INT34" s="143"/>
      <c r="INU34" s="143"/>
      <c r="INV34" s="143"/>
      <c r="INW34" s="143"/>
      <c r="INX34" s="143"/>
      <c r="INY34" s="143"/>
      <c r="INZ34" s="143"/>
      <c r="IOA34" s="143"/>
      <c r="IOB34" s="143"/>
      <c r="IOC34" s="143"/>
      <c r="IOD34" s="143"/>
      <c r="IOE34" s="143"/>
      <c r="IOF34" s="143"/>
      <c r="IOG34" s="143"/>
      <c r="IOH34" s="143"/>
      <c r="IOI34" s="143"/>
      <c r="IOJ34" s="143"/>
      <c r="IOK34" s="143"/>
      <c r="IOL34" s="143"/>
      <c r="IOM34" s="143"/>
      <c r="ION34" s="143"/>
      <c r="IOO34" s="143"/>
      <c r="IOP34" s="143"/>
      <c r="IOQ34" s="143"/>
      <c r="IOR34" s="143"/>
      <c r="IOS34" s="143"/>
      <c r="IOT34" s="143"/>
      <c r="IOU34" s="143"/>
      <c r="IOV34" s="143"/>
      <c r="IOW34" s="143"/>
      <c r="IOX34" s="143"/>
      <c r="IOY34" s="143"/>
      <c r="IOZ34" s="143"/>
      <c r="IPA34" s="143"/>
      <c r="IPB34" s="143"/>
      <c r="IPC34" s="143"/>
      <c r="IPD34" s="143"/>
      <c r="IPE34" s="143"/>
      <c r="IPF34" s="143"/>
      <c r="IPG34" s="143"/>
      <c r="IPH34" s="143"/>
      <c r="IPI34" s="143"/>
      <c r="IPJ34" s="143"/>
      <c r="IPK34" s="143"/>
      <c r="IPL34" s="143"/>
      <c r="IPM34" s="143"/>
      <c r="IPN34" s="143"/>
      <c r="IPO34" s="143"/>
      <c r="IPP34" s="143"/>
      <c r="IPQ34" s="143"/>
      <c r="IPR34" s="143"/>
      <c r="IPS34" s="143"/>
      <c r="IPT34" s="143"/>
      <c r="IPU34" s="143"/>
      <c r="IPV34" s="143"/>
      <c r="IPW34" s="143"/>
      <c r="IPX34" s="143"/>
      <c r="IPY34" s="143"/>
      <c r="IPZ34" s="143"/>
      <c r="IQA34" s="143"/>
      <c r="IQB34" s="143"/>
      <c r="IQC34" s="143"/>
      <c r="IQD34" s="143"/>
      <c r="IQE34" s="143"/>
      <c r="IQF34" s="143"/>
      <c r="IQG34" s="143"/>
      <c r="IQH34" s="143"/>
      <c r="IQI34" s="143"/>
      <c r="IQJ34" s="143"/>
      <c r="IQK34" s="143"/>
      <c r="IQL34" s="143"/>
      <c r="IQM34" s="143"/>
      <c r="IQN34" s="143"/>
      <c r="IQO34" s="143"/>
      <c r="IQP34" s="143"/>
      <c r="IQQ34" s="143"/>
      <c r="IQR34" s="143"/>
      <c r="IQS34" s="143"/>
      <c r="IQT34" s="143"/>
      <c r="IQU34" s="143"/>
      <c r="IQV34" s="143"/>
      <c r="IQW34" s="143"/>
      <c r="IQX34" s="143"/>
      <c r="IQY34" s="143"/>
      <c r="IQZ34" s="143"/>
      <c r="IRA34" s="143"/>
      <c r="IRB34" s="143"/>
      <c r="IRC34" s="143"/>
      <c r="IRD34" s="143"/>
      <c r="IRE34" s="143"/>
      <c r="IRF34" s="143"/>
      <c r="IRG34" s="143"/>
      <c r="IRH34" s="143"/>
      <c r="IRI34" s="143"/>
      <c r="IRJ34" s="143"/>
      <c r="IRK34" s="143"/>
      <c r="IRL34" s="143"/>
      <c r="IRM34" s="143"/>
      <c r="IRN34" s="143"/>
      <c r="IRO34" s="143"/>
      <c r="IRP34" s="143"/>
      <c r="IRQ34" s="143"/>
      <c r="IRR34" s="143"/>
      <c r="IRS34" s="143"/>
      <c r="IRT34" s="143"/>
      <c r="IRU34" s="143"/>
      <c r="IRV34" s="143"/>
      <c r="IRW34" s="143"/>
      <c r="IRX34" s="143"/>
      <c r="IRY34" s="143"/>
      <c r="IRZ34" s="143"/>
      <c r="ISA34" s="143"/>
      <c r="ISB34" s="143"/>
      <c r="ISC34" s="143"/>
      <c r="ISD34" s="143"/>
      <c r="ISE34" s="143"/>
      <c r="ISF34" s="143"/>
      <c r="ISG34" s="143"/>
      <c r="ISH34" s="143"/>
      <c r="ISI34" s="143"/>
      <c r="ISJ34" s="143"/>
      <c r="ISK34" s="143"/>
      <c r="ISL34" s="143"/>
      <c r="ISM34" s="143"/>
      <c r="ISN34" s="143"/>
      <c r="ISO34" s="143"/>
      <c r="ISP34" s="143"/>
      <c r="ISQ34" s="143"/>
      <c r="ISR34" s="143"/>
      <c r="ISS34" s="143"/>
      <c r="IST34" s="143"/>
      <c r="ISU34" s="143"/>
      <c r="ISV34" s="143"/>
      <c r="ISW34" s="143"/>
      <c r="ISX34" s="143"/>
      <c r="ISY34" s="143"/>
      <c r="ISZ34" s="143"/>
      <c r="ITA34" s="143"/>
      <c r="ITB34" s="143"/>
      <c r="ITC34" s="143"/>
      <c r="ITD34" s="143"/>
      <c r="ITE34" s="143"/>
      <c r="ITF34" s="143"/>
      <c r="ITG34" s="143"/>
      <c r="ITH34" s="143"/>
      <c r="ITI34" s="143"/>
      <c r="ITJ34" s="143"/>
      <c r="ITK34" s="143"/>
      <c r="ITL34" s="143"/>
      <c r="ITM34" s="143"/>
      <c r="ITN34" s="143"/>
      <c r="ITO34" s="143"/>
      <c r="ITP34" s="143"/>
      <c r="ITQ34" s="143"/>
      <c r="ITR34" s="143"/>
      <c r="ITS34" s="143"/>
      <c r="ITT34" s="143"/>
      <c r="ITU34" s="143"/>
      <c r="ITV34" s="143"/>
      <c r="ITW34" s="143"/>
      <c r="ITX34" s="143"/>
      <c r="ITY34" s="143"/>
      <c r="ITZ34" s="143"/>
      <c r="IUA34" s="143"/>
      <c r="IUB34" s="143"/>
      <c r="IUC34" s="143"/>
      <c r="IUD34" s="143"/>
      <c r="IUE34" s="143"/>
      <c r="IUF34" s="143"/>
      <c r="IUG34" s="143"/>
      <c r="IUH34" s="143"/>
      <c r="IUI34" s="143"/>
      <c r="IUJ34" s="143"/>
      <c r="IUK34" s="143"/>
      <c r="IUL34" s="143"/>
      <c r="IUM34" s="143"/>
      <c r="IUN34" s="143"/>
      <c r="IUO34" s="143"/>
      <c r="IUP34" s="143"/>
      <c r="IUQ34" s="143"/>
      <c r="IUR34" s="143"/>
      <c r="IUS34" s="143"/>
      <c r="IUT34" s="143"/>
      <c r="IUU34" s="143"/>
      <c r="IUV34" s="143"/>
      <c r="IUW34" s="143"/>
      <c r="IUX34" s="143"/>
      <c r="IUY34" s="143"/>
      <c r="IUZ34" s="143"/>
      <c r="IVA34" s="143"/>
      <c r="IVB34" s="143"/>
      <c r="IVC34" s="143"/>
      <c r="IVD34" s="143"/>
      <c r="IVE34" s="143"/>
      <c r="IVF34" s="143"/>
      <c r="IVG34" s="143"/>
      <c r="IVH34" s="143"/>
      <c r="IVI34" s="143"/>
      <c r="IVJ34" s="143"/>
      <c r="IVK34" s="143"/>
      <c r="IVL34" s="143"/>
      <c r="IVM34" s="143"/>
      <c r="IVN34" s="143"/>
      <c r="IVO34" s="143"/>
      <c r="IVP34" s="143"/>
      <c r="IVQ34" s="143"/>
      <c r="IVR34" s="143"/>
      <c r="IVS34" s="143"/>
      <c r="IVT34" s="143"/>
      <c r="IVU34" s="143"/>
      <c r="IVV34" s="143"/>
      <c r="IVW34" s="143"/>
      <c r="IVX34" s="143"/>
      <c r="IVY34" s="143"/>
      <c r="IVZ34" s="143"/>
      <c r="IWA34" s="143"/>
      <c r="IWB34" s="143"/>
      <c r="IWC34" s="143"/>
      <c r="IWD34" s="143"/>
      <c r="IWE34" s="143"/>
      <c r="IWF34" s="143"/>
      <c r="IWG34" s="143"/>
      <c r="IWH34" s="143"/>
      <c r="IWI34" s="143"/>
      <c r="IWJ34" s="143"/>
      <c r="IWK34" s="143"/>
      <c r="IWL34" s="143"/>
      <c r="IWM34" s="143"/>
      <c r="IWN34" s="143"/>
      <c r="IWO34" s="143"/>
      <c r="IWP34" s="143"/>
      <c r="IWQ34" s="143"/>
      <c r="IWR34" s="143"/>
      <c r="IWS34" s="143"/>
      <c r="IWT34" s="143"/>
      <c r="IWU34" s="143"/>
      <c r="IWV34" s="143"/>
      <c r="IWW34" s="143"/>
      <c r="IWX34" s="143"/>
      <c r="IWY34" s="143"/>
      <c r="IWZ34" s="143"/>
      <c r="IXA34" s="143"/>
      <c r="IXB34" s="143"/>
      <c r="IXC34" s="143"/>
      <c r="IXD34" s="143"/>
      <c r="IXE34" s="143"/>
      <c r="IXF34" s="143"/>
      <c r="IXG34" s="143"/>
      <c r="IXH34" s="143"/>
      <c r="IXI34" s="143"/>
      <c r="IXJ34" s="143"/>
      <c r="IXK34" s="143"/>
      <c r="IXL34" s="143"/>
      <c r="IXM34" s="143"/>
      <c r="IXN34" s="143"/>
      <c r="IXO34" s="143"/>
      <c r="IXP34" s="143"/>
      <c r="IXQ34" s="143"/>
      <c r="IXR34" s="143"/>
      <c r="IXS34" s="143"/>
      <c r="IXT34" s="143"/>
      <c r="IXU34" s="143"/>
      <c r="IXV34" s="143"/>
      <c r="IXW34" s="143"/>
      <c r="IXX34" s="143"/>
      <c r="IXY34" s="143"/>
      <c r="IXZ34" s="143"/>
      <c r="IYA34" s="143"/>
      <c r="IYB34" s="143"/>
      <c r="IYC34" s="143"/>
      <c r="IYD34" s="143"/>
      <c r="IYE34" s="143"/>
      <c r="IYF34" s="143"/>
      <c r="IYG34" s="143"/>
      <c r="IYH34" s="143"/>
      <c r="IYI34" s="143"/>
      <c r="IYJ34" s="143"/>
      <c r="IYK34" s="143"/>
      <c r="IYL34" s="143"/>
      <c r="IYM34" s="143"/>
      <c r="IYN34" s="143"/>
      <c r="IYO34" s="143"/>
      <c r="IYP34" s="143"/>
      <c r="IYQ34" s="143"/>
      <c r="IYR34" s="143"/>
      <c r="IYS34" s="143"/>
      <c r="IYT34" s="143"/>
      <c r="IYU34" s="143"/>
      <c r="IYV34" s="143"/>
      <c r="IYW34" s="143"/>
      <c r="IYX34" s="143"/>
      <c r="IYY34" s="143"/>
      <c r="IYZ34" s="143"/>
      <c r="IZA34" s="143"/>
      <c r="IZB34" s="143"/>
      <c r="IZC34" s="143"/>
      <c r="IZD34" s="143"/>
      <c r="IZE34" s="143"/>
      <c r="IZF34" s="143"/>
      <c r="IZG34" s="143"/>
      <c r="IZH34" s="143"/>
      <c r="IZI34" s="143"/>
      <c r="IZJ34" s="143"/>
      <c r="IZK34" s="143"/>
      <c r="IZL34" s="143"/>
      <c r="IZM34" s="143"/>
      <c r="IZN34" s="143"/>
      <c r="IZO34" s="143"/>
      <c r="IZP34" s="143"/>
      <c r="IZQ34" s="143"/>
      <c r="IZR34" s="143"/>
      <c r="IZS34" s="143"/>
      <c r="IZT34" s="143"/>
      <c r="IZU34" s="143"/>
      <c r="IZV34" s="143"/>
      <c r="IZW34" s="143"/>
      <c r="IZX34" s="143"/>
      <c r="IZY34" s="143"/>
      <c r="IZZ34" s="143"/>
      <c r="JAA34" s="143"/>
      <c r="JAB34" s="143"/>
      <c r="JAC34" s="143"/>
      <c r="JAD34" s="143"/>
      <c r="JAE34" s="143"/>
      <c r="JAF34" s="143"/>
      <c r="JAG34" s="143"/>
      <c r="JAH34" s="143"/>
      <c r="JAI34" s="143"/>
      <c r="JAJ34" s="143"/>
      <c r="JAK34" s="143"/>
      <c r="JAL34" s="143"/>
      <c r="JAM34" s="143"/>
      <c r="JAN34" s="143"/>
      <c r="JAO34" s="143"/>
      <c r="JAP34" s="143"/>
      <c r="JAQ34" s="143"/>
      <c r="JAR34" s="143"/>
      <c r="JAS34" s="143"/>
      <c r="JAT34" s="143"/>
      <c r="JAU34" s="143"/>
      <c r="JAV34" s="143"/>
      <c r="JAW34" s="143"/>
      <c r="JAX34" s="143"/>
      <c r="JAY34" s="143"/>
      <c r="JAZ34" s="143"/>
      <c r="JBA34" s="143"/>
      <c r="JBB34" s="143"/>
      <c r="JBC34" s="143"/>
      <c r="JBD34" s="143"/>
      <c r="JBE34" s="143"/>
      <c r="JBF34" s="143"/>
      <c r="JBG34" s="143"/>
      <c r="JBH34" s="143"/>
      <c r="JBI34" s="143"/>
      <c r="JBJ34" s="143"/>
      <c r="JBK34" s="143"/>
      <c r="JBL34" s="143"/>
      <c r="JBM34" s="143"/>
      <c r="JBN34" s="143"/>
      <c r="JBO34" s="143"/>
      <c r="JBP34" s="143"/>
      <c r="JBQ34" s="143"/>
      <c r="JBR34" s="143"/>
      <c r="JBS34" s="143"/>
      <c r="JBT34" s="143"/>
      <c r="JBU34" s="143"/>
      <c r="JBV34" s="143"/>
      <c r="JBW34" s="143"/>
      <c r="JBX34" s="143"/>
      <c r="JBY34" s="143"/>
      <c r="JBZ34" s="143"/>
      <c r="JCA34" s="143"/>
      <c r="JCB34" s="143"/>
      <c r="JCC34" s="143"/>
      <c r="JCD34" s="143"/>
      <c r="JCE34" s="143"/>
      <c r="JCF34" s="143"/>
      <c r="JCG34" s="143"/>
      <c r="JCH34" s="143"/>
      <c r="JCI34" s="143"/>
      <c r="JCJ34" s="143"/>
      <c r="JCK34" s="143"/>
      <c r="JCL34" s="143"/>
      <c r="JCM34" s="143"/>
      <c r="JCN34" s="143"/>
      <c r="JCO34" s="143"/>
      <c r="JCP34" s="143"/>
      <c r="JCQ34" s="143"/>
      <c r="JCR34" s="143"/>
      <c r="JCS34" s="143"/>
      <c r="JCT34" s="143"/>
      <c r="JCU34" s="143"/>
      <c r="JCV34" s="143"/>
      <c r="JCW34" s="143"/>
      <c r="JCX34" s="143"/>
      <c r="JCY34" s="143"/>
      <c r="JCZ34" s="143"/>
      <c r="JDA34" s="143"/>
      <c r="JDB34" s="143"/>
      <c r="JDC34" s="143"/>
      <c r="JDD34" s="143"/>
      <c r="JDE34" s="143"/>
      <c r="JDF34" s="143"/>
      <c r="JDG34" s="143"/>
      <c r="JDH34" s="143"/>
      <c r="JDI34" s="143"/>
      <c r="JDJ34" s="143"/>
      <c r="JDK34" s="143"/>
      <c r="JDL34" s="143"/>
      <c r="JDM34" s="143"/>
      <c r="JDN34" s="143"/>
      <c r="JDO34" s="143"/>
      <c r="JDP34" s="143"/>
      <c r="JDQ34" s="143"/>
      <c r="JDR34" s="143"/>
      <c r="JDS34" s="143"/>
      <c r="JDT34" s="143"/>
      <c r="JDU34" s="143"/>
      <c r="JDV34" s="143"/>
      <c r="JDW34" s="143"/>
      <c r="JDX34" s="143"/>
      <c r="JDY34" s="143"/>
      <c r="JDZ34" s="143"/>
      <c r="JEA34" s="143"/>
      <c r="JEB34" s="143"/>
      <c r="JEC34" s="143"/>
      <c r="JED34" s="143"/>
      <c r="JEE34" s="143"/>
      <c r="JEF34" s="143"/>
      <c r="JEG34" s="143"/>
      <c r="JEH34" s="143"/>
      <c r="JEI34" s="143"/>
      <c r="JEJ34" s="143"/>
      <c r="JEK34" s="143"/>
      <c r="JEL34" s="143"/>
      <c r="JEM34" s="143"/>
      <c r="JEN34" s="143"/>
      <c r="JEO34" s="143"/>
      <c r="JEP34" s="143"/>
      <c r="JEQ34" s="143"/>
      <c r="JER34" s="143"/>
      <c r="JES34" s="143"/>
      <c r="JET34" s="143"/>
      <c r="JEU34" s="143"/>
      <c r="JEV34" s="143"/>
      <c r="JEW34" s="143"/>
      <c r="JEX34" s="143"/>
      <c r="JEY34" s="143"/>
      <c r="JEZ34" s="143"/>
      <c r="JFA34" s="143"/>
      <c r="JFB34" s="143"/>
      <c r="JFC34" s="143"/>
      <c r="JFD34" s="143"/>
      <c r="JFE34" s="143"/>
      <c r="JFF34" s="143"/>
      <c r="JFG34" s="143"/>
      <c r="JFH34" s="143"/>
      <c r="JFI34" s="143"/>
      <c r="JFJ34" s="143"/>
      <c r="JFK34" s="143"/>
      <c r="JFL34" s="143"/>
      <c r="JFM34" s="143"/>
      <c r="JFN34" s="143"/>
      <c r="JFO34" s="143"/>
      <c r="JFP34" s="143"/>
      <c r="JFQ34" s="143"/>
      <c r="JFR34" s="143"/>
      <c r="JFS34" s="143"/>
      <c r="JFT34" s="143"/>
      <c r="JFU34" s="143"/>
      <c r="JFV34" s="143"/>
      <c r="JFW34" s="143"/>
      <c r="JFX34" s="143"/>
      <c r="JFY34" s="143"/>
      <c r="JFZ34" s="143"/>
      <c r="JGA34" s="143"/>
      <c r="JGB34" s="143"/>
      <c r="JGC34" s="143"/>
      <c r="JGD34" s="143"/>
      <c r="JGE34" s="143"/>
      <c r="JGF34" s="143"/>
      <c r="JGG34" s="143"/>
      <c r="JGH34" s="143"/>
      <c r="JGI34" s="143"/>
      <c r="JGJ34" s="143"/>
      <c r="JGK34" s="143"/>
      <c r="JGL34" s="143"/>
      <c r="JGM34" s="143"/>
      <c r="JGN34" s="143"/>
      <c r="JGO34" s="143"/>
      <c r="JGP34" s="143"/>
      <c r="JGQ34" s="143"/>
      <c r="JGR34" s="143"/>
      <c r="JGS34" s="143"/>
      <c r="JGT34" s="143"/>
      <c r="JGU34" s="143"/>
      <c r="JGV34" s="143"/>
      <c r="JGW34" s="143"/>
      <c r="JGX34" s="143"/>
      <c r="JGY34" s="143"/>
      <c r="JGZ34" s="143"/>
      <c r="JHA34" s="143"/>
      <c r="JHB34" s="143"/>
      <c r="JHC34" s="143"/>
      <c r="JHD34" s="143"/>
      <c r="JHE34" s="143"/>
      <c r="JHF34" s="143"/>
      <c r="JHG34" s="143"/>
      <c r="JHH34" s="143"/>
      <c r="JHI34" s="143"/>
      <c r="JHJ34" s="143"/>
      <c r="JHK34" s="143"/>
      <c r="JHL34" s="143"/>
      <c r="JHM34" s="143"/>
      <c r="JHN34" s="143"/>
      <c r="JHO34" s="143"/>
      <c r="JHP34" s="143"/>
      <c r="JHQ34" s="143"/>
      <c r="JHR34" s="143"/>
      <c r="JHS34" s="143"/>
      <c r="JHT34" s="143"/>
      <c r="JHU34" s="143"/>
      <c r="JHV34" s="143"/>
      <c r="JHW34" s="143"/>
      <c r="JHX34" s="143"/>
      <c r="JHY34" s="143"/>
      <c r="JHZ34" s="143"/>
      <c r="JIA34" s="143"/>
      <c r="JIB34" s="143"/>
      <c r="JIC34" s="143"/>
      <c r="JID34" s="143"/>
      <c r="JIE34" s="143"/>
      <c r="JIF34" s="143"/>
      <c r="JIG34" s="143"/>
      <c r="JIH34" s="143"/>
      <c r="JII34" s="143"/>
      <c r="JIJ34" s="143"/>
      <c r="JIK34" s="143"/>
      <c r="JIL34" s="143"/>
      <c r="JIM34" s="143"/>
      <c r="JIN34" s="143"/>
      <c r="JIO34" s="143"/>
      <c r="JIP34" s="143"/>
      <c r="JIQ34" s="143"/>
      <c r="JIR34" s="143"/>
      <c r="JIS34" s="143"/>
      <c r="JIT34" s="143"/>
      <c r="JIU34" s="143"/>
      <c r="JIV34" s="143"/>
      <c r="JIW34" s="143"/>
      <c r="JIX34" s="143"/>
      <c r="JIY34" s="143"/>
      <c r="JIZ34" s="143"/>
      <c r="JJA34" s="143"/>
      <c r="JJB34" s="143"/>
      <c r="JJC34" s="143"/>
      <c r="JJD34" s="143"/>
      <c r="JJE34" s="143"/>
      <c r="JJF34" s="143"/>
      <c r="JJG34" s="143"/>
      <c r="JJH34" s="143"/>
      <c r="JJI34" s="143"/>
      <c r="JJJ34" s="143"/>
      <c r="JJK34" s="143"/>
      <c r="JJL34" s="143"/>
      <c r="JJM34" s="143"/>
      <c r="JJN34" s="143"/>
      <c r="JJO34" s="143"/>
      <c r="JJP34" s="143"/>
      <c r="JJQ34" s="143"/>
      <c r="JJR34" s="143"/>
      <c r="JJS34" s="143"/>
      <c r="JJT34" s="143"/>
      <c r="JJU34" s="143"/>
      <c r="JJV34" s="143"/>
      <c r="JJW34" s="143"/>
      <c r="JJX34" s="143"/>
      <c r="JJY34" s="143"/>
      <c r="JJZ34" s="143"/>
      <c r="JKA34" s="143"/>
      <c r="JKB34" s="143"/>
      <c r="JKC34" s="143"/>
      <c r="JKD34" s="143"/>
      <c r="JKE34" s="143"/>
      <c r="JKF34" s="143"/>
      <c r="JKG34" s="143"/>
      <c r="JKH34" s="143"/>
      <c r="JKI34" s="143"/>
      <c r="JKJ34" s="143"/>
      <c r="JKK34" s="143"/>
      <c r="JKL34" s="143"/>
      <c r="JKM34" s="143"/>
      <c r="JKN34" s="143"/>
      <c r="JKO34" s="143"/>
      <c r="JKP34" s="143"/>
      <c r="JKQ34" s="143"/>
      <c r="JKR34" s="143"/>
      <c r="JKS34" s="143"/>
      <c r="JKT34" s="143"/>
      <c r="JKU34" s="143"/>
      <c r="JKV34" s="143"/>
      <c r="JKW34" s="143"/>
      <c r="JKX34" s="143"/>
      <c r="JKY34" s="143"/>
      <c r="JKZ34" s="143"/>
      <c r="JLA34" s="143"/>
      <c r="JLB34" s="143"/>
      <c r="JLC34" s="143"/>
      <c r="JLD34" s="143"/>
      <c r="JLE34" s="143"/>
      <c r="JLF34" s="143"/>
      <c r="JLG34" s="143"/>
      <c r="JLH34" s="143"/>
      <c r="JLI34" s="143"/>
      <c r="JLJ34" s="143"/>
      <c r="JLK34" s="143"/>
      <c r="JLL34" s="143"/>
      <c r="JLM34" s="143"/>
      <c r="JLN34" s="143"/>
      <c r="JLO34" s="143"/>
      <c r="JLP34" s="143"/>
      <c r="JLQ34" s="143"/>
      <c r="JLR34" s="143"/>
      <c r="JLS34" s="143"/>
      <c r="JLT34" s="143"/>
      <c r="JLU34" s="143"/>
      <c r="JLV34" s="143"/>
      <c r="JLW34" s="143"/>
      <c r="JLX34" s="143"/>
      <c r="JLY34" s="143"/>
      <c r="JLZ34" s="143"/>
      <c r="JMA34" s="143"/>
      <c r="JMB34" s="143"/>
      <c r="JMC34" s="143"/>
      <c r="JMD34" s="143"/>
      <c r="JME34" s="143"/>
      <c r="JMF34" s="143"/>
      <c r="JMG34" s="143"/>
      <c r="JMH34" s="143"/>
      <c r="JMI34" s="143"/>
      <c r="JMJ34" s="143"/>
      <c r="JMK34" s="143"/>
      <c r="JML34" s="143"/>
      <c r="JMM34" s="143"/>
      <c r="JMN34" s="143"/>
      <c r="JMO34" s="143"/>
      <c r="JMP34" s="143"/>
      <c r="JMQ34" s="143"/>
      <c r="JMR34" s="143"/>
      <c r="JMS34" s="143"/>
      <c r="JMT34" s="143"/>
      <c r="JMU34" s="143"/>
      <c r="JMV34" s="143"/>
      <c r="JMW34" s="143"/>
      <c r="JMX34" s="143"/>
      <c r="JMY34" s="143"/>
      <c r="JMZ34" s="143"/>
      <c r="JNA34" s="143"/>
      <c r="JNB34" s="143"/>
      <c r="JNC34" s="143"/>
      <c r="JND34" s="143"/>
      <c r="JNE34" s="143"/>
      <c r="JNF34" s="143"/>
      <c r="JNG34" s="143"/>
      <c r="JNH34" s="143"/>
      <c r="JNI34" s="143"/>
      <c r="JNJ34" s="143"/>
      <c r="JNK34" s="143"/>
      <c r="JNL34" s="143"/>
      <c r="JNM34" s="143"/>
      <c r="JNN34" s="143"/>
      <c r="JNO34" s="143"/>
      <c r="JNP34" s="143"/>
      <c r="JNQ34" s="143"/>
      <c r="JNR34" s="143"/>
      <c r="JNS34" s="143"/>
      <c r="JNT34" s="143"/>
      <c r="JNU34" s="143"/>
      <c r="JNV34" s="143"/>
      <c r="JNW34" s="143"/>
      <c r="JNX34" s="143"/>
      <c r="JNY34" s="143"/>
      <c r="JNZ34" s="143"/>
      <c r="JOA34" s="143"/>
      <c r="JOB34" s="143"/>
      <c r="JOC34" s="143"/>
      <c r="JOD34" s="143"/>
      <c r="JOE34" s="143"/>
      <c r="JOF34" s="143"/>
      <c r="JOG34" s="143"/>
      <c r="JOH34" s="143"/>
      <c r="JOI34" s="143"/>
      <c r="JOJ34" s="143"/>
      <c r="JOK34" s="143"/>
      <c r="JOL34" s="143"/>
      <c r="JOM34" s="143"/>
      <c r="JON34" s="143"/>
      <c r="JOO34" s="143"/>
      <c r="JOP34" s="143"/>
      <c r="JOQ34" s="143"/>
      <c r="JOR34" s="143"/>
      <c r="JOS34" s="143"/>
      <c r="JOT34" s="143"/>
      <c r="JOU34" s="143"/>
      <c r="JOV34" s="143"/>
      <c r="JOW34" s="143"/>
      <c r="JOX34" s="143"/>
      <c r="JOY34" s="143"/>
      <c r="JOZ34" s="143"/>
      <c r="JPA34" s="143"/>
      <c r="JPB34" s="143"/>
      <c r="JPC34" s="143"/>
      <c r="JPD34" s="143"/>
      <c r="JPE34" s="143"/>
      <c r="JPF34" s="143"/>
      <c r="JPG34" s="143"/>
      <c r="JPH34" s="143"/>
      <c r="JPI34" s="143"/>
      <c r="JPJ34" s="143"/>
      <c r="JPK34" s="143"/>
      <c r="JPL34" s="143"/>
      <c r="JPM34" s="143"/>
      <c r="JPN34" s="143"/>
      <c r="JPO34" s="143"/>
      <c r="JPP34" s="143"/>
      <c r="JPQ34" s="143"/>
      <c r="JPR34" s="143"/>
      <c r="JPS34" s="143"/>
      <c r="JPT34" s="143"/>
      <c r="JPU34" s="143"/>
      <c r="JPV34" s="143"/>
      <c r="JPW34" s="143"/>
      <c r="JPX34" s="143"/>
      <c r="JPY34" s="143"/>
      <c r="JPZ34" s="143"/>
      <c r="JQA34" s="143"/>
      <c r="JQB34" s="143"/>
      <c r="JQC34" s="143"/>
      <c r="JQD34" s="143"/>
      <c r="JQE34" s="143"/>
      <c r="JQF34" s="143"/>
      <c r="JQG34" s="143"/>
      <c r="JQH34" s="143"/>
      <c r="JQI34" s="143"/>
      <c r="JQJ34" s="143"/>
      <c r="JQK34" s="143"/>
      <c r="JQL34" s="143"/>
      <c r="JQM34" s="143"/>
      <c r="JQN34" s="143"/>
      <c r="JQO34" s="143"/>
      <c r="JQP34" s="143"/>
      <c r="JQQ34" s="143"/>
      <c r="JQR34" s="143"/>
      <c r="JQS34" s="143"/>
      <c r="JQT34" s="143"/>
      <c r="JQU34" s="143"/>
      <c r="JQV34" s="143"/>
      <c r="JQW34" s="143"/>
      <c r="JQX34" s="143"/>
      <c r="JQY34" s="143"/>
      <c r="JQZ34" s="143"/>
      <c r="JRA34" s="143"/>
      <c r="JRB34" s="143"/>
      <c r="JRC34" s="143"/>
      <c r="JRD34" s="143"/>
      <c r="JRE34" s="143"/>
      <c r="JRF34" s="143"/>
      <c r="JRG34" s="143"/>
      <c r="JRH34" s="143"/>
      <c r="JRI34" s="143"/>
      <c r="JRJ34" s="143"/>
      <c r="JRK34" s="143"/>
      <c r="JRL34" s="143"/>
      <c r="JRM34" s="143"/>
      <c r="JRN34" s="143"/>
      <c r="JRO34" s="143"/>
      <c r="JRP34" s="143"/>
      <c r="JRQ34" s="143"/>
      <c r="JRR34" s="143"/>
      <c r="JRS34" s="143"/>
      <c r="JRT34" s="143"/>
      <c r="JRU34" s="143"/>
      <c r="JRV34" s="143"/>
      <c r="JRW34" s="143"/>
      <c r="JRX34" s="143"/>
      <c r="JRY34" s="143"/>
      <c r="JRZ34" s="143"/>
      <c r="JSA34" s="143"/>
      <c r="JSB34" s="143"/>
      <c r="JSC34" s="143"/>
      <c r="JSD34" s="143"/>
      <c r="JSE34" s="143"/>
      <c r="JSF34" s="143"/>
      <c r="JSG34" s="143"/>
      <c r="JSH34" s="143"/>
      <c r="JSI34" s="143"/>
      <c r="JSJ34" s="143"/>
      <c r="JSK34" s="143"/>
      <c r="JSL34" s="143"/>
      <c r="JSM34" s="143"/>
      <c r="JSN34" s="143"/>
      <c r="JSO34" s="143"/>
      <c r="JSP34" s="143"/>
      <c r="JSQ34" s="143"/>
      <c r="JSR34" s="143"/>
      <c r="JSS34" s="143"/>
      <c r="JST34" s="143"/>
      <c r="JSU34" s="143"/>
      <c r="JSV34" s="143"/>
      <c r="JSW34" s="143"/>
      <c r="JSX34" s="143"/>
      <c r="JSY34" s="143"/>
      <c r="JSZ34" s="143"/>
      <c r="JTA34" s="143"/>
      <c r="JTB34" s="143"/>
      <c r="JTC34" s="143"/>
      <c r="JTD34" s="143"/>
      <c r="JTE34" s="143"/>
      <c r="JTF34" s="143"/>
      <c r="JTG34" s="143"/>
      <c r="JTH34" s="143"/>
      <c r="JTI34" s="143"/>
      <c r="JTJ34" s="143"/>
      <c r="JTK34" s="143"/>
      <c r="JTL34" s="143"/>
      <c r="JTM34" s="143"/>
      <c r="JTN34" s="143"/>
      <c r="JTO34" s="143"/>
      <c r="JTP34" s="143"/>
      <c r="JTQ34" s="143"/>
      <c r="JTR34" s="143"/>
      <c r="JTS34" s="143"/>
      <c r="JTT34" s="143"/>
      <c r="JTU34" s="143"/>
      <c r="JTV34" s="143"/>
      <c r="JTW34" s="143"/>
      <c r="JTX34" s="143"/>
      <c r="JTY34" s="143"/>
      <c r="JTZ34" s="143"/>
      <c r="JUA34" s="143"/>
      <c r="JUB34" s="143"/>
      <c r="JUC34" s="143"/>
      <c r="JUD34" s="143"/>
      <c r="JUE34" s="143"/>
      <c r="JUF34" s="143"/>
      <c r="JUG34" s="143"/>
      <c r="JUH34" s="143"/>
      <c r="JUI34" s="143"/>
      <c r="JUJ34" s="143"/>
      <c r="JUK34" s="143"/>
      <c r="JUL34" s="143"/>
      <c r="JUM34" s="143"/>
      <c r="JUN34" s="143"/>
      <c r="JUO34" s="143"/>
      <c r="JUP34" s="143"/>
      <c r="JUQ34" s="143"/>
      <c r="JUR34" s="143"/>
      <c r="JUS34" s="143"/>
      <c r="JUT34" s="143"/>
      <c r="JUU34" s="143"/>
      <c r="JUV34" s="143"/>
      <c r="JUW34" s="143"/>
      <c r="JUX34" s="143"/>
      <c r="JUY34" s="143"/>
      <c r="JUZ34" s="143"/>
      <c r="JVA34" s="143"/>
      <c r="JVB34" s="143"/>
      <c r="JVC34" s="143"/>
      <c r="JVD34" s="143"/>
      <c r="JVE34" s="143"/>
      <c r="JVF34" s="143"/>
      <c r="JVG34" s="143"/>
      <c r="JVH34" s="143"/>
      <c r="JVI34" s="143"/>
      <c r="JVJ34" s="143"/>
      <c r="JVK34" s="143"/>
      <c r="JVL34" s="143"/>
      <c r="JVM34" s="143"/>
      <c r="JVN34" s="143"/>
      <c r="JVO34" s="143"/>
      <c r="JVP34" s="143"/>
      <c r="JVQ34" s="143"/>
      <c r="JVR34" s="143"/>
      <c r="JVS34" s="143"/>
      <c r="JVT34" s="143"/>
      <c r="JVU34" s="143"/>
      <c r="JVV34" s="143"/>
      <c r="JVW34" s="143"/>
      <c r="JVX34" s="143"/>
      <c r="JVY34" s="143"/>
      <c r="JVZ34" s="143"/>
      <c r="JWA34" s="143"/>
      <c r="JWB34" s="143"/>
      <c r="JWC34" s="143"/>
      <c r="JWD34" s="143"/>
      <c r="JWE34" s="143"/>
      <c r="JWF34" s="143"/>
      <c r="JWG34" s="143"/>
      <c r="JWH34" s="143"/>
      <c r="JWI34" s="143"/>
      <c r="JWJ34" s="143"/>
      <c r="JWK34" s="143"/>
      <c r="JWL34" s="143"/>
      <c r="JWM34" s="143"/>
      <c r="JWN34" s="143"/>
      <c r="JWO34" s="143"/>
      <c r="JWP34" s="143"/>
      <c r="JWQ34" s="143"/>
      <c r="JWR34" s="143"/>
      <c r="JWS34" s="143"/>
      <c r="JWT34" s="143"/>
      <c r="JWU34" s="143"/>
      <c r="JWV34" s="143"/>
      <c r="JWW34" s="143"/>
      <c r="JWX34" s="143"/>
      <c r="JWY34" s="143"/>
      <c r="JWZ34" s="143"/>
      <c r="JXA34" s="143"/>
      <c r="JXB34" s="143"/>
      <c r="JXC34" s="143"/>
      <c r="JXD34" s="143"/>
      <c r="JXE34" s="143"/>
      <c r="JXF34" s="143"/>
      <c r="JXG34" s="143"/>
      <c r="JXH34" s="143"/>
      <c r="JXI34" s="143"/>
      <c r="JXJ34" s="143"/>
      <c r="JXK34" s="143"/>
      <c r="JXL34" s="143"/>
      <c r="JXM34" s="143"/>
      <c r="JXN34" s="143"/>
      <c r="JXO34" s="143"/>
      <c r="JXP34" s="143"/>
      <c r="JXQ34" s="143"/>
      <c r="JXR34" s="143"/>
      <c r="JXS34" s="143"/>
      <c r="JXT34" s="143"/>
      <c r="JXU34" s="143"/>
      <c r="JXV34" s="143"/>
      <c r="JXW34" s="143"/>
      <c r="JXX34" s="143"/>
      <c r="JXY34" s="143"/>
      <c r="JXZ34" s="143"/>
      <c r="JYA34" s="143"/>
      <c r="JYB34" s="143"/>
      <c r="JYC34" s="143"/>
      <c r="JYD34" s="143"/>
      <c r="JYE34" s="143"/>
      <c r="JYF34" s="143"/>
      <c r="JYG34" s="143"/>
      <c r="JYH34" s="143"/>
      <c r="JYI34" s="143"/>
      <c r="JYJ34" s="143"/>
      <c r="JYK34" s="143"/>
      <c r="JYL34" s="143"/>
      <c r="JYM34" s="143"/>
      <c r="JYN34" s="143"/>
      <c r="JYO34" s="143"/>
      <c r="JYP34" s="143"/>
      <c r="JYQ34" s="143"/>
      <c r="JYR34" s="143"/>
      <c r="JYS34" s="143"/>
      <c r="JYT34" s="143"/>
      <c r="JYU34" s="143"/>
      <c r="JYV34" s="143"/>
      <c r="JYW34" s="143"/>
      <c r="JYX34" s="143"/>
      <c r="JYY34" s="143"/>
      <c r="JYZ34" s="143"/>
      <c r="JZA34" s="143"/>
      <c r="JZB34" s="143"/>
      <c r="JZC34" s="143"/>
      <c r="JZD34" s="143"/>
      <c r="JZE34" s="143"/>
      <c r="JZF34" s="143"/>
      <c r="JZG34" s="143"/>
      <c r="JZH34" s="143"/>
      <c r="JZI34" s="143"/>
      <c r="JZJ34" s="143"/>
      <c r="JZK34" s="143"/>
      <c r="JZL34" s="143"/>
      <c r="JZM34" s="143"/>
      <c r="JZN34" s="143"/>
      <c r="JZO34" s="143"/>
      <c r="JZP34" s="143"/>
      <c r="JZQ34" s="143"/>
      <c r="JZR34" s="143"/>
      <c r="JZS34" s="143"/>
      <c r="JZT34" s="143"/>
      <c r="JZU34" s="143"/>
      <c r="JZV34" s="143"/>
      <c r="JZW34" s="143"/>
      <c r="JZX34" s="143"/>
      <c r="JZY34" s="143"/>
      <c r="JZZ34" s="143"/>
      <c r="KAA34" s="143"/>
      <c r="KAB34" s="143"/>
      <c r="KAC34" s="143"/>
      <c r="KAD34" s="143"/>
      <c r="KAE34" s="143"/>
      <c r="KAF34" s="143"/>
      <c r="KAG34" s="143"/>
      <c r="KAH34" s="143"/>
      <c r="KAI34" s="143"/>
      <c r="KAJ34" s="143"/>
      <c r="KAK34" s="143"/>
      <c r="KAL34" s="143"/>
      <c r="KAM34" s="143"/>
      <c r="KAN34" s="143"/>
      <c r="KAO34" s="143"/>
      <c r="KAP34" s="143"/>
      <c r="KAQ34" s="143"/>
      <c r="KAR34" s="143"/>
      <c r="KAS34" s="143"/>
      <c r="KAT34" s="143"/>
      <c r="KAU34" s="143"/>
      <c r="KAV34" s="143"/>
      <c r="KAW34" s="143"/>
      <c r="KAX34" s="143"/>
      <c r="KAY34" s="143"/>
      <c r="KAZ34" s="143"/>
      <c r="KBA34" s="143"/>
      <c r="KBB34" s="143"/>
      <c r="KBC34" s="143"/>
      <c r="KBD34" s="143"/>
      <c r="KBE34" s="143"/>
      <c r="KBF34" s="143"/>
      <c r="KBG34" s="143"/>
      <c r="KBH34" s="143"/>
      <c r="KBI34" s="143"/>
      <c r="KBJ34" s="143"/>
      <c r="KBK34" s="143"/>
      <c r="KBL34" s="143"/>
      <c r="KBM34" s="143"/>
      <c r="KBN34" s="143"/>
      <c r="KBO34" s="143"/>
      <c r="KBP34" s="143"/>
      <c r="KBQ34" s="143"/>
      <c r="KBR34" s="143"/>
      <c r="KBS34" s="143"/>
      <c r="KBT34" s="143"/>
      <c r="KBU34" s="143"/>
      <c r="KBV34" s="143"/>
      <c r="KBW34" s="143"/>
      <c r="KBX34" s="143"/>
      <c r="KBY34" s="143"/>
      <c r="KBZ34" s="143"/>
      <c r="KCA34" s="143"/>
      <c r="KCB34" s="143"/>
      <c r="KCC34" s="143"/>
      <c r="KCD34" s="143"/>
      <c r="KCE34" s="143"/>
      <c r="KCF34" s="143"/>
      <c r="KCG34" s="143"/>
      <c r="KCH34" s="143"/>
      <c r="KCI34" s="143"/>
      <c r="KCJ34" s="143"/>
      <c r="KCK34" s="143"/>
      <c r="KCL34" s="143"/>
      <c r="KCM34" s="143"/>
      <c r="KCN34" s="143"/>
      <c r="KCO34" s="143"/>
      <c r="KCP34" s="143"/>
      <c r="KCQ34" s="143"/>
      <c r="KCR34" s="143"/>
      <c r="KCS34" s="143"/>
      <c r="KCT34" s="143"/>
      <c r="KCU34" s="143"/>
      <c r="KCV34" s="143"/>
      <c r="KCW34" s="143"/>
      <c r="KCX34" s="143"/>
      <c r="KCY34" s="143"/>
      <c r="KCZ34" s="143"/>
      <c r="KDA34" s="143"/>
      <c r="KDB34" s="143"/>
      <c r="KDC34" s="143"/>
      <c r="KDD34" s="143"/>
      <c r="KDE34" s="143"/>
      <c r="KDF34" s="143"/>
      <c r="KDG34" s="143"/>
      <c r="KDH34" s="143"/>
      <c r="KDI34" s="143"/>
      <c r="KDJ34" s="143"/>
      <c r="KDK34" s="143"/>
      <c r="KDL34" s="143"/>
      <c r="KDM34" s="143"/>
      <c r="KDN34" s="143"/>
      <c r="KDO34" s="143"/>
      <c r="KDP34" s="143"/>
      <c r="KDQ34" s="143"/>
      <c r="KDR34" s="143"/>
      <c r="KDS34" s="143"/>
      <c r="KDT34" s="143"/>
      <c r="KDU34" s="143"/>
      <c r="KDV34" s="143"/>
      <c r="KDW34" s="143"/>
      <c r="KDX34" s="143"/>
      <c r="KDY34" s="143"/>
      <c r="KDZ34" s="143"/>
      <c r="KEA34" s="143"/>
      <c r="KEB34" s="143"/>
      <c r="KEC34" s="143"/>
      <c r="KED34" s="143"/>
      <c r="KEE34" s="143"/>
      <c r="KEF34" s="143"/>
      <c r="KEG34" s="143"/>
      <c r="KEH34" s="143"/>
      <c r="KEI34" s="143"/>
      <c r="KEJ34" s="143"/>
      <c r="KEK34" s="143"/>
      <c r="KEL34" s="143"/>
      <c r="KEM34" s="143"/>
      <c r="KEN34" s="143"/>
      <c r="KEO34" s="143"/>
      <c r="KEP34" s="143"/>
      <c r="KEQ34" s="143"/>
      <c r="KER34" s="143"/>
      <c r="KES34" s="143"/>
      <c r="KET34" s="143"/>
      <c r="KEU34" s="143"/>
      <c r="KEV34" s="143"/>
      <c r="KEW34" s="143"/>
      <c r="KEX34" s="143"/>
      <c r="KEY34" s="143"/>
      <c r="KEZ34" s="143"/>
      <c r="KFA34" s="143"/>
      <c r="KFB34" s="143"/>
      <c r="KFC34" s="143"/>
      <c r="KFD34" s="143"/>
      <c r="KFE34" s="143"/>
      <c r="KFF34" s="143"/>
      <c r="KFG34" s="143"/>
      <c r="KFH34" s="143"/>
      <c r="KFI34" s="143"/>
      <c r="KFJ34" s="143"/>
      <c r="KFK34" s="143"/>
      <c r="KFL34" s="143"/>
      <c r="KFM34" s="143"/>
      <c r="KFN34" s="143"/>
      <c r="KFO34" s="143"/>
      <c r="KFP34" s="143"/>
      <c r="KFQ34" s="143"/>
      <c r="KFR34" s="143"/>
      <c r="KFS34" s="143"/>
      <c r="KFT34" s="143"/>
      <c r="KFU34" s="143"/>
      <c r="KFV34" s="143"/>
      <c r="KFW34" s="143"/>
      <c r="KFX34" s="143"/>
      <c r="KFY34" s="143"/>
      <c r="KFZ34" s="143"/>
      <c r="KGA34" s="143"/>
      <c r="KGB34" s="143"/>
      <c r="KGC34" s="143"/>
      <c r="KGD34" s="143"/>
      <c r="KGE34" s="143"/>
      <c r="KGF34" s="143"/>
      <c r="KGG34" s="143"/>
      <c r="KGH34" s="143"/>
      <c r="KGI34" s="143"/>
      <c r="KGJ34" s="143"/>
      <c r="KGK34" s="143"/>
      <c r="KGL34" s="143"/>
      <c r="KGM34" s="143"/>
      <c r="KGN34" s="143"/>
      <c r="KGO34" s="143"/>
      <c r="KGP34" s="143"/>
      <c r="KGQ34" s="143"/>
      <c r="KGR34" s="143"/>
      <c r="KGS34" s="143"/>
      <c r="KGT34" s="143"/>
      <c r="KGU34" s="143"/>
      <c r="KGV34" s="143"/>
      <c r="KGW34" s="143"/>
      <c r="KGX34" s="143"/>
      <c r="KGY34" s="143"/>
      <c r="KGZ34" s="143"/>
      <c r="KHA34" s="143"/>
      <c r="KHB34" s="143"/>
      <c r="KHC34" s="143"/>
      <c r="KHD34" s="143"/>
      <c r="KHE34" s="143"/>
      <c r="KHF34" s="143"/>
      <c r="KHG34" s="143"/>
      <c r="KHH34" s="143"/>
      <c r="KHI34" s="143"/>
      <c r="KHJ34" s="143"/>
      <c r="KHK34" s="143"/>
      <c r="KHL34" s="143"/>
      <c r="KHM34" s="143"/>
      <c r="KHN34" s="143"/>
      <c r="KHO34" s="143"/>
      <c r="KHP34" s="143"/>
      <c r="KHQ34" s="143"/>
      <c r="KHR34" s="143"/>
      <c r="KHS34" s="143"/>
      <c r="KHT34" s="143"/>
      <c r="KHU34" s="143"/>
      <c r="KHV34" s="143"/>
      <c r="KHW34" s="143"/>
      <c r="KHX34" s="143"/>
      <c r="KHY34" s="143"/>
      <c r="KHZ34" s="143"/>
      <c r="KIA34" s="143"/>
      <c r="KIB34" s="143"/>
      <c r="KIC34" s="143"/>
      <c r="KID34" s="143"/>
      <c r="KIE34" s="143"/>
      <c r="KIF34" s="143"/>
      <c r="KIG34" s="143"/>
      <c r="KIH34" s="143"/>
      <c r="KII34" s="143"/>
      <c r="KIJ34" s="143"/>
      <c r="KIK34" s="143"/>
      <c r="KIL34" s="143"/>
      <c r="KIM34" s="143"/>
      <c r="KIN34" s="143"/>
      <c r="KIO34" s="143"/>
      <c r="KIP34" s="143"/>
      <c r="KIQ34" s="143"/>
      <c r="KIR34" s="143"/>
      <c r="KIS34" s="143"/>
      <c r="KIT34" s="143"/>
      <c r="KIU34" s="143"/>
      <c r="KIV34" s="143"/>
      <c r="KIW34" s="143"/>
      <c r="KIX34" s="143"/>
      <c r="KIY34" s="143"/>
      <c r="KIZ34" s="143"/>
      <c r="KJA34" s="143"/>
      <c r="KJB34" s="143"/>
      <c r="KJC34" s="143"/>
      <c r="KJD34" s="143"/>
      <c r="KJE34" s="143"/>
      <c r="KJF34" s="143"/>
      <c r="KJG34" s="143"/>
      <c r="KJH34" s="143"/>
      <c r="KJI34" s="143"/>
      <c r="KJJ34" s="143"/>
      <c r="KJK34" s="143"/>
      <c r="KJL34" s="143"/>
      <c r="KJM34" s="143"/>
      <c r="KJN34" s="143"/>
      <c r="KJO34" s="143"/>
      <c r="KJP34" s="143"/>
      <c r="KJQ34" s="143"/>
      <c r="KJR34" s="143"/>
      <c r="KJS34" s="143"/>
      <c r="KJT34" s="143"/>
      <c r="KJU34" s="143"/>
      <c r="KJV34" s="143"/>
      <c r="KJW34" s="143"/>
      <c r="KJX34" s="143"/>
      <c r="KJY34" s="143"/>
      <c r="KJZ34" s="143"/>
      <c r="KKA34" s="143"/>
      <c r="KKB34" s="143"/>
      <c r="KKC34" s="143"/>
      <c r="KKD34" s="143"/>
      <c r="KKE34" s="143"/>
      <c r="KKF34" s="143"/>
      <c r="KKG34" s="143"/>
      <c r="KKH34" s="143"/>
      <c r="KKI34" s="143"/>
      <c r="KKJ34" s="143"/>
      <c r="KKK34" s="143"/>
      <c r="KKL34" s="143"/>
      <c r="KKM34" s="143"/>
      <c r="KKN34" s="143"/>
      <c r="KKO34" s="143"/>
      <c r="KKP34" s="143"/>
      <c r="KKQ34" s="143"/>
      <c r="KKR34" s="143"/>
      <c r="KKS34" s="143"/>
      <c r="KKT34" s="143"/>
      <c r="KKU34" s="143"/>
      <c r="KKV34" s="143"/>
      <c r="KKW34" s="143"/>
      <c r="KKX34" s="143"/>
      <c r="KKY34" s="143"/>
      <c r="KKZ34" s="143"/>
      <c r="KLA34" s="143"/>
      <c r="KLB34" s="143"/>
      <c r="KLC34" s="143"/>
      <c r="KLD34" s="143"/>
      <c r="KLE34" s="143"/>
      <c r="KLF34" s="143"/>
      <c r="KLG34" s="143"/>
      <c r="KLH34" s="143"/>
      <c r="KLI34" s="143"/>
      <c r="KLJ34" s="143"/>
      <c r="KLK34" s="143"/>
      <c r="KLL34" s="143"/>
      <c r="KLM34" s="143"/>
      <c r="KLN34" s="143"/>
      <c r="KLO34" s="143"/>
      <c r="KLP34" s="143"/>
      <c r="KLQ34" s="143"/>
      <c r="KLR34" s="143"/>
      <c r="KLS34" s="143"/>
      <c r="KLT34" s="143"/>
      <c r="KLU34" s="143"/>
      <c r="KLV34" s="143"/>
      <c r="KLW34" s="143"/>
      <c r="KLX34" s="143"/>
      <c r="KLY34" s="143"/>
      <c r="KLZ34" s="143"/>
      <c r="KMA34" s="143"/>
      <c r="KMB34" s="143"/>
      <c r="KMC34" s="143"/>
      <c r="KMD34" s="143"/>
      <c r="KME34" s="143"/>
      <c r="KMF34" s="143"/>
      <c r="KMG34" s="143"/>
      <c r="KMH34" s="143"/>
      <c r="KMI34" s="143"/>
      <c r="KMJ34" s="143"/>
      <c r="KMK34" s="143"/>
      <c r="KML34" s="143"/>
      <c r="KMM34" s="143"/>
      <c r="KMN34" s="143"/>
      <c r="KMO34" s="143"/>
      <c r="KMP34" s="143"/>
      <c r="KMQ34" s="143"/>
      <c r="KMR34" s="143"/>
      <c r="KMS34" s="143"/>
      <c r="KMT34" s="143"/>
      <c r="KMU34" s="143"/>
      <c r="KMV34" s="143"/>
      <c r="KMW34" s="143"/>
      <c r="KMX34" s="143"/>
      <c r="KMY34" s="143"/>
      <c r="KMZ34" s="143"/>
      <c r="KNA34" s="143"/>
      <c r="KNB34" s="143"/>
      <c r="KNC34" s="143"/>
      <c r="KND34" s="143"/>
      <c r="KNE34" s="143"/>
      <c r="KNF34" s="143"/>
      <c r="KNG34" s="143"/>
      <c r="KNH34" s="143"/>
      <c r="KNI34" s="143"/>
      <c r="KNJ34" s="143"/>
      <c r="KNK34" s="143"/>
      <c r="KNL34" s="143"/>
      <c r="KNM34" s="143"/>
      <c r="KNN34" s="143"/>
      <c r="KNO34" s="143"/>
      <c r="KNP34" s="143"/>
      <c r="KNQ34" s="143"/>
      <c r="KNR34" s="143"/>
      <c r="KNS34" s="143"/>
      <c r="KNT34" s="143"/>
      <c r="KNU34" s="143"/>
      <c r="KNV34" s="143"/>
      <c r="KNW34" s="143"/>
      <c r="KNX34" s="143"/>
      <c r="KNY34" s="143"/>
      <c r="KNZ34" s="143"/>
      <c r="KOA34" s="143"/>
      <c r="KOB34" s="143"/>
      <c r="KOC34" s="143"/>
      <c r="KOD34" s="143"/>
      <c r="KOE34" s="143"/>
      <c r="KOF34" s="143"/>
      <c r="KOG34" s="143"/>
      <c r="KOH34" s="143"/>
      <c r="KOI34" s="143"/>
      <c r="KOJ34" s="143"/>
      <c r="KOK34" s="143"/>
      <c r="KOL34" s="143"/>
      <c r="KOM34" s="143"/>
      <c r="KON34" s="143"/>
      <c r="KOO34" s="143"/>
      <c r="KOP34" s="143"/>
      <c r="KOQ34" s="143"/>
      <c r="KOR34" s="143"/>
      <c r="KOS34" s="143"/>
      <c r="KOT34" s="143"/>
      <c r="KOU34" s="143"/>
      <c r="KOV34" s="143"/>
      <c r="KOW34" s="143"/>
      <c r="KOX34" s="143"/>
      <c r="KOY34" s="143"/>
      <c r="KOZ34" s="143"/>
      <c r="KPA34" s="143"/>
      <c r="KPB34" s="143"/>
      <c r="KPC34" s="143"/>
      <c r="KPD34" s="143"/>
      <c r="KPE34" s="143"/>
      <c r="KPF34" s="143"/>
      <c r="KPG34" s="143"/>
      <c r="KPH34" s="143"/>
      <c r="KPI34" s="143"/>
      <c r="KPJ34" s="143"/>
      <c r="KPK34" s="143"/>
      <c r="KPL34" s="143"/>
      <c r="KPM34" s="143"/>
      <c r="KPN34" s="143"/>
      <c r="KPO34" s="143"/>
      <c r="KPP34" s="143"/>
      <c r="KPQ34" s="143"/>
      <c r="KPR34" s="143"/>
      <c r="KPS34" s="143"/>
      <c r="KPT34" s="143"/>
      <c r="KPU34" s="143"/>
      <c r="KPV34" s="143"/>
      <c r="KPW34" s="143"/>
      <c r="KPX34" s="143"/>
      <c r="KPY34" s="143"/>
      <c r="KPZ34" s="143"/>
      <c r="KQA34" s="143"/>
      <c r="KQB34" s="143"/>
      <c r="KQC34" s="143"/>
      <c r="KQD34" s="143"/>
      <c r="KQE34" s="143"/>
      <c r="KQF34" s="143"/>
      <c r="KQG34" s="143"/>
      <c r="KQH34" s="143"/>
      <c r="KQI34" s="143"/>
      <c r="KQJ34" s="143"/>
      <c r="KQK34" s="143"/>
      <c r="KQL34" s="143"/>
      <c r="KQM34" s="143"/>
      <c r="KQN34" s="143"/>
      <c r="KQO34" s="143"/>
      <c r="KQP34" s="143"/>
      <c r="KQQ34" s="143"/>
      <c r="KQR34" s="143"/>
      <c r="KQS34" s="143"/>
      <c r="KQT34" s="143"/>
      <c r="KQU34" s="143"/>
      <c r="KQV34" s="143"/>
      <c r="KQW34" s="143"/>
      <c r="KQX34" s="143"/>
      <c r="KQY34" s="143"/>
      <c r="KQZ34" s="143"/>
      <c r="KRA34" s="143"/>
      <c r="KRB34" s="143"/>
      <c r="KRC34" s="143"/>
      <c r="KRD34" s="143"/>
      <c r="KRE34" s="143"/>
      <c r="KRF34" s="143"/>
      <c r="KRG34" s="143"/>
      <c r="KRH34" s="143"/>
      <c r="KRI34" s="143"/>
      <c r="KRJ34" s="143"/>
      <c r="KRK34" s="143"/>
      <c r="KRL34" s="143"/>
      <c r="KRM34" s="143"/>
      <c r="KRN34" s="143"/>
      <c r="KRO34" s="143"/>
      <c r="KRP34" s="143"/>
      <c r="KRQ34" s="143"/>
      <c r="KRR34" s="143"/>
      <c r="KRS34" s="143"/>
      <c r="KRT34" s="143"/>
      <c r="KRU34" s="143"/>
      <c r="KRV34" s="143"/>
      <c r="KRW34" s="143"/>
      <c r="KRX34" s="143"/>
      <c r="KRY34" s="143"/>
      <c r="KRZ34" s="143"/>
      <c r="KSA34" s="143"/>
      <c r="KSB34" s="143"/>
      <c r="KSC34" s="143"/>
      <c r="KSD34" s="143"/>
      <c r="KSE34" s="143"/>
      <c r="KSF34" s="143"/>
      <c r="KSG34" s="143"/>
      <c r="KSH34" s="143"/>
      <c r="KSI34" s="143"/>
      <c r="KSJ34" s="143"/>
      <c r="KSK34" s="143"/>
      <c r="KSL34" s="143"/>
      <c r="KSM34" s="143"/>
      <c r="KSN34" s="143"/>
      <c r="KSO34" s="143"/>
      <c r="KSP34" s="143"/>
      <c r="KSQ34" s="143"/>
      <c r="KSR34" s="143"/>
      <c r="KSS34" s="143"/>
      <c r="KST34" s="143"/>
      <c r="KSU34" s="143"/>
      <c r="KSV34" s="143"/>
      <c r="KSW34" s="143"/>
      <c r="KSX34" s="143"/>
      <c r="KSY34" s="143"/>
      <c r="KSZ34" s="143"/>
      <c r="KTA34" s="143"/>
      <c r="KTB34" s="143"/>
      <c r="KTC34" s="143"/>
      <c r="KTD34" s="143"/>
      <c r="KTE34" s="143"/>
      <c r="KTF34" s="143"/>
      <c r="KTG34" s="143"/>
      <c r="KTH34" s="143"/>
      <c r="KTI34" s="143"/>
      <c r="KTJ34" s="143"/>
      <c r="KTK34" s="143"/>
      <c r="KTL34" s="143"/>
      <c r="KTM34" s="143"/>
      <c r="KTN34" s="143"/>
      <c r="KTO34" s="143"/>
      <c r="KTP34" s="143"/>
      <c r="KTQ34" s="143"/>
      <c r="KTR34" s="143"/>
      <c r="KTS34" s="143"/>
      <c r="KTT34" s="143"/>
      <c r="KTU34" s="143"/>
      <c r="KTV34" s="143"/>
      <c r="KTW34" s="143"/>
      <c r="KTX34" s="143"/>
      <c r="KTY34" s="143"/>
      <c r="KTZ34" s="143"/>
      <c r="KUA34" s="143"/>
      <c r="KUB34" s="143"/>
      <c r="KUC34" s="143"/>
      <c r="KUD34" s="143"/>
      <c r="KUE34" s="143"/>
      <c r="KUF34" s="143"/>
      <c r="KUG34" s="143"/>
      <c r="KUH34" s="143"/>
      <c r="KUI34" s="143"/>
      <c r="KUJ34" s="143"/>
      <c r="KUK34" s="143"/>
      <c r="KUL34" s="143"/>
      <c r="KUM34" s="143"/>
      <c r="KUN34" s="143"/>
      <c r="KUO34" s="143"/>
      <c r="KUP34" s="143"/>
      <c r="KUQ34" s="143"/>
      <c r="KUR34" s="143"/>
      <c r="KUS34" s="143"/>
      <c r="KUT34" s="143"/>
      <c r="KUU34" s="143"/>
      <c r="KUV34" s="143"/>
      <c r="KUW34" s="143"/>
      <c r="KUX34" s="143"/>
      <c r="KUY34" s="143"/>
      <c r="KUZ34" s="143"/>
      <c r="KVA34" s="143"/>
      <c r="KVB34" s="143"/>
      <c r="KVC34" s="143"/>
      <c r="KVD34" s="143"/>
      <c r="KVE34" s="143"/>
      <c r="KVF34" s="143"/>
      <c r="KVG34" s="143"/>
      <c r="KVH34" s="143"/>
      <c r="KVI34" s="143"/>
      <c r="KVJ34" s="143"/>
      <c r="KVK34" s="143"/>
      <c r="KVL34" s="143"/>
      <c r="KVM34" s="143"/>
      <c r="KVN34" s="143"/>
      <c r="KVO34" s="143"/>
      <c r="KVP34" s="143"/>
      <c r="KVQ34" s="143"/>
      <c r="KVR34" s="143"/>
      <c r="KVS34" s="143"/>
      <c r="KVT34" s="143"/>
      <c r="KVU34" s="143"/>
      <c r="KVV34" s="143"/>
      <c r="KVW34" s="143"/>
      <c r="KVX34" s="143"/>
      <c r="KVY34" s="143"/>
      <c r="KVZ34" s="143"/>
      <c r="KWA34" s="143"/>
      <c r="KWB34" s="143"/>
      <c r="KWC34" s="143"/>
      <c r="KWD34" s="143"/>
      <c r="KWE34" s="143"/>
      <c r="KWF34" s="143"/>
      <c r="KWG34" s="143"/>
      <c r="KWH34" s="143"/>
      <c r="KWI34" s="143"/>
      <c r="KWJ34" s="143"/>
      <c r="KWK34" s="143"/>
      <c r="KWL34" s="143"/>
      <c r="KWM34" s="143"/>
      <c r="KWN34" s="143"/>
      <c r="KWO34" s="143"/>
      <c r="KWP34" s="143"/>
      <c r="KWQ34" s="143"/>
      <c r="KWR34" s="143"/>
      <c r="KWS34" s="143"/>
      <c r="KWT34" s="143"/>
      <c r="KWU34" s="143"/>
      <c r="KWV34" s="143"/>
      <c r="KWW34" s="143"/>
      <c r="KWX34" s="143"/>
      <c r="KWY34" s="143"/>
      <c r="KWZ34" s="143"/>
      <c r="KXA34" s="143"/>
      <c r="KXB34" s="143"/>
      <c r="KXC34" s="143"/>
      <c r="KXD34" s="143"/>
      <c r="KXE34" s="143"/>
      <c r="KXF34" s="143"/>
      <c r="KXG34" s="143"/>
      <c r="KXH34" s="143"/>
      <c r="KXI34" s="143"/>
      <c r="KXJ34" s="143"/>
      <c r="KXK34" s="143"/>
      <c r="KXL34" s="143"/>
      <c r="KXM34" s="143"/>
      <c r="KXN34" s="143"/>
      <c r="KXO34" s="143"/>
      <c r="KXP34" s="143"/>
      <c r="KXQ34" s="143"/>
      <c r="KXR34" s="143"/>
      <c r="KXS34" s="143"/>
      <c r="KXT34" s="143"/>
      <c r="KXU34" s="143"/>
      <c r="KXV34" s="143"/>
      <c r="KXW34" s="143"/>
      <c r="KXX34" s="143"/>
      <c r="KXY34" s="143"/>
      <c r="KXZ34" s="143"/>
      <c r="KYA34" s="143"/>
      <c r="KYB34" s="143"/>
      <c r="KYC34" s="143"/>
      <c r="KYD34" s="143"/>
      <c r="KYE34" s="143"/>
      <c r="KYF34" s="143"/>
      <c r="KYG34" s="143"/>
      <c r="KYH34" s="143"/>
      <c r="KYI34" s="143"/>
      <c r="KYJ34" s="143"/>
      <c r="KYK34" s="143"/>
      <c r="KYL34" s="143"/>
      <c r="KYM34" s="143"/>
      <c r="KYN34" s="143"/>
      <c r="KYO34" s="143"/>
      <c r="KYP34" s="143"/>
      <c r="KYQ34" s="143"/>
      <c r="KYR34" s="143"/>
      <c r="KYS34" s="143"/>
      <c r="KYT34" s="143"/>
      <c r="KYU34" s="143"/>
      <c r="KYV34" s="143"/>
      <c r="KYW34" s="143"/>
      <c r="KYX34" s="143"/>
      <c r="KYY34" s="143"/>
      <c r="KYZ34" s="143"/>
      <c r="KZA34" s="143"/>
      <c r="KZB34" s="143"/>
      <c r="KZC34" s="143"/>
      <c r="KZD34" s="143"/>
      <c r="KZE34" s="143"/>
      <c r="KZF34" s="143"/>
      <c r="KZG34" s="143"/>
      <c r="KZH34" s="143"/>
      <c r="KZI34" s="143"/>
      <c r="KZJ34" s="143"/>
      <c r="KZK34" s="143"/>
      <c r="KZL34" s="143"/>
      <c r="KZM34" s="143"/>
      <c r="KZN34" s="143"/>
      <c r="KZO34" s="143"/>
      <c r="KZP34" s="143"/>
      <c r="KZQ34" s="143"/>
      <c r="KZR34" s="143"/>
      <c r="KZS34" s="143"/>
      <c r="KZT34" s="143"/>
      <c r="KZU34" s="143"/>
      <c r="KZV34" s="143"/>
      <c r="KZW34" s="143"/>
      <c r="KZX34" s="143"/>
      <c r="KZY34" s="143"/>
      <c r="KZZ34" s="143"/>
      <c r="LAA34" s="143"/>
      <c r="LAB34" s="143"/>
      <c r="LAC34" s="143"/>
      <c r="LAD34" s="143"/>
      <c r="LAE34" s="143"/>
      <c r="LAF34" s="143"/>
      <c r="LAG34" s="143"/>
      <c r="LAH34" s="143"/>
      <c r="LAI34" s="143"/>
      <c r="LAJ34" s="143"/>
      <c r="LAK34" s="143"/>
      <c r="LAL34" s="143"/>
      <c r="LAM34" s="143"/>
      <c r="LAN34" s="143"/>
      <c r="LAO34" s="143"/>
      <c r="LAP34" s="143"/>
      <c r="LAQ34" s="143"/>
      <c r="LAR34" s="143"/>
      <c r="LAS34" s="143"/>
      <c r="LAT34" s="143"/>
      <c r="LAU34" s="143"/>
      <c r="LAV34" s="143"/>
      <c r="LAW34" s="143"/>
      <c r="LAX34" s="143"/>
      <c r="LAY34" s="143"/>
      <c r="LAZ34" s="143"/>
      <c r="LBA34" s="143"/>
      <c r="LBB34" s="143"/>
      <c r="LBC34" s="143"/>
      <c r="LBD34" s="143"/>
      <c r="LBE34" s="143"/>
      <c r="LBF34" s="143"/>
      <c r="LBG34" s="143"/>
      <c r="LBH34" s="143"/>
      <c r="LBI34" s="143"/>
      <c r="LBJ34" s="143"/>
      <c r="LBK34" s="143"/>
      <c r="LBL34" s="143"/>
      <c r="LBM34" s="143"/>
      <c r="LBN34" s="143"/>
      <c r="LBO34" s="143"/>
      <c r="LBP34" s="143"/>
      <c r="LBQ34" s="143"/>
      <c r="LBR34" s="143"/>
      <c r="LBS34" s="143"/>
      <c r="LBT34" s="143"/>
      <c r="LBU34" s="143"/>
      <c r="LBV34" s="143"/>
      <c r="LBW34" s="143"/>
      <c r="LBX34" s="143"/>
      <c r="LBY34" s="143"/>
      <c r="LBZ34" s="143"/>
      <c r="LCA34" s="143"/>
      <c r="LCB34" s="143"/>
      <c r="LCC34" s="143"/>
      <c r="LCD34" s="143"/>
      <c r="LCE34" s="143"/>
      <c r="LCF34" s="143"/>
      <c r="LCG34" s="143"/>
      <c r="LCH34" s="143"/>
      <c r="LCI34" s="143"/>
      <c r="LCJ34" s="143"/>
      <c r="LCK34" s="143"/>
      <c r="LCL34" s="143"/>
      <c r="LCM34" s="143"/>
      <c r="LCN34" s="143"/>
      <c r="LCO34" s="143"/>
      <c r="LCP34" s="143"/>
      <c r="LCQ34" s="143"/>
      <c r="LCR34" s="143"/>
      <c r="LCS34" s="143"/>
      <c r="LCT34" s="143"/>
      <c r="LCU34" s="143"/>
      <c r="LCV34" s="143"/>
      <c r="LCW34" s="143"/>
      <c r="LCX34" s="143"/>
      <c r="LCY34" s="143"/>
      <c r="LCZ34" s="143"/>
      <c r="LDA34" s="143"/>
      <c r="LDB34" s="143"/>
      <c r="LDC34" s="143"/>
      <c r="LDD34" s="143"/>
      <c r="LDE34" s="143"/>
      <c r="LDF34" s="143"/>
      <c r="LDG34" s="143"/>
      <c r="LDH34" s="143"/>
      <c r="LDI34" s="143"/>
      <c r="LDJ34" s="143"/>
      <c r="LDK34" s="143"/>
      <c r="LDL34" s="143"/>
      <c r="LDM34" s="143"/>
      <c r="LDN34" s="143"/>
      <c r="LDO34" s="143"/>
      <c r="LDP34" s="143"/>
      <c r="LDQ34" s="143"/>
      <c r="LDR34" s="143"/>
      <c r="LDS34" s="143"/>
      <c r="LDT34" s="143"/>
      <c r="LDU34" s="143"/>
      <c r="LDV34" s="143"/>
      <c r="LDW34" s="143"/>
      <c r="LDX34" s="143"/>
      <c r="LDY34" s="143"/>
      <c r="LDZ34" s="143"/>
      <c r="LEA34" s="143"/>
      <c r="LEB34" s="143"/>
      <c r="LEC34" s="143"/>
      <c r="LED34" s="143"/>
      <c r="LEE34" s="143"/>
      <c r="LEF34" s="143"/>
      <c r="LEG34" s="143"/>
      <c r="LEH34" s="143"/>
      <c r="LEI34" s="143"/>
      <c r="LEJ34" s="143"/>
      <c r="LEK34" s="143"/>
      <c r="LEL34" s="143"/>
      <c r="LEM34" s="143"/>
      <c r="LEN34" s="143"/>
      <c r="LEO34" s="143"/>
      <c r="LEP34" s="143"/>
      <c r="LEQ34" s="143"/>
      <c r="LER34" s="143"/>
      <c r="LES34" s="143"/>
      <c r="LET34" s="143"/>
      <c r="LEU34" s="143"/>
      <c r="LEV34" s="143"/>
      <c r="LEW34" s="143"/>
      <c r="LEX34" s="143"/>
      <c r="LEY34" s="143"/>
      <c r="LEZ34" s="143"/>
      <c r="LFA34" s="143"/>
      <c r="LFB34" s="143"/>
      <c r="LFC34" s="143"/>
      <c r="LFD34" s="143"/>
      <c r="LFE34" s="143"/>
      <c r="LFF34" s="143"/>
      <c r="LFG34" s="143"/>
      <c r="LFH34" s="143"/>
      <c r="LFI34" s="143"/>
      <c r="LFJ34" s="143"/>
      <c r="LFK34" s="143"/>
      <c r="LFL34" s="143"/>
      <c r="LFM34" s="143"/>
      <c r="LFN34" s="143"/>
      <c r="LFO34" s="143"/>
      <c r="LFP34" s="143"/>
      <c r="LFQ34" s="143"/>
      <c r="LFR34" s="143"/>
      <c r="LFS34" s="143"/>
      <c r="LFT34" s="143"/>
      <c r="LFU34" s="143"/>
      <c r="LFV34" s="143"/>
      <c r="LFW34" s="143"/>
      <c r="LFX34" s="143"/>
      <c r="LFY34" s="143"/>
      <c r="LFZ34" s="143"/>
      <c r="LGA34" s="143"/>
      <c r="LGB34" s="143"/>
      <c r="LGC34" s="143"/>
      <c r="LGD34" s="143"/>
      <c r="LGE34" s="143"/>
      <c r="LGF34" s="143"/>
      <c r="LGG34" s="143"/>
      <c r="LGH34" s="143"/>
      <c r="LGI34" s="143"/>
      <c r="LGJ34" s="143"/>
      <c r="LGK34" s="143"/>
      <c r="LGL34" s="143"/>
      <c r="LGM34" s="143"/>
      <c r="LGN34" s="143"/>
      <c r="LGO34" s="143"/>
      <c r="LGP34" s="143"/>
      <c r="LGQ34" s="143"/>
      <c r="LGR34" s="143"/>
      <c r="LGS34" s="143"/>
      <c r="LGT34" s="143"/>
      <c r="LGU34" s="143"/>
      <c r="LGV34" s="143"/>
      <c r="LGW34" s="143"/>
      <c r="LGX34" s="143"/>
      <c r="LGY34" s="143"/>
      <c r="LGZ34" s="143"/>
      <c r="LHA34" s="143"/>
      <c r="LHB34" s="143"/>
      <c r="LHC34" s="143"/>
      <c r="LHD34" s="143"/>
      <c r="LHE34" s="143"/>
      <c r="LHF34" s="143"/>
      <c r="LHG34" s="143"/>
      <c r="LHH34" s="143"/>
      <c r="LHI34" s="143"/>
      <c r="LHJ34" s="143"/>
      <c r="LHK34" s="143"/>
      <c r="LHL34" s="143"/>
      <c r="LHM34" s="143"/>
      <c r="LHN34" s="143"/>
      <c r="LHO34" s="143"/>
      <c r="LHP34" s="143"/>
      <c r="LHQ34" s="143"/>
      <c r="LHR34" s="143"/>
      <c r="LHS34" s="143"/>
      <c r="LHT34" s="143"/>
      <c r="LHU34" s="143"/>
      <c r="LHV34" s="143"/>
      <c r="LHW34" s="143"/>
      <c r="LHX34" s="143"/>
      <c r="LHY34" s="143"/>
      <c r="LHZ34" s="143"/>
      <c r="LIA34" s="143"/>
      <c r="LIB34" s="143"/>
      <c r="LIC34" s="143"/>
      <c r="LID34" s="143"/>
      <c r="LIE34" s="143"/>
      <c r="LIF34" s="143"/>
      <c r="LIG34" s="143"/>
      <c r="LIH34" s="143"/>
      <c r="LII34" s="143"/>
      <c r="LIJ34" s="143"/>
      <c r="LIK34" s="143"/>
      <c r="LIL34" s="143"/>
      <c r="LIM34" s="143"/>
      <c r="LIN34" s="143"/>
      <c r="LIO34" s="143"/>
      <c r="LIP34" s="143"/>
      <c r="LIQ34" s="143"/>
      <c r="LIR34" s="143"/>
      <c r="LIS34" s="143"/>
      <c r="LIT34" s="143"/>
      <c r="LIU34" s="143"/>
      <c r="LIV34" s="143"/>
      <c r="LIW34" s="143"/>
      <c r="LIX34" s="143"/>
      <c r="LIY34" s="143"/>
      <c r="LIZ34" s="143"/>
      <c r="LJA34" s="143"/>
      <c r="LJB34" s="143"/>
      <c r="LJC34" s="143"/>
      <c r="LJD34" s="143"/>
      <c r="LJE34" s="143"/>
      <c r="LJF34" s="143"/>
      <c r="LJG34" s="143"/>
      <c r="LJH34" s="143"/>
      <c r="LJI34" s="143"/>
      <c r="LJJ34" s="143"/>
      <c r="LJK34" s="143"/>
      <c r="LJL34" s="143"/>
      <c r="LJM34" s="143"/>
      <c r="LJN34" s="143"/>
      <c r="LJO34" s="143"/>
      <c r="LJP34" s="143"/>
      <c r="LJQ34" s="143"/>
      <c r="LJR34" s="143"/>
      <c r="LJS34" s="143"/>
      <c r="LJT34" s="143"/>
      <c r="LJU34" s="143"/>
      <c r="LJV34" s="143"/>
      <c r="LJW34" s="143"/>
      <c r="LJX34" s="143"/>
      <c r="LJY34" s="143"/>
      <c r="LJZ34" s="143"/>
      <c r="LKA34" s="143"/>
      <c r="LKB34" s="143"/>
      <c r="LKC34" s="143"/>
      <c r="LKD34" s="143"/>
      <c r="LKE34" s="143"/>
      <c r="LKF34" s="143"/>
      <c r="LKG34" s="143"/>
      <c r="LKH34" s="143"/>
      <c r="LKI34" s="143"/>
      <c r="LKJ34" s="143"/>
      <c r="LKK34" s="143"/>
      <c r="LKL34" s="143"/>
      <c r="LKM34" s="143"/>
      <c r="LKN34" s="143"/>
      <c r="LKO34" s="143"/>
      <c r="LKP34" s="143"/>
      <c r="LKQ34" s="143"/>
      <c r="LKR34" s="143"/>
      <c r="LKS34" s="143"/>
      <c r="LKT34" s="143"/>
      <c r="LKU34" s="143"/>
      <c r="LKV34" s="143"/>
      <c r="LKW34" s="143"/>
      <c r="LKX34" s="143"/>
      <c r="LKY34" s="143"/>
      <c r="LKZ34" s="143"/>
      <c r="LLA34" s="143"/>
      <c r="LLB34" s="143"/>
      <c r="LLC34" s="143"/>
      <c r="LLD34" s="143"/>
      <c r="LLE34" s="143"/>
      <c r="LLF34" s="143"/>
      <c r="LLG34" s="143"/>
      <c r="LLH34" s="143"/>
      <c r="LLI34" s="143"/>
      <c r="LLJ34" s="143"/>
      <c r="LLK34" s="143"/>
      <c r="LLL34" s="143"/>
      <c r="LLM34" s="143"/>
      <c r="LLN34" s="143"/>
      <c r="LLO34" s="143"/>
      <c r="LLP34" s="143"/>
      <c r="LLQ34" s="143"/>
      <c r="LLR34" s="143"/>
      <c r="LLS34" s="143"/>
      <c r="LLT34" s="143"/>
      <c r="LLU34" s="143"/>
      <c r="LLV34" s="143"/>
      <c r="LLW34" s="143"/>
      <c r="LLX34" s="143"/>
      <c r="LLY34" s="143"/>
      <c r="LLZ34" s="143"/>
      <c r="LMA34" s="143"/>
      <c r="LMB34" s="143"/>
      <c r="LMC34" s="143"/>
      <c r="LMD34" s="143"/>
      <c r="LME34" s="143"/>
      <c r="LMF34" s="143"/>
      <c r="LMG34" s="143"/>
      <c r="LMH34" s="143"/>
      <c r="LMI34" s="143"/>
      <c r="LMJ34" s="143"/>
      <c r="LMK34" s="143"/>
      <c r="LML34" s="143"/>
      <c r="LMM34" s="143"/>
      <c r="LMN34" s="143"/>
      <c r="LMO34" s="143"/>
      <c r="LMP34" s="143"/>
      <c r="LMQ34" s="143"/>
      <c r="LMR34" s="143"/>
      <c r="LMS34" s="143"/>
      <c r="LMT34" s="143"/>
      <c r="LMU34" s="143"/>
      <c r="LMV34" s="143"/>
      <c r="LMW34" s="143"/>
      <c r="LMX34" s="143"/>
      <c r="LMY34" s="143"/>
      <c r="LMZ34" s="143"/>
      <c r="LNA34" s="143"/>
      <c r="LNB34" s="143"/>
      <c r="LNC34" s="143"/>
      <c r="LND34" s="143"/>
      <c r="LNE34" s="143"/>
      <c r="LNF34" s="143"/>
      <c r="LNG34" s="143"/>
      <c r="LNH34" s="143"/>
      <c r="LNI34" s="143"/>
      <c r="LNJ34" s="143"/>
      <c r="LNK34" s="143"/>
      <c r="LNL34" s="143"/>
      <c r="LNM34" s="143"/>
      <c r="LNN34" s="143"/>
      <c r="LNO34" s="143"/>
      <c r="LNP34" s="143"/>
      <c r="LNQ34" s="143"/>
      <c r="LNR34" s="143"/>
      <c r="LNS34" s="143"/>
      <c r="LNT34" s="143"/>
      <c r="LNU34" s="143"/>
      <c r="LNV34" s="143"/>
      <c r="LNW34" s="143"/>
      <c r="LNX34" s="143"/>
      <c r="LNY34" s="143"/>
      <c r="LNZ34" s="143"/>
      <c r="LOA34" s="143"/>
      <c r="LOB34" s="143"/>
      <c r="LOC34" s="143"/>
      <c r="LOD34" s="143"/>
      <c r="LOE34" s="143"/>
      <c r="LOF34" s="143"/>
      <c r="LOG34" s="143"/>
      <c r="LOH34" s="143"/>
      <c r="LOI34" s="143"/>
      <c r="LOJ34" s="143"/>
      <c r="LOK34" s="143"/>
      <c r="LOL34" s="143"/>
      <c r="LOM34" s="143"/>
      <c r="LON34" s="143"/>
      <c r="LOO34" s="143"/>
      <c r="LOP34" s="143"/>
      <c r="LOQ34" s="143"/>
      <c r="LOR34" s="143"/>
      <c r="LOS34" s="143"/>
      <c r="LOT34" s="143"/>
      <c r="LOU34" s="143"/>
      <c r="LOV34" s="143"/>
      <c r="LOW34" s="143"/>
      <c r="LOX34" s="143"/>
      <c r="LOY34" s="143"/>
      <c r="LOZ34" s="143"/>
      <c r="LPA34" s="143"/>
      <c r="LPB34" s="143"/>
      <c r="LPC34" s="143"/>
      <c r="LPD34" s="143"/>
      <c r="LPE34" s="143"/>
      <c r="LPF34" s="143"/>
      <c r="LPG34" s="143"/>
      <c r="LPH34" s="143"/>
      <c r="LPI34" s="143"/>
      <c r="LPJ34" s="143"/>
      <c r="LPK34" s="143"/>
      <c r="LPL34" s="143"/>
      <c r="LPM34" s="143"/>
      <c r="LPN34" s="143"/>
      <c r="LPO34" s="143"/>
      <c r="LPP34" s="143"/>
      <c r="LPQ34" s="143"/>
      <c r="LPR34" s="143"/>
      <c r="LPS34" s="143"/>
      <c r="LPT34" s="143"/>
      <c r="LPU34" s="143"/>
      <c r="LPV34" s="143"/>
      <c r="LPW34" s="143"/>
      <c r="LPX34" s="143"/>
      <c r="LPY34" s="143"/>
      <c r="LPZ34" s="143"/>
      <c r="LQA34" s="143"/>
      <c r="LQB34" s="143"/>
      <c r="LQC34" s="143"/>
      <c r="LQD34" s="143"/>
      <c r="LQE34" s="143"/>
      <c r="LQF34" s="143"/>
      <c r="LQG34" s="143"/>
      <c r="LQH34" s="143"/>
      <c r="LQI34" s="143"/>
      <c r="LQJ34" s="143"/>
      <c r="LQK34" s="143"/>
      <c r="LQL34" s="143"/>
      <c r="LQM34" s="143"/>
      <c r="LQN34" s="143"/>
      <c r="LQO34" s="143"/>
      <c r="LQP34" s="143"/>
      <c r="LQQ34" s="143"/>
      <c r="LQR34" s="143"/>
      <c r="LQS34" s="143"/>
      <c r="LQT34" s="143"/>
      <c r="LQU34" s="143"/>
      <c r="LQV34" s="143"/>
      <c r="LQW34" s="143"/>
      <c r="LQX34" s="143"/>
      <c r="LQY34" s="143"/>
      <c r="LQZ34" s="143"/>
      <c r="LRA34" s="143"/>
      <c r="LRB34" s="143"/>
      <c r="LRC34" s="143"/>
      <c r="LRD34" s="143"/>
      <c r="LRE34" s="143"/>
      <c r="LRF34" s="143"/>
      <c r="LRG34" s="143"/>
      <c r="LRH34" s="143"/>
      <c r="LRI34" s="143"/>
      <c r="LRJ34" s="143"/>
      <c r="LRK34" s="143"/>
      <c r="LRL34" s="143"/>
      <c r="LRM34" s="143"/>
      <c r="LRN34" s="143"/>
      <c r="LRO34" s="143"/>
      <c r="LRP34" s="143"/>
      <c r="LRQ34" s="143"/>
      <c r="LRR34" s="143"/>
      <c r="LRS34" s="143"/>
      <c r="LRT34" s="143"/>
      <c r="LRU34" s="143"/>
      <c r="LRV34" s="143"/>
      <c r="LRW34" s="143"/>
      <c r="LRX34" s="143"/>
      <c r="LRY34" s="143"/>
      <c r="LRZ34" s="143"/>
      <c r="LSA34" s="143"/>
      <c r="LSB34" s="143"/>
      <c r="LSC34" s="143"/>
      <c r="LSD34" s="143"/>
      <c r="LSE34" s="143"/>
      <c r="LSF34" s="143"/>
      <c r="LSG34" s="143"/>
      <c r="LSH34" s="143"/>
      <c r="LSI34" s="143"/>
      <c r="LSJ34" s="143"/>
      <c r="LSK34" s="143"/>
      <c r="LSL34" s="143"/>
      <c r="LSM34" s="143"/>
      <c r="LSN34" s="143"/>
      <c r="LSO34" s="143"/>
      <c r="LSP34" s="143"/>
      <c r="LSQ34" s="143"/>
      <c r="LSR34" s="143"/>
      <c r="LSS34" s="143"/>
      <c r="LST34" s="143"/>
      <c r="LSU34" s="143"/>
      <c r="LSV34" s="143"/>
      <c r="LSW34" s="143"/>
      <c r="LSX34" s="143"/>
      <c r="LSY34" s="143"/>
      <c r="LSZ34" s="143"/>
      <c r="LTA34" s="143"/>
      <c r="LTB34" s="143"/>
      <c r="LTC34" s="143"/>
      <c r="LTD34" s="143"/>
      <c r="LTE34" s="143"/>
      <c r="LTF34" s="143"/>
      <c r="LTG34" s="143"/>
      <c r="LTH34" s="143"/>
      <c r="LTI34" s="143"/>
      <c r="LTJ34" s="143"/>
      <c r="LTK34" s="143"/>
      <c r="LTL34" s="143"/>
      <c r="LTM34" s="143"/>
      <c r="LTN34" s="143"/>
      <c r="LTO34" s="143"/>
      <c r="LTP34" s="143"/>
      <c r="LTQ34" s="143"/>
      <c r="LTR34" s="143"/>
      <c r="LTS34" s="143"/>
      <c r="LTT34" s="143"/>
      <c r="LTU34" s="143"/>
      <c r="LTV34" s="143"/>
      <c r="LTW34" s="143"/>
      <c r="LTX34" s="143"/>
      <c r="LTY34" s="143"/>
      <c r="LTZ34" s="143"/>
      <c r="LUA34" s="143"/>
      <c r="LUB34" s="143"/>
      <c r="LUC34" s="143"/>
      <c r="LUD34" s="143"/>
      <c r="LUE34" s="143"/>
      <c r="LUF34" s="143"/>
      <c r="LUG34" s="143"/>
      <c r="LUH34" s="143"/>
      <c r="LUI34" s="143"/>
      <c r="LUJ34" s="143"/>
      <c r="LUK34" s="143"/>
      <c r="LUL34" s="143"/>
      <c r="LUM34" s="143"/>
      <c r="LUN34" s="143"/>
      <c r="LUO34" s="143"/>
      <c r="LUP34" s="143"/>
      <c r="LUQ34" s="143"/>
      <c r="LUR34" s="143"/>
      <c r="LUS34" s="143"/>
      <c r="LUT34" s="143"/>
      <c r="LUU34" s="143"/>
      <c r="LUV34" s="143"/>
      <c r="LUW34" s="143"/>
      <c r="LUX34" s="143"/>
      <c r="LUY34" s="143"/>
      <c r="LUZ34" s="143"/>
      <c r="LVA34" s="143"/>
      <c r="LVB34" s="143"/>
      <c r="LVC34" s="143"/>
      <c r="LVD34" s="143"/>
      <c r="LVE34" s="143"/>
      <c r="LVF34" s="143"/>
      <c r="LVG34" s="143"/>
      <c r="LVH34" s="143"/>
      <c r="LVI34" s="143"/>
      <c r="LVJ34" s="143"/>
      <c r="LVK34" s="143"/>
      <c r="LVL34" s="143"/>
      <c r="LVM34" s="143"/>
      <c r="LVN34" s="143"/>
      <c r="LVO34" s="143"/>
      <c r="LVP34" s="143"/>
      <c r="LVQ34" s="143"/>
      <c r="LVR34" s="143"/>
      <c r="LVS34" s="143"/>
      <c r="LVT34" s="143"/>
      <c r="LVU34" s="143"/>
      <c r="LVV34" s="143"/>
      <c r="LVW34" s="143"/>
      <c r="LVX34" s="143"/>
      <c r="LVY34" s="143"/>
      <c r="LVZ34" s="143"/>
      <c r="LWA34" s="143"/>
      <c r="LWB34" s="143"/>
      <c r="LWC34" s="143"/>
      <c r="LWD34" s="143"/>
      <c r="LWE34" s="143"/>
      <c r="LWF34" s="143"/>
      <c r="LWG34" s="143"/>
      <c r="LWH34" s="143"/>
      <c r="LWI34" s="143"/>
      <c r="LWJ34" s="143"/>
      <c r="LWK34" s="143"/>
      <c r="LWL34" s="143"/>
      <c r="LWM34" s="143"/>
      <c r="LWN34" s="143"/>
      <c r="LWO34" s="143"/>
      <c r="LWP34" s="143"/>
      <c r="LWQ34" s="143"/>
      <c r="LWR34" s="143"/>
      <c r="LWS34" s="143"/>
      <c r="LWT34" s="143"/>
      <c r="LWU34" s="143"/>
      <c r="LWV34" s="143"/>
      <c r="LWW34" s="143"/>
      <c r="LWX34" s="143"/>
      <c r="LWY34" s="143"/>
      <c r="LWZ34" s="143"/>
      <c r="LXA34" s="143"/>
      <c r="LXB34" s="143"/>
      <c r="LXC34" s="143"/>
      <c r="LXD34" s="143"/>
      <c r="LXE34" s="143"/>
      <c r="LXF34" s="143"/>
      <c r="LXG34" s="143"/>
      <c r="LXH34" s="143"/>
      <c r="LXI34" s="143"/>
      <c r="LXJ34" s="143"/>
      <c r="LXK34" s="143"/>
      <c r="LXL34" s="143"/>
      <c r="LXM34" s="143"/>
      <c r="LXN34" s="143"/>
      <c r="LXO34" s="143"/>
      <c r="LXP34" s="143"/>
      <c r="LXQ34" s="143"/>
      <c r="LXR34" s="143"/>
      <c r="LXS34" s="143"/>
      <c r="LXT34" s="143"/>
      <c r="LXU34" s="143"/>
      <c r="LXV34" s="143"/>
      <c r="LXW34" s="143"/>
      <c r="LXX34" s="143"/>
      <c r="LXY34" s="143"/>
      <c r="LXZ34" s="143"/>
      <c r="LYA34" s="143"/>
      <c r="LYB34" s="143"/>
      <c r="LYC34" s="143"/>
      <c r="LYD34" s="143"/>
      <c r="LYE34" s="143"/>
      <c r="LYF34" s="143"/>
      <c r="LYG34" s="143"/>
      <c r="LYH34" s="143"/>
      <c r="LYI34" s="143"/>
      <c r="LYJ34" s="143"/>
      <c r="LYK34" s="143"/>
      <c r="LYL34" s="143"/>
      <c r="LYM34" s="143"/>
      <c r="LYN34" s="143"/>
      <c r="LYO34" s="143"/>
      <c r="LYP34" s="143"/>
      <c r="LYQ34" s="143"/>
      <c r="LYR34" s="143"/>
      <c r="LYS34" s="143"/>
      <c r="LYT34" s="143"/>
      <c r="LYU34" s="143"/>
      <c r="LYV34" s="143"/>
      <c r="LYW34" s="143"/>
      <c r="LYX34" s="143"/>
      <c r="LYY34" s="143"/>
      <c r="LYZ34" s="143"/>
      <c r="LZA34" s="143"/>
      <c r="LZB34" s="143"/>
      <c r="LZC34" s="143"/>
      <c r="LZD34" s="143"/>
      <c r="LZE34" s="143"/>
      <c r="LZF34" s="143"/>
      <c r="LZG34" s="143"/>
      <c r="LZH34" s="143"/>
      <c r="LZI34" s="143"/>
      <c r="LZJ34" s="143"/>
      <c r="LZK34" s="143"/>
      <c r="LZL34" s="143"/>
      <c r="LZM34" s="143"/>
      <c r="LZN34" s="143"/>
      <c r="LZO34" s="143"/>
      <c r="LZP34" s="143"/>
      <c r="LZQ34" s="143"/>
      <c r="LZR34" s="143"/>
      <c r="LZS34" s="143"/>
      <c r="LZT34" s="143"/>
      <c r="LZU34" s="143"/>
      <c r="LZV34" s="143"/>
      <c r="LZW34" s="143"/>
      <c r="LZX34" s="143"/>
      <c r="LZY34" s="143"/>
      <c r="LZZ34" s="143"/>
      <c r="MAA34" s="143"/>
      <c r="MAB34" s="143"/>
      <c r="MAC34" s="143"/>
      <c r="MAD34" s="143"/>
      <c r="MAE34" s="143"/>
      <c r="MAF34" s="143"/>
      <c r="MAG34" s="143"/>
      <c r="MAH34" s="143"/>
      <c r="MAI34" s="143"/>
      <c r="MAJ34" s="143"/>
      <c r="MAK34" s="143"/>
      <c r="MAL34" s="143"/>
      <c r="MAM34" s="143"/>
      <c r="MAN34" s="143"/>
      <c r="MAO34" s="143"/>
      <c r="MAP34" s="143"/>
      <c r="MAQ34" s="143"/>
      <c r="MAR34" s="143"/>
      <c r="MAS34" s="143"/>
      <c r="MAT34" s="143"/>
      <c r="MAU34" s="143"/>
      <c r="MAV34" s="143"/>
      <c r="MAW34" s="143"/>
      <c r="MAX34" s="143"/>
      <c r="MAY34" s="143"/>
      <c r="MAZ34" s="143"/>
      <c r="MBA34" s="143"/>
      <c r="MBB34" s="143"/>
      <c r="MBC34" s="143"/>
      <c r="MBD34" s="143"/>
      <c r="MBE34" s="143"/>
      <c r="MBF34" s="143"/>
      <c r="MBG34" s="143"/>
      <c r="MBH34" s="143"/>
      <c r="MBI34" s="143"/>
      <c r="MBJ34" s="143"/>
      <c r="MBK34" s="143"/>
      <c r="MBL34" s="143"/>
      <c r="MBM34" s="143"/>
      <c r="MBN34" s="143"/>
      <c r="MBO34" s="143"/>
      <c r="MBP34" s="143"/>
      <c r="MBQ34" s="143"/>
      <c r="MBR34" s="143"/>
      <c r="MBS34" s="143"/>
      <c r="MBT34" s="143"/>
      <c r="MBU34" s="143"/>
      <c r="MBV34" s="143"/>
      <c r="MBW34" s="143"/>
      <c r="MBX34" s="143"/>
      <c r="MBY34" s="143"/>
      <c r="MBZ34" s="143"/>
      <c r="MCA34" s="143"/>
      <c r="MCB34" s="143"/>
      <c r="MCC34" s="143"/>
      <c r="MCD34" s="143"/>
      <c r="MCE34" s="143"/>
      <c r="MCF34" s="143"/>
      <c r="MCG34" s="143"/>
      <c r="MCH34" s="143"/>
      <c r="MCI34" s="143"/>
      <c r="MCJ34" s="143"/>
      <c r="MCK34" s="143"/>
      <c r="MCL34" s="143"/>
      <c r="MCM34" s="143"/>
      <c r="MCN34" s="143"/>
      <c r="MCO34" s="143"/>
      <c r="MCP34" s="143"/>
      <c r="MCQ34" s="143"/>
      <c r="MCR34" s="143"/>
      <c r="MCS34" s="143"/>
      <c r="MCT34" s="143"/>
      <c r="MCU34" s="143"/>
      <c r="MCV34" s="143"/>
      <c r="MCW34" s="143"/>
      <c r="MCX34" s="143"/>
      <c r="MCY34" s="143"/>
      <c r="MCZ34" s="143"/>
      <c r="MDA34" s="143"/>
      <c r="MDB34" s="143"/>
      <c r="MDC34" s="143"/>
      <c r="MDD34" s="143"/>
      <c r="MDE34" s="143"/>
      <c r="MDF34" s="143"/>
      <c r="MDG34" s="143"/>
      <c r="MDH34" s="143"/>
      <c r="MDI34" s="143"/>
      <c r="MDJ34" s="143"/>
      <c r="MDK34" s="143"/>
      <c r="MDL34" s="143"/>
      <c r="MDM34" s="143"/>
      <c r="MDN34" s="143"/>
      <c r="MDO34" s="143"/>
      <c r="MDP34" s="143"/>
      <c r="MDQ34" s="143"/>
      <c r="MDR34" s="143"/>
      <c r="MDS34" s="143"/>
      <c r="MDT34" s="143"/>
      <c r="MDU34" s="143"/>
      <c r="MDV34" s="143"/>
      <c r="MDW34" s="143"/>
      <c r="MDX34" s="143"/>
      <c r="MDY34" s="143"/>
      <c r="MDZ34" s="143"/>
      <c r="MEA34" s="143"/>
      <c r="MEB34" s="143"/>
      <c r="MEC34" s="143"/>
      <c r="MED34" s="143"/>
      <c r="MEE34" s="143"/>
      <c r="MEF34" s="143"/>
      <c r="MEG34" s="143"/>
      <c r="MEH34" s="143"/>
      <c r="MEI34" s="143"/>
      <c r="MEJ34" s="143"/>
      <c r="MEK34" s="143"/>
      <c r="MEL34" s="143"/>
      <c r="MEM34" s="143"/>
      <c r="MEN34" s="143"/>
      <c r="MEO34" s="143"/>
      <c r="MEP34" s="143"/>
      <c r="MEQ34" s="143"/>
      <c r="MER34" s="143"/>
      <c r="MES34" s="143"/>
      <c r="MET34" s="143"/>
      <c r="MEU34" s="143"/>
      <c r="MEV34" s="143"/>
      <c r="MEW34" s="143"/>
      <c r="MEX34" s="143"/>
      <c r="MEY34" s="143"/>
      <c r="MEZ34" s="143"/>
      <c r="MFA34" s="143"/>
      <c r="MFB34" s="143"/>
      <c r="MFC34" s="143"/>
      <c r="MFD34" s="143"/>
      <c r="MFE34" s="143"/>
      <c r="MFF34" s="143"/>
      <c r="MFG34" s="143"/>
      <c r="MFH34" s="143"/>
      <c r="MFI34" s="143"/>
      <c r="MFJ34" s="143"/>
      <c r="MFK34" s="143"/>
      <c r="MFL34" s="143"/>
      <c r="MFM34" s="143"/>
      <c r="MFN34" s="143"/>
      <c r="MFO34" s="143"/>
      <c r="MFP34" s="143"/>
      <c r="MFQ34" s="143"/>
      <c r="MFR34" s="143"/>
      <c r="MFS34" s="143"/>
      <c r="MFT34" s="143"/>
      <c r="MFU34" s="143"/>
      <c r="MFV34" s="143"/>
      <c r="MFW34" s="143"/>
      <c r="MFX34" s="143"/>
      <c r="MFY34" s="143"/>
      <c r="MFZ34" s="143"/>
      <c r="MGA34" s="143"/>
      <c r="MGB34" s="143"/>
      <c r="MGC34" s="143"/>
      <c r="MGD34" s="143"/>
      <c r="MGE34" s="143"/>
      <c r="MGF34" s="143"/>
      <c r="MGG34" s="143"/>
      <c r="MGH34" s="143"/>
      <c r="MGI34" s="143"/>
      <c r="MGJ34" s="143"/>
      <c r="MGK34" s="143"/>
      <c r="MGL34" s="143"/>
      <c r="MGM34" s="143"/>
      <c r="MGN34" s="143"/>
      <c r="MGO34" s="143"/>
      <c r="MGP34" s="143"/>
      <c r="MGQ34" s="143"/>
      <c r="MGR34" s="143"/>
      <c r="MGS34" s="143"/>
      <c r="MGT34" s="143"/>
      <c r="MGU34" s="143"/>
      <c r="MGV34" s="143"/>
      <c r="MGW34" s="143"/>
      <c r="MGX34" s="143"/>
      <c r="MGY34" s="143"/>
      <c r="MGZ34" s="143"/>
      <c r="MHA34" s="143"/>
      <c r="MHB34" s="143"/>
      <c r="MHC34" s="143"/>
      <c r="MHD34" s="143"/>
      <c r="MHE34" s="143"/>
      <c r="MHF34" s="143"/>
      <c r="MHG34" s="143"/>
      <c r="MHH34" s="143"/>
      <c r="MHI34" s="143"/>
      <c r="MHJ34" s="143"/>
      <c r="MHK34" s="143"/>
      <c r="MHL34" s="143"/>
      <c r="MHM34" s="143"/>
      <c r="MHN34" s="143"/>
      <c r="MHO34" s="143"/>
      <c r="MHP34" s="143"/>
      <c r="MHQ34" s="143"/>
      <c r="MHR34" s="143"/>
      <c r="MHS34" s="143"/>
      <c r="MHT34" s="143"/>
      <c r="MHU34" s="143"/>
      <c r="MHV34" s="143"/>
      <c r="MHW34" s="143"/>
      <c r="MHX34" s="143"/>
      <c r="MHY34" s="143"/>
      <c r="MHZ34" s="143"/>
      <c r="MIA34" s="143"/>
      <c r="MIB34" s="143"/>
      <c r="MIC34" s="143"/>
      <c r="MID34" s="143"/>
      <c r="MIE34" s="143"/>
      <c r="MIF34" s="143"/>
      <c r="MIG34" s="143"/>
      <c r="MIH34" s="143"/>
      <c r="MII34" s="143"/>
      <c r="MIJ34" s="143"/>
      <c r="MIK34" s="143"/>
      <c r="MIL34" s="143"/>
      <c r="MIM34" s="143"/>
      <c r="MIN34" s="143"/>
      <c r="MIO34" s="143"/>
      <c r="MIP34" s="143"/>
      <c r="MIQ34" s="143"/>
      <c r="MIR34" s="143"/>
      <c r="MIS34" s="143"/>
      <c r="MIT34" s="143"/>
      <c r="MIU34" s="143"/>
      <c r="MIV34" s="143"/>
      <c r="MIW34" s="143"/>
      <c r="MIX34" s="143"/>
      <c r="MIY34" s="143"/>
      <c r="MIZ34" s="143"/>
      <c r="MJA34" s="143"/>
      <c r="MJB34" s="143"/>
      <c r="MJC34" s="143"/>
      <c r="MJD34" s="143"/>
      <c r="MJE34" s="143"/>
      <c r="MJF34" s="143"/>
      <c r="MJG34" s="143"/>
      <c r="MJH34" s="143"/>
      <c r="MJI34" s="143"/>
      <c r="MJJ34" s="143"/>
      <c r="MJK34" s="143"/>
      <c r="MJL34" s="143"/>
      <c r="MJM34" s="143"/>
      <c r="MJN34" s="143"/>
      <c r="MJO34" s="143"/>
      <c r="MJP34" s="143"/>
      <c r="MJQ34" s="143"/>
      <c r="MJR34" s="143"/>
      <c r="MJS34" s="143"/>
      <c r="MJT34" s="143"/>
      <c r="MJU34" s="143"/>
      <c r="MJV34" s="143"/>
      <c r="MJW34" s="143"/>
      <c r="MJX34" s="143"/>
      <c r="MJY34" s="143"/>
      <c r="MJZ34" s="143"/>
      <c r="MKA34" s="143"/>
      <c r="MKB34" s="143"/>
      <c r="MKC34" s="143"/>
      <c r="MKD34" s="143"/>
      <c r="MKE34" s="143"/>
      <c r="MKF34" s="143"/>
      <c r="MKG34" s="143"/>
      <c r="MKH34" s="143"/>
      <c r="MKI34" s="143"/>
      <c r="MKJ34" s="143"/>
      <c r="MKK34" s="143"/>
      <c r="MKL34" s="143"/>
      <c r="MKM34" s="143"/>
      <c r="MKN34" s="143"/>
      <c r="MKO34" s="143"/>
      <c r="MKP34" s="143"/>
      <c r="MKQ34" s="143"/>
      <c r="MKR34" s="143"/>
      <c r="MKS34" s="143"/>
      <c r="MKT34" s="143"/>
      <c r="MKU34" s="143"/>
      <c r="MKV34" s="143"/>
      <c r="MKW34" s="143"/>
      <c r="MKX34" s="143"/>
      <c r="MKY34" s="143"/>
      <c r="MKZ34" s="143"/>
      <c r="MLA34" s="143"/>
      <c r="MLB34" s="143"/>
      <c r="MLC34" s="143"/>
      <c r="MLD34" s="143"/>
      <c r="MLE34" s="143"/>
      <c r="MLF34" s="143"/>
      <c r="MLG34" s="143"/>
      <c r="MLH34" s="143"/>
      <c r="MLI34" s="143"/>
      <c r="MLJ34" s="143"/>
      <c r="MLK34" s="143"/>
      <c r="MLL34" s="143"/>
      <c r="MLM34" s="143"/>
      <c r="MLN34" s="143"/>
      <c r="MLO34" s="143"/>
      <c r="MLP34" s="143"/>
      <c r="MLQ34" s="143"/>
      <c r="MLR34" s="143"/>
      <c r="MLS34" s="143"/>
      <c r="MLT34" s="143"/>
      <c r="MLU34" s="143"/>
      <c r="MLV34" s="143"/>
      <c r="MLW34" s="143"/>
      <c r="MLX34" s="143"/>
      <c r="MLY34" s="143"/>
      <c r="MLZ34" s="143"/>
      <c r="MMA34" s="143"/>
      <c r="MMB34" s="143"/>
      <c r="MMC34" s="143"/>
      <c r="MMD34" s="143"/>
      <c r="MME34" s="143"/>
      <c r="MMF34" s="143"/>
      <c r="MMG34" s="143"/>
      <c r="MMH34" s="143"/>
      <c r="MMI34" s="143"/>
      <c r="MMJ34" s="143"/>
      <c r="MMK34" s="143"/>
      <c r="MML34" s="143"/>
      <c r="MMM34" s="143"/>
      <c r="MMN34" s="143"/>
      <c r="MMO34" s="143"/>
      <c r="MMP34" s="143"/>
      <c r="MMQ34" s="143"/>
      <c r="MMR34" s="143"/>
      <c r="MMS34" s="143"/>
      <c r="MMT34" s="143"/>
      <c r="MMU34" s="143"/>
      <c r="MMV34" s="143"/>
      <c r="MMW34" s="143"/>
      <c r="MMX34" s="143"/>
      <c r="MMY34" s="143"/>
      <c r="MMZ34" s="143"/>
      <c r="MNA34" s="143"/>
      <c r="MNB34" s="143"/>
      <c r="MNC34" s="143"/>
      <c r="MND34" s="143"/>
      <c r="MNE34" s="143"/>
      <c r="MNF34" s="143"/>
      <c r="MNG34" s="143"/>
      <c r="MNH34" s="143"/>
      <c r="MNI34" s="143"/>
      <c r="MNJ34" s="143"/>
      <c r="MNK34" s="143"/>
      <c r="MNL34" s="143"/>
      <c r="MNM34" s="143"/>
      <c r="MNN34" s="143"/>
      <c r="MNO34" s="143"/>
      <c r="MNP34" s="143"/>
      <c r="MNQ34" s="143"/>
      <c r="MNR34" s="143"/>
      <c r="MNS34" s="143"/>
      <c r="MNT34" s="143"/>
      <c r="MNU34" s="143"/>
      <c r="MNV34" s="143"/>
      <c r="MNW34" s="143"/>
      <c r="MNX34" s="143"/>
      <c r="MNY34" s="143"/>
      <c r="MNZ34" s="143"/>
      <c r="MOA34" s="143"/>
      <c r="MOB34" s="143"/>
      <c r="MOC34" s="143"/>
      <c r="MOD34" s="143"/>
      <c r="MOE34" s="143"/>
      <c r="MOF34" s="143"/>
      <c r="MOG34" s="143"/>
      <c r="MOH34" s="143"/>
      <c r="MOI34" s="143"/>
      <c r="MOJ34" s="143"/>
      <c r="MOK34" s="143"/>
      <c r="MOL34" s="143"/>
      <c r="MOM34" s="143"/>
      <c r="MON34" s="143"/>
      <c r="MOO34" s="143"/>
      <c r="MOP34" s="143"/>
      <c r="MOQ34" s="143"/>
      <c r="MOR34" s="143"/>
      <c r="MOS34" s="143"/>
      <c r="MOT34" s="143"/>
      <c r="MOU34" s="143"/>
      <c r="MOV34" s="143"/>
      <c r="MOW34" s="143"/>
      <c r="MOX34" s="143"/>
      <c r="MOY34" s="143"/>
      <c r="MOZ34" s="143"/>
      <c r="MPA34" s="143"/>
      <c r="MPB34" s="143"/>
      <c r="MPC34" s="143"/>
      <c r="MPD34" s="143"/>
      <c r="MPE34" s="143"/>
      <c r="MPF34" s="143"/>
      <c r="MPG34" s="143"/>
      <c r="MPH34" s="143"/>
      <c r="MPI34" s="143"/>
      <c r="MPJ34" s="143"/>
      <c r="MPK34" s="143"/>
      <c r="MPL34" s="143"/>
      <c r="MPM34" s="143"/>
      <c r="MPN34" s="143"/>
      <c r="MPO34" s="143"/>
      <c r="MPP34" s="143"/>
      <c r="MPQ34" s="143"/>
      <c r="MPR34" s="143"/>
      <c r="MPS34" s="143"/>
      <c r="MPT34" s="143"/>
      <c r="MPU34" s="143"/>
      <c r="MPV34" s="143"/>
      <c r="MPW34" s="143"/>
      <c r="MPX34" s="143"/>
      <c r="MPY34" s="143"/>
      <c r="MPZ34" s="143"/>
      <c r="MQA34" s="143"/>
      <c r="MQB34" s="143"/>
      <c r="MQC34" s="143"/>
      <c r="MQD34" s="143"/>
      <c r="MQE34" s="143"/>
      <c r="MQF34" s="143"/>
      <c r="MQG34" s="143"/>
      <c r="MQH34" s="143"/>
      <c r="MQI34" s="143"/>
      <c r="MQJ34" s="143"/>
      <c r="MQK34" s="143"/>
      <c r="MQL34" s="143"/>
      <c r="MQM34" s="143"/>
      <c r="MQN34" s="143"/>
      <c r="MQO34" s="143"/>
      <c r="MQP34" s="143"/>
      <c r="MQQ34" s="143"/>
      <c r="MQR34" s="143"/>
      <c r="MQS34" s="143"/>
      <c r="MQT34" s="143"/>
      <c r="MQU34" s="143"/>
      <c r="MQV34" s="143"/>
      <c r="MQW34" s="143"/>
      <c r="MQX34" s="143"/>
      <c r="MQY34" s="143"/>
      <c r="MQZ34" s="143"/>
      <c r="MRA34" s="143"/>
      <c r="MRB34" s="143"/>
      <c r="MRC34" s="143"/>
      <c r="MRD34" s="143"/>
      <c r="MRE34" s="143"/>
      <c r="MRF34" s="143"/>
      <c r="MRG34" s="143"/>
      <c r="MRH34" s="143"/>
      <c r="MRI34" s="143"/>
      <c r="MRJ34" s="143"/>
      <c r="MRK34" s="143"/>
      <c r="MRL34" s="143"/>
      <c r="MRM34" s="143"/>
      <c r="MRN34" s="143"/>
      <c r="MRO34" s="143"/>
      <c r="MRP34" s="143"/>
      <c r="MRQ34" s="143"/>
      <c r="MRR34" s="143"/>
      <c r="MRS34" s="143"/>
      <c r="MRT34" s="143"/>
      <c r="MRU34" s="143"/>
      <c r="MRV34" s="143"/>
      <c r="MRW34" s="143"/>
      <c r="MRX34" s="143"/>
      <c r="MRY34" s="143"/>
      <c r="MRZ34" s="143"/>
      <c r="MSA34" s="143"/>
      <c r="MSB34" s="143"/>
      <c r="MSC34" s="143"/>
      <c r="MSD34" s="143"/>
      <c r="MSE34" s="143"/>
      <c r="MSF34" s="143"/>
      <c r="MSG34" s="143"/>
      <c r="MSH34" s="143"/>
      <c r="MSI34" s="143"/>
      <c r="MSJ34" s="143"/>
      <c r="MSK34" s="143"/>
      <c r="MSL34" s="143"/>
      <c r="MSM34" s="143"/>
      <c r="MSN34" s="143"/>
      <c r="MSO34" s="143"/>
      <c r="MSP34" s="143"/>
      <c r="MSQ34" s="143"/>
      <c r="MSR34" s="143"/>
      <c r="MSS34" s="143"/>
      <c r="MST34" s="143"/>
      <c r="MSU34" s="143"/>
      <c r="MSV34" s="143"/>
      <c r="MSW34" s="143"/>
      <c r="MSX34" s="143"/>
      <c r="MSY34" s="143"/>
      <c r="MSZ34" s="143"/>
      <c r="MTA34" s="143"/>
      <c r="MTB34" s="143"/>
      <c r="MTC34" s="143"/>
      <c r="MTD34" s="143"/>
      <c r="MTE34" s="143"/>
      <c r="MTF34" s="143"/>
      <c r="MTG34" s="143"/>
      <c r="MTH34" s="143"/>
      <c r="MTI34" s="143"/>
      <c r="MTJ34" s="143"/>
      <c r="MTK34" s="143"/>
      <c r="MTL34" s="143"/>
      <c r="MTM34" s="143"/>
      <c r="MTN34" s="143"/>
      <c r="MTO34" s="143"/>
      <c r="MTP34" s="143"/>
      <c r="MTQ34" s="143"/>
      <c r="MTR34" s="143"/>
      <c r="MTS34" s="143"/>
      <c r="MTT34" s="143"/>
      <c r="MTU34" s="143"/>
      <c r="MTV34" s="143"/>
      <c r="MTW34" s="143"/>
      <c r="MTX34" s="143"/>
      <c r="MTY34" s="143"/>
      <c r="MTZ34" s="143"/>
      <c r="MUA34" s="143"/>
      <c r="MUB34" s="143"/>
      <c r="MUC34" s="143"/>
      <c r="MUD34" s="143"/>
      <c r="MUE34" s="143"/>
      <c r="MUF34" s="143"/>
      <c r="MUG34" s="143"/>
      <c r="MUH34" s="143"/>
      <c r="MUI34" s="143"/>
      <c r="MUJ34" s="143"/>
      <c r="MUK34" s="143"/>
      <c r="MUL34" s="143"/>
      <c r="MUM34" s="143"/>
      <c r="MUN34" s="143"/>
      <c r="MUO34" s="143"/>
      <c r="MUP34" s="143"/>
      <c r="MUQ34" s="143"/>
      <c r="MUR34" s="143"/>
      <c r="MUS34" s="143"/>
      <c r="MUT34" s="143"/>
      <c r="MUU34" s="143"/>
      <c r="MUV34" s="143"/>
      <c r="MUW34" s="143"/>
      <c r="MUX34" s="143"/>
      <c r="MUY34" s="143"/>
      <c r="MUZ34" s="143"/>
      <c r="MVA34" s="143"/>
      <c r="MVB34" s="143"/>
      <c r="MVC34" s="143"/>
      <c r="MVD34" s="143"/>
      <c r="MVE34" s="143"/>
      <c r="MVF34" s="143"/>
      <c r="MVG34" s="143"/>
      <c r="MVH34" s="143"/>
      <c r="MVI34" s="143"/>
      <c r="MVJ34" s="143"/>
      <c r="MVK34" s="143"/>
      <c r="MVL34" s="143"/>
      <c r="MVM34" s="143"/>
      <c r="MVN34" s="143"/>
      <c r="MVO34" s="143"/>
      <c r="MVP34" s="143"/>
      <c r="MVQ34" s="143"/>
      <c r="MVR34" s="143"/>
      <c r="MVS34" s="143"/>
      <c r="MVT34" s="143"/>
      <c r="MVU34" s="143"/>
      <c r="MVV34" s="143"/>
      <c r="MVW34" s="143"/>
      <c r="MVX34" s="143"/>
      <c r="MVY34" s="143"/>
      <c r="MVZ34" s="143"/>
      <c r="MWA34" s="143"/>
      <c r="MWB34" s="143"/>
      <c r="MWC34" s="143"/>
      <c r="MWD34" s="143"/>
      <c r="MWE34" s="143"/>
      <c r="MWF34" s="143"/>
      <c r="MWG34" s="143"/>
      <c r="MWH34" s="143"/>
      <c r="MWI34" s="143"/>
      <c r="MWJ34" s="143"/>
      <c r="MWK34" s="143"/>
      <c r="MWL34" s="143"/>
      <c r="MWM34" s="143"/>
      <c r="MWN34" s="143"/>
      <c r="MWO34" s="143"/>
      <c r="MWP34" s="143"/>
      <c r="MWQ34" s="143"/>
      <c r="MWR34" s="143"/>
      <c r="MWS34" s="143"/>
      <c r="MWT34" s="143"/>
      <c r="MWU34" s="143"/>
      <c r="MWV34" s="143"/>
      <c r="MWW34" s="143"/>
      <c r="MWX34" s="143"/>
      <c r="MWY34" s="143"/>
      <c r="MWZ34" s="143"/>
      <c r="MXA34" s="143"/>
      <c r="MXB34" s="143"/>
      <c r="MXC34" s="143"/>
      <c r="MXD34" s="143"/>
      <c r="MXE34" s="143"/>
      <c r="MXF34" s="143"/>
      <c r="MXG34" s="143"/>
      <c r="MXH34" s="143"/>
      <c r="MXI34" s="143"/>
      <c r="MXJ34" s="143"/>
      <c r="MXK34" s="143"/>
      <c r="MXL34" s="143"/>
      <c r="MXM34" s="143"/>
      <c r="MXN34" s="143"/>
      <c r="MXO34" s="143"/>
      <c r="MXP34" s="143"/>
      <c r="MXQ34" s="143"/>
      <c r="MXR34" s="143"/>
      <c r="MXS34" s="143"/>
      <c r="MXT34" s="143"/>
      <c r="MXU34" s="143"/>
      <c r="MXV34" s="143"/>
      <c r="MXW34" s="143"/>
      <c r="MXX34" s="143"/>
      <c r="MXY34" s="143"/>
      <c r="MXZ34" s="143"/>
      <c r="MYA34" s="143"/>
      <c r="MYB34" s="143"/>
      <c r="MYC34" s="143"/>
      <c r="MYD34" s="143"/>
      <c r="MYE34" s="143"/>
      <c r="MYF34" s="143"/>
      <c r="MYG34" s="143"/>
      <c r="MYH34" s="143"/>
      <c r="MYI34" s="143"/>
      <c r="MYJ34" s="143"/>
      <c r="MYK34" s="143"/>
      <c r="MYL34" s="143"/>
      <c r="MYM34" s="143"/>
      <c r="MYN34" s="143"/>
      <c r="MYO34" s="143"/>
      <c r="MYP34" s="143"/>
      <c r="MYQ34" s="143"/>
      <c r="MYR34" s="143"/>
      <c r="MYS34" s="143"/>
      <c r="MYT34" s="143"/>
      <c r="MYU34" s="143"/>
      <c r="MYV34" s="143"/>
      <c r="MYW34" s="143"/>
      <c r="MYX34" s="143"/>
      <c r="MYY34" s="143"/>
      <c r="MYZ34" s="143"/>
      <c r="MZA34" s="143"/>
      <c r="MZB34" s="143"/>
      <c r="MZC34" s="143"/>
      <c r="MZD34" s="143"/>
      <c r="MZE34" s="143"/>
      <c r="MZF34" s="143"/>
      <c r="MZG34" s="143"/>
      <c r="MZH34" s="143"/>
      <c r="MZI34" s="143"/>
      <c r="MZJ34" s="143"/>
      <c r="MZK34" s="143"/>
      <c r="MZL34" s="143"/>
      <c r="MZM34" s="143"/>
      <c r="MZN34" s="143"/>
      <c r="MZO34" s="143"/>
      <c r="MZP34" s="143"/>
      <c r="MZQ34" s="143"/>
      <c r="MZR34" s="143"/>
      <c r="MZS34" s="143"/>
      <c r="MZT34" s="143"/>
      <c r="MZU34" s="143"/>
      <c r="MZV34" s="143"/>
      <c r="MZW34" s="143"/>
      <c r="MZX34" s="143"/>
      <c r="MZY34" s="143"/>
      <c r="MZZ34" s="143"/>
      <c r="NAA34" s="143"/>
      <c r="NAB34" s="143"/>
      <c r="NAC34" s="143"/>
      <c r="NAD34" s="143"/>
      <c r="NAE34" s="143"/>
      <c r="NAF34" s="143"/>
      <c r="NAG34" s="143"/>
      <c r="NAH34" s="143"/>
      <c r="NAI34" s="143"/>
      <c r="NAJ34" s="143"/>
      <c r="NAK34" s="143"/>
      <c r="NAL34" s="143"/>
      <c r="NAM34" s="143"/>
      <c r="NAN34" s="143"/>
      <c r="NAO34" s="143"/>
      <c r="NAP34" s="143"/>
      <c r="NAQ34" s="143"/>
      <c r="NAR34" s="143"/>
      <c r="NAS34" s="143"/>
      <c r="NAT34" s="143"/>
      <c r="NAU34" s="143"/>
      <c r="NAV34" s="143"/>
      <c r="NAW34" s="143"/>
      <c r="NAX34" s="143"/>
      <c r="NAY34" s="143"/>
      <c r="NAZ34" s="143"/>
      <c r="NBA34" s="143"/>
      <c r="NBB34" s="143"/>
      <c r="NBC34" s="143"/>
      <c r="NBD34" s="143"/>
      <c r="NBE34" s="143"/>
      <c r="NBF34" s="143"/>
      <c r="NBG34" s="143"/>
      <c r="NBH34" s="143"/>
      <c r="NBI34" s="143"/>
      <c r="NBJ34" s="143"/>
      <c r="NBK34" s="143"/>
      <c r="NBL34" s="143"/>
      <c r="NBM34" s="143"/>
      <c r="NBN34" s="143"/>
      <c r="NBO34" s="143"/>
      <c r="NBP34" s="143"/>
      <c r="NBQ34" s="143"/>
      <c r="NBR34" s="143"/>
      <c r="NBS34" s="143"/>
      <c r="NBT34" s="143"/>
      <c r="NBU34" s="143"/>
      <c r="NBV34" s="143"/>
      <c r="NBW34" s="143"/>
      <c r="NBX34" s="143"/>
      <c r="NBY34" s="143"/>
      <c r="NBZ34" s="143"/>
      <c r="NCA34" s="143"/>
      <c r="NCB34" s="143"/>
      <c r="NCC34" s="143"/>
      <c r="NCD34" s="143"/>
      <c r="NCE34" s="143"/>
      <c r="NCF34" s="143"/>
      <c r="NCG34" s="143"/>
      <c r="NCH34" s="143"/>
      <c r="NCI34" s="143"/>
      <c r="NCJ34" s="143"/>
      <c r="NCK34" s="143"/>
      <c r="NCL34" s="143"/>
      <c r="NCM34" s="143"/>
      <c r="NCN34" s="143"/>
      <c r="NCO34" s="143"/>
      <c r="NCP34" s="143"/>
      <c r="NCQ34" s="143"/>
      <c r="NCR34" s="143"/>
      <c r="NCS34" s="143"/>
      <c r="NCT34" s="143"/>
      <c r="NCU34" s="143"/>
      <c r="NCV34" s="143"/>
      <c r="NCW34" s="143"/>
      <c r="NCX34" s="143"/>
      <c r="NCY34" s="143"/>
      <c r="NCZ34" s="143"/>
      <c r="NDA34" s="143"/>
      <c r="NDB34" s="143"/>
      <c r="NDC34" s="143"/>
      <c r="NDD34" s="143"/>
      <c r="NDE34" s="143"/>
      <c r="NDF34" s="143"/>
      <c r="NDG34" s="143"/>
      <c r="NDH34" s="143"/>
      <c r="NDI34" s="143"/>
      <c r="NDJ34" s="143"/>
      <c r="NDK34" s="143"/>
      <c r="NDL34" s="143"/>
      <c r="NDM34" s="143"/>
      <c r="NDN34" s="143"/>
      <c r="NDO34" s="143"/>
      <c r="NDP34" s="143"/>
      <c r="NDQ34" s="143"/>
      <c r="NDR34" s="143"/>
      <c r="NDS34" s="143"/>
      <c r="NDT34" s="143"/>
      <c r="NDU34" s="143"/>
      <c r="NDV34" s="143"/>
      <c r="NDW34" s="143"/>
      <c r="NDX34" s="143"/>
      <c r="NDY34" s="143"/>
      <c r="NDZ34" s="143"/>
      <c r="NEA34" s="143"/>
      <c r="NEB34" s="143"/>
      <c r="NEC34" s="143"/>
      <c r="NED34" s="143"/>
      <c r="NEE34" s="143"/>
      <c r="NEF34" s="143"/>
      <c r="NEG34" s="143"/>
      <c r="NEH34" s="143"/>
      <c r="NEI34" s="143"/>
      <c r="NEJ34" s="143"/>
      <c r="NEK34" s="143"/>
      <c r="NEL34" s="143"/>
      <c r="NEM34" s="143"/>
      <c r="NEN34" s="143"/>
      <c r="NEO34" s="143"/>
      <c r="NEP34" s="143"/>
      <c r="NEQ34" s="143"/>
      <c r="NER34" s="143"/>
      <c r="NES34" s="143"/>
      <c r="NET34" s="143"/>
      <c r="NEU34" s="143"/>
      <c r="NEV34" s="143"/>
      <c r="NEW34" s="143"/>
      <c r="NEX34" s="143"/>
      <c r="NEY34" s="143"/>
      <c r="NEZ34" s="143"/>
      <c r="NFA34" s="143"/>
      <c r="NFB34" s="143"/>
      <c r="NFC34" s="143"/>
      <c r="NFD34" s="143"/>
      <c r="NFE34" s="143"/>
      <c r="NFF34" s="143"/>
      <c r="NFG34" s="143"/>
      <c r="NFH34" s="143"/>
      <c r="NFI34" s="143"/>
      <c r="NFJ34" s="143"/>
      <c r="NFK34" s="143"/>
      <c r="NFL34" s="143"/>
      <c r="NFM34" s="143"/>
      <c r="NFN34" s="143"/>
      <c r="NFO34" s="143"/>
      <c r="NFP34" s="143"/>
      <c r="NFQ34" s="143"/>
      <c r="NFR34" s="143"/>
      <c r="NFS34" s="143"/>
      <c r="NFT34" s="143"/>
      <c r="NFU34" s="143"/>
      <c r="NFV34" s="143"/>
      <c r="NFW34" s="143"/>
      <c r="NFX34" s="143"/>
      <c r="NFY34" s="143"/>
      <c r="NFZ34" s="143"/>
      <c r="NGA34" s="143"/>
      <c r="NGB34" s="143"/>
      <c r="NGC34" s="143"/>
      <c r="NGD34" s="143"/>
      <c r="NGE34" s="143"/>
      <c r="NGF34" s="143"/>
      <c r="NGG34" s="143"/>
      <c r="NGH34" s="143"/>
      <c r="NGI34" s="143"/>
      <c r="NGJ34" s="143"/>
      <c r="NGK34" s="143"/>
      <c r="NGL34" s="143"/>
      <c r="NGM34" s="143"/>
      <c r="NGN34" s="143"/>
      <c r="NGO34" s="143"/>
      <c r="NGP34" s="143"/>
      <c r="NGQ34" s="143"/>
      <c r="NGR34" s="143"/>
      <c r="NGS34" s="143"/>
      <c r="NGT34" s="143"/>
      <c r="NGU34" s="143"/>
      <c r="NGV34" s="143"/>
      <c r="NGW34" s="143"/>
      <c r="NGX34" s="143"/>
      <c r="NGY34" s="143"/>
      <c r="NGZ34" s="143"/>
      <c r="NHA34" s="143"/>
      <c r="NHB34" s="143"/>
      <c r="NHC34" s="143"/>
      <c r="NHD34" s="143"/>
      <c r="NHE34" s="143"/>
      <c r="NHF34" s="143"/>
      <c r="NHG34" s="143"/>
      <c r="NHH34" s="143"/>
      <c r="NHI34" s="143"/>
      <c r="NHJ34" s="143"/>
      <c r="NHK34" s="143"/>
      <c r="NHL34" s="143"/>
      <c r="NHM34" s="143"/>
      <c r="NHN34" s="143"/>
      <c r="NHO34" s="143"/>
      <c r="NHP34" s="143"/>
      <c r="NHQ34" s="143"/>
      <c r="NHR34" s="143"/>
      <c r="NHS34" s="143"/>
      <c r="NHT34" s="143"/>
      <c r="NHU34" s="143"/>
      <c r="NHV34" s="143"/>
      <c r="NHW34" s="143"/>
      <c r="NHX34" s="143"/>
      <c r="NHY34" s="143"/>
      <c r="NHZ34" s="143"/>
      <c r="NIA34" s="143"/>
      <c r="NIB34" s="143"/>
      <c r="NIC34" s="143"/>
      <c r="NID34" s="143"/>
      <c r="NIE34" s="143"/>
      <c r="NIF34" s="143"/>
      <c r="NIG34" s="143"/>
      <c r="NIH34" s="143"/>
      <c r="NII34" s="143"/>
      <c r="NIJ34" s="143"/>
      <c r="NIK34" s="143"/>
      <c r="NIL34" s="143"/>
      <c r="NIM34" s="143"/>
      <c r="NIN34" s="143"/>
      <c r="NIO34" s="143"/>
      <c r="NIP34" s="143"/>
      <c r="NIQ34" s="143"/>
      <c r="NIR34" s="143"/>
      <c r="NIS34" s="143"/>
      <c r="NIT34" s="143"/>
      <c r="NIU34" s="143"/>
      <c r="NIV34" s="143"/>
      <c r="NIW34" s="143"/>
      <c r="NIX34" s="143"/>
      <c r="NIY34" s="143"/>
      <c r="NIZ34" s="143"/>
      <c r="NJA34" s="143"/>
      <c r="NJB34" s="143"/>
      <c r="NJC34" s="143"/>
      <c r="NJD34" s="143"/>
      <c r="NJE34" s="143"/>
      <c r="NJF34" s="143"/>
      <c r="NJG34" s="143"/>
      <c r="NJH34" s="143"/>
      <c r="NJI34" s="143"/>
      <c r="NJJ34" s="143"/>
      <c r="NJK34" s="143"/>
      <c r="NJL34" s="143"/>
      <c r="NJM34" s="143"/>
      <c r="NJN34" s="143"/>
      <c r="NJO34" s="143"/>
      <c r="NJP34" s="143"/>
      <c r="NJQ34" s="143"/>
      <c r="NJR34" s="143"/>
      <c r="NJS34" s="143"/>
      <c r="NJT34" s="143"/>
      <c r="NJU34" s="143"/>
      <c r="NJV34" s="143"/>
      <c r="NJW34" s="143"/>
      <c r="NJX34" s="143"/>
      <c r="NJY34" s="143"/>
      <c r="NJZ34" s="143"/>
      <c r="NKA34" s="143"/>
      <c r="NKB34" s="143"/>
      <c r="NKC34" s="143"/>
      <c r="NKD34" s="143"/>
      <c r="NKE34" s="143"/>
      <c r="NKF34" s="143"/>
      <c r="NKG34" s="143"/>
      <c r="NKH34" s="143"/>
      <c r="NKI34" s="143"/>
      <c r="NKJ34" s="143"/>
      <c r="NKK34" s="143"/>
      <c r="NKL34" s="143"/>
      <c r="NKM34" s="143"/>
      <c r="NKN34" s="143"/>
      <c r="NKO34" s="143"/>
      <c r="NKP34" s="143"/>
      <c r="NKQ34" s="143"/>
      <c r="NKR34" s="143"/>
      <c r="NKS34" s="143"/>
      <c r="NKT34" s="143"/>
      <c r="NKU34" s="143"/>
      <c r="NKV34" s="143"/>
      <c r="NKW34" s="143"/>
      <c r="NKX34" s="143"/>
      <c r="NKY34" s="143"/>
      <c r="NKZ34" s="143"/>
      <c r="NLA34" s="143"/>
      <c r="NLB34" s="143"/>
      <c r="NLC34" s="143"/>
      <c r="NLD34" s="143"/>
      <c r="NLE34" s="143"/>
      <c r="NLF34" s="143"/>
      <c r="NLG34" s="143"/>
      <c r="NLH34" s="143"/>
      <c r="NLI34" s="143"/>
      <c r="NLJ34" s="143"/>
      <c r="NLK34" s="143"/>
      <c r="NLL34" s="143"/>
      <c r="NLM34" s="143"/>
      <c r="NLN34" s="143"/>
      <c r="NLO34" s="143"/>
      <c r="NLP34" s="143"/>
      <c r="NLQ34" s="143"/>
      <c r="NLR34" s="143"/>
      <c r="NLS34" s="143"/>
      <c r="NLT34" s="143"/>
      <c r="NLU34" s="143"/>
      <c r="NLV34" s="143"/>
      <c r="NLW34" s="143"/>
      <c r="NLX34" s="143"/>
      <c r="NLY34" s="143"/>
      <c r="NLZ34" s="143"/>
      <c r="NMA34" s="143"/>
      <c r="NMB34" s="143"/>
      <c r="NMC34" s="143"/>
      <c r="NMD34" s="143"/>
      <c r="NME34" s="143"/>
      <c r="NMF34" s="143"/>
      <c r="NMG34" s="143"/>
      <c r="NMH34" s="143"/>
      <c r="NMI34" s="143"/>
      <c r="NMJ34" s="143"/>
      <c r="NMK34" s="143"/>
      <c r="NML34" s="143"/>
      <c r="NMM34" s="143"/>
      <c r="NMN34" s="143"/>
      <c r="NMO34" s="143"/>
      <c r="NMP34" s="143"/>
      <c r="NMQ34" s="143"/>
      <c r="NMR34" s="143"/>
      <c r="NMS34" s="143"/>
      <c r="NMT34" s="143"/>
      <c r="NMU34" s="143"/>
      <c r="NMV34" s="143"/>
      <c r="NMW34" s="143"/>
      <c r="NMX34" s="143"/>
      <c r="NMY34" s="143"/>
      <c r="NMZ34" s="143"/>
      <c r="NNA34" s="143"/>
      <c r="NNB34" s="143"/>
      <c r="NNC34" s="143"/>
      <c r="NND34" s="143"/>
      <c r="NNE34" s="143"/>
      <c r="NNF34" s="143"/>
      <c r="NNG34" s="143"/>
      <c r="NNH34" s="143"/>
      <c r="NNI34" s="143"/>
      <c r="NNJ34" s="143"/>
      <c r="NNK34" s="143"/>
      <c r="NNL34" s="143"/>
      <c r="NNM34" s="143"/>
      <c r="NNN34" s="143"/>
      <c r="NNO34" s="143"/>
      <c r="NNP34" s="143"/>
      <c r="NNQ34" s="143"/>
      <c r="NNR34" s="143"/>
      <c r="NNS34" s="143"/>
      <c r="NNT34" s="143"/>
      <c r="NNU34" s="143"/>
      <c r="NNV34" s="143"/>
      <c r="NNW34" s="143"/>
      <c r="NNX34" s="143"/>
      <c r="NNY34" s="143"/>
      <c r="NNZ34" s="143"/>
      <c r="NOA34" s="143"/>
      <c r="NOB34" s="143"/>
      <c r="NOC34" s="143"/>
      <c r="NOD34" s="143"/>
      <c r="NOE34" s="143"/>
      <c r="NOF34" s="143"/>
      <c r="NOG34" s="143"/>
      <c r="NOH34" s="143"/>
      <c r="NOI34" s="143"/>
      <c r="NOJ34" s="143"/>
      <c r="NOK34" s="143"/>
      <c r="NOL34" s="143"/>
      <c r="NOM34" s="143"/>
      <c r="NON34" s="143"/>
      <c r="NOO34" s="143"/>
      <c r="NOP34" s="143"/>
      <c r="NOQ34" s="143"/>
      <c r="NOR34" s="143"/>
      <c r="NOS34" s="143"/>
      <c r="NOT34" s="143"/>
      <c r="NOU34" s="143"/>
      <c r="NOV34" s="143"/>
      <c r="NOW34" s="143"/>
      <c r="NOX34" s="143"/>
      <c r="NOY34" s="143"/>
      <c r="NOZ34" s="143"/>
      <c r="NPA34" s="143"/>
      <c r="NPB34" s="143"/>
      <c r="NPC34" s="143"/>
      <c r="NPD34" s="143"/>
      <c r="NPE34" s="143"/>
      <c r="NPF34" s="143"/>
      <c r="NPG34" s="143"/>
      <c r="NPH34" s="143"/>
      <c r="NPI34" s="143"/>
      <c r="NPJ34" s="143"/>
      <c r="NPK34" s="143"/>
      <c r="NPL34" s="143"/>
      <c r="NPM34" s="143"/>
      <c r="NPN34" s="143"/>
      <c r="NPO34" s="143"/>
      <c r="NPP34" s="143"/>
      <c r="NPQ34" s="143"/>
      <c r="NPR34" s="143"/>
      <c r="NPS34" s="143"/>
      <c r="NPT34" s="143"/>
      <c r="NPU34" s="143"/>
      <c r="NPV34" s="143"/>
      <c r="NPW34" s="143"/>
      <c r="NPX34" s="143"/>
      <c r="NPY34" s="143"/>
      <c r="NPZ34" s="143"/>
      <c r="NQA34" s="143"/>
      <c r="NQB34" s="143"/>
      <c r="NQC34" s="143"/>
      <c r="NQD34" s="143"/>
      <c r="NQE34" s="143"/>
      <c r="NQF34" s="143"/>
      <c r="NQG34" s="143"/>
      <c r="NQH34" s="143"/>
      <c r="NQI34" s="143"/>
      <c r="NQJ34" s="143"/>
      <c r="NQK34" s="143"/>
      <c r="NQL34" s="143"/>
      <c r="NQM34" s="143"/>
      <c r="NQN34" s="143"/>
      <c r="NQO34" s="143"/>
      <c r="NQP34" s="143"/>
      <c r="NQQ34" s="143"/>
      <c r="NQR34" s="143"/>
      <c r="NQS34" s="143"/>
      <c r="NQT34" s="143"/>
      <c r="NQU34" s="143"/>
      <c r="NQV34" s="143"/>
      <c r="NQW34" s="143"/>
      <c r="NQX34" s="143"/>
      <c r="NQY34" s="143"/>
      <c r="NQZ34" s="143"/>
      <c r="NRA34" s="143"/>
      <c r="NRB34" s="143"/>
      <c r="NRC34" s="143"/>
      <c r="NRD34" s="143"/>
      <c r="NRE34" s="143"/>
      <c r="NRF34" s="143"/>
      <c r="NRG34" s="143"/>
      <c r="NRH34" s="143"/>
      <c r="NRI34" s="143"/>
      <c r="NRJ34" s="143"/>
      <c r="NRK34" s="143"/>
      <c r="NRL34" s="143"/>
      <c r="NRM34" s="143"/>
      <c r="NRN34" s="143"/>
      <c r="NRO34" s="143"/>
      <c r="NRP34" s="143"/>
      <c r="NRQ34" s="143"/>
      <c r="NRR34" s="143"/>
      <c r="NRS34" s="143"/>
      <c r="NRT34" s="143"/>
      <c r="NRU34" s="143"/>
      <c r="NRV34" s="143"/>
      <c r="NRW34" s="143"/>
      <c r="NRX34" s="143"/>
      <c r="NRY34" s="143"/>
      <c r="NRZ34" s="143"/>
      <c r="NSA34" s="143"/>
      <c r="NSB34" s="143"/>
      <c r="NSC34" s="143"/>
      <c r="NSD34" s="143"/>
      <c r="NSE34" s="143"/>
      <c r="NSF34" s="143"/>
      <c r="NSG34" s="143"/>
      <c r="NSH34" s="143"/>
      <c r="NSI34" s="143"/>
      <c r="NSJ34" s="143"/>
      <c r="NSK34" s="143"/>
      <c r="NSL34" s="143"/>
      <c r="NSM34" s="143"/>
      <c r="NSN34" s="143"/>
      <c r="NSO34" s="143"/>
      <c r="NSP34" s="143"/>
      <c r="NSQ34" s="143"/>
      <c r="NSR34" s="143"/>
      <c r="NSS34" s="143"/>
      <c r="NST34" s="143"/>
      <c r="NSU34" s="143"/>
      <c r="NSV34" s="143"/>
      <c r="NSW34" s="143"/>
      <c r="NSX34" s="143"/>
      <c r="NSY34" s="143"/>
      <c r="NSZ34" s="143"/>
      <c r="NTA34" s="143"/>
      <c r="NTB34" s="143"/>
      <c r="NTC34" s="143"/>
      <c r="NTD34" s="143"/>
      <c r="NTE34" s="143"/>
      <c r="NTF34" s="143"/>
      <c r="NTG34" s="143"/>
      <c r="NTH34" s="143"/>
      <c r="NTI34" s="143"/>
      <c r="NTJ34" s="143"/>
      <c r="NTK34" s="143"/>
      <c r="NTL34" s="143"/>
      <c r="NTM34" s="143"/>
      <c r="NTN34" s="143"/>
      <c r="NTO34" s="143"/>
      <c r="NTP34" s="143"/>
      <c r="NTQ34" s="143"/>
      <c r="NTR34" s="143"/>
      <c r="NTS34" s="143"/>
      <c r="NTT34" s="143"/>
      <c r="NTU34" s="143"/>
      <c r="NTV34" s="143"/>
      <c r="NTW34" s="143"/>
      <c r="NTX34" s="143"/>
      <c r="NTY34" s="143"/>
      <c r="NTZ34" s="143"/>
      <c r="NUA34" s="143"/>
      <c r="NUB34" s="143"/>
      <c r="NUC34" s="143"/>
      <c r="NUD34" s="143"/>
      <c r="NUE34" s="143"/>
      <c r="NUF34" s="143"/>
      <c r="NUG34" s="143"/>
      <c r="NUH34" s="143"/>
      <c r="NUI34" s="143"/>
      <c r="NUJ34" s="143"/>
      <c r="NUK34" s="143"/>
      <c r="NUL34" s="143"/>
      <c r="NUM34" s="143"/>
      <c r="NUN34" s="143"/>
      <c r="NUO34" s="143"/>
      <c r="NUP34" s="143"/>
      <c r="NUQ34" s="143"/>
      <c r="NUR34" s="143"/>
      <c r="NUS34" s="143"/>
      <c r="NUT34" s="143"/>
      <c r="NUU34" s="143"/>
      <c r="NUV34" s="143"/>
      <c r="NUW34" s="143"/>
      <c r="NUX34" s="143"/>
      <c r="NUY34" s="143"/>
      <c r="NUZ34" s="143"/>
      <c r="NVA34" s="143"/>
      <c r="NVB34" s="143"/>
      <c r="NVC34" s="143"/>
      <c r="NVD34" s="143"/>
      <c r="NVE34" s="143"/>
      <c r="NVF34" s="143"/>
      <c r="NVG34" s="143"/>
      <c r="NVH34" s="143"/>
      <c r="NVI34" s="143"/>
      <c r="NVJ34" s="143"/>
      <c r="NVK34" s="143"/>
      <c r="NVL34" s="143"/>
      <c r="NVM34" s="143"/>
      <c r="NVN34" s="143"/>
      <c r="NVO34" s="143"/>
      <c r="NVP34" s="143"/>
      <c r="NVQ34" s="143"/>
      <c r="NVR34" s="143"/>
      <c r="NVS34" s="143"/>
      <c r="NVT34" s="143"/>
      <c r="NVU34" s="143"/>
      <c r="NVV34" s="143"/>
      <c r="NVW34" s="143"/>
      <c r="NVX34" s="143"/>
      <c r="NVY34" s="143"/>
      <c r="NVZ34" s="143"/>
      <c r="NWA34" s="143"/>
      <c r="NWB34" s="143"/>
      <c r="NWC34" s="143"/>
      <c r="NWD34" s="143"/>
      <c r="NWE34" s="143"/>
      <c r="NWF34" s="143"/>
      <c r="NWG34" s="143"/>
      <c r="NWH34" s="143"/>
      <c r="NWI34" s="143"/>
      <c r="NWJ34" s="143"/>
      <c r="NWK34" s="143"/>
      <c r="NWL34" s="143"/>
      <c r="NWM34" s="143"/>
      <c r="NWN34" s="143"/>
      <c r="NWO34" s="143"/>
      <c r="NWP34" s="143"/>
      <c r="NWQ34" s="143"/>
      <c r="NWR34" s="143"/>
      <c r="NWS34" s="143"/>
      <c r="NWT34" s="143"/>
      <c r="NWU34" s="143"/>
      <c r="NWV34" s="143"/>
      <c r="NWW34" s="143"/>
      <c r="NWX34" s="143"/>
      <c r="NWY34" s="143"/>
      <c r="NWZ34" s="143"/>
      <c r="NXA34" s="143"/>
      <c r="NXB34" s="143"/>
      <c r="NXC34" s="143"/>
      <c r="NXD34" s="143"/>
      <c r="NXE34" s="143"/>
      <c r="NXF34" s="143"/>
      <c r="NXG34" s="143"/>
      <c r="NXH34" s="143"/>
      <c r="NXI34" s="143"/>
      <c r="NXJ34" s="143"/>
      <c r="NXK34" s="143"/>
      <c r="NXL34" s="143"/>
      <c r="NXM34" s="143"/>
      <c r="NXN34" s="143"/>
      <c r="NXO34" s="143"/>
      <c r="NXP34" s="143"/>
      <c r="NXQ34" s="143"/>
      <c r="NXR34" s="143"/>
      <c r="NXS34" s="143"/>
      <c r="NXT34" s="143"/>
      <c r="NXU34" s="143"/>
      <c r="NXV34" s="143"/>
      <c r="NXW34" s="143"/>
      <c r="NXX34" s="143"/>
      <c r="NXY34" s="143"/>
      <c r="NXZ34" s="143"/>
      <c r="NYA34" s="143"/>
      <c r="NYB34" s="143"/>
      <c r="NYC34" s="143"/>
      <c r="NYD34" s="143"/>
      <c r="NYE34" s="143"/>
      <c r="NYF34" s="143"/>
      <c r="NYG34" s="143"/>
      <c r="NYH34" s="143"/>
      <c r="NYI34" s="143"/>
      <c r="NYJ34" s="143"/>
      <c r="NYK34" s="143"/>
      <c r="NYL34" s="143"/>
      <c r="NYM34" s="143"/>
      <c r="NYN34" s="143"/>
      <c r="NYO34" s="143"/>
      <c r="NYP34" s="143"/>
      <c r="NYQ34" s="143"/>
      <c r="NYR34" s="143"/>
      <c r="NYS34" s="143"/>
      <c r="NYT34" s="143"/>
      <c r="NYU34" s="143"/>
      <c r="NYV34" s="143"/>
      <c r="NYW34" s="143"/>
      <c r="NYX34" s="143"/>
      <c r="NYY34" s="143"/>
      <c r="NYZ34" s="143"/>
      <c r="NZA34" s="143"/>
      <c r="NZB34" s="143"/>
      <c r="NZC34" s="143"/>
      <c r="NZD34" s="143"/>
      <c r="NZE34" s="143"/>
      <c r="NZF34" s="143"/>
      <c r="NZG34" s="143"/>
      <c r="NZH34" s="143"/>
      <c r="NZI34" s="143"/>
      <c r="NZJ34" s="143"/>
      <c r="NZK34" s="143"/>
      <c r="NZL34" s="143"/>
      <c r="NZM34" s="143"/>
      <c r="NZN34" s="143"/>
      <c r="NZO34" s="143"/>
      <c r="NZP34" s="143"/>
      <c r="NZQ34" s="143"/>
      <c r="NZR34" s="143"/>
      <c r="NZS34" s="143"/>
      <c r="NZT34" s="143"/>
      <c r="NZU34" s="143"/>
      <c r="NZV34" s="143"/>
      <c r="NZW34" s="143"/>
      <c r="NZX34" s="143"/>
      <c r="NZY34" s="143"/>
      <c r="NZZ34" s="143"/>
      <c r="OAA34" s="143"/>
      <c r="OAB34" s="143"/>
      <c r="OAC34" s="143"/>
      <c r="OAD34" s="143"/>
      <c r="OAE34" s="143"/>
      <c r="OAF34" s="143"/>
      <c r="OAG34" s="143"/>
      <c r="OAH34" s="143"/>
      <c r="OAI34" s="143"/>
      <c r="OAJ34" s="143"/>
      <c r="OAK34" s="143"/>
      <c r="OAL34" s="143"/>
      <c r="OAM34" s="143"/>
      <c r="OAN34" s="143"/>
      <c r="OAO34" s="143"/>
      <c r="OAP34" s="143"/>
      <c r="OAQ34" s="143"/>
      <c r="OAR34" s="143"/>
      <c r="OAS34" s="143"/>
      <c r="OAT34" s="143"/>
      <c r="OAU34" s="143"/>
      <c r="OAV34" s="143"/>
      <c r="OAW34" s="143"/>
      <c r="OAX34" s="143"/>
      <c r="OAY34" s="143"/>
      <c r="OAZ34" s="143"/>
      <c r="OBA34" s="143"/>
      <c r="OBB34" s="143"/>
      <c r="OBC34" s="143"/>
      <c r="OBD34" s="143"/>
      <c r="OBE34" s="143"/>
      <c r="OBF34" s="143"/>
      <c r="OBG34" s="143"/>
      <c r="OBH34" s="143"/>
      <c r="OBI34" s="143"/>
      <c r="OBJ34" s="143"/>
      <c r="OBK34" s="143"/>
      <c r="OBL34" s="143"/>
      <c r="OBM34" s="143"/>
      <c r="OBN34" s="143"/>
      <c r="OBO34" s="143"/>
      <c r="OBP34" s="143"/>
      <c r="OBQ34" s="143"/>
      <c r="OBR34" s="143"/>
      <c r="OBS34" s="143"/>
      <c r="OBT34" s="143"/>
      <c r="OBU34" s="143"/>
      <c r="OBV34" s="143"/>
      <c r="OBW34" s="143"/>
      <c r="OBX34" s="143"/>
      <c r="OBY34" s="143"/>
      <c r="OBZ34" s="143"/>
      <c r="OCA34" s="143"/>
      <c r="OCB34" s="143"/>
      <c r="OCC34" s="143"/>
      <c r="OCD34" s="143"/>
      <c r="OCE34" s="143"/>
      <c r="OCF34" s="143"/>
      <c r="OCG34" s="143"/>
      <c r="OCH34" s="143"/>
      <c r="OCI34" s="143"/>
      <c r="OCJ34" s="143"/>
      <c r="OCK34" s="143"/>
      <c r="OCL34" s="143"/>
      <c r="OCM34" s="143"/>
      <c r="OCN34" s="143"/>
      <c r="OCO34" s="143"/>
      <c r="OCP34" s="143"/>
      <c r="OCQ34" s="143"/>
      <c r="OCR34" s="143"/>
      <c r="OCS34" s="143"/>
      <c r="OCT34" s="143"/>
      <c r="OCU34" s="143"/>
      <c r="OCV34" s="143"/>
      <c r="OCW34" s="143"/>
      <c r="OCX34" s="143"/>
      <c r="OCY34" s="143"/>
      <c r="OCZ34" s="143"/>
      <c r="ODA34" s="143"/>
      <c r="ODB34" s="143"/>
      <c r="ODC34" s="143"/>
      <c r="ODD34" s="143"/>
      <c r="ODE34" s="143"/>
      <c r="ODF34" s="143"/>
      <c r="ODG34" s="143"/>
      <c r="ODH34" s="143"/>
      <c r="ODI34" s="143"/>
      <c r="ODJ34" s="143"/>
      <c r="ODK34" s="143"/>
      <c r="ODL34" s="143"/>
      <c r="ODM34" s="143"/>
      <c r="ODN34" s="143"/>
      <c r="ODO34" s="143"/>
      <c r="ODP34" s="143"/>
      <c r="ODQ34" s="143"/>
      <c r="ODR34" s="143"/>
      <c r="ODS34" s="143"/>
      <c r="ODT34" s="143"/>
      <c r="ODU34" s="143"/>
      <c r="ODV34" s="143"/>
      <c r="ODW34" s="143"/>
      <c r="ODX34" s="143"/>
      <c r="ODY34" s="143"/>
      <c r="ODZ34" s="143"/>
      <c r="OEA34" s="143"/>
      <c r="OEB34" s="143"/>
      <c r="OEC34" s="143"/>
      <c r="OED34" s="143"/>
      <c r="OEE34" s="143"/>
      <c r="OEF34" s="143"/>
      <c r="OEG34" s="143"/>
      <c r="OEH34" s="143"/>
      <c r="OEI34" s="143"/>
      <c r="OEJ34" s="143"/>
      <c r="OEK34" s="143"/>
      <c r="OEL34" s="143"/>
      <c r="OEM34" s="143"/>
      <c r="OEN34" s="143"/>
      <c r="OEO34" s="143"/>
      <c r="OEP34" s="143"/>
      <c r="OEQ34" s="143"/>
      <c r="OER34" s="143"/>
      <c r="OES34" s="143"/>
      <c r="OET34" s="143"/>
      <c r="OEU34" s="143"/>
      <c r="OEV34" s="143"/>
      <c r="OEW34" s="143"/>
      <c r="OEX34" s="143"/>
      <c r="OEY34" s="143"/>
      <c r="OEZ34" s="143"/>
      <c r="OFA34" s="143"/>
      <c r="OFB34" s="143"/>
      <c r="OFC34" s="143"/>
      <c r="OFD34" s="143"/>
      <c r="OFE34" s="143"/>
      <c r="OFF34" s="143"/>
      <c r="OFG34" s="143"/>
      <c r="OFH34" s="143"/>
      <c r="OFI34" s="143"/>
      <c r="OFJ34" s="143"/>
      <c r="OFK34" s="143"/>
      <c r="OFL34" s="143"/>
      <c r="OFM34" s="143"/>
      <c r="OFN34" s="143"/>
      <c r="OFO34" s="143"/>
      <c r="OFP34" s="143"/>
      <c r="OFQ34" s="143"/>
      <c r="OFR34" s="143"/>
      <c r="OFS34" s="143"/>
      <c r="OFT34" s="143"/>
      <c r="OFU34" s="143"/>
      <c r="OFV34" s="143"/>
      <c r="OFW34" s="143"/>
      <c r="OFX34" s="143"/>
      <c r="OFY34" s="143"/>
      <c r="OFZ34" s="143"/>
      <c r="OGA34" s="143"/>
      <c r="OGB34" s="143"/>
      <c r="OGC34" s="143"/>
      <c r="OGD34" s="143"/>
      <c r="OGE34" s="143"/>
      <c r="OGF34" s="143"/>
      <c r="OGG34" s="143"/>
      <c r="OGH34" s="143"/>
      <c r="OGI34" s="143"/>
      <c r="OGJ34" s="143"/>
      <c r="OGK34" s="143"/>
      <c r="OGL34" s="143"/>
      <c r="OGM34" s="143"/>
      <c r="OGN34" s="143"/>
      <c r="OGO34" s="143"/>
      <c r="OGP34" s="143"/>
      <c r="OGQ34" s="143"/>
      <c r="OGR34" s="143"/>
      <c r="OGS34" s="143"/>
      <c r="OGT34" s="143"/>
      <c r="OGU34" s="143"/>
      <c r="OGV34" s="143"/>
      <c r="OGW34" s="143"/>
      <c r="OGX34" s="143"/>
      <c r="OGY34" s="143"/>
      <c r="OGZ34" s="143"/>
      <c r="OHA34" s="143"/>
      <c r="OHB34" s="143"/>
      <c r="OHC34" s="143"/>
      <c r="OHD34" s="143"/>
      <c r="OHE34" s="143"/>
      <c r="OHF34" s="143"/>
      <c r="OHG34" s="143"/>
      <c r="OHH34" s="143"/>
      <c r="OHI34" s="143"/>
      <c r="OHJ34" s="143"/>
      <c r="OHK34" s="143"/>
      <c r="OHL34" s="143"/>
      <c r="OHM34" s="143"/>
      <c r="OHN34" s="143"/>
      <c r="OHO34" s="143"/>
      <c r="OHP34" s="143"/>
      <c r="OHQ34" s="143"/>
      <c r="OHR34" s="143"/>
      <c r="OHS34" s="143"/>
      <c r="OHT34" s="143"/>
      <c r="OHU34" s="143"/>
      <c r="OHV34" s="143"/>
      <c r="OHW34" s="143"/>
      <c r="OHX34" s="143"/>
      <c r="OHY34" s="143"/>
      <c r="OHZ34" s="143"/>
      <c r="OIA34" s="143"/>
      <c r="OIB34" s="143"/>
      <c r="OIC34" s="143"/>
      <c r="OID34" s="143"/>
      <c r="OIE34" s="143"/>
      <c r="OIF34" s="143"/>
      <c r="OIG34" s="143"/>
      <c r="OIH34" s="143"/>
      <c r="OII34" s="143"/>
      <c r="OIJ34" s="143"/>
      <c r="OIK34" s="143"/>
      <c r="OIL34" s="143"/>
      <c r="OIM34" s="143"/>
      <c r="OIN34" s="143"/>
      <c r="OIO34" s="143"/>
      <c r="OIP34" s="143"/>
      <c r="OIQ34" s="143"/>
      <c r="OIR34" s="143"/>
      <c r="OIS34" s="143"/>
      <c r="OIT34" s="143"/>
      <c r="OIU34" s="143"/>
      <c r="OIV34" s="143"/>
      <c r="OIW34" s="143"/>
      <c r="OIX34" s="143"/>
      <c r="OIY34" s="143"/>
      <c r="OIZ34" s="143"/>
      <c r="OJA34" s="143"/>
      <c r="OJB34" s="143"/>
      <c r="OJC34" s="143"/>
      <c r="OJD34" s="143"/>
      <c r="OJE34" s="143"/>
      <c r="OJF34" s="143"/>
      <c r="OJG34" s="143"/>
      <c r="OJH34" s="143"/>
      <c r="OJI34" s="143"/>
      <c r="OJJ34" s="143"/>
      <c r="OJK34" s="143"/>
      <c r="OJL34" s="143"/>
      <c r="OJM34" s="143"/>
      <c r="OJN34" s="143"/>
      <c r="OJO34" s="143"/>
      <c r="OJP34" s="143"/>
      <c r="OJQ34" s="143"/>
      <c r="OJR34" s="143"/>
      <c r="OJS34" s="143"/>
      <c r="OJT34" s="143"/>
      <c r="OJU34" s="143"/>
      <c r="OJV34" s="143"/>
      <c r="OJW34" s="143"/>
      <c r="OJX34" s="143"/>
      <c r="OJY34" s="143"/>
      <c r="OJZ34" s="143"/>
      <c r="OKA34" s="143"/>
      <c r="OKB34" s="143"/>
      <c r="OKC34" s="143"/>
      <c r="OKD34" s="143"/>
      <c r="OKE34" s="143"/>
      <c r="OKF34" s="143"/>
      <c r="OKG34" s="143"/>
      <c r="OKH34" s="143"/>
      <c r="OKI34" s="143"/>
      <c r="OKJ34" s="143"/>
      <c r="OKK34" s="143"/>
      <c r="OKL34" s="143"/>
      <c r="OKM34" s="143"/>
      <c r="OKN34" s="143"/>
      <c r="OKO34" s="143"/>
      <c r="OKP34" s="143"/>
      <c r="OKQ34" s="143"/>
      <c r="OKR34" s="143"/>
      <c r="OKS34" s="143"/>
      <c r="OKT34" s="143"/>
      <c r="OKU34" s="143"/>
      <c r="OKV34" s="143"/>
      <c r="OKW34" s="143"/>
      <c r="OKX34" s="143"/>
      <c r="OKY34" s="143"/>
      <c r="OKZ34" s="143"/>
      <c r="OLA34" s="143"/>
      <c r="OLB34" s="143"/>
      <c r="OLC34" s="143"/>
      <c r="OLD34" s="143"/>
      <c r="OLE34" s="143"/>
      <c r="OLF34" s="143"/>
      <c r="OLG34" s="143"/>
      <c r="OLH34" s="143"/>
      <c r="OLI34" s="143"/>
      <c r="OLJ34" s="143"/>
      <c r="OLK34" s="143"/>
      <c r="OLL34" s="143"/>
      <c r="OLM34" s="143"/>
      <c r="OLN34" s="143"/>
      <c r="OLO34" s="143"/>
      <c r="OLP34" s="143"/>
      <c r="OLQ34" s="143"/>
      <c r="OLR34" s="143"/>
      <c r="OLS34" s="143"/>
      <c r="OLT34" s="143"/>
      <c r="OLU34" s="143"/>
      <c r="OLV34" s="143"/>
      <c r="OLW34" s="143"/>
      <c r="OLX34" s="143"/>
      <c r="OLY34" s="143"/>
      <c r="OLZ34" s="143"/>
      <c r="OMA34" s="143"/>
      <c r="OMB34" s="143"/>
      <c r="OMC34" s="143"/>
      <c r="OMD34" s="143"/>
      <c r="OME34" s="143"/>
      <c r="OMF34" s="143"/>
      <c r="OMG34" s="143"/>
      <c r="OMH34" s="143"/>
      <c r="OMI34" s="143"/>
      <c r="OMJ34" s="143"/>
      <c r="OMK34" s="143"/>
      <c r="OML34" s="143"/>
      <c r="OMM34" s="143"/>
      <c r="OMN34" s="143"/>
      <c r="OMO34" s="143"/>
      <c r="OMP34" s="143"/>
      <c r="OMQ34" s="143"/>
      <c r="OMR34" s="143"/>
      <c r="OMS34" s="143"/>
      <c r="OMT34" s="143"/>
      <c r="OMU34" s="143"/>
      <c r="OMV34" s="143"/>
      <c r="OMW34" s="143"/>
      <c r="OMX34" s="143"/>
      <c r="OMY34" s="143"/>
      <c r="OMZ34" s="143"/>
      <c r="ONA34" s="143"/>
      <c r="ONB34" s="143"/>
      <c r="ONC34" s="143"/>
      <c r="OND34" s="143"/>
      <c r="ONE34" s="143"/>
      <c r="ONF34" s="143"/>
      <c r="ONG34" s="143"/>
      <c r="ONH34" s="143"/>
      <c r="ONI34" s="143"/>
      <c r="ONJ34" s="143"/>
      <c r="ONK34" s="143"/>
      <c r="ONL34" s="143"/>
      <c r="ONM34" s="143"/>
      <c r="ONN34" s="143"/>
      <c r="ONO34" s="143"/>
      <c r="ONP34" s="143"/>
      <c r="ONQ34" s="143"/>
      <c r="ONR34" s="143"/>
      <c r="ONS34" s="143"/>
      <c r="ONT34" s="143"/>
      <c r="ONU34" s="143"/>
      <c r="ONV34" s="143"/>
      <c r="ONW34" s="143"/>
      <c r="ONX34" s="143"/>
      <c r="ONY34" s="143"/>
      <c r="ONZ34" s="143"/>
      <c r="OOA34" s="143"/>
      <c r="OOB34" s="143"/>
      <c r="OOC34" s="143"/>
      <c r="OOD34" s="143"/>
      <c r="OOE34" s="143"/>
      <c r="OOF34" s="143"/>
      <c r="OOG34" s="143"/>
      <c r="OOH34" s="143"/>
      <c r="OOI34" s="143"/>
      <c r="OOJ34" s="143"/>
      <c r="OOK34" s="143"/>
      <c r="OOL34" s="143"/>
      <c r="OOM34" s="143"/>
      <c r="OON34" s="143"/>
      <c r="OOO34" s="143"/>
      <c r="OOP34" s="143"/>
      <c r="OOQ34" s="143"/>
      <c r="OOR34" s="143"/>
      <c r="OOS34" s="143"/>
      <c r="OOT34" s="143"/>
      <c r="OOU34" s="143"/>
      <c r="OOV34" s="143"/>
      <c r="OOW34" s="143"/>
      <c r="OOX34" s="143"/>
      <c r="OOY34" s="143"/>
      <c r="OOZ34" s="143"/>
      <c r="OPA34" s="143"/>
      <c r="OPB34" s="143"/>
      <c r="OPC34" s="143"/>
      <c r="OPD34" s="143"/>
      <c r="OPE34" s="143"/>
      <c r="OPF34" s="143"/>
      <c r="OPG34" s="143"/>
      <c r="OPH34" s="143"/>
      <c r="OPI34" s="143"/>
      <c r="OPJ34" s="143"/>
      <c r="OPK34" s="143"/>
      <c r="OPL34" s="143"/>
      <c r="OPM34" s="143"/>
      <c r="OPN34" s="143"/>
      <c r="OPO34" s="143"/>
      <c r="OPP34" s="143"/>
      <c r="OPQ34" s="143"/>
      <c r="OPR34" s="143"/>
      <c r="OPS34" s="143"/>
      <c r="OPT34" s="143"/>
      <c r="OPU34" s="143"/>
      <c r="OPV34" s="143"/>
      <c r="OPW34" s="143"/>
      <c r="OPX34" s="143"/>
      <c r="OPY34" s="143"/>
      <c r="OPZ34" s="143"/>
      <c r="OQA34" s="143"/>
      <c r="OQB34" s="143"/>
      <c r="OQC34" s="143"/>
      <c r="OQD34" s="143"/>
      <c r="OQE34" s="143"/>
      <c r="OQF34" s="143"/>
      <c r="OQG34" s="143"/>
      <c r="OQH34" s="143"/>
      <c r="OQI34" s="143"/>
      <c r="OQJ34" s="143"/>
      <c r="OQK34" s="143"/>
      <c r="OQL34" s="143"/>
      <c r="OQM34" s="143"/>
      <c r="OQN34" s="143"/>
      <c r="OQO34" s="143"/>
      <c r="OQP34" s="143"/>
      <c r="OQQ34" s="143"/>
      <c r="OQR34" s="143"/>
      <c r="OQS34" s="143"/>
      <c r="OQT34" s="143"/>
      <c r="OQU34" s="143"/>
      <c r="OQV34" s="143"/>
      <c r="OQW34" s="143"/>
      <c r="OQX34" s="143"/>
      <c r="OQY34" s="143"/>
      <c r="OQZ34" s="143"/>
      <c r="ORA34" s="143"/>
      <c r="ORB34" s="143"/>
      <c r="ORC34" s="143"/>
      <c r="ORD34" s="143"/>
      <c r="ORE34" s="143"/>
      <c r="ORF34" s="143"/>
      <c r="ORG34" s="143"/>
      <c r="ORH34" s="143"/>
      <c r="ORI34" s="143"/>
      <c r="ORJ34" s="143"/>
      <c r="ORK34" s="143"/>
      <c r="ORL34" s="143"/>
      <c r="ORM34" s="143"/>
      <c r="ORN34" s="143"/>
      <c r="ORO34" s="143"/>
      <c r="ORP34" s="143"/>
      <c r="ORQ34" s="143"/>
      <c r="ORR34" s="143"/>
      <c r="ORS34" s="143"/>
      <c r="ORT34" s="143"/>
      <c r="ORU34" s="143"/>
      <c r="ORV34" s="143"/>
      <c r="ORW34" s="143"/>
      <c r="ORX34" s="143"/>
      <c r="ORY34" s="143"/>
      <c r="ORZ34" s="143"/>
      <c r="OSA34" s="143"/>
      <c r="OSB34" s="143"/>
      <c r="OSC34" s="143"/>
      <c r="OSD34" s="143"/>
      <c r="OSE34" s="143"/>
      <c r="OSF34" s="143"/>
      <c r="OSG34" s="143"/>
      <c r="OSH34" s="143"/>
      <c r="OSI34" s="143"/>
      <c r="OSJ34" s="143"/>
      <c r="OSK34" s="143"/>
      <c r="OSL34" s="143"/>
      <c r="OSM34" s="143"/>
      <c r="OSN34" s="143"/>
      <c r="OSO34" s="143"/>
      <c r="OSP34" s="143"/>
      <c r="OSQ34" s="143"/>
      <c r="OSR34" s="143"/>
      <c r="OSS34" s="143"/>
      <c r="OST34" s="143"/>
      <c r="OSU34" s="143"/>
      <c r="OSV34" s="143"/>
      <c r="OSW34" s="143"/>
      <c r="OSX34" s="143"/>
      <c r="OSY34" s="143"/>
      <c r="OSZ34" s="143"/>
      <c r="OTA34" s="143"/>
      <c r="OTB34" s="143"/>
      <c r="OTC34" s="143"/>
      <c r="OTD34" s="143"/>
      <c r="OTE34" s="143"/>
      <c r="OTF34" s="143"/>
      <c r="OTG34" s="143"/>
      <c r="OTH34" s="143"/>
      <c r="OTI34" s="143"/>
      <c r="OTJ34" s="143"/>
      <c r="OTK34" s="143"/>
      <c r="OTL34" s="143"/>
      <c r="OTM34" s="143"/>
      <c r="OTN34" s="143"/>
      <c r="OTO34" s="143"/>
      <c r="OTP34" s="143"/>
      <c r="OTQ34" s="143"/>
      <c r="OTR34" s="143"/>
      <c r="OTS34" s="143"/>
      <c r="OTT34" s="143"/>
      <c r="OTU34" s="143"/>
      <c r="OTV34" s="143"/>
      <c r="OTW34" s="143"/>
      <c r="OTX34" s="143"/>
      <c r="OTY34" s="143"/>
      <c r="OTZ34" s="143"/>
      <c r="OUA34" s="143"/>
      <c r="OUB34" s="143"/>
      <c r="OUC34" s="143"/>
      <c r="OUD34" s="143"/>
      <c r="OUE34" s="143"/>
      <c r="OUF34" s="143"/>
      <c r="OUG34" s="143"/>
      <c r="OUH34" s="143"/>
      <c r="OUI34" s="143"/>
      <c r="OUJ34" s="143"/>
      <c r="OUK34" s="143"/>
      <c r="OUL34" s="143"/>
      <c r="OUM34" s="143"/>
      <c r="OUN34" s="143"/>
      <c r="OUO34" s="143"/>
      <c r="OUP34" s="143"/>
      <c r="OUQ34" s="143"/>
      <c r="OUR34" s="143"/>
      <c r="OUS34" s="143"/>
      <c r="OUT34" s="143"/>
      <c r="OUU34" s="143"/>
      <c r="OUV34" s="143"/>
      <c r="OUW34" s="143"/>
      <c r="OUX34" s="143"/>
      <c r="OUY34" s="143"/>
      <c r="OUZ34" s="143"/>
      <c r="OVA34" s="143"/>
      <c r="OVB34" s="143"/>
      <c r="OVC34" s="143"/>
      <c r="OVD34" s="143"/>
      <c r="OVE34" s="143"/>
      <c r="OVF34" s="143"/>
      <c r="OVG34" s="143"/>
      <c r="OVH34" s="143"/>
      <c r="OVI34" s="143"/>
      <c r="OVJ34" s="143"/>
      <c r="OVK34" s="143"/>
      <c r="OVL34" s="143"/>
      <c r="OVM34" s="143"/>
      <c r="OVN34" s="143"/>
      <c r="OVO34" s="143"/>
      <c r="OVP34" s="143"/>
      <c r="OVQ34" s="143"/>
      <c r="OVR34" s="143"/>
      <c r="OVS34" s="143"/>
      <c r="OVT34" s="143"/>
      <c r="OVU34" s="143"/>
      <c r="OVV34" s="143"/>
      <c r="OVW34" s="143"/>
      <c r="OVX34" s="143"/>
      <c r="OVY34" s="143"/>
      <c r="OVZ34" s="143"/>
      <c r="OWA34" s="143"/>
      <c r="OWB34" s="143"/>
      <c r="OWC34" s="143"/>
      <c r="OWD34" s="143"/>
      <c r="OWE34" s="143"/>
      <c r="OWF34" s="143"/>
      <c r="OWG34" s="143"/>
      <c r="OWH34" s="143"/>
      <c r="OWI34" s="143"/>
      <c r="OWJ34" s="143"/>
      <c r="OWK34" s="143"/>
      <c r="OWL34" s="143"/>
      <c r="OWM34" s="143"/>
      <c r="OWN34" s="143"/>
      <c r="OWO34" s="143"/>
      <c r="OWP34" s="143"/>
      <c r="OWQ34" s="143"/>
      <c r="OWR34" s="143"/>
      <c r="OWS34" s="143"/>
      <c r="OWT34" s="143"/>
      <c r="OWU34" s="143"/>
      <c r="OWV34" s="143"/>
      <c r="OWW34" s="143"/>
      <c r="OWX34" s="143"/>
      <c r="OWY34" s="143"/>
      <c r="OWZ34" s="143"/>
      <c r="OXA34" s="143"/>
      <c r="OXB34" s="143"/>
      <c r="OXC34" s="143"/>
      <c r="OXD34" s="143"/>
      <c r="OXE34" s="143"/>
      <c r="OXF34" s="143"/>
      <c r="OXG34" s="143"/>
      <c r="OXH34" s="143"/>
      <c r="OXI34" s="143"/>
      <c r="OXJ34" s="143"/>
      <c r="OXK34" s="143"/>
      <c r="OXL34" s="143"/>
      <c r="OXM34" s="143"/>
      <c r="OXN34" s="143"/>
      <c r="OXO34" s="143"/>
      <c r="OXP34" s="143"/>
      <c r="OXQ34" s="143"/>
      <c r="OXR34" s="143"/>
      <c r="OXS34" s="143"/>
      <c r="OXT34" s="143"/>
      <c r="OXU34" s="143"/>
      <c r="OXV34" s="143"/>
      <c r="OXW34" s="143"/>
      <c r="OXX34" s="143"/>
      <c r="OXY34" s="143"/>
      <c r="OXZ34" s="143"/>
      <c r="OYA34" s="143"/>
      <c r="OYB34" s="143"/>
      <c r="OYC34" s="143"/>
      <c r="OYD34" s="143"/>
      <c r="OYE34" s="143"/>
      <c r="OYF34" s="143"/>
      <c r="OYG34" s="143"/>
      <c r="OYH34" s="143"/>
      <c r="OYI34" s="143"/>
      <c r="OYJ34" s="143"/>
      <c r="OYK34" s="143"/>
      <c r="OYL34" s="143"/>
      <c r="OYM34" s="143"/>
      <c r="OYN34" s="143"/>
      <c r="OYO34" s="143"/>
      <c r="OYP34" s="143"/>
      <c r="OYQ34" s="143"/>
      <c r="OYR34" s="143"/>
      <c r="OYS34" s="143"/>
      <c r="OYT34" s="143"/>
      <c r="OYU34" s="143"/>
      <c r="OYV34" s="143"/>
      <c r="OYW34" s="143"/>
      <c r="OYX34" s="143"/>
      <c r="OYY34" s="143"/>
      <c r="OYZ34" s="143"/>
      <c r="OZA34" s="143"/>
      <c r="OZB34" s="143"/>
      <c r="OZC34" s="143"/>
      <c r="OZD34" s="143"/>
      <c r="OZE34" s="143"/>
      <c r="OZF34" s="143"/>
      <c r="OZG34" s="143"/>
      <c r="OZH34" s="143"/>
      <c r="OZI34" s="143"/>
      <c r="OZJ34" s="143"/>
      <c r="OZK34" s="143"/>
      <c r="OZL34" s="143"/>
      <c r="OZM34" s="143"/>
      <c r="OZN34" s="143"/>
      <c r="OZO34" s="143"/>
      <c r="OZP34" s="143"/>
      <c r="OZQ34" s="143"/>
      <c r="OZR34" s="143"/>
      <c r="OZS34" s="143"/>
      <c r="OZT34" s="143"/>
      <c r="OZU34" s="143"/>
      <c r="OZV34" s="143"/>
      <c r="OZW34" s="143"/>
      <c r="OZX34" s="143"/>
      <c r="OZY34" s="143"/>
      <c r="OZZ34" s="143"/>
      <c r="PAA34" s="143"/>
      <c r="PAB34" s="143"/>
      <c r="PAC34" s="143"/>
      <c r="PAD34" s="143"/>
      <c r="PAE34" s="143"/>
      <c r="PAF34" s="143"/>
      <c r="PAG34" s="143"/>
      <c r="PAH34" s="143"/>
      <c r="PAI34" s="143"/>
      <c r="PAJ34" s="143"/>
      <c r="PAK34" s="143"/>
      <c r="PAL34" s="143"/>
      <c r="PAM34" s="143"/>
      <c r="PAN34" s="143"/>
      <c r="PAO34" s="143"/>
      <c r="PAP34" s="143"/>
      <c r="PAQ34" s="143"/>
      <c r="PAR34" s="143"/>
      <c r="PAS34" s="143"/>
      <c r="PAT34" s="143"/>
      <c r="PAU34" s="143"/>
      <c r="PAV34" s="143"/>
      <c r="PAW34" s="143"/>
      <c r="PAX34" s="143"/>
      <c r="PAY34" s="143"/>
      <c r="PAZ34" s="143"/>
      <c r="PBA34" s="143"/>
      <c r="PBB34" s="143"/>
      <c r="PBC34" s="143"/>
      <c r="PBD34" s="143"/>
      <c r="PBE34" s="143"/>
      <c r="PBF34" s="143"/>
      <c r="PBG34" s="143"/>
      <c r="PBH34" s="143"/>
      <c r="PBI34" s="143"/>
      <c r="PBJ34" s="143"/>
      <c r="PBK34" s="143"/>
      <c r="PBL34" s="143"/>
      <c r="PBM34" s="143"/>
      <c r="PBN34" s="143"/>
      <c r="PBO34" s="143"/>
      <c r="PBP34" s="143"/>
      <c r="PBQ34" s="143"/>
      <c r="PBR34" s="143"/>
      <c r="PBS34" s="143"/>
      <c r="PBT34" s="143"/>
      <c r="PBU34" s="143"/>
      <c r="PBV34" s="143"/>
      <c r="PBW34" s="143"/>
      <c r="PBX34" s="143"/>
      <c r="PBY34" s="143"/>
      <c r="PBZ34" s="143"/>
      <c r="PCA34" s="143"/>
      <c r="PCB34" s="143"/>
      <c r="PCC34" s="143"/>
      <c r="PCD34" s="143"/>
      <c r="PCE34" s="143"/>
      <c r="PCF34" s="143"/>
      <c r="PCG34" s="143"/>
      <c r="PCH34" s="143"/>
      <c r="PCI34" s="143"/>
      <c r="PCJ34" s="143"/>
      <c r="PCK34" s="143"/>
      <c r="PCL34" s="143"/>
      <c r="PCM34" s="143"/>
      <c r="PCN34" s="143"/>
      <c r="PCO34" s="143"/>
      <c r="PCP34" s="143"/>
      <c r="PCQ34" s="143"/>
      <c r="PCR34" s="143"/>
      <c r="PCS34" s="143"/>
      <c r="PCT34" s="143"/>
      <c r="PCU34" s="143"/>
      <c r="PCV34" s="143"/>
      <c r="PCW34" s="143"/>
      <c r="PCX34" s="143"/>
      <c r="PCY34" s="143"/>
      <c r="PCZ34" s="143"/>
      <c r="PDA34" s="143"/>
      <c r="PDB34" s="143"/>
      <c r="PDC34" s="143"/>
      <c r="PDD34" s="143"/>
      <c r="PDE34" s="143"/>
      <c r="PDF34" s="143"/>
      <c r="PDG34" s="143"/>
      <c r="PDH34" s="143"/>
      <c r="PDI34" s="143"/>
      <c r="PDJ34" s="143"/>
      <c r="PDK34" s="143"/>
      <c r="PDL34" s="143"/>
      <c r="PDM34" s="143"/>
      <c r="PDN34" s="143"/>
      <c r="PDO34" s="143"/>
      <c r="PDP34" s="143"/>
      <c r="PDQ34" s="143"/>
      <c r="PDR34" s="143"/>
      <c r="PDS34" s="143"/>
      <c r="PDT34" s="143"/>
      <c r="PDU34" s="143"/>
      <c r="PDV34" s="143"/>
      <c r="PDW34" s="143"/>
      <c r="PDX34" s="143"/>
      <c r="PDY34" s="143"/>
      <c r="PDZ34" s="143"/>
      <c r="PEA34" s="143"/>
      <c r="PEB34" s="143"/>
      <c r="PEC34" s="143"/>
      <c r="PED34" s="143"/>
      <c r="PEE34" s="143"/>
      <c r="PEF34" s="143"/>
      <c r="PEG34" s="143"/>
      <c r="PEH34" s="143"/>
      <c r="PEI34" s="143"/>
      <c r="PEJ34" s="143"/>
      <c r="PEK34" s="143"/>
      <c r="PEL34" s="143"/>
      <c r="PEM34" s="143"/>
      <c r="PEN34" s="143"/>
      <c r="PEO34" s="143"/>
      <c r="PEP34" s="143"/>
      <c r="PEQ34" s="143"/>
      <c r="PER34" s="143"/>
      <c r="PES34" s="143"/>
      <c r="PET34" s="143"/>
      <c r="PEU34" s="143"/>
      <c r="PEV34" s="143"/>
      <c r="PEW34" s="143"/>
      <c r="PEX34" s="143"/>
      <c r="PEY34" s="143"/>
      <c r="PEZ34" s="143"/>
      <c r="PFA34" s="143"/>
      <c r="PFB34" s="143"/>
      <c r="PFC34" s="143"/>
      <c r="PFD34" s="143"/>
      <c r="PFE34" s="143"/>
      <c r="PFF34" s="143"/>
      <c r="PFG34" s="143"/>
      <c r="PFH34" s="143"/>
      <c r="PFI34" s="143"/>
      <c r="PFJ34" s="143"/>
      <c r="PFK34" s="143"/>
      <c r="PFL34" s="143"/>
      <c r="PFM34" s="143"/>
      <c r="PFN34" s="143"/>
      <c r="PFO34" s="143"/>
      <c r="PFP34" s="143"/>
      <c r="PFQ34" s="143"/>
      <c r="PFR34" s="143"/>
      <c r="PFS34" s="143"/>
      <c r="PFT34" s="143"/>
      <c r="PFU34" s="143"/>
      <c r="PFV34" s="143"/>
      <c r="PFW34" s="143"/>
      <c r="PFX34" s="143"/>
      <c r="PFY34" s="143"/>
      <c r="PFZ34" s="143"/>
      <c r="PGA34" s="143"/>
      <c r="PGB34" s="143"/>
      <c r="PGC34" s="143"/>
      <c r="PGD34" s="143"/>
      <c r="PGE34" s="143"/>
      <c r="PGF34" s="143"/>
      <c r="PGG34" s="143"/>
      <c r="PGH34" s="143"/>
      <c r="PGI34" s="143"/>
      <c r="PGJ34" s="143"/>
      <c r="PGK34" s="143"/>
      <c r="PGL34" s="143"/>
      <c r="PGM34" s="143"/>
      <c r="PGN34" s="143"/>
      <c r="PGO34" s="143"/>
      <c r="PGP34" s="143"/>
      <c r="PGQ34" s="143"/>
      <c r="PGR34" s="143"/>
      <c r="PGS34" s="143"/>
      <c r="PGT34" s="143"/>
      <c r="PGU34" s="143"/>
      <c r="PGV34" s="143"/>
      <c r="PGW34" s="143"/>
      <c r="PGX34" s="143"/>
      <c r="PGY34" s="143"/>
      <c r="PGZ34" s="143"/>
      <c r="PHA34" s="143"/>
      <c r="PHB34" s="143"/>
      <c r="PHC34" s="143"/>
      <c r="PHD34" s="143"/>
      <c r="PHE34" s="143"/>
      <c r="PHF34" s="143"/>
      <c r="PHG34" s="143"/>
      <c r="PHH34" s="143"/>
      <c r="PHI34" s="143"/>
      <c r="PHJ34" s="143"/>
      <c r="PHK34" s="143"/>
      <c r="PHL34" s="143"/>
      <c r="PHM34" s="143"/>
      <c r="PHN34" s="143"/>
      <c r="PHO34" s="143"/>
      <c r="PHP34" s="143"/>
      <c r="PHQ34" s="143"/>
      <c r="PHR34" s="143"/>
      <c r="PHS34" s="143"/>
      <c r="PHT34" s="143"/>
      <c r="PHU34" s="143"/>
      <c r="PHV34" s="143"/>
      <c r="PHW34" s="143"/>
      <c r="PHX34" s="143"/>
      <c r="PHY34" s="143"/>
      <c r="PHZ34" s="143"/>
      <c r="PIA34" s="143"/>
      <c r="PIB34" s="143"/>
      <c r="PIC34" s="143"/>
      <c r="PID34" s="143"/>
      <c r="PIE34" s="143"/>
      <c r="PIF34" s="143"/>
      <c r="PIG34" s="143"/>
      <c r="PIH34" s="143"/>
      <c r="PII34" s="143"/>
      <c r="PIJ34" s="143"/>
      <c r="PIK34" s="143"/>
      <c r="PIL34" s="143"/>
      <c r="PIM34" s="143"/>
      <c r="PIN34" s="143"/>
      <c r="PIO34" s="143"/>
      <c r="PIP34" s="143"/>
      <c r="PIQ34" s="143"/>
      <c r="PIR34" s="143"/>
      <c r="PIS34" s="143"/>
      <c r="PIT34" s="143"/>
      <c r="PIU34" s="143"/>
      <c r="PIV34" s="143"/>
      <c r="PIW34" s="143"/>
      <c r="PIX34" s="143"/>
      <c r="PIY34" s="143"/>
      <c r="PIZ34" s="143"/>
      <c r="PJA34" s="143"/>
      <c r="PJB34" s="143"/>
      <c r="PJC34" s="143"/>
      <c r="PJD34" s="143"/>
      <c r="PJE34" s="143"/>
      <c r="PJF34" s="143"/>
      <c r="PJG34" s="143"/>
      <c r="PJH34" s="143"/>
      <c r="PJI34" s="143"/>
      <c r="PJJ34" s="143"/>
      <c r="PJK34" s="143"/>
      <c r="PJL34" s="143"/>
      <c r="PJM34" s="143"/>
      <c r="PJN34" s="143"/>
      <c r="PJO34" s="143"/>
      <c r="PJP34" s="143"/>
      <c r="PJQ34" s="143"/>
      <c r="PJR34" s="143"/>
      <c r="PJS34" s="143"/>
      <c r="PJT34" s="143"/>
      <c r="PJU34" s="143"/>
      <c r="PJV34" s="143"/>
      <c r="PJW34" s="143"/>
      <c r="PJX34" s="143"/>
      <c r="PJY34" s="143"/>
      <c r="PJZ34" s="143"/>
      <c r="PKA34" s="143"/>
      <c r="PKB34" s="143"/>
      <c r="PKC34" s="143"/>
      <c r="PKD34" s="143"/>
      <c r="PKE34" s="143"/>
      <c r="PKF34" s="143"/>
      <c r="PKG34" s="143"/>
      <c r="PKH34" s="143"/>
      <c r="PKI34" s="143"/>
      <c r="PKJ34" s="143"/>
      <c r="PKK34" s="143"/>
      <c r="PKL34" s="143"/>
      <c r="PKM34" s="143"/>
      <c r="PKN34" s="143"/>
      <c r="PKO34" s="143"/>
      <c r="PKP34" s="143"/>
      <c r="PKQ34" s="143"/>
      <c r="PKR34" s="143"/>
      <c r="PKS34" s="143"/>
      <c r="PKT34" s="143"/>
      <c r="PKU34" s="143"/>
      <c r="PKV34" s="143"/>
      <c r="PKW34" s="143"/>
      <c r="PKX34" s="143"/>
      <c r="PKY34" s="143"/>
      <c r="PKZ34" s="143"/>
      <c r="PLA34" s="143"/>
      <c r="PLB34" s="143"/>
      <c r="PLC34" s="143"/>
      <c r="PLD34" s="143"/>
      <c r="PLE34" s="143"/>
      <c r="PLF34" s="143"/>
      <c r="PLG34" s="143"/>
      <c r="PLH34" s="143"/>
      <c r="PLI34" s="143"/>
      <c r="PLJ34" s="143"/>
      <c r="PLK34" s="143"/>
      <c r="PLL34" s="143"/>
      <c r="PLM34" s="143"/>
      <c r="PLN34" s="143"/>
      <c r="PLO34" s="143"/>
      <c r="PLP34" s="143"/>
      <c r="PLQ34" s="143"/>
      <c r="PLR34" s="143"/>
      <c r="PLS34" s="143"/>
      <c r="PLT34" s="143"/>
      <c r="PLU34" s="143"/>
      <c r="PLV34" s="143"/>
      <c r="PLW34" s="143"/>
      <c r="PLX34" s="143"/>
      <c r="PLY34" s="143"/>
      <c r="PLZ34" s="143"/>
      <c r="PMA34" s="143"/>
      <c r="PMB34" s="143"/>
      <c r="PMC34" s="143"/>
      <c r="PMD34" s="143"/>
      <c r="PME34" s="143"/>
      <c r="PMF34" s="143"/>
      <c r="PMG34" s="143"/>
      <c r="PMH34" s="143"/>
      <c r="PMI34" s="143"/>
      <c r="PMJ34" s="143"/>
      <c r="PMK34" s="143"/>
      <c r="PML34" s="143"/>
      <c r="PMM34" s="143"/>
      <c r="PMN34" s="143"/>
      <c r="PMO34" s="143"/>
      <c r="PMP34" s="143"/>
      <c r="PMQ34" s="143"/>
      <c r="PMR34" s="143"/>
      <c r="PMS34" s="143"/>
      <c r="PMT34" s="143"/>
      <c r="PMU34" s="143"/>
      <c r="PMV34" s="143"/>
      <c r="PMW34" s="143"/>
      <c r="PMX34" s="143"/>
      <c r="PMY34" s="143"/>
      <c r="PMZ34" s="143"/>
      <c r="PNA34" s="143"/>
      <c r="PNB34" s="143"/>
      <c r="PNC34" s="143"/>
      <c r="PND34" s="143"/>
      <c r="PNE34" s="143"/>
      <c r="PNF34" s="143"/>
      <c r="PNG34" s="143"/>
      <c r="PNH34" s="143"/>
      <c r="PNI34" s="143"/>
      <c r="PNJ34" s="143"/>
      <c r="PNK34" s="143"/>
      <c r="PNL34" s="143"/>
      <c r="PNM34" s="143"/>
      <c r="PNN34" s="143"/>
      <c r="PNO34" s="143"/>
      <c r="PNP34" s="143"/>
      <c r="PNQ34" s="143"/>
      <c r="PNR34" s="143"/>
      <c r="PNS34" s="143"/>
      <c r="PNT34" s="143"/>
      <c r="PNU34" s="143"/>
      <c r="PNV34" s="143"/>
      <c r="PNW34" s="143"/>
      <c r="PNX34" s="143"/>
      <c r="PNY34" s="143"/>
      <c r="PNZ34" s="143"/>
      <c r="POA34" s="143"/>
      <c r="POB34" s="143"/>
      <c r="POC34" s="143"/>
      <c r="POD34" s="143"/>
      <c r="POE34" s="143"/>
      <c r="POF34" s="143"/>
      <c r="POG34" s="143"/>
      <c r="POH34" s="143"/>
      <c r="POI34" s="143"/>
      <c r="POJ34" s="143"/>
      <c r="POK34" s="143"/>
      <c r="POL34" s="143"/>
      <c r="POM34" s="143"/>
      <c r="PON34" s="143"/>
      <c r="POO34" s="143"/>
      <c r="POP34" s="143"/>
      <c r="POQ34" s="143"/>
      <c r="POR34" s="143"/>
      <c r="POS34" s="143"/>
      <c r="POT34" s="143"/>
      <c r="POU34" s="143"/>
      <c r="POV34" s="143"/>
      <c r="POW34" s="143"/>
      <c r="POX34" s="143"/>
      <c r="POY34" s="143"/>
      <c r="POZ34" s="143"/>
      <c r="PPA34" s="143"/>
      <c r="PPB34" s="143"/>
      <c r="PPC34" s="143"/>
      <c r="PPD34" s="143"/>
      <c r="PPE34" s="143"/>
      <c r="PPF34" s="143"/>
      <c r="PPG34" s="143"/>
      <c r="PPH34" s="143"/>
      <c r="PPI34" s="143"/>
      <c r="PPJ34" s="143"/>
      <c r="PPK34" s="143"/>
      <c r="PPL34" s="143"/>
      <c r="PPM34" s="143"/>
      <c r="PPN34" s="143"/>
      <c r="PPO34" s="143"/>
      <c r="PPP34" s="143"/>
      <c r="PPQ34" s="143"/>
      <c r="PPR34" s="143"/>
      <c r="PPS34" s="143"/>
      <c r="PPT34" s="143"/>
      <c r="PPU34" s="143"/>
      <c r="PPV34" s="143"/>
      <c r="PPW34" s="143"/>
      <c r="PPX34" s="143"/>
      <c r="PPY34" s="143"/>
      <c r="PPZ34" s="143"/>
      <c r="PQA34" s="143"/>
      <c r="PQB34" s="143"/>
      <c r="PQC34" s="143"/>
      <c r="PQD34" s="143"/>
      <c r="PQE34" s="143"/>
      <c r="PQF34" s="143"/>
      <c r="PQG34" s="143"/>
      <c r="PQH34" s="143"/>
      <c r="PQI34" s="143"/>
      <c r="PQJ34" s="143"/>
      <c r="PQK34" s="143"/>
      <c r="PQL34" s="143"/>
      <c r="PQM34" s="143"/>
      <c r="PQN34" s="143"/>
      <c r="PQO34" s="143"/>
      <c r="PQP34" s="143"/>
      <c r="PQQ34" s="143"/>
      <c r="PQR34" s="143"/>
      <c r="PQS34" s="143"/>
      <c r="PQT34" s="143"/>
      <c r="PQU34" s="143"/>
      <c r="PQV34" s="143"/>
      <c r="PQW34" s="143"/>
      <c r="PQX34" s="143"/>
      <c r="PQY34" s="143"/>
      <c r="PQZ34" s="143"/>
      <c r="PRA34" s="143"/>
      <c r="PRB34" s="143"/>
      <c r="PRC34" s="143"/>
      <c r="PRD34" s="143"/>
      <c r="PRE34" s="143"/>
      <c r="PRF34" s="143"/>
      <c r="PRG34" s="143"/>
      <c r="PRH34" s="143"/>
      <c r="PRI34" s="143"/>
      <c r="PRJ34" s="143"/>
      <c r="PRK34" s="143"/>
      <c r="PRL34" s="143"/>
      <c r="PRM34" s="143"/>
      <c r="PRN34" s="143"/>
      <c r="PRO34" s="143"/>
      <c r="PRP34" s="143"/>
      <c r="PRQ34" s="143"/>
      <c r="PRR34" s="143"/>
      <c r="PRS34" s="143"/>
      <c r="PRT34" s="143"/>
      <c r="PRU34" s="143"/>
      <c r="PRV34" s="143"/>
      <c r="PRW34" s="143"/>
      <c r="PRX34" s="143"/>
      <c r="PRY34" s="143"/>
      <c r="PRZ34" s="143"/>
      <c r="PSA34" s="143"/>
      <c r="PSB34" s="143"/>
      <c r="PSC34" s="143"/>
      <c r="PSD34" s="143"/>
      <c r="PSE34" s="143"/>
      <c r="PSF34" s="143"/>
      <c r="PSG34" s="143"/>
      <c r="PSH34" s="143"/>
      <c r="PSI34" s="143"/>
      <c r="PSJ34" s="143"/>
      <c r="PSK34" s="143"/>
      <c r="PSL34" s="143"/>
      <c r="PSM34" s="143"/>
      <c r="PSN34" s="143"/>
      <c r="PSO34" s="143"/>
      <c r="PSP34" s="143"/>
      <c r="PSQ34" s="143"/>
      <c r="PSR34" s="143"/>
      <c r="PSS34" s="143"/>
      <c r="PST34" s="143"/>
      <c r="PSU34" s="143"/>
      <c r="PSV34" s="143"/>
      <c r="PSW34" s="143"/>
      <c r="PSX34" s="143"/>
      <c r="PSY34" s="143"/>
      <c r="PSZ34" s="143"/>
      <c r="PTA34" s="143"/>
      <c r="PTB34" s="143"/>
      <c r="PTC34" s="143"/>
      <c r="PTD34" s="143"/>
      <c r="PTE34" s="143"/>
      <c r="PTF34" s="143"/>
      <c r="PTG34" s="143"/>
      <c r="PTH34" s="143"/>
      <c r="PTI34" s="143"/>
      <c r="PTJ34" s="143"/>
      <c r="PTK34" s="143"/>
      <c r="PTL34" s="143"/>
      <c r="PTM34" s="143"/>
      <c r="PTN34" s="143"/>
      <c r="PTO34" s="143"/>
      <c r="PTP34" s="143"/>
      <c r="PTQ34" s="143"/>
      <c r="PTR34" s="143"/>
      <c r="PTS34" s="143"/>
      <c r="PTT34" s="143"/>
      <c r="PTU34" s="143"/>
      <c r="PTV34" s="143"/>
      <c r="PTW34" s="143"/>
      <c r="PTX34" s="143"/>
      <c r="PTY34" s="143"/>
      <c r="PTZ34" s="143"/>
      <c r="PUA34" s="143"/>
      <c r="PUB34" s="143"/>
      <c r="PUC34" s="143"/>
      <c r="PUD34" s="143"/>
      <c r="PUE34" s="143"/>
      <c r="PUF34" s="143"/>
      <c r="PUG34" s="143"/>
      <c r="PUH34" s="143"/>
      <c r="PUI34" s="143"/>
      <c r="PUJ34" s="143"/>
      <c r="PUK34" s="143"/>
      <c r="PUL34" s="143"/>
      <c r="PUM34" s="143"/>
      <c r="PUN34" s="143"/>
      <c r="PUO34" s="143"/>
      <c r="PUP34" s="143"/>
      <c r="PUQ34" s="143"/>
      <c r="PUR34" s="143"/>
      <c r="PUS34" s="143"/>
      <c r="PUT34" s="143"/>
      <c r="PUU34" s="143"/>
      <c r="PUV34" s="143"/>
      <c r="PUW34" s="143"/>
      <c r="PUX34" s="143"/>
      <c r="PUY34" s="143"/>
      <c r="PUZ34" s="143"/>
      <c r="PVA34" s="143"/>
      <c r="PVB34" s="143"/>
      <c r="PVC34" s="143"/>
      <c r="PVD34" s="143"/>
      <c r="PVE34" s="143"/>
      <c r="PVF34" s="143"/>
      <c r="PVG34" s="143"/>
      <c r="PVH34" s="143"/>
      <c r="PVI34" s="143"/>
      <c r="PVJ34" s="143"/>
      <c r="PVK34" s="143"/>
      <c r="PVL34" s="143"/>
      <c r="PVM34" s="143"/>
      <c r="PVN34" s="143"/>
      <c r="PVO34" s="143"/>
      <c r="PVP34" s="143"/>
      <c r="PVQ34" s="143"/>
      <c r="PVR34" s="143"/>
      <c r="PVS34" s="143"/>
      <c r="PVT34" s="143"/>
      <c r="PVU34" s="143"/>
      <c r="PVV34" s="143"/>
      <c r="PVW34" s="143"/>
      <c r="PVX34" s="143"/>
      <c r="PVY34" s="143"/>
      <c r="PVZ34" s="143"/>
      <c r="PWA34" s="143"/>
      <c r="PWB34" s="143"/>
      <c r="PWC34" s="143"/>
      <c r="PWD34" s="143"/>
      <c r="PWE34" s="143"/>
      <c r="PWF34" s="143"/>
      <c r="PWG34" s="143"/>
      <c r="PWH34" s="143"/>
      <c r="PWI34" s="143"/>
      <c r="PWJ34" s="143"/>
      <c r="PWK34" s="143"/>
      <c r="PWL34" s="143"/>
      <c r="PWM34" s="143"/>
      <c r="PWN34" s="143"/>
      <c r="PWO34" s="143"/>
      <c r="PWP34" s="143"/>
      <c r="PWQ34" s="143"/>
      <c r="PWR34" s="143"/>
      <c r="PWS34" s="143"/>
      <c r="PWT34" s="143"/>
      <c r="PWU34" s="143"/>
      <c r="PWV34" s="143"/>
      <c r="PWW34" s="143"/>
      <c r="PWX34" s="143"/>
      <c r="PWY34" s="143"/>
      <c r="PWZ34" s="143"/>
      <c r="PXA34" s="143"/>
      <c r="PXB34" s="143"/>
      <c r="PXC34" s="143"/>
      <c r="PXD34" s="143"/>
      <c r="PXE34" s="143"/>
      <c r="PXF34" s="143"/>
      <c r="PXG34" s="143"/>
      <c r="PXH34" s="143"/>
      <c r="PXI34" s="143"/>
      <c r="PXJ34" s="143"/>
      <c r="PXK34" s="143"/>
      <c r="PXL34" s="143"/>
      <c r="PXM34" s="143"/>
      <c r="PXN34" s="143"/>
      <c r="PXO34" s="143"/>
      <c r="PXP34" s="143"/>
      <c r="PXQ34" s="143"/>
      <c r="PXR34" s="143"/>
      <c r="PXS34" s="143"/>
      <c r="PXT34" s="143"/>
      <c r="PXU34" s="143"/>
      <c r="PXV34" s="143"/>
      <c r="PXW34" s="143"/>
      <c r="PXX34" s="143"/>
      <c r="PXY34" s="143"/>
      <c r="PXZ34" s="143"/>
      <c r="PYA34" s="143"/>
      <c r="PYB34" s="143"/>
      <c r="PYC34" s="143"/>
      <c r="PYD34" s="143"/>
      <c r="PYE34" s="143"/>
      <c r="PYF34" s="143"/>
      <c r="PYG34" s="143"/>
      <c r="PYH34" s="143"/>
      <c r="PYI34" s="143"/>
      <c r="PYJ34" s="143"/>
      <c r="PYK34" s="143"/>
      <c r="PYL34" s="143"/>
      <c r="PYM34" s="143"/>
      <c r="PYN34" s="143"/>
      <c r="PYO34" s="143"/>
      <c r="PYP34" s="143"/>
      <c r="PYQ34" s="143"/>
      <c r="PYR34" s="143"/>
      <c r="PYS34" s="143"/>
      <c r="PYT34" s="143"/>
      <c r="PYU34" s="143"/>
      <c r="PYV34" s="143"/>
      <c r="PYW34" s="143"/>
      <c r="PYX34" s="143"/>
      <c r="PYY34" s="143"/>
      <c r="PYZ34" s="143"/>
      <c r="PZA34" s="143"/>
      <c r="PZB34" s="143"/>
      <c r="PZC34" s="143"/>
      <c r="PZD34" s="143"/>
      <c r="PZE34" s="143"/>
      <c r="PZF34" s="143"/>
      <c r="PZG34" s="143"/>
      <c r="PZH34" s="143"/>
      <c r="PZI34" s="143"/>
      <c r="PZJ34" s="143"/>
      <c r="PZK34" s="143"/>
      <c r="PZL34" s="143"/>
      <c r="PZM34" s="143"/>
      <c r="PZN34" s="143"/>
      <c r="PZO34" s="143"/>
      <c r="PZP34" s="143"/>
      <c r="PZQ34" s="143"/>
      <c r="PZR34" s="143"/>
      <c r="PZS34" s="143"/>
      <c r="PZT34" s="143"/>
      <c r="PZU34" s="143"/>
      <c r="PZV34" s="143"/>
      <c r="PZW34" s="143"/>
      <c r="PZX34" s="143"/>
      <c r="PZY34" s="143"/>
      <c r="PZZ34" s="143"/>
      <c r="QAA34" s="143"/>
      <c r="QAB34" s="143"/>
      <c r="QAC34" s="143"/>
      <c r="QAD34" s="143"/>
      <c r="QAE34" s="143"/>
      <c r="QAF34" s="143"/>
      <c r="QAG34" s="143"/>
      <c r="QAH34" s="143"/>
      <c r="QAI34" s="143"/>
      <c r="QAJ34" s="143"/>
      <c r="QAK34" s="143"/>
      <c r="QAL34" s="143"/>
      <c r="QAM34" s="143"/>
      <c r="QAN34" s="143"/>
      <c r="QAO34" s="143"/>
      <c r="QAP34" s="143"/>
      <c r="QAQ34" s="143"/>
      <c r="QAR34" s="143"/>
      <c r="QAS34" s="143"/>
      <c r="QAT34" s="143"/>
      <c r="QAU34" s="143"/>
      <c r="QAV34" s="143"/>
      <c r="QAW34" s="143"/>
      <c r="QAX34" s="143"/>
      <c r="QAY34" s="143"/>
      <c r="QAZ34" s="143"/>
      <c r="QBA34" s="143"/>
      <c r="QBB34" s="143"/>
      <c r="QBC34" s="143"/>
      <c r="QBD34" s="143"/>
      <c r="QBE34" s="143"/>
      <c r="QBF34" s="143"/>
      <c r="QBG34" s="143"/>
      <c r="QBH34" s="143"/>
      <c r="QBI34" s="143"/>
      <c r="QBJ34" s="143"/>
      <c r="QBK34" s="143"/>
      <c r="QBL34" s="143"/>
      <c r="QBM34" s="143"/>
      <c r="QBN34" s="143"/>
      <c r="QBO34" s="143"/>
      <c r="QBP34" s="143"/>
      <c r="QBQ34" s="143"/>
      <c r="QBR34" s="143"/>
      <c r="QBS34" s="143"/>
      <c r="QBT34" s="143"/>
      <c r="QBU34" s="143"/>
      <c r="QBV34" s="143"/>
      <c r="QBW34" s="143"/>
      <c r="QBX34" s="143"/>
      <c r="QBY34" s="143"/>
      <c r="QBZ34" s="143"/>
      <c r="QCA34" s="143"/>
      <c r="QCB34" s="143"/>
      <c r="QCC34" s="143"/>
      <c r="QCD34" s="143"/>
      <c r="QCE34" s="143"/>
      <c r="QCF34" s="143"/>
      <c r="QCG34" s="143"/>
      <c r="QCH34" s="143"/>
      <c r="QCI34" s="143"/>
      <c r="QCJ34" s="143"/>
      <c r="QCK34" s="143"/>
      <c r="QCL34" s="143"/>
      <c r="QCM34" s="143"/>
      <c r="QCN34" s="143"/>
      <c r="QCO34" s="143"/>
      <c r="QCP34" s="143"/>
      <c r="QCQ34" s="143"/>
      <c r="QCR34" s="143"/>
      <c r="QCS34" s="143"/>
      <c r="QCT34" s="143"/>
      <c r="QCU34" s="143"/>
      <c r="QCV34" s="143"/>
      <c r="QCW34" s="143"/>
      <c r="QCX34" s="143"/>
      <c r="QCY34" s="143"/>
      <c r="QCZ34" s="143"/>
      <c r="QDA34" s="143"/>
      <c r="QDB34" s="143"/>
      <c r="QDC34" s="143"/>
      <c r="QDD34" s="143"/>
      <c r="QDE34" s="143"/>
      <c r="QDF34" s="143"/>
      <c r="QDG34" s="143"/>
      <c r="QDH34" s="143"/>
      <c r="QDI34" s="143"/>
      <c r="QDJ34" s="143"/>
      <c r="QDK34" s="143"/>
      <c r="QDL34" s="143"/>
      <c r="QDM34" s="143"/>
      <c r="QDN34" s="143"/>
      <c r="QDO34" s="143"/>
      <c r="QDP34" s="143"/>
      <c r="QDQ34" s="143"/>
      <c r="QDR34" s="143"/>
      <c r="QDS34" s="143"/>
      <c r="QDT34" s="143"/>
      <c r="QDU34" s="143"/>
      <c r="QDV34" s="143"/>
      <c r="QDW34" s="143"/>
      <c r="QDX34" s="143"/>
      <c r="QDY34" s="143"/>
      <c r="QDZ34" s="143"/>
      <c r="QEA34" s="143"/>
      <c r="QEB34" s="143"/>
      <c r="QEC34" s="143"/>
      <c r="QED34" s="143"/>
      <c r="QEE34" s="143"/>
      <c r="QEF34" s="143"/>
      <c r="QEG34" s="143"/>
      <c r="QEH34" s="143"/>
      <c r="QEI34" s="143"/>
      <c r="QEJ34" s="143"/>
      <c r="QEK34" s="143"/>
      <c r="QEL34" s="143"/>
      <c r="QEM34" s="143"/>
      <c r="QEN34" s="143"/>
      <c r="QEO34" s="143"/>
      <c r="QEP34" s="143"/>
      <c r="QEQ34" s="143"/>
      <c r="QER34" s="143"/>
      <c r="QES34" s="143"/>
      <c r="QET34" s="143"/>
      <c r="QEU34" s="143"/>
      <c r="QEV34" s="143"/>
      <c r="QEW34" s="143"/>
      <c r="QEX34" s="143"/>
      <c r="QEY34" s="143"/>
      <c r="QEZ34" s="143"/>
      <c r="QFA34" s="143"/>
      <c r="QFB34" s="143"/>
      <c r="QFC34" s="143"/>
      <c r="QFD34" s="143"/>
      <c r="QFE34" s="143"/>
      <c r="QFF34" s="143"/>
      <c r="QFG34" s="143"/>
      <c r="QFH34" s="143"/>
      <c r="QFI34" s="143"/>
      <c r="QFJ34" s="143"/>
      <c r="QFK34" s="143"/>
      <c r="QFL34" s="143"/>
      <c r="QFM34" s="143"/>
      <c r="QFN34" s="143"/>
      <c r="QFO34" s="143"/>
      <c r="QFP34" s="143"/>
      <c r="QFQ34" s="143"/>
      <c r="QFR34" s="143"/>
      <c r="QFS34" s="143"/>
      <c r="QFT34" s="143"/>
      <c r="QFU34" s="143"/>
      <c r="QFV34" s="143"/>
      <c r="QFW34" s="143"/>
      <c r="QFX34" s="143"/>
      <c r="QFY34" s="143"/>
      <c r="QFZ34" s="143"/>
      <c r="QGA34" s="143"/>
      <c r="QGB34" s="143"/>
      <c r="QGC34" s="143"/>
      <c r="QGD34" s="143"/>
      <c r="QGE34" s="143"/>
      <c r="QGF34" s="143"/>
      <c r="QGG34" s="143"/>
      <c r="QGH34" s="143"/>
      <c r="QGI34" s="143"/>
      <c r="QGJ34" s="143"/>
      <c r="QGK34" s="143"/>
      <c r="QGL34" s="143"/>
      <c r="QGM34" s="143"/>
      <c r="QGN34" s="143"/>
      <c r="QGO34" s="143"/>
      <c r="QGP34" s="143"/>
      <c r="QGQ34" s="143"/>
      <c r="QGR34" s="143"/>
      <c r="QGS34" s="143"/>
      <c r="QGT34" s="143"/>
      <c r="QGU34" s="143"/>
      <c r="QGV34" s="143"/>
      <c r="QGW34" s="143"/>
      <c r="QGX34" s="143"/>
      <c r="QGY34" s="143"/>
      <c r="QGZ34" s="143"/>
      <c r="QHA34" s="143"/>
      <c r="QHB34" s="143"/>
      <c r="QHC34" s="143"/>
      <c r="QHD34" s="143"/>
      <c r="QHE34" s="143"/>
      <c r="QHF34" s="143"/>
      <c r="QHG34" s="143"/>
      <c r="QHH34" s="143"/>
      <c r="QHI34" s="143"/>
      <c r="QHJ34" s="143"/>
      <c r="QHK34" s="143"/>
      <c r="QHL34" s="143"/>
      <c r="QHM34" s="143"/>
      <c r="QHN34" s="143"/>
      <c r="QHO34" s="143"/>
      <c r="QHP34" s="143"/>
      <c r="QHQ34" s="143"/>
      <c r="QHR34" s="143"/>
      <c r="QHS34" s="143"/>
      <c r="QHT34" s="143"/>
      <c r="QHU34" s="143"/>
      <c r="QHV34" s="143"/>
      <c r="QHW34" s="143"/>
      <c r="QHX34" s="143"/>
      <c r="QHY34" s="143"/>
      <c r="QHZ34" s="143"/>
      <c r="QIA34" s="143"/>
      <c r="QIB34" s="143"/>
      <c r="QIC34" s="143"/>
      <c r="QID34" s="143"/>
      <c r="QIE34" s="143"/>
      <c r="QIF34" s="143"/>
      <c r="QIG34" s="143"/>
      <c r="QIH34" s="143"/>
      <c r="QII34" s="143"/>
      <c r="QIJ34" s="143"/>
      <c r="QIK34" s="143"/>
      <c r="QIL34" s="143"/>
      <c r="QIM34" s="143"/>
      <c r="QIN34" s="143"/>
      <c r="QIO34" s="143"/>
      <c r="QIP34" s="143"/>
      <c r="QIQ34" s="143"/>
      <c r="QIR34" s="143"/>
      <c r="QIS34" s="143"/>
      <c r="QIT34" s="143"/>
      <c r="QIU34" s="143"/>
      <c r="QIV34" s="143"/>
      <c r="QIW34" s="143"/>
      <c r="QIX34" s="143"/>
      <c r="QIY34" s="143"/>
      <c r="QIZ34" s="143"/>
      <c r="QJA34" s="143"/>
      <c r="QJB34" s="143"/>
      <c r="QJC34" s="143"/>
      <c r="QJD34" s="143"/>
      <c r="QJE34" s="143"/>
      <c r="QJF34" s="143"/>
      <c r="QJG34" s="143"/>
      <c r="QJH34" s="143"/>
      <c r="QJI34" s="143"/>
      <c r="QJJ34" s="143"/>
      <c r="QJK34" s="143"/>
      <c r="QJL34" s="143"/>
      <c r="QJM34" s="143"/>
      <c r="QJN34" s="143"/>
      <c r="QJO34" s="143"/>
      <c r="QJP34" s="143"/>
      <c r="QJQ34" s="143"/>
      <c r="QJR34" s="143"/>
      <c r="QJS34" s="143"/>
      <c r="QJT34" s="143"/>
      <c r="QJU34" s="143"/>
      <c r="QJV34" s="143"/>
      <c r="QJW34" s="143"/>
      <c r="QJX34" s="143"/>
      <c r="QJY34" s="143"/>
      <c r="QJZ34" s="143"/>
      <c r="QKA34" s="143"/>
      <c r="QKB34" s="143"/>
      <c r="QKC34" s="143"/>
      <c r="QKD34" s="143"/>
      <c r="QKE34" s="143"/>
      <c r="QKF34" s="143"/>
      <c r="QKG34" s="143"/>
      <c r="QKH34" s="143"/>
      <c r="QKI34" s="143"/>
      <c r="QKJ34" s="143"/>
      <c r="QKK34" s="143"/>
      <c r="QKL34" s="143"/>
      <c r="QKM34" s="143"/>
      <c r="QKN34" s="143"/>
      <c r="QKO34" s="143"/>
      <c r="QKP34" s="143"/>
      <c r="QKQ34" s="143"/>
      <c r="QKR34" s="143"/>
      <c r="QKS34" s="143"/>
      <c r="QKT34" s="143"/>
      <c r="QKU34" s="143"/>
      <c r="QKV34" s="143"/>
      <c r="QKW34" s="143"/>
      <c r="QKX34" s="143"/>
      <c r="QKY34" s="143"/>
      <c r="QKZ34" s="143"/>
      <c r="QLA34" s="143"/>
      <c r="QLB34" s="143"/>
      <c r="QLC34" s="143"/>
      <c r="QLD34" s="143"/>
      <c r="QLE34" s="143"/>
      <c r="QLF34" s="143"/>
      <c r="QLG34" s="143"/>
      <c r="QLH34" s="143"/>
      <c r="QLI34" s="143"/>
      <c r="QLJ34" s="143"/>
      <c r="QLK34" s="143"/>
      <c r="QLL34" s="143"/>
      <c r="QLM34" s="143"/>
      <c r="QLN34" s="143"/>
      <c r="QLO34" s="143"/>
      <c r="QLP34" s="143"/>
      <c r="QLQ34" s="143"/>
      <c r="QLR34" s="143"/>
      <c r="QLS34" s="143"/>
      <c r="QLT34" s="143"/>
      <c r="QLU34" s="143"/>
      <c r="QLV34" s="143"/>
      <c r="QLW34" s="143"/>
      <c r="QLX34" s="143"/>
      <c r="QLY34" s="143"/>
      <c r="QLZ34" s="143"/>
      <c r="QMA34" s="143"/>
      <c r="QMB34" s="143"/>
      <c r="QMC34" s="143"/>
      <c r="QMD34" s="143"/>
      <c r="QME34" s="143"/>
      <c r="QMF34" s="143"/>
      <c r="QMG34" s="143"/>
      <c r="QMH34" s="143"/>
      <c r="QMI34" s="143"/>
      <c r="QMJ34" s="143"/>
      <c r="QMK34" s="143"/>
      <c r="QML34" s="143"/>
      <c r="QMM34" s="143"/>
      <c r="QMN34" s="143"/>
      <c r="QMO34" s="143"/>
      <c r="QMP34" s="143"/>
      <c r="QMQ34" s="143"/>
      <c r="QMR34" s="143"/>
      <c r="QMS34" s="143"/>
      <c r="QMT34" s="143"/>
      <c r="QMU34" s="143"/>
      <c r="QMV34" s="143"/>
      <c r="QMW34" s="143"/>
      <c r="QMX34" s="143"/>
      <c r="QMY34" s="143"/>
      <c r="QMZ34" s="143"/>
      <c r="QNA34" s="143"/>
      <c r="QNB34" s="143"/>
      <c r="QNC34" s="143"/>
      <c r="QND34" s="143"/>
      <c r="QNE34" s="143"/>
      <c r="QNF34" s="143"/>
      <c r="QNG34" s="143"/>
      <c r="QNH34" s="143"/>
      <c r="QNI34" s="143"/>
      <c r="QNJ34" s="143"/>
      <c r="QNK34" s="143"/>
      <c r="QNL34" s="143"/>
      <c r="QNM34" s="143"/>
      <c r="QNN34" s="143"/>
      <c r="QNO34" s="143"/>
      <c r="QNP34" s="143"/>
      <c r="QNQ34" s="143"/>
      <c r="QNR34" s="143"/>
      <c r="QNS34" s="143"/>
      <c r="QNT34" s="143"/>
      <c r="QNU34" s="143"/>
      <c r="QNV34" s="143"/>
      <c r="QNW34" s="143"/>
      <c r="QNX34" s="143"/>
      <c r="QNY34" s="143"/>
      <c r="QNZ34" s="143"/>
      <c r="QOA34" s="143"/>
      <c r="QOB34" s="143"/>
      <c r="QOC34" s="143"/>
      <c r="QOD34" s="143"/>
      <c r="QOE34" s="143"/>
      <c r="QOF34" s="143"/>
      <c r="QOG34" s="143"/>
      <c r="QOH34" s="143"/>
      <c r="QOI34" s="143"/>
      <c r="QOJ34" s="143"/>
      <c r="QOK34" s="143"/>
      <c r="QOL34" s="143"/>
      <c r="QOM34" s="143"/>
      <c r="QON34" s="143"/>
      <c r="QOO34" s="143"/>
      <c r="QOP34" s="143"/>
      <c r="QOQ34" s="143"/>
      <c r="QOR34" s="143"/>
      <c r="QOS34" s="143"/>
      <c r="QOT34" s="143"/>
      <c r="QOU34" s="143"/>
      <c r="QOV34" s="143"/>
      <c r="QOW34" s="143"/>
      <c r="QOX34" s="143"/>
      <c r="QOY34" s="143"/>
      <c r="QOZ34" s="143"/>
      <c r="QPA34" s="143"/>
      <c r="QPB34" s="143"/>
      <c r="QPC34" s="143"/>
      <c r="QPD34" s="143"/>
      <c r="QPE34" s="143"/>
      <c r="QPF34" s="143"/>
      <c r="QPG34" s="143"/>
      <c r="QPH34" s="143"/>
      <c r="QPI34" s="143"/>
      <c r="QPJ34" s="143"/>
      <c r="QPK34" s="143"/>
      <c r="QPL34" s="143"/>
      <c r="QPM34" s="143"/>
      <c r="QPN34" s="143"/>
      <c r="QPO34" s="143"/>
      <c r="QPP34" s="143"/>
      <c r="QPQ34" s="143"/>
      <c r="QPR34" s="143"/>
      <c r="QPS34" s="143"/>
      <c r="QPT34" s="143"/>
      <c r="QPU34" s="143"/>
      <c r="QPV34" s="143"/>
      <c r="QPW34" s="143"/>
      <c r="QPX34" s="143"/>
      <c r="QPY34" s="143"/>
      <c r="QPZ34" s="143"/>
      <c r="QQA34" s="143"/>
      <c r="QQB34" s="143"/>
      <c r="QQC34" s="143"/>
      <c r="QQD34" s="143"/>
      <c r="QQE34" s="143"/>
      <c r="QQF34" s="143"/>
      <c r="QQG34" s="143"/>
      <c r="QQH34" s="143"/>
      <c r="QQI34" s="143"/>
      <c r="QQJ34" s="143"/>
      <c r="QQK34" s="143"/>
      <c r="QQL34" s="143"/>
      <c r="QQM34" s="143"/>
      <c r="QQN34" s="143"/>
      <c r="QQO34" s="143"/>
      <c r="QQP34" s="143"/>
      <c r="QQQ34" s="143"/>
      <c r="QQR34" s="143"/>
      <c r="QQS34" s="143"/>
      <c r="QQT34" s="143"/>
      <c r="QQU34" s="143"/>
      <c r="QQV34" s="143"/>
      <c r="QQW34" s="143"/>
      <c r="QQX34" s="143"/>
      <c r="QQY34" s="143"/>
      <c r="QQZ34" s="143"/>
      <c r="QRA34" s="143"/>
      <c r="QRB34" s="143"/>
      <c r="QRC34" s="143"/>
      <c r="QRD34" s="143"/>
      <c r="QRE34" s="143"/>
      <c r="QRF34" s="143"/>
      <c r="QRG34" s="143"/>
      <c r="QRH34" s="143"/>
      <c r="QRI34" s="143"/>
      <c r="QRJ34" s="143"/>
      <c r="QRK34" s="143"/>
      <c r="QRL34" s="143"/>
      <c r="QRM34" s="143"/>
      <c r="QRN34" s="143"/>
      <c r="QRO34" s="143"/>
      <c r="QRP34" s="143"/>
      <c r="QRQ34" s="143"/>
      <c r="QRR34" s="143"/>
      <c r="QRS34" s="143"/>
      <c r="QRT34" s="143"/>
      <c r="QRU34" s="143"/>
      <c r="QRV34" s="143"/>
      <c r="QRW34" s="143"/>
      <c r="QRX34" s="143"/>
      <c r="QRY34" s="143"/>
      <c r="QRZ34" s="143"/>
      <c r="QSA34" s="143"/>
      <c r="QSB34" s="143"/>
      <c r="QSC34" s="143"/>
      <c r="QSD34" s="143"/>
      <c r="QSE34" s="143"/>
      <c r="QSF34" s="143"/>
      <c r="QSG34" s="143"/>
      <c r="QSH34" s="143"/>
      <c r="QSI34" s="143"/>
      <c r="QSJ34" s="143"/>
      <c r="QSK34" s="143"/>
      <c r="QSL34" s="143"/>
      <c r="QSM34" s="143"/>
      <c r="QSN34" s="143"/>
      <c r="QSO34" s="143"/>
      <c r="QSP34" s="143"/>
      <c r="QSQ34" s="143"/>
      <c r="QSR34" s="143"/>
      <c r="QSS34" s="143"/>
      <c r="QST34" s="143"/>
      <c r="QSU34" s="143"/>
      <c r="QSV34" s="143"/>
      <c r="QSW34" s="143"/>
      <c r="QSX34" s="143"/>
      <c r="QSY34" s="143"/>
      <c r="QSZ34" s="143"/>
      <c r="QTA34" s="143"/>
      <c r="QTB34" s="143"/>
      <c r="QTC34" s="143"/>
      <c r="QTD34" s="143"/>
      <c r="QTE34" s="143"/>
      <c r="QTF34" s="143"/>
      <c r="QTG34" s="143"/>
      <c r="QTH34" s="143"/>
      <c r="QTI34" s="143"/>
      <c r="QTJ34" s="143"/>
      <c r="QTK34" s="143"/>
      <c r="QTL34" s="143"/>
      <c r="QTM34" s="143"/>
      <c r="QTN34" s="143"/>
      <c r="QTO34" s="143"/>
      <c r="QTP34" s="143"/>
      <c r="QTQ34" s="143"/>
      <c r="QTR34" s="143"/>
      <c r="QTS34" s="143"/>
      <c r="QTT34" s="143"/>
      <c r="QTU34" s="143"/>
      <c r="QTV34" s="143"/>
      <c r="QTW34" s="143"/>
      <c r="QTX34" s="143"/>
      <c r="QTY34" s="143"/>
      <c r="QTZ34" s="143"/>
      <c r="QUA34" s="143"/>
      <c r="QUB34" s="143"/>
      <c r="QUC34" s="143"/>
      <c r="QUD34" s="143"/>
      <c r="QUE34" s="143"/>
      <c r="QUF34" s="143"/>
      <c r="QUG34" s="143"/>
      <c r="QUH34" s="143"/>
      <c r="QUI34" s="143"/>
      <c r="QUJ34" s="143"/>
      <c r="QUK34" s="143"/>
      <c r="QUL34" s="143"/>
      <c r="QUM34" s="143"/>
      <c r="QUN34" s="143"/>
      <c r="QUO34" s="143"/>
      <c r="QUP34" s="143"/>
      <c r="QUQ34" s="143"/>
      <c r="QUR34" s="143"/>
      <c r="QUS34" s="143"/>
      <c r="QUT34" s="143"/>
      <c r="QUU34" s="143"/>
      <c r="QUV34" s="143"/>
      <c r="QUW34" s="143"/>
      <c r="QUX34" s="143"/>
      <c r="QUY34" s="143"/>
      <c r="QUZ34" s="143"/>
      <c r="QVA34" s="143"/>
      <c r="QVB34" s="143"/>
      <c r="QVC34" s="143"/>
      <c r="QVD34" s="143"/>
      <c r="QVE34" s="143"/>
      <c r="QVF34" s="143"/>
      <c r="QVG34" s="143"/>
      <c r="QVH34" s="143"/>
      <c r="QVI34" s="143"/>
      <c r="QVJ34" s="143"/>
      <c r="QVK34" s="143"/>
      <c r="QVL34" s="143"/>
      <c r="QVM34" s="143"/>
      <c r="QVN34" s="143"/>
      <c r="QVO34" s="143"/>
      <c r="QVP34" s="143"/>
      <c r="QVQ34" s="143"/>
      <c r="QVR34" s="143"/>
      <c r="QVS34" s="143"/>
      <c r="QVT34" s="143"/>
      <c r="QVU34" s="143"/>
      <c r="QVV34" s="143"/>
      <c r="QVW34" s="143"/>
      <c r="QVX34" s="143"/>
      <c r="QVY34" s="143"/>
      <c r="QVZ34" s="143"/>
      <c r="QWA34" s="143"/>
      <c r="QWB34" s="143"/>
      <c r="QWC34" s="143"/>
      <c r="QWD34" s="143"/>
      <c r="QWE34" s="143"/>
      <c r="QWF34" s="143"/>
      <c r="QWG34" s="143"/>
      <c r="QWH34" s="143"/>
      <c r="QWI34" s="143"/>
      <c r="QWJ34" s="143"/>
      <c r="QWK34" s="143"/>
      <c r="QWL34" s="143"/>
      <c r="QWM34" s="143"/>
      <c r="QWN34" s="143"/>
      <c r="QWO34" s="143"/>
      <c r="QWP34" s="143"/>
      <c r="QWQ34" s="143"/>
      <c r="QWR34" s="143"/>
      <c r="QWS34" s="143"/>
      <c r="QWT34" s="143"/>
      <c r="QWU34" s="143"/>
      <c r="QWV34" s="143"/>
      <c r="QWW34" s="143"/>
      <c r="QWX34" s="143"/>
      <c r="QWY34" s="143"/>
      <c r="QWZ34" s="143"/>
      <c r="QXA34" s="143"/>
      <c r="QXB34" s="143"/>
      <c r="QXC34" s="143"/>
      <c r="QXD34" s="143"/>
      <c r="QXE34" s="143"/>
      <c r="QXF34" s="143"/>
      <c r="QXG34" s="143"/>
      <c r="QXH34" s="143"/>
      <c r="QXI34" s="143"/>
      <c r="QXJ34" s="143"/>
      <c r="QXK34" s="143"/>
      <c r="QXL34" s="143"/>
      <c r="QXM34" s="143"/>
      <c r="QXN34" s="143"/>
      <c r="QXO34" s="143"/>
      <c r="QXP34" s="143"/>
      <c r="QXQ34" s="143"/>
      <c r="QXR34" s="143"/>
      <c r="QXS34" s="143"/>
      <c r="QXT34" s="143"/>
      <c r="QXU34" s="143"/>
      <c r="QXV34" s="143"/>
      <c r="QXW34" s="143"/>
      <c r="QXX34" s="143"/>
      <c r="QXY34" s="143"/>
      <c r="QXZ34" s="143"/>
      <c r="QYA34" s="143"/>
      <c r="QYB34" s="143"/>
      <c r="QYC34" s="143"/>
      <c r="QYD34" s="143"/>
      <c r="QYE34" s="143"/>
      <c r="QYF34" s="143"/>
      <c r="QYG34" s="143"/>
      <c r="QYH34" s="143"/>
      <c r="QYI34" s="143"/>
      <c r="QYJ34" s="143"/>
      <c r="QYK34" s="143"/>
      <c r="QYL34" s="143"/>
      <c r="QYM34" s="143"/>
      <c r="QYN34" s="143"/>
      <c r="QYO34" s="143"/>
      <c r="QYP34" s="143"/>
      <c r="QYQ34" s="143"/>
      <c r="QYR34" s="143"/>
      <c r="QYS34" s="143"/>
      <c r="QYT34" s="143"/>
      <c r="QYU34" s="143"/>
      <c r="QYV34" s="143"/>
      <c r="QYW34" s="143"/>
      <c r="QYX34" s="143"/>
      <c r="QYY34" s="143"/>
      <c r="QYZ34" s="143"/>
      <c r="QZA34" s="143"/>
      <c r="QZB34" s="143"/>
      <c r="QZC34" s="143"/>
      <c r="QZD34" s="143"/>
      <c r="QZE34" s="143"/>
      <c r="QZF34" s="143"/>
      <c r="QZG34" s="143"/>
      <c r="QZH34" s="143"/>
      <c r="QZI34" s="143"/>
      <c r="QZJ34" s="143"/>
      <c r="QZK34" s="143"/>
      <c r="QZL34" s="143"/>
      <c r="QZM34" s="143"/>
      <c r="QZN34" s="143"/>
      <c r="QZO34" s="143"/>
      <c r="QZP34" s="143"/>
      <c r="QZQ34" s="143"/>
      <c r="QZR34" s="143"/>
      <c r="QZS34" s="143"/>
      <c r="QZT34" s="143"/>
      <c r="QZU34" s="143"/>
      <c r="QZV34" s="143"/>
      <c r="QZW34" s="143"/>
      <c r="QZX34" s="143"/>
      <c r="QZY34" s="143"/>
      <c r="QZZ34" s="143"/>
      <c r="RAA34" s="143"/>
      <c r="RAB34" s="143"/>
      <c r="RAC34" s="143"/>
      <c r="RAD34" s="143"/>
      <c r="RAE34" s="143"/>
      <c r="RAF34" s="143"/>
      <c r="RAG34" s="143"/>
      <c r="RAH34" s="143"/>
      <c r="RAI34" s="143"/>
      <c r="RAJ34" s="143"/>
      <c r="RAK34" s="143"/>
      <c r="RAL34" s="143"/>
      <c r="RAM34" s="143"/>
      <c r="RAN34" s="143"/>
      <c r="RAO34" s="143"/>
      <c r="RAP34" s="143"/>
      <c r="RAQ34" s="143"/>
      <c r="RAR34" s="143"/>
      <c r="RAS34" s="143"/>
      <c r="RAT34" s="143"/>
      <c r="RAU34" s="143"/>
      <c r="RAV34" s="143"/>
      <c r="RAW34" s="143"/>
      <c r="RAX34" s="143"/>
      <c r="RAY34" s="143"/>
      <c r="RAZ34" s="143"/>
      <c r="RBA34" s="143"/>
      <c r="RBB34" s="143"/>
      <c r="RBC34" s="143"/>
      <c r="RBD34" s="143"/>
      <c r="RBE34" s="143"/>
      <c r="RBF34" s="143"/>
      <c r="RBG34" s="143"/>
      <c r="RBH34" s="143"/>
      <c r="RBI34" s="143"/>
      <c r="RBJ34" s="143"/>
      <c r="RBK34" s="143"/>
      <c r="RBL34" s="143"/>
      <c r="RBM34" s="143"/>
      <c r="RBN34" s="143"/>
      <c r="RBO34" s="143"/>
      <c r="RBP34" s="143"/>
      <c r="RBQ34" s="143"/>
      <c r="RBR34" s="143"/>
      <c r="RBS34" s="143"/>
      <c r="RBT34" s="143"/>
      <c r="RBU34" s="143"/>
      <c r="RBV34" s="143"/>
      <c r="RBW34" s="143"/>
      <c r="RBX34" s="143"/>
      <c r="RBY34" s="143"/>
      <c r="RBZ34" s="143"/>
      <c r="RCA34" s="143"/>
      <c r="RCB34" s="143"/>
      <c r="RCC34" s="143"/>
      <c r="RCD34" s="143"/>
      <c r="RCE34" s="143"/>
      <c r="RCF34" s="143"/>
      <c r="RCG34" s="143"/>
      <c r="RCH34" s="143"/>
      <c r="RCI34" s="143"/>
      <c r="RCJ34" s="143"/>
      <c r="RCK34" s="143"/>
      <c r="RCL34" s="143"/>
      <c r="RCM34" s="143"/>
      <c r="RCN34" s="143"/>
      <c r="RCO34" s="143"/>
      <c r="RCP34" s="143"/>
      <c r="RCQ34" s="143"/>
      <c r="RCR34" s="143"/>
      <c r="RCS34" s="143"/>
      <c r="RCT34" s="143"/>
      <c r="RCU34" s="143"/>
      <c r="RCV34" s="143"/>
      <c r="RCW34" s="143"/>
      <c r="RCX34" s="143"/>
      <c r="RCY34" s="143"/>
      <c r="RCZ34" s="143"/>
      <c r="RDA34" s="143"/>
      <c r="RDB34" s="143"/>
      <c r="RDC34" s="143"/>
      <c r="RDD34" s="143"/>
      <c r="RDE34" s="143"/>
      <c r="RDF34" s="143"/>
      <c r="RDG34" s="143"/>
      <c r="RDH34" s="143"/>
      <c r="RDI34" s="143"/>
      <c r="RDJ34" s="143"/>
      <c r="RDK34" s="143"/>
      <c r="RDL34" s="143"/>
      <c r="RDM34" s="143"/>
      <c r="RDN34" s="143"/>
      <c r="RDO34" s="143"/>
      <c r="RDP34" s="143"/>
      <c r="RDQ34" s="143"/>
      <c r="RDR34" s="143"/>
      <c r="RDS34" s="143"/>
      <c r="RDT34" s="143"/>
      <c r="RDU34" s="143"/>
      <c r="RDV34" s="143"/>
      <c r="RDW34" s="143"/>
      <c r="RDX34" s="143"/>
      <c r="RDY34" s="143"/>
      <c r="RDZ34" s="143"/>
      <c r="REA34" s="143"/>
      <c r="REB34" s="143"/>
      <c r="REC34" s="143"/>
      <c r="RED34" s="143"/>
      <c r="REE34" s="143"/>
      <c r="REF34" s="143"/>
      <c r="REG34" s="143"/>
      <c r="REH34" s="143"/>
      <c r="REI34" s="143"/>
      <c r="REJ34" s="143"/>
      <c r="REK34" s="143"/>
      <c r="REL34" s="143"/>
      <c r="REM34" s="143"/>
      <c r="REN34" s="143"/>
      <c r="REO34" s="143"/>
      <c r="REP34" s="143"/>
      <c r="REQ34" s="143"/>
      <c r="RER34" s="143"/>
      <c r="RES34" s="143"/>
      <c r="RET34" s="143"/>
      <c r="REU34" s="143"/>
      <c r="REV34" s="143"/>
      <c r="REW34" s="143"/>
      <c r="REX34" s="143"/>
      <c r="REY34" s="143"/>
      <c r="REZ34" s="143"/>
      <c r="RFA34" s="143"/>
      <c r="RFB34" s="143"/>
      <c r="RFC34" s="143"/>
      <c r="RFD34" s="143"/>
      <c r="RFE34" s="143"/>
      <c r="RFF34" s="143"/>
      <c r="RFG34" s="143"/>
      <c r="RFH34" s="143"/>
      <c r="RFI34" s="143"/>
      <c r="RFJ34" s="143"/>
      <c r="RFK34" s="143"/>
      <c r="RFL34" s="143"/>
      <c r="RFM34" s="143"/>
      <c r="RFN34" s="143"/>
      <c r="RFO34" s="143"/>
      <c r="RFP34" s="143"/>
      <c r="RFQ34" s="143"/>
      <c r="RFR34" s="143"/>
      <c r="RFS34" s="143"/>
      <c r="RFT34" s="143"/>
      <c r="RFU34" s="143"/>
      <c r="RFV34" s="143"/>
      <c r="RFW34" s="143"/>
      <c r="RFX34" s="143"/>
      <c r="RFY34" s="143"/>
      <c r="RFZ34" s="143"/>
      <c r="RGA34" s="143"/>
      <c r="RGB34" s="143"/>
      <c r="RGC34" s="143"/>
      <c r="RGD34" s="143"/>
      <c r="RGE34" s="143"/>
      <c r="RGF34" s="143"/>
      <c r="RGG34" s="143"/>
      <c r="RGH34" s="143"/>
      <c r="RGI34" s="143"/>
      <c r="RGJ34" s="143"/>
      <c r="RGK34" s="143"/>
      <c r="RGL34" s="143"/>
      <c r="RGM34" s="143"/>
      <c r="RGN34" s="143"/>
      <c r="RGO34" s="143"/>
      <c r="RGP34" s="143"/>
      <c r="RGQ34" s="143"/>
      <c r="RGR34" s="143"/>
      <c r="RGS34" s="143"/>
      <c r="RGT34" s="143"/>
      <c r="RGU34" s="143"/>
      <c r="RGV34" s="143"/>
      <c r="RGW34" s="143"/>
      <c r="RGX34" s="143"/>
      <c r="RGY34" s="143"/>
      <c r="RGZ34" s="143"/>
      <c r="RHA34" s="143"/>
      <c r="RHB34" s="143"/>
      <c r="RHC34" s="143"/>
      <c r="RHD34" s="143"/>
      <c r="RHE34" s="143"/>
      <c r="RHF34" s="143"/>
      <c r="RHG34" s="143"/>
      <c r="RHH34" s="143"/>
      <c r="RHI34" s="143"/>
      <c r="RHJ34" s="143"/>
      <c r="RHK34" s="143"/>
      <c r="RHL34" s="143"/>
      <c r="RHM34" s="143"/>
      <c r="RHN34" s="143"/>
      <c r="RHO34" s="143"/>
      <c r="RHP34" s="143"/>
      <c r="RHQ34" s="143"/>
      <c r="RHR34" s="143"/>
      <c r="RHS34" s="143"/>
      <c r="RHT34" s="143"/>
      <c r="RHU34" s="143"/>
      <c r="RHV34" s="143"/>
      <c r="RHW34" s="143"/>
      <c r="RHX34" s="143"/>
      <c r="RHY34" s="143"/>
      <c r="RHZ34" s="143"/>
      <c r="RIA34" s="143"/>
      <c r="RIB34" s="143"/>
      <c r="RIC34" s="143"/>
      <c r="RID34" s="143"/>
      <c r="RIE34" s="143"/>
      <c r="RIF34" s="143"/>
      <c r="RIG34" s="143"/>
      <c r="RIH34" s="143"/>
      <c r="RII34" s="143"/>
      <c r="RIJ34" s="143"/>
      <c r="RIK34" s="143"/>
      <c r="RIL34" s="143"/>
      <c r="RIM34" s="143"/>
      <c r="RIN34" s="143"/>
      <c r="RIO34" s="143"/>
      <c r="RIP34" s="143"/>
      <c r="RIQ34" s="143"/>
      <c r="RIR34" s="143"/>
      <c r="RIS34" s="143"/>
      <c r="RIT34" s="143"/>
      <c r="RIU34" s="143"/>
      <c r="RIV34" s="143"/>
      <c r="RIW34" s="143"/>
      <c r="RIX34" s="143"/>
      <c r="RIY34" s="143"/>
      <c r="RIZ34" s="143"/>
      <c r="RJA34" s="143"/>
      <c r="RJB34" s="143"/>
      <c r="RJC34" s="143"/>
      <c r="RJD34" s="143"/>
      <c r="RJE34" s="143"/>
      <c r="RJF34" s="143"/>
      <c r="RJG34" s="143"/>
      <c r="RJH34" s="143"/>
      <c r="RJI34" s="143"/>
      <c r="RJJ34" s="143"/>
      <c r="RJK34" s="143"/>
      <c r="RJL34" s="143"/>
      <c r="RJM34" s="143"/>
      <c r="RJN34" s="143"/>
      <c r="RJO34" s="143"/>
      <c r="RJP34" s="143"/>
      <c r="RJQ34" s="143"/>
      <c r="RJR34" s="143"/>
      <c r="RJS34" s="143"/>
      <c r="RJT34" s="143"/>
      <c r="RJU34" s="143"/>
      <c r="RJV34" s="143"/>
      <c r="RJW34" s="143"/>
      <c r="RJX34" s="143"/>
      <c r="RJY34" s="143"/>
      <c r="RJZ34" s="143"/>
      <c r="RKA34" s="143"/>
      <c r="RKB34" s="143"/>
      <c r="RKC34" s="143"/>
      <c r="RKD34" s="143"/>
      <c r="RKE34" s="143"/>
      <c r="RKF34" s="143"/>
      <c r="RKG34" s="143"/>
      <c r="RKH34" s="143"/>
      <c r="RKI34" s="143"/>
      <c r="RKJ34" s="143"/>
      <c r="RKK34" s="143"/>
      <c r="RKL34" s="143"/>
      <c r="RKM34" s="143"/>
      <c r="RKN34" s="143"/>
      <c r="RKO34" s="143"/>
      <c r="RKP34" s="143"/>
      <c r="RKQ34" s="143"/>
      <c r="RKR34" s="143"/>
      <c r="RKS34" s="143"/>
      <c r="RKT34" s="143"/>
      <c r="RKU34" s="143"/>
      <c r="RKV34" s="143"/>
      <c r="RKW34" s="143"/>
      <c r="RKX34" s="143"/>
      <c r="RKY34" s="143"/>
      <c r="RKZ34" s="143"/>
      <c r="RLA34" s="143"/>
      <c r="RLB34" s="143"/>
      <c r="RLC34" s="143"/>
      <c r="RLD34" s="143"/>
      <c r="RLE34" s="143"/>
      <c r="RLF34" s="143"/>
      <c r="RLG34" s="143"/>
      <c r="RLH34" s="143"/>
      <c r="RLI34" s="143"/>
      <c r="RLJ34" s="143"/>
      <c r="RLK34" s="143"/>
      <c r="RLL34" s="143"/>
      <c r="RLM34" s="143"/>
      <c r="RLN34" s="143"/>
      <c r="RLO34" s="143"/>
      <c r="RLP34" s="143"/>
      <c r="RLQ34" s="143"/>
      <c r="RLR34" s="143"/>
      <c r="RLS34" s="143"/>
      <c r="RLT34" s="143"/>
      <c r="RLU34" s="143"/>
      <c r="RLV34" s="143"/>
      <c r="RLW34" s="143"/>
      <c r="RLX34" s="143"/>
      <c r="RLY34" s="143"/>
      <c r="RLZ34" s="143"/>
      <c r="RMA34" s="143"/>
      <c r="RMB34" s="143"/>
      <c r="RMC34" s="143"/>
      <c r="RMD34" s="143"/>
      <c r="RME34" s="143"/>
      <c r="RMF34" s="143"/>
      <c r="RMG34" s="143"/>
      <c r="RMH34" s="143"/>
      <c r="RMI34" s="143"/>
      <c r="RMJ34" s="143"/>
      <c r="RMK34" s="143"/>
      <c r="RML34" s="143"/>
      <c r="RMM34" s="143"/>
      <c r="RMN34" s="143"/>
      <c r="RMO34" s="143"/>
      <c r="RMP34" s="143"/>
      <c r="RMQ34" s="143"/>
      <c r="RMR34" s="143"/>
      <c r="RMS34" s="143"/>
      <c r="RMT34" s="143"/>
      <c r="RMU34" s="143"/>
      <c r="RMV34" s="143"/>
      <c r="RMW34" s="143"/>
      <c r="RMX34" s="143"/>
      <c r="RMY34" s="143"/>
      <c r="RMZ34" s="143"/>
      <c r="RNA34" s="143"/>
      <c r="RNB34" s="143"/>
      <c r="RNC34" s="143"/>
      <c r="RND34" s="143"/>
      <c r="RNE34" s="143"/>
      <c r="RNF34" s="143"/>
      <c r="RNG34" s="143"/>
      <c r="RNH34" s="143"/>
      <c r="RNI34" s="143"/>
      <c r="RNJ34" s="143"/>
      <c r="RNK34" s="143"/>
      <c r="RNL34" s="143"/>
      <c r="RNM34" s="143"/>
      <c r="RNN34" s="143"/>
      <c r="RNO34" s="143"/>
      <c r="RNP34" s="143"/>
      <c r="RNQ34" s="143"/>
      <c r="RNR34" s="143"/>
      <c r="RNS34" s="143"/>
      <c r="RNT34" s="143"/>
      <c r="RNU34" s="143"/>
      <c r="RNV34" s="143"/>
      <c r="RNW34" s="143"/>
      <c r="RNX34" s="143"/>
      <c r="RNY34" s="143"/>
      <c r="RNZ34" s="143"/>
      <c r="ROA34" s="143"/>
      <c r="ROB34" s="143"/>
      <c r="ROC34" s="143"/>
      <c r="ROD34" s="143"/>
      <c r="ROE34" s="143"/>
      <c r="ROF34" s="143"/>
      <c r="ROG34" s="143"/>
      <c r="ROH34" s="143"/>
      <c r="ROI34" s="143"/>
      <c r="ROJ34" s="143"/>
      <c r="ROK34" s="143"/>
      <c r="ROL34" s="143"/>
      <c r="ROM34" s="143"/>
      <c r="RON34" s="143"/>
      <c r="ROO34" s="143"/>
      <c r="ROP34" s="143"/>
      <c r="ROQ34" s="143"/>
      <c r="ROR34" s="143"/>
      <c r="ROS34" s="143"/>
      <c r="ROT34" s="143"/>
      <c r="ROU34" s="143"/>
      <c r="ROV34" s="143"/>
      <c r="ROW34" s="143"/>
      <c r="ROX34" s="143"/>
      <c r="ROY34" s="143"/>
      <c r="ROZ34" s="143"/>
      <c r="RPA34" s="143"/>
      <c r="RPB34" s="143"/>
      <c r="RPC34" s="143"/>
      <c r="RPD34" s="143"/>
      <c r="RPE34" s="143"/>
      <c r="RPF34" s="143"/>
      <c r="RPG34" s="143"/>
      <c r="RPH34" s="143"/>
      <c r="RPI34" s="143"/>
      <c r="RPJ34" s="143"/>
      <c r="RPK34" s="143"/>
      <c r="RPL34" s="143"/>
      <c r="RPM34" s="143"/>
      <c r="RPN34" s="143"/>
      <c r="RPO34" s="143"/>
      <c r="RPP34" s="143"/>
      <c r="RPQ34" s="143"/>
      <c r="RPR34" s="143"/>
      <c r="RPS34" s="143"/>
      <c r="RPT34" s="143"/>
      <c r="RPU34" s="143"/>
      <c r="RPV34" s="143"/>
      <c r="RPW34" s="143"/>
      <c r="RPX34" s="143"/>
      <c r="RPY34" s="143"/>
      <c r="RPZ34" s="143"/>
      <c r="RQA34" s="143"/>
      <c r="RQB34" s="143"/>
      <c r="RQC34" s="143"/>
      <c r="RQD34" s="143"/>
      <c r="RQE34" s="143"/>
      <c r="RQF34" s="143"/>
      <c r="RQG34" s="143"/>
      <c r="RQH34" s="143"/>
      <c r="RQI34" s="143"/>
      <c r="RQJ34" s="143"/>
      <c r="RQK34" s="143"/>
      <c r="RQL34" s="143"/>
      <c r="RQM34" s="143"/>
      <c r="RQN34" s="143"/>
      <c r="RQO34" s="143"/>
      <c r="RQP34" s="143"/>
      <c r="RQQ34" s="143"/>
      <c r="RQR34" s="143"/>
      <c r="RQS34" s="143"/>
      <c r="RQT34" s="143"/>
      <c r="RQU34" s="143"/>
      <c r="RQV34" s="143"/>
      <c r="RQW34" s="143"/>
      <c r="RQX34" s="143"/>
      <c r="RQY34" s="143"/>
      <c r="RQZ34" s="143"/>
      <c r="RRA34" s="143"/>
      <c r="RRB34" s="143"/>
      <c r="RRC34" s="143"/>
      <c r="RRD34" s="143"/>
      <c r="RRE34" s="143"/>
      <c r="RRF34" s="143"/>
      <c r="RRG34" s="143"/>
      <c r="RRH34" s="143"/>
      <c r="RRI34" s="143"/>
      <c r="RRJ34" s="143"/>
      <c r="RRK34" s="143"/>
      <c r="RRL34" s="143"/>
      <c r="RRM34" s="143"/>
      <c r="RRN34" s="143"/>
      <c r="RRO34" s="143"/>
      <c r="RRP34" s="143"/>
      <c r="RRQ34" s="143"/>
      <c r="RRR34" s="143"/>
      <c r="RRS34" s="143"/>
      <c r="RRT34" s="143"/>
      <c r="RRU34" s="143"/>
      <c r="RRV34" s="143"/>
      <c r="RRW34" s="143"/>
      <c r="RRX34" s="143"/>
      <c r="RRY34" s="143"/>
      <c r="RRZ34" s="143"/>
      <c r="RSA34" s="143"/>
      <c r="RSB34" s="143"/>
      <c r="RSC34" s="143"/>
      <c r="RSD34" s="143"/>
      <c r="RSE34" s="143"/>
      <c r="RSF34" s="143"/>
      <c r="RSG34" s="143"/>
      <c r="RSH34" s="143"/>
      <c r="RSI34" s="143"/>
      <c r="RSJ34" s="143"/>
      <c r="RSK34" s="143"/>
      <c r="RSL34" s="143"/>
      <c r="RSM34" s="143"/>
      <c r="RSN34" s="143"/>
      <c r="RSO34" s="143"/>
      <c r="RSP34" s="143"/>
      <c r="RSQ34" s="143"/>
      <c r="RSR34" s="143"/>
      <c r="RSS34" s="143"/>
      <c r="RST34" s="143"/>
      <c r="RSU34" s="143"/>
      <c r="RSV34" s="143"/>
      <c r="RSW34" s="143"/>
      <c r="RSX34" s="143"/>
      <c r="RSY34" s="143"/>
      <c r="RSZ34" s="143"/>
      <c r="RTA34" s="143"/>
      <c r="RTB34" s="143"/>
      <c r="RTC34" s="143"/>
      <c r="RTD34" s="143"/>
      <c r="RTE34" s="143"/>
      <c r="RTF34" s="143"/>
      <c r="RTG34" s="143"/>
      <c r="RTH34" s="143"/>
      <c r="RTI34" s="143"/>
      <c r="RTJ34" s="143"/>
      <c r="RTK34" s="143"/>
      <c r="RTL34" s="143"/>
      <c r="RTM34" s="143"/>
      <c r="RTN34" s="143"/>
      <c r="RTO34" s="143"/>
      <c r="RTP34" s="143"/>
      <c r="RTQ34" s="143"/>
      <c r="RTR34" s="143"/>
      <c r="RTS34" s="143"/>
      <c r="RTT34" s="143"/>
      <c r="RTU34" s="143"/>
      <c r="RTV34" s="143"/>
      <c r="RTW34" s="143"/>
      <c r="RTX34" s="143"/>
      <c r="RTY34" s="143"/>
      <c r="RTZ34" s="143"/>
      <c r="RUA34" s="143"/>
      <c r="RUB34" s="143"/>
      <c r="RUC34" s="143"/>
      <c r="RUD34" s="143"/>
      <c r="RUE34" s="143"/>
      <c r="RUF34" s="143"/>
      <c r="RUG34" s="143"/>
      <c r="RUH34" s="143"/>
      <c r="RUI34" s="143"/>
      <c r="RUJ34" s="143"/>
      <c r="RUK34" s="143"/>
      <c r="RUL34" s="143"/>
      <c r="RUM34" s="143"/>
      <c r="RUN34" s="143"/>
      <c r="RUO34" s="143"/>
      <c r="RUP34" s="143"/>
      <c r="RUQ34" s="143"/>
      <c r="RUR34" s="143"/>
      <c r="RUS34" s="143"/>
      <c r="RUT34" s="143"/>
      <c r="RUU34" s="143"/>
      <c r="RUV34" s="143"/>
      <c r="RUW34" s="143"/>
      <c r="RUX34" s="143"/>
      <c r="RUY34" s="143"/>
      <c r="RUZ34" s="143"/>
      <c r="RVA34" s="143"/>
      <c r="RVB34" s="143"/>
      <c r="RVC34" s="143"/>
      <c r="RVD34" s="143"/>
      <c r="RVE34" s="143"/>
      <c r="RVF34" s="143"/>
      <c r="RVG34" s="143"/>
      <c r="RVH34" s="143"/>
      <c r="RVI34" s="143"/>
      <c r="RVJ34" s="143"/>
      <c r="RVK34" s="143"/>
      <c r="RVL34" s="143"/>
      <c r="RVM34" s="143"/>
      <c r="RVN34" s="143"/>
      <c r="RVO34" s="143"/>
      <c r="RVP34" s="143"/>
      <c r="RVQ34" s="143"/>
      <c r="RVR34" s="143"/>
      <c r="RVS34" s="143"/>
      <c r="RVT34" s="143"/>
      <c r="RVU34" s="143"/>
      <c r="RVV34" s="143"/>
      <c r="RVW34" s="143"/>
      <c r="RVX34" s="143"/>
      <c r="RVY34" s="143"/>
      <c r="RVZ34" s="143"/>
      <c r="RWA34" s="143"/>
      <c r="RWB34" s="143"/>
      <c r="RWC34" s="143"/>
      <c r="RWD34" s="143"/>
      <c r="RWE34" s="143"/>
      <c r="RWF34" s="143"/>
      <c r="RWG34" s="143"/>
      <c r="RWH34" s="143"/>
      <c r="RWI34" s="143"/>
      <c r="RWJ34" s="143"/>
      <c r="RWK34" s="143"/>
      <c r="RWL34" s="143"/>
      <c r="RWM34" s="143"/>
      <c r="RWN34" s="143"/>
      <c r="RWO34" s="143"/>
      <c r="RWP34" s="143"/>
      <c r="RWQ34" s="143"/>
      <c r="RWR34" s="143"/>
      <c r="RWS34" s="143"/>
      <c r="RWT34" s="143"/>
      <c r="RWU34" s="143"/>
      <c r="RWV34" s="143"/>
      <c r="RWW34" s="143"/>
      <c r="RWX34" s="143"/>
      <c r="RWY34" s="143"/>
      <c r="RWZ34" s="143"/>
      <c r="RXA34" s="143"/>
      <c r="RXB34" s="143"/>
      <c r="RXC34" s="143"/>
      <c r="RXD34" s="143"/>
      <c r="RXE34" s="143"/>
      <c r="RXF34" s="143"/>
      <c r="RXG34" s="143"/>
      <c r="RXH34" s="143"/>
      <c r="RXI34" s="143"/>
      <c r="RXJ34" s="143"/>
      <c r="RXK34" s="143"/>
      <c r="RXL34" s="143"/>
      <c r="RXM34" s="143"/>
      <c r="RXN34" s="143"/>
      <c r="RXO34" s="143"/>
      <c r="RXP34" s="143"/>
      <c r="RXQ34" s="143"/>
      <c r="RXR34" s="143"/>
      <c r="RXS34" s="143"/>
      <c r="RXT34" s="143"/>
      <c r="RXU34" s="143"/>
      <c r="RXV34" s="143"/>
      <c r="RXW34" s="143"/>
      <c r="RXX34" s="143"/>
      <c r="RXY34" s="143"/>
      <c r="RXZ34" s="143"/>
      <c r="RYA34" s="143"/>
      <c r="RYB34" s="143"/>
      <c r="RYC34" s="143"/>
      <c r="RYD34" s="143"/>
      <c r="RYE34" s="143"/>
      <c r="RYF34" s="143"/>
      <c r="RYG34" s="143"/>
      <c r="RYH34" s="143"/>
      <c r="RYI34" s="143"/>
      <c r="RYJ34" s="143"/>
      <c r="RYK34" s="143"/>
      <c r="RYL34" s="143"/>
      <c r="RYM34" s="143"/>
      <c r="RYN34" s="143"/>
      <c r="RYO34" s="143"/>
      <c r="RYP34" s="143"/>
      <c r="RYQ34" s="143"/>
      <c r="RYR34" s="143"/>
      <c r="RYS34" s="143"/>
      <c r="RYT34" s="143"/>
      <c r="RYU34" s="143"/>
      <c r="RYV34" s="143"/>
      <c r="RYW34" s="143"/>
      <c r="RYX34" s="143"/>
      <c r="RYY34" s="143"/>
      <c r="RYZ34" s="143"/>
      <c r="RZA34" s="143"/>
      <c r="RZB34" s="143"/>
      <c r="RZC34" s="143"/>
      <c r="RZD34" s="143"/>
      <c r="RZE34" s="143"/>
      <c r="RZF34" s="143"/>
      <c r="RZG34" s="143"/>
      <c r="RZH34" s="143"/>
      <c r="RZI34" s="143"/>
      <c r="RZJ34" s="143"/>
      <c r="RZK34" s="143"/>
      <c r="RZL34" s="143"/>
      <c r="RZM34" s="143"/>
      <c r="RZN34" s="143"/>
      <c r="RZO34" s="143"/>
      <c r="RZP34" s="143"/>
      <c r="RZQ34" s="143"/>
      <c r="RZR34" s="143"/>
      <c r="RZS34" s="143"/>
      <c r="RZT34" s="143"/>
      <c r="RZU34" s="143"/>
      <c r="RZV34" s="143"/>
      <c r="RZW34" s="143"/>
      <c r="RZX34" s="143"/>
      <c r="RZY34" s="143"/>
      <c r="RZZ34" s="143"/>
      <c r="SAA34" s="143"/>
      <c r="SAB34" s="143"/>
      <c r="SAC34" s="143"/>
      <c r="SAD34" s="143"/>
      <c r="SAE34" s="143"/>
      <c r="SAF34" s="143"/>
      <c r="SAG34" s="143"/>
      <c r="SAH34" s="143"/>
      <c r="SAI34" s="143"/>
      <c r="SAJ34" s="143"/>
      <c r="SAK34" s="143"/>
      <c r="SAL34" s="143"/>
      <c r="SAM34" s="143"/>
      <c r="SAN34" s="143"/>
      <c r="SAO34" s="143"/>
      <c r="SAP34" s="143"/>
      <c r="SAQ34" s="143"/>
      <c r="SAR34" s="143"/>
      <c r="SAS34" s="143"/>
      <c r="SAT34" s="143"/>
      <c r="SAU34" s="143"/>
      <c r="SAV34" s="143"/>
      <c r="SAW34" s="143"/>
      <c r="SAX34" s="143"/>
      <c r="SAY34" s="143"/>
      <c r="SAZ34" s="143"/>
      <c r="SBA34" s="143"/>
      <c r="SBB34" s="143"/>
      <c r="SBC34" s="143"/>
      <c r="SBD34" s="143"/>
      <c r="SBE34" s="143"/>
      <c r="SBF34" s="143"/>
      <c r="SBG34" s="143"/>
      <c r="SBH34" s="143"/>
      <c r="SBI34" s="143"/>
      <c r="SBJ34" s="143"/>
      <c r="SBK34" s="143"/>
      <c r="SBL34" s="143"/>
      <c r="SBM34" s="143"/>
      <c r="SBN34" s="143"/>
      <c r="SBO34" s="143"/>
      <c r="SBP34" s="143"/>
      <c r="SBQ34" s="143"/>
      <c r="SBR34" s="143"/>
      <c r="SBS34" s="143"/>
      <c r="SBT34" s="143"/>
      <c r="SBU34" s="143"/>
      <c r="SBV34" s="143"/>
      <c r="SBW34" s="143"/>
      <c r="SBX34" s="143"/>
      <c r="SBY34" s="143"/>
      <c r="SBZ34" s="143"/>
      <c r="SCA34" s="143"/>
      <c r="SCB34" s="143"/>
      <c r="SCC34" s="143"/>
      <c r="SCD34" s="143"/>
      <c r="SCE34" s="143"/>
      <c r="SCF34" s="143"/>
      <c r="SCG34" s="143"/>
      <c r="SCH34" s="143"/>
      <c r="SCI34" s="143"/>
      <c r="SCJ34" s="143"/>
      <c r="SCK34" s="143"/>
      <c r="SCL34" s="143"/>
      <c r="SCM34" s="143"/>
      <c r="SCN34" s="143"/>
      <c r="SCO34" s="143"/>
      <c r="SCP34" s="143"/>
      <c r="SCQ34" s="143"/>
      <c r="SCR34" s="143"/>
      <c r="SCS34" s="143"/>
      <c r="SCT34" s="143"/>
      <c r="SCU34" s="143"/>
      <c r="SCV34" s="143"/>
      <c r="SCW34" s="143"/>
      <c r="SCX34" s="143"/>
      <c r="SCY34" s="143"/>
      <c r="SCZ34" s="143"/>
      <c r="SDA34" s="143"/>
      <c r="SDB34" s="143"/>
      <c r="SDC34" s="143"/>
      <c r="SDD34" s="143"/>
      <c r="SDE34" s="143"/>
      <c r="SDF34" s="143"/>
      <c r="SDG34" s="143"/>
      <c r="SDH34" s="143"/>
      <c r="SDI34" s="143"/>
      <c r="SDJ34" s="143"/>
      <c r="SDK34" s="143"/>
      <c r="SDL34" s="143"/>
      <c r="SDM34" s="143"/>
      <c r="SDN34" s="143"/>
      <c r="SDO34" s="143"/>
      <c r="SDP34" s="143"/>
      <c r="SDQ34" s="143"/>
      <c r="SDR34" s="143"/>
      <c r="SDS34" s="143"/>
      <c r="SDT34" s="143"/>
      <c r="SDU34" s="143"/>
      <c r="SDV34" s="143"/>
      <c r="SDW34" s="143"/>
      <c r="SDX34" s="143"/>
      <c r="SDY34" s="143"/>
      <c r="SDZ34" s="143"/>
      <c r="SEA34" s="143"/>
      <c r="SEB34" s="143"/>
      <c r="SEC34" s="143"/>
      <c r="SED34" s="143"/>
      <c r="SEE34" s="143"/>
      <c r="SEF34" s="143"/>
      <c r="SEG34" s="143"/>
      <c r="SEH34" s="143"/>
      <c r="SEI34" s="143"/>
      <c r="SEJ34" s="143"/>
      <c r="SEK34" s="143"/>
      <c r="SEL34" s="143"/>
      <c r="SEM34" s="143"/>
      <c r="SEN34" s="143"/>
      <c r="SEO34" s="143"/>
      <c r="SEP34" s="143"/>
      <c r="SEQ34" s="143"/>
      <c r="SER34" s="143"/>
      <c r="SES34" s="143"/>
      <c r="SET34" s="143"/>
      <c r="SEU34" s="143"/>
      <c r="SEV34" s="143"/>
      <c r="SEW34" s="143"/>
      <c r="SEX34" s="143"/>
      <c r="SEY34" s="143"/>
      <c r="SEZ34" s="143"/>
      <c r="SFA34" s="143"/>
      <c r="SFB34" s="143"/>
      <c r="SFC34" s="143"/>
      <c r="SFD34" s="143"/>
      <c r="SFE34" s="143"/>
      <c r="SFF34" s="143"/>
      <c r="SFG34" s="143"/>
      <c r="SFH34" s="143"/>
      <c r="SFI34" s="143"/>
      <c r="SFJ34" s="143"/>
      <c r="SFK34" s="143"/>
      <c r="SFL34" s="143"/>
      <c r="SFM34" s="143"/>
      <c r="SFN34" s="143"/>
      <c r="SFO34" s="143"/>
      <c r="SFP34" s="143"/>
      <c r="SFQ34" s="143"/>
      <c r="SFR34" s="143"/>
      <c r="SFS34" s="143"/>
      <c r="SFT34" s="143"/>
      <c r="SFU34" s="143"/>
      <c r="SFV34" s="143"/>
      <c r="SFW34" s="143"/>
      <c r="SFX34" s="143"/>
      <c r="SFY34" s="143"/>
      <c r="SFZ34" s="143"/>
      <c r="SGA34" s="143"/>
      <c r="SGB34" s="143"/>
      <c r="SGC34" s="143"/>
      <c r="SGD34" s="143"/>
      <c r="SGE34" s="143"/>
      <c r="SGF34" s="143"/>
      <c r="SGG34" s="143"/>
      <c r="SGH34" s="143"/>
      <c r="SGI34" s="143"/>
      <c r="SGJ34" s="143"/>
      <c r="SGK34" s="143"/>
      <c r="SGL34" s="143"/>
      <c r="SGM34" s="143"/>
      <c r="SGN34" s="143"/>
      <c r="SGO34" s="143"/>
      <c r="SGP34" s="143"/>
      <c r="SGQ34" s="143"/>
      <c r="SGR34" s="143"/>
      <c r="SGS34" s="143"/>
      <c r="SGT34" s="143"/>
      <c r="SGU34" s="143"/>
      <c r="SGV34" s="143"/>
      <c r="SGW34" s="143"/>
      <c r="SGX34" s="143"/>
      <c r="SGY34" s="143"/>
      <c r="SGZ34" s="143"/>
      <c r="SHA34" s="143"/>
      <c r="SHB34" s="143"/>
      <c r="SHC34" s="143"/>
      <c r="SHD34" s="143"/>
      <c r="SHE34" s="143"/>
      <c r="SHF34" s="143"/>
      <c r="SHG34" s="143"/>
      <c r="SHH34" s="143"/>
      <c r="SHI34" s="143"/>
      <c r="SHJ34" s="143"/>
      <c r="SHK34" s="143"/>
      <c r="SHL34" s="143"/>
      <c r="SHM34" s="143"/>
      <c r="SHN34" s="143"/>
      <c r="SHO34" s="143"/>
      <c r="SHP34" s="143"/>
      <c r="SHQ34" s="143"/>
      <c r="SHR34" s="143"/>
      <c r="SHS34" s="143"/>
      <c r="SHT34" s="143"/>
      <c r="SHU34" s="143"/>
      <c r="SHV34" s="143"/>
      <c r="SHW34" s="143"/>
      <c r="SHX34" s="143"/>
      <c r="SHY34" s="143"/>
      <c r="SHZ34" s="143"/>
      <c r="SIA34" s="143"/>
      <c r="SIB34" s="143"/>
      <c r="SIC34" s="143"/>
      <c r="SID34" s="143"/>
      <c r="SIE34" s="143"/>
      <c r="SIF34" s="143"/>
      <c r="SIG34" s="143"/>
      <c r="SIH34" s="143"/>
      <c r="SII34" s="143"/>
      <c r="SIJ34" s="143"/>
      <c r="SIK34" s="143"/>
      <c r="SIL34" s="143"/>
      <c r="SIM34" s="143"/>
      <c r="SIN34" s="143"/>
      <c r="SIO34" s="143"/>
      <c r="SIP34" s="143"/>
      <c r="SIQ34" s="143"/>
      <c r="SIR34" s="143"/>
      <c r="SIS34" s="143"/>
      <c r="SIT34" s="143"/>
      <c r="SIU34" s="143"/>
      <c r="SIV34" s="143"/>
      <c r="SIW34" s="143"/>
      <c r="SIX34" s="143"/>
      <c r="SIY34" s="143"/>
      <c r="SIZ34" s="143"/>
      <c r="SJA34" s="143"/>
      <c r="SJB34" s="143"/>
      <c r="SJC34" s="143"/>
      <c r="SJD34" s="143"/>
      <c r="SJE34" s="143"/>
      <c r="SJF34" s="143"/>
      <c r="SJG34" s="143"/>
      <c r="SJH34" s="143"/>
      <c r="SJI34" s="143"/>
      <c r="SJJ34" s="143"/>
      <c r="SJK34" s="143"/>
      <c r="SJL34" s="143"/>
      <c r="SJM34" s="143"/>
      <c r="SJN34" s="143"/>
      <c r="SJO34" s="143"/>
      <c r="SJP34" s="143"/>
      <c r="SJQ34" s="143"/>
      <c r="SJR34" s="143"/>
      <c r="SJS34" s="143"/>
      <c r="SJT34" s="143"/>
      <c r="SJU34" s="143"/>
      <c r="SJV34" s="143"/>
      <c r="SJW34" s="143"/>
      <c r="SJX34" s="143"/>
      <c r="SJY34" s="143"/>
      <c r="SJZ34" s="143"/>
      <c r="SKA34" s="143"/>
      <c r="SKB34" s="143"/>
      <c r="SKC34" s="143"/>
      <c r="SKD34" s="143"/>
      <c r="SKE34" s="143"/>
      <c r="SKF34" s="143"/>
      <c r="SKG34" s="143"/>
      <c r="SKH34" s="143"/>
      <c r="SKI34" s="143"/>
      <c r="SKJ34" s="143"/>
      <c r="SKK34" s="143"/>
      <c r="SKL34" s="143"/>
      <c r="SKM34" s="143"/>
      <c r="SKN34" s="143"/>
      <c r="SKO34" s="143"/>
      <c r="SKP34" s="143"/>
      <c r="SKQ34" s="143"/>
      <c r="SKR34" s="143"/>
      <c r="SKS34" s="143"/>
      <c r="SKT34" s="143"/>
      <c r="SKU34" s="143"/>
      <c r="SKV34" s="143"/>
      <c r="SKW34" s="143"/>
      <c r="SKX34" s="143"/>
      <c r="SKY34" s="143"/>
      <c r="SKZ34" s="143"/>
      <c r="SLA34" s="143"/>
      <c r="SLB34" s="143"/>
      <c r="SLC34" s="143"/>
      <c r="SLD34" s="143"/>
      <c r="SLE34" s="143"/>
      <c r="SLF34" s="143"/>
      <c r="SLG34" s="143"/>
      <c r="SLH34" s="143"/>
      <c r="SLI34" s="143"/>
      <c r="SLJ34" s="143"/>
      <c r="SLK34" s="143"/>
      <c r="SLL34" s="143"/>
      <c r="SLM34" s="143"/>
      <c r="SLN34" s="143"/>
      <c r="SLO34" s="143"/>
      <c r="SLP34" s="143"/>
      <c r="SLQ34" s="143"/>
      <c r="SLR34" s="143"/>
      <c r="SLS34" s="143"/>
      <c r="SLT34" s="143"/>
      <c r="SLU34" s="143"/>
      <c r="SLV34" s="143"/>
      <c r="SLW34" s="143"/>
      <c r="SLX34" s="143"/>
      <c r="SLY34" s="143"/>
      <c r="SLZ34" s="143"/>
      <c r="SMA34" s="143"/>
      <c r="SMB34" s="143"/>
      <c r="SMC34" s="143"/>
      <c r="SMD34" s="143"/>
      <c r="SME34" s="143"/>
      <c r="SMF34" s="143"/>
      <c r="SMG34" s="143"/>
      <c r="SMH34" s="143"/>
      <c r="SMI34" s="143"/>
      <c r="SMJ34" s="143"/>
      <c r="SMK34" s="143"/>
      <c r="SML34" s="143"/>
      <c r="SMM34" s="143"/>
      <c r="SMN34" s="143"/>
      <c r="SMO34" s="143"/>
      <c r="SMP34" s="143"/>
      <c r="SMQ34" s="143"/>
      <c r="SMR34" s="143"/>
      <c r="SMS34" s="143"/>
      <c r="SMT34" s="143"/>
      <c r="SMU34" s="143"/>
      <c r="SMV34" s="143"/>
      <c r="SMW34" s="143"/>
      <c r="SMX34" s="143"/>
      <c r="SMY34" s="143"/>
      <c r="SMZ34" s="143"/>
      <c r="SNA34" s="143"/>
      <c r="SNB34" s="143"/>
      <c r="SNC34" s="143"/>
      <c r="SND34" s="143"/>
      <c r="SNE34" s="143"/>
      <c r="SNF34" s="143"/>
      <c r="SNG34" s="143"/>
      <c r="SNH34" s="143"/>
      <c r="SNI34" s="143"/>
      <c r="SNJ34" s="143"/>
      <c r="SNK34" s="143"/>
      <c r="SNL34" s="143"/>
      <c r="SNM34" s="143"/>
      <c r="SNN34" s="143"/>
      <c r="SNO34" s="143"/>
      <c r="SNP34" s="143"/>
      <c r="SNQ34" s="143"/>
      <c r="SNR34" s="143"/>
      <c r="SNS34" s="143"/>
      <c r="SNT34" s="143"/>
      <c r="SNU34" s="143"/>
      <c r="SNV34" s="143"/>
      <c r="SNW34" s="143"/>
      <c r="SNX34" s="143"/>
      <c r="SNY34" s="143"/>
      <c r="SNZ34" s="143"/>
      <c r="SOA34" s="143"/>
      <c r="SOB34" s="143"/>
      <c r="SOC34" s="143"/>
      <c r="SOD34" s="143"/>
      <c r="SOE34" s="143"/>
      <c r="SOF34" s="143"/>
      <c r="SOG34" s="143"/>
      <c r="SOH34" s="143"/>
      <c r="SOI34" s="143"/>
      <c r="SOJ34" s="143"/>
      <c r="SOK34" s="143"/>
      <c r="SOL34" s="143"/>
      <c r="SOM34" s="143"/>
      <c r="SON34" s="143"/>
      <c r="SOO34" s="143"/>
      <c r="SOP34" s="143"/>
      <c r="SOQ34" s="143"/>
      <c r="SOR34" s="143"/>
      <c r="SOS34" s="143"/>
      <c r="SOT34" s="143"/>
      <c r="SOU34" s="143"/>
      <c r="SOV34" s="143"/>
      <c r="SOW34" s="143"/>
      <c r="SOX34" s="143"/>
      <c r="SOY34" s="143"/>
      <c r="SOZ34" s="143"/>
      <c r="SPA34" s="143"/>
      <c r="SPB34" s="143"/>
      <c r="SPC34" s="143"/>
      <c r="SPD34" s="143"/>
      <c r="SPE34" s="143"/>
      <c r="SPF34" s="143"/>
      <c r="SPG34" s="143"/>
      <c r="SPH34" s="143"/>
      <c r="SPI34" s="143"/>
      <c r="SPJ34" s="143"/>
      <c r="SPK34" s="143"/>
      <c r="SPL34" s="143"/>
      <c r="SPM34" s="143"/>
      <c r="SPN34" s="143"/>
      <c r="SPO34" s="143"/>
      <c r="SPP34" s="143"/>
      <c r="SPQ34" s="143"/>
      <c r="SPR34" s="143"/>
      <c r="SPS34" s="143"/>
      <c r="SPT34" s="143"/>
      <c r="SPU34" s="143"/>
      <c r="SPV34" s="143"/>
      <c r="SPW34" s="143"/>
      <c r="SPX34" s="143"/>
      <c r="SPY34" s="143"/>
      <c r="SPZ34" s="143"/>
      <c r="SQA34" s="143"/>
      <c r="SQB34" s="143"/>
      <c r="SQC34" s="143"/>
      <c r="SQD34" s="143"/>
      <c r="SQE34" s="143"/>
      <c r="SQF34" s="143"/>
      <c r="SQG34" s="143"/>
      <c r="SQH34" s="143"/>
      <c r="SQI34" s="143"/>
      <c r="SQJ34" s="143"/>
      <c r="SQK34" s="143"/>
      <c r="SQL34" s="143"/>
      <c r="SQM34" s="143"/>
      <c r="SQN34" s="143"/>
      <c r="SQO34" s="143"/>
      <c r="SQP34" s="143"/>
      <c r="SQQ34" s="143"/>
      <c r="SQR34" s="143"/>
      <c r="SQS34" s="143"/>
      <c r="SQT34" s="143"/>
      <c r="SQU34" s="143"/>
      <c r="SQV34" s="143"/>
      <c r="SQW34" s="143"/>
      <c r="SQX34" s="143"/>
      <c r="SQY34" s="143"/>
      <c r="SQZ34" s="143"/>
      <c r="SRA34" s="143"/>
      <c r="SRB34" s="143"/>
      <c r="SRC34" s="143"/>
      <c r="SRD34" s="143"/>
      <c r="SRE34" s="143"/>
      <c r="SRF34" s="143"/>
      <c r="SRG34" s="143"/>
      <c r="SRH34" s="143"/>
      <c r="SRI34" s="143"/>
      <c r="SRJ34" s="143"/>
      <c r="SRK34" s="143"/>
      <c r="SRL34" s="143"/>
      <c r="SRM34" s="143"/>
      <c r="SRN34" s="143"/>
      <c r="SRO34" s="143"/>
      <c r="SRP34" s="143"/>
      <c r="SRQ34" s="143"/>
      <c r="SRR34" s="143"/>
      <c r="SRS34" s="143"/>
      <c r="SRT34" s="143"/>
      <c r="SRU34" s="143"/>
      <c r="SRV34" s="143"/>
      <c r="SRW34" s="143"/>
      <c r="SRX34" s="143"/>
      <c r="SRY34" s="143"/>
      <c r="SRZ34" s="143"/>
      <c r="SSA34" s="143"/>
      <c r="SSB34" s="143"/>
      <c r="SSC34" s="143"/>
      <c r="SSD34" s="143"/>
      <c r="SSE34" s="143"/>
      <c r="SSF34" s="143"/>
      <c r="SSG34" s="143"/>
      <c r="SSH34" s="143"/>
      <c r="SSI34" s="143"/>
      <c r="SSJ34" s="143"/>
      <c r="SSK34" s="143"/>
      <c r="SSL34" s="143"/>
      <c r="SSM34" s="143"/>
      <c r="SSN34" s="143"/>
      <c r="SSO34" s="143"/>
      <c r="SSP34" s="143"/>
      <c r="SSQ34" s="143"/>
      <c r="SSR34" s="143"/>
      <c r="SSS34" s="143"/>
      <c r="SST34" s="143"/>
      <c r="SSU34" s="143"/>
      <c r="SSV34" s="143"/>
      <c r="SSW34" s="143"/>
      <c r="SSX34" s="143"/>
      <c r="SSY34" s="143"/>
      <c r="SSZ34" s="143"/>
      <c r="STA34" s="143"/>
      <c r="STB34" s="143"/>
      <c r="STC34" s="143"/>
      <c r="STD34" s="143"/>
      <c r="STE34" s="143"/>
      <c r="STF34" s="143"/>
      <c r="STG34" s="143"/>
      <c r="STH34" s="143"/>
      <c r="STI34" s="143"/>
      <c r="STJ34" s="143"/>
      <c r="STK34" s="143"/>
      <c r="STL34" s="143"/>
      <c r="STM34" s="143"/>
      <c r="STN34" s="143"/>
      <c r="STO34" s="143"/>
      <c r="STP34" s="143"/>
      <c r="STQ34" s="143"/>
      <c r="STR34" s="143"/>
      <c r="STS34" s="143"/>
      <c r="STT34" s="143"/>
      <c r="STU34" s="143"/>
      <c r="STV34" s="143"/>
      <c r="STW34" s="143"/>
      <c r="STX34" s="143"/>
      <c r="STY34" s="143"/>
      <c r="STZ34" s="143"/>
      <c r="SUA34" s="143"/>
      <c r="SUB34" s="143"/>
      <c r="SUC34" s="143"/>
      <c r="SUD34" s="143"/>
      <c r="SUE34" s="143"/>
      <c r="SUF34" s="143"/>
      <c r="SUG34" s="143"/>
      <c r="SUH34" s="143"/>
      <c r="SUI34" s="143"/>
      <c r="SUJ34" s="143"/>
      <c r="SUK34" s="143"/>
      <c r="SUL34" s="143"/>
      <c r="SUM34" s="143"/>
      <c r="SUN34" s="143"/>
      <c r="SUO34" s="143"/>
      <c r="SUP34" s="143"/>
      <c r="SUQ34" s="143"/>
      <c r="SUR34" s="143"/>
      <c r="SUS34" s="143"/>
      <c r="SUT34" s="143"/>
      <c r="SUU34" s="143"/>
      <c r="SUV34" s="143"/>
      <c r="SUW34" s="143"/>
      <c r="SUX34" s="143"/>
      <c r="SUY34" s="143"/>
      <c r="SUZ34" s="143"/>
      <c r="SVA34" s="143"/>
      <c r="SVB34" s="143"/>
      <c r="SVC34" s="143"/>
      <c r="SVD34" s="143"/>
      <c r="SVE34" s="143"/>
      <c r="SVF34" s="143"/>
      <c r="SVG34" s="143"/>
      <c r="SVH34" s="143"/>
      <c r="SVI34" s="143"/>
      <c r="SVJ34" s="143"/>
      <c r="SVK34" s="143"/>
      <c r="SVL34" s="143"/>
      <c r="SVM34" s="143"/>
      <c r="SVN34" s="143"/>
      <c r="SVO34" s="143"/>
      <c r="SVP34" s="143"/>
      <c r="SVQ34" s="143"/>
      <c r="SVR34" s="143"/>
      <c r="SVS34" s="143"/>
      <c r="SVT34" s="143"/>
      <c r="SVU34" s="143"/>
      <c r="SVV34" s="143"/>
      <c r="SVW34" s="143"/>
      <c r="SVX34" s="143"/>
      <c r="SVY34" s="143"/>
      <c r="SVZ34" s="143"/>
      <c r="SWA34" s="143"/>
      <c r="SWB34" s="143"/>
      <c r="SWC34" s="143"/>
      <c r="SWD34" s="143"/>
      <c r="SWE34" s="143"/>
      <c r="SWF34" s="143"/>
      <c r="SWG34" s="143"/>
      <c r="SWH34" s="143"/>
      <c r="SWI34" s="143"/>
      <c r="SWJ34" s="143"/>
      <c r="SWK34" s="143"/>
      <c r="SWL34" s="143"/>
      <c r="SWM34" s="143"/>
      <c r="SWN34" s="143"/>
      <c r="SWO34" s="143"/>
      <c r="SWP34" s="143"/>
      <c r="SWQ34" s="143"/>
      <c r="SWR34" s="143"/>
      <c r="SWS34" s="143"/>
      <c r="SWT34" s="143"/>
      <c r="SWU34" s="143"/>
      <c r="SWV34" s="143"/>
      <c r="SWW34" s="143"/>
      <c r="SWX34" s="143"/>
      <c r="SWY34" s="143"/>
      <c r="SWZ34" s="143"/>
      <c r="SXA34" s="143"/>
      <c r="SXB34" s="143"/>
      <c r="SXC34" s="143"/>
      <c r="SXD34" s="143"/>
      <c r="SXE34" s="143"/>
      <c r="SXF34" s="143"/>
      <c r="SXG34" s="143"/>
      <c r="SXH34" s="143"/>
      <c r="SXI34" s="143"/>
      <c r="SXJ34" s="143"/>
      <c r="SXK34" s="143"/>
      <c r="SXL34" s="143"/>
      <c r="SXM34" s="143"/>
      <c r="SXN34" s="143"/>
      <c r="SXO34" s="143"/>
      <c r="SXP34" s="143"/>
      <c r="SXQ34" s="143"/>
      <c r="SXR34" s="143"/>
      <c r="SXS34" s="143"/>
      <c r="SXT34" s="143"/>
      <c r="SXU34" s="143"/>
      <c r="SXV34" s="143"/>
      <c r="SXW34" s="143"/>
      <c r="SXX34" s="143"/>
      <c r="SXY34" s="143"/>
      <c r="SXZ34" s="143"/>
      <c r="SYA34" s="143"/>
      <c r="SYB34" s="143"/>
      <c r="SYC34" s="143"/>
      <c r="SYD34" s="143"/>
      <c r="SYE34" s="143"/>
      <c r="SYF34" s="143"/>
      <c r="SYG34" s="143"/>
      <c r="SYH34" s="143"/>
      <c r="SYI34" s="143"/>
      <c r="SYJ34" s="143"/>
      <c r="SYK34" s="143"/>
      <c r="SYL34" s="143"/>
      <c r="SYM34" s="143"/>
      <c r="SYN34" s="143"/>
      <c r="SYO34" s="143"/>
      <c r="SYP34" s="143"/>
      <c r="SYQ34" s="143"/>
      <c r="SYR34" s="143"/>
      <c r="SYS34" s="143"/>
      <c r="SYT34" s="143"/>
      <c r="SYU34" s="143"/>
      <c r="SYV34" s="143"/>
      <c r="SYW34" s="143"/>
      <c r="SYX34" s="143"/>
      <c r="SYY34" s="143"/>
      <c r="SYZ34" s="143"/>
      <c r="SZA34" s="143"/>
      <c r="SZB34" s="143"/>
      <c r="SZC34" s="143"/>
      <c r="SZD34" s="143"/>
      <c r="SZE34" s="143"/>
      <c r="SZF34" s="143"/>
      <c r="SZG34" s="143"/>
      <c r="SZH34" s="143"/>
      <c r="SZI34" s="143"/>
      <c r="SZJ34" s="143"/>
      <c r="SZK34" s="143"/>
      <c r="SZL34" s="143"/>
      <c r="SZM34" s="143"/>
      <c r="SZN34" s="143"/>
      <c r="SZO34" s="143"/>
      <c r="SZP34" s="143"/>
      <c r="SZQ34" s="143"/>
      <c r="SZR34" s="143"/>
      <c r="SZS34" s="143"/>
      <c r="SZT34" s="143"/>
      <c r="SZU34" s="143"/>
      <c r="SZV34" s="143"/>
      <c r="SZW34" s="143"/>
      <c r="SZX34" s="143"/>
      <c r="SZY34" s="143"/>
      <c r="SZZ34" s="143"/>
      <c r="TAA34" s="143"/>
      <c r="TAB34" s="143"/>
      <c r="TAC34" s="143"/>
      <c r="TAD34" s="143"/>
      <c r="TAE34" s="143"/>
      <c r="TAF34" s="143"/>
      <c r="TAG34" s="143"/>
      <c r="TAH34" s="143"/>
      <c r="TAI34" s="143"/>
      <c r="TAJ34" s="143"/>
      <c r="TAK34" s="143"/>
      <c r="TAL34" s="143"/>
      <c r="TAM34" s="143"/>
      <c r="TAN34" s="143"/>
      <c r="TAO34" s="143"/>
      <c r="TAP34" s="143"/>
      <c r="TAQ34" s="143"/>
      <c r="TAR34" s="143"/>
      <c r="TAS34" s="143"/>
      <c r="TAT34" s="143"/>
      <c r="TAU34" s="143"/>
      <c r="TAV34" s="143"/>
      <c r="TAW34" s="143"/>
      <c r="TAX34" s="143"/>
      <c r="TAY34" s="143"/>
      <c r="TAZ34" s="143"/>
      <c r="TBA34" s="143"/>
      <c r="TBB34" s="143"/>
      <c r="TBC34" s="143"/>
      <c r="TBD34" s="143"/>
      <c r="TBE34" s="143"/>
      <c r="TBF34" s="143"/>
      <c r="TBG34" s="143"/>
      <c r="TBH34" s="143"/>
      <c r="TBI34" s="143"/>
      <c r="TBJ34" s="143"/>
      <c r="TBK34" s="143"/>
      <c r="TBL34" s="143"/>
      <c r="TBM34" s="143"/>
      <c r="TBN34" s="143"/>
      <c r="TBO34" s="143"/>
      <c r="TBP34" s="143"/>
      <c r="TBQ34" s="143"/>
      <c r="TBR34" s="143"/>
      <c r="TBS34" s="143"/>
      <c r="TBT34" s="143"/>
      <c r="TBU34" s="143"/>
      <c r="TBV34" s="143"/>
      <c r="TBW34" s="143"/>
      <c r="TBX34" s="143"/>
      <c r="TBY34" s="143"/>
      <c r="TBZ34" s="143"/>
      <c r="TCA34" s="143"/>
      <c r="TCB34" s="143"/>
      <c r="TCC34" s="143"/>
      <c r="TCD34" s="143"/>
      <c r="TCE34" s="143"/>
      <c r="TCF34" s="143"/>
      <c r="TCG34" s="143"/>
      <c r="TCH34" s="143"/>
      <c r="TCI34" s="143"/>
      <c r="TCJ34" s="143"/>
      <c r="TCK34" s="143"/>
      <c r="TCL34" s="143"/>
      <c r="TCM34" s="143"/>
      <c r="TCN34" s="143"/>
      <c r="TCO34" s="143"/>
      <c r="TCP34" s="143"/>
      <c r="TCQ34" s="143"/>
      <c r="TCR34" s="143"/>
      <c r="TCS34" s="143"/>
      <c r="TCT34" s="143"/>
      <c r="TCU34" s="143"/>
      <c r="TCV34" s="143"/>
      <c r="TCW34" s="143"/>
      <c r="TCX34" s="143"/>
      <c r="TCY34" s="143"/>
      <c r="TCZ34" s="143"/>
      <c r="TDA34" s="143"/>
      <c r="TDB34" s="143"/>
      <c r="TDC34" s="143"/>
      <c r="TDD34" s="143"/>
      <c r="TDE34" s="143"/>
      <c r="TDF34" s="143"/>
      <c r="TDG34" s="143"/>
      <c r="TDH34" s="143"/>
      <c r="TDI34" s="143"/>
      <c r="TDJ34" s="143"/>
      <c r="TDK34" s="143"/>
      <c r="TDL34" s="143"/>
      <c r="TDM34" s="143"/>
      <c r="TDN34" s="143"/>
      <c r="TDO34" s="143"/>
      <c r="TDP34" s="143"/>
      <c r="TDQ34" s="143"/>
      <c r="TDR34" s="143"/>
      <c r="TDS34" s="143"/>
      <c r="TDT34" s="143"/>
      <c r="TDU34" s="143"/>
      <c r="TDV34" s="143"/>
      <c r="TDW34" s="143"/>
      <c r="TDX34" s="143"/>
      <c r="TDY34" s="143"/>
      <c r="TDZ34" s="143"/>
      <c r="TEA34" s="143"/>
      <c r="TEB34" s="143"/>
      <c r="TEC34" s="143"/>
      <c r="TED34" s="143"/>
      <c r="TEE34" s="143"/>
      <c r="TEF34" s="143"/>
      <c r="TEG34" s="143"/>
      <c r="TEH34" s="143"/>
      <c r="TEI34" s="143"/>
      <c r="TEJ34" s="143"/>
      <c r="TEK34" s="143"/>
      <c r="TEL34" s="143"/>
      <c r="TEM34" s="143"/>
      <c r="TEN34" s="143"/>
      <c r="TEO34" s="143"/>
      <c r="TEP34" s="143"/>
      <c r="TEQ34" s="143"/>
      <c r="TER34" s="143"/>
      <c r="TES34" s="143"/>
      <c r="TET34" s="143"/>
      <c r="TEU34" s="143"/>
      <c r="TEV34" s="143"/>
      <c r="TEW34" s="143"/>
      <c r="TEX34" s="143"/>
      <c r="TEY34" s="143"/>
      <c r="TEZ34" s="143"/>
      <c r="TFA34" s="143"/>
      <c r="TFB34" s="143"/>
      <c r="TFC34" s="143"/>
      <c r="TFD34" s="143"/>
      <c r="TFE34" s="143"/>
      <c r="TFF34" s="143"/>
      <c r="TFG34" s="143"/>
      <c r="TFH34" s="143"/>
      <c r="TFI34" s="143"/>
      <c r="TFJ34" s="143"/>
      <c r="TFK34" s="143"/>
      <c r="TFL34" s="143"/>
      <c r="TFM34" s="143"/>
      <c r="TFN34" s="143"/>
      <c r="TFO34" s="143"/>
      <c r="TFP34" s="143"/>
      <c r="TFQ34" s="143"/>
      <c r="TFR34" s="143"/>
      <c r="TFS34" s="143"/>
      <c r="TFT34" s="143"/>
      <c r="TFU34" s="143"/>
      <c r="TFV34" s="143"/>
      <c r="TFW34" s="143"/>
      <c r="TFX34" s="143"/>
      <c r="TFY34" s="143"/>
      <c r="TFZ34" s="143"/>
      <c r="TGA34" s="143"/>
      <c r="TGB34" s="143"/>
      <c r="TGC34" s="143"/>
      <c r="TGD34" s="143"/>
      <c r="TGE34" s="143"/>
      <c r="TGF34" s="143"/>
      <c r="TGG34" s="143"/>
      <c r="TGH34" s="143"/>
      <c r="TGI34" s="143"/>
      <c r="TGJ34" s="143"/>
      <c r="TGK34" s="143"/>
      <c r="TGL34" s="143"/>
      <c r="TGM34" s="143"/>
      <c r="TGN34" s="143"/>
      <c r="TGO34" s="143"/>
      <c r="TGP34" s="143"/>
      <c r="TGQ34" s="143"/>
      <c r="TGR34" s="143"/>
      <c r="TGS34" s="143"/>
      <c r="TGT34" s="143"/>
      <c r="TGU34" s="143"/>
      <c r="TGV34" s="143"/>
      <c r="TGW34" s="143"/>
      <c r="TGX34" s="143"/>
      <c r="TGY34" s="143"/>
      <c r="TGZ34" s="143"/>
      <c r="THA34" s="143"/>
      <c r="THB34" s="143"/>
      <c r="THC34" s="143"/>
      <c r="THD34" s="143"/>
      <c r="THE34" s="143"/>
      <c r="THF34" s="143"/>
      <c r="THG34" s="143"/>
      <c r="THH34" s="143"/>
      <c r="THI34" s="143"/>
      <c r="THJ34" s="143"/>
      <c r="THK34" s="143"/>
      <c r="THL34" s="143"/>
      <c r="THM34" s="143"/>
      <c r="THN34" s="143"/>
      <c r="THO34" s="143"/>
      <c r="THP34" s="143"/>
      <c r="THQ34" s="143"/>
      <c r="THR34" s="143"/>
      <c r="THS34" s="143"/>
      <c r="THT34" s="143"/>
      <c r="THU34" s="143"/>
      <c r="THV34" s="143"/>
      <c r="THW34" s="143"/>
      <c r="THX34" s="143"/>
      <c r="THY34" s="143"/>
      <c r="THZ34" s="143"/>
      <c r="TIA34" s="143"/>
      <c r="TIB34" s="143"/>
      <c r="TIC34" s="143"/>
      <c r="TID34" s="143"/>
      <c r="TIE34" s="143"/>
      <c r="TIF34" s="143"/>
      <c r="TIG34" s="143"/>
      <c r="TIH34" s="143"/>
      <c r="TII34" s="143"/>
      <c r="TIJ34" s="143"/>
      <c r="TIK34" s="143"/>
      <c r="TIL34" s="143"/>
      <c r="TIM34" s="143"/>
      <c r="TIN34" s="143"/>
      <c r="TIO34" s="143"/>
      <c r="TIP34" s="143"/>
      <c r="TIQ34" s="143"/>
      <c r="TIR34" s="143"/>
      <c r="TIS34" s="143"/>
      <c r="TIT34" s="143"/>
      <c r="TIU34" s="143"/>
      <c r="TIV34" s="143"/>
      <c r="TIW34" s="143"/>
      <c r="TIX34" s="143"/>
      <c r="TIY34" s="143"/>
      <c r="TIZ34" s="143"/>
      <c r="TJA34" s="143"/>
      <c r="TJB34" s="143"/>
      <c r="TJC34" s="143"/>
      <c r="TJD34" s="143"/>
      <c r="TJE34" s="143"/>
      <c r="TJF34" s="143"/>
      <c r="TJG34" s="143"/>
      <c r="TJH34" s="143"/>
      <c r="TJI34" s="143"/>
      <c r="TJJ34" s="143"/>
      <c r="TJK34" s="143"/>
      <c r="TJL34" s="143"/>
      <c r="TJM34" s="143"/>
      <c r="TJN34" s="143"/>
      <c r="TJO34" s="143"/>
      <c r="TJP34" s="143"/>
      <c r="TJQ34" s="143"/>
      <c r="TJR34" s="143"/>
      <c r="TJS34" s="143"/>
      <c r="TJT34" s="143"/>
      <c r="TJU34" s="143"/>
      <c r="TJV34" s="143"/>
      <c r="TJW34" s="143"/>
      <c r="TJX34" s="143"/>
      <c r="TJY34" s="143"/>
      <c r="TJZ34" s="143"/>
      <c r="TKA34" s="143"/>
      <c r="TKB34" s="143"/>
      <c r="TKC34" s="143"/>
      <c r="TKD34" s="143"/>
      <c r="TKE34" s="143"/>
      <c r="TKF34" s="143"/>
      <c r="TKG34" s="143"/>
      <c r="TKH34" s="143"/>
      <c r="TKI34" s="143"/>
      <c r="TKJ34" s="143"/>
      <c r="TKK34" s="143"/>
      <c r="TKL34" s="143"/>
      <c r="TKM34" s="143"/>
      <c r="TKN34" s="143"/>
      <c r="TKO34" s="143"/>
      <c r="TKP34" s="143"/>
      <c r="TKQ34" s="143"/>
      <c r="TKR34" s="143"/>
      <c r="TKS34" s="143"/>
      <c r="TKT34" s="143"/>
      <c r="TKU34" s="143"/>
      <c r="TKV34" s="143"/>
      <c r="TKW34" s="143"/>
      <c r="TKX34" s="143"/>
      <c r="TKY34" s="143"/>
      <c r="TKZ34" s="143"/>
      <c r="TLA34" s="143"/>
      <c r="TLB34" s="143"/>
      <c r="TLC34" s="143"/>
      <c r="TLD34" s="143"/>
      <c r="TLE34" s="143"/>
      <c r="TLF34" s="143"/>
      <c r="TLG34" s="143"/>
      <c r="TLH34" s="143"/>
      <c r="TLI34" s="143"/>
      <c r="TLJ34" s="143"/>
      <c r="TLK34" s="143"/>
      <c r="TLL34" s="143"/>
      <c r="TLM34" s="143"/>
      <c r="TLN34" s="143"/>
      <c r="TLO34" s="143"/>
      <c r="TLP34" s="143"/>
      <c r="TLQ34" s="143"/>
      <c r="TLR34" s="143"/>
      <c r="TLS34" s="143"/>
      <c r="TLT34" s="143"/>
      <c r="TLU34" s="143"/>
      <c r="TLV34" s="143"/>
      <c r="TLW34" s="143"/>
      <c r="TLX34" s="143"/>
      <c r="TLY34" s="143"/>
      <c r="TLZ34" s="143"/>
      <c r="TMA34" s="143"/>
      <c r="TMB34" s="143"/>
      <c r="TMC34" s="143"/>
      <c r="TMD34" s="143"/>
      <c r="TME34" s="143"/>
      <c r="TMF34" s="143"/>
      <c r="TMG34" s="143"/>
      <c r="TMH34" s="143"/>
      <c r="TMI34" s="143"/>
      <c r="TMJ34" s="143"/>
      <c r="TMK34" s="143"/>
      <c r="TML34" s="143"/>
      <c r="TMM34" s="143"/>
      <c r="TMN34" s="143"/>
      <c r="TMO34" s="143"/>
      <c r="TMP34" s="143"/>
      <c r="TMQ34" s="143"/>
      <c r="TMR34" s="143"/>
      <c r="TMS34" s="143"/>
      <c r="TMT34" s="143"/>
      <c r="TMU34" s="143"/>
      <c r="TMV34" s="143"/>
      <c r="TMW34" s="143"/>
      <c r="TMX34" s="143"/>
      <c r="TMY34" s="143"/>
      <c r="TMZ34" s="143"/>
      <c r="TNA34" s="143"/>
      <c r="TNB34" s="143"/>
      <c r="TNC34" s="143"/>
      <c r="TND34" s="143"/>
      <c r="TNE34" s="143"/>
      <c r="TNF34" s="143"/>
      <c r="TNG34" s="143"/>
      <c r="TNH34" s="143"/>
      <c r="TNI34" s="143"/>
      <c r="TNJ34" s="143"/>
      <c r="TNK34" s="143"/>
      <c r="TNL34" s="143"/>
      <c r="TNM34" s="143"/>
      <c r="TNN34" s="143"/>
      <c r="TNO34" s="143"/>
      <c r="TNP34" s="143"/>
      <c r="TNQ34" s="143"/>
      <c r="TNR34" s="143"/>
      <c r="TNS34" s="143"/>
      <c r="TNT34" s="143"/>
      <c r="TNU34" s="143"/>
      <c r="TNV34" s="143"/>
      <c r="TNW34" s="143"/>
      <c r="TNX34" s="143"/>
      <c r="TNY34" s="143"/>
      <c r="TNZ34" s="143"/>
      <c r="TOA34" s="143"/>
      <c r="TOB34" s="143"/>
      <c r="TOC34" s="143"/>
      <c r="TOD34" s="143"/>
      <c r="TOE34" s="143"/>
      <c r="TOF34" s="143"/>
      <c r="TOG34" s="143"/>
      <c r="TOH34" s="143"/>
      <c r="TOI34" s="143"/>
      <c r="TOJ34" s="143"/>
      <c r="TOK34" s="143"/>
      <c r="TOL34" s="143"/>
      <c r="TOM34" s="143"/>
      <c r="TON34" s="143"/>
      <c r="TOO34" s="143"/>
      <c r="TOP34" s="143"/>
      <c r="TOQ34" s="143"/>
      <c r="TOR34" s="143"/>
      <c r="TOS34" s="143"/>
      <c r="TOT34" s="143"/>
      <c r="TOU34" s="143"/>
      <c r="TOV34" s="143"/>
      <c r="TOW34" s="143"/>
      <c r="TOX34" s="143"/>
      <c r="TOY34" s="143"/>
      <c r="TOZ34" s="143"/>
      <c r="TPA34" s="143"/>
      <c r="TPB34" s="143"/>
      <c r="TPC34" s="143"/>
      <c r="TPD34" s="143"/>
      <c r="TPE34" s="143"/>
      <c r="TPF34" s="143"/>
      <c r="TPG34" s="143"/>
      <c r="TPH34" s="143"/>
      <c r="TPI34" s="143"/>
      <c r="TPJ34" s="143"/>
      <c r="TPK34" s="143"/>
      <c r="TPL34" s="143"/>
      <c r="TPM34" s="143"/>
      <c r="TPN34" s="143"/>
      <c r="TPO34" s="143"/>
      <c r="TPP34" s="143"/>
      <c r="TPQ34" s="143"/>
      <c r="TPR34" s="143"/>
      <c r="TPS34" s="143"/>
      <c r="TPT34" s="143"/>
      <c r="TPU34" s="143"/>
      <c r="TPV34" s="143"/>
      <c r="TPW34" s="143"/>
      <c r="TPX34" s="143"/>
      <c r="TPY34" s="143"/>
      <c r="TPZ34" s="143"/>
      <c r="TQA34" s="143"/>
      <c r="TQB34" s="143"/>
      <c r="TQC34" s="143"/>
      <c r="TQD34" s="143"/>
      <c r="TQE34" s="143"/>
      <c r="TQF34" s="143"/>
      <c r="TQG34" s="143"/>
      <c r="TQH34" s="143"/>
      <c r="TQI34" s="143"/>
      <c r="TQJ34" s="143"/>
      <c r="TQK34" s="143"/>
      <c r="TQL34" s="143"/>
      <c r="TQM34" s="143"/>
      <c r="TQN34" s="143"/>
      <c r="TQO34" s="143"/>
      <c r="TQP34" s="143"/>
      <c r="TQQ34" s="143"/>
      <c r="TQR34" s="143"/>
      <c r="TQS34" s="143"/>
      <c r="TQT34" s="143"/>
      <c r="TQU34" s="143"/>
      <c r="TQV34" s="143"/>
      <c r="TQW34" s="143"/>
      <c r="TQX34" s="143"/>
      <c r="TQY34" s="143"/>
      <c r="TQZ34" s="143"/>
      <c r="TRA34" s="143"/>
      <c r="TRB34" s="143"/>
      <c r="TRC34" s="143"/>
      <c r="TRD34" s="143"/>
      <c r="TRE34" s="143"/>
      <c r="TRF34" s="143"/>
      <c r="TRG34" s="143"/>
      <c r="TRH34" s="143"/>
      <c r="TRI34" s="143"/>
      <c r="TRJ34" s="143"/>
      <c r="TRK34" s="143"/>
      <c r="TRL34" s="143"/>
      <c r="TRM34" s="143"/>
      <c r="TRN34" s="143"/>
      <c r="TRO34" s="143"/>
      <c r="TRP34" s="143"/>
      <c r="TRQ34" s="143"/>
      <c r="TRR34" s="143"/>
      <c r="TRS34" s="143"/>
      <c r="TRT34" s="143"/>
      <c r="TRU34" s="143"/>
      <c r="TRV34" s="143"/>
      <c r="TRW34" s="143"/>
      <c r="TRX34" s="143"/>
      <c r="TRY34" s="143"/>
      <c r="TRZ34" s="143"/>
      <c r="TSA34" s="143"/>
      <c r="TSB34" s="143"/>
      <c r="TSC34" s="143"/>
      <c r="TSD34" s="143"/>
      <c r="TSE34" s="143"/>
      <c r="TSF34" s="143"/>
      <c r="TSG34" s="143"/>
      <c r="TSH34" s="143"/>
      <c r="TSI34" s="143"/>
      <c r="TSJ34" s="143"/>
      <c r="TSK34" s="143"/>
      <c r="TSL34" s="143"/>
      <c r="TSM34" s="143"/>
      <c r="TSN34" s="143"/>
      <c r="TSO34" s="143"/>
      <c r="TSP34" s="143"/>
      <c r="TSQ34" s="143"/>
      <c r="TSR34" s="143"/>
      <c r="TSS34" s="143"/>
      <c r="TST34" s="143"/>
      <c r="TSU34" s="143"/>
      <c r="TSV34" s="143"/>
      <c r="TSW34" s="143"/>
      <c r="TSX34" s="143"/>
      <c r="TSY34" s="143"/>
      <c r="TSZ34" s="143"/>
      <c r="TTA34" s="143"/>
      <c r="TTB34" s="143"/>
      <c r="TTC34" s="143"/>
      <c r="TTD34" s="143"/>
      <c r="TTE34" s="143"/>
      <c r="TTF34" s="143"/>
      <c r="TTG34" s="143"/>
      <c r="TTH34" s="143"/>
      <c r="TTI34" s="143"/>
      <c r="TTJ34" s="143"/>
      <c r="TTK34" s="143"/>
      <c r="TTL34" s="143"/>
      <c r="TTM34" s="143"/>
      <c r="TTN34" s="143"/>
      <c r="TTO34" s="143"/>
      <c r="TTP34" s="143"/>
      <c r="TTQ34" s="143"/>
      <c r="TTR34" s="143"/>
      <c r="TTS34" s="143"/>
      <c r="TTT34" s="143"/>
      <c r="TTU34" s="143"/>
      <c r="TTV34" s="143"/>
      <c r="TTW34" s="143"/>
      <c r="TTX34" s="143"/>
      <c r="TTY34" s="143"/>
      <c r="TTZ34" s="143"/>
      <c r="TUA34" s="143"/>
      <c r="TUB34" s="143"/>
      <c r="TUC34" s="143"/>
      <c r="TUD34" s="143"/>
      <c r="TUE34" s="143"/>
      <c r="TUF34" s="143"/>
      <c r="TUG34" s="143"/>
      <c r="TUH34" s="143"/>
      <c r="TUI34" s="143"/>
      <c r="TUJ34" s="143"/>
      <c r="TUK34" s="143"/>
      <c r="TUL34" s="143"/>
      <c r="TUM34" s="143"/>
      <c r="TUN34" s="143"/>
      <c r="TUO34" s="143"/>
      <c r="TUP34" s="143"/>
      <c r="TUQ34" s="143"/>
      <c r="TUR34" s="143"/>
      <c r="TUS34" s="143"/>
      <c r="TUT34" s="143"/>
      <c r="TUU34" s="143"/>
      <c r="TUV34" s="143"/>
      <c r="TUW34" s="143"/>
      <c r="TUX34" s="143"/>
      <c r="TUY34" s="143"/>
      <c r="TUZ34" s="143"/>
      <c r="TVA34" s="143"/>
      <c r="TVB34" s="143"/>
      <c r="TVC34" s="143"/>
      <c r="TVD34" s="143"/>
      <c r="TVE34" s="143"/>
      <c r="TVF34" s="143"/>
      <c r="TVG34" s="143"/>
      <c r="TVH34" s="143"/>
      <c r="TVI34" s="143"/>
      <c r="TVJ34" s="143"/>
      <c r="TVK34" s="143"/>
      <c r="TVL34" s="143"/>
      <c r="TVM34" s="143"/>
      <c r="TVN34" s="143"/>
      <c r="TVO34" s="143"/>
      <c r="TVP34" s="143"/>
      <c r="TVQ34" s="143"/>
      <c r="TVR34" s="143"/>
      <c r="TVS34" s="143"/>
      <c r="TVT34" s="143"/>
      <c r="TVU34" s="143"/>
      <c r="TVV34" s="143"/>
      <c r="TVW34" s="143"/>
      <c r="TVX34" s="143"/>
      <c r="TVY34" s="143"/>
      <c r="TVZ34" s="143"/>
      <c r="TWA34" s="143"/>
      <c r="TWB34" s="143"/>
      <c r="TWC34" s="143"/>
      <c r="TWD34" s="143"/>
      <c r="TWE34" s="143"/>
      <c r="TWF34" s="143"/>
      <c r="TWG34" s="143"/>
      <c r="TWH34" s="143"/>
      <c r="TWI34" s="143"/>
      <c r="TWJ34" s="143"/>
      <c r="TWK34" s="143"/>
      <c r="TWL34" s="143"/>
      <c r="TWM34" s="143"/>
      <c r="TWN34" s="143"/>
      <c r="TWO34" s="143"/>
      <c r="TWP34" s="143"/>
      <c r="TWQ34" s="143"/>
      <c r="TWR34" s="143"/>
      <c r="TWS34" s="143"/>
      <c r="TWT34" s="143"/>
      <c r="TWU34" s="143"/>
      <c r="TWV34" s="143"/>
      <c r="TWW34" s="143"/>
      <c r="TWX34" s="143"/>
      <c r="TWY34" s="143"/>
      <c r="TWZ34" s="143"/>
      <c r="TXA34" s="143"/>
      <c r="TXB34" s="143"/>
      <c r="TXC34" s="143"/>
      <c r="TXD34" s="143"/>
      <c r="TXE34" s="143"/>
      <c r="TXF34" s="143"/>
      <c r="TXG34" s="143"/>
      <c r="TXH34" s="143"/>
      <c r="TXI34" s="143"/>
      <c r="TXJ34" s="143"/>
      <c r="TXK34" s="143"/>
      <c r="TXL34" s="143"/>
      <c r="TXM34" s="143"/>
      <c r="TXN34" s="143"/>
      <c r="TXO34" s="143"/>
      <c r="TXP34" s="143"/>
      <c r="TXQ34" s="143"/>
      <c r="TXR34" s="143"/>
      <c r="TXS34" s="143"/>
      <c r="TXT34" s="143"/>
      <c r="TXU34" s="143"/>
      <c r="TXV34" s="143"/>
      <c r="TXW34" s="143"/>
      <c r="TXX34" s="143"/>
      <c r="TXY34" s="143"/>
      <c r="TXZ34" s="143"/>
      <c r="TYA34" s="143"/>
      <c r="TYB34" s="143"/>
      <c r="TYC34" s="143"/>
      <c r="TYD34" s="143"/>
      <c r="TYE34" s="143"/>
      <c r="TYF34" s="143"/>
      <c r="TYG34" s="143"/>
      <c r="TYH34" s="143"/>
      <c r="TYI34" s="143"/>
      <c r="TYJ34" s="143"/>
      <c r="TYK34" s="143"/>
      <c r="TYL34" s="143"/>
      <c r="TYM34" s="143"/>
      <c r="TYN34" s="143"/>
      <c r="TYO34" s="143"/>
      <c r="TYP34" s="143"/>
      <c r="TYQ34" s="143"/>
      <c r="TYR34" s="143"/>
      <c r="TYS34" s="143"/>
      <c r="TYT34" s="143"/>
      <c r="TYU34" s="143"/>
      <c r="TYV34" s="143"/>
      <c r="TYW34" s="143"/>
      <c r="TYX34" s="143"/>
      <c r="TYY34" s="143"/>
      <c r="TYZ34" s="143"/>
      <c r="TZA34" s="143"/>
      <c r="TZB34" s="143"/>
      <c r="TZC34" s="143"/>
      <c r="TZD34" s="143"/>
      <c r="TZE34" s="143"/>
      <c r="TZF34" s="143"/>
      <c r="TZG34" s="143"/>
      <c r="TZH34" s="143"/>
      <c r="TZI34" s="143"/>
      <c r="TZJ34" s="143"/>
      <c r="TZK34" s="143"/>
      <c r="TZL34" s="143"/>
      <c r="TZM34" s="143"/>
      <c r="TZN34" s="143"/>
      <c r="TZO34" s="143"/>
      <c r="TZP34" s="143"/>
      <c r="TZQ34" s="143"/>
      <c r="TZR34" s="143"/>
      <c r="TZS34" s="143"/>
      <c r="TZT34" s="143"/>
      <c r="TZU34" s="143"/>
      <c r="TZV34" s="143"/>
      <c r="TZW34" s="143"/>
      <c r="TZX34" s="143"/>
      <c r="TZY34" s="143"/>
      <c r="TZZ34" s="143"/>
      <c r="UAA34" s="143"/>
      <c r="UAB34" s="143"/>
      <c r="UAC34" s="143"/>
      <c r="UAD34" s="143"/>
      <c r="UAE34" s="143"/>
      <c r="UAF34" s="143"/>
      <c r="UAG34" s="143"/>
      <c r="UAH34" s="143"/>
      <c r="UAI34" s="143"/>
      <c r="UAJ34" s="143"/>
      <c r="UAK34" s="143"/>
      <c r="UAL34" s="143"/>
      <c r="UAM34" s="143"/>
      <c r="UAN34" s="143"/>
      <c r="UAO34" s="143"/>
      <c r="UAP34" s="143"/>
      <c r="UAQ34" s="143"/>
      <c r="UAR34" s="143"/>
      <c r="UAS34" s="143"/>
      <c r="UAT34" s="143"/>
      <c r="UAU34" s="143"/>
      <c r="UAV34" s="143"/>
      <c r="UAW34" s="143"/>
      <c r="UAX34" s="143"/>
      <c r="UAY34" s="143"/>
      <c r="UAZ34" s="143"/>
      <c r="UBA34" s="143"/>
      <c r="UBB34" s="143"/>
      <c r="UBC34" s="143"/>
      <c r="UBD34" s="143"/>
      <c r="UBE34" s="143"/>
      <c r="UBF34" s="143"/>
      <c r="UBG34" s="143"/>
      <c r="UBH34" s="143"/>
      <c r="UBI34" s="143"/>
      <c r="UBJ34" s="143"/>
      <c r="UBK34" s="143"/>
      <c r="UBL34" s="143"/>
      <c r="UBM34" s="143"/>
      <c r="UBN34" s="143"/>
      <c r="UBO34" s="143"/>
      <c r="UBP34" s="143"/>
      <c r="UBQ34" s="143"/>
      <c r="UBR34" s="143"/>
      <c r="UBS34" s="143"/>
      <c r="UBT34" s="143"/>
      <c r="UBU34" s="143"/>
      <c r="UBV34" s="143"/>
      <c r="UBW34" s="143"/>
      <c r="UBX34" s="143"/>
      <c r="UBY34" s="143"/>
      <c r="UBZ34" s="143"/>
      <c r="UCA34" s="143"/>
      <c r="UCB34" s="143"/>
      <c r="UCC34" s="143"/>
      <c r="UCD34" s="143"/>
      <c r="UCE34" s="143"/>
      <c r="UCF34" s="143"/>
      <c r="UCG34" s="143"/>
      <c r="UCH34" s="143"/>
      <c r="UCI34" s="143"/>
      <c r="UCJ34" s="143"/>
      <c r="UCK34" s="143"/>
      <c r="UCL34" s="143"/>
      <c r="UCM34" s="143"/>
      <c r="UCN34" s="143"/>
      <c r="UCO34" s="143"/>
      <c r="UCP34" s="143"/>
      <c r="UCQ34" s="143"/>
      <c r="UCR34" s="143"/>
      <c r="UCS34" s="143"/>
      <c r="UCT34" s="143"/>
      <c r="UCU34" s="143"/>
      <c r="UCV34" s="143"/>
      <c r="UCW34" s="143"/>
      <c r="UCX34" s="143"/>
      <c r="UCY34" s="143"/>
      <c r="UCZ34" s="143"/>
      <c r="UDA34" s="143"/>
      <c r="UDB34" s="143"/>
      <c r="UDC34" s="143"/>
      <c r="UDD34" s="143"/>
      <c r="UDE34" s="143"/>
      <c r="UDF34" s="143"/>
      <c r="UDG34" s="143"/>
      <c r="UDH34" s="143"/>
      <c r="UDI34" s="143"/>
      <c r="UDJ34" s="143"/>
      <c r="UDK34" s="143"/>
      <c r="UDL34" s="143"/>
      <c r="UDM34" s="143"/>
      <c r="UDN34" s="143"/>
      <c r="UDO34" s="143"/>
      <c r="UDP34" s="143"/>
      <c r="UDQ34" s="143"/>
      <c r="UDR34" s="143"/>
      <c r="UDS34" s="143"/>
      <c r="UDT34" s="143"/>
      <c r="UDU34" s="143"/>
      <c r="UDV34" s="143"/>
      <c r="UDW34" s="143"/>
      <c r="UDX34" s="143"/>
      <c r="UDY34" s="143"/>
      <c r="UDZ34" s="143"/>
      <c r="UEA34" s="143"/>
      <c r="UEB34" s="143"/>
      <c r="UEC34" s="143"/>
      <c r="UED34" s="143"/>
      <c r="UEE34" s="143"/>
      <c r="UEF34" s="143"/>
      <c r="UEG34" s="143"/>
      <c r="UEH34" s="143"/>
      <c r="UEI34" s="143"/>
      <c r="UEJ34" s="143"/>
      <c r="UEK34" s="143"/>
      <c r="UEL34" s="143"/>
      <c r="UEM34" s="143"/>
      <c r="UEN34" s="143"/>
      <c r="UEO34" s="143"/>
      <c r="UEP34" s="143"/>
      <c r="UEQ34" s="143"/>
      <c r="UER34" s="143"/>
      <c r="UES34" s="143"/>
      <c r="UET34" s="143"/>
      <c r="UEU34" s="143"/>
      <c r="UEV34" s="143"/>
      <c r="UEW34" s="143"/>
      <c r="UEX34" s="143"/>
      <c r="UEY34" s="143"/>
      <c r="UEZ34" s="143"/>
      <c r="UFA34" s="143"/>
      <c r="UFB34" s="143"/>
      <c r="UFC34" s="143"/>
      <c r="UFD34" s="143"/>
      <c r="UFE34" s="143"/>
      <c r="UFF34" s="143"/>
      <c r="UFG34" s="143"/>
      <c r="UFH34" s="143"/>
      <c r="UFI34" s="143"/>
      <c r="UFJ34" s="143"/>
      <c r="UFK34" s="143"/>
      <c r="UFL34" s="143"/>
      <c r="UFM34" s="143"/>
      <c r="UFN34" s="143"/>
      <c r="UFO34" s="143"/>
      <c r="UFP34" s="143"/>
      <c r="UFQ34" s="143"/>
      <c r="UFR34" s="143"/>
      <c r="UFS34" s="143"/>
      <c r="UFT34" s="143"/>
      <c r="UFU34" s="143"/>
      <c r="UFV34" s="143"/>
      <c r="UFW34" s="143"/>
      <c r="UFX34" s="143"/>
      <c r="UFY34" s="143"/>
      <c r="UFZ34" s="143"/>
      <c r="UGA34" s="143"/>
      <c r="UGB34" s="143"/>
      <c r="UGC34" s="143"/>
      <c r="UGD34" s="143"/>
      <c r="UGE34" s="143"/>
      <c r="UGF34" s="143"/>
      <c r="UGG34" s="143"/>
      <c r="UGH34" s="143"/>
      <c r="UGI34" s="143"/>
      <c r="UGJ34" s="143"/>
      <c r="UGK34" s="143"/>
      <c r="UGL34" s="143"/>
      <c r="UGM34" s="143"/>
      <c r="UGN34" s="143"/>
      <c r="UGO34" s="143"/>
      <c r="UGP34" s="143"/>
      <c r="UGQ34" s="143"/>
      <c r="UGR34" s="143"/>
      <c r="UGS34" s="143"/>
      <c r="UGT34" s="143"/>
      <c r="UGU34" s="143"/>
      <c r="UGV34" s="143"/>
      <c r="UGW34" s="143"/>
      <c r="UGX34" s="143"/>
      <c r="UGY34" s="143"/>
      <c r="UGZ34" s="143"/>
      <c r="UHA34" s="143"/>
      <c r="UHB34" s="143"/>
      <c r="UHC34" s="143"/>
      <c r="UHD34" s="143"/>
      <c r="UHE34" s="143"/>
      <c r="UHF34" s="143"/>
      <c r="UHG34" s="143"/>
      <c r="UHH34" s="143"/>
      <c r="UHI34" s="143"/>
      <c r="UHJ34" s="143"/>
      <c r="UHK34" s="143"/>
      <c r="UHL34" s="143"/>
      <c r="UHM34" s="143"/>
      <c r="UHN34" s="143"/>
      <c r="UHO34" s="143"/>
      <c r="UHP34" s="143"/>
      <c r="UHQ34" s="143"/>
      <c r="UHR34" s="143"/>
      <c r="UHS34" s="143"/>
      <c r="UHT34" s="143"/>
      <c r="UHU34" s="143"/>
      <c r="UHV34" s="143"/>
      <c r="UHW34" s="143"/>
      <c r="UHX34" s="143"/>
      <c r="UHY34" s="143"/>
      <c r="UHZ34" s="143"/>
      <c r="UIA34" s="143"/>
      <c r="UIB34" s="143"/>
      <c r="UIC34" s="143"/>
      <c r="UID34" s="143"/>
      <c r="UIE34" s="143"/>
      <c r="UIF34" s="143"/>
      <c r="UIG34" s="143"/>
      <c r="UIH34" s="143"/>
      <c r="UII34" s="143"/>
      <c r="UIJ34" s="143"/>
      <c r="UIK34" s="143"/>
      <c r="UIL34" s="143"/>
      <c r="UIM34" s="143"/>
      <c r="UIN34" s="143"/>
      <c r="UIO34" s="143"/>
      <c r="UIP34" s="143"/>
      <c r="UIQ34" s="143"/>
      <c r="UIR34" s="143"/>
      <c r="UIS34" s="143"/>
      <c r="UIT34" s="143"/>
      <c r="UIU34" s="143"/>
      <c r="UIV34" s="143"/>
      <c r="UIW34" s="143"/>
      <c r="UIX34" s="143"/>
      <c r="UIY34" s="143"/>
      <c r="UIZ34" s="143"/>
      <c r="UJA34" s="143"/>
      <c r="UJB34" s="143"/>
      <c r="UJC34" s="143"/>
      <c r="UJD34" s="143"/>
      <c r="UJE34" s="143"/>
      <c r="UJF34" s="143"/>
      <c r="UJG34" s="143"/>
      <c r="UJH34" s="143"/>
      <c r="UJI34" s="143"/>
      <c r="UJJ34" s="143"/>
      <c r="UJK34" s="143"/>
      <c r="UJL34" s="143"/>
      <c r="UJM34" s="143"/>
      <c r="UJN34" s="143"/>
      <c r="UJO34" s="143"/>
      <c r="UJP34" s="143"/>
      <c r="UJQ34" s="143"/>
      <c r="UJR34" s="143"/>
      <c r="UJS34" s="143"/>
      <c r="UJT34" s="143"/>
      <c r="UJU34" s="143"/>
      <c r="UJV34" s="143"/>
      <c r="UJW34" s="143"/>
      <c r="UJX34" s="143"/>
      <c r="UJY34" s="143"/>
      <c r="UJZ34" s="143"/>
      <c r="UKA34" s="143"/>
      <c r="UKB34" s="143"/>
      <c r="UKC34" s="143"/>
      <c r="UKD34" s="143"/>
      <c r="UKE34" s="143"/>
      <c r="UKF34" s="143"/>
      <c r="UKG34" s="143"/>
      <c r="UKH34" s="143"/>
      <c r="UKI34" s="143"/>
      <c r="UKJ34" s="143"/>
      <c r="UKK34" s="143"/>
      <c r="UKL34" s="143"/>
      <c r="UKM34" s="143"/>
      <c r="UKN34" s="143"/>
      <c r="UKO34" s="143"/>
      <c r="UKP34" s="143"/>
      <c r="UKQ34" s="143"/>
      <c r="UKR34" s="143"/>
      <c r="UKS34" s="143"/>
      <c r="UKT34" s="143"/>
      <c r="UKU34" s="143"/>
      <c r="UKV34" s="143"/>
      <c r="UKW34" s="143"/>
      <c r="UKX34" s="143"/>
      <c r="UKY34" s="143"/>
      <c r="UKZ34" s="143"/>
      <c r="ULA34" s="143"/>
      <c r="ULB34" s="143"/>
      <c r="ULC34" s="143"/>
      <c r="ULD34" s="143"/>
      <c r="ULE34" s="143"/>
      <c r="ULF34" s="143"/>
      <c r="ULG34" s="143"/>
      <c r="ULH34" s="143"/>
      <c r="ULI34" s="143"/>
      <c r="ULJ34" s="143"/>
      <c r="ULK34" s="143"/>
      <c r="ULL34" s="143"/>
      <c r="ULM34" s="143"/>
      <c r="ULN34" s="143"/>
      <c r="ULO34" s="143"/>
      <c r="ULP34" s="143"/>
      <c r="ULQ34" s="143"/>
      <c r="ULR34" s="143"/>
      <c r="ULS34" s="143"/>
      <c r="ULT34" s="143"/>
      <c r="ULU34" s="143"/>
      <c r="ULV34" s="143"/>
      <c r="ULW34" s="143"/>
      <c r="ULX34" s="143"/>
      <c r="ULY34" s="143"/>
      <c r="ULZ34" s="143"/>
      <c r="UMA34" s="143"/>
      <c r="UMB34" s="143"/>
      <c r="UMC34" s="143"/>
      <c r="UMD34" s="143"/>
      <c r="UME34" s="143"/>
      <c r="UMF34" s="143"/>
      <c r="UMG34" s="143"/>
      <c r="UMH34" s="143"/>
      <c r="UMI34" s="143"/>
      <c r="UMJ34" s="143"/>
      <c r="UMK34" s="143"/>
      <c r="UML34" s="143"/>
      <c r="UMM34" s="143"/>
      <c r="UMN34" s="143"/>
      <c r="UMO34" s="143"/>
      <c r="UMP34" s="143"/>
      <c r="UMQ34" s="143"/>
      <c r="UMR34" s="143"/>
      <c r="UMS34" s="143"/>
      <c r="UMT34" s="143"/>
      <c r="UMU34" s="143"/>
      <c r="UMV34" s="143"/>
      <c r="UMW34" s="143"/>
      <c r="UMX34" s="143"/>
      <c r="UMY34" s="143"/>
      <c r="UMZ34" s="143"/>
      <c r="UNA34" s="143"/>
      <c r="UNB34" s="143"/>
      <c r="UNC34" s="143"/>
      <c r="UND34" s="143"/>
      <c r="UNE34" s="143"/>
      <c r="UNF34" s="143"/>
      <c r="UNG34" s="143"/>
      <c r="UNH34" s="143"/>
      <c r="UNI34" s="143"/>
      <c r="UNJ34" s="143"/>
      <c r="UNK34" s="143"/>
      <c r="UNL34" s="143"/>
      <c r="UNM34" s="143"/>
      <c r="UNN34" s="143"/>
      <c r="UNO34" s="143"/>
      <c r="UNP34" s="143"/>
      <c r="UNQ34" s="143"/>
      <c r="UNR34" s="143"/>
      <c r="UNS34" s="143"/>
      <c r="UNT34" s="143"/>
      <c r="UNU34" s="143"/>
      <c r="UNV34" s="143"/>
      <c r="UNW34" s="143"/>
      <c r="UNX34" s="143"/>
      <c r="UNY34" s="143"/>
      <c r="UNZ34" s="143"/>
      <c r="UOA34" s="143"/>
      <c r="UOB34" s="143"/>
      <c r="UOC34" s="143"/>
      <c r="UOD34" s="143"/>
      <c r="UOE34" s="143"/>
      <c r="UOF34" s="143"/>
      <c r="UOG34" s="143"/>
      <c r="UOH34" s="143"/>
      <c r="UOI34" s="143"/>
      <c r="UOJ34" s="143"/>
      <c r="UOK34" s="143"/>
      <c r="UOL34" s="143"/>
      <c r="UOM34" s="143"/>
      <c r="UON34" s="143"/>
      <c r="UOO34" s="143"/>
      <c r="UOP34" s="143"/>
      <c r="UOQ34" s="143"/>
      <c r="UOR34" s="143"/>
      <c r="UOS34" s="143"/>
      <c r="UOT34" s="143"/>
      <c r="UOU34" s="143"/>
      <c r="UOV34" s="143"/>
      <c r="UOW34" s="143"/>
      <c r="UOX34" s="143"/>
      <c r="UOY34" s="143"/>
      <c r="UOZ34" s="143"/>
      <c r="UPA34" s="143"/>
      <c r="UPB34" s="143"/>
      <c r="UPC34" s="143"/>
      <c r="UPD34" s="143"/>
      <c r="UPE34" s="143"/>
      <c r="UPF34" s="143"/>
      <c r="UPG34" s="143"/>
      <c r="UPH34" s="143"/>
      <c r="UPI34" s="143"/>
      <c r="UPJ34" s="143"/>
      <c r="UPK34" s="143"/>
      <c r="UPL34" s="143"/>
      <c r="UPM34" s="143"/>
      <c r="UPN34" s="143"/>
      <c r="UPO34" s="143"/>
      <c r="UPP34" s="143"/>
      <c r="UPQ34" s="143"/>
      <c r="UPR34" s="143"/>
      <c r="UPS34" s="143"/>
      <c r="UPT34" s="143"/>
      <c r="UPU34" s="143"/>
      <c r="UPV34" s="143"/>
      <c r="UPW34" s="143"/>
      <c r="UPX34" s="143"/>
      <c r="UPY34" s="143"/>
      <c r="UPZ34" s="143"/>
      <c r="UQA34" s="143"/>
      <c r="UQB34" s="143"/>
      <c r="UQC34" s="143"/>
      <c r="UQD34" s="143"/>
      <c r="UQE34" s="143"/>
      <c r="UQF34" s="143"/>
      <c r="UQG34" s="143"/>
      <c r="UQH34" s="143"/>
      <c r="UQI34" s="143"/>
      <c r="UQJ34" s="143"/>
      <c r="UQK34" s="143"/>
      <c r="UQL34" s="143"/>
      <c r="UQM34" s="143"/>
      <c r="UQN34" s="143"/>
      <c r="UQO34" s="143"/>
      <c r="UQP34" s="143"/>
      <c r="UQQ34" s="143"/>
      <c r="UQR34" s="143"/>
      <c r="UQS34" s="143"/>
      <c r="UQT34" s="143"/>
      <c r="UQU34" s="143"/>
      <c r="UQV34" s="143"/>
      <c r="UQW34" s="143"/>
      <c r="UQX34" s="143"/>
      <c r="UQY34" s="143"/>
      <c r="UQZ34" s="143"/>
      <c r="URA34" s="143"/>
      <c r="URB34" s="143"/>
      <c r="URC34" s="143"/>
      <c r="URD34" s="143"/>
      <c r="URE34" s="143"/>
      <c r="URF34" s="143"/>
      <c r="URG34" s="143"/>
      <c r="URH34" s="143"/>
      <c r="URI34" s="143"/>
      <c r="URJ34" s="143"/>
      <c r="URK34" s="143"/>
      <c r="URL34" s="143"/>
      <c r="URM34" s="143"/>
      <c r="URN34" s="143"/>
      <c r="URO34" s="143"/>
      <c r="URP34" s="143"/>
      <c r="URQ34" s="143"/>
      <c r="URR34" s="143"/>
      <c r="URS34" s="143"/>
      <c r="URT34" s="143"/>
      <c r="URU34" s="143"/>
      <c r="URV34" s="143"/>
      <c r="URW34" s="143"/>
      <c r="URX34" s="143"/>
      <c r="URY34" s="143"/>
      <c r="URZ34" s="143"/>
      <c r="USA34" s="143"/>
      <c r="USB34" s="143"/>
      <c r="USC34" s="143"/>
      <c r="USD34" s="143"/>
      <c r="USE34" s="143"/>
      <c r="USF34" s="143"/>
      <c r="USG34" s="143"/>
      <c r="USH34" s="143"/>
      <c r="USI34" s="143"/>
      <c r="USJ34" s="143"/>
      <c r="USK34" s="143"/>
      <c r="USL34" s="143"/>
      <c r="USM34" s="143"/>
      <c r="USN34" s="143"/>
      <c r="USO34" s="143"/>
      <c r="USP34" s="143"/>
      <c r="USQ34" s="143"/>
      <c r="USR34" s="143"/>
      <c r="USS34" s="143"/>
      <c r="UST34" s="143"/>
      <c r="USU34" s="143"/>
      <c r="USV34" s="143"/>
      <c r="USW34" s="143"/>
      <c r="USX34" s="143"/>
      <c r="USY34" s="143"/>
      <c r="USZ34" s="143"/>
      <c r="UTA34" s="143"/>
      <c r="UTB34" s="143"/>
      <c r="UTC34" s="143"/>
      <c r="UTD34" s="143"/>
      <c r="UTE34" s="143"/>
      <c r="UTF34" s="143"/>
      <c r="UTG34" s="143"/>
      <c r="UTH34" s="143"/>
      <c r="UTI34" s="143"/>
      <c r="UTJ34" s="143"/>
      <c r="UTK34" s="143"/>
      <c r="UTL34" s="143"/>
      <c r="UTM34" s="143"/>
      <c r="UTN34" s="143"/>
      <c r="UTO34" s="143"/>
      <c r="UTP34" s="143"/>
      <c r="UTQ34" s="143"/>
      <c r="UTR34" s="143"/>
      <c r="UTS34" s="143"/>
      <c r="UTT34" s="143"/>
      <c r="UTU34" s="143"/>
      <c r="UTV34" s="143"/>
      <c r="UTW34" s="143"/>
      <c r="UTX34" s="143"/>
      <c r="UTY34" s="143"/>
      <c r="UTZ34" s="143"/>
      <c r="UUA34" s="143"/>
      <c r="UUB34" s="143"/>
      <c r="UUC34" s="143"/>
      <c r="UUD34" s="143"/>
      <c r="UUE34" s="143"/>
      <c r="UUF34" s="143"/>
      <c r="UUG34" s="143"/>
      <c r="UUH34" s="143"/>
      <c r="UUI34" s="143"/>
      <c r="UUJ34" s="143"/>
      <c r="UUK34" s="143"/>
      <c r="UUL34" s="143"/>
      <c r="UUM34" s="143"/>
      <c r="UUN34" s="143"/>
      <c r="UUO34" s="143"/>
      <c r="UUP34" s="143"/>
      <c r="UUQ34" s="143"/>
      <c r="UUR34" s="143"/>
      <c r="UUS34" s="143"/>
      <c r="UUT34" s="143"/>
      <c r="UUU34" s="143"/>
      <c r="UUV34" s="143"/>
      <c r="UUW34" s="143"/>
      <c r="UUX34" s="143"/>
      <c r="UUY34" s="143"/>
      <c r="UUZ34" s="143"/>
      <c r="UVA34" s="143"/>
      <c r="UVB34" s="143"/>
      <c r="UVC34" s="143"/>
      <c r="UVD34" s="143"/>
      <c r="UVE34" s="143"/>
      <c r="UVF34" s="143"/>
      <c r="UVG34" s="143"/>
      <c r="UVH34" s="143"/>
      <c r="UVI34" s="143"/>
      <c r="UVJ34" s="143"/>
      <c r="UVK34" s="143"/>
      <c r="UVL34" s="143"/>
      <c r="UVM34" s="143"/>
      <c r="UVN34" s="143"/>
      <c r="UVO34" s="143"/>
      <c r="UVP34" s="143"/>
      <c r="UVQ34" s="143"/>
      <c r="UVR34" s="143"/>
      <c r="UVS34" s="143"/>
      <c r="UVT34" s="143"/>
      <c r="UVU34" s="143"/>
      <c r="UVV34" s="143"/>
      <c r="UVW34" s="143"/>
      <c r="UVX34" s="143"/>
      <c r="UVY34" s="143"/>
      <c r="UVZ34" s="143"/>
      <c r="UWA34" s="143"/>
      <c r="UWB34" s="143"/>
      <c r="UWC34" s="143"/>
      <c r="UWD34" s="143"/>
      <c r="UWE34" s="143"/>
      <c r="UWF34" s="143"/>
      <c r="UWG34" s="143"/>
      <c r="UWH34" s="143"/>
      <c r="UWI34" s="143"/>
      <c r="UWJ34" s="143"/>
      <c r="UWK34" s="143"/>
      <c r="UWL34" s="143"/>
      <c r="UWM34" s="143"/>
      <c r="UWN34" s="143"/>
      <c r="UWO34" s="143"/>
      <c r="UWP34" s="143"/>
      <c r="UWQ34" s="143"/>
      <c r="UWR34" s="143"/>
      <c r="UWS34" s="143"/>
      <c r="UWT34" s="143"/>
      <c r="UWU34" s="143"/>
      <c r="UWV34" s="143"/>
      <c r="UWW34" s="143"/>
      <c r="UWX34" s="143"/>
      <c r="UWY34" s="143"/>
      <c r="UWZ34" s="143"/>
      <c r="UXA34" s="143"/>
      <c r="UXB34" s="143"/>
      <c r="UXC34" s="143"/>
      <c r="UXD34" s="143"/>
      <c r="UXE34" s="143"/>
      <c r="UXF34" s="143"/>
      <c r="UXG34" s="143"/>
      <c r="UXH34" s="143"/>
      <c r="UXI34" s="143"/>
      <c r="UXJ34" s="143"/>
      <c r="UXK34" s="143"/>
      <c r="UXL34" s="143"/>
      <c r="UXM34" s="143"/>
      <c r="UXN34" s="143"/>
      <c r="UXO34" s="143"/>
      <c r="UXP34" s="143"/>
      <c r="UXQ34" s="143"/>
      <c r="UXR34" s="143"/>
      <c r="UXS34" s="143"/>
      <c r="UXT34" s="143"/>
      <c r="UXU34" s="143"/>
      <c r="UXV34" s="143"/>
      <c r="UXW34" s="143"/>
      <c r="UXX34" s="143"/>
      <c r="UXY34" s="143"/>
      <c r="UXZ34" s="143"/>
      <c r="UYA34" s="143"/>
      <c r="UYB34" s="143"/>
      <c r="UYC34" s="143"/>
      <c r="UYD34" s="143"/>
      <c r="UYE34" s="143"/>
      <c r="UYF34" s="143"/>
      <c r="UYG34" s="143"/>
      <c r="UYH34" s="143"/>
      <c r="UYI34" s="143"/>
      <c r="UYJ34" s="143"/>
      <c r="UYK34" s="143"/>
      <c r="UYL34" s="143"/>
      <c r="UYM34" s="143"/>
      <c r="UYN34" s="143"/>
      <c r="UYO34" s="143"/>
      <c r="UYP34" s="143"/>
      <c r="UYQ34" s="143"/>
      <c r="UYR34" s="143"/>
      <c r="UYS34" s="143"/>
      <c r="UYT34" s="143"/>
      <c r="UYU34" s="143"/>
      <c r="UYV34" s="143"/>
      <c r="UYW34" s="143"/>
      <c r="UYX34" s="143"/>
      <c r="UYY34" s="143"/>
      <c r="UYZ34" s="143"/>
      <c r="UZA34" s="143"/>
      <c r="UZB34" s="143"/>
      <c r="UZC34" s="143"/>
      <c r="UZD34" s="143"/>
      <c r="UZE34" s="143"/>
      <c r="UZF34" s="143"/>
      <c r="UZG34" s="143"/>
      <c r="UZH34" s="143"/>
      <c r="UZI34" s="143"/>
      <c r="UZJ34" s="143"/>
      <c r="UZK34" s="143"/>
      <c r="UZL34" s="143"/>
      <c r="UZM34" s="143"/>
      <c r="UZN34" s="143"/>
      <c r="UZO34" s="143"/>
      <c r="UZP34" s="143"/>
      <c r="UZQ34" s="143"/>
      <c r="UZR34" s="143"/>
      <c r="UZS34" s="143"/>
      <c r="UZT34" s="143"/>
      <c r="UZU34" s="143"/>
      <c r="UZV34" s="143"/>
      <c r="UZW34" s="143"/>
      <c r="UZX34" s="143"/>
      <c r="UZY34" s="143"/>
      <c r="UZZ34" s="143"/>
      <c r="VAA34" s="143"/>
      <c r="VAB34" s="143"/>
      <c r="VAC34" s="143"/>
      <c r="VAD34" s="143"/>
      <c r="VAE34" s="143"/>
      <c r="VAF34" s="143"/>
      <c r="VAG34" s="143"/>
      <c r="VAH34" s="143"/>
      <c r="VAI34" s="143"/>
      <c r="VAJ34" s="143"/>
      <c r="VAK34" s="143"/>
      <c r="VAL34" s="143"/>
      <c r="VAM34" s="143"/>
      <c r="VAN34" s="143"/>
      <c r="VAO34" s="143"/>
      <c r="VAP34" s="143"/>
      <c r="VAQ34" s="143"/>
      <c r="VAR34" s="143"/>
      <c r="VAS34" s="143"/>
      <c r="VAT34" s="143"/>
      <c r="VAU34" s="143"/>
      <c r="VAV34" s="143"/>
      <c r="VAW34" s="143"/>
      <c r="VAX34" s="143"/>
      <c r="VAY34" s="143"/>
      <c r="VAZ34" s="143"/>
      <c r="VBA34" s="143"/>
      <c r="VBB34" s="143"/>
      <c r="VBC34" s="143"/>
      <c r="VBD34" s="143"/>
      <c r="VBE34" s="143"/>
      <c r="VBF34" s="143"/>
      <c r="VBG34" s="143"/>
      <c r="VBH34" s="143"/>
      <c r="VBI34" s="143"/>
      <c r="VBJ34" s="143"/>
      <c r="VBK34" s="143"/>
      <c r="VBL34" s="143"/>
      <c r="VBM34" s="143"/>
      <c r="VBN34" s="143"/>
      <c r="VBO34" s="143"/>
      <c r="VBP34" s="143"/>
      <c r="VBQ34" s="143"/>
      <c r="VBR34" s="143"/>
      <c r="VBS34" s="143"/>
      <c r="VBT34" s="143"/>
      <c r="VBU34" s="143"/>
      <c r="VBV34" s="143"/>
      <c r="VBW34" s="143"/>
      <c r="VBX34" s="143"/>
      <c r="VBY34" s="143"/>
      <c r="VBZ34" s="143"/>
      <c r="VCA34" s="143"/>
      <c r="VCB34" s="143"/>
      <c r="VCC34" s="143"/>
      <c r="VCD34" s="143"/>
      <c r="VCE34" s="143"/>
      <c r="VCF34" s="143"/>
      <c r="VCG34" s="143"/>
      <c r="VCH34" s="143"/>
      <c r="VCI34" s="143"/>
      <c r="VCJ34" s="143"/>
      <c r="VCK34" s="143"/>
      <c r="VCL34" s="143"/>
      <c r="VCM34" s="143"/>
      <c r="VCN34" s="143"/>
      <c r="VCO34" s="143"/>
      <c r="VCP34" s="143"/>
      <c r="VCQ34" s="143"/>
      <c r="VCR34" s="143"/>
      <c r="VCS34" s="143"/>
      <c r="VCT34" s="143"/>
      <c r="VCU34" s="143"/>
      <c r="VCV34" s="143"/>
      <c r="VCW34" s="143"/>
      <c r="VCX34" s="143"/>
      <c r="VCY34" s="143"/>
      <c r="VCZ34" s="143"/>
      <c r="VDA34" s="143"/>
      <c r="VDB34" s="143"/>
      <c r="VDC34" s="143"/>
      <c r="VDD34" s="143"/>
      <c r="VDE34" s="143"/>
      <c r="VDF34" s="143"/>
      <c r="VDG34" s="143"/>
      <c r="VDH34" s="143"/>
      <c r="VDI34" s="143"/>
      <c r="VDJ34" s="143"/>
      <c r="VDK34" s="143"/>
      <c r="VDL34" s="143"/>
      <c r="VDM34" s="143"/>
      <c r="VDN34" s="143"/>
      <c r="VDO34" s="143"/>
      <c r="VDP34" s="143"/>
      <c r="VDQ34" s="143"/>
      <c r="VDR34" s="143"/>
      <c r="VDS34" s="143"/>
      <c r="VDT34" s="143"/>
      <c r="VDU34" s="143"/>
      <c r="VDV34" s="143"/>
      <c r="VDW34" s="143"/>
      <c r="VDX34" s="143"/>
      <c r="VDY34" s="143"/>
      <c r="VDZ34" s="143"/>
      <c r="VEA34" s="143"/>
      <c r="VEB34" s="143"/>
      <c r="VEC34" s="143"/>
      <c r="VED34" s="143"/>
      <c r="VEE34" s="143"/>
      <c r="VEF34" s="143"/>
      <c r="VEG34" s="143"/>
      <c r="VEH34" s="143"/>
      <c r="VEI34" s="143"/>
      <c r="VEJ34" s="143"/>
      <c r="VEK34" s="143"/>
      <c r="VEL34" s="143"/>
      <c r="VEM34" s="143"/>
      <c r="VEN34" s="143"/>
      <c r="VEO34" s="143"/>
      <c r="VEP34" s="143"/>
      <c r="VEQ34" s="143"/>
      <c r="VER34" s="143"/>
      <c r="VES34" s="143"/>
      <c r="VET34" s="143"/>
      <c r="VEU34" s="143"/>
      <c r="VEV34" s="143"/>
      <c r="VEW34" s="143"/>
      <c r="VEX34" s="143"/>
      <c r="VEY34" s="143"/>
      <c r="VEZ34" s="143"/>
      <c r="VFA34" s="143"/>
      <c r="VFB34" s="143"/>
      <c r="VFC34" s="143"/>
      <c r="VFD34" s="143"/>
      <c r="VFE34" s="143"/>
      <c r="VFF34" s="143"/>
      <c r="VFG34" s="143"/>
      <c r="VFH34" s="143"/>
      <c r="VFI34" s="143"/>
      <c r="VFJ34" s="143"/>
      <c r="VFK34" s="143"/>
      <c r="VFL34" s="143"/>
      <c r="VFM34" s="143"/>
      <c r="VFN34" s="143"/>
      <c r="VFO34" s="143"/>
      <c r="VFP34" s="143"/>
      <c r="VFQ34" s="143"/>
      <c r="VFR34" s="143"/>
      <c r="VFS34" s="143"/>
      <c r="VFT34" s="143"/>
      <c r="VFU34" s="143"/>
      <c r="VFV34" s="143"/>
      <c r="VFW34" s="143"/>
      <c r="VFX34" s="143"/>
      <c r="VFY34" s="143"/>
      <c r="VFZ34" s="143"/>
      <c r="VGA34" s="143"/>
      <c r="VGB34" s="143"/>
      <c r="VGC34" s="143"/>
      <c r="VGD34" s="143"/>
      <c r="VGE34" s="143"/>
      <c r="VGF34" s="143"/>
      <c r="VGG34" s="143"/>
      <c r="VGH34" s="143"/>
      <c r="VGI34" s="143"/>
      <c r="VGJ34" s="143"/>
      <c r="VGK34" s="143"/>
      <c r="VGL34" s="143"/>
      <c r="VGM34" s="143"/>
      <c r="VGN34" s="143"/>
      <c r="VGO34" s="143"/>
      <c r="VGP34" s="143"/>
      <c r="VGQ34" s="143"/>
      <c r="VGR34" s="143"/>
      <c r="VGS34" s="143"/>
      <c r="VGT34" s="143"/>
      <c r="VGU34" s="143"/>
      <c r="VGV34" s="143"/>
      <c r="VGW34" s="143"/>
      <c r="VGX34" s="143"/>
      <c r="VGY34" s="143"/>
      <c r="VGZ34" s="143"/>
      <c r="VHA34" s="143"/>
      <c r="VHB34" s="143"/>
      <c r="VHC34" s="143"/>
      <c r="VHD34" s="143"/>
      <c r="VHE34" s="143"/>
      <c r="VHF34" s="143"/>
      <c r="VHG34" s="143"/>
      <c r="VHH34" s="143"/>
      <c r="VHI34" s="143"/>
      <c r="VHJ34" s="143"/>
      <c r="VHK34" s="143"/>
      <c r="VHL34" s="143"/>
      <c r="VHM34" s="143"/>
      <c r="VHN34" s="143"/>
      <c r="VHO34" s="143"/>
      <c r="VHP34" s="143"/>
      <c r="VHQ34" s="143"/>
      <c r="VHR34" s="143"/>
      <c r="VHS34" s="143"/>
      <c r="VHT34" s="143"/>
      <c r="VHU34" s="143"/>
      <c r="VHV34" s="143"/>
      <c r="VHW34" s="143"/>
      <c r="VHX34" s="143"/>
      <c r="VHY34" s="143"/>
      <c r="VHZ34" s="143"/>
      <c r="VIA34" s="143"/>
      <c r="VIB34" s="143"/>
      <c r="VIC34" s="143"/>
      <c r="VID34" s="143"/>
      <c r="VIE34" s="143"/>
      <c r="VIF34" s="143"/>
      <c r="VIG34" s="143"/>
      <c r="VIH34" s="143"/>
      <c r="VII34" s="143"/>
      <c r="VIJ34" s="143"/>
      <c r="VIK34" s="143"/>
      <c r="VIL34" s="143"/>
      <c r="VIM34" s="143"/>
      <c r="VIN34" s="143"/>
      <c r="VIO34" s="143"/>
      <c r="VIP34" s="143"/>
      <c r="VIQ34" s="143"/>
      <c r="VIR34" s="143"/>
      <c r="VIS34" s="143"/>
      <c r="VIT34" s="143"/>
      <c r="VIU34" s="143"/>
      <c r="VIV34" s="143"/>
      <c r="VIW34" s="143"/>
      <c r="VIX34" s="143"/>
      <c r="VIY34" s="143"/>
      <c r="VIZ34" s="143"/>
      <c r="VJA34" s="143"/>
      <c r="VJB34" s="143"/>
      <c r="VJC34" s="143"/>
      <c r="VJD34" s="143"/>
      <c r="VJE34" s="143"/>
      <c r="VJF34" s="143"/>
      <c r="VJG34" s="143"/>
      <c r="VJH34" s="143"/>
      <c r="VJI34" s="143"/>
      <c r="VJJ34" s="143"/>
      <c r="VJK34" s="143"/>
      <c r="VJL34" s="143"/>
      <c r="VJM34" s="143"/>
      <c r="VJN34" s="143"/>
      <c r="VJO34" s="143"/>
      <c r="VJP34" s="143"/>
      <c r="VJQ34" s="143"/>
      <c r="VJR34" s="143"/>
      <c r="VJS34" s="143"/>
      <c r="VJT34" s="143"/>
      <c r="VJU34" s="143"/>
      <c r="VJV34" s="143"/>
      <c r="VJW34" s="143"/>
      <c r="VJX34" s="143"/>
      <c r="VJY34" s="143"/>
      <c r="VJZ34" s="143"/>
      <c r="VKA34" s="143"/>
      <c r="VKB34" s="143"/>
      <c r="VKC34" s="143"/>
      <c r="VKD34" s="143"/>
      <c r="VKE34" s="143"/>
      <c r="VKF34" s="143"/>
      <c r="VKG34" s="143"/>
      <c r="VKH34" s="143"/>
      <c r="VKI34" s="143"/>
      <c r="VKJ34" s="143"/>
      <c r="VKK34" s="143"/>
      <c r="VKL34" s="143"/>
      <c r="VKM34" s="143"/>
      <c r="VKN34" s="143"/>
      <c r="VKO34" s="143"/>
      <c r="VKP34" s="143"/>
      <c r="VKQ34" s="143"/>
      <c r="VKR34" s="143"/>
      <c r="VKS34" s="143"/>
      <c r="VKT34" s="143"/>
      <c r="VKU34" s="143"/>
      <c r="VKV34" s="143"/>
      <c r="VKW34" s="143"/>
      <c r="VKX34" s="143"/>
      <c r="VKY34" s="143"/>
      <c r="VKZ34" s="143"/>
      <c r="VLA34" s="143"/>
      <c r="VLB34" s="143"/>
      <c r="VLC34" s="143"/>
      <c r="VLD34" s="143"/>
      <c r="VLE34" s="143"/>
      <c r="VLF34" s="143"/>
      <c r="VLG34" s="143"/>
      <c r="VLH34" s="143"/>
      <c r="VLI34" s="143"/>
      <c r="VLJ34" s="143"/>
      <c r="VLK34" s="143"/>
      <c r="VLL34" s="143"/>
      <c r="VLM34" s="143"/>
      <c r="VLN34" s="143"/>
      <c r="VLO34" s="143"/>
      <c r="VLP34" s="143"/>
      <c r="VLQ34" s="143"/>
      <c r="VLR34" s="143"/>
      <c r="VLS34" s="143"/>
      <c r="VLT34" s="143"/>
      <c r="VLU34" s="143"/>
      <c r="VLV34" s="143"/>
      <c r="VLW34" s="143"/>
      <c r="VLX34" s="143"/>
      <c r="VLY34" s="143"/>
      <c r="VLZ34" s="143"/>
      <c r="VMA34" s="143"/>
      <c r="VMB34" s="143"/>
      <c r="VMC34" s="143"/>
      <c r="VMD34" s="143"/>
      <c r="VME34" s="143"/>
      <c r="VMF34" s="143"/>
      <c r="VMG34" s="143"/>
      <c r="VMH34" s="143"/>
      <c r="VMI34" s="143"/>
      <c r="VMJ34" s="143"/>
      <c r="VMK34" s="143"/>
      <c r="VML34" s="143"/>
      <c r="VMM34" s="143"/>
      <c r="VMN34" s="143"/>
      <c r="VMO34" s="143"/>
      <c r="VMP34" s="143"/>
      <c r="VMQ34" s="143"/>
      <c r="VMR34" s="143"/>
      <c r="VMS34" s="143"/>
      <c r="VMT34" s="143"/>
      <c r="VMU34" s="143"/>
      <c r="VMV34" s="143"/>
      <c r="VMW34" s="143"/>
      <c r="VMX34" s="143"/>
      <c r="VMY34" s="143"/>
      <c r="VMZ34" s="143"/>
      <c r="VNA34" s="143"/>
      <c r="VNB34" s="143"/>
      <c r="VNC34" s="143"/>
      <c r="VND34" s="143"/>
      <c r="VNE34" s="143"/>
      <c r="VNF34" s="143"/>
      <c r="VNG34" s="143"/>
      <c r="VNH34" s="143"/>
      <c r="VNI34" s="143"/>
      <c r="VNJ34" s="143"/>
      <c r="VNK34" s="143"/>
      <c r="VNL34" s="143"/>
      <c r="VNM34" s="143"/>
      <c r="VNN34" s="143"/>
      <c r="VNO34" s="143"/>
      <c r="VNP34" s="143"/>
      <c r="VNQ34" s="143"/>
      <c r="VNR34" s="143"/>
      <c r="VNS34" s="143"/>
      <c r="VNT34" s="143"/>
      <c r="VNU34" s="143"/>
      <c r="VNV34" s="143"/>
      <c r="VNW34" s="143"/>
      <c r="VNX34" s="143"/>
      <c r="VNY34" s="143"/>
      <c r="VNZ34" s="143"/>
      <c r="VOA34" s="143"/>
      <c r="VOB34" s="143"/>
      <c r="VOC34" s="143"/>
      <c r="VOD34" s="143"/>
      <c r="VOE34" s="143"/>
      <c r="VOF34" s="143"/>
      <c r="VOG34" s="143"/>
      <c r="VOH34" s="143"/>
      <c r="VOI34" s="143"/>
      <c r="VOJ34" s="143"/>
      <c r="VOK34" s="143"/>
      <c r="VOL34" s="143"/>
      <c r="VOM34" s="143"/>
      <c r="VON34" s="143"/>
      <c r="VOO34" s="143"/>
      <c r="VOP34" s="143"/>
      <c r="VOQ34" s="143"/>
      <c r="VOR34" s="143"/>
      <c r="VOS34" s="143"/>
      <c r="VOT34" s="143"/>
      <c r="VOU34" s="143"/>
      <c r="VOV34" s="143"/>
      <c r="VOW34" s="143"/>
      <c r="VOX34" s="143"/>
      <c r="VOY34" s="143"/>
      <c r="VOZ34" s="143"/>
      <c r="VPA34" s="143"/>
      <c r="VPB34" s="143"/>
      <c r="VPC34" s="143"/>
      <c r="VPD34" s="143"/>
      <c r="VPE34" s="143"/>
      <c r="VPF34" s="143"/>
      <c r="VPG34" s="143"/>
      <c r="VPH34" s="143"/>
      <c r="VPI34" s="143"/>
      <c r="VPJ34" s="143"/>
      <c r="VPK34" s="143"/>
      <c r="VPL34" s="143"/>
      <c r="VPM34" s="143"/>
      <c r="VPN34" s="143"/>
      <c r="VPO34" s="143"/>
      <c r="VPP34" s="143"/>
      <c r="VPQ34" s="143"/>
      <c r="VPR34" s="143"/>
      <c r="VPS34" s="143"/>
      <c r="VPT34" s="143"/>
      <c r="VPU34" s="143"/>
      <c r="VPV34" s="143"/>
      <c r="VPW34" s="143"/>
      <c r="VPX34" s="143"/>
      <c r="VPY34" s="143"/>
      <c r="VPZ34" s="143"/>
      <c r="VQA34" s="143"/>
      <c r="VQB34" s="143"/>
      <c r="VQC34" s="143"/>
      <c r="VQD34" s="143"/>
      <c r="VQE34" s="143"/>
      <c r="VQF34" s="143"/>
      <c r="VQG34" s="143"/>
      <c r="VQH34" s="143"/>
      <c r="VQI34" s="143"/>
      <c r="VQJ34" s="143"/>
      <c r="VQK34" s="143"/>
      <c r="VQL34" s="143"/>
      <c r="VQM34" s="143"/>
      <c r="VQN34" s="143"/>
      <c r="VQO34" s="143"/>
      <c r="VQP34" s="143"/>
      <c r="VQQ34" s="143"/>
      <c r="VQR34" s="143"/>
      <c r="VQS34" s="143"/>
      <c r="VQT34" s="143"/>
      <c r="VQU34" s="143"/>
      <c r="VQV34" s="143"/>
      <c r="VQW34" s="143"/>
      <c r="VQX34" s="143"/>
      <c r="VQY34" s="143"/>
      <c r="VQZ34" s="143"/>
      <c r="VRA34" s="143"/>
      <c r="VRB34" s="143"/>
      <c r="VRC34" s="143"/>
      <c r="VRD34" s="143"/>
      <c r="VRE34" s="143"/>
      <c r="VRF34" s="143"/>
      <c r="VRG34" s="143"/>
      <c r="VRH34" s="143"/>
      <c r="VRI34" s="143"/>
      <c r="VRJ34" s="143"/>
      <c r="VRK34" s="143"/>
      <c r="VRL34" s="143"/>
      <c r="VRM34" s="143"/>
      <c r="VRN34" s="143"/>
      <c r="VRO34" s="143"/>
      <c r="VRP34" s="143"/>
      <c r="VRQ34" s="143"/>
      <c r="VRR34" s="143"/>
      <c r="VRS34" s="143"/>
      <c r="VRT34" s="143"/>
      <c r="VRU34" s="143"/>
      <c r="VRV34" s="143"/>
      <c r="VRW34" s="143"/>
      <c r="VRX34" s="143"/>
      <c r="VRY34" s="143"/>
      <c r="VRZ34" s="143"/>
      <c r="VSA34" s="143"/>
      <c r="VSB34" s="143"/>
      <c r="VSC34" s="143"/>
      <c r="VSD34" s="143"/>
      <c r="VSE34" s="143"/>
      <c r="VSF34" s="143"/>
      <c r="VSG34" s="143"/>
      <c r="VSH34" s="143"/>
      <c r="VSI34" s="143"/>
      <c r="VSJ34" s="143"/>
      <c r="VSK34" s="143"/>
      <c r="VSL34" s="143"/>
      <c r="VSM34" s="143"/>
      <c r="VSN34" s="143"/>
      <c r="VSO34" s="143"/>
      <c r="VSP34" s="143"/>
      <c r="VSQ34" s="143"/>
      <c r="VSR34" s="143"/>
      <c r="VSS34" s="143"/>
      <c r="VST34" s="143"/>
      <c r="VSU34" s="143"/>
      <c r="VSV34" s="143"/>
      <c r="VSW34" s="143"/>
      <c r="VSX34" s="143"/>
      <c r="VSY34" s="143"/>
      <c r="VSZ34" s="143"/>
      <c r="VTA34" s="143"/>
      <c r="VTB34" s="143"/>
      <c r="VTC34" s="143"/>
      <c r="VTD34" s="143"/>
      <c r="VTE34" s="143"/>
      <c r="VTF34" s="143"/>
      <c r="VTG34" s="143"/>
      <c r="VTH34" s="143"/>
      <c r="VTI34" s="143"/>
      <c r="VTJ34" s="143"/>
      <c r="VTK34" s="143"/>
      <c r="VTL34" s="143"/>
      <c r="VTM34" s="143"/>
      <c r="VTN34" s="143"/>
      <c r="VTO34" s="143"/>
      <c r="VTP34" s="143"/>
      <c r="VTQ34" s="143"/>
      <c r="VTR34" s="143"/>
      <c r="VTS34" s="143"/>
      <c r="VTT34" s="143"/>
      <c r="VTU34" s="143"/>
      <c r="VTV34" s="143"/>
      <c r="VTW34" s="143"/>
      <c r="VTX34" s="143"/>
      <c r="VTY34" s="143"/>
      <c r="VTZ34" s="143"/>
      <c r="VUA34" s="143"/>
      <c r="VUB34" s="143"/>
      <c r="VUC34" s="143"/>
      <c r="VUD34" s="143"/>
      <c r="VUE34" s="143"/>
      <c r="VUF34" s="143"/>
      <c r="VUG34" s="143"/>
      <c r="VUH34" s="143"/>
      <c r="VUI34" s="143"/>
      <c r="VUJ34" s="143"/>
      <c r="VUK34" s="143"/>
      <c r="VUL34" s="143"/>
      <c r="VUM34" s="143"/>
      <c r="VUN34" s="143"/>
      <c r="VUO34" s="143"/>
      <c r="VUP34" s="143"/>
      <c r="VUQ34" s="143"/>
      <c r="VUR34" s="143"/>
      <c r="VUS34" s="143"/>
      <c r="VUT34" s="143"/>
      <c r="VUU34" s="143"/>
      <c r="VUV34" s="143"/>
      <c r="VUW34" s="143"/>
      <c r="VUX34" s="143"/>
      <c r="VUY34" s="143"/>
      <c r="VUZ34" s="143"/>
      <c r="VVA34" s="143"/>
      <c r="VVB34" s="143"/>
      <c r="VVC34" s="143"/>
      <c r="VVD34" s="143"/>
      <c r="VVE34" s="143"/>
      <c r="VVF34" s="143"/>
      <c r="VVG34" s="143"/>
      <c r="VVH34" s="143"/>
      <c r="VVI34" s="143"/>
      <c r="VVJ34" s="143"/>
      <c r="VVK34" s="143"/>
      <c r="VVL34" s="143"/>
      <c r="VVM34" s="143"/>
      <c r="VVN34" s="143"/>
      <c r="VVO34" s="143"/>
      <c r="VVP34" s="143"/>
      <c r="VVQ34" s="143"/>
      <c r="VVR34" s="143"/>
      <c r="VVS34" s="143"/>
      <c r="VVT34" s="143"/>
      <c r="VVU34" s="143"/>
      <c r="VVV34" s="143"/>
      <c r="VVW34" s="143"/>
      <c r="VVX34" s="143"/>
      <c r="VVY34" s="143"/>
      <c r="VVZ34" s="143"/>
      <c r="VWA34" s="143"/>
      <c r="VWB34" s="143"/>
      <c r="VWC34" s="143"/>
      <c r="VWD34" s="143"/>
      <c r="VWE34" s="143"/>
      <c r="VWF34" s="143"/>
      <c r="VWG34" s="143"/>
      <c r="VWH34" s="143"/>
      <c r="VWI34" s="143"/>
      <c r="VWJ34" s="143"/>
      <c r="VWK34" s="143"/>
      <c r="VWL34" s="143"/>
      <c r="VWM34" s="143"/>
      <c r="VWN34" s="143"/>
      <c r="VWO34" s="143"/>
      <c r="VWP34" s="143"/>
      <c r="VWQ34" s="143"/>
      <c r="VWR34" s="143"/>
      <c r="VWS34" s="143"/>
      <c r="VWT34" s="143"/>
      <c r="VWU34" s="143"/>
      <c r="VWV34" s="143"/>
      <c r="VWW34" s="143"/>
      <c r="VWX34" s="143"/>
      <c r="VWY34" s="143"/>
      <c r="VWZ34" s="143"/>
      <c r="VXA34" s="143"/>
      <c r="VXB34" s="143"/>
      <c r="VXC34" s="143"/>
      <c r="VXD34" s="143"/>
      <c r="VXE34" s="143"/>
      <c r="VXF34" s="143"/>
      <c r="VXG34" s="143"/>
      <c r="VXH34" s="143"/>
      <c r="VXI34" s="143"/>
      <c r="VXJ34" s="143"/>
      <c r="VXK34" s="143"/>
      <c r="VXL34" s="143"/>
      <c r="VXM34" s="143"/>
      <c r="VXN34" s="143"/>
      <c r="VXO34" s="143"/>
      <c r="VXP34" s="143"/>
      <c r="VXQ34" s="143"/>
      <c r="VXR34" s="143"/>
      <c r="VXS34" s="143"/>
      <c r="VXT34" s="143"/>
      <c r="VXU34" s="143"/>
      <c r="VXV34" s="143"/>
      <c r="VXW34" s="143"/>
      <c r="VXX34" s="143"/>
      <c r="VXY34" s="143"/>
      <c r="VXZ34" s="143"/>
      <c r="VYA34" s="143"/>
      <c r="VYB34" s="143"/>
      <c r="VYC34" s="143"/>
      <c r="VYD34" s="143"/>
      <c r="VYE34" s="143"/>
      <c r="VYF34" s="143"/>
      <c r="VYG34" s="143"/>
      <c r="VYH34" s="143"/>
      <c r="VYI34" s="143"/>
      <c r="VYJ34" s="143"/>
      <c r="VYK34" s="143"/>
      <c r="VYL34" s="143"/>
      <c r="VYM34" s="143"/>
      <c r="VYN34" s="143"/>
      <c r="VYO34" s="143"/>
      <c r="VYP34" s="143"/>
      <c r="VYQ34" s="143"/>
      <c r="VYR34" s="143"/>
      <c r="VYS34" s="143"/>
      <c r="VYT34" s="143"/>
      <c r="VYU34" s="143"/>
      <c r="VYV34" s="143"/>
      <c r="VYW34" s="143"/>
      <c r="VYX34" s="143"/>
      <c r="VYY34" s="143"/>
      <c r="VYZ34" s="143"/>
      <c r="VZA34" s="143"/>
      <c r="VZB34" s="143"/>
      <c r="VZC34" s="143"/>
      <c r="VZD34" s="143"/>
      <c r="VZE34" s="143"/>
      <c r="VZF34" s="143"/>
      <c r="VZG34" s="143"/>
      <c r="VZH34" s="143"/>
      <c r="VZI34" s="143"/>
      <c r="VZJ34" s="143"/>
      <c r="VZK34" s="143"/>
      <c r="VZL34" s="143"/>
      <c r="VZM34" s="143"/>
      <c r="VZN34" s="143"/>
      <c r="VZO34" s="143"/>
      <c r="VZP34" s="143"/>
      <c r="VZQ34" s="143"/>
      <c r="VZR34" s="143"/>
      <c r="VZS34" s="143"/>
      <c r="VZT34" s="143"/>
      <c r="VZU34" s="143"/>
      <c r="VZV34" s="143"/>
      <c r="VZW34" s="143"/>
      <c r="VZX34" s="143"/>
      <c r="VZY34" s="143"/>
      <c r="VZZ34" s="143"/>
      <c r="WAA34" s="143"/>
      <c r="WAB34" s="143"/>
      <c r="WAC34" s="143"/>
      <c r="WAD34" s="143"/>
      <c r="WAE34" s="143"/>
      <c r="WAF34" s="143"/>
      <c r="WAG34" s="143"/>
      <c r="WAH34" s="143"/>
      <c r="WAI34" s="143"/>
      <c r="WAJ34" s="143"/>
      <c r="WAK34" s="143"/>
      <c r="WAL34" s="143"/>
      <c r="WAM34" s="143"/>
      <c r="WAN34" s="143"/>
      <c r="WAO34" s="143"/>
      <c r="WAP34" s="143"/>
      <c r="WAQ34" s="143"/>
      <c r="WAR34" s="143"/>
      <c r="WAS34" s="143"/>
      <c r="WAT34" s="143"/>
      <c r="WAU34" s="143"/>
      <c r="WAV34" s="143"/>
      <c r="WAW34" s="143"/>
      <c r="WAX34" s="143"/>
      <c r="WAY34" s="143"/>
      <c r="WAZ34" s="143"/>
      <c r="WBA34" s="143"/>
      <c r="WBB34" s="143"/>
      <c r="WBC34" s="143"/>
      <c r="WBD34" s="143"/>
      <c r="WBE34" s="143"/>
      <c r="WBF34" s="143"/>
      <c r="WBG34" s="143"/>
      <c r="WBH34" s="143"/>
      <c r="WBI34" s="143"/>
      <c r="WBJ34" s="143"/>
      <c r="WBK34" s="143"/>
      <c r="WBL34" s="143"/>
      <c r="WBM34" s="143"/>
      <c r="WBN34" s="143"/>
      <c r="WBO34" s="143"/>
      <c r="WBP34" s="143"/>
      <c r="WBQ34" s="143"/>
      <c r="WBR34" s="143"/>
      <c r="WBS34" s="143"/>
      <c r="WBT34" s="143"/>
      <c r="WBU34" s="143"/>
      <c r="WBV34" s="143"/>
      <c r="WBW34" s="143"/>
      <c r="WBX34" s="143"/>
      <c r="WBY34" s="143"/>
      <c r="WBZ34" s="143"/>
      <c r="WCA34" s="143"/>
      <c r="WCB34" s="143"/>
      <c r="WCC34" s="143"/>
      <c r="WCD34" s="143"/>
      <c r="WCE34" s="143"/>
      <c r="WCF34" s="143"/>
      <c r="WCG34" s="143"/>
      <c r="WCH34" s="143"/>
      <c r="WCI34" s="143"/>
      <c r="WCJ34" s="143"/>
      <c r="WCK34" s="143"/>
      <c r="WCL34" s="143"/>
      <c r="WCM34" s="143"/>
      <c r="WCN34" s="143"/>
      <c r="WCO34" s="143"/>
      <c r="WCP34" s="143"/>
      <c r="WCQ34" s="143"/>
      <c r="WCR34" s="143"/>
      <c r="WCS34" s="143"/>
      <c r="WCT34" s="143"/>
      <c r="WCU34" s="143"/>
      <c r="WCV34" s="143"/>
      <c r="WCW34" s="143"/>
      <c r="WCX34" s="143"/>
      <c r="WCY34" s="143"/>
      <c r="WCZ34" s="143"/>
      <c r="WDA34" s="143"/>
      <c r="WDB34" s="143"/>
      <c r="WDC34" s="143"/>
      <c r="WDD34" s="143"/>
      <c r="WDE34" s="143"/>
      <c r="WDF34" s="143"/>
      <c r="WDG34" s="143"/>
      <c r="WDH34" s="143"/>
      <c r="WDI34" s="143"/>
      <c r="WDJ34" s="143"/>
      <c r="WDK34" s="143"/>
      <c r="WDL34" s="143"/>
      <c r="WDM34" s="143"/>
      <c r="WDN34" s="143"/>
      <c r="WDO34" s="143"/>
      <c r="WDP34" s="143"/>
      <c r="WDQ34" s="143"/>
      <c r="WDR34" s="143"/>
      <c r="WDS34" s="143"/>
      <c r="WDT34" s="143"/>
      <c r="WDU34" s="143"/>
      <c r="WDV34" s="143"/>
      <c r="WDW34" s="143"/>
      <c r="WDX34" s="143"/>
      <c r="WDY34" s="143"/>
      <c r="WDZ34" s="143"/>
      <c r="WEA34" s="143"/>
      <c r="WEB34" s="143"/>
      <c r="WEC34" s="143"/>
      <c r="WED34" s="143"/>
      <c r="WEE34" s="143"/>
      <c r="WEF34" s="143"/>
      <c r="WEG34" s="143"/>
      <c r="WEH34" s="143"/>
      <c r="WEI34" s="143"/>
      <c r="WEJ34" s="143"/>
      <c r="WEK34" s="143"/>
      <c r="WEL34" s="143"/>
      <c r="WEM34" s="143"/>
      <c r="WEN34" s="143"/>
      <c r="WEO34" s="143"/>
      <c r="WEP34" s="143"/>
      <c r="WEQ34" s="143"/>
      <c r="WER34" s="143"/>
      <c r="WES34" s="143"/>
      <c r="WET34" s="143"/>
      <c r="WEU34" s="143"/>
      <c r="WEV34" s="143"/>
      <c r="WEW34" s="143"/>
      <c r="WEX34" s="143"/>
      <c r="WEY34" s="143"/>
      <c r="WEZ34" s="143"/>
      <c r="WFA34" s="143"/>
      <c r="WFB34" s="143"/>
      <c r="WFC34" s="143"/>
      <c r="WFD34" s="143"/>
      <c r="WFE34" s="143"/>
      <c r="WFF34" s="143"/>
      <c r="WFG34" s="143"/>
      <c r="WFH34" s="143"/>
      <c r="WFI34" s="143"/>
      <c r="WFJ34" s="143"/>
      <c r="WFK34" s="143"/>
      <c r="WFL34" s="143"/>
      <c r="WFM34" s="143"/>
      <c r="WFN34" s="143"/>
      <c r="WFO34" s="143"/>
      <c r="WFP34" s="143"/>
      <c r="WFQ34" s="143"/>
      <c r="WFR34" s="143"/>
      <c r="WFS34" s="143"/>
      <c r="WFT34" s="143"/>
      <c r="WFU34" s="143"/>
      <c r="WFV34" s="143"/>
      <c r="WFW34" s="143"/>
      <c r="WFX34" s="143"/>
      <c r="WFY34" s="143"/>
      <c r="WFZ34" s="143"/>
      <c r="WGA34" s="143"/>
      <c r="WGB34" s="143"/>
      <c r="WGC34" s="143"/>
      <c r="WGD34" s="143"/>
      <c r="WGE34" s="143"/>
      <c r="WGF34" s="143"/>
      <c r="WGG34" s="143"/>
      <c r="WGH34" s="143"/>
      <c r="WGI34" s="143"/>
      <c r="WGJ34" s="143"/>
      <c r="WGK34" s="143"/>
      <c r="WGL34" s="143"/>
      <c r="WGM34" s="143"/>
      <c r="WGN34" s="143"/>
      <c r="WGO34" s="143"/>
      <c r="WGP34" s="143"/>
      <c r="WGQ34" s="143"/>
      <c r="WGR34" s="143"/>
      <c r="WGS34" s="143"/>
      <c r="WGT34" s="143"/>
      <c r="WGU34" s="143"/>
      <c r="WGV34" s="143"/>
      <c r="WGW34" s="143"/>
      <c r="WGX34" s="143"/>
      <c r="WGY34" s="143"/>
      <c r="WGZ34" s="143"/>
      <c r="WHA34" s="143"/>
      <c r="WHB34" s="143"/>
      <c r="WHC34" s="143"/>
      <c r="WHD34" s="143"/>
      <c r="WHE34" s="143"/>
      <c r="WHF34" s="143"/>
      <c r="WHG34" s="143"/>
      <c r="WHH34" s="143"/>
      <c r="WHI34" s="143"/>
      <c r="WHJ34" s="143"/>
      <c r="WHK34" s="143"/>
      <c r="WHL34" s="143"/>
      <c r="WHM34" s="143"/>
      <c r="WHN34" s="143"/>
      <c r="WHO34" s="143"/>
      <c r="WHP34" s="143"/>
      <c r="WHQ34" s="143"/>
      <c r="WHR34" s="143"/>
      <c r="WHS34" s="143"/>
      <c r="WHT34" s="143"/>
      <c r="WHU34" s="143"/>
      <c r="WHV34" s="143"/>
      <c r="WHW34" s="143"/>
      <c r="WHX34" s="143"/>
      <c r="WHY34" s="143"/>
      <c r="WHZ34" s="143"/>
      <c r="WIA34" s="143"/>
      <c r="WIB34" s="143"/>
      <c r="WIC34" s="143"/>
      <c r="WID34" s="143"/>
      <c r="WIE34" s="143"/>
      <c r="WIF34" s="143"/>
      <c r="WIG34" s="143"/>
      <c r="WIH34" s="143"/>
      <c r="WII34" s="143"/>
      <c r="WIJ34" s="143"/>
      <c r="WIK34" s="143"/>
      <c r="WIL34" s="143"/>
      <c r="WIM34" s="143"/>
      <c r="WIN34" s="143"/>
      <c r="WIO34" s="143"/>
      <c r="WIP34" s="143"/>
      <c r="WIQ34" s="143"/>
      <c r="WIR34" s="143"/>
      <c r="WIS34" s="143"/>
      <c r="WIT34" s="143"/>
      <c r="WIU34" s="143"/>
      <c r="WIV34" s="143"/>
      <c r="WIW34" s="143"/>
      <c r="WIX34" s="143"/>
      <c r="WIY34" s="143"/>
      <c r="WIZ34" s="143"/>
      <c r="WJA34" s="143"/>
      <c r="WJB34" s="143"/>
      <c r="WJC34" s="143"/>
      <c r="WJD34" s="143"/>
      <c r="WJE34" s="143"/>
      <c r="WJF34" s="143"/>
      <c r="WJG34" s="143"/>
      <c r="WJH34" s="143"/>
      <c r="WJI34" s="143"/>
      <c r="WJJ34" s="143"/>
      <c r="WJK34" s="143"/>
      <c r="WJL34" s="143"/>
      <c r="WJM34" s="143"/>
      <c r="WJN34" s="143"/>
      <c r="WJO34" s="143"/>
      <c r="WJP34" s="143"/>
      <c r="WJQ34" s="143"/>
      <c r="WJR34" s="143"/>
      <c r="WJS34" s="143"/>
      <c r="WJT34" s="143"/>
      <c r="WJU34" s="143"/>
      <c r="WJV34" s="143"/>
      <c r="WJW34" s="143"/>
      <c r="WJX34" s="143"/>
      <c r="WJY34" s="143"/>
      <c r="WJZ34" s="143"/>
      <c r="WKA34" s="143"/>
      <c r="WKB34" s="143"/>
      <c r="WKC34" s="143"/>
      <c r="WKD34" s="143"/>
      <c r="WKE34" s="143"/>
      <c r="WKF34" s="143"/>
      <c r="WKG34" s="143"/>
      <c r="WKH34" s="143"/>
      <c r="WKI34" s="143"/>
      <c r="WKJ34" s="143"/>
      <c r="WKK34" s="143"/>
      <c r="WKL34" s="143"/>
      <c r="WKM34" s="143"/>
      <c r="WKN34" s="143"/>
      <c r="WKO34" s="143"/>
      <c r="WKP34" s="143"/>
      <c r="WKQ34" s="143"/>
      <c r="WKR34" s="143"/>
      <c r="WKS34" s="143"/>
      <c r="WKT34" s="143"/>
      <c r="WKU34" s="143"/>
      <c r="WKV34" s="143"/>
      <c r="WKW34" s="143"/>
      <c r="WKX34" s="143"/>
      <c r="WKY34" s="143"/>
      <c r="WKZ34" s="143"/>
      <c r="WLA34" s="143"/>
      <c r="WLB34" s="143"/>
      <c r="WLC34" s="143"/>
      <c r="WLD34" s="143"/>
      <c r="WLE34" s="143"/>
      <c r="WLF34" s="143"/>
      <c r="WLG34" s="143"/>
      <c r="WLH34" s="143"/>
      <c r="WLI34" s="143"/>
      <c r="WLJ34" s="143"/>
      <c r="WLK34" s="143"/>
      <c r="WLL34" s="143"/>
      <c r="WLM34" s="143"/>
      <c r="WLN34" s="143"/>
      <c r="WLO34" s="143"/>
      <c r="WLP34" s="143"/>
      <c r="WLQ34" s="143"/>
      <c r="WLR34" s="143"/>
      <c r="WLS34" s="143"/>
      <c r="WLT34" s="143"/>
      <c r="WLU34" s="143"/>
      <c r="WLV34" s="143"/>
      <c r="WLW34" s="143"/>
      <c r="WLX34" s="143"/>
      <c r="WLY34" s="143"/>
      <c r="WLZ34" s="143"/>
      <c r="WMA34" s="143"/>
      <c r="WMB34" s="143"/>
      <c r="WMC34" s="143"/>
      <c r="WMD34" s="143"/>
      <c r="WME34" s="143"/>
      <c r="WMF34" s="143"/>
      <c r="WMG34" s="143"/>
      <c r="WMH34" s="143"/>
      <c r="WMI34" s="143"/>
      <c r="WMJ34" s="143"/>
      <c r="WMK34" s="143"/>
      <c r="WML34" s="143"/>
      <c r="WMM34" s="143"/>
      <c r="WMN34" s="143"/>
      <c r="WMO34" s="143"/>
      <c r="WMP34" s="143"/>
      <c r="WMQ34" s="143"/>
      <c r="WMR34" s="143"/>
      <c r="WMS34" s="143"/>
      <c r="WMT34" s="143"/>
      <c r="WMU34" s="143"/>
      <c r="WMV34" s="143"/>
      <c r="WMW34" s="143"/>
      <c r="WMX34" s="143"/>
      <c r="WMY34" s="143"/>
      <c r="WMZ34" s="143"/>
      <c r="WNA34" s="143"/>
      <c r="WNB34" s="143"/>
      <c r="WNC34" s="143"/>
      <c r="WND34" s="143"/>
      <c r="WNE34" s="143"/>
      <c r="WNF34" s="143"/>
      <c r="WNG34" s="143"/>
      <c r="WNH34" s="143"/>
      <c r="WNI34" s="143"/>
      <c r="WNJ34" s="143"/>
      <c r="WNK34" s="143"/>
      <c r="WNL34" s="143"/>
      <c r="WNM34" s="143"/>
      <c r="WNN34" s="143"/>
      <c r="WNO34" s="143"/>
      <c r="WNP34" s="143"/>
      <c r="WNQ34" s="143"/>
      <c r="WNR34" s="143"/>
      <c r="WNS34" s="143"/>
      <c r="WNT34" s="143"/>
      <c r="WNU34" s="143"/>
      <c r="WNV34" s="143"/>
      <c r="WNW34" s="143"/>
      <c r="WNX34" s="143"/>
      <c r="WNY34" s="143"/>
      <c r="WNZ34" s="143"/>
      <c r="WOA34" s="143"/>
      <c r="WOB34" s="143"/>
      <c r="WOC34" s="143"/>
      <c r="WOD34" s="143"/>
      <c r="WOE34" s="143"/>
      <c r="WOF34" s="143"/>
      <c r="WOG34" s="143"/>
      <c r="WOH34" s="143"/>
      <c r="WOI34" s="143"/>
      <c r="WOJ34" s="143"/>
      <c r="WOK34" s="143"/>
      <c r="WOL34" s="143"/>
      <c r="WOM34" s="143"/>
      <c r="WON34" s="143"/>
      <c r="WOO34" s="143"/>
      <c r="WOP34" s="143"/>
      <c r="WOQ34" s="143"/>
      <c r="WOR34" s="143"/>
      <c r="WOS34" s="143"/>
      <c r="WOT34" s="143"/>
      <c r="WOU34" s="143"/>
      <c r="WOV34" s="143"/>
      <c r="WOW34" s="143"/>
      <c r="WOX34" s="143"/>
      <c r="WOY34" s="143"/>
      <c r="WOZ34" s="143"/>
      <c r="WPA34" s="143"/>
      <c r="WPB34" s="143"/>
      <c r="WPC34" s="143"/>
      <c r="WPD34" s="143"/>
      <c r="WPE34" s="143"/>
      <c r="WPF34" s="143"/>
      <c r="WPG34" s="143"/>
      <c r="WPH34" s="143"/>
      <c r="WPI34" s="143"/>
      <c r="WPJ34" s="143"/>
      <c r="WPK34" s="143"/>
      <c r="WPL34" s="143"/>
      <c r="WPM34" s="143"/>
      <c r="WPN34" s="143"/>
      <c r="WPO34" s="143"/>
      <c r="WPP34" s="143"/>
      <c r="WPQ34" s="143"/>
      <c r="WPR34" s="143"/>
      <c r="WPS34" s="143"/>
      <c r="WPT34" s="143"/>
      <c r="WPU34" s="143"/>
      <c r="WPV34" s="143"/>
      <c r="WPW34" s="143"/>
      <c r="WPX34" s="143"/>
      <c r="WPY34" s="143"/>
      <c r="WPZ34" s="143"/>
      <c r="WQA34" s="143"/>
      <c r="WQB34" s="143"/>
      <c r="WQC34" s="143"/>
      <c r="WQD34" s="143"/>
      <c r="WQE34" s="143"/>
      <c r="WQF34" s="143"/>
      <c r="WQG34" s="143"/>
      <c r="WQH34" s="143"/>
      <c r="WQI34" s="143"/>
      <c r="WQJ34" s="143"/>
      <c r="WQK34" s="143"/>
      <c r="WQL34" s="143"/>
      <c r="WQM34" s="143"/>
      <c r="WQN34" s="143"/>
      <c r="WQO34" s="143"/>
      <c r="WQP34" s="143"/>
      <c r="WQQ34" s="143"/>
      <c r="WQR34" s="143"/>
      <c r="WQS34" s="143"/>
      <c r="WQT34" s="143"/>
      <c r="WQU34" s="143"/>
      <c r="WQV34" s="143"/>
      <c r="WQW34" s="143"/>
      <c r="WQX34" s="143"/>
      <c r="WQY34" s="143"/>
      <c r="WQZ34" s="143"/>
      <c r="WRA34" s="143"/>
      <c r="WRB34" s="143"/>
      <c r="WRC34" s="143"/>
      <c r="WRD34" s="143"/>
      <c r="WRE34" s="143"/>
      <c r="WRF34" s="143"/>
      <c r="WRG34" s="143"/>
      <c r="WRH34" s="143"/>
      <c r="WRI34" s="143"/>
      <c r="WRJ34" s="143"/>
      <c r="WRK34" s="143"/>
      <c r="WRL34" s="143"/>
      <c r="WRM34" s="143"/>
      <c r="WRN34" s="143"/>
      <c r="WRO34" s="143"/>
      <c r="WRP34" s="143"/>
      <c r="WRQ34" s="143"/>
      <c r="WRR34" s="143"/>
      <c r="WRS34" s="143"/>
      <c r="WRT34" s="143"/>
      <c r="WRU34" s="143"/>
      <c r="WRV34" s="143"/>
      <c r="WRW34" s="143"/>
      <c r="WRX34" s="143"/>
      <c r="WRY34" s="143"/>
      <c r="WRZ34" s="143"/>
      <c r="WSA34" s="143"/>
      <c r="WSB34" s="143"/>
      <c r="WSC34" s="143"/>
      <c r="WSD34" s="143"/>
      <c r="WSE34" s="143"/>
      <c r="WSF34" s="143"/>
      <c r="WSG34" s="143"/>
      <c r="WSH34" s="143"/>
      <c r="WSI34" s="143"/>
      <c r="WSJ34" s="143"/>
      <c r="WSK34" s="143"/>
      <c r="WSL34" s="143"/>
      <c r="WSM34" s="143"/>
      <c r="WSN34" s="143"/>
      <c r="WSO34" s="143"/>
      <c r="WSP34" s="143"/>
      <c r="WSQ34" s="143"/>
      <c r="WSR34" s="143"/>
      <c r="WSS34" s="143"/>
      <c r="WST34" s="143"/>
      <c r="WSU34" s="143"/>
      <c r="WSV34" s="143"/>
      <c r="WSW34" s="143"/>
      <c r="WSX34" s="143"/>
      <c r="WSY34" s="143"/>
      <c r="WSZ34" s="143"/>
      <c r="WTA34" s="143"/>
      <c r="WTB34" s="143"/>
      <c r="WTC34" s="143"/>
      <c r="WTD34" s="143"/>
      <c r="WTE34" s="143"/>
      <c r="WTF34" s="143"/>
      <c r="WTG34" s="143"/>
      <c r="WTH34" s="143"/>
      <c r="WTI34" s="143"/>
      <c r="WTJ34" s="143"/>
      <c r="WTK34" s="143"/>
      <c r="WTL34" s="143"/>
      <c r="WTM34" s="143"/>
      <c r="WTN34" s="143"/>
      <c r="WTO34" s="143"/>
      <c r="WTP34" s="143"/>
      <c r="WTQ34" s="143"/>
      <c r="WTR34" s="143"/>
      <c r="WTS34" s="143"/>
      <c r="WTT34" s="143"/>
      <c r="WTU34" s="143"/>
      <c r="WTV34" s="143"/>
      <c r="WTW34" s="143"/>
      <c r="WTX34" s="143"/>
      <c r="WTY34" s="143"/>
      <c r="WTZ34" s="143"/>
      <c r="WUA34" s="143"/>
      <c r="WUB34" s="143"/>
      <c r="WUC34" s="143"/>
      <c r="WUD34" s="143"/>
      <c r="WUE34" s="143"/>
      <c r="WUF34" s="143"/>
      <c r="WUG34" s="143"/>
      <c r="WUH34" s="143"/>
      <c r="WUI34" s="143"/>
      <c r="WUJ34" s="143"/>
      <c r="WUK34" s="143"/>
      <c r="WUL34" s="143"/>
      <c r="WUM34" s="143"/>
      <c r="WUN34" s="143"/>
      <c r="WUO34" s="143"/>
      <c r="WUP34" s="143"/>
      <c r="WUQ34" s="143"/>
      <c r="WUR34" s="143"/>
      <c r="WUS34" s="143"/>
      <c r="WUT34" s="143"/>
      <c r="WUU34" s="143"/>
      <c r="WUV34" s="143"/>
      <c r="WUW34" s="143"/>
      <c r="WUX34" s="143"/>
      <c r="WUY34" s="143"/>
      <c r="WUZ34" s="143"/>
      <c r="WVA34" s="143"/>
      <c r="WVB34" s="143"/>
      <c r="WVC34" s="143"/>
      <c r="WVD34" s="143"/>
      <c r="WVE34" s="143"/>
      <c r="WVF34" s="143"/>
      <c r="WVG34" s="143"/>
      <c r="WVH34" s="143"/>
      <c r="WVI34" s="143"/>
      <c r="WVJ34" s="143"/>
      <c r="WVK34" s="143"/>
      <c r="WVL34" s="143"/>
      <c r="WVM34" s="143"/>
      <c r="WVN34" s="143"/>
      <c r="WVO34" s="143"/>
      <c r="WVP34" s="143"/>
      <c r="WVQ34" s="143"/>
      <c r="WVR34" s="143"/>
      <c r="WVS34" s="143"/>
      <c r="WVT34" s="143"/>
      <c r="WVU34" s="143"/>
      <c r="WVV34" s="143"/>
      <c r="WVW34" s="143"/>
      <c r="WVX34" s="143"/>
      <c r="WVY34" s="143"/>
      <c r="WVZ34" s="143"/>
      <c r="WWA34" s="143"/>
      <c r="WWB34" s="143"/>
      <c r="WWC34" s="143"/>
      <c r="WWD34" s="143"/>
      <c r="WWE34" s="143"/>
      <c r="WWF34" s="143"/>
      <c r="WWG34" s="143"/>
      <c r="WWH34" s="143"/>
      <c r="WWI34" s="143"/>
      <c r="WWJ34" s="143"/>
      <c r="WWK34" s="143"/>
      <c r="WWL34" s="143"/>
      <c r="WWM34" s="143"/>
      <c r="WWN34" s="143"/>
      <c r="WWO34" s="143"/>
      <c r="WWP34" s="143"/>
      <c r="WWQ34" s="143"/>
      <c r="WWR34" s="143"/>
      <c r="WWS34" s="143"/>
      <c r="WWT34" s="143"/>
      <c r="WWU34" s="143"/>
      <c r="WWV34" s="143"/>
      <c r="WWW34" s="143"/>
      <c r="WWX34" s="143"/>
      <c r="WWY34" s="143"/>
      <c r="WWZ34" s="143"/>
      <c r="WXA34" s="143"/>
      <c r="WXB34" s="143"/>
      <c r="WXC34" s="143"/>
      <c r="WXD34" s="143"/>
      <c r="WXE34" s="143"/>
      <c r="WXF34" s="143"/>
      <c r="WXG34" s="143"/>
      <c r="WXH34" s="143"/>
      <c r="WXI34" s="143"/>
      <c r="WXJ34" s="143"/>
      <c r="WXK34" s="143"/>
      <c r="WXL34" s="143"/>
      <c r="WXM34" s="143"/>
      <c r="WXN34" s="143"/>
      <c r="WXO34" s="143"/>
      <c r="WXP34" s="143"/>
      <c r="WXQ34" s="143"/>
      <c r="WXR34" s="143"/>
      <c r="WXS34" s="143"/>
      <c r="WXT34" s="143"/>
      <c r="WXU34" s="143"/>
      <c r="WXV34" s="143"/>
      <c r="WXW34" s="143"/>
      <c r="WXX34" s="143"/>
      <c r="WXY34" s="143"/>
      <c r="WXZ34" s="143"/>
      <c r="WYA34" s="143"/>
      <c r="WYB34" s="143"/>
      <c r="WYC34" s="143"/>
      <c r="WYD34" s="143"/>
      <c r="WYE34" s="143"/>
      <c r="WYF34" s="143"/>
      <c r="WYG34" s="143"/>
      <c r="WYH34" s="143"/>
      <c r="WYI34" s="143"/>
      <c r="WYJ34" s="143"/>
      <c r="WYK34" s="143"/>
      <c r="WYL34" s="143"/>
      <c r="WYM34" s="143"/>
      <c r="WYN34" s="143"/>
      <c r="WYO34" s="143"/>
      <c r="WYP34" s="143"/>
      <c r="WYQ34" s="143"/>
      <c r="WYR34" s="143"/>
      <c r="WYS34" s="143"/>
      <c r="WYT34" s="143"/>
      <c r="WYU34" s="143"/>
      <c r="WYV34" s="143"/>
      <c r="WYW34" s="143"/>
      <c r="WYX34" s="143"/>
      <c r="WYY34" s="143"/>
      <c r="WYZ34" s="143"/>
      <c r="WZA34" s="143"/>
      <c r="WZB34" s="143"/>
      <c r="WZC34" s="143"/>
      <c r="WZD34" s="143"/>
      <c r="WZE34" s="143"/>
      <c r="WZF34" s="143"/>
      <c r="WZG34" s="143"/>
      <c r="WZH34" s="143"/>
      <c r="WZI34" s="143"/>
      <c r="WZJ34" s="143"/>
      <c r="WZK34" s="143"/>
      <c r="WZL34" s="143"/>
      <c r="WZM34" s="143"/>
      <c r="WZN34" s="143"/>
      <c r="WZO34" s="143"/>
      <c r="WZP34" s="143"/>
      <c r="WZQ34" s="143"/>
      <c r="WZR34" s="143"/>
      <c r="WZS34" s="143"/>
      <c r="WZT34" s="143"/>
      <c r="WZU34" s="143"/>
      <c r="WZV34" s="143"/>
      <c r="WZW34" s="143"/>
      <c r="WZX34" s="143"/>
      <c r="WZY34" s="143"/>
      <c r="WZZ34" s="143"/>
      <c r="XAA34" s="143"/>
      <c r="XAB34" s="143"/>
      <c r="XAC34" s="143"/>
      <c r="XAD34" s="143"/>
      <c r="XAE34" s="143"/>
      <c r="XAF34" s="143"/>
      <c r="XAG34" s="143"/>
      <c r="XAH34" s="143"/>
      <c r="XAI34" s="143"/>
      <c r="XAJ34" s="143"/>
      <c r="XAK34" s="143"/>
      <c r="XAL34" s="143"/>
      <c r="XAM34" s="143"/>
      <c r="XAN34" s="143"/>
      <c r="XAO34" s="143"/>
      <c r="XAP34" s="143"/>
      <c r="XAQ34" s="143"/>
      <c r="XAR34" s="143"/>
      <c r="XAS34" s="143"/>
      <c r="XAT34" s="143"/>
      <c r="XAU34" s="143"/>
      <c r="XAV34" s="143"/>
      <c r="XAW34" s="143"/>
      <c r="XAX34" s="143"/>
      <c r="XAY34" s="143"/>
      <c r="XAZ34" s="143"/>
      <c r="XBA34" s="143"/>
      <c r="XBB34" s="143"/>
      <c r="XBC34" s="143"/>
      <c r="XBD34" s="143"/>
      <c r="XBE34" s="143"/>
      <c r="XBF34" s="143"/>
      <c r="XBG34" s="143"/>
      <c r="XBH34" s="143"/>
      <c r="XBI34" s="143"/>
      <c r="XBJ34" s="143"/>
      <c r="XBK34" s="143"/>
      <c r="XBL34" s="143"/>
      <c r="XBM34" s="143"/>
      <c r="XBN34" s="143"/>
      <c r="XBO34" s="143"/>
      <c r="XBP34" s="143"/>
      <c r="XBQ34" s="143"/>
      <c r="XBR34" s="143"/>
      <c r="XBS34" s="143"/>
      <c r="XBT34" s="143"/>
      <c r="XBU34" s="143"/>
      <c r="XBV34" s="143"/>
      <c r="XBW34" s="143"/>
      <c r="XBX34" s="143"/>
      <c r="XBY34" s="143"/>
      <c r="XBZ34" s="143"/>
      <c r="XCA34" s="143"/>
      <c r="XCB34" s="143"/>
      <c r="XCC34" s="143"/>
      <c r="XCD34" s="143"/>
      <c r="XCE34" s="143"/>
      <c r="XCF34" s="143"/>
      <c r="XCG34" s="143"/>
      <c r="XCH34" s="143"/>
      <c r="XCI34" s="143"/>
      <c r="XCJ34" s="143"/>
      <c r="XCK34" s="143"/>
      <c r="XCL34" s="143"/>
      <c r="XCM34" s="143"/>
      <c r="XCN34" s="143"/>
      <c r="XCO34" s="143"/>
      <c r="XCP34" s="143"/>
      <c r="XCQ34" s="143"/>
      <c r="XCR34" s="143"/>
      <c r="XCS34" s="143"/>
      <c r="XCT34" s="143"/>
      <c r="XCU34" s="143"/>
      <c r="XCV34" s="143"/>
      <c r="XCW34" s="143"/>
      <c r="XCX34" s="143"/>
      <c r="XCY34" s="143"/>
      <c r="XCZ34" s="143"/>
      <c r="XDA34" s="143"/>
      <c r="XDB34" s="143"/>
      <c r="XDC34" s="143"/>
      <c r="XDD34" s="143"/>
      <c r="XDE34" s="143"/>
      <c r="XDF34" s="143"/>
      <c r="XDG34" s="143"/>
      <c r="XDH34" s="143"/>
      <c r="XDI34" s="143"/>
      <c r="XDJ34" s="143"/>
      <c r="XDK34" s="143"/>
      <c r="XDL34" s="143"/>
      <c r="XDM34" s="143"/>
      <c r="XDN34" s="143"/>
      <c r="XDO34" s="143"/>
      <c r="XDP34" s="143"/>
      <c r="XDQ34" s="143"/>
      <c r="XDR34" s="143"/>
      <c r="XDS34" s="143"/>
      <c r="XDT34" s="143"/>
      <c r="XDU34" s="143"/>
      <c r="XDV34" s="143"/>
      <c r="XDW34" s="143"/>
      <c r="XDX34" s="143"/>
      <c r="XDY34" s="143"/>
      <c r="XDZ34" s="143"/>
      <c r="XEA34" s="143"/>
      <c r="XEB34" s="143"/>
      <c r="XEC34" s="143"/>
      <c r="XED34" s="143"/>
      <c r="XEE34" s="143"/>
      <c r="XEF34" s="143"/>
      <c r="XEG34" s="143"/>
      <c r="XEH34" s="143"/>
      <c r="XEI34" s="143"/>
      <c r="XEJ34" s="143"/>
      <c r="XEK34" s="143"/>
      <c r="XEL34" s="143"/>
      <c r="XEM34" s="143"/>
      <c r="XEN34" s="143"/>
      <c r="XEO34" s="143"/>
      <c r="XEP34" s="143"/>
      <c r="XEQ34" s="143"/>
      <c r="XER34" s="143"/>
      <c r="XES34" s="143"/>
      <c r="XET34" s="143"/>
      <c r="XEU34" s="143"/>
      <c r="XEV34" s="143"/>
      <c r="XEW34" s="143"/>
      <c r="XEX34" s="143"/>
      <c r="XEY34" s="143"/>
      <c r="XEZ34" s="143"/>
      <c r="XFA34" s="143"/>
    </row>
    <row r="35" spans="1:16381" s="609" customFormat="1">
      <c r="A35" s="609" t="str">
        <f t="shared" si="0"/>
        <v>Bayerischer Rundfunk Tarifvertrag v. 01.12.2009</v>
      </c>
      <c r="B35" s="609">
        <f>ROW()</f>
        <v>35</v>
      </c>
      <c r="C35" s="635" t="s">
        <v>946</v>
      </c>
      <c r="D35" s="1201">
        <v>40148</v>
      </c>
      <c r="E35" s="636"/>
      <c r="F35" s="637" t="str">
        <f t="shared" si="5"/>
        <v/>
      </c>
      <c r="G35" s="634" t="str">
        <f t="shared" si="2"/>
        <v/>
      </c>
      <c r="I35" s="634"/>
      <c r="J35" s="784"/>
      <c r="K35" s="1199"/>
      <c r="L35" s="1199"/>
      <c r="M35" s="1199"/>
      <c r="N35" s="1199"/>
      <c r="O35" s="785"/>
      <c r="P35" s="144">
        <f t="shared" si="6"/>
        <v>0</v>
      </c>
    </row>
    <row r="36" spans="1:16381" s="609" customFormat="1" ht="22.5">
      <c r="A36" s="609" t="str">
        <f t="shared" si="0"/>
        <v>Bayern-Versicherung LV AG v. 12.12.2020</v>
      </c>
      <c r="B36" s="609">
        <f>ROW()</f>
        <v>36</v>
      </c>
      <c r="C36" s="635" t="s">
        <v>1270</v>
      </c>
      <c r="D36" s="1201">
        <v>44177</v>
      </c>
      <c r="E36" s="636"/>
      <c r="F36" s="637" t="str">
        <f t="shared" si="5"/>
        <v>Ja</v>
      </c>
      <c r="G36" s="634" t="str">
        <f t="shared" si="2"/>
        <v xml:space="preserve">TO ermöglicht: Tarifwechel; doppelten Kostenabzug;  Abweichungen vom gerichtl. festgelegten Ausgleichswert; </v>
      </c>
      <c r="I36" s="634"/>
      <c r="J36" s="784"/>
      <c r="K36" s="1199">
        <v>1</v>
      </c>
      <c r="L36" s="1199">
        <v>2</v>
      </c>
      <c r="M36" s="1199">
        <v>3</v>
      </c>
      <c r="N36" s="1199"/>
      <c r="O36" s="785"/>
      <c r="P36" s="144">
        <f t="shared" si="6"/>
        <v>6</v>
      </c>
      <c r="Q36" s="414"/>
      <c r="R36" s="414"/>
      <c r="S36" s="414"/>
      <c r="T36" s="414"/>
      <c r="U36" s="414"/>
      <c r="V36" s="414"/>
      <c r="W36" s="414"/>
      <c r="X36" s="414"/>
      <c r="Y36" s="414"/>
      <c r="Z36" s="414"/>
      <c r="AA36" s="414"/>
      <c r="AB36" s="414"/>
      <c r="AC36" s="414"/>
      <c r="AD36" s="414"/>
      <c r="AE36" s="414"/>
      <c r="AF36" s="414"/>
      <c r="AG36" s="414"/>
      <c r="AH36" s="414"/>
      <c r="AI36" s="414"/>
      <c r="AJ36" s="414"/>
      <c r="AK36" s="414"/>
      <c r="AL36" s="414"/>
      <c r="AM36" s="414"/>
      <c r="AN36" s="414"/>
      <c r="AO36" s="414"/>
      <c r="AP36" s="414"/>
      <c r="AQ36" s="414"/>
      <c r="AR36" s="414"/>
      <c r="AS36" s="414"/>
      <c r="AT36" s="414"/>
      <c r="AU36" s="414"/>
      <c r="AV36" s="414"/>
      <c r="AW36" s="414"/>
      <c r="AX36" s="414"/>
      <c r="AY36" s="414"/>
      <c r="AZ36" s="414"/>
      <c r="BA36" s="414"/>
      <c r="BB36" s="414"/>
      <c r="BC36" s="414"/>
      <c r="BD36" s="414"/>
      <c r="BE36" s="414"/>
      <c r="BF36" s="414"/>
      <c r="BG36" s="414"/>
      <c r="BH36" s="414"/>
      <c r="BI36" s="414"/>
      <c r="BJ36" s="414"/>
      <c r="BK36" s="414"/>
      <c r="BL36" s="414"/>
      <c r="BM36" s="414"/>
      <c r="BN36" s="414"/>
      <c r="BO36" s="414"/>
      <c r="BP36" s="414"/>
      <c r="BQ36" s="414"/>
      <c r="BR36" s="414"/>
      <c r="BS36" s="414"/>
      <c r="BT36" s="414"/>
      <c r="BU36" s="414"/>
      <c r="BV36" s="414"/>
      <c r="BW36" s="414"/>
      <c r="BX36" s="414"/>
      <c r="BY36" s="414"/>
      <c r="BZ36" s="414"/>
      <c r="CA36" s="414"/>
      <c r="CB36" s="414"/>
      <c r="CC36" s="414"/>
      <c r="CD36" s="414"/>
      <c r="CE36" s="414"/>
      <c r="CF36" s="414"/>
      <c r="CG36" s="414"/>
      <c r="CH36" s="414"/>
      <c r="CI36" s="414"/>
      <c r="CJ36" s="414"/>
      <c r="CK36" s="414"/>
      <c r="CL36" s="414"/>
      <c r="CM36" s="414"/>
      <c r="CN36" s="414"/>
      <c r="CO36" s="414"/>
      <c r="CP36" s="414"/>
      <c r="CQ36" s="414"/>
      <c r="CR36" s="414"/>
      <c r="CS36" s="414"/>
      <c r="CT36" s="414"/>
      <c r="CU36" s="414"/>
      <c r="CV36" s="414"/>
      <c r="CW36" s="414"/>
      <c r="CX36" s="414"/>
      <c r="CY36" s="414"/>
      <c r="CZ36" s="414"/>
      <c r="DA36" s="414"/>
      <c r="DB36" s="414"/>
      <c r="DC36" s="414"/>
      <c r="DD36" s="414"/>
      <c r="DE36" s="414"/>
      <c r="DF36" s="414"/>
      <c r="DG36" s="414"/>
      <c r="DH36" s="414"/>
      <c r="DI36" s="414"/>
      <c r="DJ36" s="414"/>
      <c r="DK36" s="414"/>
      <c r="DL36" s="414"/>
      <c r="DM36" s="414"/>
      <c r="DN36" s="414"/>
      <c r="DO36" s="414"/>
      <c r="DP36" s="414"/>
      <c r="DQ36" s="414"/>
      <c r="DR36" s="414"/>
      <c r="DS36" s="414"/>
      <c r="DT36" s="414"/>
      <c r="DU36" s="414"/>
      <c r="DV36" s="414"/>
      <c r="DW36" s="414"/>
      <c r="DX36" s="414"/>
      <c r="DY36" s="414"/>
      <c r="DZ36" s="414"/>
      <c r="EA36" s="414"/>
      <c r="EB36" s="414"/>
      <c r="EC36" s="414"/>
      <c r="ED36" s="414"/>
      <c r="EE36" s="414"/>
      <c r="EF36" s="414"/>
      <c r="EG36" s="414"/>
      <c r="EH36" s="414"/>
      <c r="EI36" s="414"/>
      <c r="EJ36" s="414"/>
      <c r="EK36" s="414"/>
      <c r="EL36" s="414"/>
      <c r="EM36" s="414"/>
      <c r="EN36" s="414"/>
      <c r="EO36" s="414"/>
      <c r="EP36" s="414"/>
      <c r="EQ36" s="414"/>
      <c r="ER36" s="414"/>
      <c r="ES36" s="414"/>
      <c r="ET36" s="414"/>
      <c r="EU36" s="414"/>
      <c r="EV36" s="414"/>
      <c r="EW36" s="414"/>
      <c r="EX36" s="414"/>
      <c r="EY36" s="414"/>
      <c r="EZ36" s="414"/>
      <c r="FA36" s="414"/>
      <c r="FB36" s="414"/>
      <c r="FC36" s="414"/>
      <c r="FD36" s="414"/>
      <c r="FE36" s="414"/>
      <c r="FF36" s="414"/>
      <c r="FG36" s="414"/>
      <c r="FH36" s="414"/>
      <c r="FI36" s="414"/>
      <c r="FJ36" s="414"/>
      <c r="FK36" s="414"/>
      <c r="FL36" s="414"/>
      <c r="FM36" s="414"/>
      <c r="FN36" s="414"/>
      <c r="FO36" s="414"/>
      <c r="FP36" s="414"/>
      <c r="FQ36" s="414"/>
      <c r="FR36" s="414"/>
      <c r="FS36" s="414"/>
      <c r="FT36" s="414"/>
      <c r="FU36" s="414"/>
      <c r="FV36" s="414"/>
      <c r="FW36" s="414"/>
      <c r="FX36" s="414"/>
      <c r="FY36" s="414"/>
      <c r="FZ36" s="414"/>
      <c r="GA36" s="414"/>
      <c r="GB36" s="414"/>
      <c r="GC36" s="414"/>
      <c r="GD36" s="414"/>
      <c r="GE36" s="414"/>
      <c r="GF36" s="414"/>
      <c r="GG36" s="414"/>
      <c r="GH36" s="414"/>
      <c r="GI36" s="414"/>
      <c r="GJ36" s="414"/>
      <c r="GK36" s="414"/>
      <c r="GL36" s="414"/>
      <c r="GM36" s="414"/>
      <c r="GN36" s="414"/>
      <c r="GO36" s="414"/>
      <c r="GP36" s="414"/>
      <c r="GQ36" s="414"/>
      <c r="GR36" s="414"/>
      <c r="GS36" s="414"/>
      <c r="GT36" s="414"/>
      <c r="GU36" s="414"/>
      <c r="GV36" s="414"/>
      <c r="GW36" s="414"/>
      <c r="GX36" s="414"/>
      <c r="GY36" s="414"/>
      <c r="GZ36" s="414"/>
      <c r="HA36" s="414"/>
      <c r="HB36" s="414"/>
      <c r="HC36" s="414"/>
      <c r="HD36" s="414"/>
      <c r="HE36" s="414"/>
      <c r="HF36" s="414"/>
      <c r="HG36" s="414"/>
      <c r="HH36" s="414"/>
      <c r="HI36" s="414"/>
      <c r="HJ36" s="414"/>
      <c r="HK36" s="414"/>
      <c r="HL36" s="414"/>
      <c r="HM36" s="414"/>
      <c r="HN36" s="414"/>
      <c r="HO36" s="414"/>
      <c r="HP36" s="414"/>
      <c r="HQ36" s="414"/>
      <c r="HR36" s="414"/>
      <c r="HS36" s="414"/>
      <c r="HT36" s="414"/>
      <c r="HU36" s="414"/>
      <c r="HV36" s="414"/>
      <c r="HW36" s="414"/>
      <c r="HX36" s="414"/>
      <c r="HY36" s="414"/>
      <c r="HZ36" s="414"/>
      <c r="IA36" s="414"/>
      <c r="IB36" s="414"/>
      <c r="IC36" s="414"/>
      <c r="ID36" s="414"/>
      <c r="IE36" s="414"/>
      <c r="IF36" s="414"/>
      <c r="IG36" s="414"/>
      <c r="IH36" s="414"/>
      <c r="II36" s="414"/>
      <c r="IJ36" s="414"/>
      <c r="IK36" s="414"/>
      <c r="IL36" s="414"/>
      <c r="IM36" s="414"/>
      <c r="IN36" s="414"/>
      <c r="IO36" s="414"/>
      <c r="IP36" s="414"/>
      <c r="IQ36" s="414"/>
      <c r="IR36" s="414"/>
      <c r="IS36" s="414"/>
      <c r="IT36" s="414"/>
      <c r="IU36" s="414"/>
      <c r="IV36" s="414"/>
      <c r="IW36" s="414"/>
      <c r="IX36" s="414"/>
      <c r="IY36" s="414"/>
      <c r="IZ36" s="414"/>
      <c r="JA36" s="414"/>
      <c r="JB36" s="414"/>
      <c r="JC36" s="414"/>
      <c r="JD36" s="414"/>
      <c r="JE36" s="414"/>
      <c r="JF36" s="414"/>
      <c r="JG36" s="414"/>
      <c r="JH36" s="414"/>
      <c r="JI36" s="414"/>
      <c r="JJ36" s="414"/>
      <c r="JK36" s="414"/>
      <c r="JL36" s="414"/>
      <c r="JM36" s="414"/>
      <c r="JN36" s="414"/>
      <c r="JO36" s="414"/>
      <c r="JP36" s="414"/>
      <c r="JQ36" s="414"/>
      <c r="JR36" s="414"/>
      <c r="JS36" s="414"/>
      <c r="JT36" s="414"/>
      <c r="JU36" s="414"/>
      <c r="JV36" s="414"/>
      <c r="JW36" s="414"/>
      <c r="JX36" s="414"/>
      <c r="JY36" s="414"/>
      <c r="JZ36" s="414"/>
      <c r="KA36" s="414"/>
      <c r="KB36" s="414"/>
      <c r="KC36" s="414"/>
      <c r="KD36" s="414"/>
      <c r="KE36" s="414"/>
      <c r="KF36" s="414"/>
      <c r="KG36" s="414"/>
      <c r="KH36" s="414"/>
      <c r="KI36" s="414"/>
      <c r="KJ36" s="414"/>
      <c r="KK36" s="414"/>
      <c r="KL36" s="414"/>
      <c r="KM36" s="414"/>
      <c r="KN36" s="414"/>
      <c r="KO36" s="414"/>
      <c r="KP36" s="414"/>
      <c r="KQ36" s="414"/>
      <c r="KR36" s="414"/>
      <c r="KS36" s="414"/>
      <c r="KT36" s="414"/>
      <c r="KU36" s="414"/>
      <c r="KV36" s="414"/>
      <c r="KW36" s="414"/>
      <c r="KX36" s="414"/>
      <c r="KY36" s="414"/>
      <c r="KZ36" s="414"/>
      <c r="LA36" s="414"/>
      <c r="LB36" s="414"/>
      <c r="LC36" s="414"/>
      <c r="LD36" s="414"/>
      <c r="LE36" s="414"/>
      <c r="LF36" s="414"/>
      <c r="LG36" s="414"/>
      <c r="LH36" s="414"/>
      <c r="LI36" s="414"/>
      <c r="LJ36" s="414"/>
      <c r="LK36" s="414"/>
      <c r="LL36" s="414"/>
      <c r="LM36" s="414"/>
      <c r="LN36" s="414"/>
      <c r="LO36" s="414"/>
      <c r="LP36" s="414"/>
      <c r="LQ36" s="414"/>
      <c r="LR36" s="414"/>
      <c r="LS36" s="414"/>
      <c r="LT36" s="414"/>
      <c r="LU36" s="414"/>
      <c r="LV36" s="414"/>
      <c r="LW36" s="414"/>
      <c r="LX36" s="414"/>
      <c r="LY36" s="414"/>
      <c r="LZ36" s="414"/>
      <c r="MA36" s="414"/>
      <c r="MB36" s="414"/>
      <c r="MC36" s="414"/>
      <c r="MD36" s="414"/>
      <c r="ME36" s="414"/>
      <c r="MF36" s="414"/>
      <c r="MG36" s="414"/>
      <c r="MH36" s="414"/>
      <c r="MI36" s="414"/>
      <c r="MJ36" s="414"/>
      <c r="MK36" s="414"/>
      <c r="ML36" s="414"/>
      <c r="MM36" s="414"/>
      <c r="MN36" s="414"/>
      <c r="MO36" s="414"/>
      <c r="MP36" s="414"/>
      <c r="MQ36" s="414"/>
      <c r="MR36" s="414"/>
      <c r="MS36" s="414"/>
      <c r="MT36" s="414"/>
      <c r="MU36" s="414"/>
      <c r="MV36" s="414"/>
      <c r="MW36" s="414"/>
      <c r="MX36" s="414"/>
      <c r="MY36" s="414"/>
      <c r="MZ36" s="414"/>
      <c r="NA36" s="414"/>
      <c r="NB36" s="414"/>
      <c r="NC36" s="414"/>
      <c r="ND36" s="414"/>
      <c r="NE36" s="414"/>
      <c r="NF36" s="414"/>
      <c r="NG36" s="414"/>
      <c r="NH36" s="414"/>
      <c r="NI36" s="414"/>
      <c r="NJ36" s="414"/>
      <c r="NK36" s="414"/>
      <c r="NL36" s="414"/>
      <c r="NM36" s="414"/>
      <c r="NN36" s="414"/>
      <c r="NO36" s="414"/>
      <c r="NP36" s="414"/>
      <c r="NQ36" s="414"/>
      <c r="NR36" s="414"/>
      <c r="NS36" s="414"/>
      <c r="NT36" s="414"/>
      <c r="NU36" s="414"/>
      <c r="NV36" s="414"/>
      <c r="NW36" s="414"/>
      <c r="NX36" s="414"/>
      <c r="NY36" s="414"/>
      <c r="NZ36" s="414"/>
      <c r="OA36" s="414"/>
      <c r="OB36" s="414"/>
      <c r="OC36" s="414"/>
      <c r="OD36" s="414"/>
      <c r="OE36" s="414"/>
      <c r="OF36" s="414"/>
      <c r="OG36" s="414"/>
      <c r="OH36" s="414"/>
      <c r="OI36" s="414"/>
      <c r="OJ36" s="414"/>
      <c r="OK36" s="414"/>
      <c r="OL36" s="414"/>
      <c r="OM36" s="414"/>
      <c r="ON36" s="414"/>
      <c r="OO36" s="414"/>
      <c r="OP36" s="414"/>
      <c r="OQ36" s="414"/>
      <c r="OR36" s="414"/>
      <c r="OS36" s="414"/>
      <c r="OT36" s="414"/>
      <c r="OU36" s="414"/>
      <c r="OV36" s="414"/>
      <c r="OW36" s="414"/>
      <c r="OX36" s="414"/>
      <c r="OY36" s="414"/>
      <c r="OZ36" s="414"/>
      <c r="PA36" s="414"/>
      <c r="PB36" s="414"/>
      <c r="PC36" s="414"/>
      <c r="PD36" s="414"/>
      <c r="PE36" s="414"/>
      <c r="PF36" s="414"/>
      <c r="PG36" s="414"/>
      <c r="PH36" s="414"/>
      <c r="PI36" s="414"/>
      <c r="PJ36" s="414"/>
      <c r="PK36" s="414"/>
      <c r="PL36" s="414"/>
      <c r="PM36" s="414"/>
      <c r="PN36" s="414"/>
      <c r="PO36" s="414"/>
      <c r="PP36" s="414"/>
      <c r="PQ36" s="414"/>
      <c r="PR36" s="414"/>
      <c r="PS36" s="414"/>
      <c r="PT36" s="414"/>
      <c r="PU36" s="414"/>
      <c r="PV36" s="414"/>
      <c r="PW36" s="414"/>
      <c r="PX36" s="414"/>
      <c r="PY36" s="414"/>
      <c r="PZ36" s="414"/>
      <c r="QA36" s="414"/>
      <c r="QB36" s="414"/>
      <c r="QC36" s="414"/>
      <c r="QD36" s="414"/>
      <c r="QE36" s="414"/>
      <c r="QF36" s="414"/>
      <c r="QG36" s="414"/>
      <c r="QH36" s="414"/>
      <c r="QI36" s="414"/>
      <c r="QJ36" s="414"/>
      <c r="QK36" s="414"/>
      <c r="QL36" s="414"/>
      <c r="QM36" s="414"/>
      <c r="QN36" s="414"/>
      <c r="QO36" s="414"/>
      <c r="QP36" s="414"/>
      <c r="QQ36" s="414"/>
      <c r="QR36" s="414"/>
      <c r="QS36" s="414"/>
      <c r="QT36" s="414"/>
      <c r="QU36" s="414"/>
      <c r="QV36" s="414"/>
      <c r="QW36" s="414"/>
      <c r="QX36" s="414"/>
      <c r="QY36" s="414"/>
      <c r="QZ36" s="414"/>
      <c r="RA36" s="414"/>
      <c r="RB36" s="414"/>
      <c r="RC36" s="414"/>
      <c r="RD36" s="414"/>
      <c r="RE36" s="414"/>
      <c r="RF36" s="414"/>
      <c r="RG36" s="414"/>
      <c r="RH36" s="414"/>
      <c r="RI36" s="414"/>
      <c r="RJ36" s="414"/>
      <c r="RK36" s="414"/>
      <c r="RL36" s="414"/>
      <c r="RM36" s="414"/>
      <c r="RN36" s="414"/>
      <c r="RO36" s="414"/>
      <c r="RP36" s="414"/>
      <c r="RQ36" s="414"/>
      <c r="RR36" s="414"/>
      <c r="RS36" s="414"/>
      <c r="RT36" s="414"/>
      <c r="RU36" s="414"/>
      <c r="RV36" s="414"/>
      <c r="RW36" s="414"/>
      <c r="RX36" s="414"/>
      <c r="RY36" s="414"/>
      <c r="RZ36" s="414"/>
      <c r="SA36" s="414"/>
      <c r="SB36" s="414"/>
      <c r="SC36" s="414"/>
      <c r="SD36" s="414"/>
      <c r="SE36" s="414"/>
      <c r="SF36" s="414"/>
      <c r="SG36" s="414"/>
      <c r="SH36" s="414"/>
      <c r="SI36" s="414"/>
      <c r="SJ36" s="414"/>
      <c r="SK36" s="414"/>
      <c r="SL36" s="414"/>
      <c r="SM36" s="414"/>
      <c r="SN36" s="414"/>
      <c r="SO36" s="414"/>
      <c r="SP36" s="414"/>
      <c r="SQ36" s="414"/>
      <c r="SR36" s="414"/>
      <c r="SS36" s="414"/>
      <c r="ST36" s="414"/>
      <c r="SU36" s="414"/>
      <c r="SV36" s="414"/>
      <c r="SW36" s="414"/>
      <c r="SX36" s="414"/>
      <c r="SY36" s="414"/>
      <c r="SZ36" s="414"/>
      <c r="TA36" s="414"/>
      <c r="TB36" s="414"/>
      <c r="TC36" s="414"/>
      <c r="TD36" s="414"/>
      <c r="TE36" s="414"/>
      <c r="TF36" s="414"/>
      <c r="TG36" s="414"/>
      <c r="TH36" s="414"/>
      <c r="TI36" s="414"/>
      <c r="TJ36" s="414"/>
      <c r="TK36" s="414"/>
      <c r="TL36" s="414"/>
      <c r="TM36" s="414"/>
      <c r="TN36" s="414"/>
      <c r="TO36" s="414"/>
      <c r="TP36" s="414"/>
      <c r="TQ36" s="414"/>
      <c r="TR36" s="414"/>
      <c r="TS36" s="414"/>
      <c r="TT36" s="414"/>
      <c r="TU36" s="414"/>
      <c r="TV36" s="414"/>
      <c r="TW36" s="414"/>
      <c r="TX36" s="414"/>
      <c r="TY36" s="414"/>
      <c r="TZ36" s="414"/>
      <c r="UA36" s="414"/>
      <c r="UB36" s="414"/>
      <c r="UC36" s="414"/>
      <c r="UD36" s="414"/>
      <c r="UE36" s="414"/>
      <c r="UF36" s="414"/>
      <c r="UG36" s="414"/>
      <c r="UH36" s="414"/>
      <c r="UI36" s="414"/>
      <c r="UJ36" s="414"/>
      <c r="UK36" s="414"/>
      <c r="UL36" s="414"/>
      <c r="UM36" s="414"/>
      <c r="UN36" s="414"/>
      <c r="UO36" s="414"/>
      <c r="UP36" s="414"/>
      <c r="UQ36" s="414"/>
      <c r="UR36" s="414"/>
      <c r="US36" s="414"/>
      <c r="UT36" s="414"/>
      <c r="UU36" s="414"/>
      <c r="UV36" s="414"/>
      <c r="UW36" s="414"/>
      <c r="UX36" s="414"/>
      <c r="UY36" s="414"/>
      <c r="UZ36" s="414"/>
      <c r="VA36" s="414"/>
      <c r="VB36" s="414"/>
      <c r="VC36" s="414"/>
      <c r="VD36" s="414"/>
      <c r="VE36" s="414"/>
      <c r="VF36" s="414"/>
      <c r="VG36" s="414"/>
      <c r="VH36" s="414"/>
      <c r="VI36" s="414"/>
      <c r="VJ36" s="414"/>
      <c r="VK36" s="414"/>
      <c r="VL36" s="414"/>
      <c r="VM36" s="414"/>
      <c r="VN36" s="414"/>
      <c r="VO36" s="414"/>
      <c r="VP36" s="414"/>
      <c r="VQ36" s="414"/>
      <c r="VR36" s="414"/>
      <c r="VS36" s="414"/>
      <c r="VT36" s="414"/>
      <c r="VU36" s="414"/>
      <c r="VV36" s="414"/>
      <c r="VW36" s="414"/>
      <c r="VX36" s="414"/>
      <c r="VY36" s="414"/>
      <c r="VZ36" s="414"/>
      <c r="WA36" s="414"/>
      <c r="WB36" s="414"/>
      <c r="WC36" s="414"/>
      <c r="WD36" s="414"/>
      <c r="WE36" s="414"/>
      <c r="WF36" s="414"/>
      <c r="WG36" s="414"/>
      <c r="WH36" s="414"/>
      <c r="WI36" s="414"/>
      <c r="WJ36" s="414"/>
      <c r="WK36" s="414"/>
      <c r="WL36" s="414"/>
      <c r="WM36" s="414"/>
      <c r="WN36" s="414"/>
      <c r="WO36" s="414"/>
      <c r="WP36" s="414"/>
      <c r="WQ36" s="414"/>
      <c r="WR36" s="414"/>
      <c r="WS36" s="414"/>
      <c r="WT36" s="414"/>
      <c r="WU36" s="414"/>
      <c r="WV36" s="414"/>
      <c r="WW36" s="414"/>
      <c r="WX36" s="414"/>
      <c r="WY36" s="414"/>
      <c r="WZ36" s="414"/>
      <c r="XA36" s="414"/>
      <c r="XB36" s="414"/>
      <c r="XC36" s="414"/>
      <c r="XD36" s="414"/>
      <c r="XE36" s="414"/>
      <c r="XF36" s="414"/>
      <c r="XG36" s="414"/>
      <c r="XH36" s="414"/>
      <c r="XI36" s="414"/>
      <c r="XJ36" s="414"/>
      <c r="XK36" s="414"/>
      <c r="XL36" s="414"/>
      <c r="XM36" s="414"/>
      <c r="XN36" s="414"/>
      <c r="XO36" s="414"/>
      <c r="XP36" s="414"/>
      <c r="XQ36" s="414"/>
      <c r="XR36" s="414"/>
      <c r="XS36" s="414"/>
      <c r="XT36" s="414"/>
      <c r="XU36" s="414"/>
      <c r="XV36" s="414"/>
      <c r="XW36" s="414"/>
      <c r="XX36" s="414"/>
      <c r="XY36" s="414"/>
      <c r="XZ36" s="414"/>
      <c r="YA36" s="414"/>
      <c r="YB36" s="414"/>
      <c r="YC36" s="414"/>
      <c r="YD36" s="414"/>
      <c r="YE36" s="414"/>
      <c r="YF36" s="414"/>
      <c r="YG36" s="414"/>
      <c r="YH36" s="414"/>
      <c r="YI36" s="414"/>
      <c r="YJ36" s="414"/>
      <c r="YK36" s="414"/>
      <c r="YL36" s="414"/>
      <c r="YM36" s="414"/>
      <c r="YN36" s="414"/>
      <c r="YO36" s="414"/>
      <c r="YP36" s="414"/>
      <c r="YQ36" s="414"/>
      <c r="YR36" s="414"/>
      <c r="YS36" s="414"/>
      <c r="YT36" s="414"/>
      <c r="YU36" s="414"/>
      <c r="YV36" s="414"/>
      <c r="YW36" s="414"/>
      <c r="YX36" s="414"/>
      <c r="YY36" s="414"/>
      <c r="YZ36" s="414"/>
      <c r="ZA36" s="414"/>
      <c r="ZB36" s="414"/>
      <c r="ZC36" s="414"/>
      <c r="ZD36" s="414"/>
      <c r="ZE36" s="414"/>
      <c r="ZF36" s="414"/>
      <c r="ZG36" s="414"/>
      <c r="ZH36" s="414"/>
      <c r="ZI36" s="414"/>
      <c r="ZJ36" s="414"/>
      <c r="ZK36" s="414"/>
      <c r="ZL36" s="414"/>
      <c r="ZM36" s="414"/>
      <c r="ZN36" s="414"/>
      <c r="ZO36" s="414"/>
      <c r="ZP36" s="414"/>
      <c r="ZQ36" s="414"/>
      <c r="ZR36" s="414"/>
      <c r="ZS36" s="414"/>
      <c r="ZT36" s="414"/>
      <c r="ZU36" s="414"/>
      <c r="ZV36" s="414"/>
      <c r="ZW36" s="414"/>
      <c r="ZX36" s="414"/>
      <c r="ZY36" s="414"/>
      <c r="ZZ36" s="414"/>
      <c r="AAA36" s="414"/>
      <c r="AAB36" s="414"/>
      <c r="AAC36" s="414"/>
      <c r="AAD36" s="414"/>
      <c r="AAE36" s="414"/>
      <c r="AAF36" s="414"/>
      <c r="AAG36" s="414"/>
      <c r="AAH36" s="414"/>
      <c r="AAI36" s="414"/>
      <c r="AAJ36" s="414"/>
      <c r="AAK36" s="414"/>
      <c r="AAL36" s="414"/>
      <c r="AAM36" s="414"/>
      <c r="AAN36" s="414"/>
      <c r="AAO36" s="414"/>
      <c r="AAP36" s="414"/>
      <c r="AAQ36" s="414"/>
      <c r="AAR36" s="414"/>
      <c r="AAS36" s="414"/>
      <c r="AAT36" s="414"/>
      <c r="AAU36" s="414"/>
      <c r="AAV36" s="414"/>
      <c r="AAW36" s="414"/>
      <c r="AAX36" s="414"/>
      <c r="AAY36" s="414"/>
      <c r="AAZ36" s="414"/>
      <c r="ABA36" s="414"/>
      <c r="ABB36" s="414"/>
      <c r="ABC36" s="414"/>
      <c r="ABD36" s="414"/>
      <c r="ABE36" s="414"/>
      <c r="ABF36" s="414"/>
      <c r="ABG36" s="414"/>
      <c r="ABH36" s="414"/>
      <c r="ABI36" s="414"/>
      <c r="ABJ36" s="414"/>
      <c r="ABK36" s="414"/>
      <c r="ABL36" s="414"/>
      <c r="ABM36" s="414"/>
      <c r="ABN36" s="414"/>
      <c r="ABO36" s="414"/>
      <c r="ABP36" s="414"/>
      <c r="ABQ36" s="414"/>
      <c r="ABR36" s="414"/>
      <c r="ABS36" s="414"/>
      <c r="ABT36" s="414"/>
      <c r="ABU36" s="414"/>
      <c r="ABV36" s="414"/>
      <c r="ABW36" s="414"/>
      <c r="ABX36" s="414"/>
      <c r="ABY36" s="414"/>
      <c r="ABZ36" s="414"/>
      <c r="ACA36" s="414"/>
      <c r="ACB36" s="414"/>
      <c r="ACC36" s="414"/>
      <c r="ACD36" s="414"/>
      <c r="ACE36" s="414"/>
      <c r="ACF36" s="414"/>
      <c r="ACG36" s="414"/>
      <c r="ACH36" s="414"/>
      <c r="ACI36" s="414"/>
      <c r="ACJ36" s="414"/>
      <c r="ACK36" s="414"/>
      <c r="ACL36" s="414"/>
      <c r="ACM36" s="414"/>
      <c r="ACN36" s="414"/>
      <c r="ACO36" s="414"/>
      <c r="ACP36" s="414"/>
      <c r="ACQ36" s="414"/>
      <c r="ACR36" s="414"/>
      <c r="ACS36" s="414"/>
      <c r="ACT36" s="414"/>
      <c r="ACU36" s="414"/>
      <c r="ACV36" s="414"/>
      <c r="ACW36" s="414"/>
      <c r="ACX36" s="414"/>
      <c r="ACY36" s="414"/>
      <c r="ACZ36" s="414"/>
      <c r="ADA36" s="414"/>
      <c r="ADB36" s="414"/>
      <c r="ADC36" s="414"/>
      <c r="ADD36" s="414"/>
      <c r="ADE36" s="414"/>
      <c r="ADF36" s="414"/>
      <c r="ADG36" s="414"/>
      <c r="ADH36" s="414"/>
      <c r="ADI36" s="414"/>
      <c r="ADJ36" s="414"/>
      <c r="ADK36" s="414"/>
      <c r="ADL36" s="414"/>
      <c r="ADM36" s="414"/>
      <c r="ADN36" s="414"/>
      <c r="ADO36" s="414"/>
      <c r="ADP36" s="414"/>
      <c r="ADQ36" s="414"/>
      <c r="ADR36" s="414"/>
      <c r="ADS36" s="414"/>
      <c r="ADT36" s="414"/>
      <c r="ADU36" s="414"/>
      <c r="ADV36" s="414"/>
      <c r="ADW36" s="414"/>
      <c r="ADX36" s="414"/>
      <c r="ADY36" s="414"/>
      <c r="ADZ36" s="414"/>
      <c r="AEA36" s="414"/>
      <c r="AEB36" s="414"/>
      <c r="AEC36" s="414"/>
      <c r="AED36" s="414"/>
      <c r="AEE36" s="414"/>
      <c r="AEF36" s="414"/>
      <c r="AEG36" s="414"/>
      <c r="AEH36" s="414"/>
      <c r="AEI36" s="414"/>
      <c r="AEJ36" s="414"/>
      <c r="AEK36" s="414"/>
      <c r="AEL36" s="414"/>
      <c r="AEM36" s="414"/>
      <c r="AEN36" s="414"/>
      <c r="AEO36" s="414"/>
      <c r="AEP36" s="414"/>
      <c r="AEQ36" s="414"/>
      <c r="AER36" s="414"/>
      <c r="AES36" s="414"/>
      <c r="AET36" s="414"/>
      <c r="AEU36" s="414"/>
      <c r="AEV36" s="414"/>
      <c r="AEW36" s="414"/>
      <c r="AEX36" s="414"/>
      <c r="AEY36" s="414"/>
      <c r="AEZ36" s="414"/>
      <c r="AFA36" s="414"/>
      <c r="AFB36" s="414"/>
      <c r="AFC36" s="414"/>
      <c r="AFD36" s="414"/>
      <c r="AFE36" s="414"/>
      <c r="AFF36" s="414"/>
      <c r="AFG36" s="414"/>
      <c r="AFH36" s="414"/>
      <c r="AFI36" s="414"/>
      <c r="AFJ36" s="414"/>
      <c r="AFK36" s="414"/>
      <c r="AFL36" s="414"/>
      <c r="AFM36" s="414"/>
      <c r="AFN36" s="414"/>
      <c r="AFO36" s="414"/>
      <c r="AFP36" s="414"/>
      <c r="AFQ36" s="414"/>
      <c r="AFR36" s="414"/>
      <c r="AFS36" s="414"/>
      <c r="AFT36" s="414"/>
      <c r="AFU36" s="414"/>
      <c r="AFV36" s="414"/>
      <c r="AFW36" s="414"/>
      <c r="AFX36" s="414"/>
      <c r="AFY36" s="414"/>
      <c r="AFZ36" s="414"/>
      <c r="AGA36" s="414"/>
      <c r="AGB36" s="414"/>
      <c r="AGC36" s="414"/>
      <c r="AGD36" s="414"/>
      <c r="AGE36" s="414"/>
      <c r="AGF36" s="414"/>
      <c r="AGG36" s="414"/>
      <c r="AGH36" s="414"/>
      <c r="AGI36" s="414"/>
      <c r="AGJ36" s="414"/>
      <c r="AGK36" s="414"/>
      <c r="AGL36" s="414"/>
      <c r="AGM36" s="414"/>
      <c r="AGN36" s="414"/>
      <c r="AGO36" s="414"/>
      <c r="AGP36" s="414"/>
      <c r="AGQ36" s="414"/>
      <c r="AGR36" s="414"/>
      <c r="AGS36" s="414"/>
      <c r="AGT36" s="414"/>
      <c r="AGU36" s="414"/>
      <c r="AGV36" s="414"/>
      <c r="AGW36" s="414"/>
      <c r="AGX36" s="414"/>
      <c r="AGY36" s="414"/>
      <c r="AGZ36" s="414"/>
      <c r="AHA36" s="414"/>
      <c r="AHB36" s="414"/>
      <c r="AHC36" s="414"/>
      <c r="AHD36" s="414"/>
      <c r="AHE36" s="414"/>
      <c r="AHF36" s="414"/>
      <c r="AHG36" s="414"/>
      <c r="AHH36" s="414"/>
      <c r="AHI36" s="414"/>
      <c r="AHJ36" s="414"/>
      <c r="AHK36" s="414"/>
      <c r="AHL36" s="414"/>
      <c r="AHM36" s="414"/>
      <c r="AHN36" s="414"/>
      <c r="AHO36" s="414"/>
      <c r="AHP36" s="414"/>
      <c r="AHQ36" s="414"/>
      <c r="AHR36" s="414"/>
      <c r="AHS36" s="414"/>
      <c r="AHT36" s="414"/>
      <c r="AHU36" s="414"/>
      <c r="AHV36" s="414"/>
      <c r="AHW36" s="414"/>
      <c r="AHX36" s="414"/>
      <c r="AHY36" s="414"/>
      <c r="AHZ36" s="414"/>
      <c r="AIA36" s="414"/>
      <c r="AIB36" s="414"/>
      <c r="AIC36" s="414"/>
      <c r="AID36" s="414"/>
      <c r="AIE36" s="414"/>
      <c r="AIF36" s="414"/>
      <c r="AIG36" s="414"/>
      <c r="AIH36" s="414"/>
      <c r="AII36" s="414"/>
      <c r="AIJ36" s="414"/>
      <c r="AIK36" s="414"/>
      <c r="AIL36" s="414"/>
      <c r="AIM36" s="414"/>
      <c r="AIN36" s="414"/>
      <c r="AIO36" s="414"/>
      <c r="AIP36" s="414"/>
      <c r="AIQ36" s="414"/>
      <c r="AIR36" s="414"/>
      <c r="AIS36" s="414"/>
      <c r="AIT36" s="414"/>
      <c r="AIU36" s="414"/>
      <c r="AIV36" s="414"/>
      <c r="AIW36" s="414"/>
      <c r="AIX36" s="414"/>
      <c r="AIY36" s="414"/>
      <c r="AIZ36" s="414"/>
      <c r="AJA36" s="414"/>
      <c r="AJB36" s="414"/>
      <c r="AJC36" s="414"/>
      <c r="AJD36" s="414"/>
      <c r="AJE36" s="414"/>
      <c r="AJF36" s="414"/>
      <c r="AJG36" s="414"/>
      <c r="AJH36" s="414"/>
      <c r="AJI36" s="414"/>
      <c r="AJJ36" s="414"/>
      <c r="AJK36" s="414"/>
      <c r="AJL36" s="414"/>
      <c r="AJM36" s="414"/>
      <c r="AJN36" s="414"/>
      <c r="AJO36" s="414"/>
      <c r="AJP36" s="414"/>
      <c r="AJQ36" s="414"/>
      <c r="AJR36" s="414"/>
      <c r="AJS36" s="414"/>
      <c r="AJT36" s="414"/>
      <c r="AJU36" s="414"/>
      <c r="AJV36" s="414"/>
      <c r="AJW36" s="414"/>
      <c r="AJX36" s="414"/>
      <c r="AJY36" s="414"/>
      <c r="AJZ36" s="414"/>
      <c r="AKA36" s="414"/>
      <c r="AKB36" s="414"/>
      <c r="AKC36" s="414"/>
      <c r="AKD36" s="414"/>
      <c r="AKE36" s="414"/>
      <c r="AKF36" s="414"/>
      <c r="AKG36" s="414"/>
      <c r="AKH36" s="414"/>
      <c r="AKI36" s="414"/>
      <c r="AKJ36" s="414"/>
      <c r="AKK36" s="414"/>
      <c r="AKL36" s="414"/>
      <c r="AKM36" s="414"/>
      <c r="AKN36" s="414"/>
      <c r="AKO36" s="414"/>
      <c r="AKP36" s="414"/>
      <c r="AKQ36" s="414"/>
      <c r="AKR36" s="414"/>
      <c r="AKS36" s="414"/>
      <c r="AKT36" s="414"/>
      <c r="AKU36" s="414"/>
      <c r="AKV36" s="414"/>
      <c r="AKW36" s="414"/>
      <c r="AKX36" s="414"/>
      <c r="AKY36" s="414"/>
      <c r="AKZ36" s="414"/>
      <c r="ALA36" s="414"/>
      <c r="ALB36" s="414"/>
      <c r="ALC36" s="414"/>
      <c r="ALD36" s="414"/>
      <c r="ALE36" s="414"/>
      <c r="ALF36" s="414"/>
      <c r="ALG36" s="414"/>
      <c r="ALH36" s="414"/>
      <c r="ALI36" s="414"/>
      <c r="ALJ36" s="414"/>
      <c r="ALK36" s="414"/>
      <c r="ALL36" s="414"/>
      <c r="ALM36" s="414"/>
      <c r="ALN36" s="414"/>
      <c r="ALO36" s="414"/>
      <c r="ALP36" s="414"/>
      <c r="ALQ36" s="414"/>
      <c r="ALR36" s="414"/>
      <c r="ALS36" s="414"/>
      <c r="ALT36" s="414"/>
      <c r="ALU36" s="414"/>
      <c r="ALV36" s="414"/>
      <c r="ALW36" s="414"/>
      <c r="ALX36" s="414"/>
      <c r="ALY36" s="414"/>
      <c r="ALZ36" s="414"/>
      <c r="AMA36" s="414"/>
      <c r="AMB36" s="414"/>
      <c r="AMC36" s="414"/>
      <c r="AMD36" s="414"/>
      <c r="AME36" s="414"/>
      <c r="AMF36" s="414"/>
      <c r="AMG36" s="414"/>
      <c r="AMH36" s="414"/>
      <c r="AMI36" s="414"/>
      <c r="AMJ36" s="414"/>
      <c r="AMK36" s="414"/>
      <c r="AML36" s="414"/>
      <c r="AMM36" s="414"/>
      <c r="AMN36" s="414"/>
      <c r="AMO36" s="414"/>
      <c r="AMP36" s="414"/>
      <c r="AMQ36" s="414"/>
      <c r="AMR36" s="414"/>
      <c r="AMS36" s="414"/>
      <c r="AMT36" s="414"/>
      <c r="AMU36" s="414"/>
      <c r="AMV36" s="414"/>
      <c r="AMW36" s="414"/>
      <c r="AMX36" s="414"/>
      <c r="AMY36" s="414"/>
      <c r="AMZ36" s="414"/>
      <c r="ANA36" s="414"/>
      <c r="ANB36" s="414"/>
      <c r="ANC36" s="414"/>
      <c r="AND36" s="414"/>
      <c r="ANE36" s="414"/>
      <c r="ANF36" s="414"/>
      <c r="ANG36" s="414"/>
      <c r="ANH36" s="414"/>
      <c r="ANI36" s="414"/>
      <c r="ANJ36" s="414"/>
      <c r="ANK36" s="414"/>
      <c r="ANL36" s="414"/>
      <c r="ANM36" s="414"/>
      <c r="ANN36" s="414"/>
      <c r="ANO36" s="414"/>
      <c r="ANP36" s="414"/>
      <c r="ANQ36" s="414"/>
      <c r="ANR36" s="414"/>
      <c r="ANS36" s="414"/>
      <c r="ANT36" s="414"/>
      <c r="ANU36" s="414"/>
      <c r="ANV36" s="414"/>
      <c r="ANW36" s="414"/>
      <c r="ANX36" s="414"/>
      <c r="ANY36" s="414"/>
      <c r="ANZ36" s="414"/>
      <c r="AOA36" s="414"/>
      <c r="AOB36" s="414"/>
      <c r="AOC36" s="414"/>
      <c r="AOD36" s="414"/>
      <c r="AOE36" s="414"/>
      <c r="AOF36" s="414"/>
      <c r="AOG36" s="414"/>
      <c r="AOH36" s="414"/>
      <c r="AOI36" s="414"/>
      <c r="AOJ36" s="414"/>
      <c r="AOK36" s="414"/>
      <c r="AOL36" s="414"/>
      <c r="AOM36" s="414"/>
      <c r="AON36" s="414"/>
      <c r="AOO36" s="414"/>
      <c r="AOP36" s="414"/>
      <c r="AOQ36" s="414"/>
      <c r="AOR36" s="414"/>
      <c r="AOS36" s="414"/>
      <c r="AOT36" s="414"/>
      <c r="AOU36" s="414"/>
      <c r="AOV36" s="414"/>
      <c r="AOW36" s="414"/>
      <c r="AOX36" s="414"/>
      <c r="AOY36" s="414"/>
      <c r="AOZ36" s="414"/>
      <c r="APA36" s="414"/>
      <c r="APB36" s="414"/>
      <c r="APC36" s="414"/>
      <c r="APD36" s="414"/>
      <c r="APE36" s="414"/>
      <c r="APF36" s="414"/>
      <c r="APG36" s="414"/>
      <c r="APH36" s="414"/>
      <c r="API36" s="414"/>
      <c r="APJ36" s="414"/>
      <c r="APK36" s="414"/>
      <c r="APL36" s="414"/>
      <c r="APM36" s="414"/>
      <c r="APN36" s="414"/>
      <c r="APO36" s="414"/>
      <c r="APP36" s="414"/>
      <c r="APQ36" s="414"/>
      <c r="APR36" s="414"/>
      <c r="APS36" s="414"/>
      <c r="APT36" s="414"/>
      <c r="APU36" s="414"/>
      <c r="APV36" s="414"/>
      <c r="APW36" s="414"/>
      <c r="APX36" s="414"/>
      <c r="APY36" s="414"/>
      <c r="APZ36" s="414"/>
      <c r="AQA36" s="414"/>
      <c r="AQB36" s="414"/>
      <c r="AQC36" s="414"/>
      <c r="AQD36" s="414"/>
      <c r="AQE36" s="414"/>
      <c r="AQF36" s="414"/>
      <c r="AQG36" s="414"/>
      <c r="AQH36" s="414"/>
      <c r="AQI36" s="414"/>
      <c r="AQJ36" s="414"/>
      <c r="AQK36" s="414"/>
      <c r="AQL36" s="414"/>
      <c r="AQM36" s="414"/>
      <c r="AQN36" s="414"/>
      <c r="AQO36" s="414"/>
      <c r="AQP36" s="414"/>
      <c r="AQQ36" s="414"/>
      <c r="AQR36" s="414"/>
      <c r="AQS36" s="414"/>
      <c r="AQT36" s="414"/>
      <c r="AQU36" s="414"/>
      <c r="AQV36" s="414"/>
      <c r="AQW36" s="414"/>
      <c r="AQX36" s="414"/>
      <c r="AQY36" s="414"/>
      <c r="AQZ36" s="414"/>
      <c r="ARA36" s="414"/>
      <c r="ARB36" s="414"/>
      <c r="ARC36" s="414"/>
      <c r="ARD36" s="414"/>
      <c r="ARE36" s="414"/>
      <c r="ARF36" s="414"/>
      <c r="ARG36" s="414"/>
      <c r="ARH36" s="414"/>
      <c r="ARI36" s="414"/>
      <c r="ARJ36" s="414"/>
      <c r="ARK36" s="414"/>
      <c r="ARL36" s="414"/>
      <c r="ARM36" s="414"/>
      <c r="ARN36" s="414"/>
      <c r="ARO36" s="414"/>
      <c r="ARP36" s="414"/>
      <c r="ARQ36" s="414"/>
      <c r="ARR36" s="414"/>
      <c r="ARS36" s="414"/>
      <c r="ART36" s="414"/>
      <c r="ARU36" s="414"/>
      <c r="ARV36" s="414"/>
      <c r="ARW36" s="414"/>
      <c r="ARX36" s="414"/>
      <c r="ARY36" s="414"/>
      <c r="ARZ36" s="414"/>
      <c r="ASA36" s="414"/>
      <c r="ASB36" s="414"/>
      <c r="ASC36" s="414"/>
      <c r="ASD36" s="414"/>
      <c r="ASE36" s="414"/>
      <c r="ASF36" s="414"/>
      <c r="ASG36" s="414"/>
      <c r="ASH36" s="414"/>
      <c r="ASI36" s="414"/>
      <c r="ASJ36" s="414"/>
      <c r="ASK36" s="414"/>
      <c r="ASL36" s="414"/>
      <c r="ASM36" s="414"/>
      <c r="ASN36" s="414"/>
      <c r="ASO36" s="414"/>
      <c r="ASP36" s="414"/>
      <c r="ASQ36" s="414"/>
      <c r="ASR36" s="414"/>
      <c r="ASS36" s="414"/>
      <c r="AST36" s="414"/>
      <c r="ASU36" s="414"/>
      <c r="ASV36" s="414"/>
      <c r="ASW36" s="414"/>
      <c r="ASX36" s="414"/>
      <c r="ASY36" s="414"/>
      <c r="ASZ36" s="414"/>
      <c r="ATA36" s="414"/>
      <c r="ATB36" s="414"/>
      <c r="ATC36" s="414"/>
      <c r="ATD36" s="414"/>
      <c r="ATE36" s="414"/>
      <c r="ATF36" s="414"/>
      <c r="ATG36" s="414"/>
      <c r="ATH36" s="414"/>
      <c r="ATI36" s="414"/>
      <c r="ATJ36" s="414"/>
      <c r="ATK36" s="414"/>
      <c r="ATL36" s="414"/>
      <c r="ATM36" s="414"/>
      <c r="ATN36" s="414"/>
      <c r="ATO36" s="414"/>
      <c r="ATP36" s="414"/>
      <c r="ATQ36" s="414"/>
      <c r="ATR36" s="414"/>
      <c r="ATS36" s="414"/>
      <c r="ATT36" s="414"/>
      <c r="ATU36" s="414"/>
      <c r="ATV36" s="414"/>
      <c r="ATW36" s="414"/>
      <c r="ATX36" s="414"/>
      <c r="ATY36" s="414"/>
      <c r="ATZ36" s="414"/>
      <c r="AUA36" s="414"/>
      <c r="AUB36" s="414"/>
      <c r="AUC36" s="414"/>
      <c r="AUD36" s="414"/>
      <c r="AUE36" s="414"/>
      <c r="AUF36" s="414"/>
      <c r="AUG36" s="414"/>
      <c r="AUH36" s="414"/>
      <c r="AUI36" s="414"/>
      <c r="AUJ36" s="414"/>
      <c r="AUK36" s="414"/>
      <c r="AUL36" s="414"/>
      <c r="AUM36" s="414"/>
      <c r="AUN36" s="414"/>
      <c r="AUO36" s="414"/>
      <c r="AUP36" s="414"/>
      <c r="AUQ36" s="414"/>
      <c r="AUR36" s="414"/>
      <c r="AUS36" s="414"/>
      <c r="AUT36" s="414"/>
      <c r="AUU36" s="414"/>
      <c r="AUV36" s="414"/>
      <c r="AUW36" s="414"/>
      <c r="AUX36" s="414"/>
      <c r="AUY36" s="414"/>
      <c r="AUZ36" s="414"/>
      <c r="AVA36" s="414"/>
      <c r="AVB36" s="414"/>
      <c r="AVC36" s="414"/>
      <c r="AVD36" s="414"/>
      <c r="AVE36" s="414"/>
      <c r="AVF36" s="414"/>
      <c r="AVG36" s="414"/>
      <c r="AVH36" s="414"/>
      <c r="AVI36" s="414"/>
      <c r="AVJ36" s="414"/>
      <c r="AVK36" s="414"/>
      <c r="AVL36" s="414"/>
      <c r="AVM36" s="414"/>
      <c r="AVN36" s="414"/>
      <c r="AVO36" s="414"/>
      <c r="AVP36" s="414"/>
      <c r="AVQ36" s="414"/>
      <c r="AVR36" s="414"/>
      <c r="AVS36" s="414"/>
      <c r="AVT36" s="414"/>
      <c r="AVU36" s="414"/>
      <c r="AVV36" s="414"/>
      <c r="AVW36" s="414"/>
      <c r="AVX36" s="414"/>
      <c r="AVY36" s="414"/>
      <c r="AVZ36" s="414"/>
      <c r="AWA36" s="414"/>
      <c r="AWB36" s="414"/>
      <c r="AWC36" s="414"/>
      <c r="AWD36" s="414"/>
      <c r="AWE36" s="414"/>
      <c r="AWF36" s="414"/>
      <c r="AWG36" s="414"/>
      <c r="AWH36" s="414"/>
      <c r="AWI36" s="414"/>
      <c r="AWJ36" s="414"/>
      <c r="AWK36" s="414"/>
      <c r="AWL36" s="414"/>
      <c r="AWM36" s="414"/>
      <c r="AWN36" s="414"/>
      <c r="AWO36" s="414"/>
      <c r="AWP36" s="414"/>
      <c r="AWQ36" s="414"/>
      <c r="AWR36" s="414"/>
      <c r="AWS36" s="414"/>
      <c r="AWT36" s="414"/>
      <c r="AWU36" s="414"/>
      <c r="AWV36" s="414"/>
      <c r="AWW36" s="414"/>
      <c r="AWX36" s="414"/>
      <c r="AWY36" s="414"/>
      <c r="AWZ36" s="414"/>
      <c r="AXA36" s="414"/>
      <c r="AXB36" s="414"/>
      <c r="AXC36" s="414"/>
      <c r="AXD36" s="414"/>
      <c r="AXE36" s="414"/>
      <c r="AXF36" s="414"/>
      <c r="AXG36" s="414"/>
      <c r="AXH36" s="414"/>
      <c r="AXI36" s="414"/>
      <c r="AXJ36" s="414"/>
      <c r="AXK36" s="414"/>
      <c r="AXL36" s="414"/>
      <c r="AXM36" s="414"/>
      <c r="AXN36" s="414"/>
      <c r="AXO36" s="414"/>
      <c r="AXP36" s="414"/>
      <c r="AXQ36" s="414"/>
      <c r="AXR36" s="414"/>
      <c r="AXS36" s="414"/>
      <c r="AXT36" s="414"/>
      <c r="AXU36" s="414"/>
      <c r="AXV36" s="414"/>
      <c r="AXW36" s="414"/>
      <c r="AXX36" s="414"/>
      <c r="AXY36" s="414"/>
      <c r="AXZ36" s="414"/>
      <c r="AYA36" s="414"/>
      <c r="AYB36" s="414"/>
      <c r="AYC36" s="414"/>
      <c r="AYD36" s="414"/>
      <c r="AYE36" s="414"/>
      <c r="AYF36" s="414"/>
      <c r="AYG36" s="414"/>
      <c r="AYH36" s="414"/>
      <c r="AYI36" s="414"/>
      <c r="AYJ36" s="414"/>
      <c r="AYK36" s="414"/>
      <c r="AYL36" s="414"/>
      <c r="AYM36" s="414"/>
      <c r="AYN36" s="414"/>
      <c r="AYO36" s="414"/>
      <c r="AYP36" s="414"/>
      <c r="AYQ36" s="414"/>
      <c r="AYR36" s="414"/>
      <c r="AYS36" s="414"/>
      <c r="AYT36" s="414"/>
      <c r="AYU36" s="414"/>
      <c r="AYV36" s="414"/>
      <c r="AYW36" s="414"/>
      <c r="AYX36" s="414"/>
      <c r="AYY36" s="414"/>
      <c r="AYZ36" s="414"/>
      <c r="AZA36" s="414"/>
      <c r="AZB36" s="414"/>
      <c r="AZC36" s="414"/>
      <c r="AZD36" s="414"/>
      <c r="AZE36" s="414"/>
      <c r="AZF36" s="414"/>
      <c r="AZG36" s="414"/>
      <c r="AZH36" s="414"/>
      <c r="AZI36" s="414"/>
      <c r="AZJ36" s="414"/>
      <c r="AZK36" s="414"/>
      <c r="AZL36" s="414"/>
      <c r="AZM36" s="414"/>
      <c r="AZN36" s="414"/>
      <c r="AZO36" s="414"/>
      <c r="AZP36" s="414"/>
      <c r="AZQ36" s="414"/>
      <c r="AZR36" s="414"/>
      <c r="AZS36" s="414"/>
      <c r="AZT36" s="414"/>
      <c r="AZU36" s="414"/>
      <c r="AZV36" s="414"/>
      <c r="AZW36" s="414"/>
      <c r="AZX36" s="414"/>
      <c r="AZY36" s="414"/>
      <c r="AZZ36" s="414"/>
      <c r="BAA36" s="414"/>
      <c r="BAB36" s="414"/>
      <c r="BAC36" s="414"/>
      <c r="BAD36" s="414"/>
      <c r="BAE36" s="414"/>
      <c r="BAF36" s="414"/>
      <c r="BAG36" s="414"/>
      <c r="BAH36" s="414"/>
      <c r="BAI36" s="414"/>
      <c r="BAJ36" s="414"/>
      <c r="BAK36" s="414"/>
      <c r="BAL36" s="414"/>
      <c r="BAM36" s="414"/>
      <c r="BAN36" s="414"/>
      <c r="BAO36" s="414"/>
      <c r="BAP36" s="414"/>
      <c r="BAQ36" s="414"/>
      <c r="BAR36" s="414"/>
      <c r="BAS36" s="414"/>
      <c r="BAT36" s="414"/>
      <c r="BAU36" s="414"/>
      <c r="BAV36" s="414"/>
      <c r="BAW36" s="414"/>
      <c r="BAX36" s="414"/>
      <c r="BAY36" s="414"/>
      <c r="BAZ36" s="414"/>
      <c r="BBA36" s="414"/>
      <c r="BBB36" s="414"/>
      <c r="BBC36" s="414"/>
      <c r="BBD36" s="414"/>
      <c r="BBE36" s="414"/>
      <c r="BBF36" s="414"/>
      <c r="BBG36" s="414"/>
      <c r="BBH36" s="414"/>
      <c r="BBI36" s="414"/>
      <c r="BBJ36" s="414"/>
      <c r="BBK36" s="414"/>
      <c r="BBL36" s="414"/>
      <c r="BBM36" s="414"/>
      <c r="BBN36" s="414"/>
      <c r="BBO36" s="414"/>
      <c r="BBP36" s="414"/>
      <c r="BBQ36" s="414"/>
      <c r="BBR36" s="414"/>
      <c r="BBS36" s="414"/>
      <c r="BBT36" s="414"/>
      <c r="BBU36" s="414"/>
      <c r="BBV36" s="414"/>
      <c r="BBW36" s="414"/>
      <c r="BBX36" s="414"/>
      <c r="BBY36" s="414"/>
      <c r="BBZ36" s="414"/>
      <c r="BCA36" s="414"/>
      <c r="BCB36" s="414"/>
      <c r="BCC36" s="414"/>
      <c r="BCD36" s="414"/>
      <c r="BCE36" s="414"/>
      <c r="BCF36" s="414"/>
      <c r="BCG36" s="414"/>
      <c r="BCH36" s="414"/>
      <c r="BCI36" s="414"/>
      <c r="BCJ36" s="414"/>
      <c r="BCK36" s="414"/>
      <c r="BCL36" s="414"/>
      <c r="BCM36" s="414"/>
      <c r="BCN36" s="414"/>
      <c r="BCO36" s="414"/>
      <c r="BCP36" s="414"/>
      <c r="BCQ36" s="414"/>
      <c r="BCR36" s="414"/>
      <c r="BCS36" s="414"/>
      <c r="BCT36" s="414"/>
      <c r="BCU36" s="414"/>
      <c r="BCV36" s="414"/>
      <c r="BCW36" s="414"/>
      <c r="BCX36" s="414"/>
      <c r="BCY36" s="414"/>
      <c r="BCZ36" s="414"/>
      <c r="BDA36" s="414"/>
      <c r="BDB36" s="414"/>
      <c r="BDC36" s="414"/>
      <c r="BDD36" s="414"/>
      <c r="BDE36" s="414"/>
      <c r="BDF36" s="414"/>
      <c r="BDG36" s="414"/>
      <c r="BDH36" s="414"/>
      <c r="BDI36" s="414"/>
      <c r="BDJ36" s="414"/>
      <c r="BDK36" s="414"/>
      <c r="BDL36" s="414"/>
      <c r="BDM36" s="414"/>
      <c r="BDN36" s="414"/>
      <c r="BDO36" s="414"/>
      <c r="BDP36" s="414"/>
      <c r="BDQ36" s="414"/>
      <c r="BDR36" s="414"/>
      <c r="BDS36" s="414"/>
      <c r="BDT36" s="414"/>
      <c r="BDU36" s="414"/>
      <c r="BDV36" s="414"/>
      <c r="BDW36" s="414"/>
      <c r="BDX36" s="414"/>
      <c r="BDY36" s="414"/>
      <c r="BDZ36" s="414"/>
      <c r="BEA36" s="414"/>
      <c r="BEB36" s="414"/>
      <c r="BEC36" s="414"/>
      <c r="BED36" s="414"/>
      <c r="BEE36" s="414"/>
      <c r="BEF36" s="414"/>
      <c r="BEG36" s="414"/>
      <c r="BEH36" s="414"/>
      <c r="BEI36" s="414"/>
      <c r="BEJ36" s="414"/>
      <c r="BEK36" s="414"/>
      <c r="BEL36" s="414"/>
      <c r="BEM36" s="414"/>
      <c r="BEN36" s="414"/>
      <c r="BEO36" s="414"/>
      <c r="BEP36" s="414"/>
      <c r="BEQ36" s="414"/>
      <c r="BER36" s="414"/>
      <c r="BES36" s="414"/>
      <c r="BET36" s="414"/>
      <c r="BEU36" s="414"/>
      <c r="BEV36" s="414"/>
      <c r="BEW36" s="414"/>
      <c r="BEX36" s="414"/>
      <c r="BEY36" s="414"/>
      <c r="BEZ36" s="414"/>
      <c r="BFA36" s="414"/>
      <c r="BFB36" s="414"/>
      <c r="BFC36" s="414"/>
      <c r="BFD36" s="414"/>
      <c r="BFE36" s="414"/>
      <c r="BFF36" s="414"/>
      <c r="BFG36" s="414"/>
      <c r="BFH36" s="414"/>
      <c r="BFI36" s="414"/>
      <c r="BFJ36" s="414"/>
      <c r="BFK36" s="414"/>
      <c r="BFL36" s="414"/>
      <c r="BFM36" s="414"/>
      <c r="BFN36" s="414"/>
      <c r="BFO36" s="414"/>
      <c r="BFP36" s="414"/>
      <c r="BFQ36" s="414"/>
      <c r="BFR36" s="414"/>
      <c r="BFS36" s="414"/>
      <c r="BFT36" s="414"/>
      <c r="BFU36" s="414"/>
      <c r="BFV36" s="414"/>
      <c r="BFW36" s="414"/>
      <c r="BFX36" s="414"/>
      <c r="BFY36" s="414"/>
      <c r="BFZ36" s="414"/>
      <c r="BGA36" s="414"/>
      <c r="BGB36" s="414"/>
      <c r="BGC36" s="414"/>
      <c r="BGD36" s="414"/>
      <c r="BGE36" s="414"/>
      <c r="BGF36" s="414"/>
      <c r="BGG36" s="414"/>
      <c r="BGH36" s="414"/>
      <c r="BGI36" s="414"/>
      <c r="BGJ36" s="414"/>
      <c r="BGK36" s="414"/>
      <c r="BGL36" s="414"/>
      <c r="BGM36" s="414"/>
      <c r="BGN36" s="414"/>
      <c r="BGO36" s="414"/>
      <c r="BGP36" s="414"/>
      <c r="BGQ36" s="414"/>
      <c r="BGR36" s="414"/>
      <c r="BGS36" s="414"/>
      <c r="BGT36" s="414"/>
      <c r="BGU36" s="414"/>
      <c r="BGV36" s="414"/>
      <c r="BGW36" s="414"/>
      <c r="BGX36" s="414"/>
      <c r="BGY36" s="414"/>
      <c r="BGZ36" s="414"/>
      <c r="BHA36" s="414"/>
      <c r="BHB36" s="414"/>
      <c r="BHC36" s="414"/>
      <c r="BHD36" s="414"/>
      <c r="BHE36" s="414"/>
      <c r="BHF36" s="414"/>
      <c r="BHG36" s="414"/>
      <c r="BHH36" s="414"/>
      <c r="BHI36" s="414"/>
      <c r="BHJ36" s="414"/>
      <c r="BHK36" s="414"/>
      <c r="BHL36" s="414"/>
      <c r="BHM36" s="414"/>
      <c r="BHN36" s="414"/>
      <c r="BHO36" s="414"/>
      <c r="BHP36" s="414"/>
      <c r="BHQ36" s="414"/>
      <c r="BHR36" s="414"/>
      <c r="BHS36" s="414"/>
      <c r="BHT36" s="414"/>
      <c r="BHU36" s="414"/>
      <c r="BHV36" s="414"/>
      <c r="BHW36" s="414"/>
      <c r="BHX36" s="414"/>
      <c r="BHY36" s="414"/>
      <c r="BHZ36" s="414"/>
      <c r="BIA36" s="414"/>
      <c r="BIB36" s="414"/>
      <c r="BIC36" s="414"/>
      <c r="BID36" s="414"/>
      <c r="BIE36" s="414"/>
      <c r="BIF36" s="414"/>
      <c r="BIG36" s="414"/>
      <c r="BIH36" s="414"/>
      <c r="BII36" s="414"/>
      <c r="BIJ36" s="414"/>
      <c r="BIK36" s="414"/>
      <c r="BIL36" s="414"/>
      <c r="BIM36" s="414"/>
      <c r="BIN36" s="414"/>
      <c r="BIO36" s="414"/>
      <c r="BIP36" s="414"/>
      <c r="BIQ36" s="414"/>
      <c r="BIR36" s="414"/>
      <c r="BIS36" s="414"/>
      <c r="BIT36" s="414"/>
      <c r="BIU36" s="414"/>
      <c r="BIV36" s="414"/>
      <c r="BIW36" s="414"/>
      <c r="BIX36" s="414"/>
      <c r="BIY36" s="414"/>
      <c r="BIZ36" s="414"/>
      <c r="BJA36" s="414"/>
      <c r="BJB36" s="414"/>
      <c r="BJC36" s="414"/>
      <c r="BJD36" s="414"/>
      <c r="BJE36" s="414"/>
      <c r="BJF36" s="414"/>
      <c r="BJG36" s="414"/>
      <c r="BJH36" s="414"/>
      <c r="BJI36" s="414"/>
      <c r="BJJ36" s="414"/>
      <c r="BJK36" s="414"/>
      <c r="BJL36" s="414"/>
      <c r="BJM36" s="414"/>
      <c r="BJN36" s="414"/>
      <c r="BJO36" s="414"/>
      <c r="BJP36" s="414"/>
      <c r="BJQ36" s="414"/>
      <c r="BJR36" s="414"/>
      <c r="BJS36" s="414"/>
      <c r="BJT36" s="414"/>
      <c r="BJU36" s="414"/>
      <c r="BJV36" s="414"/>
      <c r="BJW36" s="414"/>
      <c r="BJX36" s="414"/>
      <c r="BJY36" s="414"/>
      <c r="BJZ36" s="414"/>
      <c r="BKA36" s="414"/>
      <c r="BKB36" s="414"/>
      <c r="BKC36" s="414"/>
      <c r="BKD36" s="414"/>
      <c r="BKE36" s="414"/>
      <c r="BKF36" s="414"/>
      <c r="BKG36" s="414"/>
      <c r="BKH36" s="414"/>
      <c r="BKI36" s="414"/>
      <c r="BKJ36" s="414"/>
      <c r="BKK36" s="414"/>
      <c r="BKL36" s="414"/>
      <c r="BKM36" s="414"/>
      <c r="BKN36" s="414"/>
      <c r="BKO36" s="414"/>
      <c r="BKP36" s="414"/>
      <c r="BKQ36" s="414"/>
      <c r="BKR36" s="414"/>
      <c r="BKS36" s="414"/>
      <c r="BKT36" s="414"/>
      <c r="BKU36" s="414"/>
      <c r="BKV36" s="414"/>
      <c r="BKW36" s="414"/>
      <c r="BKX36" s="414"/>
      <c r="BKY36" s="414"/>
      <c r="BKZ36" s="414"/>
      <c r="BLA36" s="414"/>
      <c r="BLB36" s="414"/>
      <c r="BLC36" s="414"/>
      <c r="BLD36" s="414"/>
      <c r="BLE36" s="414"/>
      <c r="BLF36" s="414"/>
      <c r="BLG36" s="414"/>
      <c r="BLH36" s="414"/>
      <c r="BLI36" s="414"/>
      <c r="BLJ36" s="414"/>
      <c r="BLK36" s="414"/>
      <c r="BLL36" s="414"/>
      <c r="BLM36" s="414"/>
      <c r="BLN36" s="414"/>
      <c r="BLO36" s="414"/>
      <c r="BLP36" s="414"/>
      <c r="BLQ36" s="414"/>
      <c r="BLR36" s="414"/>
      <c r="BLS36" s="414"/>
      <c r="BLT36" s="414"/>
      <c r="BLU36" s="414"/>
      <c r="BLV36" s="414"/>
      <c r="BLW36" s="414"/>
      <c r="BLX36" s="414"/>
      <c r="BLY36" s="414"/>
      <c r="BLZ36" s="414"/>
      <c r="BMA36" s="414"/>
      <c r="BMB36" s="414"/>
      <c r="BMC36" s="414"/>
      <c r="BMD36" s="414"/>
      <c r="BME36" s="414"/>
      <c r="BMF36" s="414"/>
      <c r="BMG36" s="414"/>
      <c r="BMH36" s="414"/>
      <c r="BMI36" s="414"/>
      <c r="BMJ36" s="414"/>
      <c r="BMK36" s="414"/>
      <c r="BML36" s="414"/>
      <c r="BMM36" s="414"/>
      <c r="BMN36" s="414"/>
      <c r="BMO36" s="414"/>
      <c r="BMP36" s="414"/>
      <c r="BMQ36" s="414"/>
      <c r="BMR36" s="414"/>
      <c r="BMS36" s="414"/>
      <c r="BMT36" s="414"/>
      <c r="BMU36" s="414"/>
      <c r="BMV36" s="414"/>
      <c r="BMW36" s="414"/>
      <c r="BMX36" s="414"/>
      <c r="BMY36" s="414"/>
      <c r="BMZ36" s="414"/>
      <c r="BNA36" s="414"/>
      <c r="BNB36" s="414"/>
      <c r="BNC36" s="414"/>
      <c r="BND36" s="414"/>
      <c r="BNE36" s="414"/>
      <c r="BNF36" s="414"/>
      <c r="BNG36" s="414"/>
      <c r="BNH36" s="414"/>
      <c r="BNI36" s="414"/>
      <c r="BNJ36" s="414"/>
      <c r="BNK36" s="414"/>
      <c r="BNL36" s="414"/>
      <c r="BNM36" s="414"/>
      <c r="BNN36" s="414"/>
      <c r="BNO36" s="414"/>
      <c r="BNP36" s="414"/>
      <c r="BNQ36" s="414"/>
      <c r="BNR36" s="414"/>
      <c r="BNS36" s="414"/>
      <c r="BNT36" s="414"/>
      <c r="BNU36" s="414"/>
      <c r="BNV36" s="414"/>
      <c r="BNW36" s="414"/>
      <c r="BNX36" s="414"/>
      <c r="BNY36" s="414"/>
      <c r="BNZ36" s="414"/>
      <c r="BOA36" s="414"/>
      <c r="BOB36" s="414"/>
      <c r="BOC36" s="414"/>
      <c r="BOD36" s="414"/>
      <c r="BOE36" s="414"/>
      <c r="BOF36" s="414"/>
      <c r="BOG36" s="414"/>
      <c r="BOH36" s="414"/>
      <c r="BOI36" s="414"/>
      <c r="BOJ36" s="414"/>
      <c r="BOK36" s="414"/>
      <c r="BOL36" s="414"/>
      <c r="BOM36" s="414"/>
      <c r="BON36" s="414"/>
      <c r="BOO36" s="414"/>
      <c r="BOP36" s="414"/>
      <c r="BOQ36" s="414"/>
      <c r="BOR36" s="414"/>
      <c r="BOS36" s="414"/>
      <c r="BOT36" s="414"/>
      <c r="BOU36" s="414"/>
      <c r="BOV36" s="414"/>
      <c r="BOW36" s="414"/>
      <c r="BOX36" s="414"/>
      <c r="BOY36" s="414"/>
      <c r="BOZ36" s="414"/>
      <c r="BPA36" s="414"/>
      <c r="BPB36" s="414"/>
      <c r="BPC36" s="414"/>
      <c r="BPD36" s="414"/>
      <c r="BPE36" s="414"/>
      <c r="BPF36" s="414"/>
      <c r="BPG36" s="414"/>
      <c r="BPH36" s="414"/>
      <c r="BPI36" s="414"/>
      <c r="BPJ36" s="414"/>
      <c r="BPK36" s="414"/>
      <c r="BPL36" s="414"/>
      <c r="BPM36" s="414"/>
      <c r="BPN36" s="414"/>
      <c r="BPO36" s="414"/>
      <c r="BPP36" s="414"/>
      <c r="BPQ36" s="414"/>
      <c r="BPR36" s="414"/>
      <c r="BPS36" s="414"/>
      <c r="BPT36" s="414"/>
      <c r="BPU36" s="414"/>
      <c r="BPV36" s="414"/>
      <c r="BPW36" s="414"/>
      <c r="BPX36" s="414"/>
      <c r="BPY36" s="414"/>
      <c r="BPZ36" s="414"/>
      <c r="BQA36" s="414"/>
      <c r="BQB36" s="414"/>
      <c r="BQC36" s="414"/>
      <c r="BQD36" s="414"/>
      <c r="BQE36" s="414"/>
      <c r="BQF36" s="414"/>
      <c r="BQG36" s="414"/>
      <c r="BQH36" s="414"/>
      <c r="BQI36" s="414"/>
      <c r="BQJ36" s="414"/>
      <c r="BQK36" s="414"/>
      <c r="BQL36" s="414"/>
      <c r="BQM36" s="414"/>
      <c r="BQN36" s="414"/>
      <c r="BQO36" s="414"/>
      <c r="BQP36" s="414"/>
      <c r="BQQ36" s="414"/>
      <c r="BQR36" s="414"/>
      <c r="BQS36" s="414"/>
      <c r="BQT36" s="414"/>
      <c r="BQU36" s="414"/>
      <c r="BQV36" s="414"/>
      <c r="BQW36" s="414"/>
      <c r="BQX36" s="414"/>
      <c r="BQY36" s="414"/>
      <c r="BQZ36" s="414"/>
      <c r="BRA36" s="414"/>
      <c r="BRB36" s="414"/>
      <c r="BRC36" s="414"/>
      <c r="BRD36" s="414"/>
      <c r="BRE36" s="414"/>
      <c r="BRF36" s="414"/>
      <c r="BRG36" s="414"/>
      <c r="BRH36" s="414"/>
      <c r="BRI36" s="414"/>
      <c r="BRJ36" s="414"/>
      <c r="BRK36" s="414"/>
      <c r="BRL36" s="414"/>
      <c r="BRM36" s="414"/>
      <c r="BRN36" s="414"/>
      <c r="BRO36" s="414"/>
      <c r="BRP36" s="414"/>
      <c r="BRQ36" s="414"/>
      <c r="BRR36" s="414"/>
      <c r="BRS36" s="414"/>
      <c r="BRT36" s="414"/>
      <c r="BRU36" s="414"/>
      <c r="BRV36" s="414"/>
      <c r="BRW36" s="414"/>
      <c r="BRX36" s="414"/>
      <c r="BRY36" s="414"/>
      <c r="BRZ36" s="414"/>
      <c r="BSA36" s="414"/>
      <c r="BSB36" s="414"/>
      <c r="BSC36" s="414"/>
      <c r="BSD36" s="414"/>
      <c r="BSE36" s="414"/>
      <c r="BSF36" s="414"/>
      <c r="BSG36" s="414"/>
      <c r="BSH36" s="414"/>
      <c r="BSI36" s="414"/>
      <c r="BSJ36" s="414"/>
      <c r="BSK36" s="414"/>
      <c r="BSL36" s="414"/>
      <c r="BSM36" s="414"/>
      <c r="BSN36" s="414"/>
      <c r="BSO36" s="414"/>
      <c r="BSP36" s="414"/>
      <c r="BSQ36" s="414"/>
      <c r="BSR36" s="414"/>
      <c r="BSS36" s="414"/>
      <c r="BST36" s="414"/>
      <c r="BSU36" s="414"/>
      <c r="BSV36" s="414"/>
      <c r="BSW36" s="414"/>
      <c r="BSX36" s="414"/>
      <c r="BSY36" s="414"/>
      <c r="BSZ36" s="414"/>
      <c r="BTA36" s="414"/>
      <c r="BTB36" s="414"/>
      <c r="BTC36" s="414"/>
      <c r="BTD36" s="414"/>
      <c r="BTE36" s="414"/>
      <c r="BTF36" s="414"/>
      <c r="BTG36" s="414"/>
      <c r="BTH36" s="414"/>
      <c r="BTI36" s="414"/>
      <c r="BTJ36" s="414"/>
      <c r="BTK36" s="414"/>
      <c r="BTL36" s="414"/>
      <c r="BTM36" s="414"/>
      <c r="BTN36" s="414"/>
      <c r="BTO36" s="414"/>
      <c r="BTP36" s="414"/>
      <c r="BTQ36" s="414"/>
      <c r="BTR36" s="414"/>
      <c r="BTS36" s="414"/>
      <c r="BTT36" s="414"/>
      <c r="BTU36" s="414"/>
      <c r="BTV36" s="414"/>
      <c r="BTW36" s="414"/>
      <c r="BTX36" s="414"/>
      <c r="BTY36" s="414"/>
      <c r="BTZ36" s="414"/>
      <c r="BUA36" s="414"/>
      <c r="BUB36" s="414"/>
      <c r="BUC36" s="414"/>
      <c r="BUD36" s="414"/>
      <c r="BUE36" s="414"/>
      <c r="BUF36" s="414"/>
      <c r="BUG36" s="414"/>
      <c r="BUH36" s="414"/>
      <c r="BUI36" s="414"/>
      <c r="BUJ36" s="414"/>
      <c r="BUK36" s="414"/>
      <c r="BUL36" s="414"/>
      <c r="BUM36" s="414"/>
      <c r="BUN36" s="414"/>
      <c r="BUO36" s="414"/>
      <c r="BUP36" s="414"/>
      <c r="BUQ36" s="414"/>
      <c r="BUR36" s="414"/>
      <c r="BUS36" s="414"/>
      <c r="BUT36" s="414"/>
      <c r="BUU36" s="414"/>
      <c r="BUV36" s="414"/>
      <c r="BUW36" s="414"/>
      <c r="BUX36" s="414"/>
      <c r="BUY36" s="414"/>
      <c r="BUZ36" s="414"/>
      <c r="BVA36" s="414"/>
      <c r="BVB36" s="414"/>
      <c r="BVC36" s="414"/>
      <c r="BVD36" s="414"/>
      <c r="BVE36" s="414"/>
      <c r="BVF36" s="414"/>
      <c r="BVG36" s="414"/>
      <c r="BVH36" s="414"/>
      <c r="BVI36" s="414"/>
      <c r="BVJ36" s="414"/>
      <c r="BVK36" s="414"/>
      <c r="BVL36" s="414"/>
      <c r="BVM36" s="414"/>
      <c r="BVN36" s="414"/>
      <c r="BVO36" s="414"/>
      <c r="BVP36" s="414"/>
      <c r="BVQ36" s="414"/>
      <c r="BVR36" s="414"/>
      <c r="BVS36" s="414"/>
      <c r="BVT36" s="414"/>
      <c r="BVU36" s="414"/>
      <c r="BVV36" s="414"/>
      <c r="BVW36" s="414"/>
      <c r="BVX36" s="414"/>
      <c r="BVY36" s="414"/>
      <c r="BVZ36" s="414"/>
      <c r="BWA36" s="414"/>
      <c r="BWB36" s="414"/>
      <c r="BWC36" s="414"/>
      <c r="BWD36" s="414"/>
      <c r="BWE36" s="414"/>
      <c r="BWF36" s="414"/>
      <c r="BWG36" s="414"/>
      <c r="BWH36" s="414"/>
      <c r="BWI36" s="414"/>
      <c r="BWJ36" s="414"/>
      <c r="BWK36" s="414"/>
      <c r="BWL36" s="414"/>
      <c r="BWM36" s="414"/>
      <c r="BWN36" s="414"/>
      <c r="BWO36" s="414"/>
      <c r="BWP36" s="414"/>
      <c r="BWQ36" s="414"/>
      <c r="BWR36" s="414"/>
      <c r="BWS36" s="414"/>
      <c r="BWT36" s="414"/>
      <c r="BWU36" s="414"/>
      <c r="BWV36" s="414"/>
      <c r="BWW36" s="414"/>
      <c r="BWX36" s="414"/>
      <c r="BWY36" s="414"/>
      <c r="BWZ36" s="414"/>
      <c r="BXA36" s="414"/>
      <c r="BXB36" s="414"/>
      <c r="BXC36" s="414"/>
      <c r="BXD36" s="414"/>
      <c r="BXE36" s="414"/>
      <c r="BXF36" s="414"/>
      <c r="BXG36" s="414"/>
      <c r="BXH36" s="414"/>
      <c r="BXI36" s="414"/>
      <c r="BXJ36" s="414"/>
      <c r="BXK36" s="414"/>
      <c r="BXL36" s="414"/>
      <c r="BXM36" s="414"/>
      <c r="BXN36" s="414"/>
      <c r="BXO36" s="414"/>
      <c r="BXP36" s="414"/>
      <c r="BXQ36" s="414"/>
      <c r="BXR36" s="414"/>
      <c r="BXS36" s="414"/>
      <c r="BXT36" s="414"/>
      <c r="BXU36" s="414"/>
      <c r="BXV36" s="414"/>
      <c r="BXW36" s="414"/>
      <c r="BXX36" s="414"/>
      <c r="BXY36" s="414"/>
      <c r="BXZ36" s="414"/>
      <c r="BYA36" s="414"/>
      <c r="BYB36" s="414"/>
      <c r="BYC36" s="414"/>
      <c r="BYD36" s="414"/>
      <c r="BYE36" s="414"/>
      <c r="BYF36" s="414"/>
      <c r="BYG36" s="414"/>
      <c r="BYH36" s="414"/>
      <c r="BYI36" s="414"/>
      <c r="BYJ36" s="414"/>
      <c r="BYK36" s="414"/>
      <c r="BYL36" s="414"/>
      <c r="BYM36" s="414"/>
      <c r="BYN36" s="414"/>
      <c r="BYO36" s="414"/>
      <c r="BYP36" s="414"/>
      <c r="BYQ36" s="414"/>
      <c r="BYR36" s="414"/>
      <c r="BYS36" s="414"/>
      <c r="BYT36" s="414"/>
      <c r="BYU36" s="414"/>
      <c r="BYV36" s="414"/>
      <c r="BYW36" s="414"/>
      <c r="BYX36" s="414"/>
      <c r="BYY36" s="414"/>
      <c r="BYZ36" s="414"/>
      <c r="BZA36" s="414"/>
      <c r="BZB36" s="414"/>
      <c r="BZC36" s="414"/>
      <c r="BZD36" s="414"/>
      <c r="BZE36" s="414"/>
      <c r="BZF36" s="414"/>
      <c r="BZG36" s="414"/>
      <c r="BZH36" s="414"/>
      <c r="BZI36" s="414"/>
      <c r="BZJ36" s="414"/>
      <c r="BZK36" s="414"/>
      <c r="BZL36" s="414"/>
      <c r="BZM36" s="414"/>
      <c r="BZN36" s="414"/>
      <c r="BZO36" s="414"/>
      <c r="BZP36" s="414"/>
      <c r="BZQ36" s="414"/>
      <c r="BZR36" s="414"/>
      <c r="BZS36" s="414"/>
      <c r="BZT36" s="414"/>
      <c r="BZU36" s="414"/>
      <c r="BZV36" s="414"/>
      <c r="BZW36" s="414"/>
      <c r="BZX36" s="414"/>
      <c r="BZY36" s="414"/>
      <c r="BZZ36" s="414"/>
      <c r="CAA36" s="414"/>
      <c r="CAB36" s="414"/>
      <c r="CAC36" s="414"/>
      <c r="CAD36" s="414"/>
      <c r="CAE36" s="414"/>
      <c r="CAF36" s="414"/>
      <c r="CAG36" s="414"/>
      <c r="CAH36" s="414"/>
      <c r="CAI36" s="414"/>
      <c r="CAJ36" s="414"/>
      <c r="CAK36" s="414"/>
      <c r="CAL36" s="414"/>
      <c r="CAM36" s="414"/>
      <c r="CAN36" s="414"/>
      <c r="CAO36" s="414"/>
      <c r="CAP36" s="414"/>
      <c r="CAQ36" s="414"/>
      <c r="CAR36" s="414"/>
      <c r="CAS36" s="414"/>
      <c r="CAT36" s="414"/>
      <c r="CAU36" s="414"/>
      <c r="CAV36" s="414"/>
      <c r="CAW36" s="414"/>
      <c r="CAX36" s="414"/>
      <c r="CAY36" s="414"/>
      <c r="CAZ36" s="414"/>
      <c r="CBA36" s="414"/>
      <c r="CBB36" s="414"/>
      <c r="CBC36" s="414"/>
      <c r="CBD36" s="414"/>
      <c r="CBE36" s="414"/>
      <c r="CBF36" s="414"/>
      <c r="CBG36" s="414"/>
      <c r="CBH36" s="414"/>
      <c r="CBI36" s="414"/>
      <c r="CBJ36" s="414"/>
      <c r="CBK36" s="414"/>
      <c r="CBL36" s="414"/>
      <c r="CBM36" s="414"/>
      <c r="CBN36" s="414"/>
      <c r="CBO36" s="414"/>
      <c r="CBP36" s="414"/>
      <c r="CBQ36" s="414"/>
      <c r="CBR36" s="414"/>
      <c r="CBS36" s="414"/>
      <c r="CBT36" s="414"/>
      <c r="CBU36" s="414"/>
      <c r="CBV36" s="414"/>
      <c r="CBW36" s="414"/>
      <c r="CBX36" s="414"/>
      <c r="CBY36" s="414"/>
      <c r="CBZ36" s="414"/>
      <c r="CCA36" s="414"/>
      <c r="CCB36" s="414"/>
      <c r="CCC36" s="414"/>
      <c r="CCD36" s="414"/>
      <c r="CCE36" s="414"/>
      <c r="CCF36" s="414"/>
      <c r="CCG36" s="414"/>
      <c r="CCH36" s="414"/>
      <c r="CCI36" s="414"/>
      <c r="CCJ36" s="414"/>
      <c r="CCK36" s="414"/>
      <c r="CCL36" s="414"/>
      <c r="CCM36" s="414"/>
      <c r="CCN36" s="414"/>
      <c r="CCO36" s="414"/>
      <c r="CCP36" s="414"/>
      <c r="CCQ36" s="414"/>
      <c r="CCR36" s="414"/>
      <c r="CCS36" s="414"/>
      <c r="CCT36" s="414"/>
      <c r="CCU36" s="414"/>
      <c r="CCV36" s="414"/>
      <c r="CCW36" s="414"/>
      <c r="CCX36" s="414"/>
      <c r="CCY36" s="414"/>
      <c r="CCZ36" s="414"/>
      <c r="CDA36" s="414"/>
      <c r="CDB36" s="414"/>
      <c r="CDC36" s="414"/>
      <c r="CDD36" s="414"/>
      <c r="CDE36" s="414"/>
      <c r="CDF36" s="414"/>
      <c r="CDG36" s="414"/>
      <c r="CDH36" s="414"/>
      <c r="CDI36" s="414"/>
      <c r="CDJ36" s="414"/>
      <c r="CDK36" s="414"/>
      <c r="CDL36" s="414"/>
      <c r="CDM36" s="414"/>
      <c r="CDN36" s="414"/>
      <c r="CDO36" s="414"/>
      <c r="CDP36" s="414"/>
      <c r="CDQ36" s="414"/>
      <c r="CDR36" s="414"/>
      <c r="CDS36" s="414"/>
      <c r="CDT36" s="414"/>
      <c r="CDU36" s="414"/>
      <c r="CDV36" s="414"/>
      <c r="CDW36" s="414"/>
      <c r="CDX36" s="414"/>
      <c r="CDY36" s="414"/>
      <c r="CDZ36" s="414"/>
      <c r="CEA36" s="414"/>
      <c r="CEB36" s="414"/>
      <c r="CEC36" s="414"/>
      <c r="CED36" s="414"/>
      <c r="CEE36" s="414"/>
      <c r="CEF36" s="414"/>
      <c r="CEG36" s="414"/>
      <c r="CEH36" s="414"/>
      <c r="CEI36" s="414"/>
      <c r="CEJ36" s="414"/>
      <c r="CEK36" s="414"/>
      <c r="CEL36" s="414"/>
      <c r="CEM36" s="414"/>
      <c r="CEN36" s="414"/>
      <c r="CEO36" s="414"/>
      <c r="CEP36" s="414"/>
      <c r="CEQ36" s="414"/>
      <c r="CER36" s="414"/>
      <c r="CES36" s="414"/>
      <c r="CET36" s="414"/>
      <c r="CEU36" s="414"/>
      <c r="CEV36" s="414"/>
      <c r="CEW36" s="414"/>
      <c r="CEX36" s="414"/>
      <c r="CEY36" s="414"/>
      <c r="CEZ36" s="414"/>
      <c r="CFA36" s="414"/>
      <c r="CFB36" s="414"/>
      <c r="CFC36" s="414"/>
      <c r="CFD36" s="414"/>
      <c r="CFE36" s="414"/>
      <c r="CFF36" s="414"/>
      <c r="CFG36" s="414"/>
      <c r="CFH36" s="414"/>
      <c r="CFI36" s="414"/>
      <c r="CFJ36" s="414"/>
      <c r="CFK36" s="414"/>
      <c r="CFL36" s="414"/>
      <c r="CFM36" s="414"/>
      <c r="CFN36" s="414"/>
      <c r="CFO36" s="414"/>
      <c r="CFP36" s="414"/>
      <c r="CFQ36" s="414"/>
      <c r="CFR36" s="414"/>
      <c r="CFS36" s="414"/>
      <c r="CFT36" s="414"/>
      <c r="CFU36" s="414"/>
      <c r="CFV36" s="414"/>
      <c r="CFW36" s="414"/>
      <c r="CFX36" s="414"/>
      <c r="CFY36" s="414"/>
      <c r="CFZ36" s="414"/>
      <c r="CGA36" s="414"/>
      <c r="CGB36" s="414"/>
      <c r="CGC36" s="414"/>
      <c r="CGD36" s="414"/>
      <c r="CGE36" s="414"/>
      <c r="CGF36" s="414"/>
      <c r="CGG36" s="414"/>
      <c r="CGH36" s="414"/>
      <c r="CGI36" s="414"/>
      <c r="CGJ36" s="414"/>
      <c r="CGK36" s="414"/>
      <c r="CGL36" s="414"/>
      <c r="CGM36" s="414"/>
      <c r="CGN36" s="414"/>
      <c r="CGO36" s="414"/>
      <c r="CGP36" s="414"/>
      <c r="CGQ36" s="414"/>
      <c r="CGR36" s="414"/>
      <c r="CGS36" s="414"/>
      <c r="CGT36" s="414"/>
      <c r="CGU36" s="414"/>
      <c r="CGV36" s="414"/>
      <c r="CGW36" s="414"/>
      <c r="CGX36" s="414"/>
      <c r="CGY36" s="414"/>
      <c r="CGZ36" s="414"/>
      <c r="CHA36" s="414"/>
      <c r="CHB36" s="414"/>
      <c r="CHC36" s="414"/>
      <c r="CHD36" s="414"/>
      <c r="CHE36" s="414"/>
      <c r="CHF36" s="414"/>
      <c r="CHG36" s="414"/>
      <c r="CHH36" s="414"/>
      <c r="CHI36" s="414"/>
      <c r="CHJ36" s="414"/>
      <c r="CHK36" s="414"/>
      <c r="CHL36" s="414"/>
      <c r="CHM36" s="414"/>
      <c r="CHN36" s="414"/>
      <c r="CHO36" s="414"/>
      <c r="CHP36" s="414"/>
      <c r="CHQ36" s="414"/>
      <c r="CHR36" s="414"/>
      <c r="CHS36" s="414"/>
      <c r="CHT36" s="414"/>
      <c r="CHU36" s="414"/>
      <c r="CHV36" s="414"/>
      <c r="CHW36" s="414"/>
      <c r="CHX36" s="414"/>
      <c r="CHY36" s="414"/>
      <c r="CHZ36" s="414"/>
      <c r="CIA36" s="414"/>
      <c r="CIB36" s="414"/>
      <c r="CIC36" s="414"/>
      <c r="CID36" s="414"/>
      <c r="CIE36" s="414"/>
      <c r="CIF36" s="414"/>
      <c r="CIG36" s="414"/>
      <c r="CIH36" s="414"/>
      <c r="CII36" s="414"/>
      <c r="CIJ36" s="414"/>
      <c r="CIK36" s="414"/>
      <c r="CIL36" s="414"/>
      <c r="CIM36" s="414"/>
      <c r="CIN36" s="414"/>
      <c r="CIO36" s="414"/>
      <c r="CIP36" s="414"/>
      <c r="CIQ36" s="414"/>
      <c r="CIR36" s="414"/>
      <c r="CIS36" s="414"/>
      <c r="CIT36" s="414"/>
      <c r="CIU36" s="414"/>
      <c r="CIV36" s="414"/>
      <c r="CIW36" s="414"/>
      <c r="CIX36" s="414"/>
      <c r="CIY36" s="414"/>
      <c r="CIZ36" s="414"/>
      <c r="CJA36" s="414"/>
      <c r="CJB36" s="414"/>
      <c r="CJC36" s="414"/>
      <c r="CJD36" s="414"/>
      <c r="CJE36" s="414"/>
      <c r="CJF36" s="414"/>
      <c r="CJG36" s="414"/>
      <c r="CJH36" s="414"/>
      <c r="CJI36" s="414"/>
      <c r="CJJ36" s="414"/>
      <c r="CJK36" s="414"/>
      <c r="CJL36" s="414"/>
      <c r="CJM36" s="414"/>
      <c r="CJN36" s="414"/>
      <c r="CJO36" s="414"/>
      <c r="CJP36" s="414"/>
      <c r="CJQ36" s="414"/>
      <c r="CJR36" s="414"/>
      <c r="CJS36" s="414"/>
      <c r="CJT36" s="414"/>
      <c r="CJU36" s="414"/>
      <c r="CJV36" s="414"/>
      <c r="CJW36" s="414"/>
      <c r="CJX36" s="414"/>
      <c r="CJY36" s="414"/>
      <c r="CJZ36" s="414"/>
      <c r="CKA36" s="414"/>
      <c r="CKB36" s="414"/>
      <c r="CKC36" s="414"/>
      <c r="CKD36" s="414"/>
      <c r="CKE36" s="414"/>
      <c r="CKF36" s="414"/>
      <c r="CKG36" s="414"/>
      <c r="CKH36" s="414"/>
      <c r="CKI36" s="414"/>
      <c r="CKJ36" s="414"/>
      <c r="CKK36" s="414"/>
      <c r="CKL36" s="414"/>
      <c r="CKM36" s="414"/>
      <c r="CKN36" s="414"/>
      <c r="CKO36" s="414"/>
      <c r="CKP36" s="414"/>
      <c r="CKQ36" s="414"/>
      <c r="CKR36" s="414"/>
      <c r="CKS36" s="414"/>
      <c r="CKT36" s="414"/>
      <c r="CKU36" s="414"/>
      <c r="CKV36" s="414"/>
      <c r="CKW36" s="414"/>
      <c r="CKX36" s="414"/>
      <c r="CKY36" s="414"/>
      <c r="CKZ36" s="414"/>
      <c r="CLA36" s="414"/>
      <c r="CLB36" s="414"/>
      <c r="CLC36" s="414"/>
      <c r="CLD36" s="414"/>
      <c r="CLE36" s="414"/>
      <c r="CLF36" s="414"/>
      <c r="CLG36" s="414"/>
      <c r="CLH36" s="414"/>
      <c r="CLI36" s="414"/>
      <c r="CLJ36" s="414"/>
      <c r="CLK36" s="414"/>
      <c r="CLL36" s="414"/>
      <c r="CLM36" s="414"/>
      <c r="CLN36" s="414"/>
      <c r="CLO36" s="414"/>
      <c r="CLP36" s="414"/>
      <c r="CLQ36" s="414"/>
      <c r="CLR36" s="414"/>
      <c r="CLS36" s="414"/>
      <c r="CLT36" s="414"/>
      <c r="CLU36" s="414"/>
      <c r="CLV36" s="414"/>
      <c r="CLW36" s="414"/>
      <c r="CLX36" s="414"/>
      <c r="CLY36" s="414"/>
      <c r="CLZ36" s="414"/>
      <c r="CMA36" s="414"/>
      <c r="CMB36" s="414"/>
      <c r="CMC36" s="414"/>
      <c r="CMD36" s="414"/>
      <c r="CME36" s="414"/>
      <c r="CMF36" s="414"/>
      <c r="CMG36" s="414"/>
      <c r="CMH36" s="414"/>
      <c r="CMI36" s="414"/>
      <c r="CMJ36" s="414"/>
      <c r="CMK36" s="414"/>
      <c r="CML36" s="414"/>
      <c r="CMM36" s="414"/>
      <c r="CMN36" s="414"/>
      <c r="CMO36" s="414"/>
      <c r="CMP36" s="414"/>
      <c r="CMQ36" s="414"/>
      <c r="CMR36" s="414"/>
      <c r="CMS36" s="414"/>
      <c r="CMT36" s="414"/>
      <c r="CMU36" s="414"/>
      <c r="CMV36" s="414"/>
      <c r="CMW36" s="414"/>
      <c r="CMX36" s="414"/>
      <c r="CMY36" s="414"/>
      <c r="CMZ36" s="414"/>
      <c r="CNA36" s="414"/>
      <c r="CNB36" s="414"/>
      <c r="CNC36" s="414"/>
      <c r="CND36" s="414"/>
      <c r="CNE36" s="414"/>
      <c r="CNF36" s="414"/>
      <c r="CNG36" s="414"/>
      <c r="CNH36" s="414"/>
      <c r="CNI36" s="414"/>
      <c r="CNJ36" s="414"/>
      <c r="CNK36" s="414"/>
      <c r="CNL36" s="414"/>
      <c r="CNM36" s="414"/>
      <c r="CNN36" s="414"/>
      <c r="CNO36" s="414"/>
      <c r="CNP36" s="414"/>
      <c r="CNQ36" s="414"/>
      <c r="CNR36" s="414"/>
      <c r="CNS36" s="414"/>
      <c r="CNT36" s="414"/>
      <c r="CNU36" s="414"/>
      <c r="CNV36" s="414"/>
      <c r="CNW36" s="414"/>
      <c r="CNX36" s="414"/>
      <c r="CNY36" s="414"/>
      <c r="CNZ36" s="414"/>
      <c r="COA36" s="414"/>
      <c r="COB36" s="414"/>
      <c r="COC36" s="414"/>
      <c r="COD36" s="414"/>
      <c r="COE36" s="414"/>
      <c r="COF36" s="414"/>
      <c r="COG36" s="414"/>
      <c r="COH36" s="414"/>
      <c r="COI36" s="414"/>
      <c r="COJ36" s="414"/>
      <c r="COK36" s="414"/>
      <c r="COL36" s="414"/>
      <c r="COM36" s="414"/>
      <c r="CON36" s="414"/>
      <c r="COO36" s="414"/>
      <c r="COP36" s="414"/>
      <c r="COQ36" s="414"/>
      <c r="COR36" s="414"/>
      <c r="COS36" s="414"/>
      <c r="COT36" s="414"/>
      <c r="COU36" s="414"/>
      <c r="COV36" s="414"/>
      <c r="COW36" s="414"/>
      <c r="COX36" s="414"/>
      <c r="COY36" s="414"/>
      <c r="COZ36" s="414"/>
      <c r="CPA36" s="414"/>
      <c r="CPB36" s="414"/>
      <c r="CPC36" s="414"/>
      <c r="CPD36" s="414"/>
      <c r="CPE36" s="414"/>
      <c r="CPF36" s="414"/>
      <c r="CPG36" s="414"/>
      <c r="CPH36" s="414"/>
      <c r="CPI36" s="414"/>
      <c r="CPJ36" s="414"/>
      <c r="CPK36" s="414"/>
      <c r="CPL36" s="414"/>
      <c r="CPM36" s="414"/>
      <c r="CPN36" s="414"/>
      <c r="CPO36" s="414"/>
      <c r="CPP36" s="414"/>
      <c r="CPQ36" s="414"/>
      <c r="CPR36" s="414"/>
      <c r="CPS36" s="414"/>
      <c r="CPT36" s="414"/>
      <c r="CPU36" s="414"/>
      <c r="CPV36" s="414"/>
      <c r="CPW36" s="414"/>
      <c r="CPX36" s="414"/>
      <c r="CPY36" s="414"/>
      <c r="CPZ36" s="414"/>
      <c r="CQA36" s="414"/>
      <c r="CQB36" s="414"/>
      <c r="CQC36" s="414"/>
      <c r="CQD36" s="414"/>
      <c r="CQE36" s="414"/>
      <c r="CQF36" s="414"/>
      <c r="CQG36" s="414"/>
      <c r="CQH36" s="414"/>
      <c r="CQI36" s="414"/>
      <c r="CQJ36" s="414"/>
      <c r="CQK36" s="414"/>
      <c r="CQL36" s="414"/>
      <c r="CQM36" s="414"/>
      <c r="CQN36" s="414"/>
      <c r="CQO36" s="414"/>
      <c r="CQP36" s="414"/>
      <c r="CQQ36" s="414"/>
      <c r="CQR36" s="414"/>
      <c r="CQS36" s="414"/>
      <c r="CQT36" s="414"/>
      <c r="CQU36" s="414"/>
      <c r="CQV36" s="414"/>
      <c r="CQW36" s="414"/>
      <c r="CQX36" s="414"/>
      <c r="CQY36" s="414"/>
      <c r="CQZ36" s="414"/>
      <c r="CRA36" s="414"/>
      <c r="CRB36" s="414"/>
      <c r="CRC36" s="414"/>
      <c r="CRD36" s="414"/>
      <c r="CRE36" s="414"/>
      <c r="CRF36" s="414"/>
      <c r="CRG36" s="414"/>
      <c r="CRH36" s="414"/>
      <c r="CRI36" s="414"/>
      <c r="CRJ36" s="414"/>
      <c r="CRK36" s="414"/>
      <c r="CRL36" s="414"/>
      <c r="CRM36" s="414"/>
      <c r="CRN36" s="414"/>
      <c r="CRO36" s="414"/>
      <c r="CRP36" s="414"/>
      <c r="CRQ36" s="414"/>
      <c r="CRR36" s="414"/>
      <c r="CRS36" s="414"/>
      <c r="CRT36" s="414"/>
      <c r="CRU36" s="414"/>
      <c r="CRV36" s="414"/>
      <c r="CRW36" s="414"/>
      <c r="CRX36" s="414"/>
      <c r="CRY36" s="414"/>
      <c r="CRZ36" s="414"/>
      <c r="CSA36" s="414"/>
      <c r="CSB36" s="414"/>
      <c r="CSC36" s="414"/>
      <c r="CSD36" s="414"/>
      <c r="CSE36" s="414"/>
      <c r="CSF36" s="414"/>
      <c r="CSG36" s="414"/>
      <c r="CSH36" s="414"/>
      <c r="CSI36" s="414"/>
      <c r="CSJ36" s="414"/>
      <c r="CSK36" s="414"/>
      <c r="CSL36" s="414"/>
      <c r="CSM36" s="414"/>
      <c r="CSN36" s="414"/>
      <c r="CSO36" s="414"/>
      <c r="CSP36" s="414"/>
      <c r="CSQ36" s="414"/>
      <c r="CSR36" s="414"/>
      <c r="CSS36" s="414"/>
      <c r="CST36" s="414"/>
      <c r="CSU36" s="414"/>
      <c r="CSV36" s="414"/>
      <c r="CSW36" s="414"/>
      <c r="CSX36" s="414"/>
      <c r="CSY36" s="414"/>
      <c r="CSZ36" s="414"/>
      <c r="CTA36" s="414"/>
      <c r="CTB36" s="414"/>
      <c r="CTC36" s="414"/>
      <c r="CTD36" s="414"/>
      <c r="CTE36" s="414"/>
      <c r="CTF36" s="414"/>
      <c r="CTG36" s="414"/>
      <c r="CTH36" s="414"/>
      <c r="CTI36" s="414"/>
      <c r="CTJ36" s="414"/>
      <c r="CTK36" s="414"/>
      <c r="CTL36" s="414"/>
      <c r="CTM36" s="414"/>
      <c r="CTN36" s="414"/>
      <c r="CTO36" s="414"/>
      <c r="CTP36" s="414"/>
      <c r="CTQ36" s="414"/>
      <c r="CTR36" s="414"/>
      <c r="CTS36" s="414"/>
      <c r="CTT36" s="414"/>
      <c r="CTU36" s="414"/>
      <c r="CTV36" s="414"/>
      <c r="CTW36" s="414"/>
      <c r="CTX36" s="414"/>
      <c r="CTY36" s="414"/>
      <c r="CTZ36" s="414"/>
      <c r="CUA36" s="414"/>
      <c r="CUB36" s="414"/>
      <c r="CUC36" s="414"/>
      <c r="CUD36" s="414"/>
      <c r="CUE36" s="414"/>
      <c r="CUF36" s="414"/>
      <c r="CUG36" s="414"/>
      <c r="CUH36" s="414"/>
      <c r="CUI36" s="414"/>
      <c r="CUJ36" s="414"/>
      <c r="CUK36" s="414"/>
      <c r="CUL36" s="414"/>
      <c r="CUM36" s="414"/>
      <c r="CUN36" s="414"/>
      <c r="CUO36" s="414"/>
      <c r="CUP36" s="414"/>
      <c r="CUQ36" s="414"/>
      <c r="CUR36" s="414"/>
      <c r="CUS36" s="414"/>
      <c r="CUT36" s="414"/>
      <c r="CUU36" s="414"/>
      <c r="CUV36" s="414"/>
      <c r="CUW36" s="414"/>
      <c r="CUX36" s="414"/>
      <c r="CUY36" s="414"/>
      <c r="CUZ36" s="414"/>
      <c r="CVA36" s="414"/>
      <c r="CVB36" s="414"/>
      <c r="CVC36" s="414"/>
      <c r="CVD36" s="414"/>
      <c r="CVE36" s="414"/>
      <c r="CVF36" s="414"/>
      <c r="CVG36" s="414"/>
      <c r="CVH36" s="414"/>
      <c r="CVI36" s="414"/>
      <c r="CVJ36" s="414"/>
      <c r="CVK36" s="414"/>
      <c r="CVL36" s="414"/>
      <c r="CVM36" s="414"/>
      <c r="CVN36" s="414"/>
      <c r="CVO36" s="414"/>
      <c r="CVP36" s="414"/>
      <c r="CVQ36" s="414"/>
      <c r="CVR36" s="414"/>
      <c r="CVS36" s="414"/>
      <c r="CVT36" s="414"/>
      <c r="CVU36" s="414"/>
      <c r="CVV36" s="414"/>
      <c r="CVW36" s="414"/>
      <c r="CVX36" s="414"/>
      <c r="CVY36" s="414"/>
      <c r="CVZ36" s="414"/>
      <c r="CWA36" s="414"/>
      <c r="CWB36" s="414"/>
      <c r="CWC36" s="414"/>
      <c r="CWD36" s="414"/>
      <c r="CWE36" s="414"/>
      <c r="CWF36" s="414"/>
      <c r="CWG36" s="414"/>
      <c r="CWH36" s="414"/>
      <c r="CWI36" s="414"/>
      <c r="CWJ36" s="414"/>
      <c r="CWK36" s="414"/>
      <c r="CWL36" s="414"/>
      <c r="CWM36" s="414"/>
      <c r="CWN36" s="414"/>
      <c r="CWO36" s="414"/>
      <c r="CWP36" s="414"/>
      <c r="CWQ36" s="414"/>
      <c r="CWR36" s="414"/>
      <c r="CWS36" s="414"/>
      <c r="CWT36" s="414"/>
      <c r="CWU36" s="414"/>
      <c r="CWV36" s="414"/>
      <c r="CWW36" s="414"/>
      <c r="CWX36" s="414"/>
      <c r="CWY36" s="414"/>
      <c r="CWZ36" s="414"/>
      <c r="CXA36" s="414"/>
      <c r="CXB36" s="414"/>
      <c r="CXC36" s="414"/>
      <c r="CXD36" s="414"/>
      <c r="CXE36" s="414"/>
      <c r="CXF36" s="414"/>
      <c r="CXG36" s="414"/>
      <c r="CXH36" s="414"/>
      <c r="CXI36" s="414"/>
      <c r="CXJ36" s="414"/>
      <c r="CXK36" s="414"/>
      <c r="CXL36" s="414"/>
      <c r="CXM36" s="414"/>
      <c r="CXN36" s="414"/>
      <c r="CXO36" s="414"/>
      <c r="CXP36" s="414"/>
      <c r="CXQ36" s="414"/>
      <c r="CXR36" s="414"/>
      <c r="CXS36" s="414"/>
      <c r="CXT36" s="414"/>
      <c r="CXU36" s="414"/>
      <c r="CXV36" s="414"/>
      <c r="CXW36" s="414"/>
      <c r="CXX36" s="414"/>
      <c r="CXY36" s="414"/>
      <c r="CXZ36" s="414"/>
      <c r="CYA36" s="414"/>
      <c r="CYB36" s="414"/>
      <c r="CYC36" s="414"/>
      <c r="CYD36" s="414"/>
      <c r="CYE36" s="414"/>
      <c r="CYF36" s="414"/>
      <c r="CYG36" s="414"/>
      <c r="CYH36" s="414"/>
      <c r="CYI36" s="414"/>
      <c r="CYJ36" s="414"/>
      <c r="CYK36" s="414"/>
      <c r="CYL36" s="414"/>
      <c r="CYM36" s="414"/>
      <c r="CYN36" s="414"/>
      <c r="CYO36" s="414"/>
      <c r="CYP36" s="414"/>
      <c r="CYQ36" s="414"/>
      <c r="CYR36" s="414"/>
      <c r="CYS36" s="414"/>
      <c r="CYT36" s="414"/>
      <c r="CYU36" s="414"/>
      <c r="CYV36" s="414"/>
      <c r="CYW36" s="414"/>
      <c r="CYX36" s="414"/>
      <c r="CYY36" s="414"/>
      <c r="CYZ36" s="414"/>
      <c r="CZA36" s="414"/>
      <c r="CZB36" s="414"/>
      <c r="CZC36" s="414"/>
      <c r="CZD36" s="414"/>
      <c r="CZE36" s="414"/>
      <c r="CZF36" s="414"/>
      <c r="CZG36" s="414"/>
      <c r="CZH36" s="414"/>
      <c r="CZI36" s="414"/>
      <c r="CZJ36" s="414"/>
      <c r="CZK36" s="414"/>
      <c r="CZL36" s="414"/>
      <c r="CZM36" s="414"/>
      <c r="CZN36" s="414"/>
      <c r="CZO36" s="414"/>
      <c r="CZP36" s="414"/>
      <c r="CZQ36" s="414"/>
      <c r="CZR36" s="414"/>
      <c r="CZS36" s="414"/>
      <c r="CZT36" s="414"/>
      <c r="CZU36" s="414"/>
      <c r="CZV36" s="414"/>
      <c r="CZW36" s="414"/>
      <c r="CZX36" s="414"/>
      <c r="CZY36" s="414"/>
      <c r="CZZ36" s="414"/>
      <c r="DAA36" s="414"/>
      <c r="DAB36" s="414"/>
      <c r="DAC36" s="414"/>
      <c r="DAD36" s="414"/>
      <c r="DAE36" s="414"/>
      <c r="DAF36" s="414"/>
      <c r="DAG36" s="414"/>
      <c r="DAH36" s="414"/>
      <c r="DAI36" s="414"/>
      <c r="DAJ36" s="414"/>
      <c r="DAK36" s="414"/>
      <c r="DAL36" s="414"/>
      <c r="DAM36" s="414"/>
      <c r="DAN36" s="414"/>
      <c r="DAO36" s="414"/>
      <c r="DAP36" s="414"/>
      <c r="DAQ36" s="414"/>
      <c r="DAR36" s="414"/>
      <c r="DAS36" s="414"/>
      <c r="DAT36" s="414"/>
      <c r="DAU36" s="414"/>
      <c r="DAV36" s="414"/>
      <c r="DAW36" s="414"/>
      <c r="DAX36" s="414"/>
      <c r="DAY36" s="414"/>
      <c r="DAZ36" s="414"/>
      <c r="DBA36" s="414"/>
      <c r="DBB36" s="414"/>
      <c r="DBC36" s="414"/>
      <c r="DBD36" s="414"/>
      <c r="DBE36" s="414"/>
      <c r="DBF36" s="414"/>
      <c r="DBG36" s="414"/>
      <c r="DBH36" s="414"/>
      <c r="DBI36" s="414"/>
      <c r="DBJ36" s="414"/>
      <c r="DBK36" s="414"/>
      <c r="DBL36" s="414"/>
      <c r="DBM36" s="414"/>
      <c r="DBN36" s="414"/>
      <c r="DBO36" s="414"/>
      <c r="DBP36" s="414"/>
      <c r="DBQ36" s="414"/>
      <c r="DBR36" s="414"/>
      <c r="DBS36" s="414"/>
      <c r="DBT36" s="414"/>
      <c r="DBU36" s="414"/>
      <c r="DBV36" s="414"/>
      <c r="DBW36" s="414"/>
      <c r="DBX36" s="414"/>
      <c r="DBY36" s="414"/>
      <c r="DBZ36" s="414"/>
      <c r="DCA36" s="414"/>
      <c r="DCB36" s="414"/>
      <c r="DCC36" s="414"/>
      <c r="DCD36" s="414"/>
      <c r="DCE36" s="414"/>
      <c r="DCF36" s="414"/>
      <c r="DCG36" s="414"/>
      <c r="DCH36" s="414"/>
      <c r="DCI36" s="414"/>
      <c r="DCJ36" s="414"/>
      <c r="DCK36" s="414"/>
      <c r="DCL36" s="414"/>
      <c r="DCM36" s="414"/>
      <c r="DCN36" s="414"/>
      <c r="DCO36" s="414"/>
      <c r="DCP36" s="414"/>
      <c r="DCQ36" s="414"/>
      <c r="DCR36" s="414"/>
      <c r="DCS36" s="414"/>
      <c r="DCT36" s="414"/>
      <c r="DCU36" s="414"/>
      <c r="DCV36" s="414"/>
      <c r="DCW36" s="414"/>
      <c r="DCX36" s="414"/>
      <c r="DCY36" s="414"/>
      <c r="DCZ36" s="414"/>
      <c r="DDA36" s="414"/>
      <c r="DDB36" s="414"/>
      <c r="DDC36" s="414"/>
      <c r="DDD36" s="414"/>
      <c r="DDE36" s="414"/>
      <c r="DDF36" s="414"/>
      <c r="DDG36" s="414"/>
      <c r="DDH36" s="414"/>
      <c r="DDI36" s="414"/>
      <c r="DDJ36" s="414"/>
      <c r="DDK36" s="414"/>
      <c r="DDL36" s="414"/>
      <c r="DDM36" s="414"/>
      <c r="DDN36" s="414"/>
      <c r="DDO36" s="414"/>
      <c r="DDP36" s="414"/>
      <c r="DDQ36" s="414"/>
      <c r="DDR36" s="414"/>
      <c r="DDS36" s="414"/>
      <c r="DDT36" s="414"/>
      <c r="DDU36" s="414"/>
      <c r="DDV36" s="414"/>
      <c r="DDW36" s="414"/>
      <c r="DDX36" s="414"/>
      <c r="DDY36" s="414"/>
      <c r="DDZ36" s="414"/>
      <c r="DEA36" s="414"/>
      <c r="DEB36" s="414"/>
      <c r="DEC36" s="414"/>
      <c r="DED36" s="414"/>
      <c r="DEE36" s="414"/>
      <c r="DEF36" s="414"/>
      <c r="DEG36" s="414"/>
      <c r="DEH36" s="414"/>
      <c r="DEI36" s="414"/>
      <c r="DEJ36" s="414"/>
      <c r="DEK36" s="414"/>
      <c r="DEL36" s="414"/>
      <c r="DEM36" s="414"/>
      <c r="DEN36" s="414"/>
      <c r="DEO36" s="414"/>
      <c r="DEP36" s="414"/>
      <c r="DEQ36" s="414"/>
      <c r="DER36" s="414"/>
      <c r="DES36" s="414"/>
      <c r="DET36" s="414"/>
      <c r="DEU36" s="414"/>
      <c r="DEV36" s="414"/>
      <c r="DEW36" s="414"/>
      <c r="DEX36" s="414"/>
      <c r="DEY36" s="414"/>
      <c r="DEZ36" s="414"/>
      <c r="DFA36" s="414"/>
      <c r="DFB36" s="414"/>
      <c r="DFC36" s="414"/>
      <c r="DFD36" s="414"/>
      <c r="DFE36" s="414"/>
      <c r="DFF36" s="414"/>
      <c r="DFG36" s="414"/>
      <c r="DFH36" s="414"/>
      <c r="DFI36" s="414"/>
      <c r="DFJ36" s="414"/>
      <c r="DFK36" s="414"/>
      <c r="DFL36" s="414"/>
      <c r="DFM36" s="414"/>
      <c r="DFN36" s="414"/>
      <c r="DFO36" s="414"/>
      <c r="DFP36" s="414"/>
      <c r="DFQ36" s="414"/>
      <c r="DFR36" s="414"/>
      <c r="DFS36" s="414"/>
      <c r="DFT36" s="414"/>
      <c r="DFU36" s="414"/>
      <c r="DFV36" s="414"/>
      <c r="DFW36" s="414"/>
      <c r="DFX36" s="414"/>
      <c r="DFY36" s="414"/>
      <c r="DFZ36" s="414"/>
      <c r="DGA36" s="414"/>
      <c r="DGB36" s="414"/>
      <c r="DGC36" s="414"/>
      <c r="DGD36" s="414"/>
      <c r="DGE36" s="414"/>
      <c r="DGF36" s="414"/>
      <c r="DGG36" s="414"/>
      <c r="DGH36" s="414"/>
      <c r="DGI36" s="414"/>
      <c r="DGJ36" s="414"/>
      <c r="DGK36" s="414"/>
      <c r="DGL36" s="414"/>
      <c r="DGM36" s="414"/>
      <c r="DGN36" s="414"/>
      <c r="DGO36" s="414"/>
      <c r="DGP36" s="414"/>
      <c r="DGQ36" s="414"/>
      <c r="DGR36" s="414"/>
      <c r="DGS36" s="414"/>
      <c r="DGT36" s="414"/>
      <c r="DGU36" s="414"/>
      <c r="DGV36" s="414"/>
      <c r="DGW36" s="414"/>
      <c r="DGX36" s="414"/>
      <c r="DGY36" s="414"/>
      <c r="DGZ36" s="414"/>
      <c r="DHA36" s="414"/>
      <c r="DHB36" s="414"/>
      <c r="DHC36" s="414"/>
      <c r="DHD36" s="414"/>
      <c r="DHE36" s="414"/>
      <c r="DHF36" s="414"/>
      <c r="DHG36" s="414"/>
      <c r="DHH36" s="414"/>
      <c r="DHI36" s="414"/>
      <c r="DHJ36" s="414"/>
      <c r="DHK36" s="414"/>
      <c r="DHL36" s="414"/>
      <c r="DHM36" s="414"/>
      <c r="DHN36" s="414"/>
      <c r="DHO36" s="414"/>
      <c r="DHP36" s="414"/>
      <c r="DHQ36" s="414"/>
      <c r="DHR36" s="414"/>
      <c r="DHS36" s="414"/>
      <c r="DHT36" s="414"/>
      <c r="DHU36" s="414"/>
      <c r="DHV36" s="414"/>
      <c r="DHW36" s="414"/>
      <c r="DHX36" s="414"/>
      <c r="DHY36" s="414"/>
      <c r="DHZ36" s="414"/>
      <c r="DIA36" s="414"/>
      <c r="DIB36" s="414"/>
      <c r="DIC36" s="414"/>
      <c r="DID36" s="414"/>
      <c r="DIE36" s="414"/>
      <c r="DIF36" s="414"/>
      <c r="DIG36" s="414"/>
      <c r="DIH36" s="414"/>
      <c r="DII36" s="414"/>
      <c r="DIJ36" s="414"/>
      <c r="DIK36" s="414"/>
      <c r="DIL36" s="414"/>
      <c r="DIM36" s="414"/>
      <c r="DIN36" s="414"/>
      <c r="DIO36" s="414"/>
      <c r="DIP36" s="414"/>
      <c r="DIQ36" s="414"/>
      <c r="DIR36" s="414"/>
      <c r="DIS36" s="414"/>
      <c r="DIT36" s="414"/>
      <c r="DIU36" s="414"/>
      <c r="DIV36" s="414"/>
      <c r="DIW36" s="414"/>
      <c r="DIX36" s="414"/>
      <c r="DIY36" s="414"/>
      <c r="DIZ36" s="414"/>
      <c r="DJA36" s="414"/>
      <c r="DJB36" s="414"/>
      <c r="DJC36" s="414"/>
      <c r="DJD36" s="414"/>
      <c r="DJE36" s="414"/>
      <c r="DJF36" s="414"/>
      <c r="DJG36" s="414"/>
      <c r="DJH36" s="414"/>
      <c r="DJI36" s="414"/>
      <c r="DJJ36" s="414"/>
      <c r="DJK36" s="414"/>
      <c r="DJL36" s="414"/>
      <c r="DJM36" s="414"/>
      <c r="DJN36" s="414"/>
      <c r="DJO36" s="414"/>
      <c r="DJP36" s="414"/>
      <c r="DJQ36" s="414"/>
      <c r="DJR36" s="414"/>
      <c r="DJS36" s="414"/>
      <c r="DJT36" s="414"/>
      <c r="DJU36" s="414"/>
      <c r="DJV36" s="414"/>
      <c r="DJW36" s="414"/>
      <c r="DJX36" s="414"/>
      <c r="DJY36" s="414"/>
      <c r="DJZ36" s="414"/>
      <c r="DKA36" s="414"/>
      <c r="DKB36" s="414"/>
      <c r="DKC36" s="414"/>
      <c r="DKD36" s="414"/>
      <c r="DKE36" s="414"/>
      <c r="DKF36" s="414"/>
      <c r="DKG36" s="414"/>
      <c r="DKH36" s="414"/>
      <c r="DKI36" s="414"/>
      <c r="DKJ36" s="414"/>
      <c r="DKK36" s="414"/>
      <c r="DKL36" s="414"/>
      <c r="DKM36" s="414"/>
      <c r="DKN36" s="414"/>
      <c r="DKO36" s="414"/>
      <c r="DKP36" s="414"/>
      <c r="DKQ36" s="414"/>
      <c r="DKR36" s="414"/>
      <c r="DKS36" s="414"/>
      <c r="DKT36" s="414"/>
      <c r="DKU36" s="414"/>
      <c r="DKV36" s="414"/>
      <c r="DKW36" s="414"/>
      <c r="DKX36" s="414"/>
      <c r="DKY36" s="414"/>
      <c r="DKZ36" s="414"/>
      <c r="DLA36" s="414"/>
      <c r="DLB36" s="414"/>
      <c r="DLC36" s="414"/>
      <c r="DLD36" s="414"/>
      <c r="DLE36" s="414"/>
      <c r="DLF36" s="414"/>
      <c r="DLG36" s="414"/>
      <c r="DLH36" s="414"/>
      <c r="DLI36" s="414"/>
      <c r="DLJ36" s="414"/>
      <c r="DLK36" s="414"/>
      <c r="DLL36" s="414"/>
      <c r="DLM36" s="414"/>
      <c r="DLN36" s="414"/>
      <c r="DLO36" s="414"/>
      <c r="DLP36" s="414"/>
      <c r="DLQ36" s="414"/>
      <c r="DLR36" s="414"/>
      <c r="DLS36" s="414"/>
      <c r="DLT36" s="414"/>
      <c r="DLU36" s="414"/>
      <c r="DLV36" s="414"/>
      <c r="DLW36" s="414"/>
      <c r="DLX36" s="414"/>
      <c r="DLY36" s="414"/>
      <c r="DLZ36" s="414"/>
      <c r="DMA36" s="414"/>
      <c r="DMB36" s="414"/>
      <c r="DMC36" s="414"/>
      <c r="DMD36" s="414"/>
      <c r="DME36" s="414"/>
      <c r="DMF36" s="414"/>
      <c r="DMG36" s="414"/>
      <c r="DMH36" s="414"/>
      <c r="DMI36" s="414"/>
      <c r="DMJ36" s="414"/>
      <c r="DMK36" s="414"/>
      <c r="DML36" s="414"/>
      <c r="DMM36" s="414"/>
      <c r="DMN36" s="414"/>
      <c r="DMO36" s="414"/>
      <c r="DMP36" s="414"/>
      <c r="DMQ36" s="414"/>
      <c r="DMR36" s="414"/>
      <c r="DMS36" s="414"/>
      <c r="DMT36" s="414"/>
      <c r="DMU36" s="414"/>
      <c r="DMV36" s="414"/>
      <c r="DMW36" s="414"/>
      <c r="DMX36" s="414"/>
      <c r="DMY36" s="414"/>
      <c r="DMZ36" s="414"/>
      <c r="DNA36" s="414"/>
      <c r="DNB36" s="414"/>
      <c r="DNC36" s="414"/>
      <c r="DND36" s="414"/>
      <c r="DNE36" s="414"/>
      <c r="DNF36" s="414"/>
      <c r="DNG36" s="414"/>
      <c r="DNH36" s="414"/>
      <c r="DNI36" s="414"/>
      <c r="DNJ36" s="414"/>
      <c r="DNK36" s="414"/>
      <c r="DNL36" s="414"/>
      <c r="DNM36" s="414"/>
      <c r="DNN36" s="414"/>
      <c r="DNO36" s="414"/>
      <c r="DNP36" s="414"/>
      <c r="DNQ36" s="414"/>
      <c r="DNR36" s="414"/>
      <c r="DNS36" s="414"/>
      <c r="DNT36" s="414"/>
      <c r="DNU36" s="414"/>
      <c r="DNV36" s="414"/>
      <c r="DNW36" s="414"/>
      <c r="DNX36" s="414"/>
      <c r="DNY36" s="414"/>
      <c r="DNZ36" s="414"/>
      <c r="DOA36" s="414"/>
      <c r="DOB36" s="414"/>
      <c r="DOC36" s="414"/>
      <c r="DOD36" s="414"/>
      <c r="DOE36" s="414"/>
      <c r="DOF36" s="414"/>
      <c r="DOG36" s="414"/>
      <c r="DOH36" s="414"/>
      <c r="DOI36" s="414"/>
      <c r="DOJ36" s="414"/>
      <c r="DOK36" s="414"/>
      <c r="DOL36" s="414"/>
      <c r="DOM36" s="414"/>
      <c r="DON36" s="414"/>
      <c r="DOO36" s="414"/>
      <c r="DOP36" s="414"/>
      <c r="DOQ36" s="414"/>
      <c r="DOR36" s="414"/>
      <c r="DOS36" s="414"/>
      <c r="DOT36" s="414"/>
      <c r="DOU36" s="414"/>
      <c r="DOV36" s="414"/>
      <c r="DOW36" s="414"/>
      <c r="DOX36" s="414"/>
      <c r="DOY36" s="414"/>
      <c r="DOZ36" s="414"/>
      <c r="DPA36" s="414"/>
      <c r="DPB36" s="414"/>
      <c r="DPC36" s="414"/>
      <c r="DPD36" s="414"/>
      <c r="DPE36" s="414"/>
      <c r="DPF36" s="414"/>
      <c r="DPG36" s="414"/>
      <c r="DPH36" s="414"/>
      <c r="DPI36" s="414"/>
      <c r="DPJ36" s="414"/>
      <c r="DPK36" s="414"/>
      <c r="DPL36" s="414"/>
      <c r="DPM36" s="414"/>
      <c r="DPN36" s="414"/>
      <c r="DPO36" s="414"/>
      <c r="DPP36" s="414"/>
      <c r="DPQ36" s="414"/>
      <c r="DPR36" s="414"/>
      <c r="DPS36" s="414"/>
      <c r="DPT36" s="414"/>
      <c r="DPU36" s="414"/>
      <c r="DPV36" s="414"/>
      <c r="DPW36" s="414"/>
      <c r="DPX36" s="414"/>
      <c r="DPY36" s="414"/>
      <c r="DPZ36" s="414"/>
      <c r="DQA36" s="414"/>
      <c r="DQB36" s="414"/>
      <c r="DQC36" s="414"/>
      <c r="DQD36" s="414"/>
      <c r="DQE36" s="414"/>
      <c r="DQF36" s="414"/>
      <c r="DQG36" s="414"/>
      <c r="DQH36" s="414"/>
      <c r="DQI36" s="414"/>
      <c r="DQJ36" s="414"/>
      <c r="DQK36" s="414"/>
      <c r="DQL36" s="414"/>
      <c r="DQM36" s="414"/>
      <c r="DQN36" s="414"/>
      <c r="DQO36" s="414"/>
      <c r="DQP36" s="414"/>
      <c r="DQQ36" s="414"/>
      <c r="DQR36" s="414"/>
      <c r="DQS36" s="414"/>
      <c r="DQT36" s="414"/>
      <c r="DQU36" s="414"/>
      <c r="DQV36" s="414"/>
      <c r="DQW36" s="414"/>
      <c r="DQX36" s="414"/>
      <c r="DQY36" s="414"/>
      <c r="DQZ36" s="414"/>
      <c r="DRA36" s="414"/>
      <c r="DRB36" s="414"/>
      <c r="DRC36" s="414"/>
      <c r="DRD36" s="414"/>
      <c r="DRE36" s="414"/>
      <c r="DRF36" s="414"/>
      <c r="DRG36" s="414"/>
      <c r="DRH36" s="414"/>
      <c r="DRI36" s="414"/>
      <c r="DRJ36" s="414"/>
      <c r="DRK36" s="414"/>
      <c r="DRL36" s="414"/>
      <c r="DRM36" s="414"/>
      <c r="DRN36" s="414"/>
      <c r="DRO36" s="414"/>
      <c r="DRP36" s="414"/>
      <c r="DRQ36" s="414"/>
      <c r="DRR36" s="414"/>
      <c r="DRS36" s="414"/>
      <c r="DRT36" s="414"/>
      <c r="DRU36" s="414"/>
      <c r="DRV36" s="414"/>
      <c r="DRW36" s="414"/>
      <c r="DRX36" s="414"/>
      <c r="DRY36" s="414"/>
      <c r="DRZ36" s="414"/>
      <c r="DSA36" s="414"/>
      <c r="DSB36" s="414"/>
      <c r="DSC36" s="414"/>
      <c r="DSD36" s="414"/>
      <c r="DSE36" s="414"/>
      <c r="DSF36" s="414"/>
      <c r="DSG36" s="414"/>
      <c r="DSH36" s="414"/>
      <c r="DSI36" s="414"/>
      <c r="DSJ36" s="414"/>
      <c r="DSK36" s="414"/>
      <c r="DSL36" s="414"/>
      <c r="DSM36" s="414"/>
      <c r="DSN36" s="414"/>
      <c r="DSO36" s="414"/>
      <c r="DSP36" s="414"/>
      <c r="DSQ36" s="414"/>
      <c r="DSR36" s="414"/>
      <c r="DSS36" s="414"/>
      <c r="DST36" s="414"/>
      <c r="DSU36" s="414"/>
      <c r="DSV36" s="414"/>
      <c r="DSW36" s="414"/>
      <c r="DSX36" s="414"/>
      <c r="DSY36" s="414"/>
      <c r="DSZ36" s="414"/>
      <c r="DTA36" s="414"/>
      <c r="DTB36" s="414"/>
      <c r="DTC36" s="414"/>
      <c r="DTD36" s="414"/>
      <c r="DTE36" s="414"/>
      <c r="DTF36" s="414"/>
      <c r="DTG36" s="414"/>
      <c r="DTH36" s="414"/>
      <c r="DTI36" s="414"/>
      <c r="DTJ36" s="414"/>
      <c r="DTK36" s="414"/>
      <c r="DTL36" s="414"/>
      <c r="DTM36" s="414"/>
      <c r="DTN36" s="414"/>
      <c r="DTO36" s="414"/>
      <c r="DTP36" s="414"/>
      <c r="DTQ36" s="414"/>
      <c r="DTR36" s="414"/>
      <c r="DTS36" s="414"/>
      <c r="DTT36" s="414"/>
      <c r="DTU36" s="414"/>
      <c r="DTV36" s="414"/>
      <c r="DTW36" s="414"/>
      <c r="DTX36" s="414"/>
      <c r="DTY36" s="414"/>
      <c r="DTZ36" s="414"/>
      <c r="DUA36" s="414"/>
      <c r="DUB36" s="414"/>
      <c r="DUC36" s="414"/>
      <c r="DUD36" s="414"/>
      <c r="DUE36" s="414"/>
      <c r="DUF36" s="414"/>
      <c r="DUG36" s="414"/>
      <c r="DUH36" s="414"/>
      <c r="DUI36" s="414"/>
      <c r="DUJ36" s="414"/>
      <c r="DUK36" s="414"/>
      <c r="DUL36" s="414"/>
      <c r="DUM36" s="414"/>
      <c r="DUN36" s="414"/>
      <c r="DUO36" s="414"/>
      <c r="DUP36" s="414"/>
      <c r="DUQ36" s="414"/>
      <c r="DUR36" s="414"/>
      <c r="DUS36" s="414"/>
      <c r="DUT36" s="414"/>
      <c r="DUU36" s="414"/>
      <c r="DUV36" s="414"/>
      <c r="DUW36" s="414"/>
      <c r="DUX36" s="414"/>
      <c r="DUY36" s="414"/>
      <c r="DUZ36" s="414"/>
      <c r="DVA36" s="414"/>
      <c r="DVB36" s="414"/>
      <c r="DVC36" s="414"/>
      <c r="DVD36" s="414"/>
      <c r="DVE36" s="414"/>
      <c r="DVF36" s="414"/>
      <c r="DVG36" s="414"/>
      <c r="DVH36" s="414"/>
      <c r="DVI36" s="414"/>
      <c r="DVJ36" s="414"/>
      <c r="DVK36" s="414"/>
      <c r="DVL36" s="414"/>
      <c r="DVM36" s="414"/>
      <c r="DVN36" s="414"/>
      <c r="DVO36" s="414"/>
      <c r="DVP36" s="414"/>
      <c r="DVQ36" s="414"/>
      <c r="DVR36" s="414"/>
      <c r="DVS36" s="414"/>
      <c r="DVT36" s="414"/>
      <c r="DVU36" s="414"/>
      <c r="DVV36" s="414"/>
      <c r="DVW36" s="414"/>
      <c r="DVX36" s="414"/>
      <c r="DVY36" s="414"/>
      <c r="DVZ36" s="414"/>
      <c r="DWA36" s="414"/>
      <c r="DWB36" s="414"/>
      <c r="DWC36" s="414"/>
      <c r="DWD36" s="414"/>
      <c r="DWE36" s="414"/>
      <c r="DWF36" s="414"/>
      <c r="DWG36" s="414"/>
      <c r="DWH36" s="414"/>
      <c r="DWI36" s="414"/>
      <c r="DWJ36" s="414"/>
      <c r="DWK36" s="414"/>
      <c r="DWL36" s="414"/>
      <c r="DWM36" s="414"/>
      <c r="DWN36" s="414"/>
      <c r="DWO36" s="414"/>
      <c r="DWP36" s="414"/>
      <c r="DWQ36" s="414"/>
      <c r="DWR36" s="414"/>
      <c r="DWS36" s="414"/>
      <c r="DWT36" s="414"/>
      <c r="DWU36" s="414"/>
      <c r="DWV36" s="414"/>
      <c r="DWW36" s="414"/>
      <c r="DWX36" s="414"/>
      <c r="DWY36" s="414"/>
      <c r="DWZ36" s="414"/>
      <c r="DXA36" s="414"/>
      <c r="DXB36" s="414"/>
      <c r="DXC36" s="414"/>
      <c r="DXD36" s="414"/>
      <c r="DXE36" s="414"/>
      <c r="DXF36" s="414"/>
      <c r="DXG36" s="414"/>
      <c r="DXH36" s="414"/>
      <c r="DXI36" s="414"/>
      <c r="DXJ36" s="414"/>
      <c r="DXK36" s="414"/>
      <c r="DXL36" s="414"/>
      <c r="DXM36" s="414"/>
      <c r="DXN36" s="414"/>
      <c r="DXO36" s="414"/>
      <c r="DXP36" s="414"/>
      <c r="DXQ36" s="414"/>
      <c r="DXR36" s="414"/>
      <c r="DXS36" s="414"/>
      <c r="DXT36" s="414"/>
      <c r="DXU36" s="414"/>
      <c r="DXV36" s="414"/>
      <c r="DXW36" s="414"/>
      <c r="DXX36" s="414"/>
      <c r="DXY36" s="414"/>
      <c r="DXZ36" s="414"/>
      <c r="DYA36" s="414"/>
      <c r="DYB36" s="414"/>
      <c r="DYC36" s="414"/>
      <c r="DYD36" s="414"/>
      <c r="DYE36" s="414"/>
      <c r="DYF36" s="414"/>
      <c r="DYG36" s="414"/>
      <c r="DYH36" s="414"/>
      <c r="DYI36" s="414"/>
      <c r="DYJ36" s="414"/>
      <c r="DYK36" s="414"/>
      <c r="DYL36" s="414"/>
      <c r="DYM36" s="414"/>
      <c r="DYN36" s="414"/>
      <c r="DYO36" s="414"/>
      <c r="DYP36" s="414"/>
      <c r="DYQ36" s="414"/>
      <c r="DYR36" s="414"/>
      <c r="DYS36" s="414"/>
      <c r="DYT36" s="414"/>
      <c r="DYU36" s="414"/>
      <c r="DYV36" s="414"/>
      <c r="DYW36" s="414"/>
      <c r="DYX36" s="414"/>
      <c r="DYY36" s="414"/>
      <c r="DYZ36" s="414"/>
      <c r="DZA36" s="414"/>
      <c r="DZB36" s="414"/>
      <c r="DZC36" s="414"/>
      <c r="DZD36" s="414"/>
      <c r="DZE36" s="414"/>
      <c r="DZF36" s="414"/>
      <c r="DZG36" s="414"/>
      <c r="DZH36" s="414"/>
      <c r="DZI36" s="414"/>
      <c r="DZJ36" s="414"/>
      <c r="DZK36" s="414"/>
      <c r="DZL36" s="414"/>
      <c r="DZM36" s="414"/>
      <c r="DZN36" s="414"/>
      <c r="DZO36" s="414"/>
      <c r="DZP36" s="414"/>
      <c r="DZQ36" s="414"/>
      <c r="DZR36" s="414"/>
      <c r="DZS36" s="414"/>
      <c r="DZT36" s="414"/>
      <c r="DZU36" s="414"/>
      <c r="DZV36" s="414"/>
      <c r="DZW36" s="414"/>
      <c r="DZX36" s="414"/>
      <c r="DZY36" s="414"/>
      <c r="DZZ36" s="414"/>
      <c r="EAA36" s="414"/>
      <c r="EAB36" s="414"/>
      <c r="EAC36" s="414"/>
      <c r="EAD36" s="414"/>
      <c r="EAE36" s="414"/>
      <c r="EAF36" s="414"/>
      <c r="EAG36" s="414"/>
      <c r="EAH36" s="414"/>
      <c r="EAI36" s="414"/>
      <c r="EAJ36" s="414"/>
      <c r="EAK36" s="414"/>
      <c r="EAL36" s="414"/>
      <c r="EAM36" s="414"/>
      <c r="EAN36" s="414"/>
      <c r="EAO36" s="414"/>
      <c r="EAP36" s="414"/>
      <c r="EAQ36" s="414"/>
      <c r="EAR36" s="414"/>
      <c r="EAS36" s="414"/>
      <c r="EAT36" s="414"/>
      <c r="EAU36" s="414"/>
      <c r="EAV36" s="414"/>
      <c r="EAW36" s="414"/>
      <c r="EAX36" s="414"/>
      <c r="EAY36" s="414"/>
      <c r="EAZ36" s="414"/>
      <c r="EBA36" s="414"/>
      <c r="EBB36" s="414"/>
      <c r="EBC36" s="414"/>
      <c r="EBD36" s="414"/>
      <c r="EBE36" s="414"/>
      <c r="EBF36" s="414"/>
      <c r="EBG36" s="414"/>
      <c r="EBH36" s="414"/>
      <c r="EBI36" s="414"/>
      <c r="EBJ36" s="414"/>
      <c r="EBK36" s="414"/>
      <c r="EBL36" s="414"/>
      <c r="EBM36" s="414"/>
      <c r="EBN36" s="414"/>
      <c r="EBO36" s="414"/>
      <c r="EBP36" s="414"/>
      <c r="EBQ36" s="414"/>
      <c r="EBR36" s="414"/>
      <c r="EBS36" s="414"/>
      <c r="EBT36" s="414"/>
      <c r="EBU36" s="414"/>
      <c r="EBV36" s="414"/>
      <c r="EBW36" s="414"/>
      <c r="EBX36" s="414"/>
      <c r="EBY36" s="414"/>
      <c r="EBZ36" s="414"/>
      <c r="ECA36" s="414"/>
      <c r="ECB36" s="414"/>
      <c r="ECC36" s="414"/>
      <c r="ECD36" s="414"/>
      <c r="ECE36" s="414"/>
      <c r="ECF36" s="414"/>
      <c r="ECG36" s="414"/>
      <c r="ECH36" s="414"/>
      <c r="ECI36" s="414"/>
      <c r="ECJ36" s="414"/>
      <c r="ECK36" s="414"/>
      <c r="ECL36" s="414"/>
      <c r="ECM36" s="414"/>
      <c r="ECN36" s="414"/>
      <c r="ECO36" s="414"/>
      <c r="ECP36" s="414"/>
      <c r="ECQ36" s="414"/>
      <c r="ECR36" s="414"/>
      <c r="ECS36" s="414"/>
      <c r="ECT36" s="414"/>
      <c r="ECU36" s="414"/>
      <c r="ECV36" s="414"/>
      <c r="ECW36" s="414"/>
      <c r="ECX36" s="414"/>
      <c r="ECY36" s="414"/>
      <c r="ECZ36" s="414"/>
      <c r="EDA36" s="414"/>
      <c r="EDB36" s="414"/>
      <c r="EDC36" s="414"/>
      <c r="EDD36" s="414"/>
      <c r="EDE36" s="414"/>
      <c r="EDF36" s="414"/>
      <c r="EDG36" s="414"/>
      <c r="EDH36" s="414"/>
      <c r="EDI36" s="414"/>
      <c r="EDJ36" s="414"/>
      <c r="EDK36" s="414"/>
      <c r="EDL36" s="414"/>
      <c r="EDM36" s="414"/>
      <c r="EDN36" s="414"/>
      <c r="EDO36" s="414"/>
      <c r="EDP36" s="414"/>
      <c r="EDQ36" s="414"/>
      <c r="EDR36" s="414"/>
      <c r="EDS36" s="414"/>
      <c r="EDT36" s="414"/>
      <c r="EDU36" s="414"/>
      <c r="EDV36" s="414"/>
      <c r="EDW36" s="414"/>
      <c r="EDX36" s="414"/>
      <c r="EDY36" s="414"/>
      <c r="EDZ36" s="414"/>
      <c r="EEA36" s="414"/>
      <c r="EEB36" s="414"/>
      <c r="EEC36" s="414"/>
      <c r="EED36" s="414"/>
      <c r="EEE36" s="414"/>
      <c r="EEF36" s="414"/>
      <c r="EEG36" s="414"/>
      <c r="EEH36" s="414"/>
      <c r="EEI36" s="414"/>
      <c r="EEJ36" s="414"/>
      <c r="EEK36" s="414"/>
      <c r="EEL36" s="414"/>
      <c r="EEM36" s="414"/>
      <c r="EEN36" s="414"/>
      <c r="EEO36" s="414"/>
      <c r="EEP36" s="414"/>
      <c r="EEQ36" s="414"/>
      <c r="EER36" s="414"/>
      <c r="EES36" s="414"/>
      <c r="EET36" s="414"/>
      <c r="EEU36" s="414"/>
      <c r="EEV36" s="414"/>
      <c r="EEW36" s="414"/>
      <c r="EEX36" s="414"/>
      <c r="EEY36" s="414"/>
      <c r="EEZ36" s="414"/>
      <c r="EFA36" s="414"/>
      <c r="EFB36" s="414"/>
      <c r="EFC36" s="414"/>
      <c r="EFD36" s="414"/>
      <c r="EFE36" s="414"/>
      <c r="EFF36" s="414"/>
      <c r="EFG36" s="414"/>
      <c r="EFH36" s="414"/>
      <c r="EFI36" s="414"/>
      <c r="EFJ36" s="414"/>
      <c r="EFK36" s="414"/>
      <c r="EFL36" s="414"/>
      <c r="EFM36" s="414"/>
      <c r="EFN36" s="414"/>
      <c r="EFO36" s="414"/>
      <c r="EFP36" s="414"/>
      <c r="EFQ36" s="414"/>
      <c r="EFR36" s="414"/>
      <c r="EFS36" s="414"/>
      <c r="EFT36" s="414"/>
      <c r="EFU36" s="414"/>
      <c r="EFV36" s="414"/>
      <c r="EFW36" s="414"/>
      <c r="EFX36" s="414"/>
      <c r="EFY36" s="414"/>
      <c r="EFZ36" s="414"/>
      <c r="EGA36" s="414"/>
      <c r="EGB36" s="414"/>
      <c r="EGC36" s="414"/>
      <c r="EGD36" s="414"/>
      <c r="EGE36" s="414"/>
      <c r="EGF36" s="414"/>
      <c r="EGG36" s="414"/>
      <c r="EGH36" s="414"/>
      <c r="EGI36" s="414"/>
      <c r="EGJ36" s="414"/>
      <c r="EGK36" s="414"/>
      <c r="EGL36" s="414"/>
      <c r="EGM36" s="414"/>
      <c r="EGN36" s="414"/>
      <c r="EGO36" s="414"/>
      <c r="EGP36" s="414"/>
      <c r="EGQ36" s="414"/>
      <c r="EGR36" s="414"/>
      <c r="EGS36" s="414"/>
      <c r="EGT36" s="414"/>
      <c r="EGU36" s="414"/>
      <c r="EGV36" s="414"/>
      <c r="EGW36" s="414"/>
      <c r="EGX36" s="414"/>
      <c r="EGY36" s="414"/>
      <c r="EGZ36" s="414"/>
      <c r="EHA36" s="414"/>
      <c r="EHB36" s="414"/>
      <c r="EHC36" s="414"/>
      <c r="EHD36" s="414"/>
      <c r="EHE36" s="414"/>
      <c r="EHF36" s="414"/>
      <c r="EHG36" s="414"/>
      <c r="EHH36" s="414"/>
      <c r="EHI36" s="414"/>
      <c r="EHJ36" s="414"/>
      <c r="EHK36" s="414"/>
      <c r="EHL36" s="414"/>
      <c r="EHM36" s="414"/>
      <c r="EHN36" s="414"/>
      <c r="EHO36" s="414"/>
      <c r="EHP36" s="414"/>
      <c r="EHQ36" s="414"/>
      <c r="EHR36" s="414"/>
      <c r="EHS36" s="414"/>
      <c r="EHT36" s="414"/>
      <c r="EHU36" s="414"/>
      <c r="EHV36" s="414"/>
      <c r="EHW36" s="414"/>
      <c r="EHX36" s="414"/>
      <c r="EHY36" s="414"/>
      <c r="EHZ36" s="414"/>
      <c r="EIA36" s="414"/>
      <c r="EIB36" s="414"/>
      <c r="EIC36" s="414"/>
      <c r="EID36" s="414"/>
      <c r="EIE36" s="414"/>
      <c r="EIF36" s="414"/>
      <c r="EIG36" s="414"/>
      <c r="EIH36" s="414"/>
      <c r="EII36" s="414"/>
      <c r="EIJ36" s="414"/>
      <c r="EIK36" s="414"/>
      <c r="EIL36" s="414"/>
      <c r="EIM36" s="414"/>
      <c r="EIN36" s="414"/>
      <c r="EIO36" s="414"/>
      <c r="EIP36" s="414"/>
      <c r="EIQ36" s="414"/>
      <c r="EIR36" s="414"/>
      <c r="EIS36" s="414"/>
      <c r="EIT36" s="414"/>
      <c r="EIU36" s="414"/>
      <c r="EIV36" s="414"/>
      <c r="EIW36" s="414"/>
      <c r="EIX36" s="414"/>
      <c r="EIY36" s="414"/>
      <c r="EIZ36" s="414"/>
      <c r="EJA36" s="414"/>
      <c r="EJB36" s="414"/>
      <c r="EJC36" s="414"/>
      <c r="EJD36" s="414"/>
      <c r="EJE36" s="414"/>
      <c r="EJF36" s="414"/>
      <c r="EJG36" s="414"/>
      <c r="EJH36" s="414"/>
      <c r="EJI36" s="414"/>
      <c r="EJJ36" s="414"/>
      <c r="EJK36" s="414"/>
      <c r="EJL36" s="414"/>
      <c r="EJM36" s="414"/>
      <c r="EJN36" s="414"/>
      <c r="EJO36" s="414"/>
      <c r="EJP36" s="414"/>
      <c r="EJQ36" s="414"/>
      <c r="EJR36" s="414"/>
      <c r="EJS36" s="414"/>
      <c r="EJT36" s="414"/>
      <c r="EJU36" s="414"/>
      <c r="EJV36" s="414"/>
      <c r="EJW36" s="414"/>
      <c r="EJX36" s="414"/>
      <c r="EJY36" s="414"/>
      <c r="EJZ36" s="414"/>
      <c r="EKA36" s="414"/>
      <c r="EKB36" s="414"/>
      <c r="EKC36" s="414"/>
      <c r="EKD36" s="414"/>
      <c r="EKE36" s="414"/>
      <c r="EKF36" s="414"/>
      <c r="EKG36" s="414"/>
      <c r="EKH36" s="414"/>
      <c r="EKI36" s="414"/>
      <c r="EKJ36" s="414"/>
      <c r="EKK36" s="414"/>
      <c r="EKL36" s="414"/>
      <c r="EKM36" s="414"/>
      <c r="EKN36" s="414"/>
      <c r="EKO36" s="414"/>
      <c r="EKP36" s="414"/>
      <c r="EKQ36" s="414"/>
      <c r="EKR36" s="414"/>
      <c r="EKS36" s="414"/>
      <c r="EKT36" s="414"/>
      <c r="EKU36" s="414"/>
      <c r="EKV36" s="414"/>
      <c r="EKW36" s="414"/>
      <c r="EKX36" s="414"/>
      <c r="EKY36" s="414"/>
      <c r="EKZ36" s="414"/>
      <c r="ELA36" s="414"/>
      <c r="ELB36" s="414"/>
      <c r="ELC36" s="414"/>
      <c r="ELD36" s="414"/>
      <c r="ELE36" s="414"/>
      <c r="ELF36" s="414"/>
      <c r="ELG36" s="414"/>
      <c r="ELH36" s="414"/>
      <c r="ELI36" s="414"/>
      <c r="ELJ36" s="414"/>
      <c r="ELK36" s="414"/>
      <c r="ELL36" s="414"/>
      <c r="ELM36" s="414"/>
      <c r="ELN36" s="414"/>
      <c r="ELO36" s="414"/>
      <c r="ELP36" s="414"/>
      <c r="ELQ36" s="414"/>
      <c r="ELR36" s="414"/>
      <c r="ELS36" s="414"/>
      <c r="ELT36" s="414"/>
      <c r="ELU36" s="414"/>
      <c r="ELV36" s="414"/>
      <c r="ELW36" s="414"/>
      <c r="ELX36" s="414"/>
      <c r="ELY36" s="414"/>
      <c r="ELZ36" s="414"/>
      <c r="EMA36" s="414"/>
      <c r="EMB36" s="414"/>
      <c r="EMC36" s="414"/>
      <c r="EMD36" s="414"/>
      <c r="EME36" s="414"/>
      <c r="EMF36" s="414"/>
      <c r="EMG36" s="414"/>
      <c r="EMH36" s="414"/>
      <c r="EMI36" s="414"/>
      <c r="EMJ36" s="414"/>
      <c r="EMK36" s="414"/>
      <c r="EML36" s="414"/>
      <c r="EMM36" s="414"/>
      <c r="EMN36" s="414"/>
      <c r="EMO36" s="414"/>
      <c r="EMP36" s="414"/>
      <c r="EMQ36" s="414"/>
      <c r="EMR36" s="414"/>
      <c r="EMS36" s="414"/>
      <c r="EMT36" s="414"/>
      <c r="EMU36" s="414"/>
      <c r="EMV36" s="414"/>
      <c r="EMW36" s="414"/>
      <c r="EMX36" s="414"/>
      <c r="EMY36" s="414"/>
      <c r="EMZ36" s="414"/>
      <c r="ENA36" s="414"/>
      <c r="ENB36" s="414"/>
      <c r="ENC36" s="414"/>
      <c r="END36" s="414"/>
      <c r="ENE36" s="414"/>
      <c r="ENF36" s="414"/>
      <c r="ENG36" s="414"/>
      <c r="ENH36" s="414"/>
      <c r="ENI36" s="414"/>
      <c r="ENJ36" s="414"/>
      <c r="ENK36" s="414"/>
      <c r="ENL36" s="414"/>
      <c r="ENM36" s="414"/>
      <c r="ENN36" s="414"/>
      <c r="ENO36" s="414"/>
      <c r="ENP36" s="414"/>
      <c r="ENQ36" s="414"/>
      <c r="ENR36" s="414"/>
      <c r="ENS36" s="414"/>
      <c r="ENT36" s="414"/>
      <c r="ENU36" s="414"/>
      <c r="ENV36" s="414"/>
      <c r="ENW36" s="414"/>
      <c r="ENX36" s="414"/>
      <c r="ENY36" s="414"/>
      <c r="ENZ36" s="414"/>
      <c r="EOA36" s="414"/>
      <c r="EOB36" s="414"/>
      <c r="EOC36" s="414"/>
      <c r="EOD36" s="414"/>
      <c r="EOE36" s="414"/>
      <c r="EOF36" s="414"/>
      <c r="EOG36" s="414"/>
      <c r="EOH36" s="414"/>
      <c r="EOI36" s="414"/>
      <c r="EOJ36" s="414"/>
      <c r="EOK36" s="414"/>
      <c r="EOL36" s="414"/>
      <c r="EOM36" s="414"/>
      <c r="EON36" s="414"/>
      <c r="EOO36" s="414"/>
      <c r="EOP36" s="414"/>
      <c r="EOQ36" s="414"/>
      <c r="EOR36" s="414"/>
      <c r="EOS36" s="414"/>
      <c r="EOT36" s="414"/>
      <c r="EOU36" s="414"/>
      <c r="EOV36" s="414"/>
      <c r="EOW36" s="414"/>
      <c r="EOX36" s="414"/>
      <c r="EOY36" s="414"/>
      <c r="EOZ36" s="414"/>
      <c r="EPA36" s="414"/>
      <c r="EPB36" s="414"/>
      <c r="EPC36" s="414"/>
      <c r="EPD36" s="414"/>
      <c r="EPE36" s="414"/>
      <c r="EPF36" s="414"/>
      <c r="EPG36" s="414"/>
      <c r="EPH36" s="414"/>
      <c r="EPI36" s="414"/>
      <c r="EPJ36" s="414"/>
      <c r="EPK36" s="414"/>
      <c r="EPL36" s="414"/>
      <c r="EPM36" s="414"/>
      <c r="EPN36" s="414"/>
      <c r="EPO36" s="414"/>
      <c r="EPP36" s="414"/>
      <c r="EPQ36" s="414"/>
      <c r="EPR36" s="414"/>
      <c r="EPS36" s="414"/>
      <c r="EPT36" s="414"/>
      <c r="EPU36" s="414"/>
      <c r="EPV36" s="414"/>
      <c r="EPW36" s="414"/>
      <c r="EPX36" s="414"/>
      <c r="EPY36" s="414"/>
      <c r="EPZ36" s="414"/>
      <c r="EQA36" s="414"/>
      <c r="EQB36" s="414"/>
      <c r="EQC36" s="414"/>
      <c r="EQD36" s="414"/>
      <c r="EQE36" s="414"/>
      <c r="EQF36" s="414"/>
      <c r="EQG36" s="414"/>
      <c r="EQH36" s="414"/>
      <c r="EQI36" s="414"/>
      <c r="EQJ36" s="414"/>
      <c r="EQK36" s="414"/>
      <c r="EQL36" s="414"/>
      <c r="EQM36" s="414"/>
      <c r="EQN36" s="414"/>
      <c r="EQO36" s="414"/>
      <c r="EQP36" s="414"/>
      <c r="EQQ36" s="414"/>
      <c r="EQR36" s="414"/>
      <c r="EQS36" s="414"/>
      <c r="EQT36" s="414"/>
      <c r="EQU36" s="414"/>
      <c r="EQV36" s="414"/>
      <c r="EQW36" s="414"/>
      <c r="EQX36" s="414"/>
      <c r="EQY36" s="414"/>
      <c r="EQZ36" s="414"/>
      <c r="ERA36" s="414"/>
      <c r="ERB36" s="414"/>
      <c r="ERC36" s="414"/>
      <c r="ERD36" s="414"/>
      <c r="ERE36" s="414"/>
      <c r="ERF36" s="414"/>
      <c r="ERG36" s="414"/>
      <c r="ERH36" s="414"/>
      <c r="ERI36" s="414"/>
      <c r="ERJ36" s="414"/>
      <c r="ERK36" s="414"/>
      <c r="ERL36" s="414"/>
      <c r="ERM36" s="414"/>
      <c r="ERN36" s="414"/>
      <c r="ERO36" s="414"/>
      <c r="ERP36" s="414"/>
      <c r="ERQ36" s="414"/>
      <c r="ERR36" s="414"/>
      <c r="ERS36" s="414"/>
      <c r="ERT36" s="414"/>
      <c r="ERU36" s="414"/>
      <c r="ERV36" s="414"/>
      <c r="ERW36" s="414"/>
      <c r="ERX36" s="414"/>
      <c r="ERY36" s="414"/>
      <c r="ERZ36" s="414"/>
      <c r="ESA36" s="414"/>
      <c r="ESB36" s="414"/>
      <c r="ESC36" s="414"/>
      <c r="ESD36" s="414"/>
      <c r="ESE36" s="414"/>
      <c r="ESF36" s="414"/>
      <c r="ESG36" s="414"/>
      <c r="ESH36" s="414"/>
      <c r="ESI36" s="414"/>
      <c r="ESJ36" s="414"/>
      <c r="ESK36" s="414"/>
      <c r="ESL36" s="414"/>
      <c r="ESM36" s="414"/>
      <c r="ESN36" s="414"/>
      <c r="ESO36" s="414"/>
      <c r="ESP36" s="414"/>
      <c r="ESQ36" s="414"/>
      <c r="ESR36" s="414"/>
      <c r="ESS36" s="414"/>
      <c r="EST36" s="414"/>
      <c r="ESU36" s="414"/>
      <c r="ESV36" s="414"/>
      <c r="ESW36" s="414"/>
      <c r="ESX36" s="414"/>
      <c r="ESY36" s="414"/>
      <c r="ESZ36" s="414"/>
      <c r="ETA36" s="414"/>
      <c r="ETB36" s="414"/>
      <c r="ETC36" s="414"/>
      <c r="ETD36" s="414"/>
      <c r="ETE36" s="414"/>
      <c r="ETF36" s="414"/>
      <c r="ETG36" s="414"/>
      <c r="ETH36" s="414"/>
      <c r="ETI36" s="414"/>
      <c r="ETJ36" s="414"/>
      <c r="ETK36" s="414"/>
      <c r="ETL36" s="414"/>
      <c r="ETM36" s="414"/>
      <c r="ETN36" s="414"/>
      <c r="ETO36" s="414"/>
      <c r="ETP36" s="414"/>
      <c r="ETQ36" s="414"/>
      <c r="ETR36" s="414"/>
      <c r="ETS36" s="414"/>
      <c r="ETT36" s="414"/>
      <c r="ETU36" s="414"/>
      <c r="ETV36" s="414"/>
      <c r="ETW36" s="414"/>
      <c r="ETX36" s="414"/>
      <c r="ETY36" s="414"/>
      <c r="ETZ36" s="414"/>
      <c r="EUA36" s="414"/>
      <c r="EUB36" s="414"/>
      <c r="EUC36" s="414"/>
      <c r="EUD36" s="414"/>
      <c r="EUE36" s="414"/>
      <c r="EUF36" s="414"/>
      <c r="EUG36" s="414"/>
      <c r="EUH36" s="414"/>
      <c r="EUI36" s="414"/>
      <c r="EUJ36" s="414"/>
      <c r="EUK36" s="414"/>
      <c r="EUL36" s="414"/>
      <c r="EUM36" s="414"/>
      <c r="EUN36" s="414"/>
      <c r="EUO36" s="414"/>
      <c r="EUP36" s="414"/>
      <c r="EUQ36" s="414"/>
      <c r="EUR36" s="414"/>
      <c r="EUS36" s="414"/>
      <c r="EUT36" s="414"/>
      <c r="EUU36" s="414"/>
      <c r="EUV36" s="414"/>
      <c r="EUW36" s="414"/>
      <c r="EUX36" s="414"/>
      <c r="EUY36" s="414"/>
      <c r="EUZ36" s="414"/>
      <c r="EVA36" s="414"/>
      <c r="EVB36" s="414"/>
      <c r="EVC36" s="414"/>
      <c r="EVD36" s="414"/>
      <c r="EVE36" s="414"/>
      <c r="EVF36" s="414"/>
      <c r="EVG36" s="414"/>
      <c r="EVH36" s="414"/>
      <c r="EVI36" s="414"/>
      <c r="EVJ36" s="414"/>
      <c r="EVK36" s="414"/>
      <c r="EVL36" s="414"/>
      <c r="EVM36" s="414"/>
      <c r="EVN36" s="414"/>
      <c r="EVO36" s="414"/>
      <c r="EVP36" s="414"/>
      <c r="EVQ36" s="414"/>
      <c r="EVR36" s="414"/>
      <c r="EVS36" s="414"/>
      <c r="EVT36" s="414"/>
      <c r="EVU36" s="414"/>
      <c r="EVV36" s="414"/>
      <c r="EVW36" s="414"/>
      <c r="EVX36" s="414"/>
      <c r="EVY36" s="414"/>
      <c r="EVZ36" s="414"/>
      <c r="EWA36" s="414"/>
      <c r="EWB36" s="414"/>
      <c r="EWC36" s="414"/>
      <c r="EWD36" s="414"/>
      <c r="EWE36" s="414"/>
      <c r="EWF36" s="414"/>
      <c r="EWG36" s="414"/>
      <c r="EWH36" s="414"/>
      <c r="EWI36" s="414"/>
      <c r="EWJ36" s="414"/>
      <c r="EWK36" s="414"/>
      <c r="EWL36" s="414"/>
      <c r="EWM36" s="414"/>
      <c r="EWN36" s="414"/>
      <c r="EWO36" s="414"/>
      <c r="EWP36" s="414"/>
      <c r="EWQ36" s="414"/>
      <c r="EWR36" s="414"/>
      <c r="EWS36" s="414"/>
      <c r="EWT36" s="414"/>
      <c r="EWU36" s="414"/>
      <c r="EWV36" s="414"/>
      <c r="EWW36" s="414"/>
      <c r="EWX36" s="414"/>
      <c r="EWY36" s="414"/>
      <c r="EWZ36" s="414"/>
      <c r="EXA36" s="414"/>
      <c r="EXB36" s="414"/>
      <c r="EXC36" s="414"/>
      <c r="EXD36" s="414"/>
      <c r="EXE36" s="414"/>
      <c r="EXF36" s="414"/>
      <c r="EXG36" s="414"/>
      <c r="EXH36" s="414"/>
      <c r="EXI36" s="414"/>
      <c r="EXJ36" s="414"/>
      <c r="EXK36" s="414"/>
      <c r="EXL36" s="414"/>
      <c r="EXM36" s="414"/>
      <c r="EXN36" s="414"/>
      <c r="EXO36" s="414"/>
      <c r="EXP36" s="414"/>
      <c r="EXQ36" s="414"/>
      <c r="EXR36" s="414"/>
      <c r="EXS36" s="414"/>
      <c r="EXT36" s="414"/>
      <c r="EXU36" s="414"/>
      <c r="EXV36" s="414"/>
      <c r="EXW36" s="414"/>
      <c r="EXX36" s="414"/>
      <c r="EXY36" s="414"/>
      <c r="EXZ36" s="414"/>
      <c r="EYA36" s="414"/>
      <c r="EYB36" s="414"/>
      <c r="EYC36" s="414"/>
      <c r="EYD36" s="414"/>
      <c r="EYE36" s="414"/>
      <c r="EYF36" s="414"/>
      <c r="EYG36" s="414"/>
      <c r="EYH36" s="414"/>
      <c r="EYI36" s="414"/>
      <c r="EYJ36" s="414"/>
      <c r="EYK36" s="414"/>
      <c r="EYL36" s="414"/>
      <c r="EYM36" s="414"/>
      <c r="EYN36" s="414"/>
      <c r="EYO36" s="414"/>
      <c r="EYP36" s="414"/>
      <c r="EYQ36" s="414"/>
      <c r="EYR36" s="414"/>
      <c r="EYS36" s="414"/>
      <c r="EYT36" s="414"/>
      <c r="EYU36" s="414"/>
      <c r="EYV36" s="414"/>
      <c r="EYW36" s="414"/>
      <c r="EYX36" s="414"/>
      <c r="EYY36" s="414"/>
      <c r="EYZ36" s="414"/>
      <c r="EZA36" s="414"/>
      <c r="EZB36" s="414"/>
      <c r="EZC36" s="414"/>
      <c r="EZD36" s="414"/>
      <c r="EZE36" s="414"/>
      <c r="EZF36" s="414"/>
      <c r="EZG36" s="414"/>
      <c r="EZH36" s="414"/>
      <c r="EZI36" s="414"/>
      <c r="EZJ36" s="414"/>
      <c r="EZK36" s="414"/>
      <c r="EZL36" s="414"/>
      <c r="EZM36" s="414"/>
      <c r="EZN36" s="414"/>
      <c r="EZO36" s="414"/>
      <c r="EZP36" s="414"/>
      <c r="EZQ36" s="414"/>
      <c r="EZR36" s="414"/>
      <c r="EZS36" s="414"/>
      <c r="EZT36" s="414"/>
      <c r="EZU36" s="414"/>
      <c r="EZV36" s="414"/>
      <c r="EZW36" s="414"/>
      <c r="EZX36" s="414"/>
      <c r="EZY36" s="414"/>
      <c r="EZZ36" s="414"/>
      <c r="FAA36" s="414"/>
      <c r="FAB36" s="414"/>
      <c r="FAC36" s="414"/>
      <c r="FAD36" s="414"/>
      <c r="FAE36" s="414"/>
      <c r="FAF36" s="414"/>
      <c r="FAG36" s="414"/>
      <c r="FAH36" s="414"/>
      <c r="FAI36" s="414"/>
      <c r="FAJ36" s="414"/>
      <c r="FAK36" s="414"/>
      <c r="FAL36" s="414"/>
      <c r="FAM36" s="414"/>
      <c r="FAN36" s="414"/>
      <c r="FAO36" s="414"/>
      <c r="FAP36" s="414"/>
      <c r="FAQ36" s="414"/>
      <c r="FAR36" s="414"/>
      <c r="FAS36" s="414"/>
      <c r="FAT36" s="414"/>
      <c r="FAU36" s="414"/>
      <c r="FAV36" s="414"/>
      <c r="FAW36" s="414"/>
      <c r="FAX36" s="414"/>
      <c r="FAY36" s="414"/>
      <c r="FAZ36" s="414"/>
      <c r="FBA36" s="414"/>
      <c r="FBB36" s="414"/>
      <c r="FBC36" s="414"/>
      <c r="FBD36" s="414"/>
      <c r="FBE36" s="414"/>
      <c r="FBF36" s="414"/>
      <c r="FBG36" s="414"/>
      <c r="FBH36" s="414"/>
      <c r="FBI36" s="414"/>
      <c r="FBJ36" s="414"/>
      <c r="FBK36" s="414"/>
      <c r="FBL36" s="414"/>
      <c r="FBM36" s="414"/>
      <c r="FBN36" s="414"/>
      <c r="FBO36" s="414"/>
      <c r="FBP36" s="414"/>
      <c r="FBQ36" s="414"/>
      <c r="FBR36" s="414"/>
      <c r="FBS36" s="414"/>
      <c r="FBT36" s="414"/>
      <c r="FBU36" s="414"/>
      <c r="FBV36" s="414"/>
      <c r="FBW36" s="414"/>
      <c r="FBX36" s="414"/>
      <c r="FBY36" s="414"/>
      <c r="FBZ36" s="414"/>
      <c r="FCA36" s="414"/>
      <c r="FCB36" s="414"/>
      <c r="FCC36" s="414"/>
      <c r="FCD36" s="414"/>
      <c r="FCE36" s="414"/>
      <c r="FCF36" s="414"/>
      <c r="FCG36" s="414"/>
      <c r="FCH36" s="414"/>
      <c r="FCI36" s="414"/>
      <c r="FCJ36" s="414"/>
      <c r="FCK36" s="414"/>
      <c r="FCL36" s="414"/>
      <c r="FCM36" s="414"/>
      <c r="FCN36" s="414"/>
      <c r="FCO36" s="414"/>
      <c r="FCP36" s="414"/>
      <c r="FCQ36" s="414"/>
      <c r="FCR36" s="414"/>
      <c r="FCS36" s="414"/>
      <c r="FCT36" s="414"/>
      <c r="FCU36" s="414"/>
      <c r="FCV36" s="414"/>
      <c r="FCW36" s="414"/>
      <c r="FCX36" s="414"/>
      <c r="FCY36" s="414"/>
      <c r="FCZ36" s="414"/>
      <c r="FDA36" s="414"/>
      <c r="FDB36" s="414"/>
      <c r="FDC36" s="414"/>
      <c r="FDD36" s="414"/>
      <c r="FDE36" s="414"/>
      <c r="FDF36" s="414"/>
      <c r="FDG36" s="414"/>
      <c r="FDH36" s="414"/>
      <c r="FDI36" s="414"/>
      <c r="FDJ36" s="414"/>
      <c r="FDK36" s="414"/>
      <c r="FDL36" s="414"/>
      <c r="FDM36" s="414"/>
      <c r="FDN36" s="414"/>
      <c r="FDO36" s="414"/>
      <c r="FDP36" s="414"/>
      <c r="FDQ36" s="414"/>
      <c r="FDR36" s="414"/>
      <c r="FDS36" s="414"/>
      <c r="FDT36" s="414"/>
      <c r="FDU36" s="414"/>
      <c r="FDV36" s="414"/>
      <c r="FDW36" s="414"/>
      <c r="FDX36" s="414"/>
      <c r="FDY36" s="414"/>
      <c r="FDZ36" s="414"/>
      <c r="FEA36" s="414"/>
      <c r="FEB36" s="414"/>
      <c r="FEC36" s="414"/>
      <c r="FED36" s="414"/>
      <c r="FEE36" s="414"/>
      <c r="FEF36" s="414"/>
      <c r="FEG36" s="414"/>
      <c r="FEH36" s="414"/>
      <c r="FEI36" s="414"/>
      <c r="FEJ36" s="414"/>
      <c r="FEK36" s="414"/>
      <c r="FEL36" s="414"/>
      <c r="FEM36" s="414"/>
      <c r="FEN36" s="414"/>
      <c r="FEO36" s="414"/>
      <c r="FEP36" s="414"/>
      <c r="FEQ36" s="414"/>
      <c r="FER36" s="414"/>
      <c r="FES36" s="414"/>
      <c r="FET36" s="414"/>
      <c r="FEU36" s="414"/>
      <c r="FEV36" s="414"/>
      <c r="FEW36" s="414"/>
      <c r="FEX36" s="414"/>
      <c r="FEY36" s="414"/>
      <c r="FEZ36" s="414"/>
      <c r="FFA36" s="414"/>
      <c r="FFB36" s="414"/>
      <c r="FFC36" s="414"/>
      <c r="FFD36" s="414"/>
      <c r="FFE36" s="414"/>
      <c r="FFF36" s="414"/>
      <c r="FFG36" s="414"/>
      <c r="FFH36" s="414"/>
      <c r="FFI36" s="414"/>
      <c r="FFJ36" s="414"/>
      <c r="FFK36" s="414"/>
      <c r="FFL36" s="414"/>
      <c r="FFM36" s="414"/>
      <c r="FFN36" s="414"/>
      <c r="FFO36" s="414"/>
      <c r="FFP36" s="414"/>
      <c r="FFQ36" s="414"/>
      <c r="FFR36" s="414"/>
      <c r="FFS36" s="414"/>
      <c r="FFT36" s="414"/>
      <c r="FFU36" s="414"/>
      <c r="FFV36" s="414"/>
      <c r="FFW36" s="414"/>
      <c r="FFX36" s="414"/>
      <c r="FFY36" s="414"/>
      <c r="FFZ36" s="414"/>
      <c r="FGA36" s="414"/>
      <c r="FGB36" s="414"/>
      <c r="FGC36" s="414"/>
      <c r="FGD36" s="414"/>
      <c r="FGE36" s="414"/>
      <c r="FGF36" s="414"/>
      <c r="FGG36" s="414"/>
      <c r="FGH36" s="414"/>
      <c r="FGI36" s="414"/>
      <c r="FGJ36" s="414"/>
      <c r="FGK36" s="414"/>
      <c r="FGL36" s="414"/>
      <c r="FGM36" s="414"/>
      <c r="FGN36" s="414"/>
      <c r="FGO36" s="414"/>
      <c r="FGP36" s="414"/>
      <c r="FGQ36" s="414"/>
      <c r="FGR36" s="414"/>
      <c r="FGS36" s="414"/>
      <c r="FGT36" s="414"/>
      <c r="FGU36" s="414"/>
      <c r="FGV36" s="414"/>
      <c r="FGW36" s="414"/>
      <c r="FGX36" s="414"/>
      <c r="FGY36" s="414"/>
      <c r="FGZ36" s="414"/>
      <c r="FHA36" s="414"/>
      <c r="FHB36" s="414"/>
      <c r="FHC36" s="414"/>
      <c r="FHD36" s="414"/>
      <c r="FHE36" s="414"/>
      <c r="FHF36" s="414"/>
      <c r="FHG36" s="414"/>
      <c r="FHH36" s="414"/>
      <c r="FHI36" s="414"/>
      <c r="FHJ36" s="414"/>
      <c r="FHK36" s="414"/>
      <c r="FHL36" s="414"/>
      <c r="FHM36" s="414"/>
      <c r="FHN36" s="414"/>
      <c r="FHO36" s="414"/>
      <c r="FHP36" s="414"/>
      <c r="FHQ36" s="414"/>
      <c r="FHR36" s="414"/>
      <c r="FHS36" s="414"/>
      <c r="FHT36" s="414"/>
      <c r="FHU36" s="414"/>
      <c r="FHV36" s="414"/>
      <c r="FHW36" s="414"/>
      <c r="FHX36" s="414"/>
      <c r="FHY36" s="414"/>
      <c r="FHZ36" s="414"/>
      <c r="FIA36" s="414"/>
      <c r="FIB36" s="414"/>
      <c r="FIC36" s="414"/>
      <c r="FID36" s="414"/>
      <c r="FIE36" s="414"/>
      <c r="FIF36" s="414"/>
      <c r="FIG36" s="414"/>
      <c r="FIH36" s="414"/>
      <c r="FII36" s="414"/>
      <c r="FIJ36" s="414"/>
      <c r="FIK36" s="414"/>
      <c r="FIL36" s="414"/>
      <c r="FIM36" s="414"/>
      <c r="FIN36" s="414"/>
      <c r="FIO36" s="414"/>
      <c r="FIP36" s="414"/>
      <c r="FIQ36" s="414"/>
      <c r="FIR36" s="414"/>
      <c r="FIS36" s="414"/>
      <c r="FIT36" s="414"/>
      <c r="FIU36" s="414"/>
      <c r="FIV36" s="414"/>
      <c r="FIW36" s="414"/>
      <c r="FIX36" s="414"/>
      <c r="FIY36" s="414"/>
      <c r="FIZ36" s="414"/>
      <c r="FJA36" s="414"/>
      <c r="FJB36" s="414"/>
      <c r="FJC36" s="414"/>
      <c r="FJD36" s="414"/>
      <c r="FJE36" s="414"/>
      <c r="FJF36" s="414"/>
      <c r="FJG36" s="414"/>
      <c r="FJH36" s="414"/>
      <c r="FJI36" s="414"/>
      <c r="FJJ36" s="414"/>
      <c r="FJK36" s="414"/>
      <c r="FJL36" s="414"/>
      <c r="FJM36" s="414"/>
      <c r="FJN36" s="414"/>
      <c r="FJO36" s="414"/>
      <c r="FJP36" s="414"/>
      <c r="FJQ36" s="414"/>
      <c r="FJR36" s="414"/>
      <c r="FJS36" s="414"/>
      <c r="FJT36" s="414"/>
      <c r="FJU36" s="414"/>
      <c r="FJV36" s="414"/>
      <c r="FJW36" s="414"/>
      <c r="FJX36" s="414"/>
      <c r="FJY36" s="414"/>
      <c r="FJZ36" s="414"/>
      <c r="FKA36" s="414"/>
      <c r="FKB36" s="414"/>
      <c r="FKC36" s="414"/>
      <c r="FKD36" s="414"/>
      <c r="FKE36" s="414"/>
      <c r="FKF36" s="414"/>
      <c r="FKG36" s="414"/>
      <c r="FKH36" s="414"/>
      <c r="FKI36" s="414"/>
      <c r="FKJ36" s="414"/>
      <c r="FKK36" s="414"/>
      <c r="FKL36" s="414"/>
      <c r="FKM36" s="414"/>
      <c r="FKN36" s="414"/>
      <c r="FKO36" s="414"/>
      <c r="FKP36" s="414"/>
      <c r="FKQ36" s="414"/>
      <c r="FKR36" s="414"/>
      <c r="FKS36" s="414"/>
      <c r="FKT36" s="414"/>
      <c r="FKU36" s="414"/>
      <c r="FKV36" s="414"/>
      <c r="FKW36" s="414"/>
      <c r="FKX36" s="414"/>
      <c r="FKY36" s="414"/>
      <c r="FKZ36" s="414"/>
      <c r="FLA36" s="414"/>
      <c r="FLB36" s="414"/>
      <c r="FLC36" s="414"/>
      <c r="FLD36" s="414"/>
      <c r="FLE36" s="414"/>
      <c r="FLF36" s="414"/>
      <c r="FLG36" s="414"/>
      <c r="FLH36" s="414"/>
      <c r="FLI36" s="414"/>
      <c r="FLJ36" s="414"/>
      <c r="FLK36" s="414"/>
      <c r="FLL36" s="414"/>
      <c r="FLM36" s="414"/>
      <c r="FLN36" s="414"/>
      <c r="FLO36" s="414"/>
      <c r="FLP36" s="414"/>
      <c r="FLQ36" s="414"/>
      <c r="FLR36" s="414"/>
      <c r="FLS36" s="414"/>
      <c r="FLT36" s="414"/>
      <c r="FLU36" s="414"/>
      <c r="FLV36" s="414"/>
      <c r="FLW36" s="414"/>
      <c r="FLX36" s="414"/>
      <c r="FLY36" s="414"/>
      <c r="FLZ36" s="414"/>
      <c r="FMA36" s="414"/>
      <c r="FMB36" s="414"/>
      <c r="FMC36" s="414"/>
      <c r="FMD36" s="414"/>
      <c r="FME36" s="414"/>
      <c r="FMF36" s="414"/>
      <c r="FMG36" s="414"/>
      <c r="FMH36" s="414"/>
      <c r="FMI36" s="414"/>
      <c r="FMJ36" s="414"/>
      <c r="FMK36" s="414"/>
      <c r="FML36" s="414"/>
      <c r="FMM36" s="414"/>
      <c r="FMN36" s="414"/>
      <c r="FMO36" s="414"/>
      <c r="FMP36" s="414"/>
      <c r="FMQ36" s="414"/>
      <c r="FMR36" s="414"/>
      <c r="FMS36" s="414"/>
      <c r="FMT36" s="414"/>
      <c r="FMU36" s="414"/>
      <c r="FMV36" s="414"/>
      <c r="FMW36" s="414"/>
      <c r="FMX36" s="414"/>
      <c r="FMY36" s="414"/>
      <c r="FMZ36" s="414"/>
      <c r="FNA36" s="414"/>
      <c r="FNB36" s="414"/>
      <c r="FNC36" s="414"/>
      <c r="FND36" s="414"/>
      <c r="FNE36" s="414"/>
      <c r="FNF36" s="414"/>
      <c r="FNG36" s="414"/>
      <c r="FNH36" s="414"/>
      <c r="FNI36" s="414"/>
      <c r="FNJ36" s="414"/>
      <c r="FNK36" s="414"/>
      <c r="FNL36" s="414"/>
      <c r="FNM36" s="414"/>
      <c r="FNN36" s="414"/>
      <c r="FNO36" s="414"/>
      <c r="FNP36" s="414"/>
      <c r="FNQ36" s="414"/>
      <c r="FNR36" s="414"/>
      <c r="FNS36" s="414"/>
      <c r="FNT36" s="414"/>
      <c r="FNU36" s="414"/>
      <c r="FNV36" s="414"/>
      <c r="FNW36" s="414"/>
      <c r="FNX36" s="414"/>
      <c r="FNY36" s="414"/>
      <c r="FNZ36" s="414"/>
      <c r="FOA36" s="414"/>
      <c r="FOB36" s="414"/>
      <c r="FOC36" s="414"/>
      <c r="FOD36" s="414"/>
      <c r="FOE36" s="414"/>
      <c r="FOF36" s="414"/>
      <c r="FOG36" s="414"/>
      <c r="FOH36" s="414"/>
      <c r="FOI36" s="414"/>
      <c r="FOJ36" s="414"/>
      <c r="FOK36" s="414"/>
      <c r="FOL36" s="414"/>
      <c r="FOM36" s="414"/>
      <c r="FON36" s="414"/>
      <c r="FOO36" s="414"/>
      <c r="FOP36" s="414"/>
      <c r="FOQ36" s="414"/>
      <c r="FOR36" s="414"/>
      <c r="FOS36" s="414"/>
      <c r="FOT36" s="414"/>
      <c r="FOU36" s="414"/>
      <c r="FOV36" s="414"/>
      <c r="FOW36" s="414"/>
      <c r="FOX36" s="414"/>
      <c r="FOY36" s="414"/>
      <c r="FOZ36" s="414"/>
      <c r="FPA36" s="414"/>
      <c r="FPB36" s="414"/>
      <c r="FPC36" s="414"/>
      <c r="FPD36" s="414"/>
      <c r="FPE36" s="414"/>
      <c r="FPF36" s="414"/>
      <c r="FPG36" s="414"/>
      <c r="FPH36" s="414"/>
      <c r="FPI36" s="414"/>
      <c r="FPJ36" s="414"/>
      <c r="FPK36" s="414"/>
      <c r="FPL36" s="414"/>
      <c r="FPM36" s="414"/>
      <c r="FPN36" s="414"/>
      <c r="FPO36" s="414"/>
      <c r="FPP36" s="414"/>
      <c r="FPQ36" s="414"/>
      <c r="FPR36" s="414"/>
      <c r="FPS36" s="414"/>
      <c r="FPT36" s="414"/>
      <c r="FPU36" s="414"/>
      <c r="FPV36" s="414"/>
      <c r="FPW36" s="414"/>
      <c r="FPX36" s="414"/>
      <c r="FPY36" s="414"/>
      <c r="FPZ36" s="414"/>
      <c r="FQA36" s="414"/>
      <c r="FQB36" s="414"/>
      <c r="FQC36" s="414"/>
      <c r="FQD36" s="414"/>
      <c r="FQE36" s="414"/>
      <c r="FQF36" s="414"/>
      <c r="FQG36" s="414"/>
      <c r="FQH36" s="414"/>
      <c r="FQI36" s="414"/>
      <c r="FQJ36" s="414"/>
      <c r="FQK36" s="414"/>
      <c r="FQL36" s="414"/>
      <c r="FQM36" s="414"/>
      <c r="FQN36" s="414"/>
      <c r="FQO36" s="414"/>
      <c r="FQP36" s="414"/>
      <c r="FQQ36" s="414"/>
      <c r="FQR36" s="414"/>
      <c r="FQS36" s="414"/>
      <c r="FQT36" s="414"/>
      <c r="FQU36" s="414"/>
      <c r="FQV36" s="414"/>
      <c r="FQW36" s="414"/>
      <c r="FQX36" s="414"/>
      <c r="FQY36" s="414"/>
      <c r="FQZ36" s="414"/>
      <c r="FRA36" s="414"/>
      <c r="FRB36" s="414"/>
      <c r="FRC36" s="414"/>
      <c r="FRD36" s="414"/>
      <c r="FRE36" s="414"/>
      <c r="FRF36" s="414"/>
      <c r="FRG36" s="414"/>
      <c r="FRH36" s="414"/>
      <c r="FRI36" s="414"/>
      <c r="FRJ36" s="414"/>
      <c r="FRK36" s="414"/>
      <c r="FRL36" s="414"/>
      <c r="FRM36" s="414"/>
      <c r="FRN36" s="414"/>
      <c r="FRO36" s="414"/>
      <c r="FRP36" s="414"/>
      <c r="FRQ36" s="414"/>
      <c r="FRR36" s="414"/>
      <c r="FRS36" s="414"/>
      <c r="FRT36" s="414"/>
      <c r="FRU36" s="414"/>
      <c r="FRV36" s="414"/>
      <c r="FRW36" s="414"/>
      <c r="FRX36" s="414"/>
      <c r="FRY36" s="414"/>
      <c r="FRZ36" s="414"/>
      <c r="FSA36" s="414"/>
      <c r="FSB36" s="414"/>
      <c r="FSC36" s="414"/>
      <c r="FSD36" s="414"/>
      <c r="FSE36" s="414"/>
      <c r="FSF36" s="414"/>
      <c r="FSG36" s="414"/>
      <c r="FSH36" s="414"/>
      <c r="FSI36" s="414"/>
      <c r="FSJ36" s="414"/>
      <c r="FSK36" s="414"/>
      <c r="FSL36" s="414"/>
      <c r="FSM36" s="414"/>
      <c r="FSN36" s="414"/>
      <c r="FSO36" s="414"/>
      <c r="FSP36" s="414"/>
      <c r="FSQ36" s="414"/>
      <c r="FSR36" s="414"/>
      <c r="FSS36" s="414"/>
      <c r="FST36" s="414"/>
      <c r="FSU36" s="414"/>
      <c r="FSV36" s="414"/>
      <c r="FSW36" s="414"/>
      <c r="FSX36" s="414"/>
      <c r="FSY36" s="414"/>
      <c r="FSZ36" s="414"/>
      <c r="FTA36" s="414"/>
      <c r="FTB36" s="414"/>
      <c r="FTC36" s="414"/>
      <c r="FTD36" s="414"/>
      <c r="FTE36" s="414"/>
      <c r="FTF36" s="414"/>
      <c r="FTG36" s="414"/>
      <c r="FTH36" s="414"/>
      <c r="FTI36" s="414"/>
      <c r="FTJ36" s="414"/>
      <c r="FTK36" s="414"/>
      <c r="FTL36" s="414"/>
      <c r="FTM36" s="414"/>
      <c r="FTN36" s="414"/>
      <c r="FTO36" s="414"/>
      <c r="FTP36" s="414"/>
      <c r="FTQ36" s="414"/>
      <c r="FTR36" s="414"/>
      <c r="FTS36" s="414"/>
      <c r="FTT36" s="414"/>
      <c r="FTU36" s="414"/>
      <c r="FTV36" s="414"/>
      <c r="FTW36" s="414"/>
      <c r="FTX36" s="414"/>
      <c r="FTY36" s="414"/>
      <c r="FTZ36" s="414"/>
      <c r="FUA36" s="414"/>
      <c r="FUB36" s="414"/>
      <c r="FUC36" s="414"/>
      <c r="FUD36" s="414"/>
      <c r="FUE36" s="414"/>
      <c r="FUF36" s="414"/>
      <c r="FUG36" s="414"/>
      <c r="FUH36" s="414"/>
      <c r="FUI36" s="414"/>
      <c r="FUJ36" s="414"/>
      <c r="FUK36" s="414"/>
      <c r="FUL36" s="414"/>
      <c r="FUM36" s="414"/>
      <c r="FUN36" s="414"/>
      <c r="FUO36" s="414"/>
      <c r="FUP36" s="414"/>
      <c r="FUQ36" s="414"/>
      <c r="FUR36" s="414"/>
      <c r="FUS36" s="414"/>
      <c r="FUT36" s="414"/>
      <c r="FUU36" s="414"/>
      <c r="FUV36" s="414"/>
      <c r="FUW36" s="414"/>
      <c r="FUX36" s="414"/>
      <c r="FUY36" s="414"/>
      <c r="FUZ36" s="414"/>
      <c r="FVA36" s="414"/>
      <c r="FVB36" s="414"/>
      <c r="FVC36" s="414"/>
      <c r="FVD36" s="414"/>
      <c r="FVE36" s="414"/>
      <c r="FVF36" s="414"/>
      <c r="FVG36" s="414"/>
      <c r="FVH36" s="414"/>
      <c r="FVI36" s="414"/>
      <c r="FVJ36" s="414"/>
      <c r="FVK36" s="414"/>
      <c r="FVL36" s="414"/>
      <c r="FVM36" s="414"/>
      <c r="FVN36" s="414"/>
      <c r="FVO36" s="414"/>
      <c r="FVP36" s="414"/>
      <c r="FVQ36" s="414"/>
      <c r="FVR36" s="414"/>
      <c r="FVS36" s="414"/>
      <c r="FVT36" s="414"/>
      <c r="FVU36" s="414"/>
      <c r="FVV36" s="414"/>
      <c r="FVW36" s="414"/>
      <c r="FVX36" s="414"/>
      <c r="FVY36" s="414"/>
      <c r="FVZ36" s="414"/>
      <c r="FWA36" s="414"/>
      <c r="FWB36" s="414"/>
      <c r="FWC36" s="414"/>
      <c r="FWD36" s="414"/>
      <c r="FWE36" s="414"/>
      <c r="FWF36" s="414"/>
      <c r="FWG36" s="414"/>
      <c r="FWH36" s="414"/>
      <c r="FWI36" s="414"/>
      <c r="FWJ36" s="414"/>
      <c r="FWK36" s="414"/>
      <c r="FWL36" s="414"/>
      <c r="FWM36" s="414"/>
      <c r="FWN36" s="414"/>
      <c r="FWO36" s="414"/>
      <c r="FWP36" s="414"/>
      <c r="FWQ36" s="414"/>
      <c r="FWR36" s="414"/>
      <c r="FWS36" s="414"/>
      <c r="FWT36" s="414"/>
      <c r="FWU36" s="414"/>
      <c r="FWV36" s="414"/>
      <c r="FWW36" s="414"/>
      <c r="FWX36" s="414"/>
      <c r="FWY36" s="414"/>
      <c r="FWZ36" s="414"/>
      <c r="FXA36" s="414"/>
      <c r="FXB36" s="414"/>
      <c r="FXC36" s="414"/>
      <c r="FXD36" s="414"/>
      <c r="FXE36" s="414"/>
      <c r="FXF36" s="414"/>
      <c r="FXG36" s="414"/>
      <c r="FXH36" s="414"/>
      <c r="FXI36" s="414"/>
      <c r="FXJ36" s="414"/>
      <c r="FXK36" s="414"/>
      <c r="FXL36" s="414"/>
      <c r="FXM36" s="414"/>
      <c r="FXN36" s="414"/>
      <c r="FXO36" s="414"/>
      <c r="FXP36" s="414"/>
      <c r="FXQ36" s="414"/>
      <c r="FXR36" s="414"/>
      <c r="FXS36" s="414"/>
      <c r="FXT36" s="414"/>
      <c r="FXU36" s="414"/>
      <c r="FXV36" s="414"/>
      <c r="FXW36" s="414"/>
      <c r="FXX36" s="414"/>
      <c r="FXY36" s="414"/>
      <c r="FXZ36" s="414"/>
      <c r="FYA36" s="414"/>
      <c r="FYB36" s="414"/>
      <c r="FYC36" s="414"/>
      <c r="FYD36" s="414"/>
      <c r="FYE36" s="414"/>
      <c r="FYF36" s="414"/>
      <c r="FYG36" s="414"/>
      <c r="FYH36" s="414"/>
      <c r="FYI36" s="414"/>
      <c r="FYJ36" s="414"/>
      <c r="FYK36" s="414"/>
      <c r="FYL36" s="414"/>
      <c r="FYM36" s="414"/>
      <c r="FYN36" s="414"/>
      <c r="FYO36" s="414"/>
      <c r="FYP36" s="414"/>
      <c r="FYQ36" s="414"/>
      <c r="FYR36" s="414"/>
      <c r="FYS36" s="414"/>
      <c r="FYT36" s="414"/>
      <c r="FYU36" s="414"/>
      <c r="FYV36" s="414"/>
      <c r="FYW36" s="414"/>
      <c r="FYX36" s="414"/>
      <c r="FYY36" s="414"/>
      <c r="FYZ36" s="414"/>
      <c r="FZA36" s="414"/>
      <c r="FZB36" s="414"/>
      <c r="FZC36" s="414"/>
      <c r="FZD36" s="414"/>
      <c r="FZE36" s="414"/>
      <c r="FZF36" s="414"/>
      <c r="FZG36" s="414"/>
      <c r="FZH36" s="414"/>
      <c r="FZI36" s="414"/>
      <c r="FZJ36" s="414"/>
      <c r="FZK36" s="414"/>
      <c r="FZL36" s="414"/>
      <c r="FZM36" s="414"/>
      <c r="FZN36" s="414"/>
      <c r="FZO36" s="414"/>
      <c r="FZP36" s="414"/>
      <c r="FZQ36" s="414"/>
      <c r="FZR36" s="414"/>
      <c r="FZS36" s="414"/>
      <c r="FZT36" s="414"/>
      <c r="FZU36" s="414"/>
      <c r="FZV36" s="414"/>
      <c r="FZW36" s="414"/>
      <c r="FZX36" s="414"/>
      <c r="FZY36" s="414"/>
      <c r="FZZ36" s="414"/>
      <c r="GAA36" s="414"/>
      <c r="GAB36" s="414"/>
      <c r="GAC36" s="414"/>
      <c r="GAD36" s="414"/>
      <c r="GAE36" s="414"/>
      <c r="GAF36" s="414"/>
      <c r="GAG36" s="414"/>
      <c r="GAH36" s="414"/>
      <c r="GAI36" s="414"/>
      <c r="GAJ36" s="414"/>
      <c r="GAK36" s="414"/>
      <c r="GAL36" s="414"/>
      <c r="GAM36" s="414"/>
      <c r="GAN36" s="414"/>
      <c r="GAO36" s="414"/>
      <c r="GAP36" s="414"/>
      <c r="GAQ36" s="414"/>
      <c r="GAR36" s="414"/>
      <c r="GAS36" s="414"/>
      <c r="GAT36" s="414"/>
      <c r="GAU36" s="414"/>
      <c r="GAV36" s="414"/>
      <c r="GAW36" s="414"/>
      <c r="GAX36" s="414"/>
      <c r="GAY36" s="414"/>
      <c r="GAZ36" s="414"/>
      <c r="GBA36" s="414"/>
      <c r="GBB36" s="414"/>
      <c r="GBC36" s="414"/>
      <c r="GBD36" s="414"/>
      <c r="GBE36" s="414"/>
      <c r="GBF36" s="414"/>
      <c r="GBG36" s="414"/>
      <c r="GBH36" s="414"/>
      <c r="GBI36" s="414"/>
      <c r="GBJ36" s="414"/>
      <c r="GBK36" s="414"/>
      <c r="GBL36" s="414"/>
      <c r="GBM36" s="414"/>
      <c r="GBN36" s="414"/>
      <c r="GBO36" s="414"/>
      <c r="GBP36" s="414"/>
      <c r="GBQ36" s="414"/>
      <c r="GBR36" s="414"/>
      <c r="GBS36" s="414"/>
      <c r="GBT36" s="414"/>
      <c r="GBU36" s="414"/>
      <c r="GBV36" s="414"/>
      <c r="GBW36" s="414"/>
      <c r="GBX36" s="414"/>
      <c r="GBY36" s="414"/>
      <c r="GBZ36" s="414"/>
      <c r="GCA36" s="414"/>
      <c r="GCB36" s="414"/>
      <c r="GCC36" s="414"/>
      <c r="GCD36" s="414"/>
      <c r="GCE36" s="414"/>
      <c r="GCF36" s="414"/>
      <c r="GCG36" s="414"/>
      <c r="GCH36" s="414"/>
      <c r="GCI36" s="414"/>
      <c r="GCJ36" s="414"/>
      <c r="GCK36" s="414"/>
      <c r="GCL36" s="414"/>
      <c r="GCM36" s="414"/>
      <c r="GCN36" s="414"/>
      <c r="GCO36" s="414"/>
      <c r="GCP36" s="414"/>
      <c r="GCQ36" s="414"/>
      <c r="GCR36" s="414"/>
      <c r="GCS36" s="414"/>
      <c r="GCT36" s="414"/>
      <c r="GCU36" s="414"/>
      <c r="GCV36" s="414"/>
      <c r="GCW36" s="414"/>
      <c r="GCX36" s="414"/>
      <c r="GCY36" s="414"/>
      <c r="GCZ36" s="414"/>
      <c r="GDA36" s="414"/>
      <c r="GDB36" s="414"/>
      <c r="GDC36" s="414"/>
      <c r="GDD36" s="414"/>
      <c r="GDE36" s="414"/>
      <c r="GDF36" s="414"/>
      <c r="GDG36" s="414"/>
      <c r="GDH36" s="414"/>
      <c r="GDI36" s="414"/>
      <c r="GDJ36" s="414"/>
      <c r="GDK36" s="414"/>
      <c r="GDL36" s="414"/>
      <c r="GDM36" s="414"/>
      <c r="GDN36" s="414"/>
      <c r="GDO36" s="414"/>
      <c r="GDP36" s="414"/>
      <c r="GDQ36" s="414"/>
      <c r="GDR36" s="414"/>
      <c r="GDS36" s="414"/>
      <c r="GDT36" s="414"/>
      <c r="GDU36" s="414"/>
      <c r="GDV36" s="414"/>
      <c r="GDW36" s="414"/>
      <c r="GDX36" s="414"/>
      <c r="GDY36" s="414"/>
      <c r="GDZ36" s="414"/>
      <c r="GEA36" s="414"/>
      <c r="GEB36" s="414"/>
      <c r="GEC36" s="414"/>
      <c r="GED36" s="414"/>
      <c r="GEE36" s="414"/>
      <c r="GEF36" s="414"/>
      <c r="GEG36" s="414"/>
      <c r="GEH36" s="414"/>
      <c r="GEI36" s="414"/>
      <c r="GEJ36" s="414"/>
      <c r="GEK36" s="414"/>
      <c r="GEL36" s="414"/>
      <c r="GEM36" s="414"/>
      <c r="GEN36" s="414"/>
      <c r="GEO36" s="414"/>
      <c r="GEP36" s="414"/>
      <c r="GEQ36" s="414"/>
      <c r="GER36" s="414"/>
      <c r="GES36" s="414"/>
      <c r="GET36" s="414"/>
      <c r="GEU36" s="414"/>
      <c r="GEV36" s="414"/>
      <c r="GEW36" s="414"/>
      <c r="GEX36" s="414"/>
      <c r="GEY36" s="414"/>
      <c r="GEZ36" s="414"/>
      <c r="GFA36" s="414"/>
      <c r="GFB36" s="414"/>
      <c r="GFC36" s="414"/>
      <c r="GFD36" s="414"/>
      <c r="GFE36" s="414"/>
      <c r="GFF36" s="414"/>
      <c r="GFG36" s="414"/>
      <c r="GFH36" s="414"/>
      <c r="GFI36" s="414"/>
      <c r="GFJ36" s="414"/>
      <c r="GFK36" s="414"/>
      <c r="GFL36" s="414"/>
      <c r="GFM36" s="414"/>
      <c r="GFN36" s="414"/>
      <c r="GFO36" s="414"/>
      <c r="GFP36" s="414"/>
      <c r="GFQ36" s="414"/>
      <c r="GFR36" s="414"/>
      <c r="GFS36" s="414"/>
      <c r="GFT36" s="414"/>
      <c r="GFU36" s="414"/>
      <c r="GFV36" s="414"/>
      <c r="GFW36" s="414"/>
      <c r="GFX36" s="414"/>
      <c r="GFY36" s="414"/>
      <c r="GFZ36" s="414"/>
      <c r="GGA36" s="414"/>
      <c r="GGB36" s="414"/>
      <c r="GGC36" s="414"/>
      <c r="GGD36" s="414"/>
      <c r="GGE36" s="414"/>
      <c r="GGF36" s="414"/>
      <c r="GGG36" s="414"/>
      <c r="GGH36" s="414"/>
      <c r="GGI36" s="414"/>
      <c r="GGJ36" s="414"/>
      <c r="GGK36" s="414"/>
      <c r="GGL36" s="414"/>
      <c r="GGM36" s="414"/>
      <c r="GGN36" s="414"/>
      <c r="GGO36" s="414"/>
      <c r="GGP36" s="414"/>
      <c r="GGQ36" s="414"/>
      <c r="GGR36" s="414"/>
      <c r="GGS36" s="414"/>
      <c r="GGT36" s="414"/>
      <c r="GGU36" s="414"/>
      <c r="GGV36" s="414"/>
      <c r="GGW36" s="414"/>
      <c r="GGX36" s="414"/>
      <c r="GGY36" s="414"/>
      <c r="GGZ36" s="414"/>
      <c r="GHA36" s="414"/>
      <c r="GHB36" s="414"/>
      <c r="GHC36" s="414"/>
      <c r="GHD36" s="414"/>
      <c r="GHE36" s="414"/>
      <c r="GHF36" s="414"/>
      <c r="GHG36" s="414"/>
      <c r="GHH36" s="414"/>
      <c r="GHI36" s="414"/>
      <c r="GHJ36" s="414"/>
      <c r="GHK36" s="414"/>
      <c r="GHL36" s="414"/>
      <c r="GHM36" s="414"/>
      <c r="GHN36" s="414"/>
      <c r="GHO36" s="414"/>
      <c r="GHP36" s="414"/>
      <c r="GHQ36" s="414"/>
      <c r="GHR36" s="414"/>
      <c r="GHS36" s="414"/>
      <c r="GHT36" s="414"/>
      <c r="GHU36" s="414"/>
      <c r="GHV36" s="414"/>
      <c r="GHW36" s="414"/>
      <c r="GHX36" s="414"/>
      <c r="GHY36" s="414"/>
      <c r="GHZ36" s="414"/>
      <c r="GIA36" s="414"/>
      <c r="GIB36" s="414"/>
      <c r="GIC36" s="414"/>
      <c r="GID36" s="414"/>
      <c r="GIE36" s="414"/>
      <c r="GIF36" s="414"/>
      <c r="GIG36" s="414"/>
      <c r="GIH36" s="414"/>
      <c r="GII36" s="414"/>
      <c r="GIJ36" s="414"/>
      <c r="GIK36" s="414"/>
      <c r="GIL36" s="414"/>
      <c r="GIM36" s="414"/>
      <c r="GIN36" s="414"/>
      <c r="GIO36" s="414"/>
      <c r="GIP36" s="414"/>
      <c r="GIQ36" s="414"/>
      <c r="GIR36" s="414"/>
      <c r="GIS36" s="414"/>
      <c r="GIT36" s="414"/>
      <c r="GIU36" s="414"/>
      <c r="GIV36" s="414"/>
      <c r="GIW36" s="414"/>
      <c r="GIX36" s="414"/>
      <c r="GIY36" s="414"/>
      <c r="GIZ36" s="414"/>
      <c r="GJA36" s="414"/>
      <c r="GJB36" s="414"/>
      <c r="GJC36" s="414"/>
      <c r="GJD36" s="414"/>
      <c r="GJE36" s="414"/>
      <c r="GJF36" s="414"/>
      <c r="GJG36" s="414"/>
      <c r="GJH36" s="414"/>
      <c r="GJI36" s="414"/>
      <c r="GJJ36" s="414"/>
      <c r="GJK36" s="414"/>
      <c r="GJL36" s="414"/>
      <c r="GJM36" s="414"/>
      <c r="GJN36" s="414"/>
      <c r="GJO36" s="414"/>
      <c r="GJP36" s="414"/>
      <c r="GJQ36" s="414"/>
      <c r="GJR36" s="414"/>
      <c r="GJS36" s="414"/>
      <c r="GJT36" s="414"/>
      <c r="GJU36" s="414"/>
      <c r="GJV36" s="414"/>
      <c r="GJW36" s="414"/>
      <c r="GJX36" s="414"/>
      <c r="GJY36" s="414"/>
      <c r="GJZ36" s="414"/>
      <c r="GKA36" s="414"/>
      <c r="GKB36" s="414"/>
      <c r="GKC36" s="414"/>
      <c r="GKD36" s="414"/>
      <c r="GKE36" s="414"/>
      <c r="GKF36" s="414"/>
      <c r="GKG36" s="414"/>
      <c r="GKH36" s="414"/>
      <c r="GKI36" s="414"/>
      <c r="GKJ36" s="414"/>
      <c r="GKK36" s="414"/>
      <c r="GKL36" s="414"/>
      <c r="GKM36" s="414"/>
      <c r="GKN36" s="414"/>
      <c r="GKO36" s="414"/>
      <c r="GKP36" s="414"/>
      <c r="GKQ36" s="414"/>
      <c r="GKR36" s="414"/>
      <c r="GKS36" s="414"/>
      <c r="GKT36" s="414"/>
      <c r="GKU36" s="414"/>
      <c r="GKV36" s="414"/>
      <c r="GKW36" s="414"/>
      <c r="GKX36" s="414"/>
      <c r="GKY36" s="414"/>
      <c r="GKZ36" s="414"/>
      <c r="GLA36" s="414"/>
      <c r="GLB36" s="414"/>
      <c r="GLC36" s="414"/>
      <c r="GLD36" s="414"/>
      <c r="GLE36" s="414"/>
      <c r="GLF36" s="414"/>
      <c r="GLG36" s="414"/>
      <c r="GLH36" s="414"/>
      <c r="GLI36" s="414"/>
      <c r="GLJ36" s="414"/>
      <c r="GLK36" s="414"/>
      <c r="GLL36" s="414"/>
      <c r="GLM36" s="414"/>
      <c r="GLN36" s="414"/>
      <c r="GLO36" s="414"/>
      <c r="GLP36" s="414"/>
      <c r="GLQ36" s="414"/>
      <c r="GLR36" s="414"/>
      <c r="GLS36" s="414"/>
      <c r="GLT36" s="414"/>
      <c r="GLU36" s="414"/>
      <c r="GLV36" s="414"/>
      <c r="GLW36" s="414"/>
      <c r="GLX36" s="414"/>
      <c r="GLY36" s="414"/>
      <c r="GLZ36" s="414"/>
      <c r="GMA36" s="414"/>
      <c r="GMB36" s="414"/>
      <c r="GMC36" s="414"/>
      <c r="GMD36" s="414"/>
      <c r="GME36" s="414"/>
      <c r="GMF36" s="414"/>
      <c r="GMG36" s="414"/>
      <c r="GMH36" s="414"/>
      <c r="GMI36" s="414"/>
      <c r="GMJ36" s="414"/>
      <c r="GMK36" s="414"/>
      <c r="GML36" s="414"/>
      <c r="GMM36" s="414"/>
      <c r="GMN36" s="414"/>
      <c r="GMO36" s="414"/>
      <c r="GMP36" s="414"/>
      <c r="GMQ36" s="414"/>
      <c r="GMR36" s="414"/>
      <c r="GMS36" s="414"/>
      <c r="GMT36" s="414"/>
      <c r="GMU36" s="414"/>
      <c r="GMV36" s="414"/>
      <c r="GMW36" s="414"/>
      <c r="GMX36" s="414"/>
      <c r="GMY36" s="414"/>
      <c r="GMZ36" s="414"/>
      <c r="GNA36" s="414"/>
      <c r="GNB36" s="414"/>
      <c r="GNC36" s="414"/>
      <c r="GND36" s="414"/>
      <c r="GNE36" s="414"/>
      <c r="GNF36" s="414"/>
      <c r="GNG36" s="414"/>
      <c r="GNH36" s="414"/>
      <c r="GNI36" s="414"/>
      <c r="GNJ36" s="414"/>
      <c r="GNK36" s="414"/>
      <c r="GNL36" s="414"/>
      <c r="GNM36" s="414"/>
      <c r="GNN36" s="414"/>
      <c r="GNO36" s="414"/>
      <c r="GNP36" s="414"/>
      <c r="GNQ36" s="414"/>
      <c r="GNR36" s="414"/>
      <c r="GNS36" s="414"/>
      <c r="GNT36" s="414"/>
      <c r="GNU36" s="414"/>
      <c r="GNV36" s="414"/>
      <c r="GNW36" s="414"/>
      <c r="GNX36" s="414"/>
      <c r="GNY36" s="414"/>
      <c r="GNZ36" s="414"/>
      <c r="GOA36" s="414"/>
      <c r="GOB36" s="414"/>
      <c r="GOC36" s="414"/>
      <c r="GOD36" s="414"/>
      <c r="GOE36" s="414"/>
      <c r="GOF36" s="414"/>
      <c r="GOG36" s="414"/>
      <c r="GOH36" s="414"/>
      <c r="GOI36" s="414"/>
      <c r="GOJ36" s="414"/>
      <c r="GOK36" s="414"/>
      <c r="GOL36" s="414"/>
      <c r="GOM36" s="414"/>
      <c r="GON36" s="414"/>
      <c r="GOO36" s="414"/>
      <c r="GOP36" s="414"/>
      <c r="GOQ36" s="414"/>
      <c r="GOR36" s="414"/>
      <c r="GOS36" s="414"/>
      <c r="GOT36" s="414"/>
      <c r="GOU36" s="414"/>
      <c r="GOV36" s="414"/>
      <c r="GOW36" s="414"/>
      <c r="GOX36" s="414"/>
      <c r="GOY36" s="414"/>
      <c r="GOZ36" s="414"/>
      <c r="GPA36" s="414"/>
      <c r="GPB36" s="414"/>
      <c r="GPC36" s="414"/>
      <c r="GPD36" s="414"/>
      <c r="GPE36" s="414"/>
      <c r="GPF36" s="414"/>
      <c r="GPG36" s="414"/>
      <c r="GPH36" s="414"/>
      <c r="GPI36" s="414"/>
      <c r="GPJ36" s="414"/>
      <c r="GPK36" s="414"/>
      <c r="GPL36" s="414"/>
      <c r="GPM36" s="414"/>
      <c r="GPN36" s="414"/>
      <c r="GPO36" s="414"/>
      <c r="GPP36" s="414"/>
      <c r="GPQ36" s="414"/>
      <c r="GPR36" s="414"/>
      <c r="GPS36" s="414"/>
      <c r="GPT36" s="414"/>
      <c r="GPU36" s="414"/>
      <c r="GPV36" s="414"/>
      <c r="GPW36" s="414"/>
      <c r="GPX36" s="414"/>
      <c r="GPY36" s="414"/>
      <c r="GPZ36" s="414"/>
      <c r="GQA36" s="414"/>
      <c r="GQB36" s="414"/>
      <c r="GQC36" s="414"/>
      <c r="GQD36" s="414"/>
      <c r="GQE36" s="414"/>
      <c r="GQF36" s="414"/>
      <c r="GQG36" s="414"/>
      <c r="GQH36" s="414"/>
      <c r="GQI36" s="414"/>
      <c r="GQJ36" s="414"/>
      <c r="GQK36" s="414"/>
      <c r="GQL36" s="414"/>
      <c r="GQM36" s="414"/>
      <c r="GQN36" s="414"/>
      <c r="GQO36" s="414"/>
      <c r="GQP36" s="414"/>
      <c r="GQQ36" s="414"/>
      <c r="GQR36" s="414"/>
      <c r="GQS36" s="414"/>
      <c r="GQT36" s="414"/>
      <c r="GQU36" s="414"/>
      <c r="GQV36" s="414"/>
      <c r="GQW36" s="414"/>
      <c r="GQX36" s="414"/>
      <c r="GQY36" s="414"/>
      <c r="GQZ36" s="414"/>
      <c r="GRA36" s="414"/>
      <c r="GRB36" s="414"/>
      <c r="GRC36" s="414"/>
      <c r="GRD36" s="414"/>
      <c r="GRE36" s="414"/>
      <c r="GRF36" s="414"/>
      <c r="GRG36" s="414"/>
      <c r="GRH36" s="414"/>
      <c r="GRI36" s="414"/>
      <c r="GRJ36" s="414"/>
      <c r="GRK36" s="414"/>
      <c r="GRL36" s="414"/>
      <c r="GRM36" s="414"/>
      <c r="GRN36" s="414"/>
      <c r="GRO36" s="414"/>
      <c r="GRP36" s="414"/>
      <c r="GRQ36" s="414"/>
      <c r="GRR36" s="414"/>
      <c r="GRS36" s="414"/>
      <c r="GRT36" s="414"/>
      <c r="GRU36" s="414"/>
      <c r="GRV36" s="414"/>
      <c r="GRW36" s="414"/>
      <c r="GRX36" s="414"/>
      <c r="GRY36" s="414"/>
      <c r="GRZ36" s="414"/>
      <c r="GSA36" s="414"/>
      <c r="GSB36" s="414"/>
      <c r="GSC36" s="414"/>
      <c r="GSD36" s="414"/>
      <c r="GSE36" s="414"/>
      <c r="GSF36" s="414"/>
      <c r="GSG36" s="414"/>
      <c r="GSH36" s="414"/>
      <c r="GSI36" s="414"/>
      <c r="GSJ36" s="414"/>
      <c r="GSK36" s="414"/>
      <c r="GSL36" s="414"/>
      <c r="GSM36" s="414"/>
      <c r="GSN36" s="414"/>
      <c r="GSO36" s="414"/>
      <c r="GSP36" s="414"/>
      <c r="GSQ36" s="414"/>
      <c r="GSR36" s="414"/>
      <c r="GSS36" s="414"/>
      <c r="GST36" s="414"/>
      <c r="GSU36" s="414"/>
      <c r="GSV36" s="414"/>
      <c r="GSW36" s="414"/>
      <c r="GSX36" s="414"/>
      <c r="GSY36" s="414"/>
      <c r="GSZ36" s="414"/>
      <c r="GTA36" s="414"/>
      <c r="GTB36" s="414"/>
      <c r="GTC36" s="414"/>
      <c r="GTD36" s="414"/>
      <c r="GTE36" s="414"/>
      <c r="GTF36" s="414"/>
      <c r="GTG36" s="414"/>
      <c r="GTH36" s="414"/>
      <c r="GTI36" s="414"/>
      <c r="GTJ36" s="414"/>
      <c r="GTK36" s="414"/>
      <c r="GTL36" s="414"/>
      <c r="GTM36" s="414"/>
      <c r="GTN36" s="414"/>
      <c r="GTO36" s="414"/>
      <c r="GTP36" s="414"/>
      <c r="GTQ36" s="414"/>
      <c r="GTR36" s="414"/>
      <c r="GTS36" s="414"/>
      <c r="GTT36" s="414"/>
      <c r="GTU36" s="414"/>
      <c r="GTV36" s="414"/>
      <c r="GTW36" s="414"/>
      <c r="GTX36" s="414"/>
      <c r="GTY36" s="414"/>
      <c r="GTZ36" s="414"/>
      <c r="GUA36" s="414"/>
      <c r="GUB36" s="414"/>
      <c r="GUC36" s="414"/>
      <c r="GUD36" s="414"/>
      <c r="GUE36" s="414"/>
      <c r="GUF36" s="414"/>
      <c r="GUG36" s="414"/>
      <c r="GUH36" s="414"/>
      <c r="GUI36" s="414"/>
      <c r="GUJ36" s="414"/>
      <c r="GUK36" s="414"/>
      <c r="GUL36" s="414"/>
      <c r="GUM36" s="414"/>
      <c r="GUN36" s="414"/>
      <c r="GUO36" s="414"/>
      <c r="GUP36" s="414"/>
      <c r="GUQ36" s="414"/>
      <c r="GUR36" s="414"/>
      <c r="GUS36" s="414"/>
      <c r="GUT36" s="414"/>
      <c r="GUU36" s="414"/>
      <c r="GUV36" s="414"/>
      <c r="GUW36" s="414"/>
      <c r="GUX36" s="414"/>
      <c r="GUY36" s="414"/>
      <c r="GUZ36" s="414"/>
      <c r="GVA36" s="414"/>
      <c r="GVB36" s="414"/>
      <c r="GVC36" s="414"/>
      <c r="GVD36" s="414"/>
      <c r="GVE36" s="414"/>
      <c r="GVF36" s="414"/>
      <c r="GVG36" s="414"/>
      <c r="GVH36" s="414"/>
      <c r="GVI36" s="414"/>
      <c r="GVJ36" s="414"/>
      <c r="GVK36" s="414"/>
      <c r="GVL36" s="414"/>
      <c r="GVM36" s="414"/>
      <c r="GVN36" s="414"/>
      <c r="GVO36" s="414"/>
      <c r="GVP36" s="414"/>
      <c r="GVQ36" s="414"/>
      <c r="GVR36" s="414"/>
      <c r="GVS36" s="414"/>
      <c r="GVT36" s="414"/>
      <c r="GVU36" s="414"/>
      <c r="GVV36" s="414"/>
      <c r="GVW36" s="414"/>
      <c r="GVX36" s="414"/>
      <c r="GVY36" s="414"/>
      <c r="GVZ36" s="414"/>
      <c r="GWA36" s="414"/>
      <c r="GWB36" s="414"/>
      <c r="GWC36" s="414"/>
      <c r="GWD36" s="414"/>
      <c r="GWE36" s="414"/>
      <c r="GWF36" s="414"/>
      <c r="GWG36" s="414"/>
      <c r="GWH36" s="414"/>
      <c r="GWI36" s="414"/>
      <c r="GWJ36" s="414"/>
      <c r="GWK36" s="414"/>
      <c r="GWL36" s="414"/>
      <c r="GWM36" s="414"/>
      <c r="GWN36" s="414"/>
      <c r="GWO36" s="414"/>
      <c r="GWP36" s="414"/>
      <c r="GWQ36" s="414"/>
      <c r="GWR36" s="414"/>
      <c r="GWS36" s="414"/>
      <c r="GWT36" s="414"/>
      <c r="GWU36" s="414"/>
      <c r="GWV36" s="414"/>
      <c r="GWW36" s="414"/>
      <c r="GWX36" s="414"/>
      <c r="GWY36" s="414"/>
      <c r="GWZ36" s="414"/>
      <c r="GXA36" s="414"/>
      <c r="GXB36" s="414"/>
      <c r="GXC36" s="414"/>
      <c r="GXD36" s="414"/>
      <c r="GXE36" s="414"/>
      <c r="GXF36" s="414"/>
      <c r="GXG36" s="414"/>
      <c r="GXH36" s="414"/>
      <c r="GXI36" s="414"/>
      <c r="GXJ36" s="414"/>
      <c r="GXK36" s="414"/>
      <c r="GXL36" s="414"/>
      <c r="GXM36" s="414"/>
      <c r="GXN36" s="414"/>
      <c r="GXO36" s="414"/>
      <c r="GXP36" s="414"/>
      <c r="GXQ36" s="414"/>
      <c r="GXR36" s="414"/>
      <c r="GXS36" s="414"/>
      <c r="GXT36" s="414"/>
      <c r="GXU36" s="414"/>
      <c r="GXV36" s="414"/>
      <c r="GXW36" s="414"/>
      <c r="GXX36" s="414"/>
      <c r="GXY36" s="414"/>
      <c r="GXZ36" s="414"/>
      <c r="GYA36" s="414"/>
      <c r="GYB36" s="414"/>
      <c r="GYC36" s="414"/>
      <c r="GYD36" s="414"/>
      <c r="GYE36" s="414"/>
      <c r="GYF36" s="414"/>
      <c r="GYG36" s="414"/>
      <c r="GYH36" s="414"/>
      <c r="GYI36" s="414"/>
      <c r="GYJ36" s="414"/>
      <c r="GYK36" s="414"/>
      <c r="GYL36" s="414"/>
      <c r="GYM36" s="414"/>
      <c r="GYN36" s="414"/>
      <c r="GYO36" s="414"/>
      <c r="GYP36" s="414"/>
      <c r="GYQ36" s="414"/>
      <c r="GYR36" s="414"/>
      <c r="GYS36" s="414"/>
      <c r="GYT36" s="414"/>
      <c r="GYU36" s="414"/>
      <c r="GYV36" s="414"/>
      <c r="GYW36" s="414"/>
      <c r="GYX36" s="414"/>
      <c r="GYY36" s="414"/>
      <c r="GYZ36" s="414"/>
      <c r="GZA36" s="414"/>
      <c r="GZB36" s="414"/>
      <c r="GZC36" s="414"/>
      <c r="GZD36" s="414"/>
      <c r="GZE36" s="414"/>
      <c r="GZF36" s="414"/>
      <c r="GZG36" s="414"/>
      <c r="GZH36" s="414"/>
      <c r="GZI36" s="414"/>
      <c r="GZJ36" s="414"/>
      <c r="GZK36" s="414"/>
      <c r="GZL36" s="414"/>
      <c r="GZM36" s="414"/>
      <c r="GZN36" s="414"/>
      <c r="GZO36" s="414"/>
      <c r="GZP36" s="414"/>
      <c r="GZQ36" s="414"/>
      <c r="GZR36" s="414"/>
      <c r="GZS36" s="414"/>
      <c r="GZT36" s="414"/>
      <c r="GZU36" s="414"/>
      <c r="GZV36" s="414"/>
      <c r="GZW36" s="414"/>
      <c r="GZX36" s="414"/>
      <c r="GZY36" s="414"/>
      <c r="GZZ36" s="414"/>
      <c r="HAA36" s="414"/>
      <c r="HAB36" s="414"/>
      <c r="HAC36" s="414"/>
      <c r="HAD36" s="414"/>
      <c r="HAE36" s="414"/>
      <c r="HAF36" s="414"/>
      <c r="HAG36" s="414"/>
      <c r="HAH36" s="414"/>
      <c r="HAI36" s="414"/>
      <c r="HAJ36" s="414"/>
      <c r="HAK36" s="414"/>
      <c r="HAL36" s="414"/>
      <c r="HAM36" s="414"/>
      <c r="HAN36" s="414"/>
      <c r="HAO36" s="414"/>
      <c r="HAP36" s="414"/>
      <c r="HAQ36" s="414"/>
      <c r="HAR36" s="414"/>
      <c r="HAS36" s="414"/>
      <c r="HAT36" s="414"/>
      <c r="HAU36" s="414"/>
      <c r="HAV36" s="414"/>
      <c r="HAW36" s="414"/>
      <c r="HAX36" s="414"/>
      <c r="HAY36" s="414"/>
      <c r="HAZ36" s="414"/>
      <c r="HBA36" s="414"/>
      <c r="HBB36" s="414"/>
      <c r="HBC36" s="414"/>
      <c r="HBD36" s="414"/>
      <c r="HBE36" s="414"/>
      <c r="HBF36" s="414"/>
      <c r="HBG36" s="414"/>
      <c r="HBH36" s="414"/>
      <c r="HBI36" s="414"/>
      <c r="HBJ36" s="414"/>
      <c r="HBK36" s="414"/>
      <c r="HBL36" s="414"/>
      <c r="HBM36" s="414"/>
      <c r="HBN36" s="414"/>
      <c r="HBO36" s="414"/>
      <c r="HBP36" s="414"/>
      <c r="HBQ36" s="414"/>
      <c r="HBR36" s="414"/>
      <c r="HBS36" s="414"/>
      <c r="HBT36" s="414"/>
      <c r="HBU36" s="414"/>
      <c r="HBV36" s="414"/>
      <c r="HBW36" s="414"/>
      <c r="HBX36" s="414"/>
      <c r="HBY36" s="414"/>
      <c r="HBZ36" s="414"/>
      <c r="HCA36" s="414"/>
      <c r="HCB36" s="414"/>
      <c r="HCC36" s="414"/>
      <c r="HCD36" s="414"/>
      <c r="HCE36" s="414"/>
      <c r="HCF36" s="414"/>
      <c r="HCG36" s="414"/>
      <c r="HCH36" s="414"/>
      <c r="HCI36" s="414"/>
      <c r="HCJ36" s="414"/>
      <c r="HCK36" s="414"/>
      <c r="HCL36" s="414"/>
      <c r="HCM36" s="414"/>
      <c r="HCN36" s="414"/>
      <c r="HCO36" s="414"/>
      <c r="HCP36" s="414"/>
      <c r="HCQ36" s="414"/>
      <c r="HCR36" s="414"/>
      <c r="HCS36" s="414"/>
      <c r="HCT36" s="414"/>
      <c r="HCU36" s="414"/>
      <c r="HCV36" s="414"/>
      <c r="HCW36" s="414"/>
      <c r="HCX36" s="414"/>
      <c r="HCY36" s="414"/>
      <c r="HCZ36" s="414"/>
      <c r="HDA36" s="414"/>
      <c r="HDB36" s="414"/>
      <c r="HDC36" s="414"/>
      <c r="HDD36" s="414"/>
      <c r="HDE36" s="414"/>
      <c r="HDF36" s="414"/>
      <c r="HDG36" s="414"/>
      <c r="HDH36" s="414"/>
      <c r="HDI36" s="414"/>
      <c r="HDJ36" s="414"/>
      <c r="HDK36" s="414"/>
      <c r="HDL36" s="414"/>
      <c r="HDM36" s="414"/>
      <c r="HDN36" s="414"/>
      <c r="HDO36" s="414"/>
      <c r="HDP36" s="414"/>
      <c r="HDQ36" s="414"/>
      <c r="HDR36" s="414"/>
      <c r="HDS36" s="414"/>
      <c r="HDT36" s="414"/>
      <c r="HDU36" s="414"/>
      <c r="HDV36" s="414"/>
      <c r="HDW36" s="414"/>
      <c r="HDX36" s="414"/>
      <c r="HDY36" s="414"/>
      <c r="HDZ36" s="414"/>
      <c r="HEA36" s="414"/>
      <c r="HEB36" s="414"/>
      <c r="HEC36" s="414"/>
      <c r="HED36" s="414"/>
      <c r="HEE36" s="414"/>
      <c r="HEF36" s="414"/>
      <c r="HEG36" s="414"/>
      <c r="HEH36" s="414"/>
      <c r="HEI36" s="414"/>
      <c r="HEJ36" s="414"/>
      <c r="HEK36" s="414"/>
      <c r="HEL36" s="414"/>
      <c r="HEM36" s="414"/>
      <c r="HEN36" s="414"/>
      <c r="HEO36" s="414"/>
      <c r="HEP36" s="414"/>
      <c r="HEQ36" s="414"/>
      <c r="HER36" s="414"/>
      <c r="HES36" s="414"/>
      <c r="HET36" s="414"/>
      <c r="HEU36" s="414"/>
      <c r="HEV36" s="414"/>
      <c r="HEW36" s="414"/>
      <c r="HEX36" s="414"/>
      <c r="HEY36" s="414"/>
      <c r="HEZ36" s="414"/>
      <c r="HFA36" s="414"/>
      <c r="HFB36" s="414"/>
      <c r="HFC36" s="414"/>
      <c r="HFD36" s="414"/>
      <c r="HFE36" s="414"/>
      <c r="HFF36" s="414"/>
      <c r="HFG36" s="414"/>
      <c r="HFH36" s="414"/>
      <c r="HFI36" s="414"/>
      <c r="HFJ36" s="414"/>
      <c r="HFK36" s="414"/>
      <c r="HFL36" s="414"/>
      <c r="HFM36" s="414"/>
      <c r="HFN36" s="414"/>
      <c r="HFO36" s="414"/>
      <c r="HFP36" s="414"/>
      <c r="HFQ36" s="414"/>
      <c r="HFR36" s="414"/>
      <c r="HFS36" s="414"/>
      <c r="HFT36" s="414"/>
      <c r="HFU36" s="414"/>
      <c r="HFV36" s="414"/>
      <c r="HFW36" s="414"/>
      <c r="HFX36" s="414"/>
      <c r="HFY36" s="414"/>
      <c r="HFZ36" s="414"/>
      <c r="HGA36" s="414"/>
      <c r="HGB36" s="414"/>
      <c r="HGC36" s="414"/>
      <c r="HGD36" s="414"/>
      <c r="HGE36" s="414"/>
      <c r="HGF36" s="414"/>
      <c r="HGG36" s="414"/>
      <c r="HGH36" s="414"/>
      <c r="HGI36" s="414"/>
      <c r="HGJ36" s="414"/>
      <c r="HGK36" s="414"/>
      <c r="HGL36" s="414"/>
      <c r="HGM36" s="414"/>
      <c r="HGN36" s="414"/>
      <c r="HGO36" s="414"/>
      <c r="HGP36" s="414"/>
      <c r="HGQ36" s="414"/>
      <c r="HGR36" s="414"/>
      <c r="HGS36" s="414"/>
      <c r="HGT36" s="414"/>
      <c r="HGU36" s="414"/>
      <c r="HGV36" s="414"/>
      <c r="HGW36" s="414"/>
      <c r="HGX36" s="414"/>
      <c r="HGY36" s="414"/>
      <c r="HGZ36" s="414"/>
      <c r="HHA36" s="414"/>
      <c r="HHB36" s="414"/>
      <c r="HHC36" s="414"/>
      <c r="HHD36" s="414"/>
      <c r="HHE36" s="414"/>
      <c r="HHF36" s="414"/>
      <c r="HHG36" s="414"/>
      <c r="HHH36" s="414"/>
      <c r="HHI36" s="414"/>
      <c r="HHJ36" s="414"/>
      <c r="HHK36" s="414"/>
      <c r="HHL36" s="414"/>
      <c r="HHM36" s="414"/>
      <c r="HHN36" s="414"/>
      <c r="HHO36" s="414"/>
      <c r="HHP36" s="414"/>
      <c r="HHQ36" s="414"/>
      <c r="HHR36" s="414"/>
      <c r="HHS36" s="414"/>
      <c r="HHT36" s="414"/>
      <c r="HHU36" s="414"/>
      <c r="HHV36" s="414"/>
      <c r="HHW36" s="414"/>
      <c r="HHX36" s="414"/>
      <c r="HHY36" s="414"/>
      <c r="HHZ36" s="414"/>
      <c r="HIA36" s="414"/>
      <c r="HIB36" s="414"/>
      <c r="HIC36" s="414"/>
      <c r="HID36" s="414"/>
      <c r="HIE36" s="414"/>
      <c r="HIF36" s="414"/>
      <c r="HIG36" s="414"/>
      <c r="HIH36" s="414"/>
      <c r="HII36" s="414"/>
      <c r="HIJ36" s="414"/>
      <c r="HIK36" s="414"/>
      <c r="HIL36" s="414"/>
      <c r="HIM36" s="414"/>
      <c r="HIN36" s="414"/>
      <c r="HIO36" s="414"/>
      <c r="HIP36" s="414"/>
      <c r="HIQ36" s="414"/>
      <c r="HIR36" s="414"/>
      <c r="HIS36" s="414"/>
      <c r="HIT36" s="414"/>
      <c r="HIU36" s="414"/>
      <c r="HIV36" s="414"/>
      <c r="HIW36" s="414"/>
      <c r="HIX36" s="414"/>
      <c r="HIY36" s="414"/>
      <c r="HIZ36" s="414"/>
      <c r="HJA36" s="414"/>
      <c r="HJB36" s="414"/>
      <c r="HJC36" s="414"/>
      <c r="HJD36" s="414"/>
      <c r="HJE36" s="414"/>
      <c r="HJF36" s="414"/>
      <c r="HJG36" s="414"/>
      <c r="HJH36" s="414"/>
      <c r="HJI36" s="414"/>
      <c r="HJJ36" s="414"/>
      <c r="HJK36" s="414"/>
      <c r="HJL36" s="414"/>
      <c r="HJM36" s="414"/>
      <c r="HJN36" s="414"/>
      <c r="HJO36" s="414"/>
      <c r="HJP36" s="414"/>
      <c r="HJQ36" s="414"/>
      <c r="HJR36" s="414"/>
      <c r="HJS36" s="414"/>
      <c r="HJT36" s="414"/>
      <c r="HJU36" s="414"/>
      <c r="HJV36" s="414"/>
      <c r="HJW36" s="414"/>
      <c r="HJX36" s="414"/>
      <c r="HJY36" s="414"/>
      <c r="HJZ36" s="414"/>
      <c r="HKA36" s="414"/>
      <c r="HKB36" s="414"/>
      <c r="HKC36" s="414"/>
      <c r="HKD36" s="414"/>
      <c r="HKE36" s="414"/>
      <c r="HKF36" s="414"/>
      <c r="HKG36" s="414"/>
      <c r="HKH36" s="414"/>
      <c r="HKI36" s="414"/>
      <c r="HKJ36" s="414"/>
      <c r="HKK36" s="414"/>
      <c r="HKL36" s="414"/>
      <c r="HKM36" s="414"/>
      <c r="HKN36" s="414"/>
      <c r="HKO36" s="414"/>
      <c r="HKP36" s="414"/>
      <c r="HKQ36" s="414"/>
      <c r="HKR36" s="414"/>
      <c r="HKS36" s="414"/>
      <c r="HKT36" s="414"/>
      <c r="HKU36" s="414"/>
      <c r="HKV36" s="414"/>
      <c r="HKW36" s="414"/>
      <c r="HKX36" s="414"/>
      <c r="HKY36" s="414"/>
      <c r="HKZ36" s="414"/>
      <c r="HLA36" s="414"/>
      <c r="HLB36" s="414"/>
      <c r="HLC36" s="414"/>
      <c r="HLD36" s="414"/>
      <c r="HLE36" s="414"/>
      <c r="HLF36" s="414"/>
      <c r="HLG36" s="414"/>
      <c r="HLH36" s="414"/>
      <c r="HLI36" s="414"/>
      <c r="HLJ36" s="414"/>
      <c r="HLK36" s="414"/>
      <c r="HLL36" s="414"/>
      <c r="HLM36" s="414"/>
      <c r="HLN36" s="414"/>
      <c r="HLO36" s="414"/>
      <c r="HLP36" s="414"/>
      <c r="HLQ36" s="414"/>
      <c r="HLR36" s="414"/>
      <c r="HLS36" s="414"/>
      <c r="HLT36" s="414"/>
      <c r="HLU36" s="414"/>
      <c r="HLV36" s="414"/>
      <c r="HLW36" s="414"/>
      <c r="HLX36" s="414"/>
      <c r="HLY36" s="414"/>
      <c r="HLZ36" s="414"/>
      <c r="HMA36" s="414"/>
      <c r="HMB36" s="414"/>
      <c r="HMC36" s="414"/>
      <c r="HMD36" s="414"/>
      <c r="HME36" s="414"/>
      <c r="HMF36" s="414"/>
      <c r="HMG36" s="414"/>
      <c r="HMH36" s="414"/>
      <c r="HMI36" s="414"/>
      <c r="HMJ36" s="414"/>
      <c r="HMK36" s="414"/>
      <c r="HML36" s="414"/>
      <c r="HMM36" s="414"/>
      <c r="HMN36" s="414"/>
      <c r="HMO36" s="414"/>
      <c r="HMP36" s="414"/>
      <c r="HMQ36" s="414"/>
      <c r="HMR36" s="414"/>
      <c r="HMS36" s="414"/>
      <c r="HMT36" s="414"/>
      <c r="HMU36" s="414"/>
      <c r="HMV36" s="414"/>
      <c r="HMW36" s="414"/>
      <c r="HMX36" s="414"/>
      <c r="HMY36" s="414"/>
      <c r="HMZ36" s="414"/>
      <c r="HNA36" s="414"/>
      <c r="HNB36" s="414"/>
      <c r="HNC36" s="414"/>
      <c r="HND36" s="414"/>
      <c r="HNE36" s="414"/>
      <c r="HNF36" s="414"/>
      <c r="HNG36" s="414"/>
      <c r="HNH36" s="414"/>
      <c r="HNI36" s="414"/>
      <c r="HNJ36" s="414"/>
      <c r="HNK36" s="414"/>
      <c r="HNL36" s="414"/>
      <c r="HNM36" s="414"/>
      <c r="HNN36" s="414"/>
      <c r="HNO36" s="414"/>
      <c r="HNP36" s="414"/>
      <c r="HNQ36" s="414"/>
      <c r="HNR36" s="414"/>
      <c r="HNS36" s="414"/>
      <c r="HNT36" s="414"/>
      <c r="HNU36" s="414"/>
      <c r="HNV36" s="414"/>
      <c r="HNW36" s="414"/>
      <c r="HNX36" s="414"/>
      <c r="HNY36" s="414"/>
      <c r="HNZ36" s="414"/>
      <c r="HOA36" s="414"/>
      <c r="HOB36" s="414"/>
      <c r="HOC36" s="414"/>
      <c r="HOD36" s="414"/>
      <c r="HOE36" s="414"/>
      <c r="HOF36" s="414"/>
      <c r="HOG36" s="414"/>
      <c r="HOH36" s="414"/>
      <c r="HOI36" s="414"/>
      <c r="HOJ36" s="414"/>
      <c r="HOK36" s="414"/>
      <c r="HOL36" s="414"/>
      <c r="HOM36" s="414"/>
      <c r="HON36" s="414"/>
      <c r="HOO36" s="414"/>
      <c r="HOP36" s="414"/>
      <c r="HOQ36" s="414"/>
      <c r="HOR36" s="414"/>
      <c r="HOS36" s="414"/>
      <c r="HOT36" s="414"/>
      <c r="HOU36" s="414"/>
      <c r="HOV36" s="414"/>
      <c r="HOW36" s="414"/>
      <c r="HOX36" s="414"/>
      <c r="HOY36" s="414"/>
      <c r="HOZ36" s="414"/>
      <c r="HPA36" s="414"/>
      <c r="HPB36" s="414"/>
      <c r="HPC36" s="414"/>
      <c r="HPD36" s="414"/>
      <c r="HPE36" s="414"/>
      <c r="HPF36" s="414"/>
      <c r="HPG36" s="414"/>
      <c r="HPH36" s="414"/>
      <c r="HPI36" s="414"/>
      <c r="HPJ36" s="414"/>
      <c r="HPK36" s="414"/>
      <c r="HPL36" s="414"/>
      <c r="HPM36" s="414"/>
      <c r="HPN36" s="414"/>
      <c r="HPO36" s="414"/>
      <c r="HPP36" s="414"/>
      <c r="HPQ36" s="414"/>
      <c r="HPR36" s="414"/>
      <c r="HPS36" s="414"/>
      <c r="HPT36" s="414"/>
      <c r="HPU36" s="414"/>
      <c r="HPV36" s="414"/>
      <c r="HPW36" s="414"/>
      <c r="HPX36" s="414"/>
      <c r="HPY36" s="414"/>
      <c r="HPZ36" s="414"/>
      <c r="HQA36" s="414"/>
      <c r="HQB36" s="414"/>
      <c r="HQC36" s="414"/>
      <c r="HQD36" s="414"/>
      <c r="HQE36" s="414"/>
      <c r="HQF36" s="414"/>
      <c r="HQG36" s="414"/>
      <c r="HQH36" s="414"/>
      <c r="HQI36" s="414"/>
      <c r="HQJ36" s="414"/>
      <c r="HQK36" s="414"/>
      <c r="HQL36" s="414"/>
      <c r="HQM36" s="414"/>
      <c r="HQN36" s="414"/>
      <c r="HQO36" s="414"/>
      <c r="HQP36" s="414"/>
      <c r="HQQ36" s="414"/>
      <c r="HQR36" s="414"/>
      <c r="HQS36" s="414"/>
      <c r="HQT36" s="414"/>
      <c r="HQU36" s="414"/>
      <c r="HQV36" s="414"/>
      <c r="HQW36" s="414"/>
      <c r="HQX36" s="414"/>
      <c r="HQY36" s="414"/>
      <c r="HQZ36" s="414"/>
      <c r="HRA36" s="414"/>
      <c r="HRB36" s="414"/>
      <c r="HRC36" s="414"/>
      <c r="HRD36" s="414"/>
      <c r="HRE36" s="414"/>
      <c r="HRF36" s="414"/>
      <c r="HRG36" s="414"/>
      <c r="HRH36" s="414"/>
      <c r="HRI36" s="414"/>
      <c r="HRJ36" s="414"/>
      <c r="HRK36" s="414"/>
      <c r="HRL36" s="414"/>
      <c r="HRM36" s="414"/>
      <c r="HRN36" s="414"/>
      <c r="HRO36" s="414"/>
      <c r="HRP36" s="414"/>
      <c r="HRQ36" s="414"/>
      <c r="HRR36" s="414"/>
      <c r="HRS36" s="414"/>
      <c r="HRT36" s="414"/>
      <c r="HRU36" s="414"/>
      <c r="HRV36" s="414"/>
      <c r="HRW36" s="414"/>
      <c r="HRX36" s="414"/>
      <c r="HRY36" s="414"/>
      <c r="HRZ36" s="414"/>
      <c r="HSA36" s="414"/>
      <c r="HSB36" s="414"/>
      <c r="HSC36" s="414"/>
      <c r="HSD36" s="414"/>
      <c r="HSE36" s="414"/>
      <c r="HSF36" s="414"/>
      <c r="HSG36" s="414"/>
      <c r="HSH36" s="414"/>
      <c r="HSI36" s="414"/>
      <c r="HSJ36" s="414"/>
      <c r="HSK36" s="414"/>
      <c r="HSL36" s="414"/>
      <c r="HSM36" s="414"/>
      <c r="HSN36" s="414"/>
      <c r="HSO36" s="414"/>
      <c r="HSP36" s="414"/>
      <c r="HSQ36" s="414"/>
      <c r="HSR36" s="414"/>
      <c r="HSS36" s="414"/>
      <c r="HST36" s="414"/>
      <c r="HSU36" s="414"/>
      <c r="HSV36" s="414"/>
      <c r="HSW36" s="414"/>
      <c r="HSX36" s="414"/>
      <c r="HSY36" s="414"/>
      <c r="HSZ36" s="414"/>
      <c r="HTA36" s="414"/>
      <c r="HTB36" s="414"/>
      <c r="HTC36" s="414"/>
      <c r="HTD36" s="414"/>
      <c r="HTE36" s="414"/>
      <c r="HTF36" s="414"/>
      <c r="HTG36" s="414"/>
      <c r="HTH36" s="414"/>
      <c r="HTI36" s="414"/>
      <c r="HTJ36" s="414"/>
      <c r="HTK36" s="414"/>
      <c r="HTL36" s="414"/>
      <c r="HTM36" s="414"/>
      <c r="HTN36" s="414"/>
      <c r="HTO36" s="414"/>
      <c r="HTP36" s="414"/>
      <c r="HTQ36" s="414"/>
      <c r="HTR36" s="414"/>
      <c r="HTS36" s="414"/>
      <c r="HTT36" s="414"/>
      <c r="HTU36" s="414"/>
      <c r="HTV36" s="414"/>
      <c r="HTW36" s="414"/>
      <c r="HTX36" s="414"/>
      <c r="HTY36" s="414"/>
      <c r="HTZ36" s="414"/>
      <c r="HUA36" s="414"/>
      <c r="HUB36" s="414"/>
      <c r="HUC36" s="414"/>
      <c r="HUD36" s="414"/>
      <c r="HUE36" s="414"/>
      <c r="HUF36" s="414"/>
      <c r="HUG36" s="414"/>
      <c r="HUH36" s="414"/>
      <c r="HUI36" s="414"/>
      <c r="HUJ36" s="414"/>
      <c r="HUK36" s="414"/>
      <c r="HUL36" s="414"/>
      <c r="HUM36" s="414"/>
      <c r="HUN36" s="414"/>
      <c r="HUO36" s="414"/>
      <c r="HUP36" s="414"/>
      <c r="HUQ36" s="414"/>
      <c r="HUR36" s="414"/>
      <c r="HUS36" s="414"/>
      <c r="HUT36" s="414"/>
      <c r="HUU36" s="414"/>
      <c r="HUV36" s="414"/>
      <c r="HUW36" s="414"/>
      <c r="HUX36" s="414"/>
      <c r="HUY36" s="414"/>
      <c r="HUZ36" s="414"/>
      <c r="HVA36" s="414"/>
      <c r="HVB36" s="414"/>
      <c r="HVC36" s="414"/>
      <c r="HVD36" s="414"/>
      <c r="HVE36" s="414"/>
      <c r="HVF36" s="414"/>
      <c r="HVG36" s="414"/>
      <c r="HVH36" s="414"/>
      <c r="HVI36" s="414"/>
      <c r="HVJ36" s="414"/>
      <c r="HVK36" s="414"/>
      <c r="HVL36" s="414"/>
      <c r="HVM36" s="414"/>
      <c r="HVN36" s="414"/>
      <c r="HVO36" s="414"/>
      <c r="HVP36" s="414"/>
      <c r="HVQ36" s="414"/>
      <c r="HVR36" s="414"/>
      <c r="HVS36" s="414"/>
      <c r="HVT36" s="414"/>
      <c r="HVU36" s="414"/>
      <c r="HVV36" s="414"/>
      <c r="HVW36" s="414"/>
      <c r="HVX36" s="414"/>
      <c r="HVY36" s="414"/>
      <c r="HVZ36" s="414"/>
      <c r="HWA36" s="414"/>
      <c r="HWB36" s="414"/>
      <c r="HWC36" s="414"/>
      <c r="HWD36" s="414"/>
      <c r="HWE36" s="414"/>
      <c r="HWF36" s="414"/>
      <c r="HWG36" s="414"/>
      <c r="HWH36" s="414"/>
      <c r="HWI36" s="414"/>
      <c r="HWJ36" s="414"/>
      <c r="HWK36" s="414"/>
      <c r="HWL36" s="414"/>
      <c r="HWM36" s="414"/>
      <c r="HWN36" s="414"/>
      <c r="HWO36" s="414"/>
      <c r="HWP36" s="414"/>
      <c r="HWQ36" s="414"/>
      <c r="HWR36" s="414"/>
      <c r="HWS36" s="414"/>
      <c r="HWT36" s="414"/>
      <c r="HWU36" s="414"/>
      <c r="HWV36" s="414"/>
      <c r="HWW36" s="414"/>
      <c r="HWX36" s="414"/>
      <c r="HWY36" s="414"/>
      <c r="HWZ36" s="414"/>
      <c r="HXA36" s="414"/>
      <c r="HXB36" s="414"/>
      <c r="HXC36" s="414"/>
      <c r="HXD36" s="414"/>
      <c r="HXE36" s="414"/>
      <c r="HXF36" s="414"/>
      <c r="HXG36" s="414"/>
      <c r="HXH36" s="414"/>
      <c r="HXI36" s="414"/>
      <c r="HXJ36" s="414"/>
      <c r="HXK36" s="414"/>
      <c r="HXL36" s="414"/>
      <c r="HXM36" s="414"/>
      <c r="HXN36" s="414"/>
      <c r="HXO36" s="414"/>
      <c r="HXP36" s="414"/>
      <c r="HXQ36" s="414"/>
      <c r="HXR36" s="414"/>
      <c r="HXS36" s="414"/>
      <c r="HXT36" s="414"/>
      <c r="HXU36" s="414"/>
      <c r="HXV36" s="414"/>
      <c r="HXW36" s="414"/>
      <c r="HXX36" s="414"/>
      <c r="HXY36" s="414"/>
      <c r="HXZ36" s="414"/>
      <c r="HYA36" s="414"/>
      <c r="HYB36" s="414"/>
      <c r="HYC36" s="414"/>
      <c r="HYD36" s="414"/>
      <c r="HYE36" s="414"/>
      <c r="HYF36" s="414"/>
      <c r="HYG36" s="414"/>
      <c r="HYH36" s="414"/>
      <c r="HYI36" s="414"/>
      <c r="HYJ36" s="414"/>
      <c r="HYK36" s="414"/>
      <c r="HYL36" s="414"/>
      <c r="HYM36" s="414"/>
      <c r="HYN36" s="414"/>
      <c r="HYO36" s="414"/>
      <c r="HYP36" s="414"/>
      <c r="HYQ36" s="414"/>
      <c r="HYR36" s="414"/>
      <c r="HYS36" s="414"/>
      <c r="HYT36" s="414"/>
      <c r="HYU36" s="414"/>
      <c r="HYV36" s="414"/>
      <c r="HYW36" s="414"/>
      <c r="HYX36" s="414"/>
      <c r="HYY36" s="414"/>
      <c r="HYZ36" s="414"/>
      <c r="HZA36" s="414"/>
      <c r="HZB36" s="414"/>
      <c r="HZC36" s="414"/>
      <c r="HZD36" s="414"/>
      <c r="HZE36" s="414"/>
      <c r="HZF36" s="414"/>
      <c r="HZG36" s="414"/>
      <c r="HZH36" s="414"/>
      <c r="HZI36" s="414"/>
      <c r="HZJ36" s="414"/>
      <c r="HZK36" s="414"/>
      <c r="HZL36" s="414"/>
      <c r="HZM36" s="414"/>
      <c r="HZN36" s="414"/>
      <c r="HZO36" s="414"/>
      <c r="HZP36" s="414"/>
      <c r="HZQ36" s="414"/>
      <c r="HZR36" s="414"/>
      <c r="HZS36" s="414"/>
      <c r="HZT36" s="414"/>
      <c r="HZU36" s="414"/>
      <c r="HZV36" s="414"/>
      <c r="HZW36" s="414"/>
      <c r="HZX36" s="414"/>
      <c r="HZY36" s="414"/>
      <c r="HZZ36" s="414"/>
      <c r="IAA36" s="414"/>
      <c r="IAB36" s="414"/>
      <c r="IAC36" s="414"/>
      <c r="IAD36" s="414"/>
      <c r="IAE36" s="414"/>
      <c r="IAF36" s="414"/>
      <c r="IAG36" s="414"/>
      <c r="IAH36" s="414"/>
      <c r="IAI36" s="414"/>
      <c r="IAJ36" s="414"/>
      <c r="IAK36" s="414"/>
      <c r="IAL36" s="414"/>
      <c r="IAM36" s="414"/>
      <c r="IAN36" s="414"/>
      <c r="IAO36" s="414"/>
      <c r="IAP36" s="414"/>
      <c r="IAQ36" s="414"/>
      <c r="IAR36" s="414"/>
      <c r="IAS36" s="414"/>
      <c r="IAT36" s="414"/>
      <c r="IAU36" s="414"/>
      <c r="IAV36" s="414"/>
      <c r="IAW36" s="414"/>
      <c r="IAX36" s="414"/>
      <c r="IAY36" s="414"/>
      <c r="IAZ36" s="414"/>
      <c r="IBA36" s="414"/>
      <c r="IBB36" s="414"/>
      <c r="IBC36" s="414"/>
      <c r="IBD36" s="414"/>
      <c r="IBE36" s="414"/>
      <c r="IBF36" s="414"/>
      <c r="IBG36" s="414"/>
      <c r="IBH36" s="414"/>
      <c r="IBI36" s="414"/>
      <c r="IBJ36" s="414"/>
      <c r="IBK36" s="414"/>
      <c r="IBL36" s="414"/>
      <c r="IBM36" s="414"/>
      <c r="IBN36" s="414"/>
      <c r="IBO36" s="414"/>
      <c r="IBP36" s="414"/>
      <c r="IBQ36" s="414"/>
      <c r="IBR36" s="414"/>
      <c r="IBS36" s="414"/>
      <c r="IBT36" s="414"/>
      <c r="IBU36" s="414"/>
      <c r="IBV36" s="414"/>
      <c r="IBW36" s="414"/>
      <c r="IBX36" s="414"/>
      <c r="IBY36" s="414"/>
      <c r="IBZ36" s="414"/>
      <c r="ICA36" s="414"/>
      <c r="ICB36" s="414"/>
      <c r="ICC36" s="414"/>
      <c r="ICD36" s="414"/>
      <c r="ICE36" s="414"/>
      <c r="ICF36" s="414"/>
      <c r="ICG36" s="414"/>
      <c r="ICH36" s="414"/>
      <c r="ICI36" s="414"/>
      <c r="ICJ36" s="414"/>
      <c r="ICK36" s="414"/>
      <c r="ICL36" s="414"/>
      <c r="ICM36" s="414"/>
      <c r="ICN36" s="414"/>
      <c r="ICO36" s="414"/>
      <c r="ICP36" s="414"/>
      <c r="ICQ36" s="414"/>
      <c r="ICR36" s="414"/>
      <c r="ICS36" s="414"/>
      <c r="ICT36" s="414"/>
      <c r="ICU36" s="414"/>
      <c r="ICV36" s="414"/>
      <c r="ICW36" s="414"/>
      <c r="ICX36" s="414"/>
      <c r="ICY36" s="414"/>
      <c r="ICZ36" s="414"/>
      <c r="IDA36" s="414"/>
      <c r="IDB36" s="414"/>
      <c r="IDC36" s="414"/>
      <c r="IDD36" s="414"/>
      <c r="IDE36" s="414"/>
      <c r="IDF36" s="414"/>
      <c r="IDG36" s="414"/>
      <c r="IDH36" s="414"/>
      <c r="IDI36" s="414"/>
      <c r="IDJ36" s="414"/>
      <c r="IDK36" s="414"/>
      <c r="IDL36" s="414"/>
      <c r="IDM36" s="414"/>
      <c r="IDN36" s="414"/>
      <c r="IDO36" s="414"/>
      <c r="IDP36" s="414"/>
      <c r="IDQ36" s="414"/>
      <c r="IDR36" s="414"/>
      <c r="IDS36" s="414"/>
      <c r="IDT36" s="414"/>
      <c r="IDU36" s="414"/>
      <c r="IDV36" s="414"/>
      <c r="IDW36" s="414"/>
      <c r="IDX36" s="414"/>
      <c r="IDY36" s="414"/>
      <c r="IDZ36" s="414"/>
      <c r="IEA36" s="414"/>
      <c r="IEB36" s="414"/>
      <c r="IEC36" s="414"/>
      <c r="IED36" s="414"/>
      <c r="IEE36" s="414"/>
      <c r="IEF36" s="414"/>
      <c r="IEG36" s="414"/>
      <c r="IEH36" s="414"/>
      <c r="IEI36" s="414"/>
      <c r="IEJ36" s="414"/>
      <c r="IEK36" s="414"/>
      <c r="IEL36" s="414"/>
      <c r="IEM36" s="414"/>
      <c r="IEN36" s="414"/>
      <c r="IEO36" s="414"/>
      <c r="IEP36" s="414"/>
      <c r="IEQ36" s="414"/>
      <c r="IER36" s="414"/>
      <c r="IES36" s="414"/>
      <c r="IET36" s="414"/>
      <c r="IEU36" s="414"/>
      <c r="IEV36" s="414"/>
      <c r="IEW36" s="414"/>
      <c r="IEX36" s="414"/>
      <c r="IEY36" s="414"/>
      <c r="IEZ36" s="414"/>
      <c r="IFA36" s="414"/>
      <c r="IFB36" s="414"/>
      <c r="IFC36" s="414"/>
      <c r="IFD36" s="414"/>
      <c r="IFE36" s="414"/>
      <c r="IFF36" s="414"/>
      <c r="IFG36" s="414"/>
      <c r="IFH36" s="414"/>
      <c r="IFI36" s="414"/>
      <c r="IFJ36" s="414"/>
      <c r="IFK36" s="414"/>
      <c r="IFL36" s="414"/>
      <c r="IFM36" s="414"/>
      <c r="IFN36" s="414"/>
      <c r="IFO36" s="414"/>
      <c r="IFP36" s="414"/>
      <c r="IFQ36" s="414"/>
      <c r="IFR36" s="414"/>
      <c r="IFS36" s="414"/>
      <c r="IFT36" s="414"/>
      <c r="IFU36" s="414"/>
      <c r="IFV36" s="414"/>
      <c r="IFW36" s="414"/>
      <c r="IFX36" s="414"/>
      <c r="IFY36" s="414"/>
      <c r="IFZ36" s="414"/>
      <c r="IGA36" s="414"/>
      <c r="IGB36" s="414"/>
      <c r="IGC36" s="414"/>
      <c r="IGD36" s="414"/>
      <c r="IGE36" s="414"/>
      <c r="IGF36" s="414"/>
      <c r="IGG36" s="414"/>
      <c r="IGH36" s="414"/>
      <c r="IGI36" s="414"/>
      <c r="IGJ36" s="414"/>
      <c r="IGK36" s="414"/>
      <c r="IGL36" s="414"/>
      <c r="IGM36" s="414"/>
      <c r="IGN36" s="414"/>
      <c r="IGO36" s="414"/>
      <c r="IGP36" s="414"/>
      <c r="IGQ36" s="414"/>
      <c r="IGR36" s="414"/>
      <c r="IGS36" s="414"/>
      <c r="IGT36" s="414"/>
      <c r="IGU36" s="414"/>
      <c r="IGV36" s="414"/>
      <c r="IGW36" s="414"/>
      <c r="IGX36" s="414"/>
      <c r="IGY36" s="414"/>
      <c r="IGZ36" s="414"/>
      <c r="IHA36" s="414"/>
      <c r="IHB36" s="414"/>
      <c r="IHC36" s="414"/>
      <c r="IHD36" s="414"/>
      <c r="IHE36" s="414"/>
      <c r="IHF36" s="414"/>
      <c r="IHG36" s="414"/>
      <c r="IHH36" s="414"/>
      <c r="IHI36" s="414"/>
      <c r="IHJ36" s="414"/>
      <c r="IHK36" s="414"/>
      <c r="IHL36" s="414"/>
      <c r="IHM36" s="414"/>
      <c r="IHN36" s="414"/>
      <c r="IHO36" s="414"/>
      <c r="IHP36" s="414"/>
      <c r="IHQ36" s="414"/>
      <c r="IHR36" s="414"/>
      <c r="IHS36" s="414"/>
      <c r="IHT36" s="414"/>
      <c r="IHU36" s="414"/>
      <c r="IHV36" s="414"/>
      <c r="IHW36" s="414"/>
      <c r="IHX36" s="414"/>
      <c r="IHY36" s="414"/>
      <c r="IHZ36" s="414"/>
      <c r="IIA36" s="414"/>
      <c r="IIB36" s="414"/>
      <c r="IIC36" s="414"/>
      <c r="IID36" s="414"/>
      <c r="IIE36" s="414"/>
      <c r="IIF36" s="414"/>
      <c r="IIG36" s="414"/>
      <c r="IIH36" s="414"/>
      <c r="III36" s="414"/>
      <c r="IIJ36" s="414"/>
      <c r="IIK36" s="414"/>
      <c r="IIL36" s="414"/>
      <c r="IIM36" s="414"/>
      <c r="IIN36" s="414"/>
      <c r="IIO36" s="414"/>
      <c r="IIP36" s="414"/>
      <c r="IIQ36" s="414"/>
      <c r="IIR36" s="414"/>
      <c r="IIS36" s="414"/>
      <c r="IIT36" s="414"/>
      <c r="IIU36" s="414"/>
      <c r="IIV36" s="414"/>
      <c r="IIW36" s="414"/>
      <c r="IIX36" s="414"/>
      <c r="IIY36" s="414"/>
      <c r="IIZ36" s="414"/>
      <c r="IJA36" s="414"/>
      <c r="IJB36" s="414"/>
      <c r="IJC36" s="414"/>
      <c r="IJD36" s="414"/>
      <c r="IJE36" s="414"/>
      <c r="IJF36" s="414"/>
      <c r="IJG36" s="414"/>
      <c r="IJH36" s="414"/>
      <c r="IJI36" s="414"/>
      <c r="IJJ36" s="414"/>
      <c r="IJK36" s="414"/>
      <c r="IJL36" s="414"/>
      <c r="IJM36" s="414"/>
      <c r="IJN36" s="414"/>
      <c r="IJO36" s="414"/>
      <c r="IJP36" s="414"/>
      <c r="IJQ36" s="414"/>
      <c r="IJR36" s="414"/>
      <c r="IJS36" s="414"/>
      <c r="IJT36" s="414"/>
      <c r="IJU36" s="414"/>
      <c r="IJV36" s="414"/>
      <c r="IJW36" s="414"/>
      <c r="IJX36" s="414"/>
      <c r="IJY36" s="414"/>
      <c r="IJZ36" s="414"/>
      <c r="IKA36" s="414"/>
      <c r="IKB36" s="414"/>
      <c r="IKC36" s="414"/>
      <c r="IKD36" s="414"/>
      <c r="IKE36" s="414"/>
      <c r="IKF36" s="414"/>
      <c r="IKG36" s="414"/>
      <c r="IKH36" s="414"/>
      <c r="IKI36" s="414"/>
      <c r="IKJ36" s="414"/>
      <c r="IKK36" s="414"/>
      <c r="IKL36" s="414"/>
      <c r="IKM36" s="414"/>
      <c r="IKN36" s="414"/>
      <c r="IKO36" s="414"/>
      <c r="IKP36" s="414"/>
      <c r="IKQ36" s="414"/>
      <c r="IKR36" s="414"/>
      <c r="IKS36" s="414"/>
      <c r="IKT36" s="414"/>
      <c r="IKU36" s="414"/>
      <c r="IKV36" s="414"/>
      <c r="IKW36" s="414"/>
      <c r="IKX36" s="414"/>
      <c r="IKY36" s="414"/>
      <c r="IKZ36" s="414"/>
      <c r="ILA36" s="414"/>
      <c r="ILB36" s="414"/>
      <c r="ILC36" s="414"/>
      <c r="ILD36" s="414"/>
      <c r="ILE36" s="414"/>
      <c r="ILF36" s="414"/>
      <c r="ILG36" s="414"/>
      <c r="ILH36" s="414"/>
      <c r="ILI36" s="414"/>
      <c r="ILJ36" s="414"/>
      <c r="ILK36" s="414"/>
      <c r="ILL36" s="414"/>
      <c r="ILM36" s="414"/>
      <c r="ILN36" s="414"/>
      <c r="ILO36" s="414"/>
      <c r="ILP36" s="414"/>
      <c r="ILQ36" s="414"/>
      <c r="ILR36" s="414"/>
      <c r="ILS36" s="414"/>
      <c r="ILT36" s="414"/>
      <c r="ILU36" s="414"/>
      <c r="ILV36" s="414"/>
      <c r="ILW36" s="414"/>
      <c r="ILX36" s="414"/>
      <c r="ILY36" s="414"/>
      <c r="ILZ36" s="414"/>
      <c r="IMA36" s="414"/>
      <c r="IMB36" s="414"/>
      <c r="IMC36" s="414"/>
      <c r="IMD36" s="414"/>
      <c r="IME36" s="414"/>
      <c r="IMF36" s="414"/>
      <c r="IMG36" s="414"/>
      <c r="IMH36" s="414"/>
      <c r="IMI36" s="414"/>
      <c r="IMJ36" s="414"/>
      <c r="IMK36" s="414"/>
      <c r="IML36" s="414"/>
      <c r="IMM36" s="414"/>
      <c r="IMN36" s="414"/>
      <c r="IMO36" s="414"/>
      <c r="IMP36" s="414"/>
      <c r="IMQ36" s="414"/>
      <c r="IMR36" s="414"/>
      <c r="IMS36" s="414"/>
      <c r="IMT36" s="414"/>
      <c r="IMU36" s="414"/>
      <c r="IMV36" s="414"/>
      <c r="IMW36" s="414"/>
      <c r="IMX36" s="414"/>
      <c r="IMY36" s="414"/>
      <c r="IMZ36" s="414"/>
      <c r="INA36" s="414"/>
      <c r="INB36" s="414"/>
      <c r="INC36" s="414"/>
      <c r="IND36" s="414"/>
      <c r="INE36" s="414"/>
      <c r="INF36" s="414"/>
      <c r="ING36" s="414"/>
      <c r="INH36" s="414"/>
      <c r="INI36" s="414"/>
      <c r="INJ36" s="414"/>
      <c r="INK36" s="414"/>
      <c r="INL36" s="414"/>
      <c r="INM36" s="414"/>
      <c r="INN36" s="414"/>
      <c r="INO36" s="414"/>
      <c r="INP36" s="414"/>
      <c r="INQ36" s="414"/>
      <c r="INR36" s="414"/>
      <c r="INS36" s="414"/>
      <c r="INT36" s="414"/>
      <c r="INU36" s="414"/>
      <c r="INV36" s="414"/>
      <c r="INW36" s="414"/>
      <c r="INX36" s="414"/>
      <c r="INY36" s="414"/>
      <c r="INZ36" s="414"/>
      <c r="IOA36" s="414"/>
      <c r="IOB36" s="414"/>
      <c r="IOC36" s="414"/>
      <c r="IOD36" s="414"/>
      <c r="IOE36" s="414"/>
      <c r="IOF36" s="414"/>
      <c r="IOG36" s="414"/>
      <c r="IOH36" s="414"/>
      <c r="IOI36" s="414"/>
      <c r="IOJ36" s="414"/>
      <c r="IOK36" s="414"/>
      <c r="IOL36" s="414"/>
      <c r="IOM36" s="414"/>
      <c r="ION36" s="414"/>
      <c r="IOO36" s="414"/>
      <c r="IOP36" s="414"/>
      <c r="IOQ36" s="414"/>
      <c r="IOR36" s="414"/>
      <c r="IOS36" s="414"/>
      <c r="IOT36" s="414"/>
      <c r="IOU36" s="414"/>
      <c r="IOV36" s="414"/>
      <c r="IOW36" s="414"/>
      <c r="IOX36" s="414"/>
      <c r="IOY36" s="414"/>
      <c r="IOZ36" s="414"/>
      <c r="IPA36" s="414"/>
      <c r="IPB36" s="414"/>
      <c r="IPC36" s="414"/>
      <c r="IPD36" s="414"/>
      <c r="IPE36" s="414"/>
      <c r="IPF36" s="414"/>
      <c r="IPG36" s="414"/>
      <c r="IPH36" s="414"/>
      <c r="IPI36" s="414"/>
      <c r="IPJ36" s="414"/>
      <c r="IPK36" s="414"/>
      <c r="IPL36" s="414"/>
      <c r="IPM36" s="414"/>
      <c r="IPN36" s="414"/>
      <c r="IPO36" s="414"/>
      <c r="IPP36" s="414"/>
      <c r="IPQ36" s="414"/>
      <c r="IPR36" s="414"/>
      <c r="IPS36" s="414"/>
      <c r="IPT36" s="414"/>
      <c r="IPU36" s="414"/>
      <c r="IPV36" s="414"/>
      <c r="IPW36" s="414"/>
      <c r="IPX36" s="414"/>
      <c r="IPY36" s="414"/>
      <c r="IPZ36" s="414"/>
      <c r="IQA36" s="414"/>
      <c r="IQB36" s="414"/>
      <c r="IQC36" s="414"/>
      <c r="IQD36" s="414"/>
      <c r="IQE36" s="414"/>
      <c r="IQF36" s="414"/>
      <c r="IQG36" s="414"/>
      <c r="IQH36" s="414"/>
      <c r="IQI36" s="414"/>
      <c r="IQJ36" s="414"/>
      <c r="IQK36" s="414"/>
      <c r="IQL36" s="414"/>
      <c r="IQM36" s="414"/>
      <c r="IQN36" s="414"/>
      <c r="IQO36" s="414"/>
      <c r="IQP36" s="414"/>
      <c r="IQQ36" s="414"/>
      <c r="IQR36" s="414"/>
      <c r="IQS36" s="414"/>
      <c r="IQT36" s="414"/>
      <c r="IQU36" s="414"/>
      <c r="IQV36" s="414"/>
      <c r="IQW36" s="414"/>
      <c r="IQX36" s="414"/>
      <c r="IQY36" s="414"/>
      <c r="IQZ36" s="414"/>
      <c r="IRA36" s="414"/>
      <c r="IRB36" s="414"/>
      <c r="IRC36" s="414"/>
      <c r="IRD36" s="414"/>
      <c r="IRE36" s="414"/>
      <c r="IRF36" s="414"/>
      <c r="IRG36" s="414"/>
      <c r="IRH36" s="414"/>
      <c r="IRI36" s="414"/>
      <c r="IRJ36" s="414"/>
      <c r="IRK36" s="414"/>
      <c r="IRL36" s="414"/>
      <c r="IRM36" s="414"/>
      <c r="IRN36" s="414"/>
      <c r="IRO36" s="414"/>
      <c r="IRP36" s="414"/>
      <c r="IRQ36" s="414"/>
      <c r="IRR36" s="414"/>
      <c r="IRS36" s="414"/>
      <c r="IRT36" s="414"/>
      <c r="IRU36" s="414"/>
      <c r="IRV36" s="414"/>
      <c r="IRW36" s="414"/>
      <c r="IRX36" s="414"/>
      <c r="IRY36" s="414"/>
      <c r="IRZ36" s="414"/>
      <c r="ISA36" s="414"/>
      <c r="ISB36" s="414"/>
      <c r="ISC36" s="414"/>
      <c r="ISD36" s="414"/>
      <c r="ISE36" s="414"/>
      <c r="ISF36" s="414"/>
      <c r="ISG36" s="414"/>
      <c r="ISH36" s="414"/>
      <c r="ISI36" s="414"/>
      <c r="ISJ36" s="414"/>
      <c r="ISK36" s="414"/>
      <c r="ISL36" s="414"/>
      <c r="ISM36" s="414"/>
      <c r="ISN36" s="414"/>
      <c r="ISO36" s="414"/>
      <c r="ISP36" s="414"/>
      <c r="ISQ36" s="414"/>
      <c r="ISR36" s="414"/>
      <c r="ISS36" s="414"/>
      <c r="IST36" s="414"/>
      <c r="ISU36" s="414"/>
      <c r="ISV36" s="414"/>
      <c r="ISW36" s="414"/>
      <c r="ISX36" s="414"/>
      <c r="ISY36" s="414"/>
      <c r="ISZ36" s="414"/>
      <c r="ITA36" s="414"/>
      <c r="ITB36" s="414"/>
      <c r="ITC36" s="414"/>
      <c r="ITD36" s="414"/>
      <c r="ITE36" s="414"/>
      <c r="ITF36" s="414"/>
      <c r="ITG36" s="414"/>
      <c r="ITH36" s="414"/>
      <c r="ITI36" s="414"/>
      <c r="ITJ36" s="414"/>
      <c r="ITK36" s="414"/>
      <c r="ITL36" s="414"/>
      <c r="ITM36" s="414"/>
      <c r="ITN36" s="414"/>
      <c r="ITO36" s="414"/>
      <c r="ITP36" s="414"/>
      <c r="ITQ36" s="414"/>
      <c r="ITR36" s="414"/>
      <c r="ITS36" s="414"/>
      <c r="ITT36" s="414"/>
      <c r="ITU36" s="414"/>
      <c r="ITV36" s="414"/>
      <c r="ITW36" s="414"/>
      <c r="ITX36" s="414"/>
      <c r="ITY36" s="414"/>
      <c r="ITZ36" s="414"/>
      <c r="IUA36" s="414"/>
      <c r="IUB36" s="414"/>
      <c r="IUC36" s="414"/>
      <c r="IUD36" s="414"/>
      <c r="IUE36" s="414"/>
      <c r="IUF36" s="414"/>
      <c r="IUG36" s="414"/>
      <c r="IUH36" s="414"/>
      <c r="IUI36" s="414"/>
      <c r="IUJ36" s="414"/>
      <c r="IUK36" s="414"/>
      <c r="IUL36" s="414"/>
      <c r="IUM36" s="414"/>
      <c r="IUN36" s="414"/>
      <c r="IUO36" s="414"/>
      <c r="IUP36" s="414"/>
      <c r="IUQ36" s="414"/>
      <c r="IUR36" s="414"/>
      <c r="IUS36" s="414"/>
      <c r="IUT36" s="414"/>
      <c r="IUU36" s="414"/>
      <c r="IUV36" s="414"/>
      <c r="IUW36" s="414"/>
      <c r="IUX36" s="414"/>
      <c r="IUY36" s="414"/>
      <c r="IUZ36" s="414"/>
      <c r="IVA36" s="414"/>
      <c r="IVB36" s="414"/>
      <c r="IVC36" s="414"/>
      <c r="IVD36" s="414"/>
      <c r="IVE36" s="414"/>
      <c r="IVF36" s="414"/>
      <c r="IVG36" s="414"/>
      <c r="IVH36" s="414"/>
      <c r="IVI36" s="414"/>
      <c r="IVJ36" s="414"/>
      <c r="IVK36" s="414"/>
      <c r="IVL36" s="414"/>
      <c r="IVM36" s="414"/>
      <c r="IVN36" s="414"/>
      <c r="IVO36" s="414"/>
      <c r="IVP36" s="414"/>
      <c r="IVQ36" s="414"/>
      <c r="IVR36" s="414"/>
      <c r="IVS36" s="414"/>
      <c r="IVT36" s="414"/>
      <c r="IVU36" s="414"/>
      <c r="IVV36" s="414"/>
      <c r="IVW36" s="414"/>
      <c r="IVX36" s="414"/>
      <c r="IVY36" s="414"/>
      <c r="IVZ36" s="414"/>
      <c r="IWA36" s="414"/>
      <c r="IWB36" s="414"/>
      <c r="IWC36" s="414"/>
      <c r="IWD36" s="414"/>
      <c r="IWE36" s="414"/>
      <c r="IWF36" s="414"/>
      <c r="IWG36" s="414"/>
      <c r="IWH36" s="414"/>
      <c r="IWI36" s="414"/>
      <c r="IWJ36" s="414"/>
      <c r="IWK36" s="414"/>
      <c r="IWL36" s="414"/>
      <c r="IWM36" s="414"/>
      <c r="IWN36" s="414"/>
      <c r="IWO36" s="414"/>
      <c r="IWP36" s="414"/>
      <c r="IWQ36" s="414"/>
      <c r="IWR36" s="414"/>
      <c r="IWS36" s="414"/>
      <c r="IWT36" s="414"/>
      <c r="IWU36" s="414"/>
      <c r="IWV36" s="414"/>
      <c r="IWW36" s="414"/>
      <c r="IWX36" s="414"/>
      <c r="IWY36" s="414"/>
      <c r="IWZ36" s="414"/>
      <c r="IXA36" s="414"/>
      <c r="IXB36" s="414"/>
      <c r="IXC36" s="414"/>
      <c r="IXD36" s="414"/>
      <c r="IXE36" s="414"/>
      <c r="IXF36" s="414"/>
      <c r="IXG36" s="414"/>
      <c r="IXH36" s="414"/>
      <c r="IXI36" s="414"/>
      <c r="IXJ36" s="414"/>
      <c r="IXK36" s="414"/>
      <c r="IXL36" s="414"/>
      <c r="IXM36" s="414"/>
      <c r="IXN36" s="414"/>
      <c r="IXO36" s="414"/>
      <c r="IXP36" s="414"/>
      <c r="IXQ36" s="414"/>
      <c r="IXR36" s="414"/>
      <c r="IXS36" s="414"/>
      <c r="IXT36" s="414"/>
      <c r="IXU36" s="414"/>
      <c r="IXV36" s="414"/>
      <c r="IXW36" s="414"/>
      <c r="IXX36" s="414"/>
      <c r="IXY36" s="414"/>
      <c r="IXZ36" s="414"/>
      <c r="IYA36" s="414"/>
      <c r="IYB36" s="414"/>
      <c r="IYC36" s="414"/>
      <c r="IYD36" s="414"/>
      <c r="IYE36" s="414"/>
      <c r="IYF36" s="414"/>
      <c r="IYG36" s="414"/>
      <c r="IYH36" s="414"/>
      <c r="IYI36" s="414"/>
      <c r="IYJ36" s="414"/>
      <c r="IYK36" s="414"/>
      <c r="IYL36" s="414"/>
      <c r="IYM36" s="414"/>
      <c r="IYN36" s="414"/>
      <c r="IYO36" s="414"/>
      <c r="IYP36" s="414"/>
      <c r="IYQ36" s="414"/>
      <c r="IYR36" s="414"/>
      <c r="IYS36" s="414"/>
      <c r="IYT36" s="414"/>
      <c r="IYU36" s="414"/>
      <c r="IYV36" s="414"/>
      <c r="IYW36" s="414"/>
      <c r="IYX36" s="414"/>
      <c r="IYY36" s="414"/>
      <c r="IYZ36" s="414"/>
      <c r="IZA36" s="414"/>
      <c r="IZB36" s="414"/>
      <c r="IZC36" s="414"/>
      <c r="IZD36" s="414"/>
      <c r="IZE36" s="414"/>
      <c r="IZF36" s="414"/>
      <c r="IZG36" s="414"/>
      <c r="IZH36" s="414"/>
      <c r="IZI36" s="414"/>
      <c r="IZJ36" s="414"/>
      <c r="IZK36" s="414"/>
      <c r="IZL36" s="414"/>
      <c r="IZM36" s="414"/>
      <c r="IZN36" s="414"/>
      <c r="IZO36" s="414"/>
      <c r="IZP36" s="414"/>
      <c r="IZQ36" s="414"/>
      <c r="IZR36" s="414"/>
      <c r="IZS36" s="414"/>
      <c r="IZT36" s="414"/>
      <c r="IZU36" s="414"/>
      <c r="IZV36" s="414"/>
      <c r="IZW36" s="414"/>
      <c r="IZX36" s="414"/>
      <c r="IZY36" s="414"/>
      <c r="IZZ36" s="414"/>
      <c r="JAA36" s="414"/>
      <c r="JAB36" s="414"/>
      <c r="JAC36" s="414"/>
      <c r="JAD36" s="414"/>
      <c r="JAE36" s="414"/>
      <c r="JAF36" s="414"/>
      <c r="JAG36" s="414"/>
      <c r="JAH36" s="414"/>
      <c r="JAI36" s="414"/>
      <c r="JAJ36" s="414"/>
      <c r="JAK36" s="414"/>
      <c r="JAL36" s="414"/>
      <c r="JAM36" s="414"/>
      <c r="JAN36" s="414"/>
      <c r="JAO36" s="414"/>
      <c r="JAP36" s="414"/>
      <c r="JAQ36" s="414"/>
      <c r="JAR36" s="414"/>
      <c r="JAS36" s="414"/>
      <c r="JAT36" s="414"/>
      <c r="JAU36" s="414"/>
      <c r="JAV36" s="414"/>
      <c r="JAW36" s="414"/>
      <c r="JAX36" s="414"/>
      <c r="JAY36" s="414"/>
      <c r="JAZ36" s="414"/>
      <c r="JBA36" s="414"/>
      <c r="JBB36" s="414"/>
      <c r="JBC36" s="414"/>
      <c r="JBD36" s="414"/>
      <c r="JBE36" s="414"/>
      <c r="JBF36" s="414"/>
      <c r="JBG36" s="414"/>
      <c r="JBH36" s="414"/>
      <c r="JBI36" s="414"/>
      <c r="JBJ36" s="414"/>
      <c r="JBK36" s="414"/>
      <c r="JBL36" s="414"/>
      <c r="JBM36" s="414"/>
      <c r="JBN36" s="414"/>
      <c r="JBO36" s="414"/>
      <c r="JBP36" s="414"/>
      <c r="JBQ36" s="414"/>
      <c r="JBR36" s="414"/>
      <c r="JBS36" s="414"/>
      <c r="JBT36" s="414"/>
      <c r="JBU36" s="414"/>
      <c r="JBV36" s="414"/>
      <c r="JBW36" s="414"/>
      <c r="JBX36" s="414"/>
      <c r="JBY36" s="414"/>
      <c r="JBZ36" s="414"/>
      <c r="JCA36" s="414"/>
      <c r="JCB36" s="414"/>
      <c r="JCC36" s="414"/>
      <c r="JCD36" s="414"/>
      <c r="JCE36" s="414"/>
      <c r="JCF36" s="414"/>
      <c r="JCG36" s="414"/>
      <c r="JCH36" s="414"/>
      <c r="JCI36" s="414"/>
      <c r="JCJ36" s="414"/>
      <c r="JCK36" s="414"/>
      <c r="JCL36" s="414"/>
      <c r="JCM36" s="414"/>
      <c r="JCN36" s="414"/>
      <c r="JCO36" s="414"/>
      <c r="JCP36" s="414"/>
      <c r="JCQ36" s="414"/>
      <c r="JCR36" s="414"/>
      <c r="JCS36" s="414"/>
      <c r="JCT36" s="414"/>
      <c r="JCU36" s="414"/>
      <c r="JCV36" s="414"/>
      <c r="JCW36" s="414"/>
      <c r="JCX36" s="414"/>
      <c r="JCY36" s="414"/>
      <c r="JCZ36" s="414"/>
      <c r="JDA36" s="414"/>
      <c r="JDB36" s="414"/>
      <c r="JDC36" s="414"/>
      <c r="JDD36" s="414"/>
      <c r="JDE36" s="414"/>
      <c r="JDF36" s="414"/>
      <c r="JDG36" s="414"/>
      <c r="JDH36" s="414"/>
      <c r="JDI36" s="414"/>
      <c r="JDJ36" s="414"/>
      <c r="JDK36" s="414"/>
      <c r="JDL36" s="414"/>
      <c r="JDM36" s="414"/>
      <c r="JDN36" s="414"/>
      <c r="JDO36" s="414"/>
      <c r="JDP36" s="414"/>
      <c r="JDQ36" s="414"/>
      <c r="JDR36" s="414"/>
      <c r="JDS36" s="414"/>
      <c r="JDT36" s="414"/>
      <c r="JDU36" s="414"/>
      <c r="JDV36" s="414"/>
      <c r="JDW36" s="414"/>
      <c r="JDX36" s="414"/>
      <c r="JDY36" s="414"/>
      <c r="JDZ36" s="414"/>
      <c r="JEA36" s="414"/>
      <c r="JEB36" s="414"/>
      <c r="JEC36" s="414"/>
      <c r="JED36" s="414"/>
      <c r="JEE36" s="414"/>
      <c r="JEF36" s="414"/>
      <c r="JEG36" s="414"/>
      <c r="JEH36" s="414"/>
      <c r="JEI36" s="414"/>
      <c r="JEJ36" s="414"/>
      <c r="JEK36" s="414"/>
      <c r="JEL36" s="414"/>
      <c r="JEM36" s="414"/>
      <c r="JEN36" s="414"/>
      <c r="JEO36" s="414"/>
      <c r="JEP36" s="414"/>
      <c r="JEQ36" s="414"/>
      <c r="JER36" s="414"/>
      <c r="JES36" s="414"/>
      <c r="JET36" s="414"/>
      <c r="JEU36" s="414"/>
      <c r="JEV36" s="414"/>
      <c r="JEW36" s="414"/>
      <c r="JEX36" s="414"/>
      <c r="JEY36" s="414"/>
      <c r="JEZ36" s="414"/>
      <c r="JFA36" s="414"/>
      <c r="JFB36" s="414"/>
      <c r="JFC36" s="414"/>
      <c r="JFD36" s="414"/>
      <c r="JFE36" s="414"/>
      <c r="JFF36" s="414"/>
      <c r="JFG36" s="414"/>
      <c r="JFH36" s="414"/>
      <c r="JFI36" s="414"/>
      <c r="JFJ36" s="414"/>
      <c r="JFK36" s="414"/>
      <c r="JFL36" s="414"/>
      <c r="JFM36" s="414"/>
      <c r="JFN36" s="414"/>
      <c r="JFO36" s="414"/>
      <c r="JFP36" s="414"/>
      <c r="JFQ36" s="414"/>
      <c r="JFR36" s="414"/>
      <c r="JFS36" s="414"/>
      <c r="JFT36" s="414"/>
      <c r="JFU36" s="414"/>
      <c r="JFV36" s="414"/>
      <c r="JFW36" s="414"/>
      <c r="JFX36" s="414"/>
      <c r="JFY36" s="414"/>
      <c r="JFZ36" s="414"/>
      <c r="JGA36" s="414"/>
      <c r="JGB36" s="414"/>
      <c r="JGC36" s="414"/>
      <c r="JGD36" s="414"/>
      <c r="JGE36" s="414"/>
      <c r="JGF36" s="414"/>
      <c r="JGG36" s="414"/>
      <c r="JGH36" s="414"/>
      <c r="JGI36" s="414"/>
      <c r="JGJ36" s="414"/>
      <c r="JGK36" s="414"/>
      <c r="JGL36" s="414"/>
      <c r="JGM36" s="414"/>
      <c r="JGN36" s="414"/>
      <c r="JGO36" s="414"/>
      <c r="JGP36" s="414"/>
      <c r="JGQ36" s="414"/>
      <c r="JGR36" s="414"/>
      <c r="JGS36" s="414"/>
      <c r="JGT36" s="414"/>
      <c r="JGU36" s="414"/>
      <c r="JGV36" s="414"/>
      <c r="JGW36" s="414"/>
      <c r="JGX36" s="414"/>
      <c r="JGY36" s="414"/>
      <c r="JGZ36" s="414"/>
      <c r="JHA36" s="414"/>
      <c r="JHB36" s="414"/>
      <c r="JHC36" s="414"/>
      <c r="JHD36" s="414"/>
      <c r="JHE36" s="414"/>
      <c r="JHF36" s="414"/>
      <c r="JHG36" s="414"/>
      <c r="JHH36" s="414"/>
      <c r="JHI36" s="414"/>
      <c r="JHJ36" s="414"/>
      <c r="JHK36" s="414"/>
      <c r="JHL36" s="414"/>
      <c r="JHM36" s="414"/>
      <c r="JHN36" s="414"/>
      <c r="JHO36" s="414"/>
      <c r="JHP36" s="414"/>
      <c r="JHQ36" s="414"/>
      <c r="JHR36" s="414"/>
      <c r="JHS36" s="414"/>
      <c r="JHT36" s="414"/>
      <c r="JHU36" s="414"/>
      <c r="JHV36" s="414"/>
      <c r="JHW36" s="414"/>
      <c r="JHX36" s="414"/>
      <c r="JHY36" s="414"/>
      <c r="JHZ36" s="414"/>
      <c r="JIA36" s="414"/>
      <c r="JIB36" s="414"/>
      <c r="JIC36" s="414"/>
      <c r="JID36" s="414"/>
      <c r="JIE36" s="414"/>
      <c r="JIF36" s="414"/>
      <c r="JIG36" s="414"/>
      <c r="JIH36" s="414"/>
      <c r="JII36" s="414"/>
      <c r="JIJ36" s="414"/>
      <c r="JIK36" s="414"/>
      <c r="JIL36" s="414"/>
      <c r="JIM36" s="414"/>
      <c r="JIN36" s="414"/>
      <c r="JIO36" s="414"/>
      <c r="JIP36" s="414"/>
      <c r="JIQ36" s="414"/>
      <c r="JIR36" s="414"/>
      <c r="JIS36" s="414"/>
      <c r="JIT36" s="414"/>
      <c r="JIU36" s="414"/>
      <c r="JIV36" s="414"/>
      <c r="JIW36" s="414"/>
      <c r="JIX36" s="414"/>
      <c r="JIY36" s="414"/>
      <c r="JIZ36" s="414"/>
      <c r="JJA36" s="414"/>
      <c r="JJB36" s="414"/>
      <c r="JJC36" s="414"/>
      <c r="JJD36" s="414"/>
      <c r="JJE36" s="414"/>
      <c r="JJF36" s="414"/>
      <c r="JJG36" s="414"/>
      <c r="JJH36" s="414"/>
      <c r="JJI36" s="414"/>
      <c r="JJJ36" s="414"/>
      <c r="JJK36" s="414"/>
      <c r="JJL36" s="414"/>
      <c r="JJM36" s="414"/>
      <c r="JJN36" s="414"/>
      <c r="JJO36" s="414"/>
      <c r="JJP36" s="414"/>
      <c r="JJQ36" s="414"/>
      <c r="JJR36" s="414"/>
      <c r="JJS36" s="414"/>
      <c r="JJT36" s="414"/>
      <c r="JJU36" s="414"/>
      <c r="JJV36" s="414"/>
      <c r="JJW36" s="414"/>
      <c r="JJX36" s="414"/>
      <c r="JJY36" s="414"/>
      <c r="JJZ36" s="414"/>
      <c r="JKA36" s="414"/>
      <c r="JKB36" s="414"/>
      <c r="JKC36" s="414"/>
      <c r="JKD36" s="414"/>
      <c r="JKE36" s="414"/>
      <c r="JKF36" s="414"/>
      <c r="JKG36" s="414"/>
      <c r="JKH36" s="414"/>
      <c r="JKI36" s="414"/>
      <c r="JKJ36" s="414"/>
      <c r="JKK36" s="414"/>
      <c r="JKL36" s="414"/>
      <c r="JKM36" s="414"/>
      <c r="JKN36" s="414"/>
      <c r="JKO36" s="414"/>
      <c r="JKP36" s="414"/>
      <c r="JKQ36" s="414"/>
      <c r="JKR36" s="414"/>
      <c r="JKS36" s="414"/>
      <c r="JKT36" s="414"/>
      <c r="JKU36" s="414"/>
      <c r="JKV36" s="414"/>
      <c r="JKW36" s="414"/>
      <c r="JKX36" s="414"/>
      <c r="JKY36" s="414"/>
      <c r="JKZ36" s="414"/>
      <c r="JLA36" s="414"/>
      <c r="JLB36" s="414"/>
      <c r="JLC36" s="414"/>
      <c r="JLD36" s="414"/>
      <c r="JLE36" s="414"/>
      <c r="JLF36" s="414"/>
      <c r="JLG36" s="414"/>
      <c r="JLH36" s="414"/>
      <c r="JLI36" s="414"/>
      <c r="JLJ36" s="414"/>
      <c r="JLK36" s="414"/>
      <c r="JLL36" s="414"/>
      <c r="JLM36" s="414"/>
      <c r="JLN36" s="414"/>
      <c r="JLO36" s="414"/>
      <c r="JLP36" s="414"/>
      <c r="JLQ36" s="414"/>
      <c r="JLR36" s="414"/>
      <c r="JLS36" s="414"/>
      <c r="JLT36" s="414"/>
      <c r="JLU36" s="414"/>
      <c r="JLV36" s="414"/>
      <c r="JLW36" s="414"/>
      <c r="JLX36" s="414"/>
      <c r="JLY36" s="414"/>
      <c r="JLZ36" s="414"/>
      <c r="JMA36" s="414"/>
      <c r="JMB36" s="414"/>
      <c r="JMC36" s="414"/>
      <c r="JMD36" s="414"/>
      <c r="JME36" s="414"/>
      <c r="JMF36" s="414"/>
      <c r="JMG36" s="414"/>
      <c r="JMH36" s="414"/>
      <c r="JMI36" s="414"/>
      <c r="JMJ36" s="414"/>
      <c r="JMK36" s="414"/>
      <c r="JML36" s="414"/>
      <c r="JMM36" s="414"/>
      <c r="JMN36" s="414"/>
      <c r="JMO36" s="414"/>
      <c r="JMP36" s="414"/>
      <c r="JMQ36" s="414"/>
      <c r="JMR36" s="414"/>
      <c r="JMS36" s="414"/>
      <c r="JMT36" s="414"/>
      <c r="JMU36" s="414"/>
      <c r="JMV36" s="414"/>
      <c r="JMW36" s="414"/>
      <c r="JMX36" s="414"/>
      <c r="JMY36" s="414"/>
      <c r="JMZ36" s="414"/>
      <c r="JNA36" s="414"/>
      <c r="JNB36" s="414"/>
      <c r="JNC36" s="414"/>
      <c r="JND36" s="414"/>
      <c r="JNE36" s="414"/>
      <c r="JNF36" s="414"/>
      <c r="JNG36" s="414"/>
      <c r="JNH36" s="414"/>
      <c r="JNI36" s="414"/>
      <c r="JNJ36" s="414"/>
      <c r="JNK36" s="414"/>
      <c r="JNL36" s="414"/>
      <c r="JNM36" s="414"/>
      <c r="JNN36" s="414"/>
      <c r="JNO36" s="414"/>
      <c r="JNP36" s="414"/>
      <c r="JNQ36" s="414"/>
      <c r="JNR36" s="414"/>
      <c r="JNS36" s="414"/>
      <c r="JNT36" s="414"/>
      <c r="JNU36" s="414"/>
      <c r="JNV36" s="414"/>
      <c r="JNW36" s="414"/>
      <c r="JNX36" s="414"/>
      <c r="JNY36" s="414"/>
      <c r="JNZ36" s="414"/>
      <c r="JOA36" s="414"/>
      <c r="JOB36" s="414"/>
      <c r="JOC36" s="414"/>
      <c r="JOD36" s="414"/>
      <c r="JOE36" s="414"/>
      <c r="JOF36" s="414"/>
      <c r="JOG36" s="414"/>
      <c r="JOH36" s="414"/>
      <c r="JOI36" s="414"/>
      <c r="JOJ36" s="414"/>
      <c r="JOK36" s="414"/>
      <c r="JOL36" s="414"/>
      <c r="JOM36" s="414"/>
      <c r="JON36" s="414"/>
      <c r="JOO36" s="414"/>
      <c r="JOP36" s="414"/>
      <c r="JOQ36" s="414"/>
      <c r="JOR36" s="414"/>
      <c r="JOS36" s="414"/>
      <c r="JOT36" s="414"/>
      <c r="JOU36" s="414"/>
      <c r="JOV36" s="414"/>
      <c r="JOW36" s="414"/>
      <c r="JOX36" s="414"/>
      <c r="JOY36" s="414"/>
      <c r="JOZ36" s="414"/>
      <c r="JPA36" s="414"/>
      <c r="JPB36" s="414"/>
      <c r="JPC36" s="414"/>
      <c r="JPD36" s="414"/>
      <c r="JPE36" s="414"/>
      <c r="JPF36" s="414"/>
      <c r="JPG36" s="414"/>
      <c r="JPH36" s="414"/>
      <c r="JPI36" s="414"/>
      <c r="JPJ36" s="414"/>
      <c r="JPK36" s="414"/>
      <c r="JPL36" s="414"/>
      <c r="JPM36" s="414"/>
      <c r="JPN36" s="414"/>
      <c r="JPO36" s="414"/>
      <c r="JPP36" s="414"/>
      <c r="JPQ36" s="414"/>
      <c r="JPR36" s="414"/>
      <c r="JPS36" s="414"/>
      <c r="JPT36" s="414"/>
      <c r="JPU36" s="414"/>
      <c r="JPV36" s="414"/>
      <c r="JPW36" s="414"/>
      <c r="JPX36" s="414"/>
      <c r="JPY36" s="414"/>
      <c r="JPZ36" s="414"/>
      <c r="JQA36" s="414"/>
      <c r="JQB36" s="414"/>
      <c r="JQC36" s="414"/>
      <c r="JQD36" s="414"/>
      <c r="JQE36" s="414"/>
      <c r="JQF36" s="414"/>
      <c r="JQG36" s="414"/>
      <c r="JQH36" s="414"/>
      <c r="JQI36" s="414"/>
      <c r="JQJ36" s="414"/>
      <c r="JQK36" s="414"/>
      <c r="JQL36" s="414"/>
      <c r="JQM36" s="414"/>
      <c r="JQN36" s="414"/>
      <c r="JQO36" s="414"/>
      <c r="JQP36" s="414"/>
      <c r="JQQ36" s="414"/>
      <c r="JQR36" s="414"/>
      <c r="JQS36" s="414"/>
      <c r="JQT36" s="414"/>
      <c r="JQU36" s="414"/>
      <c r="JQV36" s="414"/>
      <c r="JQW36" s="414"/>
      <c r="JQX36" s="414"/>
      <c r="JQY36" s="414"/>
      <c r="JQZ36" s="414"/>
      <c r="JRA36" s="414"/>
      <c r="JRB36" s="414"/>
      <c r="JRC36" s="414"/>
      <c r="JRD36" s="414"/>
      <c r="JRE36" s="414"/>
      <c r="JRF36" s="414"/>
      <c r="JRG36" s="414"/>
      <c r="JRH36" s="414"/>
      <c r="JRI36" s="414"/>
      <c r="JRJ36" s="414"/>
      <c r="JRK36" s="414"/>
      <c r="JRL36" s="414"/>
      <c r="JRM36" s="414"/>
      <c r="JRN36" s="414"/>
      <c r="JRO36" s="414"/>
      <c r="JRP36" s="414"/>
      <c r="JRQ36" s="414"/>
      <c r="JRR36" s="414"/>
      <c r="JRS36" s="414"/>
      <c r="JRT36" s="414"/>
      <c r="JRU36" s="414"/>
      <c r="JRV36" s="414"/>
      <c r="JRW36" s="414"/>
      <c r="JRX36" s="414"/>
      <c r="JRY36" s="414"/>
      <c r="JRZ36" s="414"/>
      <c r="JSA36" s="414"/>
      <c r="JSB36" s="414"/>
      <c r="JSC36" s="414"/>
      <c r="JSD36" s="414"/>
      <c r="JSE36" s="414"/>
      <c r="JSF36" s="414"/>
      <c r="JSG36" s="414"/>
      <c r="JSH36" s="414"/>
      <c r="JSI36" s="414"/>
      <c r="JSJ36" s="414"/>
      <c r="JSK36" s="414"/>
      <c r="JSL36" s="414"/>
      <c r="JSM36" s="414"/>
      <c r="JSN36" s="414"/>
      <c r="JSO36" s="414"/>
      <c r="JSP36" s="414"/>
      <c r="JSQ36" s="414"/>
      <c r="JSR36" s="414"/>
      <c r="JSS36" s="414"/>
      <c r="JST36" s="414"/>
      <c r="JSU36" s="414"/>
      <c r="JSV36" s="414"/>
      <c r="JSW36" s="414"/>
      <c r="JSX36" s="414"/>
      <c r="JSY36" s="414"/>
      <c r="JSZ36" s="414"/>
      <c r="JTA36" s="414"/>
      <c r="JTB36" s="414"/>
      <c r="JTC36" s="414"/>
      <c r="JTD36" s="414"/>
      <c r="JTE36" s="414"/>
      <c r="JTF36" s="414"/>
      <c r="JTG36" s="414"/>
      <c r="JTH36" s="414"/>
      <c r="JTI36" s="414"/>
      <c r="JTJ36" s="414"/>
      <c r="JTK36" s="414"/>
      <c r="JTL36" s="414"/>
      <c r="JTM36" s="414"/>
      <c r="JTN36" s="414"/>
      <c r="JTO36" s="414"/>
      <c r="JTP36" s="414"/>
      <c r="JTQ36" s="414"/>
      <c r="JTR36" s="414"/>
      <c r="JTS36" s="414"/>
      <c r="JTT36" s="414"/>
      <c r="JTU36" s="414"/>
      <c r="JTV36" s="414"/>
      <c r="JTW36" s="414"/>
      <c r="JTX36" s="414"/>
      <c r="JTY36" s="414"/>
      <c r="JTZ36" s="414"/>
      <c r="JUA36" s="414"/>
      <c r="JUB36" s="414"/>
      <c r="JUC36" s="414"/>
      <c r="JUD36" s="414"/>
      <c r="JUE36" s="414"/>
      <c r="JUF36" s="414"/>
      <c r="JUG36" s="414"/>
      <c r="JUH36" s="414"/>
      <c r="JUI36" s="414"/>
      <c r="JUJ36" s="414"/>
      <c r="JUK36" s="414"/>
      <c r="JUL36" s="414"/>
      <c r="JUM36" s="414"/>
      <c r="JUN36" s="414"/>
      <c r="JUO36" s="414"/>
      <c r="JUP36" s="414"/>
      <c r="JUQ36" s="414"/>
      <c r="JUR36" s="414"/>
      <c r="JUS36" s="414"/>
      <c r="JUT36" s="414"/>
      <c r="JUU36" s="414"/>
      <c r="JUV36" s="414"/>
      <c r="JUW36" s="414"/>
      <c r="JUX36" s="414"/>
      <c r="JUY36" s="414"/>
      <c r="JUZ36" s="414"/>
      <c r="JVA36" s="414"/>
      <c r="JVB36" s="414"/>
      <c r="JVC36" s="414"/>
      <c r="JVD36" s="414"/>
      <c r="JVE36" s="414"/>
      <c r="JVF36" s="414"/>
      <c r="JVG36" s="414"/>
      <c r="JVH36" s="414"/>
      <c r="JVI36" s="414"/>
      <c r="JVJ36" s="414"/>
      <c r="JVK36" s="414"/>
      <c r="JVL36" s="414"/>
      <c r="JVM36" s="414"/>
      <c r="JVN36" s="414"/>
      <c r="JVO36" s="414"/>
      <c r="JVP36" s="414"/>
      <c r="JVQ36" s="414"/>
      <c r="JVR36" s="414"/>
      <c r="JVS36" s="414"/>
      <c r="JVT36" s="414"/>
      <c r="JVU36" s="414"/>
      <c r="JVV36" s="414"/>
      <c r="JVW36" s="414"/>
      <c r="JVX36" s="414"/>
      <c r="JVY36" s="414"/>
      <c r="JVZ36" s="414"/>
      <c r="JWA36" s="414"/>
      <c r="JWB36" s="414"/>
      <c r="JWC36" s="414"/>
      <c r="JWD36" s="414"/>
      <c r="JWE36" s="414"/>
      <c r="JWF36" s="414"/>
      <c r="JWG36" s="414"/>
      <c r="JWH36" s="414"/>
      <c r="JWI36" s="414"/>
      <c r="JWJ36" s="414"/>
      <c r="JWK36" s="414"/>
      <c r="JWL36" s="414"/>
      <c r="JWM36" s="414"/>
      <c r="JWN36" s="414"/>
      <c r="JWO36" s="414"/>
      <c r="JWP36" s="414"/>
      <c r="JWQ36" s="414"/>
      <c r="JWR36" s="414"/>
      <c r="JWS36" s="414"/>
      <c r="JWT36" s="414"/>
      <c r="JWU36" s="414"/>
      <c r="JWV36" s="414"/>
      <c r="JWW36" s="414"/>
      <c r="JWX36" s="414"/>
      <c r="JWY36" s="414"/>
      <c r="JWZ36" s="414"/>
      <c r="JXA36" s="414"/>
      <c r="JXB36" s="414"/>
      <c r="JXC36" s="414"/>
      <c r="JXD36" s="414"/>
      <c r="JXE36" s="414"/>
      <c r="JXF36" s="414"/>
      <c r="JXG36" s="414"/>
      <c r="JXH36" s="414"/>
      <c r="JXI36" s="414"/>
      <c r="JXJ36" s="414"/>
      <c r="JXK36" s="414"/>
      <c r="JXL36" s="414"/>
      <c r="JXM36" s="414"/>
      <c r="JXN36" s="414"/>
      <c r="JXO36" s="414"/>
      <c r="JXP36" s="414"/>
      <c r="JXQ36" s="414"/>
      <c r="JXR36" s="414"/>
      <c r="JXS36" s="414"/>
      <c r="JXT36" s="414"/>
      <c r="JXU36" s="414"/>
      <c r="JXV36" s="414"/>
      <c r="JXW36" s="414"/>
      <c r="JXX36" s="414"/>
      <c r="JXY36" s="414"/>
      <c r="JXZ36" s="414"/>
      <c r="JYA36" s="414"/>
      <c r="JYB36" s="414"/>
      <c r="JYC36" s="414"/>
      <c r="JYD36" s="414"/>
      <c r="JYE36" s="414"/>
      <c r="JYF36" s="414"/>
      <c r="JYG36" s="414"/>
      <c r="JYH36" s="414"/>
      <c r="JYI36" s="414"/>
      <c r="JYJ36" s="414"/>
      <c r="JYK36" s="414"/>
      <c r="JYL36" s="414"/>
      <c r="JYM36" s="414"/>
      <c r="JYN36" s="414"/>
      <c r="JYO36" s="414"/>
      <c r="JYP36" s="414"/>
      <c r="JYQ36" s="414"/>
      <c r="JYR36" s="414"/>
      <c r="JYS36" s="414"/>
      <c r="JYT36" s="414"/>
      <c r="JYU36" s="414"/>
      <c r="JYV36" s="414"/>
      <c r="JYW36" s="414"/>
      <c r="JYX36" s="414"/>
      <c r="JYY36" s="414"/>
      <c r="JYZ36" s="414"/>
      <c r="JZA36" s="414"/>
      <c r="JZB36" s="414"/>
      <c r="JZC36" s="414"/>
      <c r="JZD36" s="414"/>
      <c r="JZE36" s="414"/>
      <c r="JZF36" s="414"/>
      <c r="JZG36" s="414"/>
      <c r="JZH36" s="414"/>
      <c r="JZI36" s="414"/>
      <c r="JZJ36" s="414"/>
      <c r="JZK36" s="414"/>
      <c r="JZL36" s="414"/>
      <c r="JZM36" s="414"/>
      <c r="JZN36" s="414"/>
      <c r="JZO36" s="414"/>
      <c r="JZP36" s="414"/>
      <c r="JZQ36" s="414"/>
      <c r="JZR36" s="414"/>
      <c r="JZS36" s="414"/>
      <c r="JZT36" s="414"/>
      <c r="JZU36" s="414"/>
      <c r="JZV36" s="414"/>
      <c r="JZW36" s="414"/>
      <c r="JZX36" s="414"/>
      <c r="JZY36" s="414"/>
      <c r="JZZ36" s="414"/>
      <c r="KAA36" s="414"/>
      <c r="KAB36" s="414"/>
      <c r="KAC36" s="414"/>
      <c r="KAD36" s="414"/>
      <c r="KAE36" s="414"/>
      <c r="KAF36" s="414"/>
      <c r="KAG36" s="414"/>
      <c r="KAH36" s="414"/>
      <c r="KAI36" s="414"/>
      <c r="KAJ36" s="414"/>
      <c r="KAK36" s="414"/>
      <c r="KAL36" s="414"/>
      <c r="KAM36" s="414"/>
      <c r="KAN36" s="414"/>
      <c r="KAO36" s="414"/>
      <c r="KAP36" s="414"/>
      <c r="KAQ36" s="414"/>
      <c r="KAR36" s="414"/>
      <c r="KAS36" s="414"/>
      <c r="KAT36" s="414"/>
      <c r="KAU36" s="414"/>
      <c r="KAV36" s="414"/>
      <c r="KAW36" s="414"/>
      <c r="KAX36" s="414"/>
      <c r="KAY36" s="414"/>
      <c r="KAZ36" s="414"/>
      <c r="KBA36" s="414"/>
      <c r="KBB36" s="414"/>
      <c r="KBC36" s="414"/>
      <c r="KBD36" s="414"/>
      <c r="KBE36" s="414"/>
      <c r="KBF36" s="414"/>
      <c r="KBG36" s="414"/>
      <c r="KBH36" s="414"/>
      <c r="KBI36" s="414"/>
      <c r="KBJ36" s="414"/>
      <c r="KBK36" s="414"/>
      <c r="KBL36" s="414"/>
      <c r="KBM36" s="414"/>
      <c r="KBN36" s="414"/>
      <c r="KBO36" s="414"/>
      <c r="KBP36" s="414"/>
      <c r="KBQ36" s="414"/>
      <c r="KBR36" s="414"/>
      <c r="KBS36" s="414"/>
      <c r="KBT36" s="414"/>
      <c r="KBU36" s="414"/>
      <c r="KBV36" s="414"/>
      <c r="KBW36" s="414"/>
      <c r="KBX36" s="414"/>
      <c r="KBY36" s="414"/>
      <c r="KBZ36" s="414"/>
      <c r="KCA36" s="414"/>
      <c r="KCB36" s="414"/>
      <c r="KCC36" s="414"/>
      <c r="KCD36" s="414"/>
      <c r="KCE36" s="414"/>
      <c r="KCF36" s="414"/>
      <c r="KCG36" s="414"/>
      <c r="KCH36" s="414"/>
      <c r="KCI36" s="414"/>
      <c r="KCJ36" s="414"/>
      <c r="KCK36" s="414"/>
      <c r="KCL36" s="414"/>
      <c r="KCM36" s="414"/>
      <c r="KCN36" s="414"/>
      <c r="KCO36" s="414"/>
      <c r="KCP36" s="414"/>
      <c r="KCQ36" s="414"/>
      <c r="KCR36" s="414"/>
      <c r="KCS36" s="414"/>
      <c r="KCT36" s="414"/>
      <c r="KCU36" s="414"/>
      <c r="KCV36" s="414"/>
      <c r="KCW36" s="414"/>
      <c r="KCX36" s="414"/>
      <c r="KCY36" s="414"/>
      <c r="KCZ36" s="414"/>
      <c r="KDA36" s="414"/>
      <c r="KDB36" s="414"/>
      <c r="KDC36" s="414"/>
      <c r="KDD36" s="414"/>
      <c r="KDE36" s="414"/>
      <c r="KDF36" s="414"/>
      <c r="KDG36" s="414"/>
      <c r="KDH36" s="414"/>
      <c r="KDI36" s="414"/>
      <c r="KDJ36" s="414"/>
      <c r="KDK36" s="414"/>
      <c r="KDL36" s="414"/>
      <c r="KDM36" s="414"/>
      <c r="KDN36" s="414"/>
      <c r="KDO36" s="414"/>
      <c r="KDP36" s="414"/>
      <c r="KDQ36" s="414"/>
      <c r="KDR36" s="414"/>
      <c r="KDS36" s="414"/>
      <c r="KDT36" s="414"/>
      <c r="KDU36" s="414"/>
      <c r="KDV36" s="414"/>
      <c r="KDW36" s="414"/>
      <c r="KDX36" s="414"/>
      <c r="KDY36" s="414"/>
      <c r="KDZ36" s="414"/>
      <c r="KEA36" s="414"/>
      <c r="KEB36" s="414"/>
      <c r="KEC36" s="414"/>
      <c r="KED36" s="414"/>
      <c r="KEE36" s="414"/>
      <c r="KEF36" s="414"/>
      <c r="KEG36" s="414"/>
      <c r="KEH36" s="414"/>
      <c r="KEI36" s="414"/>
      <c r="KEJ36" s="414"/>
      <c r="KEK36" s="414"/>
      <c r="KEL36" s="414"/>
      <c r="KEM36" s="414"/>
      <c r="KEN36" s="414"/>
      <c r="KEO36" s="414"/>
      <c r="KEP36" s="414"/>
      <c r="KEQ36" s="414"/>
      <c r="KER36" s="414"/>
      <c r="KES36" s="414"/>
      <c r="KET36" s="414"/>
      <c r="KEU36" s="414"/>
      <c r="KEV36" s="414"/>
      <c r="KEW36" s="414"/>
      <c r="KEX36" s="414"/>
      <c r="KEY36" s="414"/>
      <c r="KEZ36" s="414"/>
      <c r="KFA36" s="414"/>
      <c r="KFB36" s="414"/>
      <c r="KFC36" s="414"/>
      <c r="KFD36" s="414"/>
      <c r="KFE36" s="414"/>
      <c r="KFF36" s="414"/>
      <c r="KFG36" s="414"/>
      <c r="KFH36" s="414"/>
      <c r="KFI36" s="414"/>
      <c r="KFJ36" s="414"/>
      <c r="KFK36" s="414"/>
      <c r="KFL36" s="414"/>
      <c r="KFM36" s="414"/>
      <c r="KFN36" s="414"/>
      <c r="KFO36" s="414"/>
      <c r="KFP36" s="414"/>
      <c r="KFQ36" s="414"/>
      <c r="KFR36" s="414"/>
      <c r="KFS36" s="414"/>
      <c r="KFT36" s="414"/>
      <c r="KFU36" s="414"/>
      <c r="KFV36" s="414"/>
      <c r="KFW36" s="414"/>
      <c r="KFX36" s="414"/>
      <c r="KFY36" s="414"/>
      <c r="KFZ36" s="414"/>
      <c r="KGA36" s="414"/>
      <c r="KGB36" s="414"/>
      <c r="KGC36" s="414"/>
      <c r="KGD36" s="414"/>
      <c r="KGE36" s="414"/>
      <c r="KGF36" s="414"/>
      <c r="KGG36" s="414"/>
      <c r="KGH36" s="414"/>
      <c r="KGI36" s="414"/>
      <c r="KGJ36" s="414"/>
      <c r="KGK36" s="414"/>
      <c r="KGL36" s="414"/>
      <c r="KGM36" s="414"/>
      <c r="KGN36" s="414"/>
      <c r="KGO36" s="414"/>
      <c r="KGP36" s="414"/>
      <c r="KGQ36" s="414"/>
      <c r="KGR36" s="414"/>
      <c r="KGS36" s="414"/>
      <c r="KGT36" s="414"/>
      <c r="KGU36" s="414"/>
      <c r="KGV36" s="414"/>
      <c r="KGW36" s="414"/>
      <c r="KGX36" s="414"/>
      <c r="KGY36" s="414"/>
      <c r="KGZ36" s="414"/>
      <c r="KHA36" s="414"/>
      <c r="KHB36" s="414"/>
      <c r="KHC36" s="414"/>
      <c r="KHD36" s="414"/>
      <c r="KHE36" s="414"/>
      <c r="KHF36" s="414"/>
      <c r="KHG36" s="414"/>
      <c r="KHH36" s="414"/>
      <c r="KHI36" s="414"/>
      <c r="KHJ36" s="414"/>
      <c r="KHK36" s="414"/>
      <c r="KHL36" s="414"/>
      <c r="KHM36" s="414"/>
      <c r="KHN36" s="414"/>
      <c r="KHO36" s="414"/>
      <c r="KHP36" s="414"/>
      <c r="KHQ36" s="414"/>
      <c r="KHR36" s="414"/>
      <c r="KHS36" s="414"/>
      <c r="KHT36" s="414"/>
      <c r="KHU36" s="414"/>
      <c r="KHV36" s="414"/>
      <c r="KHW36" s="414"/>
      <c r="KHX36" s="414"/>
      <c r="KHY36" s="414"/>
      <c r="KHZ36" s="414"/>
      <c r="KIA36" s="414"/>
      <c r="KIB36" s="414"/>
      <c r="KIC36" s="414"/>
      <c r="KID36" s="414"/>
      <c r="KIE36" s="414"/>
      <c r="KIF36" s="414"/>
      <c r="KIG36" s="414"/>
      <c r="KIH36" s="414"/>
      <c r="KII36" s="414"/>
      <c r="KIJ36" s="414"/>
      <c r="KIK36" s="414"/>
      <c r="KIL36" s="414"/>
      <c r="KIM36" s="414"/>
      <c r="KIN36" s="414"/>
      <c r="KIO36" s="414"/>
      <c r="KIP36" s="414"/>
      <c r="KIQ36" s="414"/>
      <c r="KIR36" s="414"/>
      <c r="KIS36" s="414"/>
      <c r="KIT36" s="414"/>
      <c r="KIU36" s="414"/>
      <c r="KIV36" s="414"/>
      <c r="KIW36" s="414"/>
      <c r="KIX36" s="414"/>
      <c r="KIY36" s="414"/>
      <c r="KIZ36" s="414"/>
      <c r="KJA36" s="414"/>
      <c r="KJB36" s="414"/>
      <c r="KJC36" s="414"/>
      <c r="KJD36" s="414"/>
      <c r="KJE36" s="414"/>
      <c r="KJF36" s="414"/>
      <c r="KJG36" s="414"/>
      <c r="KJH36" s="414"/>
      <c r="KJI36" s="414"/>
      <c r="KJJ36" s="414"/>
      <c r="KJK36" s="414"/>
      <c r="KJL36" s="414"/>
      <c r="KJM36" s="414"/>
      <c r="KJN36" s="414"/>
      <c r="KJO36" s="414"/>
      <c r="KJP36" s="414"/>
      <c r="KJQ36" s="414"/>
      <c r="KJR36" s="414"/>
      <c r="KJS36" s="414"/>
      <c r="KJT36" s="414"/>
      <c r="KJU36" s="414"/>
      <c r="KJV36" s="414"/>
      <c r="KJW36" s="414"/>
      <c r="KJX36" s="414"/>
      <c r="KJY36" s="414"/>
      <c r="KJZ36" s="414"/>
      <c r="KKA36" s="414"/>
      <c r="KKB36" s="414"/>
      <c r="KKC36" s="414"/>
      <c r="KKD36" s="414"/>
      <c r="KKE36" s="414"/>
      <c r="KKF36" s="414"/>
      <c r="KKG36" s="414"/>
      <c r="KKH36" s="414"/>
      <c r="KKI36" s="414"/>
      <c r="KKJ36" s="414"/>
      <c r="KKK36" s="414"/>
      <c r="KKL36" s="414"/>
      <c r="KKM36" s="414"/>
      <c r="KKN36" s="414"/>
      <c r="KKO36" s="414"/>
      <c r="KKP36" s="414"/>
      <c r="KKQ36" s="414"/>
      <c r="KKR36" s="414"/>
      <c r="KKS36" s="414"/>
      <c r="KKT36" s="414"/>
      <c r="KKU36" s="414"/>
      <c r="KKV36" s="414"/>
      <c r="KKW36" s="414"/>
      <c r="KKX36" s="414"/>
      <c r="KKY36" s="414"/>
      <c r="KKZ36" s="414"/>
      <c r="KLA36" s="414"/>
      <c r="KLB36" s="414"/>
      <c r="KLC36" s="414"/>
      <c r="KLD36" s="414"/>
      <c r="KLE36" s="414"/>
      <c r="KLF36" s="414"/>
      <c r="KLG36" s="414"/>
      <c r="KLH36" s="414"/>
      <c r="KLI36" s="414"/>
      <c r="KLJ36" s="414"/>
      <c r="KLK36" s="414"/>
      <c r="KLL36" s="414"/>
      <c r="KLM36" s="414"/>
      <c r="KLN36" s="414"/>
      <c r="KLO36" s="414"/>
      <c r="KLP36" s="414"/>
      <c r="KLQ36" s="414"/>
      <c r="KLR36" s="414"/>
      <c r="KLS36" s="414"/>
      <c r="KLT36" s="414"/>
      <c r="KLU36" s="414"/>
      <c r="KLV36" s="414"/>
      <c r="KLW36" s="414"/>
      <c r="KLX36" s="414"/>
      <c r="KLY36" s="414"/>
      <c r="KLZ36" s="414"/>
      <c r="KMA36" s="414"/>
      <c r="KMB36" s="414"/>
      <c r="KMC36" s="414"/>
      <c r="KMD36" s="414"/>
      <c r="KME36" s="414"/>
      <c r="KMF36" s="414"/>
      <c r="KMG36" s="414"/>
      <c r="KMH36" s="414"/>
      <c r="KMI36" s="414"/>
      <c r="KMJ36" s="414"/>
      <c r="KMK36" s="414"/>
      <c r="KML36" s="414"/>
      <c r="KMM36" s="414"/>
      <c r="KMN36" s="414"/>
      <c r="KMO36" s="414"/>
      <c r="KMP36" s="414"/>
      <c r="KMQ36" s="414"/>
      <c r="KMR36" s="414"/>
      <c r="KMS36" s="414"/>
      <c r="KMT36" s="414"/>
      <c r="KMU36" s="414"/>
      <c r="KMV36" s="414"/>
      <c r="KMW36" s="414"/>
      <c r="KMX36" s="414"/>
      <c r="KMY36" s="414"/>
      <c r="KMZ36" s="414"/>
      <c r="KNA36" s="414"/>
      <c r="KNB36" s="414"/>
      <c r="KNC36" s="414"/>
      <c r="KND36" s="414"/>
      <c r="KNE36" s="414"/>
      <c r="KNF36" s="414"/>
      <c r="KNG36" s="414"/>
      <c r="KNH36" s="414"/>
      <c r="KNI36" s="414"/>
      <c r="KNJ36" s="414"/>
      <c r="KNK36" s="414"/>
      <c r="KNL36" s="414"/>
      <c r="KNM36" s="414"/>
      <c r="KNN36" s="414"/>
      <c r="KNO36" s="414"/>
      <c r="KNP36" s="414"/>
      <c r="KNQ36" s="414"/>
      <c r="KNR36" s="414"/>
      <c r="KNS36" s="414"/>
      <c r="KNT36" s="414"/>
      <c r="KNU36" s="414"/>
      <c r="KNV36" s="414"/>
      <c r="KNW36" s="414"/>
      <c r="KNX36" s="414"/>
      <c r="KNY36" s="414"/>
      <c r="KNZ36" s="414"/>
      <c r="KOA36" s="414"/>
      <c r="KOB36" s="414"/>
      <c r="KOC36" s="414"/>
      <c r="KOD36" s="414"/>
      <c r="KOE36" s="414"/>
      <c r="KOF36" s="414"/>
      <c r="KOG36" s="414"/>
      <c r="KOH36" s="414"/>
      <c r="KOI36" s="414"/>
      <c r="KOJ36" s="414"/>
      <c r="KOK36" s="414"/>
      <c r="KOL36" s="414"/>
      <c r="KOM36" s="414"/>
      <c r="KON36" s="414"/>
      <c r="KOO36" s="414"/>
      <c r="KOP36" s="414"/>
      <c r="KOQ36" s="414"/>
      <c r="KOR36" s="414"/>
      <c r="KOS36" s="414"/>
      <c r="KOT36" s="414"/>
      <c r="KOU36" s="414"/>
      <c r="KOV36" s="414"/>
      <c r="KOW36" s="414"/>
      <c r="KOX36" s="414"/>
      <c r="KOY36" s="414"/>
      <c r="KOZ36" s="414"/>
      <c r="KPA36" s="414"/>
      <c r="KPB36" s="414"/>
      <c r="KPC36" s="414"/>
      <c r="KPD36" s="414"/>
      <c r="KPE36" s="414"/>
      <c r="KPF36" s="414"/>
      <c r="KPG36" s="414"/>
      <c r="KPH36" s="414"/>
      <c r="KPI36" s="414"/>
      <c r="KPJ36" s="414"/>
      <c r="KPK36" s="414"/>
      <c r="KPL36" s="414"/>
      <c r="KPM36" s="414"/>
      <c r="KPN36" s="414"/>
      <c r="KPO36" s="414"/>
      <c r="KPP36" s="414"/>
      <c r="KPQ36" s="414"/>
      <c r="KPR36" s="414"/>
      <c r="KPS36" s="414"/>
      <c r="KPT36" s="414"/>
      <c r="KPU36" s="414"/>
      <c r="KPV36" s="414"/>
      <c r="KPW36" s="414"/>
      <c r="KPX36" s="414"/>
      <c r="KPY36" s="414"/>
      <c r="KPZ36" s="414"/>
      <c r="KQA36" s="414"/>
      <c r="KQB36" s="414"/>
      <c r="KQC36" s="414"/>
      <c r="KQD36" s="414"/>
      <c r="KQE36" s="414"/>
      <c r="KQF36" s="414"/>
      <c r="KQG36" s="414"/>
      <c r="KQH36" s="414"/>
      <c r="KQI36" s="414"/>
      <c r="KQJ36" s="414"/>
      <c r="KQK36" s="414"/>
      <c r="KQL36" s="414"/>
      <c r="KQM36" s="414"/>
      <c r="KQN36" s="414"/>
      <c r="KQO36" s="414"/>
      <c r="KQP36" s="414"/>
      <c r="KQQ36" s="414"/>
      <c r="KQR36" s="414"/>
      <c r="KQS36" s="414"/>
      <c r="KQT36" s="414"/>
      <c r="KQU36" s="414"/>
      <c r="KQV36" s="414"/>
      <c r="KQW36" s="414"/>
      <c r="KQX36" s="414"/>
      <c r="KQY36" s="414"/>
      <c r="KQZ36" s="414"/>
      <c r="KRA36" s="414"/>
      <c r="KRB36" s="414"/>
      <c r="KRC36" s="414"/>
      <c r="KRD36" s="414"/>
      <c r="KRE36" s="414"/>
      <c r="KRF36" s="414"/>
      <c r="KRG36" s="414"/>
      <c r="KRH36" s="414"/>
      <c r="KRI36" s="414"/>
      <c r="KRJ36" s="414"/>
      <c r="KRK36" s="414"/>
      <c r="KRL36" s="414"/>
      <c r="KRM36" s="414"/>
      <c r="KRN36" s="414"/>
      <c r="KRO36" s="414"/>
      <c r="KRP36" s="414"/>
      <c r="KRQ36" s="414"/>
      <c r="KRR36" s="414"/>
      <c r="KRS36" s="414"/>
      <c r="KRT36" s="414"/>
      <c r="KRU36" s="414"/>
      <c r="KRV36" s="414"/>
      <c r="KRW36" s="414"/>
      <c r="KRX36" s="414"/>
      <c r="KRY36" s="414"/>
      <c r="KRZ36" s="414"/>
      <c r="KSA36" s="414"/>
      <c r="KSB36" s="414"/>
      <c r="KSC36" s="414"/>
      <c r="KSD36" s="414"/>
      <c r="KSE36" s="414"/>
      <c r="KSF36" s="414"/>
      <c r="KSG36" s="414"/>
      <c r="KSH36" s="414"/>
      <c r="KSI36" s="414"/>
      <c r="KSJ36" s="414"/>
      <c r="KSK36" s="414"/>
      <c r="KSL36" s="414"/>
      <c r="KSM36" s="414"/>
      <c r="KSN36" s="414"/>
      <c r="KSO36" s="414"/>
      <c r="KSP36" s="414"/>
      <c r="KSQ36" s="414"/>
      <c r="KSR36" s="414"/>
      <c r="KSS36" s="414"/>
      <c r="KST36" s="414"/>
      <c r="KSU36" s="414"/>
      <c r="KSV36" s="414"/>
      <c r="KSW36" s="414"/>
      <c r="KSX36" s="414"/>
      <c r="KSY36" s="414"/>
      <c r="KSZ36" s="414"/>
      <c r="KTA36" s="414"/>
      <c r="KTB36" s="414"/>
      <c r="KTC36" s="414"/>
      <c r="KTD36" s="414"/>
      <c r="KTE36" s="414"/>
      <c r="KTF36" s="414"/>
      <c r="KTG36" s="414"/>
      <c r="KTH36" s="414"/>
      <c r="KTI36" s="414"/>
      <c r="KTJ36" s="414"/>
      <c r="KTK36" s="414"/>
      <c r="KTL36" s="414"/>
      <c r="KTM36" s="414"/>
      <c r="KTN36" s="414"/>
      <c r="KTO36" s="414"/>
      <c r="KTP36" s="414"/>
      <c r="KTQ36" s="414"/>
      <c r="KTR36" s="414"/>
      <c r="KTS36" s="414"/>
      <c r="KTT36" s="414"/>
      <c r="KTU36" s="414"/>
      <c r="KTV36" s="414"/>
      <c r="KTW36" s="414"/>
      <c r="KTX36" s="414"/>
      <c r="KTY36" s="414"/>
      <c r="KTZ36" s="414"/>
      <c r="KUA36" s="414"/>
      <c r="KUB36" s="414"/>
      <c r="KUC36" s="414"/>
      <c r="KUD36" s="414"/>
      <c r="KUE36" s="414"/>
      <c r="KUF36" s="414"/>
      <c r="KUG36" s="414"/>
      <c r="KUH36" s="414"/>
      <c r="KUI36" s="414"/>
      <c r="KUJ36" s="414"/>
      <c r="KUK36" s="414"/>
      <c r="KUL36" s="414"/>
      <c r="KUM36" s="414"/>
      <c r="KUN36" s="414"/>
      <c r="KUO36" s="414"/>
      <c r="KUP36" s="414"/>
      <c r="KUQ36" s="414"/>
      <c r="KUR36" s="414"/>
      <c r="KUS36" s="414"/>
      <c r="KUT36" s="414"/>
      <c r="KUU36" s="414"/>
      <c r="KUV36" s="414"/>
      <c r="KUW36" s="414"/>
      <c r="KUX36" s="414"/>
      <c r="KUY36" s="414"/>
      <c r="KUZ36" s="414"/>
      <c r="KVA36" s="414"/>
      <c r="KVB36" s="414"/>
      <c r="KVC36" s="414"/>
      <c r="KVD36" s="414"/>
      <c r="KVE36" s="414"/>
      <c r="KVF36" s="414"/>
      <c r="KVG36" s="414"/>
      <c r="KVH36" s="414"/>
      <c r="KVI36" s="414"/>
      <c r="KVJ36" s="414"/>
      <c r="KVK36" s="414"/>
      <c r="KVL36" s="414"/>
      <c r="KVM36" s="414"/>
      <c r="KVN36" s="414"/>
      <c r="KVO36" s="414"/>
      <c r="KVP36" s="414"/>
      <c r="KVQ36" s="414"/>
      <c r="KVR36" s="414"/>
      <c r="KVS36" s="414"/>
      <c r="KVT36" s="414"/>
      <c r="KVU36" s="414"/>
      <c r="KVV36" s="414"/>
      <c r="KVW36" s="414"/>
      <c r="KVX36" s="414"/>
      <c r="KVY36" s="414"/>
      <c r="KVZ36" s="414"/>
      <c r="KWA36" s="414"/>
      <c r="KWB36" s="414"/>
      <c r="KWC36" s="414"/>
      <c r="KWD36" s="414"/>
      <c r="KWE36" s="414"/>
      <c r="KWF36" s="414"/>
      <c r="KWG36" s="414"/>
      <c r="KWH36" s="414"/>
      <c r="KWI36" s="414"/>
      <c r="KWJ36" s="414"/>
      <c r="KWK36" s="414"/>
      <c r="KWL36" s="414"/>
      <c r="KWM36" s="414"/>
      <c r="KWN36" s="414"/>
      <c r="KWO36" s="414"/>
      <c r="KWP36" s="414"/>
      <c r="KWQ36" s="414"/>
      <c r="KWR36" s="414"/>
      <c r="KWS36" s="414"/>
      <c r="KWT36" s="414"/>
      <c r="KWU36" s="414"/>
      <c r="KWV36" s="414"/>
      <c r="KWW36" s="414"/>
      <c r="KWX36" s="414"/>
      <c r="KWY36" s="414"/>
      <c r="KWZ36" s="414"/>
      <c r="KXA36" s="414"/>
      <c r="KXB36" s="414"/>
      <c r="KXC36" s="414"/>
      <c r="KXD36" s="414"/>
      <c r="KXE36" s="414"/>
      <c r="KXF36" s="414"/>
      <c r="KXG36" s="414"/>
      <c r="KXH36" s="414"/>
      <c r="KXI36" s="414"/>
      <c r="KXJ36" s="414"/>
      <c r="KXK36" s="414"/>
      <c r="KXL36" s="414"/>
      <c r="KXM36" s="414"/>
      <c r="KXN36" s="414"/>
      <c r="KXO36" s="414"/>
      <c r="KXP36" s="414"/>
      <c r="KXQ36" s="414"/>
      <c r="KXR36" s="414"/>
      <c r="KXS36" s="414"/>
      <c r="KXT36" s="414"/>
      <c r="KXU36" s="414"/>
      <c r="KXV36" s="414"/>
      <c r="KXW36" s="414"/>
      <c r="KXX36" s="414"/>
      <c r="KXY36" s="414"/>
      <c r="KXZ36" s="414"/>
      <c r="KYA36" s="414"/>
      <c r="KYB36" s="414"/>
      <c r="KYC36" s="414"/>
      <c r="KYD36" s="414"/>
      <c r="KYE36" s="414"/>
      <c r="KYF36" s="414"/>
      <c r="KYG36" s="414"/>
      <c r="KYH36" s="414"/>
      <c r="KYI36" s="414"/>
      <c r="KYJ36" s="414"/>
      <c r="KYK36" s="414"/>
      <c r="KYL36" s="414"/>
      <c r="KYM36" s="414"/>
      <c r="KYN36" s="414"/>
      <c r="KYO36" s="414"/>
      <c r="KYP36" s="414"/>
      <c r="KYQ36" s="414"/>
      <c r="KYR36" s="414"/>
      <c r="KYS36" s="414"/>
      <c r="KYT36" s="414"/>
      <c r="KYU36" s="414"/>
      <c r="KYV36" s="414"/>
      <c r="KYW36" s="414"/>
      <c r="KYX36" s="414"/>
      <c r="KYY36" s="414"/>
      <c r="KYZ36" s="414"/>
      <c r="KZA36" s="414"/>
      <c r="KZB36" s="414"/>
      <c r="KZC36" s="414"/>
      <c r="KZD36" s="414"/>
      <c r="KZE36" s="414"/>
      <c r="KZF36" s="414"/>
      <c r="KZG36" s="414"/>
      <c r="KZH36" s="414"/>
      <c r="KZI36" s="414"/>
      <c r="KZJ36" s="414"/>
      <c r="KZK36" s="414"/>
      <c r="KZL36" s="414"/>
      <c r="KZM36" s="414"/>
      <c r="KZN36" s="414"/>
      <c r="KZO36" s="414"/>
      <c r="KZP36" s="414"/>
      <c r="KZQ36" s="414"/>
      <c r="KZR36" s="414"/>
      <c r="KZS36" s="414"/>
      <c r="KZT36" s="414"/>
      <c r="KZU36" s="414"/>
      <c r="KZV36" s="414"/>
      <c r="KZW36" s="414"/>
      <c r="KZX36" s="414"/>
      <c r="KZY36" s="414"/>
      <c r="KZZ36" s="414"/>
      <c r="LAA36" s="414"/>
      <c r="LAB36" s="414"/>
      <c r="LAC36" s="414"/>
      <c r="LAD36" s="414"/>
      <c r="LAE36" s="414"/>
      <c r="LAF36" s="414"/>
      <c r="LAG36" s="414"/>
      <c r="LAH36" s="414"/>
      <c r="LAI36" s="414"/>
      <c r="LAJ36" s="414"/>
      <c r="LAK36" s="414"/>
      <c r="LAL36" s="414"/>
      <c r="LAM36" s="414"/>
      <c r="LAN36" s="414"/>
      <c r="LAO36" s="414"/>
      <c r="LAP36" s="414"/>
      <c r="LAQ36" s="414"/>
      <c r="LAR36" s="414"/>
      <c r="LAS36" s="414"/>
      <c r="LAT36" s="414"/>
      <c r="LAU36" s="414"/>
      <c r="LAV36" s="414"/>
      <c r="LAW36" s="414"/>
      <c r="LAX36" s="414"/>
      <c r="LAY36" s="414"/>
      <c r="LAZ36" s="414"/>
      <c r="LBA36" s="414"/>
      <c r="LBB36" s="414"/>
      <c r="LBC36" s="414"/>
      <c r="LBD36" s="414"/>
      <c r="LBE36" s="414"/>
      <c r="LBF36" s="414"/>
      <c r="LBG36" s="414"/>
      <c r="LBH36" s="414"/>
      <c r="LBI36" s="414"/>
      <c r="LBJ36" s="414"/>
      <c r="LBK36" s="414"/>
      <c r="LBL36" s="414"/>
      <c r="LBM36" s="414"/>
      <c r="LBN36" s="414"/>
      <c r="LBO36" s="414"/>
      <c r="LBP36" s="414"/>
      <c r="LBQ36" s="414"/>
      <c r="LBR36" s="414"/>
      <c r="LBS36" s="414"/>
      <c r="LBT36" s="414"/>
      <c r="LBU36" s="414"/>
      <c r="LBV36" s="414"/>
      <c r="LBW36" s="414"/>
      <c r="LBX36" s="414"/>
      <c r="LBY36" s="414"/>
      <c r="LBZ36" s="414"/>
      <c r="LCA36" s="414"/>
      <c r="LCB36" s="414"/>
      <c r="LCC36" s="414"/>
      <c r="LCD36" s="414"/>
      <c r="LCE36" s="414"/>
      <c r="LCF36" s="414"/>
      <c r="LCG36" s="414"/>
      <c r="LCH36" s="414"/>
      <c r="LCI36" s="414"/>
      <c r="LCJ36" s="414"/>
      <c r="LCK36" s="414"/>
      <c r="LCL36" s="414"/>
      <c r="LCM36" s="414"/>
      <c r="LCN36" s="414"/>
      <c r="LCO36" s="414"/>
      <c r="LCP36" s="414"/>
      <c r="LCQ36" s="414"/>
      <c r="LCR36" s="414"/>
      <c r="LCS36" s="414"/>
      <c r="LCT36" s="414"/>
      <c r="LCU36" s="414"/>
      <c r="LCV36" s="414"/>
      <c r="LCW36" s="414"/>
      <c r="LCX36" s="414"/>
      <c r="LCY36" s="414"/>
      <c r="LCZ36" s="414"/>
      <c r="LDA36" s="414"/>
      <c r="LDB36" s="414"/>
      <c r="LDC36" s="414"/>
      <c r="LDD36" s="414"/>
      <c r="LDE36" s="414"/>
      <c r="LDF36" s="414"/>
      <c r="LDG36" s="414"/>
      <c r="LDH36" s="414"/>
      <c r="LDI36" s="414"/>
      <c r="LDJ36" s="414"/>
      <c r="LDK36" s="414"/>
      <c r="LDL36" s="414"/>
      <c r="LDM36" s="414"/>
      <c r="LDN36" s="414"/>
      <c r="LDO36" s="414"/>
      <c r="LDP36" s="414"/>
      <c r="LDQ36" s="414"/>
      <c r="LDR36" s="414"/>
      <c r="LDS36" s="414"/>
      <c r="LDT36" s="414"/>
      <c r="LDU36" s="414"/>
      <c r="LDV36" s="414"/>
      <c r="LDW36" s="414"/>
      <c r="LDX36" s="414"/>
      <c r="LDY36" s="414"/>
      <c r="LDZ36" s="414"/>
      <c r="LEA36" s="414"/>
      <c r="LEB36" s="414"/>
      <c r="LEC36" s="414"/>
      <c r="LED36" s="414"/>
      <c r="LEE36" s="414"/>
      <c r="LEF36" s="414"/>
      <c r="LEG36" s="414"/>
      <c r="LEH36" s="414"/>
      <c r="LEI36" s="414"/>
      <c r="LEJ36" s="414"/>
      <c r="LEK36" s="414"/>
      <c r="LEL36" s="414"/>
      <c r="LEM36" s="414"/>
      <c r="LEN36" s="414"/>
      <c r="LEO36" s="414"/>
      <c r="LEP36" s="414"/>
      <c r="LEQ36" s="414"/>
      <c r="LER36" s="414"/>
      <c r="LES36" s="414"/>
      <c r="LET36" s="414"/>
      <c r="LEU36" s="414"/>
      <c r="LEV36" s="414"/>
      <c r="LEW36" s="414"/>
      <c r="LEX36" s="414"/>
      <c r="LEY36" s="414"/>
      <c r="LEZ36" s="414"/>
      <c r="LFA36" s="414"/>
      <c r="LFB36" s="414"/>
      <c r="LFC36" s="414"/>
      <c r="LFD36" s="414"/>
      <c r="LFE36" s="414"/>
      <c r="LFF36" s="414"/>
      <c r="LFG36" s="414"/>
      <c r="LFH36" s="414"/>
      <c r="LFI36" s="414"/>
      <c r="LFJ36" s="414"/>
      <c r="LFK36" s="414"/>
      <c r="LFL36" s="414"/>
      <c r="LFM36" s="414"/>
      <c r="LFN36" s="414"/>
      <c r="LFO36" s="414"/>
      <c r="LFP36" s="414"/>
      <c r="LFQ36" s="414"/>
      <c r="LFR36" s="414"/>
      <c r="LFS36" s="414"/>
      <c r="LFT36" s="414"/>
      <c r="LFU36" s="414"/>
      <c r="LFV36" s="414"/>
      <c r="LFW36" s="414"/>
      <c r="LFX36" s="414"/>
      <c r="LFY36" s="414"/>
      <c r="LFZ36" s="414"/>
      <c r="LGA36" s="414"/>
      <c r="LGB36" s="414"/>
      <c r="LGC36" s="414"/>
      <c r="LGD36" s="414"/>
      <c r="LGE36" s="414"/>
      <c r="LGF36" s="414"/>
      <c r="LGG36" s="414"/>
      <c r="LGH36" s="414"/>
      <c r="LGI36" s="414"/>
      <c r="LGJ36" s="414"/>
      <c r="LGK36" s="414"/>
      <c r="LGL36" s="414"/>
      <c r="LGM36" s="414"/>
      <c r="LGN36" s="414"/>
      <c r="LGO36" s="414"/>
      <c r="LGP36" s="414"/>
      <c r="LGQ36" s="414"/>
      <c r="LGR36" s="414"/>
      <c r="LGS36" s="414"/>
      <c r="LGT36" s="414"/>
      <c r="LGU36" s="414"/>
      <c r="LGV36" s="414"/>
      <c r="LGW36" s="414"/>
      <c r="LGX36" s="414"/>
      <c r="LGY36" s="414"/>
      <c r="LGZ36" s="414"/>
      <c r="LHA36" s="414"/>
      <c r="LHB36" s="414"/>
      <c r="LHC36" s="414"/>
      <c r="LHD36" s="414"/>
      <c r="LHE36" s="414"/>
      <c r="LHF36" s="414"/>
      <c r="LHG36" s="414"/>
      <c r="LHH36" s="414"/>
      <c r="LHI36" s="414"/>
      <c r="LHJ36" s="414"/>
      <c r="LHK36" s="414"/>
      <c r="LHL36" s="414"/>
      <c r="LHM36" s="414"/>
      <c r="LHN36" s="414"/>
      <c r="LHO36" s="414"/>
      <c r="LHP36" s="414"/>
      <c r="LHQ36" s="414"/>
      <c r="LHR36" s="414"/>
      <c r="LHS36" s="414"/>
      <c r="LHT36" s="414"/>
      <c r="LHU36" s="414"/>
      <c r="LHV36" s="414"/>
      <c r="LHW36" s="414"/>
      <c r="LHX36" s="414"/>
      <c r="LHY36" s="414"/>
      <c r="LHZ36" s="414"/>
      <c r="LIA36" s="414"/>
      <c r="LIB36" s="414"/>
      <c r="LIC36" s="414"/>
      <c r="LID36" s="414"/>
      <c r="LIE36" s="414"/>
      <c r="LIF36" s="414"/>
      <c r="LIG36" s="414"/>
      <c r="LIH36" s="414"/>
      <c r="LII36" s="414"/>
      <c r="LIJ36" s="414"/>
      <c r="LIK36" s="414"/>
      <c r="LIL36" s="414"/>
      <c r="LIM36" s="414"/>
      <c r="LIN36" s="414"/>
      <c r="LIO36" s="414"/>
      <c r="LIP36" s="414"/>
      <c r="LIQ36" s="414"/>
      <c r="LIR36" s="414"/>
      <c r="LIS36" s="414"/>
      <c r="LIT36" s="414"/>
      <c r="LIU36" s="414"/>
      <c r="LIV36" s="414"/>
      <c r="LIW36" s="414"/>
      <c r="LIX36" s="414"/>
      <c r="LIY36" s="414"/>
      <c r="LIZ36" s="414"/>
      <c r="LJA36" s="414"/>
      <c r="LJB36" s="414"/>
      <c r="LJC36" s="414"/>
      <c r="LJD36" s="414"/>
      <c r="LJE36" s="414"/>
      <c r="LJF36" s="414"/>
      <c r="LJG36" s="414"/>
      <c r="LJH36" s="414"/>
      <c r="LJI36" s="414"/>
      <c r="LJJ36" s="414"/>
      <c r="LJK36" s="414"/>
      <c r="LJL36" s="414"/>
      <c r="LJM36" s="414"/>
      <c r="LJN36" s="414"/>
      <c r="LJO36" s="414"/>
      <c r="LJP36" s="414"/>
      <c r="LJQ36" s="414"/>
      <c r="LJR36" s="414"/>
      <c r="LJS36" s="414"/>
      <c r="LJT36" s="414"/>
      <c r="LJU36" s="414"/>
      <c r="LJV36" s="414"/>
      <c r="LJW36" s="414"/>
      <c r="LJX36" s="414"/>
      <c r="LJY36" s="414"/>
      <c r="LJZ36" s="414"/>
      <c r="LKA36" s="414"/>
      <c r="LKB36" s="414"/>
      <c r="LKC36" s="414"/>
      <c r="LKD36" s="414"/>
      <c r="LKE36" s="414"/>
      <c r="LKF36" s="414"/>
      <c r="LKG36" s="414"/>
      <c r="LKH36" s="414"/>
      <c r="LKI36" s="414"/>
      <c r="LKJ36" s="414"/>
      <c r="LKK36" s="414"/>
      <c r="LKL36" s="414"/>
      <c r="LKM36" s="414"/>
      <c r="LKN36" s="414"/>
      <c r="LKO36" s="414"/>
      <c r="LKP36" s="414"/>
      <c r="LKQ36" s="414"/>
      <c r="LKR36" s="414"/>
      <c r="LKS36" s="414"/>
      <c r="LKT36" s="414"/>
      <c r="LKU36" s="414"/>
      <c r="LKV36" s="414"/>
      <c r="LKW36" s="414"/>
      <c r="LKX36" s="414"/>
      <c r="LKY36" s="414"/>
      <c r="LKZ36" s="414"/>
      <c r="LLA36" s="414"/>
      <c r="LLB36" s="414"/>
      <c r="LLC36" s="414"/>
      <c r="LLD36" s="414"/>
      <c r="LLE36" s="414"/>
      <c r="LLF36" s="414"/>
      <c r="LLG36" s="414"/>
      <c r="LLH36" s="414"/>
      <c r="LLI36" s="414"/>
      <c r="LLJ36" s="414"/>
      <c r="LLK36" s="414"/>
      <c r="LLL36" s="414"/>
      <c r="LLM36" s="414"/>
      <c r="LLN36" s="414"/>
      <c r="LLO36" s="414"/>
      <c r="LLP36" s="414"/>
      <c r="LLQ36" s="414"/>
      <c r="LLR36" s="414"/>
      <c r="LLS36" s="414"/>
      <c r="LLT36" s="414"/>
      <c r="LLU36" s="414"/>
      <c r="LLV36" s="414"/>
      <c r="LLW36" s="414"/>
      <c r="LLX36" s="414"/>
      <c r="LLY36" s="414"/>
      <c r="LLZ36" s="414"/>
      <c r="LMA36" s="414"/>
      <c r="LMB36" s="414"/>
      <c r="LMC36" s="414"/>
      <c r="LMD36" s="414"/>
      <c r="LME36" s="414"/>
      <c r="LMF36" s="414"/>
      <c r="LMG36" s="414"/>
      <c r="LMH36" s="414"/>
      <c r="LMI36" s="414"/>
      <c r="LMJ36" s="414"/>
      <c r="LMK36" s="414"/>
      <c r="LML36" s="414"/>
      <c r="LMM36" s="414"/>
      <c r="LMN36" s="414"/>
      <c r="LMO36" s="414"/>
      <c r="LMP36" s="414"/>
      <c r="LMQ36" s="414"/>
      <c r="LMR36" s="414"/>
      <c r="LMS36" s="414"/>
      <c r="LMT36" s="414"/>
      <c r="LMU36" s="414"/>
      <c r="LMV36" s="414"/>
      <c r="LMW36" s="414"/>
      <c r="LMX36" s="414"/>
      <c r="LMY36" s="414"/>
      <c r="LMZ36" s="414"/>
      <c r="LNA36" s="414"/>
      <c r="LNB36" s="414"/>
      <c r="LNC36" s="414"/>
      <c r="LND36" s="414"/>
      <c r="LNE36" s="414"/>
      <c r="LNF36" s="414"/>
      <c r="LNG36" s="414"/>
      <c r="LNH36" s="414"/>
      <c r="LNI36" s="414"/>
      <c r="LNJ36" s="414"/>
      <c r="LNK36" s="414"/>
      <c r="LNL36" s="414"/>
      <c r="LNM36" s="414"/>
      <c r="LNN36" s="414"/>
      <c r="LNO36" s="414"/>
      <c r="LNP36" s="414"/>
      <c r="LNQ36" s="414"/>
      <c r="LNR36" s="414"/>
      <c r="LNS36" s="414"/>
      <c r="LNT36" s="414"/>
      <c r="LNU36" s="414"/>
      <c r="LNV36" s="414"/>
      <c r="LNW36" s="414"/>
      <c r="LNX36" s="414"/>
      <c r="LNY36" s="414"/>
      <c r="LNZ36" s="414"/>
      <c r="LOA36" s="414"/>
      <c r="LOB36" s="414"/>
      <c r="LOC36" s="414"/>
      <c r="LOD36" s="414"/>
      <c r="LOE36" s="414"/>
      <c r="LOF36" s="414"/>
      <c r="LOG36" s="414"/>
      <c r="LOH36" s="414"/>
      <c r="LOI36" s="414"/>
      <c r="LOJ36" s="414"/>
      <c r="LOK36" s="414"/>
      <c r="LOL36" s="414"/>
      <c r="LOM36" s="414"/>
      <c r="LON36" s="414"/>
      <c r="LOO36" s="414"/>
      <c r="LOP36" s="414"/>
      <c r="LOQ36" s="414"/>
      <c r="LOR36" s="414"/>
      <c r="LOS36" s="414"/>
      <c r="LOT36" s="414"/>
      <c r="LOU36" s="414"/>
      <c r="LOV36" s="414"/>
      <c r="LOW36" s="414"/>
      <c r="LOX36" s="414"/>
      <c r="LOY36" s="414"/>
      <c r="LOZ36" s="414"/>
      <c r="LPA36" s="414"/>
      <c r="LPB36" s="414"/>
      <c r="LPC36" s="414"/>
      <c r="LPD36" s="414"/>
      <c r="LPE36" s="414"/>
      <c r="LPF36" s="414"/>
      <c r="LPG36" s="414"/>
      <c r="LPH36" s="414"/>
      <c r="LPI36" s="414"/>
      <c r="LPJ36" s="414"/>
      <c r="LPK36" s="414"/>
      <c r="LPL36" s="414"/>
      <c r="LPM36" s="414"/>
      <c r="LPN36" s="414"/>
      <c r="LPO36" s="414"/>
      <c r="LPP36" s="414"/>
      <c r="LPQ36" s="414"/>
      <c r="LPR36" s="414"/>
      <c r="LPS36" s="414"/>
      <c r="LPT36" s="414"/>
      <c r="LPU36" s="414"/>
      <c r="LPV36" s="414"/>
      <c r="LPW36" s="414"/>
      <c r="LPX36" s="414"/>
      <c r="LPY36" s="414"/>
      <c r="LPZ36" s="414"/>
      <c r="LQA36" s="414"/>
      <c r="LQB36" s="414"/>
      <c r="LQC36" s="414"/>
      <c r="LQD36" s="414"/>
      <c r="LQE36" s="414"/>
      <c r="LQF36" s="414"/>
      <c r="LQG36" s="414"/>
      <c r="LQH36" s="414"/>
      <c r="LQI36" s="414"/>
      <c r="LQJ36" s="414"/>
      <c r="LQK36" s="414"/>
      <c r="LQL36" s="414"/>
      <c r="LQM36" s="414"/>
      <c r="LQN36" s="414"/>
      <c r="LQO36" s="414"/>
      <c r="LQP36" s="414"/>
      <c r="LQQ36" s="414"/>
      <c r="LQR36" s="414"/>
      <c r="LQS36" s="414"/>
      <c r="LQT36" s="414"/>
      <c r="LQU36" s="414"/>
      <c r="LQV36" s="414"/>
      <c r="LQW36" s="414"/>
      <c r="LQX36" s="414"/>
      <c r="LQY36" s="414"/>
      <c r="LQZ36" s="414"/>
      <c r="LRA36" s="414"/>
      <c r="LRB36" s="414"/>
      <c r="LRC36" s="414"/>
      <c r="LRD36" s="414"/>
      <c r="LRE36" s="414"/>
      <c r="LRF36" s="414"/>
      <c r="LRG36" s="414"/>
      <c r="LRH36" s="414"/>
      <c r="LRI36" s="414"/>
      <c r="LRJ36" s="414"/>
      <c r="LRK36" s="414"/>
      <c r="LRL36" s="414"/>
      <c r="LRM36" s="414"/>
      <c r="LRN36" s="414"/>
      <c r="LRO36" s="414"/>
      <c r="LRP36" s="414"/>
      <c r="LRQ36" s="414"/>
      <c r="LRR36" s="414"/>
      <c r="LRS36" s="414"/>
      <c r="LRT36" s="414"/>
      <c r="LRU36" s="414"/>
      <c r="LRV36" s="414"/>
      <c r="LRW36" s="414"/>
      <c r="LRX36" s="414"/>
      <c r="LRY36" s="414"/>
      <c r="LRZ36" s="414"/>
      <c r="LSA36" s="414"/>
      <c r="LSB36" s="414"/>
      <c r="LSC36" s="414"/>
      <c r="LSD36" s="414"/>
      <c r="LSE36" s="414"/>
      <c r="LSF36" s="414"/>
      <c r="LSG36" s="414"/>
      <c r="LSH36" s="414"/>
      <c r="LSI36" s="414"/>
      <c r="LSJ36" s="414"/>
      <c r="LSK36" s="414"/>
      <c r="LSL36" s="414"/>
      <c r="LSM36" s="414"/>
      <c r="LSN36" s="414"/>
      <c r="LSO36" s="414"/>
      <c r="LSP36" s="414"/>
      <c r="LSQ36" s="414"/>
      <c r="LSR36" s="414"/>
      <c r="LSS36" s="414"/>
      <c r="LST36" s="414"/>
      <c r="LSU36" s="414"/>
      <c r="LSV36" s="414"/>
      <c r="LSW36" s="414"/>
      <c r="LSX36" s="414"/>
      <c r="LSY36" s="414"/>
      <c r="LSZ36" s="414"/>
      <c r="LTA36" s="414"/>
      <c r="LTB36" s="414"/>
      <c r="LTC36" s="414"/>
      <c r="LTD36" s="414"/>
      <c r="LTE36" s="414"/>
      <c r="LTF36" s="414"/>
      <c r="LTG36" s="414"/>
      <c r="LTH36" s="414"/>
      <c r="LTI36" s="414"/>
      <c r="LTJ36" s="414"/>
      <c r="LTK36" s="414"/>
      <c r="LTL36" s="414"/>
      <c r="LTM36" s="414"/>
      <c r="LTN36" s="414"/>
      <c r="LTO36" s="414"/>
      <c r="LTP36" s="414"/>
      <c r="LTQ36" s="414"/>
      <c r="LTR36" s="414"/>
      <c r="LTS36" s="414"/>
      <c r="LTT36" s="414"/>
      <c r="LTU36" s="414"/>
      <c r="LTV36" s="414"/>
      <c r="LTW36" s="414"/>
      <c r="LTX36" s="414"/>
      <c r="LTY36" s="414"/>
      <c r="LTZ36" s="414"/>
      <c r="LUA36" s="414"/>
      <c r="LUB36" s="414"/>
      <c r="LUC36" s="414"/>
      <c r="LUD36" s="414"/>
      <c r="LUE36" s="414"/>
      <c r="LUF36" s="414"/>
      <c r="LUG36" s="414"/>
      <c r="LUH36" s="414"/>
      <c r="LUI36" s="414"/>
      <c r="LUJ36" s="414"/>
      <c r="LUK36" s="414"/>
      <c r="LUL36" s="414"/>
      <c r="LUM36" s="414"/>
      <c r="LUN36" s="414"/>
      <c r="LUO36" s="414"/>
      <c r="LUP36" s="414"/>
      <c r="LUQ36" s="414"/>
      <c r="LUR36" s="414"/>
      <c r="LUS36" s="414"/>
      <c r="LUT36" s="414"/>
      <c r="LUU36" s="414"/>
      <c r="LUV36" s="414"/>
      <c r="LUW36" s="414"/>
      <c r="LUX36" s="414"/>
      <c r="LUY36" s="414"/>
      <c r="LUZ36" s="414"/>
      <c r="LVA36" s="414"/>
      <c r="LVB36" s="414"/>
      <c r="LVC36" s="414"/>
      <c r="LVD36" s="414"/>
      <c r="LVE36" s="414"/>
      <c r="LVF36" s="414"/>
      <c r="LVG36" s="414"/>
      <c r="LVH36" s="414"/>
      <c r="LVI36" s="414"/>
      <c r="LVJ36" s="414"/>
      <c r="LVK36" s="414"/>
      <c r="LVL36" s="414"/>
      <c r="LVM36" s="414"/>
      <c r="LVN36" s="414"/>
      <c r="LVO36" s="414"/>
      <c r="LVP36" s="414"/>
      <c r="LVQ36" s="414"/>
      <c r="LVR36" s="414"/>
      <c r="LVS36" s="414"/>
      <c r="LVT36" s="414"/>
      <c r="LVU36" s="414"/>
      <c r="LVV36" s="414"/>
      <c r="LVW36" s="414"/>
      <c r="LVX36" s="414"/>
      <c r="LVY36" s="414"/>
      <c r="LVZ36" s="414"/>
      <c r="LWA36" s="414"/>
      <c r="LWB36" s="414"/>
      <c r="LWC36" s="414"/>
      <c r="LWD36" s="414"/>
      <c r="LWE36" s="414"/>
      <c r="LWF36" s="414"/>
      <c r="LWG36" s="414"/>
      <c r="LWH36" s="414"/>
      <c r="LWI36" s="414"/>
      <c r="LWJ36" s="414"/>
      <c r="LWK36" s="414"/>
      <c r="LWL36" s="414"/>
      <c r="LWM36" s="414"/>
      <c r="LWN36" s="414"/>
      <c r="LWO36" s="414"/>
      <c r="LWP36" s="414"/>
      <c r="LWQ36" s="414"/>
      <c r="LWR36" s="414"/>
      <c r="LWS36" s="414"/>
      <c r="LWT36" s="414"/>
      <c r="LWU36" s="414"/>
      <c r="LWV36" s="414"/>
      <c r="LWW36" s="414"/>
      <c r="LWX36" s="414"/>
      <c r="LWY36" s="414"/>
      <c r="LWZ36" s="414"/>
      <c r="LXA36" s="414"/>
      <c r="LXB36" s="414"/>
      <c r="LXC36" s="414"/>
      <c r="LXD36" s="414"/>
      <c r="LXE36" s="414"/>
      <c r="LXF36" s="414"/>
      <c r="LXG36" s="414"/>
      <c r="LXH36" s="414"/>
      <c r="LXI36" s="414"/>
      <c r="LXJ36" s="414"/>
      <c r="LXK36" s="414"/>
      <c r="LXL36" s="414"/>
      <c r="LXM36" s="414"/>
      <c r="LXN36" s="414"/>
      <c r="LXO36" s="414"/>
      <c r="LXP36" s="414"/>
      <c r="LXQ36" s="414"/>
      <c r="LXR36" s="414"/>
      <c r="LXS36" s="414"/>
      <c r="LXT36" s="414"/>
      <c r="LXU36" s="414"/>
      <c r="LXV36" s="414"/>
      <c r="LXW36" s="414"/>
      <c r="LXX36" s="414"/>
      <c r="LXY36" s="414"/>
      <c r="LXZ36" s="414"/>
      <c r="LYA36" s="414"/>
      <c r="LYB36" s="414"/>
      <c r="LYC36" s="414"/>
      <c r="LYD36" s="414"/>
      <c r="LYE36" s="414"/>
      <c r="LYF36" s="414"/>
      <c r="LYG36" s="414"/>
      <c r="LYH36" s="414"/>
      <c r="LYI36" s="414"/>
      <c r="LYJ36" s="414"/>
      <c r="LYK36" s="414"/>
      <c r="LYL36" s="414"/>
      <c r="LYM36" s="414"/>
      <c r="LYN36" s="414"/>
      <c r="LYO36" s="414"/>
      <c r="LYP36" s="414"/>
      <c r="LYQ36" s="414"/>
      <c r="LYR36" s="414"/>
      <c r="LYS36" s="414"/>
      <c r="LYT36" s="414"/>
      <c r="LYU36" s="414"/>
      <c r="LYV36" s="414"/>
      <c r="LYW36" s="414"/>
      <c r="LYX36" s="414"/>
      <c r="LYY36" s="414"/>
      <c r="LYZ36" s="414"/>
      <c r="LZA36" s="414"/>
      <c r="LZB36" s="414"/>
      <c r="LZC36" s="414"/>
      <c r="LZD36" s="414"/>
      <c r="LZE36" s="414"/>
      <c r="LZF36" s="414"/>
      <c r="LZG36" s="414"/>
      <c r="LZH36" s="414"/>
      <c r="LZI36" s="414"/>
      <c r="LZJ36" s="414"/>
      <c r="LZK36" s="414"/>
      <c r="LZL36" s="414"/>
      <c r="LZM36" s="414"/>
      <c r="LZN36" s="414"/>
      <c r="LZO36" s="414"/>
      <c r="LZP36" s="414"/>
      <c r="LZQ36" s="414"/>
      <c r="LZR36" s="414"/>
      <c r="LZS36" s="414"/>
      <c r="LZT36" s="414"/>
      <c r="LZU36" s="414"/>
      <c r="LZV36" s="414"/>
      <c r="LZW36" s="414"/>
      <c r="LZX36" s="414"/>
      <c r="LZY36" s="414"/>
      <c r="LZZ36" s="414"/>
      <c r="MAA36" s="414"/>
      <c r="MAB36" s="414"/>
      <c r="MAC36" s="414"/>
      <c r="MAD36" s="414"/>
      <c r="MAE36" s="414"/>
      <c r="MAF36" s="414"/>
      <c r="MAG36" s="414"/>
      <c r="MAH36" s="414"/>
      <c r="MAI36" s="414"/>
      <c r="MAJ36" s="414"/>
      <c r="MAK36" s="414"/>
      <c r="MAL36" s="414"/>
      <c r="MAM36" s="414"/>
      <c r="MAN36" s="414"/>
      <c r="MAO36" s="414"/>
      <c r="MAP36" s="414"/>
      <c r="MAQ36" s="414"/>
      <c r="MAR36" s="414"/>
      <c r="MAS36" s="414"/>
      <c r="MAT36" s="414"/>
      <c r="MAU36" s="414"/>
      <c r="MAV36" s="414"/>
      <c r="MAW36" s="414"/>
      <c r="MAX36" s="414"/>
      <c r="MAY36" s="414"/>
      <c r="MAZ36" s="414"/>
      <c r="MBA36" s="414"/>
      <c r="MBB36" s="414"/>
      <c r="MBC36" s="414"/>
      <c r="MBD36" s="414"/>
      <c r="MBE36" s="414"/>
      <c r="MBF36" s="414"/>
      <c r="MBG36" s="414"/>
      <c r="MBH36" s="414"/>
      <c r="MBI36" s="414"/>
      <c r="MBJ36" s="414"/>
      <c r="MBK36" s="414"/>
      <c r="MBL36" s="414"/>
      <c r="MBM36" s="414"/>
      <c r="MBN36" s="414"/>
      <c r="MBO36" s="414"/>
      <c r="MBP36" s="414"/>
      <c r="MBQ36" s="414"/>
      <c r="MBR36" s="414"/>
      <c r="MBS36" s="414"/>
      <c r="MBT36" s="414"/>
      <c r="MBU36" s="414"/>
      <c r="MBV36" s="414"/>
      <c r="MBW36" s="414"/>
      <c r="MBX36" s="414"/>
      <c r="MBY36" s="414"/>
      <c r="MBZ36" s="414"/>
      <c r="MCA36" s="414"/>
      <c r="MCB36" s="414"/>
      <c r="MCC36" s="414"/>
      <c r="MCD36" s="414"/>
      <c r="MCE36" s="414"/>
      <c r="MCF36" s="414"/>
      <c r="MCG36" s="414"/>
      <c r="MCH36" s="414"/>
      <c r="MCI36" s="414"/>
      <c r="MCJ36" s="414"/>
      <c r="MCK36" s="414"/>
      <c r="MCL36" s="414"/>
      <c r="MCM36" s="414"/>
      <c r="MCN36" s="414"/>
      <c r="MCO36" s="414"/>
      <c r="MCP36" s="414"/>
      <c r="MCQ36" s="414"/>
      <c r="MCR36" s="414"/>
      <c r="MCS36" s="414"/>
      <c r="MCT36" s="414"/>
      <c r="MCU36" s="414"/>
      <c r="MCV36" s="414"/>
      <c r="MCW36" s="414"/>
      <c r="MCX36" s="414"/>
      <c r="MCY36" s="414"/>
      <c r="MCZ36" s="414"/>
      <c r="MDA36" s="414"/>
      <c r="MDB36" s="414"/>
      <c r="MDC36" s="414"/>
      <c r="MDD36" s="414"/>
      <c r="MDE36" s="414"/>
      <c r="MDF36" s="414"/>
      <c r="MDG36" s="414"/>
      <c r="MDH36" s="414"/>
      <c r="MDI36" s="414"/>
      <c r="MDJ36" s="414"/>
      <c r="MDK36" s="414"/>
      <c r="MDL36" s="414"/>
      <c r="MDM36" s="414"/>
      <c r="MDN36" s="414"/>
      <c r="MDO36" s="414"/>
      <c r="MDP36" s="414"/>
      <c r="MDQ36" s="414"/>
      <c r="MDR36" s="414"/>
      <c r="MDS36" s="414"/>
      <c r="MDT36" s="414"/>
      <c r="MDU36" s="414"/>
      <c r="MDV36" s="414"/>
      <c r="MDW36" s="414"/>
      <c r="MDX36" s="414"/>
      <c r="MDY36" s="414"/>
      <c r="MDZ36" s="414"/>
      <c r="MEA36" s="414"/>
      <c r="MEB36" s="414"/>
      <c r="MEC36" s="414"/>
      <c r="MED36" s="414"/>
      <c r="MEE36" s="414"/>
      <c r="MEF36" s="414"/>
      <c r="MEG36" s="414"/>
      <c r="MEH36" s="414"/>
      <c r="MEI36" s="414"/>
      <c r="MEJ36" s="414"/>
      <c r="MEK36" s="414"/>
      <c r="MEL36" s="414"/>
      <c r="MEM36" s="414"/>
      <c r="MEN36" s="414"/>
      <c r="MEO36" s="414"/>
      <c r="MEP36" s="414"/>
      <c r="MEQ36" s="414"/>
      <c r="MER36" s="414"/>
      <c r="MES36" s="414"/>
      <c r="MET36" s="414"/>
      <c r="MEU36" s="414"/>
      <c r="MEV36" s="414"/>
      <c r="MEW36" s="414"/>
      <c r="MEX36" s="414"/>
      <c r="MEY36" s="414"/>
      <c r="MEZ36" s="414"/>
      <c r="MFA36" s="414"/>
      <c r="MFB36" s="414"/>
      <c r="MFC36" s="414"/>
      <c r="MFD36" s="414"/>
      <c r="MFE36" s="414"/>
      <c r="MFF36" s="414"/>
      <c r="MFG36" s="414"/>
      <c r="MFH36" s="414"/>
      <c r="MFI36" s="414"/>
      <c r="MFJ36" s="414"/>
      <c r="MFK36" s="414"/>
      <c r="MFL36" s="414"/>
      <c r="MFM36" s="414"/>
      <c r="MFN36" s="414"/>
      <c r="MFO36" s="414"/>
      <c r="MFP36" s="414"/>
      <c r="MFQ36" s="414"/>
      <c r="MFR36" s="414"/>
      <c r="MFS36" s="414"/>
      <c r="MFT36" s="414"/>
      <c r="MFU36" s="414"/>
      <c r="MFV36" s="414"/>
      <c r="MFW36" s="414"/>
      <c r="MFX36" s="414"/>
      <c r="MFY36" s="414"/>
      <c r="MFZ36" s="414"/>
      <c r="MGA36" s="414"/>
      <c r="MGB36" s="414"/>
      <c r="MGC36" s="414"/>
      <c r="MGD36" s="414"/>
      <c r="MGE36" s="414"/>
      <c r="MGF36" s="414"/>
      <c r="MGG36" s="414"/>
      <c r="MGH36" s="414"/>
      <c r="MGI36" s="414"/>
      <c r="MGJ36" s="414"/>
      <c r="MGK36" s="414"/>
      <c r="MGL36" s="414"/>
      <c r="MGM36" s="414"/>
      <c r="MGN36" s="414"/>
      <c r="MGO36" s="414"/>
      <c r="MGP36" s="414"/>
      <c r="MGQ36" s="414"/>
      <c r="MGR36" s="414"/>
      <c r="MGS36" s="414"/>
      <c r="MGT36" s="414"/>
      <c r="MGU36" s="414"/>
      <c r="MGV36" s="414"/>
      <c r="MGW36" s="414"/>
      <c r="MGX36" s="414"/>
      <c r="MGY36" s="414"/>
      <c r="MGZ36" s="414"/>
      <c r="MHA36" s="414"/>
      <c r="MHB36" s="414"/>
      <c r="MHC36" s="414"/>
      <c r="MHD36" s="414"/>
      <c r="MHE36" s="414"/>
      <c r="MHF36" s="414"/>
      <c r="MHG36" s="414"/>
      <c r="MHH36" s="414"/>
      <c r="MHI36" s="414"/>
      <c r="MHJ36" s="414"/>
      <c r="MHK36" s="414"/>
      <c r="MHL36" s="414"/>
      <c r="MHM36" s="414"/>
      <c r="MHN36" s="414"/>
      <c r="MHO36" s="414"/>
      <c r="MHP36" s="414"/>
      <c r="MHQ36" s="414"/>
      <c r="MHR36" s="414"/>
      <c r="MHS36" s="414"/>
      <c r="MHT36" s="414"/>
      <c r="MHU36" s="414"/>
      <c r="MHV36" s="414"/>
      <c r="MHW36" s="414"/>
      <c r="MHX36" s="414"/>
      <c r="MHY36" s="414"/>
      <c r="MHZ36" s="414"/>
      <c r="MIA36" s="414"/>
      <c r="MIB36" s="414"/>
      <c r="MIC36" s="414"/>
      <c r="MID36" s="414"/>
      <c r="MIE36" s="414"/>
      <c r="MIF36" s="414"/>
      <c r="MIG36" s="414"/>
      <c r="MIH36" s="414"/>
      <c r="MII36" s="414"/>
      <c r="MIJ36" s="414"/>
      <c r="MIK36" s="414"/>
      <c r="MIL36" s="414"/>
      <c r="MIM36" s="414"/>
      <c r="MIN36" s="414"/>
      <c r="MIO36" s="414"/>
      <c r="MIP36" s="414"/>
      <c r="MIQ36" s="414"/>
      <c r="MIR36" s="414"/>
      <c r="MIS36" s="414"/>
      <c r="MIT36" s="414"/>
      <c r="MIU36" s="414"/>
      <c r="MIV36" s="414"/>
      <c r="MIW36" s="414"/>
      <c r="MIX36" s="414"/>
      <c r="MIY36" s="414"/>
      <c r="MIZ36" s="414"/>
      <c r="MJA36" s="414"/>
      <c r="MJB36" s="414"/>
      <c r="MJC36" s="414"/>
      <c r="MJD36" s="414"/>
      <c r="MJE36" s="414"/>
      <c r="MJF36" s="414"/>
      <c r="MJG36" s="414"/>
      <c r="MJH36" s="414"/>
      <c r="MJI36" s="414"/>
      <c r="MJJ36" s="414"/>
      <c r="MJK36" s="414"/>
      <c r="MJL36" s="414"/>
      <c r="MJM36" s="414"/>
      <c r="MJN36" s="414"/>
      <c r="MJO36" s="414"/>
      <c r="MJP36" s="414"/>
      <c r="MJQ36" s="414"/>
      <c r="MJR36" s="414"/>
      <c r="MJS36" s="414"/>
      <c r="MJT36" s="414"/>
      <c r="MJU36" s="414"/>
      <c r="MJV36" s="414"/>
      <c r="MJW36" s="414"/>
      <c r="MJX36" s="414"/>
      <c r="MJY36" s="414"/>
      <c r="MJZ36" s="414"/>
      <c r="MKA36" s="414"/>
      <c r="MKB36" s="414"/>
      <c r="MKC36" s="414"/>
      <c r="MKD36" s="414"/>
      <c r="MKE36" s="414"/>
      <c r="MKF36" s="414"/>
      <c r="MKG36" s="414"/>
      <c r="MKH36" s="414"/>
      <c r="MKI36" s="414"/>
      <c r="MKJ36" s="414"/>
      <c r="MKK36" s="414"/>
      <c r="MKL36" s="414"/>
      <c r="MKM36" s="414"/>
      <c r="MKN36" s="414"/>
      <c r="MKO36" s="414"/>
      <c r="MKP36" s="414"/>
      <c r="MKQ36" s="414"/>
      <c r="MKR36" s="414"/>
      <c r="MKS36" s="414"/>
      <c r="MKT36" s="414"/>
      <c r="MKU36" s="414"/>
      <c r="MKV36" s="414"/>
      <c r="MKW36" s="414"/>
      <c r="MKX36" s="414"/>
      <c r="MKY36" s="414"/>
      <c r="MKZ36" s="414"/>
      <c r="MLA36" s="414"/>
      <c r="MLB36" s="414"/>
      <c r="MLC36" s="414"/>
      <c r="MLD36" s="414"/>
      <c r="MLE36" s="414"/>
      <c r="MLF36" s="414"/>
      <c r="MLG36" s="414"/>
      <c r="MLH36" s="414"/>
      <c r="MLI36" s="414"/>
      <c r="MLJ36" s="414"/>
      <c r="MLK36" s="414"/>
      <c r="MLL36" s="414"/>
      <c r="MLM36" s="414"/>
      <c r="MLN36" s="414"/>
      <c r="MLO36" s="414"/>
      <c r="MLP36" s="414"/>
      <c r="MLQ36" s="414"/>
      <c r="MLR36" s="414"/>
      <c r="MLS36" s="414"/>
      <c r="MLT36" s="414"/>
      <c r="MLU36" s="414"/>
      <c r="MLV36" s="414"/>
      <c r="MLW36" s="414"/>
      <c r="MLX36" s="414"/>
      <c r="MLY36" s="414"/>
      <c r="MLZ36" s="414"/>
      <c r="MMA36" s="414"/>
      <c r="MMB36" s="414"/>
      <c r="MMC36" s="414"/>
      <c r="MMD36" s="414"/>
      <c r="MME36" s="414"/>
      <c r="MMF36" s="414"/>
      <c r="MMG36" s="414"/>
      <c r="MMH36" s="414"/>
      <c r="MMI36" s="414"/>
      <c r="MMJ36" s="414"/>
      <c r="MMK36" s="414"/>
      <c r="MML36" s="414"/>
      <c r="MMM36" s="414"/>
      <c r="MMN36" s="414"/>
      <c r="MMO36" s="414"/>
      <c r="MMP36" s="414"/>
      <c r="MMQ36" s="414"/>
      <c r="MMR36" s="414"/>
      <c r="MMS36" s="414"/>
      <c r="MMT36" s="414"/>
      <c r="MMU36" s="414"/>
      <c r="MMV36" s="414"/>
      <c r="MMW36" s="414"/>
      <c r="MMX36" s="414"/>
      <c r="MMY36" s="414"/>
      <c r="MMZ36" s="414"/>
      <c r="MNA36" s="414"/>
      <c r="MNB36" s="414"/>
      <c r="MNC36" s="414"/>
      <c r="MND36" s="414"/>
      <c r="MNE36" s="414"/>
      <c r="MNF36" s="414"/>
      <c r="MNG36" s="414"/>
      <c r="MNH36" s="414"/>
      <c r="MNI36" s="414"/>
      <c r="MNJ36" s="414"/>
      <c r="MNK36" s="414"/>
      <c r="MNL36" s="414"/>
      <c r="MNM36" s="414"/>
      <c r="MNN36" s="414"/>
      <c r="MNO36" s="414"/>
      <c r="MNP36" s="414"/>
      <c r="MNQ36" s="414"/>
      <c r="MNR36" s="414"/>
      <c r="MNS36" s="414"/>
      <c r="MNT36" s="414"/>
      <c r="MNU36" s="414"/>
      <c r="MNV36" s="414"/>
      <c r="MNW36" s="414"/>
      <c r="MNX36" s="414"/>
      <c r="MNY36" s="414"/>
      <c r="MNZ36" s="414"/>
      <c r="MOA36" s="414"/>
      <c r="MOB36" s="414"/>
      <c r="MOC36" s="414"/>
      <c r="MOD36" s="414"/>
      <c r="MOE36" s="414"/>
      <c r="MOF36" s="414"/>
      <c r="MOG36" s="414"/>
      <c r="MOH36" s="414"/>
      <c r="MOI36" s="414"/>
      <c r="MOJ36" s="414"/>
      <c r="MOK36" s="414"/>
      <c r="MOL36" s="414"/>
      <c r="MOM36" s="414"/>
      <c r="MON36" s="414"/>
      <c r="MOO36" s="414"/>
      <c r="MOP36" s="414"/>
      <c r="MOQ36" s="414"/>
      <c r="MOR36" s="414"/>
      <c r="MOS36" s="414"/>
      <c r="MOT36" s="414"/>
      <c r="MOU36" s="414"/>
      <c r="MOV36" s="414"/>
      <c r="MOW36" s="414"/>
      <c r="MOX36" s="414"/>
      <c r="MOY36" s="414"/>
      <c r="MOZ36" s="414"/>
      <c r="MPA36" s="414"/>
      <c r="MPB36" s="414"/>
      <c r="MPC36" s="414"/>
      <c r="MPD36" s="414"/>
      <c r="MPE36" s="414"/>
      <c r="MPF36" s="414"/>
      <c r="MPG36" s="414"/>
      <c r="MPH36" s="414"/>
      <c r="MPI36" s="414"/>
      <c r="MPJ36" s="414"/>
      <c r="MPK36" s="414"/>
      <c r="MPL36" s="414"/>
      <c r="MPM36" s="414"/>
      <c r="MPN36" s="414"/>
      <c r="MPO36" s="414"/>
      <c r="MPP36" s="414"/>
      <c r="MPQ36" s="414"/>
      <c r="MPR36" s="414"/>
      <c r="MPS36" s="414"/>
      <c r="MPT36" s="414"/>
      <c r="MPU36" s="414"/>
      <c r="MPV36" s="414"/>
      <c r="MPW36" s="414"/>
      <c r="MPX36" s="414"/>
      <c r="MPY36" s="414"/>
      <c r="MPZ36" s="414"/>
      <c r="MQA36" s="414"/>
      <c r="MQB36" s="414"/>
      <c r="MQC36" s="414"/>
      <c r="MQD36" s="414"/>
      <c r="MQE36" s="414"/>
      <c r="MQF36" s="414"/>
      <c r="MQG36" s="414"/>
      <c r="MQH36" s="414"/>
      <c r="MQI36" s="414"/>
      <c r="MQJ36" s="414"/>
      <c r="MQK36" s="414"/>
      <c r="MQL36" s="414"/>
      <c r="MQM36" s="414"/>
      <c r="MQN36" s="414"/>
      <c r="MQO36" s="414"/>
      <c r="MQP36" s="414"/>
      <c r="MQQ36" s="414"/>
      <c r="MQR36" s="414"/>
      <c r="MQS36" s="414"/>
      <c r="MQT36" s="414"/>
      <c r="MQU36" s="414"/>
      <c r="MQV36" s="414"/>
      <c r="MQW36" s="414"/>
      <c r="MQX36" s="414"/>
      <c r="MQY36" s="414"/>
      <c r="MQZ36" s="414"/>
      <c r="MRA36" s="414"/>
      <c r="MRB36" s="414"/>
      <c r="MRC36" s="414"/>
      <c r="MRD36" s="414"/>
      <c r="MRE36" s="414"/>
      <c r="MRF36" s="414"/>
      <c r="MRG36" s="414"/>
      <c r="MRH36" s="414"/>
      <c r="MRI36" s="414"/>
      <c r="MRJ36" s="414"/>
      <c r="MRK36" s="414"/>
      <c r="MRL36" s="414"/>
      <c r="MRM36" s="414"/>
      <c r="MRN36" s="414"/>
      <c r="MRO36" s="414"/>
      <c r="MRP36" s="414"/>
      <c r="MRQ36" s="414"/>
      <c r="MRR36" s="414"/>
      <c r="MRS36" s="414"/>
      <c r="MRT36" s="414"/>
      <c r="MRU36" s="414"/>
      <c r="MRV36" s="414"/>
      <c r="MRW36" s="414"/>
      <c r="MRX36" s="414"/>
      <c r="MRY36" s="414"/>
      <c r="MRZ36" s="414"/>
      <c r="MSA36" s="414"/>
      <c r="MSB36" s="414"/>
      <c r="MSC36" s="414"/>
      <c r="MSD36" s="414"/>
      <c r="MSE36" s="414"/>
      <c r="MSF36" s="414"/>
      <c r="MSG36" s="414"/>
      <c r="MSH36" s="414"/>
      <c r="MSI36" s="414"/>
      <c r="MSJ36" s="414"/>
      <c r="MSK36" s="414"/>
      <c r="MSL36" s="414"/>
      <c r="MSM36" s="414"/>
      <c r="MSN36" s="414"/>
      <c r="MSO36" s="414"/>
      <c r="MSP36" s="414"/>
      <c r="MSQ36" s="414"/>
      <c r="MSR36" s="414"/>
      <c r="MSS36" s="414"/>
      <c r="MST36" s="414"/>
      <c r="MSU36" s="414"/>
      <c r="MSV36" s="414"/>
      <c r="MSW36" s="414"/>
      <c r="MSX36" s="414"/>
      <c r="MSY36" s="414"/>
      <c r="MSZ36" s="414"/>
      <c r="MTA36" s="414"/>
      <c r="MTB36" s="414"/>
      <c r="MTC36" s="414"/>
      <c r="MTD36" s="414"/>
      <c r="MTE36" s="414"/>
      <c r="MTF36" s="414"/>
      <c r="MTG36" s="414"/>
      <c r="MTH36" s="414"/>
      <c r="MTI36" s="414"/>
      <c r="MTJ36" s="414"/>
      <c r="MTK36" s="414"/>
      <c r="MTL36" s="414"/>
      <c r="MTM36" s="414"/>
      <c r="MTN36" s="414"/>
      <c r="MTO36" s="414"/>
      <c r="MTP36" s="414"/>
      <c r="MTQ36" s="414"/>
      <c r="MTR36" s="414"/>
      <c r="MTS36" s="414"/>
      <c r="MTT36" s="414"/>
      <c r="MTU36" s="414"/>
      <c r="MTV36" s="414"/>
      <c r="MTW36" s="414"/>
      <c r="MTX36" s="414"/>
      <c r="MTY36" s="414"/>
      <c r="MTZ36" s="414"/>
      <c r="MUA36" s="414"/>
      <c r="MUB36" s="414"/>
      <c r="MUC36" s="414"/>
      <c r="MUD36" s="414"/>
      <c r="MUE36" s="414"/>
      <c r="MUF36" s="414"/>
      <c r="MUG36" s="414"/>
      <c r="MUH36" s="414"/>
      <c r="MUI36" s="414"/>
      <c r="MUJ36" s="414"/>
      <c r="MUK36" s="414"/>
      <c r="MUL36" s="414"/>
      <c r="MUM36" s="414"/>
      <c r="MUN36" s="414"/>
      <c r="MUO36" s="414"/>
      <c r="MUP36" s="414"/>
      <c r="MUQ36" s="414"/>
      <c r="MUR36" s="414"/>
      <c r="MUS36" s="414"/>
      <c r="MUT36" s="414"/>
      <c r="MUU36" s="414"/>
      <c r="MUV36" s="414"/>
      <c r="MUW36" s="414"/>
      <c r="MUX36" s="414"/>
      <c r="MUY36" s="414"/>
      <c r="MUZ36" s="414"/>
      <c r="MVA36" s="414"/>
      <c r="MVB36" s="414"/>
      <c r="MVC36" s="414"/>
      <c r="MVD36" s="414"/>
      <c r="MVE36" s="414"/>
      <c r="MVF36" s="414"/>
      <c r="MVG36" s="414"/>
      <c r="MVH36" s="414"/>
      <c r="MVI36" s="414"/>
      <c r="MVJ36" s="414"/>
      <c r="MVK36" s="414"/>
      <c r="MVL36" s="414"/>
      <c r="MVM36" s="414"/>
      <c r="MVN36" s="414"/>
      <c r="MVO36" s="414"/>
      <c r="MVP36" s="414"/>
      <c r="MVQ36" s="414"/>
      <c r="MVR36" s="414"/>
      <c r="MVS36" s="414"/>
      <c r="MVT36" s="414"/>
      <c r="MVU36" s="414"/>
      <c r="MVV36" s="414"/>
      <c r="MVW36" s="414"/>
      <c r="MVX36" s="414"/>
      <c r="MVY36" s="414"/>
      <c r="MVZ36" s="414"/>
      <c r="MWA36" s="414"/>
      <c r="MWB36" s="414"/>
      <c r="MWC36" s="414"/>
      <c r="MWD36" s="414"/>
      <c r="MWE36" s="414"/>
      <c r="MWF36" s="414"/>
      <c r="MWG36" s="414"/>
      <c r="MWH36" s="414"/>
      <c r="MWI36" s="414"/>
      <c r="MWJ36" s="414"/>
      <c r="MWK36" s="414"/>
      <c r="MWL36" s="414"/>
      <c r="MWM36" s="414"/>
      <c r="MWN36" s="414"/>
      <c r="MWO36" s="414"/>
      <c r="MWP36" s="414"/>
      <c r="MWQ36" s="414"/>
      <c r="MWR36" s="414"/>
      <c r="MWS36" s="414"/>
      <c r="MWT36" s="414"/>
      <c r="MWU36" s="414"/>
      <c r="MWV36" s="414"/>
      <c r="MWW36" s="414"/>
      <c r="MWX36" s="414"/>
      <c r="MWY36" s="414"/>
      <c r="MWZ36" s="414"/>
      <c r="MXA36" s="414"/>
      <c r="MXB36" s="414"/>
      <c r="MXC36" s="414"/>
      <c r="MXD36" s="414"/>
      <c r="MXE36" s="414"/>
      <c r="MXF36" s="414"/>
      <c r="MXG36" s="414"/>
      <c r="MXH36" s="414"/>
      <c r="MXI36" s="414"/>
      <c r="MXJ36" s="414"/>
      <c r="MXK36" s="414"/>
      <c r="MXL36" s="414"/>
      <c r="MXM36" s="414"/>
      <c r="MXN36" s="414"/>
      <c r="MXO36" s="414"/>
      <c r="MXP36" s="414"/>
      <c r="MXQ36" s="414"/>
      <c r="MXR36" s="414"/>
      <c r="MXS36" s="414"/>
      <c r="MXT36" s="414"/>
      <c r="MXU36" s="414"/>
      <c r="MXV36" s="414"/>
      <c r="MXW36" s="414"/>
      <c r="MXX36" s="414"/>
      <c r="MXY36" s="414"/>
      <c r="MXZ36" s="414"/>
      <c r="MYA36" s="414"/>
      <c r="MYB36" s="414"/>
      <c r="MYC36" s="414"/>
      <c r="MYD36" s="414"/>
      <c r="MYE36" s="414"/>
      <c r="MYF36" s="414"/>
      <c r="MYG36" s="414"/>
      <c r="MYH36" s="414"/>
      <c r="MYI36" s="414"/>
      <c r="MYJ36" s="414"/>
      <c r="MYK36" s="414"/>
      <c r="MYL36" s="414"/>
      <c r="MYM36" s="414"/>
      <c r="MYN36" s="414"/>
      <c r="MYO36" s="414"/>
      <c r="MYP36" s="414"/>
      <c r="MYQ36" s="414"/>
      <c r="MYR36" s="414"/>
      <c r="MYS36" s="414"/>
      <c r="MYT36" s="414"/>
      <c r="MYU36" s="414"/>
      <c r="MYV36" s="414"/>
      <c r="MYW36" s="414"/>
      <c r="MYX36" s="414"/>
      <c r="MYY36" s="414"/>
      <c r="MYZ36" s="414"/>
      <c r="MZA36" s="414"/>
      <c r="MZB36" s="414"/>
      <c r="MZC36" s="414"/>
      <c r="MZD36" s="414"/>
      <c r="MZE36" s="414"/>
      <c r="MZF36" s="414"/>
      <c r="MZG36" s="414"/>
      <c r="MZH36" s="414"/>
      <c r="MZI36" s="414"/>
      <c r="MZJ36" s="414"/>
      <c r="MZK36" s="414"/>
      <c r="MZL36" s="414"/>
      <c r="MZM36" s="414"/>
      <c r="MZN36" s="414"/>
      <c r="MZO36" s="414"/>
      <c r="MZP36" s="414"/>
      <c r="MZQ36" s="414"/>
      <c r="MZR36" s="414"/>
      <c r="MZS36" s="414"/>
      <c r="MZT36" s="414"/>
      <c r="MZU36" s="414"/>
      <c r="MZV36" s="414"/>
      <c r="MZW36" s="414"/>
      <c r="MZX36" s="414"/>
      <c r="MZY36" s="414"/>
      <c r="MZZ36" s="414"/>
      <c r="NAA36" s="414"/>
      <c r="NAB36" s="414"/>
      <c r="NAC36" s="414"/>
      <c r="NAD36" s="414"/>
      <c r="NAE36" s="414"/>
      <c r="NAF36" s="414"/>
      <c r="NAG36" s="414"/>
      <c r="NAH36" s="414"/>
      <c r="NAI36" s="414"/>
      <c r="NAJ36" s="414"/>
      <c r="NAK36" s="414"/>
      <c r="NAL36" s="414"/>
      <c r="NAM36" s="414"/>
      <c r="NAN36" s="414"/>
      <c r="NAO36" s="414"/>
      <c r="NAP36" s="414"/>
      <c r="NAQ36" s="414"/>
      <c r="NAR36" s="414"/>
      <c r="NAS36" s="414"/>
      <c r="NAT36" s="414"/>
      <c r="NAU36" s="414"/>
      <c r="NAV36" s="414"/>
      <c r="NAW36" s="414"/>
      <c r="NAX36" s="414"/>
      <c r="NAY36" s="414"/>
      <c r="NAZ36" s="414"/>
      <c r="NBA36" s="414"/>
      <c r="NBB36" s="414"/>
      <c r="NBC36" s="414"/>
      <c r="NBD36" s="414"/>
      <c r="NBE36" s="414"/>
      <c r="NBF36" s="414"/>
      <c r="NBG36" s="414"/>
      <c r="NBH36" s="414"/>
      <c r="NBI36" s="414"/>
      <c r="NBJ36" s="414"/>
      <c r="NBK36" s="414"/>
      <c r="NBL36" s="414"/>
      <c r="NBM36" s="414"/>
      <c r="NBN36" s="414"/>
      <c r="NBO36" s="414"/>
      <c r="NBP36" s="414"/>
      <c r="NBQ36" s="414"/>
      <c r="NBR36" s="414"/>
      <c r="NBS36" s="414"/>
      <c r="NBT36" s="414"/>
      <c r="NBU36" s="414"/>
      <c r="NBV36" s="414"/>
      <c r="NBW36" s="414"/>
      <c r="NBX36" s="414"/>
      <c r="NBY36" s="414"/>
      <c r="NBZ36" s="414"/>
      <c r="NCA36" s="414"/>
      <c r="NCB36" s="414"/>
      <c r="NCC36" s="414"/>
      <c r="NCD36" s="414"/>
      <c r="NCE36" s="414"/>
      <c r="NCF36" s="414"/>
      <c r="NCG36" s="414"/>
      <c r="NCH36" s="414"/>
      <c r="NCI36" s="414"/>
      <c r="NCJ36" s="414"/>
      <c r="NCK36" s="414"/>
      <c r="NCL36" s="414"/>
      <c r="NCM36" s="414"/>
      <c r="NCN36" s="414"/>
      <c r="NCO36" s="414"/>
      <c r="NCP36" s="414"/>
      <c r="NCQ36" s="414"/>
      <c r="NCR36" s="414"/>
      <c r="NCS36" s="414"/>
      <c r="NCT36" s="414"/>
      <c r="NCU36" s="414"/>
      <c r="NCV36" s="414"/>
      <c r="NCW36" s="414"/>
      <c r="NCX36" s="414"/>
      <c r="NCY36" s="414"/>
      <c r="NCZ36" s="414"/>
      <c r="NDA36" s="414"/>
      <c r="NDB36" s="414"/>
      <c r="NDC36" s="414"/>
      <c r="NDD36" s="414"/>
      <c r="NDE36" s="414"/>
      <c r="NDF36" s="414"/>
      <c r="NDG36" s="414"/>
      <c r="NDH36" s="414"/>
      <c r="NDI36" s="414"/>
      <c r="NDJ36" s="414"/>
      <c r="NDK36" s="414"/>
      <c r="NDL36" s="414"/>
      <c r="NDM36" s="414"/>
      <c r="NDN36" s="414"/>
      <c r="NDO36" s="414"/>
      <c r="NDP36" s="414"/>
      <c r="NDQ36" s="414"/>
      <c r="NDR36" s="414"/>
      <c r="NDS36" s="414"/>
      <c r="NDT36" s="414"/>
      <c r="NDU36" s="414"/>
      <c r="NDV36" s="414"/>
      <c r="NDW36" s="414"/>
      <c r="NDX36" s="414"/>
      <c r="NDY36" s="414"/>
      <c r="NDZ36" s="414"/>
      <c r="NEA36" s="414"/>
      <c r="NEB36" s="414"/>
      <c r="NEC36" s="414"/>
      <c r="NED36" s="414"/>
      <c r="NEE36" s="414"/>
      <c r="NEF36" s="414"/>
      <c r="NEG36" s="414"/>
      <c r="NEH36" s="414"/>
      <c r="NEI36" s="414"/>
      <c r="NEJ36" s="414"/>
      <c r="NEK36" s="414"/>
      <c r="NEL36" s="414"/>
      <c r="NEM36" s="414"/>
      <c r="NEN36" s="414"/>
      <c r="NEO36" s="414"/>
      <c r="NEP36" s="414"/>
      <c r="NEQ36" s="414"/>
      <c r="NER36" s="414"/>
      <c r="NES36" s="414"/>
      <c r="NET36" s="414"/>
      <c r="NEU36" s="414"/>
      <c r="NEV36" s="414"/>
      <c r="NEW36" s="414"/>
      <c r="NEX36" s="414"/>
      <c r="NEY36" s="414"/>
      <c r="NEZ36" s="414"/>
      <c r="NFA36" s="414"/>
      <c r="NFB36" s="414"/>
      <c r="NFC36" s="414"/>
      <c r="NFD36" s="414"/>
      <c r="NFE36" s="414"/>
      <c r="NFF36" s="414"/>
      <c r="NFG36" s="414"/>
      <c r="NFH36" s="414"/>
      <c r="NFI36" s="414"/>
      <c r="NFJ36" s="414"/>
      <c r="NFK36" s="414"/>
      <c r="NFL36" s="414"/>
      <c r="NFM36" s="414"/>
      <c r="NFN36" s="414"/>
      <c r="NFO36" s="414"/>
      <c r="NFP36" s="414"/>
      <c r="NFQ36" s="414"/>
      <c r="NFR36" s="414"/>
      <c r="NFS36" s="414"/>
      <c r="NFT36" s="414"/>
      <c r="NFU36" s="414"/>
      <c r="NFV36" s="414"/>
      <c r="NFW36" s="414"/>
      <c r="NFX36" s="414"/>
      <c r="NFY36" s="414"/>
      <c r="NFZ36" s="414"/>
      <c r="NGA36" s="414"/>
      <c r="NGB36" s="414"/>
      <c r="NGC36" s="414"/>
      <c r="NGD36" s="414"/>
      <c r="NGE36" s="414"/>
      <c r="NGF36" s="414"/>
      <c r="NGG36" s="414"/>
      <c r="NGH36" s="414"/>
      <c r="NGI36" s="414"/>
      <c r="NGJ36" s="414"/>
      <c r="NGK36" s="414"/>
      <c r="NGL36" s="414"/>
      <c r="NGM36" s="414"/>
      <c r="NGN36" s="414"/>
      <c r="NGO36" s="414"/>
      <c r="NGP36" s="414"/>
      <c r="NGQ36" s="414"/>
      <c r="NGR36" s="414"/>
      <c r="NGS36" s="414"/>
      <c r="NGT36" s="414"/>
      <c r="NGU36" s="414"/>
      <c r="NGV36" s="414"/>
      <c r="NGW36" s="414"/>
      <c r="NGX36" s="414"/>
      <c r="NGY36" s="414"/>
      <c r="NGZ36" s="414"/>
      <c r="NHA36" s="414"/>
      <c r="NHB36" s="414"/>
      <c r="NHC36" s="414"/>
      <c r="NHD36" s="414"/>
      <c r="NHE36" s="414"/>
      <c r="NHF36" s="414"/>
      <c r="NHG36" s="414"/>
      <c r="NHH36" s="414"/>
      <c r="NHI36" s="414"/>
      <c r="NHJ36" s="414"/>
      <c r="NHK36" s="414"/>
      <c r="NHL36" s="414"/>
      <c r="NHM36" s="414"/>
      <c r="NHN36" s="414"/>
      <c r="NHO36" s="414"/>
      <c r="NHP36" s="414"/>
      <c r="NHQ36" s="414"/>
      <c r="NHR36" s="414"/>
      <c r="NHS36" s="414"/>
      <c r="NHT36" s="414"/>
      <c r="NHU36" s="414"/>
      <c r="NHV36" s="414"/>
      <c r="NHW36" s="414"/>
      <c r="NHX36" s="414"/>
      <c r="NHY36" s="414"/>
      <c r="NHZ36" s="414"/>
      <c r="NIA36" s="414"/>
      <c r="NIB36" s="414"/>
      <c r="NIC36" s="414"/>
      <c r="NID36" s="414"/>
      <c r="NIE36" s="414"/>
      <c r="NIF36" s="414"/>
      <c r="NIG36" s="414"/>
      <c r="NIH36" s="414"/>
      <c r="NII36" s="414"/>
      <c r="NIJ36" s="414"/>
      <c r="NIK36" s="414"/>
      <c r="NIL36" s="414"/>
      <c r="NIM36" s="414"/>
      <c r="NIN36" s="414"/>
      <c r="NIO36" s="414"/>
      <c r="NIP36" s="414"/>
      <c r="NIQ36" s="414"/>
      <c r="NIR36" s="414"/>
      <c r="NIS36" s="414"/>
      <c r="NIT36" s="414"/>
      <c r="NIU36" s="414"/>
      <c r="NIV36" s="414"/>
      <c r="NIW36" s="414"/>
      <c r="NIX36" s="414"/>
      <c r="NIY36" s="414"/>
      <c r="NIZ36" s="414"/>
      <c r="NJA36" s="414"/>
      <c r="NJB36" s="414"/>
      <c r="NJC36" s="414"/>
      <c r="NJD36" s="414"/>
      <c r="NJE36" s="414"/>
      <c r="NJF36" s="414"/>
      <c r="NJG36" s="414"/>
      <c r="NJH36" s="414"/>
      <c r="NJI36" s="414"/>
      <c r="NJJ36" s="414"/>
      <c r="NJK36" s="414"/>
      <c r="NJL36" s="414"/>
      <c r="NJM36" s="414"/>
      <c r="NJN36" s="414"/>
      <c r="NJO36" s="414"/>
      <c r="NJP36" s="414"/>
      <c r="NJQ36" s="414"/>
      <c r="NJR36" s="414"/>
      <c r="NJS36" s="414"/>
      <c r="NJT36" s="414"/>
      <c r="NJU36" s="414"/>
      <c r="NJV36" s="414"/>
      <c r="NJW36" s="414"/>
      <c r="NJX36" s="414"/>
      <c r="NJY36" s="414"/>
      <c r="NJZ36" s="414"/>
      <c r="NKA36" s="414"/>
      <c r="NKB36" s="414"/>
      <c r="NKC36" s="414"/>
      <c r="NKD36" s="414"/>
      <c r="NKE36" s="414"/>
      <c r="NKF36" s="414"/>
      <c r="NKG36" s="414"/>
      <c r="NKH36" s="414"/>
      <c r="NKI36" s="414"/>
      <c r="NKJ36" s="414"/>
      <c r="NKK36" s="414"/>
      <c r="NKL36" s="414"/>
      <c r="NKM36" s="414"/>
      <c r="NKN36" s="414"/>
      <c r="NKO36" s="414"/>
      <c r="NKP36" s="414"/>
      <c r="NKQ36" s="414"/>
      <c r="NKR36" s="414"/>
      <c r="NKS36" s="414"/>
      <c r="NKT36" s="414"/>
      <c r="NKU36" s="414"/>
      <c r="NKV36" s="414"/>
      <c r="NKW36" s="414"/>
      <c r="NKX36" s="414"/>
      <c r="NKY36" s="414"/>
      <c r="NKZ36" s="414"/>
      <c r="NLA36" s="414"/>
      <c r="NLB36" s="414"/>
      <c r="NLC36" s="414"/>
      <c r="NLD36" s="414"/>
      <c r="NLE36" s="414"/>
      <c r="NLF36" s="414"/>
      <c r="NLG36" s="414"/>
      <c r="NLH36" s="414"/>
      <c r="NLI36" s="414"/>
      <c r="NLJ36" s="414"/>
      <c r="NLK36" s="414"/>
      <c r="NLL36" s="414"/>
      <c r="NLM36" s="414"/>
      <c r="NLN36" s="414"/>
      <c r="NLO36" s="414"/>
      <c r="NLP36" s="414"/>
      <c r="NLQ36" s="414"/>
      <c r="NLR36" s="414"/>
      <c r="NLS36" s="414"/>
      <c r="NLT36" s="414"/>
      <c r="NLU36" s="414"/>
      <c r="NLV36" s="414"/>
      <c r="NLW36" s="414"/>
      <c r="NLX36" s="414"/>
      <c r="NLY36" s="414"/>
      <c r="NLZ36" s="414"/>
      <c r="NMA36" s="414"/>
      <c r="NMB36" s="414"/>
      <c r="NMC36" s="414"/>
      <c r="NMD36" s="414"/>
      <c r="NME36" s="414"/>
      <c r="NMF36" s="414"/>
      <c r="NMG36" s="414"/>
      <c r="NMH36" s="414"/>
      <c r="NMI36" s="414"/>
      <c r="NMJ36" s="414"/>
      <c r="NMK36" s="414"/>
      <c r="NML36" s="414"/>
      <c r="NMM36" s="414"/>
      <c r="NMN36" s="414"/>
      <c r="NMO36" s="414"/>
      <c r="NMP36" s="414"/>
      <c r="NMQ36" s="414"/>
      <c r="NMR36" s="414"/>
      <c r="NMS36" s="414"/>
      <c r="NMT36" s="414"/>
      <c r="NMU36" s="414"/>
      <c r="NMV36" s="414"/>
      <c r="NMW36" s="414"/>
      <c r="NMX36" s="414"/>
      <c r="NMY36" s="414"/>
      <c r="NMZ36" s="414"/>
      <c r="NNA36" s="414"/>
      <c r="NNB36" s="414"/>
      <c r="NNC36" s="414"/>
      <c r="NND36" s="414"/>
      <c r="NNE36" s="414"/>
      <c r="NNF36" s="414"/>
      <c r="NNG36" s="414"/>
      <c r="NNH36" s="414"/>
      <c r="NNI36" s="414"/>
      <c r="NNJ36" s="414"/>
      <c r="NNK36" s="414"/>
      <c r="NNL36" s="414"/>
      <c r="NNM36" s="414"/>
      <c r="NNN36" s="414"/>
      <c r="NNO36" s="414"/>
      <c r="NNP36" s="414"/>
      <c r="NNQ36" s="414"/>
      <c r="NNR36" s="414"/>
      <c r="NNS36" s="414"/>
      <c r="NNT36" s="414"/>
      <c r="NNU36" s="414"/>
      <c r="NNV36" s="414"/>
      <c r="NNW36" s="414"/>
      <c r="NNX36" s="414"/>
      <c r="NNY36" s="414"/>
      <c r="NNZ36" s="414"/>
      <c r="NOA36" s="414"/>
      <c r="NOB36" s="414"/>
      <c r="NOC36" s="414"/>
      <c r="NOD36" s="414"/>
      <c r="NOE36" s="414"/>
      <c r="NOF36" s="414"/>
      <c r="NOG36" s="414"/>
      <c r="NOH36" s="414"/>
      <c r="NOI36" s="414"/>
      <c r="NOJ36" s="414"/>
      <c r="NOK36" s="414"/>
      <c r="NOL36" s="414"/>
      <c r="NOM36" s="414"/>
      <c r="NON36" s="414"/>
      <c r="NOO36" s="414"/>
      <c r="NOP36" s="414"/>
      <c r="NOQ36" s="414"/>
      <c r="NOR36" s="414"/>
      <c r="NOS36" s="414"/>
      <c r="NOT36" s="414"/>
      <c r="NOU36" s="414"/>
      <c r="NOV36" s="414"/>
      <c r="NOW36" s="414"/>
      <c r="NOX36" s="414"/>
      <c r="NOY36" s="414"/>
      <c r="NOZ36" s="414"/>
      <c r="NPA36" s="414"/>
      <c r="NPB36" s="414"/>
      <c r="NPC36" s="414"/>
      <c r="NPD36" s="414"/>
      <c r="NPE36" s="414"/>
      <c r="NPF36" s="414"/>
      <c r="NPG36" s="414"/>
      <c r="NPH36" s="414"/>
      <c r="NPI36" s="414"/>
      <c r="NPJ36" s="414"/>
      <c r="NPK36" s="414"/>
      <c r="NPL36" s="414"/>
      <c r="NPM36" s="414"/>
      <c r="NPN36" s="414"/>
      <c r="NPO36" s="414"/>
      <c r="NPP36" s="414"/>
      <c r="NPQ36" s="414"/>
      <c r="NPR36" s="414"/>
      <c r="NPS36" s="414"/>
      <c r="NPT36" s="414"/>
      <c r="NPU36" s="414"/>
      <c r="NPV36" s="414"/>
      <c r="NPW36" s="414"/>
      <c r="NPX36" s="414"/>
      <c r="NPY36" s="414"/>
      <c r="NPZ36" s="414"/>
      <c r="NQA36" s="414"/>
      <c r="NQB36" s="414"/>
      <c r="NQC36" s="414"/>
      <c r="NQD36" s="414"/>
      <c r="NQE36" s="414"/>
      <c r="NQF36" s="414"/>
      <c r="NQG36" s="414"/>
      <c r="NQH36" s="414"/>
      <c r="NQI36" s="414"/>
      <c r="NQJ36" s="414"/>
      <c r="NQK36" s="414"/>
      <c r="NQL36" s="414"/>
      <c r="NQM36" s="414"/>
      <c r="NQN36" s="414"/>
      <c r="NQO36" s="414"/>
      <c r="NQP36" s="414"/>
      <c r="NQQ36" s="414"/>
      <c r="NQR36" s="414"/>
      <c r="NQS36" s="414"/>
      <c r="NQT36" s="414"/>
      <c r="NQU36" s="414"/>
      <c r="NQV36" s="414"/>
      <c r="NQW36" s="414"/>
      <c r="NQX36" s="414"/>
      <c r="NQY36" s="414"/>
      <c r="NQZ36" s="414"/>
      <c r="NRA36" s="414"/>
      <c r="NRB36" s="414"/>
      <c r="NRC36" s="414"/>
      <c r="NRD36" s="414"/>
      <c r="NRE36" s="414"/>
      <c r="NRF36" s="414"/>
      <c r="NRG36" s="414"/>
      <c r="NRH36" s="414"/>
      <c r="NRI36" s="414"/>
      <c r="NRJ36" s="414"/>
      <c r="NRK36" s="414"/>
      <c r="NRL36" s="414"/>
      <c r="NRM36" s="414"/>
      <c r="NRN36" s="414"/>
      <c r="NRO36" s="414"/>
      <c r="NRP36" s="414"/>
      <c r="NRQ36" s="414"/>
      <c r="NRR36" s="414"/>
      <c r="NRS36" s="414"/>
      <c r="NRT36" s="414"/>
      <c r="NRU36" s="414"/>
      <c r="NRV36" s="414"/>
      <c r="NRW36" s="414"/>
      <c r="NRX36" s="414"/>
      <c r="NRY36" s="414"/>
      <c r="NRZ36" s="414"/>
      <c r="NSA36" s="414"/>
      <c r="NSB36" s="414"/>
      <c r="NSC36" s="414"/>
      <c r="NSD36" s="414"/>
      <c r="NSE36" s="414"/>
      <c r="NSF36" s="414"/>
      <c r="NSG36" s="414"/>
      <c r="NSH36" s="414"/>
      <c r="NSI36" s="414"/>
      <c r="NSJ36" s="414"/>
      <c r="NSK36" s="414"/>
      <c r="NSL36" s="414"/>
      <c r="NSM36" s="414"/>
      <c r="NSN36" s="414"/>
      <c r="NSO36" s="414"/>
      <c r="NSP36" s="414"/>
      <c r="NSQ36" s="414"/>
      <c r="NSR36" s="414"/>
      <c r="NSS36" s="414"/>
      <c r="NST36" s="414"/>
      <c r="NSU36" s="414"/>
      <c r="NSV36" s="414"/>
      <c r="NSW36" s="414"/>
      <c r="NSX36" s="414"/>
      <c r="NSY36" s="414"/>
      <c r="NSZ36" s="414"/>
      <c r="NTA36" s="414"/>
      <c r="NTB36" s="414"/>
      <c r="NTC36" s="414"/>
      <c r="NTD36" s="414"/>
      <c r="NTE36" s="414"/>
      <c r="NTF36" s="414"/>
      <c r="NTG36" s="414"/>
      <c r="NTH36" s="414"/>
      <c r="NTI36" s="414"/>
      <c r="NTJ36" s="414"/>
      <c r="NTK36" s="414"/>
      <c r="NTL36" s="414"/>
      <c r="NTM36" s="414"/>
      <c r="NTN36" s="414"/>
      <c r="NTO36" s="414"/>
      <c r="NTP36" s="414"/>
      <c r="NTQ36" s="414"/>
      <c r="NTR36" s="414"/>
      <c r="NTS36" s="414"/>
      <c r="NTT36" s="414"/>
      <c r="NTU36" s="414"/>
      <c r="NTV36" s="414"/>
      <c r="NTW36" s="414"/>
      <c r="NTX36" s="414"/>
      <c r="NTY36" s="414"/>
      <c r="NTZ36" s="414"/>
      <c r="NUA36" s="414"/>
      <c r="NUB36" s="414"/>
      <c r="NUC36" s="414"/>
      <c r="NUD36" s="414"/>
      <c r="NUE36" s="414"/>
      <c r="NUF36" s="414"/>
      <c r="NUG36" s="414"/>
      <c r="NUH36" s="414"/>
      <c r="NUI36" s="414"/>
      <c r="NUJ36" s="414"/>
      <c r="NUK36" s="414"/>
      <c r="NUL36" s="414"/>
      <c r="NUM36" s="414"/>
      <c r="NUN36" s="414"/>
      <c r="NUO36" s="414"/>
      <c r="NUP36" s="414"/>
      <c r="NUQ36" s="414"/>
      <c r="NUR36" s="414"/>
      <c r="NUS36" s="414"/>
      <c r="NUT36" s="414"/>
      <c r="NUU36" s="414"/>
      <c r="NUV36" s="414"/>
      <c r="NUW36" s="414"/>
      <c r="NUX36" s="414"/>
      <c r="NUY36" s="414"/>
      <c r="NUZ36" s="414"/>
      <c r="NVA36" s="414"/>
      <c r="NVB36" s="414"/>
      <c r="NVC36" s="414"/>
      <c r="NVD36" s="414"/>
      <c r="NVE36" s="414"/>
      <c r="NVF36" s="414"/>
      <c r="NVG36" s="414"/>
      <c r="NVH36" s="414"/>
      <c r="NVI36" s="414"/>
      <c r="NVJ36" s="414"/>
      <c r="NVK36" s="414"/>
      <c r="NVL36" s="414"/>
      <c r="NVM36" s="414"/>
      <c r="NVN36" s="414"/>
      <c r="NVO36" s="414"/>
      <c r="NVP36" s="414"/>
      <c r="NVQ36" s="414"/>
      <c r="NVR36" s="414"/>
      <c r="NVS36" s="414"/>
      <c r="NVT36" s="414"/>
      <c r="NVU36" s="414"/>
      <c r="NVV36" s="414"/>
      <c r="NVW36" s="414"/>
      <c r="NVX36" s="414"/>
      <c r="NVY36" s="414"/>
      <c r="NVZ36" s="414"/>
      <c r="NWA36" s="414"/>
      <c r="NWB36" s="414"/>
      <c r="NWC36" s="414"/>
      <c r="NWD36" s="414"/>
      <c r="NWE36" s="414"/>
      <c r="NWF36" s="414"/>
      <c r="NWG36" s="414"/>
      <c r="NWH36" s="414"/>
      <c r="NWI36" s="414"/>
      <c r="NWJ36" s="414"/>
      <c r="NWK36" s="414"/>
      <c r="NWL36" s="414"/>
      <c r="NWM36" s="414"/>
      <c r="NWN36" s="414"/>
      <c r="NWO36" s="414"/>
      <c r="NWP36" s="414"/>
      <c r="NWQ36" s="414"/>
      <c r="NWR36" s="414"/>
      <c r="NWS36" s="414"/>
      <c r="NWT36" s="414"/>
      <c r="NWU36" s="414"/>
      <c r="NWV36" s="414"/>
      <c r="NWW36" s="414"/>
      <c r="NWX36" s="414"/>
      <c r="NWY36" s="414"/>
      <c r="NWZ36" s="414"/>
      <c r="NXA36" s="414"/>
      <c r="NXB36" s="414"/>
      <c r="NXC36" s="414"/>
      <c r="NXD36" s="414"/>
      <c r="NXE36" s="414"/>
      <c r="NXF36" s="414"/>
      <c r="NXG36" s="414"/>
      <c r="NXH36" s="414"/>
      <c r="NXI36" s="414"/>
      <c r="NXJ36" s="414"/>
      <c r="NXK36" s="414"/>
      <c r="NXL36" s="414"/>
      <c r="NXM36" s="414"/>
      <c r="NXN36" s="414"/>
      <c r="NXO36" s="414"/>
      <c r="NXP36" s="414"/>
      <c r="NXQ36" s="414"/>
      <c r="NXR36" s="414"/>
      <c r="NXS36" s="414"/>
      <c r="NXT36" s="414"/>
      <c r="NXU36" s="414"/>
      <c r="NXV36" s="414"/>
      <c r="NXW36" s="414"/>
      <c r="NXX36" s="414"/>
      <c r="NXY36" s="414"/>
      <c r="NXZ36" s="414"/>
      <c r="NYA36" s="414"/>
      <c r="NYB36" s="414"/>
      <c r="NYC36" s="414"/>
      <c r="NYD36" s="414"/>
      <c r="NYE36" s="414"/>
      <c r="NYF36" s="414"/>
      <c r="NYG36" s="414"/>
      <c r="NYH36" s="414"/>
      <c r="NYI36" s="414"/>
      <c r="NYJ36" s="414"/>
      <c r="NYK36" s="414"/>
      <c r="NYL36" s="414"/>
      <c r="NYM36" s="414"/>
      <c r="NYN36" s="414"/>
      <c r="NYO36" s="414"/>
      <c r="NYP36" s="414"/>
      <c r="NYQ36" s="414"/>
      <c r="NYR36" s="414"/>
      <c r="NYS36" s="414"/>
      <c r="NYT36" s="414"/>
      <c r="NYU36" s="414"/>
      <c r="NYV36" s="414"/>
      <c r="NYW36" s="414"/>
      <c r="NYX36" s="414"/>
      <c r="NYY36" s="414"/>
      <c r="NYZ36" s="414"/>
      <c r="NZA36" s="414"/>
      <c r="NZB36" s="414"/>
      <c r="NZC36" s="414"/>
      <c r="NZD36" s="414"/>
      <c r="NZE36" s="414"/>
      <c r="NZF36" s="414"/>
      <c r="NZG36" s="414"/>
      <c r="NZH36" s="414"/>
      <c r="NZI36" s="414"/>
      <c r="NZJ36" s="414"/>
      <c r="NZK36" s="414"/>
      <c r="NZL36" s="414"/>
      <c r="NZM36" s="414"/>
      <c r="NZN36" s="414"/>
      <c r="NZO36" s="414"/>
      <c r="NZP36" s="414"/>
      <c r="NZQ36" s="414"/>
      <c r="NZR36" s="414"/>
      <c r="NZS36" s="414"/>
      <c r="NZT36" s="414"/>
      <c r="NZU36" s="414"/>
      <c r="NZV36" s="414"/>
      <c r="NZW36" s="414"/>
      <c r="NZX36" s="414"/>
      <c r="NZY36" s="414"/>
      <c r="NZZ36" s="414"/>
      <c r="OAA36" s="414"/>
      <c r="OAB36" s="414"/>
      <c r="OAC36" s="414"/>
      <c r="OAD36" s="414"/>
      <c r="OAE36" s="414"/>
      <c r="OAF36" s="414"/>
      <c r="OAG36" s="414"/>
      <c r="OAH36" s="414"/>
      <c r="OAI36" s="414"/>
      <c r="OAJ36" s="414"/>
      <c r="OAK36" s="414"/>
      <c r="OAL36" s="414"/>
      <c r="OAM36" s="414"/>
      <c r="OAN36" s="414"/>
      <c r="OAO36" s="414"/>
      <c r="OAP36" s="414"/>
      <c r="OAQ36" s="414"/>
      <c r="OAR36" s="414"/>
      <c r="OAS36" s="414"/>
      <c r="OAT36" s="414"/>
      <c r="OAU36" s="414"/>
      <c r="OAV36" s="414"/>
      <c r="OAW36" s="414"/>
      <c r="OAX36" s="414"/>
      <c r="OAY36" s="414"/>
      <c r="OAZ36" s="414"/>
      <c r="OBA36" s="414"/>
      <c r="OBB36" s="414"/>
      <c r="OBC36" s="414"/>
      <c r="OBD36" s="414"/>
      <c r="OBE36" s="414"/>
      <c r="OBF36" s="414"/>
      <c r="OBG36" s="414"/>
      <c r="OBH36" s="414"/>
      <c r="OBI36" s="414"/>
      <c r="OBJ36" s="414"/>
      <c r="OBK36" s="414"/>
      <c r="OBL36" s="414"/>
      <c r="OBM36" s="414"/>
      <c r="OBN36" s="414"/>
      <c r="OBO36" s="414"/>
      <c r="OBP36" s="414"/>
      <c r="OBQ36" s="414"/>
      <c r="OBR36" s="414"/>
      <c r="OBS36" s="414"/>
      <c r="OBT36" s="414"/>
      <c r="OBU36" s="414"/>
      <c r="OBV36" s="414"/>
      <c r="OBW36" s="414"/>
      <c r="OBX36" s="414"/>
      <c r="OBY36" s="414"/>
      <c r="OBZ36" s="414"/>
      <c r="OCA36" s="414"/>
      <c r="OCB36" s="414"/>
      <c r="OCC36" s="414"/>
      <c r="OCD36" s="414"/>
      <c r="OCE36" s="414"/>
      <c r="OCF36" s="414"/>
      <c r="OCG36" s="414"/>
      <c r="OCH36" s="414"/>
      <c r="OCI36" s="414"/>
      <c r="OCJ36" s="414"/>
      <c r="OCK36" s="414"/>
      <c r="OCL36" s="414"/>
      <c r="OCM36" s="414"/>
      <c r="OCN36" s="414"/>
      <c r="OCO36" s="414"/>
      <c r="OCP36" s="414"/>
      <c r="OCQ36" s="414"/>
      <c r="OCR36" s="414"/>
      <c r="OCS36" s="414"/>
      <c r="OCT36" s="414"/>
      <c r="OCU36" s="414"/>
      <c r="OCV36" s="414"/>
      <c r="OCW36" s="414"/>
      <c r="OCX36" s="414"/>
      <c r="OCY36" s="414"/>
      <c r="OCZ36" s="414"/>
      <c r="ODA36" s="414"/>
      <c r="ODB36" s="414"/>
      <c r="ODC36" s="414"/>
      <c r="ODD36" s="414"/>
      <c r="ODE36" s="414"/>
      <c r="ODF36" s="414"/>
      <c r="ODG36" s="414"/>
      <c r="ODH36" s="414"/>
      <c r="ODI36" s="414"/>
      <c r="ODJ36" s="414"/>
      <c r="ODK36" s="414"/>
      <c r="ODL36" s="414"/>
      <c r="ODM36" s="414"/>
      <c r="ODN36" s="414"/>
      <c r="ODO36" s="414"/>
      <c r="ODP36" s="414"/>
      <c r="ODQ36" s="414"/>
      <c r="ODR36" s="414"/>
      <c r="ODS36" s="414"/>
      <c r="ODT36" s="414"/>
      <c r="ODU36" s="414"/>
      <c r="ODV36" s="414"/>
      <c r="ODW36" s="414"/>
      <c r="ODX36" s="414"/>
      <c r="ODY36" s="414"/>
      <c r="ODZ36" s="414"/>
      <c r="OEA36" s="414"/>
      <c r="OEB36" s="414"/>
      <c r="OEC36" s="414"/>
      <c r="OED36" s="414"/>
      <c r="OEE36" s="414"/>
      <c r="OEF36" s="414"/>
      <c r="OEG36" s="414"/>
      <c r="OEH36" s="414"/>
      <c r="OEI36" s="414"/>
      <c r="OEJ36" s="414"/>
      <c r="OEK36" s="414"/>
      <c r="OEL36" s="414"/>
      <c r="OEM36" s="414"/>
      <c r="OEN36" s="414"/>
      <c r="OEO36" s="414"/>
      <c r="OEP36" s="414"/>
      <c r="OEQ36" s="414"/>
      <c r="OER36" s="414"/>
      <c r="OES36" s="414"/>
      <c r="OET36" s="414"/>
      <c r="OEU36" s="414"/>
      <c r="OEV36" s="414"/>
      <c r="OEW36" s="414"/>
      <c r="OEX36" s="414"/>
      <c r="OEY36" s="414"/>
      <c r="OEZ36" s="414"/>
      <c r="OFA36" s="414"/>
      <c r="OFB36" s="414"/>
      <c r="OFC36" s="414"/>
      <c r="OFD36" s="414"/>
      <c r="OFE36" s="414"/>
      <c r="OFF36" s="414"/>
      <c r="OFG36" s="414"/>
      <c r="OFH36" s="414"/>
      <c r="OFI36" s="414"/>
      <c r="OFJ36" s="414"/>
      <c r="OFK36" s="414"/>
      <c r="OFL36" s="414"/>
      <c r="OFM36" s="414"/>
      <c r="OFN36" s="414"/>
      <c r="OFO36" s="414"/>
      <c r="OFP36" s="414"/>
      <c r="OFQ36" s="414"/>
      <c r="OFR36" s="414"/>
      <c r="OFS36" s="414"/>
      <c r="OFT36" s="414"/>
      <c r="OFU36" s="414"/>
      <c r="OFV36" s="414"/>
      <c r="OFW36" s="414"/>
      <c r="OFX36" s="414"/>
      <c r="OFY36" s="414"/>
      <c r="OFZ36" s="414"/>
      <c r="OGA36" s="414"/>
      <c r="OGB36" s="414"/>
      <c r="OGC36" s="414"/>
      <c r="OGD36" s="414"/>
      <c r="OGE36" s="414"/>
      <c r="OGF36" s="414"/>
      <c r="OGG36" s="414"/>
      <c r="OGH36" s="414"/>
      <c r="OGI36" s="414"/>
      <c r="OGJ36" s="414"/>
      <c r="OGK36" s="414"/>
      <c r="OGL36" s="414"/>
      <c r="OGM36" s="414"/>
      <c r="OGN36" s="414"/>
      <c r="OGO36" s="414"/>
      <c r="OGP36" s="414"/>
      <c r="OGQ36" s="414"/>
      <c r="OGR36" s="414"/>
      <c r="OGS36" s="414"/>
      <c r="OGT36" s="414"/>
      <c r="OGU36" s="414"/>
      <c r="OGV36" s="414"/>
      <c r="OGW36" s="414"/>
      <c r="OGX36" s="414"/>
      <c r="OGY36" s="414"/>
      <c r="OGZ36" s="414"/>
      <c r="OHA36" s="414"/>
      <c r="OHB36" s="414"/>
      <c r="OHC36" s="414"/>
      <c r="OHD36" s="414"/>
      <c r="OHE36" s="414"/>
      <c r="OHF36" s="414"/>
      <c r="OHG36" s="414"/>
      <c r="OHH36" s="414"/>
      <c r="OHI36" s="414"/>
      <c r="OHJ36" s="414"/>
      <c r="OHK36" s="414"/>
      <c r="OHL36" s="414"/>
      <c r="OHM36" s="414"/>
      <c r="OHN36" s="414"/>
      <c r="OHO36" s="414"/>
      <c r="OHP36" s="414"/>
      <c r="OHQ36" s="414"/>
      <c r="OHR36" s="414"/>
      <c r="OHS36" s="414"/>
      <c r="OHT36" s="414"/>
      <c r="OHU36" s="414"/>
      <c r="OHV36" s="414"/>
      <c r="OHW36" s="414"/>
      <c r="OHX36" s="414"/>
      <c r="OHY36" s="414"/>
      <c r="OHZ36" s="414"/>
      <c r="OIA36" s="414"/>
      <c r="OIB36" s="414"/>
      <c r="OIC36" s="414"/>
      <c r="OID36" s="414"/>
      <c r="OIE36" s="414"/>
      <c r="OIF36" s="414"/>
      <c r="OIG36" s="414"/>
      <c r="OIH36" s="414"/>
      <c r="OII36" s="414"/>
      <c r="OIJ36" s="414"/>
      <c r="OIK36" s="414"/>
      <c r="OIL36" s="414"/>
      <c r="OIM36" s="414"/>
      <c r="OIN36" s="414"/>
      <c r="OIO36" s="414"/>
      <c r="OIP36" s="414"/>
      <c r="OIQ36" s="414"/>
      <c r="OIR36" s="414"/>
      <c r="OIS36" s="414"/>
      <c r="OIT36" s="414"/>
      <c r="OIU36" s="414"/>
      <c r="OIV36" s="414"/>
      <c r="OIW36" s="414"/>
      <c r="OIX36" s="414"/>
      <c r="OIY36" s="414"/>
      <c r="OIZ36" s="414"/>
      <c r="OJA36" s="414"/>
      <c r="OJB36" s="414"/>
      <c r="OJC36" s="414"/>
      <c r="OJD36" s="414"/>
      <c r="OJE36" s="414"/>
      <c r="OJF36" s="414"/>
      <c r="OJG36" s="414"/>
      <c r="OJH36" s="414"/>
      <c r="OJI36" s="414"/>
      <c r="OJJ36" s="414"/>
      <c r="OJK36" s="414"/>
      <c r="OJL36" s="414"/>
      <c r="OJM36" s="414"/>
      <c r="OJN36" s="414"/>
      <c r="OJO36" s="414"/>
      <c r="OJP36" s="414"/>
      <c r="OJQ36" s="414"/>
      <c r="OJR36" s="414"/>
      <c r="OJS36" s="414"/>
      <c r="OJT36" s="414"/>
      <c r="OJU36" s="414"/>
      <c r="OJV36" s="414"/>
      <c r="OJW36" s="414"/>
      <c r="OJX36" s="414"/>
      <c r="OJY36" s="414"/>
      <c r="OJZ36" s="414"/>
      <c r="OKA36" s="414"/>
      <c r="OKB36" s="414"/>
      <c r="OKC36" s="414"/>
      <c r="OKD36" s="414"/>
      <c r="OKE36" s="414"/>
      <c r="OKF36" s="414"/>
      <c r="OKG36" s="414"/>
      <c r="OKH36" s="414"/>
      <c r="OKI36" s="414"/>
      <c r="OKJ36" s="414"/>
      <c r="OKK36" s="414"/>
      <c r="OKL36" s="414"/>
      <c r="OKM36" s="414"/>
      <c r="OKN36" s="414"/>
      <c r="OKO36" s="414"/>
      <c r="OKP36" s="414"/>
      <c r="OKQ36" s="414"/>
      <c r="OKR36" s="414"/>
      <c r="OKS36" s="414"/>
      <c r="OKT36" s="414"/>
      <c r="OKU36" s="414"/>
      <c r="OKV36" s="414"/>
      <c r="OKW36" s="414"/>
      <c r="OKX36" s="414"/>
      <c r="OKY36" s="414"/>
      <c r="OKZ36" s="414"/>
      <c r="OLA36" s="414"/>
      <c r="OLB36" s="414"/>
      <c r="OLC36" s="414"/>
      <c r="OLD36" s="414"/>
      <c r="OLE36" s="414"/>
      <c r="OLF36" s="414"/>
      <c r="OLG36" s="414"/>
      <c r="OLH36" s="414"/>
      <c r="OLI36" s="414"/>
      <c r="OLJ36" s="414"/>
      <c r="OLK36" s="414"/>
      <c r="OLL36" s="414"/>
      <c r="OLM36" s="414"/>
      <c r="OLN36" s="414"/>
      <c r="OLO36" s="414"/>
      <c r="OLP36" s="414"/>
      <c r="OLQ36" s="414"/>
      <c r="OLR36" s="414"/>
      <c r="OLS36" s="414"/>
      <c r="OLT36" s="414"/>
      <c r="OLU36" s="414"/>
      <c r="OLV36" s="414"/>
      <c r="OLW36" s="414"/>
      <c r="OLX36" s="414"/>
      <c r="OLY36" s="414"/>
      <c r="OLZ36" s="414"/>
      <c r="OMA36" s="414"/>
      <c r="OMB36" s="414"/>
      <c r="OMC36" s="414"/>
      <c r="OMD36" s="414"/>
      <c r="OME36" s="414"/>
      <c r="OMF36" s="414"/>
      <c r="OMG36" s="414"/>
      <c r="OMH36" s="414"/>
      <c r="OMI36" s="414"/>
      <c r="OMJ36" s="414"/>
      <c r="OMK36" s="414"/>
      <c r="OML36" s="414"/>
      <c r="OMM36" s="414"/>
      <c r="OMN36" s="414"/>
      <c r="OMO36" s="414"/>
      <c r="OMP36" s="414"/>
      <c r="OMQ36" s="414"/>
      <c r="OMR36" s="414"/>
      <c r="OMS36" s="414"/>
      <c r="OMT36" s="414"/>
      <c r="OMU36" s="414"/>
      <c r="OMV36" s="414"/>
      <c r="OMW36" s="414"/>
      <c r="OMX36" s="414"/>
      <c r="OMY36" s="414"/>
      <c r="OMZ36" s="414"/>
      <c r="ONA36" s="414"/>
      <c r="ONB36" s="414"/>
      <c r="ONC36" s="414"/>
      <c r="OND36" s="414"/>
      <c r="ONE36" s="414"/>
      <c r="ONF36" s="414"/>
      <c r="ONG36" s="414"/>
      <c r="ONH36" s="414"/>
      <c r="ONI36" s="414"/>
      <c r="ONJ36" s="414"/>
      <c r="ONK36" s="414"/>
      <c r="ONL36" s="414"/>
      <c r="ONM36" s="414"/>
      <c r="ONN36" s="414"/>
      <c r="ONO36" s="414"/>
      <c r="ONP36" s="414"/>
      <c r="ONQ36" s="414"/>
      <c r="ONR36" s="414"/>
      <c r="ONS36" s="414"/>
      <c r="ONT36" s="414"/>
      <c r="ONU36" s="414"/>
      <c r="ONV36" s="414"/>
      <c r="ONW36" s="414"/>
      <c r="ONX36" s="414"/>
      <c r="ONY36" s="414"/>
      <c r="ONZ36" s="414"/>
      <c r="OOA36" s="414"/>
      <c r="OOB36" s="414"/>
      <c r="OOC36" s="414"/>
      <c r="OOD36" s="414"/>
      <c r="OOE36" s="414"/>
      <c r="OOF36" s="414"/>
      <c r="OOG36" s="414"/>
      <c r="OOH36" s="414"/>
      <c r="OOI36" s="414"/>
      <c r="OOJ36" s="414"/>
      <c r="OOK36" s="414"/>
      <c r="OOL36" s="414"/>
      <c r="OOM36" s="414"/>
      <c r="OON36" s="414"/>
      <c r="OOO36" s="414"/>
      <c r="OOP36" s="414"/>
      <c r="OOQ36" s="414"/>
      <c r="OOR36" s="414"/>
      <c r="OOS36" s="414"/>
      <c r="OOT36" s="414"/>
      <c r="OOU36" s="414"/>
      <c r="OOV36" s="414"/>
      <c r="OOW36" s="414"/>
      <c r="OOX36" s="414"/>
      <c r="OOY36" s="414"/>
      <c r="OOZ36" s="414"/>
      <c r="OPA36" s="414"/>
      <c r="OPB36" s="414"/>
      <c r="OPC36" s="414"/>
      <c r="OPD36" s="414"/>
      <c r="OPE36" s="414"/>
      <c r="OPF36" s="414"/>
      <c r="OPG36" s="414"/>
      <c r="OPH36" s="414"/>
      <c r="OPI36" s="414"/>
      <c r="OPJ36" s="414"/>
      <c r="OPK36" s="414"/>
      <c r="OPL36" s="414"/>
      <c r="OPM36" s="414"/>
      <c r="OPN36" s="414"/>
      <c r="OPO36" s="414"/>
      <c r="OPP36" s="414"/>
      <c r="OPQ36" s="414"/>
      <c r="OPR36" s="414"/>
      <c r="OPS36" s="414"/>
      <c r="OPT36" s="414"/>
      <c r="OPU36" s="414"/>
      <c r="OPV36" s="414"/>
      <c r="OPW36" s="414"/>
      <c r="OPX36" s="414"/>
      <c r="OPY36" s="414"/>
      <c r="OPZ36" s="414"/>
      <c r="OQA36" s="414"/>
      <c r="OQB36" s="414"/>
      <c r="OQC36" s="414"/>
      <c r="OQD36" s="414"/>
      <c r="OQE36" s="414"/>
      <c r="OQF36" s="414"/>
      <c r="OQG36" s="414"/>
      <c r="OQH36" s="414"/>
      <c r="OQI36" s="414"/>
      <c r="OQJ36" s="414"/>
      <c r="OQK36" s="414"/>
      <c r="OQL36" s="414"/>
      <c r="OQM36" s="414"/>
      <c r="OQN36" s="414"/>
      <c r="OQO36" s="414"/>
      <c r="OQP36" s="414"/>
      <c r="OQQ36" s="414"/>
      <c r="OQR36" s="414"/>
      <c r="OQS36" s="414"/>
      <c r="OQT36" s="414"/>
      <c r="OQU36" s="414"/>
      <c r="OQV36" s="414"/>
      <c r="OQW36" s="414"/>
      <c r="OQX36" s="414"/>
      <c r="OQY36" s="414"/>
      <c r="OQZ36" s="414"/>
      <c r="ORA36" s="414"/>
      <c r="ORB36" s="414"/>
      <c r="ORC36" s="414"/>
      <c r="ORD36" s="414"/>
      <c r="ORE36" s="414"/>
      <c r="ORF36" s="414"/>
      <c r="ORG36" s="414"/>
      <c r="ORH36" s="414"/>
      <c r="ORI36" s="414"/>
      <c r="ORJ36" s="414"/>
      <c r="ORK36" s="414"/>
      <c r="ORL36" s="414"/>
      <c r="ORM36" s="414"/>
      <c r="ORN36" s="414"/>
      <c r="ORO36" s="414"/>
      <c r="ORP36" s="414"/>
      <c r="ORQ36" s="414"/>
      <c r="ORR36" s="414"/>
      <c r="ORS36" s="414"/>
      <c r="ORT36" s="414"/>
      <c r="ORU36" s="414"/>
      <c r="ORV36" s="414"/>
      <c r="ORW36" s="414"/>
      <c r="ORX36" s="414"/>
      <c r="ORY36" s="414"/>
      <c r="ORZ36" s="414"/>
      <c r="OSA36" s="414"/>
      <c r="OSB36" s="414"/>
      <c r="OSC36" s="414"/>
      <c r="OSD36" s="414"/>
      <c r="OSE36" s="414"/>
      <c r="OSF36" s="414"/>
      <c r="OSG36" s="414"/>
      <c r="OSH36" s="414"/>
      <c r="OSI36" s="414"/>
      <c r="OSJ36" s="414"/>
      <c r="OSK36" s="414"/>
      <c r="OSL36" s="414"/>
      <c r="OSM36" s="414"/>
      <c r="OSN36" s="414"/>
      <c r="OSO36" s="414"/>
      <c r="OSP36" s="414"/>
      <c r="OSQ36" s="414"/>
      <c r="OSR36" s="414"/>
      <c r="OSS36" s="414"/>
      <c r="OST36" s="414"/>
      <c r="OSU36" s="414"/>
      <c r="OSV36" s="414"/>
      <c r="OSW36" s="414"/>
      <c r="OSX36" s="414"/>
      <c r="OSY36" s="414"/>
      <c r="OSZ36" s="414"/>
      <c r="OTA36" s="414"/>
      <c r="OTB36" s="414"/>
      <c r="OTC36" s="414"/>
      <c r="OTD36" s="414"/>
      <c r="OTE36" s="414"/>
      <c r="OTF36" s="414"/>
      <c r="OTG36" s="414"/>
      <c r="OTH36" s="414"/>
      <c r="OTI36" s="414"/>
      <c r="OTJ36" s="414"/>
      <c r="OTK36" s="414"/>
      <c r="OTL36" s="414"/>
      <c r="OTM36" s="414"/>
      <c r="OTN36" s="414"/>
      <c r="OTO36" s="414"/>
      <c r="OTP36" s="414"/>
      <c r="OTQ36" s="414"/>
      <c r="OTR36" s="414"/>
      <c r="OTS36" s="414"/>
      <c r="OTT36" s="414"/>
      <c r="OTU36" s="414"/>
      <c r="OTV36" s="414"/>
      <c r="OTW36" s="414"/>
      <c r="OTX36" s="414"/>
      <c r="OTY36" s="414"/>
      <c r="OTZ36" s="414"/>
      <c r="OUA36" s="414"/>
      <c r="OUB36" s="414"/>
      <c r="OUC36" s="414"/>
      <c r="OUD36" s="414"/>
      <c r="OUE36" s="414"/>
      <c r="OUF36" s="414"/>
      <c r="OUG36" s="414"/>
      <c r="OUH36" s="414"/>
      <c r="OUI36" s="414"/>
      <c r="OUJ36" s="414"/>
      <c r="OUK36" s="414"/>
      <c r="OUL36" s="414"/>
      <c r="OUM36" s="414"/>
      <c r="OUN36" s="414"/>
      <c r="OUO36" s="414"/>
      <c r="OUP36" s="414"/>
      <c r="OUQ36" s="414"/>
      <c r="OUR36" s="414"/>
      <c r="OUS36" s="414"/>
      <c r="OUT36" s="414"/>
      <c r="OUU36" s="414"/>
      <c r="OUV36" s="414"/>
      <c r="OUW36" s="414"/>
      <c r="OUX36" s="414"/>
      <c r="OUY36" s="414"/>
      <c r="OUZ36" s="414"/>
      <c r="OVA36" s="414"/>
      <c r="OVB36" s="414"/>
      <c r="OVC36" s="414"/>
      <c r="OVD36" s="414"/>
      <c r="OVE36" s="414"/>
      <c r="OVF36" s="414"/>
      <c r="OVG36" s="414"/>
      <c r="OVH36" s="414"/>
      <c r="OVI36" s="414"/>
      <c r="OVJ36" s="414"/>
      <c r="OVK36" s="414"/>
      <c r="OVL36" s="414"/>
      <c r="OVM36" s="414"/>
      <c r="OVN36" s="414"/>
      <c r="OVO36" s="414"/>
      <c r="OVP36" s="414"/>
      <c r="OVQ36" s="414"/>
      <c r="OVR36" s="414"/>
      <c r="OVS36" s="414"/>
      <c r="OVT36" s="414"/>
      <c r="OVU36" s="414"/>
      <c r="OVV36" s="414"/>
      <c r="OVW36" s="414"/>
      <c r="OVX36" s="414"/>
      <c r="OVY36" s="414"/>
      <c r="OVZ36" s="414"/>
      <c r="OWA36" s="414"/>
      <c r="OWB36" s="414"/>
      <c r="OWC36" s="414"/>
      <c r="OWD36" s="414"/>
      <c r="OWE36" s="414"/>
      <c r="OWF36" s="414"/>
      <c r="OWG36" s="414"/>
      <c r="OWH36" s="414"/>
      <c r="OWI36" s="414"/>
      <c r="OWJ36" s="414"/>
      <c r="OWK36" s="414"/>
      <c r="OWL36" s="414"/>
      <c r="OWM36" s="414"/>
      <c r="OWN36" s="414"/>
      <c r="OWO36" s="414"/>
      <c r="OWP36" s="414"/>
      <c r="OWQ36" s="414"/>
      <c r="OWR36" s="414"/>
      <c r="OWS36" s="414"/>
      <c r="OWT36" s="414"/>
      <c r="OWU36" s="414"/>
      <c r="OWV36" s="414"/>
      <c r="OWW36" s="414"/>
      <c r="OWX36" s="414"/>
      <c r="OWY36" s="414"/>
      <c r="OWZ36" s="414"/>
      <c r="OXA36" s="414"/>
      <c r="OXB36" s="414"/>
      <c r="OXC36" s="414"/>
      <c r="OXD36" s="414"/>
      <c r="OXE36" s="414"/>
      <c r="OXF36" s="414"/>
      <c r="OXG36" s="414"/>
      <c r="OXH36" s="414"/>
      <c r="OXI36" s="414"/>
      <c r="OXJ36" s="414"/>
      <c r="OXK36" s="414"/>
      <c r="OXL36" s="414"/>
      <c r="OXM36" s="414"/>
      <c r="OXN36" s="414"/>
      <c r="OXO36" s="414"/>
      <c r="OXP36" s="414"/>
      <c r="OXQ36" s="414"/>
      <c r="OXR36" s="414"/>
      <c r="OXS36" s="414"/>
      <c r="OXT36" s="414"/>
      <c r="OXU36" s="414"/>
      <c r="OXV36" s="414"/>
      <c r="OXW36" s="414"/>
      <c r="OXX36" s="414"/>
      <c r="OXY36" s="414"/>
      <c r="OXZ36" s="414"/>
      <c r="OYA36" s="414"/>
      <c r="OYB36" s="414"/>
      <c r="OYC36" s="414"/>
      <c r="OYD36" s="414"/>
      <c r="OYE36" s="414"/>
      <c r="OYF36" s="414"/>
      <c r="OYG36" s="414"/>
      <c r="OYH36" s="414"/>
      <c r="OYI36" s="414"/>
      <c r="OYJ36" s="414"/>
      <c r="OYK36" s="414"/>
      <c r="OYL36" s="414"/>
      <c r="OYM36" s="414"/>
      <c r="OYN36" s="414"/>
      <c r="OYO36" s="414"/>
      <c r="OYP36" s="414"/>
      <c r="OYQ36" s="414"/>
      <c r="OYR36" s="414"/>
      <c r="OYS36" s="414"/>
      <c r="OYT36" s="414"/>
      <c r="OYU36" s="414"/>
      <c r="OYV36" s="414"/>
      <c r="OYW36" s="414"/>
      <c r="OYX36" s="414"/>
      <c r="OYY36" s="414"/>
      <c r="OYZ36" s="414"/>
      <c r="OZA36" s="414"/>
      <c r="OZB36" s="414"/>
      <c r="OZC36" s="414"/>
      <c r="OZD36" s="414"/>
      <c r="OZE36" s="414"/>
      <c r="OZF36" s="414"/>
      <c r="OZG36" s="414"/>
      <c r="OZH36" s="414"/>
      <c r="OZI36" s="414"/>
      <c r="OZJ36" s="414"/>
      <c r="OZK36" s="414"/>
      <c r="OZL36" s="414"/>
      <c r="OZM36" s="414"/>
      <c r="OZN36" s="414"/>
      <c r="OZO36" s="414"/>
      <c r="OZP36" s="414"/>
      <c r="OZQ36" s="414"/>
      <c r="OZR36" s="414"/>
      <c r="OZS36" s="414"/>
      <c r="OZT36" s="414"/>
      <c r="OZU36" s="414"/>
      <c r="OZV36" s="414"/>
      <c r="OZW36" s="414"/>
      <c r="OZX36" s="414"/>
      <c r="OZY36" s="414"/>
      <c r="OZZ36" s="414"/>
      <c r="PAA36" s="414"/>
      <c r="PAB36" s="414"/>
      <c r="PAC36" s="414"/>
      <c r="PAD36" s="414"/>
      <c r="PAE36" s="414"/>
      <c r="PAF36" s="414"/>
      <c r="PAG36" s="414"/>
      <c r="PAH36" s="414"/>
      <c r="PAI36" s="414"/>
      <c r="PAJ36" s="414"/>
      <c r="PAK36" s="414"/>
      <c r="PAL36" s="414"/>
      <c r="PAM36" s="414"/>
      <c r="PAN36" s="414"/>
      <c r="PAO36" s="414"/>
      <c r="PAP36" s="414"/>
      <c r="PAQ36" s="414"/>
      <c r="PAR36" s="414"/>
      <c r="PAS36" s="414"/>
      <c r="PAT36" s="414"/>
      <c r="PAU36" s="414"/>
      <c r="PAV36" s="414"/>
      <c r="PAW36" s="414"/>
      <c r="PAX36" s="414"/>
      <c r="PAY36" s="414"/>
      <c r="PAZ36" s="414"/>
      <c r="PBA36" s="414"/>
      <c r="PBB36" s="414"/>
      <c r="PBC36" s="414"/>
      <c r="PBD36" s="414"/>
      <c r="PBE36" s="414"/>
      <c r="PBF36" s="414"/>
      <c r="PBG36" s="414"/>
      <c r="PBH36" s="414"/>
      <c r="PBI36" s="414"/>
      <c r="PBJ36" s="414"/>
      <c r="PBK36" s="414"/>
      <c r="PBL36" s="414"/>
      <c r="PBM36" s="414"/>
      <c r="PBN36" s="414"/>
      <c r="PBO36" s="414"/>
      <c r="PBP36" s="414"/>
      <c r="PBQ36" s="414"/>
      <c r="PBR36" s="414"/>
      <c r="PBS36" s="414"/>
      <c r="PBT36" s="414"/>
      <c r="PBU36" s="414"/>
      <c r="PBV36" s="414"/>
      <c r="PBW36" s="414"/>
      <c r="PBX36" s="414"/>
      <c r="PBY36" s="414"/>
      <c r="PBZ36" s="414"/>
      <c r="PCA36" s="414"/>
      <c r="PCB36" s="414"/>
      <c r="PCC36" s="414"/>
      <c r="PCD36" s="414"/>
      <c r="PCE36" s="414"/>
      <c r="PCF36" s="414"/>
      <c r="PCG36" s="414"/>
      <c r="PCH36" s="414"/>
      <c r="PCI36" s="414"/>
      <c r="PCJ36" s="414"/>
      <c r="PCK36" s="414"/>
      <c r="PCL36" s="414"/>
      <c r="PCM36" s="414"/>
      <c r="PCN36" s="414"/>
      <c r="PCO36" s="414"/>
      <c r="PCP36" s="414"/>
      <c r="PCQ36" s="414"/>
      <c r="PCR36" s="414"/>
      <c r="PCS36" s="414"/>
      <c r="PCT36" s="414"/>
      <c r="PCU36" s="414"/>
      <c r="PCV36" s="414"/>
      <c r="PCW36" s="414"/>
      <c r="PCX36" s="414"/>
      <c r="PCY36" s="414"/>
      <c r="PCZ36" s="414"/>
      <c r="PDA36" s="414"/>
      <c r="PDB36" s="414"/>
      <c r="PDC36" s="414"/>
      <c r="PDD36" s="414"/>
      <c r="PDE36" s="414"/>
      <c r="PDF36" s="414"/>
      <c r="PDG36" s="414"/>
      <c r="PDH36" s="414"/>
      <c r="PDI36" s="414"/>
      <c r="PDJ36" s="414"/>
      <c r="PDK36" s="414"/>
      <c r="PDL36" s="414"/>
      <c r="PDM36" s="414"/>
      <c r="PDN36" s="414"/>
      <c r="PDO36" s="414"/>
      <c r="PDP36" s="414"/>
      <c r="PDQ36" s="414"/>
      <c r="PDR36" s="414"/>
      <c r="PDS36" s="414"/>
      <c r="PDT36" s="414"/>
      <c r="PDU36" s="414"/>
      <c r="PDV36" s="414"/>
      <c r="PDW36" s="414"/>
      <c r="PDX36" s="414"/>
      <c r="PDY36" s="414"/>
      <c r="PDZ36" s="414"/>
      <c r="PEA36" s="414"/>
      <c r="PEB36" s="414"/>
      <c r="PEC36" s="414"/>
      <c r="PED36" s="414"/>
      <c r="PEE36" s="414"/>
      <c r="PEF36" s="414"/>
      <c r="PEG36" s="414"/>
      <c r="PEH36" s="414"/>
      <c r="PEI36" s="414"/>
      <c r="PEJ36" s="414"/>
      <c r="PEK36" s="414"/>
      <c r="PEL36" s="414"/>
      <c r="PEM36" s="414"/>
      <c r="PEN36" s="414"/>
      <c r="PEO36" s="414"/>
      <c r="PEP36" s="414"/>
      <c r="PEQ36" s="414"/>
      <c r="PER36" s="414"/>
      <c r="PES36" s="414"/>
      <c r="PET36" s="414"/>
      <c r="PEU36" s="414"/>
      <c r="PEV36" s="414"/>
      <c r="PEW36" s="414"/>
      <c r="PEX36" s="414"/>
      <c r="PEY36" s="414"/>
      <c r="PEZ36" s="414"/>
      <c r="PFA36" s="414"/>
      <c r="PFB36" s="414"/>
      <c r="PFC36" s="414"/>
      <c r="PFD36" s="414"/>
      <c r="PFE36" s="414"/>
      <c r="PFF36" s="414"/>
      <c r="PFG36" s="414"/>
      <c r="PFH36" s="414"/>
      <c r="PFI36" s="414"/>
      <c r="PFJ36" s="414"/>
      <c r="PFK36" s="414"/>
      <c r="PFL36" s="414"/>
      <c r="PFM36" s="414"/>
      <c r="PFN36" s="414"/>
      <c r="PFO36" s="414"/>
      <c r="PFP36" s="414"/>
      <c r="PFQ36" s="414"/>
      <c r="PFR36" s="414"/>
      <c r="PFS36" s="414"/>
      <c r="PFT36" s="414"/>
      <c r="PFU36" s="414"/>
      <c r="PFV36" s="414"/>
      <c r="PFW36" s="414"/>
      <c r="PFX36" s="414"/>
      <c r="PFY36" s="414"/>
      <c r="PFZ36" s="414"/>
      <c r="PGA36" s="414"/>
      <c r="PGB36" s="414"/>
      <c r="PGC36" s="414"/>
      <c r="PGD36" s="414"/>
      <c r="PGE36" s="414"/>
      <c r="PGF36" s="414"/>
      <c r="PGG36" s="414"/>
      <c r="PGH36" s="414"/>
      <c r="PGI36" s="414"/>
      <c r="PGJ36" s="414"/>
      <c r="PGK36" s="414"/>
      <c r="PGL36" s="414"/>
      <c r="PGM36" s="414"/>
      <c r="PGN36" s="414"/>
      <c r="PGO36" s="414"/>
      <c r="PGP36" s="414"/>
      <c r="PGQ36" s="414"/>
      <c r="PGR36" s="414"/>
      <c r="PGS36" s="414"/>
      <c r="PGT36" s="414"/>
      <c r="PGU36" s="414"/>
      <c r="PGV36" s="414"/>
      <c r="PGW36" s="414"/>
      <c r="PGX36" s="414"/>
      <c r="PGY36" s="414"/>
      <c r="PGZ36" s="414"/>
      <c r="PHA36" s="414"/>
      <c r="PHB36" s="414"/>
      <c r="PHC36" s="414"/>
      <c r="PHD36" s="414"/>
      <c r="PHE36" s="414"/>
      <c r="PHF36" s="414"/>
      <c r="PHG36" s="414"/>
      <c r="PHH36" s="414"/>
      <c r="PHI36" s="414"/>
      <c r="PHJ36" s="414"/>
      <c r="PHK36" s="414"/>
      <c r="PHL36" s="414"/>
      <c r="PHM36" s="414"/>
      <c r="PHN36" s="414"/>
      <c r="PHO36" s="414"/>
      <c r="PHP36" s="414"/>
      <c r="PHQ36" s="414"/>
      <c r="PHR36" s="414"/>
      <c r="PHS36" s="414"/>
      <c r="PHT36" s="414"/>
      <c r="PHU36" s="414"/>
      <c r="PHV36" s="414"/>
      <c r="PHW36" s="414"/>
      <c r="PHX36" s="414"/>
      <c r="PHY36" s="414"/>
      <c r="PHZ36" s="414"/>
      <c r="PIA36" s="414"/>
      <c r="PIB36" s="414"/>
      <c r="PIC36" s="414"/>
      <c r="PID36" s="414"/>
      <c r="PIE36" s="414"/>
      <c r="PIF36" s="414"/>
      <c r="PIG36" s="414"/>
      <c r="PIH36" s="414"/>
      <c r="PII36" s="414"/>
      <c r="PIJ36" s="414"/>
      <c r="PIK36" s="414"/>
      <c r="PIL36" s="414"/>
      <c r="PIM36" s="414"/>
      <c r="PIN36" s="414"/>
      <c r="PIO36" s="414"/>
      <c r="PIP36" s="414"/>
      <c r="PIQ36" s="414"/>
      <c r="PIR36" s="414"/>
      <c r="PIS36" s="414"/>
      <c r="PIT36" s="414"/>
      <c r="PIU36" s="414"/>
      <c r="PIV36" s="414"/>
      <c r="PIW36" s="414"/>
      <c r="PIX36" s="414"/>
      <c r="PIY36" s="414"/>
      <c r="PIZ36" s="414"/>
      <c r="PJA36" s="414"/>
      <c r="PJB36" s="414"/>
      <c r="PJC36" s="414"/>
      <c r="PJD36" s="414"/>
      <c r="PJE36" s="414"/>
      <c r="PJF36" s="414"/>
      <c r="PJG36" s="414"/>
      <c r="PJH36" s="414"/>
      <c r="PJI36" s="414"/>
      <c r="PJJ36" s="414"/>
      <c r="PJK36" s="414"/>
      <c r="PJL36" s="414"/>
      <c r="PJM36" s="414"/>
      <c r="PJN36" s="414"/>
      <c r="PJO36" s="414"/>
      <c r="PJP36" s="414"/>
      <c r="PJQ36" s="414"/>
      <c r="PJR36" s="414"/>
      <c r="PJS36" s="414"/>
      <c r="PJT36" s="414"/>
      <c r="PJU36" s="414"/>
      <c r="PJV36" s="414"/>
      <c r="PJW36" s="414"/>
      <c r="PJX36" s="414"/>
      <c r="PJY36" s="414"/>
      <c r="PJZ36" s="414"/>
      <c r="PKA36" s="414"/>
      <c r="PKB36" s="414"/>
      <c r="PKC36" s="414"/>
      <c r="PKD36" s="414"/>
      <c r="PKE36" s="414"/>
      <c r="PKF36" s="414"/>
      <c r="PKG36" s="414"/>
      <c r="PKH36" s="414"/>
      <c r="PKI36" s="414"/>
      <c r="PKJ36" s="414"/>
      <c r="PKK36" s="414"/>
      <c r="PKL36" s="414"/>
      <c r="PKM36" s="414"/>
      <c r="PKN36" s="414"/>
      <c r="PKO36" s="414"/>
      <c r="PKP36" s="414"/>
      <c r="PKQ36" s="414"/>
      <c r="PKR36" s="414"/>
      <c r="PKS36" s="414"/>
      <c r="PKT36" s="414"/>
      <c r="PKU36" s="414"/>
      <c r="PKV36" s="414"/>
      <c r="PKW36" s="414"/>
      <c r="PKX36" s="414"/>
      <c r="PKY36" s="414"/>
      <c r="PKZ36" s="414"/>
      <c r="PLA36" s="414"/>
      <c r="PLB36" s="414"/>
      <c r="PLC36" s="414"/>
      <c r="PLD36" s="414"/>
      <c r="PLE36" s="414"/>
      <c r="PLF36" s="414"/>
      <c r="PLG36" s="414"/>
      <c r="PLH36" s="414"/>
      <c r="PLI36" s="414"/>
      <c r="PLJ36" s="414"/>
      <c r="PLK36" s="414"/>
      <c r="PLL36" s="414"/>
      <c r="PLM36" s="414"/>
      <c r="PLN36" s="414"/>
      <c r="PLO36" s="414"/>
      <c r="PLP36" s="414"/>
      <c r="PLQ36" s="414"/>
      <c r="PLR36" s="414"/>
      <c r="PLS36" s="414"/>
      <c r="PLT36" s="414"/>
      <c r="PLU36" s="414"/>
      <c r="PLV36" s="414"/>
      <c r="PLW36" s="414"/>
      <c r="PLX36" s="414"/>
      <c r="PLY36" s="414"/>
      <c r="PLZ36" s="414"/>
      <c r="PMA36" s="414"/>
      <c r="PMB36" s="414"/>
      <c r="PMC36" s="414"/>
      <c r="PMD36" s="414"/>
      <c r="PME36" s="414"/>
      <c r="PMF36" s="414"/>
      <c r="PMG36" s="414"/>
      <c r="PMH36" s="414"/>
      <c r="PMI36" s="414"/>
      <c r="PMJ36" s="414"/>
      <c r="PMK36" s="414"/>
      <c r="PML36" s="414"/>
      <c r="PMM36" s="414"/>
      <c r="PMN36" s="414"/>
      <c r="PMO36" s="414"/>
      <c r="PMP36" s="414"/>
      <c r="PMQ36" s="414"/>
      <c r="PMR36" s="414"/>
      <c r="PMS36" s="414"/>
      <c r="PMT36" s="414"/>
      <c r="PMU36" s="414"/>
      <c r="PMV36" s="414"/>
      <c r="PMW36" s="414"/>
      <c r="PMX36" s="414"/>
      <c r="PMY36" s="414"/>
      <c r="PMZ36" s="414"/>
      <c r="PNA36" s="414"/>
      <c r="PNB36" s="414"/>
      <c r="PNC36" s="414"/>
      <c r="PND36" s="414"/>
      <c r="PNE36" s="414"/>
      <c r="PNF36" s="414"/>
      <c r="PNG36" s="414"/>
      <c r="PNH36" s="414"/>
      <c r="PNI36" s="414"/>
      <c r="PNJ36" s="414"/>
      <c r="PNK36" s="414"/>
      <c r="PNL36" s="414"/>
      <c r="PNM36" s="414"/>
      <c r="PNN36" s="414"/>
      <c r="PNO36" s="414"/>
      <c r="PNP36" s="414"/>
      <c r="PNQ36" s="414"/>
      <c r="PNR36" s="414"/>
      <c r="PNS36" s="414"/>
      <c r="PNT36" s="414"/>
      <c r="PNU36" s="414"/>
      <c r="PNV36" s="414"/>
      <c r="PNW36" s="414"/>
      <c r="PNX36" s="414"/>
      <c r="PNY36" s="414"/>
      <c r="PNZ36" s="414"/>
      <c r="POA36" s="414"/>
      <c r="POB36" s="414"/>
      <c r="POC36" s="414"/>
      <c r="POD36" s="414"/>
      <c r="POE36" s="414"/>
      <c r="POF36" s="414"/>
      <c r="POG36" s="414"/>
      <c r="POH36" s="414"/>
      <c r="POI36" s="414"/>
      <c r="POJ36" s="414"/>
      <c r="POK36" s="414"/>
      <c r="POL36" s="414"/>
      <c r="POM36" s="414"/>
      <c r="PON36" s="414"/>
      <c r="POO36" s="414"/>
      <c r="POP36" s="414"/>
      <c r="POQ36" s="414"/>
      <c r="POR36" s="414"/>
      <c r="POS36" s="414"/>
      <c r="POT36" s="414"/>
      <c r="POU36" s="414"/>
      <c r="POV36" s="414"/>
      <c r="POW36" s="414"/>
      <c r="POX36" s="414"/>
      <c r="POY36" s="414"/>
      <c r="POZ36" s="414"/>
      <c r="PPA36" s="414"/>
      <c r="PPB36" s="414"/>
      <c r="PPC36" s="414"/>
      <c r="PPD36" s="414"/>
      <c r="PPE36" s="414"/>
      <c r="PPF36" s="414"/>
      <c r="PPG36" s="414"/>
      <c r="PPH36" s="414"/>
      <c r="PPI36" s="414"/>
      <c r="PPJ36" s="414"/>
      <c r="PPK36" s="414"/>
      <c r="PPL36" s="414"/>
      <c r="PPM36" s="414"/>
      <c r="PPN36" s="414"/>
      <c r="PPO36" s="414"/>
      <c r="PPP36" s="414"/>
      <c r="PPQ36" s="414"/>
      <c r="PPR36" s="414"/>
      <c r="PPS36" s="414"/>
      <c r="PPT36" s="414"/>
      <c r="PPU36" s="414"/>
      <c r="PPV36" s="414"/>
      <c r="PPW36" s="414"/>
      <c r="PPX36" s="414"/>
      <c r="PPY36" s="414"/>
      <c r="PPZ36" s="414"/>
      <c r="PQA36" s="414"/>
      <c r="PQB36" s="414"/>
      <c r="PQC36" s="414"/>
      <c r="PQD36" s="414"/>
      <c r="PQE36" s="414"/>
      <c r="PQF36" s="414"/>
      <c r="PQG36" s="414"/>
      <c r="PQH36" s="414"/>
      <c r="PQI36" s="414"/>
      <c r="PQJ36" s="414"/>
      <c r="PQK36" s="414"/>
      <c r="PQL36" s="414"/>
      <c r="PQM36" s="414"/>
      <c r="PQN36" s="414"/>
      <c r="PQO36" s="414"/>
      <c r="PQP36" s="414"/>
      <c r="PQQ36" s="414"/>
      <c r="PQR36" s="414"/>
      <c r="PQS36" s="414"/>
      <c r="PQT36" s="414"/>
      <c r="PQU36" s="414"/>
      <c r="PQV36" s="414"/>
      <c r="PQW36" s="414"/>
      <c r="PQX36" s="414"/>
      <c r="PQY36" s="414"/>
      <c r="PQZ36" s="414"/>
      <c r="PRA36" s="414"/>
      <c r="PRB36" s="414"/>
      <c r="PRC36" s="414"/>
      <c r="PRD36" s="414"/>
      <c r="PRE36" s="414"/>
      <c r="PRF36" s="414"/>
      <c r="PRG36" s="414"/>
      <c r="PRH36" s="414"/>
      <c r="PRI36" s="414"/>
      <c r="PRJ36" s="414"/>
      <c r="PRK36" s="414"/>
      <c r="PRL36" s="414"/>
      <c r="PRM36" s="414"/>
      <c r="PRN36" s="414"/>
      <c r="PRO36" s="414"/>
      <c r="PRP36" s="414"/>
      <c r="PRQ36" s="414"/>
      <c r="PRR36" s="414"/>
      <c r="PRS36" s="414"/>
      <c r="PRT36" s="414"/>
      <c r="PRU36" s="414"/>
      <c r="PRV36" s="414"/>
      <c r="PRW36" s="414"/>
      <c r="PRX36" s="414"/>
      <c r="PRY36" s="414"/>
      <c r="PRZ36" s="414"/>
      <c r="PSA36" s="414"/>
      <c r="PSB36" s="414"/>
      <c r="PSC36" s="414"/>
      <c r="PSD36" s="414"/>
      <c r="PSE36" s="414"/>
      <c r="PSF36" s="414"/>
      <c r="PSG36" s="414"/>
      <c r="PSH36" s="414"/>
      <c r="PSI36" s="414"/>
      <c r="PSJ36" s="414"/>
      <c r="PSK36" s="414"/>
      <c r="PSL36" s="414"/>
      <c r="PSM36" s="414"/>
      <c r="PSN36" s="414"/>
      <c r="PSO36" s="414"/>
      <c r="PSP36" s="414"/>
      <c r="PSQ36" s="414"/>
      <c r="PSR36" s="414"/>
      <c r="PSS36" s="414"/>
      <c r="PST36" s="414"/>
      <c r="PSU36" s="414"/>
      <c r="PSV36" s="414"/>
      <c r="PSW36" s="414"/>
      <c r="PSX36" s="414"/>
      <c r="PSY36" s="414"/>
      <c r="PSZ36" s="414"/>
      <c r="PTA36" s="414"/>
      <c r="PTB36" s="414"/>
      <c r="PTC36" s="414"/>
      <c r="PTD36" s="414"/>
      <c r="PTE36" s="414"/>
      <c r="PTF36" s="414"/>
      <c r="PTG36" s="414"/>
      <c r="PTH36" s="414"/>
      <c r="PTI36" s="414"/>
      <c r="PTJ36" s="414"/>
      <c r="PTK36" s="414"/>
      <c r="PTL36" s="414"/>
      <c r="PTM36" s="414"/>
      <c r="PTN36" s="414"/>
      <c r="PTO36" s="414"/>
      <c r="PTP36" s="414"/>
      <c r="PTQ36" s="414"/>
      <c r="PTR36" s="414"/>
      <c r="PTS36" s="414"/>
      <c r="PTT36" s="414"/>
      <c r="PTU36" s="414"/>
      <c r="PTV36" s="414"/>
      <c r="PTW36" s="414"/>
      <c r="PTX36" s="414"/>
      <c r="PTY36" s="414"/>
      <c r="PTZ36" s="414"/>
      <c r="PUA36" s="414"/>
      <c r="PUB36" s="414"/>
      <c r="PUC36" s="414"/>
      <c r="PUD36" s="414"/>
      <c r="PUE36" s="414"/>
      <c r="PUF36" s="414"/>
      <c r="PUG36" s="414"/>
      <c r="PUH36" s="414"/>
      <c r="PUI36" s="414"/>
      <c r="PUJ36" s="414"/>
      <c r="PUK36" s="414"/>
      <c r="PUL36" s="414"/>
      <c r="PUM36" s="414"/>
      <c r="PUN36" s="414"/>
      <c r="PUO36" s="414"/>
      <c r="PUP36" s="414"/>
      <c r="PUQ36" s="414"/>
      <c r="PUR36" s="414"/>
      <c r="PUS36" s="414"/>
      <c r="PUT36" s="414"/>
      <c r="PUU36" s="414"/>
      <c r="PUV36" s="414"/>
      <c r="PUW36" s="414"/>
      <c r="PUX36" s="414"/>
      <c r="PUY36" s="414"/>
      <c r="PUZ36" s="414"/>
      <c r="PVA36" s="414"/>
      <c r="PVB36" s="414"/>
      <c r="PVC36" s="414"/>
      <c r="PVD36" s="414"/>
      <c r="PVE36" s="414"/>
      <c r="PVF36" s="414"/>
      <c r="PVG36" s="414"/>
      <c r="PVH36" s="414"/>
      <c r="PVI36" s="414"/>
      <c r="PVJ36" s="414"/>
      <c r="PVK36" s="414"/>
      <c r="PVL36" s="414"/>
      <c r="PVM36" s="414"/>
      <c r="PVN36" s="414"/>
      <c r="PVO36" s="414"/>
      <c r="PVP36" s="414"/>
      <c r="PVQ36" s="414"/>
      <c r="PVR36" s="414"/>
      <c r="PVS36" s="414"/>
      <c r="PVT36" s="414"/>
      <c r="PVU36" s="414"/>
      <c r="PVV36" s="414"/>
      <c r="PVW36" s="414"/>
      <c r="PVX36" s="414"/>
      <c r="PVY36" s="414"/>
      <c r="PVZ36" s="414"/>
      <c r="PWA36" s="414"/>
      <c r="PWB36" s="414"/>
      <c r="PWC36" s="414"/>
      <c r="PWD36" s="414"/>
      <c r="PWE36" s="414"/>
      <c r="PWF36" s="414"/>
      <c r="PWG36" s="414"/>
      <c r="PWH36" s="414"/>
      <c r="PWI36" s="414"/>
      <c r="PWJ36" s="414"/>
      <c r="PWK36" s="414"/>
      <c r="PWL36" s="414"/>
      <c r="PWM36" s="414"/>
      <c r="PWN36" s="414"/>
      <c r="PWO36" s="414"/>
      <c r="PWP36" s="414"/>
      <c r="PWQ36" s="414"/>
      <c r="PWR36" s="414"/>
      <c r="PWS36" s="414"/>
      <c r="PWT36" s="414"/>
      <c r="PWU36" s="414"/>
      <c r="PWV36" s="414"/>
      <c r="PWW36" s="414"/>
      <c r="PWX36" s="414"/>
      <c r="PWY36" s="414"/>
      <c r="PWZ36" s="414"/>
      <c r="PXA36" s="414"/>
      <c r="PXB36" s="414"/>
      <c r="PXC36" s="414"/>
      <c r="PXD36" s="414"/>
      <c r="PXE36" s="414"/>
      <c r="PXF36" s="414"/>
      <c r="PXG36" s="414"/>
      <c r="PXH36" s="414"/>
      <c r="PXI36" s="414"/>
      <c r="PXJ36" s="414"/>
      <c r="PXK36" s="414"/>
      <c r="PXL36" s="414"/>
      <c r="PXM36" s="414"/>
      <c r="PXN36" s="414"/>
      <c r="PXO36" s="414"/>
      <c r="PXP36" s="414"/>
      <c r="PXQ36" s="414"/>
      <c r="PXR36" s="414"/>
      <c r="PXS36" s="414"/>
      <c r="PXT36" s="414"/>
      <c r="PXU36" s="414"/>
      <c r="PXV36" s="414"/>
      <c r="PXW36" s="414"/>
      <c r="PXX36" s="414"/>
      <c r="PXY36" s="414"/>
      <c r="PXZ36" s="414"/>
      <c r="PYA36" s="414"/>
      <c r="PYB36" s="414"/>
      <c r="PYC36" s="414"/>
      <c r="PYD36" s="414"/>
      <c r="PYE36" s="414"/>
      <c r="PYF36" s="414"/>
      <c r="PYG36" s="414"/>
      <c r="PYH36" s="414"/>
      <c r="PYI36" s="414"/>
      <c r="PYJ36" s="414"/>
      <c r="PYK36" s="414"/>
      <c r="PYL36" s="414"/>
      <c r="PYM36" s="414"/>
      <c r="PYN36" s="414"/>
      <c r="PYO36" s="414"/>
      <c r="PYP36" s="414"/>
      <c r="PYQ36" s="414"/>
      <c r="PYR36" s="414"/>
      <c r="PYS36" s="414"/>
      <c r="PYT36" s="414"/>
      <c r="PYU36" s="414"/>
      <c r="PYV36" s="414"/>
      <c r="PYW36" s="414"/>
      <c r="PYX36" s="414"/>
      <c r="PYY36" s="414"/>
      <c r="PYZ36" s="414"/>
      <c r="PZA36" s="414"/>
      <c r="PZB36" s="414"/>
      <c r="PZC36" s="414"/>
      <c r="PZD36" s="414"/>
      <c r="PZE36" s="414"/>
      <c r="PZF36" s="414"/>
      <c r="PZG36" s="414"/>
      <c r="PZH36" s="414"/>
      <c r="PZI36" s="414"/>
      <c r="PZJ36" s="414"/>
      <c r="PZK36" s="414"/>
      <c r="PZL36" s="414"/>
      <c r="PZM36" s="414"/>
      <c r="PZN36" s="414"/>
      <c r="PZO36" s="414"/>
      <c r="PZP36" s="414"/>
      <c r="PZQ36" s="414"/>
      <c r="PZR36" s="414"/>
      <c r="PZS36" s="414"/>
      <c r="PZT36" s="414"/>
      <c r="PZU36" s="414"/>
      <c r="PZV36" s="414"/>
      <c r="PZW36" s="414"/>
      <c r="PZX36" s="414"/>
      <c r="PZY36" s="414"/>
      <c r="PZZ36" s="414"/>
      <c r="QAA36" s="414"/>
      <c r="QAB36" s="414"/>
      <c r="QAC36" s="414"/>
      <c r="QAD36" s="414"/>
      <c r="QAE36" s="414"/>
      <c r="QAF36" s="414"/>
      <c r="QAG36" s="414"/>
      <c r="QAH36" s="414"/>
      <c r="QAI36" s="414"/>
      <c r="QAJ36" s="414"/>
      <c r="QAK36" s="414"/>
      <c r="QAL36" s="414"/>
      <c r="QAM36" s="414"/>
      <c r="QAN36" s="414"/>
      <c r="QAO36" s="414"/>
      <c r="QAP36" s="414"/>
      <c r="QAQ36" s="414"/>
      <c r="QAR36" s="414"/>
      <c r="QAS36" s="414"/>
      <c r="QAT36" s="414"/>
      <c r="QAU36" s="414"/>
      <c r="QAV36" s="414"/>
      <c r="QAW36" s="414"/>
      <c r="QAX36" s="414"/>
      <c r="QAY36" s="414"/>
      <c r="QAZ36" s="414"/>
      <c r="QBA36" s="414"/>
      <c r="QBB36" s="414"/>
      <c r="QBC36" s="414"/>
      <c r="QBD36" s="414"/>
      <c r="QBE36" s="414"/>
      <c r="QBF36" s="414"/>
      <c r="QBG36" s="414"/>
      <c r="QBH36" s="414"/>
      <c r="QBI36" s="414"/>
      <c r="QBJ36" s="414"/>
      <c r="QBK36" s="414"/>
      <c r="QBL36" s="414"/>
      <c r="QBM36" s="414"/>
      <c r="QBN36" s="414"/>
      <c r="QBO36" s="414"/>
      <c r="QBP36" s="414"/>
      <c r="QBQ36" s="414"/>
      <c r="QBR36" s="414"/>
      <c r="QBS36" s="414"/>
      <c r="QBT36" s="414"/>
      <c r="QBU36" s="414"/>
      <c r="QBV36" s="414"/>
      <c r="QBW36" s="414"/>
      <c r="QBX36" s="414"/>
      <c r="QBY36" s="414"/>
      <c r="QBZ36" s="414"/>
      <c r="QCA36" s="414"/>
      <c r="QCB36" s="414"/>
      <c r="QCC36" s="414"/>
      <c r="QCD36" s="414"/>
      <c r="QCE36" s="414"/>
      <c r="QCF36" s="414"/>
      <c r="QCG36" s="414"/>
      <c r="QCH36" s="414"/>
      <c r="QCI36" s="414"/>
      <c r="QCJ36" s="414"/>
      <c r="QCK36" s="414"/>
      <c r="QCL36" s="414"/>
      <c r="QCM36" s="414"/>
      <c r="QCN36" s="414"/>
      <c r="QCO36" s="414"/>
      <c r="QCP36" s="414"/>
      <c r="QCQ36" s="414"/>
      <c r="QCR36" s="414"/>
      <c r="QCS36" s="414"/>
      <c r="QCT36" s="414"/>
      <c r="QCU36" s="414"/>
      <c r="QCV36" s="414"/>
      <c r="QCW36" s="414"/>
      <c r="QCX36" s="414"/>
      <c r="QCY36" s="414"/>
      <c r="QCZ36" s="414"/>
      <c r="QDA36" s="414"/>
      <c r="QDB36" s="414"/>
      <c r="QDC36" s="414"/>
      <c r="QDD36" s="414"/>
      <c r="QDE36" s="414"/>
      <c r="QDF36" s="414"/>
      <c r="QDG36" s="414"/>
      <c r="QDH36" s="414"/>
      <c r="QDI36" s="414"/>
      <c r="QDJ36" s="414"/>
      <c r="QDK36" s="414"/>
      <c r="QDL36" s="414"/>
      <c r="QDM36" s="414"/>
      <c r="QDN36" s="414"/>
      <c r="QDO36" s="414"/>
      <c r="QDP36" s="414"/>
      <c r="QDQ36" s="414"/>
      <c r="QDR36" s="414"/>
      <c r="QDS36" s="414"/>
      <c r="QDT36" s="414"/>
      <c r="QDU36" s="414"/>
      <c r="QDV36" s="414"/>
      <c r="QDW36" s="414"/>
      <c r="QDX36" s="414"/>
      <c r="QDY36" s="414"/>
      <c r="QDZ36" s="414"/>
      <c r="QEA36" s="414"/>
      <c r="QEB36" s="414"/>
      <c r="QEC36" s="414"/>
      <c r="QED36" s="414"/>
      <c r="QEE36" s="414"/>
      <c r="QEF36" s="414"/>
      <c r="QEG36" s="414"/>
      <c r="QEH36" s="414"/>
      <c r="QEI36" s="414"/>
      <c r="QEJ36" s="414"/>
      <c r="QEK36" s="414"/>
      <c r="QEL36" s="414"/>
      <c r="QEM36" s="414"/>
      <c r="QEN36" s="414"/>
      <c r="QEO36" s="414"/>
      <c r="QEP36" s="414"/>
      <c r="QEQ36" s="414"/>
      <c r="QER36" s="414"/>
      <c r="QES36" s="414"/>
      <c r="QET36" s="414"/>
      <c r="QEU36" s="414"/>
      <c r="QEV36" s="414"/>
      <c r="QEW36" s="414"/>
      <c r="QEX36" s="414"/>
      <c r="QEY36" s="414"/>
      <c r="QEZ36" s="414"/>
      <c r="QFA36" s="414"/>
      <c r="QFB36" s="414"/>
      <c r="QFC36" s="414"/>
      <c r="QFD36" s="414"/>
      <c r="QFE36" s="414"/>
      <c r="QFF36" s="414"/>
      <c r="QFG36" s="414"/>
      <c r="QFH36" s="414"/>
      <c r="QFI36" s="414"/>
      <c r="QFJ36" s="414"/>
      <c r="QFK36" s="414"/>
      <c r="QFL36" s="414"/>
      <c r="QFM36" s="414"/>
      <c r="QFN36" s="414"/>
      <c r="QFO36" s="414"/>
      <c r="QFP36" s="414"/>
      <c r="QFQ36" s="414"/>
      <c r="QFR36" s="414"/>
      <c r="QFS36" s="414"/>
      <c r="QFT36" s="414"/>
      <c r="QFU36" s="414"/>
      <c r="QFV36" s="414"/>
      <c r="QFW36" s="414"/>
      <c r="QFX36" s="414"/>
      <c r="QFY36" s="414"/>
      <c r="QFZ36" s="414"/>
      <c r="QGA36" s="414"/>
      <c r="QGB36" s="414"/>
      <c r="QGC36" s="414"/>
      <c r="QGD36" s="414"/>
      <c r="QGE36" s="414"/>
      <c r="QGF36" s="414"/>
      <c r="QGG36" s="414"/>
      <c r="QGH36" s="414"/>
      <c r="QGI36" s="414"/>
      <c r="QGJ36" s="414"/>
      <c r="QGK36" s="414"/>
      <c r="QGL36" s="414"/>
      <c r="QGM36" s="414"/>
      <c r="QGN36" s="414"/>
      <c r="QGO36" s="414"/>
      <c r="QGP36" s="414"/>
      <c r="QGQ36" s="414"/>
      <c r="QGR36" s="414"/>
      <c r="QGS36" s="414"/>
      <c r="QGT36" s="414"/>
      <c r="QGU36" s="414"/>
      <c r="QGV36" s="414"/>
      <c r="QGW36" s="414"/>
      <c r="QGX36" s="414"/>
      <c r="QGY36" s="414"/>
      <c r="QGZ36" s="414"/>
      <c r="QHA36" s="414"/>
      <c r="QHB36" s="414"/>
      <c r="QHC36" s="414"/>
      <c r="QHD36" s="414"/>
      <c r="QHE36" s="414"/>
      <c r="QHF36" s="414"/>
      <c r="QHG36" s="414"/>
      <c r="QHH36" s="414"/>
      <c r="QHI36" s="414"/>
      <c r="QHJ36" s="414"/>
      <c r="QHK36" s="414"/>
      <c r="QHL36" s="414"/>
      <c r="QHM36" s="414"/>
      <c r="QHN36" s="414"/>
      <c r="QHO36" s="414"/>
      <c r="QHP36" s="414"/>
      <c r="QHQ36" s="414"/>
      <c r="QHR36" s="414"/>
      <c r="QHS36" s="414"/>
      <c r="QHT36" s="414"/>
      <c r="QHU36" s="414"/>
      <c r="QHV36" s="414"/>
      <c r="QHW36" s="414"/>
      <c r="QHX36" s="414"/>
      <c r="QHY36" s="414"/>
      <c r="QHZ36" s="414"/>
      <c r="QIA36" s="414"/>
      <c r="QIB36" s="414"/>
      <c r="QIC36" s="414"/>
      <c r="QID36" s="414"/>
      <c r="QIE36" s="414"/>
      <c r="QIF36" s="414"/>
      <c r="QIG36" s="414"/>
      <c r="QIH36" s="414"/>
      <c r="QII36" s="414"/>
      <c r="QIJ36" s="414"/>
      <c r="QIK36" s="414"/>
      <c r="QIL36" s="414"/>
      <c r="QIM36" s="414"/>
      <c r="QIN36" s="414"/>
      <c r="QIO36" s="414"/>
      <c r="QIP36" s="414"/>
      <c r="QIQ36" s="414"/>
      <c r="QIR36" s="414"/>
      <c r="QIS36" s="414"/>
      <c r="QIT36" s="414"/>
      <c r="QIU36" s="414"/>
      <c r="QIV36" s="414"/>
      <c r="QIW36" s="414"/>
      <c r="QIX36" s="414"/>
      <c r="QIY36" s="414"/>
      <c r="QIZ36" s="414"/>
      <c r="QJA36" s="414"/>
      <c r="QJB36" s="414"/>
      <c r="QJC36" s="414"/>
      <c r="QJD36" s="414"/>
      <c r="QJE36" s="414"/>
      <c r="QJF36" s="414"/>
      <c r="QJG36" s="414"/>
      <c r="QJH36" s="414"/>
      <c r="QJI36" s="414"/>
      <c r="QJJ36" s="414"/>
      <c r="QJK36" s="414"/>
      <c r="QJL36" s="414"/>
      <c r="QJM36" s="414"/>
      <c r="QJN36" s="414"/>
      <c r="QJO36" s="414"/>
      <c r="QJP36" s="414"/>
      <c r="QJQ36" s="414"/>
      <c r="QJR36" s="414"/>
      <c r="QJS36" s="414"/>
      <c r="QJT36" s="414"/>
      <c r="QJU36" s="414"/>
      <c r="QJV36" s="414"/>
      <c r="QJW36" s="414"/>
      <c r="QJX36" s="414"/>
      <c r="QJY36" s="414"/>
      <c r="QJZ36" s="414"/>
      <c r="QKA36" s="414"/>
      <c r="QKB36" s="414"/>
      <c r="QKC36" s="414"/>
      <c r="QKD36" s="414"/>
      <c r="QKE36" s="414"/>
      <c r="QKF36" s="414"/>
      <c r="QKG36" s="414"/>
      <c r="QKH36" s="414"/>
      <c r="QKI36" s="414"/>
      <c r="QKJ36" s="414"/>
      <c r="QKK36" s="414"/>
      <c r="QKL36" s="414"/>
      <c r="QKM36" s="414"/>
      <c r="QKN36" s="414"/>
      <c r="QKO36" s="414"/>
      <c r="QKP36" s="414"/>
      <c r="QKQ36" s="414"/>
      <c r="QKR36" s="414"/>
      <c r="QKS36" s="414"/>
      <c r="QKT36" s="414"/>
      <c r="QKU36" s="414"/>
      <c r="QKV36" s="414"/>
      <c r="QKW36" s="414"/>
      <c r="QKX36" s="414"/>
      <c r="QKY36" s="414"/>
      <c r="QKZ36" s="414"/>
      <c r="QLA36" s="414"/>
      <c r="QLB36" s="414"/>
      <c r="QLC36" s="414"/>
      <c r="QLD36" s="414"/>
      <c r="QLE36" s="414"/>
      <c r="QLF36" s="414"/>
      <c r="QLG36" s="414"/>
      <c r="QLH36" s="414"/>
      <c r="QLI36" s="414"/>
      <c r="QLJ36" s="414"/>
      <c r="QLK36" s="414"/>
      <c r="QLL36" s="414"/>
      <c r="QLM36" s="414"/>
      <c r="QLN36" s="414"/>
      <c r="QLO36" s="414"/>
      <c r="QLP36" s="414"/>
      <c r="QLQ36" s="414"/>
      <c r="QLR36" s="414"/>
      <c r="QLS36" s="414"/>
      <c r="QLT36" s="414"/>
      <c r="QLU36" s="414"/>
      <c r="QLV36" s="414"/>
      <c r="QLW36" s="414"/>
      <c r="QLX36" s="414"/>
      <c r="QLY36" s="414"/>
      <c r="QLZ36" s="414"/>
      <c r="QMA36" s="414"/>
      <c r="QMB36" s="414"/>
      <c r="QMC36" s="414"/>
      <c r="QMD36" s="414"/>
      <c r="QME36" s="414"/>
      <c r="QMF36" s="414"/>
      <c r="QMG36" s="414"/>
      <c r="QMH36" s="414"/>
      <c r="QMI36" s="414"/>
      <c r="QMJ36" s="414"/>
      <c r="QMK36" s="414"/>
      <c r="QML36" s="414"/>
      <c r="QMM36" s="414"/>
      <c r="QMN36" s="414"/>
      <c r="QMO36" s="414"/>
      <c r="QMP36" s="414"/>
      <c r="QMQ36" s="414"/>
      <c r="QMR36" s="414"/>
      <c r="QMS36" s="414"/>
      <c r="QMT36" s="414"/>
      <c r="QMU36" s="414"/>
      <c r="QMV36" s="414"/>
      <c r="QMW36" s="414"/>
      <c r="QMX36" s="414"/>
      <c r="QMY36" s="414"/>
      <c r="QMZ36" s="414"/>
      <c r="QNA36" s="414"/>
      <c r="QNB36" s="414"/>
      <c r="QNC36" s="414"/>
      <c r="QND36" s="414"/>
      <c r="QNE36" s="414"/>
      <c r="QNF36" s="414"/>
      <c r="QNG36" s="414"/>
      <c r="QNH36" s="414"/>
      <c r="QNI36" s="414"/>
      <c r="QNJ36" s="414"/>
      <c r="QNK36" s="414"/>
      <c r="QNL36" s="414"/>
      <c r="QNM36" s="414"/>
      <c r="QNN36" s="414"/>
      <c r="QNO36" s="414"/>
      <c r="QNP36" s="414"/>
      <c r="QNQ36" s="414"/>
      <c r="QNR36" s="414"/>
      <c r="QNS36" s="414"/>
      <c r="QNT36" s="414"/>
      <c r="QNU36" s="414"/>
      <c r="QNV36" s="414"/>
      <c r="QNW36" s="414"/>
      <c r="QNX36" s="414"/>
      <c r="QNY36" s="414"/>
      <c r="QNZ36" s="414"/>
      <c r="QOA36" s="414"/>
      <c r="QOB36" s="414"/>
      <c r="QOC36" s="414"/>
      <c r="QOD36" s="414"/>
      <c r="QOE36" s="414"/>
      <c r="QOF36" s="414"/>
      <c r="QOG36" s="414"/>
      <c r="QOH36" s="414"/>
      <c r="QOI36" s="414"/>
      <c r="QOJ36" s="414"/>
      <c r="QOK36" s="414"/>
      <c r="QOL36" s="414"/>
      <c r="QOM36" s="414"/>
      <c r="QON36" s="414"/>
      <c r="QOO36" s="414"/>
      <c r="QOP36" s="414"/>
      <c r="QOQ36" s="414"/>
      <c r="QOR36" s="414"/>
      <c r="QOS36" s="414"/>
      <c r="QOT36" s="414"/>
      <c r="QOU36" s="414"/>
      <c r="QOV36" s="414"/>
      <c r="QOW36" s="414"/>
      <c r="QOX36" s="414"/>
      <c r="QOY36" s="414"/>
      <c r="QOZ36" s="414"/>
      <c r="QPA36" s="414"/>
      <c r="QPB36" s="414"/>
      <c r="QPC36" s="414"/>
      <c r="QPD36" s="414"/>
      <c r="QPE36" s="414"/>
      <c r="QPF36" s="414"/>
      <c r="QPG36" s="414"/>
      <c r="QPH36" s="414"/>
      <c r="QPI36" s="414"/>
      <c r="QPJ36" s="414"/>
      <c r="QPK36" s="414"/>
      <c r="QPL36" s="414"/>
      <c r="QPM36" s="414"/>
      <c r="QPN36" s="414"/>
      <c r="QPO36" s="414"/>
      <c r="QPP36" s="414"/>
      <c r="QPQ36" s="414"/>
      <c r="QPR36" s="414"/>
      <c r="QPS36" s="414"/>
      <c r="QPT36" s="414"/>
      <c r="QPU36" s="414"/>
      <c r="QPV36" s="414"/>
      <c r="QPW36" s="414"/>
      <c r="QPX36" s="414"/>
      <c r="QPY36" s="414"/>
      <c r="QPZ36" s="414"/>
      <c r="QQA36" s="414"/>
      <c r="QQB36" s="414"/>
      <c r="QQC36" s="414"/>
      <c r="QQD36" s="414"/>
      <c r="QQE36" s="414"/>
      <c r="QQF36" s="414"/>
      <c r="QQG36" s="414"/>
      <c r="QQH36" s="414"/>
      <c r="QQI36" s="414"/>
      <c r="QQJ36" s="414"/>
      <c r="QQK36" s="414"/>
      <c r="QQL36" s="414"/>
      <c r="QQM36" s="414"/>
      <c r="QQN36" s="414"/>
      <c r="QQO36" s="414"/>
      <c r="QQP36" s="414"/>
      <c r="QQQ36" s="414"/>
      <c r="QQR36" s="414"/>
      <c r="QQS36" s="414"/>
      <c r="QQT36" s="414"/>
      <c r="QQU36" s="414"/>
      <c r="QQV36" s="414"/>
      <c r="QQW36" s="414"/>
      <c r="QQX36" s="414"/>
      <c r="QQY36" s="414"/>
      <c r="QQZ36" s="414"/>
      <c r="QRA36" s="414"/>
      <c r="QRB36" s="414"/>
      <c r="QRC36" s="414"/>
      <c r="QRD36" s="414"/>
      <c r="QRE36" s="414"/>
      <c r="QRF36" s="414"/>
      <c r="QRG36" s="414"/>
      <c r="QRH36" s="414"/>
      <c r="QRI36" s="414"/>
      <c r="QRJ36" s="414"/>
      <c r="QRK36" s="414"/>
      <c r="QRL36" s="414"/>
      <c r="QRM36" s="414"/>
      <c r="QRN36" s="414"/>
      <c r="QRO36" s="414"/>
      <c r="QRP36" s="414"/>
      <c r="QRQ36" s="414"/>
      <c r="QRR36" s="414"/>
      <c r="QRS36" s="414"/>
      <c r="QRT36" s="414"/>
      <c r="QRU36" s="414"/>
      <c r="QRV36" s="414"/>
      <c r="QRW36" s="414"/>
      <c r="QRX36" s="414"/>
      <c r="QRY36" s="414"/>
      <c r="QRZ36" s="414"/>
      <c r="QSA36" s="414"/>
      <c r="QSB36" s="414"/>
      <c r="QSC36" s="414"/>
      <c r="QSD36" s="414"/>
      <c r="QSE36" s="414"/>
      <c r="QSF36" s="414"/>
      <c r="QSG36" s="414"/>
      <c r="QSH36" s="414"/>
      <c r="QSI36" s="414"/>
      <c r="QSJ36" s="414"/>
      <c r="QSK36" s="414"/>
      <c r="QSL36" s="414"/>
      <c r="QSM36" s="414"/>
      <c r="QSN36" s="414"/>
      <c r="QSO36" s="414"/>
      <c r="QSP36" s="414"/>
      <c r="QSQ36" s="414"/>
      <c r="QSR36" s="414"/>
      <c r="QSS36" s="414"/>
      <c r="QST36" s="414"/>
      <c r="QSU36" s="414"/>
      <c r="QSV36" s="414"/>
      <c r="QSW36" s="414"/>
      <c r="QSX36" s="414"/>
      <c r="QSY36" s="414"/>
      <c r="QSZ36" s="414"/>
      <c r="QTA36" s="414"/>
      <c r="QTB36" s="414"/>
      <c r="QTC36" s="414"/>
      <c r="QTD36" s="414"/>
      <c r="QTE36" s="414"/>
      <c r="QTF36" s="414"/>
      <c r="QTG36" s="414"/>
      <c r="QTH36" s="414"/>
      <c r="QTI36" s="414"/>
      <c r="QTJ36" s="414"/>
      <c r="QTK36" s="414"/>
      <c r="QTL36" s="414"/>
      <c r="QTM36" s="414"/>
      <c r="QTN36" s="414"/>
      <c r="QTO36" s="414"/>
      <c r="QTP36" s="414"/>
      <c r="QTQ36" s="414"/>
      <c r="QTR36" s="414"/>
      <c r="QTS36" s="414"/>
      <c r="QTT36" s="414"/>
      <c r="QTU36" s="414"/>
      <c r="QTV36" s="414"/>
      <c r="QTW36" s="414"/>
      <c r="QTX36" s="414"/>
      <c r="QTY36" s="414"/>
      <c r="QTZ36" s="414"/>
      <c r="QUA36" s="414"/>
      <c r="QUB36" s="414"/>
      <c r="QUC36" s="414"/>
      <c r="QUD36" s="414"/>
      <c r="QUE36" s="414"/>
      <c r="QUF36" s="414"/>
      <c r="QUG36" s="414"/>
      <c r="QUH36" s="414"/>
      <c r="QUI36" s="414"/>
      <c r="QUJ36" s="414"/>
      <c r="QUK36" s="414"/>
      <c r="QUL36" s="414"/>
      <c r="QUM36" s="414"/>
      <c r="QUN36" s="414"/>
      <c r="QUO36" s="414"/>
      <c r="QUP36" s="414"/>
      <c r="QUQ36" s="414"/>
      <c r="QUR36" s="414"/>
      <c r="QUS36" s="414"/>
      <c r="QUT36" s="414"/>
      <c r="QUU36" s="414"/>
      <c r="QUV36" s="414"/>
      <c r="QUW36" s="414"/>
      <c r="QUX36" s="414"/>
      <c r="QUY36" s="414"/>
      <c r="QUZ36" s="414"/>
      <c r="QVA36" s="414"/>
      <c r="QVB36" s="414"/>
      <c r="QVC36" s="414"/>
      <c r="QVD36" s="414"/>
      <c r="QVE36" s="414"/>
      <c r="QVF36" s="414"/>
      <c r="QVG36" s="414"/>
      <c r="QVH36" s="414"/>
      <c r="QVI36" s="414"/>
      <c r="QVJ36" s="414"/>
      <c r="QVK36" s="414"/>
      <c r="QVL36" s="414"/>
      <c r="QVM36" s="414"/>
      <c r="QVN36" s="414"/>
      <c r="QVO36" s="414"/>
      <c r="QVP36" s="414"/>
      <c r="QVQ36" s="414"/>
      <c r="QVR36" s="414"/>
      <c r="QVS36" s="414"/>
      <c r="QVT36" s="414"/>
      <c r="QVU36" s="414"/>
      <c r="QVV36" s="414"/>
      <c r="QVW36" s="414"/>
      <c r="QVX36" s="414"/>
      <c r="QVY36" s="414"/>
      <c r="QVZ36" s="414"/>
      <c r="QWA36" s="414"/>
      <c r="QWB36" s="414"/>
      <c r="QWC36" s="414"/>
      <c r="QWD36" s="414"/>
      <c r="QWE36" s="414"/>
      <c r="QWF36" s="414"/>
      <c r="QWG36" s="414"/>
      <c r="QWH36" s="414"/>
      <c r="QWI36" s="414"/>
      <c r="QWJ36" s="414"/>
      <c r="QWK36" s="414"/>
      <c r="QWL36" s="414"/>
      <c r="QWM36" s="414"/>
      <c r="QWN36" s="414"/>
      <c r="QWO36" s="414"/>
      <c r="QWP36" s="414"/>
      <c r="QWQ36" s="414"/>
      <c r="QWR36" s="414"/>
      <c r="QWS36" s="414"/>
      <c r="QWT36" s="414"/>
      <c r="QWU36" s="414"/>
      <c r="QWV36" s="414"/>
      <c r="QWW36" s="414"/>
      <c r="QWX36" s="414"/>
      <c r="QWY36" s="414"/>
      <c r="QWZ36" s="414"/>
      <c r="QXA36" s="414"/>
      <c r="QXB36" s="414"/>
      <c r="QXC36" s="414"/>
      <c r="QXD36" s="414"/>
      <c r="QXE36" s="414"/>
      <c r="QXF36" s="414"/>
      <c r="QXG36" s="414"/>
      <c r="QXH36" s="414"/>
      <c r="QXI36" s="414"/>
      <c r="QXJ36" s="414"/>
      <c r="QXK36" s="414"/>
      <c r="QXL36" s="414"/>
      <c r="QXM36" s="414"/>
      <c r="QXN36" s="414"/>
      <c r="QXO36" s="414"/>
      <c r="QXP36" s="414"/>
      <c r="QXQ36" s="414"/>
      <c r="QXR36" s="414"/>
      <c r="QXS36" s="414"/>
      <c r="QXT36" s="414"/>
      <c r="QXU36" s="414"/>
      <c r="QXV36" s="414"/>
      <c r="QXW36" s="414"/>
      <c r="QXX36" s="414"/>
      <c r="QXY36" s="414"/>
      <c r="QXZ36" s="414"/>
      <c r="QYA36" s="414"/>
      <c r="QYB36" s="414"/>
      <c r="QYC36" s="414"/>
      <c r="QYD36" s="414"/>
      <c r="QYE36" s="414"/>
      <c r="QYF36" s="414"/>
      <c r="QYG36" s="414"/>
      <c r="QYH36" s="414"/>
      <c r="QYI36" s="414"/>
      <c r="QYJ36" s="414"/>
      <c r="QYK36" s="414"/>
      <c r="QYL36" s="414"/>
      <c r="QYM36" s="414"/>
      <c r="QYN36" s="414"/>
      <c r="QYO36" s="414"/>
      <c r="QYP36" s="414"/>
      <c r="QYQ36" s="414"/>
      <c r="QYR36" s="414"/>
      <c r="QYS36" s="414"/>
      <c r="QYT36" s="414"/>
      <c r="QYU36" s="414"/>
      <c r="QYV36" s="414"/>
      <c r="QYW36" s="414"/>
      <c r="QYX36" s="414"/>
      <c r="QYY36" s="414"/>
      <c r="QYZ36" s="414"/>
      <c r="QZA36" s="414"/>
      <c r="QZB36" s="414"/>
      <c r="QZC36" s="414"/>
      <c r="QZD36" s="414"/>
      <c r="QZE36" s="414"/>
      <c r="QZF36" s="414"/>
      <c r="QZG36" s="414"/>
      <c r="QZH36" s="414"/>
      <c r="QZI36" s="414"/>
      <c r="QZJ36" s="414"/>
      <c r="QZK36" s="414"/>
      <c r="QZL36" s="414"/>
      <c r="QZM36" s="414"/>
      <c r="QZN36" s="414"/>
      <c r="QZO36" s="414"/>
      <c r="QZP36" s="414"/>
      <c r="QZQ36" s="414"/>
      <c r="QZR36" s="414"/>
      <c r="QZS36" s="414"/>
      <c r="QZT36" s="414"/>
      <c r="QZU36" s="414"/>
      <c r="QZV36" s="414"/>
      <c r="QZW36" s="414"/>
      <c r="QZX36" s="414"/>
      <c r="QZY36" s="414"/>
      <c r="QZZ36" s="414"/>
      <c r="RAA36" s="414"/>
      <c r="RAB36" s="414"/>
      <c r="RAC36" s="414"/>
      <c r="RAD36" s="414"/>
      <c r="RAE36" s="414"/>
      <c r="RAF36" s="414"/>
      <c r="RAG36" s="414"/>
      <c r="RAH36" s="414"/>
      <c r="RAI36" s="414"/>
      <c r="RAJ36" s="414"/>
      <c r="RAK36" s="414"/>
      <c r="RAL36" s="414"/>
      <c r="RAM36" s="414"/>
      <c r="RAN36" s="414"/>
      <c r="RAO36" s="414"/>
      <c r="RAP36" s="414"/>
      <c r="RAQ36" s="414"/>
      <c r="RAR36" s="414"/>
      <c r="RAS36" s="414"/>
      <c r="RAT36" s="414"/>
      <c r="RAU36" s="414"/>
      <c r="RAV36" s="414"/>
      <c r="RAW36" s="414"/>
      <c r="RAX36" s="414"/>
      <c r="RAY36" s="414"/>
      <c r="RAZ36" s="414"/>
      <c r="RBA36" s="414"/>
      <c r="RBB36" s="414"/>
      <c r="RBC36" s="414"/>
      <c r="RBD36" s="414"/>
      <c r="RBE36" s="414"/>
      <c r="RBF36" s="414"/>
      <c r="RBG36" s="414"/>
      <c r="RBH36" s="414"/>
      <c r="RBI36" s="414"/>
      <c r="RBJ36" s="414"/>
      <c r="RBK36" s="414"/>
      <c r="RBL36" s="414"/>
      <c r="RBM36" s="414"/>
      <c r="RBN36" s="414"/>
      <c r="RBO36" s="414"/>
      <c r="RBP36" s="414"/>
      <c r="RBQ36" s="414"/>
      <c r="RBR36" s="414"/>
      <c r="RBS36" s="414"/>
      <c r="RBT36" s="414"/>
      <c r="RBU36" s="414"/>
      <c r="RBV36" s="414"/>
      <c r="RBW36" s="414"/>
      <c r="RBX36" s="414"/>
      <c r="RBY36" s="414"/>
      <c r="RBZ36" s="414"/>
      <c r="RCA36" s="414"/>
      <c r="RCB36" s="414"/>
      <c r="RCC36" s="414"/>
      <c r="RCD36" s="414"/>
      <c r="RCE36" s="414"/>
      <c r="RCF36" s="414"/>
      <c r="RCG36" s="414"/>
      <c r="RCH36" s="414"/>
      <c r="RCI36" s="414"/>
      <c r="RCJ36" s="414"/>
      <c r="RCK36" s="414"/>
      <c r="RCL36" s="414"/>
      <c r="RCM36" s="414"/>
      <c r="RCN36" s="414"/>
      <c r="RCO36" s="414"/>
      <c r="RCP36" s="414"/>
      <c r="RCQ36" s="414"/>
      <c r="RCR36" s="414"/>
      <c r="RCS36" s="414"/>
      <c r="RCT36" s="414"/>
      <c r="RCU36" s="414"/>
      <c r="RCV36" s="414"/>
      <c r="RCW36" s="414"/>
      <c r="RCX36" s="414"/>
      <c r="RCY36" s="414"/>
      <c r="RCZ36" s="414"/>
      <c r="RDA36" s="414"/>
      <c r="RDB36" s="414"/>
      <c r="RDC36" s="414"/>
      <c r="RDD36" s="414"/>
      <c r="RDE36" s="414"/>
      <c r="RDF36" s="414"/>
      <c r="RDG36" s="414"/>
      <c r="RDH36" s="414"/>
      <c r="RDI36" s="414"/>
      <c r="RDJ36" s="414"/>
      <c r="RDK36" s="414"/>
      <c r="RDL36" s="414"/>
      <c r="RDM36" s="414"/>
      <c r="RDN36" s="414"/>
      <c r="RDO36" s="414"/>
      <c r="RDP36" s="414"/>
      <c r="RDQ36" s="414"/>
      <c r="RDR36" s="414"/>
      <c r="RDS36" s="414"/>
      <c r="RDT36" s="414"/>
      <c r="RDU36" s="414"/>
      <c r="RDV36" s="414"/>
      <c r="RDW36" s="414"/>
      <c r="RDX36" s="414"/>
      <c r="RDY36" s="414"/>
      <c r="RDZ36" s="414"/>
      <c r="REA36" s="414"/>
      <c r="REB36" s="414"/>
      <c r="REC36" s="414"/>
      <c r="RED36" s="414"/>
      <c r="REE36" s="414"/>
      <c r="REF36" s="414"/>
      <c r="REG36" s="414"/>
      <c r="REH36" s="414"/>
      <c r="REI36" s="414"/>
      <c r="REJ36" s="414"/>
      <c r="REK36" s="414"/>
      <c r="REL36" s="414"/>
      <c r="REM36" s="414"/>
      <c r="REN36" s="414"/>
      <c r="REO36" s="414"/>
      <c r="REP36" s="414"/>
      <c r="REQ36" s="414"/>
      <c r="RER36" s="414"/>
      <c r="RES36" s="414"/>
      <c r="RET36" s="414"/>
      <c r="REU36" s="414"/>
      <c r="REV36" s="414"/>
      <c r="REW36" s="414"/>
      <c r="REX36" s="414"/>
      <c r="REY36" s="414"/>
      <c r="REZ36" s="414"/>
      <c r="RFA36" s="414"/>
      <c r="RFB36" s="414"/>
      <c r="RFC36" s="414"/>
      <c r="RFD36" s="414"/>
      <c r="RFE36" s="414"/>
      <c r="RFF36" s="414"/>
      <c r="RFG36" s="414"/>
      <c r="RFH36" s="414"/>
      <c r="RFI36" s="414"/>
      <c r="RFJ36" s="414"/>
      <c r="RFK36" s="414"/>
      <c r="RFL36" s="414"/>
      <c r="RFM36" s="414"/>
      <c r="RFN36" s="414"/>
      <c r="RFO36" s="414"/>
      <c r="RFP36" s="414"/>
      <c r="RFQ36" s="414"/>
      <c r="RFR36" s="414"/>
      <c r="RFS36" s="414"/>
      <c r="RFT36" s="414"/>
      <c r="RFU36" s="414"/>
      <c r="RFV36" s="414"/>
      <c r="RFW36" s="414"/>
      <c r="RFX36" s="414"/>
      <c r="RFY36" s="414"/>
      <c r="RFZ36" s="414"/>
      <c r="RGA36" s="414"/>
      <c r="RGB36" s="414"/>
      <c r="RGC36" s="414"/>
      <c r="RGD36" s="414"/>
      <c r="RGE36" s="414"/>
      <c r="RGF36" s="414"/>
      <c r="RGG36" s="414"/>
      <c r="RGH36" s="414"/>
      <c r="RGI36" s="414"/>
      <c r="RGJ36" s="414"/>
      <c r="RGK36" s="414"/>
      <c r="RGL36" s="414"/>
      <c r="RGM36" s="414"/>
      <c r="RGN36" s="414"/>
      <c r="RGO36" s="414"/>
      <c r="RGP36" s="414"/>
      <c r="RGQ36" s="414"/>
      <c r="RGR36" s="414"/>
      <c r="RGS36" s="414"/>
      <c r="RGT36" s="414"/>
      <c r="RGU36" s="414"/>
      <c r="RGV36" s="414"/>
      <c r="RGW36" s="414"/>
      <c r="RGX36" s="414"/>
      <c r="RGY36" s="414"/>
      <c r="RGZ36" s="414"/>
      <c r="RHA36" s="414"/>
      <c r="RHB36" s="414"/>
      <c r="RHC36" s="414"/>
      <c r="RHD36" s="414"/>
      <c r="RHE36" s="414"/>
      <c r="RHF36" s="414"/>
      <c r="RHG36" s="414"/>
      <c r="RHH36" s="414"/>
      <c r="RHI36" s="414"/>
      <c r="RHJ36" s="414"/>
      <c r="RHK36" s="414"/>
      <c r="RHL36" s="414"/>
      <c r="RHM36" s="414"/>
      <c r="RHN36" s="414"/>
      <c r="RHO36" s="414"/>
      <c r="RHP36" s="414"/>
      <c r="RHQ36" s="414"/>
      <c r="RHR36" s="414"/>
      <c r="RHS36" s="414"/>
      <c r="RHT36" s="414"/>
      <c r="RHU36" s="414"/>
      <c r="RHV36" s="414"/>
      <c r="RHW36" s="414"/>
      <c r="RHX36" s="414"/>
      <c r="RHY36" s="414"/>
      <c r="RHZ36" s="414"/>
      <c r="RIA36" s="414"/>
      <c r="RIB36" s="414"/>
      <c r="RIC36" s="414"/>
      <c r="RID36" s="414"/>
      <c r="RIE36" s="414"/>
      <c r="RIF36" s="414"/>
      <c r="RIG36" s="414"/>
      <c r="RIH36" s="414"/>
      <c r="RII36" s="414"/>
      <c r="RIJ36" s="414"/>
      <c r="RIK36" s="414"/>
      <c r="RIL36" s="414"/>
      <c r="RIM36" s="414"/>
      <c r="RIN36" s="414"/>
      <c r="RIO36" s="414"/>
      <c r="RIP36" s="414"/>
      <c r="RIQ36" s="414"/>
      <c r="RIR36" s="414"/>
      <c r="RIS36" s="414"/>
      <c r="RIT36" s="414"/>
      <c r="RIU36" s="414"/>
      <c r="RIV36" s="414"/>
      <c r="RIW36" s="414"/>
      <c r="RIX36" s="414"/>
      <c r="RIY36" s="414"/>
      <c r="RIZ36" s="414"/>
      <c r="RJA36" s="414"/>
      <c r="RJB36" s="414"/>
      <c r="RJC36" s="414"/>
      <c r="RJD36" s="414"/>
      <c r="RJE36" s="414"/>
      <c r="RJF36" s="414"/>
      <c r="RJG36" s="414"/>
      <c r="RJH36" s="414"/>
      <c r="RJI36" s="414"/>
      <c r="RJJ36" s="414"/>
      <c r="RJK36" s="414"/>
      <c r="RJL36" s="414"/>
      <c r="RJM36" s="414"/>
      <c r="RJN36" s="414"/>
      <c r="RJO36" s="414"/>
      <c r="RJP36" s="414"/>
      <c r="RJQ36" s="414"/>
      <c r="RJR36" s="414"/>
      <c r="RJS36" s="414"/>
      <c r="RJT36" s="414"/>
      <c r="RJU36" s="414"/>
      <c r="RJV36" s="414"/>
      <c r="RJW36" s="414"/>
      <c r="RJX36" s="414"/>
      <c r="RJY36" s="414"/>
      <c r="RJZ36" s="414"/>
      <c r="RKA36" s="414"/>
      <c r="RKB36" s="414"/>
      <c r="RKC36" s="414"/>
      <c r="RKD36" s="414"/>
      <c r="RKE36" s="414"/>
      <c r="RKF36" s="414"/>
      <c r="RKG36" s="414"/>
      <c r="RKH36" s="414"/>
      <c r="RKI36" s="414"/>
      <c r="RKJ36" s="414"/>
      <c r="RKK36" s="414"/>
      <c r="RKL36" s="414"/>
      <c r="RKM36" s="414"/>
      <c r="RKN36" s="414"/>
      <c r="RKO36" s="414"/>
      <c r="RKP36" s="414"/>
      <c r="RKQ36" s="414"/>
      <c r="RKR36" s="414"/>
      <c r="RKS36" s="414"/>
      <c r="RKT36" s="414"/>
      <c r="RKU36" s="414"/>
      <c r="RKV36" s="414"/>
      <c r="RKW36" s="414"/>
      <c r="RKX36" s="414"/>
      <c r="RKY36" s="414"/>
      <c r="RKZ36" s="414"/>
      <c r="RLA36" s="414"/>
      <c r="RLB36" s="414"/>
      <c r="RLC36" s="414"/>
      <c r="RLD36" s="414"/>
      <c r="RLE36" s="414"/>
      <c r="RLF36" s="414"/>
      <c r="RLG36" s="414"/>
      <c r="RLH36" s="414"/>
      <c r="RLI36" s="414"/>
      <c r="RLJ36" s="414"/>
      <c r="RLK36" s="414"/>
      <c r="RLL36" s="414"/>
      <c r="RLM36" s="414"/>
      <c r="RLN36" s="414"/>
      <c r="RLO36" s="414"/>
      <c r="RLP36" s="414"/>
      <c r="RLQ36" s="414"/>
      <c r="RLR36" s="414"/>
      <c r="RLS36" s="414"/>
      <c r="RLT36" s="414"/>
      <c r="RLU36" s="414"/>
      <c r="RLV36" s="414"/>
      <c r="RLW36" s="414"/>
      <c r="RLX36" s="414"/>
      <c r="RLY36" s="414"/>
      <c r="RLZ36" s="414"/>
      <c r="RMA36" s="414"/>
      <c r="RMB36" s="414"/>
      <c r="RMC36" s="414"/>
      <c r="RMD36" s="414"/>
      <c r="RME36" s="414"/>
      <c r="RMF36" s="414"/>
      <c r="RMG36" s="414"/>
      <c r="RMH36" s="414"/>
      <c r="RMI36" s="414"/>
      <c r="RMJ36" s="414"/>
      <c r="RMK36" s="414"/>
      <c r="RML36" s="414"/>
      <c r="RMM36" s="414"/>
      <c r="RMN36" s="414"/>
      <c r="RMO36" s="414"/>
      <c r="RMP36" s="414"/>
      <c r="RMQ36" s="414"/>
      <c r="RMR36" s="414"/>
      <c r="RMS36" s="414"/>
      <c r="RMT36" s="414"/>
      <c r="RMU36" s="414"/>
      <c r="RMV36" s="414"/>
      <c r="RMW36" s="414"/>
      <c r="RMX36" s="414"/>
      <c r="RMY36" s="414"/>
      <c r="RMZ36" s="414"/>
      <c r="RNA36" s="414"/>
      <c r="RNB36" s="414"/>
      <c r="RNC36" s="414"/>
      <c r="RND36" s="414"/>
      <c r="RNE36" s="414"/>
      <c r="RNF36" s="414"/>
      <c r="RNG36" s="414"/>
      <c r="RNH36" s="414"/>
      <c r="RNI36" s="414"/>
      <c r="RNJ36" s="414"/>
      <c r="RNK36" s="414"/>
      <c r="RNL36" s="414"/>
      <c r="RNM36" s="414"/>
      <c r="RNN36" s="414"/>
      <c r="RNO36" s="414"/>
      <c r="RNP36" s="414"/>
      <c r="RNQ36" s="414"/>
      <c r="RNR36" s="414"/>
      <c r="RNS36" s="414"/>
      <c r="RNT36" s="414"/>
      <c r="RNU36" s="414"/>
      <c r="RNV36" s="414"/>
      <c r="RNW36" s="414"/>
      <c r="RNX36" s="414"/>
      <c r="RNY36" s="414"/>
      <c r="RNZ36" s="414"/>
      <c r="ROA36" s="414"/>
      <c r="ROB36" s="414"/>
      <c r="ROC36" s="414"/>
      <c r="ROD36" s="414"/>
      <c r="ROE36" s="414"/>
      <c r="ROF36" s="414"/>
      <c r="ROG36" s="414"/>
      <c r="ROH36" s="414"/>
      <c r="ROI36" s="414"/>
      <c r="ROJ36" s="414"/>
      <c r="ROK36" s="414"/>
      <c r="ROL36" s="414"/>
      <c r="ROM36" s="414"/>
      <c r="RON36" s="414"/>
      <c r="ROO36" s="414"/>
      <c r="ROP36" s="414"/>
      <c r="ROQ36" s="414"/>
      <c r="ROR36" s="414"/>
      <c r="ROS36" s="414"/>
      <c r="ROT36" s="414"/>
      <c r="ROU36" s="414"/>
      <c r="ROV36" s="414"/>
      <c r="ROW36" s="414"/>
      <c r="ROX36" s="414"/>
      <c r="ROY36" s="414"/>
      <c r="ROZ36" s="414"/>
      <c r="RPA36" s="414"/>
      <c r="RPB36" s="414"/>
      <c r="RPC36" s="414"/>
      <c r="RPD36" s="414"/>
      <c r="RPE36" s="414"/>
      <c r="RPF36" s="414"/>
      <c r="RPG36" s="414"/>
      <c r="RPH36" s="414"/>
      <c r="RPI36" s="414"/>
      <c r="RPJ36" s="414"/>
      <c r="RPK36" s="414"/>
      <c r="RPL36" s="414"/>
      <c r="RPM36" s="414"/>
      <c r="RPN36" s="414"/>
      <c r="RPO36" s="414"/>
      <c r="RPP36" s="414"/>
      <c r="RPQ36" s="414"/>
      <c r="RPR36" s="414"/>
      <c r="RPS36" s="414"/>
      <c r="RPT36" s="414"/>
      <c r="RPU36" s="414"/>
      <c r="RPV36" s="414"/>
      <c r="RPW36" s="414"/>
      <c r="RPX36" s="414"/>
      <c r="RPY36" s="414"/>
      <c r="RPZ36" s="414"/>
      <c r="RQA36" s="414"/>
      <c r="RQB36" s="414"/>
      <c r="RQC36" s="414"/>
      <c r="RQD36" s="414"/>
      <c r="RQE36" s="414"/>
      <c r="RQF36" s="414"/>
      <c r="RQG36" s="414"/>
      <c r="RQH36" s="414"/>
      <c r="RQI36" s="414"/>
      <c r="RQJ36" s="414"/>
      <c r="RQK36" s="414"/>
      <c r="RQL36" s="414"/>
      <c r="RQM36" s="414"/>
      <c r="RQN36" s="414"/>
      <c r="RQO36" s="414"/>
      <c r="RQP36" s="414"/>
      <c r="RQQ36" s="414"/>
      <c r="RQR36" s="414"/>
      <c r="RQS36" s="414"/>
      <c r="RQT36" s="414"/>
      <c r="RQU36" s="414"/>
      <c r="RQV36" s="414"/>
      <c r="RQW36" s="414"/>
      <c r="RQX36" s="414"/>
      <c r="RQY36" s="414"/>
      <c r="RQZ36" s="414"/>
      <c r="RRA36" s="414"/>
      <c r="RRB36" s="414"/>
      <c r="RRC36" s="414"/>
      <c r="RRD36" s="414"/>
      <c r="RRE36" s="414"/>
      <c r="RRF36" s="414"/>
      <c r="RRG36" s="414"/>
      <c r="RRH36" s="414"/>
      <c r="RRI36" s="414"/>
      <c r="RRJ36" s="414"/>
      <c r="RRK36" s="414"/>
      <c r="RRL36" s="414"/>
      <c r="RRM36" s="414"/>
      <c r="RRN36" s="414"/>
      <c r="RRO36" s="414"/>
      <c r="RRP36" s="414"/>
      <c r="RRQ36" s="414"/>
      <c r="RRR36" s="414"/>
      <c r="RRS36" s="414"/>
      <c r="RRT36" s="414"/>
      <c r="RRU36" s="414"/>
      <c r="RRV36" s="414"/>
      <c r="RRW36" s="414"/>
      <c r="RRX36" s="414"/>
      <c r="RRY36" s="414"/>
      <c r="RRZ36" s="414"/>
      <c r="RSA36" s="414"/>
      <c r="RSB36" s="414"/>
      <c r="RSC36" s="414"/>
      <c r="RSD36" s="414"/>
      <c r="RSE36" s="414"/>
      <c r="RSF36" s="414"/>
      <c r="RSG36" s="414"/>
      <c r="RSH36" s="414"/>
      <c r="RSI36" s="414"/>
      <c r="RSJ36" s="414"/>
      <c r="RSK36" s="414"/>
      <c r="RSL36" s="414"/>
      <c r="RSM36" s="414"/>
      <c r="RSN36" s="414"/>
      <c r="RSO36" s="414"/>
      <c r="RSP36" s="414"/>
      <c r="RSQ36" s="414"/>
      <c r="RSR36" s="414"/>
      <c r="RSS36" s="414"/>
      <c r="RST36" s="414"/>
      <c r="RSU36" s="414"/>
      <c r="RSV36" s="414"/>
      <c r="RSW36" s="414"/>
      <c r="RSX36" s="414"/>
      <c r="RSY36" s="414"/>
      <c r="RSZ36" s="414"/>
      <c r="RTA36" s="414"/>
      <c r="RTB36" s="414"/>
      <c r="RTC36" s="414"/>
      <c r="RTD36" s="414"/>
      <c r="RTE36" s="414"/>
      <c r="RTF36" s="414"/>
      <c r="RTG36" s="414"/>
      <c r="RTH36" s="414"/>
      <c r="RTI36" s="414"/>
      <c r="RTJ36" s="414"/>
      <c r="RTK36" s="414"/>
      <c r="RTL36" s="414"/>
      <c r="RTM36" s="414"/>
      <c r="RTN36" s="414"/>
      <c r="RTO36" s="414"/>
      <c r="RTP36" s="414"/>
      <c r="RTQ36" s="414"/>
      <c r="RTR36" s="414"/>
      <c r="RTS36" s="414"/>
      <c r="RTT36" s="414"/>
      <c r="RTU36" s="414"/>
      <c r="RTV36" s="414"/>
      <c r="RTW36" s="414"/>
      <c r="RTX36" s="414"/>
      <c r="RTY36" s="414"/>
      <c r="RTZ36" s="414"/>
      <c r="RUA36" s="414"/>
      <c r="RUB36" s="414"/>
      <c r="RUC36" s="414"/>
      <c r="RUD36" s="414"/>
      <c r="RUE36" s="414"/>
      <c r="RUF36" s="414"/>
      <c r="RUG36" s="414"/>
      <c r="RUH36" s="414"/>
      <c r="RUI36" s="414"/>
      <c r="RUJ36" s="414"/>
      <c r="RUK36" s="414"/>
      <c r="RUL36" s="414"/>
      <c r="RUM36" s="414"/>
      <c r="RUN36" s="414"/>
      <c r="RUO36" s="414"/>
      <c r="RUP36" s="414"/>
      <c r="RUQ36" s="414"/>
      <c r="RUR36" s="414"/>
      <c r="RUS36" s="414"/>
      <c r="RUT36" s="414"/>
      <c r="RUU36" s="414"/>
      <c r="RUV36" s="414"/>
      <c r="RUW36" s="414"/>
      <c r="RUX36" s="414"/>
      <c r="RUY36" s="414"/>
      <c r="RUZ36" s="414"/>
      <c r="RVA36" s="414"/>
      <c r="RVB36" s="414"/>
      <c r="RVC36" s="414"/>
      <c r="RVD36" s="414"/>
      <c r="RVE36" s="414"/>
      <c r="RVF36" s="414"/>
      <c r="RVG36" s="414"/>
      <c r="RVH36" s="414"/>
      <c r="RVI36" s="414"/>
      <c r="RVJ36" s="414"/>
      <c r="RVK36" s="414"/>
      <c r="RVL36" s="414"/>
      <c r="RVM36" s="414"/>
      <c r="RVN36" s="414"/>
      <c r="RVO36" s="414"/>
      <c r="RVP36" s="414"/>
      <c r="RVQ36" s="414"/>
      <c r="RVR36" s="414"/>
      <c r="RVS36" s="414"/>
      <c r="RVT36" s="414"/>
      <c r="RVU36" s="414"/>
      <c r="RVV36" s="414"/>
      <c r="RVW36" s="414"/>
      <c r="RVX36" s="414"/>
      <c r="RVY36" s="414"/>
      <c r="RVZ36" s="414"/>
      <c r="RWA36" s="414"/>
      <c r="RWB36" s="414"/>
      <c r="RWC36" s="414"/>
      <c r="RWD36" s="414"/>
      <c r="RWE36" s="414"/>
      <c r="RWF36" s="414"/>
      <c r="RWG36" s="414"/>
      <c r="RWH36" s="414"/>
      <c r="RWI36" s="414"/>
      <c r="RWJ36" s="414"/>
      <c r="RWK36" s="414"/>
      <c r="RWL36" s="414"/>
      <c r="RWM36" s="414"/>
      <c r="RWN36" s="414"/>
      <c r="RWO36" s="414"/>
      <c r="RWP36" s="414"/>
      <c r="RWQ36" s="414"/>
      <c r="RWR36" s="414"/>
      <c r="RWS36" s="414"/>
      <c r="RWT36" s="414"/>
      <c r="RWU36" s="414"/>
      <c r="RWV36" s="414"/>
      <c r="RWW36" s="414"/>
      <c r="RWX36" s="414"/>
      <c r="RWY36" s="414"/>
      <c r="RWZ36" s="414"/>
      <c r="RXA36" s="414"/>
      <c r="RXB36" s="414"/>
      <c r="RXC36" s="414"/>
      <c r="RXD36" s="414"/>
      <c r="RXE36" s="414"/>
      <c r="RXF36" s="414"/>
      <c r="RXG36" s="414"/>
      <c r="RXH36" s="414"/>
      <c r="RXI36" s="414"/>
      <c r="RXJ36" s="414"/>
      <c r="RXK36" s="414"/>
      <c r="RXL36" s="414"/>
      <c r="RXM36" s="414"/>
      <c r="RXN36" s="414"/>
      <c r="RXO36" s="414"/>
      <c r="RXP36" s="414"/>
      <c r="RXQ36" s="414"/>
      <c r="RXR36" s="414"/>
      <c r="RXS36" s="414"/>
      <c r="RXT36" s="414"/>
      <c r="RXU36" s="414"/>
      <c r="RXV36" s="414"/>
      <c r="RXW36" s="414"/>
      <c r="RXX36" s="414"/>
      <c r="RXY36" s="414"/>
      <c r="RXZ36" s="414"/>
      <c r="RYA36" s="414"/>
      <c r="RYB36" s="414"/>
      <c r="RYC36" s="414"/>
      <c r="RYD36" s="414"/>
      <c r="RYE36" s="414"/>
      <c r="RYF36" s="414"/>
      <c r="RYG36" s="414"/>
      <c r="RYH36" s="414"/>
      <c r="RYI36" s="414"/>
      <c r="RYJ36" s="414"/>
      <c r="RYK36" s="414"/>
      <c r="RYL36" s="414"/>
      <c r="RYM36" s="414"/>
      <c r="RYN36" s="414"/>
      <c r="RYO36" s="414"/>
      <c r="RYP36" s="414"/>
      <c r="RYQ36" s="414"/>
      <c r="RYR36" s="414"/>
      <c r="RYS36" s="414"/>
      <c r="RYT36" s="414"/>
      <c r="RYU36" s="414"/>
      <c r="RYV36" s="414"/>
      <c r="RYW36" s="414"/>
      <c r="RYX36" s="414"/>
      <c r="RYY36" s="414"/>
      <c r="RYZ36" s="414"/>
      <c r="RZA36" s="414"/>
      <c r="RZB36" s="414"/>
      <c r="RZC36" s="414"/>
      <c r="RZD36" s="414"/>
      <c r="RZE36" s="414"/>
      <c r="RZF36" s="414"/>
      <c r="RZG36" s="414"/>
      <c r="RZH36" s="414"/>
      <c r="RZI36" s="414"/>
      <c r="RZJ36" s="414"/>
      <c r="RZK36" s="414"/>
      <c r="RZL36" s="414"/>
      <c r="RZM36" s="414"/>
      <c r="RZN36" s="414"/>
      <c r="RZO36" s="414"/>
      <c r="RZP36" s="414"/>
      <c r="RZQ36" s="414"/>
      <c r="RZR36" s="414"/>
      <c r="RZS36" s="414"/>
      <c r="RZT36" s="414"/>
      <c r="RZU36" s="414"/>
      <c r="RZV36" s="414"/>
      <c r="RZW36" s="414"/>
      <c r="RZX36" s="414"/>
      <c r="RZY36" s="414"/>
      <c r="RZZ36" s="414"/>
      <c r="SAA36" s="414"/>
      <c r="SAB36" s="414"/>
      <c r="SAC36" s="414"/>
      <c r="SAD36" s="414"/>
      <c r="SAE36" s="414"/>
      <c r="SAF36" s="414"/>
      <c r="SAG36" s="414"/>
      <c r="SAH36" s="414"/>
      <c r="SAI36" s="414"/>
      <c r="SAJ36" s="414"/>
      <c r="SAK36" s="414"/>
      <c r="SAL36" s="414"/>
      <c r="SAM36" s="414"/>
      <c r="SAN36" s="414"/>
      <c r="SAO36" s="414"/>
      <c r="SAP36" s="414"/>
      <c r="SAQ36" s="414"/>
      <c r="SAR36" s="414"/>
      <c r="SAS36" s="414"/>
      <c r="SAT36" s="414"/>
      <c r="SAU36" s="414"/>
      <c r="SAV36" s="414"/>
      <c r="SAW36" s="414"/>
      <c r="SAX36" s="414"/>
      <c r="SAY36" s="414"/>
      <c r="SAZ36" s="414"/>
      <c r="SBA36" s="414"/>
      <c r="SBB36" s="414"/>
      <c r="SBC36" s="414"/>
      <c r="SBD36" s="414"/>
      <c r="SBE36" s="414"/>
      <c r="SBF36" s="414"/>
      <c r="SBG36" s="414"/>
      <c r="SBH36" s="414"/>
      <c r="SBI36" s="414"/>
      <c r="SBJ36" s="414"/>
      <c r="SBK36" s="414"/>
      <c r="SBL36" s="414"/>
      <c r="SBM36" s="414"/>
      <c r="SBN36" s="414"/>
      <c r="SBO36" s="414"/>
      <c r="SBP36" s="414"/>
      <c r="SBQ36" s="414"/>
      <c r="SBR36" s="414"/>
      <c r="SBS36" s="414"/>
      <c r="SBT36" s="414"/>
      <c r="SBU36" s="414"/>
      <c r="SBV36" s="414"/>
      <c r="SBW36" s="414"/>
      <c r="SBX36" s="414"/>
      <c r="SBY36" s="414"/>
      <c r="SBZ36" s="414"/>
      <c r="SCA36" s="414"/>
      <c r="SCB36" s="414"/>
      <c r="SCC36" s="414"/>
      <c r="SCD36" s="414"/>
      <c r="SCE36" s="414"/>
      <c r="SCF36" s="414"/>
      <c r="SCG36" s="414"/>
      <c r="SCH36" s="414"/>
      <c r="SCI36" s="414"/>
      <c r="SCJ36" s="414"/>
      <c r="SCK36" s="414"/>
      <c r="SCL36" s="414"/>
      <c r="SCM36" s="414"/>
      <c r="SCN36" s="414"/>
      <c r="SCO36" s="414"/>
      <c r="SCP36" s="414"/>
      <c r="SCQ36" s="414"/>
      <c r="SCR36" s="414"/>
      <c r="SCS36" s="414"/>
      <c r="SCT36" s="414"/>
      <c r="SCU36" s="414"/>
      <c r="SCV36" s="414"/>
      <c r="SCW36" s="414"/>
      <c r="SCX36" s="414"/>
      <c r="SCY36" s="414"/>
      <c r="SCZ36" s="414"/>
      <c r="SDA36" s="414"/>
      <c r="SDB36" s="414"/>
      <c r="SDC36" s="414"/>
      <c r="SDD36" s="414"/>
      <c r="SDE36" s="414"/>
      <c r="SDF36" s="414"/>
      <c r="SDG36" s="414"/>
      <c r="SDH36" s="414"/>
      <c r="SDI36" s="414"/>
      <c r="SDJ36" s="414"/>
      <c r="SDK36" s="414"/>
      <c r="SDL36" s="414"/>
      <c r="SDM36" s="414"/>
      <c r="SDN36" s="414"/>
      <c r="SDO36" s="414"/>
      <c r="SDP36" s="414"/>
      <c r="SDQ36" s="414"/>
      <c r="SDR36" s="414"/>
      <c r="SDS36" s="414"/>
      <c r="SDT36" s="414"/>
      <c r="SDU36" s="414"/>
      <c r="SDV36" s="414"/>
      <c r="SDW36" s="414"/>
      <c r="SDX36" s="414"/>
      <c r="SDY36" s="414"/>
      <c r="SDZ36" s="414"/>
      <c r="SEA36" s="414"/>
      <c r="SEB36" s="414"/>
      <c r="SEC36" s="414"/>
      <c r="SED36" s="414"/>
      <c r="SEE36" s="414"/>
      <c r="SEF36" s="414"/>
      <c r="SEG36" s="414"/>
      <c r="SEH36" s="414"/>
      <c r="SEI36" s="414"/>
      <c r="SEJ36" s="414"/>
      <c r="SEK36" s="414"/>
      <c r="SEL36" s="414"/>
      <c r="SEM36" s="414"/>
      <c r="SEN36" s="414"/>
      <c r="SEO36" s="414"/>
      <c r="SEP36" s="414"/>
      <c r="SEQ36" s="414"/>
      <c r="SER36" s="414"/>
      <c r="SES36" s="414"/>
      <c r="SET36" s="414"/>
      <c r="SEU36" s="414"/>
      <c r="SEV36" s="414"/>
      <c r="SEW36" s="414"/>
      <c r="SEX36" s="414"/>
      <c r="SEY36" s="414"/>
      <c r="SEZ36" s="414"/>
      <c r="SFA36" s="414"/>
      <c r="SFB36" s="414"/>
      <c r="SFC36" s="414"/>
      <c r="SFD36" s="414"/>
      <c r="SFE36" s="414"/>
      <c r="SFF36" s="414"/>
      <c r="SFG36" s="414"/>
      <c r="SFH36" s="414"/>
      <c r="SFI36" s="414"/>
      <c r="SFJ36" s="414"/>
      <c r="SFK36" s="414"/>
      <c r="SFL36" s="414"/>
      <c r="SFM36" s="414"/>
      <c r="SFN36" s="414"/>
      <c r="SFO36" s="414"/>
      <c r="SFP36" s="414"/>
      <c r="SFQ36" s="414"/>
      <c r="SFR36" s="414"/>
      <c r="SFS36" s="414"/>
      <c r="SFT36" s="414"/>
      <c r="SFU36" s="414"/>
      <c r="SFV36" s="414"/>
      <c r="SFW36" s="414"/>
      <c r="SFX36" s="414"/>
      <c r="SFY36" s="414"/>
      <c r="SFZ36" s="414"/>
      <c r="SGA36" s="414"/>
      <c r="SGB36" s="414"/>
      <c r="SGC36" s="414"/>
      <c r="SGD36" s="414"/>
      <c r="SGE36" s="414"/>
      <c r="SGF36" s="414"/>
      <c r="SGG36" s="414"/>
      <c r="SGH36" s="414"/>
      <c r="SGI36" s="414"/>
      <c r="SGJ36" s="414"/>
      <c r="SGK36" s="414"/>
      <c r="SGL36" s="414"/>
      <c r="SGM36" s="414"/>
      <c r="SGN36" s="414"/>
      <c r="SGO36" s="414"/>
      <c r="SGP36" s="414"/>
      <c r="SGQ36" s="414"/>
      <c r="SGR36" s="414"/>
      <c r="SGS36" s="414"/>
      <c r="SGT36" s="414"/>
      <c r="SGU36" s="414"/>
      <c r="SGV36" s="414"/>
      <c r="SGW36" s="414"/>
      <c r="SGX36" s="414"/>
      <c r="SGY36" s="414"/>
      <c r="SGZ36" s="414"/>
      <c r="SHA36" s="414"/>
      <c r="SHB36" s="414"/>
      <c r="SHC36" s="414"/>
      <c r="SHD36" s="414"/>
      <c r="SHE36" s="414"/>
      <c r="SHF36" s="414"/>
      <c r="SHG36" s="414"/>
      <c r="SHH36" s="414"/>
      <c r="SHI36" s="414"/>
      <c r="SHJ36" s="414"/>
      <c r="SHK36" s="414"/>
      <c r="SHL36" s="414"/>
      <c r="SHM36" s="414"/>
      <c r="SHN36" s="414"/>
      <c r="SHO36" s="414"/>
      <c r="SHP36" s="414"/>
      <c r="SHQ36" s="414"/>
      <c r="SHR36" s="414"/>
      <c r="SHS36" s="414"/>
      <c r="SHT36" s="414"/>
      <c r="SHU36" s="414"/>
      <c r="SHV36" s="414"/>
      <c r="SHW36" s="414"/>
      <c r="SHX36" s="414"/>
      <c r="SHY36" s="414"/>
      <c r="SHZ36" s="414"/>
      <c r="SIA36" s="414"/>
      <c r="SIB36" s="414"/>
      <c r="SIC36" s="414"/>
      <c r="SID36" s="414"/>
      <c r="SIE36" s="414"/>
      <c r="SIF36" s="414"/>
      <c r="SIG36" s="414"/>
      <c r="SIH36" s="414"/>
      <c r="SII36" s="414"/>
      <c r="SIJ36" s="414"/>
      <c r="SIK36" s="414"/>
      <c r="SIL36" s="414"/>
      <c r="SIM36" s="414"/>
      <c r="SIN36" s="414"/>
      <c r="SIO36" s="414"/>
      <c r="SIP36" s="414"/>
      <c r="SIQ36" s="414"/>
      <c r="SIR36" s="414"/>
      <c r="SIS36" s="414"/>
      <c r="SIT36" s="414"/>
      <c r="SIU36" s="414"/>
      <c r="SIV36" s="414"/>
      <c r="SIW36" s="414"/>
      <c r="SIX36" s="414"/>
      <c r="SIY36" s="414"/>
      <c r="SIZ36" s="414"/>
      <c r="SJA36" s="414"/>
      <c r="SJB36" s="414"/>
      <c r="SJC36" s="414"/>
      <c r="SJD36" s="414"/>
      <c r="SJE36" s="414"/>
      <c r="SJF36" s="414"/>
      <c r="SJG36" s="414"/>
      <c r="SJH36" s="414"/>
      <c r="SJI36" s="414"/>
      <c r="SJJ36" s="414"/>
      <c r="SJK36" s="414"/>
      <c r="SJL36" s="414"/>
      <c r="SJM36" s="414"/>
      <c r="SJN36" s="414"/>
      <c r="SJO36" s="414"/>
      <c r="SJP36" s="414"/>
      <c r="SJQ36" s="414"/>
      <c r="SJR36" s="414"/>
      <c r="SJS36" s="414"/>
      <c r="SJT36" s="414"/>
      <c r="SJU36" s="414"/>
      <c r="SJV36" s="414"/>
      <c r="SJW36" s="414"/>
      <c r="SJX36" s="414"/>
      <c r="SJY36" s="414"/>
      <c r="SJZ36" s="414"/>
      <c r="SKA36" s="414"/>
      <c r="SKB36" s="414"/>
      <c r="SKC36" s="414"/>
      <c r="SKD36" s="414"/>
      <c r="SKE36" s="414"/>
      <c r="SKF36" s="414"/>
      <c r="SKG36" s="414"/>
      <c r="SKH36" s="414"/>
      <c r="SKI36" s="414"/>
      <c r="SKJ36" s="414"/>
      <c r="SKK36" s="414"/>
      <c r="SKL36" s="414"/>
      <c r="SKM36" s="414"/>
      <c r="SKN36" s="414"/>
      <c r="SKO36" s="414"/>
      <c r="SKP36" s="414"/>
      <c r="SKQ36" s="414"/>
      <c r="SKR36" s="414"/>
      <c r="SKS36" s="414"/>
      <c r="SKT36" s="414"/>
      <c r="SKU36" s="414"/>
      <c r="SKV36" s="414"/>
      <c r="SKW36" s="414"/>
      <c r="SKX36" s="414"/>
      <c r="SKY36" s="414"/>
      <c r="SKZ36" s="414"/>
      <c r="SLA36" s="414"/>
      <c r="SLB36" s="414"/>
      <c r="SLC36" s="414"/>
      <c r="SLD36" s="414"/>
      <c r="SLE36" s="414"/>
      <c r="SLF36" s="414"/>
      <c r="SLG36" s="414"/>
      <c r="SLH36" s="414"/>
      <c r="SLI36" s="414"/>
      <c r="SLJ36" s="414"/>
      <c r="SLK36" s="414"/>
      <c r="SLL36" s="414"/>
      <c r="SLM36" s="414"/>
      <c r="SLN36" s="414"/>
      <c r="SLO36" s="414"/>
      <c r="SLP36" s="414"/>
      <c r="SLQ36" s="414"/>
      <c r="SLR36" s="414"/>
      <c r="SLS36" s="414"/>
      <c r="SLT36" s="414"/>
      <c r="SLU36" s="414"/>
      <c r="SLV36" s="414"/>
      <c r="SLW36" s="414"/>
      <c r="SLX36" s="414"/>
      <c r="SLY36" s="414"/>
      <c r="SLZ36" s="414"/>
      <c r="SMA36" s="414"/>
      <c r="SMB36" s="414"/>
      <c r="SMC36" s="414"/>
      <c r="SMD36" s="414"/>
      <c r="SME36" s="414"/>
      <c r="SMF36" s="414"/>
      <c r="SMG36" s="414"/>
      <c r="SMH36" s="414"/>
      <c r="SMI36" s="414"/>
      <c r="SMJ36" s="414"/>
      <c r="SMK36" s="414"/>
      <c r="SML36" s="414"/>
      <c r="SMM36" s="414"/>
      <c r="SMN36" s="414"/>
      <c r="SMO36" s="414"/>
      <c r="SMP36" s="414"/>
      <c r="SMQ36" s="414"/>
      <c r="SMR36" s="414"/>
      <c r="SMS36" s="414"/>
      <c r="SMT36" s="414"/>
      <c r="SMU36" s="414"/>
      <c r="SMV36" s="414"/>
      <c r="SMW36" s="414"/>
      <c r="SMX36" s="414"/>
      <c r="SMY36" s="414"/>
      <c r="SMZ36" s="414"/>
      <c r="SNA36" s="414"/>
      <c r="SNB36" s="414"/>
      <c r="SNC36" s="414"/>
      <c r="SND36" s="414"/>
      <c r="SNE36" s="414"/>
      <c r="SNF36" s="414"/>
      <c r="SNG36" s="414"/>
      <c r="SNH36" s="414"/>
      <c r="SNI36" s="414"/>
      <c r="SNJ36" s="414"/>
      <c r="SNK36" s="414"/>
      <c r="SNL36" s="414"/>
      <c r="SNM36" s="414"/>
      <c r="SNN36" s="414"/>
      <c r="SNO36" s="414"/>
      <c r="SNP36" s="414"/>
      <c r="SNQ36" s="414"/>
      <c r="SNR36" s="414"/>
      <c r="SNS36" s="414"/>
      <c r="SNT36" s="414"/>
      <c r="SNU36" s="414"/>
      <c r="SNV36" s="414"/>
      <c r="SNW36" s="414"/>
      <c r="SNX36" s="414"/>
      <c r="SNY36" s="414"/>
      <c r="SNZ36" s="414"/>
      <c r="SOA36" s="414"/>
      <c r="SOB36" s="414"/>
      <c r="SOC36" s="414"/>
      <c r="SOD36" s="414"/>
      <c r="SOE36" s="414"/>
      <c r="SOF36" s="414"/>
      <c r="SOG36" s="414"/>
      <c r="SOH36" s="414"/>
      <c r="SOI36" s="414"/>
      <c r="SOJ36" s="414"/>
      <c r="SOK36" s="414"/>
      <c r="SOL36" s="414"/>
      <c r="SOM36" s="414"/>
      <c r="SON36" s="414"/>
      <c r="SOO36" s="414"/>
      <c r="SOP36" s="414"/>
      <c r="SOQ36" s="414"/>
      <c r="SOR36" s="414"/>
      <c r="SOS36" s="414"/>
      <c r="SOT36" s="414"/>
      <c r="SOU36" s="414"/>
      <c r="SOV36" s="414"/>
      <c r="SOW36" s="414"/>
      <c r="SOX36" s="414"/>
      <c r="SOY36" s="414"/>
      <c r="SOZ36" s="414"/>
      <c r="SPA36" s="414"/>
      <c r="SPB36" s="414"/>
      <c r="SPC36" s="414"/>
      <c r="SPD36" s="414"/>
      <c r="SPE36" s="414"/>
      <c r="SPF36" s="414"/>
      <c r="SPG36" s="414"/>
      <c r="SPH36" s="414"/>
      <c r="SPI36" s="414"/>
      <c r="SPJ36" s="414"/>
      <c r="SPK36" s="414"/>
      <c r="SPL36" s="414"/>
      <c r="SPM36" s="414"/>
      <c r="SPN36" s="414"/>
      <c r="SPO36" s="414"/>
      <c r="SPP36" s="414"/>
      <c r="SPQ36" s="414"/>
      <c r="SPR36" s="414"/>
      <c r="SPS36" s="414"/>
      <c r="SPT36" s="414"/>
      <c r="SPU36" s="414"/>
      <c r="SPV36" s="414"/>
      <c r="SPW36" s="414"/>
      <c r="SPX36" s="414"/>
      <c r="SPY36" s="414"/>
      <c r="SPZ36" s="414"/>
      <c r="SQA36" s="414"/>
      <c r="SQB36" s="414"/>
      <c r="SQC36" s="414"/>
      <c r="SQD36" s="414"/>
      <c r="SQE36" s="414"/>
      <c r="SQF36" s="414"/>
      <c r="SQG36" s="414"/>
      <c r="SQH36" s="414"/>
      <c r="SQI36" s="414"/>
      <c r="SQJ36" s="414"/>
      <c r="SQK36" s="414"/>
      <c r="SQL36" s="414"/>
      <c r="SQM36" s="414"/>
      <c r="SQN36" s="414"/>
      <c r="SQO36" s="414"/>
      <c r="SQP36" s="414"/>
      <c r="SQQ36" s="414"/>
      <c r="SQR36" s="414"/>
      <c r="SQS36" s="414"/>
      <c r="SQT36" s="414"/>
      <c r="SQU36" s="414"/>
      <c r="SQV36" s="414"/>
      <c r="SQW36" s="414"/>
      <c r="SQX36" s="414"/>
      <c r="SQY36" s="414"/>
      <c r="SQZ36" s="414"/>
      <c r="SRA36" s="414"/>
      <c r="SRB36" s="414"/>
      <c r="SRC36" s="414"/>
      <c r="SRD36" s="414"/>
      <c r="SRE36" s="414"/>
      <c r="SRF36" s="414"/>
      <c r="SRG36" s="414"/>
      <c r="SRH36" s="414"/>
      <c r="SRI36" s="414"/>
      <c r="SRJ36" s="414"/>
      <c r="SRK36" s="414"/>
      <c r="SRL36" s="414"/>
      <c r="SRM36" s="414"/>
      <c r="SRN36" s="414"/>
      <c r="SRO36" s="414"/>
      <c r="SRP36" s="414"/>
      <c r="SRQ36" s="414"/>
      <c r="SRR36" s="414"/>
      <c r="SRS36" s="414"/>
      <c r="SRT36" s="414"/>
      <c r="SRU36" s="414"/>
      <c r="SRV36" s="414"/>
      <c r="SRW36" s="414"/>
      <c r="SRX36" s="414"/>
      <c r="SRY36" s="414"/>
      <c r="SRZ36" s="414"/>
      <c r="SSA36" s="414"/>
      <c r="SSB36" s="414"/>
      <c r="SSC36" s="414"/>
      <c r="SSD36" s="414"/>
      <c r="SSE36" s="414"/>
      <c r="SSF36" s="414"/>
      <c r="SSG36" s="414"/>
      <c r="SSH36" s="414"/>
      <c r="SSI36" s="414"/>
      <c r="SSJ36" s="414"/>
      <c r="SSK36" s="414"/>
      <c r="SSL36" s="414"/>
      <c r="SSM36" s="414"/>
      <c r="SSN36" s="414"/>
      <c r="SSO36" s="414"/>
      <c r="SSP36" s="414"/>
      <c r="SSQ36" s="414"/>
      <c r="SSR36" s="414"/>
      <c r="SSS36" s="414"/>
      <c r="SST36" s="414"/>
      <c r="SSU36" s="414"/>
      <c r="SSV36" s="414"/>
      <c r="SSW36" s="414"/>
      <c r="SSX36" s="414"/>
      <c r="SSY36" s="414"/>
      <c r="SSZ36" s="414"/>
      <c r="STA36" s="414"/>
      <c r="STB36" s="414"/>
      <c r="STC36" s="414"/>
      <c r="STD36" s="414"/>
      <c r="STE36" s="414"/>
      <c r="STF36" s="414"/>
      <c r="STG36" s="414"/>
      <c r="STH36" s="414"/>
      <c r="STI36" s="414"/>
      <c r="STJ36" s="414"/>
      <c r="STK36" s="414"/>
      <c r="STL36" s="414"/>
      <c r="STM36" s="414"/>
      <c r="STN36" s="414"/>
      <c r="STO36" s="414"/>
      <c r="STP36" s="414"/>
      <c r="STQ36" s="414"/>
      <c r="STR36" s="414"/>
      <c r="STS36" s="414"/>
      <c r="STT36" s="414"/>
      <c r="STU36" s="414"/>
      <c r="STV36" s="414"/>
      <c r="STW36" s="414"/>
      <c r="STX36" s="414"/>
      <c r="STY36" s="414"/>
      <c r="STZ36" s="414"/>
      <c r="SUA36" s="414"/>
      <c r="SUB36" s="414"/>
      <c r="SUC36" s="414"/>
      <c r="SUD36" s="414"/>
      <c r="SUE36" s="414"/>
      <c r="SUF36" s="414"/>
      <c r="SUG36" s="414"/>
      <c r="SUH36" s="414"/>
      <c r="SUI36" s="414"/>
      <c r="SUJ36" s="414"/>
      <c r="SUK36" s="414"/>
      <c r="SUL36" s="414"/>
      <c r="SUM36" s="414"/>
      <c r="SUN36" s="414"/>
      <c r="SUO36" s="414"/>
      <c r="SUP36" s="414"/>
      <c r="SUQ36" s="414"/>
      <c r="SUR36" s="414"/>
      <c r="SUS36" s="414"/>
      <c r="SUT36" s="414"/>
      <c r="SUU36" s="414"/>
      <c r="SUV36" s="414"/>
      <c r="SUW36" s="414"/>
      <c r="SUX36" s="414"/>
      <c r="SUY36" s="414"/>
      <c r="SUZ36" s="414"/>
      <c r="SVA36" s="414"/>
      <c r="SVB36" s="414"/>
      <c r="SVC36" s="414"/>
      <c r="SVD36" s="414"/>
      <c r="SVE36" s="414"/>
      <c r="SVF36" s="414"/>
      <c r="SVG36" s="414"/>
      <c r="SVH36" s="414"/>
      <c r="SVI36" s="414"/>
      <c r="SVJ36" s="414"/>
      <c r="SVK36" s="414"/>
      <c r="SVL36" s="414"/>
      <c r="SVM36" s="414"/>
      <c r="SVN36" s="414"/>
      <c r="SVO36" s="414"/>
      <c r="SVP36" s="414"/>
      <c r="SVQ36" s="414"/>
      <c r="SVR36" s="414"/>
      <c r="SVS36" s="414"/>
      <c r="SVT36" s="414"/>
      <c r="SVU36" s="414"/>
      <c r="SVV36" s="414"/>
      <c r="SVW36" s="414"/>
      <c r="SVX36" s="414"/>
      <c r="SVY36" s="414"/>
      <c r="SVZ36" s="414"/>
      <c r="SWA36" s="414"/>
      <c r="SWB36" s="414"/>
      <c r="SWC36" s="414"/>
      <c r="SWD36" s="414"/>
      <c r="SWE36" s="414"/>
      <c r="SWF36" s="414"/>
      <c r="SWG36" s="414"/>
      <c r="SWH36" s="414"/>
      <c r="SWI36" s="414"/>
      <c r="SWJ36" s="414"/>
      <c r="SWK36" s="414"/>
      <c r="SWL36" s="414"/>
      <c r="SWM36" s="414"/>
      <c r="SWN36" s="414"/>
      <c r="SWO36" s="414"/>
      <c r="SWP36" s="414"/>
      <c r="SWQ36" s="414"/>
      <c r="SWR36" s="414"/>
      <c r="SWS36" s="414"/>
      <c r="SWT36" s="414"/>
      <c r="SWU36" s="414"/>
      <c r="SWV36" s="414"/>
      <c r="SWW36" s="414"/>
      <c r="SWX36" s="414"/>
      <c r="SWY36" s="414"/>
      <c r="SWZ36" s="414"/>
      <c r="SXA36" s="414"/>
      <c r="SXB36" s="414"/>
      <c r="SXC36" s="414"/>
      <c r="SXD36" s="414"/>
      <c r="SXE36" s="414"/>
      <c r="SXF36" s="414"/>
      <c r="SXG36" s="414"/>
      <c r="SXH36" s="414"/>
      <c r="SXI36" s="414"/>
      <c r="SXJ36" s="414"/>
      <c r="SXK36" s="414"/>
      <c r="SXL36" s="414"/>
      <c r="SXM36" s="414"/>
      <c r="SXN36" s="414"/>
      <c r="SXO36" s="414"/>
      <c r="SXP36" s="414"/>
      <c r="SXQ36" s="414"/>
      <c r="SXR36" s="414"/>
      <c r="SXS36" s="414"/>
      <c r="SXT36" s="414"/>
      <c r="SXU36" s="414"/>
      <c r="SXV36" s="414"/>
      <c r="SXW36" s="414"/>
      <c r="SXX36" s="414"/>
      <c r="SXY36" s="414"/>
      <c r="SXZ36" s="414"/>
      <c r="SYA36" s="414"/>
      <c r="SYB36" s="414"/>
      <c r="SYC36" s="414"/>
      <c r="SYD36" s="414"/>
      <c r="SYE36" s="414"/>
      <c r="SYF36" s="414"/>
      <c r="SYG36" s="414"/>
      <c r="SYH36" s="414"/>
      <c r="SYI36" s="414"/>
      <c r="SYJ36" s="414"/>
      <c r="SYK36" s="414"/>
      <c r="SYL36" s="414"/>
      <c r="SYM36" s="414"/>
      <c r="SYN36" s="414"/>
      <c r="SYO36" s="414"/>
      <c r="SYP36" s="414"/>
      <c r="SYQ36" s="414"/>
      <c r="SYR36" s="414"/>
      <c r="SYS36" s="414"/>
      <c r="SYT36" s="414"/>
      <c r="SYU36" s="414"/>
      <c r="SYV36" s="414"/>
      <c r="SYW36" s="414"/>
      <c r="SYX36" s="414"/>
      <c r="SYY36" s="414"/>
      <c r="SYZ36" s="414"/>
      <c r="SZA36" s="414"/>
      <c r="SZB36" s="414"/>
      <c r="SZC36" s="414"/>
      <c r="SZD36" s="414"/>
      <c r="SZE36" s="414"/>
      <c r="SZF36" s="414"/>
      <c r="SZG36" s="414"/>
      <c r="SZH36" s="414"/>
      <c r="SZI36" s="414"/>
      <c r="SZJ36" s="414"/>
      <c r="SZK36" s="414"/>
      <c r="SZL36" s="414"/>
      <c r="SZM36" s="414"/>
      <c r="SZN36" s="414"/>
      <c r="SZO36" s="414"/>
      <c r="SZP36" s="414"/>
      <c r="SZQ36" s="414"/>
      <c r="SZR36" s="414"/>
      <c r="SZS36" s="414"/>
      <c r="SZT36" s="414"/>
      <c r="SZU36" s="414"/>
      <c r="SZV36" s="414"/>
      <c r="SZW36" s="414"/>
      <c r="SZX36" s="414"/>
      <c r="SZY36" s="414"/>
      <c r="SZZ36" s="414"/>
      <c r="TAA36" s="414"/>
      <c r="TAB36" s="414"/>
      <c r="TAC36" s="414"/>
      <c r="TAD36" s="414"/>
      <c r="TAE36" s="414"/>
      <c r="TAF36" s="414"/>
      <c r="TAG36" s="414"/>
      <c r="TAH36" s="414"/>
      <c r="TAI36" s="414"/>
      <c r="TAJ36" s="414"/>
      <c r="TAK36" s="414"/>
      <c r="TAL36" s="414"/>
      <c r="TAM36" s="414"/>
      <c r="TAN36" s="414"/>
      <c r="TAO36" s="414"/>
      <c r="TAP36" s="414"/>
      <c r="TAQ36" s="414"/>
      <c r="TAR36" s="414"/>
      <c r="TAS36" s="414"/>
      <c r="TAT36" s="414"/>
      <c r="TAU36" s="414"/>
      <c r="TAV36" s="414"/>
      <c r="TAW36" s="414"/>
      <c r="TAX36" s="414"/>
      <c r="TAY36" s="414"/>
      <c r="TAZ36" s="414"/>
      <c r="TBA36" s="414"/>
      <c r="TBB36" s="414"/>
      <c r="TBC36" s="414"/>
      <c r="TBD36" s="414"/>
      <c r="TBE36" s="414"/>
      <c r="TBF36" s="414"/>
      <c r="TBG36" s="414"/>
      <c r="TBH36" s="414"/>
      <c r="TBI36" s="414"/>
      <c r="TBJ36" s="414"/>
      <c r="TBK36" s="414"/>
      <c r="TBL36" s="414"/>
      <c r="TBM36" s="414"/>
      <c r="TBN36" s="414"/>
      <c r="TBO36" s="414"/>
      <c r="TBP36" s="414"/>
      <c r="TBQ36" s="414"/>
      <c r="TBR36" s="414"/>
      <c r="TBS36" s="414"/>
      <c r="TBT36" s="414"/>
      <c r="TBU36" s="414"/>
      <c r="TBV36" s="414"/>
      <c r="TBW36" s="414"/>
      <c r="TBX36" s="414"/>
      <c r="TBY36" s="414"/>
      <c r="TBZ36" s="414"/>
      <c r="TCA36" s="414"/>
      <c r="TCB36" s="414"/>
      <c r="TCC36" s="414"/>
      <c r="TCD36" s="414"/>
      <c r="TCE36" s="414"/>
      <c r="TCF36" s="414"/>
      <c r="TCG36" s="414"/>
      <c r="TCH36" s="414"/>
      <c r="TCI36" s="414"/>
      <c r="TCJ36" s="414"/>
      <c r="TCK36" s="414"/>
      <c r="TCL36" s="414"/>
      <c r="TCM36" s="414"/>
      <c r="TCN36" s="414"/>
      <c r="TCO36" s="414"/>
      <c r="TCP36" s="414"/>
      <c r="TCQ36" s="414"/>
      <c r="TCR36" s="414"/>
      <c r="TCS36" s="414"/>
      <c r="TCT36" s="414"/>
      <c r="TCU36" s="414"/>
      <c r="TCV36" s="414"/>
      <c r="TCW36" s="414"/>
      <c r="TCX36" s="414"/>
      <c r="TCY36" s="414"/>
      <c r="TCZ36" s="414"/>
      <c r="TDA36" s="414"/>
      <c r="TDB36" s="414"/>
      <c r="TDC36" s="414"/>
      <c r="TDD36" s="414"/>
      <c r="TDE36" s="414"/>
      <c r="TDF36" s="414"/>
      <c r="TDG36" s="414"/>
      <c r="TDH36" s="414"/>
      <c r="TDI36" s="414"/>
      <c r="TDJ36" s="414"/>
      <c r="TDK36" s="414"/>
      <c r="TDL36" s="414"/>
      <c r="TDM36" s="414"/>
      <c r="TDN36" s="414"/>
      <c r="TDO36" s="414"/>
      <c r="TDP36" s="414"/>
      <c r="TDQ36" s="414"/>
      <c r="TDR36" s="414"/>
      <c r="TDS36" s="414"/>
      <c r="TDT36" s="414"/>
      <c r="TDU36" s="414"/>
      <c r="TDV36" s="414"/>
      <c r="TDW36" s="414"/>
      <c r="TDX36" s="414"/>
      <c r="TDY36" s="414"/>
      <c r="TDZ36" s="414"/>
      <c r="TEA36" s="414"/>
      <c r="TEB36" s="414"/>
      <c r="TEC36" s="414"/>
      <c r="TED36" s="414"/>
      <c r="TEE36" s="414"/>
      <c r="TEF36" s="414"/>
      <c r="TEG36" s="414"/>
      <c r="TEH36" s="414"/>
      <c r="TEI36" s="414"/>
      <c r="TEJ36" s="414"/>
      <c r="TEK36" s="414"/>
      <c r="TEL36" s="414"/>
      <c r="TEM36" s="414"/>
      <c r="TEN36" s="414"/>
      <c r="TEO36" s="414"/>
      <c r="TEP36" s="414"/>
      <c r="TEQ36" s="414"/>
      <c r="TER36" s="414"/>
      <c r="TES36" s="414"/>
      <c r="TET36" s="414"/>
      <c r="TEU36" s="414"/>
      <c r="TEV36" s="414"/>
      <c r="TEW36" s="414"/>
      <c r="TEX36" s="414"/>
      <c r="TEY36" s="414"/>
      <c r="TEZ36" s="414"/>
      <c r="TFA36" s="414"/>
      <c r="TFB36" s="414"/>
      <c r="TFC36" s="414"/>
      <c r="TFD36" s="414"/>
      <c r="TFE36" s="414"/>
      <c r="TFF36" s="414"/>
      <c r="TFG36" s="414"/>
      <c r="TFH36" s="414"/>
      <c r="TFI36" s="414"/>
      <c r="TFJ36" s="414"/>
      <c r="TFK36" s="414"/>
      <c r="TFL36" s="414"/>
      <c r="TFM36" s="414"/>
      <c r="TFN36" s="414"/>
      <c r="TFO36" s="414"/>
      <c r="TFP36" s="414"/>
      <c r="TFQ36" s="414"/>
      <c r="TFR36" s="414"/>
      <c r="TFS36" s="414"/>
      <c r="TFT36" s="414"/>
      <c r="TFU36" s="414"/>
      <c r="TFV36" s="414"/>
      <c r="TFW36" s="414"/>
      <c r="TFX36" s="414"/>
      <c r="TFY36" s="414"/>
      <c r="TFZ36" s="414"/>
      <c r="TGA36" s="414"/>
      <c r="TGB36" s="414"/>
      <c r="TGC36" s="414"/>
      <c r="TGD36" s="414"/>
      <c r="TGE36" s="414"/>
      <c r="TGF36" s="414"/>
      <c r="TGG36" s="414"/>
      <c r="TGH36" s="414"/>
      <c r="TGI36" s="414"/>
      <c r="TGJ36" s="414"/>
      <c r="TGK36" s="414"/>
      <c r="TGL36" s="414"/>
      <c r="TGM36" s="414"/>
      <c r="TGN36" s="414"/>
      <c r="TGO36" s="414"/>
      <c r="TGP36" s="414"/>
      <c r="TGQ36" s="414"/>
      <c r="TGR36" s="414"/>
      <c r="TGS36" s="414"/>
      <c r="TGT36" s="414"/>
      <c r="TGU36" s="414"/>
      <c r="TGV36" s="414"/>
      <c r="TGW36" s="414"/>
      <c r="TGX36" s="414"/>
      <c r="TGY36" s="414"/>
      <c r="TGZ36" s="414"/>
      <c r="THA36" s="414"/>
      <c r="THB36" s="414"/>
      <c r="THC36" s="414"/>
      <c r="THD36" s="414"/>
      <c r="THE36" s="414"/>
      <c r="THF36" s="414"/>
      <c r="THG36" s="414"/>
      <c r="THH36" s="414"/>
      <c r="THI36" s="414"/>
      <c r="THJ36" s="414"/>
      <c r="THK36" s="414"/>
      <c r="THL36" s="414"/>
      <c r="THM36" s="414"/>
      <c r="THN36" s="414"/>
      <c r="THO36" s="414"/>
      <c r="THP36" s="414"/>
      <c r="THQ36" s="414"/>
      <c r="THR36" s="414"/>
      <c r="THS36" s="414"/>
      <c r="THT36" s="414"/>
      <c r="THU36" s="414"/>
      <c r="THV36" s="414"/>
      <c r="THW36" s="414"/>
      <c r="THX36" s="414"/>
      <c r="THY36" s="414"/>
      <c r="THZ36" s="414"/>
      <c r="TIA36" s="414"/>
      <c r="TIB36" s="414"/>
      <c r="TIC36" s="414"/>
      <c r="TID36" s="414"/>
      <c r="TIE36" s="414"/>
      <c r="TIF36" s="414"/>
      <c r="TIG36" s="414"/>
      <c r="TIH36" s="414"/>
      <c r="TII36" s="414"/>
      <c r="TIJ36" s="414"/>
      <c r="TIK36" s="414"/>
      <c r="TIL36" s="414"/>
      <c r="TIM36" s="414"/>
      <c r="TIN36" s="414"/>
      <c r="TIO36" s="414"/>
      <c r="TIP36" s="414"/>
      <c r="TIQ36" s="414"/>
      <c r="TIR36" s="414"/>
      <c r="TIS36" s="414"/>
      <c r="TIT36" s="414"/>
      <c r="TIU36" s="414"/>
      <c r="TIV36" s="414"/>
      <c r="TIW36" s="414"/>
      <c r="TIX36" s="414"/>
      <c r="TIY36" s="414"/>
      <c r="TIZ36" s="414"/>
      <c r="TJA36" s="414"/>
      <c r="TJB36" s="414"/>
      <c r="TJC36" s="414"/>
      <c r="TJD36" s="414"/>
      <c r="TJE36" s="414"/>
      <c r="TJF36" s="414"/>
      <c r="TJG36" s="414"/>
      <c r="TJH36" s="414"/>
      <c r="TJI36" s="414"/>
      <c r="TJJ36" s="414"/>
      <c r="TJK36" s="414"/>
      <c r="TJL36" s="414"/>
      <c r="TJM36" s="414"/>
      <c r="TJN36" s="414"/>
      <c r="TJO36" s="414"/>
      <c r="TJP36" s="414"/>
      <c r="TJQ36" s="414"/>
      <c r="TJR36" s="414"/>
      <c r="TJS36" s="414"/>
      <c r="TJT36" s="414"/>
      <c r="TJU36" s="414"/>
      <c r="TJV36" s="414"/>
      <c r="TJW36" s="414"/>
      <c r="TJX36" s="414"/>
      <c r="TJY36" s="414"/>
      <c r="TJZ36" s="414"/>
      <c r="TKA36" s="414"/>
      <c r="TKB36" s="414"/>
      <c r="TKC36" s="414"/>
      <c r="TKD36" s="414"/>
      <c r="TKE36" s="414"/>
      <c r="TKF36" s="414"/>
      <c r="TKG36" s="414"/>
      <c r="TKH36" s="414"/>
      <c r="TKI36" s="414"/>
      <c r="TKJ36" s="414"/>
      <c r="TKK36" s="414"/>
      <c r="TKL36" s="414"/>
      <c r="TKM36" s="414"/>
      <c r="TKN36" s="414"/>
      <c r="TKO36" s="414"/>
      <c r="TKP36" s="414"/>
      <c r="TKQ36" s="414"/>
      <c r="TKR36" s="414"/>
      <c r="TKS36" s="414"/>
      <c r="TKT36" s="414"/>
      <c r="TKU36" s="414"/>
      <c r="TKV36" s="414"/>
      <c r="TKW36" s="414"/>
      <c r="TKX36" s="414"/>
      <c r="TKY36" s="414"/>
      <c r="TKZ36" s="414"/>
      <c r="TLA36" s="414"/>
      <c r="TLB36" s="414"/>
      <c r="TLC36" s="414"/>
      <c r="TLD36" s="414"/>
      <c r="TLE36" s="414"/>
      <c r="TLF36" s="414"/>
      <c r="TLG36" s="414"/>
      <c r="TLH36" s="414"/>
      <c r="TLI36" s="414"/>
      <c r="TLJ36" s="414"/>
      <c r="TLK36" s="414"/>
      <c r="TLL36" s="414"/>
      <c r="TLM36" s="414"/>
      <c r="TLN36" s="414"/>
      <c r="TLO36" s="414"/>
      <c r="TLP36" s="414"/>
      <c r="TLQ36" s="414"/>
      <c r="TLR36" s="414"/>
      <c r="TLS36" s="414"/>
      <c r="TLT36" s="414"/>
      <c r="TLU36" s="414"/>
      <c r="TLV36" s="414"/>
      <c r="TLW36" s="414"/>
      <c r="TLX36" s="414"/>
      <c r="TLY36" s="414"/>
      <c r="TLZ36" s="414"/>
      <c r="TMA36" s="414"/>
      <c r="TMB36" s="414"/>
      <c r="TMC36" s="414"/>
      <c r="TMD36" s="414"/>
      <c r="TME36" s="414"/>
      <c r="TMF36" s="414"/>
      <c r="TMG36" s="414"/>
      <c r="TMH36" s="414"/>
      <c r="TMI36" s="414"/>
      <c r="TMJ36" s="414"/>
      <c r="TMK36" s="414"/>
      <c r="TML36" s="414"/>
      <c r="TMM36" s="414"/>
      <c r="TMN36" s="414"/>
      <c r="TMO36" s="414"/>
      <c r="TMP36" s="414"/>
      <c r="TMQ36" s="414"/>
      <c r="TMR36" s="414"/>
      <c r="TMS36" s="414"/>
      <c r="TMT36" s="414"/>
      <c r="TMU36" s="414"/>
      <c r="TMV36" s="414"/>
      <c r="TMW36" s="414"/>
      <c r="TMX36" s="414"/>
      <c r="TMY36" s="414"/>
      <c r="TMZ36" s="414"/>
      <c r="TNA36" s="414"/>
      <c r="TNB36" s="414"/>
      <c r="TNC36" s="414"/>
      <c r="TND36" s="414"/>
      <c r="TNE36" s="414"/>
      <c r="TNF36" s="414"/>
      <c r="TNG36" s="414"/>
      <c r="TNH36" s="414"/>
      <c r="TNI36" s="414"/>
      <c r="TNJ36" s="414"/>
      <c r="TNK36" s="414"/>
      <c r="TNL36" s="414"/>
      <c r="TNM36" s="414"/>
      <c r="TNN36" s="414"/>
      <c r="TNO36" s="414"/>
      <c r="TNP36" s="414"/>
      <c r="TNQ36" s="414"/>
      <c r="TNR36" s="414"/>
      <c r="TNS36" s="414"/>
      <c r="TNT36" s="414"/>
      <c r="TNU36" s="414"/>
      <c r="TNV36" s="414"/>
      <c r="TNW36" s="414"/>
      <c r="TNX36" s="414"/>
      <c r="TNY36" s="414"/>
      <c r="TNZ36" s="414"/>
      <c r="TOA36" s="414"/>
      <c r="TOB36" s="414"/>
      <c r="TOC36" s="414"/>
      <c r="TOD36" s="414"/>
      <c r="TOE36" s="414"/>
      <c r="TOF36" s="414"/>
      <c r="TOG36" s="414"/>
      <c r="TOH36" s="414"/>
      <c r="TOI36" s="414"/>
      <c r="TOJ36" s="414"/>
      <c r="TOK36" s="414"/>
      <c r="TOL36" s="414"/>
      <c r="TOM36" s="414"/>
      <c r="TON36" s="414"/>
      <c r="TOO36" s="414"/>
      <c r="TOP36" s="414"/>
      <c r="TOQ36" s="414"/>
      <c r="TOR36" s="414"/>
      <c r="TOS36" s="414"/>
      <c r="TOT36" s="414"/>
      <c r="TOU36" s="414"/>
      <c r="TOV36" s="414"/>
      <c r="TOW36" s="414"/>
      <c r="TOX36" s="414"/>
      <c r="TOY36" s="414"/>
      <c r="TOZ36" s="414"/>
      <c r="TPA36" s="414"/>
      <c r="TPB36" s="414"/>
      <c r="TPC36" s="414"/>
      <c r="TPD36" s="414"/>
      <c r="TPE36" s="414"/>
      <c r="TPF36" s="414"/>
      <c r="TPG36" s="414"/>
      <c r="TPH36" s="414"/>
      <c r="TPI36" s="414"/>
      <c r="TPJ36" s="414"/>
      <c r="TPK36" s="414"/>
      <c r="TPL36" s="414"/>
      <c r="TPM36" s="414"/>
      <c r="TPN36" s="414"/>
      <c r="TPO36" s="414"/>
      <c r="TPP36" s="414"/>
      <c r="TPQ36" s="414"/>
      <c r="TPR36" s="414"/>
      <c r="TPS36" s="414"/>
      <c r="TPT36" s="414"/>
      <c r="TPU36" s="414"/>
      <c r="TPV36" s="414"/>
      <c r="TPW36" s="414"/>
      <c r="TPX36" s="414"/>
      <c r="TPY36" s="414"/>
      <c r="TPZ36" s="414"/>
      <c r="TQA36" s="414"/>
      <c r="TQB36" s="414"/>
      <c r="TQC36" s="414"/>
      <c r="TQD36" s="414"/>
      <c r="TQE36" s="414"/>
      <c r="TQF36" s="414"/>
      <c r="TQG36" s="414"/>
      <c r="TQH36" s="414"/>
      <c r="TQI36" s="414"/>
      <c r="TQJ36" s="414"/>
      <c r="TQK36" s="414"/>
      <c r="TQL36" s="414"/>
      <c r="TQM36" s="414"/>
      <c r="TQN36" s="414"/>
      <c r="TQO36" s="414"/>
      <c r="TQP36" s="414"/>
      <c r="TQQ36" s="414"/>
      <c r="TQR36" s="414"/>
      <c r="TQS36" s="414"/>
      <c r="TQT36" s="414"/>
      <c r="TQU36" s="414"/>
      <c r="TQV36" s="414"/>
      <c r="TQW36" s="414"/>
      <c r="TQX36" s="414"/>
      <c r="TQY36" s="414"/>
      <c r="TQZ36" s="414"/>
      <c r="TRA36" s="414"/>
      <c r="TRB36" s="414"/>
      <c r="TRC36" s="414"/>
      <c r="TRD36" s="414"/>
      <c r="TRE36" s="414"/>
      <c r="TRF36" s="414"/>
      <c r="TRG36" s="414"/>
      <c r="TRH36" s="414"/>
      <c r="TRI36" s="414"/>
      <c r="TRJ36" s="414"/>
      <c r="TRK36" s="414"/>
      <c r="TRL36" s="414"/>
      <c r="TRM36" s="414"/>
      <c r="TRN36" s="414"/>
      <c r="TRO36" s="414"/>
      <c r="TRP36" s="414"/>
      <c r="TRQ36" s="414"/>
      <c r="TRR36" s="414"/>
      <c r="TRS36" s="414"/>
      <c r="TRT36" s="414"/>
      <c r="TRU36" s="414"/>
      <c r="TRV36" s="414"/>
      <c r="TRW36" s="414"/>
      <c r="TRX36" s="414"/>
      <c r="TRY36" s="414"/>
      <c r="TRZ36" s="414"/>
      <c r="TSA36" s="414"/>
      <c r="TSB36" s="414"/>
      <c r="TSC36" s="414"/>
      <c r="TSD36" s="414"/>
      <c r="TSE36" s="414"/>
      <c r="TSF36" s="414"/>
      <c r="TSG36" s="414"/>
      <c r="TSH36" s="414"/>
      <c r="TSI36" s="414"/>
      <c r="TSJ36" s="414"/>
      <c r="TSK36" s="414"/>
      <c r="TSL36" s="414"/>
      <c r="TSM36" s="414"/>
      <c r="TSN36" s="414"/>
      <c r="TSO36" s="414"/>
      <c r="TSP36" s="414"/>
      <c r="TSQ36" s="414"/>
      <c r="TSR36" s="414"/>
      <c r="TSS36" s="414"/>
      <c r="TST36" s="414"/>
      <c r="TSU36" s="414"/>
      <c r="TSV36" s="414"/>
      <c r="TSW36" s="414"/>
      <c r="TSX36" s="414"/>
      <c r="TSY36" s="414"/>
      <c r="TSZ36" s="414"/>
      <c r="TTA36" s="414"/>
      <c r="TTB36" s="414"/>
      <c r="TTC36" s="414"/>
      <c r="TTD36" s="414"/>
      <c r="TTE36" s="414"/>
      <c r="TTF36" s="414"/>
      <c r="TTG36" s="414"/>
      <c r="TTH36" s="414"/>
      <c r="TTI36" s="414"/>
      <c r="TTJ36" s="414"/>
      <c r="TTK36" s="414"/>
      <c r="TTL36" s="414"/>
      <c r="TTM36" s="414"/>
      <c r="TTN36" s="414"/>
      <c r="TTO36" s="414"/>
      <c r="TTP36" s="414"/>
      <c r="TTQ36" s="414"/>
      <c r="TTR36" s="414"/>
      <c r="TTS36" s="414"/>
      <c r="TTT36" s="414"/>
      <c r="TTU36" s="414"/>
      <c r="TTV36" s="414"/>
      <c r="TTW36" s="414"/>
      <c r="TTX36" s="414"/>
      <c r="TTY36" s="414"/>
      <c r="TTZ36" s="414"/>
      <c r="TUA36" s="414"/>
      <c r="TUB36" s="414"/>
      <c r="TUC36" s="414"/>
      <c r="TUD36" s="414"/>
      <c r="TUE36" s="414"/>
      <c r="TUF36" s="414"/>
      <c r="TUG36" s="414"/>
      <c r="TUH36" s="414"/>
      <c r="TUI36" s="414"/>
      <c r="TUJ36" s="414"/>
      <c r="TUK36" s="414"/>
      <c r="TUL36" s="414"/>
      <c r="TUM36" s="414"/>
      <c r="TUN36" s="414"/>
      <c r="TUO36" s="414"/>
      <c r="TUP36" s="414"/>
      <c r="TUQ36" s="414"/>
      <c r="TUR36" s="414"/>
      <c r="TUS36" s="414"/>
      <c r="TUT36" s="414"/>
      <c r="TUU36" s="414"/>
      <c r="TUV36" s="414"/>
      <c r="TUW36" s="414"/>
      <c r="TUX36" s="414"/>
      <c r="TUY36" s="414"/>
      <c r="TUZ36" s="414"/>
      <c r="TVA36" s="414"/>
      <c r="TVB36" s="414"/>
      <c r="TVC36" s="414"/>
      <c r="TVD36" s="414"/>
      <c r="TVE36" s="414"/>
      <c r="TVF36" s="414"/>
      <c r="TVG36" s="414"/>
      <c r="TVH36" s="414"/>
      <c r="TVI36" s="414"/>
      <c r="TVJ36" s="414"/>
      <c r="TVK36" s="414"/>
      <c r="TVL36" s="414"/>
      <c r="TVM36" s="414"/>
      <c r="TVN36" s="414"/>
      <c r="TVO36" s="414"/>
      <c r="TVP36" s="414"/>
      <c r="TVQ36" s="414"/>
      <c r="TVR36" s="414"/>
      <c r="TVS36" s="414"/>
      <c r="TVT36" s="414"/>
      <c r="TVU36" s="414"/>
      <c r="TVV36" s="414"/>
      <c r="TVW36" s="414"/>
      <c r="TVX36" s="414"/>
      <c r="TVY36" s="414"/>
      <c r="TVZ36" s="414"/>
      <c r="TWA36" s="414"/>
      <c r="TWB36" s="414"/>
      <c r="TWC36" s="414"/>
      <c r="TWD36" s="414"/>
      <c r="TWE36" s="414"/>
      <c r="TWF36" s="414"/>
      <c r="TWG36" s="414"/>
      <c r="TWH36" s="414"/>
      <c r="TWI36" s="414"/>
      <c r="TWJ36" s="414"/>
      <c r="TWK36" s="414"/>
      <c r="TWL36" s="414"/>
      <c r="TWM36" s="414"/>
      <c r="TWN36" s="414"/>
      <c r="TWO36" s="414"/>
      <c r="TWP36" s="414"/>
      <c r="TWQ36" s="414"/>
      <c r="TWR36" s="414"/>
      <c r="TWS36" s="414"/>
      <c r="TWT36" s="414"/>
      <c r="TWU36" s="414"/>
      <c r="TWV36" s="414"/>
      <c r="TWW36" s="414"/>
      <c r="TWX36" s="414"/>
      <c r="TWY36" s="414"/>
      <c r="TWZ36" s="414"/>
      <c r="TXA36" s="414"/>
      <c r="TXB36" s="414"/>
      <c r="TXC36" s="414"/>
      <c r="TXD36" s="414"/>
      <c r="TXE36" s="414"/>
      <c r="TXF36" s="414"/>
      <c r="TXG36" s="414"/>
      <c r="TXH36" s="414"/>
      <c r="TXI36" s="414"/>
      <c r="TXJ36" s="414"/>
      <c r="TXK36" s="414"/>
      <c r="TXL36" s="414"/>
      <c r="TXM36" s="414"/>
      <c r="TXN36" s="414"/>
      <c r="TXO36" s="414"/>
      <c r="TXP36" s="414"/>
      <c r="TXQ36" s="414"/>
      <c r="TXR36" s="414"/>
      <c r="TXS36" s="414"/>
      <c r="TXT36" s="414"/>
      <c r="TXU36" s="414"/>
      <c r="TXV36" s="414"/>
      <c r="TXW36" s="414"/>
      <c r="TXX36" s="414"/>
      <c r="TXY36" s="414"/>
      <c r="TXZ36" s="414"/>
      <c r="TYA36" s="414"/>
      <c r="TYB36" s="414"/>
      <c r="TYC36" s="414"/>
      <c r="TYD36" s="414"/>
      <c r="TYE36" s="414"/>
      <c r="TYF36" s="414"/>
      <c r="TYG36" s="414"/>
      <c r="TYH36" s="414"/>
      <c r="TYI36" s="414"/>
      <c r="TYJ36" s="414"/>
      <c r="TYK36" s="414"/>
      <c r="TYL36" s="414"/>
      <c r="TYM36" s="414"/>
      <c r="TYN36" s="414"/>
      <c r="TYO36" s="414"/>
      <c r="TYP36" s="414"/>
      <c r="TYQ36" s="414"/>
      <c r="TYR36" s="414"/>
      <c r="TYS36" s="414"/>
      <c r="TYT36" s="414"/>
      <c r="TYU36" s="414"/>
      <c r="TYV36" s="414"/>
      <c r="TYW36" s="414"/>
      <c r="TYX36" s="414"/>
      <c r="TYY36" s="414"/>
      <c r="TYZ36" s="414"/>
      <c r="TZA36" s="414"/>
      <c r="TZB36" s="414"/>
      <c r="TZC36" s="414"/>
      <c r="TZD36" s="414"/>
      <c r="TZE36" s="414"/>
      <c r="TZF36" s="414"/>
      <c r="TZG36" s="414"/>
      <c r="TZH36" s="414"/>
      <c r="TZI36" s="414"/>
      <c r="TZJ36" s="414"/>
      <c r="TZK36" s="414"/>
      <c r="TZL36" s="414"/>
      <c r="TZM36" s="414"/>
      <c r="TZN36" s="414"/>
      <c r="TZO36" s="414"/>
      <c r="TZP36" s="414"/>
      <c r="TZQ36" s="414"/>
      <c r="TZR36" s="414"/>
      <c r="TZS36" s="414"/>
      <c r="TZT36" s="414"/>
      <c r="TZU36" s="414"/>
      <c r="TZV36" s="414"/>
      <c r="TZW36" s="414"/>
      <c r="TZX36" s="414"/>
      <c r="TZY36" s="414"/>
      <c r="TZZ36" s="414"/>
      <c r="UAA36" s="414"/>
      <c r="UAB36" s="414"/>
      <c r="UAC36" s="414"/>
      <c r="UAD36" s="414"/>
      <c r="UAE36" s="414"/>
      <c r="UAF36" s="414"/>
      <c r="UAG36" s="414"/>
      <c r="UAH36" s="414"/>
      <c r="UAI36" s="414"/>
      <c r="UAJ36" s="414"/>
      <c r="UAK36" s="414"/>
      <c r="UAL36" s="414"/>
      <c r="UAM36" s="414"/>
      <c r="UAN36" s="414"/>
      <c r="UAO36" s="414"/>
      <c r="UAP36" s="414"/>
      <c r="UAQ36" s="414"/>
      <c r="UAR36" s="414"/>
      <c r="UAS36" s="414"/>
      <c r="UAT36" s="414"/>
      <c r="UAU36" s="414"/>
      <c r="UAV36" s="414"/>
      <c r="UAW36" s="414"/>
      <c r="UAX36" s="414"/>
      <c r="UAY36" s="414"/>
      <c r="UAZ36" s="414"/>
      <c r="UBA36" s="414"/>
      <c r="UBB36" s="414"/>
      <c r="UBC36" s="414"/>
      <c r="UBD36" s="414"/>
      <c r="UBE36" s="414"/>
      <c r="UBF36" s="414"/>
      <c r="UBG36" s="414"/>
      <c r="UBH36" s="414"/>
      <c r="UBI36" s="414"/>
      <c r="UBJ36" s="414"/>
      <c r="UBK36" s="414"/>
      <c r="UBL36" s="414"/>
      <c r="UBM36" s="414"/>
      <c r="UBN36" s="414"/>
      <c r="UBO36" s="414"/>
      <c r="UBP36" s="414"/>
      <c r="UBQ36" s="414"/>
      <c r="UBR36" s="414"/>
      <c r="UBS36" s="414"/>
      <c r="UBT36" s="414"/>
      <c r="UBU36" s="414"/>
      <c r="UBV36" s="414"/>
      <c r="UBW36" s="414"/>
      <c r="UBX36" s="414"/>
      <c r="UBY36" s="414"/>
      <c r="UBZ36" s="414"/>
      <c r="UCA36" s="414"/>
      <c r="UCB36" s="414"/>
      <c r="UCC36" s="414"/>
      <c r="UCD36" s="414"/>
      <c r="UCE36" s="414"/>
      <c r="UCF36" s="414"/>
      <c r="UCG36" s="414"/>
      <c r="UCH36" s="414"/>
      <c r="UCI36" s="414"/>
      <c r="UCJ36" s="414"/>
      <c r="UCK36" s="414"/>
      <c r="UCL36" s="414"/>
      <c r="UCM36" s="414"/>
      <c r="UCN36" s="414"/>
      <c r="UCO36" s="414"/>
      <c r="UCP36" s="414"/>
      <c r="UCQ36" s="414"/>
      <c r="UCR36" s="414"/>
      <c r="UCS36" s="414"/>
      <c r="UCT36" s="414"/>
      <c r="UCU36" s="414"/>
      <c r="UCV36" s="414"/>
      <c r="UCW36" s="414"/>
      <c r="UCX36" s="414"/>
      <c r="UCY36" s="414"/>
      <c r="UCZ36" s="414"/>
      <c r="UDA36" s="414"/>
      <c r="UDB36" s="414"/>
      <c r="UDC36" s="414"/>
      <c r="UDD36" s="414"/>
      <c r="UDE36" s="414"/>
      <c r="UDF36" s="414"/>
      <c r="UDG36" s="414"/>
      <c r="UDH36" s="414"/>
      <c r="UDI36" s="414"/>
      <c r="UDJ36" s="414"/>
      <c r="UDK36" s="414"/>
      <c r="UDL36" s="414"/>
      <c r="UDM36" s="414"/>
      <c r="UDN36" s="414"/>
      <c r="UDO36" s="414"/>
      <c r="UDP36" s="414"/>
      <c r="UDQ36" s="414"/>
      <c r="UDR36" s="414"/>
      <c r="UDS36" s="414"/>
      <c r="UDT36" s="414"/>
      <c r="UDU36" s="414"/>
      <c r="UDV36" s="414"/>
      <c r="UDW36" s="414"/>
      <c r="UDX36" s="414"/>
      <c r="UDY36" s="414"/>
      <c r="UDZ36" s="414"/>
      <c r="UEA36" s="414"/>
      <c r="UEB36" s="414"/>
      <c r="UEC36" s="414"/>
      <c r="UED36" s="414"/>
      <c r="UEE36" s="414"/>
      <c r="UEF36" s="414"/>
      <c r="UEG36" s="414"/>
      <c r="UEH36" s="414"/>
      <c r="UEI36" s="414"/>
      <c r="UEJ36" s="414"/>
      <c r="UEK36" s="414"/>
      <c r="UEL36" s="414"/>
      <c r="UEM36" s="414"/>
      <c r="UEN36" s="414"/>
      <c r="UEO36" s="414"/>
      <c r="UEP36" s="414"/>
      <c r="UEQ36" s="414"/>
      <c r="UER36" s="414"/>
      <c r="UES36" s="414"/>
      <c r="UET36" s="414"/>
      <c r="UEU36" s="414"/>
      <c r="UEV36" s="414"/>
      <c r="UEW36" s="414"/>
      <c r="UEX36" s="414"/>
      <c r="UEY36" s="414"/>
      <c r="UEZ36" s="414"/>
      <c r="UFA36" s="414"/>
      <c r="UFB36" s="414"/>
      <c r="UFC36" s="414"/>
      <c r="UFD36" s="414"/>
      <c r="UFE36" s="414"/>
      <c r="UFF36" s="414"/>
      <c r="UFG36" s="414"/>
      <c r="UFH36" s="414"/>
      <c r="UFI36" s="414"/>
      <c r="UFJ36" s="414"/>
      <c r="UFK36" s="414"/>
      <c r="UFL36" s="414"/>
      <c r="UFM36" s="414"/>
      <c r="UFN36" s="414"/>
      <c r="UFO36" s="414"/>
      <c r="UFP36" s="414"/>
      <c r="UFQ36" s="414"/>
      <c r="UFR36" s="414"/>
      <c r="UFS36" s="414"/>
      <c r="UFT36" s="414"/>
      <c r="UFU36" s="414"/>
      <c r="UFV36" s="414"/>
      <c r="UFW36" s="414"/>
      <c r="UFX36" s="414"/>
      <c r="UFY36" s="414"/>
      <c r="UFZ36" s="414"/>
      <c r="UGA36" s="414"/>
      <c r="UGB36" s="414"/>
      <c r="UGC36" s="414"/>
      <c r="UGD36" s="414"/>
      <c r="UGE36" s="414"/>
      <c r="UGF36" s="414"/>
      <c r="UGG36" s="414"/>
      <c r="UGH36" s="414"/>
      <c r="UGI36" s="414"/>
      <c r="UGJ36" s="414"/>
      <c r="UGK36" s="414"/>
      <c r="UGL36" s="414"/>
      <c r="UGM36" s="414"/>
      <c r="UGN36" s="414"/>
      <c r="UGO36" s="414"/>
      <c r="UGP36" s="414"/>
      <c r="UGQ36" s="414"/>
      <c r="UGR36" s="414"/>
      <c r="UGS36" s="414"/>
      <c r="UGT36" s="414"/>
      <c r="UGU36" s="414"/>
      <c r="UGV36" s="414"/>
      <c r="UGW36" s="414"/>
      <c r="UGX36" s="414"/>
      <c r="UGY36" s="414"/>
      <c r="UGZ36" s="414"/>
      <c r="UHA36" s="414"/>
      <c r="UHB36" s="414"/>
      <c r="UHC36" s="414"/>
      <c r="UHD36" s="414"/>
      <c r="UHE36" s="414"/>
      <c r="UHF36" s="414"/>
      <c r="UHG36" s="414"/>
      <c r="UHH36" s="414"/>
      <c r="UHI36" s="414"/>
      <c r="UHJ36" s="414"/>
      <c r="UHK36" s="414"/>
      <c r="UHL36" s="414"/>
      <c r="UHM36" s="414"/>
      <c r="UHN36" s="414"/>
      <c r="UHO36" s="414"/>
      <c r="UHP36" s="414"/>
      <c r="UHQ36" s="414"/>
      <c r="UHR36" s="414"/>
      <c r="UHS36" s="414"/>
      <c r="UHT36" s="414"/>
      <c r="UHU36" s="414"/>
      <c r="UHV36" s="414"/>
      <c r="UHW36" s="414"/>
      <c r="UHX36" s="414"/>
      <c r="UHY36" s="414"/>
      <c r="UHZ36" s="414"/>
      <c r="UIA36" s="414"/>
      <c r="UIB36" s="414"/>
      <c r="UIC36" s="414"/>
      <c r="UID36" s="414"/>
      <c r="UIE36" s="414"/>
      <c r="UIF36" s="414"/>
      <c r="UIG36" s="414"/>
      <c r="UIH36" s="414"/>
      <c r="UII36" s="414"/>
      <c r="UIJ36" s="414"/>
      <c r="UIK36" s="414"/>
      <c r="UIL36" s="414"/>
      <c r="UIM36" s="414"/>
      <c r="UIN36" s="414"/>
      <c r="UIO36" s="414"/>
      <c r="UIP36" s="414"/>
      <c r="UIQ36" s="414"/>
      <c r="UIR36" s="414"/>
      <c r="UIS36" s="414"/>
      <c r="UIT36" s="414"/>
      <c r="UIU36" s="414"/>
      <c r="UIV36" s="414"/>
      <c r="UIW36" s="414"/>
      <c r="UIX36" s="414"/>
      <c r="UIY36" s="414"/>
      <c r="UIZ36" s="414"/>
      <c r="UJA36" s="414"/>
      <c r="UJB36" s="414"/>
      <c r="UJC36" s="414"/>
      <c r="UJD36" s="414"/>
      <c r="UJE36" s="414"/>
      <c r="UJF36" s="414"/>
      <c r="UJG36" s="414"/>
      <c r="UJH36" s="414"/>
      <c r="UJI36" s="414"/>
      <c r="UJJ36" s="414"/>
      <c r="UJK36" s="414"/>
      <c r="UJL36" s="414"/>
      <c r="UJM36" s="414"/>
      <c r="UJN36" s="414"/>
      <c r="UJO36" s="414"/>
      <c r="UJP36" s="414"/>
      <c r="UJQ36" s="414"/>
      <c r="UJR36" s="414"/>
      <c r="UJS36" s="414"/>
      <c r="UJT36" s="414"/>
      <c r="UJU36" s="414"/>
      <c r="UJV36" s="414"/>
      <c r="UJW36" s="414"/>
      <c r="UJX36" s="414"/>
      <c r="UJY36" s="414"/>
      <c r="UJZ36" s="414"/>
      <c r="UKA36" s="414"/>
      <c r="UKB36" s="414"/>
      <c r="UKC36" s="414"/>
      <c r="UKD36" s="414"/>
      <c r="UKE36" s="414"/>
      <c r="UKF36" s="414"/>
      <c r="UKG36" s="414"/>
      <c r="UKH36" s="414"/>
      <c r="UKI36" s="414"/>
      <c r="UKJ36" s="414"/>
      <c r="UKK36" s="414"/>
      <c r="UKL36" s="414"/>
      <c r="UKM36" s="414"/>
      <c r="UKN36" s="414"/>
      <c r="UKO36" s="414"/>
      <c r="UKP36" s="414"/>
      <c r="UKQ36" s="414"/>
      <c r="UKR36" s="414"/>
      <c r="UKS36" s="414"/>
      <c r="UKT36" s="414"/>
      <c r="UKU36" s="414"/>
      <c r="UKV36" s="414"/>
      <c r="UKW36" s="414"/>
      <c r="UKX36" s="414"/>
      <c r="UKY36" s="414"/>
      <c r="UKZ36" s="414"/>
      <c r="ULA36" s="414"/>
      <c r="ULB36" s="414"/>
      <c r="ULC36" s="414"/>
      <c r="ULD36" s="414"/>
      <c r="ULE36" s="414"/>
      <c r="ULF36" s="414"/>
      <c r="ULG36" s="414"/>
      <c r="ULH36" s="414"/>
      <c r="ULI36" s="414"/>
      <c r="ULJ36" s="414"/>
      <c r="ULK36" s="414"/>
      <c r="ULL36" s="414"/>
      <c r="ULM36" s="414"/>
      <c r="ULN36" s="414"/>
      <c r="ULO36" s="414"/>
      <c r="ULP36" s="414"/>
      <c r="ULQ36" s="414"/>
      <c r="ULR36" s="414"/>
      <c r="ULS36" s="414"/>
      <c r="ULT36" s="414"/>
      <c r="ULU36" s="414"/>
      <c r="ULV36" s="414"/>
      <c r="ULW36" s="414"/>
      <c r="ULX36" s="414"/>
      <c r="ULY36" s="414"/>
      <c r="ULZ36" s="414"/>
      <c r="UMA36" s="414"/>
      <c r="UMB36" s="414"/>
      <c r="UMC36" s="414"/>
      <c r="UMD36" s="414"/>
      <c r="UME36" s="414"/>
      <c r="UMF36" s="414"/>
      <c r="UMG36" s="414"/>
      <c r="UMH36" s="414"/>
      <c r="UMI36" s="414"/>
      <c r="UMJ36" s="414"/>
      <c r="UMK36" s="414"/>
      <c r="UML36" s="414"/>
      <c r="UMM36" s="414"/>
      <c r="UMN36" s="414"/>
      <c r="UMO36" s="414"/>
      <c r="UMP36" s="414"/>
      <c r="UMQ36" s="414"/>
      <c r="UMR36" s="414"/>
      <c r="UMS36" s="414"/>
      <c r="UMT36" s="414"/>
      <c r="UMU36" s="414"/>
      <c r="UMV36" s="414"/>
      <c r="UMW36" s="414"/>
      <c r="UMX36" s="414"/>
      <c r="UMY36" s="414"/>
      <c r="UMZ36" s="414"/>
      <c r="UNA36" s="414"/>
      <c r="UNB36" s="414"/>
      <c r="UNC36" s="414"/>
      <c r="UND36" s="414"/>
      <c r="UNE36" s="414"/>
      <c r="UNF36" s="414"/>
      <c r="UNG36" s="414"/>
      <c r="UNH36" s="414"/>
      <c r="UNI36" s="414"/>
      <c r="UNJ36" s="414"/>
      <c r="UNK36" s="414"/>
      <c r="UNL36" s="414"/>
      <c r="UNM36" s="414"/>
      <c r="UNN36" s="414"/>
      <c r="UNO36" s="414"/>
      <c r="UNP36" s="414"/>
      <c r="UNQ36" s="414"/>
      <c r="UNR36" s="414"/>
      <c r="UNS36" s="414"/>
      <c r="UNT36" s="414"/>
      <c r="UNU36" s="414"/>
      <c r="UNV36" s="414"/>
      <c r="UNW36" s="414"/>
      <c r="UNX36" s="414"/>
      <c r="UNY36" s="414"/>
      <c r="UNZ36" s="414"/>
      <c r="UOA36" s="414"/>
      <c r="UOB36" s="414"/>
      <c r="UOC36" s="414"/>
      <c r="UOD36" s="414"/>
      <c r="UOE36" s="414"/>
      <c r="UOF36" s="414"/>
      <c r="UOG36" s="414"/>
      <c r="UOH36" s="414"/>
      <c r="UOI36" s="414"/>
      <c r="UOJ36" s="414"/>
      <c r="UOK36" s="414"/>
      <c r="UOL36" s="414"/>
      <c r="UOM36" s="414"/>
      <c r="UON36" s="414"/>
      <c r="UOO36" s="414"/>
      <c r="UOP36" s="414"/>
      <c r="UOQ36" s="414"/>
      <c r="UOR36" s="414"/>
      <c r="UOS36" s="414"/>
      <c r="UOT36" s="414"/>
      <c r="UOU36" s="414"/>
      <c r="UOV36" s="414"/>
      <c r="UOW36" s="414"/>
      <c r="UOX36" s="414"/>
      <c r="UOY36" s="414"/>
      <c r="UOZ36" s="414"/>
      <c r="UPA36" s="414"/>
      <c r="UPB36" s="414"/>
      <c r="UPC36" s="414"/>
      <c r="UPD36" s="414"/>
      <c r="UPE36" s="414"/>
      <c r="UPF36" s="414"/>
      <c r="UPG36" s="414"/>
      <c r="UPH36" s="414"/>
      <c r="UPI36" s="414"/>
      <c r="UPJ36" s="414"/>
      <c r="UPK36" s="414"/>
      <c r="UPL36" s="414"/>
      <c r="UPM36" s="414"/>
      <c r="UPN36" s="414"/>
      <c r="UPO36" s="414"/>
      <c r="UPP36" s="414"/>
      <c r="UPQ36" s="414"/>
      <c r="UPR36" s="414"/>
      <c r="UPS36" s="414"/>
      <c r="UPT36" s="414"/>
      <c r="UPU36" s="414"/>
      <c r="UPV36" s="414"/>
      <c r="UPW36" s="414"/>
      <c r="UPX36" s="414"/>
      <c r="UPY36" s="414"/>
      <c r="UPZ36" s="414"/>
      <c r="UQA36" s="414"/>
      <c r="UQB36" s="414"/>
      <c r="UQC36" s="414"/>
      <c r="UQD36" s="414"/>
      <c r="UQE36" s="414"/>
      <c r="UQF36" s="414"/>
      <c r="UQG36" s="414"/>
      <c r="UQH36" s="414"/>
      <c r="UQI36" s="414"/>
      <c r="UQJ36" s="414"/>
      <c r="UQK36" s="414"/>
      <c r="UQL36" s="414"/>
      <c r="UQM36" s="414"/>
      <c r="UQN36" s="414"/>
      <c r="UQO36" s="414"/>
      <c r="UQP36" s="414"/>
      <c r="UQQ36" s="414"/>
      <c r="UQR36" s="414"/>
      <c r="UQS36" s="414"/>
      <c r="UQT36" s="414"/>
      <c r="UQU36" s="414"/>
      <c r="UQV36" s="414"/>
      <c r="UQW36" s="414"/>
      <c r="UQX36" s="414"/>
      <c r="UQY36" s="414"/>
      <c r="UQZ36" s="414"/>
      <c r="URA36" s="414"/>
      <c r="URB36" s="414"/>
      <c r="URC36" s="414"/>
      <c r="URD36" s="414"/>
      <c r="URE36" s="414"/>
      <c r="URF36" s="414"/>
      <c r="URG36" s="414"/>
      <c r="URH36" s="414"/>
      <c r="URI36" s="414"/>
      <c r="URJ36" s="414"/>
      <c r="URK36" s="414"/>
      <c r="URL36" s="414"/>
      <c r="URM36" s="414"/>
      <c r="URN36" s="414"/>
      <c r="URO36" s="414"/>
      <c r="URP36" s="414"/>
      <c r="URQ36" s="414"/>
      <c r="URR36" s="414"/>
      <c r="URS36" s="414"/>
      <c r="URT36" s="414"/>
      <c r="URU36" s="414"/>
      <c r="URV36" s="414"/>
      <c r="URW36" s="414"/>
      <c r="URX36" s="414"/>
      <c r="URY36" s="414"/>
      <c r="URZ36" s="414"/>
      <c r="USA36" s="414"/>
      <c r="USB36" s="414"/>
      <c r="USC36" s="414"/>
      <c r="USD36" s="414"/>
      <c r="USE36" s="414"/>
      <c r="USF36" s="414"/>
      <c r="USG36" s="414"/>
      <c r="USH36" s="414"/>
      <c r="USI36" s="414"/>
      <c r="USJ36" s="414"/>
      <c r="USK36" s="414"/>
      <c r="USL36" s="414"/>
      <c r="USM36" s="414"/>
      <c r="USN36" s="414"/>
      <c r="USO36" s="414"/>
      <c r="USP36" s="414"/>
      <c r="USQ36" s="414"/>
      <c r="USR36" s="414"/>
      <c r="USS36" s="414"/>
      <c r="UST36" s="414"/>
      <c r="USU36" s="414"/>
      <c r="USV36" s="414"/>
      <c r="USW36" s="414"/>
      <c r="USX36" s="414"/>
      <c r="USY36" s="414"/>
      <c r="USZ36" s="414"/>
      <c r="UTA36" s="414"/>
      <c r="UTB36" s="414"/>
      <c r="UTC36" s="414"/>
      <c r="UTD36" s="414"/>
      <c r="UTE36" s="414"/>
      <c r="UTF36" s="414"/>
      <c r="UTG36" s="414"/>
      <c r="UTH36" s="414"/>
      <c r="UTI36" s="414"/>
      <c r="UTJ36" s="414"/>
      <c r="UTK36" s="414"/>
      <c r="UTL36" s="414"/>
      <c r="UTM36" s="414"/>
      <c r="UTN36" s="414"/>
      <c r="UTO36" s="414"/>
      <c r="UTP36" s="414"/>
      <c r="UTQ36" s="414"/>
      <c r="UTR36" s="414"/>
      <c r="UTS36" s="414"/>
      <c r="UTT36" s="414"/>
      <c r="UTU36" s="414"/>
      <c r="UTV36" s="414"/>
      <c r="UTW36" s="414"/>
      <c r="UTX36" s="414"/>
      <c r="UTY36" s="414"/>
      <c r="UTZ36" s="414"/>
      <c r="UUA36" s="414"/>
      <c r="UUB36" s="414"/>
      <c r="UUC36" s="414"/>
      <c r="UUD36" s="414"/>
      <c r="UUE36" s="414"/>
      <c r="UUF36" s="414"/>
      <c r="UUG36" s="414"/>
      <c r="UUH36" s="414"/>
      <c r="UUI36" s="414"/>
      <c r="UUJ36" s="414"/>
      <c r="UUK36" s="414"/>
      <c r="UUL36" s="414"/>
      <c r="UUM36" s="414"/>
      <c r="UUN36" s="414"/>
      <c r="UUO36" s="414"/>
      <c r="UUP36" s="414"/>
      <c r="UUQ36" s="414"/>
      <c r="UUR36" s="414"/>
      <c r="UUS36" s="414"/>
      <c r="UUT36" s="414"/>
      <c r="UUU36" s="414"/>
      <c r="UUV36" s="414"/>
      <c r="UUW36" s="414"/>
      <c r="UUX36" s="414"/>
      <c r="UUY36" s="414"/>
      <c r="UUZ36" s="414"/>
      <c r="UVA36" s="414"/>
      <c r="UVB36" s="414"/>
      <c r="UVC36" s="414"/>
      <c r="UVD36" s="414"/>
      <c r="UVE36" s="414"/>
      <c r="UVF36" s="414"/>
      <c r="UVG36" s="414"/>
      <c r="UVH36" s="414"/>
      <c r="UVI36" s="414"/>
      <c r="UVJ36" s="414"/>
      <c r="UVK36" s="414"/>
      <c r="UVL36" s="414"/>
      <c r="UVM36" s="414"/>
      <c r="UVN36" s="414"/>
      <c r="UVO36" s="414"/>
      <c r="UVP36" s="414"/>
      <c r="UVQ36" s="414"/>
      <c r="UVR36" s="414"/>
      <c r="UVS36" s="414"/>
      <c r="UVT36" s="414"/>
      <c r="UVU36" s="414"/>
      <c r="UVV36" s="414"/>
      <c r="UVW36" s="414"/>
      <c r="UVX36" s="414"/>
      <c r="UVY36" s="414"/>
      <c r="UVZ36" s="414"/>
      <c r="UWA36" s="414"/>
      <c r="UWB36" s="414"/>
      <c r="UWC36" s="414"/>
      <c r="UWD36" s="414"/>
      <c r="UWE36" s="414"/>
      <c r="UWF36" s="414"/>
      <c r="UWG36" s="414"/>
      <c r="UWH36" s="414"/>
      <c r="UWI36" s="414"/>
      <c r="UWJ36" s="414"/>
      <c r="UWK36" s="414"/>
      <c r="UWL36" s="414"/>
      <c r="UWM36" s="414"/>
      <c r="UWN36" s="414"/>
      <c r="UWO36" s="414"/>
      <c r="UWP36" s="414"/>
      <c r="UWQ36" s="414"/>
      <c r="UWR36" s="414"/>
      <c r="UWS36" s="414"/>
      <c r="UWT36" s="414"/>
      <c r="UWU36" s="414"/>
      <c r="UWV36" s="414"/>
      <c r="UWW36" s="414"/>
      <c r="UWX36" s="414"/>
      <c r="UWY36" s="414"/>
      <c r="UWZ36" s="414"/>
      <c r="UXA36" s="414"/>
      <c r="UXB36" s="414"/>
      <c r="UXC36" s="414"/>
      <c r="UXD36" s="414"/>
      <c r="UXE36" s="414"/>
      <c r="UXF36" s="414"/>
      <c r="UXG36" s="414"/>
      <c r="UXH36" s="414"/>
      <c r="UXI36" s="414"/>
      <c r="UXJ36" s="414"/>
      <c r="UXK36" s="414"/>
      <c r="UXL36" s="414"/>
      <c r="UXM36" s="414"/>
      <c r="UXN36" s="414"/>
      <c r="UXO36" s="414"/>
      <c r="UXP36" s="414"/>
      <c r="UXQ36" s="414"/>
      <c r="UXR36" s="414"/>
      <c r="UXS36" s="414"/>
      <c r="UXT36" s="414"/>
      <c r="UXU36" s="414"/>
      <c r="UXV36" s="414"/>
      <c r="UXW36" s="414"/>
      <c r="UXX36" s="414"/>
      <c r="UXY36" s="414"/>
      <c r="UXZ36" s="414"/>
      <c r="UYA36" s="414"/>
      <c r="UYB36" s="414"/>
      <c r="UYC36" s="414"/>
      <c r="UYD36" s="414"/>
      <c r="UYE36" s="414"/>
      <c r="UYF36" s="414"/>
      <c r="UYG36" s="414"/>
      <c r="UYH36" s="414"/>
      <c r="UYI36" s="414"/>
      <c r="UYJ36" s="414"/>
      <c r="UYK36" s="414"/>
      <c r="UYL36" s="414"/>
      <c r="UYM36" s="414"/>
      <c r="UYN36" s="414"/>
      <c r="UYO36" s="414"/>
      <c r="UYP36" s="414"/>
      <c r="UYQ36" s="414"/>
      <c r="UYR36" s="414"/>
      <c r="UYS36" s="414"/>
      <c r="UYT36" s="414"/>
      <c r="UYU36" s="414"/>
      <c r="UYV36" s="414"/>
      <c r="UYW36" s="414"/>
      <c r="UYX36" s="414"/>
      <c r="UYY36" s="414"/>
      <c r="UYZ36" s="414"/>
      <c r="UZA36" s="414"/>
      <c r="UZB36" s="414"/>
      <c r="UZC36" s="414"/>
      <c r="UZD36" s="414"/>
      <c r="UZE36" s="414"/>
      <c r="UZF36" s="414"/>
      <c r="UZG36" s="414"/>
      <c r="UZH36" s="414"/>
      <c r="UZI36" s="414"/>
      <c r="UZJ36" s="414"/>
      <c r="UZK36" s="414"/>
      <c r="UZL36" s="414"/>
      <c r="UZM36" s="414"/>
      <c r="UZN36" s="414"/>
      <c r="UZO36" s="414"/>
      <c r="UZP36" s="414"/>
      <c r="UZQ36" s="414"/>
      <c r="UZR36" s="414"/>
      <c r="UZS36" s="414"/>
      <c r="UZT36" s="414"/>
      <c r="UZU36" s="414"/>
      <c r="UZV36" s="414"/>
      <c r="UZW36" s="414"/>
      <c r="UZX36" s="414"/>
      <c r="UZY36" s="414"/>
      <c r="UZZ36" s="414"/>
      <c r="VAA36" s="414"/>
      <c r="VAB36" s="414"/>
      <c r="VAC36" s="414"/>
      <c r="VAD36" s="414"/>
      <c r="VAE36" s="414"/>
      <c r="VAF36" s="414"/>
      <c r="VAG36" s="414"/>
      <c r="VAH36" s="414"/>
      <c r="VAI36" s="414"/>
      <c r="VAJ36" s="414"/>
      <c r="VAK36" s="414"/>
      <c r="VAL36" s="414"/>
      <c r="VAM36" s="414"/>
      <c r="VAN36" s="414"/>
      <c r="VAO36" s="414"/>
      <c r="VAP36" s="414"/>
      <c r="VAQ36" s="414"/>
      <c r="VAR36" s="414"/>
      <c r="VAS36" s="414"/>
      <c r="VAT36" s="414"/>
      <c r="VAU36" s="414"/>
      <c r="VAV36" s="414"/>
      <c r="VAW36" s="414"/>
      <c r="VAX36" s="414"/>
      <c r="VAY36" s="414"/>
      <c r="VAZ36" s="414"/>
      <c r="VBA36" s="414"/>
      <c r="VBB36" s="414"/>
      <c r="VBC36" s="414"/>
      <c r="VBD36" s="414"/>
      <c r="VBE36" s="414"/>
      <c r="VBF36" s="414"/>
      <c r="VBG36" s="414"/>
      <c r="VBH36" s="414"/>
      <c r="VBI36" s="414"/>
      <c r="VBJ36" s="414"/>
      <c r="VBK36" s="414"/>
      <c r="VBL36" s="414"/>
      <c r="VBM36" s="414"/>
      <c r="VBN36" s="414"/>
      <c r="VBO36" s="414"/>
      <c r="VBP36" s="414"/>
      <c r="VBQ36" s="414"/>
      <c r="VBR36" s="414"/>
      <c r="VBS36" s="414"/>
      <c r="VBT36" s="414"/>
      <c r="VBU36" s="414"/>
      <c r="VBV36" s="414"/>
      <c r="VBW36" s="414"/>
      <c r="VBX36" s="414"/>
      <c r="VBY36" s="414"/>
      <c r="VBZ36" s="414"/>
      <c r="VCA36" s="414"/>
      <c r="VCB36" s="414"/>
      <c r="VCC36" s="414"/>
      <c r="VCD36" s="414"/>
      <c r="VCE36" s="414"/>
      <c r="VCF36" s="414"/>
      <c r="VCG36" s="414"/>
      <c r="VCH36" s="414"/>
      <c r="VCI36" s="414"/>
      <c r="VCJ36" s="414"/>
      <c r="VCK36" s="414"/>
      <c r="VCL36" s="414"/>
      <c r="VCM36" s="414"/>
      <c r="VCN36" s="414"/>
      <c r="VCO36" s="414"/>
      <c r="VCP36" s="414"/>
      <c r="VCQ36" s="414"/>
      <c r="VCR36" s="414"/>
      <c r="VCS36" s="414"/>
      <c r="VCT36" s="414"/>
      <c r="VCU36" s="414"/>
      <c r="VCV36" s="414"/>
      <c r="VCW36" s="414"/>
      <c r="VCX36" s="414"/>
      <c r="VCY36" s="414"/>
      <c r="VCZ36" s="414"/>
      <c r="VDA36" s="414"/>
      <c r="VDB36" s="414"/>
      <c r="VDC36" s="414"/>
      <c r="VDD36" s="414"/>
      <c r="VDE36" s="414"/>
      <c r="VDF36" s="414"/>
      <c r="VDG36" s="414"/>
      <c r="VDH36" s="414"/>
      <c r="VDI36" s="414"/>
      <c r="VDJ36" s="414"/>
      <c r="VDK36" s="414"/>
      <c r="VDL36" s="414"/>
      <c r="VDM36" s="414"/>
      <c r="VDN36" s="414"/>
      <c r="VDO36" s="414"/>
      <c r="VDP36" s="414"/>
      <c r="VDQ36" s="414"/>
      <c r="VDR36" s="414"/>
      <c r="VDS36" s="414"/>
      <c r="VDT36" s="414"/>
      <c r="VDU36" s="414"/>
      <c r="VDV36" s="414"/>
      <c r="VDW36" s="414"/>
      <c r="VDX36" s="414"/>
      <c r="VDY36" s="414"/>
      <c r="VDZ36" s="414"/>
      <c r="VEA36" s="414"/>
      <c r="VEB36" s="414"/>
      <c r="VEC36" s="414"/>
      <c r="VED36" s="414"/>
      <c r="VEE36" s="414"/>
      <c r="VEF36" s="414"/>
      <c r="VEG36" s="414"/>
      <c r="VEH36" s="414"/>
      <c r="VEI36" s="414"/>
      <c r="VEJ36" s="414"/>
      <c r="VEK36" s="414"/>
      <c r="VEL36" s="414"/>
      <c r="VEM36" s="414"/>
      <c r="VEN36" s="414"/>
      <c r="VEO36" s="414"/>
      <c r="VEP36" s="414"/>
      <c r="VEQ36" s="414"/>
      <c r="VER36" s="414"/>
      <c r="VES36" s="414"/>
      <c r="VET36" s="414"/>
      <c r="VEU36" s="414"/>
      <c r="VEV36" s="414"/>
      <c r="VEW36" s="414"/>
      <c r="VEX36" s="414"/>
      <c r="VEY36" s="414"/>
      <c r="VEZ36" s="414"/>
      <c r="VFA36" s="414"/>
      <c r="VFB36" s="414"/>
      <c r="VFC36" s="414"/>
      <c r="VFD36" s="414"/>
      <c r="VFE36" s="414"/>
      <c r="VFF36" s="414"/>
      <c r="VFG36" s="414"/>
      <c r="VFH36" s="414"/>
      <c r="VFI36" s="414"/>
      <c r="VFJ36" s="414"/>
      <c r="VFK36" s="414"/>
      <c r="VFL36" s="414"/>
      <c r="VFM36" s="414"/>
      <c r="VFN36" s="414"/>
      <c r="VFO36" s="414"/>
      <c r="VFP36" s="414"/>
      <c r="VFQ36" s="414"/>
      <c r="VFR36" s="414"/>
      <c r="VFS36" s="414"/>
      <c r="VFT36" s="414"/>
      <c r="VFU36" s="414"/>
      <c r="VFV36" s="414"/>
      <c r="VFW36" s="414"/>
      <c r="VFX36" s="414"/>
      <c r="VFY36" s="414"/>
      <c r="VFZ36" s="414"/>
      <c r="VGA36" s="414"/>
      <c r="VGB36" s="414"/>
      <c r="VGC36" s="414"/>
      <c r="VGD36" s="414"/>
      <c r="VGE36" s="414"/>
      <c r="VGF36" s="414"/>
      <c r="VGG36" s="414"/>
      <c r="VGH36" s="414"/>
      <c r="VGI36" s="414"/>
      <c r="VGJ36" s="414"/>
      <c r="VGK36" s="414"/>
      <c r="VGL36" s="414"/>
      <c r="VGM36" s="414"/>
      <c r="VGN36" s="414"/>
      <c r="VGO36" s="414"/>
      <c r="VGP36" s="414"/>
      <c r="VGQ36" s="414"/>
      <c r="VGR36" s="414"/>
      <c r="VGS36" s="414"/>
      <c r="VGT36" s="414"/>
      <c r="VGU36" s="414"/>
      <c r="VGV36" s="414"/>
      <c r="VGW36" s="414"/>
      <c r="VGX36" s="414"/>
      <c r="VGY36" s="414"/>
      <c r="VGZ36" s="414"/>
      <c r="VHA36" s="414"/>
      <c r="VHB36" s="414"/>
      <c r="VHC36" s="414"/>
      <c r="VHD36" s="414"/>
      <c r="VHE36" s="414"/>
      <c r="VHF36" s="414"/>
      <c r="VHG36" s="414"/>
      <c r="VHH36" s="414"/>
      <c r="VHI36" s="414"/>
      <c r="VHJ36" s="414"/>
      <c r="VHK36" s="414"/>
      <c r="VHL36" s="414"/>
      <c r="VHM36" s="414"/>
      <c r="VHN36" s="414"/>
      <c r="VHO36" s="414"/>
      <c r="VHP36" s="414"/>
      <c r="VHQ36" s="414"/>
      <c r="VHR36" s="414"/>
      <c r="VHS36" s="414"/>
      <c r="VHT36" s="414"/>
      <c r="VHU36" s="414"/>
      <c r="VHV36" s="414"/>
      <c r="VHW36" s="414"/>
      <c r="VHX36" s="414"/>
      <c r="VHY36" s="414"/>
      <c r="VHZ36" s="414"/>
      <c r="VIA36" s="414"/>
      <c r="VIB36" s="414"/>
      <c r="VIC36" s="414"/>
      <c r="VID36" s="414"/>
      <c r="VIE36" s="414"/>
      <c r="VIF36" s="414"/>
      <c r="VIG36" s="414"/>
      <c r="VIH36" s="414"/>
      <c r="VII36" s="414"/>
      <c r="VIJ36" s="414"/>
      <c r="VIK36" s="414"/>
      <c r="VIL36" s="414"/>
      <c r="VIM36" s="414"/>
      <c r="VIN36" s="414"/>
      <c r="VIO36" s="414"/>
      <c r="VIP36" s="414"/>
      <c r="VIQ36" s="414"/>
      <c r="VIR36" s="414"/>
      <c r="VIS36" s="414"/>
      <c r="VIT36" s="414"/>
      <c r="VIU36" s="414"/>
      <c r="VIV36" s="414"/>
      <c r="VIW36" s="414"/>
      <c r="VIX36" s="414"/>
      <c r="VIY36" s="414"/>
      <c r="VIZ36" s="414"/>
      <c r="VJA36" s="414"/>
      <c r="VJB36" s="414"/>
      <c r="VJC36" s="414"/>
      <c r="VJD36" s="414"/>
      <c r="VJE36" s="414"/>
      <c r="VJF36" s="414"/>
      <c r="VJG36" s="414"/>
      <c r="VJH36" s="414"/>
      <c r="VJI36" s="414"/>
      <c r="VJJ36" s="414"/>
      <c r="VJK36" s="414"/>
      <c r="VJL36" s="414"/>
      <c r="VJM36" s="414"/>
      <c r="VJN36" s="414"/>
      <c r="VJO36" s="414"/>
      <c r="VJP36" s="414"/>
      <c r="VJQ36" s="414"/>
      <c r="VJR36" s="414"/>
      <c r="VJS36" s="414"/>
      <c r="VJT36" s="414"/>
      <c r="VJU36" s="414"/>
      <c r="VJV36" s="414"/>
      <c r="VJW36" s="414"/>
      <c r="VJX36" s="414"/>
      <c r="VJY36" s="414"/>
      <c r="VJZ36" s="414"/>
      <c r="VKA36" s="414"/>
      <c r="VKB36" s="414"/>
      <c r="VKC36" s="414"/>
      <c r="VKD36" s="414"/>
      <c r="VKE36" s="414"/>
      <c r="VKF36" s="414"/>
      <c r="VKG36" s="414"/>
      <c r="VKH36" s="414"/>
      <c r="VKI36" s="414"/>
      <c r="VKJ36" s="414"/>
      <c r="VKK36" s="414"/>
      <c r="VKL36" s="414"/>
      <c r="VKM36" s="414"/>
      <c r="VKN36" s="414"/>
      <c r="VKO36" s="414"/>
      <c r="VKP36" s="414"/>
      <c r="VKQ36" s="414"/>
      <c r="VKR36" s="414"/>
      <c r="VKS36" s="414"/>
      <c r="VKT36" s="414"/>
      <c r="VKU36" s="414"/>
      <c r="VKV36" s="414"/>
      <c r="VKW36" s="414"/>
      <c r="VKX36" s="414"/>
      <c r="VKY36" s="414"/>
      <c r="VKZ36" s="414"/>
      <c r="VLA36" s="414"/>
      <c r="VLB36" s="414"/>
      <c r="VLC36" s="414"/>
      <c r="VLD36" s="414"/>
      <c r="VLE36" s="414"/>
      <c r="VLF36" s="414"/>
      <c r="VLG36" s="414"/>
      <c r="VLH36" s="414"/>
      <c r="VLI36" s="414"/>
      <c r="VLJ36" s="414"/>
      <c r="VLK36" s="414"/>
      <c r="VLL36" s="414"/>
      <c r="VLM36" s="414"/>
      <c r="VLN36" s="414"/>
      <c r="VLO36" s="414"/>
      <c r="VLP36" s="414"/>
      <c r="VLQ36" s="414"/>
      <c r="VLR36" s="414"/>
      <c r="VLS36" s="414"/>
      <c r="VLT36" s="414"/>
      <c r="VLU36" s="414"/>
      <c r="VLV36" s="414"/>
      <c r="VLW36" s="414"/>
      <c r="VLX36" s="414"/>
      <c r="VLY36" s="414"/>
      <c r="VLZ36" s="414"/>
      <c r="VMA36" s="414"/>
      <c r="VMB36" s="414"/>
      <c r="VMC36" s="414"/>
      <c r="VMD36" s="414"/>
      <c r="VME36" s="414"/>
      <c r="VMF36" s="414"/>
      <c r="VMG36" s="414"/>
      <c r="VMH36" s="414"/>
      <c r="VMI36" s="414"/>
      <c r="VMJ36" s="414"/>
      <c r="VMK36" s="414"/>
      <c r="VML36" s="414"/>
      <c r="VMM36" s="414"/>
      <c r="VMN36" s="414"/>
      <c r="VMO36" s="414"/>
      <c r="VMP36" s="414"/>
      <c r="VMQ36" s="414"/>
      <c r="VMR36" s="414"/>
      <c r="VMS36" s="414"/>
      <c r="VMT36" s="414"/>
      <c r="VMU36" s="414"/>
      <c r="VMV36" s="414"/>
      <c r="VMW36" s="414"/>
      <c r="VMX36" s="414"/>
      <c r="VMY36" s="414"/>
      <c r="VMZ36" s="414"/>
      <c r="VNA36" s="414"/>
      <c r="VNB36" s="414"/>
      <c r="VNC36" s="414"/>
      <c r="VND36" s="414"/>
      <c r="VNE36" s="414"/>
      <c r="VNF36" s="414"/>
      <c r="VNG36" s="414"/>
      <c r="VNH36" s="414"/>
      <c r="VNI36" s="414"/>
      <c r="VNJ36" s="414"/>
      <c r="VNK36" s="414"/>
      <c r="VNL36" s="414"/>
      <c r="VNM36" s="414"/>
      <c r="VNN36" s="414"/>
      <c r="VNO36" s="414"/>
      <c r="VNP36" s="414"/>
      <c r="VNQ36" s="414"/>
      <c r="VNR36" s="414"/>
      <c r="VNS36" s="414"/>
      <c r="VNT36" s="414"/>
      <c r="VNU36" s="414"/>
      <c r="VNV36" s="414"/>
      <c r="VNW36" s="414"/>
      <c r="VNX36" s="414"/>
      <c r="VNY36" s="414"/>
      <c r="VNZ36" s="414"/>
      <c r="VOA36" s="414"/>
      <c r="VOB36" s="414"/>
      <c r="VOC36" s="414"/>
      <c r="VOD36" s="414"/>
      <c r="VOE36" s="414"/>
      <c r="VOF36" s="414"/>
      <c r="VOG36" s="414"/>
      <c r="VOH36" s="414"/>
      <c r="VOI36" s="414"/>
      <c r="VOJ36" s="414"/>
      <c r="VOK36" s="414"/>
      <c r="VOL36" s="414"/>
      <c r="VOM36" s="414"/>
      <c r="VON36" s="414"/>
      <c r="VOO36" s="414"/>
      <c r="VOP36" s="414"/>
      <c r="VOQ36" s="414"/>
      <c r="VOR36" s="414"/>
      <c r="VOS36" s="414"/>
      <c r="VOT36" s="414"/>
      <c r="VOU36" s="414"/>
      <c r="VOV36" s="414"/>
      <c r="VOW36" s="414"/>
      <c r="VOX36" s="414"/>
      <c r="VOY36" s="414"/>
      <c r="VOZ36" s="414"/>
      <c r="VPA36" s="414"/>
      <c r="VPB36" s="414"/>
      <c r="VPC36" s="414"/>
      <c r="VPD36" s="414"/>
      <c r="VPE36" s="414"/>
      <c r="VPF36" s="414"/>
      <c r="VPG36" s="414"/>
      <c r="VPH36" s="414"/>
      <c r="VPI36" s="414"/>
      <c r="VPJ36" s="414"/>
      <c r="VPK36" s="414"/>
      <c r="VPL36" s="414"/>
      <c r="VPM36" s="414"/>
      <c r="VPN36" s="414"/>
      <c r="VPO36" s="414"/>
      <c r="VPP36" s="414"/>
      <c r="VPQ36" s="414"/>
      <c r="VPR36" s="414"/>
      <c r="VPS36" s="414"/>
      <c r="VPT36" s="414"/>
      <c r="VPU36" s="414"/>
      <c r="VPV36" s="414"/>
      <c r="VPW36" s="414"/>
      <c r="VPX36" s="414"/>
      <c r="VPY36" s="414"/>
      <c r="VPZ36" s="414"/>
      <c r="VQA36" s="414"/>
      <c r="VQB36" s="414"/>
      <c r="VQC36" s="414"/>
      <c r="VQD36" s="414"/>
      <c r="VQE36" s="414"/>
      <c r="VQF36" s="414"/>
      <c r="VQG36" s="414"/>
      <c r="VQH36" s="414"/>
      <c r="VQI36" s="414"/>
      <c r="VQJ36" s="414"/>
      <c r="VQK36" s="414"/>
      <c r="VQL36" s="414"/>
      <c r="VQM36" s="414"/>
      <c r="VQN36" s="414"/>
      <c r="VQO36" s="414"/>
      <c r="VQP36" s="414"/>
      <c r="VQQ36" s="414"/>
      <c r="VQR36" s="414"/>
      <c r="VQS36" s="414"/>
      <c r="VQT36" s="414"/>
      <c r="VQU36" s="414"/>
      <c r="VQV36" s="414"/>
      <c r="VQW36" s="414"/>
      <c r="VQX36" s="414"/>
      <c r="VQY36" s="414"/>
      <c r="VQZ36" s="414"/>
      <c r="VRA36" s="414"/>
      <c r="VRB36" s="414"/>
      <c r="VRC36" s="414"/>
      <c r="VRD36" s="414"/>
      <c r="VRE36" s="414"/>
      <c r="VRF36" s="414"/>
      <c r="VRG36" s="414"/>
      <c r="VRH36" s="414"/>
      <c r="VRI36" s="414"/>
      <c r="VRJ36" s="414"/>
      <c r="VRK36" s="414"/>
      <c r="VRL36" s="414"/>
      <c r="VRM36" s="414"/>
      <c r="VRN36" s="414"/>
      <c r="VRO36" s="414"/>
      <c r="VRP36" s="414"/>
      <c r="VRQ36" s="414"/>
      <c r="VRR36" s="414"/>
      <c r="VRS36" s="414"/>
      <c r="VRT36" s="414"/>
      <c r="VRU36" s="414"/>
      <c r="VRV36" s="414"/>
      <c r="VRW36" s="414"/>
      <c r="VRX36" s="414"/>
      <c r="VRY36" s="414"/>
      <c r="VRZ36" s="414"/>
      <c r="VSA36" s="414"/>
      <c r="VSB36" s="414"/>
      <c r="VSC36" s="414"/>
      <c r="VSD36" s="414"/>
      <c r="VSE36" s="414"/>
      <c r="VSF36" s="414"/>
      <c r="VSG36" s="414"/>
      <c r="VSH36" s="414"/>
      <c r="VSI36" s="414"/>
      <c r="VSJ36" s="414"/>
      <c r="VSK36" s="414"/>
      <c r="VSL36" s="414"/>
      <c r="VSM36" s="414"/>
      <c r="VSN36" s="414"/>
      <c r="VSO36" s="414"/>
      <c r="VSP36" s="414"/>
      <c r="VSQ36" s="414"/>
      <c r="VSR36" s="414"/>
      <c r="VSS36" s="414"/>
      <c r="VST36" s="414"/>
      <c r="VSU36" s="414"/>
      <c r="VSV36" s="414"/>
      <c r="VSW36" s="414"/>
      <c r="VSX36" s="414"/>
      <c r="VSY36" s="414"/>
      <c r="VSZ36" s="414"/>
      <c r="VTA36" s="414"/>
      <c r="VTB36" s="414"/>
      <c r="VTC36" s="414"/>
      <c r="VTD36" s="414"/>
      <c r="VTE36" s="414"/>
      <c r="VTF36" s="414"/>
      <c r="VTG36" s="414"/>
      <c r="VTH36" s="414"/>
      <c r="VTI36" s="414"/>
      <c r="VTJ36" s="414"/>
      <c r="VTK36" s="414"/>
      <c r="VTL36" s="414"/>
      <c r="VTM36" s="414"/>
      <c r="VTN36" s="414"/>
      <c r="VTO36" s="414"/>
      <c r="VTP36" s="414"/>
      <c r="VTQ36" s="414"/>
      <c r="VTR36" s="414"/>
      <c r="VTS36" s="414"/>
      <c r="VTT36" s="414"/>
      <c r="VTU36" s="414"/>
      <c r="VTV36" s="414"/>
      <c r="VTW36" s="414"/>
      <c r="VTX36" s="414"/>
      <c r="VTY36" s="414"/>
      <c r="VTZ36" s="414"/>
      <c r="VUA36" s="414"/>
      <c r="VUB36" s="414"/>
      <c r="VUC36" s="414"/>
      <c r="VUD36" s="414"/>
      <c r="VUE36" s="414"/>
      <c r="VUF36" s="414"/>
      <c r="VUG36" s="414"/>
      <c r="VUH36" s="414"/>
      <c r="VUI36" s="414"/>
      <c r="VUJ36" s="414"/>
      <c r="VUK36" s="414"/>
      <c r="VUL36" s="414"/>
      <c r="VUM36" s="414"/>
      <c r="VUN36" s="414"/>
      <c r="VUO36" s="414"/>
      <c r="VUP36" s="414"/>
      <c r="VUQ36" s="414"/>
      <c r="VUR36" s="414"/>
      <c r="VUS36" s="414"/>
      <c r="VUT36" s="414"/>
      <c r="VUU36" s="414"/>
      <c r="VUV36" s="414"/>
      <c r="VUW36" s="414"/>
      <c r="VUX36" s="414"/>
      <c r="VUY36" s="414"/>
      <c r="VUZ36" s="414"/>
      <c r="VVA36" s="414"/>
      <c r="VVB36" s="414"/>
      <c r="VVC36" s="414"/>
      <c r="VVD36" s="414"/>
      <c r="VVE36" s="414"/>
      <c r="VVF36" s="414"/>
      <c r="VVG36" s="414"/>
      <c r="VVH36" s="414"/>
      <c r="VVI36" s="414"/>
      <c r="VVJ36" s="414"/>
      <c r="VVK36" s="414"/>
      <c r="VVL36" s="414"/>
      <c r="VVM36" s="414"/>
      <c r="VVN36" s="414"/>
      <c r="VVO36" s="414"/>
      <c r="VVP36" s="414"/>
      <c r="VVQ36" s="414"/>
      <c r="VVR36" s="414"/>
      <c r="VVS36" s="414"/>
      <c r="VVT36" s="414"/>
      <c r="VVU36" s="414"/>
      <c r="VVV36" s="414"/>
      <c r="VVW36" s="414"/>
      <c r="VVX36" s="414"/>
      <c r="VVY36" s="414"/>
      <c r="VVZ36" s="414"/>
      <c r="VWA36" s="414"/>
      <c r="VWB36" s="414"/>
      <c r="VWC36" s="414"/>
      <c r="VWD36" s="414"/>
      <c r="VWE36" s="414"/>
      <c r="VWF36" s="414"/>
      <c r="VWG36" s="414"/>
      <c r="VWH36" s="414"/>
      <c r="VWI36" s="414"/>
      <c r="VWJ36" s="414"/>
      <c r="VWK36" s="414"/>
      <c r="VWL36" s="414"/>
      <c r="VWM36" s="414"/>
      <c r="VWN36" s="414"/>
      <c r="VWO36" s="414"/>
      <c r="VWP36" s="414"/>
      <c r="VWQ36" s="414"/>
      <c r="VWR36" s="414"/>
      <c r="VWS36" s="414"/>
      <c r="VWT36" s="414"/>
      <c r="VWU36" s="414"/>
      <c r="VWV36" s="414"/>
      <c r="VWW36" s="414"/>
      <c r="VWX36" s="414"/>
      <c r="VWY36" s="414"/>
      <c r="VWZ36" s="414"/>
      <c r="VXA36" s="414"/>
      <c r="VXB36" s="414"/>
      <c r="VXC36" s="414"/>
      <c r="VXD36" s="414"/>
      <c r="VXE36" s="414"/>
      <c r="VXF36" s="414"/>
      <c r="VXG36" s="414"/>
      <c r="VXH36" s="414"/>
      <c r="VXI36" s="414"/>
      <c r="VXJ36" s="414"/>
      <c r="VXK36" s="414"/>
      <c r="VXL36" s="414"/>
      <c r="VXM36" s="414"/>
      <c r="VXN36" s="414"/>
      <c r="VXO36" s="414"/>
      <c r="VXP36" s="414"/>
      <c r="VXQ36" s="414"/>
      <c r="VXR36" s="414"/>
      <c r="VXS36" s="414"/>
      <c r="VXT36" s="414"/>
      <c r="VXU36" s="414"/>
      <c r="VXV36" s="414"/>
      <c r="VXW36" s="414"/>
      <c r="VXX36" s="414"/>
      <c r="VXY36" s="414"/>
      <c r="VXZ36" s="414"/>
      <c r="VYA36" s="414"/>
      <c r="VYB36" s="414"/>
      <c r="VYC36" s="414"/>
      <c r="VYD36" s="414"/>
      <c r="VYE36" s="414"/>
      <c r="VYF36" s="414"/>
      <c r="VYG36" s="414"/>
      <c r="VYH36" s="414"/>
      <c r="VYI36" s="414"/>
      <c r="VYJ36" s="414"/>
      <c r="VYK36" s="414"/>
      <c r="VYL36" s="414"/>
      <c r="VYM36" s="414"/>
      <c r="VYN36" s="414"/>
      <c r="VYO36" s="414"/>
      <c r="VYP36" s="414"/>
      <c r="VYQ36" s="414"/>
      <c r="VYR36" s="414"/>
      <c r="VYS36" s="414"/>
      <c r="VYT36" s="414"/>
      <c r="VYU36" s="414"/>
      <c r="VYV36" s="414"/>
      <c r="VYW36" s="414"/>
      <c r="VYX36" s="414"/>
      <c r="VYY36" s="414"/>
      <c r="VYZ36" s="414"/>
      <c r="VZA36" s="414"/>
      <c r="VZB36" s="414"/>
      <c r="VZC36" s="414"/>
      <c r="VZD36" s="414"/>
      <c r="VZE36" s="414"/>
      <c r="VZF36" s="414"/>
      <c r="VZG36" s="414"/>
      <c r="VZH36" s="414"/>
      <c r="VZI36" s="414"/>
      <c r="VZJ36" s="414"/>
      <c r="VZK36" s="414"/>
      <c r="VZL36" s="414"/>
      <c r="VZM36" s="414"/>
      <c r="VZN36" s="414"/>
      <c r="VZO36" s="414"/>
      <c r="VZP36" s="414"/>
      <c r="VZQ36" s="414"/>
      <c r="VZR36" s="414"/>
      <c r="VZS36" s="414"/>
      <c r="VZT36" s="414"/>
      <c r="VZU36" s="414"/>
      <c r="VZV36" s="414"/>
      <c r="VZW36" s="414"/>
      <c r="VZX36" s="414"/>
      <c r="VZY36" s="414"/>
      <c r="VZZ36" s="414"/>
      <c r="WAA36" s="414"/>
      <c r="WAB36" s="414"/>
      <c r="WAC36" s="414"/>
      <c r="WAD36" s="414"/>
      <c r="WAE36" s="414"/>
      <c r="WAF36" s="414"/>
      <c r="WAG36" s="414"/>
      <c r="WAH36" s="414"/>
      <c r="WAI36" s="414"/>
      <c r="WAJ36" s="414"/>
      <c r="WAK36" s="414"/>
      <c r="WAL36" s="414"/>
      <c r="WAM36" s="414"/>
      <c r="WAN36" s="414"/>
      <c r="WAO36" s="414"/>
      <c r="WAP36" s="414"/>
      <c r="WAQ36" s="414"/>
      <c r="WAR36" s="414"/>
      <c r="WAS36" s="414"/>
      <c r="WAT36" s="414"/>
      <c r="WAU36" s="414"/>
      <c r="WAV36" s="414"/>
      <c r="WAW36" s="414"/>
      <c r="WAX36" s="414"/>
      <c r="WAY36" s="414"/>
      <c r="WAZ36" s="414"/>
      <c r="WBA36" s="414"/>
      <c r="WBB36" s="414"/>
      <c r="WBC36" s="414"/>
      <c r="WBD36" s="414"/>
      <c r="WBE36" s="414"/>
      <c r="WBF36" s="414"/>
      <c r="WBG36" s="414"/>
      <c r="WBH36" s="414"/>
      <c r="WBI36" s="414"/>
      <c r="WBJ36" s="414"/>
      <c r="WBK36" s="414"/>
      <c r="WBL36" s="414"/>
      <c r="WBM36" s="414"/>
      <c r="WBN36" s="414"/>
      <c r="WBO36" s="414"/>
      <c r="WBP36" s="414"/>
      <c r="WBQ36" s="414"/>
      <c r="WBR36" s="414"/>
      <c r="WBS36" s="414"/>
      <c r="WBT36" s="414"/>
      <c r="WBU36" s="414"/>
      <c r="WBV36" s="414"/>
      <c r="WBW36" s="414"/>
      <c r="WBX36" s="414"/>
      <c r="WBY36" s="414"/>
      <c r="WBZ36" s="414"/>
      <c r="WCA36" s="414"/>
      <c r="WCB36" s="414"/>
      <c r="WCC36" s="414"/>
      <c r="WCD36" s="414"/>
      <c r="WCE36" s="414"/>
      <c r="WCF36" s="414"/>
      <c r="WCG36" s="414"/>
      <c r="WCH36" s="414"/>
      <c r="WCI36" s="414"/>
      <c r="WCJ36" s="414"/>
      <c r="WCK36" s="414"/>
      <c r="WCL36" s="414"/>
      <c r="WCM36" s="414"/>
      <c r="WCN36" s="414"/>
      <c r="WCO36" s="414"/>
      <c r="WCP36" s="414"/>
      <c r="WCQ36" s="414"/>
      <c r="WCR36" s="414"/>
      <c r="WCS36" s="414"/>
      <c r="WCT36" s="414"/>
      <c r="WCU36" s="414"/>
      <c r="WCV36" s="414"/>
      <c r="WCW36" s="414"/>
      <c r="WCX36" s="414"/>
      <c r="WCY36" s="414"/>
      <c r="WCZ36" s="414"/>
      <c r="WDA36" s="414"/>
      <c r="WDB36" s="414"/>
      <c r="WDC36" s="414"/>
      <c r="WDD36" s="414"/>
      <c r="WDE36" s="414"/>
      <c r="WDF36" s="414"/>
      <c r="WDG36" s="414"/>
      <c r="WDH36" s="414"/>
      <c r="WDI36" s="414"/>
      <c r="WDJ36" s="414"/>
      <c r="WDK36" s="414"/>
      <c r="WDL36" s="414"/>
      <c r="WDM36" s="414"/>
      <c r="WDN36" s="414"/>
      <c r="WDO36" s="414"/>
      <c r="WDP36" s="414"/>
      <c r="WDQ36" s="414"/>
      <c r="WDR36" s="414"/>
      <c r="WDS36" s="414"/>
      <c r="WDT36" s="414"/>
      <c r="WDU36" s="414"/>
      <c r="WDV36" s="414"/>
      <c r="WDW36" s="414"/>
      <c r="WDX36" s="414"/>
      <c r="WDY36" s="414"/>
      <c r="WDZ36" s="414"/>
      <c r="WEA36" s="414"/>
      <c r="WEB36" s="414"/>
      <c r="WEC36" s="414"/>
      <c r="WED36" s="414"/>
      <c r="WEE36" s="414"/>
      <c r="WEF36" s="414"/>
      <c r="WEG36" s="414"/>
      <c r="WEH36" s="414"/>
      <c r="WEI36" s="414"/>
      <c r="WEJ36" s="414"/>
      <c r="WEK36" s="414"/>
      <c r="WEL36" s="414"/>
      <c r="WEM36" s="414"/>
      <c r="WEN36" s="414"/>
      <c r="WEO36" s="414"/>
      <c r="WEP36" s="414"/>
      <c r="WEQ36" s="414"/>
      <c r="WER36" s="414"/>
      <c r="WES36" s="414"/>
      <c r="WET36" s="414"/>
      <c r="WEU36" s="414"/>
      <c r="WEV36" s="414"/>
      <c r="WEW36" s="414"/>
      <c r="WEX36" s="414"/>
      <c r="WEY36" s="414"/>
      <c r="WEZ36" s="414"/>
      <c r="WFA36" s="414"/>
      <c r="WFB36" s="414"/>
      <c r="WFC36" s="414"/>
      <c r="WFD36" s="414"/>
      <c r="WFE36" s="414"/>
      <c r="WFF36" s="414"/>
      <c r="WFG36" s="414"/>
      <c r="WFH36" s="414"/>
      <c r="WFI36" s="414"/>
      <c r="WFJ36" s="414"/>
      <c r="WFK36" s="414"/>
      <c r="WFL36" s="414"/>
      <c r="WFM36" s="414"/>
      <c r="WFN36" s="414"/>
      <c r="WFO36" s="414"/>
      <c r="WFP36" s="414"/>
      <c r="WFQ36" s="414"/>
      <c r="WFR36" s="414"/>
      <c r="WFS36" s="414"/>
      <c r="WFT36" s="414"/>
      <c r="WFU36" s="414"/>
      <c r="WFV36" s="414"/>
      <c r="WFW36" s="414"/>
      <c r="WFX36" s="414"/>
      <c r="WFY36" s="414"/>
      <c r="WFZ36" s="414"/>
      <c r="WGA36" s="414"/>
      <c r="WGB36" s="414"/>
      <c r="WGC36" s="414"/>
      <c r="WGD36" s="414"/>
      <c r="WGE36" s="414"/>
      <c r="WGF36" s="414"/>
      <c r="WGG36" s="414"/>
      <c r="WGH36" s="414"/>
      <c r="WGI36" s="414"/>
      <c r="WGJ36" s="414"/>
      <c r="WGK36" s="414"/>
      <c r="WGL36" s="414"/>
      <c r="WGM36" s="414"/>
      <c r="WGN36" s="414"/>
      <c r="WGO36" s="414"/>
      <c r="WGP36" s="414"/>
      <c r="WGQ36" s="414"/>
      <c r="WGR36" s="414"/>
      <c r="WGS36" s="414"/>
      <c r="WGT36" s="414"/>
      <c r="WGU36" s="414"/>
      <c r="WGV36" s="414"/>
      <c r="WGW36" s="414"/>
      <c r="WGX36" s="414"/>
      <c r="WGY36" s="414"/>
      <c r="WGZ36" s="414"/>
      <c r="WHA36" s="414"/>
      <c r="WHB36" s="414"/>
      <c r="WHC36" s="414"/>
      <c r="WHD36" s="414"/>
      <c r="WHE36" s="414"/>
      <c r="WHF36" s="414"/>
      <c r="WHG36" s="414"/>
      <c r="WHH36" s="414"/>
      <c r="WHI36" s="414"/>
      <c r="WHJ36" s="414"/>
      <c r="WHK36" s="414"/>
      <c r="WHL36" s="414"/>
      <c r="WHM36" s="414"/>
      <c r="WHN36" s="414"/>
      <c r="WHO36" s="414"/>
      <c r="WHP36" s="414"/>
      <c r="WHQ36" s="414"/>
      <c r="WHR36" s="414"/>
      <c r="WHS36" s="414"/>
      <c r="WHT36" s="414"/>
      <c r="WHU36" s="414"/>
      <c r="WHV36" s="414"/>
      <c r="WHW36" s="414"/>
      <c r="WHX36" s="414"/>
      <c r="WHY36" s="414"/>
      <c r="WHZ36" s="414"/>
      <c r="WIA36" s="414"/>
      <c r="WIB36" s="414"/>
      <c r="WIC36" s="414"/>
      <c r="WID36" s="414"/>
      <c r="WIE36" s="414"/>
      <c r="WIF36" s="414"/>
      <c r="WIG36" s="414"/>
      <c r="WIH36" s="414"/>
      <c r="WII36" s="414"/>
      <c r="WIJ36" s="414"/>
      <c r="WIK36" s="414"/>
      <c r="WIL36" s="414"/>
      <c r="WIM36" s="414"/>
      <c r="WIN36" s="414"/>
      <c r="WIO36" s="414"/>
      <c r="WIP36" s="414"/>
      <c r="WIQ36" s="414"/>
      <c r="WIR36" s="414"/>
      <c r="WIS36" s="414"/>
      <c r="WIT36" s="414"/>
      <c r="WIU36" s="414"/>
      <c r="WIV36" s="414"/>
      <c r="WIW36" s="414"/>
      <c r="WIX36" s="414"/>
      <c r="WIY36" s="414"/>
      <c r="WIZ36" s="414"/>
      <c r="WJA36" s="414"/>
      <c r="WJB36" s="414"/>
      <c r="WJC36" s="414"/>
      <c r="WJD36" s="414"/>
      <c r="WJE36" s="414"/>
      <c r="WJF36" s="414"/>
      <c r="WJG36" s="414"/>
      <c r="WJH36" s="414"/>
      <c r="WJI36" s="414"/>
      <c r="WJJ36" s="414"/>
      <c r="WJK36" s="414"/>
      <c r="WJL36" s="414"/>
      <c r="WJM36" s="414"/>
      <c r="WJN36" s="414"/>
      <c r="WJO36" s="414"/>
      <c r="WJP36" s="414"/>
      <c r="WJQ36" s="414"/>
      <c r="WJR36" s="414"/>
      <c r="WJS36" s="414"/>
      <c r="WJT36" s="414"/>
      <c r="WJU36" s="414"/>
      <c r="WJV36" s="414"/>
      <c r="WJW36" s="414"/>
      <c r="WJX36" s="414"/>
      <c r="WJY36" s="414"/>
      <c r="WJZ36" s="414"/>
      <c r="WKA36" s="414"/>
      <c r="WKB36" s="414"/>
      <c r="WKC36" s="414"/>
      <c r="WKD36" s="414"/>
      <c r="WKE36" s="414"/>
      <c r="WKF36" s="414"/>
      <c r="WKG36" s="414"/>
      <c r="WKH36" s="414"/>
      <c r="WKI36" s="414"/>
      <c r="WKJ36" s="414"/>
      <c r="WKK36" s="414"/>
      <c r="WKL36" s="414"/>
      <c r="WKM36" s="414"/>
      <c r="WKN36" s="414"/>
      <c r="WKO36" s="414"/>
      <c r="WKP36" s="414"/>
      <c r="WKQ36" s="414"/>
      <c r="WKR36" s="414"/>
      <c r="WKS36" s="414"/>
      <c r="WKT36" s="414"/>
      <c r="WKU36" s="414"/>
      <c r="WKV36" s="414"/>
      <c r="WKW36" s="414"/>
      <c r="WKX36" s="414"/>
      <c r="WKY36" s="414"/>
      <c r="WKZ36" s="414"/>
      <c r="WLA36" s="414"/>
      <c r="WLB36" s="414"/>
      <c r="WLC36" s="414"/>
      <c r="WLD36" s="414"/>
      <c r="WLE36" s="414"/>
      <c r="WLF36" s="414"/>
      <c r="WLG36" s="414"/>
      <c r="WLH36" s="414"/>
      <c r="WLI36" s="414"/>
      <c r="WLJ36" s="414"/>
      <c r="WLK36" s="414"/>
      <c r="WLL36" s="414"/>
      <c r="WLM36" s="414"/>
      <c r="WLN36" s="414"/>
      <c r="WLO36" s="414"/>
      <c r="WLP36" s="414"/>
      <c r="WLQ36" s="414"/>
      <c r="WLR36" s="414"/>
      <c r="WLS36" s="414"/>
      <c r="WLT36" s="414"/>
      <c r="WLU36" s="414"/>
      <c r="WLV36" s="414"/>
      <c r="WLW36" s="414"/>
      <c r="WLX36" s="414"/>
      <c r="WLY36" s="414"/>
      <c r="WLZ36" s="414"/>
      <c r="WMA36" s="414"/>
      <c r="WMB36" s="414"/>
      <c r="WMC36" s="414"/>
      <c r="WMD36" s="414"/>
      <c r="WME36" s="414"/>
      <c r="WMF36" s="414"/>
      <c r="WMG36" s="414"/>
      <c r="WMH36" s="414"/>
      <c r="WMI36" s="414"/>
      <c r="WMJ36" s="414"/>
      <c r="WMK36" s="414"/>
      <c r="WML36" s="414"/>
      <c r="WMM36" s="414"/>
      <c r="WMN36" s="414"/>
      <c r="WMO36" s="414"/>
      <c r="WMP36" s="414"/>
      <c r="WMQ36" s="414"/>
      <c r="WMR36" s="414"/>
      <c r="WMS36" s="414"/>
      <c r="WMT36" s="414"/>
      <c r="WMU36" s="414"/>
      <c r="WMV36" s="414"/>
      <c r="WMW36" s="414"/>
      <c r="WMX36" s="414"/>
      <c r="WMY36" s="414"/>
      <c r="WMZ36" s="414"/>
      <c r="WNA36" s="414"/>
      <c r="WNB36" s="414"/>
      <c r="WNC36" s="414"/>
      <c r="WND36" s="414"/>
      <c r="WNE36" s="414"/>
      <c r="WNF36" s="414"/>
      <c r="WNG36" s="414"/>
      <c r="WNH36" s="414"/>
      <c r="WNI36" s="414"/>
      <c r="WNJ36" s="414"/>
      <c r="WNK36" s="414"/>
      <c r="WNL36" s="414"/>
      <c r="WNM36" s="414"/>
      <c r="WNN36" s="414"/>
      <c r="WNO36" s="414"/>
      <c r="WNP36" s="414"/>
      <c r="WNQ36" s="414"/>
      <c r="WNR36" s="414"/>
      <c r="WNS36" s="414"/>
      <c r="WNT36" s="414"/>
      <c r="WNU36" s="414"/>
      <c r="WNV36" s="414"/>
      <c r="WNW36" s="414"/>
      <c r="WNX36" s="414"/>
      <c r="WNY36" s="414"/>
      <c r="WNZ36" s="414"/>
      <c r="WOA36" s="414"/>
      <c r="WOB36" s="414"/>
      <c r="WOC36" s="414"/>
      <c r="WOD36" s="414"/>
      <c r="WOE36" s="414"/>
      <c r="WOF36" s="414"/>
      <c r="WOG36" s="414"/>
      <c r="WOH36" s="414"/>
      <c r="WOI36" s="414"/>
      <c r="WOJ36" s="414"/>
      <c r="WOK36" s="414"/>
      <c r="WOL36" s="414"/>
      <c r="WOM36" s="414"/>
      <c r="WON36" s="414"/>
      <c r="WOO36" s="414"/>
      <c r="WOP36" s="414"/>
      <c r="WOQ36" s="414"/>
      <c r="WOR36" s="414"/>
      <c r="WOS36" s="414"/>
      <c r="WOT36" s="414"/>
      <c r="WOU36" s="414"/>
      <c r="WOV36" s="414"/>
      <c r="WOW36" s="414"/>
      <c r="WOX36" s="414"/>
      <c r="WOY36" s="414"/>
      <c r="WOZ36" s="414"/>
      <c r="WPA36" s="414"/>
      <c r="WPB36" s="414"/>
      <c r="WPC36" s="414"/>
      <c r="WPD36" s="414"/>
      <c r="WPE36" s="414"/>
      <c r="WPF36" s="414"/>
      <c r="WPG36" s="414"/>
      <c r="WPH36" s="414"/>
      <c r="WPI36" s="414"/>
      <c r="WPJ36" s="414"/>
      <c r="WPK36" s="414"/>
      <c r="WPL36" s="414"/>
      <c r="WPM36" s="414"/>
      <c r="WPN36" s="414"/>
      <c r="WPO36" s="414"/>
      <c r="WPP36" s="414"/>
      <c r="WPQ36" s="414"/>
      <c r="WPR36" s="414"/>
      <c r="WPS36" s="414"/>
      <c r="WPT36" s="414"/>
      <c r="WPU36" s="414"/>
      <c r="WPV36" s="414"/>
      <c r="WPW36" s="414"/>
      <c r="WPX36" s="414"/>
      <c r="WPY36" s="414"/>
      <c r="WPZ36" s="414"/>
      <c r="WQA36" s="414"/>
      <c r="WQB36" s="414"/>
      <c r="WQC36" s="414"/>
      <c r="WQD36" s="414"/>
      <c r="WQE36" s="414"/>
      <c r="WQF36" s="414"/>
      <c r="WQG36" s="414"/>
      <c r="WQH36" s="414"/>
      <c r="WQI36" s="414"/>
      <c r="WQJ36" s="414"/>
      <c r="WQK36" s="414"/>
      <c r="WQL36" s="414"/>
      <c r="WQM36" s="414"/>
      <c r="WQN36" s="414"/>
      <c r="WQO36" s="414"/>
      <c r="WQP36" s="414"/>
      <c r="WQQ36" s="414"/>
      <c r="WQR36" s="414"/>
      <c r="WQS36" s="414"/>
      <c r="WQT36" s="414"/>
      <c r="WQU36" s="414"/>
      <c r="WQV36" s="414"/>
      <c r="WQW36" s="414"/>
      <c r="WQX36" s="414"/>
      <c r="WQY36" s="414"/>
      <c r="WQZ36" s="414"/>
      <c r="WRA36" s="414"/>
      <c r="WRB36" s="414"/>
      <c r="WRC36" s="414"/>
      <c r="WRD36" s="414"/>
      <c r="WRE36" s="414"/>
      <c r="WRF36" s="414"/>
      <c r="WRG36" s="414"/>
      <c r="WRH36" s="414"/>
      <c r="WRI36" s="414"/>
      <c r="WRJ36" s="414"/>
      <c r="WRK36" s="414"/>
      <c r="WRL36" s="414"/>
      <c r="WRM36" s="414"/>
      <c r="WRN36" s="414"/>
      <c r="WRO36" s="414"/>
      <c r="WRP36" s="414"/>
      <c r="WRQ36" s="414"/>
      <c r="WRR36" s="414"/>
      <c r="WRS36" s="414"/>
      <c r="WRT36" s="414"/>
      <c r="WRU36" s="414"/>
      <c r="WRV36" s="414"/>
      <c r="WRW36" s="414"/>
      <c r="WRX36" s="414"/>
      <c r="WRY36" s="414"/>
      <c r="WRZ36" s="414"/>
      <c r="WSA36" s="414"/>
      <c r="WSB36" s="414"/>
      <c r="WSC36" s="414"/>
      <c r="WSD36" s="414"/>
      <c r="WSE36" s="414"/>
      <c r="WSF36" s="414"/>
      <c r="WSG36" s="414"/>
      <c r="WSH36" s="414"/>
      <c r="WSI36" s="414"/>
      <c r="WSJ36" s="414"/>
      <c r="WSK36" s="414"/>
      <c r="WSL36" s="414"/>
      <c r="WSM36" s="414"/>
      <c r="WSN36" s="414"/>
      <c r="WSO36" s="414"/>
      <c r="WSP36" s="414"/>
      <c r="WSQ36" s="414"/>
      <c r="WSR36" s="414"/>
      <c r="WSS36" s="414"/>
      <c r="WST36" s="414"/>
      <c r="WSU36" s="414"/>
      <c r="WSV36" s="414"/>
      <c r="WSW36" s="414"/>
      <c r="WSX36" s="414"/>
      <c r="WSY36" s="414"/>
      <c r="WSZ36" s="414"/>
      <c r="WTA36" s="414"/>
      <c r="WTB36" s="414"/>
      <c r="WTC36" s="414"/>
      <c r="WTD36" s="414"/>
      <c r="WTE36" s="414"/>
      <c r="WTF36" s="414"/>
      <c r="WTG36" s="414"/>
      <c r="WTH36" s="414"/>
      <c r="WTI36" s="414"/>
      <c r="WTJ36" s="414"/>
      <c r="WTK36" s="414"/>
      <c r="WTL36" s="414"/>
      <c r="WTM36" s="414"/>
      <c r="WTN36" s="414"/>
      <c r="WTO36" s="414"/>
      <c r="WTP36" s="414"/>
      <c r="WTQ36" s="414"/>
      <c r="WTR36" s="414"/>
      <c r="WTS36" s="414"/>
      <c r="WTT36" s="414"/>
      <c r="WTU36" s="414"/>
      <c r="WTV36" s="414"/>
      <c r="WTW36" s="414"/>
      <c r="WTX36" s="414"/>
      <c r="WTY36" s="414"/>
      <c r="WTZ36" s="414"/>
      <c r="WUA36" s="414"/>
      <c r="WUB36" s="414"/>
      <c r="WUC36" s="414"/>
      <c r="WUD36" s="414"/>
      <c r="WUE36" s="414"/>
      <c r="WUF36" s="414"/>
      <c r="WUG36" s="414"/>
      <c r="WUH36" s="414"/>
      <c r="WUI36" s="414"/>
      <c r="WUJ36" s="414"/>
      <c r="WUK36" s="414"/>
      <c r="WUL36" s="414"/>
      <c r="WUM36" s="414"/>
      <c r="WUN36" s="414"/>
      <c r="WUO36" s="414"/>
      <c r="WUP36" s="414"/>
      <c r="WUQ36" s="414"/>
      <c r="WUR36" s="414"/>
      <c r="WUS36" s="414"/>
      <c r="WUT36" s="414"/>
      <c r="WUU36" s="414"/>
      <c r="WUV36" s="414"/>
      <c r="WUW36" s="414"/>
      <c r="WUX36" s="414"/>
      <c r="WUY36" s="414"/>
      <c r="WUZ36" s="414"/>
      <c r="WVA36" s="414"/>
      <c r="WVB36" s="414"/>
      <c r="WVC36" s="414"/>
      <c r="WVD36" s="414"/>
      <c r="WVE36" s="414"/>
      <c r="WVF36" s="414"/>
      <c r="WVG36" s="414"/>
      <c r="WVH36" s="414"/>
      <c r="WVI36" s="414"/>
      <c r="WVJ36" s="414"/>
      <c r="WVK36" s="414"/>
      <c r="WVL36" s="414"/>
      <c r="WVM36" s="414"/>
      <c r="WVN36" s="414"/>
      <c r="WVO36" s="414"/>
      <c r="WVP36" s="414"/>
      <c r="WVQ36" s="414"/>
      <c r="WVR36" s="414"/>
      <c r="WVS36" s="414"/>
      <c r="WVT36" s="414"/>
      <c r="WVU36" s="414"/>
      <c r="WVV36" s="414"/>
      <c r="WVW36" s="414"/>
      <c r="WVX36" s="414"/>
      <c r="WVY36" s="414"/>
      <c r="WVZ36" s="414"/>
      <c r="WWA36" s="414"/>
      <c r="WWB36" s="414"/>
      <c r="WWC36" s="414"/>
      <c r="WWD36" s="414"/>
      <c r="WWE36" s="414"/>
      <c r="WWF36" s="414"/>
      <c r="WWG36" s="414"/>
      <c r="WWH36" s="414"/>
      <c r="WWI36" s="414"/>
      <c r="WWJ36" s="414"/>
      <c r="WWK36" s="414"/>
      <c r="WWL36" s="414"/>
      <c r="WWM36" s="414"/>
      <c r="WWN36" s="414"/>
      <c r="WWO36" s="414"/>
      <c r="WWP36" s="414"/>
      <c r="WWQ36" s="414"/>
      <c r="WWR36" s="414"/>
      <c r="WWS36" s="414"/>
      <c r="WWT36" s="414"/>
      <c r="WWU36" s="414"/>
      <c r="WWV36" s="414"/>
      <c r="WWW36" s="414"/>
      <c r="WWX36" s="414"/>
      <c r="WWY36" s="414"/>
      <c r="WWZ36" s="414"/>
      <c r="WXA36" s="414"/>
      <c r="WXB36" s="414"/>
      <c r="WXC36" s="414"/>
      <c r="WXD36" s="414"/>
      <c r="WXE36" s="414"/>
      <c r="WXF36" s="414"/>
      <c r="WXG36" s="414"/>
      <c r="WXH36" s="414"/>
      <c r="WXI36" s="414"/>
      <c r="WXJ36" s="414"/>
      <c r="WXK36" s="414"/>
      <c r="WXL36" s="414"/>
      <c r="WXM36" s="414"/>
      <c r="WXN36" s="414"/>
      <c r="WXO36" s="414"/>
      <c r="WXP36" s="414"/>
      <c r="WXQ36" s="414"/>
      <c r="WXR36" s="414"/>
      <c r="WXS36" s="414"/>
      <c r="WXT36" s="414"/>
      <c r="WXU36" s="414"/>
      <c r="WXV36" s="414"/>
      <c r="WXW36" s="414"/>
      <c r="WXX36" s="414"/>
      <c r="WXY36" s="414"/>
      <c r="WXZ36" s="414"/>
      <c r="WYA36" s="414"/>
      <c r="WYB36" s="414"/>
      <c r="WYC36" s="414"/>
      <c r="WYD36" s="414"/>
      <c r="WYE36" s="414"/>
      <c r="WYF36" s="414"/>
      <c r="WYG36" s="414"/>
      <c r="WYH36" s="414"/>
      <c r="WYI36" s="414"/>
      <c r="WYJ36" s="414"/>
      <c r="WYK36" s="414"/>
      <c r="WYL36" s="414"/>
      <c r="WYM36" s="414"/>
      <c r="WYN36" s="414"/>
      <c r="WYO36" s="414"/>
      <c r="WYP36" s="414"/>
      <c r="WYQ36" s="414"/>
      <c r="WYR36" s="414"/>
      <c r="WYS36" s="414"/>
      <c r="WYT36" s="414"/>
      <c r="WYU36" s="414"/>
      <c r="WYV36" s="414"/>
      <c r="WYW36" s="414"/>
      <c r="WYX36" s="414"/>
      <c r="WYY36" s="414"/>
      <c r="WYZ36" s="414"/>
      <c r="WZA36" s="414"/>
      <c r="WZB36" s="414"/>
      <c r="WZC36" s="414"/>
      <c r="WZD36" s="414"/>
      <c r="WZE36" s="414"/>
      <c r="WZF36" s="414"/>
      <c r="WZG36" s="414"/>
      <c r="WZH36" s="414"/>
      <c r="WZI36" s="414"/>
      <c r="WZJ36" s="414"/>
      <c r="WZK36" s="414"/>
      <c r="WZL36" s="414"/>
      <c r="WZM36" s="414"/>
      <c r="WZN36" s="414"/>
      <c r="WZO36" s="414"/>
      <c r="WZP36" s="414"/>
      <c r="WZQ36" s="414"/>
      <c r="WZR36" s="414"/>
      <c r="WZS36" s="414"/>
      <c r="WZT36" s="414"/>
      <c r="WZU36" s="414"/>
      <c r="WZV36" s="414"/>
      <c r="WZW36" s="414"/>
      <c r="WZX36" s="414"/>
      <c r="WZY36" s="414"/>
      <c r="WZZ36" s="414"/>
      <c r="XAA36" s="414"/>
      <c r="XAB36" s="414"/>
      <c r="XAC36" s="414"/>
      <c r="XAD36" s="414"/>
      <c r="XAE36" s="414"/>
      <c r="XAF36" s="414"/>
      <c r="XAG36" s="414"/>
      <c r="XAH36" s="414"/>
      <c r="XAI36" s="414"/>
      <c r="XAJ36" s="414"/>
      <c r="XAK36" s="414"/>
      <c r="XAL36" s="414"/>
      <c r="XAM36" s="414"/>
      <c r="XAN36" s="414"/>
      <c r="XAO36" s="414"/>
      <c r="XAP36" s="414"/>
      <c r="XAQ36" s="414"/>
      <c r="XAR36" s="414"/>
      <c r="XAS36" s="414"/>
      <c r="XAT36" s="414"/>
      <c r="XAU36" s="414"/>
      <c r="XAV36" s="414"/>
      <c r="XAW36" s="414"/>
      <c r="XAX36" s="414"/>
      <c r="XAY36" s="414"/>
      <c r="XAZ36" s="414"/>
      <c r="XBA36" s="414"/>
      <c r="XBB36" s="414"/>
      <c r="XBC36" s="414"/>
      <c r="XBD36" s="414"/>
      <c r="XBE36" s="414"/>
      <c r="XBF36" s="414"/>
      <c r="XBG36" s="414"/>
      <c r="XBH36" s="414"/>
      <c r="XBI36" s="414"/>
      <c r="XBJ36" s="414"/>
      <c r="XBK36" s="414"/>
      <c r="XBL36" s="414"/>
      <c r="XBM36" s="414"/>
      <c r="XBN36" s="414"/>
      <c r="XBO36" s="414"/>
      <c r="XBP36" s="414"/>
      <c r="XBQ36" s="414"/>
      <c r="XBR36" s="414"/>
      <c r="XBS36" s="414"/>
      <c r="XBT36" s="414"/>
      <c r="XBU36" s="414"/>
      <c r="XBV36" s="414"/>
      <c r="XBW36" s="414"/>
      <c r="XBX36" s="414"/>
      <c r="XBY36" s="414"/>
      <c r="XBZ36" s="414"/>
      <c r="XCA36" s="414"/>
      <c r="XCB36" s="414"/>
      <c r="XCC36" s="414"/>
      <c r="XCD36" s="414"/>
      <c r="XCE36" s="414"/>
      <c r="XCF36" s="414"/>
      <c r="XCG36" s="414"/>
      <c r="XCH36" s="414"/>
      <c r="XCI36" s="414"/>
      <c r="XCJ36" s="414"/>
      <c r="XCK36" s="414"/>
      <c r="XCL36" s="414"/>
      <c r="XCM36" s="414"/>
      <c r="XCN36" s="414"/>
      <c r="XCO36" s="414"/>
      <c r="XCP36" s="414"/>
      <c r="XCQ36" s="414"/>
      <c r="XCR36" s="414"/>
      <c r="XCS36" s="414"/>
      <c r="XCT36" s="414"/>
      <c r="XCU36" s="414"/>
      <c r="XCV36" s="414"/>
      <c r="XCW36" s="414"/>
      <c r="XCX36" s="414"/>
      <c r="XCY36" s="414"/>
      <c r="XCZ36" s="414"/>
      <c r="XDA36" s="414"/>
      <c r="XDB36" s="414"/>
      <c r="XDC36" s="414"/>
      <c r="XDD36" s="414"/>
      <c r="XDE36" s="414"/>
      <c r="XDF36" s="414"/>
      <c r="XDG36" s="414"/>
      <c r="XDH36" s="414"/>
      <c r="XDI36" s="414"/>
      <c r="XDJ36" s="414"/>
      <c r="XDK36" s="414"/>
      <c r="XDL36" s="414"/>
      <c r="XDM36" s="414"/>
      <c r="XDN36" s="414"/>
      <c r="XDO36" s="414"/>
      <c r="XDP36" s="414"/>
      <c r="XDQ36" s="414"/>
      <c r="XDR36" s="414"/>
      <c r="XDS36" s="414"/>
      <c r="XDT36" s="414"/>
      <c r="XDU36" s="414"/>
      <c r="XDV36" s="414"/>
      <c r="XDW36" s="414"/>
      <c r="XDX36" s="414"/>
      <c r="XDY36" s="414"/>
      <c r="XDZ36" s="414"/>
      <c r="XEA36" s="414"/>
      <c r="XEB36" s="414"/>
      <c r="XEC36" s="414"/>
      <c r="XED36" s="414"/>
      <c r="XEE36" s="414"/>
      <c r="XEF36" s="414"/>
      <c r="XEG36" s="414"/>
      <c r="XEH36" s="414"/>
      <c r="XEI36" s="414"/>
      <c r="XEJ36" s="414"/>
      <c r="XEK36" s="414"/>
      <c r="XEL36" s="414"/>
      <c r="XEM36" s="414"/>
      <c r="XEN36" s="414"/>
      <c r="XEO36" s="414"/>
      <c r="XEP36" s="414"/>
      <c r="XEQ36" s="414"/>
      <c r="XER36" s="414"/>
      <c r="XES36" s="414"/>
      <c r="XET36" s="414"/>
      <c r="XEU36" s="414"/>
      <c r="XEV36" s="414"/>
      <c r="XEW36" s="414"/>
      <c r="XEX36" s="414"/>
      <c r="XEY36" s="414"/>
      <c r="XEZ36" s="414"/>
      <c r="XFA36" s="414"/>
    </row>
    <row r="37" spans="1:16381" s="609" customFormat="1" ht="22.5">
      <c r="A37" s="609" t="str">
        <f>C37&amp;IF(D37=0,""," v. "&amp;TEXT(D37,"TT.MM.JJJ"))</f>
        <v>Bayern-Versicherung LV AG v. 22.10.2022</v>
      </c>
      <c r="B37" s="609">
        <f>ROW()</f>
        <v>37</v>
      </c>
      <c r="C37" s="635" t="s">
        <v>1270</v>
      </c>
      <c r="D37" s="1201">
        <v>44856</v>
      </c>
      <c r="E37" s="636" t="s">
        <v>1668</v>
      </c>
      <c r="F37" s="637" t="str">
        <f t="shared" si="5"/>
        <v>Ja</v>
      </c>
      <c r="G37" s="634" t="str">
        <f t="shared" si="2"/>
        <v>TO ermöglicht: Tarifwechel; doppelten Kostenabzug;  Verzinsung zwischen EzE und RK geltend machen</v>
      </c>
      <c r="I37" s="634"/>
      <c r="J37" s="784"/>
      <c r="K37" s="1199">
        <v>1</v>
      </c>
      <c r="L37" s="1199">
        <v>2</v>
      </c>
      <c r="M37" s="1199"/>
      <c r="N37" s="1199">
        <v>4</v>
      </c>
      <c r="O37" s="785"/>
      <c r="P37" s="144"/>
      <c r="Q37" s="414"/>
      <c r="R37" s="414"/>
      <c r="S37" s="414"/>
      <c r="T37" s="414"/>
      <c r="U37" s="414"/>
      <c r="V37" s="414"/>
      <c r="W37" s="414"/>
      <c r="X37" s="414"/>
      <c r="Y37" s="414"/>
      <c r="Z37" s="414"/>
      <c r="AA37" s="414"/>
      <c r="AB37" s="414"/>
      <c r="AC37" s="414"/>
      <c r="AD37" s="414"/>
      <c r="AE37" s="414"/>
      <c r="AF37" s="414"/>
      <c r="AG37" s="414"/>
      <c r="AH37" s="414"/>
      <c r="AI37" s="414"/>
      <c r="AJ37" s="414"/>
      <c r="AK37" s="414"/>
      <c r="AL37" s="414"/>
      <c r="AM37" s="414"/>
      <c r="AN37" s="414"/>
      <c r="AO37" s="414"/>
      <c r="AP37" s="414"/>
      <c r="AQ37" s="414"/>
      <c r="AR37" s="414"/>
      <c r="AS37" s="414"/>
      <c r="AT37" s="414"/>
      <c r="AU37" s="414"/>
      <c r="AV37" s="414"/>
      <c r="AW37" s="414"/>
      <c r="AX37" s="414"/>
      <c r="AY37" s="414"/>
      <c r="AZ37" s="414"/>
      <c r="BA37" s="414"/>
      <c r="BB37" s="414"/>
      <c r="BC37" s="414"/>
      <c r="BD37" s="414"/>
      <c r="BE37" s="414"/>
      <c r="BF37" s="414"/>
      <c r="BG37" s="414"/>
      <c r="BH37" s="414"/>
      <c r="BI37" s="414"/>
      <c r="BJ37" s="414"/>
      <c r="BK37" s="414"/>
      <c r="BL37" s="414"/>
      <c r="BM37" s="414"/>
      <c r="BN37" s="414"/>
      <c r="BO37" s="414"/>
      <c r="BP37" s="414"/>
      <c r="BQ37" s="414"/>
      <c r="BR37" s="414"/>
      <c r="BS37" s="414"/>
      <c r="BT37" s="414"/>
      <c r="BU37" s="414"/>
      <c r="BV37" s="414"/>
      <c r="BW37" s="414"/>
      <c r="BX37" s="414"/>
      <c r="BY37" s="414"/>
      <c r="BZ37" s="414"/>
      <c r="CA37" s="414"/>
      <c r="CB37" s="414"/>
      <c r="CC37" s="414"/>
      <c r="CD37" s="414"/>
      <c r="CE37" s="414"/>
      <c r="CF37" s="414"/>
      <c r="CG37" s="414"/>
      <c r="CH37" s="414"/>
      <c r="CI37" s="414"/>
      <c r="CJ37" s="414"/>
      <c r="CK37" s="414"/>
      <c r="CL37" s="414"/>
      <c r="CM37" s="414"/>
      <c r="CN37" s="414"/>
      <c r="CO37" s="414"/>
      <c r="CP37" s="414"/>
      <c r="CQ37" s="414"/>
      <c r="CR37" s="414"/>
      <c r="CS37" s="414"/>
      <c r="CT37" s="414"/>
      <c r="CU37" s="414"/>
      <c r="CV37" s="414"/>
      <c r="CW37" s="414"/>
      <c r="CX37" s="414"/>
      <c r="CY37" s="414"/>
      <c r="CZ37" s="414"/>
      <c r="DA37" s="414"/>
      <c r="DB37" s="414"/>
      <c r="DC37" s="414"/>
      <c r="DD37" s="414"/>
      <c r="DE37" s="414"/>
      <c r="DF37" s="414"/>
      <c r="DG37" s="414"/>
      <c r="DH37" s="414"/>
      <c r="DI37" s="414"/>
      <c r="DJ37" s="414"/>
      <c r="DK37" s="414"/>
      <c r="DL37" s="414"/>
      <c r="DM37" s="414"/>
      <c r="DN37" s="414"/>
      <c r="DO37" s="414"/>
      <c r="DP37" s="414"/>
      <c r="DQ37" s="414"/>
      <c r="DR37" s="414"/>
      <c r="DS37" s="414"/>
      <c r="DT37" s="414"/>
      <c r="DU37" s="414"/>
      <c r="DV37" s="414"/>
      <c r="DW37" s="414"/>
      <c r="DX37" s="414"/>
      <c r="DY37" s="414"/>
      <c r="DZ37" s="414"/>
      <c r="EA37" s="414"/>
      <c r="EB37" s="414"/>
      <c r="EC37" s="414"/>
      <c r="ED37" s="414"/>
      <c r="EE37" s="414"/>
      <c r="EF37" s="414"/>
      <c r="EG37" s="414"/>
      <c r="EH37" s="414"/>
      <c r="EI37" s="414"/>
      <c r="EJ37" s="414"/>
      <c r="EK37" s="414"/>
      <c r="EL37" s="414"/>
      <c r="EM37" s="414"/>
      <c r="EN37" s="414"/>
      <c r="EO37" s="414"/>
      <c r="EP37" s="414"/>
      <c r="EQ37" s="414"/>
      <c r="ER37" s="414"/>
      <c r="ES37" s="414"/>
      <c r="ET37" s="414"/>
      <c r="EU37" s="414"/>
      <c r="EV37" s="414"/>
      <c r="EW37" s="414"/>
      <c r="EX37" s="414"/>
      <c r="EY37" s="414"/>
      <c r="EZ37" s="414"/>
      <c r="FA37" s="414"/>
      <c r="FB37" s="414"/>
      <c r="FC37" s="414"/>
      <c r="FD37" s="414"/>
      <c r="FE37" s="414"/>
      <c r="FF37" s="414"/>
      <c r="FG37" s="414"/>
      <c r="FH37" s="414"/>
      <c r="FI37" s="414"/>
      <c r="FJ37" s="414"/>
      <c r="FK37" s="414"/>
      <c r="FL37" s="414"/>
      <c r="FM37" s="414"/>
      <c r="FN37" s="414"/>
      <c r="FO37" s="414"/>
      <c r="FP37" s="414"/>
      <c r="FQ37" s="414"/>
      <c r="FR37" s="414"/>
      <c r="FS37" s="414"/>
      <c r="FT37" s="414"/>
      <c r="FU37" s="414"/>
      <c r="FV37" s="414"/>
      <c r="FW37" s="414"/>
      <c r="FX37" s="414"/>
      <c r="FY37" s="414"/>
      <c r="FZ37" s="414"/>
      <c r="GA37" s="414"/>
      <c r="GB37" s="414"/>
      <c r="GC37" s="414"/>
      <c r="GD37" s="414"/>
      <c r="GE37" s="414"/>
      <c r="GF37" s="414"/>
      <c r="GG37" s="414"/>
      <c r="GH37" s="414"/>
      <c r="GI37" s="414"/>
      <c r="GJ37" s="414"/>
      <c r="GK37" s="414"/>
      <c r="GL37" s="414"/>
      <c r="GM37" s="414"/>
      <c r="GN37" s="414"/>
      <c r="GO37" s="414"/>
      <c r="GP37" s="414"/>
      <c r="GQ37" s="414"/>
      <c r="GR37" s="414"/>
      <c r="GS37" s="414"/>
      <c r="GT37" s="414"/>
      <c r="GU37" s="414"/>
      <c r="GV37" s="414"/>
      <c r="GW37" s="414"/>
      <c r="GX37" s="414"/>
      <c r="GY37" s="414"/>
      <c r="GZ37" s="414"/>
      <c r="HA37" s="414"/>
      <c r="HB37" s="414"/>
      <c r="HC37" s="414"/>
      <c r="HD37" s="414"/>
      <c r="HE37" s="414"/>
      <c r="HF37" s="414"/>
      <c r="HG37" s="414"/>
      <c r="HH37" s="414"/>
      <c r="HI37" s="414"/>
      <c r="HJ37" s="414"/>
      <c r="HK37" s="414"/>
      <c r="HL37" s="414"/>
      <c r="HM37" s="414"/>
      <c r="HN37" s="414"/>
      <c r="HO37" s="414"/>
      <c r="HP37" s="414"/>
      <c r="HQ37" s="414"/>
      <c r="HR37" s="414"/>
      <c r="HS37" s="414"/>
      <c r="HT37" s="414"/>
      <c r="HU37" s="414"/>
      <c r="HV37" s="414"/>
      <c r="HW37" s="414"/>
      <c r="HX37" s="414"/>
      <c r="HY37" s="414"/>
      <c r="HZ37" s="414"/>
      <c r="IA37" s="414"/>
      <c r="IB37" s="414"/>
      <c r="IC37" s="414"/>
      <c r="ID37" s="414"/>
      <c r="IE37" s="414"/>
      <c r="IF37" s="414"/>
      <c r="IG37" s="414"/>
      <c r="IH37" s="414"/>
      <c r="II37" s="414"/>
      <c r="IJ37" s="414"/>
      <c r="IK37" s="414"/>
      <c r="IL37" s="414"/>
      <c r="IM37" s="414"/>
      <c r="IN37" s="414"/>
      <c r="IO37" s="414"/>
      <c r="IP37" s="414"/>
      <c r="IQ37" s="414"/>
      <c r="IR37" s="414"/>
      <c r="IS37" s="414"/>
      <c r="IT37" s="414"/>
      <c r="IU37" s="414"/>
      <c r="IV37" s="414"/>
      <c r="IW37" s="414"/>
      <c r="IX37" s="414"/>
      <c r="IY37" s="414"/>
      <c r="IZ37" s="414"/>
      <c r="JA37" s="414"/>
      <c r="JB37" s="414"/>
      <c r="JC37" s="414"/>
      <c r="JD37" s="414"/>
      <c r="JE37" s="414"/>
      <c r="JF37" s="414"/>
      <c r="JG37" s="414"/>
      <c r="JH37" s="414"/>
      <c r="JI37" s="414"/>
      <c r="JJ37" s="414"/>
      <c r="JK37" s="414"/>
      <c r="JL37" s="414"/>
      <c r="JM37" s="414"/>
      <c r="JN37" s="414"/>
      <c r="JO37" s="414"/>
      <c r="JP37" s="414"/>
      <c r="JQ37" s="414"/>
      <c r="JR37" s="414"/>
      <c r="JS37" s="414"/>
      <c r="JT37" s="414"/>
      <c r="JU37" s="414"/>
      <c r="JV37" s="414"/>
      <c r="JW37" s="414"/>
      <c r="JX37" s="414"/>
      <c r="JY37" s="414"/>
      <c r="JZ37" s="414"/>
      <c r="KA37" s="414"/>
      <c r="KB37" s="414"/>
      <c r="KC37" s="414"/>
      <c r="KD37" s="414"/>
      <c r="KE37" s="414"/>
      <c r="KF37" s="414"/>
      <c r="KG37" s="414"/>
      <c r="KH37" s="414"/>
      <c r="KI37" s="414"/>
      <c r="KJ37" s="414"/>
      <c r="KK37" s="414"/>
      <c r="KL37" s="414"/>
      <c r="KM37" s="414"/>
      <c r="KN37" s="414"/>
      <c r="KO37" s="414"/>
      <c r="KP37" s="414"/>
      <c r="KQ37" s="414"/>
      <c r="KR37" s="414"/>
      <c r="KS37" s="414"/>
      <c r="KT37" s="414"/>
      <c r="KU37" s="414"/>
      <c r="KV37" s="414"/>
      <c r="KW37" s="414"/>
      <c r="KX37" s="414"/>
      <c r="KY37" s="414"/>
      <c r="KZ37" s="414"/>
      <c r="LA37" s="414"/>
      <c r="LB37" s="414"/>
      <c r="LC37" s="414"/>
      <c r="LD37" s="414"/>
      <c r="LE37" s="414"/>
      <c r="LF37" s="414"/>
      <c r="LG37" s="414"/>
      <c r="LH37" s="414"/>
      <c r="LI37" s="414"/>
      <c r="LJ37" s="414"/>
      <c r="LK37" s="414"/>
      <c r="LL37" s="414"/>
      <c r="LM37" s="414"/>
      <c r="LN37" s="414"/>
      <c r="LO37" s="414"/>
      <c r="LP37" s="414"/>
      <c r="LQ37" s="414"/>
      <c r="LR37" s="414"/>
      <c r="LS37" s="414"/>
      <c r="LT37" s="414"/>
      <c r="LU37" s="414"/>
      <c r="LV37" s="414"/>
      <c r="LW37" s="414"/>
      <c r="LX37" s="414"/>
      <c r="LY37" s="414"/>
      <c r="LZ37" s="414"/>
      <c r="MA37" s="414"/>
      <c r="MB37" s="414"/>
      <c r="MC37" s="414"/>
      <c r="MD37" s="414"/>
      <c r="ME37" s="414"/>
      <c r="MF37" s="414"/>
      <c r="MG37" s="414"/>
      <c r="MH37" s="414"/>
      <c r="MI37" s="414"/>
      <c r="MJ37" s="414"/>
      <c r="MK37" s="414"/>
      <c r="ML37" s="414"/>
      <c r="MM37" s="414"/>
      <c r="MN37" s="414"/>
      <c r="MO37" s="414"/>
      <c r="MP37" s="414"/>
      <c r="MQ37" s="414"/>
      <c r="MR37" s="414"/>
      <c r="MS37" s="414"/>
      <c r="MT37" s="414"/>
      <c r="MU37" s="414"/>
      <c r="MV37" s="414"/>
      <c r="MW37" s="414"/>
      <c r="MX37" s="414"/>
      <c r="MY37" s="414"/>
      <c r="MZ37" s="414"/>
      <c r="NA37" s="414"/>
      <c r="NB37" s="414"/>
      <c r="NC37" s="414"/>
      <c r="ND37" s="414"/>
      <c r="NE37" s="414"/>
      <c r="NF37" s="414"/>
      <c r="NG37" s="414"/>
      <c r="NH37" s="414"/>
      <c r="NI37" s="414"/>
      <c r="NJ37" s="414"/>
      <c r="NK37" s="414"/>
      <c r="NL37" s="414"/>
      <c r="NM37" s="414"/>
      <c r="NN37" s="414"/>
      <c r="NO37" s="414"/>
      <c r="NP37" s="414"/>
      <c r="NQ37" s="414"/>
      <c r="NR37" s="414"/>
      <c r="NS37" s="414"/>
      <c r="NT37" s="414"/>
      <c r="NU37" s="414"/>
      <c r="NV37" s="414"/>
      <c r="NW37" s="414"/>
      <c r="NX37" s="414"/>
      <c r="NY37" s="414"/>
      <c r="NZ37" s="414"/>
      <c r="OA37" s="414"/>
      <c r="OB37" s="414"/>
      <c r="OC37" s="414"/>
      <c r="OD37" s="414"/>
      <c r="OE37" s="414"/>
      <c r="OF37" s="414"/>
      <c r="OG37" s="414"/>
      <c r="OH37" s="414"/>
      <c r="OI37" s="414"/>
      <c r="OJ37" s="414"/>
      <c r="OK37" s="414"/>
      <c r="OL37" s="414"/>
      <c r="OM37" s="414"/>
      <c r="ON37" s="414"/>
      <c r="OO37" s="414"/>
      <c r="OP37" s="414"/>
      <c r="OQ37" s="414"/>
      <c r="OR37" s="414"/>
      <c r="OS37" s="414"/>
      <c r="OT37" s="414"/>
      <c r="OU37" s="414"/>
      <c r="OV37" s="414"/>
      <c r="OW37" s="414"/>
      <c r="OX37" s="414"/>
      <c r="OY37" s="414"/>
      <c r="OZ37" s="414"/>
      <c r="PA37" s="414"/>
      <c r="PB37" s="414"/>
      <c r="PC37" s="414"/>
      <c r="PD37" s="414"/>
      <c r="PE37" s="414"/>
      <c r="PF37" s="414"/>
      <c r="PG37" s="414"/>
      <c r="PH37" s="414"/>
      <c r="PI37" s="414"/>
      <c r="PJ37" s="414"/>
      <c r="PK37" s="414"/>
      <c r="PL37" s="414"/>
      <c r="PM37" s="414"/>
      <c r="PN37" s="414"/>
      <c r="PO37" s="414"/>
      <c r="PP37" s="414"/>
      <c r="PQ37" s="414"/>
      <c r="PR37" s="414"/>
      <c r="PS37" s="414"/>
      <c r="PT37" s="414"/>
      <c r="PU37" s="414"/>
      <c r="PV37" s="414"/>
      <c r="PW37" s="414"/>
      <c r="PX37" s="414"/>
      <c r="PY37" s="414"/>
      <c r="PZ37" s="414"/>
      <c r="QA37" s="414"/>
      <c r="QB37" s="414"/>
      <c r="QC37" s="414"/>
      <c r="QD37" s="414"/>
      <c r="QE37" s="414"/>
      <c r="QF37" s="414"/>
      <c r="QG37" s="414"/>
      <c r="QH37" s="414"/>
      <c r="QI37" s="414"/>
      <c r="QJ37" s="414"/>
      <c r="QK37" s="414"/>
      <c r="QL37" s="414"/>
      <c r="QM37" s="414"/>
      <c r="QN37" s="414"/>
      <c r="QO37" s="414"/>
      <c r="QP37" s="414"/>
      <c r="QQ37" s="414"/>
      <c r="QR37" s="414"/>
      <c r="QS37" s="414"/>
      <c r="QT37" s="414"/>
      <c r="QU37" s="414"/>
      <c r="QV37" s="414"/>
      <c r="QW37" s="414"/>
      <c r="QX37" s="414"/>
      <c r="QY37" s="414"/>
      <c r="QZ37" s="414"/>
      <c r="RA37" s="414"/>
      <c r="RB37" s="414"/>
      <c r="RC37" s="414"/>
      <c r="RD37" s="414"/>
      <c r="RE37" s="414"/>
      <c r="RF37" s="414"/>
      <c r="RG37" s="414"/>
      <c r="RH37" s="414"/>
      <c r="RI37" s="414"/>
      <c r="RJ37" s="414"/>
      <c r="RK37" s="414"/>
      <c r="RL37" s="414"/>
      <c r="RM37" s="414"/>
      <c r="RN37" s="414"/>
      <c r="RO37" s="414"/>
      <c r="RP37" s="414"/>
      <c r="RQ37" s="414"/>
      <c r="RR37" s="414"/>
      <c r="RS37" s="414"/>
      <c r="RT37" s="414"/>
      <c r="RU37" s="414"/>
      <c r="RV37" s="414"/>
      <c r="RW37" s="414"/>
      <c r="RX37" s="414"/>
      <c r="RY37" s="414"/>
      <c r="RZ37" s="414"/>
      <c r="SA37" s="414"/>
      <c r="SB37" s="414"/>
      <c r="SC37" s="414"/>
      <c r="SD37" s="414"/>
      <c r="SE37" s="414"/>
      <c r="SF37" s="414"/>
      <c r="SG37" s="414"/>
      <c r="SH37" s="414"/>
      <c r="SI37" s="414"/>
      <c r="SJ37" s="414"/>
      <c r="SK37" s="414"/>
      <c r="SL37" s="414"/>
      <c r="SM37" s="414"/>
      <c r="SN37" s="414"/>
      <c r="SO37" s="414"/>
      <c r="SP37" s="414"/>
      <c r="SQ37" s="414"/>
      <c r="SR37" s="414"/>
      <c r="SS37" s="414"/>
      <c r="ST37" s="414"/>
      <c r="SU37" s="414"/>
      <c r="SV37" s="414"/>
      <c r="SW37" s="414"/>
      <c r="SX37" s="414"/>
      <c r="SY37" s="414"/>
      <c r="SZ37" s="414"/>
      <c r="TA37" s="414"/>
      <c r="TB37" s="414"/>
      <c r="TC37" s="414"/>
      <c r="TD37" s="414"/>
      <c r="TE37" s="414"/>
      <c r="TF37" s="414"/>
      <c r="TG37" s="414"/>
      <c r="TH37" s="414"/>
      <c r="TI37" s="414"/>
      <c r="TJ37" s="414"/>
      <c r="TK37" s="414"/>
      <c r="TL37" s="414"/>
      <c r="TM37" s="414"/>
      <c r="TN37" s="414"/>
      <c r="TO37" s="414"/>
      <c r="TP37" s="414"/>
      <c r="TQ37" s="414"/>
      <c r="TR37" s="414"/>
      <c r="TS37" s="414"/>
      <c r="TT37" s="414"/>
      <c r="TU37" s="414"/>
      <c r="TV37" s="414"/>
      <c r="TW37" s="414"/>
      <c r="TX37" s="414"/>
      <c r="TY37" s="414"/>
      <c r="TZ37" s="414"/>
      <c r="UA37" s="414"/>
      <c r="UB37" s="414"/>
      <c r="UC37" s="414"/>
      <c r="UD37" s="414"/>
      <c r="UE37" s="414"/>
      <c r="UF37" s="414"/>
      <c r="UG37" s="414"/>
      <c r="UH37" s="414"/>
      <c r="UI37" s="414"/>
      <c r="UJ37" s="414"/>
      <c r="UK37" s="414"/>
      <c r="UL37" s="414"/>
      <c r="UM37" s="414"/>
      <c r="UN37" s="414"/>
      <c r="UO37" s="414"/>
      <c r="UP37" s="414"/>
      <c r="UQ37" s="414"/>
      <c r="UR37" s="414"/>
      <c r="US37" s="414"/>
      <c r="UT37" s="414"/>
      <c r="UU37" s="414"/>
      <c r="UV37" s="414"/>
      <c r="UW37" s="414"/>
      <c r="UX37" s="414"/>
      <c r="UY37" s="414"/>
      <c r="UZ37" s="414"/>
      <c r="VA37" s="414"/>
      <c r="VB37" s="414"/>
      <c r="VC37" s="414"/>
      <c r="VD37" s="414"/>
      <c r="VE37" s="414"/>
      <c r="VF37" s="414"/>
      <c r="VG37" s="414"/>
      <c r="VH37" s="414"/>
      <c r="VI37" s="414"/>
      <c r="VJ37" s="414"/>
      <c r="VK37" s="414"/>
      <c r="VL37" s="414"/>
      <c r="VM37" s="414"/>
      <c r="VN37" s="414"/>
      <c r="VO37" s="414"/>
      <c r="VP37" s="414"/>
      <c r="VQ37" s="414"/>
      <c r="VR37" s="414"/>
      <c r="VS37" s="414"/>
      <c r="VT37" s="414"/>
      <c r="VU37" s="414"/>
      <c r="VV37" s="414"/>
      <c r="VW37" s="414"/>
      <c r="VX37" s="414"/>
      <c r="VY37" s="414"/>
      <c r="VZ37" s="414"/>
      <c r="WA37" s="414"/>
      <c r="WB37" s="414"/>
      <c r="WC37" s="414"/>
      <c r="WD37" s="414"/>
      <c r="WE37" s="414"/>
      <c r="WF37" s="414"/>
      <c r="WG37" s="414"/>
      <c r="WH37" s="414"/>
      <c r="WI37" s="414"/>
      <c r="WJ37" s="414"/>
      <c r="WK37" s="414"/>
      <c r="WL37" s="414"/>
      <c r="WM37" s="414"/>
      <c r="WN37" s="414"/>
      <c r="WO37" s="414"/>
      <c r="WP37" s="414"/>
      <c r="WQ37" s="414"/>
      <c r="WR37" s="414"/>
      <c r="WS37" s="414"/>
      <c r="WT37" s="414"/>
      <c r="WU37" s="414"/>
      <c r="WV37" s="414"/>
      <c r="WW37" s="414"/>
      <c r="WX37" s="414"/>
      <c r="WY37" s="414"/>
      <c r="WZ37" s="414"/>
      <c r="XA37" s="414"/>
      <c r="XB37" s="414"/>
      <c r="XC37" s="414"/>
      <c r="XD37" s="414"/>
      <c r="XE37" s="414"/>
      <c r="XF37" s="414"/>
      <c r="XG37" s="414"/>
      <c r="XH37" s="414"/>
      <c r="XI37" s="414"/>
      <c r="XJ37" s="414"/>
      <c r="XK37" s="414"/>
      <c r="XL37" s="414"/>
      <c r="XM37" s="414"/>
      <c r="XN37" s="414"/>
      <c r="XO37" s="414"/>
      <c r="XP37" s="414"/>
      <c r="XQ37" s="414"/>
      <c r="XR37" s="414"/>
      <c r="XS37" s="414"/>
      <c r="XT37" s="414"/>
      <c r="XU37" s="414"/>
      <c r="XV37" s="414"/>
      <c r="XW37" s="414"/>
      <c r="XX37" s="414"/>
      <c r="XY37" s="414"/>
      <c r="XZ37" s="414"/>
      <c r="YA37" s="414"/>
      <c r="YB37" s="414"/>
      <c r="YC37" s="414"/>
      <c r="YD37" s="414"/>
      <c r="YE37" s="414"/>
      <c r="YF37" s="414"/>
      <c r="YG37" s="414"/>
      <c r="YH37" s="414"/>
      <c r="YI37" s="414"/>
      <c r="YJ37" s="414"/>
      <c r="YK37" s="414"/>
      <c r="YL37" s="414"/>
      <c r="YM37" s="414"/>
      <c r="YN37" s="414"/>
      <c r="YO37" s="414"/>
      <c r="YP37" s="414"/>
      <c r="YQ37" s="414"/>
      <c r="YR37" s="414"/>
      <c r="YS37" s="414"/>
      <c r="YT37" s="414"/>
      <c r="YU37" s="414"/>
      <c r="YV37" s="414"/>
      <c r="YW37" s="414"/>
      <c r="YX37" s="414"/>
      <c r="YY37" s="414"/>
      <c r="YZ37" s="414"/>
      <c r="ZA37" s="414"/>
      <c r="ZB37" s="414"/>
      <c r="ZC37" s="414"/>
      <c r="ZD37" s="414"/>
      <c r="ZE37" s="414"/>
      <c r="ZF37" s="414"/>
      <c r="ZG37" s="414"/>
      <c r="ZH37" s="414"/>
      <c r="ZI37" s="414"/>
      <c r="ZJ37" s="414"/>
      <c r="ZK37" s="414"/>
      <c r="ZL37" s="414"/>
      <c r="ZM37" s="414"/>
      <c r="ZN37" s="414"/>
      <c r="ZO37" s="414"/>
      <c r="ZP37" s="414"/>
      <c r="ZQ37" s="414"/>
      <c r="ZR37" s="414"/>
      <c r="ZS37" s="414"/>
      <c r="ZT37" s="414"/>
      <c r="ZU37" s="414"/>
      <c r="ZV37" s="414"/>
      <c r="ZW37" s="414"/>
      <c r="ZX37" s="414"/>
      <c r="ZY37" s="414"/>
      <c r="ZZ37" s="414"/>
      <c r="AAA37" s="414"/>
      <c r="AAB37" s="414"/>
      <c r="AAC37" s="414"/>
      <c r="AAD37" s="414"/>
      <c r="AAE37" s="414"/>
      <c r="AAF37" s="414"/>
      <c r="AAG37" s="414"/>
      <c r="AAH37" s="414"/>
      <c r="AAI37" s="414"/>
      <c r="AAJ37" s="414"/>
      <c r="AAK37" s="414"/>
      <c r="AAL37" s="414"/>
      <c r="AAM37" s="414"/>
      <c r="AAN37" s="414"/>
      <c r="AAO37" s="414"/>
      <c r="AAP37" s="414"/>
      <c r="AAQ37" s="414"/>
      <c r="AAR37" s="414"/>
      <c r="AAS37" s="414"/>
      <c r="AAT37" s="414"/>
      <c r="AAU37" s="414"/>
      <c r="AAV37" s="414"/>
      <c r="AAW37" s="414"/>
      <c r="AAX37" s="414"/>
      <c r="AAY37" s="414"/>
      <c r="AAZ37" s="414"/>
      <c r="ABA37" s="414"/>
      <c r="ABB37" s="414"/>
      <c r="ABC37" s="414"/>
      <c r="ABD37" s="414"/>
      <c r="ABE37" s="414"/>
      <c r="ABF37" s="414"/>
      <c r="ABG37" s="414"/>
      <c r="ABH37" s="414"/>
      <c r="ABI37" s="414"/>
      <c r="ABJ37" s="414"/>
      <c r="ABK37" s="414"/>
      <c r="ABL37" s="414"/>
      <c r="ABM37" s="414"/>
      <c r="ABN37" s="414"/>
      <c r="ABO37" s="414"/>
      <c r="ABP37" s="414"/>
      <c r="ABQ37" s="414"/>
      <c r="ABR37" s="414"/>
      <c r="ABS37" s="414"/>
      <c r="ABT37" s="414"/>
      <c r="ABU37" s="414"/>
      <c r="ABV37" s="414"/>
      <c r="ABW37" s="414"/>
      <c r="ABX37" s="414"/>
      <c r="ABY37" s="414"/>
      <c r="ABZ37" s="414"/>
      <c r="ACA37" s="414"/>
      <c r="ACB37" s="414"/>
      <c r="ACC37" s="414"/>
      <c r="ACD37" s="414"/>
      <c r="ACE37" s="414"/>
      <c r="ACF37" s="414"/>
      <c r="ACG37" s="414"/>
      <c r="ACH37" s="414"/>
      <c r="ACI37" s="414"/>
      <c r="ACJ37" s="414"/>
      <c r="ACK37" s="414"/>
      <c r="ACL37" s="414"/>
      <c r="ACM37" s="414"/>
      <c r="ACN37" s="414"/>
      <c r="ACO37" s="414"/>
      <c r="ACP37" s="414"/>
      <c r="ACQ37" s="414"/>
      <c r="ACR37" s="414"/>
      <c r="ACS37" s="414"/>
      <c r="ACT37" s="414"/>
      <c r="ACU37" s="414"/>
      <c r="ACV37" s="414"/>
      <c r="ACW37" s="414"/>
      <c r="ACX37" s="414"/>
      <c r="ACY37" s="414"/>
      <c r="ACZ37" s="414"/>
      <c r="ADA37" s="414"/>
      <c r="ADB37" s="414"/>
      <c r="ADC37" s="414"/>
      <c r="ADD37" s="414"/>
      <c r="ADE37" s="414"/>
      <c r="ADF37" s="414"/>
      <c r="ADG37" s="414"/>
      <c r="ADH37" s="414"/>
      <c r="ADI37" s="414"/>
      <c r="ADJ37" s="414"/>
      <c r="ADK37" s="414"/>
      <c r="ADL37" s="414"/>
      <c r="ADM37" s="414"/>
      <c r="ADN37" s="414"/>
      <c r="ADO37" s="414"/>
      <c r="ADP37" s="414"/>
      <c r="ADQ37" s="414"/>
      <c r="ADR37" s="414"/>
      <c r="ADS37" s="414"/>
      <c r="ADT37" s="414"/>
      <c r="ADU37" s="414"/>
      <c r="ADV37" s="414"/>
      <c r="ADW37" s="414"/>
      <c r="ADX37" s="414"/>
      <c r="ADY37" s="414"/>
      <c r="ADZ37" s="414"/>
      <c r="AEA37" s="414"/>
      <c r="AEB37" s="414"/>
      <c r="AEC37" s="414"/>
      <c r="AED37" s="414"/>
      <c r="AEE37" s="414"/>
      <c r="AEF37" s="414"/>
      <c r="AEG37" s="414"/>
      <c r="AEH37" s="414"/>
      <c r="AEI37" s="414"/>
      <c r="AEJ37" s="414"/>
      <c r="AEK37" s="414"/>
      <c r="AEL37" s="414"/>
      <c r="AEM37" s="414"/>
      <c r="AEN37" s="414"/>
      <c r="AEO37" s="414"/>
      <c r="AEP37" s="414"/>
      <c r="AEQ37" s="414"/>
      <c r="AER37" s="414"/>
      <c r="AES37" s="414"/>
      <c r="AET37" s="414"/>
      <c r="AEU37" s="414"/>
      <c r="AEV37" s="414"/>
      <c r="AEW37" s="414"/>
      <c r="AEX37" s="414"/>
      <c r="AEY37" s="414"/>
      <c r="AEZ37" s="414"/>
      <c r="AFA37" s="414"/>
      <c r="AFB37" s="414"/>
      <c r="AFC37" s="414"/>
      <c r="AFD37" s="414"/>
      <c r="AFE37" s="414"/>
      <c r="AFF37" s="414"/>
      <c r="AFG37" s="414"/>
      <c r="AFH37" s="414"/>
      <c r="AFI37" s="414"/>
      <c r="AFJ37" s="414"/>
      <c r="AFK37" s="414"/>
      <c r="AFL37" s="414"/>
      <c r="AFM37" s="414"/>
      <c r="AFN37" s="414"/>
      <c r="AFO37" s="414"/>
      <c r="AFP37" s="414"/>
      <c r="AFQ37" s="414"/>
      <c r="AFR37" s="414"/>
      <c r="AFS37" s="414"/>
      <c r="AFT37" s="414"/>
      <c r="AFU37" s="414"/>
      <c r="AFV37" s="414"/>
      <c r="AFW37" s="414"/>
      <c r="AFX37" s="414"/>
      <c r="AFY37" s="414"/>
      <c r="AFZ37" s="414"/>
      <c r="AGA37" s="414"/>
      <c r="AGB37" s="414"/>
      <c r="AGC37" s="414"/>
      <c r="AGD37" s="414"/>
      <c r="AGE37" s="414"/>
      <c r="AGF37" s="414"/>
      <c r="AGG37" s="414"/>
      <c r="AGH37" s="414"/>
      <c r="AGI37" s="414"/>
      <c r="AGJ37" s="414"/>
      <c r="AGK37" s="414"/>
      <c r="AGL37" s="414"/>
      <c r="AGM37" s="414"/>
      <c r="AGN37" s="414"/>
      <c r="AGO37" s="414"/>
      <c r="AGP37" s="414"/>
      <c r="AGQ37" s="414"/>
      <c r="AGR37" s="414"/>
      <c r="AGS37" s="414"/>
      <c r="AGT37" s="414"/>
      <c r="AGU37" s="414"/>
      <c r="AGV37" s="414"/>
      <c r="AGW37" s="414"/>
      <c r="AGX37" s="414"/>
      <c r="AGY37" s="414"/>
      <c r="AGZ37" s="414"/>
      <c r="AHA37" s="414"/>
      <c r="AHB37" s="414"/>
      <c r="AHC37" s="414"/>
      <c r="AHD37" s="414"/>
      <c r="AHE37" s="414"/>
      <c r="AHF37" s="414"/>
      <c r="AHG37" s="414"/>
      <c r="AHH37" s="414"/>
      <c r="AHI37" s="414"/>
      <c r="AHJ37" s="414"/>
      <c r="AHK37" s="414"/>
      <c r="AHL37" s="414"/>
      <c r="AHM37" s="414"/>
      <c r="AHN37" s="414"/>
      <c r="AHO37" s="414"/>
      <c r="AHP37" s="414"/>
      <c r="AHQ37" s="414"/>
      <c r="AHR37" s="414"/>
      <c r="AHS37" s="414"/>
      <c r="AHT37" s="414"/>
      <c r="AHU37" s="414"/>
      <c r="AHV37" s="414"/>
      <c r="AHW37" s="414"/>
      <c r="AHX37" s="414"/>
      <c r="AHY37" s="414"/>
      <c r="AHZ37" s="414"/>
      <c r="AIA37" s="414"/>
      <c r="AIB37" s="414"/>
      <c r="AIC37" s="414"/>
      <c r="AID37" s="414"/>
      <c r="AIE37" s="414"/>
      <c r="AIF37" s="414"/>
      <c r="AIG37" s="414"/>
      <c r="AIH37" s="414"/>
      <c r="AII37" s="414"/>
      <c r="AIJ37" s="414"/>
      <c r="AIK37" s="414"/>
      <c r="AIL37" s="414"/>
      <c r="AIM37" s="414"/>
      <c r="AIN37" s="414"/>
      <c r="AIO37" s="414"/>
      <c r="AIP37" s="414"/>
      <c r="AIQ37" s="414"/>
      <c r="AIR37" s="414"/>
      <c r="AIS37" s="414"/>
      <c r="AIT37" s="414"/>
      <c r="AIU37" s="414"/>
      <c r="AIV37" s="414"/>
      <c r="AIW37" s="414"/>
      <c r="AIX37" s="414"/>
      <c r="AIY37" s="414"/>
      <c r="AIZ37" s="414"/>
      <c r="AJA37" s="414"/>
      <c r="AJB37" s="414"/>
      <c r="AJC37" s="414"/>
      <c r="AJD37" s="414"/>
      <c r="AJE37" s="414"/>
      <c r="AJF37" s="414"/>
      <c r="AJG37" s="414"/>
      <c r="AJH37" s="414"/>
      <c r="AJI37" s="414"/>
      <c r="AJJ37" s="414"/>
      <c r="AJK37" s="414"/>
      <c r="AJL37" s="414"/>
      <c r="AJM37" s="414"/>
      <c r="AJN37" s="414"/>
      <c r="AJO37" s="414"/>
      <c r="AJP37" s="414"/>
      <c r="AJQ37" s="414"/>
      <c r="AJR37" s="414"/>
      <c r="AJS37" s="414"/>
      <c r="AJT37" s="414"/>
      <c r="AJU37" s="414"/>
      <c r="AJV37" s="414"/>
      <c r="AJW37" s="414"/>
      <c r="AJX37" s="414"/>
      <c r="AJY37" s="414"/>
      <c r="AJZ37" s="414"/>
      <c r="AKA37" s="414"/>
      <c r="AKB37" s="414"/>
      <c r="AKC37" s="414"/>
      <c r="AKD37" s="414"/>
      <c r="AKE37" s="414"/>
      <c r="AKF37" s="414"/>
      <c r="AKG37" s="414"/>
      <c r="AKH37" s="414"/>
      <c r="AKI37" s="414"/>
      <c r="AKJ37" s="414"/>
      <c r="AKK37" s="414"/>
      <c r="AKL37" s="414"/>
      <c r="AKM37" s="414"/>
      <c r="AKN37" s="414"/>
      <c r="AKO37" s="414"/>
      <c r="AKP37" s="414"/>
      <c r="AKQ37" s="414"/>
      <c r="AKR37" s="414"/>
      <c r="AKS37" s="414"/>
      <c r="AKT37" s="414"/>
      <c r="AKU37" s="414"/>
      <c r="AKV37" s="414"/>
      <c r="AKW37" s="414"/>
      <c r="AKX37" s="414"/>
      <c r="AKY37" s="414"/>
      <c r="AKZ37" s="414"/>
      <c r="ALA37" s="414"/>
      <c r="ALB37" s="414"/>
      <c r="ALC37" s="414"/>
      <c r="ALD37" s="414"/>
      <c r="ALE37" s="414"/>
      <c r="ALF37" s="414"/>
      <c r="ALG37" s="414"/>
      <c r="ALH37" s="414"/>
      <c r="ALI37" s="414"/>
      <c r="ALJ37" s="414"/>
      <c r="ALK37" s="414"/>
      <c r="ALL37" s="414"/>
      <c r="ALM37" s="414"/>
      <c r="ALN37" s="414"/>
      <c r="ALO37" s="414"/>
      <c r="ALP37" s="414"/>
      <c r="ALQ37" s="414"/>
      <c r="ALR37" s="414"/>
      <c r="ALS37" s="414"/>
      <c r="ALT37" s="414"/>
      <c r="ALU37" s="414"/>
      <c r="ALV37" s="414"/>
      <c r="ALW37" s="414"/>
      <c r="ALX37" s="414"/>
      <c r="ALY37" s="414"/>
      <c r="ALZ37" s="414"/>
      <c r="AMA37" s="414"/>
      <c r="AMB37" s="414"/>
      <c r="AMC37" s="414"/>
      <c r="AMD37" s="414"/>
      <c r="AME37" s="414"/>
      <c r="AMF37" s="414"/>
      <c r="AMG37" s="414"/>
      <c r="AMH37" s="414"/>
      <c r="AMI37" s="414"/>
      <c r="AMJ37" s="414"/>
      <c r="AMK37" s="414"/>
      <c r="AML37" s="414"/>
      <c r="AMM37" s="414"/>
      <c r="AMN37" s="414"/>
      <c r="AMO37" s="414"/>
      <c r="AMP37" s="414"/>
      <c r="AMQ37" s="414"/>
      <c r="AMR37" s="414"/>
      <c r="AMS37" s="414"/>
      <c r="AMT37" s="414"/>
      <c r="AMU37" s="414"/>
      <c r="AMV37" s="414"/>
      <c r="AMW37" s="414"/>
      <c r="AMX37" s="414"/>
      <c r="AMY37" s="414"/>
      <c r="AMZ37" s="414"/>
      <c r="ANA37" s="414"/>
      <c r="ANB37" s="414"/>
      <c r="ANC37" s="414"/>
      <c r="AND37" s="414"/>
      <c r="ANE37" s="414"/>
      <c r="ANF37" s="414"/>
      <c r="ANG37" s="414"/>
      <c r="ANH37" s="414"/>
      <c r="ANI37" s="414"/>
      <c r="ANJ37" s="414"/>
      <c r="ANK37" s="414"/>
      <c r="ANL37" s="414"/>
      <c r="ANM37" s="414"/>
      <c r="ANN37" s="414"/>
      <c r="ANO37" s="414"/>
      <c r="ANP37" s="414"/>
      <c r="ANQ37" s="414"/>
      <c r="ANR37" s="414"/>
      <c r="ANS37" s="414"/>
      <c r="ANT37" s="414"/>
      <c r="ANU37" s="414"/>
      <c r="ANV37" s="414"/>
      <c r="ANW37" s="414"/>
      <c r="ANX37" s="414"/>
      <c r="ANY37" s="414"/>
      <c r="ANZ37" s="414"/>
      <c r="AOA37" s="414"/>
      <c r="AOB37" s="414"/>
      <c r="AOC37" s="414"/>
      <c r="AOD37" s="414"/>
      <c r="AOE37" s="414"/>
      <c r="AOF37" s="414"/>
      <c r="AOG37" s="414"/>
      <c r="AOH37" s="414"/>
      <c r="AOI37" s="414"/>
      <c r="AOJ37" s="414"/>
      <c r="AOK37" s="414"/>
      <c r="AOL37" s="414"/>
      <c r="AOM37" s="414"/>
      <c r="AON37" s="414"/>
      <c r="AOO37" s="414"/>
      <c r="AOP37" s="414"/>
      <c r="AOQ37" s="414"/>
      <c r="AOR37" s="414"/>
      <c r="AOS37" s="414"/>
      <c r="AOT37" s="414"/>
      <c r="AOU37" s="414"/>
      <c r="AOV37" s="414"/>
      <c r="AOW37" s="414"/>
      <c r="AOX37" s="414"/>
      <c r="AOY37" s="414"/>
      <c r="AOZ37" s="414"/>
      <c r="APA37" s="414"/>
      <c r="APB37" s="414"/>
      <c r="APC37" s="414"/>
      <c r="APD37" s="414"/>
      <c r="APE37" s="414"/>
      <c r="APF37" s="414"/>
      <c r="APG37" s="414"/>
      <c r="APH37" s="414"/>
      <c r="API37" s="414"/>
      <c r="APJ37" s="414"/>
      <c r="APK37" s="414"/>
      <c r="APL37" s="414"/>
      <c r="APM37" s="414"/>
      <c r="APN37" s="414"/>
      <c r="APO37" s="414"/>
      <c r="APP37" s="414"/>
      <c r="APQ37" s="414"/>
      <c r="APR37" s="414"/>
      <c r="APS37" s="414"/>
      <c r="APT37" s="414"/>
      <c r="APU37" s="414"/>
      <c r="APV37" s="414"/>
      <c r="APW37" s="414"/>
      <c r="APX37" s="414"/>
      <c r="APY37" s="414"/>
      <c r="APZ37" s="414"/>
      <c r="AQA37" s="414"/>
      <c r="AQB37" s="414"/>
      <c r="AQC37" s="414"/>
      <c r="AQD37" s="414"/>
      <c r="AQE37" s="414"/>
      <c r="AQF37" s="414"/>
      <c r="AQG37" s="414"/>
      <c r="AQH37" s="414"/>
      <c r="AQI37" s="414"/>
      <c r="AQJ37" s="414"/>
      <c r="AQK37" s="414"/>
      <c r="AQL37" s="414"/>
      <c r="AQM37" s="414"/>
      <c r="AQN37" s="414"/>
      <c r="AQO37" s="414"/>
      <c r="AQP37" s="414"/>
      <c r="AQQ37" s="414"/>
      <c r="AQR37" s="414"/>
      <c r="AQS37" s="414"/>
      <c r="AQT37" s="414"/>
      <c r="AQU37" s="414"/>
      <c r="AQV37" s="414"/>
      <c r="AQW37" s="414"/>
      <c r="AQX37" s="414"/>
      <c r="AQY37" s="414"/>
      <c r="AQZ37" s="414"/>
      <c r="ARA37" s="414"/>
      <c r="ARB37" s="414"/>
      <c r="ARC37" s="414"/>
      <c r="ARD37" s="414"/>
      <c r="ARE37" s="414"/>
      <c r="ARF37" s="414"/>
      <c r="ARG37" s="414"/>
      <c r="ARH37" s="414"/>
      <c r="ARI37" s="414"/>
      <c r="ARJ37" s="414"/>
      <c r="ARK37" s="414"/>
      <c r="ARL37" s="414"/>
      <c r="ARM37" s="414"/>
      <c r="ARN37" s="414"/>
      <c r="ARO37" s="414"/>
      <c r="ARP37" s="414"/>
      <c r="ARQ37" s="414"/>
      <c r="ARR37" s="414"/>
      <c r="ARS37" s="414"/>
      <c r="ART37" s="414"/>
      <c r="ARU37" s="414"/>
      <c r="ARV37" s="414"/>
      <c r="ARW37" s="414"/>
      <c r="ARX37" s="414"/>
      <c r="ARY37" s="414"/>
      <c r="ARZ37" s="414"/>
      <c r="ASA37" s="414"/>
      <c r="ASB37" s="414"/>
      <c r="ASC37" s="414"/>
      <c r="ASD37" s="414"/>
      <c r="ASE37" s="414"/>
      <c r="ASF37" s="414"/>
      <c r="ASG37" s="414"/>
      <c r="ASH37" s="414"/>
      <c r="ASI37" s="414"/>
      <c r="ASJ37" s="414"/>
      <c r="ASK37" s="414"/>
      <c r="ASL37" s="414"/>
      <c r="ASM37" s="414"/>
      <c r="ASN37" s="414"/>
      <c r="ASO37" s="414"/>
      <c r="ASP37" s="414"/>
      <c r="ASQ37" s="414"/>
      <c r="ASR37" s="414"/>
      <c r="ASS37" s="414"/>
      <c r="AST37" s="414"/>
      <c r="ASU37" s="414"/>
      <c r="ASV37" s="414"/>
      <c r="ASW37" s="414"/>
      <c r="ASX37" s="414"/>
      <c r="ASY37" s="414"/>
      <c r="ASZ37" s="414"/>
      <c r="ATA37" s="414"/>
      <c r="ATB37" s="414"/>
      <c r="ATC37" s="414"/>
      <c r="ATD37" s="414"/>
      <c r="ATE37" s="414"/>
      <c r="ATF37" s="414"/>
      <c r="ATG37" s="414"/>
      <c r="ATH37" s="414"/>
      <c r="ATI37" s="414"/>
      <c r="ATJ37" s="414"/>
      <c r="ATK37" s="414"/>
      <c r="ATL37" s="414"/>
      <c r="ATM37" s="414"/>
      <c r="ATN37" s="414"/>
      <c r="ATO37" s="414"/>
      <c r="ATP37" s="414"/>
      <c r="ATQ37" s="414"/>
      <c r="ATR37" s="414"/>
      <c r="ATS37" s="414"/>
      <c r="ATT37" s="414"/>
      <c r="ATU37" s="414"/>
      <c r="ATV37" s="414"/>
      <c r="ATW37" s="414"/>
      <c r="ATX37" s="414"/>
      <c r="ATY37" s="414"/>
      <c r="ATZ37" s="414"/>
      <c r="AUA37" s="414"/>
      <c r="AUB37" s="414"/>
      <c r="AUC37" s="414"/>
      <c r="AUD37" s="414"/>
      <c r="AUE37" s="414"/>
      <c r="AUF37" s="414"/>
      <c r="AUG37" s="414"/>
      <c r="AUH37" s="414"/>
      <c r="AUI37" s="414"/>
      <c r="AUJ37" s="414"/>
      <c r="AUK37" s="414"/>
      <c r="AUL37" s="414"/>
      <c r="AUM37" s="414"/>
      <c r="AUN37" s="414"/>
      <c r="AUO37" s="414"/>
      <c r="AUP37" s="414"/>
      <c r="AUQ37" s="414"/>
      <c r="AUR37" s="414"/>
      <c r="AUS37" s="414"/>
      <c r="AUT37" s="414"/>
      <c r="AUU37" s="414"/>
      <c r="AUV37" s="414"/>
      <c r="AUW37" s="414"/>
      <c r="AUX37" s="414"/>
      <c r="AUY37" s="414"/>
      <c r="AUZ37" s="414"/>
      <c r="AVA37" s="414"/>
      <c r="AVB37" s="414"/>
      <c r="AVC37" s="414"/>
      <c r="AVD37" s="414"/>
      <c r="AVE37" s="414"/>
      <c r="AVF37" s="414"/>
      <c r="AVG37" s="414"/>
      <c r="AVH37" s="414"/>
      <c r="AVI37" s="414"/>
      <c r="AVJ37" s="414"/>
      <c r="AVK37" s="414"/>
      <c r="AVL37" s="414"/>
      <c r="AVM37" s="414"/>
      <c r="AVN37" s="414"/>
      <c r="AVO37" s="414"/>
      <c r="AVP37" s="414"/>
      <c r="AVQ37" s="414"/>
      <c r="AVR37" s="414"/>
      <c r="AVS37" s="414"/>
      <c r="AVT37" s="414"/>
      <c r="AVU37" s="414"/>
      <c r="AVV37" s="414"/>
      <c r="AVW37" s="414"/>
      <c r="AVX37" s="414"/>
      <c r="AVY37" s="414"/>
      <c r="AVZ37" s="414"/>
      <c r="AWA37" s="414"/>
      <c r="AWB37" s="414"/>
      <c r="AWC37" s="414"/>
      <c r="AWD37" s="414"/>
      <c r="AWE37" s="414"/>
      <c r="AWF37" s="414"/>
      <c r="AWG37" s="414"/>
      <c r="AWH37" s="414"/>
      <c r="AWI37" s="414"/>
      <c r="AWJ37" s="414"/>
      <c r="AWK37" s="414"/>
      <c r="AWL37" s="414"/>
      <c r="AWM37" s="414"/>
      <c r="AWN37" s="414"/>
      <c r="AWO37" s="414"/>
      <c r="AWP37" s="414"/>
      <c r="AWQ37" s="414"/>
      <c r="AWR37" s="414"/>
      <c r="AWS37" s="414"/>
      <c r="AWT37" s="414"/>
      <c r="AWU37" s="414"/>
      <c r="AWV37" s="414"/>
      <c r="AWW37" s="414"/>
      <c r="AWX37" s="414"/>
      <c r="AWY37" s="414"/>
      <c r="AWZ37" s="414"/>
      <c r="AXA37" s="414"/>
      <c r="AXB37" s="414"/>
      <c r="AXC37" s="414"/>
      <c r="AXD37" s="414"/>
      <c r="AXE37" s="414"/>
      <c r="AXF37" s="414"/>
      <c r="AXG37" s="414"/>
      <c r="AXH37" s="414"/>
      <c r="AXI37" s="414"/>
      <c r="AXJ37" s="414"/>
      <c r="AXK37" s="414"/>
      <c r="AXL37" s="414"/>
      <c r="AXM37" s="414"/>
      <c r="AXN37" s="414"/>
      <c r="AXO37" s="414"/>
      <c r="AXP37" s="414"/>
      <c r="AXQ37" s="414"/>
      <c r="AXR37" s="414"/>
      <c r="AXS37" s="414"/>
      <c r="AXT37" s="414"/>
      <c r="AXU37" s="414"/>
      <c r="AXV37" s="414"/>
      <c r="AXW37" s="414"/>
      <c r="AXX37" s="414"/>
      <c r="AXY37" s="414"/>
      <c r="AXZ37" s="414"/>
      <c r="AYA37" s="414"/>
      <c r="AYB37" s="414"/>
      <c r="AYC37" s="414"/>
      <c r="AYD37" s="414"/>
      <c r="AYE37" s="414"/>
      <c r="AYF37" s="414"/>
      <c r="AYG37" s="414"/>
      <c r="AYH37" s="414"/>
      <c r="AYI37" s="414"/>
      <c r="AYJ37" s="414"/>
      <c r="AYK37" s="414"/>
      <c r="AYL37" s="414"/>
      <c r="AYM37" s="414"/>
      <c r="AYN37" s="414"/>
      <c r="AYO37" s="414"/>
      <c r="AYP37" s="414"/>
      <c r="AYQ37" s="414"/>
      <c r="AYR37" s="414"/>
      <c r="AYS37" s="414"/>
      <c r="AYT37" s="414"/>
      <c r="AYU37" s="414"/>
      <c r="AYV37" s="414"/>
      <c r="AYW37" s="414"/>
      <c r="AYX37" s="414"/>
      <c r="AYY37" s="414"/>
      <c r="AYZ37" s="414"/>
      <c r="AZA37" s="414"/>
      <c r="AZB37" s="414"/>
      <c r="AZC37" s="414"/>
      <c r="AZD37" s="414"/>
      <c r="AZE37" s="414"/>
      <c r="AZF37" s="414"/>
      <c r="AZG37" s="414"/>
      <c r="AZH37" s="414"/>
      <c r="AZI37" s="414"/>
      <c r="AZJ37" s="414"/>
      <c r="AZK37" s="414"/>
      <c r="AZL37" s="414"/>
      <c r="AZM37" s="414"/>
      <c r="AZN37" s="414"/>
      <c r="AZO37" s="414"/>
      <c r="AZP37" s="414"/>
      <c r="AZQ37" s="414"/>
      <c r="AZR37" s="414"/>
      <c r="AZS37" s="414"/>
      <c r="AZT37" s="414"/>
      <c r="AZU37" s="414"/>
      <c r="AZV37" s="414"/>
      <c r="AZW37" s="414"/>
      <c r="AZX37" s="414"/>
      <c r="AZY37" s="414"/>
      <c r="AZZ37" s="414"/>
      <c r="BAA37" s="414"/>
      <c r="BAB37" s="414"/>
      <c r="BAC37" s="414"/>
      <c r="BAD37" s="414"/>
      <c r="BAE37" s="414"/>
      <c r="BAF37" s="414"/>
      <c r="BAG37" s="414"/>
      <c r="BAH37" s="414"/>
      <c r="BAI37" s="414"/>
      <c r="BAJ37" s="414"/>
      <c r="BAK37" s="414"/>
      <c r="BAL37" s="414"/>
      <c r="BAM37" s="414"/>
      <c r="BAN37" s="414"/>
      <c r="BAO37" s="414"/>
      <c r="BAP37" s="414"/>
      <c r="BAQ37" s="414"/>
      <c r="BAR37" s="414"/>
      <c r="BAS37" s="414"/>
      <c r="BAT37" s="414"/>
      <c r="BAU37" s="414"/>
      <c r="BAV37" s="414"/>
      <c r="BAW37" s="414"/>
      <c r="BAX37" s="414"/>
      <c r="BAY37" s="414"/>
      <c r="BAZ37" s="414"/>
      <c r="BBA37" s="414"/>
      <c r="BBB37" s="414"/>
      <c r="BBC37" s="414"/>
      <c r="BBD37" s="414"/>
      <c r="BBE37" s="414"/>
      <c r="BBF37" s="414"/>
      <c r="BBG37" s="414"/>
      <c r="BBH37" s="414"/>
      <c r="BBI37" s="414"/>
      <c r="BBJ37" s="414"/>
      <c r="BBK37" s="414"/>
      <c r="BBL37" s="414"/>
      <c r="BBM37" s="414"/>
      <c r="BBN37" s="414"/>
      <c r="BBO37" s="414"/>
      <c r="BBP37" s="414"/>
      <c r="BBQ37" s="414"/>
      <c r="BBR37" s="414"/>
      <c r="BBS37" s="414"/>
      <c r="BBT37" s="414"/>
      <c r="BBU37" s="414"/>
      <c r="BBV37" s="414"/>
      <c r="BBW37" s="414"/>
      <c r="BBX37" s="414"/>
      <c r="BBY37" s="414"/>
      <c r="BBZ37" s="414"/>
      <c r="BCA37" s="414"/>
      <c r="BCB37" s="414"/>
      <c r="BCC37" s="414"/>
      <c r="BCD37" s="414"/>
      <c r="BCE37" s="414"/>
      <c r="BCF37" s="414"/>
      <c r="BCG37" s="414"/>
      <c r="BCH37" s="414"/>
      <c r="BCI37" s="414"/>
      <c r="BCJ37" s="414"/>
      <c r="BCK37" s="414"/>
      <c r="BCL37" s="414"/>
      <c r="BCM37" s="414"/>
      <c r="BCN37" s="414"/>
      <c r="BCO37" s="414"/>
      <c r="BCP37" s="414"/>
      <c r="BCQ37" s="414"/>
      <c r="BCR37" s="414"/>
      <c r="BCS37" s="414"/>
      <c r="BCT37" s="414"/>
      <c r="BCU37" s="414"/>
      <c r="BCV37" s="414"/>
      <c r="BCW37" s="414"/>
      <c r="BCX37" s="414"/>
      <c r="BCY37" s="414"/>
      <c r="BCZ37" s="414"/>
      <c r="BDA37" s="414"/>
      <c r="BDB37" s="414"/>
      <c r="BDC37" s="414"/>
      <c r="BDD37" s="414"/>
      <c r="BDE37" s="414"/>
      <c r="BDF37" s="414"/>
      <c r="BDG37" s="414"/>
      <c r="BDH37" s="414"/>
      <c r="BDI37" s="414"/>
      <c r="BDJ37" s="414"/>
      <c r="BDK37" s="414"/>
      <c r="BDL37" s="414"/>
      <c r="BDM37" s="414"/>
      <c r="BDN37" s="414"/>
      <c r="BDO37" s="414"/>
      <c r="BDP37" s="414"/>
      <c r="BDQ37" s="414"/>
      <c r="BDR37" s="414"/>
      <c r="BDS37" s="414"/>
      <c r="BDT37" s="414"/>
      <c r="BDU37" s="414"/>
      <c r="BDV37" s="414"/>
      <c r="BDW37" s="414"/>
      <c r="BDX37" s="414"/>
      <c r="BDY37" s="414"/>
      <c r="BDZ37" s="414"/>
      <c r="BEA37" s="414"/>
      <c r="BEB37" s="414"/>
      <c r="BEC37" s="414"/>
      <c r="BED37" s="414"/>
      <c r="BEE37" s="414"/>
      <c r="BEF37" s="414"/>
      <c r="BEG37" s="414"/>
      <c r="BEH37" s="414"/>
      <c r="BEI37" s="414"/>
      <c r="BEJ37" s="414"/>
      <c r="BEK37" s="414"/>
      <c r="BEL37" s="414"/>
      <c r="BEM37" s="414"/>
      <c r="BEN37" s="414"/>
      <c r="BEO37" s="414"/>
      <c r="BEP37" s="414"/>
      <c r="BEQ37" s="414"/>
      <c r="BER37" s="414"/>
      <c r="BES37" s="414"/>
      <c r="BET37" s="414"/>
      <c r="BEU37" s="414"/>
      <c r="BEV37" s="414"/>
      <c r="BEW37" s="414"/>
      <c r="BEX37" s="414"/>
      <c r="BEY37" s="414"/>
      <c r="BEZ37" s="414"/>
      <c r="BFA37" s="414"/>
      <c r="BFB37" s="414"/>
      <c r="BFC37" s="414"/>
      <c r="BFD37" s="414"/>
      <c r="BFE37" s="414"/>
      <c r="BFF37" s="414"/>
      <c r="BFG37" s="414"/>
      <c r="BFH37" s="414"/>
      <c r="BFI37" s="414"/>
      <c r="BFJ37" s="414"/>
      <c r="BFK37" s="414"/>
      <c r="BFL37" s="414"/>
      <c r="BFM37" s="414"/>
      <c r="BFN37" s="414"/>
      <c r="BFO37" s="414"/>
      <c r="BFP37" s="414"/>
      <c r="BFQ37" s="414"/>
      <c r="BFR37" s="414"/>
      <c r="BFS37" s="414"/>
      <c r="BFT37" s="414"/>
      <c r="BFU37" s="414"/>
      <c r="BFV37" s="414"/>
      <c r="BFW37" s="414"/>
      <c r="BFX37" s="414"/>
      <c r="BFY37" s="414"/>
      <c r="BFZ37" s="414"/>
      <c r="BGA37" s="414"/>
      <c r="BGB37" s="414"/>
      <c r="BGC37" s="414"/>
      <c r="BGD37" s="414"/>
      <c r="BGE37" s="414"/>
      <c r="BGF37" s="414"/>
      <c r="BGG37" s="414"/>
      <c r="BGH37" s="414"/>
      <c r="BGI37" s="414"/>
      <c r="BGJ37" s="414"/>
      <c r="BGK37" s="414"/>
      <c r="BGL37" s="414"/>
      <c r="BGM37" s="414"/>
      <c r="BGN37" s="414"/>
      <c r="BGO37" s="414"/>
      <c r="BGP37" s="414"/>
      <c r="BGQ37" s="414"/>
      <c r="BGR37" s="414"/>
      <c r="BGS37" s="414"/>
      <c r="BGT37" s="414"/>
      <c r="BGU37" s="414"/>
      <c r="BGV37" s="414"/>
      <c r="BGW37" s="414"/>
      <c r="BGX37" s="414"/>
      <c r="BGY37" s="414"/>
      <c r="BGZ37" s="414"/>
      <c r="BHA37" s="414"/>
      <c r="BHB37" s="414"/>
      <c r="BHC37" s="414"/>
      <c r="BHD37" s="414"/>
      <c r="BHE37" s="414"/>
      <c r="BHF37" s="414"/>
      <c r="BHG37" s="414"/>
      <c r="BHH37" s="414"/>
      <c r="BHI37" s="414"/>
      <c r="BHJ37" s="414"/>
      <c r="BHK37" s="414"/>
      <c r="BHL37" s="414"/>
      <c r="BHM37" s="414"/>
      <c r="BHN37" s="414"/>
      <c r="BHO37" s="414"/>
      <c r="BHP37" s="414"/>
      <c r="BHQ37" s="414"/>
      <c r="BHR37" s="414"/>
      <c r="BHS37" s="414"/>
      <c r="BHT37" s="414"/>
      <c r="BHU37" s="414"/>
      <c r="BHV37" s="414"/>
      <c r="BHW37" s="414"/>
      <c r="BHX37" s="414"/>
      <c r="BHY37" s="414"/>
      <c r="BHZ37" s="414"/>
      <c r="BIA37" s="414"/>
      <c r="BIB37" s="414"/>
      <c r="BIC37" s="414"/>
      <c r="BID37" s="414"/>
      <c r="BIE37" s="414"/>
      <c r="BIF37" s="414"/>
      <c r="BIG37" s="414"/>
      <c r="BIH37" s="414"/>
      <c r="BII37" s="414"/>
      <c r="BIJ37" s="414"/>
      <c r="BIK37" s="414"/>
      <c r="BIL37" s="414"/>
      <c r="BIM37" s="414"/>
      <c r="BIN37" s="414"/>
      <c r="BIO37" s="414"/>
      <c r="BIP37" s="414"/>
      <c r="BIQ37" s="414"/>
      <c r="BIR37" s="414"/>
      <c r="BIS37" s="414"/>
      <c r="BIT37" s="414"/>
      <c r="BIU37" s="414"/>
      <c r="BIV37" s="414"/>
      <c r="BIW37" s="414"/>
      <c r="BIX37" s="414"/>
      <c r="BIY37" s="414"/>
      <c r="BIZ37" s="414"/>
      <c r="BJA37" s="414"/>
      <c r="BJB37" s="414"/>
      <c r="BJC37" s="414"/>
      <c r="BJD37" s="414"/>
      <c r="BJE37" s="414"/>
      <c r="BJF37" s="414"/>
      <c r="BJG37" s="414"/>
      <c r="BJH37" s="414"/>
      <c r="BJI37" s="414"/>
      <c r="BJJ37" s="414"/>
      <c r="BJK37" s="414"/>
      <c r="BJL37" s="414"/>
      <c r="BJM37" s="414"/>
      <c r="BJN37" s="414"/>
      <c r="BJO37" s="414"/>
      <c r="BJP37" s="414"/>
      <c r="BJQ37" s="414"/>
      <c r="BJR37" s="414"/>
      <c r="BJS37" s="414"/>
      <c r="BJT37" s="414"/>
      <c r="BJU37" s="414"/>
      <c r="BJV37" s="414"/>
      <c r="BJW37" s="414"/>
      <c r="BJX37" s="414"/>
      <c r="BJY37" s="414"/>
      <c r="BJZ37" s="414"/>
      <c r="BKA37" s="414"/>
      <c r="BKB37" s="414"/>
      <c r="BKC37" s="414"/>
      <c r="BKD37" s="414"/>
      <c r="BKE37" s="414"/>
      <c r="BKF37" s="414"/>
      <c r="BKG37" s="414"/>
      <c r="BKH37" s="414"/>
      <c r="BKI37" s="414"/>
      <c r="BKJ37" s="414"/>
      <c r="BKK37" s="414"/>
      <c r="BKL37" s="414"/>
      <c r="BKM37" s="414"/>
      <c r="BKN37" s="414"/>
      <c r="BKO37" s="414"/>
      <c r="BKP37" s="414"/>
      <c r="BKQ37" s="414"/>
      <c r="BKR37" s="414"/>
      <c r="BKS37" s="414"/>
      <c r="BKT37" s="414"/>
      <c r="BKU37" s="414"/>
      <c r="BKV37" s="414"/>
      <c r="BKW37" s="414"/>
      <c r="BKX37" s="414"/>
      <c r="BKY37" s="414"/>
      <c r="BKZ37" s="414"/>
      <c r="BLA37" s="414"/>
      <c r="BLB37" s="414"/>
      <c r="BLC37" s="414"/>
      <c r="BLD37" s="414"/>
      <c r="BLE37" s="414"/>
      <c r="BLF37" s="414"/>
      <c r="BLG37" s="414"/>
      <c r="BLH37" s="414"/>
      <c r="BLI37" s="414"/>
      <c r="BLJ37" s="414"/>
      <c r="BLK37" s="414"/>
      <c r="BLL37" s="414"/>
      <c r="BLM37" s="414"/>
      <c r="BLN37" s="414"/>
      <c r="BLO37" s="414"/>
      <c r="BLP37" s="414"/>
      <c r="BLQ37" s="414"/>
      <c r="BLR37" s="414"/>
      <c r="BLS37" s="414"/>
      <c r="BLT37" s="414"/>
      <c r="BLU37" s="414"/>
      <c r="BLV37" s="414"/>
      <c r="BLW37" s="414"/>
      <c r="BLX37" s="414"/>
      <c r="BLY37" s="414"/>
      <c r="BLZ37" s="414"/>
      <c r="BMA37" s="414"/>
      <c r="BMB37" s="414"/>
      <c r="BMC37" s="414"/>
      <c r="BMD37" s="414"/>
      <c r="BME37" s="414"/>
      <c r="BMF37" s="414"/>
      <c r="BMG37" s="414"/>
      <c r="BMH37" s="414"/>
      <c r="BMI37" s="414"/>
      <c r="BMJ37" s="414"/>
      <c r="BMK37" s="414"/>
      <c r="BML37" s="414"/>
      <c r="BMM37" s="414"/>
      <c r="BMN37" s="414"/>
      <c r="BMO37" s="414"/>
      <c r="BMP37" s="414"/>
      <c r="BMQ37" s="414"/>
      <c r="BMR37" s="414"/>
      <c r="BMS37" s="414"/>
      <c r="BMT37" s="414"/>
      <c r="BMU37" s="414"/>
      <c r="BMV37" s="414"/>
      <c r="BMW37" s="414"/>
      <c r="BMX37" s="414"/>
      <c r="BMY37" s="414"/>
      <c r="BMZ37" s="414"/>
      <c r="BNA37" s="414"/>
      <c r="BNB37" s="414"/>
      <c r="BNC37" s="414"/>
      <c r="BND37" s="414"/>
      <c r="BNE37" s="414"/>
      <c r="BNF37" s="414"/>
      <c r="BNG37" s="414"/>
      <c r="BNH37" s="414"/>
      <c r="BNI37" s="414"/>
      <c r="BNJ37" s="414"/>
      <c r="BNK37" s="414"/>
      <c r="BNL37" s="414"/>
      <c r="BNM37" s="414"/>
      <c r="BNN37" s="414"/>
      <c r="BNO37" s="414"/>
      <c r="BNP37" s="414"/>
      <c r="BNQ37" s="414"/>
      <c r="BNR37" s="414"/>
      <c r="BNS37" s="414"/>
      <c r="BNT37" s="414"/>
      <c r="BNU37" s="414"/>
      <c r="BNV37" s="414"/>
      <c r="BNW37" s="414"/>
      <c r="BNX37" s="414"/>
      <c r="BNY37" s="414"/>
      <c r="BNZ37" s="414"/>
      <c r="BOA37" s="414"/>
      <c r="BOB37" s="414"/>
      <c r="BOC37" s="414"/>
      <c r="BOD37" s="414"/>
      <c r="BOE37" s="414"/>
      <c r="BOF37" s="414"/>
      <c r="BOG37" s="414"/>
      <c r="BOH37" s="414"/>
      <c r="BOI37" s="414"/>
      <c r="BOJ37" s="414"/>
      <c r="BOK37" s="414"/>
      <c r="BOL37" s="414"/>
      <c r="BOM37" s="414"/>
      <c r="BON37" s="414"/>
      <c r="BOO37" s="414"/>
      <c r="BOP37" s="414"/>
      <c r="BOQ37" s="414"/>
      <c r="BOR37" s="414"/>
      <c r="BOS37" s="414"/>
      <c r="BOT37" s="414"/>
      <c r="BOU37" s="414"/>
      <c r="BOV37" s="414"/>
      <c r="BOW37" s="414"/>
      <c r="BOX37" s="414"/>
      <c r="BOY37" s="414"/>
      <c r="BOZ37" s="414"/>
      <c r="BPA37" s="414"/>
      <c r="BPB37" s="414"/>
      <c r="BPC37" s="414"/>
      <c r="BPD37" s="414"/>
      <c r="BPE37" s="414"/>
      <c r="BPF37" s="414"/>
      <c r="BPG37" s="414"/>
      <c r="BPH37" s="414"/>
      <c r="BPI37" s="414"/>
      <c r="BPJ37" s="414"/>
      <c r="BPK37" s="414"/>
      <c r="BPL37" s="414"/>
      <c r="BPM37" s="414"/>
      <c r="BPN37" s="414"/>
      <c r="BPO37" s="414"/>
      <c r="BPP37" s="414"/>
      <c r="BPQ37" s="414"/>
      <c r="BPR37" s="414"/>
      <c r="BPS37" s="414"/>
      <c r="BPT37" s="414"/>
      <c r="BPU37" s="414"/>
      <c r="BPV37" s="414"/>
      <c r="BPW37" s="414"/>
      <c r="BPX37" s="414"/>
      <c r="BPY37" s="414"/>
      <c r="BPZ37" s="414"/>
      <c r="BQA37" s="414"/>
      <c r="BQB37" s="414"/>
      <c r="BQC37" s="414"/>
      <c r="BQD37" s="414"/>
      <c r="BQE37" s="414"/>
      <c r="BQF37" s="414"/>
      <c r="BQG37" s="414"/>
      <c r="BQH37" s="414"/>
      <c r="BQI37" s="414"/>
      <c r="BQJ37" s="414"/>
      <c r="BQK37" s="414"/>
      <c r="BQL37" s="414"/>
      <c r="BQM37" s="414"/>
      <c r="BQN37" s="414"/>
      <c r="BQO37" s="414"/>
      <c r="BQP37" s="414"/>
      <c r="BQQ37" s="414"/>
      <c r="BQR37" s="414"/>
      <c r="BQS37" s="414"/>
      <c r="BQT37" s="414"/>
      <c r="BQU37" s="414"/>
      <c r="BQV37" s="414"/>
      <c r="BQW37" s="414"/>
      <c r="BQX37" s="414"/>
      <c r="BQY37" s="414"/>
      <c r="BQZ37" s="414"/>
      <c r="BRA37" s="414"/>
      <c r="BRB37" s="414"/>
      <c r="BRC37" s="414"/>
      <c r="BRD37" s="414"/>
      <c r="BRE37" s="414"/>
      <c r="BRF37" s="414"/>
      <c r="BRG37" s="414"/>
      <c r="BRH37" s="414"/>
      <c r="BRI37" s="414"/>
      <c r="BRJ37" s="414"/>
      <c r="BRK37" s="414"/>
      <c r="BRL37" s="414"/>
      <c r="BRM37" s="414"/>
      <c r="BRN37" s="414"/>
      <c r="BRO37" s="414"/>
      <c r="BRP37" s="414"/>
      <c r="BRQ37" s="414"/>
      <c r="BRR37" s="414"/>
      <c r="BRS37" s="414"/>
      <c r="BRT37" s="414"/>
      <c r="BRU37" s="414"/>
      <c r="BRV37" s="414"/>
      <c r="BRW37" s="414"/>
      <c r="BRX37" s="414"/>
      <c r="BRY37" s="414"/>
      <c r="BRZ37" s="414"/>
      <c r="BSA37" s="414"/>
      <c r="BSB37" s="414"/>
      <c r="BSC37" s="414"/>
      <c r="BSD37" s="414"/>
      <c r="BSE37" s="414"/>
      <c r="BSF37" s="414"/>
      <c r="BSG37" s="414"/>
      <c r="BSH37" s="414"/>
      <c r="BSI37" s="414"/>
      <c r="BSJ37" s="414"/>
      <c r="BSK37" s="414"/>
      <c r="BSL37" s="414"/>
      <c r="BSM37" s="414"/>
      <c r="BSN37" s="414"/>
      <c r="BSO37" s="414"/>
      <c r="BSP37" s="414"/>
      <c r="BSQ37" s="414"/>
      <c r="BSR37" s="414"/>
      <c r="BSS37" s="414"/>
      <c r="BST37" s="414"/>
      <c r="BSU37" s="414"/>
      <c r="BSV37" s="414"/>
      <c r="BSW37" s="414"/>
      <c r="BSX37" s="414"/>
      <c r="BSY37" s="414"/>
      <c r="BSZ37" s="414"/>
      <c r="BTA37" s="414"/>
      <c r="BTB37" s="414"/>
      <c r="BTC37" s="414"/>
      <c r="BTD37" s="414"/>
      <c r="BTE37" s="414"/>
      <c r="BTF37" s="414"/>
      <c r="BTG37" s="414"/>
      <c r="BTH37" s="414"/>
      <c r="BTI37" s="414"/>
      <c r="BTJ37" s="414"/>
      <c r="BTK37" s="414"/>
      <c r="BTL37" s="414"/>
      <c r="BTM37" s="414"/>
      <c r="BTN37" s="414"/>
      <c r="BTO37" s="414"/>
      <c r="BTP37" s="414"/>
      <c r="BTQ37" s="414"/>
      <c r="BTR37" s="414"/>
      <c r="BTS37" s="414"/>
      <c r="BTT37" s="414"/>
      <c r="BTU37" s="414"/>
      <c r="BTV37" s="414"/>
      <c r="BTW37" s="414"/>
      <c r="BTX37" s="414"/>
      <c r="BTY37" s="414"/>
      <c r="BTZ37" s="414"/>
      <c r="BUA37" s="414"/>
      <c r="BUB37" s="414"/>
      <c r="BUC37" s="414"/>
      <c r="BUD37" s="414"/>
      <c r="BUE37" s="414"/>
      <c r="BUF37" s="414"/>
      <c r="BUG37" s="414"/>
      <c r="BUH37" s="414"/>
      <c r="BUI37" s="414"/>
      <c r="BUJ37" s="414"/>
      <c r="BUK37" s="414"/>
      <c r="BUL37" s="414"/>
      <c r="BUM37" s="414"/>
      <c r="BUN37" s="414"/>
      <c r="BUO37" s="414"/>
      <c r="BUP37" s="414"/>
      <c r="BUQ37" s="414"/>
      <c r="BUR37" s="414"/>
      <c r="BUS37" s="414"/>
      <c r="BUT37" s="414"/>
      <c r="BUU37" s="414"/>
      <c r="BUV37" s="414"/>
      <c r="BUW37" s="414"/>
      <c r="BUX37" s="414"/>
      <c r="BUY37" s="414"/>
      <c r="BUZ37" s="414"/>
      <c r="BVA37" s="414"/>
      <c r="BVB37" s="414"/>
      <c r="BVC37" s="414"/>
      <c r="BVD37" s="414"/>
      <c r="BVE37" s="414"/>
      <c r="BVF37" s="414"/>
      <c r="BVG37" s="414"/>
      <c r="BVH37" s="414"/>
      <c r="BVI37" s="414"/>
      <c r="BVJ37" s="414"/>
      <c r="BVK37" s="414"/>
      <c r="BVL37" s="414"/>
      <c r="BVM37" s="414"/>
      <c r="BVN37" s="414"/>
      <c r="BVO37" s="414"/>
      <c r="BVP37" s="414"/>
      <c r="BVQ37" s="414"/>
      <c r="BVR37" s="414"/>
      <c r="BVS37" s="414"/>
      <c r="BVT37" s="414"/>
      <c r="BVU37" s="414"/>
      <c r="BVV37" s="414"/>
      <c r="BVW37" s="414"/>
      <c r="BVX37" s="414"/>
      <c r="BVY37" s="414"/>
      <c r="BVZ37" s="414"/>
      <c r="BWA37" s="414"/>
      <c r="BWB37" s="414"/>
      <c r="BWC37" s="414"/>
      <c r="BWD37" s="414"/>
      <c r="BWE37" s="414"/>
      <c r="BWF37" s="414"/>
      <c r="BWG37" s="414"/>
      <c r="BWH37" s="414"/>
      <c r="BWI37" s="414"/>
      <c r="BWJ37" s="414"/>
      <c r="BWK37" s="414"/>
      <c r="BWL37" s="414"/>
      <c r="BWM37" s="414"/>
      <c r="BWN37" s="414"/>
      <c r="BWO37" s="414"/>
      <c r="BWP37" s="414"/>
      <c r="BWQ37" s="414"/>
      <c r="BWR37" s="414"/>
      <c r="BWS37" s="414"/>
      <c r="BWT37" s="414"/>
      <c r="BWU37" s="414"/>
      <c r="BWV37" s="414"/>
      <c r="BWW37" s="414"/>
      <c r="BWX37" s="414"/>
      <c r="BWY37" s="414"/>
      <c r="BWZ37" s="414"/>
      <c r="BXA37" s="414"/>
      <c r="BXB37" s="414"/>
      <c r="BXC37" s="414"/>
      <c r="BXD37" s="414"/>
      <c r="BXE37" s="414"/>
      <c r="BXF37" s="414"/>
      <c r="BXG37" s="414"/>
      <c r="BXH37" s="414"/>
      <c r="BXI37" s="414"/>
      <c r="BXJ37" s="414"/>
      <c r="BXK37" s="414"/>
      <c r="BXL37" s="414"/>
      <c r="BXM37" s="414"/>
      <c r="BXN37" s="414"/>
      <c r="BXO37" s="414"/>
      <c r="BXP37" s="414"/>
      <c r="BXQ37" s="414"/>
      <c r="BXR37" s="414"/>
      <c r="BXS37" s="414"/>
      <c r="BXT37" s="414"/>
      <c r="BXU37" s="414"/>
      <c r="BXV37" s="414"/>
      <c r="BXW37" s="414"/>
      <c r="BXX37" s="414"/>
      <c r="BXY37" s="414"/>
      <c r="BXZ37" s="414"/>
      <c r="BYA37" s="414"/>
      <c r="BYB37" s="414"/>
      <c r="BYC37" s="414"/>
      <c r="BYD37" s="414"/>
      <c r="BYE37" s="414"/>
      <c r="BYF37" s="414"/>
      <c r="BYG37" s="414"/>
      <c r="BYH37" s="414"/>
      <c r="BYI37" s="414"/>
      <c r="BYJ37" s="414"/>
      <c r="BYK37" s="414"/>
      <c r="BYL37" s="414"/>
      <c r="BYM37" s="414"/>
      <c r="BYN37" s="414"/>
      <c r="BYO37" s="414"/>
      <c r="BYP37" s="414"/>
      <c r="BYQ37" s="414"/>
      <c r="BYR37" s="414"/>
      <c r="BYS37" s="414"/>
      <c r="BYT37" s="414"/>
      <c r="BYU37" s="414"/>
      <c r="BYV37" s="414"/>
      <c r="BYW37" s="414"/>
      <c r="BYX37" s="414"/>
      <c r="BYY37" s="414"/>
      <c r="BYZ37" s="414"/>
      <c r="BZA37" s="414"/>
      <c r="BZB37" s="414"/>
      <c r="BZC37" s="414"/>
      <c r="BZD37" s="414"/>
      <c r="BZE37" s="414"/>
      <c r="BZF37" s="414"/>
      <c r="BZG37" s="414"/>
      <c r="BZH37" s="414"/>
      <c r="BZI37" s="414"/>
      <c r="BZJ37" s="414"/>
      <c r="BZK37" s="414"/>
      <c r="BZL37" s="414"/>
      <c r="BZM37" s="414"/>
      <c r="BZN37" s="414"/>
      <c r="BZO37" s="414"/>
      <c r="BZP37" s="414"/>
      <c r="BZQ37" s="414"/>
      <c r="BZR37" s="414"/>
      <c r="BZS37" s="414"/>
      <c r="BZT37" s="414"/>
      <c r="BZU37" s="414"/>
      <c r="BZV37" s="414"/>
      <c r="BZW37" s="414"/>
      <c r="BZX37" s="414"/>
      <c r="BZY37" s="414"/>
      <c r="BZZ37" s="414"/>
      <c r="CAA37" s="414"/>
      <c r="CAB37" s="414"/>
      <c r="CAC37" s="414"/>
      <c r="CAD37" s="414"/>
      <c r="CAE37" s="414"/>
      <c r="CAF37" s="414"/>
      <c r="CAG37" s="414"/>
      <c r="CAH37" s="414"/>
      <c r="CAI37" s="414"/>
      <c r="CAJ37" s="414"/>
      <c r="CAK37" s="414"/>
      <c r="CAL37" s="414"/>
      <c r="CAM37" s="414"/>
      <c r="CAN37" s="414"/>
      <c r="CAO37" s="414"/>
      <c r="CAP37" s="414"/>
      <c r="CAQ37" s="414"/>
      <c r="CAR37" s="414"/>
      <c r="CAS37" s="414"/>
      <c r="CAT37" s="414"/>
      <c r="CAU37" s="414"/>
      <c r="CAV37" s="414"/>
      <c r="CAW37" s="414"/>
      <c r="CAX37" s="414"/>
      <c r="CAY37" s="414"/>
      <c r="CAZ37" s="414"/>
      <c r="CBA37" s="414"/>
      <c r="CBB37" s="414"/>
      <c r="CBC37" s="414"/>
      <c r="CBD37" s="414"/>
      <c r="CBE37" s="414"/>
      <c r="CBF37" s="414"/>
      <c r="CBG37" s="414"/>
      <c r="CBH37" s="414"/>
      <c r="CBI37" s="414"/>
      <c r="CBJ37" s="414"/>
      <c r="CBK37" s="414"/>
      <c r="CBL37" s="414"/>
      <c r="CBM37" s="414"/>
      <c r="CBN37" s="414"/>
      <c r="CBO37" s="414"/>
      <c r="CBP37" s="414"/>
      <c r="CBQ37" s="414"/>
      <c r="CBR37" s="414"/>
      <c r="CBS37" s="414"/>
      <c r="CBT37" s="414"/>
      <c r="CBU37" s="414"/>
      <c r="CBV37" s="414"/>
      <c r="CBW37" s="414"/>
      <c r="CBX37" s="414"/>
      <c r="CBY37" s="414"/>
      <c r="CBZ37" s="414"/>
      <c r="CCA37" s="414"/>
      <c r="CCB37" s="414"/>
      <c r="CCC37" s="414"/>
      <c r="CCD37" s="414"/>
      <c r="CCE37" s="414"/>
      <c r="CCF37" s="414"/>
      <c r="CCG37" s="414"/>
      <c r="CCH37" s="414"/>
      <c r="CCI37" s="414"/>
      <c r="CCJ37" s="414"/>
      <c r="CCK37" s="414"/>
      <c r="CCL37" s="414"/>
      <c r="CCM37" s="414"/>
      <c r="CCN37" s="414"/>
      <c r="CCO37" s="414"/>
      <c r="CCP37" s="414"/>
      <c r="CCQ37" s="414"/>
      <c r="CCR37" s="414"/>
      <c r="CCS37" s="414"/>
      <c r="CCT37" s="414"/>
      <c r="CCU37" s="414"/>
      <c r="CCV37" s="414"/>
      <c r="CCW37" s="414"/>
      <c r="CCX37" s="414"/>
      <c r="CCY37" s="414"/>
      <c r="CCZ37" s="414"/>
      <c r="CDA37" s="414"/>
      <c r="CDB37" s="414"/>
      <c r="CDC37" s="414"/>
      <c r="CDD37" s="414"/>
      <c r="CDE37" s="414"/>
      <c r="CDF37" s="414"/>
      <c r="CDG37" s="414"/>
      <c r="CDH37" s="414"/>
      <c r="CDI37" s="414"/>
      <c r="CDJ37" s="414"/>
      <c r="CDK37" s="414"/>
      <c r="CDL37" s="414"/>
      <c r="CDM37" s="414"/>
      <c r="CDN37" s="414"/>
      <c r="CDO37" s="414"/>
      <c r="CDP37" s="414"/>
      <c r="CDQ37" s="414"/>
      <c r="CDR37" s="414"/>
      <c r="CDS37" s="414"/>
      <c r="CDT37" s="414"/>
      <c r="CDU37" s="414"/>
      <c r="CDV37" s="414"/>
      <c r="CDW37" s="414"/>
      <c r="CDX37" s="414"/>
      <c r="CDY37" s="414"/>
      <c r="CDZ37" s="414"/>
      <c r="CEA37" s="414"/>
      <c r="CEB37" s="414"/>
      <c r="CEC37" s="414"/>
      <c r="CED37" s="414"/>
      <c r="CEE37" s="414"/>
      <c r="CEF37" s="414"/>
      <c r="CEG37" s="414"/>
      <c r="CEH37" s="414"/>
      <c r="CEI37" s="414"/>
      <c r="CEJ37" s="414"/>
      <c r="CEK37" s="414"/>
      <c r="CEL37" s="414"/>
      <c r="CEM37" s="414"/>
      <c r="CEN37" s="414"/>
      <c r="CEO37" s="414"/>
      <c r="CEP37" s="414"/>
      <c r="CEQ37" s="414"/>
      <c r="CER37" s="414"/>
      <c r="CES37" s="414"/>
      <c r="CET37" s="414"/>
      <c r="CEU37" s="414"/>
      <c r="CEV37" s="414"/>
      <c r="CEW37" s="414"/>
      <c r="CEX37" s="414"/>
      <c r="CEY37" s="414"/>
      <c r="CEZ37" s="414"/>
      <c r="CFA37" s="414"/>
      <c r="CFB37" s="414"/>
      <c r="CFC37" s="414"/>
      <c r="CFD37" s="414"/>
      <c r="CFE37" s="414"/>
      <c r="CFF37" s="414"/>
      <c r="CFG37" s="414"/>
      <c r="CFH37" s="414"/>
      <c r="CFI37" s="414"/>
      <c r="CFJ37" s="414"/>
      <c r="CFK37" s="414"/>
      <c r="CFL37" s="414"/>
      <c r="CFM37" s="414"/>
      <c r="CFN37" s="414"/>
      <c r="CFO37" s="414"/>
      <c r="CFP37" s="414"/>
      <c r="CFQ37" s="414"/>
      <c r="CFR37" s="414"/>
      <c r="CFS37" s="414"/>
      <c r="CFT37" s="414"/>
      <c r="CFU37" s="414"/>
      <c r="CFV37" s="414"/>
      <c r="CFW37" s="414"/>
      <c r="CFX37" s="414"/>
      <c r="CFY37" s="414"/>
      <c r="CFZ37" s="414"/>
      <c r="CGA37" s="414"/>
      <c r="CGB37" s="414"/>
      <c r="CGC37" s="414"/>
      <c r="CGD37" s="414"/>
      <c r="CGE37" s="414"/>
      <c r="CGF37" s="414"/>
      <c r="CGG37" s="414"/>
      <c r="CGH37" s="414"/>
      <c r="CGI37" s="414"/>
      <c r="CGJ37" s="414"/>
      <c r="CGK37" s="414"/>
      <c r="CGL37" s="414"/>
      <c r="CGM37" s="414"/>
      <c r="CGN37" s="414"/>
      <c r="CGO37" s="414"/>
      <c r="CGP37" s="414"/>
      <c r="CGQ37" s="414"/>
      <c r="CGR37" s="414"/>
      <c r="CGS37" s="414"/>
      <c r="CGT37" s="414"/>
      <c r="CGU37" s="414"/>
      <c r="CGV37" s="414"/>
      <c r="CGW37" s="414"/>
      <c r="CGX37" s="414"/>
      <c r="CGY37" s="414"/>
      <c r="CGZ37" s="414"/>
      <c r="CHA37" s="414"/>
      <c r="CHB37" s="414"/>
      <c r="CHC37" s="414"/>
      <c r="CHD37" s="414"/>
      <c r="CHE37" s="414"/>
      <c r="CHF37" s="414"/>
      <c r="CHG37" s="414"/>
      <c r="CHH37" s="414"/>
      <c r="CHI37" s="414"/>
      <c r="CHJ37" s="414"/>
      <c r="CHK37" s="414"/>
      <c r="CHL37" s="414"/>
      <c r="CHM37" s="414"/>
      <c r="CHN37" s="414"/>
      <c r="CHO37" s="414"/>
      <c r="CHP37" s="414"/>
      <c r="CHQ37" s="414"/>
      <c r="CHR37" s="414"/>
      <c r="CHS37" s="414"/>
      <c r="CHT37" s="414"/>
      <c r="CHU37" s="414"/>
      <c r="CHV37" s="414"/>
      <c r="CHW37" s="414"/>
      <c r="CHX37" s="414"/>
      <c r="CHY37" s="414"/>
      <c r="CHZ37" s="414"/>
      <c r="CIA37" s="414"/>
      <c r="CIB37" s="414"/>
      <c r="CIC37" s="414"/>
      <c r="CID37" s="414"/>
      <c r="CIE37" s="414"/>
      <c r="CIF37" s="414"/>
      <c r="CIG37" s="414"/>
      <c r="CIH37" s="414"/>
      <c r="CII37" s="414"/>
      <c r="CIJ37" s="414"/>
      <c r="CIK37" s="414"/>
      <c r="CIL37" s="414"/>
      <c r="CIM37" s="414"/>
      <c r="CIN37" s="414"/>
      <c r="CIO37" s="414"/>
      <c r="CIP37" s="414"/>
      <c r="CIQ37" s="414"/>
      <c r="CIR37" s="414"/>
      <c r="CIS37" s="414"/>
      <c r="CIT37" s="414"/>
      <c r="CIU37" s="414"/>
      <c r="CIV37" s="414"/>
      <c r="CIW37" s="414"/>
      <c r="CIX37" s="414"/>
      <c r="CIY37" s="414"/>
      <c r="CIZ37" s="414"/>
      <c r="CJA37" s="414"/>
      <c r="CJB37" s="414"/>
      <c r="CJC37" s="414"/>
      <c r="CJD37" s="414"/>
      <c r="CJE37" s="414"/>
      <c r="CJF37" s="414"/>
      <c r="CJG37" s="414"/>
      <c r="CJH37" s="414"/>
      <c r="CJI37" s="414"/>
      <c r="CJJ37" s="414"/>
      <c r="CJK37" s="414"/>
      <c r="CJL37" s="414"/>
      <c r="CJM37" s="414"/>
      <c r="CJN37" s="414"/>
      <c r="CJO37" s="414"/>
      <c r="CJP37" s="414"/>
      <c r="CJQ37" s="414"/>
      <c r="CJR37" s="414"/>
      <c r="CJS37" s="414"/>
      <c r="CJT37" s="414"/>
      <c r="CJU37" s="414"/>
      <c r="CJV37" s="414"/>
      <c r="CJW37" s="414"/>
      <c r="CJX37" s="414"/>
      <c r="CJY37" s="414"/>
      <c r="CJZ37" s="414"/>
      <c r="CKA37" s="414"/>
      <c r="CKB37" s="414"/>
      <c r="CKC37" s="414"/>
      <c r="CKD37" s="414"/>
      <c r="CKE37" s="414"/>
      <c r="CKF37" s="414"/>
      <c r="CKG37" s="414"/>
      <c r="CKH37" s="414"/>
      <c r="CKI37" s="414"/>
      <c r="CKJ37" s="414"/>
      <c r="CKK37" s="414"/>
      <c r="CKL37" s="414"/>
      <c r="CKM37" s="414"/>
      <c r="CKN37" s="414"/>
      <c r="CKO37" s="414"/>
      <c r="CKP37" s="414"/>
      <c r="CKQ37" s="414"/>
      <c r="CKR37" s="414"/>
      <c r="CKS37" s="414"/>
      <c r="CKT37" s="414"/>
      <c r="CKU37" s="414"/>
      <c r="CKV37" s="414"/>
      <c r="CKW37" s="414"/>
      <c r="CKX37" s="414"/>
      <c r="CKY37" s="414"/>
      <c r="CKZ37" s="414"/>
      <c r="CLA37" s="414"/>
      <c r="CLB37" s="414"/>
      <c r="CLC37" s="414"/>
      <c r="CLD37" s="414"/>
      <c r="CLE37" s="414"/>
      <c r="CLF37" s="414"/>
      <c r="CLG37" s="414"/>
      <c r="CLH37" s="414"/>
      <c r="CLI37" s="414"/>
      <c r="CLJ37" s="414"/>
      <c r="CLK37" s="414"/>
      <c r="CLL37" s="414"/>
      <c r="CLM37" s="414"/>
      <c r="CLN37" s="414"/>
      <c r="CLO37" s="414"/>
      <c r="CLP37" s="414"/>
      <c r="CLQ37" s="414"/>
      <c r="CLR37" s="414"/>
      <c r="CLS37" s="414"/>
      <c r="CLT37" s="414"/>
      <c r="CLU37" s="414"/>
      <c r="CLV37" s="414"/>
      <c r="CLW37" s="414"/>
      <c r="CLX37" s="414"/>
      <c r="CLY37" s="414"/>
      <c r="CLZ37" s="414"/>
      <c r="CMA37" s="414"/>
      <c r="CMB37" s="414"/>
      <c r="CMC37" s="414"/>
      <c r="CMD37" s="414"/>
      <c r="CME37" s="414"/>
      <c r="CMF37" s="414"/>
      <c r="CMG37" s="414"/>
      <c r="CMH37" s="414"/>
      <c r="CMI37" s="414"/>
      <c r="CMJ37" s="414"/>
      <c r="CMK37" s="414"/>
      <c r="CML37" s="414"/>
      <c r="CMM37" s="414"/>
      <c r="CMN37" s="414"/>
      <c r="CMO37" s="414"/>
      <c r="CMP37" s="414"/>
      <c r="CMQ37" s="414"/>
      <c r="CMR37" s="414"/>
      <c r="CMS37" s="414"/>
      <c r="CMT37" s="414"/>
      <c r="CMU37" s="414"/>
      <c r="CMV37" s="414"/>
      <c r="CMW37" s="414"/>
      <c r="CMX37" s="414"/>
      <c r="CMY37" s="414"/>
      <c r="CMZ37" s="414"/>
      <c r="CNA37" s="414"/>
      <c r="CNB37" s="414"/>
      <c r="CNC37" s="414"/>
      <c r="CND37" s="414"/>
      <c r="CNE37" s="414"/>
      <c r="CNF37" s="414"/>
      <c r="CNG37" s="414"/>
      <c r="CNH37" s="414"/>
      <c r="CNI37" s="414"/>
      <c r="CNJ37" s="414"/>
      <c r="CNK37" s="414"/>
      <c r="CNL37" s="414"/>
      <c r="CNM37" s="414"/>
      <c r="CNN37" s="414"/>
      <c r="CNO37" s="414"/>
      <c r="CNP37" s="414"/>
      <c r="CNQ37" s="414"/>
      <c r="CNR37" s="414"/>
      <c r="CNS37" s="414"/>
      <c r="CNT37" s="414"/>
      <c r="CNU37" s="414"/>
      <c r="CNV37" s="414"/>
      <c r="CNW37" s="414"/>
      <c r="CNX37" s="414"/>
      <c r="CNY37" s="414"/>
      <c r="CNZ37" s="414"/>
      <c r="COA37" s="414"/>
      <c r="COB37" s="414"/>
      <c r="COC37" s="414"/>
      <c r="COD37" s="414"/>
      <c r="COE37" s="414"/>
      <c r="COF37" s="414"/>
      <c r="COG37" s="414"/>
      <c r="COH37" s="414"/>
      <c r="COI37" s="414"/>
      <c r="COJ37" s="414"/>
      <c r="COK37" s="414"/>
      <c r="COL37" s="414"/>
      <c r="COM37" s="414"/>
      <c r="CON37" s="414"/>
      <c r="COO37" s="414"/>
      <c r="COP37" s="414"/>
      <c r="COQ37" s="414"/>
      <c r="COR37" s="414"/>
      <c r="COS37" s="414"/>
      <c r="COT37" s="414"/>
      <c r="COU37" s="414"/>
      <c r="COV37" s="414"/>
      <c r="COW37" s="414"/>
      <c r="COX37" s="414"/>
      <c r="COY37" s="414"/>
      <c r="COZ37" s="414"/>
      <c r="CPA37" s="414"/>
      <c r="CPB37" s="414"/>
      <c r="CPC37" s="414"/>
      <c r="CPD37" s="414"/>
      <c r="CPE37" s="414"/>
      <c r="CPF37" s="414"/>
      <c r="CPG37" s="414"/>
      <c r="CPH37" s="414"/>
      <c r="CPI37" s="414"/>
      <c r="CPJ37" s="414"/>
      <c r="CPK37" s="414"/>
      <c r="CPL37" s="414"/>
      <c r="CPM37" s="414"/>
      <c r="CPN37" s="414"/>
      <c r="CPO37" s="414"/>
      <c r="CPP37" s="414"/>
      <c r="CPQ37" s="414"/>
      <c r="CPR37" s="414"/>
      <c r="CPS37" s="414"/>
      <c r="CPT37" s="414"/>
      <c r="CPU37" s="414"/>
      <c r="CPV37" s="414"/>
      <c r="CPW37" s="414"/>
      <c r="CPX37" s="414"/>
      <c r="CPY37" s="414"/>
      <c r="CPZ37" s="414"/>
      <c r="CQA37" s="414"/>
      <c r="CQB37" s="414"/>
      <c r="CQC37" s="414"/>
      <c r="CQD37" s="414"/>
      <c r="CQE37" s="414"/>
      <c r="CQF37" s="414"/>
      <c r="CQG37" s="414"/>
      <c r="CQH37" s="414"/>
      <c r="CQI37" s="414"/>
      <c r="CQJ37" s="414"/>
      <c r="CQK37" s="414"/>
      <c r="CQL37" s="414"/>
      <c r="CQM37" s="414"/>
      <c r="CQN37" s="414"/>
      <c r="CQO37" s="414"/>
      <c r="CQP37" s="414"/>
      <c r="CQQ37" s="414"/>
      <c r="CQR37" s="414"/>
      <c r="CQS37" s="414"/>
      <c r="CQT37" s="414"/>
      <c r="CQU37" s="414"/>
      <c r="CQV37" s="414"/>
      <c r="CQW37" s="414"/>
      <c r="CQX37" s="414"/>
      <c r="CQY37" s="414"/>
      <c r="CQZ37" s="414"/>
      <c r="CRA37" s="414"/>
      <c r="CRB37" s="414"/>
      <c r="CRC37" s="414"/>
      <c r="CRD37" s="414"/>
      <c r="CRE37" s="414"/>
      <c r="CRF37" s="414"/>
      <c r="CRG37" s="414"/>
      <c r="CRH37" s="414"/>
      <c r="CRI37" s="414"/>
      <c r="CRJ37" s="414"/>
      <c r="CRK37" s="414"/>
      <c r="CRL37" s="414"/>
      <c r="CRM37" s="414"/>
      <c r="CRN37" s="414"/>
      <c r="CRO37" s="414"/>
      <c r="CRP37" s="414"/>
      <c r="CRQ37" s="414"/>
      <c r="CRR37" s="414"/>
      <c r="CRS37" s="414"/>
      <c r="CRT37" s="414"/>
      <c r="CRU37" s="414"/>
      <c r="CRV37" s="414"/>
      <c r="CRW37" s="414"/>
      <c r="CRX37" s="414"/>
      <c r="CRY37" s="414"/>
      <c r="CRZ37" s="414"/>
      <c r="CSA37" s="414"/>
      <c r="CSB37" s="414"/>
      <c r="CSC37" s="414"/>
      <c r="CSD37" s="414"/>
      <c r="CSE37" s="414"/>
      <c r="CSF37" s="414"/>
      <c r="CSG37" s="414"/>
      <c r="CSH37" s="414"/>
      <c r="CSI37" s="414"/>
      <c r="CSJ37" s="414"/>
      <c r="CSK37" s="414"/>
      <c r="CSL37" s="414"/>
      <c r="CSM37" s="414"/>
      <c r="CSN37" s="414"/>
      <c r="CSO37" s="414"/>
      <c r="CSP37" s="414"/>
      <c r="CSQ37" s="414"/>
      <c r="CSR37" s="414"/>
      <c r="CSS37" s="414"/>
      <c r="CST37" s="414"/>
      <c r="CSU37" s="414"/>
      <c r="CSV37" s="414"/>
      <c r="CSW37" s="414"/>
      <c r="CSX37" s="414"/>
      <c r="CSY37" s="414"/>
      <c r="CSZ37" s="414"/>
      <c r="CTA37" s="414"/>
      <c r="CTB37" s="414"/>
      <c r="CTC37" s="414"/>
      <c r="CTD37" s="414"/>
      <c r="CTE37" s="414"/>
      <c r="CTF37" s="414"/>
      <c r="CTG37" s="414"/>
      <c r="CTH37" s="414"/>
      <c r="CTI37" s="414"/>
      <c r="CTJ37" s="414"/>
      <c r="CTK37" s="414"/>
      <c r="CTL37" s="414"/>
      <c r="CTM37" s="414"/>
      <c r="CTN37" s="414"/>
      <c r="CTO37" s="414"/>
      <c r="CTP37" s="414"/>
      <c r="CTQ37" s="414"/>
      <c r="CTR37" s="414"/>
      <c r="CTS37" s="414"/>
      <c r="CTT37" s="414"/>
      <c r="CTU37" s="414"/>
      <c r="CTV37" s="414"/>
      <c r="CTW37" s="414"/>
      <c r="CTX37" s="414"/>
      <c r="CTY37" s="414"/>
      <c r="CTZ37" s="414"/>
      <c r="CUA37" s="414"/>
      <c r="CUB37" s="414"/>
      <c r="CUC37" s="414"/>
      <c r="CUD37" s="414"/>
      <c r="CUE37" s="414"/>
      <c r="CUF37" s="414"/>
      <c r="CUG37" s="414"/>
      <c r="CUH37" s="414"/>
      <c r="CUI37" s="414"/>
      <c r="CUJ37" s="414"/>
      <c r="CUK37" s="414"/>
      <c r="CUL37" s="414"/>
      <c r="CUM37" s="414"/>
      <c r="CUN37" s="414"/>
      <c r="CUO37" s="414"/>
      <c r="CUP37" s="414"/>
      <c r="CUQ37" s="414"/>
      <c r="CUR37" s="414"/>
      <c r="CUS37" s="414"/>
      <c r="CUT37" s="414"/>
      <c r="CUU37" s="414"/>
      <c r="CUV37" s="414"/>
      <c r="CUW37" s="414"/>
      <c r="CUX37" s="414"/>
      <c r="CUY37" s="414"/>
      <c r="CUZ37" s="414"/>
      <c r="CVA37" s="414"/>
      <c r="CVB37" s="414"/>
      <c r="CVC37" s="414"/>
      <c r="CVD37" s="414"/>
      <c r="CVE37" s="414"/>
      <c r="CVF37" s="414"/>
      <c r="CVG37" s="414"/>
      <c r="CVH37" s="414"/>
      <c r="CVI37" s="414"/>
      <c r="CVJ37" s="414"/>
      <c r="CVK37" s="414"/>
      <c r="CVL37" s="414"/>
      <c r="CVM37" s="414"/>
      <c r="CVN37" s="414"/>
      <c r="CVO37" s="414"/>
      <c r="CVP37" s="414"/>
      <c r="CVQ37" s="414"/>
      <c r="CVR37" s="414"/>
      <c r="CVS37" s="414"/>
      <c r="CVT37" s="414"/>
      <c r="CVU37" s="414"/>
      <c r="CVV37" s="414"/>
      <c r="CVW37" s="414"/>
      <c r="CVX37" s="414"/>
      <c r="CVY37" s="414"/>
      <c r="CVZ37" s="414"/>
      <c r="CWA37" s="414"/>
      <c r="CWB37" s="414"/>
      <c r="CWC37" s="414"/>
      <c r="CWD37" s="414"/>
      <c r="CWE37" s="414"/>
      <c r="CWF37" s="414"/>
      <c r="CWG37" s="414"/>
      <c r="CWH37" s="414"/>
      <c r="CWI37" s="414"/>
      <c r="CWJ37" s="414"/>
      <c r="CWK37" s="414"/>
      <c r="CWL37" s="414"/>
      <c r="CWM37" s="414"/>
      <c r="CWN37" s="414"/>
      <c r="CWO37" s="414"/>
      <c r="CWP37" s="414"/>
      <c r="CWQ37" s="414"/>
      <c r="CWR37" s="414"/>
      <c r="CWS37" s="414"/>
      <c r="CWT37" s="414"/>
      <c r="CWU37" s="414"/>
      <c r="CWV37" s="414"/>
      <c r="CWW37" s="414"/>
      <c r="CWX37" s="414"/>
      <c r="CWY37" s="414"/>
      <c r="CWZ37" s="414"/>
      <c r="CXA37" s="414"/>
      <c r="CXB37" s="414"/>
      <c r="CXC37" s="414"/>
      <c r="CXD37" s="414"/>
      <c r="CXE37" s="414"/>
      <c r="CXF37" s="414"/>
      <c r="CXG37" s="414"/>
      <c r="CXH37" s="414"/>
      <c r="CXI37" s="414"/>
      <c r="CXJ37" s="414"/>
      <c r="CXK37" s="414"/>
      <c r="CXL37" s="414"/>
      <c r="CXM37" s="414"/>
      <c r="CXN37" s="414"/>
      <c r="CXO37" s="414"/>
      <c r="CXP37" s="414"/>
      <c r="CXQ37" s="414"/>
      <c r="CXR37" s="414"/>
      <c r="CXS37" s="414"/>
      <c r="CXT37" s="414"/>
      <c r="CXU37" s="414"/>
      <c r="CXV37" s="414"/>
      <c r="CXW37" s="414"/>
      <c r="CXX37" s="414"/>
      <c r="CXY37" s="414"/>
      <c r="CXZ37" s="414"/>
      <c r="CYA37" s="414"/>
      <c r="CYB37" s="414"/>
      <c r="CYC37" s="414"/>
      <c r="CYD37" s="414"/>
      <c r="CYE37" s="414"/>
      <c r="CYF37" s="414"/>
      <c r="CYG37" s="414"/>
      <c r="CYH37" s="414"/>
      <c r="CYI37" s="414"/>
      <c r="CYJ37" s="414"/>
      <c r="CYK37" s="414"/>
      <c r="CYL37" s="414"/>
      <c r="CYM37" s="414"/>
      <c r="CYN37" s="414"/>
      <c r="CYO37" s="414"/>
      <c r="CYP37" s="414"/>
      <c r="CYQ37" s="414"/>
      <c r="CYR37" s="414"/>
      <c r="CYS37" s="414"/>
      <c r="CYT37" s="414"/>
      <c r="CYU37" s="414"/>
      <c r="CYV37" s="414"/>
      <c r="CYW37" s="414"/>
      <c r="CYX37" s="414"/>
      <c r="CYY37" s="414"/>
      <c r="CYZ37" s="414"/>
      <c r="CZA37" s="414"/>
      <c r="CZB37" s="414"/>
      <c r="CZC37" s="414"/>
      <c r="CZD37" s="414"/>
      <c r="CZE37" s="414"/>
      <c r="CZF37" s="414"/>
      <c r="CZG37" s="414"/>
      <c r="CZH37" s="414"/>
      <c r="CZI37" s="414"/>
      <c r="CZJ37" s="414"/>
      <c r="CZK37" s="414"/>
      <c r="CZL37" s="414"/>
      <c r="CZM37" s="414"/>
      <c r="CZN37" s="414"/>
      <c r="CZO37" s="414"/>
      <c r="CZP37" s="414"/>
      <c r="CZQ37" s="414"/>
      <c r="CZR37" s="414"/>
      <c r="CZS37" s="414"/>
      <c r="CZT37" s="414"/>
      <c r="CZU37" s="414"/>
      <c r="CZV37" s="414"/>
      <c r="CZW37" s="414"/>
      <c r="CZX37" s="414"/>
      <c r="CZY37" s="414"/>
      <c r="CZZ37" s="414"/>
      <c r="DAA37" s="414"/>
      <c r="DAB37" s="414"/>
      <c r="DAC37" s="414"/>
      <c r="DAD37" s="414"/>
      <c r="DAE37" s="414"/>
      <c r="DAF37" s="414"/>
      <c r="DAG37" s="414"/>
      <c r="DAH37" s="414"/>
      <c r="DAI37" s="414"/>
      <c r="DAJ37" s="414"/>
      <c r="DAK37" s="414"/>
      <c r="DAL37" s="414"/>
      <c r="DAM37" s="414"/>
      <c r="DAN37" s="414"/>
      <c r="DAO37" s="414"/>
      <c r="DAP37" s="414"/>
      <c r="DAQ37" s="414"/>
      <c r="DAR37" s="414"/>
      <c r="DAS37" s="414"/>
      <c r="DAT37" s="414"/>
      <c r="DAU37" s="414"/>
      <c r="DAV37" s="414"/>
      <c r="DAW37" s="414"/>
      <c r="DAX37" s="414"/>
      <c r="DAY37" s="414"/>
      <c r="DAZ37" s="414"/>
      <c r="DBA37" s="414"/>
      <c r="DBB37" s="414"/>
      <c r="DBC37" s="414"/>
      <c r="DBD37" s="414"/>
      <c r="DBE37" s="414"/>
      <c r="DBF37" s="414"/>
      <c r="DBG37" s="414"/>
      <c r="DBH37" s="414"/>
      <c r="DBI37" s="414"/>
      <c r="DBJ37" s="414"/>
      <c r="DBK37" s="414"/>
      <c r="DBL37" s="414"/>
      <c r="DBM37" s="414"/>
      <c r="DBN37" s="414"/>
      <c r="DBO37" s="414"/>
      <c r="DBP37" s="414"/>
      <c r="DBQ37" s="414"/>
      <c r="DBR37" s="414"/>
      <c r="DBS37" s="414"/>
      <c r="DBT37" s="414"/>
      <c r="DBU37" s="414"/>
      <c r="DBV37" s="414"/>
      <c r="DBW37" s="414"/>
      <c r="DBX37" s="414"/>
      <c r="DBY37" s="414"/>
      <c r="DBZ37" s="414"/>
      <c r="DCA37" s="414"/>
      <c r="DCB37" s="414"/>
      <c r="DCC37" s="414"/>
      <c r="DCD37" s="414"/>
      <c r="DCE37" s="414"/>
      <c r="DCF37" s="414"/>
      <c r="DCG37" s="414"/>
      <c r="DCH37" s="414"/>
      <c r="DCI37" s="414"/>
      <c r="DCJ37" s="414"/>
      <c r="DCK37" s="414"/>
      <c r="DCL37" s="414"/>
      <c r="DCM37" s="414"/>
      <c r="DCN37" s="414"/>
      <c r="DCO37" s="414"/>
      <c r="DCP37" s="414"/>
      <c r="DCQ37" s="414"/>
      <c r="DCR37" s="414"/>
      <c r="DCS37" s="414"/>
      <c r="DCT37" s="414"/>
      <c r="DCU37" s="414"/>
      <c r="DCV37" s="414"/>
      <c r="DCW37" s="414"/>
      <c r="DCX37" s="414"/>
      <c r="DCY37" s="414"/>
      <c r="DCZ37" s="414"/>
      <c r="DDA37" s="414"/>
      <c r="DDB37" s="414"/>
      <c r="DDC37" s="414"/>
      <c r="DDD37" s="414"/>
      <c r="DDE37" s="414"/>
      <c r="DDF37" s="414"/>
      <c r="DDG37" s="414"/>
      <c r="DDH37" s="414"/>
      <c r="DDI37" s="414"/>
      <c r="DDJ37" s="414"/>
      <c r="DDK37" s="414"/>
      <c r="DDL37" s="414"/>
      <c r="DDM37" s="414"/>
      <c r="DDN37" s="414"/>
      <c r="DDO37" s="414"/>
      <c r="DDP37" s="414"/>
      <c r="DDQ37" s="414"/>
      <c r="DDR37" s="414"/>
      <c r="DDS37" s="414"/>
      <c r="DDT37" s="414"/>
      <c r="DDU37" s="414"/>
      <c r="DDV37" s="414"/>
      <c r="DDW37" s="414"/>
      <c r="DDX37" s="414"/>
      <c r="DDY37" s="414"/>
      <c r="DDZ37" s="414"/>
      <c r="DEA37" s="414"/>
      <c r="DEB37" s="414"/>
      <c r="DEC37" s="414"/>
      <c r="DED37" s="414"/>
      <c r="DEE37" s="414"/>
      <c r="DEF37" s="414"/>
      <c r="DEG37" s="414"/>
      <c r="DEH37" s="414"/>
      <c r="DEI37" s="414"/>
      <c r="DEJ37" s="414"/>
      <c r="DEK37" s="414"/>
      <c r="DEL37" s="414"/>
      <c r="DEM37" s="414"/>
      <c r="DEN37" s="414"/>
      <c r="DEO37" s="414"/>
      <c r="DEP37" s="414"/>
      <c r="DEQ37" s="414"/>
      <c r="DER37" s="414"/>
      <c r="DES37" s="414"/>
      <c r="DET37" s="414"/>
      <c r="DEU37" s="414"/>
      <c r="DEV37" s="414"/>
      <c r="DEW37" s="414"/>
      <c r="DEX37" s="414"/>
      <c r="DEY37" s="414"/>
      <c r="DEZ37" s="414"/>
      <c r="DFA37" s="414"/>
      <c r="DFB37" s="414"/>
      <c r="DFC37" s="414"/>
      <c r="DFD37" s="414"/>
      <c r="DFE37" s="414"/>
      <c r="DFF37" s="414"/>
      <c r="DFG37" s="414"/>
      <c r="DFH37" s="414"/>
      <c r="DFI37" s="414"/>
      <c r="DFJ37" s="414"/>
      <c r="DFK37" s="414"/>
      <c r="DFL37" s="414"/>
      <c r="DFM37" s="414"/>
      <c r="DFN37" s="414"/>
      <c r="DFO37" s="414"/>
      <c r="DFP37" s="414"/>
      <c r="DFQ37" s="414"/>
      <c r="DFR37" s="414"/>
      <c r="DFS37" s="414"/>
      <c r="DFT37" s="414"/>
      <c r="DFU37" s="414"/>
      <c r="DFV37" s="414"/>
      <c r="DFW37" s="414"/>
      <c r="DFX37" s="414"/>
      <c r="DFY37" s="414"/>
      <c r="DFZ37" s="414"/>
      <c r="DGA37" s="414"/>
      <c r="DGB37" s="414"/>
      <c r="DGC37" s="414"/>
      <c r="DGD37" s="414"/>
      <c r="DGE37" s="414"/>
      <c r="DGF37" s="414"/>
      <c r="DGG37" s="414"/>
      <c r="DGH37" s="414"/>
      <c r="DGI37" s="414"/>
      <c r="DGJ37" s="414"/>
      <c r="DGK37" s="414"/>
      <c r="DGL37" s="414"/>
      <c r="DGM37" s="414"/>
      <c r="DGN37" s="414"/>
      <c r="DGO37" s="414"/>
      <c r="DGP37" s="414"/>
      <c r="DGQ37" s="414"/>
      <c r="DGR37" s="414"/>
      <c r="DGS37" s="414"/>
      <c r="DGT37" s="414"/>
      <c r="DGU37" s="414"/>
      <c r="DGV37" s="414"/>
      <c r="DGW37" s="414"/>
      <c r="DGX37" s="414"/>
      <c r="DGY37" s="414"/>
      <c r="DGZ37" s="414"/>
      <c r="DHA37" s="414"/>
      <c r="DHB37" s="414"/>
      <c r="DHC37" s="414"/>
      <c r="DHD37" s="414"/>
      <c r="DHE37" s="414"/>
      <c r="DHF37" s="414"/>
      <c r="DHG37" s="414"/>
      <c r="DHH37" s="414"/>
      <c r="DHI37" s="414"/>
      <c r="DHJ37" s="414"/>
      <c r="DHK37" s="414"/>
      <c r="DHL37" s="414"/>
      <c r="DHM37" s="414"/>
      <c r="DHN37" s="414"/>
      <c r="DHO37" s="414"/>
      <c r="DHP37" s="414"/>
      <c r="DHQ37" s="414"/>
      <c r="DHR37" s="414"/>
      <c r="DHS37" s="414"/>
      <c r="DHT37" s="414"/>
      <c r="DHU37" s="414"/>
      <c r="DHV37" s="414"/>
      <c r="DHW37" s="414"/>
      <c r="DHX37" s="414"/>
      <c r="DHY37" s="414"/>
      <c r="DHZ37" s="414"/>
      <c r="DIA37" s="414"/>
      <c r="DIB37" s="414"/>
      <c r="DIC37" s="414"/>
      <c r="DID37" s="414"/>
      <c r="DIE37" s="414"/>
      <c r="DIF37" s="414"/>
      <c r="DIG37" s="414"/>
      <c r="DIH37" s="414"/>
      <c r="DII37" s="414"/>
      <c r="DIJ37" s="414"/>
      <c r="DIK37" s="414"/>
      <c r="DIL37" s="414"/>
      <c r="DIM37" s="414"/>
      <c r="DIN37" s="414"/>
      <c r="DIO37" s="414"/>
      <c r="DIP37" s="414"/>
      <c r="DIQ37" s="414"/>
      <c r="DIR37" s="414"/>
      <c r="DIS37" s="414"/>
      <c r="DIT37" s="414"/>
      <c r="DIU37" s="414"/>
      <c r="DIV37" s="414"/>
      <c r="DIW37" s="414"/>
      <c r="DIX37" s="414"/>
      <c r="DIY37" s="414"/>
      <c r="DIZ37" s="414"/>
      <c r="DJA37" s="414"/>
      <c r="DJB37" s="414"/>
      <c r="DJC37" s="414"/>
      <c r="DJD37" s="414"/>
      <c r="DJE37" s="414"/>
      <c r="DJF37" s="414"/>
      <c r="DJG37" s="414"/>
      <c r="DJH37" s="414"/>
      <c r="DJI37" s="414"/>
      <c r="DJJ37" s="414"/>
      <c r="DJK37" s="414"/>
      <c r="DJL37" s="414"/>
      <c r="DJM37" s="414"/>
      <c r="DJN37" s="414"/>
      <c r="DJO37" s="414"/>
      <c r="DJP37" s="414"/>
      <c r="DJQ37" s="414"/>
      <c r="DJR37" s="414"/>
      <c r="DJS37" s="414"/>
      <c r="DJT37" s="414"/>
      <c r="DJU37" s="414"/>
      <c r="DJV37" s="414"/>
      <c r="DJW37" s="414"/>
      <c r="DJX37" s="414"/>
      <c r="DJY37" s="414"/>
      <c r="DJZ37" s="414"/>
      <c r="DKA37" s="414"/>
      <c r="DKB37" s="414"/>
      <c r="DKC37" s="414"/>
      <c r="DKD37" s="414"/>
      <c r="DKE37" s="414"/>
      <c r="DKF37" s="414"/>
      <c r="DKG37" s="414"/>
      <c r="DKH37" s="414"/>
      <c r="DKI37" s="414"/>
      <c r="DKJ37" s="414"/>
      <c r="DKK37" s="414"/>
      <c r="DKL37" s="414"/>
      <c r="DKM37" s="414"/>
      <c r="DKN37" s="414"/>
      <c r="DKO37" s="414"/>
      <c r="DKP37" s="414"/>
      <c r="DKQ37" s="414"/>
      <c r="DKR37" s="414"/>
      <c r="DKS37" s="414"/>
      <c r="DKT37" s="414"/>
      <c r="DKU37" s="414"/>
      <c r="DKV37" s="414"/>
      <c r="DKW37" s="414"/>
      <c r="DKX37" s="414"/>
      <c r="DKY37" s="414"/>
      <c r="DKZ37" s="414"/>
      <c r="DLA37" s="414"/>
      <c r="DLB37" s="414"/>
      <c r="DLC37" s="414"/>
      <c r="DLD37" s="414"/>
      <c r="DLE37" s="414"/>
      <c r="DLF37" s="414"/>
      <c r="DLG37" s="414"/>
      <c r="DLH37" s="414"/>
      <c r="DLI37" s="414"/>
      <c r="DLJ37" s="414"/>
      <c r="DLK37" s="414"/>
      <c r="DLL37" s="414"/>
      <c r="DLM37" s="414"/>
      <c r="DLN37" s="414"/>
      <c r="DLO37" s="414"/>
      <c r="DLP37" s="414"/>
      <c r="DLQ37" s="414"/>
      <c r="DLR37" s="414"/>
      <c r="DLS37" s="414"/>
      <c r="DLT37" s="414"/>
      <c r="DLU37" s="414"/>
      <c r="DLV37" s="414"/>
      <c r="DLW37" s="414"/>
      <c r="DLX37" s="414"/>
      <c r="DLY37" s="414"/>
      <c r="DLZ37" s="414"/>
      <c r="DMA37" s="414"/>
      <c r="DMB37" s="414"/>
      <c r="DMC37" s="414"/>
      <c r="DMD37" s="414"/>
      <c r="DME37" s="414"/>
      <c r="DMF37" s="414"/>
      <c r="DMG37" s="414"/>
      <c r="DMH37" s="414"/>
      <c r="DMI37" s="414"/>
      <c r="DMJ37" s="414"/>
      <c r="DMK37" s="414"/>
      <c r="DML37" s="414"/>
      <c r="DMM37" s="414"/>
      <c r="DMN37" s="414"/>
      <c r="DMO37" s="414"/>
      <c r="DMP37" s="414"/>
      <c r="DMQ37" s="414"/>
      <c r="DMR37" s="414"/>
      <c r="DMS37" s="414"/>
      <c r="DMT37" s="414"/>
      <c r="DMU37" s="414"/>
      <c r="DMV37" s="414"/>
      <c r="DMW37" s="414"/>
      <c r="DMX37" s="414"/>
      <c r="DMY37" s="414"/>
      <c r="DMZ37" s="414"/>
      <c r="DNA37" s="414"/>
      <c r="DNB37" s="414"/>
      <c r="DNC37" s="414"/>
      <c r="DND37" s="414"/>
      <c r="DNE37" s="414"/>
      <c r="DNF37" s="414"/>
      <c r="DNG37" s="414"/>
      <c r="DNH37" s="414"/>
      <c r="DNI37" s="414"/>
      <c r="DNJ37" s="414"/>
      <c r="DNK37" s="414"/>
      <c r="DNL37" s="414"/>
      <c r="DNM37" s="414"/>
      <c r="DNN37" s="414"/>
      <c r="DNO37" s="414"/>
      <c r="DNP37" s="414"/>
      <c r="DNQ37" s="414"/>
      <c r="DNR37" s="414"/>
      <c r="DNS37" s="414"/>
      <c r="DNT37" s="414"/>
      <c r="DNU37" s="414"/>
      <c r="DNV37" s="414"/>
      <c r="DNW37" s="414"/>
      <c r="DNX37" s="414"/>
      <c r="DNY37" s="414"/>
      <c r="DNZ37" s="414"/>
      <c r="DOA37" s="414"/>
      <c r="DOB37" s="414"/>
      <c r="DOC37" s="414"/>
      <c r="DOD37" s="414"/>
      <c r="DOE37" s="414"/>
      <c r="DOF37" s="414"/>
      <c r="DOG37" s="414"/>
      <c r="DOH37" s="414"/>
      <c r="DOI37" s="414"/>
      <c r="DOJ37" s="414"/>
      <c r="DOK37" s="414"/>
      <c r="DOL37" s="414"/>
      <c r="DOM37" s="414"/>
      <c r="DON37" s="414"/>
      <c r="DOO37" s="414"/>
      <c r="DOP37" s="414"/>
      <c r="DOQ37" s="414"/>
      <c r="DOR37" s="414"/>
      <c r="DOS37" s="414"/>
      <c r="DOT37" s="414"/>
      <c r="DOU37" s="414"/>
      <c r="DOV37" s="414"/>
      <c r="DOW37" s="414"/>
      <c r="DOX37" s="414"/>
      <c r="DOY37" s="414"/>
      <c r="DOZ37" s="414"/>
      <c r="DPA37" s="414"/>
      <c r="DPB37" s="414"/>
      <c r="DPC37" s="414"/>
      <c r="DPD37" s="414"/>
      <c r="DPE37" s="414"/>
      <c r="DPF37" s="414"/>
      <c r="DPG37" s="414"/>
      <c r="DPH37" s="414"/>
      <c r="DPI37" s="414"/>
      <c r="DPJ37" s="414"/>
      <c r="DPK37" s="414"/>
      <c r="DPL37" s="414"/>
      <c r="DPM37" s="414"/>
      <c r="DPN37" s="414"/>
      <c r="DPO37" s="414"/>
      <c r="DPP37" s="414"/>
      <c r="DPQ37" s="414"/>
      <c r="DPR37" s="414"/>
      <c r="DPS37" s="414"/>
      <c r="DPT37" s="414"/>
      <c r="DPU37" s="414"/>
      <c r="DPV37" s="414"/>
      <c r="DPW37" s="414"/>
      <c r="DPX37" s="414"/>
      <c r="DPY37" s="414"/>
      <c r="DPZ37" s="414"/>
      <c r="DQA37" s="414"/>
      <c r="DQB37" s="414"/>
      <c r="DQC37" s="414"/>
      <c r="DQD37" s="414"/>
      <c r="DQE37" s="414"/>
      <c r="DQF37" s="414"/>
      <c r="DQG37" s="414"/>
      <c r="DQH37" s="414"/>
      <c r="DQI37" s="414"/>
      <c r="DQJ37" s="414"/>
      <c r="DQK37" s="414"/>
      <c r="DQL37" s="414"/>
      <c r="DQM37" s="414"/>
      <c r="DQN37" s="414"/>
      <c r="DQO37" s="414"/>
      <c r="DQP37" s="414"/>
      <c r="DQQ37" s="414"/>
      <c r="DQR37" s="414"/>
      <c r="DQS37" s="414"/>
      <c r="DQT37" s="414"/>
      <c r="DQU37" s="414"/>
      <c r="DQV37" s="414"/>
      <c r="DQW37" s="414"/>
      <c r="DQX37" s="414"/>
      <c r="DQY37" s="414"/>
      <c r="DQZ37" s="414"/>
      <c r="DRA37" s="414"/>
      <c r="DRB37" s="414"/>
      <c r="DRC37" s="414"/>
      <c r="DRD37" s="414"/>
      <c r="DRE37" s="414"/>
      <c r="DRF37" s="414"/>
      <c r="DRG37" s="414"/>
      <c r="DRH37" s="414"/>
      <c r="DRI37" s="414"/>
      <c r="DRJ37" s="414"/>
      <c r="DRK37" s="414"/>
      <c r="DRL37" s="414"/>
      <c r="DRM37" s="414"/>
      <c r="DRN37" s="414"/>
      <c r="DRO37" s="414"/>
      <c r="DRP37" s="414"/>
      <c r="DRQ37" s="414"/>
      <c r="DRR37" s="414"/>
      <c r="DRS37" s="414"/>
      <c r="DRT37" s="414"/>
      <c r="DRU37" s="414"/>
      <c r="DRV37" s="414"/>
      <c r="DRW37" s="414"/>
      <c r="DRX37" s="414"/>
      <c r="DRY37" s="414"/>
      <c r="DRZ37" s="414"/>
      <c r="DSA37" s="414"/>
      <c r="DSB37" s="414"/>
      <c r="DSC37" s="414"/>
      <c r="DSD37" s="414"/>
      <c r="DSE37" s="414"/>
      <c r="DSF37" s="414"/>
      <c r="DSG37" s="414"/>
      <c r="DSH37" s="414"/>
      <c r="DSI37" s="414"/>
      <c r="DSJ37" s="414"/>
      <c r="DSK37" s="414"/>
      <c r="DSL37" s="414"/>
      <c r="DSM37" s="414"/>
      <c r="DSN37" s="414"/>
      <c r="DSO37" s="414"/>
      <c r="DSP37" s="414"/>
      <c r="DSQ37" s="414"/>
      <c r="DSR37" s="414"/>
      <c r="DSS37" s="414"/>
      <c r="DST37" s="414"/>
      <c r="DSU37" s="414"/>
      <c r="DSV37" s="414"/>
      <c r="DSW37" s="414"/>
      <c r="DSX37" s="414"/>
      <c r="DSY37" s="414"/>
      <c r="DSZ37" s="414"/>
      <c r="DTA37" s="414"/>
      <c r="DTB37" s="414"/>
      <c r="DTC37" s="414"/>
      <c r="DTD37" s="414"/>
      <c r="DTE37" s="414"/>
      <c r="DTF37" s="414"/>
      <c r="DTG37" s="414"/>
      <c r="DTH37" s="414"/>
      <c r="DTI37" s="414"/>
      <c r="DTJ37" s="414"/>
      <c r="DTK37" s="414"/>
      <c r="DTL37" s="414"/>
      <c r="DTM37" s="414"/>
      <c r="DTN37" s="414"/>
      <c r="DTO37" s="414"/>
      <c r="DTP37" s="414"/>
      <c r="DTQ37" s="414"/>
      <c r="DTR37" s="414"/>
      <c r="DTS37" s="414"/>
      <c r="DTT37" s="414"/>
      <c r="DTU37" s="414"/>
      <c r="DTV37" s="414"/>
      <c r="DTW37" s="414"/>
      <c r="DTX37" s="414"/>
      <c r="DTY37" s="414"/>
      <c r="DTZ37" s="414"/>
      <c r="DUA37" s="414"/>
      <c r="DUB37" s="414"/>
      <c r="DUC37" s="414"/>
      <c r="DUD37" s="414"/>
      <c r="DUE37" s="414"/>
      <c r="DUF37" s="414"/>
      <c r="DUG37" s="414"/>
      <c r="DUH37" s="414"/>
      <c r="DUI37" s="414"/>
      <c r="DUJ37" s="414"/>
      <c r="DUK37" s="414"/>
      <c r="DUL37" s="414"/>
      <c r="DUM37" s="414"/>
      <c r="DUN37" s="414"/>
      <c r="DUO37" s="414"/>
      <c r="DUP37" s="414"/>
      <c r="DUQ37" s="414"/>
      <c r="DUR37" s="414"/>
      <c r="DUS37" s="414"/>
      <c r="DUT37" s="414"/>
      <c r="DUU37" s="414"/>
      <c r="DUV37" s="414"/>
      <c r="DUW37" s="414"/>
      <c r="DUX37" s="414"/>
      <c r="DUY37" s="414"/>
      <c r="DUZ37" s="414"/>
      <c r="DVA37" s="414"/>
      <c r="DVB37" s="414"/>
      <c r="DVC37" s="414"/>
      <c r="DVD37" s="414"/>
      <c r="DVE37" s="414"/>
      <c r="DVF37" s="414"/>
      <c r="DVG37" s="414"/>
      <c r="DVH37" s="414"/>
      <c r="DVI37" s="414"/>
      <c r="DVJ37" s="414"/>
      <c r="DVK37" s="414"/>
      <c r="DVL37" s="414"/>
      <c r="DVM37" s="414"/>
      <c r="DVN37" s="414"/>
      <c r="DVO37" s="414"/>
      <c r="DVP37" s="414"/>
      <c r="DVQ37" s="414"/>
      <c r="DVR37" s="414"/>
      <c r="DVS37" s="414"/>
      <c r="DVT37" s="414"/>
      <c r="DVU37" s="414"/>
      <c r="DVV37" s="414"/>
      <c r="DVW37" s="414"/>
      <c r="DVX37" s="414"/>
      <c r="DVY37" s="414"/>
      <c r="DVZ37" s="414"/>
      <c r="DWA37" s="414"/>
      <c r="DWB37" s="414"/>
      <c r="DWC37" s="414"/>
      <c r="DWD37" s="414"/>
      <c r="DWE37" s="414"/>
      <c r="DWF37" s="414"/>
      <c r="DWG37" s="414"/>
      <c r="DWH37" s="414"/>
      <c r="DWI37" s="414"/>
      <c r="DWJ37" s="414"/>
      <c r="DWK37" s="414"/>
      <c r="DWL37" s="414"/>
      <c r="DWM37" s="414"/>
      <c r="DWN37" s="414"/>
      <c r="DWO37" s="414"/>
      <c r="DWP37" s="414"/>
      <c r="DWQ37" s="414"/>
      <c r="DWR37" s="414"/>
      <c r="DWS37" s="414"/>
      <c r="DWT37" s="414"/>
      <c r="DWU37" s="414"/>
      <c r="DWV37" s="414"/>
      <c r="DWW37" s="414"/>
      <c r="DWX37" s="414"/>
      <c r="DWY37" s="414"/>
      <c r="DWZ37" s="414"/>
      <c r="DXA37" s="414"/>
      <c r="DXB37" s="414"/>
      <c r="DXC37" s="414"/>
      <c r="DXD37" s="414"/>
      <c r="DXE37" s="414"/>
      <c r="DXF37" s="414"/>
      <c r="DXG37" s="414"/>
      <c r="DXH37" s="414"/>
      <c r="DXI37" s="414"/>
      <c r="DXJ37" s="414"/>
      <c r="DXK37" s="414"/>
      <c r="DXL37" s="414"/>
      <c r="DXM37" s="414"/>
      <c r="DXN37" s="414"/>
      <c r="DXO37" s="414"/>
      <c r="DXP37" s="414"/>
      <c r="DXQ37" s="414"/>
      <c r="DXR37" s="414"/>
      <c r="DXS37" s="414"/>
      <c r="DXT37" s="414"/>
      <c r="DXU37" s="414"/>
      <c r="DXV37" s="414"/>
      <c r="DXW37" s="414"/>
      <c r="DXX37" s="414"/>
      <c r="DXY37" s="414"/>
      <c r="DXZ37" s="414"/>
      <c r="DYA37" s="414"/>
      <c r="DYB37" s="414"/>
      <c r="DYC37" s="414"/>
      <c r="DYD37" s="414"/>
      <c r="DYE37" s="414"/>
      <c r="DYF37" s="414"/>
      <c r="DYG37" s="414"/>
      <c r="DYH37" s="414"/>
      <c r="DYI37" s="414"/>
      <c r="DYJ37" s="414"/>
      <c r="DYK37" s="414"/>
      <c r="DYL37" s="414"/>
      <c r="DYM37" s="414"/>
      <c r="DYN37" s="414"/>
      <c r="DYO37" s="414"/>
      <c r="DYP37" s="414"/>
      <c r="DYQ37" s="414"/>
      <c r="DYR37" s="414"/>
      <c r="DYS37" s="414"/>
      <c r="DYT37" s="414"/>
      <c r="DYU37" s="414"/>
      <c r="DYV37" s="414"/>
      <c r="DYW37" s="414"/>
      <c r="DYX37" s="414"/>
      <c r="DYY37" s="414"/>
      <c r="DYZ37" s="414"/>
      <c r="DZA37" s="414"/>
      <c r="DZB37" s="414"/>
      <c r="DZC37" s="414"/>
      <c r="DZD37" s="414"/>
      <c r="DZE37" s="414"/>
      <c r="DZF37" s="414"/>
      <c r="DZG37" s="414"/>
      <c r="DZH37" s="414"/>
      <c r="DZI37" s="414"/>
      <c r="DZJ37" s="414"/>
      <c r="DZK37" s="414"/>
      <c r="DZL37" s="414"/>
      <c r="DZM37" s="414"/>
      <c r="DZN37" s="414"/>
      <c r="DZO37" s="414"/>
      <c r="DZP37" s="414"/>
      <c r="DZQ37" s="414"/>
      <c r="DZR37" s="414"/>
      <c r="DZS37" s="414"/>
      <c r="DZT37" s="414"/>
      <c r="DZU37" s="414"/>
      <c r="DZV37" s="414"/>
      <c r="DZW37" s="414"/>
      <c r="DZX37" s="414"/>
      <c r="DZY37" s="414"/>
      <c r="DZZ37" s="414"/>
      <c r="EAA37" s="414"/>
      <c r="EAB37" s="414"/>
      <c r="EAC37" s="414"/>
      <c r="EAD37" s="414"/>
      <c r="EAE37" s="414"/>
      <c r="EAF37" s="414"/>
      <c r="EAG37" s="414"/>
      <c r="EAH37" s="414"/>
      <c r="EAI37" s="414"/>
      <c r="EAJ37" s="414"/>
      <c r="EAK37" s="414"/>
      <c r="EAL37" s="414"/>
      <c r="EAM37" s="414"/>
      <c r="EAN37" s="414"/>
      <c r="EAO37" s="414"/>
      <c r="EAP37" s="414"/>
      <c r="EAQ37" s="414"/>
      <c r="EAR37" s="414"/>
      <c r="EAS37" s="414"/>
      <c r="EAT37" s="414"/>
      <c r="EAU37" s="414"/>
      <c r="EAV37" s="414"/>
      <c r="EAW37" s="414"/>
      <c r="EAX37" s="414"/>
      <c r="EAY37" s="414"/>
      <c r="EAZ37" s="414"/>
      <c r="EBA37" s="414"/>
      <c r="EBB37" s="414"/>
      <c r="EBC37" s="414"/>
      <c r="EBD37" s="414"/>
      <c r="EBE37" s="414"/>
      <c r="EBF37" s="414"/>
      <c r="EBG37" s="414"/>
      <c r="EBH37" s="414"/>
      <c r="EBI37" s="414"/>
      <c r="EBJ37" s="414"/>
      <c r="EBK37" s="414"/>
      <c r="EBL37" s="414"/>
      <c r="EBM37" s="414"/>
      <c r="EBN37" s="414"/>
      <c r="EBO37" s="414"/>
      <c r="EBP37" s="414"/>
      <c r="EBQ37" s="414"/>
      <c r="EBR37" s="414"/>
      <c r="EBS37" s="414"/>
      <c r="EBT37" s="414"/>
      <c r="EBU37" s="414"/>
      <c r="EBV37" s="414"/>
      <c r="EBW37" s="414"/>
      <c r="EBX37" s="414"/>
      <c r="EBY37" s="414"/>
      <c r="EBZ37" s="414"/>
      <c r="ECA37" s="414"/>
      <c r="ECB37" s="414"/>
      <c r="ECC37" s="414"/>
      <c r="ECD37" s="414"/>
      <c r="ECE37" s="414"/>
      <c r="ECF37" s="414"/>
      <c r="ECG37" s="414"/>
      <c r="ECH37" s="414"/>
      <c r="ECI37" s="414"/>
      <c r="ECJ37" s="414"/>
      <c r="ECK37" s="414"/>
      <c r="ECL37" s="414"/>
      <c r="ECM37" s="414"/>
      <c r="ECN37" s="414"/>
      <c r="ECO37" s="414"/>
      <c r="ECP37" s="414"/>
      <c r="ECQ37" s="414"/>
      <c r="ECR37" s="414"/>
      <c r="ECS37" s="414"/>
      <c r="ECT37" s="414"/>
      <c r="ECU37" s="414"/>
      <c r="ECV37" s="414"/>
      <c r="ECW37" s="414"/>
      <c r="ECX37" s="414"/>
      <c r="ECY37" s="414"/>
      <c r="ECZ37" s="414"/>
      <c r="EDA37" s="414"/>
      <c r="EDB37" s="414"/>
      <c r="EDC37" s="414"/>
      <c r="EDD37" s="414"/>
      <c r="EDE37" s="414"/>
      <c r="EDF37" s="414"/>
      <c r="EDG37" s="414"/>
      <c r="EDH37" s="414"/>
      <c r="EDI37" s="414"/>
      <c r="EDJ37" s="414"/>
      <c r="EDK37" s="414"/>
      <c r="EDL37" s="414"/>
      <c r="EDM37" s="414"/>
      <c r="EDN37" s="414"/>
      <c r="EDO37" s="414"/>
      <c r="EDP37" s="414"/>
      <c r="EDQ37" s="414"/>
      <c r="EDR37" s="414"/>
      <c r="EDS37" s="414"/>
      <c r="EDT37" s="414"/>
      <c r="EDU37" s="414"/>
      <c r="EDV37" s="414"/>
      <c r="EDW37" s="414"/>
      <c r="EDX37" s="414"/>
      <c r="EDY37" s="414"/>
      <c r="EDZ37" s="414"/>
      <c r="EEA37" s="414"/>
      <c r="EEB37" s="414"/>
      <c r="EEC37" s="414"/>
      <c r="EED37" s="414"/>
      <c r="EEE37" s="414"/>
      <c r="EEF37" s="414"/>
      <c r="EEG37" s="414"/>
      <c r="EEH37" s="414"/>
      <c r="EEI37" s="414"/>
      <c r="EEJ37" s="414"/>
      <c r="EEK37" s="414"/>
      <c r="EEL37" s="414"/>
      <c r="EEM37" s="414"/>
      <c r="EEN37" s="414"/>
      <c r="EEO37" s="414"/>
      <c r="EEP37" s="414"/>
      <c r="EEQ37" s="414"/>
      <c r="EER37" s="414"/>
      <c r="EES37" s="414"/>
      <c r="EET37" s="414"/>
      <c r="EEU37" s="414"/>
      <c r="EEV37" s="414"/>
      <c r="EEW37" s="414"/>
      <c r="EEX37" s="414"/>
      <c r="EEY37" s="414"/>
      <c r="EEZ37" s="414"/>
      <c r="EFA37" s="414"/>
      <c r="EFB37" s="414"/>
      <c r="EFC37" s="414"/>
      <c r="EFD37" s="414"/>
      <c r="EFE37" s="414"/>
      <c r="EFF37" s="414"/>
      <c r="EFG37" s="414"/>
      <c r="EFH37" s="414"/>
      <c r="EFI37" s="414"/>
      <c r="EFJ37" s="414"/>
      <c r="EFK37" s="414"/>
      <c r="EFL37" s="414"/>
      <c r="EFM37" s="414"/>
      <c r="EFN37" s="414"/>
      <c r="EFO37" s="414"/>
      <c r="EFP37" s="414"/>
      <c r="EFQ37" s="414"/>
      <c r="EFR37" s="414"/>
      <c r="EFS37" s="414"/>
      <c r="EFT37" s="414"/>
      <c r="EFU37" s="414"/>
      <c r="EFV37" s="414"/>
      <c r="EFW37" s="414"/>
      <c r="EFX37" s="414"/>
      <c r="EFY37" s="414"/>
      <c r="EFZ37" s="414"/>
      <c r="EGA37" s="414"/>
      <c r="EGB37" s="414"/>
      <c r="EGC37" s="414"/>
      <c r="EGD37" s="414"/>
      <c r="EGE37" s="414"/>
      <c r="EGF37" s="414"/>
      <c r="EGG37" s="414"/>
      <c r="EGH37" s="414"/>
      <c r="EGI37" s="414"/>
      <c r="EGJ37" s="414"/>
      <c r="EGK37" s="414"/>
      <c r="EGL37" s="414"/>
      <c r="EGM37" s="414"/>
      <c r="EGN37" s="414"/>
      <c r="EGO37" s="414"/>
      <c r="EGP37" s="414"/>
      <c r="EGQ37" s="414"/>
      <c r="EGR37" s="414"/>
      <c r="EGS37" s="414"/>
      <c r="EGT37" s="414"/>
      <c r="EGU37" s="414"/>
      <c r="EGV37" s="414"/>
      <c r="EGW37" s="414"/>
      <c r="EGX37" s="414"/>
      <c r="EGY37" s="414"/>
      <c r="EGZ37" s="414"/>
      <c r="EHA37" s="414"/>
      <c r="EHB37" s="414"/>
      <c r="EHC37" s="414"/>
      <c r="EHD37" s="414"/>
      <c r="EHE37" s="414"/>
      <c r="EHF37" s="414"/>
      <c r="EHG37" s="414"/>
      <c r="EHH37" s="414"/>
      <c r="EHI37" s="414"/>
      <c r="EHJ37" s="414"/>
      <c r="EHK37" s="414"/>
      <c r="EHL37" s="414"/>
      <c r="EHM37" s="414"/>
      <c r="EHN37" s="414"/>
      <c r="EHO37" s="414"/>
      <c r="EHP37" s="414"/>
      <c r="EHQ37" s="414"/>
      <c r="EHR37" s="414"/>
      <c r="EHS37" s="414"/>
      <c r="EHT37" s="414"/>
      <c r="EHU37" s="414"/>
      <c r="EHV37" s="414"/>
      <c r="EHW37" s="414"/>
      <c r="EHX37" s="414"/>
      <c r="EHY37" s="414"/>
      <c r="EHZ37" s="414"/>
      <c r="EIA37" s="414"/>
      <c r="EIB37" s="414"/>
      <c r="EIC37" s="414"/>
      <c r="EID37" s="414"/>
      <c r="EIE37" s="414"/>
      <c r="EIF37" s="414"/>
      <c r="EIG37" s="414"/>
      <c r="EIH37" s="414"/>
      <c r="EII37" s="414"/>
      <c r="EIJ37" s="414"/>
      <c r="EIK37" s="414"/>
      <c r="EIL37" s="414"/>
      <c r="EIM37" s="414"/>
      <c r="EIN37" s="414"/>
      <c r="EIO37" s="414"/>
      <c r="EIP37" s="414"/>
      <c r="EIQ37" s="414"/>
      <c r="EIR37" s="414"/>
      <c r="EIS37" s="414"/>
      <c r="EIT37" s="414"/>
      <c r="EIU37" s="414"/>
      <c r="EIV37" s="414"/>
      <c r="EIW37" s="414"/>
      <c r="EIX37" s="414"/>
      <c r="EIY37" s="414"/>
      <c r="EIZ37" s="414"/>
      <c r="EJA37" s="414"/>
      <c r="EJB37" s="414"/>
      <c r="EJC37" s="414"/>
      <c r="EJD37" s="414"/>
      <c r="EJE37" s="414"/>
      <c r="EJF37" s="414"/>
      <c r="EJG37" s="414"/>
      <c r="EJH37" s="414"/>
      <c r="EJI37" s="414"/>
      <c r="EJJ37" s="414"/>
      <c r="EJK37" s="414"/>
      <c r="EJL37" s="414"/>
      <c r="EJM37" s="414"/>
      <c r="EJN37" s="414"/>
      <c r="EJO37" s="414"/>
      <c r="EJP37" s="414"/>
      <c r="EJQ37" s="414"/>
      <c r="EJR37" s="414"/>
      <c r="EJS37" s="414"/>
      <c r="EJT37" s="414"/>
      <c r="EJU37" s="414"/>
      <c r="EJV37" s="414"/>
      <c r="EJW37" s="414"/>
      <c r="EJX37" s="414"/>
      <c r="EJY37" s="414"/>
      <c r="EJZ37" s="414"/>
      <c r="EKA37" s="414"/>
      <c r="EKB37" s="414"/>
      <c r="EKC37" s="414"/>
      <c r="EKD37" s="414"/>
      <c r="EKE37" s="414"/>
      <c r="EKF37" s="414"/>
      <c r="EKG37" s="414"/>
      <c r="EKH37" s="414"/>
      <c r="EKI37" s="414"/>
      <c r="EKJ37" s="414"/>
      <c r="EKK37" s="414"/>
      <c r="EKL37" s="414"/>
      <c r="EKM37" s="414"/>
      <c r="EKN37" s="414"/>
      <c r="EKO37" s="414"/>
      <c r="EKP37" s="414"/>
      <c r="EKQ37" s="414"/>
      <c r="EKR37" s="414"/>
      <c r="EKS37" s="414"/>
      <c r="EKT37" s="414"/>
      <c r="EKU37" s="414"/>
      <c r="EKV37" s="414"/>
      <c r="EKW37" s="414"/>
      <c r="EKX37" s="414"/>
      <c r="EKY37" s="414"/>
      <c r="EKZ37" s="414"/>
      <c r="ELA37" s="414"/>
      <c r="ELB37" s="414"/>
      <c r="ELC37" s="414"/>
      <c r="ELD37" s="414"/>
      <c r="ELE37" s="414"/>
      <c r="ELF37" s="414"/>
      <c r="ELG37" s="414"/>
      <c r="ELH37" s="414"/>
      <c r="ELI37" s="414"/>
      <c r="ELJ37" s="414"/>
      <c r="ELK37" s="414"/>
      <c r="ELL37" s="414"/>
      <c r="ELM37" s="414"/>
      <c r="ELN37" s="414"/>
      <c r="ELO37" s="414"/>
      <c r="ELP37" s="414"/>
      <c r="ELQ37" s="414"/>
      <c r="ELR37" s="414"/>
      <c r="ELS37" s="414"/>
      <c r="ELT37" s="414"/>
      <c r="ELU37" s="414"/>
      <c r="ELV37" s="414"/>
      <c r="ELW37" s="414"/>
      <c r="ELX37" s="414"/>
      <c r="ELY37" s="414"/>
      <c r="ELZ37" s="414"/>
      <c r="EMA37" s="414"/>
      <c r="EMB37" s="414"/>
      <c r="EMC37" s="414"/>
      <c r="EMD37" s="414"/>
      <c r="EME37" s="414"/>
      <c r="EMF37" s="414"/>
      <c r="EMG37" s="414"/>
      <c r="EMH37" s="414"/>
      <c r="EMI37" s="414"/>
      <c r="EMJ37" s="414"/>
      <c r="EMK37" s="414"/>
      <c r="EML37" s="414"/>
      <c r="EMM37" s="414"/>
      <c r="EMN37" s="414"/>
      <c r="EMO37" s="414"/>
      <c r="EMP37" s="414"/>
      <c r="EMQ37" s="414"/>
      <c r="EMR37" s="414"/>
      <c r="EMS37" s="414"/>
      <c r="EMT37" s="414"/>
      <c r="EMU37" s="414"/>
      <c r="EMV37" s="414"/>
      <c r="EMW37" s="414"/>
      <c r="EMX37" s="414"/>
      <c r="EMY37" s="414"/>
      <c r="EMZ37" s="414"/>
      <c r="ENA37" s="414"/>
      <c r="ENB37" s="414"/>
      <c r="ENC37" s="414"/>
      <c r="END37" s="414"/>
      <c r="ENE37" s="414"/>
      <c r="ENF37" s="414"/>
      <c r="ENG37" s="414"/>
      <c r="ENH37" s="414"/>
      <c r="ENI37" s="414"/>
      <c r="ENJ37" s="414"/>
      <c r="ENK37" s="414"/>
      <c r="ENL37" s="414"/>
      <c r="ENM37" s="414"/>
      <c r="ENN37" s="414"/>
      <c r="ENO37" s="414"/>
      <c r="ENP37" s="414"/>
      <c r="ENQ37" s="414"/>
      <c r="ENR37" s="414"/>
      <c r="ENS37" s="414"/>
      <c r="ENT37" s="414"/>
      <c r="ENU37" s="414"/>
      <c r="ENV37" s="414"/>
      <c r="ENW37" s="414"/>
      <c r="ENX37" s="414"/>
      <c r="ENY37" s="414"/>
      <c r="ENZ37" s="414"/>
      <c r="EOA37" s="414"/>
      <c r="EOB37" s="414"/>
      <c r="EOC37" s="414"/>
      <c r="EOD37" s="414"/>
      <c r="EOE37" s="414"/>
      <c r="EOF37" s="414"/>
      <c r="EOG37" s="414"/>
      <c r="EOH37" s="414"/>
      <c r="EOI37" s="414"/>
      <c r="EOJ37" s="414"/>
      <c r="EOK37" s="414"/>
      <c r="EOL37" s="414"/>
      <c r="EOM37" s="414"/>
      <c r="EON37" s="414"/>
      <c r="EOO37" s="414"/>
      <c r="EOP37" s="414"/>
      <c r="EOQ37" s="414"/>
      <c r="EOR37" s="414"/>
      <c r="EOS37" s="414"/>
      <c r="EOT37" s="414"/>
      <c r="EOU37" s="414"/>
      <c r="EOV37" s="414"/>
      <c r="EOW37" s="414"/>
      <c r="EOX37" s="414"/>
      <c r="EOY37" s="414"/>
      <c r="EOZ37" s="414"/>
      <c r="EPA37" s="414"/>
      <c r="EPB37" s="414"/>
      <c r="EPC37" s="414"/>
      <c r="EPD37" s="414"/>
      <c r="EPE37" s="414"/>
      <c r="EPF37" s="414"/>
      <c r="EPG37" s="414"/>
      <c r="EPH37" s="414"/>
      <c r="EPI37" s="414"/>
      <c r="EPJ37" s="414"/>
      <c r="EPK37" s="414"/>
      <c r="EPL37" s="414"/>
      <c r="EPM37" s="414"/>
      <c r="EPN37" s="414"/>
      <c r="EPO37" s="414"/>
      <c r="EPP37" s="414"/>
      <c r="EPQ37" s="414"/>
      <c r="EPR37" s="414"/>
      <c r="EPS37" s="414"/>
      <c r="EPT37" s="414"/>
      <c r="EPU37" s="414"/>
      <c r="EPV37" s="414"/>
      <c r="EPW37" s="414"/>
      <c r="EPX37" s="414"/>
      <c r="EPY37" s="414"/>
      <c r="EPZ37" s="414"/>
      <c r="EQA37" s="414"/>
      <c r="EQB37" s="414"/>
      <c r="EQC37" s="414"/>
      <c r="EQD37" s="414"/>
      <c r="EQE37" s="414"/>
      <c r="EQF37" s="414"/>
      <c r="EQG37" s="414"/>
      <c r="EQH37" s="414"/>
      <c r="EQI37" s="414"/>
      <c r="EQJ37" s="414"/>
      <c r="EQK37" s="414"/>
      <c r="EQL37" s="414"/>
      <c r="EQM37" s="414"/>
      <c r="EQN37" s="414"/>
      <c r="EQO37" s="414"/>
      <c r="EQP37" s="414"/>
      <c r="EQQ37" s="414"/>
      <c r="EQR37" s="414"/>
      <c r="EQS37" s="414"/>
      <c r="EQT37" s="414"/>
      <c r="EQU37" s="414"/>
      <c r="EQV37" s="414"/>
      <c r="EQW37" s="414"/>
      <c r="EQX37" s="414"/>
      <c r="EQY37" s="414"/>
      <c r="EQZ37" s="414"/>
      <c r="ERA37" s="414"/>
      <c r="ERB37" s="414"/>
      <c r="ERC37" s="414"/>
      <c r="ERD37" s="414"/>
      <c r="ERE37" s="414"/>
      <c r="ERF37" s="414"/>
      <c r="ERG37" s="414"/>
      <c r="ERH37" s="414"/>
      <c r="ERI37" s="414"/>
      <c r="ERJ37" s="414"/>
      <c r="ERK37" s="414"/>
      <c r="ERL37" s="414"/>
      <c r="ERM37" s="414"/>
      <c r="ERN37" s="414"/>
      <c r="ERO37" s="414"/>
      <c r="ERP37" s="414"/>
      <c r="ERQ37" s="414"/>
      <c r="ERR37" s="414"/>
      <c r="ERS37" s="414"/>
      <c r="ERT37" s="414"/>
      <c r="ERU37" s="414"/>
      <c r="ERV37" s="414"/>
      <c r="ERW37" s="414"/>
      <c r="ERX37" s="414"/>
      <c r="ERY37" s="414"/>
      <c r="ERZ37" s="414"/>
      <c r="ESA37" s="414"/>
      <c r="ESB37" s="414"/>
      <c r="ESC37" s="414"/>
      <c r="ESD37" s="414"/>
      <c r="ESE37" s="414"/>
      <c r="ESF37" s="414"/>
      <c r="ESG37" s="414"/>
      <c r="ESH37" s="414"/>
      <c r="ESI37" s="414"/>
      <c r="ESJ37" s="414"/>
      <c r="ESK37" s="414"/>
      <c r="ESL37" s="414"/>
      <c r="ESM37" s="414"/>
      <c r="ESN37" s="414"/>
      <c r="ESO37" s="414"/>
      <c r="ESP37" s="414"/>
      <c r="ESQ37" s="414"/>
      <c r="ESR37" s="414"/>
      <c r="ESS37" s="414"/>
      <c r="EST37" s="414"/>
      <c r="ESU37" s="414"/>
      <c r="ESV37" s="414"/>
      <c r="ESW37" s="414"/>
      <c r="ESX37" s="414"/>
      <c r="ESY37" s="414"/>
      <c r="ESZ37" s="414"/>
      <c r="ETA37" s="414"/>
      <c r="ETB37" s="414"/>
      <c r="ETC37" s="414"/>
      <c r="ETD37" s="414"/>
      <c r="ETE37" s="414"/>
      <c r="ETF37" s="414"/>
      <c r="ETG37" s="414"/>
      <c r="ETH37" s="414"/>
      <c r="ETI37" s="414"/>
      <c r="ETJ37" s="414"/>
      <c r="ETK37" s="414"/>
      <c r="ETL37" s="414"/>
      <c r="ETM37" s="414"/>
      <c r="ETN37" s="414"/>
      <c r="ETO37" s="414"/>
      <c r="ETP37" s="414"/>
      <c r="ETQ37" s="414"/>
      <c r="ETR37" s="414"/>
      <c r="ETS37" s="414"/>
      <c r="ETT37" s="414"/>
      <c r="ETU37" s="414"/>
      <c r="ETV37" s="414"/>
      <c r="ETW37" s="414"/>
      <c r="ETX37" s="414"/>
      <c r="ETY37" s="414"/>
      <c r="ETZ37" s="414"/>
      <c r="EUA37" s="414"/>
      <c r="EUB37" s="414"/>
      <c r="EUC37" s="414"/>
      <c r="EUD37" s="414"/>
      <c r="EUE37" s="414"/>
      <c r="EUF37" s="414"/>
      <c r="EUG37" s="414"/>
      <c r="EUH37" s="414"/>
      <c r="EUI37" s="414"/>
      <c r="EUJ37" s="414"/>
      <c r="EUK37" s="414"/>
      <c r="EUL37" s="414"/>
      <c r="EUM37" s="414"/>
      <c r="EUN37" s="414"/>
      <c r="EUO37" s="414"/>
      <c r="EUP37" s="414"/>
      <c r="EUQ37" s="414"/>
      <c r="EUR37" s="414"/>
      <c r="EUS37" s="414"/>
      <c r="EUT37" s="414"/>
      <c r="EUU37" s="414"/>
      <c r="EUV37" s="414"/>
      <c r="EUW37" s="414"/>
      <c r="EUX37" s="414"/>
      <c r="EUY37" s="414"/>
      <c r="EUZ37" s="414"/>
      <c r="EVA37" s="414"/>
      <c r="EVB37" s="414"/>
      <c r="EVC37" s="414"/>
      <c r="EVD37" s="414"/>
      <c r="EVE37" s="414"/>
      <c r="EVF37" s="414"/>
      <c r="EVG37" s="414"/>
      <c r="EVH37" s="414"/>
      <c r="EVI37" s="414"/>
      <c r="EVJ37" s="414"/>
      <c r="EVK37" s="414"/>
      <c r="EVL37" s="414"/>
      <c r="EVM37" s="414"/>
      <c r="EVN37" s="414"/>
      <c r="EVO37" s="414"/>
      <c r="EVP37" s="414"/>
      <c r="EVQ37" s="414"/>
      <c r="EVR37" s="414"/>
      <c r="EVS37" s="414"/>
      <c r="EVT37" s="414"/>
      <c r="EVU37" s="414"/>
      <c r="EVV37" s="414"/>
      <c r="EVW37" s="414"/>
      <c r="EVX37" s="414"/>
      <c r="EVY37" s="414"/>
      <c r="EVZ37" s="414"/>
      <c r="EWA37" s="414"/>
      <c r="EWB37" s="414"/>
      <c r="EWC37" s="414"/>
      <c r="EWD37" s="414"/>
      <c r="EWE37" s="414"/>
      <c r="EWF37" s="414"/>
      <c r="EWG37" s="414"/>
      <c r="EWH37" s="414"/>
      <c r="EWI37" s="414"/>
      <c r="EWJ37" s="414"/>
      <c r="EWK37" s="414"/>
      <c r="EWL37" s="414"/>
      <c r="EWM37" s="414"/>
      <c r="EWN37" s="414"/>
      <c r="EWO37" s="414"/>
      <c r="EWP37" s="414"/>
      <c r="EWQ37" s="414"/>
      <c r="EWR37" s="414"/>
      <c r="EWS37" s="414"/>
      <c r="EWT37" s="414"/>
      <c r="EWU37" s="414"/>
      <c r="EWV37" s="414"/>
      <c r="EWW37" s="414"/>
      <c r="EWX37" s="414"/>
      <c r="EWY37" s="414"/>
      <c r="EWZ37" s="414"/>
      <c r="EXA37" s="414"/>
      <c r="EXB37" s="414"/>
      <c r="EXC37" s="414"/>
      <c r="EXD37" s="414"/>
      <c r="EXE37" s="414"/>
      <c r="EXF37" s="414"/>
      <c r="EXG37" s="414"/>
      <c r="EXH37" s="414"/>
      <c r="EXI37" s="414"/>
      <c r="EXJ37" s="414"/>
      <c r="EXK37" s="414"/>
      <c r="EXL37" s="414"/>
      <c r="EXM37" s="414"/>
      <c r="EXN37" s="414"/>
      <c r="EXO37" s="414"/>
      <c r="EXP37" s="414"/>
      <c r="EXQ37" s="414"/>
      <c r="EXR37" s="414"/>
      <c r="EXS37" s="414"/>
      <c r="EXT37" s="414"/>
      <c r="EXU37" s="414"/>
      <c r="EXV37" s="414"/>
      <c r="EXW37" s="414"/>
      <c r="EXX37" s="414"/>
      <c r="EXY37" s="414"/>
      <c r="EXZ37" s="414"/>
      <c r="EYA37" s="414"/>
      <c r="EYB37" s="414"/>
      <c r="EYC37" s="414"/>
      <c r="EYD37" s="414"/>
      <c r="EYE37" s="414"/>
      <c r="EYF37" s="414"/>
      <c r="EYG37" s="414"/>
      <c r="EYH37" s="414"/>
      <c r="EYI37" s="414"/>
      <c r="EYJ37" s="414"/>
      <c r="EYK37" s="414"/>
      <c r="EYL37" s="414"/>
      <c r="EYM37" s="414"/>
      <c r="EYN37" s="414"/>
      <c r="EYO37" s="414"/>
      <c r="EYP37" s="414"/>
      <c r="EYQ37" s="414"/>
      <c r="EYR37" s="414"/>
      <c r="EYS37" s="414"/>
      <c r="EYT37" s="414"/>
      <c r="EYU37" s="414"/>
      <c r="EYV37" s="414"/>
      <c r="EYW37" s="414"/>
      <c r="EYX37" s="414"/>
      <c r="EYY37" s="414"/>
      <c r="EYZ37" s="414"/>
      <c r="EZA37" s="414"/>
      <c r="EZB37" s="414"/>
      <c r="EZC37" s="414"/>
      <c r="EZD37" s="414"/>
      <c r="EZE37" s="414"/>
      <c r="EZF37" s="414"/>
      <c r="EZG37" s="414"/>
      <c r="EZH37" s="414"/>
      <c r="EZI37" s="414"/>
      <c r="EZJ37" s="414"/>
      <c r="EZK37" s="414"/>
      <c r="EZL37" s="414"/>
      <c r="EZM37" s="414"/>
      <c r="EZN37" s="414"/>
      <c r="EZO37" s="414"/>
      <c r="EZP37" s="414"/>
      <c r="EZQ37" s="414"/>
      <c r="EZR37" s="414"/>
      <c r="EZS37" s="414"/>
      <c r="EZT37" s="414"/>
      <c r="EZU37" s="414"/>
      <c r="EZV37" s="414"/>
      <c r="EZW37" s="414"/>
      <c r="EZX37" s="414"/>
      <c r="EZY37" s="414"/>
      <c r="EZZ37" s="414"/>
      <c r="FAA37" s="414"/>
      <c r="FAB37" s="414"/>
      <c r="FAC37" s="414"/>
      <c r="FAD37" s="414"/>
      <c r="FAE37" s="414"/>
      <c r="FAF37" s="414"/>
      <c r="FAG37" s="414"/>
      <c r="FAH37" s="414"/>
      <c r="FAI37" s="414"/>
      <c r="FAJ37" s="414"/>
      <c r="FAK37" s="414"/>
      <c r="FAL37" s="414"/>
      <c r="FAM37" s="414"/>
      <c r="FAN37" s="414"/>
      <c r="FAO37" s="414"/>
      <c r="FAP37" s="414"/>
      <c r="FAQ37" s="414"/>
      <c r="FAR37" s="414"/>
      <c r="FAS37" s="414"/>
      <c r="FAT37" s="414"/>
      <c r="FAU37" s="414"/>
      <c r="FAV37" s="414"/>
      <c r="FAW37" s="414"/>
      <c r="FAX37" s="414"/>
      <c r="FAY37" s="414"/>
      <c r="FAZ37" s="414"/>
      <c r="FBA37" s="414"/>
      <c r="FBB37" s="414"/>
      <c r="FBC37" s="414"/>
      <c r="FBD37" s="414"/>
      <c r="FBE37" s="414"/>
      <c r="FBF37" s="414"/>
      <c r="FBG37" s="414"/>
      <c r="FBH37" s="414"/>
      <c r="FBI37" s="414"/>
      <c r="FBJ37" s="414"/>
      <c r="FBK37" s="414"/>
      <c r="FBL37" s="414"/>
      <c r="FBM37" s="414"/>
      <c r="FBN37" s="414"/>
      <c r="FBO37" s="414"/>
      <c r="FBP37" s="414"/>
      <c r="FBQ37" s="414"/>
      <c r="FBR37" s="414"/>
      <c r="FBS37" s="414"/>
      <c r="FBT37" s="414"/>
      <c r="FBU37" s="414"/>
      <c r="FBV37" s="414"/>
      <c r="FBW37" s="414"/>
      <c r="FBX37" s="414"/>
      <c r="FBY37" s="414"/>
      <c r="FBZ37" s="414"/>
      <c r="FCA37" s="414"/>
      <c r="FCB37" s="414"/>
      <c r="FCC37" s="414"/>
      <c r="FCD37" s="414"/>
      <c r="FCE37" s="414"/>
      <c r="FCF37" s="414"/>
      <c r="FCG37" s="414"/>
      <c r="FCH37" s="414"/>
      <c r="FCI37" s="414"/>
      <c r="FCJ37" s="414"/>
      <c r="FCK37" s="414"/>
      <c r="FCL37" s="414"/>
      <c r="FCM37" s="414"/>
      <c r="FCN37" s="414"/>
      <c r="FCO37" s="414"/>
      <c r="FCP37" s="414"/>
      <c r="FCQ37" s="414"/>
      <c r="FCR37" s="414"/>
      <c r="FCS37" s="414"/>
      <c r="FCT37" s="414"/>
      <c r="FCU37" s="414"/>
      <c r="FCV37" s="414"/>
      <c r="FCW37" s="414"/>
      <c r="FCX37" s="414"/>
      <c r="FCY37" s="414"/>
      <c r="FCZ37" s="414"/>
      <c r="FDA37" s="414"/>
      <c r="FDB37" s="414"/>
      <c r="FDC37" s="414"/>
      <c r="FDD37" s="414"/>
      <c r="FDE37" s="414"/>
      <c r="FDF37" s="414"/>
      <c r="FDG37" s="414"/>
      <c r="FDH37" s="414"/>
      <c r="FDI37" s="414"/>
      <c r="FDJ37" s="414"/>
      <c r="FDK37" s="414"/>
      <c r="FDL37" s="414"/>
      <c r="FDM37" s="414"/>
      <c r="FDN37" s="414"/>
      <c r="FDO37" s="414"/>
      <c r="FDP37" s="414"/>
      <c r="FDQ37" s="414"/>
      <c r="FDR37" s="414"/>
      <c r="FDS37" s="414"/>
      <c r="FDT37" s="414"/>
      <c r="FDU37" s="414"/>
      <c r="FDV37" s="414"/>
      <c r="FDW37" s="414"/>
      <c r="FDX37" s="414"/>
      <c r="FDY37" s="414"/>
      <c r="FDZ37" s="414"/>
      <c r="FEA37" s="414"/>
      <c r="FEB37" s="414"/>
      <c r="FEC37" s="414"/>
      <c r="FED37" s="414"/>
      <c r="FEE37" s="414"/>
      <c r="FEF37" s="414"/>
      <c r="FEG37" s="414"/>
      <c r="FEH37" s="414"/>
      <c r="FEI37" s="414"/>
      <c r="FEJ37" s="414"/>
      <c r="FEK37" s="414"/>
      <c r="FEL37" s="414"/>
      <c r="FEM37" s="414"/>
      <c r="FEN37" s="414"/>
      <c r="FEO37" s="414"/>
      <c r="FEP37" s="414"/>
      <c r="FEQ37" s="414"/>
      <c r="FER37" s="414"/>
      <c r="FES37" s="414"/>
      <c r="FET37" s="414"/>
      <c r="FEU37" s="414"/>
      <c r="FEV37" s="414"/>
      <c r="FEW37" s="414"/>
      <c r="FEX37" s="414"/>
      <c r="FEY37" s="414"/>
      <c r="FEZ37" s="414"/>
      <c r="FFA37" s="414"/>
      <c r="FFB37" s="414"/>
      <c r="FFC37" s="414"/>
      <c r="FFD37" s="414"/>
      <c r="FFE37" s="414"/>
      <c r="FFF37" s="414"/>
      <c r="FFG37" s="414"/>
      <c r="FFH37" s="414"/>
      <c r="FFI37" s="414"/>
      <c r="FFJ37" s="414"/>
      <c r="FFK37" s="414"/>
      <c r="FFL37" s="414"/>
      <c r="FFM37" s="414"/>
      <c r="FFN37" s="414"/>
      <c r="FFO37" s="414"/>
      <c r="FFP37" s="414"/>
      <c r="FFQ37" s="414"/>
      <c r="FFR37" s="414"/>
      <c r="FFS37" s="414"/>
      <c r="FFT37" s="414"/>
      <c r="FFU37" s="414"/>
      <c r="FFV37" s="414"/>
      <c r="FFW37" s="414"/>
      <c r="FFX37" s="414"/>
      <c r="FFY37" s="414"/>
      <c r="FFZ37" s="414"/>
      <c r="FGA37" s="414"/>
      <c r="FGB37" s="414"/>
      <c r="FGC37" s="414"/>
      <c r="FGD37" s="414"/>
      <c r="FGE37" s="414"/>
      <c r="FGF37" s="414"/>
      <c r="FGG37" s="414"/>
      <c r="FGH37" s="414"/>
      <c r="FGI37" s="414"/>
      <c r="FGJ37" s="414"/>
      <c r="FGK37" s="414"/>
      <c r="FGL37" s="414"/>
      <c r="FGM37" s="414"/>
      <c r="FGN37" s="414"/>
      <c r="FGO37" s="414"/>
      <c r="FGP37" s="414"/>
      <c r="FGQ37" s="414"/>
      <c r="FGR37" s="414"/>
      <c r="FGS37" s="414"/>
      <c r="FGT37" s="414"/>
      <c r="FGU37" s="414"/>
      <c r="FGV37" s="414"/>
      <c r="FGW37" s="414"/>
      <c r="FGX37" s="414"/>
      <c r="FGY37" s="414"/>
      <c r="FGZ37" s="414"/>
      <c r="FHA37" s="414"/>
      <c r="FHB37" s="414"/>
      <c r="FHC37" s="414"/>
      <c r="FHD37" s="414"/>
      <c r="FHE37" s="414"/>
      <c r="FHF37" s="414"/>
      <c r="FHG37" s="414"/>
      <c r="FHH37" s="414"/>
      <c r="FHI37" s="414"/>
      <c r="FHJ37" s="414"/>
      <c r="FHK37" s="414"/>
      <c r="FHL37" s="414"/>
      <c r="FHM37" s="414"/>
      <c r="FHN37" s="414"/>
      <c r="FHO37" s="414"/>
      <c r="FHP37" s="414"/>
      <c r="FHQ37" s="414"/>
      <c r="FHR37" s="414"/>
      <c r="FHS37" s="414"/>
      <c r="FHT37" s="414"/>
      <c r="FHU37" s="414"/>
      <c r="FHV37" s="414"/>
      <c r="FHW37" s="414"/>
      <c r="FHX37" s="414"/>
      <c r="FHY37" s="414"/>
      <c r="FHZ37" s="414"/>
      <c r="FIA37" s="414"/>
      <c r="FIB37" s="414"/>
      <c r="FIC37" s="414"/>
      <c r="FID37" s="414"/>
      <c r="FIE37" s="414"/>
      <c r="FIF37" s="414"/>
      <c r="FIG37" s="414"/>
      <c r="FIH37" s="414"/>
      <c r="FII37" s="414"/>
      <c r="FIJ37" s="414"/>
      <c r="FIK37" s="414"/>
      <c r="FIL37" s="414"/>
      <c r="FIM37" s="414"/>
      <c r="FIN37" s="414"/>
      <c r="FIO37" s="414"/>
      <c r="FIP37" s="414"/>
      <c r="FIQ37" s="414"/>
      <c r="FIR37" s="414"/>
      <c r="FIS37" s="414"/>
      <c r="FIT37" s="414"/>
      <c r="FIU37" s="414"/>
      <c r="FIV37" s="414"/>
      <c r="FIW37" s="414"/>
      <c r="FIX37" s="414"/>
      <c r="FIY37" s="414"/>
      <c r="FIZ37" s="414"/>
      <c r="FJA37" s="414"/>
      <c r="FJB37" s="414"/>
      <c r="FJC37" s="414"/>
      <c r="FJD37" s="414"/>
      <c r="FJE37" s="414"/>
      <c r="FJF37" s="414"/>
      <c r="FJG37" s="414"/>
      <c r="FJH37" s="414"/>
      <c r="FJI37" s="414"/>
      <c r="FJJ37" s="414"/>
      <c r="FJK37" s="414"/>
      <c r="FJL37" s="414"/>
      <c r="FJM37" s="414"/>
      <c r="FJN37" s="414"/>
      <c r="FJO37" s="414"/>
      <c r="FJP37" s="414"/>
      <c r="FJQ37" s="414"/>
      <c r="FJR37" s="414"/>
      <c r="FJS37" s="414"/>
      <c r="FJT37" s="414"/>
      <c r="FJU37" s="414"/>
      <c r="FJV37" s="414"/>
      <c r="FJW37" s="414"/>
      <c r="FJX37" s="414"/>
      <c r="FJY37" s="414"/>
      <c r="FJZ37" s="414"/>
      <c r="FKA37" s="414"/>
      <c r="FKB37" s="414"/>
      <c r="FKC37" s="414"/>
      <c r="FKD37" s="414"/>
      <c r="FKE37" s="414"/>
      <c r="FKF37" s="414"/>
      <c r="FKG37" s="414"/>
      <c r="FKH37" s="414"/>
      <c r="FKI37" s="414"/>
      <c r="FKJ37" s="414"/>
      <c r="FKK37" s="414"/>
      <c r="FKL37" s="414"/>
      <c r="FKM37" s="414"/>
      <c r="FKN37" s="414"/>
      <c r="FKO37" s="414"/>
      <c r="FKP37" s="414"/>
      <c r="FKQ37" s="414"/>
      <c r="FKR37" s="414"/>
      <c r="FKS37" s="414"/>
      <c r="FKT37" s="414"/>
      <c r="FKU37" s="414"/>
      <c r="FKV37" s="414"/>
      <c r="FKW37" s="414"/>
      <c r="FKX37" s="414"/>
      <c r="FKY37" s="414"/>
      <c r="FKZ37" s="414"/>
      <c r="FLA37" s="414"/>
      <c r="FLB37" s="414"/>
      <c r="FLC37" s="414"/>
      <c r="FLD37" s="414"/>
      <c r="FLE37" s="414"/>
      <c r="FLF37" s="414"/>
      <c r="FLG37" s="414"/>
      <c r="FLH37" s="414"/>
      <c r="FLI37" s="414"/>
      <c r="FLJ37" s="414"/>
      <c r="FLK37" s="414"/>
      <c r="FLL37" s="414"/>
      <c r="FLM37" s="414"/>
      <c r="FLN37" s="414"/>
      <c r="FLO37" s="414"/>
      <c r="FLP37" s="414"/>
      <c r="FLQ37" s="414"/>
      <c r="FLR37" s="414"/>
      <c r="FLS37" s="414"/>
      <c r="FLT37" s="414"/>
      <c r="FLU37" s="414"/>
      <c r="FLV37" s="414"/>
      <c r="FLW37" s="414"/>
      <c r="FLX37" s="414"/>
      <c r="FLY37" s="414"/>
      <c r="FLZ37" s="414"/>
      <c r="FMA37" s="414"/>
      <c r="FMB37" s="414"/>
      <c r="FMC37" s="414"/>
      <c r="FMD37" s="414"/>
      <c r="FME37" s="414"/>
      <c r="FMF37" s="414"/>
      <c r="FMG37" s="414"/>
      <c r="FMH37" s="414"/>
      <c r="FMI37" s="414"/>
      <c r="FMJ37" s="414"/>
      <c r="FMK37" s="414"/>
      <c r="FML37" s="414"/>
      <c r="FMM37" s="414"/>
      <c r="FMN37" s="414"/>
      <c r="FMO37" s="414"/>
      <c r="FMP37" s="414"/>
      <c r="FMQ37" s="414"/>
      <c r="FMR37" s="414"/>
      <c r="FMS37" s="414"/>
      <c r="FMT37" s="414"/>
      <c r="FMU37" s="414"/>
      <c r="FMV37" s="414"/>
      <c r="FMW37" s="414"/>
      <c r="FMX37" s="414"/>
      <c r="FMY37" s="414"/>
      <c r="FMZ37" s="414"/>
      <c r="FNA37" s="414"/>
      <c r="FNB37" s="414"/>
      <c r="FNC37" s="414"/>
      <c r="FND37" s="414"/>
      <c r="FNE37" s="414"/>
      <c r="FNF37" s="414"/>
      <c r="FNG37" s="414"/>
      <c r="FNH37" s="414"/>
      <c r="FNI37" s="414"/>
      <c r="FNJ37" s="414"/>
      <c r="FNK37" s="414"/>
      <c r="FNL37" s="414"/>
      <c r="FNM37" s="414"/>
      <c r="FNN37" s="414"/>
      <c r="FNO37" s="414"/>
      <c r="FNP37" s="414"/>
      <c r="FNQ37" s="414"/>
      <c r="FNR37" s="414"/>
      <c r="FNS37" s="414"/>
      <c r="FNT37" s="414"/>
      <c r="FNU37" s="414"/>
      <c r="FNV37" s="414"/>
      <c r="FNW37" s="414"/>
      <c r="FNX37" s="414"/>
      <c r="FNY37" s="414"/>
      <c r="FNZ37" s="414"/>
      <c r="FOA37" s="414"/>
      <c r="FOB37" s="414"/>
      <c r="FOC37" s="414"/>
      <c r="FOD37" s="414"/>
      <c r="FOE37" s="414"/>
      <c r="FOF37" s="414"/>
      <c r="FOG37" s="414"/>
      <c r="FOH37" s="414"/>
      <c r="FOI37" s="414"/>
      <c r="FOJ37" s="414"/>
      <c r="FOK37" s="414"/>
      <c r="FOL37" s="414"/>
      <c r="FOM37" s="414"/>
      <c r="FON37" s="414"/>
      <c r="FOO37" s="414"/>
      <c r="FOP37" s="414"/>
      <c r="FOQ37" s="414"/>
      <c r="FOR37" s="414"/>
      <c r="FOS37" s="414"/>
      <c r="FOT37" s="414"/>
      <c r="FOU37" s="414"/>
      <c r="FOV37" s="414"/>
      <c r="FOW37" s="414"/>
      <c r="FOX37" s="414"/>
      <c r="FOY37" s="414"/>
      <c r="FOZ37" s="414"/>
      <c r="FPA37" s="414"/>
      <c r="FPB37" s="414"/>
      <c r="FPC37" s="414"/>
      <c r="FPD37" s="414"/>
      <c r="FPE37" s="414"/>
      <c r="FPF37" s="414"/>
      <c r="FPG37" s="414"/>
      <c r="FPH37" s="414"/>
      <c r="FPI37" s="414"/>
      <c r="FPJ37" s="414"/>
      <c r="FPK37" s="414"/>
      <c r="FPL37" s="414"/>
      <c r="FPM37" s="414"/>
      <c r="FPN37" s="414"/>
      <c r="FPO37" s="414"/>
      <c r="FPP37" s="414"/>
      <c r="FPQ37" s="414"/>
      <c r="FPR37" s="414"/>
      <c r="FPS37" s="414"/>
      <c r="FPT37" s="414"/>
      <c r="FPU37" s="414"/>
      <c r="FPV37" s="414"/>
      <c r="FPW37" s="414"/>
      <c r="FPX37" s="414"/>
      <c r="FPY37" s="414"/>
      <c r="FPZ37" s="414"/>
      <c r="FQA37" s="414"/>
      <c r="FQB37" s="414"/>
      <c r="FQC37" s="414"/>
      <c r="FQD37" s="414"/>
      <c r="FQE37" s="414"/>
      <c r="FQF37" s="414"/>
      <c r="FQG37" s="414"/>
      <c r="FQH37" s="414"/>
      <c r="FQI37" s="414"/>
      <c r="FQJ37" s="414"/>
      <c r="FQK37" s="414"/>
      <c r="FQL37" s="414"/>
      <c r="FQM37" s="414"/>
      <c r="FQN37" s="414"/>
      <c r="FQO37" s="414"/>
      <c r="FQP37" s="414"/>
      <c r="FQQ37" s="414"/>
      <c r="FQR37" s="414"/>
      <c r="FQS37" s="414"/>
      <c r="FQT37" s="414"/>
      <c r="FQU37" s="414"/>
      <c r="FQV37" s="414"/>
      <c r="FQW37" s="414"/>
      <c r="FQX37" s="414"/>
      <c r="FQY37" s="414"/>
      <c r="FQZ37" s="414"/>
      <c r="FRA37" s="414"/>
      <c r="FRB37" s="414"/>
      <c r="FRC37" s="414"/>
      <c r="FRD37" s="414"/>
      <c r="FRE37" s="414"/>
      <c r="FRF37" s="414"/>
      <c r="FRG37" s="414"/>
      <c r="FRH37" s="414"/>
      <c r="FRI37" s="414"/>
      <c r="FRJ37" s="414"/>
      <c r="FRK37" s="414"/>
      <c r="FRL37" s="414"/>
      <c r="FRM37" s="414"/>
      <c r="FRN37" s="414"/>
      <c r="FRO37" s="414"/>
      <c r="FRP37" s="414"/>
      <c r="FRQ37" s="414"/>
      <c r="FRR37" s="414"/>
      <c r="FRS37" s="414"/>
      <c r="FRT37" s="414"/>
      <c r="FRU37" s="414"/>
      <c r="FRV37" s="414"/>
      <c r="FRW37" s="414"/>
      <c r="FRX37" s="414"/>
      <c r="FRY37" s="414"/>
      <c r="FRZ37" s="414"/>
      <c r="FSA37" s="414"/>
      <c r="FSB37" s="414"/>
      <c r="FSC37" s="414"/>
      <c r="FSD37" s="414"/>
      <c r="FSE37" s="414"/>
      <c r="FSF37" s="414"/>
      <c r="FSG37" s="414"/>
      <c r="FSH37" s="414"/>
      <c r="FSI37" s="414"/>
      <c r="FSJ37" s="414"/>
      <c r="FSK37" s="414"/>
      <c r="FSL37" s="414"/>
      <c r="FSM37" s="414"/>
      <c r="FSN37" s="414"/>
      <c r="FSO37" s="414"/>
      <c r="FSP37" s="414"/>
      <c r="FSQ37" s="414"/>
      <c r="FSR37" s="414"/>
      <c r="FSS37" s="414"/>
      <c r="FST37" s="414"/>
      <c r="FSU37" s="414"/>
      <c r="FSV37" s="414"/>
      <c r="FSW37" s="414"/>
      <c r="FSX37" s="414"/>
      <c r="FSY37" s="414"/>
      <c r="FSZ37" s="414"/>
      <c r="FTA37" s="414"/>
      <c r="FTB37" s="414"/>
      <c r="FTC37" s="414"/>
      <c r="FTD37" s="414"/>
      <c r="FTE37" s="414"/>
      <c r="FTF37" s="414"/>
      <c r="FTG37" s="414"/>
      <c r="FTH37" s="414"/>
      <c r="FTI37" s="414"/>
      <c r="FTJ37" s="414"/>
      <c r="FTK37" s="414"/>
      <c r="FTL37" s="414"/>
      <c r="FTM37" s="414"/>
      <c r="FTN37" s="414"/>
      <c r="FTO37" s="414"/>
      <c r="FTP37" s="414"/>
      <c r="FTQ37" s="414"/>
      <c r="FTR37" s="414"/>
      <c r="FTS37" s="414"/>
      <c r="FTT37" s="414"/>
      <c r="FTU37" s="414"/>
      <c r="FTV37" s="414"/>
      <c r="FTW37" s="414"/>
      <c r="FTX37" s="414"/>
      <c r="FTY37" s="414"/>
      <c r="FTZ37" s="414"/>
      <c r="FUA37" s="414"/>
      <c r="FUB37" s="414"/>
      <c r="FUC37" s="414"/>
      <c r="FUD37" s="414"/>
      <c r="FUE37" s="414"/>
      <c r="FUF37" s="414"/>
      <c r="FUG37" s="414"/>
      <c r="FUH37" s="414"/>
      <c r="FUI37" s="414"/>
      <c r="FUJ37" s="414"/>
      <c r="FUK37" s="414"/>
      <c r="FUL37" s="414"/>
      <c r="FUM37" s="414"/>
      <c r="FUN37" s="414"/>
      <c r="FUO37" s="414"/>
      <c r="FUP37" s="414"/>
      <c r="FUQ37" s="414"/>
      <c r="FUR37" s="414"/>
      <c r="FUS37" s="414"/>
      <c r="FUT37" s="414"/>
      <c r="FUU37" s="414"/>
      <c r="FUV37" s="414"/>
      <c r="FUW37" s="414"/>
      <c r="FUX37" s="414"/>
      <c r="FUY37" s="414"/>
      <c r="FUZ37" s="414"/>
      <c r="FVA37" s="414"/>
      <c r="FVB37" s="414"/>
      <c r="FVC37" s="414"/>
      <c r="FVD37" s="414"/>
      <c r="FVE37" s="414"/>
      <c r="FVF37" s="414"/>
      <c r="FVG37" s="414"/>
      <c r="FVH37" s="414"/>
      <c r="FVI37" s="414"/>
      <c r="FVJ37" s="414"/>
      <c r="FVK37" s="414"/>
      <c r="FVL37" s="414"/>
      <c r="FVM37" s="414"/>
      <c r="FVN37" s="414"/>
      <c r="FVO37" s="414"/>
      <c r="FVP37" s="414"/>
      <c r="FVQ37" s="414"/>
      <c r="FVR37" s="414"/>
      <c r="FVS37" s="414"/>
      <c r="FVT37" s="414"/>
      <c r="FVU37" s="414"/>
      <c r="FVV37" s="414"/>
      <c r="FVW37" s="414"/>
      <c r="FVX37" s="414"/>
      <c r="FVY37" s="414"/>
      <c r="FVZ37" s="414"/>
      <c r="FWA37" s="414"/>
      <c r="FWB37" s="414"/>
      <c r="FWC37" s="414"/>
      <c r="FWD37" s="414"/>
      <c r="FWE37" s="414"/>
      <c r="FWF37" s="414"/>
      <c r="FWG37" s="414"/>
      <c r="FWH37" s="414"/>
      <c r="FWI37" s="414"/>
      <c r="FWJ37" s="414"/>
      <c r="FWK37" s="414"/>
      <c r="FWL37" s="414"/>
      <c r="FWM37" s="414"/>
      <c r="FWN37" s="414"/>
      <c r="FWO37" s="414"/>
      <c r="FWP37" s="414"/>
      <c r="FWQ37" s="414"/>
      <c r="FWR37" s="414"/>
      <c r="FWS37" s="414"/>
      <c r="FWT37" s="414"/>
      <c r="FWU37" s="414"/>
      <c r="FWV37" s="414"/>
      <c r="FWW37" s="414"/>
      <c r="FWX37" s="414"/>
      <c r="FWY37" s="414"/>
      <c r="FWZ37" s="414"/>
      <c r="FXA37" s="414"/>
      <c r="FXB37" s="414"/>
      <c r="FXC37" s="414"/>
      <c r="FXD37" s="414"/>
      <c r="FXE37" s="414"/>
      <c r="FXF37" s="414"/>
      <c r="FXG37" s="414"/>
      <c r="FXH37" s="414"/>
      <c r="FXI37" s="414"/>
      <c r="FXJ37" s="414"/>
      <c r="FXK37" s="414"/>
      <c r="FXL37" s="414"/>
      <c r="FXM37" s="414"/>
      <c r="FXN37" s="414"/>
      <c r="FXO37" s="414"/>
      <c r="FXP37" s="414"/>
      <c r="FXQ37" s="414"/>
      <c r="FXR37" s="414"/>
      <c r="FXS37" s="414"/>
      <c r="FXT37" s="414"/>
      <c r="FXU37" s="414"/>
      <c r="FXV37" s="414"/>
      <c r="FXW37" s="414"/>
      <c r="FXX37" s="414"/>
      <c r="FXY37" s="414"/>
      <c r="FXZ37" s="414"/>
      <c r="FYA37" s="414"/>
      <c r="FYB37" s="414"/>
      <c r="FYC37" s="414"/>
      <c r="FYD37" s="414"/>
      <c r="FYE37" s="414"/>
      <c r="FYF37" s="414"/>
      <c r="FYG37" s="414"/>
      <c r="FYH37" s="414"/>
      <c r="FYI37" s="414"/>
      <c r="FYJ37" s="414"/>
      <c r="FYK37" s="414"/>
      <c r="FYL37" s="414"/>
      <c r="FYM37" s="414"/>
      <c r="FYN37" s="414"/>
      <c r="FYO37" s="414"/>
      <c r="FYP37" s="414"/>
      <c r="FYQ37" s="414"/>
      <c r="FYR37" s="414"/>
      <c r="FYS37" s="414"/>
      <c r="FYT37" s="414"/>
      <c r="FYU37" s="414"/>
      <c r="FYV37" s="414"/>
      <c r="FYW37" s="414"/>
      <c r="FYX37" s="414"/>
      <c r="FYY37" s="414"/>
      <c r="FYZ37" s="414"/>
      <c r="FZA37" s="414"/>
      <c r="FZB37" s="414"/>
      <c r="FZC37" s="414"/>
      <c r="FZD37" s="414"/>
      <c r="FZE37" s="414"/>
      <c r="FZF37" s="414"/>
      <c r="FZG37" s="414"/>
      <c r="FZH37" s="414"/>
      <c r="FZI37" s="414"/>
      <c r="FZJ37" s="414"/>
      <c r="FZK37" s="414"/>
      <c r="FZL37" s="414"/>
      <c r="FZM37" s="414"/>
      <c r="FZN37" s="414"/>
      <c r="FZO37" s="414"/>
      <c r="FZP37" s="414"/>
      <c r="FZQ37" s="414"/>
      <c r="FZR37" s="414"/>
      <c r="FZS37" s="414"/>
      <c r="FZT37" s="414"/>
      <c r="FZU37" s="414"/>
      <c r="FZV37" s="414"/>
      <c r="FZW37" s="414"/>
      <c r="FZX37" s="414"/>
      <c r="FZY37" s="414"/>
      <c r="FZZ37" s="414"/>
      <c r="GAA37" s="414"/>
      <c r="GAB37" s="414"/>
      <c r="GAC37" s="414"/>
      <c r="GAD37" s="414"/>
      <c r="GAE37" s="414"/>
      <c r="GAF37" s="414"/>
      <c r="GAG37" s="414"/>
      <c r="GAH37" s="414"/>
      <c r="GAI37" s="414"/>
      <c r="GAJ37" s="414"/>
      <c r="GAK37" s="414"/>
      <c r="GAL37" s="414"/>
      <c r="GAM37" s="414"/>
      <c r="GAN37" s="414"/>
      <c r="GAO37" s="414"/>
      <c r="GAP37" s="414"/>
      <c r="GAQ37" s="414"/>
      <c r="GAR37" s="414"/>
      <c r="GAS37" s="414"/>
      <c r="GAT37" s="414"/>
      <c r="GAU37" s="414"/>
      <c r="GAV37" s="414"/>
      <c r="GAW37" s="414"/>
      <c r="GAX37" s="414"/>
      <c r="GAY37" s="414"/>
      <c r="GAZ37" s="414"/>
      <c r="GBA37" s="414"/>
      <c r="GBB37" s="414"/>
      <c r="GBC37" s="414"/>
      <c r="GBD37" s="414"/>
      <c r="GBE37" s="414"/>
      <c r="GBF37" s="414"/>
      <c r="GBG37" s="414"/>
      <c r="GBH37" s="414"/>
      <c r="GBI37" s="414"/>
      <c r="GBJ37" s="414"/>
      <c r="GBK37" s="414"/>
      <c r="GBL37" s="414"/>
      <c r="GBM37" s="414"/>
      <c r="GBN37" s="414"/>
      <c r="GBO37" s="414"/>
      <c r="GBP37" s="414"/>
      <c r="GBQ37" s="414"/>
      <c r="GBR37" s="414"/>
      <c r="GBS37" s="414"/>
      <c r="GBT37" s="414"/>
      <c r="GBU37" s="414"/>
      <c r="GBV37" s="414"/>
      <c r="GBW37" s="414"/>
      <c r="GBX37" s="414"/>
      <c r="GBY37" s="414"/>
      <c r="GBZ37" s="414"/>
      <c r="GCA37" s="414"/>
      <c r="GCB37" s="414"/>
      <c r="GCC37" s="414"/>
      <c r="GCD37" s="414"/>
      <c r="GCE37" s="414"/>
      <c r="GCF37" s="414"/>
      <c r="GCG37" s="414"/>
      <c r="GCH37" s="414"/>
      <c r="GCI37" s="414"/>
      <c r="GCJ37" s="414"/>
      <c r="GCK37" s="414"/>
      <c r="GCL37" s="414"/>
      <c r="GCM37" s="414"/>
      <c r="GCN37" s="414"/>
      <c r="GCO37" s="414"/>
      <c r="GCP37" s="414"/>
      <c r="GCQ37" s="414"/>
      <c r="GCR37" s="414"/>
      <c r="GCS37" s="414"/>
      <c r="GCT37" s="414"/>
      <c r="GCU37" s="414"/>
      <c r="GCV37" s="414"/>
      <c r="GCW37" s="414"/>
      <c r="GCX37" s="414"/>
      <c r="GCY37" s="414"/>
      <c r="GCZ37" s="414"/>
      <c r="GDA37" s="414"/>
      <c r="GDB37" s="414"/>
      <c r="GDC37" s="414"/>
      <c r="GDD37" s="414"/>
      <c r="GDE37" s="414"/>
      <c r="GDF37" s="414"/>
      <c r="GDG37" s="414"/>
      <c r="GDH37" s="414"/>
      <c r="GDI37" s="414"/>
      <c r="GDJ37" s="414"/>
      <c r="GDK37" s="414"/>
      <c r="GDL37" s="414"/>
      <c r="GDM37" s="414"/>
      <c r="GDN37" s="414"/>
      <c r="GDO37" s="414"/>
      <c r="GDP37" s="414"/>
      <c r="GDQ37" s="414"/>
      <c r="GDR37" s="414"/>
      <c r="GDS37" s="414"/>
      <c r="GDT37" s="414"/>
      <c r="GDU37" s="414"/>
      <c r="GDV37" s="414"/>
      <c r="GDW37" s="414"/>
      <c r="GDX37" s="414"/>
      <c r="GDY37" s="414"/>
      <c r="GDZ37" s="414"/>
      <c r="GEA37" s="414"/>
      <c r="GEB37" s="414"/>
      <c r="GEC37" s="414"/>
      <c r="GED37" s="414"/>
      <c r="GEE37" s="414"/>
      <c r="GEF37" s="414"/>
      <c r="GEG37" s="414"/>
      <c r="GEH37" s="414"/>
      <c r="GEI37" s="414"/>
      <c r="GEJ37" s="414"/>
      <c r="GEK37" s="414"/>
      <c r="GEL37" s="414"/>
      <c r="GEM37" s="414"/>
      <c r="GEN37" s="414"/>
      <c r="GEO37" s="414"/>
      <c r="GEP37" s="414"/>
      <c r="GEQ37" s="414"/>
      <c r="GER37" s="414"/>
      <c r="GES37" s="414"/>
      <c r="GET37" s="414"/>
      <c r="GEU37" s="414"/>
      <c r="GEV37" s="414"/>
      <c r="GEW37" s="414"/>
      <c r="GEX37" s="414"/>
      <c r="GEY37" s="414"/>
      <c r="GEZ37" s="414"/>
      <c r="GFA37" s="414"/>
      <c r="GFB37" s="414"/>
      <c r="GFC37" s="414"/>
      <c r="GFD37" s="414"/>
      <c r="GFE37" s="414"/>
      <c r="GFF37" s="414"/>
      <c r="GFG37" s="414"/>
      <c r="GFH37" s="414"/>
      <c r="GFI37" s="414"/>
      <c r="GFJ37" s="414"/>
      <c r="GFK37" s="414"/>
      <c r="GFL37" s="414"/>
      <c r="GFM37" s="414"/>
      <c r="GFN37" s="414"/>
      <c r="GFO37" s="414"/>
      <c r="GFP37" s="414"/>
      <c r="GFQ37" s="414"/>
      <c r="GFR37" s="414"/>
      <c r="GFS37" s="414"/>
      <c r="GFT37" s="414"/>
      <c r="GFU37" s="414"/>
      <c r="GFV37" s="414"/>
      <c r="GFW37" s="414"/>
      <c r="GFX37" s="414"/>
      <c r="GFY37" s="414"/>
      <c r="GFZ37" s="414"/>
      <c r="GGA37" s="414"/>
      <c r="GGB37" s="414"/>
      <c r="GGC37" s="414"/>
      <c r="GGD37" s="414"/>
      <c r="GGE37" s="414"/>
      <c r="GGF37" s="414"/>
      <c r="GGG37" s="414"/>
      <c r="GGH37" s="414"/>
      <c r="GGI37" s="414"/>
      <c r="GGJ37" s="414"/>
      <c r="GGK37" s="414"/>
      <c r="GGL37" s="414"/>
      <c r="GGM37" s="414"/>
      <c r="GGN37" s="414"/>
      <c r="GGO37" s="414"/>
      <c r="GGP37" s="414"/>
      <c r="GGQ37" s="414"/>
      <c r="GGR37" s="414"/>
      <c r="GGS37" s="414"/>
      <c r="GGT37" s="414"/>
      <c r="GGU37" s="414"/>
      <c r="GGV37" s="414"/>
      <c r="GGW37" s="414"/>
      <c r="GGX37" s="414"/>
      <c r="GGY37" s="414"/>
      <c r="GGZ37" s="414"/>
      <c r="GHA37" s="414"/>
      <c r="GHB37" s="414"/>
      <c r="GHC37" s="414"/>
      <c r="GHD37" s="414"/>
      <c r="GHE37" s="414"/>
      <c r="GHF37" s="414"/>
      <c r="GHG37" s="414"/>
      <c r="GHH37" s="414"/>
      <c r="GHI37" s="414"/>
      <c r="GHJ37" s="414"/>
      <c r="GHK37" s="414"/>
      <c r="GHL37" s="414"/>
      <c r="GHM37" s="414"/>
      <c r="GHN37" s="414"/>
      <c r="GHO37" s="414"/>
      <c r="GHP37" s="414"/>
      <c r="GHQ37" s="414"/>
      <c r="GHR37" s="414"/>
      <c r="GHS37" s="414"/>
      <c r="GHT37" s="414"/>
      <c r="GHU37" s="414"/>
      <c r="GHV37" s="414"/>
      <c r="GHW37" s="414"/>
      <c r="GHX37" s="414"/>
      <c r="GHY37" s="414"/>
      <c r="GHZ37" s="414"/>
      <c r="GIA37" s="414"/>
      <c r="GIB37" s="414"/>
      <c r="GIC37" s="414"/>
      <c r="GID37" s="414"/>
      <c r="GIE37" s="414"/>
      <c r="GIF37" s="414"/>
      <c r="GIG37" s="414"/>
      <c r="GIH37" s="414"/>
      <c r="GII37" s="414"/>
      <c r="GIJ37" s="414"/>
      <c r="GIK37" s="414"/>
      <c r="GIL37" s="414"/>
      <c r="GIM37" s="414"/>
      <c r="GIN37" s="414"/>
      <c r="GIO37" s="414"/>
      <c r="GIP37" s="414"/>
      <c r="GIQ37" s="414"/>
      <c r="GIR37" s="414"/>
      <c r="GIS37" s="414"/>
      <c r="GIT37" s="414"/>
      <c r="GIU37" s="414"/>
      <c r="GIV37" s="414"/>
      <c r="GIW37" s="414"/>
      <c r="GIX37" s="414"/>
      <c r="GIY37" s="414"/>
      <c r="GIZ37" s="414"/>
      <c r="GJA37" s="414"/>
      <c r="GJB37" s="414"/>
      <c r="GJC37" s="414"/>
      <c r="GJD37" s="414"/>
      <c r="GJE37" s="414"/>
      <c r="GJF37" s="414"/>
      <c r="GJG37" s="414"/>
      <c r="GJH37" s="414"/>
      <c r="GJI37" s="414"/>
      <c r="GJJ37" s="414"/>
      <c r="GJK37" s="414"/>
      <c r="GJL37" s="414"/>
      <c r="GJM37" s="414"/>
      <c r="GJN37" s="414"/>
      <c r="GJO37" s="414"/>
      <c r="GJP37" s="414"/>
      <c r="GJQ37" s="414"/>
      <c r="GJR37" s="414"/>
      <c r="GJS37" s="414"/>
      <c r="GJT37" s="414"/>
      <c r="GJU37" s="414"/>
      <c r="GJV37" s="414"/>
      <c r="GJW37" s="414"/>
      <c r="GJX37" s="414"/>
      <c r="GJY37" s="414"/>
      <c r="GJZ37" s="414"/>
      <c r="GKA37" s="414"/>
      <c r="GKB37" s="414"/>
      <c r="GKC37" s="414"/>
      <c r="GKD37" s="414"/>
      <c r="GKE37" s="414"/>
      <c r="GKF37" s="414"/>
      <c r="GKG37" s="414"/>
      <c r="GKH37" s="414"/>
      <c r="GKI37" s="414"/>
      <c r="GKJ37" s="414"/>
      <c r="GKK37" s="414"/>
      <c r="GKL37" s="414"/>
      <c r="GKM37" s="414"/>
      <c r="GKN37" s="414"/>
      <c r="GKO37" s="414"/>
      <c r="GKP37" s="414"/>
      <c r="GKQ37" s="414"/>
      <c r="GKR37" s="414"/>
      <c r="GKS37" s="414"/>
      <c r="GKT37" s="414"/>
      <c r="GKU37" s="414"/>
      <c r="GKV37" s="414"/>
      <c r="GKW37" s="414"/>
      <c r="GKX37" s="414"/>
      <c r="GKY37" s="414"/>
      <c r="GKZ37" s="414"/>
      <c r="GLA37" s="414"/>
      <c r="GLB37" s="414"/>
      <c r="GLC37" s="414"/>
      <c r="GLD37" s="414"/>
      <c r="GLE37" s="414"/>
      <c r="GLF37" s="414"/>
      <c r="GLG37" s="414"/>
      <c r="GLH37" s="414"/>
      <c r="GLI37" s="414"/>
      <c r="GLJ37" s="414"/>
      <c r="GLK37" s="414"/>
      <c r="GLL37" s="414"/>
      <c r="GLM37" s="414"/>
      <c r="GLN37" s="414"/>
      <c r="GLO37" s="414"/>
      <c r="GLP37" s="414"/>
      <c r="GLQ37" s="414"/>
      <c r="GLR37" s="414"/>
      <c r="GLS37" s="414"/>
      <c r="GLT37" s="414"/>
      <c r="GLU37" s="414"/>
      <c r="GLV37" s="414"/>
      <c r="GLW37" s="414"/>
      <c r="GLX37" s="414"/>
      <c r="GLY37" s="414"/>
      <c r="GLZ37" s="414"/>
      <c r="GMA37" s="414"/>
      <c r="GMB37" s="414"/>
      <c r="GMC37" s="414"/>
      <c r="GMD37" s="414"/>
      <c r="GME37" s="414"/>
      <c r="GMF37" s="414"/>
      <c r="GMG37" s="414"/>
      <c r="GMH37" s="414"/>
      <c r="GMI37" s="414"/>
      <c r="GMJ37" s="414"/>
      <c r="GMK37" s="414"/>
      <c r="GML37" s="414"/>
      <c r="GMM37" s="414"/>
      <c r="GMN37" s="414"/>
      <c r="GMO37" s="414"/>
      <c r="GMP37" s="414"/>
      <c r="GMQ37" s="414"/>
      <c r="GMR37" s="414"/>
      <c r="GMS37" s="414"/>
      <c r="GMT37" s="414"/>
      <c r="GMU37" s="414"/>
      <c r="GMV37" s="414"/>
      <c r="GMW37" s="414"/>
      <c r="GMX37" s="414"/>
      <c r="GMY37" s="414"/>
      <c r="GMZ37" s="414"/>
      <c r="GNA37" s="414"/>
      <c r="GNB37" s="414"/>
      <c r="GNC37" s="414"/>
      <c r="GND37" s="414"/>
      <c r="GNE37" s="414"/>
      <c r="GNF37" s="414"/>
      <c r="GNG37" s="414"/>
      <c r="GNH37" s="414"/>
      <c r="GNI37" s="414"/>
      <c r="GNJ37" s="414"/>
      <c r="GNK37" s="414"/>
      <c r="GNL37" s="414"/>
      <c r="GNM37" s="414"/>
      <c r="GNN37" s="414"/>
      <c r="GNO37" s="414"/>
      <c r="GNP37" s="414"/>
      <c r="GNQ37" s="414"/>
      <c r="GNR37" s="414"/>
      <c r="GNS37" s="414"/>
      <c r="GNT37" s="414"/>
      <c r="GNU37" s="414"/>
      <c r="GNV37" s="414"/>
      <c r="GNW37" s="414"/>
      <c r="GNX37" s="414"/>
      <c r="GNY37" s="414"/>
      <c r="GNZ37" s="414"/>
      <c r="GOA37" s="414"/>
      <c r="GOB37" s="414"/>
      <c r="GOC37" s="414"/>
      <c r="GOD37" s="414"/>
      <c r="GOE37" s="414"/>
      <c r="GOF37" s="414"/>
      <c r="GOG37" s="414"/>
      <c r="GOH37" s="414"/>
      <c r="GOI37" s="414"/>
      <c r="GOJ37" s="414"/>
      <c r="GOK37" s="414"/>
      <c r="GOL37" s="414"/>
      <c r="GOM37" s="414"/>
      <c r="GON37" s="414"/>
      <c r="GOO37" s="414"/>
      <c r="GOP37" s="414"/>
      <c r="GOQ37" s="414"/>
      <c r="GOR37" s="414"/>
      <c r="GOS37" s="414"/>
      <c r="GOT37" s="414"/>
      <c r="GOU37" s="414"/>
      <c r="GOV37" s="414"/>
      <c r="GOW37" s="414"/>
      <c r="GOX37" s="414"/>
      <c r="GOY37" s="414"/>
      <c r="GOZ37" s="414"/>
      <c r="GPA37" s="414"/>
      <c r="GPB37" s="414"/>
      <c r="GPC37" s="414"/>
      <c r="GPD37" s="414"/>
      <c r="GPE37" s="414"/>
      <c r="GPF37" s="414"/>
      <c r="GPG37" s="414"/>
      <c r="GPH37" s="414"/>
      <c r="GPI37" s="414"/>
      <c r="GPJ37" s="414"/>
      <c r="GPK37" s="414"/>
      <c r="GPL37" s="414"/>
      <c r="GPM37" s="414"/>
      <c r="GPN37" s="414"/>
      <c r="GPO37" s="414"/>
      <c r="GPP37" s="414"/>
      <c r="GPQ37" s="414"/>
      <c r="GPR37" s="414"/>
      <c r="GPS37" s="414"/>
      <c r="GPT37" s="414"/>
      <c r="GPU37" s="414"/>
      <c r="GPV37" s="414"/>
      <c r="GPW37" s="414"/>
      <c r="GPX37" s="414"/>
      <c r="GPY37" s="414"/>
      <c r="GPZ37" s="414"/>
      <c r="GQA37" s="414"/>
      <c r="GQB37" s="414"/>
      <c r="GQC37" s="414"/>
      <c r="GQD37" s="414"/>
      <c r="GQE37" s="414"/>
      <c r="GQF37" s="414"/>
      <c r="GQG37" s="414"/>
      <c r="GQH37" s="414"/>
      <c r="GQI37" s="414"/>
      <c r="GQJ37" s="414"/>
      <c r="GQK37" s="414"/>
      <c r="GQL37" s="414"/>
      <c r="GQM37" s="414"/>
      <c r="GQN37" s="414"/>
      <c r="GQO37" s="414"/>
      <c r="GQP37" s="414"/>
      <c r="GQQ37" s="414"/>
      <c r="GQR37" s="414"/>
      <c r="GQS37" s="414"/>
      <c r="GQT37" s="414"/>
      <c r="GQU37" s="414"/>
      <c r="GQV37" s="414"/>
      <c r="GQW37" s="414"/>
      <c r="GQX37" s="414"/>
      <c r="GQY37" s="414"/>
      <c r="GQZ37" s="414"/>
      <c r="GRA37" s="414"/>
      <c r="GRB37" s="414"/>
      <c r="GRC37" s="414"/>
      <c r="GRD37" s="414"/>
      <c r="GRE37" s="414"/>
      <c r="GRF37" s="414"/>
      <c r="GRG37" s="414"/>
      <c r="GRH37" s="414"/>
      <c r="GRI37" s="414"/>
      <c r="GRJ37" s="414"/>
      <c r="GRK37" s="414"/>
      <c r="GRL37" s="414"/>
      <c r="GRM37" s="414"/>
      <c r="GRN37" s="414"/>
      <c r="GRO37" s="414"/>
      <c r="GRP37" s="414"/>
      <c r="GRQ37" s="414"/>
      <c r="GRR37" s="414"/>
      <c r="GRS37" s="414"/>
      <c r="GRT37" s="414"/>
      <c r="GRU37" s="414"/>
      <c r="GRV37" s="414"/>
      <c r="GRW37" s="414"/>
      <c r="GRX37" s="414"/>
      <c r="GRY37" s="414"/>
      <c r="GRZ37" s="414"/>
      <c r="GSA37" s="414"/>
      <c r="GSB37" s="414"/>
      <c r="GSC37" s="414"/>
      <c r="GSD37" s="414"/>
      <c r="GSE37" s="414"/>
      <c r="GSF37" s="414"/>
      <c r="GSG37" s="414"/>
      <c r="GSH37" s="414"/>
      <c r="GSI37" s="414"/>
      <c r="GSJ37" s="414"/>
      <c r="GSK37" s="414"/>
      <c r="GSL37" s="414"/>
      <c r="GSM37" s="414"/>
      <c r="GSN37" s="414"/>
      <c r="GSO37" s="414"/>
      <c r="GSP37" s="414"/>
      <c r="GSQ37" s="414"/>
      <c r="GSR37" s="414"/>
      <c r="GSS37" s="414"/>
      <c r="GST37" s="414"/>
      <c r="GSU37" s="414"/>
      <c r="GSV37" s="414"/>
      <c r="GSW37" s="414"/>
      <c r="GSX37" s="414"/>
      <c r="GSY37" s="414"/>
      <c r="GSZ37" s="414"/>
      <c r="GTA37" s="414"/>
      <c r="GTB37" s="414"/>
      <c r="GTC37" s="414"/>
      <c r="GTD37" s="414"/>
      <c r="GTE37" s="414"/>
      <c r="GTF37" s="414"/>
      <c r="GTG37" s="414"/>
      <c r="GTH37" s="414"/>
      <c r="GTI37" s="414"/>
      <c r="GTJ37" s="414"/>
      <c r="GTK37" s="414"/>
      <c r="GTL37" s="414"/>
      <c r="GTM37" s="414"/>
      <c r="GTN37" s="414"/>
      <c r="GTO37" s="414"/>
      <c r="GTP37" s="414"/>
      <c r="GTQ37" s="414"/>
      <c r="GTR37" s="414"/>
      <c r="GTS37" s="414"/>
      <c r="GTT37" s="414"/>
      <c r="GTU37" s="414"/>
      <c r="GTV37" s="414"/>
      <c r="GTW37" s="414"/>
      <c r="GTX37" s="414"/>
      <c r="GTY37" s="414"/>
      <c r="GTZ37" s="414"/>
      <c r="GUA37" s="414"/>
      <c r="GUB37" s="414"/>
      <c r="GUC37" s="414"/>
      <c r="GUD37" s="414"/>
      <c r="GUE37" s="414"/>
      <c r="GUF37" s="414"/>
      <c r="GUG37" s="414"/>
      <c r="GUH37" s="414"/>
      <c r="GUI37" s="414"/>
      <c r="GUJ37" s="414"/>
      <c r="GUK37" s="414"/>
      <c r="GUL37" s="414"/>
      <c r="GUM37" s="414"/>
      <c r="GUN37" s="414"/>
      <c r="GUO37" s="414"/>
      <c r="GUP37" s="414"/>
      <c r="GUQ37" s="414"/>
      <c r="GUR37" s="414"/>
      <c r="GUS37" s="414"/>
      <c r="GUT37" s="414"/>
      <c r="GUU37" s="414"/>
      <c r="GUV37" s="414"/>
      <c r="GUW37" s="414"/>
      <c r="GUX37" s="414"/>
      <c r="GUY37" s="414"/>
      <c r="GUZ37" s="414"/>
      <c r="GVA37" s="414"/>
      <c r="GVB37" s="414"/>
      <c r="GVC37" s="414"/>
      <c r="GVD37" s="414"/>
      <c r="GVE37" s="414"/>
      <c r="GVF37" s="414"/>
      <c r="GVG37" s="414"/>
      <c r="GVH37" s="414"/>
      <c r="GVI37" s="414"/>
      <c r="GVJ37" s="414"/>
      <c r="GVK37" s="414"/>
      <c r="GVL37" s="414"/>
      <c r="GVM37" s="414"/>
      <c r="GVN37" s="414"/>
      <c r="GVO37" s="414"/>
      <c r="GVP37" s="414"/>
      <c r="GVQ37" s="414"/>
      <c r="GVR37" s="414"/>
      <c r="GVS37" s="414"/>
      <c r="GVT37" s="414"/>
      <c r="GVU37" s="414"/>
      <c r="GVV37" s="414"/>
      <c r="GVW37" s="414"/>
      <c r="GVX37" s="414"/>
      <c r="GVY37" s="414"/>
      <c r="GVZ37" s="414"/>
      <c r="GWA37" s="414"/>
      <c r="GWB37" s="414"/>
      <c r="GWC37" s="414"/>
      <c r="GWD37" s="414"/>
      <c r="GWE37" s="414"/>
      <c r="GWF37" s="414"/>
      <c r="GWG37" s="414"/>
      <c r="GWH37" s="414"/>
      <c r="GWI37" s="414"/>
      <c r="GWJ37" s="414"/>
      <c r="GWK37" s="414"/>
      <c r="GWL37" s="414"/>
      <c r="GWM37" s="414"/>
      <c r="GWN37" s="414"/>
      <c r="GWO37" s="414"/>
      <c r="GWP37" s="414"/>
      <c r="GWQ37" s="414"/>
      <c r="GWR37" s="414"/>
      <c r="GWS37" s="414"/>
      <c r="GWT37" s="414"/>
      <c r="GWU37" s="414"/>
      <c r="GWV37" s="414"/>
      <c r="GWW37" s="414"/>
      <c r="GWX37" s="414"/>
      <c r="GWY37" s="414"/>
      <c r="GWZ37" s="414"/>
      <c r="GXA37" s="414"/>
      <c r="GXB37" s="414"/>
      <c r="GXC37" s="414"/>
      <c r="GXD37" s="414"/>
      <c r="GXE37" s="414"/>
      <c r="GXF37" s="414"/>
      <c r="GXG37" s="414"/>
      <c r="GXH37" s="414"/>
      <c r="GXI37" s="414"/>
      <c r="GXJ37" s="414"/>
      <c r="GXK37" s="414"/>
      <c r="GXL37" s="414"/>
      <c r="GXM37" s="414"/>
      <c r="GXN37" s="414"/>
      <c r="GXO37" s="414"/>
      <c r="GXP37" s="414"/>
      <c r="GXQ37" s="414"/>
      <c r="GXR37" s="414"/>
      <c r="GXS37" s="414"/>
      <c r="GXT37" s="414"/>
      <c r="GXU37" s="414"/>
      <c r="GXV37" s="414"/>
      <c r="GXW37" s="414"/>
      <c r="GXX37" s="414"/>
      <c r="GXY37" s="414"/>
      <c r="GXZ37" s="414"/>
      <c r="GYA37" s="414"/>
      <c r="GYB37" s="414"/>
      <c r="GYC37" s="414"/>
      <c r="GYD37" s="414"/>
      <c r="GYE37" s="414"/>
      <c r="GYF37" s="414"/>
      <c r="GYG37" s="414"/>
      <c r="GYH37" s="414"/>
      <c r="GYI37" s="414"/>
      <c r="GYJ37" s="414"/>
      <c r="GYK37" s="414"/>
      <c r="GYL37" s="414"/>
      <c r="GYM37" s="414"/>
      <c r="GYN37" s="414"/>
      <c r="GYO37" s="414"/>
      <c r="GYP37" s="414"/>
      <c r="GYQ37" s="414"/>
      <c r="GYR37" s="414"/>
      <c r="GYS37" s="414"/>
      <c r="GYT37" s="414"/>
      <c r="GYU37" s="414"/>
      <c r="GYV37" s="414"/>
      <c r="GYW37" s="414"/>
      <c r="GYX37" s="414"/>
      <c r="GYY37" s="414"/>
      <c r="GYZ37" s="414"/>
      <c r="GZA37" s="414"/>
      <c r="GZB37" s="414"/>
      <c r="GZC37" s="414"/>
      <c r="GZD37" s="414"/>
      <c r="GZE37" s="414"/>
      <c r="GZF37" s="414"/>
      <c r="GZG37" s="414"/>
      <c r="GZH37" s="414"/>
      <c r="GZI37" s="414"/>
      <c r="GZJ37" s="414"/>
      <c r="GZK37" s="414"/>
      <c r="GZL37" s="414"/>
      <c r="GZM37" s="414"/>
      <c r="GZN37" s="414"/>
      <c r="GZO37" s="414"/>
      <c r="GZP37" s="414"/>
      <c r="GZQ37" s="414"/>
      <c r="GZR37" s="414"/>
      <c r="GZS37" s="414"/>
      <c r="GZT37" s="414"/>
      <c r="GZU37" s="414"/>
      <c r="GZV37" s="414"/>
      <c r="GZW37" s="414"/>
      <c r="GZX37" s="414"/>
      <c r="GZY37" s="414"/>
      <c r="GZZ37" s="414"/>
      <c r="HAA37" s="414"/>
      <c r="HAB37" s="414"/>
      <c r="HAC37" s="414"/>
      <c r="HAD37" s="414"/>
      <c r="HAE37" s="414"/>
      <c r="HAF37" s="414"/>
      <c r="HAG37" s="414"/>
      <c r="HAH37" s="414"/>
      <c r="HAI37" s="414"/>
      <c r="HAJ37" s="414"/>
      <c r="HAK37" s="414"/>
      <c r="HAL37" s="414"/>
      <c r="HAM37" s="414"/>
      <c r="HAN37" s="414"/>
      <c r="HAO37" s="414"/>
      <c r="HAP37" s="414"/>
      <c r="HAQ37" s="414"/>
      <c r="HAR37" s="414"/>
      <c r="HAS37" s="414"/>
      <c r="HAT37" s="414"/>
      <c r="HAU37" s="414"/>
      <c r="HAV37" s="414"/>
      <c r="HAW37" s="414"/>
      <c r="HAX37" s="414"/>
      <c r="HAY37" s="414"/>
      <c r="HAZ37" s="414"/>
      <c r="HBA37" s="414"/>
      <c r="HBB37" s="414"/>
      <c r="HBC37" s="414"/>
      <c r="HBD37" s="414"/>
      <c r="HBE37" s="414"/>
      <c r="HBF37" s="414"/>
      <c r="HBG37" s="414"/>
      <c r="HBH37" s="414"/>
      <c r="HBI37" s="414"/>
      <c r="HBJ37" s="414"/>
      <c r="HBK37" s="414"/>
      <c r="HBL37" s="414"/>
      <c r="HBM37" s="414"/>
      <c r="HBN37" s="414"/>
      <c r="HBO37" s="414"/>
      <c r="HBP37" s="414"/>
      <c r="HBQ37" s="414"/>
      <c r="HBR37" s="414"/>
      <c r="HBS37" s="414"/>
      <c r="HBT37" s="414"/>
      <c r="HBU37" s="414"/>
      <c r="HBV37" s="414"/>
      <c r="HBW37" s="414"/>
      <c r="HBX37" s="414"/>
      <c r="HBY37" s="414"/>
      <c r="HBZ37" s="414"/>
      <c r="HCA37" s="414"/>
      <c r="HCB37" s="414"/>
      <c r="HCC37" s="414"/>
      <c r="HCD37" s="414"/>
      <c r="HCE37" s="414"/>
      <c r="HCF37" s="414"/>
      <c r="HCG37" s="414"/>
      <c r="HCH37" s="414"/>
      <c r="HCI37" s="414"/>
      <c r="HCJ37" s="414"/>
      <c r="HCK37" s="414"/>
      <c r="HCL37" s="414"/>
      <c r="HCM37" s="414"/>
      <c r="HCN37" s="414"/>
      <c r="HCO37" s="414"/>
      <c r="HCP37" s="414"/>
      <c r="HCQ37" s="414"/>
      <c r="HCR37" s="414"/>
      <c r="HCS37" s="414"/>
      <c r="HCT37" s="414"/>
      <c r="HCU37" s="414"/>
      <c r="HCV37" s="414"/>
      <c r="HCW37" s="414"/>
      <c r="HCX37" s="414"/>
      <c r="HCY37" s="414"/>
      <c r="HCZ37" s="414"/>
      <c r="HDA37" s="414"/>
      <c r="HDB37" s="414"/>
      <c r="HDC37" s="414"/>
      <c r="HDD37" s="414"/>
      <c r="HDE37" s="414"/>
      <c r="HDF37" s="414"/>
      <c r="HDG37" s="414"/>
      <c r="HDH37" s="414"/>
      <c r="HDI37" s="414"/>
      <c r="HDJ37" s="414"/>
      <c r="HDK37" s="414"/>
      <c r="HDL37" s="414"/>
      <c r="HDM37" s="414"/>
      <c r="HDN37" s="414"/>
      <c r="HDO37" s="414"/>
      <c r="HDP37" s="414"/>
      <c r="HDQ37" s="414"/>
      <c r="HDR37" s="414"/>
      <c r="HDS37" s="414"/>
      <c r="HDT37" s="414"/>
      <c r="HDU37" s="414"/>
      <c r="HDV37" s="414"/>
      <c r="HDW37" s="414"/>
      <c r="HDX37" s="414"/>
      <c r="HDY37" s="414"/>
      <c r="HDZ37" s="414"/>
      <c r="HEA37" s="414"/>
      <c r="HEB37" s="414"/>
      <c r="HEC37" s="414"/>
      <c r="HED37" s="414"/>
      <c r="HEE37" s="414"/>
      <c r="HEF37" s="414"/>
      <c r="HEG37" s="414"/>
      <c r="HEH37" s="414"/>
      <c r="HEI37" s="414"/>
      <c r="HEJ37" s="414"/>
      <c r="HEK37" s="414"/>
      <c r="HEL37" s="414"/>
      <c r="HEM37" s="414"/>
      <c r="HEN37" s="414"/>
      <c r="HEO37" s="414"/>
      <c r="HEP37" s="414"/>
      <c r="HEQ37" s="414"/>
      <c r="HER37" s="414"/>
      <c r="HES37" s="414"/>
      <c r="HET37" s="414"/>
      <c r="HEU37" s="414"/>
      <c r="HEV37" s="414"/>
      <c r="HEW37" s="414"/>
      <c r="HEX37" s="414"/>
      <c r="HEY37" s="414"/>
      <c r="HEZ37" s="414"/>
      <c r="HFA37" s="414"/>
      <c r="HFB37" s="414"/>
      <c r="HFC37" s="414"/>
      <c r="HFD37" s="414"/>
      <c r="HFE37" s="414"/>
      <c r="HFF37" s="414"/>
      <c r="HFG37" s="414"/>
      <c r="HFH37" s="414"/>
      <c r="HFI37" s="414"/>
      <c r="HFJ37" s="414"/>
      <c r="HFK37" s="414"/>
      <c r="HFL37" s="414"/>
      <c r="HFM37" s="414"/>
      <c r="HFN37" s="414"/>
      <c r="HFO37" s="414"/>
      <c r="HFP37" s="414"/>
      <c r="HFQ37" s="414"/>
      <c r="HFR37" s="414"/>
      <c r="HFS37" s="414"/>
      <c r="HFT37" s="414"/>
      <c r="HFU37" s="414"/>
      <c r="HFV37" s="414"/>
      <c r="HFW37" s="414"/>
      <c r="HFX37" s="414"/>
      <c r="HFY37" s="414"/>
      <c r="HFZ37" s="414"/>
      <c r="HGA37" s="414"/>
      <c r="HGB37" s="414"/>
      <c r="HGC37" s="414"/>
      <c r="HGD37" s="414"/>
      <c r="HGE37" s="414"/>
      <c r="HGF37" s="414"/>
      <c r="HGG37" s="414"/>
      <c r="HGH37" s="414"/>
      <c r="HGI37" s="414"/>
      <c r="HGJ37" s="414"/>
      <c r="HGK37" s="414"/>
      <c r="HGL37" s="414"/>
      <c r="HGM37" s="414"/>
      <c r="HGN37" s="414"/>
      <c r="HGO37" s="414"/>
      <c r="HGP37" s="414"/>
      <c r="HGQ37" s="414"/>
      <c r="HGR37" s="414"/>
      <c r="HGS37" s="414"/>
      <c r="HGT37" s="414"/>
      <c r="HGU37" s="414"/>
      <c r="HGV37" s="414"/>
      <c r="HGW37" s="414"/>
      <c r="HGX37" s="414"/>
      <c r="HGY37" s="414"/>
      <c r="HGZ37" s="414"/>
      <c r="HHA37" s="414"/>
      <c r="HHB37" s="414"/>
      <c r="HHC37" s="414"/>
      <c r="HHD37" s="414"/>
      <c r="HHE37" s="414"/>
      <c r="HHF37" s="414"/>
      <c r="HHG37" s="414"/>
      <c r="HHH37" s="414"/>
      <c r="HHI37" s="414"/>
      <c r="HHJ37" s="414"/>
      <c r="HHK37" s="414"/>
      <c r="HHL37" s="414"/>
      <c r="HHM37" s="414"/>
      <c r="HHN37" s="414"/>
      <c r="HHO37" s="414"/>
      <c r="HHP37" s="414"/>
      <c r="HHQ37" s="414"/>
      <c r="HHR37" s="414"/>
      <c r="HHS37" s="414"/>
      <c r="HHT37" s="414"/>
      <c r="HHU37" s="414"/>
      <c r="HHV37" s="414"/>
      <c r="HHW37" s="414"/>
      <c r="HHX37" s="414"/>
      <c r="HHY37" s="414"/>
      <c r="HHZ37" s="414"/>
      <c r="HIA37" s="414"/>
      <c r="HIB37" s="414"/>
      <c r="HIC37" s="414"/>
      <c r="HID37" s="414"/>
      <c r="HIE37" s="414"/>
      <c r="HIF37" s="414"/>
      <c r="HIG37" s="414"/>
      <c r="HIH37" s="414"/>
      <c r="HII37" s="414"/>
      <c r="HIJ37" s="414"/>
      <c r="HIK37" s="414"/>
      <c r="HIL37" s="414"/>
      <c r="HIM37" s="414"/>
      <c r="HIN37" s="414"/>
      <c r="HIO37" s="414"/>
      <c r="HIP37" s="414"/>
      <c r="HIQ37" s="414"/>
      <c r="HIR37" s="414"/>
      <c r="HIS37" s="414"/>
      <c r="HIT37" s="414"/>
      <c r="HIU37" s="414"/>
      <c r="HIV37" s="414"/>
      <c r="HIW37" s="414"/>
      <c r="HIX37" s="414"/>
      <c r="HIY37" s="414"/>
      <c r="HIZ37" s="414"/>
      <c r="HJA37" s="414"/>
      <c r="HJB37" s="414"/>
      <c r="HJC37" s="414"/>
      <c r="HJD37" s="414"/>
      <c r="HJE37" s="414"/>
      <c r="HJF37" s="414"/>
      <c r="HJG37" s="414"/>
      <c r="HJH37" s="414"/>
      <c r="HJI37" s="414"/>
      <c r="HJJ37" s="414"/>
      <c r="HJK37" s="414"/>
      <c r="HJL37" s="414"/>
      <c r="HJM37" s="414"/>
      <c r="HJN37" s="414"/>
      <c r="HJO37" s="414"/>
      <c r="HJP37" s="414"/>
      <c r="HJQ37" s="414"/>
      <c r="HJR37" s="414"/>
      <c r="HJS37" s="414"/>
      <c r="HJT37" s="414"/>
      <c r="HJU37" s="414"/>
      <c r="HJV37" s="414"/>
      <c r="HJW37" s="414"/>
      <c r="HJX37" s="414"/>
      <c r="HJY37" s="414"/>
      <c r="HJZ37" s="414"/>
      <c r="HKA37" s="414"/>
      <c r="HKB37" s="414"/>
      <c r="HKC37" s="414"/>
      <c r="HKD37" s="414"/>
      <c r="HKE37" s="414"/>
      <c r="HKF37" s="414"/>
      <c r="HKG37" s="414"/>
      <c r="HKH37" s="414"/>
      <c r="HKI37" s="414"/>
      <c r="HKJ37" s="414"/>
      <c r="HKK37" s="414"/>
      <c r="HKL37" s="414"/>
      <c r="HKM37" s="414"/>
      <c r="HKN37" s="414"/>
      <c r="HKO37" s="414"/>
      <c r="HKP37" s="414"/>
      <c r="HKQ37" s="414"/>
      <c r="HKR37" s="414"/>
      <c r="HKS37" s="414"/>
      <c r="HKT37" s="414"/>
      <c r="HKU37" s="414"/>
      <c r="HKV37" s="414"/>
      <c r="HKW37" s="414"/>
      <c r="HKX37" s="414"/>
      <c r="HKY37" s="414"/>
      <c r="HKZ37" s="414"/>
      <c r="HLA37" s="414"/>
      <c r="HLB37" s="414"/>
      <c r="HLC37" s="414"/>
      <c r="HLD37" s="414"/>
      <c r="HLE37" s="414"/>
      <c r="HLF37" s="414"/>
      <c r="HLG37" s="414"/>
      <c r="HLH37" s="414"/>
      <c r="HLI37" s="414"/>
      <c r="HLJ37" s="414"/>
      <c r="HLK37" s="414"/>
      <c r="HLL37" s="414"/>
      <c r="HLM37" s="414"/>
      <c r="HLN37" s="414"/>
      <c r="HLO37" s="414"/>
      <c r="HLP37" s="414"/>
      <c r="HLQ37" s="414"/>
      <c r="HLR37" s="414"/>
      <c r="HLS37" s="414"/>
      <c r="HLT37" s="414"/>
      <c r="HLU37" s="414"/>
      <c r="HLV37" s="414"/>
      <c r="HLW37" s="414"/>
      <c r="HLX37" s="414"/>
      <c r="HLY37" s="414"/>
      <c r="HLZ37" s="414"/>
      <c r="HMA37" s="414"/>
      <c r="HMB37" s="414"/>
      <c r="HMC37" s="414"/>
      <c r="HMD37" s="414"/>
      <c r="HME37" s="414"/>
      <c r="HMF37" s="414"/>
      <c r="HMG37" s="414"/>
      <c r="HMH37" s="414"/>
      <c r="HMI37" s="414"/>
      <c r="HMJ37" s="414"/>
      <c r="HMK37" s="414"/>
      <c r="HML37" s="414"/>
      <c r="HMM37" s="414"/>
      <c r="HMN37" s="414"/>
      <c r="HMO37" s="414"/>
      <c r="HMP37" s="414"/>
      <c r="HMQ37" s="414"/>
      <c r="HMR37" s="414"/>
      <c r="HMS37" s="414"/>
      <c r="HMT37" s="414"/>
      <c r="HMU37" s="414"/>
      <c r="HMV37" s="414"/>
      <c r="HMW37" s="414"/>
      <c r="HMX37" s="414"/>
      <c r="HMY37" s="414"/>
      <c r="HMZ37" s="414"/>
      <c r="HNA37" s="414"/>
      <c r="HNB37" s="414"/>
      <c r="HNC37" s="414"/>
      <c r="HND37" s="414"/>
      <c r="HNE37" s="414"/>
      <c r="HNF37" s="414"/>
      <c r="HNG37" s="414"/>
      <c r="HNH37" s="414"/>
      <c r="HNI37" s="414"/>
      <c r="HNJ37" s="414"/>
      <c r="HNK37" s="414"/>
      <c r="HNL37" s="414"/>
      <c r="HNM37" s="414"/>
      <c r="HNN37" s="414"/>
      <c r="HNO37" s="414"/>
      <c r="HNP37" s="414"/>
      <c r="HNQ37" s="414"/>
      <c r="HNR37" s="414"/>
      <c r="HNS37" s="414"/>
      <c r="HNT37" s="414"/>
      <c r="HNU37" s="414"/>
      <c r="HNV37" s="414"/>
      <c r="HNW37" s="414"/>
      <c r="HNX37" s="414"/>
      <c r="HNY37" s="414"/>
      <c r="HNZ37" s="414"/>
      <c r="HOA37" s="414"/>
      <c r="HOB37" s="414"/>
      <c r="HOC37" s="414"/>
      <c r="HOD37" s="414"/>
      <c r="HOE37" s="414"/>
      <c r="HOF37" s="414"/>
      <c r="HOG37" s="414"/>
      <c r="HOH37" s="414"/>
      <c r="HOI37" s="414"/>
      <c r="HOJ37" s="414"/>
      <c r="HOK37" s="414"/>
      <c r="HOL37" s="414"/>
      <c r="HOM37" s="414"/>
      <c r="HON37" s="414"/>
      <c r="HOO37" s="414"/>
      <c r="HOP37" s="414"/>
      <c r="HOQ37" s="414"/>
      <c r="HOR37" s="414"/>
      <c r="HOS37" s="414"/>
      <c r="HOT37" s="414"/>
      <c r="HOU37" s="414"/>
      <c r="HOV37" s="414"/>
      <c r="HOW37" s="414"/>
      <c r="HOX37" s="414"/>
      <c r="HOY37" s="414"/>
      <c r="HOZ37" s="414"/>
      <c r="HPA37" s="414"/>
      <c r="HPB37" s="414"/>
      <c r="HPC37" s="414"/>
      <c r="HPD37" s="414"/>
      <c r="HPE37" s="414"/>
      <c r="HPF37" s="414"/>
      <c r="HPG37" s="414"/>
      <c r="HPH37" s="414"/>
      <c r="HPI37" s="414"/>
      <c r="HPJ37" s="414"/>
      <c r="HPK37" s="414"/>
      <c r="HPL37" s="414"/>
      <c r="HPM37" s="414"/>
      <c r="HPN37" s="414"/>
      <c r="HPO37" s="414"/>
      <c r="HPP37" s="414"/>
      <c r="HPQ37" s="414"/>
      <c r="HPR37" s="414"/>
      <c r="HPS37" s="414"/>
      <c r="HPT37" s="414"/>
      <c r="HPU37" s="414"/>
      <c r="HPV37" s="414"/>
      <c r="HPW37" s="414"/>
      <c r="HPX37" s="414"/>
      <c r="HPY37" s="414"/>
      <c r="HPZ37" s="414"/>
      <c r="HQA37" s="414"/>
      <c r="HQB37" s="414"/>
      <c r="HQC37" s="414"/>
      <c r="HQD37" s="414"/>
      <c r="HQE37" s="414"/>
      <c r="HQF37" s="414"/>
      <c r="HQG37" s="414"/>
      <c r="HQH37" s="414"/>
      <c r="HQI37" s="414"/>
      <c r="HQJ37" s="414"/>
      <c r="HQK37" s="414"/>
      <c r="HQL37" s="414"/>
      <c r="HQM37" s="414"/>
      <c r="HQN37" s="414"/>
      <c r="HQO37" s="414"/>
      <c r="HQP37" s="414"/>
      <c r="HQQ37" s="414"/>
      <c r="HQR37" s="414"/>
      <c r="HQS37" s="414"/>
      <c r="HQT37" s="414"/>
      <c r="HQU37" s="414"/>
      <c r="HQV37" s="414"/>
      <c r="HQW37" s="414"/>
      <c r="HQX37" s="414"/>
      <c r="HQY37" s="414"/>
      <c r="HQZ37" s="414"/>
      <c r="HRA37" s="414"/>
      <c r="HRB37" s="414"/>
      <c r="HRC37" s="414"/>
      <c r="HRD37" s="414"/>
      <c r="HRE37" s="414"/>
      <c r="HRF37" s="414"/>
      <c r="HRG37" s="414"/>
      <c r="HRH37" s="414"/>
      <c r="HRI37" s="414"/>
      <c r="HRJ37" s="414"/>
      <c r="HRK37" s="414"/>
      <c r="HRL37" s="414"/>
      <c r="HRM37" s="414"/>
      <c r="HRN37" s="414"/>
      <c r="HRO37" s="414"/>
      <c r="HRP37" s="414"/>
      <c r="HRQ37" s="414"/>
      <c r="HRR37" s="414"/>
      <c r="HRS37" s="414"/>
      <c r="HRT37" s="414"/>
      <c r="HRU37" s="414"/>
      <c r="HRV37" s="414"/>
      <c r="HRW37" s="414"/>
      <c r="HRX37" s="414"/>
      <c r="HRY37" s="414"/>
      <c r="HRZ37" s="414"/>
      <c r="HSA37" s="414"/>
      <c r="HSB37" s="414"/>
      <c r="HSC37" s="414"/>
      <c r="HSD37" s="414"/>
      <c r="HSE37" s="414"/>
      <c r="HSF37" s="414"/>
      <c r="HSG37" s="414"/>
      <c r="HSH37" s="414"/>
      <c r="HSI37" s="414"/>
      <c r="HSJ37" s="414"/>
      <c r="HSK37" s="414"/>
      <c r="HSL37" s="414"/>
      <c r="HSM37" s="414"/>
      <c r="HSN37" s="414"/>
      <c r="HSO37" s="414"/>
      <c r="HSP37" s="414"/>
      <c r="HSQ37" s="414"/>
      <c r="HSR37" s="414"/>
      <c r="HSS37" s="414"/>
      <c r="HST37" s="414"/>
      <c r="HSU37" s="414"/>
      <c r="HSV37" s="414"/>
      <c r="HSW37" s="414"/>
      <c r="HSX37" s="414"/>
      <c r="HSY37" s="414"/>
      <c r="HSZ37" s="414"/>
      <c r="HTA37" s="414"/>
      <c r="HTB37" s="414"/>
      <c r="HTC37" s="414"/>
      <c r="HTD37" s="414"/>
      <c r="HTE37" s="414"/>
      <c r="HTF37" s="414"/>
      <c r="HTG37" s="414"/>
      <c r="HTH37" s="414"/>
      <c r="HTI37" s="414"/>
      <c r="HTJ37" s="414"/>
      <c r="HTK37" s="414"/>
      <c r="HTL37" s="414"/>
      <c r="HTM37" s="414"/>
      <c r="HTN37" s="414"/>
      <c r="HTO37" s="414"/>
      <c r="HTP37" s="414"/>
      <c r="HTQ37" s="414"/>
      <c r="HTR37" s="414"/>
      <c r="HTS37" s="414"/>
      <c r="HTT37" s="414"/>
      <c r="HTU37" s="414"/>
      <c r="HTV37" s="414"/>
      <c r="HTW37" s="414"/>
      <c r="HTX37" s="414"/>
      <c r="HTY37" s="414"/>
      <c r="HTZ37" s="414"/>
      <c r="HUA37" s="414"/>
      <c r="HUB37" s="414"/>
      <c r="HUC37" s="414"/>
      <c r="HUD37" s="414"/>
      <c r="HUE37" s="414"/>
      <c r="HUF37" s="414"/>
      <c r="HUG37" s="414"/>
      <c r="HUH37" s="414"/>
      <c r="HUI37" s="414"/>
      <c r="HUJ37" s="414"/>
      <c r="HUK37" s="414"/>
      <c r="HUL37" s="414"/>
      <c r="HUM37" s="414"/>
      <c r="HUN37" s="414"/>
      <c r="HUO37" s="414"/>
      <c r="HUP37" s="414"/>
      <c r="HUQ37" s="414"/>
      <c r="HUR37" s="414"/>
      <c r="HUS37" s="414"/>
      <c r="HUT37" s="414"/>
      <c r="HUU37" s="414"/>
      <c r="HUV37" s="414"/>
      <c r="HUW37" s="414"/>
      <c r="HUX37" s="414"/>
      <c r="HUY37" s="414"/>
      <c r="HUZ37" s="414"/>
      <c r="HVA37" s="414"/>
      <c r="HVB37" s="414"/>
      <c r="HVC37" s="414"/>
      <c r="HVD37" s="414"/>
      <c r="HVE37" s="414"/>
      <c r="HVF37" s="414"/>
      <c r="HVG37" s="414"/>
      <c r="HVH37" s="414"/>
      <c r="HVI37" s="414"/>
      <c r="HVJ37" s="414"/>
      <c r="HVK37" s="414"/>
      <c r="HVL37" s="414"/>
      <c r="HVM37" s="414"/>
      <c r="HVN37" s="414"/>
      <c r="HVO37" s="414"/>
      <c r="HVP37" s="414"/>
      <c r="HVQ37" s="414"/>
      <c r="HVR37" s="414"/>
      <c r="HVS37" s="414"/>
      <c r="HVT37" s="414"/>
      <c r="HVU37" s="414"/>
      <c r="HVV37" s="414"/>
      <c r="HVW37" s="414"/>
      <c r="HVX37" s="414"/>
      <c r="HVY37" s="414"/>
      <c r="HVZ37" s="414"/>
      <c r="HWA37" s="414"/>
      <c r="HWB37" s="414"/>
      <c r="HWC37" s="414"/>
      <c r="HWD37" s="414"/>
      <c r="HWE37" s="414"/>
      <c r="HWF37" s="414"/>
      <c r="HWG37" s="414"/>
      <c r="HWH37" s="414"/>
      <c r="HWI37" s="414"/>
      <c r="HWJ37" s="414"/>
      <c r="HWK37" s="414"/>
      <c r="HWL37" s="414"/>
      <c r="HWM37" s="414"/>
      <c r="HWN37" s="414"/>
      <c r="HWO37" s="414"/>
      <c r="HWP37" s="414"/>
      <c r="HWQ37" s="414"/>
      <c r="HWR37" s="414"/>
      <c r="HWS37" s="414"/>
      <c r="HWT37" s="414"/>
      <c r="HWU37" s="414"/>
      <c r="HWV37" s="414"/>
      <c r="HWW37" s="414"/>
      <c r="HWX37" s="414"/>
      <c r="HWY37" s="414"/>
      <c r="HWZ37" s="414"/>
      <c r="HXA37" s="414"/>
      <c r="HXB37" s="414"/>
      <c r="HXC37" s="414"/>
      <c r="HXD37" s="414"/>
      <c r="HXE37" s="414"/>
      <c r="HXF37" s="414"/>
      <c r="HXG37" s="414"/>
      <c r="HXH37" s="414"/>
      <c r="HXI37" s="414"/>
      <c r="HXJ37" s="414"/>
      <c r="HXK37" s="414"/>
      <c r="HXL37" s="414"/>
      <c r="HXM37" s="414"/>
      <c r="HXN37" s="414"/>
      <c r="HXO37" s="414"/>
      <c r="HXP37" s="414"/>
      <c r="HXQ37" s="414"/>
      <c r="HXR37" s="414"/>
      <c r="HXS37" s="414"/>
      <c r="HXT37" s="414"/>
      <c r="HXU37" s="414"/>
      <c r="HXV37" s="414"/>
      <c r="HXW37" s="414"/>
      <c r="HXX37" s="414"/>
      <c r="HXY37" s="414"/>
      <c r="HXZ37" s="414"/>
      <c r="HYA37" s="414"/>
      <c r="HYB37" s="414"/>
      <c r="HYC37" s="414"/>
      <c r="HYD37" s="414"/>
      <c r="HYE37" s="414"/>
      <c r="HYF37" s="414"/>
      <c r="HYG37" s="414"/>
      <c r="HYH37" s="414"/>
      <c r="HYI37" s="414"/>
      <c r="HYJ37" s="414"/>
      <c r="HYK37" s="414"/>
      <c r="HYL37" s="414"/>
      <c r="HYM37" s="414"/>
      <c r="HYN37" s="414"/>
      <c r="HYO37" s="414"/>
      <c r="HYP37" s="414"/>
      <c r="HYQ37" s="414"/>
      <c r="HYR37" s="414"/>
      <c r="HYS37" s="414"/>
      <c r="HYT37" s="414"/>
      <c r="HYU37" s="414"/>
      <c r="HYV37" s="414"/>
      <c r="HYW37" s="414"/>
      <c r="HYX37" s="414"/>
      <c r="HYY37" s="414"/>
      <c r="HYZ37" s="414"/>
      <c r="HZA37" s="414"/>
      <c r="HZB37" s="414"/>
      <c r="HZC37" s="414"/>
      <c r="HZD37" s="414"/>
      <c r="HZE37" s="414"/>
      <c r="HZF37" s="414"/>
      <c r="HZG37" s="414"/>
      <c r="HZH37" s="414"/>
      <c r="HZI37" s="414"/>
      <c r="HZJ37" s="414"/>
      <c r="HZK37" s="414"/>
      <c r="HZL37" s="414"/>
      <c r="HZM37" s="414"/>
      <c r="HZN37" s="414"/>
      <c r="HZO37" s="414"/>
      <c r="HZP37" s="414"/>
      <c r="HZQ37" s="414"/>
      <c r="HZR37" s="414"/>
      <c r="HZS37" s="414"/>
      <c r="HZT37" s="414"/>
      <c r="HZU37" s="414"/>
      <c r="HZV37" s="414"/>
      <c r="HZW37" s="414"/>
      <c r="HZX37" s="414"/>
      <c r="HZY37" s="414"/>
      <c r="HZZ37" s="414"/>
      <c r="IAA37" s="414"/>
      <c r="IAB37" s="414"/>
      <c r="IAC37" s="414"/>
      <c r="IAD37" s="414"/>
      <c r="IAE37" s="414"/>
      <c r="IAF37" s="414"/>
      <c r="IAG37" s="414"/>
      <c r="IAH37" s="414"/>
      <c r="IAI37" s="414"/>
      <c r="IAJ37" s="414"/>
      <c r="IAK37" s="414"/>
      <c r="IAL37" s="414"/>
      <c r="IAM37" s="414"/>
      <c r="IAN37" s="414"/>
      <c r="IAO37" s="414"/>
      <c r="IAP37" s="414"/>
      <c r="IAQ37" s="414"/>
      <c r="IAR37" s="414"/>
      <c r="IAS37" s="414"/>
      <c r="IAT37" s="414"/>
      <c r="IAU37" s="414"/>
      <c r="IAV37" s="414"/>
      <c r="IAW37" s="414"/>
      <c r="IAX37" s="414"/>
      <c r="IAY37" s="414"/>
      <c r="IAZ37" s="414"/>
      <c r="IBA37" s="414"/>
      <c r="IBB37" s="414"/>
      <c r="IBC37" s="414"/>
      <c r="IBD37" s="414"/>
      <c r="IBE37" s="414"/>
      <c r="IBF37" s="414"/>
      <c r="IBG37" s="414"/>
      <c r="IBH37" s="414"/>
      <c r="IBI37" s="414"/>
      <c r="IBJ37" s="414"/>
      <c r="IBK37" s="414"/>
      <c r="IBL37" s="414"/>
      <c r="IBM37" s="414"/>
      <c r="IBN37" s="414"/>
      <c r="IBO37" s="414"/>
      <c r="IBP37" s="414"/>
      <c r="IBQ37" s="414"/>
      <c r="IBR37" s="414"/>
      <c r="IBS37" s="414"/>
      <c r="IBT37" s="414"/>
      <c r="IBU37" s="414"/>
      <c r="IBV37" s="414"/>
      <c r="IBW37" s="414"/>
      <c r="IBX37" s="414"/>
      <c r="IBY37" s="414"/>
      <c r="IBZ37" s="414"/>
      <c r="ICA37" s="414"/>
      <c r="ICB37" s="414"/>
      <c r="ICC37" s="414"/>
      <c r="ICD37" s="414"/>
      <c r="ICE37" s="414"/>
      <c r="ICF37" s="414"/>
      <c r="ICG37" s="414"/>
      <c r="ICH37" s="414"/>
      <c r="ICI37" s="414"/>
      <c r="ICJ37" s="414"/>
      <c r="ICK37" s="414"/>
      <c r="ICL37" s="414"/>
      <c r="ICM37" s="414"/>
      <c r="ICN37" s="414"/>
      <c r="ICO37" s="414"/>
      <c r="ICP37" s="414"/>
      <c r="ICQ37" s="414"/>
      <c r="ICR37" s="414"/>
      <c r="ICS37" s="414"/>
      <c r="ICT37" s="414"/>
      <c r="ICU37" s="414"/>
      <c r="ICV37" s="414"/>
      <c r="ICW37" s="414"/>
      <c r="ICX37" s="414"/>
      <c r="ICY37" s="414"/>
      <c r="ICZ37" s="414"/>
      <c r="IDA37" s="414"/>
      <c r="IDB37" s="414"/>
      <c r="IDC37" s="414"/>
      <c r="IDD37" s="414"/>
      <c r="IDE37" s="414"/>
      <c r="IDF37" s="414"/>
      <c r="IDG37" s="414"/>
      <c r="IDH37" s="414"/>
      <c r="IDI37" s="414"/>
      <c r="IDJ37" s="414"/>
      <c r="IDK37" s="414"/>
      <c r="IDL37" s="414"/>
      <c r="IDM37" s="414"/>
      <c r="IDN37" s="414"/>
      <c r="IDO37" s="414"/>
      <c r="IDP37" s="414"/>
      <c r="IDQ37" s="414"/>
      <c r="IDR37" s="414"/>
      <c r="IDS37" s="414"/>
      <c r="IDT37" s="414"/>
      <c r="IDU37" s="414"/>
      <c r="IDV37" s="414"/>
      <c r="IDW37" s="414"/>
      <c r="IDX37" s="414"/>
      <c r="IDY37" s="414"/>
      <c r="IDZ37" s="414"/>
      <c r="IEA37" s="414"/>
      <c r="IEB37" s="414"/>
      <c r="IEC37" s="414"/>
      <c r="IED37" s="414"/>
      <c r="IEE37" s="414"/>
      <c r="IEF37" s="414"/>
      <c r="IEG37" s="414"/>
      <c r="IEH37" s="414"/>
      <c r="IEI37" s="414"/>
      <c r="IEJ37" s="414"/>
      <c r="IEK37" s="414"/>
      <c r="IEL37" s="414"/>
      <c r="IEM37" s="414"/>
      <c r="IEN37" s="414"/>
      <c r="IEO37" s="414"/>
      <c r="IEP37" s="414"/>
      <c r="IEQ37" s="414"/>
      <c r="IER37" s="414"/>
      <c r="IES37" s="414"/>
      <c r="IET37" s="414"/>
      <c r="IEU37" s="414"/>
      <c r="IEV37" s="414"/>
      <c r="IEW37" s="414"/>
      <c r="IEX37" s="414"/>
      <c r="IEY37" s="414"/>
      <c r="IEZ37" s="414"/>
      <c r="IFA37" s="414"/>
      <c r="IFB37" s="414"/>
      <c r="IFC37" s="414"/>
      <c r="IFD37" s="414"/>
      <c r="IFE37" s="414"/>
      <c r="IFF37" s="414"/>
      <c r="IFG37" s="414"/>
      <c r="IFH37" s="414"/>
      <c r="IFI37" s="414"/>
      <c r="IFJ37" s="414"/>
      <c r="IFK37" s="414"/>
      <c r="IFL37" s="414"/>
      <c r="IFM37" s="414"/>
      <c r="IFN37" s="414"/>
      <c r="IFO37" s="414"/>
      <c r="IFP37" s="414"/>
      <c r="IFQ37" s="414"/>
      <c r="IFR37" s="414"/>
      <c r="IFS37" s="414"/>
      <c r="IFT37" s="414"/>
      <c r="IFU37" s="414"/>
      <c r="IFV37" s="414"/>
      <c r="IFW37" s="414"/>
      <c r="IFX37" s="414"/>
      <c r="IFY37" s="414"/>
      <c r="IFZ37" s="414"/>
      <c r="IGA37" s="414"/>
      <c r="IGB37" s="414"/>
      <c r="IGC37" s="414"/>
      <c r="IGD37" s="414"/>
      <c r="IGE37" s="414"/>
      <c r="IGF37" s="414"/>
      <c r="IGG37" s="414"/>
      <c r="IGH37" s="414"/>
      <c r="IGI37" s="414"/>
      <c r="IGJ37" s="414"/>
      <c r="IGK37" s="414"/>
      <c r="IGL37" s="414"/>
      <c r="IGM37" s="414"/>
      <c r="IGN37" s="414"/>
      <c r="IGO37" s="414"/>
      <c r="IGP37" s="414"/>
      <c r="IGQ37" s="414"/>
      <c r="IGR37" s="414"/>
      <c r="IGS37" s="414"/>
      <c r="IGT37" s="414"/>
      <c r="IGU37" s="414"/>
      <c r="IGV37" s="414"/>
      <c r="IGW37" s="414"/>
      <c r="IGX37" s="414"/>
      <c r="IGY37" s="414"/>
      <c r="IGZ37" s="414"/>
      <c r="IHA37" s="414"/>
      <c r="IHB37" s="414"/>
      <c r="IHC37" s="414"/>
      <c r="IHD37" s="414"/>
      <c r="IHE37" s="414"/>
      <c r="IHF37" s="414"/>
      <c r="IHG37" s="414"/>
      <c r="IHH37" s="414"/>
      <c r="IHI37" s="414"/>
      <c r="IHJ37" s="414"/>
      <c r="IHK37" s="414"/>
      <c r="IHL37" s="414"/>
      <c r="IHM37" s="414"/>
      <c r="IHN37" s="414"/>
      <c r="IHO37" s="414"/>
      <c r="IHP37" s="414"/>
      <c r="IHQ37" s="414"/>
      <c r="IHR37" s="414"/>
      <c r="IHS37" s="414"/>
      <c r="IHT37" s="414"/>
      <c r="IHU37" s="414"/>
      <c r="IHV37" s="414"/>
      <c r="IHW37" s="414"/>
      <c r="IHX37" s="414"/>
      <c r="IHY37" s="414"/>
      <c r="IHZ37" s="414"/>
      <c r="IIA37" s="414"/>
      <c r="IIB37" s="414"/>
      <c r="IIC37" s="414"/>
      <c r="IID37" s="414"/>
      <c r="IIE37" s="414"/>
      <c r="IIF37" s="414"/>
      <c r="IIG37" s="414"/>
      <c r="IIH37" s="414"/>
      <c r="III37" s="414"/>
      <c r="IIJ37" s="414"/>
      <c r="IIK37" s="414"/>
      <c r="IIL37" s="414"/>
      <c r="IIM37" s="414"/>
      <c r="IIN37" s="414"/>
      <c r="IIO37" s="414"/>
      <c r="IIP37" s="414"/>
      <c r="IIQ37" s="414"/>
      <c r="IIR37" s="414"/>
      <c r="IIS37" s="414"/>
      <c r="IIT37" s="414"/>
      <c r="IIU37" s="414"/>
      <c r="IIV37" s="414"/>
      <c r="IIW37" s="414"/>
      <c r="IIX37" s="414"/>
      <c r="IIY37" s="414"/>
      <c r="IIZ37" s="414"/>
      <c r="IJA37" s="414"/>
      <c r="IJB37" s="414"/>
      <c r="IJC37" s="414"/>
      <c r="IJD37" s="414"/>
      <c r="IJE37" s="414"/>
      <c r="IJF37" s="414"/>
      <c r="IJG37" s="414"/>
      <c r="IJH37" s="414"/>
      <c r="IJI37" s="414"/>
      <c r="IJJ37" s="414"/>
      <c r="IJK37" s="414"/>
      <c r="IJL37" s="414"/>
      <c r="IJM37" s="414"/>
      <c r="IJN37" s="414"/>
      <c r="IJO37" s="414"/>
      <c r="IJP37" s="414"/>
      <c r="IJQ37" s="414"/>
      <c r="IJR37" s="414"/>
      <c r="IJS37" s="414"/>
      <c r="IJT37" s="414"/>
      <c r="IJU37" s="414"/>
      <c r="IJV37" s="414"/>
      <c r="IJW37" s="414"/>
      <c r="IJX37" s="414"/>
      <c r="IJY37" s="414"/>
      <c r="IJZ37" s="414"/>
      <c r="IKA37" s="414"/>
      <c r="IKB37" s="414"/>
      <c r="IKC37" s="414"/>
      <c r="IKD37" s="414"/>
      <c r="IKE37" s="414"/>
      <c r="IKF37" s="414"/>
      <c r="IKG37" s="414"/>
      <c r="IKH37" s="414"/>
      <c r="IKI37" s="414"/>
      <c r="IKJ37" s="414"/>
      <c r="IKK37" s="414"/>
      <c r="IKL37" s="414"/>
      <c r="IKM37" s="414"/>
      <c r="IKN37" s="414"/>
      <c r="IKO37" s="414"/>
      <c r="IKP37" s="414"/>
      <c r="IKQ37" s="414"/>
      <c r="IKR37" s="414"/>
      <c r="IKS37" s="414"/>
      <c r="IKT37" s="414"/>
      <c r="IKU37" s="414"/>
      <c r="IKV37" s="414"/>
      <c r="IKW37" s="414"/>
      <c r="IKX37" s="414"/>
      <c r="IKY37" s="414"/>
      <c r="IKZ37" s="414"/>
      <c r="ILA37" s="414"/>
      <c r="ILB37" s="414"/>
      <c r="ILC37" s="414"/>
      <c r="ILD37" s="414"/>
      <c r="ILE37" s="414"/>
      <c r="ILF37" s="414"/>
      <c r="ILG37" s="414"/>
      <c r="ILH37" s="414"/>
      <c r="ILI37" s="414"/>
      <c r="ILJ37" s="414"/>
      <c r="ILK37" s="414"/>
      <c r="ILL37" s="414"/>
      <c r="ILM37" s="414"/>
      <c r="ILN37" s="414"/>
      <c r="ILO37" s="414"/>
      <c r="ILP37" s="414"/>
      <c r="ILQ37" s="414"/>
      <c r="ILR37" s="414"/>
      <c r="ILS37" s="414"/>
      <c r="ILT37" s="414"/>
      <c r="ILU37" s="414"/>
      <c r="ILV37" s="414"/>
      <c r="ILW37" s="414"/>
      <c r="ILX37" s="414"/>
      <c r="ILY37" s="414"/>
      <c r="ILZ37" s="414"/>
      <c r="IMA37" s="414"/>
      <c r="IMB37" s="414"/>
      <c r="IMC37" s="414"/>
      <c r="IMD37" s="414"/>
      <c r="IME37" s="414"/>
      <c r="IMF37" s="414"/>
      <c r="IMG37" s="414"/>
      <c r="IMH37" s="414"/>
      <c r="IMI37" s="414"/>
      <c r="IMJ37" s="414"/>
      <c r="IMK37" s="414"/>
      <c r="IML37" s="414"/>
      <c r="IMM37" s="414"/>
      <c r="IMN37" s="414"/>
      <c r="IMO37" s="414"/>
      <c r="IMP37" s="414"/>
      <c r="IMQ37" s="414"/>
      <c r="IMR37" s="414"/>
      <c r="IMS37" s="414"/>
      <c r="IMT37" s="414"/>
      <c r="IMU37" s="414"/>
      <c r="IMV37" s="414"/>
      <c r="IMW37" s="414"/>
      <c r="IMX37" s="414"/>
      <c r="IMY37" s="414"/>
      <c r="IMZ37" s="414"/>
      <c r="INA37" s="414"/>
      <c r="INB37" s="414"/>
      <c r="INC37" s="414"/>
      <c r="IND37" s="414"/>
      <c r="INE37" s="414"/>
      <c r="INF37" s="414"/>
      <c r="ING37" s="414"/>
      <c r="INH37" s="414"/>
      <c r="INI37" s="414"/>
      <c r="INJ37" s="414"/>
      <c r="INK37" s="414"/>
      <c r="INL37" s="414"/>
      <c r="INM37" s="414"/>
      <c r="INN37" s="414"/>
      <c r="INO37" s="414"/>
      <c r="INP37" s="414"/>
      <c r="INQ37" s="414"/>
      <c r="INR37" s="414"/>
      <c r="INS37" s="414"/>
      <c r="INT37" s="414"/>
      <c r="INU37" s="414"/>
      <c r="INV37" s="414"/>
      <c r="INW37" s="414"/>
      <c r="INX37" s="414"/>
      <c r="INY37" s="414"/>
      <c r="INZ37" s="414"/>
      <c r="IOA37" s="414"/>
      <c r="IOB37" s="414"/>
      <c r="IOC37" s="414"/>
      <c r="IOD37" s="414"/>
      <c r="IOE37" s="414"/>
      <c r="IOF37" s="414"/>
      <c r="IOG37" s="414"/>
      <c r="IOH37" s="414"/>
      <c r="IOI37" s="414"/>
      <c r="IOJ37" s="414"/>
      <c r="IOK37" s="414"/>
      <c r="IOL37" s="414"/>
      <c r="IOM37" s="414"/>
      <c r="ION37" s="414"/>
      <c r="IOO37" s="414"/>
      <c r="IOP37" s="414"/>
      <c r="IOQ37" s="414"/>
      <c r="IOR37" s="414"/>
      <c r="IOS37" s="414"/>
      <c r="IOT37" s="414"/>
      <c r="IOU37" s="414"/>
      <c r="IOV37" s="414"/>
      <c r="IOW37" s="414"/>
      <c r="IOX37" s="414"/>
      <c r="IOY37" s="414"/>
      <c r="IOZ37" s="414"/>
      <c r="IPA37" s="414"/>
      <c r="IPB37" s="414"/>
      <c r="IPC37" s="414"/>
      <c r="IPD37" s="414"/>
      <c r="IPE37" s="414"/>
      <c r="IPF37" s="414"/>
      <c r="IPG37" s="414"/>
      <c r="IPH37" s="414"/>
      <c r="IPI37" s="414"/>
      <c r="IPJ37" s="414"/>
      <c r="IPK37" s="414"/>
      <c r="IPL37" s="414"/>
      <c r="IPM37" s="414"/>
      <c r="IPN37" s="414"/>
      <c r="IPO37" s="414"/>
      <c r="IPP37" s="414"/>
      <c r="IPQ37" s="414"/>
      <c r="IPR37" s="414"/>
      <c r="IPS37" s="414"/>
      <c r="IPT37" s="414"/>
      <c r="IPU37" s="414"/>
      <c r="IPV37" s="414"/>
      <c r="IPW37" s="414"/>
      <c r="IPX37" s="414"/>
      <c r="IPY37" s="414"/>
      <c r="IPZ37" s="414"/>
      <c r="IQA37" s="414"/>
      <c r="IQB37" s="414"/>
      <c r="IQC37" s="414"/>
      <c r="IQD37" s="414"/>
      <c r="IQE37" s="414"/>
      <c r="IQF37" s="414"/>
      <c r="IQG37" s="414"/>
      <c r="IQH37" s="414"/>
      <c r="IQI37" s="414"/>
      <c r="IQJ37" s="414"/>
      <c r="IQK37" s="414"/>
      <c r="IQL37" s="414"/>
      <c r="IQM37" s="414"/>
      <c r="IQN37" s="414"/>
      <c r="IQO37" s="414"/>
      <c r="IQP37" s="414"/>
      <c r="IQQ37" s="414"/>
      <c r="IQR37" s="414"/>
      <c r="IQS37" s="414"/>
      <c r="IQT37" s="414"/>
      <c r="IQU37" s="414"/>
      <c r="IQV37" s="414"/>
      <c r="IQW37" s="414"/>
      <c r="IQX37" s="414"/>
      <c r="IQY37" s="414"/>
      <c r="IQZ37" s="414"/>
      <c r="IRA37" s="414"/>
      <c r="IRB37" s="414"/>
      <c r="IRC37" s="414"/>
      <c r="IRD37" s="414"/>
      <c r="IRE37" s="414"/>
      <c r="IRF37" s="414"/>
      <c r="IRG37" s="414"/>
      <c r="IRH37" s="414"/>
      <c r="IRI37" s="414"/>
      <c r="IRJ37" s="414"/>
      <c r="IRK37" s="414"/>
      <c r="IRL37" s="414"/>
      <c r="IRM37" s="414"/>
      <c r="IRN37" s="414"/>
      <c r="IRO37" s="414"/>
      <c r="IRP37" s="414"/>
      <c r="IRQ37" s="414"/>
      <c r="IRR37" s="414"/>
      <c r="IRS37" s="414"/>
      <c r="IRT37" s="414"/>
      <c r="IRU37" s="414"/>
      <c r="IRV37" s="414"/>
      <c r="IRW37" s="414"/>
      <c r="IRX37" s="414"/>
      <c r="IRY37" s="414"/>
      <c r="IRZ37" s="414"/>
      <c r="ISA37" s="414"/>
      <c r="ISB37" s="414"/>
      <c r="ISC37" s="414"/>
      <c r="ISD37" s="414"/>
      <c r="ISE37" s="414"/>
      <c r="ISF37" s="414"/>
      <c r="ISG37" s="414"/>
      <c r="ISH37" s="414"/>
      <c r="ISI37" s="414"/>
      <c r="ISJ37" s="414"/>
      <c r="ISK37" s="414"/>
      <c r="ISL37" s="414"/>
      <c r="ISM37" s="414"/>
      <c r="ISN37" s="414"/>
      <c r="ISO37" s="414"/>
      <c r="ISP37" s="414"/>
      <c r="ISQ37" s="414"/>
      <c r="ISR37" s="414"/>
      <c r="ISS37" s="414"/>
      <c r="IST37" s="414"/>
      <c r="ISU37" s="414"/>
      <c r="ISV37" s="414"/>
      <c r="ISW37" s="414"/>
      <c r="ISX37" s="414"/>
      <c r="ISY37" s="414"/>
      <c r="ISZ37" s="414"/>
      <c r="ITA37" s="414"/>
      <c r="ITB37" s="414"/>
      <c r="ITC37" s="414"/>
      <c r="ITD37" s="414"/>
      <c r="ITE37" s="414"/>
      <c r="ITF37" s="414"/>
      <c r="ITG37" s="414"/>
      <c r="ITH37" s="414"/>
      <c r="ITI37" s="414"/>
      <c r="ITJ37" s="414"/>
      <c r="ITK37" s="414"/>
      <c r="ITL37" s="414"/>
      <c r="ITM37" s="414"/>
      <c r="ITN37" s="414"/>
      <c r="ITO37" s="414"/>
      <c r="ITP37" s="414"/>
      <c r="ITQ37" s="414"/>
      <c r="ITR37" s="414"/>
      <c r="ITS37" s="414"/>
      <c r="ITT37" s="414"/>
      <c r="ITU37" s="414"/>
      <c r="ITV37" s="414"/>
      <c r="ITW37" s="414"/>
      <c r="ITX37" s="414"/>
      <c r="ITY37" s="414"/>
      <c r="ITZ37" s="414"/>
      <c r="IUA37" s="414"/>
      <c r="IUB37" s="414"/>
      <c r="IUC37" s="414"/>
      <c r="IUD37" s="414"/>
      <c r="IUE37" s="414"/>
      <c r="IUF37" s="414"/>
      <c r="IUG37" s="414"/>
      <c r="IUH37" s="414"/>
      <c r="IUI37" s="414"/>
      <c r="IUJ37" s="414"/>
      <c r="IUK37" s="414"/>
      <c r="IUL37" s="414"/>
      <c r="IUM37" s="414"/>
      <c r="IUN37" s="414"/>
      <c r="IUO37" s="414"/>
      <c r="IUP37" s="414"/>
      <c r="IUQ37" s="414"/>
      <c r="IUR37" s="414"/>
      <c r="IUS37" s="414"/>
      <c r="IUT37" s="414"/>
      <c r="IUU37" s="414"/>
      <c r="IUV37" s="414"/>
      <c r="IUW37" s="414"/>
      <c r="IUX37" s="414"/>
      <c r="IUY37" s="414"/>
      <c r="IUZ37" s="414"/>
      <c r="IVA37" s="414"/>
      <c r="IVB37" s="414"/>
      <c r="IVC37" s="414"/>
      <c r="IVD37" s="414"/>
      <c r="IVE37" s="414"/>
      <c r="IVF37" s="414"/>
      <c r="IVG37" s="414"/>
      <c r="IVH37" s="414"/>
      <c r="IVI37" s="414"/>
      <c r="IVJ37" s="414"/>
      <c r="IVK37" s="414"/>
      <c r="IVL37" s="414"/>
      <c r="IVM37" s="414"/>
      <c r="IVN37" s="414"/>
      <c r="IVO37" s="414"/>
      <c r="IVP37" s="414"/>
      <c r="IVQ37" s="414"/>
      <c r="IVR37" s="414"/>
      <c r="IVS37" s="414"/>
      <c r="IVT37" s="414"/>
      <c r="IVU37" s="414"/>
      <c r="IVV37" s="414"/>
      <c r="IVW37" s="414"/>
      <c r="IVX37" s="414"/>
      <c r="IVY37" s="414"/>
      <c r="IVZ37" s="414"/>
      <c r="IWA37" s="414"/>
      <c r="IWB37" s="414"/>
      <c r="IWC37" s="414"/>
      <c r="IWD37" s="414"/>
      <c r="IWE37" s="414"/>
      <c r="IWF37" s="414"/>
      <c r="IWG37" s="414"/>
      <c r="IWH37" s="414"/>
      <c r="IWI37" s="414"/>
      <c r="IWJ37" s="414"/>
      <c r="IWK37" s="414"/>
      <c r="IWL37" s="414"/>
      <c r="IWM37" s="414"/>
      <c r="IWN37" s="414"/>
      <c r="IWO37" s="414"/>
      <c r="IWP37" s="414"/>
      <c r="IWQ37" s="414"/>
      <c r="IWR37" s="414"/>
      <c r="IWS37" s="414"/>
      <c r="IWT37" s="414"/>
      <c r="IWU37" s="414"/>
      <c r="IWV37" s="414"/>
      <c r="IWW37" s="414"/>
      <c r="IWX37" s="414"/>
      <c r="IWY37" s="414"/>
      <c r="IWZ37" s="414"/>
      <c r="IXA37" s="414"/>
      <c r="IXB37" s="414"/>
      <c r="IXC37" s="414"/>
      <c r="IXD37" s="414"/>
      <c r="IXE37" s="414"/>
      <c r="IXF37" s="414"/>
      <c r="IXG37" s="414"/>
      <c r="IXH37" s="414"/>
      <c r="IXI37" s="414"/>
      <c r="IXJ37" s="414"/>
      <c r="IXK37" s="414"/>
      <c r="IXL37" s="414"/>
      <c r="IXM37" s="414"/>
      <c r="IXN37" s="414"/>
      <c r="IXO37" s="414"/>
      <c r="IXP37" s="414"/>
      <c r="IXQ37" s="414"/>
      <c r="IXR37" s="414"/>
      <c r="IXS37" s="414"/>
      <c r="IXT37" s="414"/>
      <c r="IXU37" s="414"/>
      <c r="IXV37" s="414"/>
      <c r="IXW37" s="414"/>
      <c r="IXX37" s="414"/>
      <c r="IXY37" s="414"/>
      <c r="IXZ37" s="414"/>
      <c r="IYA37" s="414"/>
      <c r="IYB37" s="414"/>
      <c r="IYC37" s="414"/>
      <c r="IYD37" s="414"/>
      <c r="IYE37" s="414"/>
      <c r="IYF37" s="414"/>
      <c r="IYG37" s="414"/>
      <c r="IYH37" s="414"/>
      <c r="IYI37" s="414"/>
      <c r="IYJ37" s="414"/>
      <c r="IYK37" s="414"/>
      <c r="IYL37" s="414"/>
      <c r="IYM37" s="414"/>
      <c r="IYN37" s="414"/>
      <c r="IYO37" s="414"/>
      <c r="IYP37" s="414"/>
      <c r="IYQ37" s="414"/>
      <c r="IYR37" s="414"/>
      <c r="IYS37" s="414"/>
      <c r="IYT37" s="414"/>
      <c r="IYU37" s="414"/>
      <c r="IYV37" s="414"/>
      <c r="IYW37" s="414"/>
      <c r="IYX37" s="414"/>
      <c r="IYY37" s="414"/>
      <c r="IYZ37" s="414"/>
      <c r="IZA37" s="414"/>
      <c r="IZB37" s="414"/>
      <c r="IZC37" s="414"/>
      <c r="IZD37" s="414"/>
      <c r="IZE37" s="414"/>
      <c r="IZF37" s="414"/>
      <c r="IZG37" s="414"/>
      <c r="IZH37" s="414"/>
      <c r="IZI37" s="414"/>
      <c r="IZJ37" s="414"/>
      <c r="IZK37" s="414"/>
      <c r="IZL37" s="414"/>
      <c r="IZM37" s="414"/>
      <c r="IZN37" s="414"/>
      <c r="IZO37" s="414"/>
      <c r="IZP37" s="414"/>
      <c r="IZQ37" s="414"/>
      <c r="IZR37" s="414"/>
      <c r="IZS37" s="414"/>
      <c r="IZT37" s="414"/>
      <c r="IZU37" s="414"/>
      <c r="IZV37" s="414"/>
      <c r="IZW37" s="414"/>
      <c r="IZX37" s="414"/>
      <c r="IZY37" s="414"/>
      <c r="IZZ37" s="414"/>
      <c r="JAA37" s="414"/>
      <c r="JAB37" s="414"/>
      <c r="JAC37" s="414"/>
      <c r="JAD37" s="414"/>
      <c r="JAE37" s="414"/>
      <c r="JAF37" s="414"/>
      <c r="JAG37" s="414"/>
      <c r="JAH37" s="414"/>
      <c r="JAI37" s="414"/>
      <c r="JAJ37" s="414"/>
      <c r="JAK37" s="414"/>
      <c r="JAL37" s="414"/>
      <c r="JAM37" s="414"/>
      <c r="JAN37" s="414"/>
      <c r="JAO37" s="414"/>
      <c r="JAP37" s="414"/>
      <c r="JAQ37" s="414"/>
      <c r="JAR37" s="414"/>
      <c r="JAS37" s="414"/>
      <c r="JAT37" s="414"/>
      <c r="JAU37" s="414"/>
      <c r="JAV37" s="414"/>
      <c r="JAW37" s="414"/>
      <c r="JAX37" s="414"/>
      <c r="JAY37" s="414"/>
      <c r="JAZ37" s="414"/>
      <c r="JBA37" s="414"/>
      <c r="JBB37" s="414"/>
      <c r="JBC37" s="414"/>
      <c r="JBD37" s="414"/>
      <c r="JBE37" s="414"/>
      <c r="JBF37" s="414"/>
      <c r="JBG37" s="414"/>
      <c r="JBH37" s="414"/>
      <c r="JBI37" s="414"/>
      <c r="JBJ37" s="414"/>
      <c r="JBK37" s="414"/>
      <c r="JBL37" s="414"/>
      <c r="JBM37" s="414"/>
      <c r="JBN37" s="414"/>
      <c r="JBO37" s="414"/>
      <c r="JBP37" s="414"/>
      <c r="JBQ37" s="414"/>
      <c r="JBR37" s="414"/>
      <c r="JBS37" s="414"/>
      <c r="JBT37" s="414"/>
      <c r="JBU37" s="414"/>
      <c r="JBV37" s="414"/>
      <c r="JBW37" s="414"/>
      <c r="JBX37" s="414"/>
      <c r="JBY37" s="414"/>
      <c r="JBZ37" s="414"/>
      <c r="JCA37" s="414"/>
      <c r="JCB37" s="414"/>
      <c r="JCC37" s="414"/>
      <c r="JCD37" s="414"/>
      <c r="JCE37" s="414"/>
      <c r="JCF37" s="414"/>
      <c r="JCG37" s="414"/>
      <c r="JCH37" s="414"/>
      <c r="JCI37" s="414"/>
      <c r="JCJ37" s="414"/>
      <c r="JCK37" s="414"/>
      <c r="JCL37" s="414"/>
      <c r="JCM37" s="414"/>
      <c r="JCN37" s="414"/>
      <c r="JCO37" s="414"/>
      <c r="JCP37" s="414"/>
      <c r="JCQ37" s="414"/>
      <c r="JCR37" s="414"/>
      <c r="JCS37" s="414"/>
      <c r="JCT37" s="414"/>
      <c r="JCU37" s="414"/>
      <c r="JCV37" s="414"/>
      <c r="JCW37" s="414"/>
      <c r="JCX37" s="414"/>
      <c r="JCY37" s="414"/>
      <c r="JCZ37" s="414"/>
      <c r="JDA37" s="414"/>
      <c r="JDB37" s="414"/>
      <c r="JDC37" s="414"/>
      <c r="JDD37" s="414"/>
      <c r="JDE37" s="414"/>
      <c r="JDF37" s="414"/>
      <c r="JDG37" s="414"/>
      <c r="JDH37" s="414"/>
      <c r="JDI37" s="414"/>
      <c r="JDJ37" s="414"/>
      <c r="JDK37" s="414"/>
      <c r="JDL37" s="414"/>
      <c r="JDM37" s="414"/>
      <c r="JDN37" s="414"/>
      <c r="JDO37" s="414"/>
      <c r="JDP37" s="414"/>
      <c r="JDQ37" s="414"/>
      <c r="JDR37" s="414"/>
      <c r="JDS37" s="414"/>
      <c r="JDT37" s="414"/>
      <c r="JDU37" s="414"/>
      <c r="JDV37" s="414"/>
      <c r="JDW37" s="414"/>
      <c r="JDX37" s="414"/>
      <c r="JDY37" s="414"/>
      <c r="JDZ37" s="414"/>
      <c r="JEA37" s="414"/>
      <c r="JEB37" s="414"/>
      <c r="JEC37" s="414"/>
      <c r="JED37" s="414"/>
      <c r="JEE37" s="414"/>
      <c r="JEF37" s="414"/>
      <c r="JEG37" s="414"/>
      <c r="JEH37" s="414"/>
      <c r="JEI37" s="414"/>
      <c r="JEJ37" s="414"/>
      <c r="JEK37" s="414"/>
      <c r="JEL37" s="414"/>
      <c r="JEM37" s="414"/>
      <c r="JEN37" s="414"/>
      <c r="JEO37" s="414"/>
      <c r="JEP37" s="414"/>
      <c r="JEQ37" s="414"/>
      <c r="JER37" s="414"/>
      <c r="JES37" s="414"/>
      <c r="JET37" s="414"/>
      <c r="JEU37" s="414"/>
      <c r="JEV37" s="414"/>
      <c r="JEW37" s="414"/>
      <c r="JEX37" s="414"/>
      <c r="JEY37" s="414"/>
      <c r="JEZ37" s="414"/>
      <c r="JFA37" s="414"/>
      <c r="JFB37" s="414"/>
      <c r="JFC37" s="414"/>
      <c r="JFD37" s="414"/>
      <c r="JFE37" s="414"/>
      <c r="JFF37" s="414"/>
      <c r="JFG37" s="414"/>
      <c r="JFH37" s="414"/>
      <c r="JFI37" s="414"/>
      <c r="JFJ37" s="414"/>
      <c r="JFK37" s="414"/>
      <c r="JFL37" s="414"/>
      <c r="JFM37" s="414"/>
      <c r="JFN37" s="414"/>
      <c r="JFO37" s="414"/>
      <c r="JFP37" s="414"/>
      <c r="JFQ37" s="414"/>
      <c r="JFR37" s="414"/>
      <c r="JFS37" s="414"/>
      <c r="JFT37" s="414"/>
      <c r="JFU37" s="414"/>
      <c r="JFV37" s="414"/>
      <c r="JFW37" s="414"/>
      <c r="JFX37" s="414"/>
      <c r="JFY37" s="414"/>
      <c r="JFZ37" s="414"/>
      <c r="JGA37" s="414"/>
      <c r="JGB37" s="414"/>
      <c r="JGC37" s="414"/>
      <c r="JGD37" s="414"/>
      <c r="JGE37" s="414"/>
      <c r="JGF37" s="414"/>
      <c r="JGG37" s="414"/>
      <c r="JGH37" s="414"/>
      <c r="JGI37" s="414"/>
      <c r="JGJ37" s="414"/>
      <c r="JGK37" s="414"/>
      <c r="JGL37" s="414"/>
      <c r="JGM37" s="414"/>
      <c r="JGN37" s="414"/>
      <c r="JGO37" s="414"/>
      <c r="JGP37" s="414"/>
      <c r="JGQ37" s="414"/>
      <c r="JGR37" s="414"/>
      <c r="JGS37" s="414"/>
      <c r="JGT37" s="414"/>
      <c r="JGU37" s="414"/>
      <c r="JGV37" s="414"/>
      <c r="JGW37" s="414"/>
      <c r="JGX37" s="414"/>
      <c r="JGY37" s="414"/>
      <c r="JGZ37" s="414"/>
      <c r="JHA37" s="414"/>
      <c r="JHB37" s="414"/>
      <c r="JHC37" s="414"/>
      <c r="JHD37" s="414"/>
      <c r="JHE37" s="414"/>
      <c r="JHF37" s="414"/>
      <c r="JHG37" s="414"/>
      <c r="JHH37" s="414"/>
      <c r="JHI37" s="414"/>
      <c r="JHJ37" s="414"/>
      <c r="JHK37" s="414"/>
      <c r="JHL37" s="414"/>
      <c r="JHM37" s="414"/>
      <c r="JHN37" s="414"/>
      <c r="JHO37" s="414"/>
      <c r="JHP37" s="414"/>
      <c r="JHQ37" s="414"/>
      <c r="JHR37" s="414"/>
      <c r="JHS37" s="414"/>
      <c r="JHT37" s="414"/>
      <c r="JHU37" s="414"/>
      <c r="JHV37" s="414"/>
      <c r="JHW37" s="414"/>
      <c r="JHX37" s="414"/>
      <c r="JHY37" s="414"/>
      <c r="JHZ37" s="414"/>
      <c r="JIA37" s="414"/>
      <c r="JIB37" s="414"/>
      <c r="JIC37" s="414"/>
      <c r="JID37" s="414"/>
      <c r="JIE37" s="414"/>
      <c r="JIF37" s="414"/>
      <c r="JIG37" s="414"/>
      <c r="JIH37" s="414"/>
      <c r="JII37" s="414"/>
      <c r="JIJ37" s="414"/>
      <c r="JIK37" s="414"/>
      <c r="JIL37" s="414"/>
      <c r="JIM37" s="414"/>
      <c r="JIN37" s="414"/>
      <c r="JIO37" s="414"/>
      <c r="JIP37" s="414"/>
      <c r="JIQ37" s="414"/>
      <c r="JIR37" s="414"/>
      <c r="JIS37" s="414"/>
      <c r="JIT37" s="414"/>
      <c r="JIU37" s="414"/>
      <c r="JIV37" s="414"/>
      <c r="JIW37" s="414"/>
      <c r="JIX37" s="414"/>
      <c r="JIY37" s="414"/>
      <c r="JIZ37" s="414"/>
      <c r="JJA37" s="414"/>
      <c r="JJB37" s="414"/>
      <c r="JJC37" s="414"/>
      <c r="JJD37" s="414"/>
      <c r="JJE37" s="414"/>
      <c r="JJF37" s="414"/>
      <c r="JJG37" s="414"/>
      <c r="JJH37" s="414"/>
      <c r="JJI37" s="414"/>
      <c r="JJJ37" s="414"/>
      <c r="JJK37" s="414"/>
      <c r="JJL37" s="414"/>
      <c r="JJM37" s="414"/>
      <c r="JJN37" s="414"/>
      <c r="JJO37" s="414"/>
      <c r="JJP37" s="414"/>
      <c r="JJQ37" s="414"/>
      <c r="JJR37" s="414"/>
      <c r="JJS37" s="414"/>
      <c r="JJT37" s="414"/>
      <c r="JJU37" s="414"/>
      <c r="JJV37" s="414"/>
      <c r="JJW37" s="414"/>
      <c r="JJX37" s="414"/>
      <c r="JJY37" s="414"/>
      <c r="JJZ37" s="414"/>
      <c r="JKA37" s="414"/>
      <c r="JKB37" s="414"/>
      <c r="JKC37" s="414"/>
      <c r="JKD37" s="414"/>
      <c r="JKE37" s="414"/>
      <c r="JKF37" s="414"/>
      <c r="JKG37" s="414"/>
      <c r="JKH37" s="414"/>
      <c r="JKI37" s="414"/>
      <c r="JKJ37" s="414"/>
      <c r="JKK37" s="414"/>
      <c r="JKL37" s="414"/>
      <c r="JKM37" s="414"/>
      <c r="JKN37" s="414"/>
      <c r="JKO37" s="414"/>
      <c r="JKP37" s="414"/>
      <c r="JKQ37" s="414"/>
      <c r="JKR37" s="414"/>
      <c r="JKS37" s="414"/>
      <c r="JKT37" s="414"/>
      <c r="JKU37" s="414"/>
      <c r="JKV37" s="414"/>
      <c r="JKW37" s="414"/>
      <c r="JKX37" s="414"/>
      <c r="JKY37" s="414"/>
      <c r="JKZ37" s="414"/>
      <c r="JLA37" s="414"/>
      <c r="JLB37" s="414"/>
      <c r="JLC37" s="414"/>
      <c r="JLD37" s="414"/>
      <c r="JLE37" s="414"/>
      <c r="JLF37" s="414"/>
      <c r="JLG37" s="414"/>
      <c r="JLH37" s="414"/>
      <c r="JLI37" s="414"/>
      <c r="JLJ37" s="414"/>
      <c r="JLK37" s="414"/>
      <c r="JLL37" s="414"/>
      <c r="JLM37" s="414"/>
      <c r="JLN37" s="414"/>
      <c r="JLO37" s="414"/>
      <c r="JLP37" s="414"/>
      <c r="JLQ37" s="414"/>
      <c r="JLR37" s="414"/>
      <c r="JLS37" s="414"/>
      <c r="JLT37" s="414"/>
      <c r="JLU37" s="414"/>
      <c r="JLV37" s="414"/>
      <c r="JLW37" s="414"/>
      <c r="JLX37" s="414"/>
      <c r="JLY37" s="414"/>
      <c r="JLZ37" s="414"/>
      <c r="JMA37" s="414"/>
      <c r="JMB37" s="414"/>
      <c r="JMC37" s="414"/>
      <c r="JMD37" s="414"/>
      <c r="JME37" s="414"/>
      <c r="JMF37" s="414"/>
      <c r="JMG37" s="414"/>
      <c r="JMH37" s="414"/>
      <c r="JMI37" s="414"/>
      <c r="JMJ37" s="414"/>
      <c r="JMK37" s="414"/>
      <c r="JML37" s="414"/>
      <c r="JMM37" s="414"/>
      <c r="JMN37" s="414"/>
      <c r="JMO37" s="414"/>
      <c r="JMP37" s="414"/>
      <c r="JMQ37" s="414"/>
      <c r="JMR37" s="414"/>
      <c r="JMS37" s="414"/>
      <c r="JMT37" s="414"/>
      <c r="JMU37" s="414"/>
      <c r="JMV37" s="414"/>
      <c r="JMW37" s="414"/>
      <c r="JMX37" s="414"/>
      <c r="JMY37" s="414"/>
      <c r="JMZ37" s="414"/>
      <c r="JNA37" s="414"/>
      <c r="JNB37" s="414"/>
      <c r="JNC37" s="414"/>
      <c r="JND37" s="414"/>
      <c r="JNE37" s="414"/>
      <c r="JNF37" s="414"/>
      <c r="JNG37" s="414"/>
      <c r="JNH37" s="414"/>
      <c r="JNI37" s="414"/>
      <c r="JNJ37" s="414"/>
      <c r="JNK37" s="414"/>
      <c r="JNL37" s="414"/>
      <c r="JNM37" s="414"/>
      <c r="JNN37" s="414"/>
      <c r="JNO37" s="414"/>
      <c r="JNP37" s="414"/>
      <c r="JNQ37" s="414"/>
      <c r="JNR37" s="414"/>
      <c r="JNS37" s="414"/>
      <c r="JNT37" s="414"/>
      <c r="JNU37" s="414"/>
      <c r="JNV37" s="414"/>
      <c r="JNW37" s="414"/>
      <c r="JNX37" s="414"/>
      <c r="JNY37" s="414"/>
      <c r="JNZ37" s="414"/>
      <c r="JOA37" s="414"/>
      <c r="JOB37" s="414"/>
      <c r="JOC37" s="414"/>
      <c r="JOD37" s="414"/>
      <c r="JOE37" s="414"/>
      <c r="JOF37" s="414"/>
      <c r="JOG37" s="414"/>
      <c r="JOH37" s="414"/>
      <c r="JOI37" s="414"/>
      <c r="JOJ37" s="414"/>
      <c r="JOK37" s="414"/>
      <c r="JOL37" s="414"/>
      <c r="JOM37" s="414"/>
      <c r="JON37" s="414"/>
      <c r="JOO37" s="414"/>
      <c r="JOP37" s="414"/>
      <c r="JOQ37" s="414"/>
      <c r="JOR37" s="414"/>
      <c r="JOS37" s="414"/>
      <c r="JOT37" s="414"/>
      <c r="JOU37" s="414"/>
      <c r="JOV37" s="414"/>
      <c r="JOW37" s="414"/>
      <c r="JOX37" s="414"/>
      <c r="JOY37" s="414"/>
      <c r="JOZ37" s="414"/>
      <c r="JPA37" s="414"/>
      <c r="JPB37" s="414"/>
      <c r="JPC37" s="414"/>
      <c r="JPD37" s="414"/>
      <c r="JPE37" s="414"/>
      <c r="JPF37" s="414"/>
      <c r="JPG37" s="414"/>
      <c r="JPH37" s="414"/>
      <c r="JPI37" s="414"/>
      <c r="JPJ37" s="414"/>
      <c r="JPK37" s="414"/>
      <c r="JPL37" s="414"/>
      <c r="JPM37" s="414"/>
      <c r="JPN37" s="414"/>
      <c r="JPO37" s="414"/>
      <c r="JPP37" s="414"/>
      <c r="JPQ37" s="414"/>
      <c r="JPR37" s="414"/>
      <c r="JPS37" s="414"/>
      <c r="JPT37" s="414"/>
      <c r="JPU37" s="414"/>
      <c r="JPV37" s="414"/>
      <c r="JPW37" s="414"/>
      <c r="JPX37" s="414"/>
      <c r="JPY37" s="414"/>
      <c r="JPZ37" s="414"/>
      <c r="JQA37" s="414"/>
      <c r="JQB37" s="414"/>
      <c r="JQC37" s="414"/>
      <c r="JQD37" s="414"/>
      <c r="JQE37" s="414"/>
      <c r="JQF37" s="414"/>
      <c r="JQG37" s="414"/>
      <c r="JQH37" s="414"/>
      <c r="JQI37" s="414"/>
      <c r="JQJ37" s="414"/>
      <c r="JQK37" s="414"/>
      <c r="JQL37" s="414"/>
      <c r="JQM37" s="414"/>
      <c r="JQN37" s="414"/>
      <c r="JQO37" s="414"/>
      <c r="JQP37" s="414"/>
      <c r="JQQ37" s="414"/>
      <c r="JQR37" s="414"/>
      <c r="JQS37" s="414"/>
      <c r="JQT37" s="414"/>
      <c r="JQU37" s="414"/>
      <c r="JQV37" s="414"/>
      <c r="JQW37" s="414"/>
      <c r="JQX37" s="414"/>
      <c r="JQY37" s="414"/>
      <c r="JQZ37" s="414"/>
      <c r="JRA37" s="414"/>
      <c r="JRB37" s="414"/>
      <c r="JRC37" s="414"/>
      <c r="JRD37" s="414"/>
      <c r="JRE37" s="414"/>
      <c r="JRF37" s="414"/>
      <c r="JRG37" s="414"/>
      <c r="JRH37" s="414"/>
      <c r="JRI37" s="414"/>
      <c r="JRJ37" s="414"/>
      <c r="JRK37" s="414"/>
      <c r="JRL37" s="414"/>
      <c r="JRM37" s="414"/>
      <c r="JRN37" s="414"/>
      <c r="JRO37" s="414"/>
      <c r="JRP37" s="414"/>
      <c r="JRQ37" s="414"/>
      <c r="JRR37" s="414"/>
      <c r="JRS37" s="414"/>
      <c r="JRT37" s="414"/>
      <c r="JRU37" s="414"/>
      <c r="JRV37" s="414"/>
      <c r="JRW37" s="414"/>
      <c r="JRX37" s="414"/>
      <c r="JRY37" s="414"/>
      <c r="JRZ37" s="414"/>
      <c r="JSA37" s="414"/>
      <c r="JSB37" s="414"/>
      <c r="JSC37" s="414"/>
      <c r="JSD37" s="414"/>
      <c r="JSE37" s="414"/>
      <c r="JSF37" s="414"/>
      <c r="JSG37" s="414"/>
      <c r="JSH37" s="414"/>
      <c r="JSI37" s="414"/>
      <c r="JSJ37" s="414"/>
      <c r="JSK37" s="414"/>
      <c r="JSL37" s="414"/>
      <c r="JSM37" s="414"/>
      <c r="JSN37" s="414"/>
      <c r="JSO37" s="414"/>
      <c r="JSP37" s="414"/>
      <c r="JSQ37" s="414"/>
      <c r="JSR37" s="414"/>
      <c r="JSS37" s="414"/>
      <c r="JST37" s="414"/>
      <c r="JSU37" s="414"/>
      <c r="JSV37" s="414"/>
      <c r="JSW37" s="414"/>
      <c r="JSX37" s="414"/>
      <c r="JSY37" s="414"/>
      <c r="JSZ37" s="414"/>
      <c r="JTA37" s="414"/>
      <c r="JTB37" s="414"/>
      <c r="JTC37" s="414"/>
      <c r="JTD37" s="414"/>
      <c r="JTE37" s="414"/>
      <c r="JTF37" s="414"/>
      <c r="JTG37" s="414"/>
      <c r="JTH37" s="414"/>
      <c r="JTI37" s="414"/>
      <c r="JTJ37" s="414"/>
      <c r="JTK37" s="414"/>
      <c r="JTL37" s="414"/>
      <c r="JTM37" s="414"/>
      <c r="JTN37" s="414"/>
      <c r="JTO37" s="414"/>
      <c r="JTP37" s="414"/>
      <c r="JTQ37" s="414"/>
      <c r="JTR37" s="414"/>
      <c r="JTS37" s="414"/>
      <c r="JTT37" s="414"/>
      <c r="JTU37" s="414"/>
      <c r="JTV37" s="414"/>
      <c r="JTW37" s="414"/>
      <c r="JTX37" s="414"/>
      <c r="JTY37" s="414"/>
      <c r="JTZ37" s="414"/>
      <c r="JUA37" s="414"/>
      <c r="JUB37" s="414"/>
      <c r="JUC37" s="414"/>
      <c r="JUD37" s="414"/>
      <c r="JUE37" s="414"/>
      <c r="JUF37" s="414"/>
      <c r="JUG37" s="414"/>
      <c r="JUH37" s="414"/>
      <c r="JUI37" s="414"/>
      <c r="JUJ37" s="414"/>
      <c r="JUK37" s="414"/>
      <c r="JUL37" s="414"/>
      <c r="JUM37" s="414"/>
      <c r="JUN37" s="414"/>
      <c r="JUO37" s="414"/>
      <c r="JUP37" s="414"/>
      <c r="JUQ37" s="414"/>
      <c r="JUR37" s="414"/>
      <c r="JUS37" s="414"/>
      <c r="JUT37" s="414"/>
      <c r="JUU37" s="414"/>
      <c r="JUV37" s="414"/>
      <c r="JUW37" s="414"/>
      <c r="JUX37" s="414"/>
      <c r="JUY37" s="414"/>
      <c r="JUZ37" s="414"/>
      <c r="JVA37" s="414"/>
      <c r="JVB37" s="414"/>
      <c r="JVC37" s="414"/>
      <c r="JVD37" s="414"/>
      <c r="JVE37" s="414"/>
      <c r="JVF37" s="414"/>
      <c r="JVG37" s="414"/>
      <c r="JVH37" s="414"/>
      <c r="JVI37" s="414"/>
      <c r="JVJ37" s="414"/>
      <c r="JVK37" s="414"/>
      <c r="JVL37" s="414"/>
      <c r="JVM37" s="414"/>
      <c r="JVN37" s="414"/>
      <c r="JVO37" s="414"/>
      <c r="JVP37" s="414"/>
      <c r="JVQ37" s="414"/>
      <c r="JVR37" s="414"/>
      <c r="JVS37" s="414"/>
      <c r="JVT37" s="414"/>
      <c r="JVU37" s="414"/>
      <c r="JVV37" s="414"/>
      <c r="JVW37" s="414"/>
      <c r="JVX37" s="414"/>
      <c r="JVY37" s="414"/>
      <c r="JVZ37" s="414"/>
      <c r="JWA37" s="414"/>
      <c r="JWB37" s="414"/>
      <c r="JWC37" s="414"/>
      <c r="JWD37" s="414"/>
      <c r="JWE37" s="414"/>
      <c r="JWF37" s="414"/>
      <c r="JWG37" s="414"/>
      <c r="JWH37" s="414"/>
      <c r="JWI37" s="414"/>
      <c r="JWJ37" s="414"/>
      <c r="JWK37" s="414"/>
      <c r="JWL37" s="414"/>
      <c r="JWM37" s="414"/>
      <c r="JWN37" s="414"/>
      <c r="JWO37" s="414"/>
      <c r="JWP37" s="414"/>
      <c r="JWQ37" s="414"/>
      <c r="JWR37" s="414"/>
      <c r="JWS37" s="414"/>
      <c r="JWT37" s="414"/>
      <c r="JWU37" s="414"/>
      <c r="JWV37" s="414"/>
      <c r="JWW37" s="414"/>
      <c r="JWX37" s="414"/>
      <c r="JWY37" s="414"/>
      <c r="JWZ37" s="414"/>
      <c r="JXA37" s="414"/>
      <c r="JXB37" s="414"/>
      <c r="JXC37" s="414"/>
      <c r="JXD37" s="414"/>
      <c r="JXE37" s="414"/>
      <c r="JXF37" s="414"/>
      <c r="JXG37" s="414"/>
      <c r="JXH37" s="414"/>
      <c r="JXI37" s="414"/>
      <c r="JXJ37" s="414"/>
      <c r="JXK37" s="414"/>
      <c r="JXL37" s="414"/>
      <c r="JXM37" s="414"/>
      <c r="JXN37" s="414"/>
      <c r="JXO37" s="414"/>
      <c r="JXP37" s="414"/>
      <c r="JXQ37" s="414"/>
      <c r="JXR37" s="414"/>
      <c r="JXS37" s="414"/>
      <c r="JXT37" s="414"/>
      <c r="JXU37" s="414"/>
      <c r="JXV37" s="414"/>
      <c r="JXW37" s="414"/>
      <c r="JXX37" s="414"/>
      <c r="JXY37" s="414"/>
      <c r="JXZ37" s="414"/>
      <c r="JYA37" s="414"/>
      <c r="JYB37" s="414"/>
      <c r="JYC37" s="414"/>
      <c r="JYD37" s="414"/>
      <c r="JYE37" s="414"/>
      <c r="JYF37" s="414"/>
      <c r="JYG37" s="414"/>
      <c r="JYH37" s="414"/>
      <c r="JYI37" s="414"/>
      <c r="JYJ37" s="414"/>
      <c r="JYK37" s="414"/>
      <c r="JYL37" s="414"/>
      <c r="JYM37" s="414"/>
      <c r="JYN37" s="414"/>
      <c r="JYO37" s="414"/>
      <c r="JYP37" s="414"/>
      <c r="JYQ37" s="414"/>
      <c r="JYR37" s="414"/>
      <c r="JYS37" s="414"/>
      <c r="JYT37" s="414"/>
      <c r="JYU37" s="414"/>
      <c r="JYV37" s="414"/>
      <c r="JYW37" s="414"/>
      <c r="JYX37" s="414"/>
      <c r="JYY37" s="414"/>
      <c r="JYZ37" s="414"/>
      <c r="JZA37" s="414"/>
      <c r="JZB37" s="414"/>
      <c r="JZC37" s="414"/>
      <c r="JZD37" s="414"/>
      <c r="JZE37" s="414"/>
      <c r="JZF37" s="414"/>
      <c r="JZG37" s="414"/>
      <c r="JZH37" s="414"/>
      <c r="JZI37" s="414"/>
      <c r="JZJ37" s="414"/>
      <c r="JZK37" s="414"/>
      <c r="JZL37" s="414"/>
      <c r="JZM37" s="414"/>
      <c r="JZN37" s="414"/>
      <c r="JZO37" s="414"/>
      <c r="JZP37" s="414"/>
      <c r="JZQ37" s="414"/>
      <c r="JZR37" s="414"/>
      <c r="JZS37" s="414"/>
      <c r="JZT37" s="414"/>
      <c r="JZU37" s="414"/>
      <c r="JZV37" s="414"/>
      <c r="JZW37" s="414"/>
      <c r="JZX37" s="414"/>
      <c r="JZY37" s="414"/>
      <c r="JZZ37" s="414"/>
      <c r="KAA37" s="414"/>
      <c r="KAB37" s="414"/>
      <c r="KAC37" s="414"/>
      <c r="KAD37" s="414"/>
      <c r="KAE37" s="414"/>
      <c r="KAF37" s="414"/>
      <c r="KAG37" s="414"/>
      <c r="KAH37" s="414"/>
      <c r="KAI37" s="414"/>
      <c r="KAJ37" s="414"/>
      <c r="KAK37" s="414"/>
      <c r="KAL37" s="414"/>
      <c r="KAM37" s="414"/>
      <c r="KAN37" s="414"/>
      <c r="KAO37" s="414"/>
      <c r="KAP37" s="414"/>
      <c r="KAQ37" s="414"/>
      <c r="KAR37" s="414"/>
      <c r="KAS37" s="414"/>
      <c r="KAT37" s="414"/>
      <c r="KAU37" s="414"/>
      <c r="KAV37" s="414"/>
      <c r="KAW37" s="414"/>
      <c r="KAX37" s="414"/>
      <c r="KAY37" s="414"/>
      <c r="KAZ37" s="414"/>
      <c r="KBA37" s="414"/>
      <c r="KBB37" s="414"/>
      <c r="KBC37" s="414"/>
      <c r="KBD37" s="414"/>
      <c r="KBE37" s="414"/>
      <c r="KBF37" s="414"/>
      <c r="KBG37" s="414"/>
      <c r="KBH37" s="414"/>
      <c r="KBI37" s="414"/>
      <c r="KBJ37" s="414"/>
      <c r="KBK37" s="414"/>
      <c r="KBL37" s="414"/>
      <c r="KBM37" s="414"/>
      <c r="KBN37" s="414"/>
      <c r="KBO37" s="414"/>
      <c r="KBP37" s="414"/>
      <c r="KBQ37" s="414"/>
      <c r="KBR37" s="414"/>
      <c r="KBS37" s="414"/>
      <c r="KBT37" s="414"/>
      <c r="KBU37" s="414"/>
      <c r="KBV37" s="414"/>
      <c r="KBW37" s="414"/>
      <c r="KBX37" s="414"/>
      <c r="KBY37" s="414"/>
      <c r="KBZ37" s="414"/>
      <c r="KCA37" s="414"/>
      <c r="KCB37" s="414"/>
      <c r="KCC37" s="414"/>
      <c r="KCD37" s="414"/>
      <c r="KCE37" s="414"/>
      <c r="KCF37" s="414"/>
      <c r="KCG37" s="414"/>
      <c r="KCH37" s="414"/>
      <c r="KCI37" s="414"/>
      <c r="KCJ37" s="414"/>
      <c r="KCK37" s="414"/>
      <c r="KCL37" s="414"/>
      <c r="KCM37" s="414"/>
      <c r="KCN37" s="414"/>
      <c r="KCO37" s="414"/>
      <c r="KCP37" s="414"/>
      <c r="KCQ37" s="414"/>
      <c r="KCR37" s="414"/>
      <c r="KCS37" s="414"/>
      <c r="KCT37" s="414"/>
      <c r="KCU37" s="414"/>
      <c r="KCV37" s="414"/>
      <c r="KCW37" s="414"/>
      <c r="KCX37" s="414"/>
      <c r="KCY37" s="414"/>
      <c r="KCZ37" s="414"/>
      <c r="KDA37" s="414"/>
      <c r="KDB37" s="414"/>
      <c r="KDC37" s="414"/>
      <c r="KDD37" s="414"/>
      <c r="KDE37" s="414"/>
      <c r="KDF37" s="414"/>
      <c r="KDG37" s="414"/>
      <c r="KDH37" s="414"/>
      <c r="KDI37" s="414"/>
      <c r="KDJ37" s="414"/>
      <c r="KDK37" s="414"/>
      <c r="KDL37" s="414"/>
      <c r="KDM37" s="414"/>
      <c r="KDN37" s="414"/>
      <c r="KDO37" s="414"/>
      <c r="KDP37" s="414"/>
      <c r="KDQ37" s="414"/>
      <c r="KDR37" s="414"/>
      <c r="KDS37" s="414"/>
      <c r="KDT37" s="414"/>
      <c r="KDU37" s="414"/>
      <c r="KDV37" s="414"/>
      <c r="KDW37" s="414"/>
      <c r="KDX37" s="414"/>
      <c r="KDY37" s="414"/>
      <c r="KDZ37" s="414"/>
      <c r="KEA37" s="414"/>
      <c r="KEB37" s="414"/>
      <c r="KEC37" s="414"/>
      <c r="KED37" s="414"/>
      <c r="KEE37" s="414"/>
      <c r="KEF37" s="414"/>
      <c r="KEG37" s="414"/>
      <c r="KEH37" s="414"/>
      <c r="KEI37" s="414"/>
      <c r="KEJ37" s="414"/>
      <c r="KEK37" s="414"/>
      <c r="KEL37" s="414"/>
      <c r="KEM37" s="414"/>
      <c r="KEN37" s="414"/>
      <c r="KEO37" s="414"/>
      <c r="KEP37" s="414"/>
      <c r="KEQ37" s="414"/>
      <c r="KER37" s="414"/>
      <c r="KES37" s="414"/>
      <c r="KET37" s="414"/>
      <c r="KEU37" s="414"/>
      <c r="KEV37" s="414"/>
      <c r="KEW37" s="414"/>
      <c r="KEX37" s="414"/>
      <c r="KEY37" s="414"/>
      <c r="KEZ37" s="414"/>
      <c r="KFA37" s="414"/>
      <c r="KFB37" s="414"/>
      <c r="KFC37" s="414"/>
      <c r="KFD37" s="414"/>
      <c r="KFE37" s="414"/>
      <c r="KFF37" s="414"/>
      <c r="KFG37" s="414"/>
      <c r="KFH37" s="414"/>
      <c r="KFI37" s="414"/>
      <c r="KFJ37" s="414"/>
      <c r="KFK37" s="414"/>
      <c r="KFL37" s="414"/>
      <c r="KFM37" s="414"/>
      <c r="KFN37" s="414"/>
      <c r="KFO37" s="414"/>
      <c r="KFP37" s="414"/>
      <c r="KFQ37" s="414"/>
      <c r="KFR37" s="414"/>
      <c r="KFS37" s="414"/>
      <c r="KFT37" s="414"/>
      <c r="KFU37" s="414"/>
      <c r="KFV37" s="414"/>
      <c r="KFW37" s="414"/>
      <c r="KFX37" s="414"/>
      <c r="KFY37" s="414"/>
      <c r="KFZ37" s="414"/>
      <c r="KGA37" s="414"/>
      <c r="KGB37" s="414"/>
      <c r="KGC37" s="414"/>
      <c r="KGD37" s="414"/>
      <c r="KGE37" s="414"/>
      <c r="KGF37" s="414"/>
      <c r="KGG37" s="414"/>
      <c r="KGH37" s="414"/>
      <c r="KGI37" s="414"/>
      <c r="KGJ37" s="414"/>
      <c r="KGK37" s="414"/>
      <c r="KGL37" s="414"/>
      <c r="KGM37" s="414"/>
      <c r="KGN37" s="414"/>
      <c r="KGO37" s="414"/>
      <c r="KGP37" s="414"/>
      <c r="KGQ37" s="414"/>
      <c r="KGR37" s="414"/>
      <c r="KGS37" s="414"/>
      <c r="KGT37" s="414"/>
      <c r="KGU37" s="414"/>
      <c r="KGV37" s="414"/>
      <c r="KGW37" s="414"/>
      <c r="KGX37" s="414"/>
      <c r="KGY37" s="414"/>
      <c r="KGZ37" s="414"/>
      <c r="KHA37" s="414"/>
      <c r="KHB37" s="414"/>
      <c r="KHC37" s="414"/>
      <c r="KHD37" s="414"/>
      <c r="KHE37" s="414"/>
      <c r="KHF37" s="414"/>
      <c r="KHG37" s="414"/>
      <c r="KHH37" s="414"/>
      <c r="KHI37" s="414"/>
      <c r="KHJ37" s="414"/>
      <c r="KHK37" s="414"/>
      <c r="KHL37" s="414"/>
      <c r="KHM37" s="414"/>
      <c r="KHN37" s="414"/>
      <c r="KHO37" s="414"/>
      <c r="KHP37" s="414"/>
      <c r="KHQ37" s="414"/>
      <c r="KHR37" s="414"/>
      <c r="KHS37" s="414"/>
      <c r="KHT37" s="414"/>
      <c r="KHU37" s="414"/>
      <c r="KHV37" s="414"/>
      <c r="KHW37" s="414"/>
      <c r="KHX37" s="414"/>
      <c r="KHY37" s="414"/>
      <c r="KHZ37" s="414"/>
      <c r="KIA37" s="414"/>
      <c r="KIB37" s="414"/>
      <c r="KIC37" s="414"/>
      <c r="KID37" s="414"/>
      <c r="KIE37" s="414"/>
      <c r="KIF37" s="414"/>
      <c r="KIG37" s="414"/>
      <c r="KIH37" s="414"/>
      <c r="KII37" s="414"/>
      <c r="KIJ37" s="414"/>
      <c r="KIK37" s="414"/>
      <c r="KIL37" s="414"/>
      <c r="KIM37" s="414"/>
      <c r="KIN37" s="414"/>
      <c r="KIO37" s="414"/>
      <c r="KIP37" s="414"/>
      <c r="KIQ37" s="414"/>
      <c r="KIR37" s="414"/>
      <c r="KIS37" s="414"/>
      <c r="KIT37" s="414"/>
      <c r="KIU37" s="414"/>
      <c r="KIV37" s="414"/>
      <c r="KIW37" s="414"/>
      <c r="KIX37" s="414"/>
      <c r="KIY37" s="414"/>
      <c r="KIZ37" s="414"/>
      <c r="KJA37" s="414"/>
      <c r="KJB37" s="414"/>
      <c r="KJC37" s="414"/>
      <c r="KJD37" s="414"/>
      <c r="KJE37" s="414"/>
      <c r="KJF37" s="414"/>
      <c r="KJG37" s="414"/>
      <c r="KJH37" s="414"/>
      <c r="KJI37" s="414"/>
      <c r="KJJ37" s="414"/>
      <c r="KJK37" s="414"/>
      <c r="KJL37" s="414"/>
      <c r="KJM37" s="414"/>
      <c r="KJN37" s="414"/>
      <c r="KJO37" s="414"/>
      <c r="KJP37" s="414"/>
      <c r="KJQ37" s="414"/>
      <c r="KJR37" s="414"/>
      <c r="KJS37" s="414"/>
      <c r="KJT37" s="414"/>
      <c r="KJU37" s="414"/>
      <c r="KJV37" s="414"/>
      <c r="KJW37" s="414"/>
      <c r="KJX37" s="414"/>
      <c r="KJY37" s="414"/>
      <c r="KJZ37" s="414"/>
      <c r="KKA37" s="414"/>
      <c r="KKB37" s="414"/>
      <c r="KKC37" s="414"/>
      <c r="KKD37" s="414"/>
      <c r="KKE37" s="414"/>
      <c r="KKF37" s="414"/>
      <c r="KKG37" s="414"/>
      <c r="KKH37" s="414"/>
      <c r="KKI37" s="414"/>
      <c r="KKJ37" s="414"/>
      <c r="KKK37" s="414"/>
      <c r="KKL37" s="414"/>
      <c r="KKM37" s="414"/>
      <c r="KKN37" s="414"/>
      <c r="KKO37" s="414"/>
      <c r="KKP37" s="414"/>
      <c r="KKQ37" s="414"/>
      <c r="KKR37" s="414"/>
      <c r="KKS37" s="414"/>
      <c r="KKT37" s="414"/>
      <c r="KKU37" s="414"/>
      <c r="KKV37" s="414"/>
      <c r="KKW37" s="414"/>
      <c r="KKX37" s="414"/>
      <c r="KKY37" s="414"/>
      <c r="KKZ37" s="414"/>
      <c r="KLA37" s="414"/>
      <c r="KLB37" s="414"/>
      <c r="KLC37" s="414"/>
      <c r="KLD37" s="414"/>
      <c r="KLE37" s="414"/>
      <c r="KLF37" s="414"/>
      <c r="KLG37" s="414"/>
      <c r="KLH37" s="414"/>
      <c r="KLI37" s="414"/>
      <c r="KLJ37" s="414"/>
      <c r="KLK37" s="414"/>
      <c r="KLL37" s="414"/>
      <c r="KLM37" s="414"/>
      <c r="KLN37" s="414"/>
      <c r="KLO37" s="414"/>
      <c r="KLP37" s="414"/>
      <c r="KLQ37" s="414"/>
      <c r="KLR37" s="414"/>
      <c r="KLS37" s="414"/>
      <c r="KLT37" s="414"/>
      <c r="KLU37" s="414"/>
      <c r="KLV37" s="414"/>
      <c r="KLW37" s="414"/>
      <c r="KLX37" s="414"/>
      <c r="KLY37" s="414"/>
      <c r="KLZ37" s="414"/>
      <c r="KMA37" s="414"/>
      <c r="KMB37" s="414"/>
      <c r="KMC37" s="414"/>
      <c r="KMD37" s="414"/>
      <c r="KME37" s="414"/>
      <c r="KMF37" s="414"/>
      <c r="KMG37" s="414"/>
      <c r="KMH37" s="414"/>
      <c r="KMI37" s="414"/>
      <c r="KMJ37" s="414"/>
      <c r="KMK37" s="414"/>
      <c r="KML37" s="414"/>
      <c r="KMM37" s="414"/>
      <c r="KMN37" s="414"/>
      <c r="KMO37" s="414"/>
      <c r="KMP37" s="414"/>
      <c r="KMQ37" s="414"/>
      <c r="KMR37" s="414"/>
      <c r="KMS37" s="414"/>
      <c r="KMT37" s="414"/>
      <c r="KMU37" s="414"/>
      <c r="KMV37" s="414"/>
      <c r="KMW37" s="414"/>
      <c r="KMX37" s="414"/>
      <c r="KMY37" s="414"/>
      <c r="KMZ37" s="414"/>
      <c r="KNA37" s="414"/>
      <c r="KNB37" s="414"/>
      <c r="KNC37" s="414"/>
      <c r="KND37" s="414"/>
      <c r="KNE37" s="414"/>
      <c r="KNF37" s="414"/>
      <c r="KNG37" s="414"/>
      <c r="KNH37" s="414"/>
      <c r="KNI37" s="414"/>
      <c r="KNJ37" s="414"/>
      <c r="KNK37" s="414"/>
      <c r="KNL37" s="414"/>
      <c r="KNM37" s="414"/>
      <c r="KNN37" s="414"/>
      <c r="KNO37" s="414"/>
      <c r="KNP37" s="414"/>
      <c r="KNQ37" s="414"/>
      <c r="KNR37" s="414"/>
      <c r="KNS37" s="414"/>
      <c r="KNT37" s="414"/>
      <c r="KNU37" s="414"/>
      <c r="KNV37" s="414"/>
      <c r="KNW37" s="414"/>
      <c r="KNX37" s="414"/>
      <c r="KNY37" s="414"/>
      <c r="KNZ37" s="414"/>
      <c r="KOA37" s="414"/>
      <c r="KOB37" s="414"/>
      <c r="KOC37" s="414"/>
      <c r="KOD37" s="414"/>
      <c r="KOE37" s="414"/>
      <c r="KOF37" s="414"/>
      <c r="KOG37" s="414"/>
      <c r="KOH37" s="414"/>
      <c r="KOI37" s="414"/>
      <c r="KOJ37" s="414"/>
      <c r="KOK37" s="414"/>
      <c r="KOL37" s="414"/>
      <c r="KOM37" s="414"/>
      <c r="KON37" s="414"/>
      <c r="KOO37" s="414"/>
      <c r="KOP37" s="414"/>
      <c r="KOQ37" s="414"/>
      <c r="KOR37" s="414"/>
      <c r="KOS37" s="414"/>
      <c r="KOT37" s="414"/>
      <c r="KOU37" s="414"/>
      <c r="KOV37" s="414"/>
      <c r="KOW37" s="414"/>
      <c r="KOX37" s="414"/>
      <c r="KOY37" s="414"/>
      <c r="KOZ37" s="414"/>
      <c r="KPA37" s="414"/>
      <c r="KPB37" s="414"/>
      <c r="KPC37" s="414"/>
      <c r="KPD37" s="414"/>
      <c r="KPE37" s="414"/>
      <c r="KPF37" s="414"/>
      <c r="KPG37" s="414"/>
      <c r="KPH37" s="414"/>
      <c r="KPI37" s="414"/>
      <c r="KPJ37" s="414"/>
      <c r="KPK37" s="414"/>
      <c r="KPL37" s="414"/>
      <c r="KPM37" s="414"/>
      <c r="KPN37" s="414"/>
      <c r="KPO37" s="414"/>
      <c r="KPP37" s="414"/>
      <c r="KPQ37" s="414"/>
      <c r="KPR37" s="414"/>
      <c r="KPS37" s="414"/>
      <c r="KPT37" s="414"/>
      <c r="KPU37" s="414"/>
      <c r="KPV37" s="414"/>
      <c r="KPW37" s="414"/>
      <c r="KPX37" s="414"/>
      <c r="KPY37" s="414"/>
      <c r="KPZ37" s="414"/>
      <c r="KQA37" s="414"/>
      <c r="KQB37" s="414"/>
      <c r="KQC37" s="414"/>
      <c r="KQD37" s="414"/>
      <c r="KQE37" s="414"/>
      <c r="KQF37" s="414"/>
      <c r="KQG37" s="414"/>
      <c r="KQH37" s="414"/>
      <c r="KQI37" s="414"/>
      <c r="KQJ37" s="414"/>
      <c r="KQK37" s="414"/>
      <c r="KQL37" s="414"/>
      <c r="KQM37" s="414"/>
      <c r="KQN37" s="414"/>
      <c r="KQO37" s="414"/>
      <c r="KQP37" s="414"/>
      <c r="KQQ37" s="414"/>
      <c r="KQR37" s="414"/>
      <c r="KQS37" s="414"/>
      <c r="KQT37" s="414"/>
      <c r="KQU37" s="414"/>
      <c r="KQV37" s="414"/>
      <c r="KQW37" s="414"/>
      <c r="KQX37" s="414"/>
      <c r="KQY37" s="414"/>
      <c r="KQZ37" s="414"/>
      <c r="KRA37" s="414"/>
      <c r="KRB37" s="414"/>
      <c r="KRC37" s="414"/>
      <c r="KRD37" s="414"/>
      <c r="KRE37" s="414"/>
      <c r="KRF37" s="414"/>
      <c r="KRG37" s="414"/>
      <c r="KRH37" s="414"/>
      <c r="KRI37" s="414"/>
      <c r="KRJ37" s="414"/>
      <c r="KRK37" s="414"/>
      <c r="KRL37" s="414"/>
      <c r="KRM37" s="414"/>
      <c r="KRN37" s="414"/>
      <c r="KRO37" s="414"/>
      <c r="KRP37" s="414"/>
      <c r="KRQ37" s="414"/>
      <c r="KRR37" s="414"/>
      <c r="KRS37" s="414"/>
      <c r="KRT37" s="414"/>
      <c r="KRU37" s="414"/>
      <c r="KRV37" s="414"/>
      <c r="KRW37" s="414"/>
      <c r="KRX37" s="414"/>
      <c r="KRY37" s="414"/>
      <c r="KRZ37" s="414"/>
      <c r="KSA37" s="414"/>
      <c r="KSB37" s="414"/>
      <c r="KSC37" s="414"/>
      <c r="KSD37" s="414"/>
      <c r="KSE37" s="414"/>
      <c r="KSF37" s="414"/>
      <c r="KSG37" s="414"/>
      <c r="KSH37" s="414"/>
      <c r="KSI37" s="414"/>
      <c r="KSJ37" s="414"/>
      <c r="KSK37" s="414"/>
      <c r="KSL37" s="414"/>
      <c r="KSM37" s="414"/>
      <c r="KSN37" s="414"/>
      <c r="KSO37" s="414"/>
      <c r="KSP37" s="414"/>
      <c r="KSQ37" s="414"/>
      <c r="KSR37" s="414"/>
      <c r="KSS37" s="414"/>
      <c r="KST37" s="414"/>
      <c r="KSU37" s="414"/>
      <c r="KSV37" s="414"/>
      <c r="KSW37" s="414"/>
      <c r="KSX37" s="414"/>
      <c r="KSY37" s="414"/>
      <c r="KSZ37" s="414"/>
      <c r="KTA37" s="414"/>
      <c r="KTB37" s="414"/>
      <c r="KTC37" s="414"/>
      <c r="KTD37" s="414"/>
      <c r="KTE37" s="414"/>
      <c r="KTF37" s="414"/>
      <c r="KTG37" s="414"/>
      <c r="KTH37" s="414"/>
      <c r="KTI37" s="414"/>
      <c r="KTJ37" s="414"/>
      <c r="KTK37" s="414"/>
      <c r="KTL37" s="414"/>
      <c r="KTM37" s="414"/>
      <c r="KTN37" s="414"/>
      <c r="KTO37" s="414"/>
      <c r="KTP37" s="414"/>
      <c r="KTQ37" s="414"/>
      <c r="KTR37" s="414"/>
      <c r="KTS37" s="414"/>
      <c r="KTT37" s="414"/>
      <c r="KTU37" s="414"/>
      <c r="KTV37" s="414"/>
      <c r="KTW37" s="414"/>
      <c r="KTX37" s="414"/>
      <c r="KTY37" s="414"/>
      <c r="KTZ37" s="414"/>
      <c r="KUA37" s="414"/>
      <c r="KUB37" s="414"/>
      <c r="KUC37" s="414"/>
      <c r="KUD37" s="414"/>
      <c r="KUE37" s="414"/>
      <c r="KUF37" s="414"/>
      <c r="KUG37" s="414"/>
      <c r="KUH37" s="414"/>
      <c r="KUI37" s="414"/>
      <c r="KUJ37" s="414"/>
      <c r="KUK37" s="414"/>
      <c r="KUL37" s="414"/>
      <c r="KUM37" s="414"/>
      <c r="KUN37" s="414"/>
      <c r="KUO37" s="414"/>
      <c r="KUP37" s="414"/>
      <c r="KUQ37" s="414"/>
      <c r="KUR37" s="414"/>
      <c r="KUS37" s="414"/>
      <c r="KUT37" s="414"/>
      <c r="KUU37" s="414"/>
      <c r="KUV37" s="414"/>
      <c r="KUW37" s="414"/>
      <c r="KUX37" s="414"/>
      <c r="KUY37" s="414"/>
      <c r="KUZ37" s="414"/>
      <c r="KVA37" s="414"/>
      <c r="KVB37" s="414"/>
      <c r="KVC37" s="414"/>
      <c r="KVD37" s="414"/>
      <c r="KVE37" s="414"/>
      <c r="KVF37" s="414"/>
      <c r="KVG37" s="414"/>
      <c r="KVH37" s="414"/>
      <c r="KVI37" s="414"/>
      <c r="KVJ37" s="414"/>
      <c r="KVK37" s="414"/>
      <c r="KVL37" s="414"/>
      <c r="KVM37" s="414"/>
      <c r="KVN37" s="414"/>
      <c r="KVO37" s="414"/>
      <c r="KVP37" s="414"/>
      <c r="KVQ37" s="414"/>
      <c r="KVR37" s="414"/>
      <c r="KVS37" s="414"/>
      <c r="KVT37" s="414"/>
      <c r="KVU37" s="414"/>
      <c r="KVV37" s="414"/>
      <c r="KVW37" s="414"/>
      <c r="KVX37" s="414"/>
      <c r="KVY37" s="414"/>
      <c r="KVZ37" s="414"/>
      <c r="KWA37" s="414"/>
      <c r="KWB37" s="414"/>
      <c r="KWC37" s="414"/>
      <c r="KWD37" s="414"/>
      <c r="KWE37" s="414"/>
      <c r="KWF37" s="414"/>
      <c r="KWG37" s="414"/>
      <c r="KWH37" s="414"/>
      <c r="KWI37" s="414"/>
      <c r="KWJ37" s="414"/>
      <c r="KWK37" s="414"/>
      <c r="KWL37" s="414"/>
      <c r="KWM37" s="414"/>
      <c r="KWN37" s="414"/>
      <c r="KWO37" s="414"/>
      <c r="KWP37" s="414"/>
      <c r="KWQ37" s="414"/>
      <c r="KWR37" s="414"/>
      <c r="KWS37" s="414"/>
      <c r="KWT37" s="414"/>
      <c r="KWU37" s="414"/>
      <c r="KWV37" s="414"/>
      <c r="KWW37" s="414"/>
      <c r="KWX37" s="414"/>
      <c r="KWY37" s="414"/>
      <c r="KWZ37" s="414"/>
      <c r="KXA37" s="414"/>
      <c r="KXB37" s="414"/>
      <c r="KXC37" s="414"/>
      <c r="KXD37" s="414"/>
      <c r="KXE37" s="414"/>
      <c r="KXF37" s="414"/>
      <c r="KXG37" s="414"/>
      <c r="KXH37" s="414"/>
      <c r="KXI37" s="414"/>
      <c r="KXJ37" s="414"/>
      <c r="KXK37" s="414"/>
      <c r="KXL37" s="414"/>
      <c r="KXM37" s="414"/>
      <c r="KXN37" s="414"/>
      <c r="KXO37" s="414"/>
      <c r="KXP37" s="414"/>
      <c r="KXQ37" s="414"/>
      <c r="KXR37" s="414"/>
      <c r="KXS37" s="414"/>
      <c r="KXT37" s="414"/>
      <c r="KXU37" s="414"/>
      <c r="KXV37" s="414"/>
      <c r="KXW37" s="414"/>
      <c r="KXX37" s="414"/>
      <c r="KXY37" s="414"/>
      <c r="KXZ37" s="414"/>
      <c r="KYA37" s="414"/>
      <c r="KYB37" s="414"/>
      <c r="KYC37" s="414"/>
      <c r="KYD37" s="414"/>
      <c r="KYE37" s="414"/>
      <c r="KYF37" s="414"/>
      <c r="KYG37" s="414"/>
      <c r="KYH37" s="414"/>
      <c r="KYI37" s="414"/>
      <c r="KYJ37" s="414"/>
      <c r="KYK37" s="414"/>
      <c r="KYL37" s="414"/>
      <c r="KYM37" s="414"/>
      <c r="KYN37" s="414"/>
      <c r="KYO37" s="414"/>
      <c r="KYP37" s="414"/>
      <c r="KYQ37" s="414"/>
      <c r="KYR37" s="414"/>
      <c r="KYS37" s="414"/>
      <c r="KYT37" s="414"/>
      <c r="KYU37" s="414"/>
      <c r="KYV37" s="414"/>
      <c r="KYW37" s="414"/>
      <c r="KYX37" s="414"/>
      <c r="KYY37" s="414"/>
      <c r="KYZ37" s="414"/>
      <c r="KZA37" s="414"/>
      <c r="KZB37" s="414"/>
      <c r="KZC37" s="414"/>
      <c r="KZD37" s="414"/>
      <c r="KZE37" s="414"/>
      <c r="KZF37" s="414"/>
      <c r="KZG37" s="414"/>
      <c r="KZH37" s="414"/>
      <c r="KZI37" s="414"/>
      <c r="KZJ37" s="414"/>
      <c r="KZK37" s="414"/>
      <c r="KZL37" s="414"/>
      <c r="KZM37" s="414"/>
      <c r="KZN37" s="414"/>
      <c r="KZO37" s="414"/>
      <c r="KZP37" s="414"/>
      <c r="KZQ37" s="414"/>
      <c r="KZR37" s="414"/>
      <c r="KZS37" s="414"/>
      <c r="KZT37" s="414"/>
      <c r="KZU37" s="414"/>
      <c r="KZV37" s="414"/>
      <c r="KZW37" s="414"/>
      <c r="KZX37" s="414"/>
      <c r="KZY37" s="414"/>
      <c r="KZZ37" s="414"/>
      <c r="LAA37" s="414"/>
      <c r="LAB37" s="414"/>
      <c r="LAC37" s="414"/>
      <c r="LAD37" s="414"/>
      <c r="LAE37" s="414"/>
      <c r="LAF37" s="414"/>
      <c r="LAG37" s="414"/>
      <c r="LAH37" s="414"/>
      <c r="LAI37" s="414"/>
      <c r="LAJ37" s="414"/>
      <c r="LAK37" s="414"/>
      <c r="LAL37" s="414"/>
      <c r="LAM37" s="414"/>
      <c r="LAN37" s="414"/>
      <c r="LAO37" s="414"/>
      <c r="LAP37" s="414"/>
      <c r="LAQ37" s="414"/>
      <c r="LAR37" s="414"/>
      <c r="LAS37" s="414"/>
      <c r="LAT37" s="414"/>
      <c r="LAU37" s="414"/>
      <c r="LAV37" s="414"/>
      <c r="LAW37" s="414"/>
      <c r="LAX37" s="414"/>
      <c r="LAY37" s="414"/>
      <c r="LAZ37" s="414"/>
      <c r="LBA37" s="414"/>
      <c r="LBB37" s="414"/>
      <c r="LBC37" s="414"/>
      <c r="LBD37" s="414"/>
      <c r="LBE37" s="414"/>
      <c r="LBF37" s="414"/>
      <c r="LBG37" s="414"/>
      <c r="LBH37" s="414"/>
      <c r="LBI37" s="414"/>
      <c r="LBJ37" s="414"/>
      <c r="LBK37" s="414"/>
      <c r="LBL37" s="414"/>
      <c r="LBM37" s="414"/>
      <c r="LBN37" s="414"/>
      <c r="LBO37" s="414"/>
      <c r="LBP37" s="414"/>
      <c r="LBQ37" s="414"/>
      <c r="LBR37" s="414"/>
      <c r="LBS37" s="414"/>
      <c r="LBT37" s="414"/>
      <c r="LBU37" s="414"/>
      <c r="LBV37" s="414"/>
      <c r="LBW37" s="414"/>
      <c r="LBX37" s="414"/>
      <c r="LBY37" s="414"/>
      <c r="LBZ37" s="414"/>
      <c r="LCA37" s="414"/>
      <c r="LCB37" s="414"/>
      <c r="LCC37" s="414"/>
      <c r="LCD37" s="414"/>
      <c r="LCE37" s="414"/>
      <c r="LCF37" s="414"/>
      <c r="LCG37" s="414"/>
      <c r="LCH37" s="414"/>
      <c r="LCI37" s="414"/>
      <c r="LCJ37" s="414"/>
      <c r="LCK37" s="414"/>
      <c r="LCL37" s="414"/>
      <c r="LCM37" s="414"/>
      <c r="LCN37" s="414"/>
      <c r="LCO37" s="414"/>
      <c r="LCP37" s="414"/>
      <c r="LCQ37" s="414"/>
      <c r="LCR37" s="414"/>
      <c r="LCS37" s="414"/>
      <c r="LCT37" s="414"/>
      <c r="LCU37" s="414"/>
      <c r="LCV37" s="414"/>
      <c r="LCW37" s="414"/>
      <c r="LCX37" s="414"/>
      <c r="LCY37" s="414"/>
      <c r="LCZ37" s="414"/>
      <c r="LDA37" s="414"/>
      <c r="LDB37" s="414"/>
      <c r="LDC37" s="414"/>
      <c r="LDD37" s="414"/>
      <c r="LDE37" s="414"/>
      <c r="LDF37" s="414"/>
      <c r="LDG37" s="414"/>
      <c r="LDH37" s="414"/>
      <c r="LDI37" s="414"/>
      <c r="LDJ37" s="414"/>
      <c r="LDK37" s="414"/>
      <c r="LDL37" s="414"/>
      <c r="LDM37" s="414"/>
      <c r="LDN37" s="414"/>
      <c r="LDO37" s="414"/>
      <c r="LDP37" s="414"/>
      <c r="LDQ37" s="414"/>
      <c r="LDR37" s="414"/>
      <c r="LDS37" s="414"/>
      <c r="LDT37" s="414"/>
      <c r="LDU37" s="414"/>
      <c r="LDV37" s="414"/>
      <c r="LDW37" s="414"/>
      <c r="LDX37" s="414"/>
      <c r="LDY37" s="414"/>
      <c r="LDZ37" s="414"/>
      <c r="LEA37" s="414"/>
      <c r="LEB37" s="414"/>
      <c r="LEC37" s="414"/>
      <c r="LED37" s="414"/>
      <c r="LEE37" s="414"/>
      <c r="LEF37" s="414"/>
      <c r="LEG37" s="414"/>
      <c r="LEH37" s="414"/>
      <c r="LEI37" s="414"/>
      <c r="LEJ37" s="414"/>
      <c r="LEK37" s="414"/>
      <c r="LEL37" s="414"/>
      <c r="LEM37" s="414"/>
      <c r="LEN37" s="414"/>
      <c r="LEO37" s="414"/>
      <c r="LEP37" s="414"/>
      <c r="LEQ37" s="414"/>
      <c r="LER37" s="414"/>
      <c r="LES37" s="414"/>
      <c r="LET37" s="414"/>
      <c r="LEU37" s="414"/>
      <c r="LEV37" s="414"/>
      <c r="LEW37" s="414"/>
      <c r="LEX37" s="414"/>
      <c r="LEY37" s="414"/>
      <c r="LEZ37" s="414"/>
      <c r="LFA37" s="414"/>
      <c r="LFB37" s="414"/>
      <c r="LFC37" s="414"/>
      <c r="LFD37" s="414"/>
      <c r="LFE37" s="414"/>
      <c r="LFF37" s="414"/>
      <c r="LFG37" s="414"/>
      <c r="LFH37" s="414"/>
      <c r="LFI37" s="414"/>
      <c r="LFJ37" s="414"/>
      <c r="LFK37" s="414"/>
      <c r="LFL37" s="414"/>
      <c r="LFM37" s="414"/>
      <c r="LFN37" s="414"/>
      <c r="LFO37" s="414"/>
      <c r="LFP37" s="414"/>
      <c r="LFQ37" s="414"/>
      <c r="LFR37" s="414"/>
      <c r="LFS37" s="414"/>
      <c r="LFT37" s="414"/>
      <c r="LFU37" s="414"/>
      <c r="LFV37" s="414"/>
      <c r="LFW37" s="414"/>
      <c r="LFX37" s="414"/>
      <c r="LFY37" s="414"/>
      <c r="LFZ37" s="414"/>
      <c r="LGA37" s="414"/>
      <c r="LGB37" s="414"/>
      <c r="LGC37" s="414"/>
      <c r="LGD37" s="414"/>
      <c r="LGE37" s="414"/>
      <c r="LGF37" s="414"/>
      <c r="LGG37" s="414"/>
      <c r="LGH37" s="414"/>
      <c r="LGI37" s="414"/>
      <c r="LGJ37" s="414"/>
      <c r="LGK37" s="414"/>
      <c r="LGL37" s="414"/>
      <c r="LGM37" s="414"/>
      <c r="LGN37" s="414"/>
      <c r="LGO37" s="414"/>
      <c r="LGP37" s="414"/>
      <c r="LGQ37" s="414"/>
      <c r="LGR37" s="414"/>
      <c r="LGS37" s="414"/>
      <c r="LGT37" s="414"/>
      <c r="LGU37" s="414"/>
      <c r="LGV37" s="414"/>
      <c r="LGW37" s="414"/>
      <c r="LGX37" s="414"/>
      <c r="LGY37" s="414"/>
      <c r="LGZ37" s="414"/>
      <c r="LHA37" s="414"/>
      <c r="LHB37" s="414"/>
      <c r="LHC37" s="414"/>
      <c r="LHD37" s="414"/>
      <c r="LHE37" s="414"/>
      <c r="LHF37" s="414"/>
      <c r="LHG37" s="414"/>
      <c r="LHH37" s="414"/>
      <c r="LHI37" s="414"/>
      <c r="LHJ37" s="414"/>
      <c r="LHK37" s="414"/>
      <c r="LHL37" s="414"/>
      <c r="LHM37" s="414"/>
      <c r="LHN37" s="414"/>
      <c r="LHO37" s="414"/>
      <c r="LHP37" s="414"/>
      <c r="LHQ37" s="414"/>
      <c r="LHR37" s="414"/>
      <c r="LHS37" s="414"/>
      <c r="LHT37" s="414"/>
      <c r="LHU37" s="414"/>
      <c r="LHV37" s="414"/>
      <c r="LHW37" s="414"/>
      <c r="LHX37" s="414"/>
      <c r="LHY37" s="414"/>
      <c r="LHZ37" s="414"/>
      <c r="LIA37" s="414"/>
      <c r="LIB37" s="414"/>
      <c r="LIC37" s="414"/>
      <c r="LID37" s="414"/>
      <c r="LIE37" s="414"/>
      <c r="LIF37" s="414"/>
      <c r="LIG37" s="414"/>
      <c r="LIH37" s="414"/>
      <c r="LII37" s="414"/>
      <c r="LIJ37" s="414"/>
      <c r="LIK37" s="414"/>
      <c r="LIL37" s="414"/>
      <c r="LIM37" s="414"/>
      <c r="LIN37" s="414"/>
      <c r="LIO37" s="414"/>
      <c r="LIP37" s="414"/>
      <c r="LIQ37" s="414"/>
      <c r="LIR37" s="414"/>
      <c r="LIS37" s="414"/>
      <c r="LIT37" s="414"/>
      <c r="LIU37" s="414"/>
      <c r="LIV37" s="414"/>
      <c r="LIW37" s="414"/>
      <c r="LIX37" s="414"/>
      <c r="LIY37" s="414"/>
      <c r="LIZ37" s="414"/>
      <c r="LJA37" s="414"/>
      <c r="LJB37" s="414"/>
      <c r="LJC37" s="414"/>
      <c r="LJD37" s="414"/>
      <c r="LJE37" s="414"/>
      <c r="LJF37" s="414"/>
      <c r="LJG37" s="414"/>
      <c r="LJH37" s="414"/>
      <c r="LJI37" s="414"/>
      <c r="LJJ37" s="414"/>
      <c r="LJK37" s="414"/>
      <c r="LJL37" s="414"/>
      <c r="LJM37" s="414"/>
      <c r="LJN37" s="414"/>
      <c r="LJO37" s="414"/>
      <c r="LJP37" s="414"/>
      <c r="LJQ37" s="414"/>
      <c r="LJR37" s="414"/>
      <c r="LJS37" s="414"/>
      <c r="LJT37" s="414"/>
      <c r="LJU37" s="414"/>
      <c r="LJV37" s="414"/>
      <c r="LJW37" s="414"/>
      <c r="LJX37" s="414"/>
      <c r="LJY37" s="414"/>
      <c r="LJZ37" s="414"/>
      <c r="LKA37" s="414"/>
      <c r="LKB37" s="414"/>
      <c r="LKC37" s="414"/>
      <c r="LKD37" s="414"/>
      <c r="LKE37" s="414"/>
      <c r="LKF37" s="414"/>
      <c r="LKG37" s="414"/>
      <c r="LKH37" s="414"/>
      <c r="LKI37" s="414"/>
      <c r="LKJ37" s="414"/>
      <c r="LKK37" s="414"/>
      <c r="LKL37" s="414"/>
      <c r="LKM37" s="414"/>
      <c r="LKN37" s="414"/>
      <c r="LKO37" s="414"/>
      <c r="LKP37" s="414"/>
      <c r="LKQ37" s="414"/>
      <c r="LKR37" s="414"/>
      <c r="LKS37" s="414"/>
      <c r="LKT37" s="414"/>
      <c r="LKU37" s="414"/>
      <c r="LKV37" s="414"/>
      <c r="LKW37" s="414"/>
      <c r="LKX37" s="414"/>
      <c r="LKY37" s="414"/>
      <c r="LKZ37" s="414"/>
      <c r="LLA37" s="414"/>
      <c r="LLB37" s="414"/>
      <c r="LLC37" s="414"/>
      <c r="LLD37" s="414"/>
      <c r="LLE37" s="414"/>
      <c r="LLF37" s="414"/>
      <c r="LLG37" s="414"/>
      <c r="LLH37" s="414"/>
      <c r="LLI37" s="414"/>
      <c r="LLJ37" s="414"/>
      <c r="LLK37" s="414"/>
      <c r="LLL37" s="414"/>
      <c r="LLM37" s="414"/>
      <c r="LLN37" s="414"/>
      <c r="LLO37" s="414"/>
      <c r="LLP37" s="414"/>
      <c r="LLQ37" s="414"/>
      <c r="LLR37" s="414"/>
      <c r="LLS37" s="414"/>
      <c r="LLT37" s="414"/>
      <c r="LLU37" s="414"/>
      <c r="LLV37" s="414"/>
      <c r="LLW37" s="414"/>
      <c r="LLX37" s="414"/>
      <c r="LLY37" s="414"/>
      <c r="LLZ37" s="414"/>
      <c r="LMA37" s="414"/>
      <c r="LMB37" s="414"/>
      <c r="LMC37" s="414"/>
      <c r="LMD37" s="414"/>
      <c r="LME37" s="414"/>
      <c r="LMF37" s="414"/>
      <c r="LMG37" s="414"/>
      <c r="LMH37" s="414"/>
      <c r="LMI37" s="414"/>
      <c r="LMJ37" s="414"/>
      <c r="LMK37" s="414"/>
      <c r="LML37" s="414"/>
      <c r="LMM37" s="414"/>
      <c r="LMN37" s="414"/>
      <c r="LMO37" s="414"/>
      <c r="LMP37" s="414"/>
      <c r="LMQ37" s="414"/>
      <c r="LMR37" s="414"/>
      <c r="LMS37" s="414"/>
      <c r="LMT37" s="414"/>
      <c r="LMU37" s="414"/>
      <c r="LMV37" s="414"/>
      <c r="LMW37" s="414"/>
      <c r="LMX37" s="414"/>
      <c r="LMY37" s="414"/>
      <c r="LMZ37" s="414"/>
      <c r="LNA37" s="414"/>
      <c r="LNB37" s="414"/>
      <c r="LNC37" s="414"/>
      <c r="LND37" s="414"/>
      <c r="LNE37" s="414"/>
      <c r="LNF37" s="414"/>
      <c r="LNG37" s="414"/>
      <c r="LNH37" s="414"/>
      <c r="LNI37" s="414"/>
      <c r="LNJ37" s="414"/>
      <c r="LNK37" s="414"/>
      <c r="LNL37" s="414"/>
      <c r="LNM37" s="414"/>
      <c r="LNN37" s="414"/>
      <c r="LNO37" s="414"/>
      <c r="LNP37" s="414"/>
      <c r="LNQ37" s="414"/>
      <c r="LNR37" s="414"/>
      <c r="LNS37" s="414"/>
      <c r="LNT37" s="414"/>
      <c r="LNU37" s="414"/>
      <c r="LNV37" s="414"/>
      <c r="LNW37" s="414"/>
      <c r="LNX37" s="414"/>
      <c r="LNY37" s="414"/>
      <c r="LNZ37" s="414"/>
      <c r="LOA37" s="414"/>
      <c r="LOB37" s="414"/>
      <c r="LOC37" s="414"/>
      <c r="LOD37" s="414"/>
      <c r="LOE37" s="414"/>
      <c r="LOF37" s="414"/>
      <c r="LOG37" s="414"/>
      <c r="LOH37" s="414"/>
      <c r="LOI37" s="414"/>
      <c r="LOJ37" s="414"/>
      <c r="LOK37" s="414"/>
      <c r="LOL37" s="414"/>
      <c r="LOM37" s="414"/>
      <c r="LON37" s="414"/>
      <c r="LOO37" s="414"/>
      <c r="LOP37" s="414"/>
      <c r="LOQ37" s="414"/>
      <c r="LOR37" s="414"/>
      <c r="LOS37" s="414"/>
      <c r="LOT37" s="414"/>
      <c r="LOU37" s="414"/>
      <c r="LOV37" s="414"/>
      <c r="LOW37" s="414"/>
      <c r="LOX37" s="414"/>
      <c r="LOY37" s="414"/>
      <c r="LOZ37" s="414"/>
      <c r="LPA37" s="414"/>
      <c r="LPB37" s="414"/>
      <c r="LPC37" s="414"/>
      <c r="LPD37" s="414"/>
      <c r="LPE37" s="414"/>
      <c r="LPF37" s="414"/>
      <c r="LPG37" s="414"/>
      <c r="LPH37" s="414"/>
      <c r="LPI37" s="414"/>
      <c r="LPJ37" s="414"/>
      <c r="LPK37" s="414"/>
      <c r="LPL37" s="414"/>
      <c r="LPM37" s="414"/>
      <c r="LPN37" s="414"/>
      <c r="LPO37" s="414"/>
      <c r="LPP37" s="414"/>
      <c r="LPQ37" s="414"/>
      <c r="LPR37" s="414"/>
      <c r="LPS37" s="414"/>
      <c r="LPT37" s="414"/>
      <c r="LPU37" s="414"/>
      <c r="LPV37" s="414"/>
      <c r="LPW37" s="414"/>
      <c r="LPX37" s="414"/>
      <c r="LPY37" s="414"/>
      <c r="LPZ37" s="414"/>
      <c r="LQA37" s="414"/>
      <c r="LQB37" s="414"/>
      <c r="LQC37" s="414"/>
      <c r="LQD37" s="414"/>
      <c r="LQE37" s="414"/>
      <c r="LQF37" s="414"/>
      <c r="LQG37" s="414"/>
      <c r="LQH37" s="414"/>
      <c r="LQI37" s="414"/>
      <c r="LQJ37" s="414"/>
      <c r="LQK37" s="414"/>
      <c r="LQL37" s="414"/>
      <c r="LQM37" s="414"/>
      <c r="LQN37" s="414"/>
      <c r="LQO37" s="414"/>
      <c r="LQP37" s="414"/>
      <c r="LQQ37" s="414"/>
      <c r="LQR37" s="414"/>
      <c r="LQS37" s="414"/>
      <c r="LQT37" s="414"/>
      <c r="LQU37" s="414"/>
      <c r="LQV37" s="414"/>
      <c r="LQW37" s="414"/>
      <c r="LQX37" s="414"/>
      <c r="LQY37" s="414"/>
      <c r="LQZ37" s="414"/>
      <c r="LRA37" s="414"/>
      <c r="LRB37" s="414"/>
      <c r="LRC37" s="414"/>
      <c r="LRD37" s="414"/>
      <c r="LRE37" s="414"/>
      <c r="LRF37" s="414"/>
      <c r="LRG37" s="414"/>
      <c r="LRH37" s="414"/>
      <c r="LRI37" s="414"/>
      <c r="LRJ37" s="414"/>
      <c r="LRK37" s="414"/>
      <c r="LRL37" s="414"/>
      <c r="LRM37" s="414"/>
      <c r="LRN37" s="414"/>
      <c r="LRO37" s="414"/>
      <c r="LRP37" s="414"/>
      <c r="LRQ37" s="414"/>
      <c r="LRR37" s="414"/>
      <c r="LRS37" s="414"/>
      <c r="LRT37" s="414"/>
      <c r="LRU37" s="414"/>
      <c r="LRV37" s="414"/>
      <c r="LRW37" s="414"/>
      <c r="LRX37" s="414"/>
      <c r="LRY37" s="414"/>
      <c r="LRZ37" s="414"/>
      <c r="LSA37" s="414"/>
      <c r="LSB37" s="414"/>
      <c r="LSC37" s="414"/>
      <c r="LSD37" s="414"/>
      <c r="LSE37" s="414"/>
      <c r="LSF37" s="414"/>
      <c r="LSG37" s="414"/>
      <c r="LSH37" s="414"/>
      <c r="LSI37" s="414"/>
      <c r="LSJ37" s="414"/>
      <c r="LSK37" s="414"/>
      <c r="LSL37" s="414"/>
      <c r="LSM37" s="414"/>
      <c r="LSN37" s="414"/>
      <c r="LSO37" s="414"/>
      <c r="LSP37" s="414"/>
      <c r="LSQ37" s="414"/>
      <c r="LSR37" s="414"/>
      <c r="LSS37" s="414"/>
      <c r="LST37" s="414"/>
      <c r="LSU37" s="414"/>
      <c r="LSV37" s="414"/>
      <c r="LSW37" s="414"/>
      <c r="LSX37" s="414"/>
      <c r="LSY37" s="414"/>
      <c r="LSZ37" s="414"/>
      <c r="LTA37" s="414"/>
      <c r="LTB37" s="414"/>
      <c r="LTC37" s="414"/>
      <c r="LTD37" s="414"/>
      <c r="LTE37" s="414"/>
      <c r="LTF37" s="414"/>
      <c r="LTG37" s="414"/>
      <c r="LTH37" s="414"/>
      <c r="LTI37" s="414"/>
      <c r="LTJ37" s="414"/>
      <c r="LTK37" s="414"/>
      <c r="LTL37" s="414"/>
      <c r="LTM37" s="414"/>
      <c r="LTN37" s="414"/>
      <c r="LTO37" s="414"/>
      <c r="LTP37" s="414"/>
      <c r="LTQ37" s="414"/>
      <c r="LTR37" s="414"/>
      <c r="LTS37" s="414"/>
      <c r="LTT37" s="414"/>
      <c r="LTU37" s="414"/>
      <c r="LTV37" s="414"/>
      <c r="LTW37" s="414"/>
      <c r="LTX37" s="414"/>
      <c r="LTY37" s="414"/>
      <c r="LTZ37" s="414"/>
      <c r="LUA37" s="414"/>
      <c r="LUB37" s="414"/>
      <c r="LUC37" s="414"/>
      <c r="LUD37" s="414"/>
      <c r="LUE37" s="414"/>
      <c r="LUF37" s="414"/>
      <c r="LUG37" s="414"/>
      <c r="LUH37" s="414"/>
      <c r="LUI37" s="414"/>
      <c r="LUJ37" s="414"/>
      <c r="LUK37" s="414"/>
      <c r="LUL37" s="414"/>
      <c r="LUM37" s="414"/>
      <c r="LUN37" s="414"/>
      <c r="LUO37" s="414"/>
      <c r="LUP37" s="414"/>
      <c r="LUQ37" s="414"/>
      <c r="LUR37" s="414"/>
      <c r="LUS37" s="414"/>
      <c r="LUT37" s="414"/>
      <c r="LUU37" s="414"/>
      <c r="LUV37" s="414"/>
      <c r="LUW37" s="414"/>
      <c r="LUX37" s="414"/>
      <c r="LUY37" s="414"/>
      <c r="LUZ37" s="414"/>
      <c r="LVA37" s="414"/>
      <c r="LVB37" s="414"/>
      <c r="LVC37" s="414"/>
      <c r="LVD37" s="414"/>
      <c r="LVE37" s="414"/>
      <c r="LVF37" s="414"/>
      <c r="LVG37" s="414"/>
      <c r="LVH37" s="414"/>
      <c r="LVI37" s="414"/>
      <c r="LVJ37" s="414"/>
      <c r="LVK37" s="414"/>
      <c r="LVL37" s="414"/>
      <c r="LVM37" s="414"/>
      <c r="LVN37" s="414"/>
      <c r="LVO37" s="414"/>
      <c r="LVP37" s="414"/>
      <c r="LVQ37" s="414"/>
      <c r="LVR37" s="414"/>
      <c r="LVS37" s="414"/>
      <c r="LVT37" s="414"/>
      <c r="LVU37" s="414"/>
      <c r="LVV37" s="414"/>
      <c r="LVW37" s="414"/>
      <c r="LVX37" s="414"/>
      <c r="LVY37" s="414"/>
      <c r="LVZ37" s="414"/>
      <c r="LWA37" s="414"/>
      <c r="LWB37" s="414"/>
      <c r="LWC37" s="414"/>
      <c r="LWD37" s="414"/>
      <c r="LWE37" s="414"/>
      <c r="LWF37" s="414"/>
      <c r="LWG37" s="414"/>
      <c r="LWH37" s="414"/>
      <c r="LWI37" s="414"/>
      <c r="LWJ37" s="414"/>
      <c r="LWK37" s="414"/>
      <c r="LWL37" s="414"/>
      <c r="LWM37" s="414"/>
      <c r="LWN37" s="414"/>
      <c r="LWO37" s="414"/>
      <c r="LWP37" s="414"/>
      <c r="LWQ37" s="414"/>
      <c r="LWR37" s="414"/>
      <c r="LWS37" s="414"/>
      <c r="LWT37" s="414"/>
      <c r="LWU37" s="414"/>
      <c r="LWV37" s="414"/>
      <c r="LWW37" s="414"/>
      <c r="LWX37" s="414"/>
      <c r="LWY37" s="414"/>
      <c r="LWZ37" s="414"/>
      <c r="LXA37" s="414"/>
      <c r="LXB37" s="414"/>
      <c r="LXC37" s="414"/>
      <c r="LXD37" s="414"/>
      <c r="LXE37" s="414"/>
      <c r="LXF37" s="414"/>
      <c r="LXG37" s="414"/>
      <c r="LXH37" s="414"/>
      <c r="LXI37" s="414"/>
      <c r="LXJ37" s="414"/>
      <c r="LXK37" s="414"/>
      <c r="LXL37" s="414"/>
      <c r="LXM37" s="414"/>
      <c r="LXN37" s="414"/>
      <c r="LXO37" s="414"/>
      <c r="LXP37" s="414"/>
      <c r="LXQ37" s="414"/>
      <c r="LXR37" s="414"/>
      <c r="LXS37" s="414"/>
      <c r="LXT37" s="414"/>
      <c r="LXU37" s="414"/>
      <c r="LXV37" s="414"/>
      <c r="LXW37" s="414"/>
      <c r="LXX37" s="414"/>
      <c r="LXY37" s="414"/>
      <c r="LXZ37" s="414"/>
      <c r="LYA37" s="414"/>
      <c r="LYB37" s="414"/>
      <c r="LYC37" s="414"/>
      <c r="LYD37" s="414"/>
      <c r="LYE37" s="414"/>
      <c r="LYF37" s="414"/>
      <c r="LYG37" s="414"/>
      <c r="LYH37" s="414"/>
      <c r="LYI37" s="414"/>
      <c r="LYJ37" s="414"/>
      <c r="LYK37" s="414"/>
      <c r="LYL37" s="414"/>
      <c r="LYM37" s="414"/>
      <c r="LYN37" s="414"/>
      <c r="LYO37" s="414"/>
      <c r="LYP37" s="414"/>
      <c r="LYQ37" s="414"/>
      <c r="LYR37" s="414"/>
      <c r="LYS37" s="414"/>
      <c r="LYT37" s="414"/>
      <c r="LYU37" s="414"/>
      <c r="LYV37" s="414"/>
      <c r="LYW37" s="414"/>
      <c r="LYX37" s="414"/>
      <c r="LYY37" s="414"/>
      <c r="LYZ37" s="414"/>
      <c r="LZA37" s="414"/>
      <c r="LZB37" s="414"/>
      <c r="LZC37" s="414"/>
      <c r="LZD37" s="414"/>
      <c r="LZE37" s="414"/>
      <c r="LZF37" s="414"/>
      <c r="LZG37" s="414"/>
      <c r="LZH37" s="414"/>
      <c r="LZI37" s="414"/>
      <c r="LZJ37" s="414"/>
      <c r="LZK37" s="414"/>
      <c r="LZL37" s="414"/>
      <c r="LZM37" s="414"/>
      <c r="LZN37" s="414"/>
      <c r="LZO37" s="414"/>
      <c r="LZP37" s="414"/>
      <c r="LZQ37" s="414"/>
      <c r="LZR37" s="414"/>
      <c r="LZS37" s="414"/>
      <c r="LZT37" s="414"/>
      <c r="LZU37" s="414"/>
      <c r="LZV37" s="414"/>
      <c r="LZW37" s="414"/>
      <c r="LZX37" s="414"/>
      <c r="LZY37" s="414"/>
      <c r="LZZ37" s="414"/>
      <c r="MAA37" s="414"/>
      <c r="MAB37" s="414"/>
      <c r="MAC37" s="414"/>
      <c r="MAD37" s="414"/>
      <c r="MAE37" s="414"/>
      <c r="MAF37" s="414"/>
      <c r="MAG37" s="414"/>
      <c r="MAH37" s="414"/>
      <c r="MAI37" s="414"/>
      <c r="MAJ37" s="414"/>
      <c r="MAK37" s="414"/>
      <c r="MAL37" s="414"/>
      <c r="MAM37" s="414"/>
      <c r="MAN37" s="414"/>
      <c r="MAO37" s="414"/>
      <c r="MAP37" s="414"/>
      <c r="MAQ37" s="414"/>
      <c r="MAR37" s="414"/>
      <c r="MAS37" s="414"/>
      <c r="MAT37" s="414"/>
      <c r="MAU37" s="414"/>
      <c r="MAV37" s="414"/>
      <c r="MAW37" s="414"/>
      <c r="MAX37" s="414"/>
      <c r="MAY37" s="414"/>
      <c r="MAZ37" s="414"/>
      <c r="MBA37" s="414"/>
      <c r="MBB37" s="414"/>
      <c r="MBC37" s="414"/>
      <c r="MBD37" s="414"/>
      <c r="MBE37" s="414"/>
      <c r="MBF37" s="414"/>
      <c r="MBG37" s="414"/>
      <c r="MBH37" s="414"/>
      <c r="MBI37" s="414"/>
      <c r="MBJ37" s="414"/>
      <c r="MBK37" s="414"/>
      <c r="MBL37" s="414"/>
      <c r="MBM37" s="414"/>
      <c r="MBN37" s="414"/>
      <c r="MBO37" s="414"/>
      <c r="MBP37" s="414"/>
      <c r="MBQ37" s="414"/>
      <c r="MBR37" s="414"/>
      <c r="MBS37" s="414"/>
      <c r="MBT37" s="414"/>
      <c r="MBU37" s="414"/>
      <c r="MBV37" s="414"/>
      <c r="MBW37" s="414"/>
      <c r="MBX37" s="414"/>
      <c r="MBY37" s="414"/>
      <c r="MBZ37" s="414"/>
      <c r="MCA37" s="414"/>
      <c r="MCB37" s="414"/>
      <c r="MCC37" s="414"/>
      <c r="MCD37" s="414"/>
      <c r="MCE37" s="414"/>
      <c r="MCF37" s="414"/>
      <c r="MCG37" s="414"/>
      <c r="MCH37" s="414"/>
      <c r="MCI37" s="414"/>
      <c r="MCJ37" s="414"/>
      <c r="MCK37" s="414"/>
      <c r="MCL37" s="414"/>
      <c r="MCM37" s="414"/>
      <c r="MCN37" s="414"/>
      <c r="MCO37" s="414"/>
      <c r="MCP37" s="414"/>
      <c r="MCQ37" s="414"/>
      <c r="MCR37" s="414"/>
      <c r="MCS37" s="414"/>
      <c r="MCT37" s="414"/>
      <c r="MCU37" s="414"/>
      <c r="MCV37" s="414"/>
      <c r="MCW37" s="414"/>
      <c r="MCX37" s="414"/>
      <c r="MCY37" s="414"/>
      <c r="MCZ37" s="414"/>
      <c r="MDA37" s="414"/>
      <c r="MDB37" s="414"/>
      <c r="MDC37" s="414"/>
      <c r="MDD37" s="414"/>
      <c r="MDE37" s="414"/>
      <c r="MDF37" s="414"/>
      <c r="MDG37" s="414"/>
      <c r="MDH37" s="414"/>
      <c r="MDI37" s="414"/>
      <c r="MDJ37" s="414"/>
      <c r="MDK37" s="414"/>
      <c r="MDL37" s="414"/>
      <c r="MDM37" s="414"/>
      <c r="MDN37" s="414"/>
      <c r="MDO37" s="414"/>
      <c r="MDP37" s="414"/>
      <c r="MDQ37" s="414"/>
      <c r="MDR37" s="414"/>
      <c r="MDS37" s="414"/>
      <c r="MDT37" s="414"/>
      <c r="MDU37" s="414"/>
      <c r="MDV37" s="414"/>
      <c r="MDW37" s="414"/>
      <c r="MDX37" s="414"/>
      <c r="MDY37" s="414"/>
      <c r="MDZ37" s="414"/>
      <c r="MEA37" s="414"/>
      <c r="MEB37" s="414"/>
      <c r="MEC37" s="414"/>
      <c r="MED37" s="414"/>
      <c r="MEE37" s="414"/>
      <c r="MEF37" s="414"/>
      <c r="MEG37" s="414"/>
      <c r="MEH37" s="414"/>
      <c r="MEI37" s="414"/>
      <c r="MEJ37" s="414"/>
      <c r="MEK37" s="414"/>
      <c r="MEL37" s="414"/>
      <c r="MEM37" s="414"/>
      <c r="MEN37" s="414"/>
      <c r="MEO37" s="414"/>
      <c r="MEP37" s="414"/>
      <c r="MEQ37" s="414"/>
      <c r="MER37" s="414"/>
      <c r="MES37" s="414"/>
      <c r="MET37" s="414"/>
      <c r="MEU37" s="414"/>
      <c r="MEV37" s="414"/>
      <c r="MEW37" s="414"/>
      <c r="MEX37" s="414"/>
      <c r="MEY37" s="414"/>
      <c r="MEZ37" s="414"/>
      <c r="MFA37" s="414"/>
      <c r="MFB37" s="414"/>
      <c r="MFC37" s="414"/>
      <c r="MFD37" s="414"/>
      <c r="MFE37" s="414"/>
      <c r="MFF37" s="414"/>
      <c r="MFG37" s="414"/>
      <c r="MFH37" s="414"/>
      <c r="MFI37" s="414"/>
      <c r="MFJ37" s="414"/>
      <c r="MFK37" s="414"/>
      <c r="MFL37" s="414"/>
      <c r="MFM37" s="414"/>
      <c r="MFN37" s="414"/>
      <c r="MFO37" s="414"/>
      <c r="MFP37" s="414"/>
      <c r="MFQ37" s="414"/>
      <c r="MFR37" s="414"/>
      <c r="MFS37" s="414"/>
      <c r="MFT37" s="414"/>
      <c r="MFU37" s="414"/>
      <c r="MFV37" s="414"/>
      <c r="MFW37" s="414"/>
      <c r="MFX37" s="414"/>
      <c r="MFY37" s="414"/>
      <c r="MFZ37" s="414"/>
      <c r="MGA37" s="414"/>
      <c r="MGB37" s="414"/>
      <c r="MGC37" s="414"/>
      <c r="MGD37" s="414"/>
      <c r="MGE37" s="414"/>
      <c r="MGF37" s="414"/>
      <c r="MGG37" s="414"/>
      <c r="MGH37" s="414"/>
      <c r="MGI37" s="414"/>
      <c r="MGJ37" s="414"/>
      <c r="MGK37" s="414"/>
      <c r="MGL37" s="414"/>
      <c r="MGM37" s="414"/>
      <c r="MGN37" s="414"/>
      <c r="MGO37" s="414"/>
      <c r="MGP37" s="414"/>
      <c r="MGQ37" s="414"/>
      <c r="MGR37" s="414"/>
      <c r="MGS37" s="414"/>
      <c r="MGT37" s="414"/>
      <c r="MGU37" s="414"/>
      <c r="MGV37" s="414"/>
      <c r="MGW37" s="414"/>
      <c r="MGX37" s="414"/>
      <c r="MGY37" s="414"/>
      <c r="MGZ37" s="414"/>
      <c r="MHA37" s="414"/>
      <c r="MHB37" s="414"/>
      <c r="MHC37" s="414"/>
      <c r="MHD37" s="414"/>
      <c r="MHE37" s="414"/>
      <c r="MHF37" s="414"/>
      <c r="MHG37" s="414"/>
      <c r="MHH37" s="414"/>
      <c r="MHI37" s="414"/>
      <c r="MHJ37" s="414"/>
      <c r="MHK37" s="414"/>
      <c r="MHL37" s="414"/>
      <c r="MHM37" s="414"/>
      <c r="MHN37" s="414"/>
      <c r="MHO37" s="414"/>
      <c r="MHP37" s="414"/>
      <c r="MHQ37" s="414"/>
      <c r="MHR37" s="414"/>
      <c r="MHS37" s="414"/>
      <c r="MHT37" s="414"/>
      <c r="MHU37" s="414"/>
      <c r="MHV37" s="414"/>
      <c r="MHW37" s="414"/>
      <c r="MHX37" s="414"/>
      <c r="MHY37" s="414"/>
      <c r="MHZ37" s="414"/>
      <c r="MIA37" s="414"/>
      <c r="MIB37" s="414"/>
      <c r="MIC37" s="414"/>
      <c r="MID37" s="414"/>
      <c r="MIE37" s="414"/>
      <c r="MIF37" s="414"/>
      <c r="MIG37" s="414"/>
      <c r="MIH37" s="414"/>
      <c r="MII37" s="414"/>
      <c r="MIJ37" s="414"/>
      <c r="MIK37" s="414"/>
      <c r="MIL37" s="414"/>
      <c r="MIM37" s="414"/>
      <c r="MIN37" s="414"/>
      <c r="MIO37" s="414"/>
      <c r="MIP37" s="414"/>
      <c r="MIQ37" s="414"/>
      <c r="MIR37" s="414"/>
      <c r="MIS37" s="414"/>
      <c r="MIT37" s="414"/>
      <c r="MIU37" s="414"/>
      <c r="MIV37" s="414"/>
      <c r="MIW37" s="414"/>
      <c r="MIX37" s="414"/>
      <c r="MIY37" s="414"/>
      <c r="MIZ37" s="414"/>
      <c r="MJA37" s="414"/>
      <c r="MJB37" s="414"/>
      <c r="MJC37" s="414"/>
      <c r="MJD37" s="414"/>
      <c r="MJE37" s="414"/>
      <c r="MJF37" s="414"/>
      <c r="MJG37" s="414"/>
      <c r="MJH37" s="414"/>
      <c r="MJI37" s="414"/>
      <c r="MJJ37" s="414"/>
      <c r="MJK37" s="414"/>
      <c r="MJL37" s="414"/>
      <c r="MJM37" s="414"/>
      <c r="MJN37" s="414"/>
      <c r="MJO37" s="414"/>
      <c r="MJP37" s="414"/>
      <c r="MJQ37" s="414"/>
      <c r="MJR37" s="414"/>
      <c r="MJS37" s="414"/>
      <c r="MJT37" s="414"/>
      <c r="MJU37" s="414"/>
      <c r="MJV37" s="414"/>
      <c r="MJW37" s="414"/>
      <c r="MJX37" s="414"/>
      <c r="MJY37" s="414"/>
      <c r="MJZ37" s="414"/>
      <c r="MKA37" s="414"/>
      <c r="MKB37" s="414"/>
      <c r="MKC37" s="414"/>
      <c r="MKD37" s="414"/>
      <c r="MKE37" s="414"/>
      <c r="MKF37" s="414"/>
      <c r="MKG37" s="414"/>
      <c r="MKH37" s="414"/>
      <c r="MKI37" s="414"/>
      <c r="MKJ37" s="414"/>
      <c r="MKK37" s="414"/>
      <c r="MKL37" s="414"/>
      <c r="MKM37" s="414"/>
      <c r="MKN37" s="414"/>
      <c r="MKO37" s="414"/>
      <c r="MKP37" s="414"/>
      <c r="MKQ37" s="414"/>
      <c r="MKR37" s="414"/>
      <c r="MKS37" s="414"/>
      <c r="MKT37" s="414"/>
      <c r="MKU37" s="414"/>
      <c r="MKV37" s="414"/>
      <c r="MKW37" s="414"/>
      <c r="MKX37" s="414"/>
      <c r="MKY37" s="414"/>
      <c r="MKZ37" s="414"/>
      <c r="MLA37" s="414"/>
      <c r="MLB37" s="414"/>
      <c r="MLC37" s="414"/>
      <c r="MLD37" s="414"/>
      <c r="MLE37" s="414"/>
      <c r="MLF37" s="414"/>
      <c r="MLG37" s="414"/>
      <c r="MLH37" s="414"/>
      <c r="MLI37" s="414"/>
      <c r="MLJ37" s="414"/>
      <c r="MLK37" s="414"/>
      <c r="MLL37" s="414"/>
      <c r="MLM37" s="414"/>
      <c r="MLN37" s="414"/>
      <c r="MLO37" s="414"/>
      <c r="MLP37" s="414"/>
      <c r="MLQ37" s="414"/>
      <c r="MLR37" s="414"/>
      <c r="MLS37" s="414"/>
      <c r="MLT37" s="414"/>
      <c r="MLU37" s="414"/>
      <c r="MLV37" s="414"/>
      <c r="MLW37" s="414"/>
      <c r="MLX37" s="414"/>
      <c r="MLY37" s="414"/>
      <c r="MLZ37" s="414"/>
      <c r="MMA37" s="414"/>
      <c r="MMB37" s="414"/>
      <c r="MMC37" s="414"/>
      <c r="MMD37" s="414"/>
      <c r="MME37" s="414"/>
      <c r="MMF37" s="414"/>
      <c r="MMG37" s="414"/>
      <c r="MMH37" s="414"/>
      <c r="MMI37" s="414"/>
      <c r="MMJ37" s="414"/>
      <c r="MMK37" s="414"/>
      <c r="MML37" s="414"/>
      <c r="MMM37" s="414"/>
      <c r="MMN37" s="414"/>
      <c r="MMO37" s="414"/>
      <c r="MMP37" s="414"/>
      <c r="MMQ37" s="414"/>
      <c r="MMR37" s="414"/>
      <c r="MMS37" s="414"/>
      <c r="MMT37" s="414"/>
      <c r="MMU37" s="414"/>
      <c r="MMV37" s="414"/>
      <c r="MMW37" s="414"/>
      <c r="MMX37" s="414"/>
      <c r="MMY37" s="414"/>
      <c r="MMZ37" s="414"/>
      <c r="MNA37" s="414"/>
      <c r="MNB37" s="414"/>
      <c r="MNC37" s="414"/>
      <c r="MND37" s="414"/>
      <c r="MNE37" s="414"/>
      <c r="MNF37" s="414"/>
      <c r="MNG37" s="414"/>
      <c r="MNH37" s="414"/>
      <c r="MNI37" s="414"/>
      <c r="MNJ37" s="414"/>
      <c r="MNK37" s="414"/>
      <c r="MNL37" s="414"/>
      <c r="MNM37" s="414"/>
      <c r="MNN37" s="414"/>
      <c r="MNO37" s="414"/>
      <c r="MNP37" s="414"/>
      <c r="MNQ37" s="414"/>
      <c r="MNR37" s="414"/>
      <c r="MNS37" s="414"/>
      <c r="MNT37" s="414"/>
      <c r="MNU37" s="414"/>
      <c r="MNV37" s="414"/>
      <c r="MNW37" s="414"/>
      <c r="MNX37" s="414"/>
      <c r="MNY37" s="414"/>
      <c r="MNZ37" s="414"/>
      <c r="MOA37" s="414"/>
      <c r="MOB37" s="414"/>
      <c r="MOC37" s="414"/>
      <c r="MOD37" s="414"/>
      <c r="MOE37" s="414"/>
      <c r="MOF37" s="414"/>
      <c r="MOG37" s="414"/>
      <c r="MOH37" s="414"/>
      <c r="MOI37" s="414"/>
      <c r="MOJ37" s="414"/>
      <c r="MOK37" s="414"/>
      <c r="MOL37" s="414"/>
      <c r="MOM37" s="414"/>
      <c r="MON37" s="414"/>
      <c r="MOO37" s="414"/>
      <c r="MOP37" s="414"/>
      <c r="MOQ37" s="414"/>
      <c r="MOR37" s="414"/>
      <c r="MOS37" s="414"/>
      <c r="MOT37" s="414"/>
      <c r="MOU37" s="414"/>
      <c r="MOV37" s="414"/>
      <c r="MOW37" s="414"/>
      <c r="MOX37" s="414"/>
      <c r="MOY37" s="414"/>
      <c r="MOZ37" s="414"/>
      <c r="MPA37" s="414"/>
      <c r="MPB37" s="414"/>
      <c r="MPC37" s="414"/>
      <c r="MPD37" s="414"/>
      <c r="MPE37" s="414"/>
      <c r="MPF37" s="414"/>
      <c r="MPG37" s="414"/>
      <c r="MPH37" s="414"/>
      <c r="MPI37" s="414"/>
      <c r="MPJ37" s="414"/>
      <c r="MPK37" s="414"/>
      <c r="MPL37" s="414"/>
      <c r="MPM37" s="414"/>
      <c r="MPN37" s="414"/>
      <c r="MPO37" s="414"/>
      <c r="MPP37" s="414"/>
      <c r="MPQ37" s="414"/>
      <c r="MPR37" s="414"/>
      <c r="MPS37" s="414"/>
      <c r="MPT37" s="414"/>
      <c r="MPU37" s="414"/>
      <c r="MPV37" s="414"/>
      <c r="MPW37" s="414"/>
      <c r="MPX37" s="414"/>
      <c r="MPY37" s="414"/>
      <c r="MPZ37" s="414"/>
      <c r="MQA37" s="414"/>
      <c r="MQB37" s="414"/>
      <c r="MQC37" s="414"/>
      <c r="MQD37" s="414"/>
      <c r="MQE37" s="414"/>
      <c r="MQF37" s="414"/>
      <c r="MQG37" s="414"/>
      <c r="MQH37" s="414"/>
      <c r="MQI37" s="414"/>
      <c r="MQJ37" s="414"/>
      <c r="MQK37" s="414"/>
      <c r="MQL37" s="414"/>
      <c r="MQM37" s="414"/>
      <c r="MQN37" s="414"/>
      <c r="MQO37" s="414"/>
      <c r="MQP37" s="414"/>
      <c r="MQQ37" s="414"/>
      <c r="MQR37" s="414"/>
      <c r="MQS37" s="414"/>
      <c r="MQT37" s="414"/>
      <c r="MQU37" s="414"/>
      <c r="MQV37" s="414"/>
      <c r="MQW37" s="414"/>
      <c r="MQX37" s="414"/>
      <c r="MQY37" s="414"/>
      <c r="MQZ37" s="414"/>
      <c r="MRA37" s="414"/>
      <c r="MRB37" s="414"/>
      <c r="MRC37" s="414"/>
      <c r="MRD37" s="414"/>
      <c r="MRE37" s="414"/>
      <c r="MRF37" s="414"/>
      <c r="MRG37" s="414"/>
      <c r="MRH37" s="414"/>
      <c r="MRI37" s="414"/>
      <c r="MRJ37" s="414"/>
      <c r="MRK37" s="414"/>
      <c r="MRL37" s="414"/>
      <c r="MRM37" s="414"/>
      <c r="MRN37" s="414"/>
      <c r="MRO37" s="414"/>
      <c r="MRP37" s="414"/>
      <c r="MRQ37" s="414"/>
      <c r="MRR37" s="414"/>
      <c r="MRS37" s="414"/>
      <c r="MRT37" s="414"/>
      <c r="MRU37" s="414"/>
      <c r="MRV37" s="414"/>
      <c r="MRW37" s="414"/>
      <c r="MRX37" s="414"/>
      <c r="MRY37" s="414"/>
      <c r="MRZ37" s="414"/>
      <c r="MSA37" s="414"/>
      <c r="MSB37" s="414"/>
      <c r="MSC37" s="414"/>
      <c r="MSD37" s="414"/>
      <c r="MSE37" s="414"/>
      <c r="MSF37" s="414"/>
      <c r="MSG37" s="414"/>
      <c r="MSH37" s="414"/>
      <c r="MSI37" s="414"/>
      <c r="MSJ37" s="414"/>
      <c r="MSK37" s="414"/>
      <c r="MSL37" s="414"/>
      <c r="MSM37" s="414"/>
      <c r="MSN37" s="414"/>
      <c r="MSO37" s="414"/>
      <c r="MSP37" s="414"/>
      <c r="MSQ37" s="414"/>
      <c r="MSR37" s="414"/>
      <c r="MSS37" s="414"/>
      <c r="MST37" s="414"/>
      <c r="MSU37" s="414"/>
      <c r="MSV37" s="414"/>
      <c r="MSW37" s="414"/>
      <c r="MSX37" s="414"/>
      <c r="MSY37" s="414"/>
      <c r="MSZ37" s="414"/>
      <c r="MTA37" s="414"/>
      <c r="MTB37" s="414"/>
      <c r="MTC37" s="414"/>
      <c r="MTD37" s="414"/>
      <c r="MTE37" s="414"/>
      <c r="MTF37" s="414"/>
      <c r="MTG37" s="414"/>
      <c r="MTH37" s="414"/>
      <c r="MTI37" s="414"/>
      <c r="MTJ37" s="414"/>
      <c r="MTK37" s="414"/>
      <c r="MTL37" s="414"/>
      <c r="MTM37" s="414"/>
      <c r="MTN37" s="414"/>
      <c r="MTO37" s="414"/>
      <c r="MTP37" s="414"/>
      <c r="MTQ37" s="414"/>
      <c r="MTR37" s="414"/>
      <c r="MTS37" s="414"/>
      <c r="MTT37" s="414"/>
      <c r="MTU37" s="414"/>
      <c r="MTV37" s="414"/>
      <c r="MTW37" s="414"/>
      <c r="MTX37" s="414"/>
      <c r="MTY37" s="414"/>
      <c r="MTZ37" s="414"/>
      <c r="MUA37" s="414"/>
      <c r="MUB37" s="414"/>
      <c r="MUC37" s="414"/>
      <c r="MUD37" s="414"/>
      <c r="MUE37" s="414"/>
      <c r="MUF37" s="414"/>
      <c r="MUG37" s="414"/>
      <c r="MUH37" s="414"/>
      <c r="MUI37" s="414"/>
      <c r="MUJ37" s="414"/>
      <c r="MUK37" s="414"/>
      <c r="MUL37" s="414"/>
      <c r="MUM37" s="414"/>
      <c r="MUN37" s="414"/>
      <c r="MUO37" s="414"/>
      <c r="MUP37" s="414"/>
      <c r="MUQ37" s="414"/>
      <c r="MUR37" s="414"/>
      <c r="MUS37" s="414"/>
      <c r="MUT37" s="414"/>
      <c r="MUU37" s="414"/>
      <c r="MUV37" s="414"/>
      <c r="MUW37" s="414"/>
      <c r="MUX37" s="414"/>
      <c r="MUY37" s="414"/>
      <c r="MUZ37" s="414"/>
      <c r="MVA37" s="414"/>
      <c r="MVB37" s="414"/>
      <c r="MVC37" s="414"/>
      <c r="MVD37" s="414"/>
      <c r="MVE37" s="414"/>
      <c r="MVF37" s="414"/>
      <c r="MVG37" s="414"/>
      <c r="MVH37" s="414"/>
      <c r="MVI37" s="414"/>
      <c r="MVJ37" s="414"/>
      <c r="MVK37" s="414"/>
      <c r="MVL37" s="414"/>
      <c r="MVM37" s="414"/>
      <c r="MVN37" s="414"/>
      <c r="MVO37" s="414"/>
      <c r="MVP37" s="414"/>
      <c r="MVQ37" s="414"/>
      <c r="MVR37" s="414"/>
      <c r="MVS37" s="414"/>
      <c r="MVT37" s="414"/>
      <c r="MVU37" s="414"/>
      <c r="MVV37" s="414"/>
      <c r="MVW37" s="414"/>
      <c r="MVX37" s="414"/>
      <c r="MVY37" s="414"/>
      <c r="MVZ37" s="414"/>
      <c r="MWA37" s="414"/>
      <c r="MWB37" s="414"/>
      <c r="MWC37" s="414"/>
      <c r="MWD37" s="414"/>
      <c r="MWE37" s="414"/>
      <c r="MWF37" s="414"/>
      <c r="MWG37" s="414"/>
      <c r="MWH37" s="414"/>
      <c r="MWI37" s="414"/>
      <c r="MWJ37" s="414"/>
      <c r="MWK37" s="414"/>
      <c r="MWL37" s="414"/>
      <c r="MWM37" s="414"/>
      <c r="MWN37" s="414"/>
      <c r="MWO37" s="414"/>
      <c r="MWP37" s="414"/>
      <c r="MWQ37" s="414"/>
      <c r="MWR37" s="414"/>
      <c r="MWS37" s="414"/>
      <c r="MWT37" s="414"/>
      <c r="MWU37" s="414"/>
      <c r="MWV37" s="414"/>
      <c r="MWW37" s="414"/>
      <c r="MWX37" s="414"/>
      <c r="MWY37" s="414"/>
      <c r="MWZ37" s="414"/>
      <c r="MXA37" s="414"/>
      <c r="MXB37" s="414"/>
      <c r="MXC37" s="414"/>
      <c r="MXD37" s="414"/>
      <c r="MXE37" s="414"/>
      <c r="MXF37" s="414"/>
      <c r="MXG37" s="414"/>
      <c r="MXH37" s="414"/>
      <c r="MXI37" s="414"/>
      <c r="MXJ37" s="414"/>
      <c r="MXK37" s="414"/>
      <c r="MXL37" s="414"/>
      <c r="MXM37" s="414"/>
      <c r="MXN37" s="414"/>
      <c r="MXO37" s="414"/>
      <c r="MXP37" s="414"/>
      <c r="MXQ37" s="414"/>
      <c r="MXR37" s="414"/>
      <c r="MXS37" s="414"/>
      <c r="MXT37" s="414"/>
      <c r="MXU37" s="414"/>
      <c r="MXV37" s="414"/>
      <c r="MXW37" s="414"/>
      <c r="MXX37" s="414"/>
      <c r="MXY37" s="414"/>
      <c r="MXZ37" s="414"/>
      <c r="MYA37" s="414"/>
      <c r="MYB37" s="414"/>
      <c r="MYC37" s="414"/>
      <c r="MYD37" s="414"/>
      <c r="MYE37" s="414"/>
      <c r="MYF37" s="414"/>
      <c r="MYG37" s="414"/>
      <c r="MYH37" s="414"/>
      <c r="MYI37" s="414"/>
      <c r="MYJ37" s="414"/>
      <c r="MYK37" s="414"/>
      <c r="MYL37" s="414"/>
      <c r="MYM37" s="414"/>
      <c r="MYN37" s="414"/>
      <c r="MYO37" s="414"/>
      <c r="MYP37" s="414"/>
      <c r="MYQ37" s="414"/>
      <c r="MYR37" s="414"/>
      <c r="MYS37" s="414"/>
      <c r="MYT37" s="414"/>
      <c r="MYU37" s="414"/>
      <c r="MYV37" s="414"/>
      <c r="MYW37" s="414"/>
      <c r="MYX37" s="414"/>
      <c r="MYY37" s="414"/>
      <c r="MYZ37" s="414"/>
      <c r="MZA37" s="414"/>
      <c r="MZB37" s="414"/>
      <c r="MZC37" s="414"/>
      <c r="MZD37" s="414"/>
      <c r="MZE37" s="414"/>
      <c r="MZF37" s="414"/>
      <c r="MZG37" s="414"/>
      <c r="MZH37" s="414"/>
      <c r="MZI37" s="414"/>
      <c r="MZJ37" s="414"/>
      <c r="MZK37" s="414"/>
      <c r="MZL37" s="414"/>
      <c r="MZM37" s="414"/>
      <c r="MZN37" s="414"/>
      <c r="MZO37" s="414"/>
      <c r="MZP37" s="414"/>
      <c r="MZQ37" s="414"/>
      <c r="MZR37" s="414"/>
      <c r="MZS37" s="414"/>
      <c r="MZT37" s="414"/>
      <c r="MZU37" s="414"/>
      <c r="MZV37" s="414"/>
      <c r="MZW37" s="414"/>
      <c r="MZX37" s="414"/>
      <c r="MZY37" s="414"/>
      <c r="MZZ37" s="414"/>
      <c r="NAA37" s="414"/>
      <c r="NAB37" s="414"/>
      <c r="NAC37" s="414"/>
      <c r="NAD37" s="414"/>
      <c r="NAE37" s="414"/>
      <c r="NAF37" s="414"/>
      <c r="NAG37" s="414"/>
      <c r="NAH37" s="414"/>
      <c r="NAI37" s="414"/>
      <c r="NAJ37" s="414"/>
      <c r="NAK37" s="414"/>
      <c r="NAL37" s="414"/>
      <c r="NAM37" s="414"/>
      <c r="NAN37" s="414"/>
      <c r="NAO37" s="414"/>
      <c r="NAP37" s="414"/>
      <c r="NAQ37" s="414"/>
      <c r="NAR37" s="414"/>
      <c r="NAS37" s="414"/>
      <c r="NAT37" s="414"/>
      <c r="NAU37" s="414"/>
      <c r="NAV37" s="414"/>
      <c r="NAW37" s="414"/>
      <c r="NAX37" s="414"/>
      <c r="NAY37" s="414"/>
      <c r="NAZ37" s="414"/>
      <c r="NBA37" s="414"/>
      <c r="NBB37" s="414"/>
      <c r="NBC37" s="414"/>
      <c r="NBD37" s="414"/>
      <c r="NBE37" s="414"/>
      <c r="NBF37" s="414"/>
      <c r="NBG37" s="414"/>
      <c r="NBH37" s="414"/>
      <c r="NBI37" s="414"/>
      <c r="NBJ37" s="414"/>
      <c r="NBK37" s="414"/>
      <c r="NBL37" s="414"/>
      <c r="NBM37" s="414"/>
      <c r="NBN37" s="414"/>
      <c r="NBO37" s="414"/>
      <c r="NBP37" s="414"/>
      <c r="NBQ37" s="414"/>
      <c r="NBR37" s="414"/>
      <c r="NBS37" s="414"/>
      <c r="NBT37" s="414"/>
      <c r="NBU37" s="414"/>
      <c r="NBV37" s="414"/>
      <c r="NBW37" s="414"/>
      <c r="NBX37" s="414"/>
      <c r="NBY37" s="414"/>
      <c r="NBZ37" s="414"/>
      <c r="NCA37" s="414"/>
      <c r="NCB37" s="414"/>
      <c r="NCC37" s="414"/>
      <c r="NCD37" s="414"/>
      <c r="NCE37" s="414"/>
      <c r="NCF37" s="414"/>
      <c r="NCG37" s="414"/>
      <c r="NCH37" s="414"/>
      <c r="NCI37" s="414"/>
      <c r="NCJ37" s="414"/>
      <c r="NCK37" s="414"/>
      <c r="NCL37" s="414"/>
      <c r="NCM37" s="414"/>
      <c r="NCN37" s="414"/>
      <c r="NCO37" s="414"/>
      <c r="NCP37" s="414"/>
      <c r="NCQ37" s="414"/>
      <c r="NCR37" s="414"/>
      <c r="NCS37" s="414"/>
      <c r="NCT37" s="414"/>
      <c r="NCU37" s="414"/>
      <c r="NCV37" s="414"/>
      <c r="NCW37" s="414"/>
      <c r="NCX37" s="414"/>
      <c r="NCY37" s="414"/>
      <c r="NCZ37" s="414"/>
      <c r="NDA37" s="414"/>
      <c r="NDB37" s="414"/>
      <c r="NDC37" s="414"/>
      <c r="NDD37" s="414"/>
      <c r="NDE37" s="414"/>
      <c r="NDF37" s="414"/>
      <c r="NDG37" s="414"/>
      <c r="NDH37" s="414"/>
      <c r="NDI37" s="414"/>
      <c r="NDJ37" s="414"/>
      <c r="NDK37" s="414"/>
      <c r="NDL37" s="414"/>
      <c r="NDM37" s="414"/>
      <c r="NDN37" s="414"/>
      <c r="NDO37" s="414"/>
      <c r="NDP37" s="414"/>
      <c r="NDQ37" s="414"/>
      <c r="NDR37" s="414"/>
      <c r="NDS37" s="414"/>
      <c r="NDT37" s="414"/>
      <c r="NDU37" s="414"/>
      <c r="NDV37" s="414"/>
      <c r="NDW37" s="414"/>
      <c r="NDX37" s="414"/>
      <c r="NDY37" s="414"/>
      <c r="NDZ37" s="414"/>
      <c r="NEA37" s="414"/>
      <c r="NEB37" s="414"/>
      <c r="NEC37" s="414"/>
      <c r="NED37" s="414"/>
      <c r="NEE37" s="414"/>
      <c r="NEF37" s="414"/>
      <c r="NEG37" s="414"/>
      <c r="NEH37" s="414"/>
      <c r="NEI37" s="414"/>
      <c r="NEJ37" s="414"/>
      <c r="NEK37" s="414"/>
      <c r="NEL37" s="414"/>
      <c r="NEM37" s="414"/>
      <c r="NEN37" s="414"/>
      <c r="NEO37" s="414"/>
      <c r="NEP37" s="414"/>
      <c r="NEQ37" s="414"/>
      <c r="NER37" s="414"/>
      <c r="NES37" s="414"/>
      <c r="NET37" s="414"/>
      <c r="NEU37" s="414"/>
      <c r="NEV37" s="414"/>
      <c r="NEW37" s="414"/>
      <c r="NEX37" s="414"/>
      <c r="NEY37" s="414"/>
      <c r="NEZ37" s="414"/>
      <c r="NFA37" s="414"/>
      <c r="NFB37" s="414"/>
      <c r="NFC37" s="414"/>
      <c r="NFD37" s="414"/>
      <c r="NFE37" s="414"/>
      <c r="NFF37" s="414"/>
      <c r="NFG37" s="414"/>
      <c r="NFH37" s="414"/>
      <c r="NFI37" s="414"/>
      <c r="NFJ37" s="414"/>
      <c r="NFK37" s="414"/>
      <c r="NFL37" s="414"/>
      <c r="NFM37" s="414"/>
      <c r="NFN37" s="414"/>
      <c r="NFO37" s="414"/>
      <c r="NFP37" s="414"/>
      <c r="NFQ37" s="414"/>
      <c r="NFR37" s="414"/>
      <c r="NFS37" s="414"/>
      <c r="NFT37" s="414"/>
      <c r="NFU37" s="414"/>
      <c r="NFV37" s="414"/>
      <c r="NFW37" s="414"/>
      <c r="NFX37" s="414"/>
      <c r="NFY37" s="414"/>
      <c r="NFZ37" s="414"/>
      <c r="NGA37" s="414"/>
      <c r="NGB37" s="414"/>
      <c r="NGC37" s="414"/>
      <c r="NGD37" s="414"/>
      <c r="NGE37" s="414"/>
      <c r="NGF37" s="414"/>
      <c r="NGG37" s="414"/>
      <c r="NGH37" s="414"/>
      <c r="NGI37" s="414"/>
      <c r="NGJ37" s="414"/>
      <c r="NGK37" s="414"/>
      <c r="NGL37" s="414"/>
      <c r="NGM37" s="414"/>
      <c r="NGN37" s="414"/>
      <c r="NGO37" s="414"/>
      <c r="NGP37" s="414"/>
      <c r="NGQ37" s="414"/>
      <c r="NGR37" s="414"/>
      <c r="NGS37" s="414"/>
      <c r="NGT37" s="414"/>
      <c r="NGU37" s="414"/>
      <c r="NGV37" s="414"/>
      <c r="NGW37" s="414"/>
      <c r="NGX37" s="414"/>
      <c r="NGY37" s="414"/>
      <c r="NGZ37" s="414"/>
      <c r="NHA37" s="414"/>
      <c r="NHB37" s="414"/>
      <c r="NHC37" s="414"/>
      <c r="NHD37" s="414"/>
      <c r="NHE37" s="414"/>
      <c r="NHF37" s="414"/>
      <c r="NHG37" s="414"/>
      <c r="NHH37" s="414"/>
      <c r="NHI37" s="414"/>
      <c r="NHJ37" s="414"/>
      <c r="NHK37" s="414"/>
      <c r="NHL37" s="414"/>
      <c r="NHM37" s="414"/>
      <c r="NHN37" s="414"/>
      <c r="NHO37" s="414"/>
      <c r="NHP37" s="414"/>
      <c r="NHQ37" s="414"/>
      <c r="NHR37" s="414"/>
      <c r="NHS37" s="414"/>
      <c r="NHT37" s="414"/>
      <c r="NHU37" s="414"/>
      <c r="NHV37" s="414"/>
      <c r="NHW37" s="414"/>
      <c r="NHX37" s="414"/>
      <c r="NHY37" s="414"/>
      <c r="NHZ37" s="414"/>
      <c r="NIA37" s="414"/>
      <c r="NIB37" s="414"/>
      <c r="NIC37" s="414"/>
      <c r="NID37" s="414"/>
      <c r="NIE37" s="414"/>
      <c r="NIF37" s="414"/>
      <c r="NIG37" s="414"/>
      <c r="NIH37" s="414"/>
      <c r="NII37" s="414"/>
      <c r="NIJ37" s="414"/>
      <c r="NIK37" s="414"/>
      <c r="NIL37" s="414"/>
      <c r="NIM37" s="414"/>
      <c r="NIN37" s="414"/>
      <c r="NIO37" s="414"/>
      <c r="NIP37" s="414"/>
      <c r="NIQ37" s="414"/>
      <c r="NIR37" s="414"/>
      <c r="NIS37" s="414"/>
      <c r="NIT37" s="414"/>
      <c r="NIU37" s="414"/>
      <c r="NIV37" s="414"/>
      <c r="NIW37" s="414"/>
      <c r="NIX37" s="414"/>
      <c r="NIY37" s="414"/>
      <c r="NIZ37" s="414"/>
      <c r="NJA37" s="414"/>
      <c r="NJB37" s="414"/>
      <c r="NJC37" s="414"/>
      <c r="NJD37" s="414"/>
      <c r="NJE37" s="414"/>
      <c r="NJF37" s="414"/>
      <c r="NJG37" s="414"/>
      <c r="NJH37" s="414"/>
      <c r="NJI37" s="414"/>
      <c r="NJJ37" s="414"/>
      <c r="NJK37" s="414"/>
      <c r="NJL37" s="414"/>
      <c r="NJM37" s="414"/>
      <c r="NJN37" s="414"/>
      <c r="NJO37" s="414"/>
      <c r="NJP37" s="414"/>
      <c r="NJQ37" s="414"/>
      <c r="NJR37" s="414"/>
      <c r="NJS37" s="414"/>
      <c r="NJT37" s="414"/>
      <c r="NJU37" s="414"/>
      <c r="NJV37" s="414"/>
      <c r="NJW37" s="414"/>
      <c r="NJX37" s="414"/>
      <c r="NJY37" s="414"/>
      <c r="NJZ37" s="414"/>
      <c r="NKA37" s="414"/>
      <c r="NKB37" s="414"/>
      <c r="NKC37" s="414"/>
      <c r="NKD37" s="414"/>
      <c r="NKE37" s="414"/>
      <c r="NKF37" s="414"/>
      <c r="NKG37" s="414"/>
      <c r="NKH37" s="414"/>
      <c r="NKI37" s="414"/>
      <c r="NKJ37" s="414"/>
      <c r="NKK37" s="414"/>
      <c r="NKL37" s="414"/>
      <c r="NKM37" s="414"/>
      <c r="NKN37" s="414"/>
      <c r="NKO37" s="414"/>
      <c r="NKP37" s="414"/>
      <c r="NKQ37" s="414"/>
      <c r="NKR37" s="414"/>
      <c r="NKS37" s="414"/>
      <c r="NKT37" s="414"/>
      <c r="NKU37" s="414"/>
      <c r="NKV37" s="414"/>
      <c r="NKW37" s="414"/>
      <c r="NKX37" s="414"/>
      <c r="NKY37" s="414"/>
      <c r="NKZ37" s="414"/>
      <c r="NLA37" s="414"/>
      <c r="NLB37" s="414"/>
      <c r="NLC37" s="414"/>
      <c r="NLD37" s="414"/>
      <c r="NLE37" s="414"/>
      <c r="NLF37" s="414"/>
      <c r="NLG37" s="414"/>
      <c r="NLH37" s="414"/>
      <c r="NLI37" s="414"/>
      <c r="NLJ37" s="414"/>
      <c r="NLK37" s="414"/>
      <c r="NLL37" s="414"/>
      <c r="NLM37" s="414"/>
      <c r="NLN37" s="414"/>
      <c r="NLO37" s="414"/>
      <c r="NLP37" s="414"/>
      <c r="NLQ37" s="414"/>
      <c r="NLR37" s="414"/>
      <c r="NLS37" s="414"/>
      <c r="NLT37" s="414"/>
      <c r="NLU37" s="414"/>
      <c r="NLV37" s="414"/>
      <c r="NLW37" s="414"/>
      <c r="NLX37" s="414"/>
      <c r="NLY37" s="414"/>
      <c r="NLZ37" s="414"/>
      <c r="NMA37" s="414"/>
      <c r="NMB37" s="414"/>
      <c r="NMC37" s="414"/>
      <c r="NMD37" s="414"/>
      <c r="NME37" s="414"/>
      <c r="NMF37" s="414"/>
      <c r="NMG37" s="414"/>
      <c r="NMH37" s="414"/>
      <c r="NMI37" s="414"/>
      <c r="NMJ37" s="414"/>
      <c r="NMK37" s="414"/>
      <c r="NML37" s="414"/>
      <c r="NMM37" s="414"/>
      <c r="NMN37" s="414"/>
      <c r="NMO37" s="414"/>
      <c r="NMP37" s="414"/>
      <c r="NMQ37" s="414"/>
      <c r="NMR37" s="414"/>
      <c r="NMS37" s="414"/>
      <c r="NMT37" s="414"/>
      <c r="NMU37" s="414"/>
      <c r="NMV37" s="414"/>
      <c r="NMW37" s="414"/>
      <c r="NMX37" s="414"/>
      <c r="NMY37" s="414"/>
      <c r="NMZ37" s="414"/>
      <c r="NNA37" s="414"/>
      <c r="NNB37" s="414"/>
      <c r="NNC37" s="414"/>
      <c r="NND37" s="414"/>
      <c r="NNE37" s="414"/>
      <c r="NNF37" s="414"/>
      <c r="NNG37" s="414"/>
      <c r="NNH37" s="414"/>
      <c r="NNI37" s="414"/>
      <c r="NNJ37" s="414"/>
      <c r="NNK37" s="414"/>
      <c r="NNL37" s="414"/>
      <c r="NNM37" s="414"/>
      <c r="NNN37" s="414"/>
      <c r="NNO37" s="414"/>
      <c r="NNP37" s="414"/>
      <c r="NNQ37" s="414"/>
      <c r="NNR37" s="414"/>
      <c r="NNS37" s="414"/>
      <c r="NNT37" s="414"/>
      <c r="NNU37" s="414"/>
      <c r="NNV37" s="414"/>
      <c r="NNW37" s="414"/>
      <c r="NNX37" s="414"/>
      <c r="NNY37" s="414"/>
      <c r="NNZ37" s="414"/>
      <c r="NOA37" s="414"/>
      <c r="NOB37" s="414"/>
      <c r="NOC37" s="414"/>
      <c r="NOD37" s="414"/>
      <c r="NOE37" s="414"/>
      <c r="NOF37" s="414"/>
      <c r="NOG37" s="414"/>
      <c r="NOH37" s="414"/>
      <c r="NOI37" s="414"/>
      <c r="NOJ37" s="414"/>
      <c r="NOK37" s="414"/>
      <c r="NOL37" s="414"/>
      <c r="NOM37" s="414"/>
      <c r="NON37" s="414"/>
      <c r="NOO37" s="414"/>
      <c r="NOP37" s="414"/>
      <c r="NOQ37" s="414"/>
      <c r="NOR37" s="414"/>
      <c r="NOS37" s="414"/>
      <c r="NOT37" s="414"/>
      <c r="NOU37" s="414"/>
      <c r="NOV37" s="414"/>
      <c r="NOW37" s="414"/>
      <c r="NOX37" s="414"/>
      <c r="NOY37" s="414"/>
      <c r="NOZ37" s="414"/>
      <c r="NPA37" s="414"/>
      <c r="NPB37" s="414"/>
      <c r="NPC37" s="414"/>
      <c r="NPD37" s="414"/>
      <c r="NPE37" s="414"/>
      <c r="NPF37" s="414"/>
      <c r="NPG37" s="414"/>
      <c r="NPH37" s="414"/>
      <c r="NPI37" s="414"/>
      <c r="NPJ37" s="414"/>
      <c r="NPK37" s="414"/>
      <c r="NPL37" s="414"/>
      <c r="NPM37" s="414"/>
      <c r="NPN37" s="414"/>
      <c r="NPO37" s="414"/>
      <c r="NPP37" s="414"/>
      <c r="NPQ37" s="414"/>
      <c r="NPR37" s="414"/>
      <c r="NPS37" s="414"/>
      <c r="NPT37" s="414"/>
      <c r="NPU37" s="414"/>
      <c r="NPV37" s="414"/>
      <c r="NPW37" s="414"/>
      <c r="NPX37" s="414"/>
      <c r="NPY37" s="414"/>
      <c r="NPZ37" s="414"/>
      <c r="NQA37" s="414"/>
      <c r="NQB37" s="414"/>
      <c r="NQC37" s="414"/>
      <c r="NQD37" s="414"/>
      <c r="NQE37" s="414"/>
      <c r="NQF37" s="414"/>
      <c r="NQG37" s="414"/>
      <c r="NQH37" s="414"/>
      <c r="NQI37" s="414"/>
      <c r="NQJ37" s="414"/>
      <c r="NQK37" s="414"/>
      <c r="NQL37" s="414"/>
      <c r="NQM37" s="414"/>
      <c r="NQN37" s="414"/>
      <c r="NQO37" s="414"/>
      <c r="NQP37" s="414"/>
      <c r="NQQ37" s="414"/>
      <c r="NQR37" s="414"/>
      <c r="NQS37" s="414"/>
      <c r="NQT37" s="414"/>
      <c r="NQU37" s="414"/>
      <c r="NQV37" s="414"/>
      <c r="NQW37" s="414"/>
      <c r="NQX37" s="414"/>
      <c r="NQY37" s="414"/>
      <c r="NQZ37" s="414"/>
      <c r="NRA37" s="414"/>
      <c r="NRB37" s="414"/>
      <c r="NRC37" s="414"/>
      <c r="NRD37" s="414"/>
      <c r="NRE37" s="414"/>
      <c r="NRF37" s="414"/>
      <c r="NRG37" s="414"/>
      <c r="NRH37" s="414"/>
      <c r="NRI37" s="414"/>
      <c r="NRJ37" s="414"/>
      <c r="NRK37" s="414"/>
      <c r="NRL37" s="414"/>
      <c r="NRM37" s="414"/>
      <c r="NRN37" s="414"/>
      <c r="NRO37" s="414"/>
      <c r="NRP37" s="414"/>
      <c r="NRQ37" s="414"/>
      <c r="NRR37" s="414"/>
      <c r="NRS37" s="414"/>
      <c r="NRT37" s="414"/>
      <c r="NRU37" s="414"/>
      <c r="NRV37" s="414"/>
      <c r="NRW37" s="414"/>
      <c r="NRX37" s="414"/>
      <c r="NRY37" s="414"/>
      <c r="NRZ37" s="414"/>
      <c r="NSA37" s="414"/>
      <c r="NSB37" s="414"/>
      <c r="NSC37" s="414"/>
      <c r="NSD37" s="414"/>
      <c r="NSE37" s="414"/>
      <c r="NSF37" s="414"/>
      <c r="NSG37" s="414"/>
      <c r="NSH37" s="414"/>
      <c r="NSI37" s="414"/>
      <c r="NSJ37" s="414"/>
      <c r="NSK37" s="414"/>
      <c r="NSL37" s="414"/>
      <c r="NSM37" s="414"/>
      <c r="NSN37" s="414"/>
      <c r="NSO37" s="414"/>
      <c r="NSP37" s="414"/>
      <c r="NSQ37" s="414"/>
      <c r="NSR37" s="414"/>
      <c r="NSS37" s="414"/>
      <c r="NST37" s="414"/>
      <c r="NSU37" s="414"/>
      <c r="NSV37" s="414"/>
      <c r="NSW37" s="414"/>
      <c r="NSX37" s="414"/>
      <c r="NSY37" s="414"/>
      <c r="NSZ37" s="414"/>
      <c r="NTA37" s="414"/>
      <c r="NTB37" s="414"/>
      <c r="NTC37" s="414"/>
      <c r="NTD37" s="414"/>
      <c r="NTE37" s="414"/>
      <c r="NTF37" s="414"/>
      <c r="NTG37" s="414"/>
      <c r="NTH37" s="414"/>
      <c r="NTI37" s="414"/>
      <c r="NTJ37" s="414"/>
      <c r="NTK37" s="414"/>
      <c r="NTL37" s="414"/>
      <c r="NTM37" s="414"/>
      <c r="NTN37" s="414"/>
      <c r="NTO37" s="414"/>
      <c r="NTP37" s="414"/>
      <c r="NTQ37" s="414"/>
      <c r="NTR37" s="414"/>
      <c r="NTS37" s="414"/>
      <c r="NTT37" s="414"/>
      <c r="NTU37" s="414"/>
      <c r="NTV37" s="414"/>
      <c r="NTW37" s="414"/>
      <c r="NTX37" s="414"/>
      <c r="NTY37" s="414"/>
      <c r="NTZ37" s="414"/>
      <c r="NUA37" s="414"/>
      <c r="NUB37" s="414"/>
      <c r="NUC37" s="414"/>
      <c r="NUD37" s="414"/>
      <c r="NUE37" s="414"/>
      <c r="NUF37" s="414"/>
      <c r="NUG37" s="414"/>
      <c r="NUH37" s="414"/>
      <c r="NUI37" s="414"/>
      <c r="NUJ37" s="414"/>
      <c r="NUK37" s="414"/>
      <c r="NUL37" s="414"/>
      <c r="NUM37" s="414"/>
      <c r="NUN37" s="414"/>
      <c r="NUO37" s="414"/>
      <c r="NUP37" s="414"/>
      <c r="NUQ37" s="414"/>
      <c r="NUR37" s="414"/>
      <c r="NUS37" s="414"/>
      <c r="NUT37" s="414"/>
      <c r="NUU37" s="414"/>
      <c r="NUV37" s="414"/>
      <c r="NUW37" s="414"/>
      <c r="NUX37" s="414"/>
      <c r="NUY37" s="414"/>
      <c r="NUZ37" s="414"/>
      <c r="NVA37" s="414"/>
      <c r="NVB37" s="414"/>
      <c r="NVC37" s="414"/>
      <c r="NVD37" s="414"/>
      <c r="NVE37" s="414"/>
      <c r="NVF37" s="414"/>
      <c r="NVG37" s="414"/>
      <c r="NVH37" s="414"/>
      <c r="NVI37" s="414"/>
      <c r="NVJ37" s="414"/>
      <c r="NVK37" s="414"/>
      <c r="NVL37" s="414"/>
      <c r="NVM37" s="414"/>
      <c r="NVN37" s="414"/>
      <c r="NVO37" s="414"/>
      <c r="NVP37" s="414"/>
      <c r="NVQ37" s="414"/>
      <c r="NVR37" s="414"/>
      <c r="NVS37" s="414"/>
      <c r="NVT37" s="414"/>
      <c r="NVU37" s="414"/>
      <c r="NVV37" s="414"/>
      <c r="NVW37" s="414"/>
      <c r="NVX37" s="414"/>
      <c r="NVY37" s="414"/>
      <c r="NVZ37" s="414"/>
      <c r="NWA37" s="414"/>
      <c r="NWB37" s="414"/>
      <c r="NWC37" s="414"/>
      <c r="NWD37" s="414"/>
      <c r="NWE37" s="414"/>
      <c r="NWF37" s="414"/>
      <c r="NWG37" s="414"/>
      <c r="NWH37" s="414"/>
      <c r="NWI37" s="414"/>
      <c r="NWJ37" s="414"/>
      <c r="NWK37" s="414"/>
      <c r="NWL37" s="414"/>
      <c r="NWM37" s="414"/>
      <c r="NWN37" s="414"/>
      <c r="NWO37" s="414"/>
      <c r="NWP37" s="414"/>
      <c r="NWQ37" s="414"/>
      <c r="NWR37" s="414"/>
      <c r="NWS37" s="414"/>
      <c r="NWT37" s="414"/>
      <c r="NWU37" s="414"/>
      <c r="NWV37" s="414"/>
      <c r="NWW37" s="414"/>
      <c r="NWX37" s="414"/>
      <c r="NWY37" s="414"/>
      <c r="NWZ37" s="414"/>
      <c r="NXA37" s="414"/>
      <c r="NXB37" s="414"/>
      <c r="NXC37" s="414"/>
      <c r="NXD37" s="414"/>
      <c r="NXE37" s="414"/>
      <c r="NXF37" s="414"/>
      <c r="NXG37" s="414"/>
      <c r="NXH37" s="414"/>
      <c r="NXI37" s="414"/>
      <c r="NXJ37" s="414"/>
      <c r="NXK37" s="414"/>
      <c r="NXL37" s="414"/>
      <c r="NXM37" s="414"/>
      <c r="NXN37" s="414"/>
      <c r="NXO37" s="414"/>
      <c r="NXP37" s="414"/>
      <c r="NXQ37" s="414"/>
      <c r="NXR37" s="414"/>
      <c r="NXS37" s="414"/>
      <c r="NXT37" s="414"/>
      <c r="NXU37" s="414"/>
      <c r="NXV37" s="414"/>
      <c r="NXW37" s="414"/>
      <c r="NXX37" s="414"/>
      <c r="NXY37" s="414"/>
      <c r="NXZ37" s="414"/>
      <c r="NYA37" s="414"/>
      <c r="NYB37" s="414"/>
      <c r="NYC37" s="414"/>
      <c r="NYD37" s="414"/>
      <c r="NYE37" s="414"/>
      <c r="NYF37" s="414"/>
      <c r="NYG37" s="414"/>
      <c r="NYH37" s="414"/>
      <c r="NYI37" s="414"/>
      <c r="NYJ37" s="414"/>
      <c r="NYK37" s="414"/>
      <c r="NYL37" s="414"/>
      <c r="NYM37" s="414"/>
      <c r="NYN37" s="414"/>
      <c r="NYO37" s="414"/>
      <c r="NYP37" s="414"/>
      <c r="NYQ37" s="414"/>
      <c r="NYR37" s="414"/>
      <c r="NYS37" s="414"/>
      <c r="NYT37" s="414"/>
      <c r="NYU37" s="414"/>
      <c r="NYV37" s="414"/>
      <c r="NYW37" s="414"/>
      <c r="NYX37" s="414"/>
      <c r="NYY37" s="414"/>
      <c r="NYZ37" s="414"/>
      <c r="NZA37" s="414"/>
      <c r="NZB37" s="414"/>
      <c r="NZC37" s="414"/>
      <c r="NZD37" s="414"/>
      <c r="NZE37" s="414"/>
      <c r="NZF37" s="414"/>
      <c r="NZG37" s="414"/>
      <c r="NZH37" s="414"/>
      <c r="NZI37" s="414"/>
      <c r="NZJ37" s="414"/>
      <c r="NZK37" s="414"/>
      <c r="NZL37" s="414"/>
      <c r="NZM37" s="414"/>
      <c r="NZN37" s="414"/>
      <c r="NZO37" s="414"/>
      <c r="NZP37" s="414"/>
      <c r="NZQ37" s="414"/>
      <c r="NZR37" s="414"/>
      <c r="NZS37" s="414"/>
      <c r="NZT37" s="414"/>
      <c r="NZU37" s="414"/>
      <c r="NZV37" s="414"/>
      <c r="NZW37" s="414"/>
      <c r="NZX37" s="414"/>
      <c r="NZY37" s="414"/>
      <c r="NZZ37" s="414"/>
      <c r="OAA37" s="414"/>
      <c r="OAB37" s="414"/>
      <c r="OAC37" s="414"/>
      <c r="OAD37" s="414"/>
      <c r="OAE37" s="414"/>
      <c r="OAF37" s="414"/>
      <c r="OAG37" s="414"/>
      <c r="OAH37" s="414"/>
      <c r="OAI37" s="414"/>
      <c r="OAJ37" s="414"/>
      <c r="OAK37" s="414"/>
      <c r="OAL37" s="414"/>
      <c r="OAM37" s="414"/>
      <c r="OAN37" s="414"/>
      <c r="OAO37" s="414"/>
      <c r="OAP37" s="414"/>
      <c r="OAQ37" s="414"/>
      <c r="OAR37" s="414"/>
      <c r="OAS37" s="414"/>
      <c r="OAT37" s="414"/>
      <c r="OAU37" s="414"/>
      <c r="OAV37" s="414"/>
      <c r="OAW37" s="414"/>
      <c r="OAX37" s="414"/>
      <c r="OAY37" s="414"/>
      <c r="OAZ37" s="414"/>
      <c r="OBA37" s="414"/>
      <c r="OBB37" s="414"/>
      <c r="OBC37" s="414"/>
      <c r="OBD37" s="414"/>
      <c r="OBE37" s="414"/>
      <c r="OBF37" s="414"/>
      <c r="OBG37" s="414"/>
      <c r="OBH37" s="414"/>
      <c r="OBI37" s="414"/>
      <c r="OBJ37" s="414"/>
      <c r="OBK37" s="414"/>
      <c r="OBL37" s="414"/>
      <c r="OBM37" s="414"/>
      <c r="OBN37" s="414"/>
      <c r="OBO37" s="414"/>
      <c r="OBP37" s="414"/>
      <c r="OBQ37" s="414"/>
      <c r="OBR37" s="414"/>
      <c r="OBS37" s="414"/>
      <c r="OBT37" s="414"/>
      <c r="OBU37" s="414"/>
      <c r="OBV37" s="414"/>
      <c r="OBW37" s="414"/>
      <c r="OBX37" s="414"/>
      <c r="OBY37" s="414"/>
      <c r="OBZ37" s="414"/>
      <c r="OCA37" s="414"/>
      <c r="OCB37" s="414"/>
      <c r="OCC37" s="414"/>
      <c r="OCD37" s="414"/>
      <c r="OCE37" s="414"/>
      <c r="OCF37" s="414"/>
      <c r="OCG37" s="414"/>
      <c r="OCH37" s="414"/>
      <c r="OCI37" s="414"/>
      <c r="OCJ37" s="414"/>
      <c r="OCK37" s="414"/>
      <c r="OCL37" s="414"/>
      <c r="OCM37" s="414"/>
      <c r="OCN37" s="414"/>
      <c r="OCO37" s="414"/>
      <c r="OCP37" s="414"/>
      <c r="OCQ37" s="414"/>
      <c r="OCR37" s="414"/>
      <c r="OCS37" s="414"/>
      <c r="OCT37" s="414"/>
      <c r="OCU37" s="414"/>
      <c r="OCV37" s="414"/>
      <c r="OCW37" s="414"/>
      <c r="OCX37" s="414"/>
      <c r="OCY37" s="414"/>
      <c r="OCZ37" s="414"/>
      <c r="ODA37" s="414"/>
      <c r="ODB37" s="414"/>
      <c r="ODC37" s="414"/>
      <c r="ODD37" s="414"/>
      <c r="ODE37" s="414"/>
      <c r="ODF37" s="414"/>
      <c r="ODG37" s="414"/>
      <c r="ODH37" s="414"/>
      <c r="ODI37" s="414"/>
      <c r="ODJ37" s="414"/>
      <c r="ODK37" s="414"/>
      <c r="ODL37" s="414"/>
      <c r="ODM37" s="414"/>
      <c r="ODN37" s="414"/>
      <c r="ODO37" s="414"/>
      <c r="ODP37" s="414"/>
      <c r="ODQ37" s="414"/>
      <c r="ODR37" s="414"/>
      <c r="ODS37" s="414"/>
      <c r="ODT37" s="414"/>
      <c r="ODU37" s="414"/>
      <c r="ODV37" s="414"/>
      <c r="ODW37" s="414"/>
      <c r="ODX37" s="414"/>
      <c r="ODY37" s="414"/>
      <c r="ODZ37" s="414"/>
      <c r="OEA37" s="414"/>
      <c r="OEB37" s="414"/>
      <c r="OEC37" s="414"/>
      <c r="OED37" s="414"/>
      <c r="OEE37" s="414"/>
      <c r="OEF37" s="414"/>
      <c r="OEG37" s="414"/>
      <c r="OEH37" s="414"/>
      <c r="OEI37" s="414"/>
      <c r="OEJ37" s="414"/>
      <c r="OEK37" s="414"/>
      <c r="OEL37" s="414"/>
      <c r="OEM37" s="414"/>
      <c r="OEN37" s="414"/>
      <c r="OEO37" s="414"/>
      <c r="OEP37" s="414"/>
      <c r="OEQ37" s="414"/>
      <c r="OER37" s="414"/>
      <c r="OES37" s="414"/>
      <c r="OET37" s="414"/>
      <c r="OEU37" s="414"/>
      <c r="OEV37" s="414"/>
      <c r="OEW37" s="414"/>
      <c r="OEX37" s="414"/>
      <c r="OEY37" s="414"/>
      <c r="OEZ37" s="414"/>
      <c r="OFA37" s="414"/>
      <c r="OFB37" s="414"/>
      <c r="OFC37" s="414"/>
      <c r="OFD37" s="414"/>
      <c r="OFE37" s="414"/>
      <c r="OFF37" s="414"/>
      <c r="OFG37" s="414"/>
      <c r="OFH37" s="414"/>
      <c r="OFI37" s="414"/>
      <c r="OFJ37" s="414"/>
      <c r="OFK37" s="414"/>
      <c r="OFL37" s="414"/>
      <c r="OFM37" s="414"/>
      <c r="OFN37" s="414"/>
      <c r="OFO37" s="414"/>
      <c r="OFP37" s="414"/>
      <c r="OFQ37" s="414"/>
      <c r="OFR37" s="414"/>
      <c r="OFS37" s="414"/>
      <c r="OFT37" s="414"/>
      <c r="OFU37" s="414"/>
      <c r="OFV37" s="414"/>
      <c r="OFW37" s="414"/>
      <c r="OFX37" s="414"/>
      <c r="OFY37" s="414"/>
      <c r="OFZ37" s="414"/>
      <c r="OGA37" s="414"/>
      <c r="OGB37" s="414"/>
      <c r="OGC37" s="414"/>
      <c r="OGD37" s="414"/>
      <c r="OGE37" s="414"/>
      <c r="OGF37" s="414"/>
      <c r="OGG37" s="414"/>
      <c r="OGH37" s="414"/>
      <c r="OGI37" s="414"/>
      <c r="OGJ37" s="414"/>
      <c r="OGK37" s="414"/>
      <c r="OGL37" s="414"/>
      <c r="OGM37" s="414"/>
      <c r="OGN37" s="414"/>
      <c r="OGO37" s="414"/>
      <c r="OGP37" s="414"/>
      <c r="OGQ37" s="414"/>
      <c r="OGR37" s="414"/>
      <c r="OGS37" s="414"/>
      <c r="OGT37" s="414"/>
      <c r="OGU37" s="414"/>
      <c r="OGV37" s="414"/>
      <c r="OGW37" s="414"/>
      <c r="OGX37" s="414"/>
      <c r="OGY37" s="414"/>
      <c r="OGZ37" s="414"/>
      <c r="OHA37" s="414"/>
      <c r="OHB37" s="414"/>
      <c r="OHC37" s="414"/>
      <c r="OHD37" s="414"/>
      <c r="OHE37" s="414"/>
      <c r="OHF37" s="414"/>
      <c r="OHG37" s="414"/>
      <c r="OHH37" s="414"/>
      <c r="OHI37" s="414"/>
      <c r="OHJ37" s="414"/>
      <c r="OHK37" s="414"/>
      <c r="OHL37" s="414"/>
      <c r="OHM37" s="414"/>
      <c r="OHN37" s="414"/>
      <c r="OHO37" s="414"/>
      <c r="OHP37" s="414"/>
      <c r="OHQ37" s="414"/>
      <c r="OHR37" s="414"/>
      <c r="OHS37" s="414"/>
      <c r="OHT37" s="414"/>
      <c r="OHU37" s="414"/>
      <c r="OHV37" s="414"/>
      <c r="OHW37" s="414"/>
      <c r="OHX37" s="414"/>
      <c r="OHY37" s="414"/>
      <c r="OHZ37" s="414"/>
      <c r="OIA37" s="414"/>
      <c r="OIB37" s="414"/>
      <c r="OIC37" s="414"/>
      <c r="OID37" s="414"/>
      <c r="OIE37" s="414"/>
      <c r="OIF37" s="414"/>
      <c r="OIG37" s="414"/>
      <c r="OIH37" s="414"/>
      <c r="OII37" s="414"/>
      <c r="OIJ37" s="414"/>
      <c r="OIK37" s="414"/>
      <c r="OIL37" s="414"/>
      <c r="OIM37" s="414"/>
      <c r="OIN37" s="414"/>
      <c r="OIO37" s="414"/>
      <c r="OIP37" s="414"/>
      <c r="OIQ37" s="414"/>
      <c r="OIR37" s="414"/>
      <c r="OIS37" s="414"/>
      <c r="OIT37" s="414"/>
      <c r="OIU37" s="414"/>
      <c r="OIV37" s="414"/>
      <c r="OIW37" s="414"/>
      <c r="OIX37" s="414"/>
      <c r="OIY37" s="414"/>
      <c r="OIZ37" s="414"/>
      <c r="OJA37" s="414"/>
      <c r="OJB37" s="414"/>
      <c r="OJC37" s="414"/>
      <c r="OJD37" s="414"/>
      <c r="OJE37" s="414"/>
      <c r="OJF37" s="414"/>
      <c r="OJG37" s="414"/>
      <c r="OJH37" s="414"/>
      <c r="OJI37" s="414"/>
      <c r="OJJ37" s="414"/>
      <c r="OJK37" s="414"/>
      <c r="OJL37" s="414"/>
      <c r="OJM37" s="414"/>
      <c r="OJN37" s="414"/>
      <c r="OJO37" s="414"/>
      <c r="OJP37" s="414"/>
      <c r="OJQ37" s="414"/>
      <c r="OJR37" s="414"/>
      <c r="OJS37" s="414"/>
      <c r="OJT37" s="414"/>
      <c r="OJU37" s="414"/>
      <c r="OJV37" s="414"/>
      <c r="OJW37" s="414"/>
      <c r="OJX37" s="414"/>
      <c r="OJY37" s="414"/>
      <c r="OJZ37" s="414"/>
      <c r="OKA37" s="414"/>
      <c r="OKB37" s="414"/>
      <c r="OKC37" s="414"/>
      <c r="OKD37" s="414"/>
      <c r="OKE37" s="414"/>
      <c r="OKF37" s="414"/>
      <c r="OKG37" s="414"/>
      <c r="OKH37" s="414"/>
      <c r="OKI37" s="414"/>
      <c r="OKJ37" s="414"/>
      <c r="OKK37" s="414"/>
      <c r="OKL37" s="414"/>
      <c r="OKM37" s="414"/>
      <c r="OKN37" s="414"/>
      <c r="OKO37" s="414"/>
      <c r="OKP37" s="414"/>
      <c r="OKQ37" s="414"/>
      <c r="OKR37" s="414"/>
      <c r="OKS37" s="414"/>
      <c r="OKT37" s="414"/>
      <c r="OKU37" s="414"/>
      <c r="OKV37" s="414"/>
      <c r="OKW37" s="414"/>
      <c r="OKX37" s="414"/>
      <c r="OKY37" s="414"/>
      <c r="OKZ37" s="414"/>
      <c r="OLA37" s="414"/>
      <c r="OLB37" s="414"/>
      <c r="OLC37" s="414"/>
      <c r="OLD37" s="414"/>
      <c r="OLE37" s="414"/>
      <c r="OLF37" s="414"/>
      <c r="OLG37" s="414"/>
      <c r="OLH37" s="414"/>
      <c r="OLI37" s="414"/>
      <c r="OLJ37" s="414"/>
      <c r="OLK37" s="414"/>
      <c r="OLL37" s="414"/>
      <c r="OLM37" s="414"/>
      <c r="OLN37" s="414"/>
      <c r="OLO37" s="414"/>
      <c r="OLP37" s="414"/>
      <c r="OLQ37" s="414"/>
      <c r="OLR37" s="414"/>
      <c r="OLS37" s="414"/>
      <c r="OLT37" s="414"/>
      <c r="OLU37" s="414"/>
      <c r="OLV37" s="414"/>
      <c r="OLW37" s="414"/>
      <c r="OLX37" s="414"/>
      <c r="OLY37" s="414"/>
      <c r="OLZ37" s="414"/>
      <c r="OMA37" s="414"/>
      <c r="OMB37" s="414"/>
      <c r="OMC37" s="414"/>
      <c r="OMD37" s="414"/>
      <c r="OME37" s="414"/>
      <c r="OMF37" s="414"/>
      <c r="OMG37" s="414"/>
      <c r="OMH37" s="414"/>
      <c r="OMI37" s="414"/>
      <c r="OMJ37" s="414"/>
      <c r="OMK37" s="414"/>
      <c r="OML37" s="414"/>
      <c r="OMM37" s="414"/>
      <c r="OMN37" s="414"/>
      <c r="OMO37" s="414"/>
      <c r="OMP37" s="414"/>
      <c r="OMQ37" s="414"/>
      <c r="OMR37" s="414"/>
      <c r="OMS37" s="414"/>
      <c r="OMT37" s="414"/>
      <c r="OMU37" s="414"/>
      <c r="OMV37" s="414"/>
      <c r="OMW37" s="414"/>
      <c r="OMX37" s="414"/>
      <c r="OMY37" s="414"/>
      <c r="OMZ37" s="414"/>
      <c r="ONA37" s="414"/>
      <c r="ONB37" s="414"/>
      <c r="ONC37" s="414"/>
      <c r="OND37" s="414"/>
      <c r="ONE37" s="414"/>
      <c r="ONF37" s="414"/>
      <c r="ONG37" s="414"/>
      <c r="ONH37" s="414"/>
      <c r="ONI37" s="414"/>
      <c r="ONJ37" s="414"/>
      <c r="ONK37" s="414"/>
      <c r="ONL37" s="414"/>
      <c r="ONM37" s="414"/>
      <c r="ONN37" s="414"/>
      <c r="ONO37" s="414"/>
      <c r="ONP37" s="414"/>
      <c r="ONQ37" s="414"/>
      <c r="ONR37" s="414"/>
      <c r="ONS37" s="414"/>
      <c r="ONT37" s="414"/>
      <c r="ONU37" s="414"/>
      <c r="ONV37" s="414"/>
      <c r="ONW37" s="414"/>
      <c r="ONX37" s="414"/>
      <c r="ONY37" s="414"/>
      <c r="ONZ37" s="414"/>
      <c r="OOA37" s="414"/>
      <c r="OOB37" s="414"/>
      <c r="OOC37" s="414"/>
      <c r="OOD37" s="414"/>
      <c r="OOE37" s="414"/>
      <c r="OOF37" s="414"/>
      <c r="OOG37" s="414"/>
      <c r="OOH37" s="414"/>
      <c r="OOI37" s="414"/>
      <c r="OOJ37" s="414"/>
      <c r="OOK37" s="414"/>
      <c r="OOL37" s="414"/>
      <c r="OOM37" s="414"/>
      <c r="OON37" s="414"/>
      <c r="OOO37" s="414"/>
      <c r="OOP37" s="414"/>
      <c r="OOQ37" s="414"/>
      <c r="OOR37" s="414"/>
      <c r="OOS37" s="414"/>
      <c r="OOT37" s="414"/>
      <c r="OOU37" s="414"/>
      <c r="OOV37" s="414"/>
      <c r="OOW37" s="414"/>
      <c r="OOX37" s="414"/>
      <c r="OOY37" s="414"/>
      <c r="OOZ37" s="414"/>
      <c r="OPA37" s="414"/>
      <c r="OPB37" s="414"/>
      <c r="OPC37" s="414"/>
      <c r="OPD37" s="414"/>
      <c r="OPE37" s="414"/>
      <c r="OPF37" s="414"/>
      <c r="OPG37" s="414"/>
      <c r="OPH37" s="414"/>
      <c r="OPI37" s="414"/>
      <c r="OPJ37" s="414"/>
      <c r="OPK37" s="414"/>
      <c r="OPL37" s="414"/>
      <c r="OPM37" s="414"/>
      <c r="OPN37" s="414"/>
      <c r="OPO37" s="414"/>
      <c r="OPP37" s="414"/>
      <c r="OPQ37" s="414"/>
      <c r="OPR37" s="414"/>
      <c r="OPS37" s="414"/>
      <c r="OPT37" s="414"/>
      <c r="OPU37" s="414"/>
      <c r="OPV37" s="414"/>
      <c r="OPW37" s="414"/>
      <c r="OPX37" s="414"/>
      <c r="OPY37" s="414"/>
      <c r="OPZ37" s="414"/>
      <c r="OQA37" s="414"/>
      <c r="OQB37" s="414"/>
      <c r="OQC37" s="414"/>
      <c r="OQD37" s="414"/>
      <c r="OQE37" s="414"/>
      <c r="OQF37" s="414"/>
      <c r="OQG37" s="414"/>
      <c r="OQH37" s="414"/>
      <c r="OQI37" s="414"/>
      <c r="OQJ37" s="414"/>
      <c r="OQK37" s="414"/>
      <c r="OQL37" s="414"/>
      <c r="OQM37" s="414"/>
      <c r="OQN37" s="414"/>
      <c r="OQO37" s="414"/>
      <c r="OQP37" s="414"/>
      <c r="OQQ37" s="414"/>
      <c r="OQR37" s="414"/>
      <c r="OQS37" s="414"/>
      <c r="OQT37" s="414"/>
      <c r="OQU37" s="414"/>
      <c r="OQV37" s="414"/>
      <c r="OQW37" s="414"/>
      <c r="OQX37" s="414"/>
      <c r="OQY37" s="414"/>
      <c r="OQZ37" s="414"/>
      <c r="ORA37" s="414"/>
      <c r="ORB37" s="414"/>
      <c r="ORC37" s="414"/>
      <c r="ORD37" s="414"/>
      <c r="ORE37" s="414"/>
      <c r="ORF37" s="414"/>
      <c r="ORG37" s="414"/>
      <c r="ORH37" s="414"/>
      <c r="ORI37" s="414"/>
      <c r="ORJ37" s="414"/>
      <c r="ORK37" s="414"/>
      <c r="ORL37" s="414"/>
      <c r="ORM37" s="414"/>
      <c r="ORN37" s="414"/>
      <c r="ORO37" s="414"/>
      <c r="ORP37" s="414"/>
      <c r="ORQ37" s="414"/>
      <c r="ORR37" s="414"/>
      <c r="ORS37" s="414"/>
      <c r="ORT37" s="414"/>
      <c r="ORU37" s="414"/>
      <c r="ORV37" s="414"/>
      <c r="ORW37" s="414"/>
      <c r="ORX37" s="414"/>
      <c r="ORY37" s="414"/>
      <c r="ORZ37" s="414"/>
      <c r="OSA37" s="414"/>
      <c r="OSB37" s="414"/>
      <c r="OSC37" s="414"/>
      <c r="OSD37" s="414"/>
      <c r="OSE37" s="414"/>
      <c r="OSF37" s="414"/>
      <c r="OSG37" s="414"/>
      <c r="OSH37" s="414"/>
      <c r="OSI37" s="414"/>
      <c r="OSJ37" s="414"/>
      <c r="OSK37" s="414"/>
      <c r="OSL37" s="414"/>
      <c r="OSM37" s="414"/>
      <c r="OSN37" s="414"/>
      <c r="OSO37" s="414"/>
      <c r="OSP37" s="414"/>
      <c r="OSQ37" s="414"/>
      <c r="OSR37" s="414"/>
      <c r="OSS37" s="414"/>
      <c r="OST37" s="414"/>
      <c r="OSU37" s="414"/>
      <c r="OSV37" s="414"/>
      <c r="OSW37" s="414"/>
      <c r="OSX37" s="414"/>
      <c r="OSY37" s="414"/>
      <c r="OSZ37" s="414"/>
      <c r="OTA37" s="414"/>
      <c r="OTB37" s="414"/>
      <c r="OTC37" s="414"/>
      <c r="OTD37" s="414"/>
      <c r="OTE37" s="414"/>
      <c r="OTF37" s="414"/>
      <c r="OTG37" s="414"/>
      <c r="OTH37" s="414"/>
      <c r="OTI37" s="414"/>
      <c r="OTJ37" s="414"/>
      <c r="OTK37" s="414"/>
      <c r="OTL37" s="414"/>
      <c r="OTM37" s="414"/>
      <c r="OTN37" s="414"/>
      <c r="OTO37" s="414"/>
      <c r="OTP37" s="414"/>
      <c r="OTQ37" s="414"/>
      <c r="OTR37" s="414"/>
      <c r="OTS37" s="414"/>
      <c r="OTT37" s="414"/>
      <c r="OTU37" s="414"/>
      <c r="OTV37" s="414"/>
      <c r="OTW37" s="414"/>
      <c r="OTX37" s="414"/>
      <c r="OTY37" s="414"/>
      <c r="OTZ37" s="414"/>
      <c r="OUA37" s="414"/>
      <c r="OUB37" s="414"/>
      <c r="OUC37" s="414"/>
      <c r="OUD37" s="414"/>
      <c r="OUE37" s="414"/>
      <c r="OUF37" s="414"/>
      <c r="OUG37" s="414"/>
      <c r="OUH37" s="414"/>
      <c r="OUI37" s="414"/>
      <c r="OUJ37" s="414"/>
      <c r="OUK37" s="414"/>
      <c r="OUL37" s="414"/>
      <c r="OUM37" s="414"/>
      <c r="OUN37" s="414"/>
      <c r="OUO37" s="414"/>
      <c r="OUP37" s="414"/>
      <c r="OUQ37" s="414"/>
      <c r="OUR37" s="414"/>
      <c r="OUS37" s="414"/>
      <c r="OUT37" s="414"/>
      <c r="OUU37" s="414"/>
      <c r="OUV37" s="414"/>
      <c r="OUW37" s="414"/>
      <c r="OUX37" s="414"/>
      <c r="OUY37" s="414"/>
      <c r="OUZ37" s="414"/>
      <c r="OVA37" s="414"/>
      <c r="OVB37" s="414"/>
      <c r="OVC37" s="414"/>
      <c r="OVD37" s="414"/>
      <c r="OVE37" s="414"/>
      <c r="OVF37" s="414"/>
      <c r="OVG37" s="414"/>
      <c r="OVH37" s="414"/>
      <c r="OVI37" s="414"/>
      <c r="OVJ37" s="414"/>
      <c r="OVK37" s="414"/>
      <c r="OVL37" s="414"/>
      <c r="OVM37" s="414"/>
      <c r="OVN37" s="414"/>
      <c r="OVO37" s="414"/>
      <c r="OVP37" s="414"/>
      <c r="OVQ37" s="414"/>
      <c r="OVR37" s="414"/>
      <c r="OVS37" s="414"/>
      <c r="OVT37" s="414"/>
      <c r="OVU37" s="414"/>
      <c r="OVV37" s="414"/>
      <c r="OVW37" s="414"/>
      <c r="OVX37" s="414"/>
      <c r="OVY37" s="414"/>
      <c r="OVZ37" s="414"/>
      <c r="OWA37" s="414"/>
      <c r="OWB37" s="414"/>
      <c r="OWC37" s="414"/>
      <c r="OWD37" s="414"/>
      <c r="OWE37" s="414"/>
      <c r="OWF37" s="414"/>
      <c r="OWG37" s="414"/>
      <c r="OWH37" s="414"/>
      <c r="OWI37" s="414"/>
      <c r="OWJ37" s="414"/>
      <c r="OWK37" s="414"/>
      <c r="OWL37" s="414"/>
      <c r="OWM37" s="414"/>
      <c r="OWN37" s="414"/>
      <c r="OWO37" s="414"/>
      <c r="OWP37" s="414"/>
      <c r="OWQ37" s="414"/>
      <c r="OWR37" s="414"/>
      <c r="OWS37" s="414"/>
      <c r="OWT37" s="414"/>
      <c r="OWU37" s="414"/>
      <c r="OWV37" s="414"/>
      <c r="OWW37" s="414"/>
      <c r="OWX37" s="414"/>
      <c r="OWY37" s="414"/>
      <c r="OWZ37" s="414"/>
      <c r="OXA37" s="414"/>
      <c r="OXB37" s="414"/>
      <c r="OXC37" s="414"/>
      <c r="OXD37" s="414"/>
      <c r="OXE37" s="414"/>
      <c r="OXF37" s="414"/>
      <c r="OXG37" s="414"/>
      <c r="OXH37" s="414"/>
      <c r="OXI37" s="414"/>
      <c r="OXJ37" s="414"/>
      <c r="OXK37" s="414"/>
      <c r="OXL37" s="414"/>
      <c r="OXM37" s="414"/>
      <c r="OXN37" s="414"/>
      <c r="OXO37" s="414"/>
      <c r="OXP37" s="414"/>
      <c r="OXQ37" s="414"/>
      <c r="OXR37" s="414"/>
      <c r="OXS37" s="414"/>
      <c r="OXT37" s="414"/>
      <c r="OXU37" s="414"/>
      <c r="OXV37" s="414"/>
      <c r="OXW37" s="414"/>
      <c r="OXX37" s="414"/>
      <c r="OXY37" s="414"/>
      <c r="OXZ37" s="414"/>
      <c r="OYA37" s="414"/>
      <c r="OYB37" s="414"/>
      <c r="OYC37" s="414"/>
      <c r="OYD37" s="414"/>
      <c r="OYE37" s="414"/>
      <c r="OYF37" s="414"/>
      <c r="OYG37" s="414"/>
      <c r="OYH37" s="414"/>
      <c r="OYI37" s="414"/>
      <c r="OYJ37" s="414"/>
      <c r="OYK37" s="414"/>
      <c r="OYL37" s="414"/>
      <c r="OYM37" s="414"/>
      <c r="OYN37" s="414"/>
      <c r="OYO37" s="414"/>
      <c r="OYP37" s="414"/>
      <c r="OYQ37" s="414"/>
      <c r="OYR37" s="414"/>
      <c r="OYS37" s="414"/>
      <c r="OYT37" s="414"/>
      <c r="OYU37" s="414"/>
      <c r="OYV37" s="414"/>
      <c r="OYW37" s="414"/>
      <c r="OYX37" s="414"/>
      <c r="OYY37" s="414"/>
      <c r="OYZ37" s="414"/>
      <c r="OZA37" s="414"/>
      <c r="OZB37" s="414"/>
      <c r="OZC37" s="414"/>
      <c r="OZD37" s="414"/>
      <c r="OZE37" s="414"/>
      <c r="OZF37" s="414"/>
      <c r="OZG37" s="414"/>
      <c r="OZH37" s="414"/>
      <c r="OZI37" s="414"/>
      <c r="OZJ37" s="414"/>
      <c r="OZK37" s="414"/>
      <c r="OZL37" s="414"/>
      <c r="OZM37" s="414"/>
      <c r="OZN37" s="414"/>
      <c r="OZO37" s="414"/>
      <c r="OZP37" s="414"/>
      <c r="OZQ37" s="414"/>
      <c r="OZR37" s="414"/>
      <c r="OZS37" s="414"/>
      <c r="OZT37" s="414"/>
      <c r="OZU37" s="414"/>
      <c r="OZV37" s="414"/>
      <c r="OZW37" s="414"/>
      <c r="OZX37" s="414"/>
      <c r="OZY37" s="414"/>
      <c r="OZZ37" s="414"/>
      <c r="PAA37" s="414"/>
      <c r="PAB37" s="414"/>
      <c r="PAC37" s="414"/>
      <c r="PAD37" s="414"/>
      <c r="PAE37" s="414"/>
      <c r="PAF37" s="414"/>
      <c r="PAG37" s="414"/>
      <c r="PAH37" s="414"/>
      <c r="PAI37" s="414"/>
      <c r="PAJ37" s="414"/>
      <c r="PAK37" s="414"/>
      <c r="PAL37" s="414"/>
      <c r="PAM37" s="414"/>
      <c r="PAN37" s="414"/>
      <c r="PAO37" s="414"/>
      <c r="PAP37" s="414"/>
      <c r="PAQ37" s="414"/>
      <c r="PAR37" s="414"/>
      <c r="PAS37" s="414"/>
      <c r="PAT37" s="414"/>
      <c r="PAU37" s="414"/>
      <c r="PAV37" s="414"/>
      <c r="PAW37" s="414"/>
      <c r="PAX37" s="414"/>
      <c r="PAY37" s="414"/>
      <c r="PAZ37" s="414"/>
      <c r="PBA37" s="414"/>
      <c r="PBB37" s="414"/>
      <c r="PBC37" s="414"/>
      <c r="PBD37" s="414"/>
      <c r="PBE37" s="414"/>
      <c r="PBF37" s="414"/>
      <c r="PBG37" s="414"/>
      <c r="PBH37" s="414"/>
      <c r="PBI37" s="414"/>
      <c r="PBJ37" s="414"/>
      <c r="PBK37" s="414"/>
      <c r="PBL37" s="414"/>
      <c r="PBM37" s="414"/>
      <c r="PBN37" s="414"/>
      <c r="PBO37" s="414"/>
      <c r="PBP37" s="414"/>
      <c r="PBQ37" s="414"/>
      <c r="PBR37" s="414"/>
      <c r="PBS37" s="414"/>
      <c r="PBT37" s="414"/>
      <c r="PBU37" s="414"/>
      <c r="PBV37" s="414"/>
      <c r="PBW37" s="414"/>
      <c r="PBX37" s="414"/>
      <c r="PBY37" s="414"/>
      <c r="PBZ37" s="414"/>
      <c r="PCA37" s="414"/>
      <c r="PCB37" s="414"/>
      <c r="PCC37" s="414"/>
      <c r="PCD37" s="414"/>
      <c r="PCE37" s="414"/>
      <c r="PCF37" s="414"/>
      <c r="PCG37" s="414"/>
      <c r="PCH37" s="414"/>
      <c r="PCI37" s="414"/>
      <c r="PCJ37" s="414"/>
      <c r="PCK37" s="414"/>
      <c r="PCL37" s="414"/>
      <c r="PCM37" s="414"/>
      <c r="PCN37" s="414"/>
      <c r="PCO37" s="414"/>
      <c r="PCP37" s="414"/>
      <c r="PCQ37" s="414"/>
      <c r="PCR37" s="414"/>
      <c r="PCS37" s="414"/>
      <c r="PCT37" s="414"/>
      <c r="PCU37" s="414"/>
      <c r="PCV37" s="414"/>
      <c r="PCW37" s="414"/>
      <c r="PCX37" s="414"/>
      <c r="PCY37" s="414"/>
      <c r="PCZ37" s="414"/>
      <c r="PDA37" s="414"/>
      <c r="PDB37" s="414"/>
      <c r="PDC37" s="414"/>
      <c r="PDD37" s="414"/>
      <c r="PDE37" s="414"/>
      <c r="PDF37" s="414"/>
      <c r="PDG37" s="414"/>
      <c r="PDH37" s="414"/>
      <c r="PDI37" s="414"/>
      <c r="PDJ37" s="414"/>
      <c r="PDK37" s="414"/>
      <c r="PDL37" s="414"/>
      <c r="PDM37" s="414"/>
      <c r="PDN37" s="414"/>
      <c r="PDO37" s="414"/>
      <c r="PDP37" s="414"/>
      <c r="PDQ37" s="414"/>
      <c r="PDR37" s="414"/>
      <c r="PDS37" s="414"/>
      <c r="PDT37" s="414"/>
      <c r="PDU37" s="414"/>
      <c r="PDV37" s="414"/>
      <c r="PDW37" s="414"/>
      <c r="PDX37" s="414"/>
      <c r="PDY37" s="414"/>
      <c r="PDZ37" s="414"/>
      <c r="PEA37" s="414"/>
      <c r="PEB37" s="414"/>
      <c r="PEC37" s="414"/>
      <c r="PED37" s="414"/>
      <c r="PEE37" s="414"/>
      <c r="PEF37" s="414"/>
      <c r="PEG37" s="414"/>
      <c r="PEH37" s="414"/>
      <c r="PEI37" s="414"/>
      <c r="PEJ37" s="414"/>
      <c r="PEK37" s="414"/>
      <c r="PEL37" s="414"/>
      <c r="PEM37" s="414"/>
      <c r="PEN37" s="414"/>
      <c r="PEO37" s="414"/>
      <c r="PEP37" s="414"/>
      <c r="PEQ37" s="414"/>
      <c r="PER37" s="414"/>
      <c r="PES37" s="414"/>
      <c r="PET37" s="414"/>
      <c r="PEU37" s="414"/>
      <c r="PEV37" s="414"/>
      <c r="PEW37" s="414"/>
      <c r="PEX37" s="414"/>
      <c r="PEY37" s="414"/>
      <c r="PEZ37" s="414"/>
      <c r="PFA37" s="414"/>
      <c r="PFB37" s="414"/>
      <c r="PFC37" s="414"/>
      <c r="PFD37" s="414"/>
      <c r="PFE37" s="414"/>
      <c r="PFF37" s="414"/>
      <c r="PFG37" s="414"/>
      <c r="PFH37" s="414"/>
      <c r="PFI37" s="414"/>
      <c r="PFJ37" s="414"/>
      <c r="PFK37" s="414"/>
      <c r="PFL37" s="414"/>
      <c r="PFM37" s="414"/>
      <c r="PFN37" s="414"/>
      <c r="PFO37" s="414"/>
      <c r="PFP37" s="414"/>
      <c r="PFQ37" s="414"/>
      <c r="PFR37" s="414"/>
      <c r="PFS37" s="414"/>
      <c r="PFT37" s="414"/>
      <c r="PFU37" s="414"/>
      <c r="PFV37" s="414"/>
      <c r="PFW37" s="414"/>
      <c r="PFX37" s="414"/>
      <c r="PFY37" s="414"/>
      <c r="PFZ37" s="414"/>
      <c r="PGA37" s="414"/>
      <c r="PGB37" s="414"/>
      <c r="PGC37" s="414"/>
      <c r="PGD37" s="414"/>
      <c r="PGE37" s="414"/>
      <c r="PGF37" s="414"/>
      <c r="PGG37" s="414"/>
      <c r="PGH37" s="414"/>
      <c r="PGI37" s="414"/>
      <c r="PGJ37" s="414"/>
      <c r="PGK37" s="414"/>
      <c r="PGL37" s="414"/>
      <c r="PGM37" s="414"/>
      <c r="PGN37" s="414"/>
      <c r="PGO37" s="414"/>
      <c r="PGP37" s="414"/>
      <c r="PGQ37" s="414"/>
      <c r="PGR37" s="414"/>
      <c r="PGS37" s="414"/>
      <c r="PGT37" s="414"/>
      <c r="PGU37" s="414"/>
      <c r="PGV37" s="414"/>
      <c r="PGW37" s="414"/>
      <c r="PGX37" s="414"/>
      <c r="PGY37" s="414"/>
      <c r="PGZ37" s="414"/>
      <c r="PHA37" s="414"/>
      <c r="PHB37" s="414"/>
      <c r="PHC37" s="414"/>
      <c r="PHD37" s="414"/>
      <c r="PHE37" s="414"/>
      <c r="PHF37" s="414"/>
      <c r="PHG37" s="414"/>
      <c r="PHH37" s="414"/>
      <c r="PHI37" s="414"/>
      <c r="PHJ37" s="414"/>
      <c r="PHK37" s="414"/>
      <c r="PHL37" s="414"/>
      <c r="PHM37" s="414"/>
      <c r="PHN37" s="414"/>
      <c r="PHO37" s="414"/>
      <c r="PHP37" s="414"/>
      <c r="PHQ37" s="414"/>
      <c r="PHR37" s="414"/>
      <c r="PHS37" s="414"/>
      <c r="PHT37" s="414"/>
      <c r="PHU37" s="414"/>
      <c r="PHV37" s="414"/>
      <c r="PHW37" s="414"/>
      <c r="PHX37" s="414"/>
      <c r="PHY37" s="414"/>
      <c r="PHZ37" s="414"/>
      <c r="PIA37" s="414"/>
      <c r="PIB37" s="414"/>
      <c r="PIC37" s="414"/>
      <c r="PID37" s="414"/>
      <c r="PIE37" s="414"/>
      <c r="PIF37" s="414"/>
      <c r="PIG37" s="414"/>
      <c r="PIH37" s="414"/>
      <c r="PII37" s="414"/>
      <c r="PIJ37" s="414"/>
      <c r="PIK37" s="414"/>
      <c r="PIL37" s="414"/>
      <c r="PIM37" s="414"/>
      <c r="PIN37" s="414"/>
      <c r="PIO37" s="414"/>
      <c r="PIP37" s="414"/>
      <c r="PIQ37" s="414"/>
      <c r="PIR37" s="414"/>
      <c r="PIS37" s="414"/>
      <c r="PIT37" s="414"/>
      <c r="PIU37" s="414"/>
      <c r="PIV37" s="414"/>
      <c r="PIW37" s="414"/>
      <c r="PIX37" s="414"/>
      <c r="PIY37" s="414"/>
      <c r="PIZ37" s="414"/>
      <c r="PJA37" s="414"/>
      <c r="PJB37" s="414"/>
      <c r="PJC37" s="414"/>
      <c r="PJD37" s="414"/>
      <c r="PJE37" s="414"/>
      <c r="PJF37" s="414"/>
      <c r="PJG37" s="414"/>
      <c r="PJH37" s="414"/>
      <c r="PJI37" s="414"/>
      <c r="PJJ37" s="414"/>
      <c r="PJK37" s="414"/>
      <c r="PJL37" s="414"/>
      <c r="PJM37" s="414"/>
      <c r="PJN37" s="414"/>
      <c r="PJO37" s="414"/>
      <c r="PJP37" s="414"/>
      <c r="PJQ37" s="414"/>
      <c r="PJR37" s="414"/>
      <c r="PJS37" s="414"/>
      <c r="PJT37" s="414"/>
      <c r="PJU37" s="414"/>
      <c r="PJV37" s="414"/>
      <c r="PJW37" s="414"/>
      <c r="PJX37" s="414"/>
      <c r="PJY37" s="414"/>
      <c r="PJZ37" s="414"/>
      <c r="PKA37" s="414"/>
      <c r="PKB37" s="414"/>
      <c r="PKC37" s="414"/>
      <c r="PKD37" s="414"/>
      <c r="PKE37" s="414"/>
      <c r="PKF37" s="414"/>
      <c r="PKG37" s="414"/>
      <c r="PKH37" s="414"/>
      <c r="PKI37" s="414"/>
      <c r="PKJ37" s="414"/>
      <c r="PKK37" s="414"/>
      <c r="PKL37" s="414"/>
      <c r="PKM37" s="414"/>
      <c r="PKN37" s="414"/>
      <c r="PKO37" s="414"/>
      <c r="PKP37" s="414"/>
      <c r="PKQ37" s="414"/>
      <c r="PKR37" s="414"/>
      <c r="PKS37" s="414"/>
      <c r="PKT37" s="414"/>
      <c r="PKU37" s="414"/>
      <c r="PKV37" s="414"/>
      <c r="PKW37" s="414"/>
      <c r="PKX37" s="414"/>
      <c r="PKY37" s="414"/>
      <c r="PKZ37" s="414"/>
      <c r="PLA37" s="414"/>
      <c r="PLB37" s="414"/>
      <c r="PLC37" s="414"/>
      <c r="PLD37" s="414"/>
      <c r="PLE37" s="414"/>
      <c r="PLF37" s="414"/>
      <c r="PLG37" s="414"/>
      <c r="PLH37" s="414"/>
      <c r="PLI37" s="414"/>
      <c r="PLJ37" s="414"/>
      <c r="PLK37" s="414"/>
      <c r="PLL37" s="414"/>
      <c r="PLM37" s="414"/>
      <c r="PLN37" s="414"/>
      <c r="PLO37" s="414"/>
      <c r="PLP37" s="414"/>
      <c r="PLQ37" s="414"/>
      <c r="PLR37" s="414"/>
      <c r="PLS37" s="414"/>
      <c r="PLT37" s="414"/>
      <c r="PLU37" s="414"/>
      <c r="PLV37" s="414"/>
      <c r="PLW37" s="414"/>
      <c r="PLX37" s="414"/>
      <c r="PLY37" s="414"/>
      <c r="PLZ37" s="414"/>
      <c r="PMA37" s="414"/>
      <c r="PMB37" s="414"/>
      <c r="PMC37" s="414"/>
      <c r="PMD37" s="414"/>
      <c r="PME37" s="414"/>
      <c r="PMF37" s="414"/>
      <c r="PMG37" s="414"/>
      <c r="PMH37" s="414"/>
      <c r="PMI37" s="414"/>
      <c r="PMJ37" s="414"/>
      <c r="PMK37" s="414"/>
      <c r="PML37" s="414"/>
      <c r="PMM37" s="414"/>
      <c r="PMN37" s="414"/>
      <c r="PMO37" s="414"/>
      <c r="PMP37" s="414"/>
      <c r="PMQ37" s="414"/>
      <c r="PMR37" s="414"/>
      <c r="PMS37" s="414"/>
      <c r="PMT37" s="414"/>
      <c r="PMU37" s="414"/>
      <c r="PMV37" s="414"/>
      <c r="PMW37" s="414"/>
      <c r="PMX37" s="414"/>
      <c r="PMY37" s="414"/>
      <c r="PMZ37" s="414"/>
      <c r="PNA37" s="414"/>
      <c r="PNB37" s="414"/>
      <c r="PNC37" s="414"/>
      <c r="PND37" s="414"/>
      <c r="PNE37" s="414"/>
      <c r="PNF37" s="414"/>
      <c r="PNG37" s="414"/>
      <c r="PNH37" s="414"/>
      <c r="PNI37" s="414"/>
      <c r="PNJ37" s="414"/>
      <c r="PNK37" s="414"/>
      <c r="PNL37" s="414"/>
      <c r="PNM37" s="414"/>
      <c r="PNN37" s="414"/>
      <c r="PNO37" s="414"/>
      <c r="PNP37" s="414"/>
      <c r="PNQ37" s="414"/>
      <c r="PNR37" s="414"/>
      <c r="PNS37" s="414"/>
      <c r="PNT37" s="414"/>
      <c r="PNU37" s="414"/>
      <c r="PNV37" s="414"/>
      <c r="PNW37" s="414"/>
      <c r="PNX37" s="414"/>
      <c r="PNY37" s="414"/>
      <c r="PNZ37" s="414"/>
      <c r="POA37" s="414"/>
      <c r="POB37" s="414"/>
      <c r="POC37" s="414"/>
      <c r="POD37" s="414"/>
      <c r="POE37" s="414"/>
      <c r="POF37" s="414"/>
      <c r="POG37" s="414"/>
      <c r="POH37" s="414"/>
      <c r="POI37" s="414"/>
      <c r="POJ37" s="414"/>
      <c r="POK37" s="414"/>
      <c r="POL37" s="414"/>
      <c r="POM37" s="414"/>
      <c r="PON37" s="414"/>
      <c r="POO37" s="414"/>
      <c r="POP37" s="414"/>
      <c r="POQ37" s="414"/>
      <c r="POR37" s="414"/>
      <c r="POS37" s="414"/>
      <c r="POT37" s="414"/>
      <c r="POU37" s="414"/>
      <c r="POV37" s="414"/>
      <c r="POW37" s="414"/>
      <c r="POX37" s="414"/>
      <c r="POY37" s="414"/>
      <c r="POZ37" s="414"/>
      <c r="PPA37" s="414"/>
      <c r="PPB37" s="414"/>
      <c r="PPC37" s="414"/>
      <c r="PPD37" s="414"/>
      <c r="PPE37" s="414"/>
      <c r="PPF37" s="414"/>
      <c r="PPG37" s="414"/>
      <c r="PPH37" s="414"/>
      <c r="PPI37" s="414"/>
      <c r="PPJ37" s="414"/>
      <c r="PPK37" s="414"/>
      <c r="PPL37" s="414"/>
      <c r="PPM37" s="414"/>
      <c r="PPN37" s="414"/>
      <c r="PPO37" s="414"/>
      <c r="PPP37" s="414"/>
      <c r="PPQ37" s="414"/>
      <c r="PPR37" s="414"/>
      <c r="PPS37" s="414"/>
      <c r="PPT37" s="414"/>
      <c r="PPU37" s="414"/>
      <c r="PPV37" s="414"/>
      <c r="PPW37" s="414"/>
      <c r="PPX37" s="414"/>
      <c r="PPY37" s="414"/>
      <c r="PPZ37" s="414"/>
      <c r="PQA37" s="414"/>
      <c r="PQB37" s="414"/>
      <c r="PQC37" s="414"/>
      <c r="PQD37" s="414"/>
      <c r="PQE37" s="414"/>
      <c r="PQF37" s="414"/>
      <c r="PQG37" s="414"/>
      <c r="PQH37" s="414"/>
      <c r="PQI37" s="414"/>
      <c r="PQJ37" s="414"/>
      <c r="PQK37" s="414"/>
      <c r="PQL37" s="414"/>
      <c r="PQM37" s="414"/>
      <c r="PQN37" s="414"/>
      <c r="PQO37" s="414"/>
      <c r="PQP37" s="414"/>
      <c r="PQQ37" s="414"/>
      <c r="PQR37" s="414"/>
      <c r="PQS37" s="414"/>
      <c r="PQT37" s="414"/>
      <c r="PQU37" s="414"/>
      <c r="PQV37" s="414"/>
      <c r="PQW37" s="414"/>
      <c r="PQX37" s="414"/>
      <c r="PQY37" s="414"/>
      <c r="PQZ37" s="414"/>
      <c r="PRA37" s="414"/>
      <c r="PRB37" s="414"/>
      <c r="PRC37" s="414"/>
      <c r="PRD37" s="414"/>
      <c r="PRE37" s="414"/>
      <c r="PRF37" s="414"/>
      <c r="PRG37" s="414"/>
      <c r="PRH37" s="414"/>
      <c r="PRI37" s="414"/>
      <c r="PRJ37" s="414"/>
      <c r="PRK37" s="414"/>
      <c r="PRL37" s="414"/>
      <c r="PRM37" s="414"/>
      <c r="PRN37" s="414"/>
      <c r="PRO37" s="414"/>
      <c r="PRP37" s="414"/>
      <c r="PRQ37" s="414"/>
      <c r="PRR37" s="414"/>
      <c r="PRS37" s="414"/>
      <c r="PRT37" s="414"/>
      <c r="PRU37" s="414"/>
      <c r="PRV37" s="414"/>
      <c r="PRW37" s="414"/>
      <c r="PRX37" s="414"/>
      <c r="PRY37" s="414"/>
      <c r="PRZ37" s="414"/>
      <c r="PSA37" s="414"/>
      <c r="PSB37" s="414"/>
      <c r="PSC37" s="414"/>
      <c r="PSD37" s="414"/>
      <c r="PSE37" s="414"/>
      <c r="PSF37" s="414"/>
      <c r="PSG37" s="414"/>
      <c r="PSH37" s="414"/>
      <c r="PSI37" s="414"/>
      <c r="PSJ37" s="414"/>
      <c r="PSK37" s="414"/>
      <c r="PSL37" s="414"/>
      <c r="PSM37" s="414"/>
      <c r="PSN37" s="414"/>
      <c r="PSO37" s="414"/>
      <c r="PSP37" s="414"/>
      <c r="PSQ37" s="414"/>
      <c r="PSR37" s="414"/>
      <c r="PSS37" s="414"/>
      <c r="PST37" s="414"/>
      <c r="PSU37" s="414"/>
      <c r="PSV37" s="414"/>
      <c r="PSW37" s="414"/>
      <c r="PSX37" s="414"/>
      <c r="PSY37" s="414"/>
      <c r="PSZ37" s="414"/>
      <c r="PTA37" s="414"/>
      <c r="PTB37" s="414"/>
      <c r="PTC37" s="414"/>
      <c r="PTD37" s="414"/>
      <c r="PTE37" s="414"/>
      <c r="PTF37" s="414"/>
      <c r="PTG37" s="414"/>
      <c r="PTH37" s="414"/>
      <c r="PTI37" s="414"/>
      <c r="PTJ37" s="414"/>
      <c r="PTK37" s="414"/>
      <c r="PTL37" s="414"/>
      <c r="PTM37" s="414"/>
      <c r="PTN37" s="414"/>
      <c r="PTO37" s="414"/>
      <c r="PTP37" s="414"/>
      <c r="PTQ37" s="414"/>
      <c r="PTR37" s="414"/>
      <c r="PTS37" s="414"/>
      <c r="PTT37" s="414"/>
      <c r="PTU37" s="414"/>
      <c r="PTV37" s="414"/>
      <c r="PTW37" s="414"/>
      <c r="PTX37" s="414"/>
      <c r="PTY37" s="414"/>
      <c r="PTZ37" s="414"/>
      <c r="PUA37" s="414"/>
      <c r="PUB37" s="414"/>
      <c r="PUC37" s="414"/>
      <c r="PUD37" s="414"/>
      <c r="PUE37" s="414"/>
      <c r="PUF37" s="414"/>
      <c r="PUG37" s="414"/>
      <c r="PUH37" s="414"/>
      <c r="PUI37" s="414"/>
      <c r="PUJ37" s="414"/>
      <c r="PUK37" s="414"/>
      <c r="PUL37" s="414"/>
      <c r="PUM37" s="414"/>
      <c r="PUN37" s="414"/>
      <c r="PUO37" s="414"/>
      <c r="PUP37" s="414"/>
      <c r="PUQ37" s="414"/>
      <c r="PUR37" s="414"/>
      <c r="PUS37" s="414"/>
      <c r="PUT37" s="414"/>
      <c r="PUU37" s="414"/>
      <c r="PUV37" s="414"/>
      <c r="PUW37" s="414"/>
      <c r="PUX37" s="414"/>
      <c r="PUY37" s="414"/>
      <c r="PUZ37" s="414"/>
      <c r="PVA37" s="414"/>
      <c r="PVB37" s="414"/>
      <c r="PVC37" s="414"/>
      <c r="PVD37" s="414"/>
      <c r="PVE37" s="414"/>
      <c r="PVF37" s="414"/>
      <c r="PVG37" s="414"/>
      <c r="PVH37" s="414"/>
      <c r="PVI37" s="414"/>
      <c r="PVJ37" s="414"/>
      <c r="PVK37" s="414"/>
      <c r="PVL37" s="414"/>
      <c r="PVM37" s="414"/>
      <c r="PVN37" s="414"/>
      <c r="PVO37" s="414"/>
      <c r="PVP37" s="414"/>
      <c r="PVQ37" s="414"/>
      <c r="PVR37" s="414"/>
      <c r="PVS37" s="414"/>
      <c r="PVT37" s="414"/>
      <c r="PVU37" s="414"/>
      <c r="PVV37" s="414"/>
      <c r="PVW37" s="414"/>
      <c r="PVX37" s="414"/>
      <c r="PVY37" s="414"/>
      <c r="PVZ37" s="414"/>
      <c r="PWA37" s="414"/>
      <c r="PWB37" s="414"/>
      <c r="PWC37" s="414"/>
      <c r="PWD37" s="414"/>
      <c r="PWE37" s="414"/>
      <c r="PWF37" s="414"/>
      <c r="PWG37" s="414"/>
      <c r="PWH37" s="414"/>
      <c r="PWI37" s="414"/>
      <c r="PWJ37" s="414"/>
      <c r="PWK37" s="414"/>
      <c r="PWL37" s="414"/>
      <c r="PWM37" s="414"/>
      <c r="PWN37" s="414"/>
      <c r="PWO37" s="414"/>
      <c r="PWP37" s="414"/>
      <c r="PWQ37" s="414"/>
      <c r="PWR37" s="414"/>
      <c r="PWS37" s="414"/>
      <c r="PWT37" s="414"/>
      <c r="PWU37" s="414"/>
      <c r="PWV37" s="414"/>
      <c r="PWW37" s="414"/>
      <c r="PWX37" s="414"/>
      <c r="PWY37" s="414"/>
      <c r="PWZ37" s="414"/>
      <c r="PXA37" s="414"/>
      <c r="PXB37" s="414"/>
      <c r="PXC37" s="414"/>
      <c r="PXD37" s="414"/>
      <c r="PXE37" s="414"/>
      <c r="PXF37" s="414"/>
      <c r="PXG37" s="414"/>
      <c r="PXH37" s="414"/>
      <c r="PXI37" s="414"/>
      <c r="PXJ37" s="414"/>
      <c r="PXK37" s="414"/>
      <c r="PXL37" s="414"/>
      <c r="PXM37" s="414"/>
      <c r="PXN37" s="414"/>
      <c r="PXO37" s="414"/>
      <c r="PXP37" s="414"/>
      <c r="PXQ37" s="414"/>
      <c r="PXR37" s="414"/>
      <c r="PXS37" s="414"/>
      <c r="PXT37" s="414"/>
      <c r="PXU37" s="414"/>
      <c r="PXV37" s="414"/>
      <c r="PXW37" s="414"/>
      <c r="PXX37" s="414"/>
      <c r="PXY37" s="414"/>
      <c r="PXZ37" s="414"/>
      <c r="PYA37" s="414"/>
      <c r="PYB37" s="414"/>
      <c r="PYC37" s="414"/>
      <c r="PYD37" s="414"/>
      <c r="PYE37" s="414"/>
      <c r="PYF37" s="414"/>
      <c r="PYG37" s="414"/>
      <c r="PYH37" s="414"/>
      <c r="PYI37" s="414"/>
      <c r="PYJ37" s="414"/>
      <c r="PYK37" s="414"/>
      <c r="PYL37" s="414"/>
      <c r="PYM37" s="414"/>
      <c r="PYN37" s="414"/>
      <c r="PYO37" s="414"/>
      <c r="PYP37" s="414"/>
      <c r="PYQ37" s="414"/>
      <c r="PYR37" s="414"/>
      <c r="PYS37" s="414"/>
      <c r="PYT37" s="414"/>
      <c r="PYU37" s="414"/>
      <c r="PYV37" s="414"/>
      <c r="PYW37" s="414"/>
      <c r="PYX37" s="414"/>
      <c r="PYY37" s="414"/>
      <c r="PYZ37" s="414"/>
      <c r="PZA37" s="414"/>
      <c r="PZB37" s="414"/>
      <c r="PZC37" s="414"/>
      <c r="PZD37" s="414"/>
      <c r="PZE37" s="414"/>
      <c r="PZF37" s="414"/>
      <c r="PZG37" s="414"/>
      <c r="PZH37" s="414"/>
      <c r="PZI37" s="414"/>
      <c r="PZJ37" s="414"/>
      <c r="PZK37" s="414"/>
      <c r="PZL37" s="414"/>
      <c r="PZM37" s="414"/>
      <c r="PZN37" s="414"/>
      <c r="PZO37" s="414"/>
      <c r="PZP37" s="414"/>
      <c r="PZQ37" s="414"/>
      <c r="PZR37" s="414"/>
      <c r="PZS37" s="414"/>
      <c r="PZT37" s="414"/>
      <c r="PZU37" s="414"/>
      <c r="PZV37" s="414"/>
      <c r="PZW37" s="414"/>
      <c r="PZX37" s="414"/>
      <c r="PZY37" s="414"/>
      <c r="PZZ37" s="414"/>
      <c r="QAA37" s="414"/>
      <c r="QAB37" s="414"/>
      <c r="QAC37" s="414"/>
      <c r="QAD37" s="414"/>
      <c r="QAE37" s="414"/>
      <c r="QAF37" s="414"/>
      <c r="QAG37" s="414"/>
      <c r="QAH37" s="414"/>
      <c r="QAI37" s="414"/>
      <c r="QAJ37" s="414"/>
      <c r="QAK37" s="414"/>
      <c r="QAL37" s="414"/>
      <c r="QAM37" s="414"/>
      <c r="QAN37" s="414"/>
      <c r="QAO37" s="414"/>
      <c r="QAP37" s="414"/>
      <c r="QAQ37" s="414"/>
      <c r="QAR37" s="414"/>
      <c r="QAS37" s="414"/>
      <c r="QAT37" s="414"/>
      <c r="QAU37" s="414"/>
      <c r="QAV37" s="414"/>
      <c r="QAW37" s="414"/>
      <c r="QAX37" s="414"/>
      <c r="QAY37" s="414"/>
      <c r="QAZ37" s="414"/>
      <c r="QBA37" s="414"/>
      <c r="QBB37" s="414"/>
      <c r="QBC37" s="414"/>
      <c r="QBD37" s="414"/>
      <c r="QBE37" s="414"/>
      <c r="QBF37" s="414"/>
      <c r="QBG37" s="414"/>
      <c r="QBH37" s="414"/>
      <c r="QBI37" s="414"/>
      <c r="QBJ37" s="414"/>
      <c r="QBK37" s="414"/>
      <c r="QBL37" s="414"/>
      <c r="QBM37" s="414"/>
      <c r="QBN37" s="414"/>
      <c r="QBO37" s="414"/>
      <c r="QBP37" s="414"/>
      <c r="QBQ37" s="414"/>
      <c r="QBR37" s="414"/>
      <c r="QBS37" s="414"/>
      <c r="QBT37" s="414"/>
      <c r="QBU37" s="414"/>
      <c r="QBV37" s="414"/>
      <c r="QBW37" s="414"/>
      <c r="QBX37" s="414"/>
      <c r="QBY37" s="414"/>
      <c r="QBZ37" s="414"/>
      <c r="QCA37" s="414"/>
      <c r="QCB37" s="414"/>
      <c r="QCC37" s="414"/>
      <c r="QCD37" s="414"/>
      <c r="QCE37" s="414"/>
      <c r="QCF37" s="414"/>
      <c r="QCG37" s="414"/>
      <c r="QCH37" s="414"/>
      <c r="QCI37" s="414"/>
      <c r="QCJ37" s="414"/>
      <c r="QCK37" s="414"/>
      <c r="QCL37" s="414"/>
      <c r="QCM37" s="414"/>
      <c r="QCN37" s="414"/>
      <c r="QCO37" s="414"/>
      <c r="QCP37" s="414"/>
      <c r="QCQ37" s="414"/>
      <c r="QCR37" s="414"/>
      <c r="QCS37" s="414"/>
      <c r="QCT37" s="414"/>
      <c r="QCU37" s="414"/>
      <c r="QCV37" s="414"/>
      <c r="QCW37" s="414"/>
      <c r="QCX37" s="414"/>
      <c r="QCY37" s="414"/>
      <c r="QCZ37" s="414"/>
      <c r="QDA37" s="414"/>
      <c r="QDB37" s="414"/>
      <c r="QDC37" s="414"/>
      <c r="QDD37" s="414"/>
      <c r="QDE37" s="414"/>
      <c r="QDF37" s="414"/>
      <c r="QDG37" s="414"/>
      <c r="QDH37" s="414"/>
      <c r="QDI37" s="414"/>
      <c r="QDJ37" s="414"/>
      <c r="QDK37" s="414"/>
      <c r="QDL37" s="414"/>
      <c r="QDM37" s="414"/>
      <c r="QDN37" s="414"/>
      <c r="QDO37" s="414"/>
      <c r="QDP37" s="414"/>
      <c r="QDQ37" s="414"/>
      <c r="QDR37" s="414"/>
      <c r="QDS37" s="414"/>
      <c r="QDT37" s="414"/>
      <c r="QDU37" s="414"/>
      <c r="QDV37" s="414"/>
      <c r="QDW37" s="414"/>
      <c r="QDX37" s="414"/>
      <c r="QDY37" s="414"/>
      <c r="QDZ37" s="414"/>
      <c r="QEA37" s="414"/>
      <c r="QEB37" s="414"/>
      <c r="QEC37" s="414"/>
      <c r="QED37" s="414"/>
      <c r="QEE37" s="414"/>
      <c r="QEF37" s="414"/>
      <c r="QEG37" s="414"/>
      <c r="QEH37" s="414"/>
      <c r="QEI37" s="414"/>
      <c r="QEJ37" s="414"/>
      <c r="QEK37" s="414"/>
      <c r="QEL37" s="414"/>
      <c r="QEM37" s="414"/>
      <c r="QEN37" s="414"/>
      <c r="QEO37" s="414"/>
      <c r="QEP37" s="414"/>
      <c r="QEQ37" s="414"/>
      <c r="QER37" s="414"/>
      <c r="QES37" s="414"/>
      <c r="QET37" s="414"/>
      <c r="QEU37" s="414"/>
      <c r="QEV37" s="414"/>
      <c r="QEW37" s="414"/>
      <c r="QEX37" s="414"/>
      <c r="QEY37" s="414"/>
      <c r="QEZ37" s="414"/>
      <c r="QFA37" s="414"/>
      <c r="QFB37" s="414"/>
      <c r="QFC37" s="414"/>
      <c r="QFD37" s="414"/>
      <c r="QFE37" s="414"/>
      <c r="QFF37" s="414"/>
      <c r="QFG37" s="414"/>
      <c r="QFH37" s="414"/>
      <c r="QFI37" s="414"/>
      <c r="QFJ37" s="414"/>
      <c r="QFK37" s="414"/>
      <c r="QFL37" s="414"/>
      <c r="QFM37" s="414"/>
      <c r="QFN37" s="414"/>
      <c r="QFO37" s="414"/>
      <c r="QFP37" s="414"/>
      <c r="QFQ37" s="414"/>
      <c r="QFR37" s="414"/>
      <c r="QFS37" s="414"/>
      <c r="QFT37" s="414"/>
      <c r="QFU37" s="414"/>
      <c r="QFV37" s="414"/>
      <c r="QFW37" s="414"/>
      <c r="QFX37" s="414"/>
      <c r="QFY37" s="414"/>
      <c r="QFZ37" s="414"/>
      <c r="QGA37" s="414"/>
      <c r="QGB37" s="414"/>
      <c r="QGC37" s="414"/>
      <c r="QGD37" s="414"/>
      <c r="QGE37" s="414"/>
      <c r="QGF37" s="414"/>
      <c r="QGG37" s="414"/>
      <c r="QGH37" s="414"/>
      <c r="QGI37" s="414"/>
      <c r="QGJ37" s="414"/>
      <c r="QGK37" s="414"/>
      <c r="QGL37" s="414"/>
      <c r="QGM37" s="414"/>
      <c r="QGN37" s="414"/>
      <c r="QGO37" s="414"/>
      <c r="QGP37" s="414"/>
      <c r="QGQ37" s="414"/>
      <c r="QGR37" s="414"/>
      <c r="QGS37" s="414"/>
      <c r="QGT37" s="414"/>
      <c r="QGU37" s="414"/>
      <c r="QGV37" s="414"/>
      <c r="QGW37" s="414"/>
      <c r="QGX37" s="414"/>
      <c r="QGY37" s="414"/>
      <c r="QGZ37" s="414"/>
      <c r="QHA37" s="414"/>
      <c r="QHB37" s="414"/>
      <c r="QHC37" s="414"/>
      <c r="QHD37" s="414"/>
      <c r="QHE37" s="414"/>
      <c r="QHF37" s="414"/>
      <c r="QHG37" s="414"/>
      <c r="QHH37" s="414"/>
      <c r="QHI37" s="414"/>
      <c r="QHJ37" s="414"/>
      <c r="QHK37" s="414"/>
      <c r="QHL37" s="414"/>
      <c r="QHM37" s="414"/>
      <c r="QHN37" s="414"/>
      <c r="QHO37" s="414"/>
      <c r="QHP37" s="414"/>
      <c r="QHQ37" s="414"/>
      <c r="QHR37" s="414"/>
      <c r="QHS37" s="414"/>
      <c r="QHT37" s="414"/>
      <c r="QHU37" s="414"/>
      <c r="QHV37" s="414"/>
      <c r="QHW37" s="414"/>
      <c r="QHX37" s="414"/>
      <c r="QHY37" s="414"/>
      <c r="QHZ37" s="414"/>
      <c r="QIA37" s="414"/>
      <c r="QIB37" s="414"/>
      <c r="QIC37" s="414"/>
      <c r="QID37" s="414"/>
      <c r="QIE37" s="414"/>
      <c r="QIF37" s="414"/>
      <c r="QIG37" s="414"/>
      <c r="QIH37" s="414"/>
      <c r="QII37" s="414"/>
      <c r="QIJ37" s="414"/>
      <c r="QIK37" s="414"/>
      <c r="QIL37" s="414"/>
      <c r="QIM37" s="414"/>
      <c r="QIN37" s="414"/>
      <c r="QIO37" s="414"/>
      <c r="QIP37" s="414"/>
      <c r="QIQ37" s="414"/>
      <c r="QIR37" s="414"/>
      <c r="QIS37" s="414"/>
      <c r="QIT37" s="414"/>
      <c r="QIU37" s="414"/>
      <c r="QIV37" s="414"/>
      <c r="QIW37" s="414"/>
      <c r="QIX37" s="414"/>
      <c r="QIY37" s="414"/>
      <c r="QIZ37" s="414"/>
      <c r="QJA37" s="414"/>
      <c r="QJB37" s="414"/>
      <c r="QJC37" s="414"/>
      <c r="QJD37" s="414"/>
      <c r="QJE37" s="414"/>
      <c r="QJF37" s="414"/>
      <c r="QJG37" s="414"/>
      <c r="QJH37" s="414"/>
      <c r="QJI37" s="414"/>
      <c r="QJJ37" s="414"/>
      <c r="QJK37" s="414"/>
      <c r="QJL37" s="414"/>
      <c r="QJM37" s="414"/>
      <c r="QJN37" s="414"/>
      <c r="QJO37" s="414"/>
      <c r="QJP37" s="414"/>
      <c r="QJQ37" s="414"/>
      <c r="QJR37" s="414"/>
      <c r="QJS37" s="414"/>
      <c r="QJT37" s="414"/>
      <c r="QJU37" s="414"/>
      <c r="QJV37" s="414"/>
      <c r="QJW37" s="414"/>
      <c r="QJX37" s="414"/>
      <c r="QJY37" s="414"/>
      <c r="QJZ37" s="414"/>
      <c r="QKA37" s="414"/>
      <c r="QKB37" s="414"/>
      <c r="QKC37" s="414"/>
      <c r="QKD37" s="414"/>
      <c r="QKE37" s="414"/>
      <c r="QKF37" s="414"/>
      <c r="QKG37" s="414"/>
      <c r="QKH37" s="414"/>
      <c r="QKI37" s="414"/>
      <c r="QKJ37" s="414"/>
      <c r="QKK37" s="414"/>
      <c r="QKL37" s="414"/>
      <c r="QKM37" s="414"/>
      <c r="QKN37" s="414"/>
      <c r="QKO37" s="414"/>
      <c r="QKP37" s="414"/>
      <c r="QKQ37" s="414"/>
      <c r="QKR37" s="414"/>
      <c r="QKS37" s="414"/>
      <c r="QKT37" s="414"/>
      <c r="QKU37" s="414"/>
      <c r="QKV37" s="414"/>
      <c r="QKW37" s="414"/>
      <c r="QKX37" s="414"/>
      <c r="QKY37" s="414"/>
      <c r="QKZ37" s="414"/>
      <c r="QLA37" s="414"/>
      <c r="QLB37" s="414"/>
      <c r="QLC37" s="414"/>
      <c r="QLD37" s="414"/>
      <c r="QLE37" s="414"/>
      <c r="QLF37" s="414"/>
      <c r="QLG37" s="414"/>
      <c r="QLH37" s="414"/>
      <c r="QLI37" s="414"/>
      <c r="QLJ37" s="414"/>
      <c r="QLK37" s="414"/>
      <c r="QLL37" s="414"/>
      <c r="QLM37" s="414"/>
      <c r="QLN37" s="414"/>
      <c r="QLO37" s="414"/>
      <c r="QLP37" s="414"/>
      <c r="QLQ37" s="414"/>
      <c r="QLR37" s="414"/>
      <c r="QLS37" s="414"/>
      <c r="QLT37" s="414"/>
      <c r="QLU37" s="414"/>
      <c r="QLV37" s="414"/>
      <c r="QLW37" s="414"/>
      <c r="QLX37" s="414"/>
      <c r="QLY37" s="414"/>
      <c r="QLZ37" s="414"/>
      <c r="QMA37" s="414"/>
      <c r="QMB37" s="414"/>
      <c r="QMC37" s="414"/>
      <c r="QMD37" s="414"/>
      <c r="QME37" s="414"/>
      <c r="QMF37" s="414"/>
      <c r="QMG37" s="414"/>
      <c r="QMH37" s="414"/>
      <c r="QMI37" s="414"/>
      <c r="QMJ37" s="414"/>
      <c r="QMK37" s="414"/>
      <c r="QML37" s="414"/>
      <c r="QMM37" s="414"/>
      <c r="QMN37" s="414"/>
      <c r="QMO37" s="414"/>
      <c r="QMP37" s="414"/>
      <c r="QMQ37" s="414"/>
      <c r="QMR37" s="414"/>
      <c r="QMS37" s="414"/>
      <c r="QMT37" s="414"/>
      <c r="QMU37" s="414"/>
      <c r="QMV37" s="414"/>
      <c r="QMW37" s="414"/>
      <c r="QMX37" s="414"/>
      <c r="QMY37" s="414"/>
      <c r="QMZ37" s="414"/>
      <c r="QNA37" s="414"/>
      <c r="QNB37" s="414"/>
      <c r="QNC37" s="414"/>
      <c r="QND37" s="414"/>
      <c r="QNE37" s="414"/>
      <c r="QNF37" s="414"/>
      <c r="QNG37" s="414"/>
      <c r="QNH37" s="414"/>
      <c r="QNI37" s="414"/>
      <c r="QNJ37" s="414"/>
      <c r="QNK37" s="414"/>
      <c r="QNL37" s="414"/>
      <c r="QNM37" s="414"/>
      <c r="QNN37" s="414"/>
      <c r="QNO37" s="414"/>
      <c r="QNP37" s="414"/>
      <c r="QNQ37" s="414"/>
      <c r="QNR37" s="414"/>
      <c r="QNS37" s="414"/>
      <c r="QNT37" s="414"/>
      <c r="QNU37" s="414"/>
      <c r="QNV37" s="414"/>
      <c r="QNW37" s="414"/>
      <c r="QNX37" s="414"/>
      <c r="QNY37" s="414"/>
      <c r="QNZ37" s="414"/>
      <c r="QOA37" s="414"/>
      <c r="QOB37" s="414"/>
      <c r="QOC37" s="414"/>
      <c r="QOD37" s="414"/>
      <c r="QOE37" s="414"/>
      <c r="QOF37" s="414"/>
      <c r="QOG37" s="414"/>
      <c r="QOH37" s="414"/>
      <c r="QOI37" s="414"/>
      <c r="QOJ37" s="414"/>
      <c r="QOK37" s="414"/>
      <c r="QOL37" s="414"/>
      <c r="QOM37" s="414"/>
      <c r="QON37" s="414"/>
      <c r="QOO37" s="414"/>
      <c r="QOP37" s="414"/>
      <c r="QOQ37" s="414"/>
      <c r="QOR37" s="414"/>
      <c r="QOS37" s="414"/>
      <c r="QOT37" s="414"/>
      <c r="QOU37" s="414"/>
      <c r="QOV37" s="414"/>
      <c r="QOW37" s="414"/>
      <c r="QOX37" s="414"/>
      <c r="QOY37" s="414"/>
      <c r="QOZ37" s="414"/>
      <c r="QPA37" s="414"/>
      <c r="QPB37" s="414"/>
      <c r="QPC37" s="414"/>
      <c r="QPD37" s="414"/>
      <c r="QPE37" s="414"/>
      <c r="QPF37" s="414"/>
      <c r="QPG37" s="414"/>
      <c r="QPH37" s="414"/>
      <c r="QPI37" s="414"/>
      <c r="QPJ37" s="414"/>
      <c r="QPK37" s="414"/>
      <c r="QPL37" s="414"/>
      <c r="QPM37" s="414"/>
      <c r="QPN37" s="414"/>
      <c r="QPO37" s="414"/>
      <c r="QPP37" s="414"/>
      <c r="QPQ37" s="414"/>
      <c r="QPR37" s="414"/>
      <c r="QPS37" s="414"/>
      <c r="QPT37" s="414"/>
      <c r="QPU37" s="414"/>
      <c r="QPV37" s="414"/>
      <c r="QPW37" s="414"/>
      <c r="QPX37" s="414"/>
      <c r="QPY37" s="414"/>
      <c r="QPZ37" s="414"/>
      <c r="QQA37" s="414"/>
      <c r="QQB37" s="414"/>
      <c r="QQC37" s="414"/>
      <c r="QQD37" s="414"/>
      <c r="QQE37" s="414"/>
      <c r="QQF37" s="414"/>
      <c r="QQG37" s="414"/>
      <c r="QQH37" s="414"/>
      <c r="QQI37" s="414"/>
      <c r="QQJ37" s="414"/>
      <c r="QQK37" s="414"/>
      <c r="QQL37" s="414"/>
      <c r="QQM37" s="414"/>
      <c r="QQN37" s="414"/>
      <c r="QQO37" s="414"/>
      <c r="QQP37" s="414"/>
      <c r="QQQ37" s="414"/>
      <c r="QQR37" s="414"/>
      <c r="QQS37" s="414"/>
      <c r="QQT37" s="414"/>
      <c r="QQU37" s="414"/>
      <c r="QQV37" s="414"/>
      <c r="QQW37" s="414"/>
      <c r="QQX37" s="414"/>
      <c r="QQY37" s="414"/>
      <c r="QQZ37" s="414"/>
      <c r="QRA37" s="414"/>
      <c r="QRB37" s="414"/>
      <c r="QRC37" s="414"/>
      <c r="QRD37" s="414"/>
      <c r="QRE37" s="414"/>
      <c r="QRF37" s="414"/>
      <c r="QRG37" s="414"/>
      <c r="QRH37" s="414"/>
      <c r="QRI37" s="414"/>
      <c r="QRJ37" s="414"/>
      <c r="QRK37" s="414"/>
      <c r="QRL37" s="414"/>
      <c r="QRM37" s="414"/>
      <c r="QRN37" s="414"/>
      <c r="QRO37" s="414"/>
      <c r="QRP37" s="414"/>
      <c r="QRQ37" s="414"/>
      <c r="QRR37" s="414"/>
      <c r="QRS37" s="414"/>
      <c r="QRT37" s="414"/>
      <c r="QRU37" s="414"/>
      <c r="QRV37" s="414"/>
      <c r="QRW37" s="414"/>
      <c r="QRX37" s="414"/>
      <c r="QRY37" s="414"/>
      <c r="QRZ37" s="414"/>
      <c r="QSA37" s="414"/>
      <c r="QSB37" s="414"/>
      <c r="QSC37" s="414"/>
      <c r="QSD37" s="414"/>
      <c r="QSE37" s="414"/>
      <c r="QSF37" s="414"/>
      <c r="QSG37" s="414"/>
      <c r="QSH37" s="414"/>
      <c r="QSI37" s="414"/>
      <c r="QSJ37" s="414"/>
      <c r="QSK37" s="414"/>
      <c r="QSL37" s="414"/>
      <c r="QSM37" s="414"/>
      <c r="QSN37" s="414"/>
      <c r="QSO37" s="414"/>
      <c r="QSP37" s="414"/>
      <c r="QSQ37" s="414"/>
      <c r="QSR37" s="414"/>
      <c r="QSS37" s="414"/>
      <c r="QST37" s="414"/>
      <c r="QSU37" s="414"/>
      <c r="QSV37" s="414"/>
      <c r="QSW37" s="414"/>
      <c r="QSX37" s="414"/>
      <c r="QSY37" s="414"/>
      <c r="QSZ37" s="414"/>
      <c r="QTA37" s="414"/>
      <c r="QTB37" s="414"/>
      <c r="QTC37" s="414"/>
      <c r="QTD37" s="414"/>
      <c r="QTE37" s="414"/>
      <c r="QTF37" s="414"/>
      <c r="QTG37" s="414"/>
      <c r="QTH37" s="414"/>
      <c r="QTI37" s="414"/>
      <c r="QTJ37" s="414"/>
      <c r="QTK37" s="414"/>
      <c r="QTL37" s="414"/>
      <c r="QTM37" s="414"/>
      <c r="QTN37" s="414"/>
      <c r="QTO37" s="414"/>
      <c r="QTP37" s="414"/>
      <c r="QTQ37" s="414"/>
      <c r="QTR37" s="414"/>
      <c r="QTS37" s="414"/>
      <c r="QTT37" s="414"/>
      <c r="QTU37" s="414"/>
      <c r="QTV37" s="414"/>
      <c r="QTW37" s="414"/>
      <c r="QTX37" s="414"/>
      <c r="QTY37" s="414"/>
      <c r="QTZ37" s="414"/>
      <c r="QUA37" s="414"/>
      <c r="QUB37" s="414"/>
      <c r="QUC37" s="414"/>
      <c r="QUD37" s="414"/>
      <c r="QUE37" s="414"/>
      <c r="QUF37" s="414"/>
      <c r="QUG37" s="414"/>
      <c r="QUH37" s="414"/>
      <c r="QUI37" s="414"/>
      <c r="QUJ37" s="414"/>
      <c r="QUK37" s="414"/>
      <c r="QUL37" s="414"/>
      <c r="QUM37" s="414"/>
      <c r="QUN37" s="414"/>
      <c r="QUO37" s="414"/>
      <c r="QUP37" s="414"/>
      <c r="QUQ37" s="414"/>
      <c r="QUR37" s="414"/>
      <c r="QUS37" s="414"/>
      <c r="QUT37" s="414"/>
      <c r="QUU37" s="414"/>
      <c r="QUV37" s="414"/>
      <c r="QUW37" s="414"/>
      <c r="QUX37" s="414"/>
      <c r="QUY37" s="414"/>
      <c r="QUZ37" s="414"/>
      <c r="QVA37" s="414"/>
      <c r="QVB37" s="414"/>
      <c r="QVC37" s="414"/>
      <c r="QVD37" s="414"/>
      <c r="QVE37" s="414"/>
      <c r="QVF37" s="414"/>
      <c r="QVG37" s="414"/>
      <c r="QVH37" s="414"/>
      <c r="QVI37" s="414"/>
      <c r="QVJ37" s="414"/>
      <c r="QVK37" s="414"/>
      <c r="QVL37" s="414"/>
      <c r="QVM37" s="414"/>
      <c r="QVN37" s="414"/>
      <c r="QVO37" s="414"/>
      <c r="QVP37" s="414"/>
      <c r="QVQ37" s="414"/>
      <c r="QVR37" s="414"/>
      <c r="QVS37" s="414"/>
      <c r="QVT37" s="414"/>
      <c r="QVU37" s="414"/>
      <c r="QVV37" s="414"/>
      <c r="QVW37" s="414"/>
      <c r="QVX37" s="414"/>
      <c r="QVY37" s="414"/>
      <c r="QVZ37" s="414"/>
      <c r="QWA37" s="414"/>
      <c r="QWB37" s="414"/>
      <c r="QWC37" s="414"/>
      <c r="QWD37" s="414"/>
      <c r="QWE37" s="414"/>
      <c r="QWF37" s="414"/>
      <c r="QWG37" s="414"/>
      <c r="QWH37" s="414"/>
      <c r="QWI37" s="414"/>
      <c r="QWJ37" s="414"/>
      <c r="QWK37" s="414"/>
      <c r="QWL37" s="414"/>
      <c r="QWM37" s="414"/>
      <c r="QWN37" s="414"/>
      <c r="QWO37" s="414"/>
      <c r="QWP37" s="414"/>
      <c r="QWQ37" s="414"/>
      <c r="QWR37" s="414"/>
      <c r="QWS37" s="414"/>
      <c r="QWT37" s="414"/>
      <c r="QWU37" s="414"/>
      <c r="QWV37" s="414"/>
      <c r="QWW37" s="414"/>
      <c r="QWX37" s="414"/>
      <c r="QWY37" s="414"/>
      <c r="QWZ37" s="414"/>
      <c r="QXA37" s="414"/>
      <c r="QXB37" s="414"/>
      <c r="QXC37" s="414"/>
      <c r="QXD37" s="414"/>
      <c r="QXE37" s="414"/>
      <c r="QXF37" s="414"/>
      <c r="QXG37" s="414"/>
      <c r="QXH37" s="414"/>
      <c r="QXI37" s="414"/>
      <c r="QXJ37" s="414"/>
      <c r="QXK37" s="414"/>
      <c r="QXL37" s="414"/>
      <c r="QXM37" s="414"/>
      <c r="QXN37" s="414"/>
      <c r="QXO37" s="414"/>
      <c r="QXP37" s="414"/>
      <c r="QXQ37" s="414"/>
      <c r="QXR37" s="414"/>
      <c r="QXS37" s="414"/>
      <c r="QXT37" s="414"/>
      <c r="QXU37" s="414"/>
      <c r="QXV37" s="414"/>
      <c r="QXW37" s="414"/>
      <c r="QXX37" s="414"/>
      <c r="QXY37" s="414"/>
      <c r="QXZ37" s="414"/>
      <c r="QYA37" s="414"/>
      <c r="QYB37" s="414"/>
      <c r="QYC37" s="414"/>
      <c r="QYD37" s="414"/>
      <c r="QYE37" s="414"/>
      <c r="QYF37" s="414"/>
      <c r="QYG37" s="414"/>
      <c r="QYH37" s="414"/>
      <c r="QYI37" s="414"/>
      <c r="QYJ37" s="414"/>
      <c r="QYK37" s="414"/>
      <c r="QYL37" s="414"/>
      <c r="QYM37" s="414"/>
      <c r="QYN37" s="414"/>
      <c r="QYO37" s="414"/>
      <c r="QYP37" s="414"/>
      <c r="QYQ37" s="414"/>
      <c r="QYR37" s="414"/>
      <c r="QYS37" s="414"/>
      <c r="QYT37" s="414"/>
      <c r="QYU37" s="414"/>
      <c r="QYV37" s="414"/>
      <c r="QYW37" s="414"/>
      <c r="QYX37" s="414"/>
      <c r="QYY37" s="414"/>
      <c r="QYZ37" s="414"/>
      <c r="QZA37" s="414"/>
      <c r="QZB37" s="414"/>
      <c r="QZC37" s="414"/>
      <c r="QZD37" s="414"/>
      <c r="QZE37" s="414"/>
      <c r="QZF37" s="414"/>
      <c r="QZG37" s="414"/>
      <c r="QZH37" s="414"/>
      <c r="QZI37" s="414"/>
      <c r="QZJ37" s="414"/>
      <c r="QZK37" s="414"/>
      <c r="QZL37" s="414"/>
      <c r="QZM37" s="414"/>
      <c r="QZN37" s="414"/>
      <c r="QZO37" s="414"/>
      <c r="QZP37" s="414"/>
      <c r="QZQ37" s="414"/>
      <c r="QZR37" s="414"/>
      <c r="QZS37" s="414"/>
      <c r="QZT37" s="414"/>
      <c r="QZU37" s="414"/>
      <c r="QZV37" s="414"/>
      <c r="QZW37" s="414"/>
      <c r="QZX37" s="414"/>
      <c r="QZY37" s="414"/>
      <c r="QZZ37" s="414"/>
      <c r="RAA37" s="414"/>
      <c r="RAB37" s="414"/>
      <c r="RAC37" s="414"/>
      <c r="RAD37" s="414"/>
      <c r="RAE37" s="414"/>
      <c r="RAF37" s="414"/>
      <c r="RAG37" s="414"/>
      <c r="RAH37" s="414"/>
      <c r="RAI37" s="414"/>
      <c r="RAJ37" s="414"/>
      <c r="RAK37" s="414"/>
      <c r="RAL37" s="414"/>
      <c r="RAM37" s="414"/>
      <c r="RAN37" s="414"/>
      <c r="RAO37" s="414"/>
      <c r="RAP37" s="414"/>
      <c r="RAQ37" s="414"/>
      <c r="RAR37" s="414"/>
      <c r="RAS37" s="414"/>
      <c r="RAT37" s="414"/>
      <c r="RAU37" s="414"/>
      <c r="RAV37" s="414"/>
      <c r="RAW37" s="414"/>
      <c r="RAX37" s="414"/>
      <c r="RAY37" s="414"/>
      <c r="RAZ37" s="414"/>
      <c r="RBA37" s="414"/>
      <c r="RBB37" s="414"/>
      <c r="RBC37" s="414"/>
      <c r="RBD37" s="414"/>
      <c r="RBE37" s="414"/>
      <c r="RBF37" s="414"/>
      <c r="RBG37" s="414"/>
      <c r="RBH37" s="414"/>
      <c r="RBI37" s="414"/>
      <c r="RBJ37" s="414"/>
      <c r="RBK37" s="414"/>
      <c r="RBL37" s="414"/>
      <c r="RBM37" s="414"/>
      <c r="RBN37" s="414"/>
      <c r="RBO37" s="414"/>
      <c r="RBP37" s="414"/>
      <c r="RBQ37" s="414"/>
      <c r="RBR37" s="414"/>
      <c r="RBS37" s="414"/>
      <c r="RBT37" s="414"/>
      <c r="RBU37" s="414"/>
      <c r="RBV37" s="414"/>
      <c r="RBW37" s="414"/>
      <c r="RBX37" s="414"/>
      <c r="RBY37" s="414"/>
      <c r="RBZ37" s="414"/>
      <c r="RCA37" s="414"/>
      <c r="RCB37" s="414"/>
      <c r="RCC37" s="414"/>
      <c r="RCD37" s="414"/>
      <c r="RCE37" s="414"/>
      <c r="RCF37" s="414"/>
      <c r="RCG37" s="414"/>
      <c r="RCH37" s="414"/>
      <c r="RCI37" s="414"/>
      <c r="RCJ37" s="414"/>
      <c r="RCK37" s="414"/>
      <c r="RCL37" s="414"/>
      <c r="RCM37" s="414"/>
      <c r="RCN37" s="414"/>
      <c r="RCO37" s="414"/>
      <c r="RCP37" s="414"/>
      <c r="RCQ37" s="414"/>
      <c r="RCR37" s="414"/>
      <c r="RCS37" s="414"/>
      <c r="RCT37" s="414"/>
      <c r="RCU37" s="414"/>
      <c r="RCV37" s="414"/>
      <c r="RCW37" s="414"/>
      <c r="RCX37" s="414"/>
      <c r="RCY37" s="414"/>
      <c r="RCZ37" s="414"/>
      <c r="RDA37" s="414"/>
      <c r="RDB37" s="414"/>
      <c r="RDC37" s="414"/>
      <c r="RDD37" s="414"/>
      <c r="RDE37" s="414"/>
      <c r="RDF37" s="414"/>
      <c r="RDG37" s="414"/>
      <c r="RDH37" s="414"/>
      <c r="RDI37" s="414"/>
      <c r="RDJ37" s="414"/>
      <c r="RDK37" s="414"/>
      <c r="RDL37" s="414"/>
      <c r="RDM37" s="414"/>
      <c r="RDN37" s="414"/>
      <c r="RDO37" s="414"/>
      <c r="RDP37" s="414"/>
      <c r="RDQ37" s="414"/>
      <c r="RDR37" s="414"/>
      <c r="RDS37" s="414"/>
      <c r="RDT37" s="414"/>
      <c r="RDU37" s="414"/>
      <c r="RDV37" s="414"/>
      <c r="RDW37" s="414"/>
      <c r="RDX37" s="414"/>
      <c r="RDY37" s="414"/>
      <c r="RDZ37" s="414"/>
      <c r="REA37" s="414"/>
      <c r="REB37" s="414"/>
      <c r="REC37" s="414"/>
      <c r="RED37" s="414"/>
      <c r="REE37" s="414"/>
      <c r="REF37" s="414"/>
      <c r="REG37" s="414"/>
      <c r="REH37" s="414"/>
      <c r="REI37" s="414"/>
      <c r="REJ37" s="414"/>
      <c r="REK37" s="414"/>
      <c r="REL37" s="414"/>
      <c r="REM37" s="414"/>
      <c r="REN37" s="414"/>
      <c r="REO37" s="414"/>
      <c r="REP37" s="414"/>
      <c r="REQ37" s="414"/>
      <c r="RER37" s="414"/>
      <c r="RES37" s="414"/>
      <c r="RET37" s="414"/>
      <c r="REU37" s="414"/>
      <c r="REV37" s="414"/>
      <c r="REW37" s="414"/>
      <c r="REX37" s="414"/>
      <c r="REY37" s="414"/>
      <c r="REZ37" s="414"/>
      <c r="RFA37" s="414"/>
      <c r="RFB37" s="414"/>
      <c r="RFC37" s="414"/>
      <c r="RFD37" s="414"/>
      <c r="RFE37" s="414"/>
      <c r="RFF37" s="414"/>
      <c r="RFG37" s="414"/>
      <c r="RFH37" s="414"/>
      <c r="RFI37" s="414"/>
      <c r="RFJ37" s="414"/>
      <c r="RFK37" s="414"/>
      <c r="RFL37" s="414"/>
      <c r="RFM37" s="414"/>
      <c r="RFN37" s="414"/>
      <c r="RFO37" s="414"/>
      <c r="RFP37" s="414"/>
      <c r="RFQ37" s="414"/>
      <c r="RFR37" s="414"/>
      <c r="RFS37" s="414"/>
      <c r="RFT37" s="414"/>
      <c r="RFU37" s="414"/>
      <c r="RFV37" s="414"/>
      <c r="RFW37" s="414"/>
      <c r="RFX37" s="414"/>
      <c r="RFY37" s="414"/>
      <c r="RFZ37" s="414"/>
      <c r="RGA37" s="414"/>
      <c r="RGB37" s="414"/>
      <c r="RGC37" s="414"/>
      <c r="RGD37" s="414"/>
      <c r="RGE37" s="414"/>
      <c r="RGF37" s="414"/>
      <c r="RGG37" s="414"/>
      <c r="RGH37" s="414"/>
      <c r="RGI37" s="414"/>
      <c r="RGJ37" s="414"/>
      <c r="RGK37" s="414"/>
      <c r="RGL37" s="414"/>
      <c r="RGM37" s="414"/>
      <c r="RGN37" s="414"/>
      <c r="RGO37" s="414"/>
      <c r="RGP37" s="414"/>
      <c r="RGQ37" s="414"/>
      <c r="RGR37" s="414"/>
      <c r="RGS37" s="414"/>
      <c r="RGT37" s="414"/>
      <c r="RGU37" s="414"/>
      <c r="RGV37" s="414"/>
      <c r="RGW37" s="414"/>
      <c r="RGX37" s="414"/>
      <c r="RGY37" s="414"/>
      <c r="RGZ37" s="414"/>
      <c r="RHA37" s="414"/>
      <c r="RHB37" s="414"/>
      <c r="RHC37" s="414"/>
      <c r="RHD37" s="414"/>
      <c r="RHE37" s="414"/>
      <c r="RHF37" s="414"/>
      <c r="RHG37" s="414"/>
      <c r="RHH37" s="414"/>
      <c r="RHI37" s="414"/>
      <c r="RHJ37" s="414"/>
      <c r="RHK37" s="414"/>
      <c r="RHL37" s="414"/>
      <c r="RHM37" s="414"/>
      <c r="RHN37" s="414"/>
      <c r="RHO37" s="414"/>
      <c r="RHP37" s="414"/>
      <c r="RHQ37" s="414"/>
      <c r="RHR37" s="414"/>
      <c r="RHS37" s="414"/>
      <c r="RHT37" s="414"/>
      <c r="RHU37" s="414"/>
      <c r="RHV37" s="414"/>
      <c r="RHW37" s="414"/>
      <c r="RHX37" s="414"/>
      <c r="RHY37" s="414"/>
      <c r="RHZ37" s="414"/>
      <c r="RIA37" s="414"/>
      <c r="RIB37" s="414"/>
      <c r="RIC37" s="414"/>
      <c r="RID37" s="414"/>
      <c r="RIE37" s="414"/>
      <c r="RIF37" s="414"/>
      <c r="RIG37" s="414"/>
      <c r="RIH37" s="414"/>
      <c r="RII37" s="414"/>
      <c r="RIJ37" s="414"/>
      <c r="RIK37" s="414"/>
      <c r="RIL37" s="414"/>
      <c r="RIM37" s="414"/>
      <c r="RIN37" s="414"/>
      <c r="RIO37" s="414"/>
      <c r="RIP37" s="414"/>
      <c r="RIQ37" s="414"/>
      <c r="RIR37" s="414"/>
      <c r="RIS37" s="414"/>
      <c r="RIT37" s="414"/>
      <c r="RIU37" s="414"/>
      <c r="RIV37" s="414"/>
      <c r="RIW37" s="414"/>
      <c r="RIX37" s="414"/>
      <c r="RIY37" s="414"/>
      <c r="RIZ37" s="414"/>
      <c r="RJA37" s="414"/>
      <c r="RJB37" s="414"/>
      <c r="RJC37" s="414"/>
      <c r="RJD37" s="414"/>
      <c r="RJE37" s="414"/>
      <c r="RJF37" s="414"/>
      <c r="RJG37" s="414"/>
      <c r="RJH37" s="414"/>
      <c r="RJI37" s="414"/>
      <c r="RJJ37" s="414"/>
      <c r="RJK37" s="414"/>
      <c r="RJL37" s="414"/>
      <c r="RJM37" s="414"/>
      <c r="RJN37" s="414"/>
      <c r="RJO37" s="414"/>
      <c r="RJP37" s="414"/>
      <c r="RJQ37" s="414"/>
      <c r="RJR37" s="414"/>
      <c r="RJS37" s="414"/>
      <c r="RJT37" s="414"/>
      <c r="RJU37" s="414"/>
      <c r="RJV37" s="414"/>
      <c r="RJW37" s="414"/>
      <c r="RJX37" s="414"/>
      <c r="RJY37" s="414"/>
      <c r="RJZ37" s="414"/>
      <c r="RKA37" s="414"/>
      <c r="RKB37" s="414"/>
      <c r="RKC37" s="414"/>
      <c r="RKD37" s="414"/>
      <c r="RKE37" s="414"/>
      <c r="RKF37" s="414"/>
      <c r="RKG37" s="414"/>
      <c r="RKH37" s="414"/>
      <c r="RKI37" s="414"/>
      <c r="RKJ37" s="414"/>
      <c r="RKK37" s="414"/>
      <c r="RKL37" s="414"/>
      <c r="RKM37" s="414"/>
      <c r="RKN37" s="414"/>
      <c r="RKO37" s="414"/>
      <c r="RKP37" s="414"/>
      <c r="RKQ37" s="414"/>
      <c r="RKR37" s="414"/>
      <c r="RKS37" s="414"/>
      <c r="RKT37" s="414"/>
      <c r="RKU37" s="414"/>
      <c r="RKV37" s="414"/>
      <c r="RKW37" s="414"/>
      <c r="RKX37" s="414"/>
      <c r="RKY37" s="414"/>
      <c r="RKZ37" s="414"/>
      <c r="RLA37" s="414"/>
      <c r="RLB37" s="414"/>
      <c r="RLC37" s="414"/>
      <c r="RLD37" s="414"/>
      <c r="RLE37" s="414"/>
      <c r="RLF37" s="414"/>
      <c r="RLG37" s="414"/>
      <c r="RLH37" s="414"/>
      <c r="RLI37" s="414"/>
      <c r="RLJ37" s="414"/>
      <c r="RLK37" s="414"/>
      <c r="RLL37" s="414"/>
      <c r="RLM37" s="414"/>
      <c r="RLN37" s="414"/>
      <c r="RLO37" s="414"/>
      <c r="RLP37" s="414"/>
      <c r="RLQ37" s="414"/>
      <c r="RLR37" s="414"/>
      <c r="RLS37" s="414"/>
      <c r="RLT37" s="414"/>
      <c r="RLU37" s="414"/>
      <c r="RLV37" s="414"/>
      <c r="RLW37" s="414"/>
      <c r="RLX37" s="414"/>
      <c r="RLY37" s="414"/>
      <c r="RLZ37" s="414"/>
      <c r="RMA37" s="414"/>
      <c r="RMB37" s="414"/>
      <c r="RMC37" s="414"/>
      <c r="RMD37" s="414"/>
      <c r="RME37" s="414"/>
      <c r="RMF37" s="414"/>
      <c r="RMG37" s="414"/>
      <c r="RMH37" s="414"/>
      <c r="RMI37" s="414"/>
      <c r="RMJ37" s="414"/>
      <c r="RMK37" s="414"/>
      <c r="RML37" s="414"/>
      <c r="RMM37" s="414"/>
      <c r="RMN37" s="414"/>
      <c r="RMO37" s="414"/>
      <c r="RMP37" s="414"/>
      <c r="RMQ37" s="414"/>
      <c r="RMR37" s="414"/>
      <c r="RMS37" s="414"/>
      <c r="RMT37" s="414"/>
      <c r="RMU37" s="414"/>
      <c r="RMV37" s="414"/>
      <c r="RMW37" s="414"/>
      <c r="RMX37" s="414"/>
      <c r="RMY37" s="414"/>
      <c r="RMZ37" s="414"/>
      <c r="RNA37" s="414"/>
      <c r="RNB37" s="414"/>
      <c r="RNC37" s="414"/>
      <c r="RND37" s="414"/>
      <c r="RNE37" s="414"/>
      <c r="RNF37" s="414"/>
      <c r="RNG37" s="414"/>
      <c r="RNH37" s="414"/>
      <c r="RNI37" s="414"/>
      <c r="RNJ37" s="414"/>
      <c r="RNK37" s="414"/>
      <c r="RNL37" s="414"/>
      <c r="RNM37" s="414"/>
      <c r="RNN37" s="414"/>
      <c r="RNO37" s="414"/>
      <c r="RNP37" s="414"/>
      <c r="RNQ37" s="414"/>
      <c r="RNR37" s="414"/>
      <c r="RNS37" s="414"/>
      <c r="RNT37" s="414"/>
      <c r="RNU37" s="414"/>
      <c r="RNV37" s="414"/>
      <c r="RNW37" s="414"/>
      <c r="RNX37" s="414"/>
      <c r="RNY37" s="414"/>
      <c r="RNZ37" s="414"/>
      <c r="ROA37" s="414"/>
      <c r="ROB37" s="414"/>
      <c r="ROC37" s="414"/>
      <c r="ROD37" s="414"/>
      <c r="ROE37" s="414"/>
      <c r="ROF37" s="414"/>
      <c r="ROG37" s="414"/>
      <c r="ROH37" s="414"/>
      <c r="ROI37" s="414"/>
      <c r="ROJ37" s="414"/>
      <c r="ROK37" s="414"/>
      <c r="ROL37" s="414"/>
      <c r="ROM37" s="414"/>
      <c r="RON37" s="414"/>
      <c r="ROO37" s="414"/>
      <c r="ROP37" s="414"/>
      <c r="ROQ37" s="414"/>
      <c r="ROR37" s="414"/>
      <c r="ROS37" s="414"/>
      <c r="ROT37" s="414"/>
      <c r="ROU37" s="414"/>
      <c r="ROV37" s="414"/>
      <c r="ROW37" s="414"/>
      <c r="ROX37" s="414"/>
      <c r="ROY37" s="414"/>
      <c r="ROZ37" s="414"/>
      <c r="RPA37" s="414"/>
      <c r="RPB37" s="414"/>
      <c r="RPC37" s="414"/>
      <c r="RPD37" s="414"/>
      <c r="RPE37" s="414"/>
      <c r="RPF37" s="414"/>
      <c r="RPG37" s="414"/>
      <c r="RPH37" s="414"/>
      <c r="RPI37" s="414"/>
      <c r="RPJ37" s="414"/>
      <c r="RPK37" s="414"/>
      <c r="RPL37" s="414"/>
      <c r="RPM37" s="414"/>
      <c r="RPN37" s="414"/>
      <c r="RPO37" s="414"/>
      <c r="RPP37" s="414"/>
      <c r="RPQ37" s="414"/>
      <c r="RPR37" s="414"/>
      <c r="RPS37" s="414"/>
      <c r="RPT37" s="414"/>
      <c r="RPU37" s="414"/>
      <c r="RPV37" s="414"/>
      <c r="RPW37" s="414"/>
      <c r="RPX37" s="414"/>
      <c r="RPY37" s="414"/>
      <c r="RPZ37" s="414"/>
      <c r="RQA37" s="414"/>
      <c r="RQB37" s="414"/>
      <c r="RQC37" s="414"/>
      <c r="RQD37" s="414"/>
      <c r="RQE37" s="414"/>
      <c r="RQF37" s="414"/>
      <c r="RQG37" s="414"/>
      <c r="RQH37" s="414"/>
      <c r="RQI37" s="414"/>
      <c r="RQJ37" s="414"/>
      <c r="RQK37" s="414"/>
      <c r="RQL37" s="414"/>
      <c r="RQM37" s="414"/>
      <c r="RQN37" s="414"/>
      <c r="RQO37" s="414"/>
      <c r="RQP37" s="414"/>
      <c r="RQQ37" s="414"/>
      <c r="RQR37" s="414"/>
      <c r="RQS37" s="414"/>
      <c r="RQT37" s="414"/>
      <c r="RQU37" s="414"/>
      <c r="RQV37" s="414"/>
      <c r="RQW37" s="414"/>
      <c r="RQX37" s="414"/>
      <c r="RQY37" s="414"/>
      <c r="RQZ37" s="414"/>
      <c r="RRA37" s="414"/>
      <c r="RRB37" s="414"/>
      <c r="RRC37" s="414"/>
      <c r="RRD37" s="414"/>
      <c r="RRE37" s="414"/>
      <c r="RRF37" s="414"/>
      <c r="RRG37" s="414"/>
      <c r="RRH37" s="414"/>
      <c r="RRI37" s="414"/>
      <c r="RRJ37" s="414"/>
      <c r="RRK37" s="414"/>
      <c r="RRL37" s="414"/>
      <c r="RRM37" s="414"/>
      <c r="RRN37" s="414"/>
      <c r="RRO37" s="414"/>
      <c r="RRP37" s="414"/>
      <c r="RRQ37" s="414"/>
      <c r="RRR37" s="414"/>
      <c r="RRS37" s="414"/>
      <c r="RRT37" s="414"/>
      <c r="RRU37" s="414"/>
      <c r="RRV37" s="414"/>
      <c r="RRW37" s="414"/>
      <c r="RRX37" s="414"/>
      <c r="RRY37" s="414"/>
      <c r="RRZ37" s="414"/>
      <c r="RSA37" s="414"/>
      <c r="RSB37" s="414"/>
      <c r="RSC37" s="414"/>
      <c r="RSD37" s="414"/>
      <c r="RSE37" s="414"/>
      <c r="RSF37" s="414"/>
      <c r="RSG37" s="414"/>
      <c r="RSH37" s="414"/>
      <c r="RSI37" s="414"/>
      <c r="RSJ37" s="414"/>
      <c r="RSK37" s="414"/>
      <c r="RSL37" s="414"/>
      <c r="RSM37" s="414"/>
      <c r="RSN37" s="414"/>
      <c r="RSO37" s="414"/>
      <c r="RSP37" s="414"/>
      <c r="RSQ37" s="414"/>
      <c r="RSR37" s="414"/>
      <c r="RSS37" s="414"/>
      <c r="RST37" s="414"/>
      <c r="RSU37" s="414"/>
      <c r="RSV37" s="414"/>
      <c r="RSW37" s="414"/>
      <c r="RSX37" s="414"/>
      <c r="RSY37" s="414"/>
      <c r="RSZ37" s="414"/>
      <c r="RTA37" s="414"/>
      <c r="RTB37" s="414"/>
      <c r="RTC37" s="414"/>
      <c r="RTD37" s="414"/>
      <c r="RTE37" s="414"/>
      <c r="RTF37" s="414"/>
      <c r="RTG37" s="414"/>
      <c r="RTH37" s="414"/>
      <c r="RTI37" s="414"/>
      <c r="RTJ37" s="414"/>
      <c r="RTK37" s="414"/>
      <c r="RTL37" s="414"/>
      <c r="RTM37" s="414"/>
      <c r="RTN37" s="414"/>
      <c r="RTO37" s="414"/>
      <c r="RTP37" s="414"/>
      <c r="RTQ37" s="414"/>
      <c r="RTR37" s="414"/>
      <c r="RTS37" s="414"/>
      <c r="RTT37" s="414"/>
      <c r="RTU37" s="414"/>
      <c r="RTV37" s="414"/>
      <c r="RTW37" s="414"/>
      <c r="RTX37" s="414"/>
      <c r="RTY37" s="414"/>
      <c r="RTZ37" s="414"/>
      <c r="RUA37" s="414"/>
      <c r="RUB37" s="414"/>
      <c r="RUC37" s="414"/>
      <c r="RUD37" s="414"/>
      <c r="RUE37" s="414"/>
      <c r="RUF37" s="414"/>
      <c r="RUG37" s="414"/>
      <c r="RUH37" s="414"/>
      <c r="RUI37" s="414"/>
      <c r="RUJ37" s="414"/>
      <c r="RUK37" s="414"/>
      <c r="RUL37" s="414"/>
      <c r="RUM37" s="414"/>
      <c r="RUN37" s="414"/>
      <c r="RUO37" s="414"/>
      <c r="RUP37" s="414"/>
      <c r="RUQ37" s="414"/>
      <c r="RUR37" s="414"/>
      <c r="RUS37" s="414"/>
      <c r="RUT37" s="414"/>
      <c r="RUU37" s="414"/>
      <c r="RUV37" s="414"/>
      <c r="RUW37" s="414"/>
      <c r="RUX37" s="414"/>
      <c r="RUY37" s="414"/>
      <c r="RUZ37" s="414"/>
      <c r="RVA37" s="414"/>
      <c r="RVB37" s="414"/>
      <c r="RVC37" s="414"/>
      <c r="RVD37" s="414"/>
      <c r="RVE37" s="414"/>
      <c r="RVF37" s="414"/>
      <c r="RVG37" s="414"/>
      <c r="RVH37" s="414"/>
      <c r="RVI37" s="414"/>
      <c r="RVJ37" s="414"/>
      <c r="RVK37" s="414"/>
      <c r="RVL37" s="414"/>
      <c r="RVM37" s="414"/>
      <c r="RVN37" s="414"/>
      <c r="RVO37" s="414"/>
      <c r="RVP37" s="414"/>
      <c r="RVQ37" s="414"/>
      <c r="RVR37" s="414"/>
      <c r="RVS37" s="414"/>
      <c r="RVT37" s="414"/>
      <c r="RVU37" s="414"/>
      <c r="RVV37" s="414"/>
      <c r="RVW37" s="414"/>
      <c r="RVX37" s="414"/>
      <c r="RVY37" s="414"/>
      <c r="RVZ37" s="414"/>
      <c r="RWA37" s="414"/>
      <c r="RWB37" s="414"/>
      <c r="RWC37" s="414"/>
      <c r="RWD37" s="414"/>
      <c r="RWE37" s="414"/>
      <c r="RWF37" s="414"/>
      <c r="RWG37" s="414"/>
      <c r="RWH37" s="414"/>
      <c r="RWI37" s="414"/>
      <c r="RWJ37" s="414"/>
      <c r="RWK37" s="414"/>
      <c r="RWL37" s="414"/>
      <c r="RWM37" s="414"/>
      <c r="RWN37" s="414"/>
      <c r="RWO37" s="414"/>
      <c r="RWP37" s="414"/>
      <c r="RWQ37" s="414"/>
      <c r="RWR37" s="414"/>
      <c r="RWS37" s="414"/>
      <c r="RWT37" s="414"/>
      <c r="RWU37" s="414"/>
      <c r="RWV37" s="414"/>
      <c r="RWW37" s="414"/>
      <c r="RWX37" s="414"/>
      <c r="RWY37" s="414"/>
      <c r="RWZ37" s="414"/>
      <c r="RXA37" s="414"/>
      <c r="RXB37" s="414"/>
      <c r="RXC37" s="414"/>
      <c r="RXD37" s="414"/>
      <c r="RXE37" s="414"/>
      <c r="RXF37" s="414"/>
      <c r="RXG37" s="414"/>
      <c r="RXH37" s="414"/>
      <c r="RXI37" s="414"/>
      <c r="RXJ37" s="414"/>
      <c r="RXK37" s="414"/>
      <c r="RXL37" s="414"/>
      <c r="RXM37" s="414"/>
      <c r="RXN37" s="414"/>
      <c r="RXO37" s="414"/>
      <c r="RXP37" s="414"/>
      <c r="RXQ37" s="414"/>
      <c r="RXR37" s="414"/>
      <c r="RXS37" s="414"/>
      <c r="RXT37" s="414"/>
      <c r="RXU37" s="414"/>
      <c r="RXV37" s="414"/>
      <c r="RXW37" s="414"/>
      <c r="RXX37" s="414"/>
      <c r="RXY37" s="414"/>
      <c r="RXZ37" s="414"/>
      <c r="RYA37" s="414"/>
      <c r="RYB37" s="414"/>
      <c r="RYC37" s="414"/>
      <c r="RYD37" s="414"/>
      <c r="RYE37" s="414"/>
      <c r="RYF37" s="414"/>
      <c r="RYG37" s="414"/>
      <c r="RYH37" s="414"/>
      <c r="RYI37" s="414"/>
      <c r="RYJ37" s="414"/>
      <c r="RYK37" s="414"/>
      <c r="RYL37" s="414"/>
      <c r="RYM37" s="414"/>
      <c r="RYN37" s="414"/>
      <c r="RYO37" s="414"/>
      <c r="RYP37" s="414"/>
      <c r="RYQ37" s="414"/>
      <c r="RYR37" s="414"/>
      <c r="RYS37" s="414"/>
      <c r="RYT37" s="414"/>
      <c r="RYU37" s="414"/>
      <c r="RYV37" s="414"/>
      <c r="RYW37" s="414"/>
      <c r="RYX37" s="414"/>
      <c r="RYY37" s="414"/>
      <c r="RYZ37" s="414"/>
      <c r="RZA37" s="414"/>
      <c r="RZB37" s="414"/>
      <c r="RZC37" s="414"/>
      <c r="RZD37" s="414"/>
      <c r="RZE37" s="414"/>
      <c r="RZF37" s="414"/>
      <c r="RZG37" s="414"/>
      <c r="RZH37" s="414"/>
      <c r="RZI37" s="414"/>
      <c r="RZJ37" s="414"/>
      <c r="RZK37" s="414"/>
      <c r="RZL37" s="414"/>
      <c r="RZM37" s="414"/>
      <c r="RZN37" s="414"/>
      <c r="RZO37" s="414"/>
      <c r="RZP37" s="414"/>
      <c r="RZQ37" s="414"/>
      <c r="RZR37" s="414"/>
      <c r="RZS37" s="414"/>
      <c r="RZT37" s="414"/>
      <c r="RZU37" s="414"/>
      <c r="RZV37" s="414"/>
      <c r="RZW37" s="414"/>
      <c r="RZX37" s="414"/>
      <c r="RZY37" s="414"/>
      <c r="RZZ37" s="414"/>
      <c r="SAA37" s="414"/>
      <c r="SAB37" s="414"/>
      <c r="SAC37" s="414"/>
      <c r="SAD37" s="414"/>
      <c r="SAE37" s="414"/>
      <c r="SAF37" s="414"/>
      <c r="SAG37" s="414"/>
      <c r="SAH37" s="414"/>
      <c r="SAI37" s="414"/>
      <c r="SAJ37" s="414"/>
      <c r="SAK37" s="414"/>
      <c r="SAL37" s="414"/>
      <c r="SAM37" s="414"/>
      <c r="SAN37" s="414"/>
      <c r="SAO37" s="414"/>
      <c r="SAP37" s="414"/>
      <c r="SAQ37" s="414"/>
      <c r="SAR37" s="414"/>
      <c r="SAS37" s="414"/>
      <c r="SAT37" s="414"/>
      <c r="SAU37" s="414"/>
      <c r="SAV37" s="414"/>
      <c r="SAW37" s="414"/>
      <c r="SAX37" s="414"/>
      <c r="SAY37" s="414"/>
      <c r="SAZ37" s="414"/>
      <c r="SBA37" s="414"/>
      <c r="SBB37" s="414"/>
      <c r="SBC37" s="414"/>
      <c r="SBD37" s="414"/>
      <c r="SBE37" s="414"/>
      <c r="SBF37" s="414"/>
      <c r="SBG37" s="414"/>
      <c r="SBH37" s="414"/>
      <c r="SBI37" s="414"/>
      <c r="SBJ37" s="414"/>
      <c r="SBK37" s="414"/>
      <c r="SBL37" s="414"/>
      <c r="SBM37" s="414"/>
      <c r="SBN37" s="414"/>
      <c r="SBO37" s="414"/>
      <c r="SBP37" s="414"/>
      <c r="SBQ37" s="414"/>
      <c r="SBR37" s="414"/>
      <c r="SBS37" s="414"/>
      <c r="SBT37" s="414"/>
      <c r="SBU37" s="414"/>
      <c r="SBV37" s="414"/>
      <c r="SBW37" s="414"/>
      <c r="SBX37" s="414"/>
      <c r="SBY37" s="414"/>
      <c r="SBZ37" s="414"/>
      <c r="SCA37" s="414"/>
      <c r="SCB37" s="414"/>
      <c r="SCC37" s="414"/>
      <c r="SCD37" s="414"/>
      <c r="SCE37" s="414"/>
      <c r="SCF37" s="414"/>
      <c r="SCG37" s="414"/>
      <c r="SCH37" s="414"/>
      <c r="SCI37" s="414"/>
      <c r="SCJ37" s="414"/>
      <c r="SCK37" s="414"/>
      <c r="SCL37" s="414"/>
      <c r="SCM37" s="414"/>
      <c r="SCN37" s="414"/>
      <c r="SCO37" s="414"/>
      <c r="SCP37" s="414"/>
      <c r="SCQ37" s="414"/>
      <c r="SCR37" s="414"/>
      <c r="SCS37" s="414"/>
      <c r="SCT37" s="414"/>
      <c r="SCU37" s="414"/>
      <c r="SCV37" s="414"/>
      <c r="SCW37" s="414"/>
      <c r="SCX37" s="414"/>
      <c r="SCY37" s="414"/>
      <c r="SCZ37" s="414"/>
      <c r="SDA37" s="414"/>
      <c r="SDB37" s="414"/>
      <c r="SDC37" s="414"/>
      <c r="SDD37" s="414"/>
      <c r="SDE37" s="414"/>
      <c r="SDF37" s="414"/>
      <c r="SDG37" s="414"/>
      <c r="SDH37" s="414"/>
      <c r="SDI37" s="414"/>
      <c r="SDJ37" s="414"/>
      <c r="SDK37" s="414"/>
      <c r="SDL37" s="414"/>
      <c r="SDM37" s="414"/>
      <c r="SDN37" s="414"/>
      <c r="SDO37" s="414"/>
      <c r="SDP37" s="414"/>
      <c r="SDQ37" s="414"/>
      <c r="SDR37" s="414"/>
      <c r="SDS37" s="414"/>
      <c r="SDT37" s="414"/>
      <c r="SDU37" s="414"/>
      <c r="SDV37" s="414"/>
      <c r="SDW37" s="414"/>
      <c r="SDX37" s="414"/>
      <c r="SDY37" s="414"/>
      <c r="SDZ37" s="414"/>
      <c r="SEA37" s="414"/>
      <c r="SEB37" s="414"/>
      <c r="SEC37" s="414"/>
      <c r="SED37" s="414"/>
      <c r="SEE37" s="414"/>
      <c r="SEF37" s="414"/>
      <c r="SEG37" s="414"/>
      <c r="SEH37" s="414"/>
      <c r="SEI37" s="414"/>
      <c r="SEJ37" s="414"/>
      <c r="SEK37" s="414"/>
      <c r="SEL37" s="414"/>
      <c r="SEM37" s="414"/>
      <c r="SEN37" s="414"/>
      <c r="SEO37" s="414"/>
      <c r="SEP37" s="414"/>
      <c r="SEQ37" s="414"/>
      <c r="SER37" s="414"/>
      <c r="SES37" s="414"/>
      <c r="SET37" s="414"/>
      <c r="SEU37" s="414"/>
      <c r="SEV37" s="414"/>
      <c r="SEW37" s="414"/>
      <c r="SEX37" s="414"/>
      <c r="SEY37" s="414"/>
      <c r="SEZ37" s="414"/>
      <c r="SFA37" s="414"/>
      <c r="SFB37" s="414"/>
      <c r="SFC37" s="414"/>
      <c r="SFD37" s="414"/>
      <c r="SFE37" s="414"/>
      <c r="SFF37" s="414"/>
      <c r="SFG37" s="414"/>
      <c r="SFH37" s="414"/>
      <c r="SFI37" s="414"/>
      <c r="SFJ37" s="414"/>
      <c r="SFK37" s="414"/>
      <c r="SFL37" s="414"/>
      <c r="SFM37" s="414"/>
      <c r="SFN37" s="414"/>
      <c r="SFO37" s="414"/>
      <c r="SFP37" s="414"/>
      <c r="SFQ37" s="414"/>
      <c r="SFR37" s="414"/>
      <c r="SFS37" s="414"/>
      <c r="SFT37" s="414"/>
      <c r="SFU37" s="414"/>
      <c r="SFV37" s="414"/>
      <c r="SFW37" s="414"/>
      <c r="SFX37" s="414"/>
      <c r="SFY37" s="414"/>
      <c r="SFZ37" s="414"/>
      <c r="SGA37" s="414"/>
      <c r="SGB37" s="414"/>
      <c r="SGC37" s="414"/>
      <c r="SGD37" s="414"/>
      <c r="SGE37" s="414"/>
      <c r="SGF37" s="414"/>
      <c r="SGG37" s="414"/>
      <c r="SGH37" s="414"/>
      <c r="SGI37" s="414"/>
      <c r="SGJ37" s="414"/>
      <c r="SGK37" s="414"/>
      <c r="SGL37" s="414"/>
      <c r="SGM37" s="414"/>
      <c r="SGN37" s="414"/>
      <c r="SGO37" s="414"/>
      <c r="SGP37" s="414"/>
      <c r="SGQ37" s="414"/>
      <c r="SGR37" s="414"/>
      <c r="SGS37" s="414"/>
      <c r="SGT37" s="414"/>
      <c r="SGU37" s="414"/>
      <c r="SGV37" s="414"/>
      <c r="SGW37" s="414"/>
      <c r="SGX37" s="414"/>
      <c r="SGY37" s="414"/>
      <c r="SGZ37" s="414"/>
      <c r="SHA37" s="414"/>
      <c r="SHB37" s="414"/>
      <c r="SHC37" s="414"/>
      <c r="SHD37" s="414"/>
      <c r="SHE37" s="414"/>
      <c r="SHF37" s="414"/>
      <c r="SHG37" s="414"/>
      <c r="SHH37" s="414"/>
      <c r="SHI37" s="414"/>
      <c r="SHJ37" s="414"/>
      <c r="SHK37" s="414"/>
      <c r="SHL37" s="414"/>
      <c r="SHM37" s="414"/>
      <c r="SHN37" s="414"/>
      <c r="SHO37" s="414"/>
      <c r="SHP37" s="414"/>
      <c r="SHQ37" s="414"/>
      <c r="SHR37" s="414"/>
      <c r="SHS37" s="414"/>
      <c r="SHT37" s="414"/>
      <c r="SHU37" s="414"/>
      <c r="SHV37" s="414"/>
      <c r="SHW37" s="414"/>
      <c r="SHX37" s="414"/>
      <c r="SHY37" s="414"/>
      <c r="SHZ37" s="414"/>
      <c r="SIA37" s="414"/>
      <c r="SIB37" s="414"/>
      <c r="SIC37" s="414"/>
      <c r="SID37" s="414"/>
      <c r="SIE37" s="414"/>
      <c r="SIF37" s="414"/>
      <c r="SIG37" s="414"/>
      <c r="SIH37" s="414"/>
      <c r="SII37" s="414"/>
      <c r="SIJ37" s="414"/>
      <c r="SIK37" s="414"/>
      <c r="SIL37" s="414"/>
      <c r="SIM37" s="414"/>
      <c r="SIN37" s="414"/>
      <c r="SIO37" s="414"/>
      <c r="SIP37" s="414"/>
      <c r="SIQ37" s="414"/>
      <c r="SIR37" s="414"/>
      <c r="SIS37" s="414"/>
      <c r="SIT37" s="414"/>
      <c r="SIU37" s="414"/>
      <c r="SIV37" s="414"/>
      <c r="SIW37" s="414"/>
      <c r="SIX37" s="414"/>
      <c r="SIY37" s="414"/>
      <c r="SIZ37" s="414"/>
      <c r="SJA37" s="414"/>
      <c r="SJB37" s="414"/>
      <c r="SJC37" s="414"/>
      <c r="SJD37" s="414"/>
      <c r="SJE37" s="414"/>
      <c r="SJF37" s="414"/>
      <c r="SJG37" s="414"/>
      <c r="SJH37" s="414"/>
      <c r="SJI37" s="414"/>
      <c r="SJJ37" s="414"/>
      <c r="SJK37" s="414"/>
      <c r="SJL37" s="414"/>
      <c r="SJM37" s="414"/>
      <c r="SJN37" s="414"/>
      <c r="SJO37" s="414"/>
      <c r="SJP37" s="414"/>
      <c r="SJQ37" s="414"/>
      <c r="SJR37" s="414"/>
      <c r="SJS37" s="414"/>
      <c r="SJT37" s="414"/>
      <c r="SJU37" s="414"/>
      <c r="SJV37" s="414"/>
      <c r="SJW37" s="414"/>
      <c r="SJX37" s="414"/>
      <c r="SJY37" s="414"/>
      <c r="SJZ37" s="414"/>
      <c r="SKA37" s="414"/>
      <c r="SKB37" s="414"/>
      <c r="SKC37" s="414"/>
      <c r="SKD37" s="414"/>
      <c r="SKE37" s="414"/>
      <c r="SKF37" s="414"/>
      <c r="SKG37" s="414"/>
      <c r="SKH37" s="414"/>
      <c r="SKI37" s="414"/>
      <c r="SKJ37" s="414"/>
      <c r="SKK37" s="414"/>
      <c r="SKL37" s="414"/>
      <c r="SKM37" s="414"/>
      <c r="SKN37" s="414"/>
      <c r="SKO37" s="414"/>
      <c r="SKP37" s="414"/>
      <c r="SKQ37" s="414"/>
      <c r="SKR37" s="414"/>
      <c r="SKS37" s="414"/>
      <c r="SKT37" s="414"/>
      <c r="SKU37" s="414"/>
      <c r="SKV37" s="414"/>
      <c r="SKW37" s="414"/>
      <c r="SKX37" s="414"/>
      <c r="SKY37" s="414"/>
      <c r="SKZ37" s="414"/>
      <c r="SLA37" s="414"/>
      <c r="SLB37" s="414"/>
      <c r="SLC37" s="414"/>
      <c r="SLD37" s="414"/>
      <c r="SLE37" s="414"/>
      <c r="SLF37" s="414"/>
      <c r="SLG37" s="414"/>
      <c r="SLH37" s="414"/>
      <c r="SLI37" s="414"/>
      <c r="SLJ37" s="414"/>
      <c r="SLK37" s="414"/>
      <c r="SLL37" s="414"/>
      <c r="SLM37" s="414"/>
      <c r="SLN37" s="414"/>
      <c r="SLO37" s="414"/>
      <c r="SLP37" s="414"/>
      <c r="SLQ37" s="414"/>
      <c r="SLR37" s="414"/>
      <c r="SLS37" s="414"/>
      <c r="SLT37" s="414"/>
      <c r="SLU37" s="414"/>
      <c r="SLV37" s="414"/>
      <c r="SLW37" s="414"/>
      <c r="SLX37" s="414"/>
      <c r="SLY37" s="414"/>
      <c r="SLZ37" s="414"/>
      <c r="SMA37" s="414"/>
      <c r="SMB37" s="414"/>
      <c r="SMC37" s="414"/>
      <c r="SMD37" s="414"/>
      <c r="SME37" s="414"/>
      <c r="SMF37" s="414"/>
      <c r="SMG37" s="414"/>
      <c r="SMH37" s="414"/>
      <c r="SMI37" s="414"/>
      <c r="SMJ37" s="414"/>
      <c r="SMK37" s="414"/>
      <c r="SML37" s="414"/>
      <c r="SMM37" s="414"/>
      <c r="SMN37" s="414"/>
      <c r="SMO37" s="414"/>
      <c r="SMP37" s="414"/>
      <c r="SMQ37" s="414"/>
      <c r="SMR37" s="414"/>
      <c r="SMS37" s="414"/>
      <c r="SMT37" s="414"/>
      <c r="SMU37" s="414"/>
      <c r="SMV37" s="414"/>
      <c r="SMW37" s="414"/>
      <c r="SMX37" s="414"/>
      <c r="SMY37" s="414"/>
      <c r="SMZ37" s="414"/>
      <c r="SNA37" s="414"/>
      <c r="SNB37" s="414"/>
      <c r="SNC37" s="414"/>
      <c r="SND37" s="414"/>
      <c r="SNE37" s="414"/>
      <c r="SNF37" s="414"/>
      <c r="SNG37" s="414"/>
      <c r="SNH37" s="414"/>
      <c r="SNI37" s="414"/>
      <c r="SNJ37" s="414"/>
      <c r="SNK37" s="414"/>
      <c r="SNL37" s="414"/>
      <c r="SNM37" s="414"/>
      <c r="SNN37" s="414"/>
      <c r="SNO37" s="414"/>
      <c r="SNP37" s="414"/>
      <c r="SNQ37" s="414"/>
      <c r="SNR37" s="414"/>
      <c r="SNS37" s="414"/>
      <c r="SNT37" s="414"/>
      <c r="SNU37" s="414"/>
      <c r="SNV37" s="414"/>
      <c r="SNW37" s="414"/>
      <c r="SNX37" s="414"/>
      <c r="SNY37" s="414"/>
      <c r="SNZ37" s="414"/>
      <c r="SOA37" s="414"/>
      <c r="SOB37" s="414"/>
      <c r="SOC37" s="414"/>
      <c r="SOD37" s="414"/>
      <c r="SOE37" s="414"/>
      <c r="SOF37" s="414"/>
      <c r="SOG37" s="414"/>
      <c r="SOH37" s="414"/>
      <c r="SOI37" s="414"/>
      <c r="SOJ37" s="414"/>
      <c r="SOK37" s="414"/>
      <c r="SOL37" s="414"/>
      <c r="SOM37" s="414"/>
      <c r="SON37" s="414"/>
      <c r="SOO37" s="414"/>
      <c r="SOP37" s="414"/>
      <c r="SOQ37" s="414"/>
      <c r="SOR37" s="414"/>
      <c r="SOS37" s="414"/>
      <c r="SOT37" s="414"/>
      <c r="SOU37" s="414"/>
      <c r="SOV37" s="414"/>
      <c r="SOW37" s="414"/>
      <c r="SOX37" s="414"/>
      <c r="SOY37" s="414"/>
      <c r="SOZ37" s="414"/>
      <c r="SPA37" s="414"/>
      <c r="SPB37" s="414"/>
      <c r="SPC37" s="414"/>
      <c r="SPD37" s="414"/>
      <c r="SPE37" s="414"/>
      <c r="SPF37" s="414"/>
      <c r="SPG37" s="414"/>
      <c r="SPH37" s="414"/>
      <c r="SPI37" s="414"/>
      <c r="SPJ37" s="414"/>
      <c r="SPK37" s="414"/>
      <c r="SPL37" s="414"/>
      <c r="SPM37" s="414"/>
      <c r="SPN37" s="414"/>
      <c r="SPO37" s="414"/>
      <c r="SPP37" s="414"/>
      <c r="SPQ37" s="414"/>
      <c r="SPR37" s="414"/>
      <c r="SPS37" s="414"/>
      <c r="SPT37" s="414"/>
      <c r="SPU37" s="414"/>
      <c r="SPV37" s="414"/>
      <c r="SPW37" s="414"/>
      <c r="SPX37" s="414"/>
      <c r="SPY37" s="414"/>
      <c r="SPZ37" s="414"/>
      <c r="SQA37" s="414"/>
      <c r="SQB37" s="414"/>
      <c r="SQC37" s="414"/>
      <c r="SQD37" s="414"/>
      <c r="SQE37" s="414"/>
      <c r="SQF37" s="414"/>
      <c r="SQG37" s="414"/>
      <c r="SQH37" s="414"/>
      <c r="SQI37" s="414"/>
      <c r="SQJ37" s="414"/>
      <c r="SQK37" s="414"/>
      <c r="SQL37" s="414"/>
      <c r="SQM37" s="414"/>
      <c r="SQN37" s="414"/>
      <c r="SQO37" s="414"/>
      <c r="SQP37" s="414"/>
      <c r="SQQ37" s="414"/>
      <c r="SQR37" s="414"/>
      <c r="SQS37" s="414"/>
      <c r="SQT37" s="414"/>
      <c r="SQU37" s="414"/>
      <c r="SQV37" s="414"/>
      <c r="SQW37" s="414"/>
      <c r="SQX37" s="414"/>
      <c r="SQY37" s="414"/>
      <c r="SQZ37" s="414"/>
      <c r="SRA37" s="414"/>
      <c r="SRB37" s="414"/>
      <c r="SRC37" s="414"/>
      <c r="SRD37" s="414"/>
      <c r="SRE37" s="414"/>
      <c r="SRF37" s="414"/>
      <c r="SRG37" s="414"/>
      <c r="SRH37" s="414"/>
      <c r="SRI37" s="414"/>
      <c r="SRJ37" s="414"/>
      <c r="SRK37" s="414"/>
      <c r="SRL37" s="414"/>
      <c r="SRM37" s="414"/>
      <c r="SRN37" s="414"/>
      <c r="SRO37" s="414"/>
      <c r="SRP37" s="414"/>
      <c r="SRQ37" s="414"/>
      <c r="SRR37" s="414"/>
      <c r="SRS37" s="414"/>
      <c r="SRT37" s="414"/>
      <c r="SRU37" s="414"/>
      <c r="SRV37" s="414"/>
      <c r="SRW37" s="414"/>
      <c r="SRX37" s="414"/>
      <c r="SRY37" s="414"/>
      <c r="SRZ37" s="414"/>
      <c r="SSA37" s="414"/>
      <c r="SSB37" s="414"/>
      <c r="SSC37" s="414"/>
      <c r="SSD37" s="414"/>
      <c r="SSE37" s="414"/>
      <c r="SSF37" s="414"/>
      <c r="SSG37" s="414"/>
      <c r="SSH37" s="414"/>
      <c r="SSI37" s="414"/>
      <c r="SSJ37" s="414"/>
      <c r="SSK37" s="414"/>
      <c r="SSL37" s="414"/>
      <c r="SSM37" s="414"/>
      <c r="SSN37" s="414"/>
      <c r="SSO37" s="414"/>
      <c r="SSP37" s="414"/>
      <c r="SSQ37" s="414"/>
      <c r="SSR37" s="414"/>
      <c r="SSS37" s="414"/>
      <c r="SST37" s="414"/>
      <c r="SSU37" s="414"/>
      <c r="SSV37" s="414"/>
      <c r="SSW37" s="414"/>
      <c r="SSX37" s="414"/>
      <c r="SSY37" s="414"/>
      <c r="SSZ37" s="414"/>
      <c r="STA37" s="414"/>
      <c r="STB37" s="414"/>
      <c r="STC37" s="414"/>
      <c r="STD37" s="414"/>
      <c r="STE37" s="414"/>
      <c r="STF37" s="414"/>
      <c r="STG37" s="414"/>
      <c r="STH37" s="414"/>
      <c r="STI37" s="414"/>
      <c r="STJ37" s="414"/>
      <c r="STK37" s="414"/>
      <c r="STL37" s="414"/>
      <c r="STM37" s="414"/>
      <c r="STN37" s="414"/>
      <c r="STO37" s="414"/>
      <c r="STP37" s="414"/>
      <c r="STQ37" s="414"/>
      <c r="STR37" s="414"/>
      <c r="STS37" s="414"/>
      <c r="STT37" s="414"/>
      <c r="STU37" s="414"/>
      <c r="STV37" s="414"/>
      <c r="STW37" s="414"/>
      <c r="STX37" s="414"/>
      <c r="STY37" s="414"/>
      <c r="STZ37" s="414"/>
      <c r="SUA37" s="414"/>
      <c r="SUB37" s="414"/>
      <c r="SUC37" s="414"/>
      <c r="SUD37" s="414"/>
      <c r="SUE37" s="414"/>
      <c r="SUF37" s="414"/>
      <c r="SUG37" s="414"/>
      <c r="SUH37" s="414"/>
      <c r="SUI37" s="414"/>
      <c r="SUJ37" s="414"/>
      <c r="SUK37" s="414"/>
      <c r="SUL37" s="414"/>
      <c r="SUM37" s="414"/>
      <c r="SUN37" s="414"/>
      <c r="SUO37" s="414"/>
      <c r="SUP37" s="414"/>
      <c r="SUQ37" s="414"/>
      <c r="SUR37" s="414"/>
      <c r="SUS37" s="414"/>
      <c r="SUT37" s="414"/>
      <c r="SUU37" s="414"/>
      <c r="SUV37" s="414"/>
      <c r="SUW37" s="414"/>
      <c r="SUX37" s="414"/>
      <c r="SUY37" s="414"/>
      <c r="SUZ37" s="414"/>
      <c r="SVA37" s="414"/>
      <c r="SVB37" s="414"/>
      <c r="SVC37" s="414"/>
      <c r="SVD37" s="414"/>
      <c r="SVE37" s="414"/>
      <c r="SVF37" s="414"/>
      <c r="SVG37" s="414"/>
      <c r="SVH37" s="414"/>
      <c r="SVI37" s="414"/>
      <c r="SVJ37" s="414"/>
      <c r="SVK37" s="414"/>
      <c r="SVL37" s="414"/>
      <c r="SVM37" s="414"/>
      <c r="SVN37" s="414"/>
      <c r="SVO37" s="414"/>
      <c r="SVP37" s="414"/>
      <c r="SVQ37" s="414"/>
      <c r="SVR37" s="414"/>
      <c r="SVS37" s="414"/>
      <c r="SVT37" s="414"/>
      <c r="SVU37" s="414"/>
      <c r="SVV37" s="414"/>
      <c r="SVW37" s="414"/>
      <c r="SVX37" s="414"/>
      <c r="SVY37" s="414"/>
      <c r="SVZ37" s="414"/>
      <c r="SWA37" s="414"/>
      <c r="SWB37" s="414"/>
      <c r="SWC37" s="414"/>
      <c r="SWD37" s="414"/>
      <c r="SWE37" s="414"/>
      <c r="SWF37" s="414"/>
      <c r="SWG37" s="414"/>
      <c r="SWH37" s="414"/>
      <c r="SWI37" s="414"/>
      <c r="SWJ37" s="414"/>
      <c r="SWK37" s="414"/>
      <c r="SWL37" s="414"/>
      <c r="SWM37" s="414"/>
      <c r="SWN37" s="414"/>
      <c r="SWO37" s="414"/>
      <c r="SWP37" s="414"/>
      <c r="SWQ37" s="414"/>
      <c r="SWR37" s="414"/>
      <c r="SWS37" s="414"/>
      <c r="SWT37" s="414"/>
      <c r="SWU37" s="414"/>
      <c r="SWV37" s="414"/>
      <c r="SWW37" s="414"/>
      <c r="SWX37" s="414"/>
      <c r="SWY37" s="414"/>
      <c r="SWZ37" s="414"/>
      <c r="SXA37" s="414"/>
      <c r="SXB37" s="414"/>
      <c r="SXC37" s="414"/>
      <c r="SXD37" s="414"/>
      <c r="SXE37" s="414"/>
      <c r="SXF37" s="414"/>
      <c r="SXG37" s="414"/>
      <c r="SXH37" s="414"/>
      <c r="SXI37" s="414"/>
      <c r="SXJ37" s="414"/>
      <c r="SXK37" s="414"/>
      <c r="SXL37" s="414"/>
      <c r="SXM37" s="414"/>
      <c r="SXN37" s="414"/>
      <c r="SXO37" s="414"/>
      <c r="SXP37" s="414"/>
      <c r="SXQ37" s="414"/>
      <c r="SXR37" s="414"/>
      <c r="SXS37" s="414"/>
      <c r="SXT37" s="414"/>
      <c r="SXU37" s="414"/>
      <c r="SXV37" s="414"/>
      <c r="SXW37" s="414"/>
      <c r="SXX37" s="414"/>
      <c r="SXY37" s="414"/>
      <c r="SXZ37" s="414"/>
      <c r="SYA37" s="414"/>
      <c r="SYB37" s="414"/>
      <c r="SYC37" s="414"/>
      <c r="SYD37" s="414"/>
      <c r="SYE37" s="414"/>
      <c r="SYF37" s="414"/>
      <c r="SYG37" s="414"/>
      <c r="SYH37" s="414"/>
      <c r="SYI37" s="414"/>
      <c r="SYJ37" s="414"/>
      <c r="SYK37" s="414"/>
      <c r="SYL37" s="414"/>
      <c r="SYM37" s="414"/>
      <c r="SYN37" s="414"/>
      <c r="SYO37" s="414"/>
      <c r="SYP37" s="414"/>
      <c r="SYQ37" s="414"/>
      <c r="SYR37" s="414"/>
      <c r="SYS37" s="414"/>
      <c r="SYT37" s="414"/>
      <c r="SYU37" s="414"/>
      <c r="SYV37" s="414"/>
      <c r="SYW37" s="414"/>
      <c r="SYX37" s="414"/>
      <c r="SYY37" s="414"/>
      <c r="SYZ37" s="414"/>
      <c r="SZA37" s="414"/>
      <c r="SZB37" s="414"/>
      <c r="SZC37" s="414"/>
      <c r="SZD37" s="414"/>
      <c r="SZE37" s="414"/>
      <c r="SZF37" s="414"/>
      <c r="SZG37" s="414"/>
      <c r="SZH37" s="414"/>
      <c r="SZI37" s="414"/>
      <c r="SZJ37" s="414"/>
      <c r="SZK37" s="414"/>
      <c r="SZL37" s="414"/>
      <c r="SZM37" s="414"/>
      <c r="SZN37" s="414"/>
      <c r="SZO37" s="414"/>
      <c r="SZP37" s="414"/>
      <c r="SZQ37" s="414"/>
      <c r="SZR37" s="414"/>
      <c r="SZS37" s="414"/>
      <c r="SZT37" s="414"/>
      <c r="SZU37" s="414"/>
      <c r="SZV37" s="414"/>
      <c r="SZW37" s="414"/>
      <c r="SZX37" s="414"/>
      <c r="SZY37" s="414"/>
      <c r="SZZ37" s="414"/>
      <c r="TAA37" s="414"/>
      <c r="TAB37" s="414"/>
      <c r="TAC37" s="414"/>
      <c r="TAD37" s="414"/>
      <c r="TAE37" s="414"/>
      <c r="TAF37" s="414"/>
      <c r="TAG37" s="414"/>
      <c r="TAH37" s="414"/>
      <c r="TAI37" s="414"/>
      <c r="TAJ37" s="414"/>
      <c r="TAK37" s="414"/>
      <c r="TAL37" s="414"/>
      <c r="TAM37" s="414"/>
      <c r="TAN37" s="414"/>
      <c r="TAO37" s="414"/>
      <c r="TAP37" s="414"/>
      <c r="TAQ37" s="414"/>
      <c r="TAR37" s="414"/>
      <c r="TAS37" s="414"/>
      <c r="TAT37" s="414"/>
      <c r="TAU37" s="414"/>
      <c r="TAV37" s="414"/>
      <c r="TAW37" s="414"/>
      <c r="TAX37" s="414"/>
      <c r="TAY37" s="414"/>
      <c r="TAZ37" s="414"/>
      <c r="TBA37" s="414"/>
      <c r="TBB37" s="414"/>
      <c r="TBC37" s="414"/>
      <c r="TBD37" s="414"/>
      <c r="TBE37" s="414"/>
      <c r="TBF37" s="414"/>
      <c r="TBG37" s="414"/>
      <c r="TBH37" s="414"/>
      <c r="TBI37" s="414"/>
      <c r="TBJ37" s="414"/>
      <c r="TBK37" s="414"/>
      <c r="TBL37" s="414"/>
      <c r="TBM37" s="414"/>
      <c r="TBN37" s="414"/>
      <c r="TBO37" s="414"/>
      <c r="TBP37" s="414"/>
      <c r="TBQ37" s="414"/>
      <c r="TBR37" s="414"/>
      <c r="TBS37" s="414"/>
      <c r="TBT37" s="414"/>
      <c r="TBU37" s="414"/>
      <c r="TBV37" s="414"/>
      <c r="TBW37" s="414"/>
      <c r="TBX37" s="414"/>
      <c r="TBY37" s="414"/>
      <c r="TBZ37" s="414"/>
      <c r="TCA37" s="414"/>
      <c r="TCB37" s="414"/>
      <c r="TCC37" s="414"/>
      <c r="TCD37" s="414"/>
      <c r="TCE37" s="414"/>
      <c r="TCF37" s="414"/>
      <c r="TCG37" s="414"/>
      <c r="TCH37" s="414"/>
      <c r="TCI37" s="414"/>
      <c r="TCJ37" s="414"/>
      <c r="TCK37" s="414"/>
      <c r="TCL37" s="414"/>
      <c r="TCM37" s="414"/>
      <c r="TCN37" s="414"/>
      <c r="TCO37" s="414"/>
      <c r="TCP37" s="414"/>
      <c r="TCQ37" s="414"/>
      <c r="TCR37" s="414"/>
      <c r="TCS37" s="414"/>
      <c r="TCT37" s="414"/>
      <c r="TCU37" s="414"/>
      <c r="TCV37" s="414"/>
      <c r="TCW37" s="414"/>
      <c r="TCX37" s="414"/>
      <c r="TCY37" s="414"/>
      <c r="TCZ37" s="414"/>
      <c r="TDA37" s="414"/>
      <c r="TDB37" s="414"/>
      <c r="TDC37" s="414"/>
      <c r="TDD37" s="414"/>
      <c r="TDE37" s="414"/>
      <c r="TDF37" s="414"/>
      <c r="TDG37" s="414"/>
      <c r="TDH37" s="414"/>
      <c r="TDI37" s="414"/>
      <c r="TDJ37" s="414"/>
      <c r="TDK37" s="414"/>
      <c r="TDL37" s="414"/>
      <c r="TDM37" s="414"/>
      <c r="TDN37" s="414"/>
      <c r="TDO37" s="414"/>
      <c r="TDP37" s="414"/>
      <c r="TDQ37" s="414"/>
      <c r="TDR37" s="414"/>
      <c r="TDS37" s="414"/>
      <c r="TDT37" s="414"/>
      <c r="TDU37" s="414"/>
      <c r="TDV37" s="414"/>
      <c r="TDW37" s="414"/>
      <c r="TDX37" s="414"/>
      <c r="TDY37" s="414"/>
      <c r="TDZ37" s="414"/>
      <c r="TEA37" s="414"/>
      <c r="TEB37" s="414"/>
      <c r="TEC37" s="414"/>
      <c r="TED37" s="414"/>
      <c r="TEE37" s="414"/>
      <c r="TEF37" s="414"/>
      <c r="TEG37" s="414"/>
      <c r="TEH37" s="414"/>
      <c r="TEI37" s="414"/>
      <c r="TEJ37" s="414"/>
      <c r="TEK37" s="414"/>
      <c r="TEL37" s="414"/>
      <c r="TEM37" s="414"/>
      <c r="TEN37" s="414"/>
      <c r="TEO37" s="414"/>
      <c r="TEP37" s="414"/>
      <c r="TEQ37" s="414"/>
      <c r="TER37" s="414"/>
      <c r="TES37" s="414"/>
      <c r="TET37" s="414"/>
      <c r="TEU37" s="414"/>
      <c r="TEV37" s="414"/>
      <c r="TEW37" s="414"/>
      <c r="TEX37" s="414"/>
      <c r="TEY37" s="414"/>
      <c r="TEZ37" s="414"/>
      <c r="TFA37" s="414"/>
      <c r="TFB37" s="414"/>
      <c r="TFC37" s="414"/>
      <c r="TFD37" s="414"/>
      <c r="TFE37" s="414"/>
      <c r="TFF37" s="414"/>
      <c r="TFG37" s="414"/>
      <c r="TFH37" s="414"/>
      <c r="TFI37" s="414"/>
      <c r="TFJ37" s="414"/>
      <c r="TFK37" s="414"/>
      <c r="TFL37" s="414"/>
      <c r="TFM37" s="414"/>
      <c r="TFN37" s="414"/>
      <c r="TFO37" s="414"/>
      <c r="TFP37" s="414"/>
      <c r="TFQ37" s="414"/>
      <c r="TFR37" s="414"/>
      <c r="TFS37" s="414"/>
      <c r="TFT37" s="414"/>
      <c r="TFU37" s="414"/>
      <c r="TFV37" s="414"/>
      <c r="TFW37" s="414"/>
      <c r="TFX37" s="414"/>
      <c r="TFY37" s="414"/>
      <c r="TFZ37" s="414"/>
      <c r="TGA37" s="414"/>
      <c r="TGB37" s="414"/>
      <c r="TGC37" s="414"/>
      <c r="TGD37" s="414"/>
      <c r="TGE37" s="414"/>
      <c r="TGF37" s="414"/>
      <c r="TGG37" s="414"/>
      <c r="TGH37" s="414"/>
      <c r="TGI37" s="414"/>
      <c r="TGJ37" s="414"/>
      <c r="TGK37" s="414"/>
      <c r="TGL37" s="414"/>
      <c r="TGM37" s="414"/>
      <c r="TGN37" s="414"/>
      <c r="TGO37" s="414"/>
      <c r="TGP37" s="414"/>
      <c r="TGQ37" s="414"/>
      <c r="TGR37" s="414"/>
      <c r="TGS37" s="414"/>
      <c r="TGT37" s="414"/>
      <c r="TGU37" s="414"/>
      <c r="TGV37" s="414"/>
      <c r="TGW37" s="414"/>
      <c r="TGX37" s="414"/>
      <c r="TGY37" s="414"/>
      <c r="TGZ37" s="414"/>
      <c r="THA37" s="414"/>
      <c r="THB37" s="414"/>
      <c r="THC37" s="414"/>
      <c r="THD37" s="414"/>
      <c r="THE37" s="414"/>
      <c r="THF37" s="414"/>
      <c r="THG37" s="414"/>
      <c r="THH37" s="414"/>
      <c r="THI37" s="414"/>
      <c r="THJ37" s="414"/>
      <c r="THK37" s="414"/>
      <c r="THL37" s="414"/>
      <c r="THM37" s="414"/>
      <c r="THN37" s="414"/>
      <c r="THO37" s="414"/>
      <c r="THP37" s="414"/>
      <c r="THQ37" s="414"/>
      <c r="THR37" s="414"/>
      <c r="THS37" s="414"/>
      <c r="THT37" s="414"/>
      <c r="THU37" s="414"/>
      <c r="THV37" s="414"/>
      <c r="THW37" s="414"/>
      <c r="THX37" s="414"/>
      <c r="THY37" s="414"/>
      <c r="THZ37" s="414"/>
      <c r="TIA37" s="414"/>
      <c r="TIB37" s="414"/>
      <c r="TIC37" s="414"/>
      <c r="TID37" s="414"/>
      <c r="TIE37" s="414"/>
      <c r="TIF37" s="414"/>
      <c r="TIG37" s="414"/>
      <c r="TIH37" s="414"/>
      <c r="TII37" s="414"/>
      <c r="TIJ37" s="414"/>
      <c r="TIK37" s="414"/>
      <c r="TIL37" s="414"/>
      <c r="TIM37" s="414"/>
      <c r="TIN37" s="414"/>
      <c r="TIO37" s="414"/>
      <c r="TIP37" s="414"/>
      <c r="TIQ37" s="414"/>
      <c r="TIR37" s="414"/>
      <c r="TIS37" s="414"/>
      <c r="TIT37" s="414"/>
      <c r="TIU37" s="414"/>
      <c r="TIV37" s="414"/>
      <c r="TIW37" s="414"/>
      <c r="TIX37" s="414"/>
      <c r="TIY37" s="414"/>
      <c r="TIZ37" s="414"/>
      <c r="TJA37" s="414"/>
      <c r="TJB37" s="414"/>
      <c r="TJC37" s="414"/>
      <c r="TJD37" s="414"/>
      <c r="TJE37" s="414"/>
      <c r="TJF37" s="414"/>
      <c r="TJG37" s="414"/>
      <c r="TJH37" s="414"/>
      <c r="TJI37" s="414"/>
      <c r="TJJ37" s="414"/>
      <c r="TJK37" s="414"/>
      <c r="TJL37" s="414"/>
      <c r="TJM37" s="414"/>
      <c r="TJN37" s="414"/>
      <c r="TJO37" s="414"/>
      <c r="TJP37" s="414"/>
      <c r="TJQ37" s="414"/>
      <c r="TJR37" s="414"/>
      <c r="TJS37" s="414"/>
      <c r="TJT37" s="414"/>
      <c r="TJU37" s="414"/>
      <c r="TJV37" s="414"/>
      <c r="TJW37" s="414"/>
      <c r="TJX37" s="414"/>
      <c r="TJY37" s="414"/>
      <c r="TJZ37" s="414"/>
      <c r="TKA37" s="414"/>
      <c r="TKB37" s="414"/>
      <c r="TKC37" s="414"/>
      <c r="TKD37" s="414"/>
      <c r="TKE37" s="414"/>
      <c r="TKF37" s="414"/>
      <c r="TKG37" s="414"/>
      <c r="TKH37" s="414"/>
      <c r="TKI37" s="414"/>
      <c r="TKJ37" s="414"/>
      <c r="TKK37" s="414"/>
      <c r="TKL37" s="414"/>
      <c r="TKM37" s="414"/>
      <c r="TKN37" s="414"/>
      <c r="TKO37" s="414"/>
      <c r="TKP37" s="414"/>
      <c r="TKQ37" s="414"/>
      <c r="TKR37" s="414"/>
      <c r="TKS37" s="414"/>
      <c r="TKT37" s="414"/>
      <c r="TKU37" s="414"/>
      <c r="TKV37" s="414"/>
      <c r="TKW37" s="414"/>
      <c r="TKX37" s="414"/>
      <c r="TKY37" s="414"/>
      <c r="TKZ37" s="414"/>
      <c r="TLA37" s="414"/>
      <c r="TLB37" s="414"/>
      <c r="TLC37" s="414"/>
      <c r="TLD37" s="414"/>
      <c r="TLE37" s="414"/>
      <c r="TLF37" s="414"/>
      <c r="TLG37" s="414"/>
      <c r="TLH37" s="414"/>
      <c r="TLI37" s="414"/>
      <c r="TLJ37" s="414"/>
      <c r="TLK37" s="414"/>
      <c r="TLL37" s="414"/>
      <c r="TLM37" s="414"/>
      <c r="TLN37" s="414"/>
      <c r="TLO37" s="414"/>
      <c r="TLP37" s="414"/>
      <c r="TLQ37" s="414"/>
      <c r="TLR37" s="414"/>
      <c r="TLS37" s="414"/>
      <c r="TLT37" s="414"/>
      <c r="TLU37" s="414"/>
      <c r="TLV37" s="414"/>
      <c r="TLW37" s="414"/>
      <c r="TLX37" s="414"/>
      <c r="TLY37" s="414"/>
      <c r="TLZ37" s="414"/>
      <c r="TMA37" s="414"/>
      <c r="TMB37" s="414"/>
      <c r="TMC37" s="414"/>
      <c r="TMD37" s="414"/>
      <c r="TME37" s="414"/>
      <c r="TMF37" s="414"/>
      <c r="TMG37" s="414"/>
      <c r="TMH37" s="414"/>
      <c r="TMI37" s="414"/>
      <c r="TMJ37" s="414"/>
      <c r="TMK37" s="414"/>
      <c r="TML37" s="414"/>
      <c r="TMM37" s="414"/>
      <c r="TMN37" s="414"/>
      <c r="TMO37" s="414"/>
      <c r="TMP37" s="414"/>
      <c r="TMQ37" s="414"/>
      <c r="TMR37" s="414"/>
      <c r="TMS37" s="414"/>
      <c r="TMT37" s="414"/>
      <c r="TMU37" s="414"/>
      <c r="TMV37" s="414"/>
      <c r="TMW37" s="414"/>
      <c r="TMX37" s="414"/>
      <c r="TMY37" s="414"/>
      <c r="TMZ37" s="414"/>
      <c r="TNA37" s="414"/>
      <c r="TNB37" s="414"/>
      <c r="TNC37" s="414"/>
      <c r="TND37" s="414"/>
      <c r="TNE37" s="414"/>
      <c r="TNF37" s="414"/>
      <c r="TNG37" s="414"/>
      <c r="TNH37" s="414"/>
      <c r="TNI37" s="414"/>
      <c r="TNJ37" s="414"/>
      <c r="TNK37" s="414"/>
      <c r="TNL37" s="414"/>
      <c r="TNM37" s="414"/>
      <c r="TNN37" s="414"/>
      <c r="TNO37" s="414"/>
      <c r="TNP37" s="414"/>
      <c r="TNQ37" s="414"/>
      <c r="TNR37" s="414"/>
      <c r="TNS37" s="414"/>
      <c r="TNT37" s="414"/>
      <c r="TNU37" s="414"/>
      <c r="TNV37" s="414"/>
      <c r="TNW37" s="414"/>
      <c r="TNX37" s="414"/>
      <c r="TNY37" s="414"/>
      <c r="TNZ37" s="414"/>
      <c r="TOA37" s="414"/>
      <c r="TOB37" s="414"/>
      <c r="TOC37" s="414"/>
      <c r="TOD37" s="414"/>
      <c r="TOE37" s="414"/>
      <c r="TOF37" s="414"/>
      <c r="TOG37" s="414"/>
      <c r="TOH37" s="414"/>
      <c r="TOI37" s="414"/>
      <c r="TOJ37" s="414"/>
      <c r="TOK37" s="414"/>
      <c r="TOL37" s="414"/>
      <c r="TOM37" s="414"/>
      <c r="TON37" s="414"/>
      <c r="TOO37" s="414"/>
      <c r="TOP37" s="414"/>
      <c r="TOQ37" s="414"/>
      <c r="TOR37" s="414"/>
      <c r="TOS37" s="414"/>
      <c r="TOT37" s="414"/>
      <c r="TOU37" s="414"/>
      <c r="TOV37" s="414"/>
      <c r="TOW37" s="414"/>
      <c r="TOX37" s="414"/>
      <c r="TOY37" s="414"/>
      <c r="TOZ37" s="414"/>
      <c r="TPA37" s="414"/>
      <c r="TPB37" s="414"/>
      <c r="TPC37" s="414"/>
      <c r="TPD37" s="414"/>
      <c r="TPE37" s="414"/>
      <c r="TPF37" s="414"/>
      <c r="TPG37" s="414"/>
      <c r="TPH37" s="414"/>
      <c r="TPI37" s="414"/>
      <c r="TPJ37" s="414"/>
      <c r="TPK37" s="414"/>
      <c r="TPL37" s="414"/>
      <c r="TPM37" s="414"/>
      <c r="TPN37" s="414"/>
      <c r="TPO37" s="414"/>
      <c r="TPP37" s="414"/>
      <c r="TPQ37" s="414"/>
      <c r="TPR37" s="414"/>
      <c r="TPS37" s="414"/>
      <c r="TPT37" s="414"/>
      <c r="TPU37" s="414"/>
      <c r="TPV37" s="414"/>
      <c r="TPW37" s="414"/>
      <c r="TPX37" s="414"/>
      <c r="TPY37" s="414"/>
      <c r="TPZ37" s="414"/>
      <c r="TQA37" s="414"/>
      <c r="TQB37" s="414"/>
      <c r="TQC37" s="414"/>
      <c r="TQD37" s="414"/>
      <c r="TQE37" s="414"/>
      <c r="TQF37" s="414"/>
      <c r="TQG37" s="414"/>
      <c r="TQH37" s="414"/>
      <c r="TQI37" s="414"/>
      <c r="TQJ37" s="414"/>
      <c r="TQK37" s="414"/>
      <c r="TQL37" s="414"/>
      <c r="TQM37" s="414"/>
      <c r="TQN37" s="414"/>
      <c r="TQO37" s="414"/>
      <c r="TQP37" s="414"/>
      <c r="TQQ37" s="414"/>
      <c r="TQR37" s="414"/>
      <c r="TQS37" s="414"/>
      <c r="TQT37" s="414"/>
      <c r="TQU37" s="414"/>
      <c r="TQV37" s="414"/>
      <c r="TQW37" s="414"/>
      <c r="TQX37" s="414"/>
      <c r="TQY37" s="414"/>
      <c r="TQZ37" s="414"/>
      <c r="TRA37" s="414"/>
      <c r="TRB37" s="414"/>
      <c r="TRC37" s="414"/>
      <c r="TRD37" s="414"/>
      <c r="TRE37" s="414"/>
      <c r="TRF37" s="414"/>
      <c r="TRG37" s="414"/>
      <c r="TRH37" s="414"/>
      <c r="TRI37" s="414"/>
      <c r="TRJ37" s="414"/>
      <c r="TRK37" s="414"/>
      <c r="TRL37" s="414"/>
      <c r="TRM37" s="414"/>
      <c r="TRN37" s="414"/>
      <c r="TRO37" s="414"/>
      <c r="TRP37" s="414"/>
      <c r="TRQ37" s="414"/>
      <c r="TRR37" s="414"/>
      <c r="TRS37" s="414"/>
      <c r="TRT37" s="414"/>
      <c r="TRU37" s="414"/>
      <c r="TRV37" s="414"/>
      <c r="TRW37" s="414"/>
      <c r="TRX37" s="414"/>
      <c r="TRY37" s="414"/>
      <c r="TRZ37" s="414"/>
      <c r="TSA37" s="414"/>
      <c r="TSB37" s="414"/>
      <c r="TSC37" s="414"/>
      <c r="TSD37" s="414"/>
      <c r="TSE37" s="414"/>
      <c r="TSF37" s="414"/>
      <c r="TSG37" s="414"/>
      <c r="TSH37" s="414"/>
      <c r="TSI37" s="414"/>
      <c r="TSJ37" s="414"/>
      <c r="TSK37" s="414"/>
      <c r="TSL37" s="414"/>
      <c r="TSM37" s="414"/>
      <c r="TSN37" s="414"/>
      <c r="TSO37" s="414"/>
      <c r="TSP37" s="414"/>
      <c r="TSQ37" s="414"/>
      <c r="TSR37" s="414"/>
      <c r="TSS37" s="414"/>
      <c r="TST37" s="414"/>
      <c r="TSU37" s="414"/>
      <c r="TSV37" s="414"/>
      <c r="TSW37" s="414"/>
      <c r="TSX37" s="414"/>
      <c r="TSY37" s="414"/>
      <c r="TSZ37" s="414"/>
      <c r="TTA37" s="414"/>
      <c r="TTB37" s="414"/>
      <c r="TTC37" s="414"/>
      <c r="TTD37" s="414"/>
      <c r="TTE37" s="414"/>
      <c r="TTF37" s="414"/>
      <c r="TTG37" s="414"/>
      <c r="TTH37" s="414"/>
      <c r="TTI37" s="414"/>
      <c r="TTJ37" s="414"/>
      <c r="TTK37" s="414"/>
      <c r="TTL37" s="414"/>
      <c r="TTM37" s="414"/>
      <c r="TTN37" s="414"/>
      <c r="TTO37" s="414"/>
      <c r="TTP37" s="414"/>
      <c r="TTQ37" s="414"/>
      <c r="TTR37" s="414"/>
      <c r="TTS37" s="414"/>
      <c r="TTT37" s="414"/>
      <c r="TTU37" s="414"/>
      <c r="TTV37" s="414"/>
      <c r="TTW37" s="414"/>
      <c r="TTX37" s="414"/>
      <c r="TTY37" s="414"/>
      <c r="TTZ37" s="414"/>
      <c r="TUA37" s="414"/>
      <c r="TUB37" s="414"/>
      <c r="TUC37" s="414"/>
      <c r="TUD37" s="414"/>
      <c r="TUE37" s="414"/>
      <c r="TUF37" s="414"/>
      <c r="TUG37" s="414"/>
      <c r="TUH37" s="414"/>
      <c r="TUI37" s="414"/>
      <c r="TUJ37" s="414"/>
      <c r="TUK37" s="414"/>
      <c r="TUL37" s="414"/>
      <c r="TUM37" s="414"/>
      <c r="TUN37" s="414"/>
      <c r="TUO37" s="414"/>
      <c r="TUP37" s="414"/>
      <c r="TUQ37" s="414"/>
      <c r="TUR37" s="414"/>
      <c r="TUS37" s="414"/>
      <c r="TUT37" s="414"/>
      <c r="TUU37" s="414"/>
      <c r="TUV37" s="414"/>
      <c r="TUW37" s="414"/>
      <c r="TUX37" s="414"/>
      <c r="TUY37" s="414"/>
      <c r="TUZ37" s="414"/>
      <c r="TVA37" s="414"/>
      <c r="TVB37" s="414"/>
      <c r="TVC37" s="414"/>
      <c r="TVD37" s="414"/>
      <c r="TVE37" s="414"/>
      <c r="TVF37" s="414"/>
      <c r="TVG37" s="414"/>
      <c r="TVH37" s="414"/>
      <c r="TVI37" s="414"/>
      <c r="TVJ37" s="414"/>
      <c r="TVK37" s="414"/>
      <c r="TVL37" s="414"/>
      <c r="TVM37" s="414"/>
      <c r="TVN37" s="414"/>
      <c r="TVO37" s="414"/>
      <c r="TVP37" s="414"/>
      <c r="TVQ37" s="414"/>
      <c r="TVR37" s="414"/>
      <c r="TVS37" s="414"/>
      <c r="TVT37" s="414"/>
      <c r="TVU37" s="414"/>
      <c r="TVV37" s="414"/>
      <c r="TVW37" s="414"/>
      <c r="TVX37" s="414"/>
      <c r="TVY37" s="414"/>
      <c r="TVZ37" s="414"/>
      <c r="TWA37" s="414"/>
      <c r="TWB37" s="414"/>
      <c r="TWC37" s="414"/>
      <c r="TWD37" s="414"/>
      <c r="TWE37" s="414"/>
      <c r="TWF37" s="414"/>
      <c r="TWG37" s="414"/>
      <c r="TWH37" s="414"/>
      <c r="TWI37" s="414"/>
      <c r="TWJ37" s="414"/>
      <c r="TWK37" s="414"/>
      <c r="TWL37" s="414"/>
      <c r="TWM37" s="414"/>
      <c r="TWN37" s="414"/>
      <c r="TWO37" s="414"/>
      <c r="TWP37" s="414"/>
      <c r="TWQ37" s="414"/>
      <c r="TWR37" s="414"/>
      <c r="TWS37" s="414"/>
      <c r="TWT37" s="414"/>
      <c r="TWU37" s="414"/>
      <c r="TWV37" s="414"/>
      <c r="TWW37" s="414"/>
      <c r="TWX37" s="414"/>
      <c r="TWY37" s="414"/>
      <c r="TWZ37" s="414"/>
      <c r="TXA37" s="414"/>
      <c r="TXB37" s="414"/>
      <c r="TXC37" s="414"/>
      <c r="TXD37" s="414"/>
      <c r="TXE37" s="414"/>
      <c r="TXF37" s="414"/>
      <c r="TXG37" s="414"/>
      <c r="TXH37" s="414"/>
      <c r="TXI37" s="414"/>
      <c r="TXJ37" s="414"/>
      <c r="TXK37" s="414"/>
      <c r="TXL37" s="414"/>
      <c r="TXM37" s="414"/>
      <c r="TXN37" s="414"/>
      <c r="TXO37" s="414"/>
      <c r="TXP37" s="414"/>
      <c r="TXQ37" s="414"/>
      <c r="TXR37" s="414"/>
      <c r="TXS37" s="414"/>
      <c r="TXT37" s="414"/>
      <c r="TXU37" s="414"/>
      <c r="TXV37" s="414"/>
      <c r="TXW37" s="414"/>
      <c r="TXX37" s="414"/>
      <c r="TXY37" s="414"/>
      <c r="TXZ37" s="414"/>
      <c r="TYA37" s="414"/>
      <c r="TYB37" s="414"/>
      <c r="TYC37" s="414"/>
      <c r="TYD37" s="414"/>
      <c r="TYE37" s="414"/>
      <c r="TYF37" s="414"/>
      <c r="TYG37" s="414"/>
      <c r="TYH37" s="414"/>
      <c r="TYI37" s="414"/>
      <c r="TYJ37" s="414"/>
      <c r="TYK37" s="414"/>
      <c r="TYL37" s="414"/>
      <c r="TYM37" s="414"/>
      <c r="TYN37" s="414"/>
      <c r="TYO37" s="414"/>
      <c r="TYP37" s="414"/>
      <c r="TYQ37" s="414"/>
      <c r="TYR37" s="414"/>
      <c r="TYS37" s="414"/>
      <c r="TYT37" s="414"/>
      <c r="TYU37" s="414"/>
      <c r="TYV37" s="414"/>
      <c r="TYW37" s="414"/>
      <c r="TYX37" s="414"/>
      <c r="TYY37" s="414"/>
      <c r="TYZ37" s="414"/>
      <c r="TZA37" s="414"/>
      <c r="TZB37" s="414"/>
      <c r="TZC37" s="414"/>
      <c r="TZD37" s="414"/>
      <c r="TZE37" s="414"/>
      <c r="TZF37" s="414"/>
      <c r="TZG37" s="414"/>
      <c r="TZH37" s="414"/>
      <c r="TZI37" s="414"/>
      <c r="TZJ37" s="414"/>
      <c r="TZK37" s="414"/>
      <c r="TZL37" s="414"/>
      <c r="TZM37" s="414"/>
      <c r="TZN37" s="414"/>
      <c r="TZO37" s="414"/>
      <c r="TZP37" s="414"/>
      <c r="TZQ37" s="414"/>
      <c r="TZR37" s="414"/>
      <c r="TZS37" s="414"/>
      <c r="TZT37" s="414"/>
      <c r="TZU37" s="414"/>
      <c r="TZV37" s="414"/>
      <c r="TZW37" s="414"/>
      <c r="TZX37" s="414"/>
      <c r="TZY37" s="414"/>
      <c r="TZZ37" s="414"/>
      <c r="UAA37" s="414"/>
      <c r="UAB37" s="414"/>
      <c r="UAC37" s="414"/>
      <c r="UAD37" s="414"/>
      <c r="UAE37" s="414"/>
      <c r="UAF37" s="414"/>
      <c r="UAG37" s="414"/>
      <c r="UAH37" s="414"/>
      <c r="UAI37" s="414"/>
      <c r="UAJ37" s="414"/>
      <c r="UAK37" s="414"/>
      <c r="UAL37" s="414"/>
      <c r="UAM37" s="414"/>
      <c r="UAN37" s="414"/>
      <c r="UAO37" s="414"/>
      <c r="UAP37" s="414"/>
      <c r="UAQ37" s="414"/>
      <c r="UAR37" s="414"/>
      <c r="UAS37" s="414"/>
      <c r="UAT37" s="414"/>
      <c r="UAU37" s="414"/>
      <c r="UAV37" s="414"/>
      <c r="UAW37" s="414"/>
      <c r="UAX37" s="414"/>
      <c r="UAY37" s="414"/>
      <c r="UAZ37" s="414"/>
      <c r="UBA37" s="414"/>
      <c r="UBB37" s="414"/>
      <c r="UBC37" s="414"/>
      <c r="UBD37" s="414"/>
      <c r="UBE37" s="414"/>
      <c r="UBF37" s="414"/>
      <c r="UBG37" s="414"/>
      <c r="UBH37" s="414"/>
      <c r="UBI37" s="414"/>
      <c r="UBJ37" s="414"/>
      <c r="UBK37" s="414"/>
      <c r="UBL37" s="414"/>
      <c r="UBM37" s="414"/>
      <c r="UBN37" s="414"/>
      <c r="UBO37" s="414"/>
      <c r="UBP37" s="414"/>
      <c r="UBQ37" s="414"/>
      <c r="UBR37" s="414"/>
      <c r="UBS37" s="414"/>
      <c r="UBT37" s="414"/>
      <c r="UBU37" s="414"/>
      <c r="UBV37" s="414"/>
      <c r="UBW37" s="414"/>
      <c r="UBX37" s="414"/>
      <c r="UBY37" s="414"/>
      <c r="UBZ37" s="414"/>
      <c r="UCA37" s="414"/>
      <c r="UCB37" s="414"/>
      <c r="UCC37" s="414"/>
      <c r="UCD37" s="414"/>
      <c r="UCE37" s="414"/>
      <c r="UCF37" s="414"/>
      <c r="UCG37" s="414"/>
      <c r="UCH37" s="414"/>
      <c r="UCI37" s="414"/>
      <c r="UCJ37" s="414"/>
      <c r="UCK37" s="414"/>
      <c r="UCL37" s="414"/>
      <c r="UCM37" s="414"/>
      <c r="UCN37" s="414"/>
      <c r="UCO37" s="414"/>
      <c r="UCP37" s="414"/>
      <c r="UCQ37" s="414"/>
      <c r="UCR37" s="414"/>
      <c r="UCS37" s="414"/>
      <c r="UCT37" s="414"/>
      <c r="UCU37" s="414"/>
      <c r="UCV37" s="414"/>
      <c r="UCW37" s="414"/>
      <c r="UCX37" s="414"/>
      <c r="UCY37" s="414"/>
      <c r="UCZ37" s="414"/>
      <c r="UDA37" s="414"/>
      <c r="UDB37" s="414"/>
      <c r="UDC37" s="414"/>
      <c r="UDD37" s="414"/>
      <c r="UDE37" s="414"/>
      <c r="UDF37" s="414"/>
      <c r="UDG37" s="414"/>
      <c r="UDH37" s="414"/>
      <c r="UDI37" s="414"/>
      <c r="UDJ37" s="414"/>
      <c r="UDK37" s="414"/>
      <c r="UDL37" s="414"/>
      <c r="UDM37" s="414"/>
      <c r="UDN37" s="414"/>
      <c r="UDO37" s="414"/>
      <c r="UDP37" s="414"/>
      <c r="UDQ37" s="414"/>
      <c r="UDR37" s="414"/>
      <c r="UDS37" s="414"/>
      <c r="UDT37" s="414"/>
      <c r="UDU37" s="414"/>
      <c r="UDV37" s="414"/>
      <c r="UDW37" s="414"/>
      <c r="UDX37" s="414"/>
      <c r="UDY37" s="414"/>
      <c r="UDZ37" s="414"/>
      <c r="UEA37" s="414"/>
      <c r="UEB37" s="414"/>
      <c r="UEC37" s="414"/>
      <c r="UED37" s="414"/>
      <c r="UEE37" s="414"/>
      <c r="UEF37" s="414"/>
      <c r="UEG37" s="414"/>
      <c r="UEH37" s="414"/>
      <c r="UEI37" s="414"/>
      <c r="UEJ37" s="414"/>
      <c r="UEK37" s="414"/>
      <c r="UEL37" s="414"/>
      <c r="UEM37" s="414"/>
      <c r="UEN37" s="414"/>
      <c r="UEO37" s="414"/>
      <c r="UEP37" s="414"/>
      <c r="UEQ37" s="414"/>
      <c r="UER37" s="414"/>
      <c r="UES37" s="414"/>
      <c r="UET37" s="414"/>
      <c r="UEU37" s="414"/>
      <c r="UEV37" s="414"/>
      <c r="UEW37" s="414"/>
      <c r="UEX37" s="414"/>
      <c r="UEY37" s="414"/>
      <c r="UEZ37" s="414"/>
      <c r="UFA37" s="414"/>
      <c r="UFB37" s="414"/>
      <c r="UFC37" s="414"/>
      <c r="UFD37" s="414"/>
      <c r="UFE37" s="414"/>
      <c r="UFF37" s="414"/>
      <c r="UFG37" s="414"/>
      <c r="UFH37" s="414"/>
      <c r="UFI37" s="414"/>
      <c r="UFJ37" s="414"/>
      <c r="UFK37" s="414"/>
      <c r="UFL37" s="414"/>
      <c r="UFM37" s="414"/>
      <c r="UFN37" s="414"/>
      <c r="UFO37" s="414"/>
      <c r="UFP37" s="414"/>
      <c r="UFQ37" s="414"/>
      <c r="UFR37" s="414"/>
      <c r="UFS37" s="414"/>
      <c r="UFT37" s="414"/>
      <c r="UFU37" s="414"/>
      <c r="UFV37" s="414"/>
      <c r="UFW37" s="414"/>
      <c r="UFX37" s="414"/>
      <c r="UFY37" s="414"/>
      <c r="UFZ37" s="414"/>
      <c r="UGA37" s="414"/>
      <c r="UGB37" s="414"/>
      <c r="UGC37" s="414"/>
      <c r="UGD37" s="414"/>
      <c r="UGE37" s="414"/>
      <c r="UGF37" s="414"/>
      <c r="UGG37" s="414"/>
      <c r="UGH37" s="414"/>
      <c r="UGI37" s="414"/>
      <c r="UGJ37" s="414"/>
      <c r="UGK37" s="414"/>
      <c r="UGL37" s="414"/>
      <c r="UGM37" s="414"/>
      <c r="UGN37" s="414"/>
      <c r="UGO37" s="414"/>
      <c r="UGP37" s="414"/>
      <c r="UGQ37" s="414"/>
      <c r="UGR37" s="414"/>
      <c r="UGS37" s="414"/>
      <c r="UGT37" s="414"/>
      <c r="UGU37" s="414"/>
      <c r="UGV37" s="414"/>
      <c r="UGW37" s="414"/>
      <c r="UGX37" s="414"/>
      <c r="UGY37" s="414"/>
      <c r="UGZ37" s="414"/>
      <c r="UHA37" s="414"/>
      <c r="UHB37" s="414"/>
      <c r="UHC37" s="414"/>
      <c r="UHD37" s="414"/>
      <c r="UHE37" s="414"/>
      <c r="UHF37" s="414"/>
      <c r="UHG37" s="414"/>
      <c r="UHH37" s="414"/>
      <c r="UHI37" s="414"/>
      <c r="UHJ37" s="414"/>
      <c r="UHK37" s="414"/>
      <c r="UHL37" s="414"/>
      <c r="UHM37" s="414"/>
      <c r="UHN37" s="414"/>
      <c r="UHO37" s="414"/>
      <c r="UHP37" s="414"/>
      <c r="UHQ37" s="414"/>
      <c r="UHR37" s="414"/>
      <c r="UHS37" s="414"/>
      <c r="UHT37" s="414"/>
      <c r="UHU37" s="414"/>
      <c r="UHV37" s="414"/>
      <c r="UHW37" s="414"/>
      <c r="UHX37" s="414"/>
      <c r="UHY37" s="414"/>
      <c r="UHZ37" s="414"/>
      <c r="UIA37" s="414"/>
      <c r="UIB37" s="414"/>
      <c r="UIC37" s="414"/>
      <c r="UID37" s="414"/>
      <c r="UIE37" s="414"/>
      <c r="UIF37" s="414"/>
      <c r="UIG37" s="414"/>
      <c r="UIH37" s="414"/>
      <c r="UII37" s="414"/>
      <c r="UIJ37" s="414"/>
      <c r="UIK37" s="414"/>
      <c r="UIL37" s="414"/>
      <c r="UIM37" s="414"/>
      <c r="UIN37" s="414"/>
      <c r="UIO37" s="414"/>
      <c r="UIP37" s="414"/>
      <c r="UIQ37" s="414"/>
      <c r="UIR37" s="414"/>
      <c r="UIS37" s="414"/>
      <c r="UIT37" s="414"/>
      <c r="UIU37" s="414"/>
      <c r="UIV37" s="414"/>
      <c r="UIW37" s="414"/>
      <c r="UIX37" s="414"/>
      <c r="UIY37" s="414"/>
      <c r="UIZ37" s="414"/>
      <c r="UJA37" s="414"/>
      <c r="UJB37" s="414"/>
      <c r="UJC37" s="414"/>
      <c r="UJD37" s="414"/>
      <c r="UJE37" s="414"/>
      <c r="UJF37" s="414"/>
      <c r="UJG37" s="414"/>
      <c r="UJH37" s="414"/>
      <c r="UJI37" s="414"/>
      <c r="UJJ37" s="414"/>
      <c r="UJK37" s="414"/>
      <c r="UJL37" s="414"/>
      <c r="UJM37" s="414"/>
      <c r="UJN37" s="414"/>
      <c r="UJO37" s="414"/>
      <c r="UJP37" s="414"/>
      <c r="UJQ37" s="414"/>
      <c r="UJR37" s="414"/>
      <c r="UJS37" s="414"/>
      <c r="UJT37" s="414"/>
      <c r="UJU37" s="414"/>
      <c r="UJV37" s="414"/>
      <c r="UJW37" s="414"/>
      <c r="UJX37" s="414"/>
      <c r="UJY37" s="414"/>
      <c r="UJZ37" s="414"/>
      <c r="UKA37" s="414"/>
      <c r="UKB37" s="414"/>
      <c r="UKC37" s="414"/>
      <c r="UKD37" s="414"/>
      <c r="UKE37" s="414"/>
      <c r="UKF37" s="414"/>
      <c r="UKG37" s="414"/>
      <c r="UKH37" s="414"/>
      <c r="UKI37" s="414"/>
      <c r="UKJ37" s="414"/>
      <c r="UKK37" s="414"/>
      <c r="UKL37" s="414"/>
      <c r="UKM37" s="414"/>
      <c r="UKN37" s="414"/>
      <c r="UKO37" s="414"/>
      <c r="UKP37" s="414"/>
      <c r="UKQ37" s="414"/>
      <c r="UKR37" s="414"/>
      <c r="UKS37" s="414"/>
      <c r="UKT37" s="414"/>
      <c r="UKU37" s="414"/>
      <c r="UKV37" s="414"/>
      <c r="UKW37" s="414"/>
      <c r="UKX37" s="414"/>
      <c r="UKY37" s="414"/>
      <c r="UKZ37" s="414"/>
      <c r="ULA37" s="414"/>
      <c r="ULB37" s="414"/>
      <c r="ULC37" s="414"/>
      <c r="ULD37" s="414"/>
      <c r="ULE37" s="414"/>
      <c r="ULF37" s="414"/>
      <c r="ULG37" s="414"/>
      <c r="ULH37" s="414"/>
      <c r="ULI37" s="414"/>
      <c r="ULJ37" s="414"/>
      <c r="ULK37" s="414"/>
      <c r="ULL37" s="414"/>
      <c r="ULM37" s="414"/>
      <c r="ULN37" s="414"/>
      <c r="ULO37" s="414"/>
      <c r="ULP37" s="414"/>
      <c r="ULQ37" s="414"/>
      <c r="ULR37" s="414"/>
      <c r="ULS37" s="414"/>
      <c r="ULT37" s="414"/>
      <c r="ULU37" s="414"/>
      <c r="ULV37" s="414"/>
      <c r="ULW37" s="414"/>
      <c r="ULX37" s="414"/>
      <c r="ULY37" s="414"/>
      <c r="ULZ37" s="414"/>
      <c r="UMA37" s="414"/>
      <c r="UMB37" s="414"/>
      <c r="UMC37" s="414"/>
      <c r="UMD37" s="414"/>
      <c r="UME37" s="414"/>
      <c r="UMF37" s="414"/>
      <c r="UMG37" s="414"/>
      <c r="UMH37" s="414"/>
      <c r="UMI37" s="414"/>
      <c r="UMJ37" s="414"/>
      <c r="UMK37" s="414"/>
      <c r="UML37" s="414"/>
      <c r="UMM37" s="414"/>
      <c r="UMN37" s="414"/>
      <c r="UMO37" s="414"/>
      <c r="UMP37" s="414"/>
      <c r="UMQ37" s="414"/>
      <c r="UMR37" s="414"/>
      <c r="UMS37" s="414"/>
      <c r="UMT37" s="414"/>
      <c r="UMU37" s="414"/>
      <c r="UMV37" s="414"/>
      <c r="UMW37" s="414"/>
      <c r="UMX37" s="414"/>
      <c r="UMY37" s="414"/>
      <c r="UMZ37" s="414"/>
      <c r="UNA37" s="414"/>
      <c r="UNB37" s="414"/>
      <c r="UNC37" s="414"/>
      <c r="UND37" s="414"/>
      <c r="UNE37" s="414"/>
      <c r="UNF37" s="414"/>
      <c r="UNG37" s="414"/>
      <c r="UNH37" s="414"/>
      <c r="UNI37" s="414"/>
      <c r="UNJ37" s="414"/>
      <c r="UNK37" s="414"/>
      <c r="UNL37" s="414"/>
      <c r="UNM37" s="414"/>
      <c r="UNN37" s="414"/>
      <c r="UNO37" s="414"/>
      <c r="UNP37" s="414"/>
      <c r="UNQ37" s="414"/>
      <c r="UNR37" s="414"/>
      <c r="UNS37" s="414"/>
      <c r="UNT37" s="414"/>
      <c r="UNU37" s="414"/>
      <c r="UNV37" s="414"/>
      <c r="UNW37" s="414"/>
      <c r="UNX37" s="414"/>
      <c r="UNY37" s="414"/>
      <c r="UNZ37" s="414"/>
      <c r="UOA37" s="414"/>
      <c r="UOB37" s="414"/>
      <c r="UOC37" s="414"/>
      <c r="UOD37" s="414"/>
      <c r="UOE37" s="414"/>
      <c r="UOF37" s="414"/>
      <c r="UOG37" s="414"/>
      <c r="UOH37" s="414"/>
      <c r="UOI37" s="414"/>
      <c r="UOJ37" s="414"/>
      <c r="UOK37" s="414"/>
      <c r="UOL37" s="414"/>
      <c r="UOM37" s="414"/>
      <c r="UON37" s="414"/>
      <c r="UOO37" s="414"/>
      <c r="UOP37" s="414"/>
      <c r="UOQ37" s="414"/>
      <c r="UOR37" s="414"/>
      <c r="UOS37" s="414"/>
      <c r="UOT37" s="414"/>
      <c r="UOU37" s="414"/>
      <c r="UOV37" s="414"/>
      <c r="UOW37" s="414"/>
      <c r="UOX37" s="414"/>
      <c r="UOY37" s="414"/>
      <c r="UOZ37" s="414"/>
      <c r="UPA37" s="414"/>
      <c r="UPB37" s="414"/>
      <c r="UPC37" s="414"/>
      <c r="UPD37" s="414"/>
      <c r="UPE37" s="414"/>
      <c r="UPF37" s="414"/>
      <c r="UPG37" s="414"/>
      <c r="UPH37" s="414"/>
      <c r="UPI37" s="414"/>
      <c r="UPJ37" s="414"/>
      <c r="UPK37" s="414"/>
      <c r="UPL37" s="414"/>
      <c r="UPM37" s="414"/>
      <c r="UPN37" s="414"/>
      <c r="UPO37" s="414"/>
      <c r="UPP37" s="414"/>
      <c r="UPQ37" s="414"/>
      <c r="UPR37" s="414"/>
      <c r="UPS37" s="414"/>
      <c r="UPT37" s="414"/>
      <c r="UPU37" s="414"/>
      <c r="UPV37" s="414"/>
      <c r="UPW37" s="414"/>
      <c r="UPX37" s="414"/>
      <c r="UPY37" s="414"/>
      <c r="UPZ37" s="414"/>
      <c r="UQA37" s="414"/>
      <c r="UQB37" s="414"/>
      <c r="UQC37" s="414"/>
      <c r="UQD37" s="414"/>
      <c r="UQE37" s="414"/>
      <c r="UQF37" s="414"/>
      <c r="UQG37" s="414"/>
      <c r="UQH37" s="414"/>
      <c r="UQI37" s="414"/>
      <c r="UQJ37" s="414"/>
      <c r="UQK37" s="414"/>
      <c r="UQL37" s="414"/>
      <c r="UQM37" s="414"/>
      <c r="UQN37" s="414"/>
      <c r="UQO37" s="414"/>
      <c r="UQP37" s="414"/>
      <c r="UQQ37" s="414"/>
      <c r="UQR37" s="414"/>
      <c r="UQS37" s="414"/>
      <c r="UQT37" s="414"/>
      <c r="UQU37" s="414"/>
      <c r="UQV37" s="414"/>
      <c r="UQW37" s="414"/>
      <c r="UQX37" s="414"/>
      <c r="UQY37" s="414"/>
      <c r="UQZ37" s="414"/>
      <c r="URA37" s="414"/>
      <c r="URB37" s="414"/>
      <c r="URC37" s="414"/>
      <c r="URD37" s="414"/>
      <c r="URE37" s="414"/>
      <c r="URF37" s="414"/>
      <c r="URG37" s="414"/>
      <c r="URH37" s="414"/>
      <c r="URI37" s="414"/>
      <c r="URJ37" s="414"/>
      <c r="URK37" s="414"/>
      <c r="URL37" s="414"/>
      <c r="URM37" s="414"/>
      <c r="URN37" s="414"/>
      <c r="URO37" s="414"/>
      <c r="URP37" s="414"/>
      <c r="URQ37" s="414"/>
      <c r="URR37" s="414"/>
      <c r="URS37" s="414"/>
      <c r="URT37" s="414"/>
      <c r="URU37" s="414"/>
      <c r="URV37" s="414"/>
      <c r="URW37" s="414"/>
      <c r="URX37" s="414"/>
      <c r="URY37" s="414"/>
      <c r="URZ37" s="414"/>
      <c r="USA37" s="414"/>
      <c r="USB37" s="414"/>
      <c r="USC37" s="414"/>
      <c r="USD37" s="414"/>
      <c r="USE37" s="414"/>
      <c r="USF37" s="414"/>
      <c r="USG37" s="414"/>
      <c r="USH37" s="414"/>
      <c r="USI37" s="414"/>
      <c r="USJ37" s="414"/>
      <c r="USK37" s="414"/>
      <c r="USL37" s="414"/>
      <c r="USM37" s="414"/>
      <c r="USN37" s="414"/>
      <c r="USO37" s="414"/>
      <c r="USP37" s="414"/>
      <c r="USQ37" s="414"/>
      <c r="USR37" s="414"/>
      <c r="USS37" s="414"/>
      <c r="UST37" s="414"/>
      <c r="USU37" s="414"/>
      <c r="USV37" s="414"/>
      <c r="USW37" s="414"/>
      <c r="USX37" s="414"/>
      <c r="USY37" s="414"/>
      <c r="USZ37" s="414"/>
      <c r="UTA37" s="414"/>
      <c r="UTB37" s="414"/>
      <c r="UTC37" s="414"/>
      <c r="UTD37" s="414"/>
      <c r="UTE37" s="414"/>
      <c r="UTF37" s="414"/>
      <c r="UTG37" s="414"/>
      <c r="UTH37" s="414"/>
      <c r="UTI37" s="414"/>
      <c r="UTJ37" s="414"/>
      <c r="UTK37" s="414"/>
      <c r="UTL37" s="414"/>
      <c r="UTM37" s="414"/>
      <c r="UTN37" s="414"/>
      <c r="UTO37" s="414"/>
      <c r="UTP37" s="414"/>
      <c r="UTQ37" s="414"/>
      <c r="UTR37" s="414"/>
      <c r="UTS37" s="414"/>
      <c r="UTT37" s="414"/>
      <c r="UTU37" s="414"/>
      <c r="UTV37" s="414"/>
      <c r="UTW37" s="414"/>
      <c r="UTX37" s="414"/>
      <c r="UTY37" s="414"/>
      <c r="UTZ37" s="414"/>
      <c r="UUA37" s="414"/>
      <c r="UUB37" s="414"/>
      <c r="UUC37" s="414"/>
      <c r="UUD37" s="414"/>
      <c r="UUE37" s="414"/>
      <c r="UUF37" s="414"/>
      <c r="UUG37" s="414"/>
      <c r="UUH37" s="414"/>
      <c r="UUI37" s="414"/>
      <c r="UUJ37" s="414"/>
      <c r="UUK37" s="414"/>
      <c r="UUL37" s="414"/>
      <c r="UUM37" s="414"/>
      <c r="UUN37" s="414"/>
      <c r="UUO37" s="414"/>
      <c r="UUP37" s="414"/>
      <c r="UUQ37" s="414"/>
      <c r="UUR37" s="414"/>
      <c r="UUS37" s="414"/>
      <c r="UUT37" s="414"/>
      <c r="UUU37" s="414"/>
      <c r="UUV37" s="414"/>
      <c r="UUW37" s="414"/>
      <c r="UUX37" s="414"/>
      <c r="UUY37" s="414"/>
      <c r="UUZ37" s="414"/>
      <c r="UVA37" s="414"/>
      <c r="UVB37" s="414"/>
      <c r="UVC37" s="414"/>
      <c r="UVD37" s="414"/>
      <c r="UVE37" s="414"/>
      <c r="UVF37" s="414"/>
      <c r="UVG37" s="414"/>
      <c r="UVH37" s="414"/>
      <c r="UVI37" s="414"/>
      <c r="UVJ37" s="414"/>
      <c r="UVK37" s="414"/>
      <c r="UVL37" s="414"/>
      <c r="UVM37" s="414"/>
      <c r="UVN37" s="414"/>
      <c r="UVO37" s="414"/>
      <c r="UVP37" s="414"/>
      <c r="UVQ37" s="414"/>
      <c r="UVR37" s="414"/>
      <c r="UVS37" s="414"/>
      <c r="UVT37" s="414"/>
      <c r="UVU37" s="414"/>
      <c r="UVV37" s="414"/>
      <c r="UVW37" s="414"/>
      <c r="UVX37" s="414"/>
      <c r="UVY37" s="414"/>
      <c r="UVZ37" s="414"/>
      <c r="UWA37" s="414"/>
      <c r="UWB37" s="414"/>
      <c r="UWC37" s="414"/>
      <c r="UWD37" s="414"/>
      <c r="UWE37" s="414"/>
      <c r="UWF37" s="414"/>
      <c r="UWG37" s="414"/>
      <c r="UWH37" s="414"/>
      <c r="UWI37" s="414"/>
      <c r="UWJ37" s="414"/>
      <c r="UWK37" s="414"/>
      <c r="UWL37" s="414"/>
      <c r="UWM37" s="414"/>
      <c r="UWN37" s="414"/>
      <c r="UWO37" s="414"/>
      <c r="UWP37" s="414"/>
      <c r="UWQ37" s="414"/>
      <c r="UWR37" s="414"/>
      <c r="UWS37" s="414"/>
      <c r="UWT37" s="414"/>
      <c r="UWU37" s="414"/>
      <c r="UWV37" s="414"/>
      <c r="UWW37" s="414"/>
      <c r="UWX37" s="414"/>
      <c r="UWY37" s="414"/>
      <c r="UWZ37" s="414"/>
      <c r="UXA37" s="414"/>
      <c r="UXB37" s="414"/>
      <c r="UXC37" s="414"/>
      <c r="UXD37" s="414"/>
      <c r="UXE37" s="414"/>
      <c r="UXF37" s="414"/>
      <c r="UXG37" s="414"/>
      <c r="UXH37" s="414"/>
      <c r="UXI37" s="414"/>
      <c r="UXJ37" s="414"/>
      <c r="UXK37" s="414"/>
      <c r="UXL37" s="414"/>
      <c r="UXM37" s="414"/>
      <c r="UXN37" s="414"/>
      <c r="UXO37" s="414"/>
      <c r="UXP37" s="414"/>
      <c r="UXQ37" s="414"/>
      <c r="UXR37" s="414"/>
      <c r="UXS37" s="414"/>
      <c r="UXT37" s="414"/>
      <c r="UXU37" s="414"/>
      <c r="UXV37" s="414"/>
      <c r="UXW37" s="414"/>
      <c r="UXX37" s="414"/>
      <c r="UXY37" s="414"/>
      <c r="UXZ37" s="414"/>
      <c r="UYA37" s="414"/>
      <c r="UYB37" s="414"/>
      <c r="UYC37" s="414"/>
      <c r="UYD37" s="414"/>
      <c r="UYE37" s="414"/>
      <c r="UYF37" s="414"/>
      <c r="UYG37" s="414"/>
      <c r="UYH37" s="414"/>
      <c r="UYI37" s="414"/>
      <c r="UYJ37" s="414"/>
      <c r="UYK37" s="414"/>
      <c r="UYL37" s="414"/>
      <c r="UYM37" s="414"/>
      <c r="UYN37" s="414"/>
      <c r="UYO37" s="414"/>
      <c r="UYP37" s="414"/>
      <c r="UYQ37" s="414"/>
      <c r="UYR37" s="414"/>
      <c r="UYS37" s="414"/>
      <c r="UYT37" s="414"/>
      <c r="UYU37" s="414"/>
      <c r="UYV37" s="414"/>
      <c r="UYW37" s="414"/>
      <c r="UYX37" s="414"/>
      <c r="UYY37" s="414"/>
      <c r="UYZ37" s="414"/>
      <c r="UZA37" s="414"/>
      <c r="UZB37" s="414"/>
      <c r="UZC37" s="414"/>
      <c r="UZD37" s="414"/>
      <c r="UZE37" s="414"/>
      <c r="UZF37" s="414"/>
      <c r="UZG37" s="414"/>
      <c r="UZH37" s="414"/>
      <c r="UZI37" s="414"/>
      <c r="UZJ37" s="414"/>
      <c r="UZK37" s="414"/>
      <c r="UZL37" s="414"/>
      <c r="UZM37" s="414"/>
      <c r="UZN37" s="414"/>
      <c r="UZO37" s="414"/>
      <c r="UZP37" s="414"/>
      <c r="UZQ37" s="414"/>
      <c r="UZR37" s="414"/>
      <c r="UZS37" s="414"/>
      <c r="UZT37" s="414"/>
      <c r="UZU37" s="414"/>
      <c r="UZV37" s="414"/>
      <c r="UZW37" s="414"/>
      <c r="UZX37" s="414"/>
      <c r="UZY37" s="414"/>
      <c r="UZZ37" s="414"/>
      <c r="VAA37" s="414"/>
      <c r="VAB37" s="414"/>
      <c r="VAC37" s="414"/>
      <c r="VAD37" s="414"/>
      <c r="VAE37" s="414"/>
      <c r="VAF37" s="414"/>
      <c r="VAG37" s="414"/>
      <c r="VAH37" s="414"/>
      <c r="VAI37" s="414"/>
      <c r="VAJ37" s="414"/>
      <c r="VAK37" s="414"/>
      <c r="VAL37" s="414"/>
      <c r="VAM37" s="414"/>
      <c r="VAN37" s="414"/>
      <c r="VAO37" s="414"/>
      <c r="VAP37" s="414"/>
      <c r="VAQ37" s="414"/>
      <c r="VAR37" s="414"/>
      <c r="VAS37" s="414"/>
      <c r="VAT37" s="414"/>
      <c r="VAU37" s="414"/>
      <c r="VAV37" s="414"/>
      <c r="VAW37" s="414"/>
      <c r="VAX37" s="414"/>
      <c r="VAY37" s="414"/>
      <c r="VAZ37" s="414"/>
      <c r="VBA37" s="414"/>
      <c r="VBB37" s="414"/>
      <c r="VBC37" s="414"/>
      <c r="VBD37" s="414"/>
      <c r="VBE37" s="414"/>
      <c r="VBF37" s="414"/>
      <c r="VBG37" s="414"/>
      <c r="VBH37" s="414"/>
      <c r="VBI37" s="414"/>
      <c r="VBJ37" s="414"/>
      <c r="VBK37" s="414"/>
      <c r="VBL37" s="414"/>
      <c r="VBM37" s="414"/>
      <c r="VBN37" s="414"/>
      <c r="VBO37" s="414"/>
      <c r="VBP37" s="414"/>
      <c r="VBQ37" s="414"/>
      <c r="VBR37" s="414"/>
      <c r="VBS37" s="414"/>
      <c r="VBT37" s="414"/>
      <c r="VBU37" s="414"/>
      <c r="VBV37" s="414"/>
      <c r="VBW37" s="414"/>
      <c r="VBX37" s="414"/>
      <c r="VBY37" s="414"/>
      <c r="VBZ37" s="414"/>
      <c r="VCA37" s="414"/>
      <c r="VCB37" s="414"/>
      <c r="VCC37" s="414"/>
      <c r="VCD37" s="414"/>
      <c r="VCE37" s="414"/>
      <c r="VCF37" s="414"/>
      <c r="VCG37" s="414"/>
      <c r="VCH37" s="414"/>
      <c r="VCI37" s="414"/>
      <c r="VCJ37" s="414"/>
      <c r="VCK37" s="414"/>
      <c r="VCL37" s="414"/>
      <c r="VCM37" s="414"/>
      <c r="VCN37" s="414"/>
      <c r="VCO37" s="414"/>
      <c r="VCP37" s="414"/>
      <c r="VCQ37" s="414"/>
      <c r="VCR37" s="414"/>
      <c r="VCS37" s="414"/>
      <c r="VCT37" s="414"/>
      <c r="VCU37" s="414"/>
      <c r="VCV37" s="414"/>
      <c r="VCW37" s="414"/>
      <c r="VCX37" s="414"/>
      <c r="VCY37" s="414"/>
      <c r="VCZ37" s="414"/>
      <c r="VDA37" s="414"/>
      <c r="VDB37" s="414"/>
      <c r="VDC37" s="414"/>
      <c r="VDD37" s="414"/>
      <c r="VDE37" s="414"/>
      <c r="VDF37" s="414"/>
      <c r="VDG37" s="414"/>
      <c r="VDH37" s="414"/>
      <c r="VDI37" s="414"/>
      <c r="VDJ37" s="414"/>
      <c r="VDK37" s="414"/>
      <c r="VDL37" s="414"/>
      <c r="VDM37" s="414"/>
      <c r="VDN37" s="414"/>
      <c r="VDO37" s="414"/>
      <c r="VDP37" s="414"/>
      <c r="VDQ37" s="414"/>
      <c r="VDR37" s="414"/>
      <c r="VDS37" s="414"/>
      <c r="VDT37" s="414"/>
      <c r="VDU37" s="414"/>
      <c r="VDV37" s="414"/>
      <c r="VDW37" s="414"/>
      <c r="VDX37" s="414"/>
      <c r="VDY37" s="414"/>
      <c r="VDZ37" s="414"/>
      <c r="VEA37" s="414"/>
      <c r="VEB37" s="414"/>
      <c r="VEC37" s="414"/>
      <c r="VED37" s="414"/>
      <c r="VEE37" s="414"/>
      <c r="VEF37" s="414"/>
      <c r="VEG37" s="414"/>
      <c r="VEH37" s="414"/>
      <c r="VEI37" s="414"/>
      <c r="VEJ37" s="414"/>
      <c r="VEK37" s="414"/>
      <c r="VEL37" s="414"/>
      <c r="VEM37" s="414"/>
      <c r="VEN37" s="414"/>
      <c r="VEO37" s="414"/>
      <c r="VEP37" s="414"/>
      <c r="VEQ37" s="414"/>
      <c r="VER37" s="414"/>
      <c r="VES37" s="414"/>
      <c r="VET37" s="414"/>
      <c r="VEU37" s="414"/>
      <c r="VEV37" s="414"/>
      <c r="VEW37" s="414"/>
      <c r="VEX37" s="414"/>
      <c r="VEY37" s="414"/>
      <c r="VEZ37" s="414"/>
      <c r="VFA37" s="414"/>
      <c r="VFB37" s="414"/>
      <c r="VFC37" s="414"/>
      <c r="VFD37" s="414"/>
      <c r="VFE37" s="414"/>
      <c r="VFF37" s="414"/>
      <c r="VFG37" s="414"/>
      <c r="VFH37" s="414"/>
      <c r="VFI37" s="414"/>
      <c r="VFJ37" s="414"/>
      <c r="VFK37" s="414"/>
      <c r="VFL37" s="414"/>
      <c r="VFM37" s="414"/>
      <c r="VFN37" s="414"/>
      <c r="VFO37" s="414"/>
      <c r="VFP37" s="414"/>
      <c r="VFQ37" s="414"/>
      <c r="VFR37" s="414"/>
      <c r="VFS37" s="414"/>
      <c r="VFT37" s="414"/>
      <c r="VFU37" s="414"/>
      <c r="VFV37" s="414"/>
      <c r="VFW37" s="414"/>
      <c r="VFX37" s="414"/>
      <c r="VFY37" s="414"/>
      <c r="VFZ37" s="414"/>
      <c r="VGA37" s="414"/>
      <c r="VGB37" s="414"/>
      <c r="VGC37" s="414"/>
      <c r="VGD37" s="414"/>
      <c r="VGE37" s="414"/>
      <c r="VGF37" s="414"/>
      <c r="VGG37" s="414"/>
      <c r="VGH37" s="414"/>
      <c r="VGI37" s="414"/>
      <c r="VGJ37" s="414"/>
      <c r="VGK37" s="414"/>
      <c r="VGL37" s="414"/>
      <c r="VGM37" s="414"/>
      <c r="VGN37" s="414"/>
      <c r="VGO37" s="414"/>
      <c r="VGP37" s="414"/>
      <c r="VGQ37" s="414"/>
      <c r="VGR37" s="414"/>
      <c r="VGS37" s="414"/>
      <c r="VGT37" s="414"/>
      <c r="VGU37" s="414"/>
      <c r="VGV37" s="414"/>
      <c r="VGW37" s="414"/>
      <c r="VGX37" s="414"/>
      <c r="VGY37" s="414"/>
      <c r="VGZ37" s="414"/>
      <c r="VHA37" s="414"/>
      <c r="VHB37" s="414"/>
      <c r="VHC37" s="414"/>
      <c r="VHD37" s="414"/>
      <c r="VHE37" s="414"/>
      <c r="VHF37" s="414"/>
      <c r="VHG37" s="414"/>
      <c r="VHH37" s="414"/>
      <c r="VHI37" s="414"/>
      <c r="VHJ37" s="414"/>
      <c r="VHK37" s="414"/>
      <c r="VHL37" s="414"/>
      <c r="VHM37" s="414"/>
      <c r="VHN37" s="414"/>
      <c r="VHO37" s="414"/>
      <c r="VHP37" s="414"/>
      <c r="VHQ37" s="414"/>
      <c r="VHR37" s="414"/>
      <c r="VHS37" s="414"/>
      <c r="VHT37" s="414"/>
      <c r="VHU37" s="414"/>
      <c r="VHV37" s="414"/>
      <c r="VHW37" s="414"/>
      <c r="VHX37" s="414"/>
      <c r="VHY37" s="414"/>
      <c r="VHZ37" s="414"/>
      <c r="VIA37" s="414"/>
      <c r="VIB37" s="414"/>
      <c r="VIC37" s="414"/>
      <c r="VID37" s="414"/>
      <c r="VIE37" s="414"/>
      <c r="VIF37" s="414"/>
      <c r="VIG37" s="414"/>
      <c r="VIH37" s="414"/>
      <c r="VII37" s="414"/>
      <c r="VIJ37" s="414"/>
      <c r="VIK37" s="414"/>
      <c r="VIL37" s="414"/>
      <c r="VIM37" s="414"/>
      <c r="VIN37" s="414"/>
      <c r="VIO37" s="414"/>
      <c r="VIP37" s="414"/>
      <c r="VIQ37" s="414"/>
      <c r="VIR37" s="414"/>
      <c r="VIS37" s="414"/>
      <c r="VIT37" s="414"/>
      <c r="VIU37" s="414"/>
      <c r="VIV37" s="414"/>
      <c r="VIW37" s="414"/>
      <c r="VIX37" s="414"/>
      <c r="VIY37" s="414"/>
      <c r="VIZ37" s="414"/>
      <c r="VJA37" s="414"/>
      <c r="VJB37" s="414"/>
      <c r="VJC37" s="414"/>
      <c r="VJD37" s="414"/>
      <c r="VJE37" s="414"/>
      <c r="VJF37" s="414"/>
      <c r="VJG37" s="414"/>
      <c r="VJH37" s="414"/>
      <c r="VJI37" s="414"/>
      <c r="VJJ37" s="414"/>
      <c r="VJK37" s="414"/>
      <c r="VJL37" s="414"/>
      <c r="VJM37" s="414"/>
      <c r="VJN37" s="414"/>
      <c r="VJO37" s="414"/>
      <c r="VJP37" s="414"/>
      <c r="VJQ37" s="414"/>
      <c r="VJR37" s="414"/>
      <c r="VJS37" s="414"/>
      <c r="VJT37" s="414"/>
      <c r="VJU37" s="414"/>
      <c r="VJV37" s="414"/>
      <c r="VJW37" s="414"/>
      <c r="VJX37" s="414"/>
      <c r="VJY37" s="414"/>
      <c r="VJZ37" s="414"/>
      <c r="VKA37" s="414"/>
      <c r="VKB37" s="414"/>
      <c r="VKC37" s="414"/>
      <c r="VKD37" s="414"/>
      <c r="VKE37" s="414"/>
      <c r="VKF37" s="414"/>
      <c r="VKG37" s="414"/>
      <c r="VKH37" s="414"/>
      <c r="VKI37" s="414"/>
      <c r="VKJ37" s="414"/>
      <c r="VKK37" s="414"/>
      <c r="VKL37" s="414"/>
      <c r="VKM37" s="414"/>
      <c r="VKN37" s="414"/>
      <c r="VKO37" s="414"/>
      <c r="VKP37" s="414"/>
      <c r="VKQ37" s="414"/>
      <c r="VKR37" s="414"/>
      <c r="VKS37" s="414"/>
      <c r="VKT37" s="414"/>
      <c r="VKU37" s="414"/>
      <c r="VKV37" s="414"/>
      <c r="VKW37" s="414"/>
      <c r="VKX37" s="414"/>
      <c r="VKY37" s="414"/>
      <c r="VKZ37" s="414"/>
      <c r="VLA37" s="414"/>
      <c r="VLB37" s="414"/>
      <c r="VLC37" s="414"/>
      <c r="VLD37" s="414"/>
      <c r="VLE37" s="414"/>
      <c r="VLF37" s="414"/>
      <c r="VLG37" s="414"/>
      <c r="VLH37" s="414"/>
      <c r="VLI37" s="414"/>
      <c r="VLJ37" s="414"/>
      <c r="VLK37" s="414"/>
      <c r="VLL37" s="414"/>
      <c r="VLM37" s="414"/>
      <c r="VLN37" s="414"/>
      <c r="VLO37" s="414"/>
      <c r="VLP37" s="414"/>
      <c r="VLQ37" s="414"/>
      <c r="VLR37" s="414"/>
      <c r="VLS37" s="414"/>
      <c r="VLT37" s="414"/>
      <c r="VLU37" s="414"/>
      <c r="VLV37" s="414"/>
      <c r="VLW37" s="414"/>
      <c r="VLX37" s="414"/>
      <c r="VLY37" s="414"/>
      <c r="VLZ37" s="414"/>
      <c r="VMA37" s="414"/>
      <c r="VMB37" s="414"/>
      <c r="VMC37" s="414"/>
      <c r="VMD37" s="414"/>
      <c r="VME37" s="414"/>
      <c r="VMF37" s="414"/>
      <c r="VMG37" s="414"/>
      <c r="VMH37" s="414"/>
      <c r="VMI37" s="414"/>
      <c r="VMJ37" s="414"/>
      <c r="VMK37" s="414"/>
      <c r="VML37" s="414"/>
      <c r="VMM37" s="414"/>
      <c r="VMN37" s="414"/>
      <c r="VMO37" s="414"/>
      <c r="VMP37" s="414"/>
      <c r="VMQ37" s="414"/>
      <c r="VMR37" s="414"/>
      <c r="VMS37" s="414"/>
      <c r="VMT37" s="414"/>
      <c r="VMU37" s="414"/>
      <c r="VMV37" s="414"/>
      <c r="VMW37" s="414"/>
      <c r="VMX37" s="414"/>
      <c r="VMY37" s="414"/>
      <c r="VMZ37" s="414"/>
      <c r="VNA37" s="414"/>
      <c r="VNB37" s="414"/>
      <c r="VNC37" s="414"/>
      <c r="VND37" s="414"/>
      <c r="VNE37" s="414"/>
      <c r="VNF37" s="414"/>
      <c r="VNG37" s="414"/>
      <c r="VNH37" s="414"/>
      <c r="VNI37" s="414"/>
      <c r="VNJ37" s="414"/>
      <c r="VNK37" s="414"/>
      <c r="VNL37" s="414"/>
      <c r="VNM37" s="414"/>
      <c r="VNN37" s="414"/>
      <c r="VNO37" s="414"/>
      <c r="VNP37" s="414"/>
      <c r="VNQ37" s="414"/>
      <c r="VNR37" s="414"/>
      <c r="VNS37" s="414"/>
      <c r="VNT37" s="414"/>
      <c r="VNU37" s="414"/>
      <c r="VNV37" s="414"/>
      <c r="VNW37" s="414"/>
      <c r="VNX37" s="414"/>
      <c r="VNY37" s="414"/>
      <c r="VNZ37" s="414"/>
      <c r="VOA37" s="414"/>
      <c r="VOB37" s="414"/>
      <c r="VOC37" s="414"/>
      <c r="VOD37" s="414"/>
      <c r="VOE37" s="414"/>
      <c r="VOF37" s="414"/>
      <c r="VOG37" s="414"/>
      <c r="VOH37" s="414"/>
      <c r="VOI37" s="414"/>
      <c r="VOJ37" s="414"/>
      <c r="VOK37" s="414"/>
      <c r="VOL37" s="414"/>
      <c r="VOM37" s="414"/>
      <c r="VON37" s="414"/>
      <c r="VOO37" s="414"/>
      <c r="VOP37" s="414"/>
      <c r="VOQ37" s="414"/>
      <c r="VOR37" s="414"/>
      <c r="VOS37" s="414"/>
      <c r="VOT37" s="414"/>
      <c r="VOU37" s="414"/>
      <c r="VOV37" s="414"/>
      <c r="VOW37" s="414"/>
      <c r="VOX37" s="414"/>
      <c r="VOY37" s="414"/>
      <c r="VOZ37" s="414"/>
      <c r="VPA37" s="414"/>
      <c r="VPB37" s="414"/>
      <c r="VPC37" s="414"/>
      <c r="VPD37" s="414"/>
      <c r="VPE37" s="414"/>
      <c r="VPF37" s="414"/>
      <c r="VPG37" s="414"/>
      <c r="VPH37" s="414"/>
      <c r="VPI37" s="414"/>
      <c r="VPJ37" s="414"/>
      <c r="VPK37" s="414"/>
      <c r="VPL37" s="414"/>
      <c r="VPM37" s="414"/>
      <c r="VPN37" s="414"/>
      <c r="VPO37" s="414"/>
      <c r="VPP37" s="414"/>
      <c r="VPQ37" s="414"/>
      <c r="VPR37" s="414"/>
      <c r="VPS37" s="414"/>
      <c r="VPT37" s="414"/>
      <c r="VPU37" s="414"/>
      <c r="VPV37" s="414"/>
      <c r="VPW37" s="414"/>
      <c r="VPX37" s="414"/>
      <c r="VPY37" s="414"/>
      <c r="VPZ37" s="414"/>
      <c r="VQA37" s="414"/>
      <c r="VQB37" s="414"/>
      <c r="VQC37" s="414"/>
      <c r="VQD37" s="414"/>
      <c r="VQE37" s="414"/>
      <c r="VQF37" s="414"/>
      <c r="VQG37" s="414"/>
      <c r="VQH37" s="414"/>
      <c r="VQI37" s="414"/>
      <c r="VQJ37" s="414"/>
      <c r="VQK37" s="414"/>
      <c r="VQL37" s="414"/>
      <c r="VQM37" s="414"/>
      <c r="VQN37" s="414"/>
      <c r="VQO37" s="414"/>
      <c r="VQP37" s="414"/>
      <c r="VQQ37" s="414"/>
      <c r="VQR37" s="414"/>
      <c r="VQS37" s="414"/>
      <c r="VQT37" s="414"/>
      <c r="VQU37" s="414"/>
      <c r="VQV37" s="414"/>
      <c r="VQW37" s="414"/>
      <c r="VQX37" s="414"/>
      <c r="VQY37" s="414"/>
      <c r="VQZ37" s="414"/>
      <c r="VRA37" s="414"/>
      <c r="VRB37" s="414"/>
      <c r="VRC37" s="414"/>
      <c r="VRD37" s="414"/>
      <c r="VRE37" s="414"/>
      <c r="VRF37" s="414"/>
      <c r="VRG37" s="414"/>
      <c r="VRH37" s="414"/>
      <c r="VRI37" s="414"/>
      <c r="VRJ37" s="414"/>
      <c r="VRK37" s="414"/>
      <c r="VRL37" s="414"/>
      <c r="VRM37" s="414"/>
      <c r="VRN37" s="414"/>
      <c r="VRO37" s="414"/>
      <c r="VRP37" s="414"/>
      <c r="VRQ37" s="414"/>
      <c r="VRR37" s="414"/>
      <c r="VRS37" s="414"/>
      <c r="VRT37" s="414"/>
      <c r="VRU37" s="414"/>
      <c r="VRV37" s="414"/>
      <c r="VRW37" s="414"/>
      <c r="VRX37" s="414"/>
      <c r="VRY37" s="414"/>
      <c r="VRZ37" s="414"/>
      <c r="VSA37" s="414"/>
      <c r="VSB37" s="414"/>
      <c r="VSC37" s="414"/>
      <c r="VSD37" s="414"/>
      <c r="VSE37" s="414"/>
      <c r="VSF37" s="414"/>
      <c r="VSG37" s="414"/>
      <c r="VSH37" s="414"/>
      <c r="VSI37" s="414"/>
      <c r="VSJ37" s="414"/>
      <c r="VSK37" s="414"/>
      <c r="VSL37" s="414"/>
      <c r="VSM37" s="414"/>
      <c r="VSN37" s="414"/>
      <c r="VSO37" s="414"/>
      <c r="VSP37" s="414"/>
      <c r="VSQ37" s="414"/>
      <c r="VSR37" s="414"/>
      <c r="VSS37" s="414"/>
      <c r="VST37" s="414"/>
      <c r="VSU37" s="414"/>
      <c r="VSV37" s="414"/>
      <c r="VSW37" s="414"/>
      <c r="VSX37" s="414"/>
      <c r="VSY37" s="414"/>
      <c r="VSZ37" s="414"/>
      <c r="VTA37" s="414"/>
      <c r="VTB37" s="414"/>
      <c r="VTC37" s="414"/>
      <c r="VTD37" s="414"/>
      <c r="VTE37" s="414"/>
      <c r="VTF37" s="414"/>
      <c r="VTG37" s="414"/>
      <c r="VTH37" s="414"/>
      <c r="VTI37" s="414"/>
      <c r="VTJ37" s="414"/>
      <c r="VTK37" s="414"/>
      <c r="VTL37" s="414"/>
      <c r="VTM37" s="414"/>
      <c r="VTN37" s="414"/>
      <c r="VTO37" s="414"/>
      <c r="VTP37" s="414"/>
      <c r="VTQ37" s="414"/>
      <c r="VTR37" s="414"/>
      <c r="VTS37" s="414"/>
      <c r="VTT37" s="414"/>
      <c r="VTU37" s="414"/>
      <c r="VTV37" s="414"/>
      <c r="VTW37" s="414"/>
      <c r="VTX37" s="414"/>
      <c r="VTY37" s="414"/>
      <c r="VTZ37" s="414"/>
      <c r="VUA37" s="414"/>
      <c r="VUB37" s="414"/>
      <c r="VUC37" s="414"/>
      <c r="VUD37" s="414"/>
      <c r="VUE37" s="414"/>
      <c r="VUF37" s="414"/>
      <c r="VUG37" s="414"/>
      <c r="VUH37" s="414"/>
      <c r="VUI37" s="414"/>
      <c r="VUJ37" s="414"/>
      <c r="VUK37" s="414"/>
      <c r="VUL37" s="414"/>
      <c r="VUM37" s="414"/>
      <c r="VUN37" s="414"/>
      <c r="VUO37" s="414"/>
      <c r="VUP37" s="414"/>
      <c r="VUQ37" s="414"/>
      <c r="VUR37" s="414"/>
      <c r="VUS37" s="414"/>
      <c r="VUT37" s="414"/>
      <c r="VUU37" s="414"/>
      <c r="VUV37" s="414"/>
      <c r="VUW37" s="414"/>
      <c r="VUX37" s="414"/>
      <c r="VUY37" s="414"/>
      <c r="VUZ37" s="414"/>
      <c r="VVA37" s="414"/>
      <c r="VVB37" s="414"/>
      <c r="VVC37" s="414"/>
      <c r="VVD37" s="414"/>
      <c r="VVE37" s="414"/>
      <c r="VVF37" s="414"/>
      <c r="VVG37" s="414"/>
      <c r="VVH37" s="414"/>
      <c r="VVI37" s="414"/>
      <c r="VVJ37" s="414"/>
      <c r="VVK37" s="414"/>
      <c r="VVL37" s="414"/>
      <c r="VVM37" s="414"/>
      <c r="VVN37" s="414"/>
      <c r="VVO37" s="414"/>
      <c r="VVP37" s="414"/>
      <c r="VVQ37" s="414"/>
      <c r="VVR37" s="414"/>
      <c r="VVS37" s="414"/>
      <c r="VVT37" s="414"/>
      <c r="VVU37" s="414"/>
      <c r="VVV37" s="414"/>
      <c r="VVW37" s="414"/>
      <c r="VVX37" s="414"/>
      <c r="VVY37" s="414"/>
      <c r="VVZ37" s="414"/>
      <c r="VWA37" s="414"/>
      <c r="VWB37" s="414"/>
      <c r="VWC37" s="414"/>
      <c r="VWD37" s="414"/>
      <c r="VWE37" s="414"/>
      <c r="VWF37" s="414"/>
      <c r="VWG37" s="414"/>
      <c r="VWH37" s="414"/>
      <c r="VWI37" s="414"/>
      <c r="VWJ37" s="414"/>
      <c r="VWK37" s="414"/>
      <c r="VWL37" s="414"/>
      <c r="VWM37" s="414"/>
      <c r="VWN37" s="414"/>
      <c r="VWO37" s="414"/>
      <c r="VWP37" s="414"/>
      <c r="VWQ37" s="414"/>
      <c r="VWR37" s="414"/>
      <c r="VWS37" s="414"/>
      <c r="VWT37" s="414"/>
      <c r="VWU37" s="414"/>
      <c r="VWV37" s="414"/>
      <c r="VWW37" s="414"/>
      <c r="VWX37" s="414"/>
      <c r="VWY37" s="414"/>
      <c r="VWZ37" s="414"/>
      <c r="VXA37" s="414"/>
      <c r="VXB37" s="414"/>
      <c r="VXC37" s="414"/>
      <c r="VXD37" s="414"/>
      <c r="VXE37" s="414"/>
      <c r="VXF37" s="414"/>
      <c r="VXG37" s="414"/>
      <c r="VXH37" s="414"/>
      <c r="VXI37" s="414"/>
      <c r="VXJ37" s="414"/>
      <c r="VXK37" s="414"/>
      <c r="VXL37" s="414"/>
      <c r="VXM37" s="414"/>
      <c r="VXN37" s="414"/>
      <c r="VXO37" s="414"/>
      <c r="VXP37" s="414"/>
      <c r="VXQ37" s="414"/>
      <c r="VXR37" s="414"/>
      <c r="VXS37" s="414"/>
      <c r="VXT37" s="414"/>
      <c r="VXU37" s="414"/>
      <c r="VXV37" s="414"/>
      <c r="VXW37" s="414"/>
      <c r="VXX37" s="414"/>
      <c r="VXY37" s="414"/>
      <c r="VXZ37" s="414"/>
      <c r="VYA37" s="414"/>
      <c r="VYB37" s="414"/>
      <c r="VYC37" s="414"/>
      <c r="VYD37" s="414"/>
      <c r="VYE37" s="414"/>
      <c r="VYF37" s="414"/>
      <c r="VYG37" s="414"/>
      <c r="VYH37" s="414"/>
      <c r="VYI37" s="414"/>
      <c r="VYJ37" s="414"/>
      <c r="VYK37" s="414"/>
      <c r="VYL37" s="414"/>
      <c r="VYM37" s="414"/>
      <c r="VYN37" s="414"/>
      <c r="VYO37" s="414"/>
      <c r="VYP37" s="414"/>
      <c r="VYQ37" s="414"/>
      <c r="VYR37" s="414"/>
      <c r="VYS37" s="414"/>
      <c r="VYT37" s="414"/>
      <c r="VYU37" s="414"/>
      <c r="VYV37" s="414"/>
      <c r="VYW37" s="414"/>
      <c r="VYX37" s="414"/>
      <c r="VYY37" s="414"/>
      <c r="VYZ37" s="414"/>
      <c r="VZA37" s="414"/>
      <c r="VZB37" s="414"/>
      <c r="VZC37" s="414"/>
      <c r="VZD37" s="414"/>
      <c r="VZE37" s="414"/>
      <c r="VZF37" s="414"/>
      <c r="VZG37" s="414"/>
      <c r="VZH37" s="414"/>
      <c r="VZI37" s="414"/>
      <c r="VZJ37" s="414"/>
      <c r="VZK37" s="414"/>
      <c r="VZL37" s="414"/>
      <c r="VZM37" s="414"/>
      <c r="VZN37" s="414"/>
      <c r="VZO37" s="414"/>
      <c r="VZP37" s="414"/>
      <c r="VZQ37" s="414"/>
      <c r="VZR37" s="414"/>
      <c r="VZS37" s="414"/>
      <c r="VZT37" s="414"/>
      <c r="VZU37" s="414"/>
      <c r="VZV37" s="414"/>
      <c r="VZW37" s="414"/>
      <c r="VZX37" s="414"/>
      <c r="VZY37" s="414"/>
      <c r="VZZ37" s="414"/>
      <c r="WAA37" s="414"/>
      <c r="WAB37" s="414"/>
      <c r="WAC37" s="414"/>
      <c r="WAD37" s="414"/>
      <c r="WAE37" s="414"/>
      <c r="WAF37" s="414"/>
      <c r="WAG37" s="414"/>
      <c r="WAH37" s="414"/>
      <c r="WAI37" s="414"/>
      <c r="WAJ37" s="414"/>
      <c r="WAK37" s="414"/>
      <c r="WAL37" s="414"/>
      <c r="WAM37" s="414"/>
      <c r="WAN37" s="414"/>
      <c r="WAO37" s="414"/>
      <c r="WAP37" s="414"/>
      <c r="WAQ37" s="414"/>
      <c r="WAR37" s="414"/>
      <c r="WAS37" s="414"/>
      <c r="WAT37" s="414"/>
      <c r="WAU37" s="414"/>
      <c r="WAV37" s="414"/>
      <c r="WAW37" s="414"/>
      <c r="WAX37" s="414"/>
      <c r="WAY37" s="414"/>
      <c r="WAZ37" s="414"/>
      <c r="WBA37" s="414"/>
      <c r="WBB37" s="414"/>
      <c r="WBC37" s="414"/>
      <c r="WBD37" s="414"/>
      <c r="WBE37" s="414"/>
      <c r="WBF37" s="414"/>
      <c r="WBG37" s="414"/>
      <c r="WBH37" s="414"/>
      <c r="WBI37" s="414"/>
      <c r="WBJ37" s="414"/>
      <c r="WBK37" s="414"/>
      <c r="WBL37" s="414"/>
      <c r="WBM37" s="414"/>
      <c r="WBN37" s="414"/>
      <c r="WBO37" s="414"/>
      <c r="WBP37" s="414"/>
      <c r="WBQ37" s="414"/>
      <c r="WBR37" s="414"/>
      <c r="WBS37" s="414"/>
      <c r="WBT37" s="414"/>
      <c r="WBU37" s="414"/>
      <c r="WBV37" s="414"/>
      <c r="WBW37" s="414"/>
      <c r="WBX37" s="414"/>
      <c r="WBY37" s="414"/>
      <c r="WBZ37" s="414"/>
      <c r="WCA37" s="414"/>
      <c r="WCB37" s="414"/>
      <c r="WCC37" s="414"/>
      <c r="WCD37" s="414"/>
      <c r="WCE37" s="414"/>
      <c r="WCF37" s="414"/>
      <c r="WCG37" s="414"/>
      <c r="WCH37" s="414"/>
      <c r="WCI37" s="414"/>
      <c r="WCJ37" s="414"/>
      <c r="WCK37" s="414"/>
      <c r="WCL37" s="414"/>
      <c r="WCM37" s="414"/>
      <c r="WCN37" s="414"/>
      <c r="WCO37" s="414"/>
      <c r="WCP37" s="414"/>
      <c r="WCQ37" s="414"/>
      <c r="WCR37" s="414"/>
      <c r="WCS37" s="414"/>
      <c r="WCT37" s="414"/>
      <c r="WCU37" s="414"/>
      <c r="WCV37" s="414"/>
      <c r="WCW37" s="414"/>
      <c r="WCX37" s="414"/>
      <c r="WCY37" s="414"/>
      <c r="WCZ37" s="414"/>
      <c r="WDA37" s="414"/>
      <c r="WDB37" s="414"/>
      <c r="WDC37" s="414"/>
      <c r="WDD37" s="414"/>
      <c r="WDE37" s="414"/>
      <c r="WDF37" s="414"/>
      <c r="WDG37" s="414"/>
      <c r="WDH37" s="414"/>
      <c r="WDI37" s="414"/>
      <c r="WDJ37" s="414"/>
      <c r="WDK37" s="414"/>
      <c r="WDL37" s="414"/>
      <c r="WDM37" s="414"/>
      <c r="WDN37" s="414"/>
      <c r="WDO37" s="414"/>
      <c r="WDP37" s="414"/>
      <c r="WDQ37" s="414"/>
      <c r="WDR37" s="414"/>
      <c r="WDS37" s="414"/>
      <c r="WDT37" s="414"/>
      <c r="WDU37" s="414"/>
      <c r="WDV37" s="414"/>
      <c r="WDW37" s="414"/>
      <c r="WDX37" s="414"/>
      <c r="WDY37" s="414"/>
      <c r="WDZ37" s="414"/>
      <c r="WEA37" s="414"/>
      <c r="WEB37" s="414"/>
      <c r="WEC37" s="414"/>
      <c r="WED37" s="414"/>
      <c r="WEE37" s="414"/>
      <c r="WEF37" s="414"/>
      <c r="WEG37" s="414"/>
      <c r="WEH37" s="414"/>
      <c r="WEI37" s="414"/>
      <c r="WEJ37" s="414"/>
      <c r="WEK37" s="414"/>
      <c r="WEL37" s="414"/>
      <c r="WEM37" s="414"/>
      <c r="WEN37" s="414"/>
      <c r="WEO37" s="414"/>
      <c r="WEP37" s="414"/>
      <c r="WEQ37" s="414"/>
      <c r="WER37" s="414"/>
      <c r="WES37" s="414"/>
      <c r="WET37" s="414"/>
      <c r="WEU37" s="414"/>
      <c r="WEV37" s="414"/>
      <c r="WEW37" s="414"/>
      <c r="WEX37" s="414"/>
      <c r="WEY37" s="414"/>
      <c r="WEZ37" s="414"/>
      <c r="WFA37" s="414"/>
      <c r="WFB37" s="414"/>
      <c r="WFC37" s="414"/>
      <c r="WFD37" s="414"/>
      <c r="WFE37" s="414"/>
      <c r="WFF37" s="414"/>
      <c r="WFG37" s="414"/>
      <c r="WFH37" s="414"/>
      <c r="WFI37" s="414"/>
      <c r="WFJ37" s="414"/>
      <c r="WFK37" s="414"/>
      <c r="WFL37" s="414"/>
      <c r="WFM37" s="414"/>
      <c r="WFN37" s="414"/>
      <c r="WFO37" s="414"/>
      <c r="WFP37" s="414"/>
      <c r="WFQ37" s="414"/>
      <c r="WFR37" s="414"/>
      <c r="WFS37" s="414"/>
      <c r="WFT37" s="414"/>
      <c r="WFU37" s="414"/>
      <c r="WFV37" s="414"/>
      <c r="WFW37" s="414"/>
      <c r="WFX37" s="414"/>
      <c r="WFY37" s="414"/>
      <c r="WFZ37" s="414"/>
      <c r="WGA37" s="414"/>
      <c r="WGB37" s="414"/>
      <c r="WGC37" s="414"/>
      <c r="WGD37" s="414"/>
      <c r="WGE37" s="414"/>
      <c r="WGF37" s="414"/>
      <c r="WGG37" s="414"/>
      <c r="WGH37" s="414"/>
      <c r="WGI37" s="414"/>
      <c r="WGJ37" s="414"/>
      <c r="WGK37" s="414"/>
      <c r="WGL37" s="414"/>
      <c r="WGM37" s="414"/>
      <c r="WGN37" s="414"/>
      <c r="WGO37" s="414"/>
      <c r="WGP37" s="414"/>
      <c r="WGQ37" s="414"/>
      <c r="WGR37" s="414"/>
      <c r="WGS37" s="414"/>
      <c r="WGT37" s="414"/>
      <c r="WGU37" s="414"/>
      <c r="WGV37" s="414"/>
      <c r="WGW37" s="414"/>
      <c r="WGX37" s="414"/>
      <c r="WGY37" s="414"/>
      <c r="WGZ37" s="414"/>
      <c r="WHA37" s="414"/>
      <c r="WHB37" s="414"/>
      <c r="WHC37" s="414"/>
      <c r="WHD37" s="414"/>
      <c r="WHE37" s="414"/>
      <c r="WHF37" s="414"/>
      <c r="WHG37" s="414"/>
      <c r="WHH37" s="414"/>
      <c r="WHI37" s="414"/>
      <c r="WHJ37" s="414"/>
      <c r="WHK37" s="414"/>
      <c r="WHL37" s="414"/>
      <c r="WHM37" s="414"/>
      <c r="WHN37" s="414"/>
      <c r="WHO37" s="414"/>
      <c r="WHP37" s="414"/>
      <c r="WHQ37" s="414"/>
      <c r="WHR37" s="414"/>
      <c r="WHS37" s="414"/>
      <c r="WHT37" s="414"/>
      <c r="WHU37" s="414"/>
      <c r="WHV37" s="414"/>
      <c r="WHW37" s="414"/>
      <c r="WHX37" s="414"/>
      <c r="WHY37" s="414"/>
      <c r="WHZ37" s="414"/>
      <c r="WIA37" s="414"/>
      <c r="WIB37" s="414"/>
      <c r="WIC37" s="414"/>
      <c r="WID37" s="414"/>
      <c r="WIE37" s="414"/>
      <c r="WIF37" s="414"/>
      <c r="WIG37" s="414"/>
      <c r="WIH37" s="414"/>
      <c r="WII37" s="414"/>
      <c r="WIJ37" s="414"/>
      <c r="WIK37" s="414"/>
      <c r="WIL37" s="414"/>
      <c r="WIM37" s="414"/>
      <c r="WIN37" s="414"/>
      <c r="WIO37" s="414"/>
      <c r="WIP37" s="414"/>
      <c r="WIQ37" s="414"/>
      <c r="WIR37" s="414"/>
      <c r="WIS37" s="414"/>
      <c r="WIT37" s="414"/>
      <c r="WIU37" s="414"/>
      <c r="WIV37" s="414"/>
      <c r="WIW37" s="414"/>
      <c r="WIX37" s="414"/>
      <c r="WIY37" s="414"/>
      <c r="WIZ37" s="414"/>
      <c r="WJA37" s="414"/>
      <c r="WJB37" s="414"/>
      <c r="WJC37" s="414"/>
      <c r="WJD37" s="414"/>
      <c r="WJE37" s="414"/>
      <c r="WJF37" s="414"/>
      <c r="WJG37" s="414"/>
      <c r="WJH37" s="414"/>
      <c r="WJI37" s="414"/>
      <c r="WJJ37" s="414"/>
      <c r="WJK37" s="414"/>
      <c r="WJL37" s="414"/>
      <c r="WJM37" s="414"/>
      <c r="WJN37" s="414"/>
      <c r="WJO37" s="414"/>
      <c r="WJP37" s="414"/>
      <c r="WJQ37" s="414"/>
      <c r="WJR37" s="414"/>
      <c r="WJS37" s="414"/>
      <c r="WJT37" s="414"/>
      <c r="WJU37" s="414"/>
      <c r="WJV37" s="414"/>
      <c r="WJW37" s="414"/>
      <c r="WJX37" s="414"/>
      <c r="WJY37" s="414"/>
      <c r="WJZ37" s="414"/>
      <c r="WKA37" s="414"/>
      <c r="WKB37" s="414"/>
      <c r="WKC37" s="414"/>
      <c r="WKD37" s="414"/>
      <c r="WKE37" s="414"/>
      <c r="WKF37" s="414"/>
      <c r="WKG37" s="414"/>
      <c r="WKH37" s="414"/>
      <c r="WKI37" s="414"/>
      <c r="WKJ37" s="414"/>
      <c r="WKK37" s="414"/>
      <c r="WKL37" s="414"/>
      <c r="WKM37" s="414"/>
      <c r="WKN37" s="414"/>
      <c r="WKO37" s="414"/>
      <c r="WKP37" s="414"/>
      <c r="WKQ37" s="414"/>
      <c r="WKR37" s="414"/>
      <c r="WKS37" s="414"/>
      <c r="WKT37" s="414"/>
      <c r="WKU37" s="414"/>
      <c r="WKV37" s="414"/>
      <c r="WKW37" s="414"/>
      <c r="WKX37" s="414"/>
      <c r="WKY37" s="414"/>
      <c r="WKZ37" s="414"/>
      <c r="WLA37" s="414"/>
      <c r="WLB37" s="414"/>
      <c r="WLC37" s="414"/>
      <c r="WLD37" s="414"/>
      <c r="WLE37" s="414"/>
      <c r="WLF37" s="414"/>
      <c r="WLG37" s="414"/>
      <c r="WLH37" s="414"/>
      <c r="WLI37" s="414"/>
      <c r="WLJ37" s="414"/>
      <c r="WLK37" s="414"/>
      <c r="WLL37" s="414"/>
      <c r="WLM37" s="414"/>
      <c r="WLN37" s="414"/>
      <c r="WLO37" s="414"/>
      <c r="WLP37" s="414"/>
      <c r="WLQ37" s="414"/>
      <c r="WLR37" s="414"/>
      <c r="WLS37" s="414"/>
      <c r="WLT37" s="414"/>
      <c r="WLU37" s="414"/>
      <c r="WLV37" s="414"/>
      <c r="WLW37" s="414"/>
      <c r="WLX37" s="414"/>
      <c r="WLY37" s="414"/>
      <c r="WLZ37" s="414"/>
      <c r="WMA37" s="414"/>
      <c r="WMB37" s="414"/>
      <c r="WMC37" s="414"/>
      <c r="WMD37" s="414"/>
      <c r="WME37" s="414"/>
      <c r="WMF37" s="414"/>
      <c r="WMG37" s="414"/>
      <c r="WMH37" s="414"/>
      <c r="WMI37" s="414"/>
      <c r="WMJ37" s="414"/>
      <c r="WMK37" s="414"/>
      <c r="WML37" s="414"/>
      <c r="WMM37" s="414"/>
      <c r="WMN37" s="414"/>
      <c r="WMO37" s="414"/>
      <c r="WMP37" s="414"/>
      <c r="WMQ37" s="414"/>
      <c r="WMR37" s="414"/>
      <c r="WMS37" s="414"/>
      <c r="WMT37" s="414"/>
      <c r="WMU37" s="414"/>
      <c r="WMV37" s="414"/>
      <c r="WMW37" s="414"/>
      <c r="WMX37" s="414"/>
      <c r="WMY37" s="414"/>
      <c r="WMZ37" s="414"/>
      <c r="WNA37" s="414"/>
      <c r="WNB37" s="414"/>
      <c r="WNC37" s="414"/>
      <c r="WND37" s="414"/>
      <c r="WNE37" s="414"/>
      <c r="WNF37" s="414"/>
      <c r="WNG37" s="414"/>
      <c r="WNH37" s="414"/>
      <c r="WNI37" s="414"/>
      <c r="WNJ37" s="414"/>
      <c r="WNK37" s="414"/>
      <c r="WNL37" s="414"/>
      <c r="WNM37" s="414"/>
      <c r="WNN37" s="414"/>
      <c r="WNO37" s="414"/>
      <c r="WNP37" s="414"/>
      <c r="WNQ37" s="414"/>
      <c r="WNR37" s="414"/>
      <c r="WNS37" s="414"/>
      <c r="WNT37" s="414"/>
      <c r="WNU37" s="414"/>
      <c r="WNV37" s="414"/>
      <c r="WNW37" s="414"/>
      <c r="WNX37" s="414"/>
      <c r="WNY37" s="414"/>
      <c r="WNZ37" s="414"/>
      <c r="WOA37" s="414"/>
      <c r="WOB37" s="414"/>
      <c r="WOC37" s="414"/>
      <c r="WOD37" s="414"/>
      <c r="WOE37" s="414"/>
      <c r="WOF37" s="414"/>
      <c r="WOG37" s="414"/>
      <c r="WOH37" s="414"/>
      <c r="WOI37" s="414"/>
      <c r="WOJ37" s="414"/>
      <c r="WOK37" s="414"/>
      <c r="WOL37" s="414"/>
      <c r="WOM37" s="414"/>
      <c r="WON37" s="414"/>
      <c r="WOO37" s="414"/>
      <c r="WOP37" s="414"/>
      <c r="WOQ37" s="414"/>
      <c r="WOR37" s="414"/>
      <c r="WOS37" s="414"/>
      <c r="WOT37" s="414"/>
      <c r="WOU37" s="414"/>
      <c r="WOV37" s="414"/>
      <c r="WOW37" s="414"/>
      <c r="WOX37" s="414"/>
      <c r="WOY37" s="414"/>
      <c r="WOZ37" s="414"/>
      <c r="WPA37" s="414"/>
      <c r="WPB37" s="414"/>
      <c r="WPC37" s="414"/>
      <c r="WPD37" s="414"/>
      <c r="WPE37" s="414"/>
      <c r="WPF37" s="414"/>
      <c r="WPG37" s="414"/>
      <c r="WPH37" s="414"/>
      <c r="WPI37" s="414"/>
      <c r="WPJ37" s="414"/>
      <c r="WPK37" s="414"/>
      <c r="WPL37" s="414"/>
      <c r="WPM37" s="414"/>
      <c r="WPN37" s="414"/>
      <c r="WPO37" s="414"/>
      <c r="WPP37" s="414"/>
      <c r="WPQ37" s="414"/>
      <c r="WPR37" s="414"/>
      <c r="WPS37" s="414"/>
      <c r="WPT37" s="414"/>
      <c r="WPU37" s="414"/>
      <c r="WPV37" s="414"/>
      <c r="WPW37" s="414"/>
      <c r="WPX37" s="414"/>
      <c r="WPY37" s="414"/>
      <c r="WPZ37" s="414"/>
      <c r="WQA37" s="414"/>
      <c r="WQB37" s="414"/>
      <c r="WQC37" s="414"/>
      <c r="WQD37" s="414"/>
      <c r="WQE37" s="414"/>
      <c r="WQF37" s="414"/>
      <c r="WQG37" s="414"/>
      <c r="WQH37" s="414"/>
      <c r="WQI37" s="414"/>
      <c r="WQJ37" s="414"/>
      <c r="WQK37" s="414"/>
      <c r="WQL37" s="414"/>
      <c r="WQM37" s="414"/>
      <c r="WQN37" s="414"/>
      <c r="WQO37" s="414"/>
      <c r="WQP37" s="414"/>
      <c r="WQQ37" s="414"/>
      <c r="WQR37" s="414"/>
      <c r="WQS37" s="414"/>
      <c r="WQT37" s="414"/>
      <c r="WQU37" s="414"/>
      <c r="WQV37" s="414"/>
      <c r="WQW37" s="414"/>
      <c r="WQX37" s="414"/>
      <c r="WQY37" s="414"/>
      <c r="WQZ37" s="414"/>
      <c r="WRA37" s="414"/>
      <c r="WRB37" s="414"/>
      <c r="WRC37" s="414"/>
      <c r="WRD37" s="414"/>
      <c r="WRE37" s="414"/>
      <c r="WRF37" s="414"/>
      <c r="WRG37" s="414"/>
      <c r="WRH37" s="414"/>
      <c r="WRI37" s="414"/>
      <c r="WRJ37" s="414"/>
      <c r="WRK37" s="414"/>
      <c r="WRL37" s="414"/>
      <c r="WRM37" s="414"/>
      <c r="WRN37" s="414"/>
      <c r="WRO37" s="414"/>
      <c r="WRP37" s="414"/>
      <c r="WRQ37" s="414"/>
      <c r="WRR37" s="414"/>
      <c r="WRS37" s="414"/>
      <c r="WRT37" s="414"/>
      <c r="WRU37" s="414"/>
      <c r="WRV37" s="414"/>
      <c r="WRW37" s="414"/>
      <c r="WRX37" s="414"/>
      <c r="WRY37" s="414"/>
      <c r="WRZ37" s="414"/>
      <c r="WSA37" s="414"/>
      <c r="WSB37" s="414"/>
      <c r="WSC37" s="414"/>
      <c r="WSD37" s="414"/>
      <c r="WSE37" s="414"/>
      <c r="WSF37" s="414"/>
      <c r="WSG37" s="414"/>
      <c r="WSH37" s="414"/>
      <c r="WSI37" s="414"/>
      <c r="WSJ37" s="414"/>
      <c r="WSK37" s="414"/>
      <c r="WSL37" s="414"/>
      <c r="WSM37" s="414"/>
      <c r="WSN37" s="414"/>
      <c r="WSO37" s="414"/>
      <c r="WSP37" s="414"/>
      <c r="WSQ37" s="414"/>
      <c r="WSR37" s="414"/>
      <c r="WSS37" s="414"/>
      <c r="WST37" s="414"/>
      <c r="WSU37" s="414"/>
      <c r="WSV37" s="414"/>
      <c r="WSW37" s="414"/>
      <c r="WSX37" s="414"/>
      <c r="WSY37" s="414"/>
      <c r="WSZ37" s="414"/>
      <c r="WTA37" s="414"/>
      <c r="WTB37" s="414"/>
      <c r="WTC37" s="414"/>
      <c r="WTD37" s="414"/>
      <c r="WTE37" s="414"/>
      <c r="WTF37" s="414"/>
      <c r="WTG37" s="414"/>
      <c r="WTH37" s="414"/>
      <c r="WTI37" s="414"/>
      <c r="WTJ37" s="414"/>
      <c r="WTK37" s="414"/>
      <c r="WTL37" s="414"/>
      <c r="WTM37" s="414"/>
      <c r="WTN37" s="414"/>
      <c r="WTO37" s="414"/>
      <c r="WTP37" s="414"/>
      <c r="WTQ37" s="414"/>
      <c r="WTR37" s="414"/>
      <c r="WTS37" s="414"/>
      <c r="WTT37" s="414"/>
      <c r="WTU37" s="414"/>
      <c r="WTV37" s="414"/>
      <c r="WTW37" s="414"/>
      <c r="WTX37" s="414"/>
      <c r="WTY37" s="414"/>
      <c r="WTZ37" s="414"/>
      <c r="WUA37" s="414"/>
      <c r="WUB37" s="414"/>
      <c r="WUC37" s="414"/>
      <c r="WUD37" s="414"/>
      <c r="WUE37" s="414"/>
      <c r="WUF37" s="414"/>
      <c r="WUG37" s="414"/>
      <c r="WUH37" s="414"/>
      <c r="WUI37" s="414"/>
      <c r="WUJ37" s="414"/>
      <c r="WUK37" s="414"/>
      <c r="WUL37" s="414"/>
      <c r="WUM37" s="414"/>
      <c r="WUN37" s="414"/>
      <c r="WUO37" s="414"/>
      <c r="WUP37" s="414"/>
      <c r="WUQ37" s="414"/>
      <c r="WUR37" s="414"/>
      <c r="WUS37" s="414"/>
      <c r="WUT37" s="414"/>
      <c r="WUU37" s="414"/>
      <c r="WUV37" s="414"/>
      <c r="WUW37" s="414"/>
      <c r="WUX37" s="414"/>
      <c r="WUY37" s="414"/>
      <c r="WUZ37" s="414"/>
      <c r="WVA37" s="414"/>
      <c r="WVB37" s="414"/>
      <c r="WVC37" s="414"/>
      <c r="WVD37" s="414"/>
      <c r="WVE37" s="414"/>
      <c r="WVF37" s="414"/>
      <c r="WVG37" s="414"/>
      <c r="WVH37" s="414"/>
      <c r="WVI37" s="414"/>
      <c r="WVJ37" s="414"/>
      <c r="WVK37" s="414"/>
      <c r="WVL37" s="414"/>
      <c r="WVM37" s="414"/>
      <c r="WVN37" s="414"/>
      <c r="WVO37" s="414"/>
      <c r="WVP37" s="414"/>
      <c r="WVQ37" s="414"/>
      <c r="WVR37" s="414"/>
      <c r="WVS37" s="414"/>
      <c r="WVT37" s="414"/>
      <c r="WVU37" s="414"/>
      <c r="WVV37" s="414"/>
      <c r="WVW37" s="414"/>
      <c r="WVX37" s="414"/>
      <c r="WVY37" s="414"/>
      <c r="WVZ37" s="414"/>
      <c r="WWA37" s="414"/>
      <c r="WWB37" s="414"/>
      <c r="WWC37" s="414"/>
      <c r="WWD37" s="414"/>
      <c r="WWE37" s="414"/>
      <c r="WWF37" s="414"/>
      <c r="WWG37" s="414"/>
      <c r="WWH37" s="414"/>
      <c r="WWI37" s="414"/>
      <c r="WWJ37" s="414"/>
      <c r="WWK37" s="414"/>
      <c r="WWL37" s="414"/>
      <c r="WWM37" s="414"/>
      <c r="WWN37" s="414"/>
      <c r="WWO37" s="414"/>
      <c r="WWP37" s="414"/>
      <c r="WWQ37" s="414"/>
      <c r="WWR37" s="414"/>
      <c r="WWS37" s="414"/>
      <c r="WWT37" s="414"/>
      <c r="WWU37" s="414"/>
      <c r="WWV37" s="414"/>
      <c r="WWW37" s="414"/>
      <c r="WWX37" s="414"/>
      <c r="WWY37" s="414"/>
      <c r="WWZ37" s="414"/>
      <c r="WXA37" s="414"/>
      <c r="WXB37" s="414"/>
      <c r="WXC37" s="414"/>
      <c r="WXD37" s="414"/>
      <c r="WXE37" s="414"/>
      <c r="WXF37" s="414"/>
      <c r="WXG37" s="414"/>
      <c r="WXH37" s="414"/>
      <c r="WXI37" s="414"/>
      <c r="WXJ37" s="414"/>
      <c r="WXK37" s="414"/>
      <c r="WXL37" s="414"/>
      <c r="WXM37" s="414"/>
      <c r="WXN37" s="414"/>
      <c r="WXO37" s="414"/>
      <c r="WXP37" s="414"/>
      <c r="WXQ37" s="414"/>
      <c r="WXR37" s="414"/>
      <c r="WXS37" s="414"/>
      <c r="WXT37" s="414"/>
      <c r="WXU37" s="414"/>
      <c r="WXV37" s="414"/>
      <c r="WXW37" s="414"/>
      <c r="WXX37" s="414"/>
      <c r="WXY37" s="414"/>
      <c r="WXZ37" s="414"/>
      <c r="WYA37" s="414"/>
      <c r="WYB37" s="414"/>
      <c r="WYC37" s="414"/>
      <c r="WYD37" s="414"/>
      <c r="WYE37" s="414"/>
      <c r="WYF37" s="414"/>
      <c r="WYG37" s="414"/>
      <c r="WYH37" s="414"/>
      <c r="WYI37" s="414"/>
      <c r="WYJ37" s="414"/>
      <c r="WYK37" s="414"/>
      <c r="WYL37" s="414"/>
      <c r="WYM37" s="414"/>
      <c r="WYN37" s="414"/>
      <c r="WYO37" s="414"/>
      <c r="WYP37" s="414"/>
      <c r="WYQ37" s="414"/>
      <c r="WYR37" s="414"/>
      <c r="WYS37" s="414"/>
      <c r="WYT37" s="414"/>
      <c r="WYU37" s="414"/>
      <c r="WYV37" s="414"/>
      <c r="WYW37" s="414"/>
      <c r="WYX37" s="414"/>
      <c r="WYY37" s="414"/>
      <c r="WYZ37" s="414"/>
      <c r="WZA37" s="414"/>
      <c r="WZB37" s="414"/>
      <c r="WZC37" s="414"/>
      <c r="WZD37" s="414"/>
      <c r="WZE37" s="414"/>
      <c r="WZF37" s="414"/>
      <c r="WZG37" s="414"/>
      <c r="WZH37" s="414"/>
      <c r="WZI37" s="414"/>
      <c r="WZJ37" s="414"/>
      <c r="WZK37" s="414"/>
      <c r="WZL37" s="414"/>
      <c r="WZM37" s="414"/>
      <c r="WZN37" s="414"/>
      <c r="WZO37" s="414"/>
      <c r="WZP37" s="414"/>
      <c r="WZQ37" s="414"/>
      <c r="WZR37" s="414"/>
      <c r="WZS37" s="414"/>
      <c r="WZT37" s="414"/>
      <c r="WZU37" s="414"/>
      <c r="WZV37" s="414"/>
      <c r="WZW37" s="414"/>
      <c r="WZX37" s="414"/>
      <c r="WZY37" s="414"/>
      <c r="WZZ37" s="414"/>
      <c r="XAA37" s="414"/>
      <c r="XAB37" s="414"/>
      <c r="XAC37" s="414"/>
      <c r="XAD37" s="414"/>
      <c r="XAE37" s="414"/>
      <c r="XAF37" s="414"/>
      <c r="XAG37" s="414"/>
      <c r="XAH37" s="414"/>
      <c r="XAI37" s="414"/>
      <c r="XAJ37" s="414"/>
      <c r="XAK37" s="414"/>
      <c r="XAL37" s="414"/>
      <c r="XAM37" s="414"/>
      <c r="XAN37" s="414"/>
      <c r="XAO37" s="414"/>
      <c r="XAP37" s="414"/>
      <c r="XAQ37" s="414"/>
      <c r="XAR37" s="414"/>
      <c r="XAS37" s="414"/>
      <c r="XAT37" s="414"/>
      <c r="XAU37" s="414"/>
      <c r="XAV37" s="414"/>
      <c r="XAW37" s="414"/>
      <c r="XAX37" s="414"/>
      <c r="XAY37" s="414"/>
      <c r="XAZ37" s="414"/>
      <c r="XBA37" s="414"/>
      <c r="XBB37" s="414"/>
      <c r="XBC37" s="414"/>
      <c r="XBD37" s="414"/>
      <c r="XBE37" s="414"/>
      <c r="XBF37" s="414"/>
      <c r="XBG37" s="414"/>
      <c r="XBH37" s="414"/>
      <c r="XBI37" s="414"/>
      <c r="XBJ37" s="414"/>
      <c r="XBK37" s="414"/>
      <c r="XBL37" s="414"/>
      <c r="XBM37" s="414"/>
      <c r="XBN37" s="414"/>
      <c r="XBO37" s="414"/>
      <c r="XBP37" s="414"/>
      <c r="XBQ37" s="414"/>
      <c r="XBR37" s="414"/>
      <c r="XBS37" s="414"/>
      <c r="XBT37" s="414"/>
      <c r="XBU37" s="414"/>
      <c r="XBV37" s="414"/>
      <c r="XBW37" s="414"/>
      <c r="XBX37" s="414"/>
      <c r="XBY37" s="414"/>
      <c r="XBZ37" s="414"/>
      <c r="XCA37" s="414"/>
      <c r="XCB37" s="414"/>
      <c r="XCC37" s="414"/>
      <c r="XCD37" s="414"/>
      <c r="XCE37" s="414"/>
      <c r="XCF37" s="414"/>
      <c r="XCG37" s="414"/>
      <c r="XCH37" s="414"/>
      <c r="XCI37" s="414"/>
      <c r="XCJ37" s="414"/>
      <c r="XCK37" s="414"/>
      <c r="XCL37" s="414"/>
      <c r="XCM37" s="414"/>
      <c r="XCN37" s="414"/>
      <c r="XCO37" s="414"/>
      <c r="XCP37" s="414"/>
      <c r="XCQ37" s="414"/>
      <c r="XCR37" s="414"/>
      <c r="XCS37" s="414"/>
      <c r="XCT37" s="414"/>
      <c r="XCU37" s="414"/>
      <c r="XCV37" s="414"/>
      <c r="XCW37" s="414"/>
      <c r="XCX37" s="414"/>
      <c r="XCY37" s="414"/>
      <c r="XCZ37" s="414"/>
      <c r="XDA37" s="414"/>
      <c r="XDB37" s="414"/>
      <c r="XDC37" s="414"/>
      <c r="XDD37" s="414"/>
      <c r="XDE37" s="414"/>
      <c r="XDF37" s="414"/>
      <c r="XDG37" s="414"/>
      <c r="XDH37" s="414"/>
      <c r="XDI37" s="414"/>
      <c r="XDJ37" s="414"/>
      <c r="XDK37" s="414"/>
      <c r="XDL37" s="414"/>
      <c r="XDM37" s="414"/>
      <c r="XDN37" s="414"/>
      <c r="XDO37" s="414"/>
      <c r="XDP37" s="414"/>
      <c r="XDQ37" s="414"/>
      <c r="XDR37" s="414"/>
      <c r="XDS37" s="414"/>
      <c r="XDT37" s="414"/>
      <c r="XDU37" s="414"/>
      <c r="XDV37" s="414"/>
      <c r="XDW37" s="414"/>
      <c r="XDX37" s="414"/>
      <c r="XDY37" s="414"/>
      <c r="XDZ37" s="414"/>
      <c r="XEA37" s="414"/>
      <c r="XEB37" s="414"/>
      <c r="XEC37" s="414"/>
      <c r="XED37" s="414"/>
      <c r="XEE37" s="414"/>
      <c r="XEF37" s="414"/>
      <c r="XEG37" s="414"/>
      <c r="XEH37" s="414"/>
      <c r="XEI37" s="414"/>
      <c r="XEJ37" s="414"/>
      <c r="XEK37" s="414"/>
      <c r="XEL37" s="414"/>
      <c r="XEM37" s="414"/>
      <c r="XEN37" s="414"/>
      <c r="XEO37" s="414"/>
      <c r="XEP37" s="414"/>
      <c r="XEQ37" s="414"/>
      <c r="XER37" s="414"/>
      <c r="XES37" s="414"/>
      <c r="XET37" s="414"/>
      <c r="XEU37" s="414"/>
      <c r="XEV37" s="414"/>
      <c r="XEW37" s="414"/>
      <c r="XEX37" s="414"/>
      <c r="XEY37" s="414"/>
      <c r="XEZ37" s="414"/>
      <c r="XFA37" s="414"/>
    </row>
    <row r="38" spans="1:16381" s="609" customFormat="1" ht="25.5">
      <c r="A38" s="609" t="str">
        <f t="shared" si="0"/>
        <v>BKK Mobil Oil v. 01.09.2009</v>
      </c>
      <c r="B38" s="609">
        <f>ROW()</f>
        <v>38</v>
      </c>
      <c r="C38" s="635" t="s">
        <v>788</v>
      </c>
      <c r="D38" s="1201">
        <v>40057</v>
      </c>
      <c r="E38" s="636" t="s">
        <v>776</v>
      </c>
      <c r="F38" s="637" t="str">
        <f t="shared" si="5"/>
        <v/>
      </c>
      <c r="G38" s="634" t="str">
        <f t="shared" si="2"/>
        <v xml:space="preserve">TO ermöglicht: doppelten Kostenabzug; </v>
      </c>
      <c r="I38" s="634"/>
      <c r="J38" s="784"/>
      <c r="K38" s="1199"/>
      <c r="L38" s="1199">
        <v>2</v>
      </c>
      <c r="M38" s="1199"/>
      <c r="N38" s="1199"/>
      <c r="O38" s="789" t="s">
        <v>812</v>
      </c>
      <c r="P38" s="144">
        <f t="shared" si="6"/>
        <v>2</v>
      </c>
    </row>
    <row r="39" spans="1:16381" s="609" customFormat="1" ht="25.5">
      <c r="A39" s="609" t="str">
        <f t="shared" si="0"/>
        <v>BKK VBU 2012 kongruent TO v. 01.11.2012</v>
      </c>
      <c r="B39" s="609">
        <f>ROW()</f>
        <v>39</v>
      </c>
      <c r="C39" s="635" t="s">
        <v>1147</v>
      </c>
      <c r="D39" s="1201">
        <v>41214</v>
      </c>
      <c r="E39" s="636" t="s">
        <v>769</v>
      </c>
      <c r="F39" s="637" t="str">
        <f t="shared" si="5"/>
        <v/>
      </c>
      <c r="G39" s="634" t="str">
        <f t="shared" si="2"/>
        <v xml:space="preserve">TO ermöglicht: doppelten Kostenabzug; </v>
      </c>
      <c r="I39" s="634"/>
      <c r="J39" s="788"/>
      <c r="K39" s="1199"/>
      <c r="L39" s="1199">
        <v>2</v>
      </c>
      <c r="M39" s="1199"/>
      <c r="N39" s="1199"/>
      <c r="O39" s="789" t="s">
        <v>812</v>
      </c>
      <c r="P39" s="144">
        <f t="shared" si="6"/>
        <v>2</v>
      </c>
    </row>
    <row r="40" spans="1:16381" s="609" customFormat="1" ht="25.5">
      <c r="A40" s="609" t="str">
        <f t="shared" si="0"/>
        <v>BKK VBU 2012 partiell TO v. 01.11.2012</v>
      </c>
      <c r="B40" s="609">
        <f>ROW()</f>
        <v>40</v>
      </c>
      <c r="C40" s="635" t="s">
        <v>1148</v>
      </c>
      <c r="D40" s="1201">
        <v>41214</v>
      </c>
      <c r="E40" s="636" t="s">
        <v>769</v>
      </c>
      <c r="F40" s="637" t="str">
        <f t="shared" si="5"/>
        <v/>
      </c>
      <c r="G40" s="634" t="str">
        <f t="shared" si="2"/>
        <v xml:space="preserve">TO ermöglicht: doppelten Kostenabzug; </v>
      </c>
      <c r="I40" s="634"/>
      <c r="J40" s="784"/>
      <c r="K40" s="1199"/>
      <c r="L40" s="1199">
        <v>2</v>
      </c>
      <c r="M40" s="1199"/>
      <c r="N40" s="1199"/>
      <c r="O40" s="789" t="s">
        <v>812</v>
      </c>
      <c r="P40" s="144">
        <f t="shared" si="6"/>
        <v>2</v>
      </c>
    </row>
    <row r="41" spans="1:16381" s="609" customFormat="1" ht="25.5">
      <c r="A41" s="609" t="str">
        <f t="shared" si="0"/>
        <v>BKK VBU kongruent v. 01.11.2012</v>
      </c>
      <c r="B41" s="609">
        <f>ROW()</f>
        <v>41</v>
      </c>
      <c r="C41" s="635" t="s">
        <v>789</v>
      </c>
      <c r="D41" s="1201">
        <v>41214</v>
      </c>
      <c r="E41" s="636" t="s">
        <v>791</v>
      </c>
      <c r="F41" s="637" t="str">
        <f t="shared" si="5"/>
        <v/>
      </c>
      <c r="G41" s="634" t="str">
        <f t="shared" si="2"/>
        <v xml:space="preserve">TO ermöglicht: doppelten Kostenabzug; </v>
      </c>
      <c r="I41" s="634"/>
      <c r="J41" s="784"/>
      <c r="K41" s="1199"/>
      <c r="L41" s="1199">
        <v>2</v>
      </c>
      <c r="M41" s="1199"/>
      <c r="N41" s="1199"/>
      <c r="O41" s="789" t="s">
        <v>812</v>
      </c>
      <c r="P41" s="144">
        <f t="shared" si="6"/>
        <v>2</v>
      </c>
    </row>
    <row r="42" spans="1:16381" s="609" customFormat="1" ht="25.5">
      <c r="A42" s="609" t="str">
        <f t="shared" si="0"/>
        <v>BKK VBU partiell v. 01.11.2012</v>
      </c>
      <c r="B42" s="609">
        <f>ROW()</f>
        <v>42</v>
      </c>
      <c r="C42" s="635" t="s">
        <v>790</v>
      </c>
      <c r="D42" s="1201">
        <v>41214</v>
      </c>
      <c r="E42" s="636" t="s">
        <v>792</v>
      </c>
      <c r="F42" s="637" t="str">
        <f t="shared" si="5"/>
        <v/>
      </c>
      <c r="G42" s="634" t="str">
        <f t="shared" si="2"/>
        <v xml:space="preserve">TO ermöglicht: doppelten Kostenabzug; </v>
      </c>
      <c r="I42" s="634"/>
      <c r="J42" s="788"/>
      <c r="K42" s="1199"/>
      <c r="L42" s="1199">
        <v>2</v>
      </c>
      <c r="M42" s="1199"/>
      <c r="N42" s="1199"/>
      <c r="O42" s="789" t="s">
        <v>812</v>
      </c>
      <c r="P42" s="144">
        <f t="shared" si="6"/>
        <v>2</v>
      </c>
    </row>
    <row r="43" spans="1:16381" s="609" customFormat="1" ht="22.5">
      <c r="A43" s="609" t="str">
        <f t="shared" si="0"/>
        <v>Bochumer Verband - Arbeitgeberfinanzierte Versorg. v. 01.09.2009</v>
      </c>
      <c r="B43" s="609">
        <f>ROW()</f>
        <v>43</v>
      </c>
      <c r="C43" s="635" t="s">
        <v>1007</v>
      </c>
      <c r="D43" s="1201">
        <v>40057</v>
      </c>
      <c r="E43" s="636" t="s">
        <v>655</v>
      </c>
      <c r="F43" s="637" t="str">
        <f t="shared" si="5"/>
        <v/>
      </c>
      <c r="G43" s="634" t="str">
        <f t="shared" si="2"/>
        <v xml:space="preserve">TO ermöglicht: doppelten Kostenabzug;  Abweichungen vom gerichtl. festgelegten Ausgleichswert; </v>
      </c>
      <c r="I43" s="634"/>
      <c r="J43" s="784"/>
      <c r="K43" s="1199"/>
      <c r="L43" s="1199">
        <v>2</v>
      </c>
      <c r="M43" s="1199">
        <v>3</v>
      </c>
      <c r="N43" s="1199"/>
      <c r="O43" s="785"/>
      <c r="P43" s="144">
        <f t="shared" si="6"/>
        <v>5</v>
      </c>
    </row>
    <row r="44" spans="1:16381" s="609" customFormat="1" ht="22.5">
      <c r="A44" s="609" t="str">
        <f t="shared" si="0"/>
        <v>Bochumer Verband - Entgeldumwandlung v. 01.09.2009</v>
      </c>
      <c r="B44" s="609">
        <f>ROW()</f>
        <v>44</v>
      </c>
      <c r="C44" s="635" t="s">
        <v>1006</v>
      </c>
      <c r="D44" s="1201">
        <v>40057</v>
      </c>
      <c r="E44" s="636" t="s">
        <v>655</v>
      </c>
      <c r="F44" s="637" t="str">
        <f t="shared" si="5"/>
        <v/>
      </c>
      <c r="G44" s="634" t="str">
        <f t="shared" si="2"/>
        <v xml:space="preserve">TO ermöglicht: doppelten Kostenabzug;  Abweichungen vom gerichtl. festgelegten Ausgleichswert; </v>
      </c>
      <c r="I44" s="634"/>
      <c r="J44" s="784"/>
      <c r="K44" s="1199"/>
      <c r="L44" s="1199">
        <v>2</v>
      </c>
      <c r="M44" s="1199">
        <v>3</v>
      </c>
      <c r="N44" s="1199"/>
      <c r="O44" s="785"/>
      <c r="P44" s="144">
        <f t="shared" si="6"/>
        <v>5</v>
      </c>
    </row>
    <row r="45" spans="1:16381" s="609" customFormat="1">
      <c r="A45" s="609" t="str">
        <f t="shared" si="0"/>
        <v>Boehringer Ingelheim KG v. 01.07.2021</v>
      </c>
      <c r="B45" s="609">
        <f>ROW()</f>
        <v>45</v>
      </c>
      <c r="C45" s="635" t="s">
        <v>1272</v>
      </c>
      <c r="D45" s="1201">
        <v>44378</v>
      </c>
      <c r="E45" s="636" t="s">
        <v>776</v>
      </c>
      <c r="F45" s="637" t="str">
        <f t="shared" si="5"/>
        <v/>
      </c>
      <c r="G45" s="634" t="str">
        <f t="shared" si="2"/>
        <v xml:space="preserve">TO ermöglicht: doppelten Kostenabzug; </v>
      </c>
      <c r="I45" s="634"/>
      <c r="J45" s="788"/>
      <c r="K45" s="1199"/>
      <c r="L45" s="1199">
        <v>2</v>
      </c>
      <c r="M45" s="1199"/>
      <c r="N45" s="1199"/>
      <c r="O45" s="789"/>
      <c r="P45" s="144">
        <f t="shared" si="6"/>
        <v>2</v>
      </c>
    </row>
    <row r="46" spans="1:16381" s="609" customFormat="1" ht="25.5">
      <c r="A46" s="609" t="str">
        <f t="shared" si="0"/>
        <v>Boge Elastmetall Unterstützungskasse e.V. v. 01.01.2018</v>
      </c>
      <c r="B46" s="609">
        <f>ROW()</f>
        <v>46</v>
      </c>
      <c r="C46" s="635" t="s">
        <v>805</v>
      </c>
      <c r="D46" s="1201">
        <v>43101</v>
      </c>
      <c r="E46" s="636" t="s">
        <v>776</v>
      </c>
      <c r="F46" s="637" t="str">
        <f t="shared" si="5"/>
        <v/>
      </c>
      <c r="G46" s="634" t="str">
        <f t="shared" si="2"/>
        <v xml:space="preserve">TO ermöglicht: doppelten Kostenabzug; </v>
      </c>
      <c r="I46" s="634"/>
      <c r="J46" s="788"/>
      <c r="K46" s="1199"/>
      <c r="L46" s="1199">
        <v>2</v>
      </c>
      <c r="M46" s="1199"/>
      <c r="N46" s="1199"/>
      <c r="O46" s="789" t="s">
        <v>812</v>
      </c>
      <c r="P46" s="144">
        <f t="shared" si="6"/>
        <v>2</v>
      </c>
    </row>
    <row r="47" spans="1:16381" s="609" customFormat="1" ht="25.5">
      <c r="A47" s="609" t="str">
        <f t="shared" si="0"/>
        <v>Bombardier_TransportationTO v. 01.09.2009</v>
      </c>
      <c r="B47" s="609">
        <f>ROW()</f>
        <v>47</v>
      </c>
      <c r="C47" s="635" t="s">
        <v>1149</v>
      </c>
      <c r="D47" s="1201">
        <v>40057</v>
      </c>
      <c r="E47" s="636" t="s">
        <v>769</v>
      </c>
      <c r="F47" s="637" t="str">
        <f t="shared" si="5"/>
        <v/>
      </c>
      <c r="G47" s="634" t="str">
        <f t="shared" si="2"/>
        <v xml:space="preserve">TO ermöglicht: doppelten Kostenabzug; </v>
      </c>
      <c r="I47" s="634"/>
      <c r="J47" s="788"/>
      <c r="K47" s="1199"/>
      <c r="L47" s="1199">
        <v>2</v>
      </c>
      <c r="M47" s="1199"/>
      <c r="N47" s="1199"/>
      <c r="O47" s="789" t="s">
        <v>812</v>
      </c>
      <c r="P47" s="144">
        <f t="shared" si="6"/>
        <v>2</v>
      </c>
    </row>
    <row r="48" spans="1:16381" s="609" customFormat="1" ht="33.75">
      <c r="A48" s="609" t="str">
        <f t="shared" si="0"/>
        <v>BP Europa SE v. 01.09.2009</v>
      </c>
      <c r="B48" s="609">
        <f>ROW()</f>
        <v>48</v>
      </c>
      <c r="C48" s="635" t="s">
        <v>1570</v>
      </c>
      <c r="D48" s="1201">
        <v>40057</v>
      </c>
      <c r="E48" s="636" t="s">
        <v>769</v>
      </c>
      <c r="F48" s="637"/>
      <c r="G48" s="634" t="str">
        <f t="shared" si="2"/>
        <v xml:space="preserve">TO ermöglicht: doppelten Kostenabzug; </v>
      </c>
      <c r="I48" s="634" t="s">
        <v>1571</v>
      </c>
      <c r="J48" s="788"/>
      <c r="K48" s="1199"/>
      <c r="L48" s="1199">
        <v>2</v>
      </c>
      <c r="M48" s="1199"/>
      <c r="N48" s="1199"/>
      <c r="O48" s="789"/>
      <c r="P48" s="144">
        <f t="shared" si="6"/>
        <v>2</v>
      </c>
    </row>
    <row r="49" spans="1:16381" s="609" customFormat="1" ht="25.5">
      <c r="A49" s="609" t="str">
        <f t="shared" si="0"/>
        <v>BVV, Banken Versicherungs Verein v. 01.07.2016</v>
      </c>
      <c r="B49" s="609">
        <f>ROW()</f>
        <v>49</v>
      </c>
      <c r="C49" s="635" t="s">
        <v>1658</v>
      </c>
      <c r="D49" s="1201">
        <v>42552</v>
      </c>
      <c r="E49" s="636" t="s">
        <v>1071</v>
      </c>
      <c r="F49" s="637" t="str">
        <f t="shared" si="5"/>
        <v/>
      </c>
      <c r="G49" s="634" t="str">
        <f t="shared" si="2"/>
        <v>TO ermöglicht: doppelten Kostenabzug;  Verzinsung zwischen EzE und RK geltend machen</v>
      </c>
      <c r="I49" s="634" t="str">
        <f>+J49</f>
        <v>OLG FfM 4 UF 49/17</v>
      </c>
      <c r="J49" s="788" t="s">
        <v>747</v>
      </c>
      <c r="K49" s="1199"/>
      <c r="L49" s="1199">
        <v>2</v>
      </c>
      <c r="M49" s="1199"/>
      <c r="N49" s="1199">
        <v>4</v>
      </c>
      <c r="O49" s="789" t="s">
        <v>812</v>
      </c>
      <c r="P49" s="144">
        <f t="shared" si="6"/>
        <v>6</v>
      </c>
    </row>
    <row r="50" spans="1:16381" s="609" customFormat="1">
      <c r="A50" s="609" t="str">
        <f t="shared" si="0"/>
        <v>C &amp; A Services GmbH &amp; Co. OHG v. 01.02.2017</v>
      </c>
      <c r="B50" s="609">
        <f>ROW()</f>
        <v>50</v>
      </c>
      <c r="C50" s="635" t="s">
        <v>1546</v>
      </c>
      <c r="D50" s="1201">
        <v>42767</v>
      </c>
      <c r="E50" s="636" t="s">
        <v>1547</v>
      </c>
      <c r="F50" s="637" t="str">
        <f t="shared" si="5"/>
        <v/>
      </c>
      <c r="G50" s="634" t="str">
        <f t="shared" si="2"/>
        <v>TO ermöglicht:  Verzinsung zwischen EzE und RK geltend machen</v>
      </c>
      <c r="I50" s="634"/>
      <c r="J50" s="784"/>
      <c r="K50" s="1199"/>
      <c r="L50" s="1199"/>
      <c r="M50" s="1199"/>
      <c r="N50" s="1199">
        <v>4</v>
      </c>
      <c r="O50" s="793"/>
      <c r="P50" s="144">
        <f t="shared" si="6"/>
        <v>4</v>
      </c>
    </row>
    <row r="51" spans="1:16381" s="609" customFormat="1" ht="33.75">
      <c r="A51" s="609" t="str">
        <f t="shared" si="0"/>
        <v>Carl Zeiss AG v. 27.10.2016</v>
      </c>
      <c r="B51" s="609">
        <f>ROW()</f>
        <v>51</v>
      </c>
      <c r="C51" s="635" t="s">
        <v>1557</v>
      </c>
      <c r="D51" s="1201">
        <v>42670</v>
      </c>
      <c r="E51" s="636" t="s">
        <v>486</v>
      </c>
      <c r="F51" s="637"/>
      <c r="G51" s="634" t="str">
        <f t="shared" si="2"/>
        <v/>
      </c>
      <c r="I51" s="634" t="s">
        <v>1558</v>
      </c>
      <c r="J51" s="784"/>
      <c r="K51" s="1199"/>
      <c r="L51" s="1199"/>
      <c r="M51" s="1199"/>
      <c r="N51" s="1199"/>
      <c r="O51" s="793"/>
      <c r="P51" s="144"/>
    </row>
    <row r="52" spans="1:16381" s="609" customFormat="1">
      <c r="A52" s="609" t="str">
        <f t="shared" si="0"/>
        <v xml:space="preserve">Continental </v>
      </c>
      <c r="B52" s="609">
        <f>ROW()</f>
        <v>52</v>
      </c>
      <c r="C52" s="635" t="s">
        <v>746</v>
      </c>
      <c r="D52" s="1201"/>
      <c r="E52" s="636"/>
      <c r="F52" s="637" t="str">
        <f t="shared" si="5"/>
        <v>Ja</v>
      </c>
      <c r="G52" s="634" t="str">
        <f t="shared" si="2"/>
        <v xml:space="preserve">TO ermöglicht: Tarifwechel; </v>
      </c>
      <c r="I52" s="634"/>
      <c r="J52" s="784"/>
      <c r="K52" s="1199">
        <v>1</v>
      </c>
      <c r="L52" s="1199"/>
      <c r="M52" s="1199"/>
      <c r="N52" s="1199"/>
      <c r="O52" s="793"/>
      <c r="P52" s="144">
        <f t="shared" si="6"/>
        <v>1</v>
      </c>
    </row>
    <row r="53" spans="1:16381" ht="25.5">
      <c r="A53" s="609" t="str">
        <f t="shared" si="0"/>
        <v>COOP eG Gesamr Versorgungsrichtlinie v. 01.09.2009</v>
      </c>
      <c r="B53" s="609">
        <f>ROW()</f>
        <v>53</v>
      </c>
      <c r="C53" s="635" t="s">
        <v>796</v>
      </c>
      <c r="D53" s="1201">
        <v>40057</v>
      </c>
      <c r="E53" s="636" t="s">
        <v>776</v>
      </c>
      <c r="F53" s="637" t="str">
        <f t="shared" si="5"/>
        <v/>
      </c>
      <c r="G53" s="634" t="str">
        <f t="shared" si="2"/>
        <v xml:space="preserve">TO ermöglicht: doppelten Kostenabzug; </v>
      </c>
      <c r="H53" s="609"/>
      <c r="K53" s="1199"/>
      <c r="L53" s="1199">
        <v>2</v>
      </c>
      <c r="M53" s="1199"/>
      <c r="N53" s="1199"/>
      <c r="O53" s="789" t="s">
        <v>812</v>
      </c>
      <c r="P53" s="144">
        <f t="shared" si="6"/>
        <v>2</v>
      </c>
      <c r="Q53" s="609"/>
      <c r="R53" s="609"/>
      <c r="S53" s="609"/>
      <c r="T53" s="609"/>
      <c r="U53" s="609"/>
      <c r="V53" s="609"/>
      <c r="W53" s="609"/>
      <c r="X53" s="609"/>
      <c r="Y53" s="609"/>
      <c r="Z53" s="609"/>
      <c r="AA53" s="609"/>
      <c r="AB53" s="609"/>
      <c r="AC53" s="609"/>
      <c r="AD53" s="609"/>
      <c r="AE53" s="609"/>
      <c r="AF53" s="609"/>
      <c r="AG53" s="609"/>
      <c r="AH53" s="609"/>
      <c r="AI53" s="609"/>
      <c r="AJ53" s="609"/>
      <c r="AK53" s="609"/>
      <c r="AL53" s="609"/>
      <c r="AM53" s="609"/>
      <c r="AN53" s="609"/>
      <c r="AO53" s="609"/>
      <c r="AP53" s="609"/>
      <c r="AQ53" s="609"/>
      <c r="AR53" s="609"/>
      <c r="AS53" s="609"/>
      <c r="AT53" s="609"/>
      <c r="AU53" s="609"/>
      <c r="AV53" s="609"/>
      <c r="AW53" s="609"/>
      <c r="AX53" s="609"/>
      <c r="AY53" s="609"/>
      <c r="AZ53" s="609"/>
      <c r="BA53" s="609"/>
      <c r="BB53" s="609"/>
      <c r="BC53" s="609"/>
      <c r="BD53" s="609"/>
      <c r="BE53" s="609"/>
      <c r="BF53" s="609"/>
      <c r="BG53" s="609"/>
      <c r="BH53" s="609"/>
      <c r="BI53" s="609"/>
      <c r="BJ53" s="609"/>
      <c r="BK53" s="609"/>
      <c r="BL53" s="609"/>
      <c r="BM53" s="609"/>
      <c r="BN53" s="609"/>
      <c r="BO53" s="609"/>
      <c r="BP53" s="609"/>
      <c r="BQ53" s="609"/>
      <c r="BR53" s="609"/>
      <c r="BS53" s="609"/>
      <c r="BT53" s="609"/>
      <c r="BU53" s="609"/>
      <c r="BV53" s="609"/>
      <c r="BW53" s="609"/>
      <c r="BX53" s="609"/>
      <c r="BY53" s="609"/>
      <c r="BZ53" s="609"/>
      <c r="CA53" s="609"/>
      <c r="CB53" s="609"/>
      <c r="CC53" s="609"/>
      <c r="CD53" s="609"/>
      <c r="CE53" s="609"/>
      <c r="CF53" s="609"/>
      <c r="CG53" s="609"/>
      <c r="CH53" s="609"/>
      <c r="CI53" s="609"/>
      <c r="CJ53" s="609"/>
      <c r="CK53" s="609"/>
      <c r="CL53" s="609"/>
      <c r="CM53" s="609"/>
      <c r="CN53" s="609"/>
      <c r="CO53" s="609"/>
      <c r="CP53" s="609"/>
      <c r="CQ53" s="609"/>
      <c r="CR53" s="609"/>
      <c r="CS53" s="609"/>
      <c r="CT53" s="609"/>
      <c r="CU53" s="609"/>
      <c r="CV53" s="609"/>
      <c r="CW53" s="609"/>
      <c r="CX53" s="609"/>
      <c r="CY53" s="609"/>
      <c r="CZ53" s="609"/>
      <c r="DA53" s="609"/>
      <c r="DB53" s="609"/>
      <c r="DC53" s="609"/>
      <c r="DD53" s="609"/>
      <c r="DE53" s="609"/>
      <c r="DF53" s="609"/>
      <c r="DG53" s="609"/>
      <c r="DH53" s="609"/>
      <c r="DI53" s="609"/>
      <c r="DJ53" s="609"/>
      <c r="DK53" s="609"/>
      <c r="DL53" s="609"/>
      <c r="DM53" s="609"/>
      <c r="DN53" s="609"/>
      <c r="DO53" s="609"/>
      <c r="DP53" s="609"/>
      <c r="DQ53" s="609"/>
      <c r="DR53" s="609"/>
      <c r="DS53" s="609"/>
      <c r="DT53" s="609"/>
      <c r="DU53" s="609"/>
      <c r="DV53" s="609"/>
      <c r="DW53" s="609"/>
      <c r="DX53" s="609"/>
      <c r="DY53" s="609"/>
      <c r="DZ53" s="609"/>
      <c r="EA53" s="609"/>
      <c r="EB53" s="609"/>
      <c r="EC53" s="609"/>
      <c r="ED53" s="609"/>
      <c r="EE53" s="609"/>
      <c r="EF53" s="609"/>
      <c r="EG53" s="609"/>
      <c r="EH53" s="609"/>
      <c r="EI53" s="609"/>
      <c r="EJ53" s="609"/>
      <c r="EK53" s="609"/>
      <c r="EL53" s="609"/>
      <c r="EM53" s="609"/>
      <c r="EN53" s="609"/>
      <c r="EO53" s="609"/>
      <c r="EP53" s="609"/>
      <c r="EQ53" s="609"/>
      <c r="ER53" s="609"/>
      <c r="ES53" s="609"/>
      <c r="ET53" s="609"/>
      <c r="EU53" s="609"/>
      <c r="EV53" s="609"/>
      <c r="EW53" s="609"/>
      <c r="EX53" s="609"/>
      <c r="EY53" s="609"/>
      <c r="EZ53" s="609"/>
      <c r="FA53" s="609"/>
      <c r="FB53" s="609"/>
      <c r="FC53" s="609"/>
      <c r="FD53" s="609"/>
      <c r="FE53" s="609"/>
      <c r="FF53" s="609"/>
      <c r="FG53" s="609"/>
      <c r="FH53" s="609"/>
      <c r="FI53" s="609"/>
      <c r="FJ53" s="609"/>
      <c r="FK53" s="609"/>
      <c r="FL53" s="609"/>
      <c r="FM53" s="609"/>
      <c r="FN53" s="609"/>
      <c r="FO53" s="609"/>
      <c r="FP53" s="609"/>
      <c r="FQ53" s="609"/>
      <c r="FR53" s="609"/>
      <c r="FS53" s="609"/>
      <c r="FT53" s="609"/>
      <c r="FU53" s="609"/>
      <c r="FV53" s="609"/>
      <c r="FW53" s="609"/>
      <c r="FX53" s="609"/>
      <c r="FY53" s="609"/>
      <c r="FZ53" s="609"/>
      <c r="GA53" s="609"/>
      <c r="GB53" s="609"/>
      <c r="GC53" s="609"/>
      <c r="GD53" s="609"/>
      <c r="GE53" s="609"/>
      <c r="GF53" s="609"/>
      <c r="GG53" s="609"/>
      <c r="GH53" s="609"/>
      <c r="GI53" s="609"/>
      <c r="GJ53" s="609"/>
      <c r="GK53" s="609"/>
      <c r="GL53" s="609"/>
      <c r="GM53" s="609"/>
      <c r="GN53" s="609"/>
      <c r="GO53" s="609"/>
      <c r="GP53" s="609"/>
      <c r="GQ53" s="609"/>
      <c r="GR53" s="609"/>
      <c r="GS53" s="609"/>
      <c r="GT53" s="609"/>
      <c r="GU53" s="609"/>
      <c r="GV53" s="609"/>
      <c r="GW53" s="609"/>
      <c r="GX53" s="609"/>
      <c r="GY53" s="609"/>
      <c r="GZ53" s="609"/>
      <c r="HA53" s="609"/>
      <c r="HB53" s="609"/>
      <c r="HC53" s="609"/>
      <c r="HD53" s="609"/>
      <c r="HE53" s="609"/>
      <c r="HF53" s="609"/>
      <c r="HG53" s="609"/>
      <c r="HH53" s="609"/>
      <c r="HI53" s="609"/>
      <c r="HJ53" s="609"/>
      <c r="HK53" s="609"/>
      <c r="HL53" s="609"/>
      <c r="HM53" s="609"/>
      <c r="HN53" s="609"/>
      <c r="HO53" s="609"/>
      <c r="HP53" s="609"/>
      <c r="HQ53" s="609"/>
      <c r="HR53" s="609"/>
      <c r="HS53" s="609"/>
      <c r="HT53" s="609"/>
      <c r="HU53" s="609"/>
      <c r="HV53" s="609"/>
      <c r="HW53" s="609"/>
      <c r="HX53" s="609"/>
      <c r="HY53" s="609"/>
      <c r="HZ53" s="609"/>
      <c r="IA53" s="609"/>
      <c r="IB53" s="609"/>
      <c r="IC53" s="609"/>
      <c r="ID53" s="609"/>
      <c r="IE53" s="609"/>
      <c r="IF53" s="609"/>
      <c r="IG53" s="609"/>
      <c r="IH53" s="609"/>
      <c r="II53" s="609"/>
      <c r="IJ53" s="609"/>
      <c r="IK53" s="609"/>
      <c r="IL53" s="609"/>
      <c r="IM53" s="609"/>
      <c r="IN53" s="609"/>
      <c r="IO53" s="609"/>
      <c r="IP53" s="609"/>
      <c r="IQ53" s="609"/>
      <c r="IR53" s="609"/>
      <c r="IS53" s="609"/>
      <c r="IT53" s="609"/>
      <c r="IU53" s="609"/>
      <c r="IV53" s="609"/>
      <c r="IW53" s="609"/>
      <c r="IX53" s="609"/>
      <c r="IY53" s="609"/>
      <c r="IZ53" s="609"/>
      <c r="JA53" s="609"/>
      <c r="JB53" s="609"/>
      <c r="JC53" s="609"/>
      <c r="JD53" s="609"/>
      <c r="JE53" s="609"/>
      <c r="JF53" s="609"/>
      <c r="JG53" s="609"/>
      <c r="JH53" s="609"/>
      <c r="JI53" s="609"/>
      <c r="JJ53" s="609"/>
      <c r="JK53" s="609"/>
      <c r="JL53" s="609"/>
      <c r="JM53" s="609"/>
      <c r="JN53" s="609"/>
      <c r="JO53" s="609"/>
      <c r="JP53" s="609"/>
      <c r="JQ53" s="609"/>
      <c r="JR53" s="609"/>
      <c r="JS53" s="609"/>
      <c r="JT53" s="609"/>
      <c r="JU53" s="609"/>
      <c r="JV53" s="609"/>
      <c r="JW53" s="609"/>
      <c r="JX53" s="609"/>
      <c r="JY53" s="609"/>
      <c r="JZ53" s="609"/>
      <c r="KA53" s="609"/>
      <c r="KB53" s="609"/>
      <c r="KC53" s="609"/>
      <c r="KD53" s="609"/>
      <c r="KE53" s="609"/>
      <c r="KF53" s="609"/>
      <c r="KG53" s="609"/>
      <c r="KH53" s="609"/>
      <c r="KI53" s="609"/>
      <c r="KJ53" s="609"/>
      <c r="KK53" s="609"/>
      <c r="KL53" s="609"/>
      <c r="KM53" s="609"/>
      <c r="KN53" s="609"/>
      <c r="KO53" s="609"/>
      <c r="KP53" s="609"/>
      <c r="KQ53" s="609"/>
      <c r="KR53" s="609"/>
      <c r="KS53" s="609"/>
      <c r="KT53" s="609"/>
      <c r="KU53" s="609"/>
      <c r="KV53" s="609"/>
      <c r="KW53" s="609"/>
      <c r="KX53" s="609"/>
      <c r="KY53" s="609"/>
      <c r="KZ53" s="609"/>
      <c r="LA53" s="609"/>
      <c r="LB53" s="609"/>
      <c r="LC53" s="609"/>
      <c r="LD53" s="609"/>
      <c r="LE53" s="609"/>
      <c r="LF53" s="609"/>
      <c r="LG53" s="609"/>
      <c r="LH53" s="609"/>
      <c r="LI53" s="609"/>
      <c r="LJ53" s="609"/>
      <c r="LK53" s="609"/>
      <c r="LL53" s="609"/>
      <c r="LM53" s="609"/>
      <c r="LN53" s="609"/>
      <c r="LO53" s="609"/>
      <c r="LP53" s="609"/>
      <c r="LQ53" s="609"/>
      <c r="LR53" s="609"/>
      <c r="LS53" s="609"/>
      <c r="LT53" s="609"/>
      <c r="LU53" s="609"/>
      <c r="LV53" s="609"/>
      <c r="LW53" s="609"/>
      <c r="LX53" s="609"/>
      <c r="LY53" s="609"/>
      <c r="LZ53" s="609"/>
      <c r="MA53" s="609"/>
      <c r="MB53" s="609"/>
      <c r="MC53" s="609"/>
      <c r="MD53" s="609"/>
      <c r="ME53" s="609"/>
      <c r="MF53" s="609"/>
      <c r="MG53" s="609"/>
      <c r="MH53" s="609"/>
      <c r="MI53" s="609"/>
      <c r="MJ53" s="609"/>
      <c r="MK53" s="609"/>
      <c r="ML53" s="609"/>
      <c r="MM53" s="609"/>
      <c r="MN53" s="609"/>
      <c r="MO53" s="609"/>
      <c r="MP53" s="609"/>
      <c r="MQ53" s="609"/>
      <c r="MR53" s="609"/>
      <c r="MS53" s="609"/>
      <c r="MT53" s="609"/>
      <c r="MU53" s="609"/>
      <c r="MV53" s="609"/>
      <c r="MW53" s="609"/>
      <c r="MX53" s="609"/>
      <c r="MY53" s="609"/>
      <c r="MZ53" s="609"/>
      <c r="NA53" s="609"/>
      <c r="NB53" s="609"/>
      <c r="NC53" s="609"/>
      <c r="ND53" s="609"/>
      <c r="NE53" s="609"/>
      <c r="NF53" s="609"/>
      <c r="NG53" s="609"/>
      <c r="NH53" s="609"/>
      <c r="NI53" s="609"/>
      <c r="NJ53" s="609"/>
      <c r="NK53" s="609"/>
      <c r="NL53" s="609"/>
      <c r="NM53" s="609"/>
      <c r="NN53" s="609"/>
      <c r="NO53" s="609"/>
      <c r="NP53" s="609"/>
      <c r="NQ53" s="609"/>
      <c r="NR53" s="609"/>
      <c r="NS53" s="609"/>
      <c r="NT53" s="609"/>
      <c r="NU53" s="609"/>
      <c r="NV53" s="609"/>
      <c r="NW53" s="609"/>
      <c r="NX53" s="609"/>
      <c r="NY53" s="609"/>
      <c r="NZ53" s="609"/>
      <c r="OA53" s="609"/>
      <c r="OB53" s="609"/>
      <c r="OC53" s="609"/>
      <c r="OD53" s="609"/>
      <c r="OE53" s="609"/>
      <c r="OF53" s="609"/>
      <c r="OG53" s="609"/>
      <c r="OH53" s="609"/>
      <c r="OI53" s="609"/>
      <c r="OJ53" s="609"/>
      <c r="OK53" s="609"/>
      <c r="OL53" s="609"/>
      <c r="OM53" s="609"/>
      <c r="ON53" s="609"/>
      <c r="OO53" s="609"/>
      <c r="OP53" s="609"/>
      <c r="OQ53" s="609"/>
      <c r="OR53" s="609"/>
      <c r="OS53" s="609"/>
      <c r="OT53" s="609"/>
      <c r="OU53" s="609"/>
      <c r="OV53" s="609"/>
      <c r="OW53" s="609"/>
      <c r="OX53" s="609"/>
      <c r="OY53" s="609"/>
      <c r="OZ53" s="609"/>
      <c r="PA53" s="609"/>
      <c r="PB53" s="609"/>
      <c r="PC53" s="609"/>
      <c r="PD53" s="609"/>
      <c r="PE53" s="609"/>
      <c r="PF53" s="609"/>
      <c r="PG53" s="609"/>
      <c r="PH53" s="609"/>
      <c r="PI53" s="609"/>
      <c r="PJ53" s="609"/>
      <c r="PK53" s="609"/>
      <c r="PL53" s="609"/>
      <c r="PM53" s="609"/>
      <c r="PN53" s="609"/>
      <c r="PO53" s="609"/>
      <c r="PP53" s="609"/>
      <c r="PQ53" s="609"/>
      <c r="PR53" s="609"/>
      <c r="PS53" s="609"/>
      <c r="PT53" s="609"/>
      <c r="PU53" s="609"/>
      <c r="PV53" s="609"/>
      <c r="PW53" s="609"/>
      <c r="PX53" s="609"/>
      <c r="PY53" s="609"/>
      <c r="PZ53" s="609"/>
      <c r="QA53" s="609"/>
      <c r="QB53" s="609"/>
      <c r="QC53" s="609"/>
      <c r="QD53" s="609"/>
      <c r="QE53" s="609"/>
      <c r="QF53" s="609"/>
      <c r="QG53" s="609"/>
      <c r="QH53" s="609"/>
      <c r="QI53" s="609"/>
      <c r="QJ53" s="609"/>
      <c r="QK53" s="609"/>
      <c r="QL53" s="609"/>
      <c r="QM53" s="609"/>
      <c r="QN53" s="609"/>
      <c r="QO53" s="609"/>
      <c r="QP53" s="609"/>
      <c r="QQ53" s="609"/>
      <c r="QR53" s="609"/>
      <c r="QS53" s="609"/>
      <c r="QT53" s="609"/>
      <c r="QU53" s="609"/>
      <c r="QV53" s="609"/>
      <c r="QW53" s="609"/>
      <c r="QX53" s="609"/>
      <c r="QY53" s="609"/>
      <c r="QZ53" s="609"/>
      <c r="RA53" s="609"/>
      <c r="RB53" s="609"/>
      <c r="RC53" s="609"/>
      <c r="RD53" s="609"/>
      <c r="RE53" s="609"/>
      <c r="RF53" s="609"/>
      <c r="RG53" s="609"/>
      <c r="RH53" s="609"/>
      <c r="RI53" s="609"/>
      <c r="RJ53" s="609"/>
      <c r="RK53" s="609"/>
      <c r="RL53" s="609"/>
      <c r="RM53" s="609"/>
      <c r="RN53" s="609"/>
      <c r="RO53" s="609"/>
      <c r="RP53" s="609"/>
      <c r="RQ53" s="609"/>
      <c r="RR53" s="609"/>
      <c r="RS53" s="609"/>
      <c r="RT53" s="609"/>
      <c r="RU53" s="609"/>
      <c r="RV53" s="609"/>
      <c r="RW53" s="609"/>
      <c r="RX53" s="609"/>
      <c r="RY53" s="609"/>
      <c r="RZ53" s="609"/>
      <c r="SA53" s="609"/>
      <c r="SB53" s="609"/>
      <c r="SC53" s="609"/>
      <c r="SD53" s="609"/>
      <c r="SE53" s="609"/>
      <c r="SF53" s="609"/>
      <c r="SG53" s="609"/>
      <c r="SH53" s="609"/>
      <c r="SI53" s="609"/>
      <c r="SJ53" s="609"/>
      <c r="SK53" s="609"/>
      <c r="SL53" s="609"/>
      <c r="SM53" s="609"/>
      <c r="SN53" s="609"/>
      <c r="SO53" s="609"/>
      <c r="SP53" s="609"/>
      <c r="SQ53" s="609"/>
      <c r="SR53" s="609"/>
      <c r="SS53" s="609"/>
      <c r="ST53" s="609"/>
      <c r="SU53" s="609"/>
      <c r="SV53" s="609"/>
      <c r="SW53" s="609"/>
      <c r="SX53" s="609"/>
      <c r="SY53" s="609"/>
      <c r="SZ53" s="609"/>
      <c r="TA53" s="609"/>
      <c r="TB53" s="609"/>
      <c r="TC53" s="609"/>
      <c r="TD53" s="609"/>
      <c r="TE53" s="609"/>
      <c r="TF53" s="609"/>
      <c r="TG53" s="609"/>
      <c r="TH53" s="609"/>
      <c r="TI53" s="609"/>
      <c r="TJ53" s="609"/>
      <c r="TK53" s="609"/>
      <c r="TL53" s="609"/>
      <c r="TM53" s="609"/>
      <c r="TN53" s="609"/>
      <c r="TO53" s="609"/>
      <c r="TP53" s="609"/>
      <c r="TQ53" s="609"/>
      <c r="TR53" s="609"/>
      <c r="TS53" s="609"/>
      <c r="TT53" s="609"/>
      <c r="TU53" s="609"/>
      <c r="TV53" s="609"/>
      <c r="TW53" s="609"/>
      <c r="TX53" s="609"/>
      <c r="TY53" s="609"/>
      <c r="TZ53" s="609"/>
      <c r="UA53" s="609"/>
      <c r="UB53" s="609"/>
      <c r="UC53" s="609"/>
      <c r="UD53" s="609"/>
      <c r="UE53" s="609"/>
      <c r="UF53" s="609"/>
      <c r="UG53" s="609"/>
      <c r="UH53" s="609"/>
      <c r="UI53" s="609"/>
      <c r="UJ53" s="609"/>
      <c r="UK53" s="609"/>
      <c r="UL53" s="609"/>
      <c r="UM53" s="609"/>
      <c r="UN53" s="609"/>
      <c r="UO53" s="609"/>
      <c r="UP53" s="609"/>
      <c r="UQ53" s="609"/>
      <c r="UR53" s="609"/>
      <c r="US53" s="609"/>
      <c r="UT53" s="609"/>
      <c r="UU53" s="609"/>
      <c r="UV53" s="609"/>
      <c r="UW53" s="609"/>
      <c r="UX53" s="609"/>
      <c r="UY53" s="609"/>
      <c r="UZ53" s="609"/>
      <c r="VA53" s="609"/>
      <c r="VB53" s="609"/>
      <c r="VC53" s="609"/>
      <c r="VD53" s="609"/>
      <c r="VE53" s="609"/>
      <c r="VF53" s="609"/>
      <c r="VG53" s="609"/>
      <c r="VH53" s="609"/>
      <c r="VI53" s="609"/>
      <c r="VJ53" s="609"/>
      <c r="VK53" s="609"/>
      <c r="VL53" s="609"/>
      <c r="VM53" s="609"/>
      <c r="VN53" s="609"/>
      <c r="VO53" s="609"/>
      <c r="VP53" s="609"/>
      <c r="VQ53" s="609"/>
      <c r="VR53" s="609"/>
      <c r="VS53" s="609"/>
      <c r="VT53" s="609"/>
      <c r="VU53" s="609"/>
      <c r="VV53" s="609"/>
      <c r="VW53" s="609"/>
      <c r="VX53" s="609"/>
      <c r="VY53" s="609"/>
      <c r="VZ53" s="609"/>
      <c r="WA53" s="609"/>
      <c r="WB53" s="609"/>
      <c r="WC53" s="609"/>
      <c r="WD53" s="609"/>
      <c r="WE53" s="609"/>
      <c r="WF53" s="609"/>
      <c r="WG53" s="609"/>
      <c r="WH53" s="609"/>
      <c r="WI53" s="609"/>
      <c r="WJ53" s="609"/>
      <c r="WK53" s="609"/>
      <c r="WL53" s="609"/>
      <c r="WM53" s="609"/>
      <c r="WN53" s="609"/>
      <c r="WO53" s="609"/>
      <c r="WP53" s="609"/>
      <c r="WQ53" s="609"/>
      <c r="WR53" s="609"/>
      <c r="WS53" s="609"/>
      <c r="WT53" s="609"/>
      <c r="WU53" s="609"/>
      <c r="WV53" s="609"/>
      <c r="WW53" s="609"/>
      <c r="WX53" s="609"/>
      <c r="WY53" s="609"/>
      <c r="WZ53" s="609"/>
      <c r="XA53" s="609"/>
      <c r="XB53" s="609"/>
      <c r="XC53" s="609"/>
      <c r="XD53" s="609"/>
      <c r="XE53" s="609"/>
      <c r="XF53" s="609"/>
      <c r="XG53" s="609"/>
      <c r="XH53" s="609"/>
      <c r="XI53" s="609"/>
      <c r="XJ53" s="609"/>
      <c r="XK53" s="609"/>
      <c r="XL53" s="609"/>
      <c r="XM53" s="609"/>
      <c r="XN53" s="609"/>
      <c r="XO53" s="609"/>
      <c r="XP53" s="609"/>
      <c r="XQ53" s="609"/>
      <c r="XR53" s="609"/>
      <c r="XS53" s="609"/>
      <c r="XT53" s="609"/>
      <c r="XU53" s="609"/>
      <c r="XV53" s="609"/>
      <c r="XW53" s="609"/>
      <c r="XX53" s="609"/>
      <c r="XY53" s="609"/>
      <c r="XZ53" s="609"/>
      <c r="YA53" s="609"/>
      <c r="YB53" s="609"/>
      <c r="YC53" s="609"/>
      <c r="YD53" s="609"/>
      <c r="YE53" s="609"/>
      <c r="YF53" s="609"/>
      <c r="YG53" s="609"/>
      <c r="YH53" s="609"/>
      <c r="YI53" s="609"/>
      <c r="YJ53" s="609"/>
      <c r="YK53" s="609"/>
      <c r="YL53" s="609"/>
      <c r="YM53" s="609"/>
      <c r="YN53" s="609"/>
      <c r="YO53" s="609"/>
      <c r="YP53" s="609"/>
      <c r="YQ53" s="609"/>
      <c r="YR53" s="609"/>
      <c r="YS53" s="609"/>
      <c r="YT53" s="609"/>
      <c r="YU53" s="609"/>
      <c r="YV53" s="609"/>
      <c r="YW53" s="609"/>
      <c r="YX53" s="609"/>
      <c r="YY53" s="609"/>
      <c r="YZ53" s="609"/>
      <c r="ZA53" s="609"/>
      <c r="ZB53" s="609"/>
      <c r="ZC53" s="609"/>
      <c r="ZD53" s="609"/>
      <c r="ZE53" s="609"/>
      <c r="ZF53" s="609"/>
      <c r="ZG53" s="609"/>
      <c r="ZH53" s="609"/>
      <c r="ZI53" s="609"/>
      <c r="ZJ53" s="609"/>
      <c r="ZK53" s="609"/>
      <c r="ZL53" s="609"/>
      <c r="ZM53" s="609"/>
      <c r="ZN53" s="609"/>
      <c r="ZO53" s="609"/>
      <c r="ZP53" s="609"/>
      <c r="ZQ53" s="609"/>
      <c r="ZR53" s="609"/>
      <c r="ZS53" s="609"/>
      <c r="ZT53" s="609"/>
      <c r="ZU53" s="609"/>
      <c r="ZV53" s="609"/>
      <c r="ZW53" s="609"/>
      <c r="ZX53" s="609"/>
      <c r="ZY53" s="609"/>
      <c r="ZZ53" s="609"/>
      <c r="AAA53" s="609"/>
      <c r="AAB53" s="609"/>
      <c r="AAC53" s="609"/>
      <c r="AAD53" s="609"/>
      <c r="AAE53" s="609"/>
      <c r="AAF53" s="609"/>
      <c r="AAG53" s="609"/>
      <c r="AAH53" s="609"/>
      <c r="AAI53" s="609"/>
      <c r="AAJ53" s="609"/>
      <c r="AAK53" s="609"/>
      <c r="AAL53" s="609"/>
      <c r="AAM53" s="609"/>
      <c r="AAN53" s="609"/>
      <c r="AAO53" s="609"/>
      <c r="AAP53" s="609"/>
      <c r="AAQ53" s="609"/>
      <c r="AAR53" s="609"/>
      <c r="AAS53" s="609"/>
      <c r="AAT53" s="609"/>
      <c r="AAU53" s="609"/>
      <c r="AAV53" s="609"/>
      <c r="AAW53" s="609"/>
      <c r="AAX53" s="609"/>
      <c r="AAY53" s="609"/>
      <c r="AAZ53" s="609"/>
      <c r="ABA53" s="609"/>
      <c r="ABB53" s="609"/>
      <c r="ABC53" s="609"/>
      <c r="ABD53" s="609"/>
      <c r="ABE53" s="609"/>
      <c r="ABF53" s="609"/>
      <c r="ABG53" s="609"/>
      <c r="ABH53" s="609"/>
      <c r="ABI53" s="609"/>
      <c r="ABJ53" s="609"/>
      <c r="ABK53" s="609"/>
      <c r="ABL53" s="609"/>
      <c r="ABM53" s="609"/>
      <c r="ABN53" s="609"/>
      <c r="ABO53" s="609"/>
      <c r="ABP53" s="609"/>
      <c r="ABQ53" s="609"/>
      <c r="ABR53" s="609"/>
      <c r="ABS53" s="609"/>
      <c r="ABT53" s="609"/>
      <c r="ABU53" s="609"/>
      <c r="ABV53" s="609"/>
      <c r="ABW53" s="609"/>
      <c r="ABX53" s="609"/>
      <c r="ABY53" s="609"/>
      <c r="ABZ53" s="609"/>
      <c r="ACA53" s="609"/>
      <c r="ACB53" s="609"/>
      <c r="ACC53" s="609"/>
      <c r="ACD53" s="609"/>
      <c r="ACE53" s="609"/>
      <c r="ACF53" s="609"/>
      <c r="ACG53" s="609"/>
      <c r="ACH53" s="609"/>
      <c r="ACI53" s="609"/>
      <c r="ACJ53" s="609"/>
      <c r="ACK53" s="609"/>
      <c r="ACL53" s="609"/>
      <c r="ACM53" s="609"/>
      <c r="ACN53" s="609"/>
      <c r="ACO53" s="609"/>
      <c r="ACP53" s="609"/>
      <c r="ACQ53" s="609"/>
      <c r="ACR53" s="609"/>
      <c r="ACS53" s="609"/>
      <c r="ACT53" s="609"/>
      <c r="ACU53" s="609"/>
      <c r="ACV53" s="609"/>
      <c r="ACW53" s="609"/>
      <c r="ACX53" s="609"/>
      <c r="ACY53" s="609"/>
      <c r="ACZ53" s="609"/>
      <c r="ADA53" s="609"/>
      <c r="ADB53" s="609"/>
      <c r="ADC53" s="609"/>
      <c r="ADD53" s="609"/>
      <c r="ADE53" s="609"/>
      <c r="ADF53" s="609"/>
      <c r="ADG53" s="609"/>
      <c r="ADH53" s="609"/>
      <c r="ADI53" s="609"/>
      <c r="ADJ53" s="609"/>
      <c r="ADK53" s="609"/>
      <c r="ADL53" s="609"/>
      <c r="ADM53" s="609"/>
      <c r="ADN53" s="609"/>
      <c r="ADO53" s="609"/>
      <c r="ADP53" s="609"/>
      <c r="ADQ53" s="609"/>
      <c r="ADR53" s="609"/>
      <c r="ADS53" s="609"/>
      <c r="ADT53" s="609"/>
      <c r="ADU53" s="609"/>
      <c r="ADV53" s="609"/>
      <c r="ADW53" s="609"/>
      <c r="ADX53" s="609"/>
      <c r="ADY53" s="609"/>
      <c r="ADZ53" s="609"/>
      <c r="AEA53" s="609"/>
      <c r="AEB53" s="609"/>
      <c r="AEC53" s="609"/>
      <c r="AED53" s="609"/>
      <c r="AEE53" s="609"/>
      <c r="AEF53" s="609"/>
      <c r="AEG53" s="609"/>
      <c r="AEH53" s="609"/>
      <c r="AEI53" s="609"/>
      <c r="AEJ53" s="609"/>
      <c r="AEK53" s="609"/>
      <c r="AEL53" s="609"/>
      <c r="AEM53" s="609"/>
      <c r="AEN53" s="609"/>
      <c r="AEO53" s="609"/>
      <c r="AEP53" s="609"/>
      <c r="AEQ53" s="609"/>
      <c r="AER53" s="609"/>
      <c r="AES53" s="609"/>
      <c r="AET53" s="609"/>
      <c r="AEU53" s="609"/>
      <c r="AEV53" s="609"/>
      <c r="AEW53" s="609"/>
      <c r="AEX53" s="609"/>
      <c r="AEY53" s="609"/>
      <c r="AEZ53" s="609"/>
      <c r="AFA53" s="609"/>
      <c r="AFB53" s="609"/>
      <c r="AFC53" s="609"/>
      <c r="AFD53" s="609"/>
      <c r="AFE53" s="609"/>
      <c r="AFF53" s="609"/>
      <c r="AFG53" s="609"/>
      <c r="AFH53" s="609"/>
      <c r="AFI53" s="609"/>
      <c r="AFJ53" s="609"/>
      <c r="AFK53" s="609"/>
      <c r="AFL53" s="609"/>
      <c r="AFM53" s="609"/>
      <c r="AFN53" s="609"/>
      <c r="AFO53" s="609"/>
      <c r="AFP53" s="609"/>
      <c r="AFQ53" s="609"/>
      <c r="AFR53" s="609"/>
      <c r="AFS53" s="609"/>
      <c r="AFT53" s="609"/>
      <c r="AFU53" s="609"/>
      <c r="AFV53" s="609"/>
      <c r="AFW53" s="609"/>
      <c r="AFX53" s="609"/>
      <c r="AFY53" s="609"/>
      <c r="AFZ53" s="609"/>
      <c r="AGA53" s="609"/>
      <c r="AGB53" s="609"/>
      <c r="AGC53" s="609"/>
      <c r="AGD53" s="609"/>
      <c r="AGE53" s="609"/>
      <c r="AGF53" s="609"/>
      <c r="AGG53" s="609"/>
      <c r="AGH53" s="609"/>
      <c r="AGI53" s="609"/>
      <c r="AGJ53" s="609"/>
      <c r="AGK53" s="609"/>
      <c r="AGL53" s="609"/>
      <c r="AGM53" s="609"/>
      <c r="AGN53" s="609"/>
      <c r="AGO53" s="609"/>
      <c r="AGP53" s="609"/>
      <c r="AGQ53" s="609"/>
      <c r="AGR53" s="609"/>
      <c r="AGS53" s="609"/>
      <c r="AGT53" s="609"/>
      <c r="AGU53" s="609"/>
      <c r="AGV53" s="609"/>
      <c r="AGW53" s="609"/>
      <c r="AGX53" s="609"/>
      <c r="AGY53" s="609"/>
      <c r="AGZ53" s="609"/>
      <c r="AHA53" s="609"/>
      <c r="AHB53" s="609"/>
      <c r="AHC53" s="609"/>
      <c r="AHD53" s="609"/>
      <c r="AHE53" s="609"/>
      <c r="AHF53" s="609"/>
      <c r="AHG53" s="609"/>
      <c r="AHH53" s="609"/>
      <c r="AHI53" s="609"/>
      <c r="AHJ53" s="609"/>
      <c r="AHK53" s="609"/>
      <c r="AHL53" s="609"/>
      <c r="AHM53" s="609"/>
      <c r="AHN53" s="609"/>
      <c r="AHO53" s="609"/>
      <c r="AHP53" s="609"/>
      <c r="AHQ53" s="609"/>
      <c r="AHR53" s="609"/>
      <c r="AHS53" s="609"/>
      <c r="AHT53" s="609"/>
      <c r="AHU53" s="609"/>
      <c r="AHV53" s="609"/>
      <c r="AHW53" s="609"/>
      <c r="AHX53" s="609"/>
      <c r="AHY53" s="609"/>
      <c r="AHZ53" s="609"/>
      <c r="AIA53" s="609"/>
      <c r="AIB53" s="609"/>
      <c r="AIC53" s="609"/>
      <c r="AID53" s="609"/>
      <c r="AIE53" s="609"/>
      <c r="AIF53" s="609"/>
      <c r="AIG53" s="609"/>
      <c r="AIH53" s="609"/>
      <c r="AII53" s="609"/>
      <c r="AIJ53" s="609"/>
      <c r="AIK53" s="609"/>
      <c r="AIL53" s="609"/>
      <c r="AIM53" s="609"/>
      <c r="AIN53" s="609"/>
      <c r="AIO53" s="609"/>
      <c r="AIP53" s="609"/>
      <c r="AIQ53" s="609"/>
      <c r="AIR53" s="609"/>
      <c r="AIS53" s="609"/>
      <c r="AIT53" s="609"/>
      <c r="AIU53" s="609"/>
      <c r="AIV53" s="609"/>
      <c r="AIW53" s="609"/>
      <c r="AIX53" s="609"/>
      <c r="AIY53" s="609"/>
      <c r="AIZ53" s="609"/>
      <c r="AJA53" s="609"/>
      <c r="AJB53" s="609"/>
      <c r="AJC53" s="609"/>
      <c r="AJD53" s="609"/>
      <c r="AJE53" s="609"/>
      <c r="AJF53" s="609"/>
      <c r="AJG53" s="609"/>
      <c r="AJH53" s="609"/>
      <c r="AJI53" s="609"/>
      <c r="AJJ53" s="609"/>
      <c r="AJK53" s="609"/>
      <c r="AJL53" s="609"/>
      <c r="AJM53" s="609"/>
      <c r="AJN53" s="609"/>
      <c r="AJO53" s="609"/>
      <c r="AJP53" s="609"/>
      <c r="AJQ53" s="609"/>
      <c r="AJR53" s="609"/>
      <c r="AJS53" s="609"/>
      <c r="AJT53" s="609"/>
      <c r="AJU53" s="609"/>
      <c r="AJV53" s="609"/>
      <c r="AJW53" s="609"/>
      <c r="AJX53" s="609"/>
      <c r="AJY53" s="609"/>
      <c r="AJZ53" s="609"/>
      <c r="AKA53" s="609"/>
      <c r="AKB53" s="609"/>
      <c r="AKC53" s="609"/>
      <c r="AKD53" s="609"/>
      <c r="AKE53" s="609"/>
      <c r="AKF53" s="609"/>
      <c r="AKG53" s="609"/>
      <c r="AKH53" s="609"/>
      <c r="AKI53" s="609"/>
      <c r="AKJ53" s="609"/>
      <c r="AKK53" s="609"/>
      <c r="AKL53" s="609"/>
      <c r="AKM53" s="609"/>
      <c r="AKN53" s="609"/>
      <c r="AKO53" s="609"/>
      <c r="AKP53" s="609"/>
      <c r="AKQ53" s="609"/>
      <c r="AKR53" s="609"/>
      <c r="AKS53" s="609"/>
      <c r="AKT53" s="609"/>
      <c r="AKU53" s="609"/>
      <c r="AKV53" s="609"/>
      <c r="AKW53" s="609"/>
      <c r="AKX53" s="609"/>
      <c r="AKY53" s="609"/>
      <c r="AKZ53" s="609"/>
      <c r="ALA53" s="609"/>
      <c r="ALB53" s="609"/>
      <c r="ALC53" s="609"/>
      <c r="ALD53" s="609"/>
      <c r="ALE53" s="609"/>
      <c r="ALF53" s="609"/>
      <c r="ALG53" s="609"/>
      <c r="ALH53" s="609"/>
      <c r="ALI53" s="609"/>
      <c r="ALJ53" s="609"/>
      <c r="ALK53" s="609"/>
      <c r="ALL53" s="609"/>
      <c r="ALM53" s="609"/>
      <c r="ALN53" s="609"/>
      <c r="ALO53" s="609"/>
      <c r="ALP53" s="609"/>
      <c r="ALQ53" s="609"/>
      <c r="ALR53" s="609"/>
      <c r="ALS53" s="609"/>
      <c r="ALT53" s="609"/>
      <c r="ALU53" s="609"/>
      <c r="ALV53" s="609"/>
      <c r="ALW53" s="609"/>
      <c r="ALX53" s="609"/>
      <c r="ALY53" s="609"/>
      <c r="ALZ53" s="609"/>
      <c r="AMA53" s="609"/>
      <c r="AMB53" s="609"/>
      <c r="AMC53" s="609"/>
      <c r="AMD53" s="609"/>
      <c r="AME53" s="609"/>
      <c r="AMF53" s="609"/>
      <c r="AMG53" s="609"/>
      <c r="AMH53" s="609"/>
      <c r="AMI53" s="609"/>
      <c r="AMJ53" s="609"/>
      <c r="AMK53" s="609"/>
      <c r="AML53" s="609"/>
      <c r="AMM53" s="609"/>
      <c r="AMN53" s="609"/>
      <c r="AMO53" s="609"/>
      <c r="AMP53" s="609"/>
      <c r="AMQ53" s="609"/>
      <c r="AMR53" s="609"/>
      <c r="AMS53" s="609"/>
      <c r="AMT53" s="609"/>
      <c r="AMU53" s="609"/>
      <c r="AMV53" s="609"/>
      <c r="AMW53" s="609"/>
      <c r="AMX53" s="609"/>
      <c r="AMY53" s="609"/>
      <c r="AMZ53" s="609"/>
      <c r="ANA53" s="609"/>
      <c r="ANB53" s="609"/>
      <c r="ANC53" s="609"/>
      <c r="AND53" s="609"/>
      <c r="ANE53" s="609"/>
      <c r="ANF53" s="609"/>
      <c r="ANG53" s="609"/>
      <c r="ANH53" s="609"/>
      <c r="ANI53" s="609"/>
      <c r="ANJ53" s="609"/>
      <c r="ANK53" s="609"/>
      <c r="ANL53" s="609"/>
      <c r="ANM53" s="609"/>
      <c r="ANN53" s="609"/>
      <c r="ANO53" s="609"/>
      <c r="ANP53" s="609"/>
      <c r="ANQ53" s="609"/>
      <c r="ANR53" s="609"/>
      <c r="ANS53" s="609"/>
      <c r="ANT53" s="609"/>
      <c r="ANU53" s="609"/>
      <c r="ANV53" s="609"/>
      <c r="ANW53" s="609"/>
      <c r="ANX53" s="609"/>
      <c r="ANY53" s="609"/>
      <c r="ANZ53" s="609"/>
      <c r="AOA53" s="609"/>
      <c r="AOB53" s="609"/>
      <c r="AOC53" s="609"/>
      <c r="AOD53" s="609"/>
      <c r="AOE53" s="609"/>
      <c r="AOF53" s="609"/>
      <c r="AOG53" s="609"/>
      <c r="AOH53" s="609"/>
      <c r="AOI53" s="609"/>
      <c r="AOJ53" s="609"/>
      <c r="AOK53" s="609"/>
      <c r="AOL53" s="609"/>
      <c r="AOM53" s="609"/>
      <c r="AON53" s="609"/>
      <c r="AOO53" s="609"/>
      <c r="AOP53" s="609"/>
      <c r="AOQ53" s="609"/>
      <c r="AOR53" s="609"/>
      <c r="AOS53" s="609"/>
      <c r="AOT53" s="609"/>
      <c r="AOU53" s="609"/>
      <c r="AOV53" s="609"/>
      <c r="AOW53" s="609"/>
      <c r="AOX53" s="609"/>
      <c r="AOY53" s="609"/>
      <c r="AOZ53" s="609"/>
      <c r="APA53" s="609"/>
      <c r="APB53" s="609"/>
      <c r="APC53" s="609"/>
      <c r="APD53" s="609"/>
      <c r="APE53" s="609"/>
      <c r="APF53" s="609"/>
      <c r="APG53" s="609"/>
      <c r="APH53" s="609"/>
      <c r="API53" s="609"/>
      <c r="APJ53" s="609"/>
      <c r="APK53" s="609"/>
      <c r="APL53" s="609"/>
      <c r="APM53" s="609"/>
      <c r="APN53" s="609"/>
      <c r="APO53" s="609"/>
      <c r="APP53" s="609"/>
      <c r="APQ53" s="609"/>
      <c r="APR53" s="609"/>
      <c r="APS53" s="609"/>
      <c r="APT53" s="609"/>
      <c r="APU53" s="609"/>
      <c r="APV53" s="609"/>
      <c r="APW53" s="609"/>
      <c r="APX53" s="609"/>
      <c r="APY53" s="609"/>
      <c r="APZ53" s="609"/>
      <c r="AQA53" s="609"/>
      <c r="AQB53" s="609"/>
      <c r="AQC53" s="609"/>
      <c r="AQD53" s="609"/>
      <c r="AQE53" s="609"/>
      <c r="AQF53" s="609"/>
      <c r="AQG53" s="609"/>
      <c r="AQH53" s="609"/>
      <c r="AQI53" s="609"/>
      <c r="AQJ53" s="609"/>
      <c r="AQK53" s="609"/>
      <c r="AQL53" s="609"/>
      <c r="AQM53" s="609"/>
      <c r="AQN53" s="609"/>
      <c r="AQO53" s="609"/>
      <c r="AQP53" s="609"/>
      <c r="AQQ53" s="609"/>
      <c r="AQR53" s="609"/>
      <c r="AQS53" s="609"/>
      <c r="AQT53" s="609"/>
      <c r="AQU53" s="609"/>
      <c r="AQV53" s="609"/>
      <c r="AQW53" s="609"/>
      <c r="AQX53" s="609"/>
      <c r="AQY53" s="609"/>
      <c r="AQZ53" s="609"/>
      <c r="ARA53" s="609"/>
      <c r="ARB53" s="609"/>
      <c r="ARC53" s="609"/>
      <c r="ARD53" s="609"/>
      <c r="ARE53" s="609"/>
      <c r="ARF53" s="609"/>
      <c r="ARG53" s="609"/>
      <c r="ARH53" s="609"/>
      <c r="ARI53" s="609"/>
      <c r="ARJ53" s="609"/>
      <c r="ARK53" s="609"/>
      <c r="ARL53" s="609"/>
      <c r="ARM53" s="609"/>
      <c r="ARN53" s="609"/>
      <c r="ARO53" s="609"/>
      <c r="ARP53" s="609"/>
      <c r="ARQ53" s="609"/>
      <c r="ARR53" s="609"/>
      <c r="ARS53" s="609"/>
      <c r="ART53" s="609"/>
      <c r="ARU53" s="609"/>
      <c r="ARV53" s="609"/>
      <c r="ARW53" s="609"/>
      <c r="ARX53" s="609"/>
      <c r="ARY53" s="609"/>
      <c r="ARZ53" s="609"/>
      <c r="ASA53" s="609"/>
      <c r="ASB53" s="609"/>
      <c r="ASC53" s="609"/>
      <c r="ASD53" s="609"/>
      <c r="ASE53" s="609"/>
      <c r="ASF53" s="609"/>
      <c r="ASG53" s="609"/>
      <c r="ASH53" s="609"/>
      <c r="ASI53" s="609"/>
      <c r="ASJ53" s="609"/>
      <c r="ASK53" s="609"/>
      <c r="ASL53" s="609"/>
      <c r="ASM53" s="609"/>
      <c r="ASN53" s="609"/>
      <c r="ASO53" s="609"/>
      <c r="ASP53" s="609"/>
      <c r="ASQ53" s="609"/>
      <c r="ASR53" s="609"/>
      <c r="ASS53" s="609"/>
      <c r="AST53" s="609"/>
      <c r="ASU53" s="609"/>
      <c r="ASV53" s="609"/>
      <c r="ASW53" s="609"/>
      <c r="ASX53" s="609"/>
      <c r="ASY53" s="609"/>
      <c r="ASZ53" s="609"/>
      <c r="ATA53" s="609"/>
      <c r="ATB53" s="609"/>
      <c r="ATC53" s="609"/>
      <c r="ATD53" s="609"/>
      <c r="ATE53" s="609"/>
      <c r="ATF53" s="609"/>
      <c r="ATG53" s="609"/>
      <c r="ATH53" s="609"/>
      <c r="ATI53" s="609"/>
      <c r="ATJ53" s="609"/>
      <c r="ATK53" s="609"/>
      <c r="ATL53" s="609"/>
      <c r="ATM53" s="609"/>
      <c r="ATN53" s="609"/>
      <c r="ATO53" s="609"/>
      <c r="ATP53" s="609"/>
      <c r="ATQ53" s="609"/>
      <c r="ATR53" s="609"/>
      <c r="ATS53" s="609"/>
      <c r="ATT53" s="609"/>
      <c r="ATU53" s="609"/>
      <c r="ATV53" s="609"/>
      <c r="ATW53" s="609"/>
      <c r="ATX53" s="609"/>
      <c r="ATY53" s="609"/>
      <c r="ATZ53" s="609"/>
      <c r="AUA53" s="609"/>
      <c r="AUB53" s="609"/>
      <c r="AUC53" s="609"/>
      <c r="AUD53" s="609"/>
      <c r="AUE53" s="609"/>
      <c r="AUF53" s="609"/>
      <c r="AUG53" s="609"/>
      <c r="AUH53" s="609"/>
      <c r="AUI53" s="609"/>
      <c r="AUJ53" s="609"/>
      <c r="AUK53" s="609"/>
      <c r="AUL53" s="609"/>
      <c r="AUM53" s="609"/>
      <c r="AUN53" s="609"/>
      <c r="AUO53" s="609"/>
      <c r="AUP53" s="609"/>
      <c r="AUQ53" s="609"/>
      <c r="AUR53" s="609"/>
      <c r="AUS53" s="609"/>
      <c r="AUT53" s="609"/>
      <c r="AUU53" s="609"/>
      <c r="AUV53" s="609"/>
      <c r="AUW53" s="609"/>
      <c r="AUX53" s="609"/>
      <c r="AUY53" s="609"/>
      <c r="AUZ53" s="609"/>
      <c r="AVA53" s="609"/>
      <c r="AVB53" s="609"/>
      <c r="AVC53" s="609"/>
      <c r="AVD53" s="609"/>
      <c r="AVE53" s="609"/>
      <c r="AVF53" s="609"/>
      <c r="AVG53" s="609"/>
      <c r="AVH53" s="609"/>
      <c r="AVI53" s="609"/>
      <c r="AVJ53" s="609"/>
      <c r="AVK53" s="609"/>
      <c r="AVL53" s="609"/>
      <c r="AVM53" s="609"/>
      <c r="AVN53" s="609"/>
      <c r="AVO53" s="609"/>
      <c r="AVP53" s="609"/>
      <c r="AVQ53" s="609"/>
      <c r="AVR53" s="609"/>
      <c r="AVS53" s="609"/>
      <c r="AVT53" s="609"/>
      <c r="AVU53" s="609"/>
      <c r="AVV53" s="609"/>
      <c r="AVW53" s="609"/>
      <c r="AVX53" s="609"/>
      <c r="AVY53" s="609"/>
      <c r="AVZ53" s="609"/>
      <c r="AWA53" s="609"/>
      <c r="AWB53" s="609"/>
      <c r="AWC53" s="609"/>
      <c r="AWD53" s="609"/>
      <c r="AWE53" s="609"/>
      <c r="AWF53" s="609"/>
      <c r="AWG53" s="609"/>
      <c r="AWH53" s="609"/>
      <c r="AWI53" s="609"/>
      <c r="AWJ53" s="609"/>
      <c r="AWK53" s="609"/>
      <c r="AWL53" s="609"/>
      <c r="AWM53" s="609"/>
      <c r="AWN53" s="609"/>
      <c r="AWO53" s="609"/>
      <c r="AWP53" s="609"/>
      <c r="AWQ53" s="609"/>
      <c r="AWR53" s="609"/>
      <c r="AWS53" s="609"/>
      <c r="AWT53" s="609"/>
      <c r="AWU53" s="609"/>
      <c r="AWV53" s="609"/>
      <c r="AWW53" s="609"/>
      <c r="AWX53" s="609"/>
      <c r="AWY53" s="609"/>
      <c r="AWZ53" s="609"/>
      <c r="AXA53" s="609"/>
      <c r="AXB53" s="609"/>
      <c r="AXC53" s="609"/>
      <c r="AXD53" s="609"/>
      <c r="AXE53" s="609"/>
      <c r="AXF53" s="609"/>
      <c r="AXG53" s="609"/>
      <c r="AXH53" s="609"/>
      <c r="AXI53" s="609"/>
      <c r="AXJ53" s="609"/>
      <c r="AXK53" s="609"/>
      <c r="AXL53" s="609"/>
      <c r="AXM53" s="609"/>
      <c r="AXN53" s="609"/>
      <c r="AXO53" s="609"/>
      <c r="AXP53" s="609"/>
      <c r="AXQ53" s="609"/>
      <c r="AXR53" s="609"/>
      <c r="AXS53" s="609"/>
      <c r="AXT53" s="609"/>
      <c r="AXU53" s="609"/>
      <c r="AXV53" s="609"/>
      <c r="AXW53" s="609"/>
      <c r="AXX53" s="609"/>
      <c r="AXY53" s="609"/>
      <c r="AXZ53" s="609"/>
      <c r="AYA53" s="609"/>
      <c r="AYB53" s="609"/>
      <c r="AYC53" s="609"/>
      <c r="AYD53" s="609"/>
      <c r="AYE53" s="609"/>
      <c r="AYF53" s="609"/>
      <c r="AYG53" s="609"/>
      <c r="AYH53" s="609"/>
      <c r="AYI53" s="609"/>
      <c r="AYJ53" s="609"/>
      <c r="AYK53" s="609"/>
      <c r="AYL53" s="609"/>
      <c r="AYM53" s="609"/>
      <c r="AYN53" s="609"/>
      <c r="AYO53" s="609"/>
      <c r="AYP53" s="609"/>
      <c r="AYQ53" s="609"/>
      <c r="AYR53" s="609"/>
      <c r="AYS53" s="609"/>
      <c r="AYT53" s="609"/>
      <c r="AYU53" s="609"/>
      <c r="AYV53" s="609"/>
      <c r="AYW53" s="609"/>
      <c r="AYX53" s="609"/>
      <c r="AYY53" s="609"/>
      <c r="AYZ53" s="609"/>
      <c r="AZA53" s="609"/>
      <c r="AZB53" s="609"/>
      <c r="AZC53" s="609"/>
      <c r="AZD53" s="609"/>
      <c r="AZE53" s="609"/>
      <c r="AZF53" s="609"/>
      <c r="AZG53" s="609"/>
      <c r="AZH53" s="609"/>
      <c r="AZI53" s="609"/>
      <c r="AZJ53" s="609"/>
      <c r="AZK53" s="609"/>
      <c r="AZL53" s="609"/>
      <c r="AZM53" s="609"/>
      <c r="AZN53" s="609"/>
      <c r="AZO53" s="609"/>
      <c r="AZP53" s="609"/>
      <c r="AZQ53" s="609"/>
      <c r="AZR53" s="609"/>
      <c r="AZS53" s="609"/>
      <c r="AZT53" s="609"/>
      <c r="AZU53" s="609"/>
      <c r="AZV53" s="609"/>
      <c r="AZW53" s="609"/>
      <c r="AZX53" s="609"/>
      <c r="AZY53" s="609"/>
      <c r="AZZ53" s="609"/>
      <c r="BAA53" s="609"/>
      <c r="BAB53" s="609"/>
      <c r="BAC53" s="609"/>
      <c r="BAD53" s="609"/>
      <c r="BAE53" s="609"/>
      <c r="BAF53" s="609"/>
      <c r="BAG53" s="609"/>
      <c r="BAH53" s="609"/>
      <c r="BAI53" s="609"/>
      <c r="BAJ53" s="609"/>
      <c r="BAK53" s="609"/>
      <c r="BAL53" s="609"/>
      <c r="BAM53" s="609"/>
      <c r="BAN53" s="609"/>
      <c r="BAO53" s="609"/>
      <c r="BAP53" s="609"/>
      <c r="BAQ53" s="609"/>
      <c r="BAR53" s="609"/>
      <c r="BAS53" s="609"/>
      <c r="BAT53" s="609"/>
      <c r="BAU53" s="609"/>
      <c r="BAV53" s="609"/>
      <c r="BAW53" s="609"/>
      <c r="BAX53" s="609"/>
      <c r="BAY53" s="609"/>
      <c r="BAZ53" s="609"/>
      <c r="BBA53" s="609"/>
      <c r="BBB53" s="609"/>
      <c r="BBC53" s="609"/>
      <c r="BBD53" s="609"/>
      <c r="BBE53" s="609"/>
      <c r="BBF53" s="609"/>
      <c r="BBG53" s="609"/>
      <c r="BBH53" s="609"/>
      <c r="BBI53" s="609"/>
      <c r="BBJ53" s="609"/>
      <c r="BBK53" s="609"/>
      <c r="BBL53" s="609"/>
      <c r="BBM53" s="609"/>
      <c r="BBN53" s="609"/>
      <c r="BBO53" s="609"/>
      <c r="BBP53" s="609"/>
      <c r="BBQ53" s="609"/>
      <c r="BBR53" s="609"/>
      <c r="BBS53" s="609"/>
      <c r="BBT53" s="609"/>
      <c r="BBU53" s="609"/>
      <c r="BBV53" s="609"/>
      <c r="BBW53" s="609"/>
      <c r="BBX53" s="609"/>
      <c r="BBY53" s="609"/>
      <c r="BBZ53" s="609"/>
      <c r="BCA53" s="609"/>
      <c r="BCB53" s="609"/>
      <c r="BCC53" s="609"/>
      <c r="BCD53" s="609"/>
      <c r="BCE53" s="609"/>
      <c r="BCF53" s="609"/>
      <c r="BCG53" s="609"/>
      <c r="BCH53" s="609"/>
      <c r="BCI53" s="609"/>
      <c r="BCJ53" s="609"/>
      <c r="BCK53" s="609"/>
      <c r="BCL53" s="609"/>
      <c r="BCM53" s="609"/>
      <c r="BCN53" s="609"/>
      <c r="BCO53" s="609"/>
      <c r="BCP53" s="609"/>
      <c r="BCQ53" s="609"/>
      <c r="BCR53" s="609"/>
      <c r="BCS53" s="609"/>
      <c r="BCT53" s="609"/>
      <c r="BCU53" s="609"/>
      <c r="BCV53" s="609"/>
      <c r="BCW53" s="609"/>
      <c r="BCX53" s="609"/>
      <c r="BCY53" s="609"/>
      <c r="BCZ53" s="609"/>
      <c r="BDA53" s="609"/>
      <c r="BDB53" s="609"/>
      <c r="BDC53" s="609"/>
      <c r="BDD53" s="609"/>
      <c r="BDE53" s="609"/>
      <c r="BDF53" s="609"/>
      <c r="BDG53" s="609"/>
      <c r="BDH53" s="609"/>
      <c r="BDI53" s="609"/>
      <c r="BDJ53" s="609"/>
      <c r="BDK53" s="609"/>
      <c r="BDL53" s="609"/>
      <c r="BDM53" s="609"/>
      <c r="BDN53" s="609"/>
      <c r="BDO53" s="609"/>
      <c r="BDP53" s="609"/>
      <c r="BDQ53" s="609"/>
      <c r="BDR53" s="609"/>
      <c r="BDS53" s="609"/>
      <c r="BDT53" s="609"/>
      <c r="BDU53" s="609"/>
      <c r="BDV53" s="609"/>
      <c r="BDW53" s="609"/>
      <c r="BDX53" s="609"/>
      <c r="BDY53" s="609"/>
      <c r="BDZ53" s="609"/>
      <c r="BEA53" s="609"/>
      <c r="BEB53" s="609"/>
      <c r="BEC53" s="609"/>
      <c r="BED53" s="609"/>
      <c r="BEE53" s="609"/>
      <c r="BEF53" s="609"/>
      <c r="BEG53" s="609"/>
      <c r="BEH53" s="609"/>
      <c r="BEI53" s="609"/>
      <c r="BEJ53" s="609"/>
      <c r="BEK53" s="609"/>
      <c r="BEL53" s="609"/>
      <c r="BEM53" s="609"/>
      <c r="BEN53" s="609"/>
      <c r="BEO53" s="609"/>
      <c r="BEP53" s="609"/>
      <c r="BEQ53" s="609"/>
      <c r="BER53" s="609"/>
      <c r="BES53" s="609"/>
      <c r="BET53" s="609"/>
      <c r="BEU53" s="609"/>
      <c r="BEV53" s="609"/>
      <c r="BEW53" s="609"/>
      <c r="BEX53" s="609"/>
      <c r="BEY53" s="609"/>
      <c r="BEZ53" s="609"/>
      <c r="BFA53" s="609"/>
      <c r="BFB53" s="609"/>
      <c r="BFC53" s="609"/>
      <c r="BFD53" s="609"/>
      <c r="BFE53" s="609"/>
      <c r="BFF53" s="609"/>
      <c r="BFG53" s="609"/>
      <c r="BFH53" s="609"/>
      <c r="BFI53" s="609"/>
      <c r="BFJ53" s="609"/>
      <c r="BFK53" s="609"/>
      <c r="BFL53" s="609"/>
      <c r="BFM53" s="609"/>
      <c r="BFN53" s="609"/>
      <c r="BFO53" s="609"/>
      <c r="BFP53" s="609"/>
      <c r="BFQ53" s="609"/>
      <c r="BFR53" s="609"/>
      <c r="BFS53" s="609"/>
      <c r="BFT53" s="609"/>
      <c r="BFU53" s="609"/>
      <c r="BFV53" s="609"/>
      <c r="BFW53" s="609"/>
      <c r="BFX53" s="609"/>
      <c r="BFY53" s="609"/>
      <c r="BFZ53" s="609"/>
      <c r="BGA53" s="609"/>
      <c r="BGB53" s="609"/>
      <c r="BGC53" s="609"/>
      <c r="BGD53" s="609"/>
      <c r="BGE53" s="609"/>
      <c r="BGF53" s="609"/>
      <c r="BGG53" s="609"/>
      <c r="BGH53" s="609"/>
      <c r="BGI53" s="609"/>
      <c r="BGJ53" s="609"/>
      <c r="BGK53" s="609"/>
      <c r="BGL53" s="609"/>
      <c r="BGM53" s="609"/>
      <c r="BGN53" s="609"/>
      <c r="BGO53" s="609"/>
      <c r="BGP53" s="609"/>
      <c r="BGQ53" s="609"/>
      <c r="BGR53" s="609"/>
      <c r="BGS53" s="609"/>
      <c r="BGT53" s="609"/>
      <c r="BGU53" s="609"/>
      <c r="BGV53" s="609"/>
      <c r="BGW53" s="609"/>
      <c r="BGX53" s="609"/>
      <c r="BGY53" s="609"/>
      <c r="BGZ53" s="609"/>
      <c r="BHA53" s="609"/>
      <c r="BHB53" s="609"/>
      <c r="BHC53" s="609"/>
      <c r="BHD53" s="609"/>
      <c r="BHE53" s="609"/>
      <c r="BHF53" s="609"/>
      <c r="BHG53" s="609"/>
      <c r="BHH53" s="609"/>
      <c r="BHI53" s="609"/>
      <c r="BHJ53" s="609"/>
      <c r="BHK53" s="609"/>
      <c r="BHL53" s="609"/>
      <c r="BHM53" s="609"/>
      <c r="BHN53" s="609"/>
      <c r="BHO53" s="609"/>
      <c r="BHP53" s="609"/>
      <c r="BHQ53" s="609"/>
      <c r="BHR53" s="609"/>
      <c r="BHS53" s="609"/>
      <c r="BHT53" s="609"/>
      <c r="BHU53" s="609"/>
      <c r="BHV53" s="609"/>
      <c r="BHW53" s="609"/>
      <c r="BHX53" s="609"/>
      <c r="BHY53" s="609"/>
      <c r="BHZ53" s="609"/>
      <c r="BIA53" s="609"/>
      <c r="BIB53" s="609"/>
      <c r="BIC53" s="609"/>
      <c r="BID53" s="609"/>
      <c r="BIE53" s="609"/>
      <c r="BIF53" s="609"/>
      <c r="BIG53" s="609"/>
      <c r="BIH53" s="609"/>
      <c r="BII53" s="609"/>
      <c r="BIJ53" s="609"/>
      <c r="BIK53" s="609"/>
      <c r="BIL53" s="609"/>
      <c r="BIM53" s="609"/>
      <c r="BIN53" s="609"/>
      <c r="BIO53" s="609"/>
      <c r="BIP53" s="609"/>
      <c r="BIQ53" s="609"/>
      <c r="BIR53" s="609"/>
      <c r="BIS53" s="609"/>
      <c r="BIT53" s="609"/>
      <c r="BIU53" s="609"/>
      <c r="BIV53" s="609"/>
      <c r="BIW53" s="609"/>
      <c r="BIX53" s="609"/>
      <c r="BIY53" s="609"/>
      <c r="BIZ53" s="609"/>
      <c r="BJA53" s="609"/>
      <c r="BJB53" s="609"/>
      <c r="BJC53" s="609"/>
      <c r="BJD53" s="609"/>
      <c r="BJE53" s="609"/>
      <c r="BJF53" s="609"/>
      <c r="BJG53" s="609"/>
      <c r="BJH53" s="609"/>
      <c r="BJI53" s="609"/>
      <c r="BJJ53" s="609"/>
      <c r="BJK53" s="609"/>
      <c r="BJL53" s="609"/>
      <c r="BJM53" s="609"/>
      <c r="BJN53" s="609"/>
      <c r="BJO53" s="609"/>
      <c r="BJP53" s="609"/>
      <c r="BJQ53" s="609"/>
      <c r="BJR53" s="609"/>
      <c r="BJS53" s="609"/>
      <c r="BJT53" s="609"/>
      <c r="BJU53" s="609"/>
      <c r="BJV53" s="609"/>
      <c r="BJW53" s="609"/>
      <c r="BJX53" s="609"/>
      <c r="BJY53" s="609"/>
      <c r="BJZ53" s="609"/>
      <c r="BKA53" s="609"/>
      <c r="BKB53" s="609"/>
      <c r="BKC53" s="609"/>
      <c r="BKD53" s="609"/>
      <c r="BKE53" s="609"/>
      <c r="BKF53" s="609"/>
      <c r="BKG53" s="609"/>
      <c r="BKH53" s="609"/>
      <c r="BKI53" s="609"/>
      <c r="BKJ53" s="609"/>
      <c r="BKK53" s="609"/>
      <c r="BKL53" s="609"/>
      <c r="BKM53" s="609"/>
      <c r="BKN53" s="609"/>
      <c r="BKO53" s="609"/>
      <c r="BKP53" s="609"/>
      <c r="BKQ53" s="609"/>
      <c r="BKR53" s="609"/>
      <c r="BKS53" s="609"/>
      <c r="BKT53" s="609"/>
      <c r="BKU53" s="609"/>
      <c r="BKV53" s="609"/>
      <c r="BKW53" s="609"/>
      <c r="BKX53" s="609"/>
      <c r="BKY53" s="609"/>
      <c r="BKZ53" s="609"/>
      <c r="BLA53" s="609"/>
      <c r="BLB53" s="609"/>
      <c r="BLC53" s="609"/>
      <c r="BLD53" s="609"/>
      <c r="BLE53" s="609"/>
      <c r="BLF53" s="609"/>
      <c r="BLG53" s="609"/>
      <c r="BLH53" s="609"/>
      <c r="BLI53" s="609"/>
      <c r="BLJ53" s="609"/>
      <c r="BLK53" s="609"/>
      <c r="BLL53" s="609"/>
      <c r="BLM53" s="609"/>
      <c r="BLN53" s="609"/>
      <c r="BLO53" s="609"/>
      <c r="BLP53" s="609"/>
      <c r="BLQ53" s="609"/>
      <c r="BLR53" s="609"/>
      <c r="BLS53" s="609"/>
      <c r="BLT53" s="609"/>
      <c r="BLU53" s="609"/>
      <c r="BLV53" s="609"/>
      <c r="BLW53" s="609"/>
      <c r="BLX53" s="609"/>
      <c r="BLY53" s="609"/>
      <c r="BLZ53" s="609"/>
      <c r="BMA53" s="609"/>
      <c r="BMB53" s="609"/>
      <c r="BMC53" s="609"/>
      <c r="BMD53" s="609"/>
      <c r="BME53" s="609"/>
      <c r="BMF53" s="609"/>
      <c r="BMG53" s="609"/>
      <c r="BMH53" s="609"/>
      <c r="BMI53" s="609"/>
      <c r="BMJ53" s="609"/>
      <c r="BMK53" s="609"/>
      <c r="BML53" s="609"/>
      <c r="BMM53" s="609"/>
      <c r="BMN53" s="609"/>
      <c r="BMO53" s="609"/>
      <c r="BMP53" s="609"/>
      <c r="BMQ53" s="609"/>
      <c r="BMR53" s="609"/>
      <c r="BMS53" s="609"/>
      <c r="BMT53" s="609"/>
      <c r="BMU53" s="609"/>
      <c r="BMV53" s="609"/>
      <c r="BMW53" s="609"/>
      <c r="BMX53" s="609"/>
      <c r="BMY53" s="609"/>
      <c r="BMZ53" s="609"/>
      <c r="BNA53" s="609"/>
      <c r="BNB53" s="609"/>
      <c r="BNC53" s="609"/>
      <c r="BND53" s="609"/>
      <c r="BNE53" s="609"/>
      <c r="BNF53" s="609"/>
      <c r="BNG53" s="609"/>
      <c r="BNH53" s="609"/>
      <c r="BNI53" s="609"/>
      <c r="BNJ53" s="609"/>
      <c r="BNK53" s="609"/>
      <c r="BNL53" s="609"/>
      <c r="BNM53" s="609"/>
      <c r="BNN53" s="609"/>
      <c r="BNO53" s="609"/>
      <c r="BNP53" s="609"/>
      <c r="BNQ53" s="609"/>
      <c r="BNR53" s="609"/>
      <c r="BNS53" s="609"/>
      <c r="BNT53" s="609"/>
      <c r="BNU53" s="609"/>
      <c r="BNV53" s="609"/>
      <c r="BNW53" s="609"/>
      <c r="BNX53" s="609"/>
      <c r="BNY53" s="609"/>
      <c r="BNZ53" s="609"/>
      <c r="BOA53" s="609"/>
      <c r="BOB53" s="609"/>
      <c r="BOC53" s="609"/>
      <c r="BOD53" s="609"/>
      <c r="BOE53" s="609"/>
      <c r="BOF53" s="609"/>
      <c r="BOG53" s="609"/>
      <c r="BOH53" s="609"/>
      <c r="BOI53" s="609"/>
      <c r="BOJ53" s="609"/>
      <c r="BOK53" s="609"/>
      <c r="BOL53" s="609"/>
      <c r="BOM53" s="609"/>
      <c r="BON53" s="609"/>
      <c r="BOO53" s="609"/>
      <c r="BOP53" s="609"/>
      <c r="BOQ53" s="609"/>
      <c r="BOR53" s="609"/>
      <c r="BOS53" s="609"/>
      <c r="BOT53" s="609"/>
      <c r="BOU53" s="609"/>
      <c r="BOV53" s="609"/>
      <c r="BOW53" s="609"/>
      <c r="BOX53" s="609"/>
      <c r="BOY53" s="609"/>
      <c r="BOZ53" s="609"/>
      <c r="BPA53" s="609"/>
      <c r="BPB53" s="609"/>
      <c r="BPC53" s="609"/>
      <c r="BPD53" s="609"/>
      <c r="BPE53" s="609"/>
      <c r="BPF53" s="609"/>
      <c r="BPG53" s="609"/>
      <c r="BPH53" s="609"/>
      <c r="BPI53" s="609"/>
      <c r="BPJ53" s="609"/>
      <c r="BPK53" s="609"/>
      <c r="BPL53" s="609"/>
      <c r="BPM53" s="609"/>
      <c r="BPN53" s="609"/>
      <c r="BPO53" s="609"/>
      <c r="BPP53" s="609"/>
      <c r="BPQ53" s="609"/>
      <c r="BPR53" s="609"/>
      <c r="BPS53" s="609"/>
      <c r="BPT53" s="609"/>
      <c r="BPU53" s="609"/>
      <c r="BPV53" s="609"/>
      <c r="BPW53" s="609"/>
      <c r="BPX53" s="609"/>
      <c r="BPY53" s="609"/>
      <c r="BPZ53" s="609"/>
      <c r="BQA53" s="609"/>
      <c r="BQB53" s="609"/>
      <c r="BQC53" s="609"/>
      <c r="BQD53" s="609"/>
      <c r="BQE53" s="609"/>
      <c r="BQF53" s="609"/>
      <c r="BQG53" s="609"/>
      <c r="BQH53" s="609"/>
      <c r="BQI53" s="609"/>
      <c r="BQJ53" s="609"/>
      <c r="BQK53" s="609"/>
      <c r="BQL53" s="609"/>
      <c r="BQM53" s="609"/>
      <c r="BQN53" s="609"/>
      <c r="BQO53" s="609"/>
      <c r="BQP53" s="609"/>
      <c r="BQQ53" s="609"/>
      <c r="BQR53" s="609"/>
      <c r="BQS53" s="609"/>
      <c r="BQT53" s="609"/>
      <c r="BQU53" s="609"/>
      <c r="BQV53" s="609"/>
      <c r="BQW53" s="609"/>
      <c r="BQX53" s="609"/>
      <c r="BQY53" s="609"/>
      <c r="BQZ53" s="609"/>
      <c r="BRA53" s="609"/>
      <c r="BRB53" s="609"/>
      <c r="BRC53" s="609"/>
      <c r="BRD53" s="609"/>
      <c r="BRE53" s="609"/>
      <c r="BRF53" s="609"/>
      <c r="BRG53" s="609"/>
      <c r="BRH53" s="609"/>
      <c r="BRI53" s="609"/>
      <c r="BRJ53" s="609"/>
      <c r="BRK53" s="609"/>
      <c r="BRL53" s="609"/>
      <c r="BRM53" s="609"/>
      <c r="BRN53" s="609"/>
      <c r="BRO53" s="609"/>
      <c r="BRP53" s="609"/>
      <c r="BRQ53" s="609"/>
      <c r="BRR53" s="609"/>
      <c r="BRS53" s="609"/>
      <c r="BRT53" s="609"/>
      <c r="BRU53" s="609"/>
      <c r="BRV53" s="609"/>
      <c r="BRW53" s="609"/>
      <c r="BRX53" s="609"/>
      <c r="BRY53" s="609"/>
      <c r="BRZ53" s="609"/>
      <c r="BSA53" s="609"/>
      <c r="BSB53" s="609"/>
      <c r="BSC53" s="609"/>
      <c r="BSD53" s="609"/>
      <c r="BSE53" s="609"/>
      <c r="BSF53" s="609"/>
      <c r="BSG53" s="609"/>
      <c r="BSH53" s="609"/>
      <c r="BSI53" s="609"/>
      <c r="BSJ53" s="609"/>
      <c r="BSK53" s="609"/>
      <c r="BSL53" s="609"/>
      <c r="BSM53" s="609"/>
      <c r="BSN53" s="609"/>
      <c r="BSO53" s="609"/>
      <c r="BSP53" s="609"/>
      <c r="BSQ53" s="609"/>
      <c r="BSR53" s="609"/>
      <c r="BSS53" s="609"/>
      <c r="BST53" s="609"/>
      <c r="BSU53" s="609"/>
      <c r="BSV53" s="609"/>
      <c r="BSW53" s="609"/>
      <c r="BSX53" s="609"/>
      <c r="BSY53" s="609"/>
      <c r="BSZ53" s="609"/>
      <c r="BTA53" s="609"/>
      <c r="BTB53" s="609"/>
      <c r="BTC53" s="609"/>
      <c r="BTD53" s="609"/>
      <c r="BTE53" s="609"/>
      <c r="BTF53" s="609"/>
      <c r="BTG53" s="609"/>
      <c r="BTH53" s="609"/>
      <c r="BTI53" s="609"/>
      <c r="BTJ53" s="609"/>
      <c r="BTK53" s="609"/>
      <c r="BTL53" s="609"/>
      <c r="BTM53" s="609"/>
      <c r="BTN53" s="609"/>
      <c r="BTO53" s="609"/>
      <c r="BTP53" s="609"/>
      <c r="BTQ53" s="609"/>
      <c r="BTR53" s="609"/>
      <c r="BTS53" s="609"/>
      <c r="BTT53" s="609"/>
      <c r="BTU53" s="609"/>
      <c r="BTV53" s="609"/>
      <c r="BTW53" s="609"/>
      <c r="BTX53" s="609"/>
      <c r="BTY53" s="609"/>
      <c r="BTZ53" s="609"/>
      <c r="BUA53" s="609"/>
      <c r="BUB53" s="609"/>
      <c r="BUC53" s="609"/>
      <c r="BUD53" s="609"/>
      <c r="BUE53" s="609"/>
      <c r="BUF53" s="609"/>
      <c r="BUG53" s="609"/>
      <c r="BUH53" s="609"/>
      <c r="BUI53" s="609"/>
      <c r="BUJ53" s="609"/>
      <c r="BUK53" s="609"/>
      <c r="BUL53" s="609"/>
      <c r="BUM53" s="609"/>
      <c r="BUN53" s="609"/>
      <c r="BUO53" s="609"/>
      <c r="BUP53" s="609"/>
      <c r="BUQ53" s="609"/>
      <c r="BUR53" s="609"/>
      <c r="BUS53" s="609"/>
      <c r="BUT53" s="609"/>
      <c r="BUU53" s="609"/>
      <c r="BUV53" s="609"/>
      <c r="BUW53" s="609"/>
      <c r="BUX53" s="609"/>
      <c r="BUY53" s="609"/>
      <c r="BUZ53" s="609"/>
      <c r="BVA53" s="609"/>
      <c r="BVB53" s="609"/>
      <c r="BVC53" s="609"/>
      <c r="BVD53" s="609"/>
      <c r="BVE53" s="609"/>
      <c r="BVF53" s="609"/>
      <c r="BVG53" s="609"/>
      <c r="BVH53" s="609"/>
      <c r="BVI53" s="609"/>
      <c r="BVJ53" s="609"/>
      <c r="BVK53" s="609"/>
      <c r="BVL53" s="609"/>
      <c r="BVM53" s="609"/>
      <c r="BVN53" s="609"/>
      <c r="BVO53" s="609"/>
      <c r="BVP53" s="609"/>
      <c r="BVQ53" s="609"/>
      <c r="BVR53" s="609"/>
      <c r="BVS53" s="609"/>
      <c r="BVT53" s="609"/>
      <c r="BVU53" s="609"/>
      <c r="BVV53" s="609"/>
      <c r="BVW53" s="609"/>
      <c r="BVX53" s="609"/>
      <c r="BVY53" s="609"/>
      <c r="BVZ53" s="609"/>
      <c r="BWA53" s="609"/>
      <c r="BWB53" s="609"/>
      <c r="BWC53" s="609"/>
      <c r="BWD53" s="609"/>
      <c r="BWE53" s="609"/>
      <c r="BWF53" s="609"/>
      <c r="BWG53" s="609"/>
      <c r="BWH53" s="609"/>
      <c r="BWI53" s="609"/>
      <c r="BWJ53" s="609"/>
      <c r="BWK53" s="609"/>
      <c r="BWL53" s="609"/>
      <c r="BWM53" s="609"/>
      <c r="BWN53" s="609"/>
      <c r="BWO53" s="609"/>
      <c r="BWP53" s="609"/>
      <c r="BWQ53" s="609"/>
      <c r="BWR53" s="609"/>
      <c r="BWS53" s="609"/>
      <c r="BWT53" s="609"/>
      <c r="BWU53" s="609"/>
      <c r="BWV53" s="609"/>
      <c r="BWW53" s="609"/>
      <c r="BWX53" s="609"/>
      <c r="BWY53" s="609"/>
      <c r="BWZ53" s="609"/>
      <c r="BXA53" s="609"/>
      <c r="BXB53" s="609"/>
      <c r="BXC53" s="609"/>
      <c r="BXD53" s="609"/>
      <c r="BXE53" s="609"/>
      <c r="BXF53" s="609"/>
      <c r="BXG53" s="609"/>
      <c r="BXH53" s="609"/>
      <c r="BXI53" s="609"/>
      <c r="BXJ53" s="609"/>
      <c r="BXK53" s="609"/>
      <c r="BXL53" s="609"/>
      <c r="BXM53" s="609"/>
      <c r="BXN53" s="609"/>
      <c r="BXO53" s="609"/>
      <c r="BXP53" s="609"/>
      <c r="BXQ53" s="609"/>
      <c r="BXR53" s="609"/>
      <c r="BXS53" s="609"/>
      <c r="BXT53" s="609"/>
      <c r="BXU53" s="609"/>
      <c r="BXV53" s="609"/>
      <c r="BXW53" s="609"/>
      <c r="BXX53" s="609"/>
      <c r="BXY53" s="609"/>
      <c r="BXZ53" s="609"/>
      <c r="BYA53" s="609"/>
      <c r="BYB53" s="609"/>
      <c r="BYC53" s="609"/>
      <c r="BYD53" s="609"/>
      <c r="BYE53" s="609"/>
      <c r="BYF53" s="609"/>
      <c r="BYG53" s="609"/>
      <c r="BYH53" s="609"/>
      <c r="BYI53" s="609"/>
      <c r="BYJ53" s="609"/>
      <c r="BYK53" s="609"/>
      <c r="BYL53" s="609"/>
      <c r="BYM53" s="609"/>
      <c r="BYN53" s="609"/>
      <c r="BYO53" s="609"/>
      <c r="BYP53" s="609"/>
      <c r="BYQ53" s="609"/>
      <c r="BYR53" s="609"/>
      <c r="BYS53" s="609"/>
      <c r="BYT53" s="609"/>
      <c r="BYU53" s="609"/>
      <c r="BYV53" s="609"/>
      <c r="BYW53" s="609"/>
      <c r="BYX53" s="609"/>
      <c r="BYY53" s="609"/>
      <c r="BYZ53" s="609"/>
      <c r="BZA53" s="609"/>
      <c r="BZB53" s="609"/>
      <c r="BZC53" s="609"/>
      <c r="BZD53" s="609"/>
      <c r="BZE53" s="609"/>
      <c r="BZF53" s="609"/>
      <c r="BZG53" s="609"/>
      <c r="BZH53" s="609"/>
      <c r="BZI53" s="609"/>
      <c r="BZJ53" s="609"/>
      <c r="BZK53" s="609"/>
      <c r="BZL53" s="609"/>
      <c r="BZM53" s="609"/>
      <c r="BZN53" s="609"/>
      <c r="BZO53" s="609"/>
      <c r="BZP53" s="609"/>
      <c r="BZQ53" s="609"/>
      <c r="BZR53" s="609"/>
      <c r="BZS53" s="609"/>
      <c r="BZT53" s="609"/>
      <c r="BZU53" s="609"/>
      <c r="BZV53" s="609"/>
      <c r="BZW53" s="609"/>
      <c r="BZX53" s="609"/>
      <c r="BZY53" s="609"/>
      <c r="BZZ53" s="609"/>
      <c r="CAA53" s="609"/>
      <c r="CAB53" s="609"/>
      <c r="CAC53" s="609"/>
      <c r="CAD53" s="609"/>
      <c r="CAE53" s="609"/>
      <c r="CAF53" s="609"/>
      <c r="CAG53" s="609"/>
      <c r="CAH53" s="609"/>
      <c r="CAI53" s="609"/>
      <c r="CAJ53" s="609"/>
      <c r="CAK53" s="609"/>
      <c r="CAL53" s="609"/>
      <c r="CAM53" s="609"/>
      <c r="CAN53" s="609"/>
      <c r="CAO53" s="609"/>
      <c r="CAP53" s="609"/>
      <c r="CAQ53" s="609"/>
      <c r="CAR53" s="609"/>
      <c r="CAS53" s="609"/>
      <c r="CAT53" s="609"/>
      <c r="CAU53" s="609"/>
      <c r="CAV53" s="609"/>
      <c r="CAW53" s="609"/>
      <c r="CAX53" s="609"/>
      <c r="CAY53" s="609"/>
      <c r="CAZ53" s="609"/>
      <c r="CBA53" s="609"/>
      <c r="CBB53" s="609"/>
      <c r="CBC53" s="609"/>
      <c r="CBD53" s="609"/>
      <c r="CBE53" s="609"/>
      <c r="CBF53" s="609"/>
      <c r="CBG53" s="609"/>
      <c r="CBH53" s="609"/>
      <c r="CBI53" s="609"/>
      <c r="CBJ53" s="609"/>
      <c r="CBK53" s="609"/>
      <c r="CBL53" s="609"/>
      <c r="CBM53" s="609"/>
      <c r="CBN53" s="609"/>
      <c r="CBO53" s="609"/>
      <c r="CBP53" s="609"/>
      <c r="CBQ53" s="609"/>
      <c r="CBR53" s="609"/>
      <c r="CBS53" s="609"/>
      <c r="CBT53" s="609"/>
      <c r="CBU53" s="609"/>
      <c r="CBV53" s="609"/>
      <c r="CBW53" s="609"/>
      <c r="CBX53" s="609"/>
      <c r="CBY53" s="609"/>
      <c r="CBZ53" s="609"/>
      <c r="CCA53" s="609"/>
      <c r="CCB53" s="609"/>
      <c r="CCC53" s="609"/>
      <c r="CCD53" s="609"/>
      <c r="CCE53" s="609"/>
      <c r="CCF53" s="609"/>
      <c r="CCG53" s="609"/>
      <c r="CCH53" s="609"/>
      <c r="CCI53" s="609"/>
      <c r="CCJ53" s="609"/>
      <c r="CCK53" s="609"/>
      <c r="CCL53" s="609"/>
      <c r="CCM53" s="609"/>
      <c r="CCN53" s="609"/>
      <c r="CCO53" s="609"/>
      <c r="CCP53" s="609"/>
      <c r="CCQ53" s="609"/>
      <c r="CCR53" s="609"/>
      <c r="CCS53" s="609"/>
      <c r="CCT53" s="609"/>
      <c r="CCU53" s="609"/>
      <c r="CCV53" s="609"/>
      <c r="CCW53" s="609"/>
      <c r="CCX53" s="609"/>
      <c r="CCY53" s="609"/>
      <c r="CCZ53" s="609"/>
      <c r="CDA53" s="609"/>
      <c r="CDB53" s="609"/>
      <c r="CDC53" s="609"/>
      <c r="CDD53" s="609"/>
      <c r="CDE53" s="609"/>
      <c r="CDF53" s="609"/>
      <c r="CDG53" s="609"/>
      <c r="CDH53" s="609"/>
      <c r="CDI53" s="609"/>
      <c r="CDJ53" s="609"/>
      <c r="CDK53" s="609"/>
      <c r="CDL53" s="609"/>
      <c r="CDM53" s="609"/>
      <c r="CDN53" s="609"/>
      <c r="CDO53" s="609"/>
      <c r="CDP53" s="609"/>
      <c r="CDQ53" s="609"/>
      <c r="CDR53" s="609"/>
      <c r="CDS53" s="609"/>
      <c r="CDT53" s="609"/>
      <c r="CDU53" s="609"/>
      <c r="CDV53" s="609"/>
      <c r="CDW53" s="609"/>
      <c r="CDX53" s="609"/>
      <c r="CDY53" s="609"/>
      <c r="CDZ53" s="609"/>
      <c r="CEA53" s="609"/>
      <c r="CEB53" s="609"/>
      <c r="CEC53" s="609"/>
      <c r="CED53" s="609"/>
      <c r="CEE53" s="609"/>
      <c r="CEF53" s="609"/>
      <c r="CEG53" s="609"/>
      <c r="CEH53" s="609"/>
      <c r="CEI53" s="609"/>
      <c r="CEJ53" s="609"/>
      <c r="CEK53" s="609"/>
      <c r="CEL53" s="609"/>
      <c r="CEM53" s="609"/>
      <c r="CEN53" s="609"/>
      <c r="CEO53" s="609"/>
      <c r="CEP53" s="609"/>
      <c r="CEQ53" s="609"/>
      <c r="CER53" s="609"/>
      <c r="CES53" s="609"/>
      <c r="CET53" s="609"/>
      <c r="CEU53" s="609"/>
      <c r="CEV53" s="609"/>
      <c r="CEW53" s="609"/>
      <c r="CEX53" s="609"/>
      <c r="CEY53" s="609"/>
      <c r="CEZ53" s="609"/>
      <c r="CFA53" s="609"/>
      <c r="CFB53" s="609"/>
      <c r="CFC53" s="609"/>
      <c r="CFD53" s="609"/>
      <c r="CFE53" s="609"/>
      <c r="CFF53" s="609"/>
      <c r="CFG53" s="609"/>
      <c r="CFH53" s="609"/>
      <c r="CFI53" s="609"/>
      <c r="CFJ53" s="609"/>
      <c r="CFK53" s="609"/>
      <c r="CFL53" s="609"/>
      <c r="CFM53" s="609"/>
      <c r="CFN53" s="609"/>
      <c r="CFO53" s="609"/>
      <c r="CFP53" s="609"/>
      <c r="CFQ53" s="609"/>
      <c r="CFR53" s="609"/>
      <c r="CFS53" s="609"/>
      <c r="CFT53" s="609"/>
      <c r="CFU53" s="609"/>
      <c r="CFV53" s="609"/>
      <c r="CFW53" s="609"/>
      <c r="CFX53" s="609"/>
      <c r="CFY53" s="609"/>
      <c r="CFZ53" s="609"/>
      <c r="CGA53" s="609"/>
      <c r="CGB53" s="609"/>
      <c r="CGC53" s="609"/>
      <c r="CGD53" s="609"/>
      <c r="CGE53" s="609"/>
      <c r="CGF53" s="609"/>
      <c r="CGG53" s="609"/>
      <c r="CGH53" s="609"/>
      <c r="CGI53" s="609"/>
      <c r="CGJ53" s="609"/>
      <c r="CGK53" s="609"/>
      <c r="CGL53" s="609"/>
      <c r="CGM53" s="609"/>
      <c r="CGN53" s="609"/>
      <c r="CGO53" s="609"/>
      <c r="CGP53" s="609"/>
      <c r="CGQ53" s="609"/>
      <c r="CGR53" s="609"/>
      <c r="CGS53" s="609"/>
      <c r="CGT53" s="609"/>
      <c r="CGU53" s="609"/>
      <c r="CGV53" s="609"/>
      <c r="CGW53" s="609"/>
      <c r="CGX53" s="609"/>
      <c r="CGY53" s="609"/>
      <c r="CGZ53" s="609"/>
      <c r="CHA53" s="609"/>
      <c r="CHB53" s="609"/>
      <c r="CHC53" s="609"/>
      <c r="CHD53" s="609"/>
      <c r="CHE53" s="609"/>
      <c r="CHF53" s="609"/>
      <c r="CHG53" s="609"/>
      <c r="CHH53" s="609"/>
      <c r="CHI53" s="609"/>
      <c r="CHJ53" s="609"/>
      <c r="CHK53" s="609"/>
      <c r="CHL53" s="609"/>
      <c r="CHM53" s="609"/>
      <c r="CHN53" s="609"/>
      <c r="CHO53" s="609"/>
      <c r="CHP53" s="609"/>
      <c r="CHQ53" s="609"/>
      <c r="CHR53" s="609"/>
      <c r="CHS53" s="609"/>
      <c r="CHT53" s="609"/>
      <c r="CHU53" s="609"/>
      <c r="CHV53" s="609"/>
      <c r="CHW53" s="609"/>
      <c r="CHX53" s="609"/>
      <c r="CHY53" s="609"/>
      <c r="CHZ53" s="609"/>
      <c r="CIA53" s="609"/>
      <c r="CIB53" s="609"/>
      <c r="CIC53" s="609"/>
      <c r="CID53" s="609"/>
      <c r="CIE53" s="609"/>
      <c r="CIF53" s="609"/>
      <c r="CIG53" s="609"/>
      <c r="CIH53" s="609"/>
      <c r="CII53" s="609"/>
      <c r="CIJ53" s="609"/>
      <c r="CIK53" s="609"/>
      <c r="CIL53" s="609"/>
      <c r="CIM53" s="609"/>
      <c r="CIN53" s="609"/>
      <c r="CIO53" s="609"/>
      <c r="CIP53" s="609"/>
      <c r="CIQ53" s="609"/>
      <c r="CIR53" s="609"/>
      <c r="CIS53" s="609"/>
      <c r="CIT53" s="609"/>
      <c r="CIU53" s="609"/>
      <c r="CIV53" s="609"/>
      <c r="CIW53" s="609"/>
      <c r="CIX53" s="609"/>
      <c r="CIY53" s="609"/>
      <c r="CIZ53" s="609"/>
      <c r="CJA53" s="609"/>
      <c r="CJB53" s="609"/>
      <c r="CJC53" s="609"/>
      <c r="CJD53" s="609"/>
      <c r="CJE53" s="609"/>
      <c r="CJF53" s="609"/>
      <c r="CJG53" s="609"/>
      <c r="CJH53" s="609"/>
      <c r="CJI53" s="609"/>
      <c r="CJJ53" s="609"/>
      <c r="CJK53" s="609"/>
      <c r="CJL53" s="609"/>
      <c r="CJM53" s="609"/>
      <c r="CJN53" s="609"/>
      <c r="CJO53" s="609"/>
      <c r="CJP53" s="609"/>
      <c r="CJQ53" s="609"/>
      <c r="CJR53" s="609"/>
      <c r="CJS53" s="609"/>
      <c r="CJT53" s="609"/>
      <c r="CJU53" s="609"/>
      <c r="CJV53" s="609"/>
      <c r="CJW53" s="609"/>
      <c r="CJX53" s="609"/>
      <c r="CJY53" s="609"/>
      <c r="CJZ53" s="609"/>
      <c r="CKA53" s="609"/>
      <c r="CKB53" s="609"/>
      <c r="CKC53" s="609"/>
      <c r="CKD53" s="609"/>
      <c r="CKE53" s="609"/>
      <c r="CKF53" s="609"/>
      <c r="CKG53" s="609"/>
      <c r="CKH53" s="609"/>
      <c r="CKI53" s="609"/>
      <c r="CKJ53" s="609"/>
      <c r="CKK53" s="609"/>
      <c r="CKL53" s="609"/>
      <c r="CKM53" s="609"/>
      <c r="CKN53" s="609"/>
      <c r="CKO53" s="609"/>
      <c r="CKP53" s="609"/>
      <c r="CKQ53" s="609"/>
      <c r="CKR53" s="609"/>
      <c r="CKS53" s="609"/>
      <c r="CKT53" s="609"/>
      <c r="CKU53" s="609"/>
      <c r="CKV53" s="609"/>
      <c r="CKW53" s="609"/>
      <c r="CKX53" s="609"/>
      <c r="CKY53" s="609"/>
      <c r="CKZ53" s="609"/>
      <c r="CLA53" s="609"/>
      <c r="CLB53" s="609"/>
      <c r="CLC53" s="609"/>
      <c r="CLD53" s="609"/>
      <c r="CLE53" s="609"/>
      <c r="CLF53" s="609"/>
      <c r="CLG53" s="609"/>
      <c r="CLH53" s="609"/>
      <c r="CLI53" s="609"/>
      <c r="CLJ53" s="609"/>
      <c r="CLK53" s="609"/>
      <c r="CLL53" s="609"/>
      <c r="CLM53" s="609"/>
      <c r="CLN53" s="609"/>
      <c r="CLO53" s="609"/>
      <c r="CLP53" s="609"/>
      <c r="CLQ53" s="609"/>
      <c r="CLR53" s="609"/>
      <c r="CLS53" s="609"/>
      <c r="CLT53" s="609"/>
      <c r="CLU53" s="609"/>
      <c r="CLV53" s="609"/>
      <c r="CLW53" s="609"/>
      <c r="CLX53" s="609"/>
      <c r="CLY53" s="609"/>
      <c r="CLZ53" s="609"/>
      <c r="CMA53" s="609"/>
      <c r="CMB53" s="609"/>
      <c r="CMC53" s="609"/>
      <c r="CMD53" s="609"/>
      <c r="CME53" s="609"/>
      <c r="CMF53" s="609"/>
      <c r="CMG53" s="609"/>
      <c r="CMH53" s="609"/>
      <c r="CMI53" s="609"/>
      <c r="CMJ53" s="609"/>
      <c r="CMK53" s="609"/>
      <c r="CML53" s="609"/>
      <c r="CMM53" s="609"/>
      <c r="CMN53" s="609"/>
      <c r="CMO53" s="609"/>
      <c r="CMP53" s="609"/>
      <c r="CMQ53" s="609"/>
      <c r="CMR53" s="609"/>
      <c r="CMS53" s="609"/>
      <c r="CMT53" s="609"/>
      <c r="CMU53" s="609"/>
      <c r="CMV53" s="609"/>
      <c r="CMW53" s="609"/>
      <c r="CMX53" s="609"/>
      <c r="CMY53" s="609"/>
      <c r="CMZ53" s="609"/>
      <c r="CNA53" s="609"/>
      <c r="CNB53" s="609"/>
      <c r="CNC53" s="609"/>
      <c r="CND53" s="609"/>
      <c r="CNE53" s="609"/>
      <c r="CNF53" s="609"/>
      <c r="CNG53" s="609"/>
      <c r="CNH53" s="609"/>
      <c r="CNI53" s="609"/>
      <c r="CNJ53" s="609"/>
      <c r="CNK53" s="609"/>
      <c r="CNL53" s="609"/>
      <c r="CNM53" s="609"/>
      <c r="CNN53" s="609"/>
      <c r="CNO53" s="609"/>
      <c r="CNP53" s="609"/>
      <c r="CNQ53" s="609"/>
      <c r="CNR53" s="609"/>
      <c r="CNS53" s="609"/>
      <c r="CNT53" s="609"/>
      <c r="CNU53" s="609"/>
      <c r="CNV53" s="609"/>
      <c r="CNW53" s="609"/>
      <c r="CNX53" s="609"/>
      <c r="CNY53" s="609"/>
      <c r="CNZ53" s="609"/>
      <c r="COA53" s="609"/>
      <c r="COB53" s="609"/>
      <c r="COC53" s="609"/>
      <c r="COD53" s="609"/>
      <c r="COE53" s="609"/>
      <c r="COF53" s="609"/>
      <c r="COG53" s="609"/>
      <c r="COH53" s="609"/>
      <c r="COI53" s="609"/>
      <c r="COJ53" s="609"/>
      <c r="COK53" s="609"/>
      <c r="COL53" s="609"/>
      <c r="COM53" s="609"/>
      <c r="CON53" s="609"/>
      <c r="COO53" s="609"/>
      <c r="COP53" s="609"/>
      <c r="COQ53" s="609"/>
      <c r="COR53" s="609"/>
      <c r="COS53" s="609"/>
      <c r="COT53" s="609"/>
      <c r="COU53" s="609"/>
      <c r="COV53" s="609"/>
      <c r="COW53" s="609"/>
      <c r="COX53" s="609"/>
      <c r="COY53" s="609"/>
      <c r="COZ53" s="609"/>
      <c r="CPA53" s="609"/>
      <c r="CPB53" s="609"/>
      <c r="CPC53" s="609"/>
      <c r="CPD53" s="609"/>
      <c r="CPE53" s="609"/>
      <c r="CPF53" s="609"/>
      <c r="CPG53" s="609"/>
      <c r="CPH53" s="609"/>
      <c r="CPI53" s="609"/>
      <c r="CPJ53" s="609"/>
      <c r="CPK53" s="609"/>
      <c r="CPL53" s="609"/>
      <c r="CPM53" s="609"/>
      <c r="CPN53" s="609"/>
      <c r="CPO53" s="609"/>
      <c r="CPP53" s="609"/>
      <c r="CPQ53" s="609"/>
      <c r="CPR53" s="609"/>
      <c r="CPS53" s="609"/>
      <c r="CPT53" s="609"/>
      <c r="CPU53" s="609"/>
      <c r="CPV53" s="609"/>
      <c r="CPW53" s="609"/>
      <c r="CPX53" s="609"/>
      <c r="CPY53" s="609"/>
      <c r="CPZ53" s="609"/>
      <c r="CQA53" s="609"/>
      <c r="CQB53" s="609"/>
      <c r="CQC53" s="609"/>
      <c r="CQD53" s="609"/>
      <c r="CQE53" s="609"/>
      <c r="CQF53" s="609"/>
      <c r="CQG53" s="609"/>
      <c r="CQH53" s="609"/>
      <c r="CQI53" s="609"/>
      <c r="CQJ53" s="609"/>
      <c r="CQK53" s="609"/>
      <c r="CQL53" s="609"/>
      <c r="CQM53" s="609"/>
      <c r="CQN53" s="609"/>
      <c r="CQO53" s="609"/>
      <c r="CQP53" s="609"/>
      <c r="CQQ53" s="609"/>
      <c r="CQR53" s="609"/>
      <c r="CQS53" s="609"/>
      <c r="CQT53" s="609"/>
      <c r="CQU53" s="609"/>
      <c r="CQV53" s="609"/>
      <c r="CQW53" s="609"/>
      <c r="CQX53" s="609"/>
      <c r="CQY53" s="609"/>
      <c r="CQZ53" s="609"/>
      <c r="CRA53" s="609"/>
      <c r="CRB53" s="609"/>
      <c r="CRC53" s="609"/>
      <c r="CRD53" s="609"/>
      <c r="CRE53" s="609"/>
      <c r="CRF53" s="609"/>
      <c r="CRG53" s="609"/>
      <c r="CRH53" s="609"/>
      <c r="CRI53" s="609"/>
      <c r="CRJ53" s="609"/>
      <c r="CRK53" s="609"/>
      <c r="CRL53" s="609"/>
      <c r="CRM53" s="609"/>
      <c r="CRN53" s="609"/>
      <c r="CRO53" s="609"/>
      <c r="CRP53" s="609"/>
      <c r="CRQ53" s="609"/>
      <c r="CRR53" s="609"/>
      <c r="CRS53" s="609"/>
      <c r="CRT53" s="609"/>
      <c r="CRU53" s="609"/>
      <c r="CRV53" s="609"/>
      <c r="CRW53" s="609"/>
      <c r="CRX53" s="609"/>
      <c r="CRY53" s="609"/>
      <c r="CRZ53" s="609"/>
      <c r="CSA53" s="609"/>
      <c r="CSB53" s="609"/>
      <c r="CSC53" s="609"/>
      <c r="CSD53" s="609"/>
      <c r="CSE53" s="609"/>
      <c r="CSF53" s="609"/>
      <c r="CSG53" s="609"/>
      <c r="CSH53" s="609"/>
      <c r="CSI53" s="609"/>
      <c r="CSJ53" s="609"/>
      <c r="CSK53" s="609"/>
      <c r="CSL53" s="609"/>
      <c r="CSM53" s="609"/>
      <c r="CSN53" s="609"/>
      <c r="CSO53" s="609"/>
      <c r="CSP53" s="609"/>
      <c r="CSQ53" s="609"/>
      <c r="CSR53" s="609"/>
      <c r="CSS53" s="609"/>
      <c r="CST53" s="609"/>
      <c r="CSU53" s="609"/>
      <c r="CSV53" s="609"/>
      <c r="CSW53" s="609"/>
      <c r="CSX53" s="609"/>
      <c r="CSY53" s="609"/>
      <c r="CSZ53" s="609"/>
      <c r="CTA53" s="609"/>
      <c r="CTB53" s="609"/>
      <c r="CTC53" s="609"/>
      <c r="CTD53" s="609"/>
      <c r="CTE53" s="609"/>
      <c r="CTF53" s="609"/>
      <c r="CTG53" s="609"/>
      <c r="CTH53" s="609"/>
      <c r="CTI53" s="609"/>
      <c r="CTJ53" s="609"/>
      <c r="CTK53" s="609"/>
      <c r="CTL53" s="609"/>
      <c r="CTM53" s="609"/>
      <c r="CTN53" s="609"/>
      <c r="CTO53" s="609"/>
      <c r="CTP53" s="609"/>
      <c r="CTQ53" s="609"/>
      <c r="CTR53" s="609"/>
      <c r="CTS53" s="609"/>
      <c r="CTT53" s="609"/>
      <c r="CTU53" s="609"/>
      <c r="CTV53" s="609"/>
      <c r="CTW53" s="609"/>
      <c r="CTX53" s="609"/>
      <c r="CTY53" s="609"/>
      <c r="CTZ53" s="609"/>
      <c r="CUA53" s="609"/>
      <c r="CUB53" s="609"/>
      <c r="CUC53" s="609"/>
      <c r="CUD53" s="609"/>
      <c r="CUE53" s="609"/>
      <c r="CUF53" s="609"/>
      <c r="CUG53" s="609"/>
      <c r="CUH53" s="609"/>
      <c r="CUI53" s="609"/>
      <c r="CUJ53" s="609"/>
      <c r="CUK53" s="609"/>
      <c r="CUL53" s="609"/>
      <c r="CUM53" s="609"/>
      <c r="CUN53" s="609"/>
      <c r="CUO53" s="609"/>
      <c r="CUP53" s="609"/>
      <c r="CUQ53" s="609"/>
      <c r="CUR53" s="609"/>
      <c r="CUS53" s="609"/>
      <c r="CUT53" s="609"/>
      <c r="CUU53" s="609"/>
      <c r="CUV53" s="609"/>
      <c r="CUW53" s="609"/>
      <c r="CUX53" s="609"/>
      <c r="CUY53" s="609"/>
      <c r="CUZ53" s="609"/>
      <c r="CVA53" s="609"/>
      <c r="CVB53" s="609"/>
      <c r="CVC53" s="609"/>
      <c r="CVD53" s="609"/>
      <c r="CVE53" s="609"/>
      <c r="CVF53" s="609"/>
      <c r="CVG53" s="609"/>
      <c r="CVH53" s="609"/>
      <c r="CVI53" s="609"/>
      <c r="CVJ53" s="609"/>
      <c r="CVK53" s="609"/>
      <c r="CVL53" s="609"/>
      <c r="CVM53" s="609"/>
      <c r="CVN53" s="609"/>
      <c r="CVO53" s="609"/>
      <c r="CVP53" s="609"/>
      <c r="CVQ53" s="609"/>
      <c r="CVR53" s="609"/>
      <c r="CVS53" s="609"/>
      <c r="CVT53" s="609"/>
      <c r="CVU53" s="609"/>
      <c r="CVV53" s="609"/>
      <c r="CVW53" s="609"/>
      <c r="CVX53" s="609"/>
      <c r="CVY53" s="609"/>
      <c r="CVZ53" s="609"/>
      <c r="CWA53" s="609"/>
      <c r="CWB53" s="609"/>
      <c r="CWC53" s="609"/>
      <c r="CWD53" s="609"/>
      <c r="CWE53" s="609"/>
      <c r="CWF53" s="609"/>
      <c r="CWG53" s="609"/>
      <c r="CWH53" s="609"/>
      <c r="CWI53" s="609"/>
      <c r="CWJ53" s="609"/>
      <c r="CWK53" s="609"/>
      <c r="CWL53" s="609"/>
      <c r="CWM53" s="609"/>
      <c r="CWN53" s="609"/>
      <c r="CWO53" s="609"/>
      <c r="CWP53" s="609"/>
      <c r="CWQ53" s="609"/>
      <c r="CWR53" s="609"/>
      <c r="CWS53" s="609"/>
      <c r="CWT53" s="609"/>
      <c r="CWU53" s="609"/>
      <c r="CWV53" s="609"/>
      <c r="CWW53" s="609"/>
      <c r="CWX53" s="609"/>
      <c r="CWY53" s="609"/>
      <c r="CWZ53" s="609"/>
      <c r="CXA53" s="609"/>
      <c r="CXB53" s="609"/>
      <c r="CXC53" s="609"/>
      <c r="CXD53" s="609"/>
      <c r="CXE53" s="609"/>
      <c r="CXF53" s="609"/>
      <c r="CXG53" s="609"/>
      <c r="CXH53" s="609"/>
      <c r="CXI53" s="609"/>
      <c r="CXJ53" s="609"/>
      <c r="CXK53" s="609"/>
      <c r="CXL53" s="609"/>
      <c r="CXM53" s="609"/>
      <c r="CXN53" s="609"/>
      <c r="CXO53" s="609"/>
      <c r="CXP53" s="609"/>
      <c r="CXQ53" s="609"/>
      <c r="CXR53" s="609"/>
      <c r="CXS53" s="609"/>
      <c r="CXT53" s="609"/>
      <c r="CXU53" s="609"/>
      <c r="CXV53" s="609"/>
      <c r="CXW53" s="609"/>
      <c r="CXX53" s="609"/>
      <c r="CXY53" s="609"/>
      <c r="CXZ53" s="609"/>
      <c r="CYA53" s="609"/>
      <c r="CYB53" s="609"/>
      <c r="CYC53" s="609"/>
      <c r="CYD53" s="609"/>
      <c r="CYE53" s="609"/>
      <c r="CYF53" s="609"/>
      <c r="CYG53" s="609"/>
      <c r="CYH53" s="609"/>
      <c r="CYI53" s="609"/>
      <c r="CYJ53" s="609"/>
      <c r="CYK53" s="609"/>
      <c r="CYL53" s="609"/>
      <c r="CYM53" s="609"/>
      <c r="CYN53" s="609"/>
      <c r="CYO53" s="609"/>
      <c r="CYP53" s="609"/>
      <c r="CYQ53" s="609"/>
      <c r="CYR53" s="609"/>
      <c r="CYS53" s="609"/>
      <c r="CYT53" s="609"/>
      <c r="CYU53" s="609"/>
      <c r="CYV53" s="609"/>
      <c r="CYW53" s="609"/>
      <c r="CYX53" s="609"/>
      <c r="CYY53" s="609"/>
      <c r="CYZ53" s="609"/>
      <c r="CZA53" s="609"/>
      <c r="CZB53" s="609"/>
      <c r="CZC53" s="609"/>
      <c r="CZD53" s="609"/>
      <c r="CZE53" s="609"/>
      <c r="CZF53" s="609"/>
      <c r="CZG53" s="609"/>
      <c r="CZH53" s="609"/>
      <c r="CZI53" s="609"/>
      <c r="CZJ53" s="609"/>
      <c r="CZK53" s="609"/>
      <c r="CZL53" s="609"/>
      <c r="CZM53" s="609"/>
      <c r="CZN53" s="609"/>
      <c r="CZO53" s="609"/>
      <c r="CZP53" s="609"/>
      <c r="CZQ53" s="609"/>
      <c r="CZR53" s="609"/>
      <c r="CZS53" s="609"/>
      <c r="CZT53" s="609"/>
      <c r="CZU53" s="609"/>
      <c r="CZV53" s="609"/>
      <c r="CZW53" s="609"/>
      <c r="CZX53" s="609"/>
      <c r="CZY53" s="609"/>
      <c r="CZZ53" s="609"/>
      <c r="DAA53" s="609"/>
      <c r="DAB53" s="609"/>
      <c r="DAC53" s="609"/>
      <c r="DAD53" s="609"/>
      <c r="DAE53" s="609"/>
      <c r="DAF53" s="609"/>
      <c r="DAG53" s="609"/>
      <c r="DAH53" s="609"/>
      <c r="DAI53" s="609"/>
      <c r="DAJ53" s="609"/>
      <c r="DAK53" s="609"/>
      <c r="DAL53" s="609"/>
      <c r="DAM53" s="609"/>
      <c r="DAN53" s="609"/>
      <c r="DAO53" s="609"/>
      <c r="DAP53" s="609"/>
      <c r="DAQ53" s="609"/>
      <c r="DAR53" s="609"/>
      <c r="DAS53" s="609"/>
      <c r="DAT53" s="609"/>
      <c r="DAU53" s="609"/>
      <c r="DAV53" s="609"/>
      <c r="DAW53" s="609"/>
      <c r="DAX53" s="609"/>
      <c r="DAY53" s="609"/>
      <c r="DAZ53" s="609"/>
      <c r="DBA53" s="609"/>
      <c r="DBB53" s="609"/>
      <c r="DBC53" s="609"/>
      <c r="DBD53" s="609"/>
      <c r="DBE53" s="609"/>
      <c r="DBF53" s="609"/>
      <c r="DBG53" s="609"/>
      <c r="DBH53" s="609"/>
      <c r="DBI53" s="609"/>
      <c r="DBJ53" s="609"/>
      <c r="DBK53" s="609"/>
      <c r="DBL53" s="609"/>
      <c r="DBM53" s="609"/>
      <c r="DBN53" s="609"/>
      <c r="DBO53" s="609"/>
      <c r="DBP53" s="609"/>
      <c r="DBQ53" s="609"/>
      <c r="DBR53" s="609"/>
      <c r="DBS53" s="609"/>
      <c r="DBT53" s="609"/>
      <c r="DBU53" s="609"/>
      <c r="DBV53" s="609"/>
      <c r="DBW53" s="609"/>
      <c r="DBX53" s="609"/>
      <c r="DBY53" s="609"/>
      <c r="DBZ53" s="609"/>
      <c r="DCA53" s="609"/>
      <c r="DCB53" s="609"/>
      <c r="DCC53" s="609"/>
      <c r="DCD53" s="609"/>
      <c r="DCE53" s="609"/>
      <c r="DCF53" s="609"/>
      <c r="DCG53" s="609"/>
      <c r="DCH53" s="609"/>
      <c r="DCI53" s="609"/>
      <c r="DCJ53" s="609"/>
      <c r="DCK53" s="609"/>
      <c r="DCL53" s="609"/>
      <c r="DCM53" s="609"/>
      <c r="DCN53" s="609"/>
      <c r="DCO53" s="609"/>
      <c r="DCP53" s="609"/>
      <c r="DCQ53" s="609"/>
      <c r="DCR53" s="609"/>
      <c r="DCS53" s="609"/>
      <c r="DCT53" s="609"/>
      <c r="DCU53" s="609"/>
      <c r="DCV53" s="609"/>
      <c r="DCW53" s="609"/>
      <c r="DCX53" s="609"/>
      <c r="DCY53" s="609"/>
      <c r="DCZ53" s="609"/>
      <c r="DDA53" s="609"/>
      <c r="DDB53" s="609"/>
      <c r="DDC53" s="609"/>
      <c r="DDD53" s="609"/>
      <c r="DDE53" s="609"/>
      <c r="DDF53" s="609"/>
      <c r="DDG53" s="609"/>
      <c r="DDH53" s="609"/>
      <c r="DDI53" s="609"/>
      <c r="DDJ53" s="609"/>
      <c r="DDK53" s="609"/>
      <c r="DDL53" s="609"/>
      <c r="DDM53" s="609"/>
      <c r="DDN53" s="609"/>
      <c r="DDO53" s="609"/>
      <c r="DDP53" s="609"/>
      <c r="DDQ53" s="609"/>
      <c r="DDR53" s="609"/>
      <c r="DDS53" s="609"/>
      <c r="DDT53" s="609"/>
      <c r="DDU53" s="609"/>
      <c r="DDV53" s="609"/>
      <c r="DDW53" s="609"/>
      <c r="DDX53" s="609"/>
      <c r="DDY53" s="609"/>
      <c r="DDZ53" s="609"/>
      <c r="DEA53" s="609"/>
      <c r="DEB53" s="609"/>
      <c r="DEC53" s="609"/>
      <c r="DED53" s="609"/>
      <c r="DEE53" s="609"/>
      <c r="DEF53" s="609"/>
      <c r="DEG53" s="609"/>
      <c r="DEH53" s="609"/>
      <c r="DEI53" s="609"/>
      <c r="DEJ53" s="609"/>
      <c r="DEK53" s="609"/>
      <c r="DEL53" s="609"/>
      <c r="DEM53" s="609"/>
      <c r="DEN53" s="609"/>
      <c r="DEO53" s="609"/>
      <c r="DEP53" s="609"/>
      <c r="DEQ53" s="609"/>
      <c r="DER53" s="609"/>
      <c r="DES53" s="609"/>
      <c r="DET53" s="609"/>
      <c r="DEU53" s="609"/>
      <c r="DEV53" s="609"/>
      <c r="DEW53" s="609"/>
      <c r="DEX53" s="609"/>
      <c r="DEY53" s="609"/>
      <c r="DEZ53" s="609"/>
      <c r="DFA53" s="609"/>
      <c r="DFB53" s="609"/>
      <c r="DFC53" s="609"/>
      <c r="DFD53" s="609"/>
      <c r="DFE53" s="609"/>
      <c r="DFF53" s="609"/>
      <c r="DFG53" s="609"/>
      <c r="DFH53" s="609"/>
      <c r="DFI53" s="609"/>
      <c r="DFJ53" s="609"/>
      <c r="DFK53" s="609"/>
      <c r="DFL53" s="609"/>
      <c r="DFM53" s="609"/>
      <c r="DFN53" s="609"/>
      <c r="DFO53" s="609"/>
      <c r="DFP53" s="609"/>
      <c r="DFQ53" s="609"/>
      <c r="DFR53" s="609"/>
      <c r="DFS53" s="609"/>
      <c r="DFT53" s="609"/>
      <c r="DFU53" s="609"/>
      <c r="DFV53" s="609"/>
      <c r="DFW53" s="609"/>
      <c r="DFX53" s="609"/>
      <c r="DFY53" s="609"/>
      <c r="DFZ53" s="609"/>
      <c r="DGA53" s="609"/>
      <c r="DGB53" s="609"/>
      <c r="DGC53" s="609"/>
      <c r="DGD53" s="609"/>
      <c r="DGE53" s="609"/>
      <c r="DGF53" s="609"/>
      <c r="DGG53" s="609"/>
      <c r="DGH53" s="609"/>
      <c r="DGI53" s="609"/>
      <c r="DGJ53" s="609"/>
      <c r="DGK53" s="609"/>
      <c r="DGL53" s="609"/>
      <c r="DGM53" s="609"/>
      <c r="DGN53" s="609"/>
      <c r="DGO53" s="609"/>
      <c r="DGP53" s="609"/>
      <c r="DGQ53" s="609"/>
      <c r="DGR53" s="609"/>
      <c r="DGS53" s="609"/>
      <c r="DGT53" s="609"/>
      <c r="DGU53" s="609"/>
      <c r="DGV53" s="609"/>
      <c r="DGW53" s="609"/>
      <c r="DGX53" s="609"/>
      <c r="DGY53" s="609"/>
      <c r="DGZ53" s="609"/>
      <c r="DHA53" s="609"/>
      <c r="DHB53" s="609"/>
      <c r="DHC53" s="609"/>
      <c r="DHD53" s="609"/>
      <c r="DHE53" s="609"/>
      <c r="DHF53" s="609"/>
      <c r="DHG53" s="609"/>
      <c r="DHH53" s="609"/>
      <c r="DHI53" s="609"/>
      <c r="DHJ53" s="609"/>
      <c r="DHK53" s="609"/>
      <c r="DHL53" s="609"/>
      <c r="DHM53" s="609"/>
      <c r="DHN53" s="609"/>
      <c r="DHO53" s="609"/>
      <c r="DHP53" s="609"/>
      <c r="DHQ53" s="609"/>
      <c r="DHR53" s="609"/>
      <c r="DHS53" s="609"/>
      <c r="DHT53" s="609"/>
      <c r="DHU53" s="609"/>
      <c r="DHV53" s="609"/>
      <c r="DHW53" s="609"/>
      <c r="DHX53" s="609"/>
      <c r="DHY53" s="609"/>
      <c r="DHZ53" s="609"/>
      <c r="DIA53" s="609"/>
      <c r="DIB53" s="609"/>
      <c r="DIC53" s="609"/>
      <c r="DID53" s="609"/>
      <c r="DIE53" s="609"/>
      <c r="DIF53" s="609"/>
      <c r="DIG53" s="609"/>
      <c r="DIH53" s="609"/>
      <c r="DII53" s="609"/>
      <c r="DIJ53" s="609"/>
      <c r="DIK53" s="609"/>
      <c r="DIL53" s="609"/>
      <c r="DIM53" s="609"/>
      <c r="DIN53" s="609"/>
      <c r="DIO53" s="609"/>
      <c r="DIP53" s="609"/>
      <c r="DIQ53" s="609"/>
      <c r="DIR53" s="609"/>
      <c r="DIS53" s="609"/>
      <c r="DIT53" s="609"/>
      <c r="DIU53" s="609"/>
      <c r="DIV53" s="609"/>
      <c r="DIW53" s="609"/>
      <c r="DIX53" s="609"/>
      <c r="DIY53" s="609"/>
      <c r="DIZ53" s="609"/>
      <c r="DJA53" s="609"/>
      <c r="DJB53" s="609"/>
      <c r="DJC53" s="609"/>
      <c r="DJD53" s="609"/>
      <c r="DJE53" s="609"/>
      <c r="DJF53" s="609"/>
      <c r="DJG53" s="609"/>
      <c r="DJH53" s="609"/>
      <c r="DJI53" s="609"/>
      <c r="DJJ53" s="609"/>
      <c r="DJK53" s="609"/>
      <c r="DJL53" s="609"/>
      <c r="DJM53" s="609"/>
      <c r="DJN53" s="609"/>
      <c r="DJO53" s="609"/>
      <c r="DJP53" s="609"/>
      <c r="DJQ53" s="609"/>
      <c r="DJR53" s="609"/>
      <c r="DJS53" s="609"/>
      <c r="DJT53" s="609"/>
      <c r="DJU53" s="609"/>
      <c r="DJV53" s="609"/>
      <c r="DJW53" s="609"/>
      <c r="DJX53" s="609"/>
      <c r="DJY53" s="609"/>
      <c r="DJZ53" s="609"/>
      <c r="DKA53" s="609"/>
      <c r="DKB53" s="609"/>
      <c r="DKC53" s="609"/>
      <c r="DKD53" s="609"/>
      <c r="DKE53" s="609"/>
      <c r="DKF53" s="609"/>
      <c r="DKG53" s="609"/>
      <c r="DKH53" s="609"/>
      <c r="DKI53" s="609"/>
      <c r="DKJ53" s="609"/>
      <c r="DKK53" s="609"/>
      <c r="DKL53" s="609"/>
      <c r="DKM53" s="609"/>
      <c r="DKN53" s="609"/>
      <c r="DKO53" s="609"/>
      <c r="DKP53" s="609"/>
      <c r="DKQ53" s="609"/>
      <c r="DKR53" s="609"/>
      <c r="DKS53" s="609"/>
      <c r="DKT53" s="609"/>
      <c r="DKU53" s="609"/>
      <c r="DKV53" s="609"/>
      <c r="DKW53" s="609"/>
      <c r="DKX53" s="609"/>
      <c r="DKY53" s="609"/>
      <c r="DKZ53" s="609"/>
      <c r="DLA53" s="609"/>
      <c r="DLB53" s="609"/>
      <c r="DLC53" s="609"/>
      <c r="DLD53" s="609"/>
      <c r="DLE53" s="609"/>
      <c r="DLF53" s="609"/>
      <c r="DLG53" s="609"/>
      <c r="DLH53" s="609"/>
      <c r="DLI53" s="609"/>
      <c r="DLJ53" s="609"/>
      <c r="DLK53" s="609"/>
      <c r="DLL53" s="609"/>
      <c r="DLM53" s="609"/>
      <c r="DLN53" s="609"/>
      <c r="DLO53" s="609"/>
      <c r="DLP53" s="609"/>
      <c r="DLQ53" s="609"/>
      <c r="DLR53" s="609"/>
      <c r="DLS53" s="609"/>
      <c r="DLT53" s="609"/>
      <c r="DLU53" s="609"/>
      <c r="DLV53" s="609"/>
      <c r="DLW53" s="609"/>
      <c r="DLX53" s="609"/>
      <c r="DLY53" s="609"/>
      <c r="DLZ53" s="609"/>
      <c r="DMA53" s="609"/>
      <c r="DMB53" s="609"/>
      <c r="DMC53" s="609"/>
      <c r="DMD53" s="609"/>
      <c r="DME53" s="609"/>
      <c r="DMF53" s="609"/>
      <c r="DMG53" s="609"/>
      <c r="DMH53" s="609"/>
      <c r="DMI53" s="609"/>
      <c r="DMJ53" s="609"/>
      <c r="DMK53" s="609"/>
      <c r="DML53" s="609"/>
      <c r="DMM53" s="609"/>
      <c r="DMN53" s="609"/>
      <c r="DMO53" s="609"/>
      <c r="DMP53" s="609"/>
      <c r="DMQ53" s="609"/>
      <c r="DMR53" s="609"/>
      <c r="DMS53" s="609"/>
      <c r="DMT53" s="609"/>
      <c r="DMU53" s="609"/>
      <c r="DMV53" s="609"/>
      <c r="DMW53" s="609"/>
      <c r="DMX53" s="609"/>
      <c r="DMY53" s="609"/>
      <c r="DMZ53" s="609"/>
      <c r="DNA53" s="609"/>
      <c r="DNB53" s="609"/>
      <c r="DNC53" s="609"/>
      <c r="DND53" s="609"/>
      <c r="DNE53" s="609"/>
      <c r="DNF53" s="609"/>
      <c r="DNG53" s="609"/>
      <c r="DNH53" s="609"/>
      <c r="DNI53" s="609"/>
      <c r="DNJ53" s="609"/>
      <c r="DNK53" s="609"/>
      <c r="DNL53" s="609"/>
      <c r="DNM53" s="609"/>
      <c r="DNN53" s="609"/>
      <c r="DNO53" s="609"/>
      <c r="DNP53" s="609"/>
      <c r="DNQ53" s="609"/>
      <c r="DNR53" s="609"/>
      <c r="DNS53" s="609"/>
      <c r="DNT53" s="609"/>
      <c r="DNU53" s="609"/>
      <c r="DNV53" s="609"/>
      <c r="DNW53" s="609"/>
      <c r="DNX53" s="609"/>
      <c r="DNY53" s="609"/>
      <c r="DNZ53" s="609"/>
      <c r="DOA53" s="609"/>
      <c r="DOB53" s="609"/>
      <c r="DOC53" s="609"/>
      <c r="DOD53" s="609"/>
      <c r="DOE53" s="609"/>
      <c r="DOF53" s="609"/>
      <c r="DOG53" s="609"/>
      <c r="DOH53" s="609"/>
      <c r="DOI53" s="609"/>
      <c r="DOJ53" s="609"/>
      <c r="DOK53" s="609"/>
      <c r="DOL53" s="609"/>
      <c r="DOM53" s="609"/>
      <c r="DON53" s="609"/>
      <c r="DOO53" s="609"/>
      <c r="DOP53" s="609"/>
      <c r="DOQ53" s="609"/>
      <c r="DOR53" s="609"/>
      <c r="DOS53" s="609"/>
      <c r="DOT53" s="609"/>
      <c r="DOU53" s="609"/>
      <c r="DOV53" s="609"/>
      <c r="DOW53" s="609"/>
      <c r="DOX53" s="609"/>
      <c r="DOY53" s="609"/>
      <c r="DOZ53" s="609"/>
      <c r="DPA53" s="609"/>
      <c r="DPB53" s="609"/>
      <c r="DPC53" s="609"/>
      <c r="DPD53" s="609"/>
      <c r="DPE53" s="609"/>
      <c r="DPF53" s="609"/>
      <c r="DPG53" s="609"/>
      <c r="DPH53" s="609"/>
      <c r="DPI53" s="609"/>
      <c r="DPJ53" s="609"/>
      <c r="DPK53" s="609"/>
      <c r="DPL53" s="609"/>
      <c r="DPM53" s="609"/>
      <c r="DPN53" s="609"/>
      <c r="DPO53" s="609"/>
      <c r="DPP53" s="609"/>
      <c r="DPQ53" s="609"/>
      <c r="DPR53" s="609"/>
      <c r="DPS53" s="609"/>
      <c r="DPT53" s="609"/>
      <c r="DPU53" s="609"/>
      <c r="DPV53" s="609"/>
      <c r="DPW53" s="609"/>
      <c r="DPX53" s="609"/>
      <c r="DPY53" s="609"/>
      <c r="DPZ53" s="609"/>
      <c r="DQA53" s="609"/>
      <c r="DQB53" s="609"/>
      <c r="DQC53" s="609"/>
      <c r="DQD53" s="609"/>
      <c r="DQE53" s="609"/>
      <c r="DQF53" s="609"/>
      <c r="DQG53" s="609"/>
      <c r="DQH53" s="609"/>
      <c r="DQI53" s="609"/>
      <c r="DQJ53" s="609"/>
      <c r="DQK53" s="609"/>
      <c r="DQL53" s="609"/>
      <c r="DQM53" s="609"/>
      <c r="DQN53" s="609"/>
      <c r="DQO53" s="609"/>
      <c r="DQP53" s="609"/>
      <c r="DQQ53" s="609"/>
      <c r="DQR53" s="609"/>
      <c r="DQS53" s="609"/>
      <c r="DQT53" s="609"/>
      <c r="DQU53" s="609"/>
      <c r="DQV53" s="609"/>
      <c r="DQW53" s="609"/>
      <c r="DQX53" s="609"/>
      <c r="DQY53" s="609"/>
      <c r="DQZ53" s="609"/>
      <c r="DRA53" s="609"/>
      <c r="DRB53" s="609"/>
      <c r="DRC53" s="609"/>
      <c r="DRD53" s="609"/>
      <c r="DRE53" s="609"/>
      <c r="DRF53" s="609"/>
      <c r="DRG53" s="609"/>
      <c r="DRH53" s="609"/>
      <c r="DRI53" s="609"/>
      <c r="DRJ53" s="609"/>
      <c r="DRK53" s="609"/>
      <c r="DRL53" s="609"/>
      <c r="DRM53" s="609"/>
      <c r="DRN53" s="609"/>
      <c r="DRO53" s="609"/>
      <c r="DRP53" s="609"/>
      <c r="DRQ53" s="609"/>
      <c r="DRR53" s="609"/>
      <c r="DRS53" s="609"/>
      <c r="DRT53" s="609"/>
      <c r="DRU53" s="609"/>
      <c r="DRV53" s="609"/>
      <c r="DRW53" s="609"/>
      <c r="DRX53" s="609"/>
      <c r="DRY53" s="609"/>
      <c r="DRZ53" s="609"/>
      <c r="DSA53" s="609"/>
      <c r="DSB53" s="609"/>
      <c r="DSC53" s="609"/>
      <c r="DSD53" s="609"/>
      <c r="DSE53" s="609"/>
      <c r="DSF53" s="609"/>
      <c r="DSG53" s="609"/>
      <c r="DSH53" s="609"/>
      <c r="DSI53" s="609"/>
      <c r="DSJ53" s="609"/>
      <c r="DSK53" s="609"/>
      <c r="DSL53" s="609"/>
      <c r="DSM53" s="609"/>
      <c r="DSN53" s="609"/>
      <c r="DSO53" s="609"/>
      <c r="DSP53" s="609"/>
      <c r="DSQ53" s="609"/>
      <c r="DSR53" s="609"/>
      <c r="DSS53" s="609"/>
      <c r="DST53" s="609"/>
      <c r="DSU53" s="609"/>
      <c r="DSV53" s="609"/>
      <c r="DSW53" s="609"/>
      <c r="DSX53" s="609"/>
      <c r="DSY53" s="609"/>
      <c r="DSZ53" s="609"/>
      <c r="DTA53" s="609"/>
      <c r="DTB53" s="609"/>
      <c r="DTC53" s="609"/>
      <c r="DTD53" s="609"/>
      <c r="DTE53" s="609"/>
      <c r="DTF53" s="609"/>
      <c r="DTG53" s="609"/>
      <c r="DTH53" s="609"/>
      <c r="DTI53" s="609"/>
      <c r="DTJ53" s="609"/>
      <c r="DTK53" s="609"/>
      <c r="DTL53" s="609"/>
      <c r="DTM53" s="609"/>
      <c r="DTN53" s="609"/>
      <c r="DTO53" s="609"/>
      <c r="DTP53" s="609"/>
      <c r="DTQ53" s="609"/>
      <c r="DTR53" s="609"/>
      <c r="DTS53" s="609"/>
      <c r="DTT53" s="609"/>
      <c r="DTU53" s="609"/>
      <c r="DTV53" s="609"/>
      <c r="DTW53" s="609"/>
      <c r="DTX53" s="609"/>
      <c r="DTY53" s="609"/>
      <c r="DTZ53" s="609"/>
      <c r="DUA53" s="609"/>
      <c r="DUB53" s="609"/>
      <c r="DUC53" s="609"/>
      <c r="DUD53" s="609"/>
      <c r="DUE53" s="609"/>
      <c r="DUF53" s="609"/>
      <c r="DUG53" s="609"/>
      <c r="DUH53" s="609"/>
      <c r="DUI53" s="609"/>
      <c r="DUJ53" s="609"/>
      <c r="DUK53" s="609"/>
      <c r="DUL53" s="609"/>
      <c r="DUM53" s="609"/>
      <c r="DUN53" s="609"/>
      <c r="DUO53" s="609"/>
      <c r="DUP53" s="609"/>
      <c r="DUQ53" s="609"/>
      <c r="DUR53" s="609"/>
      <c r="DUS53" s="609"/>
      <c r="DUT53" s="609"/>
      <c r="DUU53" s="609"/>
      <c r="DUV53" s="609"/>
      <c r="DUW53" s="609"/>
      <c r="DUX53" s="609"/>
      <c r="DUY53" s="609"/>
      <c r="DUZ53" s="609"/>
      <c r="DVA53" s="609"/>
      <c r="DVB53" s="609"/>
      <c r="DVC53" s="609"/>
      <c r="DVD53" s="609"/>
      <c r="DVE53" s="609"/>
      <c r="DVF53" s="609"/>
      <c r="DVG53" s="609"/>
      <c r="DVH53" s="609"/>
      <c r="DVI53" s="609"/>
      <c r="DVJ53" s="609"/>
      <c r="DVK53" s="609"/>
      <c r="DVL53" s="609"/>
      <c r="DVM53" s="609"/>
      <c r="DVN53" s="609"/>
      <c r="DVO53" s="609"/>
      <c r="DVP53" s="609"/>
      <c r="DVQ53" s="609"/>
      <c r="DVR53" s="609"/>
      <c r="DVS53" s="609"/>
      <c r="DVT53" s="609"/>
      <c r="DVU53" s="609"/>
      <c r="DVV53" s="609"/>
      <c r="DVW53" s="609"/>
      <c r="DVX53" s="609"/>
      <c r="DVY53" s="609"/>
      <c r="DVZ53" s="609"/>
      <c r="DWA53" s="609"/>
      <c r="DWB53" s="609"/>
      <c r="DWC53" s="609"/>
      <c r="DWD53" s="609"/>
      <c r="DWE53" s="609"/>
      <c r="DWF53" s="609"/>
      <c r="DWG53" s="609"/>
      <c r="DWH53" s="609"/>
      <c r="DWI53" s="609"/>
      <c r="DWJ53" s="609"/>
      <c r="DWK53" s="609"/>
      <c r="DWL53" s="609"/>
      <c r="DWM53" s="609"/>
      <c r="DWN53" s="609"/>
      <c r="DWO53" s="609"/>
      <c r="DWP53" s="609"/>
      <c r="DWQ53" s="609"/>
      <c r="DWR53" s="609"/>
      <c r="DWS53" s="609"/>
      <c r="DWT53" s="609"/>
      <c r="DWU53" s="609"/>
      <c r="DWV53" s="609"/>
      <c r="DWW53" s="609"/>
      <c r="DWX53" s="609"/>
      <c r="DWY53" s="609"/>
      <c r="DWZ53" s="609"/>
      <c r="DXA53" s="609"/>
      <c r="DXB53" s="609"/>
      <c r="DXC53" s="609"/>
      <c r="DXD53" s="609"/>
      <c r="DXE53" s="609"/>
      <c r="DXF53" s="609"/>
      <c r="DXG53" s="609"/>
      <c r="DXH53" s="609"/>
      <c r="DXI53" s="609"/>
      <c r="DXJ53" s="609"/>
      <c r="DXK53" s="609"/>
      <c r="DXL53" s="609"/>
      <c r="DXM53" s="609"/>
      <c r="DXN53" s="609"/>
      <c r="DXO53" s="609"/>
      <c r="DXP53" s="609"/>
      <c r="DXQ53" s="609"/>
      <c r="DXR53" s="609"/>
      <c r="DXS53" s="609"/>
      <c r="DXT53" s="609"/>
      <c r="DXU53" s="609"/>
      <c r="DXV53" s="609"/>
      <c r="DXW53" s="609"/>
      <c r="DXX53" s="609"/>
      <c r="DXY53" s="609"/>
      <c r="DXZ53" s="609"/>
      <c r="DYA53" s="609"/>
      <c r="DYB53" s="609"/>
      <c r="DYC53" s="609"/>
      <c r="DYD53" s="609"/>
      <c r="DYE53" s="609"/>
      <c r="DYF53" s="609"/>
      <c r="DYG53" s="609"/>
      <c r="DYH53" s="609"/>
      <c r="DYI53" s="609"/>
      <c r="DYJ53" s="609"/>
      <c r="DYK53" s="609"/>
      <c r="DYL53" s="609"/>
      <c r="DYM53" s="609"/>
      <c r="DYN53" s="609"/>
      <c r="DYO53" s="609"/>
      <c r="DYP53" s="609"/>
      <c r="DYQ53" s="609"/>
      <c r="DYR53" s="609"/>
      <c r="DYS53" s="609"/>
      <c r="DYT53" s="609"/>
      <c r="DYU53" s="609"/>
      <c r="DYV53" s="609"/>
      <c r="DYW53" s="609"/>
      <c r="DYX53" s="609"/>
      <c r="DYY53" s="609"/>
      <c r="DYZ53" s="609"/>
      <c r="DZA53" s="609"/>
      <c r="DZB53" s="609"/>
      <c r="DZC53" s="609"/>
      <c r="DZD53" s="609"/>
      <c r="DZE53" s="609"/>
      <c r="DZF53" s="609"/>
      <c r="DZG53" s="609"/>
      <c r="DZH53" s="609"/>
      <c r="DZI53" s="609"/>
      <c r="DZJ53" s="609"/>
      <c r="DZK53" s="609"/>
      <c r="DZL53" s="609"/>
      <c r="DZM53" s="609"/>
      <c r="DZN53" s="609"/>
      <c r="DZO53" s="609"/>
      <c r="DZP53" s="609"/>
      <c r="DZQ53" s="609"/>
      <c r="DZR53" s="609"/>
      <c r="DZS53" s="609"/>
      <c r="DZT53" s="609"/>
      <c r="DZU53" s="609"/>
      <c r="DZV53" s="609"/>
      <c r="DZW53" s="609"/>
      <c r="DZX53" s="609"/>
      <c r="DZY53" s="609"/>
      <c r="DZZ53" s="609"/>
      <c r="EAA53" s="609"/>
      <c r="EAB53" s="609"/>
      <c r="EAC53" s="609"/>
      <c r="EAD53" s="609"/>
      <c r="EAE53" s="609"/>
      <c r="EAF53" s="609"/>
      <c r="EAG53" s="609"/>
      <c r="EAH53" s="609"/>
      <c r="EAI53" s="609"/>
      <c r="EAJ53" s="609"/>
      <c r="EAK53" s="609"/>
      <c r="EAL53" s="609"/>
      <c r="EAM53" s="609"/>
      <c r="EAN53" s="609"/>
      <c r="EAO53" s="609"/>
      <c r="EAP53" s="609"/>
      <c r="EAQ53" s="609"/>
      <c r="EAR53" s="609"/>
      <c r="EAS53" s="609"/>
      <c r="EAT53" s="609"/>
      <c r="EAU53" s="609"/>
      <c r="EAV53" s="609"/>
      <c r="EAW53" s="609"/>
      <c r="EAX53" s="609"/>
      <c r="EAY53" s="609"/>
      <c r="EAZ53" s="609"/>
      <c r="EBA53" s="609"/>
      <c r="EBB53" s="609"/>
      <c r="EBC53" s="609"/>
      <c r="EBD53" s="609"/>
      <c r="EBE53" s="609"/>
      <c r="EBF53" s="609"/>
      <c r="EBG53" s="609"/>
      <c r="EBH53" s="609"/>
      <c r="EBI53" s="609"/>
      <c r="EBJ53" s="609"/>
      <c r="EBK53" s="609"/>
      <c r="EBL53" s="609"/>
      <c r="EBM53" s="609"/>
      <c r="EBN53" s="609"/>
      <c r="EBO53" s="609"/>
      <c r="EBP53" s="609"/>
      <c r="EBQ53" s="609"/>
      <c r="EBR53" s="609"/>
      <c r="EBS53" s="609"/>
      <c r="EBT53" s="609"/>
      <c r="EBU53" s="609"/>
      <c r="EBV53" s="609"/>
      <c r="EBW53" s="609"/>
      <c r="EBX53" s="609"/>
      <c r="EBY53" s="609"/>
      <c r="EBZ53" s="609"/>
      <c r="ECA53" s="609"/>
      <c r="ECB53" s="609"/>
      <c r="ECC53" s="609"/>
      <c r="ECD53" s="609"/>
      <c r="ECE53" s="609"/>
      <c r="ECF53" s="609"/>
      <c r="ECG53" s="609"/>
      <c r="ECH53" s="609"/>
      <c r="ECI53" s="609"/>
      <c r="ECJ53" s="609"/>
      <c r="ECK53" s="609"/>
      <c r="ECL53" s="609"/>
      <c r="ECM53" s="609"/>
      <c r="ECN53" s="609"/>
      <c r="ECO53" s="609"/>
      <c r="ECP53" s="609"/>
      <c r="ECQ53" s="609"/>
      <c r="ECR53" s="609"/>
      <c r="ECS53" s="609"/>
      <c r="ECT53" s="609"/>
      <c r="ECU53" s="609"/>
      <c r="ECV53" s="609"/>
      <c r="ECW53" s="609"/>
      <c r="ECX53" s="609"/>
      <c r="ECY53" s="609"/>
      <c r="ECZ53" s="609"/>
      <c r="EDA53" s="609"/>
      <c r="EDB53" s="609"/>
      <c r="EDC53" s="609"/>
      <c r="EDD53" s="609"/>
      <c r="EDE53" s="609"/>
      <c r="EDF53" s="609"/>
      <c r="EDG53" s="609"/>
      <c r="EDH53" s="609"/>
      <c r="EDI53" s="609"/>
      <c r="EDJ53" s="609"/>
      <c r="EDK53" s="609"/>
      <c r="EDL53" s="609"/>
      <c r="EDM53" s="609"/>
      <c r="EDN53" s="609"/>
      <c r="EDO53" s="609"/>
      <c r="EDP53" s="609"/>
      <c r="EDQ53" s="609"/>
      <c r="EDR53" s="609"/>
      <c r="EDS53" s="609"/>
      <c r="EDT53" s="609"/>
      <c r="EDU53" s="609"/>
      <c r="EDV53" s="609"/>
      <c r="EDW53" s="609"/>
      <c r="EDX53" s="609"/>
      <c r="EDY53" s="609"/>
      <c r="EDZ53" s="609"/>
      <c r="EEA53" s="609"/>
      <c r="EEB53" s="609"/>
      <c r="EEC53" s="609"/>
      <c r="EED53" s="609"/>
      <c r="EEE53" s="609"/>
      <c r="EEF53" s="609"/>
      <c r="EEG53" s="609"/>
      <c r="EEH53" s="609"/>
      <c r="EEI53" s="609"/>
      <c r="EEJ53" s="609"/>
      <c r="EEK53" s="609"/>
      <c r="EEL53" s="609"/>
      <c r="EEM53" s="609"/>
      <c r="EEN53" s="609"/>
      <c r="EEO53" s="609"/>
      <c r="EEP53" s="609"/>
      <c r="EEQ53" s="609"/>
      <c r="EER53" s="609"/>
      <c r="EES53" s="609"/>
      <c r="EET53" s="609"/>
      <c r="EEU53" s="609"/>
      <c r="EEV53" s="609"/>
      <c r="EEW53" s="609"/>
      <c r="EEX53" s="609"/>
      <c r="EEY53" s="609"/>
      <c r="EEZ53" s="609"/>
      <c r="EFA53" s="609"/>
      <c r="EFB53" s="609"/>
      <c r="EFC53" s="609"/>
      <c r="EFD53" s="609"/>
      <c r="EFE53" s="609"/>
      <c r="EFF53" s="609"/>
      <c r="EFG53" s="609"/>
      <c r="EFH53" s="609"/>
      <c r="EFI53" s="609"/>
      <c r="EFJ53" s="609"/>
      <c r="EFK53" s="609"/>
      <c r="EFL53" s="609"/>
      <c r="EFM53" s="609"/>
      <c r="EFN53" s="609"/>
      <c r="EFO53" s="609"/>
      <c r="EFP53" s="609"/>
      <c r="EFQ53" s="609"/>
      <c r="EFR53" s="609"/>
      <c r="EFS53" s="609"/>
      <c r="EFT53" s="609"/>
      <c r="EFU53" s="609"/>
      <c r="EFV53" s="609"/>
      <c r="EFW53" s="609"/>
      <c r="EFX53" s="609"/>
      <c r="EFY53" s="609"/>
      <c r="EFZ53" s="609"/>
      <c r="EGA53" s="609"/>
      <c r="EGB53" s="609"/>
      <c r="EGC53" s="609"/>
      <c r="EGD53" s="609"/>
      <c r="EGE53" s="609"/>
      <c r="EGF53" s="609"/>
      <c r="EGG53" s="609"/>
      <c r="EGH53" s="609"/>
      <c r="EGI53" s="609"/>
      <c r="EGJ53" s="609"/>
      <c r="EGK53" s="609"/>
      <c r="EGL53" s="609"/>
      <c r="EGM53" s="609"/>
      <c r="EGN53" s="609"/>
      <c r="EGO53" s="609"/>
      <c r="EGP53" s="609"/>
      <c r="EGQ53" s="609"/>
      <c r="EGR53" s="609"/>
      <c r="EGS53" s="609"/>
      <c r="EGT53" s="609"/>
      <c r="EGU53" s="609"/>
      <c r="EGV53" s="609"/>
      <c r="EGW53" s="609"/>
      <c r="EGX53" s="609"/>
      <c r="EGY53" s="609"/>
      <c r="EGZ53" s="609"/>
      <c r="EHA53" s="609"/>
      <c r="EHB53" s="609"/>
      <c r="EHC53" s="609"/>
      <c r="EHD53" s="609"/>
      <c r="EHE53" s="609"/>
      <c r="EHF53" s="609"/>
      <c r="EHG53" s="609"/>
      <c r="EHH53" s="609"/>
      <c r="EHI53" s="609"/>
      <c r="EHJ53" s="609"/>
      <c r="EHK53" s="609"/>
      <c r="EHL53" s="609"/>
      <c r="EHM53" s="609"/>
      <c r="EHN53" s="609"/>
      <c r="EHO53" s="609"/>
      <c r="EHP53" s="609"/>
      <c r="EHQ53" s="609"/>
      <c r="EHR53" s="609"/>
      <c r="EHS53" s="609"/>
      <c r="EHT53" s="609"/>
      <c r="EHU53" s="609"/>
      <c r="EHV53" s="609"/>
      <c r="EHW53" s="609"/>
      <c r="EHX53" s="609"/>
      <c r="EHY53" s="609"/>
      <c r="EHZ53" s="609"/>
      <c r="EIA53" s="609"/>
      <c r="EIB53" s="609"/>
      <c r="EIC53" s="609"/>
      <c r="EID53" s="609"/>
      <c r="EIE53" s="609"/>
      <c r="EIF53" s="609"/>
      <c r="EIG53" s="609"/>
      <c r="EIH53" s="609"/>
      <c r="EII53" s="609"/>
      <c r="EIJ53" s="609"/>
      <c r="EIK53" s="609"/>
      <c r="EIL53" s="609"/>
      <c r="EIM53" s="609"/>
      <c r="EIN53" s="609"/>
      <c r="EIO53" s="609"/>
      <c r="EIP53" s="609"/>
      <c r="EIQ53" s="609"/>
      <c r="EIR53" s="609"/>
      <c r="EIS53" s="609"/>
      <c r="EIT53" s="609"/>
      <c r="EIU53" s="609"/>
      <c r="EIV53" s="609"/>
      <c r="EIW53" s="609"/>
      <c r="EIX53" s="609"/>
      <c r="EIY53" s="609"/>
      <c r="EIZ53" s="609"/>
      <c r="EJA53" s="609"/>
      <c r="EJB53" s="609"/>
      <c r="EJC53" s="609"/>
      <c r="EJD53" s="609"/>
      <c r="EJE53" s="609"/>
      <c r="EJF53" s="609"/>
      <c r="EJG53" s="609"/>
      <c r="EJH53" s="609"/>
      <c r="EJI53" s="609"/>
      <c r="EJJ53" s="609"/>
      <c r="EJK53" s="609"/>
      <c r="EJL53" s="609"/>
      <c r="EJM53" s="609"/>
      <c r="EJN53" s="609"/>
      <c r="EJO53" s="609"/>
      <c r="EJP53" s="609"/>
      <c r="EJQ53" s="609"/>
      <c r="EJR53" s="609"/>
      <c r="EJS53" s="609"/>
      <c r="EJT53" s="609"/>
      <c r="EJU53" s="609"/>
      <c r="EJV53" s="609"/>
      <c r="EJW53" s="609"/>
      <c r="EJX53" s="609"/>
      <c r="EJY53" s="609"/>
      <c r="EJZ53" s="609"/>
      <c r="EKA53" s="609"/>
      <c r="EKB53" s="609"/>
      <c r="EKC53" s="609"/>
      <c r="EKD53" s="609"/>
      <c r="EKE53" s="609"/>
      <c r="EKF53" s="609"/>
      <c r="EKG53" s="609"/>
      <c r="EKH53" s="609"/>
      <c r="EKI53" s="609"/>
      <c r="EKJ53" s="609"/>
      <c r="EKK53" s="609"/>
      <c r="EKL53" s="609"/>
      <c r="EKM53" s="609"/>
      <c r="EKN53" s="609"/>
      <c r="EKO53" s="609"/>
      <c r="EKP53" s="609"/>
      <c r="EKQ53" s="609"/>
      <c r="EKR53" s="609"/>
      <c r="EKS53" s="609"/>
      <c r="EKT53" s="609"/>
      <c r="EKU53" s="609"/>
      <c r="EKV53" s="609"/>
      <c r="EKW53" s="609"/>
      <c r="EKX53" s="609"/>
      <c r="EKY53" s="609"/>
      <c r="EKZ53" s="609"/>
      <c r="ELA53" s="609"/>
      <c r="ELB53" s="609"/>
      <c r="ELC53" s="609"/>
      <c r="ELD53" s="609"/>
      <c r="ELE53" s="609"/>
      <c r="ELF53" s="609"/>
      <c r="ELG53" s="609"/>
      <c r="ELH53" s="609"/>
      <c r="ELI53" s="609"/>
      <c r="ELJ53" s="609"/>
      <c r="ELK53" s="609"/>
      <c r="ELL53" s="609"/>
      <c r="ELM53" s="609"/>
      <c r="ELN53" s="609"/>
      <c r="ELO53" s="609"/>
      <c r="ELP53" s="609"/>
      <c r="ELQ53" s="609"/>
      <c r="ELR53" s="609"/>
      <c r="ELS53" s="609"/>
      <c r="ELT53" s="609"/>
      <c r="ELU53" s="609"/>
      <c r="ELV53" s="609"/>
      <c r="ELW53" s="609"/>
      <c r="ELX53" s="609"/>
      <c r="ELY53" s="609"/>
      <c r="ELZ53" s="609"/>
      <c r="EMA53" s="609"/>
      <c r="EMB53" s="609"/>
      <c r="EMC53" s="609"/>
      <c r="EMD53" s="609"/>
      <c r="EME53" s="609"/>
      <c r="EMF53" s="609"/>
      <c r="EMG53" s="609"/>
      <c r="EMH53" s="609"/>
      <c r="EMI53" s="609"/>
      <c r="EMJ53" s="609"/>
      <c r="EMK53" s="609"/>
      <c r="EML53" s="609"/>
      <c r="EMM53" s="609"/>
      <c r="EMN53" s="609"/>
      <c r="EMO53" s="609"/>
      <c r="EMP53" s="609"/>
      <c r="EMQ53" s="609"/>
      <c r="EMR53" s="609"/>
      <c r="EMS53" s="609"/>
      <c r="EMT53" s="609"/>
      <c r="EMU53" s="609"/>
      <c r="EMV53" s="609"/>
      <c r="EMW53" s="609"/>
      <c r="EMX53" s="609"/>
      <c r="EMY53" s="609"/>
      <c r="EMZ53" s="609"/>
      <c r="ENA53" s="609"/>
      <c r="ENB53" s="609"/>
      <c r="ENC53" s="609"/>
      <c r="END53" s="609"/>
      <c r="ENE53" s="609"/>
      <c r="ENF53" s="609"/>
      <c r="ENG53" s="609"/>
      <c r="ENH53" s="609"/>
      <c r="ENI53" s="609"/>
      <c r="ENJ53" s="609"/>
      <c r="ENK53" s="609"/>
      <c r="ENL53" s="609"/>
      <c r="ENM53" s="609"/>
      <c r="ENN53" s="609"/>
      <c r="ENO53" s="609"/>
      <c r="ENP53" s="609"/>
      <c r="ENQ53" s="609"/>
      <c r="ENR53" s="609"/>
      <c r="ENS53" s="609"/>
      <c r="ENT53" s="609"/>
      <c r="ENU53" s="609"/>
      <c r="ENV53" s="609"/>
      <c r="ENW53" s="609"/>
      <c r="ENX53" s="609"/>
      <c r="ENY53" s="609"/>
      <c r="ENZ53" s="609"/>
      <c r="EOA53" s="609"/>
      <c r="EOB53" s="609"/>
      <c r="EOC53" s="609"/>
      <c r="EOD53" s="609"/>
      <c r="EOE53" s="609"/>
      <c r="EOF53" s="609"/>
      <c r="EOG53" s="609"/>
      <c r="EOH53" s="609"/>
      <c r="EOI53" s="609"/>
      <c r="EOJ53" s="609"/>
      <c r="EOK53" s="609"/>
      <c r="EOL53" s="609"/>
      <c r="EOM53" s="609"/>
      <c r="EON53" s="609"/>
      <c r="EOO53" s="609"/>
      <c r="EOP53" s="609"/>
      <c r="EOQ53" s="609"/>
      <c r="EOR53" s="609"/>
      <c r="EOS53" s="609"/>
      <c r="EOT53" s="609"/>
      <c r="EOU53" s="609"/>
      <c r="EOV53" s="609"/>
      <c r="EOW53" s="609"/>
      <c r="EOX53" s="609"/>
      <c r="EOY53" s="609"/>
      <c r="EOZ53" s="609"/>
      <c r="EPA53" s="609"/>
      <c r="EPB53" s="609"/>
      <c r="EPC53" s="609"/>
      <c r="EPD53" s="609"/>
      <c r="EPE53" s="609"/>
      <c r="EPF53" s="609"/>
      <c r="EPG53" s="609"/>
      <c r="EPH53" s="609"/>
      <c r="EPI53" s="609"/>
      <c r="EPJ53" s="609"/>
      <c r="EPK53" s="609"/>
      <c r="EPL53" s="609"/>
      <c r="EPM53" s="609"/>
      <c r="EPN53" s="609"/>
      <c r="EPO53" s="609"/>
      <c r="EPP53" s="609"/>
      <c r="EPQ53" s="609"/>
      <c r="EPR53" s="609"/>
      <c r="EPS53" s="609"/>
      <c r="EPT53" s="609"/>
      <c r="EPU53" s="609"/>
      <c r="EPV53" s="609"/>
      <c r="EPW53" s="609"/>
      <c r="EPX53" s="609"/>
      <c r="EPY53" s="609"/>
      <c r="EPZ53" s="609"/>
      <c r="EQA53" s="609"/>
      <c r="EQB53" s="609"/>
      <c r="EQC53" s="609"/>
      <c r="EQD53" s="609"/>
      <c r="EQE53" s="609"/>
      <c r="EQF53" s="609"/>
      <c r="EQG53" s="609"/>
      <c r="EQH53" s="609"/>
      <c r="EQI53" s="609"/>
      <c r="EQJ53" s="609"/>
      <c r="EQK53" s="609"/>
      <c r="EQL53" s="609"/>
      <c r="EQM53" s="609"/>
      <c r="EQN53" s="609"/>
      <c r="EQO53" s="609"/>
      <c r="EQP53" s="609"/>
      <c r="EQQ53" s="609"/>
      <c r="EQR53" s="609"/>
      <c r="EQS53" s="609"/>
      <c r="EQT53" s="609"/>
      <c r="EQU53" s="609"/>
      <c r="EQV53" s="609"/>
      <c r="EQW53" s="609"/>
      <c r="EQX53" s="609"/>
      <c r="EQY53" s="609"/>
      <c r="EQZ53" s="609"/>
      <c r="ERA53" s="609"/>
      <c r="ERB53" s="609"/>
      <c r="ERC53" s="609"/>
      <c r="ERD53" s="609"/>
      <c r="ERE53" s="609"/>
      <c r="ERF53" s="609"/>
      <c r="ERG53" s="609"/>
      <c r="ERH53" s="609"/>
      <c r="ERI53" s="609"/>
      <c r="ERJ53" s="609"/>
      <c r="ERK53" s="609"/>
      <c r="ERL53" s="609"/>
      <c r="ERM53" s="609"/>
      <c r="ERN53" s="609"/>
      <c r="ERO53" s="609"/>
      <c r="ERP53" s="609"/>
      <c r="ERQ53" s="609"/>
      <c r="ERR53" s="609"/>
      <c r="ERS53" s="609"/>
      <c r="ERT53" s="609"/>
      <c r="ERU53" s="609"/>
      <c r="ERV53" s="609"/>
      <c r="ERW53" s="609"/>
      <c r="ERX53" s="609"/>
      <c r="ERY53" s="609"/>
      <c r="ERZ53" s="609"/>
      <c r="ESA53" s="609"/>
      <c r="ESB53" s="609"/>
      <c r="ESC53" s="609"/>
      <c r="ESD53" s="609"/>
      <c r="ESE53" s="609"/>
      <c r="ESF53" s="609"/>
      <c r="ESG53" s="609"/>
      <c r="ESH53" s="609"/>
      <c r="ESI53" s="609"/>
      <c r="ESJ53" s="609"/>
      <c r="ESK53" s="609"/>
      <c r="ESL53" s="609"/>
      <c r="ESM53" s="609"/>
      <c r="ESN53" s="609"/>
      <c r="ESO53" s="609"/>
      <c r="ESP53" s="609"/>
      <c r="ESQ53" s="609"/>
      <c r="ESR53" s="609"/>
      <c r="ESS53" s="609"/>
      <c r="EST53" s="609"/>
      <c r="ESU53" s="609"/>
      <c r="ESV53" s="609"/>
      <c r="ESW53" s="609"/>
      <c r="ESX53" s="609"/>
      <c r="ESY53" s="609"/>
      <c r="ESZ53" s="609"/>
      <c r="ETA53" s="609"/>
      <c r="ETB53" s="609"/>
      <c r="ETC53" s="609"/>
      <c r="ETD53" s="609"/>
      <c r="ETE53" s="609"/>
      <c r="ETF53" s="609"/>
      <c r="ETG53" s="609"/>
      <c r="ETH53" s="609"/>
      <c r="ETI53" s="609"/>
      <c r="ETJ53" s="609"/>
      <c r="ETK53" s="609"/>
      <c r="ETL53" s="609"/>
      <c r="ETM53" s="609"/>
      <c r="ETN53" s="609"/>
      <c r="ETO53" s="609"/>
      <c r="ETP53" s="609"/>
      <c r="ETQ53" s="609"/>
      <c r="ETR53" s="609"/>
      <c r="ETS53" s="609"/>
      <c r="ETT53" s="609"/>
      <c r="ETU53" s="609"/>
      <c r="ETV53" s="609"/>
      <c r="ETW53" s="609"/>
      <c r="ETX53" s="609"/>
      <c r="ETY53" s="609"/>
      <c r="ETZ53" s="609"/>
      <c r="EUA53" s="609"/>
      <c r="EUB53" s="609"/>
      <c r="EUC53" s="609"/>
      <c r="EUD53" s="609"/>
      <c r="EUE53" s="609"/>
      <c r="EUF53" s="609"/>
      <c r="EUG53" s="609"/>
      <c r="EUH53" s="609"/>
      <c r="EUI53" s="609"/>
      <c r="EUJ53" s="609"/>
      <c r="EUK53" s="609"/>
      <c r="EUL53" s="609"/>
      <c r="EUM53" s="609"/>
      <c r="EUN53" s="609"/>
      <c r="EUO53" s="609"/>
      <c r="EUP53" s="609"/>
      <c r="EUQ53" s="609"/>
      <c r="EUR53" s="609"/>
      <c r="EUS53" s="609"/>
      <c r="EUT53" s="609"/>
      <c r="EUU53" s="609"/>
      <c r="EUV53" s="609"/>
      <c r="EUW53" s="609"/>
      <c r="EUX53" s="609"/>
      <c r="EUY53" s="609"/>
      <c r="EUZ53" s="609"/>
      <c r="EVA53" s="609"/>
      <c r="EVB53" s="609"/>
      <c r="EVC53" s="609"/>
      <c r="EVD53" s="609"/>
      <c r="EVE53" s="609"/>
      <c r="EVF53" s="609"/>
      <c r="EVG53" s="609"/>
      <c r="EVH53" s="609"/>
      <c r="EVI53" s="609"/>
      <c r="EVJ53" s="609"/>
      <c r="EVK53" s="609"/>
      <c r="EVL53" s="609"/>
      <c r="EVM53" s="609"/>
      <c r="EVN53" s="609"/>
      <c r="EVO53" s="609"/>
      <c r="EVP53" s="609"/>
      <c r="EVQ53" s="609"/>
      <c r="EVR53" s="609"/>
      <c r="EVS53" s="609"/>
      <c r="EVT53" s="609"/>
      <c r="EVU53" s="609"/>
      <c r="EVV53" s="609"/>
      <c r="EVW53" s="609"/>
      <c r="EVX53" s="609"/>
      <c r="EVY53" s="609"/>
      <c r="EVZ53" s="609"/>
      <c r="EWA53" s="609"/>
      <c r="EWB53" s="609"/>
      <c r="EWC53" s="609"/>
      <c r="EWD53" s="609"/>
      <c r="EWE53" s="609"/>
      <c r="EWF53" s="609"/>
      <c r="EWG53" s="609"/>
      <c r="EWH53" s="609"/>
      <c r="EWI53" s="609"/>
      <c r="EWJ53" s="609"/>
      <c r="EWK53" s="609"/>
      <c r="EWL53" s="609"/>
      <c r="EWM53" s="609"/>
      <c r="EWN53" s="609"/>
      <c r="EWO53" s="609"/>
      <c r="EWP53" s="609"/>
      <c r="EWQ53" s="609"/>
      <c r="EWR53" s="609"/>
      <c r="EWS53" s="609"/>
      <c r="EWT53" s="609"/>
      <c r="EWU53" s="609"/>
      <c r="EWV53" s="609"/>
      <c r="EWW53" s="609"/>
      <c r="EWX53" s="609"/>
      <c r="EWY53" s="609"/>
      <c r="EWZ53" s="609"/>
      <c r="EXA53" s="609"/>
      <c r="EXB53" s="609"/>
      <c r="EXC53" s="609"/>
      <c r="EXD53" s="609"/>
      <c r="EXE53" s="609"/>
      <c r="EXF53" s="609"/>
      <c r="EXG53" s="609"/>
      <c r="EXH53" s="609"/>
      <c r="EXI53" s="609"/>
      <c r="EXJ53" s="609"/>
      <c r="EXK53" s="609"/>
      <c r="EXL53" s="609"/>
      <c r="EXM53" s="609"/>
      <c r="EXN53" s="609"/>
      <c r="EXO53" s="609"/>
      <c r="EXP53" s="609"/>
      <c r="EXQ53" s="609"/>
      <c r="EXR53" s="609"/>
      <c r="EXS53" s="609"/>
      <c r="EXT53" s="609"/>
      <c r="EXU53" s="609"/>
      <c r="EXV53" s="609"/>
      <c r="EXW53" s="609"/>
      <c r="EXX53" s="609"/>
      <c r="EXY53" s="609"/>
      <c r="EXZ53" s="609"/>
      <c r="EYA53" s="609"/>
      <c r="EYB53" s="609"/>
      <c r="EYC53" s="609"/>
      <c r="EYD53" s="609"/>
      <c r="EYE53" s="609"/>
      <c r="EYF53" s="609"/>
      <c r="EYG53" s="609"/>
      <c r="EYH53" s="609"/>
      <c r="EYI53" s="609"/>
      <c r="EYJ53" s="609"/>
      <c r="EYK53" s="609"/>
      <c r="EYL53" s="609"/>
      <c r="EYM53" s="609"/>
      <c r="EYN53" s="609"/>
      <c r="EYO53" s="609"/>
      <c r="EYP53" s="609"/>
      <c r="EYQ53" s="609"/>
      <c r="EYR53" s="609"/>
      <c r="EYS53" s="609"/>
      <c r="EYT53" s="609"/>
      <c r="EYU53" s="609"/>
      <c r="EYV53" s="609"/>
      <c r="EYW53" s="609"/>
      <c r="EYX53" s="609"/>
      <c r="EYY53" s="609"/>
      <c r="EYZ53" s="609"/>
      <c r="EZA53" s="609"/>
      <c r="EZB53" s="609"/>
      <c r="EZC53" s="609"/>
      <c r="EZD53" s="609"/>
      <c r="EZE53" s="609"/>
      <c r="EZF53" s="609"/>
      <c r="EZG53" s="609"/>
      <c r="EZH53" s="609"/>
      <c r="EZI53" s="609"/>
      <c r="EZJ53" s="609"/>
      <c r="EZK53" s="609"/>
      <c r="EZL53" s="609"/>
      <c r="EZM53" s="609"/>
      <c r="EZN53" s="609"/>
      <c r="EZO53" s="609"/>
      <c r="EZP53" s="609"/>
      <c r="EZQ53" s="609"/>
      <c r="EZR53" s="609"/>
      <c r="EZS53" s="609"/>
      <c r="EZT53" s="609"/>
      <c r="EZU53" s="609"/>
      <c r="EZV53" s="609"/>
      <c r="EZW53" s="609"/>
      <c r="EZX53" s="609"/>
      <c r="EZY53" s="609"/>
      <c r="EZZ53" s="609"/>
      <c r="FAA53" s="609"/>
      <c r="FAB53" s="609"/>
      <c r="FAC53" s="609"/>
      <c r="FAD53" s="609"/>
      <c r="FAE53" s="609"/>
      <c r="FAF53" s="609"/>
      <c r="FAG53" s="609"/>
      <c r="FAH53" s="609"/>
      <c r="FAI53" s="609"/>
      <c r="FAJ53" s="609"/>
      <c r="FAK53" s="609"/>
      <c r="FAL53" s="609"/>
      <c r="FAM53" s="609"/>
      <c r="FAN53" s="609"/>
      <c r="FAO53" s="609"/>
      <c r="FAP53" s="609"/>
      <c r="FAQ53" s="609"/>
      <c r="FAR53" s="609"/>
      <c r="FAS53" s="609"/>
      <c r="FAT53" s="609"/>
      <c r="FAU53" s="609"/>
      <c r="FAV53" s="609"/>
      <c r="FAW53" s="609"/>
      <c r="FAX53" s="609"/>
      <c r="FAY53" s="609"/>
      <c r="FAZ53" s="609"/>
      <c r="FBA53" s="609"/>
      <c r="FBB53" s="609"/>
      <c r="FBC53" s="609"/>
      <c r="FBD53" s="609"/>
      <c r="FBE53" s="609"/>
      <c r="FBF53" s="609"/>
      <c r="FBG53" s="609"/>
      <c r="FBH53" s="609"/>
      <c r="FBI53" s="609"/>
      <c r="FBJ53" s="609"/>
      <c r="FBK53" s="609"/>
      <c r="FBL53" s="609"/>
      <c r="FBM53" s="609"/>
      <c r="FBN53" s="609"/>
      <c r="FBO53" s="609"/>
      <c r="FBP53" s="609"/>
      <c r="FBQ53" s="609"/>
      <c r="FBR53" s="609"/>
      <c r="FBS53" s="609"/>
      <c r="FBT53" s="609"/>
      <c r="FBU53" s="609"/>
      <c r="FBV53" s="609"/>
      <c r="FBW53" s="609"/>
      <c r="FBX53" s="609"/>
      <c r="FBY53" s="609"/>
      <c r="FBZ53" s="609"/>
      <c r="FCA53" s="609"/>
      <c r="FCB53" s="609"/>
      <c r="FCC53" s="609"/>
      <c r="FCD53" s="609"/>
      <c r="FCE53" s="609"/>
      <c r="FCF53" s="609"/>
      <c r="FCG53" s="609"/>
      <c r="FCH53" s="609"/>
      <c r="FCI53" s="609"/>
      <c r="FCJ53" s="609"/>
      <c r="FCK53" s="609"/>
      <c r="FCL53" s="609"/>
      <c r="FCM53" s="609"/>
      <c r="FCN53" s="609"/>
      <c r="FCO53" s="609"/>
      <c r="FCP53" s="609"/>
      <c r="FCQ53" s="609"/>
      <c r="FCR53" s="609"/>
      <c r="FCS53" s="609"/>
      <c r="FCT53" s="609"/>
      <c r="FCU53" s="609"/>
      <c r="FCV53" s="609"/>
      <c r="FCW53" s="609"/>
      <c r="FCX53" s="609"/>
      <c r="FCY53" s="609"/>
      <c r="FCZ53" s="609"/>
      <c r="FDA53" s="609"/>
      <c r="FDB53" s="609"/>
      <c r="FDC53" s="609"/>
      <c r="FDD53" s="609"/>
      <c r="FDE53" s="609"/>
      <c r="FDF53" s="609"/>
      <c r="FDG53" s="609"/>
      <c r="FDH53" s="609"/>
      <c r="FDI53" s="609"/>
      <c r="FDJ53" s="609"/>
      <c r="FDK53" s="609"/>
      <c r="FDL53" s="609"/>
      <c r="FDM53" s="609"/>
      <c r="FDN53" s="609"/>
      <c r="FDO53" s="609"/>
      <c r="FDP53" s="609"/>
      <c r="FDQ53" s="609"/>
      <c r="FDR53" s="609"/>
      <c r="FDS53" s="609"/>
      <c r="FDT53" s="609"/>
      <c r="FDU53" s="609"/>
      <c r="FDV53" s="609"/>
      <c r="FDW53" s="609"/>
      <c r="FDX53" s="609"/>
      <c r="FDY53" s="609"/>
      <c r="FDZ53" s="609"/>
      <c r="FEA53" s="609"/>
      <c r="FEB53" s="609"/>
      <c r="FEC53" s="609"/>
      <c r="FED53" s="609"/>
      <c r="FEE53" s="609"/>
      <c r="FEF53" s="609"/>
      <c r="FEG53" s="609"/>
      <c r="FEH53" s="609"/>
      <c r="FEI53" s="609"/>
      <c r="FEJ53" s="609"/>
      <c r="FEK53" s="609"/>
      <c r="FEL53" s="609"/>
      <c r="FEM53" s="609"/>
      <c r="FEN53" s="609"/>
      <c r="FEO53" s="609"/>
      <c r="FEP53" s="609"/>
      <c r="FEQ53" s="609"/>
      <c r="FER53" s="609"/>
      <c r="FES53" s="609"/>
      <c r="FET53" s="609"/>
      <c r="FEU53" s="609"/>
      <c r="FEV53" s="609"/>
      <c r="FEW53" s="609"/>
      <c r="FEX53" s="609"/>
      <c r="FEY53" s="609"/>
      <c r="FEZ53" s="609"/>
      <c r="FFA53" s="609"/>
      <c r="FFB53" s="609"/>
      <c r="FFC53" s="609"/>
      <c r="FFD53" s="609"/>
      <c r="FFE53" s="609"/>
      <c r="FFF53" s="609"/>
      <c r="FFG53" s="609"/>
      <c r="FFH53" s="609"/>
      <c r="FFI53" s="609"/>
      <c r="FFJ53" s="609"/>
      <c r="FFK53" s="609"/>
      <c r="FFL53" s="609"/>
      <c r="FFM53" s="609"/>
      <c r="FFN53" s="609"/>
      <c r="FFO53" s="609"/>
      <c r="FFP53" s="609"/>
      <c r="FFQ53" s="609"/>
      <c r="FFR53" s="609"/>
      <c r="FFS53" s="609"/>
      <c r="FFT53" s="609"/>
      <c r="FFU53" s="609"/>
      <c r="FFV53" s="609"/>
      <c r="FFW53" s="609"/>
      <c r="FFX53" s="609"/>
      <c r="FFY53" s="609"/>
      <c r="FFZ53" s="609"/>
      <c r="FGA53" s="609"/>
      <c r="FGB53" s="609"/>
      <c r="FGC53" s="609"/>
      <c r="FGD53" s="609"/>
      <c r="FGE53" s="609"/>
      <c r="FGF53" s="609"/>
      <c r="FGG53" s="609"/>
      <c r="FGH53" s="609"/>
      <c r="FGI53" s="609"/>
      <c r="FGJ53" s="609"/>
      <c r="FGK53" s="609"/>
      <c r="FGL53" s="609"/>
      <c r="FGM53" s="609"/>
      <c r="FGN53" s="609"/>
      <c r="FGO53" s="609"/>
      <c r="FGP53" s="609"/>
      <c r="FGQ53" s="609"/>
      <c r="FGR53" s="609"/>
      <c r="FGS53" s="609"/>
      <c r="FGT53" s="609"/>
      <c r="FGU53" s="609"/>
      <c r="FGV53" s="609"/>
      <c r="FGW53" s="609"/>
      <c r="FGX53" s="609"/>
      <c r="FGY53" s="609"/>
      <c r="FGZ53" s="609"/>
      <c r="FHA53" s="609"/>
      <c r="FHB53" s="609"/>
      <c r="FHC53" s="609"/>
      <c r="FHD53" s="609"/>
      <c r="FHE53" s="609"/>
      <c r="FHF53" s="609"/>
      <c r="FHG53" s="609"/>
      <c r="FHH53" s="609"/>
      <c r="FHI53" s="609"/>
      <c r="FHJ53" s="609"/>
      <c r="FHK53" s="609"/>
      <c r="FHL53" s="609"/>
      <c r="FHM53" s="609"/>
      <c r="FHN53" s="609"/>
      <c r="FHO53" s="609"/>
      <c r="FHP53" s="609"/>
      <c r="FHQ53" s="609"/>
      <c r="FHR53" s="609"/>
      <c r="FHS53" s="609"/>
      <c r="FHT53" s="609"/>
      <c r="FHU53" s="609"/>
      <c r="FHV53" s="609"/>
      <c r="FHW53" s="609"/>
      <c r="FHX53" s="609"/>
      <c r="FHY53" s="609"/>
      <c r="FHZ53" s="609"/>
      <c r="FIA53" s="609"/>
      <c r="FIB53" s="609"/>
      <c r="FIC53" s="609"/>
      <c r="FID53" s="609"/>
      <c r="FIE53" s="609"/>
      <c r="FIF53" s="609"/>
      <c r="FIG53" s="609"/>
      <c r="FIH53" s="609"/>
      <c r="FII53" s="609"/>
      <c r="FIJ53" s="609"/>
      <c r="FIK53" s="609"/>
      <c r="FIL53" s="609"/>
      <c r="FIM53" s="609"/>
      <c r="FIN53" s="609"/>
      <c r="FIO53" s="609"/>
      <c r="FIP53" s="609"/>
      <c r="FIQ53" s="609"/>
      <c r="FIR53" s="609"/>
      <c r="FIS53" s="609"/>
      <c r="FIT53" s="609"/>
      <c r="FIU53" s="609"/>
      <c r="FIV53" s="609"/>
      <c r="FIW53" s="609"/>
      <c r="FIX53" s="609"/>
      <c r="FIY53" s="609"/>
      <c r="FIZ53" s="609"/>
      <c r="FJA53" s="609"/>
      <c r="FJB53" s="609"/>
      <c r="FJC53" s="609"/>
      <c r="FJD53" s="609"/>
      <c r="FJE53" s="609"/>
      <c r="FJF53" s="609"/>
      <c r="FJG53" s="609"/>
      <c r="FJH53" s="609"/>
      <c r="FJI53" s="609"/>
      <c r="FJJ53" s="609"/>
      <c r="FJK53" s="609"/>
      <c r="FJL53" s="609"/>
      <c r="FJM53" s="609"/>
      <c r="FJN53" s="609"/>
      <c r="FJO53" s="609"/>
      <c r="FJP53" s="609"/>
      <c r="FJQ53" s="609"/>
      <c r="FJR53" s="609"/>
      <c r="FJS53" s="609"/>
      <c r="FJT53" s="609"/>
      <c r="FJU53" s="609"/>
      <c r="FJV53" s="609"/>
      <c r="FJW53" s="609"/>
      <c r="FJX53" s="609"/>
      <c r="FJY53" s="609"/>
      <c r="FJZ53" s="609"/>
      <c r="FKA53" s="609"/>
      <c r="FKB53" s="609"/>
      <c r="FKC53" s="609"/>
      <c r="FKD53" s="609"/>
      <c r="FKE53" s="609"/>
      <c r="FKF53" s="609"/>
      <c r="FKG53" s="609"/>
      <c r="FKH53" s="609"/>
      <c r="FKI53" s="609"/>
      <c r="FKJ53" s="609"/>
      <c r="FKK53" s="609"/>
      <c r="FKL53" s="609"/>
      <c r="FKM53" s="609"/>
      <c r="FKN53" s="609"/>
      <c r="FKO53" s="609"/>
      <c r="FKP53" s="609"/>
      <c r="FKQ53" s="609"/>
      <c r="FKR53" s="609"/>
      <c r="FKS53" s="609"/>
      <c r="FKT53" s="609"/>
      <c r="FKU53" s="609"/>
      <c r="FKV53" s="609"/>
      <c r="FKW53" s="609"/>
      <c r="FKX53" s="609"/>
      <c r="FKY53" s="609"/>
      <c r="FKZ53" s="609"/>
      <c r="FLA53" s="609"/>
      <c r="FLB53" s="609"/>
      <c r="FLC53" s="609"/>
      <c r="FLD53" s="609"/>
      <c r="FLE53" s="609"/>
      <c r="FLF53" s="609"/>
      <c r="FLG53" s="609"/>
      <c r="FLH53" s="609"/>
      <c r="FLI53" s="609"/>
      <c r="FLJ53" s="609"/>
      <c r="FLK53" s="609"/>
      <c r="FLL53" s="609"/>
      <c r="FLM53" s="609"/>
      <c r="FLN53" s="609"/>
      <c r="FLO53" s="609"/>
      <c r="FLP53" s="609"/>
      <c r="FLQ53" s="609"/>
      <c r="FLR53" s="609"/>
      <c r="FLS53" s="609"/>
      <c r="FLT53" s="609"/>
      <c r="FLU53" s="609"/>
      <c r="FLV53" s="609"/>
      <c r="FLW53" s="609"/>
      <c r="FLX53" s="609"/>
      <c r="FLY53" s="609"/>
      <c r="FLZ53" s="609"/>
      <c r="FMA53" s="609"/>
      <c r="FMB53" s="609"/>
      <c r="FMC53" s="609"/>
      <c r="FMD53" s="609"/>
      <c r="FME53" s="609"/>
      <c r="FMF53" s="609"/>
      <c r="FMG53" s="609"/>
      <c r="FMH53" s="609"/>
      <c r="FMI53" s="609"/>
      <c r="FMJ53" s="609"/>
      <c r="FMK53" s="609"/>
      <c r="FML53" s="609"/>
      <c r="FMM53" s="609"/>
      <c r="FMN53" s="609"/>
      <c r="FMO53" s="609"/>
      <c r="FMP53" s="609"/>
      <c r="FMQ53" s="609"/>
      <c r="FMR53" s="609"/>
      <c r="FMS53" s="609"/>
      <c r="FMT53" s="609"/>
      <c r="FMU53" s="609"/>
      <c r="FMV53" s="609"/>
      <c r="FMW53" s="609"/>
      <c r="FMX53" s="609"/>
      <c r="FMY53" s="609"/>
      <c r="FMZ53" s="609"/>
      <c r="FNA53" s="609"/>
      <c r="FNB53" s="609"/>
      <c r="FNC53" s="609"/>
      <c r="FND53" s="609"/>
      <c r="FNE53" s="609"/>
      <c r="FNF53" s="609"/>
      <c r="FNG53" s="609"/>
      <c r="FNH53" s="609"/>
      <c r="FNI53" s="609"/>
      <c r="FNJ53" s="609"/>
      <c r="FNK53" s="609"/>
      <c r="FNL53" s="609"/>
      <c r="FNM53" s="609"/>
      <c r="FNN53" s="609"/>
      <c r="FNO53" s="609"/>
      <c r="FNP53" s="609"/>
      <c r="FNQ53" s="609"/>
      <c r="FNR53" s="609"/>
      <c r="FNS53" s="609"/>
      <c r="FNT53" s="609"/>
      <c r="FNU53" s="609"/>
      <c r="FNV53" s="609"/>
      <c r="FNW53" s="609"/>
      <c r="FNX53" s="609"/>
      <c r="FNY53" s="609"/>
      <c r="FNZ53" s="609"/>
      <c r="FOA53" s="609"/>
      <c r="FOB53" s="609"/>
      <c r="FOC53" s="609"/>
      <c r="FOD53" s="609"/>
      <c r="FOE53" s="609"/>
      <c r="FOF53" s="609"/>
      <c r="FOG53" s="609"/>
      <c r="FOH53" s="609"/>
      <c r="FOI53" s="609"/>
      <c r="FOJ53" s="609"/>
      <c r="FOK53" s="609"/>
      <c r="FOL53" s="609"/>
      <c r="FOM53" s="609"/>
      <c r="FON53" s="609"/>
      <c r="FOO53" s="609"/>
      <c r="FOP53" s="609"/>
      <c r="FOQ53" s="609"/>
      <c r="FOR53" s="609"/>
      <c r="FOS53" s="609"/>
      <c r="FOT53" s="609"/>
      <c r="FOU53" s="609"/>
      <c r="FOV53" s="609"/>
      <c r="FOW53" s="609"/>
      <c r="FOX53" s="609"/>
      <c r="FOY53" s="609"/>
      <c r="FOZ53" s="609"/>
      <c r="FPA53" s="609"/>
      <c r="FPB53" s="609"/>
      <c r="FPC53" s="609"/>
      <c r="FPD53" s="609"/>
      <c r="FPE53" s="609"/>
      <c r="FPF53" s="609"/>
      <c r="FPG53" s="609"/>
      <c r="FPH53" s="609"/>
      <c r="FPI53" s="609"/>
      <c r="FPJ53" s="609"/>
      <c r="FPK53" s="609"/>
      <c r="FPL53" s="609"/>
      <c r="FPM53" s="609"/>
      <c r="FPN53" s="609"/>
      <c r="FPO53" s="609"/>
      <c r="FPP53" s="609"/>
      <c r="FPQ53" s="609"/>
      <c r="FPR53" s="609"/>
      <c r="FPS53" s="609"/>
      <c r="FPT53" s="609"/>
      <c r="FPU53" s="609"/>
      <c r="FPV53" s="609"/>
      <c r="FPW53" s="609"/>
      <c r="FPX53" s="609"/>
      <c r="FPY53" s="609"/>
      <c r="FPZ53" s="609"/>
      <c r="FQA53" s="609"/>
      <c r="FQB53" s="609"/>
      <c r="FQC53" s="609"/>
      <c r="FQD53" s="609"/>
      <c r="FQE53" s="609"/>
      <c r="FQF53" s="609"/>
      <c r="FQG53" s="609"/>
      <c r="FQH53" s="609"/>
      <c r="FQI53" s="609"/>
      <c r="FQJ53" s="609"/>
      <c r="FQK53" s="609"/>
      <c r="FQL53" s="609"/>
      <c r="FQM53" s="609"/>
      <c r="FQN53" s="609"/>
      <c r="FQO53" s="609"/>
      <c r="FQP53" s="609"/>
      <c r="FQQ53" s="609"/>
      <c r="FQR53" s="609"/>
      <c r="FQS53" s="609"/>
      <c r="FQT53" s="609"/>
      <c r="FQU53" s="609"/>
      <c r="FQV53" s="609"/>
      <c r="FQW53" s="609"/>
      <c r="FQX53" s="609"/>
      <c r="FQY53" s="609"/>
      <c r="FQZ53" s="609"/>
      <c r="FRA53" s="609"/>
      <c r="FRB53" s="609"/>
      <c r="FRC53" s="609"/>
      <c r="FRD53" s="609"/>
      <c r="FRE53" s="609"/>
      <c r="FRF53" s="609"/>
      <c r="FRG53" s="609"/>
      <c r="FRH53" s="609"/>
      <c r="FRI53" s="609"/>
      <c r="FRJ53" s="609"/>
      <c r="FRK53" s="609"/>
      <c r="FRL53" s="609"/>
      <c r="FRM53" s="609"/>
      <c r="FRN53" s="609"/>
      <c r="FRO53" s="609"/>
      <c r="FRP53" s="609"/>
      <c r="FRQ53" s="609"/>
      <c r="FRR53" s="609"/>
      <c r="FRS53" s="609"/>
      <c r="FRT53" s="609"/>
      <c r="FRU53" s="609"/>
      <c r="FRV53" s="609"/>
      <c r="FRW53" s="609"/>
      <c r="FRX53" s="609"/>
      <c r="FRY53" s="609"/>
      <c r="FRZ53" s="609"/>
      <c r="FSA53" s="609"/>
      <c r="FSB53" s="609"/>
      <c r="FSC53" s="609"/>
      <c r="FSD53" s="609"/>
      <c r="FSE53" s="609"/>
      <c r="FSF53" s="609"/>
      <c r="FSG53" s="609"/>
      <c r="FSH53" s="609"/>
      <c r="FSI53" s="609"/>
      <c r="FSJ53" s="609"/>
      <c r="FSK53" s="609"/>
      <c r="FSL53" s="609"/>
      <c r="FSM53" s="609"/>
      <c r="FSN53" s="609"/>
      <c r="FSO53" s="609"/>
      <c r="FSP53" s="609"/>
      <c r="FSQ53" s="609"/>
      <c r="FSR53" s="609"/>
      <c r="FSS53" s="609"/>
      <c r="FST53" s="609"/>
      <c r="FSU53" s="609"/>
      <c r="FSV53" s="609"/>
      <c r="FSW53" s="609"/>
      <c r="FSX53" s="609"/>
      <c r="FSY53" s="609"/>
      <c r="FSZ53" s="609"/>
      <c r="FTA53" s="609"/>
      <c r="FTB53" s="609"/>
      <c r="FTC53" s="609"/>
      <c r="FTD53" s="609"/>
      <c r="FTE53" s="609"/>
      <c r="FTF53" s="609"/>
      <c r="FTG53" s="609"/>
      <c r="FTH53" s="609"/>
      <c r="FTI53" s="609"/>
      <c r="FTJ53" s="609"/>
      <c r="FTK53" s="609"/>
      <c r="FTL53" s="609"/>
      <c r="FTM53" s="609"/>
      <c r="FTN53" s="609"/>
      <c r="FTO53" s="609"/>
      <c r="FTP53" s="609"/>
      <c r="FTQ53" s="609"/>
      <c r="FTR53" s="609"/>
      <c r="FTS53" s="609"/>
      <c r="FTT53" s="609"/>
      <c r="FTU53" s="609"/>
      <c r="FTV53" s="609"/>
      <c r="FTW53" s="609"/>
      <c r="FTX53" s="609"/>
      <c r="FTY53" s="609"/>
      <c r="FTZ53" s="609"/>
      <c r="FUA53" s="609"/>
      <c r="FUB53" s="609"/>
      <c r="FUC53" s="609"/>
      <c r="FUD53" s="609"/>
      <c r="FUE53" s="609"/>
      <c r="FUF53" s="609"/>
      <c r="FUG53" s="609"/>
      <c r="FUH53" s="609"/>
      <c r="FUI53" s="609"/>
      <c r="FUJ53" s="609"/>
      <c r="FUK53" s="609"/>
      <c r="FUL53" s="609"/>
      <c r="FUM53" s="609"/>
      <c r="FUN53" s="609"/>
      <c r="FUO53" s="609"/>
      <c r="FUP53" s="609"/>
      <c r="FUQ53" s="609"/>
      <c r="FUR53" s="609"/>
      <c r="FUS53" s="609"/>
      <c r="FUT53" s="609"/>
      <c r="FUU53" s="609"/>
      <c r="FUV53" s="609"/>
      <c r="FUW53" s="609"/>
      <c r="FUX53" s="609"/>
      <c r="FUY53" s="609"/>
      <c r="FUZ53" s="609"/>
      <c r="FVA53" s="609"/>
      <c r="FVB53" s="609"/>
      <c r="FVC53" s="609"/>
      <c r="FVD53" s="609"/>
      <c r="FVE53" s="609"/>
      <c r="FVF53" s="609"/>
      <c r="FVG53" s="609"/>
      <c r="FVH53" s="609"/>
      <c r="FVI53" s="609"/>
      <c r="FVJ53" s="609"/>
      <c r="FVK53" s="609"/>
      <c r="FVL53" s="609"/>
      <c r="FVM53" s="609"/>
      <c r="FVN53" s="609"/>
      <c r="FVO53" s="609"/>
      <c r="FVP53" s="609"/>
      <c r="FVQ53" s="609"/>
      <c r="FVR53" s="609"/>
      <c r="FVS53" s="609"/>
      <c r="FVT53" s="609"/>
      <c r="FVU53" s="609"/>
      <c r="FVV53" s="609"/>
      <c r="FVW53" s="609"/>
      <c r="FVX53" s="609"/>
      <c r="FVY53" s="609"/>
      <c r="FVZ53" s="609"/>
      <c r="FWA53" s="609"/>
      <c r="FWB53" s="609"/>
      <c r="FWC53" s="609"/>
      <c r="FWD53" s="609"/>
      <c r="FWE53" s="609"/>
      <c r="FWF53" s="609"/>
      <c r="FWG53" s="609"/>
      <c r="FWH53" s="609"/>
      <c r="FWI53" s="609"/>
      <c r="FWJ53" s="609"/>
      <c r="FWK53" s="609"/>
      <c r="FWL53" s="609"/>
      <c r="FWM53" s="609"/>
      <c r="FWN53" s="609"/>
      <c r="FWO53" s="609"/>
      <c r="FWP53" s="609"/>
      <c r="FWQ53" s="609"/>
      <c r="FWR53" s="609"/>
      <c r="FWS53" s="609"/>
      <c r="FWT53" s="609"/>
      <c r="FWU53" s="609"/>
      <c r="FWV53" s="609"/>
      <c r="FWW53" s="609"/>
      <c r="FWX53" s="609"/>
      <c r="FWY53" s="609"/>
      <c r="FWZ53" s="609"/>
      <c r="FXA53" s="609"/>
      <c r="FXB53" s="609"/>
      <c r="FXC53" s="609"/>
      <c r="FXD53" s="609"/>
      <c r="FXE53" s="609"/>
      <c r="FXF53" s="609"/>
      <c r="FXG53" s="609"/>
      <c r="FXH53" s="609"/>
      <c r="FXI53" s="609"/>
      <c r="FXJ53" s="609"/>
      <c r="FXK53" s="609"/>
      <c r="FXL53" s="609"/>
      <c r="FXM53" s="609"/>
      <c r="FXN53" s="609"/>
      <c r="FXO53" s="609"/>
      <c r="FXP53" s="609"/>
      <c r="FXQ53" s="609"/>
      <c r="FXR53" s="609"/>
      <c r="FXS53" s="609"/>
      <c r="FXT53" s="609"/>
      <c r="FXU53" s="609"/>
      <c r="FXV53" s="609"/>
      <c r="FXW53" s="609"/>
      <c r="FXX53" s="609"/>
      <c r="FXY53" s="609"/>
      <c r="FXZ53" s="609"/>
      <c r="FYA53" s="609"/>
      <c r="FYB53" s="609"/>
      <c r="FYC53" s="609"/>
      <c r="FYD53" s="609"/>
      <c r="FYE53" s="609"/>
      <c r="FYF53" s="609"/>
      <c r="FYG53" s="609"/>
      <c r="FYH53" s="609"/>
      <c r="FYI53" s="609"/>
      <c r="FYJ53" s="609"/>
      <c r="FYK53" s="609"/>
      <c r="FYL53" s="609"/>
      <c r="FYM53" s="609"/>
      <c r="FYN53" s="609"/>
      <c r="FYO53" s="609"/>
      <c r="FYP53" s="609"/>
      <c r="FYQ53" s="609"/>
      <c r="FYR53" s="609"/>
      <c r="FYS53" s="609"/>
      <c r="FYT53" s="609"/>
      <c r="FYU53" s="609"/>
      <c r="FYV53" s="609"/>
      <c r="FYW53" s="609"/>
      <c r="FYX53" s="609"/>
      <c r="FYY53" s="609"/>
      <c r="FYZ53" s="609"/>
      <c r="FZA53" s="609"/>
      <c r="FZB53" s="609"/>
      <c r="FZC53" s="609"/>
      <c r="FZD53" s="609"/>
      <c r="FZE53" s="609"/>
      <c r="FZF53" s="609"/>
      <c r="FZG53" s="609"/>
      <c r="FZH53" s="609"/>
      <c r="FZI53" s="609"/>
      <c r="FZJ53" s="609"/>
      <c r="FZK53" s="609"/>
      <c r="FZL53" s="609"/>
      <c r="FZM53" s="609"/>
      <c r="FZN53" s="609"/>
      <c r="FZO53" s="609"/>
      <c r="FZP53" s="609"/>
      <c r="FZQ53" s="609"/>
      <c r="FZR53" s="609"/>
      <c r="FZS53" s="609"/>
      <c r="FZT53" s="609"/>
      <c r="FZU53" s="609"/>
      <c r="FZV53" s="609"/>
      <c r="FZW53" s="609"/>
      <c r="FZX53" s="609"/>
      <c r="FZY53" s="609"/>
      <c r="FZZ53" s="609"/>
      <c r="GAA53" s="609"/>
      <c r="GAB53" s="609"/>
      <c r="GAC53" s="609"/>
      <c r="GAD53" s="609"/>
      <c r="GAE53" s="609"/>
      <c r="GAF53" s="609"/>
      <c r="GAG53" s="609"/>
      <c r="GAH53" s="609"/>
      <c r="GAI53" s="609"/>
      <c r="GAJ53" s="609"/>
      <c r="GAK53" s="609"/>
      <c r="GAL53" s="609"/>
      <c r="GAM53" s="609"/>
      <c r="GAN53" s="609"/>
      <c r="GAO53" s="609"/>
      <c r="GAP53" s="609"/>
      <c r="GAQ53" s="609"/>
      <c r="GAR53" s="609"/>
      <c r="GAS53" s="609"/>
      <c r="GAT53" s="609"/>
      <c r="GAU53" s="609"/>
      <c r="GAV53" s="609"/>
      <c r="GAW53" s="609"/>
      <c r="GAX53" s="609"/>
      <c r="GAY53" s="609"/>
      <c r="GAZ53" s="609"/>
      <c r="GBA53" s="609"/>
      <c r="GBB53" s="609"/>
      <c r="GBC53" s="609"/>
      <c r="GBD53" s="609"/>
      <c r="GBE53" s="609"/>
      <c r="GBF53" s="609"/>
      <c r="GBG53" s="609"/>
      <c r="GBH53" s="609"/>
      <c r="GBI53" s="609"/>
      <c r="GBJ53" s="609"/>
      <c r="GBK53" s="609"/>
      <c r="GBL53" s="609"/>
      <c r="GBM53" s="609"/>
      <c r="GBN53" s="609"/>
      <c r="GBO53" s="609"/>
      <c r="GBP53" s="609"/>
      <c r="GBQ53" s="609"/>
      <c r="GBR53" s="609"/>
      <c r="GBS53" s="609"/>
      <c r="GBT53" s="609"/>
      <c r="GBU53" s="609"/>
      <c r="GBV53" s="609"/>
      <c r="GBW53" s="609"/>
      <c r="GBX53" s="609"/>
      <c r="GBY53" s="609"/>
      <c r="GBZ53" s="609"/>
      <c r="GCA53" s="609"/>
      <c r="GCB53" s="609"/>
      <c r="GCC53" s="609"/>
      <c r="GCD53" s="609"/>
      <c r="GCE53" s="609"/>
      <c r="GCF53" s="609"/>
      <c r="GCG53" s="609"/>
      <c r="GCH53" s="609"/>
      <c r="GCI53" s="609"/>
      <c r="GCJ53" s="609"/>
      <c r="GCK53" s="609"/>
      <c r="GCL53" s="609"/>
      <c r="GCM53" s="609"/>
      <c r="GCN53" s="609"/>
      <c r="GCO53" s="609"/>
      <c r="GCP53" s="609"/>
      <c r="GCQ53" s="609"/>
      <c r="GCR53" s="609"/>
      <c r="GCS53" s="609"/>
      <c r="GCT53" s="609"/>
      <c r="GCU53" s="609"/>
      <c r="GCV53" s="609"/>
      <c r="GCW53" s="609"/>
      <c r="GCX53" s="609"/>
      <c r="GCY53" s="609"/>
      <c r="GCZ53" s="609"/>
      <c r="GDA53" s="609"/>
      <c r="GDB53" s="609"/>
      <c r="GDC53" s="609"/>
      <c r="GDD53" s="609"/>
      <c r="GDE53" s="609"/>
      <c r="GDF53" s="609"/>
      <c r="GDG53" s="609"/>
      <c r="GDH53" s="609"/>
      <c r="GDI53" s="609"/>
      <c r="GDJ53" s="609"/>
      <c r="GDK53" s="609"/>
      <c r="GDL53" s="609"/>
      <c r="GDM53" s="609"/>
      <c r="GDN53" s="609"/>
      <c r="GDO53" s="609"/>
      <c r="GDP53" s="609"/>
      <c r="GDQ53" s="609"/>
      <c r="GDR53" s="609"/>
      <c r="GDS53" s="609"/>
      <c r="GDT53" s="609"/>
      <c r="GDU53" s="609"/>
      <c r="GDV53" s="609"/>
      <c r="GDW53" s="609"/>
      <c r="GDX53" s="609"/>
      <c r="GDY53" s="609"/>
      <c r="GDZ53" s="609"/>
      <c r="GEA53" s="609"/>
      <c r="GEB53" s="609"/>
      <c r="GEC53" s="609"/>
      <c r="GED53" s="609"/>
      <c r="GEE53" s="609"/>
      <c r="GEF53" s="609"/>
      <c r="GEG53" s="609"/>
      <c r="GEH53" s="609"/>
      <c r="GEI53" s="609"/>
      <c r="GEJ53" s="609"/>
      <c r="GEK53" s="609"/>
      <c r="GEL53" s="609"/>
      <c r="GEM53" s="609"/>
      <c r="GEN53" s="609"/>
      <c r="GEO53" s="609"/>
      <c r="GEP53" s="609"/>
      <c r="GEQ53" s="609"/>
      <c r="GER53" s="609"/>
      <c r="GES53" s="609"/>
      <c r="GET53" s="609"/>
      <c r="GEU53" s="609"/>
      <c r="GEV53" s="609"/>
      <c r="GEW53" s="609"/>
      <c r="GEX53" s="609"/>
      <c r="GEY53" s="609"/>
      <c r="GEZ53" s="609"/>
      <c r="GFA53" s="609"/>
      <c r="GFB53" s="609"/>
      <c r="GFC53" s="609"/>
      <c r="GFD53" s="609"/>
      <c r="GFE53" s="609"/>
      <c r="GFF53" s="609"/>
      <c r="GFG53" s="609"/>
      <c r="GFH53" s="609"/>
      <c r="GFI53" s="609"/>
      <c r="GFJ53" s="609"/>
      <c r="GFK53" s="609"/>
      <c r="GFL53" s="609"/>
      <c r="GFM53" s="609"/>
      <c r="GFN53" s="609"/>
      <c r="GFO53" s="609"/>
      <c r="GFP53" s="609"/>
      <c r="GFQ53" s="609"/>
      <c r="GFR53" s="609"/>
      <c r="GFS53" s="609"/>
      <c r="GFT53" s="609"/>
      <c r="GFU53" s="609"/>
      <c r="GFV53" s="609"/>
      <c r="GFW53" s="609"/>
      <c r="GFX53" s="609"/>
      <c r="GFY53" s="609"/>
      <c r="GFZ53" s="609"/>
      <c r="GGA53" s="609"/>
      <c r="GGB53" s="609"/>
      <c r="GGC53" s="609"/>
      <c r="GGD53" s="609"/>
      <c r="GGE53" s="609"/>
      <c r="GGF53" s="609"/>
      <c r="GGG53" s="609"/>
      <c r="GGH53" s="609"/>
      <c r="GGI53" s="609"/>
      <c r="GGJ53" s="609"/>
      <c r="GGK53" s="609"/>
      <c r="GGL53" s="609"/>
      <c r="GGM53" s="609"/>
      <c r="GGN53" s="609"/>
      <c r="GGO53" s="609"/>
      <c r="GGP53" s="609"/>
      <c r="GGQ53" s="609"/>
      <c r="GGR53" s="609"/>
      <c r="GGS53" s="609"/>
      <c r="GGT53" s="609"/>
      <c r="GGU53" s="609"/>
      <c r="GGV53" s="609"/>
      <c r="GGW53" s="609"/>
      <c r="GGX53" s="609"/>
      <c r="GGY53" s="609"/>
      <c r="GGZ53" s="609"/>
      <c r="GHA53" s="609"/>
      <c r="GHB53" s="609"/>
      <c r="GHC53" s="609"/>
      <c r="GHD53" s="609"/>
      <c r="GHE53" s="609"/>
      <c r="GHF53" s="609"/>
      <c r="GHG53" s="609"/>
      <c r="GHH53" s="609"/>
      <c r="GHI53" s="609"/>
      <c r="GHJ53" s="609"/>
      <c r="GHK53" s="609"/>
      <c r="GHL53" s="609"/>
      <c r="GHM53" s="609"/>
      <c r="GHN53" s="609"/>
      <c r="GHO53" s="609"/>
      <c r="GHP53" s="609"/>
      <c r="GHQ53" s="609"/>
      <c r="GHR53" s="609"/>
      <c r="GHS53" s="609"/>
      <c r="GHT53" s="609"/>
      <c r="GHU53" s="609"/>
      <c r="GHV53" s="609"/>
      <c r="GHW53" s="609"/>
      <c r="GHX53" s="609"/>
      <c r="GHY53" s="609"/>
      <c r="GHZ53" s="609"/>
      <c r="GIA53" s="609"/>
      <c r="GIB53" s="609"/>
      <c r="GIC53" s="609"/>
      <c r="GID53" s="609"/>
      <c r="GIE53" s="609"/>
      <c r="GIF53" s="609"/>
      <c r="GIG53" s="609"/>
      <c r="GIH53" s="609"/>
      <c r="GII53" s="609"/>
      <c r="GIJ53" s="609"/>
      <c r="GIK53" s="609"/>
      <c r="GIL53" s="609"/>
      <c r="GIM53" s="609"/>
      <c r="GIN53" s="609"/>
      <c r="GIO53" s="609"/>
      <c r="GIP53" s="609"/>
      <c r="GIQ53" s="609"/>
      <c r="GIR53" s="609"/>
      <c r="GIS53" s="609"/>
      <c r="GIT53" s="609"/>
      <c r="GIU53" s="609"/>
      <c r="GIV53" s="609"/>
      <c r="GIW53" s="609"/>
      <c r="GIX53" s="609"/>
      <c r="GIY53" s="609"/>
      <c r="GIZ53" s="609"/>
      <c r="GJA53" s="609"/>
      <c r="GJB53" s="609"/>
      <c r="GJC53" s="609"/>
      <c r="GJD53" s="609"/>
      <c r="GJE53" s="609"/>
      <c r="GJF53" s="609"/>
      <c r="GJG53" s="609"/>
      <c r="GJH53" s="609"/>
      <c r="GJI53" s="609"/>
      <c r="GJJ53" s="609"/>
      <c r="GJK53" s="609"/>
      <c r="GJL53" s="609"/>
      <c r="GJM53" s="609"/>
      <c r="GJN53" s="609"/>
      <c r="GJO53" s="609"/>
      <c r="GJP53" s="609"/>
      <c r="GJQ53" s="609"/>
      <c r="GJR53" s="609"/>
      <c r="GJS53" s="609"/>
      <c r="GJT53" s="609"/>
      <c r="GJU53" s="609"/>
      <c r="GJV53" s="609"/>
      <c r="GJW53" s="609"/>
      <c r="GJX53" s="609"/>
      <c r="GJY53" s="609"/>
      <c r="GJZ53" s="609"/>
      <c r="GKA53" s="609"/>
      <c r="GKB53" s="609"/>
      <c r="GKC53" s="609"/>
      <c r="GKD53" s="609"/>
      <c r="GKE53" s="609"/>
      <c r="GKF53" s="609"/>
      <c r="GKG53" s="609"/>
      <c r="GKH53" s="609"/>
      <c r="GKI53" s="609"/>
      <c r="GKJ53" s="609"/>
      <c r="GKK53" s="609"/>
      <c r="GKL53" s="609"/>
      <c r="GKM53" s="609"/>
      <c r="GKN53" s="609"/>
      <c r="GKO53" s="609"/>
      <c r="GKP53" s="609"/>
      <c r="GKQ53" s="609"/>
      <c r="GKR53" s="609"/>
      <c r="GKS53" s="609"/>
      <c r="GKT53" s="609"/>
      <c r="GKU53" s="609"/>
      <c r="GKV53" s="609"/>
      <c r="GKW53" s="609"/>
      <c r="GKX53" s="609"/>
      <c r="GKY53" s="609"/>
      <c r="GKZ53" s="609"/>
      <c r="GLA53" s="609"/>
      <c r="GLB53" s="609"/>
      <c r="GLC53" s="609"/>
      <c r="GLD53" s="609"/>
      <c r="GLE53" s="609"/>
      <c r="GLF53" s="609"/>
      <c r="GLG53" s="609"/>
      <c r="GLH53" s="609"/>
      <c r="GLI53" s="609"/>
      <c r="GLJ53" s="609"/>
      <c r="GLK53" s="609"/>
      <c r="GLL53" s="609"/>
      <c r="GLM53" s="609"/>
      <c r="GLN53" s="609"/>
      <c r="GLO53" s="609"/>
      <c r="GLP53" s="609"/>
      <c r="GLQ53" s="609"/>
      <c r="GLR53" s="609"/>
      <c r="GLS53" s="609"/>
      <c r="GLT53" s="609"/>
      <c r="GLU53" s="609"/>
      <c r="GLV53" s="609"/>
      <c r="GLW53" s="609"/>
      <c r="GLX53" s="609"/>
      <c r="GLY53" s="609"/>
      <c r="GLZ53" s="609"/>
      <c r="GMA53" s="609"/>
      <c r="GMB53" s="609"/>
      <c r="GMC53" s="609"/>
      <c r="GMD53" s="609"/>
      <c r="GME53" s="609"/>
      <c r="GMF53" s="609"/>
      <c r="GMG53" s="609"/>
      <c r="GMH53" s="609"/>
      <c r="GMI53" s="609"/>
      <c r="GMJ53" s="609"/>
      <c r="GMK53" s="609"/>
      <c r="GML53" s="609"/>
      <c r="GMM53" s="609"/>
      <c r="GMN53" s="609"/>
      <c r="GMO53" s="609"/>
      <c r="GMP53" s="609"/>
      <c r="GMQ53" s="609"/>
      <c r="GMR53" s="609"/>
      <c r="GMS53" s="609"/>
      <c r="GMT53" s="609"/>
      <c r="GMU53" s="609"/>
      <c r="GMV53" s="609"/>
      <c r="GMW53" s="609"/>
      <c r="GMX53" s="609"/>
      <c r="GMY53" s="609"/>
      <c r="GMZ53" s="609"/>
      <c r="GNA53" s="609"/>
      <c r="GNB53" s="609"/>
      <c r="GNC53" s="609"/>
      <c r="GND53" s="609"/>
      <c r="GNE53" s="609"/>
      <c r="GNF53" s="609"/>
      <c r="GNG53" s="609"/>
      <c r="GNH53" s="609"/>
      <c r="GNI53" s="609"/>
      <c r="GNJ53" s="609"/>
      <c r="GNK53" s="609"/>
      <c r="GNL53" s="609"/>
      <c r="GNM53" s="609"/>
      <c r="GNN53" s="609"/>
      <c r="GNO53" s="609"/>
      <c r="GNP53" s="609"/>
      <c r="GNQ53" s="609"/>
      <c r="GNR53" s="609"/>
      <c r="GNS53" s="609"/>
      <c r="GNT53" s="609"/>
      <c r="GNU53" s="609"/>
      <c r="GNV53" s="609"/>
      <c r="GNW53" s="609"/>
      <c r="GNX53" s="609"/>
      <c r="GNY53" s="609"/>
      <c r="GNZ53" s="609"/>
      <c r="GOA53" s="609"/>
      <c r="GOB53" s="609"/>
      <c r="GOC53" s="609"/>
      <c r="GOD53" s="609"/>
      <c r="GOE53" s="609"/>
      <c r="GOF53" s="609"/>
      <c r="GOG53" s="609"/>
      <c r="GOH53" s="609"/>
      <c r="GOI53" s="609"/>
      <c r="GOJ53" s="609"/>
      <c r="GOK53" s="609"/>
      <c r="GOL53" s="609"/>
      <c r="GOM53" s="609"/>
      <c r="GON53" s="609"/>
      <c r="GOO53" s="609"/>
      <c r="GOP53" s="609"/>
      <c r="GOQ53" s="609"/>
      <c r="GOR53" s="609"/>
      <c r="GOS53" s="609"/>
      <c r="GOT53" s="609"/>
      <c r="GOU53" s="609"/>
      <c r="GOV53" s="609"/>
      <c r="GOW53" s="609"/>
      <c r="GOX53" s="609"/>
      <c r="GOY53" s="609"/>
      <c r="GOZ53" s="609"/>
      <c r="GPA53" s="609"/>
      <c r="GPB53" s="609"/>
      <c r="GPC53" s="609"/>
      <c r="GPD53" s="609"/>
      <c r="GPE53" s="609"/>
      <c r="GPF53" s="609"/>
      <c r="GPG53" s="609"/>
      <c r="GPH53" s="609"/>
      <c r="GPI53" s="609"/>
      <c r="GPJ53" s="609"/>
      <c r="GPK53" s="609"/>
      <c r="GPL53" s="609"/>
      <c r="GPM53" s="609"/>
      <c r="GPN53" s="609"/>
      <c r="GPO53" s="609"/>
      <c r="GPP53" s="609"/>
      <c r="GPQ53" s="609"/>
      <c r="GPR53" s="609"/>
      <c r="GPS53" s="609"/>
      <c r="GPT53" s="609"/>
      <c r="GPU53" s="609"/>
      <c r="GPV53" s="609"/>
      <c r="GPW53" s="609"/>
      <c r="GPX53" s="609"/>
      <c r="GPY53" s="609"/>
      <c r="GPZ53" s="609"/>
      <c r="GQA53" s="609"/>
      <c r="GQB53" s="609"/>
      <c r="GQC53" s="609"/>
      <c r="GQD53" s="609"/>
      <c r="GQE53" s="609"/>
      <c r="GQF53" s="609"/>
      <c r="GQG53" s="609"/>
      <c r="GQH53" s="609"/>
      <c r="GQI53" s="609"/>
      <c r="GQJ53" s="609"/>
      <c r="GQK53" s="609"/>
      <c r="GQL53" s="609"/>
      <c r="GQM53" s="609"/>
      <c r="GQN53" s="609"/>
      <c r="GQO53" s="609"/>
      <c r="GQP53" s="609"/>
      <c r="GQQ53" s="609"/>
      <c r="GQR53" s="609"/>
      <c r="GQS53" s="609"/>
      <c r="GQT53" s="609"/>
      <c r="GQU53" s="609"/>
      <c r="GQV53" s="609"/>
      <c r="GQW53" s="609"/>
      <c r="GQX53" s="609"/>
      <c r="GQY53" s="609"/>
      <c r="GQZ53" s="609"/>
      <c r="GRA53" s="609"/>
      <c r="GRB53" s="609"/>
      <c r="GRC53" s="609"/>
      <c r="GRD53" s="609"/>
      <c r="GRE53" s="609"/>
      <c r="GRF53" s="609"/>
      <c r="GRG53" s="609"/>
      <c r="GRH53" s="609"/>
      <c r="GRI53" s="609"/>
      <c r="GRJ53" s="609"/>
      <c r="GRK53" s="609"/>
      <c r="GRL53" s="609"/>
      <c r="GRM53" s="609"/>
      <c r="GRN53" s="609"/>
      <c r="GRO53" s="609"/>
      <c r="GRP53" s="609"/>
      <c r="GRQ53" s="609"/>
      <c r="GRR53" s="609"/>
      <c r="GRS53" s="609"/>
      <c r="GRT53" s="609"/>
      <c r="GRU53" s="609"/>
      <c r="GRV53" s="609"/>
      <c r="GRW53" s="609"/>
      <c r="GRX53" s="609"/>
      <c r="GRY53" s="609"/>
      <c r="GRZ53" s="609"/>
      <c r="GSA53" s="609"/>
      <c r="GSB53" s="609"/>
      <c r="GSC53" s="609"/>
      <c r="GSD53" s="609"/>
      <c r="GSE53" s="609"/>
      <c r="GSF53" s="609"/>
      <c r="GSG53" s="609"/>
      <c r="GSH53" s="609"/>
      <c r="GSI53" s="609"/>
      <c r="GSJ53" s="609"/>
      <c r="GSK53" s="609"/>
      <c r="GSL53" s="609"/>
      <c r="GSM53" s="609"/>
      <c r="GSN53" s="609"/>
      <c r="GSO53" s="609"/>
      <c r="GSP53" s="609"/>
      <c r="GSQ53" s="609"/>
      <c r="GSR53" s="609"/>
      <c r="GSS53" s="609"/>
      <c r="GST53" s="609"/>
      <c r="GSU53" s="609"/>
      <c r="GSV53" s="609"/>
      <c r="GSW53" s="609"/>
      <c r="GSX53" s="609"/>
      <c r="GSY53" s="609"/>
      <c r="GSZ53" s="609"/>
      <c r="GTA53" s="609"/>
      <c r="GTB53" s="609"/>
      <c r="GTC53" s="609"/>
      <c r="GTD53" s="609"/>
      <c r="GTE53" s="609"/>
      <c r="GTF53" s="609"/>
      <c r="GTG53" s="609"/>
      <c r="GTH53" s="609"/>
      <c r="GTI53" s="609"/>
      <c r="GTJ53" s="609"/>
      <c r="GTK53" s="609"/>
      <c r="GTL53" s="609"/>
      <c r="GTM53" s="609"/>
      <c r="GTN53" s="609"/>
      <c r="GTO53" s="609"/>
      <c r="GTP53" s="609"/>
      <c r="GTQ53" s="609"/>
      <c r="GTR53" s="609"/>
      <c r="GTS53" s="609"/>
      <c r="GTT53" s="609"/>
      <c r="GTU53" s="609"/>
      <c r="GTV53" s="609"/>
      <c r="GTW53" s="609"/>
      <c r="GTX53" s="609"/>
      <c r="GTY53" s="609"/>
      <c r="GTZ53" s="609"/>
      <c r="GUA53" s="609"/>
      <c r="GUB53" s="609"/>
      <c r="GUC53" s="609"/>
      <c r="GUD53" s="609"/>
      <c r="GUE53" s="609"/>
      <c r="GUF53" s="609"/>
      <c r="GUG53" s="609"/>
      <c r="GUH53" s="609"/>
      <c r="GUI53" s="609"/>
      <c r="GUJ53" s="609"/>
      <c r="GUK53" s="609"/>
      <c r="GUL53" s="609"/>
      <c r="GUM53" s="609"/>
      <c r="GUN53" s="609"/>
      <c r="GUO53" s="609"/>
      <c r="GUP53" s="609"/>
      <c r="GUQ53" s="609"/>
      <c r="GUR53" s="609"/>
      <c r="GUS53" s="609"/>
      <c r="GUT53" s="609"/>
      <c r="GUU53" s="609"/>
      <c r="GUV53" s="609"/>
      <c r="GUW53" s="609"/>
      <c r="GUX53" s="609"/>
      <c r="GUY53" s="609"/>
      <c r="GUZ53" s="609"/>
      <c r="GVA53" s="609"/>
      <c r="GVB53" s="609"/>
      <c r="GVC53" s="609"/>
      <c r="GVD53" s="609"/>
      <c r="GVE53" s="609"/>
      <c r="GVF53" s="609"/>
      <c r="GVG53" s="609"/>
      <c r="GVH53" s="609"/>
      <c r="GVI53" s="609"/>
      <c r="GVJ53" s="609"/>
      <c r="GVK53" s="609"/>
      <c r="GVL53" s="609"/>
      <c r="GVM53" s="609"/>
      <c r="GVN53" s="609"/>
      <c r="GVO53" s="609"/>
      <c r="GVP53" s="609"/>
      <c r="GVQ53" s="609"/>
      <c r="GVR53" s="609"/>
      <c r="GVS53" s="609"/>
      <c r="GVT53" s="609"/>
      <c r="GVU53" s="609"/>
      <c r="GVV53" s="609"/>
      <c r="GVW53" s="609"/>
      <c r="GVX53" s="609"/>
      <c r="GVY53" s="609"/>
      <c r="GVZ53" s="609"/>
      <c r="GWA53" s="609"/>
      <c r="GWB53" s="609"/>
      <c r="GWC53" s="609"/>
      <c r="GWD53" s="609"/>
      <c r="GWE53" s="609"/>
      <c r="GWF53" s="609"/>
      <c r="GWG53" s="609"/>
      <c r="GWH53" s="609"/>
      <c r="GWI53" s="609"/>
      <c r="GWJ53" s="609"/>
      <c r="GWK53" s="609"/>
      <c r="GWL53" s="609"/>
      <c r="GWM53" s="609"/>
      <c r="GWN53" s="609"/>
      <c r="GWO53" s="609"/>
      <c r="GWP53" s="609"/>
      <c r="GWQ53" s="609"/>
      <c r="GWR53" s="609"/>
      <c r="GWS53" s="609"/>
      <c r="GWT53" s="609"/>
      <c r="GWU53" s="609"/>
      <c r="GWV53" s="609"/>
      <c r="GWW53" s="609"/>
      <c r="GWX53" s="609"/>
      <c r="GWY53" s="609"/>
      <c r="GWZ53" s="609"/>
      <c r="GXA53" s="609"/>
      <c r="GXB53" s="609"/>
      <c r="GXC53" s="609"/>
      <c r="GXD53" s="609"/>
      <c r="GXE53" s="609"/>
      <c r="GXF53" s="609"/>
      <c r="GXG53" s="609"/>
      <c r="GXH53" s="609"/>
      <c r="GXI53" s="609"/>
      <c r="GXJ53" s="609"/>
      <c r="GXK53" s="609"/>
      <c r="GXL53" s="609"/>
      <c r="GXM53" s="609"/>
      <c r="GXN53" s="609"/>
      <c r="GXO53" s="609"/>
      <c r="GXP53" s="609"/>
      <c r="GXQ53" s="609"/>
      <c r="GXR53" s="609"/>
      <c r="GXS53" s="609"/>
      <c r="GXT53" s="609"/>
      <c r="GXU53" s="609"/>
      <c r="GXV53" s="609"/>
      <c r="GXW53" s="609"/>
      <c r="GXX53" s="609"/>
      <c r="GXY53" s="609"/>
      <c r="GXZ53" s="609"/>
      <c r="GYA53" s="609"/>
      <c r="GYB53" s="609"/>
      <c r="GYC53" s="609"/>
      <c r="GYD53" s="609"/>
      <c r="GYE53" s="609"/>
      <c r="GYF53" s="609"/>
      <c r="GYG53" s="609"/>
      <c r="GYH53" s="609"/>
      <c r="GYI53" s="609"/>
      <c r="GYJ53" s="609"/>
      <c r="GYK53" s="609"/>
      <c r="GYL53" s="609"/>
      <c r="GYM53" s="609"/>
      <c r="GYN53" s="609"/>
      <c r="GYO53" s="609"/>
      <c r="GYP53" s="609"/>
      <c r="GYQ53" s="609"/>
      <c r="GYR53" s="609"/>
      <c r="GYS53" s="609"/>
      <c r="GYT53" s="609"/>
      <c r="GYU53" s="609"/>
      <c r="GYV53" s="609"/>
      <c r="GYW53" s="609"/>
      <c r="GYX53" s="609"/>
      <c r="GYY53" s="609"/>
      <c r="GYZ53" s="609"/>
      <c r="GZA53" s="609"/>
      <c r="GZB53" s="609"/>
      <c r="GZC53" s="609"/>
      <c r="GZD53" s="609"/>
      <c r="GZE53" s="609"/>
      <c r="GZF53" s="609"/>
      <c r="GZG53" s="609"/>
      <c r="GZH53" s="609"/>
      <c r="GZI53" s="609"/>
      <c r="GZJ53" s="609"/>
      <c r="GZK53" s="609"/>
      <c r="GZL53" s="609"/>
      <c r="GZM53" s="609"/>
      <c r="GZN53" s="609"/>
      <c r="GZO53" s="609"/>
      <c r="GZP53" s="609"/>
      <c r="GZQ53" s="609"/>
      <c r="GZR53" s="609"/>
      <c r="GZS53" s="609"/>
      <c r="GZT53" s="609"/>
      <c r="GZU53" s="609"/>
      <c r="GZV53" s="609"/>
      <c r="GZW53" s="609"/>
      <c r="GZX53" s="609"/>
      <c r="GZY53" s="609"/>
      <c r="GZZ53" s="609"/>
      <c r="HAA53" s="609"/>
      <c r="HAB53" s="609"/>
      <c r="HAC53" s="609"/>
      <c r="HAD53" s="609"/>
      <c r="HAE53" s="609"/>
      <c r="HAF53" s="609"/>
      <c r="HAG53" s="609"/>
      <c r="HAH53" s="609"/>
      <c r="HAI53" s="609"/>
      <c r="HAJ53" s="609"/>
      <c r="HAK53" s="609"/>
      <c r="HAL53" s="609"/>
      <c r="HAM53" s="609"/>
      <c r="HAN53" s="609"/>
      <c r="HAO53" s="609"/>
      <c r="HAP53" s="609"/>
      <c r="HAQ53" s="609"/>
      <c r="HAR53" s="609"/>
      <c r="HAS53" s="609"/>
      <c r="HAT53" s="609"/>
      <c r="HAU53" s="609"/>
      <c r="HAV53" s="609"/>
      <c r="HAW53" s="609"/>
      <c r="HAX53" s="609"/>
      <c r="HAY53" s="609"/>
      <c r="HAZ53" s="609"/>
      <c r="HBA53" s="609"/>
      <c r="HBB53" s="609"/>
      <c r="HBC53" s="609"/>
      <c r="HBD53" s="609"/>
      <c r="HBE53" s="609"/>
      <c r="HBF53" s="609"/>
      <c r="HBG53" s="609"/>
      <c r="HBH53" s="609"/>
      <c r="HBI53" s="609"/>
      <c r="HBJ53" s="609"/>
      <c r="HBK53" s="609"/>
      <c r="HBL53" s="609"/>
      <c r="HBM53" s="609"/>
      <c r="HBN53" s="609"/>
      <c r="HBO53" s="609"/>
      <c r="HBP53" s="609"/>
      <c r="HBQ53" s="609"/>
      <c r="HBR53" s="609"/>
      <c r="HBS53" s="609"/>
      <c r="HBT53" s="609"/>
      <c r="HBU53" s="609"/>
      <c r="HBV53" s="609"/>
      <c r="HBW53" s="609"/>
      <c r="HBX53" s="609"/>
      <c r="HBY53" s="609"/>
      <c r="HBZ53" s="609"/>
      <c r="HCA53" s="609"/>
      <c r="HCB53" s="609"/>
      <c r="HCC53" s="609"/>
      <c r="HCD53" s="609"/>
      <c r="HCE53" s="609"/>
      <c r="HCF53" s="609"/>
      <c r="HCG53" s="609"/>
      <c r="HCH53" s="609"/>
      <c r="HCI53" s="609"/>
      <c r="HCJ53" s="609"/>
      <c r="HCK53" s="609"/>
      <c r="HCL53" s="609"/>
      <c r="HCM53" s="609"/>
      <c r="HCN53" s="609"/>
      <c r="HCO53" s="609"/>
      <c r="HCP53" s="609"/>
      <c r="HCQ53" s="609"/>
      <c r="HCR53" s="609"/>
      <c r="HCS53" s="609"/>
      <c r="HCT53" s="609"/>
      <c r="HCU53" s="609"/>
      <c r="HCV53" s="609"/>
      <c r="HCW53" s="609"/>
      <c r="HCX53" s="609"/>
      <c r="HCY53" s="609"/>
      <c r="HCZ53" s="609"/>
      <c r="HDA53" s="609"/>
      <c r="HDB53" s="609"/>
      <c r="HDC53" s="609"/>
      <c r="HDD53" s="609"/>
      <c r="HDE53" s="609"/>
      <c r="HDF53" s="609"/>
      <c r="HDG53" s="609"/>
      <c r="HDH53" s="609"/>
      <c r="HDI53" s="609"/>
      <c r="HDJ53" s="609"/>
      <c r="HDK53" s="609"/>
      <c r="HDL53" s="609"/>
      <c r="HDM53" s="609"/>
      <c r="HDN53" s="609"/>
      <c r="HDO53" s="609"/>
      <c r="HDP53" s="609"/>
      <c r="HDQ53" s="609"/>
      <c r="HDR53" s="609"/>
      <c r="HDS53" s="609"/>
      <c r="HDT53" s="609"/>
      <c r="HDU53" s="609"/>
      <c r="HDV53" s="609"/>
      <c r="HDW53" s="609"/>
      <c r="HDX53" s="609"/>
      <c r="HDY53" s="609"/>
      <c r="HDZ53" s="609"/>
      <c r="HEA53" s="609"/>
      <c r="HEB53" s="609"/>
      <c r="HEC53" s="609"/>
      <c r="HED53" s="609"/>
      <c r="HEE53" s="609"/>
      <c r="HEF53" s="609"/>
      <c r="HEG53" s="609"/>
      <c r="HEH53" s="609"/>
      <c r="HEI53" s="609"/>
      <c r="HEJ53" s="609"/>
      <c r="HEK53" s="609"/>
      <c r="HEL53" s="609"/>
      <c r="HEM53" s="609"/>
      <c r="HEN53" s="609"/>
      <c r="HEO53" s="609"/>
      <c r="HEP53" s="609"/>
      <c r="HEQ53" s="609"/>
      <c r="HER53" s="609"/>
      <c r="HES53" s="609"/>
      <c r="HET53" s="609"/>
      <c r="HEU53" s="609"/>
      <c r="HEV53" s="609"/>
      <c r="HEW53" s="609"/>
      <c r="HEX53" s="609"/>
      <c r="HEY53" s="609"/>
      <c r="HEZ53" s="609"/>
      <c r="HFA53" s="609"/>
      <c r="HFB53" s="609"/>
      <c r="HFC53" s="609"/>
      <c r="HFD53" s="609"/>
      <c r="HFE53" s="609"/>
      <c r="HFF53" s="609"/>
      <c r="HFG53" s="609"/>
      <c r="HFH53" s="609"/>
      <c r="HFI53" s="609"/>
      <c r="HFJ53" s="609"/>
      <c r="HFK53" s="609"/>
      <c r="HFL53" s="609"/>
      <c r="HFM53" s="609"/>
      <c r="HFN53" s="609"/>
      <c r="HFO53" s="609"/>
      <c r="HFP53" s="609"/>
      <c r="HFQ53" s="609"/>
      <c r="HFR53" s="609"/>
      <c r="HFS53" s="609"/>
      <c r="HFT53" s="609"/>
      <c r="HFU53" s="609"/>
      <c r="HFV53" s="609"/>
      <c r="HFW53" s="609"/>
      <c r="HFX53" s="609"/>
      <c r="HFY53" s="609"/>
      <c r="HFZ53" s="609"/>
      <c r="HGA53" s="609"/>
      <c r="HGB53" s="609"/>
      <c r="HGC53" s="609"/>
      <c r="HGD53" s="609"/>
      <c r="HGE53" s="609"/>
      <c r="HGF53" s="609"/>
      <c r="HGG53" s="609"/>
      <c r="HGH53" s="609"/>
      <c r="HGI53" s="609"/>
      <c r="HGJ53" s="609"/>
      <c r="HGK53" s="609"/>
      <c r="HGL53" s="609"/>
      <c r="HGM53" s="609"/>
      <c r="HGN53" s="609"/>
      <c r="HGO53" s="609"/>
      <c r="HGP53" s="609"/>
      <c r="HGQ53" s="609"/>
      <c r="HGR53" s="609"/>
      <c r="HGS53" s="609"/>
      <c r="HGT53" s="609"/>
      <c r="HGU53" s="609"/>
      <c r="HGV53" s="609"/>
      <c r="HGW53" s="609"/>
      <c r="HGX53" s="609"/>
      <c r="HGY53" s="609"/>
      <c r="HGZ53" s="609"/>
      <c r="HHA53" s="609"/>
      <c r="HHB53" s="609"/>
      <c r="HHC53" s="609"/>
      <c r="HHD53" s="609"/>
      <c r="HHE53" s="609"/>
      <c r="HHF53" s="609"/>
      <c r="HHG53" s="609"/>
      <c r="HHH53" s="609"/>
      <c r="HHI53" s="609"/>
      <c r="HHJ53" s="609"/>
      <c r="HHK53" s="609"/>
      <c r="HHL53" s="609"/>
      <c r="HHM53" s="609"/>
      <c r="HHN53" s="609"/>
      <c r="HHO53" s="609"/>
      <c r="HHP53" s="609"/>
      <c r="HHQ53" s="609"/>
      <c r="HHR53" s="609"/>
      <c r="HHS53" s="609"/>
      <c r="HHT53" s="609"/>
      <c r="HHU53" s="609"/>
      <c r="HHV53" s="609"/>
      <c r="HHW53" s="609"/>
      <c r="HHX53" s="609"/>
      <c r="HHY53" s="609"/>
      <c r="HHZ53" s="609"/>
      <c r="HIA53" s="609"/>
      <c r="HIB53" s="609"/>
      <c r="HIC53" s="609"/>
      <c r="HID53" s="609"/>
      <c r="HIE53" s="609"/>
      <c r="HIF53" s="609"/>
      <c r="HIG53" s="609"/>
      <c r="HIH53" s="609"/>
      <c r="HII53" s="609"/>
      <c r="HIJ53" s="609"/>
      <c r="HIK53" s="609"/>
      <c r="HIL53" s="609"/>
      <c r="HIM53" s="609"/>
      <c r="HIN53" s="609"/>
      <c r="HIO53" s="609"/>
      <c r="HIP53" s="609"/>
      <c r="HIQ53" s="609"/>
      <c r="HIR53" s="609"/>
      <c r="HIS53" s="609"/>
      <c r="HIT53" s="609"/>
      <c r="HIU53" s="609"/>
      <c r="HIV53" s="609"/>
      <c r="HIW53" s="609"/>
      <c r="HIX53" s="609"/>
      <c r="HIY53" s="609"/>
      <c r="HIZ53" s="609"/>
      <c r="HJA53" s="609"/>
      <c r="HJB53" s="609"/>
      <c r="HJC53" s="609"/>
      <c r="HJD53" s="609"/>
      <c r="HJE53" s="609"/>
      <c r="HJF53" s="609"/>
      <c r="HJG53" s="609"/>
      <c r="HJH53" s="609"/>
      <c r="HJI53" s="609"/>
      <c r="HJJ53" s="609"/>
      <c r="HJK53" s="609"/>
      <c r="HJL53" s="609"/>
      <c r="HJM53" s="609"/>
      <c r="HJN53" s="609"/>
      <c r="HJO53" s="609"/>
      <c r="HJP53" s="609"/>
      <c r="HJQ53" s="609"/>
      <c r="HJR53" s="609"/>
      <c r="HJS53" s="609"/>
      <c r="HJT53" s="609"/>
      <c r="HJU53" s="609"/>
      <c r="HJV53" s="609"/>
      <c r="HJW53" s="609"/>
      <c r="HJX53" s="609"/>
      <c r="HJY53" s="609"/>
      <c r="HJZ53" s="609"/>
      <c r="HKA53" s="609"/>
      <c r="HKB53" s="609"/>
      <c r="HKC53" s="609"/>
      <c r="HKD53" s="609"/>
      <c r="HKE53" s="609"/>
      <c r="HKF53" s="609"/>
      <c r="HKG53" s="609"/>
      <c r="HKH53" s="609"/>
      <c r="HKI53" s="609"/>
      <c r="HKJ53" s="609"/>
      <c r="HKK53" s="609"/>
      <c r="HKL53" s="609"/>
      <c r="HKM53" s="609"/>
      <c r="HKN53" s="609"/>
      <c r="HKO53" s="609"/>
      <c r="HKP53" s="609"/>
      <c r="HKQ53" s="609"/>
      <c r="HKR53" s="609"/>
      <c r="HKS53" s="609"/>
      <c r="HKT53" s="609"/>
      <c r="HKU53" s="609"/>
      <c r="HKV53" s="609"/>
      <c r="HKW53" s="609"/>
      <c r="HKX53" s="609"/>
      <c r="HKY53" s="609"/>
      <c r="HKZ53" s="609"/>
      <c r="HLA53" s="609"/>
      <c r="HLB53" s="609"/>
      <c r="HLC53" s="609"/>
      <c r="HLD53" s="609"/>
      <c r="HLE53" s="609"/>
      <c r="HLF53" s="609"/>
      <c r="HLG53" s="609"/>
      <c r="HLH53" s="609"/>
      <c r="HLI53" s="609"/>
      <c r="HLJ53" s="609"/>
      <c r="HLK53" s="609"/>
      <c r="HLL53" s="609"/>
      <c r="HLM53" s="609"/>
      <c r="HLN53" s="609"/>
      <c r="HLO53" s="609"/>
      <c r="HLP53" s="609"/>
      <c r="HLQ53" s="609"/>
      <c r="HLR53" s="609"/>
      <c r="HLS53" s="609"/>
      <c r="HLT53" s="609"/>
      <c r="HLU53" s="609"/>
      <c r="HLV53" s="609"/>
      <c r="HLW53" s="609"/>
      <c r="HLX53" s="609"/>
      <c r="HLY53" s="609"/>
      <c r="HLZ53" s="609"/>
      <c r="HMA53" s="609"/>
      <c r="HMB53" s="609"/>
      <c r="HMC53" s="609"/>
      <c r="HMD53" s="609"/>
      <c r="HME53" s="609"/>
      <c r="HMF53" s="609"/>
      <c r="HMG53" s="609"/>
      <c r="HMH53" s="609"/>
      <c r="HMI53" s="609"/>
      <c r="HMJ53" s="609"/>
      <c r="HMK53" s="609"/>
      <c r="HML53" s="609"/>
      <c r="HMM53" s="609"/>
      <c r="HMN53" s="609"/>
      <c r="HMO53" s="609"/>
      <c r="HMP53" s="609"/>
      <c r="HMQ53" s="609"/>
      <c r="HMR53" s="609"/>
      <c r="HMS53" s="609"/>
      <c r="HMT53" s="609"/>
      <c r="HMU53" s="609"/>
      <c r="HMV53" s="609"/>
      <c r="HMW53" s="609"/>
      <c r="HMX53" s="609"/>
      <c r="HMY53" s="609"/>
      <c r="HMZ53" s="609"/>
      <c r="HNA53" s="609"/>
      <c r="HNB53" s="609"/>
      <c r="HNC53" s="609"/>
      <c r="HND53" s="609"/>
      <c r="HNE53" s="609"/>
      <c r="HNF53" s="609"/>
      <c r="HNG53" s="609"/>
      <c r="HNH53" s="609"/>
      <c r="HNI53" s="609"/>
      <c r="HNJ53" s="609"/>
      <c r="HNK53" s="609"/>
      <c r="HNL53" s="609"/>
      <c r="HNM53" s="609"/>
      <c r="HNN53" s="609"/>
      <c r="HNO53" s="609"/>
      <c r="HNP53" s="609"/>
      <c r="HNQ53" s="609"/>
      <c r="HNR53" s="609"/>
      <c r="HNS53" s="609"/>
      <c r="HNT53" s="609"/>
      <c r="HNU53" s="609"/>
      <c r="HNV53" s="609"/>
      <c r="HNW53" s="609"/>
      <c r="HNX53" s="609"/>
      <c r="HNY53" s="609"/>
      <c r="HNZ53" s="609"/>
      <c r="HOA53" s="609"/>
      <c r="HOB53" s="609"/>
      <c r="HOC53" s="609"/>
      <c r="HOD53" s="609"/>
      <c r="HOE53" s="609"/>
      <c r="HOF53" s="609"/>
      <c r="HOG53" s="609"/>
      <c r="HOH53" s="609"/>
      <c r="HOI53" s="609"/>
      <c r="HOJ53" s="609"/>
      <c r="HOK53" s="609"/>
      <c r="HOL53" s="609"/>
      <c r="HOM53" s="609"/>
      <c r="HON53" s="609"/>
      <c r="HOO53" s="609"/>
      <c r="HOP53" s="609"/>
      <c r="HOQ53" s="609"/>
      <c r="HOR53" s="609"/>
      <c r="HOS53" s="609"/>
      <c r="HOT53" s="609"/>
      <c r="HOU53" s="609"/>
      <c r="HOV53" s="609"/>
      <c r="HOW53" s="609"/>
      <c r="HOX53" s="609"/>
      <c r="HOY53" s="609"/>
      <c r="HOZ53" s="609"/>
      <c r="HPA53" s="609"/>
      <c r="HPB53" s="609"/>
      <c r="HPC53" s="609"/>
      <c r="HPD53" s="609"/>
      <c r="HPE53" s="609"/>
      <c r="HPF53" s="609"/>
      <c r="HPG53" s="609"/>
      <c r="HPH53" s="609"/>
      <c r="HPI53" s="609"/>
      <c r="HPJ53" s="609"/>
      <c r="HPK53" s="609"/>
      <c r="HPL53" s="609"/>
      <c r="HPM53" s="609"/>
      <c r="HPN53" s="609"/>
      <c r="HPO53" s="609"/>
      <c r="HPP53" s="609"/>
      <c r="HPQ53" s="609"/>
      <c r="HPR53" s="609"/>
      <c r="HPS53" s="609"/>
      <c r="HPT53" s="609"/>
      <c r="HPU53" s="609"/>
      <c r="HPV53" s="609"/>
      <c r="HPW53" s="609"/>
      <c r="HPX53" s="609"/>
      <c r="HPY53" s="609"/>
      <c r="HPZ53" s="609"/>
      <c r="HQA53" s="609"/>
      <c r="HQB53" s="609"/>
      <c r="HQC53" s="609"/>
      <c r="HQD53" s="609"/>
      <c r="HQE53" s="609"/>
      <c r="HQF53" s="609"/>
      <c r="HQG53" s="609"/>
      <c r="HQH53" s="609"/>
      <c r="HQI53" s="609"/>
      <c r="HQJ53" s="609"/>
      <c r="HQK53" s="609"/>
      <c r="HQL53" s="609"/>
      <c r="HQM53" s="609"/>
      <c r="HQN53" s="609"/>
      <c r="HQO53" s="609"/>
      <c r="HQP53" s="609"/>
      <c r="HQQ53" s="609"/>
      <c r="HQR53" s="609"/>
      <c r="HQS53" s="609"/>
      <c r="HQT53" s="609"/>
      <c r="HQU53" s="609"/>
      <c r="HQV53" s="609"/>
      <c r="HQW53" s="609"/>
      <c r="HQX53" s="609"/>
      <c r="HQY53" s="609"/>
      <c r="HQZ53" s="609"/>
      <c r="HRA53" s="609"/>
      <c r="HRB53" s="609"/>
      <c r="HRC53" s="609"/>
      <c r="HRD53" s="609"/>
      <c r="HRE53" s="609"/>
      <c r="HRF53" s="609"/>
      <c r="HRG53" s="609"/>
      <c r="HRH53" s="609"/>
      <c r="HRI53" s="609"/>
      <c r="HRJ53" s="609"/>
      <c r="HRK53" s="609"/>
      <c r="HRL53" s="609"/>
      <c r="HRM53" s="609"/>
      <c r="HRN53" s="609"/>
      <c r="HRO53" s="609"/>
      <c r="HRP53" s="609"/>
      <c r="HRQ53" s="609"/>
      <c r="HRR53" s="609"/>
      <c r="HRS53" s="609"/>
      <c r="HRT53" s="609"/>
      <c r="HRU53" s="609"/>
      <c r="HRV53" s="609"/>
      <c r="HRW53" s="609"/>
      <c r="HRX53" s="609"/>
      <c r="HRY53" s="609"/>
      <c r="HRZ53" s="609"/>
      <c r="HSA53" s="609"/>
      <c r="HSB53" s="609"/>
      <c r="HSC53" s="609"/>
      <c r="HSD53" s="609"/>
      <c r="HSE53" s="609"/>
      <c r="HSF53" s="609"/>
      <c r="HSG53" s="609"/>
      <c r="HSH53" s="609"/>
      <c r="HSI53" s="609"/>
      <c r="HSJ53" s="609"/>
      <c r="HSK53" s="609"/>
      <c r="HSL53" s="609"/>
      <c r="HSM53" s="609"/>
      <c r="HSN53" s="609"/>
      <c r="HSO53" s="609"/>
      <c r="HSP53" s="609"/>
      <c r="HSQ53" s="609"/>
      <c r="HSR53" s="609"/>
      <c r="HSS53" s="609"/>
      <c r="HST53" s="609"/>
      <c r="HSU53" s="609"/>
      <c r="HSV53" s="609"/>
      <c r="HSW53" s="609"/>
      <c r="HSX53" s="609"/>
      <c r="HSY53" s="609"/>
      <c r="HSZ53" s="609"/>
      <c r="HTA53" s="609"/>
      <c r="HTB53" s="609"/>
      <c r="HTC53" s="609"/>
      <c r="HTD53" s="609"/>
      <c r="HTE53" s="609"/>
      <c r="HTF53" s="609"/>
      <c r="HTG53" s="609"/>
      <c r="HTH53" s="609"/>
      <c r="HTI53" s="609"/>
      <c r="HTJ53" s="609"/>
      <c r="HTK53" s="609"/>
      <c r="HTL53" s="609"/>
      <c r="HTM53" s="609"/>
      <c r="HTN53" s="609"/>
      <c r="HTO53" s="609"/>
      <c r="HTP53" s="609"/>
      <c r="HTQ53" s="609"/>
      <c r="HTR53" s="609"/>
      <c r="HTS53" s="609"/>
      <c r="HTT53" s="609"/>
      <c r="HTU53" s="609"/>
      <c r="HTV53" s="609"/>
      <c r="HTW53" s="609"/>
      <c r="HTX53" s="609"/>
      <c r="HTY53" s="609"/>
      <c r="HTZ53" s="609"/>
      <c r="HUA53" s="609"/>
      <c r="HUB53" s="609"/>
      <c r="HUC53" s="609"/>
      <c r="HUD53" s="609"/>
      <c r="HUE53" s="609"/>
      <c r="HUF53" s="609"/>
      <c r="HUG53" s="609"/>
      <c r="HUH53" s="609"/>
      <c r="HUI53" s="609"/>
      <c r="HUJ53" s="609"/>
      <c r="HUK53" s="609"/>
      <c r="HUL53" s="609"/>
      <c r="HUM53" s="609"/>
      <c r="HUN53" s="609"/>
      <c r="HUO53" s="609"/>
      <c r="HUP53" s="609"/>
      <c r="HUQ53" s="609"/>
      <c r="HUR53" s="609"/>
      <c r="HUS53" s="609"/>
      <c r="HUT53" s="609"/>
      <c r="HUU53" s="609"/>
      <c r="HUV53" s="609"/>
      <c r="HUW53" s="609"/>
      <c r="HUX53" s="609"/>
      <c r="HUY53" s="609"/>
      <c r="HUZ53" s="609"/>
      <c r="HVA53" s="609"/>
      <c r="HVB53" s="609"/>
      <c r="HVC53" s="609"/>
      <c r="HVD53" s="609"/>
      <c r="HVE53" s="609"/>
      <c r="HVF53" s="609"/>
      <c r="HVG53" s="609"/>
      <c r="HVH53" s="609"/>
      <c r="HVI53" s="609"/>
      <c r="HVJ53" s="609"/>
      <c r="HVK53" s="609"/>
      <c r="HVL53" s="609"/>
      <c r="HVM53" s="609"/>
      <c r="HVN53" s="609"/>
      <c r="HVO53" s="609"/>
      <c r="HVP53" s="609"/>
      <c r="HVQ53" s="609"/>
      <c r="HVR53" s="609"/>
      <c r="HVS53" s="609"/>
      <c r="HVT53" s="609"/>
      <c r="HVU53" s="609"/>
      <c r="HVV53" s="609"/>
      <c r="HVW53" s="609"/>
      <c r="HVX53" s="609"/>
      <c r="HVY53" s="609"/>
      <c r="HVZ53" s="609"/>
      <c r="HWA53" s="609"/>
      <c r="HWB53" s="609"/>
      <c r="HWC53" s="609"/>
      <c r="HWD53" s="609"/>
      <c r="HWE53" s="609"/>
      <c r="HWF53" s="609"/>
      <c r="HWG53" s="609"/>
      <c r="HWH53" s="609"/>
      <c r="HWI53" s="609"/>
      <c r="HWJ53" s="609"/>
      <c r="HWK53" s="609"/>
      <c r="HWL53" s="609"/>
      <c r="HWM53" s="609"/>
      <c r="HWN53" s="609"/>
      <c r="HWO53" s="609"/>
      <c r="HWP53" s="609"/>
      <c r="HWQ53" s="609"/>
      <c r="HWR53" s="609"/>
      <c r="HWS53" s="609"/>
      <c r="HWT53" s="609"/>
      <c r="HWU53" s="609"/>
      <c r="HWV53" s="609"/>
      <c r="HWW53" s="609"/>
      <c r="HWX53" s="609"/>
      <c r="HWY53" s="609"/>
      <c r="HWZ53" s="609"/>
      <c r="HXA53" s="609"/>
      <c r="HXB53" s="609"/>
      <c r="HXC53" s="609"/>
      <c r="HXD53" s="609"/>
      <c r="HXE53" s="609"/>
      <c r="HXF53" s="609"/>
      <c r="HXG53" s="609"/>
      <c r="HXH53" s="609"/>
      <c r="HXI53" s="609"/>
      <c r="HXJ53" s="609"/>
      <c r="HXK53" s="609"/>
      <c r="HXL53" s="609"/>
      <c r="HXM53" s="609"/>
      <c r="HXN53" s="609"/>
      <c r="HXO53" s="609"/>
      <c r="HXP53" s="609"/>
      <c r="HXQ53" s="609"/>
      <c r="HXR53" s="609"/>
      <c r="HXS53" s="609"/>
      <c r="HXT53" s="609"/>
      <c r="HXU53" s="609"/>
      <c r="HXV53" s="609"/>
      <c r="HXW53" s="609"/>
      <c r="HXX53" s="609"/>
      <c r="HXY53" s="609"/>
      <c r="HXZ53" s="609"/>
      <c r="HYA53" s="609"/>
      <c r="HYB53" s="609"/>
      <c r="HYC53" s="609"/>
      <c r="HYD53" s="609"/>
      <c r="HYE53" s="609"/>
      <c r="HYF53" s="609"/>
      <c r="HYG53" s="609"/>
      <c r="HYH53" s="609"/>
      <c r="HYI53" s="609"/>
      <c r="HYJ53" s="609"/>
      <c r="HYK53" s="609"/>
      <c r="HYL53" s="609"/>
      <c r="HYM53" s="609"/>
      <c r="HYN53" s="609"/>
      <c r="HYO53" s="609"/>
      <c r="HYP53" s="609"/>
      <c r="HYQ53" s="609"/>
      <c r="HYR53" s="609"/>
      <c r="HYS53" s="609"/>
      <c r="HYT53" s="609"/>
      <c r="HYU53" s="609"/>
      <c r="HYV53" s="609"/>
      <c r="HYW53" s="609"/>
      <c r="HYX53" s="609"/>
      <c r="HYY53" s="609"/>
      <c r="HYZ53" s="609"/>
      <c r="HZA53" s="609"/>
      <c r="HZB53" s="609"/>
      <c r="HZC53" s="609"/>
      <c r="HZD53" s="609"/>
      <c r="HZE53" s="609"/>
      <c r="HZF53" s="609"/>
      <c r="HZG53" s="609"/>
      <c r="HZH53" s="609"/>
      <c r="HZI53" s="609"/>
      <c r="HZJ53" s="609"/>
      <c r="HZK53" s="609"/>
      <c r="HZL53" s="609"/>
      <c r="HZM53" s="609"/>
      <c r="HZN53" s="609"/>
      <c r="HZO53" s="609"/>
      <c r="HZP53" s="609"/>
      <c r="HZQ53" s="609"/>
      <c r="HZR53" s="609"/>
      <c r="HZS53" s="609"/>
      <c r="HZT53" s="609"/>
      <c r="HZU53" s="609"/>
      <c r="HZV53" s="609"/>
      <c r="HZW53" s="609"/>
      <c r="HZX53" s="609"/>
      <c r="HZY53" s="609"/>
      <c r="HZZ53" s="609"/>
      <c r="IAA53" s="609"/>
      <c r="IAB53" s="609"/>
      <c r="IAC53" s="609"/>
      <c r="IAD53" s="609"/>
      <c r="IAE53" s="609"/>
      <c r="IAF53" s="609"/>
      <c r="IAG53" s="609"/>
      <c r="IAH53" s="609"/>
      <c r="IAI53" s="609"/>
      <c r="IAJ53" s="609"/>
      <c r="IAK53" s="609"/>
      <c r="IAL53" s="609"/>
      <c r="IAM53" s="609"/>
      <c r="IAN53" s="609"/>
      <c r="IAO53" s="609"/>
      <c r="IAP53" s="609"/>
      <c r="IAQ53" s="609"/>
      <c r="IAR53" s="609"/>
      <c r="IAS53" s="609"/>
      <c r="IAT53" s="609"/>
      <c r="IAU53" s="609"/>
      <c r="IAV53" s="609"/>
      <c r="IAW53" s="609"/>
      <c r="IAX53" s="609"/>
      <c r="IAY53" s="609"/>
      <c r="IAZ53" s="609"/>
      <c r="IBA53" s="609"/>
      <c r="IBB53" s="609"/>
      <c r="IBC53" s="609"/>
      <c r="IBD53" s="609"/>
      <c r="IBE53" s="609"/>
      <c r="IBF53" s="609"/>
      <c r="IBG53" s="609"/>
      <c r="IBH53" s="609"/>
      <c r="IBI53" s="609"/>
      <c r="IBJ53" s="609"/>
      <c r="IBK53" s="609"/>
      <c r="IBL53" s="609"/>
      <c r="IBM53" s="609"/>
      <c r="IBN53" s="609"/>
      <c r="IBO53" s="609"/>
      <c r="IBP53" s="609"/>
      <c r="IBQ53" s="609"/>
      <c r="IBR53" s="609"/>
      <c r="IBS53" s="609"/>
      <c r="IBT53" s="609"/>
      <c r="IBU53" s="609"/>
      <c r="IBV53" s="609"/>
      <c r="IBW53" s="609"/>
      <c r="IBX53" s="609"/>
      <c r="IBY53" s="609"/>
      <c r="IBZ53" s="609"/>
      <c r="ICA53" s="609"/>
      <c r="ICB53" s="609"/>
      <c r="ICC53" s="609"/>
      <c r="ICD53" s="609"/>
      <c r="ICE53" s="609"/>
      <c r="ICF53" s="609"/>
      <c r="ICG53" s="609"/>
      <c r="ICH53" s="609"/>
      <c r="ICI53" s="609"/>
      <c r="ICJ53" s="609"/>
      <c r="ICK53" s="609"/>
      <c r="ICL53" s="609"/>
      <c r="ICM53" s="609"/>
      <c r="ICN53" s="609"/>
      <c r="ICO53" s="609"/>
      <c r="ICP53" s="609"/>
      <c r="ICQ53" s="609"/>
      <c r="ICR53" s="609"/>
      <c r="ICS53" s="609"/>
      <c r="ICT53" s="609"/>
      <c r="ICU53" s="609"/>
      <c r="ICV53" s="609"/>
      <c r="ICW53" s="609"/>
      <c r="ICX53" s="609"/>
      <c r="ICY53" s="609"/>
      <c r="ICZ53" s="609"/>
      <c r="IDA53" s="609"/>
      <c r="IDB53" s="609"/>
      <c r="IDC53" s="609"/>
      <c r="IDD53" s="609"/>
      <c r="IDE53" s="609"/>
      <c r="IDF53" s="609"/>
      <c r="IDG53" s="609"/>
      <c r="IDH53" s="609"/>
      <c r="IDI53" s="609"/>
      <c r="IDJ53" s="609"/>
      <c r="IDK53" s="609"/>
      <c r="IDL53" s="609"/>
      <c r="IDM53" s="609"/>
      <c r="IDN53" s="609"/>
      <c r="IDO53" s="609"/>
      <c r="IDP53" s="609"/>
      <c r="IDQ53" s="609"/>
      <c r="IDR53" s="609"/>
      <c r="IDS53" s="609"/>
      <c r="IDT53" s="609"/>
      <c r="IDU53" s="609"/>
      <c r="IDV53" s="609"/>
      <c r="IDW53" s="609"/>
      <c r="IDX53" s="609"/>
      <c r="IDY53" s="609"/>
      <c r="IDZ53" s="609"/>
      <c r="IEA53" s="609"/>
      <c r="IEB53" s="609"/>
      <c r="IEC53" s="609"/>
      <c r="IED53" s="609"/>
      <c r="IEE53" s="609"/>
      <c r="IEF53" s="609"/>
      <c r="IEG53" s="609"/>
      <c r="IEH53" s="609"/>
      <c r="IEI53" s="609"/>
      <c r="IEJ53" s="609"/>
      <c r="IEK53" s="609"/>
      <c r="IEL53" s="609"/>
      <c r="IEM53" s="609"/>
      <c r="IEN53" s="609"/>
      <c r="IEO53" s="609"/>
      <c r="IEP53" s="609"/>
      <c r="IEQ53" s="609"/>
      <c r="IER53" s="609"/>
      <c r="IES53" s="609"/>
      <c r="IET53" s="609"/>
      <c r="IEU53" s="609"/>
      <c r="IEV53" s="609"/>
      <c r="IEW53" s="609"/>
      <c r="IEX53" s="609"/>
      <c r="IEY53" s="609"/>
      <c r="IEZ53" s="609"/>
      <c r="IFA53" s="609"/>
      <c r="IFB53" s="609"/>
      <c r="IFC53" s="609"/>
      <c r="IFD53" s="609"/>
      <c r="IFE53" s="609"/>
      <c r="IFF53" s="609"/>
      <c r="IFG53" s="609"/>
      <c r="IFH53" s="609"/>
      <c r="IFI53" s="609"/>
      <c r="IFJ53" s="609"/>
      <c r="IFK53" s="609"/>
      <c r="IFL53" s="609"/>
      <c r="IFM53" s="609"/>
      <c r="IFN53" s="609"/>
      <c r="IFO53" s="609"/>
      <c r="IFP53" s="609"/>
      <c r="IFQ53" s="609"/>
      <c r="IFR53" s="609"/>
      <c r="IFS53" s="609"/>
      <c r="IFT53" s="609"/>
      <c r="IFU53" s="609"/>
      <c r="IFV53" s="609"/>
      <c r="IFW53" s="609"/>
      <c r="IFX53" s="609"/>
      <c r="IFY53" s="609"/>
      <c r="IFZ53" s="609"/>
      <c r="IGA53" s="609"/>
      <c r="IGB53" s="609"/>
      <c r="IGC53" s="609"/>
      <c r="IGD53" s="609"/>
      <c r="IGE53" s="609"/>
      <c r="IGF53" s="609"/>
      <c r="IGG53" s="609"/>
      <c r="IGH53" s="609"/>
      <c r="IGI53" s="609"/>
      <c r="IGJ53" s="609"/>
      <c r="IGK53" s="609"/>
      <c r="IGL53" s="609"/>
      <c r="IGM53" s="609"/>
      <c r="IGN53" s="609"/>
      <c r="IGO53" s="609"/>
      <c r="IGP53" s="609"/>
      <c r="IGQ53" s="609"/>
      <c r="IGR53" s="609"/>
      <c r="IGS53" s="609"/>
      <c r="IGT53" s="609"/>
      <c r="IGU53" s="609"/>
      <c r="IGV53" s="609"/>
      <c r="IGW53" s="609"/>
      <c r="IGX53" s="609"/>
      <c r="IGY53" s="609"/>
      <c r="IGZ53" s="609"/>
      <c r="IHA53" s="609"/>
      <c r="IHB53" s="609"/>
      <c r="IHC53" s="609"/>
      <c r="IHD53" s="609"/>
      <c r="IHE53" s="609"/>
      <c r="IHF53" s="609"/>
      <c r="IHG53" s="609"/>
      <c r="IHH53" s="609"/>
      <c r="IHI53" s="609"/>
      <c r="IHJ53" s="609"/>
      <c r="IHK53" s="609"/>
      <c r="IHL53" s="609"/>
      <c r="IHM53" s="609"/>
      <c r="IHN53" s="609"/>
      <c r="IHO53" s="609"/>
      <c r="IHP53" s="609"/>
      <c r="IHQ53" s="609"/>
      <c r="IHR53" s="609"/>
      <c r="IHS53" s="609"/>
      <c r="IHT53" s="609"/>
      <c r="IHU53" s="609"/>
      <c r="IHV53" s="609"/>
      <c r="IHW53" s="609"/>
      <c r="IHX53" s="609"/>
      <c r="IHY53" s="609"/>
      <c r="IHZ53" s="609"/>
      <c r="IIA53" s="609"/>
      <c r="IIB53" s="609"/>
      <c r="IIC53" s="609"/>
      <c r="IID53" s="609"/>
      <c r="IIE53" s="609"/>
      <c r="IIF53" s="609"/>
      <c r="IIG53" s="609"/>
      <c r="IIH53" s="609"/>
      <c r="III53" s="609"/>
      <c r="IIJ53" s="609"/>
      <c r="IIK53" s="609"/>
      <c r="IIL53" s="609"/>
      <c r="IIM53" s="609"/>
      <c r="IIN53" s="609"/>
      <c r="IIO53" s="609"/>
      <c r="IIP53" s="609"/>
      <c r="IIQ53" s="609"/>
      <c r="IIR53" s="609"/>
      <c r="IIS53" s="609"/>
      <c r="IIT53" s="609"/>
      <c r="IIU53" s="609"/>
      <c r="IIV53" s="609"/>
      <c r="IIW53" s="609"/>
      <c r="IIX53" s="609"/>
      <c r="IIY53" s="609"/>
      <c r="IIZ53" s="609"/>
      <c r="IJA53" s="609"/>
      <c r="IJB53" s="609"/>
      <c r="IJC53" s="609"/>
      <c r="IJD53" s="609"/>
      <c r="IJE53" s="609"/>
      <c r="IJF53" s="609"/>
      <c r="IJG53" s="609"/>
      <c r="IJH53" s="609"/>
      <c r="IJI53" s="609"/>
      <c r="IJJ53" s="609"/>
      <c r="IJK53" s="609"/>
      <c r="IJL53" s="609"/>
      <c r="IJM53" s="609"/>
      <c r="IJN53" s="609"/>
      <c r="IJO53" s="609"/>
      <c r="IJP53" s="609"/>
      <c r="IJQ53" s="609"/>
      <c r="IJR53" s="609"/>
      <c r="IJS53" s="609"/>
      <c r="IJT53" s="609"/>
      <c r="IJU53" s="609"/>
      <c r="IJV53" s="609"/>
      <c r="IJW53" s="609"/>
      <c r="IJX53" s="609"/>
      <c r="IJY53" s="609"/>
      <c r="IJZ53" s="609"/>
      <c r="IKA53" s="609"/>
      <c r="IKB53" s="609"/>
      <c r="IKC53" s="609"/>
      <c r="IKD53" s="609"/>
      <c r="IKE53" s="609"/>
      <c r="IKF53" s="609"/>
      <c r="IKG53" s="609"/>
      <c r="IKH53" s="609"/>
      <c r="IKI53" s="609"/>
      <c r="IKJ53" s="609"/>
      <c r="IKK53" s="609"/>
      <c r="IKL53" s="609"/>
      <c r="IKM53" s="609"/>
      <c r="IKN53" s="609"/>
      <c r="IKO53" s="609"/>
      <c r="IKP53" s="609"/>
      <c r="IKQ53" s="609"/>
      <c r="IKR53" s="609"/>
      <c r="IKS53" s="609"/>
      <c r="IKT53" s="609"/>
      <c r="IKU53" s="609"/>
      <c r="IKV53" s="609"/>
      <c r="IKW53" s="609"/>
      <c r="IKX53" s="609"/>
      <c r="IKY53" s="609"/>
      <c r="IKZ53" s="609"/>
      <c r="ILA53" s="609"/>
      <c r="ILB53" s="609"/>
      <c r="ILC53" s="609"/>
      <c r="ILD53" s="609"/>
      <c r="ILE53" s="609"/>
      <c r="ILF53" s="609"/>
      <c r="ILG53" s="609"/>
      <c r="ILH53" s="609"/>
      <c r="ILI53" s="609"/>
      <c r="ILJ53" s="609"/>
      <c r="ILK53" s="609"/>
      <c r="ILL53" s="609"/>
      <c r="ILM53" s="609"/>
      <c r="ILN53" s="609"/>
      <c r="ILO53" s="609"/>
      <c r="ILP53" s="609"/>
      <c r="ILQ53" s="609"/>
      <c r="ILR53" s="609"/>
      <c r="ILS53" s="609"/>
      <c r="ILT53" s="609"/>
      <c r="ILU53" s="609"/>
      <c r="ILV53" s="609"/>
      <c r="ILW53" s="609"/>
      <c r="ILX53" s="609"/>
      <c r="ILY53" s="609"/>
      <c r="ILZ53" s="609"/>
      <c r="IMA53" s="609"/>
      <c r="IMB53" s="609"/>
      <c r="IMC53" s="609"/>
      <c r="IMD53" s="609"/>
      <c r="IME53" s="609"/>
      <c r="IMF53" s="609"/>
      <c r="IMG53" s="609"/>
      <c r="IMH53" s="609"/>
      <c r="IMI53" s="609"/>
      <c r="IMJ53" s="609"/>
      <c r="IMK53" s="609"/>
      <c r="IML53" s="609"/>
      <c r="IMM53" s="609"/>
      <c r="IMN53" s="609"/>
      <c r="IMO53" s="609"/>
      <c r="IMP53" s="609"/>
      <c r="IMQ53" s="609"/>
      <c r="IMR53" s="609"/>
      <c r="IMS53" s="609"/>
      <c r="IMT53" s="609"/>
      <c r="IMU53" s="609"/>
      <c r="IMV53" s="609"/>
      <c r="IMW53" s="609"/>
      <c r="IMX53" s="609"/>
      <c r="IMY53" s="609"/>
      <c r="IMZ53" s="609"/>
      <c r="INA53" s="609"/>
      <c r="INB53" s="609"/>
      <c r="INC53" s="609"/>
      <c r="IND53" s="609"/>
      <c r="INE53" s="609"/>
      <c r="INF53" s="609"/>
      <c r="ING53" s="609"/>
      <c r="INH53" s="609"/>
      <c r="INI53" s="609"/>
      <c r="INJ53" s="609"/>
      <c r="INK53" s="609"/>
      <c r="INL53" s="609"/>
      <c r="INM53" s="609"/>
      <c r="INN53" s="609"/>
      <c r="INO53" s="609"/>
      <c r="INP53" s="609"/>
      <c r="INQ53" s="609"/>
      <c r="INR53" s="609"/>
      <c r="INS53" s="609"/>
      <c r="INT53" s="609"/>
      <c r="INU53" s="609"/>
      <c r="INV53" s="609"/>
      <c r="INW53" s="609"/>
      <c r="INX53" s="609"/>
      <c r="INY53" s="609"/>
      <c r="INZ53" s="609"/>
      <c r="IOA53" s="609"/>
      <c r="IOB53" s="609"/>
      <c r="IOC53" s="609"/>
      <c r="IOD53" s="609"/>
      <c r="IOE53" s="609"/>
      <c r="IOF53" s="609"/>
      <c r="IOG53" s="609"/>
      <c r="IOH53" s="609"/>
      <c r="IOI53" s="609"/>
      <c r="IOJ53" s="609"/>
      <c r="IOK53" s="609"/>
      <c r="IOL53" s="609"/>
      <c r="IOM53" s="609"/>
      <c r="ION53" s="609"/>
      <c r="IOO53" s="609"/>
      <c r="IOP53" s="609"/>
      <c r="IOQ53" s="609"/>
      <c r="IOR53" s="609"/>
      <c r="IOS53" s="609"/>
      <c r="IOT53" s="609"/>
      <c r="IOU53" s="609"/>
      <c r="IOV53" s="609"/>
      <c r="IOW53" s="609"/>
      <c r="IOX53" s="609"/>
      <c r="IOY53" s="609"/>
      <c r="IOZ53" s="609"/>
      <c r="IPA53" s="609"/>
      <c r="IPB53" s="609"/>
      <c r="IPC53" s="609"/>
      <c r="IPD53" s="609"/>
      <c r="IPE53" s="609"/>
      <c r="IPF53" s="609"/>
      <c r="IPG53" s="609"/>
      <c r="IPH53" s="609"/>
      <c r="IPI53" s="609"/>
      <c r="IPJ53" s="609"/>
      <c r="IPK53" s="609"/>
      <c r="IPL53" s="609"/>
      <c r="IPM53" s="609"/>
      <c r="IPN53" s="609"/>
      <c r="IPO53" s="609"/>
      <c r="IPP53" s="609"/>
      <c r="IPQ53" s="609"/>
      <c r="IPR53" s="609"/>
      <c r="IPS53" s="609"/>
      <c r="IPT53" s="609"/>
      <c r="IPU53" s="609"/>
      <c r="IPV53" s="609"/>
      <c r="IPW53" s="609"/>
      <c r="IPX53" s="609"/>
      <c r="IPY53" s="609"/>
      <c r="IPZ53" s="609"/>
      <c r="IQA53" s="609"/>
      <c r="IQB53" s="609"/>
      <c r="IQC53" s="609"/>
      <c r="IQD53" s="609"/>
      <c r="IQE53" s="609"/>
      <c r="IQF53" s="609"/>
      <c r="IQG53" s="609"/>
      <c r="IQH53" s="609"/>
      <c r="IQI53" s="609"/>
      <c r="IQJ53" s="609"/>
      <c r="IQK53" s="609"/>
      <c r="IQL53" s="609"/>
      <c r="IQM53" s="609"/>
      <c r="IQN53" s="609"/>
      <c r="IQO53" s="609"/>
      <c r="IQP53" s="609"/>
      <c r="IQQ53" s="609"/>
      <c r="IQR53" s="609"/>
      <c r="IQS53" s="609"/>
      <c r="IQT53" s="609"/>
      <c r="IQU53" s="609"/>
      <c r="IQV53" s="609"/>
      <c r="IQW53" s="609"/>
      <c r="IQX53" s="609"/>
      <c r="IQY53" s="609"/>
      <c r="IQZ53" s="609"/>
      <c r="IRA53" s="609"/>
      <c r="IRB53" s="609"/>
      <c r="IRC53" s="609"/>
      <c r="IRD53" s="609"/>
      <c r="IRE53" s="609"/>
      <c r="IRF53" s="609"/>
      <c r="IRG53" s="609"/>
      <c r="IRH53" s="609"/>
      <c r="IRI53" s="609"/>
      <c r="IRJ53" s="609"/>
      <c r="IRK53" s="609"/>
      <c r="IRL53" s="609"/>
      <c r="IRM53" s="609"/>
      <c r="IRN53" s="609"/>
      <c r="IRO53" s="609"/>
      <c r="IRP53" s="609"/>
      <c r="IRQ53" s="609"/>
      <c r="IRR53" s="609"/>
      <c r="IRS53" s="609"/>
      <c r="IRT53" s="609"/>
      <c r="IRU53" s="609"/>
      <c r="IRV53" s="609"/>
      <c r="IRW53" s="609"/>
      <c r="IRX53" s="609"/>
      <c r="IRY53" s="609"/>
      <c r="IRZ53" s="609"/>
      <c r="ISA53" s="609"/>
      <c r="ISB53" s="609"/>
      <c r="ISC53" s="609"/>
      <c r="ISD53" s="609"/>
      <c r="ISE53" s="609"/>
      <c r="ISF53" s="609"/>
      <c r="ISG53" s="609"/>
      <c r="ISH53" s="609"/>
      <c r="ISI53" s="609"/>
      <c r="ISJ53" s="609"/>
      <c r="ISK53" s="609"/>
      <c r="ISL53" s="609"/>
      <c r="ISM53" s="609"/>
      <c r="ISN53" s="609"/>
      <c r="ISO53" s="609"/>
      <c r="ISP53" s="609"/>
      <c r="ISQ53" s="609"/>
      <c r="ISR53" s="609"/>
      <c r="ISS53" s="609"/>
      <c r="IST53" s="609"/>
      <c r="ISU53" s="609"/>
      <c r="ISV53" s="609"/>
      <c r="ISW53" s="609"/>
      <c r="ISX53" s="609"/>
      <c r="ISY53" s="609"/>
      <c r="ISZ53" s="609"/>
      <c r="ITA53" s="609"/>
      <c r="ITB53" s="609"/>
      <c r="ITC53" s="609"/>
      <c r="ITD53" s="609"/>
      <c r="ITE53" s="609"/>
      <c r="ITF53" s="609"/>
      <c r="ITG53" s="609"/>
      <c r="ITH53" s="609"/>
      <c r="ITI53" s="609"/>
      <c r="ITJ53" s="609"/>
      <c r="ITK53" s="609"/>
      <c r="ITL53" s="609"/>
      <c r="ITM53" s="609"/>
      <c r="ITN53" s="609"/>
      <c r="ITO53" s="609"/>
      <c r="ITP53" s="609"/>
      <c r="ITQ53" s="609"/>
      <c r="ITR53" s="609"/>
      <c r="ITS53" s="609"/>
      <c r="ITT53" s="609"/>
      <c r="ITU53" s="609"/>
      <c r="ITV53" s="609"/>
      <c r="ITW53" s="609"/>
      <c r="ITX53" s="609"/>
      <c r="ITY53" s="609"/>
      <c r="ITZ53" s="609"/>
      <c r="IUA53" s="609"/>
      <c r="IUB53" s="609"/>
      <c r="IUC53" s="609"/>
      <c r="IUD53" s="609"/>
      <c r="IUE53" s="609"/>
      <c r="IUF53" s="609"/>
      <c r="IUG53" s="609"/>
      <c r="IUH53" s="609"/>
      <c r="IUI53" s="609"/>
      <c r="IUJ53" s="609"/>
      <c r="IUK53" s="609"/>
      <c r="IUL53" s="609"/>
      <c r="IUM53" s="609"/>
      <c r="IUN53" s="609"/>
      <c r="IUO53" s="609"/>
      <c r="IUP53" s="609"/>
      <c r="IUQ53" s="609"/>
      <c r="IUR53" s="609"/>
      <c r="IUS53" s="609"/>
      <c r="IUT53" s="609"/>
      <c r="IUU53" s="609"/>
      <c r="IUV53" s="609"/>
      <c r="IUW53" s="609"/>
      <c r="IUX53" s="609"/>
      <c r="IUY53" s="609"/>
      <c r="IUZ53" s="609"/>
      <c r="IVA53" s="609"/>
      <c r="IVB53" s="609"/>
      <c r="IVC53" s="609"/>
      <c r="IVD53" s="609"/>
      <c r="IVE53" s="609"/>
      <c r="IVF53" s="609"/>
      <c r="IVG53" s="609"/>
      <c r="IVH53" s="609"/>
      <c r="IVI53" s="609"/>
      <c r="IVJ53" s="609"/>
      <c r="IVK53" s="609"/>
      <c r="IVL53" s="609"/>
      <c r="IVM53" s="609"/>
      <c r="IVN53" s="609"/>
      <c r="IVO53" s="609"/>
      <c r="IVP53" s="609"/>
      <c r="IVQ53" s="609"/>
      <c r="IVR53" s="609"/>
      <c r="IVS53" s="609"/>
      <c r="IVT53" s="609"/>
      <c r="IVU53" s="609"/>
      <c r="IVV53" s="609"/>
      <c r="IVW53" s="609"/>
      <c r="IVX53" s="609"/>
      <c r="IVY53" s="609"/>
      <c r="IVZ53" s="609"/>
      <c r="IWA53" s="609"/>
      <c r="IWB53" s="609"/>
      <c r="IWC53" s="609"/>
      <c r="IWD53" s="609"/>
      <c r="IWE53" s="609"/>
      <c r="IWF53" s="609"/>
      <c r="IWG53" s="609"/>
      <c r="IWH53" s="609"/>
      <c r="IWI53" s="609"/>
      <c r="IWJ53" s="609"/>
      <c r="IWK53" s="609"/>
      <c r="IWL53" s="609"/>
      <c r="IWM53" s="609"/>
      <c r="IWN53" s="609"/>
      <c r="IWO53" s="609"/>
      <c r="IWP53" s="609"/>
      <c r="IWQ53" s="609"/>
      <c r="IWR53" s="609"/>
      <c r="IWS53" s="609"/>
      <c r="IWT53" s="609"/>
      <c r="IWU53" s="609"/>
      <c r="IWV53" s="609"/>
      <c r="IWW53" s="609"/>
      <c r="IWX53" s="609"/>
      <c r="IWY53" s="609"/>
      <c r="IWZ53" s="609"/>
      <c r="IXA53" s="609"/>
      <c r="IXB53" s="609"/>
      <c r="IXC53" s="609"/>
      <c r="IXD53" s="609"/>
      <c r="IXE53" s="609"/>
      <c r="IXF53" s="609"/>
      <c r="IXG53" s="609"/>
      <c r="IXH53" s="609"/>
      <c r="IXI53" s="609"/>
      <c r="IXJ53" s="609"/>
      <c r="IXK53" s="609"/>
      <c r="IXL53" s="609"/>
      <c r="IXM53" s="609"/>
      <c r="IXN53" s="609"/>
      <c r="IXO53" s="609"/>
      <c r="IXP53" s="609"/>
      <c r="IXQ53" s="609"/>
      <c r="IXR53" s="609"/>
      <c r="IXS53" s="609"/>
      <c r="IXT53" s="609"/>
      <c r="IXU53" s="609"/>
      <c r="IXV53" s="609"/>
      <c r="IXW53" s="609"/>
      <c r="IXX53" s="609"/>
      <c r="IXY53" s="609"/>
      <c r="IXZ53" s="609"/>
      <c r="IYA53" s="609"/>
      <c r="IYB53" s="609"/>
      <c r="IYC53" s="609"/>
      <c r="IYD53" s="609"/>
      <c r="IYE53" s="609"/>
      <c r="IYF53" s="609"/>
      <c r="IYG53" s="609"/>
      <c r="IYH53" s="609"/>
      <c r="IYI53" s="609"/>
      <c r="IYJ53" s="609"/>
      <c r="IYK53" s="609"/>
      <c r="IYL53" s="609"/>
      <c r="IYM53" s="609"/>
      <c r="IYN53" s="609"/>
      <c r="IYO53" s="609"/>
      <c r="IYP53" s="609"/>
      <c r="IYQ53" s="609"/>
      <c r="IYR53" s="609"/>
      <c r="IYS53" s="609"/>
      <c r="IYT53" s="609"/>
      <c r="IYU53" s="609"/>
      <c r="IYV53" s="609"/>
      <c r="IYW53" s="609"/>
      <c r="IYX53" s="609"/>
      <c r="IYY53" s="609"/>
      <c r="IYZ53" s="609"/>
      <c r="IZA53" s="609"/>
      <c r="IZB53" s="609"/>
      <c r="IZC53" s="609"/>
      <c r="IZD53" s="609"/>
      <c r="IZE53" s="609"/>
      <c r="IZF53" s="609"/>
      <c r="IZG53" s="609"/>
      <c r="IZH53" s="609"/>
      <c r="IZI53" s="609"/>
      <c r="IZJ53" s="609"/>
      <c r="IZK53" s="609"/>
      <c r="IZL53" s="609"/>
      <c r="IZM53" s="609"/>
      <c r="IZN53" s="609"/>
      <c r="IZO53" s="609"/>
      <c r="IZP53" s="609"/>
      <c r="IZQ53" s="609"/>
      <c r="IZR53" s="609"/>
      <c r="IZS53" s="609"/>
      <c r="IZT53" s="609"/>
      <c r="IZU53" s="609"/>
      <c r="IZV53" s="609"/>
      <c r="IZW53" s="609"/>
      <c r="IZX53" s="609"/>
      <c r="IZY53" s="609"/>
      <c r="IZZ53" s="609"/>
      <c r="JAA53" s="609"/>
      <c r="JAB53" s="609"/>
      <c r="JAC53" s="609"/>
      <c r="JAD53" s="609"/>
      <c r="JAE53" s="609"/>
      <c r="JAF53" s="609"/>
      <c r="JAG53" s="609"/>
      <c r="JAH53" s="609"/>
      <c r="JAI53" s="609"/>
      <c r="JAJ53" s="609"/>
      <c r="JAK53" s="609"/>
      <c r="JAL53" s="609"/>
      <c r="JAM53" s="609"/>
      <c r="JAN53" s="609"/>
      <c r="JAO53" s="609"/>
      <c r="JAP53" s="609"/>
      <c r="JAQ53" s="609"/>
      <c r="JAR53" s="609"/>
      <c r="JAS53" s="609"/>
      <c r="JAT53" s="609"/>
      <c r="JAU53" s="609"/>
      <c r="JAV53" s="609"/>
      <c r="JAW53" s="609"/>
      <c r="JAX53" s="609"/>
      <c r="JAY53" s="609"/>
      <c r="JAZ53" s="609"/>
      <c r="JBA53" s="609"/>
      <c r="JBB53" s="609"/>
      <c r="JBC53" s="609"/>
      <c r="JBD53" s="609"/>
      <c r="JBE53" s="609"/>
      <c r="JBF53" s="609"/>
      <c r="JBG53" s="609"/>
      <c r="JBH53" s="609"/>
      <c r="JBI53" s="609"/>
      <c r="JBJ53" s="609"/>
      <c r="JBK53" s="609"/>
      <c r="JBL53" s="609"/>
      <c r="JBM53" s="609"/>
      <c r="JBN53" s="609"/>
      <c r="JBO53" s="609"/>
      <c r="JBP53" s="609"/>
      <c r="JBQ53" s="609"/>
      <c r="JBR53" s="609"/>
      <c r="JBS53" s="609"/>
      <c r="JBT53" s="609"/>
      <c r="JBU53" s="609"/>
      <c r="JBV53" s="609"/>
      <c r="JBW53" s="609"/>
      <c r="JBX53" s="609"/>
      <c r="JBY53" s="609"/>
      <c r="JBZ53" s="609"/>
      <c r="JCA53" s="609"/>
      <c r="JCB53" s="609"/>
      <c r="JCC53" s="609"/>
      <c r="JCD53" s="609"/>
      <c r="JCE53" s="609"/>
      <c r="JCF53" s="609"/>
      <c r="JCG53" s="609"/>
      <c r="JCH53" s="609"/>
      <c r="JCI53" s="609"/>
      <c r="JCJ53" s="609"/>
      <c r="JCK53" s="609"/>
      <c r="JCL53" s="609"/>
      <c r="JCM53" s="609"/>
      <c r="JCN53" s="609"/>
      <c r="JCO53" s="609"/>
      <c r="JCP53" s="609"/>
      <c r="JCQ53" s="609"/>
      <c r="JCR53" s="609"/>
      <c r="JCS53" s="609"/>
      <c r="JCT53" s="609"/>
      <c r="JCU53" s="609"/>
      <c r="JCV53" s="609"/>
      <c r="JCW53" s="609"/>
      <c r="JCX53" s="609"/>
      <c r="JCY53" s="609"/>
      <c r="JCZ53" s="609"/>
      <c r="JDA53" s="609"/>
      <c r="JDB53" s="609"/>
      <c r="JDC53" s="609"/>
      <c r="JDD53" s="609"/>
      <c r="JDE53" s="609"/>
      <c r="JDF53" s="609"/>
      <c r="JDG53" s="609"/>
      <c r="JDH53" s="609"/>
      <c r="JDI53" s="609"/>
      <c r="JDJ53" s="609"/>
      <c r="JDK53" s="609"/>
      <c r="JDL53" s="609"/>
      <c r="JDM53" s="609"/>
      <c r="JDN53" s="609"/>
      <c r="JDO53" s="609"/>
      <c r="JDP53" s="609"/>
      <c r="JDQ53" s="609"/>
      <c r="JDR53" s="609"/>
      <c r="JDS53" s="609"/>
      <c r="JDT53" s="609"/>
      <c r="JDU53" s="609"/>
      <c r="JDV53" s="609"/>
      <c r="JDW53" s="609"/>
      <c r="JDX53" s="609"/>
      <c r="JDY53" s="609"/>
      <c r="JDZ53" s="609"/>
      <c r="JEA53" s="609"/>
      <c r="JEB53" s="609"/>
      <c r="JEC53" s="609"/>
      <c r="JED53" s="609"/>
      <c r="JEE53" s="609"/>
      <c r="JEF53" s="609"/>
      <c r="JEG53" s="609"/>
      <c r="JEH53" s="609"/>
      <c r="JEI53" s="609"/>
      <c r="JEJ53" s="609"/>
      <c r="JEK53" s="609"/>
      <c r="JEL53" s="609"/>
      <c r="JEM53" s="609"/>
      <c r="JEN53" s="609"/>
      <c r="JEO53" s="609"/>
      <c r="JEP53" s="609"/>
      <c r="JEQ53" s="609"/>
      <c r="JER53" s="609"/>
      <c r="JES53" s="609"/>
      <c r="JET53" s="609"/>
      <c r="JEU53" s="609"/>
      <c r="JEV53" s="609"/>
      <c r="JEW53" s="609"/>
      <c r="JEX53" s="609"/>
      <c r="JEY53" s="609"/>
      <c r="JEZ53" s="609"/>
      <c r="JFA53" s="609"/>
      <c r="JFB53" s="609"/>
      <c r="JFC53" s="609"/>
      <c r="JFD53" s="609"/>
      <c r="JFE53" s="609"/>
      <c r="JFF53" s="609"/>
      <c r="JFG53" s="609"/>
      <c r="JFH53" s="609"/>
      <c r="JFI53" s="609"/>
      <c r="JFJ53" s="609"/>
      <c r="JFK53" s="609"/>
      <c r="JFL53" s="609"/>
      <c r="JFM53" s="609"/>
      <c r="JFN53" s="609"/>
      <c r="JFO53" s="609"/>
      <c r="JFP53" s="609"/>
      <c r="JFQ53" s="609"/>
      <c r="JFR53" s="609"/>
      <c r="JFS53" s="609"/>
      <c r="JFT53" s="609"/>
      <c r="JFU53" s="609"/>
      <c r="JFV53" s="609"/>
      <c r="JFW53" s="609"/>
      <c r="JFX53" s="609"/>
      <c r="JFY53" s="609"/>
      <c r="JFZ53" s="609"/>
      <c r="JGA53" s="609"/>
      <c r="JGB53" s="609"/>
      <c r="JGC53" s="609"/>
      <c r="JGD53" s="609"/>
      <c r="JGE53" s="609"/>
      <c r="JGF53" s="609"/>
      <c r="JGG53" s="609"/>
      <c r="JGH53" s="609"/>
      <c r="JGI53" s="609"/>
      <c r="JGJ53" s="609"/>
      <c r="JGK53" s="609"/>
      <c r="JGL53" s="609"/>
      <c r="JGM53" s="609"/>
      <c r="JGN53" s="609"/>
      <c r="JGO53" s="609"/>
      <c r="JGP53" s="609"/>
      <c r="JGQ53" s="609"/>
      <c r="JGR53" s="609"/>
      <c r="JGS53" s="609"/>
      <c r="JGT53" s="609"/>
      <c r="JGU53" s="609"/>
      <c r="JGV53" s="609"/>
      <c r="JGW53" s="609"/>
      <c r="JGX53" s="609"/>
      <c r="JGY53" s="609"/>
      <c r="JGZ53" s="609"/>
      <c r="JHA53" s="609"/>
      <c r="JHB53" s="609"/>
      <c r="JHC53" s="609"/>
      <c r="JHD53" s="609"/>
      <c r="JHE53" s="609"/>
      <c r="JHF53" s="609"/>
      <c r="JHG53" s="609"/>
      <c r="JHH53" s="609"/>
      <c r="JHI53" s="609"/>
      <c r="JHJ53" s="609"/>
      <c r="JHK53" s="609"/>
      <c r="JHL53" s="609"/>
      <c r="JHM53" s="609"/>
      <c r="JHN53" s="609"/>
      <c r="JHO53" s="609"/>
      <c r="JHP53" s="609"/>
      <c r="JHQ53" s="609"/>
      <c r="JHR53" s="609"/>
      <c r="JHS53" s="609"/>
      <c r="JHT53" s="609"/>
      <c r="JHU53" s="609"/>
      <c r="JHV53" s="609"/>
      <c r="JHW53" s="609"/>
      <c r="JHX53" s="609"/>
      <c r="JHY53" s="609"/>
      <c r="JHZ53" s="609"/>
      <c r="JIA53" s="609"/>
      <c r="JIB53" s="609"/>
      <c r="JIC53" s="609"/>
      <c r="JID53" s="609"/>
      <c r="JIE53" s="609"/>
      <c r="JIF53" s="609"/>
      <c r="JIG53" s="609"/>
      <c r="JIH53" s="609"/>
      <c r="JII53" s="609"/>
      <c r="JIJ53" s="609"/>
      <c r="JIK53" s="609"/>
      <c r="JIL53" s="609"/>
      <c r="JIM53" s="609"/>
      <c r="JIN53" s="609"/>
      <c r="JIO53" s="609"/>
      <c r="JIP53" s="609"/>
      <c r="JIQ53" s="609"/>
      <c r="JIR53" s="609"/>
      <c r="JIS53" s="609"/>
      <c r="JIT53" s="609"/>
      <c r="JIU53" s="609"/>
      <c r="JIV53" s="609"/>
      <c r="JIW53" s="609"/>
      <c r="JIX53" s="609"/>
      <c r="JIY53" s="609"/>
      <c r="JIZ53" s="609"/>
      <c r="JJA53" s="609"/>
      <c r="JJB53" s="609"/>
      <c r="JJC53" s="609"/>
      <c r="JJD53" s="609"/>
      <c r="JJE53" s="609"/>
      <c r="JJF53" s="609"/>
      <c r="JJG53" s="609"/>
      <c r="JJH53" s="609"/>
      <c r="JJI53" s="609"/>
      <c r="JJJ53" s="609"/>
      <c r="JJK53" s="609"/>
      <c r="JJL53" s="609"/>
      <c r="JJM53" s="609"/>
      <c r="JJN53" s="609"/>
      <c r="JJO53" s="609"/>
      <c r="JJP53" s="609"/>
      <c r="JJQ53" s="609"/>
      <c r="JJR53" s="609"/>
      <c r="JJS53" s="609"/>
      <c r="JJT53" s="609"/>
      <c r="JJU53" s="609"/>
      <c r="JJV53" s="609"/>
      <c r="JJW53" s="609"/>
      <c r="JJX53" s="609"/>
      <c r="JJY53" s="609"/>
      <c r="JJZ53" s="609"/>
      <c r="JKA53" s="609"/>
      <c r="JKB53" s="609"/>
      <c r="JKC53" s="609"/>
      <c r="JKD53" s="609"/>
      <c r="JKE53" s="609"/>
      <c r="JKF53" s="609"/>
      <c r="JKG53" s="609"/>
      <c r="JKH53" s="609"/>
      <c r="JKI53" s="609"/>
      <c r="JKJ53" s="609"/>
      <c r="JKK53" s="609"/>
      <c r="JKL53" s="609"/>
      <c r="JKM53" s="609"/>
      <c r="JKN53" s="609"/>
      <c r="JKO53" s="609"/>
      <c r="JKP53" s="609"/>
      <c r="JKQ53" s="609"/>
      <c r="JKR53" s="609"/>
      <c r="JKS53" s="609"/>
      <c r="JKT53" s="609"/>
      <c r="JKU53" s="609"/>
      <c r="JKV53" s="609"/>
      <c r="JKW53" s="609"/>
      <c r="JKX53" s="609"/>
      <c r="JKY53" s="609"/>
      <c r="JKZ53" s="609"/>
      <c r="JLA53" s="609"/>
      <c r="JLB53" s="609"/>
      <c r="JLC53" s="609"/>
      <c r="JLD53" s="609"/>
      <c r="JLE53" s="609"/>
      <c r="JLF53" s="609"/>
      <c r="JLG53" s="609"/>
      <c r="JLH53" s="609"/>
      <c r="JLI53" s="609"/>
      <c r="JLJ53" s="609"/>
      <c r="JLK53" s="609"/>
      <c r="JLL53" s="609"/>
      <c r="JLM53" s="609"/>
      <c r="JLN53" s="609"/>
      <c r="JLO53" s="609"/>
      <c r="JLP53" s="609"/>
      <c r="JLQ53" s="609"/>
      <c r="JLR53" s="609"/>
      <c r="JLS53" s="609"/>
      <c r="JLT53" s="609"/>
      <c r="JLU53" s="609"/>
      <c r="JLV53" s="609"/>
      <c r="JLW53" s="609"/>
      <c r="JLX53" s="609"/>
      <c r="JLY53" s="609"/>
      <c r="JLZ53" s="609"/>
      <c r="JMA53" s="609"/>
      <c r="JMB53" s="609"/>
      <c r="JMC53" s="609"/>
      <c r="JMD53" s="609"/>
      <c r="JME53" s="609"/>
      <c r="JMF53" s="609"/>
      <c r="JMG53" s="609"/>
      <c r="JMH53" s="609"/>
      <c r="JMI53" s="609"/>
      <c r="JMJ53" s="609"/>
      <c r="JMK53" s="609"/>
      <c r="JML53" s="609"/>
      <c r="JMM53" s="609"/>
      <c r="JMN53" s="609"/>
      <c r="JMO53" s="609"/>
      <c r="JMP53" s="609"/>
      <c r="JMQ53" s="609"/>
      <c r="JMR53" s="609"/>
      <c r="JMS53" s="609"/>
      <c r="JMT53" s="609"/>
      <c r="JMU53" s="609"/>
      <c r="JMV53" s="609"/>
      <c r="JMW53" s="609"/>
      <c r="JMX53" s="609"/>
      <c r="JMY53" s="609"/>
      <c r="JMZ53" s="609"/>
      <c r="JNA53" s="609"/>
      <c r="JNB53" s="609"/>
      <c r="JNC53" s="609"/>
      <c r="JND53" s="609"/>
      <c r="JNE53" s="609"/>
      <c r="JNF53" s="609"/>
      <c r="JNG53" s="609"/>
      <c r="JNH53" s="609"/>
      <c r="JNI53" s="609"/>
      <c r="JNJ53" s="609"/>
      <c r="JNK53" s="609"/>
      <c r="JNL53" s="609"/>
      <c r="JNM53" s="609"/>
      <c r="JNN53" s="609"/>
      <c r="JNO53" s="609"/>
      <c r="JNP53" s="609"/>
      <c r="JNQ53" s="609"/>
      <c r="JNR53" s="609"/>
      <c r="JNS53" s="609"/>
      <c r="JNT53" s="609"/>
      <c r="JNU53" s="609"/>
      <c r="JNV53" s="609"/>
      <c r="JNW53" s="609"/>
      <c r="JNX53" s="609"/>
      <c r="JNY53" s="609"/>
      <c r="JNZ53" s="609"/>
      <c r="JOA53" s="609"/>
      <c r="JOB53" s="609"/>
      <c r="JOC53" s="609"/>
      <c r="JOD53" s="609"/>
      <c r="JOE53" s="609"/>
      <c r="JOF53" s="609"/>
      <c r="JOG53" s="609"/>
      <c r="JOH53" s="609"/>
      <c r="JOI53" s="609"/>
      <c r="JOJ53" s="609"/>
      <c r="JOK53" s="609"/>
      <c r="JOL53" s="609"/>
      <c r="JOM53" s="609"/>
      <c r="JON53" s="609"/>
      <c r="JOO53" s="609"/>
      <c r="JOP53" s="609"/>
      <c r="JOQ53" s="609"/>
      <c r="JOR53" s="609"/>
      <c r="JOS53" s="609"/>
      <c r="JOT53" s="609"/>
      <c r="JOU53" s="609"/>
      <c r="JOV53" s="609"/>
      <c r="JOW53" s="609"/>
      <c r="JOX53" s="609"/>
      <c r="JOY53" s="609"/>
      <c r="JOZ53" s="609"/>
      <c r="JPA53" s="609"/>
      <c r="JPB53" s="609"/>
      <c r="JPC53" s="609"/>
      <c r="JPD53" s="609"/>
      <c r="JPE53" s="609"/>
      <c r="JPF53" s="609"/>
      <c r="JPG53" s="609"/>
      <c r="JPH53" s="609"/>
      <c r="JPI53" s="609"/>
      <c r="JPJ53" s="609"/>
      <c r="JPK53" s="609"/>
      <c r="JPL53" s="609"/>
      <c r="JPM53" s="609"/>
      <c r="JPN53" s="609"/>
      <c r="JPO53" s="609"/>
      <c r="JPP53" s="609"/>
      <c r="JPQ53" s="609"/>
      <c r="JPR53" s="609"/>
      <c r="JPS53" s="609"/>
      <c r="JPT53" s="609"/>
      <c r="JPU53" s="609"/>
      <c r="JPV53" s="609"/>
      <c r="JPW53" s="609"/>
      <c r="JPX53" s="609"/>
      <c r="JPY53" s="609"/>
      <c r="JPZ53" s="609"/>
      <c r="JQA53" s="609"/>
      <c r="JQB53" s="609"/>
      <c r="JQC53" s="609"/>
      <c r="JQD53" s="609"/>
      <c r="JQE53" s="609"/>
      <c r="JQF53" s="609"/>
      <c r="JQG53" s="609"/>
      <c r="JQH53" s="609"/>
      <c r="JQI53" s="609"/>
      <c r="JQJ53" s="609"/>
      <c r="JQK53" s="609"/>
      <c r="JQL53" s="609"/>
      <c r="JQM53" s="609"/>
      <c r="JQN53" s="609"/>
      <c r="JQO53" s="609"/>
      <c r="JQP53" s="609"/>
      <c r="JQQ53" s="609"/>
      <c r="JQR53" s="609"/>
      <c r="JQS53" s="609"/>
      <c r="JQT53" s="609"/>
      <c r="JQU53" s="609"/>
      <c r="JQV53" s="609"/>
      <c r="JQW53" s="609"/>
      <c r="JQX53" s="609"/>
      <c r="JQY53" s="609"/>
      <c r="JQZ53" s="609"/>
      <c r="JRA53" s="609"/>
      <c r="JRB53" s="609"/>
      <c r="JRC53" s="609"/>
      <c r="JRD53" s="609"/>
      <c r="JRE53" s="609"/>
      <c r="JRF53" s="609"/>
      <c r="JRG53" s="609"/>
      <c r="JRH53" s="609"/>
      <c r="JRI53" s="609"/>
      <c r="JRJ53" s="609"/>
      <c r="JRK53" s="609"/>
      <c r="JRL53" s="609"/>
      <c r="JRM53" s="609"/>
      <c r="JRN53" s="609"/>
      <c r="JRO53" s="609"/>
      <c r="JRP53" s="609"/>
      <c r="JRQ53" s="609"/>
      <c r="JRR53" s="609"/>
      <c r="JRS53" s="609"/>
      <c r="JRT53" s="609"/>
      <c r="JRU53" s="609"/>
      <c r="JRV53" s="609"/>
      <c r="JRW53" s="609"/>
      <c r="JRX53" s="609"/>
      <c r="JRY53" s="609"/>
      <c r="JRZ53" s="609"/>
      <c r="JSA53" s="609"/>
      <c r="JSB53" s="609"/>
      <c r="JSC53" s="609"/>
      <c r="JSD53" s="609"/>
      <c r="JSE53" s="609"/>
      <c r="JSF53" s="609"/>
      <c r="JSG53" s="609"/>
      <c r="JSH53" s="609"/>
      <c r="JSI53" s="609"/>
      <c r="JSJ53" s="609"/>
      <c r="JSK53" s="609"/>
      <c r="JSL53" s="609"/>
      <c r="JSM53" s="609"/>
      <c r="JSN53" s="609"/>
      <c r="JSO53" s="609"/>
      <c r="JSP53" s="609"/>
      <c r="JSQ53" s="609"/>
      <c r="JSR53" s="609"/>
      <c r="JSS53" s="609"/>
      <c r="JST53" s="609"/>
      <c r="JSU53" s="609"/>
      <c r="JSV53" s="609"/>
      <c r="JSW53" s="609"/>
      <c r="JSX53" s="609"/>
      <c r="JSY53" s="609"/>
      <c r="JSZ53" s="609"/>
      <c r="JTA53" s="609"/>
      <c r="JTB53" s="609"/>
      <c r="JTC53" s="609"/>
      <c r="JTD53" s="609"/>
      <c r="JTE53" s="609"/>
      <c r="JTF53" s="609"/>
      <c r="JTG53" s="609"/>
      <c r="JTH53" s="609"/>
      <c r="JTI53" s="609"/>
      <c r="JTJ53" s="609"/>
      <c r="JTK53" s="609"/>
      <c r="JTL53" s="609"/>
      <c r="JTM53" s="609"/>
      <c r="JTN53" s="609"/>
      <c r="JTO53" s="609"/>
      <c r="JTP53" s="609"/>
      <c r="JTQ53" s="609"/>
      <c r="JTR53" s="609"/>
      <c r="JTS53" s="609"/>
      <c r="JTT53" s="609"/>
      <c r="JTU53" s="609"/>
      <c r="JTV53" s="609"/>
      <c r="JTW53" s="609"/>
      <c r="JTX53" s="609"/>
      <c r="JTY53" s="609"/>
      <c r="JTZ53" s="609"/>
      <c r="JUA53" s="609"/>
      <c r="JUB53" s="609"/>
      <c r="JUC53" s="609"/>
      <c r="JUD53" s="609"/>
      <c r="JUE53" s="609"/>
      <c r="JUF53" s="609"/>
      <c r="JUG53" s="609"/>
      <c r="JUH53" s="609"/>
      <c r="JUI53" s="609"/>
      <c r="JUJ53" s="609"/>
      <c r="JUK53" s="609"/>
      <c r="JUL53" s="609"/>
      <c r="JUM53" s="609"/>
      <c r="JUN53" s="609"/>
      <c r="JUO53" s="609"/>
      <c r="JUP53" s="609"/>
      <c r="JUQ53" s="609"/>
      <c r="JUR53" s="609"/>
      <c r="JUS53" s="609"/>
      <c r="JUT53" s="609"/>
      <c r="JUU53" s="609"/>
      <c r="JUV53" s="609"/>
      <c r="JUW53" s="609"/>
      <c r="JUX53" s="609"/>
      <c r="JUY53" s="609"/>
      <c r="JUZ53" s="609"/>
      <c r="JVA53" s="609"/>
      <c r="JVB53" s="609"/>
      <c r="JVC53" s="609"/>
      <c r="JVD53" s="609"/>
      <c r="JVE53" s="609"/>
      <c r="JVF53" s="609"/>
      <c r="JVG53" s="609"/>
      <c r="JVH53" s="609"/>
      <c r="JVI53" s="609"/>
      <c r="JVJ53" s="609"/>
      <c r="JVK53" s="609"/>
      <c r="JVL53" s="609"/>
      <c r="JVM53" s="609"/>
      <c r="JVN53" s="609"/>
      <c r="JVO53" s="609"/>
      <c r="JVP53" s="609"/>
      <c r="JVQ53" s="609"/>
      <c r="JVR53" s="609"/>
      <c r="JVS53" s="609"/>
      <c r="JVT53" s="609"/>
      <c r="JVU53" s="609"/>
      <c r="JVV53" s="609"/>
      <c r="JVW53" s="609"/>
      <c r="JVX53" s="609"/>
      <c r="JVY53" s="609"/>
      <c r="JVZ53" s="609"/>
      <c r="JWA53" s="609"/>
      <c r="JWB53" s="609"/>
      <c r="JWC53" s="609"/>
      <c r="JWD53" s="609"/>
      <c r="JWE53" s="609"/>
      <c r="JWF53" s="609"/>
      <c r="JWG53" s="609"/>
      <c r="JWH53" s="609"/>
      <c r="JWI53" s="609"/>
      <c r="JWJ53" s="609"/>
      <c r="JWK53" s="609"/>
      <c r="JWL53" s="609"/>
      <c r="JWM53" s="609"/>
      <c r="JWN53" s="609"/>
      <c r="JWO53" s="609"/>
      <c r="JWP53" s="609"/>
      <c r="JWQ53" s="609"/>
      <c r="JWR53" s="609"/>
      <c r="JWS53" s="609"/>
      <c r="JWT53" s="609"/>
      <c r="JWU53" s="609"/>
      <c r="JWV53" s="609"/>
      <c r="JWW53" s="609"/>
      <c r="JWX53" s="609"/>
      <c r="JWY53" s="609"/>
      <c r="JWZ53" s="609"/>
      <c r="JXA53" s="609"/>
      <c r="JXB53" s="609"/>
      <c r="JXC53" s="609"/>
      <c r="JXD53" s="609"/>
      <c r="JXE53" s="609"/>
      <c r="JXF53" s="609"/>
      <c r="JXG53" s="609"/>
      <c r="JXH53" s="609"/>
      <c r="JXI53" s="609"/>
      <c r="JXJ53" s="609"/>
      <c r="JXK53" s="609"/>
      <c r="JXL53" s="609"/>
      <c r="JXM53" s="609"/>
      <c r="JXN53" s="609"/>
      <c r="JXO53" s="609"/>
      <c r="JXP53" s="609"/>
      <c r="JXQ53" s="609"/>
      <c r="JXR53" s="609"/>
      <c r="JXS53" s="609"/>
      <c r="JXT53" s="609"/>
      <c r="JXU53" s="609"/>
      <c r="JXV53" s="609"/>
      <c r="JXW53" s="609"/>
      <c r="JXX53" s="609"/>
      <c r="JXY53" s="609"/>
      <c r="JXZ53" s="609"/>
      <c r="JYA53" s="609"/>
      <c r="JYB53" s="609"/>
      <c r="JYC53" s="609"/>
      <c r="JYD53" s="609"/>
      <c r="JYE53" s="609"/>
      <c r="JYF53" s="609"/>
      <c r="JYG53" s="609"/>
      <c r="JYH53" s="609"/>
      <c r="JYI53" s="609"/>
      <c r="JYJ53" s="609"/>
      <c r="JYK53" s="609"/>
      <c r="JYL53" s="609"/>
      <c r="JYM53" s="609"/>
      <c r="JYN53" s="609"/>
      <c r="JYO53" s="609"/>
      <c r="JYP53" s="609"/>
      <c r="JYQ53" s="609"/>
      <c r="JYR53" s="609"/>
      <c r="JYS53" s="609"/>
      <c r="JYT53" s="609"/>
      <c r="JYU53" s="609"/>
      <c r="JYV53" s="609"/>
      <c r="JYW53" s="609"/>
      <c r="JYX53" s="609"/>
      <c r="JYY53" s="609"/>
      <c r="JYZ53" s="609"/>
      <c r="JZA53" s="609"/>
      <c r="JZB53" s="609"/>
      <c r="JZC53" s="609"/>
      <c r="JZD53" s="609"/>
      <c r="JZE53" s="609"/>
      <c r="JZF53" s="609"/>
      <c r="JZG53" s="609"/>
      <c r="JZH53" s="609"/>
      <c r="JZI53" s="609"/>
      <c r="JZJ53" s="609"/>
      <c r="JZK53" s="609"/>
      <c r="JZL53" s="609"/>
      <c r="JZM53" s="609"/>
      <c r="JZN53" s="609"/>
      <c r="JZO53" s="609"/>
      <c r="JZP53" s="609"/>
      <c r="JZQ53" s="609"/>
      <c r="JZR53" s="609"/>
      <c r="JZS53" s="609"/>
      <c r="JZT53" s="609"/>
      <c r="JZU53" s="609"/>
      <c r="JZV53" s="609"/>
      <c r="JZW53" s="609"/>
      <c r="JZX53" s="609"/>
      <c r="JZY53" s="609"/>
      <c r="JZZ53" s="609"/>
      <c r="KAA53" s="609"/>
      <c r="KAB53" s="609"/>
      <c r="KAC53" s="609"/>
      <c r="KAD53" s="609"/>
      <c r="KAE53" s="609"/>
      <c r="KAF53" s="609"/>
      <c r="KAG53" s="609"/>
      <c r="KAH53" s="609"/>
      <c r="KAI53" s="609"/>
      <c r="KAJ53" s="609"/>
      <c r="KAK53" s="609"/>
      <c r="KAL53" s="609"/>
      <c r="KAM53" s="609"/>
      <c r="KAN53" s="609"/>
      <c r="KAO53" s="609"/>
      <c r="KAP53" s="609"/>
      <c r="KAQ53" s="609"/>
      <c r="KAR53" s="609"/>
      <c r="KAS53" s="609"/>
      <c r="KAT53" s="609"/>
      <c r="KAU53" s="609"/>
      <c r="KAV53" s="609"/>
      <c r="KAW53" s="609"/>
      <c r="KAX53" s="609"/>
      <c r="KAY53" s="609"/>
      <c r="KAZ53" s="609"/>
      <c r="KBA53" s="609"/>
      <c r="KBB53" s="609"/>
      <c r="KBC53" s="609"/>
      <c r="KBD53" s="609"/>
      <c r="KBE53" s="609"/>
      <c r="KBF53" s="609"/>
      <c r="KBG53" s="609"/>
      <c r="KBH53" s="609"/>
      <c r="KBI53" s="609"/>
      <c r="KBJ53" s="609"/>
      <c r="KBK53" s="609"/>
      <c r="KBL53" s="609"/>
      <c r="KBM53" s="609"/>
      <c r="KBN53" s="609"/>
      <c r="KBO53" s="609"/>
      <c r="KBP53" s="609"/>
      <c r="KBQ53" s="609"/>
      <c r="KBR53" s="609"/>
      <c r="KBS53" s="609"/>
      <c r="KBT53" s="609"/>
      <c r="KBU53" s="609"/>
      <c r="KBV53" s="609"/>
      <c r="KBW53" s="609"/>
      <c r="KBX53" s="609"/>
      <c r="KBY53" s="609"/>
      <c r="KBZ53" s="609"/>
      <c r="KCA53" s="609"/>
      <c r="KCB53" s="609"/>
      <c r="KCC53" s="609"/>
      <c r="KCD53" s="609"/>
      <c r="KCE53" s="609"/>
      <c r="KCF53" s="609"/>
      <c r="KCG53" s="609"/>
      <c r="KCH53" s="609"/>
      <c r="KCI53" s="609"/>
      <c r="KCJ53" s="609"/>
      <c r="KCK53" s="609"/>
      <c r="KCL53" s="609"/>
      <c r="KCM53" s="609"/>
      <c r="KCN53" s="609"/>
      <c r="KCO53" s="609"/>
      <c r="KCP53" s="609"/>
      <c r="KCQ53" s="609"/>
      <c r="KCR53" s="609"/>
      <c r="KCS53" s="609"/>
      <c r="KCT53" s="609"/>
      <c r="KCU53" s="609"/>
      <c r="KCV53" s="609"/>
      <c r="KCW53" s="609"/>
      <c r="KCX53" s="609"/>
      <c r="KCY53" s="609"/>
      <c r="KCZ53" s="609"/>
      <c r="KDA53" s="609"/>
      <c r="KDB53" s="609"/>
      <c r="KDC53" s="609"/>
      <c r="KDD53" s="609"/>
      <c r="KDE53" s="609"/>
      <c r="KDF53" s="609"/>
      <c r="KDG53" s="609"/>
      <c r="KDH53" s="609"/>
      <c r="KDI53" s="609"/>
      <c r="KDJ53" s="609"/>
      <c r="KDK53" s="609"/>
      <c r="KDL53" s="609"/>
      <c r="KDM53" s="609"/>
      <c r="KDN53" s="609"/>
      <c r="KDO53" s="609"/>
      <c r="KDP53" s="609"/>
      <c r="KDQ53" s="609"/>
      <c r="KDR53" s="609"/>
      <c r="KDS53" s="609"/>
      <c r="KDT53" s="609"/>
      <c r="KDU53" s="609"/>
      <c r="KDV53" s="609"/>
      <c r="KDW53" s="609"/>
      <c r="KDX53" s="609"/>
      <c r="KDY53" s="609"/>
      <c r="KDZ53" s="609"/>
      <c r="KEA53" s="609"/>
      <c r="KEB53" s="609"/>
      <c r="KEC53" s="609"/>
      <c r="KED53" s="609"/>
      <c r="KEE53" s="609"/>
      <c r="KEF53" s="609"/>
      <c r="KEG53" s="609"/>
      <c r="KEH53" s="609"/>
      <c r="KEI53" s="609"/>
      <c r="KEJ53" s="609"/>
      <c r="KEK53" s="609"/>
      <c r="KEL53" s="609"/>
      <c r="KEM53" s="609"/>
      <c r="KEN53" s="609"/>
      <c r="KEO53" s="609"/>
      <c r="KEP53" s="609"/>
      <c r="KEQ53" s="609"/>
      <c r="KER53" s="609"/>
      <c r="KES53" s="609"/>
      <c r="KET53" s="609"/>
      <c r="KEU53" s="609"/>
      <c r="KEV53" s="609"/>
      <c r="KEW53" s="609"/>
      <c r="KEX53" s="609"/>
      <c r="KEY53" s="609"/>
      <c r="KEZ53" s="609"/>
      <c r="KFA53" s="609"/>
      <c r="KFB53" s="609"/>
      <c r="KFC53" s="609"/>
      <c r="KFD53" s="609"/>
      <c r="KFE53" s="609"/>
      <c r="KFF53" s="609"/>
      <c r="KFG53" s="609"/>
      <c r="KFH53" s="609"/>
      <c r="KFI53" s="609"/>
      <c r="KFJ53" s="609"/>
      <c r="KFK53" s="609"/>
      <c r="KFL53" s="609"/>
      <c r="KFM53" s="609"/>
      <c r="KFN53" s="609"/>
      <c r="KFO53" s="609"/>
      <c r="KFP53" s="609"/>
      <c r="KFQ53" s="609"/>
      <c r="KFR53" s="609"/>
      <c r="KFS53" s="609"/>
      <c r="KFT53" s="609"/>
      <c r="KFU53" s="609"/>
      <c r="KFV53" s="609"/>
      <c r="KFW53" s="609"/>
      <c r="KFX53" s="609"/>
      <c r="KFY53" s="609"/>
      <c r="KFZ53" s="609"/>
      <c r="KGA53" s="609"/>
      <c r="KGB53" s="609"/>
      <c r="KGC53" s="609"/>
      <c r="KGD53" s="609"/>
      <c r="KGE53" s="609"/>
      <c r="KGF53" s="609"/>
      <c r="KGG53" s="609"/>
      <c r="KGH53" s="609"/>
      <c r="KGI53" s="609"/>
      <c r="KGJ53" s="609"/>
      <c r="KGK53" s="609"/>
      <c r="KGL53" s="609"/>
      <c r="KGM53" s="609"/>
      <c r="KGN53" s="609"/>
      <c r="KGO53" s="609"/>
      <c r="KGP53" s="609"/>
      <c r="KGQ53" s="609"/>
      <c r="KGR53" s="609"/>
      <c r="KGS53" s="609"/>
      <c r="KGT53" s="609"/>
      <c r="KGU53" s="609"/>
      <c r="KGV53" s="609"/>
      <c r="KGW53" s="609"/>
      <c r="KGX53" s="609"/>
      <c r="KGY53" s="609"/>
      <c r="KGZ53" s="609"/>
      <c r="KHA53" s="609"/>
      <c r="KHB53" s="609"/>
      <c r="KHC53" s="609"/>
      <c r="KHD53" s="609"/>
      <c r="KHE53" s="609"/>
      <c r="KHF53" s="609"/>
      <c r="KHG53" s="609"/>
      <c r="KHH53" s="609"/>
      <c r="KHI53" s="609"/>
      <c r="KHJ53" s="609"/>
      <c r="KHK53" s="609"/>
      <c r="KHL53" s="609"/>
      <c r="KHM53" s="609"/>
      <c r="KHN53" s="609"/>
      <c r="KHO53" s="609"/>
      <c r="KHP53" s="609"/>
      <c r="KHQ53" s="609"/>
      <c r="KHR53" s="609"/>
      <c r="KHS53" s="609"/>
      <c r="KHT53" s="609"/>
      <c r="KHU53" s="609"/>
      <c r="KHV53" s="609"/>
      <c r="KHW53" s="609"/>
      <c r="KHX53" s="609"/>
      <c r="KHY53" s="609"/>
      <c r="KHZ53" s="609"/>
      <c r="KIA53" s="609"/>
      <c r="KIB53" s="609"/>
      <c r="KIC53" s="609"/>
      <c r="KID53" s="609"/>
      <c r="KIE53" s="609"/>
      <c r="KIF53" s="609"/>
      <c r="KIG53" s="609"/>
      <c r="KIH53" s="609"/>
      <c r="KII53" s="609"/>
      <c r="KIJ53" s="609"/>
      <c r="KIK53" s="609"/>
      <c r="KIL53" s="609"/>
      <c r="KIM53" s="609"/>
      <c r="KIN53" s="609"/>
      <c r="KIO53" s="609"/>
      <c r="KIP53" s="609"/>
      <c r="KIQ53" s="609"/>
      <c r="KIR53" s="609"/>
      <c r="KIS53" s="609"/>
      <c r="KIT53" s="609"/>
      <c r="KIU53" s="609"/>
      <c r="KIV53" s="609"/>
      <c r="KIW53" s="609"/>
      <c r="KIX53" s="609"/>
      <c r="KIY53" s="609"/>
      <c r="KIZ53" s="609"/>
      <c r="KJA53" s="609"/>
      <c r="KJB53" s="609"/>
      <c r="KJC53" s="609"/>
      <c r="KJD53" s="609"/>
      <c r="KJE53" s="609"/>
      <c r="KJF53" s="609"/>
      <c r="KJG53" s="609"/>
      <c r="KJH53" s="609"/>
      <c r="KJI53" s="609"/>
      <c r="KJJ53" s="609"/>
      <c r="KJK53" s="609"/>
      <c r="KJL53" s="609"/>
      <c r="KJM53" s="609"/>
      <c r="KJN53" s="609"/>
      <c r="KJO53" s="609"/>
      <c r="KJP53" s="609"/>
      <c r="KJQ53" s="609"/>
      <c r="KJR53" s="609"/>
      <c r="KJS53" s="609"/>
      <c r="KJT53" s="609"/>
      <c r="KJU53" s="609"/>
      <c r="KJV53" s="609"/>
      <c r="KJW53" s="609"/>
      <c r="KJX53" s="609"/>
      <c r="KJY53" s="609"/>
      <c r="KJZ53" s="609"/>
      <c r="KKA53" s="609"/>
      <c r="KKB53" s="609"/>
      <c r="KKC53" s="609"/>
      <c r="KKD53" s="609"/>
      <c r="KKE53" s="609"/>
      <c r="KKF53" s="609"/>
      <c r="KKG53" s="609"/>
      <c r="KKH53" s="609"/>
      <c r="KKI53" s="609"/>
      <c r="KKJ53" s="609"/>
      <c r="KKK53" s="609"/>
      <c r="KKL53" s="609"/>
      <c r="KKM53" s="609"/>
      <c r="KKN53" s="609"/>
      <c r="KKO53" s="609"/>
      <c r="KKP53" s="609"/>
      <c r="KKQ53" s="609"/>
      <c r="KKR53" s="609"/>
      <c r="KKS53" s="609"/>
      <c r="KKT53" s="609"/>
      <c r="KKU53" s="609"/>
      <c r="KKV53" s="609"/>
      <c r="KKW53" s="609"/>
      <c r="KKX53" s="609"/>
      <c r="KKY53" s="609"/>
      <c r="KKZ53" s="609"/>
      <c r="KLA53" s="609"/>
      <c r="KLB53" s="609"/>
      <c r="KLC53" s="609"/>
      <c r="KLD53" s="609"/>
      <c r="KLE53" s="609"/>
      <c r="KLF53" s="609"/>
      <c r="KLG53" s="609"/>
      <c r="KLH53" s="609"/>
      <c r="KLI53" s="609"/>
      <c r="KLJ53" s="609"/>
      <c r="KLK53" s="609"/>
      <c r="KLL53" s="609"/>
      <c r="KLM53" s="609"/>
      <c r="KLN53" s="609"/>
      <c r="KLO53" s="609"/>
      <c r="KLP53" s="609"/>
      <c r="KLQ53" s="609"/>
      <c r="KLR53" s="609"/>
      <c r="KLS53" s="609"/>
      <c r="KLT53" s="609"/>
      <c r="KLU53" s="609"/>
      <c r="KLV53" s="609"/>
      <c r="KLW53" s="609"/>
      <c r="KLX53" s="609"/>
      <c r="KLY53" s="609"/>
      <c r="KLZ53" s="609"/>
      <c r="KMA53" s="609"/>
      <c r="KMB53" s="609"/>
      <c r="KMC53" s="609"/>
      <c r="KMD53" s="609"/>
      <c r="KME53" s="609"/>
      <c r="KMF53" s="609"/>
      <c r="KMG53" s="609"/>
      <c r="KMH53" s="609"/>
      <c r="KMI53" s="609"/>
      <c r="KMJ53" s="609"/>
      <c r="KMK53" s="609"/>
      <c r="KML53" s="609"/>
      <c r="KMM53" s="609"/>
      <c r="KMN53" s="609"/>
      <c r="KMO53" s="609"/>
      <c r="KMP53" s="609"/>
      <c r="KMQ53" s="609"/>
      <c r="KMR53" s="609"/>
      <c r="KMS53" s="609"/>
      <c r="KMT53" s="609"/>
      <c r="KMU53" s="609"/>
      <c r="KMV53" s="609"/>
      <c r="KMW53" s="609"/>
      <c r="KMX53" s="609"/>
      <c r="KMY53" s="609"/>
      <c r="KMZ53" s="609"/>
      <c r="KNA53" s="609"/>
      <c r="KNB53" s="609"/>
      <c r="KNC53" s="609"/>
      <c r="KND53" s="609"/>
      <c r="KNE53" s="609"/>
      <c r="KNF53" s="609"/>
      <c r="KNG53" s="609"/>
      <c r="KNH53" s="609"/>
      <c r="KNI53" s="609"/>
      <c r="KNJ53" s="609"/>
      <c r="KNK53" s="609"/>
      <c r="KNL53" s="609"/>
      <c r="KNM53" s="609"/>
      <c r="KNN53" s="609"/>
      <c r="KNO53" s="609"/>
      <c r="KNP53" s="609"/>
      <c r="KNQ53" s="609"/>
      <c r="KNR53" s="609"/>
      <c r="KNS53" s="609"/>
      <c r="KNT53" s="609"/>
      <c r="KNU53" s="609"/>
      <c r="KNV53" s="609"/>
      <c r="KNW53" s="609"/>
      <c r="KNX53" s="609"/>
      <c r="KNY53" s="609"/>
      <c r="KNZ53" s="609"/>
      <c r="KOA53" s="609"/>
      <c r="KOB53" s="609"/>
      <c r="KOC53" s="609"/>
      <c r="KOD53" s="609"/>
      <c r="KOE53" s="609"/>
      <c r="KOF53" s="609"/>
      <c r="KOG53" s="609"/>
      <c r="KOH53" s="609"/>
      <c r="KOI53" s="609"/>
      <c r="KOJ53" s="609"/>
      <c r="KOK53" s="609"/>
      <c r="KOL53" s="609"/>
      <c r="KOM53" s="609"/>
      <c r="KON53" s="609"/>
      <c r="KOO53" s="609"/>
      <c r="KOP53" s="609"/>
      <c r="KOQ53" s="609"/>
      <c r="KOR53" s="609"/>
      <c r="KOS53" s="609"/>
      <c r="KOT53" s="609"/>
      <c r="KOU53" s="609"/>
      <c r="KOV53" s="609"/>
      <c r="KOW53" s="609"/>
      <c r="KOX53" s="609"/>
      <c r="KOY53" s="609"/>
      <c r="KOZ53" s="609"/>
      <c r="KPA53" s="609"/>
      <c r="KPB53" s="609"/>
      <c r="KPC53" s="609"/>
      <c r="KPD53" s="609"/>
      <c r="KPE53" s="609"/>
      <c r="KPF53" s="609"/>
      <c r="KPG53" s="609"/>
      <c r="KPH53" s="609"/>
      <c r="KPI53" s="609"/>
      <c r="KPJ53" s="609"/>
      <c r="KPK53" s="609"/>
      <c r="KPL53" s="609"/>
      <c r="KPM53" s="609"/>
      <c r="KPN53" s="609"/>
      <c r="KPO53" s="609"/>
      <c r="KPP53" s="609"/>
      <c r="KPQ53" s="609"/>
      <c r="KPR53" s="609"/>
      <c r="KPS53" s="609"/>
      <c r="KPT53" s="609"/>
      <c r="KPU53" s="609"/>
      <c r="KPV53" s="609"/>
      <c r="KPW53" s="609"/>
      <c r="KPX53" s="609"/>
      <c r="KPY53" s="609"/>
      <c r="KPZ53" s="609"/>
      <c r="KQA53" s="609"/>
      <c r="KQB53" s="609"/>
      <c r="KQC53" s="609"/>
      <c r="KQD53" s="609"/>
      <c r="KQE53" s="609"/>
      <c r="KQF53" s="609"/>
      <c r="KQG53" s="609"/>
      <c r="KQH53" s="609"/>
      <c r="KQI53" s="609"/>
      <c r="KQJ53" s="609"/>
      <c r="KQK53" s="609"/>
      <c r="KQL53" s="609"/>
      <c r="KQM53" s="609"/>
      <c r="KQN53" s="609"/>
      <c r="KQO53" s="609"/>
      <c r="KQP53" s="609"/>
      <c r="KQQ53" s="609"/>
      <c r="KQR53" s="609"/>
      <c r="KQS53" s="609"/>
      <c r="KQT53" s="609"/>
      <c r="KQU53" s="609"/>
      <c r="KQV53" s="609"/>
      <c r="KQW53" s="609"/>
      <c r="KQX53" s="609"/>
      <c r="KQY53" s="609"/>
      <c r="KQZ53" s="609"/>
      <c r="KRA53" s="609"/>
      <c r="KRB53" s="609"/>
      <c r="KRC53" s="609"/>
      <c r="KRD53" s="609"/>
      <c r="KRE53" s="609"/>
      <c r="KRF53" s="609"/>
      <c r="KRG53" s="609"/>
      <c r="KRH53" s="609"/>
      <c r="KRI53" s="609"/>
      <c r="KRJ53" s="609"/>
      <c r="KRK53" s="609"/>
      <c r="KRL53" s="609"/>
      <c r="KRM53" s="609"/>
      <c r="KRN53" s="609"/>
      <c r="KRO53" s="609"/>
      <c r="KRP53" s="609"/>
      <c r="KRQ53" s="609"/>
      <c r="KRR53" s="609"/>
      <c r="KRS53" s="609"/>
      <c r="KRT53" s="609"/>
      <c r="KRU53" s="609"/>
      <c r="KRV53" s="609"/>
      <c r="KRW53" s="609"/>
      <c r="KRX53" s="609"/>
      <c r="KRY53" s="609"/>
      <c r="KRZ53" s="609"/>
      <c r="KSA53" s="609"/>
      <c r="KSB53" s="609"/>
      <c r="KSC53" s="609"/>
      <c r="KSD53" s="609"/>
      <c r="KSE53" s="609"/>
      <c r="KSF53" s="609"/>
      <c r="KSG53" s="609"/>
      <c r="KSH53" s="609"/>
      <c r="KSI53" s="609"/>
      <c r="KSJ53" s="609"/>
      <c r="KSK53" s="609"/>
      <c r="KSL53" s="609"/>
      <c r="KSM53" s="609"/>
      <c r="KSN53" s="609"/>
      <c r="KSO53" s="609"/>
      <c r="KSP53" s="609"/>
      <c r="KSQ53" s="609"/>
      <c r="KSR53" s="609"/>
      <c r="KSS53" s="609"/>
      <c r="KST53" s="609"/>
      <c r="KSU53" s="609"/>
      <c r="KSV53" s="609"/>
      <c r="KSW53" s="609"/>
      <c r="KSX53" s="609"/>
      <c r="KSY53" s="609"/>
      <c r="KSZ53" s="609"/>
      <c r="KTA53" s="609"/>
      <c r="KTB53" s="609"/>
      <c r="KTC53" s="609"/>
      <c r="KTD53" s="609"/>
      <c r="KTE53" s="609"/>
      <c r="KTF53" s="609"/>
      <c r="KTG53" s="609"/>
      <c r="KTH53" s="609"/>
      <c r="KTI53" s="609"/>
      <c r="KTJ53" s="609"/>
      <c r="KTK53" s="609"/>
      <c r="KTL53" s="609"/>
      <c r="KTM53" s="609"/>
      <c r="KTN53" s="609"/>
      <c r="KTO53" s="609"/>
      <c r="KTP53" s="609"/>
      <c r="KTQ53" s="609"/>
      <c r="KTR53" s="609"/>
      <c r="KTS53" s="609"/>
      <c r="KTT53" s="609"/>
      <c r="KTU53" s="609"/>
      <c r="KTV53" s="609"/>
      <c r="KTW53" s="609"/>
      <c r="KTX53" s="609"/>
      <c r="KTY53" s="609"/>
      <c r="KTZ53" s="609"/>
      <c r="KUA53" s="609"/>
      <c r="KUB53" s="609"/>
      <c r="KUC53" s="609"/>
      <c r="KUD53" s="609"/>
      <c r="KUE53" s="609"/>
      <c r="KUF53" s="609"/>
      <c r="KUG53" s="609"/>
      <c r="KUH53" s="609"/>
      <c r="KUI53" s="609"/>
      <c r="KUJ53" s="609"/>
      <c r="KUK53" s="609"/>
      <c r="KUL53" s="609"/>
      <c r="KUM53" s="609"/>
      <c r="KUN53" s="609"/>
      <c r="KUO53" s="609"/>
      <c r="KUP53" s="609"/>
      <c r="KUQ53" s="609"/>
      <c r="KUR53" s="609"/>
      <c r="KUS53" s="609"/>
      <c r="KUT53" s="609"/>
      <c r="KUU53" s="609"/>
      <c r="KUV53" s="609"/>
      <c r="KUW53" s="609"/>
      <c r="KUX53" s="609"/>
      <c r="KUY53" s="609"/>
      <c r="KUZ53" s="609"/>
      <c r="KVA53" s="609"/>
      <c r="KVB53" s="609"/>
      <c r="KVC53" s="609"/>
      <c r="KVD53" s="609"/>
      <c r="KVE53" s="609"/>
      <c r="KVF53" s="609"/>
      <c r="KVG53" s="609"/>
      <c r="KVH53" s="609"/>
      <c r="KVI53" s="609"/>
      <c r="KVJ53" s="609"/>
      <c r="KVK53" s="609"/>
      <c r="KVL53" s="609"/>
      <c r="KVM53" s="609"/>
      <c r="KVN53" s="609"/>
      <c r="KVO53" s="609"/>
      <c r="KVP53" s="609"/>
      <c r="KVQ53" s="609"/>
      <c r="KVR53" s="609"/>
      <c r="KVS53" s="609"/>
      <c r="KVT53" s="609"/>
      <c r="KVU53" s="609"/>
      <c r="KVV53" s="609"/>
      <c r="KVW53" s="609"/>
      <c r="KVX53" s="609"/>
      <c r="KVY53" s="609"/>
      <c r="KVZ53" s="609"/>
      <c r="KWA53" s="609"/>
      <c r="KWB53" s="609"/>
      <c r="KWC53" s="609"/>
      <c r="KWD53" s="609"/>
      <c r="KWE53" s="609"/>
      <c r="KWF53" s="609"/>
      <c r="KWG53" s="609"/>
      <c r="KWH53" s="609"/>
      <c r="KWI53" s="609"/>
      <c r="KWJ53" s="609"/>
      <c r="KWK53" s="609"/>
      <c r="KWL53" s="609"/>
      <c r="KWM53" s="609"/>
      <c r="KWN53" s="609"/>
      <c r="KWO53" s="609"/>
      <c r="KWP53" s="609"/>
      <c r="KWQ53" s="609"/>
      <c r="KWR53" s="609"/>
      <c r="KWS53" s="609"/>
      <c r="KWT53" s="609"/>
      <c r="KWU53" s="609"/>
      <c r="KWV53" s="609"/>
      <c r="KWW53" s="609"/>
      <c r="KWX53" s="609"/>
      <c r="KWY53" s="609"/>
      <c r="KWZ53" s="609"/>
      <c r="KXA53" s="609"/>
      <c r="KXB53" s="609"/>
      <c r="KXC53" s="609"/>
      <c r="KXD53" s="609"/>
      <c r="KXE53" s="609"/>
      <c r="KXF53" s="609"/>
      <c r="KXG53" s="609"/>
      <c r="KXH53" s="609"/>
      <c r="KXI53" s="609"/>
      <c r="KXJ53" s="609"/>
      <c r="KXK53" s="609"/>
      <c r="KXL53" s="609"/>
      <c r="KXM53" s="609"/>
      <c r="KXN53" s="609"/>
      <c r="KXO53" s="609"/>
      <c r="KXP53" s="609"/>
      <c r="KXQ53" s="609"/>
      <c r="KXR53" s="609"/>
      <c r="KXS53" s="609"/>
      <c r="KXT53" s="609"/>
      <c r="KXU53" s="609"/>
      <c r="KXV53" s="609"/>
      <c r="KXW53" s="609"/>
      <c r="KXX53" s="609"/>
      <c r="KXY53" s="609"/>
      <c r="KXZ53" s="609"/>
      <c r="KYA53" s="609"/>
      <c r="KYB53" s="609"/>
      <c r="KYC53" s="609"/>
      <c r="KYD53" s="609"/>
      <c r="KYE53" s="609"/>
      <c r="KYF53" s="609"/>
      <c r="KYG53" s="609"/>
      <c r="KYH53" s="609"/>
      <c r="KYI53" s="609"/>
      <c r="KYJ53" s="609"/>
      <c r="KYK53" s="609"/>
      <c r="KYL53" s="609"/>
      <c r="KYM53" s="609"/>
      <c r="KYN53" s="609"/>
      <c r="KYO53" s="609"/>
      <c r="KYP53" s="609"/>
      <c r="KYQ53" s="609"/>
      <c r="KYR53" s="609"/>
      <c r="KYS53" s="609"/>
      <c r="KYT53" s="609"/>
      <c r="KYU53" s="609"/>
      <c r="KYV53" s="609"/>
      <c r="KYW53" s="609"/>
      <c r="KYX53" s="609"/>
      <c r="KYY53" s="609"/>
      <c r="KYZ53" s="609"/>
      <c r="KZA53" s="609"/>
      <c r="KZB53" s="609"/>
      <c r="KZC53" s="609"/>
      <c r="KZD53" s="609"/>
      <c r="KZE53" s="609"/>
      <c r="KZF53" s="609"/>
      <c r="KZG53" s="609"/>
      <c r="KZH53" s="609"/>
      <c r="KZI53" s="609"/>
      <c r="KZJ53" s="609"/>
      <c r="KZK53" s="609"/>
      <c r="KZL53" s="609"/>
      <c r="KZM53" s="609"/>
      <c r="KZN53" s="609"/>
      <c r="KZO53" s="609"/>
      <c r="KZP53" s="609"/>
      <c r="KZQ53" s="609"/>
      <c r="KZR53" s="609"/>
      <c r="KZS53" s="609"/>
      <c r="KZT53" s="609"/>
      <c r="KZU53" s="609"/>
      <c r="KZV53" s="609"/>
      <c r="KZW53" s="609"/>
      <c r="KZX53" s="609"/>
      <c r="KZY53" s="609"/>
      <c r="KZZ53" s="609"/>
      <c r="LAA53" s="609"/>
      <c r="LAB53" s="609"/>
      <c r="LAC53" s="609"/>
      <c r="LAD53" s="609"/>
      <c r="LAE53" s="609"/>
      <c r="LAF53" s="609"/>
      <c r="LAG53" s="609"/>
      <c r="LAH53" s="609"/>
      <c r="LAI53" s="609"/>
      <c r="LAJ53" s="609"/>
      <c r="LAK53" s="609"/>
      <c r="LAL53" s="609"/>
      <c r="LAM53" s="609"/>
      <c r="LAN53" s="609"/>
      <c r="LAO53" s="609"/>
      <c r="LAP53" s="609"/>
      <c r="LAQ53" s="609"/>
      <c r="LAR53" s="609"/>
      <c r="LAS53" s="609"/>
      <c r="LAT53" s="609"/>
      <c r="LAU53" s="609"/>
      <c r="LAV53" s="609"/>
      <c r="LAW53" s="609"/>
      <c r="LAX53" s="609"/>
      <c r="LAY53" s="609"/>
      <c r="LAZ53" s="609"/>
      <c r="LBA53" s="609"/>
      <c r="LBB53" s="609"/>
      <c r="LBC53" s="609"/>
      <c r="LBD53" s="609"/>
      <c r="LBE53" s="609"/>
      <c r="LBF53" s="609"/>
      <c r="LBG53" s="609"/>
      <c r="LBH53" s="609"/>
      <c r="LBI53" s="609"/>
      <c r="LBJ53" s="609"/>
      <c r="LBK53" s="609"/>
      <c r="LBL53" s="609"/>
      <c r="LBM53" s="609"/>
      <c r="LBN53" s="609"/>
      <c r="LBO53" s="609"/>
      <c r="LBP53" s="609"/>
      <c r="LBQ53" s="609"/>
      <c r="LBR53" s="609"/>
      <c r="LBS53" s="609"/>
      <c r="LBT53" s="609"/>
      <c r="LBU53" s="609"/>
      <c r="LBV53" s="609"/>
      <c r="LBW53" s="609"/>
      <c r="LBX53" s="609"/>
      <c r="LBY53" s="609"/>
      <c r="LBZ53" s="609"/>
      <c r="LCA53" s="609"/>
      <c r="LCB53" s="609"/>
      <c r="LCC53" s="609"/>
      <c r="LCD53" s="609"/>
      <c r="LCE53" s="609"/>
      <c r="LCF53" s="609"/>
      <c r="LCG53" s="609"/>
      <c r="LCH53" s="609"/>
      <c r="LCI53" s="609"/>
      <c r="LCJ53" s="609"/>
      <c r="LCK53" s="609"/>
      <c r="LCL53" s="609"/>
      <c r="LCM53" s="609"/>
      <c r="LCN53" s="609"/>
      <c r="LCO53" s="609"/>
      <c r="LCP53" s="609"/>
      <c r="LCQ53" s="609"/>
      <c r="LCR53" s="609"/>
      <c r="LCS53" s="609"/>
      <c r="LCT53" s="609"/>
      <c r="LCU53" s="609"/>
      <c r="LCV53" s="609"/>
      <c r="LCW53" s="609"/>
      <c r="LCX53" s="609"/>
      <c r="LCY53" s="609"/>
      <c r="LCZ53" s="609"/>
      <c r="LDA53" s="609"/>
      <c r="LDB53" s="609"/>
      <c r="LDC53" s="609"/>
      <c r="LDD53" s="609"/>
      <c r="LDE53" s="609"/>
      <c r="LDF53" s="609"/>
      <c r="LDG53" s="609"/>
      <c r="LDH53" s="609"/>
      <c r="LDI53" s="609"/>
      <c r="LDJ53" s="609"/>
      <c r="LDK53" s="609"/>
      <c r="LDL53" s="609"/>
      <c r="LDM53" s="609"/>
      <c r="LDN53" s="609"/>
      <c r="LDO53" s="609"/>
      <c r="LDP53" s="609"/>
      <c r="LDQ53" s="609"/>
      <c r="LDR53" s="609"/>
      <c r="LDS53" s="609"/>
      <c r="LDT53" s="609"/>
      <c r="LDU53" s="609"/>
      <c r="LDV53" s="609"/>
      <c r="LDW53" s="609"/>
      <c r="LDX53" s="609"/>
      <c r="LDY53" s="609"/>
      <c r="LDZ53" s="609"/>
      <c r="LEA53" s="609"/>
      <c r="LEB53" s="609"/>
      <c r="LEC53" s="609"/>
      <c r="LED53" s="609"/>
      <c r="LEE53" s="609"/>
      <c r="LEF53" s="609"/>
      <c r="LEG53" s="609"/>
      <c r="LEH53" s="609"/>
      <c r="LEI53" s="609"/>
      <c r="LEJ53" s="609"/>
      <c r="LEK53" s="609"/>
      <c r="LEL53" s="609"/>
      <c r="LEM53" s="609"/>
      <c r="LEN53" s="609"/>
      <c r="LEO53" s="609"/>
      <c r="LEP53" s="609"/>
      <c r="LEQ53" s="609"/>
      <c r="LER53" s="609"/>
      <c r="LES53" s="609"/>
      <c r="LET53" s="609"/>
      <c r="LEU53" s="609"/>
      <c r="LEV53" s="609"/>
      <c r="LEW53" s="609"/>
      <c r="LEX53" s="609"/>
      <c r="LEY53" s="609"/>
      <c r="LEZ53" s="609"/>
      <c r="LFA53" s="609"/>
      <c r="LFB53" s="609"/>
      <c r="LFC53" s="609"/>
      <c r="LFD53" s="609"/>
      <c r="LFE53" s="609"/>
      <c r="LFF53" s="609"/>
      <c r="LFG53" s="609"/>
      <c r="LFH53" s="609"/>
      <c r="LFI53" s="609"/>
      <c r="LFJ53" s="609"/>
      <c r="LFK53" s="609"/>
      <c r="LFL53" s="609"/>
      <c r="LFM53" s="609"/>
      <c r="LFN53" s="609"/>
      <c r="LFO53" s="609"/>
      <c r="LFP53" s="609"/>
      <c r="LFQ53" s="609"/>
      <c r="LFR53" s="609"/>
      <c r="LFS53" s="609"/>
      <c r="LFT53" s="609"/>
      <c r="LFU53" s="609"/>
      <c r="LFV53" s="609"/>
      <c r="LFW53" s="609"/>
      <c r="LFX53" s="609"/>
      <c r="LFY53" s="609"/>
      <c r="LFZ53" s="609"/>
      <c r="LGA53" s="609"/>
      <c r="LGB53" s="609"/>
      <c r="LGC53" s="609"/>
      <c r="LGD53" s="609"/>
      <c r="LGE53" s="609"/>
      <c r="LGF53" s="609"/>
      <c r="LGG53" s="609"/>
      <c r="LGH53" s="609"/>
      <c r="LGI53" s="609"/>
      <c r="LGJ53" s="609"/>
      <c r="LGK53" s="609"/>
      <c r="LGL53" s="609"/>
      <c r="LGM53" s="609"/>
      <c r="LGN53" s="609"/>
      <c r="LGO53" s="609"/>
      <c r="LGP53" s="609"/>
      <c r="LGQ53" s="609"/>
      <c r="LGR53" s="609"/>
      <c r="LGS53" s="609"/>
      <c r="LGT53" s="609"/>
      <c r="LGU53" s="609"/>
      <c r="LGV53" s="609"/>
      <c r="LGW53" s="609"/>
      <c r="LGX53" s="609"/>
      <c r="LGY53" s="609"/>
      <c r="LGZ53" s="609"/>
      <c r="LHA53" s="609"/>
      <c r="LHB53" s="609"/>
      <c r="LHC53" s="609"/>
      <c r="LHD53" s="609"/>
      <c r="LHE53" s="609"/>
      <c r="LHF53" s="609"/>
      <c r="LHG53" s="609"/>
      <c r="LHH53" s="609"/>
      <c r="LHI53" s="609"/>
      <c r="LHJ53" s="609"/>
      <c r="LHK53" s="609"/>
      <c r="LHL53" s="609"/>
      <c r="LHM53" s="609"/>
      <c r="LHN53" s="609"/>
      <c r="LHO53" s="609"/>
      <c r="LHP53" s="609"/>
      <c r="LHQ53" s="609"/>
      <c r="LHR53" s="609"/>
      <c r="LHS53" s="609"/>
      <c r="LHT53" s="609"/>
      <c r="LHU53" s="609"/>
      <c r="LHV53" s="609"/>
      <c r="LHW53" s="609"/>
      <c r="LHX53" s="609"/>
      <c r="LHY53" s="609"/>
      <c r="LHZ53" s="609"/>
      <c r="LIA53" s="609"/>
      <c r="LIB53" s="609"/>
      <c r="LIC53" s="609"/>
      <c r="LID53" s="609"/>
      <c r="LIE53" s="609"/>
      <c r="LIF53" s="609"/>
      <c r="LIG53" s="609"/>
      <c r="LIH53" s="609"/>
      <c r="LII53" s="609"/>
      <c r="LIJ53" s="609"/>
      <c r="LIK53" s="609"/>
      <c r="LIL53" s="609"/>
      <c r="LIM53" s="609"/>
      <c r="LIN53" s="609"/>
      <c r="LIO53" s="609"/>
      <c r="LIP53" s="609"/>
      <c r="LIQ53" s="609"/>
      <c r="LIR53" s="609"/>
      <c r="LIS53" s="609"/>
      <c r="LIT53" s="609"/>
      <c r="LIU53" s="609"/>
      <c r="LIV53" s="609"/>
      <c r="LIW53" s="609"/>
      <c r="LIX53" s="609"/>
      <c r="LIY53" s="609"/>
      <c r="LIZ53" s="609"/>
      <c r="LJA53" s="609"/>
      <c r="LJB53" s="609"/>
      <c r="LJC53" s="609"/>
      <c r="LJD53" s="609"/>
      <c r="LJE53" s="609"/>
      <c r="LJF53" s="609"/>
      <c r="LJG53" s="609"/>
      <c r="LJH53" s="609"/>
      <c r="LJI53" s="609"/>
      <c r="LJJ53" s="609"/>
      <c r="LJK53" s="609"/>
      <c r="LJL53" s="609"/>
      <c r="LJM53" s="609"/>
      <c r="LJN53" s="609"/>
      <c r="LJO53" s="609"/>
      <c r="LJP53" s="609"/>
      <c r="LJQ53" s="609"/>
      <c r="LJR53" s="609"/>
      <c r="LJS53" s="609"/>
      <c r="LJT53" s="609"/>
      <c r="LJU53" s="609"/>
      <c r="LJV53" s="609"/>
      <c r="LJW53" s="609"/>
      <c r="LJX53" s="609"/>
      <c r="LJY53" s="609"/>
      <c r="LJZ53" s="609"/>
      <c r="LKA53" s="609"/>
      <c r="LKB53" s="609"/>
      <c r="LKC53" s="609"/>
      <c r="LKD53" s="609"/>
      <c r="LKE53" s="609"/>
      <c r="LKF53" s="609"/>
      <c r="LKG53" s="609"/>
      <c r="LKH53" s="609"/>
      <c r="LKI53" s="609"/>
      <c r="LKJ53" s="609"/>
      <c r="LKK53" s="609"/>
      <c r="LKL53" s="609"/>
      <c r="LKM53" s="609"/>
      <c r="LKN53" s="609"/>
      <c r="LKO53" s="609"/>
      <c r="LKP53" s="609"/>
      <c r="LKQ53" s="609"/>
      <c r="LKR53" s="609"/>
      <c r="LKS53" s="609"/>
      <c r="LKT53" s="609"/>
      <c r="LKU53" s="609"/>
      <c r="LKV53" s="609"/>
      <c r="LKW53" s="609"/>
      <c r="LKX53" s="609"/>
      <c r="LKY53" s="609"/>
      <c r="LKZ53" s="609"/>
      <c r="LLA53" s="609"/>
      <c r="LLB53" s="609"/>
      <c r="LLC53" s="609"/>
      <c r="LLD53" s="609"/>
      <c r="LLE53" s="609"/>
      <c r="LLF53" s="609"/>
      <c r="LLG53" s="609"/>
      <c r="LLH53" s="609"/>
      <c r="LLI53" s="609"/>
      <c r="LLJ53" s="609"/>
      <c r="LLK53" s="609"/>
      <c r="LLL53" s="609"/>
      <c r="LLM53" s="609"/>
      <c r="LLN53" s="609"/>
      <c r="LLO53" s="609"/>
      <c r="LLP53" s="609"/>
      <c r="LLQ53" s="609"/>
      <c r="LLR53" s="609"/>
      <c r="LLS53" s="609"/>
      <c r="LLT53" s="609"/>
      <c r="LLU53" s="609"/>
      <c r="LLV53" s="609"/>
      <c r="LLW53" s="609"/>
      <c r="LLX53" s="609"/>
      <c r="LLY53" s="609"/>
      <c r="LLZ53" s="609"/>
      <c r="LMA53" s="609"/>
      <c r="LMB53" s="609"/>
      <c r="LMC53" s="609"/>
      <c r="LMD53" s="609"/>
      <c r="LME53" s="609"/>
      <c r="LMF53" s="609"/>
      <c r="LMG53" s="609"/>
      <c r="LMH53" s="609"/>
      <c r="LMI53" s="609"/>
      <c r="LMJ53" s="609"/>
      <c r="LMK53" s="609"/>
      <c r="LML53" s="609"/>
      <c r="LMM53" s="609"/>
      <c r="LMN53" s="609"/>
      <c r="LMO53" s="609"/>
      <c r="LMP53" s="609"/>
      <c r="LMQ53" s="609"/>
      <c r="LMR53" s="609"/>
      <c r="LMS53" s="609"/>
      <c r="LMT53" s="609"/>
      <c r="LMU53" s="609"/>
      <c r="LMV53" s="609"/>
      <c r="LMW53" s="609"/>
      <c r="LMX53" s="609"/>
      <c r="LMY53" s="609"/>
      <c r="LMZ53" s="609"/>
      <c r="LNA53" s="609"/>
      <c r="LNB53" s="609"/>
      <c r="LNC53" s="609"/>
      <c r="LND53" s="609"/>
      <c r="LNE53" s="609"/>
      <c r="LNF53" s="609"/>
      <c r="LNG53" s="609"/>
      <c r="LNH53" s="609"/>
      <c r="LNI53" s="609"/>
      <c r="LNJ53" s="609"/>
      <c r="LNK53" s="609"/>
      <c r="LNL53" s="609"/>
      <c r="LNM53" s="609"/>
      <c r="LNN53" s="609"/>
      <c r="LNO53" s="609"/>
      <c r="LNP53" s="609"/>
      <c r="LNQ53" s="609"/>
      <c r="LNR53" s="609"/>
      <c r="LNS53" s="609"/>
      <c r="LNT53" s="609"/>
      <c r="LNU53" s="609"/>
      <c r="LNV53" s="609"/>
      <c r="LNW53" s="609"/>
      <c r="LNX53" s="609"/>
      <c r="LNY53" s="609"/>
      <c r="LNZ53" s="609"/>
      <c r="LOA53" s="609"/>
      <c r="LOB53" s="609"/>
      <c r="LOC53" s="609"/>
      <c r="LOD53" s="609"/>
      <c r="LOE53" s="609"/>
      <c r="LOF53" s="609"/>
      <c r="LOG53" s="609"/>
      <c r="LOH53" s="609"/>
      <c r="LOI53" s="609"/>
      <c r="LOJ53" s="609"/>
      <c r="LOK53" s="609"/>
      <c r="LOL53" s="609"/>
      <c r="LOM53" s="609"/>
      <c r="LON53" s="609"/>
      <c r="LOO53" s="609"/>
      <c r="LOP53" s="609"/>
      <c r="LOQ53" s="609"/>
      <c r="LOR53" s="609"/>
      <c r="LOS53" s="609"/>
      <c r="LOT53" s="609"/>
      <c r="LOU53" s="609"/>
      <c r="LOV53" s="609"/>
      <c r="LOW53" s="609"/>
      <c r="LOX53" s="609"/>
      <c r="LOY53" s="609"/>
      <c r="LOZ53" s="609"/>
      <c r="LPA53" s="609"/>
      <c r="LPB53" s="609"/>
      <c r="LPC53" s="609"/>
      <c r="LPD53" s="609"/>
      <c r="LPE53" s="609"/>
      <c r="LPF53" s="609"/>
      <c r="LPG53" s="609"/>
      <c r="LPH53" s="609"/>
      <c r="LPI53" s="609"/>
      <c r="LPJ53" s="609"/>
      <c r="LPK53" s="609"/>
      <c r="LPL53" s="609"/>
      <c r="LPM53" s="609"/>
      <c r="LPN53" s="609"/>
      <c r="LPO53" s="609"/>
      <c r="LPP53" s="609"/>
      <c r="LPQ53" s="609"/>
      <c r="LPR53" s="609"/>
      <c r="LPS53" s="609"/>
      <c r="LPT53" s="609"/>
      <c r="LPU53" s="609"/>
      <c r="LPV53" s="609"/>
      <c r="LPW53" s="609"/>
      <c r="LPX53" s="609"/>
      <c r="LPY53" s="609"/>
      <c r="LPZ53" s="609"/>
      <c r="LQA53" s="609"/>
      <c r="LQB53" s="609"/>
      <c r="LQC53" s="609"/>
      <c r="LQD53" s="609"/>
      <c r="LQE53" s="609"/>
      <c r="LQF53" s="609"/>
      <c r="LQG53" s="609"/>
      <c r="LQH53" s="609"/>
      <c r="LQI53" s="609"/>
      <c r="LQJ53" s="609"/>
      <c r="LQK53" s="609"/>
      <c r="LQL53" s="609"/>
      <c r="LQM53" s="609"/>
      <c r="LQN53" s="609"/>
      <c r="LQO53" s="609"/>
      <c r="LQP53" s="609"/>
      <c r="LQQ53" s="609"/>
      <c r="LQR53" s="609"/>
      <c r="LQS53" s="609"/>
      <c r="LQT53" s="609"/>
      <c r="LQU53" s="609"/>
      <c r="LQV53" s="609"/>
      <c r="LQW53" s="609"/>
      <c r="LQX53" s="609"/>
      <c r="LQY53" s="609"/>
      <c r="LQZ53" s="609"/>
      <c r="LRA53" s="609"/>
      <c r="LRB53" s="609"/>
      <c r="LRC53" s="609"/>
      <c r="LRD53" s="609"/>
      <c r="LRE53" s="609"/>
      <c r="LRF53" s="609"/>
      <c r="LRG53" s="609"/>
      <c r="LRH53" s="609"/>
      <c r="LRI53" s="609"/>
      <c r="LRJ53" s="609"/>
      <c r="LRK53" s="609"/>
      <c r="LRL53" s="609"/>
      <c r="LRM53" s="609"/>
      <c r="LRN53" s="609"/>
      <c r="LRO53" s="609"/>
      <c r="LRP53" s="609"/>
      <c r="LRQ53" s="609"/>
      <c r="LRR53" s="609"/>
      <c r="LRS53" s="609"/>
      <c r="LRT53" s="609"/>
      <c r="LRU53" s="609"/>
      <c r="LRV53" s="609"/>
      <c r="LRW53" s="609"/>
      <c r="LRX53" s="609"/>
      <c r="LRY53" s="609"/>
      <c r="LRZ53" s="609"/>
      <c r="LSA53" s="609"/>
      <c r="LSB53" s="609"/>
      <c r="LSC53" s="609"/>
      <c r="LSD53" s="609"/>
      <c r="LSE53" s="609"/>
      <c r="LSF53" s="609"/>
      <c r="LSG53" s="609"/>
      <c r="LSH53" s="609"/>
      <c r="LSI53" s="609"/>
      <c r="LSJ53" s="609"/>
      <c r="LSK53" s="609"/>
      <c r="LSL53" s="609"/>
      <c r="LSM53" s="609"/>
      <c r="LSN53" s="609"/>
      <c r="LSO53" s="609"/>
      <c r="LSP53" s="609"/>
      <c r="LSQ53" s="609"/>
      <c r="LSR53" s="609"/>
      <c r="LSS53" s="609"/>
      <c r="LST53" s="609"/>
      <c r="LSU53" s="609"/>
      <c r="LSV53" s="609"/>
      <c r="LSW53" s="609"/>
      <c r="LSX53" s="609"/>
      <c r="LSY53" s="609"/>
      <c r="LSZ53" s="609"/>
      <c r="LTA53" s="609"/>
      <c r="LTB53" s="609"/>
      <c r="LTC53" s="609"/>
      <c r="LTD53" s="609"/>
      <c r="LTE53" s="609"/>
      <c r="LTF53" s="609"/>
      <c r="LTG53" s="609"/>
      <c r="LTH53" s="609"/>
      <c r="LTI53" s="609"/>
      <c r="LTJ53" s="609"/>
      <c r="LTK53" s="609"/>
      <c r="LTL53" s="609"/>
      <c r="LTM53" s="609"/>
      <c r="LTN53" s="609"/>
      <c r="LTO53" s="609"/>
      <c r="LTP53" s="609"/>
      <c r="LTQ53" s="609"/>
      <c r="LTR53" s="609"/>
      <c r="LTS53" s="609"/>
      <c r="LTT53" s="609"/>
      <c r="LTU53" s="609"/>
      <c r="LTV53" s="609"/>
      <c r="LTW53" s="609"/>
      <c r="LTX53" s="609"/>
      <c r="LTY53" s="609"/>
      <c r="LTZ53" s="609"/>
      <c r="LUA53" s="609"/>
      <c r="LUB53" s="609"/>
      <c r="LUC53" s="609"/>
      <c r="LUD53" s="609"/>
      <c r="LUE53" s="609"/>
      <c r="LUF53" s="609"/>
      <c r="LUG53" s="609"/>
      <c r="LUH53" s="609"/>
      <c r="LUI53" s="609"/>
      <c r="LUJ53" s="609"/>
      <c r="LUK53" s="609"/>
      <c r="LUL53" s="609"/>
      <c r="LUM53" s="609"/>
      <c r="LUN53" s="609"/>
      <c r="LUO53" s="609"/>
      <c r="LUP53" s="609"/>
      <c r="LUQ53" s="609"/>
      <c r="LUR53" s="609"/>
      <c r="LUS53" s="609"/>
      <c r="LUT53" s="609"/>
      <c r="LUU53" s="609"/>
      <c r="LUV53" s="609"/>
      <c r="LUW53" s="609"/>
      <c r="LUX53" s="609"/>
      <c r="LUY53" s="609"/>
      <c r="LUZ53" s="609"/>
      <c r="LVA53" s="609"/>
      <c r="LVB53" s="609"/>
      <c r="LVC53" s="609"/>
      <c r="LVD53" s="609"/>
      <c r="LVE53" s="609"/>
      <c r="LVF53" s="609"/>
      <c r="LVG53" s="609"/>
      <c r="LVH53" s="609"/>
      <c r="LVI53" s="609"/>
      <c r="LVJ53" s="609"/>
      <c r="LVK53" s="609"/>
      <c r="LVL53" s="609"/>
      <c r="LVM53" s="609"/>
      <c r="LVN53" s="609"/>
      <c r="LVO53" s="609"/>
      <c r="LVP53" s="609"/>
      <c r="LVQ53" s="609"/>
      <c r="LVR53" s="609"/>
      <c r="LVS53" s="609"/>
      <c r="LVT53" s="609"/>
      <c r="LVU53" s="609"/>
      <c r="LVV53" s="609"/>
      <c r="LVW53" s="609"/>
      <c r="LVX53" s="609"/>
      <c r="LVY53" s="609"/>
      <c r="LVZ53" s="609"/>
      <c r="LWA53" s="609"/>
      <c r="LWB53" s="609"/>
      <c r="LWC53" s="609"/>
      <c r="LWD53" s="609"/>
      <c r="LWE53" s="609"/>
      <c r="LWF53" s="609"/>
      <c r="LWG53" s="609"/>
      <c r="LWH53" s="609"/>
      <c r="LWI53" s="609"/>
      <c r="LWJ53" s="609"/>
      <c r="LWK53" s="609"/>
      <c r="LWL53" s="609"/>
      <c r="LWM53" s="609"/>
      <c r="LWN53" s="609"/>
      <c r="LWO53" s="609"/>
      <c r="LWP53" s="609"/>
      <c r="LWQ53" s="609"/>
      <c r="LWR53" s="609"/>
      <c r="LWS53" s="609"/>
      <c r="LWT53" s="609"/>
      <c r="LWU53" s="609"/>
      <c r="LWV53" s="609"/>
      <c r="LWW53" s="609"/>
      <c r="LWX53" s="609"/>
      <c r="LWY53" s="609"/>
      <c r="LWZ53" s="609"/>
      <c r="LXA53" s="609"/>
      <c r="LXB53" s="609"/>
      <c r="LXC53" s="609"/>
      <c r="LXD53" s="609"/>
      <c r="LXE53" s="609"/>
      <c r="LXF53" s="609"/>
      <c r="LXG53" s="609"/>
      <c r="LXH53" s="609"/>
      <c r="LXI53" s="609"/>
      <c r="LXJ53" s="609"/>
      <c r="LXK53" s="609"/>
      <c r="LXL53" s="609"/>
      <c r="LXM53" s="609"/>
      <c r="LXN53" s="609"/>
      <c r="LXO53" s="609"/>
      <c r="LXP53" s="609"/>
      <c r="LXQ53" s="609"/>
      <c r="LXR53" s="609"/>
      <c r="LXS53" s="609"/>
      <c r="LXT53" s="609"/>
      <c r="LXU53" s="609"/>
      <c r="LXV53" s="609"/>
      <c r="LXW53" s="609"/>
      <c r="LXX53" s="609"/>
      <c r="LXY53" s="609"/>
      <c r="LXZ53" s="609"/>
      <c r="LYA53" s="609"/>
      <c r="LYB53" s="609"/>
      <c r="LYC53" s="609"/>
      <c r="LYD53" s="609"/>
      <c r="LYE53" s="609"/>
      <c r="LYF53" s="609"/>
      <c r="LYG53" s="609"/>
      <c r="LYH53" s="609"/>
      <c r="LYI53" s="609"/>
      <c r="LYJ53" s="609"/>
      <c r="LYK53" s="609"/>
      <c r="LYL53" s="609"/>
      <c r="LYM53" s="609"/>
      <c r="LYN53" s="609"/>
      <c r="LYO53" s="609"/>
      <c r="LYP53" s="609"/>
      <c r="LYQ53" s="609"/>
      <c r="LYR53" s="609"/>
      <c r="LYS53" s="609"/>
      <c r="LYT53" s="609"/>
      <c r="LYU53" s="609"/>
      <c r="LYV53" s="609"/>
      <c r="LYW53" s="609"/>
      <c r="LYX53" s="609"/>
      <c r="LYY53" s="609"/>
      <c r="LYZ53" s="609"/>
      <c r="LZA53" s="609"/>
      <c r="LZB53" s="609"/>
      <c r="LZC53" s="609"/>
      <c r="LZD53" s="609"/>
      <c r="LZE53" s="609"/>
      <c r="LZF53" s="609"/>
      <c r="LZG53" s="609"/>
      <c r="LZH53" s="609"/>
      <c r="LZI53" s="609"/>
      <c r="LZJ53" s="609"/>
      <c r="LZK53" s="609"/>
      <c r="LZL53" s="609"/>
      <c r="LZM53" s="609"/>
      <c r="LZN53" s="609"/>
      <c r="LZO53" s="609"/>
      <c r="LZP53" s="609"/>
      <c r="LZQ53" s="609"/>
      <c r="LZR53" s="609"/>
      <c r="LZS53" s="609"/>
      <c r="LZT53" s="609"/>
      <c r="LZU53" s="609"/>
      <c r="LZV53" s="609"/>
      <c r="LZW53" s="609"/>
      <c r="LZX53" s="609"/>
      <c r="LZY53" s="609"/>
      <c r="LZZ53" s="609"/>
      <c r="MAA53" s="609"/>
      <c r="MAB53" s="609"/>
      <c r="MAC53" s="609"/>
      <c r="MAD53" s="609"/>
      <c r="MAE53" s="609"/>
      <c r="MAF53" s="609"/>
      <c r="MAG53" s="609"/>
      <c r="MAH53" s="609"/>
      <c r="MAI53" s="609"/>
      <c r="MAJ53" s="609"/>
      <c r="MAK53" s="609"/>
      <c r="MAL53" s="609"/>
      <c r="MAM53" s="609"/>
      <c r="MAN53" s="609"/>
      <c r="MAO53" s="609"/>
      <c r="MAP53" s="609"/>
      <c r="MAQ53" s="609"/>
      <c r="MAR53" s="609"/>
      <c r="MAS53" s="609"/>
      <c r="MAT53" s="609"/>
      <c r="MAU53" s="609"/>
      <c r="MAV53" s="609"/>
      <c r="MAW53" s="609"/>
      <c r="MAX53" s="609"/>
      <c r="MAY53" s="609"/>
      <c r="MAZ53" s="609"/>
      <c r="MBA53" s="609"/>
      <c r="MBB53" s="609"/>
      <c r="MBC53" s="609"/>
      <c r="MBD53" s="609"/>
      <c r="MBE53" s="609"/>
      <c r="MBF53" s="609"/>
      <c r="MBG53" s="609"/>
      <c r="MBH53" s="609"/>
      <c r="MBI53" s="609"/>
      <c r="MBJ53" s="609"/>
      <c r="MBK53" s="609"/>
      <c r="MBL53" s="609"/>
      <c r="MBM53" s="609"/>
      <c r="MBN53" s="609"/>
      <c r="MBO53" s="609"/>
      <c r="MBP53" s="609"/>
      <c r="MBQ53" s="609"/>
      <c r="MBR53" s="609"/>
      <c r="MBS53" s="609"/>
      <c r="MBT53" s="609"/>
      <c r="MBU53" s="609"/>
      <c r="MBV53" s="609"/>
      <c r="MBW53" s="609"/>
      <c r="MBX53" s="609"/>
      <c r="MBY53" s="609"/>
      <c r="MBZ53" s="609"/>
      <c r="MCA53" s="609"/>
      <c r="MCB53" s="609"/>
      <c r="MCC53" s="609"/>
      <c r="MCD53" s="609"/>
      <c r="MCE53" s="609"/>
      <c r="MCF53" s="609"/>
      <c r="MCG53" s="609"/>
      <c r="MCH53" s="609"/>
      <c r="MCI53" s="609"/>
      <c r="MCJ53" s="609"/>
      <c r="MCK53" s="609"/>
      <c r="MCL53" s="609"/>
      <c r="MCM53" s="609"/>
      <c r="MCN53" s="609"/>
      <c r="MCO53" s="609"/>
      <c r="MCP53" s="609"/>
      <c r="MCQ53" s="609"/>
      <c r="MCR53" s="609"/>
      <c r="MCS53" s="609"/>
      <c r="MCT53" s="609"/>
      <c r="MCU53" s="609"/>
      <c r="MCV53" s="609"/>
      <c r="MCW53" s="609"/>
      <c r="MCX53" s="609"/>
      <c r="MCY53" s="609"/>
      <c r="MCZ53" s="609"/>
      <c r="MDA53" s="609"/>
      <c r="MDB53" s="609"/>
      <c r="MDC53" s="609"/>
      <c r="MDD53" s="609"/>
      <c r="MDE53" s="609"/>
      <c r="MDF53" s="609"/>
      <c r="MDG53" s="609"/>
      <c r="MDH53" s="609"/>
      <c r="MDI53" s="609"/>
      <c r="MDJ53" s="609"/>
      <c r="MDK53" s="609"/>
      <c r="MDL53" s="609"/>
      <c r="MDM53" s="609"/>
      <c r="MDN53" s="609"/>
      <c r="MDO53" s="609"/>
      <c r="MDP53" s="609"/>
      <c r="MDQ53" s="609"/>
      <c r="MDR53" s="609"/>
      <c r="MDS53" s="609"/>
      <c r="MDT53" s="609"/>
      <c r="MDU53" s="609"/>
      <c r="MDV53" s="609"/>
      <c r="MDW53" s="609"/>
      <c r="MDX53" s="609"/>
      <c r="MDY53" s="609"/>
      <c r="MDZ53" s="609"/>
      <c r="MEA53" s="609"/>
      <c r="MEB53" s="609"/>
      <c r="MEC53" s="609"/>
      <c r="MED53" s="609"/>
      <c r="MEE53" s="609"/>
      <c r="MEF53" s="609"/>
      <c r="MEG53" s="609"/>
      <c r="MEH53" s="609"/>
      <c r="MEI53" s="609"/>
      <c r="MEJ53" s="609"/>
      <c r="MEK53" s="609"/>
      <c r="MEL53" s="609"/>
      <c r="MEM53" s="609"/>
      <c r="MEN53" s="609"/>
      <c r="MEO53" s="609"/>
      <c r="MEP53" s="609"/>
      <c r="MEQ53" s="609"/>
      <c r="MER53" s="609"/>
      <c r="MES53" s="609"/>
      <c r="MET53" s="609"/>
      <c r="MEU53" s="609"/>
      <c r="MEV53" s="609"/>
      <c r="MEW53" s="609"/>
      <c r="MEX53" s="609"/>
      <c r="MEY53" s="609"/>
      <c r="MEZ53" s="609"/>
      <c r="MFA53" s="609"/>
      <c r="MFB53" s="609"/>
      <c r="MFC53" s="609"/>
      <c r="MFD53" s="609"/>
      <c r="MFE53" s="609"/>
      <c r="MFF53" s="609"/>
      <c r="MFG53" s="609"/>
      <c r="MFH53" s="609"/>
      <c r="MFI53" s="609"/>
      <c r="MFJ53" s="609"/>
      <c r="MFK53" s="609"/>
      <c r="MFL53" s="609"/>
      <c r="MFM53" s="609"/>
      <c r="MFN53" s="609"/>
      <c r="MFO53" s="609"/>
      <c r="MFP53" s="609"/>
      <c r="MFQ53" s="609"/>
      <c r="MFR53" s="609"/>
      <c r="MFS53" s="609"/>
      <c r="MFT53" s="609"/>
      <c r="MFU53" s="609"/>
      <c r="MFV53" s="609"/>
      <c r="MFW53" s="609"/>
      <c r="MFX53" s="609"/>
      <c r="MFY53" s="609"/>
      <c r="MFZ53" s="609"/>
      <c r="MGA53" s="609"/>
      <c r="MGB53" s="609"/>
      <c r="MGC53" s="609"/>
      <c r="MGD53" s="609"/>
      <c r="MGE53" s="609"/>
      <c r="MGF53" s="609"/>
      <c r="MGG53" s="609"/>
      <c r="MGH53" s="609"/>
      <c r="MGI53" s="609"/>
      <c r="MGJ53" s="609"/>
      <c r="MGK53" s="609"/>
      <c r="MGL53" s="609"/>
      <c r="MGM53" s="609"/>
      <c r="MGN53" s="609"/>
      <c r="MGO53" s="609"/>
      <c r="MGP53" s="609"/>
      <c r="MGQ53" s="609"/>
      <c r="MGR53" s="609"/>
      <c r="MGS53" s="609"/>
      <c r="MGT53" s="609"/>
      <c r="MGU53" s="609"/>
      <c r="MGV53" s="609"/>
      <c r="MGW53" s="609"/>
      <c r="MGX53" s="609"/>
      <c r="MGY53" s="609"/>
      <c r="MGZ53" s="609"/>
      <c r="MHA53" s="609"/>
      <c r="MHB53" s="609"/>
      <c r="MHC53" s="609"/>
      <c r="MHD53" s="609"/>
      <c r="MHE53" s="609"/>
      <c r="MHF53" s="609"/>
      <c r="MHG53" s="609"/>
      <c r="MHH53" s="609"/>
      <c r="MHI53" s="609"/>
      <c r="MHJ53" s="609"/>
      <c r="MHK53" s="609"/>
      <c r="MHL53" s="609"/>
      <c r="MHM53" s="609"/>
      <c r="MHN53" s="609"/>
      <c r="MHO53" s="609"/>
      <c r="MHP53" s="609"/>
      <c r="MHQ53" s="609"/>
      <c r="MHR53" s="609"/>
      <c r="MHS53" s="609"/>
      <c r="MHT53" s="609"/>
      <c r="MHU53" s="609"/>
      <c r="MHV53" s="609"/>
      <c r="MHW53" s="609"/>
      <c r="MHX53" s="609"/>
      <c r="MHY53" s="609"/>
      <c r="MHZ53" s="609"/>
      <c r="MIA53" s="609"/>
      <c r="MIB53" s="609"/>
      <c r="MIC53" s="609"/>
      <c r="MID53" s="609"/>
      <c r="MIE53" s="609"/>
      <c r="MIF53" s="609"/>
      <c r="MIG53" s="609"/>
      <c r="MIH53" s="609"/>
      <c r="MII53" s="609"/>
      <c r="MIJ53" s="609"/>
      <c r="MIK53" s="609"/>
      <c r="MIL53" s="609"/>
      <c r="MIM53" s="609"/>
      <c r="MIN53" s="609"/>
      <c r="MIO53" s="609"/>
      <c r="MIP53" s="609"/>
      <c r="MIQ53" s="609"/>
      <c r="MIR53" s="609"/>
      <c r="MIS53" s="609"/>
      <c r="MIT53" s="609"/>
      <c r="MIU53" s="609"/>
      <c r="MIV53" s="609"/>
      <c r="MIW53" s="609"/>
      <c r="MIX53" s="609"/>
      <c r="MIY53" s="609"/>
      <c r="MIZ53" s="609"/>
      <c r="MJA53" s="609"/>
      <c r="MJB53" s="609"/>
      <c r="MJC53" s="609"/>
      <c r="MJD53" s="609"/>
      <c r="MJE53" s="609"/>
      <c r="MJF53" s="609"/>
      <c r="MJG53" s="609"/>
      <c r="MJH53" s="609"/>
      <c r="MJI53" s="609"/>
      <c r="MJJ53" s="609"/>
      <c r="MJK53" s="609"/>
      <c r="MJL53" s="609"/>
      <c r="MJM53" s="609"/>
      <c r="MJN53" s="609"/>
      <c r="MJO53" s="609"/>
      <c r="MJP53" s="609"/>
      <c r="MJQ53" s="609"/>
      <c r="MJR53" s="609"/>
      <c r="MJS53" s="609"/>
      <c r="MJT53" s="609"/>
      <c r="MJU53" s="609"/>
      <c r="MJV53" s="609"/>
      <c r="MJW53" s="609"/>
      <c r="MJX53" s="609"/>
      <c r="MJY53" s="609"/>
      <c r="MJZ53" s="609"/>
      <c r="MKA53" s="609"/>
      <c r="MKB53" s="609"/>
      <c r="MKC53" s="609"/>
      <c r="MKD53" s="609"/>
      <c r="MKE53" s="609"/>
      <c r="MKF53" s="609"/>
      <c r="MKG53" s="609"/>
      <c r="MKH53" s="609"/>
      <c r="MKI53" s="609"/>
      <c r="MKJ53" s="609"/>
      <c r="MKK53" s="609"/>
      <c r="MKL53" s="609"/>
      <c r="MKM53" s="609"/>
      <c r="MKN53" s="609"/>
      <c r="MKO53" s="609"/>
      <c r="MKP53" s="609"/>
      <c r="MKQ53" s="609"/>
      <c r="MKR53" s="609"/>
      <c r="MKS53" s="609"/>
      <c r="MKT53" s="609"/>
      <c r="MKU53" s="609"/>
      <c r="MKV53" s="609"/>
      <c r="MKW53" s="609"/>
      <c r="MKX53" s="609"/>
      <c r="MKY53" s="609"/>
      <c r="MKZ53" s="609"/>
      <c r="MLA53" s="609"/>
      <c r="MLB53" s="609"/>
      <c r="MLC53" s="609"/>
      <c r="MLD53" s="609"/>
      <c r="MLE53" s="609"/>
      <c r="MLF53" s="609"/>
      <c r="MLG53" s="609"/>
      <c r="MLH53" s="609"/>
      <c r="MLI53" s="609"/>
      <c r="MLJ53" s="609"/>
      <c r="MLK53" s="609"/>
      <c r="MLL53" s="609"/>
      <c r="MLM53" s="609"/>
      <c r="MLN53" s="609"/>
      <c r="MLO53" s="609"/>
      <c r="MLP53" s="609"/>
      <c r="MLQ53" s="609"/>
      <c r="MLR53" s="609"/>
      <c r="MLS53" s="609"/>
      <c r="MLT53" s="609"/>
      <c r="MLU53" s="609"/>
      <c r="MLV53" s="609"/>
      <c r="MLW53" s="609"/>
      <c r="MLX53" s="609"/>
      <c r="MLY53" s="609"/>
      <c r="MLZ53" s="609"/>
      <c r="MMA53" s="609"/>
      <c r="MMB53" s="609"/>
      <c r="MMC53" s="609"/>
      <c r="MMD53" s="609"/>
      <c r="MME53" s="609"/>
      <c r="MMF53" s="609"/>
      <c r="MMG53" s="609"/>
      <c r="MMH53" s="609"/>
      <c r="MMI53" s="609"/>
      <c r="MMJ53" s="609"/>
      <c r="MMK53" s="609"/>
      <c r="MML53" s="609"/>
      <c r="MMM53" s="609"/>
      <c r="MMN53" s="609"/>
      <c r="MMO53" s="609"/>
      <c r="MMP53" s="609"/>
      <c r="MMQ53" s="609"/>
      <c r="MMR53" s="609"/>
      <c r="MMS53" s="609"/>
      <c r="MMT53" s="609"/>
      <c r="MMU53" s="609"/>
      <c r="MMV53" s="609"/>
      <c r="MMW53" s="609"/>
      <c r="MMX53" s="609"/>
      <c r="MMY53" s="609"/>
      <c r="MMZ53" s="609"/>
      <c r="MNA53" s="609"/>
      <c r="MNB53" s="609"/>
      <c r="MNC53" s="609"/>
      <c r="MND53" s="609"/>
      <c r="MNE53" s="609"/>
      <c r="MNF53" s="609"/>
      <c r="MNG53" s="609"/>
      <c r="MNH53" s="609"/>
      <c r="MNI53" s="609"/>
      <c r="MNJ53" s="609"/>
      <c r="MNK53" s="609"/>
      <c r="MNL53" s="609"/>
      <c r="MNM53" s="609"/>
      <c r="MNN53" s="609"/>
      <c r="MNO53" s="609"/>
      <c r="MNP53" s="609"/>
      <c r="MNQ53" s="609"/>
      <c r="MNR53" s="609"/>
      <c r="MNS53" s="609"/>
      <c r="MNT53" s="609"/>
      <c r="MNU53" s="609"/>
      <c r="MNV53" s="609"/>
      <c r="MNW53" s="609"/>
      <c r="MNX53" s="609"/>
      <c r="MNY53" s="609"/>
      <c r="MNZ53" s="609"/>
      <c r="MOA53" s="609"/>
      <c r="MOB53" s="609"/>
      <c r="MOC53" s="609"/>
      <c r="MOD53" s="609"/>
      <c r="MOE53" s="609"/>
      <c r="MOF53" s="609"/>
      <c r="MOG53" s="609"/>
      <c r="MOH53" s="609"/>
      <c r="MOI53" s="609"/>
      <c r="MOJ53" s="609"/>
      <c r="MOK53" s="609"/>
      <c r="MOL53" s="609"/>
      <c r="MOM53" s="609"/>
      <c r="MON53" s="609"/>
      <c r="MOO53" s="609"/>
      <c r="MOP53" s="609"/>
      <c r="MOQ53" s="609"/>
      <c r="MOR53" s="609"/>
      <c r="MOS53" s="609"/>
      <c r="MOT53" s="609"/>
      <c r="MOU53" s="609"/>
      <c r="MOV53" s="609"/>
      <c r="MOW53" s="609"/>
      <c r="MOX53" s="609"/>
      <c r="MOY53" s="609"/>
      <c r="MOZ53" s="609"/>
      <c r="MPA53" s="609"/>
      <c r="MPB53" s="609"/>
      <c r="MPC53" s="609"/>
      <c r="MPD53" s="609"/>
      <c r="MPE53" s="609"/>
      <c r="MPF53" s="609"/>
      <c r="MPG53" s="609"/>
      <c r="MPH53" s="609"/>
      <c r="MPI53" s="609"/>
      <c r="MPJ53" s="609"/>
      <c r="MPK53" s="609"/>
      <c r="MPL53" s="609"/>
      <c r="MPM53" s="609"/>
      <c r="MPN53" s="609"/>
      <c r="MPO53" s="609"/>
      <c r="MPP53" s="609"/>
      <c r="MPQ53" s="609"/>
      <c r="MPR53" s="609"/>
      <c r="MPS53" s="609"/>
      <c r="MPT53" s="609"/>
      <c r="MPU53" s="609"/>
      <c r="MPV53" s="609"/>
      <c r="MPW53" s="609"/>
      <c r="MPX53" s="609"/>
      <c r="MPY53" s="609"/>
      <c r="MPZ53" s="609"/>
      <c r="MQA53" s="609"/>
      <c r="MQB53" s="609"/>
      <c r="MQC53" s="609"/>
      <c r="MQD53" s="609"/>
      <c r="MQE53" s="609"/>
      <c r="MQF53" s="609"/>
      <c r="MQG53" s="609"/>
      <c r="MQH53" s="609"/>
      <c r="MQI53" s="609"/>
      <c r="MQJ53" s="609"/>
      <c r="MQK53" s="609"/>
      <c r="MQL53" s="609"/>
      <c r="MQM53" s="609"/>
      <c r="MQN53" s="609"/>
      <c r="MQO53" s="609"/>
      <c r="MQP53" s="609"/>
      <c r="MQQ53" s="609"/>
      <c r="MQR53" s="609"/>
      <c r="MQS53" s="609"/>
      <c r="MQT53" s="609"/>
      <c r="MQU53" s="609"/>
      <c r="MQV53" s="609"/>
      <c r="MQW53" s="609"/>
      <c r="MQX53" s="609"/>
      <c r="MQY53" s="609"/>
      <c r="MQZ53" s="609"/>
      <c r="MRA53" s="609"/>
      <c r="MRB53" s="609"/>
      <c r="MRC53" s="609"/>
      <c r="MRD53" s="609"/>
      <c r="MRE53" s="609"/>
      <c r="MRF53" s="609"/>
      <c r="MRG53" s="609"/>
      <c r="MRH53" s="609"/>
      <c r="MRI53" s="609"/>
      <c r="MRJ53" s="609"/>
      <c r="MRK53" s="609"/>
      <c r="MRL53" s="609"/>
      <c r="MRM53" s="609"/>
      <c r="MRN53" s="609"/>
      <c r="MRO53" s="609"/>
      <c r="MRP53" s="609"/>
      <c r="MRQ53" s="609"/>
      <c r="MRR53" s="609"/>
      <c r="MRS53" s="609"/>
      <c r="MRT53" s="609"/>
      <c r="MRU53" s="609"/>
      <c r="MRV53" s="609"/>
      <c r="MRW53" s="609"/>
      <c r="MRX53" s="609"/>
      <c r="MRY53" s="609"/>
      <c r="MRZ53" s="609"/>
      <c r="MSA53" s="609"/>
      <c r="MSB53" s="609"/>
      <c r="MSC53" s="609"/>
      <c r="MSD53" s="609"/>
      <c r="MSE53" s="609"/>
      <c r="MSF53" s="609"/>
      <c r="MSG53" s="609"/>
      <c r="MSH53" s="609"/>
      <c r="MSI53" s="609"/>
      <c r="MSJ53" s="609"/>
      <c r="MSK53" s="609"/>
      <c r="MSL53" s="609"/>
      <c r="MSM53" s="609"/>
      <c r="MSN53" s="609"/>
      <c r="MSO53" s="609"/>
      <c r="MSP53" s="609"/>
      <c r="MSQ53" s="609"/>
      <c r="MSR53" s="609"/>
      <c r="MSS53" s="609"/>
      <c r="MST53" s="609"/>
      <c r="MSU53" s="609"/>
      <c r="MSV53" s="609"/>
      <c r="MSW53" s="609"/>
      <c r="MSX53" s="609"/>
      <c r="MSY53" s="609"/>
      <c r="MSZ53" s="609"/>
      <c r="MTA53" s="609"/>
      <c r="MTB53" s="609"/>
      <c r="MTC53" s="609"/>
      <c r="MTD53" s="609"/>
      <c r="MTE53" s="609"/>
      <c r="MTF53" s="609"/>
      <c r="MTG53" s="609"/>
      <c r="MTH53" s="609"/>
      <c r="MTI53" s="609"/>
      <c r="MTJ53" s="609"/>
      <c r="MTK53" s="609"/>
      <c r="MTL53" s="609"/>
      <c r="MTM53" s="609"/>
      <c r="MTN53" s="609"/>
      <c r="MTO53" s="609"/>
      <c r="MTP53" s="609"/>
      <c r="MTQ53" s="609"/>
      <c r="MTR53" s="609"/>
      <c r="MTS53" s="609"/>
      <c r="MTT53" s="609"/>
      <c r="MTU53" s="609"/>
      <c r="MTV53" s="609"/>
      <c r="MTW53" s="609"/>
      <c r="MTX53" s="609"/>
      <c r="MTY53" s="609"/>
      <c r="MTZ53" s="609"/>
      <c r="MUA53" s="609"/>
      <c r="MUB53" s="609"/>
      <c r="MUC53" s="609"/>
      <c r="MUD53" s="609"/>
      <c r="MUE53" s="609"/>
      <c r="MUF53" s="609"/>
      <c r="MUG53" s="609"/>
      <c r="MUH53" s="609"/>
      <c r="MUI53" s="609"/>
      <c r="MUJ53" s="609"/>
      <c r="MUK53" s="609"/>
      <c r="MUL53" s="609"/>
      <c r="MUM53" s="609"/>
      <c r="MUN53" s="609"/>
      <c r="MUO53" s="609"/>
      <c r="MUP53" s="609"/>
      <c r="MUQ53" s="609"/>
      <c r="MUR53" s="609"/>
      <c r="MUS53" s="609"/>
      <c r="MUT53" s="609"/>
      <c r="MUU53" s="609"/>
      <c r="MUV53" s="609"/>
      <c r="MUW53" s="609"/>
      <c r="MUX53" s="609"/>
      <c r="MUY53" s="609"/>
      <c r="MUZ53" s="609"/>
      <c r="MVA53" s="609"/>
      <c r="MVB53" s="609"/>
      <c r="MVC53" s="609"/>
      <c r="MVD53" s="609"/>
      <c r="MVE53" s="609"/>
      <c r="MVF53" s="609"/>
      <c r="MVG53" s="609"/>
      <c r="MVH53" s="609"/>
      <c r="MVI53" s="609"/>
      <c r="MVJ53" s="609"/>
      <c r="MVK53" s="609"/>
      <c r="MVL53" s="609"/>
      <c r="MVM53" s="609"/>
      <c r="MVN53" s="609"/>
      <c r="MVO53" s="609"/>
      <c r="MVP53" s="609"/>
      <c r="MVQ53" s="609"/>
      <c r="MVR53" s="609"/>
      <c r="MVS53" s="609"/>
      <c r="MVT53" s="609"/>
      <c r="MVU53" s="609"/>
      <c r="MVV53" s="609"/>
      <c r="MVW53" s="609"/>
      <c r="MVX53" s="609"/>
      <c r="MVY53" s="609"/>
      <c r="MVZ53" s="609"/>
      <c r="MWA53" s="609"/>
      <c r="MWB53" s="609"/>
      <c r="MWC53" s="609"/>
      <c r="MWD53" s="609"/>
      <c r="MWE53" s="609"/>
      <c r="MWF53" s="609"/>
      <c r="MWG53" s="609"/>
      <c r="MWH53" s="609"/>
      <c r="MWI53" s="609"/>
      <c r="MWJ53" s="609"/>
      <c r="MWK53" s="609"/>
      <c r="MWL53" s="609"/>
      <c r="MWM53" s="609"/>
      <c r="MWN53" s="609"/>
      <c r="MWO53" s="609"/>
      <c r="MWP53" s="609"/>
      <c r="MWQ53" s="609"/>
      <c r="MWR53" s="609"/>
      <c r="MWS53" s="609"/>
      <c r="MWT53" s="609"/>
      <c r="MWU53" s="609"/>
      <c r="MWV53" s="609"/>
      <c r="MWW53" s="609"/>
      <c r="MWX53" s="609"/>
      <c r="MWY53" s="609"/>
      <c r="MWZ53" s="609"/>
      <c r="MXA53" s="609"/>
      <c r="MXB53" s="609"/>
      <c r="MXC53" s="609"/>
      <c r="MXD53" s="609"/>
      <c r="MXE53" s="609"/>
      <c r="MXF53" s="609"/>
      <c r="MXG53" s="609"/>
      <c r="MXH53" s="609"/>
      <c r="MXI53" s="609"/>
      <c r="MXJ53" s="609"/>
      <c r="MXK53" s="609"/>
      <c r="MXL53" s="609"/>
      <c r="MXM53" s="609"/>
      <c r="MXN53" s="609"/>
      <c r="MXO53" s="609"/>
      <c r="MXP53" s="609"/>
      <c r="MXQ53" s="609"/>
      <c r="MXR53" s="609"/>
      <c r="MXS53" s="609"/>
      <c r="MXT53" s="609"/>
      <c r="MXU53" s="609"/>
      <c r="MXV53" s="609"/>
      <c r="MXW53" s="609"/>
      <c r="MXX53" s="609"/>
      <c r="MXY53" s="609"/>
      <c r="MXZ53" s="609"/>
      <c r="MYA53" s="609"/>
      <c r="MYB53" s="609"/>
      <c r="MYC53" s="609"/>
      <c r="MYD53" s="609"/>
      <c r="MYE53" s="609"/>
      <c r="MYF53" s="609"/>
      <c r="MYG53" s="609"/>
      <c r="MYH53" s="609"/>
      <c r="MYI53" s="609"/>
      <c r="MYJ53" s="609"/>
      <c r="MYK53" s="609"/>
      <c r="MYL53" s="609"/>
      <c r="MYM53" s="609"/>
      <c r="MYN53" s="609"/>
      <c r="MYO53" s="609"/>
      <c r="MYP53" s="609"/>
      <c r="MYQ53" s="609"/>
      <c r="MYR53" s="609"/>
      <c r="MYS53" s="609"/>
      <c r="MYT53" s="609"/>
      <c r="MYU53" s="609"/>
      <c r="MYV53" s="609"/>
      <c r="MYW53" s="609"/>
      <c r="MYX53" s="609"/>
      <c r="MYY53" s="609"/>
      <c r="MYZ53" s="609"/>
      <c r="MZA53" s="609"/>
      <c r="MZB53" s="609"/>
      <c r="MZC53" s="609"/>
      <c r="MZD53" s="609"/>
      <c r="MZE53" s="609"/>
      <c r="MZF53" s="609"/>
      <c r="MZG53" s="609"/>
      <c r="MZH53" s="609"/>
      <c r="MZI53" s="609"/>
      <c r="MZJ53" s="609"/>
      <c r="MZK53" s="609"/>
      <c r="MZL53" s="609"/>
      <c r="MZM53" s="609"/>
      <c r="MZN53" s="609"/>
      <c r="MZO53" s="609"/>
      <c r="MZP53" s="609"/>
      <c r="MZQ53" s="609"/>
      <c r="MZR53" s="609"/>
      <c r="MZS53" s="609"/>
      <c r="MZT53" s="609"/>
      <c r="MZU53" s="609"/>
      <c r="MZV53" s="609"/>
      <c r="MZW53" s="609"/>
      <c r="MZX53" s="609"/>
      <c r="MZY53" s="609"/>
      <c r="MZZ53" s="609"/>
      <c r="NAA53" s="609"/>
      <c r="NAB53" s="609"/>
      <c r="NAC53" s="609"/>
      <c r="NAD53" s="609"/>
      <c r="NAE53" s="609"/>
      <c r="NAF53" s="609"/>
      <c r="NAG53" s="609"/>
      <c r="NAH53" s="609"/>
      <c r="NAI53" s="609"/>
      <c r="NAJ53" s="609"/>
      <c r="NAK53" s="609"/>
      <c r="NAL53" s="609"/>
      <c r="NAM53" s="609"/>
      <c r="NAN53" s="609"/>
      <c r="NAO53" s="609"/>
      <c r="NAP53" s="609"/>
      <c r="NAQ53" s="609"/>
      <c r="NAR53" s="609"/>
      <c r="NAS53" s="609"/>
      <c r="NAT53" s="609"/>
      <c r="NAU53" s="609"/>
      <c r="NAV53" s="609"/>
      <c r="NAW53" s="609"/>
      <c r="NAX53" s="609"/>
      <c r="NAY53" s="609"/>
      <c r="NAZ53" s="609"/>
      <c r="NBA53" s="609"/>
      <c r="NBB53" s="609"/>
      <c r="NBC53" s="609"/>
      <c r="NBD53" s="609"/>
      <c r="NBE53" s="609"/>
      <c r="NBF53" s="609"/>
      <c r="NBG53" s="609"/>
      <c r="NBH53" s="609"/>
      <c r="NBI53" s="609"/>
      <c r="NBJ53" s="609"/>
      <c r="NBK53" s="609"/>
      <c r="NBL53" s="609"/>
      <c r="NBM53" s="609"/>
      <c r="NBN53" s="609"/>
      <c r="NBO53" s="609"/>
      <c r="NBP53" s="609"/>
      <c r="NBQ53" s="609"/>
      <c r="NBR53" s="609"/>
      <c r="NBS53" s="609"/>
      <c r="NBT53" s="609"/>
      <c r="NBU53" s="609"/>
      <c r="NBV53" s="609"/>
      <c r="NBW53" s="609"/>
      <c r="NBX53" s="609"/>
      <c r="NBY53" s="609"/>
      <c r="NBZ53" s="609"/>
      <c r="NCA53" s="609"/>
      <c r="NCB53" s="609"/>
      <c r="NCC53" s="609"/>
      <c r="NCD53" s="609"/>
      <c r="NCE53" s="609"/>
      <c r="NCF53" s="609"/>
      <c r="NCG53" s="609"/>
      <c r="NCH53" s="609"/>
      <c r="NCI53" s="609"/>
      <c r="NCJ53" s="609"/>
      <c r="NCK53" s="609"/>
      <c r="NCL53" s="609"/>
      <c r="NCM53" s="609"/>
      <c r="NCN53" s="609"/>
      <c r="NCO53" s="609"/>
      <c r="NCP53" s="609"/>
      <c r="NCQ53" s="609"/>
      <c r="NCR53" s="609"/>
      <c r="NCS53" s="609"/>
      <c r="NCT53" s="609"/>
      <c r="NCU53" s="609"/>
      <c r="NCV53" s="609"/>
      <c r="NCW53" s="609"/>
      <c r="NCX53" s="609"/>
      <c r="NCY53" s="609"/>
      <c r="NCZ53" s="609"/>
      <c r="NDA53" s="609"/>
      <c r="NDB53" s="609"/>
      <c r="NDC53" s="609"/>
      <c r="NDD53" s="609"/>
      <c r="NDE53" s="609"/>
      <c r="NDF53" s="609"/>
      <c r="NDG53" s="609"/>
      <c r="NDH53" s="609"/>
      <c r="NDI53" s="609"/>
      <c r="NDJ53" s="609"/>
      <c r="NDK53" s="609"/>
      <c r="NDL53" s="609"/>
      <c r="NDM53" s="609"/>
      <c r="NDN53" s="609"/>
      <c r="NDO53" s="609"/>
      <c r="NDP53" s="609"/>
      <c r="NDQ53" s="609"/>
      <c r="NDR53" s="609"/>
      <c r="NDS53" s="609"/>
      <c r="NDT53" s="609"/>
      <c r="NDU53" s="609"/>
      <c r="NDV53" s="609"/>
      <c r="NDW53" s="609"/>
      <c r="NDX53" s="609"/>
      <c r="NDY53" s="609"/>
      <c r="NDZ53" s="609"/>
      <c r="NEA53" s="609"/>
      <c r="NEB53" s="609"/>
      <c r="NEC53" s="609"/>
      <c r="NED53" s="609"/>
      <c r="NEE53" s="609"/>
      <c r="NEF53" s="609"/>
      <c r="NEG53" s="609"/>
      <c r="NEH53" s="609"/>
      <c r="NEI53" s="609"/>
      <c r="NEJ53" s="609"/>
      <c r="NEK53" s="609"/>
      <c r="NEL53" s="609"/>
      <c r="NEM53" s="609"/>
      <c r="NEN53" s="609"/>
      <c r="NEO53" s="609"/>
      <c r="NEP53" s="609"/>
      <c r="NEQ53" s="609"/>
      <c r="NER53" s="609"/>
      <c r="NES53" s="609"/>
      <c r="NET53" s="609"/>
      <c r="NEU53" s="609"/>
      <c r="NEV53" s="609"/>
      <c r="NEW53" s="609"/>
      <c r="NEX53" s="609"/>
      <c r="NEY53" s="609"/>
      <c r="NEZ53" s="609"/>
      <c r="NFA53" s="609"/>
      <c r="NFB53" s="609"/>
      <c r="NFC53" s="609"/>
      <c r="NFD53" s="609"/>
      <c r="NFE53" s="609"/>
      <c r="NFF53" s="609"/>
      <c r="NFG53" s="609"/>
      <c r="NFH53" s="609"/>
      <c r="NFI53" s="609"/>
      <c r="NFJ53" s="609"/>
      <c r="NFK53" s="609"/>
      <c r="NFL53" s="609"/>
      <c r="NFM53" s="609"/>
      <c r="NFN53" s="609"/>
      <c r="NFO53" s="609"/>
      <c r="NFP53" s="609"/>
      <c r="NFQ53" s="609"/>
      <c r="NFR53" s="609"/>
      <c r="NFS53" s="609"/>
      <c r="NFT53" s="609"/>
      <c r="NFU53" s="609"/>
      <c r="NFV53" s="609"/>
      <c r="NFW53" s="609"/>
      <c r="NFX53" s="609"/>
      <c r="NFY53" s="609"/>
      <c r="NFZ53" s="609"/>
      <c r="NGA53" s="609"/>
      <c r="NGB53" s="609"/>
      <c r="NGC53" s="609"/>
      <c r="NGD53" s="609"/>
      <c r="NGE53" s="609"/>
      <c r="NGF53" s="609"/>
      <c r="NGG53" s="609"/>
      <c r="NGH53" s="609"/>
      <c r="NGI53" s="609"/>
      <c r="NGJ53" s="609"/>
      <c r="NGK53" s="609"/>
      <c r="NGL53" s="609"/>
      <c r="NGM53" s="609"/>
      <c r="NGN53" s="609"/>
      <c r="NGO53" s="609"/>
      <c r="NGP53" s="609"/>
      <c r="NGQ53" s="609"/>
      <c r="NGR53" s="609"/>
      <c r="NGS53" s="609"/>
      <c r="NGT53" s="609"/>
      <c r="NGU53" s="609"/>
      <c r="NGV53" s="609"/>
      <c r="NGW53" s="609"/>
      <c r="NGX53" s="609"/>
      <c r="NGY53" s="609"/>
      <c r="NGZ53" s="609"/>
      <c r="NHA53" s="609"/>
      <c r="NHB53" s="609"/>
      <c r="NHC53" s="609"/>
      <c r="NHD53" s="609"/>
      <c r="NHE53" s="609"/>
      <c r="NHF53" s="609"/>
      <c r="NHG53" s="609"/>
      <c r="NHH53" s="609"/>
      <c r="NHI53" s="609"/>
      <c r="NHJ53" s="609"/>
      <c r="NHK53" s="609"/>
      <c r="NHL53" s="609"/>
      <c r="NHM53" s="609"/>
      <c r="NHN53" s="609"/>
      <c r="NHO53" s="609"/>
      <c r="NHP53" s="609"/>
      <c r="NHQ53" s="609"/>
      <c r="NHR53" s="609"/>
      <c r="NHS53" s="609"/>
      <c r="NHT53" s="609"/>
      <c r="NHU53" s="609"/>
      <c r="NHV53" s="609"/>
      <c r="NHW53" s="609"/>
      <c r="NHX53" s="609"/>
      <c r="NHY53" s="609"/>
      <c r="NHZ53" s="609"/>
      <c r="NIA53" s="609"/>
      <c r="NIB53" s="609"/>
      <c r="NIC53" s="609"/>
      <c r="NID53" s="609"/>
      <c r="NIE53" s="609"/>
      <c r="NIF53" s="609"/>
      <c r="NIG53" s="609"/>
      <c r="NIH53" s="609"/>
      <c r="NII53" s="609"/>
      <c r="NIJ53" s="609"/>
      <c r="NIK53" s="609"/>
      <c r="NIL53" s="609"/>
      <c r="NIM53" s="609"/>
      <c r="NIN53" s="609"/>
      <c r="NIO53" s="609"/>
      <c r="NIP53" s="609"/>
      <c r="NIQ53" s="609"/>
      <c r="NIR53" s="609"/>
      <c r="NIS53" s="609"/>
      <c r="NIT53" s="609"/>
      <c r="NIU53" s="609"/>
      <c r="NIV53" s="609"/>
      <c r="NIW53" s="609"/>
      <c r="NIX53" s="609"/>
      <c r="NIY53" s="609"/>
      <c r="NIZ53" s="609"/>
      <c r="NJA53" s="609"/>
      <c r="NJB53" s="609"/>
      <c r="NJC53" s="609"/>
      <c r="NJD53" s="609"/>
      <c r="NJE53" s="609"/>
      <c r="NJF53" s="609"/>
      <c r="NJG53" s="609"/>
      <c r="NJH53" s="609"/>
      <c r="NJI53" s="609"/>
      <c r="NJJ53" s="609"/>
      <c r="NJK53" s="609"/>
      <c r="NJL53" s="609"/>
      <c r="NJM53" s="609"/>
      <c r="NJN53" s="609"/>
      <c r="NJO53" s="609"/>
      <c r="NJP53" s="609"/>
      <c r="NJQ53" s="609"/>
      <c r="NJR53" s="609"/>
      <c r="NJS53" s="609"/>
      <c r="NJT53" s="609"/>
      <c r="NJU53" s="609"/>
      <c r="NJV53" s="609"/>
      <c r="NJW53" s="609"/>
      <c r="NJX53" s="609"/>
      <c r="NJY53" s="609"/>
      <c r="NJZ53" s="609"/>
      <c r="NKA53" s="609"/>
      <c r="NKB53" s="609"/>
      <c r="NKC53" s="609"/>
      <c r="NKD53" s="609"/>
      <c r="NKE53" s="609"/>
      <c r="NKF53" s="609"/>
      <c r="NKG53" s="609"/>
      <c r="NKH53" s="609"/>
      <c r="NKI53" s="609"/>
      <c r="NKJ53" s="609"/>
      <c r="NKK53" s="609"/>
      <c r="NKL53" s="609"/>
      <c r="NKM53" s="609"/>
      <c r="NKN53" s="609"/>
      <c r="NKO53" s="609"/>
      <c r="NKP53" s="609"/>
      <c r="NKQ53" s="609"/>
      <c r="NKR53" s="609"/>
      <c r="NKS53" s="609"/>
      <c r="NKT53" s="609"/>
      <c r="NKU53" s="609"/>
      <c r="NKV53" s="609"/>
      <c r="NKW53" s="609"/>
      <c r="NKX53" s="609"/>
      <c r="NKY53" s="609"/>
      <c r="NKZ53" s="609"/>
      <c r="NLA53" s="609"/>
      <c r="NLB53" s="609"/>
      <c r="NLC53" s="609"/>
      <c r="NLD53" s="609"/>
      <c r="NLE53" s="609"/>
      <c r="NLF53" s="609"/>
      <c r="NLG53" s="609"/>
      <c r="NLH53" s="609"/>
      <c r="NLI53" s="609"/>
      <c r="NLJ53" s="609"/>
      <c r="NLK53" s="609"/>
      <c r="NLL53" s="609"/>
      <c r="NLM53" s="609"/>
      <c r="NLN53" s="609"/>
      <c r="NLO53" s="609"/>
      <c r="NLP53" s="609"/>
      <c r="NLQ53" s="609"/>
      <c r="NLR53" s="609"/>
      <c r="NLS53" s="609"/>
      <c r="NLT53" s="609"/>
      <c r="NLU53" s="609"/>
      <c r="NLV53" s="609"/>
      <c r="NLW53" s="609"/>
      <c r="NLX53" s="609"/>
      <c r="NLY53" s="609"/>
      <c r="NLZ53" s="609"/>
      <c r="NMA53" s="609"/>
      <c r="NMB53" s="609"/>
      <c r="NMC53" s="609"/>
      <c r="NMD53" s="609"/>
      <c r="NME53" s="609"/>
      <c r="NMF53" s="609"/>
      <c r="NMG53" s="609"/>
      <c r="NMH53" s="609"/>
      <c r="NMI53" s="609"/>
      <c r="NMJ53" s="609"/>
      <c r="NMK53" s="609"/>
      <c r="NML53" s="609"/>
      <c r="NMM53" s="609"/>
      <c r="NMN53" s="609"/>
      <c r="NMO53" s="609"/>
      <c r="NMP53" s="609"/>
      <c r="NMQ53" s="609"/>
      <c r="NMR53" s="609"/>
      <c r="NMS53" s="609"/>
      <c r="NMT53" s="609"/>
      <c r="NMU53" s="609"/>
      <c r="NMV53" s="609"/>
      <c r="NMW53" s="609"/>
      <c r="NMX53" s="609"/>
      <c r="NMY53" s="609"/>
      <c r="NMZ53" s="609"/>
      <c r="NNA53" s="609"/>
      <c r="NNB53" s="609"/>
      <c r="NNC53" s="609"/>
      <c r="NND53" s="609"/>
      <c r="NNE53" s="609"/>
      <c r="NNF53" s="609"/>
      <c r="NNG53" s="609"/>
      <c r="NNH53" s="609"/>
      <c r="NNI53" s="609"/>
      <c r="NNJ53" s="609"/>
      <c r="NNK53" s="609"/>
      <c r="NNL53" s="609"/>
      <c r="NNM53" s="609"/>
      <c r="NNN53" s="609"/>
      <c r="NNO53" s="609"/>
      <c r="NNP53" s="609"/>
      <c r="NNQ53" s="609"/>
      <c r="NNR53" s="609"/>
      <c r="NNS53" s="609"/>
      <c r="NNT53" s="609"/>
      <c r="NNU53" s="609"/>
      <c r="NNV53" s="609"/>
      <c r="NNW53" s="609"/>
      <c r="NNX53" s="609"/>
      <c r="NNY53" s="609"/>
      <c r="NNZ53" s="609"/>
      <c r="NOA53" s="609"/>
      <c r="NOB53" s="609"/>
      <c r="NOC53" s="609"/>
      <c r="NOD53" s="609"/>
      <c r="NOE53" s="609"/>
      <c r="NOF53" s="609"/>
      <c r="NOG53" s="609"/>
      <c r="NOH53" s="609"/>
      <c r="NOI53" s="609"/>
      <c r="NOJ53" s="609"/>
      <c r="NOK53" s="609"/>
      <c r="NOL53" s="609"/>
      <c r="NOM53" s="609"/>
      <c r="NON53" s="609"/>
      <c r="NOO53" s="609"/>
      <c r="NOP53" s="609"/>
      <c r="NOQ53" s="609"/>
      <c r="NOR53" s="609"/>
      <c r="NOS53" s="609"/>
      <c r="NOT53" s="609"/>
      <c r="NOU53" s="609"/>
      <c r="NOV53" s="609"/>
      <c r="NOW53" s="609"/>
      <c r="NOX53" s="609"/>
      <c r="NOY53" s="609"/>
      <c r="NOZ53" s="609"/>
      <c r="NPA53" s="609"/>
      <c r="NPB53" s="609"/>
      <c r="NPC53" s="609"/>
      <c r="NPD53" s="609"/>
      <c r="NPE53" s="609"/>
      <c r="NPF53" s="609"/>
      <c r="NPG53" s="609"/>
      <c r="NPH53" s="609"/>
      <c r="NPI53" s="609"/>
      <c r="NPJ53" s="609"/>
      <c r="NPK53" s="609"/>
      <c r="NPL53" s="609"/>
      <c r="NPM53" s="609"/>
      <c r="NPN53" s="609"/>
      <c r="NPO53" s="609"/>
      <c r="NPP53" s="609"/>
      <c r="NPQ53" s="609"/>
      <c r="NPR53" s="609"/>
      <c r="NPS53" s="609"/>
      <c r="NPT53" s="609"/>
      <c r="NPU53" s="609"/>
      <c r="NPV53" s="609"/>
      <c r="NPW53" s="609"/>
      <c r="NPX53" s="609"/>
      <c r="NPY53" s="609"/>
      <c r="NPZ53" s="609"/>
      <c r="NQA53" s="609"/>
      <c r="NQB53" s="609"/>
      <c r="NQC53" s="609"/>
      <c r="NQD53" s="609"/>
      <c r="NQE53" s="609"/>
      <c r="NQF53" s="609"/>
      <c r="NQG53" s="609"/>
      <c r="NQH53" s="609"/>
      <c r="NQI53" s="609"/>
      <c r="NQJ53" s="609"/>
      <c r="NQK53" s="609"/>
      <c r="NQL53" s="609"/>
      <c r="NQM53" s="609"/>
      <c r="NQN53" s="609"/>
      <c r="NQO53" s="609"/>
      <c r="NQP53" s="609"/>
      <c r="NQQ53" s="609"/>
      <c r="NQR53" s="609"/>
      <c r="NQS53" s="609"/>
      <c r="NQT53" s="609"/>
      <c r="NQU53" s="609"/>
      <c r="NQV53" s="609"/>
      <c r="NQW53" s="609"/>
      <c r="NQX53" s="609"/>
      <c r="NQY53" s="609"/>
      <c r="NQZ53" s="609"/>
      <c r="NRA53" s="609"/>
      <c r="NRB53" s="609"/>
      <c r="NRC53" s="609"/>
      <c r="NRD53" s="609"/>
      <c r="NRE53" s="609"/>
      <c r="NRF53" s="609"/>
      <c r="NRG53" s="609"/>
      <c r="NRH53" s="609"/>
      <c r="NRI53" s="609"/>
      <c r="NRJ53" s="609"/>
      <c r="NRK53" s="609"/>
      <c r="NRL53" s="609"/>
      <c r="NRM53" s="609"/>
      <c r="NRN53" s="609"/>
      <c r="NRO53" s="609"/>
      <c r="NRP53" s="609"/>
      <c r="NRQ53" s="609"/>
      <c r="NRR53" s="609"/>
      <c r="NRS53" s="609"/>
      <c r="NRT53" s="609"/>
      <c r="NRU53" s="609"/>
      <c r="NRV53" s="609"/>
      <c r="NRW53" s="609"/>
      <c r="NRX53" s="609"/>
      <c r="NRY53" s="609"/>
      <c r="NRZ53" s="609"/>
      <c r="NSA53" s="609"/>
      <c r="NSB53" s="609"/>
      <c r="NSC53" s="609"/>
      <c r="NSD53" s="609"/>
      <c r="NSE53" s="609"/>
      <c r="NSF53" s="609"/>
      <c r="NSG53" s="609"/>
      <c r="NSH53" s="609"/>
      <c r="NSI53" s="609"/>
      <c r="NSJ53" s="609"/>
      <c r="NSK53" s="609"/>
      <c r="NSL53" s="609"/>
      <c r="NSM53" s="609"/>
      <c r="NSN53" s="609"/>
      <c r="NSO53" s="609"/>
      <c r="NSP53" s="609"/>
      <c r="NSQ53" s="609"/>
      <c r="NSR53" s="609"/>
      <c r="NSS53" s="609"/>
      <c r="NST53" s="609"/>
      <c r="NSU53" s="609"/>
      <c r="NSV53" s="609"/>
      <c r="NSW53" s="609"/>
      <c r="NSX53" s="609"/>
      <c r="NSY53" s="609"/>
      <c r="NSZ53" s="609"/>
      <c r="NTA53" s="609"/>
      <c r="NTB53" s="609"/>
      <c r="NTC53" s="609"/>
      <c r="NTD53" s="609"/>
      <c r="NTE53" s="609"/>
      <c r="NTF53" s="609"/>
      <c r="NTG53" s="609"/>
      <c r="NTH53" s="609"/>
      <c r="NTI53" s="609"/>
      <c r="NTJ53" s="609"/>
      <c r="NTK53" s="609"/>
      <c r="NTL53" s="609"/>
      <c r="NTM53" s="609"/>
      <c r="NTN53" s="609"/>
      <c r="NTO53" s="609"/>
      <c r="NTP53" s="609"/>
      <c r="NTQ53" s="609"/>
      <c r="NTR53" s="609"/>
      <c r="NTS53" s="609"/>
      <c r="NTT53" s="609"/>
      <c r="NTU53" s="609"/>
      <c r="NTV53" s="609"/>
      <c r="NTW53" s="609"/>
      <c r="NTX53" s="609"/>
      <c r="NTY53" s="609"/>
      <c r="NTZ53" s="609"/>
      <c r="NUA53" s="609"/>
      <c r="NUB53" s="609"/>
      <c r="NUC53" s="609"/>
      <c r="NUD53" s="609"/>
      <c r="NUE53" s="609"/>
      <c r="NUF53" s="609"/>
      <c r="NUG53" s="609"/>
      <c r="NUH53" s="609"/>
      <c r="NUI53" s="609"/>
      <c r="NUJ53" s="609"/>
      <c r="NUK53" s="609"/>
      <c r="NUL53" s="609"/>
      <c r="NUM53" s="609"/>
      <c r="NUN53" s="609"/>
      <c r="NUO53" s="609"/>
      <c r="NUP53" s="609"/>
      <c r="NUQ53" s="609"/>
      <c r="NUR53" s="609"/>
      <c r="NUS53" s="609"/>
      <c r="NUT53" s="609"/>
      <c r="NUU53" s="609"/>
      <c r="NUV53" s="609"/>
      <c r="NUW53" s="609"/>
      <c r="NUX53" s="609"/>
      <c r="NUY53" s="609"/>
      <c r="NUZ53" s="609"/>
      <c r="NVA53" s="609"/>
      <c r="NVB53" s="609"/>
      <c r="NVC53" s="609"/>
      <c r="NVD53" s="609"/>
      <c r="NVE53" s="609"/>
      <c r="NVF53" s="609"/>
      <c r="NVG53" s="609"/>
      <c r="NVH53" s="609"/>
      <c r="NVI53" s="609"/>
      <c r="NVJ53" s="609"/>
      <c r="NVK53" s="609"/>
      <c r="NVL53" s="609"/>
      <c r="NVM53" s="609"/>
      <c r="NVN53" s="609"/>
      <c r="NVO53" s="609"/>
      <c r="NVP53" s="609"/>
      <c r="NVQ53" s="609"/>
      <c r="NVR53" s="609"/>
      <c r="NVS53" s="609"/>
      <c r="NVT53" s="609"/>
      <c r="NVU53" s="609"/>
      <c r="NVV53" s="609"/>
      <c r="NVW53" s="609"/>
      <c r="NVX53" s="609"/>
      <c r="NVY53" s="609"/>
      <c r="NVZ53" s="609"/>
      <c r="NWA53" s="609"/>
      <c r="NWB53" s="609"/>
      <c r="NWC53" s="609"/>
      <c r="NWD53" s="609"/>
      <c r="NWE53" s="609"/>
      <c r="NWF53" s="609"/>
      <c r="NWG53" s="609"/>
      <c r="NWH53" s="609"/>
      <c r="NWI53" s="609"/>
      <c r="NWJ53" s="609"/>
      <c r="NWK53" s="609"/>
      <c r="NWL53" s="609"/>
      <c r="NWM53" s="609"/>
      <c r="NWN53" s="609"/>
      <c r="NWO53" s="609"/>
      <c r="NWP53" s="609"/>
      <c r="NWQ53" s="609"/>
      <c r="NWR53" s="609"/>
      <c r="NWS53" s="609"/>
      <c r="NWT53" s="609"/>
      <c r="NWU53" s="609"/>
      <c r="NWV53" s="609"/>
      <c r="NWW53" s="609"/>
      <c r="NWX53" s="609"/>
      <c r="NWY53" s="609"/>
      <c r="NWZ53" s="609"/>
      <c r="NXA53" s="609"/>
      <c r="NXB53" s="609"/>
      <c r="NXC53" s="609"/>
      <c r="NXD53" s="609"/>
      <c r="NXE53" s="609"/>
      <c r="NXF53" s="609"/>
      <c r="NXG53" s="609"/>
      <c r="NXH53" s="609"/>
      <c r="NXI53" s="609"/>
      <c r="NXJ53" s="609"/>
      <c r="NXK53" s="609"/>
      <c r="NXL53" s="609"/>
      <c r="NXM53" s="609"/>
      <c r="NXN53" s="609"/>
      <c r="NXO53" s="609"/>
      <c r="NXP53" s="609"/>
      <c r="NXQ53" s="609"/>
      <c r="NXR53" s="609"/>
      <c r="NXS53" s="609"/>
      <c r="NXT53" s="609"/>
      <c r="NXU53" s="609"/>
      <c r="NXV53" s="609"/>
      <c r="NXW53" s="609"/>
      <c r="NXX53" s="609"/>
      <c r="NXY53" s="609"/>
      <c r="NXZ53" s="609"/>
      <c r="NYA53" s="609"/>
      <c r="NYB53" s="609"/>
      <c r="NYC53" s="609"/>
      <c r="NYD53" s="609"/>
      <c r="NYE53" s="609"/>
      <c r="NYF53" s="609"/>
      <c r="NYG53" s="609"/>
      <c r="NYH53" s="609"/>
      <c r="NYI53" s="609"/>
      <c r="NYJ53" s="609"/>
      <c r="NYK53" s="609"/>
      <c r="NYL53" s="609"/>
      <c r="NYM53" s="609"/>
      <c r="NYN53" s="609"/>
      <c r="NYO53" s="609"/>
      <c r="NYP53" s="609"/>
      <c r="NYQ53" s="609"/>
      <c r="NYR53" s="609"/>
      <c r="NYS53" s="609"/>
      <c r="NYT53" s="609"/>
      <c r="NYU53" s="609"/>
      <c r="NYV53" s="609"/>
      <c r="NYW53" s="609"/>
      <c r="NYX53" s="609"/>
      <c r="NYY53" s="609"/>
      <c r="NYZ53" s="609"/>
      <c r="NZA53" s="609"/>
      <c r="NZB53" s="609"/>
      <c r="NZC53" s="609"/>
      <c r="NZD53" s="609"/>
      <c r="NZE53" s="609"/>
      <c r="NZF53" s="609"/>
      <c r="NZG53" s="609"/>
      <c r="NZH53" s="609"/>
      <c r="NZI53" s="609"/>
      <c r="NZJ53" s="609"/>
      <c r="NZK53" s="609"/>
      <c r="NZL53" s="609"/>
      <c r="NZM53" s="609"/>
      <c r="NZN53" s="609"/>
      <c r="NZO53" s="609"/>
      <c r="NZP53" s="609"/>
      <c r="NZQ53" s="609"/>
      <c r="NZR53" s="609"/>
      <c r="NZS53" s="609"/>
      <c r="NZT53" s="609"/>
      <c r="NZU53" s="609"/>
      <c r="NZV53" s="609"/>
      <c r="NZW53" s="609"/>
      <c r="NZX53" s="609"/>
      <c r="NZY53" s="609"/>
      <c r="NZZ53" s="609"/>
      <c r="OAA53" s="609"/>
      <c r="OAB53" s="609"/>
      <c r="OAC53" s="609"/>
      <c r="OAD53" s="609"/>
      <c r="OAE53" s="609"/>
      <c r="OAF53" s="609"/>
      <c r="OAG53" s="609"/>
      <c r="OAH53" s="609"/>
      <c r="OAI53" s="609"/>
      <c r="OAJ53" s="609"/>
      <c r="OAK53" s="609"/>
      <c r="OAL53" s="609"/>
      <c r="OAM53" s="609"/>
      <c r="OAN53" s="609"/>
      <c r="OAO53" s="609"/>
      <c r="OAP53" s="609"/>
      <c r="OAQ53" s="609"/>
      <c r="OAR53" s="609"/>
      <c r="OAS53" s="609"/>
      <c r="OAT53" s="609"/>
      <c r="OAU53" s="609"/>
      <c r="OAV53" s="609"/>
      <c r="OAW53" s="609"/>
      <c r="OAX53" s="609"/>
      <c r="OAY53" s="609"/>
      <c r="OAZ53" s="609"/>
      <c r="OBA53" s="609"/>
      <c r="OBB53" s="609"/>
      <c r="OBC53" s="609"/>
      <c r="OBD53" s="609"/>
      <c r="OBE53" s="609"/>
      <c r="OBF53" s="609"/>
      <c r="OBG53" s="609"/>
      <c r="OBH53" s="609"/>
      <c r="OBI53" s="609"/>
      <c r="OBJ53" s="609"/>
      <c r="OBK53" s="609"/>
      <c r="OBL53" s="609"/>
      <c r="OBM53" s="609"/>
      <c r="OBN53" s="609"/>
      <c r="OBO53" s="609"/>
      <c r="OBP53" s="609"/>
      <c r="OBQ53" s="609"/>
      <c r="OBR53" s="609"/>
      <c r="OBS53" s="609"/>
      <c r="OBT53" s="609"/>
      <c r="OBU53" s="609"/>
      <c r="OBV53" s="609"/>
      <c r="OBW53" s="609"/>
      <c r="OBX53" s="609"/>
      <c r="OBY53" s="609"/>
      <c r="OBZ53" s="609"/>
      <c r="OCA53" s="609"/>
      <c r="OCB53" s="609"/>
      <c r="OCC53" s="609"/>
      <c r="OCD53" s="609"/>
      <c r="OCE53" s="609"/>
      <c r="OCF53" s="609"/>
      <c r="OCG53" s="609"/>
      <c r="OCH53" s="609"/>
      <c r="OCI53" s="609"/>
      <c r="OCJ53" s="609"/>
      <c r="OCK53" s="609"/>
      <c r="OCL53" s="609"/>
      <c r="OCM53" s="609"/>
      <c r="OCN53" s="609"/>
      <c r="OCO53" s="609"/>
      <c r="OCP53" s="609"/>
      <c r="OCQ53" s="609"/>
      <c r="OCR53" s="609"/>
      <c r="OCS53" s="609"/>
      <c r="OCT53" s="609"/>
      <c r="OCU53" s="609"/>
      <c r="OCV53" s="609"/>
      <c r="OCW53" s="609"/>
      <c r="OCX53" s="609"/>
      <c r="OCY53" s="609"/>
      <c r="OCZ53" s="609"/>
      <c r="ODA53" s="609"/>
      <c r="ODB53" s="609"/>
      <c r="ODC53" s="609"/>
      <c r="ODD53" s="609"/>
      <c r="ODE53" s="609"/>
      <c r="ODF53" s="609"/>
      <c r="ODG53" s="609"/>
      <c r="ODH53" s="609"/>
      <c r="ODI53" s="609"/>
      <c r="ODJ53" s="609"/>
      <c r="ODK53" s="609"/>
      <c r="ODL53" s="609"/>
      <c r="ODM53" s="609"/>
      <c r="ODN53" s="609"/>
      <c r="ODO53" s="609"/>
      <c r="ODP53" s="609"/>
      <c r="ODQ53" s="609"/>
      <c r="ODR53" s="609"/>
      <c r="ODS53" s="609"/>
      <c r="ODT53" s="609"/>
      <c r="ODU53" s="609"/>
      <c r="ODV53" s="609"/>
      <c r="ODW53" s="609"/>
      <c r="ODX53" s="609"/>
      <c r="ODY53" s="609"/>
      <c r="ODZ53" s="609"/>
      <c r="OEA53" s="609"/>
      <c r="OEB53" s="609"/>
      <c r="OEC53" s="609"/>
      <c r="OED53" s="609"/>
      <c r="OEE53" s="609"/>
      <c r="OEF53" s="609"/>
      <c r="OEG53" s="609"/>
      <c r="OEH53" s="609"/>
      <c r="OEI53" s="609"/>
      <c r="OEJ53" s="609"/>
      <c r="OEK53" s="609"/>
      <c r="OEL53" s="609"/>
      <c r="OEM53" s="609"/>
      <c r="OEN53" s="609"/>
      <c r="OEO53" s="609"/>
      <c r="OEP53" s="609"/>
      <c r="OEQ53" s="609"/>
      <c r="OER53" s="609"/>
      <c r="OES53" s="609"/>
      <c r="OET53" s="609"/>
      <c r="OEU53" s="609"/>
      <c r="OEV53" s="609"/>
      <c r="OEW53" s="609"/>
      <c r="OEX53" s="609"/>
      <c r="OEY53" s="609"/>
      <c r="OEZ53" s="609"/>
      <c r="OFA53" s="609"/>
      <c r="OFB53" s="609"/>
      <c r="OFC53" s="609"/>
      <c r="OFD53" s="609"/>
      <c r="OFE53" s="609"/>
      <c r="OFF53" s="609"/>
      <c r="OFG53" s="609"/>
      <c r="OFH53" s="609"/>
      <c r="OFI53" s="609"/>
      <c r="OFJ53" s="609"/>
      <c r="OFK53" s="609"/>
      <c r="OFL53" s="609"/>
      <c r="OFM53" s="609"/>
      <c r="OFN53" s="609"/>
      <c r="OFO53" s="609"/>
      <c r="OFP53" s="609"/>
      <c r="OFQ53" s="609"/>
      <c r="OFR53" s="609"/>
      <c r="OFS53" s="609"/>
      <c r="OFT53" s="609"/>
      <c r="OFU53" s="609"/>
      <c r="OFV53" s="609"/>
      <c r="OFW53" s="609"/>
      <c r="OFX53" s="609"/>
      <c r="OFY53" s="609"/>
      <c r="OFZ53" s="609"/>
      <c r="OGA53" s="609"/>
      <c r="OGB53" s="609"/>
      <c r="OGC53" s="609"/>
      <c r="OGD53" s="609"/>
      <c r="OGE53" s="609"/>
      <c r="OGF53" s="609"/>
      <c r="OGG53" s="609"/>
      <c r="OGH53" s="609"/>
      <c r="OGI53" s="609"/>
      <c r="OGJ53" s="609"/>
      <c r="OGK53" s="609"/>
      <c r="OGL53" s="609"/>
      <c r="OGM53" s="609"/>
      <c r="OGN53" s="609"/>
      <c r="OGO53" s="609"/>
      <c r="OGP53" s="609"/>
      <c r="OGQ53" s="609"/>
      <c r="OGR53" s="609"/>
      <c r="OGS53" s="609"/>
      <c r="OGT53" s="609"/>
      <c r="OGU53" s="609"/>
      <c r="OGV53" s="609"/>
      <c r="OGW53" s="609"/>
      <c r="OGX53" s="609"/>
      <c r="OGY53" s="609"/>
      <c r="OGZ53" s="609"/>
      <c r="OHA53" s="609"/>
      <c r="OHB53" s="609"/>
      <c r="OHC53" s="609"/>
      <c r="OHD53" s="609"/>
      <c r="OHE53" s="609"/>
      <c r="OHF53" s="609"/>
      <c r="OHG53" s="609"/>
      <c r="OHH53" s="609"/>
      <c r="OHI53" s="609"/>
      <c r="OHJ53" s="609"/>
      <c r="OHK53" s="609"/>
      <c r="OHL53" s="609"/>
      <c r="OHM53" s="609"/>
      <c r="OHN53" s="609"/>
      <c r="OHO53" s="609"/>
      <c r="OHP53" s="609"/>
      <c r="OHQ53" s="609"/>
      <c r="OHR53" s="609"/>
      <c r="OHS53" s="609"/>
      <c r="OHT53" s="609"/>
      <c r="OHU53" s="609"/>
      <c r="OHV53" s="609"/>
      <c r="OHW53" s="609"/>
      <c r="OHX53" s="609"/>
      <c r="OHY53" s="609"/>
      <c r="OHZ53" s="609"/>
      <c r="OIA53" s="609"/>
      <c r="OIB53" s="609"/>
      <c r="OIC53" s="609"/>
      <c r="OID53" s="609"/>
      <c r="OIE53" s="609"/>
      <c r="OIF53" s="609"/>
      <c r="OIG53" s="609"/>
      <c r="OIH53" s="609"/>
      <c r="OII53" s="609"/>
      <c r="OIJ53" s="609"/>
      <c r="OIK53" s="609"/>
      <c r="OIL53" s="609"/>
      <c r="OIM53" s="609"/>
      <c r="OIN53" s="609"/>
      <c r="OIO53" s="609"/>
      <c r="OIP53" s="609"/>
      <c r="OIQ53" s="609"/>
      <c r="OIR53" s="609"/>
      <c r="OIS53" s="609"/>
      <c r="OIT53" s="609"/>
      <c r="OIU53" s="609"/>
      <c r="OIV53" s="609"/>
      <c r="OIW53" s="609"/>
      <c r="OIX53" s="609"/>
      <c r="OIY53" s="609"/>
      <c r="OIZ53" s="609"/>
      <c r="OJA53" s="609"/>
      <c r="OJB53" s="609"/>
      <c r="OJC53" s="609"/>
      <c r="OJD53" s="609"/>
      <c r="OJE53" s="609"/>
      <c r="OJF53" s="609"/>
      <c r="OJG53" s="609"/>
      <c r="OJH53" s="609"/>
      <c r="OJI53" s="609"/>
      <c r="OJJ53" s="609"/>
      <c r="OJK53" s="609"/>
      <c r="OJL53" s="609"/>
      <c r="OJM53" s="609"/>
      <c r="OJN53" s="609"/>
      <c r="OJO53" s="609"/>
      <c r="OJP53" s="609"/>
      <c r="OJQ53" s="609"/>
      <c r="OJR53" s="609"/>
      <c r="OJS53" s="609"/>
      <c r="OJT53" s="609"/>
      <c r="OJU53" s="609"/>
      <c r="OJV53" s="609"/>
      <c r="OJW53" s="609"/>
      <c r="OJX53" s="609"/>
      <c r="OJY53" s="609"/>
      <c r="OJZ53" s="609"/>
      <c r="OKA53" s="609"/>
      <c r="OKB53" s="609"/>
      <c r="OKC53" s="609"/>
      <c r="OKD53" s="609"/>
      <c r="OKE53" s="609"/>
      <c r="OKF53" s="609"/>
      <c r="OKG53" s="609"/>
      <c r="OKH53" s="609"/>
      <c r="OKI53" s="609"/>
      <c r="OKJ53" s="609"/>
      <c r="OKK53" s="609"/>
      <c r="OKL53" s="609"/>
      <c r="OKM53" s="609"/>
      <c r="OKN53" s="609"/>
      <c r="OKO53" s="609"/>
      <c r="OKP53" s="609"/>
      <c r="OKQ53" s="609"/>
      <c r="OKR53" s="609"/>
      <c r="OKS53" s="609"/>
      <c r="OKT53" s="609"/>
      <c r="OKU53" s="609"/>
      <c r="OKV53" s="609"/>
      <c r="OKW53" s="609"/>
      <c r="OKX53" s="609"/>
      <c r="OKY53" s="609"/>
      <c r="OKZ53" s="609"/>
      <c r="OLA53" s="609"/>
      <c r="OLB53" s="609"/>
      <c r="OLC53" s="609"/>
      <c r="OLD53" s="609"/>
      <c r="OLE53" s="609"/>
      <c r="OLF53" s="609"/>
      <c r="OLG53" s="609"/>
      <c r="OLH53" s="609"/>
      <c r="OLI53" s="609"/>
      <c r="OLJ53" s="609"/>
      <c r="OLK53" s="609"/>
      <c r="OLL53" s="609"/>
      <c r="OLM53" s="609"/>
      <c r="OLN53" s="609"/>
      <c r="OLO53" s="609"/>
      <c r="OLP53" s="609"/>
      <c r="OLQ53" s="609"/>
      <c r="OLR53" s="609"/>
      <c r="OLS53" s="609"/>
      <c r="OLT53" s="609"/>
      <c r="OLU53" s="609"/>
      <c r="OLV53" s="609"/>
      <c r="OLW53" s="609"/>
      <c r="OLX53" s="609"/>
      <c r="OLY53" s="609"/>
      <c r="OLZ53" s="609"/>
      <c r="OMA53" s="609"/>
      <c r="OMB53" s="609"/>
      <c r="OMC53" s="609"/>
      <c r="OMD53" s="609"/>
      <c r="OME53" s="609"/>
      <c r="OMF53" s="609"/>
      <c r="OMG53" s="609"/>
      <c r="OMH53" s="609"/>
      <c r="OMI53" s="609"/>
      <c r="OMJ53" s="609"/>
      <c r="OMK53" s="609"/>
      <c r="OML53" s="609"/>
      <c r="OMM53" s="609"/>
      <c r="OMN53" s="609"/>
      <c r="OMO53" s="609"/>
      <c r="OMP53" s="609"/>
      <c r="OMQ53" s="609"/>
      <c r="OMR53" s="609"/>
      <c r="OMS53" s="609"/>
      <c r="OMT53" s="609"/>
      <c r="OMU53" s="609"/>
      <c r="OMV53" s="609"/>
      <c r="OMW53" s="609"/>
      <c r="OMX53" s="609"/>
      <c r="OMY53" s="609"/>
      <c r="OMZ53" s="609"/>
      <c r="ONA53" s="609"/>
      <c r="ONB53" s="609"/>
      <c r="ONC53" s="609"/>
      <c r="OND53" s="609"/>
      <c r="ONE53" s="609"/>
      <c r="ONF53" s="609"/>
      <c r="ONG53" s="609"/>
      <c r="ONH53" s="609"/>
      <c r="ONI53" s="609"/>
      <c r="ONJ53" s="609"/>
      <c r="ONK53" s="609"/>
      <c r="ONL53" s="609"/>
      <c r="ONM53" s="609"/>
      <c r="ONN53" s="609"/>
      <c r="ONO53" s="609"/>
      <c r="ONP53" s="609"/>
      <c r="ONQ53" s="609"/>
      <c r="ONR53" s="609"/>
      <c r="ONS53" s="609"/>
      <c r="ONT53" s="609"/>
      <c r="ONU53" s="609"/>
      <c r="ONV53" s="609"/>
      <c r="ONW53" s="609"/>
      <c r="ONX53" s="609"/>
      <c r="ONY53" s="609"/>
      <c r="ONZ53" s="609"/>
      <c r="OOA53" s="609"/>
      <c r="OOB53" s="609"/>
      <c r="OOC53" s="609"/>
      <c r="OOD53" s="609"/>
      <c r="OOE53" s="609"/>
      <c r="OOF53" s="609"/>
      <c r="OOG53" s="609"/>
      <c r="OOH53" s="609"/>
      <c r="OOI53" s="609"/>
      <c r="OOJ53" s="609"/>
      <c r="OOK53" s="609"/>
      <c r="OOL53" s="609"/>
      <c r="OOM53" s="609"/>
      <c r="OON53" s="609"/>
      <c r="OOO53" s="609"/>
      <c r="OOP53" s="609"/>
      <c r="OOQ53" s="609"/>
      <c r="OOR53" s="609"/>
      <c r="OOS53" s="609"/>
      <c r="OOT53" s="609"/>
      <c r="OOU53" s="609"/>
      <c r="OOV53" s="609"/>
      <c r="OOW53" s="609"/>
      <c r="OOX53" s="609"/>
      <c r="OOY53" s="609"/>
      <c r="OOZ53" s="609"/>
      <c r="OPA53" s="609"/>
      <c r="OPB53" s="609"/>
      <c r="OPC53" s="609"/>
      <c r="OPD53" s="609"/>
      <c r="OPE53" s="609"/>
      <c r="OPF53" s="609"/>
      <c r="OPG53" s="609"/>
      <c r="OPH53" s="609"/>
      <c r="OPI53" s="609"/>
      <c r="OPJ53" s="609"/>
      <c r="OPK53" s="609"/>
      <c r="OPL53" s="609"/>
      <c r="OPM53" s="609"/>
      <c r="OPN53" s="609"/>
      <c r="OPO53" s="609"/>
      <c r="OPP53" s="609"/>
      <c r="OPQ53" s="609"/>
      <c r="OPR53" s="609"/>
      <c r="OPS53" s="609"/>
      <c r="OPT53" s="609"/>
      <c r="OPU53" s="609"/>
      <c r="OPV53" s="609"/>
      <c r="OPW53" s="609"/>
      <c r="OPX53" s="609"/>
      <c r="OPY53" s="609"/>
      <c r="OPZ53" s="609"/>
      <c r="OQA53" s="609"/>
      <c r="OQB53" s="609"/>
      <c r="OQC53" s="609"/>
      <c r="OQD53" s="609"/>
      <c r="OQE53" s="609"/>
      <c r="OQF53" s="609"/>
      <c r="OQG53" s="609"/>
      <c r="OQH53" s="609"/>
      <c r="OQI53" s="609"/>
      <c r="OQJ53" s="609"/>
      <c r="OQK53" s="609"/>
      <c r="OQL53" s="609"/>
      <c r="OQM53" s="609"/>
      <c r="OQN53" s="609"/>
      <c r="OQO53" s="609"/>
      <c r="OQP53" s="609"/>
      <c r="OQQ53" s="609"/>
      <c r="OQR53" s="609"/>
      <c r="OQS53" s="609"/>
      <c r="OQT53" s="609"/>
      <c r="OQU53" s="609"/>
      <c r="OQV53" s="609"/>
      <c r="OQW53" s="609"/>
      <c r="OQX53" s="609"/>
      <c r="OQY53" s="609"/>
      <c r="OQZ53" s="609"/>
      <c r="ORA53" s="609"/>
      <c r="ORB53" s="609"/>
      <c r="ORC53" s="609"/>
      <c r="ORD53" s="609"/>
      <c r="ORE53" s="609"/>
      <c r="ORF53" s="609"/>
      <c r="ORG53" s="609"/>
      <c r="ORH53" s="609"/>
      <c r="ORI53" s="609"/>
      <c r="ORJ53" s="609"/>
      <c r="ORK53" s="609"/>
      <c r="ORL53" s="609"/>
      <c r="ORM53" s="609"/>
      <c r="ORN53" s="609"/>
      <c r="ORO53" s="609"/>
      <c r="ORP53" s="609"/>
      <c r="ORQ53" s="609"/>
      <c r="ORR53" s="609"/>
      <c r="ORS53" s="609"/>
      <c r="ORT53" s="609"/>
      <c r="ORU53" s="609"/>
      <c r="ORV53" s="609"/>
      <c r="ORW53" s="609"/>
      <c r="ORX53" s="609"/>
      <c r="ORY53" s="609"/>
      <c r="ORZ53" s="609"/>
      <c r="OSA53" s="609"/>
      <c r="OSB53" s="609"/>
      <c r="OSC53" s="609"/>
      <c r="OSD53" s="609"/>
      <c r="OSE53" s="609"/>
      <c r="OSF53" s="609"/>
      <c r="OSG53" s="609"/>
      <c r="OSH53" s="609"/>
      <c r="OSI53" s="609"/>
      <c r="OSJ53" s="609"/>
      <c r="OSK53" s="609"/>
      <c r="OSL53" s="609"/>
      <c r="OSM53" s="609"/>
      <c r="OSN53" s="609"/>
      <c r="OSO53" s="609"/>
      <c r="OSP53" s="609"/>
      <c r="OSQ53" s="609"/>
      <c r="OSR53" s="609"/>
      <c r="OSS53" s="609"/>
      <c r="OST53" s="609"/>
      <c r="OSU53" s="609"/>
      <c r="OSV53" s="609"/>
      <c r="OSW53" s="609"/>
      <c r="OSX53" s="609"/>
      <c r="OSY53" s="609"/>
      <c r="OSZ53" s="609"/>
      <c r="OTA53" s="609"/>
      <c r="OTB53" s="609"/>
      <c r="OTC53" s="609"/>
      <c r="OTD53" s="609"/>
      <c r="OTE53" s="609"/>
      <c r="OTF53" s="609"/>
      <c r="OTG53" s="609"/>
      <c r="OTH53" s="609"/>
      <c r="OTI53" s="609"/>
      <c r="OTJ53" s="609"/>
      <c r="OTK53" s="609"/>
      <c r="OTL53" s="609"/>
      <c r="OTM53" s="609"/>
      <c r="OTN53" s="609"/>
      <c r="OTO53" s="609"/>
      <c r="OTP53" s="609"/>
      <c r="OTQ53" s="609"/>
      <c r="OTR53" s="609"/>
      <c r="OTS53" s="609"/>
      <c r="OTT53" s="609"/>
      <c r="OTU53" s="609"/>
      <c r="OTV53" s="609"/>
      <c r="OTW53" s="609"/>
      <c r="OTX53" s="609"/>
      <c r="OTY53" s="609"/>
      <c r="OTZ53" s="609"/>
      <c r="OUA53" s="609"/>
      <c r="OUB53" s="609"/>
      <c r="OUC53" s="609"/>
      <c r="OUD53" s="609"/>
      <c r="OUE53" s="609"/>
      <c r="OUF53" s="609"/>
      <c r="OUG53" s="609"/>
      <c r="OUH53" s="609"/>
      <c r="OUI53" s="609"/>
      <c r="OUJ53" s="609"/>
      <c r="OUK53" s="609"/>
      <c r="OUL53" s="609"/>
      <c r="OUM53" s="609"/>
      <c r="OUN53" s="609"/>
      <c r="OUO53" s="609"/>
      <c r="OUP53" s="609"/>
      <c r="OUQ53" s="609"/>
      <c r="OUR53" s="609"/>
      <c r="OUS53" s="609"/>
      <c r="OUT53" s="609"/>
      <c r="OUU53" s="609"/>
      <c r="OUV53" s="609"/>
      <c r="OUW53" s="609"/>
      <c r="OUX53" s="609"/>
      <c r="OUY53" s="609"/>
      <c r="OUZ53" s="609"/>
      <c r="OVA53" s="609"/>
      <c r="OVB53" s="609"/>
      <c r="OVC53" s="609"/>
      <c r="OVD53" s="609"/>
      <c r="OVE53" s="609"/>
      <c r="OVF53" s="609"/>
      <c r="OVG53" s="609"/>
      <c r="OVH53" s="609"/>
      <c r="OVI53" s="609"/>
      <c r="OVJ53" s="609"/>
      <c r="OVK53" s="609"/>
      <c r="OVL53" s="609"/>
      <c r="OVM53" s="609"/>
      <c r="OVN53" s="609"/>
      <c r="OVO53" s="609"/>
      <c r="OVP53" s="609"/>
      <c r="OVQ53" s="609"/>
      <c r="OVR53" s="609"/>
      <c r="OVS53" s="609"/>
      <c r="OVT53" s="609"/>
      <c r="OVU53" s="609"/>
      <c r="OVV53" s="609"/>
      <c r="OVW53" s="609"/>
      <c r="OVX53" s="609"/>
      <c r="OVY53" s="609"/>
      <c r="OVZ53" s="609"/>
      <c r="OWA53" s="609"/>
      <c r="OWB53" s="609"/>
      <c r="OWC53" s="609"/>
      <c r="OWD53" s="609"/>
      <c r="OWE53" s="609"/>
      <c r="OWF53" s="609"/>
      <c r="OWG53" s="609"/>
      <c r="OWH53" s="609"/>
      <c r="OWI53" s="609"/>
      <c r="OWJ53" s="609"/>
      <c r="OWK53" s="609"/>
      <c r="OWL53" s="609"/>
      <c r="OWM53" s="609"/>
      <c r="OWN53" s="609"/>
      <c r="OWO53" s="609"/>
      <c r="OWP53" s="609"/>
      <c r="OWQ53" s="609"/>
      <c r="OWR53" s="609"/>
      <c r="OWS53" s="609"/>
      <c r="OWT53" s="609"/>
      <c r="OWU53" s="609"/>
      <c r="OWV53" s="609"/>
      <c r="OWW53" s="609"/>
      <c r="OWX53" s="609"/>
      <c r="OWY53" s="609"/>
      <c r="OWZ53" s="609"/>
      <c r="OXA53" s="609"/>
      <c r="OXB53" s="609"/>
      <c r="OXC53" s="609"/>
      <c r="OXD53" s="609"/>
      <c r="OXE53" s="609"/>
      <c r="OXF53" s="609"/>
      <c r="OXG53" s="609"/>
      <c r="OXH53" s="609"/>
      <c r="OXI53" s="609"/>
      <c r="OXJ53" s="609"/>
      <c r="OXK53" s="609"/>
      <c r="OXL53" s="609"/>
      <c r="OXM53" s="609"/>
      <c r="OXN53" s="609"/>
      <c r="OXO53" s="609"/>
      <c r="OXP53" s="609"/>
      <c r="OXQ53" s="609"/>
      <c r="OXR53" s="609"/>
      <c r="OXS53" s="609"/>
      <c r="OXT53" s="609"/>
      <c r="OXU53" s="609"/>
      <c r="OXV53" s="609"/>
      <c r="OXW53" s="609"/>
      <c r="OXX53" s="609"/>
      <c r="OXY53" s="609"/>
      <c r="OXZ53" s="609"/>
      <c r="OYA53" s="609"/>
      <c r="OYB53" s="609"/>
      <c r="OYC53" s="609"/>
      <c r="OYD53" s="609"/>
      <c r="OYE53" s="609"/>
      <c r="OYF53" s="609"/>
      <c r="OYG53" s="609"/>
      <c r="OYH53" s="609"/>
      <c r="OYI53" s="609"/>
      <c r="OYJ53" s="609"/>
      <c r="OYK53" s="609"/>
      <c r="OYL53" s="609"/>
      <c r="OYM53" s="609"/>
      <c r="OYN53" s="609"/>
      <c r="OYO53" s="609"/>
      <c r="OYP53" s="609"/>
      <c r="OYQ53" s="609"/>
      <c r="OYR53" s="609"/>
      <c r="OYS53" s="609"/>
      <c r="OYT53" s="609"/>
      <c r="OYU53" s="609"/>
      <c r="OYV53" s="609"/>
      <c r="OYW53" s="609"/>
      <c r="OYX53" s="609"/>
      <c r="OYY53" s="609"/>
      <c r="OYZ53" s="609"/>
      <c r="OZA53" s="609"/>
      <c r="OZB53" s="609"/>
      <c r="OZC53" s="609"/>
      <c r="OZD53" s="609"/>
      <c r="OZE53" s="609"/>
      <c r="OZF53" s="609"/>
      <c r="OZG53" s="609"/>
      <c r="OZH53" s="609"/>
      <c r="OZI53" s="609"/>
      <c r="OZJ53" s="609"/>
      <c r="OZK53" s="609"/>
      <c r="OZL53" s="609"/>
      <c r="OZM53" s="609"/>
      <c r="OZN53" s="609"/>
      <c r="OZO53" s="609"/>
      <c r="OZP53" s="609"/>
      <c r="OZQ53" s="609"/>
      <c r="OZR53" s="609"/>
      <c r="OZS53" s="609"/>
      <c r="OZT53" s="609"/>
      <c r="OZU53" s="609"/>
      <c r="OZV53" s="609"/>
      <c r="OZW53" s="609"/>
      <c r="OZX53" s="609"/>
      <c r="OZY53" s="609"/>
      <c r="OZZ53" s="609"/>
      <c r="PAA53" s="609"/>
      <c r="PAB53" s="609"/>
      <c r="PAC53" s="609"/>
      <c r="PAD53" s="609"/>
      <c r="PAE53" s="609"/>
      <c r="PAF53" s="609"/>
      <c r="PAG53" s="609"/>
      <c r="PAH53" s="609"/>
      <c r="PAI53" s="609"/>
      <c r="PAJ53" s="609"/>
      <c r="PAK53" s="609"/>
      <c r="PAL53" s="609"/>
      <c r="PAM53" s="609"/>
      <c r="PAN53" s="609"/>
      <c r="PAO53" s="609"/>
      <c r="PAP53" s="609"/>
      <c r="PAQ53" s="609"/>
      <c r="PAR53" s="609"/>
      <c r="PAS53" s="609"/>
      <c r="PAT53" s="609"/>
      <c r="PAU53" s="609"/>
      <c r="PAV53" s="609"/>
      <c r="PAW53" s="609"/>
      <c r="PAX53" s="609"/>
      <c r="PAY53" s="609"/>
      <c r="PAZ53" s="609"/>
      <c r="PBA53" s="609"/>
      <c r="PBB53" s="609"/>
      <c r="PBC53" s="609"/>
      <c r="PBD53" s="609"/>
      <c r="PBE53" s="609"/>
      <c r="PBF53" s="609"/>
      <c r="PBG53" s="609"/>
      <c r="PBH53" s="609"/>
      <c r="PBI53" s="609"/>
      <c r="PBJ53" s="609"/>
      <c r="PBK53" s="609"/>
      <c r="PBL53" s="609"/>
      <c r="PBM53" s="609"/>
      <c r="PBN53" s="609"/>
      <c r="PBO53" s="609"/>
      <c r="PBP53" s="609"/>
      <c r="PBQ53" s="609"/>
      <c r="PBR53" s="609"/>
      <c r="PBS53" s="609"/>
      <c r="PBT53" s="609"/>
      <c r="PBU53" s="609"/>
      <c r="PBV53" s="609"/>
      <c r="PBW53" s="609"/>
      <c r="PBX53" s="609"/>
      <c r="PBY53" s="609"/>
      <c r="PBZ53" s="609"/>
      <c r="PCA53" s="609"/>
      <c r="PCB53" s="609"/>
      <c r="PCC53" s="609"/>
      <c r="PCD53" s="609"/>
      <c r="PCE53" s="609"/>
      <c r="PCF53" s="609"/>
      <c r="PCG53" s="609"/>
      <c r="PCH53" s="609"/>
      <c r="PCI53" s="609"/>
      <c r="PCJ53" s="609"/>
      <c r="PCK53" s="609"/>
      <c r="PCL53" s="609"/>
      <c r="PCM53" s="609"/>
      <c r="PCN53" s="609"/>
      <c r="PCO53" s="609"/>
      <c r="PCP53" s="609"/>
      <c r="PCQ53" s="609"/>
      <c r="PCR53" s="609"/>
      <c r="PCS53" s="609"/>
      <c r="PCT53" s="609"/>
      <c r="PCU53" s="609"/>
      <c r="PCV53" s="609"/>
      <c r="PCW53" s="609"/>
      <c r="PCX53" s="609"/>
      <c r="PCY53" s="609"/>
      <c r="PCZ53" s="609"/>
      <c r="PDA53" s="609"/>
      <c r="PDB53" s="609"/>
      <c r="PDC53" s="609"/>
      <c r="PDD53" s="609"/>
      <c r="PDE53" s="609"/>
      <c r="PDF53" s="609"/>
      <c r="PDG53" s="609"/>
      <c r="PDH53" s="609"/>
      <c r="PDI53" s="609"/>
      <c r="PDJ53" s="609"/>
      <c r="PDK53" s="609"/>
      <c r="PDL53" s="609"/>
      <c r="PDM53" s="609"/>
      <c r="PDN53" s="609"/>
      <c r="PDO53" s="609"/>
      <c r="PDP53" s="609"/>
      <c r="PDQ53" s="609"/>
      <c r="PDR53" s="609"/>
      <c r="PDS53" s="609"/>
      <c r="PDT53" s="609"/>
      <c r="PDU53" s="609"/>
      <c r="PDV53" s="609"/>
      <c r="PDW53" s="609"/>
      <c r="PDX53" s="609"/>
      <c r="PDY53" s="609"/>
      <c r="PDZ53" s="609"/>
      <c r="PEA53" s="609"/>
      <c r="PEB53" s="609"/>
      <c r="PEC53" s="609"/>
      <c r="PED53" s="609"/>
      <c r="PEE53" s="609"/>
      <c r="PEF53" s="609"/>
      <c r="PEG53" s="609"/>
      <c r="PEH53" s="609"/>
      <c r="PEI53" s="609"/>
      <c r="PEJ53" s="609"/>
      <c r="PEK53" s="609"/>
      <c r="PEL53" s="609"/>
      <c r="PEM53" s="609"/>
      <c r="PEN53" s="609"/>
      <c r="PEO53" s="609"/>
      <c r="PEP53" s="609"/>
      <c r="PEQ53" s="609"/>
      <c r="PER53" s="609"/>
      <c r="PES53" s="609"/>
      <c r="PET53" s="609"/>
      <c r="PEU53" s="609"/>
      <c r="PEV53" s="609"/>
      <c r="PEW53" s="609"/>
      <c r="PEX53" s="609"/>
      <c r="PEY53" s="609"/>
      <c r="PEZ53" s="609"/>
      <c r="PFA53" s="609"/>
      <c r="PFB53" s="609"/>
      <c r="PFC53" s="609"/>
      <c r="PFD53" s="609"/>
      <c r="PFE53" s="609"/>
      <c r="PFF53" s="609"/>
      <c r="PFG53" s="609"/>
      <c r="PFH53" s="609"/>
      <c r="PFI53" s="609"/>
      <c r="PFJ53" s="609"/>
      <c r="PFK53" s="609"/>
      <c r="PFL53" s="609"/>
      <c r="PFM53" s="609"/>
      <c r="PFN53" s="609"/>
      <c r="PFO53" s="609"/>
      <c r="PFP53" s="609"/>
      <c r="PFQ53" s="609"/>
      <c r="PFR53" s="609"/>
      <c r="PFS53" s="609"/>
      <c r="PFT53" s="609"/>
      <c r="PFU53" s="609"/>
      <c r="PFV53" s="609"/>
      <c r="PFW53" s="609"/>
      <c r="PFX53" s="609"/>
      <c r="PFY53" s="609"/>
      <c r="PFZ53" s="609"/>
      <c r="PGA53" s="609"/>
      <c r="PGB53" s="609"/>
      <c r="PGC53" s="609"/>
      <c r="PGD53" s="609"/>
      <c r="PGE53" s="609"/>
      <c r="PGF53" s="609"/>
      <c r="PGG53" s="609"/>
      <c r="PGH53" s="609"/>
      <c r="PGI53" s="609"/>
      <c r="PGJ53" s="609"/>
      <c r="PGK53" s="609"/>
      <c r="PGL53" s="609"/>
      <c r="PGM53" s="609"/>
      <c r="PGN53" s="609"/>
      <c r="PGO53" s="609"/>
      <c r="PGP53" s="609"/>
      <c r="PGQ53" s="609"/>
      <c r="PGR53" s="609"/>
      <c r="PGS53" s="609"/>
      <c r="PGT53" s="609"/>
      <c r="PGU53" s="609"/>
      <c r="PGV53" s="609"/>
      <c r="PGW53" s="609"/>
      <c r="PGX53" s="609"/>
      <c r="PGY53" s="609"/>
      <c r="PGZ53" s="609"/>
      <c r="PHA53" s="609"/>
      <c r="PHB53" s="609"/>
      <c r="PHC53" s="609"/>
      <c r="PHD53" s="609"/>
      <c r="PHE53" s="609"/>
      <c r="PHF53" s="609"/>
      <c r="PHG53" s="609"/>
      <c r="PHH53" s="609"/>
      <c r="PHI53" s="609"/>
      <c r="PHJ53" s="609"/>
      <c r="PHK53" s="609"/>
      <c r="PHL53" s="609"/>
      <c r="PHM53" s="609"/>
      <c r="PHN53" s="609"/>
      <c r="PHO53" s="609"/>
      <c r="PHP53" s="609"/>
      <c r="PHQ53" s="609"/>
      <c r="PHR53" s="609"/>
      <c r="PHS53" s="609"/>
      <c r="PHT53" s="609"/>
      <c r="PHU53" s="609"/>
      <c r="PHV53" s="609"/>
      <c r="PHW53" s="609"/>
      <c r="PHX53" s="609"/>
      <c r="PHY53" s="609"/>
      <c r="PHZ53" s="609"/>
      <c r="PIA53" s="609"/>
      <c r="PIB53" s="609"/>
      <c r="PIC53" s="609"/>
      <c r="PID53" s="609"/>
      <c r="PIE53" s="609"/>
      <c r="PIF53" s="609"/>
      <c r="PIG53" s="609"/>
      <c r="PIH53" s="609"/>
      <c r="PII53" s="609"/>
      <c r="PIJ53" s="609"/>
      <c r="PIK53" s="609"/>
      <c r="PIL53" s="609"/>
      <c r="PIM53" s="609"/>
      <c r="PIN53" s="609"/>
      <c r="PIO53" s="609"/>
      <c r="PIP53" s="609"/>
      <c r="PIQ53" s="609"/>
      <c r="PIR53" s="609"/>
      <c r="PIS53" s="609"/>
      <c r="PIT53" s="609"/>
      <c r="PIU53" s="609"/>
      <c r="PIV53" s="609"/>
      <c r="PIW53" s="609"/>
      <c r="PIX53" s="609"/>
      <c r="PIY53" s="609"/>
      <c r="PIZ53" s="609"/>
      <c r="PJA53" s="609"/>
      <c r="PJB53" s="609"/>
      <c r="PJC53" s="609"/>
      <c r="PJD53" s="609"/>
      <c r="PJE53" s="609"/>
      <c r="PJF53" s="609"/>
      <c r="PJG53" s="609"/>
      <c r="PJH53" s="609"/>
      <c r="PJI53" s="609"/>
      <c r="PJJ53" s="609"/>
      <c r="PJK53" s="609"/>
      <c r="PJL53" s="609"/>
      <c r="PJM53" s="609"/>
      <c r="PJN53" s="609"/>
      <c r="PJO53" s="609"/>
      <c r="PJP53" s="609"/>
      <c r="PJQ53" s="609"/>
      <c r="PJR53" s="609"/>
      <c r="PJS53" s="609"/>
      <c r="PJT53" s="609"/>
      <c r="PJU53" s="609"/>
      <c r="PJV53" s="609"/>
      <c r="PJW53" s="609"/>
      <c r="PJX53" s="609"/>
      <c r="PJY53" s="609"/>
      <c r="PJZ53" s="609"/>
      <c r="PKA53" s="609"/>
      <c r="PKB53" s="609"/>
      <c r="PKC53" s="609"/>
      <c r="PKD53" s="609"/>
      <c r="PKE53" s="609"/>
      <c r="PKF53" s="609"/>
      <c r="PKG53" s="609"/>
      <c r="PKH53" s="609"/>
      <c r="PKI53" s="609"/>
      <c r="PKJ53" s="609"/>
      <c r="PKK53" s="609"/>
      <c r="PKL53" s="609"/>
      <c r="PKM53" s="609"/>
      <c r="PKN53" s="609"/>
      <c r="PKO53" s="609"/>
      <c r="PKP53" s="609"/>
      <c r="PKQ53" s="609"/>
      <c r="PKR53" s="609"/>
      <c r="PKS53" s="609"/>
      <c r="PKT53" s="609"/>
      <c r="PKU53" s="609"/>
      <c r="PKV53" s="609"/>
      <c r="PKW53" s="609"/>
      <c r="PKX53" s="609"/>
      <c r="PKY53" s="609"/>
      <c r="PKZ53" s="609"/>
      <c r="PLA53" s="609"/>
      <c r="PLB53" s="609"/>
      <c r="PLC53" s="609"/>
      <c r="PLD53" s="609"/>
      <c r="PLE53" s="609"/>
      <c r="PLF53" s="609"/>
      <c r="PLG53" s="609"/>
      <c r="PLH53" s="609"/>
      <c r="PLI53" s="609"/>
      <c r="PLJ53" s="609"/>
      <c r="PLK53" s="609"/>
      <c r="PLL53" s="609"/>
      <c r="PLM53" s="609"/>
      <c r="PLN53" s="609"/>
      <c r="PLO53" s="609"/>
      <c r="PLP53" s="609"/>
      <c r="PLQ53" s="609"/>
      <c r="PLR53" s="609"/>
      <c r="PLS53" s="609"/>
      <c r="PLT53" s="609"/>
      <c r="PLU53" s="609"/>
      <c r="PLV53" s="609"/>
      <c r="PLW53" s="609"/>
      <c r="PLX53" s="609"/>
      <c r="PLY53" s="609"/>
      <c r="PLZ53" s="609"/>
      <c r="PMA53" s="609"/>
      <c r="PMB53" s="609"/>
      <c r="PMC53" s="609"/>
      <c r="PMD53" s="609"/>
      <c r="PME53" s="609"/>
      <c r="PMF53" s="609"/>
      <c r="PMG53" s="609"/>
      <c r="PMH53" s="609"/>
      <c r="PMI53" s="609"/>
      <c r="PMJ53" s="609"/>
      <c r="PMK53" s="609"/>
      <c r="PML53" s="609"/>
      <c r="PMM53" s="609"/>
      <c r="PMN53" s="609"/>
      <c r="PMO53" s="609"/>
      <c r="PMP53" s="609"/>
      <c r="PMQ53" s="609"/>
      <c r="PMR53" s="609"/>
      <c r="PMS53" s="609"/>
      <c r="PMT53" s="609"/>
      <c r="PMU53" s="609"/>
      <c r="PMV53" s="609"/>
      <c r="PMW53" s="609"/>
      <c r="PMX53" s="609"/>
      <c r="PMY53" s="609"/>
      <c r="PMZ53" s="609"/>
      <c r="PNA53" s="609"/>
      <c r="PNB53" s="609"/>
      <c r="PNC53" s="609"/>
      <c r="PND53" s="609"/>
      <c r="PNE53" s="609"/>
      <c r="PNF53" s="609"/>
      <c r="PNG53" s="609"/>
      <c r="PNH53" s="609"/>
      <c r="PNI53" s="609"/>
      <c r="PNJ53" s="609"/>
      <c r="PNK53" s="609"/>
      <c r="PNL53" s="609"/>
      <c r="PNM53" s="609"/>
      <c r="PNN53" s="609"/>
      <c r="PNO53" s="609"/>
      <c r="PNP53" s="609"/>
      <c r="PNQ53" s="609"/>
      <c r="PNR53" s="609"/>
      <c r="PNS53" s="609"/>
      <c r="PNT53" s="609"/>
      <c r="PNU53" s="609"/>
      <c r="PNV53" s="609"/>
      <c r="PNW53" s="609"/>
      <c r="PNX53" s="609"/>
      <c r="PNY53" s="609"/>
      <c r="PNZ53" s="609"/>
      <c r="POA53" s="609"/>
      <c r="POB53" s="609"/>
      <c r="POC53" s="609"/>
      <c r="POD53" s="609"/>
      <c r="POE53" s="609"/>
      <c r="POF53" s="609"/>
      <c r="POG53" s="609"/>
      <c r="POH53" s="609"/>
      <c r="POI53" s="609"/>
      <c r="POJ53" s="609"/>
      <c r="POK53" s="609"/>
      <c r="POL53" s="609"/>
      <c r="POM53" s="609"/>
      <c r="PON53" s="609"/>
      <c r="POO53" s="609"/>
      <c r="POP53" s="609"/>
      <c r="POQ53" s="609"/>
      <c r="POR53" s="609"/>
      <c r="POS53" s="609"/>
      <c r="POT53" s="609"/>
      <c r="POU53" s="609"/>
      <c r="POV53" s="609"/>
      <c r="POW53" s="609"/>
      <c r="POX53" s="609"/>
      <c r="POY53" s="609"/>
      <c r="POZ53" s="609"/>
      <c r="PPA53" s="609"/>
      <c r="PPB53" s="609"/>
      <c r="PPC53" s="609"/>
      <c r="PPD53" s="609"/>
      <c r="PPE53" s="609"/>
      <c r="PPF53" s="609"/>
      <c r="PPG53" s="609"/>
      <c r="PPH53" s="609"/>
      <c r="PPI53" s="609"/>
      <c r="PPJ53" s="609"/>
      <c r="PPK53" s="609"/>
      <c r="PPL53" s="609"/>
      <c r="PPM53" s="609"/>
      <c r="PPN53" s="609"/>
      <c r="PPO53" s="609"/>
      <c r="PPP53" s="609"/>
      <c r="PPQ53" s="609"/>
      <c r="PPR53" s="609"/>
      <c r="PPS53" s="609"/>
      <c r="PPT53" s="609"/>
      <c r="PPU53" s="609"/>
      <c r="PPV53" s="609"/>
      <c r="PPW53" s="609"/>
      <c r="PPX53" s="609"/>
      <c r="PPY53" s="609"/>
      <c r="PPZ53" s="609"/>
      <c r="PQA53" s="609"/>
      <c r="PQB53" s="609"/>
      <c r="PQC53" s="609"/>
      <c r="PQD53" s="609"/>
      <c r="PQE53" s="609"/>
      <c r="PQF53" s="609"/>
      <c r="PQG53" s="609"/>
      <c r="PQH53" s="609"/>
      <c r="PQI53" s="609"/>
      <c r="PQJ53" s="609"/>
      <c r="PQK53" s="609"/>
      <c r="PQL53" s="609"/>
      <c r="PQM53" s="609"/>
      <c r="PQN53" s="609"/>
      <c r="PQO53" s="609"/>
      <c r="PQP53" s="609"/>
      <c r="PQQ53" s="609"/>
      <c r="PQR53" s="609"/>
      <c r="PQS53" s="609"/>
      <c r="PQT53" s="609"/>
      <c r="PQU53" s="609"/>
      <c r="PQV53" s="609"/>
      <c r="PQW53" s="609"/>
      <c r="PQX53" s="609"/>
      <c r="PQY53" s="609"/>
      <c r="PQZ53" s="609"/>
      <c r="PRA53" s="609"/>
      <c r="PRB53" s="609"/>
      <c r="PRC53" s="609"/>
      <c r="PRD53" s="609"/>
      <c r="PRE53" s="609"/>
      <c r="PRF53" s="609"/>
      <c r="PRG53" s="609"/>
      <c r="PRH53" s="609"/>
      <c r="PRI53" s="609"/>
      <c r="PRJ53" s="609"/>
      <c r="PRK53" s="609"/>
      <c r="PRL53" s="609"/>
      <c r="PRM53" s="609"/>
      <c r="PRN53" s="609"/>
      <c r="PRO53" s="609"/>
      <c r="PRP53" s="609"/>
      <c r="PRQ53" s="609"/>
      <c r="PRR53" s="609"/>
      <c r="PRS53" s="609"/>
      <c r="PRT53" s="609"/>
      <c r="PRU53" s="609"/>
      <c r="PRV53" s="609"/>
      <c r="PRW53" s="609"/>
      <c r="PRX53" s="609"/>
      <c r="PRY53" s="609"/>
      <c r="PRZ53" s="609"/>
      <c r="PSA53" s="609"/>
      <c r="PSB53" s="609"/>
      <c r="PSC53" s="609"/>
      <c r="PSD53" s="609"/>
      <c r="PSE53" s="609"/>
      <c r="PSF53" s="609"/>
      <c r="PSG53" s="609"/>
      <c r="PSH53" s="609"/>
      <c r="PSI53" s="609"/>
      <c r="PSJ53" s="609"/>
      <c r="PSK53" s="609"/>
      <c r="PSL53" s="609"/>
      <c r="PSM53" s="609"/>
      <c r="PSN53" s="609"/>
      <c r="PSO53" s="609"/>
      <c r="PSP53" s="609"/>
      <c r="PSQ53" s="609"/>
      <c r="PSR53" s="609"/>
      <c r="PSS53" s="609"/>
      <c r="PST53" s="609"/>
      <c r="PSU53" s="609"/>
      <c r="PSV53" s="609"/>
      <c r="PSW53" s="609"/>
      <c r="PSX53" s="609"/>
      <c r="PSY53" s="609"/>
      <c r="PSZ53" s="609"/>
      <c r="PTA53" s="609"/>
      <c r="PTB53" s="609"/>
      <c r="PTC53" s="609"/>
      <c r="PTD53" s="609"/>
      <c r="PTE53" s="609"/>
      <c r="PTF53" s="609"/>
      <c r="PTG53" s="609"/>
      <c r="PTH53" s="609"/>
      <c r="PTI53" s="609"/>
      <c r="PTJ53" s="609"/>
      <c r="PTK53" s="609"/>
      <c r="PTL53" s="609"/>
      <c r="PTM53" s="609"/>
      <c r="PTN53" s="609"/>
      <c r="PTO53" s="609"/>
      <c r="PTP53" s="609"/>
      <c r="PTQ53" s="609"/>
      <c r="PTR53" s="609"/>
      <c r="PTS53" s="609"/>
      <c r="PTT53" s="609"/>
      <c r="PTU53" s="609"/>
      <c r="PTV53" s="609"/>
      <c r="PTW53" s="609"/>
      <c r="PTX53" s="609"/>
      <c r="PTY53" s="609"/>
      <c r="PTZ53" s="609"/>
      <c r="PUA53" s="609"/>
      <c r="PUB53" s="609"/>
      <c r="PUC53" s="609"/>
      <c r="PUD53" s="609"/>
      <c r="PUE53" s="609"/>
      <c r="PUF53" s="609"/>
      <c r="PUG53" s="609"/>
      <c r="PUH53" s="609"/>
      <c r="PUI53" s="609"/>
      <c r="PUJ53" s="609"/>
      <c r="PUK53" s="609"/>
      <c r="PUL53" s="609"/>
      <c r="PUM53" s="609"/>
      <c r="PUN53" s="609"/>
      <c r="PUO53" s="609"/>
      <c r="PUP53" s="609"/>
      <c r="PUQ53" s="609"/>
      <c r="PUR53" s="609"/>
      <c r="PUS53" s="609"/>
      <c r="PUT53" s="609"/>
      <c r="PUU53" s="609"/>
      <c r="PUV53" s="609"/>
      <c r="PUW53" s="609"/>
      <c r="PUX53" s="609"/>
      <c r="PUY53" s="609"/>
      <c r="PUZ53" s="609"/>
      <c r="PVA53" s="609"/>
      <c r="PVB53" s="609"/>
      <c r="PVC53" s="609"/>
      <c r="PVD53" s="609"/>
      <c r="PVE53" s="609"/>
      <c r="PVF53" s="609"/>
      <c r="PVG53" s="609"/>
      <c r="PVH53" s="609"/>
      <c r="PVI53" s="609"/>
      <c r="PVJ53" s="609"/>
      <c r="PVK53" s="609"/>
      <c r="PVL53" s="609"/>
      <c r="PVM53" s="609"/>
      <c r="PVN53" s="609"/>
      <c r="PVO53" s="609"/>
      <c r="PVP53" s="609"/>
      <c r="PVQ53" s="609"/>
      <c r="PVR53" s="609"/>
      <c r="PVS53" s="609"/>
      <c r="PVT53" s="609"/>
      <c r="PVU53" s="609"/>
      <c r="PVV53" s="609"/>
      <c r="PVW53" s="609"/>
      <c r="PVX53" s="609"/>
      <c r="PVY53" s="609"/>
      <c r="PVZ53" s="609"/>
      <c r="PWA53" s="609"/>
      <c r="PWB53" s="609"/>
      <c r="PWC53" s="609"/>
      <c r="PWD53" s="609"/>
      <c r="PWE53" s="609"/>
      <c r="PWF53" s="609"/>
      <c r="PWG53" s="609"/>
      <c r="PWH53" s="609"/>
      <c r="PWI53" s="609"/>
      <c r="PWJ53" s="609"/>
      <c r="PWK53" s="609"/>
      <c r="PWL53" s="609"/>
      <c r="PWM53" s="609"/>
      <c r="PWN53" s="609"/>
      <c r="PWO53" s="609"/>
      <c r="PWP53" s="609"/>
      <c r="PWQ53" s="609"/>
      <c r="PWR53" s="609"/>
      <c r="PWS53" s="609"/>
      <c r="PWT53" s="609"/>
      <c r="PWU53" s="609"/>
      <c r="PWV53" s="609"/>
      <c r="PWW53" s="609"/>
      <c r="PWX53" s="609"/>
      <c r="PWY53" s="609"/>
      <c r="PWZ53" s="609"/>
      <c r="PXA53" s="609"/>
      <c r="PXB53" s="609"/>
      <c r="PXC53" s="609"/>
      <c r="PXD53" s="609"/>
      <c r="PXE53" s="609"/>
      <c r="PXF53" s="609"/>
      <c r="PXG53" s="609"/>
      <c r="PXH53" s="609"/>
      <c r="PXI53" s="609"/>
      <c r="PXJ53" s="609"/>
      <c r="PXK53" s="609"/>
      <c r="PXL53" s="609"/>
      <c r="PXM53" s="609"/>
      <c r="PXN53" s="609"/>
      <c r="PXO53" s="609"/>
      <c r="PXP53" s="609"/>
      <c r="PXQ53" s="609"/>
      <c r="PXR53" s="609"/>
      <c r="PXS53" s="609"/>
      <c r="PXT53" s="609"/>
      <c r="PXU53" s="609"/>
      <c r="PXV53" s="609"/>
      <c r="PXW53" s="609"/>
      <c r="PXX53" s="609"/>
      <c r="PXY53" s="609"/>
      <c r="PXZ53" s="609"/>
      <c r="PYA53" s="609"/>
      <c r="PYB53" s="609"/>
      <c r="PYC53" s="609"/>
      <c r="PYD53" s="609"/>
      <c r="PYE53" s="609"/>
      <c r="PYF53" s="609"/>
      <c r="PYG53" s="609"/>
      <c r="PYH53" s="609"/>
      <c r="PYI53" s="609"/>
      <c r="PYJ53" s="609"/>
      <c r="PYK53" s="609"/>
      <c r="PYL53" s="609"/>
      <c r="PYM53" s="609"/>
      <c r="PYN53" s="609"/>
      <c r="PYO53" s="609"/>
      <c r="PYP53" s="609"/>
      <c r="PYQ53" s="609"/>
      <c r="PYR53" s="609"/>
      <c r="PYS53" s="609"/>
      <c r="PYT53" s="609"/>
      <c r="PYU53" s="609"/>
      <c r="PYV53" s="609"/>
      <c r="PYW53" s="609"/>
      <c r="PYX53" s="609"/>
      <c r="PYY53" s="609"/>
      <c r="PYZ53" s="609"/>
      <c r="PZA53" s="609"/>
      <c r="PZB53" s="609"/>
      <c r="PZC53" s="609"/>
      <c r="PZD53" s="609"/>
      <c r="PZE53" s="609"/>
      <c r="PZF53" s="609"/>
      <c r="PZG53" s="609"/>
      <c r="PZH53" s="609"/>
      <c r="PZI53" s="609"/>
      <c r="PZJ53" s="609"/>
      <c r="PZK53" s="609"/>
      <c r="PZL53" s="609"/>
      <c r="PZM53" s="609"/>
      <c r="PZN53" s="609"/>
      <c r="PZO53" s="609"/>
      <c r="PZP53" s="609"/>
      <c r="PZQ53" s="609"/>
      <c r="PZR53" s="609"/>
      <c r="PZS53" s="609"/>
      <c r="PZT53" s="609"/>
      <c r="PZU53" s="609"/>
      <c r="PZV53" s="609"/>
      <c r="PZW53" s="609"/>
      <c r="PZX53" s="609"/>
      <c r="PZY53" s="609"/>
      <c r="PZZ53" s="609"/>
      <c r="QAA53" s="609"/>
      <c r="QAB53" s="609"/>
      <c r="QAC53" s="609"/>
      <c r="QAD53" s="609"/>
      <c r="QAE53" s="609"/>
      <c r="QAF53" s="609"/>
      <c r="QAG53" s="609"/>
      <c r="QAH53" s="609"/>
      <c r="QAI53" s="609"/>
      <c r="QAJ53" s="609"/>
      <c r="QAK53" s="609"/>
      <c r="QAL53" s="609"/>
      <c r="QAM53" s="609"/>
      <c r="QAN53" s="609"/>
      <c r="QAO53" s="609"/>
      <c r="QAP53" s="609"/>
      <c r="QAQ53" s="609"/>
      <c r="QAR53" s="609"/>
      <c r="QAS53" s="609"/>
      <c r="QAT53" s="609"/>
      <c r="QAU53" s="609"/>
      <c r="QAV53" s="609"/>
      <c r="QAW53" s="609"/>
      <c r="QAX53" s="609"/>
      <c r="QAY53" s="609"/>
      <c r="QAZ53" s="609"/>
      <c r="QBA53" s="609"/>
      <c r="QBB53" s="609"/>
      <c r="QBC53" s="609"/>
      <c r="QBD53" s="609"/>
      <c r="QBE53" s="609"/>
      <c r="QBF53" s="609"/>
      <c r="QBG53" s="609"/>
      <c r="QBH53" s="609"/>
      <c r="QBI53" s="609"/>
      <c r="QBJ53" s="609"/>
      <c r="QBK53" s="609"/>
      <c r="QBL53" s="609"/>
      <c r="QBM53" s="609"/>
      <c r="QBN53" s="609"/>
      <c r="QBO53" s="609"/>
      <c r="QBP53" s="609"/>
      <c r="QBQ53" s="609"/>
      <c r="QBR53" s="609"/>
      <c r="QBS53" s="609"/>
      <c r="QBT53" s="609"/>
      <c r="QBU53" s="609"/>
      <c r="QBV53" s="609"/>
      <c r="QBW53" s="609"/>
      <c r="QBX53" s="609"/>
      <c r="QBY53" s="609"/>
      <c r="QBZ53" s="609"/>
      <c r="QCA53" s="609"/>
      <c r="QCB53" s="609"/>
      <c r="QCC53" s="609"/>
      <c r="QCD53" s="609"/>
      <c r="QCE53" s="609"/>
      <c r="QCF53" s="609"/>
      <c r="QCG53" s="609"/>
      <c r="QCH53" s="609"/>
      <c r="QCI53" s="609"/>
      <c r="QCJ53" s="609"/>
      <c r="QCK53" s="609"/>
      <c r="QCL53" s="609"/>
      <c r="QCM53" s="609"/>
      <c r="QCN53" s="609"/>
      <c r="QCO53" s="609"/>
      <c r="QCP53" s="609"/>
      <c r="QCQ53" s="609"/>
      <c r="QCR53" s="609"/>
      <c r="QCS53" s="609"/>
      <c r="QCT53" s="609"/>
      <c r="QCU53" s="609"/>
      <c r="QCV53" s="609"/>
      <c r="QCW53" s="609"/>
      <c r="QCX53" s="609"/>
      <c r="QCY53" s="609"/>
      <c r="QCZ53" s="609"/>
      <c r="QDA53" s="609"/>
      <c r="QDB53" s="609"/>
      <c r="QDC53" s="609"/>
      <c r="QDD53" s="609"/>
      <c r="QDE53" s="609"/>
      <c r="QDF53" s="609"/>
      <c r="QDG53" s="609"/>
      <c r="QDH53" s="609"/>
      <c r="QDI53" s="609"/>
      <c r="QDJ53" s="609"/>
      <c r="QDK53" s="609"/>
      <c r="QDL53" s="609"/>
      <c r="QDM53" s="609"/>
      <c r="QDN53" s="609"/>
      <c r="QDO53" s="609"/>
      <c r="QDP53" s="609"/>
      <c r="QDQ53" s="609"/>
      <c r="QDR53" s="609"/>
      <c r="QDS53" s="609"/>
      <c r="QDT53" s="609"/>
      <c r="QDU53" s="609"/>
      <c r="QDV53" s="609"/>
      <c r="QDW53" s="609"/>
      <c r="QDX53" s="609"/>
      <c r="QDY53" s="609"/>
      <c r="QDZ53" s="609"/>
      <c r="QEA53" s="609"/>
      <c r="QEB53" s="609"/>
      <c r="QEC53" s="609"/>
      <c r="QED53" s="609"/>
      <c r="QEE53" s="609"/>
      <c r="QEF53" s="609"/>
      <c r="QEG53" s="609"/>
      <c r="QEH53" s="609"/>
      <c r="QEI53" s="609"/>
      <c r="QEJ53" s="609"/>
      <c r="QEK53" s="609"/>
      <c r="QEL53" s="609"/>
      <c r="QEM53" s="609"/>
      <c r="QEN53" s="609"/>
      <c r="QEO53" s="609"/>
      <c r="QEP53" s="609"/>
      <c r="QEQ53" s="609"/>
      <c r="QER53" s="609"/>
      <c r="QES53" s="609"/>
      <c r="QET53" s="609"/>
      <c r="QEU53" s="609"/>
      <c r="QEV53" s="609"/>
      <c r="QEW53" s="609"/>
      <c r="QEX53" s="609"/>
      <c r="QEY53" s="609"/>
      <c r="QEZ53" s="609"/>
      <c r="QFA53" s="609"/>
      <c r="QFB53" s="609"/>
      <c r="QFC53" s="609"/>
      <c r="QFD53" s="609"/>
      <c r="QFE53" s="609"/>
      <c r="QFF53" s="609"/>
      <c r="QFG53" s="609"/>
      <c r="QFH53" s="609"/>
      <c r="QFI53" s="609"/>
      <c r="QFJ53" s="609"/>
      <c r="QFK53" s="609"/>
      <c r="QFL53" s="609"/>
      <c r="QFM53" s="609"/>
      <c r="QFN53" s="609"/>
      <c r="QFO53" s="609"/>
      <c r="QFP53" s="609"/>
      <c r="QFQ53" s="609"/>
      <c r="QFR53" s="609"/>
      <c r="QFS53" s="609"/>
      <c r="QFT53" s="609"/>
      <c r="QFU53" s="609"/>
      <c r="QFV53" s="609"/>
      <c r="QFW53" s="609"/>
      <c r="QFX53" s="609"/>
      <c r="QFY53" s="609"/>
      <c r="QFZ53" s="609"/>
      <c r="QGA53" s="609"/>
      <c r="QGB53" s="609"/>
      <c r="QGC53" s="609"/>
      <c r="QGD53" s="609"/>
      <c r="QGE53" s="609"/>
      <c r="QGF53" s="609"/>
      <c r="QGG53" s="609"/>
      <c r="QGH53" s="609"/>
      <c r="QGI53" s="609"/>
      <c r="QGJ53" s="609"/>
      <c r="QGK53" s="609"/>
      <c r="QGL53" s="609"/>
      <c r="QGM53" s="609"/>
      <c r="QGN53" s="609"/>
      <c r="QGO53" s="609"/>
      <c r="QGP53" s="609"/>
      <c r="QGQ53" s="609"/>
      <c r="QGR53" s="609"/>
      <c r="QGS53" s="609"/>
      <c r="QGT53" s="609"/>
      <c r="QGU53" s="609"/>
      <c r="QGV53" s="609"/>
      <c r="QGW53" s="609"/>
      <c r="QGX53" s="609"/>
      <c r="QGY53" s="609"/>
      <c r="QGZ53" s="609"/>
      <c r="QHA53" s="609"/>
      <c r="QHB53" s="609"/>
      <c r="QHC53" s="609"/>
      <c r="QHD53" s="609"/>
      <c r="QHE53" s="609"/>
      <c r="QHF53" s="609"/>
      <c r="QHG53" s="609"/>
      <c r="QHH53" s="609"/>
      <c r="QHI53" s="609"/>
      <c r="QHJ53" s="609"/>
      <c r="QHK53" s="609"/>
      <c r="QHL53" s="609"/>
      <c r="QHM53" s="609"/>
      <c r="QHN53" s="609"/>
      <c r="QHO53" s="609"/>
      <c r="QHP53" s="609"/>
      <c r="QHQ53" s="609"/>
      <c r="QHR53" s="609"/>
      <c r="QHS53" s="609"/>
      <c r="QHT53" s="609"/>
      <c r="QHU53" s="609"/>
      <c r="QHV53" s="609"/>
      <c r="QHW53" s="609"/>
      <c r="QHX53" s="609"/>
      <c r="QHY53" s="609"/>
      <c r="QHZ53" s="609"/>
      <c r="QIA53" s="609"/>
      <c r="QIB53" s="609"/>
      <c r="QIC53" s="609"/>
      <c r="QID53" s="609"/>
      <c r="QIE53" s="609"/>
      <c r="QIF53" s="609"/>
      <c r="QIG53" s="609"/>
      <c r="QIH53" s="609"/>
      <c r="QII53" s="609"/>
      <c r="QIJ53" s="609"/>
      <c r="QIK53" s="609"/>
      <c r="QIL53" s="609"/>
      <c r="QIM53" s="609"/>
      <c r="QIN53" s="609"/>
      <c r="QIO53" s="609"/>
      <c r="QIP53" s="609"/>
      <c r="QIQ53" s="609"/>
      <c r="QIR53" s="609"/>
      <c r="QIS53" s="609"/>
      <c r="QIT53" s="609"/>
      <c r="QIU53" s="609"/>
      <c r="QIV53" s="609"/>
      <c r="QIW53" s="609"/>
      <c r="QIX53" s="609"/>
      <c r="QIY53" s="609"/>
      <c r="QIZ53" s="609"/>
      <c r="QJA53" s="609"/>
      <c r="QJB53" s="609"/>
      <c r="QJC53" s="609"/>
      <c r="QJD53" s="609"/>
      <c r="QJE53" s="609"/>
      <c r="QJF53" s="609"/>
      <c r="QJG53" s="609"/>
      <c r="QJH53" s="609"/>
      <c r="QJI53" s="609"/>
      <c r="QJJ53" s="609"/>
      <c r="QJK53" s="609"/>
      <c r="QJL53" s="609"/>
      <c r="QJM53" s="609"/>
      <c r="QJN53" s="609"/>
      <c r="QJO53" s="609"/>
      <c r="QJP53" s="609"/>
      <c r="QJQ53" s="609"/>
      <c r="QJR53" s="609"/>
      <c r="QJS53" s="609"/>
      <c r="QJT53" s="609"/>
      <c r="QJU53" s="609"/>
      <c r="QJV53" s="609"/>
      <c r="QJW53" s="609"/>
      <c r="QJX53" s="609"/>
      <c r="QJY53" s="609"/>
      <c r="QJZ53" s="609"/>
      <c r="QKA53" s="609"/>
      <c r="QKB53" s="609"/>
      <c r="QKC53" s="609"/>
      <c r="QKD53" s="609"/>
      <c r="QKE53" s="609"/>
      <c r="QKF53" s="609"/>
      <c r="QKG53" s="609"/>
      <c r="QKH53" s="609"/>
      <c r="QKI53" s="609"/>
      <c r="QKJ53" s="609"/>
      <c r="QKK53" s="609"/>
      <c r="QKL53" s="609"/>
      <c r="QKM53" s="609"/>
      <c r="QKN53" s="609"/>
      <c r="QKO53" s="609"/>
      <c r="QKP53" s="609"/>
      <c r="QKQ53" s="609"/>
      <c r="QKR53" s="609"/>
      <c r="QKS53" s="609"/>
      <c r="QKT53" s="609"/>
      <c r="QKU53" s="609"/>
      <c r="QKV53" s="609"/>
      <c r="QKW53" s="609"/>
      <c r="QKX53" s="609"/>
      <c r="QKY53" s="609"/>
      <c r="QKZ53" s="609"/>
      <c r="QLA53" s="609"/>
      <c r="QLB53" s="609"/>
      <c r="QLC53" s="609"/>
      <c r="QLD53" s="609"/>
      <c r="QLE53" s="609"/>
      <c r="QLF53" s="609"/>
      <c r="QLG53" s="609"/>
      <c r="QLH53" s="609"/>
      <c r="QLI53" s="609"/>
      <c r="QLJ53" s="609"/>
      <c r="QLK53" s="609"/>
      <c r="QLL53" s="609"/>
      <c r="QLM53" s="609"/>
      <c r="QLN53" s="609"/>
      <c r="QLO53" s="609"/>
      <c r="QLP53" s="609"/>
      <c r="QLQ53" s="609"/>
      <c r="QLR53" s="609"/>
      <c r="QLS53" s="609"/>
      <c r="QLT53" s="609"/>
      <c r="QLU53" s="609"/>
      <c r="QLV53" s="609"/>
      <c r="QLW53" s="609"/>
      <c r="QLX53" s="609"/>
      <c r="QLY53" s="609"/>
      <c r="QLZ53" s="609"/>
      <c r="QMA53" s="609"/>
      <c r="QMB53" s="609"/>
      <c r="QMC53" s="609"/>
      <c r="QMD53" s="609"/>
      <c r="QME53" s="609"/>
      <c r="QMF53" s="609"/>
      <c r="QMG53" s="609"/>
      <c r="QMH53" s="609"/>
      <c r="QMI53" s="609"/>
      <c r="QMJ53" s="609"/>
      <c r="QMK53" s="609"/>
      <c r="QML53" s="609"/>
      <c r="QMM53" s="609"/>
      <c r="QMN53" s="609"/>
      <c r="QMO53" s="609"/>
      <c r="QMP53" s="609"/>
      <c r="QMQ53" s="609"/>
      <c r="QMR53" s="609"/>
      <c r="QMS53" s="609"/>
      <c r="QMT53" s="609"/>
      <c r="QMU53" s="609"/>
      <c r="QMV53" s="609"/>
      <c r="QMW53" s="609"/>
      <c r="QMX53" s="609"/>
      <c r="QMY53" s="609"/>
      <c r="QMZ53" s="609"/>
      <c r="QNA53" s="609"/>
      <c r="QNB53" s="609"/>
      <c r="QNC53" s="609"/>
      <c r="QND53" s="609"/>
      <c r="QNE53" s="609"/>
      <c r="QNF53" s="609"/>
      <c r="QNG53" s="609"/>
      <c r="QNH53" s="609"/>
      <c r="QNI53" s="609"/>
      <c r="QNJ53" s="609"/>
      <c r="QNK53" s="609"/>
      <c r="QNL53" s="609"/>
      <c r="QNM53" s="609"/>
      <c r="QNN53" s="609"/>
      <c r="QNO53" s="609"/>
      <c r="QNP53" s="609"/>
      <c r="QNQ53" s="609"/>
      <c r="QNR53" s="609"/>
      <c r="QNS53" s="609"/>
      <c r="QNT53" s="609"/>
      <c r="QNU53" s="609"/>
      <c r="QNV53" s="609"/>
      <c r="QNW53" s="609"/>
      <c r="QNX53" s="609"/>
      <c r="QNY53" s="609"/>
      <c r="QNZ53" s="609"/>
      <c r="QOA53" s="609"/>
      <c r="QOB53" s="609"/>
      <c r="QOC53" s="609"/>
      <c r="QOD53" s="609"/>
      <c r="QOE53" s="609"/>
      <c r="QOF53" s="609"/>
      <c r="QOG53" s="609"/>
      <c r="QOH53" s="609"/>
      <c r="QOI53" s="609"/>
      <c r="QOJ53" s="609"/>
      <c r="QOK53" s="609"/>
      <c r="QOL53" s="609"/>
      <c r="QOM53" s="609"/>
      <c r="QON53" s="609"/>
      <c r="QOO53" s="609"/>
      <c r="QOP53" s="609"/>
      <c r="QOQ53" s="609"/>
      <c r="QOR53" s="609"/>
      <c r="QOS53" s="609"/>
      <c r="QOT53" s="609"/>
      <c r="QOU53" s="609"/>
      <c r="QOV53" s="609"/>
      <c r="QOW53" s="609"/>
      <c r="QOX53" s="609"/>
      <c r="QOY53" s="609"/>
      <c r="QOZ53" s="609"/>
      <c r="QPA53" s="609"/>
      <c r="QPB53" s="609"/>
      <c r="QPC53" s="609"/>
      <c r="QPD53" s="609"/>
      <c r="QPE53" s="609"/>
      <c r="QPF53" s="609"/>
      <c r="QPG53" s="609"/>
      <c r="QPH53" s="609"/>
      <c r="QPI53" s="609"/>
      <c r="QPJ53" s="609"/>
      <c r="QPK53" s="609"/>
      <c r="QPL53" s="609"/>
      <c r="QPM53" s="609"/>
      <c r="QPN53" s="609"/>
      <c r="QPO53" s="609"/>
      <c r="QPP53" s="609"/>
      <c r="QPQ53" s="609"/>
      <c r="QPR53" s="609"/>
      <c r="QPS53" s="609"/>
      <c r="QPT53" s="609"/>
      <c r="QPU53" s="609"/>
      <c r="QPV53" s="609"/>
      <c r="QPW53" s="609"/>
      <c r="QPX53" s="609"/>
      <c r="QPY53" s="609"/>
      <c r="QPZ53" s="609"/>
      <c r="QQA53" s="609"/>
      <c r="QQB53" s="609"/>
      <c r="QQC53" s="609"/>
      <c r="QQD53" s="609"/>
      <c r="QQE53" s="609"/>
      <c r="QQF53" s="609"/>
      <c r="QQG53" s="609"/>
      <c r="QQH53" s="609"/>
      <c r="QQI53" s="609"/>
      <c r="QQJ53" s="609"/>
      <c r="QQK53" s="609"/>
      <c r="QQL53" s="609"/>
      <c r="QQM53" s="609"/>
      <c r="QQN53" s="609"/>
      <c r="QQO53" s="609"/>
      <c r="QQP53" s="609"/>
      <c r="QQQ53" s="609"/>
      <c r="QQR53" s="609"/>
      <c r="QQS53" s="609"/>
      <c r="QQT53" s="609"/>
      <c r="QQU53" s="609"/>
      <c r="QQV53" s="609"/>
      <c r="QQW53" s="609"/>
      <c r="QQX53" s="609"/>
      <c r="QQY53" s="609"/>
      <c r="QQZ53" s="609"/>
      <c r="QRA53" s="609"/>
      <c r="QRB53" s="609"/>
      <c r="QRC53" s="609"/>
      <c r="QRD53" s="609"/>
      <c r="QRE53" s="609"/>
      <c r="QRF53" s="609"/>
      <c r="QRG53" s="609"/>
      <c r="QRH53" s="609"/>
      <c r="QRI53" s="609"/>
      <c r="QRJ53" s="609"/>
      <c r="QRK53" s="609"/>
      <c r="QRL53" s="609"/>
      <c r="QRM53" s="609"/>
      <c r="QRN53" s="609"/>
      <c r="QRO53" s="609"/>
      <c r="QRP53" s="609"/>
      <c r="QRQ53" s="609"/>
      <c r="QRR53" s="609"/>
      <c r="QRS53" s="609"/>
      <c r="QRT53" s="609"/>
      <c r="QRU53" s="609"/>
      <c r="QRV53" s="609"/>
      <c r="QRW53" s="609"/>
      <c r="QRX53" s="609"/>
      <c r="QRY53" s="609"/>
      <c r="QRZ53" s="609"/>
      <c r="QSA53" s="609"/>
      <c r="QSB53" s="609"/>
      <c r="QSC53" s="609"/>
      <c r="QSD53" s="609"/>
      <c r="QSE53" s="609"/>
      <c r="QSF53" s="609"/>
      <c r="QSG53" s="609"/>
      <c r="QSH53" s="609"/>
      <c r="QSI53" s="609"/>
      <c r="QSJ53" s="609"/>
      <c r="QSK53" s="609"/>
      <c r="QSL53" s="609"/>
      <c r="QSM53" s="609"/>
      <c r="QSN53" s="609"/>
      <c r="QSO53" s="609"/>
      <c r="QSP53" s="609"/>
      <c r="QSQ53" s="609"/>
      <c r="QSR53" s="609"/>
      <c r="QSS53" s="609"/>
      <c r="QST53" s="609"/>
      <c r="QSU53" s="609"/>
      <c r="QSV53" s="609"/>
      <c r="QSW53" s="609"/>
      <c r="QSX53" s="609"/>
      <c r="QSY53" s="609"/>
      <c r="QSZ53" s="609"/>
      <c r="QTA53" s="609"/>
      <c r="QTB53" s="609"/>
      <c r="QTC53" s="609"/>
      <c r="QTD53" s="609"/>
      <c r="QTE53" s="609"/>
      <c r="QTF53" s="609"/>
      <c r="QTG53" s="609"/>
      <c r="QTH53" s="609"/>
      <c r="QTI53" s="609"/>
      <c r="QTJ53" s="609"/>
      <c r="QTK53" s="609"/>
      <c r="QTL53" s="609"/>
      <c r="QTM53" s="609"/>
      <c r="QTN53" s="609"/>
      <c r="QTO53" s="609"/>
      <c r="QTP53" s="609"/>
      <c r="QTQ53" s="609"/>
      <c r="QTR53" s="609"/>
      <c r="QTS53" s="609"/>
      <c r="QTT53" s="609"/>
      <c r="QTU53" s="609"/>
      <c r="QTV53" s="609"/>
      <c r="QTW53" s="609"/>
      <c r="QTX53" s="609"/>
      <c r="QTY53" s="609"/>
      <c r="QTZ53" s="609"/>
      <c r="QUA53" s="609"/>
      <c r="QUB53" s="609"/>
      <c r="QUC53" s="609"/>
      <c r="QUD53" s="609"/>
      <c r="QUE53" s="609"/>
      <c r="QUF53" s="609"/>
      <c r="QUG53" s="609"/>
      <c r="QUH53" s="609"/>
      <c r="QUI53" s="609"/>
      <c r="QUJ53" s="609"/>
      <c r="QUK53" s="609"/>
      <c r="QUL53" s="609"/>
      <c r="QUM53" s="609"/>
      <c r="QUN53" s="609"/>
      <c r="QUO53" s="609"/>
      <c r="QUP53" s="609"/>
      <c r="QUQ53" s="609"/>
      <c r="QUR53" s="609"/>
      <c r="QUS53" s="609"/>
      <c r="QUT53" s="609"/>
      <c r="QUU53" s="609"/>
      <c r="QUV53" s="609"/>
      <c r="QUW53" s="609"/>
      <c r="QUX53" s="609"/>
      <c r="QUY53" s="609"/>
      <c r="QUZ53" s="609"/>
      <c r="QVA53" s="609"/>
      <c r="QVB53" s="609"/>
      <c r="QVC53" s="609"/>
      <c r="QVD53" s="609"/>
      <c r="QVE53" s="609"/>
      <c r="QVF53" s="609"/>
      <c r="QVG53" s="609"/>
      <c r="QVH53" s="609"/>
      <c r="QVI53" s="609"/>
      <c r="QVJ53" s="609"/>
      <c r="QVK53" s="609"/>
      <c r="QVL53" s="609"/>
      <c r="QVM53" s="609"/>
      <c r="QVN53" s="609"/>
      <c r="QVO53" s="609"/>
      <c r="QVP53" s="609"/>
      <c r="QVQ53" s="609"/>
      <c r="QVR53" s="609"/>
      <c r="QVS53" s="609"/>
      <c r="QVT53" s="609"/>
      <c r="QVU53" s="609"/>
      <c r="QVV53" s="609"/>
      <c r="QVW53" s="609"/>
      <c r="QVX53" s="609"/>
      <c r="QVY53" s="609"/>
      <c r="QVZ53" s="609"/>
      <c r="QWA53" s="609"/>
      <c r="QWB53" s="609"/>
      <c r="QWC53" s="609"/>
      <c r="QWD53" s="609"/>
      <c r="QWE53" s="609"/>
      <c r="QWF53" s="609"/>
      <c r="QWG53" s="609"/>
      <c r="QWH53" s="609"/>
      <c r="QWI53" s="609"/>
      <c r="QWJ53" s="609"/>
      <c r="QWK53" s="609"/>
      <c r="QWL53" s="609"/>
      <c r="QWM53" s="609"/>
      <c r="QWN53" s="609"/>
      <c r="QWO53" s="609"/>
      <c r="QWP53" s="609"/>
      <c r="QWQ53" s="609"/>
      <c r="QWR53" s="609"/>
      <c r="QWS53" s="609"/>
      <c r="QWT53" s="609"/>
      <c r="QWU53" s="609"/>
      <c r="QWV53" s="609"/>
      <c r="QWW53" s="609"/>
      <c r="QWX53" s="609"/>
      <c r="QWY53" s="609"/>
      <c r="QWZ53" s="609"/>
      <c r="QXA53" s="609"/>
      <c r="QXB53" s="609"/>
      <c r="QXC53" s="609"/>
      <c r="QXD53" s="609"/>
      <c r="QXE53" s="609"/>
      <c r="QXF53" s="609"/>
      <c r="QXG53" s="609"/>
      <c r="QXH53" s="609"/>
      <c r="QXI53" s="609"/>
      <c r="QXJ53" s="609"/>
      <c r="QXK53" s="609"/>
      <c r="QXL53" s="609"/>
      <c r="QXM53" s="609"/>
      <c r="QXN53" s="609"/>
      <c r="QXO53" s="609"/>
      <c r="QXP53" s="609"/>
      <c r="QXQ53" s="609"/>
      <c r="QXR53" s="609"/>
      <c r="QXS53" s="609"/>
      <c r="QXT53" s="609"/>
      <c r="QXU53" s="609"/>
      <c r="QXV53" s="609"/>
      <c r="QXW53" s="609"/>
      <c r="QXX53" s="609"/>
      <c r="QXY53" s="609"/>
      <c r="QXZ53" s="609"/>
      <c r="QYA53" s="609"/>
      <c r="QYB53" s="609"/>
      <c r="QYC53" s="609"/>
      <c r="QYD53" s="609"/>
      <c r="QYE53" s="609"/>
      <c r="QYF53" s="609"/>
      <c r="QYG53" s="609"/>
      <c r="QYH53" s="609"/>
      <c r="QYI53" s="609"/>
      <c r="QYJ53" s="609"/>
      <c r="QYK53" s="609"/>
      <c r="QYL53" s="609"/>
      <c r="QYM53" s="609"/>
      <c r="QYN53" s="609"/>
      <c r="QYO53" s="609"/>
      <c r="QYP53" s="609"/>
      <c r="QYQ53" s="609"/>
      <c r="QYR53" s="609"/>
      <c r="QYS53" s="609"/>
      <c r="QYT53" s="609"/>
      <c r="QYU53" s="609"/>
      <c r="QYV53" s="609"/>
      <c r="QYW53" s="609"/>
      <c r="QYX53" s="609"/>
      <c r="QYY53" s="609"/>
      <c r="QYZ53" s="609"/>
      <c r="QZA53" s="609"/>
      <c r="QZB53" s="609"/>
      <c r="QZC53" s="609"/>
      <c r="QZD53" s="609"/>
      <c r="QZE53" s="609"/>
      <c r="QZF53" s="609"/>
      <c r="QZG53" s="609"/>
      <c r="QZH53" s="609"/>
      <c r="QZI53" s="609"/>
      <c r="QZJ53" s="609"/>
      <c r="QZK53" s="609"/>
      <c r="QZL53" s="609"/>
      <c r="QZM53" s="609"/>
      <c r="QZN53" s="609"/>
      <c r="QZO53" s="609"/>
      <c r="QZP53" s="609"/>
      <c r="QZQ53" s="609"/>
      <c r="QZR53" s="609"/>
      <c r="QZS53" s="609"/>
      <c r="QZT53" s="609"/>
      <c r="QZU53" s="609"/>
      <c r="QZV53" s="609"/>
      <c r="QZW53" s="609"/>
      <c r="QZX53" s="609"/>
      <c r="QZY53" s="609"/>
      <c r="QZZ53" s="609"/>
      <c r="RAA53" s="609"/>
      <c r="RAB53" s="609"/>
      <c r="RAC53" s="609"/>
      <c r="RAD53" s="609"/>
      <c r="RAE53" s="609"/>
      <c r="RAF53" s="609"/>
      <c r="RAG53" s="609"/>
      <c r="RAH53" s="609"/>
      <c r="RAI53" s="609"/>
      <c r="RAJ53" s="609"/>
      <c r="RAK53" s="609"/>
      <c r="RAL53" s="609"/>
      <c r="RAM53" s="609"/>
      <c r="RAN53" s="609"/>
      <c r="RAO53" s="609"/>
      <c r="RAP53" s="609"/>
      <c r="RAQ53" s="609"/>
      <c r="RAR53" s="609"/>
      <c r="RAS53" s="609"/>
      <c r="RAT53" s="609"/>
      <c r="RAU53" s="609"/>
      <c r="RAV53" s="609"/>
      <c r="RAW53" s="609"/>
      <c r="RAX53" s="609"/>
      <c r="RAY53" s="609"/>
      <c r="RAZ53" s="609"/>
      <c r="RBA53" s="609"/>
      <c r="RBB53" s="609"/>
      <c r="RBC53" s="609"/>
      <c r="RBD53" s="609"/>
      <c r="RBE53" s="609"/>
      <c r="RBF53" s="609"/>
      <c r="RBG53" s="609"/>
      <c r="RBH53" s="609"/>
      <c r="RBI53" s="609"/>
      <c r="RBJ53" s="609"/>
      <c r="RBK53" s="609"/>
      <c r="RBL53" s="609"/>
      <c r="RBM53" s="609"/>
      <c r="RBN53" s="609"/>
      <c r="RBO53" s="609"/>
      <c r="RBP53" s="609"/>
      <c r="RBQ53" s="609"/>
      <c r="RBR53" s="609"/>
      <c r="RBS53" s="609"/>
      <c r="RBT53" s="609"/>
      <c r="RBU53" s="609"/>
      <c r="RBV53" s="609"/>
      <c r="RBW53" s="609"/>
      <c r="RBX53" s="609"/>
      <c r="RBY53" s="609"/>
      <c r="RBZ53" s="609"/>
      <c r="RCA53" s="609"/>
      <c r="RCB53" s="609"/>
      <c r="RCC53" s="609"/>
      <c r="RCD53" s="609"/>
      <c r="RCE53" s="609"/>
      <c r="RCF53" s="609"/>
      <c r="RCG53" s="609"/>
      <c r="RCH53" s="609"/>
      <c r="RCI53" s="609"/>
      <c r="RCJ53" s="609"/>
      <c r="RCK53" s="609"/>
      <c r="RCL53" s="609"/>
      <c r="RCM53" s="609"/>
      <c r="RCN53" s="609"/>
      <c r="RCO53" s="609"/>
      <c r="RCP53" s="609"/>
      <c r="RCQ53" s="609"/>
      <c r="RCR53" s="609"/>
      <c r="RCS53" s="609"/>
      <c r="RCT53" s="609"/>
      <c r="RCU53" s="609"/>
      <c r="RCV53" s="609"/>
      <c r="RCW53" s="609"/>
      <c r="RCX53" s="609"/>
      <c r="RCY53" s="609"/>
      <c r="RCZ53" s="609"/>
      <c r="RDA53" s="609"/>
      <c r="RDB53" s="609"/>
      <c r="RDC53" s="609"/>
      <c r="RDD53" s="609"/>
      <c r="RDE53" s="609"/>
      <c r="RDF53" s="609"/>
      <c r="RDG53" s="609"/>
      <c r="RDH53" s="609"/>
      <c r="RDI53" s="609"/>
      <c r="RDJ53" s="609"/>
      <c r="RDK53" s="609"/>
      <c r="RDL53" s="609"/>
      <c r="RDM53" s="609"/>
      <c r="RDN53" s="609"/>
      <c r="RDO53" s="609"/>
      <c r="RDP53" s="609"/>
      <c r="RDQ53" s="609"/>
      <c r="RDR53" s="609"/>
      <c r="RDS53" s="609"/>
      <c r="RDT53" s="609"/>
      <c r="RDU53" s="609"/>
      <c r="RDV53" s="609"/>
      <c r="RDW53" s="609"/>
      <c r="RDX53" s="609"/>
      <c r="RDY53" s="609"/>
      <c r="RDZ53" s="609"/>
      <c r="REA53" s="609"/>
      <c r="REB53" s="609"/>
      <c r="REC53" s="609"/>
      <c r="RED53" s="609"/>
      <c r="REE53" s="609"/>
      <c r="REF53" s="609"/>
      <c r="REG53" s="609"/>
      <c r="REH53" s="609"/>
      <c r="REI53" s="609"/>
      <c r="REJ53" s="609"/>
      <c r="REK53" s="609"/>
      <c r="REL53" s="609"/>
      <c r="REM53" s="609"/>
      <c r="REN53" s="609"/>
      <c r="REO53" s="609"/>
      <c r="REP53" s="609"/>
      <c r="REQ53" s="609"/>
      <c r="RER53" s="609"/>
      <c r="RES53" s="609"/>
      <c r="RET53" s="609"/>
      <c r="REU53" s="609"/>
      <c r="REV53" s="609"/>
      <c r="REW53" s="609"/>
      <c r="REX53" s="609"/>
      <c r="REY53" s="609"/>
      <c r="REZ53" s="609"/>
      <c r="RFA53" s="609"/>
      <c r="RFB53" s="609"/>
      <c r="RFC53" s="609"/>
      <c r="RFD53" s="609"/>
      <c r="RFE53" s="609"/>
      <c r="RFF53" s="609"/>
      <c r="RFG53" s="609"/>
      <c r="RFH53" s="609"/>
      <c r="RFI53" s="609"/>
      <c r="RFJ53" s="609"/>
      <c r="RFK53" s="609"/>
      <c r="RFL53" s="609"/>
      <c r="RFM53" s="609"/>
      <c r="RFN53" s="609"/>
      <c r="RFO53" s="609"/>
      <c r="RFP53" s="609"/>
      <c r="RFQ53" s="609"/>
      <c r="RFR53" s="609"/>
      <c r="RFS53" s="609"/>
      <c r="RFT53" s="609"/>
      <c r="RFU53" s="609"/>
      <c r="RFV53" s="609"/>
      <c r="RFW53" s="609"/>
      <c r="RFX53" s="609"/>
      <c r="RFY53" s="609"/>
      <c r="RFZ53" s="609"/>
      <c r="RGA53" s="609"/>
      <c r="RGB53" s="609"/>
      <c r="RGC53" s="609"/>
      <c r="RGD53" s="609"/>
      <c r="RGE53" s="609"/>
      <c r="RGF53" s="609"/>
      <c r="RGG53" s="609"/>
      <c r="RGH53" s="609"/>
      <c r="RGI53" s="609"/>
      <c r="RGJ53" s="609"/>
      <c r="RGK53" s="609"/>
      <c r="RGL53" s="609"/>
      <c r="RGM53" s="609"/>
      <c r="RGN53" s="609"/>
      <c r="RGO53" s="609"/>
      <c r="RGP53" s="609"/>
      <c r="RGQ53" s="609"/>
      <c r="RGR53" s="609"/>
      <c r="RGS53" s="609"/>
      <c r="RGT53" s="609"/>
      <c r="RGU53" s="609"/>
      <c r="RGV53" s="609"/>
      <c r="RGW53" s="609"/>
      <c r="RGX53" s="609"/>
      <c r="RGY53" s="609"/>
      <c r="RGZ53" s="609"/>
      <c r="RHA53" s="609"/>
      <c r="RHB53" s="609"/>
      <c r="RHC53" s="609"/>
      <c r="RHD53" s="609"/>
      <c r="RHE53" s="609"/>
      <c r="RHF53" s="609"/>
      <c r="RHG53" s="609"/>
      <c r="RHH53" s="609"/>
      <c r="RHI53" s="609"/>
      <c r="RHJ53" s="609"/>
      <c r="RHK53" s="609"/>
      <c r="RHL53" s="609"/>
      <c r="RHM53" s="609"/>
      <c r="RHN53" s="609"/>
      <c r="RHO53" s="609"/>
      <c r="RHP53" s="609"/>
      <c r="RHQ53" s="609"/>
      <c r="RHR53" s="609"/>
      <c r="RHS53" s="609"/>
      <c r="RHT53" s="609"/>
      <c r="RHU53" s="609"/>
      <c r="RHV53" s="609"/>
      <c r="RHW53" s="609"/>
      <c r="RHX53" s="609"/>
      <c r="RHY53" s="609"/>
      <c r="RHZ53" s="609"/>
      <c r="RIA53" s="609"/>
      <c r="RIB53" s="609"/>
      <c r="RIC53" s="609"/>
      <c r="RID53" s="609"/>
      <c r="RIE53" s="609"/>
      <c r="RIF53" s="609"/>
      <c r="RIG53" s="609"/>
      <c r="RIH53" s="609"/>
      <c r="RII53" s="609"/>
      <c r="RIJ53" s="609"/>
      <c r="RIK53" s="609"/>
      <c r="RIL53" s="609"/>
      <c r="RIM53" s="609"/>
      <c r="RIN53" s="609"/>
      <c r="RIO53" s="609"/>
      <c r="RIP53" s="609"/>
      <c r="RIQ53" s="609"/>
      <c r="RIR53" s="609"/>
      <c r="RIS53" s="609"/>
      <c r="RIT53" s="609"/>
      <c r="RIU53" s="609"/>
      <c r="RIV53" s="609"/>
      <c r="RIW53" s="609"/>
      <c r="RIX53" s="609"/>
      <c r="RIY53" s="609"/>
      <c r="RIZ53" s="609"/>
      <c r="RJA53" s="609"/>
      <c r="RJB53" s="609"/>
      <c r="RJC53" s="609"/>
      <c r="RJD53" s="609"/>
      <c r="RJE53" s="609"/>
      <c r="RJF53" s="609"/>
      <c r="RJG53" s="609"/>
      <c r="RJH53" s="609"/>
      <c r="RJI53" s="609"/>
      <c r="RJJ53" s="609"/>
      <c r="RJK53" s="609"/>
      <c r="RJL53" s="609"/>
      <c r="RJM53" s="609"/>
      <c r="RJN53" s="609"/>
      <c r="RJO53" s="609"/>
      <c r="RJP53" s="609"/>
      <c r="RJQ53" s="609"/>
      <c r="RJR53" s="609"/>
      <c r="RJS53" s="609"/>
      <c r="RJT53" s="609"/>
      <c r="RJU53" s="609"/>
      <c r="RJV53" s="609"/>
      <c r="RJW53" s="609"/>
      <c r="RJX53" s="609"/>
      <c r="RJY53" s="609"/>
      <c r="RJZ53" s="609"/>
      <c r="RKA53" s="609"/>
      <c r="RKB53" s="609"/>
      <c r="RKC53" s="609"/>
      <c r="RKD53" s="609"/>
      <c r="RKE53" s="609"/>
      <c r="RKF53" s="609"/>
      <c r="RKG53" s="609"/>
      <c r="RKH53" s="609"/>
      <c r="RKI53" s="609"/>
      <c r="RKJ53" s="609"/>
      <c r="RKK53" s="609"/>
      <c r="RKL53" s="609"/>
      <c r="RKM53" s="609"/>
      <c r="RKN53" s="609"/>
      <c r="RKO53" s="609"/>
      <c r="RKP53" s="609"/>
      <c r="RKQ53" s="609"/>
      <c r="RKR53" s="609"/>
      <c r="RKS53" s="609"/>
      <c r="RKT53" s="609"/>
      <c r="RKU53" s="609"/>
      <c r="RKV53" s="609"/>
      <c r="RKW53" s="609"/>
      <c r="RKX53" s="609"/>
      <c r="RKY53" s="609"/>
      <c r="RKZ53" s="609"/>
      <c r="RLA53" s="609"/>
      <c r="RLB53" s="609"/>
      <c r="RLC53" s="609"/>
      <c r="RLD53" s="609"/>
      <c r="RLE53" s="609"/>
      <c r="RLF53" s="609"/>
      <c r="RLG53" s="609"/>
      <c r="RLH53" s="609"/>
      <c r="RLI53" s="609"/>
      <c r="RLJ53" s="609"/>
      <c r="RLK53" s="609"/>
      <c r="RLL53" s="609"/>
      <c r="RLM53" s="609"/>
      <c r="RLN53" s="609"/>
      <c r="RLO53" s="609"/>
      <c r="RLP53" s="609"/>
      <c r="RLQ53" s="609"/>
      <c r="RLR53" s="609"/>
      <c r="RLS53" s="609"/>
      <c r="RLT53" s="609"/>
      <c r="RLU53" s="609"/>
      <c r="RLV53" s="609"/>
      <c r="RLW53" s="609"/>
      <c r="RLX53" s="609"/>
      <c r="RLY53" s="609"/>
      <c r="RLZ53" s="609"/>
      <c r="RMA53" s="609"/>
      <c r="RMB53" s="609"/>
      <c r="RMC53" s="609"/>
      <c r="RMD53" s="609"/>
      <c r="RME53" s="609"/>
      <c r="RMF53" s="609"/>
      <c r="RMG53" s="609"/>
      <c r="RMH53" s="609"/>
      <c r="RMI53" s="609"/>
      <c r="RMJ53" s="609"/>
      <c r="RMK53" s="609"/>
      <c r="RML53" s="609"/>
      <c r="RMM53" s="609"/>
      <c r="RMN53" s="609"/>
      <c r="RMO53" s="609"/>
      <c r="RMP53" s="609"/>
      <c r="RMQ53" s="609"/>
      <c r="RMR53" s="609"/>
      <c r="RMS53" s="609"/>
      <c r="RMT53" s="609"/>
      <c r="RMU53" s="609"/>
      <c r="RMV53" s="609"/>
      <c r="RMW53" s="609"/>
      <c r="RMX53" s="609"/>
      <c r="RMY53" s="609"/>
      <c r="RMZ53" s="609"/>
      <c r="RNA53" s="609"/>
      <c r="RNB53" s="609"/>
      <c r="RNC53" s="609"/>
      <c r="RND53" s="609"/>
      <c r="RNE53" s="609"/>
      <c r="RNF53" s="609"/>
      <c r="RNG53" s="609"/>
      <c r="RNH53" s="609"/>
      <c r="RNI53" s="609"/>
      <c r="RNJ53" s="609"/>
      <c r="RNK53" s="609"/>
      <c r="RNL53" s="609"/>
      <c r="RNM53" s="609"/>
      <c r="RNN53" s="609"/>
      <c r="RNO53" s="609"/>
      <c r="RNP53" s="609"/>
      <c r="RNQ53" s="609"/>
      <c r="RNR53" s="609"/>
      <c r="RNS53" s="609"/>
      <c r="RNT53" s="609"/>
      <c r="RNU53" s="609"/>
      <c r="RNV53" s="609"/>
      <c r="RNW53" s="609"/>
      <c r="RNX53" s="609"/>
      <c r="RNY53" s="609"/>
      <c r="RNZ53" s="609"/>
      <c r="ROA53" s="609"/>
      <c r="ROB53" s="609"/>
      <c r="ROC53" s="609"/>
      <c r="ROD53" s="609"/>
      <c r="ROE53" s="609"/>
      <c r="ROF53" s="609"/>
      <c r="ROG53" s="609"/>
      <c r="ROH53" s="609"/>
      <c r="ROI53" s="609"/>
      <c r="ROJ53" s="609"/>
      <c r="ROK53" s="609"/>
      <c r="ROL53" s="609"/>
      <c r="ROM53" s="609"/>
      <c r="RON53" s="609"/>
      <c r="ROO53" s="609"/>
      <c r="ROP53" s="609"/>
      <c r="ROQ53" s="609"/>
      <c r="ROR53" s="609"/>
      <c r="ROS53" s="609"/>
      <c r="ROT53" s="609"/>
      <c r="ROU53" s="609"/>
      <c r="ROV53" s="609"/>
      <c r="ROW53" s="609"/>
      <c r="ROX53" s="609"/>
      <c r="ROY53" s="609"/>
      <c r="ROZ53" s="609"/>
      <c r="RPA53" s="609"/>
      <c r="RPB53" s="609"/>
      <c r="RPC53" s="609"/>
      <c r="RPD53" s="609"/>
      <c r="RPE53" s="609"/>
      <c r="RPF53" s="609"/>
      <c r="RPG53" s="609"/>
      <c r="RPH53" s="609"/>
      <c r="RPI53" s="609"/>
      <c r="RPJ53" s="609"/>
      <c r="RPK53" s="609"/>
      <c r="RPL53" s="609"/>
      <c r="RPM53" s="609"/>
      <c r="RPN53" s="609"/>
      <c r="RPO53" s="609"/>
      <c r="RPP53" s="609"/>
      <c r="RPQ53" s="609"/>
      <c r="RPR53" s="609"/>
      <c r="RPS53" s="609"/>
      <c r="RPT53" s="609"/>
      <c r="RPU53" s="609"/>
      <c r="RPV53" s="609"/>
      <c r="RPW53" s="609"/>
      <c r="RPX53" s="609"/>
      <c r="RPY53" s="609"/>
      <c r="RPZ53" s="609"/>
      <c r="RQA53" s="609"/>
      <c r="RQB53" s="609"/>
      <c r="RQC53" s="609"/>
      <c r="RQD53" s="609"/>
      <c r="RQE53" s="609"/>
      <c r="RQF53" s="609"/>
      <c r="RQG53" s="609"/>
      <c r="RQH53" s="609"/>
      <c r="RQI53" s="609"/>
      <c r="RQJ53" s="609"/>
      <c r="RQK53" s="609"/>
      <c r="RQL53" s="609"/>
      <c r="RQM53" s="609"/>
      <c r="RQN53" s="609"/>
      <c r="RQO53" s="609"/>
      <c r="RQP53" s="609"/>
      <c r="RQQ53" s="609"/>
      <c r="RQR53" s="609"/>
      <c r="RQS53" s="609"/>
      <c r="RQT53" s="609"/>
      <c r="RQU53" s="609"/>
      <c r="RQV53" s="609"/>
      <c r="RQW53" s="609"/>
      <c r="RQX53" s="609"/>
      <c r="RQY53" s="609"/>
      <c r="RQZ53" s="609"/>
      <c r="RRA53" s="609"/>
      <c r="RRB53" s="609"/>
      <c r="RRC53" s="609"/>
      <c r="RRD53" s="609"/>
      <c r="RRE53" s="609"/>
      <c r="RRF53" s="609"/>
      <c r="RRG53" s="609"/>
      <c r="RRH53" s="609"/>
      <c r="RRI53" s="609"/>
      <c r="RRJ53" s="609"/>
      <c r="RRK53" s="609"/>
      <c r="RRL53" s="609"/>
      <c r="RRM53" s="609"/>
      <c r="RRN53" s="609"/>
      <c r="RRO53" s="609"/>
      <c r="RRP53" s="609"/>
      <c r="RRQ53" s="609"/>
      <c r="RRR53" s="609"/>
      <c r="RRS53" s="609"/>
      <c r="RRT53" s="609"/>
      <c r="RRU53" s="609"/>
      <c r="RRV53" s="609"/>
      <c r="RRW53" s="609"/>
      <c r="RRX53" s="609"/>
      <c r="RRY53" s="609"/>
      <c r="RRZ53" s="609"/>
      <c r="RSA53" s="609"/>
      <c r="RSB53" s="609"/>
      <c r="RSC53" s="609"/>
      <c r="RSD53" s="609"/>
      <c r="RSE53" s="609"/>
      <c r="RSF53" s="609"/>
      <c r="RSG53" s="609"/>
      <c r="RSH53" s="609"/>
      <c r="RSI53" s="609"/>
      <c r="RSJ53" s="609"/>
      <c r="RSK53" s="609"/>
      <c r="RSL53" s="609"/>
      <c r="RSM53" s="609"/>
      <c r="RSN53" s="609"/>
      <c r="RSO53" s="609"/>
      <c r="RSP53" s="609"/>
      <c r="RSQ53" s="609"/>
      <c r="RSR53" s="609"/>
      <c r="RSS53" s="609"/>
      <c r="RST53" s="609"/>
      <c r="RSU53" s="609"/>
      <c r="RSV53" s="609"/>
      <c r="RSW53" s="609"/>
      <c r="RSX53" s="609"/>
      <c r="RSY53" s="609"/>
      <c r="RSZ53" s="609"/>
      <c r="RTA53" s="609"/>
      <c r="RTB53" s="609"/>
      <c r="RTC53" s="609"/>
      <c r="RTD53" s="609"/>
      <c r="RTE53" s="609"/>
      <c r="RTF53" s="609"/>
      <c r="RTG53" s="609"/>
      <c r="RTH53" s="609"/>
      <c r="RTI53" s="609"/>
      <c r="RTJ53" s="609"/>
      <c r="RTK53" s="609"/>
      <c r="RTL53" s="609"/>
      <c r="RTM53" s="609"/>
      <c r="RTN53" s="609"/>
      <c r="RTO53" s="609"/>
      <c r="RTP53" s="609"/>
      <c r="RTQ53" s="609"/>
      <c r="RTR53" s="609"/>
      <c r="RTS53" s="609"/>
      <c r="RTT53" s="609"/>
      <c r="RTU53" s="609"/>
      <c r="RTV53" s="609"/>
      <c r="RTW53" s="609"/>
      <c r="RTX53" s="609"/>
      <c r="RTY53" s="609"/>
      <c r="RTZ53" s="609"/>
      <c r="RUA53" s="609"/>
      <c r="RUB53" s="609"/>
      <c r="RUC53" s="609"/>
      <c r="RUD53" s="609"/>
      <c r="RUE53" s="609"/>
      <c r="RUF53" s="609"/>
      <c r="RUG53" s="609"/>
      <c r="RUH53" s="609"/>
      <c r="RUI53" s="609"/>
      <c r="RUJ53" s="609"/>
      <c r="RUK53" s="609"/>
      <c r="RUL53" s="609"/>
      <c r="RUM53" s="609"/>
      <c r="RUN53" s="609"/>
      <c r="RUO53" s="609"/>
      <c r="RUP53" s="609"/>
      <c r="RUQ53" s="609"/>
      <c r="RUR53" s="609"/>
      <c r="RUS53" s="609"/>
      <c r="RUT53" s="609"/>
      <c r="RUU53" s="609"/>
      <c r="RUV53" s="609"/>
      <c r="RUW53" s="609"/>
      <c r="RUX53" s="609"/>
      <c r="RUY53" s="609"/>
      <c r="RUZ53" s="609"/>
      <c r="RVA53" s="609"/>
      <c r="RVB53" s="609"/>
      <c r="RVC53" s="609"/>
      <c r="RVD53" s="609"/>
      <c r="RVE53" s="609"/>
      <c r="RVF53" s="609"/>
      <c r="RVG53" s="609"/>
      <c r="RVH53" s="609"/>
      <c r="RVI53" s="609"/>
      <c r="RVJ53" s="609"/>
      <c r="RVK53" s="609"/>
      <c r="RVL53" s="609"/>
      <c r="RVM53" s="609"/>
      <c r="RVN53" s="609"/>
      <c r="RVO53" s="609"/>
      <c r="RVP53" s="609"/>
      <c r="RVQ53" s="609"/>
      <c r="RVR53" s="609"/>
      <c r="RVS53" s="609"/>
      <c r="RVT53" s="609"/>
      <c r="RVU53" s="609"/>
      <c r="RVV53" s="609"/>
      <c r="RVW53" s="609"/>
      <c r="RVX53" s="609"/>
      <c r="RVY53" s="609"/>
      <c r="RVZ53" s="609"/>
      <c r="RWA53" s="609"/>
      <c r="RWB53" s="609"/>
      <c r="RWC53" s="609"/>
      <c r="RWD53" s="609"/>
      <c r="RWE53" s="609"/>
      <c r="RWF53" s="609"/>
      <c r="RWG53" s="609"/>
      <c r="RWH53" s="609"/>
      <c r="RWI53" s="609"/>
      <c r="RWJ53" s="609"/>
      <c r="RWK53" s="609"/>
      <c r="RWL53" s="609"/>
      <c r="RWM53" s="609"/>
      <c r="RWN53" s="609"/>
      <c r="RWO53" s="609"/>
      <c r="RWP53" s="609"/>
      <c r="RWQ53" s="609"/>
      <c r="RWR53" s="609"/>
      <c r="RWS53" s="609"/>
      <c r="RWT53" s="609"/>
      <c r="RWU53" s="609"/>
      <c r="RWV53" s="609"/>
      <c r="RWW53" s="609"/>
      <c r="RWX53" s="609"/>
      <c r="RWY53" s="609"/>
      <c r="RWZ53" s="609"/>
      <c r="RXA53" s="609"/>
      <c r="RXB53" s="609"/>
      <c r="RXC53" s="609"/>
      <c r="RXD53" s="609"/>
      <c r="RXE53" s="609"/>
      <c r="RXF53" s="609"/>
      <c r="RXG53" s="609"/>
      <c r="RXH53" s="609"/>
      <c r="RXI53" s="609"/>
      <c r="RXJ53" s="609"/>
      <c r="RXK53" s="609"/>
      <c r="RXL53" s="609"/>
      <c r="RXM53" s="609"/>
      <c r="RXN53" s="609"/>
      <c r="RXO53" s="609"/>
      <c r="RXP53" s="609"/>
      <c r="RXQ53" s="609"/>
      <c r="RXR53" s="609"/>
      <c r="RXS53" s="609"/>
      <c r="RXT53" s="609"/>
      <c r="RXU53" s="609"/>
      <c r="RXV53" s="609"/>
      <c r="RXW53" s="609"/>
      <c r="RXX53" s="609"/>
      <c r="RXY53" s="609"/>
      <c r="RXZ53" s="609"/>
      <c r="RYA53" s="609"/>
      <c r="RYB53" s="609"/>
      <c r="RYC53" s="609"/>
      <c r="RYD53" s="609"/>
      <c r="RYE53" s="609"/>
      <c r="RYF53" s="609"/>
      <c r="RYG53" s="609"/>
      <c r="RYH53" s="609"/>
      <c r="RYI53" s="609"/>
      <c r="RYJ53" s="609"/>
      <c r="RYK53" s="609"/>
      <c r="RYL53" s="609"/>
      <c r="RYM53" s="609"/>
      <c r="RYN53" s="609"/>
      <c r="RYO53" s="609"/>
      <c r="RYP53" s="609"/>
      <c r="RYQ53" s="609"/>
      <c r="RYR53" s="609"/>
      <c r="RYS53" s="609"/>
      <c r="RYT53" s="609"/>
      <c r="RYU53" s="609"/>
      <c r="RYV53" s="609"/>
      <c r="RYW53" s="609"/>
      <c r="RYX53" s="609"/>
      <c r="RYY53" s="609"/>
      <c r="RYZ53" s="609"/>
      <c r="RZA53" s="609"/>
      <c r="RZB53" s="609"/>
      <c r="RZC53" s="609"/>
      <c r="RZD53" s="609"/>
      <c r="RZE53" s="609"/>
      <c r="RZF53" s="609"/>
      <c r="RZG53" s="609"/>
      <c r="RZH53" s="609"/>
      <c r="RZI53" s="609"/>
      <c r="RZJ53" s="609"/>
      <c r="RZK53" s="609"/>
      <c r="RZL53" s="609"/>
      <c r="RZM53" s="609"/>
      <c r="RZN53" s="609"/>
      <c r="RZO53" s="609"/>
      <c r="RZP53" s="609"/>
      <c r="RZQ53" s="609"/>
      <c r="RZR53" s="609"/>
      <c r="RZS53" s="609"/>
      <c r="RZT53" s="609"/>
      <c r="RZU53" s="609"/>
      <c r="RZV53" s="609"/>
      <c r="RZW53" s="609"/>
      <c r="RZX53" s="609"/>
      <c r="RZY53" s="609"/>
      <c r="RZZ53" s="609"/>
      <c r="SAA53" s="609"/>
      <c r="SAB53" s="609"/>
      <c r="SAC53" s="609"/>
      <c r="SAD53" s="609"/>
      <c r="SAE53" s="609"/>
      <c r="SAF53" s="609"/>
      <c r="SAG53" s="609"/>
      <c r="SAH53" s="609"/>
      <c r="SAI53" s="609"/>
      <c r="SAJ53" s="609"/>
      <c r="SAK53" s="609"/>
      <c r="SAL53" s="609"/>
      <c r="SAM53" s="609"/>
      <c r="SAN53" s="609"/>
      <c r="SAO53" s="609"/>
      <c r="SAP53" s="609"/>
      <c r="SAQ53" s="609"/>
      <c r="SAR53" s="609"/>
      <c r="SAS53" s="609"/>
      <c r="SAT53" s="609"/>
      <c r="SAU53" s="609"/>
      <c r="SAV53" s="609"/>
      <c r="SAW53" s="609"/>
      <c r="SAX53" s="609"/>
      <c r="SAY53" s="609"/>
      <c r="SAZ53" s="609"/>
      <c r="SBA53" s="609"/>
      <c r="SBB53" s="609"/>
      <c r="SBC53" s="609"/>
      <c r="SBD53" s="609"/>
      <c r="SBE53" s="609"/>
      <c r="SBF53" s="609"/>
      <c r="SBG53" s="609"/>
      <c r="SBH53" s="609"/>
      <c r="SBI53" s="609"/>
      <c r="SBJ53" s="609"/>
      <c r="SBK53" s="609"/>
      <c r="SBL53" s="609"/>
      <c r="SBM53" s="609"/>
      <c r="SBN53" s="609"/>
      <c r="SBO53" s="609"/>
      <c r="SBP53" s="609"/>
      <c r="SBQ53" s="609"/>
      <c r="SBR53" s="609"/>
      <c r="SBS53" s="609"/>
      <c r="SBT53" s="609"/>
      <c r="SBU53" s="609"/>
      <c r="SBV53" s="609"/>
      <c r="SBW53" s="609"/>
      <c r="SBX53" s="609"/>
      <c r="SBY53" s="609"/>
      <c r="SBZ53" s="609"/>
      <c r="SCA53" s="609"/>
      <c r="SCB53" s="609"/>
      <c r="SCC53" s="609"/>
      <c r="SCD53" s="609"/>
      <c r="SCE53" s="609"/>
      <c r="SCF53" s="609"/>
      <c r="SCG53" s="609"/>
      <c r="SCH53" s="609"/>
      <c r="SCI53" s="609"/>
      <c r="SCJ53" s="609"/>
      <c r="SCK53" s="609"/>
      <c r="SCL53" s="609"/>
      <c r="SCM53" s="609"/>
      <c r="SCN53" s="609"/>
      <c r="SCO53" s="609"/>
      <c r="SCP53" s="609"/>
      <c r="SCQ53" s="609"/>
      <c r="SCR53" s="609"/>
      <c r="SCS53" s="609"/>
      <c r="SCT53" s="609"/>
      <c r="SCU53" s="609"/>
      <c r="SCV53" s="609"/>
      <c r="SCW53" s="609"/>
      <c r="SCX53" s="609"/>
      <c r="SCY53" s="609"/>
      <c r="SCZ53" s="609"/>
      <c r="SDA53" s="609"/>
      <c r="SDB53" s="609"/>
      <c r="SDC53" s="609"/>
      <c r="SDD53" s="609"/>
      <c r="SDE53" s="609"/>
      <c r="SDF53" s="609"/>
      <c r="SDG53" s="609"/>
      <c r="SDH53" s="609"/>
      <c r="SDI53" s="609"/>
      <c r="SDJ53" s="609"/>
      <c r="SDK53" s="609"/>
      <c r="SDL53" s="609"/>
      <c r="SDM53" s="609"/>
      <c r="SDN53" s="609"/>
      <c r="SDO53" s="609"/>
      <c r="SDP53" s="609"/>
      <c r="SDQ53" s="609"/>
      <c r="SDR53" s="609"/>
      <c r="SDS53" s="609"/>
      <c r="SDT53" s="609"/>
      <c r="SDU53" s="609"/>
      <c r="SDV53" s="609"/>
      <c r="SDW53" s="609"/>
      <c r="SDX53" s="609"/>
      <c r="SDY53" s="609"/>
      <c r="SDZ53" s="609"/>
      <c r="SEA53" s="609"/>
      <c r="SEB53" s="609"/>
      <c r="SEC53" s="609"/>
      <c r="SED53" s="609"/>
      <c r="SEE53" s="609"/>
      <c r="SEF53" s="609"/>
      <c r="SEG53" s="609"/>
      <c r="SEH53" s="609"/>
      <c r="SEI53" s="609"/>
      <c r="SEJ53" s="609"/>
      <c r="SEK53" s="609"/>
      <c r="SEL53" s="609"/>
      <c r="SEM53" s="609"/>
      <c r="SEN53" s="609"/>
      <c r="SEO53" s="609"/>
      <c r="SEP53" s="609"/>
      <c r="SEQ53" s="609"/>
      <c r="SER53" s="609"/>
      <c r="SES53" s="609"/>
      <c r="SET53" s="609"/>
      <c r="SEU53" s="609"/>
      <c r="SEV53" s="609"/>
      <c r="SEW53" s="609"/>
      <c r="SEX53" s="609"/>
      <c r="SEY53" s="609"/>
      <c r="SEZ53" s="609"/>
      <c r="SFA53" s="609"/>
      <c r="SFB53" s="609"/>
      <c r="SFC53" s="609"/>
      <c r="SFD53" s="609"/>
      <c r="SFE53" s="609"/>
      <c r="SFF53" s="609"/>
      <c r="SFG53" s="609"/>
      <c r="SFH53" s="609"/>
      <c r="SFI53" s="609"/>
      <c r="SFJ53" s="609"/>
      <c r="SFK53" s="609"/>
      <c r="SFL53" s="609"/>
      <c r="SFM53" s="609"/>
      <c r="SFN53" s="609"/>
      <c r="SFO53" s="609"/>
      <c r="SFP53" s="609"/>
      <c r="SFQ53" s="609"/>
      <c r="SFR53" s="609"/>
      <c r="SFS53" s="609"/>
      <c r="SFT53" s="609"/>
      <c r="SFU53" s="609"/>
      <c r="SFV53" s="609"/>
      <c r="SFW53" s="609"/>
      <c r="SFX53" s="609"/>
      <c r="SFY53" s="609"/>
      <c r="SFZ53" s="609"/>
      <c r="SGA53" s="609"/>
      <c r="SGB53" s="609"/>
      <c r="SGC53" s="609"/>
      <c r="SGD53" s="609"/>
      <c r="SGE53" s="609"/>
      <c r="SGF53" s="609"/>
      <c r="SGG53" s="609"/>
      <c r="SGH53" s="609"/>
      <c r="SGI53" s="609"/>
      <c r="SGJ53" s="609"/>
      <c r="SGK53" s="609"/>
      <c r="SGL53" s="609"/>
      <c r="SGM53" s="609"/>
      <c r="SGN53" s="609"/>
      <c r="SGO53" s="609"/>
      <c r="SGP53" s="609"/>
      <c r="SGQ53" s="609"/>
      <c r="SGR53" s="609"/>
      <c r="SGS53" s="609"/>
      <c r="SGT53" s="609"/>
      <c r="SGU53" s="609"/>
      <c r="SGV53" s="609"/>
      <c r="SGW53" s="609"/>
      <c r="SGX53" s="609"/>
      <c r="SGY53" s="609"/>
      <c r="SGZ53" s="609"/>
      <c r="SHA53" s="609"/>
      <c r="SHB53" s="609"/>
      <c r="SHC53" s="609"/>
      <c r="SHD53" s="609"/>
      <c r="SHE53" s="609"/>
      <c r="SHF53" s="609"/>
      <c r="SHG53" s="609"/>
      <c r="SHH53" s="609"/>
      <c r="SHI53" s="609"/>
      <c r="SHJ53" s="609"/>
      <c r="SHK53" s="609"/>
      <c r="SHL53" s="609"/>
      <c r="SHM53" s="609"/>
      <c r="SHN53" s="609"/>
      <c r="SHO53" s="609"/>
      <c r="SHP53" s="609"/>
      <c r="SHQ53" s="609"/>
      <c r="SHR53" s="609"/>
      <c r="SHS53" s="609"/>
      <c r="SHT53" s="609"/>
      <c r="SHU53" s="609"/>
      <c r="SHV53" s="609"/>
      <c r="SHW53" s="609"/>
      <c r="SHX53" s="609"/>
      <c r="SHY53" s="609"/>
      <c r="SHZ53" s="609"/>
      <c r="SIA53" s="609"/>
      <c r="SIB53" s="609"/>
      <c r="SIC53" s="609"/>
      <c r="SID53" s="609"/>
      <c r="SIE53" s="609"/>
      <c r="SIF53" s="609"/>
      <c r="SIG53" s="609"/>
      <c r="SIH53" s="609"/>
      <c r="SII53" s="609"/>
      <c r="SIJ53" s="609"/>
      <c r="SIK53" s="609"/>
      <c r="SIL53" s="609"/>
      <c r="SIM53" s="609"/>
      <c r="SIN53" s="609"/>
      <c r="SIO53" s="609"/>
      <c r="SIP53" s="609"/>
      <c r="SIQ53" s="609"/>
      <c r="SIR53" s="609"/>
      <c r="SIS53" s="609"/>
      <c r="SIT53" s="609"/>
      <c r="SIU53" s="609"/>
      <c r="SIV53" s="609"/>
      <c r="SIW53" s="609"/>
      <c r="SIX53" s="609"/>
      <c r="SIY53" s="609"/>
      <c r="SIZ53" s="609"/>
      <c r="SJA53" s="609"/>
      <c r="SJB53" s="609"/>
      <c r="SJC53" s="609"/>
      <c r="SJD53" s="609"/>
      <c r="SJE53" s="609"/>
      <c r="SJF53" s="609"/>
      <c r="SJG53" s="609"/>
      <c r="SJH53" s="609"/>
      <c r="SJI53" s="609"/>
      <c r="SJJ53" s="609"/>
      <c r="SJK53" s="609"/>
      <c r="SJL53" s="609"/>
      <c r="SJM53" s="609"/>
      <c r="SJN53" s="609"/>
      <c r="SJO53" s="609"/>
      <c r="SJP53" s="609"/>
      <c r="SJQ53" s="609"/>
      <c r="SJR53" s="609"/>
      <c r="SJS53" s="609"/>
      <c r="SJT53" s="609"/>
      <c r="SJU53" s="609"/>
      <c r="SJV53" s="609"/>
      <c r="SJW53" s="609"/>
      <c r="SJX53" s="609"/>
      <c r="SJY53" s="609"/>
      <c r="SJZ53" s="609"/>
      <c r="SKA53" s="609"/>
      <c r="SKB53" s="609"/>
      <c r="SKC53" s="609"/>
      <c r="SKD53" s="609"/>
      <c r="SKE53" s="609"/>
      <c r="SKF53" s="609"/>
      <c r="SKG53" s="609"/>
      <c r="SKH53" s="609"/>
      <c r="SKI53" s="609"/>
      <c r="SKJ53" s="609"/>
      <c r="SKK53" s="609"/>
      <c r="SKL53" s="609"/>
      <c r="SKM53" s="609"/>
      <c r="SKN53" s="609"/>
      <c r="SKO53" s="609"/>
      <c r="SKP53" s="609"/>
      <c r="SKQ53" s="609"/>
      <c r="SKR53" s="609"/>
      <c r="SKS53" s="609"/>
      <c r="SKT53" s="609"/>
      <c r="SKU53" s="609"/>
      <c r="SKV53" s="609"/>
      <c r="SKW53" s="609"/>
      <c r="SKX53" s="609"/>
      <c r="SKY53" s="609"/>
      <c r="SKZ53" s="609"/>
      <c r="SLA53" s="609"/>
      <c r="SLB53" s="609"/>
      <c r="SLC53" s="609"/>
      <c r="SLD53" s="609"/>
      <c r="SLE53" s="609"/>
      <c r="SLF53" s="609"/>
      <c r="SLG53" s="609"/>
      <c r="SLH53" s="609"/>
      <c r="SLI53" s="609"/>
      <c r="SLJ53" s="609"/>
      <c r="SLK53" s="609"/>
      <c r="SLL53" s="609"/>
      <c r="SLM53" s="609"/>
      <c r="SLN53" s="609"/>
      <c r="SLO53" s="609"/>
      <c r="SLP53" s="609"/>
      <c r="SLQ53" s="609"/>
      <c r="SLR53" s="609"/>
      <c r="SLS53" s="609"/>
      <c r="SLT53" s="609"/>
      <c r="SLU53" s="609"/>
      <c r="SLV53" s="609"/>
      <c r="SLW53" s="609"/>
      <c r="SLX53" s="609"/>
      <c r="SLY53" s="609"/>
      <c r="SLZ53" s="609"/>
      <c r="SMA53" s="609"/>
      <c r="SMB53" s="609"/>
      <c r="SMC53" s="609"/>
      <c r="SMD53" s="609"/>
      <c r="SME53" s="609"/>
      <c r="SMF53" s="609"/>
      <c r="SMG53" s="609"/>
      <c r="SMH53" s="609"/>
      <c r="SMI53" s="609"/>
      <c r="SMJ53" s="609"/>
      <c r="SMK53" s="609"/>
      <c r="SML53" s="609"/>
      <c r="SMM53" s="609"/>
      <c r="SMN53" s="609"/>
      <c r="SMO53" s="609"/>
      <c r="SMP53" s="609"/>
      <c r="SMQ53" s="609"/>
      <c r="SMR53" s="609"/>
      <c r="SMS53" s="609"/>
      <c r="SMT53" s="609"/>
      <c r="SMU53" s="609"/>
      <c r="SMV53" s="609"/>
      <c r="SMW53" s="609"/>
      <c r="SMX53" s="609"/>
      <c r="SMY53" s="609"/>
      <c r="SMZ53" s="609"/>
      <c r="SNA53" s="609"/>
      <c r="SNB53" s="609"/>
      <c r="SNC53" s="609"/>
      <c r="SND53" s="609"/>
      <c r="SNE53" s="609"/>
      <c r="SNF53" s="609"/>
      <c r="SNG53" s="609"/>
      <c r="SNH53" s="609"/>
      <c r="SNI53" s="609"/>
      <c r="SNJ53" s="609"/>
      <c r="SNK53" s="609"/>
      <c r="SNL53" s="609"/>
      <c r="SNM53" s="609"/>
      <c r="SNN53" s="609"/>
      <c r="SNO53" s="609"/>
      <c r="SNP53" s="609"/>
      <c r="SNQ53" s="609"/>
      <c r="SNR53" s="609"/>
      <c r="SNS53" s="609"/>
      <c r="SNT53" s="609"/>
      <c r="SNU53" s="609"/>
      <c r="SNV53" s="609"/>
      <c r="SNW53" s="609"/>
      <c r="SNX53" s="609"/>
      <c r="SNY53" s="609"/>
      <c r="SNZ53" s="609"/>
      <c r="SOA53" s="609"/>
      <c r="SOB53" s="609"/>
      <c r="SOC53" s="609"/>
      <c r="SOD53" s="609"/>
      <c r="SOE53" s="609"/>
      <c r="SOF53" s="609"/>
      <c r="SOG53" s="609"/>
      <c r="SOH53" s="609"/>
      <c r="SOI53" s="609"/>
      <c r="SOJ53" s="609"/>
      <c r="SOK53" s="609"/>
      <c r="SOL53" s="609"/>
      <c r="SOM53" s="609"/>
      <c r="SON53" s="609"/>
      <c r="SOO53" s="609"/>
      <c r="SOP53" s="609"/>
      <c r="SOQ53" s="609"/>
      <c r="SOR53" s="609"/>
      <c r="SOS53" s="609"/>
      <c r="SOT53" s="609"/>
      <c r="SOU53" s="609"/>
      <c r="SOV53" s="609"/>
      <c r="SOW53" s="609"/>
      <c r="SOX53" s="609"/>
      <c r="SOY53" s="609"/>
      <c r="SOZ53" s="609"/>
      <c r="SPA53" s="609"/>
      <c r="SPB53" s="609"/>
      <c r="SPC53" s="609"/>
      <c r="SPD53" s="609"/>
      <c r="SPE53" s="609"/>
      <c r="SPF53" s="609"/>
      <c r="SPG53" s="609"/>
      <c r="SPH53" s="609"/>
      <c r="SPI53" s="609"/>
      <c r="SPJ53" s="609"/>
      <c r="SPK53" s="609"/>
      <c r="SPL53" s="609"/>
      <c r="SPM53" s="609"/>
      <c r="SPN53" s="609"/>
      <c r="SPO53" s="609"/>
      <c r="SPP53" s="609"/>
      <c r="SPQ53" s="609"/>
      <c r="SPR53" s="609"/>
      <c r="SPS53" s="609"/>
      <c r="SPT53" s="609"/>
      <c r="SPU53" s="609"/>
      <c r="SPV53" s="609"/>
      <c r="SPW53" s="609"/>
      <c r="SPX53" s="609"/>
      <c r="SPY53" s="609"/>
      <c r="SPZ53" s="609"/>
      <c r="SQA53" s="609"/>
      <c r="SQB53" s="609"/>
      <c r="SQC53" s="609"/>
      <c r="SQD53" s="609"/>
      <c r="SQE53" s="609"/>
      <c r="SQF53" s="609"/>
      <c r="SQG53" s="609"/>
      <c r="SQH53" s="609"/>
      <c r="SQI53" s="609"/>
      <c r="SQJ53" s="609"/>
      <c r="SQK53" s="609"/>
      <c r="SQL53" s="609"/>
      <c r="SQM53" s="609"/>
      <c r="SQN53" s="609"/>
      <c r="SQO53" s="609"/>
      <c r="SQP53" s="609"/>
      <c r="SQQ53" s="609"/>
      <c r="SQR53" s="609"/>
      <c r="SQS53" s="609"/>
      <c r="SQT53" s="609"/>
      <c r="SQU53" s="609"/>
      <c r="SQV53" s="609"/>
      <c r="SQW53" s="609"/>
      <c r="SQX53" s="609"/>
      <c r="SQY53" s="609"/>
      <c r="SQZ53" s="609"/>
      <c r="SRA53" s="609"/>
      <c r="SRB53" s="609"/>
      <c r="SRC53" s="609"/>
      <c r="SRD53" s="609"/>
      <c r="SRE53" s="609"/>
      <c r="SRF53" s="609"/>
      <c r="SRG53" s="609"/>
      <c r="SRH53" s="609"/>
      <c r="SRI53" s="609"/>
      <c r="SRJ53" s="609"/>
      <c r="SRK53" s="609"/>
      <c r="SRL53" s="609"/>
      <c r="SRM53" s="609"/>
      <c r="SRN53" s="609"/>
      <c r="SRO53" s="609"/>
      <c r="SRP53" s="609"/>
      <c r="SRQ53" s="609"/>
      <c r="SRR53" s="609"/>
      <c r="SRS53" s="609"/>
      <c r="SRT53" s="609"/>
      <c r="SRU53" s="609"/>
      <c r="SRV53" s="609"/>
      <c r="SRW53" s="609"/>
      <c r="SRX53" s="609"/>
      <c r="SRY53" s="609"/>
      <c r="SRZ53" s="609"/>
      <c r="SSA53" s="609"/>
      <c r="SSB53" s="609"/>
      <c r="SSC53" s="609"/>
      <c r="SSD53" s="609"/>
      <c r="SSE53" s="609"/>
      <c r="SSF53" s="609"/>
      <c r="SSG53" s="609"/>
      <c r="SSH53" s="609"/>
      <c r="SSI53" s="609"/>
      <c r="SSJ53" s="609"/>
      <c r="SSK53" s="609"/>
      <c r="SSL53" s="609"/>
      <c r="SSM53" s="609"/>
      <c r="SSN53" s="609"/>
      <c r="SSO53" s="609"/>
      <c r="SSP53" s="609"/>
      <c r="SSQ53" s="609"/>
      <c r="SSR53" s="609"/>
      <c r="SSS53" s="609"/>
      <c r="SST53" s="609"/>
      <c r="SSU53" s="609"/>
      <c r="SSV53" s="609"/>
      <c r="SSW53" s="609"/>
      <c r="SSX53" s="609"/>
      <c r="SSY53" s="609"/>
      <c r="SSZ53" s="609"/>
      <c r="STA53" s="609"/>
      <c r="STB53" s="609"/>
      <c r="STC53" s="609"/>
      <c r="STD53" s="609"/>
      <c r="STE53" s="609"/>
      <c r="STF53" s="609"/>
      <c r="STG53" s="609"/>
      <c r="STH53" s="609"/>
      <c r="STI53" s="609"/>
      <c r="STJ53" s="609"/>
      <c r="STK53" s="609"/>
      <c r="STL53" s="609"/>
      <c r="STM53" s="609"/>
      <c r="STN53" s="609"/>
      <c r="STO53" s="609"/>
      <c r="STP53" s="609"/>
      <c r="STQ53" s="609"/>
      <c r="STR53" s="609"/>
      <c r="STS53" s="609"/>
      <c r="STT53" s="609"/>
      <c r="STU53" s="609"/>
      <c r="STV53" s="609"/>
      <c r="STW53" s="609"/>
      <c r="STX53" s="609"/>
      <c r="STY53" s="609"/>
      <c r="STZ53" s="609"/>
      <c r="SUA53" s="609"/>
      <c r="SUB53" s="609"/>
      <c r="SUC53" s="609"/>
      <c r="SUD53" s="609"/>
      <c r="SUE53" s="609"/>
      <c r="SUF53" s="609"/>
      <c r="SUG53" s="609"/>
      <c r="SUH53" s="609"/>
      <c r="SUI53" s="609"/>
      <c r="SUJ53" s="609"/>
      <c r="SUK53" s="609"/>
      <c r="SUL53" s="609"/>
      <c r="SUM53" s="609"/>
      <c r="SUN53" s="609"/>
      <c r="SUO53" s="609"/>
      <c r="SUP53" s="609"/>
      <c r="SUQ53" s="609"/>
      <c r="SUR53" s="609"/>
      <c r="SUS53" s="609"/>
      <c r="SUT53" s="609"/>
      <c r="SUU53" s="609"/>
      <c r="SUV53" s="609"/>
      <c r="SUW53" s="609"/>
      <c r="SUX53" s="609"/>
      <c r="SUY53" s="609"/>
      <c r="SUZ53" s="609"/>
      <c r="SVA53" s="609"/>
      <c r="SVB53" s="609"/>
      <c r="SVC53" s="609"/>
      <c r="SVD53" s="609"/>
      <c r="SVE53" s="609"/>
      <c r="SVF53" s="609"/>
      <c r="SVG53" s="609"/>
      <c r="SVH53" s="609"/>
      <c r="SVI53" s="609"/>
      <c r="SVJ53" s="609"/>
      <c r="SVK53" s="609"/>
      <c r="SVL53" s="609"/>
      <c r="SVM53" s="609"/>
      <c r="SVN53" s="609"/>
      <c r="SVO53" s="609"/>
      <c r="SVP53" s="609"/>
      <c r="SVQ53" s="609"/>
      <c r="SVR53" s="609"/>
      <c r="SVS53" s="609"/>
      <c r="SVT53" s="609"/>
      <c r="SVU53" s="609"/>
      <c r="SVV53" s="609"/>
      <c r="SVW53" s="609"/>
      <c r="SVX53" s="609"/>
      <c r="SVY53" s="609"/>
      <c r="SVZ53" s="609"/>
      <c r="SWA53" s="609"/>
      <c r="SWB53" s="609"/>
      <c r="SWC53" s="609"/>
      <c r="SWD53" s="609"/>
      <c r="SWE53" s="609"/>
      <c r="SWF53" s="609"/>
      <c r="SWG53" s="609"/>
      <c r="SWH53" s="609"/>
      <c r="SWI53" s="609"/>
      <c r="SWJ53" s="609"/>
      <c r="SWK53" s="609"/>
      <c r="SWL53" s="609"/>
      <c r="SWM53" s="609"/>
      <c r="SWN53" s="609"/>
      <c r="SWO53" s="609"/>
      <c r="SWP53" s="609"/>
      <c r="SWQ53" s="609"/>
      <c r="SWR53" s="609"/>
      <c r="SWS53" s="609"/>
      <c r="SWT53" s="609"/>
      <c r="SWU53" s="609"/>
      <c r="SWV53" s="609"/>
      <c r="SWW53" s="609"/>
      <c r="SWX53" s="609"/>
      <c r="SWY53" s="609"/>
      <c r="SWZ53" s="609"/>
      <c r="SXA53" s="609"/>
      <c r="SXB53" s="609"/>
      <c r="SXC53" s="609"/>
      <c r="SXD53" s="609"/>
      <c r="SXE53" s="609"/>
      <c r="SXF53" s="609"/>
      <c r="SXG53" s="609"/>
      <c r="SXH53" s="609"/>
      <c r="SXI53" s="609"/>
      <c r="SXJ53" s="609"/>
      <c r="SXK53" s="609"/>
      <c r="SXL53" s="609"/>
      <c r="SXM53" s="609"/>
      <c r="SXN53" s="609"/>
      <c r="SXO53" s="609"/>
      <c r="SXP53" s="609"/>
      <c r="SXQ53" s="609"/>
      <c r="SXR53" s="609"/>
      <c r="SXS53" s="609"/>
      <c r="SXT53" s="609"/>
      <c r="SXU53" s="609"/>
      <c r="SXV53" s="609"/>
      <c r="SXW53" s="609"/>
      <c r="SXX53" s="609"/>
      <c r="SXY53" s="609"/>
      <c r="SXZ53" s="609"/>
      <c r="SYA53" s="609"/>
      <c r="SYB53" s="609"/>
      <c r="SYC53" s="609"/>
      <c r="SYD53" s="609"/>
      <c r="SYE53" s="609"/>
      <c r="SYF53" s="609"/>
      <c r="SYG53" s="609"/>
      <c r="SYH53" s="609"/>
      <c r="SYI53" s="609"/>
      <c r="SYJ53" s="609"/>
      <c r="SYK53" s="609"/>
      <c r="SYL53" s="609"/>
      <c r="SYM53" s="609"/>
      <c r="SYN53" s="609"/>
      <c r="SYO53" s="609"/>
      <c r="SYP53" s="609"/>
      <c r="SYQ53" s="609"/>
      <c r="SYR53" s="609"/>
      <c r="SYS53" s="609"/>
      <c r="SYT53" s="609"/>
      <c r="SYU53" s="609"/>
      <c r="SYV53" s="609"/>
      <c r="SYW53" s="609"/>
      <c r="SYX53" s="609"/>
      <c r="SYY53" s="609"/>
      <c r="SYZ53" s="609"/>
      <c r="SZA53" s="609"/>
      <c r="SZB53" s="609"/>
      <c r="SZC53" s="609"/>
      <c r="SZD53" s="609"/>
      <c r="SZE53" s="609"/>
      <c r="SZF53" s="609"/>
      <c r="SZG53" s="609"/>
      <c r="SZH53" s="609"/>
      <c r="SZI53" s="609"/>
      <c r="SZJ53" s="609"/>
      <c r="SZK53" s="609"/>
      <c r="SZL53" s="609"/>
      <c r="SZM53" s="609"/>
      <c r="SZN53" s="609"/>
      <c r="SZO53" s="609"/>
      <c r="SZP53" s="609"/>
      <c r="SZQ53" s="609"/>
      <c r="SZR53" s="609"/>
      <c r="SZS53" s="609"/>
      <c r="SZT53" s="609"/>
      <c r="SZU53" s="609"/>
      <c r="SZV53" s="609"/>
      <c r="SZW53" s="609"/>
      <c r="SZX53" s="609"/>
      <c r="SZY53" s="609"/>
      <c r="SZZ53" s="609"/>
      <c r="TAA53" s="609"/>
      <c r="TAB53" s="609"/>
      <c r="TAC53" s="609"/>
      <c r="TAD53" s="609"/>
      <c r="TAE53" s="609"/>
      <c r="TAF53" s="609"/>
      <c r="TAG53" s="609"/>
      <c r="TAH53" s="609"/>
      <c r="TAI53" s="609"/>
      <c r="TAJ53" s="609"/>
      <c r="TAK53" s="609"/>
      <c r="TAL53" s="609"/>
      <c r="TAM53" s="609"/>
      <c r="TAN53" s="609"/>
      <c r="TAO53" s="609"/>
      <c r="TAP53" s="609"/>
      <c r="TAQ53" s="609"/>
      <c r="TAR53" s="609"/>
      <c r="TAS53" s="609"/>
      <c r="TAT53" s="609"/>
      <c r="TAU53" s="609"/>
      <c r="TAV53" s="609"/>
      <c r="TAW53" s="609"/>
      <c r="TAX53" s="609"/>
      <c r="TAY53" s="609"/>
      <c r="TAZ53" s="609"/>
      <c r="TBA53" s="609"/>
      <c r="TBB53" s="609"/>
      <c r="TBC53" s="609"/>
      <c r="TBD53" s="609"/>
      <c r="TBE53" s="609"/>
      <c r="TBF53" s="609"/>
      <c r="TBG53" s="609"/>
      <c r="TBH53" s="609"/>
      <c r="TBI53" s="609"/>
      <c r="TBJ53" s="609"/>
      <c r="TBK53" s="609"/>
      <c r="TBL53" s="609"/>
      <c r="TBM53" s="609"/>
      <c r="TBN53" s="609"/>
      <c r="TBO53" s="609"/>
      <c r="TBP53" s="609"/>
      <c r="TBQ53" s="609"/>
      <c r="TBR53" s="609"/>
      <c r="TBS53" s="609"/>
      <c r="TBT53" s="609"/>
      <c r="TBU53" s="609"/>
      <c r="TBV53" s="609"/>
      <c r="TBW53" s="609"/>
      <c r="TBX53" s="609"/>
      <c r="TBY53" s="609"/>
      <c r="TBZ53" s="609"/>
      <c r="TCA53" s="609"/>
      <c r="TCB53" s="609"/>
      <c r="TCC53" s="609"/>
      <c r="TCD53" s="609"/>
      <c r="TCE53" s="609"/>
      <c r="TCF53" s="609"/>
      <c r="TCG53" s="609"/>
      <c r="TCH53" s="609"/>
      <c r="TCI53" s="609"/>
      <c r="TCJ53" s="609"/>
      <c r="TCK53" s="609"/>
      <c r="TCL53" s="609"/>
      <c r="TCM53" s="609"/>
      <c r="TCN53" s="609"/>
      <c r="TCO53" s="609"/>
      <c r="TCP53" s="609"/>
      <c r="TCQ53" s="609"/>
      <c r="TCR53" s="609"/>
      <c r="TCS53" s="609"/>
      <c r="TCT53" s="609"/>
      <c r="TCU53" s="609"/>
      <c r="TCV53" s="609"/>
      <c r="TCW53" s="609"/>
      <c r="TCX53" s="609"/>
      <c r="TCY53" s="609"/>
      <c r="TCZ53" s="609"/>
      <c r="TDA53" s="609"/>
      <c r="TDB53" s="609"/>
      <c r="TDC53" s="609"/>
      <c r="TDD53" s="609"/>
      <c r="TDE53" s="609"/>
      <c r="TDF53" s="609"/>
      <c r="TDG53" s="609"/>
      <c r="TDH53" s="609"/>
      <c r="TDI53" s="609"/>
      <c r="TDJ53" s="609"/>
      <c r="TDK53" s="609"/>
      <c r="TDL53" s="609"/>
      <c r="TDM53" s="609"/>
      <c r="TDN53" s="609"/>
      <c r="TDO53" s="609"/>
      <c r="TDP53" s="609"/>
      <c r="TDQ53" s="609"/>
      <c r="TDR53" s="609"/>
      <c r="TDS53" s="609"/>
      <c r="TDT53" s="609"/>
      <c r="TDU53" s="609"/>
      <c r="TDV53" s="609"/>
      <c r="TDW53" s="609"/>
      <c r="TDX53" s="609"/>
      <c r="TDY53" s="609"/>
      <c r="TDZ53" s="609"/>
      <c r="TEA53" s="609"/>
      <c r="TEB53" s="609"/>
      <c r="TEC53" s="609"/>
      <c r="TED53" s="609"/>
      <c r="TEE53" s="609"/>
      <c r="TEF53" s="609"/>
      <c r="TEG53" s="609"/>
      <c r="TEH53" s="609"/>
      <c r="TEI53" s="609"/>
      <c r="TEJ53" s="609"/>
      <c r="TEK53" s="609"/>
      <c r="TEL53" s="609"/>
      <c r="TEM53" s="609"/>
      <c r="TEN53" s="609"/>
      <c r="TEO53" s="609"/>
      <c r="TEP53" s="609"/>
      <c r="TEQ53" s="609"/>
      <c r="TER53" s="609"/>
      <c r="TES53" s="609"/>
      <c r="TET53" s="609"/>
      <c r="TEU53" s="609"/>
      <c r="TEV53" s="609"/>
      <c r="TEW53" s="609"/>
      <c r="TEX53" s="609"/>
      <c r="TEY53" s="609"/>
      <c r="TEZ53" s="609"/>
      <c r="TFA53" s="609"/>
      <c r="TFB53" s="609"/>
      <c r="TFC53" s="609"/>
      <c r="TFD53" s="609"/>
      <c r="TFE53" s="609"/>
      <c r="TFF53" s="609"/>
      <c r="TFG53" s="609"/>
      <c r="TFH53" s="609"/>
      <c r="TFI53" s="609"/>
      <c r="TFJ53" s="609"/>
      <c r="TFK53" s="609"/>
      <c r="TFL53" s="609"/>
      <c r="TFM53" s="609"/>
      <c r="TFN53" s="609"/>
      <c r="TFO53" s="609"/>
      <c r="TFP53" s="609"/>
      <c r="TFQ53" s="609"/>
      <c r="TFR53" s="609"/>
      <c r="TFS53" s="609"/>
      <c r="TFT53" s="609"/>
      <c r="TFU53" s="609"/>
      <c r="TFV53" s="609"/>
      <c r="TFW53" s="609"/>
      <c r="TFX53" s="609"/>
      <c r="TFY53" s="609"/>
      <c r="TFZ53" s="609"/>
      <c r="TGA53" s="609"/>
      <c r="TGB53" s="609"/>
      <c r="TGC53" s="609"/>
      <c r="TGD53" s="609"/>
      <c r="TGE53" s="609"/>
      <c r="TGF53" s="609"/>
      <c r="TGG53" s="609"/>
      <c r="TGH53" s="609"/>
      <c r="TGI53" s="609"/>
      <c r="TGJ53" s="609"/>
      <c r="TGK53" s="609"/>
      <c r="TGL53" s="609"/>
      <c r="TGM53" s="609"/>
      <c r="TGN53" s="609"/>
      <c r="TGO53" s="609"/>
      <c r="TGP53" s="609"/>
      <c r="TGQ53" s="609"/>
      <c r="TGR53" s="609"/>
      <c r="TGS53" s="609"/>
      <c r="TGT53" s="609"/>
      <c r="TGU53" s="609"/>
      <c r="TGV53" s="609"/>
      <c r="TGW53" s="609"/>
      <c r="TGX53" s="609"/>
      <c r="TGY53" s="609"/>
      <c r="TGZ53" s="609"/>
      <c r="THA53" s="609"/>
      <c r="THB53" s="609"/>
      <c r="THC53" s="609"/>
      <c r="THD53" s="609"/>
      <c r="THE53" s="609"/>
      <c r="THF53" s="609"/>
      <c r="THG53" s="609"/>
      <c r="THH53" s="609"/>
      <c r="THI53" s="609"/>
      <c r="THJ53" s="609"/>
      <c r="THK53" s="609"/>
      <c r="THL53" s="609"/>
      <c r="THM53" s="609"/>
      <c r="THN53" s="609"/>
      <c r="THO53" s="609"/>
      <c r="THP53" s="609"/>
      <c r="THQ53" s="609"/>
      <c r="THR53" s="609"/>
      <c r="THS53" s="609"/>
      <c r="THT53" s="609"/>
      <c r="THU53" s="609"/>
      <c r="THV53" s="609"/>
      <c r="THW53" s="609"/>
      <c r="THX53" s="609"/>
      <c r="THY53" s="609"/>
      <c r="THZ53" s="609"/>
      <c r="TIA53" s="609"/>
      <c r="TIB53" s="609"/>
      <c r="TIC53" s="609"/>
      <c r="TID53" s="609"/>
      <c r="TIE53" s="609"/>
      <c r="TIF53" s="609"/>
      <c r="TIG53" s="609"/>
      <c r="TIH53" s="609"/>
      <c r="TII53" s="609"/>
      <c r="TIJ53" s="609"/>
      <c r="TIK53" s="609"/>
      <c r="TIL53" s="609"/>
      <c r="TIM53" s="609"/>
      <c r="TIN53" s="609"/>
      <c r="TIO53" s="609"/>
      <c r="TIP53" s="609"/>
      <c r="TIQ53" s="609"/>
      <c r="TIR53" s="609"/>
      <c r="TIS53" s="609"/>
      <c r="TIT53" s="609"/>
      <c r="TIU53" s="609"/>
      <c r="TIV53" s="609"/>
      <c r="TIW53" s="609"/>
      <c r="TIX53" s="609"/>
      <c r="TIY53" s="609"/>
      <c r="TIZ53" s="609"/>
      <c r="TJA53" s="609"/>
      <c r="TJB53" s="609"/>
      <c r="TJC53" s="609"/>
      <c r="TJD53" s="609"/>
      <c r="TJE53" s="609"/>
      <c r="TJF53" s="609"/>
      <c r="TJG53" s="609"/>
      <c r="TJH53" s="609"/>
      <c r="TJI53" s="609"/>
      <c r="TJJ53" s="609"/>
      <c r="TJK53" s="609"/>
      <c r="TJL53" s="609"/>
      <c r="TJM53" s="609"/>
      <c r="TJN53" s="609"/>
      <c r="TJO53" s="609"/>
      <c r="TJP53" s="609"/>
      <c r="TJQ53" s="609"/>
      <c r="TJR53" s="609"/>
      <c r="TJS53" s="609"/>
      <c r="TJT53" s="609"/>
      <c r="TJU53" s="609"/>
      <c r="TJV53" s="609"/>
      <c r="TJW53" s="609"/>
      <c r="TJX53" s="609"/>
      <c r="TJY53" s="609"/>
      <c r="TJZ53" s="609"/>
      <c r="TKA53" s="609"/>
      <c r="TKB53" s="609"/>
      <c r="TKC53" s="609"/>
      <c r="TKD53" s="609"/>
      <c r="TKE53" s="609"/>
      <c r="TKF53" s="609"/>
      <c r="TKG53" s="609"/>
      <c r="TKH53" s="609"/>
      <c r="TKI53" s="609"/>
      <c r="TKJ53" s="609"/>
      <c r="TKK53" s="609"/>
      <c r="TKL53" s="609"/>
      <c r="TKM53" s="609"/>
      <c r="TKN53" s="609"/>
      <c r="TKO53" s="609"/>
      <c r="TKP53" s="609"/>
      <c r="TKQ53" s="609"/>
      <c r="TKR53" s="609"/>
      <c r="TKS53" s="609"/>
      <c r="TKT53" s="609"/>
      <c r="TKU53" s="609"/>
      <c r="TKV53" s="609"/>
      <c r="TKW53" s="609"/>
      <c r="TKX53" s="609"/>
      <c r="TKY53" s="609"/>
      <c r="TKZ53" s="609"/>
      <c r="TLA53" s="609"/>
      <c r="TLB53" s="609"/>
      <c r="TLC53" s="609"/>
      <c r="TLD53" s="609"/>
      <c r="TLE53" s="609"/>
      <c r="TLF53" s="609"/>
      <c r="TLG53" s="609"/>
      <c r="TLH53" s="609"/>
      <c r="TLI53" s="609"/>
      <c r="TLJ53" s="609"/>
      <c r="TLK53" s="609"/>
      <c r="TLL53" s="609"/>
      <c r="TLM53" s="609"/>
      <c r="TLN53" s="609"/>
      <c r="TLO53" s="609"/>
      <c r="TLP53" s="609"/>
      <c r="TLQ53" s="609"/>
      <c r="TLR53" s="609"/>
      <c r="TLS53" s="609"/>
      <c r="TLT53" s="609"/>
      <c r="TLU53" s="609"/>
      <c r="TLV53" s="609"/>
      <c r="TLW53" s="609"/>
      <c r="TLX53" s="609"/>
      <c r="TLY53" s="609"/>
      <c r="TLZ53" s="609"/>
      <c r="TMA53" s="609"/>
      <c r="TMB53" s="609"/>
      <c r="TMC53" s="609"/>
      <c r="TMD53" s="609"/>
      <c r="TME53" s="609"/>
      <c r="TMF53" s="609"/>
      <c r="TMG53" s="609"/>
      <c r="TMH53" s="609"/>
      <c r="TMI53" s="609"/>
      <c r="TMJ53" s="609"/>
      <c r="TMK53" s="609"/>
      <c r="TML53" s="609"/>
      <c r="TMM53" s="609"/>
      <c r="TMN53" s="609"/>
      <c r="TMO53" s="609"/>
      <c r="TMP53" s="609"/>
      <c r="TMQ53" s="609"/>
      <c r="TMR53" s="609"/>
      <c r="TMS53" s="609"/>
      <c r="TMT53" s="609"/>
      <c r="TMU53" s="609"/>
      <c r="TMV53" s="609"/>
      <c r="TMW53" s="609"/>
      <c r="TMX53" s="609"/>
      <c r="TMY53" s="609"/>
      <c r="TMZ53" s="609"/>
      <c r="TNA53" s="609"/>
      <c r="TNB53" s="609"/>
      <c r="TNC53" s="609"/>
      <c r="TND53" s="609"/>
      <c r="TNE53" s="609"/>
      <c r="TNF53" s="609"/>
      <c r="TNG53" s="609"/>
      <c r="TNH53" s="609"/>
      <c r="TNI53" s="609"/>
      <c r="TNJ53" s="609"/>
      <c r="TNK53" s="609"/>
      <c r="TNL53" s="609"/>
      <c r="TNM53" s="609"/>
      <c r="TNN53" s="609"/>
      <c r="TNO53" s="609"/>
      <c r="TNP53" s="609"/>
      <c r="TNQ53" s="609"/>
      <c r="TNR53" s="609"/>
      <c r="TNS53" s="609"/>
      <c r="TNT53" s="609"/>
      <c r="TNU53" s="609"/>
      <c r="TNV53" s="609"/>
      <c r="TNW53" s="609"/>
      <c r="TNX53" s="609"/>
      <c r="TNY53" s="609"/>
      <c r="TNZ53" s="609"/>
      <c r="TOA53" s="609"/>
      <c r="TOB53" s="609"/>
      <c r="TOC53" s="609"/>
      <c r="TOD53" s="609"/>
      <c r="TOE53" s="609"/>
      <c r="TOF53" s="609"/>
      <c r="TOG53" s="609"/>
      <c r="TOH53" s="609"/>
      <c r="TOI53" s="609"/>
      <c r="TOJ53" s="609"/>
      <c r="TOK53" s="609"/>
      <c r="TOL53" s="609"/>
      <c r="TOM53" s="609"/>
      <c r="TON53" s="609"/>
      <c r="TOO53" s="609"/>
      <c r="TOP53" s="609"/>
      <c r="TOQ53" s="609"/>
      <c r="TOR53" s="609"/>
      <c r="TOS53" s="609"/>
      <c r="TOT53" s="609"/>
      <c r="TOU53" s="609"/>
      <c r="TOV53" s="609"/>
      <c r="TOW53" s="609"/>
      <c r="TOX53" s="609"/>
      <c r="TOY53" s="609"/>
      <c r="TOZ53" s="609"/>
      <c r="TPA53" s="609"/>
      <c r="TPB53" s="609"/>
      <c r="TPC53" s="609"/>
      <c r="TPD53" s="609"/>
      <c r="TPE53" s="609"/>
      <c r="TPF53" s="609"/>
      <c r="TPG53" s="609"/>
      <c r="TPH53" s="609"/>
      <c r="TPI53" s="609"/>
      <c r="TPJ53" s="609"/>
      <c r="TPK53" s="609"/>
      <c r="TPL53" s="609"/>
      <c r="TPM53" s="609"/>
      <c r="TPN53" s="609"/>
      <c r="TPO53" s="609"/>
      <c r="TPP53" s="609"/>
      <c r="TPQ53" s="609"/>
      <c r="TPR53" s="609"/>
      <c r="TPS53" s="609"/>
      <c r="TPT53" s="609"/>
      <c r="TPU53" s="609"/>
      <c r="TPV53" s="609"/>
      <c r="TPW53" s="609"/>
      <c r="TPX53" s="609"/>
      <c r="TPY53" s="609"/>
      <c r="TPZ53" s="609"/>
      <c r="TQA53" s="609"/>
      <c r="TQB53" s="609"/>
      <c r="TQC53" s="609"/>
      <c r="TQD53" s="609"/>
      <c r="TQE53" s="609"/>
      <c r="TQF53" s="609"/>
      <c r="TQG53" s="609"/>
      <c r="TQH53" s="609"/>
      <c r="TQI53" s="609"/>
      <c r="TQJ53" s="609"/>
      <c r="TQK53" s="609"/>
      <c r="TQL53" s="609"/>
      <c r="TQM53" s="609"/>
      <c r="TQN53" s="609"/>
      <c r="TQO53" s="609"/>
      <c r="TQP53" s="609"/>
      <c r="TQQ53" s="609"/>
      <c r="TQR53" s="609"/>
      <c r="TQS53" s="609"/>
      <c r="TQT53" s="609"/>
      <c r="TQU53" s="609"/>
      <c r="TQV53" s="609"/>
      <c r="TQW53" s="609"/>
      <c r="TQX53" s="609"/>
      <c r="TQY53" s="609"/>
      <c r="TQZ53" s="609"/>
      <c r="TRA53" s="609"/>
      <c r="TRB53" s="609"/>
      <c r="TRC53" s="609"/>
      <c r="TRD53" s="609"/>
      <c r="TRE53" s="609"/>
      <c r="TRF53" s="609"/>
      <c r="TRG53" s="609"/>
      <c r="TRH53" s="609"/>
      <c r="TRI53" s="609"/>
      <c r="TRJ53" s="609"/>
      <c r="TRK53" s="609"/>
      <c r="TRL53" s="609"/>
      <c r="TRM53" s="609"/>
      <c r="TRN53" s="609"/>
      <c r="TRO53" s="609"/>
      <c r="TRP53" s="609"/>
      <c r="TRQ53" s="609"/>
      <c r="TRR53" s="609"/>
      <c r="TRS53" s="609"/>
      <c r="TRT53" s="609"/>
      <c r="TRU53" s="609"/>
      <c r="TRV53" s="609"/>
      <c r="TRW53" s="609"/>
      <c r="TRX53" s="609"/>
      <c r="TRY53" s="609"/>
      <c r="TRZ53" s="609"/>
      <c r="TSA53" s="609"/>
      <c r="TSB53" s="609"/>
      <c r="TSC53" s="609"/>
      <c r="TSD53" s="609"/>
      <c r="TSE53" s="609"/>
      <c r="TSF53" s="609"/>
      <c r="TSG53" s="609"/>
      <c r="TSH53" s="609"/>
      <c r="TSI53" s="609"/>
      <c r="TSJ53" s="609"/>
      <c r="TSK53" s="609"/>
      <c r="TSL53" s="609"/>
      <c r="TSM53" s="609"/>
      <c r="TSN53" s="609"/>
      <c r="TSO53" s="609"/>
      <c r="TSP53" s="609"/>
      <c r="TSQ53" s="609"/>
      <c r="TSR53" s="609"/>
      <c r="TSS53" s="609"/>
      <c r="TST53" s="609"/>
      <c r="TSU53" s="609"/>
      <c r="TSV53" s="609"/>
      <c r="TSW53" s="609"/>
      <c r="TSX53" s="609"/>
      <c r="TSY53" s="609"/>
      <c r="TSZ53" s="609"/>
      <c r="TTA53" s="609"/>
      <c r="TTB53" s="609"/>
      <c r="TTC53" s="609"/>
      <c r="TTD53" s="609"/>
      <c r="TTE53" s="609"/>
      <c r="TTF53" s="609"/>
      <c r="TTG53" s="609"/>
      <c r="TTH53" s="609"/>
      <c r="TTI53" s="609"/>
      <c r="TTJ53" s="609"/>
      <c r="TTK53" s="609"/>
      <c r="TTL53" s="609"/>
      <c r="TTM53" s="609"/>
      <c r="TTN53" s="609"/>
      <c r="TTO53" s="609"/>
      <c r="TTP53" s="609"/>
      <c r="TTQ53" s="609"/>
      <c r="TTR53" s="609"/>
      <c r="TTS53" s="609"/>
      <c r="TTT53" s="609"/>
      <c r="TTU53" s="609"/>
      <c r="TTV53" s="609"/>
      <c r="TTW53" s="609"/>
      <c r="TTX53" s="609"/>
      <c r="TTY53" s="609"/>
      <c r="TTZ53" s="609"/>
      <c r="TUA53" s="609"/>
      <c r="TUB53" s="609"/>
      <c r="TUC53" s="609"/>
      <c r="TUD53" s="609"/>
      <c r="TUE53" s="609"/>
      <c r="TUF53" s="609"/>
      <c r="TUG53" s="609"/>
      <c r="TUH53" s="609"/>
      <c r="TUI53" s="609"/>
      <c r="TUJ53" s="609"/>
      <c r="TUK53" s="609"/>
      <c r="TUL53" s="609"/>
      <c r="TUM53" s="609"/>
      <c r="TUN53" s="609"/>
      <c r="TUO53" s="609"/>
      <c r="TUP53" s="609"/>
      <c r="TUQ53" s="609"/>
      <c r="TUR53" s="609"/>
      <c r="TUS53" s="609"/>
      <c r="TUT53" s="609"/>
      <c r="TUU53" s="609"/>
      <c r="TUV53" s="609"/>
      <c r="TUW53" s="609"/>
      <c r="TUX53" s="609"/>
      <c r="TUY53" s="609"/>
      <c r="TUZ53" s="609"/>
      <c r="TVA53" s="609"/>
      <c r="TVB53" s="609"/>
      <c r="TVC53" s="609"/>
      <c r="TVD53" s="609"/>
      <c r="TVE53" s="609"/>
      <c r="TVF53" s="609"/>
      <c r="TVG53" s="609"/>
      <c r="TVH53" s="609"/>
      <c r="TVI53" s="609"/>
      <c r="TVJ53" s="609"/>
      <c r="TVK53" s="609"/>
      <c r="TVL53" s="609"/>
      <c r="TVM53" s="609"/>
      <c r="TVN53" s="609"/>
      <c r="TVO53" s="609"/>
      <c r="TVP53" s="609"/>
      <c r="TVQ53" s="609"/>
      <c r="TVR53" s="609"/>
      <c r="TVS53" s="609"/>
      <c r="TVT53" s="609"/>
      <c r="TVU53" s="609"/>
      <c r="TVV53" s="609"/>
      <c r="TVW53" s="609"/>
      <c r="TVX53" s="609"/>
      <c r="TVY53" s="609"/>
      <c r="TVZ53" s="609"/>
      <c r="TWA53" s="609"/>
      <c r="TWB53" s="609"/>
      <c r="TWC53" s="609"/>
      <c r="TWD53" s="609"/>
      <c r="TWE53" s="609"/>
      <c r="TWF53" s="609"/>
      <c r="TWG53" s="609"/>
      <c r="TWH53" s="609"/>
      <c r="TWI53" s="609"/>
      <c r="TWJ53" s="609"/>
      <c r="TWK53" s="609"/>
      <c r="TWL53" s="609"/>
      <c r="TWM53" s="609"/>
      <c r="TWN53" s="609"/>
      <c r="TWO53" s="609"/>
      <c r="TWP53" s="609"/>
      <c r="TWQ53" s="609"/>
      <c r="TWR53" s="609"/>
      <c r="TWS53" s="609"/>
      <c r="TWT53" s="609"/>
      <c r="TWU53" s="609"/>
      <c r="TWV53" s="609"/>
      <c r="TWW53" s="609"/>
      <c r="TWX53" s="609"/>
      <c r="TWY53" s="609"/>
      <c r="TWZ53" s="609"/>
      <c r="TXA53" s="609"/>
      <c r="TXB53" s="609"/>
      <c r="TXC53" s="609"/>
      <c r="TXD53" s="609"/>
      <c r="TXE53" s="609"/>
      <c r="TXF53" s="609"/>
      <c r="TXG53" s="609"/>
      <c r="TXH53" s="609"/>
      <c r="TXI53" s="609"/>
      <c r="TXJ53" s="609"/>
      <c r="TXK53" s="609"/>
      <c r="TXL53" s="609"/>
      <c r="TXM53" s="609"/>
      <c r="TXN53" s="609"/>
      <c r="TXO53" s="609"/>
      <c r="TXP53" s="609"/>
      <c r="TXQ53" s="609"/>
      <c r="TXR53" s="609"/>
      <c r="TXS53" s="609"/>
      <c r="TXT53" s="609"/>
      <c r="TXU53" s="609"/>
      <c r="TXV53" s="609"/>
      <c r="TXW53" s="609"/>
      <c r="TXX53" s="609"/>
      <c r="TXY53" s="609"/>
      <c r="TXZ53" s="609"/>
      <c r="TYA53" s="609"/>
      <c r="TYB53" s="609"/>
      <c r="TYC53" s="609"/>
      <c r="TYD53" s="609"/>
      <c r="TYE53" s="609"/>
      <c r="TYF53" s="609"/>
      <c r="TYG53" s="609"/>
      <c r="TYH53" s="609"/>
      <c r="TYI53" s="609"/>
      <c r="TYJ53" s="609"/>
      <c r="TYK53" s="609"/>
      <c r="TYL53" s="609"/>
      <c r="TYM53" s="609"/>
      <c r="TYN53" s="609"/>
      <c r="TYO53" s="609"/>
      <c r="TYP53" s="609"/>
      <c r="TYQ53" s="609"/>
      <c r="TYR53" s="609"/>
      <c r="TYS53" s="609"/>
      <c r="TYT53" s="609"/>
      <c r="TYU53" s="609"/>
      <c r="TYV53" s="609"/>
      <c r="TYW53" s="609"/>
      <c r="TYX53" s="609"/>
      <c r="TYY53" s="609"/>
      <c r="TYZ53" s="609"/>
      <c r="TZA53" s="609"/>
      <c r="TZB53" s="609"/>
      <c r="TZC53" s="609"/>
      <c r="TZD53" s="609"/>
      <c r="TZE53" s="609"/>
      <c r="TZF53" s="609"/>
      <c r="TZG53" s="609"/>
      <c r="TZH53" s="609"/>
      <c r="TZI53" s="609"/>
      <c r="TZJ53" s="609"/>
      <c r="TZK53" s="609"/>
      <c r="TZL53" s="609"/>
      <c r="TZM53" s="609"/>
      <c r="TZN53" s="609"/>
      <c r="TZO53" s="609"/>
      <c r="TZP53" s="609"/>
      <c r="TZQ53" s="609"/>
      <c r="TZR53" s="609"/>
      <c r="TZS53" s="609"/>
      <c r="TZT53" s="609"/>
      <c r="TZU53" s="609"/>
      <c r="TZV53" s="609"/>
      <c r="TZW53" s="609"/>
      <c r="TZX53" s="609"/>
      <c r="TZY53" s="609"/>
      <c r="TZZ53" s="609"/>
      <c r="UAA53" s="609"/>
      <c r="UAB53" s="609"/>
      <c r="UAC53" s="609"/>
      <c r="UAD53" s="609"/>
      <c r="UAE53" s="609"/>
      <c r="UAF53" s="609"/>
      <c r="UAG53" s="609"/>
      <c r="UAH53" s="609"/>
      <c r="UAI53" s="609"/>
      <c r="UAJ53" s="609"/>
      <c r="UAK53" s="609"/>
      <c r="UAL53" s="609"/>
      <c r="UAM53" s="609"/>
      <c r="UAN53" s="609"/>
      <c r="UAO53" s="609"/>
      <c r="UAP53" s="609"/>
      <c r="UAQ53" s="609"/>
      <c r="UAR53" s="609"/>
      <c r="UAS53" s="609"/>
      <c r="UAT53" s="609"/>
      <c r="UAU53" s="609"/>
      <c r="UAV53" s="609"/>
      <c r="UAW53" s="609"/>
      <c r="UAX53" s="609"/>
      <c r="UAY53" s="609"/>
      <c r="UAZ53" s="609"/>
      <c r="UBA53" s="609"/>
      <c r="UBB53" s="609"/>
      <c r="UBC53" s="609"/>
      <c r="UBD53" s="609"/>
      <c r="UBE53" s="609"/>
      <c r="UBF53" s="609"/>
      <c r="UBG53" s="609"/>
      <c r="UBH53" s="609"/>
      <c r="UBI53" s="609"/>
      <c r="UBJ53" s="609"/>
      <c r="UBK53" s="609"/>
      <c r="UBL53" s="609"/>
      <c r="UBM53" s="609"/>
      <c r="UBN53" s="609"/>
      <c r="UBO53" s="609"/>
      <c r="UBP53" s="609"/>
      <c r="UBQ53" s="609"/>
      <c r="UBR53" s="609"/>
      <c r="UBS53" s="609"/>
      <c r="UBT53" s="609"/>
      <c r="UBU53" s="609"/>
      <c r="UBV53" s="609"/>
      <c r="UBW53" s="609"/>
      <c r="UBX53" s="609"/>
      <c r="UBY53" s="609"/>
      <c r="UBZ53" s="609"/>
      <c r="UCA53" s="609"/>
      <c r="UCB53" s="609"/>
      <c r="UCC53" s="609"/>
      <c r="UCD53" s="609"/>
      <c r="UCE53" s="609"/>
      <c r="UCF53" s="609"/>
      <c r="UCG53" s="609"/>
      <c r="UCH53" s="609"/>
      <c r="UCI53" s="609"/>
      <c r="UCJ53" s="609"/>
      <c r="UCK53" s="609"/>
      <c r="UCL53" s="609"/>
      <c r="UCM53" s="609"/>
      <c r="UCN53" s="609"/>
      <c r="UCO53" s="609"/>
      <c r="UCP53" s="609"/>
      <c r="UCQ53" s="609"/>
      <c r="UCR53" s="609"/>
      <c r="UCS53" s="609"/>
      <c r="UCT53" s="609"/>
      <c r="UCU53" s="609"/>
      <c r="UCV53" s="609"/>
      <c r="UCW53" s="609"/>
      <c r="UCX53" s="609"/>
      <c r="UCY53" s="609"/>
      <c r="UCZ53" s="609"/>
      <c r="UDA53" s="609"/>
      <c r="UDB53" s="609"/>
      <c r="UDC53" s="609"/>
      <c r="UDD53" s="609"/>
      <c r="UDE53" s="609"/>
      <c r="UDF53" s="609"/>
      <c r="UDG53" s="609"/>
      <c r="UDH53" s="609"/>
      <c r="UDI53" s="609"/>
      <c r="UDJ53" s="609"/>
      <c r="UDK53" s="609"/>
      <c r="UDL53" s="609"/>
      <c r="UDM53" s="609"/>
      <c r="UDN53" s="609"/>
      <c r="UDO53" s="609"/>
      <c r="UDP53" s="609"/>
      <c r="UDQ53" s="609"/>
      <c r="UDR53" s="609"/>
      <c r="UDS53" s="609"/>
      <c r="UDT53" s="609"/>
      <c r="UDU53" s="609"/>
      <c r="UDV53" s="609"/>
      <c r="UDW53" s="609"/>
      <c r="UDX53" s="609"/>
      <c r="UDY53" s="609"/>
      <c r="UDZ53" s="609"/>
      <c r="UEA53" s="609"/>
      <c r="UEB53" s="609"/>
      <c r="UEC53" s="609"/>
      <c r="UED53" s="609"/>
      <c r="UEE53" s="609"/>
      <c r="UEF53" s="609"/>
      <c r="UEG53" s="609"/>
      <c r="UEH53" s="609"/>
      <c r="UEI53" s="609"/>
      <c r="UEJ53" s="609"/>
      <c r="UEK53" s="609"/>
      <c r="UEL53" s="609"/>
      <c r="UEM53" s="609"/>
      <c r="UEN53" s="609"/>
      <c r="UEO53" s="609"/>
      <c r="UEP53" s="609"/>
      <c r="UEQ53" s="609"/>
      <c r="UER53" s="609"/>
      <c r="UES53" s="609"/>
      <c r="UET53" s="609"/>
      <c r="UEU53" s="609"/>
      <c r="UEV53" s="609"/>
      <c r="UEW53" s="609"/>
      <c r="UEX53" s="609"/>
      <c r="UEY53" s="609"/>
      <c r="UEZ53" s="609"/>
      <c r="UFA53" s="609"/>
      <c r="UFB53" s="609"/>
      <c r="UFC53" s="609"/>
      <c r="UFD53" s="609"/>
      <c r="UFE53" s="609"/>
      <c r="UFF53" s="609"/>
      <c r="UFG53" s="609"/>
      <c r="UFH53" s="609"/>
      <c r="UFI53" s="609"/>
      <c r="UFJ53" s="609"/>
      <c r="UFK53" s="609"/>
      <c r="UFL53" s="609"/>
      <c r="UFM53" s="609"/>
      <c r="UFN53" s="609"/>
      <c r="UFO53" s="609"/>
      <c r="UFP53" s="609"/>
      <c r="UFQ53" s="609"/>
      <c r="UFR53" s="609"/>
      <c r="UFS53" s="609"/>
      <c r="UFT53" s="609"/>
      <c r="UFU53" s="609"/>
      <c r="UFV53" s="609"/>
      <c r="UFW53" s="609"/>
      <c r="UFX53" s="609"/>
      <c r="UFY53" s="609"/>
      <c r="UFZ53" s="609"/>
      <c r="UGA53" s="609"/>
      <c r="UGB53" s="609"/>
      <c r="UGC53" s="609"/>
      <c r="UGD53" s="609"/>
      <c r="UGE53" s="609"/>
      <c r="UGF53" s="609"/>
      <c r="UGG53" s="609"/>
      <c r="UGH53" s="609"/>
      <c r="UGI53" s="609"/>
      <c r="UGJ53" s="609"/>
      <c r="UGK53" s="609"/>
      <c r="UGL53" s="609"/>
      <c r="UGM53" s="609"/>
      <c r="UGN53" s="609"/>
      <c r="UGO53" s="609"/>
      <c r="UGP53" s="609"/>
      <c r="UGQ53" s="609"/>
      <c r="UGR53" s="609"/>
      <c r="UGS53" s="609"/>
      <c r="UGT53" s="609"/>
      <c r="UGU53" s="609"/>
      <c r="UGV53" s="609"/>
      <c r="UGW53" s="609"/>
      <c r="UGX53" s="609"/>
      <c r="UGY53" s="609"/>
      <c r="UGZ53" s="609"/>
      <c r="UHA53" s="609"/>
      <c r="UHB53" s="609"/>
      <c r="UHC53" s="609"/>
      <c r="UHD53" s="609"/>
      <c r="UHE53" s="609"/>
      <c r="UHF53" s="609"/>
      <c r="UHG53" s="609"/>
      <c r="UHH53" s="609"/>
      <c r="UHI53" s="609"/>
      <c r="UHJ53" s="609"/>
      <c r="UHK53" s="609"/>
      <c r="UHL53" s="609"/>
      <c r="UHM53" s="609"/>
      <c r="UHN53" s="609"/>
      <c r="UHO53" s="609"/>
      <c r="UHP53" s="609"/>
      <c r="UHQ53" s="609"/>
      <c r="UHR53" s="609"/>
      <c r="UHS53" s="609"/>
      <c r="UHT53" s="609"/>
      <c r="UHU53" s="609"/>
      <c r="UHV53" s="609"/>
      <c r="UHW53" s="609"/>
      <c r="UHX53" s="609"/>
      <c r="UHY53" s="609"/>
      <c r="UHZ53" s="609"/>
      <c r="UIA53" s="609"/>
      <c r="UIB53" s="609"/>
      <c r="UIC53" s="609"/>
      <c r="UID53" s="609"/>
      <c r="UIE53" s="609"/>
      <c r="UIF53" s="609"/>
      <c r="UIG53" s="609"/>
      <c r="UIH53" s="609"/>
      <c r="UII53" s="609"/>
      <c r="UIJ53" s="609"/>
      <c r="UIK53" s="609"/>
      <c r="UIL53" s="609"/>
      <c r="UIM53" s="609"/>
      <c r="UIN53" s="609"/>
      <c r="UIO53" s="609"/>
      <c r="UIP53" s="609"/>
      <c r="UIQ53" s="609"/>
      <c r="UIR53" s="609"/>
      <c r="UIS53" s="609"/>
      <c r="UIT53" s="609"/>
      <c r="UIU53" s="609"/>
      <c r="UIV53" s="609"/>
      <c r="UIW53" s="609"/>
      <c r="UIX53" s="609"/>
      <c r="UIY53" s="609"/>
      <c r="UIZ53" s="609"/>
      <c r="UJA53" s="609"/>
      <c r="UJB53" s="609"/>
      <c r="UJC53" s="609"/>
      <c r="UJD53" s="609"/>
      <c r="UJE53" s="609"/>
      <c r="UJF53" s="609"/>
      <c r="UJG53" s="609"/>
      <c r="UJH53" s="609"/>
      <c r="UJI53" s="609"/>
      <c r="UJJ53" s="609"/>
      <c r="UJK53" s="609"/>
      <c r="UJL53" s="609"/>
      <c r="UJM53" s="609"/>
      <c r="UJN53" s="609"/>
      <c r="UJO53" s="609"/>
      <c r="UJP53" s="609"/>
      <c r="UJQ53" s="609"/>
      <c r="UJR53" s="609"/>
      <c r="UJS53" s="609"/>
      <c r="UJT53" s="609"/>
      <c r="UJU53" s="609"/>
      <c r="UJV53" s="609"/>
      <c r="UJW53" s="609"/>
      <c r="UJX53" s="609"/>
      <c r="UJY53" s="609"/>
      <c r="UJZ53" s="609"/>
      <c r="UKA53" s="609"/>
      <c r="UKB53" s="609"/>
      <c r="UKC53" s="609"/>
      <c r="UKD53" s="609"/>
      <c r="UKE53" s="609"/>
      <c r="UKF53" s="609"/>
      <c r="UKG53" s="609"/>
      <c r="UKH53" s="609"/>
      <c r="UKI53" s="609"/>
      <c r="UKJ53" s="609"/>
      <c r="UKK53" s="609"/>
      <c r="UKL53" s="609"/>
      <c r="UKM53" s="609"/>
      <c r="UKN53" s="609"/>
      <c r="UKO53" s="609"/>
      <c r="UKP53" s="609"/>
      <c r="UKQ53" s="609"/>
      <c r="UKR53" s="609"/>
      <c r="UKS53" s="609"/>
      <c r="UKT53" s="609"/>
      <c r="UKU53" s="609"/>
      <c r="UKV53" s="609"/>
      <c r="UKW53" s="609"/>
      <c r="UKX53" s="609"/>
      <c r="UKY53" s="609"/>
      <c r="UKZ53" s="609"/>
      <c r="ULA53" s="609"/>
      <c r="ULB53" s="609"/>
      <c r="ULC53" s="609"/>
      <c r="ULD53" s="609"/>
      <c r="ULE53" s="609"/>
      <c r="ULF53" s="609"/>
      <c r="ULG53" s="609"/>
      <c r="ULH53" s="609"/>
      <c r="ULI53" s="609"/>
      <c r="ULJ53" s="609"/>
      <c r="ULK53" s="609"/>
      <c r="ULL53" s="609"/>
      <c r="ULM53" s="609"/>
      <c r="ULN53" s="609"/>
      <c r="ULO53" s="609"/>
      <c r="ULP53" s="609"/>
      <c r="ULQ53" s="609"/>
      <c r="ULR53" s="609"/>
      <c r="ULS53" s="609"/>
      <c r="ULT53" s="609"/>
      <c r="ULU53" s="609"/>
      <c r="ULV53" s="609"/>
      <c r="ULW53" s="609"/>
      <c r="ULX53" s="609"/>
      <c r="ULY53" s="609"/>
      <c r="ULZ53" s="609"/>
      <c r="UMA53" s="609"/>
      <c r="UMB53" s="609"/>
      <c r="UMC53" s="609"/>
      <c r="UMD53" s="609"/>
      <c r="UME53" s="609"/>
      <c r="UMF53" s="609"/>
      <c r="UMG53" s="609"/>
      <c r="UMH53" s="609"/>
      <c r="UMI53" s="609"/>
      <c r="UMJ53" s="609"/>
      <c r="UMK53" s="609"/>
      <c r="UML53" s="609"/>
      <c r="UMM53" s="609"/>
      <c r="UMN53" s="609"/>
      <c r="UMO53" s="609"/>
      <c r="UMP53" s="609"/>
      <c r="UMQ53" s="609"/>
      <c r="UMR53" s="609"/>
      <c r="UMS53" s="609"/>
      <c r="UMT53" s="609"/>
      <c r="UMU53" s="609"/>
      <c r="UMV53" s="609"/>
      <c r="UMW53" s="609"/>
      <c r="UMX53" s="609"/>
      <c r="UMY53" s="609"/>
      <c r="UMZ53" s="609"/>
      <c r="UNA53" s="609"/>
      <c r="UNB53" s="609"/>
      <c r="UNC53" s="609"/>
      <c r="UND53" s="609"/>
      <c r="UNE53" s="609"/>
      <c r="UNF53" s="609"/>
      <c r="UNG53" s="609"/>
      <c r="UNH53" s="609"/>
      <c r="UNI53" s="609"/>
      <c r="UNJ53" s="609"/>
      <c r="UNK53" s="609"/>
      <c r="UNL53" s="609"/>
      <c r="UNM53" s="609"/>
      <c r="UNN53" s="609"/>
      <c r="UNO53" s="609"/>
      <c r="UNP53" s="609"/>
      <c r="UNQ53" s="609"/>
      <c r="UNR53" s="609"/>
      <c r="UNS53" s="609"/>
      <c r="UNT53" s="609"/>
      <c r="UNU53" s="609"/>
      <c r="UNV53" s="609"/>
      <c r="UNW53" s="609"/>
      <c r="UNX53" s="609"/>
      <c r="UNY53" s="609"/>
      <c r="UNZ53" s="609"/>
      <c r="UOA53" s="609"/>
      <c r="UOB53" s="609"/>
      <c r="UOC53" s="609"/>
      <c r="UOD53" s="609"/>
      <c r="UOE53" s="609"/>
      <c r="UOF53" s="609"/>
      <c r="UOG53" s="609"/>
      <c r="UOH53" s="609"/>
      <c r="UOI53" s="609"/>
      <c r="UOJ53" s="609"/>
      <c r="UOK53" s="609"/>
      <c r="UOL53" s="609"/>
      <c r="UOM53" s="609"/>
      <c r="UON53" s="609"/>
      <c r="UOO53" s="609"/>
      <c r="UOP53" s="609"/>
      <c r="UOQ53" s="609"/>
      <c r="UOR53" s="609"/>
      <c r="UOS53" s="609"/>
      <c r="UOT53" s="609"/>
      <c r="UOU53" s="609"/>
      <c r="UOV53" s="609"/>
      <c r="UOW53" s="609"/>
      <c r="UOX53" s="609"/>
      <c r="UOY53" s="609"/>
      <c r="UOZ53" s="609"/>
      <c r="UPA53" s="609"/>
      <c r="UPB53" s="609"/>
      <c r="UPC53" s="609"/>
      <c r="UPD53" s="609"/>
      <c r="UPE53" s="609"/>
      <c r="UPF53" s="609"/>
      <c r="UPG53" s="609"/>
      <c r="UPH53" s="609"/>
      <c r="UPI53" s="609"/>
      <c r="UPJ53" s="609"/>
      <c r="UPK53" s="609"/>
      <c r="UPL53" s="609"/>
      <c r="UPM53" s="609"/>
      <c r="UPN53" s="609"/>
      <c r="UPO53" s="609"/>
      <c r="UPP53" s="609"/>
      <c r="UPQ53" s="609"/>
      <c r="UPR53" s="609"/>
      <c r="UPS53" s="609"/>
      <c r="UPT53" s="609"/>
      <c r="UPU53" s="609"/>
      <c r="UPV53" s="609"/>
      <c r="UPW53" s="609"/>
      <c r="UPX53" s="609"/>
      <c r="UPY53" s="609"/>
      <c r="UPZ53" s="609"/>
      <c r="UQA53" s="609"/>
      <c r="UQB53" s="609"/>
      <c r="UQC53" s="609"/>
      <c r="UQD53" s="609"/>
      <c r="UQE53" s="609"/>
      <c r="UQF53" s="609"/>
      <c r="UQG53" s="609"/>
      <c r="UQH53" s="609"/>
      <c r="UQI53" s="609"/>
      <c r="UQJ53" s="609"/>
      <c r="UQK53" s="609"/>
      <c r="UQL53" s="609"/>
      <c r="UQM53" s="609"/>
      <c r="UQN53" s="609"/>
      <c r="UQO53" s="609"/>
      <c r="UQP53" s="609"/>
      <c r="UQQ53" s="609"/>
      <c r="UQR53" s="609"/>
      <c r="UQS53" s="609"/>
      <c r="UQT53" s="609"/>
      <c r="UQU53" s="609"/>
      <c r="UQV53" s="609"/>
      <c r="UQW53" s="609"/>
      <c r="UQX53" s="609"/>
      <c r="UQY53" s="609"/>
      <c r="UQZ53" s="609"/>
      <c r="URA53" s="609"/>
      <c r="URB53" s="609"/>
      <c r="URC53" s="609"/>
      <c r="URD53" s="609"/>
      <c r="URE53" s="609"/>
      <c r="URF53" s="609"/>
      <c r="URG53" s="609"/>
      <c r="URH53" s="609"/>
      <c r="URI53" s="609"/>
      <c r="URJ53" s="609"/>
      <c r="URK53" s="609"/>
      <c r="URL53" s="609"/>
      <c r="URM53" s="609"/>
      <c r="URN53" s="609"/>
      <c r="URO53" s="609"/>
      <c r="URP53" s="609"/>
      <c r="URQ53" s="609"/>
      <c r="URR53" s="609"/>
      <c r="URS53" s="609"/>
      <c r="URT53" s="609"/>
      <c r="URU53" s="609"/>
      <c r="URV53" s="609"/>
      <c r="URW53" s="609"/>
      <c r="URX53" s="609"/>
      <c r="URY53" s="609"/>
      <c r="URZ53" s="609"/>
      <c r="USA53" s="609"/>
      <c r="USB53" s="609"/>
      <c r="USC53" s="609"/>
      <c r="USD53" s="609"/>
      <c r="USE53" s="609"/>
      <c r="USF53" s="609"/>
      <c r="USG53" s="609"/>
      <c r="USH53" s="609"/>
      <c r="USI53" s="609"/>
      <c r="USJ53" s="609"/>
      <c r="USK53" s="609"/>
      <c r="USL53" s="609"/>
      <c r="USM53" s="609"/>
      <c r="USN53" s="609"/>
      <c r="USO53" s="609"/>
      <c r="USP53" s="609"/>
      <c r="USQ53" s="609"/>
      <c r="USR53" s="609"/>
      <c r="USS53" s="609"/>
      <c r="UST53" s="609"/>
      <c r="USU53" s="609"/>
      <c r="USV53" s="609"/>
      <c r="USW53" s="609"/>
      <c r="USX53" s="609"/>
      <c r="USY53" s="609"/>
      <c r="USZ53" s="609"/>
      <c r="UTA53" s="609"/>
      <c r="UTB53" s="609"/>
      <c r="UTC53" s="609"/>
      <c r="UTD53" s="609"/>
      <c r="UTE53" s="609"/>
      <c r="UTF53" s="609"/>
      <c r="UTG53" s="609"/>
      <c r="UTH53" s="609"/>
      <c r="UTI53" s="609"/>
      <c r="UTJ53" s="609"/>
      <c r="UTK53" s="609"/>
      <c r="UTL53" s="609"/>
      <c r="UTM53" s="609"/>
      <c r="UTN53" s="609"/>
      <c r="UTO53" s="609"/>
      <c r="UTP53" s="609"/>
      <c r="UTQ53" s="609"/>
      <c r="UTR53" s="609"/>
      <c r="UTS53" s="609"/>
      <c r="UTT53" s="609"/>
      <c r="UTU53" s="609"/>
      <c r="UTV53" s="609"/>
      <c r="UTW53" s="609"/>
      <c r="UTX53" s="609"/>
      <c r="UTY53" s="609"/>
      <c r="UTZ53" s="609"/>
      <c r="UUA53" s="609"/>
      <c r="UUB53" s="609"/>
      <c r="UUC53" s="609"/>
      <c r="UUD53" s="609"/>
      <c r="UUE53" s="609"/>
      <c r="UUF53" s="609"/>
      <c r="UUG53" s="609"/>
      <c r="UUH53" s="609"/>
      <c r="UUI53" s="609"/>
      <c r="UUJ53" s="609"/>
      <c r="UUK53" s="609"/>
      <c r="UUL53" s="609"/>
      <c r="UUM53" s="609"/>
      <c r="UUN53" s="609"/>
      <c r="UUO53" s="609"/>
      <c r="UUP53" s="609"/>
      <c r="UUQ53" s="609"/>
      <c r="UUR53" s="609"/>
      <c r="UUS53" s="609"/>
      <c r="UUT53" s="609"/>
      <c r="UUU53" s="609"/>
      <c r="UUV53" s="609"/>
      <c r="UUW53" s="609"/>
      <c r="UUX53" s="609"/>
      <c r="UUY53" s="609"/>
      <c r="UUZ53" s="609"/>
      <c r="UVA53" s="609"/>
      <c r="UVB53" s="609"/>
      <c r="UVC53" s="609"/>
      <c r="UVD53" s="609"/>
      <c r="UVE53" s="609"/>
      <c r="UVF53" s="609"/>
      <c r="UVG53" s="609"/>
      <c r="UVH53" s="609"/>
      <c r="UVI53" s="609"/>
      <c r="UVJ53" s="609"/>
      <c r="UVK53" s="609"/>
      <c r="UVL53" s="609"/>
      <c r="UVM53" s="609"/>
      <c r="UVN53" s="609"/>
      <c r="UVO53" s="609"/>
      <c r="UVP53" s="609"/>
      <c r="UVQ53" s="609"/>
      <c r="UVR53" s="609"/>
      <c r="UVS53" s="609"/>
      <c r="UVT53" s="609"/>
      <c r="UVU53" s="609"/>
      <c r="UVV53" s="609"/>
      <c r="UVW53" s="609"/>
      <c r="UVX53" s="609"/>
      <c r="UVY53" s="609"/>
      <c r="UVZ53" s="609"/>
      <c r="UWA53" s="609"/>
      <c r="UWB53" s="609"/>
      <c r="UWC53" s="609"/>
      <c r="UWD53" s="609"/>
      <c r="UWE53" s="609"/>
      <c r="UWF53" s="609"/>
      <c r="UWG53" s="609"/>
      <c r="UWH53" s="609"/>
      <c r="UWI53" s="609"/>
      <c r="UWJ53" s="609"/>
      <c r="UWK53" s="609"/>
      <c r="UWL53" s="609"/>
      <c r="UWM53" s="609"/>
      <c r="UWN53" s="609"/>
      <c r="UWO53" s="609"/>
      <c r="UWP53" s="609"/>
      <c r="UWQ53" s="609"/>
      <c r="UWR53" s="609"/>
      <c r="UWS53" s="609"/>
      <c r="UWT53" s="609"/>
      <c r="UWU53" s="609"/>
      <c r="UWV53" s="609"/>
      <c r="UWW53" s="609"/>
      <c r="UWX53" s="609"/>
      <c r="UWY53" s="609"/>
      <c r="UWZ53" s="609"/>
      <c r="UXA53" s="609"/>
      <c r="UXB53" s="609"/>
      <c r="UXC53" s="609"/>
      <c r="UXD53" s="609"/>
      <c r="UXE53" s="609"/>
      <c r="UXF53" s="609"/>
      <c r="UXG53" s="609"/>
      <c r="UXH53" s="609"/>
      <c r="UXI53" s="609"/>
      <c r="UXJ53" s="609"/>
      <c r="UXK53" s="609"/>
      <c r="UXL53" s="609"/>
      <c r="UXM53" s="609"/>
      <c r="UXN53" s="609"/>
      <c r="UXO53" s="609"/>
      <c r="UXP53" s="609"/>
      <c r="UXQ53" s="609"/>
      <c r="UXR53" s="609"/>
      <c r="UXS53" s="609"/>
      <c r="UXT53" s="609"/>
      <c r="UXU53" s="609"/>
      <c r="UXV53" s="609"/>
      <c r="UXW53" s="609"/>
      <c r="UXX53" s="609"/>
      <c r="UXY53" s="609"/>
      <c r="UXZ53" s="609"/>
      <c r="UYA53" s="609"/>
      <c r="UYB53" s="609"/>
      <c r="UYC53" s="609"/>
      <c r="UYD53" s="609"/>
      <c r="UYE53" s="609"/>
      <c r="UYF53" s="609"/>
      <c r="UYG53" s="609"/>
      <c r="UYH53" s="609"/>
      <c r="UYI53" s="609"/>
      <c r="UYJ53" s="609"/>
      <c r="UYK53" s="609"/>
      <c r="UYL53" s="609"/>
      <c r="UYM53" s="609"/>
      <c r="UYN53" s="609"/>
      <c r="UYO53" s="609"/>
      <c r="UYP53" s="609"/>
      <c r="UYQ53" s="609"/>
      <c r="UYR53" s="609"/>
      <c r="UYS53" s="609"/>
      <c r="UYT53" s="609"/>
      <c r="UYU53" s="609"/>
      <c r="UYV53" s="609"/>
      <c r="UYW53" s="609"/>
      <c r="UYX53" s="609"/>
      <c r="UYY53" s="609"/>
      <c r="UYZ53" s="609"/>
      <c r="UZA53" s="609"/>
      <c r="UZB53" s="609"/>
      <c r="UZC53" s="609"/>
      <c r="UZD53" s="609"/>
      <c r="UZE53" s="609"/>
      <c r="UZF53" s="609"/>
      <c r="UZG53" s="609"/>
      <c r="UZH53" s="609"/>
      <c r="UZI53" s="609"/>
      <c r="UZJ53" s="609"/>
      <c r="UZK53" s="609"/>
      <c r="UZL53" s="609"/>
      <c r="UZM53" s="609"/>
      <c r="UZN53" s="609"/>
      <c r="UZO53" s="609"/>
      <c r="UZP53" s="609"/>
      <c r="UZQ53" s="609"/>
      <c r="UZR53" s="609"/>
      <c r="UZS53" s="609"/>
      <c r="UZT53" s="609"/>
      <c r="UZU53" s="609"/>
      <c r="UZV53" s="609"/>
      <c r="UZW53" s="609"/>
      <c r="UZX53" s="609"/>
      <c r="UZY53" s="609"/>
      <c r="UZZ53" s="609"/>
      <c r="VAA53" s="609"/>
      <c r="VAB53" s="609"/>
      <c r="VAC53" s="609"/>
      <c r="VAD53" s="609"/>
      <c r="VAE53" s="609"/>
      <c r="VAF53" s="609"/>
      <c r="VAG53" s="609"/>
      <c r="VAH53" s="609"/>
      <c r="VAI53" s="609"/>
      <c r="VAJ53" s="609"/>
      <c r="VAK53" s="609"/>
      <c r="VAL53" s="609"/>
      <c r="VAM53" s="609"/>
      <c r="VAN53" s="609"/>
      <c r="VAO53" s="609"/>
      <c r="VAP53" s="609"/>
      <c r="VAQ53" s="609"/>
      <c r="VAR53" s="609"/>
      <c r="VAS53" s="609"/>
      <c r="VAT53" s="609"/>
      <c r="VAU53" s="609"/>
      <c r="VAV53" s="609"/>
      <c r="VAW53" s="609"/>
      <c r="VAX53" s="609"/>
      <c r="VAY53" s="609"/>
      <c r="VAZ53" s="609"/>
      <c r="VBA53" s="609"/>
      <c r="VBB53" s="609"/>
      <c r="VBC53" s="609"/>
      <c r="VBD53" s="609"/>
      <c r="VBE53" s="609"/>
      <c r="VBF53" s="609"/>
      <c r="VBG53" s="609"/>
      <c r="VBH53" s="609"/>
      <c r="VBI53" s="609"/>
      <c r="VBJ53" s="609"/>
      <c r="VBK53" s="609"/>
      <c r="VBL53" s="609"/>
      <c r="VBM53" s="609"/>
      <c r="VBN53" s="609"/>
      <c r="VBO53" s="609"/>
      <c r="VBP53" s="609"/>
      <c r="VBQ53" s="609"/>
      <c r="VBR53" s="609"/>
      <c r="VBS53" s="609"/>
      <c r="VBT53" s="609"/>
      <c r="VBU53" s="609"/>
      <c r="VBV53" s="609"/>
      <c r="VBW53" s="609"/>
      <c r="VBX53" s="609"/>
      <c r="VBY53" s="609"/>
      <c r="VBZ53" s="609"/>
      <c r="VCA53" s="609"/>
      <c r="VCB53" s="609"/>
      <c r="VCC53" s="609"/>
      <c r="VCD53" s="609"/>
      <c r="VCE53" s="609"/>
      <c r="VCF53" s="609"/>
      <c r="VCG53" s="609"/>
      <c r="VCH53" s="609"/>
      <c r="VCI53" s="609"/>
      <c r="VCJ53" s="609"/>
      <c r="VCK53" s="609"/>
      <c r="VCL53" s="609"/>
      <c r="VCM53" s="609"/>
      <c r="VCN53" s="609"/>
      <c r="VCO53" s="609"/>
      <c r="VCP53" s="609"/>
      <c r="VCQ53" s="609"/>
      <c r="VCR53" s="609"/>
      <c r="VCS53" s="609"/>
      <c r="VCT53" s="609"/>
      <c r="VCU53" s="609"/>
      <c r="VCV53" s="609"/>
      <c r="VCW53" s="609"/>
      <c r="VCX53" s="609"/>
      <c r="VCY53" s="609"/>
      <c r="VCZ53" s="609"/>
      <c r="VDA53" s="609"/>
      <c r="VDB53" s="609"/>
      <c r="VDC53" s="609"/>
      <c r="VDD53" s="609"/>
      <c r="VDE53" s="609"/>
      <c r="VDF53" s="609"/>
      <c r="VDG53" s="609"/>
      <c r="VDH53" s="609"/>
      <c r="VDI53" s="609"/>
      <c r="VDJ53" s="609"/>
      <c r="VDK53" s="609"/>
      <c r="VDL53" s="609"/>
      <c r="VDM53" s="609"/>
      <c r="VDN53" s="609"/>
      <c r="VDO53" s="609"/>
      <c r="VDP53" s="609"/>
      <c r="VDQ53" s="609"/>
      <c r="VDR53" s="609"/>
      <c r="VDS53" s="609"/>
      <c r="VDT53" s="609"/>
      <c r="VDU53" s="609"/>
      <c r="VDV53" s="609"/>
      <c r="VDW53" s="609"/>
      <c r="VDX53" s="609"/>
      <c r="VDY53" s="609"/>
      <c r="VDZ53" s="609"/>
      <c r="VEA53" s="609"/>
      <c r="VEB53" s="609"/>
      <c r="VEC53" s="609"/>
      <c r="VED53" s="609"/>
      <c r="VEE53" s="609"/>
      <c r="VEF53" s="609"/>
      <c r="VEG53" s="609"/>
      <c r="VEH53" s="609"/>
      <c r="VEI53" s="609"/>
      <c r="VEJ53" s="609"/>
      <c r="VEK53" s="609"/>
      <c r="VEL53" s="609"/>
      <c r="VEM53" s="609"/>
      <c r="VEN53" s="609"/>
      <c r="VEO53" s="609"/>
      <c r="VEP53" s="609"/>
      <c r="VEQ53" s="609"/>
      <c r="VER53" s="609"/>
      <c r="VES53" s="609"/>
      <c r="VET53" s="609"/>
      <c r="VEU53" s="609"/>
      <c r="VEV53" s="609"/>
      <c r="VEW53" s="609"/>
      <c r="VEX53" s="609"/>
      <c r="VEY53" s="609"/>
      <c r="VEZ53" s="609"/>
      <c r="VFA53" s="609"/>
      <c r="VFB53" s="609"/>
      <c r="VFC53" s="609"/>
      <c r="VFD53" s="609"/>
      <c r="VFE53" s="609"/>
      <c r="VFF53" s="609"/>
      <c r="VFG53" s="609"/>
      <c r="VFH53" s="609"/>
      <c r="VFI53" s="609"/>
      <c r="VFJ53" s="609"/>
      <c r="VFK53" s="609"/>
      <c r="VFL53" s="609"/>
      <c r="VFM53" s="609"/>
      <c r="VFN53" s="609"/>
      <c r="VFO53" s="609"/>
      <c r="VFP53" s="609"/>
      <c r="VFQ53" s="609"/>
      <c r="VFR53" s="609"/>
      <c r="VFS53" s="609"/>
      <c r="VFT53" s="609"/>
      <c r="VFU53" s="609"/>
      <c r="VFV53" s="609"/>
      <c r="VFW53" s="609"/>
      <c r="VFX53" s="609"/>
      <c r="VFY53" s="609"/>
      <c r="VFZ53" s="609"/>
      <c r="VGA53" s="609"/>
      <c r="VGB53" s="609"/>
      <c r="VGC53" s="609"/>
      <c r="VGD53" s="609"/>
      <c r="VGE53" s="609"/>
      <c r="VGF53" s="609"/>
      <c r="VGG53" s="609"/>
      <c r="VGH53" s="609"/>
      <c r="VGI53" s="609"/>
      <c r="VGJ53" s="609"/>
      <c r="VGK53" s="609"/>
      <c r="VGL53" s="609"/>
      <c r="VGM53" s="609"/>
      <c r="VGN53" s="609"/>
      <c r="VGO53" s="609"/>
      <c r="VGP53" s="609"/>
      <c r="VGQ53" s="609"/>
      <c r="VGR53" s="609"/>
      <c r="VGS53" s="609"/>
      <c r="VGT53" s="609"/>
      <c r="VGU53" s="609"/>
      <c r="VGV53" s="609"/>
      <c r="VGW53" s="609"/>
      <c r="VGX53" s="609"/>
      <c r="VGY53" s="609"/>
      <c r="VGZ53" s="609"/>
      <c r="VHA53" s="609"/>
      <c r="VHB53" s="609"/>
      <c r="VHC53" s="609"/>
      <c r="VHD53" s="609"/>
      <c r="VHE53" s="609"/>
      <c r="VHF53" s="609"/>
      <c r="VHG53" s="609"/>
      <c r="VHH53" s="609"/>
      <c r="VHI53" s="609"/>
      <c r="VHJ53" s="609"/>
      <c r="VHK53" s="609"/>
      <c r="VHL53" s="609"/>
      <c r="VHM53" s="609"/>
      <c r="VHN53" s="609"/>
      <c r="VHO53" s="609"/>
      <c r="VHP53" s="609"/>
      <c r="VHQ53" s="609"/>
      <c r="VHR53" s="609"/>
      <c r="VHS53" s="609"/>
      <c r="VHT53" s="609"/>
      <c r="VHU53" s="609"/>
      <c r="VHV53" s="609"/>
      <c r="VHW53" s="609"/>
      <c r="VHX53" s="609"/>
      <c r="VHY53" s="609"/>
      <c r="VHZ53" s="609"/>
      <c r="VIA53" s="609"/>
      <c r="VIB53" s="609"/>
      <c r="VIC53" s="609"/>
      <c r="VID53" s="609"/>
      <c r="VIE53" s="609"/>
      <c r="VIF53" s="609"/>
      <c r="VIG53" s="609"/>
      <c r="VIH53" s="609"/>
      <c r="VII53" s="609"/>
      <c r="VIJ53" s="609"/>
      <c r="VIK53" s="609"/>
      <c r="VIL53" s="609"/>
      <c r="VIM53" s="609"/>
      <c r="VIN53" s="609"/>
      <c r="VIO53" s="609"/>
      <c r="VIP53" s="609"/>
      <c r="VIQ53" s="609"/>
      <c r="VIR53" s="609"/>
      <c r="VIS53" s="609"/>
      <c r="VIT53" s="609"/>
      <c r="VIU53" s="609"/>
      <c r="VIV53" s="609"/>
      <c r="VIW53" s="609"/>
      <c r="VIX53" s="609"/>
      <c r="VIY53" s="609"/>
      <c r="VIZ53" s="609"/>
      <c r="VJA53" s="609"/>
      <c r="VJB53" s="609"/>
      <c r="VJC53" s="609"/>
      <c r="VJD53" s="609"/>
      <c r="VJE53" s="609"/>
      <c r="VJF53" s="609"/>
      <c r="VJG53" s="609"/>
      <c r="VJH53" s="609"/>
      <c r="VJI53" s="609"/>
      <c r="VJJ53" s="609"/>
      <c r="VJK53" s="609"/>
      <c r="VJL53" s="609"/>
      <c r="VJM53" s="609"/>
      <c r="VJN53" s="609"/>
      <c r="VJO53" s="609"/>
      <c r="VJP53" s="609"/>
      <c r="VJQ53" s="609"/>
      <c r="VJR53" s="609"/>
      <c r="VJS53" s="609"/>
      <c r="VJT53" s="609"/>
      <c r="VJU53" s="609"/>
      <c r="VJV53" s="609"/>
      <c r="VJW53" s="609"/>
      <c r="VJX53" s="609"/>
      <c r="VJY53" s="609"/>
      <c r="VJZ53" s="609"/>
      <c r="VKA53" s="609"/>
      <c r="VKB53" s="609"/>
      <c r="VKC53" s="609"/>
      <c r="VKD53" s="609"/>
      <c r="VKE53" s="609"/>
      <c r="VKF53" s="609"/>
      <c r="VKG53" s="609"/>
      <c r="VKH53" s="609"/>
      <c r="VKI53" s="609"/>
      <c r="VKJ53" s="609"/>
      <c r="VKK53" s="609"/>
      <c r="VKL53" s="609"/>
      <c r="VKM53" s="609"/>
      <c r="VKN53" s="609"/>
      <c r="VKO53" s="609"/>
      <c r="VKP53" s="609"/>
      <c r="VKQ53" s="609"/>
      <c r="VKR53" s="609"/>
      <c r="VKS53" s="609"/>
      <c r="VKT53" s="609"/>
      <c r="VKU53" s="609"/>
      <c r="VKV53" s="609"/>
      <c r="VKW53" s="609"/>
      <c r="VKX53" s="609"/>
      <c r="VKY53" s="609"/>
      <c r="VKZ53" s="609"/>
      <c r="VLA53" s="609"/>
      <c r="VLB53" s="609"/>
      <c r="VLC53" s="609"/>
      <c r="VLD53" s="609"/>
      <c r="VLE53" s="609"/>
      <c r="VLF53" s="609"/>
      <c r="VLG53" s="609"/>
      <c r="VLH53" s="609"/>
      <c r="VLI53" s="609"/>
      <c r="VLJ53" s="609"/>
      <c r="VLK53" s="609"/>
      <c r="VLL53" s="609"/>
      <c r="VLM53" s="609"/>
      <c r="VLN53" s="609"/>
      <c r="VLO53" s="609"/>
      <c r="VLP53" s="609"/>
      <c r="VLQ53" s="609"/>
      <c r="VLR53" s="609"/>
      <c r="VLS53" s="609"/>
      <c r="VLT53" s="609"/>
      <c r="VLU53" s="609"/>
      <c r="VLV53" s="609"/>
      <c r="VLW53" s="609"/>
      <c r="VLX53" s="609"/>
      <c r="VLY53" s="609"/>
      <c r="VLZ53" s="609"/>
      <c r="VMA53" s="609"/>
      <c r="VMB53" s="609"/>
      <c r="VMC53" s="609"/>
      <c r="VMD53" s="609"/>
      <c r="VME53" s="609"/>
      <c r="VMF53" s="609"/>
      <c r="VMG53" s="609"/>
      <c r="VMH53" s="609"/>
      <c r="VMI53" s="609"/>
      <c r="VMJ53" s="609"/>
      <c r="VMK53" s="609"/>
      <c r="VML53" s="609"/>
      <c r="VMM53" s="609"/>
      <c r="VMN53" s="609"/>
      <c r="VMO53" s="609"/>
      <c r="VMP53" s="609"/>
      <c r="VMQ53" s="609"/>
      <c r="VMR53" s="609"/>
      <c r="VMS53" s="609"/>
      <c r="VMT53" s="609"/>
      <c r="VMU53" s="609"/>
      <c r="VMV53" s="609"/>
      <c r="VMW53" s="609"/>
      <c r="VMX53" s="609"/>
      <c r="VMY53" s="609"/>
      <c r="VMZ53" s="609"/>
      <c r="VNA53" s="609"/>
      <c r="VNB53" s="609"/>
      <c r="VNC53" s="609"/>
      <c r="VND53" s="609"/>
      <c r="VNE53" s="609"/>
      <c r="VNF53" s="609"/>
      <c r="VNG53" s="609"/>
      <c r="VNH53" s="609"/>
      <c r="VNI53" s="609"/>
      <c r="VNJ53" s="609"/>
      <c r="VNK53" s="609"/>
      <c r="VNL53" s="609"/>
      <c r="VNM53" s="609"/>
      <c r="VNN53" s="609"/>
      <c r="VNO53" s="609"/>
      <c r="VNP53" s="609"/>
      <c r="VNQ53" s="609"/>
      <c r="VNR53" s="609"/>
      <c r="VNS53" s="609"/>
      <c r="VNT53" s="609"/>
      <c r="VNU53" s="609"/>
      <c r="VNV53" s="609"/>
      <c r="VNW53" s="609"/>
      <c r="VNX53" s="609"/>
      <c r="VNY53" s="609"/>
      <c r="VNZ53" s="609"/>
      <c r="VOA53" s="609"/>
      <c r="VOB53" s="609"/>
      <c r="VOC53" s="609"/>
      <c r="VOD53" s="609"/>
      <c r="VOE53" s="609"/>
      <c r="VOF53" s="609"/>
      <c r="VOG53" s="609"/>
      <c r="VOH53" s="609"/>
      <c r="VOI53" s="609"/>
      <c r="VOJ53" s="609"/>
      <c r="VOK53" s="609"/>
      <c r="VOL53" s="609"/>
      <c r="VOM53" s="609"/>
      <c r="VON53" s="609"/>
      <c r="VOO53" s="609"/>
      <c r="VOP53" s="609"/>
      <c r="VOQ53" s="609"/>
      <c r="VOR53" s="609"/>
      <c r="VOS53" s="609"/>
      <c r="VOT53" s="609"/>
      <c r="VOU53" s="609"/>
      <c r="VOV53" s="609"/>
      <c r="VOW53" s="609"/>
      <c r="VOX53" s="609"/>
      <c r="VOY53" s="609"/>
      <c r="VOZ53" s="609"/>
      <c r="VPA53" s="609"/>
      <c r="VPB53" s="609"/>
      <c r="VPC53" s="609"/>
      <c r="VPD53" s="609"/>
      <c r="VPE53" s="609"/>
      <c r="VPF53" s="609"/>
      <c r="VPG53" s="609"/>
      <c r="VPH53" s="609"/>
      <c r="VPI53" s="609"/>
      <c r="VPJ53" s="609"/>
      <c r="VPK53" s="609"/>
      <c r="VPL53" s="609"/>
      <c r="VPM53" s="609"/>
      <c r="VPN53" s="609"/>
      <c r="VPO53" s="609"/>
      <c r="VPP53" s="609"/>
      <c r="VPQ53" s="609"/>
      <c r="VPR53" s="609"/>
      <c r="VPS53" s="609"/>
      <c r="VPT53" s="609"/>
      <c r="VPU53" s="609"/>
      <c r="VPV53" s="609"/>
      <c r="VPW53" s="609"/>
      <c r="VPX53" s="609"/>
      <c r="VPY53" s="609"/>
      <c r="VPZ53" s="609"/>
      <c r="VQA53" s="609"/>
      <c r="VQB53" s="609"/>
      <c r="VQC53" s="609"/>
      <c r="VQD53" s="609"/>
      <c r="VQE53" s="609"/>
      <c r="VQF53" s="609"/>
      <c r="VQG53" s="609"/>
      <c r="VQH53" s="609"/>
      <c r="VQI53" s="609"/>
      <c r="VQJ53" s="609"/>
      <c r="VQK53" s="609"/>
      <c r="VQL53" s="609"/>
      <c r="VQM53" s="609"/>
      <c r="VQN53" s="609"/>
      <c r="VQO53" s="609"/>
      <c r="VQP53" s="609"/>
      <c r="VQQ53" s="609"/>
      <c r="VQR53" s="609"/>
      <c r="VQS53" s="609"/>
      <c r="VQT53" s="609"/>
      <c r="VQU53" s="609"/>
      <c r="VQV53" s="609"/>
      <c r="VQW53" s="609"/>
      <c r="VQX53" s="609"/>
      <c r="VQY53" s="609"/>
      <c r="VQZ53" s="609"/>
      <c r="VRA53" s="609"/>
      <c r="VRB53" s="609"/>
      <c r="VRC53" s="609"/>
      <c r="VRD53" s="609"/>
      <c r="VRE53" s="609"/>
      <c r="VRF53" s="609"/>
      <c r="VRG53" s="609"/>
      <c r="VRH53" s="609"/>
      <c r="VRI53" s="609"/>
      <c r="VRJ53" s="609"/>
      <c r="VRK53" s="609"/>
      <c r="VRL53" s="609"/>
      <c r="VRM53" s="609"/>
      <c r="VRN53" s="609"/>
      <c r="VRO53" s="609"/>
      <c r="VRP53" s="609"/>
      <c r="VRQ53" s="609"/>
      <c r="VRR53" s="609"/>
      <c r="VRS53" s="609"/>
      <c r="VRT53" s="609"/>
      <c r="VRU53" s="609"/>
      <c r="VRV53" s="609"/>
      <c r="VRW53" s="609"/>
      <c r="VRX53" s="609"/>
      <c r="VRY53" s="609"/>
      <c r="VRZ53" s="609"/>
      <c r="VSA53" s="609"/>
      <c r="VSB53" s="609"/>
      <c r="VSC53" s="609"/>
      <c r="VSD53" s="609"/>
      <c r="VSE53" s="609"/>
      <c r="VSF53" s="609"/>
      <c r="VSG53" s="609"/>
      <c r="VSH53" s="609"/>
      <c r="VSI53" s="609"/>
      <c r="VSJ53" s="609"/>
      <c r="VSK53" s="609"/>
      <c r="VSL53" s="609"/>
      <c r="VSM53" s="609"/>
      <c r="VSN53" s="609"/>
      <c r="VSO53" s="609"/>
      <c r="VSP53" s="609"/>
      <c r="VSQ53" s="609"/>
      <c r="VSR53" s="609"/>
      <c r="VSS53" s="609"/>
      <c r="VST53" s="609"/>
      <c r="VSU53" s="609"/>
      <c r="VSV53" s="609"/>
      <c r="VSW53" s="609"/>
      <c r="VSX53" s="609"/>
      <c r="VSY53" s="609"/>
      <c r="VSZ53" s="609"/>
      <c r="VTA53" s="609"/>
      <c r="VTB53" s="609"/>
      <c r="VTC53" s="609"/>
      <c r="VTD53" s="609"/>
      <c r="VTE53" s="609"/>
      <c r="VTF53" s="609"/>
      <c r="VTG53" s="609"/>
      <c r="VTH53" s="609"/>
      <c r="VTI53" s="609"/>
      <c r="VTJ53" s="609"/>
      <c r="VTK53" s="609"/>
      <c r="VTL53" s="609"/>
      <c r="VTM53" s="609"/>
      <c r="VTN53" s="609"/>
      <c r="VTO53" s="609"/>
      <c r="VTP53" s="609"/>
      <c r="VTQ53" s="609"/>
      <c r="VTR53" s="609"/>
      <c r="VTS53" s="609"/>
      <c r="VTT53" s="609"/>
      <c r="VTU53" s="609"/>
      <c r="VTV53" s="609"/>
      <c r="VTW53" s="609"/>
      <c r="VTX53" s="609"/>
      <c r="VTY53" s="609"/>
      <c r="VTZ53" s="609"/>
      <c r="VUA53" s="609"/>
      <c r="VUB53" s="609"/>
      <c r="VUC53" s="609"/>
      <c r="VUD53" s="609"/>
      <c r="VUE53" s="609"/>
      <c r="VUF53" s="609"/>
      <c r="VUG53" s="609"/>
      <c r="VUH53" s="609"/>
      <c r="VUI53" s="609"/>
      <c r="VUJ53" s="609"/>
      <c r="VUK53" s="609"/>
      <c r="VUL53" s="609"/>
      <c r="VUM53" s="609"/>
      <c r="VUN53" s="609"/>
      <c r="VUO53" s="609"/>
      <c r="VUP53" s="609"/>
      <c r="VUQ53" s="609"/>
      <c r="VUR53" s="609"/>
      <c r="VUS53" s="609"/>
      <c r="VUT53" s="609"/>
      <c r="VUU53" s="609"/>
      <c r="VUV53" s="609"/>
      <c r="VUW53" s="609"/>
      <c r="VUX53" s="609"/>
      <c r="VUY53" s="609"/>
      <c r="VUZ53" s="609"/>
      <c r="VVA53" s="609"/>
      <c r="VVB53" s="609"/>
      <c r="VVC53" s="609"/>
      <c r="VVD53" s="609"/>
      <c r="VVE53" s="609"/>
      <c r="VVF53" s="609"/>
      <c r="VVG53" s="609"/>
      <c r="VVH53" s="609"/>
      <c r="VVI53" s="609"/>
      <c r="VVJ53" s="609"/>
      <c r="VVK53" s="609"/>
      <c r="VVL53" s="609"/>
      <c r="VVM53" s="609"/>
      <c r="VVN53" s="609"/>
      <c r="VVO53" s="609"/>
      <c r="VVP53" s="609"/>
      <c r="VVQ53" s="609"/>
      <c r="VVR53" s="609"/>
      <c r="VVS53" s="609"/>
      <c r="VVT53" s="609"/>
      <c r="VVU53" s="609"/>
      <c r="VVV53" s="609"/>
      <c r="VVW53" s="609"/>
      <c r="VVX53" s="609"/>
      <c r="VVY53" s="609"/>
      <c r="VVZ53" s="609"/>
      <c r="VWA53" s="609"/>
      <c r="VWB53" s="609"/>
      <c r="VWC53" s="609"/>
      <c r="VWD53" s="609"/>
      <c r="VWE53" s="609"/>
      <c r="VWF53" s="609"/>
      <c r="VWG53" s="609"/>
      <c r="VWH53" s="609"/>
      <c r="VWI53" s="609"/>
      <c r="VWJ53" s="609"/>
      <c r="VWK53" s="609"/>
      <c r="VWL53" s="609"/>
      <c r="VWM53" s="609"/>
      <c r="VWN53" s="609"/>
      <c r="VWO53" s="609"/>
      <c r="VWP53" s="609"/>
      <c r="VWQ53" s="609"/>
      <c r="VWR53" s="609"/>
      <c r="VWS53" s="609"/>
      <c r="VWT53" s="609"/>
      <c r="VWU53" s="609"/>
      <c r="VWV53" s="609"/>
      <c r="VWW53" s="609"/>
      <c r="VWX53" s="609"/>
      <c r="VWY53" s="609"/>
      <c r="VWZ53" s="609"/>
      <c r="VXA53" s="609"/>
      <c r="VXB53" s="609"/>
      <c r="VXC53" s="609"/>
      <c r="VXD53" s="609"/>
      <c r="VXE53" s="609"/>
      <c r="VXF53" s="609"/>
      <c r="VXG53" s="609"/>
      <c r="VXH53" s="609"/>
      <c r="VXI53" s="609"/>
      <c r="VXJ53" s="609"/>
      <c r="VXK53" s="609"/>
      <c r="VXL53" s="609"/>
      <c r="VXM53" s="609"/>
      <c r="VXN53" s="609"/>
      <c r="VXO53" s="609"/>
      <c r="VXP53" s="609"/>
      <c r="VXQ53" s="609"/>
      <c r="VXR53" s="609"/>
      <c r="VXS53" s="609"/>
      <c r="VXT53" s="609"/>
      <c r="VXU53" s="609"/>
      <c r="VXV53" s="609"/>
      <c r="VXW53" s="609"/>
      <c r="VXX53" s="609"/>
      <c r="VXY53" s="609"/>
      <c r="VXZ53" s="609"/>
      <c r="VYA53" s="609"/>
      <c r="VYB53" s="609"/>
      <c r="VYC53" s="609"/>
      <c r="VYD53" s="609"/>
      <c r="VYE53" s="609"/>
      <c r="VYF53" s="609"/>
      <c r="VYG53" s="609"/>
      <c r="VYH53" s="609"/>
      <c r="VYI53" s="609"/>
      <c r="VYJ53" s="609"/>
      <c r="VYK53" s="609"/>
      <c r="VYL53" s="609"/>
      <c r="VYM53" s="609"/>
      <c r="VYN53" s="609"/>
      <c r="VYO53" s="609"/>
      <c r="VYP53" s="609"/>
      <c r="VYQ53" s="609"/>
      <c r="VYR53" s="609"/>
      <c r="VYS53" s="609"/>
      <c r="VYT53" s="609"/>
      <c r="VYU53" s="609"/>
      <c r="VYV53" s="609"/>
      <c r="VYW53" s="609"/>
      <c r="VYX53" s="609"/>
      <c r="VYY53" s="609"/>
      <c r="VYZ53" s="609"/>
      <c r="VZA53" s="609"/>
      <c r="VZB53" s="609"/>
      <c r="VZC53" s="609"/>
      <c r="VZD53" s="609"/>
      <c r="VZE53" s="609"/>
      <c r="VZF53" s="609"/>
      <c r="VZG53" s="609"/>
      <c r="VZH53" s="609"/>
      <c r="VZI53" s="609"/>
      <c r="VZJ53" s="609"/>
      <c r="VZK53" s="609"/>
      <c r="VZL53" s="609"/>
      <c r="VZM53" s="609"/>
      <c r="VZN53" s="609"/>
      <c r="VZO53" s="609"/>
      <c r="VZP53" s="609"/>
      <c r="VZQ53" s="609"/>
      <c r="VZR53" s="609"/>
      <c r="VZS53" s="609"/>
      <c r="VZT53" s="609"/>
      <c r="VZU53" s="609"/>
      <c r="VZV53" s="609"/>
      <c r="VZW53" s="609"/>
      <c r="VZX53" s="609"/>
      <c r="VZY53" s="609"/>
      <c r="VZZ53" s="609"/>
      <c r="WAA53" s="609"/>
      <c r="WAB53" s="609"/>
      <c r="WAC53" s="609"/>
      <c r="WAD53" s="609"/>
      <c r="WAE53" s="609"/>
      <c r="WAF53" s="609"/>
      <c r="WAG53" s="609"/>
      <c r="WAH53" s="609"/>
      <c r="WAI53" s="609"/>
      <c r="WAJ53" s="609"/>
      <c r="WAK53" s="609"/>
      <c r="WAL53" s="609"/>
      <c r="WAM53" s="609"/>
      <c r="WAN53" s="609"/>
      <c r="WAO53" s="609"/>
      <c r="WAP53" s="609"/>
      <c r="WAQ53" s="609"/>
      <c r="WAR53" s="609"/>
      <c r="WAS53" s="609"/>
      <c r="WAT53" s="609"/>
      <c r="WAU53" s="609"/>
      <c r="WAV53" s="609"/>
      <c r="WAW53" s="609"/>
      <c r="WAX53" s="609"/>
      <c r="WAY53" s="609"/>
      <c r="WAZ53" s="609"/>
      <c r="WBA53" s="609"/>
      <c r="WBB53" s="609"/>
      <c r="WBC53" s="609"/>
      <c r="WBD53" s="609"/>
      <c r="WBE53" s="609"/>
      <c r="WBF53" s="609"/>
      <c r="WBG53" s="609"/>
      <c r="WBH53" s="609"/>
      <c r="WBI53" s="609"/>
      <c r="WBJ53" s="609"/>
      <c r="WBK53" s="609"/>
      <c r="WBL53" s="609"/>
      <c r="WBM53" s="609"/>
      <c r="WBN53" s="609"/>
      <c r="WBO53" s="609"/>
      <c r="WBP53" s="609"/>
      <c r="WBQ53" s="609"/>
      <c r="WBR53" s="609"/>
      <c r="WBS53" s="609"/>
      <c r="WBT53" s="609"/>
      <c r="WBU53" s="609"/>
      <c r="WBV53" s="609"/>
      <c r="WBW53" s="609"/>
      <c r="WBX53" s="609"/>
      <c r="WBY53" s="609"/>
      <c r="WBZ53" s="609"/>
      <c r="WCA53" s="609"/>
      <c r="WCB53" s="609"/>
      <c r="WCC53" s="609"/>
      <c r="WCD53" s="609"/>
      <c r="WCE53" s="609"/>
      <c r="WCF53" s="609"/>
      <c r="WCG53" s="609"/>
      <c r="WCH53" s="609"/>
      <c r="WCI53" s="609"/>
      <c r="WCJ53" s="609"/>
      <c r="WCK53" s="609"/>
      <c r="WCL53" s="609"/>
      <c r="WCM53" s="609"/>
      <c r="WCN53" s="609"/>
      <c r="WCO53" s="609"/>
      <c r="WCP53" s="609"/>
      <c r="WCQ53" s="609"/>
      <c r="WCR53" s="609"/>
      <c r="WCS53" s="609"/>
      <c r="WCT53" s="609"/>
      <c r="WCU53" s="609"/>
      <c r="WCV53" s="609"/>
      <c r="WCW53" s="609"/>
      <c r="WCX53" s="609"/>
      <c r="WCY53" s="609"/>
      <c r="WCZ53" s="609"/>
      <c r="WDA53" s="609"/>
      <c r="WDB53" s="609"/>
      <c r="WDC53" s="609"/>
      <c r="WDD53" s="609"/>
      <c r="WDE53" s="609"/>
      <c r="WDF53" s="609"/>
      <c r="WDG53" s="609"/>
      <c r="WDH53" s="609"/>
      <c r="WDI53" s="609"/>
      <c r="WDJ53" s="609"/>
      <c r="WDK53" s="609"/>
      <c r="WDL53" s="609"/>
      <c r="WDM53" s="609"/>
      <c r="WDN53" s="609"/>
      <c r="WDO53" s="609"/>
      <c r="WDP53" s="609"/>
      <c r="WDQ53" s="609"/>
      <c r="WDR53" s="609"/>
      <c r="WDS53" s="609"/>
      <c r="WDT53" s="609"/>
      <c r="WDU53" s="609"/>
      <c r="WDV53" s="609"/>
      <c r="WDW53" s="609"/>
      <c r="WDX53" s="609"/>
      <c r="WDY53" s="609"/>
      <c r="WDZ53" s="609"/>
      <c r="WEA53" s="609"/>
      <c r="WEB53" s="609"/>
      <c r="WEC53" s="609"/>
      <c r="WED53" s="609"/>
      <c r="WEE53" s="609"/>
      <c r="WEF53" s="609"/>
      <c r="WEG53" s="609"/>
      <c r="WEH53" s="609"/>
      <c r="WEI53" s="609"/>
      <c r="WEJ53" s="609"/>
      <c r="WEK53" s="609"/>
      <c r="WEL53" s="609"/>
      <c r="WEM53" s="609"/>
      <c r="WEN53" s="609"/>
      <c r="WEO53" s="609"/>
      <c r="WEP53" s="609"/>
      <c r="WEQ53" s="609"/>
      <c r="WER53" s="609"/>
      <c r="WES53" s="609"/>
      <c r="WET53" s="609"/>
      <c r="WEU53" s="609"/>
      <c r="WEV53" s="609"/>
      <c r="WEW53" s="609"/>
      <c r="WEX53" s="609"/>
      <c r="WEY53" s="609"/>
      <c r="WEZ53" s="609"/>
      <c r="WFA53" s="609"/>
      <c r="WFB53" s="609"/>
      <c r="WFC53" s="609"/>
      <c r="WFD53" s="609"/>
      <c r="WFE53" s="609"/>
      <c r="WFF53" s="609"/>
      <c r="WFG53" s="609"/>
      <c r="WFH53" s="609"/>
      <c r="WFI53" s="609"/>
      <c r="WFJ53" s="609"/>
      <c r="WFK53" s="609"/>
      <c r="WFL53" s="609"/>
      <c r="WFM53" s="609"/>
      <c r="WFN53" s="609"/>
      <c r="WFO53" s="609"/>
      <c r="WFP53" s="609"/>
      <c r="WFQ53" s="609"/>
      <c r="WFR53" s="609"/>
      <c r="WFS53" s="609"/>
      <c r="WFT53" s="609"/>
      <c r="WFU53" s="609"/>
      <c r="WFV53" s="609"/>
      <c r="WFW53" s="609"/>
      <c r="WFX53" s="609"/>
      <c r="WFY53" s="609"/>
      <c r="WFZ53" s="609"/>
      <c r="WGA53" s="609"/>
      <c r="WGB53" s="609"/>
      <c r="WGC53" s="609"/>
      <c r="WGD53" s="609"/>
      <c r="WGE53" s="609"/>
      <c r="WGF53" s="609"/>
      <c r="WGG53" s="609"/>
      <c r="WGH53" s="609"/>
      <c r="WGI53" s="609"/>
      <c r="WGJ53" s="609"/>
      <c r="WGK53" s="609"/>
      <c r="WGL53" s="609"/>
      <c r="WGM53" s="609"/>
      <c r="WGN53" s="609"/>
      <c r="WGO53" s="609"/>
      <c r="WGP53" s="609"/>
      <c r="WGQ53" s="609"/>
      <c r="WGR53" s="609"/>
      <c r="WGS53" s="609"/>
      <c r="WGT53" s="609"/>
      <c r="WGU53" s="609"/>
      <c r="WGV53" s="609"/>
      <c r="WGW53" s="609"/>
      <c r="WGX53" s="609"/>
      <c r="WGY53" s="609"/>
      <c r="WGZ53" s="609"/>
      <c r="WHA53" s="609"/>
      <c r="WHB53" s="609"/>
      <c r="WHC53" s="609"/>
      <c r="WHD53" s="609"/>
      <c r="WHE53" s="609"/>
      <c r="WHF53" s="609"/>
      <c r="WHG53" s="609"/>
      <c r="WHH53" s="609"/>
      <c r="WHI53" s="609"/>
      <c r="WHJ53" s="609"/>
      <c r="WHK53" s="609"/>
      <c r="WHL53" s="609"/>
      <c r="WHM53" s="609"/>
      <c r="WHN53" s="609"/>
      <c r="WHO53" s="609"/>
      <c r="WHP53" s="609"/>
      <c r="WHQ53" s="609"/>
      <c r="WHR53" s="609"/>
      <c r="WHS53" s="609"/>
      <c r="WHT53" s="609"/>
      <c r="WHU53" s="609"/>
      <c r="WHV53" s="609"/>
      <c r="WHW53" s="609"/>
      <c r="WHX53" s="609"/>
      <c r="WHY53" s="609"/>
      <c r="WHZ53" s="609"/>
      <c r="WIA53" s="609"/>
      <c r="WIB53" s="609"/>
      <c r="WIC53" s="609"/>
      <c r="WID53" s="609"/>
      <c r="WIE53" s="609"/>
      <c r="WIF53" s="609"/>
      <c r="WIG53" s="609"/>
      <c r="WIH53" s="609"/>
      <c r="WII53" s="609"/>
      <c r="WIJ53" s="609"/>
      <c r="WIK53" s="609"/>
      <c r="WIL53" s="609"/>
      <c r="WIM53" s="609"/>
      <c r="WIN53" s="609"/>
      <c r="WIO53" s="609"/>
      <c r="WIP53" s="609"/>
      <c r="WIQ53" s="609"/>
      <c r="WIR53" s="609"/>
      <c r="WIS53" s="609"/>
      <c r="WIT53" s="609"/>
      <c r="WIU53" s="609"/>
      <c r="WIV53" s="609"/>
      <c r="WIW53" s="609"/>
      <c r="WIX53" s="609"/>
      <c r="WIY53" s="609"/>
      <c r="WIZ53" s="609"/>
      <c r="WJA53" s="609"/>
      <c r="WJB53" s="609"/>
      <c r="WJC53" s="609"/>
      <c r="WJD53" s="609"/>
      <c r="WJE53" s="609"/>
      <c r="WJF53" s="609"/>
      <c r="WJG53" s="609"/>
      <c r="WJH53" s="609"/>
      <c r="WJI53" s="609"/>
      <c r="WJJ53" s="609"/>
      <c r="WJK53" s="609"/>
      <c r="WJL53" s="609"/>
      <c r="WJM53" s="609"/>
      <c r="WJN53" s="609"/>
      <c r="WJO53" s="609"/>
      <c r="WJP53" s="609"/>
      <c r="WJQ53" s="609"/>
      <c r="WJR53" s="609"/>
      <c r="WJS53" s="609"/>
      <c r="WJT53" s="609"/>
      <c r="WJU53" s="609"/>
      <c r="WJV53" s="609"/>
      <c r="WJW53" s="609"/>
      <c r="WJX53" s="609"/>
      <c r="WJY53" s="609"/>
      <c r="WJZ53" s="609"/>
      <c r="WKA53" s="609"/>
      <c r="WKB53" s="609"/>
      <c r="WKC53" s="609"/>
      <c r="WKD53" s="609"/>
      <c r="WKE53" s="609"/>
      <c r="WKF53" s="609"/>
      <c r="WKG53" s="609"/>
      <c r="WKH53" s="609"/>
      <c r="WKI53" s="609"/>
      <c r="WKJ53" s="609"/>
      <c r="WKK53" s="609"/>
      <c r="WKL53" s="609"/>
      <c r="WKM53" s="609"/>
      <c r="WKN53" s="609"/>
      <c r="WKO53" s="609"/>
      <c r="WKP53" s="609"/>
      <c r="WKQ53" s="609"/>
      <c r="WKR53" s="609"/>
      <c r="WKS53" s="609"/>
      <c r="WKT53" s="609"/>
      <c r="WKU53" s="609"/>
      <c r="WKV53" s="609"/>
      <c r="WKW53" s="609"/>
      <c r="WKX53" s="609"/>
      <c r="WKY53" s="609"/>
      <c r="WKZ53" s="609"/>
      <c r="WLA53" s="609"/>
      <c r="WLB53" s="609"/>
      <c r="WLC53" s="609"/>
      <c r="WLD53" s="609"/>
      <c r="WLE53" s="609"/>
      <c r="WLF53" s="609"/>
      <c r="WLG53" s="609"/>
      <c r="WLH53" s="609"/>
      <c r="WLI53" s="609"/>
      <c r="WLJ53" s="609"/>
      <c r="WLK53" s="609"/>
      <c r="WLL53" s="609"/>
      <c r="WLM53" s="609"/>
      <c r="WLN53" s="609"/>
      <c r="WLO53" s="609"/>
      <c r="WLP53" s="609"/>
      <c r="WLQ53" s="609"/>
      <c r="WLR53" s="609"/>
      <c r="WLS53" s="609"/>
      <c r="WLT53" s="609"/>
      <c r="WLU53" s="609"/>
      <c r="WLV53" s="609"/>
      <c r="WLW53" s="609"/>
      <c r="WLX53" s="609"/>
      <c r="WLY53" s="609"/>
      <c r="WLZ53" s="609"/>
      <c r="WMA53" s="609"/>
      <c r="WMB53" s="609"/>
      <c r="WMC53" s="609"/>
      <c r="WMD53" s="609"/>
      <c r="WME53" s="609"/>
      <c r="WMF53" s="609"/>
      <c r="WMG53" s="609"/>
      <c r="WMH53" s="609"/>
      <c r="WMI53" s="609"/>
      <c r="WMJ53" s="609"/>
      <c r="WMK53" s="609"/>
      <c r="WML53" s="609"/>
      <c r="WMM53" s="609"/>
      <c r="WMN53" s="609"/>
      <c r="WMO53" s="609"/>
      <c r="WMP53" s="609"/>
      <c r="WMQ53" s="609"/>
      <c r="WMR53" s="609"/>
      <c r="WMS53" s="609"/>
      <c r="WMT53" s="609"/>
      <c r="WMU53" s="609"/>
      <c r="WMV53" s="609"/>
      <c r="WMW53" s="609"/>
      <c r="WMX53" s="609"/>
      <c r="WMY53" s="609"/>
      <c r="WMZ53" s="609"/>
      <c r="WNA53" s="609"/>
      <c r="WNB53" s="609"/>
      <c r="WNC53" s="609"/>
      <c r="WND53" s="609"/>
      <c r="WNE53" s="609"/>
      <c r="WNF53" s="609"/>
      <c r="WNG53" s="609"/>
      <c r="WNH53" s="609"/>
      <c r="WNI53" s="609"/>
      <c r="WNJ53" s="609"/>
      <c r="WNK53" s="609"/>
      <c r="WNL53" s="609"/>
      <c r="WNM53" s="609"/>
      <c r="WNN53" s="609"/>
      <c r="WNO53" s="609"/>
      <c r="WNP53" s="609"/>
      <c r="WNQ53" s="609"/>
      <c r="WNR53" s="609"/>
      <c r="WNS53" s="609"/>
      <c r="WNT53" s="609"/>
      <c r="WNU53" s="609"/>
      <c r="WNV53" s="609"/>
      <c r="WNW53" s="609"/>
      <c r="WNX53" s="609"/>
      <c r="WNY53" s="609"/>
      <c r="WNZ53" s="609"/>
      <c r="WOA53" s="609"/>
      <c r="WOB53" s="609"/>
      <c r="WOC53" s="609"/>
      <c r="WOD53" s="609"/>
      <c r="WOE53" s="609"/>
      <c r="WOF53" s="609"/>
      <c r="WOG53" s="609"/>
      <c r="WOH53" s="609"/>
      <c r="WOI53" s="609"/>
      <c r="WOJ53" s="609"/>
      <c r="WOK53" s="609"/>
      <c r="WOL53" s="609"/>
      <c r="WOM53" s="609"/>
      <c r="WON53" s="609"/>
      <c r="WOO53" s="609"/>
      <c r="WOP53" s="609"/>
      <c r="WOQ53" s="609"/>
      <c r="WOR53" s="609"/>
      <c r="WOS53" s="609"/>
      <c r="WOT53" s="609"/>
      <c r="WOU53" s="609"/>
      <c r="WOV53" s="609"/>
      <c r="WOW53" s="609"/>
      <c r="WOX53" s="609"/>
      <c r="WOY53" s="609"/>
      <c r="WOZ53" s="609"/>
      <c r="WPA53" s="609"/>
      <c r="WPB53" s="609"/>
      <c r="WPC53" s="609"/>
      <c r="WPD53" s="609"/>
      <c r="WPE53" s="609"/>
      <c r="WPF53" s="609"/>
      <c r="WPG53" s="609"/>
      <c r="WPH53" s="609"/>
      <c r="WPI53" s="609"/>
      <c r="WPJ53" s="609"/>
      <c r="WPK53" s="609"/>
      <c r="WPL53" s="609"/>
      <c r="WPM53" s="609"/>
      <c r="WPN53" s="609"/>
      <c r="WPO53" s="609"/>
      <c r="WPP53" s="609"/>
      <c r="WPQ53" s="609"/>
      <c r="WPR53" s="609"/>
      <c r="WPS53" s="609"/>
      <c r="WPT53" s="609"/>
      <c r="WPU53" s="609"/>
      <c r="WPV53" s="609"/>
      <c r="WPW53" s="609"/>
      <c r="WPX53" s="609"/>
      <c r="WPY53" s="609"/>
      <c r="WPZ53" s="609"/>
      <c r="WQA53" s="609"/>
      <c r="WQB53" s="609"/>
      <c r="WQC53" s="609"/>
      <c r="WQD53" s="609"/>
      <c r="WQE53" s="609"/>
      <c r="WQF53" s="609"/>
      <c r="WQG53" s="609"/>
      <c r="WQH53" s="609"/>
      <c r="WQI53" s="609"/>
      <c r="WQJ53" s="609"/>
      <c r="WQK53" s="609"/>
      <c r="WQL53" s="609"/>
      <c r="WQM53" s="609"/>
      <c r="WQN53" s="609"/>
      <c r="WQO53" s="609"/>
      <c r="WQP53" s="609"/>
      <c r="WQQ53" s="609"/>
      <c r="WQR53" s="609"/>
      <c r="WQS53" s="609"/>
      <c r="WQT53" s="609"/>
      <c r="WQU53" s="609"/>
      <c r="WQV53" s="609"/>
      <c r="WQW53" s="609"/>
      <c r="WQX53" s="609"/>
      <c r="WQY53" s="609"/>
      <c r="WQZ53" s="609"/>
      <c r="WRA53" s="609"/>
      <c r="WRB53" s="609"/>
      <c r="WRC53" s="609"/>
      <c r="WRD53" s="609"/>
      <c r="WRE53" s="609"/>
      <c r="WRF53" s="609"/>
      <c r="WRG53" s="609"/>
      <c r="WRH53" s="609"/>
      <c r="WRI53" s="609"/>
      <c r="WRJ53" s="609"/>
      <c r="WRK53" s="609"/>
      <c r="WRL53" s="609"/>
      <c r="WRM53" s="609"/>
      <c r="WRN53" s="609"/>
      <c r="WRO53" s="609"/>
      <c r="WRP53" s="609"/>
      <c r="WRQ53" s="609"/>
      <c r="WRR53" s="609"/>
      <c r="WRS53" s="609"/>
      <c r="WRT53" s="609"/>
      <c r="WRU53" s="609"/>
      <c r="WRV53" s="609"/>
      <c r="WRW53" s="609"/>
      <c r="WRX53" s="609"/>
      <c r="WRY53" s="609"/>
      <c r="WRZ53" s="609"/>
      <c r="WSA53" s="609"/>
      <c r="WSB53" s="609"/>
      <c r="WSC53" s="609"/>
      <c r="WSD53" s="609"/>
      <c r="WSE53" s="609"/>
      <c r="WSF53" s="609"/>
      <c r="WSG53" s="609"/>
      <c r="WSH53" s="609"/>
      <c r="WSI53" s="609"/>
      <c r="WSJ53" s="609"/>
      <c r="WSK53" s="609"/>
      <c r="WSL53" s="609"/>
      <c r="WSM53" s="609"/>
      <c r="WSN53" s="609"/>
      <c r="WSO53" s="609"/>
      <c r="WSP53" s="609"/>
      <c r="WSQ53" s="609"/>
      <c r="WSR53" s="609"/>
      <c r="WSS53" s="609"/>
      <c r="WST53" s="609"/>
      <c r="WSU53" s="609"/>
      <c r="WSV53" s="609"/>
      <c r="WSW53" s="609"/>
      <c r="WSX53" s="609"/>
      <c r="WSY53" s="609"/>
      <c r="WSZ53" s="609"/>
      <c r="WTA53" s="609"/>
      <c r="WTB53" s="609"/>
      <c r="WTC53" s="609"/>
      <c r="WTD53" s="609"/>
      <c r="WTE53" s="609"/>
      <c r="WTF53" s="609"/>
      <c r="WTG53" s="609"/>
      <c r="WTH53" s="609"/>
      <c r="WTI53" s="609"/>
      <c r="WTJ53" s="609"/>
      <c r="WTK53" s="609"/>
      <c r="WTL53" s="609"/>
      <c r="WTM53" s="609"/>
      <c r="WTN53" s="609"/>
      <c r="WTO53" s="609"/>
      <c r="WTP53" s="609"/>
      <c r="WTQ53" s="609"/>
      <c r="WTR53" s="609"/>
      <c r="WTS53" s="609"/>
      <c r="WTT53" s="609"/>
      <c r="WTU53" s="609"/>
      <c r="WTV53" s="609"/>
      <c r="WTW53" s="609"/>
      <c r="WTX53" s="609"/>
      <c r="WTY53" s="609"/>
      <c r="WTZ53" s="609"/>
      <c r="WUA53" s="609"/>
      <c r="WUB53" s="609"/>
      <c r="WUC53" s="609"/>
      <c r="WUD53" s="609"/>
      <c r="WUE53" s="609"/>
      <c r="WUF53" s="609"/>
      <c r="WUG53" s="609"/>
      <c r="WUH53" s="609"/>
      <c r="WUI53" s="609"/>
      <c r="WUJ53" s="609"/>
      <c r="WUK53" s="609"/>
      <c r="WUL53" s="609"/>
      <c r="WUM53" s="609"/>
      <c r="WUN53" s="609"/>
      <c r="WUO53" s="609"/>
      <c r="WUP53" s="609"/>
      <c r="WUQ53" s="609"/>
      <c r="WUR53" s="609"/>
      <c r="WUS53" s="609"/>
      <c r="WUT53" s="609"/>
      <c r="WUU53" s="609"/>
      <c r="WUV53" s="609"/>
      <c r="WUW53" s="609"/>
      <c r="WUX53" s="609"/>
      <c r="WUY53" s="609"/>
      <c r="WUZ53" s="609"/>
      <c r="WVA53" s="609"/>
      <c r="WVB53" s="609"/>
      <c r="WVC53" s="609"/>
      <c r="WVD53" s="609"/>
      <c r="WVE53" s="609"/>
      <c r="WVF53" s="609"/>
      <c r="WVG53" s="609"/>
      <c r="WVH53" s="609"/>
      <c r="WVI53" s="609"/>
      <c r="WVJ53" s="609"/>
      <c r="WVK53" s="609"/>
      <c r="WVL53" s="609"/>
      <c r="WVM53" s="609"/>
      <c r="WVN53" s="609"/>
      <c r="WVO53" s="609"/>
      <c r="WVP53" s="609"/>
      <c r="WVQ53" s="609"/>
      <c r="WVR53" s="609"/>
      <c r="WVS53" s="609"/>
      <c r="WVT53" s="609"/>
      <c r="WVU53" s="609"/>
      <c r="WVV53" s="609"/>
      <c r="WVW53" s="609"/>
      <c r="WVX53" s="609"/>
      <c r="WVY53" s="609"/>
      <c r="WVZ53" s="609"/>
      <c r="WWA53" s="609"/>
      <c r="WWB53" s="609"/>
      <c r="WWC53" s="609"/>
      <c r="WWD53" s="609"/>
      <c r="WWE53" s="609"/>
      <c r="WWF53" s="609"/>
      <c r="WWG53" s="609"/>
      <c r="WWH53" s="609"/>
      <c r="WWI53" s="609"/>
      <c r="WWJ53" s="609"/>
      <c r="WWK53" s="609"/>
      <c r="WWL53" s="609"/>
      <c r="WWM53" s="609"/>
      <c r="WWN53" s="609"/>
      <c r="WWO53" s="609"/>
      <c r="WWP53" s="609"/>
      <c r="WWQ53" s="609"/>
      <c r="WWR53" s="609"/>
      <c r="WWS53" s="609"/>
      <c r="WWT53" s="609"/>
      <c r="WWU53" s="609"/>
      <c r="WWV53" s="609"/>
      <c r="WWW53" s="609"/>
      <c r="WWX53" s="609"/>
      <c r="WWY53" s="609"/>
      <c r="WWZ53" s="609"/>
      <c r="WXA53" s="609"/>
      <c r="WXB53" s="609"/>
      <c r="WXC53" s="609"/>
      <c r="WXD53" s="609"/>
      <c r="WXE53" s="609"/>
      <c r="WXF53" s="609"/>
      <c r="WXG53" s="609"/>
      <c r="WXH53" s="609"/>
      <c r="WXI53" s="609"/>
      <c r="WXJ53" s="609"/>
      <c r="WXK53" s="609"/>
      <c r="WXL53" s="609"/>
      <c r="WXM53" s="609"/>
      <c r="WXN53" s="609"/>
      <c r="WXO53" s="609"/>
      <c r="WXP53" s="609"/>
      <c r="WXQ53" s="609"/>
      <c r="WXR53" s="609"/>
      <c r="WXS53" s="609"/>
      <c r="WXT53" s="609"/>
      <c r="WXU53" s="609"/>
      <c r="WXV53" s="609"/>
      <c r="WXW53" s="609"/>
      <c r="WXX53" s="609"/>
      <c r="WXY53" s="609"/>
      <c r="WXZ53" s="609"/>
      <c r="WYA53" s="609"/>
      <c r="WYB53" s="609"/>
      <c r="WYC53" s="609"/>
      <c r="WYD53" s="609"/>
      <c r="WYE53" s="609"/>
      <c r="WYF53" s="609"/>
      <c r="WYG53" s="609"/>
      <c r="WYH53" s="609"/>
      <c r="WYI53" s="609"/>
      <c r="WYJ53" s="609"/>
      <c r="WYK53" s="609"/>
      <c r="WYL53" s="609"/>
      <c r="WYM53" s="609"/>
      <c r="WYN53" s="609"/>
      <c r="WYO53" s="609"/>
      <c r="WYP53" s="609"/>
      <c r="WYQ53" s="609"/>
      <c r="WYR53" s="609"/>
      <c r="WYS53" s="609"/>
      <c r="WYT53" s="609"/>
      <c r="WYU53" s="609"/>
      <c r="WYV53" s="609"/>
      <c r="WYW53" s="609"/>
      <c r="WYX53" s="609"/>
      <c r="WYY53" s="609"/>
      <c r="WYZ53" s="609"/>
      <c r="WZA53" s="609"/>
      <c r="WZB53" s="609"/>
      <c r="WZC53" s="609"/>
      <c r="WZD53" s="609"/>
      <c r="WZE53" s="609"/>
      <c r="WZF53" s="609"/>
      <c r="WZG53" s="609"/>
      <c r="WZH53" s="609"/>
      <c r="WZI53" s="609"/>
      <c r="WZJ53" s="609"/>
      <c r="WZK53" s="609"/>
      <c r="WZL53" s="609"/>
      <c r="WZM53" s="609"/>
      <c r="WZN53" s="609"/>
      <c r="WZO53" s="609"/>
      <c r="WZP53" s="609"/>
      <c r="WZQ53" s="609"/>
      <c r="WZR53" s="609"/>
      <c r="WZS53" s="609"/>
      <c r="WZT53" s="609"/>
      <c r="WZU53" s="609"/>
      <c r="WZV53" s="609"/>
      <c r="WZW53" s="609"/>
      <c r="WZX53" s="609"/>
      <c r="WZY53" s="609"/>
      <c r="WZZ53" s="609"/>
      <c r="XAA53" s="609"/>
      <c r="XAB53" s="609"/>
      <c r="XAC53" s="609"/>
      <c r="XAD53" s="609"/>
      <c r="XAE53" s="609"/>
      <c r="XAF53" s="609"/>
      <c r="XAG53" s="609"/>
      <c r="XAH53" s="609"/>
      <c r="XAI53" s="609"/>
      <c r="XAJ53" s="609"/>
      <c r="XAK53" s="609"/>
      <c r="XAL53" s="609"/>
      <c r="XAM53" s="609"/>
      <c r="XAN53" s="609"/>
      <c r="XAO53" s="609"/>
      <c r="XAP53" s="609"/>
      <c r="XAQ53" s="609"/>
      <c r="XAR53" s="609"/>
      <c r="XAS53" s="609"/>
      <c r="XAT53" s="609"/>
      <c r="XAU53" s="609"/>
      <c r="XAV53" s="609"/>
      <c r="XAW53" s="609"/>
      <c r="XAX53" s="609"/>
      <c r="XAY53" s="609"/>
      <c r="XAZ53" s="609"/>
      <c r="XBA53" s="609"/>
      <c r="XBB53" s="609"/>
      <c r="XBC53" s="609"/>
      <c r="XBD53" s="609"/>
      <c r="XBE53" s="609"/>
      <c r="XBF53" s="609"/>
      <c r="XBG53" s="609"/>
      <c r="XBH53" s="609"/>
      <c r="XBI53" s="609"/>
      <c r="XBJ53" s="609"/>
      <c r="XBK53" s="609"/>
      <c r="XBL53" s="609"/>
      <c r="XBM53" s="609"/>
      <c r="XBN53" s="609"/>
      <c r="XBO53" s="609"/>
      <c r="XBP53" s="609"/>
      <c r="XBQ53" s="609"/>
      <c r="XBR53" s="609"/>
      <c r="XBS53" s="609"/>
      <c r="XBT53" s="609"/>
      <c r="XBU53" s="609"/>
      <c r="XBV53" s="609"/>
      <c r="XBW53" s="609"/>
      <c r="XBX53" s="609"/>
      <c r="XBY53" s="609"/>
      <c r="XBZ53" s="609"/>
      <c r="XCA53" s="609"/>
      <c r="XCB53" s="609"/>
      <c r="XCC53" s="609"/>
      <c r="XCD53" s="609"/>
      <c r="XCE53" s="609"/>
      <c r="XCF53" s="609"/>
      <c r="XCG53" s="609"/>
      <c r="XCH53" s="609"/>
      <c r="XCI53" s="609"/>
      <c r="XCJ53" s="609"/>
      <c r="XCK53" s="609"/>
      <c r="XCL53" s="609"/>
      <c r="XCM53" s="609"/>
      <c r="XCN53" s="609"/>
      <c r="XCO53" s="609"/>
      <c r="XCP53" s="609"/>
      <c r="XCQ53" s="609"/>
      <c r="XCR53" s="609"/>
      <c r="XCS53" s="609"/>
      <c r="XCT53" s="609"/>
      <c r="XCU53" s="609"/>
      <c r="XCV53" s="609"/>
      <c r="XCW53" s="609"/>
      <c r="XCX53" s="609"/>
      <c r="XCY53" s="609"/>
      <c r="XCZ53" s="609"/>
      <c r="XDA53" s="609"/>
      <c r="XDB53" s="609"/>
      <c r="XDC53" s="609"/>
      <c r="XDD53" s="609"/>
      <c r="XDE53" s="609"/>
      <c r="XDF53" s="609"/>
      <c r="XDG53" s="609"/>
      <c r="XDH53" s="609"/>
      <c r="XDI53" s="609"/>
      <c r="XDJ53" s="609"/>
      <c r="XDK53" s="609"/>
      <c r="XDL53" s="609"/>
      <c r="XDM53" s="609"/>
      <c r="XDN53" s="609"/>
      <c r="XDO53" s="609"/>
      <c r="XDP53" s="609"/>
      <c r="XDQ53" s="609"/>
      <c r="XDR53" s="609"/>
      <c r="XDS53" s="609"/>
      <c r="XDT53" s="609"/>
      <c r="XDU53" s="609"/>
      <c r="XDV53" s="609"/>
      <c r="XDW53" s="609"/>
      <c r="XDX53" s="609"/>
      <c r="XDY53" s="609"/>
      <c r="XDZ53" s="609"/>
      <c r="XEA53" s="609"/>
      <c r="XEB53" s="609"/>
      <c r="XEC53" s="609"/>
      <c r="XED53" s="609"/>
      <c r="XEE53" s="609"/>
      <c r="XEF53" s="609"/>
      <c r="XEG53" s="609"/>
      <c r="XEH53" s="609"/>
      <c r="XEI53" s="609"/>
      <c r="XEJ53" s="609"/>
      <c r="XEK53" s="609"/>
      <c r="XEL53" s="609"/>
      <c r="XEM53" s="609"/>
      <c r="XEN53" s="609"/>
      <c r="XEO53" s="609"/>
      <c r="XEP53" s="609"/>
      <c r="XEQ53" s="609"/>
      <c r="XER53" s="609"/>
      <c r="XES53" s="609"/>
      <c r="XET53" s="609"/>
      <c r="XEU53" s="609"/>
      <c r="XEV53" s="609"/>
      <c r="XEW53" s="609"/>
      <c r="XEX53" s="609"/>
      <c r="XEY53" s="609"/>
      <c r="XEZ53" s="609"/>
      <c r="XFA53" s="609"/>
    </row>
    <row r="54" spans="1:16381" s="609" customFormat="1" ht="25.5">
      <c r="A54" s="609" t="str">
        <f t="shared" si="0"/>
        <v>COOP Schleswig Holstein Rentenzuschusskasse v. 01.01.2019</v>
      </c>
      <c r="B54" s="609">
        <f>ROW()</f>
        <v>54</v>
      </c>
      <c r="C54" s="635" t="s">
        <v>786</v>
      </c>
      <c r="D54" s="1201">
        <v>43466</v>
      </c>
      <c r="E54" s="636" t="s">
        <v>776</v>
      </c>
      <c r="F54" s="637" t="str">
        <f t="shared" si="5"/>
        <v/>
      </c>
      <c r="G54" s="634" t="str">
        <f t="shared" si="2"/>
        <v xml:space="preserve">TO ermöglicht: doppelten Kostenabzug; </v>
      </c>
      <c r="H54"/>
      <c r="I54" s="634"/>
      <c r="J54" s="784"/>
      <c r="K54" s="1199"/>
      <c r="L54" s="1199">
        <v>2</v>
      </c>
      <c r="M54" s="1199"/>
      <c r="N54" s="1199"/>
      <c r="O54" s="789" t="s">
        <v>812</v>
      </c>
      <c r="P54" s="144">
        <f t="shared" si="6"/>
        <v>2</v>
      </c>
    </row>
    <row r="55" spans="1:16381" ht="33.75">
      <c r="A55" s="609" t="str">
        <f t="shared" si="0"/>
        <v>Cosmos Direkt v. 01.01.2010</v>
      </c>
      <c r="B55" s="609">
        <f>ROW()</f>
        <v>55</v>
      </c>
      <c r="C55" s="635" t="s">
        <v>926</v>
      </c>
      <c r="D55" s="1201">
        <v>40179</v>
      </c>
      <c r="E55" s="636" t="s">
        <v>927</v>
      </c>
      <c r="F55" s="637" t="str">
        <f t="shared" si="5"/>
        <v>Ja</v>
      </c>
      <c r="G55" s="634" t="str">
        <f t="shared" si="2"/>
        <v>TO ermöglicht: Tarifwechel; doppelten Kostenabzug;  Abweichungen vom gerichtl. festgelegten Ausgleichswert;  Verzinsung zwischen EzE und RK geltend machen</v>
      </c>
      <c r="H55" s="609"/>
      <c r="K55" s="1199">
        <v>1</v>
      </c>
      <c r="L55" s="1199">
        <v>2</v>
      </c>
      <c r="M55" s="1199">
        <v>3</v>
      </c>
      <c r="N55" s="1199">
        <v>4</v>
      </c>
      <c r="P55" s="144">
        <f t="shared" si="6"/>
        <v>10</v>
      </c>
      <c r="Q55" s="609"/>
      <c r="R55" s="609"/>
      <c r="S55" s="609"/>
      <c r="T55" s="609"/>
      <c r="U55" s="609"/>
      <c r="V55" s="609"/>
      <c r="W55" s="609"/>
      <c r="X55" s="609"/>
      <c r="Y55" s="609"/>
      <c r="Z55" s="609"/>
      <c r="AA55" s="609"/>
      <c r="AB55" s="609"/>
      <c r="AC55" s="609"/>
      <c r="AD55" s="609"/>
      <c r="AE55" s="609"/>
      <c r="AF55" s="609"/>
      <c r="AG55" s="609"/>
      <c r="AH55" s="609"/>
      <c r="AI55" s="609"/>
      <c r="AJ55" s="609"/>
      <c r="AK55" s="609"/>
      <c r="AL55" s="609"/>
      <c r="AM55" s="609"/>
      <c r="AN55" s="609"/>
      <c r="AO55" s="609"/>
      <c r="AP55" s="609"/>
      <c r="AQ55" s="609"/>
      <c r="AR55" s="609"/>
      <c r="AS55" s="609"/>
      <c r="AT55" s="609"/>
      <c r="AU55" s="609"/>
      <c r="AV55" s="609"/>
      <c r="AW55" s="609"/>
      <c r="AX55" s="609"/>
      <c r="AY55" s="609"/>
      <c r="AZ55" s="609"/>
      <c r="BA55" s="609"/>
      <c r="BB55" s="609"/>
      <c r="BC55" s="609"/>
      <c r="BD55" s="609"/>
      <c r="BE55" s="609"/>
      <c r="BF55" s="609"/>
      <c r="BG55" s="609"/>
      <c r="BH55" s="609"/>
      <c r="BI55" s="609"/>
      <c r="BJ55" s="609"/>
      <c r="BK55" s="609"/>
      <c r="BL55" s="609"/>
      <c r="BM55" s="609"/>
      <c r="BN55" s="609"/>
      <c r="BO55" s="609"/>
      <c r="BP55" s="609"/>
      <c r="BQ55" s="609"/>
      <c r="BR55" s="609"/>
      <c r="BS55" s="609"/>
      <c r="BT55" s="609"/>
      <c r="BU55" s="609"/>
      <c r="BV55" s="609"/>
      <c r="BW55" s="609"/>
      <c r="BX55" s="609"/>
      <c r="BY55" s="609"/>
      <c r="BZ55" s="609"/>
      <c r="CA55" s="609"/>
      <c r="CB55" s="609"/>
      <c r="CC55" s="609"/>
      <c r="CD55" s="609"/>
      <c r="CE55" s="609"/>
      <c r="CF55" s="609"/>
      <c r="CG55" s="609"/>
      <c r="CH55" s="609"/>
      <c r="CI55" s="609"/>
      <c r="CJ55" s="609"/>
      <c r="CK55" s="609"/>
      <c r="CL55" s="609"/>
      <c r="CM55" s="609"/>
      <c r="CN55" s="609"/>
      <c r="CO55" s="609"/>
      <c r="CP55" s="609"/>
      <c r="CQ55" s="609"/>
      <c r="CR55" s="609"/>
      <c r="CS55" s="609"/>
      <c r="CT55" s="609"/>
      <c r="CU55" s="609"/>
      <c r="CV55" s="609"/>
      <c r="CW55" s="609"/>
      <c r="CX55" s="609"/>
      <c r="CY55" s="609"/>
      <c r="CZ55" s="609"/>
      <c r="DA55" s="609"/>
      <c r="DB55" s="609"/>
      <c r="DC55" s="609"/>
      <c r="DD55" s="609"/>
      <c r="DE55" s="609"/>
      <c r="DF55" s="609"/>
      <c r="DG55" s="609"/>
      <c r="DH55" s="609"/>
      <c r="DI55" s="609"/>
      <c r="DJ55" s="609"/>
      <c r="DK55" s="609"/>
      <c r="DL55" s="609"/>
      <c r="DM55" s="609"/>
      <c r="DN55" s="609"/>
      <c r="DO55" s="609"/>
      <c r="DP55" s="609"/>
      <c r="DQ55" s="609"/>
      <c r="DR55" s="609"/>
      <c r="DS55" s="609"/>
      <c r="DT55" s="609"/>
      <c r="DU55" s="609"/>
      <c r="DV55" s="609"/>
      <c r="DW55" s="609"/>
      <c r="DX55" s="609"/>
      <c r="DY55" s="609"/>
      <c r="DZ55" s="609"/>
      <c r="EA55" s="609"/>
      <c r="EB55" s="609"/>
      <c r="EC55" s="609"/>
      <c r="ED55" s="609"/>
      <c r="EE55" s="609"/>
      <c r="EF55" s="609"/>
      <c r="EG55" s="609"/>
      <c r="EH55" s="609"/>
      <c r="EI55" s="609"/>
      <c r="EJ55" s="609"/>
      <c r="EK55" s="609"/>
      <c r="EL55" s="609"/>
      <c r="EM55" s="609"/>
      <c r="EN55" s="609"/>
      <c r="EO55" s="609"/>
      <c r="EP55" s="609"/>
      <c r="EQ55" s="609"/>
      <c r="ER55" s="609"/>
      <c r="ES55" s="609"/>
      <c r="ET55" s="609"/>
      <c r="EU55" s="609"/>
      <c r="EV55" s="609"/>
      <c r="EW55" s="609"/>
      <c r="EX55" s="609"/>
      <c r="EY55" s="609"/>
      <c r="EZ55" s="609"/>
      <c r="FA55" s="609"/>
      <c r="FB55" s="609"/>
      <c r="FC55" s="609"/>
      <c r="FD55" s="609"/>
      <c r="FE55" s="609"/>
      <c r="FF55" s="609"/>
      <c r="FG55" s="609"/>
      <c r="FH55" s="609"/>
      <c r="FI55" s="609"/>
      <c r="FJ55" s="609"/>
      <c r="FK55" s="609"/>
      <c r="FL55" s="609"/>
      <c r="FM55" s="609"/>
      <c r="FN55" s="609"/>
      <c r="FO55" s="609"/>
      <c r="FP55" s="609"/>
      <c r="FQ55" s="609"/>
      <c r="FR55" s="609"/>
      <c r="FS55" s="609"/>
      <c r="FT55" s="609"/>
      <c r="FU55" s="609"/>
      <c r="FV55" s="609"/>
      <c r="FW55" s="609"/>
      <c r="FX55" s="609"/>
      <c r="FY55" s="609"/>
      <c r="FZ55" s="609"/>
      <c r="GA55" s="609"/>
      <c r="GB55" s="609"/>
      <c r="GC55" s="609"/>
      <c r="GD55" s="609"/>
      <c r="GE55" s="609"/>
      <c r="GF55" s="609"/>
      <c r="GG55" s="609"/>
      <c r="GH55" s="609"/>
      <c r="GI55" s="609"/>
      <c r="GJ55" s="609"/>
      <c r="GK55" s="609"/>
      <c r="GL55" s="609"/>
      <c r="GM55" s="609"/>
      <c r="GN55" s="609"/>
      <c r="GO55" s="609"/>
      <c r="GP55" s="609"/>
      <c r="GQ55" s="609"/>
      <c r="GR55" s="609"/>
      <c r="GS55" s="609"/>
      <c r="GT55" s="609"/>
      <c r="GU55" s="609"/>
      <c r="GV55" s="609"/>
      <c r="GW55" s="609"/>
      <c r="GX55" s="609"/>
      <c r="GY55" s="609"/>
      <c r="GZ55" s="609"/>
      <c r="HA55" s="609"/>
      <c r="HB55" s="609"/>
      <c r="HC55" s="609"/>
      <c r="HD55" s="609"/>
      <c r="HE55" s="609"/>
      <c r="HF55" s="609"/>
      <c r="HG55" s="609"/>
      <c r="HH55" s="609"/>
      <c r="HI55" s="609"/>
      <c r="HJ55" s="609"/>
      <c r="HK55" s="609"/>
      <c r="HL55" s="609"/>
      <c r="HM55" s="609"/>
      <c r="HN55" s="609"/>
      <c r="HO55" s="609"/>
      <c r="HP55" s="609"/>
      <c r="HQ55" s="609"/>
      <c r="HR55" s="609"/>
      <c r="HS55" s="609"/>
      <c r="HT55" s="609"/>
      <c r="HU55" s="609"/>
      <c r="HV55" s="609"/>
      <c r="HW55" s="609"/>
      <c r="HX55" s="609"/>
      <c r="HY55" s="609"/>
      <c r="HZ55" s="609"/>
      <c r="IA55" s="609"/>
      <c r="IB55" s="609"/>
      <c r="IC55" s="609"/>
      <c r="ID55" s="609"/>
      <c r="IE55" s="609"/>
      <c r="IF55" s="609"/>
      <c r="IG55" s="609"/>
      <c r="IH55" s="609"/>
      <c r="II55" s="609"/>
      <c r="IJ55" s="609"/>
      <c r="IK55" s="609"/>
      <c r="IL55" s="609"/>
      <c r="IM55" s="609"/>
      <c r="IN55" s="609"/>
      <c r="IO55" s="609"/>
      <c r="IP55" s="609"/>
      <c r="IQ55" s="609"/>
      <c r="IR55" s="609"/>
      <c r="IS55" s="609"/>
      <c r="IT55" s="609"/>
      <c r="IU55" s="609"/>
      <c r="IV55" s="609"/>
      <c r="IW55" s="609"/>
      <c r="IX55" s="609"/>
      <c r="IY55" s="609"/>
      <c r="IZ55" s="609"/>
      <c r="JA55" s="609"/>
      <c r="JB55" s="609"/>
      <c r="JC55" s="609"/>
      <c r="JD55" s="609"/>
      <c r="JE55" s="609"/>
      <c r="JF55" s="609"/>
      <c r="JG55" s="609"/>
      <c r="JH55" s="609"/>
      <c r="JI55" s="609"/>
      <c r="JJ55" s="609"/>
      <c r="JK55" s="609"/>
      <c r="JL55" s="609"/>
      <c r="JM55" s="609"/>
      <c r="JN55" s="609"/>
      <c r="JO55" s="609"/>
      <c r="JP55" s="609"/>
      <c r="JQ55" s="609"/>
      <c r="JR55" s="609"/>
      <c r="JS55" s="609"/>
      <c r="JT55" s="609"/>
      <c r="JU55" s="609"/>
      <c r="JV55" s="609"/>
      <c r="JW55" s="609"/>
      <c r="JX55" s="609"/>
      <c r="JY55" s="609"/>
      <c r="JZ55" s="609"/>
      <c r="KA55" s="609"/>
      <c r="KB55" s="609"/>
      <c r="KC55" s="609"/>
      <c r="KD55" s="609"/>
      <c r="KE55" s="609"/>
      <c r="KF55" s="609"/>
      <c r="KG55" s="609"/>
      <c r="KH55" s="609"/>
      <c r="KI55" s="609"/>
      <c r="KJ55" s="609"/>
      <c r="KK55" s="609"/>
      <c r="KL55" s="609"/>
      <c r="KM55" s="609"/>
      <c r="KN55" s="609"/>
      <c r="KO55" s="609"/>
      <c r="KP55" s="609"/>
      <c r="KQ55" s="609"/>
      <c r="KR55" s="609"/>
      <c r="KS55" s="609"/>
      <c r="KT55" s="609"/>
      <c r="KU55" s="609"/>
      <c r="KV55" s="609"/>
      <c r="KW55" s="609"/>
      <c r="KX55" s="609"/>
      <c r="KY55" s="609"/>
      <c r="KZ55" s="609"/>
      <c r="LA55" s="609"/>
      <c r="LB55" s="609"/>
      <c r="LC55" s="609"/>
      <c r="LD55" s="609"/>
      <c r="LE55" s="609"/>
      <c r="LF55" s="609"/>
      <c r="LG55" s="609"/>
      <c r="LH55" s="609"/>
      <c r="LI55" s="609"/>
      <c r="LJ55" s="609"/>
      <c r="LK55" s="609"/>
      <c r="LL55" s="609"/>
      <c r="LM55" s="609"/>
      <c r="LN55" s="609"/>
      <c r="LO55" s="609"/>
      <c r="LP55" s="609"/>
      <c r="LQ55" s="609"/>
      <c r="LR55" s="609"/>
      <c r="LS55" s="609"/>
      <c r="LT55" s="609"/>
      <c r="LU55" s="609"/>
      <c r="LV55" s="609"/>
      <c r="LW55" s="609"/>
      <c r="LX55" s="609"/>
      <c r="LY55" s="609"/>
      <c r="LZ55" s="609"/>
      <c r="MA55" s="609"/>
      <c r="MB55" s="609"/>
      <c r="MC55" s="609"/>
      <c r="MD55" s="609"/>
      <c r="ME55" s="609"/>
      <c r="MF55" s="609"/>
      <c r="MG55" s="609"/>
      <c r="MH55" s="609"/>
      <c r="MI55" s="609"/>
      <c r="MJ55" s="609"/>
      <c r="MK55" s="609"/>
      <c r="ML55" s="609"/>
      <c r="MM55" s="609"/>
      <c r="MN55" s="609"/>
      <c r="MO55" s="609"/>
      <c r="MP55" s="609"/>
      <c r="MQ55" s="609"/>
      <c r="MR55" s="609"/>
      <c r="MS55" s="609"/>
      <c r="MT55" s="609"/>
      <c r="MU55" s="609"/>
      <c r="MV55" s="609"/>
      <c r="MW55" s="609"/>
      <c r="MX55" s="609"/>
      <c r="MY55" s="609"/>
      <c r="MZ55" s="609"/>
      <c r="NA55" s="609"/>
      <c r="NB55" s="609"/>
      <c r="NC55" s="609"/>
      <c r="ND55" s="609"/>
      <c r="NE55" s="609"/>
      <c r="NF55" s="609"/>
      <c r="NG55" s="609"/>
      <c r="NH55" s="609"/>
      <c r="NI55" s="609"/>
      <c r="NJ55" s="609"/>
      <c r="NK55" s="609"/>
      <c r="NL55" s="609"/>
      <c r="NM55" s="609"/>
      <c r="NN55" s="609"/>
      <c r="NO55" s="609"/>
      <c r="NP55" s="609"/>
      <c r="NQ55" s="609"/>
      <c r="NR55" s="609"/>
      <c r="NS55" s="609"/>
      <c r="NT55" s="609"/>
      <c r="NU55" s="609"/>
      <c r="NV55" s="609"/>
      <c r="NW55" s="609"/>
      <c r="NX55" s="609"/>
      <c r="NY55" s="609"/>
      <c r="NZ55" s="609"/>
      <c r="OA55" s="609"/>
      <c r="OB55" s="609"/>
      <c r="OC55" s="609"/>
      <c r="OD55" s="609"/>
      <c r="OE55" s="609"/>
      <c r="OF55" s="609"/>
      <c r="OG55" s="609"/>
      <c r="OH55" s="609"/>
      <c r="OI55" s="609"/>
      <c r="OJ55" s="609"/>
      <c r="OK55" s="609"/>
      <c r="OL55" s="609"/>
      <c r="OM55" s="609"/>
      <c r="ON55" s="609"/>
      <c r="OO55" s="609"/>
      <c r="OP55" s="609"/>
      <c r="OQ55" s="609"/>
      <c r="OR55" s="609"/>
      <c r="OS55" s="609"/>
      <c r="OT55" s="609"/>
      <c r="OU55" s="609"/>
      <c r="OV55" s="609"/>
      <c r="OW55" s="609"/>
      <c r="OX55" s="609"/>
      <c r="OY55" s="609"/>
      <c r="OZ55" s="609"/>
      <c r="PA55" s="609"/>
      <c r="PB55" s="609"/>
      <c r="PC55" s="609"/>
      <c r="PD55" s="609"/>
      <c r="PE55" s="609"/>
      <c r="PF55" s="609"/>
      <c r="PG55" s="609"/>
      <c r="PH55" s="609"/>
      <c r="PI55" s="609"/>
      <c r="PJ55" s="609"/>
      <c r="PK55" s="609"/>
      <c r="PL55" s="609"/>
      <c r="PM55" s="609"/>
      <c r="PN55" s="609"/>
      <c r="PO55" s="609"/>
      <c r="PP55" s="609"/>
      <c r="PQ55" s="609"/>
      <c r="PR55" s="609"/>
      <c r="PS55" s="609"/>
      <c r="PT55" s="609"/>
      <c r="PU55" s="609"/>
      <c r="PV55" s="609"/>
      <c r="PW55" s="609"/>
      <c r="PX55" s="609"/>
      <c r="PY55" s="609"/>
      <c r="PZ55" s="609"/>
      <c r="QA55" s="609"/>
      <c r="QB55" s="609"/>
      <c r="QC55" s="609"/>
      <c r="QD55" s="609"/>
      <c r="QE55" s="609"/>
      <c r="QF55" s="609"/>
      <c r="QG55" s="609"/>
      <c r="QH55" s="609"/>
      <c r="QI55" s="609"/>
      <c r="QJ55" s="609"/>
      <c r="QK55" s="609"/>
      <c r="QL55" s="609"/>
      <c r="QM55" s="609"/>
      <c r="QN55" s="609"/>
      <c r="QO55" s="609"/>
      <c r="QP55" s="609"/>
      <c r="QQ55" s="609"/>
      <c r="QR55" s="609"/>
      <c r="QS55" s="609"/>
      <c r="QT55" s="609"/>
      <c r="QU55" s="609"/>
      <c r="QV55" s="609"/>
      <c r="QW55" s="609"/>
      <c r="QX55" s="609"/>
      <c r="QY55" s="609"/>
      <c r="QZ55" s="609"/>
      <c r="RA55" s="609"/>
      <c r="RB55" s="609"/>
      <c r="RC55" s="609"/>
      <c r="RD55" s="609"/>
      <c r="RE55" s="609"/>
      <c r="RF55" s="609"/>
      <c r="RG55" s="609"/>
      <c r="RH55" s="609"/>
      <c r="RI55" s="609"/>
      <c r="RJ55" s="609"/>
      <c r="RK55" s="609"/>
      <c r="RL55" s="609"/>
      <c r="RM55" s="609"/>
      <c r="RN55" s="609"/>
      <c r="RO55" s="609"/>
      <c r="RP55" s="609"/>
      <c r="RQ55" s="609"/>
      <c r="RR55" s="609"/>
      <c r="RS55" s="609"/>
      <c r="RT55" s="609"/>
      <c r="RU55" s="609"/>
      <c r="RV55" s="609"/>
      <c r="RW55" s="609"/>
      <c r="RX55" s="609"/>
      <c r="RY55" s="609"/>
      <c r="RZ55" s="609"/>
      <c r="SA55" s="609"/>
      <c r="SB55" s="609"/>
      <c r="SC55" s="609"/>
      <c r="SD55" s="609"/>
      <c r="SE55" s="609"/>
      <c r="SF55" s="609"/>
      <c r="SG55" s="609"/>
      <c r="SH55" s="609"/>
      <c r="SI55" s="609"/>
      <c r="SJ55" s="609"/>
      <c r="SK55" s="609"/>
      <c r="SL55" s="609"/>
      <c r="SM55" s="609"/>
      <c r="SN55" s="609"/>
      <c r="SO55" s="609"/>
      <c r="SP55" s="609"/>
      <c r="SQ55" s="609"/>
      <c r="SR55" s="609"/>
      <c r="SS55" s="609"/>
      <c r="ST55" s="609"/>
      <c r="SU55" s="609"/>
      <c r="SV55" s="609"/>
      <c r="SW55" s="609"/>
      <c r="SX55" s="609"/>
      <c r="SY55" s="609"/>
      <c r="SZ55" s="609"/>
      <c r="TA55" s="609"/>
      <c r="TB55" s="609"/>
      <c r="TC55" s="609"/>
      <c r="TD55" s="609"/>
      <c r="TE55" s="609"/>
      <c r="TF55" s="609"/>
      <c r="TG55" s="609"/>
      <c r="TH55" s="609"/>
      <c r="TI55" s="609"/>
      <c r="TJ55" s="609"/>
      <c r="TK55" s="609"/>
      <c r="TL55" s="609"/>
      <c r="TM55" s="609"/>
      <c r="TN55" s="609"/>
      <c r="TO55" s="609"/>
      <c r="TP55" s="609"/>
      <c r="TQ55" s="609"/>
      <c r="TR55" s="609"/>
      <c r="TS55" s="609"/>
      <c r="TT55" s="609"/>
      <c r="TU55" s="609"/>
      <c r="TV55" s="609"/>
      <c r="TW55" s="609"/>
      <c r="TX55" s="609"/>
      <c r="TY55" s="609"/>
      <c r="TZ55" s="609"/>
      <c r="UA55" s="609"/>
      <c r="UB55" s="609"/>
      <c r="UC55" s="609"/>
      <c r="UD55" s="609"/>
      <c r="UE55" s="609"/>
      <c r="UF55" s="609"/>
      <c r="UG55" s="609"/>
      <c r="UH55" s="609"/>
      <c r="UI55" s="609"/>
      <c r="UJ55" s="609"/>
      <c r="UK55" s="609"/>
      <c r="UL55" s="609"/>
      <c r="UM55" s="609"/>
      <c r="UN55" s="609"/>
      <c r="UO55" s="609"/>
      <c r="UP55" s="609"/>
      <c r="UQ55" s="609"/>
      <c r="UR55" s="609"/>
      <c r="US55" s="609"/>
      <c r="UT55" s="609"/>
      <c r="UU55" s="609"/>
      <c r="UV55" s="609"/>
      <c r="UW55" s="609"/>
      <c r="UX55" s="609"/>
      <c r="UY55" s="609"/>
      <c r="UZ55" s="609"/>
      <c r="VA55" s="609"/>
      <c r="VB55" s="609"/>
      <c r="VC55" s="609"/>
      <c r="VD55" s="609"/>
      <c r="VE55" s="609"/>
      <c r="VF55" s="609"/>
      <c r="VG55" s="609"/>
      <c r="VH55" s="609"/>
      <c r="VI55" s="609"/>
      <c r="VJ55" s="609"/>
      <c r="VK55" s="609"/>
      <c r="VL55" s="609"/>
      <c r="VM55" s="609"/>
      <c r="VN55" s="609"/>
      <c r="VO55" s="609"/>
      <c r="VP55" s="609"/>
      <c r="VQ55" s="609"/>
      <c r="VR55" s="609"/>
      <c r="VS55" s="609"/>
      <c r="VT55" s="609"/>
      <c r="VU55" s="609"/>
      <c r="VV55" s="609"/>
      <c r="VW55" s="609"/>
      <c r="VX55" s="609"/>
      <c r="VY55" s="609"/>
      <c r="VZ55" s="609"/>
      <c r="WA55" s="609"/>
      <c r="WB55" s="609"/>
      <c r="WC55" s="609"/>
      <c r="WD55" s="609"/>
      <c r="WE55" s="609"/>
      <c r="WF55" s="609"/>
      <c r="WG55" s="609"/>
      <c r="WH55" s="609"/>
      <c r="WI55" s="609"/>
      <c r="WJ55" s="609"/>
      <c r="WK55" s="609"/>
      <c r="WL55" s="609"/>
      <c r="WM55" s="609"/>
      <c r="WN55" s="609"/>
      <c r="WO55" s="609"/>
      <c r="WP55" s="609"/>
      <c r="WQ55" s="609"/>
      <c r="WR55" s="609"/>
      <c r="WS55" s="609"/>
      <c r="WT55" s="609"/>
      <c r="WU55" s="609"/>
      <c r="WV55" s="609"/>
      <c r="WW55" s="609"/>
      <c r="WX55" s="609"/>
      <c r="WY55" s="609"/>
      <c r="WZ55" s="609"/>
      <c r="XA55" s="609"/>
      <c r="XB55" s="609"/>
      <c r="XC55" s="609"/>
      <c r="XD55" s="609"/>
      <c r="XE55" s="609"/>
      <c r="XF55" s="609"/>
      <c r="XG55" s="609"/>
      <c r="XH55" s="609"/>
      <c r="XI55" s="609"/>
      <c r="XJ55" s="609"/>
      <c r="XK55" s="609"/>
      <c r="XL55" s="609"/>
      <c r="XM55" s="609"/>
      <c r="XN55" s="609"/>
      <c r="XO55" s="609"/>
      <c r="XP55" s="609"/>
      <c r="XQ55" s="609"/>
      <c r="XR55" s="609"/>
      <c r="XS55" s="609"/>
      <c r="XT55" s="609"/>
      <c r="XU55" s="609"/>
      <c r="XV55" s="609"/>
      <c r="XW55" s="609"/>
      <c r="XX55" s="609"/>
      <c r="XY55" s="609"/>
      <c r="XZ55" s="609"/>
      <c r="YA55" s="609"/>
      <c r="YB55" s="609"/>
      <c r="YC55" s="609"/>
      <c r="YD55" s="609"/>
      <c r="YE55" s="609"/>
      <c r="YF55" s="609"/>
      <c r="YG55" s="609"/>
      <c r="YH55" s="609"/>
      <c r="YI55" s="609"/>
      <c r="YJ55" s="609"/>
      <c r="YK55" s="609"/>
      <c r="YL55" s="609"/>
      <c r="YM55" s="609"/>
      <c r="YN55" s="609"/>
      <c r="YO55" s="609"/>
      <c r="YP55" s="609"/>
      <c r="YQ55" s="609"/>
      <c r="YR55" s="609"/>
      <c r="YS55" s="609"/>
      <c r="YT55" s="609"/>
      <c r="YU55" s="609"/>
      <c r="YV55" s="609"/>
      <c r="YW55" s="609"/>
      <c r="YX55" s="609"/>
      <c r="YY55" s="609"/>
      <c r="YZ55" s="609"/>
      <c r="ZA55" s="609"/>
      <c r="ZB55" s="609"/>
      <c r="ZC55" s="609"/>
      <c r="ZD55" s="609"/>
      <c r="ZE55" s="609"/>
      <c r="ZF55" s="609"/>
      <c r="ZG55" s="609"/>
      <c r="ZH55" s="609"/>
      <c r="ZI55" s="609"/>
      <c r="ZJ55" s="609"/>
      <c r="ZK55" s="609"/>
      <c r="ZL55" s="609"/>
      <c r="ZM55" s="609"/>
      <c r="ZN55" s="609"/>
      <c r="ZO55" s="609"/>
      <c r="ZP55" s="609"/>
      <c r="ZQ55" s="609"/>
      <c r="ZR55" s="609"/>
      <c r="ZS55" s="609"/>
      <c r="ZT55" s="609"/>
      <c r="ZU55" s="609"/>
      <c r="ZV55" s="609"/>
      <c r="ZW55" s="609"/>
      <c r="ZX55" s="609"/>
      <c r="ZY55" s="609"/>
      <c r="ZZ55" s="609"/>
      <c r="AAA55" s="609"/>
      <c r="AAB55" s="609"/>
      <c r="AAC55" s="609"/>
      <c r="AAD55" s="609"/>
      <c r="AAE55" s="609"/>
      <c r="AAF55" s="609"/>
      <c r="AAG55" s="609"/>
      <c r="AAH55" s="609"/>
      <c r="AAI55" s="609"/>
      <c r="AAJ55" s="609"/>
      <c r="AAK55" s="609"/>
      <c r="AAL55" s="609"/>
      <c r="AAM55" s="609"/>
      <c r="AAN55" s="609"/>
      <c r="AAO55" s="609"/>
      <c r="AAP55" s="609"/>
      <c r="AAQ55" s="609"/>
      <c r="AAR55" s="609"/>
      <c r="AAS55" s="609"/>
      <c r="AAT55" s="609"/>
      <c r="AAU55" s="609"/>
      <c r="AAV55" s="609"/>
      <c r="AAW55" s="609"/>
      <c r="AAX55" s="609"/>
      <c r="AAY55" s="609"/>
      <c r="AAZ55" s="609"/>
      <c r="ABA55" s="609"/>
      <c r="ABB55" s="609"/>
      <c r="ABC55" s="609"/>
      <c r="ABD55" s="609"/>
      <c r="ABE55" s="609"/>
      <c r="ABF55" s="609"/>
      <c r="ABG55" s="609"/>
      <c r="ABH55" s="609"/>
      <c r="ABI55" s="609"/>
      <c r="ABJ55" s="609"/>
      <c r="ABK55" s="609"/>
      <c r="ABL55" s="609"/>
      <c r="ABM55" s="609"/>
      <c r="ABN55" s="609"/>
      <c r="ABO55" s="609"/>
      <c r="ABP55" s="609"/>
      <c r="ABQ55" s="609"/>
      <c r="ABR55" s="609"/>
      <c r="ABS55" s="609"/>
      <c r="ABT55" s="609"/>
      <c r="ABU55" s="609"/>
      <c r="ABV55" s="609"/>
      <c r="ABW55" s="609"/>
      <c r="ABX55" s="609"/>
      <c r="ABY55" s="609"/>
      <c r="ABZ55" s="609"/>
      <c r="ACA55" s="609"/>
      <c r="ACB55" s="609"/>
      <c r="ACC55" s="609"/>
      <c r="ACD55" s="609"/>
      <c r="ACE55" s="609"/>
      <c r="ACF55" s="609"/>
      <c r="ACG55" s="609"/>
      <c r="ACH55" s="609"/>
      <c r="ACI55" s="609"/>
      <c r="ACJ55" s="609"/>
      <c r="ACK55" s="609"/>
      <c r="ACL55" s="609"/>
      <c r="ACM55" s="609"/>
      <c r="ACN55" s="609"/>
      <c r="ACO55" s="609"/>
      <c r="ACP55" s="609"/>
      <c r="ACQ55" s="609"/>
      <c r="ACR55" s="609"/>
      <c r="ACS55" s="609"/>
      <c r="ACT55" s="609"/>
      <c r="ACU55" s="609"/>
      <c r="ACV55" s="609"/>
      <c r="ACW55" s="609"/>
      <c r="ACX55" s="609"/>
      <c r="ACY55" s="609"/>
      <c r="ACZ55" s="609"/>
      <c r="ADA55" s="609"/>
      <c r="ADB55" s="609"/>
      <c r="ADC55" s="609"/>
      <c r="ADD55" s="609"/>
      <c r="ADE55" s="609"/>
      <c r="ADF55" s="609"/>
      <c r="ADG55" s="609"/>
      <c r="ADH55" s="609"/>
      <c r="ADI55" s="609"/>
      <c r="ADJ55" s="609"/>
      <c r="ADK55" s="609"/>
      <c r="ADL55" s="609"/>
      <c r="ADM55" s="609"/>
      <c r="ADN55" s="609"/>
      <c r="ADO55" s="609"/>
      <c r="ADP55" s="609"/>
      <c r="ADQ55" s="609"/>
      <c r="ADR55" s="609"/>
      <c r="ADS55" s="609"/>
      <c r="ADT55" s="609"/>
      <c r="ADU55" s="609"/>
      <c r="ADV55" s="609"/>
      <c r="ADW55" s="609"/>
      <c r="ADX55" s="609"/>
      <c r="ADY55" s="609"/>
      <c r="ADZ55" s="609"/>
      <c r="AEA55" s="609"/>
      <c r="AEB55" s="609"/>
      <c r="AEC55" s="609"/>
      <c r="AED55" s="609"/>
      <c r="AEE55" s="609"/>
      <c r="AEF55" s="609"/>
      <c r="AEG55" s="609"/>
      <c r="AEH55" s="609"/>
      <c r="AEI55" s="609"/>
      <c r="AEJ55" s="609"/>
      <c r="AEK55" s="609"/>
      <c r="AEL55" s="609"/>
      <c r="AEM55" s="609"/>
      <c r="AEN55" s="609"/>
      <c r="AEO55" s="609"/>
      <c r="AEP55" s="609"/>
      <c r="AEQ55" s="609"/>
      <c r="AER55" s="609"/>
      <c r="AES55" s="609"/>
      <c r="AET55" s="609"/>
      <c r="AEU55" s="609"/>
      <c r="AEV55" s="609"/>
      <c r="AEW55" s="609"/>
      <c r="AEX55" s="609"/>
      <c r="AEY55" s="609"/>
      <c r="AEZ55" s="609"/>
      <c r="AFA55" s="609"/>
      <c r="AFB55" s="609"/>
      <c r="AFC55" s="609"/>
      <c r="AFD55" s="609"/>
      <c r="AFE55" s="609"/>
      <c r="AFF55" s="609"/>
      <c r="AFG55" s="609"/>
      <c r="AFH55" s="609"/>
      <c r="AFI55" s="609"/>
      <c r="AFJ55" s="609"/>
      <c r="AFK55" s="609"/>
      <c r="AFL55" s="609"/>
      <c r="AFM55" s="609"/>
      <c r="AFN55" s="609"/>
      <c r="AFO55" s="609"/>
      <c r="AFP55" s="609"/>
      <c r="AFQ55" s="609"/>
      <c r="AFR55" s="609"/>
      <c r="AFS55" s="609"/>
      <c r="AFT55" s="609"/>
      <c r="AFU55" s="609"/>
      <c r="AFV55" s="609"/>
      <c r="AFW55" s="609"/>
      <c r="AFX55" s="609"/>
      <c r="AFY55" s="609"/>
      <c r="AFZ55" s="609"/>
      <c r="AGA55" s="609"/>
      <c r="AGB55" s="609"/>
      <c r="AGC55" s="609"/>
      <c r="AGD55" s="609"/>
      <c r="AGE55" s="609"/>
      <c r="AGF55" s="609"/>
      <c r="AGG55" s="609"/>
      <c r="AGH55" s="609"/>
      <c r="AGI55" s="609"/>
      <c r="AGJ55" s="609"/>
      <c r="AGK55" s="609"/>
      <c r="AGL55" s="609"/>
      <c r="AGM55" s="609"/>
      <c r="AGN55" s="609"/>
      <c r="AGO55" s="609"/>
      <c r="AGP55" s="609"/>
      <c r="AGQ55" s="609"/>
      <c r="AGR55" s="609"/>
      <c r="AGS55" s="609"/>
      <c r="AGT55" s="609"/>
      <c r="AGU55" s="609"/>
      <c r="AGV55" s="609"/>
      <c r="AGW55" s="609"/>
      <c r="AGX55" s="609"/>
      <c r="AGY55" s="609"/>
      <c r="AGZ55" s="609"/>
      <c r="AHA55" s="609"/>
      <c r="AHB55" s="609"/>
      <c r="AHC55" s="609"/>
      <c r="AHD55" s="609"/>
      <c r="AHE55" s="609"/>
      <c r="AHF55" s="609"/>
      <c r="AHG55" s="609"/>
      <c r="AHH55" s="609"/>
      <c r="AHI55" s="609"/>
      <c r="AHJ55" s="609"/>
      <c r="AHK55" s="609"/>
      <c r="AHL55" s="609"/>
      <c r="AHM55" s="609"/>
      <c r="AHN55" s="609"/>
      <c r="AHO55" s="609"/>
      <c r="AHP55" s="609"/>
      <c r="AHQ55" s="609"/>
      <c r="AHR55" s="609"/>
      <c r="AHS55" s="609"/>
      <c r="AHT55" s="609"/>
      <c r="AHU55" s="609"/>
      <c r="AHV55" s="609"/>
      <c r="AHW55" s="609"/>
      <c r="AHX55" s="609"/>
      <c r="AHY55" s="609"/>
      <c r="AHZ55" s="609"/>
      <c r="AIA55" s="609"/>
      <c r="AIB55" s="609"/>
      <c r="AIC55" s="609"/>
      <c r="AID55" s="609"/>
      <c r="AIE55" s="609"/>
      <c r="AIF55" s="609"/>
      <c r="AIG55" s="609"/>
      <c r="AIH55" s="609"/>
      <c r="AII55" s="609"/>
      <c r="AIJ55" s="609"/>
      <c r="AIK55" s="609"/>
      <c r="AIL55" s="609"/>
      <c r="AIM55" s="609"/>
      <c r="AIN55" s="609"/>
      <c r="AIO55" s="609"/>
      <c r="AIP55" s="609"/>
      <c r="AIQ55" s="609"/>
      <c r="AIR55" s="609"/>
      <c r="AIS55" s="609"/>
      <c r="AIT55" s="609"/>
      <c r="AIU55" s="609"/>
      <c r="AIV55" s="609"/>
      <c r="AIW55" s="609"/>
      <c r="AIX55" s="609"/>
      <c r="AIY55" s="609"/>
      <c r="AIZ55" s="609"/>
      <c r="AJA55" s="609"/>
      <c r="AJB55" s="609"/>
      <c r="AJC55" s="609"/>
      <c r="AJD55" s="609"/>
      <c r="AJE55" s="609"/>
      <c r="AJF55" s="609"/>
      <c r="AJG55" s="609"/>
      <c r="AJH55" s="609"/>
      <c r="AJI55" s="609"/>
      <c r="AJJ55" s="609"/>
      <c r="AJK55" s="609"/>
      <c r="AJL55" s="609"/>
      <c r="AJM55" s="609"/>
      <c r="AJN55" s="609"/>
      <c r="AJO55" s="609"/>
      <c r="AJP55" s="609"/>
      <c r="AJQ55" s="609"/>
      <c r="AJR55" s="609"/>
      <c r="AJS55" s="609"/>
      <c r="AJT55" s="609"/>
      <c r="AJU55" s="609"/>
      <c r="AJV55" s="609"/>
      <c r="AJW55" s="609"/>
      <c r="AJX55" s="609"/>
      <c r="AJY55" s="609"/>
      <c r="AJZ55" s="609"/>
      <c r="AKA55" s="609"/>
      <c r="AKB55" s="609"/>
      <c r="AKC55" s="609"/>
      <c r="AKD55" s="609"/>
      <c r="AKE55" s="609"/>
      <c r="AKF55" s="609"/>
      <c r="AKG55" s="609"/>
      <c r="AKH55" s="609"/>
      <c r="AKI55" s="609"/>
      <c r="AKJ55" s="609"/>
      <c r="AKK55" s="609"/>
      <c r="AKL55" s="609"/>
      <c r="AKM55" s="609"/>
      <c r="AKN55" s="609"/>
      <c r="AKO55" s="609"/>
      <c r="AKP55" s="609"/>
      <c r="AKQ55" s="609"/>
      <c r="AKR55" s="609"/>
      <c r="AKS55" s="609"/>
      <c r="AKT55" s="609"/>
      <c r="AKU55" s="609"/>
      <c r="AKV55" s="609"/>
      <c r="AKW55" s="609"/>
      <c r="AKX55" s="609"/>
      <c r="AKY55" s="609"/>
      <c r="AKZ55" s="609"/>
      <c r="ALA55" s="609"/>
      <c r="ALB55" s="609"/>
      <c r="ALC55" s="609"/>
      <c r="ALD55" s="609"/>
      <c r="ALE55" s="609"/>
      <c r="ALF55" s="609"/>
      <c r="ALG55" s="609"/>
      <c r="ALH55" s="609"/>
      <c r="ALI55" s="609"/>
      <c r="ALJ55" s="609"/>
      <c r="ALK55" s="609"/>
      <c r="ALL55" s="609"/>
      <c r="ALM55" s="609"/>
      <c r="ALN55" s="609"/>
      <c r="ALO55" s="609"/>
      <c r="ALP55" s="609"/>
      <c r="ALQ55" s="609"/>
      <c r="ALR55" s="609"/>
      <c r="ALS55" s="609"/>
      <c r="ALT55" s="609"/>
      <c r="ALU55" s="609"/>
      <c r="ALV55" s="609"/>
      <c r="ALW55" s="609"/>
      <c r="ALX55" s="609"/>
      <c r="ALY55" s="609"/>
      <c r="ALZ55" s="609"/>
      <c r="AMA55" s="609"/>
      <c r="AMB55" s="609"/>
      <c r="AMC55" s="609"/>
      <c r="AMD55" s="609"/>
      <c r="AME55" s="609"/>
      <c r="AMF55" s="609"/>
      <c r="AMG55" s="609"/>
      <c r="AMH55" s="609"/>
      <c r="AMI55" s="609"/>
      <c r="AMJ55" s="609"/>
      <c r="AMK55" s="609"/>
      <c r="AML55" s="609"/>
      <c r="AMM55" s="609"/>
      <c r="AMN55" s="609"/>
      <c r="AMO55" s="609"/>
      <c r="AMP55" s="609"/>
      <c r="AMQ55" s="609"/>
      <c r="AMR55" s="609"/>
      <c r="AMS55" s="609"/>
      <c r="AMT55" s="609"/>
      <c r="AMU55" s="609"/>
      <c r="AMV55" s="609"/>
      <c r="AMW55" s="609"/>
      <c r="AMX55" s="609"/>
      <c r="AMY55" s="609"/>
      <c r="AMZ55" s="609"/>
      <c r="ANA55" s="609"/>
      <c r="ANB55" s="609"/>
      <c r="ANC55" s="609"/>
      <c r="AND55" s="609"/>
      <c r="ANE55" s="609"/>
      <c r="ANF55" s="609"/>
      <c r="ANG55" s="609"/>
      <c r="ANH55" s="609"/>
      <c r="ANI55" s="609"/>
      <c r="ANJ55" s="609"/>
      <c r="ANK55" s="609"/>
      <c r="ANL55" s="609"/>
      <c r="ANM55" s="609"/>
      <c r="ANN55" s="609"/>
      <c r="ANO55" s="609"/>
      <c r="ANP55" s="609"/>
      <c r="ANQ55" s="609"/>
      <c r="ANR55" s="609"/>
      <c r="ANS55" s="609"/>
      <c r="ANT55" s="609"/>
      <c r="ANU55" s="609"/>
      <c r="ANV55" s="609"/>
      <c r="ANW55" s="609"/>
      <c r="ANX55" s="609"/>
      <c r="ANY55" s="609"/>
      <c r="ANZ55" s="609"/>
      <c r="AOA55" s="609"/>
      <c r="AOB55" s="609"/>
      <c r="AOC55" s="609"/>
      <c r="AOD55" s="609"/>
      <c r="AOE55" s="609"/>
      <c r="AOF55" s="609"/>
      <c r="AOG55" s="609"/>
      <c r="AOH55" s="609"/>
      <c r="AOI55" s="609"/>
      <c r="AOJ55" s="609"/>
      <c r="AOK55" s="609"/>
      <c r="AOL55" s="609"/>
      <c r="AOM55" s="609"/>
      <c r="AON55" s="609"/>
      <c r="AOO55" s="609"/>
      <c r="AOP55" s="609"/>
      <c r="AOQ55" s="609"/>
      <c r="AOR55" s="609"/>
      <c r="AOS55" s="609"/>
      <c r="AOT55" s="609"/>
      <c r="AOU55" s="609"/>
      <c r="AOV55" s="609"/>
      <c r="AOW55" s="609"/>
      <c r="AOX55" s="609"/>
      <c r="AOY55" s="609"/>
      <c r="AOZ55" s="609"/>
      <c r="APA55" s="609"/>
      <c r="APB55" s="609"/>
      <c r="APC55" s="609"/>
      <c r="APD55" s="609"/>
      <c r="APE55" s="609"/>
      <c r="APF55" s="609"/>
      <c r="APG55" s="609"/>
      <c r="APH55" s="609"/>
      <c r="API55" s="609"/>
      <c r="APJ55" s="609"/>
      <c r="APK55" s="609"/>
      <c r="APL55" s="609"/>
      <c r="APM55" s="609"/>
      <c r="APN55" s="609"/>
      <c r="APO55" s="609"/>
      <c r="APP55" s="609"/>
      <c r="APQ55" s="609"/>
      <c r="APR55" s="609"/>
      <c r="APS55" s="609"/>
      <c r="APT55" s="609"/>
      <c r="APU55" s="609"/>
      <c r="APV55" s="609"/>
      <c r="APW55" s="609"/>
      <c r="APX55" s="609"/>
      <c r="APY55" s="609"/>
      <c r="APZ55" s="609"/>
      <c r="AQA55" s="609"/>
      <c r="AQB55" s="609"/>
      <c r="AQC55" s="609"/>
      <c r="AQD55" s="609"/>
      <c r="AQE55" s="609"/>
      <c r="AQF55" s="609"/>
      <c r="AQG55" s="609"/>
      <c r="AQH55" s="609"/>
      <c r="AQI55" s="609"/>
      <c r="AQJ55" s="609"/>
      <c r="AQK55" s="609"/>
      <c r="AQL55" s="609"/>
      <c r="AQM55" s="609"/>
      <c r="AQN55" s="609"/>
      <c r="AQO55" s="609"/>
      <c r="AQP55" s="609"/>
      <c r="AQQ55" s="609"/>
      <c r="AQR55" s="609"/>
      <c r="AQS55" s="609"/>
      <c r="AQT55" s="609"/>
      <c r="AQU55" s="609"/>
      <c r="AQV55" s="609"/>
      <c r="AQW55" s="609"/>
      <c r="AQX55" s="609"/>
      <c r="AQY55" s="609"/>
      <c r="AQZ55" s="609"/>
      <c r="ARA55" s="609"/>
      <c r="ARB55" s="609"/>
      <c r="ARC55" s="609"/>
      <c r="ARD55" s="609"/>
      <c r="ARE55" s="609"/>
      <c r="ARF55" s="609"/>
      <c r="ARG55" s="609"/>
      <c r="ARH55" s="609"/>
      <c r="ARI55" s="609"/>
      <c r="ARJ55" s="609"/>
      <c r="ARK55" s="609"/>
      <c r="ARL55" s="609"/>
      <c r="ARM55" s="609"/>
      <c r="ARN55" s="609"/>
      <c r="ARO55" s="609"/>
      <c r="ARP55" s="609"/>
      <c r="ARQ55" s="609"/>
      <c r="ARR55" s="609"/>
      <c r="ARS55" s="609"/>
      <c r="ART55" s="609"/>
      <c r="ARU55" s="609"/>
      <c r="ARV55" s="609"/>
      <c r="ARW55" s="609"/>
      <c r="ARX55" s="609"/>
      <c r="ARY55" s="609"/>
      <c r="ARZ55" s="609"/>
      <c r="ASA55" s="609"/>
      <c r="ASB55" s="609"/>
      <c r="ASC55" s="609"/>
      <c r="ASD55" s="609"/>
      <c r="ASE55" s="609"/>
      <c r="ASF55" s="609"/>
      <c r="ASG55" s="609"/>
      <c r="ASH55" s="609"/>
      <c r="ASI55" s="609"/>
      <c r="ASJ55" s="609"/>
      <c r="ASK55" s="609"/>
      <c r="ASL55" s="609"/>
      <c r="ASM55" s="609"/>
      <c r="ASN55" s="609"/>
      <c r="ASO55" s="609"/>
      <c r="ASP55" s="609"/>
      <c r="ASQ55" s="609"/>
      <c r="ASR55" s="609"/>
      <c r="ASS55" s="609"/>
      <c r="AST55" s="609"/>
      <c r="ASU55" s="609"/>
      <c r="ASV55" s="609"/>
      <c r="ASW55" s="609"/>
      <c r="ASX55" s="609"/>
      <c r="ASY55" s="609"/>
      <c r="ASZ55" s="609"/>
      <c r="ATA55" s="609"/>
      <c r="ATB55" s="609"/>
      <c r="ATC55" s="609"/>
      <c r="ATD55" s="609"/>
      <c r="ATE55" s="609"/>
      <c r="ATF55" s="609"/>
      <c r="ATG55" s="609"/>
      <c r="ATH55" s="609"/>
      <c r="ATI55" s="609"/>
      <c r="ATJ55" s="609"/>
      <c r="ATK55" s="609"/>
      <c r="ATL55" s="609"/>
      <c r="ATM55" s="609"/>
      <c r="ATN55" s="609"/>
      <c r="ATO55" s="609"/>
      <c r="ATP55" s="609"/>
      <c r="ATQ55" s="609"/>
      <c r="ATR55" s="609"/>
      <c r="ATS55" s="609"/>
      <c r="ATT55" s="609"/>
      <c r="ATU55" s="609"/>
      <c r="ATV55" s="609"/>
      <c r="ATW55" s="609"/>
      <c r="ATX55" s="609"/>
      <c r="ATY55" s="609"/>
      <c r="ATZ55" s="609"/>
      <c r="AUA55" s="609"/>
      <c r="AUB55" s="609"/>
      <c r="AUC55" s="609"/>
      <c r="AUD55" s="609"/>
      <c r="AUE55" s="609"/>
      <c r="AUF55" s="609"/>
      <c r="AUG55" s="609"/>
      <c r="AUH55" s="609"/>
      <c r="AUI55" s="609"/>
      <c r="AUJ55" s="609"/>
      <c r="AUK55" s="609"/>
      <c r="AUL55" s="609"/>
      <c r="AUM55" s="609"/>
      <c r="AUN55" s="609"/>
      <c r="AUO55" s="609"/>
      <c r="AUP55" s="609"/>
      <c r="AUQ55" s="609"/>
      <c r="AUR55" s="609"/>
      <c r="AUS55" s="609"/>
      <c r="AUT55" s="609"/>
      <c r="AUU55" s="609"/>
      <c r="AUV55" s="609"/>
      <c r="AUW55" s="609"/>
      <c r="AUX55" s="609"/>
      <c r="AUY55" s="609"/>
      <c r="AUZ55" s="609"/>
      <c r="AVA55" s="609"/>
      <c r="AVB55" s="609"/>
      <c r="AVC55" s="609"/>
      <c r="AVD55" s="609"/>
      <c r="AVE55" s="609"/>
      <c r="AVF55" s="609"/>
      <c r="AVG55" s="609"/>
      <c r="AVH55" s="609"/>
      <c r="AVI55" s="609"/>
      <c r="AVJ55" s="609"/>
      <c r="AVK55" s="609"/>
      <c r="AVL55" s="609"/>
      <c r="AVM55" s="609"/>
      <c r="AVN55" s="609"/>
      <c r="AVO55" s="609"/>
      <c r="AVP55" s="609"/>
      <c r="AVQ55" s="609"/>
      <c r="AVR55" s="609"/>
      <c r="AVS55" s="609"/>
      <c r="AVT55" s="609"/>
      <c r="AVU55" s="609"/>
      <c r="AVV55" s="609"/>
      <c r="AVW55" s="609"/>
      <c r="AVX55" s="609"/>
      <c r="AVY55" s="609"/>
      <c r="AVZ55" s="609"/>
      <c r="AWA55" s="609"/>
      <c r="AWB55" s="609"/>
      <c r="AWC55" s="609"/>
      <c r="AWD55" s="609"/>
      <c r="AWE55" s="609"/>
      <c r="AWF55" s="609"/>
      <c r="AWG55" s="609"/>
      <c r="AWH55" s="609"/>
      <c r="AWI55" s="609"/>
      <c r="AWJ55" s="609"/>
      <c r="AWK55" s="609"/>
      <c r="AWL55" s="609"/>
      <c r="AWM55" s="609"/>
      <c r="AWN55" s="609"/>
      <c r="AWO55" s="609"/>
      <c r="AWP55" s="609"/>
      <c r="AWQ55" s="609"/>
      <c r="AWR55" s="609"/>
      <c r="AWS55" s="609"/>
      <c r="AWT55" s="609"/>
      <c r="AWU55" s="609"/>
      <c r="AWV55" s="609"/>
      <c r="AWW55" s="609"/>
      <c r="AWX55" s="609"/>
      <c r="AWY55" s="609"/>
      <c r="AWZ55" s="609"/>
      <c r="AXA55" s="609"/>
      <c r="AXB55" s="609"/>
      <c r="AXC55" s="609"/>
      <c r="AXD55" s="609"/>
      <c r="AXE55" s="609"/>
      <c r="AXF55" s="609"/>
      <c r="AXG55" s="609"/>
      <c r="AXH55" s="609"/>
      <c r="AXI55" s="609"/>
      <c r="AXJ55" s="609"/>
      <c r="AXK55" s="609"/>
      <c r="AXL55" s="609"/>
      <c r="AXM55" s="609"/>
      <c r="AXN55" s="609"/>
      <c r="AXO55" s="609"/>
      <c r="AXP55" s="609"/>
      <c r="AXQ55" s="609"/>
      <c r="AXR55" s="609"/>
      <c r="AXS55" s="609"/>
      <c r="AXT55" s="609"/>
      <c r="AXU55" s="609"/>
      <c r="AXV55" s="609"/>
      <c r="AXW55" s="609"/>
      <c r="AXX55" s="609"/>
      <c r="AXY55" s="609"/>
      <c r="AXZ55" s="609"/>
      <c r="AYA55" s="609"/>
      <c r="AYB55" s="609"/>
      <c r="AYC55" s="609"/>
      <c r="AYD55" s="609"/>
      <c r="AYE55" s="609"/>
      <c r="AYF55" s="609"/>
      <c r="AYG55" s="609"/>
      <c r="AYH55" s="609"/>
      <c r="AYI55" s="609"/>
      <c r="AYJ55" s="609"/>
      <c r="AYK55" s="609"/>
      <c r="AYL55" s="609"/>
      <c r="AYM55" s="609"/>
      <c r="AYN55" s="609"/>
      <c r="AYO55" s="609"/>
      <c r="AYP55" s="609"/>
      <c r="AYQ55" s="609"/>
      <c r="AYR55" s="609"/>
      <c r="AYS55" s="609"/>
      <c r="AYT55" s="609"/>
      <c r="AYU55" s="609"/>
      <c r="AYV55" s="609"/>
      <c r="AYW55" s="609"/>
      <c r="AYX55" s="609"/>
      <c r="AYY55" s="609"/>
      <c r="AYZ55" s="609"/>
      <c r="AZA55" s="609"/>
      <c r="AZB55" s="609"/>
      <c r="AZC55" s="609"/>
      <c r="AZD55" s="609"/>
      <c r="AZE55" s="609"/>
      <c r="AZF55" s="609"/>
      <c r="AZG55" s="609"/>
      <c r="AZH55" s="609"/>
      <c r="AZI55" s="609"/>
      <c r="AZJ55" s="609"/>
      <c r="AZK55" s="609"/>
      <c r="AZL55" s="609"/>
      <c r="AZM55" s="609"/>
      <c r="AZN55" s="609"/>
      <c r="AZO55" s="609"/>
      <c r="AZP55" s="609"/>
      <c r="AZQ55" s="609"/>
      <c r="AZR55" s="609"/>
      <c r="AZS55" s="609"/>
      <c r="AZT55" s="609"/>
      <c r="AZU55" s="609"/>
      <c r="AZV55" s="609"/>
      <c r="AZW55" s="609"/>
      <c r="AZX55" s="609"/>
      <c r="AZY55" s="609"/>
      <c r="AZZ55" s="609"/>
      <c r="BAA55" s="609"/>
      <c r="BAB55" s="609"/>
      <c r="BAC55" s="609"/>
      <c r="BAD55" s="609"/>
      <c r="BAE55" s="609"/>
      <c r="BAF55" s="609"/>
      <c r="BAG55" s="609"/>
      <c r="BAH55" s="609"/>
      <c r="BAI55" s="609"/>
      <c r="BAJ55" s="609"/>
      <c r="BAK55" s="609"/>
      <c r="BAL55" s="609"/>
      <c r="BAM55" s="609"/>
      <c r="BAN55" s="609"/>
      <c r="BAO55" s="609"/>
      <c r="BAP55" s="609"/>
      <c r="BAQ55" s="609"/>
      <c r="BAR55" s="609"/>
      <c r="BAS55" s="609"/>
      <c r="BAT55" s="609"/>
      <c r="BAU55" s="609"/>
      <c r="BAV55" s="609"/>
      <c r="BAW55" s="609"/>
      <c r="BAX55" s="609"/>
      <c r="BAY55" s="609"/>
      <c r="BAZ55" s="609"/>
      <c r="BBA55" s="609"/>
      <c r="BBB55" s="609"/>
      <c r="BBC55" s="609"/>
      <c r="BBD55" s="609"/>
      <c r="BBE55" s="609"/>
      <c r="BBF55" s="609"/>
      <c r="BBG55" s="609"/>
      <c r="BBH55" s="609"/>
      <c r="BBI55" s="609"/>
      <c r="BBJ55" s="609"/>
      <c r="BBK55" s="609"/>
      <c r="BBL55" s="609"/>
      <c r="BBM55" s="609"/>
      <c r="BBN55" s="609"/>
      <c r="BBO55" s="609"/>
      <c r="BBP55" s="609"/>
      <c r="BBQ55" s="609"/>
      <c r="BBR55" s="609"/>
      <c r="BBS55" s="609"/>
      <c r="BBT55" s="609"/>
      <c r="BBU55" s="609"/>
      <c r="BBV55" s="609"/>
      <c r="BBW55" s="609"/>
      <c r="BBX55" s="609"/>
      <c r="BBY55" s="609"/>
      <c r="BBZ55" s="609"/>
      <c r="BCA55" s="609"/>
      <c r="BCB55" s="609"/>
      <c r="BCC55" s="609"/>
      <c r="BCD55" s="609"/>
      <c r="BCE55" s="609"/>
      <c r="BCF55" s="609"/>
      <c r="BCG55" s="609"/>
      <c r="BCH55" s="609"/>
      <c r="BCI55" s="609"/>
      <c r="BCJ55" s="609"/>
      <c r="BCK55" s="609"/>
      <c r="BCL55" s="609"/>
      <c r="BCM55" s="609"/>
      <c r="BCN55" s="609"/>
      <c r="BCO55" s="609"/>
      <c r="BCP55" s="609"/>
      <c r="BCQ55" s="609"/>
      <c r="BCR55" s="609"/>
      <c r="BCS55" s="609"/>
      <c r="BCT55" s="609"/>
      <c r="BCU55" s="609"/>
      <c r="BCV55" s="609"/>
      <c r="BCW55" s="609"/>
      <c r="BCX55" s="609"/>
      <c r="BCY55" s="609"/>
      <c r="BCZ55" s="609"/>
      <c r="BDA55" s="609"/>
      <c r="BDB55" s="609"/>
      <c r="BDC55" s="609"/>
      <c r="BDD55" s="609"/>
      <c r="BDE55" s="609"/>
      <c r="BDF55" s="609"/>
      <c r="BDG55" s="609"/>
      <c r="BDH55" s="609"/>
      <c r="BDI55" s="609"/>
      <c r="BDJ55" s="609"/>
      <c r="BDK55" s="609"/>
      <c r="BDL55" s="609"/>
      <c r="BDM55" s="609"/>
      <c r="BDN55" s="609"/>
      <c r="BDO55" s="609"/>
      <c r="BDP55" s="609"/>
      <c r="BDQ55" s="609"/>
      <c r="BDR55" s="609"/>
      <c r="BDS55" s="609"/>
      <c r="BDT55" s="609"/>
      <c r="BDU55" s="609"/>
      <c r="BDV55" s="609"/>
      <c r="BDW55" s="609"/>
      <c r="BDX55" s="609"/>
      <c r="BDY55" s="609"/>
      <c r="BDZ55" s="609"/>
      <c r="BEA55" s="609"/>
      <c r="BEB55" s="609"/>
      <c r="BEC55" s="609"/>
      <c r="BED55" s="609"/>
      <c r="BEE55" s="609"/>
      <c r="BEF55" s="609"/>
      <c r="BEG55" s="609"/>
      <c r="BEH55" s="609"/>
      <c r="BEI55" s="609"/>
      <c r="BEJ55" s="609"/>
      <c r="BEK55" s="609"/>
      <c r="BEL55" s="609"/>
      <c r="BEM55" s="609"/>
      <c r="BEN55" s="609"/>
      <c r="BEO55" s="609"/>
      <c r="BEP55" s="609"/>
      <c r="BEQ55" s="609"/>
      <c r="BER55" s="609"/>
      <c r="BES55" s="609"/>
      <c r="BET55" s="609"/>
      <c r="BEU55" s="609"/>
      <c r="BEV55" s="609"/>
      <c r="BEW55" s="609"/>
      <c r="BEX55" s="609"/>
      <c r="BEY55" s="609"/>
      <c r="BEZ55" s="609"/>
      <c r="BFA55" s="609"/>
      <c r="BFB55" s="609"/>
      <c r="BFC55" s="609"/>
      <c r="BFD55" s="609"/>
      <c r="BFE55" s="609"/>
      <c r="BFF55" s="609"/>
      <c r="BFG55" s="609"/>
      <c r="BFH55" s="609"/>
      <c r="BFI55" s="609"/>
      <c r="BFJ55" s="609"/>
      <c r="BFK55" s="609"/>
      <c r="BFL55" s="609"/>
      <c r="BFM55" s="609"/>
      <c r="BFN55" s="609"/>
      <c r="BFO55" s="609"/>
      <c r="BFP55" s="609"/>
      <c r="BFQ55" s="609"/>
      <c r="BFR55" s="609"/>
      <c r="BFS55" s="609"/>
      <c r="BFT55" s="609"/>
      <c r="BFU55" s="609"/>
      <c r="BFV55" s="609"/>
      <c r="BFW55" s="609"/>
      <c r="BFX55" s="609"/>
      <c r="BFY55" s="609"/>
      <c r="BFZ55" s="609"/>
      <c r="BGA55" s="609"/>
      <c r="BGB55" s="609"/>
      <c r="BGC55" s="609"/>
      <c r="BGD55" s="609"/>
      <c r="BGE55" s="609"/>
      <c r="BGF55" s="609"/>
      <c r="BGG55" s="609"/>
      <c r="BGH55" s="609"/>
      <c r="BGI55" s="609"/>
      <c r="BGJ55" s="609"/>
      <c r="BGK55" s="609"/>
      <c r="BGL55" s="609"/>
      <c r="BGM55" s="609"/>
      <c r="BGN55" s="609"/>
      <c r="BGO55" s="609"/>
      <c r="BGP55" s="609"/>
      <c r="BGQ55" s="609"/>
      <c r="BGR55" s="609"/>
      <c r="BGS55" s="609"/>
      <c r="BGT55" s="609"/>
      <c r="BGU55" s="609"/>
      <c r="BGV55" s="609"/>
      <c r="BGW55" s="609"/>
      <c r="BGX55" s="609"/>
      <c r="BGY55" s="609"/>
      <c r="BGZ55" s="609"/>
      <c r="BHA55" s="609"/>
      <c r="BHB55" s="609"/>
      <c r="BHC55" s="609"/>
      <c r="BHD55" s="609"/>
      <c r="BHE55" s="609"/>
      <c r="BHF55" s="609"/>
      <c r="BHG55" s="609"/>
      <c r="BHH55" s="609"/>
      <c r="BHI55" s="609"/>
      <c r="BHJ55" s="609"/>
      <c r="BHK55" s="609"/>
      <c r="BHL55" s="609"/>
      <c r="BHM55" s="609"/>
      <c r="BHN55" s="609"/>
      <c r="BHO55" s="609"/>
      <c r="BHP55" s="609"/>
      <c r="BHQ55" s="609"/>
      <c r="BHR55" s="609"/>
      <c r="BHS55" s="609"/>
      <c r="BHT55" s="609"/>
      <c r="BHU55" s="609"/>
      <c r="BHV55" s="609"/>
      <c r="BHW55" s="609"/>
      <c r="BHX55" s="609"/>
      <c r="BHY55" s="609"/>
      <c r="BHZ55" s="609"/>
      <c r="BIA55" s="609"/>
      <c r="BIB55" s="609"/>
      <c r="BIC55" s="609"/>
      <c r="BID55" s="609"/>
      <c r="BIE55" s="609"/>
      <c r="BIF55" s="609"/>
      <c r="BIG55" s="609"/>
      <c r="BIH55" s="609"/>
      <c r="BII55" s="609"/>
      <c r="BIJ55" s="609"/>
      <c r="BIK55" s="609"/>
      <c r="BIL55" s="609"/>
      <c r="BIM55" s="609"/>
      <c r="BIN55" s="609"/>
      <c r="BIO55" s="609"/>
      <c r="BIP55" s="609"/>
      <c r="BIQ55" s="609"/>
      <c r="BIR55" s="609"/>
      <c r="BIS55" s="609"/>
      <c r="BIT55" s="609"/>
      <c r="BIU55" s="609"/>
      <c r="BIV55" s="609"/>
      <c r="BIW55" s="609"/>
      <c r="BIX55" s="609"/>
      <c r="BIY55" s="609"/>
      <c r="BIZ55" s="609"/>
      <c r="BJA55" s="609"/>
      <c r="BJB55" s="609"/>
      <c r="BJC55" s="609"/>
      <c r="BJD55" s="609"/>
      <c r="BJE55" s="609"/>
      <c r="BJF55" s="609"/>
      <c r="BJG55" s="609"/>
      <c r="BJH55" s="609"/>
      <c r="BJI55" s="609"/>
      <c r="BJJ55" s="609"/>
      <c r="BJK55" s="609"/>
      <c r="BJL55" s="609"/>
      <c r="BJM55" s="609"/>
      <c r="BJN55" s="609"/>
      <c r="BJO55" s="609"/>
      <c r="BJP55" s="609"/>
      <c r="BJQ55" s="609"/>
      <c r="BJR55" s="609"/>
      <c r="BJS55" s="609"/>
      <c r="BJT55" s="609"/>
      <c r="BJU55" s="609"/>
      <c r="BJV55" s="609"/>
      <c r="BJW55" s="609"/>
      <c r="BJX55" s="609"/>
      <c r="BJY55" s="609"/>
      <c r="BJZ55" s="609"/>
      <c r="BKA55" s="609"/>
      <c r="BKB55" s="609"/>
      <c r="BKC55" s="609"/>
      <c r="BKD55" s="609"/>
      <c r="BKE55" s="609"/>
      <c r="BKF55" s="609"/>
      <c r="BKG55" s="609"/>
      <c r="BKH55" s="609"/>
      <c r="BKI55" s="609"/>
      <c r="BKJ55" s="609"/>
      <c r="BKK55" s="609"/>
      <c r="BKL55" s="609"/>
      <c r="BKM55" s="609"/>
      <c r="BKN55" s="609"/>
      <c r="BKO55" s="609"/>
      <c r="BKP55" s="609"/>
      <c r="BKQ55" s="609"/>
      <c r="BKR55" s="609"/>
      <c r="BKS55" s="609"/>
      <c r="BKT55" s="609"/>
      <c r="BKU55" s="609"/>
      <c r="BKV55" s="609"/>
      <c r="BKW55" s="609"/>
      <c r="BKX55" s="609"/>
      <c r="BKY55" s="609"/>
      <c r="BKZ55" s="609"/>
      <c r="BLA55" s="609"/>
      <c r="BLB55" s="609"/>
      <c r="BLC55" s="609"/>
      <c r="BLD55" s="609"/>
      <c r="BLE55" s="609"/>
      <c r="BLF55" s="609"/>
      <c r="BLG55" s="609"/>
      <c r="BLH55" s="609"/>
      <c r="BLI55" s="609"/>
      <c r="BLJ55" s="609"/>
      <c r="BLK55" s="609"/>
      <c r="BLL55" s="609"/>
      <c r="BLM55" s="609"/>
      <c r="BLN55" s="609"/>
      <c r="BLO55" s="609"/>
      <c r="BLP55" s="609"/>
      <c r="BLQ55" s="609"/>
      <c r="BLR55" s="609"/>
      <c r="BLS55" s="609"/>
      <c r="BLT55" s="609"/>
      <c r="BLU55" s="609"/>
      <c r="BLV55" s="609"/>
      <c r="BLW55" s="609"/>
      <c r="BLX55" s="609"/>
      <c r="BLY55" s="609"/>
      <c r="BLZ55" s="609"/>
      <c r="BMA55" s="609"/>
      <c r="BMB55" s="609"/>
      <c r="BMC55" s="609"/>
      <c r="BMD55" s="609"/>
      <c r="BME55" s="609"/>
      <c r="BMF55" s="609"/>
      <c r="BMG55" s="609"/>
      <c r="BMH55" s="609"/>
      <c r="BMI55" s="609"/>
      <c r="BMJ55" s="609"/>
      <c r="BMK55" s="609"/>
      <c r="BML55" s="609"/>
      <c r="BMM55" s="609"/>
      <c r="BMN55" s="609"/>
      <c r="BMO55" s="609"/>
      <c r="BMP55" s="609"/>
      <c r="BMQ55" s="609"/>
      <c r="BMR55" s="609"/>
      <c r="BMS55" s="609"/>
      <c r="BMT55" s="609"/>
      <c r="BMU55" s="609"/>
      <c r="BMV55" s="609"/>
      <c r="BMW55" s="609"/>
      <c r="BMX55" s="609"/>
      <c r="BMY55" s="609"/>
      <c r="BMZ55" s="609"/>
      <c r="BNA55" s="609"/>
      <c r="BNB55" s="609"/>
      <c r="BNC55" s="609"/>
      <c r="BND55" s="609"/>
      <c r="BNE55" s="609"/>
      <c r="BNF55" s="609"/>
      <c r="BNG55" s="609"/>
      <c r="BNH55" s="609"/>
      <c r="BNI55" s="609"/>
      <c r="BNJ55" s="609"/>
      <c r="BNK55" s="609"/>
      <c r="BNL55" s="609"/>
      <c r="BNM55" s="609"/>
      <c r="BNN55" s="609"/>
      <c r="BNO55" s="609"/>
      <c r="BNP55" s="609"/>
      <c r="BNQ55" s="609"/>
      <c r="BNR55" s="609"/>
      <c r="BNS55" s="609"/>
      <c r="BNT55" s="609"/>
      <c r="BNU55" s="609"/>
      <c r="BNV55" s="609"/>
      <c r="BNW55" s="609"/>
      <c r="BNX55" s="609"/>
      <c r="BNY55" s="609"/>
      <c r="BNZ55" s="609"/>
      <c r="BOA55" s="609"/>
      <c r="BOB55" s="609"/>
      <c r="BOC55" s="609"/>
      <c r="BOD55" s="609"/>
      <c r="BOE55" s="609"/>
      <c r="BOF55" s="609"/>
      <c r="BOG55" s="609"/>
      <c r="BOH55" s="609"/>
      <c r="BOI55" s="609"/>
      <c r="BOJ55" s="609"/>
      <c r="BOK55" s="609"/>
      <c r="BOL55" s="609"/>
      <c r="BOM55" s="609"/>
      <c r="BON55" s="609"/>
      <c r="BOO55" s="609"/>
      <c r="BOP55" s="609"/>
      <c r="BOQ55" s="609"/>
      <c r="BOR55" s="609"/>
      <c r="BOS55" s="609"/>
      <c r="BOT55" s="609"/>
      <c r="BOU55" s="609"/>
      <c r="BOV55" s="609"/>
      <c r="BOW55" s="609"/>
      <c r="BOX55" s="609"/>
      <c r="BOY55" s="609"/>
      <c r="BOZ55" s="609"/>
      <c r="BPA55" s="609"/>
      <c r="BPB55" s="609"/>
      <c r="BPC55" s="609"/>
      <c r="BPD55" s="609"/>
      <c r="BPE55" s="609"/>
      <c r="BPF55" s="609"/>
      <c r="BPG55" s="609"/>
      <c r="BPH55" s="609"/>
      <c r="BPI55" s="609"/>
      <c r="BPJ55" s="609"/>
      <c r="BPK55" s="609"/>
      <c r="BPL55" s="609"/>
      <c r="BPM55" s="609"/>
      <c r="BPN55" s="609"/>
      <c r="BPO55" s="609"/>
      <c r="BPP55" s="609"/>
      <c r="BPQ55" s="609"/>
      <c r="BPR55" s="609"/>
      <c r="BPS55" s="609"/>
      <c r="BPT55" s="609"/>
      <c r="BPU55" s="609"/>
      <c r="BPV55" s="609"/>
      <c r="BPW55" s="609"/>
      <c r="BPX55" s="609"/>
      <c r="BPY55" s="609"/>
      <c r="BPZ55" s="609"/>
      <c r="BQA55" s="609"/>
      <c r="BQB55" s="609"/>
      <c r="BQC55" s="609"/>
      <c r="BQD55" s="609"/>
      <c r="BQE55" s="609"/>
      <c r="BQF55" s="609"/>
      <c r="BQG55" s="609"/>
      <c r="BQH55" s="609"/>
      <c r="BQI55" s="609"/>
      <c r="BQJ55" s="609"/>
      <c r="BQK55" s="609"/>
      <c r="BQL55" s="609"/>
      <c r="BQM55" s="609"/>
      <c r="BQN55" s="609"/>
      <c r="BQO55" s="609"/>
      <c r="BQP55" s="609"/>
      <c r="BQQ55" s="609"/>
      <c r="BQR55" s="609"/>
      <c r="BQS55" s="609"/>
      <c r="BQT55" s="609"/>
      <c r="BQU55" s="609"/>
      <c r="BQV55" s="609"/>
      <c r="BQW55" s="609"/>
      <c r="BQX55" s="609"/>
      <c r="BQY55" s="609"/>
      <c r="BQZ55" s="609"/>
      <c r="BRA55" s="609"/>
      <c r="BRB55" s="609"/>
      <c r="BRC55" s="609"/>
      <c r="BRD55" s="609"/>
      <c r="BRE55" s="609"/>
      <c r="BRF55" s="609"/>
      <c r="BRG55" s="609"/>
      <c r="BRH55" s="609"/>
      <c r="BRI55" s="609"/>
      <c r="BRJ55" s="609"/>
      <c r="BRK55" s="609"/>
      <c r="BRL55" s="609"/>
      <c r="BRM55" s="609"/>
      <c r="BRN55" s="609"/>
      <c r="BRO55" s="609"/>
      <c r="BRP55" s="609"/>
      <c r="BRQ55" s="609"/>
      <c r="BRR55" s="609"/>
      <c r="BRS55" s="609"/>
      <c r="BRT55" s="609"/>
      <c r="BRU55" s="609"/>
      <c r="BRV55" s="609"/>
      <c r="BRW55" s="609"/>
      <c r="BRX55" s="609"/>
      <c r="BRY55" s="609"/>
      <c r="BRZ55" s="609"/>
      <c r="BSA55" s="609"/>
      <c r="BSB55" s="609"/>
      <c r="BSC55" s="609"/>
      <c r="BSD55" s="609"/>
      <c r="BSE55" s="609"/>
      <c r="BSF55" s="609"/>
      <c r="BSG55" s="609"/>
      <c r="BSH55" s="609"/>
      <c r="BSI55" s="609"/>
      <c r="BSJ55" s="609"/>
      <c r="BSK55" s="609"/>
      <c r="BSL55" s="609"/>
      <c r="BSM55" s="609"/>
      <c r="BSN55" s="609"/>
      <c r="BSO55" s="609"/>
      <c r="BSP55" s="609"/>
      <c r="BSQ55" s="609"/>
      <c r="BSR55" s="609"/>
      <c r="BSS55" s="609"/>
      <c r="BST55" s="609"/>
      <c r="BSU55" s="609"/>
      <c r="BSV55" s="609"/>
      <c r="BSW55" s="609"/>
      <c r="BSX55" s="609"/>
      <c r="BSY55" s="609"/>
      <c r="BSZ55" s="609"/>
      <c r="BTA55" s="609"/>
      <c r="BTB55" s="609"/>
      <c r="BTC55" s="609"/>
      <c r="BTD55" s="609"/>
      <c r="BTE55" s="609"/>
      <c r="BTF55" s="609"/>
      <c r="BTG55" s="609"/>
      <c r="BTH55" s="609"/>
      <c r="BTI55" s="609"/>
      <c r="BTJ55" s="609"/>
      <c r="BTK55" s="609"/>
      <c r="BTL55" s="609"/>
      <c r="BTM55" s="609"/>
      <c r="BTN55" s="609"/>
      <c r="BTO55" s="609"/>
      <c r="BTP55" s="609"/>
      <c r="BTQ55" s="609"/>
      <c r="BTR55" s="609"/>
      <c r="BTS55" s="609"/>
      <c r="BTT55" s="609"/>
      <c r="BTU55" s="609"/>
      <c r="BTV55" s="609"/>
      <c r="BTW55" s="609"/>
      <c r="BTX55" s="609"/>
      <c r="BTY55" s="609"/>
      <c r="BTZ55" s="609"/>
      <c r="BUA55" s="609"/>
      <c r="BUB55" s="609"/>
      <c r="BUC55" s="609"/>
      <c r="BUD55" s="609"/>
      <c r="BUE55" s="609"/>
      <c r="BUF55" s="609"/>
      <c r="BUG55" s="609"/>
      <c r="BUH55" s="609"/>
      <c r="BUI55" s="609"/>
      <c r="BUJ55" s="609"/>
      <c r="BUK55" s="609"/>
      <c r="BUL55" s="609"/>
      <c r="BUM55" s="609"/>
      <c r="BUN55" s="609"/>
      <c r="BUO55" s="609"/>
      <c r="BUP55" s="609"/>
      <c r="BUQ55" s="609"/>
      <c r="BUR55" s="609"/>
      <c r="BUS55" s="609"/>
      <c r="BUT55" s="609"/>
      <c r="BUU55" s="609"/>
      <c r="BUV55" s="609"/>
      <c r="BUW55" s="609"/>
      <c r="BUX55" s="609"/>
      <c r="BUY55" s="609"/>
      <c r="BUZ55" s="609"/>
      <c r="BVA55" s="609"/>
      <c r="BVB55" s="609"/>
      <c r="BVC55" s="609"/>
      <c r="BVD55" s="609"/>
      <c r="BVE55" s="609"/>
      <c r="BVF55" s="609"/>
      <c r="BVG55" s="609"/>
      <c r="BVH55" s="609"/>
      <c r="BVI55" s="609"/>
      <c r="BVJ55" s="609"/>
      <c r="BVK55" s="609"/>
      <c r="BVL55" s="609"/>
      <c r="BVM55" s="609"/>
      <c r="BVN55" s="609"/>
      <c r="BVO55" s="609"/>
      <c r="BVP55" s="609"/>
      <c r="BVQ55" s="609"/>
      <c r="BVR55" s="609"/>
      <c r="BVS55" s="609"/>
      <c r="BVT55" s="609"/>
      <c r="BVU55" s="609"/>
      <c r="BVV55" s="609"/>
      <c r="BVW55" s="609"/>
      <c r="BVX55" s="609"/>
      <c r="BVY55" s="609"/>
      <c r="BVZ55" s="609"/>
      <c r="BWA55" s="609"/>
      <c r="BWB55" s="609"/>
      <c r="BWC55" s="609"/>
      <c r="BWD55" s="609"/>
      <c r="BWE55" s="609"/>
      <c r="BWF55" s="609"/>
      <c r="BWG55" s="609"/>
      <c r="BWH55" s="609"/>
      <c r="BWI55" s="609"/>
      <c r="BWJ55" s="609"/>
      <c r="BWK55" s="609"/>
      <c r="BWL55" s="609"/>
      <c r="BWM55" s="609"/>
      <c r="BWN55" s="609"/>
      <c r="BWO55" s="609"/>
      <c r="BWP55" s="609"/>
      <c r="BWQ55" s="609"/>
      <c r="BWR55" s="609"/>
      <c r="BWS55" s="609"/>
      <c r="BWT55" s="609"/>
      <c r="BWU55" s="609"/>
      <c r="BWV55" s="609"/>
      <c r="BWW55" s="609"/>
      <c r="BWX55" s="609"/>
      <c r="BWY55" s="609"/>
      <c r="BWZ55" s="609"/>
      <c r="BXA55" s="609"/>
      <c r="BXB55" s="609"/>
      <c r="BXC55" s="609"/>
      <c r="BXD55" s="609"/>
      <c r="BXE55" s="609"/>
      <c r="BXF55" s="609"/>
      <c r="BXG55" s="609"/>
      <c r="BXH55" s="609"/>
      <c r="BXI55" s="609"/>
      <c r="BXJ55" s="609"/>
      <c r="BXK55" s="609"/>
      <c r="BXL55" s="609"/>
      <c r="BXM55" s="609"/>
      <c r="BXN55" s="609"/>
      <c r="BXO55" s="609"/>
      <c r="BXP55" s="609"/>
      <c r="BXQ55" s="609"/>
      <c r="BXR55" s="609"/>
      <c r="BXS55" s="609"/>
      <c r="BXT55" s="609"/>
      <c r="BXU55" s="609"/>
      <c r="BXV55" s="609"/>
      <c r="BXW55" s="609"/>
      <c r="BXX55" s="609"/>
      <c r="BXY55" s="609"/>
      <c r="BXZ55" s="609"/>
      <c r="BYA55" s="609"/>
      <c r="BYB55" s="609"/>
      <c r="BYC55" s="609"/>
      <c r="BYD55" s="609"/>
      <c r="BYE55" s="609"/>
      <c r="BYF55" s="609"/>
      <c r="BYG55" s="609"/>
      <c r="BYH55" s="609"/>
      <c r="BYI55" s="609"/>
      <c r="BYJ55" s="609"/>
      <c r="BYK55" s="609"/>
      <c r="BYL55" s="609"/>
      <c r="BYM55" s="609"/>
      <c r="BYN55" s="609"/>
      <c r="BYO55" s="609"/>
      <c r="BYP55" s="609"/>
      <c r="BYQ55" s="609"/>
      <c r="BYR55" s="609"/>
      <c r="BYS55" s="609"/>
      <c r="BYT55" s="609"/>
      <c r="BYU55" s="609"/>
      <c r="BYV55" s="609"/>
      <c r="BYW55" s="609"/>
      <c r="BYX55" s="609"/>
      <c r="BYY55" s="609"/>
      <c r="BYZ55" s="609"/>
      <c r="BZA55" s="609"/>
      <c r="BZB55" s="609"/>
      <c r="BZC55" s="609"/>
      <c r="BZD55" s="609"/>
      <c r="BZE55" s="609"/>
      <c r="BZF55" s="609"/>
      <c r="BZG55" s="609"/>
      <c r="BZH55" s="609"/>
      <c r="BZI55" s="609"/>
      <c r="BZJ55" s="609"/>
      <c r="BZK55" s="609"/>
      <c r="BZL55" s="609"/>
      <c r="BZM55" s="609"/>
      <c r="BZN55" s="609"/>
      <c r="BZO55" s="609"/>
      <c r="BZP55" s="609"/>
      <c r="BZQ55" s="609"/>
      <c r="BZR55" s="609"/>
      <c r="BZS55" s="609"/>
      <c r="BZT55" s="609"/>
      <c r="BZU55" s="609"/>
      <c r="BZV55" s="609"/>
      <c r="BZW55" s="609"/>
      <c r="BZX55" s="609"/>
      <c r="BZY55" s="609"/>
      <c r="BZZ55" s="609"/>
      <c r="CAA55" s="609"/>
      <c r="CAB55" s="609"/>
      <c r="CAC55" s="609"/>
      <c r="CAD55" s="609"/>
      <c r="CAE55" s="609"/>
      <c r="CAF55" s="609"/>
      <c r="CAG55" s="609"/>
      <c r="CAH55" s="609"/>
      <c r="CAI55" s="609"/>
      <c r="CAJ55" s="609"/>
      <c r="CAK55" s="609"/>
      <c r="CAL55" s="609"/>
      <c r="CAM55" s="609"/>
      <c r="CAN55" s="609"/>
      <c r="CAO55" s="609"/>
      <c r="CAP55" s="609"/>
      <c r="CAQ55" s="609"/>
      <c r="CAR55" s="609"/>
      <c r="CAS55" s="609"/>
      <c r="CAT55" s="609"/>
      <c r="CAU55" s="609"/>
      <c r="CAV55" s="609"/>
      <c r="CAW55" s="609"/>
      <c r="CAX55" s="609"/>
      <c r="CAY55" s="609"/>
      <c r="CAZ55" s="609"/>
      <c r="CBA55" s="609"/>
      <c r="CBB55" s="609"/>
      <c r="CBC55" s="609"/>
      <c r="CBD55" s="609"/>
      <c r="CBE55" s="609"/>
      <c r="CBF55" s="609"/>
      <c r="CBG55" s="609"/>
      <c r="CBH55" s="609"/>
      <c r="CBI55" s="609"/>
      <c r="CBJ55" s="609"/>
      <c r="CBK55" s="609"/>
      <c r="CBL55" s="609"/>
      <c r="CBM55" s="609"/>
      <c r="CBN55" s="609"/>
      <c r="CBO55" s="609"/>
      <c r="CBP55" s="609"/>
      <c r="CBQ55" s="609"/>
      <c r="CBR55" s="609"/>
      <c r="CBS55" s="609"/>
      <c r="CBT55" s="609"/>
      <c r="CBU55" s="609"/>
      <c r="CBV55" s="609"/>
      <c r="CBW55" s="609"/>
      <c r="CBX55" s="609"/>
      <c r="CBY55" s="609"/>
      <c r="CBZ55" s="609"/>
      <c r="CCA55" s="609"/>
      <c r="CCB55" s="609"/>
      <c r="CCC55" s="609"/>
      <c r="CCD55" s="609"/>
      <c r="CCE55" s="609"/>
      <c r="CCF55" s="609"/>
      <c r="CCG55" s="609"/>
      <c r="CCH55" s="609"/>
      <c r="CCI55" s="609"/>
      <c r="CCJ55" s="609"/>
      <c r="CCK55" s="609"/>
      <c r="CCL55" s="609"/>
      <c r="CCM55" s="609"/>
      <c r="CCN55" s="609"/>
      <c r="CCO55" s="609"/>
      <c r="CCP55" s="609"/>
      <c r="CCQ55" s="609"/>
      <c r="CCR55" s="609"/>
      <c r="CCS55" s="609"/>
      <c r="CCT55" s="609"/>
      <c r="CCU55" s="609"/>
      <c r="CCV55" s="609"/>
      <c r="CCW55" s="609"/>
      <c r="CCX55" s="609"/>
      <c r="CCY55" s="609"/>
      <c r="CCZ55" s="609"/>
      <c r="CDA55" s="609"/>
      <c r="CDB55" s="609"/>
      <c r="CDC55" s="609"/>
      <c r="CDD55" s="609"/>
      <c r="CDE55" s="609"/>
      <c r="CDF55" s="609"/>
      <c r="CDG55" s="609"/>
      <c r="CDH55" s="609"/>
      <c r="CDI55" s="609"/>
      <c r="CDJ55" s="609"/>
      <c r="CDK55" s="609"/>
      <c r="CDL55" s="609"/>
      <c r="CDM55" s="609"/>
      <c r="CDN55" s="609"/>
      <c r="CDO55" s="609"/>
      <c r="CDP55" s="609"/>
      <c r="CDQ55" s="609"/>
      <c r="CDR55" s="609"/>
      <c r="CDS55" s="609"/>
      <c r="CDT55" s="609"/>
      <c r="CDU55" s="609"/>
      <c r="CDV55" s="609"/>
      <c r="CDW55" s="609"/>
      <c r="CDX55" s="609"/>
      <c r="CDY55" s="609"/>
      <c r="CDZ55" s="609"/>
      <c r="CEA55" s="609"/>
      <c r="CEB55" s="609"/>
      <c r="CEC55" s="609"/>
      <c r="CED55" s="609"/>
      <c r="CEE55" s="609"/>
      <c r="CEF55" s="609"/>
      <c r="CEG55" s="609"/>
      <c r="CEH55" s="609"/>
      <c r="CEI55" s="609"/>
      <c r="CEJ55" s="609"/>
      <c r="CEK55" s="609"/>
      <c r="CEL55" s="609"/>
      <c r="CEM55" s="609"/>
      <c r="CEN55" s="609"/>
      <c r="CEO55" s="609"/>
      <c r="CEP55" s="609"/>
      <c r="CEQ55" s="609"/>
      <c r="CER55" s="609"/>
      <c r="CES55" s="609"/>
      <c r="CET55" s="609"/>
      <c r="CEU55" s="609"/>
      <c r="CEV55" s="609"/>
      <c r="CEW55" s="609"/>
      <c r="CEX55" s="609"/>
      <c r="CEY55" s="609"/>
      <c r="CEZ55" s="609"/>
      <c r="CFA55" s="609"/>
      <c r="CFB55" s="609"/>
      <c r="CFC55" s="609"/>
      <c r="CFD55" s="609"/>
      <c r="CFE55" s="609"/>
      <c r="CFF55" s="609"/>
      <c r="CFG55" s="609"/>
      <c r="CFH55" s="609"/>
      <c r="CFI55" s="609"/>
      <c r="CFJ55" s="609"/>
      <c r="CFK55" s="609"/>
      <c r="CFL55" s="609"/>
      <c r="CFM55" s="609"/>
      <c r="CFN55" s="609"/>
      <c r="CFO55" s="609"/>
      <c r="CFP55" s="609"/>
      <c r="CFQ55" s="609"/>
      <c r="CFR55" s="609"/>
      <c r="CFS55" s="609"/>
      <c r="CFT55" s="609"/>
      <c r="CFU55" s="609"/>
      <c r="CFV55" s="609"/>
      <c r="CFW55" s="609"/>
      <c r="CFX55" s="609"/>
      <c r="CFY55" s="609"/>
      <c r="CFZ55" s="609"/>
      <c r="CGA55" s="609"/>
      <c r="CGB55" s="609"/>
      <c r="CGC55" s="609"/>
      <c r="CGD55" s="609"/>
      <c r="CGE55" s="609"/>
      <c r="CGF55" s="609"/>
      <c r="CGG55" s="609"/>
      <c r="CGH55" s="609"/>
      <c r="CGI55" s="609"/>
      <c r="CGJ55" s="609"/>
      <c r="CGK55" s="609"/>
      <c r="CGL55" s="609"/>
      <c r="CGM55" s="609"/>
      <c r="CGN55" s="609"/>
      <c r="CGO55" s="609"/>
      <c r="CGP55" s="609"/>
      <c r="CGQ55" s="609"/>
      <c r="CGR55" s="609"/>
      <c r="CGS55" s="609"/>
      <c r="CGT55" s="609"/>
      <c r="CGU55" s="609"/>
      <c r="CGV55" s="609"/>
      <c r="CGW55" s="609"/>
      <c r="CGX55" s="609"/>
      <c r="CGY55" s="609"/>
      <c r="CGZ55" s="609"/>
      <c r="CHA55" s="609"/>
      <c r="CHB55" s="609"/>
      <c r="CHC55" s="609"/>
      <c r="CHD55" s="609"/>
      <c r="CHE55" s="609"/>
      <c r="CHF55" s="609"/>
      <c r="CHG55" s="609"/>
      <c r="CHH55" s="609"/>
      <c r="CHI55" s="609"/>
      <c r="CHJ55" s="609"/>
      <c r="CHK55" s="609"/>
      <c r="CHL55" s="609"/>
      <c r="CHM55" s="609"/>
      <c r="CHN55" s="609"/>
      <c r="CHO55" s="609"/>
      <c r="CHP55" s="609"/>
      <c r="CHQ55" s="609"/>
      <c r="CHR55" s="609"/>
      <c r="CHS55" s="609"/>
      <c r="CHT55" s="609"/>
      <c r="CHU55" s="609"/>
      <c r="CHV55" s="609"/>
      <c r="CHW55" s="609"/>
      <c r="CHX55" s="609"/>
      <c r="CHY55" s="609"/>
      <c r="CHZ55" s="609"/>
      <c r="CIA55" s="609"/>
      <c r="CIB55" s="609"/>
      <c r="CIC55" s="609"/>
      <c r="CID55" s="609"/>
      <c r="CIE55" s="609"/>
      <c r="CIF55" s="609"/>
      <c r="CIG55" s="609"/>
      <c r="CIH55" s="609"/>
      <c r="CII55" s="609"/>
      <c r="CIJ55" s="609"/>
      <c r="CIK55" s="609"/>
      <c r="CIL55" s="609"/>
      <c r="CIM55" s="609"/>
      <c r="CIN55" s="609"/>
      <c r="CIO55" s="609"/>
      <c r="CIP55" s="609"/>
      <c r="CIQ55" s="609"/>
      <c r="CIR55" s="609"/>
      <c r="CIS55" s="609"/>
      <c r="CIT55" s="609"/>
      <c r="CIU55" s="609"/>
      <c r="CIV55" s="609"/>
      <c r="CIW55" s="609"/>
      <c r="CIX55" s="609"/>
      <c r="CIY55" s="609"/>
      <c r="CIZ55" s="609"/>
      <c r="CJA55" s="609"/>
      <c r="CJB55" s="609"/>
      <c r="CJC55" s="609"/>
      <c r="CJD55" s="609"/>
      <c r="CJE55" s="609"/>
      <c r="CJF55" s="609"/>
      <c r="CJG55" s="609"/>
      <c r="CJH55" s="609"/>
      <c r="CJI55" s="609"/>
      <c r="CJJ55" s="609"/>
      <c r="CJK55" s="609"/>
      <c r="CJL55" s="609"/>
      <c r="CJM55" s="609"/>
      <c r="CJN55" s="609"/>
      <c r="CJO55" s="609"/>
      <c r="CJP55" s="609"/>
      <c r="CJQ55" s="609"/>
      <c r="CJR55" s="609"/>
      <c r="CJS55" s="609"/>
      <c r="CJT55" s="609"/>
      <c r="CJU55" s="609"/>
      <c r="CJV55" s="609"/>
      <c r="CJW55" s="609"/>
      <c r="CJX55" s="609"/>
      <c r="CJY55" s="609"/>
      <c r="CJZ55" s="609"/>
      <c r="CKA55" s="609"/>
      <c r="CKB55" s="609"/>
      <c r="CKC55" s="609"/>
      <c r="CKD55" s="609"/>
      <c r="CKE55" s="609"/>
      <c r="CKF55" s="609"/>
      <c r="CKG55" s="609"/>
      <c r="CKH55" s="609"/>
      <c r="CKI55" s="609"/>
      <c r="CKJ55" s="609"/>
      <c r="CKK55" s="609"/>
      <c r="CKL55" s="609"/>
      <c r="CKM55" s="609"/>
      <c r="CKN55" s="609"/>
      <c r="CKO55" s="609"/>
      <c r="CKP55" s="609"/>
      <c r="CKQ55" s="609"/>
      <c r="CKR55" s="609"/>
      <c r="CKS55" s="609"/>
      <c r="CKT55" s="609"/>
      <c r="CKU55" s="609"/>
      <c r="CKV55" s="609"/>
      <c r="CKW55" s="609"/>
      <c r="CKX55" s="609"/>
      <c r="CKY55" s="609"/>
      <c r="CKZ55" s="609"/>
      <c r="CLA55" s="609"/>
      <c r="CLB55" s="609"/>
      <c r="CLC55" s="609"/>
      <c r="CLD55" s="609"/>
      <c r="CLE55" s="609"/>
      <c r="CLF55" s="609"/>
      <c r="CLG55" s="609"/>
      <c r="CLH55" s="609"/>
      <c r="CLI55" s="609"/>
      <c r="CLJ55" s="609"/>
      <c r="CLK55" s="609"/>
      <c r="CLL55" s="609"/>
      <c r="CLM55" s="609"/>
      <c r="CLN55" s="609"/>
      <c r="CLO55" s="609"/>
      <c r="CLP55" s="609"/>
      <c r="CLQ55" s="609"/>
      <c r="CLR55" s="609"/>
      <c r="CLS55" s="609"/>
      <c r="CLT55" s="609"/>
      <c r="CLU55" s="609"/>
      <c r="CLV55" s="609"/>
      <c r="CLW55" s="609"/>
      <c r="CLX55" s="609"/>
      <c r="CLY55" s="609"/>
      <c r="CLZ55" s="609"/>
      <c r="CMA55" s="609"/>
      <c r="CMB55" s="609"/>
      <c r="CMC55" s="609"/>
      <c r="CMD55" s="609"/>
      <c r="CME55" s="609"/>
      <c r="CMF55" s="609"/>
      <c r="CMG55" s="609"/>
      <c r="CMH55" s="609"/>
      <c r="CMI55" s="609"/>
      <c r="CMJ55" s="609"/>
      <c r="CMK55" s="609"/>
      <c r="CML55" s="609"/>
      <c r="CMM55" s="609"/>
      <c r="CMN55" s="609"/>
      <c r="CMO55" s="609"/>
      <c r="CMP55" s="609"/>
      <c r="CMQ55" s="609"/>
      <c r="CMR55" s="609"/>
      <c r="CMS55" s="609"/>
      <c r="CMT55" s="609"/>
      <c r="CMU55" s="609"/>
      <c r="CMV55" s="609"/>
      <c r="CMW55" s="609"/>
      <c r="CMX55" s="609"/>
      <c r="CMY55" s="609"/>
      <c r="CMZ55" s="609"/>
      <c r="CNA55" s="609"/>
      <c r="CNB55" s="609"/>
      <c r="CNC55" s="609"/>
      <c r="CND55" s="609"/>
      <c r="CNE55" s="609"/>
      <c r="CNF55" s="609"/>
      <c r="CNG55" s="609"/>
      <c r="CNH55" s="609"/>
      <c r="CNI55" s="609"/>
      <c r="CNJ55" s="609"/>
      <c r="CNK55" s="609"/>
      <c r="CNL55" s="609"/>
      <c r="CNM55" s="609"/>
      <c r="CNN55" s="609"/>
      <c r="CNO55" s="609"/>
      <c r="CNP55" s="609"/>
      <c r="CNQ55" s="609"/>
      <c r="CNR55" s="609"/>
      <c r="CNS55" s="609"/>
      <c r="CNT55" s="609"/>
      <c r="CNU55" s="609"/>
      <c r="CNV55" s="609"/>
      <c r="CNW55" s="609"/>
      <c r="CNX55" s="609"/>
      <c r="CNY55" s="609"/>
      <c r="CNZ55" s="609"/>
      <c r="COA55" s="609"/>
      <c r="COB55" s="609"/>
      <c r="COC55" s="609"/>
      <c r="COD55" s="609"/>
      <c r="COE55" s="609"/>
      <c r="COF55" s="609"/>
      <c r="COG55" s="609"/>
      <c r="COH55" s="609"/>
      <c r="COI55" s="609"/>
      <c r="COJ55" s="609"/>
      <c r="COK55" s="609"/>
      <c r="COL55" s="609"/>
      <c r="COM55" s="609"/>
      <c r="CON55" s="609"/>
      <c r="COO55" s="609"/>
      <c r="COP55" s="609"/>
      <c r="COQ55" s="609"/>
      <c r="COR55" s="609"/>
      <c r="COS55" s="609"/>
      <c r="COT55" s="609"/>
      <c r="COU55" s="609"/>
      <c r="COV55" s="609"/>
      <c r="COW55" s="609"/>
      <c r="COX55" s="609"/>
      <c r="COY55" s="609"/>
      <c r="COZ55" s="609"/>
      <c r="CPA55" s="609"/>
      <c r="CPB55" s="609"/>
      <c r="CPC55" s="609"/>
      <c r="CPD55" s="609"/>
      <c r="CPE55" s="609"/>
      <c r="CPF55" s="609"/>
      <c r="CPG55" s="609"/>
      <c r="CPH55" s="609"/>
      <c r="CPI55" s="609"/>
      <c r="CPJ55" s="609"/>
      <c r="CPK55" s="609"/>
      <c r="CPL55" s="609"/>
      <c r="CPM55" s="609"/>
      <c r="CPN55" s="609"/>
      <c r="CPO55" s="609"/>
      <c r="CPP55" s="609"/>
      <c r="CPQ55" s="609"/>
      <c r="CPR55" s="609"/>
      <c r="CPS55" s="609"/>
      <c r="CPT55" s="609"/>
      <c r="CPU55" s="609"/>
      <c r="CPV55" s="609"/>
      <c r="CPW55" s="609"/>
      <c r="CPX55" s="609"/>
      <c r="CPY55" s="609"/>
      <c r="CPZ55" s="609"/>
      <c r="CQA55" s="609"/>
      <c r="CQB55" s="609"/>
      <c r="CQC55" s="609"/>
      <c r="CQD55" s="609"/>
      <c r="CQE55" s="609"/>
      <c r="CQF55" s="609"/>
      <c r="CQG55" s="609"/>
      <c r="CQH55" s="609"/>
      <c r="CQI55" s="609"/>
      <c r="CQJ55" s="609"/>
      <c r="CQK55" s="609"/>
      <c r="CQL55" s="609"/>
      <c r="CQM55" s="609"/>
      <c r="CQN55" s="609"/>
      <c r="CQO55" s="609"/>
      <c r="CQP55" s="609"/>
      <c r="CQQ55" s="609"/>
      <c r="CQR55" s="609"/>
      <c r="CQS55" s="609"/>
      <c r="CQT55" s="609"/>
      <c r="CQU55" s="609"/>
      <c r="CQV55" s="609"/>
      <c r="CQW55" s="609"/>
      <c r="CQX55" s="609"/>
      <c r="CQY55" s="609"/>
      <c r="CQZ55" s="609"/>
      <c r="CRA55" s="609"/>
      <c r="CRB55" s="609"/>
      <c r="CRC55" s="609"/>
      <c r="CRD55" s="609"/>
      <c r="CRE55" s="609"/>
      <c r="CRF55" s="609"/>
      <c r="CRG55" s="609"/>
      <c r="CRH55" s="609"/>
      <c r="CRI55" s="609"/>
      <c r="CRJ55" s="609"/>
      <c r="CRK55" s="609"/>
      <c r="CRL55" s="609"/>
      <c r="CRM55" s="609"/>
      <c r="CRN55" s="609"/>
      <c r="CRO55" s="609"/>
      <c r="CRP55" s="609"/>
      <c r="CRQ55" s="609"/>
      <c r="CRR55" s="609"/>
      <c r="CRS55" s="609"/>
      <c r="CRT55" s="609"/>
      <c r="CRU55" s="609"/>
      <c r="CRV55" s="609"/>
      <c r="CRW55" s="609"/>
      <c r="CRX55" s="609"/>
      <c r="CRY55" s="609"/>
      <c r="CRZ55" s="609"/>
      <c r="CSA55" s="609"/>
      <c r="CSB55" s="609"/>
      <c r="CSC55" s="609"/>
      <c r="CSD55" s="609"/>
      <c r="CSE55" s="609"/>
      <c r="CSF55" s="609"/>
      <c r="CSG55" s="609"/>
      <c r="CSH55" s="609"/>
      <c r="CSI55" s="609"/>
      <c r="CSJ55" s="609"/>
      <c r="CSK55" s="609"/>
      <c r="CSL55" s="609"/>
      <c r="CSM55" s="609"/>
      <c r="CSN55" s="609"/>
      <c r="CSO55" s="609"/>
      <c r="CSP55" s="609"/>
      <c r="CSQ55" s="609"/>
      <c r="CSR55" s="609"/>
      <c r="CSS55" s="609"/>
      <c r="CST55" s="609"/>
      <c r="CSU55" s="609"/>
      <c r="CSV55" s="609"/>
      <c r="CSW55" s="609"/>
      <c r="CSX55" s="609"/>
      <c r="CSY55" s="609"/>
      <c r="CSZ55" s="609"/>
      <c r="CTA55" s="609"/>
      <c r="CTB55" s="609"/>
      <c r="CTC55" s="609"/>
      <c r="CTD55" s="609"/>
      <c r="CTE55" s="609"/>
      <c r="CTF55" s="609"/>
      <c r="CTG55" s="609"/>
      <c r="CTH55" s="609"/>
      <c r="CTI55" s="609"/>
      <c r="CTJ55" s="609"/>
      <c r="CTK55" s="609"/>
      <c r="CTL55" s="609"/>
      <c r="CTM55" s="609"/>
      <c r="CTN55" s="609"/>
      <c r="CTO55" s="609"/>
      <c r="CTP55" s="609"/>
      <c r="CTQ55" s="609"/>
      <c r="CTR55" s="609"/>
      <c r="CTS55" s="609"/>
      <c r="CTT55" s="609"/>
      <c r="CTU55" s="609"/>
      <c r="CTV55" s="609"/>
      <c r="CTW55" s="609"/>
      <c r="CTX55" s="609"/>
      <c r="CTY55" s="609"/>
      <c r="CTZ55" s="609"/>
      <c r="CUA55" s="609"/>
      <c r="CUB55" s="609"/>
      <c r="CUC55" s="609"/>
      <c r="CUD55" s="609"/>
      <c r="CUE55" s="609"/>
      <c r="CUF55" s="609"/>
      <c r="CUG55" s="609"/>
      <c r="CUH55" s="609"/>
      <c r="CUI55" s="609"/>
      <c r="CUJ55" s="609"/>
      <c r="CUK55" s="609"/>
      <c r="CUL55" s="609"/>
      <c r="CUM55" s="609"/>
      <c r="CUN55" s="609"/>
      <c r="CUO55" s="609"/>
      <c r="CUP55" s="609"/>
      <c r="CUQ55" s="609"/>
      <c r="CUR55" s="609"/>
      <c r="CUS55" s="609"/>
      <c r="CUT55" s="609"/>
      <c r="CUU55" s="609"/>
      <c r="CUV55" s="609"/>
      <c r="CUW55" s="609"/>
      <c r="CUX55" s="609"/>
      <c r="CUY55" s="609"/>
      <c r="CUZ55" s="609"/>
      <c r="CVA55" s="609"/>
      <c r="CVB55" s="609"/>
      <c r="CVC55" s="609"/>
      <c r="CVD55" s="609"/>
      <c r="CVE55" s="609"/>
      <c r="CVF55" s="609"/>
      <c r="CVG55" s="609"/>
      <c r="CVH55" s="609"/>
      <c r="CVI55" s="609"/>
      <c r="CVJ55" s="609"/>
      <c r="CVK55" s="609"/>
      <c r="CVL55" s="609"/>
      <c r="CVM55" s="609"/>
      <c r="CVN55" s="609"/>
      <c r="CVO55" s="609"/>
      <c r="CVP55" s="609"/>
      <c r="CVQ55" s="609"/>
      <c r="CVR55" s="609"/>
      <c r="CVS55" s="609"/>
      <c r="CVT55" s="609"/>
      <c r="CVU55" s="609"/>
      <c r="CVV55" s="609"/>
      <c r="CVW55" s="609"/>
      <c r="CVX55" s="609"/>
      <c r="CVY55" s="609"/>
      <c r="CVZ55" s="609"/>
      <c r="CWA55" s="609"/>
      <c r="CWB55" s="609"/>
      <c r="CWC55" s="609"/>
      <c r="CWD55" s="609"/>
      <c r="CWE55" s="609"/>
      <c r="CWF55" s="609"/>
      <c r="CWG55" s="609"/>
      <c r="CWH55" s="609"/>
      <c r="CWI55" s="609"/>
      <c r="CWJ55" s="609"/>
      <c r="CWK55" s="609"/>
      <c r="CWL55" s="609"/>
      <c r="CWM55" s="609"/>
      <c r="CWN55" s="609"/>
      <c r="CWO55" s="609"/>
      <c r="CWP55" s="609"/>
      <c r="CWQ55" s="609"/>
      <c r="CWR55" s="609"/>
      <c r="CWS55" s="609"/>
      <c r="CWT55" s="609"/>
      <c r="CWU55" s="609"/>
      <c r="CWV55" s="609"/>
      <c r="CWW55" s="609"/>
      <c r="CWX55" s="609"/>
      <c r="CWY55" s="609"/>
      <c r="CWZ55" s="609"/>
      <c r="CXA55" s="609"/>
      <c r="CXB55" s="609"/>
      <c r="CXC55" s="609"/>
      <c r="CXD55" s="609"/>
      <c r="CXE55" s="609"/>
      <c r="CXF55" s="609"/>
      <c r="CXG55" s="609"/>
      <c r="CXH55" s="609"/>
      <c r="CXI55" s="609"/>
      <c r="CXJ55" s="609"/>
      <c r="CXK55" s="609"/>
      <c r="CXL55" s="609"/>
      <c r="CXM55" s="609"/>
      <c r="CXN55" s="609"/>
      <c r="CXO55" s="609"/>
      <c r="CXP55" s="609"/>
      <c r="CXQ55" s="609"/>
      <c r="CXR55" s="609"/>
      <c r="CXS55" s="609"/>
      <c r="CXT55" s="609"/>
      <c r="CXU55" s="609"/>
      <c r="CXV55" s="609"/>
      <c r="CXW55" s="609"/>
      <c r="CXX55" s="609"/>
      <c r="CXY55" s="609"/>
      <c r="CXZ55" s="609"/>
      <c r="CYA55" s="609"/>
      <c r="CYB55" s="609"/>
      <c r="CYC55" s="609"/>
      <c r="CYD55" s="609"/>
      <c r="CYE55" s="609"/>
      <c r="CYF55" s="609"/>
      <c r="CYG55" s="609"/>
      <c r="CYH55" s="609"/>
      <c r="CYI55" s="609"/>
      <c r="CYJ55" s="609"/>
      <c r="CYK55" s="609"/>
      <c r="CYL55" s="609"/>
      <c r="CYM55" s="609"/>
      <c r="CYN55" s="609"/>
      <c r="CYO55" s="609"/>
      <c r="CYP55" s="609"/>
      <c r="CYQ55" s="609"/>
      <c r="CYR55" s="609"/>
      <c r="CYS55" s="609"/>
      <c r="CYT55" s="609"/>
      <c r="CYU55" s="609"/>
      <c r="CYV55" s="609"/>
      <c r="CYW55" s="609"/>
      <c r="CYX55" s="609"/>
      <c r="CYY55" s="609"/>
      <c r="CYZ55" s="609"/>
      <c r="CZA55" s="609"/>
      <c r="CZB55" s="609"/>
      <c r="CZC55" s="609"/>
      <c r="CZD55" s="609"/>
      <c r="CZE55" s="609"/>
      <c r="CZF55" s="609"/>
      <c r="CZG55" s="609"/>
      <c r="CZH55" s="609"/>
      <c r="CZI55" s="609"/>
      <c r="CZJ55" s="609"/>
      <c r="CZK55" s="609"/>
      <c r="CZL55" s="609"/>
      <c r="CZM55" s="609"/>
      <c r="CZN55" s="609"/>
      <c r="CZO55" s="609"/>
      <c r="CZP55" s="609"/>
      <c r="CZQ55" s="609"/>
      <c r="CZR55" s="609"/>
      <c r="CZS55" s="609"/>
      <c r="CZT55" s="609"/>
      <c r="CZU55" s="609"/>
      <c r="CZV55" s="609"/>
      <c r="CZW55" s="609"/>
      <c r="CZX55" s="609"/>
      <c r="CZY55" s="609"/>
      <c r="CZZ55" s="609"/>
      <c r="DAA55" s="609"/>
      <c r="DAB55" s="609"/>
      <c r="DAC55" s="609"/>
      <c r="DAD55" s="609"/>
      <c r="DAE55" s="609"/>
      <c r="DAF55" s="609"/>
      <c r="DAG55" s="609"/>
      <c r="DAH55" s="609"/>
      <c r="DAI55" s="609"/>
      <c r="DAJ55" s="609"/>
      <c r="DAK55" s="609"/>
      <c r="DAL55" s="609"/>
      <c r="DAM55" s="609"/>
      <c r="DAN55" s="609"/>
      <c r="DAO55" s="609"/>
      <c r="DAP55" s="609"/>
      <c r="DAQ55" s="609"/>
      <c r="DAR55" s="609"/>
      <c r="DAS55" s="609"/>
      <c r="DAT55" s="609"/>
      <c r="DAU55" s="609"/>
      <c r="DAV55" s="609"/>
      <c r="DAW55" s="609"/>
      <c r="DAX55" s="609"/>
      <c r="DAY55" s="609"/>
      <c r="DAZ55" s="609"/>
      <c r="DBA55" s="609"/>
      <c r="DBB55" s="609"/>
      <c r="DBC55" s="609"/>
      <c r="DBD55" s="609"/>
      <c r="DBE55" s="609"/>
      <c r="DBF55" s="609"/>
      <c r="DBG55" s="609"/>
      <c r="DBH55" s="609"/>
      <c r="DBI55" s="609"/>
      <c r="DBJ55" s="609"/>
      <c r="DBK55" s="609"/>
      <c r="DBL55" s="609"/>
      <c r="DBM55" s="609"/>
      <c r="DBN55" s="609"/>
      <c r="DBO55" s="609"/>
      <c r="DBP55" s="609"/>
      <c r="DBQ55" s="609"/>
      <c r="DBR55" s="609"/>
      <c r="DBS55" s="609"/>
      <c r="DBT55" s="609"/>
      <c r="DBU55" s="609"/>
      <c r="DBV55" s="609"/>
      <c r="DBW55" s="609"/>
      <c r="DBX55" s="609"/>
      <c r="DBY55" s="609"/>
      <c r="DBZ55" s="609"/>
      <c r="DCA55" s="609"/>
      <c r="DCB55" s="609"/>
      <c r="DCC55" s="609"/>
      <c r="DCD55" s="609"/>
      <c r="DCE55" s="609"/>
      <c r="DCF55" s="609"/>
      <c r="DCG55" s="609"/>
      <c r="DCH55" s="609"/>
      <c r="DCI55" s="609"/>
      <c r="DCJ55" s="609"/>
      <c r="DCK55" s="609"/>
      <c r="DCL55" s="609"/>
      <c r="DCM55" s="609"/>
      <c r="DCN55" s="609"/>
      <c r="DCO55" s="609"/>
      <c r="DCP55" s="609"/>
      <c r="DCQ55" s="609"/>
      <c r="DCR55" s="609"/>
      <c r="DCS55" s="609"/>
      <c r="DCT55" s="609"/>
      <c r="DCU55" s="609"/>
      <c r="DCV55" s="609"/>
      <c r="DCW55" s="609"/>
      <c r="DCX55" s="609"/>
      <c r="DCY55" s="609"/>
      <c r="DCZ55" s="609"/>
      <c r="DDA55" s="609"/>
      <c r="DDB55" s="609"/>
      <c r="DDC55" s="609"/>
      <c r="DDD55" s="609"/>
      <c r="DDE55" s="609"/>
      <c r="DDF55" s="609"/>
      <c r="DDG55" s="609"/>
      <c r="DDH55" s="609"/>
      <c r="DDI55" s="609"/>
      <c r="DDJ55" s="609"/>
      <c r="DDK55" s="609"/>
      <c r="DDL55" s="609"/>
      <c r="DDM55" s="609"/>
      <c r="DDN55" s="609"/>
      <c r="DDO55" s="609"/>
      <c r="DDP55" s="609"/>
      <c r="DDQ55" s="609"/>
      <c r="DDR55" s="609"/>
      <c r="DDS55" s="609"/>
      <c r="DDT55" s="609"/>
      <c r="DDU55" s="609"/>
      <c r="DDV55" s="609"/>
      <c r="DDW55" s="609"/>
      <c r="DDX55" s="609"/>
      <c r="DDY55" s="609"/>
      <c r="DDZ55" s="609"/>
      <c r="DEA55" s="609"/>
      <c r="DEB55" s="609"/>
      <c r="DEC55" s="609"/>
      <c r="DED55" s="609"/>
      <c r="DEE55" s="609"/>
      <c r="DEF55" s="609"/>
      <c r="DEG55" s="609"/>
      <c r="DEH55" s="609"/>
      <c r="DEI55" s="609"/>
      <c r="DEJ55" s="609"/>
      <c r="DEK55" s="609"/>
      <c r="DEL55" s="609"/>
      <c r="DEM55" s="609"/>
      <c r="DEN55" s="609"/>
      <c r="DEO55" s="609"/>
      <c r="DEP55" s="609"/>
      <c r="DEQ55" s="609"/>
      <c r="DER55" s="609"/>
      <c r="DES55" s="609"/>
      <c r="DET55" s="609"/>
      <c r="DEU55" s="609"/>
      <c r="DEV55" s="609"/>
      <c r="DEW55" s="609"/>
      <c r="DEX55" s="609"/>
      <c r="DEY55" s="609"/>
      <c r="DEZ55" s="609"/>
      <c r="DFA55" s="609"/>
      <c r="DFB55" s="609"/>
      <c r="DFC55" s="609"/>
      <c r="DFD55" s="609"/>
      <c r="DFE55" s="609"/>
      <c r="DFF55" s="609"/>
      <c r="DFG55" s="609"/>
      <c r="DFH55" s="609"/>
      <c r="DFI55" s="609"/>
      <c r="DFJ55" s="609"/>
      <c r="DFK55" s="609"/>
      <c r="DFL55" s="609"/>
      <c r="DFM55" s="609"/>
      <c r="DFN55" s="609"/>
      <c r="DFO55" s="609"/>
      <c r="DFP55" s="609"/>
      <c r="DFQ55" s="609"/>
      <c r="DFR55" s="609"/>
      <c r="DFS55" s="609"/>
      <c r="DFT55" s="609"/>
      <c r="DFU55" s="609"/>
      <c r="DFV55" s="609"/>
      <c r="DFW55" s="609"/>
      <c r="DFX55" s="609"/>
      <c r="DFY55" s="609"/>
      <c r="DFZ55" s="609"/>
      <c r="DGA55" s="609"/>
      <c r="DGB55" s="609"/>
      <c r="DGC55" s="609"/>
      <c r="DGD55" s="609"/>
      <c r="DGE55" s="609"/>
      <c r="DGF55" s="609"/>
      <c r="DGG55" s="609"/>
      <c r="DGH55" s="609"/>
      <c r="DGI55" s="609"/>
      <c r="DGJ55" s="609"/>
      <c r="DGK55" s="609"/>
      <c r="DGL55" s="609"/>
      <c r="DGM55" s="609"/>
      <c r="DGN55" s="609"/>
      <c r="DGO55" s="609"/>
      <c r="DGP55" s="609"/>
      <c r="DGQ55" s="609"/>
      <c r="DGR55" s="609"/>
      <c r="DGS55" s="609"/>
      <c r="DGT55" s="609"/>
      <c r="DGU55" s="609"/>
      <c r="DGV55" s="609"/>
      <c r="DGW55" s="609"/>
      <c r="DGX55" s="609"/>
      <c r="DGY55" s="609"/>
      <c r="DGZ55" s="609"/>
      <c r="DHA55" s="609"/>
      <c r="DHB55" s="609"/>
      <c r="DHC55" s="609"/>
      <c r="DHD55" s="609"/>
      <c r="DHE55" s="609"/>
      <c r="DHF55" s="609"/>
      <c r="DHG55" s="609"/>
      <c r="DHH55" s="609"/>
      <c r="DHI55" s="609"/>
      <c r="DHJ55" s="609"/>
      <c r="DHK55" s="609"/>
      <c r="DHL55" s="609"/>
      <c r="DHM55" s="609"/>
      <c r="DHN55" s="609"/>
      <c r="DHO55" s="609"/>
      <c r="DHP55" s="609"/>
      <c r="DHQ55" s="609"/>
      <c r="DHR55" s="609"/>
      <c r="DHS55" s="609"/>
      <c r="DHT55" s="609"/>
      <c r="DHU55" s="609"/>
      <c r="DHV55" s="609"/>
      <c r="DHW55" s="609"/>
      <c r="DHX55" s="609"/>
      <c r="DHY55" s="609"/>
      <c r="DHZ55" s="609"/>
      <c r="DIA55" s="609"/>
      <c r="DIB55" s="609"/>
      <c r="DIC55" s="609"/>
      <c r="DID55" s="609"/>
      <c r="DIE55" s="609"/>
      <c r="DIF55" s="609"/>
      <c r="DIG55" s="609"/>
      <c r="DIH55" s="609"/>
      <c r="DII55" s="609"/>
      <c r="DIJ55" s="609"/>
      <c r="DIK55" s="609"/>
      <c r="DIL55" s="609"/>
      <c r="DIM55" s="609"/>
      <c r="DIN55" s="609"/>
      <c r="DIO55" s="609"/>
      <c r="DIP55" s="609"/>
      <c r="DIQ55" s="609"/>
      <c r="DIR55" s="609"/>
      <c r="DIS55" s="609"/>
      <c r="DIT55" s="609"/>
      <c r="DIU55" s="609"/>
      <c r="DIV55" s="609"/>
      <c r="DIW55" s="609"/>
      <c r="DIX55" s="609"/>
      <c r="DIY55" s="609"/>
      <c r="DIZ55" s="609"/>
      <c r="DJA55" s="609"/>
      <c r="DJB55" s="609"/>
      <c r="DJC55" s="609"/>
      <c r="DJD55" s="609"/>
      <c r="DJE55" s="609"/>
      <c r="DJF55" s="609"/>
      <c r="DJG55" s="609"/>
      <c r="DJH55" s="609"/>
      <c r="DJI55" s="609"/>
      <c r="DJJ55" s="609"/>
      <c r="DJK55" s="609"/>
      <c r="DJL55" s="609"/>
      <c r="DJM55" s="609"/>
      <c r="DJN55" s="609"/>
      <c r="DJO55" s="609"/>
      <c r="DJP55" s="609"/>
      <c r="DJQ55" s="609"/>
      <c r="DJR55" s="609"/>
      <c r="DJS55" s="609"/>
      <c r="DJT55" s="609"/>
      <c r="DJU55" s="609"/>
      <c r="DJV55" s="609"/>
      <c r="DJW55" s="609"/>
      <c r="DJX55" s="609"/>
      <c r="DJY55" s="609"/>
      <c r="DJZ55" s="609"/>
      <c r="DKA55" s="609"/>
      <c r="DKB55" s="609"/>
      <c r="DKC55" s="609"/>
      <c r="DKD55" s="609"/>
      <c r="DKE55" s="609"/>
      <c r="DKF55" s="609"/>
      <c r="DKG55" s="609"/>
      <c r="DKH55" s="609"/>
      <c r="DKI55" s="609"/>
      <c r="DKJ55" s="609"/>
      <c r="DKK55" s="609"/>
      <c r="DKL55" s="609"/>
      <c r="DKM55" s="609"/>
      <c r="DKN55" s="609"/>
      <c r="DKO55" s="609"/>
      <c r="DKP55" s="609"/>
      <c r="DKQ55" s="609"/>
      <c r="DKR55" s="609"/>
      <c r="DKS55" s="609"/>
      <c r="DKT55" s="609"/>
      <c r="DKU55" s="609"/>
      <c r="DKV55" s="609"/>
      <c r="DKW55" s="609"/>
      <c r="DKX55" s="609"/>
      <c r="DKY55" s="609"/>
      <c r="DKZ55" s="609"/>
      <c r="DLA55" s="609"/>
      <c r="DLB55" s="609"/>
      <c r="DLC55" s="609"/>
      <c r="DLD55" s="609"/>
      <c r="DLE55" s="609"/>
      <c r="DLF55" s="609"/>
      <c r="DLG55" s="609"/>
      <c r="DLH55" s="609"/>
      <c r="DLI55" s="609"/>
      <c r="DLJ55" s="609"/>
      <c r="DLK55" s="609"/>
      <c r="DLL55" s="609"/>
      <c r="DLM55" s="609"/>
      <c r="DLN55" s="609"/>
      <c r="DLO55" s="609"/>
      <c r="DLP55" s="609"/>
      <c r="DLQ55" s="609"/>
      <c r="DLR55" s="609"/>
      <c r="DLS55" s="609"/>
      <c r="DLT55" s="609"/>
      <c r="DLU55" s="609"/>
      <c r="DLV55" s="609"/>
      <c r="DLW55" s="609"/>
      <c r="DLX55" s="609"/>
      <c r="DLY55" s="609"/>
      <c r="DLZ55" s="609"/>
      <c r="DMA55" s="609"/>
      <c r="DMB55" s="609"/>
      <c r="DMC55" s="609"/>
      <c r="DMD55" s="609"/>
      <c r="DME55" s="609"/>
      <c r="DMF55" s="609"/>
      <c r="DMG55" s="609"/>
      <c r="DMH55" s="609"/>
      <c r="DMI55" s="609"/>
      <c r="DMJ55" s="609"/>
      <c r="DMK55" s="609"/>
      <c r="DML55" s="609"/>
      <c r="DMM55" s="609"/>
      <c r="DMN55" s="609"/>
      <c r="DMO55" s="609"/>
      <c r="DMP55" s="609"/>
      <c r="DMQ55" s="609"/>
      <c r="DMR55" s="609"/>
      <c r="DMS55" s="609"/>
      <c r="DMT55" s="609"/>
      <c r="DMU55" s="609"/>
      <c r="DMV55" s="609"/>
      <c r="DMW55" s="609"/>
      <c r="DMX55" s="609"/>
      <c r="DMY55" s="609"/>
      <c r="DMZ55" s="609"/>
      <c r="DNA55" s="609"/>
      <c r="DNB55" s="609"/>
      <c r="DNC55" s="609"/>
      <c r="DND55" s="609"/>
      <c r="DNE55" s="609"/>
      <c r="DNF55" s="609"/>
      <c r="DNG55" s="609"/>
      <c r="DNH55" s="609"/>
      <c r="DNI55" s="609"/>
      <c r="DNJ55" s="609"/>
      <c r="DNK55" s="609"/>
      <c r="DNL55" s="609"/>
      <c r="DNM55" s="609"/>
      <c r="DNN55" s="609"/>
      <c r="DNO55" s="609"/>
      <c r="DNP55" s="609"/>
      <c r="DNQ55" s="609"/>
      <c r="DNR55" s="609"/>
      <c r="DNS55" s="609"/>
      <c r="DNT55" s="609"/>
      <c r="DNU55" s="609"/>
      <c r="DNV55" s="609"/>
      <c r="DNW55" s="609"/>
      <c r="DNX55" s="609"/>
      <c r="DNY55" s="609"/>
      <c r="DNZ55" s="609"/>
      <c r="DOA55" s="609"/>
      <c r="DOB55" s="609"/>
      <c r="DOC55" s="609"/>
      <c r="DOD55" s="609"/>
      <c r="DOE55" s="609"/>
      <c r="DOF55" s="609"/>
      <c r="DOG55" s="609"/>
      <c r="DOH55" s="609"/>
      <c r="DOI55" s="609"/>
      <c r="DOJ55" s="609"/>
      <c r="DOK55" s="609"/>
      <c r="DOL55" s="609"/>
      <c r="DOM55" s="609"/>
      <c r="DON55" s="609"/>
      <c r="DOO55" s="609"/>
      <c r="DOP55" s="609"/>
      <c r="DOQ55" s="609"/>
      <c r="DOR55" s="609"/>
      <c r="DOS55" s="609"/>
      <c r="DOT55" s="609"/>
      <c r="DOU55" s="609"/>
      <c r="DOV55" s="609"/>
      <c r="DOW55" s="609"/>
      <c r="DOX55" s="609"/>
      <c r="DOY55" s="609"/>
      <c r="DOZ55" s="609"/>
      <c r="DPA55" s="609"/>
      <c r="DPB55" s="609"/>
      <c r="DPC55" s="609"/>
      <c r="DPD55" s="609"/>
      <c r="DPE55" s="609"/>
      <c r="DPF55" s="609"/>
      <c r="DPG55" s="609"/>
      <c r="DPH55" s="609"/>
      <c r="DPI55" s="609"/>
      <c r="DPJ55" s="609"/>
      <c r="DPK55" s="609"/>
      <c r="DPL55" s="609"/>
      <c r="DPM55" s="609"/>
      <c r="DPN55" s="609"/>
      <c r="DPO55" s="609"/>
      <c r="DPP55" s="609"/>
      <c r="DPQ55" s="609"/>
      <c r="DPR55" s="609"/>
      <c r="DPS55" s="609"/>
      <c r="DPT55" s="609"/>
      <c r="DPU55" s="609"/>
      <c r="DPV55" s="609"/>
      <c r="DPW55" s="609"/>
      <c r="DPX55" s="609"/>
      <c r="DPY55" s="609"/>
      <c r="DPZ55" s="609"/>
      <c r="DQA55" s="609"/>
      <c r="DQB55" s="609"/>
      <c r="DQC55" s="609"/>
      <c r="DQD55" s="609"/>
      <c r="DQE55" s="609"/>
      <c r="DQF55" s="609"/>
      <c r="DQG55" s="609"/>
      <c r="DQH55" s="609"/>
      <c r="DQI55" s="609"/>
      <c r="DQJ55" s="609"/>
      <c r="DQK55" s="609"/>
      <c r="DQL55" s="609"/>
      <c r="DQM55" s="609"/>
      <c r="DQN55" s="609"/>
      <c r="DQO55" s="609"/>
      <c r="DQP55" s="609"/>
      <c r="DQQ55" s="609"/>
      <c r="DQR55" s="609"/>
      <c r="DQS55" s="609"/>
      <c r="DQT55" s="609"/>
      <c r="DQU55" s="609"/>
      <c r="DQV55" s="609"/>
      <c r="DQW55" s="609"/>
      <c r="DQX55" s="609"/>
      <c r="DQY55" s="609"/>
      <c r="DQZ55" s="609"/>
      <c r="DRA55" s="609"/>
      <c r="DRB55" s="609"/>
      <c r="DRC55" s="609"/>
      <c r="DRD55" s="609"/>
      <c r="DRE55" s="609"/>
      <c r="DRF55" s="609"/>
      <c r="DRG55" s="609"/>
      <c r="DRH55" s="609"/>
      <c r="DRI55" s="609"/>
      <c r="DRJ55" s="609"/>
      <c r="DRK55" s="609"/>
      <c r="DRL55" s="609"/>
      <c r="DRM55" s="609"/>
      <c r="DRN55" s="609"/>
      <c r="DRO55" s="609"/>
      <c r="DRP55" s="609"/>
      <c r="DRQ55" s="609"/>
      <c r="DRR55" s="609"/>
      <c r="DRS55" s="609"/>
      <c r="DRT55" s="609"/>
      <c r="DRU55" s="609"/>
      <c r="DRV55" s="609"/>
      <c r="DRW55" s="609"/>
      <c r="DRX55" s="609"/>
      <c r="DRY55" s="609"/>
      <c r="DRZ55" s="609"/>
      <c r="DSA55" s="609"/>
      <c r="DSB55" s="609"/>
      <c r="DSC55" s="609"/>
      <c r="DSD55" s="609"/>
      <c r="DSE55" s="609"/>
      <c r="DSF55" s="609"/>
      <c r="DSG55" s="609"/>
      <c r="DSH55" s="609"/>
      <c r="DSI55" s="609"/>
      <c r="DSJ55" s="609"/>
      <c r="DSK55" s="609"/>
      <c r="DSL55" s="609"/>
      <c r="DSM55" s="609"/>
      <c r="DSN55" s="609"/>
      <c r="DSO55" s="609"/>
      <c r="DSP55" s="609"/>
      <c r="DSQ55" s="609"/>
      <c r="DSR55" s="609"/>
      <c r="DSS55" s="609"/>
      <c r="DST55" s="609"/>
      <c r="DSU55" s="609"/>
      <c r="DSV55" s="609"/>
      <c r="DSW55" s="609"/>
      <c r="DSX55" s="609"/>
      <c r="DSY55" s="609"/>
      <c r="DSZ55" s="609"/>
      <c r="DTA55" s="609"/>
      <c r="DTB55" s="609"/>
      <c r="DTC55" s="609"/>
      <c r="DTD55" s="609"/>
      <c r="DTE55" s="609"/>
      <c r="DTF55" s="609"/>
      <c r="DTG55" s="609"/>
      <c r="DTH55" s="609"/>
      <c r="DTI55" s="609"/>
      <c r="DTJ55" s="609"/>
      <c r="DTK55" s="609"/>
      <c r="DTL55" s="609"/>
      <c r="DTM55" s="609"/>
      <c r="DTN55" s="609"/>
      <c r="DTO55" s="609"/>
      <c r="DTP55" s="609"/>
      <c r="DTQ55" s="609"/>
      <c r="DTR55" s="609"/>
      <c r="DTS55" s="609"/>
      <c r="DTT55" s="609"/>
      <c r="DTU55" s="609"/>
      <c r="DTV55" s="609"/>
      <c r="DTW55" s="609"/>
      <c r="DTX55" s="609"/>
      <c r="DTY55" s="609"/>
      <c r="DTZ55" s="609"/>
      <c r="DUA55" s="609"/>
      <c r="DUB55" s="609"/>
      <c r="DUC55" s="609"/>
      <c r="DUD55" s="609"/>
      <c r="DUE55" s="609"/>
      <c r="DUF55" s="609"/>
      <c r="DUG55" s="609"/>
      <c r="DUH55" s="609"/>
      <c r="DUI55" s="609"/>
      <c r="DUJ55" s="609"/>
      <c r="DUK55" s="609"/>
      <c r="DUL55" s="609"/>
      <c r="DUM55" s="609"/>
      <c r="DUN55" s="609"/>
      <c r="DUO55" s="609"/>
      <c r="DUP55" s="609"/>
      <c r="DUQ55" s="609"/>
      <c r="DUR55" s="609"/>
      <c r="DUS55" s="609"/>
      <c r="DUT55" s="609"/>
      <c r="DUU55" s="609"/>
      <c r="DUV55" s="609"/>
      <c r="DUW55" s="609"/>
      <c r="DUX55" s="609"/>
      <c r="DUY55" s="609"/>
      <c r="DUZ55" s="609"/>
      <c r="DVA55" s="609"/>
      <c r="DVB55" s="609"/>
      <c r="DVC55" s="609"/>
      <c r="DVD55" s="609"/>
      <c r="DVE55" s="609"/>
      <c r="DVF55" s="609"/>
      <c r="DVG55" s="609"/>
      <c r="DVH55" s="609"/>
      <c r="DVI55" s="609"/>
      <c r="DVJ55" s="609"/>
      <c r="DVK55" s="609"/>
      <c r="DVL55" s="609"/>
      <c r="DVM55" s="609"/>
      <c r="DVN55" s="609"/>
      <c r="DVO55" s="609"/>
      <c r="DVP55" s="609"/>
      <c r="DVQ55" s="609"/>
      <c r="DVR55" s="609"/>
      <c r="DVS55" s="609"/>
      <c r="DVT55" s="609"/>
      <c r="DVU55" s="609"/>
      <c r="DVV55" s="609"/>
      <c r="DVW55" s="609"/>
      <c r="DVX55" s="609"/>
      <c r="DVY55" s="609"/>
      <c r="DVZ55" s="609"/>
      <c r="DWA55" s="609"/>
      <c r="DWB55" s="609"/>
      <c r="DWC55" s="609"/>
      <c r="DWD55" s="609"/>
      <c r="DWE55" s="609"/>
      <c r="DWF55" s="609"/>
      <c r="DWG55" s="609"/>
      <c r="DWH55" s="609"/>
      <c r="DWI55" s="609"/>
      <c r="DWJ55" s="609"/>
      <c r="DWK55" s="609"/>
      <c r="DWL55" s="609"/>
      <c r="DWM55" s="609"/>
      <c r="DWN55" s="609"/>
      <c r="DWO55" s="609"/>
      <c r="DWP55" s="609"/>
      <c r="DWQ55" s="609"/>
      <c r="DWR55" s="609"/>
      <c r="DWS55" s="609"/>
      <c r="DWT55" s="609"/>
      <c r="DWU55" s="609"/>
      <c r="DWV55" s="609"/>
      <c r="DWW55" s="609"/>
      <c r="DWX55" s="609"/>
      <c r="DWY55" s="609"/>
      <c r="DWZ55" s="609"/>
      <c r="DXA55" s="609"/>
      <c r="DXB55" s="609"/>
      <c r="DXC55" s="609"/>
      <c r="DXD55" s="609"/>
      <c r="DXE55" s="609"/>
      <c r="DXF55" s="609"/>
      <c r="DXG55" s="609"/>
      <c r="DXH55" s="609"/>
      <c r="DXI55" s="609"/>
      <c r="DXJ55" s="609"/>
      <c r="DXK55" s="609"/>
      <c r="DXL55" s="609"/>
      <c r="DXM55" s="609"/>
      <c r="DXN55" s="609"/>
      <c r="DXO55" s="609"/>
      <c r="DXP55" s="609"/>
      <c r="DXQ55" s="609"/>
      <c r="DXR55" s="609"/>
      <c r="DXS55" s="609"/>
      <c r="DXT55" s="609"/>
      <c r="DXU55" s="609"/>
      <c r="DXV55" s="609"/>
      <c r="DXW55" s="609"/>
      <c r="DXX55" s="609"/>
      <c r="DXY55" s="609"/>
      <c r="DXZ55" s="609"/>
      <c r="DYA55" s="609"/>
      <c r="DYB55" s="609"/>
      <c r="DYC55" s="609"/>
      <c r="DYD55" s="609"/>
      <c r="DYE55" s="609"/>
      <c r="DYF55" s="609"/>
      <c r="DYG55" s="609"/>
      <c r="DYH55" s="609"/>
      <c r="DYI55" s="609"/>
      <c r="DYJ55" s="609"/>
      <c r="DYK55" s="609"/>
      <c r="DYL55" s="609"/>
      <c r="DYM55" s="609"/>
      <c r="DYN55" s="609"/>
      <c r="DYO55" s="609"/>
      <c r="DYP55" s="609"/>
      <c r="DYQ55" s="609"/>
      <c r="DYR55" s="609"/>
      <c r="DYS55" s="609"/>
      <c r="DYT55" s="609"/>
      <c r="DYU55" s="609"/>
      <c r="DYV55" s="609"/>
      <c r="DYW55" s="609"/>
      <c r="DYX55" s="609"/>
      <c r="DYY55" s="609"/>
      <c r="DYZ55" s="609"/>
      <c r="DZA55" s="609"/>
      <c r="DZB55" s="609"/>
      <c r="DZC55" s="609"/>
      <c r="DZD55" s="609"/>
      <c r="DZE55" s="609"/>
      <c r="DZF55" s="609"/>
      <c r="DZG55" s="609"/>
      <c r="DZH55" s="609"/>
      <c r="DZI55" s="609"/>
      <c r="DZJ55" s="609"/>
      <c r="DZK55" s="609"/>
      <c r="DZL55" s="609"/>
      <c r="DZM55" s="609"/>
      <c r="DZN55" s="609"/>
      <c r="DZO55" s="609"/>
      <c r="DZP55" s="609"/>
      <c r="DZQ55" s="609"/>
      <c r="DZR55" s="609"/>
      <c r="DZS55" s="609"/>
      <c r="DZT55" s="609"/>
      <c r="DZU55" s="609"/>
      <c r="DZV55" s="609"/>
      <c r="DZW55" s="609"/>
      <c r="DZX55" s="609"/>
      <c r="DZY55" s="609"/>
      <c r="DZZ55" s="609"/>
      <c r="EAA55" s="609"/>
      <c r="EAB55" s="609"/>
      <c r="EAC55" s="609"/>
      <c r="EAD55" s="609"/>
      <c r="EAE55" s="609"/>
      <c r="EAF55" s="609"/>
      <c r="EAG55" s="609"/>
      <c r="EAH55" s="609"/>
      <c r="EAI55" s="609"/>
      <c r="EAJ55" s="609"/>
      <c r="EAK55" s="609"/>
      <c r="EAL55" s="609"/>
      <c r="EAM55" s="609"/>
      <c r="EAN55" s="609"/>
      <c r="EAO55" s="609"/>
      <c r="EAP55" s="609"/>
      <c r="EAQ55" s="609"/>
      <c r="EAR55" s="609"/>
      <c r="EAS55" s="609"/>
      <c r="EAT55" s="609"/>
      <c r="EAU55" s="609"/>
      <c r="EAV55" s="609"/>
      <c r="EAW55" s="609"/>
      <c r="EAX55" s="609"/>
      <c r="EAY55" s="609"/>
      <c r="EAZ55" s="609"/>
      <c r="EBA55" s="609"/>
      <c r="EBB55" s="609"/>
      <c r="EBC55" s="609"/>
      <c r="EBD55" s="609"/>
      <c r="EBE55" s="609"/>
      <c r="EBF55" s="609"/>
      <c r="EBG55" s="609"/>
      <c r="EBH55" s="609"/>
      <c r="EBI55" s="609"/>
      <c r="EBJ55" s="609"/>
      <c r="EBK55" s="609"/>
      <c r="EBL55" s="609"/>
      <c r="EBM55" s="609"/>
      <c r="EBN55" s="609"/>
      <c r="EBO55" s="609"/>
      <c r="EBP55" s="609"/>
      <c r="EBQ55" s="609"/>
      <c r="EBR55" s="609"/>
      <c r="EBS55" s="609"/>
      <c r="EBT55" s="609"/>
      <c r="EBU55" s="609"/>
      <c r="EBV55" s="609"/>
      <c r="EBW55" s="609"/>
      <c r="EBX55" s="609"/>
      <c r="EBY55" s="609"/>
      <c r="EBZ55" s="609"/>
      <c r="ECA55" s="609"/>
      <c r="ECB55" s="609"/>
      <c r="ECC55" s="609"/>
      <c r="ECD55" s="609"/>
      <c r="ECE55" s="609"/>
      <c r="ECF55" s="609"/>
      <c r="ECG55" s="609"/>
      <c r="ECH55" s="609"/>
      <c r="ECI55" s="609"/>
      <c r="ECJ55" s="609"/>
      <c r="ECK55" s="609"/>
      <c r="ECL55" s="609"/>
      <c r="ECM55" s="609"/>
      <c r="ECN55" s="609"/>
      <c r="ECO55" s="609"/>
      <c r="ECP55" s="609"/>
      <c r="ECQ55" s="609"/>
      <c r="ECR55" s="609"/>
      <c r="ECS55" s="609"/>
      <c r="ECT55" s="609"/>
      <c r="ECU55" s="609"/>
      <c r="ECV55" s="609"/>
      <c r="ECW55" s="609"/>
      <c r="ECX55" s="609"/>
      <c r="ECY55" s="609"/>
      <c r="ECZ55" s="609"/>
      <c r="EDA55" s="609"/>
      <c r="EDB55" s="609"/>
      <c r="EDC55" s="609"/>
      <c r="EDD55" s="609"/>
      <c r="EDE55" s="609"/>
      <c r="EDF55" s="609"/>
      <c r="EDG55" s="609"/>
      <c r="EDH55" s="609"/>
      <c r="EDI55" s="609"/>
      <c r="EDJ55" s="609"/>
      <c r="EDK55" s="609"/>
      <c r="EDL55" s="609"/>
      <c r="EDM55" s="609"/>
      <c r="EDN55" s="609"/>
      <c r="EDO55" s="609"/>
      <c r="EDP55" s="609"/>
      <c r="EDQ55" s="609"/>
      <c r="EDR55" s="609"/>
      <c r="EDS55" s="609"/>
      <c r="EDT55" s="609"/>
      <c r="EDU55" s="609"/>
      <c r="EDV55" s="609"/>
      <c r="EDW55" s="609"/>
      <c r="EDX55" s="609"/>
      <c r="EDY55" s="609"/>
      <c r="EDZ55" s="609"/>
      <c r="EEA55" s="609"/>
      <c r="EEB55" s="609"/>
      <c r="EEC55" s="609"/>
      <c r="EED55" s="609"/>
      <c r="EEE55" s="609"/>
      <c r="EEF55" s="609"/>
      <c r="EEG55" s="609"/>
      <c r="EEH55" s="609"/>
      <c r="EEI55" s="609"/>
      <c r="EEJ55" s="609"/>
      <c r="EEK55" s="609"/>
      <c r="EEL55" s="609"/>
      <c r="EEM55" s="609"/>
      <c r="EEN55" s="609"/>
      <c r="EEO55" s="609"/>
      <c r="EEP55" s="609"/>
      <c r="EEQ55" s="609"/>
      <c r="EER55" s="609"/>
      <c r="EES55" s="609"/>
      <c r="EET55" s="609"/>
      <c r="EEU55" s="609"/>
      <c r="EEV55" s="609"/>
      <c r="EEW55" s="609"/>
      <c r="EEX55" s="609"/>
      <c r="EEY55" s="609"/>
      <c r="EEZ55" s="609"/>
      <c r="EFA55" s="609"/>
      <c r="EFB55" s="609"/>
      <c r="EFC55" s="609"/>
      <c r="EFD55" s="609"/>
      <c r="EFE55" s="609"/>
      <c r="EFF55" s="609"/>
      <c r="EFG55" s="609"/>
      <c r="EFH55" s="609"/>
      <c r="EFI55" s="609"/>
      <c r="EFJ55" s="609"/>
      <c r="EFK55" s="609"/>
      <c r="EFL55" s="609"/>
      <c r="EFM55" s="609"/>
      <c r="EFN55" s="609"/>
      <c r="EFO55" s="609"/>
      <c r="EFP55" s="609"/>
      <c r="EFQ55" s="609"/>
      <c r="EFR55" s="609"/>
      <c r="EFS55" s="609"/>
      <c r="EFT55" s="609"/>
      <c r="EFU55" s="609"/>
      <c r="EFV55" s="609"/>
      <c r="EFW55" s="609"/>
      <c r="EFX55" s="609"/>
      <c r="EFY55" s="609"/>
      <c r="EFZ55" s="609"/>
      <c r="EGA55" s="609"/>
      <c r="EGB55" s="609"/>
      <c r="EGC55" s="609"/>
      <c r="EGD55" s="609"/>
      <c r="EGE55" s="609"/>
      <c r="EGF55" s="609"/>
      <c r="EGG55" s="609"/>
      <c r="EGH55" s="609"/>
      <c r="EGI55" s="609"/>
      <c r="EGJ55" s="609"/>
      <c r="EGK55" s="609"/>
      <c r="EGL55" s="609"/>
      <c r="EGM55" s="609"/>
      <c r="EGN55" s="609"/>
      <c r="EGO55" s="609"/>
      <c r="EGP55" s="609"/>
      <c r="EGQ55" s="609"/>
      <c r="EGR55" s="609"/>
      <c r="EGS55" s="609"/>
      <c r="EGT55" s="609"/>
      <c r="EGU55" s="609"/>
      <c r="EGV55" s="609"/>
      <c r="EGW55" s="609"/>
      <c r="EGX55" s="609"/>
      <c r="EGY55" s="609"/>
      <c r="EGZ55" s="609"/>
      <c r="EHA55" s="609"/>
      <c r="EHB55" s="609"/>
      <c r="EHC55" s="609"/>
      <c r="EHD55" s="609"/>
      <c r="EHE55" s="609"/>
      <c r="EHF55" s="609"/>
      <c r="EHG55" s="609"/>
      <c r="EHH55" s="609"/>
      <c r="EHI55" s="609"/>
      <c r="EHJ55" s="609"/>
      <c r="EHK55" s="609"/>
      <c r="EHL55" s="609"/>
      <c r="EHM55" s="609"/>
      <c r="EHN55" s="609"/>
      <c r="EHO55" s="609"/>
      <c r="EHP55" s="609"/>
      <c r="EHQ55" s="609"/>
      <c r="EHR55" s="609"/>
      <c r="EHS55" s="609"/>
      <c r="EHT55" s="609"/>
      <c r="EHU55" s="609"/>
      <c r="EHV55" s="609"/>
      <c r="EHW55" s="609"/>
      <c r="EHX55" s="609"/>
      <c r="EHY55" s="609"/>
      <c r="EHZ55" s="609"/>
      <c r="EIA55" s="609"/>
      <c r="EIB55" s="609"/>
      <c r="EIC55" s="609"/>
      <c r="EID55" s="609"/>
      <c r="EIE55" s="609"/>
      <c r="EIF55" s="609"/>
      <c r="EIG55" s="609"/>
      <c r="EIH55" s="609"/>
      <c r="EII55" s="609"/>
      <c r="EIJ55" s="609"/>
      <c r="EIK55" s="609"/>
      <c r="EIL55" s="609"/>
      <c r="EIM55" s="609"/>
      <c r="EIN55" s="609"/>
      <c r="EIO55" s="609"/>
      <c r="EIP55" s="609"/>
      <c r="EIQ55" s="609"/>
      <c r="EIR55" s="609"/>
      <c r="EIS55" s="609"/>
      <c r="EIT55" s="609"/>
      <c r="EIU55" s="609"/>
      <c r="EIV55" s="609"/>
      <c r="EIW55" s="609"/>
      <c r="EIX55" s="609"/>
      <c r="EIY55" s="609"/>
      <c r="EIZ55" s="609"/>
      <c r="EJA55" s="609"/>
      <c r="EJB55" s="609"/>
      <c r="EJC55" s="609"/>
      <c r="EJD55" s="609"/>
      <c r="EJE55" s="609"/>
      <c r="EJF55" s="609"/>
      <c r="EJG55" s="609"/>
      <c r="EJH55" s="609"/>
      <c r="EJI55" s="609"/>
      <c r="EJJ55" s="609"/>
      <c r="EJK55" s="609"/>
      <c r="EJL55" s="609"/>
      <c r="EJM55" s="609"/>
      <c r="EJN55" s="609"/>
      <c r="EJO55" s="609"/>
      <c r="EJP55" s="609"/>
      <c r="EJQ55" s="609"/>
      <c r="EJR55" s="609"/>
      <c r="EJS55" s="609"/>
      <c r="EJT55" s="609"/>
      <c r="EJU55" s="609"/>
      <c r="EJV55" s="609"/>
      <c r="EJW55" s="609"/>
      <c r="EJX55" s="609"/>
      <c r="EJY55" s="609"/>
      <c r="EJZ55" s="609"/>
      <c r="EKA55" s="609"/>
      <c r="EKB55" s="609"/>
      <c r="EKC55" s="609"/>
      <c r="EKD55" s="609"/>
      <c r="EKE55" s="609"/>
      <c r="EKF55" s="609"/>
      <c r="EKG55" s="609"/>
      <c r="EKH55" s="609"/>
      <c r="EKI55" s="609"/>
      <c r="EKJ55" s="609"/>
      <c r="EKK55" s="609"/>
      <c r="EKL55" s="609"/>
      <c r="EKM55" s="609"/>
      <c r="EKN55" s="609"/>
      <c r="EKO55" s="609"/>
      <c r="EKP55" s="609"/>
      <c r="EKQ55" s="609"/>
      <c r="EKR55" s="609"/>
      <c r="EKS55" s="609"/>
      <c r="EKT55" s="609"/>
      <c r="EKU55" s="609"/>
      <c r="EKV55" s="609"/>
      <c r="EKW55" s="609"/>
      <c r="EKX55" s="609"/>
      <c r="EKY55" s="609"/>
      <c r="EKZ55" s="609"/>
      <c r="ELA55" s="609"/>
      <c r="ELB55" s="609"/>
      <c r="ELC55" s="609"/>
      <c r="ELD55" s="609"/>
      <c r="ELE55" s="609"/>
      <c r="ELF55" s="609"/>
      <c r="ELG55" s="609"/>
      <c r="ELH55" s="609"/>
      <c r="ELI55" s="609"/>
      <c r="ELJ55" s="609"/>
      <c r="ELK55" s="609"/>
      <c r="ELL55" s="609"/>
      <c r="ELM55" s="609"/>
      <c r="ELN55" s="609"/>
      <c r="ELO55" s="609"/>
      <c r="ELP55" s="609"/>
      <c r="ELQ55" s="609"/>
      <c r="ELR55" s="609"/>
      <c r="ELS55" s="609"/>
      <c r="ELT55" s="609"/>
      <c r="ELU55" s="609"/>
      <c r="ELV55" s="609"/>
      <c r="ELW55" s="609"/>
      <c r="ELX55" s="609"/>
      <c r="ELY55" s="609"/>
      <c r="ELZ55" s="609"/>
      <c r="EMA55" s="609"/>
      <c r="EMB55" s="609"/>
      <c r="EMC55" s="609"/>
      <c r="EMD55" s="609"/>
      <c r="EME55" s="609"/>
      <c r="EMF55" s="609"/>
      <c r="EMG55" s="609"/>
      <c r="EMH55" s="609"/>
      <c r="EMI55" s="609"/>
      <c r="EMJ55" s="609"/>
      <c r="EMK55" s="609"/>
      <c r="EML55" s="609"/>
      <c r="EMM55" s="609"/>
      <c r="EMN55" s="609"/>
      <c r="EMO55" s="609"/>
      <c r="EMP55" s="609"/>
      <c r="EMQ55" s="609"/>
      <c r="EMR55" s="609"/>
      <c r="EMS55" s="609"/>
      <c r="EMT55" s="609"/>
      <c r="EMU55" s="609"/>
      <c r="EMV55" s="609"/>
      <c r="EMW55" s="609"/>
      <c r="EMX55" s="609"/>
      <c r="EMY55" s="609"/>
      <c r="EMZ55" s="609"/>
      <c r="ENA55" s="609"/>
      <c r="ENB55" s="609"/>
      <c r="ENC55" s="609"/>
      <c r="END55" s="609"/>
      <c r="ENE55" s="609"/>
      <c r="ENF55" s="609"/>
      <c r="ENG55" s="609"/>
      <c r="ENH55" s="609"/>
      <c r="ENI55" s="609"/>
      <c r="ENJ55" s="609"/>
      <c r="ENK55" s="609"/>
      <c r="ENL55" s="609"/>
      <c r="ENM55" s="609"/>
      <c r="ENN55" s="609"/>
      <c r="ENO55" s="609"/>
      <c r="ENP55" s="609"/>
      <c r="ENQ55" s="609"/>
      <c r="ENR55" s="609"/>
      <c r="ENS55" s="609"/>
      <c r="ENT55" s="609"/>
      <c r="ENU55" s="609"/>
      <c r="ENV55" s="609"/>
      <c r="ENW55" s="609"/>
      <c r="ENX55" s="609"/>
      <c r="ENY55" s="609"/>
      <c r="ENZ55" s="609"/>
      <c r="EOA55" s="609"/>
      <c r="EOB55" s="609"/>
      <c r="EOC55" s="609"/>
      <c r="EOD55" s="609"/>
      <c r="EOE55" s="609"/>
      <c r="EOF55" s="609"/>
      <c r="EOG55" s="609"/>
      <c r="EOH55" s="609"/>
      <c r="EOI55" s="609"/>
      <c r="EOJ55" s="609"/>
      <c r="EOK55" s="609"/>
      <c r="EOL55" s="609"/>
      <c r="EOM55" s="609"/>
      <c r="EON55" s="609"/>
      <c r="EOO55" s="609"/>
      <c r="EOP55" s="609"/>
      <c r="EOQ55" s="609"/>
      <c r="EOR55" s="609"/>
      <c r="EOS55" s="609"/>
      <c r="EOT55" s="609"/>
      <c r="EOU55" s="609"/>
      <c r="EOV55" s="609"/>
      <c r="EOW55" s="609"/>
      <c r="EOX55" s="609"/>
      <c r="EOY55" s="609"/>
      <c r="EOZ55" s="609"/>
      <c r="EPA55" s="609"/>
      <c r="EPB55" s="609"/>
      <c r="EPC55" s="609"/>
      <c r="EPD55" s="609"/>
      <c r="EPE55" s="609"/>
      <c r="EPF55" s="609"/>
      <c r="EPG55" s="609"/>
      <c r="EPH55" s="609"/>
      <c r="EPI55" s="609"/>
      <c r="EPJ55" s="609"/>
      <c r="EPK55" s="609"/>
      <c r="EPL55" s="609"/>
      <c r="EPM55" s="609"/>
      <c r="EPN55" s="609"/>
      <c r="EPO55" s="609"/>
      <c r="EPP55" s="609"/>
      <c r="EPQ55" s="609"/>
      <c r="EPR55" s="609"/>
      <c r="EPS55" s="609"/>
      <c r="EPT55" s="609"/>
      <c r="EPU55" s="609"/>
      <c r="EPV55" s="609"/>
      <c r="EPW55" s="609"/>
      <c r="EPX55" s="609"/>
      <c r="EPY55" s="609"/>
      <c r="EPZ55" s="609"/>
      <c r="EQA55" s="609"/>
      <c r="EQB55" s="609"/>
      <c r="EQC55" s="609"/>
      <c r="EQD55" s="609"/>
      <c r="EQE55" s="609"/>
      <c r="EQF55" s="609"/>
      <c r="EQG55" s="609"/>
      <c r="EQH55" s="609"/>
      <c r="EQI55" s="609"/>
      <c r="EQJ55" s="609"/>
      <c r="EQK55" s="609"/>
      <c r="EQL55" s="609"/>
      <c r="EQM55" s="609"/>
      <c r="EQN55" s="609"/>
      <c r="EQO55" s="609"/>
      <c r="EQP55" s="609"/>
      <c r="EQQ55" s="609"/>
      <c r="EQR55" s="609"/>
      <c r="EQS55" s="609"/>
      <c r="EQT55" s="609"/>
      <c r="EQU55" s="609"/>
      <c r="EQV55" s="609"/>
      <c r="EQW55" s="609"/>
      <c r="EQX55" s="609"/>
      <c r="EQY55" s="609"/>
      <c r="EQZ55" s="609"/>
      <c r="ERA55" s="609"/>
      <c r="ERB55" s="609"/>
      <c r="ERC55" s="609"/>
      <c r="ERD55" s="609"/>
      <c r="ERE55" s="609"/>
      <c r="ERF55" s="609"/>
      <c r="ERG55" s="609"/>
      <c r="ERH55" s="609"/>
      <c r="ERI55" s="609"/>
      <c r="ERJ55" s="609"/>
      <c r="ERK55" s="609"/>
      <c r="ERL55" s="609"/>
      <c r="ERM55" s="609"/>
      <c r="ERN55" s="609"/>
      <c r="ERO55" s="609"/>
      <c r="ERP55" s="609"/>
      <c r="ERQ55" s="609"/>
      <c r="ERR55" s="609"/>
      <c r="ERS55" s="609"/>
      <c r="ERT55" s="609"/>
      <c r="ERU55" s="609"/>
      <c r="ERV55" s="609"/>
      <c r="ERW55" s="609"/>
      <c r="ERX55" s="609"/>
      <c r="ERY55" s="609"/>
      <c r="ERZ55" s="609"/>
      <c r="ESA55" s="609"/>
      <c r="ESB55" s="609"/>
      <c r="ESC55" s="609"/>
      <c r="ESD55" s="609"/>
      <c r="ESE55" s="609"/>
      <c r="ESF55" s="609"/>
      <c r="ESG55" s="609"/>
      <c r="ESH55" s="609"/>
      <c r="ESI55" s="609"/>
      <c r="ESJ55" s="609"/>
      <c r="ESK55" s="609"/>
      <c r="ESL55" s="609"/>
      <c r="ESM55" s="609"/>
      <c r="ESN55" s="609"/>
      <c r="ESO55" s="609"/>
      <c r="ESP55" s="609"/>
      <c r="ESQ55" s="609"/>
      <c r="ESR55" s="609"/>
      <c r="ESS55" s="609"/>
      <c r="EST55" s="609"/>
      <c r="ESU55" s="609"/>
      <c r="ESV55" s="609"/>
      <c r="ESW55" s="609"/>
      <c r="ESX55" s="609"/>
      <c r="ESY55" s="609"/>
      <c r="ESZ55" s="609"/>
      <c r="ETA55" s="609"/>
      <c r="ETB55" s="609"/>
      <c r="ETC55" s="609"/>
      <c r="ETD55" s="609"/>
      <c r="ETE55" s="609"/>
      <c r="ETF55" s="609"/>
      <c r="ETG55" s="609"/>
      <c r="ETH55" s="609"/>
      <c r="ETI55" s="609"/>
      <c r="ETJ55" s="609"/>
      <c r="ETK55" s="609"/>
      <c r="ETL55" s="609"/>
      <c r="ETM55" s="609"/>
      <c r="ETN55" s="609"/>
      <c r="ETO55" s="609"/>
      <c r="ETP55" s="609"/>
      <c r="ETQ55" s="609"/>
      <c r="ETR55" s="609"/>
      <c r="ETS55" s="609"/>
      <c r="ETT55" s="609"/>
      <c r="ETU55" s="609"/>
      <c r="ETV55" s="609"/>
      <c r="ETW55" s="609"/>
      <c r="ETX55" s="609"/>
      <c r="ETY55" s="609"/>
      <c r="ETZ55" s="609"/>
      <c r="EUA55" s="609"/>
      <c r="EUB55" s="609"/>
      <c r="EUC55" s="609"/>
      <c r="EUD55" s="609"/>
      <c r="EUE55" s="609"/>
      <c r="EUF55" s="609"/>
      <c r="EUG55" s="609"/>
      <c r="EUH55" s="609"/>
      <c r="EUI55" s="609"/>
      <c r="EUJ55" s="609"/>
      <c r="EUK55" s="609"/>
      <c r="EUL55" s="609"/>
      <c r="EUM55" s="609"/>
      <c r="EUN55" s="609"/>
      <c r="EUO55" s="609"/>
      <c r="EUP55" s="609"/>
      <c r="EUQ55" s="609"/>
      <c r="EUR55" s="609"/>
      <c r="EUS55" s="609"/>
      <c r="EUT55" s="609"/>
      <c r="EUU55" s="609"/>
      <c r="EUV55" s="609"/>
      <c r="EUW55" s="609"/>
      <c r="EUX55" s="609"/>
      <c r="EUY55" s="609"/>
      <c r="EUZ55" s="609"/>
      <c r="EVA55" s="609"/>
      <c r="EVB55" s="609"/>
      <c r="EVC55" s="609"/>
      <c r="EVD55" s="609"/>
      <c r="EVE55" s="609"/>
      <c r="EVF55" s="609"/>
      <c r="EVG55" s="609"/>
      <c r="EVH55" s="609"/>
      <c r="EVI55" s="609"/>
      <c r="EVJ55" s="609"/>
      <c r="EVK55" s="609"/>
      <c r="EVL55" s="609"/>
      <c r="EVM55" s="609"/>
      <c r="EVN55" s="609"/>
      <c r="EVO55" s="609"/>
      <c r="EVP55" s="609"/>
      <c r="EVQ55" s="609"/>
      <c r="EVR55" s="609"/>
      <c r="EVS55" s="609"/>
      <c r="EVT55" s="609"/>
      <c r="EVU55" s="609"/>
      <c r="EVV55" s="609"/>
      <c r="EVW55" s="609"/>
      <c r="EVX55" s="609"/>
      <c r="EVY55" s="609"/>
      <c r="EVZ55" s="609"/>
      <c r="EWA55" s="609"/>
      <c r="EWB55" s="609"/>
      <c r="EWC55" s="609"/>
      <c r="EWD55" s="609"/>
      <c r="EWE55" s="609"/>
      <c r="EWF55" s="609"/>
      <c r="EWG55" s="609"/>
      <c r="EWH55" s="609"/>
      <c r="EWI55" s="609"/>
      <c r="EWJ55" s="609"/>
      <c r="EWK55" s="609"/>
      <c r="EWL55" s="609"/>
      <c r="EWM55" s="609"/>
      <c r="EWN55" s="609"/>
      <c r="EWO55" s="609"/>
      <c r="EWP55" s="609"/>
      <c r="EWQ55" s="609"/>
      <c r="EWR55" s="609"/>
      <c r="EWS55" s="609"/>
      <c r="EWT55" s="609"/>
      <c r="EWU55" s="609"/>
      <c r="EWV55" s="609"/>
      <c r="EWW55" s="609"/>
      <c r="EWX55" s="609"/>
      <c r="EWY55" s="609"/>
      <c r="EWZ55" s="609"/>
      <c r="EXA55" s="609"/>
      <c r="EXB55" s="609"/>
      <c r="EXC55" s="609"/>
      <c r="EXD55" s="609"/>
      <c r="EXE55" s="609"/>
      <c r="EXF55" s="609"/>
      <c r="EXG55" s="609"/>
      <c r="EXH55" s="609"/>
      <c r="EXI55" s="609"/>
      <c r="EXJ55" s="609"/>
      <c r="EXK55" s="609"/>
      <c r="EXL55" s="609"/>
      <c r="EXM55" s="609"/>
      <c r="EXN55" s="609"/>
      <c r="EXO55" s="609"/>
      <c r="EXP55" s="609"/>
      <c r="EXQ55" s="609"/>
      <c r="EXR55" s="609"/>
      <c r="EXS55" s="609"/>
      <c r="EXT55" s="609"/>
      <c r="EXU55" s="609"/>
      <c r="EXV55" s="609"/>
      <c r="EXW55" s="609"/>
      <c r="EXX55" s="609"/>
      <c r="EXY55" s="609"/>
      <c r="EXZ55" s="609"/>
      <c r="EYA55" s="609"/>
      <c r="EYB55" s="609"/>
      <c r="EYC55" s="609"/>
      <c r="EYD55" s="609"/>
      <c r="EYE55" s="609"/>
      <c r="EYF55" s="609"/>
      <c r="EYG55" s="609"/>
      <c r="EYH55" s="609"/>
      <c r="EYI55" s="609"/>
      <c r="EYJ55" s="609"/>
      <c r="EYK55" s="609"/>
      <c r="EYL55" s="609"/>
      <c r="EYM55" s="609"/>
      <c r="EYN55" s="609"/>
      <c r="EYO55" s="609"/>
      <c r="EYP55" s="609"/>
      <c r="EYQ55" s="609"/>
      <c r="EYR55" s="609"/>
      <c r="EYS55" s="609"/>
      <c r="EYT55" s="609"/>
      <c r="EYU55" s="609"/>
      <c r="EYV55" s="609"/>
      <c r="EYW55" s="609"/>
      <c r="EYX55" s="609"/>
      <c r="EYY55" s="609"/>
      <c r="EYZ55" s="609"/>
      <c r="EZA55" s="609"/>
      <c r="EZB55" s="609"/>
      <c r="EZC55" s="609"/>
      <c r="EZD55" s="609"/>
      <c r="EZE55" s="609"/>
      <c r="EZF55" s="609"/>
      <c r="EZG55" s="609"/>
      <c r="EZH55" s="609"/>
      <c r="EZI55" s="609"/>
      <c r="EZJ55" s="609"/>
      <c r="EZK55" s="609"/>
      <c r="EZL55" s="609"/>
      <c r="EZM55" s="609"/>
      <c r="EZN55" s="609"/>
      <c r="EZO55" s="609"/>
      <c r="EZP55" s="609"/>
      <c r="EZQ55" s="609"/>
      <c r="EZR55" s="609"/>
      <c r="EZS55" s="609"/>
      <c r="EZT55" s="609"/>
      <c r="EZU55" s="609"/>
      <c r="EZV55" s="609"/>
      <c r="EZW55" s="609"/>
      <c r="EZX55" s="609"/>
      <c r="EZY55" s="609"/>
      <c r="EZZ55" s="609"/>
      <c r="FAA55" s="609"/>
      <c r="FAB55" s="609"/>
      <c r="FAC55" s="609"/>
      <c r="FAD55" s="609"/>
      <c r="FAE55" s="609"/>
      <c r="FAF55" s="609"/>
      <c r="FAG55" s="609"/>
      <c r="FAH55" s="609"/>
      <c r="FAI55" s="609"/>
      <c r="FAJ55" s="609"/>
      <c r="FAK55" s="609"/>
      <c r="FAL55" s="609"/>
      <c r="FAM55" s="609"/>
      <c r="FAN55" s="609"/>
      <c r="FAO55" s="609"/>
      <c r="FAP55" s="609"/>
      <c r="FAQ55" s="609"/>
      <c r="FAR55" s="609"/>
      <c r="FAS55" s="609"/>
      <c r="FAT55" s="609"/>
      <c r="FAU55" s="609"/>
      <c r="FAV55" s="609"/>
      <c r="FAW55" s="609"/>
      <c r="FAX55" s="609"/>
      <c r="FAY55" s="609"/>
      <c r="FAZ55" s="609"/>
      <c r="FBA55" s="609"/>
      <c r="FBB55" s="609"/>
      <c r="FBC55" s="609"/>
      <c r="FBD55" s="609"/>
      <c r="FBE55" s="609"/>
      <c r="FBF55" s="609"/>
      <c r="FBG55" s="609"/>
      <c r="FBH55" s="609"/>
      <c r="FBI55" s="609"/>
      <c r="FBJ55" s="609"/>
      <c r="FBK55" s="609"/>
      <c r="FBL55" s="609"/>
      <c r="FBM55" s="609"/>
      <c r="FBN55" s="609"/>
      <c r="FBO55" s="609"/>
      <c r="FBP55" s="609"/>
      <c r="FBQ55" s="609"/>
      <c r="FBR55" s="609"/>
      <c r="FBS55" s="609"/>
      <c r="FBT55" s="609"/>
      <c r="FBU55" s="609"/>
      <c r="FBV55" s="609"/>
      <c r="FBW55" s="609"/>
      <c r="FBX55" s="609"/>
      <c r="FBY55" s="609"/>
      <c r="FBZ55" s="609"/>
      <c r="FCA55" s="609"/>
      <c r="FCB55" s="609"/>
      <c r="FCC55" s="609"/>
      <c r="FCD55" s="609"/>
      <c r="FCE55" s="609"/>
      <c r="FCF55" s="609"/>
      <c r="FCG55" s="609"/>
      <c r="FCH55" s="609"/>
      <c r="FCI55" s="609"/>
      <c r="FCJ55" s="609"/>
      <c r="FCK55" s="609"/>
      <c r="FCL55" s="609"/>
      <c r="FCM55" s="609"/>
      <c r="FCN55" s="609"/>
      <c r="FCO55" s="609"/>
      <c r="FCP55" s="609"/>
      <c r="FCQ55" s="609"/>
      <c r="FCR55" s="609"/>
      <c r="FCS55" s="609"/>
      <c r="FCT55" s="609"/>
      <c r="FCU55" s="609"/>
      <c r="FCV55" s="609"/>
      <c r="FCW55" s="609"/>
      <c r="FCX55" s="609"/>
      <c r="FCY55" s="609"/>
      <c r="FCZ55" s="609"/>
      <c r="FDA55" s="609"/>
      <c r="FDB55" s="609"/>
      <c r="FDC55" s="609"/>
      <c r="FDD55" s="609"/>
      <c r="FDE55" s="609"/>
      <c r="FDF55" s="609"/>
      <c r="FDG55" s="609"/>
      <c r="FDH55" s="609"/>
      <c r="FDI55" s="609"/>
      <c r="FDJ55" s="609"/>
      <c r="FDK55" s="609"/>
      <c r="FDL55" s="609"/>
      <c r="FDM55" s="609"/>
      <c r="FDN55" s="609"/>
      <c r="FDO55" s="609"/>
      <c r="FDP55" s="609"/>
      <c r="FDQ55" s="609"/>
      <c r="FDR55" s="609"/>
      <c r="FDS55" s="609"/>
      <c r="FDT55" s="609"/>
      <c r="FDU55" s="609"/>
      <c r="FDV55" s="609"/>
      <c r="FDW55" s="609"/>
      <c r="FDX55" s="609"/>
      <c r="FDY55" s="609"/>
      <c r="FDZ55" s="609"/>
      <c r="FEA55" s="609"/>
      <c r="FEB55" s="609"/>
      <c r="FEC55" s="609"/>
      <c r="FED55" s="609"/>
      <c r="FEE55" s="609"/>
      <c r="FEF55" s="609"/>
      <c r="FEG55" s="609"/>
      <c r="FEH55" s="609"/>
      <c r="FEI55" s="609"/>
      <c r="FEJ55" s="609"/>
      <c r="FEK55" s="609"/>
      <c r="FEL55" s="609"/>
      <c r="FEM55" s="609"/>
      <c r="FEN55" s="609"/>
      <c r="FEO55" s="609"/>
      <c r="FEP55" s="609"/>
      <c r="FEQ55" s="609"/>
      <c r="FER55" s="609"/>
      <c r="FES55" s="609"/>
      <c r="FET55" s="609"/>
      <c r="FEU55" s="609"/>
      <c r="FEV55" s="609"/>
      <c r="FEW55" s="609"/>
      <c r="FEX55" s="609"/>
      <c r="FEY55" s="609"/>
      <c r="FEZ55" s="609"/>
      <c r="FFA55" s="609"/>
      <c r="FFB55" s="609"/>
      <c r="FFC55" s="609"/>
      <c r="FFD55" s="609"/>
      <c r="FFE55" s="609"/>
      <c r="FFF55" s="609"/>
      <c r="FFG55" s="609"/>
      <c r="FFH55" s="609"/>
      <c r="FFI55" s="609"/>
      <c r="FFJ55" s="609"/>
      <c r="FFK55" s="609"/>
      <c r="FFL55" s="609"/>
      <c r="FFM55" s="609"/>
      <c r="FFN55" s="609"/>
      <c r="FFO55" s="609"/>
      <c r="FFP55" s="609"/>
      <c r="FFQ55" s="609"/>
      <c r="FFR55" s="609"/>
      <c r="FFS55" s="609"/>
      <c r="FFT55" s="609"/>
      <c r="FFU55" s="609"/>
      <c r="FFV55" s="609"/>
      <c r="FFW55" s="609"/>
      <c r="FFX55" s="609"/>
      <c r="FFY55" s="609"/>
      <c r="FFZ55" s="609"/>
      <c r="FGA55" s="609"/>
      <c r="FGB55" s="609"/>
      <c r="FGC55" s="609"/>
      <c r="FGD55" s="609"/>
      <c r="FGE55" s="609"/>
      <c r="FGF55" s="609"/>
      <c r="FGG55" s="609"/>
      <c r="FGH55" s="609"/>
      <c r="FGI55" s="609"/>
      <c r="FGJ55" s="609"/>
      <c r="FGK55" s="609"/>
      <c r="FGL55" s="609"/>
      <c r="FGM55" s="609"/>
      <c r="FGN55" s="609"/>
      <c r="FGO55" s="609"/>
      <c r="FGP55" s="609"/>
      <c r="FGQ55" s="609"/>
      <c r="FGR55" s="609"/>
      <c r="FGS55" s="609"/>
      <c r="FGT55" s="609"/>
      <c r="FGU55" s="609"/>
      <c r="FGV55" s="609"/>
      <c r="FGW55" s="609"/>
      <c r="FGX55" s="609"/>
      <c r="FGY55" s="609"/>
      <c r="FGZ55" s="609"/>
      <c r="FHA55" s="609"/>
      <c r="FHB55" s="609"/>
      <c r="FHC55" s="609"/>
      <c r="FHD55" s="609"/>
      <c r="FHE55" s="609"/>
      <c r="FHF55" s="609"/>
      <c r="FHG55" s="609"/>
      <c r="FHH55" s="609"/>
      <c r="FHI55" s="609"/>
      <c r="FHJ55" s="609"/>
      <c r="FHK55" s="609"/>
      <c r="FHL55" s="609"/>
      <c r="FHM55" s="609"/>
      <c r="FHN55" s="609"/>
      <c r="FHO55" s="609"/>
      <c r="FHP55" s="609"/>
      <c r="FHQ55" s="609"/>
      <c r="FHR55" s="609"/>
      <c r="FHS55" s="609"/>
      <c r="FHT55" s="609"/>
      <c r="FHU55" s="609"/>
      <c r="FHV55" s="609"/>
      <c r="FHW55" s="609"/>
      <c r="FHX55" s="609"/>
      <c r="FHY55" s="609"/>
      <c r="FHZ55" s="609"/>
      <c r="FIA55" s="609"/>
      <c r="FIB55" s="609"/>
      <c r="FIC55" s="609"/>
      <c r="FID55" s="609"/>
      <c r="FIE55" s="609"/>
      <c r="FIF55" s="609"/>
      <c r="FIG55" s="609"/>
      <c r="FIH55" s="609"/>
      <c r="FII55" s="609"/>
      <c r="FIJ55" s="609"/>
      <c r="FIK55" s="609"/>
      <c r="FIL55" s="609"/>
      <c r="FIM55" s="609"/>
      <c r="FIN55" s="609"/>
      <c r="FIO55" s="609"/>
      <c r="FIP55" s="609"/>
      <c r="FIQ55" s="609"/>
      <c r="FIR55" s="609"/>
      <c r="FIS55" s="609"/>
      <c r="FIT55" s="609"/>
      <c r="FIU55" s="609"/>
      <c r="FIV55" s="609"/>
      <c r="FIW55" s="609"/>
      <c r="FIX55" s="609"/>
      <c r="FIY55" s="609"/>
      <c r="FIZ55" s="609"/>
      <c r="FJA55" s="609"/>
      <c r="FJB55" s="609"/>
      <c r="FJC55" s="609"/>
      <c r="FJD55" s="609"/>
      <c r="FJE55" s="609"/>
      <c r="FJF55" s="609"/>
      <c r="FJG55" s="609"/>
      <c r="FJH55" s="609"/>
      <c r="FJI55" s="609"/>
      <c r="FJJ55" s="609"/>
      <c r="FJK55" s="609"/>
      <c r="FJL55" s="609"/>
      <c r="FJM55" s="609"/>
      <c r="FJN55" s="609"/>
      <c r="FJO55" s="609"/>
      <c r="FJP55" s="609"/>
      <c r="FJQ55" s="609"/>
      <c r="FJR55" s="609"/>
      <c r="FJS55" s="609"/>
      <c r="FJT55" s="609"/>
      <c r="FJU55" s="609"/>
      <c r="FJV55" s="609"/>
      <c r="FJW55" s="609"/>
      <c r="FJX55" s="609"/>
      <c r="FJY55" s="609"/>
      <c r="FJZ55" s="609"/>
      <c r="FKA55" s="609"/>
      <c r="FKB55" s="609"/>
      <c r="FKC55" s="609"/>
      <c r="FKD55" s="609"/>
      <c r="FKE55" s="609"/>
      <c r="FKF55" s="609"/>
      <c r="FKG55" s="609"/>
      <c r="FKH55" s="609"/>
      <c r="FKI55" s="609"/>
      <c r="FKJ55" s="609"/>
      <c r="FKK55" s="609"/>
      <c r="FKL55" s="609"/>
      <c r="FKM55" s="609"/>
      <c r="FKN55" s="609"/>
      <c r="FKO55" s="609"/>
      <c r="FKP55" s="609"/>
      <c r="FKQ55" s="609"/>
      <c r="FKR55" s="609"/>
      <c r="FKS55" s="609"/>
      <c r="FKT55" s="609"/>
      <c r="FKU55" s="609"/>
      <c r="FKV55" s="609"/>
      <c r="FKW55" s="609"/>
      <c r="FKX55" s="609"/>
      <c r="FKY55" s="609"/>
      <c r="FKZ55" s="609"/>
      <c r="FLA55" s="609"/>
      <c r="FLB55" s="609"/>
      <c r="FLC55" s="609"/>
      <c r="FLD55" s="609"/>
      <c r="FLE55" s="609"/>
      <c r="FLF55" s="609"/>
      <c r="FLG55" s="609"/>
      <c r="FLH55" s="609"/>
      <c r="FLI55" s="609"/>
      <c r="FLJ55" s="609"/>
      <c r="FLK55" s="609"/>
      <c r="FLL55" s="609"/>
      <c r="FLM55" s="609"/>
      <c r="FLN55" s="609"/>
      <c r="FLO55" s="609"/>
      <c r="FLP55" s="609"/>
      <c r="FLQ55" s="609"/>
      <c r="FLR55" s="609"/>
      <c r="FLS55" s="609"/>
      <c r="FLT55" s="609"/>
      <c r="FLU55" s="609"/>
      <c r="FLV55" s="609"/>
      <c r="FLW55" s="609"/>
      <c r="FLX55" s="609"/>
      <c r="FLY55" s="609"/>
      <c r="FLZ55" s="609"/>
      <c r="FMA55" s="609"/>
      <c r="FMB55" s="609"/>
      <c r="FMC55" s="609"/>
      <c r="FMD55" s="609"/>
      <c r="FME55" s="609"/>
      <c r="FMF55" s="609"/>
      <c r="FMG55" s="609"/>
      <c r="FMH55" s="609"/>
      <c r="FMI55" s="609"/>
      <c r="FMJ55" s="609"/>
      <c r="FMK55" s="609"/>
      <c r="FML55" s="609"/>
      <c r="FMM55" s="609"/>
      <c r="FMN55" s="609"/>
      <c r="FMO55" s="609"/>
      <c r="FMP55" s="609"/>
      <c r="FMQ55" s="609"/>
      <c r="FMR55" s="609"/>
      <c r="FMS55" s="609"/>
      <c r="FMT55" s="609"/>
      <c r="FMU55" s="609"/>
      <c r="FMV55" s="609"/>
      <c r="FMW55" s="609"/>
      <c r="FMX55" s="609"/>
      <c r="FMY55" s="609"/>
      <c r="FMZ55" s="609"/>
      <c r="FNA55" s="609"/>
      <c r="FNB55" s="609"/>
      <c r="FNC55" s="609"/>
      <c r="FND55" s="609"/>
      <c r="FNE55" s="609"/>
      <c r="FNF55" s="609"/>
      <c r="FNG55" s="609"/>
      <c r="FNH55" s="609"/>
      <c r="FNI55" s="609"/>
      <c r="FNJ55" s="609"/>
      <c r="FNK55" s="609"/>
      <c r="FNL55" s="609"/>
      <c r="FNM55" s="609"/>
      <c r="FNN55" s="609"/>
      <c r="FNO55" s="609"/>
      <c r="FNP55" s="609"/>
      <c r="FNQ55" s="609"/>
      <c r="FNR55" s="609"/>
      <c r="FNS55" s="609"/>
      <c r="FNT55" s="609"/>
      <c r="FNU55" s="609"/>
      <c r="FNV55" s="609"/>
      <c r="FNW55" s="609"/>
      <c r="FNX55" s="609"/>
      <c r="FNY55" s="609"/>
      <c r="FNZ55" s="609"/>
      <c r="FOA55" s="609"/>
      <c r="FOB55" s="609"/>
      <c r="FOC55" s="609"/>
      <c r="FOD55" s="609"/>
      <c r="FOE55" s="609"/>
      <c r="FOF55" s="609"/>
      <c r="FOG55" s="609"/>
      <c r="FOH55" s="609"/>
      <c r="FOI55" s="609"/>
      <c r="FOJ55" s="609"/>
      <c r="FOK55" s="609"/>
      <c r="FOL55" s="609"/>
      <c r="FOM55" s="609"/>
      <c r="FON55" s="609"/>
      <c r="FOO55" s="609"/>
      <c r="FOP55" s="609"/>
      <c r="FOQ55" s="609"/>
      <c r="FOR55" s="609"/>
      <c r="FOS55" s="609"/>
      <c r="FOT55" s="609"/>
      <c r="FOU55" s="609"/>
      <c r="FOV55" s="609"/>
      <c r="FOW55" s="609"/>
      <c r="FOX55" s="609"/>
      <c r="FOY55" s="609"/>
      <c r="FOZ55" s="609"/>
      <c r="FPA55" s="609"/>
      <c r="FPB55" s="609"/>
      <c r="FPC55" s="609"/>
      <c r="FPD55" s="609"/>
      <c r="FPE55" s="609"/>
      <c r="FPF55" s="609"/>
      <c r="FPG55" s="609"/>
      <c r="FPH55" s="609"/>
      <c r="FPI55" s="609"/>
      <c r="FPJ55" s="609"/>
      <c r="FPK55" s="609"/>
      <c r="FPL55" s="609"/>
      <c r="FPM55" s="609"/>
      <c r="FPN55" s="609"/>
      <c r="FPO55" s="609"/>
      <c r="FPP55" s="609"/>
      <c r="FPQ55" s="609"/>
      <c r="FPR55" s="609"/>
      <c r="FPS55" s="609"/>
      <c r="FPT55" s="609"/>
      <c r="FPU55" s="609"/>
      <c r="FPV55" s="609"/>
      <c r="FPW55" s="609"/>
      <c r="FPX55" s="609"/>
      <c r="FPY55" s="609"/>
      <c r="FPZ55" s="609"/>
      <c r="FQA55" s="609"/>
      <c r="FQB55" s="609"/>
      <c r="FQC55" s="609"/>
      <c r="FQD55" s="609"/>
      <c r="FQE55" s="609"/>
      <c r="FQF55" s="609"/>
      <c r="FQG55" s="609"/>
      <c r="FQH55" s="609"/>
      <c r="FQI55" s="609"/>
      <c r="FQJ55" s="609"/>
      <c r="FQK55" s="609"/>
      <c r="FQL55" s="609"/>
      <c r="FQM55" s="609"/>
      <c r="FQN55" s="609"/>
      <c r="FQO55" s="609"/>
      <c r="FQP55" s="609"/>
      <c r="FQQ55" s="609"/>
      <c r="FQR55" s="609"/>
      <c r="FQS55" s="609"/>
      <c r="FQT55" s="609"/>
      <c r="FQU55" s="609"/>
      <c r="FQV55" s="609"/>
      <c r="FQW55" s="609"/>
      <c r="FQX55" s="609"/>
      <c r="FQY55" s="609"/>
      <c r="FQZ55" s="609"/>
      <c r="FRA55" s="609"/>
      <c r="FRB55" s="609"/>
      <c r="FRC55" s="609"/>
      <c r="FRD55" s="609"/>
      <c r="FRE55" s="609"/>
      <c r="FRF55" s="609"/>
      <c r="FRG55" s="609"/>
      <c r="FRH55" s="609"/>
      <c r="FRI55" s="609"/>
      <c r="FRJ55" s="609"/>
      <c r="FRK55" s="609"/>
      <c r="FRL55" s="609"/>
      <c r="FRM55" s="609"/>
      <c r="FRN55" s="609"/>
      <c r="FRO55" s="609"/>
      <c r="FRP55" s="609"/>
      <c r="FRQ55" s="609"/>
      <c r="FRR55" s="609"/>
      <c r="FRS55" s="609"/>
      <c r="FRT55" s="609"/>
      <c r="FRU55" s="609"/>
      <c r="FRV55" s="609"/>
      <c r="FRW55" s="609"/>
      <c r="FRX55" s="609"/>
      <c r="FRY55" s="609"/>
      <c r="FRZ55" s="609"/>
      <c r="FSA55" s="609"/>
      <c r="FSB55" s="609"/>
      <c r="FSC55" s="609"/>
      <c r="FSD55" s="609"/>
      <c r="FSE55" s="609"/>
      <c r="FSF55" s="609"/>
      <c r="FSG55" s="609"/>
      <c r="FSH55" s="609"/>
      <c r="FSI55" s="609"/>
      <c r="FSJ55" s="609"/>
      <c r="FSK55" s="609"/>
      <c r="FSL55" s="609"/>
      <c r="FSM55" s="609"/>
      <c r="FSN55" s="609"/>
      <c r="FSO55" s="609"/>
      <c r="FSP55" s="609"/>
      <c r="FSQ55" s="609"/>
      <c r="FSR55" s="609"/>
      <c r="FSS55" s="609"/>
      <c r="FST55" s="609"/>
      <c r="FSU55" s="609"/>
      <c r="FSV55" s="609"/>
      <c r="FSW55" s="609"/>
      <c r="FSX55" s="609"/>
      <c r="FSY55" s="609"/>
      <c r="FSZ55" s="609"/>
      <c r="FTA55" s="609"/>
      <c r="FTB55" s="609"/>
      <c r="FTC55" s="609"/>
      <c r="FTD55" s="609"/>
      <c r="FTE55" s="609"/>
      <c r="FTF55" s="609"/>
      <c r="FTG55" s="609"/>
      <c r="FTH55" s="609"/>
      <c r="FTI55" s="609"/>
      <c r="FTJ55" s="609"/>
      <c r="FTK55" s="609"/>
      <c r="FTL55" s="609"/>
      <c r="FTM55" s="609"/>
      <c r="FTN55" s="609"/>
      <c r="FTO55" s="609"/>
      <c r="FTP55" s="609"/>
      <c r="FTQ55" s="609"/>
      <c r="FTR55" s="609"/>
      <c r="FTS55" s="609"/>
      <c r="FTT55" s="609"/>
      <c r="FTU55" s="609"/>
      <c r="FTV55" s="609"/>
      <c r="FTW55" s="609"/>
      <c r="FTX55" s="609"/>
      <c r="FTY55" s="609"/>
      <c r="FTZ55" s="609"/>
      <c r="FUA55" s="609"/>
      <c r="FUB55" s="609"/>
      <c r="FUC55" s="609"/>
      <c r="FUD55" s="609"/>
      <c r="FUE55" s="609"/>
      <c r="FUF55" s="609"/>
      <c r="FUG55" s="609"/>
      <c r="FUH55" s="609"/>
      <c r="FUI55" s="609"/>
      <c r="FUJ55" s="609"/>
      <c r="FUK55" s="609"/>
      <c r="FUL55" s="609"/>
      <c r="FUM55" s="609"/>
      <c r="FUN55" s="609"/>
      <c r="FUO55" s="609"/>
      <c r="FUP55" s="609"/>
      <c r="FUQ55" s="609"/>
      <c r="FUR55" s="609"/>
      <c r="FUS55" s="609"/>
      <c r="FUT55" s="609"/>
      <c r="FUU55" s="609"/>
      <c r="FUV55" s="609"/>
      <c r="FUW55" s="609"/>
      <c r="FUX55" s="609"/>
      <c r="FUY55" s="609"/>
      <c r="FUZ55" s="609"/>
      <c r="FVA55" s="609"/>
      <c r="FVB55" s="609"/>
      <c r="FVC55" s="609"/>
      <c r="FVD55" s="609"/>
      <c r="FVE55" s="609"/>
      <c r="FVF55" s="609"/>
      <c r="FVG55" s="609"/>
      <c r="FVH55" s="609"/>
      <c r="FVI55" s="609"/>
      <c r="FVJ55" s="609"/>
      <c r="FVK55" s="609"/>
      <c r="FVL55" s="609"/>
      <c r="FVM55" s="609"/>
      <c r="FVN55" s="609"/>
      <c r="FVO55" s="609"/>
      <c r="FVP55" s="609"/>
      <c r="FVQ55" s="609"/>
      <c r="FVR55" s="609"/>
      <c r="FVS55" s="609"/>
      <c r="FVT55" s="609"/>
      <c r="FVU55" s="609"/>
      <c r="FVV55" s="609"/>
      <c r="FVW55" s="609"/>
      <c r="FVX55" s="609"/>
      <c r="FVY55" s="609"/>
      <c r="FVZ55" s="609"/>
      <c r="FWA55" s="609"/>
      <c r="FWB55" s="609"/>
      <c r="FWC55" s="609"/>
      <c r="FWD55" s="609"/>
      <c r="FWE55" s="609"/>
      <c r="FWF55" s="609"/>
      <c r="FWG55" s="609"/>
      <c r="FWH55" s="609"/>
      <c r="FWI55" s="609"/>
      <c r="FWJ55" s="609"/>
      <c r="FWK55" s="609"/>
      <c r="FWL55" s="609"/>
      <c r="FWM55" s="609"/>
      <c r="FWN55" s="609"/>
      <c r="FWO55" s="609"/>
      <c r="FWP55" s="609"/>
      <c r="FWQ55" s="609"/>
      <c r="FWR55" s="609"/>
      <c r="FWS55" s="609"/>
      <c r="FWT55" s="609"/>
      <c r="FWU55" s="609"/>
      <c r="FWV55" s="609"/>
      <c r="FWW55" s="609"/>
      <c r="FWX55" s="609"/>
      <c r="FWY55" s="609"/>
      <c r="FWZ55" s="609"/>
      <c r="FXA55" s="609"/>
      <c r="FXB55" s="609"/>
      <c r="FXC55" s="609"/>
      <c r="FXD55" s="609"/>
      <c r="FXE55" s="609"/>
      <c r="FXF55" s="609"/>
      <c r="FXG55" s="609"/>
      <c r="FXH55" s="609"/>
      <c r="FXI55" s="609"/>
      <c r="FXJ55" s="609"/>
      <c r="FXK55" s="609"/>
      <c r="FXL55" s="609"/>
      <c r="FXM55" s="609"/>
      <c r="FXN55" s="609"/>
      <c r="FXO55" s="609"/>
      <c r="FXP55" s="609"/>
      <c r="FXQ55" s="609"/>
      <c r="FXR55" s="609"/>
      <c r="FXS55" s="609"/>
      <c r="FXT55" s="609"/>
      <c r="FXU55" s="609"/>
      <c r="FXV55" s="609"/>
      <c r="FXW55" s="609"/>
      <c r="FXX55" s="609"/>
      <c r="FXY55" s="609"/>
      <c r="FXZ55" s="609"/>
      <c r="FYA55" s="609"/>
      <c r="FYB55" s="609"/>
      <c r="FYC55" s="609"/>
      <c r="FYD55" s="609"/>
      <c r="FYE55" s="609"/>
      <c r="FYF55" s="609"/>
      <c r="FYG55" s="609"/>
      <c r="FYH55" s="609"/>
      <c r="FYI55" s="609"/>
      <c r="FYJ55" s="609"/>
      <c r="FYK55" s="609"/>
      <c r="FYL55" s="609"/>
      <c r="FYM55" s="609"/>
      <c r="FYN55" s="609"/>
      <c r="FYO55" s="609"/>
      <c r="FYP55" s="609"/>
      <c r="FYQ55" s="609"/>
      <c r="FYR55" s="609"/>
      <c r="FYS55" s="609"/>
      <c r="FYT55" s="609"/>
      <c r="FYU55" s="609"/>
      <c r="FYV55" s="609"/>
      <c r="FYW55" s="609"/>
      <c r="FYX55" s="609"/>
      <c r="FYY55" s="609"/>
      <c r="FYZ55" s="609"/>
      <c r="FZA55" s="609"/>
      <c r="FZB55" s="609"/>
      <c r="FZC55" s="609"/>
      <c r="FZD55" s="609"/>
      <c r="FZE55" s="609"/>
      <c r="FZF55" s="609"/>
      <c r="FZG55" s="609"/>
      <c r="FZH55" s="609"/>
      <c r="FZI55" s="609"/>
      <c r="FZJ55" s="609"/>
      <c r="FZK55" s="609"/>
      <c r="FZL55" s="609"/>
      <c r="FZM55" s="609"/>
      <c r="FZN55" s="609"/>
      <c r="FZO55" s="609"/>
      <c r="FZP55" s="609"/>
      <c r="FZQ55" s="609"/>
      <c r="FZR55" s="609"/>
      <c r="FZS55" s="609"/>
      <c r="FZT55" s="609"/>
      <c r="FZU55" s="609"/>
      <c r="FZV55" s="609"/>
      <c r="FZW55" s="609"/>
      <c r="FZX55" s="609"/>
      <c r="FZY55" s="609"/>
      <c r="FZZ55" s="609"/>
      <c r="GAA55" s="609"/>
      <c r="GAB55" s="609"/>
      <c r="GAC55" s="609"/>
      <c r="GAD55" s="609"/>
      <c r="GAE55" s="609"/>
      <c r="GAF55" s="609"/>
      <c r="GAG55" s="609"/>
      <c r="GAH55" s="609"/>
      <c r="GAI55" s="609"/>
      <c r="GAJ55" s="609"/>
      <c r="GAK55" s="609"/>
      <c r="GAL55" s="609"/>
      <c r="GAM55" s="609"/>
      <c r="GAN55" s="609"/>
      <c r="GAO55" s="609"/>
      <c r="GAP55" s="609"/>
      <c r="GAQ55" s="609"/>
      <c r="GAR55" s="609"/>
      <c r="GAS55" s="609"/>
      <c r="GAT55" s="609"/>
      <c r="GAU55" s="609"/>
      <c r="GAV55" s="609"/>
      <c r="GAW55" s="609"/>
      <c r="GAX55" s="609"/>
      <c r="GAY55" s="609"/>
      <c r="GAZ55" s="609"/>
      <c r="GBA55" s="609"/>
      <c r="GBB55" s="609"/>
      <c r="GBC55" s="609"/>
      <c r="GBD55" s="609"/>
      <c r="GBE55" s="609"/>
      <c r="GBF55" s="609"/>
      <c r="GBG55" s="609"/>
      <c r="GBH55" s="609"/>
      <c r="GBI55" s="609"/>
      <c r="GBJ55" s="609"/>
      <c r="GBK55" s="609"/>
      <c r="GBL55" s="609"/>
      <c r="GBM55" s="609"/>
      <c r="GBN55" s="609"/>
      <c r="GBO55" s="609"/>
      <c r="GBP55" s="609"/>
      <c r="GBQ55" s="609"/>
      <c r="GBR55" s="609"/>
      <c r="GBS55" s="609"/>
      <c r="GBT55" s="609"/>
      <c r="GBU55" s="609"/>
      <c r="GBV55" s="609"/>
      <c r="GBW55" s="609"/>
      <c r="GBX55" s="609"/>
      <c r="GBY55" s="609"/>
      <c r="GBZ55" s="609"/>
      <c r="GCA55" s="609"/>
      <c r="GCB55" s="609"/>
      <c r="GCC55" s="609"/>
      <c r="GCD55" s="609"/>
      <c r="GCE55" s="609"/>
      <c r="GCF55" s="609"/>
      <c r="GCG55" s="609"/>
      <c r="GCH55" s="609"/>
      <c r="GCI55" s="609"/>
      <c r="GCJ55" s="609"/>
      <c r="GCK55" s="609"/>
      <c r="GCL55" s="609"/>
      <c r="GCM55" s="609"/>
      <c r="GCN55" s="609"/>
      <c r="GCO55" s="609"/>
      <c r="GCP55" s="609"/>
      <c r="GCQ55" s="609"/>
      <c r="GCR55" s="609"/>
      <c r="GCS55" s="609"/>
      <c r="GCT55" s="609"/>
      <c r="GCU55" s="609"/>
      <c r="GCV55" s="609"/>
      <c r="GCW55" s="609"/>
      <c r="GCX55" s="609"/>
      <c r="GCY55" s="609"/>
      <c r="GCZ55" s="609"/>
      <c r="GDA55" s="609"/>
      <c r="GDB55" s="609"/>
      <c r="GDC55" s="609"/>
      <c r="GDD55" s="609"/>
      <c r="GDE55" s="609"/>
      <c r="GDF55" s="609"/>
      <c r="GDG55" s="609"/>
      <c r="GDH55" s="609"/>
      <c r="GDI55" s="609"/>
      <c r="GDJ55" s="609"/>
      <c r="GDK55" s="609"/>
      <c r="GDL55" s="609"/>
      <c r="GDM55" s="609"/>
      <c r="GDN55" s="609"/>
      <c r="GDO55" s="609"/>
      <c r="GDP55" s="609"/>
      <c r="GDQ55" s="609"/>
      <c r="GDR55" s="609"/>
      <c r="GDS55" s="609"/>
      <c r="GDT55" s="609"/>
      <c r="GDU55" s="609"/>
      <c r="GDV55" s="609"/>
      <c r="GDW55" s="609"/>
      <c r="GDX55" s="609"/>
      <c r="GDY55" s="609"/>
      <c r="GDZ55" s="609"/>
      <c r="GEA55" s="609"/>
      <c r="GEB55" s="609"/>
      <c r="GEC55" s="609"/>
      <c r="GED55" s="609"/>
      <c r="GEE55" s="609"/>
      <c r="GEF55" s="609"/>
      <c r="GEG55" s="609"/>
      <c r="GEH55" s="609"/>
      <c r="GEI55" s="609"/>
      <c r="GEJ55" s="609"/>
      <c r="GEK55" s="609"/>
      <c r="GEL55" s="609"/>
      <c r="GEM55" s="609"/>
      <c r="GEN55" s="609"/>
      <c r="GEO55" s="609"/>
      <c r="GEP55" s="609"/>
      <c r="GEQ55" s="609"/>
      <c r="GER55" s="609"/>
      <c r="GES55" s="609"/>
      <c r="GET55" s="609"/>
      <c r="GEU55" s="609"/>
      <c r="GEV55" s="609"/>
      <c r="GEW55" s="609"/>
      <c r="GEX55" s="609"/>
      <c r="GEY55" s="609"/>
      <c r="GEZ55" s="609"/>
      <c r="GFA55" s="609"/>
      <c r="GFB55" s="609"/>
      <c r="GFC55" s="609"/>
      <c r="GFD55" s="609"/>
      <c r="GFE55" s="609"/>
      <c r="GFF55" s="609"/>
      <c r="GFG55" s="609"/>
      <c r="GFH55" s="609"/>
      <c r="GFI55" s="609"/>
      <c r="GFJ55" s="609"/>
      <c r="GFK55" s="609"/>
      <c r="GFL55" s="609"/>
      <c r="GFM55" s="609"/>
      <c r="GFN55" s="609"/>
      <c r="GFO55" s="609"/>
      <c r="GFP55" s="609"/>
      <c r="GFQ55" s="609"/>
      <c r="GFR55" s="609"/>
      <c r="GFS55" s="609"/>
      <c r="GFT55" s="609"/>
      <c r="GFU55" s="609"/>
      <c r="GFV55" s="609"/>
      <c r="GFW55" s="609"/>
      <c r="GFX55" s="609"/>
      <c r="GFY55" s="609"/>
      <c r="GFZ55" s="609"/>
      <c r="GGA55" s="609"/>
      <c r="GGB55" s="609"/>
      <c r="GGC55" s="609"/>
      <c r="GGD55" s="609"/>
      <c r="GGE55" s="609"/>
      <c r="GGF55" s="609"/>
      <c r="GGG55" s="609"/>
      <c r="GGH55" s="609"/>
      <c r="GGI55" s="609"/>
      <c r="GGJ55" s="609"/>
      <c r="GGK55" s="609"/>
      <c r="GGL55" s="609"/>
      <c r="GGM55" s="609"/>
      <c r="GGN55" s="609"/>
      <c r="GGO55" s="609"/>
      <c r="GGP55" s="609"/>
      <c r="GGQ55" s="609"/>
      <c r="GGR55" s="609"/>
      <c r="GGS55" s="609"/>
      <c r="GGT55" s="609"/>
      <c r="GGU55" s="609"/>
      <c r="GGV55" s="609"/>
      <c r="GGW55" s="609"/>
      <c r="GGX55" s="609"/>
      <c r="GGY55" s="609"/>
      <c r="GGZ55" s="609"/>
      <c r="GHA55" s="609"/>
      <c r="GHB55" s="609"/>
      <c r="GHC55" s="609"/>
      <c r="GHD55" s="609"/>
      <c r="GHE55" s="609"/>
      <c r="GHF55" s="609"/>
      <c r="GHG55" s="609"/>
      <c r="GHH55" s="609"/>
      <c r="GHI55" s="609"/>
      <c r="GHJ55" s="609"/>
      <c r="GHK55" s="609"/>
      <c r="GHL55" s="609"/>
      <c r="GHM55" s="609"/>
      <c r="GHN55" s="609"/>
      <c r="GHO55" s="609"/>
      <c r="GHP55" s="609"/>
      <c r="GHQ55" s="609"/>
      <c r="GHR55" s="609"/>
      <c r="GHS55" s="609"/>
      <c r="GHT55" s="609"/>
      <c r="GHU55" s="609"/>
      <c r="GHV55" s="609"/>
      <c r="GHW55" s="609"/>
      <c r="GHX55" s="609"/>
      <c r="GHY55" s="609"/>
      <c r="GHZ55" s="609"/>
      <c r="GIA55" s="609"/>
      <c r="GIB55" s="609"/>
      <c r="GIC55" s="609"/>
      <c r="GID55" s="609"/>
      <c r="GIE55" s="609"/>
      <c r="GIF55" s="609"/>
      <c r="GIG55" s="609"/>
      <c r="GIH55" s="609"/>
      <c r="GII55" s="609"/>
      <c r="GIJ55" s="609"/>
      <c r="GIK55" s="609"/>
      <c r="GIL55" s="609"/>
      <c r="GIM55" s="609"/>
      <c r="GIN55" s="609"/>
      <c r="GIO55" s="609"/>
      <c r="GIP55" s="609"/>
      <c r="GIQ55" s="609"/>
      <c r="GIR55" s="609"/>
      <c r="GIS55" s="609"/>
      <c r="GIT55" s="609"/>
      <c r="GIU55" s="609"/>
      <c r="GIV55" s="609"/>
      <c r="GIW55" s="609"/>
      <c r="GIX55" s="609"/>
      <c r="GIY55" s="609"/>
      <c r="GIZ55" s="609"/>
      <c r="GJA55" s="609"/>
      <c r="GJB55" s="609"/>
      <c r="GJC55" s="609"/>
      <c r="GJD55" s="609"/>
      <c r="GJE55" s="609"/>
      <c r="GJF55" s="609"/>
      <c r="GJG55" s="609"/>
      <c r="GJH55" s="609"/>
      <c r="GJI55" s="609"/>
      <c r="GJJ55" s="609"/>
      <c r="GJK55" s="609"/>
      <c r="GJL55" s="609"/>
      <c r="GJM55" s="609"/>
      <c r="GJN55" s="609"/>
      <c r="GJO55" s="609"/>
      <c r="GJP55" s="609"/>
      <c r="GJQ55" s="609"/>
      <c r="GJR55" s="609"/>
      <c r="GJS55" s="609"/>
      <c r="GJT55" s="609"/>
      <c r="GJU55" s="609"/>
      <c r="GJV55" s="609"/>
      <c r="GJW55" s="609"/>
      <c r="GJX55" s="609"/>
      <c r="GJY55" s="609"/>
      <c r="GJZ55" s="609"/>
      <c r="GKA55" s="609"/>
      <c r="GKB55" s="609"/>
      <c r="GKC55" s="609"/>
      <c r="GKD55" s="609"/>
      <c r="GKE55" s="609"/>
      <c r="GKF55" s="609"/>
      <c r="GKG55" s="609"/>
      <c r="GKH55" s="609"/>
      <c r="GKI55" s="609"/>
      <c r="GKJ55" s="609"/>
      <c r="GKK55" s="609"/>
      <c r="GKL55" s="609"/>
      <c r="GKM55" s="609"/>
      <c r="GKN55" s="609"/>
      <c r="GKO55" s="609"/>
      <c r="GKP55" s="609"/>
      <c r="GKQ55" s="609"/>
      <c r="GKR55" s="609"/>
      <c r="GKS55" s="609"/>
      <c r="GKT55" s="609"/>
      <c r="GKU55" s="609"/>
      <c r="GKV55" s="609"/>
      <c r="GKW55" s="609"/>
      <c r="GKX55" s="609"/>
      <c r="GKY55" s="609"/>
      <c r="GKZ55" s="609"/>
      <c r="GLA55" s="609"/>
      <c r="GLB55" s="609"/>
      <c r="GLC55" s="609"/>
      <c r="GLD55" s="609"/>
      <c r="GLE55" s="609"/>
      <c r="GLF55" s="609"/>
      <c r="GLG55" s="609"/>
      <c r="GLH55" s="609"/>
      <c r="GLI55" s="609"/>
      <c r="GLJ55" s="609"/>
      <c r="GLK55" s="609"/>
      <c r="GLL55" s="609"/>
      <c r="GLM55" s="609"/>
      <c r="GLN55" s="609"/>
      <c r="GLO55" s="609"/>
      <c r="GLP55" s="609"/>
      <c r="GLQ55" s="609"/>
      <c r="GLR55" s="609"/>
      <c r="GLS55" s="609"/>
      <c r="GLT55" s="609"/>
      <c r="GLU55" s="609"/>
      <c r="GLV55" s="609"/>
      <c r="GLW55" s="609"/>
      <c r="GLX55" s="609"/>
      <c r="GLY55" s="609"/>
      <c r="GLZ55" s="609"/>
      <c r="GMA55" s="609"/>
      <c r="GMB55" s="609"/>
      <c r="GMC55" s="609"/>
      <c r="GMD55" s="609"/>
      <c r="GME55" s="609"/>
      <c r="GMF55" s="609"/>
      <c r="GMG55" s="609"/>
      <c r="GMH55" s="609"/>
      <c r="GMI55" s="609"/>
      <c r="GMJ55" s="609"/>
      <c r="GMK55" s="609"/>
      <c r="GML55" s="609"/>
      <c r="GMM55" s="609"/>
      <c r="GMN55" s="609"/>
      <c r="GMO55" s="609"/>
      <c r="GMP55" s="609"/>
      <c r="GMQ55" s="609"/>
      <c r="GMR55" s="609"/>
      <c r="GMS55" s="609"/>
      <c r="GMT55" s="609"/>
      <c r="GMU55" s="609"/>
      <c r="GMV55" s="609"/>
      <c r="GMW55" s="609"/>
      <c r="GMX55" s="609"/>
      <c r="GMY55" s="609"/>
      <c r="GMZ55" s="609"/>
      <c r="GNA55" s="609"/>
      <c r="GNB55" s="609"/>
      <c r="GNC55" s="609"/>
      <c r="GND55" s="609"/>
      <c r="GNE55" s="609"/>
      <c r="GNF55" s="609"/>
      <c r="GNG55" s="609"/>
      <c r="GNH55" s="609"/>
      <c r="GNI55" s="609"/>
      <c r="GNJ55" s="609"/>
      <c r="GNK55" s="609"/>
      <c r="GNL55" s="609"/>
      <c r="GNM55" s="609"/>
      <c r="GNN55" s="609"/>
      <c r="GNO55" s="609"/>
      <c r="GNP55" s="609"/>
      <c r="GNQ55" s="609"/>
      <c r="GNR55" s="609"/>
      <c r="GNS55" s="609"/>
      <c r="GNT55" s="609"/>
      <c r="GNU55" s="609"/>
      <c r="GNV55" s="609"/>
      <c r="GNW55" s="609"/>
      <c r="GNX55" s="609"/>
      <c r="GNY55" s="609"/>
      <c r="GNZ55" s="609"/>
      <c r="GOA55" s="609"/>
      <c r="GOB55" s="609"/>
      <c r="GOC55" s="609"/>
      <c r="GOD55" s="609"/>
      <c r="GOE55" s="609"/>
      <c r="GOF55" s="609"/>
      <c r="GOG55" s="609"/>
      <c r="GOH55" s="609"/>
      <c r="GOI55" s="609"/>
      <c r="GOJ55" s="609"/>
      <c r="GOK55" s="609"/>
      <c r="GOL55" s="609"/>
      <c r="GOM55" s="609"/>
      <c r="GON55" s="609"/>
      <c r="GOO55" s="609"/>
      <c r="GOP55" s="609"/>
      <c r="GOQ55" s="609"/>
      <c r="GOR55" s="609"/>
      <c r="GOS55" s="609"/>
      <c r="GOT55" s="609"/>
      <c r="GOU55" s="609"/>
      <c r="GOV55" s="609"/>
      <c r="GOW55" s="609"/>
      <c r="GOX55" s="609"/>
      <c r="GOY55" s="609"/>
      <c r="GOZ55" s="609"/>
      <c r="GPA55" s="609"/>
      <c r="GPB55" s="609"/>
      <c r="GPC55" s="609"/>
      <c r="GPD55" s="609"/>
      <c r="GPE55" s="609"/>
      <c r="GPF55" s="609"/>
      <c r="GPG55" s="609"/>
      <c r="GPH55" s="609"/>
      <c r="GPI55" s="609"/>
      <c r="GPJ55" s="609"/>
      <c r="GPK55" s="609"/>
      <c r="GPL55" s="609"/>
      <c r="GPM55" s="609"/>
      <c r="GPN55" s="609"/>
      <c r="GPO55" s="609"/>
      <c r="GPP55" s="609"/>
      <c r="GPQ55" s="609"/>
      <c r="GPR55" s="609"/>
      <c r="GPS55" s="609"/>
      <c r="GPT55" s="609"/>
      <c r="GPU55" s="609"/>
      <c r="GPV55" s="609"/>
      <c r="GPW55" s="609"/>
      <c r="GPX55" s="609"/>
      <c r="GPY55" s="609"/>
      <c r="GPZ55" s="609"/>
      <c r="GQA55" s="609"/>
      <c r="GQB55" s="609"/>
      <c r="GQC55" s="609"/>
      <c r="GQD55" s="609"/>
      <c r="GQE55" s="609"/>
      <c r="GQF55" s="609"/>
      <c r="GQG55" s="609"/>
      <c r="GQH55" s="609"/>
      <c r="GQI55" s="609"/>
      <c r="GQJ55" s="609"/>
      <c r="GQK55" s="609"/>
      <c r="GQL55" s="609"/>
      <c r="GQM55" s="609"/>
      <c r="GQN55" s="609"/>
      <c r="GQO55" s="609"/>
      <c r="GQP55" s="609"/>
      <c r="GQQ55" s="609"/>
      <c r="GQR55" s="609"/>
      <c r="GQS55" s="609"/>
      <c r="GQT55" s="609"/>
      <c r="GQU55" s="609"/>
      <c r="GQV55" s="609"/>
      <c r="GQW55" s="609"/>
      <c r="GQX55" s="609"/>
      <c r="GQY55" s="609"/>
      <c r="GQZ55" s="609"/>
      <c r="GRA55" s="609"/>
      <c r="GRB55" s="609"/>
      <c r="GRC55" s="609"/>
      <c r="GRD55" s="609"/>
      <c r="GRE55" s="609"/>
      <c r="GRF55" s="609"/>
      <c r="GRG55" s="609"/>
      <c r="GRH55" s="609"/>
      <c r="GRI55" s="609"/>
      <c r="GRJ55" s="609"/>
      <c r="GRK55" s="609"/>
      <c r="GRL55" s="609"/>
      <c r="GRM55" s="609"/>
      <c r="GRN55" s="609"/>
      <c r="GRO55" s="609"/>
      <c r="GRP55" s="609"/>
      <c r="GRQ55" s="609"/>
      <c r="GRR55" s="609"/>
      <c r="GRS55" s="609"/>
      <c r="GRT55" s="609"/>
      <c r="GRU55" s="609"/>
      <c r="GRV55" s="609"/>
      <c r="GRW55" s="609"/>
      <c r="GRX55" s="609"/>
      <c r="GRY55" s="609"/>
      <c r="GRZ55" s="609"/>
      <c r="GSA55" s="609"/>
      <c r="GSB55" s="609"/>
      <c r="GSC55" s="609"/>
      <c r="GSD55" s="609"/>
      <c r="GSE55" s="609"/>
      <c r="GSF55" s="609"/>
      <c r="GSG55" s="609"/>
      <c r="GSH55" s="609"/>
      <c r="GSI55" s="609"/>
      <c r="GSJ55" s="609"/>
      <c r="GSK55" s="609"/>
      <c r="GSL55" s="609"/>
      <c r="GSM55" s="609"/>
      <c r="GSN55" s="609"/>
      <c r="GSO55" s="609"/>
      <c r="GSP55" s="609"/>
      <c r="GSQ55" s="609"/>
      <c r="GSR55" s="609"/>
      <c r="GSS55" s="609"/>
      <c r="GST55" s="609"/>
      <c r="GSU55" s="609"/>
      <c r="GSV55" s="609"/>
      <c r="GSW55" s="609"/>
      <c r="GSX55" s="609"/>
      <c r="GSY55" s="609"/>
      <c r="GSZ55" s="609"/>
      <c r="GTA55" s="609"/>
      <c r="GTB55" s="609"/>
      <c r="GTC55" s="609"/>
      <c r="GTD55" s="609"/>
      <c r="GTE55" s="609"/>
      <c r="GTF55" s="609"/>
      <c r="GTG55" s="609"/>
      <c r="GTH55" s="609"/>
      <c r="GTI55" s="609"/>
      <c r="GTJ55" s="609"/>
      <c r="GTK55" s="609"/>
      <c r="GTL55" s="609"/>
      <c r="GTM55" s="609"/>
      <c r="GTN55" s="609"/>
      <c r="GTO55" s="609"/>
      <c r="GTP55" s="609"/>
      <c r="GTQ55" s="609"/>
      <c r="GTR55" s="609"/>
      <c r="GTS55" s="609"/>
      <c r="GTT55" s="609"/>
      <c r="GTU55" s="609"/>
      <c r="GTV55" s="609"/>
      <c r="GTW55" s="609"/>
      <c r="GTX55" s="609"/>
      <c r="GTY55" s="609"/>
      <c r="GTZ55" s="609"/>
      <c r="GUA55" s="609"/>
      <c r="GUB55" s="609"/>
      <c r="GUC55" s="609"/>
      <c r="GUD55" s="609"/>
      <c r="GUE55" s="609"/>
      <c r="GUF55" s="609"/>
      <c r="GUG55" s="609"/>
      <c r="GUH55" s="609"/>
      <c r="GUI55" s="609"/>
      <c r="GUJ55" s="609"/>
      <c r="GUK55" s="609"/>
      <c r="GUL55" s="609"/>
      <c r="GUM55" s="609"/>
      <c r="GUN55" s="609"/>
      <c r="GUO55" s="609"/>
      <c r="GUP55" s="609"/>
      <c r="GUQ55" s="609"/>
      <c r="GUR55" s="609"/>
      <c r="GUS55" s="609"/>
      <c r="GUT55" s="609"/>
      <c r="GUU55" s="609"/>
      <c r="GUV55" s="609"/>
      <c r="GUW55" s="609"/>
      <c r="GUX55" s="609"/>
      <c r="GUY55" s="609"/>
      <c r="GUZ55" s="609"/>
      <c r="GVA55" s="609"/>
      <c r="GVB55" s="609"/>
      <c r="GVC55" s="609"/>
      <c r="GVD55" s="609"/>
      <c r="GVE55" s="609"/>
      <c r="GVF55" s="609"/>
      <c r="GVG55" s="609"/>
      <c r="GVH55" s="609"/>
      <c r="GVI55" s="609"/>
      <c r="GVJ55" s="609"/>
      <c r="GVK55" s="609"/>
      <c r="GVL55" s="609"/>
      <c r="GVM55" s="609"/>
      <c r="GVN55" s="609"/>
      <c r="GVO55" s="609"/>
      <c r="GVP55" s="609"/>
      <c r="GVQ55" s="609"/>
      <c r="GVR55" s="609"/>
      <c r="GVS55" s="609"/>
      <c r="GVT55" s="609"/>
      <c r="GVU55" s="609"/>
      <c r="GVV55" s="609"/>
      <c r="GVW55" s="609"/>
      <c r="GVX55" s="609"/>
      <c r="GVY55" s="609"/>
      <c r="GVZ55" s="609"/>
      <c r="GWA55" s="609"/>
      <c r="GWB55" s="609"/>
      <c r="GWC55" s="609"/>
      <c r="GWD55" s="609"/>
      <c r="GWE55" s="609"/>
      <c r="GWF55" s="609"/>
      <c r="GWG55" s="609"/>
      <c r="GWH55" s="609"/>
      <c r="GWI55" s="609"/>
      <c r="GWJ55" s="609"/>
      <c r="GWK55" s="609"/>
      <c r="GWL55" s="609"/>
      <c r="GWM55" s="609"/>
      <c r="GWN55" s="609"/>
      <c r="GWO55" s="609"/>
      <c r="GWP55" s="609"/>
      <c r="GWQ55" s="609"/>
      <c r="GWR55" s="609"/>
      <c r="GWS55" s="609"/>
      <c r="GWT55" s="609"/>
      <c r="GWU55" s="609"/>
      <c r="GWV55" s="609"/>
      <c r="GWW55" s="609"/>
      <c r="GWX55" s="609"/>
      <c r="GWY55" s="609"/>
      <c r="GWZ55" s="609"/>
      <c r="GXA55" s="609"/>
      <c r="GXB55" s="609"/>
      <c r="GXC55" s="609"/>
      <c r="GXD55" s="609"/>
      <c r="GXE55" s="609"/>
      <c r="GXF55" s="609"/>
      <c r="GXG55" s="609"/>
      <c r="GXH55" s="609"/>
      <c r="GXI55" s="609"/>
      <c r="GXJ55" s="609"/>
      <c r="GXK55" s="609"/>
      <c r="GXL55" s="609"/>
      <c r="GXM55" s="609"/>
      <c r="GXN55" s="609"/>
      <c r="GXO55" s="609"/>
      <c r="GXP55" s="609"/>
      <c r="GXQ55" s="609"/>
      <c r="GXR55" s="609"/>
      <c r="GXS55" s="609"/>
      <c r="GXT55" s="609"/>
      <c r="GXU55" s="609"/>
      <c r="GXV55" s="609"/>
      <c r="GXW55" s="609"/>
      <c r="GXX55" s="609"/>
      <c r="GXY55" s="609"/>
      <c r="GXZ55" s="609"/>
      <c r="GYA55" s="609"/>
      <c r="GYB55" s="609"/>
      <c r="GYC55" s="609"/>
      <c r="GYD55" s="609"/>
      <c r="GYE55" s="609"/>
      <c r="GYF55" s="609"/>
      <c r="GYG55" s="609"/>
      <c r="GYH55" s="609"/>
      <c r="GYI55" s="609"/>
      <c r="GYJ55" s="609"/>
      <c r="GYK55" s="609"/>
      <c r="GYL55" s="609"/>
      <c r="GYM55" s="609"/>
      <c r="GYN55" s="609"/>
      <c r="GYO55" s="609"/>
      <c r="GYP55" s="609"/>
      <c r="GYQ55" s="609"/>
      <c r="GYR55" s="609"/>
      <c r="GYS55" s="609"/>
      <c r="GYT55" s="609"/>
      <c r="GYU55" s="609"/>
      <c r="GYV55" s="609"/>
      <c r="GYW55" s="609"/>
      <c r="GYX55" s="609"/>
      <c r="GYY55" s="609"/>
      <c r="GYZ55" s="609"/>
      <c r="GZA55" s="609"/>
      <c r="GZB55" s="609"/>
      <c r="GZC55" s="609"/>
      <c r="GZD55" s="609"/>
      <c r="GZE55" s="609"/>
      <c r="GZF55" s="609"/>
      <c r="GZG55" s="609"/>
      <c r="GZH55" s="609"/>
      <c r="GZI55" s="609"/>
      <c r="GZJ55" s="609"/>
      <c r="GZK55" s="609"/>
      <c r="GZL55" s="609"/>
      <c r="GZM55" s="609"/>
      <c r="GZN55" s="609"/>
      <c r="GZO55" s="609"/>
      <c r="GZP55" s="609"/>
      <c r="GZQ55" s="609"/>
      <c r="GZR55" s="609"/>
      <c r="GZS55" s="609"/>
      <c r="GZT55" s="609"/>
      <c r="GZU55" s="609"/>
      <c r="GZV55" s="609"/>
      <c r="GZW55" s="609"/>
      <c r="GZX55" s="609"/>
      <c r="GZY55" s="609"/>
      <c r="GZZ55" s="609"/>
      <c r="HAA55" s="609"/>
      <c r="HAB55" s="609"/>
      <c r="HAC55" s="609"/>
      <c r="HAD55" s="609"/>
      <c r="HAE55" s="609"/>
      <c r="HAF55" s="609"/>
      <c r="HAG55" s="609"/>
      <c r="HAH55" s="609"/>
      <c r="HAI55" s="609"/>
      <c r="HAJ55" s="609"/>
      <c r="HAK55" s="609"/>
      <c r="HAL55" s="609"/>
      <c r="HAM55" s="609"/>
      <c r="HAN55" s="609"/>
      <c r="HAO55" s="609"/>
      <c r="HAP55" s="609"/>
      <c r="HAQ55" s="609"/>
      <c r="HAR55" s="609"/>
      <c r="HAS55" s="609"/>
      <c r="HAT55" s="609"/>
      <c r="HAU55" s="609"/>
      <c r="HAV55" s="609"/>
      <c r="HAW55" s="609"/>
      <c r="HAX55" s="609"/>
      <c r="HAY55" s="609"/>
      <c r="HAZ55" s="609"/>
      <c r="HBA55" s="609"/>
      <c r="HBB55" s="609"/>
      <c r="HBC55" s="609"/>
      <c r="HBD55" s="609"/>
      <c r="HBE55" s="609"/>
      <c r="HBF55" s="609"/>
      <c r="HBG55" s="609"/>
      <c r="HBH55" s="609"/>
      <c r="HBI55" s="609"/>
      <c r="HBJ55" s="609"/>
      <c r="HBK55" s="609"/>
      <c r="HBL55" s="609"/>
      <c r="HBM55" s="609"/>
      <c r="HBN55" s="609"/>
      <c r="HBO55" s="609"/>
      <c r="HBP55" s="609"/>
      <c r="HBQ55" s="609"/>
      <c r="HBR55" s="609"/>
      <c r="HBS55" s="609"/>
      <c r="HBT55" s="609"/>
      <c r="HBU55" s="609"/>
      <c r="HBV55" s="609"/>
      <c r="HBW55" s="609"/>
      <c r="HBX55" s="609"/>
      <c r="HBY55" s="609"/>
      <c r="HBZ55" s="609"/>
      <c r="HCA55" s="609"/>
      <c r="HCB55" s="609"/>
      <c r="HCC55" s="609"/>
      <c r="HCD55" s="609"/>
      <c r="HCE55" s="609"/>
      <c r="HCF55" s="609"/>
      <c r="HCG55" s="609"/>
      <c r="HCH55" s="609"/>
      <c r="HCI55" s="609"/>
      <c r="HCJ55" s="609"/>
      <c r="HCK55" s="609"/>
      <c r="HCL55" s="609"/>
      <c r="HCM55" s="609"/>
      <c r="HCN55" s="609"/>
      <c r="HCO55" s="609"/>
      <c r="HCP55" s="609"/>
      <c r="HCQ55" s="609"/>
      <c r="HCR55" s="609"/>
      <c r="HCS55" s="609"/>
      <c r="HCT55" s="609"/>
      <c r="HCU55" s="609"/>
      <c r="HCV55" s="609"/>
      <c r="HCW55" s="609"/>
      <c r="HCX55" s="609"/>
      <c r="HCY55" s="609"/>
      <c r="HCZ55" s="609"/>
      <c r="HDA55" s="609"/>
      <c r="HDB55" s="609"/>
      <c r="HDC55" s="609"/>
      <c r="HDD55" s="609"/>
      <c r="HDE55" s="609"/>
      <c r="HDF55" s="609"/>
      <c r="HDG55" s="609"/>
      <c r="HDH55" s="609"/>
      <c r="HDI55" s="609"/>
      <c r="HDJ55" s="609"/>
      <c r="HDK55" s="609"/>
      <c r="HDL55" s="609"/>
      <c r="HDM55" s="609"/>
      <c r="HDN55" s="609"/>
      <c r="HDO55" s="609"/>
      <c r="HDP55" s="609"/>
      <c r="HDQ55" s="609"/>
      <c r="HDR55" s="609"/>
      <c r="HDS55" s="609"/>
      <c r="HDT55" s="609"/>
      <c r="HDU55" s="609"/>
      <c r="HDV55" s="609"/>
      <c r="HDW55" s="609"/>
      <c r="HDX55" s="609"/>
      <c r="HDY55" s="609"/>
      <c r="HDZ55" s="609"/>
      <c r="HEA55" s="609"/>
      <c r="HEB55" s="609"/>
      <c r="HEC55" s="609"/>
      <c r="HED55" s="609"/>
      <c r="HEE55" s="609"/>
      <c r="HEF55" s="609"/>
      <c r="HEG55" s="609"/>
      <c r="HEH55" s="609"/>
      <c r="HEI55" s="609"/>
      <c r="HEJ55" s="609"/>
      <c r="HEK55" s="609"/>
      <c r="HEL55" s="609"/>
      <c r="HEM55" s="609"/>
      <c r="HEN55" s="609"/>
      <c r="HEO55" s="609"/>
      <c r="HEP55" s="609"/>
      <c r="HEQ55" s="609"/>
      <c r="HER55" s="609"/>
      <c r="HES55" s="609"/>
      <c r="HET55" s="609"/>
      <c r="HEU55" s="609"/>
      <c r="HEV55" s="609"/>
      <c r="HEW55" s="609"/>
      <c r="HEX55" s="609"/>
      <c r="HEY55" s="609"/>
      <c r="HEZ55" s="609"/>
      <c r="HFA55" s="609"/>
      <c r="HFB55" s="609"/>
      <c r="HFC55" s="609"/>
      <c r="HFD55" s="609"/>
      <c r="HFE55" s="609"/>
      <c r="HFF55" s="609"/>
      <c r="HFG55" s="609"/>
      <c r="HFH55" s="609"/>
      <c r="HFI55" s="609"/>
      <c r="HFJ55" s="609"/>
      <c r="HFK55" s="609"/>
      <c r="HFL55" s="609"/>
      <c r="HFM55" s="609"/>
      <c r="HFN55" s="609"/>
      <c r="HFO55" s="609"/>
      <c r="HFP55" s="609"/>
      <c r="HFQ55" s="609"/>
      <c r="HFR55" s="609"/>
      <c r="HFS55" s="609"/>
      <c r="HFT55" s="609"/>
      <c r="HFU55" s="609"/>
      <c r="HFV55" s="609"/>
      <c r="HFW55" s="609"/>
      <c r="HFX55" s="609"/>
      <c r="HFY55" s="609"/>
      <c r="HFZ55" s="609"/>
      <c r="HGA55" s="609"/>
      <c r="HGB55" s="609"/>
      <c r="HGC55" s="609"/>
      <c r="HGD55" s="609"/>
      <c r="HGE55" s="609"/>
      <c r="HGF55" s="609"/>
      <c r="HGG55" s="609"/>
      <c r="HGH55" s="609"/>
      <c r="HGI55" s="609"/>
      <c r="HGJ55" s="609"/>
      <c r="HGK55" s="609"/>
      <c r="HGL55" s="609"/>
      <c r="HGM55" s="609"/>
      <c r="HGN55" s="609"/>
      <c r="HGO55" s="609"/>
      <c r="HGP55" s="609"/>
      <c r="HGQ55" s="609"/>
      <c r="HGR55" s="609"/>
      <c r="HGS55" s="609"/>
      <c r="HGT55" s="609"/>
      <c r="HGU55" s="609"/>
      <c r="HGV55" s="609"/>
      <c r="HGW55" s="609"/>
      <c r="HGX55" s="609"/>
      <c r="HGY55" s="609"/>
      <c r="HGZ55" s="609"/>
      <c r="HHA55" s="609"/>
      <c r="HHB55" s="609"/>
      <c r="HHC55" s="609"/>
      <c r="HHD55" s="609"/>
      <c r="HHE55" s="609"/>
      <c r="HHF55" s="609"/>
      <c r="HHG55" s="609"/>
      <c r="HHH55" s="609"/>
      <c r="HHI55" s="609"/>
      <c r="HHJ55" s="609"/>
      <c r="HHK55" s="609"/>
      <c r="HHL55" s="609"/>
      <c r="HHM55" s="609"/>
      <c r="HHN55" s="609"/>
      <c r="HHO55" s="609"/>
      <c r="HHP55" s="609"/>
      <c r="HHQ55" s="609"/>
      <c r="HHR55" s="609"/>
      <c r="HHS55" s="609"/>
      <c r="HHT55" s="609"/>
      <c r="HHU55" s="609"/>
      <c r="HHV55" s="609"/>
      <c r="HHW55" s="609"/>
      <c r="HHX55" s="609"/>
      <c r="HHY55" s="609"/>
      <c r="HHZ55" s="609"/>
      <c r="HIA55" s="609"/>
      <c r="HIB55" s="609"/>
      <c r="HIC55" s="609"/>
      <c r="HID55" s="609"/>
      <c r="HIE55" s="609"/>
      <c r="HIF55" s="609"/>
      <c r="HIG55" s="609"/>
      <c r="HIH55" s="609"/>
      <c r="HII55" s="609"/>
      <c r="HIJ55" s="609"/>
      <c r="HIK55" s="609"/>
      <c r="HIL55" s="609"/>
      <c r="HIM55" s="609"/>
      <c r="HIN55" s="609"/>
      <c r="HIO55" s="609"/>
      <c r="HIP55" s="609"/>
      <c r="HIQ55" s="609"/>
      <c r="HIR55" s="609"/>
      <c r="HIS55" s="609"/>
      <c r="HIT55" s="609"/>
      <c r="HIU55" s="609"/>
      <c r="HIV55" s="609"/>
      <c r="HIW55" s="609"/>
      <c r="HIX55" s="609"/>
      <c r="HIY55" s="609"/>
      <c r="HIZ55" s="609"/>
      <c r="HJA55" s="609"/>
      <c r="HJB55" s="609"/>
      <c r="HJC55" s="609"/>
      <c r="HJD55" s="609"/>
      <c r="HJE55" s="609"/>
      <c r="HJF55" s="609"/>
      <c r="HJG55" s="609"/>
      <c r="HJH55" s="609"/>
      <c r="HJI55" s="609"/>
      <c r="HJJ55" s="609"/>
      <c r="HJK55" s="609"/>
      <c r="HJL55" s="609"/>
      <c r="HJM55" s="609"/>
      <c r="HJN55" s="609"/>
      <c r="HJO55" s="609"/>
      <c r="HJP55" s="609"/>
      <c r="HJQ55" s="609"/>
      <c r="HJR55" s="609"/>
      <c r="HJS55" s="609"/>
      <c r="HJT55" s="609"/>
      <c r="HJU55" s="609"/>
      <c r="HJV55" s="609"/>
      <c r="HJW55" s="609"/>
      <c r="HJX55" s="609"/>
      <c r="HJY55" s="609"/>
      <c r="HJZ55" s="609"/>
      <c r="HKA55" s="609"/>
      <c r="HKB55" s="609"/>
      <c r="HKC55" s="609"/>
      <c r="HKD55" s="609"/>
      <c r="HKE55" s="609"/>
      <c r="HKF55" s="609"/>
      <c r="HKG55" s="609"/>
      <c r="HKH55" s="609"/>
      <c r="HKI55" s="609"/>
      <c r="HKJ55" s="609"/>
      <c r="HKK55" s="609"/>
      <c r="HKL55" s="609"/>
      <c r="HKM55" s="609"/>
      <c r="HKN55" s="609"/>
      <c r="HKO55" s="609"/>
      <c r="HKP55" s="609"/>
      <c r="HKQ55" s="609"/>
      <c r="HKR55" s="609"/>
      <c r="HKS55" s="609"/>
      <c r="HKT55" s="609"/>
      <c r="HKU55" s="609"/>
      <c r="HKV55" s="609"/>
      <c r="HKW55" s="609"/>
      <c r="HKX55" s="609"/>
      <c r="HKY55" s="609"/>
      <c r="HKZ55" s="609"/>
      <c r="HLA55" s="609"/>
      <c r="HLB55" s="609"/>
      <c r="HLC55" s="609"/>
      <c r="HLD55" s="609"/>
      <c r="HLE55" s="609"/>
      <c r="HLF55" s="609"/>
      <c r="HLG55" s="609"/>
      <c r="HLH55" s="609"/>
      <c r="HLI55" s="609"/>
      <c r="HLJ55" s="609"/>
      <c r="HLK55" s="609"/>
      <c r="HLL55" s="609"/>
      <c r="HLM55" s="609"/>
      <c r="HLN55" s="609"/>
      <c r="HLO55" s="609"/>
      <c r="HLP55" s="609"/>
      <c r="HLQ55" s="609"/>
      <c r="HLR55" s="609"/>
      <c r="HLS55" s="609"/>
      <c r="HLT55" s="609"/>
      <c r="HLU55" s="609"/>
      <c r="HLV55" s="609"/>
      <c r="HLW55" s="609"/>
      <c r="HLX55" s="609"/>
      <c r="HLY55" s="609"/>
      <c r="HLZ55" s="609"/>
      <c r="HMA55" s="609"/>
      <c r="HMB55" s="609"/>
      <c r="HMC55" s="609"/>
      <c r="HMD55" s="609"/>
      <c r="HME55" s="609"/>
      <c r="HMF55" s="609"/>
      <c r="HMG55" s="609"/>
      <c r="HMH55" s="609"/>
      <c r="HMI55" s="609"/>
      <c r="HMJ55" s="609"/>
      <c r="HMK55" s="609"/>
      <c r="HML55" s="609"/>
      <c r="HMM55" s="609"/>
      <c r="HMN55" s="609"/>
      <c r="HMO55" s="609"/>
      <c r="HMP55" s="609"/>
      <c r="HMQ55" s="609"/>
      <c r="HMR55" s="609"/>
      <c r="HMS55" s="609"/>
      <c r="HMT55" s="609"/>
      <c r="HMU55" s="609"/>
      <c r="HMV55" s="609"/>
      <c r="HMW55" s="609"/>
      <c r="HMX55" s="609"/>
      <c r="HMY55" s="609"/>
      <c r="HMZ55" s="609"/>
      <c r="HNA55" s="609"/>
      <c r="HNB55" s="609"/>
      <c r="HNC55" s="609"/>
      <c r="HND55" s="609"/>
      <c r="HNE55" s="609"/>
      <c r="HNF55" s="609"/>
      <c r="HNG55" s="609"/>
      <c r="HNH55" s="609"/>
      <c r="HNI55" s="609"/>
      <c r="HNJ55" s="609"/>
      <c r="HNK55" s="609"/>
      <c r="HNL55" s="609"/>
      <c r="HNM55" s="609"/>
      <c r="HNN55" s="609"/>
      <c r="HNO55" s="609"/>
      <c r="HNP55" s="609"/>
      <c r="HNQ55" s="609"/>
      <c r="HNR55" s="609"/>
      <c r="HNS55" s="609"/>
      <c r="HNT55" s="609"/>
      <c r="HNU55" s="609"/>
      <c r="HNV55" s="609"/>
      <c r="HNW55" s="609"/>
      <c r="HNX55" s="609"/>
      <c r="HNY55" s="609"/>
      <c r="HNZ55" s="609"/>
      <c r="HOA55" s="609"/>
      <c r="HOB55" s="609"/>
      <c r="HOC55" s="609"/>
      <c r="HOD55" s="609"/>
      <c r="HOE55" s="609"/>
      <c r="HOF55" s="609"/>
      <c r="HOG55" s="609"/>
      <c r="HOH55" s="609"/>
      <c r="HOI55" s="609"/>
      <c r="HOJ55" s="609"/>
      <c r="HOK55" s="609"/>
      <c r="HOL55" s="609"/>
      <c r="HOM55" s="609"/>
      <c r="HON55" s="609"/>
      <c r="HOO55" s="609"/>
      <c r="HOP55" s="609"/>
      <c r="HOQ55" s="609"/>
      <c r="HOR55" s="609"/>
      <c r="HOS55" s="609"/>
      <c r="HOT55" s="609"/>
      <c r="HOU55" s="609"/>
      <c r="HOV55" s="609"/>
      <c r="HOW55" s="609"/>
      <c r="HOX55" s="609"/>
      <c r="HOY55" s="609"/>
      <c r="HOZ55" s="609"/>
      <c r="HPA55" s="609"/>
      <c r="HPB55" s="609"/>
      <c r="HPC55" s="609"/>
      <c r="HPD55" s="609"/>
      <c r="HPE55" s="609"/>
      <c r="HPF55" s="609"/>
      <c r="HPG55" s="609"/>
      <c r="HPH55" s="609"/>
      <c r="HPI55" s="609"/>
      <c r="HPJ55" s="609"/>
      <c r="HPK55" s="609"/>
      <c r="HPL55" s="609"/>
      <c r="HPM55" s="609"/>
      <c r="HPN55" s="609"/>
      <c r="HPO55" s="609"/>
      <c r="HPP55" s="609"/>
      <c r="HPQ55" s="609"/>
      <c r="HPR55" s="609"/>
      <c r="HPS55" s="609"/>
      <c r="HPT55" s="609"/>
      <c r="HPU55" s="609"/>
      <c r="HPV55" s="609"/>
      <c r="HPW55" s="609"/>
      <c r="HPX55" s="609"/>
      <c r="HPY55" s="609"/>
      <c r="HPZ55" s="609"/>
      <c r="HQA55" s="609"/>
      <c r="HQB55" s="609"/>
      <c r="HQC55" s="609"/>
      <c r="HQD55" s="609"/>
      <c r="HQE55" s="609"/>
      <c r="HQF55" s="609"/>
      <c r="HQG55" s="609"/>
      <c r="HQH55" s="609"/>
      <c r="HQI55" s="609"/>
      <c r="HQJ55" s="609"/>
      <c r="HQK55" s="609"/>
      <c r="HQL55" s="609"/>
      <c r="HQM55" s="609"/>
      <c r="HQN55" s="609"/>
      <c r="HQO55" s="609"/>
      <c r="HQP55" s="609"/>
      <c r="HQQ55" s="609"/>
      <c r="HQR55" s="609"/>
      <c r="HQS55" s="609"/>
      <c r="HQT55" s="609"/>
      <c r="HQU55" s="609"/>
      <c r="HQV55" s="609"/>
      <c r="HQW55" s="609"/>
      <c r="HQX55" s="609"/>
      <c r="HQY55" s="609"/>
      <c r="HQZ55" s="609"/>
      <c r="HRA55" s="609"/>
      <c r="HRB55" s="609"/>
      <c r="HRC55" s="609"/>
      <c r="HRD55" s="609"/>
      <c r="HRE55" s="609"/>
      <c r="HRF55" s="609"/>
      <c r="HRG55" s="609"/>
      <c r="HRH55" s="609"/>
      <c r="HRI55" s="609"/>
      <c r="HRJ55" s="609"/>
      <c r="HRK55" s="609"/>
      <c r="HRL55" s="609"/>
      <c r="HRM55" s="609"/>
      <c r="HRN55" s="609"/>
      <c r="HRO55" s="609"/>
      <c r="HRP55" s="609"/>
      <c r="HRQ55" s="609"/>
      <c r="HRR55" s="609"/>
      <c r="HRS55" s="609"/>
      <c r="HRT55" s="609"/>
      <c r="HRU55" s="609"/>
      <c r="HRV55" s="609"/>
      <c r="HRW55" s="609"/>
      <c r="HRX55" s="609"/>
      <c r="HRY55" s="609"/>
      <c r="HRZ55" s="609"/>
      <c r="HSA55" s="609"/>
      <c r="HSB55" s="609"/>
      <c r="HSC55" s="609"/>
      <c r="HSD55" s="609"/>
      <c r="HSE55" s="609"/>
      <c r="HSF55" s="609"/>
      <c r="HSG55" s="609"/>
      <c r="HSH55" s="609"/>
      <c r="HSI55" s="609"/>
      <c r="HSJ55" s="609"/>
      <c r="HSK55" s="609"/>
      <c r="HSL55" s="609"/>
      <c r="HSM55" s="609"/>
      <c r="HSN55" s="609"/>
      <c r="HSO55" s="609"/>
      <c r="HSP55" s="609"/>
      <c r="HSQ55" s="609"/>
      <c r="HSR55" s="609"/>
      <c r="HSS55" s="609"/>
      <c r="HST55" s="609"/>
      <c r="HSU55" s="609"/>
      <c r="HSV55" s="609"/>
      <c r="HSW55" s="609"/>
      <c r="HSX55" s="609"/>
      <c r="HSY55" s="609"/>
      <c r="HSZ55" s="609"/>
      <c r="HTA55" s="609"/>
      <c r="HTB55" s="609"/>
      <c r="HTC55" s="609"/>
      <c r="HTD55" s="609"/>
      <c r="HTE55" s="609"/>
      <c r="HTF55" s="609"/>
      <c r="HTG55" s="609"/>
      <c r="HTH55" s="609"/>
      <c r="HTI55" s="609"/>
      <c r="HTJ55" s="609"/>
      <c r="HTK55" s="609"/>
      <c r="HTL55" s="609"/>
      <c r="HTM55" s="609"/>
      <c r="HTN55" s="609"/>
      <c r="HTO55" s="609"/>
      <c r="HTP55" s="609"/>
      <c r="HTQ55" s="609"/>
      <c r="HTR55" s="609"/>
      <c r="HTS55" s="609"/>
      <c r="HTT55" s="609"/>
      <c r="HTU55" s="609"/>
      <c r="HTV55" s="609"/>
      <c r="HTW55" s="609"/>
      <c r="HTX55" s="609"/>
      <c r="HTY55" s="609"/>
      <c r="HTZ55" s="609"/>
      <c r="HUA55" s="609"/>
      <c r="HUB55" s="609"/>
      <c r="HUC55" s="609"/>
      <c r="HUD55" s="609"/>
      <c r="HUE55" s="609"/>
      <c r="HUF55" s="609"/>
      <c r="HUG55" s="609"/>
      <c r="HUH55" s="609"/>
      <c r="HUI55" s="609"/>
      <c r="HUJ55" s="609"/>
      <c r="HUK55" s="609"/>
      <c r="HUL55" s="609"/>
      <c r="HUM55" s="609"/>
      <c r="HUN55" s="609"/>
      <c r="HUO55" s="609"/>
      <c r="HUP55" s="609"/>
      <c r="HUQ55" s="609"/>
      <c r="HUR55" s="609"/>
      <c r="HUS55" s="609"/>
      <c r="HUT55" s="609"/>
      <c r="HUU55" s="609"/>
      <c r="HUV55" s="609"/>
      <c r="HUW55" s="609"/>
      <c r="HUX55" s="609"/>
      <c r="HUY55" s="609"/>
      <c r="HUZ55" s="609"/>
      <c r="HVA55" s="609"/>
      <c r="HVB55" s="609"/>
      <c r="HVC55" s="609"/>
      <c r="HVD55" s="609"/>
      <c r="HVE55" s="609"/>
      <c r="HVF55" s="609"/>
      <c r="HVG55" s="609"/>
      <c r="HVH55" s="609"/>
      <c r="HVI55" s="609"/>
      <c r="HVJ55" s="609"/>
      <c r="HVK55" s="609"/>
      <c r="HVL55" s="609"/>
      <c r="HVM55" s="609"/>
      <c r="HVN55" s="609"/>
      <c r="HVO55" s="609"/>
      <c r="HVP55" s="609"/>
      <c r="HVQ55" s="609"/>
      <c r="HVR55" s="609"/>
      <c r="HVS55" s="609"/>
      <c r="HVT55" s="609"/>
      <c r="HVU55" s="609"/>
      <c r="HVV55" s="609"/>
      <c r="HVW55" s="609"/>
      <c r="HVX55" s="609"/>
      <c r="HVY55" s="609"/>
      <c r="HVZ55" s="609"/>
      <c r="HWA55" s="609"/>
      <c r="HWB55" s="609"/>
      <c r="HWC55" s="609"/>
      <c r="HWD55" s="609"/>
      <c r="HWE55" s="609"/>
      <c r="HWF55" s="609"/>
      <c r="HWG55" s="609"/>
      <c r="HWH55" s="609"/>
      <c r="HWI55" s="609"/>
      <c r="HWJ55" s="609"/>
      <c r="HWK55" s="609"/>
      <c r="HWL55" s="609"/>
      <c r="HWM55" s="609"/>
      <c r="HWN55" s="609"/>
      <c r="HWO55" s="609"/>
      <c r="HWP55" s="609"/>
      <c r="HWQ55" s="609"/>
      <c r="HWR55" s="609"/>
      <c r="HWS55" s="609"/>
      <c r="HWT55" s="609"/>
      <c r="HWU55" s="609"/>
      <c r="HWV55" s="609"/>
      <c r="HWW55" s="609"/>
      <c r="HWX55" s="609"/>
      <c r="HWY55" s="609"/>
      <c r="HWZ55" s="609"/>
      <c r="HXA55" s="609"/>
      <c r="HXB55" s="609"/>
      <c r="HXC55" s="609"/>
      <c r="HXD55" s="609"/>
      <c r="HXE55" s="609"/>
      <c r="HXF55" s="609"/>
      <c r="HXG55" s="609"/>
      <c r="HXH55" s="609"/>
      <c r="HXI55" s="609"/>
      <c r="HXJ55" s="609"/>
      <c r="HXK55" s="609"/>
      <c r="HXL55" s="609"/>
      <c r="HXM55" s="609"/>
      <c r="HXN55" s="609"/>
      <c r="HXO55" s="609"/>
      <c r="HXP55" s="609"/>
      <c r="HXQ55" s="609"/>
      <c r="HXR55" s="609"/>
      <c r="HXS55" s="609"/>
      <c r="HXT55" s="609"/>
      <c r="HXU55" s="609"/>
      <c r="HXV55" s="609"/>
      <c r="HXW55" s="609"/>
      <c r="HXX55" s="609"/>
      <c r="HXY55" s="609"/>
      <c r="HXZ55" s="609"/>
      <c r="HYA55" s="609"/>
      <c r="HYB55" s="609"/>
      <c r="HYC55" s="609"/>
      <c r="HYD55" s="609"/>
      <c r="HYE55" s="609"/>
      <c r="HYF55" s="609"/>
      <c r="HYG55" s="609"/>
      <c r="HYH55" s="609"/>
      <c r="HYI55" s="609"/>
      <c r="HYJ55" s="609"/>
      <c r="HYK55" s="609"/>
      <c r="HYL55" s="609"/>
      <c r="HYM55" s="609"/>
      <c r="HYN55" s="609"/>
      <c r="HYO55" s="609"/>
      <c r="HYP55" s="609"/>
      <c r="HYQ55" s="609"/>
      <c r="HYR55" s="609"/>
      <c r="HYS55" s="609"/>
      <c r="HYT55" s="609"/>
      <c r="HYU55" s="609"/>
      <c r="HYV55" s="609"/>
      <c r="HYW55" s="609"/>
      <c r="HYX55" s="609"/>
      <c r="HYY55" s="609"/>
      <c r="HYZ55" s="609"/>
      <c r="HZA55" s="609"/>
      <c r="HZB55" s="609"/>
      <c r="HZC55" s="609"/>
      <c r="HZD55" s="609"/>
      <c r="HZE55" s="609"/>
      <c r="HZF55" s="609"/>
      <c r="HZG55" s="609"/>
      <c r="HZH55" s="609"/>
      <c r="HZI55" s="609"/>
      <c r="HZJ55" s="609"/>
      <c r="HZK55" s="609"/>
      <c r="HZL55" s="609"/>
      <c r="HZM55" s="609"/>
      <c r="HZN55" s="609"/>
      <c r="HZO55" s="609"/>
      <c r="HZP55" s="609"/>
      <c r="HZQ55" s="609"/>
      <c r="HZR55" s="609"/>
      <c r="HZS55" s="609"/>
      <c r="HZT55" s="609"/>
      <c r="HZU55" s="609"/>
      <c r="HZV55" s="609"/>
      <c r="HZW55" s="609"/>
      <c r="HZX55" s="609"/>
      <c r="HZY55" s="609"/>
      <c r="HZZ55" s="609"/>
      <c r="IAA55" s="609"/>
      <c r="IAB55" s="609"/>
      <c r="IAC55" s="609"/>
      <c r="IAD55" s="609"/>
      <c r="IAE55" s="609"/>
      <c r="IAF55" s="609"/>
      <c r="IAG55" s="609"/>
      <c r="IAH55" s="609"/>
      <c r="IAI55" s="609"/>
      <c r="IAJ55" s="609"/>
      <c r="IAK55" s="609"/>
      <c r="IAL55" s="609"/>
      <c r="IAM55" s="609"/>
      <c r="IAN55" s="609"/>
      <c r="IAO55" s="609"/>
      <c r="IAP55" s="609"/>
      <c r="IAQ55" s="609"/>
      <c r="IAR55" s="609"/>
      <c r="IAS55" s="609"/>
      <c r="IAT55" s="609"/>
      <c r="IAU55" s="609"/>
      <c r="IAV55" s="609"/>
      <c r="IAW55" s="609"/>
      <c r="IAX55" s="609"/>
      <c r="IAY55" s="609"/>
      <c r="IAZ55" s="609"/>
      <c r="IBA55" s="609"/>
      <c r="IBB55" s="609"/>
      <c r="IBC55" s="609"/>
      <c r="IBD55" s="609"/>
      <c r="IBE55" s="609"/>
      <c r="IBF55" s="609"/>
      <c r="IBG55" s="609"/>
      <c r="IBH55" s="609"/>
      <c r="IBI55" s="609"/>
      <c r="IBJ55" s="609"/>
      <c r="IBK55" s="609"/>
      <c r="IBL55" s="609"/>
      <c r="IBM55" s="609"/>
      <c r="IBN55" s="609"/>
      <c r="IBO55" s="609"/>
      <c r="IBP55" s="609"/>
      <c r="IBQ55" s="609"/>
      <c r="IBR55" s="609"/>
      <c r="IBS55" s="609"/>
      <c r="IBT55" s="609"/>
      <c r="IBU55" s="609"/>
      <c r="IBV55" s="609"/>
      <c r="IBW55" s="609"/>
      <c r="IBX55" s="609"/>
      <c r="IBY55" s="609"/>
      <c r="IBZ55" s="609"/>
      <c r="ICA55" s="609"/>
      <c r="ICB55" s="609"/>
      <c r="ICC55" s="609"/>
      <c r="ICD55" s="609"/>
      <c r="ICE55" s="609"/>
      <c r="ICF55" s="609"/>
      <c r="ICG55" s="609"/>
      <c r="ICH55" s="609"/>
      <c r="ICI55" s="609"/>
      <c r="ICJ55" s="609"/>
      <c r="ICK55" s="609"/>
      <c r="ICL55" s="609"/>
      <c r="ICM55" s="609"/>
      <c r="ICN55" s="609"/>
      <c r="ICO55" s="609"/>
      <c r="ICP55" s="609"/>
      <c r="ICQ55" s="609"/>
      <c r="ICR55" s="609"/>
      <c r="ICS55" s="609"/>
      <c r="ICT55" s="609"/>
      <c r="ICU55" s="609"/>
      <c r="ICV55" s="609"/>
      <c r="ICW55" s="609"/>
      <c r="ICX55" s="609"/>
      <c r="ICY55" s="609"/>
      <c r="ICZ55" s="609"/>
      <c r="IDA55" s="609"/>
      <c r="IDB55" s="609"/>
      <c r="IDC55" s="609"/>
      <c r="IDD55" s="609"/>
      <c r="IDE55" s="609"/>
      <c r="IDF55" s="609"/>
      <c r="IDG55" s="609"/>
      <c r="IDH55" s="609"/>
      <c r="IDI55" s="609"/>
      <c r="IDJ55" s="609"/>
      <c r="IDK55" s="609"/>
      <c r="IDL55" s="609"/>
      <c r="IDM55" s="609"/>
      <c r="IDN55" s="609"/>
      <c r="IDO55" s="609"/>
      <c r="IDP55" s="609"/>
      <c r="IDQ55" s="609"/>
      <c r="IDR55" s="609"/>
      <c r="IDS55" s="609"/>
      <c r="IDT55" s="609"/>
      <c r="IDU55" s="609"/>
      <c r="IDV55" s="609"/>
      <c r="IDW55" s="609"/>
      <c r="IDX55" s="609"/>
      <c r="IDY55" s="609"/>
      <c r="IDZ55" s="609"/>
      <c r="IEA55" s="609"/>
      <c r="IEB55" s="609"/>
      <c r="IEC55" s="609"/>
      <c r="IED55" s="609"/>
      <c r="IEE55" s="609"/>
      <c r="IEF55" s="609"/>
      <c r="IEG55" s="609"/>
      <c r="IEH55" s="609"/>
      <c r="IEI55" s="609"/>
      <c r="IEJ55" s="609"/>
      <c r="IEK55" s="609"/>
      <c r="IEL55" s="609"/>
      <c r="IEM55" s="609"/>
      <c r="IEN55" s="609"/>
      <c r="IEO55" s="609"/>
      <c r="IEP55" s="609"/>
      <c r="IEQ55" s="609"/>
      <c r="IER55" s="609"/>
      <c r="IES55" s="609"/>
      <c r="IET55" s="609"/>
      <c r="IEU55" s="609"/>
      <c r="IEV55" s="609"/>
      <c r="IEW55" s="609"/>
      <c r="IEX55" s="609"/>
      <c r="IEY55" s="609"/>
      <c r="IEZ55" s="609"/>
      <c r="IFA55" s="609"/>
      <c r="IFB55" s="609"/>
      <c r="IFC55" s="609"/>
      <c r="IFD55" s="609"/>
      <c r="IFE55" s="609"/>
      <c r="IFF55" s="609"/>
      <c r="IFG55" s="609"/>
      <c r="IFH55" s="609"/>
      <c r="IFI55" s="609"/>
      <c r="IFJ55" s="609"/>
      <c r="IFK55" s="609"/>
      <c r="IFL55" s="609"/>
      <c r="IFM55" s="609"/>
      <c r="IFN55" s="609"/>
      <c r="IFO55" s="609"/>
      <c r="IFP55" s="609"/>
      <c r="IFQ55" s="609"/>
      <c r="IFR55" s="609"/>
      <c r="IFS55" s="609"/>
      <c r="IFT55" s="609"/>
      <c r="IFU55" s="609"/>
      <c r="IFV55" s="609"/>
      <c r="IFW55" s="609"/>
      <c r="IFX55" s="609"/>
      <c r="IFY55" s="609"/>
      <c r="IFZ55" s="609"/>
      <c r="IGA55" s="609"/>
      <c r="IGB55" s="609"/>
      <c r="IGC55" s="609"/>
      <c r="IGD55" s="609"/>
      <c r="IGE55" s="609"/>
      <c r="IGF55" s="609"/>
      <c r="IGG55" s="609"/>
      <c r="IGH55" s="609"/>
      <c r="IGI55" s="609"/>
      <c r="IGJ55" s="609"/>
      <c r="IGK55" s="609"/>
      <c r="IGL55" s="609"/>
      <c r="IGM55" s="609"/>
      <c r="IGN55" s="609"/>
      <c r="IGO55" s="609"/>
      <c r="IGP55" s="609"/>
      <c r="IGQ55" s="609"/>
      <c r="IGR55" s="609"/>
      <c r="IGS55" s="609"/>
      <c r="IGT55" s="609"/>
      <c r="IGU55" s="609"/>
      <c r="IGV55" s="609"/>
      <c r="IGW55" s="609"/>
      <c r="IGX55" s="609"/>
      <c r="IGY55" s="609"/>
      <c r="IGZ55" s="609"/>
      <c r="IHA55" s="609"/>
      <c r="IHB55" s="609"/>
      <c r="IHC55" s="609"/>
      <c r="IHD55" s="609"/>
      <c r="IHE55" s="609"/>
      <c r="IHF55" s="609"/>
      <c r="IHG55" s="609"/>
      <c r="IHH55" s="609"/>
      <c r="IHI55" s="609"/>
      <c r="IHJ55" s="609"/>
      <c r="IHK55" s="609"/>
      <c r="IHL55" s="609"/>
      <c r="IHM55" s="609"/>
      <c r="IHN55" s="609"/>
      <c r="IHO55" s="609"/>
      <c r="IHP55" s="609"/>
      <c r="IHQ55" s="609"/>
      <c r="IHR55" s="609"/>
      <c r="IHS55" s="609"/>
      <c r="IHT55" s="609"/>
      <c r="IHU55" s="609"/>
      <c r="IHV55" s="609"/>
      <c r="IHW55" s="609"/>
      <c r="IHX55" s="609"/>
      <c r="IHY55" s="609"/>
      <c r="IHZ55" s="609"/>
      <c r="IIA55" s="609"/>
      <c r="IIB55" s="609"/>
      <c r="IIC55" s="609"/>
      <c r="IID55" s="609"/>
      <c r="IIE55" s="609"/>
      <c r="IIF55" s="609"/>
      <c r="IIG55" s="609"/>
      <c r="IIH55" s="609"/>
      <c r="III55" s="609"/>
      <c r="IIJ55" s="609"/>
      <c r="IIK55" s="609"/>
      <c r="IIL55" s="609"/>
      <c r="IIM55" s="609"/>
      <c r="IIN55" s="609"/>
      <c r="IIO55" s="609"/>
      <c r="IIP55" s="609"/>
      <c r="IIQ55" s="609"/>
      <c r="IIR55" s="609"/>
      <c r="IIS55" s="609"/>
      <c r="IIT55" s="609"/>
      <c r="IIU55" s="609"/>
      <c r="IIV55" s="609"/>
      <c r="IIW55" s="609"/>
      <c r="IIX55" s="609"/>
      <c r="IIY55" s="609"/>
      <c r="IIZ55" s="609"/>
      <c r="IJA55" s="609"/>
      <c r="IJB55" s="609"/>
      <c r="IJC55" s="609"/>
      <c r="IJD55" s="609"/>
      <c r="IJE55" s="609"/>
      <c r="IJF55" s="609"/>
      <c r="IJG55" s="609"/>
      <c r="IJH55" s="609"/>
      <c r="IJI55" s="609"/>
      <c r="IJJ55" s="609"/>
      <c r="IJK55" s="609"/>
      <c r="IJL55" s="609"/>
      <c r="IJM55" s="609"/>
      <c r="IJN55" s="609"/>
      <c r="IJO55" s="609"/>
      <c r="IJP55" s="609"/>
      <c r="IJQ55" s="609"/>
      <c r="IJR55" s="609"/>
      <c r="IJS55" s="609"/>
      <c r="IJT55" s="609"/>
      <c r="IJU55" s="609"/>
      <c r="IJV55" s="609"/>
      <c r="IJW55" s="609"/>
      <c r="IJX55" s="609"/>
      <c r="IJY55" s="609"/>
      <c r="IJZ55" s="609"/>
      <c r="IKA55" s="609"/>
      <c r="IKB55" s="609"/>
      <c r="IKC55" s="609"/>
      <c r="IKD55" s="609"/>
      <c r="IKE55" s="609"/>
      <c r="IKF55" s="609"/>
      <c r="IKG55" s="609"/>
      <c r="IKH55" s="609"/>
      <c r="IKI55" s="609"/>
      <c r="IKJ55" s="609"/>
      <c r="IKK55" s="609"/>
      <c r="IKL55" s="609"/>
      <c r="IKM55" s="609"/>
      <c r="IKN55" s="609"/>
      <c r="IKO55" s="609"/>
      <c r="IKP55" s="609"/>
      <c r="IKQ55" s="609"/>
      <c r="IKR55" s="609"/>
      <c r="IKS55" s="609"/>
      <c r="IKT55" s="609"/>
      <c r="IKU55" s="609"/>
      <c r="IKV55" s="609"/>
      <c r="IKW55" s="609"/>
      <c r="IKX55" s="609"/>
      <c r="IKY55" s="609"/>
      <c r="IKZ55" s="609"/>
      <c r="ILA55" s="609"/>
      <c r="ILB55" s="609"/>
      <c r="ILC55" s="609"/>
      <c r="ILD55" s="609"/>
      <c r="ILE55" s="609"/>
      <c r="ILF55" s="609"/>
      <c r="ILG55" s="609"/>
      <c r="ILH55" s="609"/>
      <c r="ILI55" s="609"/>
      <c r="ILJ55" s="609"/>
      <c r="ILK55" s="609"/>
      <c r="ILL55" s="609"/>
      <c r="ILM55" s="609"/>
      <c r="ILN55" s="609"/>
      <c r="ILO55" s="609"/>
      <c r="ILP55" s="609"/>
      <c r="ILQ55" s="609"/>
      <c r="ILR55" s="609"/>
      <c r="ILS55" s="609"/>
      <c r="ILT55" s="609"/>
      <c r="ILU55" s="609"/>
      <c r="ILV55" s="609"/>
      <c r="ILW55" s="609"/>
      <c r="ILX55" s="609"/>
      <c r="ILY55" s="609"/>
      <c r="ILZ55" s="609"/>
      <c r="IMA55" s="609"/>
      <c r="IMB55" s="609"/>
      <c r="IMC55" s="609"/>
      <c r="IMD55" s="609"/>
      <c r="IME55" s="609"/>
      <c r="IMF55" s="609"/>
      <c r="IMG55" s="609"/>
      <c r="IMH55" s="609"/>
      <c r="IMI55" s="609"/>
      <c r="IMJ55" s="609"/>
      <c r="IMK55" s="609"/>
      <c r="IML55" s="609"/>
      <c r="IMM55" s="609"/>
      <c r="IMN55" s="609"/>
      <c r="IMO55" s="609"/>
      <c r="IMP55" s="609"/>
      <c r="IMQ55" s="609"/>
      <c r="IMR55" s="609"/>
      <c r="IMS55" s="609"/>
      <c r="IMT55" s="609"/>
      <c r="IMU55" s="609"/>
      <c r="IMV55" s="609"/>
      <c r="IMW55" s="609"/>
      <c r="IMX55" s="609"/>
      <c r="IMY55" s="609"/>
      <c r="IMZ55" s="609"/>
      <c r="INA55" s="609"/>
      <c r="INB55" s="609"/>
      <c r="INC55" s="609"/>
      <c r="IND55" s="609"/>
      <c r="INE55" s="609"/>
      <c r="INF55" s="609"/>
      <c r="ING55" s="609"/>
      <c r="INH55" s="609"/>
      <c r="INI55" s="609"/>
      <c r="INJ55" s="609"/>
      <c r="INK55" s="609"/>
      <c r="INL55" s="609"/>
      <c r="INM55" s="609"/>
      <c r="INN55" s="609"/>
      <c r="INO55" s="609"/>
      <c r="INP55" s="609"/>
      <c r="INQ55" s="609"/>
      <c r="INR55" s="609"/>
      <c r="INS55" s="609"/>
      <c r="INT55" s="609"/>
      <c r="INU55" s="609"/>
      <c r="INV55" s="609"/>
      <c r="INW55" s="609"/>
      <c r="INX55" s="609"/>
      <c r="INY55" s="609"/>
      <c r="INZ55" s="609"/>
      <c r="IOA55" s="609"/>
      <c r="IOB55" s="609"/>
      <c r="IOC55" s="609"/>
      <c r="IOD55" s="609"/>
      <c r="IOE55" s="609"/>
      <c r="IOF55" s="609"/>
      <c r="IOG55" s="609"/>
      <c r="IOH55" s="609"/>
      <c r="IOI55" s="609"/>
      <c r="IOJ55" s="609"/>
      <c r="IOK55" s="609"/>
      <c r="IOL55" s="609"/>
      <c r="IOM55" s="609"/>
      <c r="ION55" s="609"/>
      <c r="IOO55" s="609"/>
      <c r="IOP55" s="609"/>
      <c r="IOQ55" s="609"/>
      <c r="IOR55" s="609"/>
      <c r="IOS55" s="609"/>
      <c r="IOT55" s="609"/>
      <c r="IOU55" s="609"/>
      <c r="IOV55" s="609"/>
      <c r="IOW55" s="609"/>
      <c r="IOX55" s="609"/>
      <c r="IOY55" s="609"/>
      <c r="IOZ55" s="609"/>
      <c r="IPA55" s="609"/>
      <c r="IPB55" s="609"/>
      <c r="IPC55" s="609"/>
      <c r="IPD55" s="609"/>
      <c r="IPE55" s="609"/>
      <c r="IPF55" s="609"/>
      <c r="IPG55" s="609"/>
      <c r="IPH55" s="609"/>
      <c r="IPI55" s="609"/>
      <c r="IPJ55" s="609"/>
      <c r="IPK55" s="609"/>
      <c r="IPL55" s="609"/>
      <c r="IPM55" s="609"/>
      <c r="IPN55" s="609"/>
      <c r="IPO55" s="609"/>
      <c r="IPP55" s="609"/>
      <c r="IPQ55" s="609"/>
      <c r="IPR55" s="609"/>
      <c r="IPS55" s="609"/>
      <c r="IPT55" s="609"/>
      <c r="IPU55" s="609"/>
      <c r="IPV55" s="609"/>
      <c r="IPW55" s="609"/>
      <c r="IPX55" s="609"/>
      <c r="IPY55" s="609"/>
      <c r="IPZ55" s="609"/>
      <c r="IQA55" s="609"/>
      <c r="IQB55" s="609"/>
      <c r="IQC55" s="609"/>
      <c r="IQD55" s="609"/>
      <c r="IQE55" s="609"/>
      <c r="IQF55" s="609"/>
      <c r="IQG55" s="609"/>
      <c r="IQH55" s="609"/>
      <c r="IQI55" s="609"/>
      <c r="IQJ55" s="609"/>
      <c r="IQK55" s="609"/>
      <c r="IQL55" s="609"/>
      <c r="IQM55" s="609"/>
      <c r="IQN55" s="609"/>
      <c r="IQO55" s="609"/>
      <c r="IQP55" s="609"/>
      <c r="IQQ55" s="609"/>
      <c r="IQR55" s="609"/>
      <c r="IQS55" s="609"/>
      <c r="IQT55" s="609"/>
      <c r="IQU55" s="609"/>
      <c r="IQV55" s="609"/>
      <c r="IQW55" s="609"/>
      <c r="IQX55" s="609"/>
      <c r="IQY55" s="609"/>
      <c r="IQZ55" s="609"/>
      <c r="IRA55" s="609"/>
      <c r="IRB55" s="609"/>
      <c r="IRC55" s="609"/>
      <c r="IRD55" s="609"/>
      <c r="IRE55" s="609"/>
      <c r="IRF55" s="609"/>
      <c r="IRG55" s="609"/>
      <c r="IRH55" s="609"/>
      <c r="IRI55" s="609"/>
      <c r="IRJ55" s="609"/>
      <c r="IRK55" s="609"/>
      <c r="IRL55" s="609"/>
      <c r="IRM55" s="609"/>
      <c r="IRN55" s="609"/>
      <c r="IRO55" s="609"/>
      <c r="IRP55" s="609"/>
      <c r="IRQ55" s="609"/>
      <c r="IRR55" s="609"/>
      <c r="IRS55" s="609"/>
      <c r="IRT55" s="609"/>
      <c r="IRU55" s="609"/>
      <c r="IRV55" s="609"/>
      <c r="IRW55" s="609"/>
      <c r="IRX55" s="609"/>
      <c r="IRY55" s="609"/>
      <c r="IRZ55" s="609"/>
      <c r="ISA55" s="609"/>
      <c r="ISB55" s="609"/>
      <c r="ISC55" s="609"/>
      <c r="ISD55" s="609"/>
      <c r="ISE55" s="609"/>
      <c r="ISF55" s="609"/>
      <c r="ISG55" s="609"/>
      <c r="ISH55" s="609"/>
      <c r="ISI55" s="609"/>
      <c r="ISJ55" s="609"/>
      <c r="ISK55" s="609"/>
      <c r="ISL55" s="609"/>
      <c r="ISM55" s="609"/>
      <c r="ISN55" s="609"/>
      <c r="ISO55" s="609"/>
      <c r="ISP55" s="609"/>
      <c r="ISQ55" s="609"/>
      <c r="ISR55" s="609"/>
      <c r="ISS55" s="609"/>
      <c r="IST55" s="609"/>
      <c r="ISU55" s="609"/>
      <c r="ISV55" s="609"/>
      <c r="ISW55" s="609"/>
      <c r="ISX55" s="609"/>
      <c r="ISY55" s="609"/>
      <c r="ISZ55" s="609"/>
      <c r="ITA55" s="609"/>
      <c r="ITB55" s="609"/>
      <c r="ITC55" s="609"/>
      <c r="ITD55" s="609"/>
      <c r="ITE55" s="609"/>
      <c r="ITF55" s="609"/>
      <c r="ITG55" s="609"/>
      <c r="ITH55" s="609"/>
      <c r="ITI55" s="609"/>
      <c r="ITJ55" s="609"/>
      <c r="ITK55" s="609"/>
      <c r="ITL55" s="609"/>
      <c r="ITM55" s="609"/>
      <c r="ITN55" s="609"/>
      <c r="ITO55" s="609"/>
      <c r="ITP55" s="609"/>
      <c r="ITQ55" s="609"/>
      <c r="ITR55" s="609"/>
      <c r="ITS55" s="609"/>
      <c r="ITT55" s="609"/>
      <c r="ITU55" s="609"/>
      <c r="ITV55" s="609"/>
      <c r="ITW55" s="609"/>
      <c r="ITX55" s="609"/>
      <c r="ITY55" s="609"/>
      <c r="ITZ55" s="609"/>
      <c r="IUA55" s="609"/>
      <c r="IUB55" s="609"/>
      <c r="IUC55" s="609"/>
      <c r="IUD55" s="609"/>
      <c r="IUE55" s="609"/>
      <c r="IUF55" s="609"/>
      <c r="IUG55" s="609"/>
      <c r="IUH55" s="609"/>
      <c r="IUI55" s="609"/>
      <c r="IUJ55" s="609"/>
      <c r="IUK55" s="609"/>
      <c r="IUL55" s="609"/>
      <c r="IUM55" s="609"/>
      <c r="IUN55" s="609"/>
      <c r="IUO55" s="609"/>
      <c r="IUP55" s="609"/>
      <c r="IUQ55" s="609"/>
      <c r="IUR55" s="609"/>
      <c r="IUS55" s="609"/>
      <c r="IUT55" s="609"/>
      <c r="IUU55" s="609"/>
      <c r="IUV55" s="609"/>
      <c r="IUW55" s="609"/>
      <c r="IUX55" s="609"/>
      <c r="IUY55" s="609"/>
      <c r="IUZ55" s="609"/>
      <c r="IVA55" s="609"/>
      <c r="IVB55" s="609"/>
      <c r="IVC55" s="609"/>
      <c r="IVD55" s="609"/>
      <c r="IVE55" s="609"/>
      <c r="IVF55" s="609"/>
      <c r="IVG55" s="609"/>
      <c r="IVH55" s="609"/>
      <c r="IVI55" s="609"/>
      <c r="IVJ55" s="609"/>
      <c r="IVK55" s="609"/>
      <c r="IVL55" s="609"/>
      <c r="IVM55" s="609"/>
      <c r="IVN55" s="609"/>
      <c r="IVO55" s="609"/>
      <c r="IVP55" s="609"/>
      <c r="IVQ55" s="609"/>
      <c r="IVR55" s="609"/>
      <c r="IVS55" s="609"/>
      <c r="IVT55" s="609"/>
      <c r="IVU55" s="609"/>
      <c r="IVV55" s="609"/>
      <c r="IVW55" s="609"/>
      <c r="IVX55" s="609"/>
      <c r="IVY55" s="609"/>
      <c r="IVZ55" s="609"/>
      <c r="IWA55" s="609"/>
      <c r="IWB55" s="609"/>
      <c r="IWC55" s="609"/>
      <c r="IWD55" s="609"/>
      <c r="IWE55" s="609"/>
      <c r="IWF55" s="609"/>
      <c r="IWG55" s="609"/>
      <c r="IWH55" s="609"/>
      <c r="IWI55" s="609"/>
      <c r="IWJ55" s="609"/>
      <c r="IWK55" s="609"/>
      <c r="IWL55" s="609"/>
      <c r="IWM55" s="609"/>
      <c r="IWN55" s="609"/>
      <c r="IWO55" s="609"/>
      <c r="IWP55" s="609"/>
      <c r="IWQ55" s="609"/>
      <c r="IWR55" s="609"/>
      <c r="IWS55" s="609"/>
      <c r="IWT55" s="609"/>
      <c r="IWU55" s="609"/>
      <c r="IWV55" s="609"/>
      <c r="IWW55" s="609"/>
      <c r="IWX55" s="609"/>
      <c r="IWY55" s="609"/>
      <c r="IWZ55" s="609"/>
      <c r="IXA55" s="609"/>
      <c r="IXB55" s="609"/>
      <c r="IXC55" s="609"/>
      <c r="IXD55" s="609"/>
      <c r="IXE55" s="609"/>
      <c r="IXF55" s="609"/>
      <c r="IXG55" s="609"/>
      <c r="IXH55" s="609"/>
      <c r="IXI55" s="609"/>
      <c r="IXJ55" s="609"/>
      <c r="IXK55" s="609"/>
      <c r="IXL55" s="609"/>
      <c r="IXM55" s="609"/>
      <c r="IXN55" s="609"/>
      <c r="IXO55" s="609"/>
      <c r="IXP55" s="609"/>
      <c r="IXQ55" s="609"/>
      <c r="IXR55" s="609"/>
      <c r="IXS55" s="609"/>
      <c r="IXT55" s="609"/>
      <c r="IXU55" s="609"/>
      <c r="IXV55" s="609"/>
      <c r="IXW55" s="609"/>
      <c r="IXX55" s="609"/>
      <c r="IXY55" s="609"/>
      <c r="IXZ55" s="609"/>
      <c r="IYA55" s="609"/>
      <c r="IYB55" s="609"/>
      <c r="IYC55" s="609"/>
      <c r="IYD55" s="609"/>
      <c r="IYE55" s="609"/>
      <c r="IYF55" s="609"/>
      <c r="IYG55" s="609"/>
      <c r="IYH55" s="609"/>
      <c r="IYI55" s="609"/>
      <c r="IYJ55" s="609"/>
      <c r="IYK55" s="609"/>
      <c r="IYL55" s="609"/>
      <c r="IYM55" s="609"/>
      <c r="IYN55" s="609"/>
      <c r="IYO55" s="609"/>
      <c r="IYP55" s="609"/>
      <c r="IYQ55" s="609"/>
      <c r="IYR55" s="609"/>
      <c r="IYS55" s="609"/>
      <c r="IYT55" s="609"/>
      <c r="IYU55" s="609"/>
      <c r="IYV55" s="609"/>
      <c r="IYW55" s="609"/>
      <c r="IYX55" s="609"/>
      <c r="IYY55" s="609"/>
      <c r="IYZ55" s="609"/>
      <c r="IZA55" s="609"/>
      <c r="IZB55" s="609"/>
      <c r="IZC55" s="609"/>
      <c r="IZD55" s="609"/>
      <c r="IZE55" s="609"/>
      <c r="IZF55" s="609"/>
      <c r="IZG55" s="609"/>
      <c r="IZH55" s="609"/>
      <c r="IZI55" s="609"/>
      <c r="IZJ55" s="609"/>
      <c r="IZK55" s="609"/>
      <c r="IZL55" s="609"/>
      <c r="IZM55" s="609"/>
      <c r="IZN55" s="609"/>
      <c r="IZO55" s="609"/>
      <c r="IZP55" s="609"/>
      <c r="IZQ55" s="609"/>
      <c r="IZR55" s="609"/>
      <c r="IZS55" s="609"/>
      <c r="IZT55" s="609"/>
      <c r="IZU55" s="609"/>
      <c r="IZV55" s="609"/>
      <c r="IZW55" s="609"/>
      <c r="IZX55" s="609"/>
      <c r="IZY55" s="609"/>
      <c r="IZZ55" s="609"/>
      <c r="JAA55" s="609"/>
      <c r="JAB55" s="609"/>
      <c r="JAC55" s="609"/>
      <c r="JAD55" s="609"/>
      <c r="JAE55" s="609"/>
      <c r="JAF55" s="609"/>
      <c r="JAG55" s="609"/>
      <c r="JAH55" s="609"/>
      <c r="JAI55" s="609"/>
      <c r="JAJ55" s="609"/>
      <c r="JAK55" s="609"/>
      <c r="JAL55" s="609"/>
      <c r="JAM55" s="609"/>
      <c r="JAN55" s="609"/>
      <c r="JAO55" s="609"/>
      <c r="JAP55" s="609"/>
      <c r="JAQ55" s="609"/>
      <c r="JAR55" s="609"/>
      <c r="JAS55" s="609"/>
      <c r="JAT55" s="609"/>
      <c r="JAU55" s="609"/>
      <c r="JAV55" s="609"/>
      <c r="JAW55" s="609"/>
      <c r="JAX55" s="609"/>
      <c r="JAY55" s="609"/>
      <c r="JAZ55" s="609"/>
      <c r="JBA55" s="609"/>
      <c r="JBB55" s="609"/>
      <c r="JBC55" s="609"/>
      <c r="JBD55" s="609"/>
      <c r="JBE55" s="609"/>
      <c r="JBF55" s="609"/>
      <c r="JBG55" s="609"/>
      <c r="JBH55" s="609"/>
      <c r="JBI55" s="609"/>
      <c r="JBJ55" s="609"/>
      <c r="JBK55" s="609"/>
      <c r="JBL55" s="609"/>
      <c r="JBM55" s="609"/>
      <c r="JBN55" s="609"/>
      <c r="JBO55" s="609"/>
      <c r="JBP55" s="609"/>
      <c r="JBQ55" s="609"/>
      <c r="JBR55" s="609"/>
      <c r="JBS55" s="609"/>
      <c r="JBT55" s="609"/>
      <c r="JBU55" s="609"/>
      <c r="JBV55" s="609"/>
      <c r="JBW55" s="609"/>
      <c r="JBX55" s="609"/>
      <c r="JBY55" s="609"/>
      <c r="JBZ55" s="609"/>
      <c r="JCA55" s="609"/>
      <c r="JCB55" s="609"/>
      <c r="JCC55" s="609"/>
      <c r="JCD55" s="609"/>
      <c r="JCE55" s="609"/>
      <c r="JCF55" s="609"/>
      <c r="JCG55" s="609"/>
      <c r="JCH55" s="609"/>
      <c r="JCI55" s="609"/>
      <c r="JCJ55" s="609"/>
      <c r="JCK55" s="609"/>
      <c r="JCL55" s="609"/>
      <c r="JCM55" s="609"/>
      <c r="JCN55" s="609"/>
      <c r="JCO55" s="609"/>
      <c r="JCP55" s="609"/>
      <c r="JCQ55" s="609"/>
      <c r="JCR55" s="609"/>
      <c r="JCS55" s="609"/>
      <c r="JCT55" s="609"/>
      <c r="JCU55" s="609"/>
      <c r="JCV55" s="609"/>
      <c r="JCW55" s="609"/>
      <c r="JCX55" s="609"/>
      <c r="JCY55" s="609"/>
      <c r="JCZ55" s="609"/>
      <c r="JDA55" s="609"/>
      <c r="JDB55" s="609"/>
      <c r="JDC55" s="609"/>
      <c r="JDD55" s="609"/>
      <c r="JDE55" s="609"/>
      <c r="JDF55" s="609"/>
      <c r="JDG55" s="609"/>
      <c r="JDH55" s="609"/>
      <c r="JDI55" s="609"/>
      <c r="JDJ55" s="609"/>
      <c r="JDK55" s="609"/>
      <c r="JDL55" s="609"/>
      <c r="JDM55" s="609"/>
      <c r="JDN55" s="609"/>
      <c r="JDO55" s="609"/>
      <c r="JDP55" s="609"/>
      <c r="JDQ55" s="609"/>
      <c r="JDR55" s="609"/>
      <c r="JDS55" s="609"/>
      <c r="JDT55" s="609"/>
      <c r="JDU55" s="609"/>
      <c r="JDV55" s="609"/>
      <c r="JDW55" s="609"/>
      <c r="JDX55" s="609"/>
      <c r="JDY55" s="609"/>
      <c r="JDZ55" s="609"/>
      <c r="JEA55" s="609"/>
      <c r="JEB55" s="609"/>
      <c r="JEC55" s="609"/>
      <c r="JED55" s="609"/>
      <c r="JEE55" s="609"/>
      <c r="JEF55" s="609"/>
      <c r="JEG55" s="609"/>
      <c r="JEH55" s="609"/>
      <c r="JEI55" s="609"/>
      <c r="JEJ55" s="609"/>
      <c r="JEK55" s="609"/>
      <c r="JEL55" s="609"/>
      <c r="JEM55" s="609"/>
      <c r="JEN55" s="609"/>
      <c r="JEO55" s="609"/>
      <c r="JEP55" s="609"/>
      <c r="JEQ55" s="609"/>
      <c r="JER55" s="609"/>
      <c r="JES55" s="609"/>
      <c r="JET55" s="609"/>
      <c r="JEU55" s="609"/>
      <c r="JEV55" s="609"/>
      <c r="JEW55" s="609"/>
      <c r="JEX55" s="609"/>
      <c r="JEY55" s="609"/>
      <c r="JEZ55" s="609"/>
      <c r="JFA55" s="609"/>
      <c r="JFB55" s="609"/>
      <c r="JFC55" s="609"/>
      <c r="JFD55" s="609"/>
      <c r="JFE55" s="609"/>
      <c r="JFF55" s="609"/>
      <c r="JFG55" s="609"/>
      <c r="JFH55" s="609"/>
      <c r="JFI55" s="609"/>
      <c r="JFJ55" s="609"/>
      <c r="JFK55" s="609"/>
      <c r="JFL55" s="609"/>
      <c r="JFM55" s="609"/>
      <c r="JFN55" s="609"/>
      <c r="JFO55" s="609"/>
      <c r="JFP55" s="609"/>
      <c r="JFQ55" s="609"/>
      <c r="JFR55" s="609"/>
      <c r="JFS55" s="609"/>
      <c r="JFT55" s="609"/>
      <c r="JFU55" s="609"/>
      <c r="JFV55" s="609"/>
      <c r="JFW55" s="609"/>
      <c r="JFX55" s="609"/>
      <c r="JFY55" s="609"/>
      <c r="JFZ55" s="609"/>
      <c r="JGA55" s="609"/>
      <c r="JGB55" s="609"/>
      <c r="JGC55" s="609"/>
      <c r="JGD55" s="609"/>
      <c r="JGE55" s="609"/>
      <c r="JGF55" s="609"/>
      <c r="JGG55" s="609"/>
      <c r="JGH55" s="609"/>
      <c r="JGI55" s="609"/>
      <c r="JGJ55" s="609"/>
      <c r="JGK55" s="609"/>
      <c r="JGL55" s="609"/>
      <c r="JGM55" s="609"/>
      <c r="JGN55" s="609"/>
      <c r="JGO55" s="609"/>
      <c r="JGP55" s="609"/>
      <c r="JGQ55" s="609"/>
      <c r="JGR55" s="609"/>
      <c r="JGS55" s="609"/>
      <c r="JGT55" s="609"/>
      <c r="JGU55" s="609"/>
      <c r="JGV55" s="609"/>
      <c r="JGW55" s="609"/>
      <c r="JGX55" s="609"/>
      <c r="JGY55" s="609"/>
      <c r="JGZ55" s="609"/>
      <c r="JHA55" s="609"/>
      <c r="JHB55" s="609"/>
      <c r="JHC55" s="609"/>
      <c r="JHD55" s="609"/>
      <c r="JHE55" s="609"/>
      <c r="JHF55" s="609"/>
      <c r="JHG55" s="609"/>
      <c r="JHH55" s="609"/>
      <c r="JHI55" s="609"/>
      <c r="JHJ55" s="609"/>
      <c r="JHK55" s="609"/>
      <c r="JHL55" s="609"/>
      <c r="JHM55" s="609"/>
      <c r="JHN55" s="609"/>
      <c r="JHO55" s="609"/>
      <c r="JHP55" s="609"/>
      <c r="JHQ55" s="609"/>
      <c r="JHR55" s="609"/>
      <c r="JHS55" s="609"/>
      <c r="JHT55" s="609"/>
      <c r="JHU55" s="609"/>
      <c r="JHV55" s="609"/>
      <c r="JHW55" s="609"/>
      <c r="JHX55" s="609"/>
      <c r="JHY55" s="609"/>
      <c r="JHZ55" s="609"/>
      <c r="JIA55" s="609"/>
      <c r="JIB55" s="609"/>
      <c r="JIC55" s="609"/>
      <c r="JID55" s="609"/>
      <c r="JIE55" s="609"/>
      <c r="JIF55" s="609"/>
      <c r="JIG55" s="609"/>
      <c r="JIH55" s="609"/>
      <c r="JII55" s="609"/>
      <c r="JIJ55" s="609"/>
      <c r="JIK55" s="609"/>
      <c r="JIL55" s="609"/>
      <c r="JIM55" s="609"/>
      <c r="JIN55" s="609"/>
      <c r="JIO55" s="609"/>
      <c r="JIP55" s="609"/>
      <c r="JIQ55" s="609"/>
      <c r="JIR55" s="609"/>
      <c r="JIS55" s="609"/>
      <c r="JIT55" s="609"/>
      <c r="JIU55" s="609"/>
      <c r="JIV55" s="609"/>
      <c r="JIW55" s="609"/>
      <c r="JIX55" s="609"/>
      <c r="JIY55" s="609"/>
      <c r="JIZ55" s="609"/>
      <c r="JJA55" s="609"/>
      <c r="JJB55" s="609"/>
      <c r="JJC55" s="609"/>
      <c r="JJD55" s="609"/>
      <c r="JJE55" s="609"/>
      <c r="JJF55" s="609"/>
      <c r="JJG55" s="609"/>
      <c r="JJH55" s="609"/>
      <c r="JJI55" s="609"/>
      <c r="JJJ55" s="609"/>
      <c r="JJK55" s="609"/>
      <c r="JJL55" s="609"/>
      <c r="JJM55" s="609"/>
      <c r="JJN55" s="609"/>
      <c r="JJO55" s="609"/>
      <c r="JJP55" s="609"/>
      <c r="JJQ55" s="609"/>
      <c r="JJR55" s="609"/>
      <c r="JJS55" s="609"/>
      <c r="JJT55" s="609"/>
      <c r="JJU55" s="609"/>
      <c r="JJV55" s="609"/>
      <c r="JJW55" s="609"/>
      <c r="JJX55" s="609"/>
      <c r="JJY55" s="609"/>
      <c r="JJZ55" s="609"/>
      <c r="JKA55" s="609"/>
      <c r="JKB55" s="609"/>
      <c r="JKC55" s="609"/>
      <c r="JKD55" s="609"/>
      <c r="JKE55" s="609"/>
      <c r="JKF55" s="609"/>
      <c r="JKG55" s="609"/>
      <c r="JKH55" s="609"/>
      <c r="JKI55" s="609"/>
      <c r="JKJ55" s="609"/>
      <c r="JKK55" s="609"/>
      <c r="JKL55" s="609"/>
      <c r="JKM55" s="609"/>
      <c r="JKN55" s="609"/>
      <c r="JKO55" s="609"/>
      <c r="JKP55" s="609"/>
      <c r="JKQ55" s="609"/>
      <c r="JKR55" s="609"/>
      <c r="JKS55" s="609"/>
      <c r="JKT55" s="609"/>
      <c r="JKU55" s="609"/>
      <c r="JKV55" s="609"/>
      <c r="JKW55" s="609"/>
      <c r="JKX55" s="609"/>
      <c r="JKY55" s="609"/>
      <c r="JKZ55" s="609"/>
      <c r="JLA55" s="609"/>
      <c r="JLB55" s="609"/>
      <c r="JLC55" s="609"/>
      <c r="JLD55" s="609"/>
      <c r="JLE55" s="609"/>
      <c r="JLF55" s="609"/>
      <c r="JLG55" s="609"/>
      <c r="JLH55" s="609"/>
      <c r="JLI55" s="609"/>
      <c r="JLJ55" s="609"/>
      <c r="JLK55" s="609"/>
      <c r="JLL55" s="609"/>
      <c r="JLM55" s="609"/>
      <c r="JLN55" s="609"/>
      <c r="JLO55" s="609"/>
      <c r="JLP55" s="609"/>
      <c r="JLQ55" s="609"/>
      <c r="JLR55" s="609"/>
      <c r="JLS55" s="609"/>
      <c r="JLT55" s="609"/>
      <c r="JLU55" s="609"/>
      <c r="JLV55" s="609"/>
      <c r="JLW55" s="609"/>
      <c r="JLX55" s="609"/>
      <c r="JLY55" s="609"/>
      <c r="JLZ55" s="609"/>
      <c r="JMA55" s="609"/>
      <c r="JMB55" s="609"/>
      <c r="JMC55" s="609"/>
      <c r="JMD55" s="609"/>
      <c r="JME55" s="609"/>
      <c r="JMF55" s="609"/>
      <c r="JMG55" s="609"/>
      <c r="JMH55" s="609"/>
      <c r="JMI55" s="609"/>
      <c r="JMJ55" s="609"/>
      <c r="JMK55" s="609"/>
      <c r="JML55" s="609"/>
      <c r="JMM55" s="609"/>
      <c r="JMN55" s="609"/>
      <c r="JMO55" s="609"/>
      <c r="JMP55" s="609"/>
      <c r="JMQ55" s="609"/>
      <c r="JMR55" s="609"/>
      <c r="JMS55" s="609"/>
      <c r="JMT55" s="609"/>
      <c r="JMU55" s="609"/>
      <c r="JMV55" s="609"/>
      <c r="JMW55" s="609"/>
      <c r="JMX55" s="609"/>
      <c r="JMY55" s="609"/>
      <c r="JMZ55" s="609"/>
      <c r="JNA55" s="609"/>
      <c r="JNB55" s="609"/>
      <c r="JNC55" s="609"/>
      <c r="JND55" s="609"/>
      <c r="JNE55" s="609"/>
      <c r="JNF55" s="609"/>
      <c r="JNG55" s="609"/>
      <c r="JNH55" s="609"/>
      <c r="JNI55" s="609"/>
      <c r="JNJ55" s="609"/>
      <c r="JNK55" s="609"/>
      <c r="JNL55" s="609"/>
      <c r="JNM55" s="609"/>
      <c r="JNN55" s="609"/>
      <c r="JNO55" s="609"/>
      <c r="JNP55" s="609"/>
      <c r="JNQ55" s="609"/>
      <c r="JNR55" s="609"/>
      <c r="JNS55" s="609"/>
      <c r="JNT55" s="609"/>
      <c r="JNU55" s="609"/>
      <c r="JNV55" s="609"/>
      <c r="JNW55" s="609"/>
      <c r="JNX55" s="609"/>
      <c r="JNY55" s="609"/>
      <c r="JNZ55" s="609"/>
      <c r="JOA55" s="609"/>
      <c r="JOB55" s="609"/>
      <c r="JOC55" s="609"/>
      <c r="JOD55" s="609"/>
      <c r="JOE55" s="609"/>
      <c r="JOF55" s="609"/>
      <c r="JOG55" s="609"/>
      <c r="JOH55" s="609"/>
      <c r="JOI55" s="609"/>
      <c r="JOJ55" s="609"/>
      <c r="JOK55" s="609"/>
      <c r="JOL55" s="609"/>
      <c r="JOM55" s="609"/>
      <c r="JON55" s="609"/>
      <c r="JOO55" s="609"/>
      <c r="JOP55" s="609"/>
      <c r="JOQ55" s="609"/>
      <c r="JOR55" s="609"/>
      <c r="JOS55" s="609"/>
      <c r="JOT55" s="609"/>
      <c r="JOU55" s="609"/>
      <c r="JOV55" s="609"/>
      <c r="JOW55" s="609"/>
      <c r="JOX55" s="609"/>
      <c r="JOY55" s="609"/>
      <c r="JOZ55" s="609"/>
      <c r="JPA55" s="609"/>
      <c r="JPB55" s="609"/>
      <c r="JPC55" s="609"/>
      <c r="JPD55" s="609"/>
      <c r="JPE55" s="609"/>
      <c r="JPF55" s="609"/>
      <c r="JPG55" s="609"/>
      <c r="JPH55" s="609"/>
      <c r="JPI55" s="609"/>
      <c r="JPJ55" s="609"/>
      <c r="JPK55" s="609"/>
      <c r="JPL55" s="609"/>
      <c r="JPM55" s="609"/>
      <c r="JPN55" s="609"/>
      <c r="JPO55" s="609"/>
      <c r="JPP55" s="609"/>
      <c r="JPQ55" s="609"/>
      <c r="JPR55" s="609"/>
      <c r="JPS55" s="609"/>
      <c r="JPT55" s="609"/>
      <c r="JPU55" s="609"/>
      <c r="JPV55" s="609"/>
      <c r="JPW55" s="609"/>
      <c r="JPX55" s="609"/>
      <c r="JPY55" s="609"/>
      <c r="JPZ55" s="609"/>
      <c r="JQA55" s="609"/>
      <c r="JQB55" s="609"/>
      <c r="JQC55" s="609"/>
      <c r="JQD55" s="609"/>
      <c r="JQE55" s="609"/>
      <c r="JQF55" s="609"/>
      <c r="JQG55" s="609"/>
      <c r="JQH55" s="609"/>
      <c r="JQI55" s="609"/>
      <c r="JQJ55" s="609"/>
      <c r="JQK55" s="609"/>
      <c r="JQL55" s="609"/>
      <c r="JQM55" s="609"/>
      <c r="JQN55" s="609"/>
      <c r="JQO55" s="609"/>
      <c r="JQP55" s="609"/>
      <c r="JQQ55" s="609"/>
      <c r="JQR55" s="609"/>
      <c r="JQS55" s="609"/>
      <c r="JQT55" s="609"/>
      <c r="JQU55" s="609"/>
      <c r="JQV55" s="609"/>
      <c r="JQW55" s="609"/>
      <c r="JQX55" s="609"/>
      <c r="JQY55" s="609"/>
      <c r="JQZ55" s="609"/>
      <c r="JRA55" s="609"/>
      <c r="JRB55" s="609"/>
      <c r="JRC55" s="609"/>
      <c r="JRD55" s="609"/>
      <c r="JRE55" s="609"/>
      <c r="JRF55" s="609"/>
      <c r="JRG55" s="609"/>
      <c r="JRH55" s="609"/>
      <c r="JRI55" s="609"/>
      <c r="JRJ55" s="609"/>
      <c r="JRK55" s="609"/>
      <c r="JRL55" s="609"/>
      <c r="JRM55" s="609"/>
      <c r="JRN55" s="609"/>
      <c r="JRO55" s="609"/>
      <c r="JRP55" s="609"/>
      <c r="JRQ55" s="609"/>
      <c r="JRR55" s="609"/>
      <c r="JRS55" s="609"/>
      <c r="JRT55" s="609"/>
      <c r="JRU55" s="609"/>
      <c r="JRV55" s="609"/>
      <c r="JRW55" s="609"/>
      <c r="JRX55" s="609"/>
      <c r="JRY55" s="609"/>
      <c r="JRZ55" s="609"/>
      <c r="JSA55" s="609"/>
      <c r="JSB55" s="609"/>
      <c r="JSC55" s="609"/>
      <c r="JSD55" s="609"/>
      <c r="JSE55" s="609"/>
      <c r="JSF55" s="609"/>
      <c r="JSG55" s="609"/>
      <c r="JSH55" s="609"/>
      <c r="JSI55" s="609"/>
      <c r="JSJ55" s="609"/>
      <c r="JSK55" s="609"/>
      <c r="JSL55" s="609"/>
      <c r="JSM55" s="609"/>
      <c r="JSN55" s="609"/>
      <c r="JSO55" s="609"/>
      <c r="JSP55" s="609"/>
      <c r="JSQ55" s="609"/>
      <c r="JSR55" s="609"/>
      <c r="JSS55" s="609"/>
      <c r="JST55" s="609"/>
      <c r="JSU55" s="609"/>
      <c r="JSV55" s="609"/>
      <c r="JSW55" s="609"/>
      <c r="JSX55" s="609"/>
      <c r="JSY55" s="609"/>
      <c r="JSZ55" s="609"/>
      <c r="JTA55" s="609"/>
      <c r="JTB55" s="609"/>
      <c r="JTC55" s="609"/>
      <c r="JTD55" s="609"/>
      <c r="JTE55" s="609"/>
      <c r="JTF55" s="609"/>
      <c r="JTG55" s="609"/>
      <c r="JTH55" s="609"/>
      <c r="JTI55" s="609"/>
      <c r="JTJ55" s="609"/>
      <c r="JTK55" s="609"/>
      <c r="JTL55" s="609"/>
      <c r="JTM55" s="609"/>
      <c r="JTN55" s="609"/>
      <c r="JTO55" s="609"/>
      <c r="JTP55" s="609"/>
      <c r="JTQ55" s="609"/>
      <c r="JTR55" s="609"/>
      <c r="JTS55" s="609"/>
      <c r="JTT55" s="609"/>
      <c r="JTU55" s="609"/>
      <c r="JTV55" s="609"/>
      <c r="JTW55" s="609"/>
      <c r="JTX55" s="609"/>
      <c r="JTY55" s="609"/>
      <c r="JTZ55" s="609"/>
      <c r="JUA55" s="609"/>
      <c r="JUB55" s="609"/>
      <c r="JUC55" s="609"/>
      <c r="JUD55" s="609"/>
      <c r="JUE55" s="609"/>
      <c r="JUF55" s="609"/>
      <c r="JUG55" s="609"/>
      <c r="JUH55" s="609"/>
      <c r="JUI55" s="609"/>
      <c r="JUJ55" s="609"/>
      <c r="JUK55" s="609"/>
      <c r="JUL55" s="609"/>
      <c r="JUM55" s="609"/>
      <c r="JUN55" s="609"/>
      <c r="JUO55" s="609"/>
      <c r="JUP55" s="609"/>
      <c r="JUQ55" s="609"/>
      <c r="JUR55" s="609"/>
      <c r="JUS55" s="609"/>
      <c r="JUT55" s="609"/>
      <c r="JUU55" s="609"/>
      <c r="JUV55" s="609"/>
      <c r="JUW55" s="609"/>
      <c r="JUX55" s="609"/>
      <c r="JUY55" s="609"/>
      <c r="JUZ55" s="609"/>
      <c r="JVA55" s="609"/>
      <c r="JVB55" s="609"/>
      <c r="JVC55" s="609"/>
      <c r="JVD55" s="609"/>
      <c r="JVE55" s="609"/>
      <c r="JVF55" s="609"/>
      <c r="JVG55" s="609"/>
      <c r="JVH55" s="609"/>
      <c r="JVI55" s="609"/>
      <c r="JVJ55" s="609"/>
      <c r="JVK55" s="609"/>
      <c r="JVL55" s="609"/>
      <c r="JVM55" s="609"/>
      <c r="JVN55" s="609"/>
      <c r="JVO55" s="609"/>
      <c r="JVP55" s="609"/>
      <c r="JVQ55" s="609"/>
      <c r="JVR55" s="609"/>
      <c r="JVS55" s="609"/>
      <c r="JVT55" s="609"/>
      <c r="JVU55" s="609"/>
      <c r="JVV55" s="609"/>
      <c r="JVW55" s="609"/>
      <c r="JVX55" s="609"/>
      <c r="JVY55" s="609"/>
      <c r="JVZ55" s="609"/>
      <c r="JWA55" s="609"/>
      <c r="JWB55" s="609"/>
      <c r="JWC55" s="609"/>
      <c r="JWD55" s="609"/>
      <c r="JWE55" s="609"/>
      <c r="JWF55" s="609"/>
      <c r="JWG55" s="609"/>
      <c r="JWH55" s="609"/>
      <c r="JWI55" s="609"/>
      <c r="JWJ55" s="609"/>
      <c r="JWK55" s="609"/>
      <c r="JWL55" s="609"/>
      <c r="JWM55" s="609"/>
      <c r="JWN55" s="609"/>
      <c r="JWO55" s="609"/>
      <c r="JWP55" s="609"/>
      <c r="JWQ55" s="609"/>
      <c r="JWR55" s="609"/>
      <c r="JWS55" s="609"/>
      <c r="JWT55" s="609"/>
      <c r="JWU55" s="609"/>
      <c r="JWV55" s="609"/>
      <c r="JWW55" s="609"/>
      <c r="JWX55" s="609"/>
      <c r="JWY55" s="609"/>
      <c r="JWZ55" s="609"/>
      <c r="JXA55" s="609"/>
      <c r="JXB55" s="609"/>
      <c r="JXC55" s="609"/>
      <c r="JXD55" s="609"/>
      <c r="JXE55" s="609"/>
      <c r="JXF55" s="609"/>
      <c r="JXG55" s="609"/>
      <c r="JXH55" s="609"/>
      <c r="JXI55" s="609"/>
      <c r="JXJ55" s="609"/>
      <c r="JXK55" s="609"/>
      <c r="JXL55" s="609"/>
      <c r="JXM55" s="609"/>
      <c r="JXN55" s="609"/>
      <c r="JXO55" s="609"/>
      <c r="JXP55" s="609"/>
      <c r="JXQ55" s="609"/>
      <c r="JXR55" s="609"/>
      <c r="JXS55" s="609"/>
      <c r="JXT55" s="609"/>
      <c r="JXU55" s="609"/>
      <c r="JXV55" s="609"/>
      <c r="JXW55" s="609"/>
      <c r="JXX55" s="609"/>
      <c r="JXY55" s="609"/>
      <c r="JXZ55" s="609"/>
      <c r="JYA55" s="609"/>
      <c r="JYB55" s="609"/>
      <c r="JYC55" s="609"/>
      <c r="JYD55" s="609"/>
      <c r="JYE55" s="609"/>
      <c r="JYF55" s="609"/>
      <c r="JYG55" s="609"/>
      <c r="JYH55" s="609"/>
      <c r="JYI55" s="609"/>
      <c r="JYJ55" s="609"/>
      <c r="JYK55" s="609"/>
      <c r="JYL55" s="609"/>
      <c r="JYM55" s="609"/>
      <c r="JYN55" s="609"/>
      <c r="JYO55" s="609"/>
      <c r="JYP55" s="609"/>
      <c r="JYQ55" s="609"/>
      <c r="JYR55" s="609"/>
      <c r="JYS55" s="609"/>
      <c r="JYT55" s="609"/>
      <c r="JYU55" s="609"/>
      <c r="JYV55" s="609"/>
      <c r="JYW55" s="609"/>
      <c r="JYX55" s="609"/>
      <c r="JYY55" s="609"/>
      <c r="JYZ55" s="609"/>
      <c r="JZA55" s="609"/>
      <c r="JZB55" s="609"/>
      <c r="JZC55" s="609"/>
      <c r="JZD55" s="609"/>
      <c r="JZE55" s="609"/>
      <c r="JZF55" s="609"/>
      <c r="JZG55" s="609"/>
      <c r="JZH55" s="609"/>
      <c r="JZI55" s="609"/>
      <c r="JZJ55" s="609"/>
      <c r="JZK55" s="609"/>
      <c r="JZL55" s="609"/>
      <c r="JZM55" s="609"/>
      <c r="JZN55" s="609"/>
      <c r="JZO55" s="609"/>
      <c r="JZP55" s="609"/>
      <c r="JZQ55" s="609"/>
      <c r="JZR55" s="609"/>
      <c r="JZS55" s="609"/>
      <c r="JZT55" s="609"/>
      <c r="JZU55" s="609"/>
      <c r="JZV55" s="609"/>
      <c r="JZW55" s="609"/>
      <c r="JZX55" s="609"/>
      <c r="JZY55" s="609"/>
      <c r="JZZ55" s="609"/>
      <c r="KAA55" s="609"/>
      <c r="KAB55" s="609"/>
      <c r="KAC55" s="609"/>
      <c r="KAD55" s="609"/>
      <c r="KAE55" s="609"/>
      <c r="KAF55" s="609"/>
      <c r="KAG55" s="609"/>
      <c r="KAH55" s="609"/>
      <c r="KAI55" s="609"/>
      <c r="KAJ55" s="609"/>
      <c r="KAK55" s="609"/>
      <c r="KAL55" s="609"/>
      <c r="KAM55" s="609"/>
      <c r="KAN55" s="609"/>
      <c r="KAO55" s="609"/>
      <c r="KAP55" s="609"/>
      <c r="KAQ55" s="609"/>
      <c r="KAR55" s="609"/>
      <c r="KAS55" s="609"/>
      <c r="KAT55" s="609"/>
      <c r="KAU55" s="609"/>
      <c r="KAV55" s="609"/>
      <c r="KAW55" s="609"/>
      <c r="KAX55" s="609"/>
      <c r="KAY55" s="609"/>
      <c r="KAZ55" s="609"/>
      <c r="KBA55" s="609"/>
      <c r="KBB55" s="609"/>
      <c r="KBC55" s="609"/>
      <c r="KBD55" s="609"/>
      <c r="KBE55" s="609"/>
      <c r="KBF55" s="609"/>
      <c r="KBG55" s="609"/>
      <c r="KBH55" s="609"/>
      <c r="KBI55" s="609"/>
      <c r="KBJ55" s="609"/>
      <c r="KBK55" s="609"/>
      <c r="KBL55" s="609"/>
      <c r="KBM55" s="609"/>
      <c r="KBN55" s="609"/>
      <c r="KBO55" s="609"/>
      <c r="KBP55" s="609"/>
      <c r="KBQ55" s="609"/>
      <c r="KBR55" s="609"/>
      <c r="KBS55" s="609"/>
      <c r="KBT55" s="609"/>
      <c r="KBU55" s="609"/>
      <c r="KBV55" s="609"/>
      <c r="KBW55" s="609"/>
      <c r="KBX55" s="609"/>
      <c r="KBY55" s="609"/>
      <c r="KBZ55" s="609"/>
      <c r="KCA55" s="609"/>
      <c r="KCB55" s="609"/>
      <c r="KCC55" s="609"/>
      <c r="KCD55" s="609"/>
      <c r="KCE55" s="609"/>
      <c r="KCF55" s="609"/>
      <c r="KCG55" s="609"/>
      <c r="KCH55" s="609"/>
      <c r="KCI55" s="609"/>
      <c r="KCJ55" s="609"/>
      <c r="KCK55" s="609"/>
      <c r="KCL55" s="609"/>
      <c r="KCM55" s="609"/>
      <c r="KCN55" s="609"/>
      <c r="KCO55" s="609"/>
      <c r="KCP55" s="609"/>
      <c r="KCQ55" s="609"/>
      <c r="KCR55" s="609"/>
      <c r="KCS55" s="609"/>
      <c r="KCT55" s="609"/>
      <c r="KCU55" s="609"/>
      <c r="KCV55" s="609"/>
      <c r="KCW55" s="609"/>
      <c r="KCX55" s="609"/>
      <c r="KCY55" s="609"/>
      <c r="KCZ55" s="609"/>
      <c r="KDA55" s="609"/>
      <c r="KDB55" s="609"/>
      <c r="KDC55" s="609"/>
      <c r="KDD55" s="609"/>
      <c r="KDE55" s="609"/>
      <c r="KDF55" s="609"/>
      <c r="KDG55" s="609"/>
      <c r="KDH55" s="609"/>
      <c r="KDI55" s="609"/>
      <c r="KDJ55" s="609"/>
      <c r="KDK55" s="609"/>
      <c r="KDL55" s="609"/>
      <c r="KDM55" s="609"/>
      <c r="KDN55" s="609"/>
      <c r="KDO55" s="609"/>
      <c r="KDP55" s="609"/>
      <c r="KDQ55" s="609"/>
      <c r="KDR55" s="609"/>
      <c r="KDS55" s="609"/>
      <c r="KDT55" s="609"/>
      <c r="KDU55" s="609"/>
      <c r="KDV55" s="609"/>
      <c r="KDW55" s="609"/>
      <c r="KDX55" s="609"/>
      <c r="KDY55" s="609"/>
      <c r="KDZ55" s="609"/>
      <c r="KEA55" s="609"/>
      <c r="KEB55" s="609"/>
      <c r="KEC55" s="609"/>
      <c r="KED55" s="609"/>
      <c r="KEE55" s="609"/>
      <c r="KEF55" s="609"/>
      <c r="KEG55" s="609"/>
      <c r="KEH55" s="609"/>
      <c r="KEI55" s="609"/>
      <c r="KEJ55" s="609"/>
      <c r="KEK55" s="609"/>
      <c r="KEL55" s="609"/>
      <c r="KEM55" s="609"/>
      <c r="KEN55" s="609"/>
      <c r="KEO55" s="609"/>
      <c r="KEP55" s="609"/>
      <c r="KEQ55" s="609"/>
      <c r="KER55" s="609"/>
      <c r="KES55" s="609"/>
      <c r="KET55" s="609"/>
      <c r="KEU55" s="609"/>
      <c r="KEV55" s="609"/>
      <c r="KEW55" s="609"/>
      <c r="KEX55" s="609"/>
      <c r="KEY55" s="609"/>
      <c r="KEZ55" s="609"/>
      <c r="KFA55" s="609"/>
      <c r="KFB55" s="609"/>
      <c r="KFC55" s="609"/>
      <c r="KFD55" s="609"/>
      <c r="KFE55" s="609"/>
      <c r="KFF55" s="609"/>
      <c r="KFG55" s="609"/>
      <c r="KFH55" s="609"/>
      <c r="KFI55" s="609"/>
      <c r="KFJ55" s="609"/>
      <c r="KFK55" s="609"/>
      <c r="KFL55" s="609"/>
      <c r="KFM55" s="609"/>
      <c r="KFN55" s="609"/>
      <c r="KFO55" s="609"/>
      <c r="KFP55" s="609"/>
      <c r="KFQ55" s="609"/>
      <c r="KFR55" s="609"/>
      <c r="KFS55" s="609"/>
      <c r="KFT55" s="609"/>
      <c r="KFU55" s="609"/>
      <c r="KFV55" s="609"/>
      <c r="KFW55" s="609"/>
      <c r="KFX55" s="609"/>
      <c r="KFY55" s="609"/>
      <c r="KFZ55" s="609"/>
      <c r="KGA55" s="609"/>
      <c r="KGB55" s="609"/>
      <c r="KGC55" s="609"/>
      <c r="KGD55" s="609"/>
      <c r="KGE55" s="609"/>
      <c r="KGF55" s="609"/>
      <c r="KGG55" s="609"/>
      <c r="KGH55" s="609"/>
      <c r="KGI55" s="609"/>
      <c r="KGJ55" s="609"/>
      <c r="KGK55" s="609"/>
      <c r="KGL55" s="609"/>
      <c r="KGM55" s="609"/>
      <c r="KGN55" s="609"/>
      <c r="KGO55" s="609"/>
      <c r="KGP55" s="609"/>
      <c r="KGQ55" s="609"/>
      <c r="KGR55" s="609"/>
      <c r="KGS55" s="609"/>
      <c r="KGT55" s="609"/>
      <c r="KGU55" s="609"/>
      <c r="KGV55" s="609"/>
      <c r="KGW55" s="609"/>
      <c r="KGX55" s="609"/>
      <c r="KGY55" s="609"/>
      <c r="KGZ55" s="609"/>
      <c r="KHA55" s="609"/>
      <c r="KHB55" s="609"/>
      <c r="KHC55" s="609"/>
      <c r="KHD55" s="609"/>
      <c r="KHE55" s="609"/>
      <c r="KHF55" s="609"/>
      <c r="KHG55" s="609"/>
      <c r="KHH55" s="609"/>
      <c r="KHI55" s="609"/>
      <c r="KHJ55" s="609"/>
      <c r="KHK55" s="609"/>
      <c r="KHL55" s="609"/>
      <c r="KHM55" s="609"/>
      <c r="KHN55" s="609"/>
      <c r="KHO55" s="609"/>
      <c r="KHP55" s="609"/>
      <c r="KHQ55" s="609"/>
      <c r="KHR55" s="609"/>
      <c r="KHS55" s="609"/>
      <c r="KHT55" s="609"/>
      <c r="KHU55" s="609"/>
      <c r="KHV55" s="609"/>
      <c r="KHW55" s="609"/>
      <c r="KHX55" s="609"/>
      <c r="KHY55" s="609"/>
      <c r="KHZ55" s="609"/>
      <c r="KIA55" s="609"/>
      <c r="KIB55" s="609"/>
      <c r="KIC55" s="609"/>
      <c r="KID55" s="609"/>
      <c r="KIE55" s="609"/>
      <c r="KIF55" s="609"/>
      <c r="KIG55" s="609"/>
      <c r="KIH55" s="609"/>
      <c r="KII55" s="609"/>
      <c r="KIJ55" s="609"/>
      <c r="KIK55" s="609"/>
      <c r="KIL55" s="609"/>
      <c r="KIM55" s="609"/>
      <c r="KIN55" s="609"/>
      <c r="KIO55" s="609"/>
      <c r="KIP55" s="609"/>
      <c r="KIQ55" s="609"/>
      <c r="KIR55" s="609"/>
      <c r="KIS55" s="609"/>
      <c r="KIT55" s="609"/>
      <c r="KIU55" s="609"/>
      <c r="KIV55" s="609"/>
      <c r="KIW55" s="609"/>
      <c r="KIX55" s="609"/>
      <c r="KIY55" s="609"/>
      <c r="KIZ55" s="609"/>
      <c r="KJA55" s="609"/>
      <c r="KJB55" s="609"/>
      <c r="KJC55" s="609"/>
      <c r="KJD55" s="609"/>
      <c r="KJE55" s="609"/>
      <c r="KJF55" s="609"/>
      <c r="KJG55" s="609"/>
      <c r="KJH55" s="609"/>
      <c r="KJI55" s="609"/>
      <c r="KJJ55" s="609"/>
      <c r="KJK55" s="609"/>
      <c r="KJL55" s="609"/>
      <c r="KJM55" s="609"/>
      <c r="KJN55" s="609"/>
      <c r="KJO55" s="609"/>
      <c r="KJP55" s="609"/>
      <c r="KJQ55" s="609"/>
      <c r="KJR55" s="609"/>
      <c r="KJS55" s="609"/>
      <c r="KJT55" s="609"/>
      <c r="KJU55" s="609"/>
      <c r="KJV55" s="609"/>
      <c r="KJW55" s="609"/>
      <c r="KJX55" s="609"/>
      <c r="KJY55" s="609"/>
      <c r="KJZ55" s="609"/>
      <c r="KKA55" s="609"/>
      <c r="KKB55" s="609"/>
      <c r="KKC55" s="609"/>
      <c r="KKD55" s="609"/>
      <c r="KKE55" s="609"/>
      <c r="KKF55" s="609"/>
      <c r="KKG55" s="609"/>
      <c r="KKH55" s="609"/>
      <c r="KKI55" s="609"/>
      <c r="KKJ55" s="609"/>
      <c r="KKK55" s="609"/>
      <c r="KKL55" s="609"/>
      <c r="KKM55" s="609"/>
      <c r="KKN55" s="609"/>
      <c r="KKO55" s="609"/>
      <c r="KKP55" s="609"/>
      <c r="KKQ55" s="609"/>
      <c r="KKR55" s="609"/>
      <c r="KKS55" s="609"/>
      <c r="KKT55" s="609"/>
      <c r="KKU55" s="609"/>
      <c r="KKV55" s="609"/>
      <c r="KKW55" s="609"/>
      <c r="KKX55" s="609"/>
      <c r="KKY55" s="609"/>
      <c r="KKZ55" s="609"/>
      <c r="KLA55" s="609"/>
      <c r="KLB55" s="609"/>
      <c r="KLC55" s="609"/>
      <c r="KLD55" s="609"/>
      <c r="KLE55" s="609"/>
      <c r="KLF55" s="609"/>
      <c r="KLG55" s="609"/>
      <c r="KLH55" s="609"/>
      <c r="KLI55" s="609"/>
      <c r="KLJ55" s="609"/>
      <c r="KLK55" s="609"/>
      <c r="KLL55" s="609"/>
      <c r="KLM55" s="609"/>
      <c r="KLN55" s="609"/>
      <c r="KLO55" s="609"/>
      <c r="KLP55" s="609"/>
      <c r="KLQ55" s="609"/>
      <c r="KLR55" s="609"/>
      <c r="KLS55" s="609"/>
      <c r="KLT55" s="609"/>
      <c r="KLU55" s="609"/>
      <c r="KLV55" s="609"/>
      <c r="KLW55" s="609"/>
      <c r="KLX55" s="609"/>
      <c r="KLY55" s="609"/>
      <c r="KLZ55" s="609"/>
      <c r="KMA55" s="609"/>
      <c r="KMB55" s="609"/>
      <c r="KMC55" s="609"/>
      <c r="KMD55" s="609"/>
      <c r="KME55" s="609"/>
      <c r="KMF55" s="609"/>
      <c r="KMG55" s="609"/>
      <c r="KMH55" s="609"/>
      <c r="KMI55" s="609"/>
      <c r="KMJ55" s="609"/>
      <c r="KMK55" s="609"/>
      <c r="KML55" s="609"/>
      <c r="KMM55" s="609"/>
      <c r="KMN55" s="609"/>
      <c r="KMO55" s="609"/>
      <c r="KMP55" s="609"/>
      <c r="KMQ55" s="609"/>
      <c r="KMR55" s="609"/>
      <c r="KMS55" s="609"/>
      <c r="KMT55" s="609"/>
      <c r="KMU55" s="609"/>
      <c r="KMV55" s="609"/>
      <c r="KMW55" s="609"/>
      <c r="KMX55" s="609"/>
      <c r="KMY55" s="609"/>
      <c r="KMZ55" s="609"/>
      <c r="KNA55" s="609"/>
      <c r="KNB55" s="609"/>
      <c r="KNC55" s="609"/>
      <c r="KND55" s="609"/>
      <c r="KNE55" s="609"/>
      <c r="KNF55" s="609"/>
      <c r="KNG55" s="609"/>
      <c r="KNH55" s="609"/>
      <c r="KNI55" s="609"/>
      <c r="KNJ55" s="609"/>
      <c r="KNK55" s="609"/>
      <c r="KNL55" s="609"/>
      <c r="KNM55" s="609"/>
      <c r="KNN55" s="609"/>
      <c r="KNO55" s="609"/>
      <c r="KNP55" s="609"/>
      <c r="KNQ55" s="609"/>
      <c r="KNR55" s="609"/>
      <c r="KNS55" s="609"/>
      <c r="KNT55" s="609"/>
      <c r="KNU55" s="609"/>
      <c r="KNV55" s="609"/>
      <c r="KNW55" s="609"/>
      <c r="KNX55" s="609"/>
      <c r="KNY55" s="609"/>
      <c r="KNZ55" s="609"/>
      <c r="KOA55" s="609"/>
      <c r="KOB55" s="609"/>
      <c r="KOC55" s="609"/>
      <c r="KOD55" s="609"/>
      <c r="KOE55" s="609"/>
      <c r="KOF55" s="609"/>
      <c r="KOG55" s="609"/>
      <c r="KOH55" s="609"/>
      <c r="KOI55" s="609"/>
      <c r="KOJ55" s="609"/>
      <c r="KOK55" s="609"/>
      <c r="KOL55" s="609"/>
      <c r="KOM55" s="609"/>
      <c r="KON55" s="609"/>
      <c r="KOO55" s="609"/>
      <c r="KOP55" s="609"/>
      <c r="KOQ55" s="609"/>
      <c r="KOR55" s="609"/>
      <c r="KOS55" s="609"/>
      <c r="KOT55" s="609"/>
      <c r="KOU55" s="609"/>
      <c r="KOV55" s="609"/>
      <c r="KOW55" s="609"/>
      <c r="KOX55" s="609"/>
      <c r="KOY55" s="609"/>
      <c r="KOZ55" s="609"/>
      <c r="KPA55" s="609"/>
      <c r="KPB55" s="609"/>
      <c r="KPC55" s="609"/>
      <c r="KPD55" s="609"/>
      <c r="KPE55" s="609"/>
      <c r="KPF55" s="609"/>
      <c r="KPG55" s="609"/>
      <c r="KPH55" s="609"/>
      <c r="KPI55" s="609"/>
      <c r="KPJ55" s="609"/>
      <c r="KPK55" s="609"/>
      <c r="KPL55" s="609"/>
      <c r="KPM55" s="609"/>
      <c r="KPN55" s="609"/>
      <c r="KPO55" s="609"/>
      <c r="KPP55" s="609"/>
      <c r="KPQ55" s="609"/>
      <c r="KPR55" s="609"/>
      <c r="KPS55" s="609"/>
      <c r="KPT55" s="609"/>
      <c r="KPU55" s="609"/>
      <c r="KPV55" s="609"/>
      <c r="KPW55" s="609"/>
      <c r="KPX55" s="609"/>
      <c r="KPY55" s="609"/>
      <c r="KPZ55" s="609"/>
      <c r="KQA55" s="609"/>
      <c r="KQB55" s="609"/>
      <c r="KQC55" s="609"/>
      <c r="KQD55" s="609"/>
      <c r="KQE55" s="609"/>
      <c r="KQF55" s="609"/>
      <c r="KQG55" s="609"/>
      <c r="KQH55" s="609"/>
      <c r="KQI55" s="609"/>
      <c r="KQJ55" s="609"/>
      <c r="KQK55" s="609"/>
      <c r="KQL55" s="609"/>
      <c r="KQM55" s="609"/>
      <c r="KQN55" s="609"/>
      <c r="KQO55" s="609"/>
      <c r="KQP55" s="609"/>
      <c r="KQQ55" s="609"/>
      <c r="KQR55" s="609"/>
      <c r="KQS55" s="609"/>
      <c r="KQT55" s="609"/>
      <c r="KQU55" s="609"/>
      <c r="KQV55" s="609"/>
      <c r="KQW55" s="609"/>
      <c r="KQX55" s="609"/>
      <c r="KQY55" s="609"/>
      <c r="KQZ55" s="609"/>
      <c r="KRA55" s="609"/>
      <c r="KRB55" s="609"/>
      <c r="KRC55" s="609"/>
      <c r="KRD55" s="609"/>
      <c r="KRE55" s="609"/>
      <c r="KRF55" s="609"/>
      <c r="KRG55" s="609"/>
      <c r="KRH55" s="609"/>
      <c r="KRI55" s="609"/>
      <c r="KRJ55" s="609"/>
      <c r="KRK55" s="609"/>
      <c r="KRL55" s="609"/>
      <c r="KRM55" s="609"/>
      <c r="KRN55" s="609"/>
      <c r="KRO55" s="609"/>
      <c r="KRP55" s="609"/>
      <c r="KRQ55" s="609"/>
      <c r="KRR55" s="609"/>
      <c r="KRS55" s="609"/>
      <c r="KRT55" s="609"/>
      <c r="KRU55" s="609"/>
      <c r="KRV55" s="609"/>
      <c r="KRW55" s="609"/>
      <c r="KRX55" s="609"/>
      <c r="KRY55" s="609"/>
      <c r="KRZ55" s="609"/>
      <c r="KSA55" s="609"/>
      <c r="KSB55" s="609"/>
      <c r="KSC55" s="609"/>
      <c r="KSD55" s="609"/>
      <c r="KSE55" s="609"/>
      <c r="KSF55" s="609"/>
      <c r="KSG55" s="609"/>
      <c r="KSH55" s="609"/>
      <c r="KSI55" s="609"/>
      <c r="KSJ55" s="609"/>
      <c r="KSK55" s="609"/>
      <c r="KSL55" s="609"/>
      <c r="KSM55" s="609"/>
      <c r="KSN55" s="609"/>
      <c r="KSO55" s="609"/>
      <c r="KSP55" s="609"/>
      <c r="KSQ55" s="609"/>
      <c r="KSR55" s="609"/>
      <c r="KSS55" s="609"/>
      <c r="KST55" s="609"/>
      <c r="KSU55" s="609"/>
      <c r="KSV55" s="609"/>
      <c r="KSW55" s="609"/>
      <c r="KSX55" s="609"/>
      <c r="KSY55" s="609"/>
      <c r="KSZ55" s="609"/>
      <c r="KTA55" s="609"/>
      <c r="KTB55" s="609"/>
      <c r="KTC55" s="609"/>
      <c r="KTD55" s="609"/>
      <c r="KTE55" s="609"/>
      <c r="KTF55" s="609"/>
      <c r="KTG55" s="609"/>
      <c r="KTH55" s="609"/>
      <c r="KTI55" s="609"/>
      <c r="KTJ55" s="609"/>
      <c r="KTK55" s="609"/>
      <c r="KTL55" s="609"/>
      <c r="KTM55" s="609"/>
      <c r="KTN55" s="609"/>
      <c r="KTO55" s="609"/>
      <c r="KTP55" s="609"/>
      <c r="KTQ55" s="609"/>
      <c r="KTR55" s="609"/>
      <c r="KTS55" s="609"/>
      <c r="KTT55" s="609"/>
      <c r="KTU55" s="609"/>
      <c r="KTV55" s="609"/>
      <c r="KTW55" s="609"/>
      <c r="KTX55" s="609"/>
      <c r="KTY55" s="609"/>
      <c r="KTZ55" s="609"/>
      <c r="KUA55" s="609"/>
      <c r="KUB55" s="609"/>
      <c r="KUC55" s="609"/>
      <c r="KUD55" s="609"/>
      <c r="KUE55" s="609"/>
      <c r="KUF55" s="609"/>
      <c r="KUG55" s="609"/>
      <c r="KUH55" s="609"/>
      <c r="KUI55" s="609"/>
      <c r="KUJ55" s="609"/>
      <c r="KUK55" s="609"/>
      <c r="KUL55" s="609"/>
      <c r="KUM55" s="609"/>
      <c r="KUN55" s="609"/>
      <c r="KUO55" s="609"/>
      <c r="KUP55" s="609"/>
      <c r="KUQ55" s="609"/>
      <c r="KUR55" s="609"/>
      <c r="KUS55" s="609"/>
      <c r="KUT55" s="609"/>
      <c r="KUU55" s="609"/>
      <c r="KUV55" s="609"/>
      <c r="KUW55" s="609"/>
      <c r="KUX55" s="609"/>
      <c r="KUY55" s="609"/>
      <c r="KUZ55" s="609"/>
      <c r="KVA55" s="609"/>
      <c r="KVB55" s="609"/>
      <c r="KVC55" s="609"/>
      <c r="KVD55" s="609"/>
      <c r="KVE55" s="609"/>
      <c r="KVF55" s="609"/>
      <c r="KVG55" s="609"/>
      <c r="KVH55" s="609"/>
      <c r="KVI55" s="609"/>
      <c r="KVJ55" s="609"/>
      <c r="KVK55" s="609"/>
      <c r="KVL55" s="609"/>
      <c r="KVM55" s="609"/>
      <c r="KVN55" s="609"/>
      <c r="KVO55" s="609"/>
      <c r="KVP55" s="609"/>
      <c r="KVQ55" s="609"/>
      <c r="KVR55" s="609"/>
      <c r="KVS55" s="609"/>
      <c r="KVT55" s="609"/>
      <c r="KVU55" s="609"/>
      <c r="KVV55" s="609"/>
      <c r="KVW55" s="609"/>
      <c r="KVX55" s="609"/>
      <c r="KVY55" s="609"/>
      <c r="KVZ55" s="609"/>
      <c r="KWA55" s="609"/>
      <c r="KWB55" s="609"/>
      <c r="KWC55" s="609"/>
      <c r="KWD55" s="609"/>
      <c r="KWE55" s="609"/>
      <c r="KWF55" s="609"/>
      <c r="KWG55" s="609"/>
      <c r="KWH55" s="609"/>
      <c r="KWI55" s="609"/>
      <c r="KWJ55" s="609"/>
      <c r="KWK55" s="609"/>
      <c r="KWL55" s="609"/>
      <c r="KWM55" s="609"/>
      <c r="KWN55" s="609"/>
      <c r="KWO55" s="609"/>
      <c r="KWP55" s="609"/>
      <c r="KWQ55" s="609"/>
      <c r="KWR55" s="609"/>
      <c r="KWS55" s="609"/>
      <c r="KWT55" s="609"/>
      <c r="KWU55" s="609"/>
      <c r="KWV55" s="609"/>
      <c r="KWW55" s="609"/>
      <c r="KWX55" s="609"/>
      <c r="KWY55" s="609"/>
      <c r="KWZ55" s="609"/>
      <c r="KXA55" s="609"/>
      <c r="KXB55" s="609"/>
      <c r="KXC55" s="609"/>
      <c r="KXD55" s="609"/>
      <c r="KXE55" s="609"/>
      <c r="KXF55" s="609"/>
      <c r="KXG55" s="609"/>
      <c r="KXH55" s="609"/>
      <c r="KXI55" s="609"/>
      <c r="KXJ55" s="609"/>
      <c r="KXK55" s="609"/>
      <c r="KXL55" s="609"/>
      <c r="KXM55" s="609"/>
      <c r="KXN55" s="609"/>
      <c r="KXO55" s="609"/>
      <c r="KXP55" s="609"/>
      <c r="KXQ55" s="609"/>
      <c r="KXR55" s="609"/>
      <c r="KXS55" s="609"/>
      <c r="KXT55" s="609"/>
      <c r="KXU55" s="609"/>
      <c r="KXV55" s="609"/>
      <c r="KXW55" s="609"/>
      <c r="KXX55" s="609"/>
      <c r="KXY55" s="609"/>
      <c r="KXZ55" s="609"/>
      <c r="KYA55" s="609"/>
      <c r="KYB55" s="609"/>
      <c r="KYC55" s="609"/>
      <c r="KYD55" s="609"/>
      <c r="KYE55" s="609"/>
      <c r="KYF55" s="609"/>
      <c r="KYG55" s="609"/>
      <c r="KYH55" s="609"/>
      <c r="KYI55" s="609"/>
      <c r="KYJ55" s="609"/>
      <c r="KYK55" s="609"/>
      <c r="KYL55" s="609"/>
      <c r="KYM55" s="609"/>
      <c r="KYN55" s="609"/>
      <c r="KYO55" s="609"/>
      <c r="KYP55" s="609"/>
      <c r="KYQ55" s="609"/>
      <c r="KYR55" s="609"/>
      <c r="KYS55" s="609"/>
      <c r="KYT55" s="609"/>
      <c r="KYU55" s="609"/>
      <c r="KYV55" s="609"/>
      <c r="KYW55" s="609"/>
      <c r="KYX55" s="609"/>
      <c r="KYY55" s="609"/>
      <c r="KYZ55" s="609"/>
      <c r="KZA55" s="609"/>
      <c r="KZB55" s="609"/>
      <c r="KZC55" s="609"/>
      <c r="KZD55" s="609"/>
      <c r="KZE55" s="609"/>
      <c r="KZF55" s="609"/>
      <c r="KZG55" s="609"/>
      <c r="KZH55" s="609"/>
      <c r="KZI55" s="609"/>
      <c r="KZJ55" s="609"/>
      <c r="KZK55" s="609"/>
      <c r="KZL55" s="609"/>
      <c r="KZM55" s="609"/>
      <c r="KZN55" s="609"/>
      <c r="KZO55" s="609"/>
      <c r="KZP55" s="609"/>
      <c r="KZQ55" s="609"/>
      <c r="KZR55" s="609"/>
      <c r="KZS55" s="609"/>
      <c r="KZT55" s="609"/>
      <c r="KZU55" s="609"/>
      <c r="KZV55" s="609"/>
      <c r="KZW55" s="609"/>
      <c r="KZX55" s="609"/>
      <c r="KZY55" s="609"/>
      <c r="KZZ55" s="609"/>
      <c r="LAA55" s="609"/>
      <c r="LAB55" s="609"/>
      <c r="LAC55" s="609"/>
      <c r="LAD55" s="609"/>
      <c r="LAE55" s="609"/>
      <c r="LAF55" s="609"/>
      <c r="LAG55" s="609"/>
      <c r="LAH55" s="609"/>
      <c r="LAI55" s="609"/>
      <c r="LAJ55" s="609"/>
      <c r="LAK55" s="609"/>
      <c r="LAL55" s="609"/>
      <c r="LAM55" s="609"/>
      <c r="LAN55" s="609"/>
      <c r="LAO55" s="609"/>
      <c r="LAP55" s="609"/>
      <c r="LAQ55" s="609"/>
      <c r="LAR55" s="609"/>
      <c r="LAS55" s="609"/>
      <c r="LAT55" s="609"/>
      <c r="LAU55" s="609"/>
      <c r="LAV55" s="609"/>
      <c r="LAW55" s="609"/>
      <c r="LAX55" s="609"/>
      <c r="LAY55" s="609"/>
      <c r="LAZ55" s="609"/>
      <c r="LBA55" s="609"/>
      <c r="LBB55" s="609"/>
      <c r="LBC55" s="609"/>
      <c r="LBD55" s="609"/>
      <c r="LBE55" s="609"/>
      <c r="LBF55" s="609"/>
      <c r="LBG55" s="609"/>
      <c r="LBH55" s="609"/>
      <c r="LBI55" s="609"/>
      <c r="LBJ55" s="609"/>
      <c r="LBK55" s="609"/>
      <c r="LBL55" s="609"/>
      <c r="LBM55" s="609"/>
      <c r="LBN55" s="609"/>
      <c r="LBO55" s="609"/>
      <c r="LBP55" s="609"/>
      <c r="LBQ55" s="609"/>
      <c r="LBR55" s="609"/>
      <c r="LBS55" s="609"/>
      <c r="LBT55" s="609"/>
      <c r="LBU55" s="609"/>
      <c r="LBV55" s="609"/>
      <c r="LBW55" s="609"/>
      <c r="LBX55" s="609"/>
      <c r="LBY55" s="609"/>
      <c r="LBZ55" s="609"/>
      <c r="LCA55" s="609"/>
      <c r="LCB55" s="609"/>
      <c r="LCC55" s="609"/>
      <c r="LCD55" s="609"/>
      <c r="LCE55" s="609"/>
      <c r="LCF55" s="609"/>
      <c r="LCG55" s="609"/>
      <c r="LCH55" s="609"/>
      <c r="LCI55" s="609"/>
      <c r="LCJ55" s="609"/>
      <c r="LCK55" s="609"/>
      <c r="LCL55" s="609"/>
      <c r="LCM55" s="609"/>
      <c r="LCN55" s="609"/>
      <c r="LCO55" s="609"/>
      <c r="LCP55" s="609"/>
      <c r="LCQ55" s="609"/>
      <c r="LCR55" s="609"/>
      <c r="LCS55" s="609"/>
      <c r="LCT55" s="609"/>
      <c r="LCU55" s="609"/>
      <c r="LCV55" s="609"/>
      <c r="LCW55" s="609"/>
      <c r="LCX55" s="609"/>
      <c r="LCY55" s="609"/>
      <c r="LCZ55" s="609"/>
      <c r="LDA55" s="609"/>
      <c r="LDB55" s="609"/>
      <c r="LDC55" s="609"/>
      <c r="LDD55" s="609"/>
      <c r="LDE55" s="609"/>
      <c r="LDF55" s="609"/>
      <c r="LDG55" s="609"/>
      <c r="LDH55" s="609"/>
      <c r="LDI55" s="609"/>
      <c r="LDJ55" s="609"/>
      <c r="LDK55" s="609"/>
      <c r="LDL55" s="609"/>
      <c r="LDM55" s="609"/>
      <c r="LDN55" s="609"/>
      <c r="LDO55" s="609"/>
      <c r="LDP55" s="609"/>
      <c r="LDQ55" s="609"/>
      <c r="LDR55" s="609"/>
      <c r="LDS55" s="609"/>
      <c r="LDT55" s="609"/>
      <c r="LDU55" s="609"/>
      <c r="LDV55" s="609"/>
      <c r="LDW55" s="609"/>
      <c r="LDX55" s="609"/>
      <c r="LDY55" s="609"/>
      <c r="LDZ55" s="609"/>
      <c r="LEA55" s="609"/>
      <c r="LEB55" s="609"/>
      <c r="LEC55" s="609"/>
      <c r="LED55" s="609"/>
      <c r="LEE55" s="609"/>
      <c r="LEF55" s="609"/>
      <c r="LEG55" s="609"/>
      <c r="LEH55" s="609"/>
      <c r="LEI55" s="609"/>
      <c r="LEJ55" s="609"/>
      <c r="LEK55" s="609"/>
      <c r="LEL55" s="609"/>
      <c r="LEM55" s="609"/>
      <c r="LEN55" s="609"/>
      <c r="LEO55" s="609"/>
      <c r="LEP55" s="609"/>
      <c r="LEQ55" s="609"/>
      <c r="LER55" s="609"/>
      <c r="LES55" s="609"/>
      <c r="LET55" s="609"/>
      <c r="LEU55" s="609"/>
      <c r="LEV55" s="609"/>
      <c r="LEW55" s="609"/>
      <c r="LEX55" s="609"/>
      <c r="LEY55" s="609"/>
      <c r="LEZ55" s="609"/>
      <c r="LFA55" s="609"/>
      <c r="LFB55" s="609"/>
      <c r="LFC55" s="609"/>
      <c r="LFD55" s="609"/>
      <c r="LFE55" s="609"/>
      <c r="LFF55" s="609"/>
      <c r="LFG55" s="609"/>
      <c r="LFH55" s="609"/>
      <c r="LFI55" s="609"/>
      <c r="LFJ55" s="609"/>
      <c r="LFK55" s="609"/>
      <c r="LFL55" s="609"/>
      <c r="LFM55" s="609"/>
      <c r="LFN55" s="609"/>
      <c r="LFO55" s="609"/>
      <c r="LFP55" s="609"/>
      <c r="LFQ55" s="609"/>
      <c r="LFR55" s="609"/>
      <c r="LFS55" s="609"/>
      <c r="LFT55" s="609"/>
      <c r="LFU55" s="609"/>
      <c r="LFV55" s="609"/>
      <c r="LFW55" s="609"/>
      <c r="LFX55" s="609"/>
      <c r="LFY55" s="609"/>
      <c r="LFZ55" s="609"/>
      <c r="LGA55" s="609"/>
      <c r="LGB55" s="609"/>
      <c r="LGC55" s="609"/>
      <c r="LGD55" s="609"/>
      <c r="LGE55" s="609"/>
      <c r="LGF55" s="609"/>
      <c r="LGG55" s="609"/>
      <c r="LGH55" s="609"/>
      <c r="LGI55" s="609"/>
      <c r="LGJ55" s="609"/>
      <c r="LGK55" s="609"/>
      <c r="LGL55" s="609"/>
      <c r="LGM55" s="609"/>
      <c r="LGN55" s="609"/>
      <c r="LGO55" s="609"/>
      <c r="LGP55" s="609"/>
      <c r="LGQ55" s="609"/>
      <c r="LGR55" s="609"/>
      <c r="LGS55" s="609"/>
      <c r="LGT55" s="609"/>
      <c r="LGU55" s="609"/>
      <c r="LGV55" s="609"/>
      <c r="LGW55" s="609"/>
      <c r="LGX55" s="609"/>
      <c r="LGY55" s="609"/>
      <c r="LGZ55" s="609"/>
      <c r="LHA55" s="609"/>
      <c r="LHB55" s="609"/>
      <c r="LHC55" s="609"/>
      <c r="LHD55" s="609"/>
      <c r="LHE55" s="609"/>
      <c r="LHF55" s="609"/>
      <c r="LHG55" s="609"/>
      <c r="LHH55" s="609"/>
      <c r="LHI55" s="609"/>
      <c r="LHJ55" s="609"/>
      <c r="LHK55" s="609"/>
      <c r="LHL55" s="609"/>
      <c r="LHM55" s="609"/>
      <c r="LHN55" s="609"/>
      <c r="LHO55" s="609"/>
      <c r="LHP55" s="609"/>
      <c r="LHQ55" s="609"/>
      <c r="LHR55" s="609"/>
      <c r="LHS55" s="609"/>
      <c r="LHT55" s="609"/>
      <c r="LHU55" s="609"/>
      <c r="LHV55" s="609"/>
      <c r="LHW55" s="609"/>
      <c r="LHX55" s="609"/>
      <c r="LHY55" s="609"/>
      <c r="LHZ55" s="609"/>
      <c r="LIA55" s="609"/>
      <c r="LIB55" s="609"/>
      <c r="LIC55" s="609"/>
      <c r="LID55" s="609"/>
      <c r="LIE55" s="609"/>
      <c r="LIF55" s="609"/>
      <c r="LIG55" s="609"/>
      <c r="LIH55" s="609"/>
      <c r="LII55" s="609"/>
      <c r="LIJ55" s="609"/>
      <c r="LIK55" s="609"/>
      <c r="LIL55" s="609"/>
      <c r="LIM55" s="609"/>
      <c r="LIN55" s="609"/>
      <c r="LIO55" s="609"/>
      <c r="LIP55" s="609"/>
      <c r="LIQ55" s="609"/>
      <c r="LIR55" s="609"/>
      <c r="LIS55" s="609"/>
      <c r="LIT55" s="609"/>
      <c r="LIU55" s="609"/>
      <c r="LIV55" s="609"/>
      <c r="LIW55" s="609"/>
      <c r="LIX55" s="609"/>
      <c r="LIY55" s="609"/>
      <c r="LIZ55" s="609"/>
      <c r="LJA55" s="609"/>
      <c r="LJB55" s="609"/>
      <c r="LJC55" s="609"/>
      <c r="LJD55" s="609"/>
      <c r="LJE55" s="609"/>
      <c r="LJF55" s="609"/>
      <c r="LJG55" s="609"/>
      <c r="LJH55" s="609"/>
      <c r="LJI55" s="609"/>
      <c r="LJJ55" s="609"/>
      <c r="LJK55" s="609"/>
      <c r="LJL55" s="609"/>
      <c r="LJM55" s="609"/>
      <c r="LJN55" s="609"/>
      <c r="LJO55" s="609"/>
      <c r="LJP55" s="609"/>
      <c r="LJQ55" s="609"/>
      <c r="LJR55" s="609"/>
      <c r="LJS55" s="609"/>
      <c r="LJT55" s="609"/>
      <c r="LJU55" s="609"/>
      <c r="LJV55" s="609"/>
      <c r="LJW55" s="609"/>
      <c r="LJX55" s="609"/>
      <c r="LJY55" s="609"/>
      <c r="LJZ55" s="609"/>
      <c r="LKA55" s="609"/>
      <c r="LKB55" s="609"/>
      <c r="LKC55" s="609"/>
      <c r="LKD55" s="609"/>
      <c r="LKE55" s="609"/>
      <c r="LKF55" s="609"/>
      <c r="LKG55" s="609"/>
      <c r="LKH55" s="609"/>
      <c r="LKI55" s="609"/>
      <c r="LKJ55" s="609"/>
      <c r="LKK55" s="609"/>
      <c r="LKL55" s="609"/>
      <c r="LKM55" s="609"/>
      <c r="LKN55" s="609"/>
      <c r="LKO55" s="609"/>
      <c r="LKP55" s="609"/>
      <c r="LKQ55" s="609"/>
      <c r="LKR55" s="609"/>
      <c r="LKS55" s="609"/>
      <c r="LKT55" s="609"/>
      <c r="LKU55" s="609"/>
      <c r="LKV55" s="609"/>
      <c r="LKW55" s="609"/>
      <c r="LKX55" s="609"/>
      <c r="LKY55" s="609"/>
      <c r="LKZ55" s="609"/>
      <c r="LLA55" s="609"/>
      <c r="LLB55" s="609"/>
      <c r="LLC55" s="609"/>
      <c r="LLD55" s="609"/>
      <c r="LLE55" s="609"/>
      <c r="LLF55" s="609"/>
      <c r="LLG55" s="609"/>
      <c r="LLH55" s="609"/>
      <c r="LLI55" s="609"/>
      <c r="LLJ55" s="609"/>
      <c r="LLK55" s="609"/>
      <c r="LLL55" s="609"/>
      <c r="LLM55" s="609"/>
      <c r="LLN55" s="609"/>
      <c r="LLO55" s="609"/>
      <c r="LLP55" s="609"/>
      <c r="LLQ55" s="609"/>
      <c r="LLR55" s="609"/>
      <c r="LLS55" s="609"/>
      <c r="LLT55" s="609"/>
      <c r="LLU55" s="609"/>
      <c r="LLV55" s="609"/>
      <c r="LLW55" s="609"/>
      <c r="LLX55" s="609"/>
      <c r="LLY55" s="609"/>
      <c r="LLZ55" s="609"/>
      <c r="LMA55" s="609"/>
      <c r="LMB55" s="609"/>
      <c r="LMC55" s="609"/>
      <c r="LMD55" s="609"/>
      <c r="LME55" s="609"/>
      <c r="LMF55" s="609"/>
      <c r="LMG55" s="609"/>
      <c r="LMH55" s="609"/>
      <c r="LMI55" s="609"/>
      <c r="LMJ55" s="609"/>
      <c r="LMK55" s="609"/>
      <c r="LML55" s="609"/>
      <c r="LMM55" s="609"/>
      <c r="LMN55" s="609"/>
      <c r="LMO55" s="609"/>
      <c r="LMP55" s="609"/>
      <c r="LMQ55" s="609"/>
      <c r="LMR55" s="609"/>
      <c r="LMS55" s="609"/>
      <c r="LMT55" s="609"/>
      <c r="LMU55" s="609"/>
      <c r="LMV55" s="609"/>
      <c r="LMW55" s="609"/>
      <c r="LMX55" s="609"/>
      <c r="LMY55" s="609"/>
      <c r="LMZ55" s="609"/>
      <c r="LNA55" s="609"/>
      <c r="LNB55" s="609"/>
      <c r="LNC55" s="609"/>
      <c r="LND55" s="609"/>
      <c r="LNE55" s="609"/>
      <c r="LNF55" s="609"/>
      <c r="LNG55" s="609"/>
      <c r="LNH55" s="609"/>
      <c r="LNI55" s="609"/>
      <c r="LNJ55" s="609"/>
      <c r="LNK55" s="609"/>
      <c r="LNL55" s="609"/>
      <c r="LNM55" s="609"/>
      <c r="LNN55" s="609"/>
      <c r="LNO55" s="609"/>
      <c r="LNP55" s="609"/>
      <c r="LNQ55" s="609"/>
      <c r="LNR55" s="609"/>
      <c r="LNS55" s="609"/>
      <c r="LNT55" s="609"/>
      <c r="LNU55" s="609"/>
      <c r="LNV55" s="609"/>
      <c r="LNW55" s="609"/>
      <c r="LNX55" s="609"/>
      <c r="LNY55" s="609"/>
      <c r="LNZ55" s="609"/>
      <c r="LOA55" s="609"/>
      <c r="LOB55" s="609"/>
      <c r="LOC55" s="609"/>
      <c r="LOD55" s="609"/>
      <c r="LOE55" s="609"/>
      <c r="LOF55" s="609"/>
      <c r="LOG55" s="609"/>
      <c r="LOH55" s="609"/>
      <c r="LOI55" s="609"/>
      <c r="LOJ55" s="609"/>
      <c r="LOK55" s="609"/>
      <c r="LOL55" s="609"/>
      <c r="LOM55" s="609"/>
      <c r="LON55" s="609"/>
      <c r="LOO55" s="609"/>
      <c r="LOP55" s="609"/>
      <c r="LOQ55" s="609"/>
      <c r="LOR55" s="609"/>
      <c r="LOS55" s="609"/>
      <c r="LOT55" s="609"/>
      <c r="LOU55" s="609"/>
      <c r="LOV55" s="609"/>
      <c r="LOW55" s="609"/>
      <c r="LOX55" s="609"/>
      <c r="LOY55" s="609"/>
      <c r="LOZ55" s="609"/>
      <c r="LPA55" s="609"/>
      <c r="LPB55" s="609"/>
      <c r="LPC55" s="609"/>
      <c r="LPD55" s="609"/>
      <c r="LPE55" s="609"/>
      <c r="LPF55" s="609"/>
      <c r="LPG55" s="609"/>
      <c r="LPH55" s="609"/>
      <c r="LPI55" s="609"/>
      <c r="LPJ55" s="609"/>
      <c r="LPK55" s="609"/>
      <c r="LPL55" s="609"/>
      <c r="LPM55" s="609"/>
      <c r="LPN55" s="609"/>
      <c r="LPO55" s="609"/>
      <c r="LPP55" s="609"/>
      <c r="LPQ55" s="609"/>
      <c r="LPR55" s="609"/>
      <c r="LPS55" s="609"/>
      <c r="LPT55" s="609"/>
      <c r="LPU55" s="609"/>
      <c r="LPV55" s="609"/>
      <c r="LPW55" s="609"/>
      <c r="LPX55" s="609"/>
      <c r="LPY55" s="609"/>
      <c r="LPZ55" s="609"/>
      <c r="LQA55" s="609"/>
      <c r="LQB55" s="609"/>
      <c r="LQC55" s="609"/>
      <c r="LQD55" s="609"/>
      <c r="LQE55" s="609"/>
      <c r="LQF55" s="609"/>
      <c r="LQG55" s="609"/>
      <c r="LQH55" s="609"/>
      <c r="LQI55" s="609"/>
      <c r="LQJ55" s="609"/>
      <c r="LQK55" s="609"/>
      <c r="LQL55" s="609"/>
      <c r="LQM55" s="609"/>
      <c r="LQN55" s="609"/>
      <c r="LQO55" s="609"/>
      <c r="LQP55" s="609"/>
      <c r="LQQ55" s="609"/>
      <c r="LQR55" s="609"/>
      <c r="LQS55" s="609"/>
      <c r="LQT55" s="609"/>
      <c r="LQU55" s="609"/>
      <c r="LQV55" s="609"/>
      <c r="LQW55" s="609"/>
      <c r="LQX55" s="609"/>
      <c r="LQY55" s="609"/>
      <c r="LQZ55" s="609"/>
      <c r="LRA55" s="609"/>
      <c r="LRB55" s="609"/>
      <c r="LRC55" s="609"/>
      <c r="LRD55" s="609"/>
      <c r="LRE55" s="609"/>
      <c r="LRF55" s="609"/>
      <c r="LRG55" s="609"/>
      <c r="LRH55" s="609"/>
      <c r="LRI55" s="609"/>
      <c r="LRJ55" s="609"/>
      <c r="LRK55" s="609"/>
      <c r="LRL55" s="609"/>
      <c r="LRM55" s="609"/>
      <c r="LRN55" s="609"/>
      <c r="LRO55" s="609"/>
      <c r="LRP55" s="609"/>
      <c r="LRQ55" s="609"/>
      <c r="LRR55" s="609"/>
      <c r="LRS55" s="609"/>
      <c r="LRT55" s="609"/>
      <c r="LRU55" s="609"/>
      <c r="LRV55" s="609"/>
      <c r="LRW55" s="609"/>
      <c r="LRX55" s="609"/>
      <c r="LRY55" s="609"/>
      <c r="LRZ55" s="609"/>
      <c r="LSA55" s="609"/>
      <c r="LSB55" s="609"/>
      <c r="LSC55" s="609"/>
      <c r="LSD55" s="609"/>
      <c r="LSE55" s="609"/>
      <c r="LSF55" s="609"/>
      <c r="LSG55" s="609"/>
      <c r="LSH55" s="609"/>
      <c r="LSI55" s="609"/>
      <c r="LSJ55" s="609"/>
      <c r="LSK55" s="609"/>
      <c r="LSL55" s="609"/>
      <c r="LSM55" s="609"/>
      <c r="LSN55" s="609"/>
      <c r="LSO55" s="609"/>
      <c r="LSP55" s="609"/>
      <c r="LSQ55" s="609"/>
      <c r="LSR55" s="609"/>
      <c r="LSS55" s="609"/>
      <c r="LST55" s="609"/>
      <c r="LSU55" s="609"/>
      <c r="LSV55" s="609"/>
      <c r="LSW55" s="609"/>
      <c r="LSX55" s="609"/>
      <c r="LSY55" s="609"/>
      <c r="LSZ55" s="609"/>
      <c r="LTA55" s="609"/>
      <c r="LTB55" s="609"/>
      <c r="LTC55" s="609"/>
      <c r="LTD55" s="609"/>
      <c r="LTE55" s="609"/>
      <c r="LTF55" s="609"/>
      <c r="LTG55" s="609"/>
      <c r="LTH55" s="609"/>
      <c r="LTI55" s="609"/>
      <c r="LTJ55" s="609"/>
      <c r="LTK55" s="609"/>
      <c r="LTL55" s="609"/>
      <c r="LTM55" s="609"/>
      <c r="LTN55" s="609"/>
      <c r="LTO55" s="609"/>
      <c r="LTP55" s="609"/>
      <c r="LTQ55" s="609"/>
      <c r="LTR55" s="609"/>
      <c r="LTS55" s="609"/>
      <c r="LTT55" s="609"/>
      <c r="LTU55" s="609"/>
      <c r="LTV55" s="609"/>
      <c r="LTW55" s="609"/>
      <c r="LTX55" s="609"/>
      <c r="LTY55" s="609"/>
      <c r="LTZ55" s="609"/>
      <c r="LUA55" s="609"/>
      <c r="LUB55" s="609"/>
      <c r="LUC55" s="609"/>
      <c r="LUD55" s="609"/>
      <c r="LUE55" s="609"/>
      <c r="LUF55" s="609"/>
      <c r="LUG55" s="609"/>
      <c r="LUH55" s="609"/>
      <c r="LUI55" s="609"/>
      <c r="LUJ55" s="609"/>
      <c r="LUK55" s="609"/>
      <c r="LUL55" s="609"/>
      <c r="LUM55" s="609"/>
      <c r="LUN55" s="609"/>
      <c r="LUO55" s="609"/>
      <c r="LUP55" s="609"/>
      <c r="LUQ55" s="609"/>
      <c r="LUR55" s="609"/>
      <c r="LUS55" s="609"/>
      <c r="LUT55" s="609"/>
      <c r="LUU55" s="609"/>
      <c r="LUV55" s="609"/>
      <c r="LUW55" s="609"/>
      <c r="LUX55" s="609"/>
      <c r="LUY55" s="609"/>
      <c r="LUZ55" s="609"/>
      <c r="LVA55" s="609"/>
      <c r="LVB55" s="609"/>
      <c r="LVC55" s="609"/>
      <c r="LVD55" s="609"/>
      <c r="LVE55" s="609"/>
      <c r="LVF55" s="609"/>
      <c r="LVG55" s="609"/>
      <c r="LVH55" s="609"/>
      <c r="LVI55" s="609"/>
      <c r="LVJ55" s="609"/>
      <c r="LVK55" s="609"/>
      <c r="LVL55" s="609"/>
      <c r="LVM55" s="609"/>
      <c r="LVN55" s="609"/>
      <c r="LVO55" s="609"/>
      <c r="LVP55" s="609"/>
      <c r="LVQ55" s="609"/>
      <c r="LVR55" s="609"/>
      <c r="LVS55" s="609"/>
      <c r="LVT55" s="609"/>
      <c r="LVU55" s="609"/>
      <c r="LVV55" s="609"/>
      <c r="LVW55" s="609"/>
      <c r="LVX55" s="609"/>
      <c r="LVY55" s="609"/>
      <c r="LVZ55" s="609"/>
      <c r="LWA55" s="609"/>
      <c r="LWB55" s="609"/>
      <c r="LWC55" s="609"/>
      <c r="LWD55" s="609"/>
      <c r="LWE55" s="609"/>
      <c r="LWF55" s="609"/>
      <c r="LWG55" s="609"/>
      <c r="LWH55" s="609"/>
      <c r="LWI55" s="609"/>
      <c r="LWJ55" s="609"/>
      <c r="LWK55" s="609"/>
      <c r="LWL55" s="609"/>
      <c r="LWM55" s="609"/>
      <c r="LWN55" s="609"/>
      <c r="LWO55" s="609"/>
      <c r="LWP55" s="609"/>
      <c r="LWQ55" s="609"/>
      <c r="LWR55" s="609"/>
      <c r="LWS55" s="609"/>
      <c r="LWT55" s="609"/>
      <c r="LWU55" s="609"/>
      <c r="LWV55" s="609"/>
      <c r="LWW55" s="609"/>
      <c r="LWX55" s="609"/>
      <c r="LWY55" s="609"/>
      <c r="LWZ55" s="609"/>
      <c r="LXA55" s="609"/>
      <c r="LXB55" s="609"/>
      <c r="LXC55" s="609"/>
      <c r="LXD55" s="609"/>
      <c r="LXE55" s="609"/>
      <c r="LXF55" s="609"/>
      <c r="LXG55" s="609"/>
      <c r="LXH55" s="609"/>
      <c r="LXI55" s="609"/>
      <c r="LXJ55" s="609"/>
      <c r="LXK55" s="609"/>
      <c r="LXL55" s="609"/>
      <c r="LXM55" s="609"/>
      <c r="LXN55" s="609"/>
      <c r="LXO55" s="609"/>
      <c r="LXP55" s="609"/>
      <c r="LXQ55" s="609"/>
      <c r="LXR55" s="609"/>
      <c r="LXS55" s="609"/>
      <c r="LXT55" s="609"/>
      <c r="LXU55" s="609"/>
      <c r="LXV55" s="609"/>
      <c r="LXW55" s="609"/>
      <c r="LXX55" s="609"/>
      <c r="LXY55" s="609"/>
      <c r="LXZ55" s="609"/>
      <c r="LYA55" s="609"/>
      <c r="LYB55" s="609"/>
      <c r="LYC55" s="609"/>
      <c r="LYD55" s="609"/>
      <c r="LYE55" s="609"/>
      <c r="LYF55" s="609"/>
      <c r="LYG55" s="609"/>
      <c r="LYH55" s="609"/>
      <c r="LYI55" s="609"/>
      <c r="LYJ55" s="609"/>
      <c r="LYK55" s="609"/>
      <c r="LYL55" s="609"/>
      <c r="LYM55" s="609"/>
      <c r="LYN55" s="609"/>
      <c r="LYO55" s="609"/>
      <c r="LYP55" s="609"/>
      <c r="LYQ55" s="609"/>
      <c r="LYR55" s="609"/>
      <c r="LYS55" s="609"/>
      <c r="LYT55" s="609"/>
      <c r="LYU55" s="609"/>
      <c r="LYV55" s="609"/>
      <c r="LYW55" s="609"/>
      <c r="LYX55" s="609"/>
      <c r="LYY55" s="609"/>
      <c r="LYZ55" s="609"/>
      <c r="LZA55" s="609"/>
      <c r="LZB55" s="609"/>
      <c r="LZC55" s="609"/>
      <c r="LZD55" s="609"/>
      <c r="LZE55" s="609"/>
      <c r="LZF55" s="609"/>
      <c r="LZG55" s="609"/>
      <c r="LZH55" s="609"/>
      <c r="LZI55" s="609"/>
      <c r="LZJ55" s="609"/>
      <c r="LZK55" s="609"/>
      <c r="LZL55" s="609"/>
      <c r="LZM55" s="609"/>
      <c r="LZN55" s="609"/>
      <c r="LZO55" s="609"/>
      <c r="LZP55" s="609"/>
      <c r="LZQ55" s="609"/>
      <c r="LZR55" s="609"/>
      <c r="LZS55" s="609"/>
      <c r="LZT55" s="609"/>
      <c r="LZU55" s="609"/>
      <c r="LZV55" s="609"/>
      <c r="LZW55" s="609"/>
      <c r="LZX55" s="609"/>
      <c r="LZY55" s="609"/>
      <c r="LZZ55" s="609"/>
      <c r="MAA55" s="609"/>
      <c r="MAB55" s="609"/>
      <c r="MAC55" s="609"/>
      <c r="MAD55" s="609"/>
      <c r="MAE55" s="609"/>
      <c r="MAF55" s="609"/>
      <c r="MAG55" s="609"/>
      <c r="MAH55" s="609"/>
      <c r="MAI55" s="609"/>
      <c r="MAJ55" s="609"/>
      <c r="MAK55" s="609"/>
      <c r="MAL55" s="609"/>
      <c r="MAM55" s="609"/>
      <c r="MAN55" s="609"/>
      <c r="MAO55" s="609"/>
      <c r="MAP55" s="609"/>
      <c r="MAQ55" s="609"/>
      <c r="MAR55" s="609"/>
      <c r="MAS55" s="609"/>
      <c r="MAT55" s="609"/>
      <c r="MAU55" s="609"/>
      <c r="MAV55" s="609"/>
      <c r="MAW55" s="609"/>
      <c r="MAX55" s="609"/>
      <c r="MAY55" s="609"/>
      <c r="MAZ55" s="609"/>
      <c r="MBA55" s="609"/>
      <c r="MBB55" s="609"/>
      <c r="MBC55" s="609"/>
      <c r="MBD55" s="609"/>
      <c r="MBE55" s="609"/>
      <c r="MBF55" s="609"/>
      <c r="MBG55" s="609"/>
      <c r="MBH55" s="609"/>
      <c r="MBI55" s="609"/>
      <c r="MBJ55" s="609"/>
      <c r="MBK55" s="609"/>
      <c r="MBL55" s="609"/>
      <c r="MBM55" s="609"/>
      <c r="MBN55" s="609"/>
      <c r="MBO55" s="609"/>
      <c r="MBP55" s="609"/>
      <c r="MBQ55" s="609"/>
      <c r="MBR55" s="609"/>
      <c r="MBS55" s="609"/>
      <c r="MBT55" s="609"/>
      <c r="MBU55" s="609"/>
      <c r="MBV55" s="609"/>
      <c r="MBW55" s="609"/>
      <c r="MBX55" s="609"/>
      <c r="MBY55" s="609"/>
      <c r="MBZ55" s="609"/>
      <c r="MCA55" s="609"/>
      <c r="MCB55" s="609"/>
      <c r="MCC55" s="609"/>
      <c r="MCD55" s="609"/>
      <c r="MCE55" s="609"/>
      <c r="MCF55" s="609"/>
      <c r="MCG55" s="609"/>
      <c r="MCH55" s="609"/>
      <c r="MCI55" s="609"/>
      <c r="MCJ55" s="609"/>
      <c r="MCK55" s="609"/>
      <c r="MCL55" s="609"/>
      <c r="MCM55" s="609"/>
      <c r="MCN55" s="609"/>
      <c r="MCO55" s="609"/>
      <c r="MCP55" s="609"/>
      <c r="MCQ55" s="609"/>
      <c r="MCR55" s="609"/>
      <c r="MCS55" s="609"/>
      <c r="MCT55" s="609"/>
      <c r="MCU55" s="609"/>
      <c r="MCV55" s="609"/>
      <c r="MCW55" s="609"/>
      <c r="MCX55" s="609"/>
      <c r="MCY55" s="609"/>
      <c r="MCZ55" s="609"/>
      <c r="MDA55" s="609"/>
      <c r="MDB55" s="609"/>
      <c r="MDC55" s="609"/>
      <c r="MDD55" s="609"/>
      <c r="MDE55" s="609"/>
      <c r="MDF55" s="609"/>
      <c r="MDG55" s="609"/>
      <c r="MDH55" s="609"/>
      <c r="MDI55" s="609"/>
      <c r="MDJ55" s="609"/>
      <c r="MDK55" s="609"/>
      <c r="MDL55" s="609"/>
      <c r="MDM55" s="609"/>
      <c r="MDN55" s="609"/>
      <c r="MDO55" s="609"/>
      <c r="MDP55" s="609"/>
      <c r="MDQ55" s="609"/>
      <c r="MDR55" s="609"/>
      <c r="MDS55" s="609"/>
      <c r="MDT55" s="609"/>
      <c r="MDU55" s="609"/>
      <c r="MDV55" s="609"/>
      <c r="MDW55" s="609"/>
      <c r="MDX55" s="609"/>
      <c r="MDY55" s="609"/>
      <c r="MDZ55" s="609"/>
      <c r="MEA55" s="609"/>
      <c r="MEB55" s="609"/>
      <c r="MEC55" s="609"/>
      <c r="MED55" s="609"/>
      <c r="MEE55" s="609"/>
      <c r="MEF55" s="609"/>
      <c r="MEG55" s="609"/>
      <c r="MEH55" s="609"/>
      <c r="MEI55" s="609"/>
      <c r="MEJ55" s="609"/>
      <c r="MEK55" s="609"/>
      <c r="MEL55" s="609"/>
      <c r="MEM55" s="609"/>
      <c r="MEN55" s="609"/>
      <c r="MEO55" s="609"/>
      <c r="MEP55" s="609"/>
      <c r="MEQ55" s="609"/>
      <c r="MER55" s="609"/>
      <c r="MES55" s="609"/>
      <c r="MET55" s="609"/>
      <c r="MEU55" s="609"/>
      <c r="MEV55" s="609"/>
      <c r="MEW55" s="609"/>
      <c r="MEX55" s="609"/>
      <c r="MEY55" s="609"/>
      <c r="MEZ55" s="609"/>
      <c r="MFA55" s="609"/>
      <c r="MFB55" s="609"/>
      <c r="MFC55" s="609"/>
      <c r="MFD55" s="609"/>
      <c r="MFE55" s="609"/>
      <c r="MFF55" s="609"/>
      <c r="MFG55" s="609"/>
      <c r="MFH55" s="609"/>
      <c r="MFI55" s="609"/>
      <c r="MFJ55" s="609"/>
      <c r="MFK55" s="609"/>
      <c r="MFL55" s="609"/>
      <c r="MFM55" s="609"/>
      <c r="MFN55" s="609"/>
      <c r="MFO55" s="609"/>
      <c r="MFP55" s="609"/>
      <c r="MFQ55" s="609"/>
      <c r="MFR55" s="609"/>
      <c r="MFS55" s="609"/>
      <c r="MFT55" s="609"/>
      <c r="MFU55" s="609"/>
      <c r="MFV55" s="609"/>
      <c r="MFW55" s="609"/>
      <c r="MFX55" s="609"/>
      <c r="MFY55" s="609"/>
      <c r="MFZ55" s="609"/>
      <c r="MGA55" s="609"/>
      <c r="MGB55" s="609"/>
      <c r="MGC55" s="609"/>
      <c r="MGD55" s="609"/>
      <c r="MGE55" s="609"/>
      <c r="MGF55" s="609"/>
      <c r="MGG55" s="609"/>
      <c r="MGH55" s="609"/>
      <c r="MGI55" s="609"/>
      <c r="MGJ55" s="609"/>
      <c r="MGK55" s="609"/>
      <c r="MGL55" s="609"/>
      <c r="MGM55" s="609"/>
      <c r="MGN55" s="609"/>
      <c r="MGO55" s="609"/>
      <c r="MGP55" s="609"/>
      <c r="MGQ55" s="609"/>
      <c r="MGR55" s="609"/>
      <c r="MGS55" s="609"/>
      <c r="MGT55" s="609"/>
      <c r="MGU55" s="609"/>
      <c r="MGV55" s="609"/>
      <c r="MGW55" s="609"/>
      <c r="MGX55" s="609"/>
      <c r="MGY55" s="609"/>
      <c r="MGZ55" s="609"/>
      <c r="MHA55" s="609"/>
      <c r="MHB55" s="609"/>
      <c r="MHC55" s="609"/>
      <c r="MHD55" s="609"/>
      <c r="MHE55" s="609"/>
      <c r="MHF55" s="609"/>
      <c r="MHG55" s="609"/>
      <c r="MHH55" s="609"/>
      <c r="MHI55" s="609"/>
      <c r="MHJ55" s="609"/>
      <c r="MHK55" s="609"/>
      <c r="MHL55" s="609"/>
      <c r="MHM55" s="609"/>
      <c r="MHN55" s="609"/>
      <c r="MHO55" s="609"/>
      <c r="MHP55" s="609"/>
      <c r="MHQ55" s="609"/>
      <c r="MHR55" s="609"/>
      <c r="MHS55" s="609"/>
      <c r="MHT55" s="609"/>
      <c r="MHU55" s="609"/>
      <c r="MHV55" s="609"/>
      <c r="MHW55" s="609"/>
      <c r="MHX55" s="609"/>
      <c r="MHY55" s="609"/>
      <c r="MHZ55" s="609"/>
      <c r="MIA55" s="609"/>
      <c r="MIB55" s="609"/>
      <c r="MIC55" s="609"/>
      <c r="MID55" s="609"/>
      <c r="MIE55" s="609"/>
      <c r="MIF55" s="609"/>
      <c r="MIG55" s="609"/>
      <c r="MIH55" s="609"/>
      <c r="MII55" s="609"/>
      <c r="MIJ55" s="609"/>
      <c r="MIK55" s="609"/>
      <c r="MIL55" s="609"/>
      <c r="MIM55" s="609"/>
      <c r="MIN55" s="609"/>
      <c r="MIO55" s="609"/>
      <c r="MIP55" s="609"/>
      <c r="MIQ55" s="609"/>
      <c r="MIR55" s="609"/>
      <c r="MIS55" s="609"/>
      <c r="MIT55" s="609"/>
      <c r="MIU55" s="609"/>
      <c r="MIV55" s="609"/>
      <c r="MIW55" s="609"/>
      <c r="MIX55" s="609"/>
      <c r="MIY55" s="609"/>
      <c r="MIZ55" s="609"/>
      <c r="MJA55" s="609"/>
      <c r="MJB55" s="609"/>
      <c r="MJC55" s="609"/>
      <c r="MJD55" s="609"/>
      <c r="MJE55" s="609"/>
      <c r="MJF55" s="609"/>
      <c r="MJG55" s="609"/>
      <c r="MJH55" s="609"/>
      <c r="MJI55" s="609"/>
      <c r="MJJ55" s="609"/>
      <c r="MJK55" s="609"/>
      <c r="MJL55" s="609"/>
      <c r="MJM55" s="609"/>
      <c r="MJN55" s="609"/>
      <c r="MJO55" s="609"/>
      <c r="MJP55" s="609"/>
      <c r="MJQ55" s="609"/>
      <c r="MJR55" s="609"/>
      <c r="MJS55" s="609"/>
      <c r="MJT55" s="609"/>
      <c r="MJU55" s="609"/>
      <c r="MJV55" s="609"/>
      <c r="MJW55" s="609"/>
      <c r="MJX55" s="609"/>
      <c r="MJY55" s="609"/>
      <c r="MJZ55" s="609"/>
      <c r="MKA55" s="609"/>
      <c r="MKB55" s="609"/>
      <c r="MKC55" s="609"/>
      <c r="MKD55" s="609"/>
      <c r="MKE55" s="609"/>
      <c r="MKF55" s="609"/>
      <c r="MKG55" s="609"/>
      <c r="MKH55" s="609"/>
      <c r="MKI55" s="609"/>
      <c r="MKJ55" s="609"/>
      <c r="MKK55" s="609"/>
      <c r="MKL55" s="609"/>
      <c r="MKM55" s="609"/>
      <c r="MKN55" s="609"/>
      <c r="MKO55" s="609"/>
      <c r="MKP55" s="609"/>
      <c r="MKQ55" s="609"/>
      <c r="MKR55" s="609"/>
      <c r="MKS55" s="609"/>
      <c r="MKT55" s="609"/>
      <c r="MKU55" s="609"/>
      <c r="MKV55" s="609"/>
      <c r="MKW55" s="609"/>
      <c r="MKX55" s="609"/>
      <c r="MKY55" s="609"/>
      <c r="MKZ55" s="609"/>
      <c r="MLA55" s="609"/>
      <c r="MLB55" s="609"/>
      <c r="MLC55" s="609"/>
      <c r="MLD55" s="609"/>
      <c r="MLE55" s="609"/>
      <c r="MLF55" s="609"/>
      <c r="MLG55" s="609"/>
      <c r="MLH55" s="609"/>
      <c r="MLI55" s="609"/>
      <c r="MLJ55" s="609"/>
      <c r="MLK55" s="609"/>
      <c r="MLL55" s="609"/>
      <c r="MLM55" s="609"/>
      <c r="MLN55" s="609"/>
      <c r="MLO55" s="609"/>
      <c r="MLP55" s="609"/>
      <c r="MLQ55" s="609"/>
      <c r="MLR55" s="609"/>
      <c r="MLS55" s="609"/>
      <c r="MLT55" s="609"/>
      <c r="MLU55" s="609"/>
      <c r="MLV55" s="609"/>
      <c r="MLW55" s="609"/>
      <c r="MLX55" s="609"/>
      <c r="MLY55" s="609"/>
      <c r="MLZ55" s="609"/>
      <c r="MMA55" s="609"/>
      <c r="MMB55" s="609"/>
      <c r="MMC55" s="609"/>
      <c r="MMD55" s="609"/>
      <c r="MME55" s="609"/>
      <c r="MMF55" s="609"/>
      <c r="MMG55" s="609"/>
      <c r="MMH55" s="609"/>
      <c r="MMI55" s="609"/>
      <c r="MMJ55" s="609"/>
      <c r="MMK55" s="609"/>
      <c r="MML55" s="609"/>
      <c r="MMM55" s="609"/>
      <c r="MMN55" s="609"/>
      <c r="MMO55" s="609"/>
      <c r="MMP55" s="609"/>
      <c r="MMQ55" s="609"/>
      <c r="MMR55" s="609"/>
      <c r="MMS55" s="609"/>
      <c r="MMT55" s="609"/>
      <c r="MMU55" s="609"/>
      <c r="MMV55" s="609"/>
      <c r="MMW55" s="609"/>
      <c r="MMX55" s="609"/>
      <c r="MMY55" s="609"/>
      <c r="MMZ55" s="609"/>
      <c r="MNA55" s="609"/>
      <c r="MNB55" s="609"/>
      <c r="MNC55" s="609"/>
      <c r="MND55" s="609"/>
      <c r="MNE55" s="609"/>
      <c r="MNF55" s="609"/>
      <c r="MNG55" s="609"/>
      <c r="MNH55" s="609"/>
      <c r="MNI55" s="609"/>
      <c r="MNJ55" s="609"/>
      <c r="MNK55" s="609"/>
      <c r="MNL55" s="609"/>
      <c r="MNM55" s="609"/>
      <c r="MNN55" s="609"/>
      <c r="MNO55" s="609"/>
      <c r="MNP55" s="609"/>
      <c r="MNQ55" s="609"/>
      <c r="MNR55" s="609"/>
      <c r="MNS55" s="609"/>
      <c r="MNT55" s="609"/>
      <c r="MNU55" s="609"/>
      <c r="MNV55" s="609"/>
      <c r="MNW55" s="609"/>
      <c r="MNX55" s="609"/>
      <c r="MNY55" s="609"/>
      <c r="MNZ55" s="609"/>
      <c r="MOA55" s="609"/>
      <c r="MOB55" s="609"/>
      <c r="MOC55" s="609"/>
      <c r="MOD55" s="609"/>
      <c r="MOE55" s="609"/>
      <c r="MOF55" s="609"/>
      <c r="MOG55" s="609"/>
      <c r="MOH55" s="609"/>
      <c r="MOI55" s="609"/>
      <c r="MOJ55" s="609"/>
      <c r="MOK55" s="609"/>
      <c r="MOL55" s="609"/>
      <c r="MOM55" s="609"/>
      <c r="MON55" s="609"/>
      <c r="MOO55" s="609"/>
      <c r="MOP55" s="609"/>
      <c r="MOQ55" s="609"/>
      <c r="MOR55" s="609"/>
      <c r="MOS55" s="609"/>
      <c r="MOT55" s="609"/>
      <c r="MOU55" s="609"/>
      <c r="MOV55" s="609"/>
      <c r="MOW55" s="609"/>
      <c r="MOX55" s="609"/>
      <c r="MOY55" s="609"/>
      <c r="MOZ55" s="609"/>
      <c r="MPA55" s="609"/>
      <c r="MPB55" s="609"/>
      <c r="MPC55" s="609"/>
      <c r="MPD55" s="609"/>
      <c r="MPE55" s="609"/>
      <c r="MPF55" s="609"/>
      <c r="MPG55" s="609"/>
      <c r="MPH55" s="609"/>
      <c r="MPI55" s="609"/>
      <c r="MPJ55" s="609"/>
      <c r="MPK55" s="609"/>
      <c r="MPL55" s="609"/>
      <c r="MPM55" s="609"/>
      <c r="MPN55" s="609"/>
      <c r="MPO55" s="609"/>
      <c r="MPP55" s="609"/>
      <c r="MPQ55" s="609"/>
      <c r="MPR55" s="609"/>
      <c r="MPS55" s="609"/>
      <c r="MPT55" s="609"/>
      <c r="MPU55" s="609"/>
      <c r="MPV55" s="609"/>
      <c r="MPW55" s="609"/>
      <c r="MPX55" s="609"/>
      <c r="MPY55" s="609"/>
      <c r="MPZ55" s="609"/>
      <c r="MQA55" s="609"/>
      <c r="MQB55" s="609"/>
      <c r="MQC55" s="609"/>
      <c r="MQD55" s="609"/>
      <c r="MQE55" s="609"/>
      <c r="MQF55" s="609"/>
      <c r="MQG55" s="609"/>
      <c r="MQH55" s="609"/>
      <c r="MQI55" s="609"/>
      <c r="MQJ55" s="609"/>
      <c r="MQK55" s="609"/>
      <c r="MQL55" s="609"/>
      <c r="MQM55" s="609"/>
      <c r="MQN55" s="609"/>
      <c r="MQO55" s="609"/>
      <c r="MQP55" s="609"/>
      <c r="MQQ55" s="609"/>
      <c r="MQR55" s="609"/>
      <c r="MQS55" s="609"/>
      <c r="MQT55" s="609"/>
      <c r="MQU55" s="609"/>
      <c r="MQV55" s="609"/>
      <c r="MQW55" s="609"/>
      <c r="MQX55" s="609"/>
      <c r="MQY55" s="609"/>
      <c r="MQZ55" s="609"/>
      <c r="MRA55" s="609"/>
      <c r="MRB55" s="609"/>
      <c r="MRC55" s="609"/>
      <c r="MRD55" s="609"/>
      <c r="MRE55" s="609"/>
      <c r="MRF55" s="609"/>
      <c r="MRG55" s="609"/>
      <c r="MRH55" s="609"/>
      <c r="MRI55" s="609"/>
      <c r="MRJ55" s="609"/>
      <c r="MRK55" s="609"/>
      <c r="MRL55" s="609"/>
      <c r="MRM55" s="609"/>
      <c r="MRN55" s="609"/>
      <c r="MRO55" s="609"/>
      <c r="MRP55" s="609"/>
      <c r="MRQ55" s="609"/>
      <c r="MRR55" s="609"/>
      <c r="MRS55" s="609"/>
      <c r="MRT55" s="609"/>
      <c r="MRU55" s="609"/>
      <c r="MRV55" s="609"/>
      <c r="MRW55" s="609"/>
      <c r="MRX55" s="609"/>
      <c r="MRY55" s="609"/>
      <c r="MRZ55" s="609"/>
      <c r="MSA55" s="609"/>
      <c r="MSB55" s="609"/>
      <c r="MSC55" s="609"/>
      <c r="MSD55" s="609"/>
      <c r="MSE55" s="609"/>
      <c r="MSF55" s="609"/>
      <c r="MSG55" s="609"/>
      <c r="MSH55" s="609"/>
      <c r="MSI55" s="609"/>
      <c r="MSJ55" s="609"/>
      <c r="MSK55" s="609"/>
      <c r="MSL55" s="609"/>
      <c r="MSM55" s="609"/>
      <c r="MSN55" s="609"/>
      <c r="MSO55" s="609"/>
      <c r="MSP55" s="609"/>
      <c r="MSQ55" s="609"/>
      <c r="MSR55" s="609"/>
      <c r="MSS55" s="609"/>
      <c r="MST55" s="609"/>
      <c r="MSU55" s="609"/>
      <c r="MSV55" s="609"/>
      <c r="MSW55" s="609"/>
      <c r="MSX55" s="609"/>
      <c r="MSY55" s="609"/>
      <c r="MSZ55" s="609"/>
      <c r="MTA55" s="609"/>
      <c r="MTB55" s="609"/>
      <c r="MTC55" s="609"/>
      <c r="MTD55" s="609"/>
      <c r="MTE55" s="609"/>
      <c r="MTF55" s="609"/>
      <c r="MTG55" s="609"/>
      <c r="MTH55" s="609"/>
      <c r="MTI55" s="609"/>
      <c r="MTJ55" s="609"/>
      <c r="MTK55" s="609"/>
      <c r="MTL55" s="609"/>
      <c r="MTM55" s="609"/>
      <c r="MTN55" s="609"/>
      <c r="MTO55" s="609"/>
      <c r="MTP55" s="609"/>
      <c r="MTQ55" s="609"/>
      <c r="MTR55" s="609"/>
      <c r="MTS55" s="609"/>
      <c r="MTT55" s="609"/>
      <c r="MTU55" s="609"/>
      <c r="MTV55" s="609"/>
      <c r="MTW55" s="609"/>
      <c r="MTX55" s="609"/>
      <c r="MTY55" s="609"/>
      <c r="MTZ55" s="609"/>
      <c r="MUA55" s="609"/>
      <c r="MUB55" s="609"/>
      <c r="MUC55" s="609"/>
      <c r="MUD55" s="609"/>
      <c r="MUE55" s="609"/>
      <c r="MUF55" s="609"/>
      <c r="MUG55" s="609"/>
      <c r="MUH55" s="609"/>
      <c r="MUI55" s="609"/>
      <c r="MUJ55" s="609"/>
      <c r="MUK55" s="609"/>
      <c r="MUL55" s="609"/>
      <c r="MUM55" s="609"/>
      <c r="MUN55" s="609"/>
      <c r="MUO55" s="609"/>
      <c r="MUP55" s="609"/>
      <c r="MUQ55" s="609"/>
      <c r="MUR55" s="609"/>
      <c r="MUS55" s="609"/>
      <c r="MUT55" s="609"/>
      <c r="MUU55" s="609"/>
      <c r="MUV55" s="609"/>
      <c r="MUW55" s="609"/>
      <c r="MUX55" s="609"/>
      <c r="MUY55" s="609"/>
      <c r="MUZ55" s="609"/>
      <c r="MVA55" s="609"/>
      <c r="MVB55" s="609"/>
      <c r="MVC55" s="609"/>
      <c r="MVD55" s="609"/>
      <c r="MVE55" s="609"/>
      <c r="MVF55" s="609"/>
      <c r="MVG55" s="609"/>
      <c r="MVH55" s="609"/>
      <c r="MVI55" s="609"/>
      <c r="MVJ55" s="609"/>
      <c r="MVK55" s="609"/>
      <c r="MVL55" s="609"/>
      <c r="MVM55" s="609"/>
      <c r="MVN55" s="609"/>
      <c r="MVO55" s="609"/>
      <c r="MVP55" s="609"/>
      <c r="MVQ55" s="609"/>
      <c r="MVR55" s="609"/>
      <c r="MVS55" s="609"/>
      <c r="MVT55" s="609"/>
      <c r="MVU55" s="609"/>
      <c r="MVV55" s="609"/>
      <c r="MVW55" s="609"/>
      <c r="MVX55" s="609"/>
      <c r="MVY55" s="609"/>
      <c r="MVZ55" s="609"/>
      <c r="MWA55" s="609"/>
      <c r="MWB55" s="609"/>
      <c r="MWC55" s="609"/>
      <c r="MWD55" s="609"/>
      <c r="MWE55" s="609"/>
      <c r="MWF55" s="609"/>
      <c r="MWG55" s="609"/>
      <c r="MWH55" s="609"/>
      <c r="MWI55" s="609"/>
      <c r="MWJ55" s="609"/>
      <c r="MWK55" s="609"/>
      <c r="MWL55" s="609"/>
      <c r="MWM55" s="609"/>
      <c r="MWN55" s="609"/>
      <c r="MWO55" s="609"/>
      <c r="MWP55" s="609"/>
      <c r="MWQ55" s="609"/>
      <c r="MWR55" s="609"/>
      <c r="MWS55" s="609"/>
      <c r="MWT55" s="609"/>
      <c r="MWU55" s="609"/>
      <c r="MWV55" s="609"/>
      <c r="MWW55" s="609"/>
      <c r="MWX55" s="609"/>
      <c r="MWY55" s="609"/>
      <c r="MWZ55" s="609"/>
      <c r="MXA55" s="609"/>
      <c r="MXB55" s="609"/>
      <c r="MXC55" s="609"/>
      <c r="MXD55" s="609"/>
      <c r="MXE55" s="609"/>
      <c r="MXF55" s="609"/>
      <c r="MXG55" s="609"/>
      <c r="MXH55" s="609"/>
      <c r="MXI55" s="609"/>
      <c r="MXJ55" s="609"/>
      <c r="MXK55" s="609"/>
      <c r="MXL55" s="609"/>
      <c r="MXM55" s="609"/>
      <c r="MXN55" s="609"/>
      <c r="MXO55" s="609"/>
      <c r="MXP55" s="609"/>
      <c r="MXQ55" s="609"/>
      <c r="MXR55" s="609"/>
      <c r="MXS55" s="609"/>
      <c r="MXT55" s="609"/>
      <c r="MXU55" s="609"/>
      <c r="MXV55" s="609"/>
      <c r="MXW55" s="609"/>
      <c r="MXX55" s="609"/>
      <c r="MXY55" s="609"/>
      <c r="MXZ55" s="609"/>
      <c r="MYA55" s="609"/>
      <c r="MYB55" s="609"/>
      <c r="MYC55" s="609"/>
      <c r="MYD55" s="609"/>
      <c r="MYE55" s="609"/>
      <c r="MYF55" s="609"/>
      <c r="MYG55" s="609"/>
      <c r="MYH55" s="609"/>
      <c r="MYI55" s="609"/>
      <c r="MYJ55" s="609"/>
      <c r="MYK55" s="609"/>
      <c r="MYL55" s="609"/>
      <c r="MYM55" s="609"/>
      <c r="MYN55" s="609"/>
      <c r="MYO55" s="609"/>
      <c r="MYP55" s="609"/>
      <c r="MYQ55" s="609"/>
      <c r="MYR55" s="609"/>
      <c r="MYS55" s="609"/>
      <c r="MYT55" s="609"/>
      <c r="MYU55" s="609"/>
      <c r="MYV55" s="609"/>
      <c r="MYW55" s="609"/>
      <c r="MYX55" s="609"/>
      <c r="MYY55" s="609"/>
      <c r="MYZ55" s="609"/>
      <c r="MZA55" s="609"/>
      <c r="MZB55" s="609"/>
      <c r="MZC55" s="609"/>
      <c r="MZD55" s="609"/>
      <c r="MZE55" s="609"/>
      <c r="MZF55" s="609"/>
      <c r="MZG55" s="609"/>
      <c r="MZH55" s="609"/>
      <c r="MZI55" s="609"/>
      <c r="MZJ55" s="609"/>
      <c r="MZK55" s="609"/>
      <c r="MZL55" s="609"/>
      <c r="MZM55" s="609"/>
      <c r="MZN55" s="609"/>
      <c r="MZO55" s="609"/>
      <c r="MZP55" s="609"/>
      <c r="MZQ55" s="609"/>
      <c r="MZR55" s="609"/>
      <c r="MZS55" s="609"/>
      <c r="MZT55" s="609"/>
      <c r="MZU55" s="609"/>
      <c r="MZV55" s="609"/>
      <c r="MZW55" s="609"/>
      <c r="MZX55" s="609"/>
      <c r="MZY55" s="609"/>
      <c r="MZZ55" s="609"/>
      <c r="NAA55" s="609"/>
      <c r="NAB55" s="609"/>
      <c r="NAC55" s="609"/>
      <c r="NAD55" s="609"/>
      <c r="NAE55" s="609"/>
      <c r="NAF55" s="609"/>
      <c r="NAG55" s="609"/>
      <c r="NAH55" s="609"/>
      <c r="NAI55" s="609"/>
      <c r="NAJ55" s="609"/>
      <c r="NAK55" s="609"/>
      <c r="NAL55" s="609"/>
      <c r="NAM55" s="609"/>
      <c r="NAN55" s="609"/>
      <c r="NAO55" s="609"/>
      <c r="NAP55" s="609"/>
      <c r="NAQ55" s="609"/>
      <c r="NAR55" s="609"/>
      <c r="NAS55" s="609"/>
      <c r="NAT55" s="609"/>
      <c r="NAU55" s="609"/>
      <c r="NAV55" s="609"/>
      <c r="NAW55" s="609"/>
      <c r="NAX55" s="609"/>
      <c r="NAY55" s="609"/>
      <c r="NAZ55" s="609"/>
      <c r="NBA55" s="609"/>
      <c r="NBB55" s="609"/>
      <c r="NBC55" s="609"/>
      <c r="NBD55" s="609"/>
      <c r="NBE55" s="609"/>
      <c r="NBF55" s="609"/>
      <c r="NBG55" s="609"/>
      <c r="NBH55" s="609"/>
      <c r="NBI55" s="609"/>
      <c r="NBJ55" s="609"/>
      <c r="NBK55" s="609"/>
      <c r="NBL55" s="609"/>
      <c r="NBM55" s="609"/>
      <c r="NBN55" s="609"/>
      <c r="NBO55" s="609"/>
      <c r="NBP55" s="609"/>
      <c r="NBQ55" s="609"/>
      <c r="NBR55" s="609"/>
      <c r="NBS55" s="609"/>
      <c r="NBT55" s="609"/>
      <c r="NBU55" s="609"/>
      <c r="NBV55" s="609"/>
      <c r="NBW55" s="609"/>
      <c r="NBX55" s="609"/>
      <c r="NBY55" s="609"/>
      <c r="NBZ55" s="609"/>
      <c r="NCA55" s="609"/>
      <c r="NCB55" s="609"/>
      <c r="NCC55" s="609"/>
      <c r="NCD55" s="609"/>
      <c r="NCE55" s="609"/>
      <c r="NCF55" s="609"/>
      <c r="NCG55" s="609"/>
      <c r="NCH55" s="609"/>
      <c r="NCI55" s="609"/>
      <c r="NCJ55" s="609"/>
      <c r="NCK55" s="609"/>
      <c r="NCL55" s="609"/>
      <c r="NCM55" s="609"/>
      <c r="NCN55" s="609"/>
      <c r="NCO55" s="609"/>
      <c r="NCP55" s="609"/>
      <c r="NCQ55" s="609"/>
      <c r="NCR55" s="609"/>
      <c r="NCS55" s="609"/>
      <c r="NCT55" s="609"/>
      <c r="NCU55" s="609"/>
      <c r="NCV55" s="609"/>
      <c r="NCW55" s="609"/>
      <c r="NCX55" s="609"/>
      <c r="NCY55" s="609"/>
      <c r="NCZ55" s="609"/>
      <c r="NDA55" s="609"/>
      <c r="NDB55" s="609"/>
      <c r="NDC55" s="609"/>
      <c r="NDD55" s="609"/>
      <c r="NDE55" s="609"/>
      <c r="NDF55" s="609"/>
      <c r="NDG55" s="609"/>
      <c r="NDH55" s="609"/>
      <c r="NDI55" s="609"/>
      <c r="NDJ55" s="609"/>
      <c r="NDK55" s="609"/>
      <c r="NDL55" s="609"/>
      <c r="NDM55" s="609"/>
      <c r="NDN55" s="609"/>
      <c r="NDO55" s="609"/>
      <c r="NDP55" s="609"/>
      <c r="NDQ55" s="609"/>
      <c r="NDR55" s="609"/>
      <c r="NDS55" s="609"/>
      <c r="NDT55" s="609"/>
      <c r="NDU55" s="609"/>
      <c r="NDV55" s="609"/>
      <c r="NDW55" s="609"/>
      <c r="NDX55" s="609"/>
      <c r="NDY55" s="609"/>
      <c r="NDZ55" s="609"/>
      <c r="NEA55" s="609"/>
      <c r="NEB55" s="609"/>
      <c r="NEC55" s="609"/>
      <c r="NED55" s="609"/>
      <c r="NEE55" s="609"/>
      <c r="NEF55" s="609"/>
      <c r="NEG55" s="609"/>
      <c r="NEH55" s="609"/>
      <c r="NEI55" s="609"/>
      <c r="NEJ55" s="609"/>
      <c r="NEK55" s="609"/>
      <c r="NEL55" s="609"/>
      <c r="NEM55" s="609"/>
      <c r="NEN55" s="609"/>
      <c r="NEO55" s="609"/>
      <c r="NEP55" s="609"/>
      <c r="NEQ55" s="609"/>
      <c r="NER55" s="609"/>
      <c r="NES55" s="609"/>
      <c r="NET55" s="609"/>
      <c r="NEU55" s="609"/>
      <c r="NEV55" s="609"/>
      <c r="NEW55" s="609"/>
      <c r="NEX55" s="609"/>
      <c r="NEY55" s="609"/>
      <c r="NEZ55" s="609"/>
      <c r="NFA55" s="609"/>
      <c r="NFB55" s="609"/>
      <c r="NFC55" s="609"/>
      <c r="NFD55" s="609"/>
      <c r="NFE55" s="609"/>
      <c r="NFF55" s="609"/>
      <c r="NFG55" s="609"/>
      <c r="NFH55" s="609"/>
      <c r="NFI55" s="609"/>
      <c r="NFJ55" s="609"/>
      <c r="NFK55" s="609"/>
      <c r="NFL55" s="609"/>
      <c r="NFM55" s="609"/>
      <c r="NFN55" s="609"/>
      <c r="NFO55" s="609"/>
      <c r="NFP55" s="609"/>
      <c r="NFQ55" s="609"/>
      <c r="NFR55" s="609"/>
      <c r="NFS55" s="609"/>
      <c r="NFT55" s="609"/>
      <c r="NFU55" s="609"/>
      <c r="NFV55" s="609"/>
      <c r="NFW55" s="609"/>
      <c r="NFX55" s="609"/>
      <c r="NFY55" s="609"/>
      <c r="NFZ55" s="609"/>
      <c r="NGA55" s="609"/>
      <c r="NGB55" s="609"/>
      <c r="NGC55" s="609"/>
      <c r="NGD55" s="609"/>
      <c r="NGE55" s="609"/>
      <c r="NGF55" s="609"/>
      <c r="NGG55" s="609"/>
      <c r="NGH55" s="609"/>
      <c r="NGI55" s="609"/>
      <c r="NGJ55" s="609"/>
      <c r="NGK55" s="609"/>
      <c r="NGL55" s="609"/>
      <c r="NGM55" s="609"/>
      <c r="NGN55" s="609"/>
      <c r="NGO55" s="609"/>
      <c r="NGP55" s="609"/>
      <c r="NGQ55" s="609"/>
      <c r="NGR55" s="609"/>
      <c r="NGS55" s="609"/>
      <c r="NGT55" s="609"/>
      <c r="NGU55" s="609"/>
      <c r="NGV55" s="609"/>
      <c r="NGW55" s="609"/>
      <c r="NGX55" s="609"/>
      <c r="NGY55" s="609"/>
      <c r="NGZ55" s="609"/>
      <c r="NHA55" s="609"/>
      <c r="NHB55" s="609"/>
      <c r="NHC55" s="609"/>
      <c r="NHD55" s="609"/>
      <c r="NHE55" s="609"/>
      <c r="NHF55" s="609"/>
      <c r="NHG55" s="609"/>
      <c r="NHH55" s="609"/>
      <c r="NHI55" s="609"/>
      <c r="NHJ55" s="609"/>
      <c r="NHK55" s="609"/>
      <c r="NHL55" s="609"/>
      <c r="NHM55" s="609"/>
      <c r="NHN55" s="609"/>
      <c r="NHO55" s="609"/>
      <c r="NHP55" s="609"/>
      <c r="NHQ55" s="609"/>
      <c r="NHR55" s="609"/>
      <c r="NHS55" s="609"/>
      <c r="NHT55" s="609"/>
      <c r="NHU55" s="609"/>
      <c r="NHV55" s="609"/>
      <c r="NHW55" s="609"/>
      <c r="NHX55" s="609"/>
      <c r="NHY55" s="609"/>
      <c r="NHZ55" s="609"/>
      <c r="NIA55" s="609"/>
      <c r="NIB55" s="609"/>
      <c r="NIC55" s="609"/>
      <c r="NID55" s="609"/>
      <c r="NIE55" s="609"/>
      <c r="NIF55" s="609"/>
      <c r="NIG55" s="609"/>
      <c r="NIH55" s="609"/>
      <c r="NII55" s="609"/>
      <c r="NIJ55" s="609"/>
      <c r="NIK55" s="609"/>
      <c r="NIL55" s="609"/>
      <c r="NIM55" s="609"/>
      <c r="NIN55" s="609"/>
      <c r="NIO55" s="609"/>
      <c r="NIP55" s="609"/>
      <c r="NIQ55" s="609"/>
      <c r="NIR55" s="609"/>
      <c r="NIS55" s="609"/>
      <c r="NIT55" s="609"/>
      <c r="NIU55" s="609"/>
      <c r="NIV55" s="609"/>
      <c r="NIW55" s="609"/>
      <c r="NIX55" s="609"/>
      <c r="NIY55" s="609"/>
      <c r="NIZ55" s="609"/>
      <c r="NJA55" s="609"/>
      <c r="NJB55" s="609"/>
      <c r="NJC55" s="609"/>
      <c r="NJD55" s="609"/>
      <c r="NJE55" s="609"/>
      <c r="NJF55" s="609"/>
      <c r="NJG55" s="609"/>
      <c r="NJH55" s="609"/>
      <c r="NJI55" s="609"/>
      <c r="NJJ55" s="609"/>
      <c r="NJK55" s="609"/>
      <c r="NJL55" s="609"/>
      <c r="NJM55" s="609"/>
      <c r="NJN55" s="609"/>
      <c r="NJO55" s="609"/>
      <c r="NJP55" s="609"/>
      <c r="NJQ55" s="609"/>
      <c r="NJR55" s="609"/>
      <c r="NJS55" s="609"/>
      <c r="NJT55" s="609"/>
      <c r="NJU55" s="609"/>
      <c r="NJV55" s="609"/>
      <c r="NJW55" s="609"/>
      <c r="NJX55" s="609"/>
      <c r="NJY55" s="609"/>
      <c r="NJZ55" s="609"/>
      <c r="NKA55" s="609"/>
      <c r="NKB55" s="609"/>
      <c r="NKC55" s="609"/>
      <c r="NKD55" s="609"/>
      <c r="NKE55" s="609"/>
      <c r="NKF55" s="609"/>
      <c r="NKG55" s="609"/>
      <c r="NKH55" s="609"/>
      <c r="NKI55" s="609"/>
      <c r="NKJ55" s="609"/>
      <c r="NKK55" s="609"/>
      <c r="NKL55" s="609"/>
      <c r="NKM55" s="609"/>
      <c r="NKN55" s="609"/>
      <c r="NKO55" s="609"/>
      <c r="NKP55" s="609"/>
      <c r="NKQ55" s="609"/>
      <c r="NKR55" s="609"/>
      <c r="NKS55" s="609"/>
      <c r="NKT55" s="609"/>
      <c r="NKU55" s="609"/>
      <c r="NKV55" s="609"/>
      <c r="NKW55" s="609"/>
      <c r="NKX55" s="609"/>
      <c r="NKY55" s="609"/>
      <c r="NKZ55" s="609"/>
      <c r="NLA55" s="609"/>
      <c r="NLB55" s="609"/>
      <c r="NLC55" s="609"/>
      <c r="NLD55" s="609"/>
      <c r="NLE55" s="609"/>
      <c r="NLF55" s="609"/>
      <c r="NLG55" s="609"/>
      <c r="NLH55" s="609"/>
      <c r="NLI55" s="609"/>
      <c r="NLJ55" s="609"/>
      <c r="NLK55" s="609"/>
      <c r="NLL55" s="609"/>
      <c r="NLM55" s="609"/>
      <c r="NLN55" s="609"/>
      <c r="NLO55" s="609"/>
      <c r="NLP55" s="609"/>
      <c r="NLQ55" s="609"/>
      <c r="NLR55" s="609"/>
      <c r="NLS55" s="609"/>
      <c r="NLT55" s="609"/>
      <c r="NLU55" s="609"/>
      <c r="NLV55" s="609"/>
      <c r="NLW55" s="609"/>
      <c r="NLX55" s="609"/>
      <c r="NLY55" s="609"/>
      <c r="NLZ55" s="609"/>
      <c r="NMA55" s="609"/>
      <c r="NMB55" s="609"/>
      <c r="NMC55" s="609"/>
      <c r="NMD55" s="609"/>
      <c r="NME55" s="609"/>
      <c r="NMF55" s="609"/>
      <c r="NMG55" s="609"/>
      <c r="NMH55" s="609"/>
      <c r="NMI55" s="609"/>
      <c r="NMJ55" s="609"/>
      <c r="NMK55" s="609"/>
      <c r="NML55" s="609"/>
      <c r="NMM55" s="609"/>
      <c r="NMN55" s="609"/>
      <c r="NMO55" s="609"/>
      <c r="NMP55" s="609"/>
      <c r="NMQ55" s="609"/>
      <c r="NMR55" s="609"/>
      <c r="NMS55" s="609"/>
      <c r="NMT55" s="609"/>
      <c r="NMU55" s="609"/>
      <c r="NMV55" s="609"/>
      <c r="NMW55" s="609"/>
      <c r="NMX55" s="609"/>
      <c r="NMY55" s="609"/>
      <c r="NMZ55" s="609"/>
      <c r="NNA55" s="609"/>
      <c r="NNB55" s="609"/>
      <c r="NNC55" s="609"/>
      <c r="NND55" s="609"/>
      <c r="NNE55" s="609"/>
      <c r="NNF55" s="609"/>
      <c r="NNG55" s="609"/>
      <c r="NNH55" s="609"/>
      <c r="NNI55" s="609"/>
      <c r="NNJ55" s="609"/>
      <c r="NNK55" s="609"/>
      <c r="NNL55" s="609"/>
      <c r="NNM55" s="609"/>
      <c r="NNN55" s="609"/>
      <c r="NNO55" s="609"/>
      <c r="NNP55" s="609"/>
      <c r="NNQ55" s="609"/>
      <c r="NNR55" s="609"/>
      <c r="NNS55" s="609"/>
      <c r="NNT55" s="609"/>
      <c r="NNU55" s="609"/>
      <c r="NNV55" s="609"/>
      <c r="NNW55" s="609"/>
      <c r="NNX55" s="609"/>
      <c r="NNY55" s="609"/>
      <c r="NNZ55" s="609"/>
      <c r="NOA55" s="609"/>
      <c r="NOB55" s="609"/>
      <c r="NOC55" s="609"/>
      <c r="NOD55" s="609"/>
      <c r="NOE55" s="609"/>
      <c r="NOF55" s="609"/>
      <c r="NOG55" s="609"/>
      <c r="NOH55" s="609"/>
      <c r="NOI55" s="609"/>
      <c r="NOJ55" s="609"/>
      <c r="NOK55" s="609"/>
      <c r="NOL55" s="609"/>
      <c r="NOM55" s="609"/>
      <c r="NON55" s="609"/>
      <c r="NOO55" s="609"/>
      <c r="NOP55" s="609"/>
      <c r="NOQ55" s="609"/>
      <c r="NOR55" s="609"/>
      <c r="NOS55" s="609"/>
      <c r="NOT55" s="609"/>
      <c r="NOU55" s="609"/>
      <c r="NOV55" s="609"/>
      <c r="NOW55" s="609"/>
      <c r="NOX55" s="609"/>
      <c r="NOY55" s="609"/>
      <c r="NOZ55" s="609"/>
      <c r="NPA55" s="609"/>
      <c r="NPB55" s="609"/>
      <c r="NPC55" s="609"/>
      <c r="NPD55" s="609"/>
      <c r="NPE55" s="609"/>
      <c r="NPF55" s="609"/>
      <c r="NPG55" s="609"/>
      <c r="NPH55" s="609"/>
      <c r="NPI55" s="609"/>
      <c r="NPJ55" s="609"/>
      <c r="NPK55" s="609"/>
      <c r="NPL55" s="609"/>
      <c r="NPM55" s="609"/>
      <c r="NPN55" s="609"/>
      <c r="NPO55" s="609"/>
      <c r="NPP55" s="609"/>
      <c r="NPQ55" s="609"/>
      <c r="NPR55" s="609"/>
      <c r="NPS55" s="609"/>
      <c r="NPT55" s="609"/>
      <c r="NPU55" s="609"/>
      <c r="NPV55" s="609"/>
      <c r="NPW55" s="609"/>
      <c r="NPX55" s="609"/>
      <c r="NPY55" s="609"/>
      <c r="NPZ55" s="609"/>
      <c r="NQA55" s="609"/>
      <c r="NQB55" s="609"/>
      <c r="NQC55" s="609"/>
      <c r="NQD55" s="609"/>
      <c r="NQE55" s="609"/>
      <c r="NQF55" s="609"/>
      <c r="NQG55" s="609"/>
      <c r="NQH55" s="609"/>
      <c r="NQI55" s="609"/>
      <c r="NQJ55" s="609"/>
      <c r="NQK55" s="609"/>
      <c r="NQL55" s="609"/>
      <c r="NQM55" s="609"/>
      <c r="NQN55" s="609"/>
      <c r="NQO55" s="609"/>
      <c r="NQP55" s="609"/>
      <c r="NQQ55" s="609"/>
      <c r="NQR55" s="609"/>
      <c r="NQS55" s="609"/>
      <c r="NQT55" s="609"/>
      <c r="NQU55" s="609"/>
      <c r="NQV55" s="609"/>
      <c r="NQW55" s="609"/>
      <c r="NQX55" s="609"/>
      <c r="NQY55" s="609"/>
      <c r="NQZ55" s="609"/>
      <c r="NRA55" s="609"/>
      <c r="NRB55" s="609"/>
      <c r="NRC55" s="609"/>
      <c r="NRD55" s="609"/>
      <c r="NRE55" s="609"/>
      <c r="NRF55" s="609"/>
      <c r="NRG55" s="609"/>
      <c r="NRH55" s="609"/>
      <c r="NRI55" s="609"/>
      <c r="NRJ55" s="609"/>
      <c r="NRK55" s="609"/>
      <c r="NRL55" s="609"/>
      <c r="NRM55" s="609"/>
      <c r="NRN55" s="609"/>
      <c r="NRO55" s="609"/>
      <c r="NRP55" s="609"/>
      <c r="NRQ55" s="609"/>
      <c r="NRR55" s="609"/>
      <c r="NRS55" s="609"/>
      <c r="NRT55" s="609"/>
      <c r="NRU55" s="609"/>
      <c r="NRV55" s="609"/>
      <c r="NRW55" s="609"/>
      <c r="NRX55" s="609"/>
      <c r="NRY55" s="609"/>
      <c r="NRZ55" s="609"/>
      <c r="NSA55" s="609"/>
      <c r="NSB55" s="609"/>
      <c r="NSC55" s="609"/>
      <c r="NSD55" s="609"/>
      <c r="NSE55" s="609"/>
      <c r="NSF55" s="609"/>
      <c r="NSG55" s="609"/>
      <c r="NSH55" s="609"/>
      <c r="NSI55" s="609"/>
      <c r="NSJ55" s="609"/>
      <c r="NSK55" s="609"/>
      <c r="NSL55" s="609"/>
      <c r="NSM55" s="609"/>
      <c r="NSN55" s="609"/>
      <c r="NSO55" s="609"/>
      <c r="NSP55" s="609"/>
      <c r="NSQ55" s="609"/>
      <c r="NSR55" s="609"/>
      <c r="NSS55" s="609"/>
      <c r="NST55" s="609"/>
      <c r="NSU55" s="609"/>
      <c r="NSV55" s="609"/>
      <c r="NSW55" s="609"/>
      <c r="NSX55" s="609"/>
      <c r="NSY55" s="609"/>
      <c r="NSZ55" s="609"/>
      <c r="NTA55" s="609"/>
      <c r="NTB55" s="609"/>
      <c r="NTC55" s="609"/>
      <c r="NTD55" s="609"/>
      <c r="NTE55" s="609"/>
      <c r="NTF55" s="609"/>
      <c r="NTG55" s="609"/>
      <c r="NTH55" s="609"/>
      <c r="NTI55" s="609"/>
      <c r="NTJ55" s="609"/>
      <c r="NTK55" s="609"/>
      <c r="NTL55" s="609"/>
      <c r="NTM55" s="609"/>
      <c r="NTN55" s="609"/>
      <c r="NTO55" s="609"/>
      <c r="NTP55" s="609"/>
      <c r="NTQ55" s="609"/>
      <c r="NTR55" s="609"/>
      <c r="NTS55" s="609"/>
      <c r="NTT55" s="609"/>
      <c r="NTU55" s="609"/>
      <c r="NTV55" s="609"/>
      <c r="NTW55" s="609"/>
      <c r="NTX55" s="609"/>
      <c r="NTY55" s="609"/>
      <c r="NTZ55" s="609"/>
      <c r="NUA55" s="609"/>
      <c r="NUB55" s="609"/>
      <c r="NUC55" s="609"/>
      <c r="NUD55" s="609"/>
      <c r="NUE55" s="609"/>
      <c r="NUF55" s="609"/>
      <c r="NUG55" s="609"/>
      <c r="NUH55" s="609"/>
      <c r="NUI55" s="609"/>
      <c r="NUJ55" s="609"/>
      <c r="NUK55" s="609"/>
      <c r="NUL55" s="609"/>
      <c r="NUM55" s="609"/>
      <c r="NUN55" s="609"/>
      <c r="NUO55" s="609"/>
      <c r="NUP55" s="609"/>
      <c r="NUQ55" s="609"/>
      <c r="NUR55" s="609"/>
      <c r="NUS55" s="609"/>
      <c r="NUT55" s="609"/>
      <c r="NUU55" s="609"/>
      <c r="NUV55" s="609"/>
      <c r="NUW55" s="609"/>
      <c r="NUX55" s="609"/>
      <c r="NUY55" s="609"/>
      <c r="NUZ55" s="609"/>
      <c r="NVA55" s="609"/>
      <c r="NVB55" s="609"/>
      <c r="NVC55" s="609"/>
      <c r="NVD55" s="609"/>
      <c r="NVE55" s="609"/>
      <c r="NVF55" s="609"/>
      <c r="NVG55" s="609"/>
      <c r="NVH55" s="609"/>
      <c r="NVI55" s="609"/>
      <c r="NVJ55" s="609"/>
      <c r="NVK55" s="609"/>
      <c r="NVL55" s="609"/>
      <c r="NVM55" s="609"/>
      <c r="NVN55" s="609"/>
      <c r="NVO55" s="609"/>
      <c r="NVP55" s="609"/>
      <c r="NVQ55" s="609"/>
      <c r="NVR55" s="609"/>
      <c r="NVS55" s="609"/>
      <c r="NVT55" s="609"/>
      <c r="NVU55" s="609"/>
      <c r="NVV55" s="609"/>
      <c r="NVW55" s="609"/>
      <c r="NVX55" s="609"/>
      <c r="NVY55" s="609"/>
      <c r="NVZ55" s="609"/>
      <c r="NWA55" s="609"/>
      <c r="NWB55" s="609"/>
      <c r="NWC55" s="609"/>
      <c r="NWD55" s="609"/>
      <c r="NWE55" s="609"/>
      <c r="NWF55" s="609"/>
      <c r="NWG55" s="609"/>
      <c r="NWH55" s="609"/>
      <c r="NWI55" s="609"/>
      <c r="NWJ55" s="609"/>
      <c r="NWK55" s="609"/>
      <c r="NWL55" s="609"/>
      <c r="NWM55" s="609"/>
      <c r="NWN55" s="609"/>
      <c r="NWO55" s="609"/>
      <c r="NWP55" s="609"/>
      <c r="NWQ55" s="609"/>
      <c r="NWR55" s="609"/>
      <c r="NWS55" s="609"/>
      <c r="NWT55" s="609"/>
      <c r="NWU55" s="609"/>
      <c r="NWV55" s="609"/>
      <c r="NWW55" s="609"/>
      <c r="NWX55" s="609"/>
      <c r="NWY55" s="609"/>
      <c r="NWZ55" s="609"/>
      <c r="NXA55" s="609"/>
      <c r="NXB55" s="609"/>
      <c r="NXC55" s="609"/>
      <c r="NXD55" s="609"/>
      <c r="NXE55" s="609"/>
      <c r="NXF55" s="609"/>
      <c r="NXG55" s="609"/>
      <c r="NXH55" s="609"/>
      <c r="NXI55" s="609"/>
      <c r="NXJ55" s="609"/>
      <c r="NXK55" s="609"/>
      <c r="NXL55" s="609"/>
      <c r="NXM55" s="609"/>
      <c r="NXN55" s="609"/>
      <c r="NXO55" s="609"/>
      <c r="NXP55" s="609"/>
      <c r="NXQ55" s="609"/>
      <c r="NXR55" s="609"/>
      <c r="NXS55" s="609"/>
      <c r="NXT55" s="609"/>
      <c r="NXU55" s="609"/>
      <c r="NXV55" s="609"/>
      <c r="NXW55" s="609"/>
      <c r="NXX55" s="609"/>
      <c r="NXY55" s="609"/>
      <c r="NXZ55" s="609"/>
      <c r="NYA55" s="609"/>
      <c r="NYB55" s="609"/>
      <c r="NYC55" s="609"/>
      <c r="NYD55" s="609"/>
      <c r="NYE55" s="609"/>
      <c r="NYF55" s="609"/>
      <c r="NYG55" s="609"/>
      <c r="NYH55" s="609"/>
      <c r="NYI55" s="609"/>
      <c r="NYJ55" s="609"/>
      <c r="NYK55" s="609"/>
      <c r="NYL55" s="609"/>
      <c r="NYM55" s="609"/>
      <c r="NYN55" s="609"/>
      <c r="NYO55" s="609"/>
      <c r="NYP55" s="609"/>
      <c r="NYQ55" s="609"/>
      <c r="NYR55" s="609"/>
      <c r="NYS55" s="609"/>
      <c r="NYT55" s="609"/>
      <c r="NYU55" s="609"/>
      <c r="NYV55" s="609"/>
      <c r="NYW55" s="609"/>
      <c r="NYX55" s="609"/>
      <c r="NYY55" s="609"/>
      <c r="NYZ55" s="609"/>
      <c r="NZA55" s="609"/>
      <c r="NZB55" s="609"/>
      <c r="NZC55" s="609"/>
      <c r="NZD55" s="609"/>
      <c r="NZE55" s="609"/>
      <c r="NZF55" s="609"/>
      <c r="NZG55" s="609"/>
      <c r="NZH55" s="609"/>
      <c r="NZI55" s="609"/>
      <c r="NZJ55" s="609"/>
      <c r="NZK55" s="609"/>
      <c r="NZL55" s="609"/>
      <c r="NZM55" s="609"/>
      <c r="NZN55" s="609"/>
      <c r="NZO55" s="609"/>
      <c r="NZP55" s="609"/>
      <c r="NZQ55" s="609"/>
      <c r="NZR55" s="609"/>
      <c r="NZS55" s="609"/>
      <c r="NZT55" s="609"/>
      <c r="NZU55" s="609"/>
      <c r="NZV55" s="609"/>
      <c r="NZW55" s="609"/>
      <c r="NZX55" s="609"/>
      <c r="NZY55" s="609"/>
      <c r="NZZ55" s="609"/>
      <c r="OAA55" s="609"/>
      <c r="OAB55" s="609"/>
      <c r="OAC55" s="609"/>
      <c r="OAD55" s="609"/>
      <c r="OAE55" s="609"/>
      <c r="OAF55" s="609"/>
      <c r="OAG55" s="609"/>
      <c r="OAH55" s="609"/>
      <c r="OAI55" s="609"/>
      <c r="OAJ55" s="609"/>
      <c r="OAK55" s="609"/>
      <c r="OAL55" s="609"/>
      <c r="OAM55" s="609"/>
      <c r="OAN55" s="609"/>
      <c r="OAO55" s="609"/>
      <c r="OAP55" s="609"/>
      <c r="OAQ55" s="609"/>
      <c r="OAR55" s="609"/>
      <c r="OAS55" s="609"/>
      <c r="OAT55" s="609"/>
      <c r="OAU55" s="609"/>
      <c r="OAV55" s="609"/>
      <c r="OAW55" s="609"/>
      <c r="OAX55" s="609"/>
      <c r="OAY55" s="609"/>
      <c r="OAZ55" s="609"/>
      <c r="OBA55" s="609"/>
      <c r="OBB55" s="609"/>
      <c r="OBC55" s="609"/>
      <c r="OBD55" s="609"/>
      <c r="OBE55" s="609"/>
      <c r="OBF55" s="609"/>
      <c r="OBG55" s="609"/>
      <c r="OBH55" s="609"/>
      <c r="OBI55" s="609"/>
      <c r="OBJ55" s="609"/>
      <c r="OBK55" s="609"/>
      <c r="OBL55" s="609"/>
      <c r="OBM55" s="609"/>
      <c r="OBN55" s="609"/>
      <c r="OBO55" s="609"/>
      <c r="OBP55" s="609"/>
      <c r="OBQ55" s="609"/>
      <c r="OBR55" s="609"/>
      <c r="OBS55" s="609"/>
      <c r="OBT55" s="609"/>
      <c r="OBU55" s="609"/>
      <c r="OBV55" s="609"/>
      <c r="OBW55" s="609"/>
      <c r="OBX55" s="609"/>
      <c r="OBY55" s="609"/>
      <c r="OBZ55" s="609"/>
      <c r="OCA55" s="609"/>
      <c r="OCB55" s="609"/>
      <c r="OCC55" s="609"/>
      <c r="OCD55" s="609"/>
      <c r="OCE55" s="609"/>
      <c r="OCF55" s="609"/>
      <c r="OCG55" s="609"/>
      <c r="OCH55" s="609"/>
      <c r="OCI55" s="609"/>
      <c r="OCJ55" s="609"/>
      <c r="OCK55" s="609"/>
      <c r="OCL55" s="609"/>
      <c r="OCM55" s="609"/>
      <c r="OCN55" s="609"/>
      <c r="OCO55" s="609"/>
      <c r="OCP55" s="609"/>
      <c r="OCQ55" s="609"/>
      <c r="OCR55" s="609"/>
      <c r="OCS55" s="609"/>
      <c r="OCT55" s="609"/>
      <c r="OCU55" s="609"/>
      <c r="OCV55" s="609"/>
      <c r="OCW55" s="609"/>
      <c r="OCX55" s="609"/>
      <c r="OCY55" s="609"/>
      <c r="OCZ55" s="609"/>
      <c r="ODA55" s="609"/>
      <c r="ODB55" s="609"/>
      <c r="ODC55" s="609"/>
      <c r="ODD55" s="609"/>
      <c r="ODE55" s="609"/>
      <c r="ODF55" s="609"/>
      <c r="ODG55" s="609"/>
      <c r="ODH55" s="609"/>
      <c r="ODI55" s="609"/>
      <c r="ODJ55" s="609"/>
      <c r="ODK55" s="609"/>
      <c r="ODL55" s="609"/>
      <c r="ODM55" s="609"/>
      <c r="ODN55" s="609"/>
      <c r="ODO55" s="609"/>
      <c r="ODP55" s="609"/>
      <c r="ODQ55" s="609"/>
      <c r="ODR55" s="609"/>
      <c r="ODS55" s="609"/>
      <c r="ODT55" s="609"/>
      <c r="ODU55" s="609"/>
      <c r="ODV55" s="609"/>
      <c r="ODW55" s="609"/>
      <c r="ODX55" s="609"/>
      <c r="ODY55" s="609"/>
      <c r="ODZ55" s="609"/>
      <c r="OEA55" s="609"/>
      <c r="OEB55" s="609"/>
      <c r="OEC55" s="609"/>
      <c r="OED55" s="609"/>
      <c r="OEE55" s="609"/>
      <c r="OEF55" s="609"/>
      <c r="OEG55" s="609"/>
      <c r="OEH55" s="609"/>
      <c r="OEI55" s="609"/>
      <c r="OEJ55" s="609"/>
      <c r="OEK55" s="609"/>
      <c r="OEL55" s="609"/>
      <c r="OEM55" s="609"/>
      <c r="OEN55" s="609"/>
      <c r="OEO55" s="609"/>
      <c r="OEP55" s="609"/>
      <c r="OEQ55" s="609"/>
      <c r="OER55" s="609"/>
      <c r="OES55" s="609"/>
      <c r="OET55" s="609"/>
      <c r="OEU55" s="609"/>
      <c r="OEV55" s="609"/>
      <c r="OEW55" s="609"/>
      <c r="OEX55" s="609"/>
      <c r="OEY55" s="609"/>
      <c r="OEZ55" s="609"/>
      <c r="OFA55" s="609"/>
      <c r="OFB55" s="609"/>
      <c r="OFC55" s="609"/>
      <c r="OFD55" s="609"/>
      <c r="OFE55" s="609"/>
      <c r="OFF55" s="609"/>
      <c r="OFG55" s="609"/>
      <c r="OFH55" s="609"/>
      <c r="OFI55" s="609"/>
      <c r="OFJ55" s="609"/>
      <c r="OFK55" s="609"/>
      <c r="OFL55" s="609"/>
      <c r="OFM55" s="609"/>
      <c r="OFN55" s="609"/>
      <c r="OFO55" s="609"/>
      <c r="OFP55" s="609"/>
      <c r="OFQ55" s="609"/>
      <c r="OFR55" s="609"/>
      <c r="OFS55" s="609"/>
      <c r="OFT55" s="609"/>
      <c r="OFU55" s="609"/>
      <c r="OFV55" s="609"/>
      <c r="OFW55" s="609"/>
      <c r="OFX55" s="609"/>
      <c r="OFY55" s="609"/>
      <c r="OFZ55" s="609"/>
      <c r="OGA55" s="609"/>
      <c r="OGB55" s="609"/>
      <c r="OGC55" s="609"/>
      <c r="OGD55" s="609"/>
      <c r="OGE55" s="609"/>
      <c r="OGF55" s="609"/>
      <c r="OGG55" s="609"/>
      <c r="OGH55" s="609"/>
      <c r="OGI55" s="609"/>
      <c r="OGJ55" s="609"/>
      <c r="OGK55" s="609"/>
      <c r="OGL55" s="609"/>
      <c r="OGM55" s="609"/>
      <c r="OGN55" s="609"/>
      <c r="OGO55" s="609"/>
      <c r="OGP55" s="609"/>
      <c r="OGQ55" s="609"/>
      <c r="OGR55" s="609"/>
      <c r="OGS55" s="609"/>
      <c r="OGT55" s="609"/>
      <c r="OGU55" s="609"/>
      <c r="OGV55" s="609"/>
      <c r="OGW55" s="609"/>
      <c r="OGX55" s="609"/>
      <c r="OGY55" s="609"/>
      <c r="OGZ55" s="609"/>
      <c r="OHA55" s="609"/>
      <c r="OHB55" s="609"/>
      <c r="OHC55" s="609"/>
      <c r="OHD55" s="609"/>
      <c r="OHE55" s="609"/>
      <c r="OHF55" s="609"/>
      <c r="OHG55" s="609"/>
      <c r="OHH55" s="609"/>
      <c r="OHI55" s="609"/>
      <c r="OHJ55" s="609"/>
      <c r="OHK55" s="609"/>
      <c r="OHL55" s="609"/>
      <c r="OHM55" s="609"/>
      <c r="OHN55" s="609"/>
      <c r="OHO55" s="609"/>
      <c r="OHP55" s="609"/>
      <c r="OHQ55" s="609"/>
      <c r="OHR55" s="609"/>
      <c r="OHS55" s="609"/>
      <c r="OHT55" s="609"/>
      <c r="OHU55" s="609"/>
      <c r="OHV55" s="609"/>
      <c r="OHW55" s="609"/>
      <c r="OHX55" s="609"/>
      <c r="OHY55" s="609"/>
      <c r="OHZ55" s="609"/>
      <c r="OIA55" s="609"/>
      <c r="OIB55" s="609"/>
      <c r="OIC55" s="609"/>
      <c r="OID55" s="609"/>
      <c r="OIE55" s="609"/>
      <c r="OIF55" s="609"/>
      <c r="OIG55" s="609"/>
      <c r="OIH55" s="609"/>
      <c r="OII55" s="609"/>
      <c r="OIJ55" s="609"/>
      <c r="OIK55" s="609"/>
      <c r="OIL55" s="609"/>
      <c r="OIM55" s="609"/>
      <c r="OIN55" s="609"/>
      <c r="OIO55" s="609"/>
      <c r="OIP55" s="609"/>
      <c r="OIQ55" s="609"/>
      <c r="OIR55" s="609"/>
      <c r="OIS55" s="609"/>
      <c r="OIT55" s="609"/>
      <c r="OIU55" s="609"/>
      <c r="OIV55" s="609"/>
      <c r="OIW55" s="609"/>
      <c r="OIX55" s="609"/>
      <c r="OIY55" s="609"/>
      <c r="OIZ55" s="609"/>
      <c r="OJA55" s="609"/>
      <c r="OJB55" s="609"/>
      <c r="OJC55" s="609"/>
      <c r="OJD55" s="609"/>
      <c r="OJE55" s="609"/>
      <c r="OJF55" s="609"/>
      <c r="OJG55" s="609"/>
      <c r="OJH55" s="609"/>
      <c r="OJI55" s="609"/>
      <c r="OJJ55" s="609"/>
      <c r="OJK55" s="609"/>
      <c r="OJL55" s="609"/>
      <c r="OJM55" s="609"/>
      <c r="OJN55" s="609"/>
      <c r="OJO55" s="609"/>
      <c r="OJP55" s="609"/>
      <c r="OJQ55" s="609"/>
      <c r="OJR55" s="609"/>
      <c r="OJS55" s="609"/>
      <c r="OJT55" s="609"/>
      <c r="OJU55" s="609"/>
      <c r="OJV55" s="609"/>
      <c r="OJW55" s="609"/>
      <c r="OJX55" s="609"/>
      <c r="OJY55" s="609"/>
      <c r="OJZ55" s="609"/>
      <c r="OKA55" s="609"/>
      <c r="OKB55" s="609"/>
      <c r="OKC55" s="609"/>
      <c r="OKD55" s="609"/>
      <c r="OKE55" s="609"/>
      <c r="OKF55" s="609"/>
      <c r="OKG55" s="609"/>
      <c r="OKH55" s="609"/>
      <c r="OKI55" s="609"/>
      <c r="OKJ55" s="609"/>
      <c r="OKK55" s="609"/>
      <c r="OKL55" s="609"/>
      <c r="OKM55" s="609"/>
      <c r="OKN55" s="609"/>
      <c r="OKO55" s="609"/>
      <c r="OKP55" s="609"/>
      <c r="OKQ55" s="609"/>
      <c r="OKR55" s="609"/>
      <c r="OKS55" s="609"/>
      <c r="OKT55" s="609"/>
      <c r="OKU55" s="609"/>
      <c r="OKV55" s="609"/>
      <c r="OKW55" s="609"/>
      <c r="OKX55" s="609"/>
      <c r="OKY55" s="609"/>
      <c r="OKZ55" s="609"/>
      <c r="OLA55" s="609"/>
      <c r="OLB55" s="609"/>
      <c r="OLC55" s="609"/>
      <c r="OLD55" s="609"/>
      <c r="OLE55" s="609"/>
      <c r="OLF55" s="609"/>
      <c r="OLG55" s="609"/>
      <c r="OLH55" s="609"/>
      <c r="OLI55" s="609"/>
      <c r="OLJ55" s="609"/>
      <c r="OLK55" s="609"/>
      <c r="OLL55" s="609"/>
      <c r="OLM55" s="609"/>
      <c r="OLN55" s="609"/>
      <c r="OLO55" s="609"/>
      <c r="OLP55" s="609"/>
      <c r="OLQ55" s="609"/>
      <c r="OLR55" s="609"/>
      <c r="OLS55" s="609"/>
      <c r="OLT55" s="609"/>
      <c r="OLU55" s="609"/>
      <c r="OLV55" s="609"/>
      <c r="OLW55" s="609"/>
      <c r="OLX55" s="609"/>
      <c r="OLY55" s="609"/>
      <c r="OLZ55" s="609"/>
      <c r="OMA55" s="609"/>
      <c r="OMB55" s="609"/>
      <c r="OMC55" s="609"/>
      <c r="OMD55" s="609"/>
      <c r="OME55" s="609"/>
      <c r="OMF55" s="609"/>
      <c r="OMG55" s="609"/>
      <c r="OMH55" s="609"/>
      <c r="OMI55" s="609"/>
      <c r="OMJ55" s="609"/>
      <c r="OMK55" s="609"/>
      <c r="OML55" s="609"/>
      <c r="OMM55" s="609"/>
      <c r="OMN55" s="609"/>
      <c r="OMO55" s="609"/>
      <c r="OMP55" s="609"/>
      <c r="OMQ55" s="609"/>
      <c r="OMR55" s="609"/>
      <c r="OMS55" s="609"/>
      <c r="OMT55" s="609"/>
      <c r="OMU55" s="609"/>
      <c r="OMV55" s="609"/>
      <c r="OMW55" s="609"/>
      <c r="OMX55" s="609"/>
      <c r="OMY55" s="609"/>
      <c r="OMZ55" s="609"/>
      <c r="ONA55" s="609"/>
      <c r="ONB55" s="609"/>
      <c r="ONC55" s="609"/>
      <c r="OND55" s="609"/>
      <c r="ONE55" s="609"/>
      <c r="ONF55" s="609"/>
      <c r="ONG55" s="609"/>
      <c r="ONH55" s="609"/>
      <c r="ONI55" s="609"/>
      <c r="ONJ55" s="609"/>
      <c r="ONK55" s="609"/>
      <c r="ONL55" s="609"/>
      <c r="ONM55" s="609"/>
      <c r="ONN55" s="609"/>
      <c r="ONO55" s="609"/>
      <c r="ONP55" s="609"/>
      <c r="ONQ55" s="609"/>
      <c r="ONR55" s="609"/>
      <c r="ONS55" s="609"/>
      <c r="ONT55" s="609"/>
      <c r="ONU55" s="609"/>
      <c r="ONV55" s="609"/>
      <c r="ONW55" s="609"/>
      <c r="ONX55" s="609"/>
      <c r="ONY55" s="609"/>
      <c r="ONZ55" s="609"/>
      <c r="OOA55" s="609"/>
      <c r="OOB55" s="609"/>
      <c r="OOC55" s="609"/>
      <c r="OOD55" s="609"/>
      <c r="OOE55" s="609"/>
      <c r="OOF55" s="609"/>
      <c r="OOG55" s="609"/>
      <c r="OOH55" s="609"/>
      <c r="OOI55" s="609"/>
      <c r="OOJ55" s="609"/>
      <c r="OOK55" s="609"/>
      <c r="OOL55" s="609"/>
      <c r="OOM55" s="609"/>
      <c r="OON55" s="609"/>
      <c r="OOO55" s="609"/>
      <c r="OOP55" s="609"/>
      <c r="OOQ55" s="609"/>
      <c r="OOR55" s="609"/>
      <c r="OOS55" s="609"/>
      <c r="OOT55" s="609"/>
      <c r="OOU55" s="609"/>
      <c r="OOV55" s="609"/>
      <c r="OOW55" s="609"/>
      <c r="OOX55" s="609"/>
      <c r="OOY55" s="609"/>
      <c r="OOZ55" s="609"/>
      <c r="OPA55" s="609"/>
      <c r="OPB55" s="609"/>
      <c r="OPC55" s="609"/>
      <c r="OPD55" s="609"/>
      <c r="OPE55" s="609"/>
      <c r="OPF55" s="609"/>
      <c r="OPG55" s="609"/>
      <c r="OPH55" s="609"/>
      <c r="OPI55" s="609"/>
      <c r="OPJ55" s="609"/>
      <c r="OPK55" s="609"/>
      <c r="OPL55" s="609"/>
      <c r="OPM55" s="609"/>
      <c r="OPN55" s="609"/>
      <c r="OPO55" s="609"/>
      <c r="OPP55" s="609"/>
      <c r="OPQ55" s="609"/>
      <c r="OPR55" s="609"/>
      <c r="OPS55" s="609"/>
      <c r="OPT55" s="609"/>
      <c r="OPU55" s="609"/>
      <c r="OPV55" s="609"/>
      <c r="OPW55" s="609"/>
      <c r="OPX55" s="609"/>
      <c r="OPY55" s="609"/>
      <c r="OPZ55" s="609"/>
      <c r="OQA55" s="609"/>
      <c r="OQB55" s="609"/>
      <c r="OQC55" s="609"/>
      <c r="OQD55" s="609"/>
      <c r="OQE55" s="609"/>
      <c r="OQF55" s="609"/>
      <c r="OQG55" s="609"/>
      <c r="OQH55" s="609"/>
      <c r="OQI55" s="609"/>
      <c r="OQJ55" s="609"/>
      <c r="OQK55" s="609"/>
      <c r="OQL55" s="609"/>
      <c r="OQM55" s="609"/>
      <c r="OQN55" s="609"/>
      <c r="OQO55" s="609"/>
      <c r="OQP55" s="609"/>
      <c r="OQQ55" s="609"/>
      <c r="OQR55" s="609"/>
      <c r="OQS55" s="609"/>
      <c r="OQT55" s="609"/>
      <c r="OQU55" s="609"/>
      <c r="OQV55" s="609"/>
      <c r="OQW55" s="609"/>
      <c r="OQX55" s="609"/>
      <c r="OQY55" s="609"/>
      <c r="OQZ55" s="609"/>
      <c r="ORA55" s="609"/>
      <c r="ORB55" s="609"/>
      <c r="ORC55" s="609"/>
      <c r="ORD55" s="609"/>
      <c r="ORE55" s="609"/>
      <c r="ORF55" s="609"/>
      <c r="ORG55" s="609"/>
      <c r="ORH55" s="609"/>
      <c r="ORI55" s="609"/>
      <c r="ORJ55" s="609"/>
      <c r="ORK55" s="609"/>
      <c r="ORL55" s="609"/>
      <c r="ORM55" s="609"/>
      <c r="ORN55" s="609"/>
      <c r="ORO55" s="609"/>
      <c r="ORP55" s="609"/>
      <c r="ORQ55" s="609"/>
      <c r="ORR55" s="609"/>
      <c r="ORS55" s="609"/>
      <c r="ORT55" s="609"/>
      <c r="ORU55" s="609"/>
      <c r="ORV55" s="609"/>
      <c r="ORW55" s="609"/>
      <c r="ORX55" s="609"/>
      <c r="ORY55" s="609"/>
      <c r="ORZ55" s="609"/>
      <c r="OSA55" s="609"/>
      <c r="OSB55" s="609"/>
      <c r="OSC55" s="609"/>
      <c r="OSD55" s="609"/>
      <c r="OSE55" s="609"/>
      <c r="OSF55" s="609"/>
      <c r="OSG55" s="609"/>
      <c r="OSH55" s="609"/>
      <c r="OSI55" s="609"/>
      <c r="OSJ55" s="609"/>
      <c r="OSK55" s="609"/>
      <c r="OSL55" s="609"/>
      <c r="OSM55" s="609"/>
      <c r="OSN55" s="609"/>
      <c r="OSO55" s="609"/>
      <c r="OSP55" s="609"/>
      <c r="OSQ55" s="609"/>
      <c r="OSR55" s="609"/>
      <c r="OSS55" s="609"/>
      <c r="OST55" s="609"/>
      <c r="OSU55" s="609"/>
      <c r="OSV55" s="609"/>
      <c r="OSW55" s="609"/>
      <c r="OSX55" s="609"/>
      <c r="OSY55" s="609"/>
      <c r="OSZ55" s="609"/>
      <c r="OTA55" s="609"/>
      <c r="OTB55" s="609"/>
      <c r="OTC55" s="609"/>
      <c r="OTD55" s="609"/>
      <c r="OTE55" s="609"/>
      <c r="OTF55" s="609"/>
      <c r="OTG55" s="609"/>
      <c r="OTH55" s="609"/>
      <c r="OTI55" s="609"/>
      <c r="OTJ55" s="609"/>
      <c r="OTK55" s="609"/>
      <c r="OTL55" s="609"/>
      <c r="OTM55" s="609"/>
      <c r="OTN55" s="609"/>
      <c r="OTO55" s="609"/>
      <c r="OTP55" s="609"/>
      <c r="OTQ55" s="609"/>
      <c r="OTR55" s="609"/>
      <c r="OTS55" s="609"/>
      <c r="OTT55" s="609"/>
      <c r="OTU55" s="609"/>
      <c r="OTV55" s="609"/>
      <c r="OTW55" s="609"/>
      <c r="OTX55" s="609"/>
      <c r="OTY55" s="609"/>
      <c r="OTZ55" s="609"/>
      <c r="OUA55" s="609"/>
      <c r="OUB55" s="609"/>
      <c r="OUC55" s="609"/>
      <c r="OUD55" s="609"/>
      <c r="OUE55" s="609"/>
      <c r="OUF55" s="609"/>
      <c r="OUG55" s="609"/>
      <c r="OUH55" s="609"/>
      <c r="OUI55" s="609"/>
      <c r="OUJ55" s="609"/>
      <c r="OUK55" s="609"/>
      <c r="OUL55" s="609"/>
      <c r="OUM55" s="609"/>
      <c r="OUN55" s="609"/>
      <c r="OUO55" s="609"/>
      <c r="OUP55" s="609"/>
      <c r="OUQ55" s="609"/>
      <c r="OUR55" s="609"/>
      <c r="OUS55" s="609"/>
      <c r="OUT55" s="609"/>
      <c r="OUU55" s="609"/>
      <c r="OUV55" s="609"/>
      <c r="OUW55" s="609"/>
      <c r="OUX55" s="609"/>
      <c r="OUY55" s="609"/>
      <c r="OUZ55" s="609"/>
      <c r="OVA55" s="609"/>
      <c r="OVB55" s="609"/>
      <c r="OVC55" s="609"/>
      <c r="OVD55" s="609"/>
      <c r="OVE55" s="609"/>
      <c r="OVF55" s="609"/>
      <c r="OVG55" s="609"/>
      <c r="OVH55" s="609"/>
      <c r="OVI55" s="609"/>
      <c r="OVJ55" s="609"/>
      <c r="OVK55" s="609"/>
      <c r="OVL55" s="609"/>
      <c r="OVM55" s="609"/>
      <c r="OVN55" s="609"/>
      <c r="OVO55" s="609"/>
      <c r="OVP55" s="609"/>
      <c r="OVQ55" s="609"/>
      <c r="OVR55" s="609"/>
      <c r="OVS55" s="609"/>
      <c r="OVT55" s="609"/>
      <c r="OVU55" s="609"/>
      <c r="OVV55" s="609"/>
      <c r="OVW55" s="609"/>
      <c r="OVX55" s="609"/>
      <c r="OVY55" s="609"/>
      <c r="OVZ55" s="609"/>
      <c r="OWA55" s="609"/>
      <c r="OWB55" s="609"/>
      <c r="OWC55" s="609"/>
      <c r="OWD55" s="609"/>
      <c r="OWE55" s="609"/>
      <c r="OWF55" s="609"/>
      <c r="OWG55" s="609"/>
      <c r="OWH55" s="609"/>
      <c r="OWI55" s="609"/>
      <c r="OWJ55" s="609"/>
      <c r="OWK55" s="609"/>
      <c r="OWL55" s="609"/>
      <c r="OWM55" s="609"/>
      <c r="OWN55" s="609"/>
      <c r="OWO55" s="609"/>
      <c r="OWP55" s="609"/>
      <c r="OWQ55" s="609"/>
      <c r="OWR55" s="609"/>
      <c r="OWS55" s="609"/>
      <c r="OWT55" s="609"/>
      <c r="OWU55" s="609"/>
      <c r="OWV55" s="609"/>
      <c r="OWW55" s="609"/>
      <c r="OWX55" s="609"/>
      <c r="OWY55" s="609"/>
      <c r="OWZ55" s="609"/>
      <c r="OXA55" s="609"/>
      <c r="OXB55" s="609"/>
      <c r="OXC55" s="609"/>
      <c r="OXD55" s="609"/>
      <c r="OXE55" s="609"/>
      <c r="OXF55" s="609"/>
      <c r="OXG55" s="609"/>
      <c r="OXH55" s="609"/>
      <c r="OXI55" s="609"/>
      <c r="OXJ55" s="609"/>
      <c r="OXK55" s="609"/>
      <c r="OXL55" s="609"/>
      <c r="OXM55" s="609"/>
      <c r="OXN55" s="609"/>
      <c r="OXO55" s="609"/>
      <c r="OXP55" s="609"/>
      <c r="OXQ55" s="609"/>
      <c r="OXR55" s="609"/>
      <c r="OXS55" s="609"/>
      <c r="OXT55" s="609"/>
      <c r="OXU55" s="609"/>
      <c r="OXV55" s="609"/>
      <c r="OXW55" s="609"/>
      <c r="OXX55" s="609"/>
      <c r="OXY55" s="609"/>
      <c r="OXZ55" s="609"/>
      <c r="OYA55" s="609"/>
      <c r="OYB55" s="609"/>
      <c r="OYC55" s="609"/>
      <c r="OYD55" s="609"/>
      <c r="OYE55" s="609"/>
      <c r="OYF55" s="609"/>
      <c r="OYG55" s="609"/>
      <c r="OYH55" s="609"/>
      <c r="OYI55" s="609"/>
      <c r="OYJ55" s="609"/>
      <c r="OYK55" s="609"/>
      <c r="OYL55" s="609"/>
      <c r="OYM55" s="609"/>
      <c r="OYN55" s="609"/>
      <c r="OYO55" s="609"/>
      <c r="OYP55" s="609"/>
      <c r="OYQ55" s="609"/>
      <c r="OYR55" s="609"/>
      <c r="OYS55" s="609"/>
      <c r="OYT55" s="609"/>
      <c r="OYU55" s="609"/>
      <c r="OYV55" s="609"/>
      <c r="OYW55" s="609"/>
      <c r="OYX55" s="609"/>
      <c r="OYY55" s="609"/>
      <c r="OYZ55" s="609"/>
      <c r="OZA55" s="609"/>
      <c r="OZB55" s="609"/>
      <c r="OZC55" s="609"/>
      <c r="OZD55" s="609"/>
      <c r="OZE55" s="609"/>
      <c r="OZF55" s="609"/>
      <c r="OZG55" s="609"/>
      <c r="OZH55" s="609"/>
      <c r="OZI55" s="609"/>
      <c r="OZJ55" s="609"/>
      <c r="OZK55" s="609"/>
      <c r="OZL55" s="609"/>
      <c r="OZM55" s="609"/>
      <c r="OZN55" s="609"/>
      <c r="OZO55" s="609"/>
      <c r="OZP55" s="609"/>
      <c r="OZQ55" s="609"/>
      <c r="OZR55" s="609"/>
      <c r="OZS55" s="609"/>
      <c r="OZT55" s="609"/>
      <c r="OZU55" s="609"/>
      <c r="OZV55" s="609"/>
      <c r="OZW55" s="609"/>
      <c r="OZX55" s="609"/>
      <c r="OZY55" s="609"/>
      <c r="OZZ55" s="609"/>
      <c r="PAA55" s="609"/>
      <c r="PAB55" s="609"/>
      <c r="PAC55" s="609"/>
      <c r="PAD55" s="609"/>
      <c r="PAE55" s="609"/>
      <c r="PAF55" s="609"/>
      <c r="PAG55" s="609"/>
      <c r="PAH55" s="609"/>
      <c r="PAI55" s="609"/>
      <c r="PAJ55" s="609"/>
      <c r="PAK55" s="609"/>
      <c r="PAL55" s="609"/>
      <c r="PAM55" s="609"/>
      <c r="PAN55" s="609"/>
      <c r="PAO55" s="609"/>
      <c r="PAP55" s="609"/>
      <c r="PAQ55" s="609"/>
      <c r="PAR55" s="609"/>
      <c r="PAS55" s="609"/>
      <c r="PAT55" s="609"/>
      <c r="PAU55" s="609"/>
      <c r="PAV55" s="609"/>
      <c r="PAW55" s="609"/>
      <c r="PAX55" s="609"/>
      <c r="PAY55" s="609"/>
      <c r="PAZ55" s="609"/>
      <c r="PBA55" s="609"/>
      <c r="PBB55" s="609"/>
      <c r="PBC55" s="609"/>
      <c r="PBD55" s="609"/>
      <c r="PBE55" s="609"/>
      <c r="PBF55" s="609"/>
      <c r="PBG55" s="609"/>
      <c r="PBH55" s="609"/>
      <c r="PBI55" s="609"/>
      <c r="PBJ55" s="609"/>
      <c r="PBK55" s="609"/>
      <c r="PBL55" s="609"/>
      <c r="PBM55" s="609"/>
      <c r="PBN55" s="609"/>
      <c r="PBO55" s="609"/>
      <c r="PBP55" s="609"/>
      <c r="PBQ55" s="609"/>
      <c r="PBR55" s="609"/>
      <c r="PBS55" s="609"/>
      <c r="PBT55" s="609"/>
      <c r="PBU55" s="609"/>
      <c r="PBV55" s="609"/>
      <c r="PBW55" s="609"/>
      <c r="PBX55" s="609"/>
      <c r="PBY55" s="609"/>
      <c r="PBZ55" s="609"/>
      <c r="PCA55" s="609"/>
      <c r="PCB55" s="609"/>
      <c r="PCC55" s="609"/>
      <c r="PCD55" s="609"/>
      <c r="PCE55" s="609"/>
      <c r="PCF55" s="609"/>
      <c r="PCG55" s="609"/>
      <c r="PCH55" s="609"/>
      <c r="PCI55" s="609"/>
      <c r="PCJ55" s="609"/>
      <c r="PCK55" s="609"/>
      <c r="PCL55" s="609"/>
      <c r="PCM55" s="609"/>
      <c r="PCN55" s="609"/>
      <c r="PCO55" s="609"/>
      <c r="PCP55" s="609"/>
      <c r="PCQ55" s="609"/>
      <c r="PCR55" s="609"/>
      <c r="PCS55" s="609"/>
      <c r="PCT55" s="609"/>
      <c r="PCU55" s="609"/>
      <c r="PCV55" s="609"/>
      <c r="PCW55" s="609"/>
      <c r="PCX55" s="609"/>
      <c r="PCY55" s="609"/>
      <c r="PCZ55" s="609"/>
      <c r="PDA55" s="609"/>
      <c r="PDB55" s="609"/>
      <c r="PDC55" s="609"/>
      <c r="PDD55" s="609"/>
      <c r="PDE55" s="609"/>
      <c r="PDF55" s="609"/>
      <c r="PDG55" s="609"/>
      <c r="PDH55" s="609"/>
      <c r="PDI55" s="609"/>
      <c r="PDJ55" s="609"/>
      <c r="PDK55" s="609"/>
      <c r="PDL55" s="609"/>
      <c r="PDM55" s="609"/>
      <c r="PDN55" s="609"/>
      <c r="PDO55" s="609"/>
      <c r="PDP55" s="609"/>
      <c r="PDQ55" s="609"/>
      <c r="PDR55" s="609"/>
      <c r="PDS55" s="609"/>
      <c r="PDT55" s="609"/>
      <c r="PDU55" s="609"/>
      <c r="PDV55" s="609"/>
      <c r="PDW55" s="609"/>
      <c r="PDX55" s="609"/>
      <c r="PDY55" s="609"/>
      <c r="PDZ55" s="609"/>
      <c r="PEA55" s="609"/>
      <c r="PEB55" s="609"/>
      <c r="PEC55" s="609"/>
      <c r="PED55" s="609"/>
      <c r="PEE55" s="609"/>
      <c r="PEF55" s="609"/>
      <c r="PEG55" s="609"/>
      <c r="PEH55" s="609"/>
      <c r="PEI55" s="609"/>
      <c r="PEJ55" s="609"/>
      <c r="PEK55" s="609"/>
      <c r="PEL55" s="609"/>
      <c r="PEM55" s="609"/>
      <c r="PEN55" s="609"/>
      <c r="PEO55" s="609"/>
      <c r="PEP55" s="609"/>
      <c r="PEQ55" s="609"/>
      <c r="PER55" s="609"/>
      <c r="PES55" s="609"/>
      <c r="PET55" s="609"/>
      <c r="PEU55" s="609"/>
      <c r="PEV55" s="609"/>
      <c r="PEW55" s="609"/>
      <c r="PEX55" s="609"/>
      <c r="PEY55" s="609"/>
      <c r="PEZ55" s="609"/>
      <c r="PFA55" s="609"/>
      <c r="PFB55" s="609"/>
      <c r="PFC55" s="609"/>
      <c r="PFD55" s="609"/>
      <c r="PFE55" s="609"/>
      <c r="PFF55" s="609"/>
      <c r="PFG55" s="609"/>
      <c r="PFH55" s="609"/>
      <c r="PFI55" s="609"/>
      <c r="PFJ55" s="609"/>
      <c r="PFK55" s="609"/>
      <c r="PFL55" s="609"/>
      <c r="PFM55" s="609"/>
      <c r="PFN55" s="609"/>
      <c r="PFO55" s="609"/>
      <c r="PFP55" s="609"/>
      <c r="PFQ55" s="609"/>
      <c r="PFR55" s="609"/>
      <c r="PFS55" s="609"/>
      <c r="PFT55" s="609"/>
      <c r="PFU55" s="609"/>
      <c r="PFV55" s="609"/>
      <c r="PFW55" s="609"/>
      <c r="PFX55" s="609"/>
      <c r="PFY55" s="609"/>
      <c r="PFZ55" s="609"/>
      <c r="PGA55" s="609"/>
      <c r="PGB55" s="609"/>
      <c r="PGC55" s="609"/>
      <c r="PGD55" s="609"/>
      <c r="PGE55" s="609"/>
      <c r="PGF55" s="609"/>
      <c r="PGG55" s="609"/>
      <c r="PGH55" s="609"/>
      <c r="PGI55" s="609"/>
      <c r="PGJ55" s="609"/>
      <c r="PGK55" s="609"/>
      <c r="PGL55" s="609"/>
      <c r="PGM55" s="609"/>
      <c r="PGN55" s="609"/>
      <c r="PGO55" s="609"/>
      <c r="PGP55" s="609"/>
      <c r="PGQ55" s="609"/>
      <c r="PGR55" s="609"/>
      <c r="PGS55" s="609"/>
      <c r="PGT55" s="609"/>
      <c r="PGU55" s="609"/>
      <c r="PGV55" s="609"/>
      <c r="PGW55" s="609"/>
      <c r="PGX55" s="609"/>
      <c r="PGY55" s="609"/>
      <c r="PGZ55" s="609"/>
      <c r="PHA55" s="609"/>
      <c r="PHB55" s="609"/>
      <c r="PHC55" s="609"/>
      <c r="PHD55" s="609"/>
      <c r="PHE55" s="609"/>
      <c r="PHF55" s="609"/>
      <c r="PHG55" s="609"/>
      <c r="PHH55" s="609"/>
      <c r="PHI55" s="609"/>
      <c r="PHJ55" s="609"/>
      <c r="PHK55" s="609"/>
      <c r="PHL55" s="609"/>
      <c r="PHM55" s="609"/>
      <c r="PHN55" s="609"/>
      <c r="PHO55" s="609"/>
      <c r="PHP55" s="609"/>
      <c r="PHQ55" s="609"/>
      <c r="PHR55" s="609"/>
      <c r="PHS55" s="609"/>
      <c r="PHT55" s="609"/>
      <c r="PHU55" s="609"/>
      <c r="PHV55" s="609"/>
      <c r="PHW55" s="609"/>
      <c r="PHX55" s="609"/>
      <c r="PHY55" s="609"/>
      <c r="PHZ55" s="609"/>
      <c r="PIA55" s="609"/>
      <c r="PIB55" s="609"/>
      <c r="PIC55" s="609"/>
      <c r="PID55" s="609"/>
      <c r="PIE55" s="609"/>
      <c r="PIF55" s="609"/>
      <c r="PIG55" s="609"/>
      <c r="PIH55" s="609"/>
      <c r="PII55" s="609"/>
      <c r="PIJ55" s="609"/>
      <c r="PIK55" s="609"/>
      <c r="PIL55" s="609"/>
      <c r="PIM55" s="609"/>
      <c r="PIN55" s="609"/>
      <c r="PIO55" s="609"/>
      <c r="PIP55" s="609"/>
      <c r="PIQ55" s="609"/>
      <c r="PIR55" s="609"/>
      <c r="PIS55" s="609"/>
      <c r="PIT55" s="609"/>
      <c r="PIU55" s="609"/>
      <c r="PIV55" s="609"/>
      <c r="PIW55" s="609"/>
      <c r="PIX55" s="609"/>
      <c r="PIY55" s="609"/>
      <c r="PIZ55" s="609"/>
      <c r="PJA55" s="609"/>
      <c r="PJB55" s="609"/>
      <c r="PJC55" s="609"/>
      <c r="PJD55" s="609"/>
      <c r="PJE55" s="609"/>
      <c r="PJF55" s="609"/>
      <c r="PJG55" s="609"/>
      <c r="PJH55" s="609"/>
      <c r="PJI55" s="609"/>
      <c r="PJJ55" s="609"/>
      <c r="PJK55" s="609"/>
      <c r="PJL55" s="609"/>
      <c r="PJM55" s="609"/>
      <c r="PJN55" s="609"/>
      <c r="PJO55" s="609"/>
      <c r="PJP55" s="609"/>
      <c r="PJQ55" s="609"/>
      <c r="PJR55" s="609"/>
      <c r="PJS55" s="609"/>
      <c r="PJT55" s="609"/>
      <c r="PJU55" s="609"/>
      <c r="PJV55" s="609"/>
      <c r="PJW55" s="609"/>
      <c r="PJX55" s="609"/>
      <c r="PJY55" s="609"/>
      <c r="PJZ55" s="609"/>
      <c r="PKA55" s="609"/>
      <c r="PKB55" s="609"/>
      <c r="PKC55" s="609"/>
      <c r="PKD55" s="609"/>
      <c r="PKE55" s="609"/>
      <c r="PKF55" s="609"/>
      <c r="PKG55" s="609"/>
      <c r="PKH55" s="609"/>
      <c r="PKI55" s="609"/>
      <c r="PKJ55" s="609"/>
      <c r="PKK55" s="609"/>
      <c r="PKL55" s="609"/>
      <c r="PKM55" s="609"/>
      <c r="PKN55" s="609"/>
      <c r="PKO55" s="609"/>
      <c r="PKP55" s="609"/>
      <c r="PKQ55" s="609"/>
      <c r="PKR55" s="609"/>
      <c r="PKS55" s="609"/>
      <c r="PKT55" s="609"/>
      <c r="PKU55" s="609"/>
      <c r="PKV55" s="609"/>
      <c r="PKW55" s="609"/>
      <c r="PKX55" s="609"/>
      <c r="PKY55" s="609"/>
      <c r="PKZ55" s="609"/>
      <c r="PLA55" s="609"/>
      <c r="PLB55" s="609"/>
      <c r="PLC55" s="609"/>
      <c r="PLD55" s="609"/>
      <c r="PLE55" s="609"/>
      <c r="PLF55" s="609"/>
      <c r="PLG55" s="609"/>
      <c r="PLH55" s="609"/>
      <c r="PLI55" s="609"/>
      <c r="PLJ55" s="609"/>
      <c r="PLK55" s="609"/>
      <c r="PLL55" s="609"/>
      <c r="PLM55" s="609"/>
      <c r="PLN55" s="609"/>
      <c r="PLO55" s="609"/>
      <c r="PLP55" s="609"/>
      <c r="PLQ55" s="609"/>
      <c r="PLR55" s="609"/>
      <c r="PLS55" s="609"/>
      <c r="PLT55" s="609"/>
      <c r="PLU55" s="609"/>
      <c r="PLV55" s="609"/>
      <c r="PLW55" s="609"/>
      <c r="PLX55" s="609"/>
      <c r="PLY55" s="609"/>
      <c r="PLZ55" s="609"/>
      <c r="PMA55" s="609"/>
      <c r="PMB55" s="609"/>
      <c r="PMC55" s="609"/>
      <c r="PMD55" s="609"/>
      <c r="PME55" s="609"/>
      <c r="PMF55" s="609"/>
      <c r="PMG55" s="609"/>
      <c r="PMH55" s="609"/>
      <c r="PMI55" s="609"/>
      <c r="PMJ55" s="609"/>
      <c r="PMK55" s="609"/>
      <c r="PML55" s="609"/>
      <c r="PMM55" s="609"/>
      <c r="PMN55" s="609"/>
      <c r="PMO55" s="609"/>
      <c r="PMP55" s="609"/>
      <c r="PMQ55" s="609"/>
      <c r="PMR55" s="609"/>
      <c r="PMS55" s="609"/>
      <c r="PMT55" s="609"/>
      <c r="PMU55" s="609"/>
      <c r="PMV55" s="609"/>
      <c r="PMW55" s="609"/>
      <c r="PMX55" s="609"/>
      <c r="PMY55" s="609"/>
      <c r="PMZ55" s="609"/>
      <c r="PNA55" s="609"/>
      <c r="PNB55" s="609"/>
      <c r="PNC55" s="609"/>
      <c r="PND55" s="609"/>
      <c r="PNE55" s="609"/>
      <c r="PNF55" s="609"/>
      <c r="PNG55" s="609"/>
      <c r="PNH55" s="609"/>
      <c r="PNI55" s="609"/>
      <c r="PNJ55" s="609"/>
      <c r="PNK55" s="609"/>
      <c r="PNL55" s="609"/>
      <c r="PNM55" s="609"/>
      <c r="PNN55" s="609"/>
      <c r="PNO55" s="609"/>
      <c r="PNP55" s="609"/>
      <c r="PNQ55" s="609"/>
      <c r="PNR55" s="609"/>
      <c r="PNS55" s="609"/>
      <c r="PNT55" s="609"/>
      <c r="PNU55" s="609"/>
      <c r="PNV55" s="609"/>
      <c r="PNW55" s="609"/>
      <c r="PNX55" s="609"/>
      <c r="PNY55" s="609"/>
      <c r="PNZ55" s="609"/>
      <c r="POA55" s="609"/>
      <c r="POB55" s="609"/>
      <c r="POC55" s="609"/>
      <c r="POD55" s="609"/>
      <c r="POE55" s="609"/>
      <c r="POF55" s="609"/>
      <c r="POG55" s="609"/>
      <c r="POH55" s="609"/>
      <c r="POI55" s="609"/>
      <c r="POJ55" s="609"/>
      <c r="POK55" s="609"/>
      <c r="POL55" s="609"/>
      <c r="POM55" s="609"/>
      <c r="PON55" s="609"/>
      <c r="POO55" s="609"/>
      <c r="POP55" s="609"/>
      <c r="POQ55" s="609"/>
      <c r="POR55" s="609"/>
      <c r="POS55" s="609"/>
      <c r="POT55" s="609"/>
      <c r="POU55" s="609"/>
      <c r="POV55" s="609"/>
      <c r="POW55" s="609"/>
      <c r="POX55" s="609"/>
      <c r="POY55" s="609"/>
      <c r="POZ55" s="609"/>
      <c r="PPA55" s="609"/>
      <c r="PPB55" s="609"/>
      <c r="PPC55" s="609"/>
      <c r="PPD55" s="609"/>
      <c r="PPE55" s="609"/>
      <c r="PPF55" s="609"/>
      <c r="PPG55" s="609"/>
      <c r="PPH55" s="609"/>
      <c r="PPI55" s="609"/>
      <c r="PPJ55" s="609"/>
      <c r="PPK55" s="609"/>
      <c r="PPL55" s="609"/>
      <c r="PPM55" s="609"/>
      <c r="PPN55" s="609"/>
      <c r="PPO55" s="609"/>
      <c r="PPP55" s="609"/>
      <c r="PPQ55" s="609"/>
      <c r="PPR55" s="609"/>
      <c r="PPS55" s="609"/>
      <c r="PPT55" s="609"/>
      <c r="PPU55" s="609"/>
      <c r="PPV55" s="609"/>
      <c r="PPW55" s="609"/>
      <c r="PPX55" s="609"/>
      <c r="PPY55" s="609"/>
      <c r="PPZ55" s="609"/>
      <c r="PQA55" s="609"/>
      <c r="PQB55" s="609"/>
      <c r="PQC55" s="609"/>
      <c r="PQD55" s="609"/>
      <c r="PQE55" s="609"/>
      <c r="PQF55" s="609"/>
      <c r="PQG55" s="609"/>
      <c r="PQH55" s="609"/>
      <c r="PQI55" s="609"/>
      <c r="PQJ55" s="609"/>
      <c r="PQK55" s="609"/>
      <c r="PQL55" s="609"/>
      <c r="PQM55" s="609"/>
      <c r="PQN55" s="609"/>
      <c r="PQO55" s="609"/>
      <c r="PQP55" s="609"/>
      <c r="PQQ55" s="609"/>
      <c r="PQR55" s="609"/>
      <c r="PQS55" s="609"/>
      <c r="PQT55" s="609"/>
      <c r="PQU55" s="609"/>
      <c r="PQV55" s="609"/>
      <c r="PQW55" s="609"/>
      <c r="PQX55" s="609"/>
      <c r="PQY55" s="609"/>
      <c r="PQZ55" s="609"/>
      <c r="PRA55" s="609"/>
      <c r="PRB55" s="609"/>
      <c r="PRC55" s="609"/>
      <c r="PRD55" s="609"/>
      <c r="PRE55" s="609"/>
      <c r="PRF55" s="609"/>
      <c r="PRG55" s="609"/>
      <c r="PRH55" s="609"/>
      <c r="PRI55" s="609"/>
      <c r="PRJ55" s="609"/>
      <c r="PRK55" s="609"/>
      <c r="PRL55" s="609"/>
      <c r="PRM55" s="609"/>
      <c r="PRN55" s="609"/>
      <c r="PRO55" s="609"/>
      <c r="PRP55" s="609"/>
      <c r="PRQ55" s="609"/>
      <c r="PRR55" s="609"/>
      <c r="PRS55" s="609"/>
      <c r="PRT55" s="609"/>
      <c r="PRU55" s="609"/>
      <c r="PRV55" s="609"/>
      <c r="PRW55" s="609"/>
      <c r="PRX55" s="609"/>
      <c r="PRY55" s="609"/>
      <c r="PRZ55" s="609"/>
      <c r="PSA55" s="609"/>
      <c r="PSB55" s="609"/>
      <c r="PSC55" s="609"/>
      <c r="PSD55" s="609"/>
      <c r="PSE55" s="609"/>
      <c r="PSF55" s="609"/>
      <c r="PSG55" s="609"/>
      <c r="PSH55" s="609"/>
      <c r="PSI55" s="609"/>
      <c r="PSJ55" s="609"/>
      <c r="PSK55" s="609"/>
      <c r="PSL55" s="609"/>
      <c r="PSM55" s="609"/>
      <c r="PSN55" s="609"/>
      <c r="PSO55" s="609"/>
      <c r="PSP55" s="609"/>
      <c r="PSQ55" s="609"/>
      <c r="PSR55" s="609"/>
      <c r="PSS55" s="609"/>
      <c r="PST55" s="609"/>
      <c r="PSU55" s="609"/>
      <c r="PSV55" s="609"/>
      <c r="PSW55" s="609"/>
      <c r="PSX55" s="609"/>
      <c r="PSY55" s="609"/>
      <c r="PSZ55" s="609"/>
      <c r="PTA55" s="609"/>
      <c r="PTB55" s="609"/>
      <c r="PTC55" s="609"/>
      <c r="PTD55" s="609"/>
      <c r="PTE55" s="609"/>
      <c r="PTF55" s="609"/>
      <c r="PTG55" s="609"/>
      <c r="PTH55" s="609"/>
      <c r="PTI55" s="609"/>
      <c r="PTJ55" s="609"/>
      <c r="PTK55" s="609"/>
      <c r="PTL55" s="609"/>
      <c r="PTM55" s="609"/>
      <c r="PTN55" s="609"/>
      <c r="PTO55" s="609"/>
      <c r="PTP55" s="609"/>
      <c r="PTQ55" s="609"/>
      <c r="PTR55" s="609"/>
      <c r="PTS55" s="609"/>
      <c r="PTT55" s="609"/>
      <c r="PTU55" s="609"/>
      <c r="PTV55" s="609"/>
      <c r="PTW55" s="609"/>
      <c r="PTX55" s="609"/>
      <c r="PTY55" s="609"/>
      <c r="PTZ55" s="609"/>
      <c r="PUA55" s="609"/>
      <c r="PUB55" s="609"/>
      <c r="PUC55" s="609"/>
      <c r="PUD55" s="609"/>
      <c r="PUE55" s="609"/>
      <c r="PUF55" s="609"/>
      <c r="PUG55" s="609"/>
      <c r="PUH55" s="609"/>
      <c r="PUI55" s="609"/>
      <c r="PUJ55" s="609"/>
      <c r="PUK55" s="609"/>
      <c r="PUL55" s="609"/>
      <c r="PUM55" s="609"/>
      <c r="PUN55" s="609"/>
      <c r="PUO55" s="609"/>
      <c r="PUP55" s="609"/>
      <c r="PUQ55" s="609"/>
      <c r="PUR55" s="609"/>
      <c r="PUS55" s="609"/>
      <c r="PUT55" s="609"/>
      <c r="PUU55" s="609"/>
      <c r="PUV55" s="609"/>
      <c r="PUW55" s="609"/>
      <c r="PUX55" s="609"/>
      <c r="PUY55" s="609"/>
      <c r="PUZ55" s="609"/>
      <c r="PVA55" s="609"/>
      <c r="PVB55" s="609"/>
      <c r="PVC55" s="609"/>
      <c r="PVD55" s="609"/>
      <c r="PVE55" s="609"/>
      <c r="PVF55" s="609"/>
      <c r="PVG55" s="609"/>
      <c r="PVH55" s="609"/>
      <c r="PVI55" s="609"/>
      <c r="PVJ55" s="609"/>
      <c r="PVK55" s="609"/>
      <c r="PVL55" s="609"/>
      <c r="PVM55" s="609"/>
      <c r="PVN55" s="609"/>
      <c r="PVO55" s="609"/>
      <c r="PVP55" s="609"/>
      <c r="PVQ55" s="609"/>
      <c r="PVR55" s="609"/>
      <c r="PVS55" s="609"/>
      <c r="PVT55" s="609"/>
      <c r="PVU55" s="609"/>
      <c r="PVV55" s="609"/>
      <c r="PVW55" s="609"/>
      <c r="PVX55" s="609"/>
      <c r="PVY55" s="609"/>
      <c r="PVZ55" s="609"/>
      <c r="PWA55" s="609"/>
      <c r="PWB55" s="609"/>
      <c r="PWC55" s="609"/>
      <c r="PWD55" s="609"/>
      <c r="PWE55" s="609"/>
      <c r="PWF55" s="609"/>
      <c r="PWG55" s="609"/>
      <c r="PWH55" s="609"/>
      <c r="PWI55" s="609"/>
      <c r="PWJ55" s="609"/>
      <c r="PWK55" s="609"/>
      <c r="PWL55" s="609"/>
      <c r="PWM55" s="609"/>
      <c r="PWN55" s="609"/>
      <c r="PWO55" s="609"/>
      <c r="PWP55" s="609"/>
      <c r="PWQ55" s="609"/>
      <c r="PWR55" s="609"/>
      <c r="PWS55" s="609"/>
      <c r="PWT55" s="609"/>
      <c r="PWU55" s="609"/>
      <c r="PWV55" s="609"/>
      <c r="PWW55" s="609"/>
      <c r="PWX55" s="609"/>
      <c r="PWY55" s="609"/>
      <c r="PWZ55" s="609"/>
      <c r="PXA55" s="609"/>
      <c r="PXB55" s="609"/>
      <c r="PXC55" s="609"/>
      <c r="PXD55" s="609"/>
      <c r="PXE55" s="609"/>
      <c r="PXF55" s="609"/>
      <c r="PXG55" s="609"/>
      <c r="PXH55" s="609"/>
      <c r="PXI55" s="609"/>
      <c r="PXJ55" s="609"/>
      <c r="PXK55" s="609"/>
      <c r="PXL55" s="609"/>
      <c r="PXM55" s="609"/>
      <c r="PXN55" s="609"/>
      <c r="PXO55" s="609"/>
      <c r="PXP55" s="609"/>
      <c r="PXQ55" s="609"/>
      <c r="PXR55" s="609"/>
      <c r="PXS55" s="609"/>
      <c r="PXT55" s="609"/>
      <c r="PXU55" s="609"/>
      <c r="PXV55" s="609"/>
      <c r="PXW55" s="609"/>
      <c r="PXX55" s="609"/>
      <c r="PXY55" s="609"/>
      <c r="PXZ55" s="609"/>
      <c r="PYA55" s="609"/>
      <c r="PYB55" s="609"/>
      <c r="PYC55" s="609"/>
      <c r="PYD55" s="609"/>
      <c r="PYE55" s="609"/>
      <c r="PYF55" s="609"/>
      <c r="PYG55" s="609"/>
      <c r="PYH55" s="609"/>
      <c r="PYI55" s="609"/>
      <c r="PYJ55" s="609"/>
      <c r="PYK55" s="609"/>
      <c r="PYL55" s="609"/>
      <c r="PYM55" s="609"/>
      <c r="PYN55" s="609"/>
      <c r="PYO55" s="609"/>
      <c r="PYP55" s="609"/>
      <c r="PYQ55" s="609"/>
      <c r="PYR55" s="609"/>
      <c r="PYS55" s="609"/>
      <c r="PYT55" s="609"/>
      <c r="PYU55" s="609"/>
      <c r="PYV55" s="609"/>
      <c r="PYW55" s="609"/>
      <c r="PYX55" s="609"/>
      <c r="PYY55" s="609"/>
      <c r="PYZ55" s="609"/>
      <c r="PZA55" s="609"/>
      <c r="PZB55" s="609"/>
      <c r="PZC55" s="609"/>
      <c r="PZD55" s="609"/>
      <c r="PZE55" s="609"/>
      <c r="PZF55" s="609"/>
      <c r="PZG55" s="609"/>
      <c r="PZH55" s="609"/>
      <c r="PZI55" s="609"/>
      <c r="PZJ55" s="609"/>
      <c r="PZK55" s="609"/>
      <c r="PZL55" s="609"/>
      <c r="PZM55" s="609"/>
      <c r="PZN55" s="609"/>
      <c r="PZO55" s="609"/>
      <c r="PZP55" s="609"/>
      <c r="PZQ55" s="609"/>
      <c r="PZR55" s="609"/>
      <c r="PZS55" s="609"/>
      <c r="PZT55" s="609"/>
      <c r="PZU55" s="609"/>
      <c r="PZV55" s="609"/>
      <c r="PZW55" s="609"/>
      <c r="PZX55" s="609"/>
      <c r="PZY55" s="609"/>
      <c r="PZZ55" s="609"/>
      <c r="QAA55" s="609"/>
      <c r="QAB55" s="609"/>
      <c r="QAC55" s="609"/>
      <c r="QAD55" s="609"/>
      <c r="QAE55" s="609"/>
      <c r="QAF55" s="609"/>
      <c r="QAG55" s="609"/>
      <c r="QAH55" s="609"/>
      <c r="QAI55" s="609"/>
      <c r="QAJ55" s="609"/>
      <c r="QAK55" s="609"/>
      <c r="QAL55" s="609"/>
      <c r="QAM55" s="609"/>
      <c r="QAN55" s="609"/>
      <c r="QAO55" s="609"/>
      <c r="QAP55" s="609"/>
      <c r="QAQ55" s="609"/>
      <c r="QAR55" s="609"/>
      <c r="QAS55" s="609"/>
      <c r="QAT55" s="609"/>
      <c r="QAU55" s="609"/>
      <c r="QAV55" s="609"/>
      <c r="QAW55" s="609"/>
      <c r="QAX55" s="609"/>
      <c r="QAY55" s="609"/>
      <c r="QAZ55" s="609"/>
      <c r="QBA55" s="609"/>
      <c r="QBB55" s="609"/>
      <c r="QBC55" s="609"/>
      <c r="QBD55" s="609"/>
      <c r="QBE55" s="609"/>
      <c r="QBF55" s="609"/>
      <c r="QBG55" s="609"/>
      <c r="QBH55" s="609"/>
      <c r="QBI55" s="609"/>
      <c r="QBJ55" s="609"/>
      <c r="QBK55" s="609"/>
      <c r="QBL55" s="609"/>
      <c r="QBM55" s="609"/>
      <c r="QBN55" s="609"/>
      <c r="QBO55" s="609"/>
      <c r="QBP55" s="609"/>
      <c r="QBQ55" s="609"/>
      <c r="QBR55" s="609"/>
      <c r="QBS55" s="609"/>
      <c r="QBT55" s="609"/>
      <c r="QBU55" s="609"/>
      <c r="QBV55" s="609"/>
      <c r="QBW55" s="609"/>
      <c r="QBX55" s="609"/>
      <c r="QBY55" s="609"/>
      <c r="QBZ55" s="609"/>
      <c r="QCA55" s="609"/>
      <c r="QCB55" s="609"/>
      <c r="QCC55" s="609"/>
      <c r="QCD55" s="609"/>
      <c r="QCE55" s="609"/>
      <c r="QCF55" s="609"/>
      <c r="QCG55" s="609"/>
      <c r="QCH55" s="609"/>
      <c r="QCI55" s="609"/>
      <c r="QCJ55" s="609"/>
      <c r="QCK55" s="609"/>
      <c r="QCL55" s="609"/>
      <c r="QCM55" s="609"/>
      <c r="QCN55" s="609"/>
      <c r="QCO55" s="609"/>
      <c r="QCP55" s="609"/>
      <c r="QCQ55" s="609"/>
      <c r="QCR55" s="609"/>
      <c r="QCS55" s="609"/>
      <c r="QCT55" s="609"/>
      <c r="QCU55" s="609"/>
      <c r="QCV55" s="609"/>
      <c r="QCW55" s="609"/>
      <c r="QCX55" s="609"/>
      <c r="QCY55" s="609"/>
      <c r="QCZ55" s="609"/>
      <c r="QDA55" s="609"/>
      <c r="QDB55" s="609"/>
      <c r="QDC55" s="609"/>
      <c r="QDD55" s="609"/>
      <c r="QDE55" s="609"/>
      <c r="QDF55" s="609"/>
      <c r="QDG55" s="609"/>
      <c r="QDH55" s="609"/>
      <c r="QDI55" s="609"/>
      <c r="QDJ55" s="609"/>
      <c r="QDK55" s="609"/>
      <c r="QDL55" s="609"/>
      <c r="QDM55" s="609"/>
      <c r="QDN55" s="609"/>
      <c r="QDO55" s="609"/>
      <c r="QDP55" s="609"/>
      <c r="QDQ55" s="609"/>
      <c r="QDR55" s="609"/>
      <c r="QDS55" s="609"/>
      <c r="QDT55" s="609"/>
      <c r="QDU55" s="609"/>
      <c r="QDV55" s="609"/>
      <c r="QDW55" s="609"/>
      <c r="QDX55" s="609"/>
      <c r="QDY55" s="609"/>
      <c r="QDZ55" s="609"/>
      <c r="QEA55" s="609"/>
      <c r="QEB55" s="609"/>
      <c r="QEC55" s="609"/>
      <c r="QED55" s="609"/>
      <c r="QEE55" s="609"/>
      <c r="QEF55" s="609"/>
      <c r="QEG55" s="609"/>
      <c r="QEH55" s="609"/>
      <c r="QEI55" s="609"/>
      <c r="QEJ55" s="609"/>
      <c r="QEK55" s="609"/>
      <c r="QEL55" s="609"/>
      <c r="QEM55" s="609"/>
      <c r="QEN55" s="609"/>
      <c r="QEO55" s="609"/>
      <c r="QEP55" s="609"/>
      <c r="QEQ55" s="609"/>
      <c r="QER55" s="609"/>
      <c r="QES55" s="609"/>
      <c r="QET55" s="609"/>
      <c r="QEU55" s="609"/>
      <c r="QEV55" s="609"/>
      <c r="QEW55" s="609"/>
      <c r="QEX55" s="609"/>
      <c r="QEY55" s="609"/>
      <c r="QEZ55" s="609"/>
      <c r="QFA55" s="609"/>
      <c r="QFB55" s="609"/>
      <c r="QFC55" s="609"/>
      <c r="QFD55" s="609"/>
      <c r="QFE55" s="609"/>
      <c r="QFF55" s="609"/>
      <c r="QFG55" s="609"/>
      <c r="QFH55" s="609"/>
      <c r="QFI55" s="609"/>
      <c r="QFJ55" s="609"/>
      <c r="QFK55" s="609"/>
      <c r="QFL55" s="609"/>
      <c r="QFM55" s="609"/>
      <c r="QFN55" s="609"/>
      <c r="QFO55" s="609"/>
      <c r="QFP55" s="609"/>
      <c r="QFQ55" s="609"/>
      <c r="QFR55" s="609"/>
      <c r="QFS55" s="609"/>
      <c r="QFT55" s="609"/>
      <c r="QFU55" s="609"/>
      <c r="QFV55" s="609"/>
      <c r="QFW55" s="609"/>
      <c r="QFX55" s="609"/>
      <c r="QFY55" s="609"/>
      <c r="QFZ55" s="609"/>
      <c r="QGA55" s="609"/>
      <c r="QGB55" s="609"/>
      <c r="QGC55" s="609"/>
      <c r="QGD55" s="609"/>
      <c r="QGE55" s="609"/>
      <c r="QGF55" s="609"/>
      <c r="QGG55" s="609"/>
      <c r="QGH55" s="609"/>
      <c r="QGI55" s="609"/>
      <c r="QGJ55" s="609"/>
      <c r="QGK55" s="609"/>
      <c r="QGL55" s="609"/>
      <c r="QGM55" s="609"/>
      <c r="QGN55" s="609"/>
      <c r="QGO55" s="609"/>
      <c r="QGP55" s="609"/>
      <c r="QGQ55" s="609"/>
      <c r="QGR55" s="609"/>
      <c r="QGS55" s="609"/>
      <c r="QGT55" s="609"/>
      <c r="QGU55" s="609"/>
      <c r="QGV55" s="609"/>
      <c r="QGW55" s="609"/>
      <c r="QGX55" s="609"/>
      <c r="QGY55" s="609"/>
      <c r="QGZ55" s="609"/>
      <c r="QHA55" s="609"/>
      <c r="QHB55" s="609"/>
      <c r="QHC55" s="609"/>
      <c r="QHD55" s="609"/>
      <c r="QHE55" s="609"/>
      <c r="QHF55" s="609"/>
      <c r="QHG55" s="609"/>
      <c r="QHH55" s="609"/>
      <c r="QHI55" s="609"/>
      <c r="QHJ55" s="609"/>
      <c r="QHK55" s="609"/>
      <c r="QHL55" s="609"/>
      <c r="QHM55" s="609"/>
      <c r="QHN55" s="609"/>
      <c r="QHO55" s="609"/>
      <c r="QHP55" s="609"/>
      <c r="QHQ55" s="609"/>
      <c r="QHR55" s="609"/>
      <c r="QHS55" s="609"/>
      <c r="QHT55" s="609"/>
      <c r="QHU55" s="609"/>
      <c r="QHV55" s="609"/>
      <c r="QHW55" s="609"/>
      <c r="QHX55" s="609"/>
      <c r="QHY55" s="609"/>
      <c r="QHZ55" s="609"/>
      <c r="QIA55" s="609"/>
      <c r="QIB55" s="609"/>
      <c r="QIC55" s="609"/>
      <c r="QID55" s="609"/>
      <c r="QIE55" s="609"/>
      <c r="QIF55" s="609"/>
      <c r="QIG55" s="609"/>
      <c r="QIH55" s="609"/>
      <c r="QII55" s="609"/>
      <c r="QIJ55" s="609"/>
      <c r="QIK55" s="609"/>
      <c r="QIL55" s="609"/>
      <c r="QIM55" s="609"/>
      <c r="QIN55" s="609"/>
      <c r="QIO55" s="609"/>
      <c r="QIP55" s="609"/>
      <c r="QIQ55" s="609"/>
      <c r="QIR55" s="609"/>
      <c r="QIS55" s="609"/>
      <c r="QIT55" s="609"/>
      <c r="QIU55" s="609"/>
      <c r="QIV55" s="609"/>
      <c r="QIW55" s="609"/>
      <c r="QIX55" s="609"/>
      <c r="QIY55" s="609"/>
      <c r="QIZ55" s="609"/>
      <c r="QJA55" s="609"/>
      <c r="QJB55" s="609"/>
      <c r="QJC55" s="609"/>
      <c r="QJD55" s="609"/>
      <c r="QJE55" s="609"/>
      <c r="QJF55" s="609"/>
      <c r="QJG55" s="609"/>
      <c r="QJH55" s="609"/>
      <c r="QJI55" s="609"/>
      <c r="QJJ55" s="609"/>
      <c r="QJK55" s="609"/>
      <c r="QJL55" s="609"/>
      <c r="QJM55" s="609"/>
      <c r="QJN55" s="609"/>
      <c r="QJO55" s="609"/>
      <c r="QJP55" s="609"/>
      <c r="QJQ55" s="609"/>
      <c r="QJR55" s="609"/>
      <c r="QJS55" s="609"/>
      <c r="QJT55" s="609"/>
      <c r="QJU55" s="609"/>
      <c r="QJV55" s="609"/>
      <c r="QJW55" s="609"/>
      <c r="QJX55" s="609"/>
      <c r="QJY55" s="609"/>
      <c r="QJZ55" s="609"/>
      <c r="QKA55" s="609"/>
      <c r="QKB55" s="609"/>
      <c r="QKC55" s="609"/>
      <c r="QKD55" s="609"/>
      <c r="QKE55" s="609"/>
      <c r="QKF55" s="609"/>
      <c r="QKG55" s="609"/>
      <c r="QKH55" s="609"/>
      <c r="QKI55" s="609"/>
      <c r="QKJ55" s="609"/>
      <c r="QKK55" s="609"/>
      <c r="QKL55" s="609"/>
      <c r="QKM55" s="609"/>
      <c r="QKN55" s="609"/>
      <c r="QKO55" s="609"/>
      <c r="QKP55" s="609"/>
      <c r="QKQ55" s="609"/>
      <c r="QKR55" s="609"/>
      <c r="QKS55" s="609"/>
      <c r="QKT55" s="609"/>
      <c r="QKU55" s="609"/>
      <c r="QKV55" s="609"/>
      <c r="QKW55" s="609"/>
      <c r="QKX55" s="609"/>
      <c r="QKY55" s="609"/>
      <c r="QKZ55" s="609"/>
      <c r="QLA55" s="609"/>
      <c r="QLB55" s="609"/>
      <c r="QLC55" s="609"/>
      <c r="QLD55" s="609"/>
      <c r="QLE55" s="609"/>
      <c r="QLF55" s="609"/>
      <c r="QLG55" s="609"/>
      <c r="QLH55" s="609"/>
      <c r="QLI55" s="609"/>
      <c r="QLJ55" s="609"/>
      <c r="QLK55" s="609"/>
      <c r="QLL55" s="609"/>
      <c r="QLM55" s="609"/>
      <c r="QLN55" s="609"/>
      <c r="QLO55" s="609"/>
      <c r="QLP55" s="609"/>
      <c r="QLQ55" s="609"/>
      <c r="QLR55" s="609"/>
      <c r="QLS55" s="609"/>
      <c r="QLT55" s="609"/>
      <c r="QLU55" s="609"/>
      <c r="QLV55" s="609"/>
      <c r="QLW55" s="609"/>
      <c r="QLX55" s="609"/>
      <c r="QLY55" s="609"/>
      <c r="QLZ55" s="609"/>
      <c r="QMA55" s="609"/>
      <c r="QMB55" s="609"/>
      <c r="QMC55" s="609"/>
      <c r="QMD55" s="609"/>
      <c r="QME55" s="609"/>
      <c r="QMF55" s="609"/>
      <c r="QMG55" s="609"/>
      <c r="QMH55" s="609"/>
      <c r="QMI55" s="609"/>
      <c r="QMJ55" s="609"/>
      <c r="QMK55" s="609"/>
      <c r="QML55" s="609"/>
      <c r="QMM55" s="609"/>
      <c r="QMN55" s="609"/>
      <c r="QMO55" s="609"/>
      <c r="QMP55" s="609"/>
      <c r="QMQ55" s="609"/>
      <c r="QMR55" s="609"/>
      <c r="QMS55" s="609"/>
      <c r="QMT55" s="609"/>
      <c r="QMU55" s="609"/>
      <c r="QMV55" s="609"/>
      <c r="QMW55" s="609"/>
      <c r="QMX55" s="609"/>
      <c r="QMY55" s="609"/>
      <c r="QMZ55" s="609"/>
      <c r="QNA55" s="609"/>
      <c r="QNB55" s="609"/>
      <c r="QNC55" s="609"/>
      <c r="QND55" s="609"/>
      <c r="QNE55" s="609"/>
      <c r="QNF55" s="609"/>
      <c r="QNG55" s="609"/>
      <c r="QNH55" s="609"/>
      <c r="QNI55" s="609"/>
      <c r="QNJ55" s="609"/>
      <c r="QNK55" s="609"/>
      <c r="QNL55" s="609"/>
      <c r="QNM55" s="609"/>
      <c r="QNN55" s="609"/>
      <c r="QNO55" s="609"/>
      <c r="QNP55" s="609"/>
      <c r="QNQ55" s="609"/>
      <c r="QNR55" s="609"/>
      <c r="QNS55" s="609"/>
      <c r="QNT55" s="609"/>
      <c r="QNU55" s="609"/>
      <c r="QNV55" s="609"/>
      <c r="QNW55" s="609"/>
      <c r="QNX55" s="609"/>
      <c r="QNY55" s="609"/>
      <c r="QNZ55" s="609"/>
      <c r="QOA55" s="609"/>
      <c r="QOB55" s="609"/>
      <c r="QOC55" s="609"/>
      <c r="QOD55" s="609"/>
      <c r="QOE55" s="609"/>
      <c r="QOF55" s="609"/>
      <c r="QOG55" s="609"/>
      <c r="QOH55" s="609"/>
      <c r="QOI55" s="609"/>
      <c r="QOJ55" s="609"/>
      <c r="QOK55" s="609"/>
      <c r="QOL55" s="609"/>
      <c r="QOM55" s="609"/>
      <c r="QON55" s="609"/>
      <c r="QOO55" s="609"/>
      <c r="QOP55" s="609"/>
      <c r="QOQ55" s="609"/>
      <c r="QOR55" s="609"/>
      <c r="QOS55" s="609"/>
      <c r="QOT55" s="609"/>
      <c r="QOU55" s="609"/>
      <c r="QOV55" s="609"/>
      <c r="QOW55" s="609"/>
      <c r="QOX55" s="609"/>
      <c r="QOY55" s="609"/>
      <c r="QOZ55" s="609"/>
      <c r="QPA55" s="609"/>
      <c r="QPB55" s="609"/>
      <c r="QPC55" s="609"/>
      <c r="QPD55" s="609"/>
      <c r="QPE55" s="609"/>
      <c r="QPF55" s="609"/>
      <c r="QPG55" s="609"/>
      <c r="QPH55" s="609"/>
      <c r="QPI55" s="609"/>
      <c r="QPJ55" s="609"/>
      <c r="QPK55" s="609"/>
      <c r="QPL55" s="609"/>
      <c r="QPM55" s="609"/>
      <c r="QPN55" s="609"/>
      <c r="QPO55" s="609"/>
      <c r="QPP55" s="609"/>
      <c r="QPQ55" s="609"/>
      <c r="QPR55" s="609"/>
      <c r="QPS55" s="609"/>
      <c r="QPT55" s="609"/>
      <c r="QPU55" s="609"/>
      <c r="QPV55" s="609"/>
      <c r="QPW55" s="609"/>
      <c r="QPX55" s="609"/>
      <c r="QPY55" s="609"/>
      <c r="QPZ55" s="609"/>
      <c r="QQA55" s="609"/>
      <c r="QQB55" s="609"/>
      <c r="QQC55" s="609"/>
      <c r="QQD55" s="609"/>
      <c r="QQE55" s="609"/>
      <c r="QQF55" s="609"/>
      <c r="QQG55" s="609"/>
      <c r="QQH55" s="609"/>
      <c r="QQI55" s="609"/>
      <c r="QQJ55" s="609"/>
      <c r="QQK55" s="609"/>
      <c r="QQL55" s="609"/>
      <c r="QQM55" s="609"/>
      <c r="QQN55" s="609"/>
      <c r="QQO55" s="609"/>
      <c r="QQP55" s="609"/>
      <c r="QQQ55" s="609"/>
      <c r="QQR55" s="609"/>
      <c r="QQS55" s="609"/>
      <c r="QQT55" s="609"/>
      <c r="QQU55" s="609"/>
      <c r="QQV55" s="609"/>
      <c r="QQW55" s="609"/>
      <c r="QQX55" s="609"/>
      <c r="QQY55" s="609"/>
      <c r="QQZ55" s="609"/>
      <c r="QRA55" s="609"/>
      <c r="QRB55" s="609"/>
      <c r="QRC55" s="609"/>
      <c r="QRD55" s="609"/>
      <c r="QRE55" s="609"/>
      <c r="QRF55" s="609"/>
      <c r="QRG55" s="609"/>
      <c r="QRH55" s="609"/>
      <c r="QRI55" s="609"/>
      <c r="QRJ55" s="609"/>
      <c r="QRK55" s="609"/>
      <c r="QRL55" s="609"/>
      <c r="QRM55" s="609"/>
      <c r="QRN55" s="609"/>
      <c r="QRO55" s="609"/>
      <c r="QRP55" s="609"/>
      <c r="QRQ55" s="609"/>
      <c r="QRR55" s="609"/>
      <c r="QRS55" s="609"/>
      <c r="QRT55" s="609"/>
      <c r="QRU55" s="609"/>
      <c r="QRV55" s="609"/>
      <c r="QRW55" s="609"/>
      <c r="QRX55" s="609"/>
      <c r="QRY55" s="609"/>
      <c r="QRZ55" s="609"/>
      <c r="QSA55" s="609"/>
      <c r="QSB55" s="609"/>
      <c r="QSC55" s="609"/>
      <c r="QSD55" s="609"/>
      <c r="QSE55" s="609"/>
      <c r="QSF55" s="609"/>
      <c r="QSG55" s="609"/>
      <c r="QSH55" s="609"/>
      <c r="QSI55" s="609"/>
      <c r="QSJ55" s="609"/>
      <c r="QSK55" s="609"/>
      <c r="QSL55" s="609"/>
      <c r="QSM55" s="609"/>
      <c r="QSN55" s="609"/>
      <c r="QSO55" s="609"/>
      <c r="QSP55" s="609"/>
      <c r="QSQ55" s="609"/>
      <c r="QSR55" s="609"/>
      <c r="QSS55" s="609"/>
      <c r="QST55" s="609"/>
      <c r="QSU55" s="609"/>
      <c r="QSV55" s="609"/>
      <c r="QSW55" s="609"/>
      <c r="QSX55" s="609"/>
      <c r="QSY55" s="609"/>
      <c r="QSZ55" s="609"/>
      <c r="QTA55" s="609"/>
      <c r="QTB55" s="609"/>
      <c r="QTC55" s="609"/>
      <c r="QTD55" s="609"/>
      <c r="QTE55" s="609"/>
      <c r="QTF55" s="609"/>
      <c r="QTG55" s="609"/>
      <c r="QTH55" s="609"/>
      <c r="QTI55" s="609"/>
      <c r="QTJ55" s="609"/>
      <c r="QTK55" s="609"/>
      <c r="QTL55" s="609"/>
      <c r="QTM55" s="609"/>
      <c r="QTN55" s="609"/>
      <c r="QTO55" s="609"/>
      <c r="QTP55" s="609"/>
      <c r="QTQ55" s="609"/>
      <c r="QTR55" s="609"/>
      <c r="QTS55" s="609"/>
      <c r="QTT55" s="609"/>
      <c r="QTU55" s="609"/>
      <c r="QTV55" s="609"/>
      <c r="QTW55" s="609"/>
      <c r="QTX55" s="609"/>
      <c r="QTY55" s="609"/>
      <c r="QTZ55" s="609"/>
      <c r="QUA55" s="609"/>
      <c r="QUB55" s="609"/>
      <c r="QUC55" s="609"/>
      <c r="QUD55" s="609"/>
      <c r="QUE55" s="609"/>
      <c r="QUF55" s="609"/>
      <c r="QUG55" s="609"/>
      <c r="QUH55" s="609"/>
      <c r="QUI55" s="609"/>
      <c r="QUJ55" s="609"/>
      <c r="QUK55" s="609"/>
      <c r="QUL55" s="609"/>
      <c r="QUM55" s="609"/>
      <c r="QUN55" s="609"/>
      <c r="QUO55" s="609"/>
      <c r="QUP55" s="609"/>
      <c r="QUQ55" s="609"/>
      <c r="QUR55" s="609"/>
      <c r="QUS55" s="609"/>
      <c r="QUT55" s="609"/>
      <c r="QUU55" s="609"/>
      <c r="QUV55" s="609"/>
      <c r="QUW55" s="609"/>
      <c r="QUX55" s="609"/>
      <c r="QUY55" s="609"/>
      <c r="QUZ55" s="609"/>
      <c r="QVA55" s="609"/>
      <c r="QVB55" s="609"/>
      <c r="QVC55" s="609"/>
      <c r="QVD55" s="609"/>
      <c r="QVE55" s="609"/>
      <c r="QVF55" s="609"/>
      <c r="QVG55" s="609"/>
      <c r="QVH55" s="609"/>
      <c r="QVI55" s="609"/>
      <c r="QVJ55" s="609"/>
      <c r="QVK55" s="609"/>
      <c r="QVL55" s="609"/>
      <c r="QVM55" s="609"/>
      <c r="QVN55" s="609"/>
      <c r="QVO55" s="609"/>
      <c r="QVP55" s="609"/>
      <c r="QVQ55" s="609"/>
      <c r="QVR55" s="609"/>
      <c r="QVS55" s="609"/>
      <c r="QVT55" s="609"/>
      <c r="QVU55" s="609"/>
      <c r="QVV55" s="609"/>
      <c r="QVW55" s="609"/>
      <c r="QVX55" s="609"/>
      <c r="QVY55" s="609"/>
      <c r="QVZ55" s="609"/>
      <c r="QWA55" s="609"/>
      <c r="QWB55" s="609"/>
      <c r="QWC55" s="609"/>
      <c r="QWD55" s="609"/>
      <c r="QWE55" s="609"/>
      <c r="QWF55" s="609"/>
      <c r="QWG55" s="609"/>
      <c r="QWH55" s="609"/>
      <c r="QWI55" s="609"/>
      <c r="QWJ55" s="609"/>
      <c r="QWK55" s="609"/>
      <c r="QWL55" s="609"/>
      <c r="QWM55" s="609"/>
      <c r="QWN55" s="609"/>
      <c r="QWO55" s="609"/>
      <c r="QWP55" s="609"/>
      <c r="QWQ55" s="609"/>
      <c r="QWR55" s="609"/>
      <c r="QWS55" s="609"/>
      <c r="QWT55" s="609"/>
      <c r="QWU55" s="609"/>
      <c r="QWV55" s="609"/>
      <c r="QWW55" s="609"/>
      <c r="QWX55" s="609"/>
      <c r="QWY55" s="609"/>
      <c r="QWZ55" s="609"/>
      <c r="QXA55" s="609"/>
      <c r="QXB55" s="609"/>
      <c r="QXC55" s="609"/>
      <c r="QXD55" s="609"/>
      <c r="QXE55" s="609"/>
      <c r="QXF55" s="609"/>
      <c r="QXG55" s="609"/>
      <c r="QXH55" s="609"/>
      <c r="QXI55" s="609"/>
      <c r="QXJ55" s="609"/>
      <c r="QXK55" s="609"/>
      <c r="QXL55" s="609"/>
      <c r="QXM55" s="609"/>
      <c r="QXN55" s="609"/>
      <c r="QXO55" s="609"/>
      <c r="QXP55" s="609"/>
      <c r="QXQ55" s="609"/>
      <c r="QXR55" s="609"/>
      <c r="QXS55" s="609"/>
      <c r="QXT55" s="609"/>
      <c r="QXU55" s="609"/>
      <c r="QXV55" s="609"/>
      <c r="QXW55" s="609"/>
      <c r="QXX55" s="609"/>
      <c r="QXY55" s="609"/>
      <c r="QXZ55" s="609"/>
      <c r="QYA55" s="609"/>
      <c r="QYB55" s="609"/>
      <c r="QYC55" s="609"/>
      <c r="QYD55" s="609"/>
      <c r="QYE55" s="609"/>
      <c r="QYF55" s="609"/>
      <c r="QYG55" s="609"/>
      <c r="QYH55" s="609"/>
      <c r="QYI55" s="609"/>
      <c r="QYJ55" s="609"/>
      <c r="QYK55" s="609"/>
      <c r="QYL55" s="609"/>
      <c r="QYM55" s="609"/>
      <c r="QYN55" s="609"/>
      <c r="QYO55" s="609"/>
      <c r="QYP55" s="609"/>
      <c r="QYQ55" s="609"/>
      <c r="QYR55" s="609"/>
      <c r="QYS55" s="609"/>
      <c r="QYT55" s="609"/>
      <c r="QYU55" s="609"/>
      <c r="QYV55" s="609"/>
      <c r="QYW55" s="609"/>
      <c r="QYX55" s="609"/>
      <c r="QYY55" s="609"/>
      <c r="QYZ55" s="609"/>
      <c r="QZA55" s="609"/>
      <c r="QZB55" s="609"/>
      <c r="QZC55" s="609"/>
      <c r="QZD55" s="609"/>
      <c r="QZE55" s="609"/>
      <c r="QZF55" s="609"/>
      <c r="QZG55" s="609"/>
      <c r="QZH55" s="609"/>
      <c r="QZI55" s="609"/>
      <c r="QZJ55" s="609"/>
      <c r="QZK55" s="609"/>
      <c r="QZL55" s="609"/>
      <c r="QZM55" s="609"/>
      <c r="QZN55" s="609"/>
      <c r="QZO55" s="609"/>
      <c r="QZP55" s="609"/>
      <c r="QZQ55" s="609"/>
      <c r="QZR55" s="609"/>
      <c r="QZS55" s="609"/>
      <c r="QZT55" s="609"/>
      <c r="QZU55" s="609"/>
      <c r="QZV55" s="609"/>
      <c r="QZW55" s="609"/>
      <c r="QZX55" s="609"/>
      <c r="QZY55" s="609"/>
      <c r="QZZ55" s="609"/>
      <c r="RAA55" s="609"/>
      <c r="RAB55" s="609"/>
      <c r="RAC55" s="609"/>
      <c r="RAD55" s="609"/>
      <c r="RAE55" s="609"/>
      <c r="RAF55" s="609"/>
      <c r="RAG55" s="609"/>
      <c r="RAH55" s="609"/>
      <c r="RAI55" s="609"/>
      <c r="RAJ55" s="609"/>
      <c r="RAK55" s="609"/>
      <c r="RAL55" s="609"/>
      <c r="RAM55" s="609"/>
      <c r="RAN55" s="609"/>
      <c r="RAO55" s="609"/>
      <c r="RAP55" s="609"/>
      <c r="RAQ55" s="609"/>
      <c r="RAR55" s="609"/>
      <c r="RAS55" s="609"/>
      <c r="RAT55" s="609"/>
      <c r="RAU55" s="609"/>
      <c r="RAV55" s="609"/>
      <c r="RAW55" s="609"/>
      <c r="RAX55" s="609"/>
      <c r="RAY55" s="609"/>
      <c r="RAZ55" s="609"/>
      <c r="RBA55" s="609"/>
      <c r="RBB55" s="609"/>
      <c r="RBC55" s="609"/>
      <c r="RBD55" s="609"/>
      <c r="RBE55" s="609"/>
      <c r="RBF55" s="609"/>
      <c r="RBG55" s="609"/>
      <c r="RBH55" s="609"/>
      <c r="RBI55" s="609"/>
      <c r="RBJ55" s="609"/>
      <c r="RBK55" s="609"/>
      <c r="RBL55" s="609"/>
      <c r="RBM55" s="609"/>
      <c r="RBN55" s="609"/>
      <c r="RBO55" s="609"/>
      <c r="RBP55" s="609"/>
      <c r="RBQ55" s="609"/>
      <c r="RBR55" s="609"/>
      <c r="RBS55" s="609"/>
      <c r="RBT55" s="609"/>
      <c r="RBU55" s="609"/>
      <c r="RBV55" s="609"/>
      <c r="RBW55" s="609"/>
      <c r="RBX55" s="609"/>
      <c r="RBY55" s="609"/>
      <c r="RBZ55" s="609"/>
      <c r="RCA55" s="609"/>
      <c r="RCB55" s="609"/>
      <c r="RCC55" s="609"/>
      <c r="RCD55" s="609"/>
      <c r="RCE55" s="609"/>
      <c r="RCF55" s="609"/>
      <c r="RCG55" s="609"/>
      <c r="RCH55" s="609"/>
      <c r="RCI55" s="609"/>
      <c r="RCJ55" s="609"/>
      <c r="RCK55" s="609"/>
      <c r="RCL55" s="609"/>
      <c r="RCM55" s="609"/>
      <c r="RCN55" s="609"/>
      <c r="RCO55" s="609"/>
      <c r="RCP55" s="609"/>
      <c r="RCQ55" s="609"/>
      <c r="RCR55" s="609"/>
      <c r="RCS55" s="609"/>
      <c r="RCT55" s="609"/>
      <c r="RCU55" s="609"/>
      <c r="RCV55" s="609"/>
      <c r="RCW55" s="609"/>
      <c r="RCX55" s="609"/>
      <c r="RCY55" s="609"/>
      <c r="RCZ55" s="609"/>
      <c r="RDA55" s="609"/>
      <c r="RDB55" s="609"/>
      <c r="RDC55" s="609"/>
      <c r="RDD55" s="609"/>
      <c r="RDE55" s="609"/>
      <c r="RDF55" s="609"/>
      <c r="RDG55" s="609"/>
      <c r="RDH55" s="609"/>
      <c r="RDI55" s="609"/>
      <c r="RDJ55" s="609"/>
      <c r="RDK55" s="609"/>
      <c r="RDL55" s="609"/>
      <c r="RDM55" s="609"/>
      <c r="RDN55" s="609"/>
      <c r="RDO55" s="609"/>
      <c r="RDP55" s="609"/>
      <c r="RDQ55" s="609"/>
      <c r="RDR55" s="609"/>
      <c r="RDS55" s="609"/>
      <c r="RDT55" s="609"/>
      <c r="RDU55" s="609"/>
      <c r="RDV55" s="609"/>
      <c r="RDW55" s="609"/>
      <c r="RDX55" s="609"/>
      <c r="RDY55" s="609"/>
      <c r="RDZ55" s="609"/>
      <c r="REA55" s="609"/>
      <c r="REB55" s="609"/>
      <c r="REC55" s="609"/>
      <c r="RED55" s="609"/>
      <c r="REE55" s="609"/>
      <c r="REF55" s="609"/>
      <c r="REG55" s="609"/>
      <c r="REH55" s="609"/>
      <c r="REI55" s="609"/>
      <c r="REJ55" s="609"/>
      <c r="REK55" s="609"/>
      <c r="REL55" s="609"/>
      <c r="REM55" s="609"/>
      <c r="REN55" s="609"/>
      <c r="REO55" s="609"/>
      <c r="REP55" s="609"/>
      <c r="REQ55" s="609"/>
      <c r="RER55" s="609"/>
      <c r="RES55" s="609"/>
      <c r="RET55" s="609"/>
      <c r="REU55" s="609"/>
      <c r="REV55" s="609"/>
      <c r="REW55" s="609"/>
      <c r="REX55" s="609"/>
      <c r="REY55" s="609"/>
      <c r="REZ55" s="609"/>
      <c r="RFA55" s="609"/>
      <c r="RFB55" s="609"/>
      <c r="RFC55" s="609"/>
      <c r="RFD55" s="609"/>
      <c r="RFE55" s="609"/>
      <c r="RFF55" s="609"/>
      <c r="RFG55" s="609"/>
      <c r="RFH55" s="609"/>
      <c r="RFI55" s="609"/>
      <c r="RFJ55" s="609"/>
      <c r="RFK55" s="609"/>
      <c r="RFL55" s="609"/>
      <c r="RFM55" s="609"/>
      <c r="RFN55" s="609"/>
      <c r="RFO55" s="609"/>
      <c r="RFP55" s="609"/>
      <c r="RFQ55" s="609"/>
      <c r="RFR55" s="609"/>
      <c r="RFS55" s="609"/>
      <c r="RFT55" s="609"/>
      <c r="RFU55" s="609"/>
      <c r="RFV55" s="609"/>
      <c r="RFW55" s="609"/>
      <c r="RFX55" s="609"/>
      <c r="RFY55" s="609"/>
      <c r="RFZ55" s="609"/>
      <c r="RGA55" s="609"/>
      <c r="RGB55" s="609"/>
      <c r="RGC55" s="609"/>
      <c r="RGD55" s="609"/>
      <c r="RGE55" s="609"/>
      <c r="RGF55" s="609"/>
      <c r="RGG55" s="609"/>
      <c r="RGH55" s="609"/>
      <c r="RGI55" s="609"/>
      <c r="RGJ55" s="609"/>
      <c r="RGK55" s="609"/>
      <c r="RGL55" s="609"/>
      <c r="RGM55" s="609"/>
      <c r="RGN55" s="609"/>
      <c r="RGO55" s="609"/>
      <c r="RGP55" s="609"/>
      <c r="RGQ55" s="609"/>
      <c r="RGR55" s="609"/>
      <c r="RGS55" s="609"/>
      <c r="RGT55" s="609"/>
      <c r="RGU55" s="609"/>
      <c r="RGV55" s="609"/>
      <c r="RGW55" s="609"/>
      <c r="RGX55" s="609"/>
      <c r="RGY55" s="609"/>
      <c r="RGZ55" s="609"/>
      <c r="RHA55" s="609"/>
      <c r="RHB55" s="609"/>
      <c r="RHC55" s="609"/>
      <c r="RHD55" s="609"/>
      <c r="RHE55" s="609"/>
      <c r="RHF55" s="609"/>
      <c r="RHG55" s="609"/>
      <c r="RHH55" s="609"/>
      <c r="RHI55" s="609"/>
      <c r="RHJ55" s="609"/>
      <c r="RHK55" s="609"/>
      <c r="RHL55" s="609"/>
      <c r="RHM55" s="609"/>
      <c r="RHN55" s="609"/>
      <c r="RHO55" s="609"/>
      <c r="RHP55" s="609"/>
      <c r="RHQ55" s="609"/>
      <c r="RHR55" s="609"/>
      <c r="RHS55" s="609"/>
      <c r="RHT55" s="609"/>
      <c r="RHU55" s="609"/>
      <c r="RHV55" s="609"/>
      <c r="RHW55" s="609"/>
      <c r="RHX55" s="609"/>
      <c r="RHY55" s="609"/>
      <c r="RHZ55" s="609"/>
      <c r="RIA55" s="609"/>
      <c r="RIB55" s="609"/>
      <c r="RIC55" s="609"/>
      <c r="RID55" s="609"/>
      <c r="RIE55" s="609"/>
      <c r="RIF55" s="609"/>
      <c r="RIG55" s="609"/>
      <c r="RIH55" s="609"/>
      <c r="RII55" s="609"/>
      <c r="RIJ55" s="609"/>
      <c r="RIK55" s="609"/>
      <c r="RIL55" s="609"/>
      <c r="RIM55" s="609"/>
      <c r="RIN55" s="609"/>
      <c r="RIO55" s="609"/>
      <c r="RIP55" s="609"/>
      <c r="RIQ55" s="609"/>
      <c r="RIR55" s="609"/>
      <c r="RIS55" s="609"/>
      <c r="RIT55" s="609"/>
      <c r="RIU55" s="609"/>
      <c r="RIV55" s="609"/>
      <c r="RIW55" s="609"/>
      <c r="RIX55" s="609"/>
      <c r="RIY55" s="609"/>
      <c r="RIZ55" s="609"/>
      <c r="RJA55" s="609"/>
      <c r="RJB55" s="609"/>
      <c r="RJC55" s="609"/>
      <c r="RJD55" s="609"/>
      <c r="RJE55" s="609"/>
      <c r="RJF55" s="609"/>
      <c r="RJG55" s="609"/>
      <c r="RJH55" s="609"/>
      <c r="RJI55" s="609"/>
      <c r="RJJ55" s="609"/>
      <c r="RJK55" s="609"/>
      <c r="RJL55" s="609"/>
      <c r="RJM55" s="609"/>
      <c r="RJN55" s="609"/>
      <c r="RJO55" s="609"/>
      <c r="RJP55" s="609"/>
      <c r="RJQ55" s="609"/>
      <c r="RJR55" s="609"/>
      <c r="RJS55" s="609"/>
      <c r="RJT55" s="609"/>
      <c r="RJU55" s="609"/>
      <c r="RJV55" s="609"/>
      <c r="RJW55" s="609"/>
      <c r="RJX55" s="609"/>
      <c r="RJY55" s="609"/>
      <c r="RJZ55" s="609"/>
      <c r="RKA55" s="609"/>
      <c r="RKB55" s="609"/>
      <c r="RKC55" s="609"/>
      <c r="RKD55" s="609"/>
      <c r="RKE55" s="609"/>
      <c r="RKF55" s="609"/>
      <c r="RKG55" s="609"/>
      <c r="RKH55" s="609"/>
      <c r="RKI55" s="609"/>
      <c r="RKJ55" s="609"/>
      <c r="RKK55" s="609"/>
      <c r="RKL55" s="609"/>
      <c r="RKM55" s="609"/>
      <c r="RKN55" s="609"/>
      <c r="RKO55" s="609"/>
      <c r="RKP55" s="609"/>
      <c r="RKQ55" s="609"/>
      <c r="RKR55" s="609"/>
      <c r="RKS55" s="609"/>
      <c r="RKT55" s="609"/>
      <c r="RKU55" s="609"/>
      <c r="RKV55" s="609"/>
      <c r="RKW55" s="609"/>
      <c r="RKX55" s="609"/>
      <c r="RKY55" s="609"/>
      <c r="RKZ55" s="609"/>
      <c r="RLA55" s="609"/>
      <c r="RLB55" s="609"/>
      <c r="RLC55" s="609"/>
      <c r="RLD55" s="609"/>
      <c r="RLE55" s="609"/>
      <c r="RLF55" s="609"/>
      <c r="RLG55" s="609"/>
      <c r="RLH55" s="609"/>
      <c r="RLI55" s="609"/>
      <c r="RLJ55" s="609"/>
      <c r="RLK55" s="609"/>
      <c r="RLL55" s="609"/>
      <c r="RLM55" s="609"/>
      <c r="RLN55" s="609"/>
      <c r="RLO55" s="609"/>
      <c r="RLP55" s="609"/>
      <c r="RLQ55" s="609"/>
      <c r="RLR55" s="609"/>
      <c r="RLS55" s="609"/>
      <c r="RLT55" s="609"/>
      <c r="RLU55" s="609"/>
      <c r="RLV55" s="609"/>
      <c r="RLW55" s="609"/>
      <c r="RLX55" s="609"/>
      <c r="RLY55" s="609"/>
      <c r="RLZ55" s="609"/>
      <c r="RMA55" s="609"/>
      <c r="RMB55" s="609"/>
      <c r="RMC55" s="609"/>
      <c r="RMD55" s="609"/>
      <c r="RME55" s="609"/>
      <c r="RMF55" s="609"/>
      <c r="RMG55" s="609"/>
      <c r="RMH55" s="609"/>
      <c r="RMI55" s="609"/>
      <c r="RMJ55" s="609"/>
      <c r="RMK55" s="609"/>
      <c r="RML55" s="609"/>
      <c r="RMM55" s="609"/>
      <c r="RMN55" s="609"/>
      <c r="RMO55" s="609"/>
      <c r="RMP55" s="609"/>
      <c r="RMQ55" s="609"/>
      <c r="RMR55" s="609"/>
      <c r="RMS55" s="609"/>
      <c r="RMT55" s="609"/>
      <c r="RMU55" s="609"/>
      <c r="RMV55" s="609"/>
      <c r="RMW55" s="609"/>
      <c r="RMX55" s="609"/>
      <c r="RMY55" s="609"/>
      <c r="RMZ55" s="609"/>
      <c r="RNA55" s="609"/>
      <c r="RNB55" s="609"/>
      <c r="RNC55" s="609"/>
      <c r="RND55" s="609"/>
      <c r="RNE55" s="609"/>
      <c r="RNF55" s="609"/>
      <c r="RNG55" s="609"/>
      <c r="RNH55" s="609"/>
      <c r="RNI55" s="609"/>
      <c r="RNJ55" s="609"/>
      <c r="RNK55" s="609"/>
      <c r="RNL55" s="609"/>
      <c r="RNM55" s="609"/>
      <c r="RNN55" s="609"/>
      <c r="RNO55" s="609"/>
      <c r="RNP55" s="609"/>
      <c r="RNQ55" s="609"/>
      <c r="RNR55" s="609"/>
      <c r="RNS55" s="609"/>
      <c r="RNT55" s="609"/>
      <c r="RNU55" s="609"/>
      <c r="RNV55" s="609"/>
      <c r="RNW55" s="609"/>
      <c r="RNX55" s="609"/>
      <c r="RNY55" s="609"/>
      <c r="RNZ55" s="609"/>
      <c r="ROA55" s="609"/>
      <c r="ROB55" s="609"/>
      <c r="ROC55" s="609"/>
      <c r="ROD55" s="609"/>
      <c r="ROE55" s="609"/>
      <c r="ROF55" s="609"/>
      <c r="ROG55" s="609"/>
      <c r="ROH55" s="609"/>
      <c r="ROI55" s="609"/>
      <c r="ROJ55" s="609"/>
      <c r="ROK55" s="609"/>
      <c r="ROL55" s="609"/>
      <c r="ROM55" s="609"/>
      <c r="RON55" s="609"/>
      <c r="ROO55" s="609"/>
      <c r="ROP55" s="609"/>
      <c r="ROQ55" s="609"/>
      <c r="ROR55" s="609"/>
      <c r="ROS55" s="609"/>
      <c r="ROT55" s="609"/>
      <c r="ROU55" s="609"/>
      <c r="ROV55" s="609"/>
      <c r="ROW55" s="609"/>
      <c r="ROX55" s="609"/>
      <c r="ROY55" s="609"/>
      <c r="ROZ55" s="609"/>
      <c r="RPA55" s="609"/>
      <c r="RPB55" s="609"/>
      <c r="RPC55" s="609"/>
      <c r="RPD55" s="609"/>
      <c r="RPE55" s="609"/>
      <c r="RPF55" s="609"/>
      <c r="RPG55" s="609"/>
      <c r="RPH55" s="609"/>
      <c r="RPI55" s="609"/>
      <c r="RPJ55" s="609"/>
      <c r="RPK55" s="609"/>
      <c r="RPL55" s="609"/>
      <c r="RPM55" s="609"/>
      <c r="RPN55" s="609"/>
      <c r="RPO55" s="609"/>
      <c r="RPP55" s="609"/>
      <c r="RPQ55" s="609"/>
      <c r="RPR55" s="609"/>
      <c r="RPS55" s="609"/>
      <c r="RPT55" s="609"/>
      <c r="RPU55" s="609"/>
      <c r="RPV55" s="609"/>
      <c r="RPW55" s="609"/>
      <c r="RPX55" s="609"/>
      <c r="RPY55" s="609"/>
      <c r="RPZ55" s="609"/>
      <c r="RQA55" s="609"/>
      <c r="RQB55" s="609"/>
      <c r="RQC55" s="609"/>
      <c r="RQD55" s="609"/>
      <c r="RQE55" s="609"/>
      <c r="RQF55" s="609"/>
      <c r="RQG55" s="609"/>
      <c r="RQH55" s="609"/>
      <c r="RQI55" s="609"/>
      <c r="RQJ55" s="609"/>
      <c r="RQK55" s="609"/>
      <c r="RQL55" s="609"/>
      <c r="RQM55" s="609"/>
      <c r="RQN55" s="609"/>
      <c r="RQO55" s="609"/>
      <c r="RQP55" s="609"/>
      <c r="RQQ55" s="609"/>
      <c r="RQR55" s="609"/>
      <c r="RQS55" s="609"/>
      <c r="RQT55" s="609"/>
      <c r="RQU55" s="609"/>
      <c r="RQV55" s="609"/>
      <c r="RQW55" s="609"/>
      <c r="RQX55" s="609"/>
      <c r="RQY55" s="609"/>
      <c r="RQZ55" s="609"/>
      <c r="RRA55" s="609"/>
      <c r="RRB55" s="609"/>
      <c r="RRC55" s="609"/>
      <c r="RRD55" s="609"/>
      <c r="RRE55" s="609"/>
      <c r="RRF55" s="609"/>
      <c r="RRG55" s="609"/>
      <c r="RRH55" s="609"/>
      <c r="RRI55" s="609"/>
      <c r="RRJ55" s="609"/>
      <c r="RRK55" s="609"/>
      <c r="RRL55" s="609"/>
      <c r="RRM55" s="609"/>
      <c r="RRN55" s="609"/>
      <c r="RRO55" s="609"/>
      <c r="RRP55" s="609"/>
      <c r="RRQ55" s="609"/>
      <c r="RRR55" s="609"/>
      <c r="RRS55" s="609"/>
      <c r="RRT55" s="609"/>
      <c r="RRU55" s="609"/>
      <c r="RRV55" s="609"/>
      <c r="RRW55" s="609"/>
      <c r="RRX55" s="609"/>
      <c r="RRY55" s="609"/>
      <c r="RRZ55" s="609"/>
      <c r="RSA55" s="609"/>
      <c r="RSB55" s="609"/>
      <c r="RSC55" s="609"/>
      <c r="RSD55" s="609"/>
      <c r="RSE55" s="609"/>
      <c r="RSF55" s="609"/>
      <c r="RSG55" s="609"/>
      <c r="RSH55" s="609"/>
      <c r="RSI55" s="609"/>
      <c r="RSJ55" s="609"/>
      <c r="RSK55" s="609"/>
      <c r="RSL55" s="609"/>
      <c r="RSM55" s="609"/>
      <c r="RSN55" s="609"/>
      <c r="RSO55" s="609"/>
      <c r="RSP55" s="609"/>
      <c r="RSQ55" s="609"/>
      <c r="RSR55" s="609"/>
      <c r="RSS55" s="609"/>
      <c r="RST55" s="609"/>
      <c r="RSU55" s="609"/>
      <c r="RSV55" s="609"/>
      <c r="RSW55" s="609"/>
      <c r="RSX55" s="609"/>
      <c r="RSY55" s="609"/>
      <c r="RSZ55" s="609"/>
      <c r="RTA55" s="609"/>
      <c r="RTB55" s="609"/>
      <c r="RTC55" s="609"/>
      <c r="RTD55" s="609"/>
      <c r="RTE55" s="609"/>
      <c r="RTF55" s="609"/>
      <c r="RTG55" s="609"/>
      <c r="RTH55" s="609"/>
      <c r="RTI55" s="609"/>
      <c r="RTJ55" s="609"/>
      <c r="RTK55" s="609"/>
      <c r="RTL55" s="609"/>
      <c r="RTM55" s="609"/>
      <c r="RTN55" s="609"/>
      <c r="RTO55" s="609"/>
      <c r="RTP55" s="609"/>
      <c r="RTQ55" s="609"/>
      <c r="RTR55" s="609"/>
      <c r="RTS55" s="609"/>
      <c r="RTT55" s="609"/>
      <c r="RTU55" s="609"/>
      <c r="RTV55" s="609"/>
      <c r="RTW55" s="609"/>
      <c r="RTX55" s="609"/>
      <c r="RTY55" s="609"/>
      <c r="RTZ55" s="609"/>
      <c r="RUA55" s="609"/>
      <c r="RUB55" s="609"/>
      <c r="RUC55" s="609"/>
      <c r="RUD55" s="609"/>
      <c r="RUE55" s="609"/>
      <c r="RUF55" s="609"/>
      <c r="RUG55" s="609"/>
      <c r="RUH55" s="609"/>
      <c r="RUI55" s="609"/>
      <c r="RUJ55" s="609"/>
      <c r="RUK55" s="609"/>
      <c r="RUL55" s="609"/>
      <c r="RUM55" s="609"/>
      <c r="RUN55" s="609"/>
      <c r="RUO55" s="609"/>
      <c r="RUP55" s="609"/>
      <c r="RUQ55" s="609"/>
      <c r="RUR55" s="609"/>
      <c r="RUS55" s="609"/>
      <c r="RUT55" s="609"/>
      <c r="RUU55" s="609"/>
      <c r="RUV55" s="609"/>
      <c r="RUW55" s="609"/>
      <c r="RUX55" s="609"/>
      <c r="RUY55" s="609"/>
      <c r="RUZ55" s="609"/>
      <c r="RVA55" s="609"/>
      <c r="RVB55" s="609"/>
      <c r="RVC55" s="609"/>
      <c r="RVD55" s="609"/>
      <c r="RVE55" s="609"/>
      <c r="RVF55" s="609"/>
      <c r="RVG55" s="609"/>
      <c r="RVH55" s="609"/>
      <c r="RVI55" s="609"/>
      <c r="RVJ55" s="609"/>
      <c r="RVK55" s="609"/>
      <c r="RVL55" s="609"/>
      <c r="RVM55" s="609"/>
      <c r="RVN55" s="609"/>
      <c r="RVO55" s="609"/>
      <c r="RVP55" s="609"/>
      <c r="RVQ55" s="609"/>
      <c r="RVR55" s="609"/>
      <c r="RVS55" s="609"/>
      <c r="RVT55" s="609"/>
      <c r="RVU55" s="609"/>
      <c r="RVV55" s="609"/>
      <c r="RVW55" s="609"/>
      <c r="RVX55" s="609"/>
      <c r="RVY55" s="609"/>
      <c r="RVZ55" s="609"/>
      <c r="RWA55" s="609"/>
      <c r="RWB55" s="609"/>
      <c r="RWC55" s="609"/>
      <c r="RWD55" s="609"/>
      <c r="RWE55" s="609"/>
      <c r="RWF55" s="609"/>
      <c r="RWG55" s="609"/>
      <c r="RWH55" s="609"/>
      <c r="RWI55" s="609"/>
      <c r="RWJ55" s="609"/>
      <c r="RWK55" s="609"/>
      <c r="RWL55" s="609"/>
      <c r="RWM55" s="609"/>
      <c r="RWN55" s="609"/>
      <c r="RWO55" s="609"/>
      <c r="RWP55" s="609"/>
      <c r="RWQ55" s="609"/>
      <c r="RWR55" s="609"/>
      <c r="RWS55" s="609"/>
      <c r="RWT55" s="609"/>
      <c r="RWU55" s="609"/>
      <c r="RWV55" s="609"/>
      <c r="RWW55" s="609"/>
      <c r="RWX55" s="609"/>
      <c r="RWY55" s="609"/>
      <c r="RWZ55" s="609"/>
      <c r="RXA55" s="609"/>
      <c r="RXB55" s="609"/>
      <c r="RXC55" s="609"/>
      <c r="RXD55" s="609"/>
      <c r="RXE55" s="609"/>
      <c r="RXF55" s="609"/>
      <c r="RXG55" s="609"/>
      <c r="RXH55" s="609"/>
      <c r="RXI55" s="609"/>
      <c r="RXJ55" s="609"/>
      <c r="RXK55" s="609"/>
      <c r="RXL55" s="609"/>
      <c r="RXM55" s="609"/>
      <c r="RXN55" s="609"/>
      <c r="RXO55" s="609"/>
      <c r="RXP55" s="609"/>
      <c r="RXQ55" s="609"/>
      <c r="RXR55" s="609"/>
      <c r="RXS55" s="609"/>
      <c r="RXT55" s="609"/>
      <c r="RXU55" s="609"/>
      <c r="RXV55" s="609"/>
      <c r="RXW55" s="609"/>
      <c r="RXX55" s="609"/>
      <c r="RXY55" s="609"/>
      <c r="RXZ55" s="609"/>
      <c r="RYA55" s="609"/>
      <c r="RYB55" s="609"/>
      <c r="RYC55" s="609"/>
      <c r="RYD55" s="609"/>
      <c r="RYE55" s="609"/>
      <c r="RYF55" s="609"/>
      <c r="RYG55" s="609"/>
      <c r="RYH55" s="609"/>
      <c r="RYI55" s="609"/>
      <c r="RYJ55" s="609"/>
      <c r="RYK55" s="609"/>
      <c r="RYL55" s="609"/>
      <c r="RYM55" s="609"/>
      <c r="RYN55" s="609"/>
      <c r="RYO55" s="609"/>
      <c r="RYP55" s="609"/>
      <c r="RYQ55" s="609"/>
      <c r="RYR55" s="609"/>
      <c r="RYS55" s="609"/>
      <c r="RYT55" s="609"/>
      <c r="RYU55" s="609"/>
      <c r="RYV55" s="609"/>
      <c r="RYW55" s="609"/>
      <c r="RYX55" s="609"/>
      <c r="RYY55" s="609"/>
      <c r="RYZ55" s="609"/>
      <c r="RZA55" s="609"/>
      <c r="RZB55" s="609"/>
      <c r="RZC55" s="609"/>
      <c r="RZD55" s="609"/>
      <c r="RZE55" s="609"/>
      <c r="RZF55" s="609"/>
      <c r="RZG55" s="609"/>
      <c r="RZH55" s="609"/>
      <c r="RZI55" s="609"/>
      <c r="RZJ55" s="609"/>
      <c r="RZK55" s="609"/>
      <c r="RZL55" s="609"/>
      <c r="RZM55" s="609"/>
      <c r="RZN55" s="609"/>
      <c r="RZO55" s="609"/>
      <c r="RZP55" s="609"/>
      <c r="RZQ55" s="609"/>
      <c r="RZR55" s="609"/>
      <c r="RZS55" s="609"/>
      <c r="RZT55" s="609"/>
      <c r="RZU55" s="609"/>
      <c r="RZV55" s="609"/>
      <c r="RZW55" s="609"/>
      <c r="RZX55" s="609"/>
      <c r="RZY55" s="609"/>
      <c r="RZZ55" s="609"/>
      <c r="SAA55" s="609"/>
      <c r="SAB55" s="609"/>
      <c r="SAC55" s="609"/>
      <c r="SAD55" s="609"/>
      <c r="SAE55" s="609"/>
      <c r="SAF55" s="609"/>
      <c r="SAG55" s="609"/>
      <c r="SAH55" s="609"/>
      <c r="SAI55" s="609"/>
      <c r="SAJ55" s="609"/>
      <c r="SAK55" s="609"/>
      <c r="SAL55" s="609"/>
      <c r="SAM55" s="609"/>
      <c r="SAN55" s="609"/>
      <c r="SAO55" s="609"/>
      <c r="SAP55" s="609"/>
      <c r="SAQ55" s="609"/>
      <c r="SAR55" s="609"/>
      <c r="SAS55" s="609"/>
      <c r="SAT55" s="609"/>
      <c r="SAU55" s="609"/>
      <c r="SAV55" s="609"/>
      <c r="SAW55" s="609"/>
      <c r="SAX55" s="609"/>
      <c r="SAY55" s="609"/>
      <c r="SAZ55" s="609"/>
      <c r="SBA55" s="609"/>
      <c r="SBB55" s="609"/>
      <c r="SBC55" s="609"/>
      <c r="SBD55" s="609"/>
      <c r="SBE55" s="609"/>
      <c r="SBF55" s="609"/>
      <c r="SBG55" s="609"/>
      <c r="SBH55" s="609"/>
      <c r="SBI55" s="609"/>
      <c r="SBJ55" s="609"/>
      <c r="SBK55" s="609"/>
      <c r="SBL55" s="609"/>
      <c r="SBM55" s="609"/>
      <c r="SBN55" s="609"/>
      <c r="SBO55" s="609"/>
      <c r="SBP55" s="609"/>
      <c r="SBQ55" s="609"/>
      <c r="SBR55" s="609"/>
      <c r="SBS55" s="609"/>
      <c r="SBT55" s="609"/>
      <c r="SBU55" s="609"/>
      <c r="SBV55" s="609"/>
      <c r="SBW55" s="609"/>
      <c r="SBX55" s="609"/>
      <c r="SBY55" s="609"/>
      <c r="SBZ55" s="609"/>
      <c r="SCA55" s="609"/>
      <c r="SCB55" s="609"/>
      <c r="SCC55" s="609"/>
      <c r="SCD55" s="609"/>
      <c r="SCE55" s="609"/>
      <c r="SCF55" s="609"/>
      <c r="SCG55" s="609"/>
      <c r="SCH55" s="609"/>
      <c r="SCI55" s="609"/>
      <c r="SCJ55" s="609"/>
      <c r="SCK55" s="609"/>
      <c r="SCL55" s="609"/>
      <c r="SCM55" s="609"/>
      <c r="SCN55" s="609"/>
      <c r="SCO55" s="609"/>
      <c r="SCP55" s="609"/>
      <c r="SCQ55" s="609"/>
      <c r="SCR55" s="609"/>
      <c r="SCS55" s="609"/>
      <c r="SCT55" s="609"/>
      <c r="SCU55" s="609"/>
      <c r="SCV55" s="609"/>
      <c r="SCW55" s="609"/>
      <c r="SCX55" s="609"/>
      <c r="SCY55" s="609"/>
      <c r="SCZ55" s="609"/>
      <c r="SDA55" s="609"/>
      <c r="SDB55" s="609"/>
      <c r="SDC55" s="609"/>
      <c r="SDD55" s="609"/>
      <c r="SDE55" s="609"/>
      <c r="SDF55" s="609"/>
      <c r="SDG55" s="609"/>
      <c r="SDH55" s="609"/>
      <c r="SDI55" s="609"/>
      <c r="SDJ55" s="609"/>
      <c r="SDK55" s="609"/>
      <c r="SDL55" s="609"/>
      <c r="SDM55" s="609"/>
      <c r="SDN55" s="609"/>
      <c r="SDO55" s="609"/>
      <c r="SDP55" s="609"/>
      <c r="SDQ55" s="609"/>
      <c r="SDR55" s="609"/>
      <c r="SDS55" s="609"/>
      <c r="SDT55" s="609"/>
      <c r="SDU55" s="609"/>
      <c r="SDV55" s="609"/>
      <c r="SDW55" s="609"/>
      <c r="SDX55" s="609"/>
      <c r="SDY55" s="609"/>
      <c r="SDZ55" s="609"/>
      <c r="SEA55" s="609"/>
      <c r="SEB55" s="609"/>
      <c r="SEC55" s="609"/>
      <c r="SED55" s="609"/>
      <c r="SEE55" s="609"/>
      <c r="SEF55" s="609"/>
      <c r="SEG55" s="609"/>
      <c r="SEH55" s="609"/>
      <c r="SEI55" s="609"/>
      <c r="SEJ55" s="609"/>
      <c r="SEK55" s="609"/>
      <c r="SEL55" s="609"/>
      <c r="SEM55" s="609"/>
      <c r="SEN55" s="609"/>
      <c r="SEO55" s="609"/>
      <c r="SEP55" s="609"/>
      <c r="SEQ55" s="609"/>
      <c r="SER55" s="609"/>
      <c r="SES55" s="609"/>
      <c r="SET55" s="609"/>
      <c r="SEU55" s="609"/>
      <c r="SEV55" s="609"/>
      <c r="SEW55" s="609"/>
      <c r="SEX55" s="609"/>
      <c r="SEY55" s="609"/>
      <c r="SEZ55" s="609"/>
      <c r="SFA55" s="609"/>
      <c r="SFB55" s="609"/>
      <c r="SFC55" s="609"/>
      <c r="SFD55" s="609"/>
      <c r="SFE55" s="609"/>
      <c r="SFF55" s="609"/>
      <c r="SFG55" s="609"/>
      <c r="SFH55" s="609"/>
      <c r="SFI55" s="609"/>
      <c r="SFJ55" s="609"/>
      <c r="SFK55" s="609"/>
      <c r="SFL55" s="609"/>
      <c r="SFM55" s="609"/>
      <c r="SFN55" s="609"/>
      <c r="SFO55" s="609"/>
      <c r="SFP55" s="609"/>
      <c r="SFQ55" s="609"/>
      <c r="SFR55" s="609"/>
      <c r="SFS55" s="609"/>
      <c r="SFT55" s="609"/>
      <c r="SFU55" s="609"/>
      <c r="SFV55" s="609"/>
      <c r="SFW55" s="609"/>
      <c r="SFX55" s="609"/>
      <c r="SFY55" s="609"/>
      <c r="SFZ55" s="609"/>
      <c r="SGA55" s="609"/>
      <c r="SGB55" s="609"/>
      <c r="SGC55" s="609"/>
      <c r="SGD55" s="609"/>
      <c r="SGE55" s="609"/>
      <c r="SGF55" s="609"/>
      <c r="SGG55" s="609"/>
      <c r="SGH55" s="609"/>
      <c r="SGI55" s="609"/>
      <c r="SGJ55" s="609"/>
      <c r="SGK55" s="609"/>
      <c r="SGL55" s="609"/>
      <c r="SGM55" s="609"/>
      <c r="SGN55" s="609"/>
      <c r="SGO55" s="609"/>
      <c r="SGP55" s="609"/>
      <c r="SGQ55" s="609"/>
      <c r="SGR55" s="609"/>
      <c r="SGS55" s="609"/>
      <c r="SGT55" s="609"/>
      <c r="SGU55" s="609"/>
      <c r="SGV55" s="609"/>
      <c r="SGW55" s="609"/>
      <c r="SGX55" s="609"/>
      <c r="SGY55" s="609"/>
      <c r="SGZ55" s="609"/>
      <c r="SHA55" s="609"/>
      <c r="SHB55" s="609"/>
      <c r="SHC55" s="609"/>
      <c r="SHD55" s="609"/>
      <c r="SHE55" s="609"/>
      <c r="SHF55" s="609"/>
      <c r="SHG55" s="609"/>
      <c r="SHH55" s="609"/>
      <c r="SHI55" s="609"/>
      <c r="SHJ55" s="609"/>
      <c r="SHK55" s="609"/>
      <c r="SHL55" s="609"/>
      <c r="SHM55" s="609"/>
      <c r="SHN55" s="609"/>
      <c r="SHO55" s="609"/>
      <c r="SHP55" s="609"/>
      <c r="SHQ55" s="609"/>
      <c r="SHR55" s="609"/>
      <c r="SHS55" s="609"/>
      <c r="SHT55" s="609"/>
      <c r="SHU55" s="609"/>
      <c r="SHV55" s="609"/>
      <c r="SHW55" s="609"/>
      <c r="SHX55" s="609"/>
      <c r="SHY55" s="609"/>
      <c r="SHZ55" s="609"/>
      <c r="SIA55" s="609"/>
      <c r="SIB55" s="609"/>
      <c r="SIC55" s="609"/>
      <c r="SID55" s="609"/>
      <c r="SIE55" s="609"/>
      <c r="SIF55" s="609"/>
      <c r="SIG55" s="609"/>
      <c r="SIH55" s="609"/>
      <c r="SII55" s="609"/>
      <c r="SIJ55" s="609"/>
      <c r="SIK55" s="609"/>
      <c r="SIL55" s="609"/>
      <c r="SIM55" s="609"/>
      <c r="SIN55" s="609"/>
      <c r="SIO55" s="609"/>
      <c r="SIP55" s="609"/>
      <c r="SIQ55" s="609"/>
      <c r="SIR55" s="609"/>
      <c r="SIS55" s="609"/>
      <c r="SIT55" s="609"/>
      <c r="SIU55" s="609"/>
      <c r="SIV55" s="609"/>
      <c r="SIW55" s="609"/>
      <c r="SIX55" s="609"/>
      <c r="SIY55" s="609"/>
      <c r="SIZ55" s="609"/>
      <c r="SJA55" s="609"/>
      <c r="SJB55" s="609"/>
      <c r="SJC55" s="609"/>
      <c r="SJD55" s="609"/>
      <c r="SJE55" s="609"/>
      <c r="SJF55" s="609"/>
      <c r="SJG55" s="609"/>
      <c r="SJH55" s="609"/>
      <c r="SJI55" s="609"/>
      <c r="SJJ55" s="609"/>
      <c r="SJK55" s="609"/>
      <c r="SJL55" s="609"/>
      <c r="SJM55" s="609"/>
      <c r="SJN55" s="609"/>
      <c r="SJO55" s="609"/>
      <c r="SJP55" s="609"/>
      <c r="SJQ55" s="609"/>
      <c r="SJR55" s="609"/>
      <c r="SJS55" s="609"/>
      <c r="SJT55" s="609"/>
      <c r="SJU55" s="609"/>
      <c r="SJV55" s="609"/>
      <c r="SJW55" s="609"/>
      <c r="SJX55" s="609"/>
      <c r="SJY55" s="609"/>
      <c r="SJZ55" s="609"/>
      <c r="SKA55" s="609"/>
      <c r="SKB55" s="609"/>
      <c r="SKC55" s="609"/>
      <c r="SKD55" s="609"/>
      <c r="SKE55" s="609"/>
      <c r="SKF55" s="609"/>
      <c r="SKG55" s="609"/>
      <c r="SKH55" s="609"/>
      <c r="SKI55" s="609"/>
      <c r="SKJ55" s="609"/>
      <c r="SKK55" s="609"/>
      <c r="SKL55" s="609"/>
      <c r="SKM55" s="609"/>
      <c r="SKN55" s="609"/>
      <c r="SKO55" s="609"/>
      <c r="SKP55" s="609"/>
      <c r="SKQ55" s="609"/>
      <c r="SKR55" s="609"/>
      <c r="SKS55" s="609"/>
      <c r="SKT55" s="609"/>
      <c r="SKU55" s="609"/>
      <c r="SKV55" s="609"/>
      <c r="SKW55" s="609"/>
      <c r="SKX55" s="609"/>
      <c r="SKY55" s="609"/>
      <c r="SKZ55" s="609"/>
      <c r="SLA55" s="609"/>
      <c r="SLB55" s="609"/>
      <c r="SLC55" s="609"/>
      <c r="SLD55" s="609"/>
      <c r="SLE55" s="609"/>
      <c r="SLF55" s="609"/>
      <c r="SLG55" s="609"/>
      <c r="SLH55" s="609"/>
      <c r="SLI55" s="609"/>
      <c r="SLJ55" s="609"/>
      <c r="SLK55" s="609"/>
      <c r="SLL55" s="609"/>
      <c r="SLM55" s="609"/>
      <c r="SLN55" s="609"/>
      <c r="SLO55" s="609"/>
      <c r="SLP55" s="609"/>
      <c r="SLQ55" s="609"/>
      <c r="SLR55" s="609"/>
      <c r="SLS55" s="609"/>
      <c r="SLT55" s="609"/>
      <c r="SLU55" s="609"/>
      <c r="SLV55" s="609"/>
      <c r="SLW55" s="609"/>
      <c r="SLX55" s="609"/>
      <c r="SLY55" s="609"/>
      <c r="SLZ55" s="609"/>
      <c r="SMA55" s="609"/>
      <c r="SMB55" s="609"/>
      <c r="SMC55" s="609"/>
      <c r="SMD55" s="609"/>
      <c r="SME55" s="609"/>
      <c r="SMF55" s="609"/>
      <c r="SMG55" s="609"/>
      <c r="SMH55" s="609"/>
      <c r="SMI55" s="609"/>
      <c r="SMJ55" s="609"/>
      <c r="SMK55" s="609"/>
      <c r="SML55" s="609"/>
      <c r="SMM55" s="609"/>
      <c r="SMN55" s="609"/>
      <c r="SMO55" s="609"/>
      <c r="SMP55" s="609"/>
      <c r="SMQ55" s="609"/>
      <c r="SMR55" s="609"/>
      <c r="SMS55" s="609"/>
      <c r="SMT55" s="609"/>
      <c r="SMU55" s="609"/>
      <c r="SMV55" s="609"/>
      <c r="SMW55" s="609"/>
      <c r="SMX55" s="609"/>
      <c r="SMY55" s="609"/>
      <c r="SMZ55" s="609"/>
      <c r="SNA55" s="609"/>
      <c r="SNB55" s="609"/>
      <c r="SNC55" s="609"/>
      <c r="SND55" s="609"/>
      <c r="SNE55" s="609"/>
      <c r="SNF55" s="609"/>
      <c r="SNG55" s="609"/>
      <c r="SNH55" s="609"/>
      <c r="SNI55" s="609"/>
      <c r="SNJ55" s="609"/>
      <c r="SNK55" s="609"/>
      <c r="SNL55" s="609"/>
      <c r="SNM55" s="609"/>
      <c r="SNN55" s="609"/>
      <c r="SNO55" s="609"/>
      <c r="SNP55" s="609"/>
      <c r="SNQ55" s="609"/>
      <c r="SNR55" s="609"/>
      <c r="SNS55" s="609"/>
      <c r="SNT55" s="609"/>
      <c r="SNU55" s="609"/>
      <c r="SNV55" s="609"/>
      <c r="SNW55" s="609"/>
      <c r="SNX55" s="609"/>
      <c r="SNY55" s="609"/>
      <c r="SNZ55" s="609"/>
      <c r="SOA55" s="609"/>
      <c r="SOB55" s="609"/>
      <c r="SOC55" s="609"/>
      <c r="SOD55" s="609"/>
      <c r="SOE55" s="609"/>
      <c r="SOF55" s="609"/>
      <c r="SOG55" s="609"/>
      <c r="SOH55" s="609"/>
      <c r="SOI55" s="609"/>
      <c r="SOJ55" s="609"/>
      <c r="SOK55" s="609"/>
      <c r="SOL55" s="609"/>
      <c r="SOM55" s="609"/>
      <c r="SON55" s="609"/>
      <c r="SOO55" s="609"/>
      <c r="SOP55" s="609"/>
      <c r="SOQ55" s="609"/>
      <c r="SOR55" s="609"/>
      <c r="SOS55" s="609"/>
      <c r="SOT55" s="609"/>
      <c r="SOU55" s="609"/>
      <c r="SOV55" s="609"/>
      <c r="SOW55" s="609"/>
      <c r="SOX55" s="609"/>
      <c r="SOY55" s="609"/>
      <c r="SOZ55" s="609"/>
      <c r="SPA55" s="609"/>
      <c r="SPB55" s="609"/>
      <c r="SPC55" s="609"/>
      <c r="SPD55" s="609"/>
      <c r="SPE55" s="609"/>
      <c r="SPF55" s="609"/>
      <c r="SPG55" s="609"/>
      <c r="SPH55" s="609"/>
      <c r="SPI55" s="609"/>
      <c r="SPJ55" s="609"/>
      <c r="SPK55" s="609"/>
      <c r="SPL55" s="609"/>
      <c r="SPM55" s="609"/>
      <c r="SPN55" s="609"/>
      <c r="SPO55" s="609"/>
      <c r="SPP55" s="609"/>
      <c r="SPQ55" s="609"/>
      <c r="SPR55" s="609"/>
      <c r="SPS55" s="609"/>
      <c r="SPT55" s="609"/>
      <c r="SPU55" s="609"/>
      <c r="SPV55" s="609"/>
      <c r="SPW55" s="609"/>
      <c r="SPX55" s="609"/>
      <c r="SPY55" s="609"/>
      <c r="SPZ55" s="609"/>
      <c r="SQA55" s="609"/>
      <c r="SQB55" s="609"/>
      <c r="SQC55" s="609"/>
      <c r="SQD55" s="609"/>
      <c r="SQE55" s="609"/>
      <c r="SQF55" s="609"/>
      <c r="SQG55" s="609"/>
      <c r="SQH55" s="609"/>
      <c r="SQI55" s="609"/>
      <c r="SQJ55" s="609"/>
      <c r="SQK55" s="609"/>
      <c r="SQL55" s="609"/>
      <c r="SQM55" s="609"/>
      <c r="SQN55" s="609"/>
      <c r="SQO55" s="609"/>
      <c r="SQP55" s="609"/>
      <c r="SQQ55" s="609"/>
      <c r="SQR55" s="609"/>
      <c r="SQS55" s="609"/>
      <c r="SQT55" s="609"/>
      <c r="SQU55" s="609"/>
      <c r="SQV55" s="609"/>
      <c r="SQW55" s="609"/>
      <c r="SQX55" s="609"/>
      <c r="SQY55" s="609"/>
      <c r="SQZ55" s="609"/>
      <c r="SRA55" s="609"/>
      <c r="SRB55" s="609"/>
      <c r="SRC55" s="609"/>
      <c r="SRD55" s="609"/>
      <c r="SRE55" s="609"/>
      <c r="SRF55" s="609"/>
      <c r="SRG55" s="609"/>
      <c r="SRH55" s="609"/>
      <c r="SRI55" s="609"/>
      <c r="SRJ55" s="609"/>
      <c r="SRK55" s="609"/>
      <c r="SRL55" s="609"/>
      <c r="SRM55" s="609"/>
      <c r="SRN55" s="609"/>
      <c r="SRO55" s="609"/>
      <c r="SRP55" s="609"/>
      <c r="SRQ55" s="609"/>
      <c r="SRR55" s="609"/>
      <c r="SRS55" s="609"/>
      <c r="SRT55" s="609"/>
      <c r="SRU55" s="609"/>
      <c r="SRV55" s="609"/>
      <c r="SRW55" s="609"/>
      <c r="SRX55" s="609"/>
      <c r="SRY55" s="609"/>
      <c r="SRZ55" s="609"/>
      <c r="SSA55" s="609"/>
      <c r="SSB55" s="609"/>
      <c r="SSC55" s="609"/>
      <c r="SSD55" s="609"/>
      <c r="SSE55" s="609"/>
      <c r="SSF55" s="609"/>
      <c r="SSG55" s="609"/>
      <c r="SSH55" s="609"/>
      <c r="SSI55" s="609"/>
      <c r="SSJ55" s="609"/>
      <c r="SSK55" s="609"/>
      <c r="SSL55" s="609"/>
      <c r="SSM55" s="609"/>
      <c r="SSN55" s="609"/>
      <c r="SSO55" s="609"/>
      <c r="SSP55" s="609"/>
      <c r="SSQ55" s="609"/>
      <c r="SSR55" s="609"/>
      <c r="SSS55" s="609"/>
      <c r="SST55" s="609"/>
      <c r="SSU55" s="609"/>
      <c r="SSV55" s="609"/>
      <c r="SSW55" s="609"/>
      <c r="SSX55" s="609"/>
      <c r="SSY55" s="609"/>
      <c r="SSZ55" s="609"/>
      <c r="STA55" s="609"/>
      <c r="STB55" s="609"/>
      <c r="STC55" s="609"/>
      <c r="STD55" s="609"/>
      <c r="STE55" s="609"/>
      <c r="STF55" s="609"/>
      <c r="STG55" s="609"/>
      <c r="STH55" s="609"/>
      <c r="STI55" s="609"/>
      <c r="STJ55" s="609"/>
      <c r="STK55" s="609"/>
      <c r="STL55" s="609"/>
      <c r="STM55" s="609"/>
      <c r="STN55" s="609"/>
      <c r="STO55" s="609"/>
      <c r="STP55" s="609"/>
      <c r="STQ55" s="609"/>
      <c r="STR55" s="609"/>
      <c r="STS55" s="609"/>
      <c r="STT55" s="609"/>
      <c r="STU55" s="609"/>
      <c r="STV55" s="609"/>
      <c r="STW55" s="609"/>
      <c r="STX55" s="609"/>
      <c r="STY55" s="609"/>
      <c r="STZ55" s="609"/>
      <c r="SUA55" s="609"/>
      <c r="SUB55" s="609"/>
      <c r="SUC55" s="609"/>
      <c r="SUD55" s="609"/>
      <c r="SUE55" s="609"/>
      <c r="SUF55" s="609"/>
      <c r="SUG55" s="609"/>
      <c r="SUH55" s="609"/>
      <c r="SUI55" s="609"/>
      <c r="SUJ55" s="609"/>
      <c r="SUK55" s="609"/>
      <c r="SUL55" s="609"/>
      <c r="SUM55" s="609"/>
      <c r="SUN55" s="609"/>
      <c r="SUO55" s="609"/>
      <c r="SUP55" s="609"/>
      <c r="SUQ55" s="609"/>
      <c r="SUR55" s="609"/>
      <c r="SUS55" s="609"/>
      <c r="SUT55" s="609"/>
      <c r="SUU55" s="609"/>
      <c r="SUV55" s="609"/>
      <c r="SUW55" s="609"/>
      <c r="SUX55" s="609"/>
      <c r="SUY55" s="609"/>
      <c r="SUZ55" s="609"/>
      <c r="SVA55" s="609"/>
      <c r="SVB55" s="609"/>
      <c r="SVC55" s="609"/>
      <c r="SVD55" s="609"/>
      <c r="SVE55" s="609"/>
      <c r="SVF55" s="609"/>
      <c r="SVG55" s="609"/>
      <c r="SVH55" s="609"/>
      <c r="SVI55" s="609"/>
      <c r="SVJ55" s="609"/>
      <c r="SVK55" s="609"/>
      <c r="SVL55" s="609"/>
      <c r="SVM55" s="609"/>
      <c r="SVN55" s="609"/>
      <c r="SVO55" s="609"/>
      <c r="SVP55" s="609"/>
      <c r="SVQ55" s="609"/>
      <c r="SVR55" s="609"/>
      <c r="SVS55" s="609"/>
      <c r="SVT55" s="609"/>
      <c r="SVU55" s="609"/>
      <c r="SVV55" s="609"/>
      <c r="SVW55" s="609"/>
      <c r="SVX55" s="609"/>
      <c r="SVY55" s="609"/>
      <c r="SVZ55" s="609"/>
      <c r="SWA55" s="609"/>
      <c r="SWB55" s="609"/>
      <c r="SWC55" s="609"/>
      <c r="SWD55" s="609"/>
      <c r="SWE55" s="609"/>
      <c r="SWF55" s="609"/>
      <c r="SWG55" s="609"/>
      <c r="SWH55" s="609"/>
      <c r="SWI55" s="609"/>
      <c r="SWJ55" s="609"/>
      <c r="SWK55" s="609"/>
      <c r="SWL55" s="609"/>
      <c r="SWM55" s="609"/>
      <c r="SWN55" s="609"/>
      <c r="SWO55" s="609"/>
      <c r="SWP55" s="609"/>
      <c r="SWQ55" s="609"/>
      <c r="SWR55" s="609"/>
      <c r="SWS55" s="609"/>
      <c r="SWT55" s="609"/>
      <c r="SWU55" s="609"/>
      <c r="SWV55" s="609"/>
      <c r="SWW55" s="609"/>
      <c r="SWX55" s="609"/>
      <c r="SWY55" s="609"/>
      <c r="SWZ55" s="609"/>
      <c r="SXA55" s="609"/>
      <c r="SXB55" s="609"/>
      <c r="SXC55" s="609"/>
      <c r="SXD55" s="609"/>
      <c r="SXE55" s="609"/>
      <c r="SXF55" s="609"/>
      <c r="SXG55" s="609"/>
      <c r="SXH55" s="609"/>
      <c r="SXI55" s="609"/>
      <c r="SXJ55" s="609"/>
      <c r="SXK55" s="609"/>
      <c r="SXL55" s="609"/>
      <c r="SXM55" s="609"/>
      <c r="SXN55" s="609"/>
      <c r="SXO55" s="609"/>
      <c r="SXP55" s="609"/>
      <c r="SXQ55" s="609"/>
      <c r="SXR55" s="609"/>
      <c r="SXS55" s="609"/>
      <c r="SXT55" s="609"/>
      <c r="SXU55" s="609"/>
      <c r="SXV55" s="609"/>
      <c r="SXW55" s="609"/>
      <c r="SXX55" s="609"/>
      <c r="SXY55" s="609"/>
      <c r="SXZ55" s="609"/>
      <c r="SYA55" s="609"/>
      <c r="SYB55" s="609"/>
      <c r="SYC55" s="609"/>
      <c r="SYD55" s="609"/>
      <c r="SYE55" s="609"/>
      <c r="SYF55" s="609"/>
      <c r="SYG55" s="609"/>
      <c r="SYH55" s="609"/>
      <c r="SYI55" s="609"/>
      <c r="SYJ55" s="609"/>
      <c r="SYK55" s="609"/>
      <c r="SYL55" s="609"/>
      <c r="SYM55" s="609"/>
      <c r="SYN55" s="609"/>
      <c r="SYO55" s="609"/>
      <c r="SYP55" s="609"/>
      <c r="SYQ55" s="609"/>
      <c r="SYR55" s="609"/>
      <c r="SYS55" s="609"/>
      <c r="SYT55" s="609"/>
      <c r="SYU55" s="609"/>
      <c r="SYV55" s="609"/>
      <c r="SYW55" s="609"/>
      <c r="SYX55" s="609"/>
      <c r="SYY55" s="609"/>
      <c r="SYZ55" s="609"/>
      <c r="SZA55" s="609"/>
      <c r="SZB55" s="609"/>
      <c r="SZC55" s="609"/>
      <c r="SZD55" s="609"/>
      <c r="SZE55" s="609"/>
      <c r="SZF55" s="609"/>
      <c r="SZG55" s="609"/>
      <c r="SZH55" s="609"/>
      <c r="SZI55" s="609"/>
      <c r="SZJ55" s="609"/>
      <c r="SZK55" s="609"/>
      <c r="SZL55" s="609"/>
      <c r="SZM55" s="609"/>
      <c r="SZN55" s="609"/>
      <c r="SZO55" s="609"/>
      <c r="SZP55" s="609"/>
      <c r="SZQ55" s="609"/>
      <c r="SZR55" s="609"/>
      <c r="SZS55" s="609"/>
      <c r="SZT55" s="609"/>
      <c r="SZU55" s="609"/>
      <c r="SZV55" s="609"/>
      <c r="SZW55" s="609"/>
      <c r="SZX55" s="609"/>
      <c r="SZY55" s="609"/>
      <c r="SZZ55" s="609"/>
      <c r="TAA55" s="609"/>
      <c r="TAB55" s="609"/>
      <c r="TAC55" s="609"/>
      <c r="TAD55" s="609"/>
      <c r="TAE55" s="609"/>
      <c r="TAF55" s="609"/>
      <c r="TAG55" s="609"/>
      <c r="TAH55" s="609"/>
      <c r="TAI55" s="609"/>
      <c r="TAJ55" s="609"/>
      <c r="TAK55" s="609"/>
      <c r="TAL55" s="609"/>
      <c r="TAM55" s="609"/>
      <c r="TAN55" s="609"/>
      <c r="TAO55" s="609"/>
      <c r="TAP55" s="609"/>
      <c r="TAQ55" s="609"/>
      <c r="TAR55" s="609"/>
      <c r="TAS55" s="609"/>
      <c r="TAT55" s="609"/>
      <c r="TAU55" s="609"/>
      <c r="TAV55" s="609"/>
      <c r="TAW55" s="609"/>
      <c r="TAX55" s="609"/>
      <c r="TAY55" s="609"/>
      <c r="TAZ55" s="609"/>
      <c r="TBA55" s="609"/>
      <c r="TBB55" s="609"/>
      <c r="TBC55" s="609"/>
      <c r="TBD55" s="609"/>
      <c r="TBE55" s="609"/>
      <c r="TBF55" s="609"/>
      <c r="TBG55" s="609"/>
      <c r="TBH55" s="609"/>
      <c r="TBI55" s="609"/>
      <c r="TBJ55" s="609"/>
      <c r="TBK55" s="609"/>
      <c r="TBL55" s="609"/>
      <c r="TBM55" s="609"/>
      <c r="TBN55" s="609"/>
      <c r="TBO55" s="609"/>
      <c r="TBP55" s="609"/>
      <c r="TBQ55" s="609"/>
      <c r="TBR55" s="609"/>
      <c r="TBS55" s="609"/>
      <c r="TBT55" s="609"/>
      <c r="TBU55" s="609"/>
      <c r="TBV55" s="609"/>
      <c r="TBW55" s="609"/>
      <c r="TBX55" s="609"/>
      <c r="TBY55" s="609"/>
      <c r="TBZ55" s="609"/>
      <c r="TCA55" s="609"/>
      <c r="TCB55" s="609"/>
      <c r="TCC55" s="609"/>
      <c r="TCD55" s="609"/>
      <c r="TCE55" s="609"/>
      <c r="TCF55" s="609"/>
      <c r="TCG55" s="609"/>
      <c r="TCH55" s="609"/>
      <c r="TCI55" s="609"/>
      <c r="TCJ55" s="609"/>
      <c r="TCK55" s="609"/>
      <c r="TCL55" s="609"/>
      <c r="TCM55" s="609"/>
      <c r="TCN55" s="609"/>
      <c r="TCO55" s="609"/>
      <c r="TCP55" s="609"/>
      <c r="TCQ55" s="609"/>
      <c r="TCR55" s="609"/>
      <c r="TCS55" s="609"/>
      <c r="TCT55" s="609"/>
      <c r="TCU55" s="609"/>
      <c r="TCV55" s="609"/>
      <c r="TCW55" s="609"/>
      <c r="TCX55" s="609"/>
      <c r="TCY55" s="609"/>
      <c r="TCZ55" s="609"/>
      <c r="TDA55" s="609"/>
      <c r="TDB55" s="609"/>
      <c r="TDC55" s="609"/>
      <c r="TDD55" s="609"/>
      <c r="TDE55" s="609"/>
      <c r="TDF55" s="609"/>
      <c r="TDG55" s="609"/>
      <c r="TDH55" s="609"/>
      <c r="TDI55" s="609"/>
      <c r="TDJ55" s="609"/>
      <c r="TDK55" s="609"/>
      <c r="TDL55" s="609"/>
      <c r="TDM55" s="609"/>
      <c r="TDN55" s="609"/>
      <c r="TDO55" s="609"/>
      <c r="TDP55" s="609"/>
      <c r="TDQ55" s="609"/>
      <c r="TDR55" s="609"/>
      <c r="TDS55" s="609"/>
      <c r="TDT55" s="609"/>
      <c r="TDU55" s="609"/>
      <c r="TDV55" s="609"/>
      <c r="TDW55" s="609"/>
      <c r="TDX55" s="609"/>
      <c r="TDY55" s="609"/>
      <c r="TDZ55" s="609"/>
      <c r="TEA55" s="609"/>
      <c r="TEB55" s="609"/>
      <c r="TEC55" s="609"/>
      <c r="TED55" s="609"/>
      <c r="TEE55" s="609"/>
      <c r="TEF55" s="609"/>
      <c r="TEG55" s="609"/>
      <c r="TEH55" s="609"/>
      <c r="TEI55" s="609"/>
      <c r="TEJ55" s="609"/>
      <c r="TEK55" s="609"/>
      <c r="TEL55" s="609"/>
      <c r="TEM55" s="609"/>
      <c r="TEN55" s="609"/>
      <c r="TEO55" s="609"/>
      <c r="TEP55" s="609"/>
      <c r="TEQ55" s="609"/>
      <c r="TER55" s="609"/>
      <c r="TES55" s="609"/>
      <c r="TET55" s="609"/>
      <c r="TEU55" s="609"/>
      <c r="TEV55" s="609"/>
      <c r="TEW55" s="609"/>
      <c r="TEX55" s="609"/>
      <c r="TEY55" s="609"/>
      <c r="TEZ55" s="609"/>
      <c r="TFA55" s="609"/>
      <c r="TFB55" s="609"/>
      <c r="TFC55" s="609"/>
      <c r="TFD55" s="609"/>
      <c r="TFE55" s="609"/>
      <c r="TFF55" s="609"/>
      <c r="TFG55" s="609"/>
      <c r="TFH55" s="609"/>
      <c r="TFI55" s="609"/>
      <c r="TFJ55" s="609"/>
      <c r="TFK55" s="609"/>
      <c r="TFL55" s="609"/>
      <c r="TFM55" s="609"/>
      <c r="TFN55" s="609"/>
      <c r="TFO55" s="609"/>
      <c r="TFP55" s="609"/>
      <c r="TFQ55" s="609"/>
      <c r="TFR55" s="609"/>
      <c r="TFS55" s="609"/>
      <c r="TFT55" s="609"/>
      <c r="TFU55" s="609"/>
      <c r="TFV55" s="609"/>
      <c r="TFW55" s="609"/>
      <c r="TFX55" s="609"/>
      <c r="TFY55" s="609"/>
      <c r="TFZ55" s="609"/>
      <c r="TGA55" s="609"/>
      <c r="TGB55" s="609"/>
      <c r="TGC55" s="609"/>
      <c r="TGD55" s="609"/>
      <c r="TGE55" s="609"/>
      <c r="TGF55" s="609"/>
      <c r="TGG55" s="609"/>
      <c r="TGH55" s="609"/>
      <c r="TGI55" s="609"/>
      <c r="TGJ55" s="609"/>
      <c r="TGK55" s="609"/>
      <c r="TGL55" s="609"/>
      <c r="TGM55" s="609"/>
      <c r="TGN55" s="609"/>
      <c r="TGO55" s="609"/>
      <c r="TGP55" s="609"/>
      <c r="TGQ55" s="609"/>
      <c r="TGR55" s="609"/>
      <c r="TGS55" s="609"/>
      <c r="TGT55" s="609"/>
      <c r="TGU55" s="609"/>
      <c r="TGV55" s="609"/>
      <c r="TGW55" s="609"/>
      <c r="TGX55" s="609"/>
      <c r="TGY55" s="609"/>
      <c r="TGZ55" s="609"/>
      <c r="THA55" s="609"/>
      <c r="THB55" s="609"/>
      <c r="THC55" s="609"/>
      <c r="THD55" s="609"/>
      <c r="THE55" s="609"/>
      <c r="THF55" s="609"/>
      <c r="THG55" s="609"/>
      <c r="THH55" s="609"/>
      <c r="THI55" s="609"/>
      <c r="THJ55" s="609"/>
      <c r="THK55" s="609"/>
      <c r="THL55" s="609"/>
      <c r="THM55" s="609"/>
      <c r="THN55" s="609"/>
      <c r="THO55" s="609"/>
      <c r="THP55" s="609"/>
      <c r="THQ55" s="609"/>
      <c r="THR55" s="609"/>
      <c r="THS55" s="609"/>
      <c r="THT55" s="609"/>
      <c r="THU55" s="609"/>
      <c r="THV55" s="609"/>
      <c r="THW55" s="609"/>
      <c r="THX55" s="609"/>
      <c r="THY55" s="609"/>
      <c r="THZ55" s="609"/>
      <c r="TIA55" s="609"/>
      <c r="TIB55" s="609"/>
      <c r="TIC55" s="609"/>
      <c r="TID55" s="609"/>
      <c r="TIE55" s="609"/>
      <c r="TIF55" s="609"/>
      <c r="TIG55" s="609"/>
      <c r="TIH55" s="609"/>
      <c r="TII55" s="609"/>
      <c r="TIJ55" s="609"/>
      <c r="TIK55" s="609"/>
      <c r="TIL55" s="609"/>
      <c r="TIM55" s="609"/>
      <c r="TIN55" s="609"/>
      <c r="TIO55" s="609"/>
      <c r="TIP55" s="609"/>
      <c r="TIQ55" s="609"/>
      <c r="TIR55" s="609"/>
      <c r="TIS55" s="609"/>
      <c r="TIT55" s="609"/>
      <c r="TIU55" s="609"/>
      <c r="TIV55" s="609"/>
      <c r="TIW55" s="609"/>
      <c r="TIX55" s="609"/>
      <c r="TIY55" s="609"/>
      <c r="TIZ55" s="609"/>
      <c r="TJA55" s="609"/>
      <c r="TJB55" s="609"/>
      <c r="TJC55" s="609"/>
      <c r="TJD55" s="609"/>
      <c r="TJE55" s="609"/>
      <c r="TJF55" s="609"/>
      <c r="TJG55" s="609"/>
      <c r="TJH55" s="609"/>
      <c r="TJI55" s="609"/>
      <c r="TJJ55" s="609"/>
      <c r="TJK55" s="609"/>
      <c r="TJL55" s="609"/>
      <c r="TJM55" s="609"/>
      <c r="TJN55" s="609"/>
      <c r="TJO55" s="609"/>
      <c r="TJP55" s="609"/>
      <c r="TJQ55" s="609"/>
      <c r="TJR55" s="609"/>
      <c r="TJS55" s="609"/>
      <c r="TJT55" s="609"/>
      <c r="TJU55" s="609"/>
      <c r="TJV55" s="609"/>
      <c r="TJW55" s="609"/>
      <c r="TJX55" s="609"/>
      <c r="TJY55" s="609"/>
      <c r="TJZ55" s="609"/>
      <c r="TKA55" s="609"/>
      <c r="TKB55" s="609"/>
      <c r="TKC55" s="609"/>
      <c r="TKD55" s="609"/>
      <c r="TKE55" s="609"/>
      <c r="TKF55" s="609"/>
      <c r="TKG55" s="609"/>
      <c r="TKH55" s="609"/>
      <c r="TKI55" s="609"/>
      <c r="TKJ55" s="609"/>
      <c r="TKK55" s="609"/>
      <c r="TKL55" s="609"/>
      <c r="TKM55" s="609"/>
      <c r="TKN55" s="609"/>
      <c r="TKO55" s="609"/>
      <c r="TKP55" s="609"/>
      <c r="TKQ55" s="609"/>
      <c r="TKR55" s="609"/>
      <c r="TKS55" s="609"/>
      <c r="TKT55" s="609"/>
      <c r="TKU55" s="609"/>
      <c r="TKV55" s="609"/>
      <c r="TKW55" s="609"/>
      <c r="TKX55" s="609"/>
      <c r="TKY55" s="609"/>
      <c r="TKZ55" s="609"/>
      <c r="TLA55" s="609"/>
      <c r="TLB55" s="609"/>
      <c r="TLC55" s="609"/>
      <c r="TLD55" s="609"/>
      <c r="TLE55" s="609"/>
      <c r="TLF55" s="609"/>
      <c r="TLG55" s="609"/>
      <c r="TLH55" s="609"/>
      <c r="TLI55" s="609"/>
      <c r="TLJ55" s="609"/>
      <c r="TLK55" s="609"/>
      <c r="TLL55" s="609"/>
      <c r="TLM55" s="609"/>
      <c r="TLN55" s="609"/>
      <c r="TLO55" s="609"/>
      <c r="TLP55" s="609"/>
      <c r="TLQ55" s="609"/>
      <c r="TLR55" s="609"/>
      <c r="TLS55" s="609"/>
      <c r="TLT55" s="609"/>
      <c r="TLU55" s="609"/>
      <c r="TLV55" s="609"/>
      <c r="TLW55" s="609"/>
      <c r="TLX55" s="609"/>
      <c r="TLY55" s="609"/>
      <c r="TLZ55" s="609"/>
      <c r="TMA55" s="609"/>
      <c r="TMB55" s="609"/>
      <c r="TMC55" s="609"/>
      <c r="TMD55" s="609"/>
      <c r="TME55" s="609"/>
      <c r="TMF55" s="609"/>
      <c r="TMG55" s="609"/>
      <c r="TMH55" s="609"/>
      <c r="TMI55" s="609"/>
      <c r="TMJ55" s="609"/>
      <c r="TMK55" s="609"/>
      <c r="TML55" s="609"/>
      <c r="TMM55" s="609"/>
      <c r="TMN55" s="609"/>
      <c r="TMO55" s="609"/>
      <c r="TMP55" s="609"/>
      <c r="TMQ55" s="609"/>
      <c r="TMR55" s="609"/>
      <c r="TMS55" s="609"/>
      <c r="TMT55" s="609"/>
      <c r="TMU55" s="609"/>
      <c r="TMV55" s="609"/>
      <c r="TMW55" s="609"/>
      <c r="TMX55" s="609"/>
      <c r="TMY55" s="609"/>
      <c r="TMZ55" s="609"/>
      <c r="TNA55" s="609"/>
      <c r="TNB55" s="609"/>
      <c r="TNC55" s="609"/>
      <c r="TND55" s="609"/>
      <c r="TNE55" s="609"/>
      <c r="TNF55" s="609"/>
      <c r="TNG55" s="609"/>
      <c r="TNH55" s="609"/>
      <c r="TNI55" s="609"/>
      <c r="TNJ55" s="609"/>
      <c r="TNK55" s="609"/>
      <c r="TNL55" s="609"/>
      <c r="TNM55" s="609"/>
      <c r="TNN55" s="609"/>
      <c r="TNO55" s="609"/>
      <c r="TNP55" s="609"/>
      <c r="TNQ55" s="609"/>
      <c r="TNR55" s="609"/>
      <c r="TNS55" s="609"/>
      <c r="TNT55" s="609"/>
      <c r="TNU55" s="609"/>
      <c r="TNV55" s="609"/>
      <c r="TNW55" s="609"/>
      <c r="TNX55" s="609"/>
      <c r="TNY55" s="609"/>
      <c r="TNZ55" s="609"/>
      <c r="TOA55" s="609"/>
      <c r="TOB55" s="609"/>
      <c r="TOC55" s="609"/>
      <c r="TOD55" s="609"/>
      <c r="TOE55" s="609"/>
      <c r="TOF55" s="609"/>
      <c r="TOG55" s="609"/>
      <c r="TOH55" s="609"/>
      <c r="TOI55" s="609"/>
      <c r="TOJ55" s="609"/>
      <c r="TOK55" s="609"/>
      <c r="TOL55" s="609"/>
      <c r="TOM55" s="609"/>
      <c r="TON55" s="609"/>
      <c r="TOO55" s="609"/>
      <c r="TOP55" s="609"/>
      <c r="TOQ55" s="609"/>
      <c r="TOR55" s="609"/>
      <c r="TOS55" s="609"/>
      <c r="TOT55" s="609"/>
      <c r="TOU55" s="609"/>
      <c r="TOV55" s="609"/>
      <c r="TOW55" s="609"/>
      <c r="TOX55" s="609"/>
      <c r="TOY55" s="609"/>
      <c r="TOZ55" s="609"/>
      <c r="TPA55" s="609"/>
      <c r="TPB55" s="609"/>
      <c r="TPC55" s="609"/>
      <c r="TPD55" s="609"/>
      <c r="TPE55" s="609"/>
      <c r="TPF55" s="609"/>
      <c r="TPG55" s="609"/>
      <c r="TPH55" s="609"/>
      <c r="TPI55" s="609"/>
      <c r="TPJ55" s="609"/>
      <c r="TPK55" s="609"/>
      <c r="TPL55" s="609"/>
      <c r="TPM55" s="609"/>
      <c r="TPN55" s="609"/>
      <c r="TPO55" s="609"/>
      <c r="TPP55" s="609"/>
      <c r="TPQ55" s="609"/>
      <c r="TPR55" s="609"/>
      <c r="TPS55" s="609"/>
      <c r="TPT55" s="609"/>
      <c r="TPU55" s="609"/>
      <c r="TPV55" s="609"/>
      <c r="TPW55" s="609"/>
      <c r="TPX55" s="609"/>
      <c r="TPY55" s="609"/>
      <c r="TPZ55" s="609"/>
      <c r="TQA55" s="609"/>
      <c r="TQB55" s="609"/>
      <c r="TQC55" s="609"/>
      <c r="TQD55" s="609"/>
      <c r="TQE55" s="609"/>
      <c r="TQF55" s="609"/>
      <c r="TQG55" s="609"/>
      <c r="TQH55" s="609"/>
      <c r="TQI55" s="609"/>
      <c r="TQJ55" s="609"/>
      <c r="TQK55" s="609"/>
      <c r="TQL55" s="609"/>
      <c r="TQM55" s="609"/>
      <c r="TQN55" s="609"/>
      <c r="TQO55" s="609"/>
      <c r="TQP55" s="609"/>
      <c r="TQQ55" s="609"/>
      <c r="TQR55" s="609"/>
      <c r="TQS55" s="609"/>
      <c r="TQT55" s="609"/>
      <c r="TQU55" s="609"/>
      <c r="TQV55" s="609"/>
      <c r="TQW55" s="609"/>
      <c r="TQX55" s="609"/>
      <c r="TQY55" s="609"/>
      <c r="TQZ55" s="609"/>
      <c r="TRA55" s="609"/>
      <c r="TRB55" s="609"/>
      <c r="TRC55" s="609"/>
      <c r="TRD55" s="609"/>
      <c r="TRE55" s="609"/>
      <c r="TRF55" s="609"/>
      <c r="TRG55" s="609"/>
      <c r="TRH55" s="609"/>
      <c r="TRI55" s="609"/>
      <c r="TRJ55" s="609"/>
      <c r="TRK55" s="609"/>
      <c r="TRL55" s="609"/>
      <c r="TRM55" s="609"/>
      <c r="TRN55" s="609"/>
      <c r="TRO55" s="609"/>
      <c r="TRP55" s="609"/>
      <c r="TRQ55" s="609"/>
      <c r="TRR55" s="609"/>
      <c r="TRS55" s="609"/>
      <c r="TRT55" s="609"/>
      <c r="TRU55" s="609"/>
      <c r="TRV55" s="609"/>
      <c r="TRW55" s="609"/>
      <c r="TRX55" s="609"/>
      <c r="TRY55" s="609"/>
      <c r="TRZ55" s="609"/>
      <c r="TSA55" s="609"/>
      <c r="TSB55" s="609"/>
      <c r="TSC55" s="609"/>
      <c r="TSD55" s="609"/>
      <c r="TSE55" s="609"/>
      <c r="TSF55" s="609"/>
      <c r="TSG55" s="609"/>
      <c r="TSH55" s="609"/>
      <c r="TSI55" s="609"/>
      <c r="TSJ55" s="609"/>
      <c r="TSK55" s="609"/>
      <c r="TSL55" s="609"/>
      <c r="TSM55" s="609"/>
      <c r="TSN55" s="609"/>
      <c r="TSO55" s="609"/>
      <c r="TSP55" s="609"/>
      <c r="TSQ55" s="609"/>
      <c r="TSR55" s="609"/>
      <c r="TSS55" s="609"/>
      <c r="TST55" s="609"/>
      <c r="TSU55" s="609"/>
      <c r="TSV55" s="609"/>
      <c r="TSW55" s="609"/>
      <c r="TSX55" s="609"/>
      <c r="TSY55" s="609"/>
      <c r="TSZ55" s="609"/>
      <c r="TTA55" s="609"/>
      <c r="TTB55" s="609"/>
      <c r="TTC55" s="609"/>
      <c r="TTD55" s="609"/>
      <c r="TTE55" s="609"/>
      <c r="TTF55" s="609"/>
      <c r="TTG55" s="609"/>
      <c r="TTH55" s="609"/>
      <c r="TTI55" s="609"/>
      <c r="TTJ55" s="609"/>
      <c r="TTK55" s="609"/>
      <c r="TTL55" s="609"/>
      <c r="TTM55" s="609"/>
      <c r="TTN55" s="609"/>
      <c r="TTO55" s="609"/>
      <c r="TTP55" s="609"/>
      <c r="TTQ55" s="609"/>
      <c r="TTR55" s="609"/>
      <c r="TTS55" s="609"/>
      <c r="TTT55" s="609"/>
      <c r="TTU55" s="609"/>
      <c r="TTV55" s="609"/>
      <c r="TTW55" s="609"/>
      <c r="TTX55" s="609"/>
      <c r="TTY55" s="609"/>
      <c r="TTZ55" s="609"/>
      <c r="TUA55" s="609"/>
      <c r="TUB55" s="609"/>
      <c r="TUC55" s="609"/>
      <c r="TUD55" s="609"/>
      <c r="TUE55" s="609"/>
      <c r="TUF55" s="609"/>
      <c r="TUG55" s="609"/>
      <c r="TUH55" s="609"/>
      <c r="TUI55" s="609"/>
      <c r="TUJ55" s="609"/>
      <c r="TUK55" s="609"/>
      <c r="TUL55" s="609"/>
      <c r="TUM55" s="609"/>
      <c r="TUN55" s="609"/>
      <c r="TUO55" s="609"/>
      <c r="TUP55" s="609"/>
      <c r="TUQ55" s="609"/>
      <c r="TUR55" s="609"/>
      <c r="TUS55" s="609"/>
      <c r="TUT55" s="609"/>
      <c r="TUU55" s="609"/>
      <c r="TUV55" s="609"/>
      <c r="TUW55" s="609"/>
      <c r="TUX55" s="609"/>
      <c r="TUY55" s="609"/>
      <c r="TUZ55" s="609"/>
      <c r="TVA55" s="609"/>
      <c r="TVB55" s="609"/>
      <c r="TVC55" s="609"/>
      <c r="TVD55" s="609"/>
      <c r="TVE55" s="609"/>
      <c r="TVF55" s="609"/>
      <c r="TVG55" s="609"/>
      <c r="TVH55" s="609"/>
      <c r="TVI55" s="609"/>
      <c r="TVJ55" s="609"/>
      <c r="TVK55" s="609"/>
      <c r="TVL55" s="609"/>
      <c r="TVM55" s="609"/>
      <c r="TVN55" s="609"/>
      <c r="TVO55" s="609"/>
      <c r="TVP55" s="609"/>
      <c r="TVQ55" s="609"/>
      <c r="TVR55" s="609"/>
      <c r="TVS55" s="609"/>
      <c r="TVT55" s="609"/>
      <c r="TVU55" s="609"/>
      <c r="TVV55" s="609"/>
      <c r="TVW55" s="609"/>
      <c r="TVX55" s="609"/>
      <c r="TVY55" s="609"/>
      <c r="TVZ55" s="609"/>
      <c r="TWA55" s="609"/>
      <c r="TWB55" s="609"/>
      <c r="TWC55" s="609"/>
      <c r="TWD55" s="609"/>
      <c r="TWE55" s="609"/>
      <c r="TWF55" s="609"/>
      <c r="TWG55" s="609"/>
      <c r="TWH55" s="609"/>
      <c r="TWI55" s="609"/>
      <c r="TWJ55" s="609"/>
      <c r="TWK55" s="609"/>
      <c r="TWL55" s="609"/>
      <c r="TWM55" s="609"/>
      <c r="TWN55" s="609"/>
      <c r="TWO55" s="609"/>
      <c r="TWP55" s="609"/>
      <c r="TWQ55" s="609"/>
      <c r="TWR55" s="609"/>
      <c r="TWS55" s="609"/>
      <c r="TWT55" s="609"/>
      <c r="TWU55" s="609"/>
      <c r="TWV55" s="609"/>
      <c r="TWW55" s="609"/>
      <c r="TWX55" s="609"/>
      <c r="TWY55" s="609"/>
      <c r="TWZ55" s="609"/>
      <c r="TXA55" s="609"/>
      <c r="TXB55" s="609"/>
      <c r="TXC55" s="609"/>
      <c r="TXD55" s="609"/>
      <c r="TXE55" s="609"/>
      <c r="TXF55" s="609"/>
      <c r="TXG55" s="609"/>
      <c r="TXH55" s="609"/>
      <c r="TXI55" s="609"/>
      <c r="TXJ55" s="609"/>
      <c r="TXK55" s="609"/>
      <c r="TXL55" s="609"/>
      <c r="TXM55" s="609"/>
      <c r="TXN55" s="609"/>
      <c r="TXO55" s="609"/>
      <c r="TXP55" s="609"/>
      <c r="TXQ55" s="609"/>
      <c r="TXR55" s="609"/>
      <c r="TXS55" s="609"/>
      <c r="TXT55" s="609"/>
      <c r="TXU55" s="609"/>
      <c r="TXV55" s="609"/>
      <c r="TXW55" s="609"/>
      <c r="TXX55" s="609"/>
      <c r="TXY55" s="609"/>
      <c r="TXZ55" s="609"/>
      <c r="TYA55" s="609"/>
      <c r="TYB55" s="609"/>
      <c r="TYC55" s="609"/>
      <c r="TYD55" s="609"/>
      <c r="TYE55" s="609"/>
      <c r="TYF55" s="609"/>
      <c r="TYG55" s="609"/>
      <c r="TYH55" s="609"/>
      <c r="TYI55" s="609"/>
      <c r="TYJ55" s="609"/>
      <c r="TYK55" s="609"/>
      <c r="TYL55" s="609"/>
      <c r="TYM55" s="609"/>
      <c r="TYN55" s="609"/>
      <c r="TYO55" s="609"/>
      <c r="TYP55" s="609"/>
      <c r="TYQ55" s="609"/>
      <c r="TYR55" s="609"/>
      <c r="TYS55" s="609"/>
      <c r="TYT55" s="609"/>
      <c r="TYU55" s="609"/>
      <c r="TYV55" s="609"/>
      <c r="TYW55" s="609"/>
      <c r="TYX55" s="609"/>
      <c r="TYY55" s="609"/>
      <c r="TYZ55" s="609"/>
      <c r="TZA55" s="609"/>
      <c r="TZB55" s="609"/>
      <c r="TZC55" s="609"/>
      <c r="TZD55" s="609"/>
      <c r="TZE55" s="609"/>
      <c r="TZF55" s="609"/>
      <c r="TZG55" s="609"/>
      <c r="TZH55" s="609"/>
      <c r="TZI55" s="609"/>
      <c r="TZJ55" s="609"/>
      <c r="TZK55" s="609"/>
      <c r="TZL55" s="609"/>
      <c r="TZM55" s="609"/>
      <c r="TZN55" s="609"/>
      <c r="TZO55" s="609"/>
      <c r="TZP55" s="609"/>
      <c r="TZQ55" s="609"/>
      <c r="TZR55" s="609"/>
      <c r="TZS55" s="609"/>
      <c r="TZT55" s="609"/>
      <c r="TZU55" s="609"/>
      <c r="TZV55" s="609"/>
      <c r="TZW55" s="609"/>
      <c r="TZX55" s="609"/>
      <c r="TZY55" s="609"/>
      <c r="TZZ55" s="609"/>
      <c r="UAA55" s="609"/>
      <c r="UAB55" s="609"/>
      <c r="UAC55" s="609"/>
      <c r="UAD55" s="609"/>
      <c r="UAE55" s="609"/>
      <c r="UAF55" s="609"/>
      <c r="UAG55" s="609"/>
      <c r="UAH55" s="609"/>
      <c r="UAI55" s="609"/>
      <c r="UAJ55" s="609"/>
      <c r="UAK55" s="609"/>
      <c r="UAL55" s="609"/>
      <c r="UAM55" s="609"/>
      <c r="UAN55" s="609"/>
      <c r="UAO55" s="609"/>
      <c r="UAP55" s="609"/>
      <c r="UAQ55" s="609"/>
      <c r="UAR55" s="609"/>
      <c r="UAS55" s="609"/>
      <c r="UAT55" s="609"/>
      <c r="UAU55" s="609"/>
      <c r="UAV55" s="609"/>
      <c r="UAW55" s="609"/>
      <c r="UAX55" s="609"/>
      <c r="UAY55" s="609"/>
      <c r="UAZ55" s="609"/>
      <c r="UBA55" s="609"/>
      <c r="UBB55" s="609"/>
      <c r="UBC55" s="609"/>
      <c r="UBD55" s="609"/>
      <c r="UBE55" s="609"/>
      <c r="UBF55" s="609"/>
      <c r="UBG55" s="609"/>
      <c r="UBH55" s="609"/>
      <c r="UBI55" s="609"/>
      <c r="UBJ55" s="609"/>
      <c r="UBK55" s="609"/>
      <c r="UBL55" s="609"/>
      <c r="UBM55" s="609"/>
      <c r="UBN55" s="609"/>
      <c r="UBO55" s="609"/>
      <c r="UBP55" s="609"/>
      <c r="UBQ55" s="609"/>
      <c r="UBR55" s="609"/>
      <c r="UBS55" s="609"/>
      <c r="UBT55" s="609"/>
      <c r="UBU55" s="609"/>
      <c r="UBV55" s="609"/>
      <c r="UBW55" s="609"/>
      <c r="UBX55" s="609"/>
      <c r="UBY55" s="609"/>
      <c r="UBZ55" s="609"/>
      <c r="UCA55" s="609"/>
      <c r="UCB55" s="609"/>
      <c r="UCC55" s="609"/>
      <c r="UCD55" s="609"/>
      <c r="UCE55" s="609"/>
      <c r="UCF55" s="609"/>
      <c r="UCG55" s="609"/>
      <c r="UCH55" s="609"/>
      <c r="UCI55" s="609"/>
      <c r="UCJ55" s="609"/>
      <c r="UCK55" s="609"/>
      <c r="UCL55" s="609"/>
      <c r="UCM55" s="609"/>
      <c r="UCN55" s="609"/>
      <c r="UCO55" s="609"/>
      <c r="UCP55" s="609"/>
      <c r="UCQ55" s="609"/>
      <c r="UCR55" s="609"/>
      <c r="UCS55" s="609"/>
      <c r="UCT55" s="609"/>
      <c r="UCU55" s="609"/>
      <c r="UCV55" s="609"/>
      <c r="UCW55" s="609"/>
      <c r="UCX55" s="609"/>
      <c r="UCY55" s="609"/>
      <c r="UCZ55" s="609"/>
      <c r="UDA55" s="609"/>
      <c r="UDB55" s="609"/>
      <c r="UDC55" s="609"/>
      <c r="UDD55" s="609"/>
      <c r="UDE55" s="609"/>
      <c r="UDF55" s="609"/>
      <c r="UDG55" s="609"/>
      <c r="UDH55" s="609"/>
      <c r="UDI55" s="609"/>
      <c r="UDJ55" s="609"/>
      <c r="UDK55" s="609"/>
      <c r="UDL55" s="609"/>
      <c r="UDM55" s="609"/>
      <c r="UDN55" s="609"/>
      <c r="UDO55" s="609"/>
      <c r="UDP55" s="609"/>
      <c r="UDQ55" s="609"/>
      <c r="UDR55" s="609"/>
      <c r="UDS55" s="609"/>
      <c r="UDT55" s="609"/>
      <c r="UDU55" s="609"/>
      <c r="UDV55" s="609"/>
      <c r="UDW55" s="609"/>
      <c r="UDX55" s="609"/>
      <c r="UDY55" s="609"/>
      <c r="UDZ55" s="609"/>
      <c r="UEA55" s="609"/>
      <c r="UEB55" s="609"/>
      <c r="UEC55" s="609"/>
      <c r="UED55" s="609"/>
      <c r="UEE55" s="609"/>
      <c r="UEF55" s="609"/>
      <c r="UEG55" s="609"/>
      <c r="UEH55" s="609"/>
      <c r="UEI55" s="609"/>
      <c r="UEJ55" s="609"/>
      <c r="UEK55" s="609"/>
      <c r="UEL55" s="609"/>
      <c r="UEM55" s="609"/>
      <c r="UEN55" s="609"/>
      <c r="UEO55" s="609"/>
      <c r="UEP55" s="609"/>
      <c r="UEQ55" s="609"/>
      <c r="UER55" s="609"/>
      <c r="UES55" s="609"/>
      <c r="UET55" s="609"/>
      <c r="UEU55" s="609"/>
      <c r="UEV55" s="609"/>
      <c r="UEW55" s="609"/>
      <c r="UEX55" s="609"/>
      <c r="UEY55" s="609"/>
      <c r="UEZ55" s="609"/>
      <c r="UFA55" s="609"/>
      <c r="UFB55" s="609"/>
      <c r="UFC55" s="609"/>
      <c r="UFD55" s="609"/>
      <c r="UFE55" s="609"/>
      <c r="UFF55" s="609"/>
      <c r="UFG55" s="609"/>
      <c r="UFH55" s="609"/>
      <c r="UFI55" s="609"/>
      <c r="UFJ55" s="609"/>
      <c r="UFK55" s="609"/>
      <c r="UFL55" s="609"/>
      <c r="UFM55" s="609"/>
      <c r="UFN55" s="609"/>
      <c r="UFO55" s="609"/>
      <c r="UFP55" s="609"/>
      <c r="UFQ55" s="609"/>
      <c r="UFR55" s="609"/>
      <c r="UFS55" s="609"/>
      <c r="UFT55" s="609"/>
      <c r="UFU55" s="609"/>
      <c r="UFV55" s="609"/>
      <c r="UFW55" s="609"/>
      <c r="UFX55" s="609"/>
      <c r="UFY55" s="609"/>
      <c r="UFZ55" s="609"/>
      <c r="UGA55" s="609"/>
      <c r="UGB55" s="609"/>
      <c r="UGC55" s="609"/>
      <c r="UGD55" s="609"/>
      <c r="UGE55" s="609"/>
      <c r="UGF55" s="609"/>
      <c r="UGG55" s="609"/>
      <c r="UGH55" s="609"/>
      <c r="UGI55" s="609"/>
      <c r="UGJ55" s="609"/>
      <c r="UGK55" s="609"/>
      <c r="UGL55" s="609"/>
      <c r="UGM55" s="609"/>
      <c r="UGN55" s="609"/>
      <c r="UGO55" s="609"/>
      <c r="UGP55" s="609"/>
      <c r="UGQ55" s="609"/>
      <c r="UGR55" s="609"/>
      <c r="UGS55" s="609"/>
      <c r="UGT55" s="609"/>
      <c r="UGU55" s="609"/>
      <c r="UGV55" s="609"/>
      <c r="UGW55" s="609"/>
      <c r="UGX55" s="609"/>
      <c r="UGY55" s="609"/>
      <c r="UGZ55" s="609"/>
      <c r="UHA55" s="609"/>
      <c r="UHB55" s="609"/>
      <c r="UHC55" s="609"/>
      <c r="UHD55" s="609"/>
      <c r="UHE55" s="609"/>
      <c r="UHF55" s="609"/>
      <c r="UHG55" s="609"/>
      <c r="UHH55" s="609"/>
      <c r="UHI55" s="609"/>
      <c r="UHJ55" s="609"/>
      <c r="UHK55" s="609"/>
      <c r="UHL55" s="609"/>
      <c r="UHM55" s="609"/>
      <c r="UHN55" s="609"/>
      <c r="UHO55" s="609"/>
      <c r="UHP55" s="609"/>
      <c r="UHQ55" s="609"/>
      <c r="UHR55" s="609"/>
      <c r="UHS55" s="609"/>
      <c r="UHT55" s="609"/>
      <c r="UHU55" s="609"/>
      <c r="UHV55" s="609"/>
      <c r="UHW55" s="609"/>
      <c r="UHX55" s="609"/>
      <c r="UHY55" s="609"/>
      <c r="UHZ55" s="609"/>
      <c r="UIA55" s="609"/>
      <c r="UIB55" s="609"/>
      <c r="UIC55" s="609"/>
      <c r="UID55" s="609"/>
      <c r="UIE55" s="609"/>
      <c r="UIF55" s="609"/>
      <c r="UIG55" s="609"/>
      <c r="UIH55" s="609"/>
      <c r="UII55" s="609"/>
      <c r="UIJ55" s="609"/>
      <c r="UIK55" s="609"/>
      <c r="UIL55" s="609"/>
      <c r="UIM55" s="609"/>
      <c r="UIN55" s="609"/>
      <c r="UIO55" s="609"/>
      <c r="UIP55" s="609"/>
      <c r="UIQ55" s="609"/>
      <c r="UIR55" s="609"/>
      <c r="UIS55" s="609"/>
      <c r="UIT55" s="609"/>
      <c r="UIU55" s="609"/>
      <c r="UIV55" s="609"/>
      <c r="UIW55" s="609"/>
      <c r="UIX55" s="609"/>
      <c r="UIY55" s="609"/>
      <c r="UIZ55" s="609"/>
      <c r="UJA55" s="609"/>
      <c r="UJB55" s="609"/>
      <c r="UJC55" s="609"/>
      <c r="UJD55" s="609"/>
      <c r="UJE55" s="609"/>
      <c r="UJF55" s="609"/>
      <c r="UJG55" s="609"/>
      <c r="UJH55" s="609"/>
      <c r="UJI55" s="609"/>
      <c r="UJJ55" s="609"/>
      <c r="UJK55" s="609"/>
      <c r="UJL55" s="609"/>
      <c r="UJM55" s="609"/>
      <c r="UJN55" s="609"/>
      <c r="UJO55" s="609"/>
      <c r="UJP55" s="609"/>
      <c r="UJQ55" s="609"/>
      <c r="UJR55" s="609"/>
      <c r="UJS55" s="609"/>
      <c r="UJT55" s="609"/>
      <c r="UJU55" s="609"/>
      <c r="UJV55" s="609"/>
      <c r="UJW55" s="609"/>
      <c r="UJX55" s="609"/>
      <c r="UJY55" s="609"/>
      <c r="UJZ55" s="609"/>
      <c r="UKA55" s="609"/>
      <c r="UKB55" s="609"/>
      <c r="UKC55" s="609"/>
      <c r="UKD55" s="609"/>
      <c r="UKE55" s="609"/>
      <c r="UKF55" s="609"/>
      <c r="UKG55" s="609"/>
      <c r="UKH55" s="609"/>
      <c r="UKI55" s="609"/>
      <c r="UKJ55" s="609"/>
      <c r="UKK55" s="609"/>
      <c r="UKL55" s="609"/>
      <c r="UKM55" s="609"/>
      <c r="UKN55" s="609"/>
      <c r="UKO55" s="609"/>
      <c r="UKP55" s="609"/>
      <c r="UKQ55" s="609"/>
      <c r="UKR55" s="609"/>
      <c r="UKS55" s="609"/>
      <c r="UKT55" s="609"/>
      <c r="UKU55" s="609"/>
      <c r="UKV55" s="609"/>
      <c r="UKW55" s="609"/>
      <c r="UKX55" s="609"/>
      <c r="UKY55" s="609"/>
      <c r="UKZ55" s="609"/>
      <c r="ULA55" s="609"/>
      <c r="ULB55" s="609"/>
      <c r="ULC55" s="609"/>
      <c r="ULD55" s="609"/>
      <c r="ULE55" s="609"/>
      <c r="ULF55" s="609"/>
      <c r="ULG55" s="609"/>
      <c r="ULH55" s="609"/>
      <c r="ULI55" s="609"/>
      <c r="ULJ55" s="609"/>
      <c r="ULK55" s="609"/>
      <c r="ULL55" s="609"/>
      <c r="ULM55" s="609"/>
      <c r="ULN55" s="609"/>
      <c r="ULO55" s="609"/>
      <c r="ULP55" s="609"/>
      <c r="ULQ55" s="609"/>
      <c r="ULR55" s="609"/>
      <c r="ULS55" s="609"/>
      <c r="ULT55" s="609"/>
      <c r="ULU55" s="609"/>
      <c r="ULV55" s="609"/>
      <c r="ULW55" s="609"/>
      <c r="ULX55" s="609"/>
      <c r="ULY55" s="609"/>
      <c r="ULZ55" s="609"/>
      <c r="UMA55" s="609"/>
      <c r="UMB55" s="609"/>
      <c r="UMC55" s="609"/>
      <c r="UMD55" s="609"/>
      <c r="UME55" s="609"/>
      <c r="UMF55" s="609"/>
      <c r="UMG55" s="609"/>
      <c r="UMH55" s="609"/>
      <c r="UMI55" s="609"/>
      <c r="UMJ55" s="609"/>
      <c r="UMK55" s="609"/>
      <c r="UML55" s="609"/>
      <c r="UMM55" s="609"/>
      <c r="UMN55" s="609"/>
      <c r="UMO55" s="609"/>
      <c r="UMP55" s="609"/>
      <c r="UMQ55" s="609"/>
      <c r="UMR55" s="609"/>
      <c r="UMS55" s="609"/>
      <c r="UMT55" s="609"/>
      <c r="UMU55" s="609"/>
      <c r="UMV55" s="609"/>
      <c r="UMW55" s="609"/>
      <c r="UMX55" s="609"/>
      <c r="UMY55" s="609"/>
      <c r="UMZ55" s="609"/>
      <c r="UNA55" s="609"/>
      <c r="UNB55" s="609"/>
      <c r="UNC55" s="609"/>
      <c r="UND55" s="609"/>
      <c r="UNE55" s="609"/>
      <c r="UNF55" s="609"/>
      <c r="UNG55" s="609"/>
      <c r="UNH55" s="609"/>
      <c r="UNI55" s="609"/>
      <c r="UNJ55" s="609"/>
      <c r="UNK55" s="609"/>
      <c r="UNL55" s="609"/>
      <c r="UNM55" s="609"/>
      <c r="UNN55" s="609"/>
      <c r="UNO55" s="609"/>
      <c r="UNP55" s="609"/>
      <c r="UNQ55" s="609"/>
      <c r="UNR55" s="609"/>
      <c r="UNS55" s="609"/>
      <c r="UNT55" s="609"/>
      <c r="UNU55" s="609"/>
      <c r="UNV55" s="609"/>
      <c r="UNW55" s="609"/>
      <c r="UNX55" s="609"/>
      <c r="UNY55" s="609"/>
      <c r="UNZ55" s="609"/>
      <c r="UOA55" s="609"/>
      <c r="UOB55" s="609"/>
      <c r="UOC55" s="609"/>
      <c r="UOD55" s="609"/>
      <c r="UOE55" s="609"/>
      <c r="UOF55" s="609"/>
      <c r="UOG55" s="609"/>
      <c r="UOH55" s="609"/>
      <c r="UOI55" s="609"/>
      <c r="UOJ55" s="609"/>
      <c r="UOK55" s="609"/>
      <c r="UOL55" s="609"/>
      <c r="UOM55" s="609"/>
      <c r="UON55" s="609"/>
      <c r="UOO55" s="609"/>
      <c r="UOP55" s="609"/>
      <c r="UOQ55" s="609"/>
      <c r="UOR55" s="609"/>
      <c r="UOS55" s="609"/>
      <c r="UOT55" s="609"/>
      <c r="UOU55" s="609"/>
      <c r="UOV55" s="609"/>
      <c r="UOW55" s="609"/>
      <c r="UOX55" s="609"/>
      <c r="UOY55" s="609"/>
      <c r="UOZ55" s="609"/>
      <c r="UPA55" s="609"/>
      <c r="UPB55" s="609"/>
      <c r="UPC55" s="609"/>
      <c r="UPD55" s="609"/>
      <c r="UPE55" s="609"/>
      <c r="UPF55" s="609"/>
      <c r="UPG55" s="609"/>
      <c r="UPH55" s="609"/>
      <c r="UPI55" s="609"/>
      <c r="UPJ55" s="609"/>
      <c r="UPK55" s="609"/>
      <c r="UPL55" s="609"/>
      <c r="UPM55" s="609"/>
      <c r="UPN55" s="609"/>
      <c r="UPO55" s="609"/>
      <c r="UPP55" s="609"/>
      <c r="UPQ55" s="609"/>
      <c r="UPR55" s="609"/>
      <c r="UPS55" s="609"/>
      <c r="UPT55" s="609"/>
      <c r="UPU55" s="609"/>
      <c r="UPV55" s="609"/>
      <c r="UPW55" s="609"/>
      <c r="UPX55" s="609"/>
      <c r="UPY55" s="609"/>
      <c r="UPZ55" s="609"/>
      <c r="UQA55" s="609"/>
      <c r="UQB55" s="609"/>
      <c r="UQC55" s="609"/>
      <c r="UQD55" s="609"/>
      <c r="UQE55" s="609"/>
      <c r="UQF55" s="609"/>
      <c r="UQG55" s="609"/>
      <c r="UQH55" s="609"/>
      <c r="UQI55" s="609"/>
      <c r="UQJ55" s="609"/>
      <c r="UQK55" s="609"/>
      <c r="UQL55" s="609"/>
      <c r="UQM55" s="609"/>
      <c r="UQN55" s="609"/>
      <c r="UQO55" s="609"/>
      <c r="UQP55" s="609"/>
      <c r="UQQ55" s="609"/>
      <c r="UQR55" s="609"/>
      <c r="UQS55" s="609"/>
      <c r="UQT55" s="609"/>
      <c r="UQU55" s="609"/>
      <c r="UQV55" s="609"/>
      <c r="UQW55" s="609"/>
      <c r="UQX55" s="609"/>
      <c r="UQY55" s="609"/>
      <c r="UQZ55" s="609"/>
      <c r="URA55" s="609"/>
      <c r="URB55" s="609"/>
      <c r="URC55" s="609"/>
      <c r="URD55" s="609"/>
      <c r="URE55" s="609"/>
      <c r="URF55" s="609"/>
      <c r="URG55" s="609"/>
      <c r="URH55" s="609"/>
      <c r="URI55" s="609"/>
      <c r="URJ55" s="609"/>
      <c r="URK55" s="609"/>
      <c r="URL55" s="609"/>
      <c r="URM55" s="609"/>
      <c r="URN55" s="609"/>
      <c r="URO55" s="609"/>
      <c r="URP55" s="609"/>
      <c r="URQ55" s="609"/>
      <c r="URR55" s="609"/>
      <c r="URS55" s="609"/>
      <c r="URT55" s="609"/>
      <c r="URU55" s="609"/>
      <c r="URV55" s="609"/>
      <c r="URW55" s="609"/>
      <c r="URX55" s="609"/>
      <c r="URY55" s="609"/>
      <c r="URZ55" s="609"/>
      <c r="USA55" s="609"/>
      <c r="USB55" s="609"/>
      <c r="USC55" s="609"/>
      <c r="USD55" s="609"/>
      <c r="USE55" s="609"/>
      <c r="USF55" s="609"/>
      <c r="USG55" s="609"/>
      <c r="USH55" s="609"/>
      <c r="USI55" s="609"/>
      <c r="USJ55" s="609"/>
      <c r="USK55" s="609"/>
      <c r="USL55" s="609"/>
      <c r="USM55" s="609"/>
      <c r="USN55" s="609"/>
      <c r="USO55" s="609"/>
      <c r="USP55" s="609"/>
      <c r="USQ55" s="609"/>
      <c r="USR55" s="609"/>
      <c r="USS55" s="609"/>
      <c r="UST55" s="609"/>
      <c r="USU55" s="609"/>
      <c r="USV55" s="609"/>
      <c r="USW55" s="609"/>
      <c r="USX55" s="609"/>
      <c r="USY55" s="609"/>
      <c r="USZ55" s="609"/>
      <c r="UTA55" s="609"/>
      <c r="UTB55" s="609"/>
      <c r="UTC55" s="609"/>
      <c r="UTD55" s="609"/>
      <c r="UTE55" s="609"/>
      <c r="UTF55" s="609"/>
      <c r="UTG55" s="609"/>
      <c r="UTH55" s="609"/>
      <c r="UTI55" s="609"/>
      <c r="UTJ55" s="609"/>
      <c r="UTK55" s="609"/>
      <c r="UTL55" s="609"/>
      <c r="UTM55" s="609"/>
      <c r="UTN55" s="609"/>
      <c r="UTO55" s="609"/>
      <c r="UTP55" s="609"/>
      <c r="UTQ55" s="609"/>
      <c r="UTR55" s="609"/>
      <c r="UTS55" s="609"/>
      <c r="UTT55" s="609"/>
      <c r="UTU55" s="609"/>
      <c r="UTV55" s="609"/>
      <c r="UTW55" s="609"/>
      <c r="UTX55" s="609"/>
      <c r="UTY55" s="609"/>
      <c r="UTZ55" s="609"/>
      <c r="UUA55" s="609"/>
      <c r="UUB55" s="609"/>
      <c r="UUC55" s="609"/>
      <c r="UUD55" s="609"/>
      <c r="UUE55" s="609"/>
      <c r="UUF55" s="609"/>
      <c r="UUG55" s="609"/>
      <c r="UUH55" s="609"/>
      <c r="UUI55" s="609"/>
      <c r="UUJ55" s="609"/>
      <c r="UUK55" s="609"/>
      <c r="UUL55" s="609"/>
      <c r="UUM55" s="609"/>
      <c r="UUN55" s="609"/>
      <c r="UUO55" s="609"/>
      <c r="UUP55" s="609"/>
      <c r="UUQ55" s="609"/>
      <c r="UUR55" s="609"/>
      <c r="UUS55" s="609"/>
      <c r="UUT55" s="609"/>
      <c r="UUU55" s="609"/>
      <c r="UUV55" s="609"/>
      <c r="UUW55" s="609"/>
      <c r="UUX55" s="609"/>
      <c r="UUY55" s="609"/>
      <c r="UUZ55" s="609"/>
      <c r="UVA55" s="609"/>
      <c r="UVB55" s="609"/>
      <c r="UVC55" s="609"/>
      <c r="UVD55" s="609"/>
      <c r="UVE55" s="609"/>
      <c r="UVF55" s="609"/>
      <c r="UVG55" s="609"/>
      <c r="UVH55" s="609"/>
      <c r="UVI55" s="609"/>
      <c r="UVJ55" s="609"/>
      <c r="UVK55" s="609"/>
      <c r="UVL55" s="609"/>
      <c r="UVM55" s="609"/>
      <c r="UVN55" s="609"/>
      <c r="UVO55" s="609"/>
      <c r="UVP55" s="609"/>
      <c r="UVQ55" s="609"/>
      <c r="UVR55" s="609"/>
      <c r="UVS55" s="609"/>
      <c r="UVT55" s="609"/>
      <c r="UVU55" s="609"/>
      <c r="UVV55" s="609"/>
      <c r="UVW55" s="609"/>
      <c r="UVX55" s="609"/>
      <c r="UVY55" s="609"/>
      <c r="UVZ55" s="609"/>
      <c r="UWA55" s="609"/>
      <c r="UWB55" s="609"/>
      <c r="UWC55" s="609"/>
      <c r="UWD55" s="609"/>
      <c r="UWE55" s="609"/>
      <c r="UWF55" s="609"/>
      <c r="UWG55" s="609"/>
      <c r="UWH55" s="609"/>
      <c r="UWI55" s="609"/>
      <c r="UWJ55" s="609"/>
      <c r="UWK55" s="609"/>
      <c r="UWL55" s="609"/>
      <c r="UWM55" s="609"/>
      <c r="UWN55" s="609"/>
      <c r="UWO55" s="609"/>
      <c r="UWP55" s="609"/>
      <c r="UWQ55" s="609"/>
      <c r="UWR55" s="609"/>
      <c r="UWS55" s="609"/>
      <c r="UWT55" s="609"/>
      <c r="UWU55" s="609"/>
      <c r="UWV55" s="609"/>
      <c r="UWW55" s="609"/>
      <c r="UWX55" s="609"/>
      <c r="UWY55" s="609"/>
      <c r="UWZ55" s="609"/>
      <c r="UXA55" s="609"/>
      <c r="UXB55" s="609"/>
      <c r="UXC55" s="609"/>
      <c r="UXD55" s="609"/>
      <c r="UXE55" s="609"/>
      <c r="UXF55" s="609"/>
      <c r="UXG55" s="609"/>
      <c r="UXH55" s="609"/>
      <c r="UXI55" s="609"/>
      <c r="UXJ55" s="609"/>
      <c r="UXK55" s="609"/>
      <c r="UXL55" s="609"/>
      <c r="UXM55" s="609"/>
      <c r="UXN55" s="609"/>
      <c r="UXO55" s="609"/>
      <c r="UXP55" s="609"/>
      <c r="UXQ55" s="609"/>
      <c r="UXR55" s="609"/>
      <c r="UXS55" s="609"/>
      <c r="UXT55" s="609"/>
      <c r="UXU55" s="609"/>
      <c r="UXV55" s="609"/>
      <c r="UXW55" s="609"/>
      <c r="UXX55" s="609"/>
      <c r="UXY55" s="609"/>
      <c r="UXZ55" s="609"/>
      <c r="UYA55" s="609"/>
      <c r="UYB55" s="609"/>
      <c r="UYC55" s="609"/>
      <c r="UYD55" s="609"/>
      <c r="UYE55" s="609"/>
      <c r="UYF55" s="609"/>
      <c r="UYG55" s="609"/>
      <c r="UYH55" s="609"/>
      <c r="UYI55" s="609"/>
      <c r="UYJ55" s="609"/>
      <c r="UYK55" s="609"/>
      <c r="UYL55" s="609"/>
      <c r="UYM55" s="609"/>
      <c r="UYN55" s="609"/>
      <c r="UYO55" s="609"/>
      <c r="UYP55" s="609"/>
      <c r="UYQ55" s="609"/>
      <c r="UYR55" s="609"/>
      <c r="UYS55" s="609"/>
      <c r="UYT55" s="609"/>
      <c r="UYU55" s="609"/>
      <c r="UYV55" s="609"/>
      <c r="UYW55" s="609"/>
      <c r="UYX55" s="609"/>
      <c r="UYY55" s="609"/>
      <c r="UYZ55" s="609"/>
      <c r="UZA55" s="609"/>
      <c r="UZB55" s="609"/>
      <c r="UZC55" s="609"/>
      <c r="UZD55" s="609"/>
      <c r="UZE55" s="609"/>
      <c r="UZF55" s="609"/>
      <c r="UZG55" s="609"/>
      <c r="UZH55" s="609"/>
      <c r="UZI55" s="609"/>
      <c r="UZJ55" s="609"/>
      <c r="UZK55" s="609"/>
      <c r="UZL55" s="609"/>
      <c r="UZM55" s="609"/>
      <c r="UZN55" s="609"/>
      <c r="UZO55" s="609"/>
      <c r="UZP55" s="609"/>
      <c r="UZQ55" s="609"/>
      <c r="UZR55" s="609"/>
      <c r="UZS55" s="609"/>
      <c r="UZT55" s="609"/>
      <c r="UZU55" s="609"/>
      <c r="UZV55" s="609"/>
      <c r="UZW55" s="609"/>
      <c r="UZX55" s="609"/>
      <c r="UZY55" s="609"/>
      <c r="UZZ55" s="609"/>
      <c r="VAA55" s="609"/>
      <c r="VAB55" s="609"/>
      <c r="VAC55" s="609"/>
      <c r="VAD55" s="609"/>
      <c r="VAE55" s="609"/>
      <c r="VAF55" s="609"/>
      <c r="VAG55" s="609"/>
      <c r="VAH55" s="609"/>
      <c r="VAI55" s="609"/>
      <c r="VAJ55" s="609"/>
      <c r="VAK55" s="609"/>
      <c r="VAL55" s="609"/>
      <c r="VAM55" s="609"/>
      <c r="VAN55" s="609"/>
      <c r="VAO55" s="609"/>
      <c r="VAP55" s="609"/>
      <c r="VAQ55" s="609"/>
      <c r="VAR55" s="609"/>
      <c r="VAS55" s="609"/>
      <c r="VAT55" s="609"/>
      <c r="VAU55" s="609"/>
      <c r="VAV55" s="609"/>
      <c r="VAW55" s="609"/>
      <c r="VAX55" s="609"/>
      <c r="VAY55" s="609"/>
      <c r="VAZ55" s="609"/>
      <c r="VBA55" s="609"/>
      <c r="VBB55" s="609"/>
      <c r="VBC55" s="609"/>
      <c r="VBD55" s="609"/>
      <c r="VBE55" s="609"/>
      <c r="VBF55" s="609"/>
      <c r="VBG55" s="609"/>
      <c r="VBH55" s="609"/>
      <c r="VBI55" s="609"/>
      <c r="VBJ55" s="609"/>
      <c r="VBK55" s="609"/>
      <c r="VBL55" s="609"/>
      <c r="VBM55" s="609"/>
      <c r="VBN55" s="609"/>
      <c r="VBO55" s="609"/>
      <c r="VBP55" s="609"/>
      <c r="VBQ55" s="609"/>
      <c r="VBR55" s="609"/>
      <c r="VBS55" s="609"/>
      <c r="VBT55" s="609"/>
      <c r="VBU55" s="609"/>
      <c r="VBV55" s="609"/>
      <c r="VBW55" s="609"/>
      <c r="VBX55" s="609"/>
      <c r="VBY55" s="609"/>
      <c r="VBZ55" s="609"/>
      <c r="VCA55" s="609"/>
      <c r="VCB55" s="609"/>
      <c r="VCC55" s="609"/>
      <c r="VCD55" s="609"/>
      <c r="VCE55" s="609"/>
      <c r="VCF55" s="609"/>
      <c r="VCG55" s="609"/>
      <c r="VCH55" s="609"/>
      <c r="VCI55" s="609"/>
      <c r="VCJ55" s="609"/>
      <c r="VCK55" s="609"/>
      <c r="VCL55" s="609"/>
      <c r="VCM55" s="609"/>
      <c r="VCN55" s="609"/>
      <c r="VCO55" s="609"/>
      <c r="VCP55" s="609"/>
      <c r="VCQ55" s="609"/>
      <c r="VCR55" s="609"/>
      <c r="VCS55" s="609"/>
      <c r="VCT55" s="609"/>
      <c r="VCU55" s="609"/>
      <c r="VCV55" s="609"/>
      <c r="VCW55" s="609"/>
      <c r="VCX55" s="609"/>
      <c r="VCY55" s="609"/>
      <c r="VCZ55" s="609"/>
      <c r="VDA55" s="609"/>
      <c r="VDB55" s="609"/>
      <c r="VDC55" s="609"/>
      <c r="VDD55" s="609"/>
      <c r="VDE55" s="609"/>
      <c r="VDF55" s="609"/>
      <c r="VDG55" s="609"/>
      <c r="VDH55" s="609"/>
      <c r="VDI55" s="609"/>
      <c r="VDJ55" s="609"/>
      <c r="VDK55" s="609"/>
      <c r="VDL55" s="609"/>
      <c r="VDM55" s="609"/>
      <c r="VDN55" s="609"/>
      <c r="VDO55" s="609"/>
      <c r="VDP55" s="609"/>
      <c r="VDQ55" s="609"/>
      <c r="VDR55" s="609"/>
      <c r="VDS55" s="609"/>
      <c r="VDT55" s="609"/>
      <c r="VDU55" s="609"/>
      <c r="VDV55" s="609"/>
      <c r="VDW55" s="609"/>
      <c r="VDX55" s="609"/>
      <c r="VDY55" s="609"/>
      <c r="VDZ55" s="609"/>
      <c r="VEA55" s="609"/>
      <c r="VEB55" s="609"/>
      <c r="VEC55" s="609"/>
      <c r="VED55" s="609"/>
      <c r="VEE55" s="609"/>
      <c r="VEF55" s="609"/>
      <c r="VEG55" s="609"/>
      <c r="VEH55" s="609"/>
      <c r="VEI55" s="609"/>
      <c r="VEJ55" s="609"/>
      <c r="VEK55" s="609"/>
      <c r="VEL55" s="609"/>
      <c r="VEM55" s="609"/>
      <c r="VEN55" s="609"/>
      <c r="VEO55" s="609"/>
      <c r="VEP55" s="609"/>
      <c r="VEQ55" s="609"/>
      <c r="VER55" s="609"/>
      <c r="VES55" s="609"/>
      <c r="VET55" s="609"/>
      <c r="VEU55" s="609"/>
      <c r="VEV55" s="609"/>
      <c r="VEW55" s="609"/>
      <c r="VEX55" s="609"/>
      <c r="VEY55" s="609"/>
      <c r="VEZ55" s="609"/>
      <c r="VFA55" s="609"/>
      <c r="VFB55" s="609"/>
      <c r="VFC55" s="609"/>
      <c r="VFD55" s="609"/>
      <c r="VFE55" s="609"/>
      <c r="VFF55" s="609"/>
      <c r="VFG55" s="609"/>
      <c r="VFH55" s="609"/>
      <c r="VFI55" s="609"/>
      <c r="VFJ55" s="609"/>
      <c r="VFK55" s="609"/>
      <c r="VFL55" s="609"/>
      <c r="VFM55" s="609"/>
      <c r="VFN55" s="609"/>
      <c r="VFO55" s="609"/>
      <c r="VFP55" s="609"/>
      <c r="VFQ55" s="609"/>
      <c r="VFR55" s="609"/>
      <c r="VFS55" s="609"/>
      <c r="VFT55" s="609"/>
      <c r="VFU55" s="609"/>
      <c r="VFV55" s="609"/>
      <c r="VFW55" s="609"/>
      <c r="VFX55" s="609"/>
      <c r="VFY55" s="609"/>
      <c r="VFZ55" s="609"/>
      <c r="VGA55" s="609"/>
      <c r="VGB55" s="609"/>
      <c r="VGC55" s="609"/>
      <c r="VGD55" s="609"/>
      <c r="VGE55" s="609"/>
      <c r="VGF55" s="609"/>
      <c r="VGG55" s="609"/>
      <c r="VGH55" s="609"/>
      <c r="VGI55" s="609"/>
      <c r="VGJ55" s="609"/>
      <c r="VGK55" s="609"/>
      <c r="VGL55" s="609"/>
      <c r="VGM55" s="609"/>
      <c r="VGN55" s="609"/>
      <c r="VGO55" s="609"/>
      <c r="VGP55" s="609"/>
      <c r="VGQ55" s="609"/>
      <c r="VGR55" s="609"/>
      <c r="VGS55" s="609"/>
      <c r="VGT55" s="609"/>
      <c r="VGU55" s="609"/>
      <c r="VGV55" s="609"/>
      <c r="VGW55" s="609"/>
      <c r="VGX55" s="609"/>
      <c r="VGY55" s="609"/>
      <c r="VGZ55" s="609"/>
      <c r="VHA55" s="609"/>
      <c r="VHB55" s="609"/>
      <c r="VHC55" s="609"/>
      <c r="VHD55" s="609"/>
      <c r="VHE55" s="609"/>
      <c r="VHF55" s="609"/>
      <c r="VHG55" s="609"/>
      <c r="VHH55" s="609"/>
      <c r="VHI55" s="609"/>
      <c r="VHJ55" s="609"/>
      <c r="VHK55" s="609"/>
      <c r="VHL55" s="609"/>
      <c r="VHM55" s="609"/>
      <c r="VHN55" s="609"/>
      <c r="VHO55" s="609"/>
      <c r="VHP55" s="609"/>
      <c r="VHQ55" s="609"/>
      <c r="VHR55" s="609"/>
      <c r="VHS55" s="609"/>
      <c r="VHT55" s="609"/>
      <c r="VHU55" s="609"/>
      <c r="VHV55" s="609"/>
      <c r="VHW55" s="609"/>
      <c r="VHX55" s="609"/>
      <c r="VHY55" s="609"/>
      <c r="VHZ55" s="609"/>
      <c r="VIA55" s="609"/>
      <c r="VIB55" s="609"/>
      <c r="VIC55" s="609"/>
      <c r="VID55" s="609"/>
      <c r="VIE55" s="609"/>
      <c r="VIF55" s="609"/>
      <c r="VIG55" s="609"/>
      <c r="VIH55" s="609"/>
      <c r="VII55" s="609"/>
      <c r="VIJ55" s="609"/>
      <c r="VIK55" s="609"/>
      <c r="VIL55" s="609"/>
      <c r="VIM55" s="609"/>
      <c r="VIN55" s="609"/>
      <c r="VIO55" s="609"/>
      <c r="VIP55" s="609"/>
      <c r="VIQ55" s="609"/>
      <c r="VIR55" s="609"/>
      <c r="VIS55" s="609"/>
      <c r="VIT55" s="609"/>
      <c r="VIU55" s="609"/>
      <c r="VIV55" s="609"/>
      <c r="VIW55" s="609"/>
      <c r="VIX55" s="609"/>
      <c r="VIY55" s="609"/>
      <c r="VIZ55" s="609"/>
      <c r="VJA55" s="609"/>
      <c r="VJB55" s="609"/>
      <c r="VJC55" s="609"/>
      <c r="VJD55" s="609"/>
      <c r="VJE55" s="609"/>
      <c r="VJF55" s="609"/>
      <c r="VJG55" s="609"/>
      <c r="VJH55" s="609"/>
      <c r="VJI55" s="609"/>
      <c r="VJJ55" s="609"/>
      <c r="VJK55" s="609"/>
      <c r="VJL55" s="609"/>
      <c r="VJM55" s="609"/>
      <c r="VJN55" s="609"/>
      <c r="VJO55" s="609"/>
      <c r="VJP55" s="609"/>
      <c r="VJQ55" s="609"/>
      <c r="VJR55" s="609"/>
      <c r="VJS55" s="609"/>
      <c r="VJT55" s="609"/>
      <c r="VJU55" s="609"/>
      <c r="VJV55" s="609"/>
      <c r="VJW55" s="609"/>
      <c r="VJX55" s="609"/>
      <c r="VJY55" s="609"/>
      <c r="VJZ55" s="609"/>
      <c r="VKA55" s="609"/>
      <c r="VKB55" s="609"/>
      <c r="VKC55" s="609"/>
      <c r="VKD55" s="609"/>
      <c r="VKE55" s="609"/>
      <c r="VKF55" s="609"/>
      <c r="VKG55" s="609"/>
      <c r="VKH55" s="609"/>
      <c r="VKI55" s="609"/>
      <c r="VKJ55" s="609"/>
      <c r="VKK55" s="609"/>
      <c r="VKL55" s="609"/>
      <c r="VKM55" s="609"/>
      <c r="VKN55" s="609"/>
      <c r="VKO55" s="609"/>
      <c r="VKP55" s="609"/>
      <c r="VKQ55" s="609"/>
      <c r="VKR55" s="609"/>
      <c r="VKS55" s="609"/>
      <c r="VKT55" s="609"/>
      <c r="VKU55" s="609"/>
      <c r="VKV55" s="609"/>
      <c r="VKW55" s="609"/>
      <c r="VKX55" s="609"/>
      <c r="VKY55" s="609"/>
      <c r="VKZ55" s="609"/>
      <c r="VLA55" s="609"/>
      <c r="VLB55" s="609"/>
      <c r="VLC55" s="609"/>
      <c r="VLD55" s="609"/>
      <c r="VLE55" s="609"/>
      <c r="VLF55" s="609"/>
      <c r="VLG55" s="609"/>
      <c r="VLH55" s="609"/>
      <c r="VLI55" s="609"/>
      <c r="VLJ55" s="609"/>
      <c r="VLK55" s="609"/>
      <c r="VLL55" s="609"/>
      <c r="VLM55" s="609"/>
      <c r="VLN55" s="609"/>
      <c r="VLO55" s="609"/>
      <c r="VLP55" s="609"/>
      <c r="VLQ55" s="609"/>
      <c r="VLR55" s="609"/>
      <c r="VLS55" s="609"/>
      <c r="VLT55" s="609"/>
      <c r="VLU55" s="609"/>
      <c r="VLV55" s="609"/>
      <c r="VLW55" s="609"/>
      <c r="VLX55" s="609"/>
      <c r="VLY55" s="609"/>
      <c r="VLZ55" s="609"/>
      <c r="VMA55" s="609"/>
      <c r="VMB55" s="609"/>
      <c r="VMC55" s="609"/>
      <c r="VMD55" s="609"/>
      <c r="VME55" s="609"/>
      <c r="VMF55" s="609"/>
      <c r="VMG55" s="609"/>
      <c r="VMH55" s="609"/>
      <c r="VMI55" s="609"/>
      <c r="VMJ55" s="609"/>
      <c r="VMK55" s="609"/>
      <c r="VML55" s="609"/>
      <c r="VMM55" s="609"/>
      <c r="VMN55" s="609"/>
      <c r="VMO55" s="609"/>
      <c r="VMP55" s="609"/>
      <c r="VMQ55" s="609"/>
      <c r="VMR55" s="609"/>
      <c r="VMS55" s="609"/>
      <c r="VMT55" s="609"/>
      <c r="VMU55" s="609"/>
      <c r="VMV55" s="609"/>
      <c r="VMW55" s="609"/>
      <c r="VMX55" s="609"/>
      <c r="VMY55" s="609"/>
      <c r="VMZ55" s="609"/>
      <c r="VNA55" s="609"/>
      <c r="VNB55" s="609"/>
      <c r="VNC55" s="609"/>
      <c r="VND55" s="609"/>
      <c r="VNE55" s="609"/>
      <c r="VNF55" s="609"/>
      <c r="VNG55" s="609"/>
      <c r="VNH55" s="609"/>
      <c r="VNI55" s="609"/>
      <c r="VNJ55" s="609"/>
      <c r="VNK55" s="609"/>
      <c r="VNL55" s="609"/>
      <c r="VNM55" s="609"/>
      <c r="VNN55" s="609"/>
      <c r="VNO55" s="609"/>
      <c r="VNP55" s="609"/>
      <c r="VNQ55" s="609"/>
      <c r="VNR55" s="609"/>
      <c r="VNS55" s="609"/>
      <c r="VNT55" s="609"/>
      <c r="VNU55" s="609"/>
      <c r="VNV55" s="609"/>
      <c r="VNW55" s="609"/>
      <c r="VNX55" s="609"/>
      <c r="VNY55" s="609"/>
      <c r="VNZ55" s="609"/>
      <c r="VOA55" s="609"/>
      <c r="VOB55" s="609"/>
      <c r="VOC55" s="609"/>
      <c r="VOD55" s="609"/>
      <c r="VOE55" s="609"/>
      <c r="VOF55" s="609"/>
      <c r="VOG55" s="609"/>
      <c r="VOH55" s="609"/>
      <c r="VOI55" s="609"/>
      <c r="VOJ55" s="609"/>
      <c r="VOK55" s="609"/>
      <c r="VOL55" s="609"/>
      <c r="VOM55" s="609"/>
      <c r="VON55" s="609"/>
      <c r="VOO55" s="609"/>
      <c r="VOP55" s="609"/>
      <c r="VOQ55" s="609"/>
      <c r="VOR55" s="609"/>
      <c r="VOS55" s="609"/>
      <c r="VOT55" s="609"/>
      <c r="VOU55" s="609"/>
      <c r="VOV55" s="609"/>
      <c r="VOW55" s="609"/>
      <c r="VOX55" s="609"/>
      <c r="VOY55" s="609"/>
      <c r="VOZ55" s="609"/>
      <c r="VPA55" s="609"/>
      <c r="VPB55" s="609"/>
      <c r="VPC55" s="609"/>
      <c r="VPD55" s="609"/>
      <c r="VPE55" s="609"/>
      <c r="VPF55" s="609"/>
      <c r="VPG55" s="609"/>
      <c r="VPH55" s="609"/>
      <c r="VPI55" s="609"/>
      <c r="VPJ55" s="609"/>
      <c r="VPK55" s="609"/>
      <c r="VPL55" s="609"/>
      <c r="VPM55" s="609"/>
      <c r="VPN55" s="609"/>
      <c r="VPO55" s="609"/>
      <c r="VPP55" s="609"/>
      <c r="VPQ55" s="609"/>
      <c r="VPR55" s="609"/>
      <c r="VPS55" s="609"/>
      <c r="VPT55" s="609"/>
      <c r="VPU55" s="609"/>
      <c r="VPV55" s="609"/>
      <c r="VPW55" s="609"/>
      <c r="VPX55" s="609"/>
      <c r="VPY55" s="609"/>
      <c r="VPZ55" s="609"/>
      <c r="VQA55" s="609"/>
      <c r="VQB55" s="609"/>
      <c r="VQC55" s="609"/>
      <c r="VQD55" s="609"/>
      <c r="VQE55" s="609"/>
      <c r="VQF55" s="609"/>
      <c r="VQG55" s="609"/>
      <c r="VQH55" s="609"/>
      <c r="VQI55" s="609"/>
      <c r="VQJ55" s="609"/>
      <c r="VQK55" s="609"/>
      <c r="VQL55" s="609"/>
      <c r="VQM55" s="609"/>
      <c r="VQN55" s="609"/>
      <c r="VQO55" s="609"/>
      <c r="VQP55" s="609"/>
      <c r="VQQ55" s="609"/>
      <c r="VQR55" s="609"/>
      <c r="VQS55" s="609"/>
      <c r="VQT55" s="609"/>
      <c r="VQU55" s="609"/>
      <c r="VQV55" s="609"/>
      <c r="VQW55" s="609"/>
      <c r="VQX55" s="609"/>
      <c r="VQY55" s="609"/>
      <c r="VQZ55" s="609"/>
      <c r="VRA55" s="609"/>
      <c r="VRB55" s="609"/>
      <c r="VRC55" s="609"/>
      <c r="VRD55" s="609"/>
      <c r="VRE55" s="609"/>
      <c r="VRF55" s="609"/>
      <c r="VRG55" s="609"/>
      <c r="VRH55" s="609"/>
      <c r="VRI55" s="609"/>
      <c r="VRJ55" s="609"/>
      <c r="VRK55" s="609"/>
      <c r="VRL55" s="609"/>
      <c r="VRM55" s="609"/>
      <c r="VRN55" s="609"/>
      <c r="VRO55" s="609"/>
      <c r="VRP55" s="609"/>
      <c r="VRQ55" s="609"/>
      <c r="VRR55" s="609"/>
      <c r="VRS55" s="609"/>
      <c r="VRT55" s="609"/>
      <c r="VRU55" s="609"/>
      <c r="VRV55" s="609"/>
      <c r="VRW55" s="609"/>
      <c r="VRX55" s="609"/>
      <c r="VRY55" s="609"/>
      <c r="VRZ55" s="609"/>
      <c r="VSA55" s="609"/>
      <c r="VSB55" s="609"/>
      <c r="VSC55" s="609"/>
      <c r="VSD55" s="609"/>
      <c r="VSE55" s="609"/>
      <c r="VSF55" s="609"/>
      <c r="VSG55" s="609"/>
      <c r="VSH55" s="609"/>
      <c r="VSI55" s="609"/>
      <c r="VSJ55" s="609"/>
      <c r="VSK55" s="609"/>
      <c r="VSL55" s="609"/>
      <c r="VSM55" s="609"/>
      <c r="VSN55" s="609"/>
      <c r="VSO55" s="609"/>
      <c r="VSP55" s="609"/>
      <c r="VSQ55" s="609"/>
      <c r="VSR55" s="609"/>
      <c r="VSS55" s="609"/>
      <c r="VST55" s="609"/>
      <c r="VSU55" s="609"/>
      <c r="VSV55" s="609"/>
      <c r="VSW55" s="609"/>
      <c r="VSX55" s="609"/>
      <c r="VSY55" s="609"/>
      <c r="VSZ55" s="609"/>
      <c r="VTA55" s="609"/>
      <c r="VTB55" s="609"/>
      <c r="VTC55" s="609"/>
      <c r="VTD55" s="609"/>
      <c r="VTE55" s="609"/>
      <c r="VTF55" s="609"/>
      <c r="VTG55" s="609"/>
      <c r="VTH55" s="609"/>
      <c r="VTI55" s="609"/>
      <c r="VTJ55" s="609"/>
      <c r="VTK55" s="609"/>
      <c r="VTL55" s="609"/>
      <c r="VTM55" s="609"/>
      <c r="VTN55" s="609"/>
      <c r="VTO55" s="609"/>
      <c r="VTP55" s="609"/>
      <c r="VTQ55" s="609"/>
      <c r="VTR55" s="609"/>
      <c r="VTS55" s="609"/>
      <c r="VTT55" s="609"/>
      <c r="VTU55" s="609"/>
      <c r="VTV55" s="609"/>
      <c r="VTW55" s="609"/>
      <c r="VTX55" s="609"/>
      <c r="VTY55" s="609"/>
      <c r="VTZ55" s="609"/>
      <c r="VUA55" s="609"/>
      <c r="VUB55" s="609"/>
      <c r="VUC55" s="609"/>
      <c r="VUD55" s="609"/>
      <c r="VUE55" s="609"/>
      <c r="VUF55" s="609"/>
      <c r="VUG55" s="609"/>
      <c r="VUH55" s="609"/>
      <c r="VUI55" s="609"/>
      <c r="VUJ55" s="609"/>
      <c r="VUK55" s="609"/>
      <c r="VUL55" s="609"/>
      <c r="VUM55" s="609"/>
      <c r="VUN55" s="609"/>
      <c r="VUO55" s="609"/>
      <c r="VUP55" s="609"/>
      <c r="VUQ55" s="609"/>
      <c r="VUR55" s="609"/>
      <c r="VUS55" s="609"/>
      <c r="VUT55" s="609"/>
      <c r="VUU55" s="609"/>
      <c r="VUV55" s="609"/>
      <c r="VUW55" s="609"/>
      <c r="VUX55" s="609"/>
      <c r="VUY55" s="609"/>
      <c r="VUZ55" s="609"/>
      <c r="VVA55" s="609"/>
      <c r="VVB55" s="609"/>
      <c r="VVC55" s="609"/>
      <c r="VVD55" s="609"/>
      <c r="VVE55" s="609"/>
      <c r="VVF55" s="609"/>
      <c r="VVG55" s="609"/>
      <c r="VVH55" s="609"/>
      <c r="VVI55" s="609"/>
      <c r="VVJ55" s="609"/>
      <c r="VVK55" s="609"/>
      <c r="VVL55" s="609"/>
      <c r="VVM55" s="609"/>
      <c r="VVN55" s="609"/>
      <c r="VVO55" s="609"/>
      <c r="VVP55" s="609"/>
      <c r="VVQ55" s="609"/>
      <c r="VVR55" s="609"/>
      <c r="VVS55" s="609"/>
      <c r="VVT55" s="609"/>
      <c r="VVU55" s="609"/>
      <c r="VVV55" s="609"/>
      <c r="VVW55" s="609"/>
      <c r="VVX55" s="609"/>
      <c r="VVY55" s="609"/>
      <c r="VVZ55" s="609"/>
      <c r="VWA55" s="609"/>
      <c r="VWB55" s="609"/>
      <c r="VWC55" s="609"/>
      <c r="VWD55" s="609"/>
      <c r="VWE55" s="609"/>
      <c r="VWF55" s="609"/>
      <c r="VWG55" s="609"/>
      <c r="VWH55" s="609"/>
      <c r="VWI55" s="609"/>
      <c r="VWJ55" s="609"/>
      <c r="VWK55" s="609"/>
      <c r="VWL55" s="609"/>
      <c r="VWM55" s="609"/>
      <c r="VWN55" s="609"/>
      <c r="VWO55" s="609"/>
      <c r="VWP55" s="609"/>
      <c r="VWQ55" s="609"/>
      <c r="VWR55" s="609"/>
      <c r="VWS55" s="609"/>
      <c r="VWT55" s="609"/>
      <c r="VWU55" s="609"/>
      <c r="VWV55" s="609"/>
      <c r="VWW55" s="609"/>
      <c r="VWX55" s="609"/>
      <c r="VWY55" s="609"/>
      <c r="VWZ55" s="609"/>
      <c r="VXA55" s="609"/>
      <c r="VXB55" s="609"/>
      <c r="VXC55" s="609"/>
      <c r="VXD55" s="609"/>
      <c r="VXE55" s="609"/>
      <c r="VXF55" s="609"/>
      <c r="VXG55" s="609"/>
      <c r="VXH55" s="609"/>
      <c r="VXI55" s="609"/>
      <c r="VXJ55" s="609"/>
      <c r="VXK55" s="609"/>
      <c r="VXL55" s="609"/>
      <c r="VXM55" s="609"/>
      <c r="VXN55" s="609"/>
      <c r="VXO55" s="609"/>
      <c r="VXP55" s="609"/>
      <c r="VXQ55" s="609"/>
      <c r="VXR55" s="609"/>
      <c r="VXS55" s="609"/>
      <c r="VXT55" s="609"/>
      <c r="VXU55" s="609"/>
      <c r="VXV55" s="609"/>
      <c r="VXW55" s="609"/>
      <c r="VXX55" s="609"/>
      <c r="VXY55" s="609"/>
      <c r="VXZ55" s="609"/>
      <c r="VYA55" s="609"/>
      <c r="VYB55" s="609"/>
      <c r="VYC55" s="609"/>
      <c r="VYD55" s="609"/>
      <c r="VYE55" s="609"/>
      <c r="VYF55" s="609"/>
      <c r="VYG55" s="609"/>
      <c r="VYH55" s="609"/>
      <c r="VYI55" s="609"/>
      <c r="VYJ55" s="609"/>
      <c r="VYK55" s="609"/>
      <c r="VYL55" s="609"/>
      <c r="VYM55" s="609"/>
      <c r="VYN55" s="609"/>
      <c r="VYO55" s="609"/>
      <c r="VYP55" s="609"/>
      <c r="VYQ55" s="609"/>
      <c r="VYR55" s="609"/>
      <c r="VYS55" s="609"/>
      <c r="VYT55" s="609"/>
      <c r="VYU55" s="609"/>
      <c r="VYV55" s="609"/>
      <c r="VYW55" s="609"/>
      <c r="VYX55" s="609"/>
      <c r="VYY55" s="609"/>
      <c r="VYZ55" s="609"/>
      <c r="VZA55" s="609"/>
      <c r="VZB55" s="609"/>
      <c r="VZC55" s="609"/>
      <c r="VZD55" s="609"/>
      <c r="VZE55" s="609"/>
      <c r="VZF55" s="609"/>
      <c r="VZG55" s="609"/>
      <c r="VZH55" s="609"/>
      <c r="VZI55" s="609"/>
      <c r="VZJ55" s="609"/>
      <c r="VZK55" s="609"/>
      <c r="VZL55" s="609"/>
      <c r="VZM55" s="609"/>
      <c r="VZN55" s="609"/>
      <c r="VZO55" s="609"/>
      <c r="VZP55" s="609"/>
      <c r="VZQ55" s="609"/>
      <c r="VZR55" s="609"/>
      <c r="VZS55" s="609"/>
      <c r="VZT55" s="609"/>
      <c r="VZU55" s="609"/>
      <c r="VZV55" s="609"/>
      <c r="VZW55" s="609"/>
      <c r="VZX55" s="609"/>
      <c r="VZY55" s="609"/>
      <c r="VZZ55" s="609"/>
      <c r="WAA55" s="609"/>
      <c r="WAB55" s="609"/>
      <c r="WAC55" s="609"/>
      <c r="WAD55" s="609"/>
      <c r="WAE55" s="609"/>
      <c r="WAF55" s="609"/>
      <c r="WAG55" s="609"/>
      <c r="WAH55" s="609"/>
      <c r="WAI55" s="609"/>
      <c r="WAJ55" s="609"/>
      <c r="WAK55" s="609"/>
      <c r="WAL55" s="609"/>
      <c r="WAM55" s="609"/>
      <c r="WAN55" s="609"/>
      <c r="WAO55" s="609"/>
      <c r="WAP55" s="609"/>
      <c r="WAQ55" s="609"/>
      <c r="WAR55" s="609"/>
      <c r="WAS55" s="609"/>
      <c r="WAT55" s="609"/>
      <c r="WAU55" s="609"/>
      <c r="WAV55" s="609"/>
      <c r="WAW55" s="609"/>
      <c r="WAX55" s="609"/>
      <c r="WAY55" s="609"/>
      <c r="WAZ55" s="609"/>
      <c r="WBA55" s="609"/>
      <c r="WBB55" s="609"/>
      <c r="WBC55" s="609"/>
      <c r="WBD55" s="609"/>
      <c r="WBE55" s="609"/>
      <c r="WBF55" s="609"/>
      <c r="WBG55" s="609"/>
      <c r="WBH55" s="609"/>
      <c r="WBI55" s="609"/>
      <c r="WBJ55" s="609"/>
      <c r="WBK55" s="609"/>
      <c r="WBL55" s="609"/>
      <c r="WBM55" s="609"/>
      <c r="WBN55" s="609"/>
      <c r="WBO55" s="609"/>
      <c r="WBP55" s="609"/>
      <c r="WBQ55" s="609"/>
      <c r="WBR55" s="609"/>
      <c r="WBS55" s="609"/>
      <c r="WBT55" s="609"/>
      <c r="WBU55" s="609"/>
      <c r="WBV55" s="609"/>
      <c r="WBW55" s="609"/>
      <c r="WBX55" s="609"/>
      <c r="WBY55" s="609"/>
      <c r="WBZ55" s="609"/>
      <c r="WCA55" s="609"/>
      <c r="WCB55" s="609"/>
      <c r="WCC55" s="609"/>
      <c r="WCD55" s="609"/>
      <c r="WCE55" s="609"/>
      <c r="WCF55" s="609"/>
      <c r="WCG55" s="609"/>
      <c r="WCH55" s="609"/>
      <c r="WCI55" s="609"/>
      <c r="WCJ55" s="609"/>
      <c r="WCK55" s="609"/>
      <c r="WCL55" s="609"/>
      <c r="WCM55" s="609"/>
      <c r="WCN55" s="609"/>
      <c r="WCO55" s="609"/>
      <c r="WCP55" s="609"/>
      <c r="WCQ55" s="609"/>
      <c r="WCR55" s="609"/>
      <c r="WCS55" s="609"/>
      <c r="WCT55" s="609"/>
      <c r="WCU55" s="609"/>
      <c r="WCV55" s="609"/>
      <c r="WCW55" s="609"/>
      <c r="WCX55" s="609"/>
      <c r="WCY55" s="609"/>
      <c r="WCZ55" s="609"/>
      <c r="WDA55" s="609"/>
      <c r="WDB55" s="609"/>
      <c r="WDC55" s="609"/>
      <c r="WDD55" s="609"/>
      <c r="WDE55" s="609"/>
      <c r="WDF55" s="609"/>
      <c r="WDG55" s="609"/>
      <c r="WDH55" s="609"/>
      <c r="WDI55" s="609"/>
      <c r="WDJ55" s="609"/>
      <c r="WDK55" s="609"/>
      <c r="WDL55" s="609"/>
      <c r="WDM55" s="609"/>
      <c r="WDN55" s="609"/>
      <c r="WDO55" s="609"/>
      <c r="WDP55" s="609"/>
      <c r="WDQ55" s="609"/>
      <c r="WDR55" s="609"/>
      <c r="WDS55" s="609"/>
      <c r="WDT55" s="609"/>
      <c r="WDU55" s="609"/>
      <c r="WDV55" s="609"/>
      <c r="WDW55" s="609"/>
      <c r="WDX55" s="609"/>
      <c r="WDY55" s="609"/>
      <c r="WDZ55" s="609"/>
      <c r="WEA55" s="609"/>
      <c r="WEB55" s="609"/>
      <c r="WEC55" s="609"/>
      <c r="WED55" s="609"/>
      <c r="WEE55" s="609"/>
      <c r="WEF55" s="609"/>
      <c r="WEG55" s="609"/>
      <c r="WEH55" s="609"/>
      <c r="WEI55" s="609"/>
      <c r="WEJ55" s="609"/>
      <c r="WEK55" s="609"/>
      <c r="WEL55" s="609"/>
      <c r="WEM55" s="609"/>
      <c r="WEN55" s="609"/>
      <c r="WEO55" s="609"/>
      <c r="WEP55" s="609"/>
      <c r="WEQ55" s="609"/>
      <c r="WER55" s="609"/>
      <c r="WES55" s="609"/>
      <c r="WET55" s="609"/>
      <c r="WEU55" s="609"/>
      <c r="WEV55" s="609"/>
      <c r="WEW55" s="609"/>
      <c r="WEX55" s="609"/>
      <c r="WEY55" s="609"/>
      <c r="WEZ55" s="609"/>
      <c r="WFA55" s="609"/>
      <c r="WFB55" s="609"/>
      <c r="WFC55" s="609"/>
      <c r="WFD55" s="609"/>
      <c r="WFE55" s="609"/>
      <c r="WFF55" s="609"/>
      <c r="WFG55" s="609"/>
      <c r="WFH55" s="609"/>
      <c r="WFI55" s="609"/>
      <c r="WFJ55" s="609"/>
      <c r="WFK55" s="609"/>
      <c r="WFL55" s="609"/>
      <c r="WFM55" s="609"/>
      <c r="WFN55" s="609"/>
      <c r="WFO55" s="609"/>
      <c r="WFP55" s="609"/>
      <c r="WFQ55" s="609"/>
      <c r="WFR55" s="609"/>
      <c r="WFS55" s="609"/>
      <c r="WFT55" s="609"/>
      <c r="WFU55" s="609"/>
      <c r="WFV55" s="609"/>
      <c r="WFW55" s="609"/>
      <c r="WFX55" s="609"/>
      <c r="WFY55" s="609"/>
      <c r="WFZ55" s="609"/>
      <c r="WGA55" s="609"/>
      <c r="WGB55" s="609"/>
      <c r="WGC55" s="609"/>
      <c r="WGD55" s="609"/>
      <c r="WGE55" s="609"/>
      <c r="WGF55" s="609"/>
      <c r="WGG55" s="609"/>
      <c r="WGH55" s="609"/>
      <c r="WGI55" s="609"/>
      <c r="WGJ55" s="609"/>
      <c r="WGK55" s="609"/>
      <c r="WGL55" s="609"/>
      <c r="WGM55" s="609"/>
      <c r="WGN55" s="609"/>
      <c r="WGO55" s="609"/>
      <c r="WGP55" s="609"/>
      <c r="WGQ55" s="609"/>
      <c r="WGR55" s="609"/>
      <c r="WGS55" s="609"/>
      <c r="WGT55" s="609"/>
      <c r="WGU55" s="609"/>
      <c r="WGV55" s="609"/>
      <c r="WGW55" s="609"/>
      <c r="WGX55" s="609"/>
      <c r="WGY55" s="609"/>
      <c r="WGZ55" s="609"/>
      <c r="WHA55" s="609"/>
      <c r="WHB55" s="609"/>
      <c r="WHC55" s="609"/>
      <c r="WHD55" s="609"/>
      <c r="WHE55" s="609"/>
      <c r="WHF55" s="609"/>
      <c r="WHG55" s="609"/>
      <c r="WHH55" s="609"/>
      <c r="WHI55" s="609"/>
      <c r="WHJ55" s="609"/>
      <c r="WHK55" s="609"/>
      <c r="WHL55" s="609"/>
      <c r="WHM55" s="609"/>
      <c r="WHN55" s="609"/>
      <c r="WHO55" s="609"/>
      <c r="WHP55" s="609"/>
      <c r="WHQ55" s="609"/>
      <c r="WHR55" s="609"/>
      <c r="WHS55" s="609"/>
      <c r="WHT55" s="609"/>
      <c r="WHU55" s="609"/>
      <c r="WHV55" s="609"/>
      <c r="WHW55" s="609"/>
      <c r="WHX55" s="609"/>
      <c r="WHY55" s="609"/>
      <c r="WHZ55" s="609"/>
      <c r="WIA55" s="609"/>
      <c r="WIB55" s="609"/>
      <c r="WIC55" s="609"/>
      <c r="WID55" s="609"/>
      <c r="WIE55" s="609"/>
      <c r="WIF55" s="609"/>
      <c r="WIG55" s="609"/>
      <c r="WIH55" s="609"/>
      <c r="WII55" s="609"/>
      <c r="WIJ55" s="609"/>
      <c r="WIK55" s="609"/>
      <c r="WIL55" s="609"/>
      <c r="WIM55" s="609"/>
      <c r="WIN55" s="609"/>
      <c r="WIO55" s="609"/>
      <c r="WIP55" s="609"/>
      <c r="WIQ55" s="609"/>
      <c r="WIR55" s="609"/>
      <c r="WIS55" s="609"/>
      <c r="WIT55" s="609"/>
      <c r="WIU55" s="609"/>
      <c r="WIV55" s="609"/>
      <c r="WIW55" s="609"/>
      <c r="WIX55" s="609"/>
      <c r="WIY55" s="609"/>
      <c r="WIZ55" s="609"/>
      <c r="WJA55" s="609"/>
      <c r="WJB55" s="609"/>
      <c r="WJC55" s="609"/>
      <c r="WJD55" s="609"/>
      <c r="WJE55" s="609"/>
      <c r="WJF55" s="609"/>
      <c r="WJG55" s="609"/>
      <c r="WJH55" s="609"/>
      <c r="WJI55" s="609"/>
      <c r="WJJ55" s="609"/>
      <c r="WJK55" s="609"/>
      <c r="WJL55" s="609"/>
      <c r="WJM55" s="609"/>
      <c r="WJN55" s="609"/>
      <c r="WJO55" s="609"/>
      <c r="WJP55" s="609"/>
      <c r="WJQ55" s="609"/>
      <c r="WJR55" s="609"/>
      <c r="WJS55" s="609"/>
      <c r="WJT55" s="609"/>
      <c r="WJU55" s="609"/>
      <c r="WJV55" s="609"/>
      <c r="WJW55" s="609"/>
      <c r="WJX55" s="609"/>
      <c r="WJY55" s="609"/>
      <c r="WJZ55" s="609"/>
      <c r="WKA55" s="609"/>
      <c r="WKB55" s="609"/>
      <c r="WKC55" s="609"/>
      <c r="WKD55" s="609"/>
      <c r="WKE55" s="609"/>
      <c r="WKF55" s="609"/>
      <c r="WKG55" s="609"/>
      <c r="WKH55" s="609"/>
      <c r="WKI55" s="609"/>
      <c r="WKJ55" s="609"/>
      <c r="WKK55" s="609"/>
      <c r="WKL55" s="609"/>
      <c r="WKM55" s="609"/>
      <c r="WKN55" s="609"/>
      <c r="WKO55" s="609"/>
      <c r="WKP55" s="609"/>
      <c r="WKQ55" s="609"/>
      <c r="WKR55" s="609"/>
      <c r="WKS55" s="609"/>
      <c r="WKT55" s="609"/>
      <c r="WKU55" s="609"/>
      <c r="WKV55" s="609"/>
      <c r="WKW55" s="609"/>
      <c r="WKX55" s="609"/>
      <c r="WKY55" s="609"/>
      <c r="WKZ55" s="609"/>
      <c r="WLA55" s="609"/>
      <c r="WLB55" s="609"/>
      <c r="WLC55" s="609"/>
      <c r="WLD55" s="609"/>
      <c r="WLE55" s="609"/>
      <c r="WLF55" s="609"/>
      <c r="WLG55" s="609"/>
      <c r="WLH55" s="609"/>
      <c r="WLI55" s="609"/>
      <c r="WLJ55" s="609"/>
      <c r="WLK55" s="609"/>
      <c r="WLL55" s="609"/>
      <c r="WLM55" s="609"/>
      <c r="WLN55" s="609"/>
      <c r="WLO55" s="609"/>
      <c r="WLP55" s="609"/>
      <c r="WLQ55" s="609"/>
      <c r="WLR55" s="609"/>
      <c r="WLS55" s="609"/>
      <c r="WLT55" s="609"/>
      <c r="WLU55" s="609"/>
      <c r="WLV55" s="609"/>
      <c r="WLW55" s="609"/>
      <c r="WLX55" s="609"/>
      <c r="WLY55" s="609"/>
      <c r="WLZ55" s="609"/>
      <c r="WMA55" s="609"/>
      <c r="WMB55" s="609"/>
      <c r="WMC55" s="609"/>
      <c r="WMD55" s="609"/>
      <c r="WME55" s="609"/>
      <c r="WMF55" s="609"/>
      <c r="WMG55" s="609"/>
      <c r="WMH55" s="609"/>
      <c r="WMI55" s="609"/>
      <c r="WMJ55" s="609"/>
      <c r="WMK55" s="609"/>
      <c r="WML55" s="609"/>
      <c r="WMM55" s="609"/>
      <c r="WMN55" s="609"/>
      <c r="WMO55" s="609"/>
      <c r="WMP55" s="609"/>
      <c r="WMQ55" s="609"/>
      <c r="WMR55" s="609"/>
      <c r="WMS55" s="609"/>
      <c r="WMT55" s="609"/>
      <c r="WMU55" s="609"/>
      <c r="WMV55" s="609"/>
      <c r="WMW55" s="609"/>
      <c r="WMX55" s="609"/>
      <c r="WMY55" s="609"/>
      <c r="WMZ55" s="609"/>
      <c r="WNA55" s="609"/>
      <c r="WNB55" s="609"/>
      <c r="WNC55" s="609"/>
      <c r="WND55" s="609"/>
      <c r="WNE55" s="609"/>
      <c r="WNF55" s="609"/>
      <c r="WNG55" s="609"/>
      <c r="WNH55" s="609"/>
      <c r="WNI55" s="609"/>
      <c r="WNJ55" s="609"/>
      <c r="WNK55" s="609"/>
      <c r="WNL55" s="609"/>
      <c r="WNM55" s="609"/>
      <c r="WNN55" s="609"/>
      <c r="WNO55" s="609"/>
      <c r="WNP55" s="609"/>
      <c r="WNQ55" s="609"/>
      <c r="WNR55" s="609"/>
      <c r="WNS55" s="609"/>
      <c r="WNT55" s="609"/>
      <c r="WNU55" s="609"/>
      <c r="WNV55" s="609"/>
      <c r="WNW55" s="609"/>
      <c r="WNX55" s="609"/>
      <c r="WNY55" s="609"/>
      <c r="WNZ55" s="609"/>
      <c r="WOA55" s="609"/>
      <c r="WOB55" s="609"/>
      <c r="WOC55" s="609"/>
      <c r="WOD55" s="609"/>
      <c r="WOE55" s="609"/>
      <c r="WOF55" s="609"/>
      <c r="WOG55" s="609"/>
      <c r="WOH55" s="609"/>
      <c r="WOI55" s="609"/>
      <c r="WOJ55" s="609"/>
      <c r="WOK55" s="609"/>
      <c r="WOL55" s="609"/>
      <c r="WOM55" s="609"/>
      <c r="WON55" s="609"/>
      <c r="WOO55" s="609"/>
      <c r="WOP55" s="609"/>
      <c r="WOQ55" s="609"/>
      <c r="WOR55" s="609"/>
      <c r="WOS55" s="609"/>
      <c r="WOT55" s="609"/>
      <c r="WOU55" s="609"/>
      <c r="WOV55" s="609"/>
      <c r="WOW55" s="609"/>
      <c r="WOX55" s="609"/>
      <c r="WOY55" s="609"/>
      <c r="WOZ55" s="609"/>
      <c r="WPA55" s="609"/>
      <c r="WPB55" s="609"/>
      <c r="WPC55" s="609"/>
      <c r="WPD55" s="609"/>
      <c r="WPE55" s="609"/>
      <c r="WPF55" s="609"/>
      <c r="WPG55" s="609"/>
      <c r="WPH55" s="609"/>
      <c r="WPI55" s="609"/>
      <c r="WPJ55" s="609"/>
      <c r="WPK55" s="609"/>
      <c r="WPL55" s="609"/>
      <c r="WPM55" s="609"/>
      <c r="WPN55" s="609"/>
      <c r="WPO55" s="609"/>
      <c r="WPP55" s="609"/>
      <c r="WPQ55" s="609"/>
      <c r="WPR55" s="609"/>
      <c r="WPS55" s="609"/>
      <c r="WPT55" s="609"/>
      <c r="WPU55" s="609"/>
      <c r="WPV55" s="609"/>
      <c r="WPW55" s="609"/>
      <c r="WPX55" s="609"/>
      <c r="WPY55" s="609"/>
      <c r="WPZ55" s="609"/>
      <c r="WQA55" s="609"/>
      <c r="WQB55" s="609"/>
      <c r="WQC55" s="609"/>
      <c r="WQD55" s="609"/>
      <c r="WQE55" s="609"/>
      <c r="WQF55" s="609"/>
      <c r="WQG55" s="609"/>
      <c r="WQH55" s="609"/>
      <c r="WQI55" s="609"/>
      <c r="WQJ55" s="609"/>
      <c r="WQK55" s="609"/>
      <c r="WQL55" s="609"/>
      <c r="WQM55" s="609"/>
      <c r="WQN55" s="609"/>
      <c r="WQO55" s="609"/>
      <c r="WQP55" s="609"/>
      <c r="WQQ55" s="609"/>
      <c r="WQR55" s="609"/>
      <c r="WQS55" s="609"/>
      <c r="WQT55" s="609"/>
      <c r="WQU55" s="609"/>
      <c r="WQV55" s="609"/>
      <c r="WQW55" s="609"/>
      <c r="WQX55" s="609"/>
      <c r="WQY55" s="609"/>
      <c r="WQZ55" s="609"/>
      <c r="WRA55" s="609"/>
      <c r="WRB55" s="609"/>
      <c r="WRC55" s="609"/>
      <c r="WRD55" s="609"/>
      <c r="WRE55" s="609"/>
      <c r="WRF55" s="609"/>
      <c r="WRG55" s="609"/>
      <c r="WRH55" s="609"/>
      <c r="WRI55" s="609"/>
      <c r="WRJ55" s="609"/>
      <c r="WRK55" s="609"/>
      <c r="WRL55" s="609"/>
      <c r="WRM55" s="609"/>
      <c r="WRN55" s="609"/>
      <c r="WRO55" s="609"/>
      <c r="WRP55" s="609"/>
      <c r="WRQ55" s="609"/>
      <c r="WRR55" s="609"/>
      <c r="WRS55" s="609"/>
      <c r="WRT55" s="609"/>
      <c r="WRU55" s="609"/>
      <c r="WRV55" s="609"/>
      <c r="WRW55" s="609"/>
      <c r="WRX55" s="609"/>
      <c r="WRY55" s="609"/>
      <c r="WRZ55" s="609"/>
      <c r="WSA55" s="609"/>
      <c r="WSB55" s="609"/>
      <c r="WSC55" s="609"/>
      <c r="WSD55" s="609"/>
      <c r="WSE55" s="609"/>
      <c r="WSF55" s="609"/>
      <c r="WSG55" s="609"/>
      <c r="WSH55" s="609"/>
      <c r="WSI55" s="609"/>
      <c r="WSJ55" s="609"/>
      <c r="WSK55" s="609"/>
      <c r="WSL55" s="609"/>
      <c r="WSM55" s="609"/>
      <c r="WSN55" s="609"/>
      <c r="WSO55" s="609"/>
      <c r="WSP55" s="609"/>
      <c r="WSQ55" s="609"/>
      <c r="WSR55" s="609"/>
      <c r="WSS55" s="609"/>
      <c r="WST55" s="609"/>
      <c r="WSU55" s="609"/>
      <c r="WSV55" s="609"/>
      <c r="WSW55" s="609"/>
      <c r="WSX55" s="609"/>
      <c r="WSY55" s="609"/>
      <c r="WSZ55" s="609"/>
      <c r="WTA55" s="609"/>
      <c r="WTB55" s="609"/>
      <c r="WTC55" s="609"/>
      <c r="WTD55" s="609"/>
      <c r="WTE55" s="609"/>
      <c r="WTF55" s="609"/>
      <c r="WTG55" s="609"/>
      <c r="WTH55" s="609"/>
      <c r="WTI55" s="609"/>
      <c r="WTJ55" s="609"/>
      <c r="WTK55" s="609"/>
      <c r="WTL55" s="609"/>
      <c r="WTM55" s="609"/>
      <c r="WTN55" s="609"/>
      <c r="WTO55" s="609"/>
      <c r="WTP55" s="609"/>
      <c r="WTQ55" s="609"/>
      <c r="WTR55" s="609"/>
      <c r="WTS55" s="609"/>
      <c r="WTT55" s="609"/>
      <c r="WTU55" s="609"/>
      <c r="WTV55" s="609"/>
      <c r="WTW55" s="609"/>
      <c r="WTX55" s="609"/>
      <c r="WTY55" s="609"/>
      <c r="WTZ55" s="609"/>
      <c r="WUA55" s="609"/>
      <c r="WUB55" s="609"/>
      <c r="WUC55" s="609"/>
      <c r="WUD55" s="609"/>
      <c r="WUE55" s="609"/>
      <c r="WUF55" s="609"/>
      <c r="WUG55" s="609"/>
      <c r="WUH55" s="609"/>
      <c r="WUI55" s="609"/>
      <c r="WUJ55" s="609"/>
      <c r="WUK55" s="609"/>
      <c r="WUL55" s="609"/>
      <c r="WUM55" s="609"/>
      <c r="WUN55" s="609"/>
      <c r="WUO55" s="609"/>
      <c r="WUP55" s="609"/>
      <c r="WUQ55" s="609"/>
      <c r="WUR55" s="609"/>
      <c r="WUS55" s="609"/>
      <c r="WUT55" s="609"/>
      <c r="WUU55" s="609"/>
      <c r="WUV55" s="609"/>
      <c r="WUW55" s="609"/>
      <c r="WUX55" s="609"/>
      <c r="WUY55" s="609"/>
      <c r="WUZ55" s="609"/>
      <c r="WVA55" s="609"/>
      <c r="WVB55" s="609"/>
      <c r="WVC55" s="609"/>
      <c r="WVD55" s="609"/>
      <c r="WVE55" s="609"/>
      <c r="WVF55" s="609"/>
      <c r="WVG55" s="609"/>
      <c r="WVH55" s="609"/>
      <c r="WVI55" s="609"/>
      <c r="WVJ55" s="609"/>
      <c r="WVK55" s="609"/>
      <c r="WVL55" s="609"/>
      <c r="WVM55" s="609"/>
      <c r="WVN55" s="609"/>
      <c r="WVO55" s="609"/>
      <c r="WVP55" s="609"/>
      <c r="WVQ55" s="609"/>
      <c r="WVR55" s="609"/>
      <c r="WVS55" s="609"/>
      <c r="WVT55" s="609"/>
      <c r="WVU55" s="609"/>
      <c r="WVV55" s="609"/>
      <c r="WVW55" s="609"/>
      <c r="WVX55" s="609"/>
      <c r="WVY55" s="609"/>
      <c r="WVZ55" s="609"/>
      <c r="WWA55" s="609"/>
      <c r="WWB55" s="609"/>
      <c r="WWC55" s="609"/>
      <c r="WWD55" s="609"/>
      <c r="WWE55" s="609"/>
      <c r="WWF55" s="609"/>
      <c r="WWG55" s="609"/>
      <c r="WWH55" s="609"/>
      <c r="WWI55" s="609"/>
      <c r="WWJ55" s="609"/>
      <c r="WWK55" s="609"/>
      <c r="WWL55" s="609"/>
      <c r="WWM55" s="609"/>
      <c r="WWN55" s="609"/>
      <c r="WWO55" s="609"/>
      <c r="WWP55" s="609"/>
      <c r="WWQ55" s="609"/>
      <c r="WWR55" s="609"/>
      <c r="WWS55" s="609"/>
      <c r="WWT55" s="609"/>
      <c r="WWU55" s="609"/>
      <c r="WWV55" s="609"/>
      <c r="WWW55" s="609"/>
      <c r="WWX55" s="609"/>
      <c r="WWY55" s="609"/>
      <c r="WWZ55" s="609"/>
      <c r="WXA55" s="609"/>
      <c r="WXB55" s="609"/>
      <c r="WXC55" s="609"/>
      <c r="WXD55" s="609"/>
      <c r="WXE55" s="609"/>
      <c r="WXF55" s="609"/>
      <c r="WXG55" s="609"/>
      <c r="WXH55" s="609"/>
      <c r="WXI55" s="609"/>
      <c r="WXJ55" s="609"/>
      <c r="WXK55" s="609"/>
      <c r="WXL55" s="609"/>
      <c r="WXM55" s="609"/>
      <c r="WXN55" s="609"/>
      <c r="WXO55" s="609"/>
      <c r="WXP55" s="609"/>
      <c r="WXQ55" s="609"/>
      <c r="WXR55" s="609"/>
      <c r="WXS55" s="609"/>
      <c r="WXT55" s="609"/>
      <c r="WXU55" s="609"/>
      <c r="WXV55" s="609"/>
      <c r="WXW55" s="609"/>
      <c r="WXX55" s="609"/>
      <c r="WXY55" s="609"/>
      <c r="WXZ55" s="609"/>
      <c r="WYA55" s="609"/>
      <c r="WYB55" s="609"/>
      <c r="WYC55" s="609"/>
      <c r="WYD55" s="609"/>
      <c r="WYE55" s="609"/>
      <c r="WYF55" s="609"/>
      <c r="WYG55" s="609"/>
      <c r="WYH55" s="609"/>
      <c r="WYI55" s="609"/>
      <c r="WYJ55" s="609"/>
      <c r="WYK55" s="609"/>
      <c r="WYL55" s="609"/>
      <c r="WYM55" s="609"/>
      <c r="WYN55" s="609"/>
      <c r="WYO55" s="609"/>
      <c r="WYP55" s="609"/>
      <c r="WYQ55" s="609"/>
      <c r="WYR55" s="609"/>
      <c r="WYS55" s="609"/>
      <c r="WYT55" s="609"/>
      <c r="WYU55" s="609"/>
      <c r="WYV55" s="609"/>
      <c r="WYW55" s="609"/>
      <c r="WYX55" s="609"/>
      <c r="WYY55" s="609"/>
      <c r="WYZ55" s="609"/>
      <c r="WZA55" s="609"/>
      <c r="WZB55" s="609"/>
      <c r="WZC55" s="609"/>
      <c r="WZD55" s="609"/>
      <c r="WZE55" s="609"/>
      <c r="WZF55" s="609"/>
      <c r="WZG55" s="609"/>
      <c r="WZH55" s="609"/>
      <c r="WZI55" s="609"/>
      <c r="WZJ55" s="609"/>
      <c r="WZK55" s="609"/>
      <c r="WZL55" s="609"/>
      <c r="WZM55" s="609"/>
      <c r="WZN55" s="609"/>
      <c r="WZO55" s="609"/>
      <c r="WZP55" s="609"/>
      <c r="WZQ55" s="609"/>
      <c r="WZR55" s="609"/>
      <c r="WZS55" s="609"/>
      <c r="WZT55" s="609"/>
      <c r="WZU55" s="609"/>
      <c r="WZV55" s="609"/>
      <c r="WZW55" s="609"/>
      <c r="WZX55" s="609"/>
      <c r="WZY55" s="609"/>
      <c r="WZZ55" s="609"/>
      <c r="XAA55" s="609"/>
      <c r="XAB55" s="609"/>
      <c r="XAC55" s="609"/>
      <c r="XAD55" s="609"/>
      <c r="XAE55" s="609"/>
      <c r="XAF55" s="609"/>
      <c r="XAG55" s="609"/>
      <c r="XAH55" s="609"/>
      <c r="XAI55" s="609"/>
      <c r="XAJ55" s="609"/>
      <c r="XAK55" s="609"/>
      <c r="XAL55" s="609"/>
      <c r="XAM55" s="609"/>
      <c r="XAN55" s="609"/>
      <c r="XAO55" s="609"/>
      <c r="XAP55" s="609"/>
      <c r="XAQ55" s="609"/>
      <c r="XAR55" s="609"/>
      <c r="XAS55" s="609"/>
      <c r="XAT55" s="609"/>
      <c r="XAU55" s="609"/>
      <c r="XAV55" s="609"/>
      <c r="XAW55" s="609"/>
      <c r="XAX55" s="609"/>
      <c r="XAY55" s="609"/>
      <c r="XAZ55" s="609"/>
      <c r="XBA55" s="609"/>
      <c r="XBB55" s="609"/>
      <c r="XBC55" s="609"/>
      <c r="XBD55" s="609"/>
      <c r="XBE55" s="609"/>
      <c r="XBF55" s="609"/>
      <c r="XBG55" s="609"/>
      <c r="XBH55" s="609"/>
      <c r="XBI55" s="609"/>
      <c r="XBJ55" s="609"/>
      <c r="XBK55" s="609"/>
      <c r="XBL55" s="609"/>
      <c r="XBM55" s="609"/>
      <c r="XBN55" s="609"/>
      <c r="XBO55" s="609"/>
      <c r="XBP55" s="609"/>
      <c r="XBQ55" s="609"/>
      <c r="XBR55" s="609"/>
      <c r="XBS55" s="609"/>
      <c r="XBT55" s="609"/>
      <c r="XBU55" s="609"/>
      <c r="XBV55" s="609"/>
      <c r="XBW55" s="609"/>
      <c r="XBX55" s="609"/>
      <c r="XBY55" s="609"/>
      <c r="XBZ55" s="609"/>
      <c r="XCA55" s="609"/>
      <c r="XCB55" s="609"/>
      <c r="XCC55" s="609"/>
      <c r="XCD55" s="609"/>
      <c r="XCE55" s="609"/>
      <c r="XCF55" s="609"/>
      <c r="XCG55" s="609"/>
      <c r="XCH55" s="609"/>
      <c r="XCI55" s="609"/>
      <c r="XCJ55" s="609"/>
      <c r="XCK55" s="609"/>
      <c r="XCL55" s="609"/>
      <c r="XCM55" s="609"/>
      <c r="XCN55" s="609"/>
      <c r="XCO55" s="609"/>
      <c r="XCP55" s="609"/>
      <c r="XCQ55" s="609"/>
      <c r="XCR55" s="609"/>
      <c r="XCS55" s="609"/>
      <c r="XCT55" s="609"/>
      <c r="XCU55" s="609"/>
      <c r="XCV55" s="609"/>
      <c r="XCW55" s="609"/>
      <c r="XCX55" s="609"/>
      <c r="XCY55" s="609"/>
      <c r="XCZ55" s="609"/>
      <c r="XDA55" s="609"/>
      <c r="XDB55" s="609"/>
      <c r="XDC55" s="609"/>
      <c r="XDD55" s="609"/>
      <c r="XDE55" s="609"/>
      <c r="XDF55" s="609"/>
      <c r="XDG55" s="609"/>
      <c r="XDH55" s="609"/>
      <c r="XDI55" s="609"/>
      <c r="XDJ55" s="609"/>
      <c r="XDK55" s="609"/>
      <c r="XDL55" s="609"/>
      <c r="XDM55" s="609"/>
      <c r="XDN55" s="609"/>
      <c r="XDO55" s="609"/>
      <c r="XDP55" s="609"/>
      <c r="XDQ55" s="609"/>
      <c r="XDR55" s="609"/>
      <c r="XDS55" s="609"/>
      <c r="XDT55" s="609"/>
      <c r="XDU55" s="609"/>
      <c r="XDV55" s="609"/>
      <c r="XDW55" s="609"/>
      <c r="XDX55" s="609"/>
      <c r="XDY55" s="609"/>
      <c r="XDZ55" s="609"/>
      <c r="XEA55" s="609"/>
      <c r="XEB55" s="609"/>
      <c r="XEC55" s="609"/>
      <c r="XED55" s="609"/>
      <c r="XEE55" s="609"/>
      <c r="XEF55" s="609"/>
      <c r="XEG55" s="609"/>
      <c r="XEH55" s="609"/>
      <c r="XEI55" s="609"/>
      <c r="XEJ55" s="609"/>
      <c r="XEK55" s="609"/>
      <c r="XEL55" s="609"/>
      <c r="XEM55" s="609"/>
      <c r="XEN55" s="609"/>
      <c r="XEO55" s="609"/>
      <c r="XEP55" s="609"/>
      <c r="XEQ55" s="609"/>
      <c r="XER55" s="609"/>
      <c r="XES55" s="609"/>
      <c r="XET55" s="609"/>
      <c r="XEU55" s="609"/>
      <c r="XEV55" s="609"/>
      <c r="XEW55" s="609"/>
      <c r="XEX55" s="609"/>
      <c r="XEY55" s="609"/>
      <c r="XEZ55" s="609"/>
      <c r="XFA55" s="609"/>
    </row>
    <row r="56" spans="1:16381" s="609" customFormat="1" ht="25.5">
      <c r="A56" s="609" t="str">
        <f t="shared" si="0"/>
        <v>CSM Deutschland GmbH v. 01.07.2021</v>
      </c>
      <c r="B56" s="609">
        <f>ROW()</f>
        <v>56</v>
      </c>
      <c r="C56" s="635" t="s">
        <v>1271</v>
      </c>
      <c r="D56" s="1201">
        <v>44378</v>
      </c>
      <c r="E56" s="636" t="s">
        <v>776</v>
      </c>
      <c r="F56" s="637" t="str">
        <f t="shared" si="5"/>
        <v/>
      </c>
      <c r="G56" s="634" t="str">
        <f t="shared" si="2"/>
        <v xml:space="preserve">TO ermöglicht: doppelten Kostenabzug; </v>
      </c>
      <c r="H56"/>
      <c r="I56" s="634"/>
      <c r="J56" s="788"/>
      <c r="K56" s="1199"/>
      <c r="L56" s="1199">
        <v>2</v>
      </c>
      <c r="M56" s="1199"/>
      <c r="N56" s="1199"/>
      <c r="O56" s="789" t="s">
        <v>812</v>
      </c>
      <c r="P56" s="144">
        <f t="shared" si="6"/>
        <v>2</v>
      </c>
    </row>
    <row r="57" spans="1:16381" ht="33.75">
      <c r="A57" s="609" t="str">
        <f t="shared" si="0"/>
        <v>DAG Stiftung Ruhegehaltskasse v. 10.12.2015</v>
      </c>
      <c r="B57" s="609">
        <f>ROW()</f>
        <v>57</v>
      </c>
      <c r="C57" s="635" t="s">
        <v>726</v>
      </c>
      <c r="D57" s="1201">
        <v>42348</v>
      </c>
      <c r="E57" s="636" t="s">
        <v>727</v>
      </c>
      <c r="F57" s="637" t="str">
        <f t="shared" si="5"/>
        <v/>
      </c>
      <c r="G57" s="634" t="str">
        <f t="shared" si="2"/>
        <v xml:space="preserve">TO ermöglicht: doppelten Kostenabzug; </v>
      </c>
      <c r="H57" s="609"/>
      <c r="K57" s="1199"/>
      <c r="L57" s="1199">
        <v>2</v>
      </c>
      <c r="M57" s="1199"/>
      <c r="N57" s="1199"/>
      <c r="O57" s="793" t="s">
        <v>728</v>
      </c>
      <c r="P57" s="144">
        <f t="shared" si="6"/>
        <v>2</v>
      </c>
    </row>
    <row r="58" spans="1:16381" ht="22.5">
      <c r="A58" s="609" t="str">
        <f t="shared" si="0"/>
        <v>Daimler Brand &amp; IP Management GmbH &amp; Co.KG v. 01.04.2021</v>
      </c>
      <c r="B58" s="609">
        <f>ROW()</f>
        <v>58</v>
      </c>
      <c r="C58" s="635" t="s">
        <v>1017</v>
      </c>
      <c r="D58" s="1201">
        <v>44287</v>
      </c>
      <c r="E58" s="636" t="s">
        <v>1014</v>
      </c>
      <c r="F58" s="637" t="str">
        <f t="shared" si="5"/>
        <v/>
      </c>
      <c r="G58" s="634" t="str">
        <f t="shared" si="2"/>
        <v>TO ermöglicht: doppelten Kostenabzug;  Verzinsung zwischen EzE und RK geltend machen</v>
      </c>
      <c r="I58" s="634" t="s">
        <v>1276</v>
      </c>
      <c r="K58" s="1199"/>
      <c r="L58" s="1199">
        <v>2</v>
      </c>
      <c r="M58" s="1199"/>
      <c r="N58" s="1199">
        <v>4</v>
      </c>
      <c r="P58" s="144">
        <f t="shared" si="6"/>
        <v>6</v>
      </c>
      <c r="Q58" s="609"/>
      <c r="R58" s="609"/>
      <c r="S58" s="609"/>
      <c r="T58" s="609"/>
      <c r="U58" s="609"/>
      <c r="V58" s="609"/>
      <c r="W58" s="609"/>
      <c r="X58" s="609"/>
      <c r="Y58" s="609"/>
      <c r="Z58" s="609"/>
      <c r="AA58" s="609"/>
      <c r="AB58" s="609"/>
      <c r="AC58" s="609"/>
      <c r="AD58" s="609"/>
      <c r="AE58" s="609"/>
      <c r="AF58" s="609"/>
      <c r="AG58" s="609"/>
      <c r="AH58" s="609"/>
      <c r="AI58" s="609"/>
      <c r="AJ58" s="609"/>
      <c r="AK58" s="609"/>
      <c r="AL58" s="609"/>
      <c r="AM58" s="609"/>
      <c r="AN58" s="609"/>
      <c r="AO58" s="609"/>
      <c r="AP58" s="609"/>
      <c r="AQ58" s="609"/>
      <c r="AR58" s="609"/>
      <c r="AS58" s="609"/>
      <c r="AT58" s="609"/>
      <c r="AU58" s="609"/>
      <c r="AV58" s="609"/>
      <c r="AW58" s="609"/>
      <c r="AX58" s="609"/>
      <c r="AY58" s="609"/>
      <c r="AZ58" s="609"/>
      <c r="BA58" s="609"/>
      <c r="BB58" s="609"/>
      <c r="BC58" s="609"/>
      <c r="BD58" s="609"/>
      <c r="BE58" s="609"/>
      <c r="BF58" s="609"/>
      <c r="BG58" s="609"/>
      <c r="BH58" s="609"/>
      <c r="BI58" s="609"/>
      <c r="BJ58" s="609"/>
      <c r="BK58" s="609"/>
      <c r="BL58" s="609"/>
      <c r="BM58" s="609"/>
      <c r="BN58" s="609"/>
      <c r="BO58" s="609"/>
      <c r="BP58" s="609"/>
      <c r="BQ58" s="609"/>
      <c r="BR58" s="609"/>
      <c r="BS58" s="609"/>
      <c r="BT58" s="609"/>
      <c r="BU58" s="609"/>
      <c r="BV58" s="609"/>
      <c r="BW58" s="609"/>
      <c r="BX58" s="609"/>
      <c r="BY58" s="609"/>
      <c r="BZ58" s="609"/>
      <c r="CA58" s="609"/>
      <c r="CB58" s="609"/>
      <c r="CC58" s="609"/>
      <c r="CD58" s="609"/>
      <c r="CE58" s="609"/>
      <c r="CF58" s="609"/>
      <c r="CG58" s="609"/>
      <c r="CH58" s="609"/>
      <c r="CI58" s="609"/>
      <c r="CJ58" s="609"/>
      <c r="CK58" s="609"/>
      <c r="CL58" s="609"/>
      <c r="CM58" s="609"/>
      <c r="CN58" s="609"/>
      <c r="CO58" s="609"/>
      <c r="CP58" s="609"/>
      <c r="CQ58" s="609"/>
      <c r="CR58" s="609"/>
      <c r="CS58" s="609"/>
      <c r="CT58" s="609"/>
      <c r="CU58" s="609"/>
      <c r="CV58" s="609"/>
      <c r="CW58" s="609"/>
      <c r="CX58" s="609"/>
      <c r="CY58" s="609"/>
      <c r="CZ58" s="609"/>
      <c r="DA58" s="609"/>
      <c r="DB58" s="609"/>
      <c r="DC58" s="609"/>
      <c r="DD58" s="609"/>
      <c r="DE58" s="609"/>
      <c r="DF58" s="609"/>
      <c r="DG58" s="609"/>
      <c r="DH58" s="609"/>
      <c r="DI58" s="609"/>
      <c r="DJ58" s="609"/>
      <c r="DK58" s="609"/>
      <c r="DL58" s="609"/>
      <c r="DM58" s="609"/>
      <c r="DN58" s="609"/>
      <c r="DO58" s="609"/>
      <c r="DP58" s="609"/>
      <c r="DQ58" s="609"/>
      <c r="DR58" s="609"/>
      <c r="DS58" s="609"/>
      <c r="DT58" s="609"/>
      <c r="DU58" s="609"/>
      <c r="DV58" s="609"/>
      <c r="DW58" s="609"/>
      <c r="DX58" s="609"/>
      <c r="DY58" s="609"/>
      <c r="DZ58" s="609"/>
      <c r="EA58" s="609"/>
      <c r="EB58" s="609"/>
      <c r="EC58" s="609"/>
      <c r="ED58" s="609"/>
      <c r="EE58" s="609"/>
      <c r="EF58" s="609"/>
      <c r="EG58" s="609"/>
      <c r="EH58" s="609"/>
      <c r="EI58" s="609"/>
      <c r="EJ58" s="609"/>
      <c r="EK58" s="609"/>
      <c r="EL58" s="609"/>
      <c r="EM58" s="609"/>
      <c r="EN58" s="609"/>
      <c r="EO58" s="609"/>
      <c r="EP58" s="609"/>
      <c r="EQ58" s="609"/>
      <c r="ER58" s="609"/>
      <c r="ES58" s="609"/>
      <c r="ET58" s="609"/>
      <c r="EU58" s="609"/>
      <c r="EV58" s="609"/>
      <c r="EW58" s="609"/>
      <c r="EX58" s="609"/>
      <c r="EY58" s="609"/>
      <c r="EZ58" s="609"/>
      <c r="FA58" s="609"/>
      <c r="FB58" s="609"/>
      <c r="FC58" s="609"/>
      <c r="FD58" s="609"/>
      <c r="FE58" s="609"/>
      <c r="FF58" s="609"/>
      <c r="FG58" s="609"/>
      <c r="FH58" s="609"/>
      <c r="FI58" s="609"/>
      <c r="FJ58" s="609"/>
      <c r="FK58" s="609"/>
      <c r="FL58" s="609"/>
      <c r="FM58" s="609"/>
      <c r="FN58" s="609"/>
      <c r="FO58" s="609"/>
      <c r="FP58" s="609"/>
      <c r="FQ58" s="609"/>
      <c r="FR58" s="609"/>
      <c r="FS58" s="609"/>
      <c r="FT58" s="609"/>
      <c r="FU58" s="609"/>
      <c r="FV58" s="609"/>
      <c r="FW58" s="609"/>
      <c r="FX58" s="609"/>
      <c r="FY58" s="609"/>
      <c r="FZ58" s="609"/>
      <c r="GA58" s="609"/>
      <c r="GB58" s="609"/>
      <c r="GC58" s="609"/>
      <c r="GD58" s="609"/>
      <c r="GE58" s="609"/>
      <c r="GF58" s="609"/>
      <c r="GG58" s="609"/>
      <c r="GH58" s="609"/>
      <c r="GI58" s="609"/>
      <c r="GJ58" s="609"/>
      <c r="GK58" s="609"/>
      <c r="GL58" s="609"/>
      <c r="GM58" s="609"/>
      <c r="GN58" s="609"/>
      <c r="GO58" s="609"/>
      <c r="GP58" s="609"/>
      <c r="GQ58" s="609"/>
      <c r="GR58" s="609"/>
      <c r="GS58" s="609"/>
      <c r="GT58" s="609"/>
      <c r="GU58" s="609"/>
      <c r="GV58" s="609"/>
      <c r="GW58" s="609"/>
      <c r="GX58" s="609"/>
      <c r="GY58" s="609"/>
      <c r="GZ58" s="609"/>
      <c r="HA58" s="609"/>
      <c r="HB58" s="609"/>
      <c r="HC58" s="609"/>
      <c r="HD58" s="609"/>
      <c r="HE58" s="609"/>
      <c r="HF58" s="609"/>
      <c r="HG58" s="609"/>
      <c r="HH58" s="609"/>
      <c r="HI58" s="609"/>
      <c r="HJ58" s="609"/>
      <c r="HK58" s="609"/>
      <c r="HL58" s="609"/>
      <c r="HM58" s="609"/>
      <c r="HN58" s="609"/>
      <c r="HO58" s="609"/>
      <c r="HP58" s="609"/>
      <c r="HQ58" s="609"/>
      <c r="HR58" s="609"/>
      <c r="HS58" s="609"/>
      <c r="HT58" s="609"/>
      <c r="HU58" s="609"/>
      <c r="HV58" s="609"/>
      <c r="HW58" s="609"/>
      <c r="HX58" s="609"/>
      <c r="HY58" s="609"/>
      <c r="HZ58" s="609"/>
      <c r="IA58" s="609"/>
      <c r="IB58" s="609"/>
      <c r="IC58" s="609"/>
      <c r="ID58" s="609"/>
      <c r="IE58" s="609"/>
      <c r="IF58" s="609"/>
      <c r="IG58" s="609"/>
      <c r="IH58" s="609"/>
      <c r="II58" s="609"/>
      <c r="IJ58" s="609"/>
      <c r="IK58" s="609"/>
      <c r="IL58" s="609"/>
      <c r="IM58" s="609"/>
      <c r="IN58" s="609"/>
      <c r="IO58" s="609"/>
      <c r="IP58" s="609"/>
      <c r="IQ58" s="609"/>
      <c r="IR58" s="609"/>
      <c r="IS58" s="609"/>
      <c r="IT58" s="609"/>
      <c r="IU58" s="609"/>
      <c r="IV58" s="609"/>
      <c r="IW58" s="609"/>
      <c r="IX58" s="609"/>
      <c r="IY58" s="609"/>
      <c r="IZ58" s="609"/>
      <c r="JA58" s="609"/>
      <c r="JB58" s="609"/>
      <c r="JC58" s="609"/>
      <c r="JD58" s="609"/>
      <c r="JE58" s="609"/>
      <c r="JF58" s="609"/>
      <c r="JG58" s="609"/>
      <c r="JH58" s="609"/>
      <c r="JI58" s="609"/>
      <c r="JJ58" s="609"/>
      <c r="JK58" s="609"/>
      <c r="JL58" s="609"/>
      <c r="JM58" s="609"/>
      <c r="JN58" s="609"/>
      <c r="JO58" s="609"/>
      <c r="JP58" s="609"/>
      <c r="JQ58" s="609"/>
      <c r="JR58" s="609"/>
      <c r="JS58" s="609"/>
      <c r="JT58" s="609"/>
      <c r="JU58" s="609"/>
      <c r="JV58" s="609"/>
      <c r="JW58" s="609"/>
      <c r="JX58" s="609"/>
      <c r="JY58" s="609"/>
      <c r="JZ58" s="609"/>
      <c r="KA58" s="609"/>
      <c r="KB58" s="609"/>
      <c r="KC58" s="609"/>
      <c r="KD58" s="609"/>
      <c r="KE58" s="609"/>
      <c r="KF58" s="609"/>
      <c r="KG58" s="609"/>
      <c r="KH58" s="609"/>
      <c r="KI58" s="609"/>
      <c r="KJ58" s="609"/>
      <c r="KK58" s="609"/>
      <c r="KL58" s="609"/>
      <c r="KM58" s="609"/>
      <c r="KN58" s="609"/>
      <c r="KO58" s="609"/>
      <c r="KP58" s="609"/>
      <c r="KQ58" s="609"/>
      <c r="KR58" s="609"/>
      <c r="KS58" s="609"/>
      <c r="KT58" s="609"/>
      <c r="KU58" s="609"/>
      <c r="KV58" s="609"/>
      <c r="KW58" s="609"/>
      <c r="KX58" s="609"/>
      <c r="KY58" s="609"/>
      <c r="KZ58" s="609"/>
      <c r="LA58" s="609"/>
      <c r="LB58" s="609"/>
      <c r="LC58" s="609"/>
      <c r="LD58" s="609"/>
      <c r="LE58" s="609"/>
      <c r="LF58" s="609"/>
      <c r="LG58" s="609"/>
      <c r="LH58" s="609"/>
      <c r="LI58" s="609"/>
      <c r="LJ58" s="609"/>
      <c r="LK58" s="609"/>
      <c r="LL58" s="609"/>
      <c r="LM58" s="609"/>
      <c r="LN58" s="609"/>
      <c r="LO58" s="609"/>
      <c r="LP58" s="609"/>
      <c r="LQ58" s="609"/>
      <c r="LR58" s="609"/>
      <c r="LS58" s="609"/>
      <c r="LT58" s="609"/>
      <c r="LU58" s="609"/>
      <c r="LV58" s="609"/>
      <c r="LW58" s="609"/>
      <c r="LX58" s="609"/>
      <c r="LY58" s="609"/>
      <c r="LZ58" s="609"/>
      <c r="MA58" s="609"/>
      <c r="MB58" s="609"/>
      <c r="MC58" s="609"/>
      <c r="MD58" s="609"/>
      <c r="ME58" s="609"/>
      <c r="MF58" s="609"/>
      <c r="MG58" s="609"/>
      <c r="MH58" s="609"/>
      <c r="MI58" s="609"/>
      <c r="MJ58" s="609"/>
      <c r="MK58" s="609"/>
      <c r="ML58" s="609"/>
      <c r="MM58" s="609"/>
      <c r="MN58" s="609"/>
      <c r="MO58" s="609"/>
      <c r="MP58" s="609"/>
      <c r="MQ58" s="609"/>
      <c r="MR58" s="609"/>
      <c r="MS58" s="609"/>
      <c r="MT58" s="609"/>
      <c r="MU58" s="609"/>
      <c r="MV58" s="609"/>
      <c r="MW58" s="609"/>
      <c r="MX58" s="609"/>
      <c r="MY58" s="609"/>
      <c r="MZ58" s="609"/>
      <c r="NA58" s="609"/>
      <c r="NB58" s="609"/>
      <c r="NC58" s="609"/>
      <c r="ND58" s="609"/>
      <c r="NE58" s="609"/>
      <c r="NF58" s="609"/>
      <c r="NG58" s="609"/>
      <c r="NH58" s="609"/>
      <c r="NI58" s="609"/>
      <c r="NJ58" s="609"/>
      <c r="NK58" s="609"/>
      <c r="NL58" s="609"/>
      <c r="NM58" s="609"/>
      <c r="NN58" s="609"/>
      <c r="NO58" s="609"/>
      <c r="NP58" s="609"/>
      <c r="NQ58" s="609"/>
      <c r="NR58" s="609"/>
      <c r="NS58" s="609"/>
      <c r="NT58" s="609"/>
      <c r="NU58" s="609"/>
      <c r="NV58" s="609"/>
      <c r="NW58" s="609"/>
      <c r="NX58" s="609"/>
      <c r="NY58" s="609"/>
      <c r="NZ58" s="609"/>
      <c r="OA58" s="609"/>
      <c r="OB58" s="609"/>
      <c r="OC58" s="609"/>
      <c r="OD58" s="609"/>
      <c r="OE58" s="609"/>
      <c r="OF58" s="609"/>
      <c r="OG58" s="609"/>
      <c r="OH58" s="609"/>
      <c r="OI58" s="609"/>
      <c r="OJ58" s="609"/>
      <c r="OK58" s="609"/>
      <c r="OL58" s="609"/>
      <c r="OM58" s="609"/>
      <c r="ON58" s="609"/>
      <c r="OO58" s="609"/>
      <c r="OP58" s="609"/>
      <c r="OQ58" s="609"/>
      <c r="OR58" s="609"/>
      <c r="OS58" s="609"/>
      <c r="OT58" s="609"/>
      <c r="OU58" s="609"/>
      <c r="OV58" s="609"/>
      <c r="OW58" s="609"/>
      <c r="OX58" s="609"/>
      <c r="OY58" s="609"/>
      <c r="OZ58" s="609"/>
      <c r="PA58" s="609"/>
      <c r="PB58" s="609"/>
      <c r="PC58" s="609"/>
      <c r="PD58" s="609"/>
      <c r="PE58" s="609"/>
      <c r="PF58" s="609"/>
      <c r="PG58" s="609"/>
      <c r="PH58" s="609"/>
      <c r="PI58" s="609"/>
      <c r="PJ58" s="609"/>
      <c r="PK58" s="609"/>
      <c r="PL58" s="609"/>
      <c r="PM58" s="609"/>
      <c r="PN58" s="609"/>
      <c r="PO58" s="609"/>
      <c r="PP58" s="609"/>
      <c r="PQ58" s="609"/>
      <c r="PR58" s="609"/>
      <c r="PS58" s="609"/>
      <c r="PT58" s="609"/>
      <c r="PU58" s="609"/>
      <c r="PV58" s="609"/>
      <c r="PW58" s="609"/>
      <c r="PX58" s="609"/>
      <c r="PY58" s="609"/>
      <c r="PZ58" s="609"/>
      <c r="QA58" s="609"/>
      <c r="QB58" s="609"/>
      <c r="QC58" s="609"/>
      <c r="QD58" s="609"/>
      <c r="QE58" s="609"/>
      <c r="QF58" s="609"/>
      <c r="QG58" s="609"/>
      <c r="QH58" s="609"/>
      <c r="QI58" s="609"/>
      <c r="QJ58" s="609"/>
      <c r="QK58" s="609"/>
      <c r="QL58" s="609"/>
      <c r="QM58" s="609"/>
      <c r="QN58" s="609"/>
      <c r="QO58" s="609"/>
      <c r="QP58" s="609"/>
      <c r="QQ58" s="609"/>
      <c r="QR58" s="609"/>
      <c r="QS58" s="609"/>
      <c r="QT58" s="609"/>
      <c r="QU58" s="609"/>
      <c r="QV58" s="609"/>
      <c r="QW58" s="609"/>
      <c r="QX58" s="609"/>
      <c r="QY58" s="609"/>
      <c r="QZ58" s="609"/>
      <c r="RA58" s="609"/>
      <c r="RB58" s="609"/>
      <c r="RC58" s="609"/>
      <c r="RD58" s="609"/>
      <c r="RE58" s="609"/>
      <c r="RF58" s="609"/>
      <c r="RG58" s="609"/>
      <c r="RH58" s="609"/>
      <c r="RI58" s="609"/>
      <c r="RJ58" s="609"/>
      <c r="RK58" s="609"/>
      <c r="RL58" s="609"/>
      <c r="RM58" s="609"/>
      <c r="RN58" s="609"/>
      <c r="RO58" s="609"/>
      <c r="RP58" s="609"/>
      <c r="RQ58" s="609"/>
      <c r="RR58" s="609"/>
      <c r="RS58" s="609"/>
      <c r="RT58" s="609"/>
      <c r="RU58" s="609"/>
      <c r="RV58" s="609"/>
      <c r="RW58" s="609"/>
      <c r="RX58" s="609"/>
      <c r="RY58" s="609"/>
      <c r="RZ58" s="609"/>
      <c r="SA58" s="609"/>
      <c r="SB58" s="609"/>
      <c r="SC58" s="609"/>
      <c r="SD58" s="609"/>
      <c r="SE58" s="609"/>
      <c r="SF58" s="609"/>
      <c r="SG58" s="609"/>
      <c r="SH58" s="609"/>
      <c r="SI58" s="609"/>
      <c r="SJ58" s="609"/>
      <c r="SK58" s="609"/>
      <c r="SL58" s="609"/>
      <c r="SM58" s="609"/>
      <c r="SN58" s="609"/>
      <c r="SO58" s="609"/>
      <c r="SP58" s="609"/>
      <c r="SQ58" s="609"/>
      <c r="SR58" s="609"/>
      <c r="SS58" s="609"/>
      <c r="ST58" s="609"/>
      <c r="SU58" s="609"/>
      <c r="SV58" s="609"/>
      <c r="SW58" s="609"/>
      <c r="SX58" s="609"/>
      <c r="SY58" s="609"/>
      <c r="SZ58" s="609"/>
      <c r="TA58" s="609"/>
      <c r="TB58" s="609"/>
      <c r="TC58" s="609"/>
      <c r="TD58" s="609"/>
      <c r="TE58" s="609"/>
      <c r="TF58" s="609"/>
      <c r="TG58" s="609"/>
      <c r="TH58" s="609"/>
      <c r="TI58" s="609"/>
      <c r="TJ58" s="609"/>
      <c r="TK58" s="609"/>
      <c r="TL58" s="609"/>
      <c r="TM58" s="609"/>
      <c r="TN58" s="609"/>
      <c r="TO58" s="609"/>
      <c r="TP58" s="609"/>
      <c r="TQ58" s="609"/>
      <c r="TR58" s="609"/>
      <c r="TS58" s="609"/>
      <c r="TT58" s="609"/>
      <c r="TU58" s="609"/>
      <c r="TV58" s="609"/>
      <c r="TW58" s="609"/>
      <c r="TX58" s="609"/>
      <c r="TY58" s="609"/>
      <c r="TZ58" s="609"/>
      <c r="UA58" s="609"/>
      <c r="UB58" s="609"/>
      <c r="UC58" s="609"/>
      <c r="UD58" s="609"/>
      <c r="UE58" s="609"/>
      <c r="UF58" s="609"/>
      <c r="UG58" s="609"/>
      <c r="UH58" s="609"/>
      <c r="UI58" s="609"/>
      <c r="UJ58" s="609"/>
      <c r="UK58" s="609"/>
      <c r="UL58" s="609"/>
      <c r="UM58" s="609"/>
      <c r="UN58" s="609"/>
      <c r="UO58" s="609"/>
      <c r="UP58" s="609"/>
      <c r="UQ58" s="609"/>
      <c r="UR58" s="609"/>
      <c r="US58" s="609"/>
      <c r="UT58" s="609"/>
      <c r="UU58" s="609"/>
      <c r="UV58" s="609"/>
      <c r="UW58" s="609"/>
      <c r="UX58" s="609"/>
      <c r="UY58" s="609"/>
      <c r="UZ58" s="609"/>
      <c r="VA58" s="609"/>
      <c r="VB58" s="609"/>
      <c r="VC58" s="609"/>
      <c r="VD58" s="609"/>
      <c r="VE58" s="609"/>
      <c r="VF58" s="609"/>
      <c r="VG58" s="609"/>
      <c r="VH58" s="609"/>
      <c r="VI58" s="609"/>
      <c r="VJ58" s="609"/>
      <c r="VK58" s="609"/>
      <c r="VL58" s="609"/>
      <c r="VM58" s="609"/>
      <c r="VN58" s="609"/>
      <c r="VO58" s="609"/>
      <c r="VP58" s="609"/>
      <c r="VQ58" s="609"/>
      <c r="VR58" s="609"/>
      <c r="VS58" s="609"/>
      <c r="VT58" s="609"/>
      <c r="VU58" s="609"/>
      <c r="VV58" s="609"/>
      <c r="VW58" s="609"/>
      <c r="VX58" s="609"/>
      <c r="VY58" s="609"/>
      <c r="VZ58" s="609"/>
      <c r="WA58" s="609"/>
      <c r="WB58" s="609"/>
      <c r="WC58" s="609"/>
      <c r="WD58" s="609"/>
      <c r="WE58" s="609"/>
      <c r="WF58" s="609"/>
      <c r="WG58" s="609"/>
      <c r="WH58" s="609"/>
      <c r="WI58" s="609"/>
      <c r="WJ58" s="609"/>
      <c r="WK58" s="609"/>
      <c r="WL58" s="609"/>
      <c r="WM58" s="609"/>
      <c r="WN58" s="609"/>
      <c r="WO58" s="609"/>
      <c r="WP58" s="609"/>
      <c r="WQ58" s="609"/>
      <c r="WR58" s="609"/>
      <c r="WS58" s="609"/>
      <c r="WT58" s="609"/>
      <c r="WU58" s="609"/>
      <c r="WV58" s="609"/>
      <c r="WW58" s="609"/>
      <c r="WX58" s="609"/>
      <c r="WY58" s="609"/>
      <c r="WZ58" s="609"/>
      <c r="XA58" s="609"/>
      <c r="XB58" s="609"/>
      <c r="XC58" s="609"/>
      <c r="XD58" s="609"/>
      <c r="XE58" s="609"/>
      <c r="XF58" s="609"/>
      <c r="XG58" s="609"/>
      <c r="XH58" s="609"/>
      <c r="XI58" s="609"/>
      <c r="XJ58" s="609"/>
      <c r="XK58" s="609"/>
      <c r="XL58" s="609"/>
      <c r="XM58" s="609"/>
      <c r="XN58" s="609"/>
      <c r="XO58" s="609"/>
      <c r="XP58" s="609"/>
      <c r="XQ58" s="609"/>
      <c r="XR58" s="609"/>
      <c r="XS58" s="609"/>
      <c r="XT58" s="609"/>
      <c r="XU58" s="609"/>
      <c r="XV58" s="609"/>
      <c r="XW58" s="609"/>
      <c r="XX58" s="609"/>
      <c r="XY58" s="609"/>
      <c r="XZ58" s="609"/>
      <c r="YA58" s="609"/>
      <c r="YB58" s="609"/>
      <c r="YC58" s="609"/>
      <c r="YD58" s="609"/>
      <c r="YE58" s="609"/>
      <c r="YF58" s="609"/>
      <c r="YG58" s="609"/>
      <c r="YH58" s="609"/>
      <c r="YI58" s="609"/>
      <c r="YJ58" s="609"/>
      <c r="YK58" s="609"/>
      <c r="YL58" s="609"/>
      <c r="YM58" s="609"/>
      <c r="YN58" s="609"/>
      <c r="YO58" s="609"/>
      <c r="YP58" s="609"/>
      <c r="YQ58" s="609"/>
      <c r="YR58" s="609"/>
      <c r="YS58" s="609"/>
      <c r="YT58" s="609"/>
      <c r="YU58" s="609"/>
      <c r="YV58" s="609"/>
      <c r="YW58" s="609"/>
      <c r="YX58" s="609"/>
      <c r="YY58" s="609"/>
      <c r="YZ58" s="609"/>
      <c r="ZA58" s="609"/>
      <c r="ZB58" s="609"/>
      <c r="ZC58" s="609"/>
      <c r="ZD58" s="609"/>
      <c r="ZE58" s="609"/>
      <c r="ZF58" s="609"/>
      <c r="ZG58" s="609"/>
      <c r="ZH58" s="609"/>
      <c r="ZI58" s="609"/>
      <c r="ZJ58" s="609"/>
      <c r="ZK58" s="609"/>
      <c r="ZL58" s="609"/>
      <c r="ZM58" s="609"/>
      <c r="ZN58" s="609"/>
      <c r="ZO58" s="609"/>
      <c r="ZP58" s="609"/>
      <c r="ZQ58" s="609"/>
      <c r="ZR58" s="609"/>
      <c r="ZS58" s="609"/>
      <c r="ZT58" s="609"/>
      <c r="ZU58" s="609"/>
      <c r="ZV58" s="609"/>
      <c r="ZW58" s="609"/>
      <c r="ZX58" s="609"/>
      <c r="ZY58" s="609"/>
      <c r="ZZ58" s="609"/>
      <c r="AAA58" s="609"/>
      <c r="AAB58" s="609"/>
      <c r="AAC58" s="609"/>
      <c r="AAD58" s="609"/>
      <c r="AAE58" s="609"/>
      <c r="AAF58" s="609"/>
      <c r="AAG58" s="609"/>
      <c r="AAH58" s="609"/>
      <c r="AAI58" s="609"/>
      <c r="AAJ58" s="609"/>
      <c r="AAK58" s="609"/>
      <c r="AAL58" s="609"/>
      <c r="AAM58" s="609"/>
      <c r="AAN58" s="609"/>
      <c r="AAO58" s="609"/>
      <c r="AAP58" s="609"/>
      <c r="AAQ58" s="609"/>
      <c r="AAR58" s="609"/>
      <c r="AAS58" s="609"/>
      <c r="AAT58" s="609"/>
      <c r="AAU58" s="609"/>
      <c r="AAV58" s="609"/>
      <c r="AAW58" s="609"/>
      <c r="AAX58" s="609"/>
      <c r="AAY58" s="609"/>
      <c r="AAZ58" s="609"/>
      <c r="ABA58" s="609"/>
      <c r="ABB58" s="609"/>
      <c r="ABC58" s="609"/>
      <c r="ABD58" s="609"/>
      <c r="ABE58" s="609"/>
      <c r="ABF58" s="609"/>
      <c r="ABG58" s="609"/>
      <c r="ABH58" s="609"/>
      <c r="ABI58" s="609"/>
      <c r="ABJ58" s="609"/>
      <c r="ABK58" s="609"/>
      <c r="ABL58" s="609"/>
      <c r="ABM58" s="609"/>
      <c r="ABN58" s="609"/>
      <c r="ABO58" s="609"/>
      <c r="ABP58" s="609"/>
      <c r="ABQ58" s="609"/>
      <c r="ABR58" s="609"/>
      <c r="ABS58" s="609"/>
      <c r="ABT58" s="609"/>
      <c r="ABU58" s="609"/>
      <c r="ABV58" s="609"/>
      <c r="ABW58" s="609"/>
      <c r="ABX58" s="609"/>
      <c r="ABY58" s="609"/>
      <c r="ABZ58" s="609"/>
      <c r="ACA58" s="609"/>
      <c r="ACB58" s="609"/>
      <c r="ACC58" s="609"/>
      <c r="ACD58" s="609"/>
      <c r="ACE58" s="609"/>
      <c r="ACF58" s="609"/>
      <c r="ACG58" s="609"/>
      <c r="ACH58" s="609"/>
      <c r="ACI58" s="609"/>
      <c r="ACJ58" s="609"/>
      <c r="ACK58" s="609"/>
      <c r="ACL58" s="609"/>
      <c r="ACM58" s="609"/>
      <c r="ACN58" s="609"/>
      <c r="ACO58" s="609"/>
      <c r="ACP58" s="609"/>
      <c r="ACQ58" s="609"/>
      <c r="ACR58" s="609"/>
      <c r="ACS58" s="609"/>
      <c r="ACT58" s="609"/>
      <c r="ACU58" s="609"/>
      <c r="ACV58" s="609"/>
      <c r="ACW58" s="609"/>
      <c r="ACX58" s="609"/>
      <c r="ACY58" s="609"/>
      <c r="ACZ58" s="609"/>
      <c r="ADA58" s="609"/>
      <c r="ADB58" s="609"/>
      <c r="ADC58" s="609"/>
      <c r="ADD58" s="609"/>
      <c r="ADE58" s="609"/>
      <c r="ADF58" s="609"/>
      <c r="ADG58" s="609"/>
      <c r="ADH58" s="609"/>
      <c r="ADI58" s="609"/>
      <c r="ADJ58" s="609"/>
      <c r="ADK58" s="609"/>
      <c r="ADL58" s="609"/>
      <c r="ADM58" s="609"/>
      <c r="ADN58" s="609"/>
      <c r="ADO58" s="609"/>
      <c r="ADP58" s="609"/>
      <c r="ADQ58" s="609"/>
      <c r="ADR58" s="609"/>
      <c r="ADS58" s="609"/>
      <c r="ADT58" s="609"/>
      <c r="ADU58" s="609"/>
      <c r="ADV58" s="609"/>
      <c r="ADW58" s="609"/>
      <c r="ADX58" s="609"/>
      <c r="ADY58" s="609"/>
      <c r="ADZ58" s="609"/>
      <c r="AEA58" s="609"/>
      <c r="AEB58" s="609"/>
      <c r="AEC58" s="609"/>
      <c r="AED58" s="609"/>
      <c r="AEE58" s="609"/>
      <c r="AEF58" s="609"/>
      <c r="AEG58" s="609"/>
      <c r="AEH58" s="609"/>
      <c r="AEI58" s="609"/>
      <c r="AEJ58" s="609"/>
      <c r="AEK58" s="609"/>
      <c r="AEL58" s="609"/>
      <c r="AEM58" s="609"/>
      <c r="AEN58" s="609"/>
      <c r="AEO58" s="609"/>
      <c r="AEP58" s="609"/>
      <c r="AEQ58" s="609"/>
      <c r="AER58" s="609"/>
      <c r="AES58" s="609"/>
      <c r="AET58" s="609"/>
      <c r="AEU58" s="609"/>
      <c r="AEV58" s="609"/>
      <c r="AEW58" s="609"/>
      <c r="AEX58" s="609"/>
      <c r="AEY58" s="609"/>
      <c r="AEZ58" s="609"/>
      <c r="AFA58" s="609"/>
      <c r="AFB58" s="609"/>
      <c r="AFC58" s="609"/>
      <c r="AFD58" s="609"/>
      <c r="AFE58" s="609"/>
      <c r="AFF58" s="609"/>
      <c r="AFG58" s="609"/>
      <c r="AFH58" s="609"/>
      <c r="AFI58" s="609"/>
      <c r="AFJ58" s="609"/>
      <c r="AFK58" s="609"/>
      <c r="AFL58" s="609"/>
      <c r="AFM58" s="609"/>
      <c r="AFN58" s="609"/>
      <c r="AFO58" s="609"/>
      <c r="AFP58" s="609"/>
      <c r="AFQ58" s="609"/>
      <c r="AFR58" s="609"/>
      <c r="AFS58" s="609"/>
      <c r="AFT58" s="609"/>
      <c r="AFU58" s="609"/>
      <c r="AFV58" s="609"/>
      <c r="AFW58" s="609"/>
      <c r="AFX58" s="609"/>
      <c r="AFY58" s="609"/>
      <c r="AFZ58" s="609"/>
      <c r="AGA58" s="609"/>
      <c r="AGB58" s="609"/>
      <c r="AGC58" s="609"/>
      <c r="AGD58" s="609"/>
      <c r="AGE58" s="609"/>
      <c r="AGF58" s="609"/>
      <c r="AGG58" s="609"/>
      <c r="AGH58" s="609"/>
      <c r="AGI58" s="609"/>
      <c r="AGJ58" s="609"/>
      <c r="AGK58" s="609"/>
      <c r="AGL58" s="609"/>
      <c r="AGM58" s="609"/>
      <c r="AGN58" s="609"/>
      <c r="AGO58" s="609"/>
      <c r="AGP58" s="609"/>
      <c r="AGQ58" s="609"/>
      <c r="AGR58" s="609"/>
      <c r="AGS58" s="609"/>
      <c r="AGT58" s="609"/>
      <c r="AGU58" s="609"/>
      <c r="AGV58" s="609"/>
      <c r="AGW58" s="609"/>
      <c r="AGX58" s="609"/>
      <c r="AGY58" s="609"/>
      <c r="AGZ58" s="609"/>
      <c r="AHA58" s="609"/>
      <c r="AHB58" s="609"/>
      <c r="AHC58" s="609"/>
      <c r="AHD58" s="609"/>
      <c r="AHE58" s="609"/>
      <c r="AHF58" s="609"/>
      <c r="AHG58" s="609"/>
      <c r="AHH58" s="609"/>
      <c r="AHI58" s="609"/>
      <c r="AHJ58" s="609"/>
      <c r="AHK58" s="609"/>
      <c r="AHL58" s="609"/>
      <c r="AHM58" s="609"/>
      <c r="AHN58" s="609"/>
      <c r="AHO58" s="609"/>
      <c r="AHP58" s="609"/>
      <c r="AHQ58" s="609"/>
      <c r="AHR58" s="609"/>
      <c r="AHS58" s="609"/>
      <c r="AHT58" s="609"/>
      <c r="AHU58" s="609"/>
      <c r="AHV58" s="609"/>
      <c r="AHW58" s="609"/>
      <c r="AHX58" s="609"/>
      <c r="AHY58" s="609"/>
      <c r="AHZ58" s="609"/>
      <c r="AIA58" s="609"/>
      <c r="AIB58" s="609"/>
      <c r="AIC58" s="609"/>
      <c r="AID58" s="609"/>
      <c r="AIE58" s="609"/>
      <c r="AIF58" s="609"/>
      <c r="AIG58" s="609"/>
      <c r="AIH58" s="609"/>
      <c r="AII58" s="609"/>
      <c r="AIJ58" s="609"/>
      <c r="AIK58" s="609"/>
      <c r="AIL58" s="609"/>
      <c r="AIM58" s="609"/>
      <c r="AIN58" s="609"/>
      <c r="AIO58" s="609"/>
      <c r="AIP58" s="609"/>
      <c r="AIQ58" s="609"/>
      <c r="AIR58" s="609"/>
      <c r="AIS58" s="609"/>
      <c r="AIT58" s="609"/>
      <c r="AIU58" s="609"/>
      <c r="AIV58" s="609"/>
      <c r="AIW58" s="609"/>
      <c r="AIX58" s="609"/>
      <c r="AIY58" s="609"/>
      <c r="AIZ58" s="609"/>
      <c r="AJA58" s="609"/>
      <c r="AJB58" s="609"/>
      <c r="AJC58" s="609"/>
      <c r="AJD58" s="609"/>
      <c r="AJE58" s="609"/>
      <c r="AJF58" s="609"/>
      <c r="AJG58" s="609"/>
      <c r="AJH58" s="609"/>
      <c r="AJI58" s="609"/>
      <c r="AJJ58" s="609"/>
      <c r="AJK58" s="609"/>
      <c r="AJL58" s="609"/>
      <c r="AJM58" s="609"/>
      <c r="AJN58" s="609"/>
      <c r="AJO58" s="609"/>
      <c r="AJP58" s="609"/>
      <c r="AJQ58" s="609"/>
      <c r="AJR58" s="609"/>
      <c r="AJS58" s="609"/>
      <c r="AJT58" s="609"/>
      <c r="AJU58" s="609"/>
      <c r="AJV58" s="609"/>
      <c r="AJW58" s="609"/>
      <c r="AJX58" s="609"/>
      <c r="AJY58" s="609"/>
      <c r="AJZ58" s="609"/>
      <c r="AKA58" s="609"/>
      <c r="AKB58" s="609"/>
      <c r="AKC58" s="609"/>
      <c r="AKD58" s="609"/>
      <c r="AKE58" s="609"/>
      <c r="AKF58" s="609"/>
      <c r="AKG58" s="609"/>
      <c r="AKH58" s="609"/>
      <c r="AKI58" s="609"/>
      <c r="AKJ58" s="609"/>
      <c r="AKK58" s="609"/>
      <c r="AKL58" s="609"/>
      <c r="AKM58" s="609"/>
      <c r="AKN58" s="609"/>
      <c r="AKO58" s="609"/>
      <c r="AKP58" s="609"/>
      <c r="AKQ58" s="609"/>
      <c r="AKR58" s="609"/>
      <c r="AKS58" s="609"/>
      <c r="AKT58" s="609"/>
      <c r="AKU58" s="609"/>
      <c r="AKV58" s="609"/>
      <c r="AKW58" s="609"/>
      <c r="AKX58" s="609"/>
      <c r="AKY58" s="609"/>
      <c r="AKZ58" s="609"/>
      <c r="ALA58" s="609"/>
      <c r="ALB58" s="609"/>
      <c r="ALC58" s="609"/>
      <c r="ALD58" s="609"/>
      <c r="ALE58" s="609"/>
      <c r="ALF58" s="609"/>
      <c r="ALG58" s="609"/>
      <c r="ALH58" s="609"/>
      <c r="ALI58" s="609"/>
      <c r="ALJ58" s="609"/>
      <c r="ALK58" s="609"/>
      <c r="ALL58" s="609"/>
      <c r="ALM58" s="609"/>
      <c r="ALN58" s="609"/>
      <c r="ALO58" s="609"/>
      <c r="ALP58" s="609"/>
      <c r="ALQ58" s="609"/>
      <c r="ALR58" s="609"/>
      <c r="ALS58" s="609"/>
      <c r="ALT58" s="609"/>
      <c r="ALU58" s="609"/>
      <c r="ALV58" s="609"/>
      <c r="ALW58" s="609"/>
      <c r="ALX58" s="609"/>
      <c r="ALY58" s="609"/>
      <c r="ALZ58" s="609"/>
      <c r="AMA58" s="609"/>
      <c r="AMB58" s="609"/>
      <c r="AMC58" s="609"/>
      <c r="AMD58" s="609"/>
      <c r="AME58" s="609"/>
      <c r="AMF58" s="609"/>
      <c r="AMG58" s="609"/>
      <c r="AMH58" s="609"/>
      <c r="AMI58" s="609"/>
      <c r="AMJ58" s="609"/>
      <c r="AMK58" s="609"/>
      <c r="AML58" s="609"/>
      <c r="AMM58" s="609"/>
      <c r="AMN58" s="609"/>
      <c r="AMO58" s="609"/>
      <c r="AMP58" s="609"/>
      <c r="AMQ58" s="609"/>
      <c r="AMR58" s="609"/>
      <c r="AMS58" s="609"/>
      <c r="AMT58" s="609"/>
      <c r="AMU58" s="609"/>
      <c r="AMV58" s="609"/>
      <c r="AMW58" s="609"/>
      <c r="AMX58" s="609"/>
      <c r="AMY58" s="609"/>
      <c r="AMZ58" s="609"/>
      <c r="ANA58" s="609"/>
      <c r="ANB58" s="609"/>
      <c r="ANC58" s="609"/>
      <c r="AND58" s="609"/>
      <c r="ANE58" s="609"/>
      <c r="ANF58" s="609"/>
      <c r="ANG58" s="609"/>
      <c r="ANH58" s="609"/>
      <c r="ANI58" s="609"/>
      <c r="ANJ58" s="609"/>
      <c r="ANK58" s="609"/>
      <c r="ANL58" s="609"/>
      <c r="ANM58" s="609"/>
      <c r="ANN58" s="609"/>
      <c r="ANO58" s="609"/>
      <c r="ANP58" s="609"/>
      <c r="ANQ58" s="609"/>
      <c r="ANR58" s="609"/>
      <c r="ANS58" s="609"/>
      <c r="ANT58" s="609"/>
      <c r="ANU58" s="609"/>
      <c r="ANV58" s="609"/>
      <c r="ANW58" s="609"/>
      <c r="ANX58" s="609"/>
      <c r="ANY58" s="609"/>
      <c r="ANZ58" s="609"/>
      <c r="AOA58" s="609"/>
      <c r="AOB58" s="609"/>
      <c r="AOC58" s="609"/>
      <c r="AOD58" s="609"/>
      <c r="AOE58" s="609"/>
      <c r="AOF58" s="609"/>
      <c r="AOG58" s="609"/>
      <c r="AOH58" s="609"/>
      <c r="AOI58" s="609"/>
      <c r="AOJ58" s="609"/>
      <c r="AOK58" s="609"/>
      <c r="AOL58" s="609"/>
      <c r="AOM58" s="609"/>
      <c r="AON58" s="609"/>
      <c r="AOO58" s="609"/>
      <c r="AOP58" s="609"/>
      <c r="AOQ58" s="609"/>
      <c r="AOR58" s="609"/>
      <c r="AOS58" s="609"/>
      <c r="AOT58" s="609"/>
      <c r="AOU58" s="609"/>
      <c r="AOV58" s="609"/>
      <c r="AOW58" s="609"/>
      <c r="AOX58" s="609"/>
      <c r="AOY58" s="609"/>
      <c r="AOZ58" s="609"/>
      <c r="APA58" s="609"/>
      <c r="APB58" s="609"/>
      <c r="APC58" s="609"/>
      <c r="APD58" s="609"/>
      <c r="APE58" s="609"/>
      <c r="APF58" s="609"/>
      <c r="APG58" s="609"/>
      <c r="APH58" s="609"/>
      <c r="API58" s="609"/>
      <c r="APJ58" s="609"/>
      <c r="APK58" s="609"/>
      <c r="APL58" s="609"/>
      <c r="APM58" s="609"/>
      <c r="APN58" s="609"/>
      <c r="APO58" s="609"/>
      <c r="APP58" s="609"/>
      <c r="APQ58" s="609"/>
      <c r="APR58" s="609"/>
      <c r="APS58" s="609"/>
      <c r="APT58" s="609"/>
      <c r="APU58" s="609"/>
      <c r="APV58" s="609"/>
      <c r="APW58" s="609"/>
      <c r="APX58" s="609"/>
      <c r="APY58" s="609"/>
      <c r="APZ58" s="609"/>
      <c r="AQA58" s="609"/>
      <c r="AQB58" s="609"/>
      <c r="AQC58" s="609"/>
      <c r="AQD58" s="609"/>
      <c r="AQE58" s="609"/>
      <c r="AQF58" s="609"/>
      <c r="AQG58" s="609"/>
      <c r="AQH58" s="609"/>
      <c r="AQI58" s="609"/>
      <c r="AQJ58" s="609"/>
      <c r="AQK58" s="609"/>
      <c r="AQL58" s="609"/>
      <c r="AQM58" s="609"/>
      <c r="AQN58" s="609"/>
      <c r="AQO58" s="609"/>
      <c r="AQP58" s="609"/>
      <c r="AQQ58" s="609"/>
      <c r="AQR58" s="609"/>
      <c r="AQS58" s="609"/>
      <c r="AQT58" s="609"/>
      <c r="AQU58" s="609"/>
      <c r="AQV58" s="609"/>
      <c r="AQW58" s="609"/>
      <c r="AQX58" s="609"/>
      <c r="AQY58" s="609"/>
      <c r="AQZ58" s="609"/>
      <c r="ARA58" s="609"/>
      <c r="ARB58" s="609"/>
      <c r="ARC58" s="609"/>
      <c r="ARD58" s="609"/>
      <c r="ARE58" s="609"/>
      <c r="ARF58" s="609"/>
      <c r="ARG58" s="609"/>
      <c r="ARH58" s="609"/>
      <c r="ARI58" s="609"/>
      <c r="ARJ58" s="609"/>
      <c r="ARK58" s="609"/>
      <c r="ARL58" s="609"/>
      <c r="ARM58" s="609"/>
      <c r="ARN58" s="609"/>
      <c r="ARO58" s="609"/>
      <c r="ARP58" s="609"/>
      <c r="ARQ58" s="609"/>
      <c r="ARR58" s="609"/>
      <c r="ARS58" s="609"/>
      <c r="ART58" s="609"/>
      <c r="ARU58" s="609"/>
      <c r="ARV58" s="609"/>
      <c r="ARW58" s="609"/>
      <c r="ARX58" s="609"/>
      <c r="ARY58" s="609"/>
      <c r="ARZ58" s="609"/>
      <c r="ASA58" s="609"/>
      <c r="ASB58" s="609"/>
      <c r="ASC58" s="609"/>
      <c r="ASD58" s="609"/>
      <c r="ASE58" s="609"/>
      <c r="ASF58" s="609"/>
      <c r="ASG58" s="609"/>
      <c r="ASH58" s="609"/>
      <c r="ASI58" s="609"/>
      <c r="ASJ58" s="609"/>
      <c r="ASK58" s="609"/>
      <c r="ASL58" s="609"/>
      <c r="ASM58" s="609"/>
      <c r="ASN58" s="609"/>
      <c r="ASO58" s="609"/>
      <c r="ASP58" s="609"/>
      <c r="ASQ58" s="609"/>
      <c r="ASR58" s="609"/>
      <c r="ASS58" s="609"/>
      <c r="AST58" s="609"/>
      <c r="ASU58" s="609"/>
      <c r="ASV58" s="609"/>
      <c r="ASW58" s="609"/>
      <c r="ASX58" s="609"/>
      <c r="ASY58" s="609"/>
      <c r="ASZ58" s="609"/>
      <c r="ATA58" s="609"/>
      <c r="ATB58" s="609"/>
      <c r="ATC58" s="609"/>
      <c r="ATD58" s="609"/>
      <c r="ATE58" s="609"/>
      <c r="ATF58" s="609"/>
      <c r="ATG58" s="609"/>
      <c r="ATH58" s="609"/>
      <c r="ATI58" s="609"/>
      <c r="ATJ58" s="609"/>
      <c r="ATK58" s="609"/>
      <c r="ATL58" s="609"/>
      <c r="ATM58" s="609"/>
      <c r="ATN58" s="609"/>
      <c r="ATO58" s="609"/>
      <c r="ATP58" s="609"/>
      <c r="ATQ58" s="609"/>
      <c r="ATR58" s="609"/>
      <c r="ATS58" s="609"/>
      <c r="ATT58" s="609"/>
      <c r="ATU58" s="609"/>
      <c r="ATV58" s="609"/>
      <c r="ATW58" s="609"/>
      <c r="ATX58" s="609"/>
      <c r="ATY58" s="609"/>
      <c r="ATZ58" s="609"/>
      <c r="AUA58" s="609"/>
      <c r="AUB58" s="609"/>
      <c r="AUC58" s="609"/>
      <c r="AUD58" s="609"/>
      <c r="AUE58" s="609"/>
      <c r="AUF58" s="609"/>
      <c r="AUG58" s="609"/>
      <c r="AUH58" s="609"/>
      <c r="AUI58" s="609"/>
      <c r="AUJ58" s="609"/>
      <c r="AUK58" s="609"/>
      <c r="AUL58" s="609"/>
      <c r="AUM58" s="609"/>
      <c r="AUN58" s="609"/>
      <c r="AUO58" s="609"/>
      <c r="AUP58" s="609"/>
      <c r="AUQ58" s="609"/>
      <c r="AUR58" s="609"/>
      <c r="AUS58" s="609"/>
      <c r="AUT58" s="609"/>
      <c r="AUU58" s="609"/>
      <c r="AUV58" s="609"/>
      <c r="AUW58" s="609"/>
      <c r="AUX58" s="609"/>
      <c r="AUY58" s="609"/>
      <c r="AUZ58" s="609"/>
      <c r="AVA58" s="609"/>
      <c r="AVB58" s="609"/>
      <c r="AVC58" s="609"/>
      <c r="AVD58" s="609"/>
      <c r="AVE58" s="609"/>
      <c r="AVF58" s="609"/>
      <c r="AVG58" s="609"/>
      <c r="AVH58" s="609"/>
      <c r="AVI58" s="609"/>
      <c r="AVJ58" s="609"/>
      <c r="AVK58" s="609"/>
      <c r="AVL58" s="609"/>
      <c r="AVM58" s="609"/>
      <c r="AVN58" s="609"/>
      <c r="AVO58" s="609"/>
      <c r="AVP58" s="609"/>
      <c r="AVQ58" s="609"/>
      <c r="AVR58" s="609"/>
      <c r="AVS58" s="609"/>
      <c r="AVT58" s="609"/>
      <c r="AVU58" s="609"/>
      <c r="AVV58" s="609"/>
      <c r="AVW58" s="609"/>
      <c r="AVX58" s="609"/>
      <c r="AVY58" s="609"/>
      <c r="AVZ58" s="609"/>
      <c r="AWA58" s="609"/>
      <c r="AWB58" s="609"/>
      <c r="AWC58" s="609"/>
      <c r="AWD58" s="609"/>
      <c r="AWE58" s="609"/>
      <c r="AWF58" s="609"/>
      <c r="AWG58" s="609"/>
      <c r="AWH58" s="609"/>
      <c r="AWI58" s="609"/>
      <c r="AWJ58" s="609"/>
      <c r="AWK58" s="609"/>
      <c r="AWL58" s="609"/>
      <c r="AWM58" s="609"/>
      <c r="AWN58" s="609"/>
      <c r="AWO58" s="609"/>
      <c r="AWP58" s="609"/>
      <c r="AWQ58" s="609"/>
      <c r="AWR58" s="609"/>
      <c r="AWS58" s="609"/>
      <c r="AWT58" s="609"/>
      <c r="AWU58" s="609"/>
      <c r="AWV58" s="609"/>
      <c r="AWW58" s="609"/>
      <c r="AWX58" s="609"/>
      <c r="AWY58" s="609"/>
      <c r="AWZ58" s="609"/>
      <c r="AXA58" s="609"/>
      <c r="AXB58" s="609"/>
      <c r="AXC58" s="609"/>
      <c r="AXD58" s="609"/>
      <c r="AXE58" s="609"/>
      <c r="AXF58" s="609"/>
      <c r="AXG58" s="609"/>
      <c r="AXH58" s="609"/>
      <c r="AXI58" s="609"/>
      <c r="AXJ58" s="609"/>
      <c r="AXK58" s="609"/>
      <c r="AXL58" s="609"/>
      <c r="AXM58" s="609"/>
      <c r="AXN58" s="609"/>
      <c r="AXO58" s="609"/>
      <c r="AXP58" s="609"/>
      <c r="AXQ58" s="609"/>
      <c r="AXR58" s="609"/>
      <c r="AXS58" s="609"/>
      <c r="AXT58" s="609"/>
      <c r="AXU58" s="609"/>
      <c r="AXV58" s="609"/>
      <c r="AXW58" s="609"/>
      <c r="AXX58" s="609"/>
      <c r="AXY58" s="609"/>
      <c r="AXZ58" s="609"/>
      <c r="AYA58" s="609"/>
      <c r="AYB58" s="609"/>
      <c r="AYC58" s="609"/>
      <c r="AYD58" s="609"/>
      <c r="AYE58" s="609"/>
      <c r="AYF58" s="609"/>
      <c r="AYG58" s="609"/>
      <c r="AYH58" s="609"/>
      <c r="AYI58" s="609"/>
      <c r="AYJ58" s="609"/>
      <c r="AYK58" s="609"/>
      <c r="AYL58" s="609"/>
      <c r="AYM58" s="609"/>
      <c r="AYN58" s="609"/>
      <c r="AYO58" s="609"/>
      <c r="AYP58" s="609"/>
      <c r="AYQ58" s="609"/>
      <c r="AYR58" s="609"/>
      <c r="AYS58" s="609"/>
      <c r="AYT58" s="609"/>
      <c r="AYU58" s="609"/>
      <c r="AYV58" s="609"/>
      <c r="AYW58" s="609"/>
      <c r="AYX58" s="609"/>
      <c r="AYY58" s="609"/>
      <c r="AYZ58" s="609"/>
      <c r="AZA58" s="609"/>
      <c r="AZB58" s="609"/>
      <c r="AZC58" s="609"/>
      <c r="AZD58" s="609"/>
      <c r="AZE58" s="609"/>
      <c r="AZF58" s="609"/>
      <c r="AZG58" s="609"/>
      <c r="AZH58" s="609"/>
      <c r="AZI58" s="609"/>
      <c r="AZJ58" s="609"/>
      <c r="AZK58" s="609"/>
      <c r="AZL58" s="609"/>
      <c r="AZM58" s="609"/>
      <c r="AZN58" s="609"/>
      <c r="AZO58" s="609"/>
      <c r="AZP58" s="609"/>
      <c r="AZQ58" s="609"/>
      <c r="AZR58" s="609"/>
      <c r="AZS58" s="609"/>
      <c r="AZT58" s="609"/>
      <c r="AZU58" s="609"/>
      <c r="AZV58" s="609"/>
      <c r="AZW58" s="609"/>
      <c r="AZX58" s="609"/>
      <c r="AZY58" s="609"/>
      <c r="AZZ58" s="609"/>
      <c r="BAA58" s="609"/>
      <c r="BAB58" s="609"/>
      <c r="BAC58" s="609"/>
      <c r="BAD58" s="609"/>
      <c r="BAE58" s="609"/>
      <c r="BAF58" s="609"/>
      <c r="BAG58" s="609"/>
      <c r="BAH58" s="609"/>
      <c r="BAI58" s="609"/>
      <c r="BAJ58" s="609"/>
      <c r="BAK58" s="609"/>
      <c r="BAL58" s="609"/>
      <c r="BAM58" s="609"/>
      <c r="BAN58" s="609"/>
      <c r="BAO58" s="609"/>
      <c r="BAP58" s="609"/>
      <c r="BAQ58" s="609"/>
      <c r="BAR58" s="609"/>
      <c r="BAS58" s="609"/>
      <c r="BAT58" s="609"/>
      <c r="BAU58" s="609"/>
      <c r="BAV58" s="609"/>
      <c r="BAW58" s="609"/>
      <c r="BAX58" s="609"/>
      <c r="BAY58" s="609"/>
      <c r="BAZ58" s="609"/>
      <c r="BBA58" s="609"/>
      <c r="BBB58" s="609"/>
      <c r="BBC58" s="609"/>
      <c r="BBD58" s="609"/>
      <c r="BBE58" s="609"/>
      <c r="BBF58" s="609"/>
      <c r="BBG58" s="609"/>
      <c r="BBH58" s="609"/>
      <c r="BBI58" s="609"/>
      <c r="BBJ58" s="609"/>
      <c r="BBK58" s="609"/>
      <c r="BBL58" s="609"/>
      <c r="BBM58" s="609"/>
      <c r="BBN58" s="609"/>
      <c r="BBO58" s="609"/>
      <c r="BBP58" s="609"/>
      <c r="BBQ58" s="609"/>
      <c r="BBR58" s="609"/>
      <c r="BBS58" s="609"/>
      <c r="BBT58" s="609"/>
      <c r="BBU58" s="609"/>
      <c r="BBV58" s="609"/>
      <c r="BBW58" s="609"/>
      <c r="BBX58" s="609"/>
      <c r="BBY58" s="609"/>
      <c r="BBZ58" s="609"/>
      <c r="BCA58" s="609"/>
      <c r="BCB58" s="609"/>
      <c r="BCC58" s="609"/>
      <c r="BCD58" s="609"/>
      <c r="BCE58" s="609"/>
      <c r="BCF58" s="609"/>
      <c r="BCG58" s="609"/>
      <c r="BCH58" s="609"/>
      <c r="BCI58" s="609"/>
      <c r="BCJ58" s="609"/>
      <c r="BCK58" s="609"/>
      <c r="BCL58" s="609"/>
      <c r="BCM58" s="609"/>
      <c r="BCN58" s="609"/>
      <c r="BCO58" s="609"/>
      <c r="BCP58" s="609"/>
      <c r="BCQ58" s="609"/>
      <c r="BCR58" s="609"/>
      <c r="BCS58" s="609"/>
      <c r="BCT58" s="609"/>
      <c r="BCU58" s="609"/>
      <c r="BCV58" s="609"/>
      <c r="BCW58" s="609"/>
      <c r="BCX58" s="609"/>
      <c r="BCY58" s="609"/>
      <c r="BCZ58" s="609"/>
      <c r="BDA58" s="609"/>
      <c r="BDB58" s="609"/>
      <c r="BDC58" s="609"/>
      <c r="BDD58" s="609"/>
      <c r="BDE58" s="609"/>
      <c r="BDF58" s="609"/>
      <c r="BDG58" s="609"/>
      <c r="BDH58" s="609"/>
      <c r="BDI58" s="609"/>
      <c r="BDJ58" s="609"/>
      <c r="BDK58" s="609"/>
      <c r="BDL58" s="609"/>
      <c r="BDM58" s="609"/>
      <c r="BDN58" s="609"/>
      <c r="BDO58" s="609"/>
      <c r="BDP58" s="609"/>
      <c r="BDQ58" s="609"/>
      <c r="BDR58" s="609"/>
      <c r="BDS58" s="609"/>
      <c r="BDT58" s="609"/>
      <c r="BDU58" s="609"/>
      <c r="BDV58" s="609"/>
      <c r="BDW58" s="609"/>
      <c r="BDX58" s="609"/>
      <c r="BDY58" s="609"/>
      <c r="BDZ58" s="609"/>
      <c r="BEA58" s="609"/>
      <c r="BEB58" s="609"/>
      <c r="BEC58" s="609"/>
      <c r="BED58" s="609"/>
      <c r="BEE58" s="609"/>
      <c r="BEF58" s="609"/>
      <c r="BEG58" s="609"/>
      <c r="BEH58" s="609"/>
      <c r="BEI58" s="609"/>
      <c r="BEJ58" s="609"/>
      <c r="BEK58" s="609"/>
      <c r="BEL58" s="609"/>
      <c r="BEM58" s="609"/>
      <c r="BEN58" s="609"/>
      <c r="BEO58" s="609"/>
      <c r="BEP58" s="609"/>
      <c r="BEQ58" s="609"/>
      <c r="BER58" s="609"/>
      <c r="BES58" s="609"/>
      <c r="BET58" s="609"/>
      <c r="BEU58" s="609"/>
      <c r="BEV58" s="609"/>
      <c r="BEW58" s="609"/>
      <c r="BEX58" s="609"/>
      <c r="BEY58" s="609"/>
      <c r="BEZ58" s="609"/>
      <c r="BFA58" s="609"/>
      <c r="BFB58" s="609"/>
      <c r="BFC58" s="609"/>
      <c r="BFD58" s="609"/>
      <c r="BFE58" s="609"/>
      <c r="BFF58" s="609"/>
      <c r="BFG58" s="609"/>
      <c r="BFH58" s="609"/>
      <c r="BFI58" s="609"/>
      <c r="BFJ58" s="609"/>
      <c r="BFK58" s="609"/>
      <c r="BFL58" s="609"/>
      <c r="BFM58" s="609"/>
      <c r="BFN58" s="609"/>
      <c r="BFO58" s="609"/>
      <c r="BFP58" s="609"/>
      <c r="BFQ58" s="609"/>
      <c r="BFR58" s="609"/>
      <c r="BFS58" s="609"/>
      <c r="BFT58" s="609"/>
      <c r="BFU58" s="609"/>
      <c r="BFV58" s="609"/>
      <c r="BFW58" s="609"/>
      <c r="BFX58" s="609"/>
      <c r="BFY58" s="609"/>
      <c r="BFZ58" s="609"/>
      <c r="BGA58" s="609"/>
      <c r="BGB58" s="609"/>
      <c r="BGC58" s="609"/>
      <c r="BGD58" s="609"/>
      <c r="BGE58" s="609"/>
      <c r="BGF58" s="609"/>
      <c r="BGG58" s="609"/>
      <c r="BGH58" s="609"/>
      <c r="BGI58" s="609"/>
      <c r="BGJ58" s="609"/>
      <c r="BGK58" s="609"/>
      <c r="BGL58" s="609"/>
      <c r="BGM58" s="609"/>
      <c r="BGN58" s="609"/>
      <c r="BGO58" s="609"/>
      <c r="BGP58" s="609"/>
      <c r="BGQ58" s="609"/>
      <c r="BGR58" s="609"/>
      <c r="BGS58" s="609"/>
      <c r="BGT58" s="609"/>
      <c r="BGU58" s="609"/>
      <c r="BGV58" s="609"/>
      <c r="BGW58" s="609"/>
      <c r="BGX58" s="609"/>
      <c r="BGY58" s="609"/>
      <c r="BGZ58" s="609"/>
      <c r="BHA58" s="609"/>
      <c r="BHB58" s="609"/>
      <c r="BHC58" s="609"/>
      <c r="BHD58" s="609"/>
      <c r="BHE58" s="609"/>
      <c r="BHF58" s="609"/>
      <c r="BHG58" s="609"/>
      <c r="BHH58" s="609"/>
      <c r="BHI58" s="609"/>
      <c r="BHJ58" s="609"/>
      <c r="BHK58" s="609"/>
      <c r="BHL58" s="609"/>
      <c r="BHM58" s="609"/>
      <c r="BHN58" s="609"/>
      <c r="BHO58" s="609"/>
      <c r="BHP58" s="609"/>
      <c r="BHQ58" s="609"/>
      <c r="BHR58" s="609"/>
      <c r="BHS58" s="609"/>
      <c r="BHT58" s="609"/>
      <c r="BHU58" s="609"/>
      <c r="BHV58" s="609"/>
      <c r="BHW58" s="609"/>
      <c r="BHX58" s="609"/>
      <c r="BHY58" s="609"/>
      <c r="BHZ58" s="609"/>
      <c r="BIA58" s="609"/>
      <c r="BIB58" s="609"/>
      <c r="BIC58" s="609"/>
      <c r="BID58" s="609"/>
      <c r="BIE58" s="609"/>
      <c r="BIF58" s="609"/>
      <c r="BIG58" s="609"/>
      <c r="BIH58" s="609"/>
      <c r="BII58" s="609"/>
      <c r="BIJ58" s="609"/>
      <c r="BIK58" s="609"/>
      <c r="BIL58" s="609"/>
      <c r="BIM58" s="609"/>
      <c r="BIN58" s="609"/>
      <c r="BIO58" s="609"/>
      <c r="BIP58" s="609"/>
      <c r="BIQ58" s="609"/>
      <c r="BIR58" s="609"/>
      <c r="BIS58" s="609"/>
      <c r="BIT58" s="609"/>
      <c r="BIU58" s="609"/>
      <c r="BIV58" s="609"/>
      <c r="BIW58" s="609"/>
      <c r="BIX58" s="609"/>
      <c r="BIY58" s="609"/>
      <c r="BIZ58" s="609"/>
      <c r="BJA58" s="609"/>
      <c r="BJB58" s="609"/>
      <c r="BJC58" s="609"/>
      <c r="BJD58" s="609"/>
      <c r="BJE58" s="609"/>
      <c r="BJF58" s="609"/>
      <c r="BJG58" s="609"/>
      <c r="BJH58" s="609"/>
      <c r="BJI58" s="609"/>
      <c r="BJJ58" s="609"/>
      <c r="BJK58" s="609"/>
      <c r="BJL58" s="609"/>
      <c r="BJM58" s="609"/>
      <c r="BJN58" s="609"/>
      <c r="BJO58" s="609"/>
      <c r="BJP58" s="609"/>
      <c r="BJQ58" s="609"/>
      <c r="BJR58" s="609"/>
      <c r="BJS58" s="609"/>
      <c r="BJT58" s="609"/>
      <c r="BJU58" s="609"/>
      <c r="BJV58" s="609"/>
      <c r="BJW58" s="609"/>
      <c r="BJX58" s="609"/>
      <c r="BJY58" s="609"/>
      <c r="BJZ58" s="609"/>
      <c r="BKA58" s="609"/>
      <c r="BKB58" s="609"/>
      <c r="BKC58" s="609"/>
      <c r="BKD58" s="609"/>
      <c r="BKE58" s="609"/>
      <c r="BKF58" s="609"/>
      <c r="BKG58" s="609"/>
      <c r="BKH58" s="609"/>
      <c r="BKI58" s="609"/>
      <c r="BKJ58" s="609"/>
      <c r="BKK58" s="609"/>
      <c r="BKL58" s="609"/>
      <c r="BKM58" s="609"/>
      <c r="BKN58" s="609"/>
      <c r="BKO58" s="609"/>
      <c r="BKP58" s="609"/>
      <c r="BKQ58" s="609"/>
      <c r="BKR58" s="609"/>
      <c r="BKS58" s="609"/>
      <c r="BKT58" s="609"/>
      <c r="BKU58" s="609"/>
      <c r="BKV58" s="609"/>
      <c r="BKW58" s="609"/>
      <c r="BKX58" s="609"/>
      <c r="BKY58" s="609"/>
      <c r="BKZ58" s="609"/>
      <c r="BLA58" s="609"/>
      <c r="BLB58" s="609"/>
      <c r="BLC58" s="609"/>
      <c r="BLD58" s="609"/>
      <c r="BLE58" s="609"/>
      <c r="BLF58" s="609"/>
      <c r="BLG58" s="609"/>
      <c r="BLH58" s="609"/>
      <c r="BLI58" s="609"/>
      <c r="BLJ58" s="609"/>
      <c r="BLK58" s="609"/>
      <c r="BLL58" s="609"/>
      <c r="BLM58" s="609"/>
      <c r="BLN58" s="609"/>
      <c r="BLO58" s="609"/>
      <c r="BLP58" s="609"/>
      <c r="BLQ58" s="609"/>
      <c r="BLR58" s="609"/>
      <c r="BLS58" s="609"/>
      <c r="BLT58" s="609"/>
      <c r="BLU58" s="609"/>
      <c r="BLV58" s="609"/>
      <c r="BLW58" s="609"/>
      <c r="BLX58" s="609"/>
      <c r="BLY58" s="609"/>
      <c r="BLZ58" s="609"/>
      <c r="BMA58" s="609"/>
      <c r="BMB58" s="609"/>
      <c r="BMC58" s="609"/>
      <c r="BMD58" s="609"/>
      <c r="BME58" s="609"/>
      <c r="BMF58" s="609"/>
      <c r="BMG58" s="609"/>
      <c r="BMH58" s="609"/>
      <c r="BMI58" s="609"/>
      <c r="BMJ58" s="609"/>
      <c r="BMK58" s="609"/>
      <c r="BML58" s="609"/>
      <c r="BMM58" s="609"/>
      <c r="BMN58" s="609"/>
      <c r="BMO58" s="609"/>
      <c r="BMP58" s="609"/>
      <c r="BMQ58" s="609"/>
      <c r="BMR58" s="609"/>
      <c r="BMS58" s="609"/>
      <c r="BMT58" s="609"/>
      <c r="BMU58" s="609"/>
      <c r="BMV58" s="609"/>
      <c r="BMW58" s="609"/>
      <c r="BMX58" s="609"/>
      <c r="BMY58" s="609"/>
      <c r="BMZ58" s="609"/>
      <c r="BNA58" s="609"/>
      <c r="BNB58" s="609"/>
      <c r="BNC58" s="609"/>
      <c r="BND58" s="609"/>
      <c r="BNE58" s="609"/>
      <c r="BNF58" s="609"/>
      <c r="BNG58" s="609"/>
      <c r="BNH58" s="609"/>
      <c r="BNI58" s="609"/>
      <c r="BNJ58" s="609"/>
      <c r="BNK58" s="609"/>
      <c r="BNL58" s="609"/>
      <c r="BNM58" s="609"/>
      <c r="BNN58" s="609"/>
      <c r="BNO58" s="609"/>
      <c r="BNP58" s="609"/>
      <c r="BNQ58" s="609"/>
      <c r="BNR58" s="609"/>
      <c r="BNS58" s="609"/>
      <c r="BNT58" s="609"/>
      <c r="BNU58" s="609"/>
      <c r="BNV58" s="609"/>
      <c r="BNW58" s="609"/>
      <c r="BNX58" s="609"/>
      <c r="BNY58" s="609"/>
      <c r="BNZ58" s="609"/>
      <c r="BOA58" s="609"/>
      <c r="BOB58" s="609"/>
      <c r="BOC58" s="609"/>
      <c r="BOD58" s="609"/>
      <c r="BOE58" s="609"/>
      <c r="BOF58" s="609"/>
      <c r="BOG58" s="609"/>
      <c r="BOH58" s="609"/>
      <c r="BOI58" s="609"/>
      <c r="BOJ58" s="609"/>
      <c r="BOK58" s="609"/>
      <c r="BOL58" s="609"/>
      <c r="BOM58" s="609"/>
      <c r="BON58" s="609"/>
      <c r="BOO58" s="609"/>
      <c r="BOP58" s="609"/>
      <c r="BOQ58" s="609"/>
      <c r="BOR58" s="609"/>
      <c r="BOS58" s="609"/>
      <c r="BOT58" s="609"/>
      <c r="BOU58" s="609"/>
      <c r="BOV58" s="609"/>
      <c r="BOW58" s="609"/>
      <c r="BOX58" s="609"/>
      <c r="BOY58" s="609"/>
      <c r="BOZ58" s="609"/>
      <c r="BPA58" s="609"/>
      <c r="BPB58" s="609"/>
      <c r="BPC58" s="609"/>
      <c r="BPD58" s="609"/>
      <c r="BPE58" s="609"/>
      <c r="BPF58" s="609"/>
      <c r="BPG58" s="609"/>
      <c r="BPH58" s="609"/>
      <c r="BPI58" s="609"/>
      <c r="BPJ58" s="609"/>
      <c r="BPK58" s="609"/>
      <c r="BPL58" s="609"/>
      <c r="BPM58" s="609"/>
      <c r="BPN58" s="609"/>
      <c r="BPO58" s="609"/>
      <c r="BPP58" s="609"/>
      <c r="BPQ58" s="609"/>
      <c r="BPR58" s="609"/>
      <c r="BPS58" s="609"/>
      <c r="BPT58" s="609"/>
      <c r="BPU58" s="609"/>
      <c r="BPV58" s="609"/>
      <c r="BPW58" s="609"/>
      <c r="BPX58" s="609"/>
      <c r="BPY58" s="609"/>
      <c r="BPZ58" s="609"/>
      <c r="BQA58" s="609"/>
      <c r="BQB58" s="609"/>
      <c r="BQC58" s="609"/>
      <c r="BQD58" s="609"/>
      <c r="BQE58" s="609"/>
      <c r="BQF58" s="609"/>
      <c r="BQG58" s="609"/>
      <c r="BQH58" s="609"/>
      <c r="BQI58" s="609"/>
      <c r="BQJ58" s="609"/>
      <c r="BQK58" s="609"/>
      <c r="BQL58" s="609"/>
      <c r="BQM58" s="609"/>
      <c r="BQN58" s="609"/>
      <c r="BQO58" s="609"/>
      <c r="BQP58" s="609"/>
      <c r="BQQ58" s="609"/>
      <c r="BQR58" s="609"/>
      <c r="BQS58" s="609"/>
      <c r="BQT58" s="609"/>
      <c r="BQU58" s="609"/>
      <c r="BQV58" s="609"/>
      <c r="BQW58" s="609"/>
      <c r="BQX58" s="609"/>
      <c r="BQY58" s="609"/>
      <c r="BQZ58" s="609"/>
      <c r="BRA58" s="609"/>
      <c r="BRB58" s="609"/>
      <c r="BRC58" s="609"/>
      <c r="BRD58" s="609"/>
      <c r="BRE58" s="609"/>
      <c r="BRF58" s="609"/>
      <c r="BRG58" s="609"/>
      <c r="BRH58" s="609"/>
      <c r="BRI58" s="609"/>
      <c r="BRJ58" s="609"/>
      <c r="BRK58" s="609"/>
      <c r="BRL58" s="609"/>
      <c r="BRM58" s="609"/>
      <c r="BRN58" s="609"/>
      <c r="BRO58" s="609"/>
      <c r="BRP58" s="609"/>
      <c r="BRQ58" s="609"/>
      <c r="BRR58" s="609"/>
      <c r="BRS58" s="609"/>
      <c r="BRT58" s="609"/>
      <c r="BRU58" s="609"/>
      <c r="BRV58" s="609"/>
      <c r="BRW58" s="609"/>
      <c r="BRX58" s="609"/>
      <c r="BRY58" s="609"/>
      <c r="BRZ58" s="609"/>
      <c r="BSA58" s="609"/>
      <c r="BSB58" s="609"/>
      <c r="BSC58" s="609"/>
      <c r="BSD58" s="609"/>
      <c r="BSE58" s="609"/>
      <c r="BSF58" s="609"/>
      <c r="BSG58" s="609"/>
      <c r="BSH58" s="609"/>
      <c r="BSI58" s="609"/>
      <c r="BSJ58" s="609"/>
      <c r="BSK58" s="609"/>
      <c r="BSL58" s="609"/>
      <c r="BSM58" s="609"/>
      <c r="BSN58" s="609"/>
      <c r="BSO58" s="609"/>
      <c r="BSP58" s="609"/>
      <c r="BSQ58" s="609"/>
      <c r="BSR58" s="609"/>
      <c r="BSS58" s="609"/>
      <c r="BST58" s="609"/>
      <c r="BSU58" s="609"/>
      <c r="BSV58" s="609"/>
      <c r="BSW58" s="609"/>
      <c r="BSX58" s="609"/>
      <c r="BSY58" s="609"/>
      <c r="BSZ58" s="609"/>
      <c r="BTA58" s="609"/>
      <c r="BTB58" s="609"/>
      <c r="BTC58" s="609"/>
      <c r="BTD58" s="609"/>
      <c r="BTE58" s="609"/>
      <c r="BTF58" s="609"/>
      <c r="BTG58" s="609"/>
      <c r="BTH58" s="609"/>
      <c r="BTI58" s="609"/>
      <c r="BTJ58" s="609"/>
      <c r="BTK58" s="609"/>
      <c r="BTL58" s="609"/>
      <c r="BTM58" s="609"/>
      <c r="BTN58" s="609"/>
      <c r="BTO58" s="609"/>
      <c r="BTP58" s="609"/>
      <c r="BTQ58" s="609"/>
      <c r="BTR58" s="609"/>
      <c r="BTS58" s="609"/>
      <c r="BTT58" s="609"/>
      <c r="BTU58" s="609"/>
      <c r="BTV58" s="609"/>
      <c r="BTW58" s="609"/>
      <c r="BTX58" s="609"/>
      <c r="BTY58" s="609"/>
      <c r="BTZ58" s="609"/>
      <c r="BUA58" s="609"/>
      <c r="BUB58" s="609"/>
      <c r="BUC58" s="609"/>
      <c r="BUD58" s="609"/>
      <c r="BUE58" s="609"/>
      <c r="BUF58" s="609"/>
      <c r="BUG58" s="609"/>
      <c r="BUH58" s="609"/>
      <c r="BUI58" s="609"/>
      <c r="BUJ58" s="609"/>
      <c r="BUK58" s="609"/>
      <c r="BUL58" s="609"/>
      <c r="BUM58" s="609"/>
      <c r="BUN58" s="609"/>
      <c r="BUO58" s="609"/>
      <c r="BUP58" s="609"/>
      <c r="BUQ58" s="609"/>
      <c r="BUR58" s="609"/>
      <c r="BUS58" s="609"/>
      <c r="BUT58" s="609"/>
      <c r="BUU58" s="609"/>
      <c r="BUV58" s="609"/>
      <c r="BUW58" s="609"/>
      <c r="BUX58" s="609"/>
      <c r="BUY58" s="609"/>
      <c r="BUZ58" s="609"/>
      <c r="BVA58" s="609"/>
      <c r="BVB58" s="609"/>
      <c r="BVC58" s="609"/>
      <c r="BVD58" s="609"/>
      <c r="BVE58" s="609"/>
      <c r="BVF58" s="609"/>
      <c r="BVG58" s="609"/>
      <c r="BVH58" s="609"/>
      <c r="BVI58" s="609"/>
      <c r="BVJ58" s="609"/>
      <c r="BVK58" s="609"/>
      <c r="BVL58" s="609"/>
      <c r="BVM58" s="609"/>
      <c r="BVN58" s="609"/>
      <c r="BVO58" s="609"/>
      <c r="BVP58" s="609"/>
      <c r="BVQ58" s="609"/>
      <c r="BVR58" s="609"/>
      <c r="BVS58" s="609"/>
      <c r="BVT58" s="609"/>
      <c r="BVU58" s="609"/>
      <c r="BVV58" s="609"/>
      <c r="BVW58" s="609"/>
      <c r="BVX58" s="609"/>
      <c r="BVY58" s="609"/>
      <c r="BVZ58" s="609"/>
      <c r="BWA58" s="609"/>
      <c r="BWB58" s="609"/>
      <c r="BWC58" s="609"/>
      <c r="BWD58" s="609"/>
      <c r="BWE58" s="609"/>
      <c r="BWF58" s="609"/>
      <c r="BWG58" s="609"/>
      <c r="BWH58" s="609"/>
      <c r="BWI58" s="609"/>
      <c r="BWJ58" s="609"/>
      <c r="BWK58" s="609"/>
      <c r="BWL58" s="609"/>
      <c r="BWM58" s="609"/>
      <c r="BWN58" s="609"/>
      <c r="BWO58" s="609"/>
      <c r="BWP58" s="609"/>
      <c r="BWQ58" s="609"/>
      <c r="BWR58" s="609"/>
      <c r="BWS58" s="609"/>
      <c r="BWT58" s="609"/>
      <c r="BWU58" s="609"/>
      <c r="BWV58" s="609"/>
      <c r="BWW58" s="609"/>
      <c r="BWX58" s="609"/>
      <c r="BWY58" s="609"/>
      <c r="BWZ58" s="609"/>
      <c r="BXA58" s="609"/>
      <c r="BXB58" s="609"/>
      <c r="BXC58" s="609"/>
      <c r="BXD58" s="609"/>
      <c r="BXE58" s="609"/>
      <c r="BXF58" s="609"/>
      <c r="BXG58" s="609"/>
      <c r="BXH58" s="609"/>
      <c r="BXI58" s="609"/>
      <c r="BXJ58" s="609"/>
      <c r="BXK58" s="609"/>
      <c r="BXL58" s="609"/>
      <c r="BXM58" s="609"/>
      <c r="BXN58" s="609"/>
      <c r="BXO58" s="609"/>
      <c r="BXP58" s="609"/>
      <c r="BXQ58" s="609"/>
      <c r="BXR58" s="609"/>
      <c r="BXS58" s="609"/>
      <c r="BXT58" s="609"/>
      <c r="BXU58" s="609"/>
      <c r="BXV58" s="609"/>
      <c r="BXW58" s="609"/>
      <c r="BXX58" s="609"/>
      <c r="BXY58" s="609"/>
      <c r="BXZ58" s="609"/>
      <c r="BYA58" s="609"/>
      <c r="BYB58" s="609"/>
      <c r="BYC58" s="609"/>
      <c r="BYD58" s="609"/>
      <c r="BYE58" s="609"/>
      <c r="BYF58" s="609"/>
      <c r="BYG58" s="609"/>
      <c r="BYH58" s="609"/>
      <c r="BYI58" s="609"/>
      <c r="BYJ58" s="609"/>
      <c r="BYK58" s="609"/>
      <c r="BYL58" s="609"/>
      <c r="BYM58" s="609"/>
      <c r="BYN58" s="609"/>
      <c r="BYO58" s="609"/>
      <c r="BYP58" s="609"/>
      <c r="BYQ58" s="609"/>
      <c r="BYR58" s="609"/>
      <c r="BYS58" s="609"/>
      <c r="BYT58" s="609"/>
      <c r="BYU58" s="609"/>
      <c r="BYV58" s="609"/>
      <c r="BYW58" s="609"/>
      <c r="BYX58" s="609"/>
      <c r="BYY58" s="609"/>
      <c r="BYZ58" s="609"/>
      <c r="BZA58" s="609"/>
      <c r="BZB58" s="609"/>
      <c r="BZC58" s="609"/>
      <c r="BZD58" s="609"/>
      <c r="BZE58" s="609"/>
      <c r="BZF58" s="609"/>
      <c r="BZG58" s="609"/>
      <c r="BZH58" s="609"/>
      <c r="BZI58" s="609"/>
      <c r="BZJ58" s="609"/>
      <c r="BZK58" s="609"/>
      <c r="BZL58" s="609"/>
      <c r="BZM58" s="609"/>
      <c r="BZN58" s="609"/>
      <c r="BZO58" s="609"/>
      <c r="BZP58" s="609"/>
      <c r="BZQ58" s="609"/>
      <c r="BZR58" s="609"/>
      <c r="BZS58" s="609"/>
      <c r="BZT58" s="609"/>
      <c r="BZU58" s="609"/>
      <c r="BZV58" s="609"/>
      <c r="BZW58" s="609"/>
      <c r="BZX58" s="609"/>
      <c r="BZY58" s="609"/>
      <c r="BZZ58" s="609"/>
      <c r="CAA58" s="609"/>
      <c r="CAB58" s="609"/>
      <c r="CAC58" s="609"/>
      <c r="CAD58" s="609"/>
      <c r="CAE58" s="609"/>
      <c r="CAF58" s="609"/>
      <c r="CAG58" s="609"/>
      <c r="CAH58" s="609"/>
      <c r="CAI58" s="609"/>
      <c r="CAJ58" s="609"/>
      <c r="CAK58" s="609"/>
      <c r="CAL58" s="609"/>
      <c r="CAM58" s="609"/>
      <c r="CAN58" s="609"/>
      <c r="CAO58" s="609"/>
      <c r="CAP58" s="609"/>
      <c r="CAQ58" s="609"/>
      <c r="CAR58" s="609"/>
      <c r="CAS58" s="609"/>
      <c r="CAT58" s="609"/>
      <c r="CAU58" s="609"/>
      <c r="CAV58" s="609"/>
      <c r="CAW58" s="609"/>
      <c r="CAX58" s="609"/>
      <c r="CAY58" s="609"/>
      <c r="CAZ58" s="609"/>
      <c r="CBA58" s="609"/>
      <c r="CBB58" s="609"/>
      <c r="CBC58" s="609"/>
      <c r="CBD58" s="609"/>
      <c r="CBE58" s="609"/>
      <c r="CBF58" s="609"/>
      <c r="CBG58" s="609"/>
      <c r="CBH58" s="609"/>
      <c r="CBI58" s="609"/>
      <c r="CBJ58" s="609"/>
      <c r="CBK58" s="609"/>
      <c r="CBL58" s="609"/>
      <c r="CBM58" s="609"/>
      <c r="CBN58" s="609"/>
      <c r="CBO58" s="609"/>
      <c r="CBP58" s="609"/>
      <c r="CBQ58" s="609"/>
      <c r="CBR58" s="609"/>
      <c r="CBS58" s="609"/>
      <c r="CBT58" s="609"/>
      <c r="CBU58" s="609"/>
      <c r="CBV58" s="609"/>
      <c r="CBW58" s="609"/>
      <c r="CBX58" s="609"/>
      <c r="CBY58" s="609"/>
      <c r="CBZ58" s="609"/>
      <c r="CCA58" s="609"/>
      <c r="CCB58" s="609"/>
      <c r="CCC58" s="609"/>
      <c r="CCD58" s="609"/>
      <c r="CCE58" s="609"/>
      <c r="CCF58" s="609"/>
      <c r="CCG58" s="609"/>
      <c r="CCH58" s="609"/>
      <c r="CCI58" s="609"/>
      <c r="CCJ58" s="609"/>
      <c r="CCK58" s="609"/>
      <c r="CCL58" s="609"/>
      <c r="CCM58" s="609"/>
      <c r="CCN58" s="609"/>
      <c r="CCO58" s="609"/>
      <c r="CCP58" s="609"/>
      <c r="CCQ58" s="609"/>
      <c r="CCR58" s="609"/>
      <c r="CCS58" s="609"/>
      <c r="CCT58" s="609"/>
      <c r="CCU58" s="609"/>
      <c r="CCV58" s="609"/>
      <c r="CCW58" s="609"/>
      <c r="CCX58" s="609"/>
      <c r="CCY58" s="609"/>
      <c r="CCZ58" s="609"/>
      <c r="CDA58" s="609"/>
      <c r="CDB58" s="609"/>
      <c r="CDC58" s="609"/>
      <c r="CDD58" s="609"/>
      <c r="CDE58" s="609"/>
      <c r="CDF58" s="609"/>
      <c r="CDG58" s="609"/>
      <c r="CDH58" s="609"/>
      <c r="CDI58" s="609"/>
      <c r="CDJ58" s="609"/>
      <c r="CDK58" s="609"/>
      <c r="CDL58" s="609"/>
      <c r="CDM58" s="609"/>
      <c r="CDN58" s="609"/>
      <c r="CDO58" s="609"/>
      <c r="CDP58" s="609"/>
      <c r="CDQ58" s="609"/>
      <c r="CDR58" s="609"/>
      <c r="CDS58" s="609"/>
      <c r="CDT58" s="609"/>
      <c r="CDU58" s="609"/>
      <c r="CDV58" s="609"/>
      <c r="CDW58" s="609"/>
      <c r="CDX58" s="609"/>
      <c r="CDY58" s="609"/>
      <c r="CDZ58" s="609"/>
      <c r="CEA58" s="609"/>
      <c r="CEB58" s="609"/>
      <c r="CEC58" s="609"/>
      <c r="CED58" s="609"/>
      <c r="CEE58" s="609"/>
      <c r="CEF58" s="609"/>
      <c r="CEG58" s="609"/>
      <c r="CEH58" s="609"/>
      <c r="CEI58" s="609"/>
      <c r="CEJ58" s="609"/>
      <c r="CEK58" s="609"/>
      <c r="CEL58" s="609"/>
      <c r="CEM58" s="609"/>
      <c r="CEN58" s="609"/>
      <c r="CEO58" s="609"/>
      <c r="CEP58" s="609"/>
      <c r="CEQ58" s="609"/>
      <c r="CER58" s="609"/>
      <c r="CES58" s="609"/>
      <c r="CET58" s="609"/>
      <c r="CEU58" s="609"/>
      <c r="CEV58" s="609"/>
      <c r="CEW58" s="609"/>
      <c r="CEX58" s="609"/>
      <c r="CEY58" s="609"/>
      <c r="CEZ58" s="609"/>
      <c r="CFA58" s="609"/>
      <c r="CFB58" s="609"/>
      <c r="CFC58" s="609"/>
      <c r="CFD58" s="609"/>
      <c r="CFE58" s="609"/>
      <c r="CFF58" s="609"/>
      <c r="CFG58" s="609"/>
      <c r="CFH58" s="609"/>
      <c r="CFI58" s="609"/>
      <c r="CFJ58" s="609"/>
      <c r="CFK58" s="609"/>
      <c r="CFL58" s="609"/>
      <c r="CFM58" s="609"/>
      <c r="CFN58" s="609"/>
      <c r="CFO58" s="609"/>
      <c r="CFP58" s="609"/>
      <c r="CFQ58" s="609"/>
      <c r="CFR58" s="609"/>
      <c r="CFS58" s="609"/>
      <c r="CFT58" s="609"/>
      <c r="CFU58" s="609"/>
      <c r="CFV58" s="609"/>
      <c r="CFW58" s="609"/>
      <c r="CFX58" s="609"/>
      <c r="CFY58" s="609"/>
      <c r="CFZ58" s="609"/>
      <c r="CGA58" s="609"/>
      <c r="CGB58" s="609"/>
      <c r="CGC58" s="609"/>
      <c r="CGD58" s="609"/>
      <c r="CGE58" s="609"/>
      <c r="CGF58" s="609"/>
      <c r="CGG58" s="609"/>
      <c r="CGH58" s="609"/>
      <c r="CGI58" s="609"/>
      <c r="CGJ58" s="609"/>
      <c r="CGK58" s="609"/>
      <c r="CGL58" s="609"/>
      <c r="CGM58" s="609"/>
      <c r="CGN58" s="609"/>
      <c r="CGO58" s="609"/>
      <c r="CGP58" s="609"/>
      <c r="CGQ58" s="609"/>
      <c r="CGR58" s="609"/>
      <c r="CGS58" s="609"/>
      <c r="CGT58" s="609"/>
      <c r="CGU58" s="609"/>
      <c r="CGV58" s="609"/>
      <c r="CGW58" s="609"/>
      <c r="CGX58" s="609"/>
      <c r="CGY58" s="609"/>
      <c r="CGZ58" s="609"/>
      <c r="CHA58" s="609"/>
      <c r="CHB58" s="609"/>
      <c r="CHC58" s="609"/>
      <c r="CHD58" s="609"/>
      <c r="CHE58" s="609"/>
      <c r="CHF58" s="609"/>
      <c r="CHG58" s="609"/>
      <c r="CHH58" s="609"/>
      <c r="CHI58" s="609"/>
      <c r="CHJ58" s="609"/>
      <c r="CHK58" s="609"/>
      <c r="CHL58" s="609"/>
      <c r="CHM58" s="609"/>
      <c r="CHN58" s="609"/>
      <c r="CHO58" s="609"/>
      <c r="CHP58" s="609"/>
      <c r="CHQ58" s="609"/>
      <c r="CHR58" s="609"/>
      <c r="CHS58" s="609"/>
      <c r="CHT58" s="609"/>
      <c r="CHU58" s="609"/>
      <c r="CHV58" s="609"/>
      <c r="CHW58" s="609"/>
      <c r="CHX58" s="609"/>
      <c r="CHY58" s="609"/>
      <c r="CHZ58" s="609"/>
      <c r="CIA58" s="609"/>
      <c r="CIB58" s="609"/>
      <c r="CIC58" s="609"/>
      <c r="CID58" s="609"/>
      <c r="CIE58" s="609"/>
      <c r="CIF58" s="609"/>
      <c r="CIG58" s="609"/>
      <c r="CIH58" s="609"/>
      <c r="CII58" s="609"/>
      <c r="CIJ58" s="609"/>
      <c r="CIK58" s="609"/>
      <c r="CIL58" s="609"/>
      <c r="CIM58" s="609"/>
      <c r="CIN58" s="609"/>
      <c r="CIO58" s="609"/>
      <c r="CIP58" s="609"/>
      <c r="CIQ58" s="609"/>
      <c r="CIR58" s="609"/>
      <c r="CIS58" s="609"/>
      <c r="CIT58" s="609"/>
      <c r="CIU58" s="609"/>
      <c r="CIV58" s="609"/>
      <c r="CIW58" s="609"/>
      <c r="CIX58" s="609"/>
      <c r="CIY58" s="609"/>
      <c r="CIZ58" s="609"/>
      <c r="CJA58" s="609"/>
      <c r="CJB58" s="609"/>
      <c r="CJC58" s="609"/>
      <c r="CJD58" s="609"/>
      <c r="CJE58" s="609"/>
      <c r="CJF58" s="609"/>
      <c r="CJG58" s="609"/>
      <c r="CJH58" s="609"/>
      <c r="CJI58" s="609"/>
      <c r="CJJ58" s="609"/>
      <c r="CJK58" s="609"/>
      <c r="CJL58" s="609"/>
      <c r="CJM58" s="609"/>
      <c r="CJN58" s="609"/>
      <c r="CJO58" s="609"/>
      <c r="CJP58" s="609"/>
      <c r="CJQ58" s="609"/>
      <c r="CJR58" s="609"/>
      <c r="CJS58" s="609"/>
      <c r="CJT58" s="609"/>
      <c r="CJU58" s="609"/>
      <c r="CJV58" s="609"/>
      <c r="CJW58" s="609"/>
      <c r="CJX58" s="609"/>
      <c r="CJY58" s="609"/>
      <c r="CJZ58" s="609"/>
      <c r="CKA58" s="609"/>
      <c r="CKB58" s="609"/>
      <c r="CKC58" s="609"/>
      <c r="CKD58" s="609"/>
      <c r="CKE58" s="609"/>
      <c r="CKF58" s="609"/>
      <c r="CKG58" s="609"/>
      <c r="CKH58" s="609"/>
      <c r="CKI58" s="609"/>
      <c r="CKJ58" s="609"/>
      <c r="CKK58" s="609"/>
      <c r="CKL58" s="609"/>
      <c r="CKM58" s="609"/>
      <c r="CKN58" s="609"/>
      <c r="CKO58" s="609"/>
      <c r="CKP58" s="609"/>
      <c r="CKQ58" s="609"/>
      <c r="CKR58" s="609"/>
      <c r="CKS58" s="609"/>
      <c r="CKT58" s="609"/>
      <c r="CKU58" s="609"/>
      <c r="CKV58" s="609"/>
      <c r="CKW58" s="609"/>
      <c r="CKX58" s="609"/>
      <c r="CKY58" s="609"/>
      <c r="CKZ58" s="609"/>
      <c r="CLA58" s="609"/>
      <c r="CLB58" s="609"/>
      <c r="CLC58" s="609"/>
      <c r="CLD58" s="609"/>
      <c r="CLE58" s="609"/>
      <c r="CLF58" s="609"/>
      <c r="CLG58" s="609"/>
      <c r="CLH58" s="609"/>
      <c r="CLI58" s="609"/>
      <c r="CLJ58" s="609"/>
      <c r="CLK58" s="609"/>
      <c r="CLL58" s="609"/>
      <c r="CLM58" s="609"/>
      <c r="CLN58" s="609"/>
      <c r="CLO58" s="609"/>
      <c r="CLP58" s="609"/>
      <c r="CLQ58" s="609"/>
      <c r="CLR58" s="609"/>
      <c r="CLS58" s="609"/>
      <c r="CLT58" s="609"/>
      <c r="CLU58" s="609"/>
      <c r="CLV58" s="609"/>
      <c r="CLW58" s="609"/>
      <c r="CLX58" s="609"/>
      <c r="CLY58" s="609"/>
      <c r="CLZ58" s="609"/>
      <c r="CMA58" s="609"/>
      <c r="CMB58" s="609"/>
      <c r="CMC58" s="609"/>
      <c r="CMD58" s="609"/>
      <c r="CME58" s="609"/>
      <c r="CMF58" s="609"/>
      <c r="CMG58" s="609"/>
      <c r="CMH58" s="609"/>
      <c r="CMI58" s="609"/>
      <c r="CMJ58" s="609"/>
      <c r="CMK58" s="609"/>
      <c r="CML58" s="609"/>
      <c r="CMM58" s="609"/>
      <c r="CMN58" s="609"/>
      <c r="CMO58" s="609"/>
      <c r="CMP58" s="609"/>
      <c r="CMQ58" s="609"/>
      <c r="CMR58" s="609"/>
      <c r="CMS58" s="609"/>
      <c r="CMT58" s="609"/>
      <c r="CMU58" s="609"/>
      <c r="CMV58" s="609"/>
      <c r="CMW58" s="609"/>
      <c r="CMX58" s="609"/>
      <c r="CMY58" s="609"/>
      <c r="CMZ58" s="609"/>
      <c r="CNA58" s="609"/>
      <c r="CNB58" s="609"/>
      <c r="CNC58" s="609"/>
      <c r="CND58" s="609"/>
      <c r="CNE58" s="609"/>
      <c r="CNF58" s="609"/>
      <c r="CNG58" s="609"/>
      <c r="CNH58" s="609"/>
      <c r="CNI58" s="609"/>
      <c r="CNJ58" s="609"/>
      <c r="CNK58" s="609"/>
      <c r="CNL58" s="609"/>
      <c r="CNM58" s="609"/>
      <c r="CNN58" s="609"/>
      <c r="CNO58" s="609"/>
      <c r="CNP58" s="609"/>
      <c r="CNQ58" s="609"/>
      <c r="CNR58" s="609"/>
      <c r="CNS58" s="609"/>
      <c r="CNT58" s="609"/>
      <c r="CNU58" s="609"/>
      <c r="CNV58" s="609"/>
      <c r="CNW58" s="609"/>
      <c r="CNX58" s="609"/>
      <c r="CNY58" s="609"/>
      <c r="CNZ58" s="609"/>
      <c r="COA58" s="609"/>
      <c r="COB58" s="609"/>
      <c r="COC58" s="609"/>
      <c r="COD58" s="609"/>
      <c r="COE58" s="609"/>
      <c r="COF58" s="609"/>
      <c r="COG58" s="609"/>
      <c r="COH58" s="609"/>
      <c r="COI58" s="609"/>
      <c r="COJ58" s="609"/>
      <c r="COK58" s="609"/>
      <c r="COL58" s="609"/>
      <c r="COM58" s="609"/>
      <c r="CON58" s="609"/>
      <c r="COO58" s="609"/>
      <c r="COP58" s="609"/>
      <c r="COQ58" s="609"/>
      <c r="COR58" s="609"/>
      <c r="COS58" s="609"/>
      <c r="COT58" s="609"/>
      <c r="COU58" s="609"/>
      <c r="COV58" s="609"/>
      <c r="COW58" s="609"/>
      <c r="COX58" s="609"/>
      <c r="COY58" s="609"/>
      <c r="COZ58" s="609"/>
      <c r="CPA58" s="609"/>
      <c r="CPB58" s="609"/>
      <c r="CPC58" s="609"/>
      <c r="CPD58" s="609"/>
      <c r="CPE58" s="609"/>
      <c r="CPF58" s="609"/>
      <c r="CPG58" s="609"/>
      <c r="CPH58" s="609"/>
      <c r="CPI58" s="609"/>
      <c r="CPJ58" s="609"/>
      <c r="CPK58" s="609"/>
      <c r="CPL58" s="609"/>
      <c r="CPM58" s="609"/>
      <c r="CPN58" s="609"/>
      <c r="CPO58" s="609"/>
      <c r="CPP58" s="609"/>
      <c r="CPQ58" s="609"/>
      <c r="CPR58" s="609"/>
      <c r="CPS58" s="609"/>
      <c r="CPT58" s="609"/>
      <c r="CPU58" s="609"/>
      <c r="CPV58" s="609"/>
      <c r="CPW58" s="609"/>
      <c r="CPX58" s="609"/>
      <c r="CPY58" s="609"/>
      <c r="CPZ58" s="609"/>
      <c r="CQA58" s="609"/>
      <c r="CQB58" s="609"/>
      <c r="CQC58" s="609"/>
      <c r="CQD58" s="609"/>
      <c r="CQE58" s="609"/>
      <c r="CQF58" s="609"/>
      <c r="CQG58" s="609"/>
      <c r="CQH58" s="609"/>
      <c r="CQI58" s="609"/>
      <c r="CQJ58" s="609"/>
      <c r="CQK58" s="609"/>
      <c r="CQL58" s="609"/>
      <c r="CQM58" s="609"/>
      <c r="CQN58" s="609"/>
      <c r="CQO58" s="609"/>
      <c r="CQP58" s="609"/>
      <c r="CQQ58" s="609"/>
      <c r="CQR58" s="609"/>
      <c r="CQS58" s="609"/>
      <c r="CQT58" s="609"/>
      <c r="CQU58" s="609"/>
      <c r="CQV58" s="609"/>
      <c r="CQW58" s="609"/>
      <c r="CQX58" s="609"/>
      <c r="CQY58" s="609"/>
      <c r="CQZ58" s="609"/>
      <c r="CRA58" s="609"/>
      <c r="CRB58" s="609"/>
      <c r="CRC58" s="609"/>
      <c r="CRD58" s="609"/>
      <c r="CRE58" s="609"/>
      <c r="CRF58" s="609"/>
      <c r="CRG58" s="609"/>
      <c r="CRH58" s="609"/>
      <c r="CRI58" s="609"/>
      <c r="CRJ58" s="609"/>
      <c r="CRK58" s="609"/>
      <c r="CRL58" s="609"/>
      <c r="CRM58" s="609"/>
      <c r="CRN58" s="609"/>
      <c r="CRO58" s="609"/>
      <c r="CRP58" s="609"/>
      <c r="CRQ58" s="609"/>
      <c r="CRR58" s="609"/>
      <c r="CRS58" s="609"/>
      <c r="CRT58" s="609"/>
      <c r="CRU58" s="609"/>
      <c r="CRV58" s="609"/>
      <c r="CRW58" s="609"/>
      <c r="CRX58" s="609"/>
      <c r="CRY58" s="609"/>
      <c r="CRZ58" s="609"/>
      <c r="CSA58" s="609"/>
      <c r="CSB58" s="609"/>
      <c r="CSC58" s="609"/>
      <c r="CSD58" s="609"/>
      <c r="CSE58" s="609"/>
      <c r="CSF58" s="609"/>
      <c r="CSG58" s="609"/>
      <c r="CSH58" s="609"/>
      <c r="CSI58" s="609"/>
      <c r="CSJ58" s="609"/>
      <c r="CSK58" s="609"/>
      <c r="CSL58" s="609"/>
      <c r="CSM58" s="609"/>
      <c r="CSN58" s="609"/>
      <c r="CSO58" s="609"/>
      <c r="CSP58" s="609"/>
      <c r="CSQ58" s="609"/>
      <c r="CSR58" s="609"/>
      <c r="CSS58" s="609"/>
      <c r="CST58" s="609"/>
      <c r="CSU58" s="609"/>
      <c r="CSV58" s="609"/>
      <c r="CSW58" s="609"/>
      <c r="CSX58" s="609"/>
      <c r="CSY58" s="609"/>
      <c r="CSZ58" s="609"/>
      <c r="CTA58" s="609"/>
      <c r="CTB58" s="609"/>
      <c r="CTC58" s="609"/>
      <c r="CTD58" s="609"/>
      <c r="CTE58" s="609"/>
      <c r="CTF58" s="609"/>
      <c r="CTG58" s="609"/>
      <c r="CTH58" s="609"/>
      <c r="CTI58" s="609"/>
      <c r="CTJ58" s="609"/>
      <c r="CTK58" s="609"/>
      <c r="CTL58" s="609"/>
      <c r="CTM58" s="609"/>
      <c r="CTN58" s="609"/>
      <c r="CTO58" s="609"/>
      <c r="CTP58" s="609"/>
      <c r="CTQ58" s="609"/>
      <c r="CTR58" s="609"/>
      <c r="CTS58" s="609"/>
      <c r="CTT58" s="609"/>
      <c r="CTU58" s="609"/>
      <c r="CTV58" s="609"/>
      <c r="CTW58" s="609"/>
      <c r="CTX58" s="609"/>
      <c r="CTY58" s="609"/>
      <c r="CTZ58" s="609"/>
      <c r="CUA58" s="609"/>
      <c r="CUB58" s="609"/>
      <c r="CUC58" s="609"/>
      <c r="CUD58" s="609"/>
      <c r="CUE58" s="609"/>
      <c r="CUF58" s="609"/>
      <c r="CUG58" s="609"/>
      <c r="CUH58" s="609"/>
      <c r="CUI58" s="609"/>
      <c r="CUJ58" s="609"/>
      <c r="CUK58" s="609"/>
      <c r="CUL58" s="609"/>
      <c r="CUM58" s="609"/>
      <c r="CUN58" s="609"/>
      <c r="CUO58" s="609"/>
      <c r="CUP58" s="609"/>
      <c r="CUQ58" s="609"/>
      <c r="CUR58" s="609"/>
      <c r="CUS58" s="609"/>
      <c r="CUT58" s="609"/>
      <c r="CUU58" s="609"/>
      <c r="CUV58" s="609"/>
      <c r="CUW58" s="609"/>
      <c r="CUX58" s="609"/>
      <c r="CUY58" s="609"/>
      <c r="CUZ58" s="609"/>
      <c r="CVA58" s="609"/>
      <c r="CVB58" s="609"/>
      <c r="CVC58" s="609"/>
      <c r="CVD58" s="609"/>
      <c r="CVE58" s="609"/>
      <c r="CVF58" s="609"/>
      <c r="CVG58" s="609"/>
      <c r="CVH58" s="609"/>
      <c r="CVI58" s="609"/>
      <c r="CVJ58" s="609"/>
      <c r="CVK58" s="609"/>
      <c r="CVL58" s="609"/>
      <c r="CVM58" s="609"/>
      <c r="CVN58" s="609"/>
      <c r="CVO58" s="609"/>
      <c r="CVP58" s="609"/>
      <c r="CVQ58" s="609"/>
      <c r="CVR58" s="609"/>
      <c r="CVS58" s="609"/>
      <c r="CVT58" s="609"/>
      <c r="CVU58" s="609"/>
      <c r="CVV58" s="609"/>
      <c r="CVW58" s="609"/>
      <c r="CVX58" s="609"/>
      <c r="CVY58" s="609"/>
      <c r="CVZ58" s="609"/>
      <c r="CWA58" s="609"/>
      <c r="CWB58" s="609"/>
      <c r="CWC58" s="609"/>
      <c r="CWD58" s="609"/>
      <c r="CWE58" s="609"/>
      <c r="CWF58" s="609"/>
      <c r="CWG58" s="609"/>
      <c r="CWH58" s="609"/>
      <c r="CWI58" s="609"/>
      <c r="CWJ58" s="609"/>
      <c r="CWK58" s="609"/>
      <c r="CWL58" s="609"/>
      <c r="CWM58" s="609"/>
      <c r="CWN58" s="609"/>
      <c r="CWO58" s="609"/>
      <c r="CWP58" s="609"/>
      <c r="CWQ58" s="609"/>
      <c r="CWR58" s="609"/>
      <c r="CWS58" s="609"/>
      <c r="CWT58" s="609"/>
      <c r="CWU58" s="609"/>
      <c r="CWV58" s="609"/>
      <c r="CWW58" s="609"/>
      <c r="CWX58" s="609"/>
      <c r="CWY58" s="609"/>
      <c r="CWZ58" s="609"/>
      <c r="CXA58" s="609"/>
      <c r="CXB58" s="609"/>
      <c r="CXC58" s="609"/>
      <c r="CXD58" s="609"/>
      <c r="CXE58" s="609"/>
      <c r="CXF58" s="609"/>
      <c r="CXG58" s="609"/>
      <c r="CXH58" s="609"/>
      <c r="CXI58" s="609"/>
      <c r="CXJ58" s="609"/>
      <c r="CXK58" s="609"/>
      <c r="CXL58" s="609"/>
      <c r="CXM58" s="609"/>
      <c r="CXN58" s="609"/>
      <c r="CXO58" s="609"/>
      <c r="CXP58" s="609"/>
      <c r="CXQ58" s="609"/>
      <c r="CXR58" s="609"/>
      <c r="CXS58" s="609"/>
      <c r="CXT58" s="609"/>
      <c r="CXU58" s="609"/>
      <c r="CXV58" s="609"/>
      <c r="CXW58" s="609"/>
      <c r="CXX58" s="609"/>
      <c r="CXY58" s="609"/>
      <c r="CXZ58" s="609"/>
      <c r="CYA58" s="609"/>
      <c r="CYB58" s="609"/>
      <c r="CYC58" s="609"/>
      <c r="CYD58" s="609"/>
      <c r="CYE58" s="609"/>
      <c r="CYF58" s="609"/>
      <c r="CYG58" s="609"/>
      <c r="CYH58" s="609"/>
      <c r="CYI58" s="609"/>
      <c r="CYJ58" s="609"/>
      <c r="CYK58" s="609"/>
      <c r="CYL58" s="609"/>
      <c r="CYM58" s="609"/>
      <c r="CYN58" s="609"/>
      <c r="CYO58" s="609"/>
      <c r="CYP58" s="609"/>
      <c r="CYQ58" s="609"/>
      <c r="CYR58" s="609"/>
      <c r="CYS58" s="609"/>
      <c r="CYT58" s="609"/>
      <c r="CYU58" s="609"/>
      <c r="CYV58" s="609"/>
      <c r="CYW58" s="609"/>
      <c r="CYX58" s="609"/>
      <c r="CYY58" s="609"/>
      <c r="CYZ58" s="609"/>
      <c r="CZA58" s="609"/>
      <c r="CZB58" s="609"/>
      <c r="CZC58" s="609"/>
      <c r="CZD58" s="609"/>
      <c r="CZE58" s="609"/>
      <c r="CZF58" s="609"/>
      <c r="CZG58" s="609"/>
      <c r="CZH58" s="609"/>
      <c r="CZI58" s="609"/>
      <c r="CZJ58" s="609"/>
      <c r="CZK58" s="609"/>
      <c r="CZL58" s="609"/>
      <c r="CZM58" s="609"/>
      <c r="CZN58" s="609"/>
      <c r="CZO58" s="609"/>
      <c r="CZP58" s="609"/>
      <c r="CZQ58" s="609"/>
      <c r="CZR58" s="609"/>
      <c r="CZS58" s="609"/>
      <c r="CZT58" s="609"/>
      <c r="CZU58" s="609"/>
      <c r="CZV58" s="609"/>
      <c r="CZW58" s="609"/>
      <c r="CZX58" s="609"/>
      <c r="CZY58" s="609"/>
      <c r="CZZ58" s="609"/>
      <c r="DAA58" s="609"/>
      <c r="DAB58" s="609"/>
      <c r="DAC58" s="609"/>
      <c r="DAD58" s="609"/>
      <c r="DAE58" s="609"/>
      <c r="DAF58" s="609"/>
      <c r="DAG58" s="609"/>
      <c r="DAH58" s="609"/>
      <c r="DAI58" s="609"/>
      <c r="DAJ58" s="609"/>
      <c r="DAK58" s="609"/>
      <c r="DAL58" s="609"/>
      <c r="DAM58" s="609"/>
      <c r="DAN58" s="609"/>
      <c r="DAO58" s="609"/>
      <c r="DAP58" s="609"/>
      <c r="DAQ58" s="609"/>
      <c r="DAR58" s="609"/>
      <c r="DAS58" s="609"/>
      <c r="DAT58" s="609"/>
      <c r="DAU58" s="609"/>
      <c r="DAV58" s="609"/>
      <c r="DAW58" s="609"/>
      <c r="DAX58" s="609"/>
      <c r="DAY58" s="609"/>
      <c r="DAZ58" s="609"/>
      <c r="DBA58" s="609"/>
      <c r="DBB58" s="609"/>
      <c r="DBC58" s="609"/>
      <c r="DBD58" s="609"/>
      <c r="DBE58" s="609"/>
      <c r="DBF58" s="609"/>
      <c r="DBG58" s="609"/>
      <c r="DBH58" s="609"/>
      <c r="DBI58" s="609"/>
      <c r="DBJ58" s="609"/>
      <c r="DBK58" s="609"/>
      <c r="DBL58" s="609"/>
      <c r="DBM58" s="609"/>
      <c r="DBN58" s="609"/>
      <c r="DBO58" s="609"/>
      <c r="DBP58" s="609"/>
      <c r="DBQ58" s="609"/>
      <c r="DBR58" s="609"/>
      <c r="DBS58" s="609"/>
      <c r="DBT58" s="609"/>
      <c r="DBU58" s="609"/>
      <c r="DBV58" s="609"/>
      <c r="DBW58" s="609"/>
      <c r="DBX58" s="609"/>
      <c r="DBY58" s="609"/>
      <c r="DBZ58" s="609"/>
      <c r="DCA58" s="609"/>
      <c r="DCB58" s="609"/>
      <c r="DCC58" s="609"/>
      <c r="DCD58" s="609"/>
      <c r="DCE58" s="609"/>
      <c r="DCF58" s="609"/>
      <c r="DCG58" s="609"/>
      <c r="DCH58" s="609"/>
      <c r="DCI58" s="609"/>
      <c r="DCJ58" s="609"/>
      <c r="DCK58" s="609"/>
      <c r="DCL58" s="609"/>
      <c r="DCM58" s="609"/>
      <c r="DCN58" s="609"/>
      <c r="DCO58" s="609"/>
      <c r="DCP58" s="609"/>
      <c r="DCQ58" s="609"/>
      <c r="DCR58" s="609"/>
      <c r="DCS58" s="609"/>
      <c r="DCT58" s="609"/>
      <c r="DCU58" s="609"/>
      <c r="DCV58" s="609"/>
      <c r="DCW58" s="609"/>
      <c r="DCX58" s="609"/>
      <c r="DCY58" s="609"/>
      <c r="DCZ58" s="609"/>
      <c r="DDA58" s="609"/>
      <c r="DDB58" s="609"/>
      <c r="DDC58" s="609"/>
      <c r="DDD58" s="609"/>
      <c r="DDE58" s="609"/>
      <c r="DDF58" s="609"/>
      <c r="DDG58" s="609"/>
      <c r="DDH58" s="609"/>
      <c r="DDI58" s="609"/>
      <c r="DDJ58" s="609"/>
      <c r="DDK58" s="609"/>
      <c r="DDL58" s="609"/>
      <c r="DDM58" s="609"/>
      <c r="DDN58" s="609"/>
      <c r="DDO58" s="609"/>
      <c r="DDP58" s="609"/>
      <c r="DDQ58" s="609"/>
      <c r="DDR58" s="609"/>
      <c r="DDS58" s="609"/>
      <c r="DDT58" s="609"/>
      <c r="DDU58" s="609"/>
      <c r="DDV58" s="609"/>
      <c r="DDW58" s="609"/>
      <c r="DDX58" s="609"/>
      <c r="DDY58" s="609"/>
      <c r="DDZ58" s="609"/>
      <c r="DEA58" s="609"/>
      <c r="DEB58" s="609"/>
      <c r="DEC58" s="609"/>
      <c r="DED58" s="609"/>
      <c r="DEE58" s="609"/>
      <c r="DEF58" s="609"/>
      <c r="DEG58" s="609"/>
      <c r="DEH58" s="609"/>
      <c r="DEI58" s="609"/>
      <c r="DEJ58" s="609"/>
      <c r="DEK58" s="609"/>
      <c r="DEL58" s="609"/>
      <c r="DEM58" s="609"/>
      <c r="DEN58" s="609"/>
      <c r="DEO58" s="609"/>
      <c r="DEP58" s="609"/>
      <c r="DEQ58" s="609"/>
      <c r="DER58" s="609"/>
      <c r="DES58" s="609"/>
      <c r="DET58" s="609"/>
      <c r="DEU58" s="609"/>
      <c r="DEV58" s="609"/>
      <c r="DEW58" s="609"/>
      <c r="DEX58" s="609"/>
      <c r="DEY58" s="609"/>
      <c r="DEZ58" s="609"/>
      <c r="DFA58" s="609"/>
      <c r="DFB58" s="609"/>
      <c r="DFC58" s="609"/>
      <c r="DFD58" s="609"/>
      <c r="DFE58" s="609"/>
      <c r="DFF58" s="609"/>
      <c r="DFG58" s="609"/>
      <c r="DFH58" s="609"/>
      <c r="DFI58" s="609"/>
      <c r="DFJ58" s="609"/>
      <c r="DFK58" s="609"/>
      <c r="DFL58" s="609"/>
      <c r="DFM58" s="609"/>
      <c r="DFN58" s="609"/>
      <c r="DFO58" s="609"/>
      <c r="DFP58" s="609"/>
      <c r="DFQ58" s="609"/>
      <c r="DFR58" s="609"/>
      <c r="DFS58" s="609"/>
      <c r="DFT58" s="609"/>
      <c r="DFU58" s="609"/>
      <c r="DFV58" s="609"/>
      <c r="DFW58" s="609"/>
      <c r="DFX58" s="609"/>
      <c r="DFY58" s="609"/>
      <c r="DFZ58" s="609"/>
      <c r="DGA58" s="609"/>
      <c r="DGB58" s="609"/>
      <c r="DGC58" s="609"/>
      <c r="DGD58" s="609"/>
      <c r="DGE58" s="609"/>
      <c r="DGF58" s="609"/>
      <c r="DGG58" s="609"/>
      <c r="DGH58" s="609"/>
      <c r="DGI58" s="609"/>
      <c r="DGJ58" s="609"/>
      <c r="DGK58" s="609"/>
      <c r="DGL58" s="609"/>
      <c r="DGM58" s="609"/>
      <c r="DGN58" s="609"/>
      <c r="DGO58" s="609"/>
      <c r="DGP58" s="609"/>
      <c r="DGQ58" s="609"/>
      <c r="DGR58" s="609"/>
      <c r="DGS58" s="609"/>
      <c r="DGT58" s="609"/>
      <c r="DGU58" s="609"/>
      <c r="DGV58" s="609"/>
      <c r="DGW58" s="609"/>
      <c r="DGX58" s="609"/>
      <c r="DGY58" s="609"/>
      <c r="DGZ58" s="609"/>
      <c r="DHA58" s="609"/>
      <c r="DHB58" s="609"/>
      <c r="DHC58" s="609"/>
      <c r="DHD58" s="609"/>
      <c r="DHE58" s="609"/>
      <c r="DHF58" s="609"/>
      <c r="DHG58" s="609"/>
      <c r="DHH58" s="609"/>
      <c r="DHI58" s="609"/>
      <c r="DHJ58" s="609"/>
      <c r="DHK58" s="609"/>
      <c r="DHL58" s="609"/>
      <c r="DHM58" s="609"/>
      <c r="DHN58" s="609"/>
      <c r="DHO58" s="609"/>
      <c r="DHP58" s="609"/>
      <c r="DHQ58" s="609"/>
      <c r="DHR58" s="609"/>
      <c r="DHS58" s="609"/>
      <c r="DHT58" s="609"/>
      <c r="DHU58" s="609"/>
      <c r="DHV58" s="609"/>
      <c r="DHW58" s="609"/>
      <c r="DHX58" s="609"/>
      <c r="DHY58" s="609"/>
      <c r="DHZ58" s="609"/>
      <c r="DIA58" s="609"/>
      <c r="DIB58" s="609"/>
      <c r="DIC58" s="609"/>
      <c r="DID58" s="609"/>
      <c r="DIE58" s="609"/>
      <c r="DIF58" s="609"/>
      <c r="DIG58" s="609"/>
      <c r="DIH58" s="609"/>
      <c r="DII58" s="609"/>
      <c r="DIJ58" s="609"/>
      <c r="DIK58" s="609"/>
      <c r="DIL58" s="609"/>
      <c r="DIM58" s="609"/>
      <c r="DIN58" s="609"/>
      <c r="DIO58" s="609"/>
      <c r="DIP58" s="609"/>
      <c r="DIQ58" s="609"/>
      <c r="DIR58" s="609"/>
      <c r="DIS58" s="609"/>
      <c r="DIT58" s="609"/>
      <c r="DIU58" s="609"/>
      <c r="DIV58" s="609"/>
      <c r="DIW58" s="609"/>
      <c r="DIX58" s="609"/>
      <c r="DIY58" s="609"/>
      <c r="DIZ58" s="609"/>
      <c r="DJA58" s="609"/>
      <c r="DJB58" s="609"/>
      <c r="DJC58" s="609"/>
      <c r="DJD58" s="609"/>
      <c r="DJE58" s="609"/>
      <c r="DJF58" s="609"/>
      <c r="DJG58" s="609"/>
      <c r="DJH58" s="609"/>
      <c r="DJI58" s="609"/>
      <c r="DJJ58" s="609"/>
      <c r="DJK58" s="609"/>
      <c r="DJL58" s="609"/>
      <c r="DJM58" s="609"/>
      <c r="DJN58" s="609"/>
      <c r="DJO58" s="609"/>
      <c r="DJP58" s="609"/>
      <c r="DJQ58" s="609"/>
      <c r="DJR58" s="609"/>
      <c r="DJS58" s="609"/>
      <c r="DJT58" s="609"/>
      <c r="DJU58" s="609"/>
      <c r="DJV58" s="609"/>
      <c r="DJW58" s="609"/>
      <c r="DJX58" s="609"/>
      <c r="DJY58" s="609"/>
      <c r="DJZ58" s="609"/>
      <c r="DKA58" s="609"/>
      <c r="DKB58" s="609"/>
      <c r="DKC58" s="609"/>
      <c r="DKD58" s="609"/>
      <c r="DKE58" s="609"/>
      <c r="DKF58" s="609"/>
      <c r="DKG58" s="609"/>
      <c r="DKH58" s="609"/>
      <c r="DKI58" s="609"/>
      <c r="DKJ58" s="609"/>
      <c r="DKK58" s="609"/>
      <c r="DKL58" s="609"/>
      <c r="DKM58" s="609"/>
      <c r="DKN58" s="609"/>
      <c r="DKO58" s="609"/>
      <c r="DKP58" s="609"/>
      <c r="DKQ58" s="609"/>
      <c r="DKR58" s="609"/>
      <c r="DKS58" s="609"/>
      <c r="DKT58" s="609"/>
      <c r="DKU58" s="609"/>
      <c r="DKV58" s="609"/>
      <c r="DKW58" s="609"/>
      <c r="DKX58" s="609"/>
      <c r="DKY58" s="609"/>
      <c r="DKZ58" s="609"/>
      <c r="DLA58" s="609"/>
      <c r="DLB58" s="609"/>
      <c r="DLC58" s="609"/>
      <c r="DLD58" s="609"/>
      <c r="DLE58" s="609"/>
      <c r="DLF58" s="609"/>
      <c r="DLG58" s="609"/>
      <c r="DLH58" s="609"/>
      <c r="DLI58" s="609"/>
      <c r="DLJ58" s="609"/>
      <c r="DLK58" s="609"/>
      <c r="DLL58" s="609"/>
      <c r="DLM58" s="609"/>
      <c r="DLN58" s="609"/>
      <c r="DLO58" s="609"/>
      <c r="DLP58" s="609"/>
      <c r="DLQ58" s="609"/>
      <c r="DLR58" s="609"/>
      <c r="DLS58" s="609"/>
      <c r="DLT58" s="609"/>
      <c r="DLU58" s="609"/>
      <c r="DLV58" s="609"/>
      <c r="DLW58" s="609"/>
      <c r="DLX58" s="609"/>
      <c r="DLY58" s="609"/>
      <c r="DLZ58" s="609"/>
      <c r="DMA58" s="609"/>
      <c r="DMB58" s="609"/>
      <c r="DMC58" s="609"/>
      <c r="DMD58" s="609"/>
      <c r="DME58" s="609"/>
      <c r="DMF58" s="609"/>
      <c r="DMG58" s="609"/>
      <c r="DMH58" s="609"/>
      <c r="DMI58" s="609"/>
      <c r="DMJ58" s="609"/>
      <c r="DMK58" s="609"/>
      <c r="DML58" s="609"/>
      <c r="DMM58" s="609"/>
      <c r="DMN58" s="609"/>
      <c r="DMO58" s="609"/>
      <c r="DMP58" s="609"/>
      <c r="DMQ58" s="609"/>
      <c r="DMR58" s="609"/>
      <c r="DMS58" s="609"/>
      <c r="DMT58" s="609"/>
      <c r="DMU58" s="609"/>
      <c r="DMV58" s="609"/>
      <c r="DMW58" s="609"/>
      <c r="DMX58" s="609"/>
      <c r="DMY58" s="609"/>
      <c r="DMZ58" s="609"/>
      <c r="DNA58" s="609"/>
      <c r="DNB58" s="609"/>
      <c r="DNC58" s="609"/>
      <c r="DND58" s="609"/>
      <c r="DNE58" s="609"/>
      <c r="DNF58" s="609"/>
      <c r="DNG58" s="609"/>
      <c r="DNH58" s="609"/>
      <c r="DNI58" s="609"/>
      <c r="DNJ58" s="609"/>
      <c r="DNK58" s="609"/>
      <c r="DNL58" s="609"/>
      <c r="DNM58" s="609"/>
      <c r="DNN58" s="609"/>
      <c r="DNO58" s="609"/>
      <c r="DNP58" s="609"/>
      <c r="DNQ58" s="609"/>
      <c r="DNR58" s="609"/>
      <c r="DNS58" s="609"/>
      <c r="DNT58" s="609"/>
      <c r="DNU58" s="609"/>
      <c r="DNV58" s="609"/>
      <c r="DNW58" s="609"/>
      <c r="DNX58" s="609"/>
      <c r="DNY58" s="609"/>
      <c r="DNZ58" s="609"/>
      <c r="DOA58" s="609"/>
      <c r="DOB58" s="609"/>
      <c r="DOC58" s="609"/>
      <c r="DOD58" s="609"/>
      <c r="DOE58" s="609"/>
      <c r="DOF58" s="609"/>
      <c r="DOG58" s="609"/>
      <c r="DOH58" s="609"/>
      <c r="DOI58" s="609"/>
      <c r="DOJ58" s="609"/>
      <c r="DOK58" s="609"/>
      <c r="DOL58" s="609"/>
      <c r="DOM58" s="609"/>
      <c r="DON58" s="609"/>
      <c r="DOO58" s="609"/>
      <c r="DOP58" s="609"/>
      <c r="DOQ58" s="609"/>
      <c r="DOR58" s="609"/>
      <c r="DOS58" s="609"/>
      <c r="DOT58" s="609"/>
      <c r="DOU58" s="609"/>
      <c r="DOV58" s="609"/>
      <c r="DOW58" s="609"/>
      <c r="DOX58" s="609"/>
      <c r="DOY58" s="609"/>
      <c r="DOZ58" s="609"/>
      <c r="DPA58" s="609"/>
      <c r="DPB58" s="609"/>
      <c r="DPC58" s="609"/>
      <c r="DPD58" s="609"/>
      <c r="DPE58" s="609"/>
      <c r="DPF58" s="609"/>
      <c r="DPG58" s="609"/>
      <c r="DPH58" s="609"/>
      <c r="DPI58" s="609"/>
      <c r="DPJ58" s="609"/>
      <c r="DPK58" s="609"/>
      <c r="DPL58" s="609"/>
      <c r="DPM58" s="609"/>
      <c r="DPN58" s="609"/>
      <c r="DPO58" s="609"/>
      <c r="DPP58" s="609"/>
      <c r="DPQ58" s="609"/>
      <c r="DPR58" s="609"/>
      <c r="DPS58" s="609"/>
      <c r="DPT58" s="609"/>
      <c r="DPU58" s="609"/>
      <c r="DPV58" s="609"/>
      <c r="DPW58" s="609"/>
      <c r="DPX58" s="609"/>
      <c r="DPY58" s="609"/>
      <c r="DPZ58" s="609"/>
      <c r="DQA58" s="609"/>
      <c r="DQB58" s="609"/>
      <c r="DQC58" s="609"/>
      <c r="DQD58" s="609"/>
      <c r="DQE58" s="609"/>
      <c r="DQF58" s="609"/>
      <c r="DQG58" s="609"/>
      <c r="DQH58" s="609"/>
      <c r="DQI58" s="609"/>
      <c r="DQJ58" s="609"/>
      <c r="DQK58" s="609"/>
      <c r="DQL58" s="609"/>
      <c r="DQM58" s="609"/>
      <c r="DQN58" s="609"/>
      <c r="DQO58" s="609"/>
      <c r="DQP58" s="609"/>
      <c r="DQQ58" s="609"/>
      <c r="DQR58" s="609"/>
      <c r="DQS58" s="609"/>
      <c r="DQT58" s="609"/>
      <c r="DQU58" s="609"/>
      <c r="DQV58" s="609"/>
      <c r="DQW58" s="609"/>
      <c r="DQX58" s="609"/>
      <c r="DQY58" s="609"/>
      <c r="DQZ58" s="609"/>
      <c r="DRA58" s="609"/>
      <c r="DRB58" s="609"/>
      <c r="DRC58" s="609"/>
      <c r="DRD58" s="609"/>
      <c r="DRE58" s="609"/>
      <c r="DRF58" s="609"/>
      <c r="DRG58" s="609"/>
      <c r="DRH58" s="609"/>
      <c r="DRI58" s="609"/>
      <c r="DRJ58" s="609"/>
      <c r="DRK58" s="609"/>
      <c r="DRL58" s="609"/>
      <c r="DRM58" s="609"/>
      <c r="DRN58" s="609"/>
      <c r="DRO58" s="609"/>
      <c r="DRP58" s="609"/>
      <c r="DRQ58" s="609"/>
      <c r="DRR58" s="609"/>
      <c r="DRS58" s="609"/>
      <c r="DRT58" s="609"/>
      <c r="DRU58" s="609"/>
      <c r="DRV58" s="609"/>
      <c r="DRW58" s="609"/>
      <c r="DRX58" s="609"/>
      <c r="DRY58" s="609"/>
      <c r="DRZ58" s="609"/>
      <c r="DSA58" s="609"/>
      <c r="DSB58" s="609"/>
      <c r="DSC58" s="609"/>
      <c r="DSD58" s="609"/>
      <c r="DSE58" s="609"/>
      <c r="DSF58" s="609"/>
      <c r="DSG58" s="609"/>
      <c r="DSH58" s="609"/>
      <c r="DSI58" s="609"/>
      <c r="DSJ58" s="609"/>
      <c r="DSK58" s="609"/>
      <c r="DSL58" s="609"/>
      <c r="DSM58" s="609"/>
      <c r="DSN58" s="609"/>
      <c r="DSO58" s="609"/>
      <c r="DSP58" s="609"/>
      <c r="DSQ58" s="609"/>
      <c r="DSR58" s="609"/>
      <c r="DSS58" s="609"/>
      <c r="DST58" s="609"/>
      <c r="DSU58" s="609"/>
      <c r="DSV58" s="609"/>
      <c r="DSW58" s="609"/>
      <c r="DSX58" s="609"/>
      <c r="DSY58" s="609"/>
      <c r="DSZ58" s="609"/>
      <c r="DTA58" s="609"/>
      <c r="DTB58" s="609"/>
      <c r="DTC58" s="609"/>
      <c r="DTD58" s="609"/>
      <c r="DTE58" s="609"/>
      <c r="DTF58" s="609"/>
      <c r="DTG58" s="609"/>
      <c r="DTH58" s="609"/>
      <c r="DTI58" s="609"/>
      <c r="DTJ58" s="609"/>
      <c r="DTK58" s="609"/>
      <c r="DTL58" s="609"/>
      <c r="DTM58" s="609"/>
      <c r="DTN58" s="609"/>
      <c r="DTO58" s="609"/>
      <c r="DTP58" s="609"/>
      <c r="DTQ58" s="609"/>
      <c r="DTR58" s="609"/>
      <c r="DTS58" s="609"/>
      <c r="DTT58" s="609"/>
      <c r="DTU58" s="609"/>
      <c r="DTV58" s="609"/>
      <c r="DTW58" s="609"/>
      <c r="DTX58" s="609"/>
      <c r="DTY58" s="609"/>
      <c r="DTZ58" s="609"/>
      <c r="DUA58" s="609"/>
      <c r="DUB58" s="609"/>
      <c r="DUC58" s="609"/>
      <c r="DUD58" s="609"/>
      <c r="DUE58" s="609"/>
      <c r="DUF58" s="609"/>
      <c r="DUG58" s="609"/>
      <c r="DUH58" s="609"/>
      <c r="DUI58" s="609"/>
      <c r="DUJ58" s="609"/>
      <c r="DUK58" s="609"/>
      <c r="DUL58" s="609"/>
      <c r="DUM58" s="609"/>
      <c r="DUN58" s="609"/>
      <c r="DUO58" s="609"/>
      <c r="DUP58" s="609"/>
      <c r="DUQ58" s="609"/>
      <c r="DUR58" s="609"/>
      <c r="DUS58" s="609"/>
      <c r="DUT58" s="609"/>
      <c r="DUU58" s="609"/>
      <c r="DUV58" s="609"/>
      <c r="DUW58" s="609"/>
      <c r="DUX58" s="609"/>
      <c r="DUY58" s="609"/>
      <c r="DUZ58" s="609"/>
      <c r="DVA58" s="609"/>
      <c r="DVB58" s="609"/>
      <c r="DVC58" s="609"/>
      <c r="DVD58" s="609"/>
      <c r="DVE58" s="609"/>
      <c r="DVF58" s="609"/>
      <c r="DVG58" s="609"/>
      <c r="DVH58" s="609"/>
      <c r="DVI58" s="609"/>
      <c r="DVJ58" s="609"/>
      <c r="DVK58" s="609"/>
      <c r="DVL58" s="609"/>
      <c r="DVM58" s="609"/>
      <c r="DVN58" s="609"/>
      <c r="DVO58" s="609"/>
      <c r="DVP58" s="609"/>
      <c r="DVQ58" s="609"/>
      <c r="DVR58" s="609"/>
      <c r="DVS58" s="609"/>
      <c r="DVT58" s="609"/>
      <c r="DVU58" s="609"/>
      <c r="DVV58" s="609"/>
      <c r="DVW58" s="609"/>
      <c r="DVX58" s="609"/>
      <c r="DVY58" s="609"/>
      <c r="DVZ58" s="609"/>
      <c r="DWA58" s="609"/>
      <c r="DWB58" s="609"/>
      <c r="DWC58" s="609"/>
      <c r="DWD58" s="609"/>
      <c r="DWE58" s="609"/>
      <c r="DWF58" s="609"/>
      <c r="DWG58" s="609"/>
      <c r="DWH58" s="609"/>
      <c r="DWI58" s="609"/>
      <c r="DWJ58" s="609"/>
      <c r="DWK58" s="609"/>
      <c r="DWL58" s="609"/>
      <c r="DWM58" s="609"/>
      <c r="DWN58" s="609"/>
      <c r="DWO58" s="609"/>
      <c r="DWP58" s="609"/>
      <c r="DWQ58" s="609"/>
      <c r="DWR58" s="609"/>
      <c r="DWS58" s="609"/>
      <c r="DWT58" s="609"/>
      <c r="DWU58" s="609"/>
      <c r="DWV58" s="609"/>
      <c r="DWW58" s="609"/>
      <c r="DWX58" s="609"/>
      <c r="DWY58" s="609"/>
      <c r="DWZ58" s="609"/>
      <c r="DXA58" s="609"/>
      <c r="DXB58" s="609"/>
      <c r="DXC58" s="609"/>
      <c r="DXD58" s="609"/>
      <c r="DXE58" s="609"/>
      <c r="DXF58" s="609"/>
      <c r="DXG58" s="609"/>
      <c r="DXH58" s="609"/>
      <c r="DXI58" s="609"/>
      <c r="DXJ58" s="609"/>
      <c r="DXK58" s="609"/>
      <c r="DXL58" s="609"/>
      <c r="DXM58" s="609"/>
      <c r="DXN58" s="609"/>
      <c r="DXO58" s="609"/>
      <c r="DXP58" s="609"/>
      <c r="DXQ58" s="609"/>
      <c r="DXR58" s="609"/>
      <c r="DXS58" s="609"/>
      <c r="DXT58" s="609"/>
      <c r="DXU58" s="609"/>
      <c r="DXV58" s="609"/>
      <c r="DXW58" s="609"/>
      <c r="DXX58" s="609"/>
      <c r="DXY58" s="609"/>
      <c r="DXZ58" s="609"/>
      <c r="DYA58" s="609"/>
      <c r="DYB58" s="609"/>
      <c r="DYC58" s="609"/>
      <c r="DYD58" s="609"/>
      <c r="DYE58" s="609"/>
      <c r="DYF58" s="609"/>
      <c r="DYG58" s="609"/>
      <c r="DYH58" s="609"/>
      <c r="DYI58" s="609"/>
      <c r="DYJ58" s="609"/>
      <c r="DYK58" s="609"/>
      <c r="DYL58" s="609"/>
      <c r="DYM58" s="609"/>
      <c r="DYN58" s="609"/>
      <c r="DYO58" s="609"/>
      <c r="DYP58" s="609"/>
      <c r="DYQ58" s="609"/>
      <c r="DYR58" s="609"/>
      <c r="DYS58" s="609"/>
      <c r="DYT58" s="609"/>
      <c r="DYU58" s="609"/>
      <c r="DYV58" s="609"/>
      <c r="DYW58" s="609"/>
      <c r="DYX58" s="609"/>
      <c r="DYY58" s="609"/>
      <c r="DYZ58" s="609"/>
      <c r="DZA58" s="609"/>
      <c r="DZB58" s="609"/>
      <c r="DZC58" s="609"/>
      <c r="DZD58" s="609"/>
      <c r="DZE58" s="609"/>
      <c r="DZF58" s="609"/>
      <c r="DZG58" s="609"/>
      <c r="DZH58" s="609"/>
      <c r="DZI58" s="609"/>
      <c r="DZJ58" s="609"/>
      <c r="DZK58" s="609"/>
      <c r="DZL58" s="609"/>
      <c r="DZM58" s="609"/>
      <c r="DZN58" s="609"/>
      <c r="DZO58" s="609"/>
      <c r="DZP58" s="609"/>
      <c r="DZQ58" s="609"/>
      <c r="DZR58" s="609"/>
      <c r="DZS58" s="609"/>
      <c r="DZT58" s="609"/>
      <c r="DZU58" s="609"/>
      <c r="DZV58" s="609"/>
      <c r="DZW58" s="609"/>
      <c r="DZX58" s="609"/>
      <c r="DZY58" s="609"/>
      <c r="DZZ58" s="609"/>
      <c r="EAA58" s="609"/>
      <c r="EAB58" s="609"/>
      <c r="EAC58" s="609"/>
      <c r="EAD58" s="609"/>
      <c r="EAE58" s="609"/>
      <c r="EAF58" s="609"/>
      <c r="EAG58" s="609"/>
      <c r="EAH58" s="609"/>
      <c r="EAI58" s="609"/>
      <c r="EAJ58" s="609"/>
      <c r="EAK58" s="609"/>
      <c r="EAL58" s="609"/>
      <c r="EAM58" s="609"/>
      <c r="EAN58" s="609"/>
      <c r="EAO58" s="609"/>
      <c r="EAP58" s="609"/>
      <c r="EAQ58" s="609"/>
      <c r="EAR58" s="609"/>
      <c r="EAS58" s="609"/>
      <c r="EAT58" s="609"/>
      <c r="EAU58" s="609"/>
      <c r="EAV58" s="609"/>
      <c r="EAW58" s="609"/>
      <c r="EAX58" s="609"/>
      <c r="EAY58" s="609"/>
      <c r="EAZ58" s="609"/>
      <c r="EBA58" s="609"/>
      <c r="EBB58" s="609"/>
      <c r="EBC58" s="609"/>
      <c r="EBD58" s="609"/>
      <c r="EBE58" s="609"/>
      <c r="EBF58" s="609"/>
      <c r="EBG58" s="609"/>
      <c r="EBH58" s="609"/>
      <c r="EBI58" s="609"/>
      <c r="EBJ58" s="609"/>
      <c r="EBK58" s="609"/>
      <c r="EBL58" s="609"/>
      <c r="EBM58" s="609"/>
      <c r="EBN58" s="609"/>
      <c r="EBO58" s="609"/>
      <c r="EBP58" s="609"/>
      <c r="EBQ58" s="609"/>
      <c r="EBR58" s="609"/>
      <c r="EBS58" s="609"/>
      <c r="EBT58" s="609"/>
      <c r="EBU58" s="609"/>
      <c r="EBV58" s="609"/>
      <c r="EBW58" s="609"/>
      <c r="EBX58" s="609"/>
      <c r="EBY58" s="609"/>
      <c r="EBZ58" s="609"/>
      <c r="ECA58" s="609"/>
      <c r="ECB58" s="609"/>
      <c r="ECC58" s="609"/>
      <c r="ECD58" s="609"/>
      <c r="ECE58" s="609"/>
      <c r="ECF58" s="609"/>
      <c r="ECG58" s="609"/>
      <c r="ECH58" s="609"/>
      <c r="ECI58" s="609"/>
      <c r="ECJ58" s="609"/>
      <c r="ECK58" s="609"/>
      <c r="ECL58" s="609"/>
      <c r="ECM58" s="609"/>
      <c r="ECN58" s="609"/>
      <c r="ECO58" s="609"/>
      <c r="ECP58" s="609"/>
      <c r="ECQ58" s="609"/>
      <c r="ECR58" s="609"/>
      <c r="ECS58" s="609"/>
      <c r="ECT58" s="609"/>
      <c r="ECU58" s="609"/>
      <c r="ECV58" s="609"/>
      <c r="ECW58" s="609"/>
      <c r="ECX58" s="609"/>
      <c r="ECY58" s="609"/>
      <c r="ECZ58" s="609"/>
      <c r="EDA58" s="609"/>
      <c r="EDB58" s="609"/>
      <c r="EDC58" s="609"/>
      <c r="EDD58" s="609"/>
      <c r="EDE58" s="609"/>
      <c r="EDF58" s="609"/>
      <c r="EDG58" s="609"/>
      <c r="EDH58" s="609"/>
      <c r="EDI58" s="609"/>
      <c r="EDJ58" s="609"/>
      <c r="EDK58" s="609"/>
      <c r="EDL58" s="609"/>
      <c r="EDM58" s="609"/>
      <c r="EDN58" s="609"/>
      <c r="EDO58" s="609"/>
      <c r="EDP58" s="609"/>
      <c r="EDQ58" s="609"/>
      <c r="EDR58" s="609"/>
      <c r="EDS58" s="609"/>
      <c r="EDT58" s="609"/>
      <c r="EDU58" s="609"/>
      <c r="EDV58" s="609"/>
      <c r="EDW58" s="609"/>
      <c r="EDX58" s="609"/>
      <c r="EDY58" s="609"/>
      <c r="EDZ58" s="609"/>
      <c r="EEA58" s="609"/>
      <c r="EEB58" s="609"/>
      <c r="EEC58" s="609"/>
      <c r="EED58" s="609"/>
      <c r="EEE58" s="609"/>
      <c r="EEF58" s="609"/>
      <c r="EEG58" s="609"/>
      <c r="EEH58" s="609"/>
      <c r="EEI58" s="609"/>
      <c r="EEJ58" s="609"/>
      <c r="EEK58" s="609"/>
      <c r="EEL58" s="609"/>
      <c r="EEM58" s="609"/>
      <c r="EEN58" s="609"/>
      <c r="EEO58" s="609"/>
      <c r="EEP58" s="609"/>
      <c r="EEQ58" s="609"/>
      <c r="EER58" s="609"/>
      <c r="EES58" s="609"/>
      <c r="EET58" s="609"/>
      <c r="EEU58" s="609"/>
      <c r="EEV58" s="609"/>
      <c r="EEW58" s="609"/>
      <c r="EEX58" s="609"/>
      <c r="EEY58" s="609"/>
      <c r="EEZ58" s="609"/>
      <c r="EFA58" s="609"/>
      <c r="EFB58" s="609"/>
      <c r="EFC58" s="609"/>
      <c r="EFD58" s="609"/>
      <c r="EFE58" s="609"/>
      <c r="EFF58" s="609"/>
      <c r="EFG58" s="609"/>
      <c r="EFH58" s="609"/>
      <c r="EFI58" s="609"/>
      <c r="EFJ58" s="609"/>
      <c r="EFK58" s="609"/>
      <c r="EFL58" s="609"/>
      <c r="EFM58" s="609"/>
      <c r="EFN58" s="609"/>
      <c r="EFO58" s="609"/>
      <c r="EFP58" s="609"/>
      <c r="EFQ58" s="609"/>
      <c r="EFR58" s="609"/>
      <c r="EFS58" s="609"/>
      <c r="EFT58" s="609"/>
      <c r="EFU58" s="609"/>
      <c r="EFV58" s="609"/>
      <c r="EFW58" s="609"/>
      <c r="EFX58" s="609"/>
      <c r="EFY58" s="609"/>
      <c r="EFZ58" s="609"/>
      <c r="EGA58" s="609"/>
      <c r="EGB58" s="609"/>
      <c r="EGC58" s="609"/>
      <c r="EGD58" s="609"/>
      <c r="EGE58" s="609"/>
      <c r="EGF58" s="609"/>
      <c r="EGG58" s="609"/>
      <c r="EGH58" s="609"/>
      <c r="EGI58" s="609"/>
      <c r="EGJ58" s="609"/>
      <c r="EGK58" s="609"/>
      <c r="EGL58" s="609"/>
      <c r="EGM58" s="609"/>
      <c r="EGN58" s="609"/>
      <c r="EGO58" s="609"/>
      <c r="EGP58" s="609"/>
      <c r="EGQ58" s="609"/>
      <c r="EGR58" s="609"/>
      <c r="EGS58" s="609"/>
      <c r="EGT58" s="609"/>
      <c r="EGU58" s="609"/>
      <c r="EGV58" s="609"/>
      <c r="EGW58" s="609"/>
      <c r="EGX58" s="609"/>
      <c r="EGY58" s="609"/>
      <c r="EGZ58" s="609"/>
      <c r="EHA58" s="609"/>
      <c r="EHB58" s="609"/>
      <c r="EHC58" s="609"/>
      <c r="EHD58" s="609"/>
      <c r="EHE58" s="609"/>
      <c r="EHF58" s="609"/>
      <c r="EHG58" s="609"/>
      <c r="EHH58" s="609"/>
      <c r="EHI58" s="609"/>
      <c r="EHJ58" s="609"/>
      <c r="EHK58" s="609"/>
      <c r="EHL58" s="609"/>
      <c r="EHM58" s="609"/>
      <c r="EHN58" s="609"/>
      <c r="EHO58" s="609"/>
      <c r="EHP58" s="609"/>
      <c r="EHQ58" s="609"/>
      <c r="EHR58" s="609"/>
      <c r="EHS58" s="609"/>
      <c r="EHT58" s="609"/>
      <c r="EHU58" s="609"/>
      <c r="EHV58" s="609"/>
      <c r="EHW58" s="609"/>
      <c r="EHX58" s="609"/>
      <c r="EHY58" s="609"/>
      <c r="EHZ58" s="609"/>
      <c r="EIA58" s="609"/>
      <c r="EIB58" s="609"/>
      <c r="EIC58" s="609"/>
      <c r="EID58" s="609"/>
      <c r="EIE58" s="609"/>
      <c r="EIF58" s="609"/>
      <c r="EIG58" s="609"/>
      <c r="EIH58" s="609"/>
      <c r="EII58" s="609"/>
      <c r="EIJ58" s="609"/>
      <c r="EIK58" s="609"/>
      <c r="EIL58" s="609"/>
      <c r="EIM58" s="609"/>
      <c r="EIN58" s="609"/>
      <c r="EIO58" s="609"/>
      <c r="EIP58" s="609"/>
      <c r="EIQ58" s="609"/>
      <c r="EIR58" s="609"/>
      <c r="EIS58" s="609"/>
      <c r="EIT58" s="609"/>
      <c r="EIU58" s="609"/>
      <c r="EIV58" s="609"/>
      <c r="EIW58" s="609"/>
      <c r="EIX58" s="609"/>
      <c r="EIY58" s="609"/>
      <c r="EIZ58" s="609"/>
      <c r="EJA58" s="609"/>
      <c r="EJB58" s="609"/>
      <c r="EJC58" s="609"/>
      <c r="EJD58" s="609"/>
      <c r="EJE58" s="609"/>
      <c r="EJF58" s="609"/>
      <c r="EJG58" s="609"/>
      <c r="EJH58" s="609"/>
      <c r="EJI58" s="609"/>
      <c r="EJJ58" s="609"/>
      <c r="EJK58" s="609"/>
      <c r="EJL58" s="609"/>
      <c r="EJM58" s="609"/>
      <c r="EJN58" s="609"/>
      <c r="EJO58" s="609"/>
      <c r="EJP58" s="609"/>
      <c r="EJQ58" s="609"/>
      <c r="EJR58" s="609"/>
      <c r="EJS58" s="609"/>
      <c r="EJT58" s="609"/>
      <c r="EJU58" s="609"/>
      <c r="EJV58" s="609"/>
      <c r="EJW58" s="609"/>
      <c r="EJX58" s="609"/>
      <c r="EJY58" s="609"/>
      <c r="EJZ58" s="609"/>
      <c r="EKA58" s="609"/>
      <c r="EKB58" s="609"/>
      <c r="EKC58" s="609"/>
      <c r="EKD58" s="609"/>
      <c r="EKE58" s="609"/>
      <c r="EKF58" s="609"/>
      <c r="EKG58" s="609"/>
      <c r="EKH58" s="609"/>
      <c r="EKI58" s="609"/>
      <c r="EKJ58" s="609"/>
      <c r="EKK58" s="609"/>
      <c r="EKL58" s="609"/>
      <c r="EKM58" s="609"/>
      <c r="EKN58" s="609"/>
      <c r="EKO58" s="609"/>
      <c r="EKP58" s="609"/>
      <c r="EKQ58" s="609"/>
      <c r="EKR58" s="609"/>
      <c r="EKS58" s="609"/>
      <c r="EKT58" s="609"/>
      <c r="EKU58" s="609"/>
      <c r="EKV58" s="609"/>
      <c r="EKW58" s="609"/>
      <c r="EKX58" s="609"/>
      <c r="EKY58" s="609"/>
      <c r="EKZ58" s="609"/>
      <c r="ELA58" s="609"/>
      <c r="ELB58" s="609"/>
      <c r="ELC58" s="609"/>
      <c r="ELD58" s="609"/>
      <c r="ELE58" s="609"/>
      <c r="ELF58" s="609"/>
      <c r="ELG58" s="609"/>
      <c r="ELH58" s="609"/>
      <c r="ELI58" s="609"/>
      <c r="ELJ58" s="609"/>
      <c r="ELK58" s="609"/>
      <c r="ELL58" s="609"/>
      <c r="ELM58" s="609"/>
      <c r="ELN58" s="609"/>
      <c r="ELO58" s="609"/>
      <c r="ELP58" s="609"/>
      <c r="ELQ58" s="609"/>
      <c r="ELR58" s="609"/>
      <c r="ELS58" s="609"/>
      <c r="ELT58" s="609"/>
      <c r="ELU58" s="609"/>
      <c r="ELV58" s="609"/>
      <c r="ELW58" s="609"/>
      <c r="ELX58" s="609"/>
      <c r="ELY58" s="609"/>
      <c r="ELZ58" s="609"/>
      <c r="EMA58" s="609"/>
      <c r="EMB58" s="609"/>
      <c r="EMC58" s="609"/>
      <c r="EMD58" s="609"/>
      <c r="EME58" s="609"/>
      <c r="EMF58" s="609"/>
      <c r="EMG58" s="609"/>
      <c r="EMH58" s="609"/>
      <c r="EMI58" s="609"/>
      <c r="EMJ58" s="609"/>
      <c r="EMK58" s="609"/>
      <c r="EML58" s="609"/>
      <c r="EMM58" s="609"/>
      <c r="EMN58" s="609"/>
      <c r="EMO58" s="609"/>
      <c r="EMP58" s="609"/>
      <c r="EMQ58" s="609"/>
      <c r="EMR58" s="609"/>
      <c r="EMS58" s="609"/>
      <c r="EMT58" s="609"/>
      <c r="EMU58" s="609"/>
      <c r="EMV58" s="609"/>
      <c r="EMW58" s="609"/>
      <c r="EMX58" s="609"/>
      <c r="EMY58" s="609"/>
      <c r="EMZ58" s="609"/>
      <c r="ENA58" s="609"/>
      <c r="ENB58" s="609"/>
      <c r="ENC58" s="609"/>
      <c r="END58" s="609"/>
      <c r="ENE58" s="609"/>
      <c r="ENF58" s="609"/>
      <c r="ENG58" s="609"/>
      <c r="ENH58" s="609"/>
      <c r="ENI58" s="609"/>
      <c r="ENJ58" s="609"/>
      <c r="ENK58" s="609"/>
      <c r="ENL58" s="609"/>
      <c r="ENM58" s="609"/>
      <c r="ENN58" s="609"/>
      <c r="ENO58" s="609"/>
      <c r="ENP58" s="609"/>
      <c r="ENQ58" s="609"/>
      <c r="ENR58" s="609"/>
      <c r="ENS58" s="609"/>
      <c r="ENT58" s="609"/>
      <c r="ENU58" s="609"/>
      <c r="ENV58" s="609"/>
      <c r="ENW58" s="609"/>
      <c r="ENX58" s="609"/>
      <c r="ENY58" s="609"/>
      <c r="ENZ58" s="609"/>
      <c r="EOA58" s="609"/>
      <c r="EOB58" s="609"/>
      <c r="EOC58" s="609"/>
      <c r="EOD58" s="609"/>
      <c r="EOE58" s="609"/>
      <c r="EOF58" s="609"/>
      <c r="EOG58" s="609"/>
      <c r="EOH58" s="609"/>
      <c r="EOI58" s="609"/>
      <c r="EOJ58" s="609"/>
      <c r="EOK58" s="609"/>
      <c r="EOL58" s="609"/>
      <c r="EOM58" s="609"/>
      <c r="EON58" s="609"/>
      <c r="EOO58" s="609"/>
      <c r="EOP58" s="609"/>
      <c r="EOQ58" s="609"/>
      <c r="EOR58" s="609"/>
      <c r="EOS58" s="609"/>
      <c r="EOT58" s="609"/>
      <c r="EOU58" s="609"/>
      <c r="EOV58" s="609"/>
      <c r="EOW58" s="609"/>
      <c r="EOX58" s="609"/>
      <c r="EOY58" s="609"/>
      <c r="EOZ58" s="609"/>
      <c r="EPA58" s="609"/>
      <c r="EPB58" s="609"/>
      <c r="EPC58" s="609"/>
      <c r="EPD58" s="609"/>
      <c r="EPE58" s="609"/>
      <c r="EPF58" s="609"/>
      <c r="EPG58" s="609"/>
      <c r="EPH58" s="609"/>
      <c r="EPI58" s="609"/>
      <c r="EPJ58" s="609"/>
      <c r="EPK58" s="609"/>
      <c r="EPL58" s="609"/>
      <c r="EPM58" s="609"/>
      <c r="EPN58" s="609"/>
      <c r="EPO58" s="609"/>
      <c r="EPP58" s="609"/>
      <c r="EPQ58" s="609"/>
      <c r="EPR58" s="609"/>
      <c r="EPS58" s="609"/>
      <c r="EPT58" s="609"/>
      <c r="EPU58" s="609"/>
      <c r="EPV58" s="609"/>
      <c r="EPW58" s="609"/>
      <c r="EPX58" s="609"/>
      <c r="EPY58" s="609"/>
      <c r="EPZ58" s="609"/>
      <c r="EQA58" s="609"/>
      <c r="EQB58" s="609"/>
      <c r="EQC58" s="609"/>
      <c r="EQD58" s="609"/>
      <c r="EQE58" s="609"/>
      <c r="EQF58" s="609"/>
      <c r="EQG58" s="609"/>
      <c r="EQH58" s="609"/>
      <c r="EQI58" s="609"/>
      <c r="EQJ58" s="609"/>
      <c r="EQK58" s="609"/>
      <c r="EQL58" s="609"/>
      <c r="EQM58" s="609"/>
      <c r="EQN58" s="609"/>
      <c r="EQO58" s="609"/>
      <c r="EQP58" s="609"/>
      <c r="EQQ58" s="609"/>
      <c r="EQR58" s="609"/>
      <c r="EQS58" s="609"/>
      <c r="EQT58" s="609"/>
      <c r="EQU58" s="609"/>
      <c r="EQV58" s="609"/>
      <c r="EQW58" s="609"/>
      <c r="EQX58" s="609"/>
      <c r="EQY58" s="609"/>
      <c r="EQZ58" s="609"/>
      <c r="ERA58" s="609"/>
      <c r="ERB58" s="609"/>
      <c r="ERC58" s="609"/>
      <c r="ERD58" s="609"/>
      <c r="ERE58" s="609"/>
      <c r="ERF58" s="609"/>
      <c r="ERG58" s="609"/>
      <c r="ERH58" s="609"/>
      <c r="ERI58" s="609"/>
      <c r="ERJ58" s="609"/>
      <c r="ERK58" s="609"/>
      <c r="ERL58" s="609"/>
      <c r="ERM58" s="609"/>
      <c r="ERN58" s="609"/>
      <c r="ERO58" s="609"/>
      <c r="ERP58" s="609"/>
      <c r="ERQ58" s="609"/>
      <c r="ERR58" s="609"/>
      <c r="ERS58" s="609"/>
      <c r="ERT58" s="609"/>
      <c r="ERU58" s="609"/>
      <c r="ERV58" s="609"/>
      <c r="ERW58" s="609"/>
      <c r="ERX58" s="609"/>
      <c r="ERY58" s="609"/>
      <c r="ERZ58" s="609"/>
      <c r="ESA58" s="609"/>
      <c r="ESB58" s="609"/>
      <c r="ESC58" s="609"/>
      <c r="ESD58" s="609"/>
      <c r="ESE58" s="609"/>
      <c r="ESF58" s="609"/>
      <c r="ESG58" s="609"/>
      <c r="ESH58" s="609"/>
      <c r="ESI58" s="609"/>
      <c r="ESJ58" s="609"/>
      <c r="ESK58" s="609"/>
      <c r="ESL58" s="609"/>
      <c r="ESM58" s="609"/>
      <c r="ESN58" s="609"/>
      <c r="ESO58" s="609"/>
      <c r="ESP58" s="609"/>
      <c r="ESQ58" s="609"/>
      <c r="ESR58" s="609"/>
      <c r="ESS58" s="609"/>
      <c r="EST58" s="609"/>
      <c r="ESU58" s="609"/>
      <c r="ESV58" s="609"/>
      <c r="ESW58" s="609"/>
      <c r="ESX58" s="609"/>
      <c r="ESY58" s="609"/>
      <c r="ESZ58" s="609"/>
      <c r="ETA58" s="609"/>
      <c r="ETB58" s="609"/>
      <c r="ETC58" s="609"/>
      <c r="ETD58" s="609"/>
      <c r="ETE58" s="609"/>
      <c r="ETF58" s="609"/>
      <c r="ETG58" s="609"/>
      <c r="ETH58" s="609"/>
      <c r="ETI58" s="609"/>
      <c r="ETJ58" s="609"/>
      <c r="ETK58" s="609"/>
      <c r="ETL58" s="609"/>
      <c r="ETM58" s="609"/>
      <c r="ETN58" s="609"/>
      <c r="ETO58" s="609"/>
      <c r="ETP58" s="609"/>
      <c r="ETQ58" s="609"/>
      <c r="ETR58" s="609"/>
      <c r="ETS58" s="609"/>
      <c r="ETT58" s="609"/>
      <c r="ETU58" s="609"/>
      <c r="ETV58" s="609"/>
      <c r="ETW58" s="609"/>
      <c r="ETX58" s="609"/>
      <c r="ETY58" s="609"/>
      <c r="ETZ58" s="609"/>
      <c r="EUA58" s="609"/>
      <c r="EUB58" s="609"/>
      <c r="EUC58" s="609"/>
      <c r="EUD58" s="609"/>
      <c r="EUE58" s="609"/>
      <c r="EUF58" s="609"/>
      <c r="EUG58" s="609"/>
      <c r="EUH58" s="609"/>
      <c r="EUI58" s="609"/>
      <c r="EUJ58" s="609"/>
      <c r="EUK58" s="609"/>
      <c r="EUL58" s="609"/>
      <c r="EUM58" s="609"/>
      <c r="EUN58" s="609"/>
      <c r="EUO58" s="609"/>
      <c r="EUP58" s="609"/>
      <c r="EUQ58" s="609"/>
      <c r="EUR58" s="609"/>
      <c r="EUS58" s="609"/>
      <c r="EUT58" s="609"/>
      <c r="EUU58" s="609"/>
      <c r="EUV58" s="609"/>
      <c r="EUW58" s="609"/>
      <c r="EUX58" s="609"/>
      <c r="EUY58" s="609"/>
      <c r="EUZ58" s="609"/>
      <c r="EVA58" s="609"/>
      <c r="EVB58" s="609"/>
      <c r="EVC58" s="609"/>
      <c r="EVD58" s="609"/>
      <c r="EVE58" s="609"/>
      <c r="EVF58" s="609"/>
      <c r="EVG58" s="609"/>
      <c r="EVH58" s="609"/>
      <c r="EVI58" s="609"/>
      <c r="EVJ58" s="609"/>
      <c r="EVK58" s="609"/>
      <c r="EVL58" s="609"/>
      <c r="EVM58" s="609"/>
      <c r="EVN58" s="609"/>
      <c r="EVO58" s="609"/>
      <c r="EVP58" s="609"/>
      <c r="EVQ58" s="609"/>
      <c r="EVR58" s="609"/>
      <c r="EVS58" s="609"/>
      <c r="EVT58" s="609"/>
      <c r="EVU58" s="609"/>
      <c r="EVV58" s="609"/>
      <c r="EVW58" s="609"/>
      <c r="EVX58" s="609"/>
      <c r="EVY58" s="609"/>
      <c r="EVZ58" s="609"/>
      <c r="EWA58" s="609"/>
      <c r="EWB58" s="609"/>
      <c r="EWC58" s="609"/>
      <c r="EWD58" s="609"/>
      <c r="EWE58" s="609"/>
      <c r="EWF58" s="609"/>
      <c r="EWG58" s="609"/>
      <c r="EWH58" s="609"/>
      <c r="EWI58" s="609"/>
      <c r="EWJ58" s="609"/>
      <c r="EWK58" s="609"/>
      <c r="EWL58" s="609"/>
      <c r="EWM58" s="609"/>
      <c r="EWN58" s="609"/>
      <c r="EWO58" s="609"/>
      <c r="EWP58" s="609"/>
      <c r="EWQ58" s="609"/>
      <c r="EWR58" s="609"/>
      <c r="EWS58" s="609"/>
      <c r="EWT58" s="609"/>
      <c r="EWU58" s="609"/>
      <c r="EWV58" s="609"/>
      <c r="EWW58" s="609"/>
      <c r="EWX58" s="609"/>
      <c r="EWY58" s="609"/>
      <c r="EWZ58" s="609"/>
      <c r="EXA58" s="609"/>
      <c r="EXB58" s="609"/>
      <c r="EXC58" s="609"/>
      <c r="EXD58" s="609"/>
      <c r="EXE58" s="609"/>
      <c r="EXF58" s="609"/>
      <c r="EXG58" s="609"/>
      <c r="EXH58" s="609"/>
      <c r="EXI58" s="609"/>
      <c r="EXJ58" s="609"/>
      <c r="EXK58" s="609"/>
      <c r="EXL58" s="609"/>
      <c r="EXM58" s="609"/>
      <c r="EXN58" s="609"/>
      <c r="EXO58" s="609"/>
      <c r="EXP58" s="609"/>
      <c r="EXQ58" s="609"/>
      <c r="EXR58" s="609"/>
      <c r="EXS58" s="609"/>
      <c r="EXT58" s="609"/>
      <c r="EXU58" s="609"/>
      <c r="EXV58" s="609"/>
      <c r="EXW58" s="609"/>
      <c r="EXX58" s="609"/>
      <c r="EXY58" s="609"/>
      <c r="EXZ58" s="609"/>
      <c r="EYA58" s="609"/>
      <c r="EYB58" s="609"/>
      <c r="EYC58" s="609"/>
      <c r="EYD58" s="609"/>
      <c r="EYE58" s="609"/>
      <c r="EYF58" s="609"/>
      <c r="EYG58" s="609"/>
      <c r="EYH58" s="609"/>
      <c r="EYI58" s="609"/>
      <c r="EYJ58" s="609"/>
      <c r="EYK58" s="609"/>
      <c r="EYL58" s="609"/>
      <c r="EYM58" s="609"/>
      <c r="EYN58" s="609"/>
      <c r="EYO58" s="609"/>
      <c r="EYP58" s="609"/>
      <c r="EYQ58" s="609"/>
      <c r="EYR58" s="609"/>
      <c r="EYS58" s="609"/>
      <c r="EYT58" s="609"/>
      <c r="EYU58" s="609"/>
      <c r="EYV58" s="609"/>
      <c r="EYW58" s="609"/>
      <c r="EYX58" s="609"/>
      <c r="EYY58" s="609"/>
      <c r="EYZ58" s="609"/>
      <c r="EZA58" s="609"/>
      <c r="EZB58" s="609"/>
      <c r="EZC58" s="609"/>
      <c r="EZD58" s="609"/>
      <c r="EZE58" s="609"/>
      <c r="EZF58" s="609"/>
      <c r="EZG58" s="609"/>
      <c r="EZH58" s="609"/>
      <c r="EZI58" s="609"/>
      <c r="EZJ58" s="609"/>
      <c r="EZK58" s="609"/>
      <c r="EZL58" s="609"/>
      <c r="EZM58" s="609"/>
      <c r="EZN58" s="609"/>
      <c r="EZO58" s="609"/>
      <c r="EZP58" s="609"/>
      <c r="EZQ58" s="609"/>
      <c r="EZR58" s="609"/>
      <c r="EZS58" s="609"/>
      <c r="EZT58" s="609"/>
      <c r="EZU58" s="609"/>
      <c r="EZV58" s="609"/>
      <c r="EZW58" s="609"/>
      <c r="EZX58" s="609"/>
      <c r="EZY58" s="609"/>
      <c r="EZZ58" s="609"/>
      <c r="FAA58" s="609"/>
      <c r="FAB58" s="609"/>
      <c r="FAC58" s="609"/>
      <c r="FAD58" s="609"/>
      <c r="FAE58" s="609"/>
      <c r="FAF58" s="609"/>
      <c r="FAG58" s="609"/>
      <c r="FAH58" s="609"/>
      <c r="FAI58" s="609"/>
      <c r="FAJ58" s="609"/>
      <c r="FAK58" s="609"/>
      <c r="FAL58" s="609"/>
      <c r="FAM58" s="609"/>
      <c r="FAN58" s="609"/>
      <c r="FAO58" s="609"/>
      <c r="FAP58" s="609"/>
      <c r="FAQ58" s="609"/>
      <c r="FAR58" s="609"/>
      <c r="FAS58" s="609"/>
      <c r="FAT58" s="609"/>
      <c r="FAU58" s="609"/>
      <c r="FAV58" s="609"/>
      <c r="FAW58" s="609"/>
      <c r="FAX58" s="609"/>
      <c r="FAY58" s="609"/>
      <c r="FAZ58" s="609"/>
      <c r="FBA58" s="609"/>
      <c r="FBB58" s="609"/>
      <c r="FBC58" s="609"/>
      <c r="FBD58" s="609"/>
      <c r="FBE58" s="609"/>
      <c r="FBF58" s="609"/>
      <c r="FBG58" s="609"/>
      <c r="FBH58" s="609"/>
      <c r="FBI58" s="609"/>
      <c r="FBJ58" s="609"/>
      <c r="FBK58" s="609"/>
      <c r="FBL58" s="609"/>
      <c r="FBM58" s="609"/>
      <c r="FBN58" s="609"/>
      <c r="FBO58" s="609"/>
      <c r="FBP58" s="609"/>
      <c r="FBQ58" s="609"/>
      <c r="FBR58" s="609"/>
      <c r="FBS58" s="609"/>
      <c r="FBT58" s="609"/>
      <c r="FBU58" s="609"/>
      <c r="FBV58" s="609"/>
      <c r="FBW58" s="609"/>
      <c r="FBX58" s="609"/>
      <c r="FBY58" s="609"/>
      <c r="FBZ58" s="609"/>
      <c r="FCA58" s="609"/>
      <c r="FCB58" s="609"/>
      <c r="FCC58" s="609"/>
      <c r="FCD58" s="609"/>
      <c r="FCE58" s="609"/>
      <c r="FCF58" s="609"/>
      <c r="FCG58" s="609"/>
      <c r="FCH58" s="609"/>
      <c r="FCI58" s="609"/>
      <c r="FCJ58" s="609"/>
      <c r="FCK58" s="609"/>
      <c r="FCL58" s="609"/>
      <c r="FCM58" s="609"/>
      <c r="FCN58" s="609"/>
      <c r="FCO58" s="609"/>
      <c r="FCP58" s="609"/>
      <c r="FCQ58" s="609"/>
      <c r="FCR58" s="609"/>
      <c r="FCS58" s="609"/>
      <c r="FCT58" s="609"/>
      <c r="FCU58" s="609"/>
      <c r="FCV58" s="609"/>
      <c r="FCW58" s="609"/>
      <c r="FCX58" s="609"/>
      <c r="FCY58" s="609"/>
      <c r="FCZ58" s="609"/>
      <c r="FDA58" s="609"/>
      <c r="FDB58" s="609"/>
      <c r="FDC58" s="609"/>
      <c r="FDD58" s="609"/>
      <c r="FDE58" s="609"/>
      <c r="FDF58" s="609"/>
      <c r="FDG58" s="609"/>
      <c r="FDH58" s="609"/>
      <c r="FDI58" s="609"/>
      <c r="FDJ58" s="609"/>
      <c r="FDK58" s="609"/>
      <c r="FDL58" s="609"/>
      <c r="FDM58" s="609"/>
      <c r="FDN58" s="609"/>
      <c r="FDO58" s="609"/>
      <c r="FDP58" s="609"/>
      <c r="FDQ58" s="609"/>
      <c r="FDR58" s="609"/>
      <c r="FDS58" s="609"/>
      <c r="FDT58" s="609"/>
      <c r="FDU58" s="609"/>
      <c r="FDV58" s="609"/>
      <c r="FDW58" s="609"/>
      <c r="FDX58" s="609"/>
      <c r="FDY58" s="609"/>
      <c r="FDZ58" s="609"/>
      <c r="FEA58" s="609"/>
      <c r="FEB58" s="609"/>
      <c r="FEC58" s="609"/>
      <c r="FED58" s="609"/>
      <c r="FEE58" s="609"/>
      <c r="FEF58" s="609"/>
      <c r="FEG58" s="609"/>
      <c r="FEH58" s="609"/>
      <c r="FEI58" s="609"/>
      <c r="FEJ58" s="609"/>
      <c r="FEK58" s="609"/>
      <c r="FEL58" s="609"/>
      <c r="FEM58" s="609"/>
      <c r="FEN58" s="609"/>
      <c r="FEO58" s="609"/>
      <c r="FEP58" s="609"/>
      <c r="FEQ58" s="609"/>
      <c r="FER58" s="609"/>
      <c r="FES58" s="609"/>
      <c r="FET58" s="609"/>
      <c r="FEU58" s="609"/>
      <c r="FEV58" s="609"/>
      <c r="FEW58" s="609"/>
      <c r="FEX58" s="609"/>
      <c r="FEY58" s="609"/>
      <c r="FEZ58" s="609"/>
      <c r="FFA58" s="609"/>
      <c r="FFB58" s="609"/>
      <c r="FFC58" s="609"/>
      <c r="FFD58" s="609"/>
      <c r="FFE58" s="609"/>
      <c r="FFF58" s="609"/>
      <c r="FFG58" s="609"/>
      <c r="FFH58" s="609"/>
      <c r="FFI58" s="609"/>
      <c r="FFJ58" s="609"/>
      <c r="FFK58" s="609"/>
      <c r="FFL58" s="609"/>
      <c r="FFM58" s="609"/>
      <c r="FFN58" s="609"/>
      <c r="FFO58" s="609"/>
      <c r="FFP58" s="609"/>
      <c r="FFQ58" s="609"/>
      <c r="FFR58" s="609"/>
      <c r="FFS58" s="609"/>
      <c r="FFT58" s="609"/>
      <c r="FFU58" s="609"/>
      <c r="FFV58" s="609"/>
      <c r="FFW58" s="609"/>
      <c r="FFX58" s="609"/>
      <c r="FFY58" s="609"/>
      <c r="FFZ58" s="609"/>
      <c r="FGA58" s="609"/>
      <c r="FGB58" s="609"/>
      <c r="FGC58" s="609"/>
      <c r="FGD58" s="609"/>
      <c r="FGE58" s="609"/>
      <c r="FGF58" s="609"/>
      <c r="FGG58" s="609"/>
      <c r="FGH58" s="609"/>
      <c r="FGI58" s="609"/>
      <c r="FGJ58" s="609"/>
      <c r="FGK58" s="609"/>
      <c r="FGL58" s="609"/>
      <c r="FGM58" s="609"/>
      <c r="FGN58" s="609"/>
      <c r="FGO58" s="609"/>
      <c r="FGP58" s="609"/>
      <c r="FGQ58" s="609"/>
      <c r="FGR58" s="609"/>
      <c r="FGS58" s="609"/>
      <c r="FGT58" s="609"/>
      <c r="FGU58" s="609"/>
      <c r="FGV58" s="609"/>
      <c r="FGW58" s="609"/>
      <c r="FGX58" s="609"/>
      <c r="FGY58" s="609"/>
      <c r="FGZ58" s="609"/>
      <c r="FHA58" s="609"/>
      <c r="FHB58" s="609"/>
      <c r="FHC58" s="609"/>
      <c r="FHD58" s="609"/>
      <c r="FHE58" s="609"/>
      <c r="FHF58" s="609"/>
      <c r="FHG58" s="609"/>
      <c r="FHH58" s="609"/>
      <c r="FHI58" s="609"/>
      <c r="FHJ58" s="609"/>
      <c r="FHK58" s="609"/>
      <c r="FHL58" s="609"/>
      <c r="FHM58" s="609"/>
      <c r="FHN58" s="609"/>
      <c r="FHO58" s="609"/>
      <c r="FHP58" s="609"/>
      <c r="FHQ58" s="609"/>
      <c r="FHR58" s="609"/>
      <c r="FHS58" s="609"/>
      <c r="FHT58" s="609"/>
      <c r="FHU58" s="609"/>
      <c r="FHV58" s="609"/>
      <c r="FHW58" s="609"/>
      <c r="FHX58" s="609"/>
      <c r="FHY58" s="609"/>
      <c r="FHZ58" s="609"/>
      <c r="FIA58" s="609"/>
      <c r="FIB58" s="609"/>
      <c r="FIC58" s="609"/>
      <c r="FID58" s="609"/>
      <c r="FIE58" s="609"/>
      <c r="FIF58" s="609"/>
      <c r="FIG58" s="609"/>
      <c r="FIH58" s="609"/>
      <c r="FII58" s="609"/>
      <c r="FIJ58" s="609"/>
      <c r="FIK58" s="609"/>
      <c r="FIL58" s="609"/>
      <c r="FIM58" s="609"/>
      <c r="FIN58" s="609"/>
      <c r="FIO58" s="609"/>
      <c r="FIP58" s="609"/>
      <c r="FIQ58" s="609"/>
      <c r="FIR58" s="609"/>
      <c r="FIS58" s="609"/>
      <c r="FIT58" s="609"/>
      <c r="FIU58" s="609"/>
      <c r="FIV58" s="609"/>
      <c r="FIW58" s="609"/>
      <c r="FIX58" s="609"/>
      <c r="FIY58" s="609"/>
      <c r="FIZ58" s="609"/>
      <c r="FJA58" s="609"/>
      <c r="FJB58" s="609"/>
      <c r="FJC58" s="609"/>
      <c r="FJD58" s="609"/>
      <c r="FJE58" s="609"/>
      <c r="FJF58" s="609"/>
      <c r="FJG58" s="609"/>
      <c r="FJH58" s="609"/>
      <c r="FJI58" s="609"/>
      <c r="FJJ58" s="609"/>
      <c r="FJK58" s="609"/>
      <c r="FJL58" s="609"/>
      <c r="FJM58" s="609"/>
      <c r="FJN58" s="609"/>
      <c r="FJO58" s="609"/>
      <c r="FJP58" s="609"/>
      <c r="FJQ58" s="609"/>
      <c r="FJR58" s="609"/>
      <c r="FJS58" s="609"/>
      <c r="FJT58" s="609"/>
      <c r="FJU58" s="609"/>
      <c r="FJV58" s="609"/>
      <c r="FJW58" s="609"/>
      <c r="FJX58" s="609"/>
      <c r="FJY58" s="609"/>
      <c r="FJZ58" s="609"/>
      <c r="FKA58" s="609"/>
      <c r="FKB58" s="609"/>
      <c r="FKC58" s="609"/>
      <c r="FKD58" s="609"/>
      <c r="FKE58" s="609"/>
      <c r="FKF58" s="609"/>
      <c r="FKG58" s="609"/>
      <c r="FKH58" s="609"/>
      <c r="FKI58" s="609"/>
      <c r="FKJ58" s="609"/>
      <c r="FKK58" s="609"/>
      <c r="FKL58" s="609"/>
      <c r="FKM58" s="609"/>
      <c r="FKN58" s="609"/>
      <c r="FKO58" s="609"/>
      <c r="FKP58" s="609"/>
      <c r="FKQ58" s="609"/>
      <c r="FKR58" s="609"/>
      <c r="FKS58" s="609"/>
      <c r="FKT58" s="609"/>
      <c r="FKU58" s="609"/>
      <c r="FKV58" s="609"/>
      <c r="FKW58" s="609"/>
      <c r="FKX58" s="609"/>
      <c r="FKY58" s="609"/>
      <c r="FKZ58" s="609"/>
      <c r="FLA58" s="609"/>
      <c r="FLB58" s="609"/>
      <c r="FLC58" s="609"/>
      <c r="FLD58" s="609"/>
      <c r="FLE58" s="609"/>
      <c r="FLF58" s="609"/>
      <c r="FLG58" s="609"/>
      <c r="FLH58" s="609"/>
      <c r="FLI58" s="609"/>
      <c r="FLJ58" s="609"/>
      <c r="FLK58" s="609"/>
      <c r="FLL58" s="609"/>
      <c r="FLM58" s="609"/>
      <c r="FLN58" s="609"/>
      <c r="FLO58" s="609"/>
      <c r="FLP58" s="609"/>
      <c r="FLQ58" s="609"/>
      <c r="FLR58" s="609"/>
      <c r="FLS58" s="609"/>
      <c r="FLT58" s="609"/>
      <c r="FLU58" s="609"/>
      <c r="FLV58" s="609"/>
      <c r="FLW58" s="609"/>
      <c r="FLX58" s="609"/>
      <c r="FLY58" s="609"/>
      <c r="FLZ58" s="609"/>
      <c r="FMA58" s="609"/>
      <c r="FMB58" s="609"/>
      <c r="FMC58" s="609"/>
      <c r="FMD58" s="609"/>
      <c r="FME58" s="609"/>
      <c r="FMF58" s="609"/>
      <c r="FMG58" s="609"/>
      <c r="FMH58" s="609"/>
      <c r="FMI58" s="609"/>
      <c r="FMJ58" s="609"/>
      <c r="FMK58" s="609"/>
      <c r="FML58" s="609"/>
      <c r="FMM58" s="609"/>
      <c r="FMN58" s="609"/>
      <c r="FMO58" s="609"/>
      <c r="FMP58" s="609"/>
      <c r="FMQ58" s="609"/>
      <c r="FMR58" s="609"/>
      <c r="FMS58" s="609"/>
      <c r="FMT58" s="609"/>
      <c r="FMU58" s="609"/>
      <c r="FMV58" s="609"/>
      <c r="FMW58" s="609"/>
      <c r="FMX58" s="609"/>
      <c r="FMY58" s="609"/>
      <c r="FMZ58" s="609"/>
      <c r="FNA58" s="609"/>
      <c r="FNB58" s="609"/>
      <c r="FNC58" s="609"/>
      <c r="FND58" s="609"/>
      <c r="FNE58" s="609"/>
      <c r="FNF58" s="609"/>
      <c r="FNG58" s="609"/>
      <c r="FNH58" s="609"/>
      <c r="FNI58" s="609"/>
      <c r="FNJ58" s="609"/>
      <c r="FNK58" s="609"/>
      <c r="FNL58" s="609"/>
      <c r="FNM58" s="609"/>
      <c r="FNN58" s="609"/>
      <c r="FNO58" s="609"/>
      <c r="FNP58" s="609"/>
      <c r="FNQ58" s="609"/>
      <c r="FNR58" s="609"/>
      <c r="FNS58" s="609"/>
      <c r="FNT58" s="609"/>
      <c r="FNU58" s="609"/>
      <c r="FNV58" s="609"/>
      <c r="FNW58" s="609"/>
      <c r="FNX58" s="609"/>
      <c r="FNY58" s="609"/>
      <c r="FNZ58" s="609"/>
      <c r="FOA58" s="609"/>
      <c r="FOB58" s="609"/>
      <c r="FOC58" s="609"/>
      <c r="FOD58" s="609"/>
      <c r="FOE58" s="609"/>
      <c r="FOF58" s="609"/>
      <c r="FOG58" s="609"/>
      <c r="FOH58" s="609"/>
      <c r="FOI58" s="609"/>
      <c r="FOJ58" s="609"/>
      <c r="FOK58" s="609"/>
      <c r="FOL58" s="609"/>
      <c r="FOM58" s="609"/>
      <c r="FON58" s="609"/>
      <c r="FOO58" s="609"/>
      <c r="FOP58" s="609"/>
      <c r="FOQ58" s="609"/>
      <c r="FOR58" s="609"/>
      <c r="FOS58" s="609"/>
      <c r="FOT58" s="609"/>
      <c r="FOU58" s="609"/>
      <c r="FOV58" s="609"/>
      <c r="FOW58" s="609"/>
      <c r="FOX58" s="609"/>
      <c r="FOY58" s="609"/>
      <c r="FOZ58" s="609"/>
      <c r="FPA58" s="609"/>
      <c r="FPB58" s="609"/>
      <c r="FPC58" s="609"/>
      <c r="FPD58" s="609"/>
      <c r="FPE58" s="609"/>
      <c r="FPF58" s="609"/>
      <c r="FPG58" s="609"/>
      <c r="FPH58" s="609"/>
      <c r="FPI58" s="609"/>
      <c r="FPJ58" s="609"/>
      <c r="FPK58" s="609"/>
      <c r="FPL58" s="609"/>
      <c r="FPM58" s="609"/>
      <c r="FPN58" s="609"/>
      <c r="FPO58" s="609"/>
      <c r="FPP58" s="609"/>
      <c r="FPQ58" s="609"/>
      <c r="FPR58" s="609"/>
      <c r="FPS58" s="609"/>
      <c r="FPT58" s="609"/>
      <c r="FPU58" s="609"/>
      <c r="FPV58" s="609"/>
      <c r="FPW58" s="609"/>
      <c r="FPX58" s="609"/>
      <c r="FPY58" s="609"/>
      <c r="FPZ58" s="609"/>
      <c r="FQA58" s="609"/>
      <c r="FQB58" s="609"/>
      <c r="FQC58" s="609"/>
      <c r="FQD58" s="609"/>
      <c r="FQE58" s="609"/>
      <c r="FQF58" s="609"/>
      <c r="FQG58" s="609"/>
      <c r="FQH58" s="609"/>
      <c r="FQI58" s="609"/>
      <c r="FQJ58" s="609"/>
      <c r="FQK58" s="609"/>
      <c r="FQL58" s="609"/>
      <c r="FQM58" s="609"/>
      <c r="FQN58" s="609"/>
      <c r="FQO58" s="609"/>
      <c r="FQP58" s="609"/>
      <c r="FQQ58" s="609"/>
      <c r="FQR58" s="609"/>
      <c r="FQS58" s="609"/>
      <c r="FQT58" s="609"/>
      <c r="FQU58" s="609"/>
      <c r="FQV58" s="609"/>
      <c r="FQW58" s="609"/>
      <c r="FQX58" s="609"/>
      <c r="FQY58" s="609"/>
      <c r="FQZ58" s="609"/>
      <c r="FRA58" s="609"/>
      <c r="FRB58" s="609"/>
      <c r="FRC58" s="609"/>
      <c r="FRD58" s="609"/>
      <c r="FRE58" s="609"/>
      <c r="FRF58" s="609"/>
      <c r="FRG58" s="609"/>
      <c r="FRH58" s="609"/>
      <c r="FRI58" s="609"/>
      <c r="FRJ58" s="609"/>
      <c r="FRK58" s="609"/>
      <c r="FRL58" s="609"/>
      <c r="FRM58" s="609"/>
      <c r="FRN58" s="609"/>
      <c r="FRO58" s="609"/>
      <c r="FRP58" s="609"/>
      <c r="FRQ58" s="609"/>
      <c r="FRR58" s="609"/>
      <c r="FRS58" s="609"/>
      <c r="FRT58" s="609"/>
      <c r="FRU58" s="609"/>
      <c r="FRV58" s="609"/>
      <c r="FRW58" s="609"/>
      <c r="FRX58" s="609"/>
      <c r="FRY58" s="609"/>
      <c r="FRZ58" s="609"/>
      <c r="FSA58" s="609"/>
      <c r="FSB58" s="609"/>
      <c r="FSC58" s="609"/>
      <c r="FSD58" s="609"/>
      <c r="FSE58" s="609"/>
      <c r="FSF58" s="609"/>
      <c r="FSG58" s="609"/>
      <c r="FSH58" s="609"/>
      <c r="FSI58" s="609"/>
      <c r="FSJ58" s="609"/>
      <c r="FSK58" s="609"/>
      <c r="FSL58" s="609"/>
      <c r="FSM58" s="609"/>
      <c r="FSN58" s="609"/>
      <c r="FSO58" s="609"/>
      <c r="FSP58" s="609"/>
      <c r="FSQ58" s="609"/>
      <c r="FSR58" s="609"/>
      <c r="FSS58" s="609"/>
      <c r="FST58" s="609"/>
      <c r="FSU58" s="609"/>
      <c r="FSV58" s="609"/>
      <c r="FSW58" s="609"/>
      <c r="FSX58" s="609"/>
      <c r="FSY58" s="609"/>
      <c r="FSZ58" s="609"/>
      <c r="FTA58" s="609"/>
      <c r="FTB58" s="609"/>
      <c r="FTC58" s="609"/>
      <c r="FTD58" s="609"/>
      <c r="FTE58" s="609"/>
      <c r="FTF58" s="609"/>
      <c r="FTG58" s="609"/>
      <c r="FTH58" s="609"/>
      <c r="FTI58" s="609"/>
      <c r="FTJ58" s="609"/>
      <c r="FTK58" s="609"/>
      <c r="FTL58" s="609"/>
      <c r="FTM58" s="609"/>
      <c r="FTN58" s="609"/>
      <c r="FTO58" s="609"/>
      <c r="FTP58" s="609"/>
      <c r="FTQ58" s="609"/>
      <c r="FTR58" s="609"/>
      <c r="FTS58" s="609"/>
      <c r="FTT58" s="609"/>
      <c r="FTU58" s="609"/>
      <c r="FTV58" s="609"/>
      <c r="FTW58" s="609"/>
      <c r="FTX58" s="609"/>
      <c r="FTY58" s="609"/>
      <c r="FTZ58" s="609"/>
      <c r="FUA58" s="609"/>
      <c r="FUB58" s="609"/>
      <c r="FUC58" s="609"/>
      <c r="FUD58" s="609"/>
      <c r="FUE58" s="609"/>
      <c r="FUF58" s="609"/>
      <c r="FUG58" s="609"/>
      <c r="FUH58" s="609"/>
      <c r="FUI58" s="609"/>
      <c r="FUJ58" s="609"/>
      <c r="FUK58" s="609"/>
      <c r="FUL58" s="609"/>
      <c r="FUM58" s="609"/>
      <c r="FUN58" s="609"/>
      <c r="FUO58" s="609"/>
      <c r="FUP58" s="609"/>
      <c r="FUQ58" s="609"/>
      <c r="FUR58" s="609"/>
      <c r="FUS58" s="609"/>
      <c r="FUT58" s="609"/>
      <c r="FUU58" s="609"/>
      <c r="FUV58" s="609"/>
      <c r="FUW58" s="609"/>
      <c r="FUX58" s="609"/>
      <c r="FUY58" s="609"/>
      <c r="FUZ58" s="609"/>
      <c r="FVA58" s="609"/>
      <c r="FVB58" s="609"/>
      <c r="FVC58" s="609"/>
      <c r="FVD58" s="609"/>
      <c r="FVE58" s="609"/>
      <c r="FVF58" s="609"/>
      <c r="FVG58" s="609"/>
      <c r="FVH58" s="609"/>
      <c r="FVI58" s="609"/>
      <c r="FVJ58" s="609"/>
      <c r="FVK58" s="609"/>
      <c r="FVL58" s="609"/>
      <c r="FVM58" s="609"/>
      <c r="FVN58" s="609"/>
      <c r="FVO58" s="609"/>
      <c r="FVP58" s="609"/>
      <c r="FVQ58" s="609"/>
      <c r="FVR58" s="609"/>
      <c r="FVS58" s="609"/>
      <c r="FVT58" s="609"/>
      <c r="FVU58" s="609"/>
      <c r="FVV58" s="609"/>
      <c r="FVW58" s="609"/>
      <c r="FVX58" s="609"/>
      <c r="FVY58" s="609"/>
      <c r="FVZ58" s="609"/>
      <c r="FWA58" s="609"/>
      <c r="FWB58" s="609"/>
      <c r="FWC58" s="609"/>
      <c r="FWD58" s="609"/>
      <c r="FWE58" s="609"/>
      <c r="FWF58" s="609"/>
      <c r="FWG58" s="609"/>
      <c r="FWH58" s="609"/>
      <c r="FWI58" s="609"/>
      <c r="FWJ58" s="609"/>
      <c r="FWK58" s="609"/>
      <c r="FWL58" s="609"/>
      <c r="FWM58" s="609"/>
      <c r="FWN58" s="609"/>
      <c r="FWO58" s="609"/>
      <c r="FWP58" s="609"/>
      <c r="FWQ58" s="609"/>
      <c r="FWR58" s="609"/>
      <c r="FWS58" s="609"/>
      <c r="FWT58" s="609"/>
      <c r="FWU58" s="609"/>
      <c r="FWV58" s="609"/>
      <c r="FWW58" s="609"/>
      <c r="FWX58" s="609"/>
      <c r="FWY58" s="609"/>
      <c r="FWZ58" s="609"/>
      <c r="FXA58" s="609"/>
      <c r="FXB58" s="609"/>
      <c r="FXC58" s="609"/>
      <c r="FXD58" s="609"/>
      <c r="FXE58" s="609"/>
      <c r="FXF58" s="609"/>
      <c r="FXG58" s="609"/>
      <c r="FXH58" s="609"/>
      <c r="FXI58" s="609"/>
      <c r="FXJ58" s="609"/>
      <c r="FXK58" s="609"/>
      <c r="FXL58" s="609"/>
      <c r="FXM58" s="609"/>
      <c r="FXN58" s="609"/>
      <c r="FXO58" s="609"/>
      <c r="FXP58" s="609"/>
      <c r="FXQ58" s="609"/>
      <c r="FXR58" s="609"/>
      <c r="FXS58" s="609"/>
      <c r="FXT58" s="609"/>
      <c r="FXU58" s="609"/>
      <c r="FXV58" s="609"/>
      <c r="FXW58" s="609"/>
      <c r="FXX58" s="609"/>
      <c r="FXY58" s="609"/>
      <c r="FXZ58" s="609"/>
      <c r="FYA58" s="609"/>
      <c r="FYB58" s="609"/>
      <c r="FYC58" s="609"/>
      <c r="FYD58" s="609"/>
      <c r="FYE58" s="609"/>
      <c r="FYF58" s="609"/>
      <c r="FYG58" s="609"/>
      <c r="FYH58" s="609"/>
      <c r="FYI58" s="609"/>
      <c r="FYJ58" s="609"/>
      <c r="FYK58" s="609"/>
      <c r="FYL58" s="609"/>
      <c r="FYM58" s="609"/>
      <c r="FYN58" s="609"/>
      <c r="FYO58" s="609"/>
      <c r="FYP58" s="609"/>
      <c r="FYQ58" s="609"/>
      <c r="FYR58" s="609"/>
      <c r="FYS58" s="609"/>
      <c r="FYT58" s="609"/>
      <c r="FYU58" s="609"/>
      <c r="FYV58" s="609"/>
      <c r="FYW58" s="609"/>
      <c r="FYX58" s="609"/>
      <c r="FYY58" s="609"/>
      <c r="FYZ58" s="609"/>
      <c r="FZA58" s="609"/>
      <c r="FZB58" s="609"/>
      <c r="FZC58" s="609"/>
      <c r="FZD58" s="609"/>
      <c r="FZE58" s="609"/>
      <c r="FZF58" s="609"/>
      <c r="FZG58" s="609"/>
      <c r="FZH58" s="609"/>
      <c r="FZI58" s="609"/>
      <c r="FZJ58" s="609"/>
      <c r="FZK58" s="609"/>
      <c r="FZL58" s="609"/>
      <c r="FZM58" s="609"/>
      <c r="FZN58" s="609"/>
      <c r="FZO58" s="609"/>
      <c r="FZP58" s="609"/>
      <c r="FZQ58" s="609"/>
      <c r="FZR58" s="609"/>
      <c r="FZS58" s="609"/>
      <c r="FZT58" s="609"/>
      <c r="FZU58" s="609"/>
      <c r="FZV58" s="609"/>
      <c r="FZW58" s="609"/>
      <c r="FZX58" s="609"/>
      <c r="FZY58" s="609"/>
      <c r="FZZ58" s="609"/>
      <c r="GAA58" s="609"/>
      <c r="GAB58" s="609"/>
      <c r="GAC58" s="609"/>
      <c r="GAD58" s="609"/>
      <c r="GAE58" s="609"/>
      <c r="GAF58" s="609"/>
      <c r="GAG58" s="609"/>
      <c r="GAH58" s="609"/>
      <c r="GAI58" s="609"/>
      <c r="GAJ58" s="609"/>
      <c r="GAK58" s="609"/>
      <c r="GAL58" s="609"/>
      <c r="GAM58" s="609"/>
      <c r="GAN58" s="609"/>
      <c r="GAO58" s="609"/>
      <c r="GAP58" s="609"/>
      <c r="GAQ58" s="609"/>
      <c r="GAR58" s="609"/>
      <c r="GAS58" s="609"/>
      <c r="GAT58" s="609"/>
      <c r="GAU58" s="609"/>
      <c r="GAV58" s="609"/>
      <c r="GAW58" s="609"/>
      <c r="GAX58" s="609"/>
      <c r="GAY58" s="609"/>
      <c r="GAZ58" s="609"/>
      <c r="GBA58" s="609"/>
      <c r="GBB58" s="609"/>
      <c r="GBC58" s="609"/>
      <c r="GBD58" s="609"/>
      <c r="GBE58" s="609"/>
      <c r="GBF58" s="609"/>
      <c r="GBG58" s="609"/>
      <c r="GBH58" s="609"/>
      <c r="GBI58" s="609"/>
      <c r="GBJ58" s="609"/>
      <c r="GBK58" s="609"/>
      <c r="GBL58" s="609"/>
      <c r="GBM58" s="609"/>
      <c r="GBN58" s="609"/>
      <c r="GBO58" s="609"/>
      <c r="GBP58" s="609"/>
      <c r="GBQ58" s="609"/>
      <c r="GBR58" s="609"/>
      <c r="GBS58" s="609"/>
      <c r="GBT58" s="609"/>
      <c r="GBU58" s="609"/>
      <c r="GBV58" s="609"/>
      <c r="GBW58" s="609"/>
      <c r="GBX58" s="609"/>
      <c r="GBY58" s="609"/>
      <c r="GBZ58" s="609"/>
      <c r="GCA58" s="609"/>
      <c r="GCB58" s="609"/>
      <c r="GCC58" s="609"/>
      <c r="GCD58" s="609"/>
      <c r="GCE58" s="609"/>
      <c r="GCF58" s="609"/>
      <c r="GCG58" s="609"/>
      <c r="GCH58" s="609"/>
      <c r="GCI58" s="609"/>
      <c r="GCJ58" s="609"/>
      <c r="GCK58" s="609"/>
      <c r="GCL58" s="609"/>
      <c r="GCM58" s="609"/>
      <c r="GCN58" s="609"/>
      <c r="GCO58" s="609"/>
      <c r="GCP58" s="609"/>
      <c r="GCQ58" s="609"/>
      <c r="GCR58" s="609"/>
      <c r="GCS58" s="609"/>
      <c r="GCT58" s="609"/>
      <c r="GCU58" s="609"/>
      <c r="GCV58" s="609"/>
      <c r="GCW58" s="609"/>
      <c r="GCX58" s="609"/>
      <c r="GCY58" s="609"/>
      <c r="GCZ58" s="609"/>
      <c r="GDA58" s="609"/>
      <c r="GDB58" s="609"/>
      <c r="GDC58" s="609"/>
      <c r="GDD58" s="609"/>
      <c r="GDE58" s="609"/>
      <c r="GDF58" s="609"/>
      <c r="GDG58" s="609"/>
      <c r="GDH58" s="609"/>
      <c r="GDI58" s="609"/>
      <c r="GDJ58" s="609"/>
      <c r="GDK58" s="609"/>
      <c r="GDL58" s="609"/>
      <c r="GDM58" s="609"/>
      <c r="GDN58" s="609"/>
      <c r="GDO58" s="609"/>
      <c r="GDP58" s="609"/>
      <c r="GDQ58" s="609"/>
      <c r="GDR58" s="609"/>
      <c r="GDS58" s="609"/>
      <c r="GDT58" s="609"/>
      <c r="GDU58" s="609"/>
      <c r="GDV58" s="609"/>
      <c r="GDW58" s="609"/>
      <c r="GDX58" s="609"/>
      <c r="GDY58" s="609"/>
      <c r="GDZ58" s="609"/>
      <c r="GEA58" s="609"/>
      <c r="GEB58" s="609"/>
      <c r="GEC58" s="609"/>
      <c r="GED58" s="609"/>
      <c r="GEE58" s="609"/>
      <c r="GEF58" s="609"/>
      <c r="GEG58" s="609"/>
      <c r="GEH58" s="609"/>
      <c r="GEI58" s="609"/>
      <c r="GEJ58" s="609"/>
      <c r="GEK58" s="609"/>
      <c r="GEL58" s="609"/>
      <c r="GEM58" s="609"/>
      <c r="GEN58" s="609"/>
      <c r="GEO58" s="609"/>
      <c r="GEP58" s="609"/>
      <c r="GEQ58" s="609"/>
      <c r="GER58" s="609"/>
      <c r="GES58" s="609"/>
      <c r="GET58" s="609"/>
      <c r="GEU58" s="609"/>
      <c r="GEV58" s="609"/>
      <c r="GEW58" s="609"/>
      <c r="GEX58" s="609"/>
      <c r="GEY58" s="609"/>
      <c r="GEZ58" s="609"/>
      <c r="GFA58" s="609"/>
      <c r="GFB58" s="609"/>
      <c r="GFC58" s="609"/>
      <c r="GFD58" s="609"/>
      <c r="GFE58" s="609"/>
      <c r="GFF58" s="609"/>
      <c r="GFG58" s="609"/>
      <c r="GFH58" s="609"/>
      <c r="GFI58" s="609"/>
      <c r="GFJ58" s="609"/>
      <c r="GFK58" s="609"/>
      <c r="GFL58" s="609"/>
      <c r="GFM58" s="609"/>
      <c r="GFN58" s="609"/>
      <c r="GFO58" s="609"/>
      <c r="GFP58" s="609"/>
      <c r="GFQ58" s="609"/>
      <c r="GFR58" s="609"/>
      <c r="GFS58" s="609"/>
      <c r="GFT58" s="609"/>
      <c r="GFU58" s="609"/>
      <c r="GFV58" s="609"/>
      <c r="GFW58" s="609"/>
      <c r="GFX58" s="609"/>
      <c r="GFY58" s="609"/>
      <c r="GFZ58" s="609"/>
      <c r="GGA58" s="609"/>
      <c r="GGB58" s="609"/>
      <c r="GGC58" s="609"/>
      <c r="GGD58" s="609"/>
      <c r="GGE58" s="609"/>
      <c r="GGF58" s="609"/>
      <c r="GGG58" s="609"/>
      <c r="GGH58" s="609"/>
      <c r="GGI58" s="609"/>
      <c r="GGJ58" s="609"/>
      <c r="GGK58" s="609"/>
      <c r="GGL58" s="609"/>
      <c r="GGM58" s="609"/>
      <c r="GGN58" s="609"/>
      <c r="GGO58" s="609"/>
      <c r="GGP58" s="609"/>
      <c r="GGQ58" s="609"/>
      <c r="GGR58" s="609"/>
      <c r="GGS58" s="609"/>
      <c r="GGT58" s="609"/>
      <c r="GGU58" s="609"/>
      <c r="GGV58" s="609"/>
      <c r="GGW58" s="609"/>
      <c r="GGX58" s="609"/>
      <c r="GGY58" s="609"/>
      <c r="GGZ58" s="609"/>
      <c r="GHA58" s="609"/>
      <c r="GHB58" s="609"/>
      <c r="GHC58" s="609"/>
      <c r="GHD58" s="609"/>
      <c r="GHE58" s="609"/>
      <c r="GHF58" s="609"/>
      <c r="GHG58" s="609"/>
      <c r="GHH58" s="609"/>
      <c r="GHI58" s="609"/>
      <c r="GHJ58" s="609"/>
      <c r="GHK58" s="609"/>
      <c r="GHL58" s="609"/>
      <c r="GHM58" s="609"/>
      <c r="GHN58" s="609"/>
      <c r="GHO58" s="609"/>
      <c r="GHP58" s="609"/>
      <c r="GHQ58" s="609"/>
      <c r="GHR58" s="609"/>
      <c r="GHS58" s="609"/>
      <c r="GHT58" s="609"/>
      <c r="GHU58" s="609"/>
      <c r="GHV58" s="609"/>
      <c r="GHW58" s="609"/>
      <c r="GHX58" s="609"/>
      <c r="GHY58" s="609"/>
      <c r="GHZ58" s="609"/>
      <c r="GIA58" s="609"/>
      <c r="GIB58" s="609"/>
      <c r="GIC58" s="609"/>
      <c r="GID58" s="609"/>
      <c r="GIE58" s="609"/>
      <c r="GIF58" s="609"/>
      <c r="GIG58" s="609"/>
      <c r="GIH58" s="609"/>
      <c r="GII58" s="609"/>
      <c r="GIJ58" s="609"/>
      <c r="GIK58" s="609"/>
      <c r="GIL58" s="609"/>
      <c r="GIM58" s="609"/>
      <c r="GIN58" s="609"/>
      <c r="GIO58" s="609"/>
      <c r="GIP58" s="609"/>
      <c r="GIQ58" s="609"/>
      <c r="GIR58" s="609"/>
      <c r="GIS58" s="609"/>
      <c r="GIT58" s="609"/>
      <c r="GIU58" s="609"/>
      <c r="GIV58" s="609"/>
      <c r="GIW58" s="609"/>
      <c r="GIX58" s="609"/>
      <c r="GIY58" s="609"/>
      <c r="GIZ58" s="609"/>
      <c r="GJA58" s="609"/>
      <c r="GJB58" s="609"/>
      <c r="GJC58" s="609"/>
      <c r="GJD58" s="609"/>
      <c r="GJE58" s="609"/>
      <c r="GJF58" s="609"/>
      <c r="GJG58" s="609"/>
      <c r="GJH58" s="609"/>
      <c r="GJI58" s="609"/>
      <c r="GJJ58" s="609"/>
      <c r="GJK58" s="609"/>
      <c r="GJL58" s="609"/>
      <c r="GJM58" s="609"/>
      <c r="GJN58" s="609"/>
      <c r="GJO58" s="609"/>
      <c r="GJP58" s="609"/>
      <c r="GJQ58" s="609"/>
      <c r="GJR58" s="609"/>
      <c r="GJS58" s="609"/>
      <c r="GJT58" s="609"/>
      <c r="GJU58" s="609"/>
      <c r="GJV58" s="609"/>
      <c r="GJW58" s="609"/>
      <c r="GJX58" s="609"/>
      <c r="GJY58" s="609"/>
      <c r="GJZ58" s="609"/>
      <c r="GKA58" s="609"/>
      <c r="GKB58" s="609"/>
      <c r="GKC58" s="609"/>
      <c r="GKD58" s="609"/>
      <c r="GKE58" s="609"/>
      <c r="GKF58" s="609"/>
      <c r="GKG58" s="609"/>
      <c r="GKH58" s="609"/>
      <c r="GKI58" s="609"/>
      <c r="GKJ58" s="609"/>
      <c r="GKK58" s="609"/>
      <c r="GKL58" s="609"/>
      <c r="GKM58" s="609"/>
      <c r="GKN58" s="609"/>
      <c r="GKO58" s="609"/>
      <c r="GKP58" s="609"/>
      <c r="GKQ58" s="609"/>
      <c r="GKR58" s="609"/>
      <c r="GKS58" s="609"/>
      <c r="GKT58" s="609"/>
      <c r="GKU58" s="609"/>
      <c r="GKV58" s="609"/>
      <c r="GKW58" s="609"/>
      <c r="GKX58" s="609"/>
      <c r="GKY58" s="609"/>
      <c r="GKZ58" s="609"/>
      <c r="GLA58" s="609"/>
      <c r="GLB58" s="609"/>
      <c r="GLC58" s="609"/>
      <c r="GLD58" s="609"/>
      <c r="GLE58" s="609"/>
      <c r="GLF58" s="609"/>
      <c r="GLG58" s="609"/>
      <c r="GLH58" s="609"/>
      <c r="GLI58" s="609"/>
      <c r="GLJ58" s="609"/>
      <c r="GLK58" s="609"/>
      <c r="GLL58" s="609"/>
      <c r="GLM58" s="609"/>
      <c r="GLN58" s="609"/>
      <c r="GLO58" s="609"/>
      <c r="GLP58" s="609"/>
      <c r="GLQ58" s="609"/>
      <c r="GLR58" s="609"/>
      <c r="GLS58" s="609"/>
      <c r="GLT58" s="609"/>
      <c r="GLU58" s="609"/>
      <c r="GLV58" s="609"/>
      <c r="GLW58" s="609"/>
      <c r="GLX58" s="609"/>
      <c r="GLY58" s="609"/>
      <c r="GLZ58" s="609"/>
      <c r="GMA58" s="609"/>
      <c r="GMB58" s="609"/>
      <c r="GMC58" s="609"/>
      <c r="GMD58" s="609"/>
      <c r="GME58" s="609"/>
      <c r="GMF58" s="609"/>
      <c r="GMG58" s="609"/>
      <c r="GMH58" s="609"/>
      <c r="GMI58" s="609"/>
      <c r="GMJ58" s="609"/>
      <c r="GMK58" s="609"/>
      <c r="GML58" s="609"/>
      <c r="GMM58" s="609"/>
      <c r="GMN58" s="609"/>
      <c r="GMO58" s="609"/>
      <c r="GMP58" s="609"/>
      <c r="GMQ58" s="609"/>
      <c r="GMR58" s="609"/>
      <c r="GMS58" s="609"/>
      <c r="GMT58" s="609"/>
      <c r="GMU58" s="609"/>
      <c r="GMV58" s="609"/>
      <c r="GMW58" s="609"/>
      <c r="GMX58" s="609"/>
      <c r="GMY58" s="609"/>
      <c r="GMZ58" s="609"/>
      <c r="GNA58" s="609"/>
      <c r="GNB58" s="609"/>
      <c r="GNC58" s="609"/>
      <c r="GND58" s="609"/>
      <c r="GNE58" s="609"/>
      <c r="GNF58" s="609"/>
      <c r="GNG58" s="609"/>
      <c r="GNH58" s="609"/>
      <c r="GNI58" s="609"/>
      <c r="GNJ58" s="609"/>
      <c r="GNK58" s="609"/>
      <c r="GNL58" s="609"/>
      <c r="GNM58" s="609"/>
      <c r="GNN58" s="609"/>
      <c r="GNO58" s="609"/>
      <c r="GNP58" s="609"/>
      <c r="GNQ58" s="609"/>
      <c r="GNR58" s="609"/>
      <c r="GNS58" s="609"/>
      <c r="GNT58" s="609"/>
      <c r="GNU58" s="609"/>
      <c r="GNV58" s="609"/>
      <c r="GNW58" s="609"/>
      <c r="GNX58" s="609"/>
      <c r="GNY58" s="609"/>
      <c r="GNZ58" s="609"/>
      <c r="GOA58" s="609"/>
      <c r="GOB58" s="609"/>
      <c r="GOC58" s="609"/>
      <c r="GOD58" s="609"/>
      <c r="GOE58" s="609"/>
      <c r="GOF58" s="609"/>
      <c r="GOG58" s="609"/>
      <c r="GOH58" s="609"/>
      <c r="GOI58" s="609"/>
      <c r="GOJ58" s="609"/>
      <c r="GOK58" s="609"/>
      <c r="GOL58" s="609"/>
      <c r="GOM58" s="609"/>
      <c r="GON58" s="609"/>
      <c r="GOO58" s="609"/>
      <c r="GOP58" s="609"/>
      <c r="GOQ58" s="609"/>
      <c r="GOR58" s="609"/>
      <c r="GOS58" s="609"/>
      <c r="GOT58" s="609"/>
      <c r="GOU58" s="609"/>
      <c r="GOV58" s="609"/>
      <c r="GOW58" s="609"/>
      <c r="GOX58" s="609"/>
      <c r="GOY58" s="609"/>
      <c r="GOZ58" s="609"/>
      <c r="GPA58" s="609"/>
      <c r="GPB58" s="609"/>
      <c r="GPC58" s="609"/>
      <c r="GPD58" s="609"/>
      <c r="GPE58" s="609"/>
      <c r="GPF58" s="609"/>
      <c r="GPG58" s="609"/>
      <c r="GPH58" s="609"/>
      <c r="GPI58" s="609"/>
      <c r="GPJ58" s="609"/>
      <c r="GPK58" s="609"/>
      <c r="GPL58" s="609"/>
      <c r="GPM58" s="609"/>
      <c r="GPN58" s="609"/>
      <c r="GPO58" s="609"/>
      <c r="GPP58" s="609"/>
      <c r="GPQ58" s="609"/>
      <c r="GPR58" s="609"/>
      <c r="GPS58" s="609"/>
      <c r="GPT58" s="609"/>
      <c r="GPU58" s="609"/>
      <c r="GPV58" s="609"/>
      <c r="GPW58" s="609"/>
      <c r="GPX58" s="609"/>
      <c r="GPY58" s="609"/>
      <c r="GPZ58" s="609"/>
      <c r="GQA58" s="609"/>
      <c r="GQB58" s="609"/>
      <c r="GQC58" s="609"/>
      <c r="GQD58" s="609"/>
      <c r="GQE58" s="609"/>
      <c r="GQF58" s="609"/>
      <c r="GQG58" s="609"/>
      <c r="GQH58" s="609"/>
      <c r="GQI58" s="609"/>
      <c r="GQJ58" s="609"/>
      <c r="GQK58" s="609"/>
      <c r="GQL58" s="609"/>
      <c r="GQM58" s="609"/>
      <c r="GQN58" s="609"/>
      <c r="GQO58" s="609"/>
      <c r="GQP58" s="609"/>
      <c r="GQQ58" s="609"/>
      <c r="GQR58" s="609"/>
      <c r="GQS58" s="609"/>
      <c r="GQT58" s="609"/>
      <c r="GQU58" s="609"/>
      <c r="GQV58" s="609"/>
      <c r="GQW58" s="609"/>
      <c r="GQX58" s="609"/>
      <c r="GQY58" s="609"/>
      <c r="GQZ58" s="609"/>
      <c r="GRA58" s="609"/>
      <c r="GRB58" s="609"/>
      <c r="GRC58" s="609"/>
      <c r="GRD58" s="609"/>
      <c r="GRE58" s="609"/>
      <c r="GRF58" s="609"/>
      <c r="GRG58" s="609"/>
      <c r="GRH58" s="609"/>
      <c r="GRI58" s="609"/>
      <c r="GRJ58" s="609"/>
      <c r="GRK58" s="609"/>
      <c r="GRL58" s="609"/>
      <c r="GRM58" s="609"/>
      <c r="GRN58" s="609"/>
      <c r="GRO58" s="609"/>
      <c r="GRP58" s="609"/>
      <c r="GRQ58" s="609"/>
      <c r="GRR58" s="609"/>
      <c r="GRS58" s="609"/>
      <c r="GRT58" s="609"/>
      <c r="GRU58" s="609"/>
      <c r="GRV58" s="609"/>
      <c r="GRW58" s="609"/>
      <c r="GRX58" s="609"/>
      <c r="GRY58" s="609"/>
      <c r="GRZ58" s="609"/>
      <c r="GSA58" s="609"/>
      <c r="GSB58" s="609"/>
      <c r="GSC58" s="609"/>
      <c r="GSD58" s="609"/>
      <c r="GSE58" s="609"/>
      <c r="GSF58" s="609"/>
      <c r="GSG58" s="609"/>
      <c r="GSH58" s="609"/>
      <c r="GSI58" s="609"/>
      <c r="GSJ58" s="609"/>
      <c r="GSK58" s="609"/>
      <c r="GSL58" s="609"/>
      <c r="GSM58" s="609"/>
      <c r="GSN58" s="609"/>
      <c r="GSO58" s="609"/>
      <c r="GSP58" s="609"/>
      <c r="GSQ58" s="609"/>
      <c r="GSR58" s="609"/>
      <c r="GSS58" s="609"/>
      <c r="GST58" s="609"/>
      <c r="GSU58" s="609"/>
      <c r="GSV58" s="609"/>
      <c r="GSW58" s="609"/>
      <c r="GSX58" s="609"/>
      <c r="GSY58" s="609"/>
      <c r="GSZ58" s="609"/>
      <c r="GTA58" s="609"/>
      <c r="GTB58" s="609"/>
      <c r="GTC58" s="609"/>
      <c r="GTD58" s="609"/>
      <c r="GTE58" s="609"/>
      <c r="GTF58" s="609"/>
      <c r="GTG58" s="609"/>
      <c r="GTH58" s="609"/>
      <c r="GTI58" s="609"/>
      <c r="GTJ58" s="609"/>
      <c r="GTK58" s="609"/>
      <c r="GTL58" s="609"/>
      <c r="GTM58" s="609"/>
      <c r="GTN58" s="609"/>
      <c r="GTO58" s="609"/>
      <c r="GTP58" s="609"/>
      <c r="GTQ58" s="609"/>
      <c r="GTR58" s="609"/>
      <c r="GTS58" s="609"/>
      <c r="GTT58" s="609"/>
      <c r="GTU58" s="609"/>
      <c r="GTV58" s="609"/>
      <c r="GTW58" s="609"/>
      <c r="GTX58" s="609"/>
      <c r="GTY58" s="609"/>
      <c r="GTZ58" s="609"/>
      <c r="GUA58" s="609"/>
      <c r="GUB58" s="609"/>
      <c r="GUC58" s="609"/>
      <c r="GUD58" s="609"/>
      <c r="GUE58" s="609"/>
      <c r="GUF58" s="609"/>
      <c r="GUG58" s="609"/>
      <c r="GUH58" s="609"/>
      <c r="GUI58" s="609"/>
      <c r="GUJ58" s="609"/>
      <c r="GUK58" s="609"/>
      <c r="GUL58" s="609"/>
      <c r="GUM58" s="609"/>
      <c r="GUN58" s="609"/>
      <c r="GUO58" s="609"/>
      <c r="GUP58" s="609"/>
      <c r="GUQ58" s="609"/>
      <c r="GUR58" s="609"/>
      <c r="GUS58" s="609"/>
      <c r="GUT58" s="609"/>
      <c r="GUU58" s="609"/>
      <c r="GUV58" s="609"/>
      <c r="GUW58" s="609"/>
      <c r="GUX58" s="609"/>
      <c r="GUY58" s="609"/>
      <c r="GUZ58" s="609"/>
      <c r="GVA58" s="609"/>
      <c r="GVB58" s="609"/>
      <c r="GVC58" s="609"/>
      <c r="GVD58" s="609"/>
      <c r="GVE58" s="609"/>
      <c r="GVF58" s="609"/>
      <c r="GVG58" s="609"/>
      <c r="GVH58" s="609"/>
      <c r="GVI58" s="609"/>
      <c r="GVJ58" s="609"/>
      <c r="GVK58" s="609"/>
      <c r="GVL58" s="609"/>
      <c r="GVM58" s="609"/>
      <c r="GVN58" s="609"/>
      <c r="GVO58" s="609"/>
      <c r="GVP58" s="609"/>
      <c r="GVQ58" s="609"/>
      <c r="GVR58" s="609"/>
      <c r="GVS58" s="609"/>
      <c r="GVT58" s="609"/>
      <c r="GVU58" s="609"/>
      <c r="GVV58" s="609"/>
      <c r="GVW58" s="609"/>
      <c r="GVX58" s="609"/>
      <c r="GVY58" s="609"/>
      <c r="GVZ58" s="609"/>
      <c r="GWA58" s="609"/>
      <c r="GWB58" s="609"/>
      <c r="GWC58" s="609"/>
      <c r="GWD58" s="609"/>
      <c r="GWE58" s="609"/>
      <c r="GWF58" s="609"/>
      <c r="GWG58" s="609"/>
      <c r="GWH58" s="609"/>
      <c r="GWI58" s="609"/>
      <c r="GWJ58" s="609"/>
      <c r="GWK58" s="609"/>
      <c r="GWL58" s="609"/>
      <c r="GWM58" s="609"/>
      <c r="GWN58" s="609"/>
      <c r="GWO58" s="609"/>
      <c r="GWP58" s="609"/>
      <c r="GWQ58" s="609"/>
      <c r="GWR58" s="609"/>
      <c r="GWS58" s="609"/>
      <c r="GWT58" s="609"/>
      <c r="GWU58" s="609"/>
      <c r="GWV58" s="609"/>
      <c r="GWW58" s="609"/>
      <c r="GWX58" s="609"/>
      <c r="GWY58" s="609"/>
      <c r="GWZ58" s="609"/>
      <c r="GXA58" s="609"/>
      <c r="GXB58" s="609"/>
      <c r="GXC58" s="609"/>
      <c r="GXD58" s="609"/>
      <c r="GXE58" s="609"/>
      <c r="GXF58" s="609"/>
      <c r="GXG58" s="609"/>
      <c r="GXH58" s="609"/>
      <c r="GXI58" s="609"/>
      <c r="GXJ58" s="609"/>
      <c r="GXK58" s="609"/>
      <c r="GXL58" s="609"/>
      <c r="GXM58" s="609"/>
      <c r="GXN58" s="609"/>
      <c r="GXO58" s="609"/>
      <c r="GXP58" s="609"/>
      <c r="GXQ58" s="609"/>
      <c r="GXR58" s="609"/>
      <c r="GXS58" s="609"/>
      <c r="GXT58" s="609"/>
      <c r="GXU58" s="609"/>
      <c r="GXV58" s="609"/>
      <c r="GXW58" s="609"/>
      <c r="GXX58" s="609"/>
      <c r="GXY58" s="609"/>
      <c r="GXZ58" s="609"/>
      <c r="GYA58" s="609"/>
      <c r="GYB58" s="609"/>
      <c r="GYC58" s="609"/>
      <c r="GYD58" s="609"/>
      <c r="GYE58" s="609"/>
      <c r="GYF58" s="609"/>
      <c r="GYG58" s="609"/>
      <c r="GYH58" s="609"/>
      <c r="GYI58" s="609"/>
      <c r="GYJ58" s="609"/>
      <c r="GYK58" s="609"/>
      <c r="GYL58" s="609"/>
      <c r="GYM58" s="609"/>
      <c r="GYN58" s="609"/>
      <c r="GYO58" s="609"/>
      <c r="GYP58" s="609"/>
      <c r="GYQ58" s="609"/>
      <c r="GYR58" s="609"/>
      <c r="GYS58" s="609"/>
      <c r="GYT58" s="609"/>
      <c r="GYU58" s="609"/>
      <c r="GYV58" s="609"/>
      <c r="GYW58" s="609"/>
      <c r="GYX58" s="609"/>
      <c r="GYY58" s="609"/>
      <c r="GYZ58" s="609"/>
      <c r="GZA58" s="609"/>
      <c r="GZB58" s="609"/>
      <c r="GZC58" s="609"/>
      <c r="GZD58" s="609"/>
      <c r="GZE58" s="609"/>
      <c r="GZF58" s="609"/>
      <c r="GZG58" s="609"/>
      <c r="GZH58" s="609"/>
      <c r="GZI58" s="609"/>
      <c r="GZJ58" s="609"/>
      <c r="GZK58" s="609"/>
      <c r="GZL58" s="609"/>
      <c r="GZM58" s="609"/>
      <c r="GZN58" s="609"/>
      <c r="GZO58" s="609"/>
      <c r="GZP58" s="609"/>
      <c r="GZQ58" s="609"/>
      <c r="GZR58" s="609"/>
      <c r="GZS58" s="609"/>
      <c r="GZT58" s="609"/>
      <c r="GZU58" s="609"/>
      <c r="GZV58" s="609"/>
      <c r="GZW58" s="609"/>
      <c r="GZX58" s="609"/>
      <c r="GZY58" s="609"/>
      <c r="GZZ58" s="609"/>
      <c r="HAA58" s="609"/>
      <c r="HAB58" s="609"/>
      <c r="HAC58" s="609"/>
      <c r="HAD58" s="609"/>
      <c r="HAE58" s="609"/>
      <c r="HAF58" s="609"/>
      <c r="HAG58" s="609"/>
      <c r="HAH58" s="609"/>
      <c r="HAI58" s="609"/>
      <c r="HAJ58" s="609"/>
      <c r="HAK58" s="609"/>
      <c r="HAL58" s="609"/>
      <c r="HAM58" s="609"/>
      <c r="HAN58" s="609"/>
      <c r="HAO58" s="609"/>
      <c r="HAP58" s="609"/>
      <c r="HAQ58" s="609"/>
      <c r="HAR58" s="609"/>
      <c r="HAS58" s="609"/>
      <c r="HAT58" s="609"/>
      <c r="HAU58" s="609"/>
      <c r="HAV58" s="609"/>
      <c r="HAW58" s="609"/>
      <c r="HAX58" s="609"/>
      <c r="HAY58" s="609"/>
      <c r="HAZ58" s="609"/>
      <c r="HBA58" s="609"/>
      <c r="HBB58" s="609"/>
      <c r="HBC58" s="609"/>
      <c r="HBD58" s="609"/>
      <c r="HBE58" s="609"/>
      <c r="HBF58" s="609"/>
      <c r="HBG58" s="609"/>
      <c r="HBH58" s="609"/>
      <c r="HBI58" s="609"/>
      <c r="HBJ58" s="609"/>
      <c r="HBK58" s="609"/>
      <c r="HBL58" s="609"/>
      <c r="HBM58" s="609"/>
      <c r="HBN58" s="609"/>
      <c r="HBO58" s="609"/>
      <c r="HBP58" s="609"/>
      <c r="HBQ58" s="609"/>
      <c r="HBR58" s="609"/>
      <c r="HBS58" s="609"/>
      <c r="HBT58" s="609"/>
      <c r="HBU58" s="609"/>
      <c r="HBV58" s="609"/>
      <c r="HBW58" s="609"/>
      <c r="HBX58" s="609"/>
      <c r="HBY58" s="609"/>
      <c r="HBZ58" s="609"/>
      <c r="HCA58" s="609"/>
      <c r="HCB58" s="609"/>
      <c r="HCC58" s="609"/>
      <c r="HCD58" s="609"/>
      <c r="HCE58" s="609"/>
      <c r="HCF58" s="609"/>
      <c r="HCG58" s="609"/>
      <c r="HCH58" s="609"/>
      <c r="HCI58" s="609"/>
      <c r="HCJ58" s="609"/>
      <c r="HCK58" s="609"/>
      <c r="HCL58" s="609"/>
      <c r="HCM58" s="609"/>
      <c r="HCN58" s="609"/>
      <c r="HCO58" s="609"/>
      <c r="HCP58" s="609"/>
      <c r="HCQ58" s="609"/>
      <c r="HCR58" s="609"/>
      <c r="HCS58" s="609"/>
      <c r="HCT58" s="609"/>
      <c r="HCU58" s="609"/>
      <c r="HCV58" s="609"/>
      <c r="HCW58" s="609"/>
      <c r="HCX58" s="609"/>
      <c r="HCY58" s="609"/>
      <c r="HCZ58" s="609"/>
      <c r="HDA58" s="609"/>
      <c r="HDB58" s="609"/>
      <c r="HDC58" s="609"/>
      <c r="HDD58" s="609"/>
      <c r="HDE58" s="609"/>
      <c r="HDF58" s="609"/>
      <c r="HDG58" s="609"/>
      <c r="HDH58" s="609"/>
      <c r="HDI58" s="609"/>
      <c r="HDJ58" s="609"/>
      <c r="HDK58" s="609"/>
      <c r="HDL58" s="609"/>
      <c r="HDM58" s="609"/>
      <c r="HDN58" s="609"/>
      <c r="HDO58" s="609"/>
      <c r="HDP58" s="609"/>
      <c r="HDQ58" s="609"/>
      <c r="HDR58" s="609"/>
      <c r="HDS58" s="609"/>
      <c r="HDT58" s="609"/>
      <c r="HDU58" s="609"/>
      <c r="HDV58" s="609"/>
      <c r="HDW58" s="609"/>
      <c r="HDX58" s="609"/>
      <c r="HDY58" s="609"/>
      <c r="HDZ58" s="609"/>
      <c r="HEA58" s="609"/>
      <c r="HEB58" s="609"/>
      <c r="HEC58" s="609"/>
      <c r="HED58" s="609"/>
      <c r="HEE58" s="609"/>
      <c r="HEF58" s="609"/>
      <c r="HEG58" s="609"/>
      <c r="HEH58" s="609"/>
      <c r="HEI58" s="609"/>
      <c r="HEJ58" s="609"/>
      <c r="HEK58" s="609"/>
      <c r="HEL58" s="609"/>
      <c r="HEM58" s="609"/>
      <c r="HEN58" s="609"/>
      <c r="HEO58" s="609"/>
      <c r="HEP58" s="609"/>
      <c r="HEQ58" s="609"/>
      <c r="HER58" s="609"/>
      <c r="HES58" s="609"/>
      <c r="HET58" s="609"/>
      <c r="HEU58" s="609"/>
      <c r="HEV58" s="609"/>
      <c r="HEW58" s="609"/>
      <c r="HEX58" s="609"/>
      <c r="HEY58" s="609"/>
      <c r="HEZ58" s="609"/>
      <c r="HFA58" s="609"/>
      <c r="HFB58" s="609"/>
      <c r="HFC58" s="609"/>
      <c r="HFD58" s="609"/>
      <c r="HFE58" s="609"/>
      <c r="HFF58" s="609"/>
      <c r="HFG58" s="609"/>
      <c r="HFH58" s="609"/>
      <c r="HFI58" s="609"/>
      <c r="HFJ58" s="609"/>
      <c r="HFK58" s="609"/>
      <c r="HFL58" s="609"/>
      <c r="HFM58" s="609"/>
      <c r="HFN58" s="609"/>
      <c r="HFO58" s="609"/>
      <c r="HFP58" s="609"/>
      <c r="HFQ58" s="609"/>
      <c r="HFR58" s="609"/>
      <c r="HFS58" s="609"/>
      <c r="HFT58" s="609"/>
      <c r="HFU58" s="609"/>
      <c r="HFV58" s="609"/>
      <c r="HFW58" s="609"/>
      <c r="HFX58" s="609"/>
      <c r="HFY58" s="609"/>
      <c r="HFZ58" s="609"/>
      <c r="HGA58" s="609"/>
      <c r="HGB58" s="609"/>
      <c r="HGC58" s="609"/>
      <c r="HGD58" s="609"/>
      <c r="HGE58" s="609"/>
      <c r="HGF58" s="609"/>
      <c r="HGG58" s="609"/>
      <c r="HGH58" s="609"/>
      <c r="HGI58" s="609"/>
      <c r="HGJ58" s="609"/>
      <c r="HGK58" s="609"/>
      <c r="HGL58" s="609"/>
      <c r="HGM58" s="609"/>
      <c r="HGN58" s="609"/>
      <c r="HGO58" s="609"/>
      <c r="HGP58" s="609"/>
      <c r="HGQ58" s="609"/>
      <c r="HGR58" s="609"/>
      <c r="HGS58" s="609"/>
      <c r="HGT58" s="609"/>
      <c r="HGU58" s="609"/>
      <c r="HGV58" s="609"/>
      <c r="HGW58" s="609"/>
      <c r="HGX58" s="609"/>
      <c r="HGY58" s="609"/>
      <c r="HGZ58" s="609"/>
      <c r="HHA58" s="609"/>
      <c r="HHB58" s="609"/>
      <c r="HHC58" s="609"/>
      <c r="HHD58" s="609"/>
      <c r="HHE58" s="609"/>
      <c r="HHF58" s="609"/>
      <c r="HHG58" s="609"/>
      <c r="HHH58" s="609"/>
      <c r="HHI58" s="609"/>
      <c r="HHJ58" s="609"/>
      <c r="HHK58" s="609"/>
      <c r="HHL58" s="609"/>
      <c r="HHM58" s="609"/>
      <c r="HHN58" s="609"/>
      <c r="HHO58" s="609"/>
      <c r="HHP58" s="609"/>
      <c r="HHQ58" s="609"/>
      <c r="HHR58" s="609"/>
      <c r="HHS58" s="609"/>
      <c r="HHT58" s="609"/>
      <c r="HHU58" s="609"/>
      <c r="HHV58" s="609"/>
      <c r="HHW58" s="609"/>
      <c r="HHX58" s="609"/>
      <c r="HHY58" s="609"/>
      <c r="HHZ58" s="609"/>
      <c r="HIA58" s="609"/>
      <c r="HIB58" s="609"/>
      <c r="HIC58" s="609"/>
      <c r="HID58" s="609"/>
      <c r="HIE58" s="609"/>
      <c r="HIF58" s="609"/>
      <c r="HIG58" s="609"/>
      <c r="HIH58" s="609"/>
      <c r="HII58" s="609"/>
      <c r="HIJ58" s="609"/>
      <c r="HIK58" s="609"/>
      <c r="HIL58" s="609"/>
      <c r="HIM58" s="609"/>
      <c r="HIN58" s="609"/>
      <c r="HIO58" s="609"/>
      <c r="HIP58" s="609"/>
      <c r="HIQ58" s="609"/>
      <c r="HIR58" s="609"/>
      <c r="HIS58" s="609"/>
      <c r="HIT58" s="609"/>
      <c r="HIU58" s="609"/>
      <c r="HIV58" s="609"/>
      <c r="HIW58" s="609"/>
      <c r="HIX58" s="609"/>
      <c r="HIY58" s="609"/>
      <c r="HIZ58" s="609"/>
      <c r="HJA58" s="609"/>
      <c r="HJB58" s="609"/>
      <c r="HJC58" s="609"/>
      <c r="HJD58" s="609"/>
      <c r="HJE58" s="609"/>
      <c r="HJF58" s="609"/>
      <c r="HJG58" s="609"/>
      <c r="HJH58" s="609"/>
      <c r="HJI58" s="609"/>
      <c r="HJJ58" s="609"/>
      <c r="HJK58" s="609"/>
      <c r="HJL58" s="609"/>
      <c r="HJM58" s="609"/>
      <c r="HJN58" s="609"/>
      <c r="HJO58" s="609"/>
      <c r="HJP58" s="609"/>
      <c r="HJQ58" s="609"/>
      <c r="HJR58" s="609"/>
      <c r="HJS58" s="609"/>
      <c r="HJT58" s="609"/>
      <c r="HJU58" s="609"/>
      <c r="HJV58" s="609"/>
      <c r="HJW58" s="609"/>
      <c r="HJX58" s="609"/>
      <c r="HJY58" s="609"/>
      <c r="HJZ58" s="609"/>
      <c r="HKA58" s="609"/>
      <c r="HKB58" s="609"/>
      <c r="HKC58" s="609"/>
      <c r="HKD58" s="609"/>
      <c r="HKE58" s="609"/>
      <c r="HKF58" s="609"/>
      <c r="HKG58" s="609"/>
      <c r="HKH58" s="609"/>
      <c r="HKI58" s="609"/>
      <c r="HKJ58" s="609"/>
      <c r="HKK58" s="609"/>
      <c r="HKL58" s="609"/>
      <c r="HKM58" s="609"/>
      <c r="HKN58" s="609"/>
      <c r="HKO58" s="609"/>
      <c r="HKP58" s="609"/>
      <c r="HKQ58" s="609"/>
      <c r="HKR58" s="609"/>
      <c r="HKS58" s="609"/>
      <c r="HKT58" s="609"/>
      <c r="HKU58" s="609"/>
      <c r="HKV58" s="609"/>
      <c r="HKW58" s="609"/>
      <c r="HKX58" s="609"/>
      <c r="HKY58" s="609"/>
      <c r="HKZ58" s="609"/>
      <c r="HLA58" s="609"/>
      <c r="HLB58" s="609"/>
      <c r="HLC58" s="609"/>
      <c r="HLD58" s="609"/>
      <c r="HLE58" s="609"/>
      <c r="HLF58" s="609"/>
      <c r="HLG58" s="609"/>
      <c r="HLH58" s="609"/>
      <c r="HLI58" s="609"/>
      <c r="HLJ58" s="609"/>
      <c r="HLK58" s="609"/>
      <c r="HLL58" s="609"/>
      <c r="HLM58" s="609"/>
      <c r="HLN58" s="609"/>
      <c r="HLO58" s="609"/>
      <c r="HLP58" s="609"/>
      <c r="HLQ58" s="609"/>
      <c r="HLR58" s="609"/>
      <c r="HLS58" s="609"/>
      <c r="HLT58" s="609"/>
      <c r="HLU58" s="609"/>
      <c r="HLV58" s="609"/>
      <c r="HLW58" s="609"/>
      <c r="HLX58" s="609"/>
      <c r="HLY58" s="609"/>
      <c r="HLZ58" s="609"/>
      <c r="HMA58" s="609"/>
      <c r="HMB58" s="609"/>
      <c r="HMC58" s="609"/>
      <c r="HMD58" s="609"/>
      <c r="HME58" s="609"/>
      <c r="HMF58" s="609"/>
      <c r="HMG58" s="609"/>
      <c r="HMH58" s="609"/>
      <c r="HMI58" s="609"/>
      <c r="HMJ58" s="609"/>
      <c r="HMK58" s="609"/>
      <c r="HML58" s="609"/>
      <c r="HMM58" s="609"/>
      <c r="HMN58" s="609"/>
      <c r="HMO58" s="609"/>
      <c r="HMP58" s="609"/>
      <c r="HMQ58" s="609"/>
      <c r="HMR58" s="609"/>
      <c r="HMS58" s="609"/>
      <c r="HMT58" s="609"/>
      <c r="HMU58" s="609"/>
      <c r="HMV58" s="609"/>
      <c r="HMW58" s="609"/>
      <c r="HMX58" s="609"/>
      <c r="HMY58" s="609"/>
      <c r="HMZ58" s="609"/>
      <c r="HNA58" s="609"/>
      <c r="HNB58" s="609"/>
      <c r="HNC58" s="609"/>
      <c r="HND58" s="609"/>
      <c r="HNE58" s="609"/>
      <c r="HNF58" s="609"/>
      <c r="HNG58" s="609"/>
      <c r="HNH58" s="609"/>
      <c r="HNI58" s="609"/>
      <c r="HNJ58" s="609"/>
      <c r="HNK58" s="609"/>
      <c r="HNL58" s="609"/>
      <c r="HNM58" s="609"/>
      <c r="HNN58" s="609"/>
      <c r="HNO58" s="609"/>
      <c r="HNP58" s="609"/>
      <c r="HNQ58" s="609"/>
      <c r="HNR58" s="609"/>
      <c r="HNS58" s="609"/>
      <c r="HNT58" s="609"/>
      <c r="HNU58" s="609"/>
      <c r="HNV58" s="609"/>
      <c r="HNW58" s="609"/>
      <c r="HNX58" s="609"/>
      <c r="HNY58" s="609"/>
      <c r="HNZ58" s="609"/>
      <c r="HOA58" s="609"/>
      <c r="HOB58" s="609"/>
      <c r="HOC58" s="609"/>
      <c r="HOD58" s="609"/>
      <c r="HOE58" s="609"/>
      <c r="HOF58" s="609"/>
      <c r="HOG58" s="609"/>
      <c r="HOH58" s="609"/>
      <c r="HOI58" s="609"/>
      <c r="HOJ58" s="609"/>
      <c r="HOK58" s="609"/>
      <c r="HOL58" s="609"/>
      <c r="HOM58" s="609"/>
      <c r="HON58" s="609"/>
      <c r="HOO58" s="609"/>
      <c r="HOP58" s="609"/>
      <c r="HOQ58" s="609"/>
      <c r="HOR58" s="609"/>
      <c r="HOS58" s="609"/>
      <c r="HOT58" s="609"/>
      <c r="HOU58" s="609"/>
      <c r="HOV58" s="609"/>
      <c r="HOW58" s="609"/>
      <c r="HOX58" s="609"/>
      <c r="HOY58" s="609"/>
      <c r="HOZ58" s="609"/>
      <c r="HPA58" s="609"/>
      <c r="HPB58" s="609"/>
      <c r="HPC58" s="609"/>
      <c r="HPD58" s="609"/>
      <c r="HPE58" s="609"/>
      <c r="HPF58" s="609"/>
      <c r="HPG58" s="609"/>
      <c r="HPH58" s="609"/>
      <c r="HPI58" s="609"/>
      <c r="HPJ58" s="609"/>
      <c r="HPK58" s="609"/>
      <c r="HPL58" s="609"/>
      <c r="HPM58" s="609"/>
      <c r="HPN58" s="609"/>
      <c r="HPO58" s="609"/>
      <c r="HPP58" s="609"/>
      <c r="HPQ58" s="609"/>
      <c r="HPR58" s="609"/>
      <c r="HPS58" s="609"/>
      <c r="HPT58" s="609"/>
      <c r="HPU58" s="609"/>
      <c r="HPV58" s="609"/>
      <c r="HPW58" s="609"/>
      <c r="HPX58" s="609"/>
      <c r="HPY58" s="609"/>
      <c r="HPZ58" s="609"/>
      <c r="HQA58" s="609"/>
      <c r="HQB58" s="609"/>
      <c r="HQC58" s="609"/>
      <c r="HQD58" s="609"/>
      <c r="HQE58" s="609"/>
      <c r="HQF58" s="609"/>
      <c r="HQG58" s="609"/>
      <c r="HQH58" s="609"/>
      <c r="HQI58" s="609"/>
      <c r="HQJ58" s="609"/>
      <c r="HQK58" s="609"/>
      <c r="HQL58" s="609"/>
      <c r="HQM58" s="609"/>
      <c r="HQN58" s="609"/>
      <c r="HQO58" s="609"/>
      <c r="HQP58" s="609"/>
      <c r="HQQ58" s="609"/>
      <c r="HQR58" s="609"/>
      <c r="HQS58" s="609"/>
      <c r="HQT58" s="609"/>
      <c r="HQU58" s="609"/>
      <c r="HQV58" s="609"/>
      <c r="HQW58" s="609"/>
      <c r="HQX58" s="609"/>
      <c r="HQY58" s="609"/>
      <c r="HQZ58" s="609"/>
      <c r="HRA58" s="609"/>
      <c r="HRB58" s="609"/>
      <c r="HRC58" s="609"/>
      <c r="HRD58" s="609"/>
      <c r="HRE58" s="609"/>
      <c r="HRF58" s="609"/>
      <c r="HRG58" s="609"/>
      <c r="HRH58" s="609"/>
      <c r="HRI58" s="609"/>
      <c r="HRJ58" s="609"/>
      <c r="HRK58" s="609"/>
      <c r="HRL58" s="609"/>
      <c r="HRM58" s="609"/>
      <c r="HRN58" s="609"/>
      <c r="HRO58" s="609"/>
      <c r="HRP58" s="609"/>
      <c r="HRQ58" s="609"/>
      <c r="HRR58" s="609"/>
      <c r="HRS58" s="609"/>
      <c r="HRT58" s="609"/>
      <c r="HRU58" s="609"/>
      <c r="HRV58" s="609"/>
      <c r="HRW58" s="609"/>
      <c r="HRX58" s="609"/>
      <c r="HRY58" s="609"/>
      <c r="HRZ58" s="609"/>
      <c r="HSA58" s="609"/>
      <c r="HSB58" s="609"/>
      <c r="HSC58" s="609"/>
      <c r="HSD58" s="609"/>
      <c r="HSE58" s="609"/>
      <c r="HSF58" s="609"/>
      <c r="HSG58" s="609"/>
      <c r="HSH58" s="609"/>
      <c r="HSI58" s="609"/>
      <c r="HSJ58" s="609"/>
      <c r="HSK58" s="609"/>
      <c r="HSL58" s="609"/>
      <c r="HSM58" s="609"/>
      <c r="HSN58" s="609"/>
      <c r="HSO58" s="609"/>
      <c r="HSP58" s="609"/>
      <c r="HSQ58" s="609"/>
      <c r="HSR58" s="609"/>
      <c r="HSS58" s="609"/>
      <c r="HST58" s="609"/>
      <c r="HSU58" s="609"/>
      <c r="HSV58" s="609"/>
      <c r="HSW58" s="609"/>
      <c r="HSX58" s="609"/>
      <c r="HSY58" s="609"/>
      <c r="HSZ58" s="609"/>
      <c r="HTA58" s="609"/>
      <c r="HTB58" s="609"/>
      <c r="HTC58" s="609"/>
      <c r="HTD58" s="609"/>
      <c r="HTE58" s="609"/>
      <c r="HTF58" s="609"/>
      <c r="HTG58" s="609"/>
      <c r="HTH58" s="609"/>
      <c r="HTI58" s="609"/>
      <c r="HTJ58" s="609"/>
      <c r="HTK58" s="609"/>
      <c r="HTL58" s="609"/>
      <c r="HTM58" s="609"/>
      <c r="HTN58" s="609"/>
      <c r="HTO58" s="609"/>
      <c r="HTP58" s="609"/>
      <c r="HTQ58" s="609"/>
      <c r="HTR58" s="609"/>
      <c r="HTS58" s="609"/>
      <c r="HTT58" s="609"/>
      <c r="HTU58" s="609"/>
      <c r="HTV58" s="609"/>
      <c r="HTW58" s="609"/>
      <c r="HTX58" s="609"/>
      <c r="HTY58" s="609"/>
      <c r="HTZ58" s="609"/>
      <c r="HUA58" s="609"/>
      <c r="HUB58" s="609"/>
      <c r="HUC58" s="609"/>
      <c r="HUD58" s="609"/>
      <c r="HUE58" s="609"/>
      <c r="HUF58" s="609"/>
      <c r="HUG58" s="609"/>
      <c r="HUH58" s="609"/>
      <c r="HUI58" s="609"/>
      <c r="HUJ58" s="609"/>
      <c r="HUK58" s="609"/>
      <c r="HUL58" s="609"/>
      <c r="HUM58" s="609"/>
      <c r="HUN58" s="609"/>
      <c r="HUO58" s="609"/>
      <c r="HUP58" s="609"/>
      <c r="HUQ58" s="609"/>
      <c r="HUR58" s="609"/>
      <c r="HUS58" s="609"/>
      <c r="HUT58" s="609"/>
      <c r="HUU58" s="609"/>
      <c r="HUV58" s="609"/>
      <c r="HUW58" s="609"/>
      <c r="HUX58" s="609"/>
      <c r="HUY58" s="609"/>
      <c r="HUZ58" s="609"/>
      <c r="HVA58" s="609"/>
      <c r="HVB58" s="609"/>
      <c r="HVC58" s="609"/>
      <c r="HVD58" s="609"/>
      <c r="HVE58" s="609"/>
      <c r="HVF58" s="609"/>
      <c r="HVG58" s="609"/>
      <c r="HVH58" s="609"/>
      <c r="HVI58" s="609"/>
      <c r="HVJ58" s="609"/>
      <c r="HVK58" s="609"/>
      <c r="HVL58" s="609"/>
      <c r="HVM58" s="609"/>
      <c r="HVN58" s="609"/>
      <c r="HVO58" s="609"/>
      <c r="HVP58" s="609"/>
      <c r="HVQ58" s="609"/>
      <c r="HVR58" s="609"/>
      <c r="HVS58" s="609"/>
      <c r="HVT58" s="609"/>
      <c r="HVU58" s="609"/>
      <c r="HVV58" s="609"/>
      <c r="HVW58" s="609"/>
      <c r="HVX58" s="609"/>
      <c r="HVY58" s="609"/>
      <c r="HVZ58" s="609"/>
      <c r="HWA58" s="609"/>
      <c r="HWB58" s="609"/>
      <c r="HWC58" s="609"/>
      <c r="HWD58" s="609"/>
      <c r="HWE58" s="609"/>
      <c r="HWF58" s="609"/>
      <c r="HWG58" s="609"/>
      <c r="HWH58" s="609"/>
      <c r="HWI58" s="609"/>
      <c r="HWJ58" s="609"/>
      <c r="HWK58" s="609"/>
      <c r="HWL58" s="609"/>
      <c r="HWM58" s="609"/>
      <c r="HWN58" s="609"/>
      <c r="HWO58" s="609"/>
      <c r="HWP58" s="609"/>
      <c r="HWQ58" s="609"/>
      <c r="HWR58" s="609"/>
      <c r="HWS58" s="609"/>
      <c r="HWT58" s="609"/>
      <c r="HWU58" s="609"/>
      <c r="HWV58" s="609"/>
      <c r="HWW58" s="609"/>
      <c r="HWX58" s="609"/>
      <c r="HWY58" s="609"/>
      <c r="HWZ58" s="609"/>
      <c r="HXA58" s="609"/>
      <c r="HXB58" s="609"/>
      <c r="HXC58" s="609"/>
      <c r="HXD58" s="609"/>
      <c r="HXE58" s="609"/>
      <c r="HXF58" s="609"/>
      <c r="HXG58" s="609"/>
      <c r="HXH58" s="609"/>
      <c r="HXI58" s="609"/>
      <c r="HXJ58" s="609"/>
      <c r="HXK58" s="609"/>
      <c r="HXL58" s="609"/>
      <c r="HXM58" s="609"/>
      <c r="HXN58" s="609"/>
      <c r="HXO58" s="609"/>
      <c r="HXP58" s="609"/>
      <c r="HXQ58" s="609"/>
      <c r="HXR58" s="609"/>
      <c r="HXS58" s="609"/>
      <c r="HXT58" s="609"/>
      <c r="HXU58" s="609"/>
      <c r="HXV58" s="609"/>
      <c r="HXW58" s="609"/>
      <c r="HXX58" s="609"/>
      <c r="HXY58" s="609"/>
      <c r="HXZ58" s="609"/>
      <c r="HYA58" s="609"/>
      <c r="HYB58" s="609"/>
      <c r="HYC58" s="609"/>
      <c r="HYD58" s="609"/>
      <c r="HYE58" s="609"/>
      <c r="HYF58" s="609"/>
      <c r="HYG58" s="609"/>
      <c r="HYH58" s="609"/>
      <c r="HYI58" s="609"/>
      <c r="HYJ58" s="609"/>
      <c r="HYK58" s="609"/>
      <c r="HYL58" s="609"/>
      <c r="HYM58" s="609"/>
      <c r="HYN58" s="609"/>
      <c r="HYO58" s="609"/>
      <c r="HYP58" s="609"/>
      <c r="HYQ58" s="609"/>
      <c r="HYR58" s="609"/>
      <c r="HYS58" s="609"/>
      <c r="HYT58" s="609"/>
      <c r="HYU58" s="609"/>
      <c r="HYV58" s="609"/>
      <c r="HYW58" s="609"/>
      <c r="HYX58" s="609"/>
      <c r="HYY58" s="609"/>
      <c r="HYZ58" s="609"/>
      <c r="HZA58" s="609"/>
      <c r="HZB58" s="609"/>
      <c r="HZC58" s="609"/>
      <c r="HZD58" s="609"/>
      <c r="HZE58" s="609"/>
      <c r="HZF58" s="609"/>
      <c r="HZG58" s="609"/>
      <c r="HZH58" s="609"/>
      <c r="HZI58" s="609"/>
      <c r="HZJ58" s="609"/>
      <c r="HZK58" s="609"/>
      <c r="HZL58" s="609"/>
      <c r="HZM58" s="609"/>
      <c r="HZN58" s="609"/>
      <c r="HZO58" s="609"/>
      <c r="HZP58" s="609"/>
      <c r="HZQ58" s="609"/>
      <c r="HZR58" s="609"/>
      <c r="HZS58" s="609"/>
      <c r="HZT58" s="609"/>
      <c r="HZU58" s="609"/>
      <c r="HZV58" s="609"/>
      <c r="HZW58" s="609"/>
      <c r="HZX58" s="609"/>
      <c r="HZY58" s="609"/>
      <c r="HZZ58" s="609"/>
      <c r="IAA58" s="609"/>
      <c r="IAB58" s="609"/>
      <c r="IAC58" s="609"/>
      <c r="IAD58" s="609"/>
      <c r="IAE58" s="609"/>
      <c r="IAF58" s="609"/>
      <c r="IAG58" s="609"/>
      <c r="IAH58" s="609"/>
      <c r="IAI58" s="609"/>
      <c r="IAJ58" s="609"/>
      <c r="IAK58" s="609"/>
      <c r="IAL58" s="609"/>
      <c r="IAM58" s="609"/>
      <c r="IAN58" s="609"/>
      <c r="IAO58" s="609"/>
      <c r="IAP58" s="609"/>
      <c r="IAQ58" s="609"/>
      <c r="IAR58" s="609"/>
      <c r="IAS58" s="609"/>
      <c r="IAT58" s="609"/>
      <c r="IAU58" s="609"/>
      <c r="IAV58" s="609"/>
      <c r="IAW58" s="609"/>
      <c r="IAX58" s="609"/>
      <c r="IAY58" s="609"/>
      <c r="IAZ58" s="609"/>
      <c r="IBA58" s="609"/>
      <c r="IBB58" s="609"/>
      <c r="IBC58" s="609"/>
      <c r="IBD58" s="609"/>
      <c r="IBE58" s="609"/>
      <c r="IBF58" s="609"/>
      <c r="IBG58" s="609"/>
      <c r="IBH58" s="609"/>
      <c r="IBI58" s="609"/>
      <c r="IBJ58" s="609"/>
      <c r="IBK58" s="609"/>
      <c r="IBL58" s="609"/>
      <c r="IBM58" s="609"/>
      <c r="IBN58" s="609"/>
      <c r="IBO58" s="609"/>
      <c r="IBP58" s="609"/>
      <c r="IBQ58" s="609"/>
      <c r="IBR58" s="609"/>
      <c r="IBS58" s="609"/>
      <c r="IBT58" s="609"/>
      <c r="IBU58" s="609"/>
      <c r="IBV58" s="609"/>
      <c r="IBW58" s="609"/>
      <c r="IBX58" s="609"/>
      <c r="IBY58" s="609"/>
      <c r="IBZ58" s="609"/>
      <c r="ICA58" s="609"/>
      <c r="ICB58" s="609"/>
      <c r="ICC58" s="609"/>
      <c r="ICD58" s="609"/>
      <c r="ICE58" s="609"/>
      <c r="ICF58" s="609"/>
      <c r="ICG58" s="609"/>
      <c r="ICH58" s="609"/>
      <c r="ICI58" s="609"/>
      <c r="ICJ58" s="609"/>
      <c r="ICK58" s="609"/>
      <c r="ICL58" s="609"/>
      <c r="ICM58" s="609"/>
      <c r="ICN58" s="609"/>
      <c r="ICO58" s="609"/>
      <c r="ICP58" s="609"/>
      <c r="ICQ58" s="609"/>
      <c r="ICR58" s="609"/>
      <c r="ICS58" s="609"/>
      <c r="ICT58" s="609"/>
      <c r="ICU58" s="609"/>
      <c r="ICV58" s="609"/>
      <c r="ICW58" s="609"/>
      <c r="ICX58" s="609"/>
      <c r="ICY58" s="609"/>
      <c r="ICZ58" s="609"/>
      <c r="IDA58" s="609"/>
      <c r="IDB58" s="609"/>
      <c r="IDC58" s="609"/>
      <c r="IDD58" s="609"/>
      <c r="IDE58" s="609"/>
      <c r="IDF58" s="609"/>
      <c r="IDG58" s="609"/>
      <c r="IDH58" s="609"/>
      <c r="IDI58" s="609"/>
      <c r="IDJ58" s="609"/>
      <c r="IDK58" s="609"/>
      <c r="IDL58" s="609"/>
      <c r="IDM58" s="609"/>
      <c r="IDN58" s="609"/>
      <c r="IDO58" s="609"/>
      <c r="IDP58" s="609"/>
      <c r="IDQ58" s="609"/>
      <c r="IDR58" s="609"/>
      <c r="IDS58" s="609"/>
      <c r="IDT58" s="609"/>
      <c r="IDU58" s="609"/>
      <c r="IDV58" s="609"/>
      <c r="IDW58" s="609"/>
      <c r="IDX58" s="609"/>
      <c r="IDY58" s="609"/>
      <c r="IDZ58" s="609"/>
      <c r="IEA58" s="609"/>
      <c r="IEB58" s="609"/>
      <c r="IEC58" s="609"/>
      <c r="IED58" s="609"/>
      <c r="IEE58" s="609"/>
      <c r="IEF58" s="609"/>
      <c r="IEG58" s="609"/>
      <c r="IEH58" s="609"/>
      <c r="IEI58" s="609"/>
      <c r="IEJ58" s="609"/>
      <c r="IEK58" s="609"/>
      <c r="IEL58" s="609"/>
      <c r="IEM58" s="609"/>
      <c r="IEN58" s="609"/>
      <c r="IEO58" s="609"/>
      <c r="IEP58" s="609"/>
      <c r="IEQ58" s="609"/>
      <c r="IER58" s="609"/>
      <c r="IES58" s="609"/>
      <c r="IET58" s="609"/>
      <c r="IEU58" s="609"/>
      <c r="IEV58" s="609"/>
      <c r="IEW58" s="609"/>
      <c r="IEX58" s="609"/>
      <c r="IEY58" s="609"/>
      <c r="IEZ58" s="609"/>
      <c r="IFA58" s="609"/>
      <c r="IFB58" s="609"/>
      <c r="IFC58" s="609"/>
      <c r="IFD58" s="609"/>
      <c r="IFE58" s="609"/>
      <c r="IFF58" s="609"/>
      <c r="IFG58" s="609"/>
      <c r="IFH58" s="609"/>
      <c r="IFI58" s="609"/>
      <c r="IFJ58" s="609"/>
      <c r="IFK58" s="609"/>
      <c r="IFL58" s="609"/>
      <c r="IFM58" s="609"/>
      <c r="IFN58" s="609"/>
      <c r="IFO58" s="609"/>
      <c r="IFP58" s="609"/>
      <c r="IFQ58" s="609"/>
      <c r="IFR58" s="609"/>
      <c r="IFS58" s="609"/>
      <c r="IFT58" s="609"/>
      <c r="IFU58" s="609"/>
      <c r="IFV58" s="609"/>
      <c r="IFW58" s="609"/>
      <c r="IFX58" s="609"/>
      <c r="IFY58" s="609"/>
      <c r="IFZ58" s="609"/>
      <c r="IGA58" s="609"/>
      <c r="IGB58" s="609"/>
      <c r="IGC58" s="609"/>
      <c r="IGD58" s="609"/>
      <c r="IGE58" s="609"/>
      <c r="IGF58" s="609"/>
      <c r="IGG58" s="609"/>
      <c r="IGH58" s="609"/>
      <c r="IGI58" s="609"/>
      <c r="IGJ58" s="609"/>
      <c r="IGK58" s="609"/>
      <c r="IGL58" s="609"/>
      <c r="IGM58" s="609"/>
      <c r="IGN58" s="609"/>
      <c r="IGO58" s="609"/>
      <c r="IGP58" s="609"/>
      <c r="IGQ58" s="609"/>
      <c r="IGR58" s="609"/>
      <c r="IGS58" s="609"/>
      <c r="IGT58" s="609"/>
      <c r="IGU58" s="609"/>
      <c r="IGV58" s="609"/>
      <c r="IGW58" s="609"/>
      <c r="IGX58" s="609"/>
      <c r="IGY58" s="609"/>
      <c r="IGZ58" s="609"/>
      <c r="IHA58" s="609"/>
      <c r="IHB58" s="609"/>
      <c r="IHC58" s="609"/>
      <c r="IHD58" s="609"/>
      <c r="IHE58" s="609"/>
      <c r="IHF58" s="609"/>
      <c r="IHG58" s="609"/>
      <c r="IHH58" s="609"/>
      <c r="IHI58" s="609"/>
      <c r="IHJ58" s="609"/>
      <c r="IHK58" s="609"/>
      <c r="IHL58" s="609"/>
      <c r="IHM58" s="609"/>
      <c r="IHN58" s="609"/>
      <c r="IHO58" s="609"/>
      <c r="IHP58" s="609"/>
      <c r="IHQ58" s="609"/>
      <c r="IHR58" s="609"/>
      <c r="IHS58" s="609"/>
      <c r="IHT58" s="609"/>
      <c r="IHU58" s="609"/>
      <c r="IHV58" s="609"/>
      <c r="IHW58" s="609"/>
      <c r="IHX58" s="609"/>
      <c r="IHY58" s="609"/>
      <c r="IHZ58" s="609"/>
      <c r="IIA58" s="609"/>
      <c r="IIB58" s="609"/>
      <c r="IIC58" s="609"/>
      <c r="IID58" s="609"/>
      <c r="IIE58" s="609"/>
      <c r="IIF58" s="609"/>
      <c r="IIG58" s="609"/>
      <c r="IIH58" s="609"/>
      <c r="III58" s="609"/>
      <c r="IIJ58" s="609"/>
      <c r="IIK58" s="609"/>
      <c r="IIL58" s="609"/>
      <c r="IIM58" s="609"/>
      <c r="IIN58" s="609"/>
      <c r="IIO58" s="609"/>
      <c r="IIP58" s="609"/>
      <c r="IIQ58" s="609"/>
      <c r="IIR58" s="609"/>
      <c r="IIS58" s="609"/>
      <c r="IIT58" s="609"/>
      <c r="IIU58" s="609"/>
      <c r="IIV58" s="609"/>
      <c r="IIW58" s="609"/>
      <c r="IIX58" s="609"/>
      <c r="IIY58" s="609"/>
      <c r="IIZ58" s="609"/>
      <c r="IJA58" s="609"/>
      <c r="IJB58" s="609"/>
      <c r="IJC58" s="609"/>
      <c r="IJD58" s="609"/>
      <c r="IJE58" s="609"/>
      <c r="IJF58" s="609"/>
      <c r="IJG58" s="609"/>
      <c r="IJH58" s="609"/>
      <c r="IJI58" s="609"/>
      <c r="IJJ58" s="609"/>
      <c r="IJK58" s="609"/>
      <c r="IJL58" s="609"/>
      <c r="IJM58" s="609"/>
      <c r="IJN58" s="609"/>
      <c r="IJO58" s="609"/>
      <c r="IJP58" s="609"/>
      <c r="IJQ58" s="609"/>
      <c r="IJR58" s="609"/>
      <c r="IJS58" s="609"/>
      <c r="IJT58" s="609"/>
      <c r="IJU58" s="609"/>
      <c r="IJV58" s="609"/>
      <c r="IJW58" s="609"/>
      <c r="IJX58" s="609"/>
      <c r="IJY58" s="609"/>
      <c r="IJZ58" s="609"/>
      <c r="IKA58" s="609"/>
      <c r="IKB58" s="609"/>
      <c r="IKC58" s="609"/>
      <c r="IKD58" s="609"/>
      <c r="IKE58" s="609"/>
      <c r="IKF58" s="609"/>
      <c r="IKG58" s="609"/>
      <c r="IKH58" s="609"/>
      <c r="IKI58" s="609"/>
      <c r="IKJ58" s="609"/>
      <c r="IKK58" s="609"/>
      <c r="IKL58" s="609"/>
      <c r="IKM58" s="609"/>
      <c r="IKN58" s="609"/>
      <c r="IKO58" s="609"/>
      <c r="IKP58" s="609"/>
      <c r="IKQ58" s="609"/>
      <c r="IKR58" s="609"/>
      <c r="IKS58" s="609"/>
      <c r="IKT58" s="609"/>
      <c r="IKU58" s="609"/>
      <c r="IKV58" s="609"/>
      <c r="IKW58" s="609"/>
      <c r="IKX58" s="609"/>
      <c r="IKY58" s="609"/>
      <c r="IKZ58" s="609"/>
      <c r="ILA58" s="609"/>
      <c r="ILB58" s="609"/>
      <c r="ILC58" s="609"/>
      <c r="ILD58" s="609"/>
      <c r="ILE58" s="609"/>
      <c r="ILF58" s="609"/>
      <c r="ILG58" s="609"/>
      <c r="ILH58" s="609"/>
      <c r="ILI58" s="609"/>
      <c r="ILJ58" s="609"/>
      <c r="ILK58" s="609"/>
      <c r="ILL58" s="609"/>
      <c r="ILM58" s="609"/>
      <c r="ILN58" s="609"/>
      <c r="ILO58" s="609"/>
      <c r="ILP58" s="609"/>
      <c r="ILQ58" s="609"/>
      <c r="ILR58" s="609"/>
      <c r="ILS58" s="609"/>
      <c r="ILT58" s="609"/>
      <c r="ILU58" s="609"/>
      <c r="ILV58" s="609"/>
      <c r="ILW58" s="609"/>
      <c r="ILX58" s="609"/>
      <c r="ILY58" s="609"/>
      <c r="ILZ58" s="609"/>
      <c r="IMA58" s="609"/>
      <c r="IMB58" s="609"/>
      <c r="IMC58" s="609"/>
      <c r="IMD58" s="609"/>
      <c r="IME58" s="609"/>
      <c r="IMF58" s="609"/>
      <c r="IMG58" s="609"/>
      <c r="IMH58" s="609"/>
      <c r="IMI58" s="609"/>
      <c r="IMJ58" s="609"/>
      <c r="IMK58" s="609"/>
      <c r="IML58" s="609"/>
      <c r="IMM58" s="609"/>
      <c r="IMN58" s="609"/>
      <c r="IMO58" s="609"/>
      <c r="IMP58" s="609"/>
      <c r="IMQ58" s="609"/>
      <c r="IMR58" s="609"/>
      <c r="IMS58" s="609"/>
      <c r="IMT58" s="609"/>
      <c r="IMU58" s="609"/>
      <c r="IMV58" s="609"/>
      <c r="IMW58" s="609"/>
      <c r="IMX58" s="609"/>
      <c r="IMY58" s="609"/>
      <c r="IMZ58" s="609"/>
      <c r="INA58" s="609"/>
      <c r="INB58" s="609"/>
      <c r="INC58" s="609"/>
      <c r="IND58" s="609"/>
      <c r="INE58" s="609"/>
      <c r="INF58" s="609"/>
      <c r="ING58" s="609"/>
      <c r="INH58" s="609"/>
      <c r="INI58" s="609"/>
      <c r="INJ58" s="609"/>
      <c r="INK58" s="609"/>
      <c r="INL58" s="609"/>
      <c r="INM58" s="609"/>
      <c r="INN58" s="609"/>
      <c r="INO58" s="609"/>
      <c r="INP58" s="609"/>
      <c r="INQ58" s="609"/>
      <c r="INR58" s="609"/>
      <c r="INS58" s="609"/>
      <c r="INT58" s="609"/>
      <c r="INU58" s="609"/>
      <c r="INV58" s="609"/>
      <c r="INW58" s="609"/>
      <c r="INX58" s="609"/>
      <c r="INY58" s="609"/>
      <c r="INZ58" s="609"/>
      <c r="IOA58" s="609"/>
      <c r="IOB58" s="609"/>
      <c r="IOC58" s="609"/>
      <c r="IOD58" s="609"/>
      <c r="IOE58" s="609"/>
      <c r="IOF58" s="609"/>
      <c r="IOG58" s="609"/>
      <c r="IOH58" s="609"/>
      <c r="IOI58" s="609"/>
      <c r="IOJ58" s="609"/>
      <c r="IOK58" s="609"/>
      <c r="IOL58" s="609"/>
      <c r="IOM58" s="609"/>
      <c r="ION58" s="609"/>
      <c r="IOO58" s="609"/>
      <c r="IOP58" s="609"/>
      <c r="IOQ58" s="609"/>
      <c r="IOR58" s="609"/>
      <c r="IOS58" s="609"/>
      <c r="IOT58" s="609"/>
      <c r="IOU58" s="609"/>
      <c r="IOV58" s="609"/>
      <c r="IOW58" s="609"/>
      <c r="IOX58" s="609"/>
      <c r="IOY58" s="609"/>
      <c r="IOZ58" s="609"/>
      <c r="IPA58" s="609"/>
      <c r="IPB58" s="609"/>
      <c r="IPC58" s="609"/>
      <c r="IPD58" s="609"/>
      <c r="IPE58" s="609"/>
      <c r="IPF58" s="609"/>
      <c r="IPG58" s="609"/>
      <c r="IPH58" s="609"/>
      <c r="IPI58" s="609"/>
      <c r="IPJ58" s="609"/>
      <c r="IPK58" s="609"/>
      <c r="IPL58" s="609"/>
      <c r="IPM58" s="609"/>
      <c r="IPN58" s="609"/>
      <c r="IPO58" s="609"/>
      <c r="IPP58" s="609"/>
      <c r="IPQ58" s="609"/>
      <c r="IPR58" s="609"/>
      <c r="IPS58" s="609"/>
      <c r="IPT58" s="609"/>
      <c r="IPU58" s="609"/>
      <c r="IPV58" s="609"/>
      <c r="IPW58" s="609"/>
      <c r="IPX58" s="609"/>
      <c r="IPY58" s="609"/>
      <c r="IPZ58" s="609"/>
      <c r="IQA58" s="609"/>
      <c r="IQB58" s="609"/>
      <c r="IQC58" s="609"/>
      <c r="IQD58" s="609"/>
      <c r="IQE58" s="609"/>
      <c r="IQF58" s="609"/>
      <c r="IQG58" s="609"/>
      <c r="IQH58" s="609"/>
      <c r="IQI58" s="609"/>
      <c r="IQJ58" s="609"/>
      <c r="IQK58" s="609"/>
      <c r="IQL58" s="609"/>
      <c r="IQM58" s="609"/>
      <c r="IQN58" s="609"/>
      <c r="IQO58" s="609"/>
      <c r="IQP58" s="609"/>
      <c r="IQQ58" s="609"/>
      <c r="IQR58" s="609"/>
      <c r="IQS58" s="609"/>
      <c r="IQT58" s="609"/>
      <c r="IQU58" s="609"/>
      <c r="IQV58" s="609"/>
      <c r="IQW58" s="609"/>
      <c r="IQX58" s="609"/>
      <c r="IQY58" s="609"/>
      <c r="IQZ58" s="609"/>
      <c r="IRA58" s="609"/>
      <c r="IRB58" s="609"/>
      <c r="IRC58" s="609"/>
      <c r="IRD58" s="609"/>
      <c r="IRE58" s="609"/>
      <c r="IRF58" s="609"/>
      <c r="IRG58" s="609"/>
      <c r="IRH58" s="609"/>
      <c r="IRI58" s="609"/>
      <c r="IRJ58" s="609"/>
      <c r="IRK58" s="609"/>
      <c r="IRL58" s="609"/>
      <c r="IRM58" s="609"/>
      <c r="IRN58" s="609"/>
      <c r="IRO58" s="609"/>
      <c r="IRP58" s="609"/>
      <c r="IRQ58" s="609"/>
      <c r="IRR58" s="609"/>
      <c r="IRS58" s="609"/>
      <c r="IRT58" s="609"/>
      <c r="IRU58" s="609"/>
      <c r="IRV58" s="609"/>
      <c r="IRW58" s="609"/>
      <c r="IRX58" s="609"/>
      <c r="IRY58" s="609"/>
      <c r="IRZ58" s="609"/>
      <c r="ISA58" s="609"/>
      <c r="ISB58" s="609"/>
      <c r="ISC58" s="609"/>
      <c r="ISD58" s="609"/>
      <c r="ISE58" s="609"/>
      <c r="ISF58" s="609"/>
      <c r="ISG58" s="609"/>
      <c r="ISH58" s="609"/>
      <c r="ISI58" s="609"/>
      <c r="ISJ58" s="609"/>
      <c r="ISK58" s="609"/>
      <c r="ISL58" s="609"/>
      <c r="ISM58" s="609"/>
      <c r="ISN58" s="609"/>
      <c r="ISO58" s="609"/>
      <c r="ISP58" s="609"/>
      <c r="ISQ58" s="609"/>
      <c r="ISR58" s="609"/>
      <c r="ISS58" s="609"/>
      <c r="IST58" s="609"/>
      <c r="ISU58" s="609"/>
      <c r="ISV58" s="609"/>
      <c r="ISW58" s="609"/>
      <c r="ISX58" s="609"/>
      <c r="ISY58" s="609"/>
      <c r="ISZ58" s="609"/>
      <c r="ITA58" s="609"/>
      <c r="ITB58" s="609"/>
      <c r="ITC58" s="609"/>
      <c r="ITD58" s="609"/>
      <c r="ITE58" s="609"/>
      <c r="ITF58" s="609"/>
      <c r="ITG58" s="609"/>
      <c r="ITH58" s="609"/>
      <c r="ITI58" s="609"/>
      <c r="ITJ58" s="609"/>
      <c r="ITK58" s="609"/>
      <c r="ITL58" s="609"/>
      <c r="ITM58" s="609"/>
      <c r="ITN58" s="609"/>
      <c r="ITO58" s="609"/>
      <c r="ITP58" s="609"/>
      <c r="ITQ58" s="609"/>
      <c r="ITR58" s="609"/>
      <c r="ITS58" s="609"/>
      <c r="ITT58" s="609"/>
      <c r="ITU58" s="609"/>
      <c r="ITV58" s="609"/>
      <c r="ITW58" s="609"/>
      <c r="ITX58" s="609"/>
      <c r="ITY58" s="609"/>
      <c r="ITZ58" s="609"/>
      <c r="IUA58" s="609"/>
      <c r="IUB58" s="609"/>
      <c r="IUC58" s="609"/>
      <c r="IUD58" s="609"/>
      <c r="IUE58" s="609"/>
      <c r="IUF58" s="609"/>
      <c r="IUG58" s="609"/>
      <c r="IUH58" s="609"/>
      <c r="IUI58" s="609"/>
      <c r="IUJ58" s="609"/>
      <c r="IUK58" s="609"/>
      <c r="IUL58" s="609"/>
      <c r="IUM58" s="609"/>
      <c r="IUN58" s="609"/>
      <c r="IUO58" s="609"/>
      <c r="IUP58" s="609"/>
      <c r="IUQ58" s="609"/>
      <c r="IUR58" s="609"/>
      <c r="IUS58" s="609"/>
      <c r="IUT58" s="609"/>
      <c r="IUU58" s="609"/>
      <c r="IUV58" s="609"/>
      <c r="IUW58" s="609"/>
      <c r="IUX58" s="609"/>
      <c r="IUY58" s="609"/>
      <c r="IUZ58" s="609"/>
      <c r="IVA58" s="609"/>
      <c r="IVB58" s="609"/>
      <c r="IVC58" s="609"/>
      <c r="IVD58" s="609"/>
      <c r="IVE58" s="609"/>
      <c r="IVF58" s="609"/>
      <c r="IVG58" s="609"/>
      <c r="IVH58" s="609"/>
      <c r="IVI58" s="609"/>
      <c r="IVJ58" s="609"/>
      <c r="IVK58" s="609"/>
      <c r="IVL58" s="609"/>
      <c r="IVM58" s="609"/>
      <c r="IVN58" s="609"/>
      <c r="IVO58" s="609"/>
      <c r="IVP58" s="609"/>
      <c r="IVQ58" s="609"/>
      <c r="IVR58" s="609"/>
      <c r="IVS58" s="609"/>
      <c r="IVT58" s="609"/>
      <c r="IVU58" s="609"/>
      <c r="IVV58" s="609"/>
      <c r="IVW58" s="609"/>
      <c r="IVX58" s="609"/>
      <c r="IVY58" s="609"/>
      <c r="IVZ58" s="609"/>
      <c r="IWA58" s="609"/>
      <c r="IWB58" s="609"/>
      <c r="IWC58" s="609"/>
      <c r="IWD58" s="609"/>
      <c r="IWE58" s="609"/>
      <c r="IWF58" s="609"/>
      <c r="IWG58" s="609"/>
      <c r="IWH58" s="609"/>
      <c r="IWI58" s="609"/>
      <c r="IWJ58" s="609"/>
      <c r="IWK58" s="609"/>
      <c r="IWL58" s="609"/>
      <c r="IWM58" s="609"/>
      <c r="IWN58" s="609"/>
      <c r="IWO58" s="609"/>
      <c r="IWP58" s="609"/>
      <c r="IWQ58" s="609"/>
      <c r="IWR58" s="609"/>
      <c r="IWS58" s="609"/>
      <c r="IWT58" s="609"/>
      <c r="IWU58" s="609"/>
      <c r="IWV58" s="609"/>
      <c r="IWW58" s="609"/>
      <c r="IWX58" s="609"/>
      <c r="IWY58" s="609"/>
      <c r="IWZ58" s="609"/>
      <c r="IXA58" s="609"/>
      <c r="IXB58" s="609"/>
      <c r="IXC58" s="609"/>
      <c r="IXD58" s="609"/>
      <c r="IXE58" s="609"/>
      <c r="IXF58" s="609"/>
      <c r="IXG58" s="609"/>
      <c r="IXH58" s="609"/>
      <c r="IXI58" s="609"/>
      <c r="IXJ58" s="609"/>
      <c r="IXK58" s="609"/>
      <c r="IXL58" s="609"/>
      <c r="IXM58" s="609"/>
      <c r="IXN58" s="609"/>
      <c r="IXO58" s="609"/>
      <c r="IXP58" s="609"/>
      <c r="IXQ58" s="609"/>
      <c r="IXR58" s="609"/>
      <c r="IXS58" s="609"/>
      <c r="IXT58" s="609"/>
      <c r="IXU58" s="609"/>
      <c r="IXV58" s="609"/>
      <c r="IXW58" s="609"/>
      <c r="IXX58" s="609"/>
      <c r="IXY58" s="609"/>
      <c r="IXZ58" s="609"/>
      <c r="IYA58" s="609"/>
      <c r="IYB58" s="609"/>
      <c r="IYC58" s="609"/>
      <c r="IYD58" s="609"/>
      <c r="IYE58" s="609"/>
      <c r="IYF58" s="609"/>
      <c r="IYG58" s="609"/>
      <c r="IYH58" s="609"/>
      <c r="IYI58" s="609"/>
      <c r="IYJ58" s="609"/>
      <c r="IYK58" s="609"/>
      <c r="IYL58" s="609"/>
      <c r="IYM58" s="609"/>
      <c r="IYN58" s="609"/>
      <c r="IYO58" s="609"/>
      <c r="IYP58" s="609"/>
      <c r="IYQ58" s="609"/>
      <c r="IYR58" s="609"/>
      <c r="IYS58" s="609"/>
      <c r="IYT58" s="609"/>
      <c r="IYU58" s="609"/>
      <c r="IYV58" s="609"/>
      <c r="IYW58" s="609"/>
      <c r="IYX58" s="609"/>
      <c r="IYY58" s="609"/>
      <c r="IYZ58" s="609"/>
      <c r="IZA58" s="609"/>
      <c r="IZB58" s="609"/>
      <c r="IZC58" s="609"/>
      <c r="IZD58" s="609"/>
      <c r="IZE58" s="609"/>
      <c r="IZF58" s="609"/>
      <c r="IZG58" s="609"/>
      <c r="IZH58" s="609"/>
      <c r="IZI58" s="609"/>
      <c r="IZJ58" s="609"/>
      <c r="IZK58" s="609"/>
      <c r="IZL58" s="609"/>
      <c r="IZM58" s="609"/>
      <c r="IZN58" s="609"/>
      <c r="IZO58" s="609"/>
      <c r="IZP58" s="609"/>
      <c r="IZQ58" s="609"/>
      <c r="IZR58" s="609"/>
      <c r="IZS58" s="609"/>
      <c r="IZT58" s="609"/>
      <c r="IZU58" s="609"/>
      <c r="IZV58" s="609"/>
      <c r="IZW58" s="609"/>
      <c r="IZX58" s="609"/>
      <c r="IZY58" s="609"/>
      <c r="IZZ58" s="609"/>
      <c r="JAA58" s="609"/>
      <c r="JAB58" s="609"/>
      <c r="JAC58" s="609"/>
      <c r="JAD58" s="609"/>
      <c r="JAE58" s="609"/>
      <c r="JAF58" s="609"/>
      <c r="JAG58" s="609"/>
      <c r="JAH58" s="609"/>
      <c r="JAI58" s="609"/>
      <c r="JAJ58" s="609"/>
      <c r="JAK58" s="609"/>
      <c r="JAL58" s="609"/>
      <c r="JAM58" s="609"/>
      <c r="JAN58" s="609"/>
      <c r="JAO58" s="609"/>
      <c r="JAP58" s="609"/>
      <c r="JAQ58" s="609"/>
      <c r="JAR58" s="609"/>
      <c r="JAS58" s="609"/>
      <c r="JAT58" s="609"/>
      <c r="JAU58" s="609"/>
      <c r="JAV58" s="609"/>
      <c r="JAW58" s="609"/>
      <c r="JAX58" s="609"/>
      <c r="JAY58" s="609"/>
      <c r="JAZ58" s="609"/>
      <c r="JBA58" s="609"/>
      <c r="JBB58" s="609"/>
      <c r="JBC58" s="609"/>
      <c r="JBD58" s="609"/>
      <c r="JBE58" s="609"/>
      <c r="JBF58" s="609"/>
      <c r="JBG58" s="609"/>
      <c r="JBH58" s="609"/>
      <c r="JBI58" s="609"/>
      <c r="JBJ58" s="609"/>
      <c r="JBK58" s="609"/>
      <c r="JBL58" s="609"/>
      <c r="JBM58" s="609"/>
      <c r="JBN58" s="609"/>
      <c r="JBO58" s="609"/>
      <c r="JBP58" s="609"/>
      <c r="JBQ58" s="609"/>
      <c r="JBR58" s="609"/>
      <c r="JBS58" s="609"/>
      <c r="JBT58" s="609"/>
      <c r="JBU58" s="609"/>
      <c r="JBV58" s="609"/>
      <c r="JBW58" s="609"/>
      <c r="JBX58" s="609"/>
      <c r="JBY58" s="609"/>
      <c r="JBZ58" s="609"/>
      <c r="JCA58" s="609"/>
      <c r="JCB58" s="609"/>
      <c r="JCC58" s="609"/>
      <c r="JCD58" s="609"/>
      <c r="JCE58" s="609"/>
      <c r="JCF58" s="609"/>
      <c r="JCG58" s="609"/>
      <c r="JCH58" s="609"/>
      <c r="JCI58" s="609"/>
      <c r="JCJ58" s="609"/>
      <c r="JCK58" s="609"/>
      <c r="JCL58" s="609"/>
      <c r="JCM58" s="609"/>
      <c r="JCN58" s="609"/>
      <c r="JCO58" s="609"/>
      <c r="JCP58" s="609"/>
      <c r="JCQ58" s="609"/>
      <c r="JCR58" s="609"/>
      <c r="JCS58" s="609"/>
      <c r="JCT58" s="609"/>
      <c r="JCU58" s="609"/>
      <c r="JCV58" s="609"/>
      <c r="JCW58" s="609"/>
      <c r="JCX58" s="609"/>
      <c r="JCY58" s="609"/>
      <c r="JCZ58" s="609"/>
      <c r="JDA58" s="609"/>
      <c r="JDB58" s="609"/>
      <c r="JDC58" s="609"/>
      <c r="JDD58" s="609"/>
      <c r="JDE58" s="609"/>
      <c r="JDF58" s="609"/>
      <c r="JDG58" s="609"/>
      <c r="JDH58" s="609"/>
      <c r="JDI58" s="609"/>
      <c r="JDJ58" s="609"/>
      <c r="JDK58" s="609"/>
      <c r="JDL58" s="609"/>
      <c r="JDM58" s="609"/>
      <c r="JDN58" s="609"/>
      <c r="JDO58" s="609"/>
      <c r="JDP58" s="609"/>
      <c r="JDQ58" s="609"/>
      <c r="JDR58" s="609"/>
      <c r="JDS58" s="609"/>
      <c r="JDT58" s="609"/>
      <c r="JDU58" s="609"/>
      <c r="JDV58" s="609"/>
      <c r="JDW58" s="609"/>
      <c r="JDX58" s="609"/>
      <c r="JDY58" s="609"/>
      <c r="JDZ58" s="609"/>
      <c r="JEA58" s="609"/>
      <c r="JEB58" s="609"/>
      <c r="JEC58" s="609"/>
      <c r="JED58" s="609"/>
      <c r="JEE58" s="609"/>
      <c r="JEF58" s="609"/>
      <c r="JEG58" s="609"/>
      <c r="JEH58" s="609"/>
      <c r="JEI58" s="609"/>
      <c r="JEJ58" s="609"/>
      <c r="JEK58" s="609"/>
      <c r="JEL58" s="609"/>
      <c r="JEM58" s="609"/>
      <c r="JEN58" s="609"/>
      <c r="JEO58" s="609"/>
      <c r="JEP58" s="609"/>
      <c r="JEQ58" s="609"/>
      <c r="JER58" s="609"/>
      <c r="JES58" s="609"/>
      <c r="JET58" s="609"/>
      <c r="JEU58" s="609"/>
      <c r="JEV58" s="609"/>
      <c r="JEW58" s="609"/>
      <c r="JEX58" s="609"/>
      <c r="JEY58" s="609"/>
      <c r="JEZ58" s="609"/>
      <c r="JFA58" s="609"/>
      <c r="JFB58" s="609"/>
      <c r="JFC58" s="609"/>
      <c r="JFD58" s="609"/>
      <c r="JFE58" s="609"/>
      <c r="JFF58" s="609"/>
      <c r="JFG58" s="609"/>
      <c r="JFH58" s="609"/>
      <c r="JFI58" s="609"/>
      <c r="JFJ58" s="609"/>
      <c r="JFK58" s="609"/>
      <c r="JFL58" s="609"/>
      <c r="JFM58" s="609"/>
      <c r="JFN58" s="609"/>
      <c r="JFO58" s="609"/>
      <c r="JFP58" s="609"/>
      <c r="JFQ58" s="609"/>
      <c r="JFR58" s="609"/>
      <c r="JFS58" s="609"/>
      <c r="JFT58" s="609"/>
      <c r="JFU58" s="609"/>
      <c r="JFV58" s="609"/>
      <c r="JFW58" s="609"/>
      <c r="JFX58" s="609"/>
      <c r="JFY58" s="609"/>
      <c r="JFZ58" s="609"/>
      <c r="JGA58" s="609"/>
      <c r="JGB58" s="609"/>
      <c r="JGC58" s="609"/>
      <c r="JGD58" s="609"/>
      <c r="JGE58" s="609"/>
      <c r="JGF58" s="609"/>
      <c r="JGG58" s="609"/>
      <c r="JGH58" s="609"/>
      <c r="JGI58" s="609"/>
      <c r="JGJ58" s="609"/>
      <c r="JGK58" s="609"/>
      <c r="JGL58" s="609"/>
      <c r="JGM58" s="609"/>
      <c r="JGN58" s="609"/>
      <c r="JGO58" s="609"/>
      <c r="JGP58" s="609"/>
      <c r="JGQ58" s="609"/>
      <c r="JGR58" s="609"/>
      <c r="JGS58" s="609"/>
      <c r="JGT58" s="609"/>
      <c r="JGU58" s="609"/>
      <c r="JGV58" s="609"/>
      <c r="JGW58" s="609"/>
      <c r="JGX58" s="609"/>
      <c r="JGY58" s="609"/>
      <c r="JGZ58" s="609"/>
      <c r="JHA58" s="609"/>
      <c r="JHB58" s="609"/>
      <c r="JHC58" s="609"/>
      <c r="JHD58" s="609"/>
      <c r="JHE58" s="609"/>
      <c r="JHF58" s="609"/>
      <c r="JHG58" s="609"/>
      <c r="JHH58" s="609"/>
      <c r="JHI58" s="609"/>
      <c r="JHJ58" s="609"/>
      <c r="JHK58" s="609"/>
      <c r="JHL58" s="609"/>
      <c r="JHM58" s="609"/>
      <c r="JHN58" s="609"/>
      <c r="JHO58" s="609"/>
      <c r="JHP58" s="609"/>
      <c r="JHQ58" s="609"/>
      <c r="JHR58" s="609"/>
      <c r="JHS58" s="609"/>
      <c r="JHT58" s="609"/>
      <c r="JHU58" s="609"/>
      <c r="JHV58" s="609"/>
      <c r="JHW58" s="609"/>
      <c r="JHX58" s="609"/>
      <c r="JHY58" s="609"/>
      <c r="JHZ58" s="609"/>
      <c r="JIA58" s="609"/>
      <c r="JIB58" s="609"/>
      <c r="JIC58" s="609"/>
      <c r="JID58" s="609"/>
      <c r="JIE58" s="609"/>
      <c r="JIF58" s="609"/>
      <c r="JIG58" s="609"/>
      <c r="JIH58" s="609"/>
      <c r="JII58" s="609"/>
      <c r="JIJ58" s="609"/>
      <c r="JIK58" s="609"/>
      <c r="JIL58" s="609"/>
      <c r="JIM58" s="609"/>
      <c r="JIN58" s="609"/>
      <c r="JIO58" s="609"/>
      <c r="JIP58" s="609"/>
      <c r="JIQ58" s="609"/>
      <c r="JIR58" s="609"/>
      <c r="JIS58" s="609"/>
      <c r="JIT58" s="609"/>
      <c r="JIU58" s="609"/>
      <c r="JIV58" s="609"/>
      <c r="JIW58" s="609"/>
      <c r="JIX58" s="609"/>
      <c r="JIY58" s="609"/>
      <c r="JIZ58" s="609"/>
      <c r="JJA58" s="609"/>
      <c r="JJB58" s="609"/>
      <c r="JJC58" s="609"/>
      <c r="JJD58" s="609"/>
      <c r="JJE58" s="609"/>
      <c r="JJF58" s="609"/>
      <c r="JJG58" s="609"/>
      <c r="JJH58" s="609"/>
      <c r="JJI58" s="609"/>
      <c r="JJJ58" s="609"/>
      <c r="JJK58" s="609"/>
      <c r="JJL58" s="609"/>
      <c r="JJM58" s="609"/>
      <c r="JJN58" s="609"/>
      <c r="JJO58" s="609"/>
      <c r="JJP58" s="609"/>
      <c r="JJQ58" s="609"/>
      <c r="JJR58" s="609"/>
      <c r="JJS58" s="609"/>
      <c r="JJT58" s="609"/>
      <c r="JJU58" s="609"/>
      <c r="JJV58" s="609"/>
      <c r="JJW58" s="609"/>
      <c r="JJX58" s="609"/>
      <c r="JJY58" s="609"/>
      <c r="JJZ58" s="609"/>
      <c r="JKA58" s="609"/>
      <c r="JKB58" s="609"/>
      <c r="JKC58" s="609"/>
      <c r="JKD58" s="609"/>
      <c r="JKE58" s="609"/>
      <c r="JKF58" s="609"/>
      <c r="JKG58" s="609"/>
      <c r="JKH58" s="609"/>
      <c r="JKI58" s="609"/>
      <c r="JKJ58" s="609"/>
      <c r="JKK58" s="609"/>
      <c r="JKL58" s="609"/>
      <c r="JKM58" s="609"/>
      <c r="JKN58" s="609"/>
      <c r="JKO58" s="609"/>
      <c r="JKP58" s="609"/>
      <c r="JKQ58" s="609"/>
      <c r="JKR58" s="609"/>
      <c r="JKS58" s="609"/>
      <c r="JKT58" s="609"/>
      <c r="JKU58" s="609"/>
      <c r="JKV58" s="609"/>
      <c r="JKW58" s="609"/>
      <c r="JKX58" s="609"/>
      <c r="JKY58" s="609"/>
      <c r="JKZ58" s="609"/>
      <c r="JLA58" s="609"/>
      <c r="JLB58" s="609"/>
      <c r="JLC58" s="609"/>
      <c r="JLD58" s="609"/>
      <c r="JLE58" s="609"/>
      <c r="JLF58" s="609"/>
      <c r="JLG58" s="609"/>
      <c r="JLH58" s="609"/>
      <c r="JLI58" s="609"/>
      <c r="JLJ58" s="609"/>
      <c r="JLK58" s="609"/>
      <c r="JLL58" s="609"/>
      <c r="JLM58" s="609"/>
      <c r="JLN58" s="609"/>
      <c r="JLO58" s="609"/>
      <c r="JLP58" s="609"/>
      <c r="JLQ58" s="609"/>
      <c r="JLR58" s="609"/>
      <c r="JLS58" s="609"/>
      <c r="JLT58" s="609"/>
      <c r="JLU58" s="609"/>
      <c r="JLV58" s="609"/>
      <c r="JLW58" s="609"/>
      <c r="JLX58" s="609"/>
      <c r="JLY58" s="609"/>
      <c r="JLZ58" s="609"/>
      <c r="JMA58" s="609"/>
      <c r="JMB58" s="609"/>
      <c r="JMC58" s="609"/>
      <c r="JMD58" s="609"/>
      <c r="JME58" s="609"/>
      <c r="JMF58" s="609"/>
      <c r="JMG58" s="609"/>
      <c r="JMH58" s="609"/>
      <c r="JMI58" s="609"/>
      <c r="JMJ58" s="609"/>
      <c r="JMK58" s="609"/>
      <c r="JML58" s="609"/>
      <c r="JMM58" s="609"/>
      <c r="JMN58" s="609"/>
      <c r="JMO58" s="609"/>
      <c r="JMP58" s="609"/>
      <c r="JMQ58" s="609"/>
      <c r="JMR58" s="609"/>
      <c r="JMS58" s="609"/>
      <c r="JMT58" s="609"/>
      <c r="JMU58" s="609"/>
      <c r="JMV58" s="609"/>
      <c r="JMW58" s="609"/>
      <c r="JMX58" s="609"/>
      <c r="JMY58" s="609"/>
      <c r="JMZ58" s="609"/>
      <c r="JNA58" s="609"/>
      <c r="JNB58" s="609"/>
      <c r="JNC58" s="609"/>
      <c r="JND58" s="609"/>
      <c r="JNE58" s="609"/>
      <c r="JNF58" s="609"/>
      <c r="JNG58" s="609"/>
      <c r="JNH58" s="609"/>
      <c r="JNI58" s="609"/>
      <c r="JNJ58" s="609"/>
      <c r="JNK58" s="609"/>
      <c r="JNL58" s="609"/>
      <c r="JNM58" s="609"/>
      <c r="JNN58" s="609"/>
      <c r="JNO58" s="609"/>
      <c r="JNP58" s="609"/>
      <c r="JNQ58" s="609"/>
      <c r="JNR58" s="609"/>
      <c r="JNS58" s="609"/>
      <c r="JNT58" s="609"/>
      <c r="JNU58" s="609"/>
      <c r="JNV58" s="609"/>
      <c r="JNW58" s="609"/>
      <c r="JNX58" s="609"/>
      <c r="JNY58" s="609"/>
      <c r="JNZ58" s="609"/>
      <c r="JOA58" s="609"/>
      <c r="JOB58" s="609"/>
      <c r="JOC58" s="609"/>
      <c r="JOD58" s="609"/>
      <c r="JOE58" s="609"/>
      <c r="JOF58" s="609"/>
      <c r="JOG58" s="609"/>
      <c r="JOH58" s="609"/>
      <c r="JOI58" s="609"/>
      <c r="JOJ58" s="609"/>
      <c r="JOK58" s="609"/>
      <c r="JOL58" s="609"/>
      <c r="JOM58" s="609"/>
      <c r="JON58" s="609"/>
      <c r="JOO58" s="609"/>
      <c r="JOP58" s="609"/>
      <c r="JOQ58" s="609"/>
      <c r="JOR58" s="609"/>
      <c r="JOS58" s="609"/>
      <c r="JOT58" s="609"/>
      <c r="JOU58" s="609"/>
      <c r="JOV58" s="609"/>
      <c r="JOW58" s="609"/>
      <c r="JOX58" s="609"/>
      <c r="JOY58" s="609"/>
      <c r="JOZ58" s="609"/>
      <c r="JPA58" s="609"/>
      <c r="JPB58" s="609"/>
      <c r="JPC58" s="609"/>
      <c r="JPD58" s="609"/>
      <c r="JPE58" s="609"/>
      <c r="JPF58" s="609"/>
      <c r="JPG58" s="609"/>
      <c r="JPH58" s="609"/>
      <c r="JPI58" s="609"/>
      <c r="JPJ58" s="609"/>
      <c r="JPK58" s="609"/>
      <c r="JPL58" s="609"/>
      <c r="JPM58" s="609"/>
      <c r="JPN58" s="609"/>
      <c r="JPO58" s="609"/>
      <c r="JPP58" s="609"/>
      <c r="JPQ58" s="609"/>
      <c r="JPR58" s="609"/>
      <c r="JPS58" s="609"/>
      <c r="JPT58" s="609"/>
      <c r="JPU58" s="609"/>
      <c r="JPV58" s="609"/>
      <c r="JPW58" s="609"/>
      <c r="JPX58" s="609"/>
      <c r="JPY58" s="609"/>
      <c r="JPZ58" s="609"/>
      <c r="JQA58" s="609"/>
      <c r="JQB58" s="609"/>
      <c r="JQC58" s="609"/>
      <c r="JQD58" s="609"/>
      <c r="JQE58" s="609"/>
      <c r="JQF58" s="609"/>
      <c r="JQG58" s="609"/>
      <c r="JQH58" s="609"/>
      <c r="JQI58" s="609"/>
      <c r="JQJ58" s="609"/>
      <c r="JQK58" s="609"/>
      <c r="JQL58" s="609"/>
      <c r="JQM58" s="609"/>
      <c r="JQN58" s="609"/>
      <c r="JQO58" s="609"/>
      <c r="JQP58" s="609"/>
      <c r="JQQ58" s="609"/>
      <c r="JQR58" s="609"/>
      <c r="JQS58" s="609"/>
      <c r="JQT58" s="609"/>
      <c r="JQU58" s="609"/>
      <c r="JQV58" s="609"/>
      <c r="JQW58" s="609"/>
      <c r="JQX58" s="609"/>
      <c r="JQY58" s="609"/>
      <c r="JQZ58" s="609"/>
      <c r="JRA58" s="609"/>
      <c r="JRB58" s="609"/>
      <c r="JRC58" s="609"/>
      <c r="JRD58" s="609"/>
      <c r="JRE58" s="609"/>
      <c r="JRF58" s="609"/>
      <c r="JRG58" s="609"/>
      <c r="JRH58" s="609"/>
      <c r="JRI58" s="609"/>
      <c r="JRJ58" s="609"/>
      <c r="JRK58" s="609"/>
      <c r="JRL58" s="609"/>
      <c r="JRM58" s="609"/>
      <c r="JRN58" s="609"/>
      <c r="JRO58" s="609"/>
      <c r="JRP58" s="609"/>
      <c r="JRQ58" s="609"/>
      <c r="JRR58" s="609"/>
      <c r="JRS58" s="609"/>
      <c r="JRT58" s="609"/>
      <c r="JRU58" s="609"/>
      <c r="JRV58" s="609"/>
      <c r="JRW58" s="609"/>
      <c r="JRX58" s="609"/>
      <c r="JRY58" s="609"/>
      <c r="JRZ58" s="609"/>
      <c r="JSA58" s="609"/>
      <c r="JSB58" s="609"/>
      <c r="JSC58" s="609"/>
      <c r="JSD58" s="609"/>
      <c r="JSE58" s="609"/>
      <c r="JSF58" s="609"/>
      <c r="JSG58" s="609"/>
      <c r="JSH58" s="609"/>
      <c r="JSI58" s="609"/>
      <c r="JSJ58" s="609"/>
      <c r="JSK58" s="609"/>
      <c r="JSL58" s="609"/>
      <c r="JSM58" s="609"/>
      <c r="JSN58" s="609"/>
      <c r="JSO58" s="609"/>
      <c r="JSP58" s="609"/>
      <c r="JSQ58" s="609"/>
      <c r="JSR58" s="609"/>
      <c r="JSS58" s="609"/>
      <c r="JST58" s="609"/>
      <c r="JSU58" s="609"/>
      <c r="JSV58" s="609"/>
      <c r="JSW58" s="609"/>
      <c r="JSX58" s="609"/>
      <c r="JSY58" s="609"/>
      <c r="JSZ58" s="609"/>
      <c r="JTA58" s="609"/>
      <c r="JTB58" s="609"/>
      <c r="JTC58" s="609"/>
      <c r="JTD58" s="609"/>
      <c r="JTE58" s="609"/>
      <c r="JTF58" s="609"/>
      <c r="JTG58" s="609"/>
      <c r="JTH58" s="609"/>
      <c r="JTI58" s="609"/>
      <c r="JTJ58" s="609"/>
      <c r="JTK58" s="609"/>
      <c r="JTL58" s="609"/>
      <c r="JTM58" s="609"/>
      <c r="JTN58" s="609"/>
      <c r="JTO58" s="609"/>
      <c r="JTP58" s="609"/>
      <c r="JTQ58" s="609"/>
      <c r="JTR58" s="609"/>
      <c r="JTS58" s="609"/>
      <c r="JTT58" s="609"/>
      <c r="JTU58" s="609"/>
      <c r="JTV58" s="609"/>
      <c r="JTW58" s="609"/>
      <c r="JTX58" s="609"/>
      <c r="JTY58" s="609"/>
      <c r="JTZ58" s="609"/>
      <c r="JUA58" s="609"/>
      <c r="JUB58" s="609"/>
      <c r="JUC58" s="609"/>
      <c r="JUD58" s="609"/>
      <c r="JUE58" s="609"/>
      <c r="JUF58" s="609"/>
      <c r="JUG58" s="609"/>
      <c r="JUH58" s="609"/>
      <c r="JUI58" s="609"/>
      <c r="JUJ58" s="609"/>
      <c r="JUK58" s="609"/>
      <c r="JUL58" s="609"/>
      <c r="JUM58" s="609"/>
      <c r="JUN58" s="609"/>
      <c r="JUO58" s="609"/>
      <c r="JUP58" s="609"/>
      <c r="JUQ58" s="609"/>
      <c r="JUR58" s="609"/>
      <c r="JUS58" s="609"/>
      <c r="JUT58" s="609"/>
      <c r="JUU58" s="609"/>
      <c r="JUV58" s="609"/>
      <c r="JUW58" s="609"/>
      <c r="JUX58" s="609"/>
      <c r="JUY58" s="609"/>
      <c r="JUZ58" s="609"/>
      <c r="JVA58" s="609"/>
      <c r="JVB58" s="609"/>
      <c r="JVC58" s="609"/>
      <c r="JVD58" s="609"/>
      <c r="JVE58" s="609"/>
      <c r="JVF58" s="609"/>
      <c r="JVG58" s="609"/>
      <c r="JVH58" s="609"/>
      <c r="JVI58" s="609"/>
      <c r="JVJ58" s="609"/>
      <c r="JVK58" s="609"/>
      <c r="JVL58" s="609"/>
      <c r="JVM58" s="609"/>
      <c r="JVN58" s="609"/>
      <c r="JVO58" s="609"/>
      <c r="JVP58" s="609"/>
      <c r="JVQ58" s="609"/>
      <c r="JVR58" s="609"/>
      <c r="JVS58" s="609"/>
      <c r="JVT58" s="609"/>
      <c r="JVU58" s="609"/>
      <c r="JVV58" s="609"/>
      <c r="JVW58" s="609"/>
      <c r="JVX58" s="609"/>
      <c r="JVY58" s="609"/>
      <c r="JVZ58" s="609"/>
      <c r="JWA58" s="609"/>
      <c r="JWB58" s="609"/>
      <c r="JWC58" s="609"/>
      <c r="JWD58" s="609"/>
      <c r="JWE58" s="609"/>
      <c r="JWF58" s="609"/>
      <c r="JWG58" s="609"/>
      <c r="JWH58" s="609"/>
      <c r="JWI58" s="609"/>
      <c r="JWJ58" s="609"/>
      <c r="JWK58" s="609"/>
      <c r="JWL58" s="609"/>
      <c r="JWM58" s="609"/>
      <c r="JWN58" s="609"/>
      <c r="JWO58" s="609"/>
      <c r="JWP58" s="609"/>
      <c r="JWQ58" s="609"/>
      <c r="JWR58" s="609"/>
      <c r="JWS58" s="609"/>
      <c r="JWT58" s="609"/>
      <c r="JWU58" s="609"/>
      <c r="JWV58" s="609"/>
      <c r="JWW58" s="609"/>
      <c r="JWX58" s="609"/>
      <c r="JWY58" s="609"/>
      <c r="JWZ58" s="609"/>
      <c r="JXA58" s="609"/>
      <c r="JXB58" s="609"/>
      <c r="JXC58" s="609"/>
      <c r="JXD58" s="609"/>
      <c r="JXE58" s="609"/>
      <c r="JXF58" s="609"/>
      <c r="JXG58" s="609"/>
      <c r="JXH58" s="609"/>
      <c r="JXI58" s="609"/>
      <c r="JXJ58" s="609"/>
      <c r="JXK58" s="609"/>
      <c r="JXL58" s="609"/>
      <c r="JXM58" s="609"/>
      <c r="JXN58" s="609"/>
      <c r="JXO58" s="609"/>
      <c r="JXP58" s="609"/>
      <c r="JXQ58" s="609"/>
      <c r="JXR58" s="609"/>
      <c r="JXS58" s="609"/>
      <c r="JXT58" s="609"/>
      <c r="JXU58" s="609"/>
      <c r="JXV58" s="609"/>
      <c r="JXW58" s="609"/>
      <c r="JXX58" s="609"/>
      <c r="JXY58" s="609"/>
      <c r="JXZ58" s="609"/>
      <c r="JYA58" s="609"/>
      <c r="JYB58" s="609"/>
      <c r="JYC58" s="609"/>
      <c r="JYD58" s="609"/>
      <c r="JYE58" s="609"/>
      <c r="JYF58" s="609"/>
      <c r="JYG58" s="609"/>
      <c r="JYH58" s="609"/>
      <c r="JYI58" s="609"/>
      <c r="JYJ58" s="609"/>
      <c r="JYK58" s="609"/>
      <c r="JYL58" s="609"/>
      <c r="JYM58" s="609"/>
      <c r="JYN58" s="609"/>
      <c r="JYO58" s="609"/>
      <c r="JYP58" s="609"/>
      <c r="JYQ58" s="609"/>
      <c r="JYR58" s="609"/>
      <c r="JYS58" s="609"/>
      <c r="JYT58" s="609"/>
      <c r="JYU58" s="609"/>
      <c r="JYV58" s="609"/>
      <c r="JYW58" s="609"/>
      <c r="JYX58" s="609"/>
      <c r="JYY58" s="609"/>
      <c r="JYZ58" s="609"/>
      <c r="JZA58" s="609"/>
      <c r="JZB58" s="609"/>
      <c r="JZC58" s="609"/>
      <c r="JZD58" s="609"/>
      <c r="JZE58" s="609"/>
      <c r="JZF58" s="609"/>
      <c r="JZG58" s="609"/>
      <c r="JZH58" s="609"/>
      <c r="JZI58" s="609"/>
      <c r="JZJ58" s="609"/>
      <c r="JZK58" s="609"/>
      <c r="JZL58" s="609"/>
      <c r="JZM58" s="609"/>
      <c r="JZN58" s="609"/>
      <c r="JZO58" s="609"/>
      <c r="JZP58" s="609"/>
      <c r="JZQ58" s="609"/>
      <c r="JZR58" s="609"/>
      <c r="JZS58" s="609"/>
      <c r="JZT58" s="609"/>
      <c r="JZU58" s="609"/>
      <c r="JZV58" s="609"/>
      <c r="JZW58" s="609"/>
      <c r="JZX58" s="609"/>
      <c r="JZY58" s="609"/>
      <c r="JZZ58" s="609"/>
      <c r="KAA58" s="609"/>
      <c r="KAB58" s="609"/>
      <c r="KAC58" s="609"/>
      <c r="KAD58" s="609"/>
      <c r="KAE58" s="609"/>
      <c r="KAF58" s="609"/>
      <c r="KAG58" s="609"/>
      <c r="KAH58" s="609"/>
      <c r="KAI58" s="609"/>
      <c r="KAJ58" s="609"/>
      <c r="KAK58" s="609"/>
      <c r="KAL58" s="609"/>
      <c r="KAM58" s="609"/>
      <c r="KAN58" s="609"/>
      <c r="KAO58" s="609"/>
      <c r="KAP58" s="609"/>
      <c r="KAQ58" s="609"/>
      <c r="KAR58" s="609"/>
      <c r="KAS58" s="609"/>
      <c r="KAT58" s="609"/>
      <c r="KAU58" s="609"/>
      <c r="KAV58" s="609"/>
      <c r="KAW58" s="609"/>
      <c r="KAX58" s="609"/>
      <c r="KAY58" s="609"/>
      <c r="KAZ58" s="609"/>
      <c r="KBA58" s="609"/>
      <c r="KBB58" s="609"/>
      <c r="KBC58" s="609"/>
      <c r="KBD58" s="609"/>
      <c r="KBE58" s="609"/>
      <c r="KBF58" s="609"/>
      <c r="KBG58" s="609"/>
      <c r="KBH58" s="609"/>
      <c r="KBI58" s="609"/>
      <c r="KBJ58" s="609"/>
      <c r="KBK58" s="609"/>
      <c r="KBL58" s="609"/>
      <c r="KBM58" s="609"/>
      <c r="KBN58" s="609"/>
      <c r="KBO58" s="609"/>
      <c r="KBP58" s="609"/>
      <c r="KBQ58" s="609"/>
      <c r="KBR58" s="609"/>
      <c r="KBS58" s="609"/>
      <c r="KBT58" s="609"/>
      <c r="KBU58" s="609"/>
      <c r="KBV58" s="609"/>
      <c r="KBW58" s="609"/>
      <c r="KBX58" s="609"/>
      <c r="KBY58" s="609"/>
      <c r="KBZ58" s="609"/>
      <c r="KCA58" s="609"/>
      <c r="KCB58" s="609"/>
      <c r="KCC58" s="609"/>
      <c r="KCD58" s="609"/>
      <c r="KCE58" s="609"/>
      <c r="KCF58" s="609"/>
      <c r="KCG58" s="609"/>
      <c r="KCH58" s="609"/>
      <c r="KCI58" s="609"/>
      <c r="KCJ58" s="609"/>
      <c r="KCK58" s="609"/>
      <c r="KCL58" s="609"/>
      <c r="KCM58" s="609"/>
      <c r="KCN58" s="609"/>
      <c r="KCO58" s="609"/>
      <c r="KCP58" s="609"/>
      <c r="KCQ58" s="609"/>
      <c r="KCR58" s="609"/>
      <c r="KCS58" s="609"/>
      <c r="KCT58" s="609"/>
      <c r="KCU58" s="609"/>
      <c r="KCV58" s="609"/>
      <c r="KCW58" s="609"/>
      <c r="KCX58" s="609"/>
      <c r="KCY58" s="609"/>
      <c r="KCZ58" s="609"/>
      <c r="KDA58" s="609"/>
      <c r="KDB58" s="609"/>
      <c r="KDC58" s="609"/>
      <c r="KDD58" s="609"/>
      <c r="KDE58" s="609"/>
      <c r="KDF58" s="609"/>
      <c r="KDG58" s="609"/>
      <c r="KDH58" s="609"/>
      <c r="KDI58" s="609"/>
      <c r="KDJ58" s="609"/>
      <c r="KDK58" s="609"/>
      <c r="KDL58" s="609"/>
      <c r="KDM58" s="609"/>
      <c r="KDN58" s="609"/>
      <c r="KDO58" s="609"/>
      <c r="KDP58" s="609"/>
      <c r="KDQ58" s="609"/>
      <c r="KDR58" s="609"/>
      <c r="KDS58" s="609"/>
      <c r="KDT58" s="609"/>
      <c r="KDU58" s="609"/>
      <c r="KDV58" s="609"/>
      <c r="KDW58" s="609"/>
      <c r="KDX58" s="609"/>
      <c r="KDY58" s="609"/>
      <c r="KDZ58" s="609"/>
      <c r="KEA58" s="609"/>
      <c r="KEB58" s="609"/>
      <c r="KEC58" s="609"/>
      <c r="KED58" s="609"/>
      <c r="KEE58" s="609"/>
      <c r="KEF58" s="609"/>
      <c r="KEG58" s="609"/>
      <c r="KEH58" s="609"/>
      <c r="KEI58" s="609"/>
      <c r="KEJ58" s="609"/>
      <c r="KEK58" s="609"/>
      <c r="KEL58" s="609"/>
      <c r="KEM58" s="609"/>
      <c r="KEN58" s="609"/>
      <c r="KEO58" s="609"/>
      <c r="KEP58" s="609"/>
      <c r="KEQ58" s="609"/>
      <c r="KER58" s="609"/>
      <c r="KES58" s="609"/>
      <c r="KET58" s="609"/>
      <c r="KEU58" s="609"/>
      <c r="KEV58" s="609"/>
      <c r="KEW58" s="609"/>
      <c r="KEX58" s="609"/>
      <c r="KEY58" s="609"/>
      <c r="KEZ58" s="609"/>
      <c r="KFA58" s="609"/>
      <c r="KFB58" s="609"/>
      <c r="KFC58" s="609"/>
      <c r="KFD58" s="609"/>
      <c r="KFE58" s="609"/>
      <c r="KFF58" s="609"/>
      <c r="KFG58" s="609"/>
      <c r="KFH58" s="609"/>
      <c r="KFI58" s="609"/>
      <c r="KFJ58" s="609"/>
      <c r="KFK58" s="609"/>
      <c r="KFL58" s="609"/>
      <c r="KFM58" s="609"/>
      <c r="KFN58" s="609"/>
      <c r="KFO58" s="609"/>
      <c r="KFP58" s="609"/>
      <c r="KFQ58" s="609"/>
      <c r="KFR58" s="609"/>
      <c r="KFS58" s="609"/>
      <c r="KFT58" s="609"/>
      <c r="KFU58" s="609"/>
      <c r="KFV58" s="609"/>
      <c r="KFW58" s="609"/>
      <c r="KFX58" s="609"/>
      <c r="KFY58" s="609"/>
      <c r="KFZ58" s="609"/>
      <c r="KGA58" s="609"/>
      <c r="KGB58" s="609"/>
      <c r="KGC58" s="609"/>
      <c r="KGD58" s="609"/>
      <c r="KGE58" s="609"/>
      <c r="KGF58" s="609"/>
      <c r="KGG58" s="609"/>
      <c r="KGH58" s="609"/>
      <c r="KGI58" s="609"/>
      <c r="KGJ58" s="609"/>
      <c r="KGK58" s="609"/>
      <c r="KGL58" s="609"/>
      <c r="KGM58" s="609"/>
      <c r="KGN58" s="609"/>
      <c r="KGO58" s="609"/>
      <c r="KGP58" s="609"/>
      <c r="KGQ58" s="609"/>
      <c r="KGR58" s="609"/>
      <c r="KGS58" s="609"/>
      <c r="KGT58" s="609"/>
      <c r="KGU58" s="609"/>
      <c r="KGV58" s="609"/>
      <c r="KGW58" s="609"/>
      <c r="KGX58" s="609"/>
      <c r="KGY58" s="609"/>
      <c r="KGZ58" s="609"/>
      <c r="KHA58" s="609"/>
      <c r="KHB58" s="609"/>
      <c r="KHC58" s="609"/>
      <c r="KHD58" s="609"/>
      <c r="KHE58" s="609"/>
      <c r="KHF58" s="609"/>
      <c r="KHG58" s="609"/>
      <c r="KHH58" s="609"/>
      <c r="KHI58" s="609"/>
      <c r="KHJ58" s="609"/>
      <c r="KHK58" s="609"/>
      <c r="KHL58" s="609"/>
      <c r="KHM58" s="609"/>
      <c r="KHN58" s="609"/>
      <c r="KHO58" s="609"/>
      <c r="KHP58" s="609"/>
      <c r="KHQ58" s="609"/>
      <c r="KHR58" s="609"/>
      <c r="KHS58" s="609"/>
      <c r="KHT58" s="609"/>
      <c r="KHU58" s="609"/>
      <c r="KHV58" s="609"/>
      <c r="KHW58" s="609"/>
      <c r="KHX58" s="609"/>
      <c r="KHY58" s="609"/>
      <c r="KHZ58" s="609"/>
      <c r="KIA58" s="609"/>
      <c r="KIB58" s="609"/>
      <c r="KIC58" s="609"/>
      <c r="KID58" s="609"/>
      <c r="KIE58" s="609"/>
      <c r="KIF58" s="609"/>
      <c r="KIG58" s="609"/>
      <c r="KIH58" s="609"/>
      <c r="KII58" s="609"/>
      <c r="KIJ58" s="609"/>
      <c r="KIK58" s="609"/>
      <c r="KIL58" s="609"/>
      <c r="KIM58" s="609"/>
      <c r="KIN58" s="609"/>
      <c r="KIO58" s="609"/>
      <c r="KIP58" s="609"/>
      <c r="KIQ58" s="609"/>
      <c r="KIR58" s="609"/>
      <c r="KIS58" s="609"/>
      <c r="KIT58" s="609"/>
      <c r="KIU58" s="609"/>
      <c r="KIV58" s="609"/>
      <c r="KIW58" s="609"/>
      <c r="KIX58" s="609"/>
      <c r="KIY58" s="609"/>
      <c r="KIZ58" s="609"/>
      <c r="KJA58" s="609"/>
      <c r="KJB58" s="609"/>
      <c r="KJC58" s="609"/>
      <c r="KJD58" s="609"/>
      <c r="KJE58" s="609"/>
      <c r="KJF58" s="609"/>
      <c r="KJG58" s="609"/>
      <c r="KJH58" s="609"/>
      <c r="KJI58" s="609"/>
      <c r="KJJ58" s="609"/>
      <c r="KJK58" s="609"/>
      <c r="KJL58" s="609"/>
      <c r="KJM58" s="609"/>
      <c r="KJN58" s="609"/>
      <c r="KJO58" s="609"/>
      <c r="KJP58" s="609"/>
      <c r="KJQ58" s="609"/>
      <c r="KJR58" s="609"/>
      <c r="KJS58" s="609"/>
      <c r="KJT58" s="609"/>
      <c r="KJU58" s="609"/>
      <c r="KJV58" s="609"/>
      <c r="KJW58" s="609"/>
      <c r="KJX58" s="609"/>
      <c r="KJY58" s="609"/>
      <c r="KJZ58" s="609"/>
      <c r="KKA58" s="609"/>
      <c r="KKB58" s="609"/>
      <c r="KKC58" s="609"/>
      <c r="KKD58" s="609"/>
      <c r="KKE58" s="609"/>
      <c r="KKF58" s="609"/>
      <c r="KKG58" s="609"/>
      <c r="KKH58" s="609"/>
      <c r="KKI58" s="609"/>
      <c r="KKJ58" s="609"/>
      <c r="KKK58" s="609"/>
      <c r="KKL58" s="609"/>
      <c r="KKM58" s="609"/>
      <c r="KKN58" s="609"/>
      <c r="KKO58" s="609"/>
      <c r="KKP58" s="609"/>
      <c r="KKQ58" s="609"/>
      <c r="KKR58" s="609"/>
      <c r="KKS58" s="609"/>
      <c r="KKT58" s="609"/>
      <c r="KKU58" s="609"/>
      <c r="KKV58" s="609"/>
      <c r="KKW58" s="609"/>
      <c r="KKX58" s="609"/>
      <c r="KKY58" s="609"/>
      <c r="KKZ58" s="609"/>
      <c r="KLA58" s="609"/>
      <c r="KLB58" s="609"/>
      <c r="KLC58" s="609"/>
      <c r="KLD58" s="609"/>
      <c r="KLE58" s="609"/>
      <c r="KLF58" s="609"/>
      <c r="KLG58" s="609"/>
      <c r="KLH58" s="609"/>
      <c r="KLI58" s="609"/>
      <c r="KLJ58" s="609"/>
      <c r="KLK58" s="609"/>
      <c r="KLL58" s="609"/>
      <c r="KLM58" s="609"/>
      <c r="KLN58" s="609"/>
      <c r="KLO58" s="609"/>
      <c r="KLP58" s="609"/>
      <c r="KLQ58" s="609"/>
      <c r="KLR58" s="609"/>
      <c r="KLS58" s="609"/>
      <c r="KLT58" s="609"/>
      <c r="KLU58" s="609"/>
      <c r="KLV58" s="609"/>
      <c r="KLW58" s="609"/>
      <c r="KLX58" s="609"/>
      <c r="KLY58" s="609"/>
      <c r="KLZ58" s="609"/>
      <c r="KMA58" s="609"/>
      <c r="KMB58" s="609"/>
      <c r="KMC58" s="609"/>
      <c r="KMD58" s="609"/>
      <c r="KME58" s="609"/>
      <c r="KMF58" s="609"/>
      <c r="KMG58" s="609"/>
      <c r="KMH58" s="609"/>
      <c r="KMI58" s="609"/>
      <c r="KMJ58" s="609"/>
      <c r="KMK58" s="609"/>
      <c r="KML58" s="609"/>
      <c r="KMM58" s="609"/>
      <c r="KMN58" s="609"/>
      <c r="KMO58" s="609"/>
      <c r="KMP58" s="609"/>
      <c r="KMQ58" s="609"/>
      <c r="KMR58" s="609"/>
      <c r="KMS58" s="609"/>
      <c r="KMT58" s="609"/>
      <c r="KMU58" s="609"/>
      <c r="KMV58" s="609"/>
      <c r="KMW58" s="609"/>
      <c r="KMX58" s="609"/>
      <c r="KMY58" s="609"/>
      <c r="KMZ58" s="609"/>
      <c r="KNA58" s="609"/>
      <c r="KNB58" s="609"/>
      <c r="KNC58" s="609"/>
      <c r="KND58" s="609"/>
      <c r="KNE58" s="609"/>
      <c r="KNF58" s="609"/>
      <c r="KNG58" s="609"/>
      <c r="KNH58" s="609"/>
      <c r="KNI58" s="609"/>
      <c r="KNJ58" s="609"/>
      <c r="KNK58" s="609"/>
      <c r="KNL58" s="609"/>
      <c r="KNM58" s="609"/>
      <c r="KNN58" s="609"/>
      <c r="KNO58" s="609"/>
      <c r="KNP58" s="609"/>
      <c r="KNQ58" s="609"/>
      <c r="KNR58" s="609"/>
      <c r="KNS58" s="609"/>
      <c r="KNT58" s="609"/>
      <c r="KNU58" s="609"/>
      <c r="KNV58" s="609"/>
      <c r="KNW58" s="609"/>
      <c r="KNX58" s="609"/>
      <c r="KNY58" s="609"/>
      <c r="KNZ58" s="609"/>
      <c r="KOA58" s="609"/>
      <c r="KOB58" s="609"/>
      <c r="KOC58" s="609"/>
      <c r="KOD58" s="609"/>
      <c r="KOE58" s="609"/>
      <c r="KOF58" s="609"/>
      <c r="KOG58" s="609"/>
      <c r="KOH58" s="609"/>
      <c r="KOI58" s="609"/>
      <c r="KOJ58" s="609"/>
      <c r="KOK58" s="609"/>
      <c r="KOL58" s="609"/>
      <c r="KOM58" s="609"/>
      <c r="KON58" s="609"/>
      <c r="KOO58" s="609"/>
      <c r="KOP58" s="609"/>
      <c r="KOQ58" s="609"/>
      <c r="KOR58" s="609"/>
      <c r="KOS58" s="609"/>
      <c r="KOT58" s="609"/>
      <c r="KOU58" s="609"/>
      <c r="KOV58" s="609"/>
      <c r="KOW58" s="609"/>
      <c r="KOX58" s="609"/>
      <c r="KOY58" s="609"/>
      <c r="KOZ58" s="609"/>
      <c r="KPA58" s="609"/>
      <c r="KPB58" s="609"/>
      <c r="KPC58" s="609"/>
      <c r="KPD58" s="609"/>
      <c r="KPE58" s="609"/>
      <c r="KPF58" s="609"/>
      <c r="KPG58" s="609"/>
      <c r="KPH58" s="609"/>
      <c r="KPI58" s="609"/>
      <c r="KPJ58" s="609"/>
      <c r="KPK58" s="609"/>
      <c r="KPL58" s="609"/>
      <c r="KPM58" s="609"/>
      <c r="KPN58" s="609"/>
      <c r="KPO58" s="609"/>
      <c r="KPP58" s="609"/>
      <c r="KPQ58" s="609"/>
      <c r="KPR58" s="609"/>
      <c r="KPS58" s="609"/>
      <c r="KPT58" s="609"/>
      <c r="KPU58" s="609"/>
      <c r="KPV58" s="609"/>
      <c r="KPW58" s="609"/>
      <c r="KPX58" s="609"/>
      <c r="KPY58" s="609"/>
      <c r="KPZ58" s="609"/>
      <c r="KQA58" s="609"/>
      <c r="KQB58" s="609"/>
      <c r="KQC58" s="609"/>
      <c r="KQD58" s="609"/>
      <c r="KQE58" s="609"/>
      <c r="KQF58" s="609"/>
      <c r="KQG58" s="609"/>
      <c r="KQH58" s="609"/>
      <c r="KQI58" s="609"/>
      <c r="KQJ58" s="609"/>
      <c r="KQK58" s="609"/>
      <c r="KQL58" s="609"/>
      <c r="KQM58" s="609"/>
      <c r="KQN58" s="609"/>
      <c r="KQO58" s="609"/>
      <c r="KQP58" s="609"/>
      <c r="KQQ58" s="609"/>
      <c r="KQR58" s="609"/>
      <c r="KQS58" s="609"/>
      <c r="KQT58" s="609"/>
      <c r="KQU58" s="609"/>
      <c r="KQV58" s="609"/>
      <c r="KQW58" s="609"/>
      <c r="KQX58" s="609"/>
      <c r="KQY58" s="609"/>
      <c r="KQZ58" s="609"/>
      <c r="KRA58" s="609"/>
      <c r="KRB58" s="609"/>
      <c r="KRC58" s="609"/>
      <c r="KRD58" s="609"/>
      <c r="KRE58" s="609"/>
      <c r="KRF58" s="609"/>
      <c r="KRG58" s="609"/>
      <c r="KRH58" s="609"/>
      <c r="KRI58" s="609"/>
      <c r="KRJ58" s="609"/>
      <c r="KRK58" s="609"/>
      <c r="KRL58" s="609"/>
      <c r="KRM58" s="609"/>
      <c r="KRN58" s="609"/>
      <c r="KRO58" s="609"/>
      <c r="KRP58" s="609"/>
      <c r="KRQ58" s="609"/>
      <c r="KRR58" s="609"/>
      <c r="KRS58" s="609"/>
      <c r="KRT58" s="609"/>
      <c r="KRU58" s="609"/>
      <c r="KRV58" s="609"/>
      <c r="KRW58" s="609"/>
      <c r="KRX58" s="609"/>
      <c r="KRY58" s="609"/>
      <c r="KRZ58" s="609"/>
      <c r="KSA58" s="609"/>
      <c r="KSB58" s="609"/>
      <c r="KSC58" s="609"/>
      <c r="KSD58" s="609"/>
      <c r="KSE58" s="609"/>
      <c r="KSF58" s="609"/>
      <c r="KSG58" s="609"/>
      <c r="KSH58" s="609"/>
      <c r="KSI58" s="609"/>
      <c r="KSJ58" s="609"/>
      <c r="KSK58" s="609"/>
      <c r="KSL58" s="609"/>
      <c r="KSM58" s="609"/>
      <c r="KSN58" s="609"/>
      <c r="KSO58" s="609"/>
      <c r="KSP58" s="609"/>
      <c r="KSQ58" s="609"/>
      <c r="KSR58" s="609"/>
      <c r="KSS58" s="609"/>
      <c r="KST58" s="609"/>
      <c r="KSU58" s="609"/>
      <c r="KSV58" s="609"/>
      <c r="KSW58" s="609"/>
      <c r="KSX58" s="609"/>
      <c r="KSY58" s="609"/>
      <c r="KSZ58" s="609"/>
      <c r="KTA58" s="609"/>
      <c r="KTB58" s="609"/>
      <c r="KTC58" s="609"/>
      <c r="KTD58" s="609"/>
      <c r="KTE58" s="609"/>
      <c r="KTF58" s="609"/>
      <c r="KTG58" s="609"/>
      <c r="KTH58" s="609"/>
      <c r="KTI58" s="609"/>
      <c r="KTJ58" s="609"/>
      <c r="KTK58" s="609"/>
      <c r="KTL58" s="609"/>
      <c r="KTM58" s="609"/>
      <c r="KTN58" s="609"/>
      <c r="KTO58" s="609"/>
      <c r="KTP58" s="609"/>
      <c r="KTQ58" s="609"/>
      <c r="KTR58" s="609"/>
      <c r="KTS58" s="609"/>
      <c r="KTT58" s="609"/>
      <c r="KTU58" s="609"/>
      <c r="KTV58" s="609"/>
      <c r="KTW58" s="609"/>
      <c r="KTX58" s="609"/>
      <c r="KTY58" s="609"/>
      <c r="KTZ58" s="609"/>
      <c r="KUA58" s="609"/>
      <c r="KUB58" s="609"/>
      <c r="KUC58" s="609"/>
      <c r="KUD58" s="609"/>
      <c r="KUE58" s="609"/>
      <c r="KUF58" s="609"/>
      <c r="KUG58" s="609"/>
      <c r="KUH58" s="609"/>
      <c r="KUI58" s="609"/>
      <c r="KUJ58" s="609"/>
      <c r="KUK58" s="609"/>
      <c r="KUL58" s="609"/>
      <c r="KUM58" s="609"/>
      <c r="KUN58" s="609"/>
      <c r="KUO58" s="609"/>
      <c r="KUP58" s="609"/>
      <c r="KUQ58" s="609"/>
      <c r="KUR58" s="609"/>
      <c r="KUS58" s="609"/>
      <c r="KUT58" s="609"/>
      <c r="KUU58" s="609"/>
      <c r="KUV58" s="609"/>
      <c r="KUW58" s="609"/>
      <c r="KUX58" s="609"/>
      <c r="KUY58" s="609"/>
      <c r="KUZ58" s="609"/>
      <c r="KVA58" s="609"/>
      <c r="KVB58" s="609"/>
      <c r="KVC58" s="609"/>
      <c r="KVD58" s="609"/>
      <c r="KVE58" s="609"/>
      <c r="KVF58" s="609"/>
      <c r="KVG58" s="609"/>
      <c r="KVH58" s="609"/>
      <c r="KVI58" s="609"/>
      <c r="KVJ58" s="609"/>
      <c r="KVK58" s="609"/>
      <c r="KVL58" s="609"/>
      <c r="KVM58" s="609"/>
      <c r="KVN58" s="609"/>
      <c r="KVO58" s="609"/>
      <c r="KVP58" s="609"/>
      <c r="KVQ58" s="609"/>
      <c r="KVR58" s="609"/>
      <c r="KVS58" s="609"/>
      <c r="KVT58" s="609"/>
      <c r="KVU58" s="609"/>
      <c r="KVV58" s="609"/>
      <c r="KVW58" s="609"/>
      <c r="KVX58" s="609"/>
      <c r="KVY58" s="609"/>
      <c r="KVZ58" s="609"/>
      <c r="KWA58" s="609"/>
      <c r="KWB58" s="609"/>
      <c r="KWC58" s="609"/>
      <c r="KWD58" s="609"/>
      <c r="KWE58" s="609"/>
      <c r="KWF58" s="609"/>
      <c r="KWG58" s="609"/>
      <c r="KWH58" s="609"/>
      <c r="KWI58" s="609"/>
      <c r="KWJ58" s="609"/>
      <c r="KWK58" s="609"/>
      <c r="KWL58" s="609"/>
      <c r="KWM58" s="609"/>
      <c r="KWN58" s="609"/>
      <c r="KWO58" s="609"/>
      <c r="KWP58" s="609"/>
      <c r="KWQ58" s="609"/>
      <c r="KWR58" s="609"/>
      <c r="KWS58" s="609"/>
      <c r="KWT58" s="609"/>
      <c r="KWU58" s="609"/>
      <c r="KWV58" s="609"/>
      <c r="KWW58" s="609"/>
      <c r="KWX58" s="609"/>
      <c r="KWY58" s="609"/>
      <c r="KWZ58" s="609"/>
      <c r="KXA58" s="609"/>
      <c r="KXB58" s="609"/>
      <c r="KXC58" s="609"/>
      <c r="KXD58" s="609"/>
      <c r="KXE58" s="609"/>
      <c r="KXF58" s="609"/>
      <c r="KXG58" s="609"/>
      <c r="KXH58" s="609"/>
      <c r="KXI58" s="609"/>
      <c r="KXJ58" s="609"/>
      <c r="KXK58" s="609"/>
      <c r="KXL58" s="609"/>
      <c r="KXM58" s="609"/>
      <c r="KXN58" s="609"/>
      <c r="KXO58" s="609"/>
      <c r="KXP58" s="609"/>
      <c r="KXQ58" s="609"/>
      <c r="KXR58" s="609"/>
      <c r="KXS58" s="609"/>
      <c r="KXT58" s="609"/>
      <c r="KXU58" s="609"/>
      <c r="KXV58" s="609"/>
      <c r="KXW58" s="609"/>
      <c r="KXX58" s="609"/>
      <c r="KXY58" s="609"/>
      <c r="KXZ58" s="609"/>
      <c r="KYA58" s="609"/>
      <c r="KYB58" s="609"/>
      <c r="KYC58" s="609"/>
      <c r="KYD58" s="609"/>
      <c r="KYE58" s="609"/>
      <c r="KYF58" s="609"/>
      <c r="KYG58" s="609"/>
      <c r="KYH58" s="609"/>
      <c r="KYI58" s="609"/>
      <c r="KYJ58" s="609"/>
      <c r="KYK58" s="609"/>
      <c r="KYL58" s="609"/>
      <c r="KYM58" s="609"/>
      <c r="KYN58" s="609"/>
      <c r="KYO58" s="609"/>
      <c r="KYP58" s="609"/>
      <c r="KYQ58" s="609"/>
      <c r="KYR58" s="609"/>
      <c r="KYS58" s="609"/>
      <c r="KYT58" s="609"/>
      <c r="KYU58" s="609"/>
      <c r="KYV58" s="609"/>
      <c r="KYW58" s="609"/>
      <c r="KYX58" s="609"/>
      <c r="KYY58" s="609"/>
      <c r="KYZ58" s="609"/>
      <c r="KZA58" s="609"/>
      <c r="KZB58" s="609"/>
      <c r="KZC58" s="609"/>
      <c r="KZD58" s="609"/>
      <c r="KZE58" s="609"/>
      <c r="KZF58" s="609"/>
      <c r="KZG58" s="609"/>
      <c r="KZH58" s="609"/>
      <c r="KZI58" s="609"/>
      <c r="KZJ58" s="609"/>
      <c r="KZK58" s="609"/>
      <c r="KZL58" s="609"/>
      <c r="KZM58" s="609"/>
      <c r="KZN58" s="609"/>
      <c r="KZO58" s="609"/>
      <c r="KZP58" s="609"/>
      <c r="KZQ58" s="609"/>
      <c r="KZR58" s="609"/>
      <c r="KZS58" s="609"/>
      <c r="KZT58" s="609"/>
      <c r="KZU58" s="609"/>
      <c r="KZV58" s="609"/>
      <c r="KZW58" s="609"/>
      <c r="KZX58" s="609"/>
      <c r="KZY58" s="609"/>
      <c r="KZZ58" s="609"/>
      <c r="LAA58" s="609"/>
      <c r="LAB58" s="609"/>
      <c r="LAC58" s="609"/>
      <c r="LAD58" s="609"/>
      <c r="LAE58" s="609"/>
      <c r="LAF58" s="609"/>
      <c r="LAG58" s="609"/>
      <c r="LAH58" s="609"/>
      <c r="LAI58" s="609"/>
      <c r="LAJ58" s="609"/>
      <c r="LAK58" s="609"/>
      <c r="LAL58" s="609"/>
      <c r="LAM58" s="609"/>
      <c r="LAN58" s="609"/>
      <c r="LAO58" s="609"/>
      <c r="LAP58" s="609"/>
      <c r="LAQ58" s="609"/>
      <c r="LAR58" s="609"/>
      <c r="LAS58" s="609"/>
      <c r="LAT58" s="609"/>
      <c r="LAU58" s="609"/>
      <c r="LAV58" s="609"/>
      <c r="LAW58" s="609"/>
      <c r="LAX58" s="609"/>
      <c r="LAY58" s="609"/>
      <c r="LAZ58" s="609"/>
      <c r="LBA58" s="609"/>
      <c r="LBB58" s="609"/>
      <c r="LBC58" s="609"/>
      <c r="LBD58" s="609"/>
      <c r="LBE58" s="609"/>
      <c r="LBF58" s="609"/>
      <c r="LBG58" s="609"/>
      <c r="LBH58" s="609"/>
      <c r="LBI58" s="609"/>
      <c r="LBJ58" s="609"/>
      <c r="LBK58" s="609"/>
      <c r="LBL58" s="609"/>
      <c r="LBM58" s="609"/>
      <c r="LBN58" s="609"/>
      <c r="LBO58" s="609"/>
      <c r="LBP58" s="609"/>
      <c r="LBQ58" s="609"/>
      <c r="LBR58" s="609"/>
      <c r="LBS58" s="609"/>
      <c r="LBT58" s="609"/>
      <c r="LBU58" s="609"/>
      <c r="LBV58" s="609"/>
      <c r="LBW58" s="609"/>
      <c r="LBX58" s="609"/>
      <c r="LBY58" s="609"/>
      <c r="LBZ58" s="609"/>
      <c r="LCA58" s="609"/>
      <c r="LCB58" s="609"/>
      <c r="LCC58" s="609"/>
      <c r="LCD58" s="609"/>
      <c r="LCE58" s="609"/>
      <c r="LCF58" s="609"/>
      <c r="LCG58" s="609"/>
      <c r="LCH58" s="609"/>
      <c r="LCI58" s="609"/>
      <c r="LCJ58" s="609"/>
      <c r="LCK58" s="609"/>
      <c r="LCL58" s="609"/>
      <c r="LCM58" s="609"/>
      <c r="LCN58" s="609"/>
      <c r="LCO58" s="609"/>
      <c r="LCP58" s="609"/>
      <c r="LCQ58" s="609"/>
      <c r="LCR58" s="609"/>
      <c r="LCS58" s="609"/>
      <c r="LCT58" s="609"/>
      <c r="LCU58" s="609"/>
      <c r="LCV58" s="609"/>
      <c r="LCW58" s="609"/>
      <c r="LCX58" s="609"/>
      <c r="LCY58" s="609"/>
      <c r="LCZ58" s="609"/>
      <c r="LDA58" s="609"/>
      <c r="LDB58" s="609"/>
      <c r="LDC58" s="609"/>
      <c r="LDD58" s="609"/>
      <c r="LDE58" s="609"/>
      <c r="LDF58" s="609"/>
      <c r="LDG58" s="609"/>
      <c r="LDH58" s="609"/>
      <c r="LDI58" s="609"/>
      <c r="LDJ58" s="609"/>
      <c r="LDK58" s="609"/>
      <c r="LDL58" s="609"/>
      <c r="LDM58" s="609"/>
      <c r="LDN58" s="609"/>
      <c r="LDO58" s="609"/>
      <c r="LDP58" s="609"/>
      <c r="LDQ58" s="609"/>
      <c r="LDR58" s="609"/>
      <c r="LDS58" s="609"/>
      <c r="LDT58" s="609"/>
      <c r="LDU58" s="609"/>
      <c r="LDV58" s="609"/>
      <c r="LDW58" s="609"/>
      <c r="LDX58" s="609"/>
      <c r="LDY58" s="609"/>
      <c r="LDZ58" s="609"/>
      <c r="LEA58" s="609"/>
      <c r="LEB58" s="609"/>
      <c r="LEC58" s="609"/>
      <c r="LED58" s="609"/>
      <c r="LEE58" s="609"/>
      <c r="LEF58" s="609"/>
      <c r="LEG58" s="609"/>
      <c r="LEH58" s="609"/>
      <c r="LEI58" s="609"/>
      <c r="LEJ58" s="609"/>
      <c r="LEK58" s="609"/>
      <c r="LEL58" s="609"/>
      <c r="LEM58" s="609"/>
      <c r="LEN58" s="609"/>
      <c r="LEO58" s="609"/>
      <c r="LEP58" s="609"/>
      <c r="LEQ58" s="609"/>
      <c r="LER58" s="609"/>
      <c r="LES58" s="609"/>
      <c r="LET58" s="609"/>
      <c r="LEU58" s="609"/>
      <c r="LEV58" s="609"/>
      <c r="LEW58" s="609"/>
      <c r="LEX58" s="609"/>
      <c r="LEY58" s="609"/>
      <c r="LEZ58" s="609"/>
      <c r="LFA58" s="609"/>
      <c r="LFB58" s="609"/>
      <c r="LFC58" s="609"/>
      <c r="LFD58" s="609"/>
      <c r="LFE58" s="609"/>
      <c r="LFF58" s="609"/>
      <c r="LFG58" s="609"/>
      <c r="LFH58" s="609"/>
      <c r="LFI58" s="609"/>
      <c r="LFJ58" s="609"/>
      <c r="LFK58" s="609"/>
      <c r="LFL58" s="609"/>
      <c r="LFM58" s="609"/>
      <c r="LFN58" s="609"/>
      <c r="LFO58" s="609"/>
      <c r="LFP58" s="609"/>
      <c r="LFQ58" s="609"/>
      <c r="LFR58" s="609"/>
      <c r="LFS58" s="609"/>
      <c r="LFT58" s="609"/>
      <c r="LFU58" s="609"/>
      <c r="LFV58" s="609"/>
      <c r="LFW58" s="609"/>
      <c r="LFX58" s="609"/>
      <c r="LFY58" s="609"/>
      <c r="LFZ58" s="609"/>
      <c r="LGA58" s="609"/>
      <c r="LGB58" s="609"/>
      <c r="LGC58" s="609"/>
      <c r="LGD58" s="609"/>
      <c r="LGE58" s="609"/>
      <c r="LGF58" s="609"/>
      <c r="LGG58" s="609"/>
      <c r="LGH58" s="609"/>
      <c r="LGI58" s="609"/>
      <c r="LGJ58" s="609"/>
      <c r="LGK58" s="609"/>
      <c r="LGL58" s="609"/>
      <c r="LGM58" s="609"/>
      <c r="LGN58" s="609"/>
      <c r="LGO58" s="609"/>
      <c r="LGP58" s="609"/>
      <c r="LGQ58" s="609"/>
      <c r="LGR58" s="609"/>
      <c r="LGS58" s="609"/>
      <c r="LGT58" s="609"/>
      <c r="LGU58" s="609"/>
      <c r="LGV58" s="609"/>
      <c r="LGW58" s="609"/>
      <c r="LGX58" s="609"/>
      <c r="LGY58" s="609"/>
      <c r="LGZ58" s="609"/>
      <c r="LHA58" s="609"/>
      <c r="LHB58" s="609"/>
      <c r="LHC58" s="609"/>
      <c r="LHD58" s="609"/>
      <c r="LHE58" s="609"/>
      <c r="LHF58" s="609"/>
      <c r="LHG58" s="609"/>
      <c r="LHH58" s="609"/>
      <c r="LHI58" s="609"/>
      <c r="LHJ58" s="609"/>
      <c r="LHK58" s="609"/>
      <c r="LHL58" s="609"/>
      <c r="LHM58" s="609"/>
      <c r="LHN58" s="609"/>
      <c r="LHO58" s="609"/>
      <c r="LHP58" s="609"/>
      <c r="LHQ58" s="609"/>
      <c r="LHR58" s="609"/>
      <c r="LHS58" s="609"/>
      <c r="LHT58" s="609"/>
      <c r="LHU58" s="609"/>
      <c r="LHV58" s="609"/>
      <c r="LHW58" s="609"/>
      <c r="LHX58" s="609"/>
      <c r="LHY58" s="609"/>
      <c r="LHZ58" s="609"/>
      <c r="LIA58" s="609"/>
      <c r="LIB58" s="609"/>
      <c r="LIC58" s="609"/>
      <c r="LID58" s="609"/>
      <c r="LIE58" s="609"/>
      <c r="LIF58" s="609"/>
      <c r="LIG58" s="609"/>
      <c r="LIH58" s="609"/>
      <c r="LII58" s="609"/>
      <c r="LIJ58" s="609"/>
      <c r="LIK58" s="609"/>
      <c r="LIL58" s="609"/>
      <c r="LIM58" s="609"/>
      <c r="LIN58" s="609"/>
      <c r="LIO58" s="609"/>
      <c r="LIP58" s="609"/>
      <c r="LIQ58" s="609"/>
      <c r="LIR58" s="609"/>
      <c r="LIS58" s="609"/>
      <c r="LIT58" s="609"/>
      <c r="LIU58" s="609"/>
      <c r="LIV58" s="609"/>
      <c r="LIW58" s="609"/>
      <c r="LIX58" s="609"/>
      <c r="LIY58" s="609"/>
      <c r="LIZ58" s="609"/>
      <c r="LJA58" s="609"/>
      <c r="LJB58" s="609"/>
      <c r="LJC58" s="609"/>
      <c r="LJD58" s="609"/>
      <c r="LJE58" s="609"/>
      <c r="LJF58" s="609"/>
      <c r="LJG58" s="609"/>
      <c r="LJH58" s="609"/>
      <c r="LJI58" s="609"/>
      <c r="LJJ58" s="609"/>
      <c r="LJK58" s="609"/>
      <c r="LJL58" s="609"/>
      <c r="LJM58" s="609"/>
      <c r="LJN58" s="609"/>
      <c r="LJO58" s="609"/>
      <c r="LJP58" s="609"/>
      <c r="LJQ58" s="609"/>
      <c r="LJR58" s="609"/>
      <c r="LJS58" s="609"/>
      <c r="LJT58" s="609"/>
      <c r="LJU58" s="609"/>
      <c r="LJV58" s="609"/>
      <c r="LJW58" s="609"/>
      <c r="LJX58" s="609"/>
      <c r="LJY58" s="609"/>
      <c r="LJZ58" s="609"/>
      <c r="LKA58" s="609"/>
      <c r="LKB58" s="609"/>
      <c r="LKC58" s="609"/>
      <c r="LKD58" s="609"/>
      <c r="LKE58" s="609"/>
      <c r="LKF58" s="609"/>
      <c r="LKG58" s="609"/>
      <c r="LKH58" s="609"/>
      <c r="LKI58" s="609"/>
      <c r="LKJ58" s="609"/>
      <c r="LKK58" s="609"/>
      <c r="LKL58" s="609"/>
      <c r="LKM58" s="609"/>
      <c r="LKN58" s="609"/>
      <c r="LKO58" s="609"/>
      <c r="LKP58" s="609"/>
      <c r="LKQ58" s="609"/>
      <c r="LKR58" s="609"/>
      <c r="LKS58" s="609"/>
      <c r="LKT58" s="609"/>
      <c r="LKU58" s="609"/>
      <c r="LKV58" s="609"/>
      <c r="LKW58" s="609"/>
      <c r="LKX58" s="609"/>
      <c r="LKY58" s="609"/>
      <c r="LKZ58" s="609"/>
      <c r="LLA58" s="609"/>
      <c r="LLB58" s="609"/>
      <c r="LLC58" s="609"/>
      <c r="LLD58" s="609"/>
      <c r="LLE58" s="609"/>
      <c r="LLF58" s="609"/>
      <c r="LLG58" s="609"/>
      <c r="LLH58" s="609"/>
      <c r="LLI58" s="609"/>
      <c r="LLJ58" s="609"/>
      <c r="LLK58" s="609"/>
      <c r="LLL58" s="609"/>
      <c r="LLM58" s="609"/>
      <c r="LLN58" s="609"/>
      <c r="LLO58" s="609"/>
      <c r="LLP58" s="609"/>
      <c r="LLQ58" s="609"/>
      <c r="LLR58" s="609"/>
      <c r="LLS58" s="609"/>
      <c r="LLT58" s="609"/>
      <c r="LLU58" s="609"/>
      <c r="LLV58" s="609"/>
      <c r="LLW58" s="609"/>
      <c r="LLX58" s="609"/>
      <c r="LLY58" s="609"/>
      <c r="LLZ58" s="609"/>
      <c r="LMA58" s="609"/>
      <c r="LMB58" s="609"/>
      <c r="LMC58" s="609"/>
      <c r="LMD58" s="609"/>
      <c r="LME58" s="609"/>
      <c r="LMF58" s="609"/>
      <c r="LMG58" s="609"/>
      <c r="LMH58" s="609"/>
      <c r="LMI58" s="609"/>
      <c r="LMJ58" s="609"/>
      <c r="LMK58" s="609"/>
      <c r="LML58" s="609"/>
      <c r="LMM58" s="609"/>
      <c r="LMN58" s="609"/>
      <c r="LMO58" s="609"/>
      <c r="LMP58" s="609"/>
      <c r="LMQ58" s="609"/>
      <c r="LMR58" s="609"/>
      <c r="LMS58" s="609"/>
      <c r="LMT58" s="609"/>
      <c r="LMU58" s="609"/>
      <c r="LMV58" s="609"/>
      <c r="LMW58" s="609"/>
      <c r="LMX58" s="609"/>
      <c r="LMY58" s="609"/>
      <c r="LMZ58" s="609"/>
      <c r="LNA58" s="609"/>
      <c r="LNB58" s="609"/>
      <c r="LNC58" s="609"/>
      <c r="LND58" s="609"/>
      <c r="LNE58" s="609"/>
      <c r="LNF58" s="609"/>
      <c r="LNG58" s="609"/>
      <c r="LNH58" s="609"/>
      <c r="LNI58" s="609"/>
      <c r="LNJ58" s="609"/>
      <c r="LNK58" s="609"/>
      <c r="LNL58" s="609"/>
      <c r="LNM58" s="609"/>
      <c r="LNN58" s="609"/>
      <c r="LNO58" s="609"/>
      <c r="LNP58" s="609"/>
      <c r="LNQ58" s="609"/>
      <c r="LNR58" s="609"/>
      <c r="LNS58" s="609"/>
      <c r="LNT58" s="609"/>
      <c r="LNU58" s="609"/>
      <c r="LNV58" s="609"/>
      <c r="LNW58" s="609"/>
      <c r="LNX58" s="609"/>
      <c r="LNY58" s="609"/>
      <c r="LNZ58" s="609"/>
      <c r="LOA58" s="609"/>
      <c r="LOB58" s="609"/>
      <c r="LOC58" s="609"/>
      <c r="LOD58" s="609"/>
      <c r="LOE58" s="609"/>
      <c r="LOF58" s="609"/>
      <c r="LOG58" s="609"/>
      <c r="LOH58" s="609"/>
      <c r="LOI58" s="609"/>
      <c r="LOJ58" s="609"/>
      <c r="LOK58" s="609"/>
      <c r="LOL58" s="609"/>
      <c r="LOM58" s="609"/>
      <c r="LON58" s="609"/>
      <c r="LOO58" s="609"/>
      <c r="LOP58" s="609"/>
      <c r="LOQ58" s="609"/>
      <c r="LOR58" s="609"/>
      <c r="LOS58" s="609"/>
      <c r="LOT58" s="609"/>
      <c r="LOU58" s="609"/>
      <c r="LOV58" s="609"/>
      <c r="LOW58" s="609"/>
      <c r="LOX58" s="609"/>
      <c r="LOY58" s="609"/>
      <c r="LOZ58" s="609"/>
      <c r="LPA58" s="609"/>
      <c r="LPB58" s="609"/>
      <c r="LPC58" s="609"/>
      <c r="LPD58" s="609"/>
      <c r="LPE58" s="609"/>
      <c r="LPF58" s="609"/>
      <c r="LPG58" s="609"/>
      <c r="LPH58" s="609"/>
      <c r="LPI58" s="609"/>
      <c r="LPJ58" s="609"/>
      <c r="LPK58" s="609"/>
      <c r="LPL58" s="609"/>
      <c r="LPM58" s="609"/>
      <c r="LPN58" s="609"/>
      <c r="LPO58" s="609"/>
      <c r="LPP58" s="609"/>
      <c r="LPQ58" s="609"/>
      <c r="LPR58" s="609"/>
      <c r="LPS58" s="609"/>
      <c r="LPT58" s="609"/>
      <c r="LPU58" s="609"/>
      <c r="LPV58" s="609"/>
      <c r="LPW58" s="609"/>
      <c r="LPX58" s="609"/>
      <c r="LPY58" s="609"/>
      <c r="LPZ58" s="609"/>
      <c r="LQA58" s="609"/>
      <c r="LQB58" s="609"/>
      <c r="LQC58" s="609"/>
      <c r="LQD58" s="609"/>
      <c r="LQE58" s="609"/>
      <c r="LQF58" s="609"/>
      <c r="LQG58" s="609"/>
      <c r="LQH58" s="609"/>
      <c r="LQI58" s="609"/>
      <c r="LQJ58" s="609"/>
      <c r="LQK58" s="609"/>
      <c r="LQL58" s="609"/>
      <c r="LQM58" s="609"/>
      <c r="LQN58" s="609"/>
      <c r="LQO58" s="609"/>
      <c r="LQP58" s="609"/>
      <c r="LQQ58" s="609"/>
      <c r="LQR58" s="609"/>
      <c r="LQS58" s="609"/>
      <c r="LQT58" s="609"/>
      <c r="LQU58" s="609"/>
      <c r="LQV58" s="609"/>
      <c r="LQW58" s="609"/>
      <c r="LQX58" s="609"/>
      <c r="LQY58" s="609"/>
      <c r="LQZ58" s="609"/>
      <c r="LRA58" s="609"/>
      <c r="LRB58" s="609"/>
      <c r="LRC58" s="609"/>
      <c r="LRD58" s="609"/>
      <c r="LRE58" s="609"/>
      <c r="LRF58" s="609"/>
      <c r="LRG58" s="609"/>
      <c r="LRH58" s="609"/>
      <c r="LRI58" s="609"/>
      <c r="LRJ58" s="609"/>
      <c r="LRK58" s="609"/>
      <c r="LRL58" s="609"/>
      <c r="LRM58" s="609"/>
      <c r="LRN58" s="609"/>
      <c r="LRO58" s="609"/>
      <c r="LRP58" s="609"/>
      <c r="LRQ58" s="609"/>
      <c r="LRR58" s="609"/>
      <c r="LRS58" s="609"/>
      <c r="LRT58" s="609"/>
      <c r="LRU58" s="609"/>
      <c r="LRV58" s="609"/>
      <c r="LRW58" s="609"/>
      <c r="LRX58" s="609"/>
      <c r="LRY58" s="609"/>
      <c r="LRZ58" s="609"/>
      <c r="LSA58" s="609"/>
      <c r="LSB58" s="609"/>
      <c r="LSC58" s="609"/>
      <c r="LSD58" s="609"/>
      <c r="LSE58" s="609"/>
      <c r="LSF58" s="609"/>
      <c r="LSG58" s="609"/>
      <c r="LSH58" s="609"/>
      <c r="LSI58" s="609"/>
      <c r="LSJ58" s="609"/>
      <c r="LSK58" s="609"/>
      <c r="LSL58" s="609"/>
      <c r="LSM58" s="609"/>
      <c r="LSN58" s="609"/>
      <c r="LSO58" s="609"/>
      <c r="LSP58" s="609"/>
      <c r="LSQ58" s="609"/>
      <c r="LSR58" s="609"/>
      <c r="LSS58" s="609"/>
      <c r="LST58" s="609"/>
      <c r="LSU58" s="609"/>
      <c r="LSV58" s="609"/>
      <c r="LSW58" s="609"/>
      <c r="LSX58" s="609"/>
      <c r="LSY58" s="609"/>
      <c r="LSZ58" s="609"/>
      <c r="LTA58" s="609"/>
      <c r="LTB58" s="609"/>
      <c r="LTC58" s="609"/>
      <c r="LTD58" s="609"/>
      <c r="LTE58" s="609"/>
      <c r="LTF58" s="609"/>
      <c r="LTG58" s="609"/>
      <c r="LTH58" s="609"/>
      <c r="LTI58" s="609"/>
      <c r="LTJ58" s="609"/>
      <c r="LTK58" s="609"/>
      <c r="LTL58" s="609"/>
      <c r="LTM58" s="609"/>
      <c r="LTN58" s="609"/>
      <c r="LTO58" s="609"/>
      <c r="LTP58" s="609"/>
      <c r="LTQ58" s="609"/>
      <c r="LTR58" s="609"/>
      <c r="LTS58" s="609"/>
      <c r="LTT58" s="609"/>
      <c r="LTU58" s="609"/>
      <c r="LTV58" s="609"/>
      <c r="LTW58" s="609"/>
      <c r="LTX58" s="609"/>
      <c r="LTY58" s="609"/>
      <c r="LTZ58" s="609"/>
      <c r="LUA58" s="609"/>
      <c r="LUB58" s="609"/>
      <c r="LUC58" s="609"/>
      <c r="LUD58" s="609"/>
      <c r="LUE58" s="609"/>
      <c r="LUF58" s="609"/>
      <c r="LUG58" s="609"/>
      <c r="LUH58" s="609"/>
      <c r="LUI58" s="609"/>
      <c r="LUJ58" s="609"/>
      <c r="LUK58" s="609"/>
      <c r="LUL58" s="609"/>
      <c r="LUM58" s="609"/>
      <c r="LUN58" s="609"/>
      <c r="LUO58" s="609"/>
      <c r="LUP58" s="609"/>
      <c r="LUQ58" s="609"/>
      <c r="LUR58" s="609"/>
      <c r="LUS58" s="609"/>
      <c r="LUT58" s="609"/>
      <c r="LUU58" s="609"/>
      <c r="LUV58" s="609"/>
      <c r="LUW58" s="609"/>
      <c r="LUX58" s="609"/>
      <c r="LUY58" s="609"/>
      <c r="LUZ58" s="609"/>
      <c r="LVA58" s="609"/>
      <c r="LVB58" s="609"/>
      <c r="LVC58" s="609"/>
      <c r="LVD58" s="609"/>
      <c r="LVE58" s="609"/>
      <c r="LVF58" s="609"/>
      <c r="LVG58" s="609"/>
      <c r="LVH58" s="609"/>
      <c r="LVI58" s="609"/>
      <c r="LVJ58" s="609"/>
      <c r="LVK58" s="609"/>
      <c r="LVL58" s="609"/>
      <c r="LVM58" s="609"/>
      <c r="LVN58" s="609"/>
      <c r="LVO58" s="609"/>
      <c r="LVP58" s="609"/>
      <c r="LVQ58" s="609"/>
      <c r="LVR58" s="609"/>
      <c r="LVS58" s="609"/>
      <c r="LVT58" s="609"/>
      <c r="LVU58" s="609"/>
      <c r="LVV58" s="609"/>
      <c r="LVW58" s="609"/>
      <c r="LVX58" s="609"/>
      <c r="LVY58" s="609"/>
      <c r="LVZ58" s="609"/>
      <c r="LWA58" s="609"/>
      <c r="LWB58" s="609"/>
      <c r="LWC58" s="609"/>
      <c r="LWD58" s="609"/>
      <c r="LWE58" s="609"/>
      <c r="LWF58" s="609"/>
      <c r="LWG58" s="609"/>
      <c r="LWH58" s="609"/>
      <c r="LWI58" s="609"/>
      <c r="LWJ58" s="609"/>
      <c r="LWK58" s="609"/>
      <c r="LWL58" s="609"/>
      <c r="LWM58" s="609"/>
      <c r="LWN58" s="609"/>
      <c r="LWO58" s="609"/>
      <c r="LWP58" s="609"/>
      <c r="LWQ58" s="609"/>
      <c r="LWR58" s="609"/>
      <c r="LWS58" s="609"/>
      <c r="LWT58" s="609"/>
      <c r="LWU58" s="609"/>
      <c r="LWV58" s="609"/>
      <c r="LWW58" s="609"/>
      <c r="LWX58" s="609"/>
      <c r="LWY58" s="609"/>
      <c r="LWZ58" s="609"/>
      <c r="LXA58" s="609"/>
      <c r="LXB58" s="609"/>
      <c r="LXC58" s="609"/>
      <c r="LXD58" s="609"/>
      <c r="LXE58" s="609"/>
      <c r="LXF58" s="609"/>
      <c r="LXG58" s="609"/>
      <c r="LXH58" s="609"/>
      <c r="LXI58" s="609"/>
      <c r="LXJ58" s="609"/>
      <c r="LXK58" s="609"/>
      <c r="LXL58" s="609"/>
      <c r="LXM58" s="609"/>
      <c r="LXN58" s="609"/>
      <c r="LXO58" s="609"/>
      <c r="LXP58" s="609"/>
      <c r="LXQ58" s="609"/>
      <c r="LXR58" s="609"/>
      <c r="LXS58" s="609"/>
      <c r="LXT58" s="609"/>
      <c r="LXU58" s="609"/>
      <c r="LXV58" s="609"/>
      <c r="LXW58" s="609"/>
      <c r="LXX58" s="609"/>
      <c r="LXY58" s="609"/>
      <c r="LXZ58" s="609"/>
      <c r="LYA58" s="609"/>
      <c r="LYB58" s="609"/>
      <c r="LYC58" s="609"/>
      <c r="LYD58" s="609"/>
      <c r="LYE58" s="609"/>
      <c r="LYF58" s="609"/>
      <c r="LYG58" s="609"/>
      <c r="LYH58" s="609"/>
      <c r="LYI58" s="609"/>
      <c r="LYJ58" s="609"/>
      <c r="LYK58" s="609"/>
      <c r="LYL58" s="609"/>
      <c r="LYM58" s="609"/>
      <c r="LYN58" s="609"/>
      <c r="LYO58" s="609"/>
      <c r="LYP58" s="609"/>
      <c r="LYQ58" s="609"/>
      <c r="LYR58" s="609"/>
      <c r="LYS58" s="609"/>
      <c r="LYT58" s="609"/>
      <c r="LYU58" s="609"/>
      <c r="LYV58" s="609"/>
      <c r="LYW58" s="609"/>
      <c r="LYX58" s="609"/>
      <c r="LYY58" s="609"/>
      <c r="LYZ58" s="609"/>
      <c r="LZA58" s="609"/>
      <c r="LZB58" s="609"/>
      <c r="LZC58" s="609"/>
      <c r="LZD58" s="609"/>
      <c r="LZE58" s="609"/>
      <c r="LZF58" s="609"/>
      <c r="LZG58" s="609"/>
      <c r="LZH58" s="609"/>
      <c r="LZI58" s="609"/>
      <c r="LZJ58" s="609"/>
      <c r="LZK58" s="609"/>
      <c r="LZL58" s="609"/>
      <c r="LZM58" s="609"/>
      <c r="LZN58" s="609"/>
      <c r="LZO58" s="609"/>
      <c r="LZP58" s="609"/>
      <c r="LZQ58" s="609"/>
      <c r="LZR58" s="609"/>
      <c r="LZS58" s="609"/>
      <c r="LZT58" s="609"/>
      <c r="LZU58" s="609"/>
      <c r="LZV58" s="609"/>
      <c r="LZW58" s="609"/>
      <c r="LZX58" s="609"/>
      <c r="LZY58" s="609"/>
      <c r="LZZ58" s="609"/>
      <c r="MAA58" s="609"/>
      <c r="MAB58" s="609"/>
      <c r="MAC58" s="609"/>
      <c r="MAD58" s="609"/>
      <c r="MAE58" s="609"/>
      <c r="MAF58" s="609"/>
      <c r="MAG58" s="609"/>
      <c r="MAH58" s="609"/>
      <c r="MAI58" s="609"/>
      <c r="MAJ58" s="609"/>
      <c r="MAK58" s="609"/>
      <c r="MAL58" s="609"/>
      <c r="MAM58" s="609"/>
      <c r="MAN58" s="609"/>
      <c r="MAO58" s="609"/>
      <c r="MAP58" s="609"/>
      <c r="MAQ58" s="609"/>
      <c r="MAR58" s="609"/>
      <c r="MAS58" s="609"/>
      <c r="MAT58" s="609"/>
      <c r="MAU58" s="609"/>
      <c r="MAV58" s="609"/>
      <c r="MAW58" s="609"/>
      <c r="MAX58" s="609"/>
      <c r="MAY58" s="609"/>
      <c r="MAZ58" s="609"/>
      <c r="MBA58" s="609"/>
      <c r="MBB58" s="609"/>
      <c r="MBC58" s="609"/>
      <c r="MBD58" s="609"/>
      <c r="MBE58" s="609"/>
      <c r="MBF58" s="609"/>
      <c r="MBG58" s="609"/>
      <c r="MBH58" s="609"/>
      <c r="MBI58" s="609"/>
      <c r="MBJ58" s="609"/>
      <c r="MBK58" s="609"/>
      <c r="MBL58" s="609"/>
      <c r="MBM58" s="609"/>
      <c r="MBN58" s="609"/>
      <c r="MBO58" s="609"/>
      <c r="MBP58" s="609"/>
      <c r="MBQ58" s="609"/>
      <c r="MBR58" s="609"/>
      <c r="MBS58" s="609"/>
      <c r="MBT58" s="609"/>
      <c r="MBU58" s="609"/>
      <c r="MBV58" s="609"/>
      <c r="MBW58" s="609"/>
      <c r="MBX58" s="609"/>
      <c r="MBY58" s="609"/>
      <c r="MBZ58" s="609"/>
      <c r="MCA58" s="609"/>
      <c r="MCB58" s="609"/>
      <c r="MCC58" s="609"/>
      <c r="MCD58" s="609"/>
      <c r="MCE58" s="609"/>
      <c r="MCF58" s="609"/>
      <c r="MCG58" s="609"/>
      <c r="MCH58" s="609"/>
      <c r="MCI58" s="609"/>
      <c r="MCJ58" s="609"/>
      <c r="MCK58" s="609"/>
      <c r="MCL58" s="609"/>
      <c r="MCM58" s="609"/>
      <c r="MCN58" s="609"/>
      <c r="MCO58" s="609"/>
      <c r="MCP58" s="609"/>
      <c r="MCQ58" s="609"/>
      <c r="MCR58" s="609"/>
      <c r="MCS58" s="609"/>
      <c r="MCT58" s="609"/>
      <c r="MCU58" s="609"/>
      <c r="MCV58" s="609"/>
      <c r="MCW58" s="609"/>
      <c r="MCX58" s="609"/>
      <c r="MCY58" s="609"/>
      <c r="MCZ58" s="609"/>
      <c r="MDA58" s="609"/>
      <c r="MDB58" s="609"/>
      <c r="MDC58" s="609"/>
      <c r="MDD58" s="609"/>
      <c r="MDE58" s="609"/>
      <c r="MDF58" s="609"/>
      <c r="MDG58" s="609"/>
      <c r="MDH58" s="609"/>
      <c r="MDI58" s="609"/>
      <c r="MDJ58" s="609"/>
      <c r="MDK58" s="609"/>
      <c r="MDL58" s="609"/>
      <c r="MDM58" s="609"/>
      <c r="MDN58" s="609"/>
      <c r="MDO58" s="609"/>
      <c r="MDP58" s="609"/>
      <c r="MDQ58" s="609"/>
      <c r="MDR58" s="609"/>
      <c r="MDS58" s="609"/>
      <c r="MDT58" s="609"/>
      <c r="MDU58" s="609"/>
      <c r="MDV58" s="609"/>
      <c r="MDW58" s="609"/>
      <c r="MDX58" s="609"/>
      <c r="MDY58" s="609"/>
      <c r="MDZ58" s="609"/>
      <c r="MEA58" s="609"/>
      <c r="MEB58" s="609"/>
      <c r="MEC58" s="609"/>
      <c r="MED58" s="609"/>
      <c r="MEE58" s="609"/>
      <c r="MEF58" s="609"/>
      <c r="MEG58" s="609"/>
      <c r="MEH58" s="609"/>
      <c r="MEI58" s="609"/>
      <c r="MEJ58" s="609"/>
      <c r="MEK58" s="609"/>
      <c r="MEL58" s="609"/>
      <c r="MEM58" s="609"/>
      <c r="MEN58" s="609"/>
      <c r="MEO58" s="609"/>
      <c r="MEP58" s="609"/>
      <c r="MEQ58" s="609"/>
      <c r="MER58" s="609"/>
      <c r="MES58" s="609"/>
      <c r="MET58" s="609"/>
      <c r="MEU58" s="609"/>
      <c r="MEV58" s="609"/>
      <c r="MEW58" s="609"/>
      <c r="MEX58" s="609"/>
      <c r="MEY58" s="609"/>
      <c r="MEZ58" s="609"/>
      <c r="MFA58" s="609"/>
      <c r="MFB58" s="609"/>
      <c r="MFC58" s="609"/>
      <c r="MFD58" s="609"/>
      <c r="MFE58" s="609"/>
      <c r="MFF58" s="609"/>
      <c r="MFG58" s="609"/>
      <c r="MFH58" s="609"/>
      <c r="MFI58" s="609"/>
      <c r="MFJ58" s="609"/>
      <c r="MFK58" s="609"/>
      <c r="MFL58" s="609"/>
      <c r="MFM58" s="609"/>
      <c r="MFN58" s="609"/>
      <c r="MFO58" s="609"/>
      <c r="MFP58" s="609"/>
      <c r="MFQ58" s="609"/>
      <c r="MFR58" s="609"/>
      <c r="MFS58" s="609"/>
      <c r="MFT58" s="609"/>
      <c r="MFU58" s="609"/>
      <c r="MFV58" s="609"/>
      <c r="MFW58" s="609"/>
      <c r="MFX58" s="609"/>
      <c r="MFY58" s="609"/>
      <c r="MFZ58" s="609"/>
      <c r="MGA58" s="609"/>
      <c r="MGB58" s="609"/>
      <c r="MGC58" s="609"/>
      <c r="MGD58" s="609"/>
      <c r="MGE58" s="609"/>
      <c r="MGF58" s="609"/>
      <c r="MGG58" s="609"/>
      <c r="MGH58" s="609"/>
      <c r="MGI58" s="609"/>
      <c r="MGJ58" s="609"/>
      <c r="MGK58" s="609"/>
      <c r="MGL58" s="609"/>
      <c r="MGM58" s="609"/>
      <c r="MGN58" s="609"/>
      <c r="MGO58" s="609"/>
      <c r="MGP58" s="609"/>
      <c r="MGQ58" s="609"/>
      <c r="MGR58" s="609"/>
      <c r="MGS58" s="609"/>
      <c r="MGT58" s="609"/>
      <c r="MGU58" s="609"/>
      <c r="MGV58" s="609"/>
      <c r="MGW58" s="609"/>
      <c r="MGX58" s="609"/>
      <c r="MGY58" s="609"/>
      <c r="MGZ58" s="609"/>
      <c r="MHA58" s="609"/>
      <c r="MHB58" s="609"/>
      <c r="MHC58" s="609"/>
      <c r="MHD58" s="609"/>
      <c r="MHE58" s="609"/>
      <c r="MHF58" s="609"/>
      <c r="MHG58" s="609"/>
      <c r="MHH58" s="609"/>
      <c r="MHI58" s="609"/>
      <c r="MHJ58" s="609"/>
      <c r="MHK58" s="609"/>
      <c r="MHL58" s="609"/>
      <c r="MHM58" s="609"/>
      <c r="MHN58" s="609"/>
      <c r="MHO58" s="609"/>
      <c r="MHP58" s="609"/>
      <c r="MHQ58" s="609"/>
      <c r="MHR58" s="609"/>
      <c r="MHS58" s="609"/>
      <c r="MHT58" s="609"/>
      <c r="MHU58" s="609"/>
      <c r="MHV58" s="609"/>
      <c r="MHW58" s="609"/>
      <c r="MHX58" s="609"/>
      <c r="MHY58" s="609"/>
      <c r="MHZ58" s="609"/>
      <c r="MIA58" s="609"/>
      <c r="MIB58" s="609"/>
      <c r="MIC58" s="609"/>
      <c r="MID58" s="609"/>
      <c r="MIE58" s="609"/>
      <c r="MIF58" s="609"/>
      <c r="MIG58" s="609"/>
      <c r="MIH58" s="609"/>
      <c r="MII58" s="609"/>
      <c r="MIJ58" s="609"/>
      <c r="MIK58" s="609"/>
      <c r="MIL58" s="609"/>
      <c r="MIM58" s="609"/>
      <c r="MIN58" s="609"/>
      <c r="MIO58" s="609"/>
      <c r="MIP58" s="609"/>
      <c r="MIQ58" s="609"/>
      <c r="MIR58" s="609"/>
      <c r="MIS58" s="609"/>
      <c r="MIT58" s="609"/>
      <c r="MIU58" s="609"/>
      <c r="MIV58" s="609"/>
      <c r="MIW58" s="609"/>
      <c r="MIX58" s="609"/>
      <c r="MIY58" s="609"/>
      <c r="MIZ58" s="609"/>
      <c r="MJA58" s="609"/>
      <c r="MJB58" s="609"/>
      <c r="MJC58" s="609"/>
      <c r="MJD58" s="609"/>
      <c r="MJE58" s="609"/>
      <c r="MJF58" s="609"/>
      <c r="MJG58" s="609"/>
      <c r="MJH58" s="609"/>
      <c r="MJI58" s="609"/>
      <c r="MJJ58" s="609"/>
      <c r="MJK58" s="609"/>
      <c r="MJL58" s="609"/>
      <c r="MJM58" s="609"/>
      <c r="MJN58" s="609"/>
      <c r="MJO58" s="609"/>
      <c r="MJP58" s="609"/>
      <c r="MJQ58" s="609"/>
      <c r="MJR58" s="609"/>
      <c r="MJS58" s="609"/>
      <c r="MJT58" s="609"/>
      <c r="MJU58" s="609"/>
      <c r="MJV58" s="609"/>
      <c r="MJW58" s="609"/>
      <c r="MJX58" s="609"/>
      <c r="MJY58" s="609"/>
      <c r="MJZ58" s="609"/>
      <c r="MKA58" s="609"/>
      <c r="MKB58" s="609"/>
      <c r="MKC58" s="609"/>
      <c r="MKD58" s="609"/>
      <c r="MKE58" s="609"/>
      <c r="MKF58" s="609"/>
      <c r="MKG58" s="609"/>
      <c r="MKH58" s="609"/>
      <c r="MKI58" s="609"/>
      <c r="MKJ58" s="609"/>
      <c r="MKK58" s="609"/>
      <c r="MKL58" s="609"/>
      <c r="MKM58" s="609"/>
      <c r="MKN58" s="609"/>
      <c r="MKO58" s="609"/>
      <c r="MKP58" s="609"/>
      <c r="MKQ58" s="609"/>
      <c r="MKR58" s="609"/>
      <c r="MKS58" s="609"/>
      <c r="MKT58" s="609"/>
      <c r="MKU58" s="609"/>
      <c r="MKV58" s="609"/>
      <c r="MKW58" s="609"/>
      <c r="MKX58" s="609"/>
      <c r="MKY58" s="609"/>
      <c r="MKZ58" s="609"/>
      <c r="MLA58" s="609"/>
      <c r="MLB58" s="609"/>
      <c r="MLC58" s="609"/>
      <c r="MLD58" s="609"/>
      <c r="MLE58" s="609"/>
      <c r="MLF58" s="609"/>
      <c r="MLG58" s="609"/>
      <c r="MLH58" s="609"/>
      <c r="MLI58" s="609"/>
      <c r="MLJ58" s="609"/>
      <c r="MLK58" s="609"/>
      <c r="MLL58" s="609"/>
      <c r="MLM58" s="609"/>
      <c r="MLN58" s="609"/>
      <c r="MLO58" s="609"/>
      <c r="MLP58" s="609"/>
      <c r="MLQ58" s="609"/>
      <c r="MLR58" s="609"/>
      <c r="MLS58" s="609"/>
      <c r="MLT58" s="609"/>
      <c r="MLU58" s="609"/>
      <c r="MLV58" s="609"/>
      <c r="MLW58" s="609"/>
      <c r="MLX58" s="609"/>
      <c r="MLY58" s="609"/>
      <c r="MLZ58" s="609"/>
      <c r="MMA58" s="609"/>
      <c r="MMB58" s="609"/>
      <c r="MMC58" s="609"/>
      <c r="MMD58" s="609"/>
      <c r="MME58" s="609"/>
      <c r="MMF58" s="609"/>
      <c r="MMG58" s="609"/>
      <c r="MMH58" s="609"/>
      <c r="MMI58" s="609"/>
      <c r="MMJ58" s="609"/>
      <c r="MMK58" s="609"/>
      <c r="MML58" s="609"/>
      <c r="MMM58" s="609"/>
      <c r="MMN58" s="609"/>
      <c r="MMO58" s="609"/>
      <c r="MMP58" s="609"/>
      <c r="MMQ58" s="609"/>
      <c r="MMR58" s="609"/>
      <c r="MMS58" s="609"/>
      <c r="MMT58" s="609"/>
      <c r="MMU58" s="609"/>
      <c r="MMV58" s="609"/>
      <c r="MMW58" s="609"/>
      <c r="MMX58" s="609"/>
      <c r="MMY58" s="609"/>
      <c r="MMZ58" s="609"/>
      <c r="MNA58" s="609"/>
      <c r="MNB58" s="609"/>
      <c r="MNC58" s="609"/>
      <c r="MND58" s="609"/>
      <c r="MNE58" s="609"/>
      <c r="MNF58" s="609"/>
      <c r="MNG58" s="609"/>
      <c r="MNH58" s="609"/>
      <c r="MNI58" s="609"/>
      <c r="MNJ58" s="609"/>
      <c r="MNK58" s="609"/>
      <c r="MNL58" s="609"/>
      <c r="MNM58" s="609"/>
      <c r="MNN58" s="609"/>
      <c r="MNO58" s="609"/>
      <c r="MNP58" s="609"/>
      <c r="MNQ58" s="609"/>
      <c r="MNR58" s="609"/>
      <c r="MNS58" s="609"/>
      <c r="MNT58" s="609"/>
      <c r="MNU58" s="609"/>
      <c r="MNV58" s="609"/>
      <c r="MNW58" s="609"/>
      <c r="MNX58" s="609"/>
      <c r="MNY58" s="609"/>
      <c r="MNZ58" s="609"/>
      <c r="MOA58" s="609"/>
      <c r="MOB58" s="609"/>
      <c r="MOC58" s="609"/>
      <c r="MOD58" s="609"/>
      <c r="MOE58" s="609"/>
      <c r="MOF58" s="609"/>
      <c r="MOG58" s="609"/>
      <c r="MOH58" s="609"/>
      <c r="MOI58" s="609"/>
      <c r="MOJ58" s="609"/>
      <c r="MOK58" s="609"/>
      <c r="MOL58" s="609"/>
      <c r="MOM58" s="609"/>
      <c r="MON58" s="609"/>
      <c r="MOO58" s="609"/>
      <c r="MOP58" s="609"/>
      <c r="MOQ58" s="609"/>
      <c r="MOR58" s="609"/>
      <c r="MOS58" s="609"/>
      <c r="MOT58" s="609"/>
      <c r="MOU58" s="609"/>
      <c r="MOV58" s="609"/>
      <c r="MOW58" s="609"/>
      <c r="MOX58" s="609"/>
      <c r="MOY58" s="609"/>
      <c r="MOZ58" s="609"/>
      <c r="MPA58" s="609"/>
      <c r="MPB58" s="609"/>
      <c r="MPC58" s="609"/>
      <c r="MPD58" s="609"/>
      <c r="MPE58" s="609"/>
      <c r="MPF58" s="609"/>
      <c r="MPG58" s="609"/>
      <c r="MPH58" s="609"/>
      <c r="MPI58" s="609"/>
      <c r="MPJ58" s="609"/>
      <c r="MPK58" s="609"/>
      <c r="MPL58" s="609"/>
      <c r="MPM58" s="609"/>
      <c r="MPN58" s="609"/>
      <c r="MPO58" s="609"/>
      <c r="MPP58" s="609"/>
      <c r="MPQ58" s="609"/>
      <c r="MPR58" s="609"/>
      <c r="MPS58" s="609"/>
      <c r="MPT58" s="609"/>
      <c r="MPU58" s="609"/>
      <c r="MPV58" s="609"/>
      <c r="MPW58" s="609"/>
      <c r="MPX58" s="609"/>
      <c r="MPY58" s="609"/>
      <c r="MPZ58" s="609"/>
      <c r="MQA58" s="609"/>
      <c r="MQB58" s="609"/>
      <c r="MQC58" s="609"/>
      <c r="MQD58" s="609"/>
      <c r="MQE58" s="609"/>
      <c r="MQF58" s="609"/>
      <c r="MQG58" s="609"/>
      <c r="MQH58" s="609"/>
      <c r="MQI58" s="609"/>
      <c r="MQJ58" s="609"/>
      <c r="MQK58" s="609"/>
      <c r="MQL58" s="609"/>
      <c r="MQM58" s="609"/>
      <c r="MQN58" s="609"/>
      <c r="MQO58" s="609"/>
      <c r="MQP58" s="609"/>
      <c r="MQQ58" s="609"/>
      <c r="MQR58" s="609"/>
      <c r="MQS58" s="609"/>
      <c r="MQT58" s="609"/>
      <c r="MQU58" s="609"/>
      <c r="MQV58" s="609"/>
      <c r="MQW58" s="609"/>
      <c r="MQX58" s="609"/>
      <c r="MQY58" s="609"/>
      <c r="MQZ58" s="609"/>
      <c r="MRA58" s="609"/>
      <c r="MRB58" s="609"/>
      <c r="MRC58" s="609"/>
      <c r="MRD58" s="609"/>
      <c r="MRE58" s="609"/>
      <c r="MRF58" s="609"/>
      <c r="MRG58" s="609"/>
      <c r="MRH58" s="609"/>
      <c r="MRI58" s="609"/>
      <c r="MRJ58" s="609"/>
      <c r="MRK58" s="609"/>
      <c r="MRL58" s="609"/>
      <c r="MRM58" s="609"/>
      <c r="MRN58" s="609"/>
      <c r="MRO58" s="609"/>
      <c r="MRP58" s="609"/>
      <c r="MRQ58" s="609"/>
      <c r="MRR58" s="609"/>
      <c r="MRS58" s="609"/>
      <c r="MRT58" s="609"/>
      <c r="MRU58" s="609"/>
      <c r="MRV58" s="609"/>
      <c r="MRW58" s="609"/>
      <c r="MRX58" s="609"/>
      <c r="MRY58" s="609"/>
      <c r="MRZ58" s="609"/>
      <c r="MSA58" s="609"/>
      <c r="MSB58" s="609"/>
      <c r="MSC58" s="609"/>
      <c r="MSD58" s="609"/>
      <c r="MSE58" s="609"/>
      <c r="MSF58" s="609"/>
      <c r="MSG58" s="609"/>
      <c r="MSH58" s="609"/>
      <c r="MSI58" s="609"/>
      <c r="MSJ58" s="609"/>
      <c r="MSK58" s="609"/>
      <c r="MSL58" s="609"/>
      <c r="MSM58" s="609"/>
      <c r="MSN58" s="609"/>
      <c r="MSO58" s="609"/>
      <c r="MSP58" s="609"/>
      <c r="MSQ58" s="609"/>
      <c r="MSR58" s="609"/>
      <c r="MSS58" s="609"/>
      <c r="MST58" s="609"/>
      <c r="MSU58" s="609"/>
      <c r="MSV58" s="609"/>
      <c r="MSW58" s="609"/>
      <c r="MSX58" s="609"/>
      <c r="MSY58" s="609"/>
      <c r="MSZ58" s="609"/>
      <c r="MTA58" s="609"/>
      <c r="MTB58" s="609"/>
      <c r="MTC58" s="609"/>
      <c r="MTD58" s="609"/>
      <c r="MTE58" s="609"/>
      <c r="MTF58" s="609"/>
      <c r="MTG58" s="609"/>
      <c r="MTH58" s="609"/>
      <c r="MTI58" s="609"/>
      <c r="MTJ58" s="609"/>
      <c r="MTK58" s="609"/>
      <c r="MTL58" s="609"/>
      <c r="MTM58" s="609"/>
      <c r="MTN58" s="609"/>
      <c r="MTO58" s="609"/>
      <c r="MTP58" s="609"/>
      <c r="MTQ58" s="609"/>
      <c r="MTR58" s="609"/>
      <c r="MTS58" s="609"/>
      <c r="MTT58" s="609"/>
      <c r="MTU58" s="609"/>
      <c r="MTV58" s="609"/>
      <c r="MTW58" s="609"/>
      <c r="MTX58" s="609"/>
      <c r="MTY58" s="609"/>
      <c r="MTZ58" s="609"/>
      <c r="MUA58" s="609"/>
      <c r="MUB58" s="609"/>
      <c r="MUC58" s="609"/>
      <c r="MUD58" s="609"/>
      <c r="MUE58" s="609"/>
      <c r="MUF58" s="609"/>
      <c r="MUG58" s="609"/>
      <c r="MUH58" s="609"/>
      <c r="MUI58" s="609"/>
      <c r="MUJ58" s="609"/>
      <c r="MUK58" s="609"/>
      <c r="MUL58" s="609"/>
      <c r="MUM58" s="609"/>
      <c r="MUN58" s="609"/>
      <c r="MUO58" s="609"/>
      <c r="MUP58" s="609"/>
      <c r="MUQ58" s="609"/>
      <c r="MUR58" s="609"/>
      <c r="MUS58" s="609"/>
      <c r="MUT58" s="609"/>
      <c r="MUU58" s="609"/>
      <c r="MUV58" s="609"/>
      <c r="MUW58" s="609"/>
      <c r="MUX58" s="609"/>
      <c r="MUY58" s="609"/>
      <c r="MUZ58" s="609"/>
      <c r="MVA58" s="609"/>
      <c r="MVB58" s="609"/>
      <c r="MVC58" s="609"/>
      <c r="MVD58" s="609"/>
      <c r="MVE58" s="609"/>
      <c r="MVF58" s="609"/>
      <c r="MVG58" s="609"/>
      <c r="MVH58" s="609"/>
      <c r="MVI58" s="609"/>
      <c r="MVJ58" s="609"/>
      <c r="MVK58" s="609"/>
      <c r="MVL58" s="609"/>
      <c r="MVM58" s="609"/>
      <c r="MVN58" s="609"/>
      <c r="MVO58" s="609"/>
      <c r="MVP58" s="609"/>
      <c r="MVQ58" s="609"/>
      <c r="MVR58" s="609"/>
      <c r="MVS58" s="609"/>
      <c r="MVT58" s="609"/>
      <c r="MVU58" s="609"/>
      <c r="MVV58" s="609"/>
      <c r="MVW58" s="609"/>
      <c r="MVX58" s="609"/>
      <c r="MVY58" s="609"/>
      <c r="MVZ58" s="609"/>
      <c r="MWA58" s="609"/>
      <c r="MWB58" s="609"/>
      <c r="MWC58" s="609"/>
      <c r="MWD58" s="609"/>
      <c r="MWE58" s="609"/>
      <c r="MWF58" s="609"/>
      <c r="MWG58" s="609"/>
      <c r="MWH58" s="609"/>
      <c r="MWI58" s="609"/>
      <c r="MWJ58" s="609"/>
      <c r="MWK58" s="609"/>
      <c r="MWL58" s="609"/>
      <c r="MWM58" s="609"/>
      <c r="MWN58" s="609"/>
      <c r="MWO58" s="609"/>
      <c r="MWP58" s="609"/>
      <c r="MWQ58" s="609"/>
      <c r="MWR58" s="609"/>
      <c r="MWS58" s="609"/>
      <c r="MWT58" s="609"/>
      <c r="MWU58" s="609"/>
      <c r="MWV58" s="609"/>
      <c r="MWW58" s="609"/>
      <c r="MWX58" s="609"/>
      <c r="MWY58" s="609"/>
      <c r="MWZ58" s="609"/>
      <c r="MXA58" s="609"/>
      <c r="MXB58" s="609"/>
      <c r="MXC58" s="609"/>
      <c r="MXD58" s="609"/>
      <c r="MXE58" s="609"/>
      <c r="MXF58" s="609"/>
      <c r="MXG58" s="609"/>
      <c r="MXH58" s="609"/>
      <c r="MXI58" s="609"/>
      <c r="MXJ58" s="609"/>
      <c r="MXK58" s="609"/>
      <c r="MXL58" s="609"/>
      <c r="MXM58" s="609"/>
      <c r="MXN58" s="609"/>
      <c r="MXO58" s="609"/>
      <c r="MXP58" s="609"/>
      <c r="MXQ58" s="609"/>
      <c r="MXR58" s="609"/>
      <c r="MXS58" s="609"/>
      <c r="MXT58" s="609"/>
      <c r="MXU58" s="609"/>
      <c r="MXV58" s="609"/>
      <c r="MXW58" s="609"/>
      <c r="MXX58" s="609"/>
      <c r="MXY58" s="609"/>
      <c r="MXZ58" s="609"/>
      <c r="MYA58" s="609"/>
      <c r="MYB58" s="609"/>
      <c r="MYC58" s="609"/>
      <c r="MYD58" s="609"/>
      <c r="MYE58" s="609"/>
      <c r="MYF58" s="609"/>
      <c r="MYG58" s="609"/>
      <c r="MYH58" s="609"/>
      <c r="MYI58" s="609"/>
      <c r="MYJ58" s="609"/>
      <c r="MYK58" s="609"/>
      <c r="MYL58" s="609"/>
      <c r="MYM58" s="609"/>
      <c r="MYN58" s="609"/>
      <c r="MYO58" s="609"/>
      <c r="MYP58" s="609"/>
      <c r="MYQ58" s="609"/>
      <c r="MYR58" s="609"/>
      <c r="MYS58" s="609"/>
      <c r="MYT58" s="609"/>
      <c r="MYU58" s="609"/>
      <c r="MYV58" s="609"/>
      <c r="MYW58" s="609"/>
      <c r="MYX58" s="609"/>
      <c r="MYY58" s="609"/>
      <c r="MYZ58" s="609"/>
      <c r="MZA58" s="609"/>
      <c r="MZB58" s="609"/>
      <c r="MZC58" s="609"/>
      <c r="MZD58" s="609"/>
      <c r="MZE58" s="609"/>
      <c r="MZF58" s="609"/>
      <c r="MZG58" s="609"/>
      <c r="MZH58" s="609"/>
      <c r="MZI58" s="609"/>
      <c r="MZJ58" s="609"/>
      <c r="MZK58" s="609"/>
      <c r="MZL58" s="609"/>
      <c r="MZM58" s="609"/>
      <c r="MZN58" s="609"/>
      <c r="MZO58" s="609"/>
      <c r="MZP58" s="609"/>
      <c r="MZQ58" s="609"/>
      <c r="MZR58" s="609"/>
      <c r="MZS58" s="609"/>
      <c r="MZT58" s="609"/>
      <c r="MZU58" s="609"/>
      <c r="MZV58" s="609"/>
      <c r="MZW58" s="609"/>
      <c r="MZX58" s="609"/>
      <c r="MZY58" s="609"/>
      <c r="MZZ58" s="609"/>
      <c r="NAA58" s="609"/>
      <c r="NAB58" s="609"/>
      <c r="NAC58" s="609"/>
      <c r="NAD58" s="609"/>
      <c r="NAE58" s="609"/>
      <c r="NAF58" s="609"/>
      <c r="NAG58" s="609"/>
      <c r="NAH58" s="609"/>
      <c r="NAI58" s="609"/>
      <c r="NAJ58" s="609"/>
      <c r="NAK58" s="609"/>
      <c r="NAL58" s="609"/>
      <c r="NAM58" s="609"/>
      <c r="NAN58" s="609"/>
      <c r="NAO58" s="609"/>
      <c r="NAP58" s="609"/>
      <c r="NAQ58" s="609"/>
      <c r="NAR58" s="609"/>
      <c r="NAS58" s="609"/>
      <c r="NAT58" s="609"/>
      <c r="NAU58" s="609"/>
      <c r="NAV58" s="609"/>
      <c r="NAW58" s="609"/>
      <c r="NAX58" s="609"/>
      <c r="NAY58" s="609"/>
      <c r="NAZ58" s="609"/>
      <c r="NBA58" s="609"/>
      <c r="NBB58" s="609"/>
      <c r="NBC58" s="609"/>
      <c r="NBD58" s="609"/>
      <c r="NBE58" s="609"/>
      <c r="NBF58" s="609"/>
      <c r="NBG58" s="609"/>
      <c r="NBH58" s="609"/>
      <c r="NBI58" s="609"/>
      <c r="NBJ58" s="609"/>
      <c r="NBK58" s="609"/>
      <c r="NBL58" s="609"/>
      <c r="NBM58" s="609"/>
      <c r="NBN58" s="609"/>
      <c r="NBO58" s="609"/>
      <c r="NBP58" s="609"/>
      <c r="NBQ58" s="609"/>
      <c r="NBR58" s="609"/>
      <c r="NBS58" s="609"/>
      <c r="NBT58" s="609"/>
      <c r="NBU58" s="609"/>
      <c r="NBV58" s="609"/>
      <c r="NBW58" s="609"/>
      <c r="NBX58" s="609"/>
      <c r="NBY58" s="609"/>
      <c r="NBZ58" s="609"/>
      <c r="NCA58" s="609"/>
      <c r="NCB58" s="609"/>
      <c r="NCC58" s="609"/>
      <c r="NCD58" s="609"/>
      <c r="NCE58" s="609"/>
      <c r="NCF58" s="609"/>
      <c r="NCG58" s="609"/>
      <c r="NCH58" s="609"/>
      <c r="NCI58" s="609"/>
      <c r="NCJ58" s="609"/>
      <c r="NCK58" s="609"/>
      <c r="NCL58" s="609"/>
      <c r="NCM58" s="609"/>
      <c r="NCN58" s="609"/>
      <c r="NCO58" s="609"/>
      <c r="NCP58" s="609"/>
      <c r="NCQ58" s="609"/>
      <c r="NCR58" s="609"/>
      <c r="NCS58" s="609"/>
      <c r="NCT58" s="609"/>
      <c r="NCU58" s="609"/>
      <c r="NCV58" s="609"/>
      <c r="NCW58" s="609"/>
      <c r="NCX58" s="609"/>
      <c r="NCY58" s="609"/>
      <c r="NCZ58" s="609"/>
      <c r="NDA58" s="609"/>
      <c r="NDB58" s="609"/>
      <c r="NDC58" s="609"/>
      <c r="NDD58" s="609"/>
      <c r="NDE58" s="609"/>
      <c r="NDF58" s="609"/>
      <c r="NDG58" s="609"/>
      <c r="NDH58" s="609"/>
      <c r="NDI58" s="609"/>
      <c r="NDJ58" s="609"/>
      <c r="NDK58" s="609"/>
      <c r="NDL58" s="609"/>
      <c r="NDM58" s="609"/>
      <c r="NDN58" s="609"/>
      <c r="NDO58" s="609"/>
      <c r="NDP58" s="609"/>
      <c r="NDQ58" s="609"/>
      <c r="NDR58" s="609"/>
      <c r="NDS58" s="609"/>
      <c r="NDT58" s="609"/>
      <c r="NDU58" s="609"/>
      <c r="NDV58" s="609"/>
      <c r="NDW58" s="609"/>
      <c r="NDX58" s="609"/>
      <c r="NDY58" s="609"/>
      <c r="NDZ58" s="609"/>
      <c r="NEA58" s="609"/>
      <c r="NEB58" s="609"/>
      <c r="NEC58" s="609"/>
      <c r="NED58" s="609"/>
      <c r="NEE58" s="609"/>
      <c r="NEF58" s="609"/>
      <c r="NEG58" s="609"/>
      <c r="NEH58" s="609"/>
      <c r="NEI58" s="609"/>
      <c r="NEJ58" s="609"/>
      <c r="NEK58" s="609"/>
      <c r="NEL58" s="609"/>
      <c r="NEM58" s="609"/>
      <c r="NEN58" s="609"/>
      <c r="NEO58" s="609"/>
      <c r="NEP58" s="609"/>
      <c r="NEQ58" s="609"/>
      <c r="NER58" s="609"/>
      <c r="NES58" s="609"/>
      <c r="NET58" s="609"/>
      <c r="NEU58" s="609"/>
      <c r="NEV58" s="609"/>
      <c r="NEW58" s="609"/>
      <c r="NEX58" s="609"/>
      <c r="NEY58" s="609"/>
      <c r="NEZ58" s="609"/>
      <c r="NFA58" s="609"/>
      <c r="NFB58" s="609"/>
      <c r="NFC58" s="609"/>
      <c r="NFD58" s="609"/>
      <c r="NFE58" s="609"/>
      <c r="NFF58" s="609"/>
      <c r="NFG58" s="609"/>
      <c r="NFH58" s="609"/>
      <c r="NFI58" s="609"/>
      <c r="NFJ58" s="609"/>
      <c r="NFK58" s="609"/>
      <c r="NFL58" s="609"/>
      <c r="NFM58" s="609"/>
      <c r="NFN58" s="609"/>
      <c r="NFO58" s="609"/>
      <c r="NFP58" s="609"/>
      <c r="NFQ58" s="609"/>
      <c r="NFR58" s="609"/>
      <c r="NFS58" s="609"/>
      <c r="NFT58" s="609"/>
      <c r="NFU58" s="609"/>
      <c r="NFV58" s="609"/>
      <c r="NFW58" s="609"/>
      <c r="NFX58" s="609"/>
      <c r="NFY58" s="609"/>
      <c r="NFZ58" s="609"/>
      <c r="NGA58" s="609"/>
      <c r="NGB58" s="609"/>
      <c r="NGC58" s="609"/>
      <c r="NGD58" s="609"/>
      <c r="NGE58" s="609"/>
      <c r="NGF58" s="609"/>
      <c r="NGG58" s="609"/>
      <c r="NGH58" s="609"/>
      <c r="NGI58" s="609"/>
      <c r="NGJ58" s="609"/>
      <c r="NGK58" s="609"/>
      <c r="NGL58" s="609"/>
      <c r="NGM58" s="609"/>
      <c r="NGN58" s="609"/>
      <c r="NGO58" s="609"/>
      <c r="NGP58" s="609"/>
      <c r="NGQ58" s="609"/>
      <c r="NGR58" s="609"/>
      <c r="NGS58" s="609"/>
      <c r="NGT58" s="609"/>
      <c r="NGU58" s="609"/>
      <c r="NGV58" s="609"/>
      <c r="NGW58" s="609"/>
      <c r="NGX58" s="609"/>
      <c r="NGY58" s="609"/>
      <c r="NGZ58" s="609"/>
      <c r="NHA58" s="609"/>
      <c r="NHB58" s="609"/>
      <c r="NHC58" s="609"/>
      <c r="NHD58" s="609"/>
      <c r="NHE58" s="609"/>
      <c r="NHF58" s="609"/>
      <c r="NHG58" s="609"/>
      <c r="NHH58" s="609"/>
      <c r="NHI58" s="609"/>
      <c r="NHJ58" s="609"/>
      <c r="NHK58" s="609"/>
      <c r="NHL58" s="609"/>
      <c r="NHM58" s="609"/>
      <c r="NHN58" s="609"/>
      <c r="NHO58" s="609"/>
      <c r="NHP58" s="609"/>
      <c r="NHQ58" s="609"/>
      <c r="NHR58" s="609"/>
      <c r="NHS58" s="609"/>
      <c r="NHT58" s="609"/>
      <c r="NHU58" s="609"/>
      <c r="NHV58" s="609"/>
      <c r="NHW58" s="609"/>
      <c r="NHX58" s="609"/>
      <c r="NHY58" s="609"/>
      <c r="NHZ58" s="609"/>
      <c r="NIA58" s="609"/>
      <c r="NIB58" s="609"/>
      <c r="NIC58" s="609"/>
      <c r="NID58" s="609"/>
      <c r="NIE58" s="609"/>
      <c r="NIF58" s="609"/>
      <c r="NIG58" s="609"/>
      <c r="NIH58" s="609"/>
      <c r="NII58" s="609"/>
      <c r="NIJ58" s="609"/>
      <c r="NIK58" s="609"/>
      <c r="NIL58" s="609"/>
      <c r="NIM58" s="609"/>
      <c r="NIN58" s="609"/>
      <c r="NIO58" s="609"/>
      <c r="NIP58" s="609"/>
      <c r="NIQ58" s="609"/>
      <c r="NIR58" s="609"/>
      <c r="NIS58" s="609"/>
      <c r="NIT58" s="609"/>
      <c r="NIU58" s="609"/>
      <c r="NIV58" s="609"/>
      <c r="NIW58" s="609"/>
      <c r="NIX58" s="609"/>
      <c r="NIY58" s="609"/>
      <c r="NIZ58" s="609"/>
      <c r="NJA58" s="609"/>
      <c r="NJB58" s="609"/>
      <c r="NJC58" s="609"/>
      <c r="NJD58" s="609"/>
      <c r="NJE58" s="609"/>
      <c r="NJF58" s="609"/>
      <c r="NJG58" s="609"/>
      <c r="NJH58" s="609"/>
      <c r="NJI58" s="609"/>
      <c r="NJJ58" s="609"/>
      <c r="NJK58" s="609"/>
      <c r="NJL58" s="609"/>
      <c r="NJM58" s="609"/>
      <c r="NJN58" s="609"/>
      <c r="NJO58" s="609"/>
      <c r="NJP58" s="609"/>
      <c r="NJQ58" s="609"/>
      <c r="NJR58" s="609"/>
      <c r="NJS58" s="609"/>
      <c r="NJT58" s="609"/>
      <c r="NJU58" s="609"/>
      <c r="NJV58" s="609"/>
      <c r="NJW58" s="609"/>
      <c r="NJX58" s="609"/>
      <c r="NJY58" s="609"/>
      <c r="NJZ58" s="609"/>
      <c r="NKA58" s="609"/>
      <c r="NKB58" s="609"/>
      <c r="NKC58" s="609"/>
      <c r="NKD58" s="609"/>
      <c r="NKE58" s="609"/>
      <c r="NKF58" s="609"/>
      <c r="NKG58" s="609"/>
      <c r="NKH58" s="609"/>
      <c r="NKI58" s="609"/>
      <c r="NKJ58" s="609"/>
      <c r="NKK58" s="609"/>
      <c r="NKL58" s="609"/>
      <c r="NKM58" s="609"/>
      <c r="NKN58" s="609"/>
      <c r="NKO58" s="609"/>
      <c r="NKP58" s="609"/>
      <c r="NKQ58" s="609"/>
      <c r="NKR58" s="609"/>
      <c r="NKS58" s="609"/>
      <c r="NKT58" s="609"/>
      <c r="NKU58" s="609"/>
      <c r="NKV58" s="609"/>
      <c r="NKW58" s="609"/>
      <c r="NKX58" s="609"/>
      <c r="NKY58" s="609"/>
      <c r="NKZ58" s="609"/>
      <c r="NLA58" s="609"/>
      <c r="NLB58" s="609"/>
      <c r="NLC58" s="609"/>
      <c r="NLD58" s="609"/>
      <c r="NLE58" s="609"/>
      <c r="NLF58" s="609"/>
      <c r="NLG58" s="609"/>
      <c r="NLH58" s="609"/>
      <c r="NLI58" s="609"/>
      <c r="NLJ58" s="609"/>
      <c r="NLK58" s="609"/>
      <c r="NLL58" s="609"/>
      <c r="NLM58" s="609"/>
      <c r="NLN58" s="609"/>
      <c r="NLO58" s="609"/>
      <c r="NLP58" s="609"/>
      <c r="NLQ58" s="609"/>
      <c r="NLR58" s="609"/>
      <c r="NLS58" s="609"/>
      <c r="NLT58" s="609"/>
      <c r="NLU58" s="609"/>
      <c r="NLV58" s="609"/>
      <c r="NLW58" s="609"/>
      <c r="NLX58" s="609"/>
      <c r="NLY58" s="609"/>
      <c r="NLZ58" s="609"/>
      <c r="NMA58" s="609"/>
      <c r="NMB58" s="609"/>
      <c r="NMC58" s="609"/>
      <c r="NMD58" s="609"/>
      <c r="NME58" s="609"/>
      <c r="NMF58" s="609"/>
      <c r="NMG58" s="609"/>
      <c r="NMH58" s="609"/>
      <c r="NMI58" s="609"/>
      <c r="NMJ58" s="609"/>
      <c r="NMK58" s="609"/>
      <c r="NML58" s="609"/>
      <c r="NMM58" s="609"/>
      <c r="NMN58" s="609"/>
      <c r="NMO58" s="609"/>
      <c r="NMP58" s="609"/>
      <c r="NMQ58" s="609"/>
      <c r="NMR58" s="609"/>
      <c r="NMS58" s="609"/>
      <c r="NMT58" s="609"/>
      <c r="NMU58" s="609"/>
      <c r="NMV58" s="609"/>
      <c r="NMW58" s="609"/>
      <c r="NMX58" s="609"/>
      <c r="NMY58" s="609"/>
      <c r="NMZ58" s="609"/>
      <c r="NNA58" s="609"/>
      <c r="NNB58" s="609"/>
      <c r="NNC58" s="609"/>
      <c r="NND58" s="609"/>
      <c r="NNE58" s="609"/>
      <c r="NNF58" s="609"/>
      <c r="NNG58" s="609"/>
      <c r="NNH58" s="609"/>
      <c r="NNI58" s="609"/>
      <c r="NNJ58" s="609"/>
      <c r="NNK58" s="609"/>
      <c r="NNL58" s="609"/>
      <c r="NNM58" s="609"/>
      <c r="NNN58" s="609"/>
      <c r="NNO58" s="609"/>
      <c r="NNP58" s="609"/>
      <c r="NNQ58" s="609"/>
      <c r="NNR58" s="609"/>
      <c r="NNS58" s="609"/>
      <c r="NNT58" s="609"/>
      <c r="NNU58" s="609"/>
      <c r="NNV58" s="609"/>
      <c r="NNW58" s="609"/>
      <c r="NNX58" s="609"/>
      <c r="NNY58" s="609"/>
      <c r="NNZ58" s="609"/>
      <c r="NOA58" s="609"/>
      <c r="NOB58" s="609"/>
      <c r="NOC58" s="609"/>
      <c r="NOD58" s="609"/>
      <c r="NOE58" s="609"/>
      <c r="NOF58" s="609"/>
      <c r="NOG58" s="609"/>
      <c r="NOH58" s="609"/>
      <c r="NOI58" s="609"/>
      <c r="NOJ58" s="609"/>
      <c r="NOK58" s="609"/>
      <c r="NOL58" s="609"/>
      <c r="NOM58" s="609"/>
      <c r="NON58" s="609"/>
      <c r="NOO58" s="609"/>
      <c r="NOP58" s="609"/>
      <c r="NOQ58" s="609"/>
      <c r="NOR58" s="609"/>
      <c r="NOS58" s="609"/>
      <c r="NOT58" s="609"/>
      <c r="NOU58" s="609"/>
      <c r="NOV58" s="609"/>
      <c r="NOW58" s="609"/>
      <c r="NOX58" s="609"/>
      <c r="NOY58" s="609"/>
      <c r="NOZ58" s="609"/>
      <c r="NPA58" s="609"/>
      <c r="NPB58" s="609"/>
      <c r="NPC58" s="609"/>
      <c r="NPD58" s="609"/>
      <c r="NPE58" s="609"/>
      <c r="NPF58" s="609"/>
      <c r="NPG58" s="609"/>
      <c r="NPH58" s="609"/>
      <c r="NPI58" s="609"/>
      <c r="NPJ58" s="609"/>
      <c r="NPK58" s="609"/>
      <c r="NPL58" s="609"/>
      <c r="NPM58" s="609"/>
      <c r="NPN58" s="609"/>
      <c r="NPO58" s="609"/>
      <c r="NPP58" s="609"/>
      <c r="NPQ58" s="609"/>
      <c r="NPR58" s="609"/>
      <c r="NPS58" s="609"/>
      <c r="NPT58" s="609"/>
      <c r="NPU58" s="609"/>
      <c r="NPV58" s="609"/>
      <c r="NPW58" s="609"/>
      <c r="NPX58" s="609"/>
      <c r="NPY58" s="609"/>
      <c r="NPZ58" s="609"/>
      <c r="NQA58" s="609"/>
      <c r="NQB58" s="609"/>
      <c r="NQC58" s="609"/>
      <c r="NQD58" s="609"/>
      <c r="NQE58" s="609"/>
      <c r="NQF58" s="609"/>
      <c r="NQG58" s="609"/>
      <c r="NQH58" s="609"/>
      <c r="NQI58" s="609"/>
      <c r="NQJ58" s="609"/>
      <c r="NQK58" s="609"/>
      <c r="NQL58" s="609"/>
      <c r="NQM58" s="609"/>
      <c r="NQN58" s="609"/>
      <c r="NQO58" s="609"/>
      <c r="NQP58" s="609"/>
      <c r="NQQ58" s="609"/>
      <c r="NQR58" s="609"/>
      <c r="NQS58" s="609"/>
      <c r="NQT58" s="609"/>
      <c r="NQU58" s="609"/>
      <c r="NQV58" s="609"/>
      <c r="NQW58" s="609"/>
      <c r="NQX58" s="609"/>
      <c r="NQY58" s="609"/>
      <c r="NQZ58" s="609"/>
      <c r="NRA58" s="609"/>
      <c r="NRB58" s="609"/>
      <c r="NRC58" s="609"/>
      <c r="NRD58" s="609"/>
      <c r="NRE58" s="609"/>
      <c r="NRF58" s="609"/>
      <c r="NRG58" s="609"/>
      <c r="NRH58" s="609"/>
      <c r="NRI58" s="609"/>
      <c r="NRJ58" s="609"/>
      <c r="NRK58" s="609"/>
      <c r="NRL58" s="609"/>
      <c r="NRM58" s="609"/>
      <c r="NRN58" s="609"/>
      <c r="NRO58" s="609"/>
      <c r="NRP58" s="609"/>
      <c r="NRQ58" s="609"/>
      <c r="NRR58" s="609"/>
      <c r="NRS58" s="609"/>
      <c r="NRT58" s="609"/>
      <c r="NRU58" s="609"/>
      <c r="NRV58" s="609"/>
      <c r="NRW58" s="609"/>
      <c r="NRX58" s="609"/>
      <c r="NRY58" s="609"/>
      <c r="NRZ58" s="609"/>
      <c r="NSA58" s="609"/>
      <c r="NSB58" s="609"/>
      <c r="NSC58" s="609"/>
      <c r="NSD58" s="609"/>
      <c r="NSE58" s="609"/>
      <c r="NSF58" s="609"/>
      <c r="NSG58" s="609"/>
      <c r="NSH58" s="609"/>
      <c r="NSI58" s="609"/>
      <c r="NSJ58" s="609"/>
      <c r="NSK58" s="609"/>
      <c r="NSL58" s="609"/>
      <c r="NSM58" s="609"/>
      <c r="NSN58" s="609"/>
      <c r="NSO58" s="609"/>
      <c r="NSP58" s="609"/>
      <c r="NSQ58" s="609"/>
      <c r="NSR58" s="609"/>
      <c r="NSS58" s="609"/>
      <c r="NST58" s="609"/>
      <c r="NSU58" s="609"/>
      <c r="NSV58" s="609"/>
      <c r="NSW58" s="609"/>
      <c r="NSX58" s="609"/>
      <c r="NSY58" s="609"/>
      <c r="NSZ58" s="609"/>
      <c r="NTA58" s="609"/>
      <c r="NTB58" s="609"/>
      <c r="NTC58" s="609"/>
      <c r="NTD58" s="609"/>
      <c r="NTE58" s="609"/>
      <c r="NTF58" s="609"/>
      <c r="NTG58" s="609"/>
      <c r="NTH58" s="609"/>
      <c r="NTI58" s="609"/>
      <c r="NTJ58" s="609"/>
      <c r="NTK58" s="609"/>
      <c r="NTL58" s="609"/>
      <c r="NTM58" s="609"/>
      <c r="NTN58" s="609"/>
      <c r="NTO58" s="609"/>
      <c r="NTP58" s="609"/>
      <c r="NTQ58" s="609"/>
      <c r="NTR58" s="609"/>
      <c r="NTS58" s="609"/>
      <c r="NTT58" s="609"/>
      <c r="NTU58" s="609"/>
      <c r="NTV58" s="609"/>
      <c r="NTW58" s="609"/>
      <c r="NTX58" s="609"/>
      <c r="NTY58" s="609"/>
      <c r="NTZ58" s="609"/>
      <c r="NUA58" s="609"/>
      <c r="NUB58" s="609"/>
      <c r="NUC58" s="609"/>
      <c r="NUD58" s="609"/>
      <c r="NUE58" s="609"/>
      <c r="NUF58" s="609"/>
      <c r="NUG58" s="609"/>
      <c r="NUH58" s="609"/>
      <c r="NUI58" s="609"/>
      <c r="NUJ58" s="609"/>
      <c r="NUK58" s="609"/>
      <c r="NUL58" s="609"/>
      <c r="NUM58" s="609"/>
      <c r="NUN58" s="609"/>
      <c r="NUO58" s="609"/>
      <c r="NUP58" s="609"/>
      <c r="NUQ58" s="609"/>
      <c r="NUR58" s="609"/>
      <c r="NUS58" s="609"/>
      <c r="NUT58" s="609"/>
      <c r="NUU58" s="609"/>
      <c r="NUV58" s="609"/>
      <c r="NUW58" s="609"/>
      <c r="NUX58" s="609"/>
      <c r="NUY58" s="609"/>
      <c r="NUZ58" s="609"/>
      <c r="NVA58" s="609"/>
      <c r="NVB58" s="609"/>
      <c r="NVC58" s="609"/>
      <c r="NVD58" s="609"/>
      <c r="NVE58" s="609"/>
      <c r="NVF58" s="609"/>
      <c r="NVG58" s="609"/>
      <c r="NVH58" s="609"/>
      <c r="NVI58" s="609"/>
      <c r="NVJ58" s="609"/>
      <c r="NVK58" s="609"/>
      <c r="NVL58" s="609"/>
      <c r="NVM58" s="609"/>
      <c r="NVN58" s="609"/>
      <c r="NVO58" s="609"/>
      <c r="NVP58" s="609"/>
      <c r="NVQ58" s="609"/>
      <c r="NVR58" s="609"/>
      <c r="NVS58" s="609"/>
      <c r="NVT58" s="609"/>
      <c r="NVU58" s="609"/>
      <c r="NVV58" s="609"/>
      <c r="NVW58" s="609"/>
      <c r="NVX58" s="609"/>
      <c r="NVY58" s="609"/>
      <c r="NVZ58" s="609"/>
      <c r="NWA58" s="609"/>
      <c r="NWB58" s="609"/>
      <c r="NWC58" s="609"/>
      <c r="NWD58" s="609"/>
      <c r="NWE58" s="609"/>
      <c r="NWF58" s="609"/>
      <c r="NWG58" s="609"/>
      <c r="NWH58" s="609"/>
      <c r="NWI58" s="609"/>
      <c r="NWJ58" s="609"/>
      <c r="NWK58" s="609"/>
      <c r="NWL58" s="609"/>
      <c r="NWM58" s="609"/>
      <c r="NWN58" s="609"/>
      <c r="NWO58" s="609"/>
      <c r="NWP58" s="609"/>
      <c r="NWQ58" s="609"/>
      <c r="NWR58" s="609"/>
      <c r="NWS58" s="609"/>
      <c r="NWT58" s="609"/>
      <c r="NWU58" s="609"/>
      <c r="NWV58" s="609"/>
      <c r="NWW58" s="609"/>
      <c r="NWX58" s="609"/>
      <c r="NWY58" s="609"/>
      <c r="NWZ58" s="609"/>
      <c r="NXA58" s="609"/>
      <c r="NXB58" s="609"/>
      <c r="NXC58" s="609"/>
      <c r="NXD58" s="609"/>
      <c r="NXE58" s="609"/>
      <c r="NXF58" s="609"/>
      <c r="NXG58" s="609"/>
      <c r="NXH58" s="609"/>
      <c r="NXI58" s="609"/>
      <c r="NXJ58" s="609"/>
      <c r="NXK58" s="609"/>
      <c r="NXL58" s="609"/>
      <c r="NXM58" s="609"/>
      <c r="NXN58" s="609"/>
      <c r="NXO58" s="609"/>
      <c r="NXP58" s="609"/>
      <c r="NXQ58" s="609"/>
      <c r="NXR58" s="609"/>
      <c r="NXS58" s="609"/>
      <c r="NXT58" s="609"/>
      <c r="NXU58" s="609"/>
      <c r="NXV58" s="609"/>
      <c r="NXW58" s="609"/>
      <c r="NXX58" s="609"/>
      <c r="NXY58" s="609"/>
      <c r="NXZ58" s="609"/>
      <c r="NYA58" s="609"/>
      <c r="NYB58" s="609"/>
      <c r="NYC58" s="609"/>
      <c r="NYD58" s="609"/>
      <c r="NYE58" s="609"/>
      <c r="NYF58" s="609"/>
      <c r="NYG58" s="609"/>
      <c r="NYH58" s="609"/>
      <c r="NYI58" s="609"/>
      <c r="NYJ58" s="609"/>
      <c r="NYK58" s="609"/>
      <c r="NYL58" s="609"/>
      <c r="NYM58" s="609"/>
      <c r="NYN58" s="609"/>
      <c r="NYO58" s="609"/>
      <c r="NYP58" s="609"/>
      <c r="NYQ58" s="609"/>
      <c r="NYR58" s="609"/>
      <c r="NYS58" s="609"/>
      <c r="NYT58" s="609"/>
      <c r="NYU58" s="609"/>
      <c r="NYV58" s="609"/>
      <c r="NYW58" s="609"/>
      <c r="NYX58" s="609"/>
      <c r="NYY58" s="609"/>
      <c r="NYZ58" s="609"/>
      <c r="NZA58" s="609"/>
      <c r="NZB58" s="609"/>
      <c r="NZC58" s="609"/>
      <c r="NZD58" s="609"/>
      <c r="NZE58" s="609"/>
      <c r="NZF58" s="609"/>
      <c r="NZG58" s="609"/>
      <c r="NZH58" s="609"/>
      <c r="NZI58" s="609"/>
      <c r="NZJ58" s="609"/>
      <c r="NZK58" s="609"/>
      <c r="NZL58" s="609"/>
      <c r="NZM58" s="609"/>
      <c r="NZN58" s="609"/>
      <c r="NZO58" s="609"/>
      <c r="NZP58" s="609"/>
      <c r="NZQ58" s="609"/>
      <c r="NZR58" s="609"/>
      <c r="NZS58" s="609"/>
      <c r="NZT58" s="609"/>
      <c r="NZU58" s="609"/>
      <c r="NZV58" s="609"/>
      <c r="NZW58" s="609"/>
      <c r="NZX58" s="609"/>
      <c r="NZY58" s="609"/>
      <c r="NZZ58" s="609"/>
      <c r="OAA58" s="609"/>
      <c r="OAB58" s="609"/>
      <c r="OAC58" s="609"/>
      <c r="OAD58" s="609"/>
      <c r="OAE58" s="609"/>
      <c r="OAF58" s="609"/>
      <c r="OAG58" s="609"/>
      <c r="OAH58" s="609"/>
      <c r="OAI58" s="609"/>
      <c r="OAJ58" s="609"/>
      <c r="OAK58" s="609"/>
      <c r="OAL58" s="609"/>
      <c r="OAM58" s="609"/>
      <c r="OAN58" s="609"/>
      <c r="OAO58" s="609"/>
      <c r="OAP58" s="609"/>
      <c r="OAQ58" s="609"/>
      <c r="OAR58" s="609"/>
      <c r="OAS58" s="609"/>
      <c r="OAT58" s="609"/>
      <c r="OAU58" s="609"/>
      <c r="OAV58" s="609"/>
      <c r="OAW58" s="609"/>
      <c r="OAX58" s="609"/>
      <c r="OAY58" s="609"/>
      <c r="OAZ58" s="609"/>
      <c r="OBA58" s="609"/>
      <c r="OBB58" s="609"/>
      <c r="OBC58" s="609"/>
      <c r="OBD58" s="609"/>
      <c r="OBE58" s="609"/>
      <c r="OBF58" s="609"/>
      <c r="OBG58" s="609"/>
      <c r="OBH58" s="609"/>
      <c r="OBI58" s="609"/>
      <c r="OBJ58" s="609"/>
      <c r="OBK58" s="609"/>
      <c r="OBL58" s="609"/>
      <c r="OBM58" s="609"/>
      <c r="OBN58" s="609"/>
      <c r="OBO58" s="609"/>
      <c r="OBP58" s="609"/>
      <c r="OBQ58" s="609"/>
      <c r="OBR58" s="609"/>
      <c r="OBS58" s="609"/>
      <c r="OBT58" s="609"/>
      <c r="OBU58" s="609"/>
      <c r="OBV58" s="609"/>
      <c r="OBW58" s="609"/>
      <c r="OBX58" s="609"/>
      <c r="OBY58" s="609"/>
      <c r="OBZ58" s="609"/>
      <c r="OCA58" s="609"/>
      <c r="OCB58" s="609"/>
      <c r="OCC58" s="609"/>
      <c r="OCD58" s="609"/>
      <c r="OCE58" s="609"/>
      <c r="OCF58" s="609"/>
      <c r="OCG58" s="609"/>
      <c r="OCH58" s="609"/>
      <c r="OCI58" s="609"/>
      <c r="OCJ58" s="609"/>
      <c r="OCK58" s="609"/>
      <c r="OCL58" s="609"/>
      <c r="OCM58" s="609"/>
      <c r="OCN58" s="609"/>
      <c r="OCO58" s="609"/>
      <c r="OCP58" s="609"/>
      <c r="OCQ58" s="609"/>
      <c r="OCR58" s="609"/>
      <c r="OCS58" s="609"/>
      <c r="OCT58" s="609"/>
      <c r="OCU58" s="609"/>
      <c r="OCV58" s="609"/>
      <c r="OCW58" s="609"/>
      <c r="OCX58" s="609"/>
      <c r="OCY58" s="609"/>
      <c r="OCZ58" s="609"/>
      <c r="ODA58" s="609"/>
      <c r="ODB58" s="609"/>
      <c r="ODC58" s="609"/>
      <c r="ODD58" s="609"/>
      <c r="ODE58" s="609"/>
      <c r="ODF58" s="609"/>
      <c r="ODG58" s="609"/>
      <c r="ODH58" s="609"/>
      <c r="ODI58" s="609"/>
      <c r="ODJ58" s="609"/>
      <c r="ODK58" s="609"/>
      <c r="ODL58" s="609"/>
      <c r="ODM58" s="609"/>
      <c r="ODN58" s="609"/>
      <c r="ODO58" s="609"/>
      <c r="ODP58" s="609"/>
      <c r="ODQ58" s="609"/>
      <c r="ODR58" s="609"/>
      <c r="ODS58" s="609"/>
      <c r="ODT58" s="609"/>
      <c r="ODU58" s="609"/>
      <c r="ODV58" s="609"/>
      <c r="ODW58" s="609"/>
      <c r="ODX58" s="609"/>
      <c r="ODY58" s="609"/>
      <c r="ODZ58" s="609"/>
      <c r="OEA58" s="609"/>
      <c r="OEB58" s="609"/>
      <c r="OEC58" s="609"/>
      <c r="OED58" s="609"/>
      <c r="OEE58" s="609"/>
      <c r="OEF58" s="609"/>
      <c r="OEG58" s="609"/>
      <c r="OEH58" s="609"/>
      <c r="OEI58" s="609"/>
      <c r="OEJ58" s="609"/>
      <c r="OEK58" s="609"/>
      <c r="OEL58" s="609"/>
      <c r="OEM58" s="609"/>
      <c r="OEN58" s="609"/>
      <c r="OEO58" s="609"/>
      <c r="OEP58" s="609"/>
      <c r="OEQ58" s="609"/>
      <c r="OER58" s="609"/>
      <c r="OES58" s="609"/>
      <c r="OET58" s="609"/>
      <c r="OEU58" s="609"/>
      <c r="OEV58" s="609"/>
      <c r="OEW58" s="609"/>
      <c r="OEX58" s="609"/>
      <c r="OEY58" s="609"/>
      <c r="OEZ58" s="609"/>
      <c r="OFA58" s="609"/>
      <c r="OFB58" s="609"/>
      <c r="OFC58" s="609"/>
      <c r="OFD58" s="609"/>
      <c r="OFE58" s="609"/>
      <c r="OFF58" s="609"/>
      <c r="OFG58" s="609"/>
      <c r="OFH58" s="609"/>
      <c r="OFI58" s="609"/>
      <c r="OFJ58" s="609"/>
      <c r="OFK58" s="609"/>
      <c r="OFL58" s="609"/>
      <c r="OFM58" s="609"/>
      <c r="OFN58" s="609"/>
      <c r="OFO58" s="609"/>
      <c r="OFP58" s="609"/>
      <c r="OFQ58" s="609"/>
      <c r="OFR58" s="609"/>
      <c r="OFS58" s="609"/>
      <c r="OFT58" s="609"/>
      <c r="OFU58" s="609"/>
      <c r="OFV58" s="609"/>
      <c r="OFW58" s="609"/>
      <c r="OFX58" s="609"/>
      <c r="OFY58" s="609"/>
      <c r="OFZ58" s="609"/>
      <c r="OGA58" s="609"/>
      <c r="OGB58" s="609"/>
      <c r="OGC58" s="609"/>
      <c r="OGD58" s="609"/>
      <c r="OGE58" s="609"/>
      <c r="OGF58" s="609"/>
      <c r="OGG58" s="609"/>
      <c r="OGH58" s="609"/>
      <c r="OGI58" s="609"/>
      <c r="OGJ58" s="609"/>
      <c r="OGK58" s="609"/>
      <c r="OGL58" s="609"/>
      <c r="OGM58" s="609"/>
      <c r="OGN58" s="609"/>
      <c r="OGO58" s="609"/>
      <c r="OGP58" s="609"/>
      <c r="OGQ58" s="609"/>
      <c r="OGR58" s="609"/>
      <c r="OGS58" s="609"/>
      <c r="OGT58" s="609"/>
      <c r="OGU58" s="609"/>
      <c r="OGV58" s="609"/>
      <c r="OGW58" s="609"/>
      <c r="OGX58" s="609"/>
      <c r="OGY58" s="609"/>
      <c r="OGZ58" s="609"/>
      <c r="OHA58" s="609"/>
      <c r="OHB58" s="609"/>
      <c r="OHC58" s="609"/>
      <c r="OHD58" s="609"/>
      <c r="OHE58" s="609"/>
      <c r="OHF58" s="609"/>
      <c r="OHG58" s="609"/>
      <c r="OHH58" s="609"/>
      <c r="OHI58" s="609"/>
      <c r="OHJ58" s="609"/>
      <c r="OHK58" s="609"/>
      <c r="OHL58" s="609"/>
      <c r="OHM58" s="609"/>
      <c r="OHN58" s="609"/>
      <c r="OHO58" s="609"/>
      <c r="OHP58" s="609"/>
      <c r="OHQ58" s="609"/>
      <c r="OHR58" s="609"/>
      <c r="OHS58" s="609"/>
      <c r="OHT58" s="609"/>
      <c r="OHU58" s="609"/>
      <c r="OHV58" s="609"/>
      <c r="OHW58" s="609"/>
      <c r="OHX58" s="609"/>
      <c r="OHY58" s="609"/>
      <c r="OHZ58" s="609"/>
      <c r="OIA58" s="609"/>
      <c r="OIB58" s="609"/>
      <c r="OIC58" s="609"/>
      <c r="OID58" s="609"/>
      <c r="OIE58" s="609"/>
      <c r="OIF58" s="609"/>
      <c r="OIG58" s="609"/>
      <c r="OIH58" s="609"/>
      <c r="OII58" s="609"/>
      <c r="OIJ58" s="609"/>
      <c r="OIK58" s="609"/>
      <c r="OIL58" s="609"/>
      <c r="OIM58" s="609"/>
      <c r="OIN58" s="609"/>
      <c r="OIO58" s="609"/>
      <c r="OIP58" s="609"/>
      <c r="OIQ58" s="609"/>
      <c r="OIR58" s="609"/>
      <c r="OIS58" s="609"/>
      <c r="OIT58" s="609"/>
      <c r="OIU58" s="609"/>
      <c r="OIV58" s="609"/>
      <c r="OIW58" s="609"/>
      <c r="OIX58" s="609"/>
      <c r="OIY58" s="609"/>
      <c r="OIZ58" s="609"/>
      <c r="OJA58" s="609"/>
      <c r="OJB58" s="609"/>
      <c r="OJC58" s="609"/>
      <c r="OJD58" s="609"/>
      <c r="OJE58" s="609"/>
      <c r="OJF58" s="609"/>
      <c r="OJG58" s="609"/>
      <c r="OJH58" s="609"/>
      <c r="OJI58" s="609"/>
      <c r="OJJ58" s="609"/>
      <c r="OJK58" s="609"/>
      <c r="OJL58" s="609"/>
      <c r="OJM58" s="609"/>
      <c r="OJN58" s="609"/>
      <c r="OJO58" s="609"/>
      <c r="OJP58" s="609"/>
      <c r="OJQ58" s="609"/>
      <c r="OJR58" s="609"/>
      <c r="OJS58" s="609"/>
      <c r="OJT58" s="609"/>
      <c r="OJU58" s="609"/>
      <c r="OJV58" s="609"/>
      <c r="OJW58" s="609"/>
      <c r="OJX58" s="609"/>
      <c r="OJY58" s="609"/>
      <c r="OJZ58" s="609"/>
      <c r="OKA58" s="609"/>
      <c r="OKB58" s="609"/>
      <c r="OKC58" s="609"/>
      <c r="OKD58" s="609"/>
      <c r="OKE58" s="609"/>
      <c r="OKF58" s="609"/>
      <c r="OKG58" s="609"/>
      <c r="OKH58" s="609"/>
      <c r="OKI58" s="609"/>
      <c r="OKJ58" s="609"/>
      <c r="OKK58" s="609"/>
      <c r="OKL58" s="609"/>
      <c r="OKM58" s="609"/>
      <c r="OKN58" s="609"/>
      <c r="OKO58" s="609"/>
      <c r="OKP58" s="609"/>
      <c r="OKQ58" s="609"/>
      <c r="OKR58" s="609"/>
      <c r="OKS58" s="609"/>
      <c r="OKT58" s="609"/>
      <c r="OKU58" s="609"/>
      <c r="OKV58" s="609"/>
      <c r="OKW58" s="609"/>
      <c r="OKX58" s="609"/>
      <c r="OKY58" s="609"/>
      <c r="OKZ58" s="609"/>
      <c r="OLA58" s="609"/>
      <c r="OLB58" s="609"/>
      <c r="OLC58" s="609"/>
      <c r="OLD58" s="609"/>
      <c r="OLE58" s="609"/>
      <c r="OLF58" s="609"/>
      <c r="OLG58" s="609"/>
      <c r="OLH58" s="609"/>
      <c r="OLI58" s="609"/>
      <c r="OLJ58" s="609"/>
      <c r="OLK58" s="609"/>
      <c r="OLL58" s="609"/>
      <c r="OLM58" s="609"/>
      <c r="OLN58" s="609"/>
      <c r="OLO58" s="609"/>
      <c r="OLP58" s="609"/>
      <c r="OLQ58" s="609"/>
      <c r="OLR58" s="609"/>
      <c r="OLS58" s="609"/>
      <c r="OLT58" s="609"/>
      <c r="OLU58" s="609"/>
      <c r="OLV58" s="609"/>
      <c r="OLW58" s="609"/>
      <c r="OLX58" s="609"/>
      <c r="OLY58" s="609"/>
      <c r="OLZ58" s="609"/>
      <c r="OMA58" s="609"/>
      <c r="OMB58" s="609"/>
      <c r="OMC58" s="609"/>
      <c r="OMD58" s="609"/>
      <c r="OME58" s="609"/>
      <c r="OMF58" s="609"/>
      <c r="OMG58" s="609"/>
      <c r="OMH58" s="609"/>
      <c r="OMI58" s="609"/>
      <c r="OMJ58" s="609"/>
      <c r="OMK58" s="609"/>
      <c r="OML58" s="609"/>
      <c r="OMM58" s="609"/>
      <c r="OMN58" s="609"/>
      <c r="OMO58" s="609"/>
      <c r="OMP58" s="609"/>
      <c r="OMQ58" s="609"/>
      <c r="OMR58" s="609"/>
      <c r="OMS58" s="609"/>
      <c r="OMT58" s="609"/>
      <c r="OMU58" s="609"/>
      <c r="OMV58" s="609"/>
      <c r="OMW58" s="609"/>
      <c r="OMX58" s="609"/>
      <c r="OMY58" s="609"/>
      <c r="OMZ58" s="609"/>
      <c r="ONA58" s="609"/>
      <c r="ONB58" s="609"/>
      <c r="ONC58" s="609"/>
      <c r="OND58" s="609"/>
      <c r="ONE58" s="609"/>
      <c r="ONF58" s="609"/>
      <c r="ONG58" s="609"/>
      <c r="ONH58" s="609"/>
      <c r="ONI58" s="609"/>
      <c r="ONJ58" s="609"/>
      <c r="ONK58" s="609"/>
      <c r="ONL58" s="609"/>
      <c r="ONM58" s="609"/>
      <c r="ONN58" s="609"/>
      <c r="ONO58" s="609"/>
      <c r="ONP58" s="609"/>
      <c r="ONQ58" s="609"/>
      <c r="ONR58" s="609"/>
      <c r="ONS58" s="609"/>
      <c r="ONT58" s="609"/>
      <c r="ONU58" s="609"/>
      <c r="ONV58" s="609"/>
      <c r="ONW58" s="609"/>
      <c r="ONX58" s="609"/>
      <c r="ONY58" s="609"/>
      <c r="ONZ58" s="609"/>
      <c r="OOA58" s="609"/>
      <c r="OOB58" s="609"/>
      <c r="OOC58" s="609"/>
      <c r="OOD58" s="609"/>
      <c r="OOE58" s="609"/>
      <c r="OOF58" s="609"/>
      <c r="OOG58" s="609"/>
      <c r="OOH58" s="609"/>
      <c r="OOI58" s="609"/>
      <c r="OOJ58" s="609"/>
      <c r="OOK58" s="609"/>
      <c r="OOL58" s="609"/>
      <c r="OOM58" s="609"/>
      <c r="OON58" s="609"/>
      <c r="OOO58" s="609"/>
      <c r="OOP58" s="609"/>
      <c r="OOQ58" s="609"/>
      <c r="OOR58" s="609"/>
      <c r="OOS58" s="609"/>
      <c r="OOT58" s="609"/>
      <c r="OOU58" s="609"/>
      <c r="OOV58" s="609"/>
      <c r="OOW58" s="609"/>
      <c r="OOX58" s="609"/>
      <c r="OOY58" s="609"/>
      <c r="OOZ58" s="609"/>
      <c r="OPA58" s="609"/>
      <c r="OPB58" s="609"/>
      <c r="OPC58" s="609"/>
      <c r="OPD58" s="609"/>
      <c r="OPE58" s="609"/>
      <c r="OPF58" s="609"/>
      <c r="OPG58" s="609"/>
      <c r="OPH58" s="609"/>
      <c r="OPI58" s="609"/>
      <c r="OPJ58" s="609"/>
      <c r="OPK58" s="609"/>
      <c r="OPL58" s="609"/>
      <c r="OPM58" s="609"/>
      <c r="OPN58" s="609"/>
      <c r="OPO58" s="609"/>
      <c r="OPP58" s="609"/>
      <c r="OPQ58" s="609"/>
      <c r="OPR58" s="609"/>
      <c r="OPS58" s="609"/>
      <c r="OPT58" s="609"/>
      <c r="OPU58" s="609"/>
      <c r="OPV58" s="609"/>
      <c r="OPW58" s="609"/>
      <c r="OPX58" s="609"/>
      <c r="OPY58" s="609"/>
      <c r="OPZ58" s="609"/>
      <c r="OQA58" s="609"/>
      <c r="OQB58" s="609"/>
      <c r="OQC58" s="609"/>
      <c r="OQD58" s="609"/>
      <c r="OQE58" s="609"/>
      <c r="OQF58" s="609"/>
      <c r="OQG58" s="609"/>
      <c r="OQH58" s="609"/>
      <c r="OQI58" s="609"/>
      <c r="OQJ58" s="609"/>
      <c r="OQK58" s="609"/>
      <c r="OQL58" s="609"/>
      <c r="OQM58" s="609"/>
      <c r="OQN58" s="609"/>
      <c r="OQO58" s="609"/>
      <c r="OQP58" s="609"/>
      <c r="OQQ58" s="609"/>
      <c r="OQR58" s="609"/>
      <c r="OQS58" s="609"/>
      <c r="OQT58" s="609"/>
      <c r="OQU58" s="609"/>
      <c r="OQV58" s="609"/>
      <c r="OQW58" s="609"/>
      <c r="OQX58" s="609"/>
      <c r="OQY58" s="609"/>
      <c r="OQZ58" s="609"/>
      <c r="ORA58" s="609"/>
      <c r="ORB58" s="609"/>
      <c r="ORC58" s="609"/>
      <c r="ORD58" s="609"/>
      <c r="ORE58" s="609"/>
      <c r="ORF58" s="609"/>
      <c r="ORG58" s="609"/>
      <c r="ORH58" s="609"/>
      <c r="ORI58" s="609"/>
      <c r="ORJ58" s="609"/>
      <c r="ORK58" s="609"/>
      <c r="ORL58" s="609"/>
      <c r="ORM58" s="609"/>
      <c r="ORN58" s="609"/>
      <c r="ORO58" s="609"/>
      <c r="ORP58" s="609"/>
      <c r="ORQ58" s="609"/>
      <c r="ORR58" s="609"/>
      <c r="ORS58" s="609"/>
      <c r="ORT58" s="609"/>
      <c r="ORU58" s="609"/>
      <c r="ORV58" s="609"/>
      <c r="ORW58" s="609"/>
      <c r="ORX58" s="609"/>
      <c r="ORY58" s="609"/>
      <c r="ORZ58" s="609"/>
      <c r="OSA58" s="609"/>
      <c r="OSB58" s="609"/>
      <c r="OSC58" s="609"/>
      <c r="OSD58" s="609"/>
      <c r="OSE58" s="609"/>
      <c r="OSF58" s="609"/>
      <c r="OSG58" s="609"/>
      <c r="OSH58" s="609"/>
      <c r="OSI58" s="609"/>
      <c r="OSJ58" s="609"/>
      <c r="OSK58" s="609"/>
      <c r="OSL58" s="609"/>
      <c r="OSM58" s="609"/>
      <c r="OSN58" s="609"/>
      <c r="OSO58" s="609"/>
      <c r="OSP58" s="609"/>
      <c r="OSQ58" s="609"/>
      <c r="OSR58" s="609"/>
      <c r="OSS58" s="609"/>
      <c r="OST58" s="609"/>
      <c r="OSU58" s="609"/>
      <c r="OSV58" s="609"/>
      <c r="OSW58" s="609"/>
      <c r="OSX58" s="609"/>
      <c r="OSY58" s="609"/>
      <c r="OSZ58" s="609"/>
      <c r="OTA58" s="609"/>
      <c r="OTB58" s="609"/>
      <c r="OTC58" s="609"/>
      <c r="OTD58" s="609"/>
      <c r="OTE58" s="609"/>
      <c r="OTF58" s="609"/>
      <c r="OTG58" s="609"/>
      <c r="OTH58" s="609"/>
      <c r="OTI58" s="609"/>
      <c r="OTJ58" s="609"/>
      <c r="OTK58" s="609"/>
      <c r="OTL58" s="609"/>
      <c r="OTM58" s="609"/>
      <c r="OTN58" s="609"/>
      <c r="OTO58" s="609"/>
      <c r="OTP58" s="609"/>
      <c r="OTQ58" s="609"/>
      <c r="OTR58" s="609"/>
      <c r="OTS58" s="609"/>
      <c r="OTT58" s="609"/>
      <c r="OTU58" s="609"/>
      <c r="OTV58" s="609"/>
      <c r="OTW58" s="609"/>
      <c r="OTX58" s="609"/>
      <c r="OTY58" s="609"/>
      <c r="OTZ58" s="609"/>
      <c r="OUA58" s="609"/>
      <c r="OUB58" s="609"/>
      <c r="OUC58" s="609"/>
      <c r="OUD58" s="609"/>
      <c r="OUE58" s="609"/>
      <c r="OUF58" s="609"/>
      <c r="OUG58" s="609"/>
      <c r="OUH58" s="609"/>
      <c r="OUI58" s="609"/>
      <c r="OUJ58" s="609"/>
      <c r="OUK58" s="609"/>
      <c r="OUL58" s="609"/>
      <c r="OUM58" s="609"/>
      <c r="OUN58" s="609"/>
      <c r="OUO58" s="609"/>
      <c r="OUP58" s="609"/>
      <c r="OUQ58" s="609"/>
      <c r="OUR58" s="609"/>
      <c r="OUS58" s="609"/>
      <c r="OUT58" s="609"/>
      <c r="OUU58" s="609"/>
      <c r="OUV58" s="609"/>
      <c r="OUW58" s="609"/>
      <c r="OUX58" s="609"/>
      <c r="OUY58" s="609"/>
      <c r="OUZ58" s="609"/>
      <c r="OVA58" s="609"/>
      <c r="OVB58" s="609"/>
      <c r="OVC58" s="609"/>
      <c r="OVD58" s="609"/>
      <c r="OVE58" s="609"/>
      <c r="OVF58" s="609"/>
      <c r="OVG58" s="609"/>
      <c r="OVH58" s="609"/>
      <c r="OVI58" s="609"/>
      <c r="OVJ58" s="609"/>
      <c r="OVK58" s="609"/>
      <c r="OVL58" s="609"/>
      <c r="OVM58" s="609"/>
      <c r="OVN58" s="609"/>
      <c r="OVO58" s="609"/>
      <c r="OVP58" s="609"/>
      <c r="OVQ58" s="609"/>
      <c r="OVR58" s="609"/>
      <c r="OVS58" s="609"/>
      <c r="OVT58" s="609"/>
      <c r="OVU58" s="609"/>
      <c r="OVV58" s="609"/>
      <c r="OVW58" s="609"/>
      <c r="OVX58" s="609"/>
      <c r="OVY58" s="609"/>
      <c r="OVZ58" s="609"/>
      <c r="OWA58" s="609"/>
      <c r="OWB58" s="609"/>
      <c r="OWC58" s="609"/>
      <c r="OWD58" s="609"/>
      <c r="OWE58" s="609"/>
      <c r="OWF58" s="609"/>
      <c r="OWG58" s="609"/>
      <c r="OWH58" s="609"/>
      <c r="OWI58" s="609"/>
      <c r="OWJ58" s="609"/>
      <c r="OWK58" s="609"/>
      <c r="OWL58" s="609"/>
      <c r="OWM58" s="609"/>
      <c r="OWN58" s="609"/>
      <c r="OWO58" s="609"/>
      <c r="OWP58" s="609"/>
      <c r="OWQ58" s="609"/>
      <c r="OWR58" s="609"/>
      <c r="OWS58" s="609"/>
      <c r="OWT58" s="609"/>
      <c r="OWU58" s="609"/>
      <c r="OWV58" s="609"/>
      <c r="OWW58" s="609"/>
      <c r="OWX58" s="609"/>
      <c r="OWY58" s="609"/>
      <c r="OWZ58" s="609"/>
      <c r="OXA58" s="609"/>
      <c r="OXB58" s="609"/>
      <c r="OXC58" s="609"/>
      <c r="OXD58" s="609"/>
      <c r="OXE58" s="609"/>
      <c r="OXF58" s="609"/>
      <c r="OXG58" s="609"/>
      <c r="OXH58" s="609"/>
      <c r="OXI58" s="609"/>
      <c r="OXJ58" s="609"/>
      <c r="OXK58" s="609"/>
      <c r="OXL58" s="609"/>
      <c r="OXM58" s="609"/>
      <c r="OXN58" s="609"/>
      <c r="OXO58" s="609"/>
      <c r="OXP58" s="609"/>
      <c r="OXQ58" s="609"/>
      <c r="OXR58" s="609"/>
      <c r="OXS58" s="609"/>
      <c r="OXT58" s="609"/>
      <c r="OXU58" s="609"/>
      <c r="OXV58" s="609"/>
      <c r="OXW58" s="609"/>
      <c r="OXX58" s="609"/>
      <c r="OXY58" s="609"/>
      <c r="OXZ58" s="609"/>
      <c r="OYA58" s="609"/>
      <c r="OYB58" s="609"/>
      <c r="OYC58" s="609"/>
      <c r="OYD58" s="609"/>
      <c r="OYE58" s="609"/>
      <c r="OYF58" s="609"/>
      <c r="OYG58" s="609"/>
      <c r="OYH58" s="609"/>
      <c r="OYI58" s="609"/>
      <c r="OYJ58" s="609"/>
      <c r="OYK58" s="609"/>
      <c r="OYL58" s="609"/>
      <c r="OYM58" s="609"/>
      <c r="OYN58" s="609"/>
      <c r="OYO58" s="609"/>
      <c r="OYP58" s="609"/>
      <c r="OYQ58" s="609"/>
      <c r="OYR58" s="609"/>
      <c r="OYS58" s="609"/>
      <c r="OYT58" s="609"/>
      <c r="OYU58" s="609"/>
      <c r="OYV58" s="609"/>
      <c r="OYW58" s="609"/>
      <c r="OYX58" s="609"/>
      <c r="OYY58" s="609"/>
      <c r="OYZ58" s="609"/>
      <c r="OZA58" s="609"/>
      <c r="OZB58" s="609"/>
      <c r="OZC58" s="609"/>
      <c r="OZD58" s="609"/>
      <c r="OZE58" s="609"/>
      <c r="OZF58" s="609"/>
      <c r="OZG58" s="609"/>
      <c r="OZH58" s="609"/>
      <c r="OZI58" s="609"/>
      <c r="OZJ58" s="609"/>
      <c r="OZK58" s="609"/>
      <c r="OZL58" s="609"/>
      <c r="OZM58" s="609"/>
      <c r="OZN58" s="609"/>
      <c r="OZO58" s="609"/>
      <c r="OZP58" s="609"/>
      <c r="OZQ58" s="609"/>
      <c r="OZR58" s="609"/>
      <c r="OZS58" s="609"/>
      <c r="OZT58" s="609"/>
      <c r="OZU58" s="609"/>
      <c r="OZV58" s="609"/>
      <c r="OZW58" s="609"/>
      <c r="OZX58" s="609"/>
      <c r="OZY58" s="609"/>
      <c r="OZZ58" s="609"/>
      <c r="PAA58" s="609"/>
      <c r="PAB58" s="609"/>
      <c r="PAC58" s="609"/>
      <c r="PAD58" s="609"/>
      <c r="PAE58" s="609"/>
      <c r="PAF58" s="609"/>
      <c r="PAG58" s="609"/>
      <c r="PAH58" s="609"/>
      <c r="PAI58" s="609"/>
      <c r="PAJ58" s="609"/>
      <c r="PAK58" s="609"/>
      <c r="PAL58" s="609"/>
      <c r="PAM58" s="609"/>
      <c r="PAN58" s="609"/>
      <c r="PAO58" s="609"/>
      <c r="PAP58" s="609"/>
      <c r="PAQ58" s="609"/>
      <c r="PAR58" s="609"/>
      <c r="PAS58" s="609"/>
      <c r="PAT58" s="609"/>
      <c r="PAU58" s="609"/>
      <c r="PAV58" s="609"/>
      <c r="PAW58" s="609"/>
      <c r="PAX58" s="609"/>
      <c r="PAY58" s="609"/>
      <c r="PAZ58" s="609"/>
      <c r="PBA58" s="609"/>
      <c r="PBB58" s="609"/>
      <c r="PBC58" s="609"/>
      <c r="PBD58" s="609"/>
      <c r="PBE58" s="609"/>
      <c r="PBF58" s="609"/>
      <c r="PBG58" s="609"/>
      <c r="PBH58" s="609"/>
      <c r="PBI58" s="609"/>
      <c r="PBJ58" s="609"/>
      <c r="PBK58" s="609"/>
      <c r="PBL58" s="609"/>
      <c r="PBM58" s="609"/>
      <c r="PBN58" s="609"/>
      <c r="PBO58" s="609"/>
      <c r="PBP58" s="609"/>
      <c r="PBQ58" s="609"/>
      <c r="PBR58" s="609"/>
      <c r="PBS58" s="609"/>
      <c r="PBT58" s="609"/>
      <c r="PBU58" s="609"/>
      <c r="PBV58" s="609"/>
      <c r="PBW58" s="609"/>
      <c r="PBX58" s="609"/>
      <c r="PBY58" s="609"/>
      <c r="PBZ58" s="609"/>
      <c r="PCA58" s="609"/>
      <c r="PCB58" s="609"/>
      <c r="PCC58" s="609"/>
      <c r="PCD58" s="609"/>
      <c r="PCE58" s="609"/>
      <c r="PCF58" s="609"/>
      <c r="PCG58" s="609"/>
      <c r="PCH58" s="609"/>
      <c r="PCI58" s="609"/>
      <c r="PCJ58" s="609"/>
      <c r="PCK58" s="609"/>
      <c r="PCL58" s="609"/>
      <c r="PCM58" s="609"/>
      <c r="PCN58" s="609"/>
      <c r="PCO58" s="609"/>
      <c r="PCP58" s="609"/>
      <c r="PCQ58" s="609"/>
      <c r="PCR58" s="609"/>
      <c r="PCS58" s="609"/>
      <c r="PCT58" s="609"/>
      <c r="PCU58" s="609"/>
      <c r="PCV58" s="609"/>
      <c r="PCW58" s="609"/>
      <c r="PCX58" s="609"/>
      <c r="PCY58" s="609"/>
      <c r="PCZ58" s="609"/>
      <c r="PDA58" s="609"/>
      <c r="PDB58" s="609"/>
      <c r="PDC58" s="609"/>
      <c r="PDD58" s="609"/>
      <c r="PDE58" s="609"/>
      <c r="PDF58" s="609"/>
      <c r="PDG58" s="609"/>
      <c r="PDH58" s="609"/>
      <c r="PDI58" s="609"/>
      <c r="PDJ58" s="609"/>
      <c r="PDK58" s="609"/>
      <c r="PDL58" s="609"/>
      <c r="PDM58" s="609"/>
      <c r="PDN58" s="609"/>
      <c r="PDO58" s="609"/>
      <c r="PDP58" s="609"/>
      <c r="PDQ58" s="609"/>
      <c r="PDR58" s="609"/>
      <c r="PDS58" s="609"/>
      <c r="PDT58" s="609"/>
      <c r="PDU58" s="609"/>
      <c r="PDV58" s="609"/>
      <c r="PDW58" s="609"/>
      <c r="PDX58" s="609"/>
      <c r="PDY58" s="609"/>
      <c r="PDZ58" s="609"/>
      <c r="PEA58" s="609"/>
      <c r="PEB58" s="609"/>
      <c r="PEC58" s="609"/>
      <c r="PED58" s="609"/>
      <c r="PEE58" s="609"/>
      <c r="PEF58" s="609"/>
      <c r="PEG58" s="609"/>
      <c r="PEH58" s="609"/>
      <c r="PEI58" s="609"/>
      <c r="PEJ58" s="609"/>
      <c r="PEK58" s="609"/>
      <c r="PEL58" s="609"/>
      <c r="PEM58" s="609"/>
      <c r="PEN58" s="609"/>
      <c r="PEO58" s="609"/>
      <c r="PEP58" s="609"/>
      <c r="PEQ58" s="609"/>
      <c r="PER58" s="609"/>
      <c r="PES58" s="609"/>
      <c r="PET58" s="609"/>
      <c r="PEU58" s="609"/>
      <c r="PEV58" s="609"/>
      <c r="PEW58" s="609"/>
      <c r="PEX58" s="609"/>
      <c r="PEY58" s="609"/>
      <c r="PEZ58" s="609"/>
      <c r="PFA58" s="609"/>
      <c r="PFB58" s="609"/>
      <c r="PFC58" s="609"/>
      <c r="PFD58" s="609"/>
      <c r="PFE58" s="609"/>
      <c r="PFF58" s="609"/>
      <c r="PFG58" s="609"/>
      <c r="PFH58" s="609"/>
      <c r="PFI58" s="609"/>
      <c r="PFJ58" s="609"/>
      <c r="PFK58" s="609"/>
      <c r="PFL58" s="609"/>
      <c r="PFM58" s="609"/>
      <c r="PFN58" s="609"/>
      <c r="PFO58" s="609"/>
      <c r="PFP58" s="609"/>
      <c r="PFQ58" s="609"/>
      <c r="PFR58" s="609"/>
      <c r="PFS58" s="609"/>
      <c r="PFT58" s="609"/>
      <c r="PFU58" s="609"/>
      <c r="PFV58" s="609"/>
      <c r="PFW58" s="609"/>
      <c r="PFX58" s="609"/>
      <c r="PFY58" s="609"/>
      <c r="PFZ58" s="609"/>
      <c r="PGA58" s="609"/>
      <c r="PGB58" s="609"/>
      <c r="PGC58" s="609"/>
      <c r="PGD58" s="609"/>
      <c r="PGE58" s="609"/>
      <c r="PGF58" s="609"/>
      <c r="PGG58" s="609"/>
      <c r="PGH58" s="609"/>
      <c r="PGI58" s="609"/>
      <c r="PGJ58" s="609"/>
      <c r="PGK58" s="609"/>
      <c r="PGL58" s="609"/>
      <c r="PGM58" s="609"/>
      <c r="PGN58" s="609"/>
      <c r="PGO58" s="609"/>
      <c r="PGP58" s="609"/>
      <c r="PGQ58" s="609"/>
      <c r="PGR58" s="609"/>
      <c r="PGS58" s="609"/>
      <c r="PGT58" s="609"/>
      <c r="PGU58" s="609"/>
      <c r="PGV58" s="609"/>
      <c r="PGW58" s="609"/>
      <c r="PGX58" s="609"/>
      <c r="PGY58" s="609"/>
      <c r="PGZ58" s="609"/>
      <c r="PHA58" s="609"/>
      <c r="PHB58" s="609"/>
      <c r="PHC58" s="609"/>
      <c r="PHD58" s="609"/>
      <c r="PHE58" s="609"/>
      <c r="PHF58" s="609"/>
      <c r="PHG58" s="609"/>
      <c r="PHH58" s="609"/>
      <c r="PHI58" s="609"/>
      <c r="PHJ58" s="609"/>
      <c r="PHK58" s="609"/>
      <c r="PHL58" s="609"/>
      <c r="PHM58" s="609"/>
      <c r="PHN58" s="609"/>
      <c r="PHO58" s="609"/>
      <c r="PHP58" s="609"/>
      <c r="PHQ58" s="609"/>
      <c r="PHR58" s="609"/>
      <c r="PHS58" s="609"/>
      <c r="PHT58" s="609"/>
      <c r="PHU58" s="609"/>
      <c r="PHV58" s="609"/>
      <c r="PHW58" s="609"/>
      <c r="PHX58" s="609"/>
      <c r="PHY58" s="609"/>
      <c r="PHZ58" s="609"/>
      <c r="PIA58" s="609"/>
      <c r="PIB58" s="609"/>
      <c r="PIC58" s="609"/>
      <c r="PID58" s="609"/>
      <c r="PIE58" s="609"/>
      <c r="PIF58" s="609"/>
      <c r="PIG58" s="609"/>
      <c r="PIH58" s="609"/>
      <c r="PII58" s="609"/>
      <c r="PIJ58" s="609"/>
      <c r="PIK58" s="609"/>
      <c r="PIL58" s="609"/>
      <c r="PIM58" s="609"/>
      <c r="PIN58" s="609"/>
      <c r="PIO58" s="609"/>
      <c r="PIP58" s="609"/>
      <c r="PIQ58" s="609"/>
      <c r="PIR58" s="609"/>
      <c r="PIS58" s="609"/>
      <c r="PIT58" s="609"/>
      <c r="PIU58" s="609"/>
      <c r="PIV58" s="609"/>
      <c r="PIW58" s="609"/>
      <c r="PIX58" s="609"/>
      <c r="PIY58" s="609"/>
      <c r="PIZ58" s="609"/>
      <c r="PJA58" s="609"/>
      <c r="PJB58" s="609"/>
      <c r="PJC58" s="609"/>
      <c r="PJD58" s="609"/>
      <c r="PJE58" s="609"/>
      <c r="PJF58" s="609"/>
      <c r="PJG58" s="609"/>
      <c r="PJH58" s="609"/>
      <c r="PJI58" s="609"/>
      <c r="PJJ58" s="609"/>
      <c r="PJK58" s="609"/>
      <c r="PJL58" s="609"/>
      <c r="PJM58" s="609"/>
      <c r="PJN58" s="609"/>
      <c r="PJO58" s="609"/>
      <c r="PJP58" s="609"/>
      <c r="PJQ58" s="609"/>
      <c r="PJR58" s="609"/>
      <c r="PJS58" s="609"/>
      <c r="PJT58" s="609"/>
      <c r="PJU58" s="609"/>
      <c r="PJV58" s="609"/>
      <c r="PJW58" s="609"/>
      <c r="PJX58" s="609"/>
      <c r="PJY58" s="609"/>
      <c r="PJZ58" s="609"/>
      <c r="PKA58" s="609"/>
      <c r="PKB58" s="609"/>
      <c r="PKC58" s="609"/>
      <c r="PKD58" s="609"/>
      <c r="PKE58" s="609"/>
      <c r="PKF58" s="609"/>
      <c r="PKG58" s="609"/>
      <c r="PKH58" s="609"/>
      <c r="PKI58" s="609"/>
      <c r="PKJ58" s="609"/>
      <c r="PKK58" s="609"/>
      <c r="PKL58" s="609"/>
      <c r="PKM58" s="609"/>
      <c r="PKN58" s="609"/>
      <c r="PKO58" s="609"/>
      <c r="PKP58" s="609"/>
      <c r="PKQ58" s="609"/>
      <c r="PKR58" s="609"/>
      <c r="PKS58" s="609"/>
      <c r="PKT58" s="609"/>
      <c r="PKU58" s="609"/>
      <c r="PKV58" s="609"/>
      <c r="PKW58" s="609"/>
      <c r="PKX58" s="609"/>
      <c r="PKY58" s="609"/>
      <c r="PKZ58" s="609"/>
      <c r="PLA58" s="609"/>
      <c r="PLB58" s="609"/>
      <c r="PLC58" s="609"/>
      <c r="PLD58" s="609"/>
      <c r="PLE58" s="609"/>
      <c r="PLF58" s="609"/>
      <c r="PLG58" s="609"/>
      <c r="PLH58" s="609"/>
      <c r="PLI58" s="609"/>
      <c r="PLJ58" s="609"/>
      <c r="PLK58" s="609"/>
      <c r="PLL58" s="609"/>
      <c r="PLM58" s="609"/>
      <c r="PLN58" s="609"/>
      <c r="PLO58" s="609"/>
      <c r="PLP58" s="609"/>
      <c r="PLQ58" s="609"/>
      <c r="PLR58" s="609"/>
      <c r="PLS58" s="609"/>
      <c r="PLT58" s="609"/>
      <c r="PLU58" s="609"/>
      <c r="PLV58" s="609"/>
      <c r="PLW58" s="609"/>
      <c r="PLX58" s="609"/>
      <c r="PLY58" s="609"/>
      <c r="PLZ58" s="609"/>
      <c r="PMA58" s="609"/>
      <c r="PMB58" s="609"/>
      <c r="PMC58" s="609"/>
      <c r="PMD58" s="609"/>
      <c r="PME58" s="609"/>
      <c r="PMF58" s="609"/>
      <c r="PMG58" s="609"/>
      <c r="PMH58" s="609"/>
      <c r="PMI58" s="609"/>
      <c r="PMJ58" s="609"/>
      <c r="PMK58" s="609"/>
      <c r="PML58" s="609"/>
      <c r="PMM58" s="609"/>
      <c r="PMN58" s="609"/>
      <c r="PMO58" s="609"/>
      <c r="PMP58" s="609"/>
      <c r="PMQ58" s="609"/>
      <c r="PMR58" s="609"/>
      <c r="PMS58" s="609"/>
      <c r="PMT58" s="609"/>
      <c r="PMU58" s="609"/>
      <c r="PMV58" s="609"/>
      <c r="PMW58" s="609"/>
      <c r="PMX58" s="609"/>
      <c r="PMY58" s="609"/>
      <c r="PMZ58" s="609"/>
      <c r="PNA58" s="609"/>
      <c r="PNB58" s="609"/>
      <c r="PNC58" s="609"/>
      <c r="PND58" s="609"/>
      <c r="PNE58" s="609"/>
      <c r="PNF58" s="609"/>
      <c r="PNG58" s="609"/>
      <c r="PNH58" s="609"/>
      <c r="PNI58" s="609"/>
      <c r="PNJ58" s="609"/>
      <c r="PNK58" s="609"/>
      <c r="PNL58" s="609"/>
      <c r="PNM58" s="609"/>
      <c r="PNN58" s="609"/>
      <c r="PNO58" s="609"/>
      <c r="PNP58" s="609"/>
      <c r="PNQ58" s="609"/>
      <c r="PNR58" s="609"/>
      <c r="PNS58" s="609"/>
      <c r="PNT58" s="609"/>
      <c r="PNU58" s="609"/>
      <c r="PNV58" s="609"/>
      <c r="PNW58" s="609"/>
      <c r="PNX58" s="609"/>
      <c r="PNY58" s="609"/>
      <c r="PNZ58" s="609"/>
      <c r="POA58" s="609"/>
      <c r="POB58" s="609"/>
      <c r="POC58" s="609"/>
      <c r="POD58" s="609"/>
      <c r="POE58" s="609"/>
      <c r="POF58" s="609"/>
      <c r="POG58" s="609"/>
      <c r="POH58" s="609"/>
      <c r="POI58" s="609"/>
      <c r="POJ58" s="609"/>
      <c r="POK58" s="609"/>
      <c r="POL58" s="609"/>
      <c r="POM58" s="609"/>
      <c r="PON58" s="609"/>
      <c r="POO58" s="609"/>
      <c r="POP58" s="609"/>
      <c r="POQ58" s="609"/>
      <c r="POR58" s="609"/>
      <c r="POS58" s="609"/>
      <c r="POT58" s="609"/>
      <c r="POU58" s="609"/>
      <c r="POV58" s="609"/>
      <c r="POW58" s="609"/>
      <c r="POX58" s="609"/>
      <c r="POY58" s="609"/>
      <c r="POZ58" s="609"/>
      <c r="PPA58" s="609"/>
      <c r="PPB58" s="609"/>
      <c r="PPC58" s="609"/>
      <c r="PPD58" s="609"/>
      <c r="PPE58" s="609"/>
      <c r="PPF58" s="609"/>
      <c r="PPG58" s="609"/>
      <c r="PPH58" s="609"/>
      <c r="PPI58" s="609"/>
      <c r="PPJ58" s="609"/>
      <c r="PPK58" s="609"/>
      <c r="PPL58" s="609"/>
      <c r="PPM58" s="609"/>
      <c r="PPN58" s="609"/>
      <c r="PPO58" s="609"/>
      <c r="PPP58" s="609"/>
      <c r="PPQ58" s="609"/>
      <c r="PPR58" s="609"/>
      <c r="PPS58" s="609"/>
      <c r="PPT58" s="609"/>
      <c r="PPU58" s="609"/>
      <c r="PPV58" s="609"/>
      <c r="PPW58" s="609"/>
      <c r="PPX58" s="609"/>
      <c r="PPY58" s="609"/>
      <c r="PPZ58" s="609"/>
      <c r="PQA58" s="609"/>
      <c r="PQB58" s="609"/>
      <c r="PQC58" s="609"/>
      <c r="PQD58" s="609"/>
      <c r="PQE58" s="609"/>
      <c r="PQF58" s="609"/>
      <c r="PQG58" s="609"/>
      <c r="PQH58" s="609"/>
      <c r="PQI58" s="609"/>
      <c r="PQJ58" s="609"/>
      <c r="PQK58" s="609"/>
      <c r="PQL58" s="609"/>
      <c r="PQM58" s="609"/>
      <c r="PQN58" s="609"/>
      <c r="PQO58" s="609"/>
      <c r="PQP58" s="609"/>
      <c r="PQQ58" s="609"/>
      <c r="PQR58" s="609"/>
      <c r="PQS58" s="609"/>
      <c r="PQT58" s="609"/>
      <c r="PQU58" s="609"/>
      <c r="PQV58" s="609"/>
      <c r="PQW58" s="609"/>
      <c r="PQX58" s="609"/>
      <c r="PQY58" s="609"/>
      <c r="PQZ58" s="609"/>
      <c r="PRA58" s="609"/>
      <c r="PRB58" s="609"/>
      <c r="PRC58" s="609"/>
      <c r="PRD58" s="609"/>
      <c r="PRE58" s="609"/>
      <c r="PRF58" s="609"/>
      <c r="PRG58" s="609"/>
      <c r="PRH58" s="609"/>
      <c r="PRI58" s="609"/>
      <c r="PRJ58" s="609"/>
      <c r="PRK58" s="609"/>
      <c r="PRL58" s="609"/>
      <c r="PRM58" s="609"/>
      <c r="PRN58" s="609"/>
      <c r="PRO58" s="609"/>
      <c r="PRP58" s="609"/>
      <c r="PRQ58" s="609"/>
      <c r="PRR58" s="609"/>
      <c r="PRS58" s="609"/>
      <c r="PRT58" s="609"/>
      <c r="PRU58" s="609"/>
      <c r="PRV58" s="609"/>
      <c r="PRW58" s="609"/>
      <c r="PRX58" s="609"/>
      <c r="PRY58" s="609"/>
      <c r="PRZ58" s="609"/>
      <c r="PSA58" s="609"/>
      <c r="PSB58" s="609"/>
      <c r="PSC58" s="609"/>
      <c r="PSD58" s="609"/>
      <c r="PSE58" s="609"/>
      <c r="PSF58" s="609"/>
      <c r="PSG58" s="609"/>
      <c r="PSH58" s="609"/>
      <c r="PSI58" s="609"/>
      <c r="PSJ58" s="609"/>
      <c r="PSK58" s="609"/>
      <c r="PSL58" s="609"/>
      <c r="PSM58" s="609"/>
      <c r="PSN58" s="609"/>
      <c r="PSO58" s="609"/>
      <c r="PSP58" s="609"/>
      <c r="PSQ58" s="609"/>
      <c r="PSR58" s="609"/>
      <c r="PSS58" s="609"/>
      <c r="PST58" s="609"/>
      <c r="PSU58" s="609"/>
      <c r="PSV58" s="609"/>
      <c r="PSW58" s="609"/>
      <c r="PSX58" s="609"/>
      <c r="PSY58" s="609"/>
      <c r="PSZ58" s="609"/>
      <c r="PTA58" s="609"/>
      <c r="PTB58" s="609"/>
      <c r="PTC58" s="609"/>
      <c r="PTD58" s="609"/>
      <c r="PTE58" s="609"/>
      <c r="PTF58" s="609"/>
      <c r="PTG58" s="609"/>
      <c r="PTH58" s="609"/>
      <c r="PTI58" s="609"/>
      <c r="PTJ58" s="609"/>
      <c r="PTK58" s="609"/>
      <c r="PTL58" s="609"/>
      <c r="PTM58" s="609"/>
      <c r="PTN58" s="609"/>
      <c r="PTO58" s="609"/>
      <c r="PTP58" s="609"/>
      <c r="PTQ58" s="609"/>
      <c r="PTR58" s="609"/>
      <c r="PTS58" s="609"/>
      <c r="PTT58" s="609"/>
      <c r="PTU58" s="609"/>
      <c r="PTV58" s="609"/>
      <c r="PTW58" s="609"/>
      <c r="PTX58" s="609"/>
      <c r="PTY58" s="609"/>
      <c r="PTZ58" s="609"/>
      <c r="PUA58" s="609"/>
      <c r="PUB58" s="609"/>
      <c r="PUC58" s="609"/>
      <c r="PUD58" s="609"/>
      <c r="PUE58" s="609"/>
      <c r="PUF58" s="609"/>
      <c r="PUG58" s="609"/>
      <c r="PUH58" s="609"/>
      <c r="PUI58" s="609"/>
      <c r="PUJ58" s="609"/>
      <c r="PUK58" s="609"/>
      <c r="PUL58" s="609"/>
      <c r="PUM58" s="609"/>
      <c r="PUN58" s="609"/>
      <c r="PUO58" s="609"/>
      <c r="PUP58" s="609"/>
      <c r="PUQ58" s="609"/>
      <c r="PUR58" s="609"/>
      <c r="PUS58" s="609"/>
      <c r="PUT58" s="609"/>
      <c r="PUU58" s="609"/>
      <c r="PUV58" s="609"/>
      <c r="PUW58" s="609"/>
      <c r="PUX58" s="609"/>
      <c r="PUY58" s="609"/>
      <c r="PUZ58" s="609"/>
      <c r="PVA58" s="609"/>
      <c r="PVB58" s="609"/>
      <c r="PVC58" s="609"/>
      <c r="PVD58" s="609"/>
      <c r="PVE58" s="609"/>
      <c r="PVF58" s="609"/>
      <c r="PVG58" s="609"/>
      <c r="PVH58" s="609"/>
      <c r="PVI58" s="609"/>
      <c r="PVJ58" s="609"/>
      <c r="PVK58" s="609"/>
      <c r="PVL58" s="609"/>
      <c r="PVM58" s="609"/>
      <c r="PVN58" s="609"/>
      <c r="PVO58" s="609"/>
      <c r="PVP58" s="609"/>
      <c r="PVQ58" s="609"/>
      <c r="PVR58" s="609"/>
      <c r="PVS58" s="609"/>
      <c r="PVT58" s="609"/>
      <c r="PVU58" s="609"/>
      <c r="PVV58" s="609"/>
      <c r="PVW58" s="609"/>
      <c r="PVX58" s="609"/>
      <c r="PVY58" s="609"/>
      <c r="PVZ58" s="609"/>
      <c r="PWA58" s="609"/>
      <c r="PWB58" s="609"/>
      <c r="PWC58" s="609"/>
      <c r="PWD58" s="609"/>
      <c r="PWE58" s="609"/>
      <c r="PWF58" s="609"/>
      <c r="PWG58" s="609"/>
      <c r="PWH58" s="609"/>
      <c r="PWI58" s="609"/>
      <c r="PWJ58" s="609"/>
      <c r="PWK58" s="609"/>
      <c r="PWL58" s="609"/>
      <c r="PWM58" s="609"/>
      <c r="PWN58" s="609"/>
      <c r="PWO58" s="609"/>
      <c r="PWP58" s="609"/>
      <c r="PWQ58" s="609"/>
      <c r="PWR58" s="609"/>
      <c r="PWS58" s="609"/>
      <c r="PWT58" s="609"/>
      <c r="PWU58" s="609"/>
      <c r="PWV58" s="609"/>
      <c r="PWW58" s="609"/>
      <c r="PWX58" s="609"/>
      <c r="PWY58" s="609"/>
      <c r="PWZ58" s="609"/>
      <c r="PXA58" s="609"/>
      <c r="PXB58" s="609"/>
      <c r="PXC58" s="609"/>
      <c r="PXD58" s="609"/>
      <c r="PXE58" s="609"/>
      <c r="PXF58" s="609"/>
      <c r="PXG58" s="609"/>
      <c r="PXH58" s="609"/>
      <c r="PXI58" s="609"/>
      <c r="PXJ58" s="609"/>
      <c r="PXK58" s="609"/>
      <c r="PXL58" s="609"/>
      <c r="PXM58" s="609"/>
      <c r="PXN58" s="609"/>
      <c r="PXO58" s="609"/>
      <c r="PXP58" s="609"/>
      <c r="PXQ58" s="609"/>
      <c r="PXR58" s="609"/>
      <c r="PXS58" s="609"/>
      <c r="PXT58" s="609"/>
      <c r="PXU58" s="609"/>
      <c r="PXV58" s="609"/>
      <c r="PXW58" s="609"/>
      <c r="PXX58" s="609"/>
      <c r="PXY58" s="609"/>
      <c r="PXZ58" s="609"/>
      <c r="PYA58" s="609"/>
      <c r="PYB58" s="609"/>
      <c r="PYC58" s="609"/>
      <c r="PYD58" s="609"/>
      <c r="PYE58" s="609"/>
      <c r="PYF58" s="609"/>
      <c r="PYG58" s="609"/>
      <c r="PYH58" s="609"/>
      <c r="PYI58" s="609"/>
      <c r="PYJ58" s="609"/>
      <c r="PYK58" s="609"/>
      <c r="PYL58" s="609"/>
      <c r="PYM58" s="609"/>
      <c r="PYN58" s="609"/>
      <c r="PYO58" s="609"/>
      <c r="PYP58" s="609"/>
      <c r="PYQ58" s="609"/>
      <c r="PYR58" s="609"/>
      <c r="PYS58" s="609"/>
      <c r="PYT58" s="609"/>
      <c r="PYU58" s="609"/>
      <c r="PYV58" s="609"/>
      <c r="PYW58" s="609"/>
      <c r="PYX58" s="609"/>
      <c r="PYY58" s="609"/>
      <c r="PYZ58" s="609"/>
      <c r="PZA58" s="609"/>
      <c r="PZB58" s="609"/>
      <c r="PZC58" s="609"/>
      <c r="PZD58" s="609"/>
      <c r="PZE58" s="609"/>
      <c r="PZF58" s="609"/>
      <c r="PZG58" s="609"/>
      <c r="PZH58" s="609"/>
      <c r="PZI58" s="609"/>
      <c r="PZJ58" s="609"/>
      <c r="PZK58" s="609"/>
      <c r="PZL58" s="609"/>
      <c r="PZM58" s="609"/>
      <c r="PZN58" s="609"/>
      <c r="PZO58" s="609"/>
      <c r="PZP58" s="609"/>
      <c r="PZQ58" s="609"/>
      <c r="PZR58" s="609"/>
      <c r="PZS58" s="609"/>
      <c r="PZT58" s="609"/>
      <c r="PZU58" s="609"/>
      <c r="PZV58" s="609"/>
      <c r="PZW58" s="609"/>
      <c r="PZX58" s="609"/>
      <c r="PZY58" s="609"/>
      <c r="PZZ58" s="609"/>
      <c r="QAA58" s="609"/>
      <c r="QAB58" s="609"/>
      <c r="QAC58" s="609"/>
      <c r="QAD58" s="609"/>
      <c r="QAE58" s="609"/>
      <c r="QAF58" s="609"/>
      <c r="QAG58" s="609"/>
      <c r="QAH58" s="609"/>
      <c r="QAI58" s="609"/>
      <c r="QAJ58" s="609"/>
      <c r="QAK58" s="609"/>
      <c r="QAL58" s="609"/>
      <c r="QAM58" s="609"/>
      <c r="QAN58" s="609"/>
      <c r="QAO58" s="609"/>
      <c r="QAP58" s="609"/>
      <c r="QAQ58" s="609"/>
      <c r="QAR58" s="609"/>
      <c r="QAS58" s="609"/>
      <c r="QAT58" s="609"/>
      <c r="QAU58" s="609"/>
      <c r="QAV58" s="609"/>
      <c r="QAW58" s="609"/>
      <c r="QAX58" s="609"/>
      <c r="QAY58" s="609"/>
      <c r="QAZ58" s="609"/>
      <c r="QBA58" s="609"/>
      <c r="QBB58" s="609"/>
      <c r="QBC58" s="609"/>
      <c r="QBD58" s="609"/>
      <c r="QBE58" s="609"/>
      <c r="QBF58" s="609"/>
      <c r="QBG58" s="609"/>
      <c r="QBH58" s="609"/>
      <c r="QBI58" s="609"/>
      <c r="QBJ58" s="609"/>
      <c r="QBK58" s="609"/>
      <c r="QBL58" s="609"/>
      <c r="QBM58" s="609"/>
      <c r="QBN58" s="609"/>
      <c r="QBO58" s="609"/>
      <c r="QBP58" s="609"/>
      <c r="QBQ58" s="609"/>
      <c r="QBR58" s="609"/>
      <c r="QBS58" s="609"/>
      <c r="QBT58" s="609"/>
      <c r="QBU58" s="609"/>
      <c r="QBV58" s="609"/>
      <c r="QBW58" s="609"/>
      <c r="QBX58" s="609"/>
      <c r="QBY58" s="609"/>
      <c r="QBZ58" s="609"/>
      <c r="QCA58" s="609"/>
      <c r="QCB58" s="609"/>
      <c r="QCC58" s="609"/>
      <c r="QCD58" s="609"/>
      <c r="QCE58" s="609"/>
      <c r="QCF58" s="609"/>
      <c r="QCG58" s="609"/>
      <c r="QCH58" s="609"/>
      <c r="QCI58" s="609"/>
      <c r="QCJ58" s="609"/>
      <c r="QCK58" s="609"/>
      <c r="QCL58" s="609"/>
      <c r="QCM58" s="609"/>
      <c r="QCN58" s="609"/>
      <c r="QCO58" s="609"/>
      <c r="QCP58" s="609"/>
      <c r="QCQ58" s="609"/>
      <c r="QCR58" s="609"/>
      <c r="QCS58" s="609"/>
      <c r="QCT58" s="609"/>
      <c r="QCU58" s="609"/>
      <c r="QCV58" s="609"/>
      <c r="QCW58" s="609"/>
      <c r="QCX58" s="609"/>
      <c r="QCY58" s="609"/>
      <c r="QCZ58" s="609"/>
      <c r="QDA58" s="609"/>
      <c r="QDB58" s="609"/>
      <c r="QDC58" s="609"/>
      <c r="QDD58" s="609"/>
      <c r="QDE58" s="609"/>
      <c r="QDF58" s="609"/>
      <c r="QDG58" s="609"/>
      <c r="QDH58" s="609"/>
      <c r="QDI58" s="609"/>
      <c r="QDJ58" s="609"/>
      <c r="QDK58" s="609"/>
      <c r="QDL58" s="609"/>
      <c r="QDM58" s="609"/>
      <c r="QDN58" s="609"/>
      <c r="QDO58" s="609"/>
      <c r="QDP58" s="609"/>
      <c r="QDQ58" s="609"/>
      <c r="QDR58" s="609"/>
      <c r="QDS58" s="609"/>
      <c r="QDT58" s="609"/>
      <c r="QDU58" s="609"/>
      <c r="QDV58" s="609"/>
      <c r="QDW58" s="609"/>
      <c r="QDX58" s="609"/>
      <c r="QDY58" s="609"/>
      <c r="QDZ58" s="609"/>
      <c r="QEA58" s="609"/>
      <c r="QEB58" s="609"/>
      <c r="QEC58" s="609"/>
      <c r="QED58" s="609"/>
      <c r="QEE58" s="609"/>
      <c r="QEF58" s="609"/>
      <c r="QEG58" s="609"/>
      <c r="QEH58" s="609"/>
      <c r="QEI58" s="609"/>
      <c r="QEJ58" s="609"/>
      <c r="QEK58" s="609"/>
      <c r="QEL58" s="609"/>
      <c r="QEM58" s="609"/>
      <c r="QEN58" s="609"/>
      <c r="QEO58" s="609"/>
      <c r="QEP58" s="609"/>
      <c r="QEQ58" s="609"/>
      <c r="QER58" s="609"/>
      <c r="QES58" s="609"/>
      <c r="QET58" s="609"/>
      <c r="QEU58" s="609"/>
      <c r="QEV58" s="609"/>
      <c r="QEW58" s="609"/>
      <c r="QEX58" s="609"/>
      <c r="QEY58" s="609"/>
      <c r="QEZ58" s="609"/>
      <c r="QFA58" s="609"/>
      <c r="QFB58" s="609"/>
      <c r="QFC58" s="609"/>
      <c r="QFD58" s="609"/>
      <c r="QFE58" s="609"/>
      <c r="QFF58" s="609"/>
      <c r="QFG58" s="609"/>
      <c r="QFH58" s="609"/>
      <c r="QFI58" s="609"/>
      <c r="QFJ58" s="609"/>
      <c r="QFK58" s="609"/>
      <c r="QFL58" s="609"/>
      <c r="QFM58" s="609"/>
      <c r="QFN58" s="609"/>
      <c r="QFO58" s="609"/>
      <c r="QFP58" s="609"/>
      <c r="QFQ58" s="609"/>
      <c r="QFR58" s="609"/>
      <c r="QFS58" s="609"/>
      <c r="QFT58" s="609"/>
      <c r="QFU58" s="609"/>
      <c r="QFV58" s="609"/>
      <c r="QFW58" s="609"/>
      <c r="QFX58" s="609"/>
      <c r="QFY58" s="609"/>
      <c r="QFZ58" s="609"/>
      <c r="QGA58" s="609"/>
      <c r="QGB58" s="609"/>
      <c r="QGC58" s="609"/>
      <c r="QGD58" s="609"/>
      <c r="QGE58" s="609"/>
      <c r="QGF58" s="609"/>
      <c r="QGG58" s="609"/>
      <c r="QGH58" s="609"/>
      <c r="QGI58" s="609"/>
      <c r="QGJ58" s="609"/>
      <c r="QGK58" s="609"/>
      <c r="QGL58" s="609"/>
      <c r="QGM58" s="609"/>
      <c r="QGN58" s="609"/>
      <c r="QGO58" s="609"/>
      <c r="QGP58" s="609"/>
      <c r="QGQ58" s="609"/>
      <c r="QGR58" s="609"/>
      <c r="QGS58" s="609"/>
      <c r="QGT58" s="609"/>
      <c r="QGU58" s="609"/>
      <c r="QGV58" s="609"/>
      <c r="QGW58" s="609"/>
      <c r="QGX58" s="609"/>
      <c r="QGY58" s="609"/>
      <c r="QGZ58" s="609"/>
      <c r="QHA58" s="609"/>
      <c r="QHB58" s="609"/>
      <c r="QHC58" s="609"/>
      <c r="QHD58" s="609"/>
      <c r="QHE58" s="609"/>
      <c r="QHF58" s="609"/>
      <c r="QHG58" s="609"/>
      <c r="QHH58" s="609"/>
      <c r="QHI58" s="609"/>
      <c r="QHJ58" s="609"/>
      <c r="QHK58" s="609"/>
      <c r="QHL58" s="609"/>
      <c r="QHM58" s="609"/>
      <c r="QHN58" s="609"/>
      <c r="QHO58" s="609"/>
      <c r="QHP58" s="609"/>
      <c r="QHQ58" s="609"/>
      <c r="QHR58" s="609"/>
      <c r="QHS58" s="609"/>
      <c r="QHT58" s="609"/>
      <c r="QHU58" s="609"/>
      <c r="QHV58" s="609"/>
      <c r="QHW58" s="609"/>
      <c r="QHX58" s="609"/>
      <c r="QHY58" s="609"/>
      <c r="QHZ58" s="609"/>
      <c r="QIA58" s="609"/>
      <c r="QIB58" s="609"/>
      <c r="QIC58" s="609"/>
      <c r="QID58" s="609"/>
      <c r="QIE58" s="609"/>
      <c r="QIF58" s="609"/>
      <c r="QIG58" s="609"/>
      <c r="QIH58" s="609"/>
      <c r="QII58" s="609"/>
      <c r="QIJ58" s="609"/>
      <c r="QIK58" s="609"/>
      <c r="QIL58" s="609"/>
      <c r="QIM58" s="609"/>
      <c r="QIN58" s="609"/>
      <c r="QIO58" s="609"/>
      <c r="QIP58" s="609"/>
      <c r="QIQ58" s="609"/>
      <c r="QIR58" s="609"/>
      <c r="QIS58" s="609"/>
      <c r="QIT58" s="609"/>
      <c r="QIU58" s="609"/>
      <c r="QIV58" s="609"/>
      <c r="QIW58" s="609"/>
      <c r="QIX58" s="609"/>
      <c r="QIY58" s="609"/>
      <c r="QIZ58" s="609"/>
      <c r="QJA58" s="609"/>
      <c r="QJB58" s="609"/>
      <c r="QJC58" s="609"/>
      <c r="QJD58" s="609"/>
      <c r="QJE58" s="609"/>
      <c r="QJF58" s="609"/>
      <c r="QJG58" s="609"/>
      <c r="QJH58" s="609"/>
      <c r="QJI58" s="609"/>
      <c r="QJJ58" s="609"/>
      <c r="QJK58" s="609"/>
      <c r="QJL58" s="609"/>
      <c r="QJM58" s="609"/>
      <c r="QJN58" s="609"/>
      <c r="QJO58" s="609"/>
      <c r="QJP58" s="609"/>
      <c r="QJQ58" s="609"/>
      <c r="QJR58" s="609"/>
      <c r="QJS58" s="609"/>
      <c r="QJT58" s="609"/>
      <c r="QJU58" s="609"/>
      <c r="QJV58" s="609"/>
      <c r="QJW58" s="609"/>
      <c r="QJX58" s="609"/>
      <c r="QJY58" s="609"/>
      <c r="QJZ58" s="609"/>
      <c r="QKA58" s="609"/>
      <c r="QKB58" s="609"/>
      <c r="QKC58" s="609"/>
      <c r="QKD58" s="609"/>
      <c r="QKE58" s="609"/>
      <c r="QKF58" s="609"/>
      <c r="QKG58" s="609"/>
      <c r="QKH58" s="609"/>
      <c r="QKI58" s="609"/>
      <c r="QKJ58" s="609"/>
      <c r="QKK58" s="609"/>
      <c r="QKL58" s="609"/>
      <c r="QKM58" s="609"/>
      <c r="QKN58" s="609"/>
      <c r="QKO58" s="609"/>
      <c r="QKP58" s="609"/>
      <c r="QKQ58" s="609"/>
      <c r="QKR58" s="609"/>
      <c r="QKS58" s="609"/>
      <c r="QKT58" s="609"/>
      <c r="QKU58" s="609"/>
      <c r="QKV58" s="609"/>
      <c r="QKW58" s="609"/>
      <c r="QKX58" s="609"/>
      <c r="QKY58" s="609"/>
      <c r="QKZ58" s="609"/>
      <c r="QLA58" s="609"/>
      <c r="QLB58" s="609"/>
      <c r="QLC58" s="609"/>
      <c r="QLD58" s="609"/>
      <c r="QLE58" s="609"/>
      <c r="QLF58" s="609"/>
      <c r="QLG58" s="609"/>
      <c r="QLH58" s="609"/>
      <c r="QLI58" s="609"/>
      <c r="QLJ58" s="609"/>
      <c r="QLK58" s="609"/>
      <c r="QLL58" s="609"/>
      <c r="QLM58" s="609"/>
      <c r="QLN58" s="609"/>
      <c r="QLO58" s="609"/>
      <c r="QLP58" s="609"/>
      <c r="QLQ58" s="609"/>
      <c r="QLR58" s="609"/>
      <c r="QLS58" s="609"/>
      <c r="QLT58" s="609"/>
      <c r="QLU58" s="609"/>
      <c r="QLV58" s="609"/>
      <c r="QLW58" s="609"/>
      <c r="QLX58" s="609"/>
      <c r="QLY58" s="609"/>
      <c r="QLZ58" s="609"/>
      <c r="QMA58" s="609"/>
      <c r="QMB58" s="609"/>
      <c r="QMC58" s="609"/>
      <c r="QMD58" s="609"/>
      <c r="QME58" s="609"/>
      <c r="QMF58" s="609"/>
      <c r="QMG58" s="609"/>
      <c r="QMH58" s="609"/>
      <c r="QMI58" s="609"/>
      <c r="QMJ58" s="609"/>
      <c r="QMK58" s="609"/>
      <c r="QML58" s="609"/>
      <c r="QMM58" s="609"/>
      <c r="QMN58" s="609"/>
      <c r="QMO58" s="609"/>
      <c r="QMP58" s="609"/>
      <c r="QMQ58" s="609"/>
      <c r="QMR58" s="609"/>
      <c r="QMS58" s="609"/>
      <c r="QMT58" s="609"/>
      <c r="QMU58" s="609"/>
      <c r="QMV58" s="609"/>
      <c r="QMW58" s="609"/>
      <c r="QMX58" s="609"/>
      <c r="QMY58" s="609"/>
      <c r="QMZ58" s="609"/>
      <c r="QNA58" s="609"/>
      <c r="QNB58" s="609"/>
      <c r="QNC58" s="609"/>
      <c r="QND58" s="609"/>
      <c r="QNE58" s="609"/>
      <c r="QNF58" s="609"/>
      <c r="QNG58" s="609"/>
      <c r="QNH58" s="609"/>
      <c r="QNI58" s="609"/>
      <c r="QNJ58" s="609"/>
      <c r="QNK58" s="609"/>
      <c r="QNL58" s="609"/>
      <c r="QNM58" s="609"/>
      <c r="QNN58" s="609"/>
      <c r="QNO58" s="609"/>
      <c r="QNP58" s="609"/>
      <c r="QNQ58" s="609"/>
      <c r="QNR58" s="609"/>
      <c r="QNS58" s="609"/>
      <c r="QNT58" s="609"/>
      <c r="QNU58" s="609"/>
      <c r="QNV58" s="609"/>
      <c r="QNW58" s="609"/>
      <c r="QNX58" s="609"/>
      <c r="QNY58" s="609"/>
      <c r="QNZ58" s="609"/>
      <c r="QOA58" s="609"/>
      <c r="QOB58" s="609"/>
      <c r="QOC58" s="609"/>
      <c r="QOD58" s="609"/>
      <c r="QOE58" s="609"/>
      <c r="QOF58" s="609"/>
      <c r="QOG58" s="609"/>
      <c r="QOH58" s="609"/>
      <c r="QOI58" s="609"/>
      <c r="QOJ58" s="609"/>
      <c r="QOK58" s="609"/>
      <c r="QOL58" s="609"/>
      <c r="QOM58" s="609"/>
      <c r="QON58" s="609"/>
      <c r="QOO58" s="609"/>
      <c r="QOP58" s="609"/>
      <c r="QOQ58" s="609"/>
      <c r="QOR58" s="609"/>
      <c r="QOS58" s="609"/>
      <c r="QOT58" s="609"/>
      <c r="QOU58" s="609"/>
      <c r="QOV58" s="609"/>
      <c r="QOW58" s="609"/>
      <c r="QOX58" s="609"/>
      <c r="QOY58" s="609"/>
      <c r="QOZ58" s="609"/>
      <c r="QPA58" s="609"/>
      <c r="QPB58" s="609"/>
      <c r="QPC58" s="609"/>
      <c r="QPD58" s="609"/>
      <c r="QPE58" s="609"/>
      <c r="QPF58" s="609"/>
      <c r="QPG58" s="609"/>
      <c r="QPH58" s="609"/>
      <c r="QPI58" s="609"/>
      <c r="QPJ58" s="609"/>
      <c r="QPK58" s="609"/>
      <c r="QPL58" s="609"/>
      <c r="QPM58" s="609"/>
      <c r="QPN58" s="609"/>
      <c r="QPO58" s="609"/>
      <c r="QPP58" s="609"/>
      <c r="QPQ58" s="609"/>
      <c r="QPR58" s="609"/>
      <c r="QPS58" s="609"/>
      <c r="QPT58" s="609"/>
      <c r="QPU58" s="609"/>
      <c r="QPV58" s="609"/>
      <c r="QPW58" s="609"/>
      <c r="QPX58" s="609"/>
      <c r="QPY58" s="609"/>
      <c r="QPZ58" s="609"/>
      <c r="QQA58" s="609"/>
      <c r="QQB58" s="609"/>
      <c r="QQC58" s="609"/>
      <c r="QQD58" s="609"/>
      <c r="QQE58" s="609"/>
      <c r="QQF58" s="609"/>
      <c r="QQG58" s="609"/>
      <c r="QQH58" s="609"/>
      <c r="QQI58" s="609"/>
      <c r="QQJ58" s="609"/>
      <c r="QQK58" s="609"/>
      <c r="QQL58" s="609"/>
      <c r="QQM58" s="609"/>
      <c r="QQN58" s="609"/>
      <c r="QQO58" s="609"/>
      <c r="QQP58" s="609"/>
      <c r="QQQ58" s="609"/>
      <c r="QQR58" s="609"/>
      <c r="QQS58" s="609"/>
      <c r="QQT58" s="609"/>
      <c r="QQU58" s="609"/>
      <c r="QQV58" s="609"/>
      <c r="QQW58" s="609"/>
      <c r="QQX58" s="609"/>
      <c r="QQY58" s="609"/>
      <c r="QQZ58" s="609"/>
      <c r="QRA58" s="609"/>
      <c r="QRB58" s="609"/>
      <c r="QRC58" s="609"/>
      <c r="QRD58" s="609"/>
      <c r="QRE58" s="609"/>
      <c r="QRF58" s="609"/>
      <c r="QRG58" s="609"/>
      <c r="QRH58" s="609"/>
      <c r="QRI58" s="609"/>
      <c r="QRJ58" s="609"/>
      <c r="QRK58" s="609"/>
      <c r="QRL58" s="609"/>
      <c r="QRM58" s="609"/>
      <c r="QRN58" s="609"/>
      <c r="QRO58" s="609"/>
      <c r="QRP58" s="609"/>
      <c r="QRQ58" s="609"/>
      <c r="QRR58" s="609"/>
      <c r="QRS58" s="609"/>
      <c r="QRT58" s="609"/>
      <c r="QRU58" s="609"/>
      <c r="QRV58" s="609"/>
      <c r="QRW58" s="609"/>
      <c r="QRX58" s="609"/>
      <c r="QRY58" s="609"/>
      <c r="QRZ58" s="609"/>
      <c r="QSA58" s="609"/>
      <c r="QSB58" s="609"/>
      <c r="QSC58" s="609"/>
      <c r="QSD58" s="609"/>
      <c r="QSE58" s="609"/>
      <c r="QSF58" s="609"/>
      <c r="QSG58" s="609"/>
      <c r="QSH58" s="609"/>
      <c r="QSI58" s="609"/>
      <c r="QSJ58" s="609"/>
      <c r="QSK58" s="609"/>
      <c r="QSL58" s="609"/>
      <c r="QSM58" s="609"/>
      <c r="QSN58" s="609"/>
      <c r="QSO58" s="609"/>
      <c r="QSP58" s="609"/>
      <c r="QSQ58" s="609"/>
      <c r="QSR58" s="609"/>
      <c r="QSS58" s="609"/>
      <c r="QST58" s="609"/>
      <c r="QSU58" s="609"/>
      <c r="QSV58" s="609"/>
      <c r="QSW58" s="609"/>
      <c r="QSX58" s="609"/>
      <c r="QSY58" s="609"/>
      <c r="QSZ58" s="609"/>
      <c r="QTA58" s="609"/>
      <c r="QTB58" s="609"/>
      <c r="QTC58" s="609"/>
      <c r="QTD58" s="609"/>
      <c r="QTE58" s="609"/>
      <c r="QTF58" s="609"/>
      <c r="QTG58" s="609"/>
      <c r="QTH58" s="609"/>
      <c r="QTI58" s="609"/>
      <c r="QTJ58" s="609"/>
      <c r="QTK58" s="609"/>
      <c r="QTL58" s="609"/>
      <c r="QTM58" s="609"/>
      <c r="QTN58" s="609"/>
      <c r="QTO58" s="609"/>
      <c r="QTP58" s="609"/>
      <c r="QTQ58" s="609"/>
      <c r="QTR58" s="609"/>
      <c r="QTS58" s="609"/>
      <c r="QTT58" s="609"/>
      <c r="QTU58" s="609"/>
      <c r="QTV58" s="609"/>
      <c r="QTW58" s="609"/>
      <c r="QTX58" s="609"/>
      <c r="QTY58" s="609"/>
      <c r="QTZ58" s="609"/>
      <c r="QUA58" s="609"/>
      <c r="QUB58" s="609"/>
      <c r="QUC58" s="609"/>
      <c r="QUD58" s="609"/>
      <c r="QUE58" s="609"/>
      <c r="QUF58" s="609"/>
      <c r="QUG58" s="609"/>
      <c r="QUH58" s="609"/>
      <c r="QUI58" s="609"/>
      <c r="QUJ58" s="609"/>
      <c r="QUK58" s="609"/>
      <c r="QUL58" s="609"/>
      <c r="QUM58" s="609"/>
      <c r="QUN58" s="609"/>
      <c r="QUO58" s="609"/>
      <c r="QUP58" s="609"/>
      <c r="QUQ58" s="609"/>
      <c r="QUR58" s="609"/>
      <c r="QUS58" s="609"/>
      <c r="QUT58" s="609"/>
      <c r="QUU58" s="609"/>
      <c r="QUV58" s="609"/>
      <c r="QUW58" s="609"/>
      <c r="QUX58" s="609"/>
      <c r="QUY58" s="609"/>
      <c r="QUZ58" s="609"/>
      <c r="QVA58" s="609"/>
      <c r="QVB58" s="609"/>
      <c r="QVC58" s="609"/>
      <c r="QVD58" s="609"/>
      <c r="QVE58" s="609"/>
      <c r="QVF58" s="609"/>
      <c r="QVG58" s="609"/>
      <c r="QVH58" s="609"/>
      <c r="QVI58" s="609"/>
      <c r="QVJ58" s="609"/>
      <c r="QVK58" s="609"/>
      <c r="QVL58" s="609"/>
      <c r="QVM58" s="609"/>
      <c r="QVN58" s="609"/>
      <c r="QVO58" s="609"/>
      <c r="QVP58" s="609"/>
      <c r="QVQ58" s="609"/>
      <c r="QVR58" s="609"/>
      <c r="QVS58" s="609"/>
      <c r="QVT58" s="609"/>
      <c r="QVU58" s="609"/>
      <c r="QVV58" s="609"/>
      <c r="QVW58" s="609"/>
      <c r="QVX58" s="609"/>
      <c r="QVY58" s="609"/>
      <c r="QVZ58" s="609"/>
      <c r="QWA58" s="609"/>
      <c r="QWB58" s="609"/>
      <c r="QWC58" s="609"/>
      <c r="QWD58" s="609"/>
      <c r="QWE58" s="609"/>
      <c r="QWF58" s="609"/>
      <c r="QWG58" s="609"/>
      <c r="QWH58" s="609"/>
      <c r="QWI58" s="609"/>
      <c r="QWJ58" s="609"/>
      <c r="QWK58" s="609"/>
      <c r="QWL58" s="609"/>
      <c r="QWM58" s="609"/>
      <c r="QWN58" s="609"/>
      <c r="QWO58" s="609"/>
      <c r="QWP58" s="609"/>
      <c r="QWQ58" s="609"/>
      <c r="QWR58" s="609"/>
      <c r="QWS58" s="609"/>
      <c r="QWT58" s="609"/>
      <c r="QWU58" s="609"/>
      <c r="QWV58" s="609"/>
      <c r="QWW58" s="609"/>
      <c r="QWX58" s="609"/>
      <c r="QWY58" s="609"/>
      <c r="QWZ58" s="609"/>
      <c r="QXA58" s="609"/>
      <c r="QXB58" s="609"/>
      <c r="QXC58" s="609"/>
      <c r="QXD58" s="609"/>
      <c r="QXE58" s="609"/>
      <c r="QXF58" s="609"/>
      <c r="QXG58" s="609"/>
      <c r="QXH58" s="609"/>
      <c r="QXI58" s="609"/>
      <c r="QXJ58" s="609"/>
      <c r="QXK58" s="609"/>
      <c r="QXL58" s="609"/>
      <c r="QXM58" s="609"/>
      <c r="QXN58" s="609"/>
      <c r="QXO58" s="609"/>
      <c r="QXP58" s="609"/>
      <c r="QXQ58" s="609"/>
      <c r="QXR58" s="609"/>
      <c r="QXS58" s="609"/>
      <c r="QXT58" s="609"/>
      <c r="QXU58" s="609"/>
      <c r="QXV58" s="609"/>
      <c r="QXW58" s="609"/>
      <c r="QXX58" s="609"/>
      <c r="QXY58" s="609"/>
      <c r="QXZ58" s="609"/>
      <c r="QYA58" s="609"/>
      <c r="QYB58" s="609"/>
      <c r="QYC58" s="609"/>
      <c r="QYD58" s="609"/>
      <c r="QYE58" s="609"/>
      <c r="QYF58" s="609"/>
      <c r="QYG58" s="609"/>
      <c r="QYH58" s="609"/>
      <c r="QYI58" s="609"/>
      <c r="QYJ58" s="609"/>
      <c r="QYK58" s="609"/>
      <c r="QYL58" s="609"/>
      <c r="QYM58" s="609"/>
      <c r="QYN58" s="609"/>
      <c r="QYO58" s="609"/>
      <c r="QYP58" s="609"/>
      <c r="QYQ58" s="609"/>
      <c r="QYR58" s="609"/>
      <c r="QYS58" s="609"/>
      <c r="QYT58" s="609"/>
      <c r="QYU58" s="609"/>
      <c r="QYV58" s="609"/>
      <c r="QYW58" s="609"/>
      <c r="QYX58" s="609"/>
      <c r="QYY58" s="609"/>
      <c r="QYZ58" s="609"/>
      <c r="QZA58" s="609"/>
      <c r="QZB58" s="609"/>
      <c r="QZC58" s="609"/>
      <c r="QZD58" s="609"/>
      <c r="QZE58" s="609"/>
      <c r="QZF58" s="609"/>
      <c r="QZG58" s="609"/>
      <c r="QZH58" s="609"/>
      <c r="QZI58" s="609"/>
      <c r="QZJ58" s="609"/>
      <c r="QZK58" s="609"/>
      <c r="QZL58" s="609"/>
      <c r="QZM58" s="609"/>
      <c r="QZN58" s="609"/>
      <c r="QZO58" s="609"/>
      <c r="QZP58" s="609"/>
      <c r="QZQ58" s="609"/>
      <c r="QZR58" s="609"/>
      <c r="QZS58" s="609"/>
      <c r="QZT58" s="609"/>
      <c r="QZU58" s="609"/>
      <c r="QZV58" s="609"/>
      <c r="QZW58" s="609"/>
      <c r="QZX58" s="609"/>
      <c r="QZY58" s="609"/>
      <c r="QZZ58" s="609"/>
      <c r="RAA58" s="609"/>
      <c r="RAB58" s="609"/>
      <c r="RAC58" s="609"/>
      <c r="RAD58" s="609"/>
      <c r="RAE58" s="609"/>
      <c r="RAF58" s="609"/>
      <c r="RAG58" s="609"/>
      <c r="RAH58" s="609"/>
      <c r="RAI58" s="609"/>
      <c r="RAJ58" s="609"/>
      <c r="RAK58" s="609"/>
      <c r="RAL58" s="609"/>
      <c r="RAM58" s="609"/>
      <c r="RAN58" s="609"/>
      <c r="RAO58" s="609"/>
      <c r="RAP58" s="609"/>
      <c r="RAQ58" s="609"/>
      <c r="RAR58" s="609"/>
      <c r="RAS58" s="609"/>
      <c r="RAT58" s="609"/>
      <c r="RAU58" s="609"/>
      <c r="RAV58" s="609"/>
      <c r="RAW58" s="609"/>
      <c r="RAX58" s="609"/>
      <c r="RAY58" s="609"/>
      <c r="RAZ58" s="609"/>
      <c r="RBA58" s="609"/>
      <c r="RBB58" s="609"/>
      <c r="RBC58" s="609"/>
      <c r="RBD58" s="609"/>
      <c r="RBE58" s="609"/>
      <c r="RBF58" s="609"/>
      <c r="RBG58" s="609"/>
      <c r="RBH58" s="609"/>
      <c r="RBI58" s="609"/>
      <c r="RBJ58" s="609"/>
      <c r="RBK58" s="609"/>
      <c r="RBL58" s="609"/>
      <c r="RBM58" s="609"/>
      <c r="RBN58" s="609"/>
      <c r="RBO58" s="609"/>
      <c r="RBP58" s="609"/>
      <c r="RBQ58" s="609"/>
      <c r="RBR58" s="609"/>
      <c r="RBS58" s="609"/>
      <c r="RBT58" s="609"/>
      <c r="RBU58" s="609"/>
      <c r="RBV58" s="609"/>
      <c r="RBW58" s="609"/>
      <c r="RBX58" s="609"/>
      <c r="RBY58" s="609"/>
      <c r="RBZ58" s="609"/>
      <c r="RCA58" s="609"/>
      <c r="RCB58" s="609"/>
      <c r="RCC58" s="609"/>
      <c r="RCD58" s="609"/>
      <c r="RCE58" s="609"/>
      <c r="RCF58" s="609"/>
      <c r="RCG58" s="609"/>
      <c r="RCH58" s="609"/>
      <c r="RCI58" s="609"/>
      <c r="RCJ58" s="609"/>
      <c r="RCK58" s="609"/>
      <c r="RCL58" s="609"/>
      <c r="RCM58" s="609"/>
      <c r="RCN58" s="609"/>
      <c r="RCO58" s="609"/>
      <c r="RCP58" s="609"/>
      <c r="RCQ58" s="609"/>
      <c r="RCR58" s="609"/>
      <c r="RCS58" s="609"/>
      <c r="RCT58" s="609"/>
      <c r="RCU58" s="609"/>
      <c r="RCV58" s="609"/>
      <c r="RCW58" s="609"/>
      <c r="RCX58" s="609"/>
      <c r="RCY58" s="609"/>
      <c r="RCZ58" s="609"/>
      <c r="RDA58" s="609"/>
      <c r="RDB58" s="609"/>
      <c r="RDC58" s="609"/>
      <c r="RDD58" s="609"/>
      <c r="RDE58" s="609"/>
      <c r="RDF58" s="609"/>
      <c r="RDG58" s="609"/>
      <c r="RDH58" s="609"/>
      <c r="RDI58" s="609"/>
      <c r="RDJ58" s="609"/>
      <c r="RDK58" s="609"/>
      <c r="RDL58" s="609"/>
      <c r="RDM58" s="609"/>
      <c r="RDN58" s="609"/>
      <c r="RDO58" s="609"/>
      <c r="RDP58" s="609"/>
      <c r="RDQ58" s="609"/>
      <c r="RDR58" s="609"/>
      <c r="RDS58" s="609"/>
      <c r="RDT58" s="609"/>
      <c r="RDU58" s="609"/>
      <c r="RDV58" s="609"/>
      <c r="RDW58" s="609"/>
      <c r="RDX58" s="609"/>
      <c r="RDY58" s="609"/>
      <c r="RDZ58" s="609"/>
      <c r="REA58" s="609"/>
      <c r="REB58" s="609"/>
      <c r="REC58" s="609"/>
      <c r="RED58" s="609"/>
      <c r="REE58" s="609"/>
      <c r="REF58" s="609"/>
      <c r="REG58" s="609"/>
      <c r="REH58" s="609"/>
      <c r="REI58" s="609"/>
      <c r="REJ58" s="609"/>
      <c r="REK58" s="609"/>
      <c r="REL58" s="609"/>
      <c r="REM58" s="609"/>
      <c r="REN58" s="609"/>
      <c r="REO58" s="609"/>
      <c r="REP58" s="609"/>
      <c r="REQ58" s="609"/>
      <c r="RER58" s="609"/>
      <c r="RES58" s="609"/>
      <c r="RET58" s="609"/>
      <c r="REU58" s="609"/>
      <c r="REV58" s="609"/>
      <c r="REW58" s="609"/>
      <c r="REX58" s="609"/>
      <c r="REY58" s="609"/>
      <c r="REZ58" s="609"/>
      <c r="RFA58" s="609"/>
      <c r="RFB58" s="609"/>
      <c r="RFC58" s="609"/>
      <c r="RFD58" s="609"/>
      <c r="RFE58" s="609"/>
      <c r="RFF58" s="609"/>
      <c r="RFG58" s="609"/>
      <c r="RFH58" s="609"/>
      <c r="RFI58" s="609"/>
      <c r="RFJ58" s="609"/>
      <c r="RFK58" s="609"/>
      <c r="RFL58" s="609"/>
      <c r="RFM58" s="609"/>
      <c r="RFN58" s="609"/>
      <c r="RFO58" s="609"/>
      <c r="RFP58" s="609"/>
      <c r="RFQ58" s="609"/>
      <c r="RFR58" s="609"/>
      <c r="RFS58" s="609"/>
      <c r="RFT58" s="609"/>
      <c r="RFU58" s="609"/>
      <c r="RFV58" s="609"/>
      <c r="RFW58" s="609"/>
      <c r="RFX58" s="609"/>
      <c r="RFY58" s="609"/>
      <c r="RFZ58" s="609"/>
      <c r="RGA58" s="609"/>
      <c r="RGB58" s="609"/>
      <c r="RGC58" s="609"/>
      <c r="RGD58" s="609"/>
      <c r="RGE58" s="609"/>
      <c r="RGF58" s="609"/>
      <c r="RGG58" s="609"/>
      <c r="RGH58" s="609"/>
      <c r="RGI58" s="609"/>
      <c r="RGJ58" s="609"/>
      <c r="RGK58" s="609"/>
      <c r="RGL58" s="609"/>
      <c r="RGM58" s="609"/>
      <c r="RGN58" s="609"/>
      <c r="RGO58" s="609"/>
      <c r="RGP58" s="609"/>
      <c r="RGQ58" s="609"/>
      <c r="RGR58" s="609"/>
      <c r="RGS58" s="609"/>
      <c r="RGT58" s="609"/>
      <c r="RGU58" s="609"/>
      <c r="RGV58" s="609"/>
      <c r="RGW58" s="609"/>
      <c r="RGX58" s="609"/>
      <c r="RGY58" s="609"/>
      <c r="RGZ58" s="609"/>
      <c r="RHA58" s="609"/>
      <c r="RHB58" s="609"/>
      <c r="RHC58" s="609"/>
      <c r="RHD58" s="609"/>
      <c r="RHE58" s="609"/>
      <c r="RHF58" s="609"/>
      <c r="RHG58" s="609"/>
      <c r="RHH58" s="609"/>
      <c r="RHI58" s="609"/>
      <c r="RHJ58" s="609"/>
      <c r="RHK58" s="609"/>
      <c r="RHL58" s="609"/>
      <c r="RHM58" s="609"/>
      <c r="RHN58" s="609"/>
      <c r="RHO58" s="609"/>
      <c r="RHP58" s="609"/>
      <c r="RHQ58" s="609"/>
      <c r="RHR58" s="609"/>
      <c r="RHS58" s="609"/>
      <c r="RHT58" s="609"/>
      <c r="RHU58" s="609"/>
      <c r="RHV58" s="609"/>
      <c r="RHW58" s="609"/>
      <c r="RHX58" s="609"/>
      <c r="RHY58" s="609"/>
      <c r="RHZ58" s="609"/>
      <c r="RIA58" s="609"/>
      <c r="RIB58" s="609"/>
      <c r="RIC58" s="609"/>
      <c r="RID58" s="609"/>
      <c r="RIE58" s="609"/>
      <c r="RIF58" s="609"/>
      <c r="RIG58" s="609"/>
      <c r="RIH58" s="609"/>
      <c r="RII58" s="609"/>
      <c r="RIJ58" s="609"/>
      <c r="RIK58" s="609"/>
      <c r="RIL58" s="609"/>
      <c r="RIM58" s="609"/>
      <c r="RIN58" s="609"/>
      <c r="RIO58" s="609"/>
      <c r="RIP58" s="609"/>
      <c r="RIQ58" s="609"/>
      <c r="RIR58" s="609"/>
      <c r="RIS58" s="609"/>
      <c r="RIT58" s="609"/>
      <c r="RIU58" s="609"/>
      <c r="RIV58" s="609"/>
      <c r="RIW58" s="609"/>
      <c r="RIX58" s="609"/>
      <c r="RIY58" s="609"/>
      <c r="RIZ58" s="609"/>
      <c r="RJA58" s="609"/>
      <c r="RJB58" s="609"/>
      <c r="RJC58" s="609"/>
      <c r="RJD58" s="609"/>
      <c r="RJE58" s="609"/>
      <c r="RJF58" s="609"/>
      <c r="RJG58" s="609"/>
      <c r="RJH58" s="609"/>
      <c r="RJI58" s="609"/>
      <c r="RJJ58" s="609"/>
      <c r="RJK58" s="609"/>
      <c r="RJL58" s="609"/>
      <c r="RJM58" s="609"/>
      <c r="RJN58" s="609"/>
      <c r="RJO58" s="609"/>
      <c r="RJP58" s="609"/>
      <c r="RJQ58" s="609"/>
      <c r="RJR58" s="609"/>
      <c r="RJS58" s="609"/>
      <c r="RJT58" s="609"/>
      <c r="RJU58" s="609"/>
      <c r="RJV58" s="609"/>
      <c r="RJW58" s="609"/>
      <c r="RJX58" s="609"/>
      <c r="RJY58" s="609"/>
      <c r="RJZ58" s="609"/>
      <c r="RKA58" s="609"/>
      <c r="RKB58" s="609"/>
      <c r="RKC58" s="609"/>
      <c r="RKD58" s="609"/>
      <c r="RKE58" s="609"/>
      <c r="RKF58" s="609"/>
      <c r="RKG58" s="609"/>
      <c r="RKH58" s="609"/>
      <c r="RKI58" s="609"/>
      <c r="RKJ58" s="609"/>
      <c r="RKK58" s="609"/>
      <c r="RKL58" s="609"/>
      <c r="RKM58" s="609"/>
      <c r="RKN58" s="609"/>
      <c r="RKO58" s="609"/>
      <c r="RKP58" s="609"/>
      <c r="RKQ58" s="609"/>
      <c r="RKR58" s="609"/>
      <c r="RKS58" s="609"/>
      <c r="RKT58" s="609"/>
      <c r="RKU58" s="609"/>
      <c r="RKV58" s="609"/>
      <c r="RKW58" s="609"/>
      <c r="RKX58" s="609"/>
      <c r="RKY58" s="609"/>
      <c r="RKZ58" s="609"/>
      <c r="RLA58" s="609"/>
      <c r="RLB58" s="609"/>
      <c r="RLC58" s="609"/>
      <c r="RLD58" s="609"/>
      <c r="RLE58" s="609"/>
      <c r="RLF58" s="609"/>
      <c r="RLG58" s="609"/>
      <c r="RLH58" s="609"/>
      <c r="RLI58" s="609"/>
      <c r="RLJ58" s="609"/>
      <c r="RLK58" s="609"/>
      <c r="RLL58" s="609"/>
      <c r="RLM58" s="609"/>
      <c r="RLN58" s="609"/>
      <c r="RLO58" s="609"/>
      <c r="RLP58" s="609"/>
      <c r="RLQ58" s="609"/>
      <c r="RLR58" s="609"/>
      <c r="RLS58" s="609"/>
      <c r="RLT58" s="609"/>
      <c r="RLU58" s="609"/>
      <c r="RLV58" s="609"/>
      <c r="RLW58" s="609"/>
      <c r="RLX58" s="609"/>
      <c r="RLY58" s="609"/>
      <c r="RLZ58" s="609"/>
      <c r="RMA58" s="609"/>
      <c r="RMB58" s="609"/>
      <c r="RMC58" s="609"/>
      <c r="RMD58" s="609"/>
      <c r="RME58" s="609"/>
      <c r="RMF58" s="609"/>
      <c r="RMG58" s="609"/>
      <c r="RMH58" s="609"/>
      <c r="RMI58" s="609"/>
      <c r="RMJ58" s="609"/>
      <c r="RMK58" s="609"/>
      <c r="RML58" s="609"/>
      <c r="RMM58" s="609"/>
      <c r="RMN58" s="609"/>
      <c r="RMO58" s="609"/>
      <c r="RMP58" s="609"/>
      <c r="RMQ58" s="609"/>
      <c r="RMR58" s="609"/>
      <c r="RMS58" s="609"/>
      <c r="RMT58" s="609"/>
      <c r="RMU58" s="609"/>
      <c r="RMV58" s="609"/>
      <c r="RMW58" s="609"/>
      <c r="RMX58" s="609"/>
      <c r="RMY58" s="609"/>
      <c r="RMZ58" s="609"/>
      <c r="RNA58" s="609"/>
      <c r="RNB58" s="609"/>
      <c r="RNC58" s="609"/>
      <c r="RND58" s="609"/>
      <c r="RNE58" s="609"/>
      <c r="RNF58" s="609"/>
      <c r="RNG58" s="609"/>
      <c r="RNH58" s="609"/>
      <c r="RNI58" s="609"/>
      <c r="RNJ58" s="609"/>
      <c r="RNK58" s="609"/>
      <c r="RNL58" s="609"/>
      <c r="RNM58" s="609"/>
      <c r="RNN58" s="609"/>
      <c r="RNO58" s="609"/>
      <c r="RNP58" s="609"/>
      <c r="RNQ58" s="609"/>
      <c r="RNR58" s="609"/>
      <c r="RNS58" s="609"/>
      <c r="RNT58" s="609"/>
      <c r="RNU58" s="609"/>
      <c r="RNV58" s="609"/>
      <c r="RNW58" s="609"/>
      <c r="RNX58" s="609"/>
      <c r="RNY58" s="609"/>
      <c r="RNZ58" s="609"/>
      <c r="ROA58" s="609"/>
      <c r="ROB58" s="609"/>
      <c r="ROC58" s="609"/>
      <c r="ROD58" s="609"/>
      <c r="ROE58" s="609"/>
      <c r="ROF58" s="609"/>
      <c r="ROG58" s="609"/>
      <c r="ROH58" s="609"/>
      <c r="ROI58" s="609"/>
      <c r="ROJ58" s="609"/>
      <c r="ROK58" s="609"/>
      <c r="ROL58" s="609"/>
      <c r="ROM58" s="609"/>
      <c r="RON58" s="609"/>
      <c r="ROO58" s="609"/>
      <c r="ROP58" s="609"/>
      <c r="ROQ58" s="609"/>
      <c r="ROR58" s="609"/>
      <c r="ROS58" s="609"/>
      <c r="ROT58" s="609"/>
      <c r="ROU58" s="609"/>
      <c r="ROV58" s="609"/>
      <c r="ROW58" s="609"/>
      <c r="ROX58" s="609"/>
      <c r="ROY58" s="609"/>
      <c r="ROZ58" s="609"/>
      <c r="RPA58" s="609"/>
      <c r="RPB58" s="609"/>
      <c r="RPC58" s="609"/>
      <c r="RPD58" s="609"/>
      <c r="RPE58" s="609"/>
      <c r="RPF58" s="609"/>
      <c r="RPG58" s="609"/>
      <c r="RPH58" s="609"/>
      <c r="RPI58" s="609"/>
      <c r="RPJ58" s="609"/>
      <c r="RPK58" s="609"/>
      <c r="RPL58" s="609"/>
      <c r="RPM58" s="609"/>
      <c r="RPN58" s="609"/>
      <c r="RPO58" s="609"/>
      <c r="RPP58" s="609"/>
      <c r="RPQ58" s="609"/>
      <c r="RPR58" s="609"/>
      <c r="RPS58" s="609"/>
      <c r="RPT58" s="609"/>
      <c r="RPU58" s="609"/>
      <c r="RPV58" s="609"/>
      <c r="RPW58" s="609"/>
      <c r="RPX58" s="609"/>
      <c r="RPY58" s="609"/>
      <c r="RPZ58" s="609"/>
      <c r="RQA58" s="609"/>
      <c r="RQB58" s="609"/>
      <c r="RQC58" s="609"/>
      <c r="RQD58" s="609"/>
      <c r="RQE58" s="609"/>
      <c r="RQF58" s="609"/>
      <c r="RQG58" s="609"/>
      <c r="RQH58" s="609"/>
      <c r="RQI58" s="609"/>
      <c r="RQJ58" s="609"/>
      <c r="RQK58" s="609"/>
      <c r="RQL58" s="609"/>
      <c r="RQM58" s="609"/>
      <c r="RQN58" s="609"/>
      <c r="RQO58" s="609"/>
      <c r="RQP58" s="609"/>
      <c r="RQQ58" s="609"/>
      <c r="RQR58" s="609"/>
      <c r="RQS58" s="609"/>
      <c r="RQT58" s="609"/>
      <c r="RQU58" s="609"/>
      <c r="RQV58" s="609"/>
      <c r="RQW58" s="609"/>
      <c r="RQX58" s="609"/>
      <c r="RQY58" s="609"/>
      <c r="RQZ58" s="609"/>
      <c r="RRA58" s="609"/>
      <c r="RRB58" s="609"/>
      <c r="RRC58" s="609"/>
      <c r="RRD58" s="609"/>
      <c r="RRE58" s="609"/>
      <c r="RRF58" s="609"/>
      <c r="RRG58" s="609"/>
      <c r="RRH58" s="609"/>
      <c r="RRI58" s="609"/>
      <c r="RRJ58" s="609"/>
      <c r="RRK58" s="609"/>
      <c r="RRL58" s="609"/>
      <c r="RRM58" s="609"/>
      <c r="RRN58" s="609"/>
      <c r="RRO58" s="609"/>
      <c r="RRP58" s="609"/>
      <c r="RRQ58" s="609"/>
      <c r="RRR58" s="609"/>
      <c r="RRS58" s="609"/>
      <c r="RRT58" s="609"/>
      <c r="RRU58" s="609"/>
      <c r="RRV58" s="609"/>
      <c r="RRW58" s="609"/>
      <c r="RRX58" s="609"/>
      <c r="RRY58" s="609"/>
      <c r="RRZ58" s="609"/>
      <c r="RSA58" s="609"/>
      <c r="RSB58" s="609"/>
      <c r="RSC58" s="609"/>
      <c r="RSD58" s="609"/>
      <c r="RSE58" s="609"/>
      <c r="RSF58" s="609"/>
      <c r="RSG58" s="609"/>
      <c r="RSH58" s="609"/>
      <c r="RSI58" s="609"/>
      <c r="RSJ58" s="609"/>
      <c r="RSK58" s="609"/>
      <c r="RSL58" s="609"/>
      <c r="RSM58" s="609"/>
      <c r="RSN58" s="609"/>
      <c r="RSO58" s="609"/>
      <c r="RSP58" s="609"/>
      <c r="RSQ58" s="609"/>
      <c r="RSR58" s="609"/>
      <c r="RSS58" s="609"/>
      <c r="RST58" s="609"/>
      <c r="RSU58" s="609"/>
      <c r="RSV58" s="609"/>
      <c r="RSW58" s="609"/>
      <c r="RSX58" s="609"/>
      <c r="RSY58" s="609"/>
      <c r="RSZ58" s="609"/>
      <c r="RTA58" s="609"/>
      <c r="RTB58" s="609"/>
      <c r="RTC58" s="609"/>
      <c r="RTD58" s="609"/>
      <c r="RTE58" s="609"/>
      <c r="RTF58" s="609"/>
      <c r="RTG58" s="609"/>
      <c r="RTH58" s="609"/>
      <c r="RTI58" s="609"/>
      <c r="RTJ58" s="609"/>
      <c r="RTK58" s="609"/>
      <c r="RTL58" s="609"/>
      <c r="RTM58" s="609"/>
      <c r="RTN58" s="609"/>
      <c r="RTO58" s="609"/>
      <c r="RTP58" s="609"/>
      <c r="RTQ58" s="609"/>
      <c r="RTR58" s="609"/>
      <c r="RTS58" s="609"/>
      <c r="RTT58" s="609"/>
      <c r="RTU58" s="609"/>
      <c r="RTV58" s="609"/>
      <c r="RTW58" s="609"/>
      <c r="RTX58" s="609"/>
      <c r="RTY58" s="609"/>
      <c r="RTZ58" s="609"/>
      <c r="RUA58" s="609"/>
      <c r="RUB58" s="609"/>
      <c r="RUC58" s="609"/>
      <c r="RUD58" s="609"/>
      <c r="RUE58" s="609"/>
      <c r="RUF58" s="609"/>
      <c r="RUG58" s="609"/>
      <c r="RUH58" s="609"/>
      <c r="RUI58" s="609"/>
      <c r="RUJ58" s="609"/>
      <c r="RUK58" s="609"/>
      <c r="RUL58" s="609"/>
      <c r="RUM58" s="609"/>
      <c r="RUN58" s="609"/>
      <c r="RUO58" s="609"/>
      <c r="RUP58" s="609"/>
      <c r="RUQ58" s="609"/>
      <c r="RUR58" s="609"/>
      <c r="RUS58" s="609"/>
      <c r="RUT58" s="609"/>
      <c r="RUU58" s="609"/>
      <c r="RUV58" s="609"/>
      <c r="RUW58" s="609"/>
      <c r="RUX58" s="609"/>
      <c r="RUY58" s="609"/>
      <c r="RUZ58" s="609"/>
      <c r="RVA58" s="609"/>
      <c r="RVB58" s="609"/>
      <c r="RVC58" s="609"/>
      <c r="RVD58" s="609"/>
      <c r="RVE58" s="609"/>
      <c r="RVF58" s="609"/>
      <c r="RVG58" s="609"/>
      <c r="RVH58" s="609"/>
      <c r="RVI58" s="609"/>
      <c r="RVJ58" s="609"/>
      <c r="RVK58" s="609"/>
      <c r="RVL58" s="609"/>
      <c r="RVM58" s="609"/>
      <c r="RVN58" s="609"/>
      <c r="RVO58" s="609"/>
      <c r="RVP58" s="609"/>
      <c r="RVQ58" s="609"/>
      <c r="RVR58" s="609"/>
      <c r="RVS58" s="609"/>
      <c r="RVT58" s="609"/>
      <c r="RVU58" s="609"/>
      <c r="RVV58" s="609"/>
      <c r="RVW58" s="609"/>
      <c r="RVX58" s="609"/>
      <c r="RVY58" s="609"/>
      <c r="RVZ58" s="609"/>
      <c r="RWA58" s="609"/>
      <c r="RWB58" s="609"/>
      <c r="RWC58" s="609"/>
      <c r="RWD58" s="609"/>
      <c r="RWE58" s="609"/>
      <c r="RWF58" s="609"/>
      <c r="RWG58" s="609"/>
      <c r="RWH58" s="609"/>
      <c r="RWI58" s="609"/>
      <c r="RWJ58" s="609"/>
      <c r="RWK58" s="609"/>
      <c r="RWL58" s="609"/>
      <c r="RWM58" s="609"/>
      <c r="RWN58" s="609"/>
      <c r="RWO58" s="609"/>
      <c r="RWP58" s="609"/>
      <c r="RWQ58" s="609"/>
      <c r="RWR58" s="609"/>
      <c r="RWS58" s="609"/>
      <c r="RWT58" s="609"/>
      <c r="RWU58" s="609"/>
      <c r="RWV58" s="609"/>
      <c r="RWW58" s="609"/>
      <c r="RWX58" s="609"/>
      <c r="RWY58" s="609"/>
      <c r="RWZ58" s="609"/>
      <c r="RXA58" s="609"/>
      <c r="RXB58" s="609"/>
      <c r="RXC58" s="609"/>
      <c r="RXD58" s="609"/>
      <c r="RXE58" s="609"/>
      <c r="RXF58" s="609"/>
      <c r="RXG58" s="609"/>
      <c r="RXH58" s="609"/>
      <c r="RXI58" s="609"/>
      <c r="RXJ58" s="609"/>
      <c r="RXK58" s="609"/>
      <c r="RXL58" s="609"/>
      <c r="RXM58" s="609"/>
      <c r="RXN58" s="609"/>
      <c r="RXO58" s="609"/>
      <c r="RXP58" s="609"/>
      <c r="RXQ58" s="609"/>
      <c r="RXR58" s="609"/>
      <c r="RXS58" s="609"/>
      <c r="RXT58" s="609"/>
      <c r="RXU58" s="609"/>
      <c r="RXV58" s="609"/>
      <c r="RXW58" s="609"/>
      <c r="RXX58" s="609"/>
      <c r="RXY58" s="609"/>
      <c r="RXZ58" s="609"/>
      <c r="RYA58" s="609"/>
      <c r="RYB58" s="609"/>
      <c r="RYC58" s="609"/>
      <c r="RYD58" s="609"/>
      <c r="RYE58" s="609"/>
      <c r="RYF58" s="609"/>
      <c r="RYG58" s="609"/>
      <c r="RYH58" s="609"/>
      <c r="RYI58" s="609"/>
      <c r="RYJ58" s="609"/>
      <c r="RYK58" s="609"/>
      <c r="RYL58" s="609"/>
      <c r="RYM58" s="609"/>
      <c r="RYN58" s="609"/>
      <c r="RYO58" s="609"/>
      <c r="RYP58" s="609"/>
      <c r="RYQ58" s="609"/>
      <c r="RYR58" s="609"/>
      <c r="RYS58" s="609"/>
      <c r="RYT58" s="609"/>
      <c r="RYU58" s="609"/>
      <c r="RYV58" s="609"/>
      <c r="RYW58" s="609"/>
      <c r="RYX58" s="609"/>
      <c r="RYY58" s="609"/>
      <c r="RYZ58" s="609"/>
      <c r="RZA58" s="609"/>
      <c r="RZB58" s="609"/>
      <c r="RZC58" s="609"/>
      <c r="RZD58" s="609"/>
      <c r="RZE58" s="609"/>
      <c r="RZF58" s="609"/>
      <c r="RZG58" s="609"/>
      <c r="RZH58" s="609"/>
      <c r="RZI58" s="609"/>
      <c r="RZJ58" s="609"/>
      <c r="RZK58" s="609"/>
      <c r="RZL58" s="609"/>
      <c r="RZM58" s="609"/>
      <c r="RZN58" s="609"/>
      <c r="RZO58" s="609"/>
      <c r="RZP58" s="609"/>
      <c r="RZQ58" s="609"/>
      <c r="RZR58" s="609"/>
      <c r="RZS58" s="609"/>
      <c r="RZT58" s="609"/>
      <c r="RZU58" s="609"/>
      <c r="RZV58" s="609"/>
      <c r="RZW58" s="609"/>
      <c r="RZX58" s="609"/>
      <c r="RZY58" s="609"/>
      <c r="RZZ58" s="609"/>
      <c r="SAA58" s="609"/>
      <c r="SAB58" s="609"/>
      <c r="SAC58" s="609"/>
      <c r="SAD58" s="609"/>
      <c r="SAE58" s="609"/>
      <c r="SAF58" s="609"/>
      <c r="SAG58" s="609"/>
      <c r="SAH58" s="609"/>
      <c r="SAI58" s="609"/>
      <c r="SAJ58" s="609"/>
      <c r="SAK58" s="609"/>
      <c r="SAL58" s="609"/>
      <c r="SAM58" s="609"/>
      <c r="SAN58" s="609"/>
      <c r="SAO58" s="609"/>
      <c r="SAP58" s="609"/>
      <c r="SAQ58" s="609"/>
      <c r="SAR58" s="609"/>
      <c r="SAS58" s="609"/>
      <c r="SAT58" s="609"/>
      <c r="SAU58" s="609"/>
      <c r="SAV58" s="609"/>
      <c r="SAW58" s="609"/>
      <c r="SAX58" s="609"/>
      <c r="SAY58" s="609"/>
      <c r="SAZ58" s="609"/>
      <c r="SBA58" s="609"/>
      <c r="SBB58" s="609"/>
      <c r="SBC58" s="609"/>
      <c r="SBD58" s="609"/>
      <c r="SBE58" s="609"/>
      <c r="SBF58" s="609"/>
      <c r="SBG58" s="609"/>
      <c r="SBH58" s="609"/>
      <c r="SBI58" s="609"/>
      <c r="SBJ58" s="609"/>
      <c r="SBK58" s="609"/>
      <c r="SBL58" s="609"/>
      <c r="SBM58" s="609"/>
      <c r="SBN58" s="609"/>
      <c r="SBO58" s="609"/>
      <c r="SBP58" s="609"/>
      <c r="SBQ58" s="609"/>
      <c r="SBR58" s="609"/>
      <c r="SBS58" s="609"/>
      <c r="SBT58" s="609"/>
      <c r="SBU58" s="609"/>
      <c r="SBV58" s="609"/>
      <c r="SBW58" s="609"/>
      <c r="SBX58" s="609"/>
      <c r="SBY58" s="609"/>
      <c r="SBZ58" s="609"/>
      <c r="SCA58" s="609"/>
      <c r="SCB58" s="609"/>
      <c r="SCC58" s="609"/>
      <c r="SCD58" s="609"/>
      <c r="SCE58" s="609"/>
      <c r="SCF58" s="609"/>
      <c r="SCG58" s="609"/>
      <c r="SCH58" s="609"/>
      <c r="SCI58" s="609"/>
      <c r="SCJ58" s="609"/>
      <c r="SCK58" s="609"/>
      <c r="SCL58" s="609"/>
      <c r="SCM58" s="609"/>
      <c r="SCN58" s="609"/>
      <c r="SCO58" s="609"/>
      <c r="SCP58" s="609"/>
      <c r="SCQ58" s="609"/>
      <c r="SCR58" s="609"/>
      <c r="SCS58" s="609"/>
      <c r="SCT58" s="609"/>
      <c r="SCU58" s="609"/>
      <c r="SCV58" s="609"/>
      <c r="SCW58" s="609"/>
      <c r="SCX58" s="609"/>
      <c r="SCY58" s="609"/>
      <c r="SCZ58" s="609"/>
      <c r="SDA58" s="609"/>
      <c r="SDB58" s="609"/>
      <c r="SDC58" s="609"/>
      <c r="SDD58" s="609"/>
      <c r="SDE58" s="609"/>
      <c r="SDF58" s="609"/>
      <c r="SDG58" s="609"/>
      <c r="SDH58" s="609"/>
      <c r="SDI58" s="609"/>
      <c r="SDJ58" s="609"/>
      <c r="SDK58" s="609"/>
      <c r="SDL58" s="609"/>
      <c r="SDM58" s="609"/>
      <c r="SDN58" s="609"/>
      <c r="SDO58" s="609"/>
      <c r="SDP58" s="609"/>
      <c r="SDQ58" s="609"/>
      <c r="SDR58" s="609"/>
      <c r="SDS58" s="609"/>
      <c r="SDT58" s="609"/>
      <c r="SDU58" s="609"/>
      <c r="SDV58" s="609"/>
      <c r="SDW58" s="609"/>
      <c r="SDX58" s="609"/>
      <c r="SDY58" s="609"/>
      <c r="SDZ58" s="609"/>
      <c r="SEA58" s="609"/>
      <c r="SEB58" s="609"/>
      <c r="SEC58" s="609"/>
      <c r="SED58" s="609"/>
      <c r="SEE58" s="609"/>
      <c r="SEF58" s="609"/>
      <c r="SEG58" s="609"/>
      <c r="SEH58" s="609"/>
      <c r="SEI58" s="609"/>
      <c r="SEJ58" s="609"/>
      <c r="SEK58" s="609"/>
      <c r="SEL58" s="609"/>
      <c r="SEM58" s="609"/>
      <c r="SEN58" s="609"/>
      <c r="SEO58" s="609"/>
      <c r="SEP58" s="609"/>
      <c r="SEQ58" s="609"/>
      <c r="SER58" s="609"/>
      <c r="SES58" s="609"/>
      <c r="SET58" s="609"/>
      <c r="SEU58" s="609"/>
      <c r="SEV58" s="609"/>
      <c r="SEW58" s="609"/>
      <c r="SEX58" s="609"/>
      <c r="SEY58" s="609"/>
      <c r="SEZ58" s="609"/>
      <c r="SFA58" s="609"/>
      <c r="SFB58" s="609"/>
      <c r="SFC58" s="609"/>
      <c r="SFD58" s="609"/>
      <c r="SFE58" s="609"/>
      <c r="SFF58" s="609"/>
      <c r="SFG58" s="609"/>
      <c r="SFH58" s="609"/>
      <c r="SFI58" s="609"/>
      <c r="SFJ58" s="609"/>
      <c r="SFK58" s="609"/>
      <c r="SFL58" s="609"/>
      <c r="SFM58" s="609"/>
      <c r="SFN58" s="609"/>
      <c r="SFO58" s="609"/>
      <c r="SFP58" s="609"/>
      <c r="SFQ58" s="609"/>
      <c r="SFR58" s="609"/>
      <c r="SFS58" s="609"/>
      <c r="SFT58" s="609"/>
      <c r="SFU58" s="609"/>
      <c r="SFV58" s="609"/>
      <c r="SFW58" s="609"/>
      <c r="SFX58" s="609"/>
      <c r="SFY58" s="609"/>
      <c r="SFZ58" s="609"/>
      <c r="SGA58" s="609"/>
      <c r="SGB58" s="609"/>
      <c r="SGC58" s="609"/>
      <c r="SGD58" s="609"/>
      <c r="SGE58" s="609"/>
      <c r="SGF58" s="609"/>
      <c r="SGG58" s="609"/>
      <c r="SGH58" s="609"/>
      <c r="SGI58" s="609"/>
      <c r="SGJ58" s="609"/>
      <c r="SGK58" s="609"/>
      <c r="SGL58" s="609"/>
      <c r="SGM58" s="609"/>
      <c r="SGN58" s="609"/>
      <c r="SGO58" s="609"/>
      <c r="SGP58" s="609"/>
      <c r="SGQ58" s="609"/>
      <c r="SGR58" s="609"/>
      <c r="SGS58" s="609"/>
      <c r="SGT58" s="609"/>
      <c r="SGU58" s="609"/>
      <c r="SGV58" s="609"/>
      <c r="SGW58" s="609"/>
      <c r="SGX58" s="609"/>
      <c r="SGY58" s="609"/>
      <c r="SGZ58" s="609"/>
      <c r="SHA58" s="609"/>
      <c r="SHB58" s="609"/>
      <c r="SHC58" s="609"/>
      <c r="SHD58" s="609"/>
      <c r="SHE58" s="609"/>
      <c r="SHF58" s="609"/>
      <c r="SHG58" s="609"/>
      <c r="SHH58" s="609"/>
      <c r="SHI58" s="609"/>
      <c r="SHJ58" s="609"/>
      <c r="SHK58" s="609"/>
      <c r="SHL58" s="609"/>
      <c r="SHM58" s="609"/>
      <c r="SHN58" s="609"/>
      <c r="SHO58" s="609"/>
      <c r="SHP58" s="609"/>
      <c r="SHQ58" s="609"/>
      <c r="SHR58" s="609"/>
      <c r="SHS58" s="609"/>
      <c r="SHT58" s="609"/>
      <c r="SHU58" s="609"/>
      <c r="SHV58" s="609"/>
      <c r="SHW58" s="609"/>
      <c r="SHX58" s="609"/>
      <c r="SHY58" s="609"/>
      <c r="SHZ58" s="609"/>
      <c r="SIA58" s="609"/>
      <c r="SIB58" s="609"/>
      <c r="SIC58" s="609"/>
      <c r="SID58" s="609"/>
      <c r="SIE58" s="609"/>
      <c r="SIF58" s="609"/>
      <c r="SIG58" s="609"/>
      <c r="SIH58" s="609"/>
      <c r="SII58" s="609"/>
      <c r="SIJ58" s="609"/>
      <c r="SIK58" s="609"/>
      <c r="SIL58" s="609"/>
      <c r="SIM58" s="609"/>
      <c r="SIN58" s="609"/>
      <c r="SIO58" s="609"/>
      <c r="SIP58" s="609"/>
      <c r="SIQ58" s="609"/>
      <c r="SIR58" s="609"/>
      <c r="SIS58" s="609"/>
      <c r="SIT58" s="609"/>
      <c r="SIU58" s="609"/>
      <c r="SIV58" s="609"/>
      <c r="SIW58" s="609"/>
      <c r="SIX58" s="609"/>
      <c r="SIY58" s="609"/>
      <c r="SIZ58" s="609"/>
      <c r="SJA58" s="609"/>
      <c r="SJB58" s="609"/>
      <c r="SJC58" s="609"/>
      <c r="SJD58" s="609"/>
      <c r="SJE58" s="609"/>
      <c r="SJF58" s="609"/>
      <c r="SJG58" s="609"/>
      <c r="SJH58" s="609"/>
      <c r="SJI58" s="609"/>
      <c r="SJJ58" s="609"/>
      <c r="SJK58" s="609"/>
      <c r="SJL58" s="609"/>
      <c r="SJM58" s="609"/>
      <c r="SJN58" s="609"/>
      <c r="SJO58" s="609"/>
      <c r="SJP58" s="609"/>
      <c r="SJQ58" s="609"/>
      <c r="SJR58" s="609"/>
      <c r="SJS58" s="609"/>
      <c r="SJT58" s="609"/>
      <c r="SJU58" s="609"/>
      <c r="SJV58" s="609"/>
      <c r="SJW58" s="609"/>
      <c r="SJX58" s="609"/>
      <c r="SJY58" s="609"/>
      <c r="SJZ58" s="609"/>
      <c r="SKA58" s="609"/>
      <c r="SKB58" s="609"/>
      <c r="SKC58" s="609"/>
      <c r="SKD58" s="609"/>
      <c r="SKE58" s="609"/>
      <c r="SKF58" s="609"/>
      <c r="SKG58" s="609"/>
      <c r="SKH58" s="609"/>
      <c r="SKI58" s="609"/>
      <c r="SKJ58" s="609"/>
      <c r="SKK58" s="609"/>
      <c r="SKL58" s="609"/>
      <c r="SKM58" s="609"/>
      <c r="SKN58" s="609"/>
      <c r="SKO58" s="609"/>
      <c r="SKP58" s="609"/>
      <c r="SKQ58" s="609"/>
      <c r="SKR58" s="609"/>
      <c r="SKS58" s="609"/>
      <c r="SKT58" s="609"/>
      <c r="SKU58" s="609"/>
      <c r="SKV58" s="609"/>
      <c r="SKW58" s="609"/>
      <c r="SKX58" s="609"/>
      <c r="SKY58" s="609"/>
      <c r="SKZ58" s="609"/>
      <c r="SLA58" s="609"/>
      <c r="SLB58" s="609"/>
      <c r="SLC58" s="609"/>
      <c r="SLD58" s="609"/>
      <c r="SLE58" s="609"/>
      <c r="SLF58" s="609"/>
      <c r="SLG58" s="609"/>
      <c r="SLH58" s="609"/>
      <c r="SLI58" s="609"/>
      <c r="SLJ58" s="609"/>
      <c r="SLK58" s="609"/>
      <c r="SLL58" s="609"/>
      <c r="SLM58" s="609"/>
      <c r="SLN58" s="609"/>
      <c r="SLO58" s="609"/>
      <c r="SLP58" s="609"/>
      <c r="SLQ58" s="609"/>
      <c r="SLR58" s="609"/>
      <c r="SLS58" s="609"/>
      <c r="SLT58" s="609"/>
      <c r="SLU58" s="609"/>
      <c r="SLV58" s="609"/>
      <c r="SLW58" s="609"/>
      <c r="SLX58" s="609"/>
      <c r="SLY58" s="609"/>
      <c r="SLZ58" s="609"/>
      <c r="SMA58" s="609"/>
      <c r="SMB58" s="609"/>
      <c r="SMC58" s="609"/>
      <c r="SMD58" s="609"/>
      <c r="SME58" s="609"/>
      <c r="SMF58" s="609"/>
      <c r="SMG58" s="609"/>
      <c r="SMH58" s="609"/>
      <c r="SMI58" s="609"/>
      <c r="SMJ58" s="609"/>
      <c r="SMK58" s="609"/>
      <c r="SML58" s="609"/>
      <c r="SMM58" s="609"/>
      <c r="SMN58" s="609"/>
      <c r="SMO58" s="609"/>
      <c r="SMP58" s="609"/>
      <c r="SMQ58" s="609"/>
      <c r="SMR58" s="609"/>
      <c r="SMS58" s="609"/>
      <c r="SMT58" s="609"/>
      <c r="SMU58" s="609"/>
      <c r="SMV58" s="609"/>
      <c r="SMW58" s="609"/>
      <c r="SMX58" s="609"/>
      <c r="SMY58" s="609"/>
      <c r="SMZ58" s="609"/>
      <c r="SNA58" s="609"/>
      <c r="SNB58" s="609"/>
      <c r="SNC58" s="609"/>
      <c r="SND58" s="609"/>
      <c r="SNE58" s="609"/>
      <c r="SNF58" s="609"/>
      <c r="SNG58" s="609"/>
      <c r="SNH58" s="609"/>
      <c r="SNI58" s="609"/>
      <c r="SNJ58" s="609"/>
      <c r="SNK58" s="609"/>
      <c r="SNL58" s="609"/>
      <c r="SNM58" s="609"/>
      <c r="SNN58" s="609"/>
      <c r="SNO58" s="609"/>
      <c r="SNP58" s="609"/>
      <c r="SNQ58" s="609"/>
      <c r="SNR58" s="609"/>
      <c r="SNS58" s="609"/>
      <c r="SNT58" s="609"/>
      <c r="SNU58" s="609"/>
      <c r="SNV58" s="609"/>
      <c r="SNW58" s="609"/>
      <c r="SNX58" s="609"/>
      <c r="SNY58" s="609"/>
      <c r="SNZ58" s="609"/>
      <c r="SOA58" s="609"/>
      <c r="SOB58" s="609"/>
      <c r="SOC58" s="609"/>
      <c r="SOD58" s="609"/>
      <c r="SOE58" s="609"/>
      <c r="SOF58" s="609"/>
      <c r="SOG58" s="609"/>
      <c r="SOH58" s="609"/>
      <c r="SOI58" s="609"/>
      <c r="SOJ58" s="609"/>
      <c r="SOK58" s="609"/>
      <c r="SOL58" s="609"/>
      <c r="SOM58" s="609"/>
      <c r="SON58" s="609"/>
      <c r="SOO58" s="609"/>
      <c r="SOP58" s="609"/>
      <c r="SOQ58" s="609"/>
      <c r="SOR58" s="609"/>
      <c r="SOS58" s="609"/>
      <c r="SOT58" s="609"/>
      <c r="SOU58" s="609"/>
      <c r="SOV58" s="609"/>
      <c r="SOW58" s="609"/>
      <c r="SOX58" s="609"/>
      <c r="SOY58" s="609"/>
      <c r="SOZ58" s="609"/>
      <c r="SPA58" s="609"/>
      <c r="SPB58" s="609"/>
      <c r="SPC58" s="609"/>
      <c r="SPD58" s="609"/>
      <c r="SPE58" s="609"/>
      <c r="SPF58" s="609"/>
      <c r="SPG58" s="609"/>
      <c r="SPH58" s="609"/>
      <c r="SPI58" s="609"/>
      <c r="SPJ58" s="609"/>
      <c r="SPK58" s="609"/>
      <c r="SPL58" s="609"/>
      <c r="SPM58" s="609"/>
      <c r="SPN58" s="609"/>
      <c r="SPO58" s="609"/>
      <c r="SPP58" s="609"/>
      <c r="SPQ58" s="609"/>
      <c r="SPR58" s="609"/>
      <c r="SPS58" s="609"/>
      <c r="SPT58" s="609"/>
      <c r="SPU58" s="609"/>
      <c r="SPV58" s="609"/>
      <c r="SPW58" s="609"/>
      <c r="SPX58" s="609"/>
      <c r="SPY58" s="609"/>
      <c r="SPZ58" s="609"/>
      <c r="SQA58" s="609"/>
      <c r="SQB58" s="609"/>
      <c r="SQC58" s="609"/>
      <c r="SQD58" s="609"/>
      <c r="SQE58" s="609"/>
      <c r="SQF58" s="609"/>
      <c r="SQG58" s="609"/>
      <c r="SQH58" s="609"/>
      <c r="SQI58" s="609"/>
      <c r="SQJ58" s="609"/>
      <c r="SQK58" s="609"/>
      <c r="SQL58" s="609"/>
      <c r="SQM58" s="609"/>
      <c r="SQN58" s="609"/>
      <c r="SQO58" s="609"/>
      <c r="SQP58" s="609"/>
      <c r="SQQ58" s="609"/>
      <c r="SQR58" s="609"/>
      <c r="SQS58" s="609"/>
      <c r="SQT58" s="609"/>
      <c r="SQU58" s="609"/>
      <c r="SQV58" s="609"/>
      <c r="SQW58" s="609"/>
      <c r="SQX58" s="609"/>
      <c r="SQY58" s="609"/>
      <c r="SQZ58" s="609"/>
      <c r="SRA58" s="609"/>
      <c r="SRB58" s="609"/>
      <c r="SRC58" s="609"/>
      <c r="SRD58" s="609"/>
      <c r="SRE58" s="609"/>
      <c r="SRF58" s="609"/>
      <c r="SRG58" s="609"/>
      <c r="SRH58" s="609"/>
      <c r="SRI58" s="609"/>
      <c r="SRJ58" s="609"/>
      <c r="SRK58" s="609"/>
      <c r="SRL58" s="609"/>
      <c r="SRM58" s="609"/>
      <c r="SRN58" s="609"/>
      <c r="SRO58" s="609"/>
      <c r="SRP58" s="609"/>
      <c r="SRQ58" s="609"/>
      <c r="SRR58" s="609"/>
      <c r="SRS58" s="609"/>
      <c r="SRT58" s="609"/>
      <c r="SRU58" s="609"/>
      <c r="SRV58" s="609"/>
      <c r="SRW58" s="609"/>
      <c r="SRX58" s="609"/>
      <c r="SRY58" s="609"/>
      <c r="SRZ58" s="609"/>
      <c r="SSA58" s="609"/>
      <c r="SSB58" s="609"/>
      <c r="SSC58" s="609"/>
      <c r="SSD58" s="609"/>
      <c r="SSE58" s="609"/>
      <c r="SSF58" s="609"/>
      <c r="SSG58" s="609"/>
      <c r="SSH58" s="609"/>
      <c r="SSI58" s="609"/>
      <c r="SSJ58" s="609"/>
      <c r="SSK58" s="609"/>
      <c r="SSL58" s="609"/>
      <c r="SSM58" s="609"/>
      <c r="SSN58" s="609"/>
      <c r="SSO58" s="609"/>
      <c r="SSP58" s="609"/>
      <c r="SSQ58" s="609"/>
      <c r="SSR58" s="609"/>
      <c r="SSS58" s="609"/>
      <c r="SST58" s="609"/>
      <c r="SSU58" s="609"/>
      <c r="SSV58" s="609"/>
      <c r="SSW58" s="609"/>
      <c r="SSX58" s="609"/>
      <c r="SSY58" s="609"/>
      <c r="SSZ58" s="609"/>
      <c r="STA58" s="609"/>
      <c r="STB58" s="609"/>
      <c r="STC58" s="609"/>
      <c r="STD58" s="609"/>
      <c r="STE58" s="609"/>
      <c r="STF58" s="609"/>
      <c r="STG58" s="609"/>
      <c r="STH58" s="609"/>
      <c r="STI58" s="609"/>
      <c r="STJ58" s="609"/>
      <c r="STK58" s="609"/>
      <c r="STL58" s="609"/>
      <c r="STM58" s="609"/>
      <c r="STN58" s="609"/>
      <c r="STO58" s="609"/>
      <c r="STP58" s="609"/>
      <c r="STQ58" s="609"/>
      <c r="STR58" s="609"/>
      <c r="STS58" s="609"/>
      <c r="STT58" s="609"/>
      <c r="STU58" s="609"/>
      <c r="STV58" s="609"/>
      <c r="STW58" s="609"/>
      <c r="STX58" s="609"/>
      <c r="STY58" s="609"/>
      <c r="STZ58" s="609"/>
      <c r="SUA58" s="609"/>
      <c r="SUB58" s="609"/>
      <c r="SUC58" s="609"/>
      <c r="SUD58" s="609"/>
      <c r="SUE58" s="609"/>
      <c r="SUF58" s="609"/>
      <c r="SUG58" s="609"/>
      <c r="SUH58" s="609"/>
      <c r="SUI58" s="609"/>
      <c r="SUJ58" s="609"/>
      <c r="SUK58" s="609"/>
      <c r="SUL58" s="609"/>
      <c r="SUM58" s="609"/>
      <c r="SUN58" s="609"/>
      <c r="SUO58" s="609"/>
      <c r="SUP58" s="609"/>
      <c r="SUQ58" s="609"/>
      <c r="SUR58" s="609"/>
      <c r="SUS58" s="609"/>
      <c r="SUT58" s="609"/>
      <c r="SUU58" s="609"/>
      <c r="SUV58" s="609"/>
      <c r="SUW58" s="609"/>
      <c r="SUX58" s="609"/>
      <c r="SUY58" s="609"/>
      <c r="SUZ58" s="609"/>
      <c r="SVA58" s="609"/>
      <c r="SVB58" s="609"/>
      <c r="SVC58" s="609"/>
      <c r="SVD58" s="609"/>
      <c r="SVE58" s="609"/>
      <c r="SVF58" s="609"/>
      <c r="SVG58" s="609"/>
      <c r="SVH58" s="609"/>
      <c r="SVI58" s="609"/>
      <c r="SVJ58" s="609"/>
      <c r="SVK58" s="609"/>
      <c r="SVL58" s="609"/>
      <c r="SVM58" s="609"/>
      <c r="SVN58" s="609"/>
      <c r="SVO58" s="609"/>
      <c r="SVP58" s="609"/>
      <c r="SVQ58" s="609"/>
      <c r="SVR58" s="609"/>
      <c r="SVS58" s="609"/>
      <c r="SVT58" s="609"/>
      <c r="SVU58" s="609"/>
      <c r="SVV58" s="609"/>
      <c r="SVW58" s="609"/>
      <c r="SVX58" s="609"/>
      <c r="SVY58" s="609"/>
      <c r="SVZ58" s="609"/>
      <c r="SWA58" s="609"/>
      <c r="SWB58" s="609"/>
      <c r="SWC58" s="609"/>
      <c r="SWD58" s="609"/>
      <c r="SWE58" s="609"/>
      <c r="SWF58" s="609"/>
      <c r="SWG58" s="609"/>
      <c r="SWH58" s="609"/>
      <c r="SWI58" s="609"/>
      <c r="SWJ58" s="609"/>
      <c r="SWK58" s="609"/>
      <c r="SWL58" s="609"/>
      <c r="SWM58" s="609"/>
      <c r="SWN58" s="609"/>
      <c r="SWO58" s="609"/>
      <c r="SWP58" s="609"/>
      <c r="SWQ58" s="609"/>
      <c r="SWR58" s="609"/>
      <c r="SWS58" s="609"/>
      <c r="SWT58" s="609"/>
      <c r="SWU58" s="609"/>
      <c r="SWV58" s="609"/>
      <c r="SWW58" s="609"/>
      <c r="SWX58" s="609"/>
      <c r="SWY58" s="609"/>
      <c r="SWZ58" s="609"/>
      <c r="SXA58" s="609"/>
      <c r="SXB58" s="609"/>
      <c r="SXC58" s="609"/>
      <c r="SXD58" s="609"/>
      <c r="SXE58" s="609"/>
      <c r="SXF58" s="609"/>
      <c r="SXG58" s="609"/>
      <c r="SXH58" s="609"/>
      <c r="SXI58" s="609"/>
      <c r="SXJ58" s="609"/>
      <c r="SXK58" s="609"/>
      <c r="SXL58" s="609"/>
      <c r="SXM58" s="609"/>
      <c r="SXN58" s="609"/>
      <c r="SXO58" s="609"/>
      <c r="SXP58" s="609"/>
      <c r="SXQ58" s="609"/>
      <c r="SXR58" s="609"/>
      <c r="SXS58" s="609"/>
      <c r="SXT58" s="609"/>
      <c r="SXU58" s="609"/>
      <c r="SXV58" s="609"/>
      <c r="SXW58" s="609"/>
      <c r="SXX58" s="609"/>
      <c r="SXY58" s="609"/>
      <c r="SXZ58" s="609"/>
      <c r="SYA58" s="609"/>
      <c r="SYB58" s="609"/>
      <c r="SYC58" s="609"/>
      <c r="SYD58" s="609"/>
      <c r="SYE58" s="609"/>
      <c r="SYF58" s="609"/>
      <c r="SYG58" s="609"/>
      <c r="SYH58" s="609"/>
      <c r="SYI58" s="609"/>
      <c r="SYJ58" s="609"/>
      <c r="SYK58" s="609"/>
      <c r="SYL58" s="609"/>
      <c r="SYM58" s="609"/>
      <c r="SYN58" s="609"/>
      <c r="SYO58" s="609"/>
      <c r="SYP58" s="609"/>
      <c r="SYQ58" s="609"/>
      <c r="SYR58" s="609"/>
      <c r="SYS58" s="609"/>
      <c r="SYT58" s="609"/>
      <c r="SYU58" s="609"/>
      <c r="SYV58" s="609"/>
      <c r="SYW58" s="609"/>
      <c r="SYX58" s="609"/>
      <c r="SYY58" s="609"/>
      <c r="SYZ58" s="609"/>
      <c r="SZA58" s="609"/>
      <c r="SZB58" s="609"/>
      <c r="SZC58" s="609"/>
      <c r="SZD58" s="609"/>
      <c r="SZE58" s="609"/>
      <c r="SZF58" s="609"/>
      <c r="SZG58" s="609"/>
      <c r="SZH58" s="609"/>
      <c r="SZI58" s="609"/>
      <c r="SZJ58" s="609"/>
      <c r="SZK58" s="609"/>
      <c r="SZL58" s="609"/>
      <c r="SZM58" s="609"/>
      <c r="SZN58" s="609"/>
      <c r="SZO58" s="609"/>
      <c r="SZP58" s="609"/>
      <c r="SZQ58" s="609"/>
      <c r="SZR58" s="609"/>
      <c r="SZS58" s="609"/>
      <c r="SZT58" s="609"/>
      <c r="SZU58" s="609"/>
      <c r="SZV58" s="609"/>
      <c r="SZW58" s="609"/>
      <c r="SZX58" s="609"/>
      <c r="SZY58" s="609"/>
      <c r="SZZ58" s="609"/>
      <c r="TAA58" s="609"/>
      <c r="TAB58" s="609"/>
      <c r="TAC58" s="609"/>
      <c r="TAD58" s="609"/>
      <c r="TAE58" s="609"/>
      <c r="TAF58" s="609"/>
      <c r="TAG58" s="609"/>
      <c r="TAH58" s="609"/>
      <c r="TAI58" s="609"/>
      <c r="TAJ58" s="609"/>
      <c r="TAK58" s="609"/>
      <c r="TAL58" s="609"/>
      <c r="TAM58" s="609"/>
      <c r="TAN58" s="609"/>
      <c r="TAO58" s="609"/>
      <c r="TAP58" s="609"/>
      <c r="TAQ58" s="609"/>
      <c r="TAR58" s="609"/>
      <c r="TAS58" s="609"/>
      <c r="TAT58" s="609"/>
      <c r="TAU58" s="609"/>
      <c r="TAV58" s="609"/>
      <c r="TAW58" s="609"/>
      <c r="TAX58" s="609"/>
      <c r="TAY58" s="609"/>
      <c r="TAZ58" s="609"/>
      <c r="TBA58" s="609"/>
      <c r="TBB58" s="609"/>
      <c r="TBC58" s="609"/>
      <c r="TBD58" s="609"/>
      <c r="TBE58" s="609"/>
      <c r="TBF58" s="609"/>
      <c r="TBG58" s="609"/>
      <c r="TBH58" s="609"/>
      <c r="TBI58" s="609"/>
      <c r="TBJ58" s="609"/>
      <c r="TBK58" s="609"/>
      <c r="TBL58" s="609"/>
      <c r="TBM58" s="609"/>
      <c r="TBN58" s="609"/>
      <c r="TBO58" s="609"/>
      <c r="TBP58" s="609"/>
      <c r="TBQ58" s="609"/>
      <c r="TBR58" s="609"/>
      <c r="TBS58" s="609"/>
      <c r="TBT58" s="609"/>
      <c r="TBU58" s="609"/>
      <c r="TBV58" s="609"/>
      <c r="TBW58" s="609"/>
      <c r="TBX58" s="609"/>
      <c r="TBY58" s="609"/>
      <c r="TBZ58" s="609"/>
      <c r="TCA58" s="609"/>
      <c r="TCB58" s="609"/>
      <c r="TCC58" s="609"/>
      <c r="TCD58" s="609"/>
      <c r="TCE58" s="609"/>
      <c r="TCF58" s="609"/>
      <c r="TCG58" s="609"/>
      <c r="TCH58" s="609"/>
      <c r="TCI58" s="609"/>
      <c r="TCJ58" s="609"/>
      <c r="TCK58" s="609"/>
      <c r="TCL58" s="609"/>
      <c r="TCM58" s="609"/>
      <c r="TCN58" s="609"/>
      <c r="TCO58" s="609"/>
      <c r="TCP58" s="609"/>
      <c r="TCQ58" s="609"/>
      <c r="TCR58" s="609"/>
      <c r="TCS58" s="609"/>
      <c r="TCT58" s="609"/>
      <c r="TCU58" s="609"/>
      <c r="TCV58" s="609"/>
      <c r="TCW58" s="609"/>
      <c r="TCX58" s="609"/>
      <c r="TCY58" s="609"/>
      <c r="TCZ58" s="609"/>
      <c r="TDA58" s="609"/>
      <c r="TDB58" s="609"/>
      <c r="TDC58" s="609"/>
      <c r="TDD58" s="609"/>
      <c r="TDE58" s="609"/>
      <c r="TDF58" s="609"/>
      <c r="TDG58" s="609"/>
      <c r="TDH58" s="609"/>
      <c r="TDI58" s="609"/>
      <c r="TDJ58" s="609"/>
      <c r="TDK58" s="609"/>
      <c r="TDL58" s="609"/>
      <c r="TDM58" s="609"/>
      <c r="TDN58" s="609"/>
      <c r="TDO58" s="609"/>
      <c r="TDP58" s="609"/>
      <c r="TDQ58" s="609"/>
      <c r="TDR58" s="609"/>
      <c r="TDS58" s="609"/>
      <c r="TDT58" s="609"/>
      <c r="TDU58" s="609"/>
      <c r="TDV58" s="609"/>
      <c r="TDW58" s="609"/>
      <c r="TDX58" s="609"/>
      <c r="TDY58" s="609"/>
      <c r="TDZ58" s="609"/>
      <c r="TEA58" s="609"/>
      <c r="TEB58" s="609"/>
      <c r="TEC58" s="609"/>
      <c r="TED58" s="609"/>
      <c r="TEE58" s="609"/>
      <c r="TEF58" s="609"/>
      <c r="TEG58" s="609"/>
      <c r="TEH58" s="609"/>
      <c r="TEI58" s="609"/>
      <c r="TEJ58" s="609"/>
      <c r="TEK58" s="609"/>
      <c r="TEL58" s="609"/>
      <c r="TEM58" s="609"/>
      <c r="TEN58" s="609"/>
      <c r="TEO58" s="609"/>
      <c r="TEP58" s="609"/>
      <c r="TEQ58" s="609"/>
      <c r="TER58" s="609"/>
      <c r="TES58" s="609"/>
      <c r="TET58" s="609"/>
      <c r="TEU58" s="609"/>
      <c r="TEV58" s="609"/>
      <c r="TEW58" s="609"/>
      <c r="TEX58" s="609"/>
      <c r="TEY58" s="609"/>
      <c r="TEZ58" s="609"/>
      <c r="TFA58" s="609"/>
      <c r="TFB58" s="609"/>
      <c r="TFC58" s="609"/>
      <c r="TFD58" s="609"/>
      <c r="TFE58" s="609"/>
      <c r="TFF58" s="609"/>
      <c r="TFG58" s="609"/>
      <c r="TFH58" s="609"/>
      <c r="TFI58" s="609"/>
      <c r="TFJ58" s="609"/>
      <c r="TFK58" s="609"/>
      <c r="TFL58" s="609"/>
      <c r="TFM58" s="609"/>
      <c r="TFN58" s="609"/>
      <c r="TFO58" s="609"/>
      <c r="TFP58" s="609"/>
      <c r="TFQ58" s="609"/>
      <c r="TFR58" s="609"/>
      <c r="TFS58" s="609"/>
      <c r="TFT58" s="609"/>
      <c r="TFU58" s="609"/>
      <c r="TFV58" s="609"/>
      <c r="TFW58" s="609"/>
      <c r="TFX58" s="609"/>
      <c r="TFY58" s="609"/>
      <c r="TFZ58" s="609"/>
      <c r="TGA58" s="609"/>
      <c r="TGB58" s="609"/>
      <c r="TGC58" s="609"/>
      <c r="TGD58" s="609"/>
      <c r="TGE58" s="609"/>
      <c r="TGF58" s="609"/>
      <c r="TGG58" s="609"/>
      <c r="TGH58" s="609"/>
      <c r="TGI58" s="609"/>
      <c r="TGJ58" s="609"/>
      <c r="TGK58" s="609"/>
      <c r="TGL58" s="609"/>
      <c r="TGM58" s="609"/>
      <c r="TGN58" s="609"/>
      <c r="TGO58" s="609"/>
      <c r="TGP58" s="609"/>
      <c r="TGQ58" s="609"/>
      <c r="TGR58" s="609"/>
      <c r="TGS58" s="609"/>
      <c r="TGT58" s="609"/>
      <c r="TGU58" s="609"/>
      <c r="TGV58" s="609"/>
      <c r="TGW58" s="609"/>
      <c r="TGX58" s="609"/>
      <c r="TGY58" s="609"/>
      <c r="TGZ58" s="609"/>
      <c r="THA58" s="609"/>
      <c r="THB58" s="609"/>
      <c r="THC58" s="609"/>
      <c r="THD58" s="609"/>
      <c r="THE58" s="609"/>
      <c r="THF58" s="609"/>
      <c r="THG58" s="609"/>
      <c r="THH58" s="609"/>
      <c r="THI58" s="609"/>
      <c r="THJ58" s="609"/>
      <c r="THK58" s="609"/>
      <c r="THL58" s="609"/>
      <c r="THM58" s="609"/>
      <c r="THN58" s="609"/>
      <c r="THO58" s="609"/>
      <c r="THP58" s="609"/>
      <c r="THQ58" s="609"/>
      <c r="THR58" s="609"/>
      <c r="THS58" s="609"/>
      <c r="THT58" s="609"/>
      <c r="THU58" s="609"/>
      <c r="THV58" s="609"/>
      <c r="THW58" s="609"/>
      <c r="THX58" s="609"/>
      <c r="THY58" s="609"/>
      <c r="THZ58" s="609"/>
      <c r="TIA58" s="609"/>
      <c r="TIB58" s="609"/>
      <c r="TIC58" s="609"/>
      <c r="TID58" s="609"/>
      <c r="TIE58" s="609"/>
      <c r="TIF58" s="609"/>
      <c r="TIG58" s="609"/>
      <c r="TIH58" s="609"/>
      <c r="TII58" s="609"/>
      <c r="TIJ58" s="609"/>
      <c r="TIK58" s="609"/>
      <c r="TIL58" s="609"/>
      <c r="TIM58" s="609"/>
      <c r="TIN58" s="609"/>
      <c r="TIO58" s="609"/>
      <c r="TIP58" s="609"/>
      <c r="TIQ58" s="609"/>
      <c r="TIR58" s="609"/>
      <c r="TIS58" s="609"/>
      <c r="TIT58" s="609"/>
      <c r="TIU58" s="609"/>
      <c r="TIV58" s="609"/>
      <c r="TIW58" s="609"/>
      <c r="TIX58" s="609"/>
      <c r="TIY58" s="609"/>
      <c r="TIZ58" s="609"/>
      <c r="TJA58" s="609"/>
      <c r="TJB58" s="609"/>
      <c r="TJC58" s="609"/>
      <c r="TJD58" s="609"/>
      <c r="TJE58" s="609"/>
      <c r="TJF58" s="609"/>
      <c r="TJG58" s="609"/>
      <c r="TJH58" s="609"/>
      <c r="TJI58" s="609"/>
      <c r="TJJ58" s="609"/>
      <c r="TJK58" s="609"/>
      <c r="TJL58" s="609"/>
      <c r="TJM58" s="609"/>
      <c r="TJN58" s="609"/>
      <c r="TJO58" s="609"/>
      <c r="TJP58" s="609"/>
      <c r="TJQ58" s="609"/>
      <c r="TJR58" s="609"/>
      <c r="TJS58" s="609"/>
      <c r="TJT58" s="609"/>
      <c r="TJU58" s="609"/>
      <c r="TJV58" s="609"/>
      <c r="TJW58" s="609"/>
      <c r="TJX58" s="609"/>
      <c r="TJY58" s="609"/>
      <c r="TJZ58" s="609"/>
      <c r="TKA58" s="609"/>
      <c r="TKB58" s="609"/>
      <c r="TKC58" s="609"/>
      <c r="TKD58" s="609"/>
      <c r="TKE58" s="609"/>
      <c r="TKF58" s="609"/>
      <c r="TKG58" s="609"/>
      <c r="TKH58" s="609"/>
      <c r="TKI58" s="609"/>
      <c r="TKJ58" s="609"/>
      <c r="TKK58" s="609"/>
      <c r="TKL58" s="609"/>
      <c r="TKM58" s="609"/>
      <c r="TKN58" s="609"/>
      <c r="TKO58" s="609"/>
      <c r="TKP58" s="609"/>
      <c r="TKQ58" s="609"/>
      <c r="TKR58" s="609"/>
      <c r="TKS58" s="609"/>
      <c r="TKT58" s="609"/>
      <c r="TKU58" s="609"/>
      <c r="TKV58" s="609"/>
      <c r="TKW58" s="609"/>
      <c r="TKX58" s="609"/>
      <c r="TKY58" s="609"/>
      <c r="TKZ58" s="609"/>
      <c r="TLA58" s="609"/>
      <c r="TLB58" s="609"/>
      <c r="TLC58" s="609"/>
      <c r="TLD58" s="609"/>
      <c r="TLE58" s="609"/>
      <c r="TLF58" s="609"/>
      <c r="TLG58" s="609"/>
      <c r="TLH58" s="609"/>
      <c r="TLI58" s="609"/>
      <c r="TLJ58" s="609"/>
      <c r="TLK58" s="609"/>
      <c r="TLL58" s="609"/>
      <c r="TLM58" s="609"/>
      <c r="TLN58" s="609"/>
      <c r="TLO58" s="609"/>
      <c r="TLP58" s="609"/>
      <c r="TLQ58" s="609"/>
      <c r="TLR58" s="609"/>
      <c r="TLS58" s="609"/>
      <c r="TLT58" s="609"/>
      <c r="TLU58" s="609"/>
      <c r="TLV58" s="609"/>
      <c r="TLW58" s="609"/>
      <c r="TLX58" s="609"/>
      <c r="TLY58" s="609"/>
      <c r="TLZ58" s="609"/>
      <c r="TMA58" s="609"/>
      <c r="TMB58" s="609"/>
      <c r="TMC58" s="609"/>
      <c r="TMD58" s="609"/>
      <c r="TME58" s="609"/>
      <c r="TMF58" s="609"/>
      <c r="TMG58" s="609"/>
      <c r="TMH58" s="609"/>
      <c r="TMI58" s="609"/>
      <c r="TMJ58" s="609"/>
      <c r="TMK58" s="609"/>
      <c r="TML58" s="609"/>
      <c r="TMM58" s="609"/>
      <c r="TMN58" s="609"/>
      <c r="TMO58" s="609"/>
      <c r="TMP58" s="609"/>
      <c r="TMQ58" s="609"/>
      <c r="TMR58" s="609"/>
      <c r="TMS58" s="609"/>
      <c r="TMT58" s="609"/>
      <c r="TMU58" s="609"/>
      <c r="TMV58" s="609"/>
      <c r="TMW58" s="609"/>
      <c r="TMX58" s="609"/>
      <c r="TMY58" s="609"/>
      <c r="TMZ58" s="609"/>
      <c r="TNA58" s="609"/>
      <c r="TNB58" s="609"/>
      <c r="TNC58" s="609"/>
      <c r="TND58" s="609"/>
      <c r="TNE58" s="609"/>
      <c r="TNF58" s="609"/>
      <c r="TNG58" s="609"/>
      <c r="TNH58" s="609"/>
      <c r="TNI58" s="609"/>
      <c r="TNJ58" s="609"/>
      <c r="TNK58" s="609"/>
      <c r="TNL58" s="609"/>
      <c r="TNM58" s="609"/>
      <c r="TNN58" s="609"/>
      <c r="TNO58" s="609"/>
      <c r="TNP58" s="609"/>
      <c r="TNQ58" s="609"/>
      <c r="TNR58" s="609"/>
      <c r="TNS58" s="609"/>
      <c r="TNT58" s="609"/>
      <c r="TNU58" s="609"/>
      <c r="TNV58" s="609"/>
      <c r="TNW58" s="609"/>
      <c r="TNX58" s="609"/>
      <c r="TNY58" s="609"/>
      <c r="TNZ58" s="609"/>
      <c r="TOA58" s="609"/>
      <c r="TOB58" s="609"/>
      <c r="TOC58" s="609"/>
      <c r="TOD58" s="609"/>
      <c r="TOE58" s="609"/>
      <c r="TOF58" s="609"/>
      <c r="TOG58" s="609"/>
      <c r="TOH58" s="609"/>
      <c r="TOI58" s="609"/>
      <c r="TOJ58" s="609"/>
      <c r="TOK58" s="609"/>
      <c r="TOL58" s="609"/>
      <c r="TOM58" s="609"/>
      <c r="TON58" s="609"/>
      <c r="TOO58" s="609"/>
      <c r="TOP58" s="609"/>
      <c r="TOQ58" s="609"/>
      <c r="TOR58" s="609"/>
      <c r="TOS58" s="609"/>
      <c r="TOT58" s="609"/>
      <c r="TOU58" s="609"/>
      <c r="TOV58" s="609"/>
      <c r="TOW58" s="609"/>
      <c r="TOX58" s="609"/>
      <c r="TOY58" s="609"/>
      <c r="TOZ58" s="609"/>
      <c r="TPA58" s="609"/>
      <c r="TPB58" s="609"/>
      <c r="TPC58" s="609"/>
      <c r="TPD58" s="609"/>
      <c r="TPE58" s="609"/>
      <c r="TPF58" s="609"/>
      <c r="TPG58" s="609"/>
      <c r="TPH58" s="609"/>
      <c r="TPI58" s="609"/>
      <c r="TPJ58" s="609"/>
      <c r="TPK58" s="609"/>
      <c r="TPL58" s="609"/>
      <c r="TPM58" s="609"/>
      <c r="TPN58" s="609"/>
      <c r="TPO58" s="609"/>
      <c r="TPP58" s="609"/>
      <c r="TPQ58" s="609"/>
      <c r="TPR58" s="609"/>
      <c r="TPS58" s="609"/>
      <c r="TPT58" s="609"/>
      <c r="TPU58" s="609"/>
      <c r="TPV58" s="609"/>
      <c r="TPW58" s="609"/>
      <c r="TPX58" s="609"/>
      <c r="TPY58" s="609"/>
      <c r="TPZ58" s="609"/>
      <c r="TQA58" s="609"/>
      <c r="TQB58" s="609"/>
      <c r="TQC58" s="609"/>
      <c r="TQD58" s="609"/>
      <c r="TQE58" s="609"/>
      <c r="TQF58" s="609"/>
      <c r="TQG58" s="609"/>
      <c r="TQH58" s="609"/>
      <c r="TQI58" s="609"/>
      <c r="TQJ58" s="609"/>
      <c r="TQK58" s="609"/>
      <c r="TQL58" s="609"/>
      <c r="TQM58" s="609"/>
      <c r="TQN58" s="609"/>
      <c r="TQO58" s="609"/>
      <c r="TQP58" s="609"/>
      <c r="TQQ58" s="609"/>
      <c r="TQR58" s="609"/>
      <c r="TQS58" s="609"/>
      <c r="TQT58" s="609"/>
      <c r="TQU58" s="609"/>
      <c r="TQV58" s="609"/>
      <c r="TQW58" s="609"/>
      <c r="TQX58" s="609"/>
      <c r="TQY58" s="609"/>
      <c r="TQZ58" s="609"/>
      <c r="TRA58" s="609"/>
      <c r="TRB58" s="609"/>
      <c r="TRC58" s="609"/>
      <c r="TRD58" s="609"/>
      <c r="TRE58" s="609"/>
      <c r="TRF58" s="609"/>
      <c r="TRG58" s="609"/>
      <c r="TRH58" s="609"/>
      <c r="TRI58" s="609"/>
      <c r="TRJ58" s="609"/>
      <c r="TRK58" s="609"/>
      <c r="TRL58" s="609"/>
      <c r="TRM58" s="609"/>
      <c r="TRN58" s="609"/>
      <c r="TRO58" s="609"/>
      <c r="TRP58" s="609"/>
      <c r="TRQ58" s="609"/>
      <c r="TRR58" s="609"/>
      <c r="TRS58" s="609"/>
      <c r="TRT58" s="609"/>
      <c r="TRU58" s="609"/>
      <c r="TRV58" s="609"/>
      <c r="TRW58" s="609"/>
      <c r="TRX58" s="609"/>
      <c r="TRY58" s="609"/>
      <c r="TRZ58" s="609"/>
      <c r="TSA58" s="609"/>
      <c r="TSB58" s="609"/>
      <c r="TSC58" s="609"/>
      <c r="TSD58" s="609"/>
      <c r="TSE58" s="609"/>
      <c r="TSF58" s="609"/>
      <c r="TSG58" s="609"/>
      <c r="TSH58" s="609"/>
      <c r="TSI58" s="609"/>
      <c r="TSJ58" s="609"/>
      <c r="TSK58" s="609"/>
      <c r="TSL58" s="609"/>
      <c r="TSM58" s="609"/>
      <c r="TSN58" s="609"/>
      <c r="TSO58" s="609"/>
      <c r="TSP58" s="609"/>
      <c r="TSQ58" s="609"/>
      <c r="TSR58" s="609"/>
      <c r="TSS58" s="609"/>
      <c r="TST58" s="609"/>
      <c r="TSU58" s="609"/>
      <c r="TSV58" s="609"/>
      <c r="TSW58" s="609"/>
      <c r="TSX58" s="609"/>
      <c r="TSY58" s="609"/>
      <c r="TSZ58" s="609"/>
      <c r="TTA58" s="609"/>
      <c r="TTB58" s="609"/>
      <c r="TTC58" s="609"/>
      <c r="TTD58" s="609"/>
      <c r="TTE58" s="609"/>
      <c r="TTF58" s="609"/>
      <c r="TTG58" s="609"/>
      <c r="TTH58" s="609"/>
      <c r="TTI58" s="609"/>
      <c r="TTJ58" s="609"/>
      <c r="TTK58" s="609"/>
      <c r="TTL58" s="609"/>
      <c r="TTM58" s="609"/>
      <c r="TTN58" s="609"/>
      <c r="TTO58" s="609"/>
      <c r="TTP58" s="609"/>
      <c r="TTQ58" s="609"/>
      <c r="TTR58" s="609"/>
      <c r="TTS58" s="609"/>
      <c r="TTT58" s="609"/>
      <c r="TTU58" s="609"/>
      <c r="TTV58" s="609"/>
      <c r="TTW58" s="609"/>
      <c r="TTX58" s="609"/>
      <c r="TTY58" s="609"/>
      <c r="TTZ58" s="609"/>
      <c r="TUA58" s="609"/>
      <c r="TUB58" s="609"/>
      <c r="TUC58" s="609"/>
      <c r="TUD58" s="609"/>
      <c r="TUE58" s="609"/>
      <c r="TUF58" s="609"/>
      <c r="TUG58" s="609"/>
      <c r="TUH58" s="609"/>
      <c r="TUI58" s="609"/>
      <c r="TUJ58" s="609"/>
      <c r="TUK58" s="609"/>
      <c r="TUL58" s="609"/>
      <c r="TUM58" s="609"/>
      <c r="TUN58" s="609"/>
      <c r="TUO58" s="609"/>
      <c r="TUP58" s="609"/>
      <c r="TUQ58" s="609"/>
      <c r="TUR58" s="609"/>
      <c r="TUS58" s="609"/>
      <c r="TUT58" s="609"/>
      <c r="TUU58" s="609"/>
      <c r="TUV58" s="609"/>
      <c r="TUW58" s="609"/>
      <c r="TUX58" s="609"/>
      <c r="TUY58" s="609"/>
      <c r="TUZ58" s="609"/>
      <c r="TVA58" s="609"/>
      <c r="TVB58" s="609"/>
      <c r="TVC58" s="609"/>
      <c r="TVD58" s="609"/>
      <c r="TVE58" s="609"/>
      <c r="TVF58" s="609"/>
      <c r="TVG58" s="609"/>
      <c r="TVH58" s="609"/>
      <c r="TVI58" s="609"/>
      <c r="TVJ58" s="609"/>
      <c r="TVK58" s="609"/>
      <c r="TVL58" s="609"/>
      <c r="TVM58" s="609"/>
      <c r="TVN58" s="609"/>
      <c r="TVO58" s="609"/>
      <c r="TVP58" s="609"/>
      <c r="TVQ58" s="609"/>
      <c r="TVR58" s="609"/>
      <c r="TVS58" s="609"/>
      <c r="TVT58" s="609"/>
      <c r="TVU58" s="609"/>
      <c r="TVV58" s="609"/>
      <c r="TVW58" s="609"/>
      <c r="TVX58" s="609"/>
      <c r="TVY58" s="609"/>
      <c r="TVZ58" s="609"/>
      <c r="TWA58" s="609"/>
      <c r="TWB58" s="609"/>
      <c r="TWC58" s="609"/>
      <c r="TWD58" s="609"/>
      <c r="TWE58" s="609"/>
      <c r="TWF58" s="609"/>
      <c r="TWG58" s="609"/>
      <c r="TWH58" s="609"/>
      <c r="TWI58" s="609"/>
      <c r="TWJ58" s="609"/>
      <c r="TWK58" s="609"/>
      <c r="TWL58" s="609"/>
      <c r="TWM58" s="609"/>
      <c r="TWN58" s="609"/>
      <c r="TWO58" s="609"/>
      <c r="TWP58" s="609"/>
      <c r="TWQ58" s="609"/>
      <c r="TWR58" s="609"/>
      <c r="TWS58" s="609"/>
      <c r="TWT58" s="609"/>
      <c r="TWU58" s="609"/>
      <c r="TWV58" s="609"/>
      <c r="TWW58" s="609"/>
      <c r="TWX58" s="609"/>
      <c r="TWY58" s="609"/>
      <c r="TWZ58" s="609"/>
      <c r="TXA58" s="609"/>
      <c r="TXB58" s="609"/>
      <c r="TXC58" s="609"/>
      <c r="TXD58" s="609"/>
      <c r="TXE58" s="609"/>
      <c r="TXF58" s="609"/>
      <c r="TXG58" s="609"/>
      <c r="TXH58" s="609"/>
      <c r="TXI58" s="609"/>
      <c r="TXJ58" s="609"/>
      <c r="TXK58" s="609"/>
      <c r="TXL58" s="609"/>
      <c r="TXM58" s="609"/>
      <c r="TXN58" s="609"/>
      <c r="TXO58" s="609"/>
      <c r="TXP58" s="609"/>
      <c r="TXQ58" s="609"/>
      <c r="TXR58" s="609"/>
      <c r="TXS58" s="609"/>
      <c r="TXT58" s="609"/>
      <c r="TXU58" s="609"/>
      <c r="TXV58" s="609"/>
      <c r="TXW58" s="609"/>
      <c r="TXX58" s="609"/>
      <c r="TXY58" s="609"/>
      <c r="TXZ58" s="609"/>
      <c r="TYA58" s="609"/>
      <c r="TYB58" s="609"/>
      <c r="TYC58" s="609"/>
      <c r="TYD58" s="609"/>
      <c r="TYE58" s="609"/>
      <c r="TYF58" s="609"/>
      <c r="TYG58" s="609"/>
      <c r="TYH58" s="609"/>
      <c r="TYI58" s="609"/>
      <c r="TYJ58" s="609"/>
      <c r="TYK58" s="609"/>
      <c r="TYL58" s="609"/>
      <c r="TYM58" s="609"/>
      <c r="TYN58" s="609"/>
      <c r="TYO58" s="609"/>
      <c r="TYP58" s="609"/>
      <c r="TYQ58" s="609"/>
      <c r="TYR58" s="609"/>
      <c r="TYS58" s="609"/>
      <c r="TYT58" s="609"/>
      <c r="TYU58" s="609"/>
      <c r="TYV58" s="609"/>
      <c r="TYW58" s="609"/>
      <c r="TYX58" s="609"/>
      <c r="TYY58" s="609"/>
      <c r="TYZ58" s="609"/>
      <c r="TZA58" s="609"/>
      <c r="TZB58" s="609"/>
      <c r="TZC58" s="609"/>
      <c r="TZD58" s="609"/>
      <c r="TZE58" s="609"/>
      <c r="TZF58" s="609"/>
      <c r="TZG58" s="609"/>
      <c r="TZH58" s="609"/>
      <c r="TZI58" s="609"/>
      <c r="TZJ58" s="609"/>
      <c r="TZK58" s="609"/>
      <c r="TZL58" s="609"/>
      <c r="TZM58" s="609"/>
      <c r="TZN58" s="609"/>
      <c r="TZO58" s="609"/>
      <c r="TZP58" s="609"/>
      <c r="TZQ58" s="609"/>
      <c r="TZR58" s="609"/>
      <c r="TZS58" s="609"/>
      <c r="TZT58" s="609"/>
      <c r="TZU58" s="609"/>
      <c r="TZV58" s="609"/>
      <c r="TZW58" s="609"/>
      <c r="TZX58" s="609"/>
      <c r="TZY58" s="609"/>
      <c r="TZZ58" s="609"/>
      <c r="UAA58" s="609"/>
      <c r="UAB58" s="609"/>
      <c r="UAC58" s="609"/>
      <c r="UAD58" s="609"/>
      <c r="UAE58" s="609"/>
      <c r="UAF58" s="609"/>
      <c r="UAG58" s="609"/>
      <c r="UAH58" s="609"/>
      <c r="UAI58" s="609"/>
      <c r="UAJ58" s="609"/>
      <c r="UAK58" s="609"/>
      <c r="UAL58" s="609"/>
      <c r="UAM58" s="609"/>
      <c r="UAN58" s="609"/>
      <c r="UAO58" s="609"/>
      <c r="UAP58" s="609"/>
      <c r="UAQ58" s="609"/>
      <c r="UAR58" s="609"/>
      <c r="UAS58" s="609"/>
      <c r="UAT58" s="609"/>
      <c r="UAU58" s="609"/>
      <c r="UAV58" s="609"/>
      <c r="UAW58" s="609"/>
      <c r="UAX58" s="609"/>
      <c r="UAY58" s="609"/>
      <c r="UAZ58" s="609"/>
      <c r="UBA58" s="609"/>
      <c r="UBB58" s="609"/>
      <c r="UBC58" s="609"/>
      <c r="UBD58" s="609"/>
      <c r="UBE58" s="609"/>
      <c r="UBF58" s="609"/>
      <c r="UBG58" s="609"/>
      <c r="UBH58" s="609"/>
      <c r="UBI58" s="609"/>
      <c r="UBJ58" s="609"/>
      <c r="UBK58" s="609"/>
      <c r="UBL58" s="609"/>
      <c r="UBM58" s="609"/>
      <c r="UBN58" s="609"/>
      <c r="UBO58" s="609"/>
      <c r="UBP58" s="609"/>
      <c r="UBQ58" s="609"/>
      <c r="UBR58" s="609"/>
      <c r="UBS58" s="609"/>
      <c r="UBT58" s="609"/>
      <c r="UBU58" s="609"/>
      <c r="UBV58" s="609"/>
      <c r="UBW58" s="609"/>
      <c r="UBX58" s="609"/>
      <c r="UBY58" s="609"/>
      <c r="UBZ58" s="609"/>
      <c r="UCA58" s="609"/>
      <c r="UCB58" s="609"/>
      <c r="UCC58" s="609"/>
      <c r="UCD58" s="609"/>
      <c r="UCE58" s="609"/>
      <c r="UCF58" s="609"/>
      <c r="UCG58" s="609"/>
      <c r="UCH58" s="609"/>
      <c r="UCI58" s="609"/>
      <c r="UCJ58" s="609"/>
      <c r="UCK58" s="609"/>
      <c r="UCL58" s="609"/>
      <c r="UCM58" s="609"/>
      <c r="UCN58" s="609"/>
      <c r="UCO58" s="609"/>
      <c r="UCP58" s="609"/>
      <c r="UCQ58" s="609"/>
      <c r="UCR58" s="609"/>
      <c r="UCS58" s="609"/>
      <c r="UCT58" s="609"/>
      <c r="UCU58" s="609"/>
      <c r="UCV58" s="609"/>
      <c r="UCW58" s="609"/>
      <c r="UCX58" s="609"/>
      <c r="UCY58" s="609"/>
      <c r="UCZ58" s="609"/>
      <c r="UDA58" s="609"/>
      <c r="UDB58" s="609"/>
      <c r="UDC58" s="609"/>
      <c r="UDD58" s="609"/>
      <c r="UDE58" s="609"/>
      <c r="UDF58" s="609"/>
      <c r="UDG58" s="609"/>
      <c r="UDH58" s="609"/>
      <c r="UDI58" s="609"/>
      <c r="UDJ58" s="609"/>
      <c r="UDK58" s="609"/>
      <c r="UDL58" s="609"/>
      <c r="UDM58" s="609"/>
      <c r="UDN58" s="609"/>
      <c r="UDO58" s="609"/>
      <c r="UDP58" s="609"/>
      <c r="UDQ58" s="609"/>
      <c r="UDR58" s="609"/>
      <c r="UDS58" s="609"/>
      <c r="UDT58" s="609"/>
      <c r="UDU58" s="609"/>
      <c r="UDV58" s="609"/>
      <c r="UDW58" s="609"/>
      <c r="UDX58" s="609"/>
      <c r="UDY58" s="609"/>
      <c r="UDZ58" s="609"/>
      <c r="UEA58" s="609"/>
      <c r="UEB58" s="609"/>
      <c r="UEC58" s="609"/>
      <c r="UED58" s="609"/>
      <c r="UEE58" s="609"/>
      <c r="UEF58" s="609"/>
      <c r="UEG58" s="609"/>
      <c r="UEH58" s="609"/>
      <c r="UEI58" s="609"/>
      <c r="UEJ58" s="609"/>
      <c r="UEK58" s="609"/>
      <c r="UEL58" s="609"/>
      <c r="UEM58" s="609"/>
      <c r="UEN58" s="609"/>
      <c r="UEO58" s="609"/>
      <c r="UEP58" s="609"/>
      <c r="UEQ58" s="609"/>
      <c r="UER58" s="609"/>
      <c r="UES58" s="609"/>
      <c r="UET58" s="609"/>
      <c r="UEU58" s="609"/>
      <c r="UEV58" s="609"/>
      <c r="UEW58" s="609"/>
      <c r="UEX58" s="609"/>
      <c r="UEY58" s="609"/>
      <c r="UEZ58" s="609"/>
      <c r="UFA58" s="609"/>
      <c r="UFB58" s="609"/>
      <c r="UFC58" s="609"/>
      <c r="UFD58" s="609"/>
      <c r="UFE58" s="609"/>
      <c r="UFF58" s="609"/>
      <c r="UFG58" s="609"/>
      <c r="UFH58" s="609"/>
      <c r="UFI58" s="609"/>
      <c r="UFJ58" s="609"/>
      <c r="UFK58" s="609"/>
      <c r="UFL58" s="609"/>
      <c r="UFM58" s="609"/>
      <c r="UFN58" s="609"/>
      <c r="UFO58" s="609"/>
      <c r="UFP58" s="609"/>
      <c r="UFQ58" s="609"/>
      <c r="UFR58" s="609"/>
      <c r="UFS58" s="609"/>
      <c r="UFT58" s="609"/>
      <c r="UFU58" s="609"/>
      <c r="UFV58" s="609"/>
      <c r="UFW58" s="609"/>
      <c r="UFX58" s="609"/>
      <c r="UFY58" s="609"/>
      <c r="UFZ58" s="609"/>
      <c r="UGA58" s="609"/>
      <c r="UGB58" s="609"/>
      <c r="UGC58" s="609"/>
      <c r="UGD58" s="609"/>
      <c r="UGE58" s="609"/>
      <c r="UGF58" s="609"/>
      <c r="UGG58" s="609"/>
      <c r="UGH58" s="609"/>
      <c r="UGI58" s="609"/>
      <c r="UGJ58" s="609"/>
      <c r="UGK58" s="609"/>
      <c r="UGL58" s="609"/>
      <c r="UGM58" s="609"/>
      <c r="UGN58" s="609"/>
      <c r="UGO58" s="609"/>
      <c r="UGP58" s="609"/>
      <c r="UGQ58" s="609"/>
      <c r="UGR58" s="609"/>
      <c r="UGS58" s="609"/>
      <c r="UGT58" s="609"/>
      <c r="UGU58" s="609"/>
      <c r="UGV58" s="609"/>
      <c r="UGW58" s="609"/>
      <c r="UGX58" s="609"/>
      <c r="UGY58" s="609"/>
      <c r="UGZ58" s="609"/>
      <c r="UHA58" s="609"/>
      <c r="UHB58" s="609"/>
      <c r="UHC58" s="609"/>
      <c r="UHD58" s="609"/>
      <c r="UHE58" s="609"/>
      <c r="UHF58" s="609"/>
      <c r="UHG58" s="609"/>
      <c r="UHH58" s="609"/>
      <c r="UHI58" s="609"/>
      <c r="UHJ58" s="609"/>
      <c r="UHK58" s="609"/>
      <c r="UHL58" s="609"/>
      <c r="UHM58" s="609"/>
      <c r="UHN58" s="609"/>
      <c r="UHO58" s="609"/>
      <c r="UHP58" s="609"/>
      <c r="UHQ58" s="609"/>
      <c r="UHR58" s="609"/>
      <c r="UHS58" s="609"/>
      <c r="UHT58" s="609"/>
      <c r="UHU58" s="609"/>
      <c r="UHV58" s="609"/>
      <c r="UHW58" s="609"/>
      <c r="UHX58" s="609"/>
      <c r="UHY58" s="609"/>
      <c r="UHZ58" s="609"/>
      <c r="UIA58" s="609"/>
      <c r="UIB58" s="609"/>
      <c r="UIC58" s="609"/>
      <c r="UID58" s="609"/>
      <c r="UIE58" s="609"/>
      <c r="UIF58" s="609"/>
      <c r="UIG58" s="609"/>
      <c r="UIH58" s="609"/>
      <c r="UII58" s="609"/>
      <c r="UIJ58" s="609"/>
      <c r="UIK58" s="609"/>
      <c r="UIL58" s="609"/>
      <c r="UIM58" s="609"/>
      <c r="UIN58" s="609"/>
      <c r="UIO58" s="609"/>
      <c r="UIP58" s="609"/>
      <c r="UIQ58" s="609"/>
      <c r="UIR58" s="609"/>
      <c r="UIS58" s="609"/>
      <c r="UIT58" s="609"/>
      <c r="UIU58" s="609"/>
      <c r="UIV58" s="609"/>
      <c r="UIW58" s="609"/>
      <c r="UIX58" s="609"/>
      <c r="UIY58" s="609"/>
      <c r="UIZ58" s="609"/>
      <c r="UJA58" s="609"/>
      <c r="UJB58" s="609"/>
      <c r="UJC58" s="609"/>
      <c r="UJD58" s="609"/>
      <c r="UJE58" s="609"/>
      <c r="UJF58" s="609"/>
      <c r="UJG58" s="609"/>
      <c r="UJH58" s="609"/>
      <c r="UJI58" s="609"/>
      <c r="UJJ58" s="609"/>
      <c r="UJK58" s="609"/>
      <c r="UJL58" s="609"/>
      <c r="UJM58" s="609"/>
      <c r="UJN58" s="609"/>
      <c r="UJO58" s="609"/>
      <c r="UJP58" s="609"/>
      <c r="UJQ58" s="609"/>
      <c r="UJR58" s="609"/>
      <c r="UJS58" s="609"/>
      <c r="UJT58" s="609"/>
      <c r="UJU58" s="609"/>
      <c r="UJV58" s="609"/>
      <c r="UJW58" s="609"/>
      <c r="UJX58" s="609"/>
      <c r="UJY58" s="609"/>
      <c r="UJZ58" s="609"/>
      <c r="UKA58" s="609"/>
      <c r="UKB58" s="609"/>
      <c r="UKC58" s="609"/>
      <c r="UKD58" s="609"/>
      <c r="UKE58" s="609"/>
      <c r="UKF58" s="609"/>
      <c r="UKG58" s="609"/>
      <c r="UKH58" s="609"/>
      <c r="UKI58" s="609"/>
      <c r="UKJ58" s="609"/>
      <c r="UKK58" s="609"/>
      <c r="UKL58" s="609"/>
      <c r="UKM58" s="609"/>
      <c r="UKN58" s="609"/>
      <c r="UKO58" s="609"/>
      <c r="UKP58" s="609"/>
      <c r="UKQ58" s="609"/>
      <c r="UKR58" s="609"/>
      <c r="UKS58" s="609"/>
      <c r="UKT58" s="609"/>
      <c r="UKU58" s="609"/>
      <c r="UKV58" s="609"/>
      <c r="UKW58" s="609"/>
      <c r="UKX58" s="609"/>
      <c r="UKY58" s="609"/>
      <c r="UKZ58" s="609"/>
      <c r="ULA58" s="609"/>
      <c r="ULB58" s="609"/>
      <c r="ULC58" s="609"/>
      <c r="ULD58" s="609"/>
      <c r="ULE58" s="609"/>
      <c r="ULF58" s="609"/>
      <c r="ULG58" s="609"/>
      <c r="ULH58" s="609"/>
      <c r="ULI58" s="609"/>
      <c r="ULJ58" s="609"/>
      <c r="ULK58" s="609"/>
      <c r="ULL58" s="609"/>
      <c r="ULM58" s="609"/>
      <c r="ULN58" s="609"/>
      <c r="ULO58" s="609"/>
      <c r="ULP58" s="609"/>
      <c r="ULQ58" s="609"/>
      <c r="ULR58" s="609"/>
      <c r="ULS58" s="609"/>
      <c r="ULT58" s="609"/>
      <c r="ULU58" s="609"/>
      <c r="ULV58" s="609"/>
      <c r="ULW58" s="609"/>
      <c r="ULX58" s="609"/>
      <c r="ULY58" s="609"/>
      <c r="ULZ58" s="609"/>
      <c r="UMA58" s="609"/>
      <c r="UMB58" s="609"/>
      <c r="UMC58" s="609"/>
      <c r="UMD58" s="609"/>
      <c r="UME58" s="609"/>
      <c r="UMF58" s="609"/>
      <c r="UMG58" s="609"/>
      <c r="UMH58" s="609"/>
      <c r="UMI58" s="609"/>
      <c r="UMJ58" s="609"/>
      <c r="UMK58" s="609"/>
      <c r="UML58" s="609"/>
      <c r="UMM58" s="609"/>
      <c r="UMN58" s="609"/>
      <c r="UMO58" s="609"/>
      <c r="UMP58" s="609"/>
      <c r="UMQ58" s="609"/>
      <c r="UMR58" s="609"/>
      <c r="UMS58" s="609"/>
      <c r="UMT58" s="609"/>
      <c r="UMU58" s="609"/>
      <c r="UMV58" s="609"/>
      <c r="UMW58" s="609"/>
      <c r="UMX58" s="609"/>
      <c r="UMY58" s="609"/>
      <c r="UMZ58" s="609"/>
      <c r="UNA58" s="609"/>
      <c r="UNB58" s="609"/>
      <c r="UNC58" s="609"/>
      <c r="UND58" s="609"/>
      <c r="UNE58" s="609"/>
      <c r="UNF58" s="609"/>
      <c r="UNG58" s="609"/>
      <c r="UNH58" s="609"/>
      <c r="UNI58" s="609"/>
      <c r="UNJ58" s="609"/>
      <c r="UNK58" s="609"/>
      <c r="UNL58" s="609"/>
      <c r="UNM58" s="609"/>
      <c r="UNN58" s="609"/>
      <c r="UNO58" s="609"/>
      <c r="UNP58" s="609"/>
      <c r="UNQ58" s="609"/>
      <c r="UNR58" s="609"/>
      <c r="UNS58" s="609"/>
      <c r="UNT58" s="609"/>
      <c r="UNU58" s="609"/>
      <c r="UNV58" s="609"/>
      <c r="UNW58" s="609"/>
      <c r="UNX58" s="609"/>
      <c r="UNY58" s="609"/>
      <c r="UNZ58" s="609"/>
      <c r="UOA58" s="609"/>
      <c r="UOB58" s="609"/>
      <c r="UOC58" s="609"/>
      <c r="UOD58" s="609"/>
      <c r="UOE58" s="609"/>
      <c r="UOF58" s="609"/>
      <c r="UOG58" s="609"/>
      <c r="UOH58" s="609"/>
      <c r="UOI58" s="609"/>
      <c r="UOJ58" s="609"/>
      <c r="UOK58" s="609"/>
      <c r="UOL58" s="609"/>
      <c r="UOM58" s="609"/>
      <c r="UON58" s="609"/>
      <c r="UOO58" s="609"/>
      <c r="UOP58" s="609"/>
      <c r="UOQ58" s="609"/>
      <c r="UOR58" s="609"/>
      <c r="UOS58" s="609"/>
      <c r="UOT58" s="609"/>
      <c r="UOU58" s="609"/>
      <c r="UOV58" s="609"/>
      <c r="UOW58" s="609"/>
      <c r="UOX58" s="609"/>
      <c r="UOY58" s="609"/>
      <c r="UOZ58" s="609"/>
      <c r="UPA58" s="609"/>
      <c r="UPB58" s="609"/>
      <c r="UPC58" s="609"/>
      <c r="UPD58" s="609"/>
      <c r="UPE58" s="609"/>
      <c r="UPF58" s="609"/>
      <c r="UPG58" s="609"/>
      <c r="UPH58" s="609"/>
      <c r="UPI58" s="609"/>
      <c r="UPJ58" s="609"/>
      <c r="UPK58" s="609"/>
      <c r="UPL58" s="609"/>
      <c r="UPM58" s="609"/>
      <c r="UPN58" s="609"/>
      <c r="UPO58" s="609"/>
      <c r="UPP58" s="609"/>
      <c r="UPQ58" s="609"/>
      <c r="UPR58" s="609"/>
      <c r="UPS58" s="609"/>
      <c r="UPT58" s="609"/>
      <c r="UPU58" s="609"/>
      <c r="UPV58" s="609"/>
      <c r="UPW58" s="609"/>
      <c r="UPX58" s="609"/>
      <c r="UPY58" s="609"/>
      <c r="UPZ58" s="609"/>
      <c r="UQA58" s="609"/>
      <c r="UQB58" s="609"/>
      <c r="UQC58" s="609"/>
      <c r="UQD58" s="609"/>
      <c r="UQE58" s="609"/>
      <c r="UQF58" s="609"/>
      <c r="UQG58" s="609"/>
      <c r="UQH58" s="609"/>
      <c r="UQI58" s="609"/>
      <c r="UQJ58" s="609"/>
      <c r="UQK58" s="609"/>
      <c r="UQL58" s="609"/>
      <c r="UQM58" s="609"/>
      <c r="UQN58" s="609"/>
      <c r="UQO58" s="609"/>
      <c r="UQP58" s="609"/>
      <c r="UQQ58" s="609"/>
      <c r="UQR58" s="609"/>
      <c r="UQS58" s="609"/>
      <c r="UQT58" s="609"/>
      <c r="UQU58" s="609"/>
      <c r="UQV58" s="609"/>
      <c r="UQW58" s="609"/>
      <c r="UQX58" s="609"/>
      <c r="UQY58" s="609"/>
      <c r="UQZ58" s="609"/>
      <c r="URA58" s="609"/>
      <c r="URB58" s="609"/>
      <c r="URC58" s="609"/>
      <c r="URD58" s="609"/>
      <c r="URE58" s="609"/>
      <c r="URF58" s="609"/>
      <c r="URG58" s="609"/>
      <c r="URH58" s="609"/>
      <c r="URI58" s="609"/>
      <c r="URJ58" s="609"/>
      <c r="URK58" s="609"/>
      <c r="URL58" s="609"/>
      <c r="URM58" s="609"/>
      <c r="URN58" s="609"/>
      <c r="URO58" s="609"/>
      <c r="URP58" s="609"/>
      <c r="URQ58" s="609"/>
      <c r="URR58" s="609"/>
      <c r="URS58" s="609"/>
      <c r="URT58" s="609"/>
      <c r="URU58" s="609"/>
      <c r="URV58" s="609"/>
      <c r="URW58" s="609"/>
      <c r="URX58" s="609"/>
      <c r="URY58" s="609"/>
      <c r="URZ58" s="609"/>
      <c r="USA58" s="609"/>
      <c r="USB58" s="609"/>
      <c r="USC58" s="609"/>
      <c r="USD58" s="609"/>
      <c r="USE58" s="609"/>
      <c r="USF58" s="609"/>
      <c r="USG58" s="609"/>
      <c r="USH58" s="609"/>
      <c r="USI58" s="609"/>
      <c r="USJ58" s="609"/>
      <c r="USK58" s="609"/>
      <c r="USL58" s="609"/>
      <c r="USM58" s="609"/>
      <c r="USN58" s="609"/>
      <c r="USO58" s="609"/>
      <c r="USP58" s="609"/>
      <c r="USQ58" s="609"/>
      <c r="USR58" s="609"/>
      <c r="USS58" s="609"/>
      <c r="UST58" s="609"/>
      <c r="USU58" s="609"/>
      <c r="USV58" s="609"/>
      <c r="USW58" s="609"/>
      <c r="USX58" s="609"/>
      <c r="USY58" s="609"/>
      <c r="USZ58" s="609"/>
      <c r="UTA58" s="609"/>
      <c r="UTB58" s="609"/>
      <c r="UTC58" s="609"/>
      <c r="UTD58" s="609"/>
      <c r="UTE58" s="609"/>
      <c r="UTF58" s="609"/>
      <c r="UTG58" s="609"/>
      <c r="UTH58" s="609"/>
      <c r="UTI58" s="609"/>
      <c r="UTJ58" s="609"/>
      <c r="UTK58" s="609"/>
      <c r="UTL58" s="609"/>
      <c r="UTM58" s="609"/>
      <c r="UTN58" s="609"/>
      <c r="UTO58" s="609"/>
      <c r="UTP58" s="609"/>
      <c r="UTQ58" s="609"/>
      <c r="UTR58" s="609"/>
      <c r="UTS58" s="609"/>
      <c r="UTT58" s="609"/>
      <c r="UTU58" s="609"/>
      <c r="UTV58" s="609"/>
      <c r="UTW58" s="609"/>
      <c r="UTX58" s="609"/>
      <c r="UTY58" s="609"/>
      <c r="UTZ58" s="609"/>
      <c r="UUA58" s="609"/>
      <c r="UUB58" s="609"/>
      <c r="UUC58" s="609"/>
      <c r="UUD58" s="609"/>
      <c r="UUE58" s="609"/>
      <c r="UUF58" s="609"/>
      <c r="UUG58" s="609"/>
      <c r="UUH58" s="609"/>
      <c r="UUI58" s="609"/>
      <c r="UUJ58" s="609"/>
      <c r="UUK58" s="609"/>
      <c r="UUL58" s="609"/>
      <c r="UUM58" s="609"/>
      <c r="UUN58" s="609"/>
      <c r="UUO58" s="609"/>
      <c r="UUP58" s="609"/>
      <c r="UUQ58" s="609"/>
      <c r="UUR58" s="609"/>
      <c r="UUS58" s="609"/>
      <c r="UUT58" s="609"/>
      <c r="UUU58" s="609"/>
      <c r="UUV58" s="609"/>
      <c r="UUW58" s="609"/>
      <c r="UUX58" s="609"/>
      <c r="UUY58" s="609"/>
      <c r="UUZ58" s="609"/>
      <c r="UVA58" s="609"/>
      <c r="UVB58" s="609"/>
      <c r="UVC58" s="609"/>
      <c r="UVD58" s="609"/>
      <c r="UVE58" s="609"/>
      <c r="UVF58" s="609"/>
      <c r="UVG58" s="609"/>
      <c r="UVH58" s="609"/>
      <c r="UVI58" s="609"/>
      <c r="UVJ58" s="609"/>
      <c r="UVK58" s="609"/>
      <c r="UVL58" s="609"/>
      <c r="UVM58" s="609"/>
      <c r="UVN58" s="609"/>
      <c r="UVO58" s="609"/>
      <c r="UVP58" s="609"/>
      <c r="UVQ58" s="609"/>
      <c r="UVR58" s="609"/>
      <c r="UVS58" s="609"/>
      <c r="UVT58" s="609"/>
      <c r="UVU58" s="609"/>
      <c r="UVV58" s="609"/>
      <c r="UVW58" s="609"/>
      <c r="UVX58" s="609"/>
      <c r="UVY58" s="609"/>
      <c r="UVZ58" s="609"/>
      <c r="UWA58" s="609"/>
      <c r="UWB58" s="609"/>
      <c r="UWC58" s="609"/>
      <c r="UWD58" s="609"/>
      <c r="UWE58" s="609"/>
      <c r="UWF58" s="609"/>
      <c r="UWG58" s="609"/>
      <c r="UWH58" s="609"/>
      <c r="UWI58" s="609"/>
      <c r="UWJ58" s="609"/>
      <c r="UWK58" s="609"/>
      <c r="UWL58" s="609"/>
      <c r="UWM58" s="609"/>
      <c r="UWN58" s="609"/>
      <c r="UWO58" s="609"/>
      <c r="UWP58" s="609"/>
      <c r="UWQ58" s="609"/>
      <c r="UWR58" s="609"/>
      <c r="UWS58" s="609"/>
      <c r="UWT58" s="609"/>
      <c r="UWU58" s="609"/>
      <c r="UWV58" s="609"/>
      <c r="UWW58" s="609"/>
      <c r="UWX58" s="609"/>
      <c r="UWY58" s="609"/>
      <c r="UWZ58" s="609"/>
      <c r="UXA58" s="609"/>
      <c r="UXB58" s="609"/>
      <c r="UXC58" s="609"/>
      <c r="UXD58" s="609"/>
      <c r="UXE58" s="609"/>
      <c r="UXF58" s="609"/>
      <c r="UXG58" s="609"/>
      <c r="UXH58" s="609"/>
      <c r="UXI58" s="609"/>
      <c r="UXJ58" s="609"/>
      <c r="UXK58" s="609"/>
      <c r="UXL58" s="609"/>
      <c r="UXM58" s="609"/>
      <c r="UXN58" s="609"/>
      <c r="UXO58" s="609"/>
      <c r="UXP58" s="609"/>
      <c r="UXQ58" s="609"/>
      <c r="UXR58" s="609"/>
      <c r="UXS58" s="609"/>
      <c r="UXT58" s="609"/>
      <c r="UXU58" s="609"/>
      <c r="UXV58" s="609"/>
      <c r="UXW58" s="609"/>
      <c r="UXX58" s="609"/>
      <c r="UXY58" s="609"/>
      <c r="UXZ58" s="609"/>
      <c r="UYA58" s="609"/>
      <c r="UYB58" s="609"/>
      <c r="UYC58" s="609"/>
      <c r="UYD58" s="609"/>
      <c r="UYE58" s="609"/>
      <c r="UYF58" s="609"/>
      <c r="UYG58" s="609"/>
      <c r="UYH58" s="609"/>
      <c r="UYI58" s="609"/>
      <c r="UYJ58" s="609"/>
      <c r="UYK58" s="609"/>
      <c r="UYL58" s="609"/>
      <c r="UYM58" s="609"/>
      <c r="UYN58" s="609"/>
      <c r="UYO58" s="609"/>
      <c r="UYP58" s="609"/>
      <c r="UYQ58" s="609"/>
      <c r="UYR58" s="609"/>
      <c r="UYS58" s="609"/>
      <c r="UYT58" s="609"/>
      <c r="UYU58" s="609"/>
      <c r="UYV58" s="609"/>
      <c r="UYW58" s="609"/>
      <c r="UYX58" s="609"/>
      <c r="UYY58" s="609"/>
      <c r="UYZ58" s="609"/>
      <c r="UZA58" s="609"/>
      <c r="UZB58" s="609"/>
      <c r="UZC58" s="609"/>
      <c r="UZD58" s="609"/>
      <c r="UZE58" s="609"/>
      <c r="UZF58" s="609"/>
      <c r="UZG58" s="609"/>
      <c r="UZH58" s="609"/>
      <c r="UZI58" s="609"/>
      <c r="UZJ58" s="609"/>
      <c r="UZK58" s="609"/>
      <c r="UZL58" s="609"/>
      <c r="UZM58" s="609"/>
      <c r="UZN58" s="609"/>
      <c r="UZO58" s="609"/>
      <c r="UZP58" s="609"/>
      <c r="UZQ58" s="609"/>
      <c r="UZR58" s="609"/>
      <c r="UZS58" s="609"/>
      <c r="UZT58" s="609"/>
      <c r="UZU58" s="609"/>
      <c r="UZV58" s="609"/>
      <c r="UZW58" s="609"/>
      <c r="UZX58" s="609"/>
      <c r="UZY58" s="609"/>
      <c r="UZZ58" s="609"/>
      <c r="VAA58" s="609"/>
      <c r="VAB58" s="609"/>
      <c r="VAC58" s="609"/>
      <c r="VAD58" s="609"/>
      <c r="VAE58" s="609"/>
      <c r="VAF58" s="609"/>
      <c r="VAG58" s="609"/>
      <c r="VAH58" s="609"/>
      <c r="VAI58" s="609"/>
      <c r="VAJ58" s="609"/>
      <c r="VAK58" s="609"/>
      <c r="VAL58" s="609"/>
      <c r="VAM58" s="609"/>
      <c r="VAN58" s="609"/>
      <c r="VAO58" s="609"/>
      <c r="VAP58" s="609"/>
      <c r="VAQ58" s="609"/>
      <c r="VAR58" s="609"/>
      <c r="VAS58" s="609"/>
      <c r="VAT58" s="609"/>
      <c r="VAU58" s="609"/>
      <c r="VAV58" s="609"/>
      <c r="VAW58" s="609"/>
      <c r="VAX58" s="609"/>
      <c r="VAY58" s="609"/>
      <c r="VAZ58" s="609"/>
      <c r="VBA58" s="609"/>
      <c r="VBB58" s="609"/>
      <c r="VBC58" s="609"/>
      <c r="VBD58" s="609"/>
      <c r="VBE58" s="609"/>
      <c r="VBF58" s="609"/>
      <c r="VBG58" s="609"/>
      <c r="VBH58" s="609"/>
      <c r="VBI58" s="609"/>
      <c r="VBJ58" s="609"/>
      <c r="VBK58" s="609"/>
      <c r="VBL58" s="609"/>
      <c r="VBM58" s="609"/>
      <c r="VBN58" s="609"/>
      <c r="VBO58" s="609"/>
      <c r="VBP58" s="609"/>
      <c r="VBQ58" s="609"/>
      <c r="VBR58" s="609"/>
      <c r="VBS58" s="609"/>
      <c r="VBT58" s="609"/>
      <c r="VBU58" s="609"/>
      <c r="VBV58" s="609"/>
      <c r="VBW58" s="609"/>
      <c r="VBX58" s="609"/>
      <c r="VBY58" s="609"/>
      <c r="VBZ58" s="609"/>
      <c r="VCA58" s="609"/>
      <c r="VCB58" s="609"/>
      <c r="VCC58" s="609"/>
      <c r="VCD58" s="609"/>
      <c r="VCE58" s="609"/>
      <c r="VCF58" s="609"/>
      <c r="VCG58" s="609"/>
      <c r="VCH58" s="609"/>
      <c r="VCI58" s="609"/>
      <c r="VCJ58" s="609"/>
      <c r="VCK58" s="609"/>
      <c r="VCL58" s="609"/>
      <c r="VCM58" s="609"/>
      <c r="VCN58" s="609"/>
      <c r="VCO58" s="609"/>
      <c r="VCP58" s="609"/>
      <c r="VCQ58" s="609"/>
      <c r="VCR58" s="609"/>
      <c r="VCS58" s="609"/>
      <c r="VCT58" s="609"/>
      <c r="VCU58" s="609"/>
      <c r="VCV58" s="609"/>
      <c r="VCW58" s="609"/>
      <c r="VCX58" s="609"/>
      <c r="VCY58" s="609"/>
      <c r="VCZ58" s="609"/>
      <c r="VDA58" s="609"/>
      <c r="VDB58" s="609"/>
      <c r="VDC58" s="609"/>
      <c r="VDD58" s="609"/>
      <c r="VDE58" s="609"/>
      <c r="VDF58" s="609"/>
      <c r="VDG58" s="609"/>
      <c r="VDH58" s="609"/>
      <c r="VDI58" s="609"/>
      <c r="VDJ58" s="609"/>
      <c r="VDK58" s="609"/>
      <c r="VDL58" s="609"/>
      <c r="VDM58" s="609"/>
      <c r="VDN58" s="609"/>
      <c r="VDO58" s="609"/>
      <c r="VDP58" s="609"/>
      <c r="VDQ58" s="609"/>
      <c r="VDR58" s="609"/>
      <c r="VDS58" s="609"/>
      <c r="VDT58" s="609"/>
      <c r="VDU58" s="609"/>
      <c r="VDV58" s="609"/>
      <c r="VDW58" s="609"/>
      <c r="VDX58" s="609"/>
      <c r="VDY58" s="609"/>
      <c r="VDZ58" s="609"/>
      <c r="VEA58" s="609"/>
      <c r="VEB58" s="609"/>
      <c r="VEC58" s="609"/>
      <c r="VED58" s="609"/>
      <c r="VEE58" s="609"/>
      <c r="VEF58" s="609"/>
      <c r="VEG58" s="609"/>
      <c r="VEH58" s="609"/>
      <c r="VEI58" s="609"/>
      <c r="VEJ58" s="609"/>
      <c r="VEK58" s="609"/>
      <c r="VEL58" s="609"/>
      <c r="VEM58" s="609"/>
      <c r="VEN58" s="609"/>
      <c r="VEO58" s="609"/>
      <c r="VEP58" s="609"/>
      <c r="VEQ58" s="609"/>
      <c r="VER58" s="609"/>
      <c r="VES58" s="609"/>
      <c r="VET58" s="609"/>
      <c r="VEU58" s="609"/>
      <c r="VEV58" s="609"/>
      <c r="VEW58" s="609"/>
      <c r="VEX58" s="609"/>
      <c r="VEY58" s="609"/>
      <c r="VEZ58" s="609"/>
      <c r="VFA58" s="609"/>
      <c r="VFB58" s="609"/>
      <c r="VFC58" s="609"/>
      <c r="VFD58" s="609"/>
      <c r="VFE58" s="609"/>
      <c r="VFF58" s="609"/>
      <c r="VFG58" s="609"/>
      <c r="VFH58" s="609"/>
      <c r="VFI58" s="609"/>
      <c r="VFJ58" s="609"/>
      <c r="VFK58" s="609"/>
      <c r="VFL58" s="609"/>
      <c r="VFM58" s="609"/>
      <c r="VFN58" s="609"/>
      <c r="VFO58" s="609"/>
      <c r="VFP58" s="609"/>
      <c r="VFQ58" s="609"/>
      <c r="VFR58" s="609"/>
      <c r="VFS58" s="609"/>
      <c r="VFT58" s="609"/>
      <c r="VFU58" s="609"/>
      <c r="VFV58" s="609"/>
      <c r="VFW58" s="609"/>
      <c r="VFX58" s="609"/>
      <c r="VFY58" s="609"/>
      <c r="VFZ58" s="609"/>
      <c r="VGA58" s="609"/>
      <c r="VGB58" s="609"/>
      <c r="VGC58" s="609"/>
      <c r="VGD58" s="609"/>
      <c r="VGE58" s="609"/>
      <c r="VGF58" s="609"/>
      <c r="VGG58" s="609"/>
      <c r="VGH58" s="609"/>
      <c r="VGI58" s="609"/>
      <c r="VGJ58" s="609"/>
      <c r="VGK58" s="609"/>
      <c r="VGL58" s="609"/>
      <c r="VGM58" s="609"/>
      <c r="VGN58" s="609"/>
      <c r="VGO58" s="609"/>
      <c r="VGP58" s="609"/>
      <c r="VGQ58" s="609"/>
      <c r="VGR58" s="609"/>
      <c r="VGS58" s="609"/>
      <c r="VGT58" s="609"/>
      <c r="VGU58" s="609"/>
      <c r="VGV58" s="609"/>
      <c r="VGW58" s="609"/>
      <c r="VGX58" s="609"/>
      <c r="VGY58" s="609"/>
      <c r="VGZ58" s="609"/>
      <c r="VHA58" s="609"/>
      <c r="VHB58" s="609"/>
      <c r="VHC58" s="609"/>
      <c r="VHD58" s="609"/>
      <c r="VHE58" s="609"/>
      <c r="VHF58" s="609"/>
      <c r="VHG58" s="609"/>
      <c r="VHH58" s="609"/>
      <c r="VHI58" s="609"/>
      <c r="VHJ58" s="609"/>
      <c r="VHK58" s="609"/>
      <c r="VHL58" s="609"/>
      <c r="VHM58" s="609"/>
      <c r="VHN58" s="609"/>
      <c r="VHO58" s="609"/>
      <c r="VHP58" s="609"/>
      <c r="VHQ58" s="609"/>
      <c r="VHR58" s="609"/>
      <c r="VHS58" s="609"/>
      <c r="VHT58" s="609"/>
      <c r="VHU58" s="609"/>
      <c r="VHV58" s="609"/>
      <c r="VHW58" s="609"/>
      <c r="VHX58" s="609"/>
      <c r="VHY58" s="609"/>
      <c r="VHZ58" s="609"/>
      <c r="VIA58" s="609"/>
      <c r="VIB58" s="609"/>
      <c r="VIC58" s="609"/>
      <c r="VID58" s="609"/>
      <c r="VIE58" s="609"/>
      <c r="VIF58" s="609"/>
      <c r="VIG58" s="609"/>
      <c r="VIH58" s="609"/>
      <c r="VII58" s="609"/>
      <c r="VIJ58" s="609"/>
      <c r="VIK58" s="609"/>
      <c r="VIL58" s="609"/>
      <c r="VIM58" s="609"/>
      <c r="VIN58" s="609"/>
      <c r="VIO58" s="609"/>
      <c r="VIP58" s="609"/>
      <c r="VIQ58" s="609"/>
      <c r="VIR58" s="609"/>
      <c r="VIS58" s="609"/>
      <c r="VIT58" s="609"/>
      <c r="VIU58" s="609"/>
      <c r="VIV58" s="609"/>
      <c r="VIW58" s="609"/>
      <c r="VIX58" s="609"/>
      <c r="VIY58" s="609"/>
      <c r="VIZ58" s="609"/>
      <c r="VJA58" s="609"/>
      <c r="VJB58" s="609"/>
      <c r="VJC58" s="609"/>
      <c r="VJD58" s="609"/>
      <c r="VJE58" s="609"/>
      <c r="VJF58" s="609"/>
      <c r="VJG58" s="609"/>
      <c r="VJH58" s="609"/>
      <c r="VJI58" s="609"/>
      <c r="VJJ58" s="609"/>
      <c r="VJK58" s="609"/>
      <c r="VJL58" s="609"/>
      <c r="VJM58" s="609"/>
      <c r="VJN58" s="609"/>
      <c r="VJO58" s="609"/>
      <c r="VJP58" s="609"/>
      <c r="VJQ58" s="609"/>
      <c r="VJR58" s="609"/>
      <c r="VJS58" s="609"/>
      <c r="VJT58" s="609"/>
      <c r="VJU58" s="609"/>
      <c r="VJV58" s="609"/>
      <c r="VJW58" s="609"/>
      <c r="VJX58" s="609"/>
      <c r="VJY58" s="609"/>
      <c r="VJZ58" s="609"/>
      <c r="VKA58" s="609"/>
      <c r="VKB58" s="609"/>
      <c r="VKC58" s="609"/>
      <c r="VKD58" s="609"/>
      <c r="VKE58" s="609"/>
      <c r="VKF58" s="609"/>
      <c r="VKG58" s="609"/>
      <c r="VKH58" s="609"/>
      <c r="VKI58" s="609"/>
      <c r="VKJ58" s="609"/>
      <c r="VKK58" s="609"/>
      <c r="VKL58" s="609"/>
      <c r="VKM58" s="609"/>
      <c r="VKN58" s="609"/>
      <c r="VKO58" s="609"/>
      <c r="VKP58" s="609"/>
      <c r="VKQ58" s="609"/>
      <c r="VKR58" s="609"/>
      <c r="VKS58" s="609"/>
      <c r="VKT58" s="609"/>
      <c r="VKU58" s="609"/>
      <c r="VKV58" s="609"/>
      <c r="VKW58" s="609"/>
      <c r="VKX58" s="609"/>
      <c r="VKY58" s="609"/>
      <c r="VKZ58" s="609"/>
      <c r="VLA58" s="609"/>
      <c r="VLB58" s="609"/>
      <c r="VLC58" s="609"/>
      <c r="VLD58" s="609"/>
      <c r="VLE58" s="609"/>
      <c r="VLF58" s="609"/>
      <c r="VLG58" s="609"/>
      <c r="VLH58" s="609"/>
      <c r="VLI58" s="609"/>
      <c r="VLJ58" s="609"/>
      <c r="VLK58" s="609"/>
      <c r="VLL58" s="609"/>
      <c r="VLM58" s="609"/>
      <c r="VLN58" s="609"/>
      <c r="VLO58" s="609"/>
      <c r="VLP58" s="609"/>
      <c r="VLQ58" s="609"/>
      <c r="VLR58" s="609"/>
      <c r="VLS58" s="609"/>
      <c r="VLT58" s="609"/>
      <c r="VLU58" s="609"/>
      <c r="VLV58" s="609"/>
      <c r="VLW58" s="609"/>
      <c r="VLX58" s="609"/>
      <c r="VLY58" s="609"/>
      <c r="VLZ58" s="609"/>
      <c r="VMA58" s="609"/>
      <c r="VMB58" s="609"/>
      <c r="VMC58" s="609"/>
      <c r="VMD58" s="609"/>
      <c r="VME58" s="609"/>
      <c r="VMF58" s="609"/>
      <c r="VMG58" s="609"/>
      <c r="VMH58" s="609"/>
      <c r="VMI58" s="609"/>
      <c r="VMJ58" s="609"/>
      <c r="VMK58" s="609"/>
      <c r="VML58" s="609"/>
      <c r="VMM58" s="609"/>
      <c r="VMN58" s="609"/>
      <c r="VMO58" s="609"/>
      <c r="VMP58" s="609"/>
      <c r="VMQ58" s="609"/>
      <c r="VMR58" s="609"/>
      <c r="VMS58" s="609"/>
      <c r="VMT58" s="609"/>
      <c r="VMU58" s="609"/>
      <c r="VMV58" s="609"/>
      <c r="VMW58" s="609"/>
      <c r="VMX58" s="609"/>
      <c r="VMY58" s="609"/>
      <c r="VMZ58" s="609"/>
      <c r="VNA58" s="609"/>
      <c r="VNB58" s="609"/>
      <c r="VNC58" s="609"/>
      <c r="VND58" s="609"/>
      <c r="VNE58" s="609"/>
      <c r="VNF58" s="609"/>
      <c r="VNG58" s="609"/>
      <c r="VNH58" s="609"/>
      <c r="VNI58" s="609"/>
      <c r="VNJ58" s="609"/>
      <c r="VNK58" s="609"/>
      <c r="VNL58" s="609"/>
      <c r="VNM58" s="609"/>
      <c r="VNN58" s="609"/>
      <c r="VNO58" s="609"/>
      <c r="VNP58" s="609"/>
      <c r="VNQ58" s="609"/>
      <c r="VNR58" s="609"/>
      <c r="VNS58" s="609"/>
      <c r="VNT58" s="609"/>
      <c r="VNU58" s="609"/>
      <c r="VNV58" s="609"/>
      <c r="VNW58" s="609"/>
      <c r="VNX58" s="609"/>
      <c r="VNY58" s="609"/>
      <c r="VNZ58" s="609"/>
      <c r="VOA58" s="609"/>
      <c r="VOB58" s="609"/>
      <c r="VOC58" s="609"/>
      <c r="VOD58" s="609"/>
      <c r="VOE58" s="609"/>
      <c r="VOF58" s="609"/>
      <c r="VOG58" s="609"/>
      <c r="VOH58" s="609"/>
      <c r="VOI58" s="609"/>
      <c r="VOJ58" s="609"/>
      <c r="VOK58" s="609"/>
      <c r="VOL58" s="609"/>
      <c r="VOM58" s="609"/>
      <c r="VON58" s="609"/>
      <c r="VOO58" s="609"/>
      <c r="VOP58" s="609"/>
      <c r="VOQ58" s="609"/>
      <c r="VOR58" s="609"/>
      <c r="VOS58" s="609"/>
      <c r="VOT58" s="609"/>
      <c r="VOU58" s="609"/>
      <c r="VOV58" s="609"/>
      <c r="VOW58" s="609"/>
      <c r="VOX58" s="609"/>
      <c r="VOY58" s="609"/>
      <c r="VOZ58" s="609"/>
      <c r="VPA58" s="609"/>
      <c r="VPB58" s="609"/>
      <c r="VPC58" s="609"/>
      <c r="VPD58" s="609"/>
      <c r="VPE58" s="609"/>
      <c r="VPF58" s="609"/>
      <c r="VPG58" s="609"/>
      <c r="VPH58" s="609"/>
      <c r="VPI58" s="609"/>
      <c r="VPJ58" s="609"/>
      <c r="VPK58" s="609"/>
      <c r="VPL58" s="609"/>
      <c r="VPM58" s="609"/>
      <c r="VPN58" s="609"/>
      <c r="VPO58" s="609"/>
      <c r="VPP58" s="609"/>
      <c r="VPQ58" s="609"/>
      <c r="VPR58" s="609"/>
      <c r="VPS58" s="609"/>
      <c r="VPT58" s="609"/>
      <c r="VPU58" s="609"/>
      <c r="VPV58" s="609"/>
      <c r="VPW58" s="609"/>
      <c r="VPX58" s="609"/>
      <c r="VPY58" s="609"/>
      <c r="VPZ58" s="609"/>
      <c r="VQA58" s="609"/>
      <c r="VQB58" s="609"/>
      <c r="VQC58" s="609"/>
      <c r="VQD58" s="609"/>
      <c r="VQE58" s="609"/>
      <c r="VQF58" s="609"/>
      <c r="VQG58" s="609"/>
      <c r="VQH58" s="609"/>
      <c r="VQI58" s="609"/>
      <c r="VQJ58" s="609"/>
      <c r="VQK58" s="609"/>
      <c r="VQL58" s="609"/>
      <c r="VQM58" s="609"/>
      <c r="VQN58" s="609"/>
      <c r="VQO58" s="609"/>
      <c r="VQP58" s="609"/>
      <c r="VQQ58" s="609"/>
      <c r="VQR58" s="609"/>
      <c r="VQS58" s="609"/>
      <c r="VQT58" s="609"/>
      <c r="VQU58" s="609"/>
      <c r="VQV58" s="609"/>
      <c r="VQW58" s="609"/>
      <c r="VQX58" s="609"/>
      <c r="VQY58" s="609"/>
      <c r="VQZ58" s="609"/>
      <c r="VRA58" s="609"/>
      <c r="VRB58" s="609"/>
      <c r="VRC58" s="609"/>
      <c r="VRD58" s="609"/>
      <c r="VRE58" s="609"/>
      <c r="VRF58" s="609"/>
      <c r="VRG58" s="609"/>
      <c r="VRH58" s="609"/>
      <c r="VRI58" s="609"/>
      <c r="VRJ58" s="609"/>
      <c r="VRK58" s="609"/>
      <c r="VRL58" s="609"/>
      <c r="VRM58" s="609"/>
      <c r="VRN58" s="609"/>
      <c r="VRO58" s="609"/>
      <c r="VRP58" s="609"/>
      <c r="VRQ58" s="609"/>
      <c r="VRR58" s="609"/>
      <c r="VRS58" s="609"/>
      <c r="VRT58" s="609"/>
      <c r="VRU58" s="609"/>
      <c r="VRV58" s="609"/>
      <c r="VRW58" s="609"/>
      <c r="VRX58" s="609"/>
      <c r="VRY58" s="609"/>
      <c r="VRZ58" s="609"/>
      <c r="VSA58" s="609"/>
      <c r="VSB58" s="609"/>
      <c r="VSC58" s="609"/>
      <c r="VSD58" s="609"/>
      <c r="VSE58" s="609"/>
      <c r="VSF58" s="609"/>
      <c r="VSG58" s="609"/>
      <c r="VSH58" s="609"/>
      <c r="VSI58" s="609"/>
      <c r="VSJ58" s="609"/>
      <c r="VSK58" s="609"/>
      <c r="VSL58" s="609"/>
      <c r="VSM58" s="609"/>
      <c r="VSN58" s="609"/>
      <c r="VSO58" s="609"/>
      <c r="VSP58" s="609"/>
      <c r="VSQ58" s="609"/>
      <c r="VSR58" s="609"/>
      <c r="VSS58" s="609"/>
      <c r="VST58" s="609"/>
      <c r="VSU58" s="609"/>
      <c r="VSV58" s="609"/>
      <c r="VSW58" s="609"/>
      <c r="VSX58" s="609"/>
      <c r="VSY58" s="609"/>
      <c r="VSZ58" s="609"/>
      <c r="VTA58" s="609"/>
      <c r="VTB58" s="609"/>
      <c r="VTC58" s="609"/>
      <c r="VTD58" s="609"/>
      <c r="VTE58" s="609"/>
      <c r="VTF58" s="609"/>
      <c r="VTG58" s="609"/>
      <c r="VTH58" s="609"/>
      <c r="VTI58" s="609"/>
      <c r="VTJ58" s="609"/>
      <c r="VTK58" s="609"/>
      <c r="VTL58" s="609"/>
      <c r="VTM58" s="609"/>
      <c r="VTN58" s="609"/>
      <c r="VTO58" s="609"/>
      <c r="VTP58" s="609"/>
      <c r="VTQ58" s="609"/>
      <c r="VTR58" s="609"/>
      <c r="VTS58" s="609"/>
      <c r="VTT58" s="609"/>
      <c r="VTU58" s="609"/>
      <c r="VTV58" s="609"/>
      <c r="VTW58" s="609"/>
      <c r="VTX58" s="609"/>
      <c r="VTY58" s="609"/>
      <c r="VTZ58" s="609"/>
      <c r="VUA58" s="609"/>
      <c r="VUB58" s="609"/>
      <c r="VUC58" s="609"/>
      <c r="VUD58" s="609"/>
      <c r="VUE58" s="609"/>
      <c r="VUF58" s="609"/>
      <c r="VUG58" s="609"/>
      <c r="VUH58" s="609"/>
      <c r="VUI58" s="609"/>
      <c r="VUJ58" s="609"/>
      <c r="VUK58" s="609"/>
      <c r="VUL58" s="609"/>
      <c r="VUM58" s="609"/>
      <c r="VUN58" s="609"/>
      <c r="VUO58" s="609"/>
      <c r="VUP58" s="609"/>
      <c r="VUQ58" s="609"/>
      <c r="VUR58" s="609"/>
      <c r="VUS58" s="609"/>
      <c r="VUT58" s="609"/>
      <c r="VUU58" s="609"/>
      <c r="VUV58" s="609"/>
      <c r="VUW58" s="609"/>
      <c r="VUX58" s="609"/>
      <c r="VUY58" s="609"/>
      <c r="VUZ58" s="609"/>
      <c r="VVA58" s="609"/>
      <c r="VVB58" s="609"/>
      <c r="VVC58" s="609"/>
      <c r="VVD58" s="609"/>
      <c r="VVE58" s="609"/>
      <c r="VVF58" s="609"/>
      <c r="VVG58" s="609"/>
      <c r="VVH58" s="609"/>
      <c r="VVI58" s="609"/>
      <c r="VVJ58" s="609"/>
      <c r="VVK58" s="609"/>
      <c r="VVL58" s="609"/>
      <c r="VVM58" s="609"/>
      <c r="VVN58" s="609"/>
      <c r="VVO58" s="609"/>
      <c r="VVP58" s="609"/>
      <c r="VVQ58" s="609"/>
      <c r="VVR58" s="609"/>
      <c r="VVS58" s="609"/>
      <c r="VVT58" s="609"/>
      <c r="VVU58" s="609"/>
      <c r="VVV58" s="609"/>
      <c r="VVW58" s="609"/>
      <c r="VVX58" s="609"/>
      <c r="VVY58" s="609"/>
      <c r="VVZ58" s="609"/>
      <c r="VWA58" s="609"/>
      <c r="VWB58" s="609"/>
      <c r="VWC58" s="609"/>
      <c r="VWD58" s="609"/>
      <c r="VWE58" s="609"/>
      <c r="VWF58" s="609"/>
      <c r="VWG58" s="609"/>
      <c r="VWH58" s="609"/>
      <c r="VWI58" s="609"/>
      <c r="VWJ58" s="609"/>
      <c r="VWK58" s="609"/>
      <c r="VWL58" s="609"/>
      <c r="VWM58" s="609"/>
      <c r="VWN58" s="609"/>
      <c r="VWO58" s="609"/>
      <c r="VWP58" s="609"/>
      <c r="VWQ58" s="609"/>
      <c r="VWR58" s="609"/>
      <c r="VWS58" s="609"/>
      <c r="VWT58" s="609"/>
      <c r="VWU58" s="609"/>
      <c r="VWV58" s="609"/>
      <c r="VWW58" s="609"/>
      <c r="VWX58" s="609"/>
      <c r="VWY58" s="609"/>
      <c r="VWZ58" s="609"/>
      <c r="VXA58" s="609"/>
      <c r="VXB58" s="609"/>
      <c r="VXC58" s="609"/>
      <c r="VXD58" s="609"/>
      <c r="VXE58" s="609"/>
      <c r="VXF58" s="609"/>
      <c r="VXG58" s="609"/>
      <c r="VXH58" s="609"/>
      <c r="VXI58" s="609"/>
      <c r="VXJ58" s="609"/>
      <c r="VXK58" s="609"/>
      <c r="VXL58" s="609"/>
      <c r="VXM58" s="609"/>
      <c r="VXN58" s="609"/>
      <c r="VXO58" s="609"/>
      <c r="VXP58" s="609"/>
      <c r="VXQ58" s="609"/>
      <c r="VXR58" s="609"/>
      <c r="VXS58" s="609"/>
      <c r="VXT58" s="609"/>
      <c r="VXU58" s="609"/>
      <c r="VXV58" s="609"/>
      <c r="VXW58" s="609"/>
      <c r="VXX58" s="609"/>
      <c r="VXY58" s="609"/>
      <c r="VXZ58" s="609"/>
      <c r="VYA58" s="609"/>
      <c r="VYB58" s="609"/>
      <c r="VYC58" s="609"/>
      <c r="VYD58" s="609"/>
      <c r="VYE58" s="609"/>
      <c r="VYF58" s="609"/>
      <c r="VYG58" s="609"/>
      <c r="VYH58" s="609"/>
      <c r="VYI58" s="609"/>
      <c r="VYJ58" s="609"/>
      <c r="VYK58" s="609"/>
      <c r="VYL58" s="609"/>
      <c r="VYM58" s="609"/>
      <c r="VYN58" s="609"/>
      <c r="VYO58" s="609"/>
      <c r="VYP58" s="609"/>
      <c r="VYQ58" s="609"/>
      <c r="VYR58" s="609"/>
      <c r="VYS58" s="609"/>
      <c r="VYT58" s="609"/>
      <c r="VYU58" s="609"/>
      <c r="VYV58" s="609"/>
      <c r="VYW58" s="609"/>
      <c r="VYX58" s="609"/>
      <c r="VYY58" s="609"/>
      <c r="VYZ58" s="609"/>
      <c r="VZA58" s="609"/>
      <c r="VZB58" s="609"/>
      <c r="VZC58" s="609"/>
      <c r="VZD58" s="609"/>
      <c r="VZE58" s="609"/>
      <c r="VZF58" s="609"/>
      <c r="VZG58" s="609"/>
      <c r="VZH58" s="609"/>
      <c r="VZI58" s="609"/>
      <c r="VZJ58" s="609"/>
      <c r="VZK58" s="609"/>
      <c r="VZL58" s="609"/>
      <c r="VZM58" s="609"/>
      <c r="VZN58" s="609"/>
      <c r="VZO58" s="609"/>
      <c r="VZP58" s="609"/>
      <c r="VZQ58" s="609"/>
      <c r="VZR58" s="609"/>
      <c r="VZS58" s="609"/>
      <c r="VZT58" s="609"/>
      <c r="VZU58" s="609"/>
      <c r="VZV58" s="609"/>
      <c r="VZW58" s="609"/>
      <c r="VZX58" s="609"/>
      <c r="VZY58" s="609"/>
      <c r="VZZ58" s="609"/>
      <c r="WAA58" s="609"/>
      <c r="WAB58" s="609"/>
      <c r="WAC58" s="609"/>
      <c r="WAD58" s="609"/>
      <c r="WAE58" s="609"/>
      <c r="WAF58" s="609"/>
      <c r="WAG58" s="609"/>
      <c r="WAH58" s="609"/>
      <c r="WAI58" s="609"/>
      <c r="WAJ58" s="609"/>
      <c r="WAK58" s="609"/>
      <c r="WAL58" s="609"/>
      <c r="WAM58" s="609"/>
      <c r="WAN58" s="609"/>
      <c r="WAO58" s="609"/>
      <c r="WAP58" s="609"/>
      <c r="WAQ58" s="609"/>
      <c r="WAR58" s="609"/>
      <c r="WAS58" s="609"/>
      <c r="WAT58" s="609"/>
      <c r="WAU58" s="609"/>
      <c r="WAV58" s="609"/>
      <c r="WAW58" s="609"/>
      <c r="WAX58" s="609"/>
      <c r="WAY58" s="609"/>
      <c r="WAZ58" s="609"/>
      <c r="WBA58" s="609"/>
      <c r="WBB58" s="609"/>
      <c r="WBC58" s="609"/>
      <c r="WBD58" s="609"/>
      <c r="WBE58" s="609"/>
      <c r="WBF58" s="609"/>
      <c r="WBG58" s="609"/>
      <c r="WBH58" s="609"/>
      <c r="WBI58" s="609"/>
      <c r="WBJ58" s="609"/>
      <c r="WBK58" s="609"/>
      <c r="WBL58" s="609"/>
      <c r="WBM58" s="609"/>
      <c r="WBN58" s="609"/>
      <c r="WBO58" s="609"/>
      <c r="WBP58" s="609"/>
      <c r="WBQ58" s="609"/>
      <c r="WBR58" s="609"/>
      <c r="WBS58" s="609"/>
      <c r="WBT58" s="609"/>
      <c r="WBU58" s="609"/>
      <c r="WBV58" s="609"/>
      <c r="WBW58" s="609"/>
      <c r="WBX58" s="609"/>
      <c r="WBY58" s="609"/>
      <c r="WBZ58" s="609"/>
      <c r="WCA58" s="609"/>
      <c r="WCB58" s="609"/>
      <c r="WCC58" s="609"/>
      <c r="WCD58" s="609"/>
      <c r="WCE58" s="609"/>
      <c r="WCF58" s="609"/>
      <c r="WCG58" s="609"/>
      <c r="WCH58" s="609"/>
      <c r="WCI58" s="609"/>
      <c r="WCJ58" s="609"/>
      <c r="WCK58" s="609"/>
      <c r="WCL58" s="609"/>
      <c r="WCM58" s="609"/>
      <c r="WCN58" s="609"/>
      <c r="WCO58" s="609"/>
      <c r="WCP58" s="609"/>
      <c r="WCQ58" s="609"/>
      <c r="WCR58" s="609"/>
      <c r="WCS58" s="609"/>
      <c r="WCT58" s="609"/>
      <c r="WCU58" s="609"/>
      <c r="WCV58" s="609"/>
      <c r="WCW58" s="609"/>
      <c r="WCX58" s="609"/>
      <c r="WCY58" s="609"/>
      <c r="WCZ58" s="609"/>
      <c r="WDA58" s="609"/>
      <c r="WDB58" s="609"/>
      <c r="WDC58" s="609"/>
      <c r="WDD58" s="609"/>
      <c r="WDE58" s="609"/>
      <c r="WDF58" s="609"/>
      <c r="WDG58" s="609"/>
      <c r="WDH58" s="609"/>
      <c r="WDI58" s="609"/>
      <c r="WDJ58" s="609"/>
      <c r="WDK58" s="609"/>
      <c r="WDL58" s="609"/>
      <c r="WDM58" s="609"/>
      <c r="WDN58" s="609"/>
      <c r="WDO58" s="609"/>
      <c r="WDP58" s="609"/>
      <c r="WDQ58" s="609"/>
      <c r="WDR58" s="609"/>
      <c r="WDS58" s="609"/>
      <c r="WDT58" s="609"/>
      <c r="WDU58" s="609"/>
      <c r="WDV58" s="609"/>
      <c r="WDW58" s="609"/>
      <c r="WDX58" s="609"/>
      <c r="WDY58" s="609"/>
      <c r="WDZ58" s="609"/>
      <c r="WEA58" s="609"/>
      <c r="WEB58" s="609"/>
      <c r="WEC58" s="609"/>
      <c r="WED58" s="609"/>
      <c r="WEE58" s="609"/>
      <c r="WEF58" s="609"/>
      <c r="WEG58" s="609"/>
      <c r="WEH58" s="609"/>
      <c r="WEI58" s="609"/>
      <c r="WEJ58" s="609"/>
      <c r="WEK58" s="609"/>
      <c r="WEL58" s="609"/>
      <c r="WEM58" s="609"/>
      <c r="WEN58" s="609"/>
      <c r="WEO58" s="609"/>
      <c r="WEP58" s="609"/>
      <c r="WEQ58" s="609"/>
      <c r="WER58" s="609"/>
      <c r="WES58" s="609"/>
      <c r="WET58" s="609"/>
      <c r="WEU58" s="609"/>
      <c r="WEV58" s="609"/>
      <c r="WEW58" s="609"/>
      <c r="WEX58" s="609"/>
      <c r="WEY58" s="609"/>
      <c r="WEZ58" s="609"/>
      <c r="WFA58" s="609"/>
      <c r="WFB58" s="609"/>
      <c r="WFC58" s="609"/>
      <c r="WFD58" s="609"/>
      <c r="WFE58" s="609"/>
      <c r="WFF58" s="609"/>
      <c r="WFG58" s="609"/>
      <c r="WFH58" s="609"/>
      <c r="WFI58" s="609"/>
      <c r="WFJ58" s="609"/>
      <c r="WFK58" s="609"/>
      <c r="WFL58" s="609"/>
      <c r="WFM58" s="609"/>
      <c r="WFN58" s="609"/>
      <c r="WFO58" s="609"/>
      <c r="WFP58" s="609"/>
      <c r="WFQ58" s="609"/>
      <c r="WFR58" s="609"/>
      <c r="WFS58" s="609"/>
      <c r="WFT58" s="609"/>
      <c r="WFU58" s="609"/>
      <c r="WFV58" s="609"/>
      <c r="WFW58" s="609"/>
      <c r="WFX58" s="609"/>
      <c r="WFY58" s="609"/>
      <c r="WFZ58" s="609"/>
      <c r="WGA58" s="609"/>
      <c r="WGB58" s="609"/>
      <c r="WGC58" s="609"/>
      <c r="WGD58" s="609"/>
      <c r="WGE58" s="609"/>
      <c r="WGF58" s="609"/>
      <c r="WGG58" s="609"/>
      <c r="WGH58" s="609"/>
      <c r="WGI58" s="609"/>
      <c r="WGJ58" s="609"/>
      <c r="WGK58" s="609"/>
      <c r="WGL58" s="609"/>
      <c r="WGM58" s="609"/>
      <c r="WGN58" s="609"/>
      <c r="WGO58" s="609"/>
      <c r="WGP58" s="609"/>
      <c r="WGQ58" s="609"/>
      <c r="WGR58" s="609"/>
      <c r="WGS58" s="609"/>
      <c r="WGT58" s="609"/>
      <c r="WGU58" s="609"/>
      <c r="WGV58" s="609"/>
      <c r="WGW58" s="609"/>
      <c r="WGX58" s="609"/>
      <c r="WGY58" s="609"/>
      <c r="WGZ58" s="609"/>
      <c r="WHA58" s="609"/>
      <c r="WHB58" s="609"/>
      <c r="WHC58" s="609"/>
      <c r="WHD58" s="609"/>
      <c r="WHE58" s="609"/>
      <c r="WHF58" s="609"/>
      <c r="WHG58" s="609"/>
      <c r="WHH58" s="609"/>
      <c r="WHI58" s="609"/>
      <c r="WHJ58" s="609"/>
      <c r="WHK58" s="609"/>
      <c r="WHL58" s="609"/>
      <c r="WHM58" s="609"/>
      <c r="WHN58" s="609"/>
      <c r="WHO58" s="609"/>
      <c r="WHP58" s="609"/>
      <c r="WHQ58" s="609"/>
      <c r="WHR58" s="609"/>
      <c r="WHS58" s="609"/>
      <c r="WHT58" s="609"/>
      <c r="WHU58" s="609"/>
      <c r="WHV58" s="609"/>
      <c r="WHW58" s="609"/>
      <c r="WHX58" s="609"/>
      <c r="WHY58" s="609"/>
      <c r="WHZ58" s="609"/>
      <c r="WIA58" s="609"/>
      <c r="WIB58" s="609"/>
      <c r="WIC58" s="609"/>
      <c r="WID58" s="609"/>
      <c r="WIE58" s="609"/>
      <c r="WIF58" s="609"/>
      <c r="WIG58" s="609"/>
      <c r="WIH58" s="609"/>
      <c r="WII58" s="609"/>
      <c r="WIJ58" s="609"/>
      <c r="WIK58" s="609"/>
      <c r="WIL58" s="609"/>
      <c r="WIM58" s="609"/>
      <c r="WIN58" s="609"/>
      <c r="WIO58" s="609"/>
      <c r="WIP58" s="609"/>
      <c r="WIQ58" s="609"/>
      <c r="WIR58" s="609"/>
      <c r="WIS58" s="609"/>
      <c r="WIT58" s="609"/>
      <c r="WIU58" s="609"/>
      <c r="WIV58" s="609"/>
      <c r="WIW58" s="609"/>
      <c r="WIX58" s="609"/>
      <c r="WIY58" s="609"/>
      <c r="WIZ58" s="609"/>
      <c r="WJA58" s="609"/>
      <c r="WJB58" s="609"/>
      <c r="WJC58" s="609"/>
      <c r="WJD58" s="609"/>
      <c r="WJE58" s="609"/>
      <c r="WJF58" s="609"/>
      <c r="WJG58" s="609"/>
      <c r="WJH58" s="609"/>
      <c r="WJI58" s="609"/>
      <c r="WJJ58" s="609"/>
      <c r="WJK58" s="609"/>
      <c r="WJL58" s="609"/>
      <c r="WJM58" s="609"/>
      <c r="WJN58" s="609"/>
      <c r="WJO58" s="609"/>
      <c r="WJP58" s="609"/>
      <c r="WJQ58" s="609"/>
      <c r="WJR58" s="609"/>
      <c r="WJS58" s="609"/>
      <c r="WJT58" s="609"/>
      <c r="WJU58" s="609"/>
      <c r="WJV58" s="609"/>
      <c r="WJW58" s="609"/>
      <c r="WJX58" s="609"/>
      <c r="WJY58" s="609"/>
      <c r="WJZ58" s="609"/>
      <c r="WKA58" s="609"/>
      <c r="WKB58" s="609"/>
      <c r="WKC58" s="609"/>
      <c r="WKD58" s="609"/>
      <c r="WKE58" s="609"/>
      <c r="WKF58" s="609"/>
      <c r="WKG58" s="609"/>
      <c r="WKH58" s="609"/>
      <c r="WKI58" s="609"/>
      <c r="WKJ58" s="609"/>
      <c r="WKK58" s="609"/>
      <c r="WKL58" s="609"/>
      <c r="WKM58" s="609"/>
      <c r="WKN58" s="609"/>
      <c r="WKO58" s="609"/>
      <c r="WKP58" s="609"/>
      <c r="WKQ58" s="609"/>
      <c r="WKR58" s="609"/>
      <c r="WKS58" s="609"/>
      <c r="WKT58" s="609"/>
      <c r="WKU58" s="609"/>
      <c r="WKV58" s="609"/>
      <c r="WKW58" s="609"/>
      <c r="WKX58" s="609"/>
      <c r="WKY58" s="609"/>
      <c r="WKZ58" s="609"/>
      <c r="WLA58" s="609"/>
      <c r="WLB58" s="609"/>
      <c r="WLC58" s="609"/>
      <c r="WLD58" s="609"/>
      <c r="WLE58" s="609"/>
      <c r="WLF58" s="609"/>
      <c r="WLG58" s="609"/>
      <c r="WLH58" s="609"/>
      <c r="WLI58" s="609"/>
      <c r="WLJ58" s="609"/>
      <c r="WLK58" s="609"/>
      <c r="WLL58" s="609"/>
      <c r="WLM58" s="609"/>
      <c r="WLN58" s="609"/>
      <c r="WLO58" s="609"/>
      <c r="WLP58" s="609"/>
      <c r="WLQ58" s="609"/>
      <c r="WLR58" s="609"/>
      <c r="WLS58" s="609"/>
      <c r="WLT58" s="609"/>
      <c r="WLU58" s="609"/>
      <c r="WLV58" s="609"/>
      <c r="WLW58" s="609"/>
      <c r="WLX58" s="609"/>
      <c r="WLY58" s="609"/>
      <c r="WLZ58" s="609"/>
      <c r="WMA58" s="609"/>
      <c r="WMB58" s="609"/>
      <c r="WMC58" s="609"/>
      <c r="WMD58" s="609"/>
      <c r="WME58" s="609"/>
      <c r="WMF58" s="609"/>
      <c r="WMG58" s="609"/>
      <c r="WMH58" s="609"/>
      <c r="WMI58" s="609"/>
      <c r="WMJ58" s="609"/>
      <c r="WMK58" s="609"/>
      <c r="WML58" s="609"/>
      <c r="WMM58" s="609"/>
      <c r="WMN58" s="609"/>
      <c r="WMO58" s="609"/>
      <c r="WMP58" s="609"/>
      <c r="WMQ58" s="609"/>
      <c r="WMR58" s="609"/>
      <c r="WMS58" s="609"/>
      <c r="WMT58" s="609"/>
      <c r="WMU58" s="609"/>
      <c r="WMV58" s="609"/>
      <c r="WMW58" s="609"/>
      <c r="WMX58" s="609"/>
      <c r="WMY58" s="609"/>
      <c r="WMZ58" s="609"/>
      <c r="WNA58" s="609"/>
      <c r="WNB58" s="609"/>
      <c r="WNC58" s="609"/>
      <c r="WND58" s="609"/>
      <c r="WNE58" s="609"/>
      <c r="WNF58" s="609"/>
      <c r="WNG58" s="609"/>
      <c r="WNH58" s="609"/>
      <c r="WNI58" s="609"/>
      <c r="WNJ58" s="609"/>
      <c r="WNK58" s="609"/>
      <c r="WNL58" s="609"/>
      <c r="WNM58" s="609"/>
      <c r="WNN58" s="609"/>
      <c r="WNO58" s="609"/>
      <c r="WNP58" s="609"/>
      <c r="WNQ58" s="609"/>
      <c r="WNR58" s="609"/>
      <c r="WNS58" s="609"/>
      <c r="WNT58" s="609"/>
      <c r="WNU58" s="609"/>
      <c r="WNV58" s="609"/>
      <c r="WNW58" s="609"/>
      <c r="WNX58" s="609"/>
      <c r="WNY58" s="609"/>
      <c r="WNZ58" s="609"/>
      <c r="WOA58" s="609"/>
      <c r="WOB58" s="609"/>
      <c r="WOC58" s="609"/>
      <c r="WOD58" s="609"/>
      <c r="WOE58" s="609"/>
      <c r="WOF58" s="609"/>
      <c r="WOG58" s="609"/>
      <c r="WOH58" s="609"/>
      <c r="WOI58" s="609"/>
      <c r="WOJ58" s="609"/>
      <c r="WOK58" s="609"/>
      <c r="WOL58" s="609"/>
      <c r="WOM58" s="609"/>
      <c r="WON58" s="609"/>
      <c r="WOO58" s="609"/>
      <c r="WOP58" s="609"/>
      <c r="WOQ58" s="609"/>
      <c r="WOR58" s="609"/>
      <c r="WOS58" s="609"/>
      <c r="WOT58" s="609"/>
      <c r="WOU58" s="609"/>
      <c r="WOV58" s="609"/>
      <c r="WOW58" s="609"/>
      <c r="WOX58" s="609"/>
      <c r="WOY58" s="609"/>
      <c r="WOZ58" s="609"/>
      <c r="WPA58" s="609"/>
      <c r="WPB58" s="609"/>
      <c r="WPC58" s="609"/>
      <c r="WPD58" s="609"/>
      <c r="WPE58" s="609"/>
      <c r="WPF58" s="609"/>
      <c r="WPG58" s="609"/>
      <c r="WPH58" s="609"/>
      <c r="WPI58" s="609"/>
      <c r="WPJ58" s="609"/>
      <c r="WPK58" s="609"/>
      <c r="WPL58" s="609"/>
      <c r="WPM58" s="609"/>
      <c r="WPN58" s="609"/>
      <c r="WPO58" s="609"/>
      <c r="WPP58" s="609"/>
      <c r="WPQ58" s="609"/>
      <c r="WPR58" s="609"/>
      <c r="WPS58" s="609"/>
      <c r="WPT58" s="609"/>
      <c r="WPU58" s="609"/>
      <c r="WPV58" s="609"/>
      <c r="WPW58" s="609"/>
      <c r="WPX58" s="609"/>
      <c r="WPY58" s="609"/>
      <c r="WPZ58" s="609"/>
      <c r="WQA58" s="609"/>
      <c r="WQB58" s="609"/>
      <c r="WQC58" s="609"/>
      <c r="WQD58" s="609"/>
      <c r="WQE58" s="609"/>
      <c r="WQF58" s="609"/>
      <c r="WQG58" s="609"/>
      <c r="WQH58" s="609"/>
      <c r="WQI58" s="609"/>
      <c r="WQJ58" s="609"/>
      <c r="WQK58" s="609"/>
      <c r="WQL58" s="609"/>
      <c r="WQM58" s="609"/>
      <c r="WQN58" s="609"/>
      <c r="WQO58" s="609"/>
      <c r="WQP58" s="609"/>
      <c r="WQQ58" s="609"/>
      <c r="WQR58" s="609"/>
      <c r="WQS58" s="609"/>
      <c r="WQT58" s="609"/>
      <c r="WQU58" s="609"/>
      <c r="WQV58" s="609"/>
      <c r="WQW58" s="609"/>
      <c r="WQX58" s="609"/>
      <c r="WQY58" s="609"/>
      <c r="WQZ58" s="609"/>
      <c r="WRA58" s="609"/>
      <c r="WRB58" s="609"/>
      <c r="WRC58" s="609"/>
      <c r="WRD58" s="609"/>
      <c r="WRE58" s="609"/>
      <c r="WRF58" s="609"/>
      <c r="WRG58" s="609"/>
      <c r="WRH58" s="609"/>
      <c r="WRI58" s="609"/>
      <c r="WRJ58" s="609"/>
      <c r="WRK58" s="609"/>
      <c r="WRL58" s="609"/>
      <c r="WRM58" s="609"/>
      <c r="WRN58" s="609"/>
      <c r="WRO58" s="609"/>
      <c r="WRP58" s="609"/>
      <c r="WRQ58" s="609"/>
      <c r="WRR58" s="609"/>
      <c r="WRS58" s="609"/>
      <c r="WRT58" s="609"/>
      <c r="WRU58" s="609"/>
      <c r="WRV58" s="609"/>
      <c r="WRW58" s="609"/>
      <c r="WRX58" s="609"/>
      <c r="WRY58" s="609"/>
      <c r="WRZ58" s="609"/>
      <c r="WSA58" s="609"/>
      <c r="WSB58" s="609"/>
      <c r="WSC58" s="609"/>
      <c r="WSD58" s="609"/>
      <c r="WSE58" s="609"/>
      <c r="WSF58" s="609"/>
      <c r="WSG58" s="609"/>
      <c r="WSH58" s="609"/>
      <c r="WSI58" s="609"/>
      <c r="WSJ58" s="609"/>
      <c r="WSK58" s="609"/>
      <c r="WSL58" s="609"/>
      <c r="WSM58" s="609"/>
      <c r="WSN58" s="609"/>
      <c r="WSO58" s="609"/>
      <c r="WSP58" s="609"/>
      <c r="WSQ58" s="609"/>
      <c r="WSR58" s="609"/>
      <c r="WSS58" s="609"/>
      <c r="WST58" s="609"/>
      <c r="WSU58" s="609"/>
      <c r="WSV58" s="609"/>
      <c r="WSW58" s="609"/>
      <c r="WSX58" s="609"/>
      <c r="WSY58" s="609"/>
      <c r="WSZ58" s="609"/>
      <c r="WTA58" s="609"/>
      <c r="WTB58" s="609"/>
      <c r="WTC58" s="609"/>
      <c r="WTD58" s="609"/>
      <c r="WTE58" s="609"/>
      <c r="WTF58" s="609"/>
      <c r="WTG58" s="609"/>
      <c r="WTH58" s="609"/>
      <c r="WTI58" s="609"/>
      <c r="WTJ58" s="609"/>
      <c r="WTK58" s="609"/>
      <c r="WTL58" s="609"/>
      <c r="WTM58" s="609"/>
      <c r="WTN58" s="609"/>
      <c r="WTO58" s="609"/>
      <c r="WTP58" s="609"/>
      <c r="WTQ58" s="609"/>
      <c r="WTR58" s="609"/>
      <c r="WTS58" s="609"/>
      <c r="WTT58" s="609"/>
      <c r="WTU58" s="609"/>
      <c r="WTV58" s="609"/>
      <c r="WTW58" s="609"/>
      <c r="WTX58" s="609"/>
      <c r="WTY58" s="609"/>
      <c r="WTZ58" s="609"/>
      <c r="WUA58" s="609"/>
      <c r="WUB58" s="609"/>
      <c r="WUC58" s="609"/>
      <c r="WUD58" s="609"/>
      <c r="WUE58" s="609"/>
      <c r="WUF58" s="609"/>
      <c r="WUG58" s="609"/>
      <c r="WUH58" s="609"/>
      <c r="WUI58" s="609"/>
      <c r="WUJ58" s="609"/>
      <c r="WUK58" s="609"/>
      <c r="WUL58" s="609"/>
      <c r="WUM58" s="609"/>
      <c r="WUN58" s="609"/>
      <c r="WUO58" s="609"/>
      <c r="WUP58" s="609"/>
      <c r="WUQ58" s="609"/>
      <c r="WUR58" s="609"/>
      <c r="WUS58" s="609"/>
      <c r="WUT58" s="609"/>
      <c r="WUU58" s="609"/>
      <c r="WUV58" s="609"/>
      <c r="WUW58" s="609"/>
      <c r="WUX58" s="609"/>
      <c r="WUY58" s="609"/>
      <c r="WUZ58" s="609"/>
      <c r="WVA58" s="609"/>
      <c r="WVB58" s="609"/>
      <c r="WVC58" s="609"/>
      <c r="WVD58" s="609"/>
      <c r="WVE58" s="609"/>
      <c r="WVF58" s="609"/>
      <c r="WVG58" s="609"/>
      <c r="WVH58" s="609"/>
      <c r="WVI58" s="609"/>
      <c r="WVJ58" s="609"/>
      <c r="WVK58" s="609"/>
      <c r="WVL58" s="609"/>
      <c r="WVM58" s="609"/>
      <c r="WVN58" s="609"/>
      <c r="WVO58" s="609"/>
      <c r="WVP58" s="609"/>
      <c r="WVQ58" s="609"/>
      <c r="WVR58" s="609"/>
      <c r="WVS58" s="609"/>
      <c r="WVT58" s="609"/>
      <c r="WVU58" s="609"/>
      <c r="WVV58" s="609"/>
      <c r="WVW58" s="609"/>
      <c r="WVX58" s="609"/>
      <c r="WVY58" s="609"/>
      <c r="WVZ58" s="609"/>
      <c r="WWA58" s="609"/>
      <c r="WWB58" s="609"/>
      <c r="WWC58" s="609"/>
      <c r="WWD58" s="609"/>
      <c r="WWE58" s="609"/>
      <c r="WWF58" s="609"/>
      <c r="WWG58" s="609"/>
      <c r="WWH58" s="609"/>
      <c r="WWI58" s="609"/>
      <c r="WWJ58" s="609"/>
      <c r="WWK58" s="609"/>
      <c r="WWL58" s="609"/>
      <c r="WWM58" s="609"/>
      <c r="WWN58" s="609"/>
      <c r="WWO58" s="609"/>
      <c r="WWP58" s="609"/>
      <c r="WWQ58" s="609"/>
      <c r="WWR58" s="609"/>
      <c r="WWS58" s="609"/>
      <c r="WWT58" s="609"/>
      <c r="WWU58" s="609"/>
      <c r="WWV58" s="609"/>
      <c r="WWW58" s="609"/>
      <c r="WWX58" s="609"/>
      <c r="WWY58" s="609"/>
      <c r="WWZ58" s="609"/>
      <c r="WXA58" s="609"/>
      <c r="WXB58" s="609"/>
      <c r="WXC58" s="609"/>
      <c r="WXD58" s="609"/>
      <c r="WXE58" s="609"/>
      <c r="WXF58" s="609"/>
      <c r="WXG58" s="609"/>
      <c r="WXH58" s="609"/>
      <c r="WXI58" s="609"/>
      <c r="WXJ58" s="609"/>
      <c r="WXK58" s="609"/>
      <c r="WXL58" s="609"/>
      <c r="WXM58" s="609"/>
      <c r="WXN58" s="609"/>
      <c r="WXO58" s="609"/>
      <c r="WXP58" s="609"/>
      <c r="WXQ58" s="609"/>
      <c r="WXR58" s="609"/>
      <c r="WXS58" s="609"/>
      <c r="WXT58" s="609"/>
      <c r="WXU58" s="609"/>
      <c r="WXV58" s="609"/>
      <c r="WXW58" s="609"/>
      <c r="WXX58" s="609"/>
      <c r="WXY58" s="609"/>
      <c r="WXZ58" s="609"/>
      <c r="WYA58" s="609"/>
      <c r="WYB58" s="609"/>
      <c r="WYC58" s="609"/>
      <c r="WYD58" s="609"/>
      <c r="WYE58" s="609"/>
      <c r="WYF58" s="609"/>
      <c r="WYG58" s="609"/>
      <c r="WYH58" s="609"/>
      <c r="WYI58" s="609"/>
      <c r="WYJ58" s="609"/>
      <c r="WYK58" s="609"/>
      <c r="WYL58" s="609"/>
      <c r="WYM58" s="609"/>
      <c r="WYN58" s="609"/>
      <c r="WYO58" s="609"/>
      <c r="WYP58" s="609"/>
      <c r="WYQ58" s="609"/>
      <c r="WYR58" s="609"/>
      <c r="WYS58" s="609"/>
      <c r="WYT58" s="609"/>
      <c r="WYU58" s="609"/>
      <c r="WYV58" s="609"/>
      <c r="WYW58" s="609"/>
      <c r="WYX58" s="609"/>
      <c r="WYY58" s="609"/>
      <c r="WYZ58" s="609"/>
      <c r="WZA58" s="609"/>
      <c r="WZB58" s="609"/>
      <c r="WZC58" s="609"/>
      <c r="WZD58" s="609"/>
      <c r="WZE58" s="609"/>
      <c r="WZF58" s="609"/>
      <c r="WZG58" s="609"/>
      <c r="WZH58" s="609"/>
      <c r="WZI58" s="609"/>
      <c r="WZJ58" s="609"/>
      <c r="WZK58" s="609"/>
      <c r="WZL58" s="609"/>
      <c r="WZM58" s="609"/>
      <c r="WZN58" s="609"/>
      <c r="WZO58" s="609"/>
      <c r="WZP58" s="609"/>
      <c r="WZQ58" s="609"/>
      <c r="WZR58" s="609"/>
      <c r="WZS58" s="609"/>
      <c r="WZT58" s="609"/>
      <c r="WZU58" s="609"/>
      <c r="WZV58" s="609"/>
      <c r="WZW58" s="609"/>
      <c r="WZX58" s="609"/>
      <c r="WZY58" s="609"/>
      <c r="WZZ58" s="609"/>
      <c r="XAA58" s="609"/>
      <c r="XAB58" s="609"/>
      <c r="XAC58" s="609"/>
      <c r="XAD58" s="609"/>
      <c r="XAE58" s="609"/>
      <c r="XAF58" s="609"/>
      <c r="XAG58" s="609"/>
      <c r="XAH58" s="609"/>
      <c r="XAI58" s="609"/>
      <c r="XAJ58" s="609"/>
      <c r="XAK58" s="609"/>
      <c r="XAL58" s="609"/>
      <c r="XAM58" s="609"/>
      <c r="XAN58" s="609"/>
      <c r="XAO58" s="609"/>
      <c r="XAP58" s="609"/>
      <c r="XAQ58" s="609"/>
      <c r="XAR58" s="609"/>
      <c r="XAS58" s="609"/>
      <c r="XAT58" s="609"/>
      <c r="XAU58" s="609"/>
      <c r="XAV58" s="609"/>
      <c r="XAW58" s="609"/>
      <c r="XAX58" s="609"/>
      <c r="XAY58" s="609"/>
      <c r="XAZ58" s="609"/>
      <c r="XBA58" s="609"/>
      <c r="XBB58" s="609"/>
      <c r="XBC58" s="609"/>
      <c r="XBD58" s="609"/>
      <c r="XBE58" s="609"/>
      <c r="XBF58" s="609"/>
      <c r="XBG58" s="609"/>
      <c r="XBH58" s="609"/>
      <c r="XBI58" s="609"/>
      <c r="XBJ58" s="609"/>
      <c r="XBK58" s="609"/>
      <c r="XBL58" s="609"/>
      <c r="XBM58" s="609"/>
      <c r="XBN58" s="609"/>
      <c r="XBO58" s="609"/>
      <c r="XBP58" s="609"/>
      <c r="XBQ58" s="609"/>
      <c r="XBR58" s="609"/>
      <c r="XBS58" s="609"/>
      <c r="XBT58" s="609"/>
      <c r="XBU58" s="609"/>
      <c r="XBV58" s="609"/>
      <c r="XBW58" s="609"/>
      <c r="XBX58" s="609"/>
      <c r="XBY58" s="609"/>
      <c r="XBZ58" s="609"/>
      <c r="XCA58" s="609"/>
      <c r="XCB58" s="609"/>
      <c r="XCC58" s="609"/>
      <c r="XCD58" s="609"/>
      <c r="XCE58" s="609"/>
      <c r="XCF58" s="609"/>
      <c r="XCG58" s="609"/>
      <c r="XCH58" s="609"/>
      <c r="XCI58" s="609"/>
      <c r="XCJ58" s="609"/>
      <c r="XCK58" s="609"/>
      <c r="XCL58" s="609"/>
      <c r="XCM58" s="609"/>
      <c r="XCN58" s="609"/>
      <c r="XCO58" s="609"/>
      <c r="XCP58" s="609"/>
      <c r="XCQ58" s="609"/>
      <c r="XCR58" s="609"/>
      <c r="XCS58" s="609"/>
      <c r="XCT58" s="609"/>
      <c r="XCU58" s="609"/>
      <c r="XCV58" s="609"/>
      <c r="XCW58" s="609"/>
      <c r="XCX58" s="609"/>
      <c r="XCY58" s="609"/>
      <c r="XCZ58" s="609"/>
      <c r="XDA58" s="609"/>
      <c r="XDB58" s="609"/>
      <c r="XDC58" s="609"/>
      <c r="XDD58" s="609"/>
      <c r="XDE58" s="609"/>
      <c r="XDF58" s="609"/>
      <c r="XDG58" s="609"/>
      <c r="XDH58" s="609"/>
      <c r="XDI58" s="609"/>
      <c r="XDJ58" s="609"/>
      <c r="XDK58" s="609"/>
      <c r="XDL58" s="609"/>
      <c r="XDM58" s="609"/>
      <c r="XDN58" s="609"/>
      <c r="XDO58" s="609"/>
      <c r="XDP58" s="609"/>
      <c r="XDQ58" s="609"/>
      <c r="XDR58" s="609"/>
      <c r="XDS58" s="609"/>
      <c r="XDT58" s="609"/>
      <c r="XDU58" s="609"/>
      <c r="XDV58" s="609"/>
      <c r="XDW58" s="609"/>
      <c r="XDX58" s="609"/>
      <c r="XDY58" s="609"/>
      <c r="XDZ58" s="609"/>
      <c r="XEA58" s="609"/>
      <c r="XEB58" s="609"/>
      <c r="XEC58" s="609"/>
      <c r="XED58" s="609"/>
      <c r="XEE58" s="609"/>
      <c r="XEF58" s="609"/>
      <c r="XEG58" s="609"/>
      <c r="XEH58" s="609"/>
      <c r="XEI58" s="609"/>
      <c r="XEJ58" s="609"/>
      <c r="XEK58" s="609"/>
      <c r="XEL58" s="609"/>
      <c r="XEM58" s="609"/>
      <c r="XEN58" s="609"/>
      <c r="XEO58" s="609"/>
      <c r="XEP58" s="609"/>
      <c r="XEQ58" s="609"/>
      <c r="XER58" s="609"/>
      <c r="XES58" s="609"/>
      <c r="XET58" s="609"/>
      <c r="XEU58" s="609"/>
      <c r="XEV58" s="609"/>
      <c r="XEW58" s="609"/>
      <c r="XEX58" s="609"/>
      <c r="XEY58" s="609"/>
      <c r="XEZ58" s="609"/>
      <c r="XFA58" s="609"/>
    </row>
    <row r="59" spans="1:16381" s="609" customFormat="1" ht="22.5">
      <c r="A59" s="609" t="str">
        <f t="shared" si="0"/>
        <v>Daimler Truck AG v. 01.04.2021</v>
      </c>
      <c r="B59" s="609">
        <f>ROW()</f>
        <v>59</v>
      </c>
      <c r="C59" s="635" t="s">
        <v>1016</v>
      </c>
      <c r="D59" s="1201">
        <v>44287</v>
      </c>
      <c r="E59" s="636" t="s">
        <v>1014</v>
      </c>
      <c r="F59" s="637" t="str">
        <f t="shared" si="5"/>
        <v/>
      </c>
      <c r="G59" s="634" t="str">
        <f t="shared" si="2"/>
        <v>TO ermöglicht: doppelten Kostenabzug;  Verzinsung zwischen EzE und RK geltend machen</v>
      </c>
      <c r="H59"/>
      <c r="I59" s="634" t="s">
        <v>1276</v>
      </c>
      <c r="J59" s="784"/>
      <c r="K59" s="1199"/>
      <c r="L59" s="1199">
        <v>2</v>
      </c>
      <c r="M59" s="1199"/>
      <c r="N59" s="1199">
        <v>4</v>
      </c>
      <c r="O59" s="1029"/>
      <c r="P59" s="144">
        <f t="shared" si="6"/>
        <v>6</v>
      </c>
      <c r="Q59" s="414"/>
      <c r="R59" s="414"/>
      <c r="S59" s="414"/>
      <c r="T59" s="414"/>
      <c r="U59" s="414"/>
      <c r="V59" s="414"/>
      <c r="W59" s="414"/>
      <c r="X59" s="414"/>
      <c r="Y59" s="414"/>
      <c r="Z59" s="414"/>
      <c r="AA59" s="414"/>
      <c r="AB59" s="414"/>
      <c r="AC59" s="414"/>
      <c r="AD59" s="414"/>
      <c r="AE59" s="414"/>
      <c r="AF59" s="414"/>
      <c r="AG59" s="414"/>
      <c r="AH59" s="414"/>
      <c r="AI59" s="414"/>
      <c r="AJ59" s="414"/>
      <c r="AK59" s="414"/>
      <c r="AL59" s="414"/>
      <c r="AM59" s="414"/>
      <c r="AN59" s="414"/>
      <c r="AO59" s="414"/>
      <c r="AP59" s="414"/>
      <c r="AQ59" s="414"/>
      <c r="AR59" s="414"/>
      <c r="AS59" s="414"/>
      <c r="AT59" s="414"/>
      <c r="AU59" s="414"/>
      <c r="AV59" s="414"/>
      <c r="AW59" s="414"/>
      <c r="AX59" s="414"/>
      <c r="AY59" s="414"/>
      <c r="AZ59" s="414"/>
      <c r="BA59" s="414"/>
      <c r="BB59" s="414"/>
      <c r="BC59" s="414"/>
      <c r="BD59" s="414"/>
      <c r="BE59" s="414"/>
      <c r="BF59" s="414"/>
      <c r="BG59" s="414"/>
      <c r="BH59" s="414"/>
      <c r="BI59" s="414"/>
      <c r="BJ59" s="414"/>
      <c r="BK59" s="414"/>
      <c r="BL59" s="414"/>
      <c r="BM59" s="414"/>
      <c r="BN59" s="414"/>
      <c r="BO59" s="414"/>
      <c r="BP59" s="414"/>
      <c r="BQ59" s="414"/>
      <c r="BR59" s="414"/>
      <c r="BS59" s="414"/>
      <c r="BT59" s="414"/>
      <c r="BU59" s="414"/>
      <c r="BV59" s="414"/>
      <c r="BW59" s="414"/>
      <c r="BX59" s="414"/>
      <c r="BY59" s="414"/>
      <c r="BZ59" s="414"/>
      <c r="CA59" s="414"/>
      <c r="CB59" s="414"/>
      <c r="CC59" s="414"/>
      <c r="CD59" s="414"/>
      <c r="CE59" s="414"/>
      <c r="CF59" s="414"/>
      <c r="CG59" s="414"/>
      <c r="CH59" s="414"/>
      <c r="CI59" s="414"/>
      <c r="CJ59" s="414"/>
      <c r="CK59" s="414"/>
      <c r="CL59" s="414"/>
      <c r="CM59" s="414"/>
      <c r="CN59" s="414"/>
      <c r="CO59" s="414"/>
      <c r="CP59" s="414"/>
      <c r="CQ59" s="414"/>
      <c r="CR59" s="414"/>
      <c r="CS59" s="414"/>
      <c r="CT59" s="414"/>
      <c r="CU59" s="414"/>
      <c r="CV59" s="414"/>
      <c r="CW59" s="414"/>
      <c r="CX59" s="414"/>
      <c r="CY59" s="414"/>
      <c r="CZ59" s="414"/>
      <c r="DA59" s="414"/>
      <c r="DB59" s="414"/>
      <c r="DC59" s="414"/>
      <c r="DD59" s="414"/>
      <c r="DE59" s="414"/>
      <c r="DF59" s="414"/>
      <c r="DG59" s="414"/>
      <c r="DH59" s="414"/>
      <c r="DI59" s="414"/>
      <c r="DJ59" s="414"/>
      <c r="DK59" s="414"/>
      <c r="DL59" s="414"/>
      <c r="DM59" s="414"/>
      <c r="DN59" s="414"/>
      <c r="DO59" s="414"/>
      <c r="DP59" s="414"/>
      <c r="DQ59" s="414"/>
      <c r="DR59" s="414"/>
      <c r="DS59" s="414"/>
      <c r="DT59" s="414"/>
      <c r="DU59" s="414"/>
      <c r="DV59" s="414"/>
      <c r="DW59" s="414"/>
      <c r="DX59" s="414"/>
      <c r="DY59" s="414"/>
      <c r="DZ59" s="414"/>
      <c r="EA59" s="414"/>
      <c r="EB59" s="414"/>
      <c r="EC59" s="414"/>
      <c r="ED59" s="414"/>
      <c r="EE59" s="414"/>
      <c r="EF59" s="414"/>
      <c r="EG59" s="414"/>
      <c r="EH59" s="414"/>
      <c r="EI59" s="414"/>
      <c r="EJ59" s="414"/>
      <c r="EK59" s="414"/>
      <c r="EL59" s="414"/>
      <c r="EM59" s="414"/>
      <c r="EN59" s="414"/>
      <c r="EO59" s="414"/>
      <c r="EP59" s="414"/>
      <c r="EQ59" s="414"/>
      <c r="ER59" s="414"/>
      <c r="ES59" s="414"/>
      <c r="ET59" s="414"/>
      <c r="EU59" s="414"/>
      <c r="EV59" s="414"/>
      <c r="EW59" s="414"/>
      <c r="EX59" s="414"/>
      <c r="EY59" s="414"/>
      <c r="EZ59" s="414"/>
      <c r="FA59" s="414"/>
      <c r="FB59" s="414"/>
      <c r="FC59" s="414"/>
      <c r="FD59" s="414"/>
      <c r="FE59" s="414"/>
      <c r="FF59" s="414"/>
      <c r="FG59" s="414"/>
      <c r="FH59" s="414"/>
      <c r="FI59" s="414"/>
      <c r="FJ59" s="414"/>
      <c r="FK59" s="414"/>
      <c r="FL59" s="414"/>
      <c r="FM59" s="414"/>
      <c r="FN59" s="414"/>
      <c r="FO59" s="414"/>
      <c r="FP59" s="414"/>
      <c r="FQ59" s="414"/>
      <c r="FR59" s="414"/>
      <c r="FS59" s="414"/>
      <c r="FT59" s="414"/>
      <c r="FU59" s="414"/>
      <c r="FV59" s="414"/>
      <c r="FW59" s="414"/>
      <c r="FX59" s="414"/>
      <c r="FY59" s="414"/>
      <c r="FZ59" s="414"/>
      <c r="GA59" s="414"/>
      <c r="GB59" s="414"/>
      <c r="GC59" s="414"/>
      <c r="GD59" s="414"/>
      <c r="GE59" s="414"/>
      <c r="GF59" s="414"/>
      <c r="GG59" s="414"/>
      <c r="GH59" s="414"/>
      <c r="GI59" s="414"/>
      <c r="GJ59" s="414"/>
      <c r="GK59" s="414"/>
      <c r="GL59" s="414"/>
      <c r="GM59" s="414"/>
      <c r="GN59" s="414"/>
      <c r="GO59" s="414"/>
      <c r="GP59" s="414"/>
      <c r="GQ59" s="414"/>
      <c r="GR59" s="414"/>
      <c r="GS59" s="414"/>
      <c r="GT59" s="414"/>
      <c r="GU59" s="414"/>
      <c r="GV59" s="414"/>
      <c r="GW59" s="414"/>
      <c r="GX59" s="414"/>
      <c r="GY59" s="414"/>
      <c r="GZ59" s="414"/>
      <c r="HA59" s="414"/>
      <c r="HB59" s="414"/>
      <c r="HC59" s="414"/>
      <c r="HD59" s="414"/>
      <c r="HE59" s="414"/>
      <c r="HF59" s="414"/>
      <c r="HG59" s="414"/>
      <c r="HH59" s="414"/>
      <c r="HI59" s="414"/>
      <c r="HJ59" s="414"/>
      <c r="HK59" s="414"/>
      <c r="HL59" s="414"/>
      <c r="HM59" s="414"/>
      <c r="HN59" s="414"/>
      <c r="HO59" s="414"/>
      <c r="HP59" s="414"/>
      <c r="HQ59" s="414"/>
      <c r="HR59" s="414"/>
      <c r="HS59" s="414"/>
      <c r="HT59" s="414"/>
      <c r="HU59" s="414"/>
      <c r="HV59" s="414"/>
      <c r="HW59" s="414"/>
      <c r="HX59" s="414"/>
      <c r="HY59" s="414"/>
      <c r="HZ59" s="414"/>
      <c r="IA59" s="414"/>
      <c r="IB59" s="414"/>
      <c r="IC59" s="414"/>
      <c r="ID59" s="414"/>
      <c r="IE59" s="414"/>
      <c r="IF59" s="414"/>
      <c r="IG59" s="414"/>
      <c r="IH59" s="414"/>
      <c r="II59" s="414"/>
      <c r="IJ59" s="414"/>
      <c r="IK59" s="414"/>
      <c r="IL59" s="414"/>
      <c r="IM59" s="414"/>
      <c r="IN59" s="414"/>
      <c r="IO59" s="414"/>
      <c r="IP59" s="414"/>
      <c r="IQ59" s="414"/>
      <c r="IR59" s="414"/>
      <c r="IS59" s="414"/>
      <c r="IT59" s="414"/>
      <c r="IU59" s="414"/>
      <c r="IV59" s="414"/>
      <c r="IW59" s="414"/>
      <c r="IX59" s="414"/>
      <c r="IY59" s="414"/>
      <c r="IZ59" s="414"/>
      <c r="JA59" s="414"/>
      <c r="JB59" s="414"/>
      <c r="JC59" s="414"/>
      <c r="JD59" s="414"/>
      <c r="JE59" s="414"/>
      <c r="JF59" s="414"/>
      <c r="JG59" s="414"/>
      <c r="JH59" s="414"/>
      <c r="JI59" s="414"/>
      <c r="JJ59" s="414"/>
      <c r="JK59" s="414"/>
      <c r="JL59" s="414"/>
      <c r="JM59" s="414"/>
      <c r="JN59" s="414"/>
      <c r="JO59" s="414"/>
      <c r="JP59" s="414"/>
      <c r="JQ59" s="414"/>
      <c r="JR59" s="414"/>
      <c r="JS59" s="414"/>
      <c r="JT59" s="414"/>
      <c r="JU59" s="414"/>
      <c r="JV59" s="414"/>
      <c r="JW59" s="414"/>
      <c r="JX59" s="414"/>
      <c r="JY59" s="414"/>
      <c r="JZ59" s="414"/>
      <c r="KA59" s="414"/>
      <c r="KB59" s="414"/>
      <c r="KC59" s="414"/>
      <c r="KD59" s="414"/>
      <c r="KE59" s="414"/>
      <c r="KF59" s="414"/>
      <c r="KG59" s="414"/>
      <c r="KH59" s="414"/>
      <c r="KI59" s="414"/>
      <c r="KJ59" s="414"/>
      <c r="KK59" s="414"/>
      <c r="KL59" s="414"/>
      <c r="KM59" s="414"/>
      <c r="KN59" s="414"/>
      <c r="KO59" s="414"/>
      <c r="KP59" s="414"/>
      <c r="KQ59" s="414"/>
      <c r="KR59" s="414"/>
      <c r="KS59" s="414"/>
      <c r="KT59" s="414"/>
      <c r="KU59" s="414"/>
      <c r="KV59" s="414"/>
      <c r="KW59" s="414"/>
      <c r="KX59" s="414"/>
      <c r="KY59" s="414"/>
      <c r="KZ59" s="414"/>
      <c r="LA59" s="414"/>
      <c r="LB59" s="414"/>
      <c r="LC59" s="414"/>
      <c r="LD59" s="414"/>
      <c r="LE59" s="414"/>
      <c r="LF59" s="414"/>
      <c r="LG59" s="414"/>
      <c r="LH59" s="414"/>
      <c r="LI59" s="414"/>
      <c r="LJ59" s="414"/>
      <c r="LK59" s="414"/>
      <c r="LL59" s="414"/>
      <c r="LM59" s="414"/>
      <c r="LN59" s="414"/>
      <c r="LO59" s="414"/>
      <c r="LP59" s="414"/>
      <c r="LQ59" s="414"/>
      <c r="LR59" s="414"/>
      <c r="LS59" s="414"/>
      <c r="LT59" s="414"/>
      <c r="LU59" s="414"/>
      <c r="LV59" s="414"/>
      <c r="LW59" s="414"/>
      <c r="LX59" s="414"/>
      <c r="LY59" s="414"/>
      <c r="LZ59" s="414"/>
      <c r="MA59" s="414"/>
      <c r="MB59" s="414"/>
      <c r="MC59" s="414"/>
      <c r="MD59" s="414"/>
      <c r="ME59" s="414"/>
      <c r="MF59" s="414"/>
      <c r="MG59" s="414"/>
      <c r="MH59" s="414"/>
      <c r="MI59" s="414"/>
      <c r="MJ59" s="414"/>
      <c r="MK59" s="414"/>
      <c r="ML59" s="414"/>
      <c r="MM59" s="414"/>
      <c r="MN59" s="414"/>
      <c r="MO59" s="414"/>
      <c r="MP59" s="414"/>
      <c r="MQ59" s="414"/>
      <c r="MR59" s="414"/>
      <c r="MS59" s="414"/>
      <c r="MT59" s="414"/>
      <c r="MU59" s="414"/>
      <c r="MV59" s="414"/>
      <c r="MW59" s="414"/>
      <c r="MX59" s="414"/>
      <c r="MY59" s="414"/>
      <c r="MZ59" s="414"/>
      <c r="NA59" s="414"/>
      <c r="NB59" s="414"/>
      <c r="NC59" s="414"/>
      <c r="ND59" s="414"/>
      <c r="NE59" s="414"/>
      <c r="NF59" s="414"/>
      <c r="NG59" s="414"/>
      <c r="NH59" s="414"/>
      <c r="NI59" s="414"/>
      <c r="NJ59" s="414"/>
      <c r="NK59" s="414"/>
      <c r="NL59" s="414"/>
      <c r="NM59" s="414"/>
      <c r="NN59" s="414"/>
      <c r="NO59" s="414"/>
      <c r="NP59" s="414"/>
      <c r="NQ59" s="414"/>
      <c r="NR59" s="414"/>
      <c r="NS59" s="414"/>
      <c r="NT59" s="414"/>
      <c r="NU59" s="414"/>
      <c r="NV59" s="414"/>
      <c r="NW59" s="414"/>
      <c r="NX59" s="414"/>
      <c r="NY59" s="414"/>
      <c r="NZ59" s="414"/>
      <c r="OA59" s="414"/>
      <c r="OB59" s="414"/>
      <c r="OC59" s="414"/>
      <c r="OD59" s="414"/>
      <c r="OE59" s="414"/>
      <c r="OF59" s="414"/>
      <c r="OG59" s="414"/>
      <c r="OH59" s="414"/>
      <c r="OI59" s="414"/>
      <c r="OJ59" s="414"/>
      <c r="OK59" s="414"/>
      <c r="OL59" s="414"/>
      <c r="OM59" s="414"/>
      <c r="ON59" s="414"/>
      <c r="OO59" s="414"/>
      <c r="OP59" s="414"/>
      <c r="OQ59" s="414"/>
      <c r="OR59" s="414"/>
      <c r="OS59" s="414"/>
      <c r="OT59" s="414"/>
      <c r="OU59" s="414"/>
      <c r="OV59" s="414"/>
      <c r="OW59" s="414"/>
      <c r="OX59" s="414"/>
      <c r="OY59" s="414"/>
      <c r="OZ59" s="414"/>
      <c r="PA59" s="414"/>
      <c r="PB59" s="414"/>
      <c r="PC59" s="414"/>
      <c r="PD59" s="414"/>
      <c r="PE59" s="414"/>
      <c r="PF59" s="414"/>
      <c r="PG59" s="414"/>
      <c r="PH59" s="414"/>
      <c r="PI59" s="414"/>
      <c r="PJ59" s="414"/>
      <c r="PK59" s="414"/>
      <c r="PL59" s="414"/>
      <c r="PM59" s="414"/>
      <c r="PN59" s="414"/>
      <c r="PO59" s="414"/>
      <c r="PP59" s="414"/>
      <c r="PQ59" s="414"/>
      <c r="PR59" s="414"/>
      <c r="PS59" s="414"/>
      <c r="PT59" s="414"/>
      <c r="PU59" s="414"/>
      <c r="PV59" s="414"/>
      <c r="PW59" s="414"/>
      <c r="PX59" s="414"/>
      <c r="PY59" s="414"/>
      <c r="PZ59" s="414"/>
      <c r="QA59" s="414"/>
      <c r="QB59" s="414"/>
      <c r="QC59" s="414"/>
      <c r="QD59" s="414"/>
      <c r="QE59" s="414"/>
      <c r="QF59" s="414"/>
      <c r="QG59" s="414"/>
      <c r="QH59" s="414"/>
      <c r="QI59" s="414"/>
      <c r="QJ59" s="414"/>
      <c r="QK59" s="414"/>
      <c r="QL59" s="414"/>
      <c r="QM59" s="414"/>
      <c r="QN59" s="414"/>
      <c r="QO59" s="414"/>
      <c r="QP59" s="414"/>
      <c r="QQ59" s="414"/>
      <c r="QR59" s="414"/>
      <c r="QS59" s="414"/>
      <c r="QT59" s="414"/>
      <c r="QU59" s="414"/>
      <c r="QV59" s="414"/>
      <c r="QW59" s="414"/>
      <c r="QX59" s="414"/>
      <c r="QY59" s="414"/>
      <c r="QZ59" s="414"/>
      <c r="RA59" s="414"/>
      <c r="RB59" s="414"/>
      <c r="RC59" s="414"/>
      <c r="RD59" s="414"/>
      <c r="RE59" s="414"/>
      <c r="RF59" s="414"/>
      <c r="RG59" s="414"/>
      <c r="RH59" s="414"/>
      <c r="RI59" s="414"/>
      <c r="RJ59" s="414"/>
      <c r="RK59" s="414"/>
      <c r="RL59" s="414"/>
      <c r="RM59" s="414"/>
      <c r="RN59" s="414"/>
      <c r="RO59" s="414"/>
      <c r="RP59" s="414"/>
      <c r="RQ59" s="414"/>
      <c r="RR59" s="414"/>
      <c r="RS59" s="414"/>
      <c r="RT59" s="414"/>
      <c r="RU59" s="414"/>
      <c r="RV59" s="414"/>
      <c r="RW59" s="414"/>
      <c r="RX59" s="414"/>
      <c r="RY59" s="414"/>
      <c r="RZ59" s="414"/>
      <c r="SA59" s="414"/>
      <c r="SB59" s="414"/>
      <c r="SC59" s="414"/>
      <c r="SD59" s="414"/>
      <c r="SE59" s="414"/>
      <c r="SF59" s="414"/>
      <c r="SG59" s="414"/>
      <c r="SH59" s="414"/>
      <c r="SI59" s="414"/>
      <c r="SJ59" s="414"/>
      <c r="SK59" s="414"/>
      <c r="SL59" s="414"/>
      <c r="SM59" s="414"/>
      <c r="SN59" s="414"/>
      <c r="SO59" s="414"/>
      <c r="SP59" s="414"/>
      <c r="SQ59" s="414"/>
      <c r="SR59" s="414"/>
      <c r="SS59" s="414"/>
      <c r="ST59" s="414"/>
      <c r="SU59" s="414"/>
      <c r="SV59" s="414"/>
      <c r="SW59" s="414"/>
      <c r="SX59" s="414"/>
      <c r="SY59" s="414"/>
      <c r="SZ59" s="414"/>
      <c r="TA59" s="414"/>
      <c r="TB59" s="414"/>
      <c r="TC59" s="414"/>
      <c r="TD59" s="414"/>
      <c r="TE59" s="414"/>
      <c r="TF59" s="414"/>
      <c r="TG59" s="414"/>
      <c r="TH59" s="414"/>
      <c r="TI59" s="414"/>
      <c r="TJ59" s="414"/>
      <c r="TK59" s="414"/>
      <c r="TL59" s="414"/>
      <c r="TM59" s="414"/>
      <c r="TN59" s="414"/>
      <c r="TO59" s="414"/>
      <c r="TP59" s="414"/>
      <c r="TQ59" s="414"/>
      <c r="TR59" s="414"/>
      <c r="TS59" s="414"/>
      <c r="TT59" s="414"/>
      <c r="TU59" s="414"/>
      <c r="TV59" s="414"/>
      <c r="TW59" s="414"/>
      <c r="TX59" s="414"/>
      <c r="TY59" s="414"/>
      <c r="TZ59" s="414"/>
      <c r="UA59" s="414"/>
      <c r="UB59" s="414"/>
      <c r="UC59" s="414"/>
      <c r="UD59" s="414"/>
      <c r="UE59" s="414"/>
      <c r="UF59" s="414"/>
      <c r="UG59" s="414"/>
      <c r="UH59" s="414"/>
      <c r="UI59" s="414"/>
      <c r="UJ59" s="414"/>
      <c r="UK59" s="414"/>
      <c r="UL59" s="414"/>
      <c r="UM59" s="414"/>
      <c r="UN59" s="414"/>
      <c r="UO59" s="414"/>
      <c r="UP59" s="414"/>
      <c r="UQ59" s="414"/>
      <c r="UR59" s="414"/>
      <c r="US59" s="414"/>
      <c r="UT59" s="414"/>
      <c r="UU59" s="414"/>
      <c r="UV59" s="414"/>
      <c r="UW59" s="414"/>
      <c r="UX59" s="414"/>
      <c r="UY59" s="414"/>
      <c r="UZ59" s="414"/>
      <c r="VA59" s="414"/>
      <c r="VB59" s="414"/>
      <c r="VC59" s="414"/>
      <c r="VD59" s="414"/>
      <c r="VE59" s="414"/>
      <c r="VF59" s="414"/>
      <c r="VG59" s="414"/>
      <c r="VH59" s="414"/>
      <c r="VI59" s="414"/>
      <c r="VJ59" s="414"/>
      <c r="VK59" s="414"/>
      <c r="VL59" s="414"/>
      <c r="VM59" s="414"/>
      <c r="VN59" s="414"/>
      <c r="VO59" s="414"/>
      <c r="VP59" s="414"/>
      <c r="VQ59" s="414"/>
      <c r="VR59" s="414"/>
      <c r="VS59" s="414"/>
      <c r="VT59" s="414"/>
      <c r="VU59" s="414"/>
      <c r="VV59" s="414"/>
      <c r="VW59" s="414"/>
      <c r="VX59" s="414"/>
      <c r="VY59" s="414"/>
      <c r="VZ59" s="414"/>
      <c r="WA59" s="414"/>
      <c r="WB59" s="414"/>
      <c r="WC59" s="414"/>
      <c r="WD59" s="414"/>
      <c r="WE59" s="414"/>
      <c r="WF59" s="414"/>
      <c r="WG59" s="414"/>
      <c r="WH59" s="414"/>
      <c r="WI59" s="414"/>
      <c r="WJ59" s="414"/>
      <c r="WK59" s="414"/>
      <c r="WL59" s="414"/>
      <c r="WM59" s="414"/>
      <c r="WN59" s="414"/>
      <c r="WO59" s="414"/>
      <c r="WP59" s="414"/>
      <c r="WQ59" s="414"/>
      <c r="WR59" s="414"/>
      <c r="WS59" s="414"/>
      <c r="WT59" s="414"/>
      <c r="WU59" s="414"/>
      <c r="WV59" s="414"/>
      <c r="WW59" s="414"/>
      <c r="WX59" s="414"/>
      <c r="WY59" s="414"/>
      <c r="WZ59" s="414"/>
      <c r="XA59" s="414"/>
      <c r="XB59" s="414"/>
      <c r="XC59" s="414"/>
      <c r="XD59" s="414"/>
      <c r="XE59" s="414"/>
      <c r="XF59" s="414"/>
      <c r="XG59" s="414"/>
      <c r="XH59" s="414"/>
      <c r="XI59" s="414"/>
      <c r="XJ59" s="414"/>
      <c r="XK59" s="414"/>
      <c r="XL59" s="414"/>
      <c r="XM59" s="414"/>
      <c r="XN59" s="414"/>
      <c r="XO59" s="414"/>
      <c r="XP59" s="414"/>
      <c r="XQ59" s="414"/>
      <c r="XR59" s="414"/>
      <c r="XS59" s="414"/>
      <c r="XT59" s="414"/>
      <c r="XU59" s="414"/>
      <c r="XV59" s="414"/>
      <c r="XW59" s="414"/>
      <c r="XX59" s="414"/>
      <c r="XY59" s="414"/>
      <c r="XZ59" s="414"/>
      <c r="YA59" s="414"/>
      <c r="YB59" s="414"/>
      <c r="YC59" s="414"/>
      <c r="YD59" s="414"/>
      <c r="YE59" s="414"/>
      <c r="YF59" s="414"/>
      <c r="YG59" s="414"/>
      <c r="YH59" s="414"/>
      <c r="YI59" s="414"/>
      <c r="YJ59" s="414"/>
      <c r="YK59" s="414"/>
      <c r="YL59" s="414"/>
      <c r="YM59" s="414"/>
      <c r="YN59" s="414"/>
      <c r="YO59" s="414"/>
      <c r="YP59" s="414"/>
      <c r="YQ59" s="414"/>
      <c r="YR59" s="414"/>
      <c r="YS59" s="414"/>
      <c r="YT59" s="414"/>
      <c r="YU59" s="414"/>
      <c r="YV59" s="414"/>
      <c r="YW59" s="414"/>
      <c r="YX59" s="414"/>
      <c r="YY59" s="414"/>
      <c r="YZ59" s="414"/>
      <c r="ZA59" s="414"/>
      <c r="ZB59" s="414"/>
      <c r="ZC59" s="414"/>
      <c r="ZD59" s="414"/>
      <c r="ZE59" s="414"/>
      <c r="ZF59" s="414"/>
      <c r="ZG59" s="414"/>
      <c r="ZH59" s="414"/>
      <c r="ZI59" s="414"/>
      <c r="ZJ59" s="414"/>
      <c r="ZK59" s="414"/>
      <c r="ZL59" s="414"/>
      <c r="ZM59" s="414"/>
      <c r="ZN59" s="414"/>
      <c r="ZO59" s="414"/>
      <c r="ZP59" s="414"/>
      <c r="ZQ59" s="414"/>
      <c r="ZR59" s="414"/>
      <c r="ZS59" s="414"/>
      <c r="ZT59" s="414"/>
      <c r="ZU59" s="414"/>
      <c r="ZV59" s="414"/>
      <c r="ZW59" s="414"/>
      <c r="ZX59" s="414"/>
      <c r="ZY59" s="414"/>
      <c r="ZZ59" s="414"/>
      <c r="AAA59" s="414"/>
      <c r="AAB59" s="414"/>
      <c r="AAC59" s="414"/>
      <c r="AAD59" s="414"/>
      <c r="AAE59" s="414"/>
      <c r="AAF59" s="414"/>
      <c r="AAG59" s="414"/>
      <c r="AAH59" s="414"/>
      <c r="AAI59" s="414"/>
      <c r="AAJ59" s="414"/>
      <c r="AAK59" s="414"/>
      <c r="AAL59" s="414"/>
      <c r="AAM59" s="414"/>
      <c r="AAN59" s="414"/>
      <c r="AAO59" s="414"/>
      <c r="AAP59" s="414"/>
      <c r="AAQ59" s="414"/>
      <c r="AAR59" s="414"/>
      <c r="AAS59" s="414"/>
      <c r="AAT59" s="414"/>
      <c r="AAU59" s="414"/>
      <c r="AAV59" s="414"/>
      <c r="AAW59" s="414"/>
      <c r="AAX59" s="414"/>
      <c r="AAY59" s="414"/>
      <c r="AAZ59" s="414"/>
      <c r="ABA59" s="414"/>
      <c r="ABB59" s="414"/>
      <c r="ABC59" s="414"/>
      <c r="ABD59" s="414"/>
      <c r="ABE59" s="414"/>
      <c r="ABF59" s="414"/>
      <c r="ABG59" s="414"/>
      <c r="ABH59" s="414"/>
      <c r="ABI59" s="414"/>
      <c r="ABJ59" s="414"/>
      <c r="ABK59" s="414"/>
      <c r="ABL59" s="414"/>
      <c r="ABM59" s="414"/>
      <c r="ABN59" s="414"/>
      <c r="ABO59" s="414"/>
      <c r="ABP59" s="414"/>
      <c r="ABQ59" s="414"/>
      <c r="ABR59" s="414"/>
      <c r="ABS59" s="414"/>
      <c r="ABT59" s="414"/>
      <c r="ABU59" s="414"/>
      <c r="ABV59" s="414"/>
      <c r="ABW59" s="414"/>
      <c r="ABX59" s="414"/>
      <c r="ABY59" s="414"/>
      <c r="ABZ59" s="414"/>
      <c r="ACA59" s="414"/>
      <c r="ACB59" s="414"/>
      <c r="ACC59" s="414"/>
      <c r="ACD59" s="414"/>
      <c r="ACE59" s="414"/>
      <c r="ACF59" s="414"/>
      <c r="ACG59" s="414"/>
      <c r="ACH59" s="414"/>
      <c r="ACI59" s="414"/>
      <c r="ACJ59" s="414"/>
      <c r="ACK59" s="414"/>
      <c r="ACL59" s="414"/>
      <c r="ACM59" s="414"/>
      <c r="ACN59" s="414"/>
      <c r="ACO59" s="414"/>
      <c r="ACP59" s="414"/>
      <c r="ACQ59" s="414"/>
      <c r="ACR59" s="414"/>
      <c r="ACS59" s="414"/>
      <c r="ACT59" s="414"/>
      <c r="ACU59" s="414"/>
      <c r="ACV59" s="414"/>
      <c r="ACW59" s="414"/>
      <c r="ACX59" s="414"/>
      <c r="ACY59" s="414"/>
      <c r="ACZ59" s="414"/>
      <c r="ADA59" s="414"/>
      <c r="ADB59" s="414"/>
      <c r="ADC59" s="414"/>
      <c r="ADD59" s="414"/>
      <c r="ADE59" s="414"/>
      <c r="ADF59" s="414"/>
      <c r="ADG59" s="414"/>
      <c r="ADH59" s="414"/>
      <c r="ADI59" s="414"/>
      <c r="ADJ59" s="414"/>
      <c r="ADK59" s="414"/>
      <c r="ADL59" s="414"/>
      <c r="ADM59" s="414"/>
      <c r="ADN59" s="414"/>
      <c r="ADO59" s="414"/>
      <c r="ADP59" s="414"/>
      <c r="ADQ59" s="414"/>
      <c r="ADR59" s="414"/>
      <c r="ADS59" s="414"/>
      <c r="ADT59" s="414"/>
      <c r="ADU59" s="414"/>
      <c r="ADV59" s="414"/>
      <c r="ADW59" s="414"/>
      <c r="ADX59" s="414"/>
      <c r="ADY59" s="414"/>
      <c r="ADZ59" s="414"/>
      <c r="AEA59" s="414"/>
      <c r="AEB59" s="414"/>
      <c r="AEC59" s="414"/>
      <c r="AED59" s="414"/>
      <c r="AEE59" s="414"/>
      <c r="AEF59" s="414"/>
      <c r="AEG59" s="414"/>
      <c r="AEH59" s="414"/>
      <c r="AEI59" s="414"/>
      <c r="AEJ59" s="414"/>
      <c r="AEK59" s="414"/>
      <c r="AEL59" s="414"/>
      <c r="AEM59" s="414"/>
      <c r="AEN59" s="414"/>
      <c r="AEO59" s="414"/>
      <c r="AEP59" s="414"/>
      <c r="AEQ59" s="414"/>
      <c r="AER59" s="414"/>
      <c r="AES59" s="414"/>
      <c r="AET59" s="414"/>
      <c r="AEU59" s="414"/>
      <c r="AEV59" s="414"/>
      <c r="AEW59" s="414"/>
      <c r="AEX59" s="414"/>
      <c r="AEY59" s="414"/>
      <c r="AEZ59" s="414"/>
      <c r="AFA59" s="414"/>
      <c r="AFB59" s="414"/>
      <c r="AFC59" s="414"/>
      <c r="AFD59" s="414"/>
      <c r="AFE59" s="414"/>
      <c r="AFF59" s="414"/>
      <c r="AFG59" s="414"/>
      <c r="AFH59" s="414"/>
      <c r="AFI59" s="414"/>
      <c r="AFJ59" s="414"/>
      <c r="AFK59" s="414"/>
      <c r="AFL59" s="414"/>
      <c r="AFM59" s="414"/>
      <c r="AFN59" s="414"/>
      <c r="AFO59" s="414"/>
      <c r="AFP59" s="414"/>
      <c r="AFQ59" s="414"/>
      <c r="AFR59" s="414"/>
      <c r="AFS59" s="414"/>
      <c r="AFT59" s="414"/>
      <c r="AFU59" s="414"/>
      <c r="AFV59" s="414"/>
      <c r="AFW59" s="414"/>
      <c r="AFX59" s="414"/>
      <c r="AFY59" s="414"/>
      <c r="AFZ59" s="414"/>
      <c r="AGA59" s="414"/>
      <c r="AGB59" s="414"/>
      <c r="AGC59" s="414"/>
      <c r="AGD59" s="414"/>
      <c r="AGE59" s="414"/>
      <c r="AGF59" s="414"/>
      <c r="AGG59" s="414"/>
      <c r="AGH59" s="414"/>
      <c r="AGI59" s="414"/>
      <c r="AGJ59" s="414"/>
      <c r="AGK59" s="414"/>
      <c r="AGL59" s="414"/>
      <c r="AGM59" s="414"/>
      <c r="AGN59" s="414"/>
      <c r="AGO59" s="414"/>
      <c r="AGP59" s="414"/>
      <c r="AGQ59" s="414"/>
      <c r="AGR59" s="414"/>
      <c r="AGS59" s="414"/>
      <c r="AGT59" s="414"/>
      <c r="AGU59" s="414"/>
      <c r="AGV59" s="414"/>
      <c r="AGW59" s="414"/>
      <c r="AGX59" s="414"/>
      <c r="AGY59" s="414"/>
      <c r="AGZ59" s="414"/>
      <c r="AHA59" s="414"/>
      <c r="AHB59" s="414"/>
      <c r="AHC59" s="414"/>
      <c r="AHD59" s="414"/>
      <c r="AHE59" s="414"/>
      <c r="AHF59" s="414"/>
      <c r="AHG59" s="414"/>
      <c r="AHH59" s="414"/>
      <c r="AHI59" s="414"/>
      <c r="AHJ59" s="414"/>
      <c r="AHK59" s="414"/>
      <c r="AHL59" s="414"/>
      <c r="AHM59" s="414"/>
      <c r="AHN59" s="414"/>
      <c r="AHO59" s="414"/>
      <c r="AHP59" s="414"/>
      <c r="AHQ59" s="414"/>
      <c r="AHR59" s="414"/>
      <c r="AHS59" s="414"/>
      <c r="AHT59" s="414"/>
      <c r="AHU59" s="414"/>
      <c r="AHV59" s="414"/>
      <c r="AHW59" s="414"/>
      <c r="AHX59" s="414"/>
      <c r="AHY59" s="414"/>
      <c r="AHZ59" s="414"/>
      <c r="AIA59" s="414"/>
      <c r="AIB59" s="414"/>
      <c r="AIC59" s="414"/>
      <c r="AID59" s="414"/>
      <c r="AIE59" s="414"/>
      <c r="AIF59" s="414"/>
      <c r="AIG59" s="414"/>
      <c r="AIH59" s="414"/>
      <c r="AII59" s="414"/>
      <c r="AIJ59" s="414"/>
      <c r="AIK59" s="414"/>
      <c r="AIL59" s="414"/>
      <c r="AIM59" s="414"/>
      <c r="AIN59" s="414"/>
      <c r="AIO59" s="414"/>
      <c r="AIP59" s="414"/>
      <c r="AIQ59" s="414"/>
      <c r="AIR59" s="414"/>
      <c r="AIS59" s="414"/>
      <c r="AIT59" s="414"/>
      <c r="AIU59" s="414"/>
      <c r="AIV59" s="414"/>
      <c r="AIW59" s="414"/>
      <c r="AIX59" s="414"/>
      <c r="AIY59" s="414"/>
      <c r="AIZ59" s="414"/>
      <c r="AJA59" s="414"/>
      <c r="AJB59" s="414"/>
      <c r="AJC59" s="414"/>
      <c r="AJD59" s="414"/>
      <c r="AJE59" s="414"/>
      <c r="AJF59" s="414"/>
      <c r="AJG59" s="414"/>
      <c r="AJH59" s="414"/>
      <c r="AJI59" s="414"/>
      <c r="AJJ59" s="414"/>
      <c r="AJK59" s="414"/>
      <c r="AJL59" s="414"/>
      <c r="AJM59" s="414"/>
      <c r="AJN59" s="414"/>
      <c r="AJO59" s="414"/>
      <c r="AJP59" s="414"/>
      <c r="AJQ59" s="414"/>
      <c r="AJR59" s="414"/>
      <c r="AJS59" s="414"/>
      <c r="AJT59" s="414"/>
      <c r="AJU59" s="414"/>
      <c r="AJV59" s="414"/>
      <c r="AJW59" s="414"/>
      <c r="AJX59" s="414"/>
      <c r="AJY59" s="414"/>
      <c r="AJZ59" s="414"/>
      <c r="AKA59" s="414"/>
      <c r="AKB59" s="414"/>
      <c r="AKC59" s="414"/>
      <c r="AKD59" s="414"/>
      <c r="AKE59" s="414"/>
      <c r="AKF59" s="414"/>
      <c r="AKG59" s="414"/>
      <c r="AKH59" s="414"/>
      <c r="AKI59" s="414"/>
      <c r="AKJ59" s="414"/>
      <c r="AKK59" s="414"/>
      <c r="AKL59" s="414"/>
      <c r="AKM59" s="414"/>
      <c r="AKN59" s="414"/>
      <c r="AKO59" s="414"/>
      <c r="AKP59" s="414"/>
      <c r="AKQ59" s="414"/>
      <c r="AKR59" s="414"/>
      <c r="AKS59" s="414"/>
      <c r="AKT59" s="414"/>
      <c r="AKU59" s="414"/>
      <c r="AKV59" s="414"/>
      <c r="AKW59" s="414"/>
      <c r="AKX59" s="414"/>
      <c r="AKY59" s="414"/>
      <c r="AKZ59" s="414"/>
      <c r="ALA59" s="414"/>
      <c r="ALB59" s="414"/>
      <c r="ALC59" s="414"/>
      <c r="ALD59" s="414"/>
      <c r="ALE59" s="414"/>
      <c r="ALF59" s="414"/>
      <c r="ALG59" s="414"/>
      <c r="ALH59" s="414"/>
      <c r="ALI59" s="414"/>
      <c r="ALJ59" s="414"/>
      <c r="ALK59" s="414"/>
      <c r="ALL59" s="414"/>
      <c r="ALM59" s="414"/>
      <c r="ALN59" s="414"/>
      <c r="ALO59" s="414"/>
      <c r="ALP59" s="414"/>
      <c r="ALQ59" s="414"/>
      <c r="ALR59" s="414"/>
      <c r="ALS59" s="414"/>
      <c r="ALT59" s="414"/>
      <c r="ALU59" s="414"/>
      <c r="ALV59" s="414"/>
      <c r="ALW59" s="414"/>
      <c r="ALX59" s="414"/>
      <c r="ALY59" s="414"/>
      <c r="ALZ59" s="414"/>
      <c r="AMA59" s="414"/>
      <c r="AMB59" s="414"/>
      <c r="AMC59" s="414"/>
      <c r="AMD59" s="414"/>
      <c r="AME59" s="414"/>
      <c r="AMF59" s="414"/>
      <c r="AMG59" s="414"/>
      <c r="AMH59" s="414"/>
      <c r="AMI59" s="414"/>
      <c r="AMJ59" s="414"/>
      <c r="AMK59" s="414"/>
      <c r="AML59" s="414"/>
      <c r="AMM59" s="414"/>
      <c r="AMN59" s="414"/>
      <c r="AMO59" s="414"/>
      <c r="AMP59" s="414"/>
      <c r="AMQ59" s="414"/>
      <c r="AMR59" s="414"/>
      <c r="AMS59" s="414"/>
      <c r="AMT59" s="414"/>
      <c r="AMU59" s="414"/>
      <c r="AMV59" s="414"/>
      <c r="AMW59" s="414"/>
      <c r="AMX59" s="414"/>
      <c r="AMY59" s="414"/>
      <c r="AMZ59" s="414"/>
      <c r="ANA59" s="414"/>
      <c r="ANB59" s="414"/>
      <c r="ANC59" s="414"/>
      <c r="AND59" s="414"/>
      <c r="ANE59" s="414"/>
      <c r="ANF59" s="414"/>
      <c r="ANG59" s="414"/>
      <c r="ANH59" s="414"/>
      <c r="ANI59" s="414"/>
      <c r="ANJ59" s="414"/>
      <c r="ANK59" s="414"/>
      <c r="ANL59" s="414"/>
      <c r="ANM59" s="414"/>
      <c r="ANN59" s="414"/>
      <c r="ANO59" s="414"/>
      <c r="ANP59" s="414"/>
      <c r="ANQ59" s="414"/>
      <c r="ANR59" s="414"/>
      <c r="ANS59" s="414"/>
      <c r="ANT59" s="414"/>
      <c r="ANU59" s="414"/>
      <c r="ANV59" s="414"/>
      <c r="ANW59" s="414"/>
      <c r="ANX59" s="414"/>
      <c r="ANY59" s="414"/>
      <c r="ANZ59" s="414"/>
      <c r="AOA59" s="414"/>
      <c r="AOB59" s="414"/>
      <c r="AOC59" s="414"/>
      <c r="AOD59" s="414"/>
      <c r="AOE59" s="414"/>
      <c r="AOF59" s="414"/>
      <c r="AOG59" s="414"/>
      <c r="AOH59" s="414"/>
      <c r="AOI59" s="414"/>
      <c r="AOJ59" s="414"/>
      <c r="AOK59" s="414"/>
      <c r="AOL59" s="414"/>
      <c r="AOM59" s="414"/>
      <c r="AON59" s="414"/>
      <c r="AOO59" s="414"/>
      <c r="AOP59" s="414"/>
      <c r="AOQ59" s="414"/>
      <c r="AOR59" s="414"/>
      <c r="AOS59" s="414"/>
      <c r="AOT59" s="414"/>
      <c r="AOU59" s="414"/>
      <c r="AOV59" s="414"/>
      <c r="AOW59" s="414"/>
      <c r="AOX59" s="414"/>
      <c r="AOY59" s="414"/>
      <c r="AOZ59" s="414"/>
      <c r="APA59" s="414"/>
      <c r="APB59" s="414"/>
      <c r="APC59" s="414"/>
      <c r="APD59" s="414"/>
      <c r="APE59" s="414"/>
      <c r="APF59" s="414"/>
      <c r="APG59" s="414"/>
      <c r="APH59" s="414"/>
      <c r="API59" s="414"/>
      <c r="APJ59" s="414"/>
      <c r="APK59" s="414"/>
      <c r="APL59" s="414"/>
      <c r="APM59" s="414"/>
      <c r="APN59" s="414"/>
      <c r="APO59" s="414"/>
      <c r="APP59" s="414"/>
      <c r="APQ59" s="414"/>
      <c r="APR59" s="414"/>
      <c r="APS59" s="414"/>
      <c r="APT59" s="414"/>
      <c r="APU59" s="414"/>
      <c r="APV59" s="414"/>
      <c r="APW59" s="414"/>
      <c r="APX59" s="414"/>
      <c r="APY59" s="414"/>
      <c r="APZ59" s="414"/>
      <c r="AQA59" s="414"/>
      <c r="AQB59" s="414"/>
      <c r="AQC59" s="414"/>
      <c r="AQD59" s="414"/>
      <c r="AQE59" s="414"/>
      <c r="AQF59" s="414"/>
      <c r="AQG59" s="414"/>
      <c r="AQH59" s="414"/>
      <c r="AQI59" s="414"/>
      <c r="AQJ59" s="414"/>
      <c r="AQK59" s="414"/>
      <c r="AQL59" s="414"/>
      <c r="AQM59" s="414"/>
      <c r="AQN59" s="414"/>
      <c r="AQO59" s="414"/>
      <c r="AQP59" s="414"/>
      <c r="AQQ59" s="414"/>
      <c r="AQR59" s="414"/>
      <c r="AQS59" s="414"/>
      <c r="AQT59" s="414"/>
      <c r="AQU59" s="414"/>
      <c r="AQV59" s="414"/>
      <c r="AQW59" s="414"/>
      <c r="AQX59" s="414"/>
      <c r="AQY59" s="414"/>
      <c r="AQZ59" s="414"/>
      <c r="ARA59" s="414"/>
      <c r="ARB59" s="414"/>
      <c r="ARC59" s="414"/>
      <c r="ARD59" s="414"/>
      <c r="ARE59" s="414"/>
      <c r="ARF59" s="414"/>
      <c r="ARG59" s="414"/>
      <c r="ARH59" s="414"/>
      <c r="ARI59" s="414"/>
      <c r="ARJ59" s="414"/>
      <c r="ARK59" s="414"/>
      <c r="ARL59" s="414"/>
      <c r="ARM59" s="414"/>
      <c r="ARN59" s="414"/>
      <c r="ARO59" s="414"/>
      <c r="ARP59" s="414"/>
      <c r="ARQ59" s="414"/>
      <c r="ARR59" s="414"/>
      <c r="ARS59" s="414"/>
      <c r="ART59" s="414"/>
      <c r="ARU59" s="414"/>
      <c r="ARV59" s="414"/>
      <c r="ARW59" s="414"/>
      <c r="ARX59" s="414"/>
      <c r="ARY59" s="414"/>
      <c r="ARZ59" s="414"/>
      <c r="ASA59" s="414"/>
      <c r="ASB59" s="414"/>
      <c r="ASC59" s="414"/>
      <c r="ASD59" s="414"/>
      <c r="ASE59" s="414"/>
      <c r="ASF59" s="414"/>
      <c r="ASG59" s="414"/>
      <c r="ASH59" s="414"/>
      <c r="ASI59" s="414"/>
      <c r="ASJ59" s="414"/>
      <c r="ASK59" s="414"/>
      <c r="ASL59" s="414"/>
      <c r="ASM59" s="414"/>
      <c r="ASN59" s="414"/>
      <c r="ASO59" s="414"/>
      <c r="ASP59" s="414"/>
      <c r="ASQ59" s="414"/>
      <c r="ASR59" s="414"/>
      <c r="ASS59" s="414"/>
      <c r="AST59" s="414"/>
      <c r="ASU59" s="414"/>
      <c r="ASV59" s="414"/>
      <c r="ASW59" s="414"/>
      <c r="ASX59" s="414"/>
      <c r="ASY59" s="414"/>
      <c r="ASZ59" s="414"/>
      <c r="ATA59" s="414"/>
      <c r="ATB59" s="414"/>
      <c r="ATC59" s="414"/>
      <c r="ATD59" s="414"/>
      <c r="ATE59" s="414"/>
      <c r="ATF59" s="414"/>
      <c r="ATG59" s="414"/>
      <c r="ATH59" s="414"/>
      <c r="ATI59" s="414"/>
      <c r="ATJ59" s="414"/>
      <c r="ATK59" s="414"/>
      <c r="ATL59" s="414"/>
      <c r="ATM59" s="414"/>
      <c r="ATN59" s="414"/>
      <c r="ATO59" s="414"/>
      <c r="ATP59" s="414"/>
      <c r="ATQ59" s="414"/>
      <c r="ATR59" s="414"/>
      <c r="ATS59" s="414"/>
      <c r="ATT59" s="414"/>
      <c r="ATU59" s="414"/>
      <c r="ATV59" s="414"/>
      <c r="ATW59" s="414"/>
      <c r="ATX59" s="414"/>
      <c r="ATY59" s="414"/>
      <c r="ATZ59" s="414"/>
      <c r="AUA59" s="414"/>
      <c r="AUB59" s="414"/>
      <c r="AUC59" s="414"/>
      <c r="AUD59" s="414"/>
      <c r="AUE59" s="414"/>
      <c r="AUF59" s="414"/>
      <c r="AUG59" s="414"/>
      <c r="AUH59" s="414"/>
      <c r="AUI59" s="414"/>
      <c r="AUJ59" s="414"/>
      <c r="AUK59" s="414"/>
      <c r="AUL59" s="414"/>
      <c r="AUM59" s="414"/>
      <c r="AUN59" s="414"/>
      <c r="AUO59" s="414"/>
      <c r="AUP59" s="414"/>
      <c r="AUQ59" s="414"/>
      <c r="AUR59" s="414"/>
      <c r="AUS59" s="414"/>
      <c r="AUT59" s="414"/>
      <c r="AUU59" s="414"/>
      <c r="AUV59" s="414"/>
      <c r="AUW59" s="414"/>
      <c r="AUX59" s="414"/>
      <c r="AUY59" s="414"/>
      <c r="AUZ59" s="414"/>
      <c r="AVA59" s="414"/>
      <c r="AVB59" s="414"/>
      <c r="AVC59" s="414"/>
      <c r="AVD59" s="414"/>
      <c r="AVE59" s="414"/>
      <c r="AVF59" s="414"/>
      <c r="AVG59" s="414"/>
      <c r="AVH59" s="414"/>
      <c r="AVI59" s="414"/>
      <c r="AVJ59" s="414"/>
      <c r="AVK59" s="414"/>
      <c r="AVL59" s="414"/>
      <c r="AVM59" s="414"/>
      <c r="AVN59" s="414"/>
      <c r="AVO59" s="414"/>
      <c r="AVP59" s="414"/>
      <c r="AVQ59" s="414"/>
      <c r="AVR59" s="414"/>
      <c r="AVS59" s="414"/>
      <c r="AVT59" s="414"/>
      <c r="AVU59" s="414"/>
      <c r="AVV59" s="414"/>
      <c r="AVW59" s="414"/>
      <c r="AVX59" s="414"/>
      <c r="AVY59" s="414"/>
      <c r="AVZ59" s="414"/>
      <c r="AWA59" s="414"/>
      <c r="AWB59" s="414"/>
      <c r="AWC59" s="414"/>
      <c r="AWD59" s="414"/>
      <c r="AWE59" s="414"/>
      <c r="AWF59" s="414"/>
      <c r="AWG59" s="414"/>
      <c r="AWH59" s="414"/>
      <c r="AWI59" s="414"/>
      <c r="AWJ59" s="414"/>
      <c r="AWK59" s="414"/>
      <c r="AWL59" s="414"/>
      <c r="AWM59" s="414"/>
      <c r="AWN59" s="414"/>
      <c r="AWO59" s="414"/>
      <c r="AWP59" s="414"/>
      <c r="AWQ59" s="414"/>
      <c r="AWR59" s="414"/>
      <c r="AWS59" s="414"/>
      <c r="AWT59" s="414"/>
      <c r="AWU59" s="414"/>
      <c r="AWV59" s="414"/>
      <c r="AWW59" s="414"/>
      <c r="AWX59" s="414"/>
      <c r="AWY59" s="414"/>
      <c r="AWZ59" s="414"/>
      <c r="AXA59" s="414"/>
      <c r="AXB59" s="414"/>
      <c r="AXC59" s="414"/>
      <c r="AXD59" s="414"/>
      <c r="AXE59" s="414"/>
      <c r="AXF59" s="414"/>
      <c r="AXG59" s="414"/>
      <c r="AXH59" s="414"/>
      <c r="AXI59" s="414"/>
      <c r="AXJ59" s="414"/>
      <c r="AXK59" s="414"/>
      <c r="AXL59" s="414"/>
      <c r="AXM59" s="414"/>
      <c r="AXN59" s="414"/>
      <c r="AXO59" s="414"/>
      <c r="AXP59" s="414"/>
      <c r="AXQ59" s="414"/>
      <c r="AXR59" s="414"/>
      <c r="AXS59" s="414"/>
      <c r="AXT59" s="414"/>
      <c r="AXU59" s="414"/>
      <c r="AXV59" s="414"/>
      <c r="AXW59" s="414"/>
      <c r="AXX59" s="414"/>
      <c r="AXY59" s="414"/>
      <c r="AXZ59" s="414"/>
      <c r="AYA59" s="414"/>
      <c r="AYB59" s="414"/>
      <c r="AYC59" s="414"/>
      <c r="AYD59" s="414"/>
      <c r="AYE59" s="414"/>
      <c r="AYF59" s="414"/>
      <c r="AYG59" s="414"/>
      <c r="AYH59" s="414"/>
      <c r="AYI59" s="414"/>
      <c r="AYJ59" s="414"/>
      <c r="AYK59" s="414"/>
      <c r="AYL59" s="414"/>
      <c r="AYM59" s="414"/>
      <c r="AYN59" s="414"/>
      <c r="AYO59" s="414"/>
      <c r="AYP59" s="414"/>
      <c r="AYQ59" s="414"/>
      <c r="AYR59" s="414"/>
      <c r="AYS59" s="414"/>
      <c r="AYT59" s="414"/>
      <c r="AYU59" s="414"/>
      <c r="AYV59" s="414"/>
      <c r="AYW59" s="414"/>
      <c r="AYX59" s="414"/>
      <c r="AYY59" s="414"/>
      <c r="AYZ59" s="414"/>
      <c r="AZA59" s="414"/>
      <c r="AZB59" s="414"/>
      <c r="AZC59" s="414"/>
      <c r="AZD59" s="414"/>
      <c r="AZE59" s="414"/>
      <c r="AZF59" s="414"/>
      <c r="AZG59" s="414"/>
      <c r="AZH59" s="414"/>
      <c r="AZI59" s="414"/>
      <c r="AZJ59" s="414"/>
      <c r="AZK59" s="414"/>
      <c r="AZL59" s="414"/>
      <c r="AZM59" s="414"/>
      <c r="AZN59" s="414"/>
      <c r="AZO59" s="414"/>
      <c r="AZP59" s="414"/>
      <c r="AZQ59" s="414"/>
      <c r="AZR59" s="414"/>
      <c r="AZS59" s="414"/>
      <c r="AZT59" s="414"/>
      <c r="AZU59" s="414"/>
      <c r="AZV59" s="414"/>
      <c r="AZW59" s="414"/>
      <c r="AZX59" s="414"/>
      <c r="AZY59" s="414"/>
      <c r="AZZ59" s="414"/>
      <c r="BAA59" s="414"/>
      <c r="BAB59" s="414"/>
      <c r="BAC59" s="414"/>
      <c r="BAD59" s="414"/>
      <c r="BAE59" s="414"/>
      <c r="BAF59" s="414"/>
      <c r="BAG59" s="414"/>
      <c r="BAH59" s="414"/>
      <c r="BAI59" s="414"/>
      <c r="BAJ59" s="414"/>
      <c r="BAK59" s="414"/>
      <c r="BAL59" s="414"/>
      <c r="BAM59" s="414"/>
      <c r="BAN59" s="414"/>
      <c r="BAO59" s="414"/>
      <c r="BAP59" s="414"/>
      <c r="BAQ59" s="414"/>
      <c r="BAR59" s="414"/>
      <c r="BAS59" s="414"/>
      <c r="BAT59" s="414"/>
      <c r="BAU59" s="414"/>
      <c r="BAV59" s="414"/>
      <c r="BAW59" s="414"/>
      <c r="BAX59" s="414"/>
      <c r="BAY59" s="414"/>
      <c r="BAZ59" s="414"/>
      <c r="BBA59" s="414"/>
      <c r="BBB59" s="414"/>
      <c r="BBC59" s="414"/>
      <c r="BBD59" s="414"/>
      <c r="BBE59" s="414"/>
      <c r="BBF59" s="414"/>
      <c r="BBG59" s="414"/>
      <c r="BBH59" s="414"/>
      <c r="BBI59" s="414"/>
      <c r="BBJ59" s="414"/>
      <c r="BBK59" s="414"/>
      <c r="BBL59" s="414"/>
      <c r="BBM59" s="414"/>
      <c r="BBN59" s="414"/>
      <c r="BBO59" s="414"/>
      <c r="BBP59" s="414"/>
      <c r="BBQ59" s="414"/>
      <c r="BBR59" s="414"/>
      <c r="BBS59" s="414"/>
      <c r="BBT59" s="414"/>
      <c r="BBU59" s="414"/>
      <c r="BBV59" s="414"/>
      <c r="BBW59" s="414"/>
      <c r="BBX59" s="414"/>
      <c r="BBY59" s="414"/>
      <c r="BBZ59" s="414"/>
      <c r="BCA59" s="414"/>
      <c r="BCB59" s="414"/>
      <c r="BCC59" s="414"/>
      <c r="BCD59" s="414"/>
      <c r="BCE59" s="414"/>
      <c r="BCF59" s="414"/>
      <c r="BCG59" s="414"/>
      <c r="BCH59" s="414"/>
      <c r="BCI59" s="414"/>
      <c r="BCJ59" s="414"/>
      <c r="BCK59" s="414"/>
      <c r="BCL59" s="414"/>
      <c r="BCM59" s="414"/>
      <c r="BCN59" s="414"/>
      <c r="BCO59" s="414"/>
      <c r="BCP59" s="414"/>
      <c r="BCQ59" s="414"/>
      <c r="BCR59" s="414"/>
      <c r="BCS59" s="414"/>
      <c r="BCT59" s="414"/>
      <c r="BCU59" s="414"/>
      <c r="BCV59" s="414"/>
      <c r="BCW59" s="414"/>
      <c r="BCX59" s="414"/>
      <c r="BCY59" s="414"/>
      <c r="BCZ59" s="414"/>
      <c r="BDA59" s="414"/>
      <c r="BDB59" s="414"/>
      <c r="BDC59" s="414"/>
      <c r="BDD59" s="414"/>
      <c r="BDE59" s="414"/>
      <c r="BDF59" s="414"/>
      <c r="BDG59" s="414"/>
      <c r="BDH59" s="414"/>
      <c r="BDI59" s="414"/>
      <c r="BDJ59" s="414"/>
      <c r="BDK59" s="414"/>
      <c r="BDL59" s="414"/>
      <c r="BDM59" s="414"/>
      <c r="BDN59" s="414"/>
      <c r="BDO59" s="414"/>
      <c r="BDP59" s="414"/>
      <c r="BDQ59" s="414"/>
      <c r="BDR59" s="414"/>
      <c r="BDS59" s="414"/>
      <c r="BDT59" s="414"/>
      <c r="BDU59" s="414"/>
      <c r="BDV59" s="414"/>
      <c r="BDW59" s="414"/>
      <c r="BDX59" s="414"/>
      <c r="BDY59" s="414"/>
      <c r="BDZ59" s="414"/>
      <c r="BEA59" s="414"/>
      <c r="BEB59" s="414"/>
      <c r="BEC59" s="414"/>
      <c r="BED59" s="414"/>
      <c r="BEE59" s="414"/>
      <c r="BEF59" s="414"/>
      <c r="BEG59" s="414"/>
      <c r="BEH59" s="414"/>
      <c r="BEI59" s="414"/>
      <c r="BEJ59" s="414"/>
      <c r="BEK59" s="414"/>
      <c r="BEL59" s="414"/>
      <c r="BEM59" s="414"/>
      <c r="BEN59" s="414"/>
      <c r="BEO59" s="414"/>
      <c r="BEP59" s="414"/>
      <c r="BEQ59" s="414"/>
      <c r="BER59" s="414"/>
      <c r="BES59" s="414"/>
      <c r="BET59" s="414"/>
      <c r="BEU59" s="414"/>
      <c r="BEV59" s="414"/>
      <c r="BEW59" s="414"/>
      <c r="BEX59" s="414"/>
      <c r="BEY59" s="414"/>
      <c r="BEZ59" s="414"/>
      <c r="BFA59" s="414"/>
      <c r="BFB59" s="414"/>
      <c r="BFC59" s="414"/>
      <c r="BFD59" s="414"/>
      <c r="BFE59" s="414"/>
      <c r="BFF59" s="414"/>
      <c r="BFG59" s="414"/>
      <c r="BFH59" s="414"/>
      <c r="BFI59" s="414"/>
      <c r="BFJ59" s="414"/>
      <c r="BFK59" s="414"/>
      <c r="BFL59" s="414"/>
      <c r="BFM59" s="414"/>
      <c r="BFN59" s="414"/>
      <c r="BFO59" s="414"/>
      <c r="BFP59" s="414"/>
      <c r="BFQ59" s="414"/>
      <c r="BFR59" s="414"/>
      <c r="BFS59" s="414"/>
      <c r="BFT59" s="414"/>
      <c r="BFU59" s="414"/>
      <c r="BFV59" s="414"/>
      <c r="BFW59" s="414"/>
      <c r="BFX59" s="414"/>
      <c r="BFY59" s="414"/>
      <c r="BFZ59" s="414"/>
      <c r="BGA59" s="414"/>
      <c r="BGB59" s="414"/>
      <c r="BGC59" s="414"/>
      <c r="BGD59" s="414"/>
      <c r="BGE59" s="414"/>
      <c r="BGF59" s="414"/>
      <c r="BGG59" s="414"/>
      <c r="BGH59" s="414"/>
      <c r="BGI59" s="414"/>
      <c r="BGJ59" s="414"/>
      <c r="BGK59" s="414"/>
      <c r="BGL59" s="414"/>
      <c r="BGM59" s="414"/>
      <c r="BGN59" s="414"/>
      <c r="BGO59" s="414"/>
      <c r="BGP59" s="414"/>
      <c r="BGQ59" s="414"/>
      <c r="BGR59" s="414"/>
      <c r="BGS59" s="414"/>
      <c r="BGT59" s="414"/>
      <c r="BGU59" s="414"/>
      <c r="BGV59" s="414"/>
      <c r="BGW59" s="414"/>
      <c r="BGX59" s="414"/>
      <c r="BGY59" s="414"/>
      <c r="BGZ59" s="414"/>
      <c r="BHA59" s="414"/>
      <c r="BHB59" s="414"/>
      <c r="BHC59" s="414"/>
      <c r="BHD59" s="414"/>
      <c r="BHE59" s="414"/>
      <c r="BHF59" s="414"/>
      <c r="BHG59" s="414"/>
      <c r="BHH59" s="414"/>
      <c r="BHI59" s="414"/>
      <c r="BHJ59" s="414"/>
      <c r="BHK59" s="414"/>
      <c r="BHL59" s="414"/>
      <c r="BHM59" s="414"/>
      <c r="BHN59" s="414"/>
      <c r="BHO59" s="414"/>
      <c r="BHP59" s="414"/>
      <c r="BHQ59" s="414"/>
      <c r="BHR59" s="414"/>
      <c r="BHS59" s="414"/>
      <c r="BHT59" s="414"/>
      <c r="BHU59" s="414"/>
      <c r="BHV59" s="414"/>
      <c r="BHW59" s="414"/>
      <c r="BHX59" s="414"/>
      <c r="BHY59" s="414"/>
      <c r="BHZ59" s="414"/>
      <c r="BIA59" s="414"/>
      <c r="BIB59" s="414"/>
      <c r="BIC59" s="414"/>
      <c r="BID59" s="414"/>
      <c r="BIE59" s="414"/>
      <c r="BIF59" s="414"/>
      <c r="BIG59" s="414"/>
      <c r="BIH59" s="414"/>
      <c r="BII59" s="414"/>
      <c r="BIJ59" s="414"/>
      <c r="BIK59" s="414"/>
      <c r="BIL59" s="414"/>
      <c r="BIM59" s="414"/>
      <c r="BIN59" s="414"/>
      <c r="BIO59" s="414"/>
      <c r="BIP59" s="414"/>
      <c r="BIQ59" s="414"/>
      <c r="BIR59" s="414"/>
      <c r="BIS59" s="414"/>
      <c r="BIT59" s="414"/>
      <c r="BIU59" s="414"/>
      <c r="BIV59" s="414"/>
      <c r="BIW59" s="414"/>
      <c r="BIX59" s="414"/>
      <c r="BIY59" s="414"/>
      <c r="BIZ59" s="414"/>
      <c r="BJA59" s="414"/>
      <c r="BJB59" s="414"/>
      <c r="BJC59" s="414"/>
      <c r="BJD59" s="414"/>
      <c r="BJE59" s="414"/>
      <c r="BJF59" s="414"/>
      <c r="BJG59" s="414"/>
      <c r="BJH59" s="414"/>
      <c r="BJI59" s="414"/>
      <c r="BJJ59" s="414"/>
      <c r="BJK59" s="414"/>
      <c r="BJL59" s="414"/>
      <c r="BJM59" s="414"/>
      <c r="BJN59" s="414"/>
      <c r="BJO59" s="414"/>
      <c r="BJP59" s="414"/>
      <c r="BJQ59" s="414"/>
      <c r="BJR59" s="414"/>
      <c r="BJS59" s="414"/>
      <c r="BJT59" s="414"/>
      <c r="BJU59" s="414"/>
      <c r="BJV59" s="414"/>
      <c r="BJW59" s="414"/>
      <c r="BJX59" s="414"/>
      <c r="BJY59" s="414"/>
      <c r="BJZ59" s="414"/>
      <c r="BKA59" s="414"/>
      <c r="BKB59" s="414"/>
      <c r="BKC59" s="414"/>
      <c r="BKD59" s="414"/>
      <c r="BKE59" s="414"/>
      <c r="BKF59" s="414"/>
      <c r="BKG59" s="414"/>
      <c r="BKH59" s="414"/>
      <c r="BKI59" s="414"/>
      <c r="BKJ59" s="414"/>
      <c r="BKK59" s="414"/>
      <c r="BKL59" s="414"/>
      <c r="BKM59" s="414"/>
      <c r="BKN59" s="414"/>
      <c r="BKO59" s="414"/>
      <c r="BKP59" s="414"/>
      <c r="BKQ59" s="414"/>
      <c r="BKR59" s="414"/>
      <c r="BKS59" s="414"/>
      <c r="BKT59" s="414"/>
      <c r="BKU59" s="414"/>
      <c r="BKV59" s="414"/>
      <c r="BKW59" s="414"/>
      <c r="BKX59" s="414"/>
      <c r="BKY59" s="414"/>
      <c r="BKZ59" s="414"/>
      <c r="BLA59" s="414"/>
      <c r="BLB59" s="414"/>
      <c r="BLC59" s="414"/>
      <c r="BLD59" s="414"/>
      <c r="BLE59" s="414"/>
      <c r="BLF59" s="414"/>
      <c r="BLG59" s="414"/>
      <c r="BLH59" s="414"/>
      <c r="BLI59" s="414"/>
      <c r="BLJ59" s="414"/>
      <c r="BLK59" s="414"/>
      <c r="BLL59" s="414"/>
      <c r="BLM59" s="414"/>
      <c r="BLN59" s="414"/>
      <c r="BLO59" s="414"/>
      <c r="BLP59" s="414"/>
      <c r="BLQ59" s="414"/>
      <c r="BLR59" s="414"/>
      <c r="BLS59" s="414"/>
      <c r="BLT59" s="414"/>
      <c r="BLU59" s="414"/>
      <c r="BLV59" s="414"/>
      <c r="BLW59" s="414"/>
      <c r="BLX59" s="414"/>
      <c r="BLY59" s="414"/>
      <c r="BLZ59" s="414"/>
      <c r="BMA59" s="414"/>
      <c r="BMB59" s="414"/>
      <c r="BMC59" s="414"/>
      <c r="BMD59" s="414"/>
      <c r="BME59" s="414"/>
      <c r="BMF59" s="414"/>
      <c r="BMG59" s="414"/>
      <c r="BMH59" s="414"/>
      <c r="BMI59" s="414"/>
      <c r="BMJ59" s="414"/>
      <c r="BMK59" s="414"/>
      <c r="BML59" s="414"/>
      <c r="BMM59" s="414"/>
      <c r="BMN59" s="414"/>
      <c r="BMO59" s="414"/>
      <c r="BMP59" s="414"/>
      <c r="BMQ59" s="414"/>
      <c r="BMR59" s="414"/>
      <c r="BMS59" s="414"/>
      <c r="BMT59" s="414"/>
      <c r="BMU59" s="414"/>
      <c r="BMV59" s="414"/>
      <c r="BMW59" s="414"/>
      <c r="BMX59" s="414"/>
      <c r="BMY59" s="414"/>
      <c r="BMZ59" s="414"/>
      <c r="BNA59" s="414"/>
      <c r="BNB59" s="414"/>
      <c r="BNC59" s="414"/>
      <c r="BND59" s="414"/>
      <c r="BNE59" s="414"/>
      <c r="BNF59" s="414"/>
      <c r="BNG59" s="414"/>
      <c r="BNH59" s="414"/>
      <c r="BNI59" s="414"/>
      <c r="BNJ59" s="414"/>
      <c r="BNK59" s="414"/>
      <c r="BNL59" s="414"/>
      <c r="BNM59" s="414"/>
      <c r="BNN59" s="414"/>
      <c r="BNO59" s="414"/>
      <c r="BNP59" s="414"/>
      <c r="BNQ59" s="414"/>
      <c r="BNR59" s="414"/>
      <c r="BNS59" s="414"/>
      <c r="BNT59" s="414"/>
      <c r="BNU59" s="414"/>
      <c r="BNV59" s="414"/>
      <c r="BNW59" s="414"/>
      <c r="BNX59" s="414"/>
      <c r="BNY59" s="414"/>
      <c r="BNZ59" s="414"/>
      <c r="BOA59" s="414"/>
      <c r="BOB59" s="414"/>
      <c r="BOC59" s="414"/>
      <c r="BOD59" s="414"/>
      <c r="BOE59" s="414"/>
      <c r="BOF59" s="414"/>
      <c r="BOG59" s="414"/>
      <c r="BOH59" s="414"/>
      <c r="BOI59" s="414"/>
      <c r="BOJ59" s="414"/>
      <c r="BOK59" s="414"/>
      <c r="BOL59" s="414"/>
      <c r="BOM59" s="414"/>
      <c r="BON59" s="414"/>
      <c r="BOO59" s="414"/>
      <c r="BOP59" s="414"/>
      <c r="BOQ59" s="414"/>
      <c r="BOR59" s="414"/>
      <c r="BOS59" s="414"/>
      <c r="BOT59" s="414"/>
      <c r="BOU59" s="414"/>
      <c r="BOV59" s="414"/>
      <c r="BOW59" s="414"/>
      <c r="BOX59" s="414"/>
      <c r="BOY59" s="414"/>
      <c r="BOZ59" s="414"/>
      <c r="BPA59" s="414"/>
      <c r="BPB59" s="414"/>
      <c r="BPC59" s="414"/>
      <c r="BPD59" s="414"/>
      <c r="BPE59" s="414"/>
      <c r="BPF59" s="414"/>
      <c r="BPG59" s="414"/>
      <c r="BPH59" s="414"/>
      <c r="BPI59" s="414"/>
      <c r="BPJ59" s="414"/>
      <c r="BPK59" s="414"/>
      <c r="BPL59" s="414"/>
      <c r="BPM59" s="414"/>
      <c r="BPN59" s="414"/>
      <c r="BPO59" s="414"/>
      <c r="BPP59" s="414"/>
      <c r="BPQ59" s="414"/>
      <c r="BPR59" s="414"/>
      <c r="BPS59" s="414"/>
      <c r="BPT59" s="414"/>
      <c r="BPU59" s="414"/>
      <c r="BPV59" s="414"/>
      <c r="BPW59" s="414"/>
      <c r="BPX59" s="414"/>
      <c r="BPY59" s="414"/>
      <c r="BPZ59" s="414"/>
      <c r="BQA59" s="414"/>
      <c r="BQB59" s="414"/>
      <c r="BQC59" s="414"/>
      <c r="BQD59" s="414"/>
      <c r="BQE59" s="414"/>
      <c r="BQF59" s="414"/>
      <c r="BQG59" s="414"/>
      <c r="BQH59" s="414"/>
      <c r="BQI59" s="414"/>
      <c r="BQJ59" s="414"/>
      <c r="BQK59" s="414"/>
      <c r="BQL59" s="414"/>
      <c r="BQM59" s="414"/>
      <c r="BQN59" s="414"/>
      <c r="BQO59" s="414"/>
      <c r="BQP59" s="414"/>
      <c r="BQQ59" s="414"/>
      <c r="BQR59" s="414"/>
      <c r="BQS59" s="414"/>
      <c r="BQT59" s="414"/>
      <c r="BQU59" s="414"/>
      <c r="BQV59" s="414"/>
      <c r="BQW59" s="414"/>
      <c r="BQX59" s="414"/>
      <c r="BQY59" s="414"/>
      <c r="BQZ59" s="414"/>
      <c r="BRA59" s="414"/>
      <c r="BRB59" s="414"/>
      <c r="BRC59" s="414"/>
      <c r="BRD59" s="414"/>
      <c r="BRE59" s="414"/>
      <c r="BRF59" s="414"/>
      <c r="BRG59" s="414"/>
      <c r="BRH59" s="414"/>
      <c r="BRI59" s="414"/>
      <c r="BRJ59" s="414"/>
      <c r="BRK59" s="414"/>
      <c r="BRL59" s="414"/>
      <c r="BRM59" s="414"/>
      <c r="BRN59" s="414"/>
      <c r="BRO59" s="414"/>
      <c r="BRP59" s="414"/>
      <c r="BRQ59" s="414"/>
      <c r="BRR59" s="414"/>
      <c r="BRS59" s="414"/>
      <c r="BRT59" s="414"/>
      <c r="BRU59" s="414"/>
      <c r="BRV59" s="414"/>
      <c r="BRW59" s="414"/>
      <c r="BRX59" s="414"/>
      <c r="BRY59" s="414"/>
      <c r="BRZ59" s="414"/>
      <c r="BSA59" s="414"/>
      <c r="BSB59" s="414"/>
      <c r="BSC59" s="414"/>
      <c r="BSD59" s="414"/>
      <c r="BSE59" s="414"/>
      <c r="BSF59" s="414"/>
      <c r="BSG59" s="414"/>
      <c r="BSH59" s="414"/>
      <c r="BSI59" s="414"/>
      <c r="BSJ59" s="414"/>
      <c r="BSK59" s="414"/>
      <c r="BSL59" s="414"/>
      <c r="BSM59" s="414"/>
      <c r="BSN59" s="414"/>
      <c r="BSO59" s="414"/>
      <c r="BSP59" s="414"/>
      <c r="BSQ59" s="414"/>
      <c r="BSR59" s="414"/>
      <c r="BSS59" s="414"/>
      <c r="BST59" s="414"/>
      <c r="BSU59" s="414"/>
      <c r="BSV59" s="414"/>
      <c r="BSW59" s="414"/>
      <c r="BSX59" s="414"/>
      <c r="BSY59" s="414"/>
      <c r="BSZ59" s="414"/>
      <c r="BTA59" s="414"/>
      <c r="BTB59" s="414"/>
      <c r="BTC59" s="414"/>
      <c r="BTD59" s="414"/>
      <c r="BTE59" s="414"/>
      <c r="BTF59" s="414"/>
      <c r="BTG59" s="414"/>
      <c r="BTH59" s="414"/>
      <c r="BTI59" s="414"/>
      <c r="BTJ59" s="414"/>
      <c r="BTK59" s="414"/>
      <c r="BTL59" s="414"/>
      <c r="BTM59" s="414"/>
      <c r="BTN59" s="414"/>
      <c r="BTO59" s="414"/>
      <c r="BTP59" s="414"/>
      <c r="BTQ59" s="414"/>
      <c r="BTR59" s="414"/>
      <c r="BTS59" s="414"/>
      <c r="BTT59" s="414"/>
      <c r="BTU59" s="414"/>
      <c r="BTV59" s="414"/>
      <c r="BTW59" s="414"/>
      <c r="BTX59" s="414"/>
      <c r="BTY59" s="414"/>
      <c r="BTZ59" s="414"/>
      <c r="BUA59" s="414"/>
      <c r="BUB59" s="414"/>
      <c r="BUC59" s="414"/>
      <c r="BUD59" s="414"/>
      <c r="BUE59" s="414"/>
      <c r="BUF59" s="414"/>
      <c r="BUG59" s="414"/>
      <c r="BUH59" s="414"/>
      <c r="BUI59" s="414"/>
      <c r="BUJ59" s="414"/>
      <c r="BUK59" s="414"/>
      <c r="BUL59" s="414"/>
      <c r="BUM59" s="414"/>
      <c r="BUN59" s="414"/>
      <c r="BUO59" s="414"/>
      <c r="BUP59" s="414"/>
      <c r="BUQ59" s="414"/>
      <c r="BUR59" s="414"/>
      <c r="BUS59" s="414"/>
      <c r="BUT59" s="414"/>
      <c r="BUU59" s="414"/>
      <c r="BUV59" s="414"/>
      <c r="BUW59" s="414"/>
      <c r="BUX59" s="414"/>
      <c r="BUY59" s="414"/>
      <c r="BUZ59" s="414"/>
      <c r="BVA59" s="414"/>
      <c r="BVB59" s="414"/>
      <c r="BVC59" s="414"/>
      <c r="BVD59" s="414"/>
      <c r="BVE59" s="414"/>
      <c r="BVF59" s="414"/>
      <c r="BVG59" s="414"/>
      <c r="BVH59" s="414"/>
      <c r="BVI59" s="414"/>
      <c r="BVJ59" s="414"/>
      <c r="BVK59" s="414"/>
      <c r="BVL59" s="414"/>
      <c r="BVM59" s="414"/>
      <c r="BVN59" s="414"/>
      <c r="BVO59" s="414"/>
      <c r="BVP59" s="414"/>
      <c r="BVQ59" s="414"/>
      <c r="BVR59" s="414"/>
      <c r="BVS59" s="414"/>
      <c r="BVT59" s="414"/>
      <c r="BVU59" s="414"/>
      <c r="BVV59" s="414"/>
      <c r="BVW59" s="414"/>
      <c r="BVX59" s="414"/>
      <c r="BVY59" s="414"/>
      <c r="BVZ59" s="414"/>
      <c r="BWA59" s="414"/>
      <c r="BWB59" s="414"/>
      <c r="BWC59" s="414"/>
      <c r="BWD59" s="414"/>
      <c r="BWE59" s="414"/>
      <c r="BWF59" s="414"/>
      <c r="BWG59" s="414"/>
      <c r="BWH59" s="414"/>
      <c r="BWI59" s="414"/>
      <c r="BWJ59" s="414"/>
      <c r="BWK59" s="414"/>
      <c r="BWL59" s="414"/>
      <c r="BWM59" s="414"/>
      <c r="BWN59" s="414"/>
      <c r="BWO59" s="414"/>
      <c r="BWP59" s="414"/>
      <c r="BWQ59" s="414"/>
      <c r="BWR59" s="414"/>
      <c r="BWS59" s="414"/>
      <c r="BWT59" s="414"/>
      <c r="BWU59" s="414"/>
      <c r="BWV59" s="414"/>
      <c r="BWW59" s="414"/>
      <c r="BWX59" s="414"/>
      <c r="BWY59" s="414"/>
      <c r="BWZ59" s="414"/>
      <c r="BXA59" s="414"/>
      <c r="BXB59" s="414"/>
      <c r="BXC59" s="414"/>
      <c r="BXD59" s="414"/>
      <c r="BXE59" s="414"/>
      <c r="BXF59" s="414"/>
      <c r="BXG59" s="414"/>
      <c r="BXH59" s="414"/>
      <c r="BXI59" s="414"/>
      <c r="BXJ59" s="414"/>
      <c r="BXK59" s="414"/>
      <c r="BXL59" s="414"/>
      <c r="BXM59" s="414"/>
      <c r="BXN59" s="414"/>
      <c r="BXO59" s="414"/>
      <c r="BXP59" s="414"/>
      <c r="BXQ59" s="414"/>
      <c r="BXR59" s="414"/>
      <c r="BXS59" s="414"/>
      <c r="BXT59" s="414"/>
      <c r="BXU59" s="414"/>
      <c r="BXV59" s="414"/>
      <c r="BXW59" s="414"/>
      <c r="BXX59" s="414"/>
      <c r="BXY59" s="414"/>
      <c r="BXZ59" s="414"/>
      <c r="BYA59" s="414"/>
      <c r="BYB59" s="414"/>
      <c r="BYC59" s="414"/>
      <c r="BYD59" s="414"/>
      <c r="BYE59" s="414"/>
      <c r="BYF59" s="414"/>
      <c r="BYG59" s="414"/>
      <c r="BYH59" s="414"/>
      <c r="BYI59" s="414"/>
      <c r="BYJ59" s="414"/>
      <c r="BYK59" s="414"/>
      <c r="BYL59" s="414"/>
      <c r="BYM59" s="414"/>
      <c r="BYN59" s="414"/>
      <c r="BYO59" s="414"/>
      <c r="BYP59" s="414"/>
      <c r="BYQ59" s="414"/>
      <c r="BYR59" s="414"/>
      <c r="BYS59" s="414"/>
      <c r="BYT59" s="414"/>
      <c r="BYU59" s="414"/>
      <c r="BYV59" s="414"/>
      <c r="BYW59" s="414"/>
      <c r="BYX59" s="414"/>
      <c r="BYY59" s="414"/>
      <c r="BYZ59" s="414"/>
      <c r="BZA59" s="414"/>
      <c r="BZB59" s="414"/>
      <c r="BZC59" s="414"/>
      <c r="BZD59" s="414"/>
      <c r="BZE59" s="414"/>
      <c r="BZF59" s="414"/>
      <c r="BZG59" s="414"/>
      <c r="BZH59" s="414"/>
      <c r="BZI59" s="414"/>
      <c r="BZJ59" s="414"/>
      <c r="BZK59" s="414"/>
      <c r="BZL59" s="414"/>
      <c r="BZM59" s="414"/>
      <c r="BZN59" s="414"/>
      <c r="BZO59" s="414"/>
      <c r="BZP59" s="414"/>
      <c r="BZQ59" s="414"/>
      <c r="BZR59" s="414"/>
      <c r="BZS59" s="414"/>
      <c r="BZT59" s="414"/>
      <c r="BZU59" s="414"/>
      <c r="BZV59" s="414"/>
      <c r="BZW59" s="414"/>
      <c r="BZX59" s="414"/>
      <c r="BZY59" s="414"/>
      <c r="BZZ59" s="414"/>
      <c r="CAA59" s="414"/>
      <c r="CAB59" s="414"/>
      <c r="CAC59" s="414"/>
      <c r="CAD59" s="414"/>
      <c r="CAE59" s="414"/>
      <c r="CAF59" s="414"/>
      <c r="CAG59" s="414"/>
      <c r="CAH59" s="414"/>
      <c r="CAI59" s="414"/>
      <c r="CAJ59" s="414"/>
      <c r="CAK59" s="414"/>
      <c r="CAL59" s="414"/>
      <c r="CAM59" s="414"/>
      <c r="CAN59" s="414"/>
      <c r="CAO59" s="414"/>
      <c r="CAP59" s="414"/>
      <c r="CAQ59" s="414"/>
      <c r="CAR59" s="414"/>
      <c r="CAS59" s="414"/>
      <c r="CAT59" s="414"/>
      <c r="CAU59" s="414"/>
      <c r="CAV59" s="414"/>
      <c r="CAW59" s="414"/>
      <c r="CAX59" s="414"/>
      <c r="CAY59" s="414"/>
      <c r="CAZ59" s="414"/>
      <c r="CBA59" s="414"/>
      <c r="CBB59" s="414"/>
      <c r="CBC59" s="414"/>
      <c r="CBD59" s="414"/>
      <c r="CBE59" s="414"/>
      <c r="CBF59" s="414"/>
      <c r="CBG59" s="414"/>
      <c r="CBH59" s="414"/>
      <c r="CBI59" s="414"/>
      <c r="CBJ59" s="414"/>
      <c r="CBK59" s="414"/>
      <c r="CBL59" s="414"/>
      <c r="CBM59" s="414"/>
      <c r="CBN59" s="414"/>
      <c r="CBO59" s="414"/>
      <c r="CBP59" s="414"/>
      <c r="CBQ59" s="414"/>
      <c r="CBR59" s="414"/>
      <c r="CBS59" s="414"/>
      <c r="CBT59" s="414"/>
      <c r="CBU59" s="414"/>
      <c r="CBV59" s="414"/>
      <c r="CBW59" s="414"/>
      <c r="CBX59" s="414"/>
      <c r="CBY59" s="414"/>
      <c r="CBZ59" s="414"/>
      <c r="CCA59" s="414"/>
      <c r="CCB59" s="414"/>
      <c r="CCC59" s="414"/>
      <c r="CCD59" s="414"/>
      <c r="CCE59" s="414"/>
      <c r="CCF59" s="414"/>
      <c r="CCG59" s="414"/>
      <c r="CCH59" s="414"/>
      <c r="CCI59" s="414"/>
      <c r="CCJ59" s="414"/>
      <c r="CCK59" s="414"/>
      <c r="CCL59" s="414"/>
      <c r="CCM59" s="414"/>
      <c r="CCN59" s="414"/>
      <c r="CCO59" s="414"/>
      <c r="CCP59" s="414"/>
      <c r="CCQ59" s="414"/>
      <c r="CCR59" s="414"/>
      <c r="CCS59" s="414"/>
      <c r="CCT59" s="414"/>
      <c r="CCU59" s="414"/>
      <c r="CCV59" s="414"/>
      <c r="CCW59" s="414"/>
      <c r="CCX59" s="414"/>
      <c r="CCY59" s="414"/>
      <c r="CCZ59" s="414"/>
      <c r="CDA59" s="414"/>
      <c r="CDB59" s="414"/>
      <c r="CDC59" s="414"/>
      <c r="CDD59" s="414"/>
      <c r="CDE59" s="414"/>
      <c r="CDF59" s="414"/>
      <c r="CDG59" s="414"/>
      <c r="CDH59" s="414"/>
      <c r="CDI59" s="414"/>
      <c r="CDJ59" s="414"/>
      <c r="CDK59" s="414"/>
      <c r="CDL59" s="414"/>
      <c r="CDM59" s="414"/>
      <c r="CDN59" s="414"/>
      <c r="CDO59" s="414"/>
      <c r="CDP59" s="414"/>
      <c r="CDQ59" s="414"/>
      <c r="CDR59" s="414"/>
      <c r="CDS59" s="414"/>
      <c r="CDT59" s="414"/>
      <c r="CDU59" s="414"/>
      <c r="CDV59" s="414"/>
      <c r="CDW59" s="414"/>
      <c r="CDX59" s="414"/>
      <c r="CDY59" s="414"/>
      <c r="CDZ59" s="414"/>
      <c r="CEA59" s="414"/>
      <c r="CEB59" s="414"/>
      <c r="CEC59" s="414"/>
      <c r="CED59" s="414"/>
      <c r="CEE59" s="414"/>
      <c r="CEF59" s="414"/>
      <c r="CEG59" s="414"/>
      <c r="CEH59" s="414"/>
      <c r="CEI59" s="414"/>
      <c r="CEJ59" s="414"/>
      <c r="CEK59" s="414"/>
      <c r="CEL59" s="414"/>
      <c r="CEM59" s="414"/>
      <c r="CEN59" s="414"/>
      <c r="CEO59" s="414"/>
      <c r="CEP59" s="414"/>
      <c r="CEQ59" s="414"/>
      <c r="CER59" s="414"/>
      <c r="CES59" s="414"/>
      <c r="CET59" s="414"/>
      <c r="CEU59" s="414"/>
      <c r="CEV59" s="414"/>
      <c r="CEW59" s="414"/>
      <c r="CEX59" s="414"/>
      <c r="CEY59" s="414"/>
      <c r="CEZ59" s="414"/>
      <c r="CFA59" s="414"/>
      <c r="CFB59" s="414"/>
      <c r="CFC59" s="414"/>
      <c r="CFD59" s="414"/>
      <c r="CFE59" s="414"/>
      <c r="CFF59" s="414"/>
      <c r="CFG59" s="414"/>
      <c r="CFH59" s="414"/>
      <c r="CFI59" s="414"/>
      <c r="CFJ59" s="414"/>
      <c r="CFK59" s="414"/>
      <c r="CFL59" s="414"/>
      <c r="CFM59" s="414"/>
      <c r="CFN59" s="414"/>
      <c r="CFO59" s="414"/>
      <c r="CFP59" s="414"/>
      <c r="CFQ59" s="414"/>
      <c r="CFR59" s="414"/>
      <c r="CFS59" s="414"/>
      <c r="CFT59" s="414"/>
      <c r="CFU59" s="414"/>
      <c r="CFV59" s="414"/>
      <c r="CFW59" s="414"/>
      <c r="CFX59" s="414"/>
      <c r="CFY59" s="414"/>
      <c r="CFZ59" s="414"/>
      <c r="CGA59" s="414"/>
      <c r="CGB59" s="414"/>
      <c r="CGC59" s="414"/>
      <c r="CGD59" s="414"/>
      <c r="CGE59" s="414"/>
      <c r="CGF59" s="414"/>
      <c r="CGG59" s="414"/>
      <c r="CGH59" s="414"/>
      <c r="CGI59" s="414"/>
      <c r="CGJ59" s="414"/>
      <c r="CGK59" s="414"/>
      <c r="CGL59" s="414"/>
      <c r="CGM59" s="414"/>
      <c r="CGN59" s="414"/>
      <c r="CGO59" s="414"/>
      <c r="CGP59" s="414"/>
      <c r="CGQ59" s="414"/>
      <c r="CGR59" s="414"/>
      <c r="CGS59" s="414"/>
      <c r="CGT59" s="414"/>
      <c r="CGU59" s="414"/>
      <c r="CGV59" s="414"/>
      <c r="CGW59" s="414"/>
      <c r="CGX59" s="414"/>
      <c r="CGY59" s="414"/>
      <c r="CGZ59" s="414"/>
      <c r="CHA59" s="414"/>
      <c r="CHB59" s="414"/>
      <c r="CHC59" s="414"/>
      <c r="CHD59" s="414"/>
      <c r="CHE59" s="414"/>
      <c r="CHF59" s="414"/>
      <c r="CHG59" s="414"/>
      <c r="CHH59" s="414"/>
      <c r="CHI59" s="414"/>
      <c r="CHJ59" s="414"/>
      <c r="CHK59" s="414"/>
      <c r="CHL59" s="414"/>
      <c r="CHM59" s="414"/>
      <c r="CHN59" s="414"/>
      <c r="CHO59" s="414"/>
      <c r="CHP59" s="414"/>
      <c r="CHQ59" s="414"/>
      <c r="CHR59" s="414"/>
      <c r="CHS59" s="414"/>
      <c r="CHT59" s="414"/>
      <c r="CHU59" s="414"/>
      <c r="CHV59" s="414"/>
      <c r="CHW59" s="414"/>
      <c r="CHX59" s="414"/>
      <c r="CHY59" s="414"/>
      <c r="CHZ59" s="414"/>
      <c r="CIA59" s="414"/>
      <c r="CIB59" s="414"/>
      <c r="CIC59" s="414"/>
      <c r="CID59" s="414"/>
      <c r="CIE59" s="414"/>
      <c r="CIF59" s="414"/>
      <c r="CIG59" s="414"/>
      <c r="CIH59" s="414"/>
      <c r="CII59" s="414"/>
      <c r="CIJ59" s="414"/>
      <c r="CIK59" s="414"/>
      <c r="CIL59" s="414"/>
      <c r="CIM59" s="414"/>
      <c r="CIN59" s="414"/>
      <c r="CIO59" s="414"/>
      <c r="CIP59" s="414"/>
      <c r="CIQ59" s="414"/>
      <c r="CIR59" s="414"/>
      <c r="CIS59" s="414"/>
      <c r="CIT59" s="414"/>
      <c r="CIU59" s="414"/>
      <c r="CIV59" s="414"/>
      <c r="CIW59" s="414"/>
      <c r="CIX59" s="414"/>
      <c r="CIY59" s="414"/>
      <c r="CIZ59" s="414"/>
      <c r="CJA59" s="414"/>
      <c r="CJB59" s="414"/>
      <c r="CJC59" s="414"/>
      <c r="CJD59" s="414"/>
      <c r="CJE59" s="414"/>
      <c r="CJF59" s="414"/>
      <c r="CJG59" s="414"/>
      <c r="CJH59" s="414"/>
      <c r="CJI59" s="414"/>
      <c r="CJJ59" s="414"/>
      <c r="CJK59" s="414"/>
      <c r="CJL59" s="414"/>
      <c r="CJM59" s="414"/>
      <c r="CJN59" s="414"/>
      <c r="CJO59" s="414"/>
      <c r="CJP59" s="414"/>
      <c r="CJQ59" s="414"/>
      <c r="CJR59" s="414"/>
      <c r="CJS59" s="414"/>
      <c r="CJT59" s="414"/>
      <c r="CJU59" s="414"/>
      <c r="CJV59" s="414"/>
      <c r="CJW59" s="414"/>
      <c r="CJX59" s="414"/>
      <c r="CJY59" s="414"/>
      <c r="CJZ59" s="414"/>
      <c r="CKA59" s="414"/>
      <c r="CKB59" s="414"/>
      <c r="CKC59" s="414"/>
      <c r="CKD59" s="414"/>
      <c r="CKE59" s="414"/>
      <c r="CKF59" s="414"/>
      <c r="CKG59" s="414"/>
      <c r="CKH59" s="414"/>
      <c r="CKI59" s="414"/>
      <c r="CKJ59" s="414"/>
      <c r="CKK59" s="414"/>
      <c r="CKL59" s="414"/>
      <c r="CKM59" s="414"/>
      <c r="CKN59" s="414"/>
      <c r="CKO59" s="414"/>
      <c r="CKP59" s="414"/>
      <c r="CKQ59" s="414"/>
      <c r="CKR59" s="414"/>
      <c r="CKS59" s="414"/>
      <c r="CKT59" s="414"/>
      <c r="CKU59" s="414"/>
      <c r="CKV59" s="414"/>
      <c r="CKW59" s="414"/>
      <c r="CKX59" s="414"/>
      <c r="CKY59" s="414"/>
      <c r="CKZ59" s="414"/>
      <c r="CLA59" s="414"/>
      <c r="CLB59" s="414"/>
      <c r="CLC59" s="414"/>
      <c r="CLD59" s="414"/>
      <c r="CLE59" s="414"/>
      <c r="CLF59" s="414"/>
      <c r="CLG59" s="414"/>
      <c r="CLH59" s="414"/>
      <c r="CLI59" s="414"/>
      <c r="CLJ59" s="414"/>
      <c r="CLK59" s="414"/>
      <c r="CLL59" s="414"/>
      <c r="CLM59" s="414"/>
      <c r="CLN59" s="414"/>
      <c r="CLO59" s="414"/>
      <c r="CLP59" s="414"/>
      <c r="CLQ59" s="414"/>
      <c r="CLR59" s="414"/>
      <c r="CLS59" s="414"/>
      <c r="CLT59" s="414"/>
      <c r="CLU59" s="414"/>
      <c r="CLV59" s="414"/>
      <c r="CLW59" s="414"/>
      <c r="CLX59" s="414"/>
      <c r="CLY59" s="414"/>
      <c r="CLZ59" s="414"/>
      <c r="CMA59" s="414"/>
      <c r="CMB59" s="414"/>
      <c r="CMC59" s="414"/>
      <c r="CMD59" s="414"/>
      <c r="CME59" s="414"/>
      <c r="CMF59" s="414"/>
      <c r="CMG59" s="414"/>
      <c r="CMH59" s="414"/>
      <c r="CMI59" s="414"/>
      <c r="CMJ59" s="414"/>
      <c r="CMK59" s="414"/>
      <c r="CML59" s="414"/>
      <c r="CMM59" s="414"/>
      <c r="CMN59" s="414"/>
      <c r="CMO59" s="414"/>
      <c r="CMP59" s="414"/>
      <c r="CMQ59" s="414"/>
      <c r="CMR59" s="414"/>
      <c r="CMS59" s="414"/>
      <c r="CMT59" s="414"/>
      <c r="CMU59" s="414"/>
      <c r="CMV59" s="414"/>
      <c r="CMW59" s="414"/>
      <c r="CMX59" s="414"/>
      <c r="CMY59" s="414"/>
      <c r="CMZ59" s="414"/>
      <c r="CNA59" s="414"/>
      <c r="CNB59" s="414"/>
      <c r="CNC59" s="414"/>
      <c r="CND59" s="414"/>
      <c r="CNE59" s="414"/>
      <c r="CNF59" s="414"/>
      <c r="CNG59" s="414"/>
      <c r="CNH59" s="414"/>
      <c r="CNI59" s="414"/>
      <c r="CNJ59" s="414"/>
      <c r="CNK59" s="414"/>
      <c r="CNL59" s="414"/>
      <c r="CNM59" s="414"/>
      <c r="CNN59" s="414"/>
      <c r="CNO59" s="414"/>
      <c r="CNP59" s="414"/>
      <c r="CNQ59" s="414"/>
      <c r="CNR59" s="414"/>
      <c r="CNS59" s="414"/>
      <c r="CNT59" s="414"/>
      <c r="CNU59" s="414"/>
      <c r="CNV59" s="414"/>
      <c r="CNW59" s="414"/>
      <c r="CNX59" s="414"/>
      <c r="CNY59" s="414"/>
      <c r="CNZ59" s="414"/>
      <c r="COA59" s="414"/>
      <c r="COB59" s="414"/>
      <c r="COC59" s="414"/>
      <c r="COD59" s="414"/>
      <c r="COE59" s="414"/>
      <c r="COF59" s="414"/>
      <c r="COG59" s="414"/>
      <c r="COH59" s="414"/>
      <c r="COI59" s="414"/>
      <c r="COJ59" s="414"/>
      <c r="COK59" s="414"/>
      <c r="COL59" s="414"/>
      <c r="COM59" s="414"/>
      <c r="CON59" s="414"/>
      <c r="COO59" s="414"/>
      <c r="COP59" s="414"/>
      <c r="COQ59" s="414"/>
      <c r="COR59" s="414"/>
      <c r="COS59" s="414"/>
      <c r="COT59" s="414"/>
      <c r="COU59" s="414"/>
      <c r="COV59" s="414"/>
      <c r="COW59" s="414"/>
      <c r="COX59" s="414"/>
      <c r="COY59" s="414"/>
      <c r="COZ59" s="414"/>
      <c r="CPA59" s="414"/>
      <c r="CPB59" s="414"/>
      <c r="CPC59" s="414"/>
      <c r="CPD59" s="414"/>
      <c r="CPE59" s="414"/>
      <c r="CPF59" s="414"/>
      <c r="CPG59" s="414"/>
      <c r="CPH59" s="414"/>
      <c r="CPI59" s="414"/>
      <c r="CPJ59" s="414"/>
      <c r="CPK59" s="414"/>
      <c r="CPL59" s="414"/>
      <c r="CPM59" s="414"/>
      <c r="CPN59" s="414"/>
      <c r="CPO59" s="414"/>
      <c r="CPP59" s="414"/>
      <c r="CPQ59" s="414"/>
      <c r="CPR59" s="414"/>
      <c r="CPS59" s="414"/>
      <c r="CPT59" s="414"/>
      <c r="CPU59" s="414"/>
      <c r="CPV59" s="414"/>
      <c r="CPW59" s="414"/>
      <c r="CPX59" s="414"/>
      <c r="CPY59" s="414"/>
      <c r="CPZ59" s="414"/>
      <c r="CQA59" s="414"/>
      <c r="CQB59" s="414"/>
      <c r="CQC59" s="414"/>
      <c r="CQD59" s="414"/>
      <c r="CQE59" s="414"/>
      <c r="CQF59" s="414"/>
      <c r="CQG59" s="414"/>
      <c r="CQH59" s="414"/>
      <c r="CQI59" s="414"/>
      <c r="CQJ59" s="414"/>
      <c r="CQK59" s="414"/>
      <c r="CQL59" s="414"/>
      <c r="CQM59" s="414"/>
      <c r="CQN59" s="414"/>
      <c r="CQO59" s="414"/>
      <c r="CQP59" s="414"/>
      <c r="CQQ59" s="414"/>
      <c r="CQR59" s="414"/>
      <c r="CQS59" s="414"/>
      <c r="CQT59" s="414"/>
      <c r="CQU59" s="414"/>
      <c r="CQV59" s="414"/>
      <c r="CQW59" s="414"/>
      <c r="CQX59" s="414"/>
      <c r="CQY59" s="414"/>
      <c r="CQZ59" s="414"/>
      <c r="CRA59" s="414"/>
      <c r="CRB59" s="414"/>
      <c r="CRC59" s="414"/>
      <c r="CRD59" s="414"/>
      <c r="CRE59" s="414"/>
      <c r="CRF59" s="414"/>
      <c r="CRG59" s="414"/>
      <c r="CRH59" s="414"/>
      <c r="CRI59" s="414"/>
      <c r="CRJ59" s="414"/>
      <c r="CRK59" s="414"/>
      <c r="CRL59" s="414"/>
      <c r="CRM59" s="414"/>
      <c r="CRN59" s="414"/>
      <c r="CRO59" s="414"/>
      <c r="CRP59" s="414"/>
      <c r="CRQ59" s="414"/>
      <c r="CRR59" s="414"/>
      <c r="CRS59" s="414"/>
      <c r="CRT59" s="414"/>
      <c r="CRU59" s="414"/>
      <c r="CRV59" s="414"/>
      <c r="CRW59" s="414"/>
      <c r="CRX59" s="414"/>
      <c r="CRY59" s="414"/>
      <c r="CRZ59" s="414"/>
      <c r="CSA59" s="414"/>
      <c r="CSB59" s="414"/>
      <c r="CSC59" s="414"/>
      <c r="CSD59" s="414"/>
      <c r="CSE59" s="414"/>
      <c r="CSF59" s="414"/>
      <c r="CSG59" s="414"/>
      <c r="CSH59" s="414"/>
      <c r="CSI59" s="414"/>
      <c r="CSJ59" s="414"/>
      <c r="CSK59" s="414"/>
      <c r="CSL59" s="414"/>
      <c r="CSM59" s="414"/>
      <c r="CSN59" s="414"/>
      <c r="CSO59" s="414"/>
      <c r="CSP59" s="414"/>
      <c r="CSQ59" s="414"/>
      <c r="CSR59" s="414"/>
      <c r="CSS59" s="414"/>
      <c r="CST59" s="414"/>
      <c r="CSU59" s="414"/>
      <c r="CSV59" s="414"/>
      <c r="CSW59" s="414"/>
      <c r="CSX59" s="414"/>
      <c r="CSY59" s="414"/>
      <c r="CSZ59" s="414"/>
      <c r="CTA59" s="414"/>
      <c r="CTB59" s="414"/>
      <c r="CTC59" s="414"/>
      <c r="CTD59" s="414"/>
      <c r="CTE59" s="414"/>
      <c r="CTF59" s="414"/>
      <c r="CTG59" s="414"/>
      <c r="CTH59" s="414"/>
      <c r="CTI59" s="414"/>
      <c r="CTJ59" s="414"/>
      <c r="CTK59" s="414"/>
      <c r="CTL59" s="414"/>
      <c r="CTM59" s="414"/>
      <c r="CTN59" s="414"/>
      <c r="CTO59" s="414"/>
      <c r="CTP59" s="414"/>
      <c r="CTQ59" s="414"/>
      <c r="CTR59" s="414"/>
      <c r="CTS59" s="414"/>
      <c r="CTT59" s="414"/>
      <c r="CTU59" s="414"/>
      <c r="CTV59" s="414"/>
      <c r="CTW59" s="414"/>
      <c r="CTX59" s="414"/>
      <c r="CTY59" s="414"/>
      <c r="CTZ59" s="414"/>
      <c r="CUA59" s="414"/>
      <c r="CUB59" s="414"/>
      <c r="CUC59" s="414"/>
      <c r="CUD59" s="414"/>
      <c r="CUE59" s="414"/>
      <c r="CUF59" s="414"/>
      <c r="CUG59" s="414"/>
      <c r="CUH59" s="414"/>
      <c r="CUI59" s="414"/>
      <c r="CUJ59" s="414"/>
      <c r="CUK59" s="414"/>
      <c r="CUL59" s="414"/>
      <c r="CUM59" s="414"/>
      <c r="CUN59" s="414"/>
      <c r="CUO59" s="414"/>
      <c r="CUP59" s="414"/>
      <c r="CUQ59" s="414"/>
      <c r="CUR59" s="414"/>
      <c r="CUS59" s="414"/>
      <c r="CUT59" s="414"/>
      <c r="CUU59" s="414"/>
      <c r="CUV59" s="414"/>
      <c r="CUW59" s="414"/>
      <c r="CUX59" s="414"/>
      <c r="CUY59" s="414"/>
      <c r="CUZ59" s="414"/>
      <c r="CVA59" s="414"/>
      <c r="CVB59" s="414"/>
      <c r="CVC59" s="414"/>
      <c r="CVD59" s="414"/>
      <c r="CVE59" s="414"/>
      <c r="CVF59" s="414"/>
      <c r="CVG59" s="414"/>
      <c r="CVH59" s="414"/>
      <c r="CVI59" s="414"/>
      <c r="CVJ59" s="414"/>
      <c r="CVK59" s="414"/>
      <c r="CVL59" s="414"/>
      <c r="CVM59" s="414"/>
      <c r="CVN59" s="414"/>
      <c r="CVO59" s="414"/>
      <c r="CVP59" s="414"/>
      <c r="CVQ59" s="414"/>
      <c r="CVR59" s="414"/>
      <c r="CVS59" s="414"/>
      <c r="CVT59" s="414"/>
      <c r="CVU59" s="414"/>
      <c r="CVV59" s="414"/>
      <c r="CVW59" s="414"/>
      <c r="CVX59" s="414"/>
      <c r="CVY59" s="414"/>
      <c r="CVZ59" s="414"/>
      <c r="CWA59" s="414"/>
      <c r="CWB59" s="414"/>
      <c r="CWC59" s="414"/>
      <c r="CWD59" s="414"/>
      <c r="CWE59" s="414"/>
      <c r="CWF59" s="414"/>
      <c r="CWG59" s="414"/>
      <c r="CWH59" s="414"/>
      <c r="CWI59" s="414"/>
      <c r="CWJ59" s="414"/>
      <c r="CWK59" s="414"/>
      <c r="CWL59" s="414"/>
      <c r="CWM59" s="414"/>
      <c r="CWN59" s="414"/>
      <c r="CWO59" s="414"/>
      <c r="CWP59" s="414"/>
      <c r="CWQ59" s="414"/>
      <c r="CWR59" s="414"/>
      <c r="CWS59" s="414"/>
      <c r="CWT59" s="414"/>
      <c r="CWU59" s="414"/>
      <c r="CWV59" s="414"/>
      <c r="CWW59" s="414"/>
      <c r="CWX59" s="414"/>
      <c r="CWY59" s="414"/>
      <c r="CWZ59" s="414"/>
      <c r="CXA59" s="414"/>
      <c r="CXB59" s="414"/>
      <c r="CXC59" s="414"/>
      <c r="CXD59" s="414"/>
      <c r="CXE59" s="414"/>
      <c r="CXF59" s="414"/>
      <c r="CXG59" s="414"/>
      <c r="CXH59" s="414"/>
      <c r="CXI59" s="414"/>
      <c r="CXJ59" s="414"/>
      <c r="CXK59" s="414"/>
      <c r="CXL59" s="414"/>
      <c r="CXM59" s="414"/>
      <c r="CXN59" s="414"/>
      <c r="CXO59" s="414"/>
      <c r="CXP59" s="414"/>
      <c r="CXQ59" s="414"/>
      <c r="CXR59" s="414"/>
      <c r="CXS59" s="414"/>
      <c r="CXT59" s="414"/>
      <c r="CXU59" s="414"/>
      <c r="CXV59" s="414"/>
      <c r="CXW59" s="414"/>
      <c r="CXX59" s="414"/>
      <c r="CXY59" s="414"/>
      <c r="CXZ59" s="414"/>
      <c r="CYA59" s="414"/>
      <c r="CYB59" s="414"/>
      <c r="CYC59" s="414"/>
      <c r="CYD59" s="414"/>
      <c r="CYE59" s="414"/>
      <c r="CYF59" s="414"/>
      <c r="CYG59" s="414"/>
      <c r="CYH59" s="414"/>
      <c r="CYI59" s="414"/>
      <c r="CYJ59" s="414"/>
      <c r="CYK59" s="414"/>
      <c r="CYL59" s="414"/>
      <c r="CYM59" s="414"/>
      <c r="CYN59" s="414"/>
      <c r="CYO59" s="414"/>
      <c r="CYP59" s="414"/>
      <c r="CYQ59" s="414"/>
      <c r="CYR59" s="414"/>
      <c r="CYS59" s="414"/>
      <c r="CYT59" s="414"/>
      <c r="CYU59" s="414"/>
      <c r="CYV59" s="414"/>
      <c r="CYW59" s="414"/>
      <c r="CYX59" s="414"/>
      <c r="CYY59" s="414"/>
      <c r="CYZ59" s="414"/>
      <c r="CZA59" s="414"/>
      <c r="CZB59" s="414"/>
      <c r="CZC59" s="414"/>
      <c r="CZD59" s="414"/>
      <c r="CZE59" s="414"/>
      <c r="CZF59" s="414"/>
      <c r="CZG59" s="414"/>
      <c r="CZH59" s="414"/>
      <c r="CZI59" s="414"/>
      <c r="CZJ59" s="414"/>
      <c r="CZK59" s="414"/>
      <c r="CZL59" s="414"/>
      <c r="CZM59" s="414"/>
      <c r="CZN59" s="414"/>
      <c r="CZO59" s="414"/>
      <c r="CZP59" s="414"/>
      <c r="CZQ59" s="414"/>
      <c r="CZR59" s="414"/>
      <c r="CZS59" s="414"/>
      <c r="CZT59" s="414"/>
      <c r="CZU59" s="414"/>
      <c r="CZV59" s="414"/>
      <c r="CZW59" s="414"/>
      <c r="CZX59" s="414"/>
      <c r="CZY59" s="414"/>
      <c r="CZZ59" s="414"/>
      <c r="DAA59" s="414"/>
      <c r="DAB59" s="414"/>
      <c r="DAC59" s="414"/>
      <c r="DAD59" s="414"/>
      <c r="DAE59" s="414"/>
      <c r="DAF59" s="414"/>
      <c r="DAG59" s="414"/>
      <c r="DAH59" s="414"/>
      <c r="DAI59" s="414"/>
      <c r="DAJ59" s="414"/>
      <c r="DAK59" s="414"/>
      <c r="DAL59" s="414"/>
      <c r="DAM59" s="414"/>
      <c r="DAN59" s="414"/>
      <c r="DAO59" s="414"/>
      <c r="DAP59" s="414"/>
      <c r="DAQ59" s="414"/>
      <c r="DAR59" s="414"/>
      <c r="DAS59" s="414"/>
      <c r="DAT59" s="414"/>
      <c r="DAU59" s="414"/>
      <c r="DAV59" s="414"/>
      <c r="DAW59" s="414"/>
      <c r="DAX59" s="414"/>
      <c r="DAY59" s="414"/>
      <c r="DAZ59" s="414"/>
      <c r="DBA59" s="414"/>
      <c r="DBB59" s="414"/>
      <c r="DBC59" s="414"/>
      <c r="DBD59" s="414"/>
      <c r="DBE59" s="414"/>
      <c r="DBF59" s="414"/>
      <c r="DBG59" s="414"/>
      <c r="DBH59" s="414"/>
      <c r="DBI59" s="414"/>
      <c r="DBJ59" s="414"/>
      <c r="DBK59" s="414"/>
      <c r="DBL59" s="414"/>
      <c r="DBM59" s="414"/>
      <c r="DBN59" s="414"/>
      <c r="DBO59" s="414"/>
      <c r="DBP59" s="414"/>
      <c r="DBQ59" s="414"/>
      <c r="DBR59" s="414"/>
      <c r="DBS59" s="414"/>
      <c r="DBT59" s="414"/>
      <c r="DBU59" s="414"/>
      <c r="DBV59" s="414"/>
      <c r="DBW59" s="414"/>
      <c r="DBX59" s="414"/>
      <c r="DBY59" s="414"/>
      <c r="DBZ59" s="414"/>
      <c r="DCA59" s="414"/>
      <c r="DCB59" s="414"/>
      <c r="DCC59" s="414"/>
      <c r="DCD59" s="414"/>
      <c r="DCE59" s="414"/>
      <c r="DCF59" s="414"/>
      <c r="DCG59" s="414"/>
      <c r="DCH59" s="414"/>
      <c r="DCI59" s="414"/>
      <c r="DCJ59" s="414"/>
      <c r="DCK59" s="414"/>
      <c r="DCL59" s="414"/>
      <c r="DCM59" s="414"/>
      <c r="DCN59" s="414"/>
      <c r="DCO59" s="414"/>
      <c r="DCP59" s="414"/>
      <c r="DCQ59" s="414"/>
      <c r="DCR59" s="414"/>
      <c r="DCS59" s="414"/>
      <c r="DCT59" s="414"/>
      <c r="DCU59" s="414"/>
      <c r="DCV59" s="414"/>
      <c r="DCW59" s="414"/>
      <c r="DCX59" s="414"/>
      <c r="DCY59" s="414"/>
      <c r="DCZ59" s="414"/>
      <c r="DDA59" s="414"/>
      <c r="DDB59" s="414"/>
      <c r="DDC59" s="414"/>
      <c r="DDD59" s="414"/>
      <c r="DDE59" s="414"/>
      <c r="DDF59" s="414"/>
      <c r="DDG59" s="414"/>
      <c r="DDH59" s="414"/>
      <c r="DDI59" s="414"/>
      <c r="DDJ59" s="414"/>
      <c r="DDK59" s="414"/>
      <c r="DDL59" s="414"/>
      <c r="DDM59" s="414"/>
      <c r="DDN59" s="414"/>
      <c r="DDO59" s="414"/>
      <c r="DDP59" s="414"/>
      <c r="DDQ59" s="414"/>
      <c r="DDR59" s="414"/>
      <c r="DDS59" s="414"/>
      <c r="DDT59" s="414"/>
      <c r="DDU59" s="414"/>
      <c r="DDV59" s="414"/>
      <c r="DDW59" s="414"/>
      <c r="DDX59" s="414"/>
      <c r="DDY59" s="414"/>
      <c r="DDZ59" s="414"/>
      <c r="DEA59" s="414"/>
      <c r="DEB59" s="414"/>
      <c r="DEC59" s="414"/>
      <c r="DED59" s="414"/>
      <c r="DEE59" s="414"/>
      <c r="DEF59" s="414"/>
      <c r="DEG59" s="414"/>
      <c r="DEH59" s="414"/>
      <c r="DEI59" s="414"/>
      <c r="DEJ59" s="414"/>
      <c r="DEK59" s="414"/>
      <c r="DEL59" s="414"/>
      <c r="DEM59" s="414"/>
      <c r="DEN59" s="414"/>
      <c r="DEO59" s="414"/>
      <c r="DEP59" s="414"/>
      <c r="DEQ59" s="414"/>
      <c r="DER59" s="414"/>
      <c r="DES59" s="414"/>
      <c r="DET59" s="414"/>
      <c r="DEU59" s="414"/>
      <c r="DEV59" s="414"/>
      <c r="DEW59" s="414"/>
      <c r="DEX59" s="414"/>
      <c r="DEY59" s="414"/>
      <c r="DEZ59" s="414"/>
      <c r="DFA59" s="414"/>
      <c r="DFB59" s="414"/>
      <c r="DFC59" s="414"/>
      <c r="DFD59" s="414"/>
      <c r="DFE59" s="414"/>
      <c r="DFF59" s="414"/>
      <c r="DFG59" s="414"/>
      <c r="DFH59" s="414"/>
      <c r="DFI59" s="414"/>
      <c r="DFJ59" s="414"/>
      <c r="DFK59" s="414"/>
      <c r="DFL59" s="414"/>
      <c r="DFM59" s="414"/>
      <c r="DFN59" s="414"/>
      <c r="DFO59" s="414"/>
      <c r="DFP59" s="414"/>
      <c r="DFQ59" s="414"/>
      <c r="DFR59" s="414"/>
      <c r="DFS59" s="414"/>
      <c r="DFT59" s="414"/>
      <c r="DFU59" s="414"/>
      <c r="DFV59" s="414"/>
      <c r="DFW59" s="414"/>
      <c r="DFX59" s="414"/>
      <c r="DFY59" s="414"/>
      <c r="DFZ59" s="414"/>
      <c r="DGA59" s="414"/>
      <c r="DGB59" s="414"/>
      <c r="DGC59" s="414"/>
      <c r="DGD59" s="414"/>
      <c r="DGE59" s="414"/>
      <c r="DGF59" s="414"/>
      <c r="DGG59" s="414"/>
      <c r="DGH59" s="414"/>
      <c r="DGI59" s="414"/>
      <c r="DGJ59" s="414"/>
      <c r="DGK59" s="414"/>
      <c r="DGL59" s="414"/>
      <c r="DGM59" s="414"/>
      <c r="DGN59" s="414"/>
      <c r="DGO59" s="414"/>
      <c r="DGP59" s="414"/>
      <c r="DGQ59" s="414"/>
      <c r="DGR59" s="414"/>
      <c r="DGS59" s="414"/>
      <c r="DGT59" s="414"/>
      <c r="DGU59" s="414"/>
      <c r="DGV59" s="414"/>
      <c r="DGW59" s="414"/>
      <c r="DGX59" s="414"/>
      <c r="DGY59" s="414"/>
      <c r="DGZ59" s="414"/>
      <c r="DHA59" s="414"/>
      <c r="DHB59" s="414"/>
      <c r="DHC59" s="414"/>
      <c r="DHD59" s="414"/>
      <c r="DHE59" s="414"/>
      <c r="DHF59" s="414"/>
      <c r="DHG59" s="414"/>
      <c r="DHH59" s="414"/>
      <c r="DHI59" s="414"/>
      <c r="DHJ59" s="414"/>
      <c r="DHK59" s="414"/>
      <c r="DHL59" s="414"/>
      <c r="DHM59" s="414"/>
      <c r="DHN59" s="414"/>
      <c r="DHO59" s="414"/>
      <c r="DHP59" s="414"/>
      <c r="DHQ59" s="414"/>
      <c r="DHR59" s="414"/>
      <c r="DHS59" s="414"/>
      <c r="DHT59" s="414"/>
      <c r="DHU59" s="414"/>
      <c r="DHV59" s="414"/>
      <c r="DHW59" s="414"/>
      <c r="DHX59" s="414"/>
      <c r="DHY59" s="414"/>
      <c r="DHZ59" s="414"/>
      <c r="DIA59" s="414"/>
      <c r="DIB59" s="414"/>
      <c r="DIC59" s="414"/>
      <c r="DID59" s="414"/>
      <c r="DIE59" s="414"/>
      <c r="DIF59" s="414"/>
      <c r="DIG59" s="414"/>
      <c r="DIH59" s="414"/>
      <c r="DII59" s="414"/>
      <c r="DIJ59" s="414"/>
      <c r="DIK59" s="414"/>
      <c r="DIL59" s="414"/>
      <c r="DIM59" s="414"/>
      <c r="DIN59" s="414"/>
      <c r="DIO59" s="414"/>
      <c r="DIP59" s="414"/>
      <c r="DIQ59" s="414"/>
      <c r="DIR59" s="414"/>
      <c r="DIS59" s="414"/>
      <c r="DIT59" s="414"/>
      <c r="DIU59" s="414"/>
      <c r="DIV59" s="414"/>
      <c r="DIW59" s="414"/>
      <c r="DIX59" s="414"/>
      <c r="DIY59" s="414"/>
      <c r="DIZ59" s="414"/>
      <c r="DJA59" s="414"/>
      <c r="DJB59" s="414"/>
      <c r="DJC59" s="414"/>
      <c r="DJD59" s="414"/>
      <c r="DJE59" s="414"/>
      <c r="DJF59" s="414"/>
      <c r="DJG59" s="414"/>
      <c r="DJH59" s="414"/>
      <c r="DJI59" s="414"/>
      <c r="DJJ59" s="414"/>
      <c r="DJK59" s="414"/>
      <c r="DJL59" s="414"/>
      <c r="DJM59" s="414"/>
      <c r="DJN59" s="414"/>
      <c r="DJO59" s="414"/>
      <c r="DJP59" s="414"/>
      <c r="DJQ59" s="414"/>
      <c r="DJR59" s="414"/>
      <c r="DJS59" s="414"/>
      <c r="DJT59" s="414"/>
      <c r="DJU59" s="414"/>
      <c r="DJV59" s="414"/>
      <c r="DJW59" s="414"/>
      <c r="DJX59" s="414"/>
      <c r="DJY59" s="414"/>
      <c r="DJZ59" s="414"/>
      <c r="DKA59" s="414"/>
      <c r="DKB59" s="414"/>
      <c r="DKC59" s="414"/>
      <c r="DKD59" s="414"/>
      <c r="DKE59" s="414"/>
      <c r="DKF59" s="414"/>
      <c r="DKG59" s="414"/>
      <c r="DKH59" s="414"/>
      <c r="DKI59" s="414"/>
      <c r="DKJ59" s="414"/>
      <c r="DKK59" s="414"/>
      <c r="DKL59" s="414"/>
      <c r="DKM59" s="414"/>
      <c r="DKN59" s="414"/>
      <c r="DKO59" s="414"/>
      <c r="DKP59" s="414"/>
      <c r="DKQ59" s="414"/>
      <c r="DKR59" s="414"/>
      <c r="DKS59" s="414"/>
      <c r="DKT59" s="414"/>
      <c r="DKU59" s="414"/>
      <c r="DKV59" s="414"/>
      <c r="DKW59" s="414"/>
      <c r="DKX59" s="414"/>
      <c r="DKY59" s="414"/>
      <c r="DKZ59" s="414"/>
      <c r="DLA59" s="414"/>
      <c r="DLB59" s="414"/>
      <c r="DLC59" s="414"/>
      <c r="DLD59" s="414"/>
      <c r="DLE59" s="414"/>
      <c r="DLF59" s="414"/>
      <c r="DLG59" s="414"/>
      <c r="DLH59" s="414"/>
      <c r="DLI59" s="414"/>
      <c r="DLJ59" s="414"/>
      <c r="DLK59" s="414"/>
      <c r="DLL59" s="414"/>
      <c r="DLM59" s="414"/>
      <c r="DLN59" s="414"/>
      <c r="DLO59" s="414"/>
      <c r="DLP59" s="414"/>
      <c r="DLQ59" s="414"/>
      <c r="DLR59" s="414"/>
      <c r="DLS59" s="414"/>
      <c r="DLT59" s="414"/>
      <c r="DLU59" s="414"/>
      <c r="DLV59" s="414"/>
      <c r="DLW59" s="414"/>
      <c r="DLX59" s="414"/>
      <c r="DLY59" s="414"/>
      <c r="DLZ59" s="414"/>
      <c r="DMA59" s="414"/>
      <c r="DMB59" s="414"/>
      <c r="DMC59" s="414"/>
      <c r="DMD59" s="414"/>
      <c r="DME59" s="414"/>
      <c r="DMF59" s="414"/>
      <c r="DMG59" s="414"/>
      <c r="DMH59" s="414"/>
      <c r="DMI59" s="414"/>
      <c r="DMJ59" s="414"/>
      <c r="DMK59" s="414"/>
      <c r="DML59" s="414"/>
      <c r="DMM59" s="414"/>
      <c r="DMN59" s="414"/>
      <c r="DMO59" s="414"/>
      <c r="DMP59" s="414"/>
      <c r="DMQ59" s="414"/>
      <c r="DMR59" s="414"/>
      <c r="DMS59" s="414"/>
      <c r="DMT59" s="414"/>
      <c r="DMU59" s="414"/>
      <c r="DMV59" s="414"/>
      <c r="DMW59" s="414"/>
      <c r="DMX59" s="414"/>
      <c r="DMY59" s="414"/>
      <c r="DMZ59" s="414"/>
      <c r="DNA59" s="414"/>
      <c r="DNB59" s="414"/>
      <c r="DNC59" s="414"/>
      <c r="DND59" s="414"/>
      <c r="DNE59" s="414"/>
      <c r="DNF59" s="414"/>
      <c r="DNG59" s="414"/>
      <c r="DNH59" s="414"/>
      <c r="DNI59" s="414"/>
      <c r="DNJ59" s="414"/>
      <c r="DNK59" s="414"/>
      <c r="DNL59" s="414"/>
      <c r="DNM59" s="414"/>
      <c r="DNN59" s="414"/>
      <c r="DNO59" s="414"/>
      <c r="DNP59" s="414"/>
      <c r="DNQ59" s="414"/>
      <c r="DNR59" s="414"/>
      <c r="DNS59" s="414"/>
      <c r="DNT59" s="414"/>
      <c r="DNU59" s="414"/>
      <c r="DNV59" s="414"/>
      <c r="DNW59" s="414"/>
      <c r="DNX59" s="414"/>
      <c r="DNY59" s="414"/>
      <c r="DNZ59" s="414"/>
      <c r="DOA59" s="414"/>
      <c r="DOB59" s="414"/>
      <c r="DOC59" s="414"/>
      <c r="DOD59" s="414"/>
      <c r="DOE59" s="414"/>
      <c r="DOF59" s="414"/>
      <c r="DOG59" s="414"/>
      <c r="DOH59" s="414"/>
      <c r="DOI59" s="414"/>
      <c r="DOJ59" s="414"/>
      <c r="DOK59" s="414"/>
      <c r="DOL59" s="414"/>
      <c r="DOM59" s="414"/>
      <c r="DON59" s="414"/>
      <c r="DOO59" s="414"/>
      <c r="DOP59" s="414"/>
      <c r="DOQ59" s="414"/>
      <c r="DOR59" s="414"/>
      <c r="DOS59" s="414"/>
      <c r="DOT59" s="414"/>
      <c r="DOU59" s="414"/>
      <c r="DOV59" s="414"/>
      <c r="DOW59" s="414"/>
      <c r="DOX59" s="414"/>
      <c r="DOY59" s="414"/>
      <c r="DOZ59" s="414"/>
      <c r="DPA59" s="414"/>
      <c r="DPB59" s="414"/>
      <c r="DPC59" s="414"/>
      <c r="DPD59" s="414"/>
      <c r="DPE59" s="414"/>
      <c r="DPF59" s="414"/>
      <c r="DPG59" s="414"/>
      <c r="DPH59" s="414"/>
      <c r="DPI59" s="414"/>
      <c r="DPJ59" s="414"/>
      <c r="DPK59" s="414"/>
      <c r="DPL59" s="414"/>
      <c r="DPM59" s="414"/>
      <c r="DPN59" s="414"/>
      <c r="DPO59" s="414"/>
      <c r="DPP59" s="414"/>
      <c r="DPQ59" s="414"/>
      <c r="DPR59" s="414"/>
      <c r="DPS59" s="414"/>
      <c r="DPT59" s="414"/>
      <c r="DPU59" s="414"/>
      <c r="DPV59" s="414"/>
      <c r="DPW59" s="414"/>
      <c r="DPX59" s="414"/>
      <c r="DPY59" s="414"/>
      <c r="DPZ59" s="414"/>
      <c r="DQA59" s="414"/>
      <c r="DQB59" s="414"/>
      <c r="DQC59" s="414"/>
      <c r="DQD59" s="414"/>
      <c r="DQE59" s="414"/>
      <c r="DQF59" s="414"/>
      <c r="DQG59" s="414"/>
      <c r="DQH59" s="414"/>
      <c r="DQI59" s="414"/>
      <c r="DQJ59" s="414"/>
      <c r="DQK59" s="414"/>
      <c r="DQL59" s="414"/>
      <c r="DQM59" s="414"/>
      <c r="DQN59" s="414"/>
      <c r="DQO59" s="414"/>
      <c r="DQP59" s="414"/>
      <c r="DQQ59" s="414"/>
      <c r="DQR59" s="414"/>
      <c r="DQS59" s="414"/>
      <c r="DQT59" s="414"/>
      <c r="DQU59" s="414"/>
      <c r="DQV59" s="414"/>
      <c r="DQW59" s="414"/>
      <c r="DQX59" s="414"/>
      <c r="DQY59" s="414"/>
      <c r="DQZ59" s="414"/>
      <c r="DRA59" s="414"/>
      <c r="DRB59" s="414"/>
      <c r="DRC59" s="414"/>
      <c r="DRD59" s="414"/>
      <c r="DRE59" s="414"/>
      <c r="DRF59" s="414"/>
      <c r="DRG59" s="414"/>
      <c r="DRH59" s="414"/>
      <c r="DRI59" s="414"/>
      <c r="DRJ59" s="414"/>
      <c r="DRK59" s="414"/>
      <c r="DRL59" s="414"/>
      <c r="DRM59" s="414"/>
      <c r="DRN59" s="414"/>
      <c r="DRO59" s="414"/>
      <c r="DRP59" s="414"/>
      <c r="DRQ59" s="414"/>
      <c r="DRR59" s="414"/>
      <c r="DRS59" s="414"/>
      <c r="DRT59" s="414"/>
      <c r="DRU59" s="414"/>
      <c r="DRV59" s="414"/>
      <c r="DRW59" s="414"/>
      <c r="DRX59" s="414"/>
      <c r="DRY59" s="414"/>
      <c r="DRZ59" s="414"/>
      <c r="DSA59" s="414"/>
      <c r="DSB59" s="414"/>
      <c r="DSC59" s="414"/>
      <c r="DSD59" s="414"/>
      <c r="DSE59" s="414"/>
      <c r="DSF59" s="414"/>
      <c r="DSG59" s="414"/>
      <c r="DSH59" s="414"/>
      <c r="DSI59" s="414"/>
      <c r="DSJ59" s="414"/>
      <c r="DSK59" s="414"/>
      <c r="DSL59" s="414"/>
      <c r="DSM59" s="414"/>
      <c r="DSN59" s="414"/>
      <c r="DSO59" s="414"/>
      <c r="DSP59" s="414"/>
      <c r="DSQ59" s="414"/>
      <c r="DSR59" s="414"/>
      <c r="DSS59" s="414"/>
      <c r="DST59" s="414"/>
      <c r="DSU59" s="414"/>
      <c r="DSV59" s="414"/>
      <c r="DSW59" s="414"/>
      <c r="DSX59" s="414"/>
      <c r="DSY59" s="414"/>
      <c r="DSZ59" s="414"/>
      <c r="DTA59" s="414"/>
      <c r="DTB59" s="414"/>
      <c r="DTC59" s="414"/>
      <c r="DTD59" s="414"/>
      <c r="DTE59" s="414"/>
      <c r="DTF59" s="414"/>
      <c r="DTG59" s="414"/>
      <c r="DTH59" s="414"/>
      <c r="DTI59" s="414"/>
      <c r="DTJ59" s="414"/>
      <c r="DTK59" s="414"/>
      <c r="DTL59" s="414"/>
      <c r="DTM59" s="414"/>
      <c r="DTN59" s="414"/>
      <c r="DTO59" s="414"/>
      <c r="DTP59" s="414"/>
      <c r="DTQ59" s="414"/>
      <c r="DTR59" s="414"/>
      <c r="DTS59" s="414"/>
      <c r="DTT59" s="414"/>
      <c r="DTU59" s="414"/>
      <c r="DTV59" s="414"/>
      <c r="DTW59" s="414"/>
      <c r="DTX59" s="414"/>
      <c r="DTY59" s="414"/>
      <c r="DTZ59" s="414"/>
      <c r="DUA59" s="414"/>
      <c r="DUB59" s="414"/>
      <c r="DUC59" s="414"/>
      <c r="DUD59" s="414"/>
      <c r="DUE59" s="414"/>
      <c r="DUF59" s="414"/>
      <c r="DUG59" s="414"/>
      <c r="DUH59" s="414"/>
      <c r="DUI59" s="414"/>
      <c r="DUJ59" s="414"/>
      <c r="DUK59" s="414"/>
      <c r="DUL59" s="414"/>
      <c r="DUM59" s="414"/>
      <c r="DUN59" s="414"/>
      <c r="DUO59" s="414"/>
      <c r="DUP59" s="414"/>
      <c r="DUQ59" s="414"/>
      <c r="DUR59" s="414"/>
      <c r="DUS59" s="414"/>
      <c r="DUT59" s="414"/>
      <c r="DUU59" s="414"/>
      <c r="DUV59" s="414"/>
      <c r="DUW59" s="414"/>
      <c r="DUX59" s="414"/>
      <c r="DUY59" s="414"/>
      <c r="DUZ59" s="414"/>
      <c r="DVA59" s="414"/>
      <c r="DVB59" s="414"/>
      <c r="DVC59" s="414"/>
      <c r="DVD59" s="414"/>
      <c r="DVE59" s="414"/>
      <c r="DVF59" s="414"/>
      <c r="DVG59" s="414"/>
      <c r="DVH59" s="414"/>
      <c r="DVI59" s="414"/>
      <c r="DVJ59" s="414"/>
      <c r="DVK59" s="414"/>
      <c r="DVL59" s="414"/>
      <c r="DVM59" s="414"/>
      <c r="DVN59" s="414"/>
      <c r="DVO59" s="414"/>
      <c r="DVP59" s="414"/>
      <c r="DVQ59" s="414"/>
      <c r="DVR59" s="414"/>
      <c r="DVS59" s="414"/>
      <c r="DVT59" s="414"/>
      <c r="DVU59" s="414"/>
      <c r="DVV59" s="414"/>
      <c r="DVW59" s="414"/>
      <c r="DVX59" s="414"/>
      <c r="DVY59" s="414"/>
      <c r="DVZ59" s="414"/>
      <c r="DWA59" s="414"/>
      <c r="DWB59" s="414"/>
      <c r="DWC59" s="414"/>
      <c r="DWD59" s="414"/>
      <c r="DWE59" s="414"/>
      <c r="DWF59" s="414"/>
      <c r="DWG59" s="414"/>
      <c r="DWH59" s="414"/>
      <c r="DWI59" s="414"/>
      <c r="DWJ59" s="414"/>
      <c r="DWK59" s="414"/>
      <c r="DWL59" s="414"/>
      <c r="DWM59" s="414"/>
      <c r="DWN59" s="414"/>
      <c r="DWO59" s="414"/>
      <c r="DWP59" s="414"/>
      <c r="DWQ59" s="414"/>
      <c r="DWR59" s="414"/>
      <c r="DWS59" s="414"/>
      <c r="DWT59" s="414"/>
      <c r="DWU59" s="414"/>
      <c r="DWV59" s="414"/>
      <c r="DWW59" s="414"/>
      <c r="DWX59" s="414"/>
      <c r="DWY59" s="414"/>
      <c r="DWZ59" s="414"/>
      <c r="DXA59" s="414"/>
      <c r="DXB59" s="414"/>
      <c r="DXC59" s="414"/>
      <c r="DXD59" s="414"/>
      <c r="DXE59" s="414"/>
      <c r="DXF59" s="414"/>
      <c r="DXG59" s="414"/>
      <c r="DXH59" s="414"/>
      <c r="DXI59" s="414"/>
      <c r="DXJ59" s="414"/>
      <c r="DXK59" s="414"/>
      <c r="DXL59" s="414"/>
      <c r="DXM59" s="414"/>
      <c r="DXN59" s="414"/>
      <c r="DXO59" s="414"/>
      <c r="DXP59" s="414"/>
      <c r="DXQ59" s="414"/>
      <c r="DXR59" s="414"/>
      <c r="DXS59" s="414"/>
      <c r="DXT59" s="414"/>
      <c r="DXU59" s="414"/>
      <c r="DXV59" s="414"/>
      <c r="DXW59" s="414"/>
      <c r="DXX59" s="414"/>
      <c r="DXY59" s="414"/>
      <c r="DXZ59" s="414"/>
      <c r="DYA59" s="414"/>
      <c r="DYB59" s="414"/>
      <c r="DYC59" s="414"/>
      <c r="DYD59" s="414"/>
      <c r="DYE59" s="414"/>
      <c r="DYF59" s="414"/>
      <c r="DYG59" s="414"/>
      <c r="DYH59" s="414"/>
      <c r="DYI59" s="414"/>
      <c r="DYJ59" s="414"/>
      <c r="DYK59" s="414"/>
      <c r="DYL59" s="414"/>
      <c r="DYM59" s="414"/>
      <c r="DYN59" s="414"/>
      <c r="DYO59" s="414"/>
      <c r="DYP59" s="414"/>
      <c r="DYQ59" s="414"/>
      <c r="DYR59" s="414"/>
      <c r="DYS59" s="414"/>
      <c r="DYT59" s="414"/>
      <c r="DYU59" s="414"/>
      <c r="DYV59" s="414"/>
      <c r="DYW59" s="414"/>
      <c r="DYX59" s="414"/>
      <c r="DYY59" s="414"/>
      <c r="DYZ59" s="414"/>
      <c r="DZA59" s="414"/>
      <c r="DZB59" s="414"/>
      <c r="DZC59" s="414"/>
      <c r="DZD59" s="414"/>
      <c r="DZE59" s="414"/>
      <c r="DZF59" s="414"/>
      <c r="DZG59" s="414"/>
      <c r="DZH59" s="414"/>
      <c r="DZI59" s="414"/>
      <c r="DZJ59" s="414"/>
      <c r="DZK59" s="414"/>
      <c r="DZL59" s="414"/>
      <c r="DZM59" s="414"/>
      <c r="DZN59" s="414"/>
      <c r="DZO59" s="414"/>
      <c r="DZP59" s="414"/>
      <c r="DZQ59" s="414"/>
      <c r="DZR59" s="414"/>
      <c r="DZS59" s="414"/>
      <c r="DZT59" s="414"/>
      <c r="DZU59" s="414"/>
      <c r="DZV59" s="414"/>
      <c r="DZW59" s="414"/>
      <c r="DZX59" s="414"/>
      <c r="DZY59" s="414"/>
      <c r="DZZ59" s="414"/>
      <c r="EAA59" s="414"/>
      <c r="EAB59" s="414"/>
      <c r="EAC59" s="414"/>
      <c r="EAD59" s="414"/>
      <c r="EAE59" s="414"/>
      <c r="EAF59" s="414"/>
      <c r="EAG59" s="414"/>
      <c r="EAH59" s="414"/>
      <c r="EAI59" s="414"/>
      <c r="EAJ59" s="414"/>
      <c r="EAK59" s="414"/>
      <c r="EAL59" s="414"/>
      <c r="EAM59" s="414"/>
      <c r="EAN59" s="414"/>
      <c r="EAO59" s="414"/>
      <c r="EAP59" s="414"/>
      <c r="EAQ59" s="414"/>
      <c r="EAR59" s="414"/>
      <c r="EAS59" s="414"/>
      <c r="EAT59" s="414"/>
      <c r="EAU59" s="414"/>
      <c r="EAV59" s="414"/>
      <c r="EAW59" s="414"/>
      <c r="EAX59" s="414"/>
      <c r="EAY59" s="414"/>
      <c r="EAZ59" s="414"/>
      <c r="EBA59" s="414"/>
      <c r="EBB59" s="414"/>
      <c r="EBC59" s="414"/>
      <c r="EBD59" s="414"/>
      <c r="EBE59" s="414"/>
      <c r="EBF59" s="414"/>
      <c r="EBG59" s="414"/>
      <c r="EBH59" s="414"/>
      <c r="EBI59" s="414"/>
      <c r="EBJ59" s="414"/>
      <c r="EBK59" s="414"/>
      <c r="EBL59" s="414"/>
      <c r="EBM59" s="414"/>
      <c r="EBN59" s="414"/>
      <c r="EBO59" s="414"/>
      <c r="EBP59" s="414"/>
      <c r="EBQ59" s="414"/>
      <c r="EBR59" s="414"/>
      <c r="EBS59" s="414"/>
      <c r="EBT59" s="414"/>
      <c r="EBU59" s="414"/>
      <c r="EBV59" s="414"/>
      <c r="EBW59" s="414"/>
      <c r="EBX59" s="414"/>
      <c r="EBY59" s="414"/>
      <c r="EBZ59" s="414"/>
      <c r="ECA59" s="414"/>
      <c r="ECB59" s="414"/>
      <c r="ECC59" s="414"/>
      <c r="ECD59" s="414"/>
      <c r="ECE59" s="414"/>
      <c r="ECF59" s="414"/>
      <c r="ECG59" s="414"/>
      <c r="ECH59" s="414"/>
      <c r="ECI59" s="414"/>
      <c r="ECJ59" s="414"/>
      <c r="ECK59" s="414"/>
      <c r="ECL59" s="414"/>
      <c r="ECM59" s="414"/>
      <c r="ECN59" s="414"/>
      <c r="ECO59" s="414"/>
      <c r="ECP59" s="414"/>
      <c r="ECQ59" s="414"/>
      <c r="ECR59" s="414"/>
      <c r="ECS59" s="414"/>
      <c r="ECT59" s="414"/>
      <c r="ECU59" s="414"/>
      <c r="ECV59" s="414"/>
      <c r="ECW59" s="414"/>
      <c r="ECX59" s="414"/>
      <c r="ECY59" s="414"/>
      <c r="ECZ59" s="414"/>
      <c r="EDA59" s="414"/>
      <c r="EDB59" s="414"/>
      <c r="EDC59" s="414"/>
      <c r="EDD59" s="414"/>
      <c r="EDE59" s="414"/>
      <c r="EDF59" s="414"/>
      <c r="EDG59" s="414"/>
      <c r="EDH59" s="414"/>
      <c r="EDI59" s="414"/>
      <c r="EDJ59" s="414"/>
      <c r="EDK59" s="414"/>
      <c r="EDL59" s="414"/>
      <c r="EDM59" s="414"/>
      <c r="EDN59" s="414"/>
      <c r="EDO59" s="414"/>
      <c r="EDP59" s="414"/>
      <c r="EDQ59" s="414"/>
      <c r="EDR59" s="414"/>
      <c r="EDS59" s="414"/>
      <c r="EDT59" s="414"/>
      <c r="EDU59" s="414"/>
      <c r="EDV59" s="414"/>
      <c r="EDW59" s="414"/>
      <c r="EDX59" s="414"/>
      <c r="EDY59" s="414"/>
      <c r="EDZ59" s="414"/>
      <c r="EEA59" s="414"/>
      <c r="EEB59" s="414"/>
      <c r="EEC59" s="414"/>
      <c r="EED59" s="414"/>
      <c r="EEE59" s="414"/>
      <c r="EEF59" s="414"/>
      <c r="EEG59" s="414"/>
      <c r="EEH59" s="414"/>
      <c r="EEI59" s="414"/>
      <c r="EEJ59" s="414"/>
      <c r="EEK59" s="414"/>
      <c r="EEL59" s="414"/>
      <c r="EEM59" s="414"/>
      <c r="EEN59" s="414"/>
      <c r="EEO59" s="414"/>
      <c r="EEP59" s="414"/>
      <c r="EEQ59" s="414"/>
      <c r="EER59" s="414"/>
      <c r="EES59" s="414"/>
      <c r="EET59" s="414"/>
      <c r="EEU59" s="414"/>
      <c r="EEV59" s="414"/>
      <c r="EEW59" s="414"/>
      <c r="EEX59" s="414"/>
      <c r="EEY59" s="414"/>
      <c r="EEZ59" s="414"/>
      <c r="EFA59" s="414"/>
      <c r="EFB59" s="414"/>
      <c r="EFC59" s="414"/>
      <c r="EFD59" s="414"/>
      <c r="EFE59" s="414"/>
      <c r="EFF59" s="414"/>
      <c r="EFG59" s="414"/>
      <c r="EFH59" s="414"/>
      <c r="EFI59" s="414"/>
      <c r="EFJ59" s="414"/>
      <c r="EFK59" s="414"/>
      <c r="EFL59" s="414"/>
      <c r="EFM59" s="414"/>
      <c r="EFN59" s="414"/>
      <c r="EFO59" s="414"/>
      <c r="EFP59" s="414"/>
      <c r="EFQ59" s="414"/>
      <c r="EFR59" s="414"/>
      <c r="EFS59" s="414"/>
      <c r="EFT59" s="414"/>
      <c r="EFU59" s="414"/>
      <c r="EFV59" s="414"/>
      <c r="EFW59" s="414"/>
      <c r="EFX59" s="414"/>
      <c r="EFY59" s="414"/>
      <c r="EFZ59" s="414"/>
      <c r="EGA59" s="414"/>
      <c r="EGB59" s="414"/>
      <c r="EGC59" s="414"/>
      <c r="EGD59" s="414"/>
      <c r="EGE59" s="414"/>
      <c r="EGF59" s="414"/>
      <c r="EGG59" s="414"/>
      <c r="EGH59" s="414"/>
      <c r="EGI59" s="414"/>
      <c r="EGJ59" s="414"/>
      <c r="EGK59" s="414"/>
      <c r="EGL59" s="414"/>
      <c r="EGM59" s="414"/>
      <c r="EGN59" s="414"/>
      <c r="EGO59" s="414"/>
      <c r="EGP59" s="414"/>
      <c r="EGQ59" s="414"/>
      <c r="EGR59" s="414"/>
      <c r="EGS59" s="414"/>
      <c r="EGT59" s="414"/>
      <c r="EGU59" s="414"/>
      <c r="EGV59" s="414"/>
      <c r="EGW59" s="414"/>
      <c r="EGX59" s="414"/>
      <c r="EGY59" s="414"/>
      <c r="EGZ59" s="414"/>
      <c r="EHA59" s="414"/>
      <c r="EHB59" s="414"/>
      <c r="EHC59" s="414"/>
      <c r="EHD59" s="414"/>
      <c r="EHE59" s="414"/>
      <c r="EHF59" s="414"/>
      <c r="EHG59" s="414"/>
      <c r="EHH59" s="414"/>
      <c r="EHI59" s="414"/>
      <c r="EHJ59" s="414"/>
      <c r="EHK59" s="414"/>
      <c r="EHL59" s="414"/>
      <c r="EHM59" s="414"/>
      <c r="EHN59" s="414"/>
      <c r="EHO59" s="414"/>
      <c r="EHP59" s="414"/>
      <c r="EHQ59" s="414"/>
      <c r="EHR59" s="414"/>
      <c r="EHS59" s="414"/>
      <c r="EHT59" s="414"/>
      <c r="EHU59" s="414"/>
      <c r="EHV59" s="414"/>
      <c r="EHW59" s="414"/>
      <c r="EHX59" s="414"/>
      <c r="EHY59" s="414"/>
      <c r="EHZ59" s="414"/>
      <c r="EIA59" s="414"/>
      <c r="EIB59" s="414"/>
      <c r="EIC59" s="414"/>
      <c r="EID59" s="414"/>
      <c r="EIE59" s="414"/>
      <c r="EIF59" s="414"/>
      <c r="EIG59" s="414"/>
      <c r="EIH59" s="414"/>
      <c r="EII59" s="414"/>
      <c r="EIJ59" s="414"/>
      <c r="EIK59" s="414"/>
      <c r="EIL59" s="414"/>
      <c r="EIM59" s="414"/>
      <c r="EIN59" s="414"/>
      <c r="EIO59" s="414"/>
      <c r="EIP59" s="414"/>
      <c r="EIQ59" s="414"/>
      <c r="EIR59" s="414"/>
      <c r="EIS59" s="414"/>
      <c r="EIT59" s="414"/>
      <c r="EIU59" s="414"/>
      <c r="EIV59" s="414"/>
      <c r="EIW59" s="414"/>
      <c r="EIX59" s="414"/>
      <c r="EIY59" s="414"/>
      <c r="EIZ59" s="414"/>
      <c r="EJA59" s="414"/>
      <c r="EJB59" s="414"/>
      <c r="EJC59" s="414"/>
      <c r="EJD59" s="414"/>
      <c r="EJE59" s="414"/>
      <c r="EJF59" s="414"/>
      <c r="EJG59" s="414"/>
      <c r="EJH59" s="414"/>
      <c r="EJI59" s="414"/>
      <c r="EJJ59" s="414"/>
      <c r="EJK59" s="414"/>
      <c r="EJL59" s="414"/>
      <c r="EJM59" s="414"/>
      <c r="EJN59" s="414"/>
      <c r="EJO59" s="414"/>
      <c r="EJP59" s="414"/>
      <c r="EJQ59" s="414"/>
      <c r="EJR59" s="414"/>
      <c r="EJS59" s="414"/>
      <c r="EJT59" s="414"/>
      <c r="EJU59" s="414"/>
      <c r="EJV59" s="414"/>
      <c r="EJW59" s="414"/>
      <c r="EJX59" s="414"/>
      <c r="EJY59" s="414"/>
      <c r="EJZ59" s="414"/>
      <c r="EKA59" s="414"/>
      <c r="EKB59" s="414"/>
      <c r="EKC59" s="414"/>
      <c r="EKD59" s="414"/>
      <c r="EKE59" s="414"/>
      <c r="EKF59" s="414"/>
      <c r="EKG59" s="414"/>
      <c r="EKH59" s="414"/>
      <c r="EKI59" s="414"/>
      <c r="EKJ59" s="414"/>
      <c r="EKK59" s="414"/>
      <c r="EKL59" s="414"/>
      <c r="EKM59" s="414"/>
      <c r="EKN59" s="414"/>
      <c r="EKO59" s="414"/>
      <c r="EKP59" s="414"/>
      <c r="EKQ59" s="414"/>
      <c r="EKR59" s="414"/>
      <c r="EKS59" s="414"/>
      <c r="EKT59" s="414"/>
      <c r="EKU59" s="414"/>
      <c r="EKV59" s="414"/>
      <c r="EKW59" s="414"/>
      <c r="EKX59" s="414"/>
      <c r="EKY59" s="414"/>
      <c r="EKZ59" s="414"/>
      <c r="ELA59" s="414"/>
      <c r="ELB59" s="414"/>
      <c r="ELC59" s="414"/>
      <c r="ELD59" s="414"/>
      <c r="ELE59" s="414"/>
      <c r="ELF59" s="414"/>
      <c r="ELG59" s="414"/>
      <c r="ELH59" s="414"/>
      <c r="ELI59" s="414"/>
      <c r="ELJ59" s="414"/>
      <c r="ELK59" s="414"/>
      <c r="ELL59" s="414"/>
      <c r="ELM59" s="414"/>
      <c r="ELN59" s="414"/>
      <c r="ELO59" s="414"/>
      <c r="ELP59" s="414"/>
      <c r="ELQ59" s="414"/>
      <c r="ELR59" s="414"/>
      <c r="ELS59" s="414"/>
      <c r="ELT59" s="414"/>
      <c r="ELU59" s="414"/>
      <c r="ELV59" s="414"/>
      <c r="ELW59" s="414"/>
      <c r="ELX59" s="414"/>
      <c r="ELY59" s="414"/>
      <c r="ELZ59" s="414"/>
      <c r="EMA59" s="414"/>
      <c r="EMB59" s="414"/>
      <c r="EMC59" s="414"/>
      <c r="EMD59" s="414"/>
      <c r="EME59" s="414"/>
      <c r="EMF59" s="414"/>
      <c r="EMG59" s="414"/>
      <c r="EMH59" s="414"/>
      <c r="EMI59" s="414"/>
      <c r="EMJ59" s="414"/>
      <c r="EMK59" s="414"/>
      <c r="EML59" s="414"/>
      <c r="EMM59" s="414"/>
      <c r="EMN59" s="414"/>
      <c r="EMO59" s="414"/>
      <c r="EMP59" s="414"/>
      <c r="EMQ59" s="414"/>
      <c r="EMR59" s="414"/>
      <c r="EMS59" s="414"/>
      <c r="EMT59" s="414"/>
      <c r="EMU59" s="414"/>
      <c r="EMV59" s="414"/>
      <c r="EMW59" s="414"/>
      <c r="EMX59" s="414"/>
      <c r="EMY59" s="414"/>
      <c r="EMZ59" s="414"/>
      <c r="ENA59" s="414"/>
      <c r="ENB59" s="414"/>
      <c r="ENC59" s="414"/>
      <c r="END59" s="414"/>
      <c r="ENE59" s="414"/>
      <c r="ENF59" s="414"/>
      <c r="ENG59" s="414"/>
      <c r="ENH59" s="414"/>
      <c r="ENI59" s="414"/>
      <c r="ENJ59" s="414"/>
      <c r="ENK59" s="414"/>
      <c r="ENL59" s="414"/>
      <c r="ENM59" s="414"/>
      <c r="ENN59" s="414"/>
      <c r="ENO59" s="414"/>
      <c r="ENP59" s="414"/>
      <c r="ENQ59" s="414"/>
      <c r="ENR59" s="414"/>
      <c r="ENS59" s="414"/>
      <c r="ENT59" s="414"/>
      <c r="ENU59" s="414"/>
      <c r="ENV59" s="414"/>
      <c r="ENW59" s="414"/>
      <c r="ENX59" s="414"/>
      <c r="ENY59" s="414"/>
      <c r="ENZ59" s="414"/>
      <c r="EOA59" s="414"/>
      <c r="EOB59" s="414"/>
      <c r="EOC59" s="414"/>
      <c r="EOD59" s="414"/>
      <c r="EOE59" s="414"/>
      <c r="EOF59" s="414"/>
      <c r="EOG59" s="414"/>
      <c r="EOH59" s="414"/>
      <c r="EOI59" s="414"/>
      <c r="EOJ59" s="414"/>
      <c r="EOK59" s="414"/>
      <c r="EOL59" s="414"/>
      <c r="EOM59" s="414"/>
      <c r="EON59" s="414"/>
      <c r="EOO59" s="414"/>
      <c r="EOP59" s="414"/>
      <c r="EOQ59" s="414"/>
      <c r="EOR59" s="414"/>
      <c r="EOS59" s="414"/>
      <c r="EOT59" s="414"/>
      <c r="EOU59" s="414"/>
      <c r="EOV59" s="414"/>
      <c r="EOW59" s="414"/>
      <c r="EOX59" s="414"/>
      <c r="EOY59" s="414"/>
      <c r="EOZ59" s="414"/>
      <c r="EPA59" s="414"/>
      <c r="EPB59" s="414"/>
      <c r="EPC59" s="414"/>
      <c r="EPD59" s="414"/>
      <c r="EPE59" s="414"/>
      <c r="EPF59" s="414"/>
      <c r="EPG59" s="414"/>
      <c r="EPH59" s="414"/>
      <c r="EPI59" s="414"/>
      <c r="EPJ59" s="414"/>
      <c r="EPK59" s="414"/>
      <c r="EPL59" s="414"/>
      <c r="EPM59" s="414"/>
      <c r="EPN59" s="414"/>
      <c r="EPO59" s="414"/>
      <c r="EPP59" s="414"/>
      <c r="EPQ59" s="414"/>
      <c r="EPR59" s="414"/>
      <c r="EPS59" s="414"/>
      <c r="EPT59" s="414"/>
      <c r="EPU59" s="414"/>
      <c r="EPV59" s="414"/>
      <c r="EPW59" s="414"/>
      <c r="EPX59" s="414"/>
      <c r="EPY59" s="414"/>
      <c r="EPZ59" s="414"/>
      <c r="EQA59" s="414"/>
      <c r="EQB59" s="414"/>
      <c r="EQC59" s="414"/>
      <c r="EQD59" s="414"/>
      <c r="EQE59" s="414"/>
      <c r="EQF59" s="414"/>
      <c r="EQG59" s="414"/>
      <c r="EQH59" s="414"/>
      <c r="EQI59" s="414"/>
      <c r="EQJ59" s="414"/>
      <c r="EQK59" s="414"/>
      <c r="EQL59" s="414"/>
      <c r="EQM59" s="414"/>
      <c r="EQN59" s="414"/>
      <c r="EQO59" s="414"/>
      <c r="EQP59" s="414"/>
      <c r="EQQ59" s="414"/>
      <c r="EQR59" s="414"/>
      <c r="EQS59" s="414"/>
      <c r="EQT59" s="414"/>
      <c r="EQU59" s="414"/>
      <c r="EQV59" s="414"/>
      <c r="EQW59" s="414"/>
      <c r="EQX59" s="414"/>
      <c r="EQY59" s="414"/>
      <c r="EQZ59" s="414"/>
      <c r="ERA59" s="414"/>
      <c r="ERB59" s="414"/>
      <c r="ERC59" s="414"/>
      <c r="ERD59" s="414"/>
      <c r="ERE59" s="414"/>
      <c r="ERF59" s="414"/>
      <c r="ERG59" s="414"/>
      <c r="ERH59" s="414"/>
      <c r="ERI59" s="414"/>
      <c r="ERJ59" s="414"/>
      <c r="ERK59" s="414"/>
      <c r="ERL59" s="414"/>
      <c r="ERM59" s="414"/>
      <c r="ERN59" s="414"/>
      <c r="ERO59" s="414"/>
      <c r="ERP59" s="414"/>
      <c r="ERQ59" s="414"/>
      <c r="ERR59" s="414"/>
      <c r="ERS59" s="414"/>
      <c r="ERT59" s="414"/>
      <c r="ERU59" s="414"/>
      <c r="ERV59" s="414"/>
      <c r="ERW59" s="414"/>
      <c r="ERX59" s="414"/>
      <c r="ERY59" s="414"/>
      <c r="ERZ59" s="414"/>
      <c r="ESA59" s="414"/>
      <c r="ESB59" s="414"/>
      <c r="ESC59" s="414"/>
      <c r="ESD59" s="414"/>
      <c r="ESE59" s="414"/>
      <c r="ESF59" s="414"/>
      <c r="ESG59" s="414"/>
      <c r="ESH59" s="414"/>
      <c r="ESI59" s="414"/>
      <c r="ESJ59" s="414"/>
      <c r="ESK59" s="414"/>
      <c r="ESL59" s="414"/>
      <c r="ESM59" s="414"/>
      <c r="ESN59" s="414"/>
      <c r="ESO59" s="414"/>
      <c r="ESP59" s="414"/>
      <c r="ESQ59" s="414"/>
      <c r="ESR59" s="414"/>
      <c r="ESS59" s="414"/>
      <c r="EST59" s="414"/>
      <c r="ESU59" s="414"/>
      <c r="ESV59" s="414"/>
      <c r="ESW59" s="414"/>
      <c r="ESX59" s="414"/>
      <c r="ESY59" s="414"/>
      <c r="ESZ59" s="414"/>
      <c r="ETA59" s="414"/>
      <c r="ETB59" s="414"/>
      <c r="ETC59" s="414"/>
      <c r="ETD59" s="414"/>
      <c r="ETE59" s="414"/>
      <c r="ETF59" s="414"/>
      <c r="ETG59" s="414"/>
      <c r="ETH59" s="414"/>
      <c r="ETI59" s="414"/>
      <c r="ETJ59" s="414"/>
      <c r="ETK59" s="414"/>
      <c r="ETL59" s="414"/>
      <c r="ETM59" s="414"/>
      <c r="ETN59" s="414"/>
      <c r="ETO59" s="414"/>
      <c r="ETP59" s="414"/>
      <c r="ETQ59" s="414"/>
      <c r="ETR59" s="414"/>
      <c r="ETS59" s="414"/>
      <c r="ETT59" s="414"/>
      <c r="ETU59" s="414"/>
      <c r="ETV59" s="414"/>
      <c r="ETW59" s="414"/>
      <c r="ETX59" s="414"/>
      <c r="ETY59" s="414"/>
      <c r="ETZ59" s="414"/>
      <c r="EUA59" s="414"/>
      <c r="EUB59" s="414"/>
      <c r="EUC59" s="414"/>
      <c r="EUD59" s="414"/>
      <c r="EUE59" s="414"/>
      <c r="EUF59" s="414"/>
      <c r="EUG59" s="414"/>
      <c r="EUH59" s="414"/>
      <c r="EUI59" s="414"/>
      <c r="EUJ59" s="414"/>
      <c r="EUK59" s="414"/>
      <c r="EUL59" s="414"/>
      <c r="EUM59" s="414"/>
      <c r="EUN59" s="414"/>
      <c r="EUO59" s="414"/>
      <c r="EUP59" s="414"/>
      <c r="EUQ59" s="414"/>
      <c r="EUR59" s="414"/>
      <c r="EUS59" s="414"/>
      <c r="EUT59" s="414"/>
      <c r="EUU59" s="414"/>
      <c r="EUV59" s="414"/>
      <c r="EUW59" s="414"/>
      <c r="EUX59" s="414"/>
      <c r="EUY59" s="414"/>
      <c r="EUZ59" s="414"/>
      <c r="EVA59" s="414"/>
      <c r="EVB59" s="414"/>
      <c r="EVC59" s="414"/>
      <c r="EVD59" s="414"/>
      <c r="EVE59" s="414"/>
      <c r="EVF59" s="414"/>
      <c r="EVG59" s="414"/>
      <c r="EVH59" s="414"/>
      <c r="EVI59" s="414"/>
      <c r="EVJ59" s="414"/>
      <c r="EVK59" s="414"/>
      <c r="EVL59" s="414"/>
      <c r="EVM59" s="414"/>
      <c r="EVN59" s="414"/>
      <c r="EVO59" s="414"/>
      <c r="EVP59" s="414"/>
      <c r="EVQ59" s="414"/>
      <c r="EVR59" s="414"/>
      <c r="EVS59" s="414"/>
      <c r="EVT59" s="414"/>
      <c r="EVU59" s="414"/>
      <c r="EVV59" s="414"/>
      <c r="EVW59" s="414"/>
      <c r="EVX59" s="414"/>
      <c r="EVY59" s="414"/>
      <c r="EVZ59" s="414"/>
      <c r="EWA59" s="414"/>
      <c r="EWB59" s="414"/>
      <c r="EWC59" s="414"/>
      <c r="EWD59" s="414"/>
      <c r="EWE59" s="414"/>
      <c r="EWF59" s="414"/>
      <c r="EWG59" s="414"/>
      <c r="EWH59" s="414"/>
      <c r="EWI59" s="414"/>
      <c r="EWJ59" s="414"/>
      <c r="EWK59" s="414"/>
      <c r="EWL59" s="414"/>
      <c r="EWM59" s="414"/>
      <c r="EWN59" s="414"/>
      <c r="EWO59" s="414"/>
      <c r="EWP59" s="414"/>
      <c r="EWQ59" s="414"/>
      <c r="EWR59" s="414"/>
      <c r="EWS59" s="414"/>
      <c r="EWT59" s="414"/>
      <c r="EWU59" s="414"/>
      <c r="EWV59" s="414"/>
      <c r="EWW59" s="414"/>
      <c r="EWX59" s="414"/>
      <c r="EWY59" s="414"/>
      <c r="EWZ59" s="414"/>
      <c r="EXA59" s="414"/>
      <c r="EXB59" s="414"/>
      <c r="EXC59" s="414"/>
      <c r="EXD59" s="414"/>
      <c r="EXE59" s="414"/>
      <c r="EXF59" s="414"/>
      <c r="EXG59" s="414"/>
      <c r="EXH59" s="414"/>
      <c r="EXI59" s="414"/>
      <c r="EXJ59" s="414"/>
      <c r="EXK59" s="414"/>
      <c r="EXL59" s="414"/>
      <c r="EXM59" s="414"/>
      <c r="EXN59" s="414"/>
      <c r="EXO59" s="414"/>
      <c r="EXP59" s="414"/>
      <c r="EXQ59" s="414"/>
      <c r="EXR59" s="414"/>
      <c r="EXS59" s="414"/>
      <c r="EXT59" s="414"/>
      <c r="EXU59" s="414"/>
      <c r="EXV59" s="414"/>
      <c r="EXW59" s="414"/>
      <c r="EXX59" s="414"/>
      <c r="EXY59" s="414"/>
      <c r="EXZ59" s="414"/>
      <c r="EYA59" s="414"/>
      <c r="EYB59" s="414"/>
      <c r="EYC59" s="414"/>
      <c r="EYD59" s="414"/>
      <c r="EYE59" s="414"/>
      <c r="EYF59" s="414"/>
      <c r="EYG59" s="414"/>
      <c r="EYH59" s="414"/>
      <c r="EYI59" s="414"/>
      <c r="EYJ59" s="414"/>
      <c r="EYK59" s="414"/>
      <c r="EYL59" s="414"/>
      <c r="EYM59" s="414"/>
      <c r="EYN59" s="414"/>
      <c r="EYO59" s="414"/>
      <c r="EYP59" s="414"/>
      <c r="EYQ59" s="414"/>
      <c r="EYR59" s="414"/>
      <c r="EYS59" s="414"/>
      <c r="EYT59" s="414"/>
      <c r="EYU59" s="414"/>
      <c r="EYV59" s="414"/>
      <c r="EYW59" s="414"/>
      <c r="EYX59" s="414"/>
      <c r="EYY59" s="414"/>
      <c r="EYZ59" s="414"/>
      <c r="EZA59" s="414"/>
      <c r="EZB59" s="414"/>
      <c r="EZC59" s="414"/>
      <c r="EZD59" s="414"/>
      <c r="EZE59" s="414"/>
      <c r="EZF59" s="414"/>
      <c r="EZG59" s="414"/>
      <c r="EZH59" s="414"/>
      <c r="EZI59" s="414"/>
      <c r="EZJ59" s="414"/>
      <c r="EZK59" s="414"/>
      <c r="EZL59" s="414"/>
      <c r="EZM59" s="414"/>
      <c r="EZN59" s="414"/>
      <c r="EZO59" s="414"/>
      <c r="EZP59" s="414"/>
      <c r="EZQ59" s="414"/>
      <c r="EZR59" s="414"/>
      <c r="EZS59" s="414"/>
      <c r="EZT59" s="414"/>
      <c r="EZU59" s="414"/>
      <c r="EZV59" s="414"/>
      <c r="EZW59" s="414"/>
      <c r="EZX59" s="414"/>
      <c r="EZY59" s="414"/>
      <c r="EZZ59" s="414"/>
      <c r="FAA59" s="414"/>
      <c r="FAB59" s="414"/>
      <c r="FAC59" s="414"/>
      <c r="FAD59" s="414"/>
      <c r="FAE59" s="414"/>
      <c r="FAF59" s="414"/>
      <c r="FAG59" s="414"/>
      <c r="FAH59" s="414"/>
      <c r="FAI59" s="414"/>
      <c r="FAJ59" s="414"/>
      <c r="FAK59" s="414"/>
      <c r="FAL59" s="414"/>
      <c r="FAM59" s="414"/>
      <c r="FAN59" s="414"/>
      <c r="FAO59" s="414"/>
      <c r="FAP59" s="414"/>
      <c r="FAQ59" s="414"/>
      <c r="FAR59" s="414"/>
      <c r="FAS59" s="414"/>
      <c r="FAT59" s="414"/>
      <c r="FAU59" s="414"/>
      <c r="FAV59" s="414"/>
      <c r="FAW59" s="414"/>
      <c r="FAX59" s="414"/>
      <c r="FAY59" s="414"/>
      <c r="FAZ59" s="414"/>
      <c r="FBA59" s="414"/>
      <c r="FBB59" s="414"/>
      <c r="FBC59" s="414"/>
      <c r="FBD59" s="414"/>
      <c r="FBE59" s="414"/>
      <c r="FBF59" s="414"/>
      <c r="FBG59" s="414"/>
      <c r="FBH59" s="414"/>
      <c r="FBI59" s="414"/>
      <c r="FBJ59" s="414"/>
      <c r="FBK59" s="414"/>
      <c r="FBL59" s="414"/>
      <c r="FBM59" s="414"/>
      <c r="FBN59" s="414"/>
      <c r="FBO59" s="414"/>
      <c r="FBP59" s="414"/>
      <c r="FBQ59" s="414"/>
      <c r="FBR59" s="414"/>
      <c r="FBS59" s="414"/>
      <c r="FBT59" s="414"/>
      <c r="FBU59" s="414"/>
      <c r="FBV59" s="414"/>
      <c r="FBW59" s="414"/>
      <c r="FBX59" s="414"/>
      <c r="FBY59" s="414"/>
      <c r="FBZ59" s="414"/>
      <c r="FCA59" s="414"/>
      <c r="FCB59" s="414"/>
      <c r="FCC59" s="414"/>
      <c r="FCD59" s="414"/>
      <c r="FCE59" s="414"/>
      <c r="FCF59" s="414"/>
      <c r="FCG59" s="414"/>
      <c r="FCH59" s="414"/>
      <c r="FCI59" s="414"/>
      <c r="FCJ59" s="414"/>
      <c r="FCK59" s="414"/>
      <c r="FCL59" s="414"/>
      <c r="FCM59" s="414"/>
      <c r="FCN59" s="414"/>
      <c r="FCO59" s="414"/>
      <c r="FCP59" s="414"/>
      <c r="FCQ59" s="414"/>
      <c r="FCR59" s="414"/>
      <c r="FCS59" s="414"/>
      <c r="FCT59" s="414"/>
      <c r="FCU59" s="414"/>
      <c r="FCV59" s="414"/>
      <c r="FCW59" s="414"/>
      <c r="FCX59" s="414"/>
      <c r="FCY59" s="414"/>
      <c r="FCZ59" s="414"/>
      <c r="FDA59" s="414"/>
      <c r="FDB59" s="414"/>
      <c r="FDC59" s="414"/>
      <c r="FDD59" s="414"/>
      <c r="FDE59" s="414"/>
      <c r="FDF59" s="414"/>
      <c r="FDG59" s="414"/>
      <c r="FDH59" s="414"/>
      <c r="FDI59" s="414"/>
      <c r="FDJ59" s="414"/>
      <c r="FDK59" s="414"/>
      <c r="FDL59" s="414"/>
      <c r="FDM59" s="414"/>
      <c r="FDN59" s="414"/>
      <c r="FDO59" s="414"/>
      <c r="FDP59" s="414"/>
      <c r="FDQ59" s="414"/>
      <c r="FDR59" s="414"/>
      <c r="FDS59" s="414"/>
      <c r="FDT59" s="414"/>
      <c r="FDU59" s="414"/>
      <c r="FDV59" s="414"/>
      <c r="FDW59" s="414"/>
      <c r="FDX59" s="414"/>
      <c r="FDY59" s="414"/>
      <c r="FDZ59" s="414"/>
      <c r="FEA59" s="414"/>
      <c r="FEB59" s="414"/>
      <c r="FEC59" s="414"/>
      <c r="FED59" s="414"/>
      <c r="FEE59" s="414"/>
      <c r="FEF59" s="414"/>
      <c r="FEG59" s="414"/>
      <c r="FEH59" s="414"/>
      <c r="FEI59" s="414"/>
      <c r="FEJ59" s="414"/>
      <c r="FEK59" s="414"/>
      <c r="FEL59" s="414"/>
      <c r="FEM59" s="414"/>
      <c r="FEN59" s="414"/>
      <c r="FEO59" s="414"/>
      <c r="FEP59" s="414"/>
      <c r="FEQ59" s="414"/>
      <c r="FER59" s="414"/>
      <c r="FES59" s="414"/>
      <c r="FET59" s="414"/>
      <c r="FEU59" s="414"/>
      <c r="FEV59" s="414"/>
      <c r="FEW59" s="414"/>
      <c r="FEX59" s="414"/>
      <c r="FEY59" s="414"/>
      <c r="FEZ59" s="414"/>
      <c r="FFA59" s="414"/>
      <c r="FFB59" s="414"/>
      <c r="FFC59" s="414"/>
      <c r="FFD59" s="414"/>
      <c r="FFE59" s="414"/>
      <c r="FFF59" s="414"/>
      <c r="FFG59" s="414"/>
      <c r="FFH59" s="414"/>
      <c r="FFI59" s="414"/>
      <c r="FFJ59" s="414"/>
      <c r="FFK59" s="414"/>
      <c r="FFL59" s="414"/>
      <c r="FFM59" s="414"/>
      <c r="FFN59" s="414"/>
      <c r="FFO59" s="414"/>
      <c r="FFP59" s="414"/>
      <c r="FFQ59" s="414"/>
      <c r="FFR59" s="414"/>
      <c r="FFS59" s="414"/>
      <c r="FFT59" s="414"/>
      <c r="FFU59" s="414"/>
      <c r="FFV59" s="414"/>
      <c r="FFW59" s="414"/>
      <c r="FFX59" s="414"/>
      <c r="FFY59" s="414"/>
      <c r="FFZ59" s="414"/>
      <c r="FGA59" s="414"/>
      <c r="FGB59" s="414"/>
      <c r="FGC59" s="414"/>
      <c r="FGD59" s="414"/>
      <c r="FGE59" s="414"/>
      <c r="FGF59" s="414"/>
      <c r="FGG59" s="414"/>
      <c r="FGH59" s="414"/>
      <c r="FGI59" s="414"/>
      <c r="FGJ59" s="414"/>
      <c r="FGK59" s="414"/>
      <c r="FGL59" s="414"/>
      <c r="FGM59" s="414"/>
      <c r="FGN59" s="414"/>
      <c r="FGO59" s="414"/>
      <c r="FGP59" s="414"/>
      <c r="FGQ59" s="414"/>
      <c r="FGR59" s="414"/>
      <c r="FGS59" s="414"/>
      <c r="FGT59" s="414"/>
      <c r="FGU59" s="414"/>
      <c r="FGV59" s="414"/>
      <c r="FGW59" s="414"/>
      <c r="FGX59" s="414"/>
      <c r="FGY59" s="414"/>
      <c r="FGZ59" s="414"/>
      <c r="FHA59" s="414"/>
      <c r="FHB59" s="414"/>
      <c r="FHC59" s="414"/>
      <c r="FHD59" s="414"/>
      <c r="FHE59" s="414"/>
      <c r="FHF59" s="414"/>
      <c r="FHG59" s="414"/>
      <c r="FHH59" s="414"/>
      <c r="FHI59" s="414"/>
      <c r="FHJ59" s="414"/>
      <c r="FHK59" s="414"/>
      <c r="FHL59" s="414"/>
      <c r="FHM59" s="414"/>
      <c r="FHN59" s="414"/>
      <c r="FHO59" s="414"/>
      <c r="FHP59" s="414"/>
      <c r="FHQ59" s="414"/>
      <c r="FHR59" s="414"/>
      <c r="FHS59" s="414"/>
      <c r="FHT59" s="414"/>
      <c r="FHU59" s="414"/>
      <c r="FHV59" s="414"/>
      <c r="FHW59" s="414"/>
      <c r="FHX59" s="414"/>
      <c r="FHY59" s="414"/>
      <c r="FHZ59" s="414"/>
      <c r="FIA59" s="414"/>
      <c r="FIB59" s="414"/>
      <c r="FIC59" s="414"/>
      <c r="FID59" s="414"/>
      <c r="FIE59" s="414"/>
      <c r="FIF59" s="414"/>
      <c r="FIG59" s="414"/>
      <c r="FIH59" s="414"/>
      <c r="FII59" s="414"/>
      <c r="FIJ59" s="414"/>
      <c r="FIK59" s="414"/>
      <c r="FIL59" s="414"/>
      <c r="FIM59" s="414"/>
      <c r="FIN59" s="414"/>
      <c r="FIO59" s="414"/>
      <c r="FIP59" s="414"/>
      <c r="FIQ59" s="414"/>
      <c r="FIR59" s="414"/>
      <c r="FIS59" s="414"/>
      <c r="FIT59" s="414"/>
      <c r="FIU59" s="414"/>
      <c r="FIV59" s="414"/>
      <c r="FIW59" s="414"/>
      <c r="FIX59" s="414"/>
      <c r="FIY59" s="414"/>
      <c r="FIZ59" s="414"/>
      <c r="FJA59" s="414"/>
      <c r="FJB59" s="414"/>
      <c r="FJC59" s="414"/>
      <c r="FJD59" s="414"/>
      <c r="FJE59" s="414"/>
      <c r="FJF59" s="414"/>
      <c r="FJG59" s="414"/>
      <c r="FJH59" s="414"/>
      <c r="FJI59" s="414"/>
      <c r="FJJ59" s="414"/>
      <c r="FJK59" s="414"/>
      <c r="FJL59" s="414"/>
      <c r="FJM59" s="414"/>
      <c r="FJN59" s="414"/>
      <c r="FJO59" s="414"/>
      <c r="FJP59" s="414"/>
      <c r="FJQ59" s="414"/>
      <c r="FJR59" s="414"/>
      <c r="FJS59" s="414"/>
      <c r="FJT59" s="414"/>
      <c r="FJU59" s="414"/>
      <c r="FJV59" s="414"/>
      <c r="FJW59" s="414"/>
      <c r="FJX59" s="414"/>
      <c r="FJY59" s="414"/>
      <c r="FJZ59" s="414"/>
      <c r="FKA59" s="414"/>
      <c r="FKB59" s="414"/>
      <c r="FKC59" s="414"/>
      <c r="FKD59" s="414"/>
      <c r="FKE59" s="414"/>
      <c r="FKF59" s="414"/>
      <c r="FKG59" s="414"/>
      <c r="FKH59" s="414"/>
      <c r="FKI59" s="414"/>
      <c r="FKJ59" s="414"/>
      <c r="FKK59" s="414"/>
      <c r="FKL59" s="414"/>
      <c r="FKM59" s="414"/>
      <c r="FKN59" s="414"/>
      <c r="FKO59" s="414"/>
      <c r="FKP59" s="414"/>
      <c r="FKQ59" s="414"/>
      <c r="FKR59" s="414"/>
      <c r="FKS59" s="414"/>
      <c r="FKT59" s="414"/>
      <c r="FKU59" s="414"/>
      <c r="FKV59" s="414"/>
      <c r="FKW59" s="414"/>
      <c r="FKX59" s="414"/>
      <c r="FKY59" s="414"/>
      <c r="FKZ59" s="414"/>
      <c r="FLA59" s="414"/>
      <c r="FLB59" s="414"/>
      <c r="FLC59" s="414"/>
      <c r="FLD59" s="414"/>
      <c r="FLE59" s="414"/>
      <c r="FLF59" s="414"/>
      <c r="FLG59" s="414"/>
      <c r="FLH59" s="414"/>
      <c r="FLI59" s="414"/>
      <c r="FLJ59" s="414"/>
      <c r="FLK59" s="414"/>
      <c r="FLL59" s="414"/>
      <c r="FLM59" s="414"/>
      <c r="FLN59" s="414"/>
      <c r="FLO59" s="414"/>
      <c r="FLP59" s="414"/>
      <c r="FLQ59" s="414"/>
      <c r="FLR59" s="414"/>
      <c r="FLS59" s="414"/>
      <c r="FLT59" s="414"/>
      <c r="FLU59" s="414"/>
      <c r="FLV59" s="414"/>
      <c r="FLW59" s="414"/>
      <c r="FLX59" s="414"/>
      <c r="FLY59" s="414"/>
      <c r="FLZ59" s="414"/>
      <c r="FMA59" s="414"/>
      <c r="FMB59" s="414"/>
      <c r="FMC59" s="414"/>
      <c r="FMD59" s="414"/>
      <c r="FME59" s="414"/>
      <c r="FMF59" s="414"/>
      <c r="FMG59" s="414"/>
      <c r="FMH59" s="414"/>
      <c r="FMI59" s="414"/>
      <c r="FMJ59" s="414"/>
      <c r="FMK59" s="414"/>
      <c r="FML59" s="414"/>
      <c r="FMM59" s="414"/>
      <c r="FMN59" s="414"/>
      <c r="FMO59" s="414"/>
      <c r="FMP59" s="414"/>
      <c r="FMQ59" s="414"/>
      <c r="FMR59" s="414"/>
      <c r="FMS59" s="414"/>
      <c r="FMT59" s="414"/>
      <c r="FMU59" s="414"/>
      <c r="FMV59" s="414"/>
      <c r="FMW59" s="414"/>
      <c r="FMX59" s="414"/>
      <c r="FMY59" s="414"/>
      <c r="FMZ59" s="414"/>
      <c r="FNA59" s="414"/>
      <c r="FNB59" s="414"/>
      <c r="FNC59" s="414"/>
      <c r="FND59" s="414"/>
      <c r="FNE59" s="414"/>
      <c r="FNF59" s="414"/>
      <c r="FNG59" s="414"/>
      <c r="FNH59" s="414"/>
      <c r="FNI59" s="414"/>
      <c r="FNJ59" s="414"/>
      <c r="FNK59" s="414"/>
      <c r="FNL59" s="414"/>
      <c r="FNM59" s="414"/>
      <c r="FNN59" s="414"/>
      <c r="FNO59" s="414"/>
      <c r="FNP59" s="414"/>
      <c r="FNQ59" s="414"/>
      <c r="FNR59" s="414"/>
      <c r="FNS59" s="414"/>
      <c r="FNT59" s="414"/>
      <c r="FNU59" s="414"/>
      <c r="FNV59" s="414"/>
      <c r="FNW59" s="414"/>
      <c r="FNX59" s="414"/>
      <c r="FNY59" s="414"/>
      <c r="FNZ59" s="414"/>
      <c r="FOA59" s="414"/>
      <c r="FOB59" s="414"/>
      <c r="FOC59" s="414"/>
      <c r="FOD59" s="414"/>
      <c r="FOE59" s="414"/>
      <c r="FOF59" s="414"/>
      <c r="FOG59" s="414"/>
      <c r="FOH59" s="414"/>
      <c r="FOI59" s="414"/>
      <c r="FOJ59" s="414"/>
      <c r="FOK59" s="414"/>
      <c r="FOL59" s="414"/>
      <c r="FOM59" s="414"/>
      <c r="FON59" s="414"/>
      <c r="FOO59" s="414"/>
      <c r="FOP59" s="414"/>
      <c r="FOQ59" s="414"/>
      <c r="FOR59" s="414"/>
      <c r="FOS59" s="414"/>
      <c r="FOT59" s="414"/>
      <c r="FOU59" s="414"/>
      <c r="FOV59" s="414"/>
      <c r="FOW59" s="414"/>
      <c r="FOX59" s="414"/>
      <c r="FOY59" s="414"/>
      <c r="FOZ59" s="414"/>
      <c r="FPA59" s="414"/>
      <c r="FPB59" s="414"/>
      <c r="FPC59" s="414"/>
      <c r="FPD59" s="414"/>
      <c r="FPE59" s="414"/>
      <c r="FPF59" s="414"/>
      <c r="FPG59" s="414"/>
      <c r="FPH59" s="414"/>
      <c r="FPI59" s="414"/>
      <c r="FPJ59" s="414"/>
      <c r="FPK59" s="414"/>
      <c r="FPL59" s="414"/>
      <c r="FPM59" s="414"/>
      <c r="FPN59" s="414"/>
      <c r="FPO59" s="414"/>
      <c r="FPP59" s="414"/>
      <c r="FPQ59" s="414"/>
      <c r="FPR59" s="414"/>
      <c r="FPS59" s="414"/>
      <c r="FPT59" s="414"/>
      <c r="FPU59" s="414"/>
      <c r="FPV59" s="414"/>
      <c r="FPW59" s="414"/>
      <c r="FPX59" s="414"/>
      <c r="FPY59" s="414"/>
      <c r="FPZ59" s="414"/>
      <c r="FQA59" s="414"/>
      <c r="FQB59" s="414"/>
      <c r="FQC59" s="414"/>
      <c r="FQD59" s="414"/>
      <c r="FQE59" s="414"/>
      <c r="FQF59" s="414"/>
      <c r="FQG59" s="414"/>
      <c r="FQH59" s="414"/>
      <c r="FQI59" s="414"/>
      <c r="FQJ59" s="414"/>
      <c r="FQK59" s="414"/>
      <c r="FQL59" s="414"/>
      <c r="FQM59" s="414"/>
      <c r="FQN59" s="414"/>
      <c r="FQO59" s="414"/>
      <c r="FQP59" s="414"/>
      <c r="FQQ59" s="414"/>
      <c r="FQR59" s="414"/>
      <c r="FQS59" s="414"/>
      <c r="FQT59" s="414"/>
      <c r="FQU59" s="414"/>
      <c r="FQV59" s="414"/>
      <c r="FQW59" s="414"/>
      <c r="FQX59" s="414"/>
      <c r="FQY59" s="414"/>
      <c r="FQZ59" s="414"/>
      <c r="FRA59" s="414"/>
      <c r="FRB59" s="414"/>
      <c r="FRC59" s="414"/>
      <c r="FRD59" s="414"/>
      <c r="FRE59" s="414"/>
      <c r="FRF59" s="414"/>
      <c r="FRG59" s="414"/>
      <c r="FRH59" s="414"/>
      <c r="FRI59" s="414"/>
      <c r="FRJ59" s="414"/>
      <c r="FRK59" s="414"/>
      <c r="FRL59" s="414"/>
      <c r="FRM59" s="414"/>
      <c r="FRN59" s="414"/>
      <c r="FRO59" s="414"/>
      <c r="FRP59" s="414"/>
      <c r="FRQ59" s="414"/>
      <c r="FRR59" s="414"/>
      <c r="FRS59" s="414"/>
      <c r="FRT59" s="414"/>
      <c r="FRU59" s="414"/>
      <c r="FRV59" s="414"/>
      <c r="FRW59" s="414"/>
      <c r="FRX59" s="414"/>
      <c r="FRY59" s="414"/>
      <c r="FRZ59" s="414"/>
      <c r="FSA59" s="414"/>
      <c r="FSB59" s="414"/>
      <c r="FSC59" s="414"/>
      <c r="FSD59" s="414"/>
      <c r="FSE59" s="414"/>
      <c r="FSF59" s="414"/>
      <c r="FSG59" s="414"/>
      <c r="FSH59" s="414"/>
      <c r="FSI59" s="414"/>
      <c r="FSJ59" s="414"/>
      <c r="FSK59" s="414"/>
      <c r="FSL59" s="414"/>
      <c r="FSM59" s="414"/>
      <c r="FSN59" s="414"/>
      <c r="FSO59" s="414"/>
      <c r="FSP59" s="414"/>
      <c r="FSQ59" s="414"/>
      <c r="FSR59" s="414"/>
      <c r="FSS59" s="414"/>
      <c r="FST59" s="414"/>
      <c r="FSU59" s="414"/>
      <c r="FSV59" s="414"/>
      <c r="FSW59" s="414"/>
      <c r="FSX59" s="414"/>
      <c r="FSY59" s="414"/>
      <c r="FSZ59" s="414"/>
      <c r="FTA59" s="414"/>
      <c r="FTB59" s="414"/>
      <c r="FTC59" s="414"/>
      <c r="FTD59" s="414"/>
      <c r="FTE59" s="414"/>
      <c r="FTF59" s="414"/>
      <c r="FTG59" s="414"/>
      <c r="FTH59" s="414"/>
      <c r="FTI59" s="414"/>
      <c r="FTJ59" s="414"/>
      <c r="FTK59" s="414"/>
      <c r="FTL59" s="414"/>
      <c r="FTM59" s="414"/>
      <c r="FTN59" s="414"/>
      <c r="FTO59" s="414"/>
      <c r="FTP59" s="414"/>
      <c r="FTQ59" s="414"/>
      <c r="FTR59" s="414"/>
      <c r="FTS59" s="414"/>
      <c r="FTT59" s="414"/>
      <c r="FTU59" s="414"/>
      <c r="FTV59" s="414"/>
      <c r="FTW59" s="414"/>
      <c r="FTX59" s="414"/>
      <c r="FTY59" s="414"/>
      <c r="FTZ59" s="414"/>
      <c r="FUA59" s="414"/>
      <c r="FUB59" s="414"/>
      <c r="FUC59" s="414"/>
      <c r="FUD59" s="414"/>
      <c r="FUE59" s="414"/>
      <c r="FUF59" s="414"/>
      <c r="FUG59" s="414"/>
      <c r="FUH59" s="414"/>
      <c r="FUI59" s="414"/>
      <c r="FUJ59" s="414"/>
      <c r="FUK59" s="414"/>
      <c r="FUL59" s="414"/>
      <c r="FUM59" s="414"/>
      <c r="FUN59" s="414"/>
      <c r="FUO59" s="414"/>
      <c r="FUP59" s="414"/>
      <c r="FUQ59" s="414"/>
      <c r="FUR59" s="414"/>
      <c r="FUS59" s="414"/>
      <c r="FUT59" s="414"/>
      <c r="FUU59" s="414"/>
      <c r="FUV59" s="414"/>
      <c r="FUW59" s="414"/>
      <c r="FUX59" s="414"/>
      <c r="FUY59" s="414"/>
      <c r="FUZ59" s="414"/>
      <c r="FVA59" s="414"/>
      <c r="FVB59" s="414"/>
      <c r="FVC59" s="414"/>
      <c r="FVD59" s="414"/>
      <c r="FVE59" s="414"/>
      <c r="FVF59" s="414"/>
      <c r="FVG59" s="414"/>
      <c r="FVH59" s="414"/>
      <c r="FVI59" s="414"/>
      <c r="FVJ59" s="414"/>
      <c r="FVK59" s="414"/>
      <c r="FVL59" s="414"/>
      <c r="FVM59" s="414"/>
      <c r="FVN59" s="414"/>
      <c r="FVO59" s="414"/>
      <c r="FVP59" s="414"/>
      <c r="FVQ59" s="414"/>
      <c r="FVR59" s="414"/>
      <c r="FVS59" s="414"/>
      <c r="FVT59" s="414"/>
      <c r="FVU59" s="414"/>
      <c r="FVV59" s="414"/>
      <c r="FVW59" s="414"/>
      <c r="FVX59" s="414"/>
      <c r="FVY59" s="414"/>
      <c r="FVZ59" s="414"/>
      <c r="FWA59" s="414"/>
      <c r="FWB59" s="414"/>
      <c r="FWC59" s="414"/>
      <c r="FWD59" s="414"/>
      <c r="FWE59" s="414"/>
      <c r="FWF59" s="414"/>
      <c r="FWG59" s="414"/>
      <c r="FWH59" s="414"/>
      <c r="FWI59" s="414"/>
      <c r="FWJ59" s="414"/>
      <c r="FWK59" s="414"/>
      <c r="FWL59" s="414"/>
      <c r="FWM59" s="414"/>
      <c r="FWN59" s="414"/>
      <c r="FWO59" s="414"/>
      <c r="FWP59" s="414"/>
      <c r="FWQ59" s="414"/>
      <c r="FWR59" s="414"/>
      <c r="FWS59" s="414"/>
      <c r="FWT59" s="414"/>
      <c r="FWU59" s="414"/>
      <c r="FWV59" s="414"/>
      <c r="FWW59" s="414"/>
      <c r="FWX59" s="414"/>
      <c r="FWY59" s="414"/>
      <c r="FWZ59" s="414"/>
      <c r="FXA59" s="414"/>
      <c r="FXB59" s="414"/>
      <c r="FXC59" s="414"/>
      <c r="FXD59" s="414"/>
      <c r="FXE59" s="414"/>
      <c r="FXF59" s="414"/>
      <c r="FXG59" s="414"/>
      <c r="FXH59" s="414"/>
      <c r="FXI59" s="414"/>
      <c r="FXJ59" s="414"/>
      <c r="FXK59" s="414"/>
      <c r="FXL59" s="414"/>
      <c r="FXM59" s="414"/>
      <c r="FXN59" s="414"/>
      <c r="FXO59" s="414"/>
      <c r="FXP59" s="414"/>
      <c r="FXQ59" s="414"/>
      <c r="FXR59" s="414"/>
      <c r="FXS59" s="414"/>
      <c r="FXT59" s="414"/>
      <c r="FXU59" s="414"/>
      <c r="FXV59" s="414"/>
      <c r="FXW59" s="414"/>
      <c r="FXX59" s="414"/>
      <c r="FXY59" s="414"/>
      <c r="FXZ59" s="414"/>
      <c r="FYA59" s="414"/>
      <c r="FYB59" s="414"/>
      <c r="FYC59" s="414"/>
      <c r="FYD59" s="414"/>
      <c r="FYE59" s="414"/>
      <c r="FYF59" s="414"/>
      <c r="FYG59" s="414"/>
      <c r="FYH59" s="414"/>
      <c r="FYI59" s="414"/>
      <c r="FYJ59" s="414"/>
      <c r="FYK59" s="414"/>
      <c r="FYL59" s="414"/>
      <c r="FYM59" s="414"/>
      <c r="FYN59" s="414"/>
      <c r="FYO59" s="414"/>
      <c r="FYP59" s="414"/>
      <c r="FYQ59" s="414"/>
      <c r="FYR59" s="414"/>
      <c r="FYS59" s="414"/>
      <c r="FYT59" s="414"/>
      <c r="FYU59" s="414"/>
      <c r="FYV59" s="414"/>
      <c r="FYW59" s="414"/>
      <c r="FYX59" s="414"/>
      <c r="FYY59" s="414"/>
      <c r="FYZ59" s="414"/>
      <c r="FZA59" s="414"/>
      <c r="FZB59" s="414"/>
      <c r="FZC59" s="414"/>
      <c r="FZD59" s="414"/>
      <c r="FZE59" s="414"/>
      <c r="FZF59" s="414"/>
      <c r="FZG59" s="414"/>
      <c r="FZH59" s="414"/>
      <c r="FZI59" s="414"/>
      <c r="FZJ59" s="414"/>
      <c r="FZK59" s="414"/>
      <c r="FZL59" s="414"/>
      <c r="FZM59" s="414"/>
      <c r="FZN59" s="414"/>
      <c r="FZO59" s="414"/>
      <c r="FZP59" s="414"/>
      <c r="FZQ59" s="414"/>
      <c r="FZR59" s="414"/>
      <c r="FZS59" s="414"/>
      <c r="FZT59" s="414"/>
      <c r="FZU59" s="414"/>
      <c r="FZV59" s="414"/>
      <c r="FZW59" s="414"/>
      <c r="FZX59" s="414"/>
      <c r="FZY59" s="414"/>
      <c r="FZZ59" s="414"/>
      <c r="GAA59" s="414"/>
      <c r="GAB59" s="414"/>
      <c r="GAC59" s="414"/>
      <c r="GAD59" s="414"/>
      <c r="GAE59" s="414"/>
      <c r="GAF59" s="414"/>
      <c r="GAG59" s="414"/>
      <c r="GAH59" s="414"/>
      <c r="GAI59" s="414"/>
      <c r="GAJ59" s="414"/>
      <c r="GAK59" s="414"/>
      <c r="GAL59" s="414"/>
      <c r="GAM59" s="414"/>
      <c r="GAN59" s="414"/>
      <c r="GAO59" s="414"/>
      <c r="GAP59" s="414"/>
      <c r="GAQ59" s="414"/>
      <c r="GAR59" s="414"/>
      <c r="GAS59" s="414"/>
      <c r="GAT59" s="414"/>
      <c r="GAU59" s="414"/>
      <c r="GAV59" s="414"/>
      <c r="GAW59" s="414"/>
      <c r="GAX59" s="414"/>
      <c r="GAY59" s="414"/>
      <c r="GAZ59" s="414"/>
      <c r="GBA59" s="414"/>
      <c r="GBB59" s="414"/>
      <c r="GBC59" s="414"/>
      <c r="GBD59" s="414"/>
      <c r="GBE59" s="414"/>
      <c r="GBF59" s="414"/>
      <c r="GBG59" s="414"/>
      <c r="GBH59" s="414"/>
      <c r="GBI59" s="414"/>
      <c r="GBJ59" s="414"/>
      <c r="GBK59" s="414"/>
      <c r="GBL59" s="414"/>
      <c r="GBM59" s="414"/>
      <c r="GBN59" s="414"/>
      <c r="GBO59" s="414"/>
      <c r="GBP59" s="414"/>
      <c r="GBQ59" s="414"/>
      <c r="GBR59" s="414"/>
      <c r="GBS59" s="414"/>
      <c r="GBT59" s="414"/>
      <c r="GBU59" s="414"/>
      <c r="GBV59" s="414"/>
      <c r="GBW59" s="414"/>
      <c r="GBX59" s="414"/>
      <c r="GBY59" s="414"/>
      <c r="GBZ59" s="414"/>
      <c r="GCA59" s="414"/>
      <c r="GCB59" s="414"/>
      <c r="GCC59" s="414"/>
      <c r="GCD59" s="414"/>
      <c r="GCE59" s="414"/>
      <c r="GCF59" s="414"/>
      <c r="GCG59" s="414"/>
      <c r="GCH59" s="414"/>
      <c r="GCI59" s="414"/>
      <c r="GCJ59" s="414"/>
      <c r="GCK59" s="414"/>
      <c r="GCL59" s="414"/>
      <c r="GCM59" s="414"/>
      <c r="GCN59" s="414"/>
      <c r="GCO59" s="414"/>
      <c r="GCP59" s="414"/>
      <c r="GCQ59" s="414"/>
      <c r="GCR59" s="414"/>
      <c r="GCS59" s="414"/>
      <c r="GCT59" s="414"/>
      <c r="GCU59" s="414"/>
      <c r="GCV59" s="414"/>
      <c r="GCW59" s="414"/>
      <c r="GCX59" s="414"/>
      <c r="GCY59" s="414"/>
      <c r="GCZ59" s="414"/>
      <c r="GDA59" s="414"/>
      <c r="GDB59" s="414"/>
      <c r="GDC59" s="414"/>
      <c r="GDD59" s="414"/>
      <c r="GDE59" s="414"/>
      <c r="GDF59" s="414"/>
      <c r="GDG59" s="414"/>
      <c r="GDH59" s="414"/>
      <c r="GDI59" s="414"/>
      <c r="GDJ59" s="414"/>
      <c r="GDK59" s="414"/>
      <c r="GDL59" s="414"/>
      <c r="GDM59" s="414"/>
      <c r="GDN59" s="414"/>
      <c r="GDO59" s="414"/>
      <c r="GDP59" s="414"/>
      <c r="GDQ59" s="414"/>
      <c r="GDR59" s="414"/>
      <c r="GDS59" s="414"/>
      <c r="GDT59" s="414"/>
      <c r="GDU59" s="414"/>
      <c r="GDV59" s="414"/>
      <c r="GDW59" s="414"/>
      <c r="GDX59" s="414"/>
      <c r="GDY59" s="414"/>
      <c r="GDZ59" s="414"/>
      <c r="GEA59" s="414"/>
      <c r="GEB59" s="414"/>
      <c r="GEC59" s="414"/>
      <c r="GED59" s="414"/>
      <c r="GEE59" s="414"/>
      <c r="GEF59" s="414"/>
      <c r="GEG59" s="414"/>
      <c r="GEH59" s="414"/>
      <c r="GEI59" s="414"/>
      <c r="GEJ59" s="414"/>
      <c r="GEK59" s="414"/>
      <c r="GEL59" s="414"/>
      <c r="GEM59" s="414"/>
      <c r="GEN59" s="414"/>
      <c r="GEO59" s="414"/>
      <c r="GEP59" s="414"/>
      <c r="GEQ59" s="414"/>
      <c r="GER59" s="414"/>
      <c r="GES59" s="414"/>
      <c r="GET59" s="414"/>
      <c r="GEU59" s="414"/>
      <c r="GEV59" s="414"/>
      <c r="GEW59" s="414"/>
      <c r="GEX59" s="414"/>
      <c r="GEY59" s="414"/>
      <c r="GEZ59" s="414"/>
      <c r="GFA59" s="414"/>
      <c r="GFB59" s="414"/>
      <c r="GFC59" s="414"/>
      <c r="GFD59" s="414"/>
      <c r="GFE59" s="414"/>
      <c r="GFF59" s="414"/>
      <c r="GFG59" s="414"/>
      <c r="GFH59" s="414"/>
      <c r="GFI59" s="414"/>
      <c r="GFJ59" s="414"/>
      <c r="GFK59" s="414"/>
      <c r="GFL59" s="414"/>
      <c r="GFM59" s="414"/>
      <c r="GFN59" s="414"/>
      <c r="GFO59" s="414"/>
      <c r="GFP59" s="414"/>
      <c r="GFQ59" s="414"/>
      <c r="GFR59" s="414"/>
      <c r="GFS59" s="414"/>
      <c r="GFT59" s="414"/>
      <c r="GFU59" s="414"/>
      <c r="GFV59" s="414"/>
      <c r="GFW59" s="414"/>
      <c r="GFX59" s="414"/>
      <c r="GFY59" s="414"/>
      <c r="GFZ59" s="414"/>
      <c r="GGA59" s="414"/>
      <c r="GGB59" s="414"/>
      <c r="GGC59" s="414"/>
      <c r="GGD59" s="414"/>
      <c r="GGE59" s="414"/>
      <c r="GGF59" s="414"/>
      <c r="GGG59" s="414"/>
      <c r="GGH59" s="414"/>
      <c r="GGI59" s="414"/>
      <c r="GGJ59" s="414"/>
      <c r="GGK59" s="414"/>
      <c r="GGL59" s="414"/>
      <c r="GGM59" s="414"/>
      <c r="GGN59" s="414"/>
      <c r="GGO59" s="414"/>
      <c r="GGP59" s="414"/>
      <c r="GGQ59" s="414"/>
      <c r="GGR59" s="414"/>
      <c r="GGS59" s="414"/>
      <c r="GGT59" s="414"/>
      <c r="GGU59" s="414"/>
      <c r="GGV59" s="414"/>
      <c r="GGW59" s="414"/>
      <c r="GGX59" s="414"/>
      <c r="GGY59" s="414"/>
      <c r="GGZ59" s="414"/>
      <c r="GHA59" s="414"/>
      <c r="GHB59" s="414"/>
      <c r="GHC59" s="414"/>
      <c r="GHD59" s="414"/>
      <c r="GHE59" s="414"/>
      <c r="GHF59" s="414"/>
      <c r="GHG59" s="414"/>
      <c r="GHH59" s="414"/>
      <c r="GHI59" s="414"/>
      <c r="GHJ59" s="414"/>
      <c r="GHK59" s="414"/>
      <c r="GHL59" s="414"/>
      <c r="GHM59" s="414"/>
      <c r="GHN59" s="414"/>
      <c r="GHO59" s="414"/>
      <c r="GHP59" s="414"/>
      <c r="GHQ59" s="414"/>
      <c r="GHR59" s="414"/>
      <c r="GHS59" s="414"/>
      <c r="GHT59" s="414"/>
      <c r="GHU59" s="414"/>
      <c r="GHV59" s="414"/>
      <c r="GHW59" s="414"/>
      <c r="GHX59" s="414"/>
      <c r="GHY59" s="414"/>
      <c r="GHZ59" s="414"/>
      <c r="GIA59" s="414"/>
      <c r="GIB59" s="414"/>
      <c r="GIC59" s="414"/>
      <c r="GID59" s="414"/>
      <c r="GIE59" s="414"/>
      <c r="GIF59" s="414"/>
      <c r="GIG59" s="414"/>
      <c r="GIH59" s="414"/>
      <c r="GII59" s="414"/>
      <c r="GIJ59" s="414"/>
      <c r="GIK59" s="414"/>
      <c r="GIL59" s="414"/>
      <c r="GIM59" s="414"/>
      <c r="GIN59" s="414"/>
      <c r="GIO59" s="414"/>
      <c r="GIP59" s="414"/>
      <c r="GIQ59" s="414"/>
      <c r="GIR59" s="414"/>
      <c r="GIS59" s="414"/>
      <c r="GIT59" s="414"/>
      <c r="GIU59" s="414"/>
      <c r="GIV59" s="414"/>
      <c r="GIW59" s="414"/>
      <c r="GIX59" s="414"/>
      <c r="GIY59" s="414"/>
      <c r="GIZ59" s="414"/>
      <c r="GJA59" s="414"/>
      <c r="GJB59" s="414"/>
      <c r="GJC59" s="414"/>
      <c r="GJD59" s="414"/>
      <c r="GJE59" s="414"/>
      <c r="GJF59" s="414"/>
      <c r="GJG59" s="414"/>
      <c r="GJH59" s="414"/>
      <c r="GJI59" s="414"/>
      <c r="GJJ59" s="414"/>
      <c r="GJK59" s="414"/>
      <c r="GJL59" s="414"/>
      <c r="GJM59" s="414"/>
      <c r="GJN59" s="414"/>
      <c r="GJO59" s="414"/>
      <c r="GJP59" s="414"/>
      <c r="GJQ59" s="414"/>
      <c r="GJR59" s="414"/>
      <c r="GJS59" s="414"/>
      <c r="GJT59" s="414"/>
      <c r="GJU59" s="414"/>
      <c r="GJV59" s="414"/>
      <c r="GJW59" s="414"/>
      <c r="GJX59" s="414"/>
      <c r="GJY59" s="414"/>
      <c r="GJZ59" s="414"/>
      <c r="GKA59" s="414"/>
      <c r="GKB59" s="414"/>
      <c r="GKC59" s="414"/>
      <c r="GKD59" s="414"/>
      <c r="GKE59" s="414"/>
      <c r="GKF59" s="414"/>
      <c r="GKG59" s="414"/>
      <c r="GKH59" s="414"/>
      <c r="GKI59" s="414"/>
      <c r="GKJ59" s="414"/>
      <c r="GKK59" s="414"/>
      <c r="GKL59" s="414"/>
      <c r="GKM59" s="414"/>
      <c r="GKN59" s="414"/>
      <c r="GKO59" s="414"/>
      <c r="GKP59" s="414"/>
      <c r="GKQ59" s="414"/>
      <c r="GKR59" s="414"/>
      <c r="GKS59" s="414"/>
      <c r="GKT59" s="414"/>
      <c r="GKU59" s="414"/>
      <c r="GKV59" s="414"/>
      <c r="GKW59" s="414"/>
      <c r="GKX59" s="414"/>
      <c r="GKY59" s="414"/>
      <c r="GKZ59" s="414"/>
      <c r="GLA59" s="414"/>
      <c r="GLB59" s="414"/>
      <c r="GLC59" s="414"/>
      <c r="GLD59" s="414"/>
      <c r="GLE59" s="414"/>
      <c r="GLF59" s="414"/>
      <c r="GLG59" s="414"/>
      <c r="GLH59" s="414"/>
      <c r="GLI59" s="414"/>
      <c r="GLJ59" s="414"/>
      <c r="GLK59" s="414"/>
      <c r="GLL59" s="414"/>
      <c r="GLM59" s="414"/>
      <c r="GLN59" s="414"/>
      <c r="GLO59" s="414"/>
      <c r="GLP59" s="414"/>
      <c r="GLQ59" s="414"/>
      <c r="GLR59" s="414"/>
      <c r="GLS59" s="414"/>
      <c r="GLT59" s="414"/>
      <c r="GLU59" s="414"/>
      <c r="GLV59" s="414"/>
      <c r="GLW59" s="414"/>
      <c r="GLX59" s="414"/>
      <c r="GLY59" s="414"/>
      <c r="GLZ59" s="414"/>
      <c r="GMA59" s="414"/>
      <c r="GMB59" s="414"/>
      <c r="GMC59" s="414"/>
      <c r="GMD59" s="414"/>
      <c r="GME59" s="414"/>
      <c r="GMF59" s="414"/>
      <c r="GMG59" s="414"/>
      <c r="GMH59" s="414"/>
      <c r="GMI59" s="414"/>
      <c r="GMJ59" s="414"/>
      <c r="GMK59" s="414"/>
      <c r="GML59" s="414"/>
      <c r="GMM59" s="414"/>
      <c r="GMN59" s="414"/>
      <c r="GMO59" s="414"/>
      <c r="GMP59" s="414"/>
      <c r="GMQ59" s="414"/>
      <c r="GMR59" s="414"/>
      <c r="GMS59" s="414"/>
      <c r="GMT59" s="414"/>
      <c r="GMU59" s="414"/>
      <c r="GMV59" s="414"/>
      <c r="GMW59" s="414"/>
      <c r="GMX59" s="414"/>
      <c r="GMY59" s="414"/>
      <c r="GMZ59" s="414"/>
      <c r="GNA59" s="414"/>
      <c r="GNB59" s="414"/>
      <c r="GNC59" s="414"/>
      <c r="GND59" s="414"/>
      <c r="GNE59" s="414"/>
      <c r="GNF59" s="414"/>
      <c r="GNG59" s="414"/>
      <c r="GNH59" s="414"/>
      <c r="GNI59" s="414"/>
      <c r="GNJ59" s="414"/>
      <c r="GNK59" s="414"/>
      <c r="GNL59" s="414"/>
      <c r="GNM59" s="414"/>
      <c r="GNN59" s="414"/>
      <c r="GNO59" s="414"/>
      <c r="GNP59" s="414"/>
      <c r="GNQ59" s="414"/>
      <c r="GNR59" s="414"/>
      <c r="GNS59" s="414"/>
      <c r="GNT59" s="414"/>
      <c r="GNU59" s="414"/>
      <c r="GNV59" s="414"/>
      <c r="GNW59" s="414"/>
      <c r="GNX59" s="414"/>
      <c r="GNY59" s="414"/>
      <c r="GNZ59" s="414"/>
      <c r="GOA59" s="414"/>
      <c r="GOB59" s="414"/>
      <c r="GOC59" s="414"/>
      <c r="GOD59" s="414"/>
      <c r="GOE59" s="414"/>
      <c r="GOF59" s="414"/>
      <c r="GOG59" s="414"/>
      <c r="GOH59" s="414"/>
      <c r="GOI59" s="414"/>
      <c r="GOJ59" s="414"/>
      <c r="GOK59" s="414"/>
      <c r="GOL59" s="414"/>
      <c r="GOM59" s="414"/>
      <c r="GON59" s="414"/>
      <c r="GOO59" s="414"/>
      <c r="GOP59" s="414"/>
      <c r="GOQ59" s="414"/>
      <c r="GOR59" s="414"/>
      <c r="GOS59" s="414"/>
      <c r="GOT59" s="414"/>
      <c r="GOU59" s="414"/>
      <c r="GOV59" s="414"/>
      <c r="GOW59" s="414"/>
      <c r="GOX59" s="414"/>
      <c r="GOY59" s="414"/>
      <c r="GOZ59" s="414"/>
      <c r="GPA59" s="414"/>
      <c r="GPB59" s="414"/>
      <c r="GPC59" s="414"/>
      <c r="GPD59" s="414"/>
      <c r="GPE59" s="414"/>
      <c r="GPF59" s="414"/>
      <c r="GPG59" s="414"/>
      <c r="GPH59" s="414"/>
      <c r="GPI59" s="414"/>
      <c r="GPJ59" s="414"/>
      <c r="GPK59" s="414"/>
      <c r="GPL59" s="414"/>
      <c r="GPM59" s="414"/>
      <c r="GPN59" s="414"/>
      <c r="GPO59" s="414"/>
      <c r="GPP59" s="414"/>
      <c r="GPQ59" s="414"/>
      <c r="GPR59" s="414"/>
      <c r="GPS59" s="414"/>
      <c r="GPT59" s="414"/>
      <c r="GPU59" s="414"/>
      <c r="GPV59" s="414"/>
      <c r="GPW59" s="414"/>
      <c r="GPX59" s="414"/>
      <c r="GPY59" s="414"/>
      <c r="GPZ59" s="414"/>
      <c r="GQA59" s="414"/>
      <c r="GQB59" s="414"/>
      <c r="GQC59" s="414"/>
      <c r="GQD59" s="414"/>
      <c r="GQE59" s="414"/>
      <c r="GQF59" s="414"/>
      <c r="GQG59" s="414"/>
      <c r="GQH59" s="414"/>
      <c r="GQI59" s="414"/>
      <c r="GQJ59" s="414"/>
      <c r="GQK59" s="414"/>
      <c r="GQL59" s="414"/>
      <c r="GQM59" s="414"/>
      <c r="GQN59" s="414"/>
      <c r="GQO59" s="414"/>
      <c r="GQP59" s="414"/>
      <c r="GQQ59" s="414"/>
      <c r="GQR59" s="414"/>
      <c r="GQS59" s="414"/>
      <c r="GQT59" s="414"/>
      <c r="GQU59" s="414"/>
      <c r="GQV59" s="414"/>
      <c r="GQW59" s="414"/>
      <c r="GQX59" s="414"/>
      <c r="GQY59" s="414"/>
      <c r="GQZ59" s="414"/>
      <c r="GRA59" s="414"/>
      <c r="GRB59" s="414"/>
      <c r="GRC59" s="414"/>
      <c r="GRD59" s="414"/>
      <c r="GRE59" s="414"/>
      <c r="GRF59" s="414"/>
      <c r="GRG59" s="414"/>
      <c r="GRH59" s="414"/>
      <c r="GRI59" s="414"/>
      <c r="GRJ59" s="414"/>
      <c r="GRK59" s="414"/>
      <c r="GRL59" s="414"/>
      <c r="GRM59" s="414"/>
      <c r="GRN59" s="414"/>
      <c r="GRO59" s="414"/>
      <c r="GRP59" s="414"/>
      <c r="GRQ59" s="414"/>
      <c r="GRR59" s="414"/>
      <c r="GRS59" s="414"/>
      <c r="GRT59" s="414"/>
      <c r="GRU59" s="414"/>
      <c r="GRV59" s="414"/>
      <c r="GRW59" s="414"/>
      <c r="GRX59" s="414"/>
      <c r="GRY59" s="414"/>
      <c r="GRZ59" s="414"/>
      <c r="GSA59" s="414"/>
      <c r="GSB59" s="414"/>
      <c r="GSC59" s="414"/>
      <c r="GSD59" s="414"/>
      <c r="GSE59" s="414"/>
      <c r="GSF59" s="414"/>
      <c r="GSG59" s="414"/>
      <c r="GSH59" s="414"/>
      <c r="GSI59" s="414"/>
      <c r="GSJ59" s="414"/>
      <c r="GSK59" s="414"/>
      <c r="GSL59" s="414"/>
      <c r="GSM59" s="414"/>
      <c r="GSN59" s="414"/>
      <c r="GSO59" s="414"/>
      <c r="GSP59" s="414"/>
      <c r="GSQ59" s="414"/>
      <c r="GSR59" s="414"/>
      <c r="GSS59" s="414"/>
      <c r="GST59" s="414"/>
      <c r="GSU59" s="414"/>
      <c r="GSV59" s="414"/>
      <c r="GSW59" s="414"/>
      <c r="GSX59" s="414"/>
      <c r="GSY59" s="414"/>
      <c r="GSZ59" s="414"/>
      <c r="GTA59" s="414"/>
      <c r="GTB59" s="414"/>
      <c r="GTC59" s="414"/>
      <c r="GTD59" s="414"/>
      <c r="GTE59" s="414"/>
      <c r="GTF59" s="414"/>
      <c r="GTG59" s="414"/>
      <c r="GTH59" s="414"/>
      <c r="GTI59" s="414"/>
      <c r="GTJ59" s="414"/>
      <c r="GTK59" s="414"/>
      <c r="GTL59" s="414"/>
      <c r="GTM59" s="414"/>
      <c r="GTN59" s="414"/>
      <c r="GTO59" s="414"/>
      <c r="GTP59" s="414"/>
      <c r="GTQ59" s="414"/>
      <c r="GTR59" s="414"/>
      <c r="GTS59" s="414"/>
      <c r="GTT59" s="414"/>
      <c r="GTU59" s="414"/>
      <c r="GTV59" s="414"/>
      <c r="GTW59" s="414"/>
      <c r="GTX59" s="414"/>
      <c r="GTY59" s="414"/>
      <c r="GTZ59" s="414"/>
      <c r="GUA59" s="414"/>
      <c r="GUB59" s="414"/>
      <c r="GUC59" s="414"/>
      <c r="GUD59" s="414"/>
      <c r="GUE59" s="414"/>
      <c r="GUF59" s="414"/>
      <c r="GUG59" s="414"/>
      <c r="GUH59" s="414"/>
      <c r="GUI59" s="414"/>
      <c r="GUJ59" s="414"/>
      <c r="GUK59" s="414"/>
      <c r="GUL59" s="414"/>
      <c r="GUM59" s="414"/>
      <c r="GUN59" s="414"/>
      <c r="GUO59" s="414"/>
      <c r="GUP59" s="414"/>
      <c r="GUQ59" s="414"/>
      <c r="GUR59" s="414"/>
      <c r="GUS59" s="414"/>
      <c r="GUT59" s="414"/>
      <c r="GUU59" s="414"/>
      <c r="GUV59" s="414"/>
      <c r="GUW59" s="414"/>
      <c r="GUX59" s="414"/>
      <c r="GUY59" s="414"/>
      <c r="GUZ59" s="414"/>
      <c r="GVA59" s="414"/>
      <c r="GVB59" s="414"/>
      <c r="GVC59" s="414"/>
      <c r="GVD59" s="414"/>
      <c r="GVE59" s="414"/>
      <c r="GVF59" s="414"/>
      <c r="GVG59" s="414"/>
      <c r="GVH59" s="414"/>
      <c r="GVI59" s="414"/>
      <c r="GVJ59" s="414"/>
      <c r="GVK59" s="414"/>
      <c r="GVL59" s="414"/>
      <c r="GVM59" s="414"/>
      <c r="GVN59" s="414"/>
      <c r="GVO59" s="414"/>
      <c r="GVP59" s="414"/>
      <c r="GVQ59" s="414"/>
      <c r="GVR59" s="414"/>
      <c r="GVS59" s="414"/>
      <c r="GVT59" s="414"/>
      <c r="GVU59" s="414"/>
      <c r="GVV59" s="414"/>
      <c r="GVW59" s="414"/>
      <c r="GVX59" s="414"/>
      <c r="GVY59" s="414"/>
      <c r="GVZ59" s="414"/>
      <c r="GWA59" s="414"/>
      <c r="GWB59" s="414"/>
      <c r="GWC59" s="414"/>
      <c r="GWD59" s="414"/>
      <c r="GWE59" s="414"/>
      <c r="GWF59" s="414"/>
      <c r="GWG59" s="414"/>
      <c r="GWH59" s="414"/>
      <c r="GWI59" s="414"/>
      <c r="GWJ59" s="414"/>
      <c r="GWK59" s="414"/>
      <c r="GWL59" s="414"/>
      <c r="GWM59" s="414"/>
      <c r="GWN59" s="414"/>
      <c r="GWO59" s="414"/>
      <c r="GWP59" s="414"/>
      <c r="GWQ59" s="414"/>
      <c r="GWR59" s="414"/>
      <c r="GWS59" s="414"/>
      <c r="GWT59" s="414"/>
      <c r="GWU59" s="414"/>
      <c r="GWV59" s="414"/>
      <c r="GWW59" s="414"/>
      <c r="GWX59" s="414"/>
      <c r="GWY59" s="414"/>
      <c r="GWZ59" s="414"/>
      <c r="GXA59" s="414"/>
      <c r="GXB59" s="414"/>
      <c r="GXC59" s="414"/>
      <c r="GXD59" s="414"/>
      <c r="GXE59" s="414"/>
      <c r="GXF59" s="414"/>
      <c r="GXG59" s="414"/>
      <c r="GXH59" s="414"/>
      <c r="GXI59" s="414"/>
      <c r="GXJ59" s="414"/>
      <c r="GXK59" s="414"/>
      <c r="GXL59" s="414"/>
      <c r="GXM59" s="414"/>
      <c r="GXN59" s="414"/>
      <c r="GXO59" s="414"/>
      <c r="GXP59" s="414"/>
      <c r="GXQ59" s="414"/>
      <c r="GXR59" s="414"/>
      <c r="GXS59" s="414"/>
      <c r="GXT59" s="414"/>
      <c r="GXU59" s="414"/>
      <c r="GXV59" s="414"/>
      <c r="GXW59" s="414"/>
      <c r="GXX59" s="414"/>
      <c r="GXY59" s="414"/>
      <c r="GXZ59" s="414"/>
      <c r="GYA59" s="414"/>
      <c r="GYB59" s="414"/>
      <c r="GYC59" s="414"/>
      <c r="GYD59" s="414"/>
      <c r="GYE59" s="414"/>
      <c r="GYF59" s="414"/>
      <c r="GYG59" s="414"/>
      <c r="GYH59" s="414"/>
      <c r="GYI59" s="414"/>
      <c r="GYJ59" s="414"/>
      <c r="GYK59" s="414"/>
      <c r="GYL59" s="414"/>
      <c r="GYM59" s="414"/>
      <c r="GYN59" s="414"/>
      <c r="GYO59" s="414"/>
      <c r="GYP59" s="414"/>
      <c r="GYQ59" s="414"/>
      <c r="GYR59" s="414"/>
      <c r="GYS59" s="414"/>
      <c r="GYT59" s="414"/>
      <c r="GYU59" s="414"/>
      <c r="GYV59" s="414"/>
      <c r="GYW59" s="414"/>
      <c r="GYX59" s="414"/>
      <c r="GYY59" s="414"/>
      <c r="GYZ59" s="414"/>
      <c r="GZA59" s="414"/>
      <c r="GZB59" s="414"/>
      <c r="GZC59" s="414"/>
      <c r="GZD59" s="414"/>
      <c r="GZE59" s="414"/>
      <c r="GZF59" s="414"/>
      <c r="GZG59" s="414"/>
      <c r="GZH59" s="414"/>
      <c r="GZI59" s="414"/>
      <c r="GZJ59" s="414"/>
      <c r="GZK59" s="414"/>
      <c r="GZL59" s="414"/>
      <c r="GZM59" s="414"/>
      <c r="GZN59" s="414"/>
      <c r="GZO59" s="414"/>
      <c r="GZP59" s="414"/>
      <c r="GZQ59" s="414"/>
      <c r="GZR59" s="414"/>
      <c r="GZS59" s="414"/>
      <c r="GZT59" s="414"/>
      <c r="GZU59" s="414"/>
      <c r="GZV59" s="414"/>
      <c r="GZW59" s="414"/>
      <c r="GZX59" s="414"/>
      <c r="GZY59" s="414"/>
      <c r="GZZ59" s="414"/>
      <c r="HAA59" s="414"/>
      <c r="HAB59" s="414"/>
      <c r="HAC59" s="414"/>
      <c r="HAD59" s="414"/>
      <c r="HAE59" s="414"/>
      <c r="HAF59" s="414"/>
      <c r="HAG59" s="414"/>
      <c r="HAH59" s="414"/>
      <c r="HAI59" s="414"/>
      <c r="HAJ59" s="414"/>
      <c r="HAK59" s="414"/>
      <c r="HAL59" s="414"/>
      <c r="HAM59" s="414"/>
      <c r="HAN59" s="414"/>
      <c r="HAO59" s="414"/>
      <c r="HAP59" s="414"/>
      <c r="HAQ59" s="414"/>
      <c r="HAR59" s="414"/>
      <c r="HAS59" s="414"/>
      <c r="HAT59" s="414"/>
      <c r="HAU59" s="414"/>
      <c r="HAV59" s="414"/>
      <c r="HAW59" s="414"/>
      <c r="HAX59" s="414"/>
      <c r="HAY59" s="414"/>
      <c r="HAZ59" s="414"/>
      <c r="HBA59" s="414"/>
      <c r="HBB59" s="414"/>
      <c r="HBC59" s="414"/>
      <c r="HBD59" s="414"/>
      <c r="HBE59" s="414"/>
      <c r="HBF59" s="414"/>
      <c r="HBG59" s="414"/>
      <c r="HBH59" s="414"/>
      <c r="HBI59" s="414"/>
      <c r="HBJ59" s="414"/>
      <c r="HBK59" s="414"/>
      <c r="HBL59" s="414"/>
      <c r="HBM59" s="414"/>
      <c r="HBN59" s="414"/>
      <c r="HBO59" s="414"/>
      <c r="HBP59" s="414"/>
      <c r="HBQ59" s="414"/>
      <c r="HBR59" s="414"/>
      <c r="HBS59" s="414"/>
      <c r="HBT59" s="414"/>
      <c r="HBU59" s="414"/>
      <c r="HBV59" s="414"/>
      <c r="HBW59" s="414"/>
      <c r="HBX59" s="414"/>
      <c r="HBY59" s="414"/>
      <c r="HBZ59" s="414"/>
      <c r="HCA59" s="414"/>
      <c r="HCB59" s="414"/>
      <c r="HCC59" s="414"/>
      <c r="HCD59" s="414"/>
      <c r="HCE59" s="414"/>
      <c r="HCF59" s="414"/>
      <c r="HCG59" s="414"/>
      <c r="HCH59" s="414"/>
      <c r="HCI59" s="414"/>
      <c r="HCJ59" s="414"/>
      <c r="HCK59" s="414"/>
      <c r="HCL59" s="414"/>
      <c r="HCM59" s="414"/>
      <c r="HCN59" s="414"/>
      <c r="HCO59" s="414"/>
      <c r="HCP59" s="414"/>
      <c r="HCQ59" s="414"/>
      <c r="HCR59" s="414"/>
      <c r="HCS59" s="414"/>
      <c r="HCT59" s="414"/>
      <c r="HCU59" s="414"/>
      <c r="HCV59" s="414"/>
      <c r="HCW59" s="414"/>
      <c r="HCX59" s="414"/>
      <c r="HCY59" s="414"/>
      <c r="HCZ59" s="414"/>
      <c r="HDA59" s="414"/>
      <c r="HDB59" s="414"/>
      <c r="HDC59" s="414"/>
      <c r="HDD59" s="414"/>
      <c r="HDE59" s="414"/>
      <c r="HDF59" s="414"/>
      <c r="HDG59" s="414"/>
      <c r="HDH59" s="414"/>
      <c r="HDI59" s="414"/>
      <c r="HDJ59" s="414"/>
      <c r="HDK59" s="414"/>
      <c r="HDL59" s="414"/>
      <c r="HDM59" s="414"/>
      <c r="HDN59" s="414"/>
      <c r="HDO59" s="414"/>
      <c r="HDP59" s="414"/>
      <c r="HDQ59" s="414"/>
      <c r="HDR59" s="414"/>
      <c r="HDS59" s="414"/>
      <c r="HDT59" s="414"/>
      <c r="HDU59" s="414"/>
      <c r="HDV59" s="414"/>
      <c r="HDW59" s="414"/>
      <c r="HDX59" s="414"/>
      <c r="HDY59" s="414"/>
      <c r="HDZ59" s="414"/>
      <c r="HEA59" s="414"/>
      <c r="HEB59" s="414"/>
      <c r="HEC59" s="414"/>
      <c r="HED59" s="414"/>
      <c r="HEE59" s="414"/>
      <c r="HEF59" s="414"/>
      <c r="HEG59" s="414"/>
      <c r="HEH59" s="414"/>
      <c r="HEI59" s="414"/>
      <c r="HEJ59" s="414"/>
      <c r="HEK59" s="414"/>
      <c r="HEL59" s="414"/>
      <c r="HEM59" s="414"/>
      <c r="HEN59" s="414"/>
      <c r="HEO59" s="414"/>
      <c r="HEP59" s="414"/>
      <c r="HEQ59" s="414"/>
      <c r="HER59" s="414"/>
      <c r="HES59" s="414"/>
      <c r="HET59" s="414"/>
      <c r="HEU59" s="414"/>
      <c r="HEV59" s="414"/>
      <c r="HEW59" s="414"/>
      <c r="HEX59" s="414"/>
      <c r="HEY59" s="414"/>
      <c r="HEZ59" s="414"/>
      <c r="HFA59" s="414"/>
      <c r="HFB59" s="414"/>
      <c r="HFC59" s="414"/>
      <c r="HFD59" s="414"/>
      <c r="HFE59" s="414"/>
      <c r="HFF59" s="414"/>
      <c r="HFG59" s="414"/>
      <c r="HFH59" s="414"/>
      <c r="HFI59" s="414"/>
      <c r="HFJ59" s="414"/>
      <c r="HFK59" s="414"/>
      <c r="HFL59" s="414"/>
      <c r="HFM59" s="414"/>
      <c r="HFN59" s="414"/>
      <c r="HFO59" s="414"/>
      <c r="HFP59" s="414"/>
      <c r="HFQ59" s="414"/>
      <c r="HFR59" s="414"/>
      <c r="HFS59" s="414"/>
      <c r="HFT59" s="414"/>
      <c r="HFU59" s="414"/>
      <c r="HFV59" s="414"/>
      <c r="HFW59" s="414"/>
      <c r="HFX59" s="414"/>
      <c r="HFY59" s="414"/>
      <c r="HFZ59" s="414"/>
      <c r="HGA59" s="414"/>
      <c r="HGB59" s="414"/>
      <c r="HGC59" s="414"/>
      <c r="HGD59" s="414"/>
      <c r="HGE59" s="414"/>
      <c r="HGF59" s="414"/>
      <c r="HGG59" s="414"/>
      <c r="HGH59" s="414"/>
      <c r="HGI59" s="414"/>
      <c r="HGJ59" s="414"/>
      <c r="HGK59" s="414"/>
      <c r="HGL59" s="414"/>
      <c r="HGM59" s="414"/>
      <c r="HGN59" s="414"/>
      <c r="HGO59" s="414"/>
      <c r="HGP59" s="414"/>
      <c r="HGQ59" s="414"/>
      <c r="HGR59" s="414"/>
      <c r="HGS59" s="414"/>
      <c r="HGT59" s="414"/>
      <c r="HGU59" s="414"/>
      <c r="HGV59" s="414"/>
      <c r="HGW59" s="414"/>
      <c r="HGX59" s="414"/>
      <c r="HGY59" s="414"/>
      <c r="HGZ59" s="414"/>
      <c r="HHA59" s="414"/>
      <c r="HHB59" s="414"/>
      <c r="HHC59" s="414"/>
      <c r="HHD59" s="414"/>
      <c r="HHE59" s="414"/>
      <c r="HHF59" s="414"/>
      <c r="HHG59" s="414"/>
      <c r="HHH59" s="414"/>
      <c r="HHI59" s="414"/>
      <c r="HHJ59" s="414"/>
      <c r="HHK59" s="414"/>
      <c r="HHL59" s="414"/>
      <c r="HHM59" s="414"/>
      <c r="HHN59" s="414"/>
      <c r="HHO59" s="414"/>
      <c r="HHP59" s="414"/>
      <c r="HHQ59" s="414"/>
      <c r="HHR59" s="414"/>
      <c r="HHS59" s="414"/>
      <c r="HHT59" s="414"/>
      <c r="HHU59" s="414"/>
      <c r="HHV59" s="414"/>
      <c r="HHW59" s="414"/>
      <c r="HHX59" s="414"/>
      <c r="HHY59" s="414"/>
      <c r="HHZ59" s="414"/>
      <c r="HIA59" s="414"/>
      <c r="HIB59" s="414"/>
      <c r="HIC59" s="414"/>
      <c r="HID59" s="414"/>
      <c r="HIE59" s="414"/>
      <c r="HIF59" s="414"/>
      <c r="HIG59" s="414"/>
      <c r="HIH59" s="414"/>
      <c r="HII59" s="414"/>
      <c r="HIJ59" s="414"/>
      <c r="HIK59" s="414"/>
      <c r="HIL59" s="414"/>
      <c r="HIM59" s="414"/>
      <c r="HIN59" s="414"/>
      <c r="HIO59" s="414"/>
      <c r="HIP59" s="414"/>
      <c r="HIQ59" s="414"/>
      <c r="HIR59" s="414"/>
      <c r="HIS59" s="414"/>
      <c r="HIT59" s="414"/>
      <c r="HIU59" s="414"/>
      <c r="HIV59" s="414"/>
      <c r="HIW59" s="414"/>
      <c r="HIX59" s="414"/>
      <c r="HIY59" s="414"/>
      <c r="HIZ59" s="414"/>
      <c r="HJA59" s="414"/>
      <c r="HJB59" s="414"/>
      <c r="HJC59" s="414"/>
      <c r="HJD59" s="414"/>
      <c r="HJE59" s="414"/>
      <c r="HJF59" s="414"/>
      <c r="HJG59" s="414"/>
      <c r="HJH59" s="414"/>
      <c r="HJI59" s="414"/>
      <c r="HJJ59" s="414"/>
      <c r="HJK59" s="414"/>
      <c r="HJL59" s="414"/>
      <c r="HJM59" s="414"/>
      <c r="HJN59" s="414"/>
      <c r="HJO59" s="414"/>
      <c r="HJP59" s="414"/>
      <c r="HJQ59" s="414"/>
      <c r="HJR59" s="414"/>
      <c r="HJS59" s="414"/>
      <c r="HJT59" s="414"/>
      <c r="HJU59" s="414"/>
      <c r="HJV59" s="414"/>
      <c r="HJW59" s="414"/>
      <c r="HJX59" s="414"/>
      <c r="HJY59" s="414"/>
      <c r="HJZ59" s="414"/>
      <c r="HKA59" s="414"/>
      <c r="HKB59" s="414"/>
      <c r="HKC59" s="414"/>
      <c r="HKD59" s="414"/>
      <c r="HKE59" s="414"/>
      <c r="HKF59" s="414"/>
      <c r="HKG59" s="414"/>
      <c r="HKH59" s="414"/>
      <c r="HKI59" s="414"/>
      <c r="HKJ59" s="414"/>
      <c r="HKK59" s="414"/>
      <c r="HKL59" s="414"/>
      <c r="HKM59" s="414"/>
      <c r="HKN59" s="414"/>
      <c r="HKO59" s="414"/>
      <c r="HKP59" s="414"/>
      <c r="HKQ59" s="414"/>
      <c r="HKR59" s="414"/>
      <c r="HKS59" s="414"/>
      <c r="HKT59" s="414"/>
      <c r="HKU59" s="414"/>
      <c r="HKV59" s="414"/>
      <c r="HKW59" s="414"/>
      <c r="HKX59" s="414"/>
      <c r="HKY59" s="414"/>
      <c r="HKZ59" s="414"/>
      <c r="HLA59" s="414"/>
      <c r="HLB59" s="414"/>
      <c r="HLC59" s="414"/>
      <c r="HLD59" s="414"/>
      <c r="HLE59" s="414"/>
      <c r="HLF59" s="414"/>
      <c r="HLG59" s="414"/>
      <c r="HLH59" s="414"/>
      <c r="HLI59" s="414"/>
      <c r="HLJ59" s="414"/>
      <c r="HLK59" s="414"/>
      <c r="HLL59" s="414"/>
      <c r="HLM59" s="414"/>
      <c r="HLN59" s="414"/>
      <c r="HLO59" s="414"/>
      <c r="HLP59" s="414"/>
      <c r="HLQ59" s="414"/>
      <c r="HLR59" s="414"/>
      <c r="HLS59" s="414"/>
      <c r="HLT59" s="414"/>
      <c r="HLU59" s="414"/>
      <c r="HLV59" s="414"/>
      <c r="HLW59" s="414"/>
      <c r="HLX59" s="414"/>
      <c r="HLY59" s="414"/>
      <c r="HLZ59" s="414"/>
      <c r="HMA59" s="414"/>
      <c r="HMB59" s="414"/>
      <c r="HMC59" s="414"/>
      <c r="HMD59" s="414"/>
      <c r="HME59" s="414"/>
      <c r="HMF59" s="414"/>
      <c r="HMG59" s="414"/>
      <c r="HMH59" s="414"/>
      <c r="HMI59" s="414"/>
      <c r="HMJ59" s="414"/>
      <c r="HMK59" s="414"/>
      <c r="HML59" s="414"/>
      <c r="HMM59" s="414"/>
      <c r="HMN59" s="414"/>
      <c r="HMO59" s="414"/>
      <c r="HMP59" s="414"/>
      <c r="HMQ59" s="414"/>
      <c r="HMR59" s="414"/>
      <c r="HMS59" s="414"/>
      <c r="HMT59" s="414"/>
      <c r="HMU59" s="414"/>
      <c r="HMV59" s="414"/>
      <c r="HMW59" s="414"/>
      <c r="HMX59" s="414"/>
      <c r="HMY59" s="414"/>
      <c r="HMZ59" s="414"/>
      <c r="HNA59" s="414"/>
      <c r="HNB59" s="414"/>
      <c r="HNC59" s="414"/>
      <c r="HND59" s="414"/>
      <c r="HNE59" s="414"/>
      <c r="HNF59" s="414"/>
      <c r="HNG59" s="414"/>
      <c r="HNH59" s="414"/>
      <c r="HNI59" s="414"/>
      <c r="HNJ59" s="414"/>
      <c r="HNK59" s="414"/>
      <c r="HNL59" s="414"/>
      <c r="HNM59" s="414"/>
      <c r="HNN59" s="414"/>
      <c r="HNO59" s="414"/>
      <c r="HNP59" s="414"/>
      <c r="HNQ59" s="414"/>
      <c r="HNR59" s="414"/>
      <c r="HNS59" s="414"/>
      <c r="HNT59" s="414"/>
      <c r="HNU59" s="414"/>
      <c r="HNV59" s="414"/>
      <c r="HNW59" s="414"/>
      <c r="HNX59" s="414"/>
      <c r="HNY59" s="414"/>
      <c r="HNZ59" s="414"/>
      <c r="HOA59" s="414"/>
      <c r="HOB59" s="414"/>
      <c r="HOC59" s="414"/>
      <c r="HOD59" s="414"/>
      <c r="HOE59" s="414"/>
      <c r="HOF59" s="414"/>
      <c r="HOG59" s="414"/>
      <c r="HOH59" s="414"/>
      <c r="HOI59" s="414"/>
      <c r="HOJ59" s="414"/>
      <c r="HOK59" s="414"/>
      <c r="HOL59" s="414"/>
      <c r="HOM59" s="414"/>
      <c r="HON59" s="414"/>
      <c r="HOO59" s="414"/>
      <c r="HOP59" s="414"/>
      <c r="HOQ59" s="414"/>
      <c r="HOR59" s="414"/>
      <c r="HOS59" s="414"/>
      <c r="HOT59" s="414"/>
      <c r="HOU59" s="414"/>
      <c r="HOV59" s="414"/>
      <c r="HOW59" s="414"/>
      <c r="HOX59" s="414"/>
      <c r="HOY59" s="414"/>
      <c r="HOZ59" s="414"/>
      <c r="HPA59" s="414"/>
      <c r="HPB59" s="414"/>
      <c r="HPC59" s="414"/>
      <c r="HPD59" s="414"/>
      <c r="HPE59" s="414"/>
      <c r="HPF59" s="414"/>
      <c r="HPG59" s="414"/>
      <c r="HPH59" s="414"/>
      <c r="HPI59" s="414"/>
      <c r="HPJ59" s="414"/>
      <c r="HPK59" s="414"/>
      <c r="HPL59" s="414"/>
      <c r="HPM59" s="414"/>
      <c r="HPN59" s="414"/>
      <c r="HPO59" s="414"/>
      <c r="HPP59" s="414"/>
      <c r="HPQ59" s="414"/>
      <c r="HPR59" s="414"/>
      <c r="HPS59" s="414"/>
      <c r="HPT59" s="414"/>
      <c r="HPU59" s="414"/>
      <c r="HPV59" s="414"/>
      <c r="HPW59" s="414"/>
      <c r="HPX59" s="414"/>
      <c r="HPY59" s="414"/>
      <c r="HPZ59" s="414"/>
      <c r="HQA59" s="414"/>
      <c r="HQB59" s="414"/>
      <c r="HQC59" s="414"/>
      <c r="HQD59" s="414"/>
      <c r="HQE59" s="414"/>
      <c r="HQF59" s="414"/>
      <c r="HQG59" s="414"/>
      <c r="HQH59" s="414"/>
      <c r="HQI59" s="414"/>
      <c r="HQJ59" s="414"/>
      <c r="HQK59" s="414"/>
      <c r="HQL59" s="414"/>
      <c r="HQM59" s="414"/>
      <c r="HQN59" s="414"/>
      <c r="HQO59" s="414"/>
      <c r="HQP59" s="414"/>
      <c r="HQQ59" s="414"/>
      <c r="HQR59" s="414"/>
      <c r="HQS59" s="414"/>
      <c r="HQT59" s="414"/>
      <c r="HQU59" s="414"/>
      <c r="HQV59" s="414"/>
      <c r="HQW59" s="414"/>
      <c r="HQX59" s="414"/>
      <c r="HQY59" s="414"/>
      <c r="HQZ59" s="414"/>
      <c r="HRA59" s="414"/>
      <c r="HRB59" s="414"/>
      <c r="HRC59" s="414"/>
      <c r="HRD59" s="414"/>
      <c r="HRE59" s="414"/>
      <c r="HRF59" s="414"/>
      <c r="HRG59" s="414"/>
      <c r="HRH59" s="414"/>
      <c r="HRI59" s="414"/>
      <c r="HRJ59" s="414"/>
      <c r="HRK59" s="414"/>
      <c r="HRL59" s="414"/>
      <c r="HRM59" s="414"/>
      <c r="HRN59" s="414"/>
      <c r="HRO59" s="414"/>
      <c r="HRP59" s="414"/>
      <c r="HRQ59" s="414"/>
      <c r="HRR59" s="414"/>
      <c r="HRS59" s="414"/>
      <c r="HRT59" s="414"/>
      <c r="HRU59" s="414"/>
      <c r="HRV59" s="414"/>
      <c r="HRW59" s="414"/>
      <c r="HRX59" s="414"/>
      <c r="HRY59" s="414"/>
      <c r="HRZ59" s="414"/>
      <c r="HSA59" s="414"/>
      <c r="HSB59" s="414"/>
      <c r="HSC59" s="414"/>
      <c r="HSD59" s="414"/>
      <c r="HSE59" s="414"/>
      <c r="HSF59" s="414"/>
      <c r="HSG59" s="414"/>
      <c r="HSH59" s="414"/>
      <c r="HSI59" s="414"/>
      <c r="HSJ59" s="414"/>
      <c r="HSK59" s="414"/>
      <c r="HSL59" s="414"/>
      <c r="HSM59" s="414"/>
      <c r="HSN59" s="414"/>
      <c r="HSO59" s="414"/>
      <c r="HSP59" s="414"/>
      <c r="HSQ59" s="414"/>
      <c r="HSR59" s="414"/>
      <c r="HSS59" s="414"/>
      <c r="HST59" s="414"/>
      <c r="HSU59" s="414"/>
      <c r="HSV59" s="414"/>
      <c r="HSW59" s="414"/>
      <c r="HSX59" s="414"/>
      <c r="HSY59" s="414"/>
      <c r="HSZ59" s="414"/>
      <c r="HTA59" s="414"/>
      <c r="HTB59" s="414"/>
      <c r="HTC59" s="414"/>
      <c r="HTD59" s="414"/>
      <c r="HTE59" s="414"/>
      <c r="HTF59" s="414"/>
      <c r="HTG59" s="414"/>
      <c r="HTH59" s="414"/>
      <c r="HTI59" s="414"/>
      <c r="HTJ59" s="414"/>
      <c r="HTK59" s="414"/>
      <c r="HTL59" s="414"/>
      <c r="HTM59" s="414"/>
      <c r="HTN59" s="414"/>
      <c r="HTO59" s="414"/>
      <c r="HTP59" s="414"/>
      <c r="HTQ59" s="414"/>
      <c r="HTR59" s="414"/>
      <c r="HTS59" s="414"/>
      <c r="HTT59" s="414"/>
      <c r="HTU59" s="414"/>
      <c r="HTV59" s="414"/>
      <c r="HTW59" s="414"/>
      <c r="HTX59" s="414"/>
      <c r="HTY59" s="414"/>
      <c r="HTZ59" s="414"/>
      <c r="HUA59" s="414"/>
      <c r="HUB59" s="414"/>
      <c r="HUC59" s="414"/>
      <c r="HUD59" s="414"/>
      <c r="HUE59" s="414"/>
      <c r="HUF59" s="414"/>
      <c r="HUG59" s="414"/>
      <c r="HUH59" s="414"/>
      <c r="HUI59" s="414"/>
      <c r="HUJ59" s="414"/>
      <c r="HUK59" s="414"/>
      <c r="HUL59" s="414"/>
      <c r="HUM59" s="414"/>
      <c r="HUN59" s="414"/>
      <c r="HUO59" s="414"/>
      <c r="HUP59" s="414"/>
      <c r="HUQ59" s="414"/>
      <c r="HUR59" s="414"/>
      <c r="HUS59" s="414"/>
      <c r="HUT59" s="414"/>
      <c r="HUU59" s="414"/>
      <c r="HUV59" s="414"/>
      <c r="HUW59" s="414"/>
      <c r="HUX59" s="414"/>
      <c r="HUY59" s="414"/>
      <c r="HUZ59" s="414"/>
      <c r="HVA59" s="414"/>
      <c r="HVB59" s="414"/>
      <c r="HVC59" s="414"/>
      <c r="HVD59" s="414"/>
      <c r="HVE59" s="414"/>
      <c r="HVF59" s="414"/>
      <c r="HVG59" s="414"/>
      <c r="HVH59" s="414"/>
      <c r="HVI59" s="414"/>
      <c r="HVJ59" s="414"/>
      <c r="HVK59" s="414"/>
      <c r="HVL59" s="414"/>
      <c r="HVM59" s="414"/>
      <c r="HVN59" s="414"/>
      <c r="HVO59" s="414"/>
      <c r="HVP59" s="414"/>
      <c r="HVQ59" s="414"/>
      <c r="HVR59" s="414"/>
      <c r="HVS59" s="414"/>
      <c r="HVT59" s="414"/>
      <c r="HVU59" s="414"/>
      <c r="HVV59" s="414"/>
      <c r="HVW59" s="414"/>
      <c r="HVX59" s="414"/>
      <c r="HVY59" s="414"/>
      <c r="HVZ59" s="414"/>
      <c r="HWA59" s="414"/>
      <c r="HWB59" s="414"/>
      <c r="HWC59" s="414"/>
      <c r="HWD59" s="414"/>
      <c r="HWE59" s="414"/>
      <c r="HWF59" s="414"/>
      <c r="HWG59" s="414"/>
      <c r="HWH59" s="414"/>
      <c r="HWI59" s="414"/>
      <c r="HWJ59" s="414"/>
      <c r="HWK59" s="414"/>
      <c r="HWL59" s="414"/>
      <c r="HWM59" s="414"/>
      <c r="HWN59" s="414"/>
      <c r="HWO59" s="414"/>
      <c r="HWP59" s="414"/>
      <c r="HWQ59" s="414"/>
      <c r="HWR59" s="414"/>
      <c r="HWS59" s="414"/>
      <c r="HWT59" s="414"/>
      <c r="HWU59" s="414"/>
      <c r="HWV59" s="414"/>
      <c r="HWW59" s="414"/>
      <c r="HWX59" s="414"/>
      <c r="HWY59" s="414"/>
      <c r="HWZ59" s="414"/>
      <c r="HXA59" s="414"/>
      <c r="HXB59" s="414"/>
      <c r="HXC59" s="414"/>
      <c r="HXD59" s="414"/>
      <c r="HXE59" s="414"/>
      <c r="HXF59" s="414"/>
      <c r="HXG59" s="414"/>
      <c r="HXH59" s="414"/>
      <c r="HXI59" s="414"/>
      <c r="HXJ59" s="414"/>
      <c r="HXK59" s="414"/>
      <c r="HXL59" s="414"/>
      <c r="HXM59" s="414"/>
      <c r="HXN59" s="414"/>
      <c r="HXO59" s="414"/>
      <c r="HXP59" s="414"/>
      <c r="HXQ59" s="414"/>
      <c r="HXR59" s="414"/>
      <c r="HXS59" s="414"/>
      <c r="HXT59" s="414"/>
      <c r="HXU59" s="414"/>
      <c r="HXV59" s="414"/>
      <c r="HXW59" s="414"/>
      <c r="HXX59" s="414"/>
      <c r="HXY59" s="414"/>
      <c r="HXZ59" s="414"/>
      <c r="HYA59" s="414"/>
      <c r="HYB59" s="414"/>
      <c r="HYC59" s="414"/>
      <c r="HYD59" s="414"/>
      <c r="HYE59" s="414"/>
      <c r="HYF59" s="414"/>
      <c r="HYG59" s="414"/>
      <c r="HYH59" s="414"/>
      <c r="HYI59" s="414"/>
      <c r="HYJ59" s="414"/>
      <c r="HYK59" s="414"/>
      <c r="HYL59" s="414"/>
      <c r="HYM59" s="414"/>
      <c r="HYN59" s="414"/>
      <c r="HYO59" s="414"/>
      <c r="HYP59" s="414"/>
      <c r="HYQ59" s="414"/>
      <c r="HYR59" s="414"/>
      <c r="HYS59" s="414"/>
      <c r="HYT59" s="414"/>
      <c r="HYU59" s="414"/>
      <c r="HYV59" s="414"/>
      <c r="HYW59" s="414"/>
      <c r="HYX59" s="414"/>
      <c r="HYY59" s="414"/>
      <c r="HYZ59" s="414"/>
      <c r="HZA59" s="414"/>
      <c r="HZB59" s="414"/>
      <c r="HZC59" s="414"/>
      <c r="HZD59" s="414"/>
      <c r="HZE59" s="414"/>
      <c r="HZF59" s="414"/>
      <c r="HZG59" s="414"/>
      <c r="HZH59" s="414"/>
      <c r="HZI59" s="414"/>
      <c r="HZJ59" s="414"/>
      <c r="HZK59" s="414"/>
      <c r="HZL59" s="414"/>
      <c r="HZM59" s="414"/>
      <c r="HZN59" s="414"/>
      <c r="HZO59" s="414"/>
      <c r="HZP59" s="414"/>
      <c r="HZQ59" s="414"/>
      <c r="HZR59" s="414"/>
      <c r="HZS59" s="414"/>
      <c r="HZT59" s="414"/>
      <c r="HZU59" s="414"/>
      <c r="HZV59" s="414"/>
      <c r="HZW59" s="414"/>
      <c r="HZX59" s="414"/>
      <c r="HZY59" s="414"/>
      <c r="HZZ59" s="414"/>
      <c r="IAA59" s="414"/>
      <c r="IAB59" s="414"/>
      <c r="IAC59" s="414"/>
      <c r="IAD59" s="414"/>
      <c r="IAE59" s="414"/>
      <c r="IAF59" s="414"/>
      <c r="IAG59" s="414"/>
      <c r="IAH59" s="414"/>
      <c r="IAI59" s="414"/>
      <c r="IAJ59" s="414"/>
      <c r="IAK59" s="414"/>
      <c r="IAL59" s="414"/>
      <c r="IAM59" s="414"/>
      <c r="IAN59" s="414"/>
      <c r="IAO59" s="414"/>
      <c r="IAP59" s="414"/>
      <c r="IAQ59" s="414"/>
      <c r="IAR59" s="414"/>
      <c r="IAS59" s="414"/>
      <c r="IAT59" s="414"/>
      <c r="IAU59" s="414"/>
      <c r="IAV59" s="414"/>
      <c r="IAW59" s="414"/>
      <c r="IAX59" s="414"/>
      <c r="IAY59" s="414"/>
      <c r="IAZ59" s="414"/>
      <c r="IBA59" s="414"/>
      <c r="IBB59" s="414"/>
      <c r="IBC59" s="414"/>
      <c r="IBD59" s="414"/>
      <c r="IBE59" s="414"/>
      <c r="IBF59" s="414"/>
      <c r="IBG59" s="414"/>
      <c r="IBH59" s="414"/>
      <c r="IBI59" s="414"/>
      <c r="IBJ59" s="414"/>
      <c r="IBK59" s="414"/>
      <c r="IBL59" s="414"/>
      <c r="IBM59" s="414"/>
      <c r="IBN59" s="414"/>
      <c r="IBO59" s="414"/>
      <c r="IBP59" s="414"/>
      <c r="IBQ59" s="414"/>
      <c r="IBR59" s="414"/>
      <c r="IBS59" s="414"/>
      <c r="IBT59" s="414"/>
      <c r="IBU59" s="414"/>
      <c r="IBV59" s="414"/>
      <c r="IBW59" s="414"/>
      <c r="IBX59" s="414"/>
      <c r="IBY59" s="414"/>
      <c r="IBZ59" s="414"/>
      <c r="ICA59" s="414"/>
      <c r="ICB59" s="414"/>
      <c r="ICC59" s="414"/>
      <c r="ICD59" s="414"/>
      <c r="ICE59" s="414"/>
      <c r="ICF59" s="414"/>
      <c r="ICG59" s="414"/>
      <c r="ICH59" s="414"/>
      <c r="ICI59" s="414"/>
      <c r="ICJ59" s="414"/>
      <c r="ICK59" s="414"/>
      <c r="ICL59" s="414"/>
      <c r="ICM59" s="414"/>
      <c r="ICN59" s="414"/>
      <c r="ICO59" s="414"/>
      <c r="ICP59" s="414"/>
      <c r="ICQ59" s="414"/>
      <c r="ICR59" s="414"/>
      <c r="ICS59" s="414"/>
      <c r="ICT59" s="414"/>
      <c r="ICU59" s="414"/>
      <c r="ICV59" s="414"/>
      <c r="ICW59" s="414"/>
      <c r="ICX59" s="414"/>
      <c r="ICY59" s="414"/>
      <c r="ICZ59" s="414"/>
      <c r="IDA59" s="414"/>
      <c r="IDB59" s="414"/>
      <c r="IDC59" s="414"/>
      <c r="IDD59" s="414"/>
      <c r="IDE59" s="414"/>
      <c r="IDF59" s="414"/>
      <c r="IDG59" s="414"/>
      <c r="IDH59" s="414"/>
      <c r="IDI59" s="414"/>
      <c r="IDJ59" s="414"/>
      <c r="IDK59" s="414"/>
      <c r="IDL59" s="414"/>
      <c r="IDM59" s="414"/>
      <c r="IDN59" s="414"/>
      <c r="IDO59" s="414"/>
      <c r="IDP59" s="414"/>
      <c r="IDQ59" s="414"/>
      <c r="IDR59" s="414"/>
      <c r="IDS59" s="414"/>
      <c r="IDT59" s="414"/>
      <c r="IDU59" s="414"/>
      <c r="IDV59" s="414"/>
      <c r="IDW59" s="414"/>
      <c r="IDX59" s="414"/>
      <c r="IDY59" s="414"/>
      <c r="IDZ59" s="414"/>
      <c r="IEA59" s="414"/>
      <c r="IEB59" s="414"/>
      <c r="IEC59" s="414"/>
      <c r="IED59" s="414"/>
      <c r="IEE59" s="414"/>
      <c r="IEF59" s="414"/>
      <c r="IEG59" s="414"/>
      <c r="IEH59" s="414"/>
      <c r="IEI59" s="414"/>
      <c r="IEJ59" s="414"/>
      <c r="IEK59" s="414"/>
      <c r="IEL59" s="414"/>
      <c r="IEM59" s="414"/>
      <c r="IEN59" s="414"/>
      <c r="IEO59" s="414"/>
      <c r="IEP59" s="414"/>
      <c r="IEQ59" s="414"/>
      <c r="IER59" s="414"/>
      <c r="IES59" s="414"/>
      <c r="IET59" s="414"/>
      <c r="IEU59" s="414"/>
      <c r="IEV59" s="414"/>
      <c r="IEW59" s="414"/>
      <c r="IEX59" s="414"/>
      <c r="IEY59" s="414"/>
      <c r="IEZ59" s="414"/>
      <c r="IFA59" s="414"/>
      <c r="IFB59" s="414"/>
      <c r="IFC59" s="414"/>
      <c r="IFD59" s="414"/>
      <c r="IFE59" s="414"/>
      <c r="IFF59" s="414"/>
      <c r="IFG59" s="414"/>
      <c r="IFH59" s="414"/>
      <c r="IFI59" s="414"/>
      <c r="IFJ59" s="414"/>
      <c r="IFK59" s="414"/>
      <c r="IFL59" s="414"/>
      <c r="IFM59" s="414"/>
      <c r="IFN59" s="414"/>
      <c r="IFO59" s="414"/>
      <c r="IFP59" s="414"/>
      <c r="IFQ59" s="414"/>
      <c r="IFR59" s="414"/>
      <c r="IFS59" s="414"/>
      <c r="IFT59" s="414"/>
      <c r="IFU59" s="414"/>
      <c r="IFV59" s="414"/>
      <c r="IFW59" s="414"/>
      <c r="IFX59" s="414"/>
      <c r="IFY59" s="414"/>
      <c r="IFZ59" s="414"/>
      <c r="IGA59" s="414"/>
      <c r="IGB59" s="414"/>
      <c r="IGC59" s="414"/>
      <c r="IGD59" s="414"/>
      <c r="IGE59" s="414"/>
      <c r="IGF59" s="414"/>
      <c r="IGG59" s="414"/>
      <c r="IGH59" s="414"/>
      <c r="IGI59" s="414"/>
      <c r="IGJ59" s="414"/>
      <c r="IGK59" s="414"/>
      <c r="IGL59" s="414"/>
      <c r="IGM59" s="414"/>
      <c r="IGN59" s="414"/>
      <c r="IGO59" s="414"/>
      <c r="IGP59" s="414"/>
      <c r="IGQ59" s="414"/>
      <c r="IGR59" s="414"/>
      <c r="IGS59" s="414"/>
      <c r="IGT59" s="414"/>
      <c r="IGU59" s="414"/>
      <c r="IGV59" s="414"/>
      <c r="IGW59" s="414"/>
      <c r="IGX59" s="414"/>
      <c r="IGY59" s="414"/>
      <c r="IGZ59" s="414"/>
      <c r="IHA59" s="414"/>
      <c r="IHB59" s="414"/>
      <c r="IHC59" s="414"/>
      <c r="IHD59" s="414"/>
      <c r="IHE59" s="414"/>
      <c r="IHF59" s="414"/>
      <c r="IHG59" s="414"/>
      <c r="IHH59" s="414"/>
      <c r="IHI59" s="414"/>
      <c r="IHJ59" s="414"/>
      <c r="IHK59" s="414"/>
      <c r="IHL59" s="414"/>
      <c r="IHM59" s="414"/>
      <c r="IHN59" s="414"/>
      <c r="IHO59" s="414"/>
      <c r="IHP59" s="414"/>
      <c r="IHQ59" s="414"/>
      <c r="IHR59" s="414"/>
      <c r="IHS59" s="414"/>
      <c r="IHT59" s="414"/>
      <c r="IHU59" s="414"/>
      <c r="IHV59" s="414"/>
      <c r="IHW59" s="414"/>
      <c r="IHX59" s="414"/>
      <c r="IHY59" s="414"/>
      <c r="IHZ59" s="414"/>
      <c r="IIA59" s="414"/>
      <c r="IIB59" s="414"/>
      <c r="IIC59" s="414"/>
      <c r="IID59" s="414"/>
      <c r="IIE59" s="414"/>
      <c r="IIF59" s="414"/>
      <c r="IIG59" s="414"/>
      <c r="IIH59" s="414"/>
      <c r="III59" s="414"/>
      <c r="IIJ59" s="414"/>
      <c r="IIK59" s="414"/>
      <c r="IIL59" s="414"/>
      <c r="IIM59" s="414"/>
      <c r="IIN59" s="414"/>
      <c r="IIO59" s="414"/>
      <c r="IIP59" s="414"/>
      <c r="IIQ59" s="414"/>
      <c r="IIR59" s="414"/>
      <c r="IIS59" s="414"/>
      <c r="IIT59" s="414"/>
      <c r="IIU59" s="414"/>
      <c r="IIV59" s="414"/>
      <c r="IIW59" s="414"/>
      <c r="IIX59" s="414"/>
      <c r="IIY59" s="414"/>
      <c r="IIZ59" s="414"/>
      <c r="IJA59" s="414"/>
      <c r="IJB59" s="414"/>
      <c r="IJC59" s="414"/>
      <c r="IJD59" s="414"/>
      <c r="IJE59" s="414"/>
      <c r="IJF59" s="414"/>
      <c r="IJG59" s="414"/>
      <c r="IJH59" s="414"/>
      <c r="IJI59" s="414"/>
      <c r="IJJ59" s="414"/>
      <c r="IJK59" s="414"/>
      <c r="IJL59" s="414"/>
      <c r="IJM59" s="414"/>
      <c r="IJN59" s="414"/>
      <c r="IJO59" s="414"/>
      <c r="IJP59" s="414"/>
      <c r="IJQ59" s="414"/>
      <c r="IJR59" s="414"/>
      <c r="IJS59" s="414"/>
      <c r="IJT59" s="414"/>
      <c r="IJU59" s="414"/>
      <c r="IJV59" s="414"/>
      <c r="IJW59" s="414"/>
      <c r="IJX59" s="414"/>
      <c r="IJY59" s="414"/>
      <c r="IJZ59" s="414"/>
      <c r="IKA59" s="414"/>
      <c r="IKB59" s="414"/>
      <c r="IKC59" s="414"/>
      <c r="IKD59" s="414"/>
      <c r="IKE59" s="414"/>
      <c r="IKF59" s="414"/>
      <c r="IKG59" s="414"/>
      <c r="IKH59" s="414"/>
      <c r="IKI59" s="414"/>
      <c r="IKJ59" s="414"/>
      <c r="IKK59" s="414"/>
      <c r="IKL59" s="414"/>
      <c r="IKM59" s="414"/>
      <c r="IKN59" s="414"/>
      <c r="IKO59" s="414"/>
      <c r="IKP59" s="414"/>
      <c r="IKQ59" s="414"/>
      <c r="IKR59" s="414"/>
      <c r="IKS59" s="414"/>
      <c r="IKT59" s="414"/>
      <c r="IKU59" s="414"/>
      <c r="IKV59" s="414"/>
      <c r="IKW59" s="414"/>
      <c r="IKX59" s="414"/>
      <c r="IKY59" s="414"/>
      <c r="IKZ59" s="414"/>
      <c r="ILA59" s="414"/>
      <c r="ILB59" s="414"/>
      <c r="ILC59" s="414"/>
      <c r="ILD59" s="414"/>
      <c r="ILE59" s="414"/>
      <c r="ILF59" s="414"/>
      <c r="ILG59" s="414"/>
      <c r="ILH59" s="414"/>
      <c r="ILI59" s="414"/>
      <c r="ILJ59" s="414"/>
      <c r="ILK59" s="414"/>
      <c r="ILL59" s="414"/>
      <c r="ILM59" s="414"/>
      <c r="ILN59" s="414"/>
      <c r="ILO59" s="414"/>
      <c r="ILP59" s="414"/>
      <c r="ILQ59" s="414"/>
      <c r="ILR59" s="414"/>
      <c r="ILS59" s="414"/>
      <c r="ILT59" s="414"/>
      <c r="ILU59" s="414"/>
      <c r="ILV59" s="414"/>
      <c r="ILW59" s="414"/>
      <c r="ILX59" s="414"/>
      <c r="ILY59" s="414"/>
      <c r="ILZ59" s="414"/>
      <c r="IMA59" s="414"/>
      <c r="IMB59" s="414"/>
      <c r="IMC59" s="414"/>
      <c r="IMD59" s="414"/>
      <c r="IME59" s="414"/>
      <c r="IMF59" s="414"/>
      <c r="IMG59" s="414"/>
      <c r="IMH59" s="414"/>
      <c r="IMI59" s="414"/>
      <c r="IMJ59" s="414"/>
      <c r="IMK59" s="414"/>
      <c r="IML59" s="414"/>
      <c r="IMM59" s="414"/>
      <c r="IMN59" s="414"/>
      <c r="IMO59" s="414"/>
      <c r="IMP59" s="414"/>
      <c r="IMQ59" s="414"/>
      <c r="IMR59" s="414"/>
      <c r="IMS59" s="414"/>
      <c r="IMT59" s="414"/>
      <c r="IMU59" s="414"/>
      <c r="IMV59" s="414"/>
      <c r="IMW59" s="414"/>
      <c r="IMX59" s="414"/>
      <c r="IMY59" s="414"/>
      <c r="IMZ59" s="414"/>
      <c r="INA59" s="414"/>
      <c r="INB59" s="414"/>
      <c r="INC59" s="414"/>
      <c r="IND59" s="414"/>
      <c r="INE59" s="414"/>
      <c r="INF59" s="414"/>
      <c r="ING59" s="414"/>
      <c r="INH59" s="414"/>
      <c r="INI59" s="414"/>
      <c r="INJ59" s="414"/>
      <c r="INK59" s="414"/>
      <c r="INL59" s="414"/>
      <c r="INM59" s="414"/>
      <c r="INN59" s="414"/>
      <c r="INO59" s="414"/>
      <c r="INP59" s="414"/>
      <c r="INQ59" s="414"/>
      <c r="INR59" s="414"/>
      <c r="INS59" s="414"/>
      <c r="INT59" s="414"/>
      <c r="INU59" s="414"/>
      <c r="INV59" s="414"/>
      <c r="INW59" s="414"/>
      <c r="INX59" s="414"/>
      <c r="INY59" s="414"/>
      <c r="INZ59" s="414"/>
      <c r="IOA59" s="414"/>
      <c r="IOB59" s="414"/>
      <c r="IOC59" s="414"/>
      <c r="IOD59" s="414"/>
      <c r="IOE59" s="414"/>
      <c r="IOF59" s="414"/>
      <c r="IOG59" s="414"/>
      <c r="IOH59" s="414"/>
      <c r="IOI59" s="414"/>
      <c r="IOJ59" s="414"/>
      <c r="IOK59" s="414"/>
      <c r="IOL59" s="414"/>
      <c r="IOM59" s="414"/>
      <c r="ION59" s="414"/>
      <c r="IOO59" s="414"/>
      <c r="IOP59" s="414"/>
      <c r="IOQ59" s="414"/>
      <c r="IOR59" s="414"/>
      <c r="IOS59" s="414"/>
      <c r="IOT59" s="414"/>
      <c r="IOU59" s="414"/>
      <c r="IOV59" s="414"/>
      <c r="IOW59" s="414"/>
      <c r="IOX59" s="414"/>
      <c r="IOY59" s="414"/>
      <c r="IOZ59" s="414"/>
      <c r="IPA59" s="414"/>
      <c r="IPB59" s="414"/>
      <c r="IPC59" s="414"/>
      <c r="IPD59" s="414"/>
      <c r="IPE59" s="414"/>
      <c r="IPF59" s="414"/>
      <c r="IPG59" s="414"/>
      <c r="IPH59" s="414"/>
      <c r="IPI59" s="414"/>
      <c r="IPJ59" s="414"/>
      <c r="IPK59" s="414"/>
      <c r="IPL59" s="414"/>
      <c r="IPM59" s="414"/>
      <c r="IPN59" s="414"/>
      <c r="IPO59" s="414"/>
      <c r="IPP59" s="414"/>
      <c r="IPQ59" s="414"/>
      <c r="IPR59" s="414"/>
      <c r="IPS59" s="414"/>
      <c r="IPT59" s="414"/>
      <c r="IPU59" s="414"/>
      <c r="IPV59" s="414"/>
      <c r="IPW59" s="414"/>
      <c r="IPX59" s="414"/>
      <c r="IPY59" s="414"/>
      <c r="IPZ59" s="414"/>
      <c r="IQA59" s="414"/>
      <c r="IQB59" s="414"/>
      <c r="IQC59" s="414"/>
      <c r="IQD59" s="414"/>
      <c r="IQE59" s="414"/>
      <c r="IQF59" s="414"/>
      <c r="IQG59" s="414"/>
      <c r="IQH59" s="414"/>
      <c r="IQI59" s="414"/>
      <c r="IQJ59" s="414"/>
      <c r="IQK59" s="414"/>
      <c r="IQL59" s="414"/>
      <c r="IQM59" s="414"/>
      <c r="IQN59" s="414"/>
      <c r="IQO59" s="414"/>
      <c r="IQP59" s="414"/>
      <c r="IQQ59" s="414"/>
      <c r="IQR59" s="414"/>
      <c r="IQS59" s="414"/>
      <c r="IQT59" s="414"/>
      <c r="IQU59" s="414"/>
      <c r="IQV59" s="414"/>
      <c r="IQW59" s="414"/>
      <c r="IQX59" s="414"/>
      <c r="IQY59" s="414"/>
      <c r="IQZ59" s="414"/>
      <c r="IRA59" s="414"/>
      <c r="IRB59" s="414"/>
      <c r="IRC59" s="414"/>
      <c r="IRD59" s="414"/>
      <c r="IRE59" s="414"/>
      <c r="IRF59" s="414"/>
      <c r="IRG59" s="414"/>
      <c r="IRH59" s="414"/>
      <c r="IRI59" s="414"/>
      <c r="IRJ59" s="414"/>
      <c r="IRK59" s="414"/>
      <c r="IRL59" s="414"/>
      <c r="IRM59" s="414"/>
      <c r="IRN59" s="414"/>
      <c r="IRO59" s="414"/>
      <c r="IRP59" s="414"/>
      <c r="IRQ59" s="414"/>
      <c r="IRR59" s="414"/>
      <c r="IRS59" s="414"/>
      <c r="IRT59" s="414"/>
      <c r="IRU59" s="414"/>
      <c r="IRV59" s="414"/>
      <c r="IRW59" s="414"/>
      <c r="IRX59" s="414"/>
      <c r="IRY59" s="414"/>
      <c r="IRZ59" s="414"/>
      <c r="ISA59" s="414"/>
      <c r="ISB59" s="414"/>
      <c r="ISC59" s="414"/>
      <c r="ISD59" s="414"/>
      <c r="ISE59" s="414"/>
      <c r="ISF59" s="414"/>
      <c r="ISG59" s="414"/>
      <c r="ISH59" s="414"/>
      <c r="ISI59" s="414"/>
      <c r="ISJ59" s="414"/>
      <c r="ISK59" s="414"/>
      <c r="ISL59" s="414"/>
      <c r="ISM59" s="414"/>
      <c r="ISN59" s="414"/>
      <c r="ISO59" s="414"/>
      <c r="ISP59" s="414"/>
      <c r="ISQ59" s="414"/>
      <c r="ISR59" s="414"/>
      <c r="ISS59" s="414"/>
      <c r="IST59" s="414"/>
      <c r="ISU59" s="414"/>
      <c r="ISV59" s="414"/>
      <c r="ISW59" s="414"/>
      <c r="ISX59" s="414"/>
      <c r="ISY59" s="414"/>
      <c r="ISZ59" s="414"/>
      <c r="ITA59" s="414"/>
      <c r="ITB59" s="414"/>
      <c r="ITC59" s="414"/>
      <c r="ITD59" s="414"/>
      <c r="ITE59" s="414"/>
      <c r="ITF59" s="414"/>
      <c r="ITG59" s="414"/>
      <c r="ITH59" s="414"/>
      <c r="ITI59" s="414"/>
      <c r="ITJ59" s="414"/>
      <c r="ITK59" s="414"/>
      <c r="ITL59" s="414"/>
      <c r="ITM59" s="414"/>
      <c r="ITN59" s="414"/>
      <c r="ITO59" s="414"/>
      <c r="ITP59" s="414"/>
      <c r="ITQ59" s="414"/>
      <c r="ITR59" s="414"/>
      <c r="ITS59" s="414"/>
      <c r="ITT59" s="414"/>
      <c r="ITU59" s="414"/>
      <c r="ITV59" s="414"/>
      <c r="ITW59" s="414"/>
      <c r="ITX59" s="414"/>
      <c r="ITY59" s="414"/>
      <c r="ITZ59" s="414"/>
      <c r="IUA59" s="414"/>
      <c r="IUB59" s="414"/>
      <c r="IUC59" s="414"/>
      <c r="IUD59" s="414"/>
      <c r="IUE59" s="414"/>
      <c r="IUF59" s="414"/>
      <c r="IUG59" s="414"/>
      <c r="IUH59" s="414"/>
      <c r="IUI59" s="414"/>
      <c r="IUJ59" s="414"/>
      <c r="IUK59" s="414"/>
      <c r="IUL59" s="414"/>
      <c r="IUM59" s="414"/>
      <c r="IUN59" s="414"/>
      <c r="IUO59" s="414"/>
      <c r="IUP59" s="414"/>
      <c r="IUQ59" s="414"/>
      <c r="IUR59" s="414"/>
      <c r="IUS59" s="414"/>
      <c r="IUT59" s="414"/>
      <c r="IUU59" s="414"/>
      <c r="IUV59" s="414"/>
      <c r="IUW59" s="414"/>
      <c r="IUX59" s="414"/>
      <c r="IUY59" s="414"/>
      <c r="IUZ59" s="414"/>
      <c r="IVA59" s="414"/>
      <c r="IVB59" s="414"/>
      <c r="IVC59" s="414"/>
      <c r="IVD59" s="414"/>
      <c r="IVE59" s="414"/>
      <c r="IVF59" s="414"/>
      <c r="IVG59" s="414"/>
      <c r="IVH59" s="414"/>
      <c r="IVI59" s="414"/>
      <c r="IVJ59" s="414"/>
      <c r="IVK59" s="414"/>
      <c r="IVL59" s="414"/>
      <c r="IVM59" s="414"/>
      <c r="IVN59" s="414"/>
      <c r="IVO59" s="414"/>
      <c r="IVP59" s="414"/>
      <c r="IVQ59" s="414"/>
      <c r="IVR59" s="414"/>
      <c r="IVS59" s="414"/>
      <c r="IVT59" s="414"/>
      <c r="IVU59" s="414"/>
      <c r="IVV59" s="414"/>
      <c r="IVW59" s="414"/>
      <c r="IVX59" s="414"/>
      <c r="IVY59" s="414"/>
      <c r="IVZ59" s="414"/>
      <c r="IWA59" s="414"/>
      <c r="IWB59" s="414"/>
      <c r="IWC59" s="414"/>
      <c r="IWD59" s="414"/>
      <c r="IWE59" s="414"/>
      <c r="IWF59" s="414"/>
      <c r="IWG59" s="414"/>
      <c r="IWH59" s="414"/>
      <c r="IWI59" s="414"/>
      <c r="IWJ59" s="414"/>
      <c r="IWK59" s="414"/>
      <c r="IWL59" s="414"/>
      <c r="IWM59" s="414"/>
      <c r="IWN59" s="414"/>
      <c r="IWO59" s="414"/>
      <c r="IWP59" s="414"/>
      <c r="IWQ59" s="414"/>
      <c r="IWR59" s="414"/>
      <c r="IWS59" s="414"/>
      <c r="IWT59" s="414"/>
      <c r="IWU59" s="414"/>
      <c r="IWV59" s="414"/>
      <c r="IWW59" s="414"/>
      <c r="IWX59" s="414"/>
      <c r="IWY59" s="414"/>
      <c r="IWZ59" s="414"/>
      <c r="IXA59" s="414"/>
      <c r="IXB59" s="414"/>
      <c r="IXC59" s="414"/>
      <c r="IXD59" s="414"/>
      <c r="IXE59" s="414"/>
      <c r="IXF59" s="414"/>
      <c r="IXG59" s="414"/>
      <c r="IXH59" s="414"/>
      <c r="IXI59" s="414"/>
      <c r="IXJ59" s="414"/>
      <c r="IXK59" s="414"/>
      <c r="IXL59" s="414"/>
      <c r="IXM59" s="414"/>
      <c r="IXN59" s="414"/>
      <c r="IXO59" s="414"/>
      <c r="IXP59" s="414"/>
      <c r="IXQ59" s="414"/>
      <c r="IXR59" s="414"/>
      <c r="IXS59" s="414"/>
      <c r="IXT59" s="414"/>
      <c r="IXU59" s="414"/>
      <c r="IXV59" s="414"/>
      <c r="IXW59" s="414"/>
      <c r="IXX59" s="414"/>
      <c r="IXY59" s="414"/>
      <c r="IXZ59" s="414"/>
      <c r="IYA59" s="414"/>
      <c r="IYB59" s="414"/>
      <c r="IYC59" s="414"/>
      <c r="IYD59" s="414"/>
      <c r="IYE59" s="414"/>
      <c r="IYF59" s="414"/>
      <c r="IYG59" s="414"/>
      <c r="IYH59" s="414"/>
      <c r="IYI59" s="414"/>
      <c r="IYJ59" s="414"/>
      <c r="IYK59" s="414"/>
      <c r="IYL59" s="414"/>
      <c r="IYM59" s="414"/>
      <c r="IYN59" s="414"/>
      <c r="IYO59" s="414"/>
      <c r="IYP59" s="414"/>
      <c r="IYQ59" s="414"/>
      <c r="IYR59" s="414"/>
      <c r="IYS59" s="414"/>
      <c r="IYT59" s="414"/>
      <c r="IYU59" s="414"/>
      <c r="IYV59" s="414"/>
      <c r="IYW59" s="414"/>
      <c r="IYX59" s="414"/>
      <c r="IYY59" s="414"/>
      <c r="IYZ59" s="414"/>
      <c r="IZA59" s="414"/>
      <c r="IZB59" s="414"/>
      <c r="IZC59" s="414"/>
      <c r="IZD59" s="414"/>
      <c r="IZE59" s="414"/>
      <c r="IZF59" s="414"/>
      <c r="IZG59" s="414"/>
      <c r="IZH59" s="414"/>
      <c r="IZI59" s="414"/>
      <c r="IZJ59" s="414"/>
      <c r="IZK59" s="414"/>
      <c r="IZL59" s="414"/>
      <c r="IZM59" s="414"/>
      <c r="IZN59" s="414"/>
      <c r="IZO59" s="414"/>
      <c r="IZP59" s="414"/>
      <c r="IZQ59" s="414"/>
      <c r="IZR59" s="414"/>
      <c r="IZS59" s="414"/>
      <c r="IZT59" s="414"/>
      <c r="IZU59" s="414"/>
      <c r="IZV59" s="414"/>
      <c r="IZW59" s="414"/>
      <c r="IZX59" s="414"/>
      <c r="IZY59" s="414"/>
      <c r="IZZ59" s="414"/>
      <c r="JAA59" s="414"/>
      <c r="JAB59" s="414"/>
      <c r="JAC59" s="414"/>
      <c r="JAD59" s="414"/>
      <c r="JAE59" s="414"/>
      <c r="JAF59" s="414"/>
      <c r="JAG59" s="414"/>
      <c r="JAH59" s="414"/>
      <c r="JAI59" s="414"/>
      <c r="JAJ59" s="414"/>
      <c r="JAK59" s="414"/>
      <c r="JAL59" s="414"/>
      <c r="JAM59" s="414"/>
      <c r="JAN59" s="414"/>
      <c r="JAO59" s="414"/>
      <c r="JAP59" s="414"/>
      <c r="JAQ59" s="414"/>
      <c r="JAR59" s="414"/>
      <c r="JAS59" s="414"/>
      <c r="JAT59" s="414"/>
      <c r="JAU59" s="414"/>
      <c r="JAV59" s="414"/>
      <c r="JAW59" s="414"/>
      <c r="JAX59" s="414"/>
      <c r="JAY59" s="414"/>
      <c r="JAZ59" s="414"/>
      <c r="JBA59" s="414"/>
      <c r="JBB59" s="414"/>
      <c r="JBC59" s="414"/>
      <c r="JBD59" s="414"/>
      <c r="JBE59" s="414"/>
      <c r="JBF59" s="414"/>
      <c r="JBG59" s="414"/>
      <c r="JBH59" s="414"/>
      <c r="JBI59" s="414"/>
      <c r="JBJ59" s="414"/>
      <c r="JBK59" s="414"/>
      <c r="JBL59" s="414"/>
      <c r="JBM59" s="414"/>
      <c r="JBN59" s="414"/>
      <c r="JBO59" s="414"/>
      <c r="JBP59" s="414"/>
      <c r="JBQ59" s="414"/>
      <c r="JBR59" s="414"/>
      <c r="JBS59" s="414"/>
      <c r="JBT59" s="414"/>
      <c r="JBU59" s="414"/>
      <c r="JBV59" s="414"/>
      <c r="JBW59" s="414"/>
      <c r="JBX59" s="414"/>
      <c r="JBY59" s="414"/>
      <c r="JBZ59" s="414"/>
      <c r="JCA59" s="414"/>
      <c r="JCB59" s="414"/>
      <c r="JCC59" s="414"/>
      <c r="JCD59" s="414"/>
      <c r="JCE59" s="414"/>
      <c r="JCF59" s="414"/>
      <c r="JCG59" s="414"/>
      <c r="JCH59" s="414"/>
      <c r="JCI59" s="414"/>
      <c r="JCJ59" s="414"/>
      <c r="JCK59" s="414"/>
      <c r="JCL59" s="414"/>
      <c r="JCM59" s="414"/>
      <c r="JCN59" s="414"/>
      <c r="JCO59" s="414"/>
      <c r="JCP59" s="414"/>
      <c r="JCQ59" s="414"/>
      <c r="JCR59" s="414"/>
      <c r="JCS59" s="414"/>
      <c r="JCT59" s="414"/>
      <c r="JCU59" s="414"/>
      <c r="JCV59" s="414"/>
      <c r="JCW59" s="414"/>
      <c r="JCX59" s="414"/>
      <c r="JCY59" s="414"/>
      <c r="JCZ59" s="414"/>
      <c r="JDA59" s="414"/>
      <c r="JDB59" s="414"/>
      <c r="JDC59" s="414"/>
      <c r="JDD59" s="414"/>
      <c r="JDE59" s="414"/>
      <c r="JDF59" s="414"/>
      <c r="JDG59" s="414"/>
      <c r="JDH59" s="414"/>
      <c r="JDI59" s="414"/>
      <c r="JDJ59" s="414"/>
      <c r="JDK59" s="414"/>
      <c r="JDL59" s="414"/>
      <c r="JDM59" s="414"/>
      <c r="JDN59" s="414"/>
      <c r="JDO59" s="414"/>
      <c r="JDP59" s="414"/>
      <c r="JDQ59" s="414"/>
      <c r="JDR59" s="414"/>
      <c r="JDS59" s="414"/>
      <c r="JDT59" s="414"/>
      <c r="JDU59" s="414"/>
      <c r="JDV59" s="414"/>
      <c r="JDW59" s="414"/>
      <c r="JDX59" s="414"/>
      <c r="JDY59" s="414"/>
      <c r="JDZ59" s="414"/>
      <c r="JEA59" s="414"/>
      <c r="JEB59" s="414"/>
      <c r="JEC59" s="414"/>
      <c r="JED59" s="414"/>
      <c r="JEE59" s="414"/>
      <c r="JEF59" s="414"/>
      <c r="JEG59" s="414"/>
      <c r="JEH59" s="414"/>
      <c r="JEI59" s="414"/>
      <c r="JEJ59" s="414"/>
      <c r="JEK59" s="414"/>
      <c r="JEL59" s="414"/>
      <c r="JEM59" s="414"/>
      <c r="JEN59" s="414"/>
      <c r="JEO59" s="414"/>
      <c r="JEP59" s="414"/>
      <c r="JEQ59" s="414"/>
      <c r="JER59" s="414"/>
      <c r="JES59" s="414"/>
      <c r="JET59" s="414"/>
      <c r="JEU59" s="414"/>
      <c r="JEV59" s="414"/>
      <c r="JEW59" s="414"/>
      <c r="JEX59" s="414"/>
      <c r="JEY59" s="414"/>
      <c r="JEZ59" s="414"/>
      <c r="JFA59" s="414"/>
      <c r="JFB59" s="414"/>
      <c r="JFC59" s="414"/>
      <c r="JFD59" s="414"/>
      <c r="JFE59" s="414"/>
      <c r="JFF59" s="414"/>
      <c r="JFG59" s="414"/>
      <c r="JFH59" s="414"/>
      <c r="JFI59" s="414"/>
      <c r="JFJ59" s="414"/>
      <c r="JFK59" s="414"/>
      <c r="JFL59" s="414"/>
      <c r="JFM59" s="414"/>
      <c r="JFN59" s="414"/>
      <c r="JFO59" s="414"/>
      <c r="JFP59" s="414"/>
      <c r="JFQ59" s="414"/>
      <c r="JFR59" s="414"/>
      <c r="JFS59" s="414"/>
      <c r="JFT59" s="414"/>
      <c r="JFU59" s="414"/>
      <c r="JFV59" s="414"/>
      <c r="JFW59" s="414"/>
      <c r="JFX59" s="414"/>
      <c r="JFY59" s="414"/>
      <c r="JFZ59" s="414"/>
      <c r="JGA59" s="414"/>
      <c r="JGB59" s="414"/>
      <c r="JGC59" s="414"/>
      <c r="JGD59" s="414"/>
      <c r="JGE59" s="414"/>
      <c r="JGF59" s="414"/>
      <c r="JGG59" s="414"/>
      <c r="JGH59" s="414"/>
      <c r="JGI59" s="414"/>
      <c r="JGJ59" s="414"/>
      <c r="JGK59" s="414"/>
      <c r="JGL59" s="414"/>
      <c r="JGM59" s="414"/>
      <c r="JGN59" s="414"/>
      <c r="JGO59" s="414"/>
      <c r="JGP59" s="414"/>
      <c r="JGQ59" s="414"/>
      <c r="JGR59" s="414"/>
      <c r="JGS59" s="414"/>
      <c r="JGT59" s="414"/>
      <c r="JGU59" s="414"/>
      <c r="JGV59" s="414"/>
      <c r="JGW59" s="414"/>
      <c r="JGX59" s="414"/>
      <c r="JGY59" s="414"/>
      <c r="JGZ59" s="414"/>
      <c r="JHA59" s="414"/>
      <c r="JHB59" s="414"/>
      <c r="JHC59" s="414"/>
      <c r="JHD59" s="414"/>
      <c r="JHE59" s="414"/>
      <c r="JHF59" s="414"/>
      <c r="JHG59" s="414"/>
      <c r="JHH59" s="414"/>
      <c r="JHI59" s="414"/>
      <c r="JHJ59" s="414"/>
      <c r="JHK59" s="414"/>
      <c r="JHL59" s="414"/>
      <c r="JHM59" s="414"/>
      <c r="JHN59" s="414"/>
      <c r="JHO59" s="414"/>
      <c r="JHP59" s="414"/>
      <c r="JHQ59" s="414"/>
      <c r="JHR59" s="414"/>
      <c r="JHS59" s="414"/>
      <c r="JHT59" s="414"/>
      <c r="JHU59" s="414"/>
      <c r="JHV59" s="414"/>
      <c r="JHW59" s="414"/>
      <c r="JHX59" s="414"/>
      <c r="JHY59" s="414"/>
      <c r="JHZ59" s="414"/>
      <c r="JIA59" s="414"/>
      <c r="JIB59" s="414"/>
      <c r="JIC59" s="414"/>
      <c r="JID59" s="414"/>
      <c r="JIE59" s="414"/>
      <c r="JIF59" s="414"/>
      <c r="JIG59" s="414"/>
      <c r="JIH59" s="414"/>
      <c r="JII59" s="414"/>
      <c r="JIJ59" s="414"/>
      <c r="JIK59" s="414"/>
      <c r="JIL59" s="414"/>
      <c r="JIM59" s="414"/>
      <c r="JIN59" s="414"/>
      <c r="JIO59" s="414"/>
      <c r="JIP59" s="414"/>
      <c r="JIQ59" s="414"/>
      <c r="JIR59" s="414"/>
      <c r="JIS59" s="414"/>
      <c r="JIT59" s="414"/>
      <c r="JIU59" s="414"/>
      <c r="JIV59" s="414"/>
      <c r="JIW59" s="414"/>
      <c r="JIX59" s="414"/>
      <c r="JIY59" s="414"/>
      <c r="JIZ59" s="414"/>
      <c r="JJA59" s="414"/>
      <c r="JJB59" s="414"/>
      <c r="JJC59" s="414"/>
      <c r="JJD59" s="414"/>
      <c r="JJE59" s="414"/>
      <c r="JJF59" s="414"/>
      <c r="JJG59" s="414"/>
      <c r="JJH59" s="414"/>
      <c r="JJI59" s="414"/>
      <c r="JJJ59" s="414"/>
      <c r="JJK59" s="414"/>
      <c r="JJL59" s="414"/>
      <c r="JJM59" s="414"/>
      <c r="JJN59" s="414"/>
      <c r="JJO59" s="414"/>
      <c r="JJP59" s="414"/>
      <c r="JJQ59" s="414"/>
      <c r="JJR59" s="414"/>
      <c r="JJS59" s="414"/>
      <c r="JJT59" s="414"/>
      <c r="JJU59" s="414"/>
      <c r="JJV59" s="414"/>
      <c r="JJW59" s="414"/>
      <c r="JJX59" s="414"/>
      <c r="JJY59" s="414"/>
      <c r="JJZ59" s="414"/>
      <c r="JKA59" s="414"/>
      <c r="JKB59" s="414"/>
      <c r="JKC59" s="414"/>
      <c r="JKD59" s="414"/>
      <c r="JKE59" s="414"/>
      <c r="JKF59" s="414"/>
      <c r="JKG59" s="414"/>
      <c r="JKH59" s="414"/>
      <c r="JKI59" s="414"/>
      <c r="JKJ59" s="414"/>
      <c r="JKK59" s="414"/>
      <c r="JKL59" s="414"/>
      <c r="JKM59" s="414"/>
      <c r="JKN59" s="414"/>
      <c r="JKO59" s="414"/>
      <c r="JKP59" s="414"/>
      <c r="JKQ59" s="414"/>
      <c r="JKR59" s="414"/>
      <c r="JKS59" s="414"/>
      <c r="JKT59" s="414"/>
      <c r="JKU59" s="414"/>
      <c r="JKV59" s="414"/>
      <c r="JKW59" s="414"/>
      <c r="JKX59" s="414"/>
      <c r="JKY59" s="414"/>
      <c r="JKZ59" s="414"/>
      <c r="JLA59" s="414"/>
      <c r="JLB59" s="414"/>
      <c r="JLC59" s="414"/>
      <c r="JLD59" s="414"/>
      <c r="JLE59" s="414"/>
      <c r="JLF59" s="414"/>
      <c r="JLG59" s="414"/>
      <c r="JLH59" s="414"/>
      <c r="JLI59" s="414"/>
      <c r="JLJ59" s="414"/>
      <c r="JLK59" s="414"/>
      <c r="JLL59" s="414"/>
      <c r="JLM59" s="414"/>
      <c r="JLN59" s="414"/>
      <c r="JLO59" s="414"/>
      <c r="JLP59" s="414"/>
      <c r="JLQ59" s="414"/>
      <c r="JLR59" s="414"/>
      <c r="JLS59" s="414"/>
      <c r="JLT59" s="414"/>
      <c r="JLU59" s="414"/>
      <c r="JLV59" s="414"/>
      <c r="JLW59" s="414"/>
      <c r="JLX59" s="414"/>
      <c r="JLY59" s="414"/>
      <c r="JLZ59" s="414"/>
      <c r="JMA59" s="414"/>
      <c r="JMB59" s="414"/>
      <c r="JMC59" s="414"/>
      <c r="JMD59" s="414"/>
      <c r="JME59" s="414"/>
      <c r="JMF59" s="414"/>
      <c r="JMG59" s="414"/>
      <c r="JMH59" s="414"/>
      <c r="JMI59" s="414"/>
      <c r="JMJ59" s="414"/>
      <c r="JMK59" s="414"/>
      <c r="JML59" s="414"/>
      <c r="JMM59" s="414"/>
      <c r="JMN59" s="414"/>
      <c r="JMO59" s="414"/>
      <c r="JMP59" s="414"/>
      <c r="JMQ59" s="414"/>
      <c r="JMR59" s="414"/>
      <c r="JMS59" s="414"/>
      <c r="JMT59" s="414"/>
      <c r="JMU59" s="414"/>
      <c r="JMV59" s="414"/>
      <c r="JMW59" s="414"/>
      <c r="JMX59" s="414"/>
      <c r="JMY59" s="414"/>
      <c r="JMZ59" s="414"/>
      <c r="JNA59" s="414"/>
      <c r="JNB59" s="414"/>
      <c r="JNC59" s="414"/>
      <c r="JND59" s="414"/>
      <c r="JNE59" s="414"/>
      <c r="JNF59" s="414"/>
      <c r="JNG59" s="414"/>
      <c r="JNH59" s="414"/>
      <c r="JNI59" s="414"/>
      <c r="JNJ59" s="414"/>
      <c r="JNK59" s="414"/>
      <c r="JNL59" s="414"/>
      <c r="JNM59" s="414"/>
      <c r="JNN59" s="414"/>
      <c r="JNO59" s="414"/>
      <c r="JNP59" s="414"/>
      <c r="JNQ59" s="414"/>
      <c r="JNR59" s="414"/>
      <c r="JNS59" s="414"/>
      <c r="JNT59" s="414"/>
      <c r="JNU59" s="414"/>
      <c r="JNV59" s="414"/>
      <c r="JNW59" s="414"/>
      <c r="JNX59" s="414"/>
      <c r="JNY59" s="414"/>
      <c r="JNZ59" s="414"/>
      <c r="JOA59" s="414"/>
      <c r="JOB59" s="414"/>
      <c r="JOC59" s="414"/>
      <c r="JOD59" s="414"/>
      <c r="JOE59" s="414"/>
      <c r="JOF59" s="414"/>
      <c r="JOG59" s="414"/>
      <c r="JOH59" s="414"/>
      <c r="JOI59" s="414"/>
      <c r="JOJ59" s="414"/>
      <c r="JOK59" s="414"/>
      <c r="JOL59" s="414"/>
      <c r="JOM59" s="414"/>
      <c r="JON59" s="414"/>
      <c r="JOO59" s="414"/>
      <c r="JOP59" s="414"/>
      <c r="JOQ59" s="414"/>
      <c r="JOR59" s="414"/>
      <c r="JOS59" s="414"/>
      <c r="JOT59" s="414"/>
      <c r="JOU59" s="414"/>
      <c r="JOV59" s="414"/>
      <c r="JOW59" s="414"/>
      <c r="JOX59" s="414"/>
      <c r="JOY59" s="414"/>
      <c r="JOZ59" s="414"/>
      <c r="JPA59" s="414"/>
      <c r="JPB59" s="414"/>
      <c r="JPC59" s="414"/>
      <c r="JPD59" s="414"/>
      <c r="JPE59" s="414"/>
      <c r="JPF59" s="414"/>
      <c r="JPG59" s="414"/>
      <c r="JPH59" s="414"/>
      <c r="JPI59" s="414"/>
      <c r="JPJ59" s="414"/>
      <c r="JPK59" s="414"/>
      <c r="JPL59" s="414"/>
      <c r="JPM59" s="414"/>
      <c r="JPN59" s="414"/>
      <c r="JPO59" s="414"/>
      <c r="JPP59" s="414"/>
      <c r="JPQ59" s="414"/>
      <c r="JPR59" s="414"/>
      <c r="JPS59" s="414"/>
      <c r="JPT59" s="414"/>
      <c r="JPU59" s="414"/>
      <c r="JPV59" s="414"/>
      <c r="JPW59" s="414"/>
      <c r="JPX59" s="414"/>
      <c r="JPY59" s="414"/>
      <c r="JPZ59" s="414"/>
      <c r="JQA59" s="414"/>
      <c r="JQB59" s="414"/>
      <c r="JQC59" s="414"/>
      <c r="JQD59" s="414"/>
      <c r="JQE59" s="414"/>
      <c r="JQF59" s="414"/>
      <c r="JQG59" s="414"/>
      <c r="JQH59" s="414"/>
      <c r="JQI59" s="414"/>
      <c r="JQJ59" s="414"/>
      <c r="JQK59" s="414"/>
      <c r="JQL59" s="414"/>
      <c r="JQM59" s="414"/>
      <c r="JQN59" s="414"/>
      <c r="JQO59" s="414"/>
      <c r="JQP59" s="414"/>
      <c r="JQQ59" s="414"/>
      <c r="JQR59" s="414"/>
      <c r="JQS59" s="414"/>
      <c r="JQT59" s="414"/>
      <c r="JQU59" s="414"/>
      <c r="JQV59" s="414"/>
      <c r="JQW59" s="414"/>
      <c r="JQX59" s="414"/>
      <c r="JQY59" s="414"/>
      <c r="JQZ59" s="414"/>
      <c r="JRA59" s="414"/>
      <c r="JRB59" s="414"/>
      <c r="JRC59" s="414"/>
      <c r="JRD59" s="414"/>
      <c r="JRE59" s="414"/>
      <c r="JRF59" s="414"/>
      <c r="JRG59" s="414"/>
      <c r="JRH59" s="414"/>
      <c r="JRI59" s="414"/>
      <c r="JRJ59" s="414"/>
      <c r="JRK59" s="414"/>
      <c r="JRL59" s="414"/>
      <c r="JRM59" s="414"/>
      <c r="JRN59" s="414"/>
      <c r="JRO59" s="414"/>
      <c r="JRP59" s="414"/>
      <c r="JRQ59" s="414"/>
      <c r="JRR59" s="414"/>
      <c r="JRS59" s="414"/>
      <c r="JRT59" s="414"/>
      <c r="JRU59" s="414"/>
      <c r="JRV59" s="414"/>
      <c r="JRW59" s="414"/>
      <c r="JRX59" s="414"/>
      <c r="JRY59" s="414"/>
      <c r="JRZ59" s="414"/>
      <c r="JSA59" s="414"/>
      <c r="JSB59" s="414"/>
      <c r="JSC59" s="414"/>
      <c r="JSD59" s="414"/>
      <c r="JSE59" s="414"/>
      <c r="JSF59" s="414"/>
      <c r="JSG59" s="414"/>
      <c r="JSH59" s="414"/>
      <c r="JSI59" s="414"/>
      <c r="JSJ59" s="414"/>
      <c r="JSK59" s="414"/>
      <c r="JSL59" s="414"/>
      <c r="JSM59" s="414"/>
      <c r="JSN59" s="414"/>
      <c r="JSO59" s="414"/>
      <c r="JSP59" s="414"/>
      <c r="JSQ59" s="414"/>
      <c r="JSR59" s="414"/>
      <c r="JSS59" s="414"/>
      <c r="JST59" s="414"/>
      <c r="JSU59" s="414"/>
      <c r="JSV59" s="414"/>
      <c r="JSW59" s="414"/>
      <c r="JSX59" s="414"/>
      <c r="JSY59" s="414"/>
      <c r="JSZ59" s="414"/>
      <c r="JTA59" s="414"/>
      <c r="JTB59" s="414"/>
      <c r="JTC59" s="414"/>
      <c r="JTD59" s="414"/>
      <c r="JTE59" s="414"/>
      <c r="JTF59" s="414"/>
      <c r="JTG59" s="414"/>
      <c r="JTH59" s="414"/>
      <c r="JTI59" s="414"/>
      <c r="JTJ59" s="414"/>
      <c r="JTK59" s="414"/>
      <c r="JTL59" s="414"/>
      <c r="JTM59" s="414"/>
      <c r="JTN59" s="414"/>
      <c r="JTO59" s="414"/>
      <c r="JTP59" s="414"/>
      <c r="JTQ59" s="414"/>
      <c r="JTR59" s="414"/>
      <c r="JTS59" s="414"/>
      <c r="JTT59" s="414"/>
      <c r="JTU59" s="414"/>
      <c r="JTV59" s="414"/>
      <c r="JTW59" s="414"/>
      <c r="JTX59" s="414"/>
      <c r="JTY59" s="414"/>
      <c r="JTZ59" s="414"/>
      <c r="JUA59" s="414"/>
      <c r="JUB59" s="414"/>
      <c r="JUC59" s="414"/>
      <c r="JUD59" s="414"/>
      <c r="JUE59" s="414"/>
      <c r="JUF59" s="414"/>
      <c r="JUG59" s="414"/>
      <c r="JUH59" s="414"/>
      <c r="JUI59" s="414"/>
      <c r="JUJ59" s="414"/>
      <c r="JUK59" s="414"/>
      <c r="JUL59" s="414"/>
      <c r="JUM59" s="414"/>
      <c r="JUN59" s="414"/>
      <c r="JUO59" s="414"/>
      <c r="JUP59" s="414"/>
      <c r="JUQ59" s="414"/>
      <c r="JUR59" s="414"/>
      <c r="JUS59" s="414"/>
      <c r="JUT59" s="414"/>
      <c r="JUU59" s="414"/>
      <c r="JUV59" s="414"/>
      <c r="JUW59" s="414"/>
      <c r="JUX59" s="414"/>
      <c r="JUY59" s="414"/>
      <c r="JUZ59" s="414"/>
      <c r="JVA59" s="414"/>
      <c r="JVB59" s="414"/>
      <c r="JVC59" s="414"/>
      <c r="JVD59" s="414"/>
      <c r="JVE59" s="414"/>
      <c r="JVF59" s="414"/>
      <c r="JVG59" s="414"/>
      <c r="JVH59" s="414"/>
      <c r="JVI59" s="414"/>
      <c r="JVJ59" s="414"/>
      <c r="JVK59" s="414"/>
      <c r="JVL59" s="414"/>
      <c r="JVM59" s="414"/>
      <c r="JVN59" s="414"/>
      <c r="JVO59" s="414"/>
      <c r="JVP59" s="414"/>
      <c r="JVQ59" s="414"/>
      <c r="JVR59" s="414"/>
      <c r="JVS59" s="414"/>
      <c r="JVT59" s="414"/>
      <c r="JVU59" s="414"/>
      <c r="JVV59" s="414"/>
      <c r="JVW59" s="414"/>
      <c r="JVX59" s="414"/>
      <c r="JVY59" s="414"/>
      <c r="JVZ59" s="414"/>
      <c r="JWA59" s="414"/>
      <c r="JWB59" s="414"/>
      <c r="JWC59" s="414"/>
      <c r="JWD59" s="414"/>
      <c r="JWE59" s="414"/>
      <c r="JWF59" s="414"/>
      <c r="JWG59" s="414"/>
      <c r="JWH59" s="414"/>
      <c r="JWI59" s="414"/>
      <c r="JWJ59" s="414"/>
      <c r="JWK59" s="414"/>
      <c r="JWL59" s="414"/>
      <c r="JWM59" s="414"/>
      <c r="JWN59" s="414"/>
      <c r="JWO59" s="414"/>
      <c r="JWP59" s="414"/>
      <c r="JWQ59" s="414"/>
      <c r="JWR59" s="414"/>
      <c r="JWS59" s="414"/>
      <c r="JWT59" s="414"/>
      <c r="JWU59" s="414"/>
      <c r="JWV59" s="414"/>
      <c r="JWW59" s="414"/>
      <c r="JWX59" s="414"/>
      <c r="JWY59" s="414"/>
      <c r="JWZ59" s="414"/>
      <c r="JXA59" s="414"/>
      <c r="JXB59" s="414"/>
      <c r="JXC59" s="414"/>
      <c r="JXD59" s="414"/>
      <c r="JXE59" s="414"/>
      <c r="JXF59" s="414"/>
      <c r="JXG59" s="414"/>
      <c r="JXH59" s="414"/>
      <c r="JXI59" s="414"/>
      <c r="JXJ59" s="414"/>
      <c r="JXK59" s="414"/>
      <c r="JXL59" s="414"/>
      <c r="JXM59" s="414"/>
      <c r="JXN59" s="414"/>
      <c r="JXO59" s="414"/>
      <c r="JXP59" s="414"/>
      <c r="JXQ59" s="414"/>
      <c r="JXR59" s="414"/>
      <c r="JXS59" s="414"/>
      <c r="JXT59" s="414"/>
      <c r="JXU59" s="414"/>
      <c r="JXV59" s="414"/>
      <c r="JXW59" s="414"/>
      <c r="JXX59" s="414"/>
      <c r="JXY59" s="414"/>
      <c r="JXZ59" s="414"/>
      <c r="JYA59" s="414"/>
      <c r="JYB59" s="414"/>
      <c r="JYC59" s="414"/>
      <c r="JYD59" s="414"/>
      <c r="JYE59" s="414"/>
      <c r="JYF59" s="414"/>
      <c r="JYG59" s="414"/>
      <c r="JYH59" s="414"/>
      <c r="JYI59" s="414"/>
      <c r="JYJ59" s="414"/>
      <c r="JYK59" s="414"/>
      <c r="JYL59" s="414"/>
      <c r="JYM59" s="414"/>
      <c r="JYN59" s="414"/>
      <c r="JYO59" s="414"/>
      <c r="JYP59" s="414"/>
      <c r="JYQ59" s="414"/>
      <c r="JYR59" s="414"/>
      <c r="JYS59" s="414"/>
      <c r="JYT59" s="414"/>
      <c r="JYU59" s="414"/>
      <c r="JYV59" s="414"/>
      <c r="JYW59" s="414"/>
      <c r="JYX59" s="414"/>
      <c r="JYY59" s="414"/>
      <c r="JYZ59" s="414"/>
      <c r="JZA59" s="414"/>
      <c r="JZB59" s="414"/>
      <c r="JZC59" s="414"/>
      <c r="JZD59" s="414"/>
      <c r="JZE59" s="414"/>
      <c r="JZF59" s="414"/>
      <c r="JZG59" s="414"/>
      <c r="JZH59" s="414"/>
      <c r="JZI59" s="414"/>
      <c r="JZJ59" s="414"/>
      <c r="JZK59" s="414"/>
      <c r="JZL59" s="414"/>
      <c r="JZM59" s="414"/>
      <c r="JZN59" s="414"/>
      <c r="JZO59" s="414"/>
      <c r="JZP59" s="414"/>
      <c r="JZQ59" s="414"/>
      <c r="JZR59" s="414"/>
      <c r="JZS59" s="414"/>
      <c r="JZT59" s="414"/>
      <c r="JZU59" s="414"/>
      <c r="JZV59" s="414"/>
      <c r="JZW59" s="414"/>
      <c r="JZX59" s="414"/>
      <c r="JZY59" s="414"/>
      <c r="JZZ59" s="414"/>
      <c r="KAA59" s="414"/>
      <c r="KAB59" s="414"/>
      <c r="KAC59" s="414"/>
      <c r="KAD59" s="414"/>
      <c r="KAE59" s="414"/>
      <c r="KAF59" s="414"/>
      <c r="KAG59" s="414"/>
      <c r="KAH59" s="414"/>
      <c r="KAI59" s="414"/>
      <c r="KAJ59" s="414"/>
      <c r="KAK59" s="414"/>
      <c r="KAL59" s="414"/>
      <c r="KAM59" s="414"/>
      <c r="KAN59" s="414"/>
      <c r="KAO59" s="414"/>
      <c r="KAP59" s="414"/>
      <c r="KAQ59" s="414"/>
      <c r="KAR59" s="414"/>
      <c r="KAS59" s="414"/>
      <c r="KAT59" s="414"/>
      <c r="KAU59" s="414"/>
      <c r="KAV59" s="414"/>
      <c r="KAW59" s="414"/>
      <c r="KAX59" s="414"/>
      <c r="KAY59" s="414"/>
      <c r="KAZ59" s="414"/>
      <c r="KBA59" s="414"/>
      <c r="KBB59" s="414"/>
      <c r="KBC59" s="414"/>
      <c r="KBD59" s="414"/>
      <c r="KBE59" s="414"/>
      <c r="KBF59" s="414"/>
      <c r="KBG59" s="414"/>
      <c r="KBH59" s="414"/>
      <c r="KBI59" s="414"/>
      <c r="KBJ59" s="414"/>
      <c r="KBK59" s="414"/>
      <c r="KBL59" s="414"/>
      <c r="KBM59" s="414"/>
      <c r="KBN59" s="414"/>
      <c r="KBO59" s="414"/>
      <c r="KBP59" s="414"/>
      <c r="KBQ59" s="414"/>
      <c r="KBR59" s="414"/>
      <c r="KBS59" s="414"/>
      <c r="KBT59" s="414"/>
      <c r="KBU59" s="414"/>
      <c r="KBV59" s="414"/>
      <c r="KBW59" s="414"/>
      <c r="KBX59" s="414"/>
      <c r="KBY59" s="414"/>
      <c r="KBZ59" s="414"/>
      <c r="KCA59" s="414"/>
      <c r="KCB59" s="414"/>
      <c r="KCC59" s="414"/>
      <c r="KCD59" s="414"/>
      <c r="KCE59" s="414"/>
      <c r="KCF59" s="414"/>
      <c r="KCG59" s="414"/>
      <c r="KCH59" s="414"/>
      <c r="KCI59" s="414"/>
      <c r="KCJ59" s="414"/>
      <c r="KCK59" s="414"/>
      <c r="KCL59" s="414"/>
      <c r="KCM59" s="414"/>
      <c r="KCN59" s="414"/>
      <c r="KCO59" s="414"/>
      <c r="KCP59" s="414"/>
      <c r="KCQ59" s="414"/>
      <c r="KCR59" s="414"/>
      <c r="KCS59" s="414"/>
      <c r="KCT59" s="414"/>
      <c r="KCU59" s="414"/>
      <c r="KCV59" s="414"/>
      <c r="KCW59" s="414"/>
      <c r="KCX59" s="414"/>
      <c r="KCY59" s="414"/>
      <c r="KCZ59" s="414"/>
      <c r="KDA59" s="414"/>
      <c r="KDB59" s="414"/>
      <c r="KDC59" s="414"/>
      <c r="KDD59" s="414"/>
      <c r="KDE59" s="414"/>
      <c r="KDF59" s="414"/>
      <c r="KDG59" s="414"/>
      <c r="KDH59" s="414"/>
      <c r="KDI59" s="414"/>
      <c r="KDJ59" s="414"/>
      <c r="KDK59" s="414"/>
      <c r="KDL59" s="414"/>
      <c r="KDM59" s="414"/>
      <c r="KDN59" s="414"/>
      <c r="KDO59" s="414"/>
      <c r="KDP59" s="414"/>
      <c r="KDQ59" s="414"/>
      <c r="KDR59" s="414"/>
      <c r="KDS59" s="414"/>
      <c r="KDT59" s="414"/>
      <c r="KDU59" s="414"/>
      <c r="KDV59" s="414"/>
      <c r="KDW59" s="414"/>
      <c r="KDX59" s="414"/>
      <c r="KDY59" s="414"/>
      <c r="KDZ59" s="414"/>
      <c r="KEA59" s="414"/>
      <c r="KEB59" s="414"/>
      <c r="KEC59" s="414"/>
      <c r="KED59" s="414"/>
      <c r="KEE59" s="414"/>
      <c r="KEF59" s="414"/>
      <c r="KEG59" s="414"/>
      <c r="KEH59" s="414"/>
      <c r="KEI59" s="414"/>
      <c r="KEJ59" s="414"/>
      <c r="KEK59" s="414"/>
      <c r="KEL59" s="414"/>
      <c r="KEM59" s="414"/>
      <c r="KEN59" s="414"/>
      <c r="KEO59" s="414"/>
      <c r="KEP59" s="414"/>
      <c r="KEQ59" s="414"/>
      <c r="KER59" s="414"/>
      <c r="KES59" s="414"/>
      <c r="KET59" s="414"/>
      <c r="KEU59" s="414"/>
      <c r="KEV59" s="414"/>
      <c r="KEW59" s="414"/>
      <c r="KEX59" s="414"/>
      <c r="KEY59" s="414"/>
      <c r="KEZ59" s="414"/>
      <c r="KFA59" s="414"/>
      <c r="KFB59" s="414"/>
      <c r="KFC59" s="414"/>
      <c r="KFD59" s="414"/>
      <c r="KFE59" s="414"/>
      <c r="KFF59" s="414"/>
      <c r="KFG59" s="414"/>
      <c r="KFH59" s="414"/>
      <c r="KFI59" s="414"/>
      <c r="KFJ59" s="414"/>
      <c r="KFK59" s="414"/>
      <c r="KFL59" s="414"/>
      <c r="KFM59" s="414"/>
      <c r="KFN59" s="414"/>
      <c r="KFO59" s="414"/>
      <c r="KFP59" s="414"/>
      <c r="KFQ59" s="414"/>
      <c r="KFR59" s="414"/>
      <c r="KFS59" s="414"/>
      <c r="KFT59" s="414"/>
      <c r="KFU59" s="414"/>
      <c r="KFV59" s="414"/>
      <c r="KFW59" s="414"/>
      <c r="KFX59" s="414"/>
      <c r="KFY59" s="414"/>
      <c r="KFZ59" s="414"/>
      <c r="KGA59" s="414"/>
      <c r="KGB59" s="414"/>
      <c r="KGC59" s="414"/>
      <c r="KGD59" s="414"/>
      <c r="KGE59" s="414"/>
      <c r="KGF59" s="414"/>
      <c r="KGG59" s="414"/>
      <c r="KGH59" s="414"/>
      <c r="KGI59" s="414"/>
      <c r="KGJ59" s="414"/>
      <c r="KGK59" s="414"/>
      <c r="KGL59" s="414"/>
      <c r="KGM59" s="414"/>
      <c r="KGN59" s="414"/>
      <c r="KGO59" s="414"/>
      <c r="KGP59" s="414"/>
      <c r="KGQ59" s="414"/>
      <c r="KGR59" s="414"/>
      <c r="KGS59" s="414"/>
      <c r="KGT59" s="414"/>
      <c r="KGU59" s="414"/>
      <c r="KGV59" s="414"/>
      <c r="KGW59" s="414"/>
      <c r="KGX59" s="414"/>
      <c r="KGY59" s="414"/>
      <c r="KGZ59" s="414"/>
      <c r="KHA59" s="414"/>
      <c r="KHB59" s="414"/>
      <c r="KHC59" s="414"/>
      <c r="KHD59" s="414"/>
      <c r="KHE59" s="414"/>
      <c r="KHF59" s="414"/>
      <c r="KHG59" s="414"/>
      <c r="KHH59" s="414"/>
      <c r="KHI59" s="414"/>
      <c r="KHJ59" s="414"/>
      <c r="KHK59" s="414"/>
      <c r="KHL59" s="414"/>
      <c r="KHM59" s="414"/>
      <c r="KHN59" s="414"/>
      <c r="KHO59" s="414"/>
      <c r="KHP59" s="414"/>
      <c r="KHQ59" s="414"/>
      <c r="KHR59" s="414"/>
      <c r="KHS59" s="414"/>
      <c r="KHT59" s="414"/>
      <c r="KHU59" s="414"/>
      <c r="KHV59" s="414"/>
      <c r="KHW59" s="414"/>
      <c r="KHX59" s="414"/>
      <c r="KHY59" s="414"/>
      <c r="KHZ59" s="414"/>
      <c r="KIA59" s="414"/>
      <c r="KIB59" s="414"/>
      <c r="KIC59" s="414"/>
      <c r="KID59" s="414"/>
      <c r="KIE59" s="414"/>
      <c r="KIF59" s="414"/>
      <c r="KIG59" s="414"/>
      <c r="KIH59" s="414"/>
      <c r="KII59" s="414"/>
      <c r="KIJ59" s="414"/>
      <c r="KIK59" s="414"/>
      <c r="KIL59" s="414"/>
      <c r="KIM59" s="414"/>
      <c r="KIN59" s="414"/>
      <c r="KIO59" s="414"/>
      <c r="KIP59" s="414"/>
      <c r="KIQ59" s="414"/>
      <c r="KIR59" s="414"/>
      <c r="KIS59" s="414"/>
      <c r="KIT59" s="414"/>
      <c r="KIU59" s="414"/>
      <c r="KIV59" s="414"/>
      <c r="KIW59" s="414"/>
      <c r="KIX59" s="414"/>
      <c r="KIY59" s="414"/>
      <c r="KIZ59" s="414"/>
      <c r="KJA59" s="414"/>
      <c r="KJB59" s="414"/>
      <c r="KJC59" s="414"/>
      <c r="KJD59" s="414"/>
      <c r="KJE59" s="414"/>
      <c r="KJF59" s="414"/>
      <c r="KJG59" s="414"/>
      <c r="KJH59" s="414"/>
      <c r="KJI59" s="414"/>
      <c r="KJJ59" s="414"/>
      <c r="KJK59" s="414"/>
      <c r="KJL59" s="414"/>
      <c r="KJM59" s="414"/>
      <c r="KJN59" s="414"/>
      <c r="KJO59" s="414"/>
      <c r="KJP59" s="414"/>
      <c r="KJQ59" s="414"/>
      <c r="KJR59" s="414"/>
      <c r="KJS59" s="414"/>
      <c r="KJT59" s="414"/>
      <c r="KJU59" s="414"/>
      <c r="KJV59" s="414"/>
      <c r="KJW59" s="414"/>
      <c r="KJX59" s="414"/>
      <c r="KJY59" s="414"/>
      <c r="KJZ59" s="414"/>
      <c r="KKA59" s="414"/>
      <c r="KKB59" s="414"/>
      <c r="KKC59" s="414"/>
      <c r="KKD59" s="414"/>
      <c r="KKE59" s="414"/>
      <c r="KKF59" s="414"/>
      <c r="KKG59" s="414"/>
      <c r="KKH59" s="414"/>
      <c r="KKI59" s="414"/>
      <c r="KKJ59" s="414"/>
      <c r="KKK59" s="414"/>
      <c r="KKL59" s="414"/>
      <c r="KKM59" s="414"/>
      <c r="KKN59" s="414"/>
      <c r="KKO59" s="414"/>
      <c r="KKP59" s="414"/>
      <c r="KKQ59" s="414"/>
      <c r="KKR59" s="414"/>
      <c r="KKS59" s="414"/>
      <c r="KKT59" s="414"/>
      <c r="KKU59" s="414"/>
      <c r="KKV59" s="414"/>
      <c r="KKW59" s="414"/>
      <c r="KKX59" s="414"/>
      <c r="KKY59" s="414"/>
      <c r="KKZ59" s="414"/>
      <c r="KLA59" s="414"/>
      <c r="KLB59" s="414"/>
      <c r="KLC59" s="414"/>
      <c r="KLD59" s="414"/>
      <c r="KLE59" s="414"/>
      <c r="KLF59" s="414"/>
      <c r="KLG59" s="414"/>
      <c r="KLH59" s="414"/>
      <c r="KLI59" s="414"/>
      <c r="KLJ59" s="414"/>
      <c r="KLK59" s="414"/>
      <c r="KLL59" s="414"/>
      <c r="KLM59" s="414"/>
      <c r="KLN59" s="414"/>
      <c r="KLO59" s="414"/>
      <c r="KLP59" s="414"/>
      <c r="KLQ59" s="414"/>
      <c r="KLR59" s="414"/>
      <c r="KLS59" s="414"/>
      <c r="KLT59" s="414"/>
      <c r="KLU59" s="414"/>
      <c r="KLV59" s="414"/>
      <c r="KLW59" s="414"/>
      <c r="KLX59" s="414"/>
      <c r="KLY59" s="414"/>
      <c r="KLZ59" s="414"/>
      <c r="KMA59" s="414"/>
      <c r="KMB59" s="414"/>
      <c r="KMC59" s="414"/>
      <c r="KMD59" s="414"/>
      <c r="KME59" s="414"/>
      <c r="KMF59" s="414"/>
      <c r="KMG59" s="414"/>
      <c r="KMH59" s="414"/>
      <c r="KMI59" s="414"/>
      <c r="KMJ59" s="414"/>
      <c r="KMK59" s="414"/>
      <c r="KML59" s="414"/>
      <c r="KMM59" s="414"/>
      <c r="KMN59" s="414"/>
      <c r="KMO59" s="414"/>
      <c r="KMP59" s="414"/>
      <c r="KMQ59" s="414"/>
      <c r="KMR59" s="414"/>
      <c r="KMS59" s="414"/>
      <c r="KMT59" s="414"/>
      <c r="KMU59" s="414"/>
      <c r="KMV59" s="414"/>
      <c r="KMW59" s="414"/>
      <c r="KMX59" s="414"/>
      <c r="KMY59" s="414"/>
      <c r="KMZ59" s="414"/>
      <c r="KNA59" s="414"/>
      <c r="KNB59" s="414"/>
      <c r="KNC59" s="414"/>
      <c r="KND59" s="414"/>
      <c r="KNE59" s="414"/>
      <c r="KNF59" s="414"/>
      <c r="KNG59" s="414"/>
      <c r="KNH59" s="414"/>
      <c r="KNI59" s="414"/>
      <c r="KNJ59" s="414"/>
      <c r="KNK59" s="414"/>
      <c r="KNL59" s="414"/>
      <c r="KNM59" s="414"/>
      <c r="KNN59" s="414"/>
      <c r="KNO59" s="414"/>
      <c r="KNP59" s="414"/>
      <c r="KNQ59" s="414"/>
      <c r="KNR59" s="414"/>
      <c r="KNS59" s="414"/>
      <c r="KNT59" s="414"/>
      <c r="KNU59" s="414"/>
      <c r="KNV59" s="414"/>
      <c r="KNW59" s="414"/>
      <c r="KNX59" s="414"/>
      <c r="KNY59" s="414"/>
      <c r="KNZ59" s="414"/>
      <c r="KOA59" s="414"/>
      <c r="KOB59" s="414"/>
      <c r="KOC59" s="414"/>
      <c r="KOD59" s="414"/>
      <c r="KOE59" s="414"/>
      <c r="KOF59" s="414"/>
      <c r="KOG59" s="414"/>
      <c r="KOH59" s="414"/>
      <c r="KOI59" s="414"/>
      <c r="KOJ59" s="414"/>
      <c r="KOK59" s="414"/>
      <c r="KOL59" s="414"/>
      <c r="KOM59" s="414"/>
      <c r="KON59" s="414"/>
      <c r="KOO59" s="414"/>
      <c r="KOP59" s="414"/>
      <c r="KOQ59" s="414"/>
      <c r="KOR59" s="414"/>
      <c r="KOS59" s="414"/>
      <c r="KOT59" s="414"/>
      <c r="KOU59" s="414"/>
      <c r="KOV59" s="414"/>
      <c r="KOW59" s="414"/>
      <c r="KOX59" s="414"/>
      <c r="KOY59" s="414"/>
      <c r="KOZ59" s="414"/>
      <c r="KPA59" s="414"/>
      <c r="KPB59" s="414"/>
      <c r="KPC59" s="414"/>
      <c r="KPD59" s="414"/>
      <c r="KPE59" s="414"/>
      <c r="KPF59" s="414"/>
      <c r="KPG59" s="414"/>
      <c r="KPH59" s="414"/>
      <c r="KPI59" s="414"/>
      <c r="KPJ59" s="414"/>
      <c r="KPK59" s="414"/>
      <c r="KPL59" s="414"/>
      <c r="KPM59" s="414"/>
      <c r="KPN59" s="414"/>
      <c r="KPO59" s="414"/>
      <c r="KPP59" s="414"/>
      <c r="KPQ59" s="414"/>
      <c r="KPR59" s="414"/>
      <c r="KPS59" s="414"/>
      <c r="KPT59" s="414"/>
      <c r="KPU59" s="414"/>
      <c r="KPV59" s="414"/>
      <c r="KPW59" s="414"/>
      <c r="KPX59" s="414"/>
      <c r="KPY59" s="414"/>
      <c r="KPZ59" s="414"/>
      <c r="KQA59" s="414"/>
      <c r="KQB59" s="414"/>
      <c r="KQC59" s="414"/>
      <c r="KQD59" s="414"/>
      <c r="KQE59" s="414"/>
      <c r="KQF59" s="414"/>
      <c r="KQG59" s="414"/>
      <c r="KQH59" s="414"/>
      <c r="KQI59" s="414"/>
      <c r="KQJ59" s="414"/>
      <c r="KQK59" s="414"/>
      <c r="KQL59" s="414"/>
      <c r="KQM59" s="414"/>
      <c r="KQN59" s="414"/>
      <c r="KQO59" s="414"/>
      <c r="KQP59" s="414"/>
      <c r="KQQ59" s="414"/>
      <c r="KQR59" s="414"/>
      <c r="KQS59" s="414"/>
      <c r="KQT59" s="414"/>
      <c r="KQU59" s="414"/>
      <c r="KQV59" s="414"/>
      <c r="KQW59" s="414"/>
      <c r="KQX59" s="414"/>
      <c r="KQY59" s="414"/>
      <c r="KQZ59" s="414"/>
      <c r="KRA59" s="414"/>
      <c r="KRB59" s="414"/>
      <c r="KRC59" s="414"/>
      <c r="KRD59" s="414"/>
      <c r="KRE59" s="414"/>
      <c r="KRF59" s="414"/>
      <c r="KRG59" s="414"/>
      <c r="KRH59" s="414"/>
      <c r="KRI59" s="414"/>
      <c r="KRJ59" s="414"/>
      <c r="KRK59" s="414"/>
      <c r="KRL59" s="414"/>
      <c r="KRM59" s="414"/>
      <c r="KRN59" s="414"/>
      <c r="KRO59" s="414"/>
      <c r="KRP59" s="414"/>
      <c r="KRQ59" s="414"/>
      <c r="KRR59" s="414"/>
      <c r="KRS59" s="414"/>
      <c r="KRT59" s="414"/>
      <c r="KRU59" s="414"/>
      <c r="KRV59" s="414"/>
      <c r="KRW59" s="414"/>
      <c r="KRX59" s="414"/>
      <c r="KRY59" s="414"/>
      <c r="KRZ59" s="414"/>
      <c r="KSA59" s="414"/>
      <c r="KSB59" s="414"/>
      <c r="KSC59" s="414"/>
      <c r="KSD59" s="414"/>
      <c r="KSE59" s="414"/>
      <c r="KSF59" s="414"/>
      <c r="KSG59" s="414"/>
      <c r="KSH59" s="414"/>
      <c r="KSI59" s="414"/>
      <c r="KSJ59" s="414"/>
      <c r="KSK59" s="414"/>
      <c r="KSL59" s="414"/>
      <c r="KSM59" s="414"/>
      <c r="KSN59" s="414"/>
      <c r="KSO59" s="414"/>
      <c r="KSP59" s="414"/>
      <c r="KSQ59" s="414"/>
      <c r="KSR59" s="414"/>
      <c r="KSS59" s="414"/>
      <c r="KST59" s="414"/>
      <c r="KSU59" s="414"/>
      <c r="KSV59" s="414"/>
      <c r="KSW59" s="414"/>
      <c r="KSX59" s="414"/>
      <c r="KSY59" s="414"/>
      <c r="KSZ59" s="414"/>
      <c r="KTA59" s="414"/>
      <c r="KTB59" s="414"/>
      <c r="KTC59" s="414"/>
      <c r="KTD59" s="414"/>
      <c r="KTE59" s="414"/>
      <c r="KTF59" s="414"/>
      <c r="KTG59" s="414"/>
      <c r="KTH59" s="414"/>
      <c r="KTI59" s="414"/>
      <c r="KTJ59" s="414"/>
      <c r="KTK59" s="414"/>
      <c r="KTL59" s="414"/>
      <c r="KTM59" s="414"/>
      <c r="KTN59" s="414"/>
      <c r="KTO59" s="414"/>
      <c r="KTP59" s="414"/>
      <c r="KTQ59" s="414"/>
      <c r="KTR59" s="414"/>
      <c r="KTS59" s="414"/>
      <c r="KTT59" s="414"/>
      <c r="KTU59" s="414"/>
      <c r="KTV59" s="414"/>
      <c r="KTW59" s="414"/>
      <c r="KTX59" s="414"/>
      <c r="KTY59" s="414"/>
      <c r="KTZ59" s="414"/>
      <c r="KUA59" s="414"/>
      <c r="KUB59" s="414"/>
      <c r="KUC59" s="414"/>
      <c r="KUD59" s="414"/>
      <c r="KUE59" s="414"/>
      <c r="KUF59" s="414"/>
      <c r="KUG59" s="414"/>
      <c r="KUH59" s="414"/>
      <c r="KUI59" s="414"/>
      <c r="KUJ59" s="414"/>
      <c r="KUK59" s="414"/>
      <c r="KUL59" s="414"/>
      <c r="KUM59" s="414"/>
      <c r="KUN59" s="414"/>
      <c r="KUO59" s="414"/>
      <c r="KUP59" s="414"/>
      <c r="KUQ59" s="414"/>
      <c r="KUR59" s="414"/>
      <c r="KUS59" s="414"/>
      <c r="KUT59" s="414"/>
      <c r="KUU59" s="414"/>
      <c r="KUV59" s="414"/>
      <c r="KUW59" s="414"/>
      <c r="KUX59" s="414"/>
      <c r="KUY59" s="414"/>
      <c r="KUZ59" s="414"/>
      <c r="KVA59" s="414"/>
      <c r="KVB59" s="414"/>
      <c r="KVC59" s="414"/>
      <c r="KVD59" s="414"/>
      <c r="KVE59" s="414"/>
      <c r="KVF59" s="414"/>
      <c r="KVG59" s="414"/>
      <c r="KVH59" s="414"/>
      <c r="KVI59" s="414"/>
      <c r="KVJ59" s="414"/>
      <c r="KVK59" s="414"/>
      <c r="KVL59" s="414"/>
      <c r="KVM59" s="414"/>
      <c r="KVN59" s="414"/>
      <c r="KVO59" s="414"/>
      <c r="KVP59" s="414"/>
      <c r="KVQ59" s="414"/>
      <c r="KVR59" s="414"/>
      <c r="KVS59" s="414"/>
      <c r="KVT59" s="414"/>
      <c r="KVU59" s="414"/>
      <c r="KVV59" s="414"/>
      <c r="KVW59" s="414"/>
      <c r="KVX59" s="414"/>
      <c r="KVY59" s="414"/>
      <c r="KVZ59" s="414"/>
      <c r="KWA59" s="414"/>
      <c r="KWB59" s="414"/>
      <c r="KWC59" s="414"/>
      <c r="KWD59" s="414"/>
      <c r="KWE59" s="414"/>
      <c r="KWF59" s="414"/>
      <c r="KWG59" s="414"/>
      <c r="KWH59" s="414"/>
      <c r="KWI59" s="414"/>
      <c r="KWJ59" s="414"/>
      <c r="KWK59" s="414"/>
      <c r="KWL59" s="414"/>
      <c r="KWM59" s="414"/>
      <c r="KWN59" s="414"/>
      <c r="KWO59" s="414"/>
      <c r="KWP59" s="414"/>
      <c r="KWQ59" s="414"/>
      <c r="KWR59" s="414"/>
      <c r="KWS59" s="414"/>
      <c r="KWT59" s="414"/>
      <c r="KWU59" s="414"/>
      <c r="KWV59" s="414"/>
      <c r="KWW59" s="414"/>
      <c r="KWX59" s="414"/>
      <c r="KWY59" s="414"/>
      <c r="KWZ59" s="414"/>
      <c r="KXA59" s="414"/>
      <c r="KXB59" s="414"/>
      <c r="KXC59" s="414"/>
      <c r="KXD59" s="414"/>
      <c r="KXE59" s="414"/>
      <c r="KXF59" s="414"/>
      <c r="KXG59" s="414"/>
      <c r="KXH59" s="414"/>
      <c r="KXI59" s="414"/>
      <c r="KXJ59" s="414"/>
      <c r="KXK59" s="414"/>
      <c r="KXL59" s="414"/>
      <c r="KXM59" s="414"/>
      <c r="KXN59" s="414"/>
      <c r="KXO59" s="414"/>
      <c r="KXP59" s="414"/>
      <c r="KXQ59" s="414"/>
      <c r="KXR59" s="414"/>
      <c r="KXS59" s="414"/>
      <c r="KXT59" s="414"/>
      <c r="KXU59" s="414"/>
      <c r="KXV59" s="414"/>
      <c r="KXW59" s="414"/>
      <c r="KXX59" s="414"/>
      <c r="KXY59" s="414"/>
      <c r="KXZ59" s="414"/>
      <c r="KYA59" s="414"/>
      <c r="KYB59" s="414"/>
      <c r="KYC59" s="414"/>
      <c r="KYD59" s="414"/>
      <c r="KYE59" s="414"/>
      <c r="KYF59" s="414"/>
      <c r="KYG59" s="414"/>
      <c r="KYH59" s="414"/>
      <c r="KYI59" s="414"/>
      <c r="KYJ59" s="414"/>
      <c r="KYK59" s="414"/>
      <c r="KYL59" s="414"/>
      <c r="KYM59" s="414"/>
      <c r="KYN59" s="414"/>
      <c r="KYO59" s="414"/>
      <c r="KYP59" s="414"/>
      <c r="KYQ59" s="414"/>
      <c r="KYR59" s="414"/>
      <c r="KYS59" s="414"/>
      <c r="KYT59" s="414"/>
      <c r="KYU59" s="414"/>
      <c r="KYV59" s="414"/>
      <c r="KYW59" s="414"/>
      <c r="KYX59" s="414"/>
      <c r="KYY59" s="414"/>
      <c r="KYZ59" s="414"/>
      <c r="KZA59" s="414"/>
      <c r="KZB59" s="414"/>
      <c r="KZC59" s="414"/>
      <c r="KZD59" s="414"/>
      <c r="KZE59" s="414"/>
      <c r="KZF59" s="414"/>
      <c r="KZG59" s="414"/>
      <c r="KZH59" s="414"/>
      <c r="KZI59" s="414"/>
      <c r="KZJ59" s="414"/>
      <c r="KZK59" s="414"/>
      <c r="KZL59" s="414"/>
      <c r="KZM59" s="414"/>
      <c r="KZN59" s="414"/>
      <c r="KZO59" s="414"/>
      <c r="KZP59" s="414"/>
      <c r="KZQ59" s="414"/>
      <c r="KZR59" s="414"/>
      <c r="KZS59" s="414"/>
      <c r="KZT59" s="414"/>
      <c r="KZU59" s="414"/>
      <c r="KZV59" s="414"/>
      <c r="KZW59" s="414"/>
      <c r="KZX59" s="414"/>
      <c r="KZY59" s="414"/>
      <c r="KZZ59" s="414"/>
      <c r="LAA59" s="414"/>
      <c r="LAB59" s="414"/>
      <c r="LAC59" s="414"/>
      <c r="LAD59" s="414"/>
      <c r="LAE59" s="414"/>
      <c r="LAF59" s="414"/>
      <c r="LAG59" s="414"/>
      <c r="LAH59" s="414"/>
      <c r="LAI59" s="414"/>
      <c r="LAJ59" s="414"/>
      <c r="LAK59" s="414"/>
      <c r="LAL59" s="414"/>
      <c r="LAM59" s="414"/>
      <c r="LAN59" s="414"/>
      <c r="LAO59" s="414"/>
      <c r="LAP59" s="414"/>
      <c r="LAQ59" s="414"/>
      <c r="LAR59" s="414"/>
      <c r="LAS59" s="414"/>
      <c r="LAT59" s="414"/>
      <c r="LAU59" s="414"/>
      <c r="LAV59" s="414"/>
      <c r="LAW59" s="414"/>
      <c r="LAX59" s="414"/>
      <c r="LAY59" s="414"/>
      <c r="LAZ59" s="414"/>
      <c r="LBA59" s="414"/>
      <c r="LBB59" s="414"/>
      <c r="LBC59" s="414"/>
      <c r="LBD59" s="414"/>
      <c r="LBE59" s="414"/>
      <c r="LBF59" s="414"/>
      <c r="LBG59" s="414"/>
      <c r="LBH59" s="414"/>
      <c r="LBI59" s="414"/>
      <c r="LBJ59" s="414"/>
      <c r="LBK59" s="414"/>
      <c r="LBL59" s="414"/>
      <c r="LBM59" s="414"/>
      <c r="LBN59" s="414"/>
      <c r="LBO59" s="414"/>
      <c r="LBP59" s="414"/>
      <c r="LBQ59" s="414"/>
      <c r="LBR59" s="414"/>
      <c r="LBS59" s="414"/>
      <c r="LBT59" s="414"/>
      <c r="LBU59" s="414"/>
      <c r="LBV59" s="414"/>
      <c r="LBW59" s="414"/>
      <c r="LBX59" s="414"/>
      <c r="LBY59" s="414"/>
      <c r="LBZ59" s="414"/>
      <c r="LCA59" s="414"/>
      <c r="LCB59" s="414"/>
      <c r="LCC59" s="414"/>
      <c r="LCD59" s="414"/>
      <c r="LCE59" s="414"/>
      <c r="LCF59" s="414"/>
      <c r="LCG59" s="414"/>
      <c r="LCH59" s="414"/>
      <c r="LCI59" s="414"/>
      <c r="LCJ59" s="414"/>
      <c r="LCK59" s="414"/>
      <c r="LCL59" s="414"/>
      <c r="LCM59" s="414"/>
      <c r="LCN59" s="414"/>
      <c r="LCO59" s="414"/>
      <c r="LCP59" s="414"/>
      <c r="LCQ59" s="414"/>
      <c r="LCR59" s="414"/>
      <c r="LCS59" s="414"/>
      <c r="LCT59" s="414"/>
      <c r="LCU59" s="414"/>
      <c r="LCV59" s="414"/>
      <c r="LCW59" s="414"/>
      <c r="LCX59" s="414"/>
      <c r="LCY59" s="414"/>
      <c r="LCZ59" s="414"/>
      <c r="LDA59" s="414"/>
      <c r="LDB59" s="414"/>
      <c r="LDC59" s="414"/>
      <c r="LDD59" s="414"/>
      <c r="LDE59" s="414"/>
      <c r="LDF59" s="414"/>
      <c r="LDG59" s="414"/>
      <c r="LDH59" s="414"/>
      <c r="LDI59" s="414"/>
      <c r="LDJ59" s="414"/>
      <c r="LDK59" s="414"/>
      <c r="LDL59" s="414"/>
      <c r="LDM59" s="414"/>
      <c r="LDN59" s="414"/>
      <c r="LDO59" s="414"/>
      <c r="LDP59" s="414"/>
      <c r="LDQ59" s="414"/>
      <c r="LDR59" s="414"/>
      <c r="LDS59" s="414"/>
      <c r="LDT59" s="414"/>
      <c r="LDU59" s="414"/>
      <c r="LDV59" s="414"/>
      <c r="LDW59" s="414"/>
      <c r="LDX59" s="414"/>
      <c r="LDY59" s="414"/>
      <c r="LDZ59" s="414"/>
      <c r="LEA59" s="414"/>
      <c r="LEB59" s="414"/>
      <c r="LEC59" s="414"/>
      <c r="LED59" s="414"/>
      <c r="LEE59" s="414"/>
      <c r="LEF59" s="414"/>
      <c r="LEG59" s="414"/>
      <c r="LEH59" s="414"/>
      <c r="LEI59" s="414"/>
      <c r="LEJ59" s="414"/>
      <c r="LEK59" s="414"/>
      <c r="LEL59" s="414"/>
      <c r="LEM59" s="414"/>
      <c r="LEN59" s="414"/>
      <c r="LEO59" s="414"/>
      <c r="LEP59" s="414"/>
      <c r="LEQ59" s="414"/>
      <c r="LER59" s="414"/>
      <c r="LES59" s="414"/>
      <c r="LET59" s="414"/>
      <c r="LEU59" s="414"/>
      <c r="LEV59" s="414"/>
      <c r="LEW59" s="414"/>
      <c r="LEX59" s="414"/>
      <c r="LEY59" s="414"/>
      <c r="LEZ59" s="414"/>
      <c r="LFA59" s="414"/>
      <c r="LFB59" s="414"/>
      <c r="LFC59" s="414"/>
      <c r="LFD59" s="414"/>
      <c r="LFE59" s="414"/>
      <c r="LFF59" s="414"/>
      <c r="LFG59" s="414"/>
      <c r="LFH59" s="414"/>
      <c r="LFI59" s="414"/>
      <c r="LFJ59" s="414"/>
      <c r="LFK59" s="414"/>
      <c r="LFL59" s="414"/>
      <c r="LFM59" s="414"/>
      <c r="LFN59" s="414"/>
      <c r="LFO59" s="414"/>
      <c r="LFP59" s="414"/>
      <c r="LFQ59" s="414"/>
      <c r="LFR59" s="414"/>
      <c r="LFS59" s="414"/>
      <c r="LFT59" s="414"/>
      <c r="LFU59" s="414"/>
      <c r="LFV59" s="414"/>
      <c r="LFW59" s="414"/>
      <c r="LFX59" s="414"/>
      <c r="LFY59" s="414"/>
      <c r="LFZ59" s="414"/>
      <c r="LGA59" s="414"/>
      <c r="LGB59" s="414"/>
      <c r="LGC59" s="414"/>
      <c r="LGD59" s="414"/>
      <c r="LGE59" s="414"/>
      <c r="LGF59" s="414"/>
      <c r="LGG59" s="414"/>
      <c r="LGH59" s="414"/>
      <c r="LGI59" s="414"/>
      <c r="LGJ59" s="414"/>
      <c r="LGK59" s="414"/>
      <c r="LGL59" s="414"/>
      <c r="LGM59" s="414"/>
      <c r="LGN59" s="414"/>
      <c r="LGO59" s="414"/>
      <c r="LGP59" s="414"/>
      <c r="LGQ59" s="414"/>
      <c r="LGR59" s="414"/>
      <c r="LGS59" s="414"/>
      <c r="LGT59" s="414"/>
      <c r="LGU59" s="414"/>
      <c r="LGV59" s="414"/>
      <c r="LGW59" s="414"/>
      <c r="LGX59" s="414"/>
      <c r="LGY59" s="414"/>
      <c r="LGZ59" s="414"/>
      <c r="LHA59" s="414"/>
      <c r="LHB59" s="414"/>
      <c r="LHC59" s="414"/>
      <c r="LHD59" s="414"/>
      <c r="LHE59" s="414"/>
      <c r="LHF59" s="414"/>
      <c r="LHG59" s="414"/>
      <c r="LHH59" s="414"/>
      <c r="LHI59" s="414"/>
      <c r="LHJ59" s="414"/>
      <c r="LHK59" s="414"/>
      <c r="LHL59" s="414"/>
      <c r="LHM59" s="414"/>
      <c r="LHN59" s="414"/>
      <c r="LHO59" s="414"/>
      <c r="LHP59" s="414"/>
      <c r="LHQ59" s="414"/>
      <c r="LHR59" s="414"/>
      <c r="LHS59" s="414"/>
      <c r="LHT59" s="414"/>
      <c r="LHU59" s="414"/>
      <c r="LHV59" s="414"/>
      <c r="LHW59" s="414"/>
      <c r="LHX59" s="414"/>
      <c r="LHY59" s="414"/>
      <c r="LHZ59" s="414"/>
      <c r="LIA59" s="414"/>
      <c r="LIB59" s="414"/>
      <c r="LIC59" s="414"/>
      <c r="LID59" s="414"/>
      <c r="LIE59" s="414"/>
      <c r="LIF59" s="414"/>
      <c r="LIG59" s="414"/>
      <c r="LIH59" s="414"/>
      <c r="LII59" s="414"/>
      <c r="LIJ59" s="414"/>
      <c r="LIK59" s="414"/>
      <c r="LIL59" s="414"/>
      <c r="LIM59" s="414"/>
      <c r="LIN59" s="414"/>
      <c r="LIO59" s="414"/>
      <c r="LIP59" s="414"/>
      <c r="LIQ59" s="414"/>
      <c r="LIR59" s="414"/>
      <c r="LIS59" s="414"/>
      <c r="LIT59" s="414"/>
      <c r="LIU59" s="414"/>
      <c r="LIV59" s="414"/>
      <c r="LIW59" s="414"/>
      <c r="LIX59" s="414"/>
      <c r="LIY59" s="414"/>
      <c r="LIZ59" s="414"/>
      <c r="LJA59" s="414"/>
      <c r="LJB59" s="414"/>
      <c r="LJC59" s="414"/>
      <c r="LJD59" s="414"/>
      <c r="LJE59" s="414"/>
      <c r="LJF59" s="414"/>
      <c r="LJG59" s="414"/>
      <c r="LJH59" s="414"/>
      <c r="LJI59" s="414"/>
      <c r="LJJ59" s="414"/>
      <c r="LJK59" s="414"/>
      <c r="LJL59" s="414"/>
      <c r="LJM59" s="414"/>
      <c r="LJN59" s="414"/>
      <c r="LJO59" s="414"/>
      <c r="LJP59" s="414"/>
      <c r="LJQ59" s="414"/>
      <c r="LJR59" s="414"/>
      <c r="LJS59" s="414"/>
      <c r="LJT59" s="414"/>
      <c r="LJU59" s="414"/>
      <c r="LJV59" s="414"/>
      <c r="LJW59" s="414"/>
      <c r="LJX59" s="414"/>
      <c r="LJY59" s="414"/>
      <c r="LJZ59" s="414"/>
      <c r="LKA59" s="414"/>
      <c r="LKB59" s="414"/>
      <c r="LKC59" s="414"/>
      <c r="LKD59" s="414"/>
      <c r="LKE59" s="414"/>
      <c r="LKF59" s="414"/>
      <c r="LKG59" s="414"/>
      <c r="LKH59" s="414"/>
      <c r="LKI59" s="414"/>
      <c r="LKJ59" s="414"/>
      <c r="LKK59" s="414"/>
      <c r="LKL59" s="414"/>
      <c r="LKM59" s="414"/>
      <c r="LKN59" s="414"/>
      <c r="LKO59" s="414"/>
      <c r="LKP59" s="414"/>
      <c r="LKQ59" s="414"/>
      <c r="LKR59" s="414"/>
      <c r="LKS59" s="414"/>
      <c r="LKT59" s="414"/>
      <c r="LKU59" s="414"/>
      <c r="LKV59" s="414"/>
      <c r="LKW59" s="414"/>
      <c r="LKX59" s="414"/>
      <c r="LKY59" s="414"/>
      <c r="LKZ59" s="414"/>
      <c r="LLA59" s="414"/>
      <c r="LLB59" s="414"/>
      <c r="LLC59" s="414"/>
      <c r="LLD59" s="414"/>
      <c r="LLE59" s="414"/>
      <c r="LLF59" s="414"/>
      <c r="LLG59" s="414"/>
      <c r="LLH59" s="414"/>
      <c r="LLI59" s="414"/>
      <c r="LLJ59" s="414"/>
      <c r="LLK59" s="414"/>
      <c r="LLL59" s="414"/>
      <c r="LLM59" s="414"/>
      <c r="LLN59" s="414"/>
      <c r="LLO59" s="414"/>
      <c r="LLP59" s="414"/>
      <c r="LLQ59" s="414"/>
      <c r="LLR59" s="414"/>
      <c r="LLS59" s="414"/>
      <c r="LLT59" s="414"/>
      <c r="LLU59" s="414"/>
      <c r="LLV59" s="414"/>
      <c r="LLW59" s="414"/>
      <c r="LLX59" s="414"/>
      <c r="LLY59" s="414"/>
      <c r="LLZ59" s="414"/>
      <c r="LMA59" s="414"/>
      <c r="LMB59" s="414"/>
      <c r="LMC59" s="414"/>
      <c r="LMD59" s="414"/>
      <c r="LME59" s="414"/>
      <c r="LMF59" s="414"/>
      <c r="LMG59" s="414"/>
      <c r="LMH59" s="414"/>
      <c r="LMI59" s="414"/>
      <c r="LMJ59" s="414"/>
      <c r="LMK59" s="414"/>
      <c r="LML59" s="414"/>
      <c r="LMM59" s="414"/>
      <c r="LMN59" s="414"/>
      <c r="LMO59" s="414"/>
      <c r="LMP59" s="414"/>
      <c r="LMQ59" s="414"/>
      <c r="LMR59" s="414"/>
      <c r="LMS59" s="414"/>
      <c r="LMT59" s="414"/>
      <c r="LMU59" s="414"/>
      <c r="LMV59" s="414"/>
      <c r="LMW59" s="414"/>
      <c r="LMX59" s="414"/>
      <c r="LMY59" s="414"/>
      <c r="LMZ59" s="414"/>
      <c r="LNA59" s="414"/>
      <c r="LNB59" s="414"/>
      <c r="LNC59" s="414"/>
      <c r="LND59" s="414"/>
      <c r="LNE59" s="414"/>
      <c r="LNF59" s="414"/>
      <c r="LNG59" s="414"/>
      <c r="LNH59" s="414"/>
      <c r="LNI59" s="414"/>
      <c r="LNJ59" s="414"/>
      <c r="LNK59" s="414"/>
      <c r="LNL59" s="414"/>
      <c r="LNM59" s="414"/>
      <c r="LNN59" s="414"/>
      <c r="LNO59" s="414"/>
      <c r="LNP59" s="414"/>
      <c r="LNQ59" s="414"/>
      <c r="LNR59" s="414"/>
      <c r="LNS59" s="414"/>
      <c r="LNT59" s="414"/>
      <c r="LNU59" s="414"/>
      <c r="LNV59" s="414"/>
      <c r="LNW59" s="414"/>
      <c r="LNX59" s="414"/>
      <c r="LNY59" s="414"/>
      <c r="LNZ59" s="414"/>
      <c r="LOA59" s="414"/>
      <c r="LOB59" s="414"/>
      <c r="LOC59" s="414"/>
      <c r="LOD59" s="414"/>
      <c r="LOE59" s="414"/>
      <c r="LOF59" s="414"/>
      <c r="LOG59" s="414"/>
      <c r="LOH59" s="414"/>
      <c r="LOI59" s="414"/>
      <c r="LOJ59" s="414"/>
      <c r="LOK59" s="414"/>
      <c r="LOL59" s="414"/>
      <c r="LOM59" s="414"/>
      <c r="LON59" s="414"/>
      <c r="LOO59" s="414"/>
      <c r="LOP59" s="414"/>
      <c r="LOQ59" s="414"/>
      <c r="LOR59" s="414"/>
      <c r="LOS59" s="414"/>
      <c r="LOT59" s="414"/>
      <c r="LOU59" s="414"/>
      <c r="LOV59" s="414"/>
      <c r="LOW59" s="414"/>
      <c r="LOX59" s="414"/>
      <c r="LOY59" s="414"/>
      <c r="LOZ59" s="414"/>
      <c r="LPA59" s="414"/>
      <c r="LPB59" s="414"/>
      <c r="LPC59" s="414"/>
      <c r="LPD59" s="414"/>
      <c r="LPE59" s="414"/>
      <c r="LPF59" s="414"/>
      <c r="LPG59" s="414"/>
      <c r="LPH59" s="414"/>
      <c r="LPI59" s="414"/>
      <c r="LPJ59" s="414"/>
      <c r="LPK59" s="414"/>
      <c r="LPL59" s="414"/>
      <c r="LPM59" s="414"/>
      <c r="LPN59" s="414"/>
      <c r="LPO59" s="414"/>
      <c r="LPP59" s="414"/>
      <c r="LPQ59" s="414"/>
      <c r="LPR59" s="414"/>
      <c r="LPS59" s="414"/>
      <c r="LPT59" s="414"/>
      <c r="LPU59" s="414"/>
      <c r="LPV59" s="414"/>
      <c r="LPW59" s="414"/>
      <c r="LPX59" s="414"/>
      <c r="LPY59" s="414"/>
      <c r="LPZ59" s="414"/>
      <c r="LQA59" s="414"/>
      <c r="LQB59" s="414"/>
      <c r="LQC59" s="414"/>
      <c r="LQD59" s="414"/>
      <c r="LQE59" s="414"/>
      <c r="LQF59" s="414"/>
      <c r="LQG59" s="414"/>
      <c r="LQH59" s="414"/>
      <c r="LQI59" s="414"/>
      <c r="LQJ59" s="414"/>
      <c r="LQK59" s="414"/>
      <c r="LQL59" s="414"/>
      <c r="LQM59" s="414"/>
      <c r="LQN59" s="414"/>
      <c r="LQO59" s="414"/>
      <c r="LQP59" s="414"/>
      <c r="LQQ59" s="414"/>
      <c r="LQR59" s="414"/>
      <c r="LQS59" s="414"/>
      <c r="LQT59" s="414"/>
      <c r="LQU59" s="414"/>
      <c r="LQV59" s="414"/>
      <c r="LQW59" s="414"/>
      <c r="LQX59" s="414"/>
      <c r="LQY59" s="414"/>
      <c r="LQZ59" s="414"/>
      <c r="LRA59" s="414"/>
      <c r="LRB59" s="414"/>
      <c r="LRC59" s="414"/>
      <c r="LRD59" s="414"/>
      <c r="LRE59" s="414"/>
      <c r="LRF59" s="414"/>
      <c r="LRG59" s="414"/>
      <c r="LRH59" s="414"/>
      <c r="LRI59" s="414"/>
      <c r="LRJ59" s="414"/>
      <c r="LRK59" s="414"/>
      <c r="LRL59" s="414"/>
      <c r="LRM59" s="414"/>
      <c r="LRN59" s="414"/>
      <c r="LRO59" s="414"/>
      <c r="LRP59" s="414"/>
      <c r="LRQ59" s="414"/>
      <c r="LRR59" s="414"/>
      <c r="LRS59" s="414"/>
      <c r="LRT59" s="414"/>
      <c r="LRU59" s="414"/>
      <c r="LRV59" s="414"/>
      <c r="LRW59" s="414"/>
      <c r="LRX59" s="414"/>
      <c r="LRY59" s="414"/>
      <c r="LRZ59" s="414"/>
      <c r="LSA59" s="414"/>
      <c r="LSB59" s="414"/>
      <c r="LSC59" s="414"/>
      <c r="LSD59" s="414"/>
      <c r="LSE59" s="414"/>
      <c r="LSF59" s="414"/>
      <c r="LSG59" s="414"/>
      <c r="LSH59" s="414"/>
      <c r="LSI59" s="414"/>
      <c r="LSJ59" s="414"/>
      <c r="LSK59" s="414"/>
      <c r="LSL59" s="414"/>
      <c r="LSM59" s="414"/>
      <c r="LSN59" s="414"/>
      <c r="LSO59" s="414"/>
      <c r="LSP59" s="414"/>
      <c r="LSQ59" s="414"/>
      <c r="LSR59" s="414"/>
      <c r="LSS59" s="414"/>
      <c r="LST59" s="414"/>
      <c r="LSU59" s="414"/>
      <c r="LSV59" s="414"/>
      <c r="LSW59" s="414"/>
      <c r="LSX59" s="414"/>
      <c r="LSY59" s="414"/>
      <c r="LSZ59" s="414"/>
      <c r="LTA59" s="414"/>
      <c r="LTB59" s="414"/>
      <c r="LTC59" s="414"/>
      <c r="LTD59" s="414"/>
      <c r="LTE59" s="414"/>
      <c r="LTF59" s="414"/>
      <c r="LTG59" s="414"/>
      <c r="LTH59" s="414"/>
      <c r="LTI59" s="414"/>
      <c r="LTJ59" s="414"/>
      <c r="LTK59" s="414"/>
      <c r="LTL59" s="414"/>
      <c r="LTM59" s="414"/>
      <c r="LTN59" s="414"/>
      <c r="LTO59" s="414"/>
      <c r="LTP59" s="414"/>
      <c r="LTQ59" s="414"/>
      <c r="LTR59" s="414"/>
      <c r="LTS59" s="414"/>
      <c r="LTT59" s="414"/>
      <c r="LTU59" s="414"/>
      <c r="LTV59" s="414"/>
      <c r="LTW59" s="414"/>
      <c r="LTX59" s="414"/>
      <c r="LTY59" s="414"/>
      <c r="LTZ59" s="414"/>
      <c r="LUA59" s="414"/>
      <c r="LUB59" s="414"/>
      <c r="LUC59" s="414"/>
      <c r="LUD59" s="414"/>
      <c r="LUE59" s="414"/>
      <c r="LUF59" s="414"/>
      <c r="LUG59" s="414"/>
      <c r="LUH59" s="414"/>
      <c r="LUI59" s="414"/>
      <c r="LUJ59" s="414"/>
      <c r="LUK59" s="414"/>
      <c r="LUL59" s="414"/>
      <c r="LUM59" s="414"/>
      <c r="LUN59" s="414"/>
      <c r="LUO59" s="414"/>
      <c r="LUP59" s="414"/>
      <c r="LUQ59" s="414"/>
      <c r="LUR59" s="414"/>
      <c r="LUS59" s="414"/>
      <c r="LUT59" s="414"/>
      <c r="LUU59" s="414"/>
      <c r="LUV59" s="414"/>
      <c r="LUW59" s="414"/>
      <c r="LUX59" s="414"/>
      <c r="LUY59" s="414"/>
      <c r="LUZ59" s="414"/>
      <c r="LVA59" s="414"/>
      <c r="LVB59" s="414"/>
      <c r="LVC59" s="414"/>
      <c r="LVD59" s="414"/>
      <c r="LVE59" s="414"/>
      <c r="LVF59" s="414"/>
      <c r="LVG59" s="414"/>
      <c r="LVH59" s="414"/>
      <c r="LVI59" s="414"/>
      <c r="LVJ59" s="414"/>
      <c r="LVK59" s="414"/>
      <c r="LVL59" s="414"/>
      <c r="LVM59" s="414"/>
      <c r="LVN59" s="414"/>
      <c r="LVO59" s="414"/>
      <c r="LVP59" s="414"/>
      <c r="LVQ59" s="414"/>
      <c r="LVR59" s="414"/>
      <c r="LVS59" s="414"/>
      <c r="LVT59" s="414"/>
      <c r="LVU59" s="414"/>
      <c r="LVV59" s="414"/>
      <c r="LVW59" s="414"/>
      <c r="LVX59" s="414"/>
      <c r="LVY59" s="414"/>
      <c r="LVZ59" s="414"/>
      <c r="LWA59" s="414"/>
      <c r="LWB59" s="414"/>
      <c r="LWC59" s="414"/>
      <c r="LWD59" s="414"/>
      <c r="LWE59" s="414"/>
      <c r="LWF59" s="414"/>
      <c r="LWG59" s="414"/>
      <c r="LWH59" s="414"/>
      <c r="LWI59" s="414"/>
      <c r="LWJ59" s="414"/>
      <c r="LWK59" s="414"/>
      <c r="LWL59" s="414"/>
      <c r="LWM59" s="414"/>
      <c r="LWN59" s="414"/>
      <c r="LWO59" s="414"/>
      <c r="LWP59" s="414"/>
      <c r="LWQ59" s="414"/>
      <c r="LWR59" s="414"/>
      <c r="LWS59" s="414"/>
      <c r="LWT59" s="414"/>
      <c r="LWU59" s="414"/>
      <c r="LWV59" s="414"/>
      <c r="LWW59" s="414"/>
      <c r="LWX59" s="414"/>
      <c r="LWY59" s="414"/>
      <c r="LWZ59" s="414"/>
      <c r="LXA59" s="414"/>
      <c r="LXB59" s="414"/>
      <c r="LXC59" s="414"/>
      <c r="LXD59" s="414"/>
      <c r="LXE59" s="414"/>
      <c r="LXF59" s="414"/>
      <c r="LXG59" s="414"/>
      <c r="LXH59" s="414"/>
      <c r="LXI59" s="414"/>
      <c r="LXJ59" s="414"/>
      <c r="LXK59" s="414"/>
      <c r="LXL59" s="414"/>
      <c r="LXM59" s="414"/>
      <c r="LXN59" s="414"/>
      <c r="LXO59" s="414"/>
      <c r="LXP59" s="414"/>
      <c r="LXQ59" s="414"/>
      <c r="LXR59" s="414"/>
      <c r="LXS59" s="414"/>
      <c r="LXT59" s="414"/>
      <c r="LXU59" s="414"/>
      <c r="LXV59" s="414"/>
      <c r="LXW59" s="414"/>
      <c r="LXX59" s="414"/>
      <c r="LXY59" s="414"/>
      <c r="LXZ59" s="414"/>
      <c r="LYA59" s="414"/>
      <c r="LYB59" s="414"/>
      <c r="LYC59" s="414"/>
      <c r="LYD59" s="414"/>
      <c r="LYE59" s="414"/>
      <c r="LYF59" s="414"/>
      <c r="LYG59" s="414"/>
      <c r="LYH59" s="414"/>
      <c r="LYI59" s="414"/>
      <c r="LYJ59" s="414"/>
      <c r="LYK59" s="414"/>
      <c r="LYL59" s="414"/>
      <c r="LYM59" s="414"/>
      <c r="LYN59" s="414"/>
      <c r="LYO59" s="414"/>
      <c r="LYP59" s="414"/>
      <c r="LYQ59" s="414"/>
      <c r="LYR59" s="414"/>
      <c r="LYS59" s="414"/>
      <c r="LYT59" s="414"/>
      <c r="LYU59" s="414"/>
      <c r="LYV59" s="414"/>
      <c r="LYW59" s="414"/>
      <c r="LYX59" s="414"/>
      <c r="LYY59" s="414"/>
      <c r="LYZ59" s="414"/>
      <c r="LZA59" s="414"/>
      <c r="LZB59" s="414"/>
      <c r="LZC59" s="414"/>
      <c r="LZD59" s="414"/>
      <c r="LZE59" s="414"/>
      <c r="LZF59" s="414"/>
      <c r="LZG59" s="414"/>
      <c r="LZH59" s="414"/>
      <c r="LZI59" s="414"/>
      <c r="LZJ59" s="414"/>
      <c r="LZK59" s="414"/>
      <c r="LZL59" s="414"/>
      <c r="LZM59" s="414"/>
      <c r="LZN59" s="414"/>
      <c r="LZO59" s="414"/>
      <c r="LZP59" s="414"/>
      <c r="LZQ59" s="414"/>
      <c r="LZR59" s="414"/>
      <c r="LZS59" s="414"/>
      <c r="LZT59" s="414"/>
      <c r="LZU59" s="414"/>
      <c r="LZV59" s="414"/>
      <c r="LZW59" s="414"/>
      <c r="LZX59" s="414"/>
      <c r="LZY59" s="414"/>
      <c r="LZZ59" s="414"/>
      <c r="MAA59" s="414"/>
      <c r="MAB59" s="414"/>
      <c r="MAC59" s="414"/>
      <c r="MAD59" s="414"/>
      <c r="MAE59" s="414"/>
      <c r="MAF59" s="414"/>
      <c r="MAG59" s="414"/>
      <c r="MAH59" s="414"/>
      <c r="MAI59" s="414"/>
      <c r="MAJ59" s="414"/>
      <c r="MAK59" s="414"/>
      <c r="MAL59" s="414"/>
      <c r="MAM59" s="414"/>
      <c r="MAN59" s="414"/>
      <c r="MAO59" s="414"/>
      <c r="MAP59" s="414"/>
      <c r="MAQ59" s="414"/>
      <c r="MAR59" s="414"/>
      <c r="MAS59" s="414"/>
      <c r="MAT59" s="414"/>
      <c r="MAU59" s="414"/>
      <c r="MAV59" s="414"/>
      <c r="MAW59" s="414"/>
      <c r="MAX59" s="414"/>
      <c r="MAY59" s="414"/>
      <c r="MAZ59" s="414"/>
      <c r="MBA59" s="414"/>
      <c r="MBB59" s="414"/>
      <c r="MBC59" s="414"/>
      <c r="MBD59" s="414"/>
      <c r="MBE59" s="414"/>
      <c r="MBF59" s="414"/>
      <c r="MBG59" s="414"/>
      <c r="MBH59" s="414"/>
      <c r="MBI59" s="414"/>
      <c r="MBJ59" s="414"/>
      <c r="MBK59" s="414"/>
      <c r="MBL59" s="414"/>
      <c r="MBM59" s="414"/>
      <c r="MBN59" s="414"/>
      <c r="MBO59" s="414"/>
      <c r="MBP59" s="414"/>
      <c r="MBQ59" s="414"/>
      <c r="MBR59" s="414"/>
      <c r="MBS59" s="414"/>
      <c r="MBT59" s="414"/>
      <c r="MBU59" s="414"/>
      <c r="MBV59" s="414"/>
      <c r="MBW59" s="414"/>
      <c r="MBX59" s="414"/>
      <c r="MBY59" s="414"/>
      <c r="MBZ59" s="414"/>
      <c r="MCA59" s="414"/>
      <c r="MCB59" s="414"/>
      <c r="MCC59" s="414"/>
      <c r="MCD59" s="414"/>
      <c r="MCE59" s="414"/>
      <c r="MCF59" s="414"/>
      <c r="MCG59" s="414"/>
      <c r="MCH59" s="414"/>
      <c r="MCI59" s="414"/>
      <c r="MCJ59" s="414"/>
      <c r="MCK59" s="414"/>
      <c r="MCL59" s="414"/>
      <c r="MCM59" s="414"/>
      <c r="MCN59" s="414"/>
      <c r="MCO59" s="414"/>
      <c r="MCP59" s="414"/>
      <c r="MCQ59" s="414"/>
      <c r="MCR59" s="414"/>
      <c r="MCS59" s="414"/>
      <c r="MCT59" s="414"/>
      <c r="MCU59" s="414"/>
      <c r="MCV59" s="414"/>
      <c r="MCW59" s="414"/>
      <c r="MCX59" s="414"/>
      <c r="MCY59" s="414"/>
      <c r="MCZ59" s="414"/>
      <c r="MDA59" s="414"/>
      <c r="MDB59" s="414"/>
      <c r="MDC59" s="414"/>
      <c r="MDD59" s="414"/>
      <c r="MDE59" s="414"/>
      <c r="MDF59" s="414"/>
      <c r="MDG59" s="414"/>
      <c r="MDH59" s="414"/>
      <c r="MDI59" s="414"/>
      <c r="MDJ59" s="414"/>
      <c r="MDK59" s="414"/>
      <c r="MDL59" s="414"/>
      <c r="MDM59" s="414"/>
      <c r="MDN59" s="414"/>
      <c r="MDO59" s="414"/>
      <c r="MDP59" s="414"/>
      <c r="MDQ59" s="414"/>
      <c r="MDR59" s="414"/>
      <c r="MDS59" s="414"/>
      <c r="MDT59" s="414"/>
      <c r="MDU59" s="414"/>
      <c r="MDV59" s="414"/>
      <c r="MDW59" s="414"/>
      <c r="MDX59" s="414"/>
      <c r="MDY59" s="414"/>
      <c r="MDZ59" s="414"/>
      <c r="MEA59" s="414"/>
      <c r="MEB59" s="414"/>
      <c r="MEC59" s="414"/>
      <c r="MED59" s="414"/>
      <c r="MEE59" s="414"/>
      <c r="MEF59" s="414"/>
      <c r="MEG59" s="414"/>
      <c r="MEH59" s="414"/>
      <c r="MEI59" s="414"/>
      <c r="MEJ59" s="414"/>
      <c r="MEK59" s="414"/>
      <c r="MEL59" s="414"/>
      <c r="MEM59" s="414"/>
      <c r="MEN59" s="414"/>
      <c r="MEO59" s="414"/>
      <c r="MEP59" s="414"/>
      <c r="MEQ59" s="414"/>
      <c r="MER59" s="414"/>
      <c r="MES59" s="414"/>
      <c r="MET59" s="414"/>
      <c r="MEU59" s="414"/>
      <c r="MEV59" s="414"/>
      <c r="MEW59" s="414"/>
      <c r="MEX59" s="414"/>
      <c r="MEY59" s="414"/>
      <c r="MEZ59" s="414"/>
      <c r="MFA59" s="414"/>
      <c r="MFB59" s="414"/>
      <c r="MFC59" s="414"/>
      <c r="MFD59" s="414"/>
      <c r="MFE59" s="414"/>
      <c r="MFF59" s="414"/>
      <c r="MFG59" s="414"/>
      <c r="MFH59" s="414"/>
      <c r="MFI59" s="414"/>
      <c r="MFJ59" s="414"/>
      <c r="MFK59" s="414"/>
      <c r="MFL59" s="414"/>
      <c r="MFM59" s="414"/>
      <c r="MFN59" s="414"/>
      <c r="MFO59" s="414"/>
      <c r="MFP59" s="414"/>
      <c r="MFQ59" s="414"/>
      <c r="MFR59" s="414"/>
      <c r="MFS59" s="414"/>
      <c r="MFT59" s="414"/>
      <c r="MFU59" s="414"/>
      <c r="MFV59" s="414"/>
      <c r="MFW59" s="414"/>
      <c r="MFX59" s="414"/>
      <c r="MFY59" s="414"/>
      <c r="MFZ59" s="414"/>
      <c r="MGA59" s="414"/>
      <c r="MGB59" s="414"/>
      <c r="MGC59" s="414"/>
      <c r="MGD59" s="414"/>
      <c r="MGE59" s="414"/>
      <c r="MGF59" s="414"/>
      <c r="MGG59" s="414"/>
      <c r="MGH59" s="414"/>
      <c r="MGI59" s="414"/>
      <c r="MGJ59" s="414"/>
      <c r="MGK59" s="414"/>
      <c r="MGL59" s="414"/>
      <c r="MGM59" s="414"/>
      <c r="MGN59" s="414"/>
      <c r="MGO59" s="414"/>
      <c r="MGP59" s="414"/>
      <c r="MGQ59" s="414"/>
      <c r="MGR59" s="414"/>
      <c r="MGS59" s="414"/>
      <c r="MGT59" s="414"/>
      <c r="MGU59" s="414"/>
      <c r="MGV59" s="414"/>
      <c r="MGW59" s="414"/>
      <c r="MGX59" s="414"/>
      <c r="MGY59" s="414"/>
      <c r="MGZ59" s="414"/>
      <c r="MHA59" s="414"/>
      <c r="MHB59" s="414"/>
      <c r="MHC59" s="414"/>
      <c r="MHD59" s="414"/>
      <c r="MHE59" s="414"/>
      <c r="MHF59" s="414"/>
      <c r="MHG59" s="414"/>
      <c r="MHH59" s="414"/>
      <c r="MHI59" s="414"/>
      <c r="MHJ59" s="414"/>
      <c r="MHK59" s="414"/>
      <c r="MHL59" s="414"/>
      <c r="MHM59" s="414"/>
      <c r="MHN59" s="414"/>
      <c r="MHO59" s="414"/>
      <c r="MHP59" s="414"/>
      <c r="MHQ59" s="414"/>
      <c r="MHR59" s="414"/>
      <c r="MHS59" s="414"/>
      <c r="MHT59" s="414"/>
      <c r="MHU59" s="414"/>
      <c r="MHV59" s="414"/>
      <c r="MHW59" s="414"/>
      <c r="MHX59" s="414"/>
      <c r="MHY59" s="414"/>
      <c r="MHZ59" s="414"/>
      <c r="MIA59" s="414"/>
      <c r="MIB59" s="414"/>
      <c r="MIC59" s="414"/>
      <c r="MID59" s="414"/>
      <c r="MIE59" s="414"/>
      <c r="MIF59" s="414"/>
      <c r="MIG59" s="414"/>
      <c r="MIH59" s="414"/>
      <c r="MII59" s="414"/>
      <c r="MIJ59" s="414"/>
      <c r="MIK59" s="414"/>
      <c r="MIL59" s="414"/>
      <c r="MIM59" s="414"/>
      <c r="MIN59" s="414"/>
      <c r="MIO59" s="414"/>
      <c r="MIP59" s="414"/>
      <c r="MIQ59" s="414"/>
      <c r="MIR59" s="414"/>
      <c r="MIS59" s="414"/>
      <c r="MIT59" s="414"/>
      <c r="MIU59" s="414"/>
      <c r="MIV59" s="414"/>
      <c r="MIW59" s="414"/>
      <c r="MIX59" s="414"/>
      <c r="MIY59" s="414"/>
      <c r="MIZ59" s="414"/>
      <c r="MJA59" s="414"/>
      <c r="MJB59" s="414"/>
      <c r="MJC59" s="414"/>
      <c r="MJD59" s="414"/>
      <c r="MJE59" s="414"/>
      <c r="MJF59" s="414"/>
      <c r="MJG59" s="414"/>
      <c r="MJH59" s="414"/>
      <c r="MJI59" s="414"/>
      <c r="MJJ59" s="414"/>
      <c r="MJK59" s="414"/>
      <c r="MJL59" s="414"/>
      <c r="MJM59" s="414"/>
      <c r="MJN59" s="414"/>
      <c r="MJO59" s="414"/>
      <c r="MJP59" s="414"/>
      <c r="MJQ59" s="414"/>
      <c r="MJR59" s="414"/>
      <c r="MJS59" s="414"/>
      <c r="MJT59" s="414"/>
      <c r="MJU59" s="414"/>
      <c r="MJV59" s="414"/>
      <c r="MJW59" s="414"/>
      <c r="MJX59" s="414"/>
      <c r="MJY59" s="414"/>
      <c r="MJZ59" s="414"/>
      <c r="MKA59" s="414"/>
      <c r="MKB59" s="414"/>
      <c r="MKC59" s="414"/>
      <c r="MKD59" s="414"/>
      <c r="MKE59" s="414"/>
      <c r="MKF59" s="414"/>
      <c r="MKG59" s="414"/>
      <c r="MKH59" s="414"/>
      <c r="MKI59" s="414"/>
      <c r="MKJ59" s="414"/>
      <c r="MKK59" s="414"/>
      <c r="MKL59" s="414"/>
      <c r="MKM59" s="414"/>
      <c r="MKN59" s="414"/>
      <c r="MKO59" s="414"/>
      <c r="MKP59" s="414"/>
      <c r="MKQ59" s="414"/>
      <c r="MKR59" s="414"/>
      <c r="MKS59" s="414"/>
      <c r="MKT59" s="414"/>
      <c r="MKU59" s="414"/>
      <c r="MKV59" s="414"/>
      <c r="MKW59" s="414"/>
      <c r="MKX59" s="414"/>
      <c r="MKY59" s="414"/>
      <c r="MKZ59" s="414"/>
      <c r="MLA59" s="414"/>
      <c r="MLB59" s="414"/>
      <c r="MLC59" s="414"/>
      <c r="MLD59" s="414"/>
      <c r="MLE59" s="414"/>
      <c r="MLF59" s="414"/>
      <c r="MLG59" s="414"/>
      <c r="MLH59" s="414"/>
      <c r="MLI59" s="414"/>
      <c r="MLJ59" s="414"/>
      <c r="MLK59" s="414"/>
      <c r="MLL59" s="414"/>
      <c r="MLM59" s="414"/>
      <c r="MLN59" s="414"/>
      <c r="MLO59" s="414"/>
      <c r="MLP59" s="414"/>
      <c r="MLQ59" s="414"/>
      <c r="MLR59" s="414"/>
      <c r="MLS59" s="414"/>
      <c r="MLT59" s="414"/>
      <c r="MLU59" s="414"/>
      <c r="MLV59" s="414"/>
      <c r="MLW59" s="414"/>
      <c r="MLX59" s="414"/>
      <c r="MLY59" s="414"/>
      <c r="MLZ59" s="414"/>
      <c r="MMA59" s="414"/>
      <c r="MMB59" s="414"/>
      <c r="MMC59" s="414"/>
      <c r="MMD59" s="414"/>
      <c r="MME59" s="414"/>
      <c r="MMF59" s="414"/>
      <c r="MMG59" s="414"/>
      <c r="MMH59" s="414"/>
      <c r="MMI59" s="414"/>
      <c r="MMJ59" s="414"/>
      <c r="MMK59" s="414"/>
      <c r="MML59" s="414"/>
      <c r="MMM59" s="414"/>
      <c r="MMN59" s="414"/>
      <c r="MMO59" s="414"/>
      <c r="MMP59" s="414"/>
      <c r="MMQ59" s="414"/>
      <c r="MMR59" s="414"/>
      <c r="MMS59" s="414"/>
      <c r="MMT59" s="414"/>
      <c r="MMU59" s="414"/>
      <c r="MMV59" s="414"/>
      <c r="MMW59" s="414"/>
      <c r="MMX59" s="414"/>
      <c r="MMY59" s="414"/>
      <c r="MMZ59" s="414"/>
      <c r="MNA59" s="414"/>
      <c r="MNB59" s="414"/>
      <c r="MNC59" s="414"/>
      <c r="MND59" s="414"/>
      <c r="MNE59" s="414"/>
      <c r="MNF59" s="414"/>
      <c r="MNG59" s="414"/>
      <c r="MNH59" s="414"/>
      <c r="MNI59" s="414"/>
      <c r="MNJ59" s="414"/>
      <c r="MNK59" s="414"/>
      <c r="MNL59" s="414"/>
      <c r="MNM59" s="414"/>
      <c r="MNN59" s="414"/>
      <c r="MNO59" s="414"/>
      <c r="MNP59" s="414"/>
      <c r="MNQ59" s="414"/>
      <c r="MNR59" s="414"/>
      <c r="MNS59" s="414"/>
      <c r="MNT59" s="414"/>
      <c r="MNU59" s="414"/>
      <c r="MNV59" s="414"/>
      <c r="MNW59" s="414"/>
      <c r="MNX59" s="414"/>
      <c r="MNY59" s="414"/>
      <c r="MNZ59" s="414"/>
      <c r="MOA59" s="414"/>
      <c r="MOB59" s="414"/>
      <c r="MOC59" s="414"/>
      <c r="MOD59" s="414"/>
      <c r="MOE59" s="414"/>
      <c r="MOF59" s="414"/>
      <c r="MOG59" s="414"/>
      <c r="MOH59" s="414"/>
      <c r="MOI59" s="414"/>
      <c r="MOJ59" s="414"/>
      <c r="MOK59" s="414"/>
      <c r="MOL59" s="414"/>
      <c r="MOM59" s="414"/>
      <c r="MON59" s="414"/>
      <c r="MOO59" s="414"/>
      <c r="MOP59" s="414"/>
      <c r="MOQ59" s="414"/>
      <c r="MOR59" s="414"/>
      <c r="MOS59" s="414"/>
      <c r="MOT59" s="414"/>
      <c r="MOU59" s="414"/>
      <c r="MOV59" s="414"/>
      <c r="MOW59" s="414"/>
      <c r="MOX59" s="414"/>
      <c r="MOY59" s="414"/>
      <c r="MOZ59" s="414"/>
      <c r="MPA59" s="414"/>
      <c r="MPB59" s="414"/>
      <c r="MPC59" s="414"/>
      <c r="MPD59" s="414"/>
      <c r="MPE59" s="414"/>
      <c r="MPF59" s="414"/>
      <c r="MPG59" s="414"/>
      <c r="MPH59" s="414"/>
      <c r="MPI59" s="414"/>
      <c r="MPJ59" s="414"/>
      <c r="MPK59" s="414"/>
      <c r="MPL59" s="414"/>
      <c r="MPM59" s="414"/>
      <c r="MPN59" s="414"/>
      <c r="MPO59" s="414"/>
      <c r="MPP59" s="414"/>
      <c r="MPQ59" s="414"/>
      <c r="MPR59" s="414"/>
      <c r="MPS59" s="414"/>
      <c r="MPT59" s="414"/>
      <c r="MPU59" s="414"/>
      <c r="MPV59" s="414"/>
      <c r="MPW59" s="414"/>
      <c r="MPX59" s="414"/>
      <c r="MPY59" s="414"/>
      <c r="MPZ59" s="414"/>
      <c r="MQA59" s="414"/>
      <c r="MQB59" s="414"/>
      <c r="MQC59" s="414"/>
      <c r="MQD59" s="414"/>
      <c r="MQE59" s="414"/>
      <c r="MQF59" s="414"/>
      <c r="MQG59" s="414"/>
      <c r="MQH59" s="414"/>
      <c r="MQI59" s="414"/>
      <c r="MQJ59" s="414"/>
      <c r="MQK59" s="414"/>
      <c r="MQL59" s="414"/>
      <c r="MQM59" s="414"/>
      <c r="MQN59" s="414"/>
      <c r="MQO59" s="414"/>
      <c r="MQP59" s="414"/>
      <c r="MQQ59" s="414"/>
      <c r="MQR59" s="414"/>
      <c r="MQS59" s="414"/>
      <c r="MQT59" s="414"/>
      <c r="MQU59" s="414"/>
      <c r="MQV59" s="414"/>
      <c r="MQW59" s="414"/>
      <c r="MQX59" s="414"/>
      <c r="MQY59" s="414"/>
      <c r="MQZ59" s="414"/>
      <c r="MRA59" s="414"/>
      <c r="MRB59" s="414"/>
      <c r="MRC59" s="414"/>
      <c r="MRD59" s="414"/>
      <c r="MRE59" s="414"/>
      <c r="MRF59" s="414"/>
      <c r="MRG59" s="414"/>
      <c r="MRH59" s="414"/>
      <c r="MRI59" s="414"/>
      <c r="MRJ59" s="414"/>
      <c r="MRK59" s="414"/>
      <c r="MRL59" s="414"/>
      <c r="MRM59" s="414"/>
      <c r="MRN59" s="414"/>
      <c r="MRO59" s="414"/>
      <c r="MRP59" s="414"/>
      <c r="MRQ59" s="414"/>
      <c r="MRR59" s="414"/>
      <c r="MRS59" s="414"/>
      <c r="MRT59" s="414"/>
      <c r="MRU59" s="414"/>
      <c r="MRV59" s="414"/>
      <c r="MRW59" s="414"/>
      <c r="MRX59" s="414"/>
      <c r="MRY59" s="414"/>
      <c r="MRZ59" s="414"/>
      <c r="MSA59" s="414"/>
      <c r="MSB59" s="414"/>
      <c r="MSC59" s="414"/>
      <c r="MSD59" s="414"/>
      <c r="MSE59" s="414"/>
      <c r="MSF59" s="414"/>
      <c r="MSG59" s="414"/>
      <c r="MSH59" s="414"/>
      <c r="MSI59" s="414"/>
      <c r="MSJ59" s="414"/>
      <c r="MSK59" s="414"/>
      <c r="MSL59" s="414"/>
      <c r="MSM59" s="414"/>
      <c r="MSN59" s="414"/>
      <c r="MSO59" s="414"/>
      <c r="MSP59" s="414"/>
      <c r="MSQ59" s="414"/>
      <c r="MSR59" s="414"/>
      <c r="MSS59" s="414"/>
      <c r="MST59" s="414"/>
      <c r="MSU59" s="414"/>
      <c r="MSV59" s="414"/>
      <c r="MSW59" s="414"/>
      <c r="MSX59" s="414"/>
      <c r="MSY59" s="414"/>
      <c r="MSZ59" s="414"/>
      <c r="MTA59" s="414"/>
      <c r="MTB59" s="414"/>
      <c r="MTC59" s="414"/>
      <c r="MTD59" s="414"/>
      <c r="MTE59" s="414"/>
      <c r="MTF59" s="414"/>
      <c r="MTG59" s="414"/>
      <c r="MTH59" s="414"/>
      <c r="MTI59" s="414"/>
      <c r="MTJ59" s="414"/>
      <c r="MTK59" s="414"/>
      <c r="MTL59" s="414"/>
      <c r="MTM59" s="414"/>
      <c r="MTN59" s="414"/>
      <c r="MTO59" s="414"/>
      <c r="MTP59" s="414"/>
      <c r="MTQ59" s="414"/>
      <c r="MTR59" s="414"/>
      <c r="MTS59" s="414"/>
      <c r="MTT59" s="414"/>
      <c r="MTU59" s="414"/>
      <c r="MTV59" s="414"/>
      <c r="MTW59" s="414"/>
      <c r="MTX59" s="414"/>
      <c r="MTY59" s="414"/>
      <c r="MTZ59" s="414"/>
      <c r="MUA59" s="414"/>
      <c r="MUB59" s="414"/>
      <c r="MUC59" s="414"/>
      <c r="MUD59" s="414"/>
      <c r="MUE59" s="414"/>
      <c r="MUF59" s="414"/>
      <c r="MUG59" s="414"/>
      <c r="MUH59" s="414"/>
      <c r="MUI59" s="414"/>
      <c r="MUJ59" s="414"/>
      <c r="MUK59" s="414"/>
      <c r="MUL59" s="414"/>
      <c r="MUM59" s="414"/>
      <c r="MUN59" s="414"/>
      <c r="MUO59" s="414"/>
      <c r="MUP59" s="414"/>
      <c r="MUQ59" s="414"/>
      <c r="MUR59" s="414"/>
      <c r="MUS59" s="414"/>
      <c r="MUT59" s="414"/>
      <c r="MUU59" s="414"/>
      <c r="MUV59" s="414"/>
      <c r="MUW59" s="414"/>
      <c r="MUX59" s="414"/>
      <c r="MUY59" s="414"/>
      <c r="MUZ59" s="414"/>
      <c r="MVA59" s="414"/>
      <c r="MVB59" s="414"/>
      <c r="MVC59" s="414"/>
      <c r="MVD59" s="414"/>
      <c r="MVE59" s="414"/>
      <c r="MVF59" s="414"/>
      <c r="MVG59" s="414"/>
      <c r="MVH59" s="414"/>
      <c r="MVI59" s="414"/>
      <c r="MVJ59" s="414"/>
      <c r="MVK59" s="414"/>
      <c r="MVL59" s="414"/>
      <c r="MVM59" s="414"/>
      <c r="MVN59" s="414"/>
      <c r="MVO59" s="414"/>
      <c r="MVP59" s="414"/>
      <c r="MVQ59" s="414"/>
      <c r="MVR59" s="414"/>
      <c r="MVS59" s="414"/>
      <c r="MVT59" s="414"/>
      <c r="MVU59" s="414"/>
      <c r="MVV59" s="414"/>
      <c r="MVW59" s="414"/>
      <c r="MVX59" s="414"/>
      <c r="MVY59" s="414"/>
      <c r="MVZ59" s="414"/>
      <c r="MWA59" s="414"/>
      <c r="MWB59" s="414"/>
      <c r="MWC59" s="414"/>
      <c r="MWD59" s="414"/>
      <c r="MWE59" s="414"/>
      <c r="MWF59" s="414"/>
      <c r="MWG59" s="414"/>
      <c r="MWH59" s="414"/>
      <c r="MWI59" s="414"/>
      <c r="MWJ59" s="414"/>
      <c r="MWK59" s="414"/>
      <c r="MWL59" s="414"/>
      <c r="MWM59" s="414"/>
      <c r="MWN59" s="414"/>
      <c r="MWO59" s="414"/>
      <c r="MWP59" s="414"/>
      <c r="MWQ59" s="414"/>
      <c r="MWR59" s="414"/>
      <c r="MWS59" s="414"/>
      <c r="MWT59" s="414"/>
      <c r="MWU59" s="414"/>
      <c r="MWV59" s="414"/>
      <c r="MWW59" s="414"/>
      <c r="MWX59" s="414"/>
      <c r="MWY59" s="414"/>
      <c r="MWZ59" s="414"/>
      <c r="MXA59" s="414"/>
      <c r="MXB59" s="414"/>
      <c r="MXC59" s="414"/>
      <c r="MXD59" s="414"/>
      <c r="MXE59" s="414"/>
      <c r="MXF59" s="414"/>
      <c r="MXG59" s="414"/>
      <c r="MXH59" s="414"/>
      <c r="MXI59" s="414"/>
      <c r="MXJ59" s="414"/>
      <c r="MXK59" s="414"/>
      <c r="MXL59" s="414"/>
      <c r="MXM59" s="414"/>
      <c r="MXN59" s="414"/>
      <c r="MXO59" s="414"/>
      <c r="MXP59" s="414"/>
      <c r="MXQ59" s="414"/>
      <c r="MXR59" s="414"/>
      <c r="MXS59" s="414"/>
      <c r="MXT59" s="414"/>
      <c r="MXU59" s="414"/>
      <c r="MXV59" s="414"/>
      <c r="MXW59" s="414"/>
      <c r="MXX59" s="414"/>
      <c r="MXY59" s="414"/>
      <c r="MXZ59" s="414"/>
      <c r="MYA59" s="414"/>
      <c r="MYB59" s="414"/>
      <c r="MYC59" s="414"/>
      <c r="MYD59" s="414"/>
      <c r="MYE59" s="414"/>
      <c r="MYF59" s="414"/>
      <c r="MYG59" s="414"/>
      <c r="MYH59" s="414"/>
      <c r="MYI59" s="414"/>
      <c r="MYJ59" s="414"/>
      <c r="MYK59" s="414"/>
      <c r="MYL59" s="414"/>
      <c r="MYM59" s="414"/>
      <c r="MYN59" s="414"/>
      <c r="MYO59" s="414"/>
      <c r="MYP59" s="414"/>
      <c r="MYQ59" s="414"/>
      <c r="MYR59" s="414"/>
      <c r="MYS59" s="414"/>
      <c r="MYT59" s="414"/>
      <c r="MYU59" s="414"/>
      <c r="MYV59" s="414"/>
      <c r="MYW59" s="414"/>
      <c r="MYX59" s="414"/>
      <c r="MYY59" s="414"/>
      <c r="MYZ59" s="414"/>
      <c r="MZA59" s="414"/>
      <c r="MZB59" s="414"/>
      <c r="MZC59" s="414"/>
      <c r="MZD59" s="414"/>
      <c r="MZE59" s="414"/>
      <c r="MZF59" s="414"/>
      <c r="MZG59" s="414"/>
      <c r="MZH59" s="414"/>
      <c r="MZI59" s="414"/>
      <c r="MZJ59" s="414"/>
      <c r="MZK59" s="414"/>
      <c r="MZL59" s="414"/>
      <c r="MZM59" s="414"/>
      <c r="MZN59" s="414"/>
      <c r="MZO59" s="414"/>
      <c r="MZP59" s="414"/>
      <c r="MZQ59" s="414"/>
      <c r="MZR59" s="414"/>
      <c r="MZS59" s="414"/>
      <c r="MZT59" s="414"/>
      <c r="MZU59" s="414"/>
      <c r="MZV59" s="414"/>
      <c r="MZW59" s="414"/>
      <c r="MZX59" s="414"/>
      <c r="MZY59" s="414"/>
      <c r="MZZ59" s="414"/>
      <c r="NAA59" s="414"/>
      <c r="NAB59" s="414"/>
      <c r="NAC59" s="414"/>
      <c r="NAD59" s="414"/>
      <c r="NAE59" s="414"/>
      <c r="NAF59" s="414"/>
      <c r="NAG59" s="414"/>
      <c r="NAH59" s="414"/>
      <c r="NAI59" s="414"/>
      <c r="NAJ59" s="414"/>
      <c r="NAK59" s="414"/>
      <c r="NAL59" s="414"/>
      <c r="NAM59" s="414"/>
      <c r="NAN59" s="414"/>
      <c r="NAO59" s="414"/>
      <c r="NAP59" s="414"/>
      <c r="NAQ59" s="414"/>
      <c r="NAR59" s="414"/>
      <c r="NAS59" s="414"/>
      <c r="NAT59" s="414"/>
      <c r="NAU59" s="414"/>
      <c r="NAV59" s="414"/>
      <c r="NAW59" s="414"/>
      <c r="NAX59" s="414"/>
      <c r="NAY59" s="414"/>
      <c r="NAZ59" s="414"/>
      <c r="NBA59" s="414"/>
      <c r="NBB59" s="414"/>
      <c r="NBC59" s="414"/>
      <c r="NBD59" s="414"/>
      <c r="NBE59" s="414"/>
      <c r="NBF59" s="414"/>
      <c r="NBG59" s="414"/>
      <c r="NBH59" s="414"/>
      <c r="NBI59" s="414"/>
      <c r="NBJ59" s="414"/>
      <c r="NBK59" s="414"/>
      <c r="NBL59" s="414"/>
      <c r="NBM59" s="414"/>
      <c r="NBN59" s="414"/>
      <c r="NBO59" s="414"/>
      <c r="NBP59" s="414"/>
      <c r="NBQ59" s="414"/>
      <c r="NBR59" s="414"/>
      <c r="NBS59" s="414"/>
      <c r="NBT59" s="414"/>
      <c r="NBU59" s="414"/>
      <c r="NBV59" s="414"/>
      <c r="NBW59" s="414"/>
      <c r="NBX59" s="414"/>
      <c r="NBY59" s="414"/>
      <c r="NBZ59" s="414"/>
      <c r="NCA59" s="414"/>
      <c r="NCB59" s="414"/>
      <c r="NCC59" s="414"/>
      <c r="NCD59" s="414"/>
      <c r="NCE59" s="414"/>
      <c r="NCF59" s="414"/>
      <c r="NCG59" s="414"/>
      <c r="NCH59" s="414"/>
      <c r="NCI59" s="414"/>
      <c r="NCJ59" s="414"/>
      <c r="NCK59" s="414"/>
      <c r="NCL59" s="414"/>
      <c r="NCM59" s="414"/>
      <c r="NCN59" s="414"/>
      <c r="NCO59" s="414"/>
      <c r="NCP59" s="414"/>
      <c r="NCQ59" s="414"/>
      <c r="NCR59" s="414"/>
      <c r="NCS59" s="414"/>
      <c r="NCT59" s="414"/>
      <c r="NCU59" s="414"/>
      <c r="NCV59" s="414"/>
      <c r="NCW59" s="414"/>
      <c r="NCX59" s="414"/>
      <c r="NCY59" s="414"/>
      <c r="NCZ59" s="414"/>
      <c r="NDA59" s="414"/>
      <c r="NDB59" s="414"/>
      <c r="NDC59" s="414"/>
      <c r="NDD59" s="414"/>
      <c r="NDE59" s="414"/>
      <c r="NDF59" s="414"/>
      <c r="NDG59" s="414"/>
      <c r="NDH59" s="414"/>
      <c r="NDI59" s="414"/>
      <c r="NDJ59" s="414"/>
      <c r="NDK59" s="414"/>
      <c r="NDL59" s="414"/>
      <c r="NDM59" s="414"/>
      <c r="NDN59" s="414"/>
      <c r="NDO59" s="414"/>
      <c r="NDP59" s="414"/>
      <c r="NDQ59" s="414"/>
      <c r="NDR59" s="414"/>
      <c r="NDS59" s="414"/>
      <c r="NDT59" s="414"/>
      <c r="NDU59" s="414"/>
      <c r="NDV59" s="414"/>
      <c r="NDW59" s="414"/>
      <c r="NDX59" s="414"/>
      <c r="NDY59" s="414"/>
      <c r="NDZ59" s="414"/>
      <c r="NEA59" s="414"/>
      <c r="NEB59" s="414"/>
      <c r="NEC59" s="414"/>
      <c r="NED59" s="414"/>
      <c r="NEE59" s="414"/>
      <c r="NEF59" s="414"/>
      <c r="NEG59" s="414"/>
      <c r="NEH59" s="414"/>
      <c r="NEI59" s="414"/>
      <c r="NEJ59" s="414"/>
      <c r="NEK59" s="414"/>
      <c r="NEL59" s="414"/>
      <c r="NEM59" s="414"/>
      <c r="NEN59" s="414"/>
      <c r="NEO59" s="414"/>
      <c r="NEP59" s="414"/>
      <c r="NEQ59" s="414"/>
      <c r="NER59" s="414"/>
      <c r="NES59" s="414"/>
      <c r="NET59" s="414"/>
      <c r="NEU59" s="414"/>
      <c r="NEV59" s="414"/>
      <c r="NEW59" s="414"/>
      <c r="NEX59" s="414"/>
      <c r="NEY59" s="414"/>
      <c r="NEZ59" s="414"/>
      <c r="NFA59" s="414"/>
      <c r="NFB59" s="414"/>
      <c r="NFC59" s="414"/>
      <c r="NFD59" s="414"/>
      <c r="NFE59" s="414"/>
      <c r="NFF59" s="414"/>
      <c r="NFG59" s="414"/>
      <c r="NFH59" s="414"/>
      <c r="NFI59" s="414"/>
      <c r="NFJ59" s="414"/>
      <c r="NFK59" s="414"/>
      <c r="NFL59" s="414"/>
      <c r="NFM59" s="414"/>
      <c r="NFN59" s="414"/>
      <c r="NFO59" s="414"/>
      <c r="NFP59" s="414"/>
      <c r="NFQ59" s="414"/>
      <c r="NFR59" s="414"/>
      <c r="NFS59" s="414"/>
      <c r="NFT59" s="414"/>
      <c r="NFU59" s="414"/>
      <c r="NFV59" s="414"/>
      <c r="NFW59" s="414"/>
      <c r="NFX59" s="414"/>
      <c r="NFY59" s="414"/>
      <c r="NFZ59" s="414"/>
      <c r="NGA59" s="414"/>
      <c r="NGB59" s="414"/>
      <c r="NGC59" s="414"/>
      <c r="NGD59" s="414"/>
      <c r="NGE59" s="414"/>
      <c r="NGF59" s="414"/>
      <c r="NGG59" s="414"/>
      <c r="NGH59" s="414"/>
      <c r="NGI59" s="414"/>
      <c r="NGJ59" s="414"/>
      <c r="NGK59" s="414"/>
      <c r="NGL59" s="414"/>
      <c r="NGM59" s="414"/>
      <c r="NGN59" s="414"/>
      <c r="NGO59" s="414"/>
      <c r="NGP59" s="414"/>
      <c r="NGQ59" s="414"/>
      <c r="NGR59" s="414"/>
      <c r="NGS59" s="414"/>
      <c r="NGT59" s="414"/>
      <c r="NGU59" s="414"/>
      <c r="NGV59" s="414"/>
      <c r="NGW59" s="414"/>
      <c r="NGX59" s="414"/>
      <c r="NGY59" s="414"/>
      <c r="NGZ59" s="414"/>
      <c r="NHA59" s="414"/>
      <c r="NHB59" s="414"/>
      <c r="NHC59" s="414"/>
      <c r="NHD59" s="414"/>
      <c r="NHE59" s="414"/>
      <c r="NHF59" s="414"/>
      <c r="NHG59" s="414"/>
      <c r="NHH59" s="414"/>
      <c r="NHI59" s="414"/>
      <c r="NHJ59" s="414"/>
      <c r="NHK59" s="414"/>
      <c r="NHL59" s="414"/>
      <c r="NHM59" s="414"/>
      <c r="NHN59" s="414"/>
      <c r="NHO59" s="414"/>
      <c r="NHP59" s="414"/>
      <c r="NHQ59" s="414"/>
      <c r="NHR59" s="414"/>
      <c r="NHS59" s="414"/>
      <c r="NHT59" s="414"/>
      <c r="NHU59" s="414"/>
      <c r="NHV59" s="414"/>
      <c r="NHW59" s="414"/>
      <c r="NHX59" s="414"/>
      <c r="NHY59" s="414"/>
      <c r="NHZ59" s="414"/>
      <c r="NIA59" s="414"/>
      <c r="NIB59" s="414"/>
      <c r="NIC59" s="414"/>
      <c r="NID59" s="414"/>
      <c r="NIE59" s="414"/>
      <c r="NIF59" s="414"/>
      <c r="NIG59" s="414"/>
      <c r="NIH59" s="414"/>
      <c r="NII59" s="414"/>
      <c r="NIJ59" s="414"/>
      <c r="NIK59" s="414"/>
      <c r="NIL59" s="414"/>
      <c r="NIM59" s="414"/>
      <c r="NIN59" s="414"/>
      <c r="NIO59" s="414"/>
      <c r="NIP59" s="414"/>
      <c r="NIQ59" s="414"/>
      <c r="NIR59" s="414"/>
      <c r="NIS59" s="414"/>
      <c r="NIT59" s="414"/>
      <c r="NIU59" s="414"/>
      <c r="NIV59" s="414"/>
      <c r="NIW59" s="414"/>
      <c r="NIX59" s="414"/>
      <c r="NIY59" s="414"/>
      <c r="NIZ59" s="414"/>
      <c r="NJA59" s="414"/>
      <c r="NJB59" s="414"/>
      <c r="NJC59" s="414"/>
      <c r="NJD59" s="414"/>
      <c r="NJE59" s="414"/>
      <c r="NJF59" s="414"/>
      <c r="NJG59" s="414"/>
      <c r="NJH59" s="414"/>
      <c r="NJI59" s="414"/>
      <c r="NJJ59" s="414"/>
      <c r="NJK59" s="414"/>
      <c r="NJL59" s="414"/>
      <c r="NJM59" s="414"/>
      <c r="NJN59" s="414"/>
      <c r="NJO59" s="414"/>
      <c r="NJP59" s="414"/>
      <c r="NJQ59" s="414"/>
      <c r="NJR59" s="414"/>
      <c r="NJS59" s="414"/>
      <c r="NJT59" s="414"/>
      <c r="NJU59" s="414"/>
      <c r="NJV59" s="414"/>
      <c r="NJW59" s="414"/>
      <c r="NJX59" s="414"/>
      <c r="NJY59" s="414"/>
      <c r="NJZ59" s="414"/>
      <c r="NKA59" s="414"/>
      <c r="NKB59" s="414"/>
      <c r="NKC59" s="414"/>
      <c r="NKD59" s="414"/>
      <c r="NKE59" s="414"/>
      <c r="NKF59" s="414"/>
      <c r="NKG59" s="414"/>
      <c r="NKH59" s="414"/>
      <c r="NKI59" s="414"/>
      <c r="NKJ59" s="414"/>
      <c r="NKK59" s="414"/>
      <c r="NKL59" s="414"/>
      <c r="NKM59" s="414"/>
      <c r="NKN59" s="414"/>
      <c r="NKO59" s="414"/>
      <c r="NKP59" s="414"/>
      <c r="NKQ59" s="414"/>
      <c r="NKR59" s="414"/>
      <c r="NKS59" s="414"/>
      <c r="NKT59" s="414"/>
      <c r="NKU59" s="414"/>
      <c r="NKV59" s="414"/>
      <c r="NKW59" s="414"/>
      <c r="NKX59" s="414"/>
      <c r="NKY59" s="414"/>
      <c r="NKZ59" s="414"/>
      <c r="NLA59" s="414"/>
      <c r="NLB59" s="414"/>
      <c r="NLC59" s="414"/>
      <c r="NLD59" s="414"/>
      <c r="NLE59" s="414"/>
      <c r="NLF59" s="414"/>
      <c r="NLG59" s="414"/>
      <c r="NLH59" s="414"/>
      <c r="NLI59" s="414"/>
      <c r="NLJ59" s="414"/>
      <c r="NLK59" s="414"/>
      <c r="NLL59" s="414"/>
      <c r="NLM59" s="414"/>
      <c r="NLN59" s="414"/>
      <c r="NLO59" s="414"/>
      <c r="NLP59" s="414"/>
      <c r="NLQ59" s="414"/>
      <c r="NLR59" s="414"/>
      <c r="NLS59" s="414"/>
      <c r="NLT59" s="414"/>
      <c r="NLU59" s="414"/>
      <c r="NLV59" s="414"/>
      <c r="NLW59" s="414"/>
      <c r="NLX59" s="414"/>
      <c r="NLY59" s="414"/>
      <c r="NLZ59" s="414"/>
      <c r="NMA59" s="414"/>
      <c r="NMB59" s="414"/>
      <c r="NMC59" s="414"/>
      <c r="NMD59" s="414"/>
      <c r="NME59" s="414"/>
      <c r="NMF59" s="414"/>
      <c r="NMG59" s="414"/>
      <c r="NMH59" s="414"/>
      <c r="NMI59" s="414"/>
      <c r="NMJ59" s="414"/>
      <c r="NMK59" s="414"/>
      <c r="NML59" s="414"/>
      <c r="NMM59" s="414"/>
      <c r="NMN59" s="414"/>
      <c r="NMO59" s="414"/>
      <c r="NMP59" s="414"/>
      <c r="NMQ59" s="414"/>
      <c r="NMR59" s="414"/>
      <c r="NMS59" s="414"/>
      <c r="NMT59" s="414"/>
      <c r="NMU59" s="414"/>
      <c r="NMV59" s="414"/>
      <c r="NMW59" s="414"/>
      <c r="NMX59" s="414"/>
      <c r="NMY59" s="414"/>
      <c r="NMZ59" s="414"/>
      <c r="NNA59" s="414"/>
      <c r="NNB59" s="414"/>
      <c r="NNC59" s="414"/>
      <c r="NND59" s="414"/>
      <c r="NNE59" s="414"/>
      <c r="NNF59" s="414"/>
      <c r="NNG59" s="414"/>
      <c r="NNH59" s="414"/>
      <c r="NNI59" s="414"/>
      <c r="NNJ59" s="414"/>
      <c r="NNK59" s="414"/>
      <c r="NNL59" s="414"/>
      <c r="NNM59" s="414"/>
      <c r="NNN59" s="414"/>
      <c r="NNO59" s="414"/>
      <c r="NNP59" s="414"/>
      <c r="NNQ59" s="414"/>
      <c r="NNR59" s="414"/>
      <c r="NNS59" s="414"/>
      <c r="NNT59" s="414"/>
      <c r="NNU59" s="414"/>
      <c r="NNV59" s="414"/>
      <c r="NNW59" s="414"/>
      <c r="NNX59" s="414"/>
      <c r="NNY59" s="414"/>
      <c r="NNZ59" s="414"/>
      <c r="NOA59" s="414"/>
      <c r="NOB59" s="414"/>
      <c r="NOC59" s="414"/>
      <c r="NOD59" s="414"/>
      <c r="NOE59" s="414"/>
      <c r="NOF59" s="414"/>
      <c r="NOG59" s="414"/>
      <c r="NOH59" s="414"/>
      <c r="NOI59" s="414"/>
      <c r="NOJ59" s="414"/>
      <c r="NOK59" s="414"/>
      <c r="NOL59" s="414"/>
      <c r="NOM59" s="414"/>
      <c r="NON59" s="414"/>
      <c r="NOO59" s="414"/>
      <c r="NOP59" s="414"/>
      <c r="NOQ59" s="414"/>
      <c r="NOR59" s="414"/>
      <c r="NOS59" s="414"/>
      <c r="NOT59" s="414"/>
      <c r="NOU59" s="414"/>
      <c r="NOV59" s="414"/>
      <c r="NOW59" s="414"/>
      <c r="NOX59" s="414"/>
      <c r="NOY59" s="414"/>
      <c r="NOZ59" s="414"/>
      <c r="NPA59" s="414"/>
      <c r="NPB59" s="414"/>
      <c r="NPC59" s="414"/>
      <c r="NPD59" s="414"/>
      <c r="NPE59" s="414"/>
      <c r="NPF59" s="414"/>
      <c r="NPG59" s="414"/>
      <c r="NPH59" s="414"/>
      <c r="NPI59" s="414"/>
      <c r="NPJ59" s="414"/>
      <c r="NPK59" s="414"/>
      <c r="NPL59" s="414"/>
      <c r="NPM59" s="414"/>
      <c r="NPN59" s="414"/>
      <c r="NPO59" s="414"/>
      <c r="NPP59" s="414"/>
      <c r="NPQ59" s="414"/>
      <c r="NPR59" s="414"/>
      <c r="NPS59" s="414"/>
      <c r="NPT59" s="414"/>
      <c r="NPU59" s="414"/>
      <c r="NPV59" s="414"/>
      <c r="NPW59" s="414"/>
      <c r="NPX59" s="414"/>
      <c r="NPY59" s="414"/>
      <c r="NPZ59" s="414"/>
      <c r="NQA59" s="414"/>
      <c r="NQB59" s="414"/>
      <c r="NQC59" s="414"/>
      <c r="NQD59" s="414"/>
      <c r="NQE59" s="414"/>
      <c r="NQF59" s="414"/>
      <c r="NQG59" s="414"/>
      <c r="NQH59" s="414"/>
      <c r="NQI59" s="414"/>
      <c r="NQJ59" s="414"/>
      <c r="NQK59" s="414"/>
      <c r="NQL59" s="414"/>
      <c r="NQM59" s="414"/>
      <c r="NQN59" s="414"/>
      <c r="NQO59" s="414"/>
      <c r="NQP59" s="414"/>
      <c r="NQQ59" s="414"/>
      <c r="NQR59" s="414"/>
      <c r="NQS59" s="414"/>
      <c r="NQT59" s="414"/>
      <c r="NQU59" s="414"/>
      <c r="NQV59" s="414"/>
      <c r="NQW59" s="414"/>
      <c r="NQX59" s="414"/>
      <c r="NQY59" s="414"/>
      <c r="NQZ59" s="414"/>
      <c r="NRA59" s="414"/>
      <c r="NRB59" s="414"/>
      <c r="NRC59" s="414"/>
      <c r="NRD59" s="414"/>
      <c r="NRE59" s="414"/>
      <c r="NRF59" s="414"/>
      <c r="NRG59" s="414"/>
      <c r="NRH59" s="414"/>
      <c r="NRI59" s="414"/>
      <c r="NRJ59" s="414"/>
      <c r="NRK59" s="414"/>
      <c r="NRL59" s="414"/>
      <c r="NRM59" s="414"/>
      <c r="NRN59" s="414"/>
      <c r="NRO59" s="414"/>
      <c r="NRP59" s="414"/>
      <c r="NRQ59" s="414"/>
      <c r="NRR59" s="414"/>
      <c r="NRS59" s="414"/>
      <c r="NRT59" s="414"/>
      <c r="NRU59" s="414"/>
      <c r="NRV59" s="414"/>
      <c r="NRW59" s="414"/>
      <c r="NRX59" s="414"/>
      <c r="NRY59" s="414"/>
      <c r="NRZ59" s="414"/>
      <c r="NSA59" s="414"/>
      <c r="NSB59" s="414"/>
      <c r="NSC59" s="414"/>
      <c r="NSD59" s="414"/>
      <c r="NSE59" s="414"/>
      <c r="NSF59" s="414"/>
      <c r="NSG59" s="414"/>
      <c r="NSH59" s="414"/>
      <c r="NSI59" s="414"/>
      <c r="NSJ59" s="414"/>
      <c r="NSK59" s="414"/>
      <c r="NSL59" s="414"/>
      <c r="NSM59" s="414"/>
      <c r="NSN59" s="414"/>
      <c r="NSO59" s="414"/>
      <c r="NSP59" s="414"/>
      <c r="NSQ59" s="414"/>
      <c r="NSR59" s="414"/>
      <c r="NSS59" s="414"/>
      <c r="NST59" s="414"/>
      <c r="NSU59" s="414"/>
      <c r="NSV59" s="414"/>
      <c r="NSW59" s="414"/>
      <c r="NSX59" s="414"/>
      <c r="NSY59" s="414"/>
      <c r="NSZ59" s="414"/>
      <c r="NTA59" s="414"/>
      <c r="NTB59" s="414"/>
      <c r="NTC59" s="414"/>
      <c r="NTD59" s="414"/>
      <c r="NTE59" s="414"/>
      <c r="NTF59" s="414"/>
      <c r="NTG59" s="414"/>
      <c r="NTH59" s="414"/>
      <c r="NTI59" s="414"/>
      <c r="NTJ59" s="414"/>
      <c r="NTK59" s="414"/>
      <c r="NTL59" s="414"/>
      <c r="NTM59" s="414"/>
      <c r="NTN59" s="414"/>
      <c r="NTO59" s="414"/>
      <c r="NTP59" s="414"/>
      <c r="NTQ59" s="414"/>
      <c r="NTR59" s="414"/>
      <c r="NTS59" s="414"/>
      <c r="NTT59" s="414"/>
      <c r="NTU59" s="414"/>
      <c r="NTV59" s="414"/>
      <c r="NTW59" s="414"/>
      <c r="NTX59" s="414"/>
      <c r="NTY59" s="414"/>
      <c r="NTZ59" s="414"/>
      <c r="NUA59" s="414"/>
      <c r="NUB59" s="414"/>
      <c r="NUC59" s="414"/>
      <c r="NUD59" s="414"/>
      <c r="NUE59" s="414"/>
      <c r="NUF59" s="414"/>
      <c r="NUG59" s="414"/>
      <c r="NUH59" s="414"/>
      <c r="NUI59" s="414"/>
      <c r="NUJ59" s="414"/>
      <c r="NUK59" s="414"/>
      <c r="NUL59" s="414"/>
      <c r="NUM59" s="414"/>
      <c r="NUN59" s="414"/>
      <c r="NUO59" s="414"/>
      <c r="NUP59" s="414"/>
      <c r="NUQ59" s="414"/>
      <c r="NUR59" s="414"/>
      <c r="NUS59" s="414"/>
      <c r="NUT59" s="414"/>
      <c r="NUU59" s="414"/>
      <c r="NUV59" s="414"/>
      <c r="NUW59" s="414"/>
      <c r="NUX59" s="414"/>
      <c r="NUY59" s="414"/>
      <c r="NUZ59" s="414"/>
      <c r="NVA59" s="414"/>
      <c r="NVB59" s="414"/>
      <c r="NVC59" s="414"/>
      <c r="NVD59" s="414"/>
      <c r="NVE59" s="414"/>
      <c r="NVF59" s="414"/>
      <c r="NVG59" s="414"/>
      <c r="NVH59" s="414"/>
      <c r="NVI59" s="414"/>
      <c r="NVJ59" s="414"/>
      <c r="NVK59" s="414"/>
      <c r="NVL59" s="414"/>
      <c r="NVM59" s="414"/>
      <c r="NVN59" s="414"/>
      <c r="NVO59" s="414"/>
      <c r="NVP59" s="414"/>
      <c r="NVQ59" s="414"/>
      <c r="NVR59" s="414"/>
      <c r="NVS59" s="414"/>
      <c r="NVT59" s="414"/>
      <c r="NVU59" s="414"/>
      <c r="NVV59" s="414"/>
      <c r="NVW59" s="414"/>
      <c r="NVX59" s="414"/>
      <c r="NVY59" s="414"/>
      <c r="NVZ59" s="414"/>
      <c r="NWA59" s="414"/>
      <c r="NWB59" s="414"/>
      <c r="NWC59" s="414"/>
      <c r="NWD59" s="414"/>
      <c r="NWE59" s="414"/>
      <c r="NWF59" s="414"/>
      <c r="NWG59" s="414"/>
      <c r="NWH59" s="414"/>
      <c r="NWI59" s="414"/>
      <c r="NWJ59" s="414"/>
      <c r="NWK59" s="414"/>
      <c r="NWL59" s="414"/>
      <c r="NWM59" s="414"/>
      <c r="NWN59" s="414"/>
      <c r="NWO59" s="414"/>
      <c r="NWP59" s="414"/>
      <c r="NWQ59" s="414"/>
      <c r="NWR59" s="414"/>
      <c r="NWS59" s="414"/>
      <c r="NWT59" s="414"/>
      <c r="NWU59" s="414"/>
      <c r="NWV59" s="414"/>
      <c r="NWW59" s="414"/>
      <c r="NWX59" s="414"/>
      <c r="NWY59" s="414"/>
      <c r="NWZ59" s="414"/>
      <c r="NXA59" s="414"/>
      <c r="NXB59" s="414"/>
      <c r="NXC59" s="414"/>
      <c r="NXD59" s="414"/>
      <c r="NXE59" s="414"/>
      <c r="NXF59" s="414"/>
      <c r="NXG59" s="414"/>
      <c r="NXH59" s="414"/>
      <c r="NXI59" s="414"/>
      <c r="NXJ59" s="414"/>
      <c r="NXK59" s="414"/>
      <c r="NXL59" s="414"/>
      <c r="NXM59" s="414"/>
      <c r="NXN59" s="414"/>
      <c r="NXO59" s="414"/>
      <c r="NXP59" s="414"/>
      <c r="NXQ59" s="414"/>
      <c r="NXR59" s="414"/>
      <c r="NXS59" s="414"/>
      <c r="NXT59" s="414"/>
      <c r="NXU59" s="414"/>
      <c r="NXV59" s="414"/>
      <c r="NXW59" s="414"/>
      <c r="NXX59" s="414"/>
      <c r="NXY59" s="414"/>
      <c r="NXZ59" s="414"/>
      <c r="NYA59" s="414"/>
      <c r="NYB59" s="414"/>
      <c r="NYC59" s="414"/>
      <c r="NYD59" s="414"/>
      <c r="NYE59" s="414"/>
      <c r="NYF59" s="414"/>
      <c r="NYG59" s="414"/>
      <c r="NYH59" s="414"/>
      <c r="NYI59" s="414"/>
      <c r="NYJ59" s="414"/>
      <c r="NYK59" s="414"/>
      <c r="NYL59" s="414"/>
      <c r="NYM59" s="414"/>
      <c r="NYN59" s="414"/>
      <c r="NYO59" s="414"/>
      <c r="NYP59" s="414"/>
      <c r="NYQ59" s="414"/>
      <c r="NYR59" s="414"/>
      <c r="NYS59" s="414"/>
      <c r="NYT59" s="414"/>
      <c r="NYU59" s="414"/>
      <c r="NYV59" s="414"/>
      <c r="NYW59" s="414"/>
      <c r="NYX59" s="414"/>
      <c r="NYY59" s="414"/>
      <c r="NYZ59" s="414"/>
      <c r="NZA59" s="414"/>
      <c r="NZB59" s="414"/>
      <c r="NZC59" s="414"/>
      <c r="NZD59" s="414"/>
      <c r="NZE59" s="414"/>
      <c r="NZF59" s="414"/>
      <c r="NZG59" s="414"/>
      <c r="NZH59" s="414"/>
      <c r="NZI59" s="414"/>
      <c r="NZJ59" s="414"/>
      <c r="NZK59" s="414"/>
      <c r="NZL59" s="414"/>
      <c r="NZM59" s="414"/>
      <c r="NZN59" s="414"/>
      <c r="NZO59" s="414"/>
      <c r="NZP59" s="414"/>
      <c r="NZQ59" s="414"/>
      <c r="NZR59" s="414"/>
      <c r="NZS59" s="414"/>
      <c r="NZT59" s="414"/>
      <c r="NZU59" s="414"/>
      <c r="NZV59" s="414"/>
      <c r="NZW59" s="414"/>
      <c r="NZX59" s="414"/>
      <c r="NZY59" s="414"/>
      <c r="NZZ59" s="414"/>
      <c r="OAA59" s="414"/>
      <c r="OAB59" s="414"/>
      <c r="OAC59" s="414"/>
      <c r="OAD59" s="414"/>
      <c r="OAE59" s="414"/>
      <c r="OAF59" s="414"/>
      <c r="OAG59" s="414"/>
      <c r="OAH59" s="414"/>
      <c r="OAI59" s="414"/>
      <c r="OAJ59" s="414"/>
      <c r="OAK59" s="414"/>
      <c r="OAL59" s="414"/>
      <c r="OAM59" s="414"/>
      <c r="OAN59" s="414"/>
      <c r="OAO59" s="414"/>
      <c r="OAP59" s="414"/>
      <c r="OAQ59" s="414"/>
      <c r="OAR59" s="414"/>
      <c r="OAS59" s="414"/>
      <c r="OAT59" s="414"/>
      <c r="OAU59" s="414"/>
      <c r="OAV59" s="414"/>
      <c r="OAW59" s="414"/>
      <c r="OAX59" s="414"/>
      <c r="OAY59" s="414"/>
      <c r="OAZ59" s="414"/>
      <c r="OBA59" s="414"/>
      <c r="OBB59" s="414"/>
      <c r="OBC59" s="414"/>
      <c r="OBD59" s="414"/>
      <c r="OBE59" s="414"/>
      <c r="OBF59" s="414"/>
      <c r="OBG59" s="414"/>
      <c r="OBH59" s="414"/>
      <c r="OBI59" s="414"/>
      <c r="OBJ59" s="414"/>
      <c r="OBK59" s="414"/>
      <c r="OBL59" s="414"/>
      <c r="OBM59" s="414"/>
      <c r="OBN59" s="414"/>
      <c r="OBO59" s="414"/>
      <c r="OBP59" s="414"/>
      <c r="OBQ59" s="414"/>
      <c r="OBR59" s="414"/>
      <c r="OBS59" s="414"/>
      <c r="OBT59" s="414"/>
      <c r="OBU59" s="414"/>
      <c r="OBV59" s="414"/>
      <c r="OBW59" s="414"/>
      <c r="OBX59" s="414"/>
      <c r="OBY59" s="414"/>
      <c r="OBZ59" s="414"/>
      <c r="OCA59" s="414"/>
      <c r="OCB59" s="414"/>
      <c r="OCC59" s="414"/>
      <c r="OCD59" s="414"/>
      <c r="OCE59" s="414"/>
      <c r="OCF59" s="414"/>
      <c r="OCG59" s="414"/>
      <c r="OCH59" s="414"/>
      <c r="OCI59" s="414"/>
      <c r="OCJ59" s="414"/>
      <c r="OCK59" s="414"/>
      <c r="OCL59" s="414"/>
      <c r="OCM59" s="414"/>
      <c r="OCN59" s="414"/>
      <c r="OCO59" s="414"/>
      <c r="OCP59" s="414"/>
      <c r="OCQ59" s="414"/>
      <c r="OCR59" s="414"/>
      <c r="OCS59" s="414"/>
      <c r="OCT59" s="414"/>
      <c r="OCU59" s="414"/>
      <c r="OCV59" s="414"/>
      <c r="OCW59" s="414"/>
      <c r="OCX59" s="414"/>
      <c r="OCY59" s="414"/>
      <c r="OCZ59" s="414"/>
      <c r="ODA59" s="414"/>
      <c r="ODB59" s="414"/>
      <c r="ODC59" s="414"/>
      <c r="ODD59" s="414"/>
      <c r="ODE59" s="414"/>
      <c r="ODF59" s="414"/>
      <c r="ODG59" s="414"/>
      <c r="ODH59" s="414"/>
      <c r="ODI59" s="414"/>
      <c r="ODJ59" s="414"/>
      <c r="ODK59" s="414"/>
      <c r="ODL59" s="414"/>
      <c r="ODM59" s="414"/>
      <c r="ODN59" s="414"/>
      <c r="ODO59" s="414"/>
      <c r="ODP59" s="414"/>
      <c r="ODQ59" s="414"/>
      <c r="ODR59" s="414"/>
      <c r="ODS59" s="414"/>
      <c r="ODT59" s="414"/>
      <c r="ODU59" s="414"/>
      <c r="ODV59" s="414"/>
      <c r="ODW59" s="414"/>
      <c r="ODX59" s="414"/>
      <c r="ODY59" s="414"/>
      <c r="ODZ59" s="414"/>
      <c r="OEA59" s="414"/>
      <c r="OEB59" s="414"/>
      <c r="OEC59" s="414"/>
      <c r="OED59" s="414"/>
      <c r="OEE59" s="414"/>
      <c r="OEF59" s="414"/>
      <c r="OEG59" s="414"/>
      <c r="OEH59" s="414"/>
      <c r="OEI59" s="414"/>
      <c r="OEJ59" s="414"/>
      <c r="OEK59" s="414"/>
      <c r="OEL59" s="414"/>
      <c r="OEM59" s="414"/>
      <c r="OEN59" s="414"/>
      <c r="OEO59" s="414"/>
      <c r="OEP59" s="414"/>
      <c r="OEQ59" s="414"/>
      <c r="OER59" s="414"/>
      <c r="OES59" s="414"/>
      <c r="OET59" s="414"/>
      <c r="OEU59" s="414"/>
      <c r="OEV59" s="414"/>
      <c r="OEW59" s="414"/>
      <c r="OEX59" s="414"/>
      <c r="OEY59" s="414"/>
      <c r="OEZ59" s="414"/>
      <c r="OFA59" s="414"/>
      <c r="OFB59" s="414"/>
      <c r="OFC59" s="414"/>
      <c r="OFD59" s="414"/>
      <c r="OFE59" s="414"/>
      <c r="OFF59" s="414"/>
      <c r="OFG59" s="414"/>
      <c r="OFH59" s="414"/>
      <c r="OFI59" s="414"/>
      <c r="OFJ59" s="414"/>
      <c r="OFK59" s="414"/>
      <c r="OFL59" s="414"/>
      <c r="OFM59" s="414"/>
      <c r="OFN59" s="414"/>
      <c r="OFO59" s="414"/>
      <c r="OFP59" s="414"/>
      <c r="OFQ59" s="414"/>
      <c r="OFR59" s="414"/>
      <c r="OFS59" s="414"/>
      <c r="OFT59" s="414"/>
      <c r="OFU59" s="414"/>
      <c r="OFV59" s="414"/>
      <c r="OFW59" s="414"/>
      <c r="OFX59" s="414"/>
      <c r="OFY59" s="414"/>
      <c r="OFZ59" s="414"/>
      <c r="OGA59" s="414"/>
      <c r="OGB59" s="414"/>
      <c r="OGC59" s="414"/>
      <c r="OGD59" s="414"/>
      <c r="OGE59" s="414"/>
      <c r="OGF59" s="414"/>
      <c r="OGG59" s="414"/>
      <c r="OGH59" s="414"/>
      <c r="OGI59" s="414"/>
      <c r="OGJ59" s="414"/>
      <c r="OGK59" s="414"/>
      <c r="OGL59" s="414"/>
      <c r="OGM59" s="414"/>
      <c r="OGN59" s="414"/>
      <c r="OGO59" s="414"/>
      <c r="OGP59" s="414"/>
      <c r="OGQ59" s="414"/>
      <c r="OGR59" s="414"/>
      <c r="OGS59" s="414"/>
      <c r="OGT59" s="414"/>
      <c r="OGU59" s="414"/>
      <c r="OGV59" s="414"/>
      <c r="OGW59" s="414"/>
      <c r="OGX59" s="414"/>
      <c r="OGY59" s="414"/>
      <c r="OGZ59" s="414"/>
      <c r="OHA59" s="414"/>
      <c r="OHB59" s="414"/>
      <c r="OHC59" s="414"/>
      <c r="OHD59" s="414"/>
      <c r="OHE59" s="414"/>
      <c r="OHF59" s="414"/>
      <c r="OHG59" s="414"/>
      <c r="OHH59" s="414"/>
      <c r="OHI59" s="414"/>
      <c r="OHJ59" s="414"/>
      <c r="OHK59" s="414"/>
      <c r="OHL59" s="414"/>
      <c r="OHM59" s="414"/>
      <c r="OHN59" s="414"/>
      <c r="OHO59" s="414"/>
      <c r="OHP59" s="414"/>
      <c r="OHQ59" s="414"/>
      <c r="OHR59" s="414"/>
      <c r="OHS59" s="414"/>
      <c r="OHT59" s="414"/>
      <c r="OHU59" s="414"/>
      <c r="OHV59" s="414"/>
      <c r="OHW59" s="414"/>
      <c r="OHX59" s="414"/>
      <c r="OHY59" s="414"/>
      <c r="OHZ59" s="414"/>
      <c r="OIA59" s="414"/>
      <c r="OIB59" s="414"/>
      <c r="OIC59" s="414"/>
      <c r="OID59" s="414"/>
      <c r="OIE59" s="414"/>
      <c r="OIF59" s="414"/>
      <c r="OIG59" s="414"/>
      <c r="OIH59" s="414"/>
      <c r="OII59" s="414"/>
      <c r="OIJ59" s="414"/>
      <c r="OIK59" s="414"/>
      <c r="OIL59" s="414"/>
      <c r="OIM59" s="414"/>
      <c r="OIN59" s="414"/>
      <c r="OIO59" s="414"/>
      <c r="OIP59" s="414"/>
      <c r="OIQ59" s="414"/>
      <c r="OIR59" s="414"/>
      <c r="OIS59" s="414"/>
      <c r="OIT59" s="414"/>
      <c r="OIU59" s="414"/>
      <c r="OIV59" s="414"/>
      <c r="OIW59" s="414"/>
      <c r="OIX59" s="414"/>
      <c r="OIY59" s="414"/>
      <c r="OIZ59" s="414"/>
      <c r="OJA59" s="414"/>
      <c r="OJB59" s="414"/>
      <c r="OJC59" s="414"/>
      <c r="OJD59" s="414"/>
      <c r="OJE59" s="414"/>
      <c r="OJF59" s="414"/>
      <c r="OJG59" s="414"/>
      <c r="OJH59" s="414"/>
      <c r="OJI59" s="414"/>
      <c r="OJJ59" s="414"/>
      <c r="OJK59" s="414"/>
      <c r="OJL59" s="414"/>
      <c r="OJM59" s="414"/>
      <c r="OJN59" s="414"/>
      <c r="OJO59" s="414"/>
      <c r="OJP59" s="414"/>
      <c r="OJQ59" s="414"/>
      <c r="OJR59" s="414"/>
      <c r="OJS59" s="414"/>
      <c r="OJT59" s="414"/>
      <c r="OJU59" s="414"/>
      <c r="OJV59" s="414"/>
      <c r="OJW59" s="414"/>
      <c r="OJX59" s="414"/>
      <c r="OJY59" s="414"/>
      <c r="OJZ59" s="414"/>
      <c r="OKA59" s="414"/>
      <c r="OKB59" s="414"/>
      <c r="OKC59" s="414"/>
      <c r="OKD59" s="414"/>
      <c r="OKE59" s="414"/>
      <c r="OKF59" s="414"/>
      <c r="OKG59" s="414"/>
      <c r="OKH59" s="414"/>
      <c r="OKI59" s="414"/>
      <c r="OKJ59" s="414"/>
      <c r="OKK59" s="414"/>
      <c r="OKL59" s="414"/>
      <c r="OKM59" s="414"/>
      <c r="OKN59" s="414"/>
      <c r="OKO59" s="414"/>
      <c r="OKP59" s="414"/>
      <c r="OKQ59" s="414"/>
      <c r="OKR59" s="414"/>
      <c r="OKS59" s="414"/>
      <c r="OKT59" s="414"/>
      <c r="OKU59" s="414"/>
      <c r="OKV59" s="414"/>
      <c r="OKW59" s="414"/>
      <c r="OKX59" s="414"/>
      <c r="OKY59" s="414"/>
      <c r="OKZ59" s="414"/>
      <c r="OLA59" s="414"/>
      <c r="OLB59" s="414"/>
      <c r="OLC59" s="414"/>
      <c r="OLD59" s="414"/>
      <c r="OLE59" s="414"/>
      <c r="OLF59" s="414"/>
      <c r="OLG59" s="414"/>
      <c r="OLH59" s="414"/>
      <c r="OLI59" s="414"/>
      <c r="OLJ59" s="414"/>
      <c r="OLK59" s="414"/>
      <c r="OLL59" s="414"/>
      <c r="OLM59" s="414"/>
      <c r="OLN59" s="414"/>
      <c r="OLO59" s="414"/>
      <c r="OLP59" s="414"/>
      <c r="OLQ59" s="414"/>
      <c r="OLR59" s="414"/>
      <c r="OLS59" s="414"/>
      <c r="OLT59" s="414"/>
      <c r="OLU59" s="414"/>
      <c r="OLV59" s="414"/>
      <c r="OLW59" s="414"/>
      <c r="OLX59" s="414"/>
      <c r="OLY59" s="414"/>
      <c r="OLZ59" s="414"/>
      <c r="OMA59" s="414"/>
      <c r="OMB59" s="414"/>
      <c r="OMC59" s="414"/>
      <c r="OMD59" s="414"/>
      <c r="OME59" s="414"/>
      <c r="OMF59" s="414"/>
      <c r="OMG59" s="414"/>
      <c r="OMH59" s="414"/>
      <c r="OMI59" s="414"/>
      <c r="OMJ59" s="414"/>
      <c r="OMK59" s="414"/>
      <c r="OML59" s="414"/>
      <c r="OMM59" s="414"/>
      <c r="OMN59" s="414"/>
      <c r="OMO59" s="414"/>
      <c r="OMP59" s="414"/>
      <c r="OMQ59" s="414"/>
      <c r="OMR59" s="414"/>
      <c r="OMS59" s="414"/>
      <c r="OMT59" s="414"/>
      <c r="OMU59" s="414"/>
      <c r="OMV59" s="414"/>
      <c r="OMW59" s="414"/>
      <c r="OMX59" s="414"/>
      <c r="OMY59" s="414"/>
      <c r="OMZ59" s="414"/>
      <c r="ONA59" s="414"/>
      <c r="ONB59" s="414"/>
      <c r="ONC59" s="414"/>
      <c r="OND59" s="414"/>
      <c r="ONE59" s="414"/>
      <c r="ONF59" s="414"/>
      <c r="ONG59" s="414"/>
      <c r="ONH59" s="414"/>
      <c r="ONI59" s="414"/>
      <c r="ONJ59" s="414"/>
      <c r="ONK59" s="414"/>
      <c r="ONL59" s="414"/>
      <c r="ONM59" s="414"/>
      <c r="ONN59" s="414"/>
      <c r="ONO59" s="414"/>
      <c r="ONP59" s="414"/>
      <c r="ONQ59" s="414"/>
      <c r="ONR59" s="414"/>
      <c r="ONS59" s="414"/>
      <c r="ONT59" s="414"/>
      <c r="ONU59" s="414"/>
      <c r="ONV59" s="414"/>
      <c r="ONW59" s="414"/>
      <c r="ONX59" s="414"/>
      <c r="ONY59" s="414"/>
      <c r="ONZ59" s="414"/>
      <c r="OOA59" s="414"/>
      <c r="OOB59" s="414"/>
      <c r="OOC59" s="414"/>
      <c r="OOD59" s="414"/>
      <c r="OOE59" s="414"/>
      <c r="OOF59" s="414"/>
      <c r="OOG59" s="414"/>
      <c r="OOH59" s="414"/>
      <c r="OOI59" s="414"/>
      <c r="OOJ59" s="414"/>
      <c r="OOK59" s="414"/>
      <c r="OOL59" s="414"/>
      <c r="OOM59" s="414"/>
      <c r="OON59" s="414"/>
      <c r="OOO59" s="414"/>
      <c r="OOP59" s="414"/>
      <c r="OOQ59" s="414"/>
      <c r="OOR59" s="414"/>
      <c r="OOS59" s="414"/>
      <c r="OOT59" s="414"/>
      <c r="OOU59" s="414"/>
      <c r="OOV59" s="414"/>
      <c r="OOW59" s="414"/>
      <c r="OOX59" s="414"/>
      <c r="OOY59" s="414"/>
      <c r="OOZ59" s="414"/>
      <c r="OPA59" s="414"/>
      <c r="OPB59" s="414"/>
      <c r="OPC59" s="414"/>
      <c r="OPD59" s="414"/>
      <c r="OPE59" s="414"/>
      <c r="OPF59" s="414"/>
      <c r="OPG59" s="414"/>
      <c r="OPH59" s="414"/>
      <c r="OPI59" s="414"/>
      <c r="OPJ59" s="414"/>
      <c r="OPK59" s="414"/>
      <c r="OPL59" s="414"/>
      <c r="OPM59" s="414"/>
      <c r="OPN59" s="414"/>
      <c r="OPO59" s="414"/>
      <c r="OPP59" s="414"/>
      <c r="OPQ59" s="414"/>
      <c r="OPR59" s="414"/>
      <c r="OPS59" s="414"/>
      <c r="OPT59" s="414"/>
      <c r="OPU59" s="414"/>
      <c r="OPV59" s="414"/>
      <c r="OPW59" s="414"/>
      <c r="OPX59" s="414"/>
      <c r="OPY59" s="414"/>
      <c r="OPZ59" s="414"/>
      <c r="OQA59" s="414"/>
      <c r="OQB59" s="414"/>
      <c r="OQC59" s="414"/>
      <c r="OQD59" s="414"/>
      <c r="OQE59" s="414"/>
      <c r="OQF59" s="414"/>
      <c r="OQG59" s="414"/>
      <c r="OQH59" s="414"/>
      <c r="OQI59" s="414"/>
      <c r="OQJ59" s="414"/>
      <c r="OQK59" s="414"/>
      <c r="OQL59" s="414"/>
      <c r="OQM59" s="414"/>
      <c r="OQN59" s="414"/>
      <c r="OQO59" s="414"/>
      <c r="OQP59" s="414"/>
      <c r="OQQ59" s="414"/>
      <c r="OQR59" s="414"/>
      <c r="OQS59" s="414"/>
      <c r="OQT59" s="414"/>
      <c r="OQU59" s="414"/>
      <c r="OQV59" s="414"/>
      <c r="OQW59" s="414"/>
      <c r="OQX59" s="414"/>
      <c r="OQY59" s="414"/>
      <c r="OQZ59" s="414"/>
      <c r="ORA59" s="414"/>
      <c r="ORB59" s="414"/>
      <c r="ORC59" s="414"/>
      <c r="ORD59" s="414"/>
      <c r="ORE59" s="414"/>
      <c r="ORF59" s="414"/>
      <c r="ORG59" s="414"/>
      <c r="ORH59" s="414"/>
      <c r="ORI59" s="414"/>
      <c r="ORJ59" s="414"/>
      <c r="ORK59" s="414"/>
      <c r="ORL59" s="414"/>
      <c r="ORM59" s="414"/>
      <c r="ORN59" s="414"/>
      <c r="ORO59" s="414"/>
      <c r="ORP59" s="414"/>
      <c r="ORQ59" s="414"/>
      <c r="ORR59" s="414"/>
      <c r="ORS59" s="414"/>
      <c r="ORT59" s="414"/>
      <c r="ORU59" s="414"/>
      <c r="ORV59" s="414"/>
      <c r="ORW59" s="414"/>
      <c r="ORX59" s="414"/>
      <c r="ORY59" s="414"/>
      <c r="ORZ59" s="414"/>
      <c r="OSA59" s="414"/>
      <c r="OSB59" s="414"/>
      <c r="OSC59" s="414"/>
      <c r="OSD59" s="414"/>
      <c r="OSE59" s="414"/>
      <c r="OSF59" s="414"/>
      <c r="OSG59" s="414"/>
      <c r="OSH59" s="414"/>
      <c r="OSI59" s="414"/>
      <c r="OSJ59" s="414"/>
      <c r="OSK59" s="414"/>
      <c r="OSL59" s="414"/>
      <c r="OSM59" s="414"/>
      <c r="OSN59" s="414"/>
      <c r="OSO59" s="414"/>
      <c r="OSP59" s="414"/>
      <c r="OSQ59" s="414"/>
      <c r="OSR59" s="414"/>
      <c r="OSS59" s="414"/>
      <c r="OST59" s="414"/>
      <c r="OSU59" s="414"/>
      <c r="OSV59" s="414"/>
      <c r="OSW59" s="414"/>
      <c r="OSX59" s="414"/>
      <c r="OSY59" s="414"/>
      <c r="OSZ59" s="414"/>
      <c r="OTA59" s="414"/>
      <c r="OTB59" s="414"/>
      <c r="OTC59" s="414"/>
      <c r="OTD59" s="414"/>
      <c r="OTE59" s="414"/>
      <c r="OTF59" s="414"/>
      <c r="OTG59" s="414"/>
      <c r="OTH59" s="414"/>
      <c r="OTI59" s="414"/>
      <c r="OTJ59" s="414"/>
      <c r="OTK59" s="414"/>
      <c r="OTL59" s="414"/>
      <c r="OTM59" s="414"/>
      <c r="OTN59" s="414"/>
      <c r="OTO59" s="414"/>
      <c r="OTP59" s="414"/>
      <c r="OTQ59" s="414"/>
      <c r="OTR59" s="414"/>
      <c r="OTS59" s="414"/>
      <c r="OTT59" s="414"/>
      <c r="OTU59" s="414"/>
      <c r="OTV59" s="414"/>
      <c r="OTW59" s="414"/>
      <c r="OTX59" s="414"/>
      <c r="OTY59" s="414"/>
      <c r="OTZ59" s="414"/>
      <c r="OUA59" s="414"/>
      <c r="OUB59" s="414"/>
      <c r="OUC59" s="414"/>
      <c r="OUD59" s="414"/>
      <c r="OUE59" s="414"/>
      <c r="OUF59" s="414"/>
      <c r="OUG59" s="414"/>
      <c r="OUH59" s="414"/>
      <c r="OUI59" s="414"/>
      <c r="OUJ59" s="414"/>
      <c r="OUK59" s="414"/>
      <c r="OUL59" s="414"/>
      <c r="OUM59" s="414"/>
      <c r="OUN59" s="414"/>
      <c r="OUO59" s="414"/>
      <c r="OUP59" s="414"/>
      <c r="OUQ59" s="414"/>
      <c r="OUR59" s="414"/>
      <c r="OUS59" s="414"/>
      <c r="OUT59" s="414"/>
      <c r="OUU59" s="414"/>
      <c r="OUV59" s="414"/>
      <c r="OUW59" s="414"/>
      <c r="OUX59" s="414"/>
      <c r="OUY59" s="414"/>
      <c r="OUZ59" s="414"/>
      <c r="OVA59" s="414"/>
      <c r="OVB59" s="414"/>
      <c r="OVC59" s="414"/>
      <c r="OVD59" s="414"/>
      <c r="OVE59" s="414"/>
      <c r="OVF59" s="414"/>
      <c r="OVG59" s="414"/>
      <c r="OVH59" s="414"/>
      <c r="OVI59" s="414"/>
      <c r="OVJ59" s="414"/>
      <c r="OVK59" s="414"/>
      <c r="OVL59" s="414"/>
      <c r="OVM59" s="414"/>
      <c r="OVN59" s="414"/>
      <c r="OVO59" s="414"/>
      <c r="OVP59" s="414"/>
      <c r="OVQ59" s="414"/>
      <c r="OVR59" s="414"/>
      <c r="OVS59" s="414"/>
      <c r="OVT59" s="414"/>
      <c r="OVU59" s="414"/>
      <c r="OVV59" s="414"/>
      <c r="OVW59" s="414"/>
      <c r="OVX59" s="414"/>
      <c r="OVY59" s="414"/>
      <c r="OVZ59" s="414"/>
      <c r="OWA59" s="414"/>
      <c r="OWB59" s="414"/>
      <c r="OWC59" s="414"/>
      <c r="OWD59" s="414"/>
      <c r="OWE59" s="414"/>
      <c r="OWF59" s="414"/>
      <c r="OWG59" s="414"/>
      <c r="OWH59" s="414"/>
      <c r="OWI59" s="414"/>
      <c r="OWJ59" s="414"/>
      <c r="OWK59" s="414"/>
      <c r="OWL59" s="414"/>
      <c r="OWM59" s="414"/>
      <c r="OWN59" s="414"/>
      <c r="OWO59" s="414"/>
      <c r="OWP59" s="414"/>
      <c r="OWQ59" s="414"/>
      <c r="OWR59" s="414"/>
      <c r="OWS59" s="414"/>
      <c r="OWT59" s="414"/>
      <c r="OWU59" s="414"/>
      <c r="OWV59" s="414"/>
      <c r="OWW59" s="414"/>
      <c r="OWX59" s="414"/>
      <c r="OWY59" s="414"/>
      <c r="OWZ59" s="414"/>
      <c r="OXA59" s="414"/>
      <c r="OXB59" s="414"/>
      <c r="OXC59" s="414"/>
      <c r="OXD59" s="414"/>
      <c r="OXE59" s="414"/>
      <c r="OXF59" s="414"/>
      <c r="OXG59" s="414"/>
      <c r="OXH59" s="414"/>
      <c r="OXI59" s="414"/>
      <c r="OXJ59" s="414"/>
      <c r="OXK59" s="414"/>
      <c r="OXL59" s="414"/>
      <c r="OXM59" s="414"/>
      <c r="OXN59" s="414"/>
      <c r="OXO59" s="414"/>
      <c r="OXP59" s="414"/>
      <c r="OXQ59" s="414"/>
      <c r="OXR59" s="414"/>
      <c r="OXS59" s="414"/>
      <c r="OXT59" s="414"/>
      <c r="OXU59" s="414"/>
      <c r="OXV59" s="414"/>
      <c r="OXW59" s="414"/>
      <c r="OXX59" s="414"/>
      <c r="OXY59" s="414"/>
      <c r="OXZ59" s="414"/>
      <c r="OYA59" s="414"/>
      <c r="OYB59" s="414"/>
      <c r="OYC59" s="414"/>
      <c r="OYD59" s="414"/>
      <c r="OYE59" s="414"/>
      <c r="OYF59" s="414"/>
      <c r="OYG59" s="414"/>
      <c r="OYH59" s="414"/>
      <c r="OYI59" s="414"/>
      <c r="OYJ59" s="414"/>
      <c r="OYK59" s="414"/>
      <c r="OYL59" s="414"/>
      <c r="OYM59" s="414"/>
      <c r="OYN59" s="414"/>
      <c r="OYO59" s="414"/>
      <c r="OYP59" s="414"/>
      <c r="OYQ59" s="414"/>
      <c r="OYR59" s="414"/>
      <c r="OYS59" s="414"/>
      <c r="OYT59" s="414"/>
      <c r="OYU59" s="414"/>
      <c r="OYV59" s="414"/>
      <c r="OYW59" s="414"/>
      <c r="OYX59" s="414"/>
      <c r="OYY59" s="414"/>
      <c r="OYZ59" s="414"/>
      <c r="OZA59" s="414"/>
      <c r="OZB59" s="414"/>
      <c r="OZC59" s="414"/>
      <c r="OZD59" s="414"/>
      <c r="OZE59" s="414"/>
      <c r="OZF59" s="414"/>
      <c r="OZG59" s="414"/>
      <c r="OZH59" s="414"/>
      <c r="OZI59" s="414"/>
      <c r="OZJ59" s="414"/>
      <c r="OZK59" s="414"/>
      <c r="OZL59" s="414"/>
      <c r="OZM59" s="414"/>
      <c r="OZN59" s="414"/>
      <c r="OZO59" s="414"/>
      <c r="OZP59" s="414"/>
      <c r="OZQ59" s="414"/>
      <c r="OZR59" s="414"/>
      <c r="OZS59" s="414"/>
      <c r="OZT59" s="414"/>
      <c r="OZU59" s="414"/>
      <c r="OZV59" s="414"/>
      <c r="OZW59" s="414"/>
      <c r="OZX59" s="414"/>
      <c r="OZY59" s="414"/>
      <c r="OZZ59" s="414"/>
      <c r="PAA59" s="414"/>
      <c r="PAB59" s="414"/>
      <c r="PAC59" s="414"/>
      <c r="PAD59" s="414"/>
      <c r="PAE59" s="414"/>
      <c r="PAF59" s="414"/>
      <c r="PAG59" s="414"/>
      <c r="PAH59" s="414"/>
      <c r="PAI59" s="414"/>
      <c r="PAJ59" s="414"/>
      <c r="PAK59" s="414"/>
      <c r="PAL59" s="414"/>
      <c r="PAM59" s="414"/>
      <c r="PAN59" s="414"/>
      <c r="PAO59" s="414"/>
      <c r="PAP59" s="414"/>
      <c r="PAQ59" s="414"/>
      <c r="PAR59" s="414"/>
      <c r="PAS59" s="414"/>
      <c r="PAT59" s="414"/>
      <c r="PAU59" s="414"/>
      <c r="PAV59" s="414"/>
      <c r="PAW59" s="414"/>
      <c r="PAX59" s="414"/>
      <c r="PAY59" s="414"/>
      <c r="PAZ59" s="414"/>
      <c r="PBA59" s="414"/>
      <c r="PBB59" s="414"/>
      <c r="PBC59" s="414"/>
      <c r="PBD59" s="414"/>
      <c r="PBE59" s="414"/>
      <c r="PBF59" s="414"/>
      <c r="PBG59" s="414"/>
      <c r="PBH59" s="414"/>
      <c r="PBI59" s="414"/>
      <c r="PBJ59" s="414"/>
      <c r="PBK59" s="414"/>
      <c r="PBL59" s="414"/>
      <c r="PBM59" s="414"/>
      <c r="PBN59" s="414"/>
      <c r="PBO59" s="414"/>
      <c r="PBP59" s="414"/>
      <c r="PBQ59" s="414"/>
      <c r="PBR59" s="414"/>
      <c r="PBS59" s="414"/>
      <c r="PBT59" s="414"/>
      <c r="PBU59" s="414"/>
      <c r="PBV59" s="414"/>
      <c r="PBW59" s="414"/>
      <c r="PBX59" s="414"/>
      <c r="PBY59" s="414"/>
      <c r="PBZ59" s="414"/>
      <c r="PCA59" s="414"/>
      <c r="PCB59" s="414"/>
      <c r="PCC59" s="414"/>
      <c r="PCD59" s="414"/>
      <c r="PCE59" s="414"/>
      <c r="PCF59" s="414"/>
      <c r="PCG59" s="414"/>
      <c r="PCH59" s="414"/>
      <c r="PCI59" s="414"/>
      <c r="PCJ59" s="414"/>
      <c r="PCK59" s="414"/>
      <c r="PCL59" s="414"/>
      <c r="PCM59" s="414"/>
      <c r="PCN59" s="414"/>
      <c r="PCO59" s="414"/>
      <c r="PCP59" s="414"/>
      <c r="PCQ59" s="414"/>
      <c r="PCR59" s="414"/>
      <c r="PCS59" s="414"/>
      <c r="PCT59" s="414"/>
      <c r="PCU59" s="414"/>
      <c r="PCV59" s="414"/>
      <c r="PCW59" s="414"/>
      <c r="PCX59" s="414"/>
      <c r="PCY59" s="414"/>
      <c r="PCZ59" s="414"/>
      <c r="PDA59" s="414"/>
      <c r="PDB59" s="414"/>
      <c r="PDC59" s="414"/>
      <c r="PDD59" s="414"/>
      <c r="PDE59" s="414"/>
      <c r="PDF59" s="414"/>
      <c r="PDG59" s="414"/>
      <c r="PDH59" s="414"/>
      <c r="PDI59" s="414"/>
      <c r="PDJ59" s="414"/>
      <c r="PDK59" s="414"/>
      <c r="PDL59" s="414"/>
      <c r="PDM59" s="414"/>
      <c r="PDN59" s="414"/>
      <c r="PDO59" s="414"/>
      <c r="PDP59" s="414"/>
      <c r="PDQ59" s="414"/>
      <c r="PDR59" s="414"/>
      <c r="PDS59" s="414"/>
      <c r="PDT59" s="414"/>
      <c r="PDU59" s="414"/>
      <c r="PDV59" s="414"/>
      <c r="PDW59" s="414"/>
      <c r="PDX59" s="414"/>
      <c r="PDY59" s="414"/>
      <c r="PDZ59" s="414"/>
      <c r="PEA59" s="414"/>
      <c r="PEB59" s="414"/>
      <c r="PEC59" s="414"/>
      <c r="PED59" s="414"/>
      <c r="PEE59" s="414"/>
      <c r="PEF59" s="414"/>
      <c r="PEG59" s="414"/>
      <c r="PEH59" s="414"/>
      <c r="PEI59" s="414"/>
      <c r="PEJ59" s="414"/>
      <c r="PEK59" s="414"/>
      <c r="PEL59" s="414"/>
      <c r="PEM59" s="414"/>
      <c r="PEN59" s="414"/>
      <c r="PEO59" s="414"/>
      <c r="PEP59" s="414"/>
      <c r="PEQ59" s="414"/>
      <c r="PER59" s="414"/>
      <c r="PES59" s="414"/>
      <c r="PET59" s="414"/>
      <c r="PEU59" s="414"/>
      <c r="PEV59" s="414"/>
      <c r="PEW59" s="414"/>
      <c r="PEX59" s="414"/>
      <c r="PEY59" s="414"/>
      <c r="PEZ59" s="414"/>
      <c r="PFA59" s="414"/>
      <c r="PFB59" s="414"/>
      <c r="PFC59" s="414"/>
      <c r="PFD59" s="414"/>
      <c r="PFE59" s="414"/>
      <c r="PFF59" s="414"/>
      <c r="PFG59" s="414"/>
      <c r="PFH59" s="414"/>
      <c r="PFI59" s="414"/>
      <c r="PFJ59" s="414"/>
      <c r="PFK59" s="414"/>
      <c r="PFL59" s="414"/>
      <c r="PFM59" s="414"/>
      <c r="PFN59" s="414"/>
      <c r="PFO59" s="414"/>
      <c r="PFP59" s="414"/>
      <c r="PFQ59" s="414"/>
      <c r="PFR59" s="414"/>
      <c r="PFS59" s="414"/>
      <c r="PFT59" s="414"/>
      <c r="PFU59" s="414"/>
      <c r="PFV59" s="414"/>
      <c r="PFW59" s="414"/>
      <c r="PFX59" s="414"/>
      <c r="PFY59" s="414"/>
      <c r="PFZ59" s="414"/>
      <c r="PGA59" s="414"/>
      <c r="PGB59" s="414"/>
      <c r="PGC59" s="414"/>
      <c r="PGD59" s="414"/>
      <c r="PGE59" s="414"/>
      <c r="PGF59" s="414"/>
      <c r="PGG59" s="414"/>
      <c r="PGH59" s="414"/>
      <c r="PGI59" s="414"/>
      <c r="PGJ59" s="414"/>
      <c r="PGK59" s="414"/>
      <c r="PGL59" s="414"/>
      <c r="PGM59" s="414"/>
      <c r="PGN59" s="414"/>
      <c r="PGO59" s="414"/>
      <c r="PGP59" s="414"/>
      <c r="PGQ59" s="414"/>
      <c r="PGR59" s="414"/>
      <c r="PGS59" s="414"/>
      <c r="PGT59" s="414"/>
      <c r="PGU59" s="414"/>
      <c r="PGV59" s="414"/>
      <c r="PGW59" s="414"/>
      <c r="PGX59" s="414"/>
      <c r="PGY59" s="414"/>
      <c r="PGZ59" s="414"/>
      <c r="PHA59" s="414"/>
      <c r="PHB59" s="414"/>
      <c r="PHC59" s="414"/>
      <c r="PHD59" s="414"/>
      <c r="PHE59" s="414"/>
      <c r="PHF59" s="414"/>
      <c r="PHG59" s="414"/>
      <c r="PHH59" s="414"/>
      <c r="PHI59" s="414"/>
      <c r="PHJ59" s="414"/>
      <c r="PHK59" s="414"/>
      <c r="PHL59" s="414"/>
      <c r="PHM59" s="414"/>
      <c r="PHN59" s="414"/>
      <c r="PHO59" s="414"/>
      <c r="PHP59" s="414"/>
      <c r="PHQ59" s="414"/>
      <c r="PHR59" s="414"/>
      <c r="PHS59" s="414"/>
      <c r="PHT59" s="414"/>
      <c r="PHU59" s="414"/>
      <c r="PHV59" s="414"/>
      <c r="PHW59" s="414"/>
      <c r="PHX59" s="414"/>
      <c r="PHY59" s="414"/>
      <c r="PHZ59" s="414"/>
      <c r="PIA59" s="414"/>
      <c r="PIB59" s="414"/>
      <c r="PIC59" s="414"/>
      <c r="PID59" s="414"/>
      <c r="PIE59" s="414"/>
      <c r="PIF59" s="414"/>
      <c r="PIG59" s="414"/>
      <c r="PIH59" s="414"/>
      <c r="PII59" s="414"/>
      <c r="PIJ59" s="414"/>
      <c r="PIK59" s="414"/>
      <c r="PIL59" s="414"/>
      <c r="PIM59" s="414"/>
      <c r="PIN59" s="414"/>
      <c r="PIO59" s="414"/>
      <c r="PIP59" s="414"/>
      <c r="PIQ59" s="414"/>
      <c r="PIR59" s="414"/>
      <c r="PIS59" s="414"/>
      <c r="PIT59" s="414"/>
      <c r="PIU59" s="414"/>
      <c r="PIV59" s="414"/>
      <c r="PIW59" s="414"/>
      <c r="PIX59" s="414"/>
      <c r="PIY59" s="414"/>
      <c r="PIZ59" s="414"/>
      <c r="PJA59" s="414"/>
      <c r="PJB59" s="414"/>
      <c r="PJC59" s="414"/>
      <c r="PJD59" s="414"/>
      <c r="PJE59" s="414"/>
      <c r="PJF59" s="414"/>
      <c r="PJG59" s="414"/>
      <c r="PJH59" s="414"/>
      <c r="PJI59" s="414"/>
      <c r="PJJ59" s="414"/>
      <c r="PJK59" s="414"/>
      <c r="PJL59" s="414"/>
      <c r="PJM59" s="414"/>
      <c r="PJN59" s="414"/>
      <c r="PJO59" s="414"/>
      <c r="PJP59" s="414"/>
      <c r="PJQ59" s="414"/>
      <c r="PJR59" s="414"/>
      <c r="PJS59" s="414"/>
      <c r="PJT59" s="414"/>
      <c r="PJU59" s="414"/>
      <c r="PJV59" s="414"/>
      <c r="PJW59" s="414"/>
      <c r="PJX59" s="414"/>
      <c r="PJY59" s="414"/>
      <c r="PJZ59" s="414"/>
      <c r="PKA59" s="414"/>
      <c r="PKB59" s="414"/>
      <c r="PKC59" s="414"/>
      <c r="PKD59" s="414"/>
      <c r="PKE59" s="414"/>
      <c r="PKF59" s="414"/>
      <c r="PKG59" s="414"/>
      <c r="PKH59" s="414"/>
      <c r="PKI59" s="414"/>
      <c r="PKJ59" s="414"/>
      <c r="PKK59" s="414"/>
      <c r="PKL59" s="414"/>
      <c r="PKM59" s="414"/>
      <c r="PKN59" s="414"/>
      <c r="PKO59" s="414"/>
      <c r="PKP59" s="414"/>
      <c r="PKQ59" s="414"/>
      <c r="PKR59" s="414"/>
      <c r="PKS59" s="414"/>
      <c r="PKT59" s="414"/>
      <c r="PKU59" s="414"/>
      <c r="PKV59" s="414"/>
      <c r="PKW59" s="414"/>
      <c r="PKX59" s="414"/>
      <c r="PKY59" s="414"/>
      <c r="PKZ59" s="414"/>
      <c r="PLA59" s="414"/>
      <c r="PLB59" s="414"/>
      <c r="PLC59" s="414"/>
      <c r="PLD59" s="414"/>
      <c r="PLE59" s="414"/>
      <c r="PLF59" s="414"/>
      <c r="PLG59" s="414"/>
      <c r="PLH59" s="414"/>
      <c r="PLI59" s="414"/>
      <c r="PLJ59" s="414"/>
      <c r="PLK59" s="414"/>
      <c r="PLL59" s="414"/>
      <c r="PLM59" s="414"/>
      <c r="PLN59" s="414"/>
      <c r="PLO59" s="414"/>
      <c r="PLP59" s="414"/>
      <c r="PLQ59" s="414"/>
      <c r="PLR59" s="414"/>
      <c r="PLS59" s="414"/>
      <c r="PLT59" s="414"/>
      <c r="PLU59" s="414"/>
      <c r="PLV59" s="414"/>
      <c r="PLW59" s="414"/>
      <c r="PLX59" s="414"/>
      <c r="PLY59" s="414"/>
      <c r="PLZ59" s="414"/>
      <c r="PMA59" s="414"/>
      <c r="PMB59" s="414"/>
      <c r="PMC59" s="414"/>
      <c r="PMD59" s="414"/>
      <c r="PME59" s="414"/>
      <c r="PMF59" s="414"/>
      <c r="PMG59" s="414"/>
      <c r="PMH59" s="414"/>
      <c r="PMI59" s="414"/>
      <c r="PMJ59" s="414"/>
      <c r="PMK59" s="414"/>
      <c r="PML59" s="414"/>
      <c r="PMM59" s="414"/>
      <c r="PMN59" s="414"/>
      <c r="PMO59" s="414"/>
      <c r="PMP59" s="414"/>
      <c r="PMQ59" s="414"/>
      <c r="PMR59" s="414"/>
      <c r="PMS59" s="414"/>
      <c r="PMT59" s="414"/>
      <c r="PMU59" s="414"/>
      <c r="PMV59" s="414"/>
      <c r="PMW59" s="414"/>
      <c r="PMX59" s="414"/>
      <c r="PMY59" s="414"/>
      <c r="PMZ59" s="414"/>
      <c r="PNA59" s="414"/>
      <c r="PNB59" s="414"/>
      <c r="PNC59" s="414"/>
      <c r="PND59" s="414"/>
      <c r="PNE59" s="414"/>
      <c r="PNF59" s="414"/>
      <c r="PNG59" s="414"/>
      <c r="PNH59" s="414"/>
      <c r="PNI59" s="414"/>
      <c r="PNJ59" s="414"/>
      <c r="PNK59" s="414"/>
      <c r="PNL59" s="414"/>
      <c r="PNM59" s="414"/>
      <c r="PNN59" s="414"/>
      <c r="PNO59" s="414"/>
      <c r="PNP59" s="414"/>
      <c r="PNQ59" s="414"/>
      <c r="PNR59" s="414"/>
      <c r="PNS59" s="414"/>
      <c r="PNT59" s="414"/>
      <c r="PNU59" s="414"/>
      <c r="PNV59" s="414"/>
      <c r="PNW59" s="414"/>
      <c r="PNX59" s="414"/>
      <c r="PNY59" s="414"/>
      <c r="PNZ59" s="414"/>
      <c r="POA59" s="414"/>
      <c r="POB59" s="414"/>
      <c r="POC59" s="414"/>
      <c r="POD59" s="414"/>
      <c r="POE59" s="414"/>
      <c r="POF59" s="414"/>
      <c r="POG59" s="414"/>
      <c r="POH59" s="414"/>
      <c r="POI59" s="414"/>
      <c r="POJ59" s="414"/>
      <c r="POK59" s="414"/>
      <c r="POL59" s="414"/>
      <c r="POM59" s="414"/>
      <c r="PON59" s="414"/>
      <c r="POO59" s="414"/>
      <c r="POP59" s="414"/>
      <c r="POQ59" s="414"/>
      <c r="POR59" s="414"/>
      <c r="POS59" s="414"/>
      <c r="POT59" s="414"/>
      <c r="POU59" s="414"/>
      <c r="POV59" s="414"/>
      <c r="POW59" s="414"/>
      <c r="POX59" s="414"/>
      <c r="POY59" s="414"/>
      <c r="POZ59" s="414"/>
      <c r="PPA59" s="414"/>
      <c r="PPB59" s="414"/>
      <c r="PPC59" s="414"/>
      <c r="PPD59" s="414"/>
      <c r="PPE59" s="414"/>
      <c r="PPF59" s="414"/>
      <c r="PPG59" s="414"/>
      <c r="PPH59" s="414"/>
      <c r="PPI59" s="414"/>
      <c r="PPJ59" s="414"/>
      <c r="PPK59" s="414"/>
      <c r="PPL59" s="414"/>
      <c r="PPM59" s="414"/>
      <c r="PPN59" s="414"/>
      <c r="PPO59" s="414"/>
      <c r="PPP59" s="414"/>
      <c r="PPQ59" s="414"/>
      <c r="PPR59" s="414"/>
      <c r="PPS59" s="414"/>
      <c r="PPT59" s="414"/>
      <c r="PPU59" s="414"/>
      <c r="PPV59" s="414"/>
      <c r="PPW59" s="414"/>
      <c r="PPX59" s="414"/>
      <c r="PPY59" s="414"/>
      <c r="PPZ59" s="414"/>
      <c r="PQA59" s="414"/>
      <c r="PQB59" s="414"/>
      <c r="PQC59" s="414"/>
      <c r="PQD59" s="414"/>
      <c r="PQE59" s="414"/>
      <c r="PQF59" s="414"/>
      <c r="PQG59" s="414"/>
      <c r="PQH59" s="414"/>
      <c r="PQI59" s="414"/>
      <c r="PQJ59" s="414"/>
      <c r="PQK59" s="414"/>
      <c r="PQL59" s="414"/>
      <c r="PQM59" s="414"/>
      <c r="PQN59" s="414"/>
      <c r="PQO59" s="414"/>
      <c r="PQP59" s="414"/>
      <c r="PQQ59" s="414"/>
      <c r="PQR59" s="414"/>
      <c r="PQS59" s="414"/>
      <c r="PQT59" s="414"/>
      <c r="PQU59" s="414"/>
      <c r="PQV59" s="414"/>
      <c r="PQW59" s="414"/>
      <c r="PQX59" s="414"/>
      <c r="PQY59" s="414"/>
      <c r="PQZ59" s="414"/>
      <c r="PRA59" s="414"/>
      <c r="PRB59" s="414"/>
      <c r="PRC59" s="414"/>
      <c r="PRD59" s="414"/>
      <c r="PRE59" s="414"/>
      <c r="PRF59" s="414"/>
      <c r="PRG59" s="414"/>
      <c r="PRH59" s="414"/>
      <c r="PRI59" s="414"/>
      <c r="PRJ59" s="414"/>
      <c r="PRK59" s="414"/>
      <c r="PRL59" s="414"/>
      <c r="PRM59" s="414"/>
      <c r="PRN59" s="414"/>
      <c r="PRO59" s="414"/>
      <c r="PRP59" s="414"/>
      <c r="PRQ59" s="414"/>
      <c r="PRR59" s="414"/>
      <c r="PRS59" s="414"/>
      <c r="PRT59" s="414"/>
      <c r="PRU59" s="414"/>
      <c r="PRV59" s="414"/>
      <c r="PRW59" s="414"/>
      <c r="PRX59" s="414"/>
      <c r="PRY59" s="414"/>
      <c r="PRZ59" s="414"/>
      <c r="PSA59" s="414"/>
      <c r="PSB59" s="414"/>
      <c r="PSC59" s="414"/>
      <c r="PSD59" s="414"/>
      <c r="PSE59" s="414"/>
      <c r="PSF59" s="414"/>
      <c r="PSG59" s="414"/>
      <c r="PSH59" s="414"/>
      <c r="PSI59" s="414"/>
      <c r="PSJ59" s="414"/>
      <c r="PSK59" s="414"/>
      <c r="PSL59" s="414"/>
      <c r="PSM59" s="414"/>
      <c r="PSN59" s="414"/>
      <c r="PSO59" s="414"/>
      <c r="PSP59" s="414"/>
      <c r="PSQ59" s="414"/>
      <c r="PSR59" s="414"/>
      <c r="PSS59" s="414"/>
      <c r="PST59" s="414"/>
      <c r="PSU59" s="414"/>
      <c r="PSV59" s="414"/>
      <c r="PSW59" s="414"/>
      <c r="PSX59" s="414"/>
      <c r="PSY59" s="414"/>
      <c r="PSZ59" s="414"/>
      <c r="PTA59" s="414"/>
      <c r="PTB59" s="414"/>
      <c r="PTC59" s="414"/>
      <c r="PTD59" s="414"/>
      <c r="PTE59" s="414"/>
      <c r="PTF59" s="414"/>
      <c r="PTG59" s="414"/>
      <c r="PTH59" s="414"/>
      <c r="PTI59" s="414"/>
      <c r="PTJ59" s="414"/>
      <c r="PTK59" s="414"/>
      <c r="PTL59" s="414"/>
      <c r="PTM59" s="414"/>
      <c r="PTN59" s="414"/>
      <c r="PTO59" s="414"/>
      <c r="PTP59" s="414"/>
      <c r="PTQ59" s="414"/>
      <c r="PTR59" s="414"/>
      <c r="PTS59" s="414"/>
      <c r="PTT59" s="414"/>
      <c r="PTU59" s="414"/>
      <c r="PTV59" s="414"/>
      <c r="PTW59" s="414"/>
      <c r="PTX59" s="414"/>
      <c r="PTY59" s="414"/>
      <c r="PTZ59" s="414"/>
      <c r="PUA59" s="414"/>
      <c r="PUB59" s="414"/>
      <c r="PUC59" s="414"/>
      <c r="PUD59" s="414"/>
      <c r="PUE59" s="414"/>
      <c r="PUF59" s="414"/>
      <c r="PUG59" s="414"/>
      <c r="PUH59" s="414"/>
      <c r="PUI59" s="414"/>
      <c r="PUJ59" s="414"/>
      <c r="PUK59" s="414"/>
      <c r="PUL59" s="414"/>
      <c r="PUM59" s="414"/>
      <c r="PUN59" s="414"/>
      <c r="PUO59" s="414"/>
      <c r="PUP59" s="414"/>
      <c r="PUQ59" s="414"/>
      <c r="PUR59" s="414"/>
      <c r="PUS59" s="414"/>
      <c r="PUT59" s="414"/>
      <c r="PUU59" s="414"/>
      <c r="PUV59" s="414"/>
      <c r="PUW59" s="414"/>
      <c r="PUX59" s="414"/>
      <c r="PUY59" s="414"/>
      <c r="PUZ59" s="414"/>
      <c r="PVA59" s="414"/>
      <c r="PVB59" s="414"/>
      <c r="PVC59" s="414"/>
      <c r="PVD59" s="414"/>
      <c r="PVE59" s="414"/>
      <c r="PVF59" s="414"/>
      <c r="PVG59" s="414"/>
      <c r="PVH59" s="414"/>
      <c r="PVI59" s="414"/>
      <c r="PVJ59" s="414"/>
      <c r="PVK59" s="414"/>
      <c r="PVL59" s="414"/>
      <c r="PVM59" s="414"/>
      <c r="PVN59" s="414"/>
      <c r="PVO59" s="414"/>
      <c r="PVP59" s="414"/>
      <c r="PVQ59" s="414"/>
      <c r="PVR59" s="414"/>
      <c r="PVS59" s="414"/>
      <c r="PVT59" s="414"/>
      <c r="PVU59" s="414"/>
      <c r="PVV59" s="414"/>
      <c r="PVW59" s="414"/>
      <c r="PVX59" s="414"/>
      <c r="PVY59" s="414"/>
      <c r="PVZ59" s="414"/>
      <c r="PWA59" s="414"/>
      <c r="PWB59" s="414"/>
      <c r="PWC59" s="414"/>
      <c r="PWD59" s="414"/>
      <c r="PWE59" s="414"/>
      <c r="PWF59" s="414"/>
      <c r="PWG59" s="414"/>
      <c r="PWH59" s="414"/>
      <c r="PWI59" s="414"/>
      <c r="PWJ59" s="414"/>
      <c r="PWK59" s="414"/>
      <c r="PWL59" s="414"/>
      <c r="PWM59" s="414"/>
      <c r="PWN59" s="414"/>
      <c r="PWO59" s="414"/>
      <c r="PWP59" s="414"/>
      <c r="PWQ59" s="414"/>
      <c r="PWR59" s="414"/>
      <c r="PWS59" s="414"/>
      <c r="PWT59" s="414"/>
      <c r="PWU59" s="414"/>
      <c r="PWV59" s="414"/>
      <c r="PWW59" s="414"/>
      <c r="PWX59" s="414"/>
      <c r="PWY59" s="414"/>
      <c r="PWZ59" s="414"/>
      <c r="PXA59" s="414"/>
      <c r="PXB59" s="414"/>
      <c r="PXC59" s="414"/>
      <c r="PXD59" s="414"/>
      <c r="PXE59" s="414"/>
      <c r="PXF59" s="414"/>
      <c r="PXG59" s="414"/>
      <c r="PXH59" s="414"/>
      <c r="PXI59" s="414"/>
      <c r="PXJ59" s="414"/>
      <c r="PXK59" s="414"/>
      <c r="PXL59" s="414"/>
      <c r="PXM59" s="414"/>
      <c r="PXN59" s="414"/>
      <c r="PXO59" s="414"/>
      <c r="PXP59" s="414"/>
      <c r="PXQ59" s="414"/>
      <c r="PXR59" s="414"/>
      <c r="PXS59" s="414"/>
      <c r="PXT59" s="414"/>
      <c r="PXU59" s="414"/>
      <c r="PXV59" s="414"/>
      <c r="PXW59" s="414"/>
      <c r="PXX59" s="414"/>
      <c r="PXY59" s="414"/>
      <c r="PXZ59" s="414"/>
      <c r="PYA59" s="414"/>
      <c r="PYB59" s="414"/>
      <c r="PYC59" s="414"/>
      <c r="PYD59" s="414"/>
      <c r="PYE59" s="414"/>
      <c r="PYF59" s="414"/>
      <c r="PYG59" s="414"/>
      <c r="PYH59" s="414"/>
      <c r="PYI59" s="414"/>
      <c r="PYJ59" s="414"/>
      <c r="PYK59" s="414"/>
      <c r="PYL59" s="414"/>
      <c r="PYM59" s="414"/>
      <c r="PYN59" s="414"/>
      <c r="PYO59" s="414"/>
      <c r="PYP59" s="414"/>
      <c r="PYQ59" s="414"/>
      <c r="PYR59" s="414"/>
      <c r="PYS59" s="414"/>
      <c r="PYT59" s="414"/>
      <c r="PYU59" s="414"/>
      <c r="PYV59" s="414"/>
      <c r="PYW59" s="414"/>
      <c r="PYX59" s="414"/>
      <c r="PYY59" s="414"/>
      <c r="PYZ59" s="414"/>
      <c r="PZA59" s="414"/>
      <c r="PZB59" s="414"/>
      <c r="PZC59" s="414"/>
      <c r="PZD59" s="414"/>
      <c r="PZE59" s="414"/>
      <c r="PZF59" s="414"/>
      <c r="PZG59" s="414"/>
      <c r="PZH59" s="414"/>
      <c r="PZI59" s="414"/>
      <c r="PZJ59" s="414"/>
      <c r="PZK59" s="414"/>
      <c r="PZL59" s="414"/>
      <c r="PZM59" s="414"/>
      <c r="PZN59" s="414"/>
      <c r="PZO59" s="414"/>
      <c r="PZP59" s="414"/>
      <c r="PZQ59" s="414"/>
      <c r="PZR59" s="414"/>
      <c r="PZS59" s="414"/>
      <c r="PZT59" s="414"/>
      <c r="PZU59" s="414"/>
      <c r="PZV59" s="414"/>
      <c r="PZW59" s="414"/>
      <c r="PZX59" s="414"/>
      <c r="PZY59" s="414"/>
      <c r="PZZ59" s="414"/>
      <c r="QAA59" s="414"/>
      <c r="QAB59" s="414"/>
      <c r="QAC59" s="414"/>
      <c r="QAD59" s="414"/>
      <c r="QAE59" s="414"/>
      <c r="QAF59" s="414"/>
      <c r="QAG59" s="414"/>
      <c r="QAH59" s="414"/>
      <c r="QAI59" s="414"/>
      <c r="QAJ59" s="414"/>
      <c r="QAK59" s="414"/>
      <c r="QAL59" s="414"/>
      <c r="QAM59" s="414"/>
      <c r="QAN59" s="414"/>
      <c r="QAO59" s="414"/>
      <c r="QAP59" s="414"/>
      <c r="QAQ59" s="414"/>
      <c r="QAR59" s="414"/>
      <c r="QAS59" s="414"/>
      <c r="QAT59" s="414"/>
      <c r="QAU59" s="414"/>
      <c r="QAV59" s="414"/>
      <c r="QAW59" s="414"/>
      <c r="QAX59" s="414"/>
      <c r="QAY59" s="414"/>
      <c r="QAZ59" s="414"/>
      <c r="QBA59" s="414"/>
      <c r="QBB59" s="414"/>
      <c r="QBC59" s="414"/>
      <c r="QBD59" s="414"/>
      <c r="QBE59" s="414"/>
      <c r="QBF59" s="414"/>
      <c r="QBG59" s="414"/>
      <c r="QBH59" s="414"/>
      <c r="QBI59" s="414"/>
      <c r="QBJ59" s="414"/>
      <c r="QBK59" s="414"/>
      <c r="QBL59" s="414"/>
      <c r="QBM59" s="414"/>
      <c r="QBN59" s="414"/>
      <c r="QBO59" s="414"/>
      <c r="QBP59" s="414"/>
      <c r="QBQ59" s="414"/>
      <c r="QBR59" s="414"/>
      <c r="QBS59" s="414"/>
      <c r="QBT59" s="414"/>
      <c r="QBU59" s="414"/>
      <c r="QBV59" s="414"/>
      <c r="QBW59" s="414"/>
      <c r="QBX59" s="414"/>
      <c r="QBY59" s="414"/>
      <c r="QBZ59" s="414"/>
      <c r="QCA59" s="414"/>
      <c r="QCB59" s="414"/>
      <c r="QCC59" s="414"/>
      <c r="QCD59" s="414"/>
      <c r="QCE59" s="414"/>
      <c r="QCF59" s="414"/>
      <c r="QCG59" s="414"/>
      <c r="QCH59" s="414"/>
      <c r="QCI59" s="414"/>
      <c r="QCJ59" s="414"/>
      <c r="QCK59" s="414"/>
      <c r="QCL59" s="414"/>
      <c r="QCM59" s="414"/>
      <c r="QCN59" s="414"/>
      <c r="QCO59" s="414"/>
      <c r="QCP59" s="414"/>
      <c r="QCQ59" s="414"/>
      <c r="QCR59" s="414"/>
      <c r="QCS59" s="414"/>
      <c r="QCT59" s="414"/>
      <c r="QCU59" s="414"/>
      <c r="QCV59" s="414"/>
      <c r="QCW59" s="414"/>
      <c r="QCX59" s="414"/>
      <c r="QCY59" s="414"/>
      <c r="QCZ59" s="414"/>
      <c r="QDA59" s="414"/>
      <c r="QDB59" s="414"/>
      <c r="QDC59" s="414"/>
      <c r="QDD59" s="414"/>
      <c r="QDE59" s="414"/>
      <c r="QDF59" s="414"/>
      <c r="QDG59" s="414"/>
      <c r="QDH59" s="414"/>
      <c r="QDI59" s="414"/>
      <c r="QDJ59" s="414"/>
      <c r="QDK59" s="414"/>
      <c r="QDL59" s="414"/>
      <c r="QDM59" s="414"/>
      <c r="QDN59" s="414"/>
      <c r="QDO59" s="414"/>
      <c r="QDP59" s="414"/>
      <c r="QDQ59" s="414"/>
      <c r="QDR59" s="414"/>
      <c r="QDS59" s="414"/>
      <c r="QDT59" s="414"/>
      <c r="QDU59" s="414"/>
      <c r="QDV59" s="414"/>
      <c r="QDW59" s="414"/>
      <c r="QDX59" s="414"/>
      <c r="QDY59" s="414"/>
      <c r="QDZ59" s="414"/>
      <c r="QEA59" s="414"/>
      <c r="QEB59" s="414"/>
      <c r="QEC59" s="414"/>
      <c r="QED59" s="414"/>
      <c r="QEE59" s="414"/>
      <c r="QEF59" s="414"/>
      <c r="QEG59" s="414"/>
      <c r="QEH59" s="414"/>
      <c r="QEI59" s="414"/>
      <c r="QEJ59" s="414"/>
      <c r="QEK59" s="414"/>
      <c r="QEL59" s="414"/>
      <c r="QEM59" s="414"/>
      <c r="QEN59" s="414"/>
      <c r="QEO59" s="414"/>
      <c r="QEP59" s="414"/>
      <c r="QEQ59" s="414"/>
      <c r="QER59" s="414"/>
      <c r="QES59" s="414"/>
      <c r="QET59" s="414"/>
      <c r="QEU59" s="414"/>
      <c r="QEV59" s="414"/>
      <c r="QEW59" s="414"/>
      <c r="QEX59" s="414"/>
      <c r="QEY59" s="414"/>
      <c r="QEZ59" s="414"/>
      <c r="QFA59" s="414"/>
      <c r="QFB59" s="414"/>
      <c r="QFC59" s="414"/>
      <c r="QFD59" s="414"/>
      <c r="QFE59" s="414"/>
      <c r="QFF59" s="414"/>
      <c r="QFG59" s="414"/>
      <c r="QFH59" s="414"/>
      <c r="QFI59" s="414"/>
      <c r="QFJ59" s="414"/>
      <c r="QFK59" s="414"/>
      <c r="QFL59" s="414"/>
      <c r="QFM59" s="414"/>
      <c r="QFN59" s="414"/>
      <c r="QFO59" s="414"/>
      <c r="QFP59" s="414"/>
      <c r="QFQ59" s="414"/>
      <c r="QFR59" s="414"/>
      <c r="QFS59" s="414"/>
      <c r="QFT59" s="414"/>
      <c r="QFU59" s="414"/>
      <c r="QFV59" s="414"/>
      <c r="QFW59" s="414"/>
      <c r="QFX59" s="414"/>
      <c r="QFY59" s="414"/>
      <c r="QFZ59" s="414"/>
      <c r="QGA59" s="414"/>
      <c r="QGB59" s="414"/>
      <c r="QGC59" s="414"/>
      <c r="QGD59" s="414"/>
      <c r="QGE59" s="414"/>
      <c r="QGF59" s="414"/>
      <c r="QGG59" s="414"/>
      <c r="QGH59" s="414"/>
      <c r="QGI59" s="414"/>
      <c r="QGJ59" s="414"/>
      <c r="QGK59" s="414"/>
      <c r="QGL59" s="414"/>
      <c r="QGM59" s="414"/>
      <c r="QGN59" s="414"/>
      <c r="QGO59" s="414"/>
      <c r="QGP59" s="414"/>
      <c r="QGQ59" s="414"/>
      <c r="QGR59" s="414"/>
      <c r="QGS59" s="414"/>
      <c r="QGT59" s="414"/>
      <c r="QGU59" s="414"/>
      <c r="QGV59" s="414"/>
      <c r="QGW59" s="414"/>
      <c r="QGX59" s="414"/>
      <c r="QGY59" s="414"/>
      <c r="QGZ59" s="414"/>
      <c r="QHA59" s="414"/>
      <c r="QHB59" s="414"/>
      <c r="QHC59" s="414"/>
      <c r="QHD59" s="414"/>
      <c r="QHE59" s="414"/>
      <c r="QHF59" s="414"/>
      <c r="QHG59" s="414"/>
      <c r="QHH59" s="414"/>
      <c r="QHI59" s="414"/>
      <c r="QHJ59" s="414"/>
      <c r="QHK59" s="414"/>
      <c r="QHL59" s="414"/>
      <c r="QHM59" s="414"/>
      <c r="QHN59" s="414"/>
      <c r="QHO59" s="414"/>
      <c r="QHP59" s="414"/>
      <c r="QHQ59" s="414"/>
      <c r="QHR59" s="414"/>
      <c r="QHS59" s="414"/>
      <c r="QHT59" s="414"/>
      <c r="QHU59" s="414"/>
      <c r="QHV59" s="414"/>
      <c r="QHW59" s="414"/>
      <c r="QHX59" s="414"/>
      <c r="QHY59" s="414"/>
      <c r="QHZ59" s="414"/>
      <c r="QIA59" s="414"/>
      <c r="QIB59" s="414"/>
      <c r="QIC59" s="414"/>
      <c r="QID59" s="414"/>
      <c r="QIE59" s="414"/>
      <c r="QIF59" s="414"/>
      <c r="QIG59" s="414"/>
      <c r="QIH59" s="414"/>
      <c r="QII59" s="414"/>
      <c r="QIJ59" s="414"/>
      <c r="QIK59" s="414"/>
      <c r="QIL59" s="414"/>
      <c r="QIM59" s="414"/>
      <c r="QIN59" s="414"/>
      <c r="QIO59" s="414"/>
      <c r="QIP59" s="414"/>
      <c r="QIQ59" s="414"/>
      <c r="QIR59" s="414"/>
      <c r="QIS59" s="414"/>
      <c r="QIT59" s="414"/>
      <c r="QIU59" s="414"/>
      <c r="QIV59" s="414"/>
      <c r="QIW59" s="414"/>
      <c r="QIX59" s="414"/>
      <c r="QIY59" s="414"/>
      <c r="QIZ59" s="414"/>
      <c r="QJA59" s="414"/>
      <c r="QJB59" s="414"/>
      <c r="QJC59" s="414"/>
      <c r="QJD59" s="414"/>
      <c r="QJE59" s="414"/>
      <c r="QJF59" s="414"/>
      <c r="QJG59" s="414"/>
      <c r="QJH59" s="414"/>
      <c r="QJI59" s="414"/>
      <c r="QJJ59" s="414"/>
      <c r="QJK59" s="414"/>
      <c r="QJL59" s="414"/>
      <c r="QJM59" s="414"/>
      <c r="QJN59" s="414"/>
      <c r="QJO59" s="414"/>
      <c r="QJP59" s="414"/>
      <c r="QJQ59" s="414"/>
      <c r="QJR59" s="414"/>
      <c r="QJS59" s="414"/>
      <c r="QJT59" s="414"/>
      <c r="QJU59" s="414"/>
      <c r="QJV59" s="414"/>
      <c r="QJW59" s="414"/>
      <c r="QJX59" s="414"/>
      <c r="QJY59" s="414"/>
      <c r="QJZ59" s="414"/>
      <c r="QKA59" s="414"/>
      <c r="QKB59" s="414"/>
      <c r="QKC59" s="414"/>
      <c r="QKD59" s="414"/>
      <c r="QKE59" s="414"/>
      <c r="QKF59" s="414"/>
      <c r="QKG59" s="414"/>
      <c r="QKH59" s="414"/>
      <c r="QKI59" s="414"/>
      <c r="QKJ59" s="414"/>
      <c r="QKK59" s="414"/>
      <c r="QKL59" s="414"/>
      <c r="QKM59" s="414"/>
      <c r="QKN59" s="414"/>
      <c r="QKO59" s="414"/>
      <c r="QKP59" s="414"/>
      <c r="QKQ59" s="414"/>
      <c r="QKR59" s="414"/>
      <c r="QKS59" s="414"/>
      <c r="QKT59" s="414"/>
      <c r="QKU59" s="414"/>
      <c r="QKV59" s="414"/>
      <c r="QKW59" s="414"/>
      <c r="QKX59" s="414"/>
      <c r="QKY59" s="414"/>
      <c r="QKZ59" s="414"/>
      <c r="QLA59" s="414"/>
      <c r="QLB59" s="414"/>
      <c r="QLC59" s="414"/>
      <c r="QLD59" s="414"/>
      <c r="QLE59" s="414"/>
      <c r="QLF59" s="414"/>
      <c r="QLG59" s="414"/>
      <c r="QLH59" s="414"/>
      <c r="QLI59" s="414"/>
      <c r="QLJ59" s="414"/>
      <c r="QLK59" s="414"/>
      <c r="QLL59" s="414"/>
      <c r="QLM59" s="414"/>
      <c r="QLN59" s="414"/>
      <c r="QLO59" s="414"/>
      <c r="QLP59" s="414"/>
      <c r="QLQ59" s="414"/>
      <c r="QLR59" s="414"/>
      <c r="QLS59" s="414"/>
      <c r="QLT59" s="414"/>
      <c r="QLU59" s="414"/>
      <c r="QLV59" s="414"/>
      <c r="QLW59" s="414"/>
      <c r="QLX59" s="414"/>
      <c r="QLY59" s="414"/>
      <c r="QLZ59" s="414"/>
      <c r="QMA59" s="414"/>
      <c r="QMB59" s="414"/>
      <c r="QMC59" s="414"/>
      <c r="QMD59" s="414"/>
      <c r="QME59" s="414"/>
      <c r="QMF59" s="414"/>
      <c r="QMG59" s="414"/>
      <c r="QMH59" s="414"/>
      <c r="QMI59" s="414"/>
      <c r="QMJ59" s="414"/>
      <c r="QMK59" s="414"/>
      <c r="QML59" s="414"/>
      <c r="QMM59" s="414"/>
      <c r="QMN59" s="414"/>
      <c r="QMO59" s="414"/>
      <c r="QMP59" s="414"/>
      <c r="QMQ59" s="414"/>
      <c r="QMR59" s="414"/>
      <c r="QMS59" s="414"/>
      <c r="QMT59" s="414"/>
      <c r="QMU59" s="414"/>
      <c r="QMV59" s="414"/>
      <c r="QMW59" s="414"/>
      <c r="QMX59" s="414"/>
      <c r="QMY59" s="414"/>
      <c r="QMZ59" s="414"/>
      <c r="QNA59" s="414"/>
      <c r="QNB59" s="414"/>
      <c r="QNC59" s="414"/>
      <c r="QND59" s="414"/>
      <c r="QNE59" s="414"/>
      <c r="QNF59" s="414"/>
      <c r="QNG59" s="414"/>
      <c r="QNH59" s="414"/>
      <c r="QNI59" s="414"/>
      <c r="QNJ59" s="414"/>
      <c r="QNK59" s="414"/>
      <c r="QNL59" s="414"/>
      <c r="QNM59" s="414"/>
      <c r="QNN59" s="414"/>
      <c r="QNO59" s="414"/>
      <c r="QNP59" s="414"/>
      <c r="QNQ59" s="414"/>
      <c r="QNR59" s="414"/>
      <c r="QNS59" s="414"/>
      <c r="QNT59" s="414"/>
      <c r="QNU59" s="414"/>
      <c r="QNV59" s="414"/>
      <c r="QNW59" s="414"/>
      <c r="QNX59" s="414"/>
      <c r="QNY59" s="414"/>
      <c r="QNZ59" s="414"/>
      <c r="QOA59" s="414"/>
      <c r="QOB59" s="414"/>
      <c r="QOC59" s="414"/>
      <c r="QOD59" s="414"/>
      <c r="QOE59" s="414"/>
      <c r="QOF59" s="414"/>
      <c r="QOG59" s="414"/>
      <c r="QOH59" s="414"/>
      <c r="QOI59" s="414"/>
      <c r="QOJ59" s="414"/>
      <c r="QOK59" s="414"/>
      <c r="QOL59" s="414"/>
      <c r="QOM59" s="414"/>
      <c r="QON59" s="414"/>
      <c r="QOO59" s="414"/>
      <c r="QOP59" s="414"/>
      <c r="QOQ59" s="414"/>
      <c r="QOR59" s="414"/>
      <c r="QOS59" s="414"/>
      <c r="QOT59" s="414"/>
      <c r="QOU59" s="414"/>
      <c r="QOV59" s="414"/>
      <c r="QOW59" s="414"/>
      <c r="QOX59" s="414"/>
      <c r="QOY59" s="414"/>
      <c r="QOZ59" s="414"/>
      <c r="QPA59" s="414"/>
      <c r="QPB59" s="414"/>
      <c r="QPC59" s="414"/>
      <c r="QPD59" s="414"/>
      <c r="QPE59" s="414"/>
      <c r="QPF59" s="414"/>
      <c r="QPG59" s="414"/>
      <c r="QPH59" s="414"/>
      <c r="QPI59" s="414"/>
      <c r="QPJ59" s="414"/>
      <c r="QPK59" s="414"/>
      <c r="QPL59" s="414"/>
      <c r="QPM59" s="414"/>
      <c r="QPN59" s="414"/>
      <c r="QPO59" s="414"/>
      <c r="QPP59" s="414"/>
      <c r="QPQ59" s="414"/>
      <c r="QPR59" s="414"/>
      <c r="QPS59" s="414"/>
      <c r="QPT59" s="414"/>
      <c r="QPU59" s="414"/>
      <c r="QPV59" s="414"/>
      <c r="QPW59" s="414"/>
      <c r="QPX59" s="414"/>
      <c r="QPY59" s="414"/>
      <c r="QPZ59" s="414"/>
      <c r="QQA59" s="414"/>
      <c r="QQB59" s="414"/>
      <c r="QQC59" s="414"/>
      <c r="QQD59" s="414"/>
      <c r="QQE59" s="414"/>
      <c r="QQF59" s="414"/>
      <c r="QQG59" s="414"/>
      <c r="QQH59" s="414"/>
      <c r="QQI59" s="414"/>
      <c r="QQJ59" s="414"/>
      <c r="QQK59" s="414"/>
      <c r="QQL59" s="414"/>
      <c r="QQM59" s="414"/>
      <c r="QQN59" s="414"/>
      <c r="QQO59" s="414"/>
      <c r="QQP59" s="414"/>
      <c r="QQQ59" s="414"/>
      <c r="QQR59" s="414"/>
      <c r="QQS59" s="414"/>
      <c r="QQT59" s="414"/>
      <c r="QQU59" s="414"/>
      <c r="QQV59" s="414"/>
      <c r="QQW59" s="414"/>
      <c r="QQX59" s="414"/>
      <c r="QQY59" s="414"/>
      <c r="QQZ59" s="414"/>
      <c r="QRA59" s="414"/>
      <c r="QRB59" s="414"/>
      <c r="QRC59" s="414"/>
      <c r="QRD59" s="414"/>
      <c r="QRE59" s="414"/>
      <c r="QRF59" s="414"/>
      <c r="QRG59" s="414"/>
      <c r="QRH59" s="414"/>
      <c r="QRI59" s="414"/>
      <c r="QRJ59" s="414"/>
      <c r="QRK59" s="414"/>
      <c r="QRL59" s="414"/>
      <c r="QRM59" s="414"/>
      <c r="QRN59" s="414"/>
      <c r="QRO59" s="414"/>
      <c r="QRP59" s="414"/>
      <c r="QRQ59" s="414"/>
      <c r="QRR59" s="414"/>
      <c r="QRS59" s="414"/>
      <c r="QRT59" s="414"/>
      <c r="QRU59" s="414"/>
      <c r="QRV59" s="414"/>
      <c r="QRW59" s="414"/>
      <c r="QRX59" s="414"/>
      <c r="QRY59" s="414"/>
      <c r="QRZ59" s="414"/>
      <c r="QSA59" s="414"/>
      <c r="QSB59" s="414"/>
      <c r="QSC59" s="414"/>
      <c r="QSD59" s="414"/>
      <c r="QSE59" s="414"/>
      <c r="QSF59" s="414"/>
      <c r="QSG59" s="414"/>
      <c r="QSH59" s="414"/>
      <c r="QSI59" s="414"/>
      <c r="QSJ59" s="414"/>
      <c r="QSK59" s="414"/>
      <c r="QSL59" s="414"/>
      <c r="QSM59" s="414"/>
      <c r="QSN59" s="414"/>
      <c r="QSO59" s="414"/>
      <c r="QSP59" s="414"/>
      <c r="QSQ59" s="414"/>
      <c r="QSR59" s="414"/>
      <c r="QSS59" s="414"/>
      <c r="QST59" s="414"/>
      <c r="QSU59" s="414"/>
      <c r="QSV59" s="414"/>
      <c r="QSW59" s="414"/>
      <c r="QSX59" s="414"/>
      <c r="QSY59" s="414"/>
      <c r="QSZ59" s="414"/>
      <c r="QTA59" s="414"/>
      <c r="QTB59" s="414"/>
      <c r="QTC59" s="414"/>
      <c r="QTD59" s="414"/>
      <c r="QTE59" s="414"/>
      <c r="QTF59" s="414"/>
      <c r="QTG59" s="414"/>
      <c r="QTH59" s="414"/>
      <c r="QTI59" s="414"/>
      <c r="QTJ59" s="414"/>
      <c r="QTK59" s="414"/>
      <c r="QTL59" s="414"/>
      <c r="QTM59" s="414"/>
      <c r="QTN59" s="414"/>
      <c r="QTO59" s="414"/>
      <c r="QTP59" s="414"/>
      <c r="QTQ59" s="414"/>
      <c r="QTR59" s="414"/>
      <c r="QTS59" s="414"/>
      <c r="QTT59" s="414"/>
      <c r="QTU59" s="414"/>
      <c r="QTV59" s="414"/>
      <c r="QTW59" s="414"/>
      <c r="QTX59" s="414"/>
      <c r="QTY59" s="414"/>
      <c r="QTZ59" s="414"/>
      <c r="QUA59" s="414"/>
      <c r="QUB59" s="414"/>
      <c r="QUC59" s="414"/>
      <c r="QUD59" s="414"/>
      <c r="QUE59" s="414"/>
      <c r="QUF59" s="414"/>
      <c r="QUG59" s="414"/>
      <c r="QUH59" s="414"/>
      <c r="QUI59" s="414"/>
      <c r="QUJ59" s="414"/>
      <c r="QUK59" s="414"/>
      <c r="QUL59" s="414"/>
      <c r="QUM59" s="414"/>
      <c r="QUN59" s="414"/>
      <c r="QUO59" s="414"/>
      <c r="QUP59" s="414"/>
      <c r="QUQ59" s="414"/>
      <c r="QUR59" s="414"/>
      <c r="QUS59" s="414"/>
      <c r="QUT59" s="414"/>
      <c r="QUU59" s="414"/>
      <c r="QUV59" s="414"/>
      <c r="QUW59" s="414"/>
      <c r="QUX59" s="414"/>
      <c r="QUY59" s="414"/>
      <c r="QUZ59" s="414"/>
      <c r="QVA59" s="414"/>
      <c r="QVB59" s="414"/>
      <c r="QVC59" s="414"/>
      <c r="QVD59" s="414"/>
      <c r="QVE59" s="414"/>
      <c r="QVF59" s="414"/>
      <c r="QVG59" s="414"/>
      <c r="QVH59" s="414"/>
      <c r="QVI59" s="414"/>
      <c r="QVJ59" s="414"/>
      <c r="QVK59" s="414"/>
      <c r="QVL59" s="414"/>
      <c r="QVM59" s="414"/>
      <c r="QVN59" s="414"/>
      <c r="QVO59" s="414"/>
      <c r="QVP59" s="414"/>
      <c r="QVQ59" s="414"/>
      <c r="QVR59" s="414"/>
      <c r="QVS59" s="414"/>
      <c r="QVT59" s="414"/>
      <c r="QVU59" s="414"/>
      <c r="QVV59" s="414"/>
      <c r="QVW59" s="414"/>
      <c r="QVX59" s="414"/>
      <c r="QVY59" s="414"/>
      <c r="QVZ59" s="414"/>
      <c r="QWA59" s="414"/>
      <c r="QWB59" s="414"/>
      <c r="QWC59" s="414"/>
      <c r="QWD59" s="414"/>
      <c r="QWE59" s="414"/>
      <c r="QWF59" s="414"/>
      <c r="QWG59" s="414"/>
      <c r="QWH59" s="414"/>
      <c r="QWI59" s="414"/>
      <c r="QWJ59" s="414"/>
      <c r="QWK59" s="414"/>
      <c r="QWL59" s="414"/>
      <c r="QWM59" s="414"/>
      <c r="QWN59" s="414"/>
      <c r="QWO59" s="414"/>
      <c r="QWP59" s="414"/>
      <c r="QWQ59" s="414"/>
      <c r="QWR59" s="414"/>
      <c r="QWS59" s="414"/>
      <c r="QWT59" s="414"/>
      <c r="QWU59" s="414"/>
      <c r="QWV59" s="414"/>
      <c r="QWW59" s="414"/>
      <c r="QWX59" s="414"/>
      <c r="QWY59" s="414"/>
      <c r="QWZ59" s="414"/>
      <c r="QXA59" s="414"/>
      <c r="QXB59" s="414"/>
      <c r="QXC59" s="414"/>
      <c r="QXD59" s="414"/>
      <c r="QXE59" s="414"/>
      <c r="QXF59" s="414"/>
      <c r="QXG59" s="414"/>
      <c r="QXH59" s="414"/>
      <c r="QXI59" s="414"/>
      <c r="QXJ59" s="414"/>
      <c r="QXK59" s="414"/>
      <c r="QXL59" s="414"/>
      <c r="QXM59" s="414"/>
      <c r="QXN59" s="414"/>
      <c r="QXO59" s="414"/>
      <c r="QXP59" s="414"/>
      <c r="QXQ59" s="414"/>
      <c r="QXR59" s="414"/>
      <c r="QXS59" s="414"/>
      <c r="QXT59" s="414"/>
      <c r="QXU59" s="414"/>
      <c r="QXV59" s="414"/>
      <c r="QXW59" s="414"/>
      <c r="QXX59" s="414"/>
      <c r="QXY59" s="414"/>
      <c r="QXZ59" s="414"/>
      <c r="QYA59" s="414"/>
      <c r="QYB59" s="414"/>
      <c r="QYC59" s="414"/>
      <c r="QYD59" s="414"/>
      <c r="QYE59" s="414"/>
      <c r="QYF59" s="414"/>
      <c r="QYG59" s="414"/>
      <c r="QYH59" s="414"/>
      <c r="QYI59" s="414"/>
      <c r="QYJ59" s="414"/>
      <c r="QYK59" s="414"/>
      <c r="QYL59" s="414"/>
      <c r="QYM59" s="414"/>
      <c r="QYN59" s="414"/>
      <c r="QYO59" s="414"/>
      <c r="QYP59" s="414"/>
      <c r="QYQ59" s="414"/>
      <c r="QYR59" s="414"/>
      <c r="QYS59" s="414"/>
      <c r="QYT59" s="414"/>
      <c r="QYU59" s="414"/>
      <c r="QYV59" s="414"/>
      <c r="QYW59" s="414"/>
      <c r="QYX59" s="414"/>
      <c r="QYY59" s="414"/>
      <c r="QYZ59" s="414"/>
      <c r="QZA59" s="414"/>
      <c r="QZB59" s="414"/>
      <c r="QZC59" s="414"/>
      <c r="QZD59" s="414"/>
      <c r="QZE59" s="414"/>
      <c r="QZF59" s="414"/>
      <c r="QZG59" s="414"/>
      <c r="QZH59" s="414"/>
      <c r="QZI59" s="414"/>
      <c r="QZJ59" s="414"/>
      <c r="QZK59" s="414"/>
      <c r="QZL59" s="414"/>
      <c r="QZM59" s="414"/>
      <c r="QZN59" s="414"/>
      <c r="QZO59" s="414"/>
      <c r="QZP59" s="414"/>
      <c r="QZQ59" s="414"/>
      <c r="QZR59" s="414"/>
      <c r="QZS59" s="414"/>
      <c r="QZT59" s="414"/>
      <c r="QZU59" s="414"/>
      <c r="QZV59" s="414"/>
      <c r="QZW59" s="414"/>
      <c r="QZX59" s="414"/>
      <c r="QZY59" s="414"/>
      <c r="QZZ59" s="414"/>
      <c r="RAA59" s="414"/>
      <c r="RAB59" s="414"/>
      <c r="RAC59" s="414"/>
      <c r="RAD59" s="414"/>
      <c r="RAE59" s="414"/>
      <c r="RAF59" s="414"/>
      <c r="RAG59" s="414"/>
      <c r="RAH59" s="414"/>
      <c r="RAI59" s="414"/>
      <c r="RAJ59" s="414"/>
      <c r="RAK59" s="414"/>
      <c r="RAL59" s="414"/>
      <c r="RAM59" s="414"/>
      <c r="RAN59" s="414"/>
      <c r="RAO59" s="414"/>
      <c r="RAP59" s="414"/>
      <c r="RAQ59" s="414"/>
      <c r="RAR59" s="414"/>
      <c r="RAS59" s="414"/>
      <c r="RAT59" s="414"/>
      <c r="RAU59" s="414"/>
      <c r="RAV59" s="414"/>
      <c r="RAW59" s="414"/>
      <c r="RAX59" s="414"/>
      <c r="RAY59" s="414"/>
      <c r="RAZ59" s="414"/>
      <c r="RBA59" s="414"/>
      <c r="RBB59" s="414"/>
      <c r="RBC59" s="414"/>
      <c r="RBD59" s="414"/>
      <c r="RBE59" s="414"/>
      <c r="RBF59" s="414"/>
      <c r="RBG59" s="414"/>
      <c r="RBH59" s="414"/>
      <c r="RBI59" s="414"/>
      <c r="RBJ59" s="414"/>
      <c r="RBK59" s="414"/>
      <c r="RBL59" s="414"/>
      <c r="RBM59" s="414"/>
      <c r="RBN59" s="414"/>
      <c r="RBO59" s="414"/>
      <c r="RBP59" s="414"/>
      <c r="RBQ59" s="414"/>
      <c r="RBR59" s="414"/>
      <c r="RBS59" s="414"/>
      <c r="RBT59" s="414"/>
      <c r="RBU59" s="414"/>
      <c r="RBV59" s="414"/>
      <c r="RBW59" s="414"/>
      <c r="RBX59" s="414"/>
      <c r="RBY59" s="414"/>
      <c r="RBZ59" s="414"/>
      <c r="RCA59" s="414"/>
      <c r="RCB59" s="414"/>
      <c r="RCC59" s="414"/>
      <c r="RCD59" s="414"/>
      <c r="RCE59" s="414"/>
      <c r="RCF59" s="414"/>
      <c r="RCG59" s="414"/>
      <c r="RCH59" s="414"/>
      <c r="RCI59" s="414"/>
      <c r="RCJ59" s="414"/>
      <c r="RCK59" s="414"/>
      <c r="RCL59" s="414"/>
      <c r="RCM59" s="414"/>
      <c r="RCN59" s="414"/>
      <c r="RCO59" s="414"/>
      <c r="RCP59" s="414"/>
      <c r="RCQ59" s="414"/>
      <c r="RCR59" s="414"/>
      <c r="RCS59" s="414"/>
      <c r="RCT59" s="414"/>
      <c r="RCU59" s="414"/>
      <c r="RCV59" s="414"/>
      <c r="RCW59" s="414"/>
      <c r="RCX59" s="414"/>
      <c r="RCY59" s="414"/>
      <c r="RCZ59" s="414"/>
      <c r="RDA59" s="414"/>
      <c r="RDB59" s="414"/>
      <c r="RDC59" s="414"/>
      <c r="RDD59" s="414"/>
      <c r="RDE59" s="414"/>
      <c r="RDF59" s="414"/>
      <c r="RDG59" s="414"/>
      <c r="RDH59" s="414"/>
      <c r="RDI59" s="414"/>
      <c r="RDJ59" s="414"/>
      <c r="RDK59" s="414"/>
      <c r="RDL59" s="414"/>
      <c r="RDM59" s="414"/>
      <c r="RDN59" s="414"/>
      <c r="RDO59" s="414"/>
      <c r="RDP59" s="414"/>
      <c r="RDQ59" s="414"/>
      <c r="RDR59" s="414"/>
      <c r="RDS59" s="414"/>
      <c r="RDT59" s="414"/>
      <c r="RDU59" s="414"/>
      <c r="RDV59" s="414"/>
      <c r="RDW59" s="414"/>
      <c r="RDX59" s="414"/>
      <c r="RDY59" s="414"/>
      <c r="RDZ59" s="414"/>
      <c r="REA59" s="414"/>
      <c r="REB59" s="414"/>
      <c r="REC59" s="414"/>
      <c r="RED59" s="414"/>
      <c r="REE59" s="414"/>
      <c r="REF59" s="414"/>
      <c r="REG59" s="414"/>
      <c r="REH59" s="414"/>
      <c r="REI59" s="414"/>
      <c r="REJ59" s="414"/>
      <c r="REK59" s="414"/>
      <c r="REL59" s="414"/>
      <c r="REM59" s="414"/>
      <c r="REN59" s="414"/>
      <c r="REO59" s="414"/>
      <c r="REP59" s="414"/>
      <c r="REQ59" s="414"/>
      <c r="RER59" s="414"/>
      <c r="RES59" s="414"/>
      <c r="RET59" s="414"/>
      <c r="REU59" s="414"/>
      <c r="REV59" s="414"/>
      <c r="REW59" s="414"/>
      <c r="REX59" s="414"/>
      <c r="REY59" s="414"/>
      <c r="REZ59" s="414"/>
      <c r="RFA59" s="414"/>
      <c r="RFB59" s="414"/>
      <c r="RFC59" s="414"/>
      <c r="RFD59" s="414"/>
      <c r="RFE59" s="414"/>
      <c r="RFF59" s="414"/>
      <c r="RFG59" s="414"/>
      <c r="RFH59" s="414"/>
      <c r="RFI59" s="414"/>
      <c r="RFJ59" s="414"/>
      <c r="RFK59" s="414"/>
      <c r="RFL59" s="414"/>
      <c r="RFM59" s="414"/>
      <c r="RFN59" s="414"/>
      <c r="RFO59" s="414"/>
      <c r="RFP59" s="414"/>
      <c r="RFQ59" s="414"/>
      <c r="RFR59" s="414"/>
      <c r="RFS59" s="414"/>
      <c r="RFT59" s="414"/>
      <c r="RFU59" s="414"/>
      <c r="RFV59" s="414"/>
      <c r="RFW59" s="414"/>
      <c r="RFX59" s="414"/>
      <c r="RFY59" s="414"/>
      <c r="RFZ59" s="414"/>
      <c r="RGA59" s="414"/>
      <c r="RGB59" s="414"/>
      <c r="RGC59" s="414"/>
      <c r="RGD59" s="414"/>
      <c r="RGE59" s="414"/>
      <c r="RGF59" s="414"/>
      <c r="RGG59" s="414"/>
      <c r="RGH59" s="414"/>
      <c r="RGI59" s="414"/>
      <c r="RGJ59" s="414"/>
      <c r="RGK59" s="414"/>
      <c r="RGL59" s="414"/>
      <c r="RGM59" s="414"/>
      <c r="RGN59" s="414"/>
      <c r="RGO59" s="414"/>
      <c r="RGP59" s="414"/>
      <c r="RGQ59" s="414"/>
      <c r="RGR59" s="414"/>
      <c r="RGS59" s="414"/>
      <c r="RGT59" s="414"/>
      <c r="RGU59" s="414"/>
      <c r="RGV59" s="414"/>
      <c r="RGW59" s="414"/>
      <c r="RGX59" s="414"/>
      <c r="RGY59" s="414"/>
      <c r="RGZ59" s="414"/>
      <c r="RHA59" s="414"/>
      <c r="RHB59" s="414"/>
      <c r="RHC59" s="414"/>
      <c r="RHD59" s="414"/>
      <c r="RHE59" s="414"/>
      <c r="RHF59" s="414"/>
      <c r="RHG59" s="414"/>
      <c r="RHH59" s="414"/>
      <c r="RHI59" s="414"/>
      <c r="RHJ59" s="414"/>
      <c r="RHK59" s="414"/>
      <c r="RHL59" s="414"/>
      <c r="RHM59" s="414"/>
      <c r="RHN59" s="414"/>
      <c r="RHO59" s="414"/>
      <c r="RHP59" s="414"/>
      <c r="RHQ59" s="414"/>
      <c r="RHR59" s="414"/>
      <c r="RHS59" s="414"/>
      <c r="RHT59" s="414"/>
      <c r="RHU59" s="414"/>
      <c r="RHV59" s="414"/>
      <c r="RHW59" s="414"/>
      <c r="RHX59" s="414"/>
      <c r="RHY59" s="414"/>
      <c r="RHZ59" s="414"/>
      <c r="RIA59" s="414"/>
      <c r="RIB59" s="414"/>
      <c r="RIC59" s="414"/>
      <c r="RID59" s="414"/>
      <c r="RIE59" s="414"/>
      <c r="RIF59" s="414"/>
      <c r="RIG59" s="414"/>
      <c r="RIH59" s="414"/>
      <c r="RII59" s="414"/>
      <c r="RIJ59" s="414"/>
      <c r="RIK59" s="414"/>
      <c r="RIL59" s="414"/>
      <c r="RIM59" s="414"/>
      <c r="RIN59" s="414"/>
      <c r="RIO59" s="414"/>
      <c r="RIP59" s="414"/>
      <c r="RIQ59" s="414"/>
      <c r="RIR59" s="414"/>
      <c r="RIS59" s="414"/>
      <c r="RIT59" s="414"/>
      <c r="RIU59" s="414"/>
      <c r="RIV59" s="414"/>
      <c r="RIW59" s="414"/>
      <c r="RIX59" s="414"/>
      <c r="RIY59" s="414"/>
      <c r="RIZ59" s="414"/>
      <c r="RJA59" s="414"/>
      <c r="RJB59" s="414"/>
      <c r="RJC59" s="414"/>
      <c r="RJD59" s="414"/>
      <c r="RJE59" s="414"/>
      <c r="RJF59" s="414"/>
      <c r="RJG59" s="414"/>
      <c r="RJH59" s="414"/>
      <c r="RJI59" s="414"/>
      <c r="RJJ59" s="414"/>
      <c r="RJK59" s="414"/>
      <c r="RJL59" s="414"/>
      <c r="RJM59" s="414"/>
      <c r="RJN59" s="414"/>
      <c r="RJO59" s="414"/>
      <c r="RJP59" s="414"/>
      <c r="RJQ59" s="414"/>
      <c r="RJR59" s="414"/>
      <c r="RJS59" s="414"/>
      <c r="RJT59" s="414"/>
      <c r="RJU59" s="414"/>
      <c r="RJV59" s="414"/>
      <c r="RJW59" s="414"/>
      <c r="RJX59" s="414"/>
      <c r="RJY59" s="414"/>
      <c r="RJZ59" s="414"/>
      <c r="RKA59" s="414"/>
      <c r="RKB59" s="414"/>
      <c r="RKC59" s="414"/>
      <c r="RKD59" s="414"/>
      <c r="RKE59" s="414"/>
      <c r="RKF59" s="414"/>
      <c r="RKG59" s="414"/>
      <c r="RKH59" s="414"/>
      <c r="RKI59" s="414"/>
      <c r="RKJ59" s="414"/>
      <c r="RKK59" s="414"/>
      <c r="RKL59" s="414"/>
      <c r="RKM59" s="414"/>
      <c r="RKN59" s="414"/>
      <c r="RKO59" s="414"/>
      <c r="RKP59" s="414"/>
      <c r="RKQ59" s="414"/>
      <c r="RKR59" s="414"/>
      <c r="RKS59" s="414"/>
      <c r="RKT59" s="414"/>
      <c r="RKU59" s="414"/>
      <c r="RKV59" s="414"/>
      <c r="RKW59" s="414"/>
      <c r="RKX59" s="414"/>
      <c r="RKY59" s="414"/>
      <c r="RKZ59" s="414"/>
      <c r="RLA59" s="414"/>
      <c r="RLB59" s="414"/>
      <c r="RLC59" s="414"/>
      <c r="RLD59" s="414"/>
      <c r="RLE59" s="414"/>
      <c r="RLF59" s="414"/>
      <c r="RLG59" s="414"/>
      <c r="RLH59" s="414"/>
      <c r="RLI59" s="414"/>
      <c r="RLJ59" s="414"/>
      <c r="RLK59" s="414"/>
      <c r="RLL59" s="414"/>
      <c r="RLM59" s="414"/>
      <c r="RLN59" s="414"/>
      <c r="RLO59" s="414"/>
      <c r="RLP59" s="414"/>
      <c r="RLQ59" s="414"/>
      <c r="RLR59" s="414"/>
      <c r="RLS59" s="414"/>
      <c r="RLT59" s="414"/>
      <c r="RLU59" s="414"/>
      <c r="RLV59" s="414"/>
      <c r="RLW59" s="414"/>
      <c r="RLX59" s="414"/>
      <c r="RLY59" s="414"/>
      <c r="RLZ59" s="414"/>
      <c r="RMA59" s="414"/>
      <c r="RMB59" s="414"/>
      <c r="RMC59" s="414"/>
      <c r="RMD59" s="414"/>
      <c r="RME59" s="414"/>
      <c r="RMF59" s="414"/>
      <c r="RMG59" s="414"/>
      <c r="RMH59" s="414"/>
      <c r="RMI59" s="414"/>
      <c r="RMJ59" s="414"/>
      <c r="RMK59" s="414"/>
      <c r="RML59" s="414"/>
      <c r="RMM59" s="414"/>
      <c r="RMN59" s="414"/>
      <c r="RMO59" s="414"/>
      <c r="RMP59" s="414"/>
      <c r="RMQ59" s="414"/>
      <c r="RMR59" s="414"/>
      <c r="RMS59" s="414"/>
      <c r="RMT59" s="414"/>
      <c r="RMU59" s="414"/>
      <c r="RMV59" s="414"/>
      <c r="RMW59" s="414"/>
      <c r="RMX59" s="414"/>
      <c r="RMY59" s="414"/>
      <c r="RMZ59" s="414"/>
      <c r="RNA59" s="414"/>
      <c r="RNB59" s="414"/>
      <c r="RNC59" s="414"/>
      <c r="RND59" s="414"/>
      <c r="RNE59" s="414"/>
      <c r="RNF59" s="414"/>
      <c r="RNG59" s="414"/>
      <c r="RNH59" s="414"/>
      <c r="RNI59" s="414"/>
      <c r="RNJ59" s="414"/>
      <c r="RNK59" s="414"/>
      <c r="RNL59" s="414"/>
      <c r="RNM59" s="414"/>
      <c r="RNN59" s="414"/>
      <c r="RNO59" s="414"/>
      <c r="RNP59" s="414"/>
      <c r="RNQ59" s="414"/>
      <c r="RNR59" s="414"/>
      <c r="RNS59" s="414"/>
      <c r="RNT59" s="414"/>
      <c r="RNU59" s="414"/>
      <c r="RNV59" s="414"/>
      <c r="RNW59" s="414"/>
      <c r="RNX59" s="414"/>
      <c r="RNY59" s="414"/>
      <c r="RNZ59" s="414"/>
      <c r="ROA59" s="414"/>
      <c r="ROB59" s="414"/>
      <c r="ROC59" s="414"/>
      <c r="ROD59" s="414"/>
      <c r="ROE59" s="414"/>
      <c r="ROF59" s="414"/>
      <c r="ROG59" s="414"/>
      <c r="ROH59" s="414"/>
      <c r="ROI59" s="414"/>
      <c r="ROJ59" s="414"/>
      <c r="ROK59" s="414"/>
      <c r="ROL59" s="414"/>
      <c r="ROM59" s="414"/>
      <c r="RON59" s="414"/>
      <c r="ROO59" s="414"/>
      <c r="ROP59" s="414"/>
      <c r="ROQ59" s="414"/>
      <c r="ROR59" s="414"/>
      <c r="ROS59" s="414"/>
      <c r="ROT59" s="414"/>
      <c r="ROU59" s="414"/>
      <c r="ROV59" s="414"/>
      <c r="ROW59" s="414"/>
      <c r="ROX59" s="414"/>
      <c r="ROY59" s="414"/>
      <c r="ROZ59" s="414"/>
      <c r="RPA59" s="414"/>
      <c r="RPB59" s="414"/>
      <c r="RPC59" s="414"/>
      <c r="RPD59" s="414"/>
      <c r="RPE59" s="414"/>
      <c r="RPF59" s="414"/>
      <c r="RPG59" s="414"/>
      <c r="RPH59" s="414"/>
      <c r="RPI59" s="414"/>
      <c r="RPJ59" s="414"/>
      <c r="RPK59" s="414"/>
      <c r="RPL59" s="414"/>
      <c r="RPM59" s="414"/>
      <c r="RPN59" s="414"/>
      <c r="RPO59" s="414"/>
      <c r="RPP59" s="414"/>
      <c r="RPQ59" s="414"/>
      <c r="RPR59" s="414"/>
      <c r="RPS59" s="414"/>
      <c r="RPT59" s="414"/>
      <c r="RPU59" s="414"/>
      <c r="RPV59" s="414"/>
      <c r="RPW59" s="414"/>
      <c r="RPX59" s="414"/>
      <c r="RPY59" s="414"/>
      <c r="RPZ59" s="414"/>
      <c r="RQA59" s="414"/>
      <c r="RQB59" s="414"/>
      <c r="RQC59" s="414"/>
      <c r="RQD59" s="414"/>
      <c r="RQE59" s="414"/>
      <c r="RQF59" s="414"/>
      <c r="RQG59" s="414"/>
      <c r="RQH59" s="414"/>
      <c r="RQI59" s="414"/>
      <c r="RQJ59" s="414"/>
      <c r="RQK59" s="414"/>
      <c r="RQL59" s="414"/>
      <c r="RQM59" s="414"/>
      <c r="RQN59" s="414"/>
      <c r="RQO59" s="414"/>
      <c r="RQP59" s="414"/>
      <c r="RQQ59" s="414"/>
      <c r="RQR59" s="414"/>
      <c r="RQS59" s="414"/>
      <c r="RQT59" s="414"/>
      <c r="RQU59" s="414"/>
      <c r="RQV59" s="414"/>
      <c r="RQW59" s="414"/>
      <c r="RQX59" s="414"/>
      <c r="RQY59" s="414"/>
      <c r="RQZ59" s="414"/>
      <c r="RRA59" s="414"/>
      <c r="RRB59" s="414"/>
      <c r="RRC59" s="414"/>
      <c r="RRD59" s="414"/>
      <c r="RRE59" s="414"/>
      <c r="RRF59" s="414"/>
      <c r="RRG59" s="414"/>
      <c r="RRH59" s="414"/>
      <c r="RRI59" s="414"/>
      <c r="RRJ59" s="414"/>
      <c r="RRK59" s="414"/>
      <c r="RRL59" s="414"/>
      <c r="RRM59" s="414"/>
      <c r="RRN59" s="414"/>
      <c r="RRO59" s="414"/>
      <c r="RRP59" s="414"/>
      <c r="RRQ59" s="414"/>
      <c r="RRR59" s="414"/>
      <c r="RRS59" s="414"/>
      <c r="RRT59" s="414"/>
      <c r="RRU59" s="414"/>
      <c r="RRV59" s="414"/>
      <c r="RRW59" s="414"/>
      <c r="RRX59" s="414"/>
      <c r="RRY59" s="414"/>
      <c r="RRZ59" s="414"/>
      <c r="RSA59" s="414"/>
      <c r="RSB59" s="414"/>
      <c r="RSC59" s="414"/>
      <c r="RSD59" s="414"/>
      <c r="RSE59" s="414"/>
      <c r="RSF59" s="414"/>
      <c r="RSG59" s="414"/>
      <c r="RSH59" s="414"/>
      <c r="RSI59" s="414"/>
      <c r="RSJ59" s="414"/>
      <c r="RSK59" s="414"/>
      <c r="RSL59" s="414"/>
      <c r="RSM59" s="414"/>
      <c r="RSN59" s="414"/>
      <c r="RSO59" s="414"/>
      <c r="RSP59" s="414"/>
      <c r="RSQ59" s="414"/>
      <c r="RSR59" s="414"/>
      <c r="RSS59" s="414"/>
      <c r="RST59" s="414"/>
      <c r="RSU59" s="414"/>
      <c r="RSV59" s="414"/>
      <c r="RSW59" s="414"/>
      <c r="RSX59" s="414"/>
      <c r="RSY59" s="414"/>
      <c r="RSZ59" s="414"/>
      <c r="RTA59" s="414"/>
      <c r="RTB59" s="414"/>
      <c r="RTC59" s="414"/>
      <c r="RTD59" s="414"/>
      <c r="RTE59" s="414"/>
      <c r="RTF59" s="414"/>
      <c r="RTG59" s="414"/>
      <c r="RTH59" s="414"/>
      <c r="RTI59" s="414"/>
      <c r="RTJ59" s="414"/>
      <c r="RTK59" s="414"/>
      <c r="RTL59" s="414"/>
      <c r="RTM59" s="414"/>
      <c r="RTN59" s="414"/>
      <c r="RTO59" s="414"/>
      <c r="RTP59" s="414"/>
      <c r="RTQ59" s="414"/>
      <c r="RTR59" s="414"/>
      <c r="RTS59" s="414"/>
      <c r="RTT59" s="414"/>
      <c r="RTU59" s="414"/>
      <c r="RTV59" s="414"/>
      <c r="RTW59" s="414"/>
      <c r="RTX59" s="414"/>
      <c r="RTY59" s="414"/>
      <c r="RTZ59" s="414"/>
      <c r="RUA59" s="414"/>
      <c r="RUB59" s="414"/>
      <c r="RUC59" s="414"/>
      <c r="RUD59" s="414"/>
      <c r="RUE59" s="414"/>
      <c r="RUF59" s="414"/>
      <c r="RUG59" s="414"/>
      <c r="RUH59" s="414"/>
      <c r="RUI59" s="414"/>
      <c r="RUJ59" s="414"/>
      <c r="RUK59" s="414"/>
      <c r="RUL59" s="414"/>
      <c r="RUM59" s="414"/>
      <c r="RUN59" s="414"/>
      <c r="RUO59" s="414"/>
      <c r="RUP59" s="414"/>
      <c r="RUQ59" s="414"/>
      <c r="RUR59" s="414"/>
      <c r="RUS59" s="414"/>
      <c r="RUT59" s="414"/>
      <c r="RUU59" s="414"/>
      <c r="RUV59" s="414"/>
      <c r="RUW59" s="414"/>
      <c r="RUX59" s="414"/>
      <c r="RUY59" s="414"/>
      <c r="RUZ59" s="414"/>
      <c r="RVA59" s="414"/>
      <c r="RVB59" s="414"/>
      <c r="RVC59" s="414"/>
      <c r="RVD59" s="414"/>
      <c r="RVE59" s="414"/>
      <c r="RVF59" s="414"/>
      <c r="RVG59" s="414"/>
      <c r="RVH59" s="414"/>
      <c r="RVI59" s="414"/>
      <c r="RVJ59" s="414"/>
      <c r="RVK59" s="414"/>
      <c r="RVL59" s="414"/>
      <c r="RVM59" s="414"/>
      <c r="RVN59" s="414"/>
      <c r="RVO59" s="414"/>
      <c r="RVP59" s="414"/>
      <c r="RVQ59" s="414"/>
      <c r="RVR59" s="414"/>
      <c r="RVS59" s="414"/>
      <c r="RVT59" s="414"/>
      <c r="RVU59" s="414"/>
      <c r="RVV59" s="414"/>
      <c r="RVW59" s="414"/>
      <c r="RVX59" s="414"/>
      <c r="RVY59" s="414"/>
      <c r="RVZ59" s="414"/>
      <c r="RWA59" s="414"/>
      <c r="RWB59" s="414"/>
      <c r="RWC59" s="414"/>
      <c r="RWD59" s="414"/>
      <c r="RWE59" s="414"/>
      <c r="RWF59" s="414"/>
      <c r="RWG59" s="414"/>
      <c r="RWH59" s="414"/>
      <c r="RWI59" s="414"/>
      <c r="RWJ59" s="414"/>
      <c r="RWK59" s="414"/>
      <c r="RWL59" s="414"/>
      <c r="RWM59" s="414"/>
      <c r="RWN59" s="414"/>
      <c r="RWO59" s="414"/>
      <c r="RWP59" s="414"/>
      <c r="RWQ59" s="414"/>
      <c r="RWR59" s="414"/>
      <c r="RWS59" s="414"/>
      <c r="RWT59" s="414"/>
      <c r="RWU59" s="414"/>
      <c r="RWV59" s="414"/>
      <c r="RWW59" s="414"/>
      <c r="RWX59" s="414"/>
      <c r="RWY59" s="414"/>
      <c r="RWZ59" s="414"/>
      <c r="RXA59" s="414"/>
      <c r="RXB59" s="414"/>
      <c r="RXC59" s="414"/>
      <c r="RXD59" s="414"/>
      <c r="RXE59" s="414"/>
      <c r="RXF59" s="414"/>
      <c r="RXG59" s="414"/>
      <c r="RXH59" s="414"/>
      <c r="RXI59" s="414"/>
      <c r="RXJ59" s="414"/>
      <c r="RXK59" s="414"/>
      <c r="RXL59" s="414"/>
      <c r="RXM59" s="414"/>
      <c r="RXN59" s="414"/>
      <c r="RXO59" s="414"/>
      <c r="RXP59" s="414"/>
      <c r="RXQ59" s="414"/>
      <c r="RXR59" s="414"/>
      <c r="RXS59" s="414"/>
      <c r="RXT59" s="414"/>
      <c r="RXU59" s="414"/>
      <c r="RXV59" s="414"/>
      <c r="RXW59" s="414"/>
      <c r="RXX59" s="414"/>
      <c r="RXY59" s="414"/>
      <c r="RXZ59" s="414"/>
      <c r="RYA59" s="414"/>
      <c r="RYB59" s="414"/>
      <c r="RYC59" s="414"/>
      <c r="RYD59" s="414"/>
      <c r="RYE59" s="414"/>
      <c r="RYF59" s="414"/>
      <c r="RYG59" s="414"/>
      <c r="RYH59" s="414"/>
      <c r="RYI59" s="414"/>
      <c r="RYJ59" s="414"/>
      <c r="RYK59" s="414"/>
      <c r="RYL59" s="414"/>
      <c r="RYM59" s="414"/>
      <c r="RYN59" s="414"/>
      <c r="RYO59" s="414"/>
      <c r="RYP59" s="414"/>
      <c r="RYQ59" s="414"/>
      <c r="RYR59" s="414"/>
      <c r="RYS59" s="414"/>
      <c r="RYT59" s="414"/>
      <c r="RYU59" s="414"/>
      <c r="RYV59" s="414"/>
      <c r="RYW59" s="414"/>
      <c r="RYX59" s="414"/>
      <c r="RYY59" s="414"/>
      <c r="RYZ59" s="414"/>
      <c r="RZA59" s="414"/>
      <c r="RZB59" s="414"/>
      <c r="RZC59" s="414"/>
      <c r="RZD59" s="414"/>
      <c r="RZE59" s="414"/>
      <c r="RZF59" s="414"/>
      <c r="RZG59" s="414"/>
      <c r="RZH59" s="414"/>
      <c r="RZI59" s="414"/>
      <c r="RZJ59" s="414"/>
      <c r="RZK59" s="414"/>
      <c r="RZL59" s="414"/>
      <c r="RZM59" s="414"/>
      <c r="RZN59" s="414"/>
      <c r="RZO59" s="414"/>
      <c r="RZP59" s="414"/>
      <c r="RZQ59" s="414"/>
      <c r="RZR59" s="414"/>
      <c r="RZS59" s="414"/>
      <c r="RZT59" s="414"/>
      <c r="RZU59" s="414"/>
      <c r="RZV59" s="414"/>
      <c r="RZW59" s="414"/>
      <c r="RZX59" s="414"/>
      <c r="RZY59" s="414"/>
      <c r="RZZ59" s="414"/>
      <c r="SAA59" s="414"/>
      <c r="SAB59" s="414"/>
      <c r="SAC59" s="414"/>
      <c r="SAD59" s="414"/>
      <c r="SAE59" s="414"/>
      <c r="SAF59" s="414"/>
      <c r="SAG59" s="414"/>
      <c r="SAH59" s="414"/>
      <c r="SAI59" s="414"/>
      <c r="SAJ59" s="414"/>
      <c r="SAK59" s="414"/>
      <c r="SAL59" s="414"/>
      <c r="SAM59" s="414"/>
      <c r="SAN59" s="414"/>
      <c r="SAO59" s="414"/>
      <c r="SAP59" s="414"/>
      <c r="SAQ59" s="414"/>
      <c r="SAR59" s="414"/>
      <c r="SAS59" s="414"/>
      <c r="SAT59" s="414"/>
      <c r="SAU59" s="414"/>
      <c r="SAV59" s="414"/>
      <c r="SAW59" s="414"/>
      <c r="SAX59" s="414"/>
      <c r="SAY59" s="414"/>
      <c r="SAZ59" s="414"/>
      <c r="SBA59" s="414"/>
      <c r="SBB59" s="414"/>
      <c r="SBC59" s="414"/>
      <c r="SBD59" s="414"/>
      <c r="SBE59" s="414"/>
      <c r="SBF59" s="414"/>
      <c r="SBG59" s="414"/>
      <c r="SBH59" s="414"/>
      <c r="SBI59" s="414"/>
      <c r="SBJ59" s="414"/>
      <c r="SBK59" s="414"/>
      <c r="SBL59" s="414"/>
      <c r="SBM59" s="414"/>
      <c r="SBN59" s="414"/>
      <c r="SBO59" s="414"/>
      <c r="SBP59" s="414"/>
      <c r="SBQ59" s="414"/>
      <c r="SBR59" s="414"/>
      <c r="SBS59" s="414"/>
      <c r="SBT59" s="414"/>
      <c r="SBU59" s="414"/>
      <c r="SBV59" s="414"/>
      <c r="SBW59" s="414"/>
      <c r="SBX59" s="414"/>
      <c r="SBY59" s="414"/>
      <c r="SBZ59" s="414"/>
      <c r="SCA59" s="414"/>
      <c r="SCB59" s="414"/>
      <c r="SCC59" s="414"/>
      <c r="SCD59" s="414"/>
      <c r="SCE59" s="414"/>
      <c r="SCF59" s="414"/>
      <c r="SCG59" s="414"/>
      <c r="SCH59" s="414"/>
      <c r="SCI59" s="414"/>
      <c r="SCJ59" s="414"/>
      <c r="SCK59" s="414"/>
      <c r="SCL59" s="414"/>
      <c r="SCM59" s="414"/>
      <c r="SCN59" s="414"/>
      <c r="SCO59" s="414"/>
      <c r="SCP59" s="414"/>
      <c r="SCQ59" s="414"/>
      <c r="SCR59" s="414"/>
      <c r="SCS59" s="414"/>
      <c r="SCT59" s="414"/>
      <c r="SCU59" s="414"/>
      <c r="SCV59" s="414"/>
      <c r="SCW59" s="414"/>
      <c r="SCX59" s="414"/>
      <c r="SCY59" s="414"/>
      <c r="SCZ59" s="414"/>
      <c r="SDA59" s="414"/>
      <c r="SDB59" s="414"/>
      <c r="SDC59" s="414"/>
      <c r="SDD59" s="414"/>
      <c r="SDE59" s="414"/>
      <c r="SDF59" s="414"/>
      <c r="SDG59" s="414"/>
      <c r="SDH59" s="414"/>
      <c r="SDI59" s="414"/>
      <c r="SDJ59" s="414"/>
      <c r="SDK59" s="414"/>
      <c r="SDL59" s="414"/>
      <c r="SDM59" s="414"/>
      <c r="SDN59" s="414"/>
      <c r="SDO59" s="414"/>
      <c r="SDP59" s="414"/>
      <c r="SDQ59" s="414"/>
      <c r="SDR59" s="414"/>
      <c r="SDS59" s="414"/>
      <c r="SDT59" s="414"/>
      <c r="SDU59" s="414"/>
      <c r="SDV59" s="414"/>
      <c r="SDW59" s="414"/>
      <c r="SDX59" s="414"/>
      <c r="SDY59" s="414"/>
      <c r="SDZ59" s="414"/>
      <c r="SEA59" s="414"/>
      <c r="SEB59" s="414"/>
      <c r="SEC59" s="414"/>
      <c r="SED59" s="414"/>
      <c r="SEE59" s="414"/>
      <c r="SEF59" s="414"/>
      <c r="SEG59" s="414"/>
      <c r="SEH59" s="414"/>
      <c r="SEI59" s="414"/>
      <c r="SEJ59" s="414"/>
      <c r="SEK59" s="414"/>
      <c r="SEL59" s="414"/>
      <c r="SEM59" s="414"/>
      <c r="SEN59" s="414"/>
      <c r="SEO59" s="414"/>
      <c r="SEP59" s="414"/>
      <c r="SEQ59" s="414"/>
      <c r="SER59" s="414"/>
      <c r="SES59" s="414"/>
      <c r="SET59" s="414"/>
      <c r="SEU59" s="414"/>
      <c r="SEV59" s="414"/>
      <c r="SEW59" s="414"/>
      <c r="SEX59" s="414"/>
      <c r="SEY59" s="414"/>
      <c r="SEZ59" s="414"/>
      <c r="SFA59" s="414"/>
      <c r="SFB59" s="414"/>
      <c r="SFC59" s="414"/>
      <c r="SFD59" s="414"/>
      <c r="SFE59" s="414"/>
      <c r="SFF59" s="414"/>
      <c r="SFG59" s="414"/>
      <c r="SFH59" s="414"/>
      <c r="SFI59" s="414"/>
      <c r="SFJ59" s="414"/>
      <c r="SFK59" s="414"/>
      <c r="SFL59" s="414"/>
      <c r="SFM59" s="414"/>
      <c r="SFN59" s="414"/>
      <c r="SFO59" s="414"/>
      <c r="SFP59" s="414"/>
      <c r="SFQ59" s="414"/>
      <c r="SFR59" s="414"/>
      <c r="SFS59" s="414"/>
      <c r="SFT59" s="414"/>
      <c r="SFU59" s="414"/>
      <c r="SFV59" s="414"/>
      <c r="SFW59" s="414"/>
      <c r="SFX59" s="414"/>
      <c r="SFY59" s="414"/>
      <c r="SFZ59" s="414"/>
      <c r="SGA59" s="414"/>
      <c r="SGB59" s="414"/>
      <c r="SGC59" s="414"/>
      <c r="SGD59" s="414"/>
      <c r="SGE59" s="414"/>
      <c r="SGF59" s="414"/>
      <c r="SGG59" s="414"/>
      <c r="SGH59" s="414"/>
      <c r="SGI59" s="414"/>
      <c r="SGJ59" s="414"/>
      <c r="SGK59" s="414"/>
      <c r="SGL59" s="414"/>
      <c r="SGM59" s="414"/>
      <c r="SGN59" s="414"/>
      <c r="SGO59" s="414"/>
      <c r="SGP59" s="414"/>
      <c r="SGQ59" s="414"/>
      <c r="SGR59" s="414"/>
      <c r="SGS59" s="414"/>
      <c r="SGT59" s="414"/>
      <c r="SGU59" s="414"/>
      <c r="SGV59" s="414"/>
      <c r="SGW59" s="414"/>
      <c r="SGX59" s="414"/>
      <c r="SGY59" s="414"/>
      <c r="SGZ59" s="414"/>
      <c r="SHA59" s="414"/>
      <c r="SHB59" s="414"/>
      <c r="SHC59" s="414"/>
      <c r="SHD59" s="414"/>
      <c r="SHE59" s="414"/>
      <c r="SHF59" s="414"/>
      <c r="SHG59" s="414"/>
      <c r="SHH59" s="414"/>
      <c r="SHI59" s="414"/>
      <c r="SHJ59" s="414"/>
      <c r="SHK59" s="414"/>
      <c r="SHL59" s="414"/>
      <c r="SHM59" s="414"/>
      <c r="SHN59" s="414"/>
      <c r="SHO59" s="414"/>
      <c r="SHP59" s="414"/>
      <c r="SHQ59" s="414"/>
      <c r="SHR59" s="414"/>
      <c r="SHS59" s="414"/>
      <c r="SHT59" s="414"/>
      <c r="SHU59" s="414"/>
      <c r="SHV59" s="414"/>
      <c r="SHW59" s="414"/>
      <c r="SHX59" s="414"/>
      <c r="SHY59" s="414"/>
      <c r="SHZ59" s="414"/>
      <c r="SIA59" s="414"/>
      <c r="SIB59" s="414"/>
      <c r="SIC59" s="414"/>
      <c r="SID59" s="414"/>
      <c r="SIE59" s="414"/>
      <c r="SIF59" s="414"/>
      <c r="SIG59" s="414"/>
      <c r="SIH59" s="414"/>
      <c r="SII59" s="414"/>
      <c r="SIJ59" s="414"/>
      <c r="SIK59" s="414"/>
      <c r="SIL59" s="414"/>
      <c r="SIM59" s="414"/>
      <c r="SIN59" s="414"/>
      <c r="SIO59" s="414"/>
      <c r="SIP59" s="414"/>
      <c r="SIQ59" s="414"/>
      <c r="SIR59" s="414"/>
      <c r="SIS59" s="414"/>
      <c r="SIT59" s="414"/>
      <c r="SIU59" s="414"/>
      <c r="SIV59" s="414"/>
      <c r="SIW59" s="414"/>
      <c r="SIX59" s="414"/>
      <c r="SIY59" s="414"/>
      <c r="SIZ59" s="414"/>
      <c r="SJA59" s="414"/>
      <c r="SJB59" s="414"/>
      <c r="SJC59" s="414"/>
      <c r="SJD59" s="414"/>
      <c r="SJE59" s="414"/>
      <c r="SJF59" s="414"/>
      <c r="SJG59" s="414"/>
      <c r="SJH59" s="414"/>
      <c r="SJI59" s="414"/>
      <c r="SJJ59" s="414"/>
      <c r="SJK59" s="414"/>
      <c r="SJL59" s="414"/>
      <c r="SJM59" s="414"/>
      <c r="SJN59" s="414"/>
      <c r="SJO59" s="414"/>
      <c r="SJP59" s="414"/>
      <c r="SJQ59" s="414"/>
      <c r="SJR59" s="414"/>
      <c r="SJS59" s="414"/>
      <c r="SJT59" s="414"/>
      <c r="SJU59" s="414"/>
      <c r="SJV59" s="414"/>
      <c r="SJW59" s="414"/>
      <c r="SJX59" s="414"/>
      <c r="SJY59" s="414"/>
      <c r="SJZ59" s="414"/>
      <c r="SKA59" s="414"/>
      <c r="SKB59" s="414"/>
      <c r="SKC59" s="414"/>
      <c r="SKD59" s="414"/>
      <c r="SKE59" s="414"/>
      <c r="SKF59" s="414"/>
      <c r="SKG59" s="414"/>
      <c r="SKH59" s="414"/>
      <c r="SKI59" s="414"/>
      <c r="SKJ59" s="414"/>
      <c r="SKK59" s="414"/>
      <c r="SKL59" s="414"/>
      <c r="SKM59" s="414"/>
      <c r="SKN59" s="414"/>
      <c r="SKO59" s="414"/>
      <c r="SKP59" s="414"/>
      <c r="SKQ59" s="414"/>
      <c r="SKR59" s="414"/>
      <c r="SKS59" s="414"/>
      <c r="SKT59" s="414"/>
      <c r="SKU59" s="414"/>
      <c r="SKV59" s="414"/>
      <c r="SKW59" s="414"/>
      <c r="SKX59" s="414"/>
      <c r="SKY59" s="414"/>
      <c r="SKZ59" s="414"/>
      <c r="SLA59" s="414"/>
      <c r="SLB59" s="414"/>
      <c r="SLC59" s="414"/>
      <c r="SLD59" s="414"/>
      <c r="SLE59" s="414"/>
      <c r="SLF59" s="414"/>
      <c r="SLG59" s="414"/>
      <c r="SLH59" s="414"/>
      <c r="SLI59" s="414"/>
      <c r="SLJ59" s="414"/>
      <c r="SLK59" s="414"/>
      <c r="SLL59" s="414"/>
      <c r="SLM59" s="414"/>
      <c r="SLN59" s="414"/>
      <c r="SLO59" s="414"/>
      <c r="SLP59" s="414"/>
      <c r="SLQ59" s="414"/>
      <c r="SLR59" s="414"/>
      <c r="SLS59" s="414"/>
      <c r="SLT59" s="414"/>
      <c r="SLU59" s="414"/>
      <c r="SLV59" s="414"/>
      <c r="SLW59" s="414"/>
      <c r="SLX59" s="414"/>
      <c r="SLY59" s="414"/>
      <c r="SLZ59" s="414"/>
      <c r="SMA59" s="414"/>
      <c r="SMB59" s="414"/>
      <c r="SMC59" s="414"/>
      <c r="SMD59" s="414"/>
      <c r="SME59" s="414"/>
      <c r="SMF59" s="414"/>
      <c r="SMG59" s="414"/>
      <c r="SMH59" s="414"/>
      <c r="SMI59" s="414"/>
      <c r="SMJ59" s="414"/>
      <c r="SMK59" s="414"/>
      <c r="SML59" s="414"/>
      <c r="SMM59" s="414"/>
      <c r="SMN59" s="414"/>
      <c r="SMO59" s="414"/>
      <c r="SMP59" s="414"/>
      <c r="SMQ59" s="414"/>
      <c r="SMR59" s="414"/>
      <c r="SMS59" s="414"/>
      <c r="SMT59" s="414"/>
      <c r="SMU59" s="414"/>
      <c r="SMV59" s="414"/>
      <c r="SMW59" s="414"/>
      <c r="SMX59" s="414"/>
      <c r="SMY59" s="414"/>
      <c r="SMZ59" s="414"/>
      <c r="SNA59" s="414"/>
      <c r="SNB59" s="414"/>
      <c r="SNC59" s="414"/>
      <c r="SND59" s="414"/>
      <c r="SNE59" s="414"/>
      <c r="SNF59" s="414"/>
      <c r="SNG59" s="414"/>
      <c r="SNH59" s="414"/>
      <c r="SNI59" s="414"/>
      <c r="SNJ59" s="414"/>
      <c r="SNK59" s="414"/>
      <c r="SNL59" s="414"/>
      <c r="SNM59" s="414"/>
      <c r="SNN59" s="414"/>
      <c r="SNO59" s="414"/>
      <c r="SNP59" s="414"/>
      <c r="SNQ59" s="414"/>
      <c r="SNR59" s="414"/>
      <c r="SNS59" s="414"/>
      <c r="SNT59" s="414"/>
      <c r="SNU59" s="414"/>
      <c r="SNV59" s="414"/>
      <c r="SNW59" s="414"/>
      <c r="SNX59" s="414"/>
      <c r="SNY59" s="414"/>
      <c r="SNZ59" s="414"/>
      <c r="SOA59" s="414"/>
      <c r="SOB59" s="414"/>
      <c r="SOC59" s="414"/>
      <c r="SOD59" s="414"/>
      <c r="SOE59" s="414"/>
      <c r="SOF59" s="414"/>
      <c r="SOG59" s="414"/>
      <c r="SOH59" s="414"/>
      <c r="SOI59" s="414"/>
      <c r="SOJ59" s="414"/>
      <c r="SOK59" s="414"/>
      <c r="SOL59" s="414"/>
      <c r="SOM59" s="414"/>
      <c r="SON59" s="414"/>
      <c r="SOO59" s="414"/>
      <c r="SOP59" s="414"/>
      <c r="SOQ59" s="414"/>
      <c r="SOR59" s="414"/>
      <c r="SOS59" s="414"/>
      <c r="SOT59" s="414"/>
      <c r="SOU59" s="414"/>
      <c r="SOV59" s="414"/>
      <c r="SOW59" s="414"/>
      <c r="SOX59" s="414"/>
      <c r="SOY59" s="414"/>
      <c r="SOZ59" s="414"/>
      <c r="SPA59" s="414"/>
      <c r="SPB59" s="414"/>
      <c r="SPC59" s="414"/>
      <c r="SPD59" s="414"/>
      <c r="SPE59" s="414"/>
      <c r="SPF59" s="414"/>
      <c r="SPG59" s="414"/>
      <c r="SPH59" s="414"/>
      <c r="SPI59" s="414"/>
      <c r="SPJ59" s="414"/>
      <c r="SPK59" s="414"/>
      <c r="SPL59" s="414"/>
      <c r="SPM59" s="414"/>
      <c r="SPN59" s="414"/>
      <c r="SPO59" s="414"/>
      <c r="SPP59" s="414"/>
      <c r="SPQ59" s="414"/>
      <c r="SPR59" s="414"/>
      <c r="SPS59" s="414"/>
      <c r="SPT59" s="414"/>
      <c r="SPU59" s="414"/>
      <c r="SPV59" s="414"/>
      <c r="SPW59" s="414"/>
      <c r="SPX59" s="414"/>
      <c r="SPY59" s="414"/>
      <c r="SPZ59" s="414"/>
      <c r="SQA59" s="414"/>
      <c r="SQB59" s="414"/>
      <c r="SQC59" s="414"/>
      <c r="SQD59" s="414"/>
      <c r="SQE59" s="414"/>
      <c r="SQF59" s="414"/>
      <c r="SQG59" s="414"/>
      <c r="SQH59" s="414"/>
      <c r="SQI59" s="414"/>
      <c r="SQJ59" s="414"/>
      <c r="SQK59" s="414"/>
      <c r="SQL59" s="414"/>
      <c r="SQM59" s="414"/>
      <c r="SQN59" s="414"/>
      <c r="SQO59" s="414"/>
      <c r="SQP59" s="414"/>
      <c r="SQQ59" s="414"/>
      <c r="SQR59" s="414"/>
      <c r="SQS59" s="414"/>
      <c r="SQT59" s="414"/>
      <c r="SQU59" s="414"/>
      <c r="SQV59" s="414"/>
      <c r="SQW59" s="414"/>
      <c r="SQX59" s="414"/>
      <c r="SQY59" s="414"/>
      <c r="SQZ59" s="414"/>
      <c r="SRA59" s="414"/>
      <c r="SRB59" s="414"/>
      <c r="SRC59" s="414"/>
      <c r="SRD59" s="414"/>
      <c r="SRE59" s="414"/>
      <c r="SRF59" s="414"/>
      <c r="SRG59" s="414"/>
      <c r="SRH59" s="414"/>
      <c r="SRI59" s="414"/>
      <c r="SRJ59" s="414"/>
      <c r="SRK59" s="414"/>
      <c r="SRL59" s="414"/>
      <c r="SRM59" s="414"/>
      <c r="SRN59" s="414"/>
      <c r="SRO59" s="414"/>
      <c r="SRP59" s="414"/>
      <c r="SRQ59" s="414"/>
      <c r="SRR59" s="414"/>
      <c r="SRS59" s="414"/>
      <c r="SRT59" s="414"/>
      <c r="SRU59" s="414"/>
      <c r="SRV59" s="414"/>
      <c r="SRW59" s="414"/>
      <c r="SRX59" s="414"/>
      <c r="SRY59" s="414"/>
      <c r="SRZ59" s="414"/>
      <c r="SSA59" s="414"/>
      <c r="SSB59" s="414"/>
      <c r="SSC59" s="414"/>
      <c r="SSD59" s="414"/>
      <c r="SSE59" s="414"/>
      <c r="SSF59" s="414"/>
      <c r="SSG59" s="414"/>
      <c r="SSH59" s="414"/>
      <c r="SSI59" s="414"/>
      <c r="SSJ59" s="414"/>
      <c r="SSK59" s="414"/>
      <c r="SSL59" s="414"/>
      <c r="SSM59" s="414"/>
      <c r="SSN59" s="414"/>
      <c r="SSO59" s="414"/>
      <c r="SSP59" s="414"/>
      <c r="SSQ59" s="414"/>
      <c r="SSR59" s="414"/>
      <c r="SSS59" s="414"/>
      <c r="SST59" s="414"/>
      <c r="SSU59" s="414"/>
      <c r="SSV59" s="414"/>
      <c r="SSW59" s="414"/>
      <c r="SSX59" s="414"/>
      <c r="SSY59" s="414"/>
      <c r="SSZ59" s="414"/>
      <c r="STA59" s="414"/>
      <c r="STB59" s="414"/>
      <c r="STC59" s="414"/>
      <c r="STD59" s="414"/>
      <c r="STE59" s="414"/>
      <c r="STF59" s="414"/>
      <c r="STG59" s="414"/>
      <c r="STH59" s="414"/>
      <c r="STI59" s="414"/>
      <c r="STJ59" s="414"/>
      <c r="STK59" s="414"/>
      <c r="STL59" s="414"/>
      <c r="STM59" s="414"/>
      <c r="STN59" s="414"/>
      <c r="STO59" s="414"/>
      <c r="STP59" s="414"/>
      <c r="STQ59" s="414"/>
      <c r="STR59" s="414"/>
      <c r="STS59" s="414"/>
      <c r="STT59" s="414"/>
      <c r="STU59" s="414"/>
      <c r="STV59" s="414"/>
      <c r="STW59" s="414"/>
      <c r="STX59" s="414"/>
      <c r="STY59" s="414"/>
      <c r="STZ59" s="414"/>
      <c r="SUA59" s="414"/>
      <c r="SUB59" s="414"/>
      <c r="SUC59" s="414"/>
      <c r="SUD59" s="414"/>
      <c r="SUE59" s="414"/>
      <c r="SUF59" s="414"/>
      <c r="SUG59" s="414"/>
      <c r="SUH59" s="414"/>
      <c r="SUI59" s="414"/>
      <c r="SUJ59" s="414"/>
      <c r="SUK59" s="414"/>
      <c r="SUL59" s="414"/>
      <c r="SUM59" s="414"/>
      <c r="SUN59" s="414"/>
      <c r="SUO59" s="414"/>
      <c r="SUP59" s="414"/>
      <c r="SUQ59" s="414"/>
      <c r="SUR59" s="414"/>
      <c r="SUS59" s="414"/>
      <c r="SUT59" s="414"/>
      <c r="SUU59" s="414"/>
      <c r="SUV59" s="414"/>
      <c r="SUW59" s="414"/>
      <c r="SUX59" s="414"/>
      <c r="SUY59" s="414"/>
      <c r="SUZ59" s="414"/>
      <c r="SVA59" s="414"/>
      <c r="SVB59" s="414"/>
      <c r="SVC59" s="414"/>
      <c r="SVD59" s="414"/>
      <c r="SVE59" s="414"/>
      <c r="SVF59" s="414"/>
      <c r="SVG59" s="414"/>
      <c r="SVH59" s="414"/>
      <c r="SVI59" s="414"/>
      <c r="SVJ59" s="414"/>
      <c r="SVK59" s="414"/>
      <c r="SVL59" s="414"/>
      <c r="SVM59" s="414"/>
      <c r="SVN59" s="414"/>
      <c r="SVO59" s="414"/>
      <c r="SVP59" s="414"/>
      <c r="SVQ59" s="414"/>
      <c r="SVR59" s="414"/>
      <c r="SVS59" s="414"/>
      <c r="SVT59" s="414"/>
      <c r="SVU59" s="414"/>
      <c r="SVV59" s="414"/>
      <c r="SVW59" s="414"/>
      <c r="SVX59" s="414"/>
      <c r="SVY59" s="414"/>
      <c r="SVZ59" s="414"/>
      <c r="SWA59" s="414"/>
      <c r="SWB59" s="414"/>
      <c r="SWC59" s="414"/>
      <c r="SWD59" s="414"/>
      <c r="SWE59" s="414"/>
      <c r="SWF59" s="414"/>
      <c r="SWG59" s="414"/>
      <c r="SWH59" s="414"/>
      <c r="SWI59" s="414"/>
      <c r="SWJ59" s="414"/>
      <c r="SWK59" s="414"/>
      <c r="SWL59" s="414"/>
      <c r="SWM59" s="414"/>
      <c r="SWN59" s="414"/>
      <c r="SWO59" s="414"/>
      <c r="SWP59" s="414"/>
      <c r="SWQ59" s="414"/>
      <c r="SWR59" s="414"/>
      <c r="SWS59" s="414"/>
      <c r="SWT59" s="414"/>
      <c r="SWU59" s="414"/>
      <c r="SWV59" s="414"/>
      <c r="SWW59" s="414"/>
      <c r="SWX59" s="414"/>
      <c r="SWY59" s="414"/>
      <c r="SWZ59" s="414"/>
      <c r="SXA59" s="414"/>
      <c r="SXB59" s="414"/>
      <c r="SXC59" s="414"/>
      <c r="SXD59" s="414"/>
      <c r="SXE59" s="414"/>
      <c r="SXF59" s="414"/>
      <c r="SXG59" s="414"/>
      <c r="SXH59" s="414"/>
      <c r="SXI59" s="414"/>
      <c r="SXJ59" s="414"/>
      <c r="SXK59" s="414"/>
      <c r="SXL59" s="414"/>
      <c r="SXM59" s="414"/>
      <c r="SXN59" s="414"/>
      <c r="SXO59" s="414"/>
      <c r="SXP59" s="414"/>
      <c r="SXQ59" s="414"/>
      <c r="SXR59" s="414"/>
      <c r="SXS59" s="414"/>
      <c r="SXT59" s="414"/>
      <c r="SXU59" s="414"/>
      <c r="SXV59" s="414"/>
      <c r="SXW59" s="414"/>
      <c r="SXX59" s="414"/>
      <c r="SXY59" s="414"/>
      <c r="SXZ59" s="414"/>
      <c r="SYA59" s="414"/>
      <c r="SYB59" s="414"/>
      <c r="SYC59" s="414"/>
      <c r="SYD59" s="414"/>
      <c r="SYE59" s="414"/>
      <c r="SYF59" s="414"/>
      <c r="SYG59" s="414"/>
      <c r="SYH59" s="414"/>
      <c r="SYI59" s="414"/>
      <c r="SYJ59" s="414"/>
      <c r="SYK59" s="414"/>
      <c r="SYL59" s="414"/>
      <c r="SYM59" s="414"/>
      <c r="SYN59" s="414"/>
      <c r="SYO59" s="414"/>
      <c r="SYP59" s="414"/>
      <c r="SYQ59" s="414"/>
      <c r="SYR59" s="414"/>
      <c r="SYS59" s="414"/>
      <c r="SYT59" s="414"/>
      <c r="SYU59" s="414"/>
      <c r="SYV59" s="414"/>
      <c r="SYW59" s="414"/>
      <c r="SYX59" s="414"/>
      <c r="SYY59" s="414"/>
      <c r="SYZ59" s="414"/>
      <c r="SZA59" s="414"/>
      <c r="SZB59" s="414"/>
      <c r="SZC59" s="414"/>
      <c r="SZD59" s="414"/>
      <c r="SZE59" s="414"/>
      <c r="SZF59" s="414"/>
      <c r="SZG59" s="414"/>
      <c r="SZH59" s="414"/>
      <c r="SZI59" s="414"/>
      <c r="SZJ59" s="414"/>
      <c r="SZK59" s="414"/>
      <c r="SZL59" s="414"/>
      <c r="SZM59" s="414"/>
      <c r="SZN59" s="414"/>
      <c r="SZO59" s="414"/>
      <c r="SZP59" s="414"/>
      <c r="SZQ59" s="414"/>
      <c r="SZR59" s="414"/>
      <c r="SZS59" s="414"/>
      <c r="SZT59" s="414"/>
      <c r="SZU59" s="414"/>
      <c r="SZV59" s="414"/>
      <c r="SZW59" s="414"/>
      <c r="SZX59" s="414"/>
      <c r="SZY59" s="414"/>
      <c r="SZZ59" s="414"/>
      <c r="TAA59" s="414"/>
      <c r="TAB59" s="414"/>
      <c r="TAC59" s="414"/>
      <c r="TAD59" s="414"/>
      <c r="TAE59" s="414"/>
      <c r="TAF59" s="414"/>
      <c r="TAG59" s="414"/>
      <c r="TAH59" s="414"/>
      <c r="TAI59" s="414"/>
      <c r="TAJ59" s="414"/>
      <c r="TAK59" s="414"/>
      <c r="TAL59" s="414"/>
      <c r="TAM59" s="414"/>
      <c r="TAN59" s="414"/>
      <c r="TAO59" s="414"/>
      <c r="TAP59" s="414"/>
      <c r="TAQ59" s="414"/>
      <c r="TAR59" s="414"/>
      <c r="TAS59" s="414"/>
      <c r="TAT59" s="414"/>
      <c r="TAU59" s="414"/>
      <c r="TAV59" s="414"/>
      <c r="TAW59" s="414"/>
      <c r="TAX59" s="414"/>
      <c r="TAY59" s="414"/>
      <c r="TAZ59" s="414"/>
      <c r="TBA59" s="414"/>
      <c r="TBB59" s="414"/>
      <c r="TBC59" s="414"/>
      <c r="TBD59" s="414"/>
      <c r="TBE59" s="414"/>
      <c r="TBF59" s="414"/>
      <c r="TBG59" s="414"/>
      <c r="TBH59" s="414"/>
      <c r="TBI59" s="414"/>
      <c r="TBJ59" s="414"/>
      <c r="TBK59" s="414"/>
      <c r="TBL59" s="414"/>
      <c r="TBM59" s="414"/>
      <c r="TBN59" s="414"/>
      <c r="TBO59" s="414"/>
      <c r="TBP59" s="414"/>
      <c r="TBQ59" s="414"/>
      <c r="TBR59" s="414"/>
      <c r="TBS59" s="414"/>
      <c r="TBT59" s="414"/>
      <c r="TBU59" s="414"/>
      <c r="TBV59" s="414"/>
      <c r="TBW59" s="414"/>
      <c r="TBX59" s="414"/>
      <c r="TBY59" s="414"/>
      <c r="TBZ59" s="414"/>
      <c r="TCA59" s="414"/>
      <c r="TCB59" s="414"/>
      <c r="TCC59" s="414"/>
      <c r="TCD59" s="414"/>
      <c r="TCE59" s="414"/>
      <c r="TCF59" s="414"/>
      <c r="TCG59" s="414"/>
      <c r="TCH59" s="414"/>
      <c r="TCI59" s="414"/>
      <c r="TCJ59" s="414"/>
      <c r="TCK59" s="414"/>
      <c r="TCL59" s="414"/>
      <c r="TCM59" s="414"/>
      <c r="TCN59" s="414"/>
      <c r="TCO59" s="414"/>
      <c r="TCP59" s="414"/>
      <c r="TCQ59" s="414"/>
      <c r="TCR59" s="414"/>
      <c r="TCS59" s="414"/>
      <c r="TCT59" s="414"/>
      <c r="TCU59" s="414"/>
      <c r="TCV59" s="414"/>
      <c r="TCW59" s="414"/>
      <c r="TCX59" s="414"/>
      <c r="TCY59" s="414"/>
      <c r="TCZ59" s="414"/>
      <c r="TDA59" s="414"/>
      <c r="TDB59" s="414"/>
      <c r="TDC59" s="414"/>
      <c r="TDD59" s="414"/>
      <c r="TDE59" s="414"/>
      <c r="TDF59" s="414"/>
      <c r="TDG59" s="414"/>
      <c r="TDH59" s="414"/>
      <c r="TDI59" s="414"/>
      <c r="TDJ59" s="414"/>
      <c r="TDK59" s="414"/>
      <c r="TDL59" s="414"/>
      <c r="TDM59" s="414"/>
      <c r="TDN59" s="414"/>
      <c r="TDO59" s="414"/>
      <c r="TDP59" s="414"/>
      <c r="TDQ59" s="414"/>
      <c r="TDR59" s="414"/>
      <c r="TDS59" s="414"/>
      <c r="TDT59" s="414"/>
      <c r="TDU59" s="414"/>
      <c r="TDV59" s="414"/>
      <c r="TDW59" s="414"/>
      <c r="TDX59" s="414"/>
      <c r="TDY59" s="414"/>
      <c r="TDZ59" s="414"/>
      <c r="TEA59" s="414"/>
      <c r="TEB59" s="414"/>
      <c r="TEC59" s="414"/>
      <c r="TED59" s="414"/>
      <c r="TEE59" s="414"/>
      <c r="TEF59" s="414"/>
      <c r="TEG59" s="414"/>
      <c r="TEH59" s="414"/>
      <c r="TEI59" s="414"/>
      <c r="TEJ59" s="414"/>
      <c r="TEK59" s="414"/>
      <c r="TEL59" s="414"/>
      <c r="TEM59" s="414"/>
      <c r="TEN59" s="414"/>
      <c r="TEO59" s="414"/>
      <c r="TEP59" s="414"/>
      <c r="TEQ59" s="414"/>
      <c r="TER59" s="414"/>
      <c r="TES59" s="414"/>
      <c r="TET59" s="414"/>
      <c r="TEU59" s="414"/>
      <c r="TEV59" s="414"/>
      <c r="TEW59" s="414"/>
      <c r="TEX59" s="414"/>
      <c r="TEY59" s="414"/>
      <c r="TEZ59" s="414"/>
      <c r="TFA59" s="414"/>
      <c r="TFB59" s="414"/>
      <c r="TFC59" s="414"/>
      <c r="TFD59" s="414"/>
      <c r="TFE59" s="414"/>
      <c r="TFF59" s="414"/>
      <c r="TFG59" s="414"/>
      <c r="TFH59" s="414"/>
      <c r="TFI59" s="414"/>
      <c r="TFJ59" s="414"/>
      <c r="TFK59" s="414"/>
      <c r="TFL59" s="414"/>
      <c r="TFM59" s="414"/>
      <c r="TFN59" s="414"/>
      <c r="TFO59" s="414"/>
      <c r="TFP59" s="414"/>
      <c r="TFQ59" s="414"/>
      <c r="TFR59" s="414"/>
      <c r="TFS59" s="414"/>
      <c r="TFT59" s="414"/>
      <c r="TFU59" s="414"/>
      <c r="TFV59" s="414"/>
      <c r="TFW59" s="414"/>
      <c r="TFX59" s="414"/>
      <c r="TFY59" s="414"/>
      <c r="TFZ59" s="414"/>
      <c r="TGA59" s="414"/>
      <c r="TGB59" s="414"/>
      <c r="TGC59" s="414"/>
      <c r="TGD59" s="414"/>
      <c r="TGE59" s="414"/>
      <c r="TGF59" s="414"/>
      <c r="TGG59" s="414"/>
      <c r="TGH59" s="414"/>
      <c r="TGI59" s="414"/>
      <c r="TGJ59" s="414"/>
      <c r="TGK59" s="414"/>
      <c r="TGL59" s="414"/>
      <c r="TGM59" s="414"/>
      <c r="TGN59" s="414"/>
      <c r="TGO59" s="414"/>
      <c r="TGP59" s="414"/>
      <c r="TGQ59" s="414"/>
      <c r="TGR59" s="414"/>
      <c r="TGS59" s="414"/>
      <c r="TGT59" s="414"/>
      <c r="TGU59" s="414"/>
      <c r="TGV59" s="414"/>
      <c r="TGW59" s="414"/>
      <c r="TGX59" s="414"/>
      <c r="TGY59" s="414"/>
      <c r="TGZ59" s="414"/>
      <c r="THA59" s="414"/>
      <c r="THB59" s="414"/>
      <c r="THC59" s="414"/>
      <c r="THD59" s="414"/>
      <c r="THE59" s="414"/>
      <c r="THF59" s="414"/>
      <c r="THG59" s="414"/>
      <c r="THH59" s="414"/>
      <c r="THI59" s="414"/>
      <c r="THJ59" s="414"/>
      <c r="THK59" s="414"/>
      <c r="THL59" s="414"/>
      <c r="THM59" s="414"/>
      <c r="THN59" s="414"/>
      <c r="THO59" s="414"/>
      <c r="THP59" s="414"/>
      <c r="THQ59" s="414"/>
      <c r="THR59" s="414"/>
      <c r="THS59" s="414"/>
      <c r="THT59" s="414"/>
      <c r="THU59" s="414"/>
      <c r="THV59" s="414"/>
      <c r="THW59" s="414"/>
      <c r="THX59" s="414"/>
      <c r="THY59" s="414"/>
      <c r="THZ59" s="414"/>
      <c r="TIA59" s="414"/>
      <c r="TIB59" s="414"/>
      <c r="TIC59" s="414"/>
      <c r="TID59" s="414"/>
      <c r="TIE59" s="414"/>
      <c r="TIF59" s="414"/>
      <c r="TIG59" s="414"/>
      <c r="TIH59" s="414"/>
      <c r="TII59" s="414"/>
      <c r="TIJ59" s="414"/>
      <c r="TIK59" s="414"/>
      <c r="TIL59" s="414"/>
      <c r="TIM59" s="414"/>
      <c r="TIN59" s="414"/>
      <c r="TIO59" s="414"/>
      <c r="TIP59" s="414"/>
      <c r="TIQ59" s="414"/>
      <c r="TIR59" s="414"/>
      <c r="TIS59" s="414"/>
      <c r="TIT59" s="414"/>
      <c r="TIU59" s="414"/>
      <c r="TIV59" s="414"/>
      <c r="TIW59" s="414"/>
      <c r="TIX59" s="414"/>
      <c r="TIY59" s="414"/>
      <c r="TIZ59" s="414"/>
      <c r="TJA59" s="414"/>
      <c r="TJB59" s="414"/>
      <c r="TJC59" s="414"/>
      <c r="TJD59" s="414"/>
      <c r="TJE59" s="414"/>
      <c r="TJF59" s="414"/>
      <c r="TJG59" s="414"/>
      <c r="TJH59" s="414"/>
      <c r="TJI59" s="414"/>
      <c r="TJJ59" s="414"/>
      <c r="TJK59" s="414"/>
      <c r="TJL59" s="414"/>
      <c r="TJM59" s="414"/>
      <c r="TJN59" s="414"/>
      <c r="TJO59" s="414"/>
      <c r="TJP59" s="414"/>
      <c r="TJQ59" s="414"/>
      <c r="TJR59" s="414"/>
      <c r="TJS59" s="414"/>
      <c r="TJT59" s="414"/>
      <c r="TJU59" s="414"/>
      <c r="TJV59" s="414"/>
      <c r="TJW59" s="414"/>
      <c r="TJX59" s="414"/>
      <c r="TJY59" s="414"/>
      <c r="TJZ59" s="414"/>
      <c r="TKA59" s="414"/>
      <c r="TKB59" s="414"/>
      <c r="TKC59" s="414"/>
      <c r="TKD59" s="414"/>
      <c r="TKE59" s="414"/>
      <c r="TKF59" s="414"/>
      <c r="TKG59" s="414"/>
      <c r="TKH59" s="414"/>
      <c r="TKI59" s="414"/>
      <c r="TKJ59" s="414"/>
      <c r="TKK59" s="414"/>
      <c r="TKL59" s="414"/>
      <c r="TKM59" s="414"/>
      <c r="TKN59" s="414"/>
      <c r="TKO59" s="414"/>
      <c r="TKP59" s="414"/>
      <c r="TKQ59" s="414"/>
      <c r="TKR59" s="414"/>
      <c r="TKS59" s="414"/>
      <c r="TKT59" s="414"/>
      <c r="TKU59" s="414"/>
      <c r="TKV59" s="414"/>
      <c r="TKW59" s="414"/>
      <c r="TKX59" s="414"/>
      <c r="TKY59" s="414"/>
      <c r="TKZ59" s="414"/>
      <c r="TLA59" s="414"/>
      <c r="TLB59" s="414"/>
      <c r="TLC59" s="414"/>
      <c r="TLD59" s="414"/>
      <c r="TLE59" s="414"/>
      <c r="TLF59" s="414"/>
      <c r="TLG59" s="414"/>
      <c r="TLH59" s="414"/>
      <c r="TLI59" s="414"/>
      <c r="TLJ59" s="414"/>
      <c r="TLK59" s="414"/>
      <c r="TLL59" s="414"/>
      <c r="TLM59" s="414"/>
      <c r="TLN59" s="414"/>
      <c r="TLO59" s="414"/>
      <c r="TLP59" s="414"/>
      <c r="TLQ59" s="414"/>
      <c r="TLR59" s="414"/>
      <c r="TLS59" s="414"/>
      <c r="TLT59" s="414"/>
      <c r="TLU59" s="414"/>
      <c r="TLV59" s="414"/>
      <c r="TLW59" s="414"/>
      <c r="TLX59" s="414"/>
      <c r="TLY59" s="414"/>
      <c r="TLZ59" s="414"/>
      <c r="TMA59" s="414"/>
      <c r="TMB59" s="414"/>
      <c r="TMC59" s="414"/>
      <c r="TMD59" s="414"/>
      <c r="TME59" s="414"/>
      <c r="TMF59" s="414"/>
      <c r="TMG59" s="414"/>
      <c r="TMH59" s="414"/>
      <c r="TMI59" s="414"/>
      <c r="TMJ59" s="414"/>
      <c r="TMK59" s="414"/>
      <c r="TML59" s="414"/>
      <c r="TMM59" s="414"/>
      <c r="TMN59" s="414"/>
      <c r="TMO59" s="414"/>
      <c r="TMP59" s="414"/>
      <c r="TMQ59" s="414"/>
      <c r="TMR59" s="414"/>
      <c r="TMS59" s="414"/>
      <c r="TMT59" s="414"/>
      <c r="TMU59" s="414"/>
      <c r="TMV59" s="414"/>
      <c r="TMW59" s="414"/>
      <c r="TMX59" s="414"/>
      <c r="TMY59" s="414"/>
      <c r="TMZ59" s="414"/>
      <c r="TNA59" s="414"/>
      <c r="TNB59" s="414"/>
      <c r="TNC59" s="414"/>
      <c r="TND59" s="414"/>
      <c r="TNE59" s="414"/>
      <c r="TNF59" s="414"/>
      <c r="TNG59" s="414"/>
      <c r="TNH59" s="414"/>
      <c r="TNI59" s="414"/>
      <c r="TNJ59" s="414"/>
      <c r="TNK59" s="414"/>
      <c r="TNL59" s="414"/>
      <c r="TNM59" s="414"/>
      <c r="TNN59" s="414"/>
      <c r="TNO59" s="414"/>
      <c r="TNP59" s="414"/>
      <c r="TNQ59" s="414"/>
      <c r="TNR59" s="414"/>
      <c r="TNS59" s="414"/>
      <c r="TNT59" s="414"/>
      <c r="TNU59" s="414"/>
      <c r="TNV59" s="414"/>
      <c r="TNW59" s="414"/>
      <c r="TNX59" s="414"/>
      <c r="TNY59" s="414"/>
      <c r="TNZ59" s="414"/>
      <c r="TOA59" s="414"/>
      <c r="TOB59" s="414"/>
      <c r="TOC59" s="414"/>
      <c r="TOD59" s="414"/>
      <c r="TOE59" s="414"/>
      <c r="TOF59" s="414"/>
      <c r="TOG59" s="414"/>
      <c r="TOH59" s="414"/>
      <c r="TOI59" s="414"/>
      <c r="TOJ59" s="414"/>
      <c r="TOK59" s="414"/>
      <c r="TOL59" s="414"/>
      <c r="TOM59" s="414"/>
      <c r="TON59" s="414"/>
      <c r="TOO59" s="414"/>
      <c r="TOP59" s="414"/>
      <c r="TOQ59" s="414"/>
      <c r="TOR59" s="414"/>
      <c r="TOS59" s="414"/>
      <c r="TOT59" s="414"/>
      <c r="TOU59" s="414"/>
      <c r="TOV59" s="414"/>
      <c r="TOW59" s="414"/>
      <c r="TOX59" s="414"/>
      <c r="TOY59" s="414"/>
      <c r="TOZ59" s="414"/>
      <c r="TPA59" s="414"/>
      <c r="TPB59" s="414"/>
      <c r="TPC59" s="414"/>
      <c r="TPD59" s="414"/>
      <c r="TPE59" s="414"/>
      <c r="TPF59" s="414"/>
      <c r="TPG59" s="414"/>
      <c r="TPH59" s="414"/>
      <c r="TPI59" s="414"/>
      <c r="TPJ59" s="414"/>
      <c r="TPK59" s="414"/>
      <c r="TPL59" s="414"/>
      <c r="TPM59" s="414"/>
      <c r="TPN59" s="414"/>
      <c r="TPO59" s="414"/>
      <c r="TPP59" s="414"/>
      <c r="TPQ59" s="414"/>
      <c r="TPR59" s="414"/>
      <c r="TPS59" s="414"/>
      <c r="TPT59" s="414"/>
      <c r="TPU59" s="414"/>
      <c r="TPV59" s="414"/>
      <c r="TPW59" s="414"/>
      <c r="TPX59" s="414"/>
      <c r="TPY59" s="414"/>
      <c r="TPZ59" s="414"/>
      <c r="TQA59" s="414"/>
      <c r="TQB59" s="414"/>
      <c r="TQC59" s="414"/>
      <c r="TQD59" s="414"/>
      <c r="TQE59" s="414"/>
      <c r="TQF59" s="414"/>
      <c r="TQG59" s="414"/>
      <c r="TQH59" s="414"/>
      <c r="TQI59" s="414"/>
      <c r="TQJ59" s="414"/>
      <c r="TQK59" s="414"/>
      <c r="TQL59" s="414"/>
      <c r="TQM59" s="414"/>
      <c r="TQN59" s="414"/>
      <c r="TQO59" s="414"/>
      <c r="TQP59" s="414"/>
      <c r="TQQ59" s="414"/>
      <c r="TQR59" s="414"/>
      <c r="TQS59" s="414"/>
      <c r="TQT59" s="414"/>
      <c r="TQU59" s="414"/>
      <c r="TQV59" s="414"/>
      <c r="TQW59" s="414"/>
      <c r="TQX59" s="414"/>
      <c r="TQY59" s="414"/>
      <c r="TQZ59" s="414"/>
      <c r="TRA59" s="414"/>
      <c r="TRB59" s="414"/>
      <c r="TRC59" s="414"/>
      <c r="TRD59" s="414"/>
      <c r="TRE59" s="414"/>
      <c r="TRF59" s="414"/>
      <c r="TRG59" s="414"/>
      <c r="TRH59" s="414"/>
      <c r="TRI59" s="414"/>
      <c r="TRJ59" s="414"/>
      <c r="TRK59" s="414"/>
      <c r="TRL59" s="414"/>
      <c r="TRM59" s="414"/>
      <c r="TRN59" s="414"/>
      <c r="TRO59" s="414"/>
      <c r="TRP59" s="414"/>
      <c r="TRQ59" s="414"/>
      <c r="TRR59" s="414"/>
      <c r="TRS59" s="414"/>
      <c r="TRT59" s="414"/>
      <c r="TRU59" s="414"/>
      <c r="TRV59" s="414"/>
      <c r="TRW59" s="414"/>
      <c r="TRX59" s="414"/>
      <c r="TRY59" s="414"/>
      <c r="TRZ59" s="414"/>
      <c r="TSA59" s="414"/>
      <c r="TSB59" s="414"/>
      <c r="TSC59" s="414"/>
      <c r="TSD59" s="414"/>
      <c r="TSE59" s="414"/>
      <c r="TSF59" s="414"/>
      <c r="TSG59" s="414"/>
      <c r="TSH59" s="414"/>
      <c r="TSI59" s="414"/>
      <c r="TSJ59" s="414"/>
      <c r="TSK59" s="414"/>
      <c r="TSL59" s="414"/>
      <c r="TSM59" s="414"/>
      <c r="TSN59" s="414"/>
      <c r="TSO59" s="414"/>
      <c r="TSP59" s="414"/>
      <c r="TSQ59" s="414"/>
      <c r="TSR59" s="414"/>
      <c r="TSS59" s="414"/>
      <c r="TST59" s="414"/>
      <c r="TSU59" s="414"/>
      <c r="TSV59" s="414"/>
      <c r="TSW59" s="414"/>
      <c r="TSX59" s="414"/>
      <c r="TSY59" s="414"/>
      <c r="TSZ59" s="414"/>
      <c r="TTA59" s="414"/>
      <c r="TTB59" s="414"/>
      <c r="TTC59" s="414"/>
      <c r="TTD59" s="414"/>
      <c r="TTE59" s="414"/>
      <c r="TTF59" s="414"/>
      <c r="TTG59" s="414"/>
      <c r="TTH59" s="414"/>
      <c r="TTI59" s="414"/>
      <c r="TTJ59" s="414"/>
      <c r="TTK59" s="414"/>
      <c r="TTL59" s="414"/>
      <c r="TTM59" s="414"/>
      <c r="TTN59" s="414"/>
      <c r="TTO59" s="414"/>
      <c r="TTP59" s="414"/>
      <c r="TTQ59" s="414"/>
      <c r="TTR59" s="414"/>
      <c r="TTS59" s="414"/>
      <c r="TTT59" s="414"/>
      <c r="TTU59" s="414"/>
      <c r="TTV59" s="414"/>
      <c r="TTW59" s="414"/>
      <c r="TTX59" s="414"/>
      <c r="TTY59" s="414"/>
      <c r="TTZ59" s="414"/>
      <c r="TUA59" s="414"/>
      <c r="TUB59" s="414"/>
      <c r="TUC59" s="414"/>
      <c r="TUD59" s="414"/>
      <c r="TUE59" s="414"/>
      <c r="TUF59" s="414"/>
      <c r="TUG59" s="414"/>
      <c r="TUH59" s="414"/>
      <c r="TUI59" s="414"/>
      <c r="TUJ59" s="414"/>
      <c r="TUK59" s="414"/>
      <c r="TUL59" s="414"/>
      <c r="TUM59" s="414"/>
      <c r="TUN59" s="414"/>
      <c r="TUO59" s="414"/>
      <c r="TUP59" s="414"/>
      <c r="TUQ59" s="414"/>
      <c r="TUR59" s="414"/>
      <c r="TUS59" s="414"/>
      <c r="TUT59" s="414"/>
      <c r="TUU59" s="414"/>
      <c r="TUV59" s="414"/>
      <c r="TUW59" s="414"/>
      <c r="TUX59" s="414"/>
      <c r="TUY59" s="414"/>
      <c r="TUZ59" s="414"/>
      <c r="TVA59" s="414"/>
      <c r="TVB59" s="414"/>
      <c r="TVC59" s="414"/>
      <c r="TVD59" s="414"/>
      <c r="TVE59" s="414"/>
      <c r="TVF59" s="414"/>
      <c r="TVG59" s="414"/>
      <c r="TVH59" s="414"/>
      <c r="TVI59" s="414"/>
      <c r="TVJ59" s="414"/>
      <c r="TVK59" s="414"/>
      <c r="TVL59" s="414"/>
      <c r="TVM59" s="414"/>
      <c r="TVN59" s="414"/>
      <c r="TVO59" s="414"/>
      <c r="TVP59" s="414"/>
      <c r="TVQ59" s="414"/>
      <c r="TVR59" s="414"/>
      <c r="TVS59" s="414"/>
      <c r="TVT59" s="414"/>
      <c r="TVU59" s="414"/>
      <c r="TVV59" s="414"/>
      <c r="TVW59" s="414"/>
      <c r="TVX59" s="414"/>
      <c r="TVY59" s="414"/>
      <c r="TVZ59" s="414"/>
      <c r="TWA59" s="414"/>
      <c r="TWB59" s="414"/>
      <c r="TWC59" s="414"/>
      <c r="TWD59" s="414"/>
      <c r="TWE59" s="414"/>
      <c r="TWF59" s="414"/>
      <c r="TWG59" s="414"/>
      <c r="TWH59" s="414"/>
      <c r="TWI59" s="414"/>
      <c r="TWJ59" s="414"/>
      <c r="TWK59" s="414"/>
      <c r="TWL59" s="414"/>
      <c r="TWM59" s="414"/>
      <c r="TWN59" s="414"/>
      <c r="TWO59" s="414"/>
      <c r="TWP59" s="414"/>
      <c r="TWQ59" s="414"/>
      <c r="TWR59" s="414"/>
      <c r="TWS59" s="414"/>
      <c r="TWT59" s="414"/>
      <c r="TWU59" s="414"/>
      <c r="TWV59" s="414"/>
      <c r="TWW59" s="414"/>
      <c r="TWX59" s="414"/>
      <c r="TWY59" s="414"/>
      <c r="TWZ59" s="414"/>
      <c r="TXA59" s="414"/>
      <c r="TXB59" s="414"/>
      <c r="TXC59" s="414"/>
      <c r="TXD59" s="414"/>
      <c r="TXE59" s="414"/>
      <c r="TXF59" s="414"/>
      <c r="TXG59" s="414"/>
      <c r="TXH59" s="414"/>
      <c r="TXI59" s="414"/>
      <c r="TXJ59" s="414"/>
      <c r="TXK59" s="414"/>
      <c r="TXL59" s="414"/>
      <c r="TXM59" s="414"/>
      <c r="TXN59" s="414"/>
      <c r="TXO59" s="414"/>
      <c r="TXP59" s="414"/>
      <c r="TXQ59" s="414"/>
      <c r="TXR59" s="414"/>
      <c r="TXS59" s="414"/>
      <c r="TXT59" s="414"/>
      <c r="TXU59" s="414"/>
      <c r="TXV59" s="414"/>
      <c r="TXW59" s="414"/>
      <c r="TXX59" s="414"/>
      <c r="TXY59" s="414"/>
      <c r="TXZ59" s="414"/>
      <c r="TYA59" s="414"/>
      <c r="TYB59" s="414"/>
      <c r="TYC59" s="414"/>
      <c r="TYD59" s="414"/>
      <c r="TYE59" s="414"/>
      <c r="TYF59" s="414"/>
      <c r="TYG59" s="414"/>
      <c r="TYH59" s="414"/>
      <c r="TYI59" s="414"/>
      <c r="TYJ59" s="414"/>
      <c r="TYK59" s="414"/>
      <c r="TYL59" s="414"/>
      <c r="TYM59" s="414"/>
      <c r="TYN59" s="414"/>
      <c r="TYO59" s="414"/>
      <c r="TYP59" s="414"/>
      <c r="TYQ59" s="414"/>
      <c r="TYR59" s="414"/>
      <c r="TYS59" s="414"/>
      <c r="TYT59" s="414"/>
      <c r="TYU59" s="414"/>
      <c r="TYV59" s="414"/>
      <c r="TYW59" s="414"/>
      <c r="TYX59" s="414"/>
      <c r="TYY59" s="414"/>
      <c r="TYZ59" s="414"/>
      <c r="TZA59" s="414"/>
      <c r="TZB59" s="414"/>
      <c r="TZC59" s="414"/>
      <c r="TZD59" s="414"/>
      <c r="TZE59" s="414"/>
      <c r="TZF59" s="414"/>
      <c r="TZG59" s="414"/>
      <c r="TZH59" s="414"/>
      <c r="TZI59" s="414"/>
      <c r="TZJ59" s="414"/>
      <c r="TZK59" s="414"/>
      <c r="TZL59" s="414"/>
      <c r="TZM59" s="414"/>
      <c r="TZN59" s="414"/>
      <c r="TZO59" s="414"/>
      <c r="TZP59" s="414"/>
      <c r="TZQ59" s="414"/>
      <c r="TZR59" s="414"/>
      <c r="TZS59" s="414"/>
      <c r="TZT59" s="414"/>
      <c r="TZU59" s="414"/>
      <c r="TZV59" s="414"/>
      <c r="TZW59" s="414"/>
      <c r="TZX59" s="414"/>
      <c r="TZY59" s="414"/>
      <c r="TZZ59" s="414"/>
      <c r="UAA59" s="414"/>
      <c r="UAB59" s="414"/>
      <c r="UAC59" s="414"/>
      <c r="UAD59" s="414"/>
      <c r="UAE59" s="414"/>
      <c r="UAF59" s="414"/>
      <c r="UAG59" s="414"/>
      <c r="UAH59" s="414"/>
      <c r="UAI59" s="414"/>
      <c r="UAJ59" s="414"/>
      <c r="UAK59" s="414"/>
      <c r="UAL59" s="414"/>
      <c r="UAM59" s="414"/>
      <c r="UAN59" s="414"/>
      <c r="UAO59" s="414"/>
      <c r="UAP59" s="414"/>
      <c r="UAQ59" s="414"/>
      <c r="UAR59" s="414"/>
      <c r="UAS59" s="414"/>
      <c r="UAT59" s="414"/>
      <c r="UAU59" s="414"/>
      <c r="UAV59" s="414"/>
      <c r="UAW59" s="414"/>
      <c r="UAX59" s="414"/>
      <c r="UAY59" s="414"/>
      <c r="UAZ59" s="414"/>
      <c r="UBA59" s="414"/>
      <c r="UBB59" s="414"/>
      <c r="UBC59" s="414"/>
      <c r="UBD59" s="414"/>
      <c r="UBE59" s="414"/>
      <c r="UBF59" s="414"/>
      <c r="UBG59" s="414"/>
      <c r="UBH59" s="414"/>
      <c r="UBI59" s="414"/>
      <c r="UBJ59" s="414"/>
      <c r="UBK59" s="414"/>
      <c r="UBL59" s="414"/>
      <c r="UBM59" s="414"/>
      <c r="UBN59" s="414"/>
      <c r="UBO59" s="414"/>
      <c r="UBP59" s="414"/>
      <c r="UBQ59" s="414"/>
      <c r="UBR59" s="414"/>
      <c r="UBS59" s="414"/>
      <c r="UBT59" s="414"/>
      <c r="UBU59" s="414"/>
      <c r="UBV59" s="414"/>
      <c r="UBW59" s="414"/>
      <c r="UBX59" s="414"/>
      <c r="UBY59" s="414"/>
      <c r="UBZ59" s="414"/>
      <c r="UCA59" s="414"/>
      <c r="UCB59" s="414"/>
      <c r="UCC59" s="414"/>
      <c r="UCD59" s="414"/>
      <c r="UCE59" s="414"/>
      <c r="UCF59" s="414"/>
      <c r="UCG59" s="414"/>
      <c r="UCH59" s="414"/>
      <c r="UCI59" s="414"/>
      <c r="UCJ59" s="414"/>
      <c r="UCK59" s="414"/>
      <c r="UCL59" s="414"/>
      <c r="UCM59" s="414"/>
      <c r="UCN59" s="414"/>
      <c r="UCO59" s="414"/>
      <c r="UCP59" s="414"/>
      <c r="UCQ59" s="414"/>
      <c r="UCR59" s="414"/>
      <c r="UCS59" s="414"/>
      <c r="UCT59" s="414"/>
      <c r="UCU59" s="414"/>
      <c r="UCV59" s="414"/>
      <c r="UCW59" s="414"/>
      <c r="UCX59" s="414"/>
      <c r="UCY59" s="414"/>
      <c r="UCZ59" s="414"/>
      <c r="UDA59" s="414"/>
      <c r="UDB59" s="414"/>
      <c r="UDC59" s="414"/>
      <c r="UDD59" s="414"/>
      <c r="UDE59" s="414"/>
      <c r="UDF59" s="414"/>
      <c r="UDG59" s="414"/>
      <c r="UDH59" s="414"/>
      <c r="UDI59" s="414"/>
      <c r="UDJ59" s="414"/>
      <c r="UDK59" s="414"/>
      <c r="UDL59" s="414"/>
      <c r="UDM59" s="414"/>
      <c r="UDN59" s="414"/>
      <c r="UDO59" s="414"/>
      <c r="UDP59" s="414"/>
      <c r="UDQ59" s="414"/>
      <c r="UDR59" s="414"/>
      <c r="UDS59" s="414"/>
      <c r="UDT59" s="414"/>
      <c r="UDU59" s="414"/>
      <c r="UDV59" s="414"/>
      <c r="UDW59" s="414"/>
      <c r="UDX59" s="414"/>
      <c r="UDY59" s="414"/>
      <c r="UDZ59" s="414"/>
      <c r="UEA59" s="414"/>
      <c r="UEB59" s="414"/>
      <c r="UEC59" s="414"/>
      <c r="UED59" s="414"/>
      <c r="UEE59" s="414"/>
      <c r="UEF59" s="414"/>
      <c r="UEG59" s="414"/>
      <c r="UEH59" s="414"/>
      <c r="UEI59" s="414"/>
      <c r="UEJ59" s="414"/>
      <c r="UEK59" s="414"/>
      <c r="UEL59" s="414"/>
      <c r="UEM59" s="414"/>
      <c r="UEN59" s="414"/>
      <c r="UEO59" s="414"/>
      <c r="UEP59" s="414"/>
      <c r="UEQ59" s="414"/>
      <c r="UER59" s="414"/>
      <c r="UES59" s="414"/>
      <c r="UET59" s="414"/>
      <c r="UEU59" s="414"/>
      <c r="UEV59" s="414"/>
      <c r="UEW59" s="414"/>
      <c r="UEX59" s="414"/>
      <c r="UEY59" s="414"/>
      <c r="UEZ59" s="414"/>
      <c r="UFA59" s="414"/>
      <c r="UFB59" s="414"/>
      <c r="UFC59" s="414"/>
      <c r="UFD59" s="414"/>
      <c r="UFE59" s="414"/>
      <c r="UFF59" s="414"/>
      <c r="UFG59" s="414"/>
      <c r="UFH59" s="414"/>
      <c r="UFI59" s="414"/>
      <c r="UFJ59" s="414"/>
      <c r="UFK59" s="414"/>
      <c r="UFL59" s="414"/>
      <c r="UFM59" s="414"/>
      <c r="UFN59" s="414"/>
      <c r="UFO59" s="414"/>
      <c r="UFP59" s="414"/>
      <c r="UFQ59" s="414"/>
      <c r="UFR59" s="414"/>
      <c r="UFS59" s="414"/>
      <c r="UFT59" s="414"/>
      <c r="UFU59" s="414"/>
      <c r="UFV59" s="414"/>
      <c r="UFW59" s="414"/>
      <c r="UFX59" s="414"/>
      <c r="UFY59" s="414"/>
      <c r="UFZ59" s="414"/>
      <c r="UGA59" s="414"/>
      <c r="UGB59" s="414"/>
      <c r="UGC59" s="414"/>
      <c r="UGD59" s="414"/>
      <c r="UGE59" s="414"/>
      <c r="UGF59" s="414"/>
      <c r="UGG59" s="414"/>
      <c r="UGH59" s="414"/>
      <c r="UGI59" s="414"/>
      <c r="UGJ59" s="414"/>
      <c r="UGK59" s="414"/>
      <c r="UGL59" s="414"/>
      <c r="UGM59" s="414"/>
      <c r="UGN59" s="414"/>
      <c r="UGO59" s="414"/>
      <c r="UGP59" s="414"/>
      <c r="UGQ59" s="414"/>
      <c r="UGR59" s="414"/>
      <c r="UGS59" s="414"/>
      <c r="UGT59" s="414"/>
      <c r="UGU59" s="414"/>
      <c r="UGV59" s="414"/>
      <c r="UGW59" s="414"/>
      <c r="UGX59" s="414"/>
      <c r="UGY59" s="414"/>
      <c r="UGZ59" s="414"/>
      <c r="UHA59" s="414"/>
      <c r="UHB59" s="414"/>
      <c r="UHC59" s="414"/>
      <c r="UHD59" s="414"/>
      <c r="UHE59" s="414"/>
      <c r="UHF59" s="414"/>
      <c r="UHG59" s="414"/>
      <c r="UHH59" s="414"/>
      <c r="UHI59" s="414"/>
      <c r="UHJ59" s="414"/>
      <c r="UHK59" s="414"/>
      <c r="UHL59" s="414"/>
      <c r="UHM59" s="414"/>
      <c r="UHN59" s="414"/>
      <c r="UHO59" s="414"/>
      <c r="UHP59" s="414"/>
      <c r="UHQ59" s="414"/>
      <c r="UHR59" s="414"/>
      <c r="UHS59" s="414"/>
      <c r="UHT59" s="414"/>
      <c r="UHU59" s="414"/>
      <c r="UHV59" s="414"/>
      <c r="UHW59" s="414"/>
      <c r="UHX59" s="414"/>
      <c r="UHY59" s="414"/>
      <c r="UHZ59" s="414"/>
      <c r="UIA59" s="414"/>
      <c r="UIB59" s="414"/>
      <c r="UIC59" s="414"/>
      <c r="UID59" s="414"/>
      <c r="UIE59" s="414"/>
      <c r="UIF59" s="414"/>
      <c r="UIG59" s="414"/>
      <c r="UIH59" s="414"/>
      <c r="UII59" s="414"/>
      <c r="UIJ59" s="414"/>
      <c r="UIK59" s="414"/>
      <c r="UIL59" s="414"/>
      <c r="UIM59" s="414"/>
      <c r="UIN59" s="414"/>
      <c r="UIO59" s="414"/>
      <c r="UIP59" s="414"/>
      <c r="UIQ59" s="414"/>
      <c r="UIR59" s="414"/>
      <c r="UIS59" s="414"/>
      <c r="UIT59" s="414"/>
      <c r="UIU59" s="414"/>
      <c r="UIV59" s="414"/>
      <c r="UIW59" s="414"/>
      <c r="UIX59" s="414"/>
      <c r="UIY59" s="414"/>
      <c r="UIZ59" s="414"/>
      <c r="UJA59" s="414"/>
      <c r="UJB59" s="414"/>
      <c r="UJC59" s="414"/>
      <c r="UJD59" s="414"/>
      <c r="UJE59" s="414"/>
      <c r="UJF59" s="414"/>
      <c r="UJG59" s="414"/>
      <c r="UJH59" s="414"/>
      <c r="UJI59" s="414"/>
      <c r="UJJ59" s="414"/>
      <c r="UJK59" s="414"/>
      <c r="UJL59" s="414"/>
      <c r="UJM59" s="414"/>
      <c r="UJN59" s="414"/>
      <c r="UJO59" s="414"/>
      <c r="UJP59" s="414"/>
      <c r="UJQ59" s="414"/>
      <c r="UJR59" s="414"/>
      <c r="UJS59" s="414"/>
      <c r="UJT59" s="414"/>
      <c r="UJU59" s="414"/>
      <c r="UJV59" s="414"/>
      <c r="UJW59" s="414"/>
      <c r="UJX59" s="414"/>
      <c r="UJY59" s="414"/>
      <c r="UJZ59" s="414"/>
      <c r="UKA59" s="414"/>
      <c r="UKB59" s="414"/>
      <c r="UKC59" s="414"/>
      <c r="UKD59" s="414"/>
      <c r="UKE59" s="414"/>
      <c r="UKF59" s="414"/>
      <c r="UKG59" s="414"/>
      <c r="UKH59" s="414"/>
      <c r="UKI59" s="414"/>
      <c r="UKJ59" s="414"/>
      <c r="UKK59" s="414"/>
      <c r="UKL59" s="414"/>
      <c r="UKM59" s="414"/>
      <c r="UKN59" s="414"/>
      <c r="UKO59" s="414"/>
      <c r="UKP59" s="414"/>
      <c r="UKQ59" s="414"/>
      <c r="UKR59" s="414"/>
      <c r="UKS59" s="414"/>
      <c r="UKT59" s="414"/>
      <c r="UKU59" s="414"/>
      <c r="UKV59" s="414"/>
      <c r="UKW59" s="414"/>
      <c r="UKX59" s="414"/>
      <c r="UKY59" s="414"/>
      <c r="UKZ59" s="414"/>
      <c r="ULA59" s="414"/>
      <c r="ULB59" s="414"/>
      <c r="ULC59" s="414"/>
      <c r="ULD59" s="414"/>
      <c r="ULE59" s="414"/>
      <c r="ULF59" s="414"/>
      <c r="ULG59" s="414"/>
      <c r="ULH59" s="414"/>
      <c r="ULI59" s="414"/>
      <c r="ULJ59" s="414"/>
      <c r="ULK59" s="414"/>
      <c r="ULL59" s="414"/>
      <c r="ULM59" s="414"/>
      <c r="ULN59" s="414"/>
      <c r="ULO59" s="414"/>
      <c r="ULP59" s="414"/>
      <c r="ULQ59" s="414"/>
      <c r="ULR59" s="414"/>
      <c r="ULS59" s="414"/>
      <c r="ULT59" s="414"/>
      <c r="ULU59" s="414"/>
      <c r="ULV59" s="414"/>
      <c r="ULW59" s="414"/>
      <c r="ULX59" s="414"/>
      <c r="ULY59" s="414"/>
      <c r="ULZ59" s="414"/>
      <c r="UMA59" s="414"/>
      <c r="UMB59" s="414"/>
      <c r="UMC59" s="414"/>
      <c r="UMD59" s="414"/>
      <c r="UME59" s="414"/>
      <c r="UMF59" s="414"/>
      <c r="UMG59" s="414"/>
      <c r="UMH59" s="414"/>
      <c r="UMI59" s="414"/>
      <c r="UMJ59" s="414"/>
      <c r="UMK59" s="414"/>
      <c r="UML59" s="414"/>
      <c r="UMM59" s="414"/>
      <c r="UMN59" s="414"/>
      <c r="UMO59" s="414"/>
      <c r="UMP59" s="414"/>
      <c r="UMQ59" s="414"/>
      <c r="UMR59" s="414"/>
      <c r="UMS59" s="414"/>
      <c r="UMT59" s="414"/>
      <c r="UMU59" s="414"/>
      <c r="UMV59" s="414"/>
      <c r="UMW59" s="414"/>
      <c r="UMX59" s="414"/>
      <c r="UMY59" s="414"/>
      <c r="UMZ59" s="414"/>
      <c r="UNA59" s="414"/>
      <c r="UNB59" s="414"/>
      <c r="UNC59" s="414"/>
      <c r="UND59" s="414"/>
      <c r="UNE59" s="414"/>
      <c r="UNF59" s="414"/>
      <c r="UNG59" s="414"/>
      <c r="UNH59" s="414"/>
      <c r="UNI59" s="414"/>
      <c r="UNJ59" s="414"/>
      <c r="UNK59" s="414"/>
      <c r="UNL59" s="414"/>
      <c r="UNM59" s="414"/>
      <c r="UNN59" s="414"/>
      <c r="UNO59" s="414"/>
      <c r="UNP59" s="414"/>
      <c r="UNQ59" s="414"/>
      <c r="UNR59" s="414"/>
      <c r="UNS59" s="414"/>
      <c r="UNT59" s="414"/>
      <c r="UNU59" s="414"/>
      <c r="UNV59" s="414"/>
      <c r="UNW59" s="414"/>
      <c r="UNX59" s="414"/>
      <c r="UNY59" s="414"/>
      <c r="UNZ59" s="414"/>
      <c r="UOA59" s="414"/>
      <c r="UOB59" s="414"/>
      <c r="UOC59" s="414"/>
      <c r="UOD59" s="414"/>
      <c r="UOE59" s="414"/>
      <c r="UOF59" s="414"/>
      <c r="UOG59" s="414"/>
      <c r="UOH59" s="414"/>
      <c r="UOI59" s="414"/>
      <c r="UOJ59" s="414"/>
      <c r="UOK59" s="414"/>
      <c r="UOL59" s="414"/>
      <c r="UOM59" s="414"/>
      <c r="UON59" s="414"/>
      <c r="UOO59" s="414"/>
      <c r="UOP59" s="414"/>
      <c r="UOQ59" s="414"/>
      <c r="UOR59" s="414"/>
      <c r="UOS59" s="414"/>
      <c r="UOT59" s="414"/>
      <c r="UOU59" s="414"/>
      <c r="UOV59" s="414"/>
      <c r="UOW59" s="414"/>
      <c r="UOX59" s="414"/>
      <c r="UOY59" s="414"/>
      <c r="UOZ59" s="414"/>
      <c r="UPA59" s="414"/>
      <c r="UPB59" s="414"/>
      <c r="UPC59" s="414"/>
      <c r="UPD59" s="414"/>
      <c r="UPE59" s="414"/>
      <c r="UPF59" s="414"/>
      <c r="UPG59" s="414"/>
      <c r="UPH59" s="414"/>
      <c r="UPI59" s="414"/>
      <c r="UPJ59" s="414"/>
      <c r="UPK59" s="414"/>
      <c r="UPL59" s="414"/>
      <c r="UPM59" s="414"/>
      <c r="UPN59" s="414"/>
      <c r="UPO59" s="414"/>
      <c r="UPP59" s="414"/>
      <c r="UPQ59" s="414"/>
      <c r="UPR59" s="414"/>
      <c r="UPS59" s="414"/>
      <c r="UPT59" s="414"/>
      <c r="UPU59" s="414"/>
      <c r="UPV59" s="414"/>
      <c r="UPW59" s="414"/>
      <c r="UPX59" s="414"/>
      <c r="UPY59" s="414"/>
      <c r="UPZ59" s="414"/>
      <c r="UQA59" s="414"/>
      <c r="UQB59" s="414"/>
      <c r="UQC59" s="414"/>
      <c r="UQD59" s="414"/>
      <c r="UQE59" s="414"/>
      <c r="UQF59" s="414"/>
      <c r="UQG59" s="414"/>
      <c r="UQH59" s="414"/>
      <c r="UQI59" s="414"/>
      <c r="UQJ59" s="414"/>
      <c r="UQK59" s="414"/>
      <c r="UQL59" s="414"/>
      <c r="UQM59" s="414"/>
      <c r="UQN59" s="414"/>
      <c r="UQO59" s="414"/>
      <c r="UQP59" s="414"/>
      <c r="UQQ59" s="414"/>
      <c r="UQR59" s="414"/>
      <c r="UQS59" s="414"/>
      <c r="UQT59" s="414"/>
      <c r="UQU59" s="414"/>
      <c r="UQV59" s="414"/>
      <c r="UQW59" s="414"/>
      <c r="UQX59" s="414"/>
      <c r="UQY59" s="414"/>
      <c r="UQZ59" s="414"/>
      <c r="URA59" s="414"/>
      <c r="URB59" s="414"/>
      <c r="URC59" s="414"/>
      <c r="URD59" s="414"/>
      <c r="URE59" s="414"/>
      <c r="URF59" s="414"/>
      <c r="URG59" s="414"/>
      <c r="URH59" s="414"/>
      <c r="URI59" s="414"/>
      <c r="URJ59" s="414"/>
      <c r="URK59" s="414"/>
      <c r="URL59" s="414"/>
      <c r="URM59" s="414"/>
      <c r="URN59" s="414"/>
      <c r="URO59" s="414"/>
      <c r="URP59" s="414"/>
      <c r="URQ59" s="414"/>
      <c r="URR59" s="414"/>
      <c r="URS59" s="414"/>
      <c r="URT59" s="414"/>
      <c r="URU59" s="414"/>
      <c r="URV59" s="414"/>
      <c r="URW59" s="414"/>
      <c r="URX59" s="414"/>
      <c r="URY59" s="414"/>
      <c r="URZ59" s="414"/>
      <c r="USA59" s="414"/>
      <c r="USB59" s="414"/>
      <c r="USC59" s="414"/>
      <c r="USD59" s="414"/>
      <c r="USE59" s="414"/>
      <c r="USF59" s="414"/>
      <c r="USG59" s="414"/>
      <c r="USH59" s="414"/>
      <c r="USI59" s="414"/>
      <c r="USJ59" s="414"/>
      <c r="USK59" s="414"/>
      <c r="USL59" s="414"/>
      <c r="USM59" s="414"/>
      <c r="USN59" s="414"/>
      <c r="USO59" s="414"/>
      <c r="USP59" s="414"/>
      <c r="USQ59" s="414"/>
      <c r="USR59" s="414"/>
      <c r="USS59" s="414"/>
      <c r="UST59" s="414"/>
      <c r="USU59" s="414"/>
      <c r="USV59" s="414"/>
      <c r="USW59" s="414"/>
      <c r="USX59" s="414"/>
      <c r="USY59" s="414"/>
      <c r="USZ59" s="414"/>
      <c r="UTA59" s="414"/>
      <c r="UTB59" s="414"/>
      <c r="UTC59" s="414"/>
      <c r="UTD59" s="414"/>
      <c r="UTE59" s="414"/>
      <c r="UTF59" s="414"/>
      <c r="UTG59" s="414"/>
      <c r="UTH59" s="414"/>
      <c r="UTI59" s="414"/>
      <c r="UTJ59" s="414"/>
      <c r="UTK59" s="414"/>
      <c r="UTL59" s="414"/>
      <c r="UTM59" s="414"/>
      <c r="UTN59" s="414"/>
      <c r="UTO59" s="414"/>
      <c r="UTP59" s="414"/>
      <c r="UTQ59" s="414"/>
      <c r="UTR59" s="414"/>
      <c r="UTS59" s="414"/>
      <c r="UTT59" s="414"/>
      <c r="UTU59" s="414"/>
      <c r="UTV59" s="414"/>
      <c r="UTW59" s="414"/>
      <c r="UTX59" s="414"/>
      <c r="UTY59" s="414"/>
      <c r="UTZ59" s="414"/>
      <c r="UUA59" s="414"/>
      <c r="UUB59" s="414"/>
      <c r="UUC59" s="414"/>
      <c r="UUD59" s="414"/>
      <c r="UUE59" s="414"/>
      <c r="UUF59" s="414"/>
      <c r="UUG59" s="414"/>
      <c r="UUH59" s="414"/>
      <c r="UUI59" s="414"/>
      <c r="UUJ59" s="414"/>
      <c r="UUK59" s="414"/>
      <c r="UUL59" s="414"/>
      <c r="UUM59" s="414"/>
      <c r="UUN59" s="414"/>
      <c r="UUO59" s="414"/>
      <c r="UUP59" s="414"/>
      <c r="UUQ59" s="414"/>
      <c r="UUR59" s="414"/>
      <c r="UUS59" s="414"/>
      <c r="UUT59" s="414"/>
      <c r="UUU59" s="414"/>
      <c r="UUV59" s="414"/>
      <c r="UUW59" s="414"/>
      <c r="UUX59" s="414"/>
      <c r="UUY59" s="414"/>
      <c r="UUZ59" s="414"/>
      <c r="UVA59" s="414"/>
      <c r="UVB59" s="414"/>
      <c r="UVC59" s="414"/>
      <c r="UVD59" s="414"/>
      <c r="UVE59" s="414"/>
      <c r="UVF59" s="414"/>
      <c r="UVG59" s="414"/>
      <c r="UVH59" s="414"/>
      <c r="UVI59" s="414"/>
      <c r="UVJ59" s="414"/>
      <c r="UVK59" s="414"/>
      <c r="UVL59" s="414"/>
      <c r="UVM59" s="414"/>
      <c r="UVN59" s="414"/>
      <c r="UVO59" s="414"/>
      <c r="UVP59" s="414"/>
      <c r="UVQ59" s="414"/>
      <c r="UVR59" s="414"/>
      <c r="UVS59" s="414"/>
      <c r="UVT59" s="414"/>
      <c r="UVU59" s="414"/>
      <c r="UVV59" s="414"/>
      <c r="UVW59" s="414"/>
      <c r="UVX59" s="414"/>
      <c r="UVY59" s="414"/>
      <c r="UVZ59" s="414"/>
      <c r="UWA59" s="414"/>
      <c r="UWB59" s="414"/>
      <c r="UWC59" s="414"/>
      <c r="UWD59" s="414"/>
      <c r="UWE59" s="414"/>
      <c r="UWF59" s="414"/>
      <c r="UWG59" s="414"/>
      <c r="UWH59" s="414"/>
      <c r="UWI59" s="414"/>
      <c r="UWJ59" s="414"/>
      <c r="UWK59" s="414"/>
      <c r="UWL59" s="414"/>
      <c r="UWM59" s="414"/>
      <c r="UWN59" s="414"/>
      <c r="UWO59" s="414"/>
      <c r="UWP59" s="414"/>
      <c r="UWQ59" s="414"/>
      <c r="UWR59" s="414"/>
      <c r="UWS59" s="414"/>
      <c r="UWT59" s="414"/>
      <c r="UWU59" s="414"/>
      <c r="UWV59" s="414"/>
      <c r="UWW59" s="414"/>
      <c r="UWX59" s="414"/>
      <c r="UWY59" s="414"/>
      <c r="UWZ59" s="414"/>
      <c r="UXA59" s="414"/>
      <c r="UXB59" s="414"/>
      <c r="UXC59" s="414"/>
      <c r="UXD59" s="414"/>
      <c r="UXE59" s="414"/>
      <c r="UXF59" s="414"/>
      <c r="UXG59" s="414"/>
      <c r="UXH59" s="414"/>
      <c r="UXI59" s="414"/>
      <c r="UXJ59" s="414"/>
      <c r="UXK59" s="414"/>
      <c r="UXL59" s="414"/>
      <c r="UXM59" s="414"/>
      <c r="UXN59" s="414"/>
      <c r="UXO59" s="414"/>
      <c r="UXP59" s="414"/>
      <c r="UXQ59" s="414"/>
      <c r="UXR59" s="414"/>
      <c r="UXS59" s="414"/>
      <c r="UXT59" s="414"/>
      <c r="UXU59" s="414"/>
      <c r="UXV59" s="414"/>
      <c r="UXW59" s="414"/>
      <c r="UXX59" s="414"/>
      <c r="UXY59" s="414"/>
      <c r="UXZ59" s="414"/>
      <c r="UYA59" s="414"/>
      <c r="UYB59" s="414"/>
      <c r="UYC59" s="414"/>
      <c r="UYD59" s="414"/>
      <c r="UYE59" s="414"/>
      <c r="UYF59" s="414"/>
      <c r="UYG59" s="414"/>
      <c r="UYH59" s="414"/>
      <c r="UYI59" s="414"/>
      <c r="UYJ59" s="414"/>
      <c r="UYK59" s="414"/>
      <c r="UYL59" s="414"/>
      <c r="UYM59" s="414"/>
      <c r="UYN59" s="414"/>
      <c r="UYO59" s="414"/>
      <c r="UYP59" s="414"/>
      <c r="UYQ59" s="414"/>
      <c r="UYR59" s="414"/>
      <c r="UYS59" s="414"/>
      <c r="UYT59" s="414"/>
      <c r="UYU59" s="414"/>
      <c r="UYV59" s="414"/>
      <c r="UYW59" s="414"/>
      <c r="UYX59" s="414"/>
      <c r="UYY59" s="414"/>
      <c r="UYZ59" s="414"/>
      <c r="UZA59" s="414"/>
      <c r="UZB59" s="414"/>
      <c r="UZC59" s="414"/>
      <c r="UZD59" s="414"/>
      <c r="UZE59" s="414"/>
      <c r="UZF59" s="414"/>
      <c r="UZG59" s="414"/>
      <c r="UZH59" s="414"/>
      <c r="UZI59" s="414"/>
      <c r="UZJ59" s="414"/>
      <c r="UZK59" s="414"/>
      <c r="UZL59" s="414"/>
      <c r="UZM59" s="414"/>
      <c r="UZN59" s="414"/>
      <c r="UZO59" s="414"/>
      <c r="UZP59" s="414"/>
      <c r="UZQ59" s="414"/>
      <c r="UZR59" s="414"/>
      <c r="UZS59" s="414"/>
      <c r="UZT59" s="414"/>
      <c r="UZU59" s="414"/>
      <c r="UZV59" s="414"/>
      <c r="UZW59" s="414"/>
      <c r="UZX59" s="414"/>
      <c r="UZY59" s="414"/>
      <c r="UZZ59" s="414"/>
      <c r="VAA59" s="414"/>
      <c r="VAB59" s="414"/>
      <c r="VAC59" s="414"/>
      <c r="VAD59" s="414"/>
      <c r="VAE59" s="414"/>
      <c r="VAF59" s="414"/>
      <c r="VAG59" s="414"/>
      <c r="VAH59" s="414"/>
      <c r="VAI59" s="414"/>
      <c r="VAJ59" s="414"/>
      <c r="VAK59" s="414"/>
      <c r="VAL59" s="414"/>
      <c r="VAM59" s="414"/>
      <c r="VAN59" s="414"/>
      <c r="VAO59" s="414"/>
      <c r="VAP59" s="414"/>
      <c r="VAQ59" s="414"/>
      <c r="VAR59" s="414"/>
      <c r="VAS59" s="414"/>
      <c r="VAT59" s="414"/>
      <c r="VAU59" s="414"/>
      <c r="VAV59" s="414"/>
      <c r="VAW59" s="414"/>
      <c r="VAX59" s="414"/>
      <c r="VAY59" s="414"/>
      <c r="VAZ59" s="414"/>
      <c r="VBA59" s="414"/>
      <c r="VBB59" s="414"/>
      <c r="VBC59" s="414"/>
      <c r="VBD59" s="414"/>
      <c r="VBE59" s="414"/>
      <c r="VBF59" s="414"/>
      <c r="VBG59" s="414"/>
      <c r="VBH59" s="414"/>
      <c r="VBI59" s="414"/>
      <c r="VBJ59" s="414"/>
      <c r="VBK59" s="414"/>
      <c r="VBL59" s="414"/>
      <c r="VBM59" s="414"/>
      <c r="VBN59" s="414"/>
      <c r="VBO59" s="414"/>
      <c r="VBP59" s="414"/>
      <c r="VBQ59" s="414"/>
      <c r="VBR59" s="414"/>
      <c r="VBS59" s="414"/>
      <c r="VBT59" s="414"/>
      <c r="VBU59" s="414"/>
      <c r="VBV59" s="414"/>
      <c r="VBW59" s="414"/>
      <c r="VBX59" s="414"/>
      <c r="VBY59" s="414"/>
      <c r="VBZ59" s="414"/>
      <c r="VCA59" s="414"/>
      <c r="VCB59" s="414"/>
      <c r="VCC59" s="414"/>
      <c r="VCD59" s="414"/>
      <c r="VCE59" s="414"/>
      <c r="VCF59" s="414"/>
      <c r="VCG59" s="414"/>
      <c r="VCH59" s="414"/>
      <c r="VCI59" s="414"/>
      <c r="VCJ59" s="414"/>
      <c r="VCK59" s="414"/>
      <c r="VCL59" s="414"/>
      <c r="VCM59" s="414"/>
      <c r="VCN59" s="414"/>
      <c r="VCO59" s="414"/>
      <c r="VCP59" s="414"/>
      <c r="VCQ59" s="414"/>
      <c r="VCR59" s="414"/>
      <c r="VCS59" s="414"/>
      <c r="VCT59" s="414"/>
      <c r="VCU59" s="414"/>
      <c r="VCV59" s="414"/>
      <c r="VCW59" s="414"/>
      <c r="VCX59" s="414"/>
      <c r="VCY59" s="414"/>
      <c r="VCZ59" s="414"/>
      <c r="VDA59" s="414"/>
      <c r="VDB59" s="414"/>
      <c r="VDC59" s="414"/>
      <c r="VDD59" s="414"/>
      <c r="VDE59" s="414"/>
      <c r="VDF59" s="414"/>
      <c r="VDG59" s="414"/>
      <c r="VDH59" s="414"/>
      <c r="VDI59" s="414"/>
      <c r="VDJ59" s="414"/>
      <c r="VDK59" s="414"/>
      <c r="VDL59" s="414"/>
      <c r="VDM59" s="414"/>
      <c r="VDN59" s="414"/>
      <c r="VDO59" s="414"/>
      <c r="VDP59" s="414"/>
      <c r="VDQ59" s="414"/>
      <c r="VDR59" s="414"/>
      <c r="VDS59" s="414"/>
      <c r="VDT59" s="414"/>
      <c r="VDU59" s="414"/>
      <c r="VDV59" s="414"/>
      <c r="VDW59" s="414"/>
      <c r="VDX59" s="414"/>
      <c r="VDY59" s="414"/>
      <c r="VDZ59" s="414"/>
      <c r="VEA59" s="414"/>
      <c r="VEB59" s="414"/>
      <c r="VEC59" s="414"/>
      <c r="VED59" s="414"/>
      <c r="VEE59" s="414"/>
      <c r="VEF59" s="414"/>
      <c r="VEG59" s="414"/>
      <c r="VEH59" s="414"/>
      <c r="VEI59" s="414"/>
      <c r="VEJ59" s="414"/>
      <c r="VEK59" s="414"/>
      <c r="VEL59" s="414"/>
      <c r="VEM59" s="414"/>
      <c r="VEN59" s="414"/>
      <c r="VEO59" s="414"/>
      <c r="VEP59" s="414"/>
      <c r="VEQ59" s="414"/>
      <c r="VER59" s="414"/>
      <c r="VES59" s="414"/>
      <c r="VET59" s="414"/>
      <c r="VEU59" s="414"/>
      <c r="VEV59" s="414"/>
      <c r="VEW59" s="414"/>
      <c r="VEX59" s="414"/>
      <c r="VEY59" s="414"/>
      <c r="VEZ59" s="414"/>
      <c r="VFA59" s="414"/>
      <c r="VFB59" s="414"/>
      <c r="VFC59" s="414"/>
      <c r="VFD59" s="414"/>
      <c r="VFE59" s="414"/>
      <c r="VFF59" s="414"/>
      <c r="VFG59" s="414"/>
      <c r="VFH59" s="414"/>
      <c r="VFI59" s="414"/>
      <c r="VFJ59" s="414"/>
      <c r="VFK59" s="414"/>
      <c r="VFL59" s="414"/>
      <c r="VFM59" s="414"/>
      <c r="VFN59" s="414"/>
      <c r="VFO59" s="414"/>
      <c r="VFP59" s="414"/>
      <c r="VFQ59" s="414"/>
      <c r="VFR59" s="414"/>
      <c r="VFS59" s="414"/>
      <c r="VFT59" s="414"/>
      <c r="VFU59" s="414"/>
      <c r="VFV59" s="414"/>
      <c r="VFW59" s="414"/>
      <c r="VFX59" s="414"/>
      <c r="VFY59" s="414"/>
      <c r="VFZ59" s="414"/>
      <c r="VGA59" s="414"/>
      <c r="VGB59" s="414"/>
      <c r="VGC59" s="414"/>
      <c r="VGD59" s="414"/>
      <c r="VGE59" s="414"/>
      <c r="VGF59" s="414"/>
      <c r="VGG59" s="414"/>
      <c r="VGH59" s="414"/>
      <c r="VGI59" s="414"/>
      <c r="VGJ59" s="414"/>
      <c r="VGK59" s="414"/>
      <c r="VGL59" s="414"/>
      <c r="VGM59" s="414"/>
      <c r="VGN59" s="414"/>
      <c r="VGO59" s="414"/>
      <c r="VGP59" s="414"/>
      <c r="VGQ59" s="414"/>
      <c r="VGR59" s="414"/>
      <c r="VGS59" s="414"/>
      <c r="VGT59" s="414"/>
      <c r="VGU59" s="414"/>
      <c r="VGV59" s="414"/>
      <c r="VGW59" s="414"/>
      <c r="VGX59" s="414"/>
      <c r="VGY59" s="414"/>
      <c r="VGZ59" s="414"/>
      <c r="VHA59" s="414"/>
      <c r="VHB59" s="414"/>
      <c r="VHC59" s="414"/>
      <c r="VHD59" s="414"/>
      <c r="VHE59" s="414"/>
      <c r="VHF59" s="414"/>
      <c r="VHG59" s="414"/>
      <c r="VHH59" s="414"/>
      <c r="VHI59" s="414"/>
      <c r="VHJ59" s="414"/>
      <c r="VHK59" s="414"/>
      <c r="VHL59" s="414"/>
      <c r="VHM59" s="414"/>
      <c r="VHN59" s="414"/>
      <c r="VHO59" s="414"/>
      <c r="VHP59" s="414"/>
      <c r="VHQ59" s="414"/>
      <c r="VHR59" s="414"/>
      <c r="VHS59" s="414"/>
      <c r="VHT59" s="414"/>
      <c r="VHU59" s="414"/>
      <c r="VHV59" s="414"/>
      <c r="VHW59" s="414"/>
      <c r="VHX59" s="414"/>
      <c r="VHY59" s="414"/>
      <c r="VHZ59" s="414"/>
      <c r="VIA59" s="414"/>
      <c r="VIB59" s="414"/>
      <c r="VIC59" s="414"/>
      <c r="VID59" s="414"/>
      <c r="VIE59" s="414"/>
      <c r="VIF59" s="414"/>
      <c r="VIG59" s="414"/>
      <c r="VIH59" s="414"/>
      <c r="VII59" s="414"/>
      <c r="VIJ59" s="414"/>
      <c r="VIK59" s="414"/>
      <c r="VIL59" s="414"/>
      <c r="VIM59" s="414"/>
      <c r="VIN59" s="414"/>
      <c r="VIO59" s="414"/>
      <c r="VIP59" s="414"/>
      <c r="VIQ59" s="414"/>
      <c r="VIR59" s="414"/>
      <c r="VIS59" s="414"/>
      <c r="VIT59" s="414"/>
      <c r="VIU59" s="414"/>
      <c r="VIV59" s="414"/>
      <c r="VIW59" s="414"/>
      <c r="VIX59" s="414"/>
      <c r="VIY59" s="414"/>
      <c r="VIZ59" s="414"/>
      <c r="VJA59" s="414"/>
      <c r="VJB59" s="414"/>
      <c r="VJC59" s="414"/>
      <c r="VJD59" s="414"/>
      <c r="VJE59" s="414"/>
      <c r="VJF59" s="414"/>
      <c r="VJG59" s="414"/>
      <c r="VJH59" s="414"/>
      <c r="VJI59" s="414"/>
      <c r="VJJ59" s="414"/>
      <c r="VJK59" s="414"/>
      <c r="VJL59" s="414"/>
      <c r="VJM59" s="414"/>
      <c r="VJN59" s="414"/>
      <c r="VJO59" s="414"/>
      <c r="VJP59" s="414"/>
      <c r="VJQ59" s="414"/>
      <c r="VJR59" s="414"/>
      <c r="VJS59" s="414"/>
      <c r="VJT59" s="414"/>
      <c r="VJU59" s="414"/>
      <c r="VJV59" s="414"/>
      <c r="VJW59" s="414"/>
      <c r="VJX59" s="414"/>
      <c r="VJY59" s="414"/>
      <c r="VJZ59" s="414"/>
      <c r="VKA59" s="414"/>
      <c r="VKB59" s="414"/>
      <c r="VKC59" s="414"/>
      <c r="VKD59" s="414"/>
      <c r="VKE59" s="414"/>
      <c r="VKF59" s="414"/>
      <c r="VKG59" s="414"/>
      <c r="VKH59" s="414"/>
      <c r="VKI59" s="414"/>
      <c r="VKJ59" s="414"/>
      <c r="VKK59" s="414"/>
      <c r="VKL59" s="414"/>
      <c r="VKM59" s="414"/>
      <c r="VKN59" s="414"/>
      <c r="VKO59" s="414"/>
      <c r="VKP59" s="414"/>
      <c r="VKQ59" s="414"/>
      <c r="VKR59" s="414"/>
      <c r="VKS59" s="414"/>
      <c r="VKT59" s="414"/>
      <c r="VKU59" s="414"/>
      <c r="VKV59" s="414"/>
      <c r="VKW59" s="414"/>
      <c r="VKX59" s="414"/>
      <c r="VKY59" s="414"/>
      <c r="VKZ59" s="414"/>
      <c r="VLA59" s="414"/>
      <c r="VLB59" s="414"/>
      <c r="VLC59" s="414"/>
      <c r="VLD59" s="414"/>
      <c r="VLE59" s="414"/>
      <c r="VLF59" s="414"/>
      <c r="VLG59" s="414"/>
      <c r="VLH59" s="414"/>
      <c r="VLI59" s="414"/>
      <c r="VLJ59" s="414"/>
      <c r="VLK59" s="414"/>
      <c r="VLL59" s="414"/>
      <c r="VLM59" s="414"/>
      <c r="VLN59" s="414"/>
      <c r="VLO59" s="414"/>
      <c r="VLP59" s="414"/>
      <c r="VLQ59" s="414"/>
      <c r="VLR59" s="414"/>
      <c r="VLS59" s="414"/>
      <c r="VLT59" s="414"/>
      <c r="VLU59" s="414"/>
      <c r="VLV59" s="414"/>
      <c r="VLW59" s="414"/>
      <c r="VLX59" s="414"/>
      <c r="VLY59" s="414"/>
      <c r="VLZ59" s="414"/>
      <c r="VMA59" s="414"/>
      <c r="VMB59" s="414"/>
      <c r="VMC59" s="414"/>
      <c r="VMD59" s="414"/>
      <c r="VME59" s="414"/>
      <c r="VMF59" s="414"/>
      <c r="VMG59" s="414"/>
      <c r="VMH59" s="414"/>
      <c r="VMI59" s="414"/>
      <c r="VMJ59" s="414"/>
      <c r="VMK59" s="414"/>
      <c r="VML59" s="414"/>
      <c r="VMM59" s="414"/>
      <c r="VMN59" s="414"/>
      <c r="VMO59" s="414"/>
      <c r="VMP59" s="414"/>
      <c r="VMQ59" s="414"/>
      <c r="VMR59" s="414"/>
      <c r="VMS59" s="414"/>
      <c r="VMT59" s="414"/>
      <c r="VMU59" s="414"/>
      <c r="VMV59" s="414"/>
      <c r="VMW59" s="414"/>
      <c r="VMX59" s="414"/>
      <c r="VMY59" s="414"/>
      <c r="VMZ59" s="414"/>
      <c r="VNA59" s="414"/>
      <c r="VNB59" s="414"/>
      <c r="VNC59" s="414"/>
      <c r="VND59" s="414"/>
      <c r="VNE59" s="414"/>
      <c r="VNF59" s="414"/>
      <c r="VNG59" s="414"/>
      <c r="VNH59" s="414"/>
      <c r="VNI59" s="414"/>
      <c r="VNJ59" s="414"/>
      <c r="VNK59" s="414"/>
      <c r="VNL59" s="414"/>
      <c r="VNM59" s="414"/>
      <c r="VNN59" s="414"/>
      <c r="VNO59" s="414"/>
      <c r="VNP59" s="414"/>
      <c r="VNQ59" s="414"/>
      <c r="VNR59" s="414"/>
      <c r="VNS59" s="414"/>
      <c r="VNT59" s="414"/>
      <c r="VNU59" s="414"/>
      <c r="VNV59" s="414"/>
      <c r="VNW59" s="414"/>
      <c r="VNX59" s="414"/>
      <c r="VNY59" s="414"/>
      <c r="VNZ59" s="414"/>
      <c r="VOA59" s="414"/>
      <c r="VOB59" s="414"/>
      <c r="VOC59" s="414"/>
      <c r="VOD59" s="414"/>
      <c r="VOE59" s="414"/>
      <c r="VOF59" s="414"/>
      <c r="VOG59" s="414"/>
      <c r="VOH59" s="414"/>
      <c r="VOI59" s="414"/>
      <c r="VOJ59" s="414"/>
      <c r="VOK59" s="414"/>
      <c r="VOL59" s="414"/>
      <c r="VOM59" s="414"/>
      <c r="VON59" s="414"/>
      <c r="VOO59" s="414"/>
      <c r="VOP59" s="414"/>
      <c r="VOQ59" s="414"/>
      <c r="VOR59" s="414"/>
      <c r="VOS59" s="414"/>
      <c r="VOT59" s="414"/>
      <c r="VOU59" s="414"/>
      <c r="VOV59" s="414"/>
      <c r="VOW59" s="414"/>
      <c r="VOX59" s="414"/>
      <c r="VOY59" s="414"/>
      <c r="VOZ59" s="414"/>
      <c r="VPA59" s="414"/>
      <c r="VPB59" s="414"/>
      <c r="VPC59" s="414"/>
      <c r="VPD59" s="414"/>
      <c r="VPE59" s="414"/>
      <c r="VPF59" s="414"/>
      <c r="VPG59" s="414"/>
      <c r="VPH59" s="414"/>
      <c r="VPI59" s="414"/>
      <c r="VPJ59" s="414"/>
      <c r="VPK59" s="414"/>
      <c r="VPL59" s="414"/>
      <c r="VPM59" s="414"/>
      <c r="VPN59" s="414"/>
      <c r="VPO59" s="414"/>
      <c r="VPP59" s="414"/>
      <c r="VPQ59" s="414"/>
      <c r="VPR59" s="414"/>
      <c r="VPS59" s="414"/>
      <c r="VPT59" s="414"/>
      <c r="VPU59" s="414"/>
      <c r="VPV59" s="414"/>
      <c r="VPW59" s="414"/>
      <c r="VPX59" s="414"/>
      <c r="VPY59" s="414"/>
      <c r="VPZ59" s="414"/>
      <c r="VQA59" s="414"/>
      <c r="VQB59" s="414"/>
      <c r="VQC59" s="414"/>
      <c r="VQD59" s="414"/>
      <c r="VQE59" s="414"/>
      <c r="VQF59" s="414"/>
      <c r="VQG59" s="414"/>
      <c r="VQH59" s="414"/>
      <c r="VQI59" s="414"/>
      <c r="VQJ59" s="414"/>
      <c r="VQK59" s="414"/>
      <c r="VQL59" s="414"/>
      <c r="VQM59" s="414"/>
      <c r="VQN59" s="414"/>
      <c r="VQO59" s="414"/>
      <c r="VQP59" s="414"/>
      <c r="VQQ59" s="414"/>
      <c r="VQR59" s="414"/>
      <c r="VQS59" s="414"/>
      <c r="VQT59" s="414"/>
      <c r="VQU59" s="414"/>
      <c r="VQV59" s="414"/>
      <c r="VQW59" s="414"/>
      <c r="VQX59" s="414"/>
      <c r="VQY59" s="414"/>
      <c r="VQZ59" s="414"/>
      <c r="VRA59" s="414"/>
      <c r="VRB59" s="414"/>
      <c r="VRC59" s="414"/>
      <c r="VRD59" s="414"/>
      <c r="VRE59" s="414"/>
      <c r="VRF59" s="414"/>
      <c r="VRG59" s="414"/>
      <c r="VRH59" s="414"/>
      <c r="VRI59" s="414"/>
      <c r="VRJ59" s="414"/>
      <c r="VRK59" s="414"/>
      <c r="VRL59" s="414"/>
      <c r="VRM59" s="414"/>
      <c r="VRN59" s="414"/>
      <c r="VRO59" s="414"/>
      <c r="VRP59" s="414"/>
      <c r="VRQ59" s="414"/>
      <c r="VRR59" s="414"/>
      <c r="VRS59" s="414"/>
      <c r="VRT59" s="414"/>
      <c r="VRU59" s="414"/>
      <c r="VRV59" s="414"/>
      <c r="VRW59" s="414"/>
      <c r="VRX59" s="414"/>
      <c r="VRY59" s="414"/>
      <c r="VRZ59" s="414"/>
      <c r="VSA59" s="414"/>
      <c r="VSB59" s="414"/>
      <c r="VSC59" s="414"/>
      <c r="VSD59" s="414"/>
      <c r="VSE59" s="414"/>
      <c r="VSF59" s="414"/>
      <c r="VSG59" s="414"/>
      <c r="VSH59" s="414"/>
      <c r="VSI59" s="414"/>
      <c r="VSJ59" s="414"/>
      <c r="VSK59" s="414"/>
      <c r="VSL59" s="414"/>
      <c r="VSM59" s="414"/>
      <c r="VSN59" s="414"/>
      <c r="VSO59" s="414"/>
      <c r="VSP59" s="414"/>
      <c r="VSQ59" s="414"/>
      <c r="VSR59" s="414"/>
      <c r="VSS59" s="414"/>
      <c r="VST59" s="414"/>
      <c r="VSU59" s="414"/>
      <c r="VSV59" s="414"/>
      <c r="VSW59" s="414"/>
      <c r="VSX59" s="414"/>
      <c r="VSY59" s="414"/>
      <c r="VSZ59" s="414"/>
      <c r="VTA59" s="414"/>
      <c r="VTB59" s="414"/>
      <c r="VTC59" s="414"/>
      <c r="VTD59" s="414"/>
      <c r="VTE59" s="414"/>
      <c r="VTF59" s="414"/>
      <c r="VTG59" s="414"/>
      <c r="VTH59" s="414"/>
      <c r="VTI59" s="414"/>
      <c r="VTJ59" s="414"/>
      <c r="VTK59" s="414"/>
      <c r="VTL59" s="414"/>
      <c r="VTM59" s="414"/>
      <c r="VTN59" s="414"/>
      <c r="VTO59" s="414"/>
      <c r="VTP59" s="414"/>
      <c r="VTQ59" s="414"/>
      <c r="VTR59" s="414"/>
      <c r="VTS59" s="414"/>
      <c r="VTT59" s="414"/>
      <c r="VTU59" s="414"/>
      <c r="VTV59" s="414"/>
      <c r="VTW59" s="414"/>
      <c r="VTX59" s="414"/>
      <c r="VTY59" s="414"/>
      <c r="VTZ59" s="414"/>
      <c r="VUA59" s="414"/>
      <c r="VUB59" s="414"/>
      <c r="VUC59" s="414"/>
      <c r="VUD59" s="414"/>
      <c r="VUE59" s="414"/>
      <c r="VUF59" s="414"/>
      <c r="VUG59" s="414"/>
      <c r="VUH59" s="414"/>
      <c r="VUI59" s="414"/>
      <c r="VUJ59" s="414"/>
      <c r="VUK59" s="414"/>
      <c r="VUL59" s="414"/>
      <c r="VUM59" s="414"/>
      <c r="VUN59" s="414"/>
      <c r="VUO59" s="414"/>
      <c r="VUP59" s="414"/>
      <c r="VUQ59" s="414"/>
      <c r="VUR59" s="414"/>
      <c r="VUS59" s="414"/>
      <c r="VUT59" s="414"/>
      <c r="VUU59" s="414"/>
      <c r="VUV59" s="414"/>
      <c r="VUW59" s="414"/>
      <c r="VUX59" s="414"/>
      <c r="VUY59" s="414"/>
      <c r="VUZ59" s="414"/>
      <c r="VVA59" s="414"/>
      <c r="VVB59" s="414"/>
      <c r="VVC59" s="414"/>
      <c r="VVD59" s="414"/>
      <c r="VVE59" s="414"/>
      <c r="VVF59" s="414"/>
      <c r="VVG59" s="414"/>
      <c r="VVH59" s="414"/>
      <c r="VVI59" s="414"/>
      <c r="VVJ59" s="414"/>
      <c r="VVK59" s="414"/>
      <c r="VVL59" s="414"/>
      <c r="VVM59" s="414"/>
      <c r="VVN59" s="414"/>
      <c r="VVO59" s="414"/>
      <c r="VVP59" s="414"/>
      <c r="VVQ59" s="414"/>
      <c r="VVR59" s="414"/>
      <c r="VVS59" s="414"/>
      <c r="VVT59" s="414"/>
      <c r="VVU59" s="414"/>
      <c r="VVV59" s="414"/>
      <c r="VVW59" s="414"/>
      <c r="VVX59" s="414"/>
      <c r="VVY59" s="414"/>
      <c r="VVZ59" s="414"/>
      <c r="VWA59" s="414"/>
      <c r="VWB59" s="414"/>
      <c r="VWC59" s="414"/>
      <c r="VWD59" s="414"/>
      <c r="VWE59" s="414"/>
      <c r="VWF59" s="414"/>
      <c r="VWG59" s="414"/>
      <c r="VWH59" s="414"/>
      <c r="VWI59" s="414"/>
      <c r="VWJ59" s="414"/>
      <c r="VWK59" s="414"/>
      <c r="VWL59" s="414"/>
      <c r="VWM59" s="414"/>
      <c r="VWN59" s="414"/>
      <c r="VWO59" s="414"/>
      <c r="VWP59" s="414"/>
      <c r="VWQ59" s="414"/>
      <c r="VWR59" s="414"/>
      <c r="VWS59" s="414"/>
      <c r="VWT59" s="414"/>
      <c r="VWU59" s="414"/>
      <c r="VWV59" s="414"/>
      <c r="VWW59" s="414"/>
      <c r="VWX59" s="414"/>
      <c r="VWY59" s="414"/>
      <c r="VWZ59" s="414"/>
      <c r="VXA59" s="414"/>
      <c r="VXB59" s="414"/>
      <c r="VXC59" s="414"/>
      <c r="VXD59" s="414"/>
      <c r="VXE59" s="414"/>
      <c r="VXF59" s="414"/>
      <c r="VXG59" s="414"/>
      <c r="VXH59" s="414"/>
      <c r="VXI59" s="414"/>
      <c r="VXJ59" s="414"/>
      <c r="VXK59" s="414"/>
      <c r="VXL59" s="414"/>
      <c r="VXM59" s="414"/>
      <c r="VXN59" s="414"/>
      <c r="VXO59" s="414"/>
      <c r="VXP59" s="414"/>
      <c r="VXQ59" s="414"/>
      <c r="VXR59" s="414"/>
      <c r="VXS59" s="414"/>
      <c r="VXT59" s="414"/>
      <c r="VXU59" s="414"/>
      <c r="VXV59" s="414"/>
      <c r="VXW59" s="414"/>
      <c r="VXX59" s="414"/>
      <c r="VXY59" s="414"/>
      <c r="VXZ59" s="414"/>
      <c r="VYA59" s="414"/>
      <c r="VYB59" s="414"/>
      <c r="VYC59" s="414"/>
      <c r="VYD59" s="414"/>
      <c r="VYE59" s="414"/>
      <c r="VYF59" s="414"/>
      <c r="VYG59" s="414"/>
      <c r="VYH59" s="414"/>
      <c r="VYI59" s="414"/>
      <c r="VYJ59" s="414"/>
      <c r="VYK59" s="414"/>
      <c r="VYL59" s="414"/>
      <c r="VYM59" s="414"/>
      <c r="VYN59" s="414"/>
      <c r="VYO59" s="414"/>
      <c r="VYP59" s="414"/>
      <c r="VYQ59" s="414"/>
      <c r="VYR59" s="414"/>
      <c r="VYS59" s="414"/>
      <c r="VYT59" s="414"/>
      <c r="VYU59" s="414"/>
      <c r="VYV59" s="414"/>
      <c r="VYW59" s="414"/>
      <c r="VYX59" s="414"/>
      <c r="VYY59" s="414"/>
      <c r="VYZ59" s="414"/>
      <c r="VZA59" s="414"/>
      <c r="VZB59" s="414"/>
      <c r="VZC59" s="414"/>
      <c r="VZD59" s="414"/>
      <c r="VZE59" s="414"/>
      <c r="VZF59" s="414"/>
      <c r="VZG59" s="414"/>
      <c r="VZH59" s="414"/>
      <c r="VZI59" s="414"/>
      <c r="VZJ59" s="414"/>
      <c r="VZK59" s="414"/>
      <c r="VZL59" s="414"/>
      <c r="VZM59" s="414"/>
      <c r="VZN59" s="414"/>
      <c r="VZO59" s="414"/>
      <c r="VZP59" s="414"/>
      <c r="VZQ59" s="414"/>
      <c r="VZR59" s="414"/>
      <c r="VZS59" s="414"/>
      <c r="VZT59" s="414"/>
      <c r="VZU59" s="414"/>
      <c r="VZV59" s="414"/>
      <c r="VZW59" s="414"/>
      <c r="VZX59" s="414"/>
      <c r="VZY59" s="414"/>
      <c r="VZZ59" s="414"/>
      <c r="WAA59" s="414"/>
      <c r="WAB59" s="414"/>
      <c r="WAC59" s="414"/>
      <c r="WAD59" s="414"/>
      <c r="WAE59" s="414"/>
      <c r="WAF59" s="414"/>
      <c r="WAG59" s="414"/>
      <c r="WAH59" s="414"/>
      <c r="WAI59" s="414"/>
      <c r="WAJ59" s="414"/>
      <c r="WAK59" s="414"/>
      <c r="WAL59" s="414"/>
      <c r="WAM59" s="414"/>
      <c r="WAN59" s="414"/>
      <c r="WAO59" s="414"/>
      <c r="WAP59" s="414"/>
      <c r="WAQ59" s="414"/>
      <c r="WAR59" s="414"/>
      <c r="WAS59" s="414"/>
      <c r="WAT59" s="414"/>
      <c r="WAU59" s="414"/>
      <c r="WAV59" s="414"/>
      <c r="WAW59" s="414"/>
      <c r="WAX59" s="414"/>
      <c r="WAY59" s="414"/>
      <c r="WAZ59" s="414"/>
      <c r="WBA59" s="414"/>
      <c r="WBB59" s="414"/>
      <c r="WBC59" s="414"/>
      <c r="WBD59" s="414"/>
      <c r="WBE59" s="414"/>
      <c r="WBF59" s="414"/>
      <c r="WBG59" s="414"/>
      <c r="WBH59" s="414"/>
      <c r="WBI59" s="414"/>
      <c r="WBJ59" s="414"/>
      <c r="WBK59" s="414"/>
      <c r="WBL59" s="414"/>
      <c r="WBM59" s="414"/>
      <c r="WBN59" s="414"/>
      <c r="WBO59" s="414"/>
      <c r="WBP59" s="414"/>
      <c r="WBQ59" s="414"/>
      <c r="WBR59" s="414"/>
      <c r="WBS59" s="414"/>
      <c r="WBT59" s="414"/>
      <c r="WBU59" s="414"/>
      <c r="WBV59" s="414"/>
      <c r="WBW59" s="414"/>
      <c r="WBX59" s="414"/>
      <c r="WBY59" s="414"/>
      <c r="WBZ59" s="414"/>
      <c r="WCA59" s="414"/>
      <c r="WCB59" s="414"/>
      <c r="WCC59" s="414"/>
      <c r="WCD59" s="414"/>
      <c r="WCE59" s="414"/>
      <c r="WCF59" s="414"/>
      <c r="WCG59" s="414"/>
      <c r="WCH59" s="414"/>
      <c r="WCI59" s="414"/>
      <c r="WCJ59" s="414"/>
      <c r="WCK59" s="414"/>
      <c r="WCL59" s="414"/>
      <c r="WCM59" s="414"/>
      <c r="WCN59" s="414"/>
      <c r="WCO59" s="414"/>
      <c r="WCP59" s="414"/>
      <c r="WCQ59" s="414"/>
      <c r="WCR59" s="414"/>
      <c r="WCS59" s="414"/>
      <c r="WCT59" s="414"/>
      <c r="WCU59" s="414"/>
      <c r="WCV59" s="414"/>
      <c r="WCW59" s="414"/>
      <c r="WCX59" s="414"/>
      <c r="WCY59" s="414"/>
      <c r="WCZ59" s="414"/>
      <c r="WDA59" s="414"/>
      <c r="WDB59" s="414"/>
      <c r="WDC59" s="414"/>
      <c r="WDD59" s="414"/>
      <c r="WDE59" s="414"/>
      <c r="WDF59" s="414"/>
      <c r="WDG59" s="414"/>
      <c r="WDH59" s="414"/>
      <c r="WDI59" s="414"/>
      <c r="WDJ59" s="414"/>
      <c r="WDK59" s="414"/>
      <c r="WDL59" s="414"/>
      <c r="WDM59" s="414"/>
      <c r="WDN59" s="414"/>
      <c r="WDO59" s="414"/>
      <c r="WDP59" s="414"/>
      <c r="WDQ59" s="414"/>
      <c r="WDR59" s="414"/>
      <c r="WDS59" s="414"/>
      <c r="WDT59" s="414"/>
      <c r="WDU59" s="414"/>
      <c r="WDV59" s="414"/>
      <c r="WDW59" s="414"/>
      <c r="WDX59" s="414"/>
      <c r="WDY59" s="414"/>
      <c r="WDZ59" s="414"/>
      <c r="WEA59" s="414"/>
      <c r="WEB59" s="414"/>
      <c r="WEC59" s="414"/>
      <c r="WED59" s="414"/>
      <c r="WEE59" s="414"/>
      <c r="WEF59" s="414"/>
      <c r="WEG59" s="414"/>
      <c r="WEH59" s="414"/>
      <c r="WEI59" s="414"/>
      <c r="WEJ59" s="414"/>
      <c r="WEK59" s="414"/>
      <c r="WEL59" s="414"/>
      <c r="WEM59" s="414"/>
      <c r="WEN59" s="414"/>
      <c r="WEO59" s="414"/>
      <c r="WEP59" s="414"/>
      <c r="WEQ59" s="414"/>
      <c r="WER59" s="414"/>
      <c r="WES59" s="414"/>
      <c r="WET59" s="414"/>
      <c r="WEU59" s="414"/>
      <c r="WEV59" s="414"/>
      <c r="WEW59" s="414"/>
      <c r="WEX59" s="414"/>
      <c r="WEY59" s="414"/>
      <c r="WEZ59" s="414"/>
      <c r="WFA59" s="414"/>
      <c r="WFB59" s="414"/>
      <c r="WFC59" s="414"/>
      <c r="WFD59" s="414"/>
      <c r="WFE59" s="414"/>
      <c r="WFF59" s="414"/>
      <c r="WFG59" s="414"/>
      <c r="WFH59" s="414"/>
      <c r="WFI59" s="414"/>
      <c r="WFJ59" s="414"/>
      <c r="WFK59" s="414"/>
      <c r="WFL59" s="414"/>
      <c r="WFM59" s="414"/>
      <c r="WFN59" s="414"/>
      <c r="WFO59" s="414"/>
      <c r="WFP59" s="414"/>
      <c r="WFQ59" s="414"/>
      <c r="WFR59" s="414"/>
      <c r="WFS59" s="414"/>
      <c r="WFT59" s="414"/>
      <c r="WFU59" s="414"/>
      <c r="WFV59" s="414"/>
      <c r="WFW59" s="414"/>
      <c r="WFX59" s="414"/>
      <c r="WFY59" s="414"/>
      <c r="WFZ59" s="414"/>
      <c r="WGA59" s="414"/>
      <c r="WGB59" s="414"/>
      <c r="WGC59" s="414"/>
      <c r="WGD59" s="414"/>
      <c r="WGE59" s="414"/>
      <c r="WGF59" s="414"/>
      <c r="WGG59" s="414"/>
      <c r="WGH59" s="414"/>
      <c r="WGI59" s="414"/>
      <c r="WGJ59" s="414"/>
      <c r="WGK59" s="414"/>
      <c r="WGL59" s="414"/>
      <c r="WGM59" s="414"/>
      <c r="WGN59" s="414"/>
      <c r="WGO59" s="414"/>
      <c r="WGP59" s="414"/>
      <c r="WGQ59" s="414"/>
      <c r="WGR59" s="414"/>
      <c r="WGS59" s="414"/>
      <c r="WGT59" s="414"/>
      <c r="WGU59" s="414"/>
      <c r="WGV59" s="414"/>
      <c r="WGW59" s="414"/>
      <c r="WGX59" s="414"/>
      <c r="WGY59" s="414"/>
      <c r="WGZ59" s="414"/>
      <c r="WHA59" s="414"/>
      <c r="WHB59" s="414"/>
      <c r="WHC59" s="414"/>
      <c r="WHD59" s="414"/>
      <c r="WHE59" s="414"/>
      <c r="WHF59" s="414"/>
      <c r="WHG59" s="414"/>
      <c r="WHH59" s="414"/>
      <c r="WHI59" s="414"/>
      <c r="WHJ59" s="414"/>
      <c r="WHK59" s="414"/>
      <c r="WHL59" s="414"/>
      <c r="WHM59" s="414"/>
      <c r="WHN59" s="414"/>
      <c r="WHO59" s="414"/>
      <c r="WHP59" s="414"/>
      <c r="WHQ59" s="414"/>
      <c r="WHR59" s="414"/>
      <c r="WHS59" s="414"/>
      <c r="WHT59" s="414"/>
      <c r="WHU59" s="414"/>
      <c r="WHV59" s="414"/>
      <c r="WHW59" s="414"/>
      <c r="WHX59" s="414"/>
      <c r="WHY59" s="414"/>
      <c r="WHZ59" s="414"/>
      <c r="WIA59" s="414"/>
      <c r="WIB59" s="414"/>
      <c r="WIC59" s="414"/>
      <c r="WID59" s="414"/>
      <c r="WIE59" s="414"/>
      <c r="WIF59" s="414"/>
      <c r="WIG59" s="414"/>
      <c r="WIH59" s="414"/>
      <c r="WII59" s="414"/>
      <c r="WIJ59" s="414"/>
      <c r="WIK59" s="414"/>
      <c r="WIL59" s="414"/>
      <c r="WIM59" s="414"/>
      <c r="WIN59" s="414"/>
      <c r="WIO59" s="414"/>
      <c r="WIP59" s="414"/>
      <c r="WIQ59" s="414"/>
      <c r="WIR59" s="414"/>
      <c r="WIS59" s="414"/>
      <c r="WIT59" s="414"/>
      <c r="WIU59" s="414"/>
      <c r="WIV59" s="414"/>
      <c r="WIW59" s="414"/>
      <c r="WIX59" s="414"/>
      <c r="WIY59" s="414"/>
      <c r="WIZ59" s="414"/>
      <c r="WJA59" s="414"/>
      <c r="WJB59" s="414"/>
      <c r="WJC59" s="414"/>
      <c r="WJD59" s="414"/>
      <c r="WJE59" s="414"/>
      <c r="WJF59" s="414"/>
      <c r="WJG59" s="414"/>
      <c r="WJH59" s="414"/>
      <c r="WJI59" s="414"/>
      <c r="WJJ59" s="414"/>
      <c r="WJK59" s="414"/>
      <c r="WJL59" s="414"/>
      <c r="WJM59" s="414"/>
      <c r="WJN59" s="414"/>
      <c r="WJO59" s="414"/>
      <c r="WJP59" s="414"/>
      <c r="WJQ59" s="414"/>
      <c r="WJR59" s="414"/>
      <c r="WJS59" s="414"/>
      <c r="WJT59" s="414"/>
      <c r="WJU59" s="414"/>
      <c r="WJV59" s="414"/>
      <c r="WJW59" s="414"/>
      <c r="WJX59" s="414"/>
      <c r="WJY59" s="414"/>
      <c r="WJZ59" s="414"/>
      <c r="WKA59" s="414"/>
      <c r="WKB59" s="414"/>
      <c r="WKC59" s="414"/>
      <c r="WKD59" s="414"/>
      <c r="WKE59" s="414"/>
      <c r="WKF59" s="414"/>
      <c r="WKG59" s="414"/>
      <c r="WKH59" s="414"/>
      <c r="WKI59" s="414"/>
      <c r="WKJ59" s="414"/>
      <c r="WKK59" s="414"/>
      <c r="WKL59" s="414"/>
      <c r="WKM59" s="414"/>
      <c r="WKN59" s="414"/>
      <c r="WKO59" s="414"/>
      <c r="WKP59" s="414"/>
      <c r="WKQ59" s="414"/>
      <c r="WKR59" s="414"/>
      <c r="WKS59" s="414"/>
      <c r="WKT59" s="414"/>
      <c r="WKU59" s="414"/>
      <c r="WKV59" s="414"/>
      <c r="WKW59" s="414"/>
      <c r="WKX59" s="414"/>
      <c r="WKY59" s="414"/>
      <c r="WKZ59" s="414"/>
      <c r="WLA59" s="414"/>
      <c r="WLB59" s="414"/>
      <c r="WLC59" s="414"/>
      <c r="WLD59" s="414"/>
      <c r="WLE59" s="414"/>
      <c r="WLF59" s="414"/>
      <c r="WLG59" s="414"/>
      <c r="WLH59" s="414"/>
      <c r="WLI59" s="414"/>
      <c r="WLJ59" s="414"/>
      <c r="WLK59" s="414"/>
      <c r="WLL59" s="414"/>
      <c r="WLM59" s="414"/>
      <c r="WLN59" s="414"/>
      <c r="WLO59" s="414"/>
      <c r="WLP59" s="414"/>
      <c r="WLQ59" s="414"/>
      <c r="WLR59" s="414"/>
      <c r="WLS59" s="414"/>
      <c r="WLT59" s="414"/>
      <c r="WLU59" s="414"/>
      <c r="WLV59" s="414"/>
      <c r="WLW59" s="414"/>
      <c r="WLX59" s="414"/>
      <c r="WLY59" s="414"/>
      <c r="WLZ59" s="414"/>
      <c r="WMA59" s="414"/>
      <c r="WMB59" s="414"/>
      <c r="WMC59" s="414"/>
      <c r="WMD59" s="414"/>
      <c r="WME59" s="414"/>
      <c r="WMF59" s="414"/>
      <c r="WMG59" s="414"/>
      <c r="WMH59" s="414"/>
      <c r="WMI59" s="414"/>
      <c r="WMJ59" s="414"/>
      <c r="WMK59" s="414"/>
      <c r="WML59" s="414"/>
      <c r="WMM59" s="414"/>
      <c r="WMN59" s="414"/>
      <c r="WMO59" s="414"/>
      <c r="WMP59" s="414"/>
      <c r="WMQ59" s="414"/>
      <c r="WMR59" s="414"/>
      <c r="WMS59" s="414"/>
      <c r="WMT59" s="414"/>
      <c r="WMU59" s="414"/>
      <c r="WMV59" s="414"/>
      <c r="WMW59" s="414"/>
      <c r="WMX59" s="414"/>
      <c r="WMY59" s="414"/>
      <c r="WMZ59" s="414"/>
      <c r="WNA59" s="414"/>
      <c r="WNB59" s="414"/>
      <c r="WNC59" s="414"/>
      <c r="WND59" s="414"/>
      <c r="WNE59" s="414"/>
      <c r="WNF59" s="414"/>
      <c r="WNG59" s="414"/>
      <c r="WNH59" s="414"/>
      <c r="WNI59" s="414"/>
      <c r="WNJ59" s="414"/>
      <c r="WNK59" s="414"/>
      <c r="WNL59" s="414"/>
      <c r="WNM59" s="414"/>
      <c r="WNN59" s="414"/>
      <c r="WNO59" s="414"/>
      <c r="WNP59" s="414"/>
      <c r="WNQ59" s="414"/>
      <c r="WNR59" s="414"/>
      <c r="WNS59" s="414"/>
      <c r="WNT59" s="414"/>
      <c r="WNU59" s="414"/>
      <c r="WNV59" s="414"/>
      <c r="WNW59" s="414"/>
      <c r="WNX59" s="414"/>
      <c r="WNY59" s="414"/>
      <c r="WNZ59" s="414"/>
      <c r="WOA59" s="414"/>
      <c r="WOB59" s="414"/>
      <c r="WOC59" s="414"/>
      <c r="WOD59" s="414"/>
      <c r="WOE59" s="414"/>
      <c r="WOF59" s="414"/>
      <c r="WOG59" s="414"/>
      <c r="WOH59" s="414"/>
      <c r="WOI59" s="414"/>
      <c r="WOJ59" s="414"/>
      <c r="WOK59" s="414"/>
      <c r="WOL59" s="414"/>
      <c r="WOM59" s="414"/>
      <c r="WON59" s="414"/>
      <c r="WOO59" s="414"/>
      <c r="WOP59" s="414"/>
      <c r="WOQ59" s="414"/>
      <c r="WOR59" s="414"/>
      <c r="WOS59" s="414"/>
      <c r="WOT59" s="414"/>
      <c r="WOU59" s="414"/>
      <c r="WOV59" s="414"/>
      <c r="WOW59" s="414"/>
      <c r="WOX59" s="414"/>
      <c r="WOY59" s="414"/>
      <c r="WOZ59" s="414"/>
      <c r="WPA59" s="414"/>
      <c r="WPB59" s="414"/>
      <c r="WPC59" s="414"/>
      <c r="WPD59" s="414"/>
      <c r="WPE59" s="414"/>
      <c r="WPF59" s="414"/>
      <c r="WPG59" s="414"/>
      <c r="WPH59" s="414"/>
      <c r="WPI59" s="414"/>
      <c r="WPJ59" s="414"/>
      <c r="WPK59" s="414"/>
      <c r="WPL59" s="414"/>
      <c r="WPM59" s="414"/>
      <c r="WPN59" s="414"/>
      <c r="WPO59" s="414"/>
      <c r="WPP59" s="414"/>
      <c r="WPQ59" s="414"/>
      <c r="WPR59" s="414"/>
      <c r="WPS59" s="414"/>
      <c r="WPT59" s="414"/>
      <c r="WPU59" s="414"/>
      <c r="WPV59" s="414"/>
      <c r="WPW59" s="414"/>
      <c r="WPX59" s="414"/>
      <c r="WPY59" s="414"/>
      <c r="WPZ59" s="414"/>
      <c r="WQA59" s="414"/>
      <c r="WQB59" s="414"/>
      <c r="WQC59" s="414"/>
      <c r="WQD59" s="414"/>
      <c r="WQE59" s="414"/>
      <c r="WQF59" s="414"/>
      <c r="WQG59" s="414"/>
      <c r="WQH59" s="414"/>
      <c r="WQI59" s="414"/>
      <c r="WQJ59" s="414"/>
      <c r="WQK59" s="414"/>
      <c r="WQL59" s="414"/>
      <c r="WQM59" s="414"/>
      <c r="WQN59" s="414"/>
      <c r="WQO59" s="414"/>
      <c r="WQP59" s="414"/>
      <c r="WQQ59" s="414"/>
      <c r="WQR59" s="414"/>
      <c r="WQS59" s="414"/>
      <c r="WQT59" s="414"/>
      <c r="WQU59" s="414"/>
      <c r="WQV59" s="414"/>
      <c r="WQW59" s="414"/>
      <c r="WQX59" s="414"/>
      <c r="WQY59" s="414"/>
      <c r="WQZ59" s="414"/>
      <c r="WRA59" s="414"/>
      <c r="WRB59" s="414"/>
      <c r="WRC59" s="414"/>
      <c r="WRD59" s="414"/>
      <c r="WRE59" s="414"/>
      <c r="WRF59" s="414"/>
      <c r="WRG59" s="414"/>
      <c r="WRH59" s="414"/>
      <c r="WRI59" s="414"/>
      <c r="WRJ59" s="414"/>
      <c r="WRK59" s="414"/>
      <c r="WRL59" s="414"/>
      <c r="WRM59" s="414"/>
      <c r="WRN59" s="414"/>
      <c r="WRO59" s="414"/>
      <c r="WRP59" s="414"/>
      <c r="WRQ59" s="414"/>
      <c r="WRR59" s="414"/>
      <c r="WRS59" s="414"/>
      <c r="WRT59" s="414"/>
      <c r="WRU59" s="414"/>
      <c r="WRV59" s="414"/>
      <c r="WRW59" s="414"/>
      <c r="WRX59" s="414"/>
      <c r="WRY59" s="414"/>
      <c r="WRZ59" s="414"/>
      <c r="WSA59" s="414"/>
      <c r="WSB59" s="414"/>
      <c r="WSC59" s="414"/>
      <c r="WSD59" s="414"/>
      <c r="WSE59" s="414"/>
      <c r="WSF59" s="414"/>
      <c r="WSG59" s="414"/>
      <c r="WSH59" s="414"/>
      <c r="WSI59" s="414"/>
      <c r="WSJ59" s="414"/>
      <c r="WSK59" s="414"/>
      <c r="WSL59" s="414"/>
      <c r="WSM59" s="414"/>
      <c r="WSN59" s="414"/>
      <c r="WSO59" s="414"/>
      <c r="WSP59" s="414"/>
      <c r="WSQ59" s="414"/>
      <c r="WSR59" s="414"/>
      <c r="WSS59" s="414"/>
      <c r="WST59" s="414"/>
      <c r="WSU59" s="414"/>
      <c r="WSV59" s="414"/>
      <c r="WSW59" s="414"/>
      <c r="WSX59" s="414"/>
      <c r="WSY59" s="414"/>
      <c r="WSZ59" s="414"/>
      <c r="WTA59" s="414"/>
      <c r="WTB59" s="414"/>
      <c r="WTC59" s="414"/>
      <c r="WTD59" s="414"/>
      <c r="WTE59" s="414"/>
      <c r="WTF59" s="414"/>
      <c r="WTG59" s="414"/>
      <c r="WTH59" s="414"/>
      <c r="WTI59" s="414"/>
      <c r="WTJ59" s="414"/>
      <c r="WTK59" s="414"/>
      <c r="WTL59" s="414"/>
      <c r="WTM59" s="414"/>
      <c r="WTN59" s="414"/>
      <c r="WTO59" s="414"/>
      <c r="WTP59" s="414"/>
      <c r="WTQ59" s="414"/>
      <c r="WTR59" s="414"/>
      <c r="WTS59" s="414"/>
      <c r="WTT59" s="414"/>
      <c r="WTU59" s="414"/>
      <c r="WTV59" s="414"/>
      <c r="WTW59" s="414"/>
      <c r="WTX59" s="414"/>
      <c r="WTY59" s="414"/>
      <c r="WTZ59" s="414"/>
      <c r="WUA59" s="414"/>
      <c r="WUB59" s="414"/>
      <c r="WUC59" s="414"/>
      <c r="WUD59" s="414"/>
      <c r="WUE59" s="414"/>
      <c r="WUF59" s="414"/>
      <c r="WUG59" s="414"/>
      <c r="WUH59" s="414"/>
      <c r="WUI59" s="414"/>
      <c r="WUJ59" s="414"/>
      <c r="WUK59" s="414"/>
      <c r="WUL59" s="414"/>
      <c r="WUM59" s="414"/>
      <c r="WUN59" s="414"/>
      <c r="WUO59" s="414"/>
      <c r="WUP59" s="414"/>
      <c r="WUQ59" s="414"/>
      <c r="WUR59" s="414"/>
      <c r="WUS59" s="414"/>
      <c r="WUT59" s="414"/>
      <c r="WUU59" s="414"/>
      <c r="WUV59" s="414"/>
      <c r="WUW59" s="414"/>
      <c r="WUX59" s="414"/>
      <c r="WUY59" s="414"/>
      <c r="WUZ59" s="414"/>
      <c r="WVA59" s="414"/>
      <c r="WVB59" s="414"/>
      <c r="WVC59" s="414"/>
      <c r="WVD59" s="414"/>
      <c r="WVE59" s="414"/>
      <c r="WVF59" s="414"/>
      <c r="WVG59" s="414"/>
      <c r="WVH59" s="414"/>
      <c r="WVI59" s="414"/>
      <c r="WVJ59" s="414"/>
      <c r="WVK59" s="414"/>
      <c r="WVL59" s="414"/>
      <c r="WVM59" s="414"/>
      <c r="WVN59" s="414"/>
      <c r="WVO59" s="414"/>
      <c r="WVP59" s="414"/>
      <c r="WVQ59" s="414"/>
      <c r="WVR59" s="414"/>
      <c r="WVS59" s="414"/>
      <c r="WVT59" s="414"/>
      <c r="WVU59" s="414"/>
      <c r="WVV59" s="414"/>
      <c r="WVW59" s="414"/>
      <c r="WVX59" s="414"/>
      <c r="WVY59" s="414"/>
      <c r="WVZ59" s="414"/>
      <c r="WWA59" s="414"/>
      <c r="WWB59" s="414"/>
      <c r="WWC59" s="414"/>
      <c r="WWD59" s="414"/>
      <c r="WWE59" s="414"/>
      <c r="WWF59" s="414"/>
      <c r="WWG59" s="414"/>
      <c r="WWH59" s="414"/>
      <c r="WWI59" s="414"/>
      <c r="WWJ59" s="414"/>
      <c r="WWK59" s="414"/>
      <c r="WWL59" s="414"/>
      <c r="WWM59" s="414"/>
      <c r="WWN59" s="414"/>
      <c r="WWO59" s="414"/>
      <c r="WWP59" s="414"/>
      <c r="WWQ59" s="414"/>
      <c r="WWR59" s="414"/>
      <c r="WWS59" s="414"/>
      <c r="WWT59" s="414"/>
      <c r="WWU59" s="414"/>
      <c r="WWV59" s="414"/>
      <c r="WWW59" s="414"/>
      <c r="WWX59" s="414"/>
      <c r="WWY59" s="414"/>
      <c r="WWZ59" s="414"/>
      <c r="WXA59" s="414"/>
      <c r="WXB59" s="414"/>
      <c r="WXC59" s="414"/>
      <c r="WXD59" s="414"/>
      <c r="WXE59" s="414"/>
      <c r="WXF59" s="414"/>
      <c r="WXG59" s="414"/>
      <c r="WXH59" s="414"/>
      <c r="WXI59" s="414"/>
      <c r="WXJ59" s="414"/>
      <c r="WXK59" s="414"/>
      <c r="WXL59" s="414"/>
      <c r="WXM59" s="414"/>
      <c r="WXN59" s="414"/>
      <c r="WXO59" s="414"/>
      <c r="WXP59" s="414"/>
      <c r="WXQ59" s="414"/>
      <c r="WXR59" s="414"/>
      <c r="WXS59" s="414"/>
      <c r="WXT59" s="414"/>
      <c r="WXU59" s="414"/>
      <c r="WXV59" s="414"/>
      <c r="WXW59" s="414"/>
      <c r="WXX59" s="414"/>
      <c r="WXY59" s="414"/>
      <c r="WXZ59" s="414"/>
      <c r="WYA59" s="414"/>
      <c r="WYB59" s="414"/>
      <c r="WYC59" s="414"/>
      <c r="WYD59" s="414"/>
      <c r="WYE59" s="414"/>
      <c r="WYF59" s="414"/>
      <c r="WYG59" s="414"/>
      <c r="WYH59" s="414"/>
      <c r="WYI59" s="414"/>
      <c r="WYJ59" s="414"/>
      <c r="WYK59" s="414"/>
      <c r="WYL59" s="414"/>
      <c r="WYM59" s="414"/>
      <c r="WYN59" s="414"/>
      <c r="WYO59" s="414"/>
      <c r="WYP59" s="414"/>
      <c r="WYQ59" s="414"/>
      <c r="WYR59" s="414"/>
      <c r="WYS59" s="414"/>
      <c r="WYT59" s="414"/>
      <c r="WYU59" s="414"/>
      <c r="WYV59" s="414"/>
      <c r="WYW59" s="414"/>
      <c r="WYX59" s="414"/>
      <c r="WYY59" s="414"/>
      <c r="WYZ59" s="414"/>
      <c r="WZA59" s="414"/>
      <c r="WZB59" s="414"/>
      <c r="WZC59" s="414"/>
      <c r="WZD59" s="414"/>
      <c r="WZE59" s="414"/>
      <c r="WZF59" s="414"/>
      <c r="WZG59" s="414"/>
      <c r="WZH59" s="414"/>
      <c r="WZI59" s="414"/>
      <c r="WZJ59" s="414"/>
      <c r="WZK59" s="414"/>
      <c r="WZL59" s="414"/>
      <c r="WZM59" s="414"/>
      <c r="WZN59" s="414"/>
      <c r="WZO59" s="414"/>
      <c r="WZP59" s="414"/>
      <c r="WZQ59" s="414"/>
      <c r="WZR59" s="414"/>
      <c r="WZS59" s="414"/>
      <c r="WZT59" s="414"/>
      <c r="WZU59" s="414"/>
      <c r="WZV59" s="414"/>
      <c r="WZW59" s="414"/>
      <c r="WZX59" s="414"/>
      <c r="WZY59" s="414"/>
      <c r="WZZ59" s="414"/>
      <c r="XAA59" s="414"/>
      <c r="XAB59" s="414"/>
      <c r="XAC59" s="414"/>
      <c r="XAD59" s="414"/>
      <c r="XAE59" s="414"/>
      <c r="XAF59" s="414"/>
      <c r="XAG59" s="414"/>
      <c r="XAH59" s="414"/>
      <c r="XAI59" s="414"/>
      <c r="XAJ59" s="414"/>
      <c r="XAK59" s="414"/>
      <c r="XAL59" s="414"/>
      <c r="XAM59" s="414"/>
      <c r="XAN59" s="414"/>
      <c r="XAO59" s="414"/>
      <c r="XAP59" s="414"/>
      <c r="XAQ59" s="414"/>
      <c r="XAR59" s="414"/>
      <c r="XAS59" s="414"/>
      <c r="XAT59" s="414"/>
      <c r="XAU59" s="414"/>
      <c r="XAV59" s="414"/>
      <c r="XAW59" s="414"/>
      <c r="XAX59" s="414"/>
      <c r="XAY59" s="414"/>
      <c r="XAZ59" s="414"/>
      <c r="XBA59" s="414"/>
      <c r="XBB59" s="414"/>
      <c r="XBC59" s="414"/>
      <c r="XBD59" s="414"/>
      <c r="XBE59" s="414"/>
      <c r="XBF59" s="414"/>
      <c r="XBG59" s="414"/>
      <c r="XBH59" s="414"/>
      <c r="XBI59" s="414"/>
      <c r="XBJ59" s="414"/>
      <c r="XBK59" s="414"/>
      <c r="XBL59" s="414"/>
      <c r="XBM59" s="414"/>
      <c r="XBN59" s="414"/>
      <c r="XBO59" s="414"/>
      <c r="XBP59" s="414"/>
      <c r="XBQ59" s="414"/>
      <c r="XBR59" s="414"/>
      <c r="XBS59" s="414"/>
      <c r="XBT59" s="414"/>
      <c r="XBU59" s="414"/>
      <c r="XBV59" s="414"/>
      <c r="XBW59" s="414"/>
      <c r="XBX59" s="414"/>
      <c r="XBY59" s="414"/>
      <c r="XBZ59" s="414"/>
      <c r="XCA59" s="414"/>
      <c r="XCB59" s="414"/>
      <c r="XCC59" s="414"/>
      <c r="XCD59" s="414"/>
      <c r="XCE59" s="414"/>
      <c r="XCF59" s="414"/>
      <c r="XCG59" s="414"/>
      <c r="XCH59" s="414"/>
      <c r="XCI59" s="414"/>
      <c r="XCJ59" s="414"/>
      <c r="XCK59" s="414"/>
      <c r="XCL59" s="414"/>
      <c r="XCM59" s="414"/>
      <c r="XCN59" s="414"/>
      <c r="XCO59" s="414"/>
      <c r="XCP59" s="414"/>
      <c r="XCQ59" s="414"/>
      <c r="XCR59" s="414"/>
      <c r="XCS59" s="414"/>
      <c r="XCT59" s="414"/>
      <c r="XCU59" s="414"/>
      <c r="XCV59" s="414"/>
      <c r="XCW59" s="414"/>
      <c r="XCX59" s="414"/>
      <c r="XCY59" s="414"/>
      <c r="XCZ59" s="414"/>
      <c r="XDA59" s="414"/>
      <c r="XDB59" s="414"/>
      <c r="XDC59" s="414"/>
      <c r="XDD59" s="414"/>
      <c r="XDE59" s="414"/>
      <c r="XDF59" s="414"/>
      <c r="XDG59" s="414"/>
      <c r="XDH59" s="414"/>
      <c r="XDI59" s="414"/>
      <c r="XDJ59" s="414"/>
      <c r="XDK59" s="414"/>
      <c r="XDL59" s="414"/>
      <c r="XDM59" s="414"/>
      <c r="XDN59" s="414"/>
      <c r="XDO59" s="414"/>
      <c r="XDP59" s="414"/>
      <c r="XDQ59" s="414"/>
      <c r="XDR59" s="414"/>
      <c r="XDS59" s="414"/>
      <c r="XDT59" s="414"/>
      <c r="XDU59" s="414"/>
      <c r="XDV59" s="414"/>
      <c r="XDW59" s="414"/>
      <c r="XDX59" s="414"/>
      <c r="XDY59" s="414"/>
      <c r="XDZ59" s="414"/>
      <c r="XEA59" s="414"/>
      <c r="XEB59" s="414"/>
      <c r="XEC59" s="414"/>
      <c r="XED59" s="414"/>
      <c r="XEE59" s="414"/>
      <c r="XEF59" s="414"/>
      <c r="XEG59" s="414"/>
      <c r="XEH59" s="414"/>
      <c r="XEI59" s="414"/>
      <c r="XEJ59" s="414"/>
      <c r="XEK59" s="414"/>
      <c r="XEL59" s="414"/>
      <c r="XEM59" s="414"/>
      <c r="XEN59" s="414"/>
      <c r="XEO59" s="414"/>
      <c r="XEP59" s="414"/>
      <c r="XEQ59" s="414"/>
      <c r="XER59" s="414"/>
      <c r="XES59" s="414"/>
      <c r="XET59" s="414"/>
      <c r="XEU59" s="414"/>
      <c r="XEV59" s="414"/>
      <c r="XEW59" s="414"/>
      <c r="XEX59" s="414"/>
      <c r="XEY59" s="414"/>
      <c r="XEZ59" s="414"/>
      <c r="XFA59" s="414"/>
    </row>
    <row r="60" spans="1:16381" ht="22.5">
      <c r="A60" s="609" t="str">
        <f t="shared" si="0"/>
        <v>Daimler Vorsorge Kapital Teilungsordnung v. 01.04.2021</v>
      </c>
      <c r="B60" s="609">
        <f>ROW()</f>
        <v>60</v>
      </c>
      <c r="C60" s="635" t="s">
        <v>1013</v>
      </c>
      <c r="D60" s="1201">
        <v>44287</v>
      </c>
      <c r="E60" s="636" t="s">
        <v>1014</v>
      </c>
      <c r="F60" s="637" t="str">
        <f t="shared" si="5"/>
        <v/>
      </c>
      <c r="G60" s="634" t="str">
        <f t="shared" si="2"/>
        <v>TO ermöglicht: doppelten Kostenabzug;  Verzinsung zwischen EzE und RK geltend machen</v>
      </c>
      <c r="H60" s="609"/>
      <c r="I60" s="634" t="s">
        <v>1276</v>
      </c>
      <c r="K60" s="1199"/>
      <c r="L60" s="1199">
        <v>2</v>
      </c>
      <c r="M60" s="1199"/>
      <c r="N60" s="1199">
        <v>4</v>
      </c>
      <c r="O60" s="1029"/>
      <c r="P60" s="144">
        <f t="shared" si="6"/>
        <v>6</v>
      </c>
      <c r="Q60" s="609"/>
      <c r="R60" s="609"/>
      <c r="S60" s="609"/>
      <c r="T60" s="609"/>
      <c r="U60" s="609"/>
      <c r="V60" s="609"/>
      <c r="W60" s="609"/>
      <c r="X60" s="609"/>
      <c r="Y60" s="609"/>
      <c r="Z60" s="609"/>
      <c r="AA60" s="609"/>
      <c r="AB60" s="609"/>
      <c r="AC60" s="609"/>
      <c r="AD60" s="609"/>
      <c r="AE60" s="609"/>
      <c r="AF60" s="609"/>
      <c r="AG60" s="609"/>
      <c r="AH60" s="609"/>
      <c r="AI60" s="609"/>
      <c r="AJ60" s="609"/>
      <c r="AK60" s="609"/>
      <c r="AL60" s="609"/>
      <c r="AM60" s="609"/>
      <c r="AN60" s="609"/>
      <c r="AO60" s="609"/>
      <c r="AP60" s="609"/>
      <c r="AQ60" s="609"/>
      <c r="AR60" s="609"/>
      <c r="AS60" s="609"/>
      <c r="AT60" s="609"/>
      <c r="AU60" s="609"/>
      <c r="AV60" s="609"/>
      <c r="AW60" s="609"/>
      <c r="AX60" s="609"/>
      <c r="AY60" s="609"/>
      <c r="AZ60" s="609"/>
      <c r="BA60" s="609"/>
      <c r="BB60" s="609"/>
      <c r="BC60" s="609"/>
      <c r="BD60" s="609"/>
      <c r="BE60" s="609"/>
      <c r="BF60" s="609"/>
      <c r="BG60" s="609"/>
      <c r="BH60" s="609"/>
      <c r="BI60" s="609"/>
      <c r="BJ60" s="609"/>
      <c r="BK60" s="609"/>
      <c r="BL60" s="609"/>
      <c r="BM60" s="609"/>
      <c r="BN60" s="609"/>
      <c r="BO60" s="609"/>
      <c r="BP60" s="609"/>
      <c r="BQ60" s="609"/>
      <c r="BR60" s="609"/>
      <c r="BS60" s="609"/>
      <c r="BT60" s="609"/>
      <c r="BU60" s="609"/>
      <c r="BV60" s="609"/>
      <c r="BW60" s="609"/>
      <c r="BX60" s="609"/>
      <c r="BY60" s="609"/>
      <c r="BZ60" s="609"/>
      <c r="CA60" s="609"/>
      <c r="CB60" s="609"/>
      <c r="CC60" s="609"/>
      <c r="CD60" s="609"/>
      <c r="CE60" s="609"/>
      <c r="CF60" s="609"/>
      <c r="CG60" s="609"/>
      <c r="CH60" s="609"/>
      <c r="CI60" s="609"/>
      <c r="CJ60" s="609"/>
      <c r="CK60" s="609"/>
      <c r="CL60" s="609"/>
      <c r="CM60" s="609"/>
      <c r="CN60" s="609"/>
      <c r="CO60" s="609"/>
      <c r="CP60" s="609"/>
      <c r="CQ60" s="609"/>
      <c r="CR60" s="609"/>
      <c r="CS60" s="609"/>
      <c r="CT60" s="609"/>
      <c r="CU60" s="609"/>
      <c r="CV60" s="609"/>
      <c r="CW60" s="609"/>
      <c r="CX60" s="609"/>
      <c r="CY60" s="609"/>
      <c r="CZ60" s="609"/>
      <c r="DA60" s="609"/>
      <c r="DB60" s="609"/>
      <c r="DC60" s="609"/>
      <c r="DD60" s="609"/>
      <c r="DE60" s="609"/>
      <c r="DF60" s="609"/>
      <c r="DG60" s="609"/>
      <c r="DH60" s="609"/>
      <c r="DI60" s="609"/>
      <c r="DJ60" s="609"/>
      <c r="DK60" s="609"/>
      <c r="DL60" s="609"/>
      <c r="DM60" s="609"/>
      <c r="DN60" s="609"/>
      <c r="DO60" s="609"/>
      <c r="DP60" s="609"/>
      <c r="DQ60" s="609"/>
      <c r="DR60" s="609"/>
      <c r="DS60" s="609"/>
      <c r="DT60" s="609"/>
      <c r="DU60" s="609"/>
      <c r="DV60" s="609"/>
      <c r="DW60" s="609"/>
      <c r="DX60" s="609"/>
      <c r="DY60" s="609"/>
      <c r="DZ60" s="609"/>
      <c r="EA60" s="609"/>
      <c r="EB60" s="609"/>
      <c r="EC60" s="609"/>
      <c r="ED60" s="609"/>
      <c r="EE60" s="609"/>
      <c r="EF60" s="609"/>
      <c r="EG60" s="609"/>
      <c r="EH60" s="609"/>
      <c r="EI60" s="609"/>
      <c r="EJ60" s="609"/>
      <c r="EK60" s="609"/>
      <c r="EL60" s="609"/>
      <c r="EM60" s="609"/>
      <c r="EN60" s="609"/>
      <c r="EO60" s="609"/>
      <c r="EP60" s="609"/>
      <c r="EQ60" s="609"/>
      <c r="ER60" s="609"/>
      <c r="ES60" s="609"/>
      <c r="ET60" s="609"/>
      <c r="EU60" s="609"/>
      <c r="EV60" s="609"/>
      <c r="EW60" s="609"/>
      <c r="EX60" s="609"/>
      <c r="EY60" s="609"/>
      <c r="EZ60" s="609"/>
      <c r="FA60" s="609"/>
      <c r="FB60" s="609"/>
      <c r="FC60" s="609"/>
      <c r="FD60" s="609"/>
      <c r="FE60" s="609"/>
      <c r="FF60" s="609"/>
      <c r="FG60" s="609"/>
      <c r="FH60" s="609"/>
      <c r="FI60" s="609"/>
      <c r="FJ60" s="609"/>
      <c r="FK60" s="609"/>
      <c r="FL60" s="609"/>
      <c r="FM60" s="609"/>
      <c r="FN60" s="609"/>
      <c r="FO60" s="609"/>
      <c r="FP60" s="609"/>
      <c r="FQ60" s="609"/>
      <c r="FR60" s="609"/>
      <c r="FS60" s="609"/>
      <c r="FT60" s="609"/>
      <c r="FU60" s="609"/>
      <c r="FV60" s="609"/>
      <c r="FW60" s="609"/>
      <c r="FX60" s="609"/>
      <c r="FY60" s="609"/>
      <c r="FZ60" s="609"/>
      <c r="GA60" s="609"/>
      <c r="GB60" s="609"/>
      <c r="GC60" s="609"/>
      <c r="GD60" s="609"/>
      <c r="GE60" s="609"/>
      <c r="GF60" s="609"/>
      <c r="GG60" s="609"/>
      <c r="GH60" s="609"/>
      <c r="GI60" s="609"/>
      <c r="GJ60" s="609"/>
      <c r="GK60" s="609"/>
      <c r="GL60" s="609"/>
      <c r="GM60" s="609"/>
      <c r="GN60" s="609"/>
      <c r="GO60" s="609"/>
      <c r="GP60" s="609"/>
      <c r="GQ60" s="609"/>
      <c r="GR60" s="609"/>
      <c r="GS60" s="609"/>
      <c r="GT60" s="609"/>
      <c r="GU60" s="609"/>
      <c r="GV60" s="609"/>
      <c r="GW60" s="609"/>
      <c r="GX60" s="609"/>
      <c r="GY60" s="609"/>
      <c r="GZ60" s="609"/>
      <c r="HA60" s="609"/>
      <c r="HB60" s="609"/>
      <c r="HC60" s="609"/>
      <c r="HD60" s="609"/>
      <c r="HE60" s="609"/>
      <c r="HF60" s="609"/>
      <c r="HG60" s="609"/>
      <c r="HH60" s="609"/>
      <c r="HI60" s="609"/>
      <c r="HJ60" s="609"/>
      <c r="HK60" s="609"/>
      <c r="HL60" s="609"/>
      <c r="HM60" s="609"/>
      <c r="HN60" s="609"/>
      <c r="HO60" s="609"/>
      <c r="HP60" s="609"/>
      <c r="HQ60" s="609"/>
      <c r="HR60" s="609"/>
      <c r="HS60" s="609"/>
      <c r="HT60" s="609"/>
      <c r="HU60" s="609"/>
      <c r="HV60" s="609"/>
      <c r="HW60" s="609"/>
      <c r="HX60" s="609"/>
      <c r="HY60" s="609"/>
      <c r="HZ60" s="609"/>
      <c r="IA60" s="609"/>
      <c r="IB60" s="609"/>
      <c r="IC60" s="609"/>
      <c r="ID60" s="609"/>
      <c r="IE60" s="609"/>
      <c r="IF60" s="609"/>
      <c r="IG60" s="609"/>
      <c r="IH60" s="609"/>
      <c r="II60" s="609"/>
      <c r="IJ60" s="609"/>
      <c r="IK60" s="609"/>
      <c r="IL60" s="609"/>
      <c r="IM60" s="609"/>
      <c r="IN60" s="609"/>
      <c r="IO60" s="609"/>
      <c r="IP60" s="609"/>
      <c r="IQ60" s="609"/>
      <c r="IR60" s="609"/>
      <c r="IS60" s="609"/>
      <c r="IT60" s="609"/>
      <c r="IU60" s="609"/>
      <c r="IV60" s="609"/>
      <c r="IW60" s="609"/>
      <c r="IX60" s="609"/>
      <c r="IY60" s="609"/>
      <c r="IZ60" s="609"/>
      <c r="JA60" s="609"/>
      <c r="JB60" s="609"/>
      <c r="JC60" s="609"/>
      <c r="JD60" s="609"/>
      <c r="JE60" s="609"/>
      <c r="JF60" s="609"/>
      <c r="JG60" s="609"/>
      <c r="JH60" s="609"/>
      <c r="JI60" s="609"/>
      <c r="JJ60" s="609"/>
      <c r="JK60" s="609"/>
      <c r="JL60" s="609"/>
      <c r="JM60" s="609"/>
      <c r="JN60" s="609"/>
      <c r="JO60" s="609"/>
      <c r="JP60" s="609"/>
      <c r="JQ60" s="609"/>
      <c r="JR60" s="609"/>
      <c r="JS60" s="609"/>
      <c r="JT60" s="609"/>
      <c r="JU60" s="609"/>
      <c r="JV60" s="609"/>
      <c r="JW60" s="609"/>
      <c r="JX60" s="609"/>
      <c r="JY60" s="609"/>
      <c r="JZ60" s="609"/>
      <c r="KA60" s="609"/>
      <c r="KB60" s="609"/>
      <c r="KC60" s="609"/>
      <c r="KD60" s="609"/>
      <c r="KE60" s="609"/>
      <c r="KF60" s="609"/>
      <c r="KG60" s="609"/>
      <c r="KH60" s="609"/>
      <c r="KI60" s="609"/>
      <c r="KJ60" s="609"/>
      <c r="KK60" s="609"/>
      <c r="KL60" s="609"/>
      <c r="KM60" s="609"/>
      <c r="KN60" s="609"/>
      <c r="KO60" s="609"/>
      <c r="KP60" s="609"/>
      <c r="KQ60" s="609"/>
      <c r="KR60" s="609"/>
      <c r="KS60" s="609"/>
      <c r="KT60" s="609"/>
      <c r="KU60" s="609"/>
      <c r="KV60" s="609"/>
      <c r="KW60" s="609"/>
      <c r="KX60" s="609"/>
      <c r="KY60" s="609"/>
      <c r="KZ60" s="609"/>
      <c r="LA60" s="609"/>
      <c r="LB60" s="609"/>
      <c r="LC60" s="609"/>
      <c r="LD60" s="609"/>
      <c r="LE60" s="609"/>
      <c r="LF60" s="609"/>
      <c r="LG60" s="609"/>
      <c r="LH60" s="609"/>
      <c r="LI60" s="609"/>
      <c r="LJ60" s="609"/>
      <c r="LK60" s="609"/>
      <c r="LL60" s="609"/>
      <c r="LM60" s="609"/>
      <c r="LN60" s="609"/>
      <c r="LO60" s="609"/>
      <c r="LP60" s="609"/>
      <c r="LQ60" s="609"/>
      <c r="LR60" s="609"/>
      <c r="LS60" s="609"/>
      <c r="LT60" s="609"/>
      <c r="LU60" s="609"/>
      <c r="LV60" s="609"/>
      <c r="LW60" s="609"/>
      <c r="LX60" s="609"/>
      <c r="LY60" s="609"/>
      <c r="LZ60" s="609"/>
      <c r="MA60" s="609"/>
      <c r="MB60" s="609"/>
      <c r="MC60" s="609"/>
      <c r="MD60" s="609"/>
      <c r="ME60" s="609"/>
      <c r="MF60" s="609"/>
      <c r="MG60" s="609"/>
      <c r="MH60" s="609"/>
      <c r="MI60" s="609"/>
      <c r="MJ60" s="609"/>
      <c r="MK60" s="609"/>
      <c r="ML60" s="609"/>
      <c r="MM60" s="609"/>
      <c r="MN60" s="609"/>
      <c r="MO60" s="609"/>
      <c r="MP60" s="609"/>
      <c r="MQ60" s="609"/>
      <c r="MR60" s="609"/>
      <c r="MS60" s="609"/>
      <c r="MT60" s="609"/>
      <c r="MU60" s="609"/>
      <c r="MV60" s="609"/>
      <c r="MW60" s="609"/>
      <c r="MX60" s="609"/>
      <c r="MY60" s="609"/>
      <c r="MZ60" s="609"/>
      <c r="NA60" s="609"/>
      <c r="NB60" s="609"/>
      <c r="NC60" s="609"/>
      <c r="ND60" s="609"/>
      <c r="NE60" s="609"/>
      <c r="NF60" s="609"/>
      <c r="NG60" s="609"/>
      <c r="NH60" s="609"/>
      <c r="NI60" s="609"/>
      <c r="NJ60" s="609"/>
      <c r="NK60" s="609"/>
      <c r="NL60" s="609"/>
      <c r="NM60" s="609"/>
      <c r="NN60" s="609"/>
      <c r="NO60" s="609"/>
      <c r="NP60" s="609"/>
      <c r="NQ60" s="609"/>
      <c r="NR60" s="609"/>
      <c r="NS60" s="609"/>
      <c r="NT60" s="609"/>
      <c r="NU60" s="609"/>
      <c r="NV60" s="609"/>
      <c r="NW60" s="609"/>
      <c r="NX60" s="609"/>
      <c r="NY60" s="609"/>
      <c r="NZ60" s="609"/>
      <c r="OA60" s="609"/>
      <c r="OB60" s="609"/>
      <c r="OC60" s="609"/>
      <c r="OD60" s="609"/>
      <c r="OE60" s="609"/>
      <c r="OF60" s="609"/>
      <c r="OG60" s="609"/>
      <c r="OH60" s="609"/>
      <c r="OI60" s="609"/>
      <c r="OJ60" s="609"/>
      <c r="OK60" s="609"/>
      <c r="OL60" s="609"/>
      <c r="OM60" s="609"/>
      <c r="ON60" s="609"/>
      <c r="OO60" s="609"/>
      <c r="OP60" s="609"/>
      <c r="OQ60" s="609"/>
      <c r="OR60" s="609"/>
      <c r="OS60" s="609"/>
      <c r="OT60" s="609"/>
      <c r="OU60" s="609"/>
      <c r="OV60" s="609"/>
      <c r="OW60" s="609"/>
      <c r="OX60" s="609"/>
      <c r="OY60" s="609"/>
      <c r="OZ60" s="609"/>
      <c r="PA60" s="609"/>
      <c r="PB60" s="609"/>
      <c r="PC60" s="609"/>
      <c r="PD60" s="609"/>
      <c r="PE60" s="609"/>
      <c r="PF60" s="609"/>
      <c r="PG60" s="609"/>
      <c r="PH60" s="609"/>
      <c r="PI60" s="609"/>
      <c r="PJ60" s="609"/>
      <c r="PK60" s="609"/>
      <c r="PL60" s="609"/>
      <c r="PM60" s="609"/>
      <c r="PN60" s="609"/>
      <c r="PO60" s="609"/>
      <c r="PP60" s="609"/>
      <c r="PQ60" s="609"/>
      <c r="PR60" s="609"/>
      <c r="PS60" s="609"/>
      <c r="PT60" s="609"/>
      <c r="PU60" s="609"/>
      <c r="PV60" s="609"/>
      <c r="PW60" s="609"/>
      <c r="PX60" s="609"/>
      <c r="PY60" s="609"/>
      <c r="PZ60" s="609"/>
      <c r="QA60" s="609"/>
      <c r="QB60" s="609"/>
      <c r="QC60" s="609"/>
      <c r="QD60" s="609"/>
      <c r="QE60" s="609"/>
      <c r="QF60" s="609"/>
      <c r="QG60" s="609"/>
      <c r="QH60" s="609"/>
      <c r="QI60" s="609"/>
      <c r="QJ60" s="609"/>
      <c r="QK60" s="609"/>
      <c r="QL60" s="609"/>
      <c r="QM60" s="609"/>
      <c r="QN60" s="609"/>
      <c r="QO60" s="609"/>
      <c r="QP60" s="609"/>
      <c r="QQ60" s="609"/>
      <c r="QR60" s="609"/>
      <c r="QS60" s="609"/>
      <c r="QT60" s="609"/>
      <c r="QU60" s="609"/>
      <c r="QV60" s="609"/>
      <c r="QW60" s="609"/>
      <c r="QX60" s="609"/>
      <c r="QY60" s="609"/>
      <c r="QZ60" s="609"/>
      <c r="RA60" s="609"/>
      <c r="RB60" s="609"/>
      <c r="RC60" s="609"/>
      <c r="RD60" s="609"/>
      <c r="RE60" s="609"/>
      <c r="RF60" s="609"/>
      <c r="RG60" s="609"/>
      <c r="RH60" s="609"/>
      <c r="RI60" s="609"/>
      <c r="RJ60" s="609"/>
      <c r="RK60" s="609"/>
      <c r="RL60" s="609"/>
      <c r="RM60" s="609"/>
      <c r="RN60" s="609"/>
      <c r="RO60" s="609"/>
      <c r="RP60" s="609"/>
      <c r="RQ60" s="609"/>
      <c r="RR60" s="609"/>
      <c r="RS60" s="609"/>
      <c r="RT60" s="609"/>
      <c r="RU60" s="609"/>
      <c r="RV60" s="609"/>
      <c r="RW60" s="609"/>
      <c r="RX60" s="609"/>
      <c r="RY60" s="609"/>
      <c r="RZ60" s="609"/>
      <c r="SA60" s="609"/>
      <c r="SB60" s="609"/>
      <c r="SC60" s="609"/>
      <c r="SD60" s="609"/>
      <c r="SE60" s="609"/>
      <c r="SF60" s="609"/>
      <c r="SG60" s="609"/>
      <c r="SH60" s="609"/>
      <c r="SI60" s="609"/>
      <c r="SJ60" s="609"/>
      <c r="SK60" s="609"/>
      <c r="SL60" s="609"/>
      <c r="SM60" s="609"/>
      <c r="SN60" s="609"/>
      <c r="SO60" s="609"/>
      <c r="SP60" s="609"/>
      <c r="SQ60" s="609"/>
      <c r="SR60" s="609"/>
      <c r="SS60" s="609"/>
      <c r="ST60" s="609"/>
      <c r="SU60" s="609"/>
      <c r="SV60" s="609"/>
      <c r="SW60" s="609"/>
      <c r="SX60" s="609"/>
      <c r="SY60" s="609"/>
      <c r="SZ60" s="609"/>
      <c r="TA60" s="609"/>
      <c r="TB60" s="609"/>
      <c r="TC60" s="609"/>
      <c r="TD60" s="609"/>
      <c r="TE60" s="609"/>
      <c r="TF60" s="609"/>
      <c r="TG60" s="609"/>
      <c r="TH60" s="609"/>
      <c r="TI60" s="609"/>
      <c r="TJ60" s="609"/>
      <c r="TK60" s="609"/>
      <c r="TL60" s="609"/>
      <c r="TM60" s="609"/>
      <c r="TN60" s="609"/>
      <c r="TO60" s="609"/>
      <c r="TP60" s="609"/>
      <c r="TQ60" s="609"/>
      <c r="TR60" s="609"/>
      <c r="TS60" s="609"/>
      <c r="TT60" s="609"/>
      <c r="TU60" s="609"/>
      <c r="TV60" s="609"/>
      <c r="TW60" s="609"/>
      <c r="TX60" s="609"/>
      <c r="TY60" s="609"/>
      <c r="TZ60" s="609"/>
      <c r="UA60" s="609"/>
      <c r="UB60" s="609"/>
      <c r="UC60" s="609"/>
      <c r="UD60" s="609"/>
      <c r="UE60" s="609"/>
      <c r="UF60" s="609"/>
      <c r="UG60" s="609"/>
      <c r="UH60" s="609"/>
      <c r="UI60" s="609"/>
      <c r="UJ60" s="609"/>
      <c r="UK60" s="609"/>
      <c r="UL60" s="609"/>
      <c r="UM60" s="609"/>
      <c r="UN60" s="609"/>
      <c r="UO60" s="609"/>
      <c r="UP60" s="609"/>
      <c r="UQ60" s="609"/>
      <c r="UR60" s="609"/>
      <c r="US60" s="609"/>
      <c r="UT60" s="609"/>
      <c r="UU60" s="609"/>
      <c r="UV60" s="609"/>
      <c r="UW60" s="609"/>
      <c r="UX60" s="609"/>
      <c r="UY60" s="609"/>
      <c r="UZ60" s="609"/>
      <c r="VA60" s="609"/>
      <c r="VB60" s="609"/>
      <c r="VC60" s="609"/>
      <c r="VD60" s="609"/>
      <c r="VE60" s="609"/>
      <c r="VF60" s="609"/>
      <c r="VG60" s="609"/>
      <c r="VH60" s="609"/>
      <c r="VI60" s="609"/>
      <c r="VJ60" s="609"/>
      <c r="VK60" s="609"/>
      <c r="VL60" s="609"/>
      <c r="VM60" s="609"/>
      <c r="VN60" s="609"/>
      <c r="VO60" s="609"/>
      <c r="VP60" s="609"/>
      <c r="VQ60" s="609"/>
      <c r="VR60" s="609"/>
      <c r="VS60" s="609"/>
      <c r="VT60" s="609"/>
      <c r="VU60" s="609"/>
      <c r="VV60" s="609"/>
      <c r="VW60" s="609"/>
      <c r="VX60" s="609"/>
      <c r="VY60" s="609"/>
      <c r="VZ60" s="609"/>
      <c r="WA60" s="609"/>
      <c r="WB60" s="609"/>
      <c r="WC60" s="609"/>
      <c r="WD60" s="609"/>
      <c r="WE60" s="609"/>
      <c r="WF60" s="609"/>
      <c r="WG60" s="609"/>
      <c r="WH60" s="609"/>
      <c r="WI60" s="609"/>
      <c r="WJ60" s="609"/>
      <c r="WK60" s="609"/>
      <c r="WL60" s="609"/>
      <c r="WM60" s="609"/>
      <c r="WN60" s="609"/>
      <c r="WO60" s="609"/>
      <c r="WP60" s="609"/>
      <c r="WQ60" s="609"/>
      <c r="WR60" s="609"/>
      <c r="WS60" s="609"/>
      <c r="WT60" s="609"/>
      <c r="WU60" s="609"/>
      <c r="WV60" s="609"/>
      <c r="WW60" s="609"/>
      <c r="WX60" s="609"/>
      <c r="WY60" s="609"/>
      <c r="WZ60" s="609"/>
      <c r="XA60" s="609"/>
      <c r="XB60" s="609"/>
      <c r="XC60" s="609"/>
      <c r="XD60" s="609"/>
      <c r="XE60" s="609"/>
      <c r="XF60" s="609"/>
      <c r="XG60" s="609"/>
      <c r="XH60" s="609"/>
      <c r="XI60" s="609"/>
      <c r="XJ60" s="609"/>
      <c r="XK60" s="609"/>
      <c r="XL60" s="609"/>
      <c r="XM60" s="609"/>
      <c r="XN60" s="609"/>
      <c r="XO60" s="609"/>
      <c r="XP60" s="609"/>
      <c r="XQ60" s="609"/>
      <c r="XR60" s="609"/>
      <c r="XS60" s="609"/>
      <c r="XT60" s="609"/>
      <c r="XU60" s="609"/>
      <c r="XV60" s="609"/>
      <c r="XW60" s="609"/>
      <c r="XX60" s="609"/>
      <c r="XY60" s="609"/>
      <c r="XZ60" s="609"/>
      <c r="YA60" s="609"/>
      <c r="YB60" s="609"/>
      <c r="YC60" s="609"/>
      <c r="YD60" s="609"/>
      <c r="YE60" s="609"/>
      <c r="YF60" s="609"/>
      <c r="YG60" s="609"/>
      <c r="YH60" s="609"/>
      <c r="YI60" s="609"/>
      <c r="YJ60" s="609"/>
      <c r="YK60" s="609"/>
      <c r="YL60" s="609"/>
      <c r="YM60" s="609"/>
      <c r="YN60" s="609"/>
      <c r="YO60" s="609"/>
      <c r="YP60" s="609"/>
      <c r="YQ60" s="609"/>
      <c r="YR60" s="609"/>
      <c r="YS60" s="609"/>
      <c r="YT60" s="609"/>
      <c r="YU60" s="609"/>
      <c r="YV60" s="609"/>
      <c r="YW60" s="609"/>
      <c r="YX60" s="609"/>
      <c r="YY60" s="609"/>
      <c r="YZ60" s="609"/>
      <c r="ZA60" s="609"/>
      <c r="ZB60" s="609"/>
      <c r="ZC60" s="609"/>
      <c r="ZD60" s="609"/>
      <c r="ZE60" s="609"/>
      <c r="ZF60" s="609"/>
      <c r="ZG60" s="609"/>
      <c r="ZH60" s="609"/>
      <c r="ZI60" s="609"/>
      <c r="ZJ60" s="609"/>
      <c r="ZK60" s="609"/>
      <c r="ZL60" s="609"/>
      <c r="ZM60" s="609"/>
      <c r="ZN60" s="609"/>
      <c r="ZO60" s="609"/>
      <c r="ZP60" s="609"/>
      <c r="ZQ60" s="609"/>
      <c r="ZR60" s="609"/>
      <c r="ZS60" s="609"/>
      <c r="ZT60" s="609"/>
      <c r="ZU60" s="609"/>
      <c r="ZV60" s="609"/>
      <c r="ZW60" s="609"/>
      <c r="ZX60" s="609"/>
      <c r="ZY60" s="609"/>
      <c r="ZZ60" s="609"/>
      <c r="AAA60" s="609"/>
      <c r="AAB60" s="609"/>
      <c r="AAC60" s="609"/>
      <c r="AAD60" s="609"/>
      <c r="AAE60" s="609"/>
      <c r="AAF60" s="609"/>
      <c r="AAG60" s="609"/>
      <c r="AAH60" s="609"/>
      <c r="AAI60" s="609"/>
      <c r="AAJ60" s="609"/>
      <c r="AAK60" s="609"/>
      <c r="AAL60" s="609"/>
      <c r="AAM60" s="609"/>
      <c r="AAN60" s="609"/>
      <c r="AAO60" s="609"/>
      <c r="AAP60" s="609"/>
      <c r="AAQ60" s="609"/>
      <c r="AAR60" s="609"/>
      <c r="AAS60" s="609"/>
      <c r="AAT60" s="609"/>
      <c r="AAU60" s="609"/>
      <c r="AAV60" s="609"/>
      <c r="AAW60" s="609"/>
      <c r="AAX60" s="609"/>
      <c r="AAY60" s="609"/>
      <c r="AAZ60" s="609"/>
      <c r="ABA60" s="609"/>
      <c r="ABB60" s="609"/>
      <c r="ABC60" s="609"/>
      <c r="ABD60" s="609"/>
      <c r="ABE60" s="609"/>
      <c r="ABF60" s="609"/>
      <c r="ABG60" s="609"/>
      <c r="ABH60" s="609"/>
      <c r="ABI60" s="609"/>
      <c r="ABJ60" s="609"/>
      <c r="ABK60" s="609"/>
      <c r="ABL60" s="609"/>
      <c r="ABM60" s="609"/>
      <c r="ABN60" s="609"/>
      <c r="ABO60" s="609"/>
      <c r="ABP60" s="609"/>
      <c r="ABQ60" s="609"/>
      <c r="ABR60" s="609"/>
      <c r="ABS60" s="609"/>
      <c r="ABT60" s="609"/>
      <c r="ABU60" s="609"/>
      <c r="ABV60" s="609"/>
      <c r="ABW60" s="609"/>
      <c r="ABX60" s="609"/>
      <c r="ABY60" s="609"/>
      <c r="ABZ60" s="609"/>
      <c r="ACA60" s="609"/>
      <c r="ACB60" s="609"/>
      <c r="ACC60" s="609"/>
      <c r="ACD60" s="609"/>
      <c r="ACE60" s="609"/>
      <c r="ACF60" s="609"/>
      <c r="ACG60" s="609"/>
      <c r="ACH60" s="609"/>
      <c r="ACI60" s="609"/>
      <c r="ACJ60" s="609"/>
      <c r="ACK60" s="609"/>
      <c r="ACL60" s="609"/>
      <c r="ACM60" s="609"/>
      <c r="ACN60" s="609"/>
      <c r="ACO60" s="609"/>
      <c r="ACP60" s="609"/>
      <c r="ACQ60" s="609"/>
      <c r="ACR60" s="609"/>
      <c r="ACS60" s="609"/>
      <c r="ACT60" s="609"/>
      <c r="ACU60" s="609"/>
      <c r="ACV60" s="609"/>
      <c r="ACW60" s="609"/>
      <c r="ACX60" s="609"/>
      <c r="ACY60" s="609"/>
      <c r="ACZ60" s="609"/>
      <c r="ADA60" s="609"/>
      <c r="ADB60" s="609"/>
      <c r="ADC60" s="609"/>
      <c r="ADD60" s="609"/>
      <c r="ADE60" s="609"/>
      <c r="ADF60" s="609"/>
      <c r="ADG60" s="609"/>
      <c r="ADH60" s="609"/>
      <c r="ADI60" s="609"/>
      <c r="ADJ60" s="609"/>
      <c r="ADK60" s="609"/>
      <c r="ADL60" s="609"/>
      <c r="ADM60" s="609"/>
      <c r="ADN60" s="609"/>
      <c r="ADO60" s="609"/>
      <c r="ADP60" s="609"/>
      <c r="ADQ60" s="609"/>
      <c r="ADR60" s="609"/>
      <c r="ADS60" s="609"/>
      <c r="ADT60" s="609"/>
      <c r="ADU60" s="609"/>
      <c r="ADV60" s="609"/>
      <c r="ADW60" s="609"/>
      <c r="ADX60" s="609"/>
      <c r="ADY60" s="609"/>
      <c r="ADZ60" s="609"/>
      <c r="AEA60" s="609"/>
      <c r="AEB60" s="609"/>
      <c r="AEC60" s="609"/>
      <c r="AED60" s="609"/>
      <c r="AEE60" s="609"/>
      <c r="AEF60" s="609"/>
      <c r="AEG60" s="609"/>
      <c r="AEH60" s="609"/>
      <c r="AEI60" s="609"/>
      <c r="AEJ60" s="609"/>
      <c r="AEK60" s="609"/>
      <c r="AEL60" s="609"/>
      <c r="AEM60" s="609"/>
      <c r="AEN60" s="609"/>
      <c r="AEO60" s="609"/>
      <c r="AEP60" s="609"/>
      <c r="AEQ60" s="609"/>
      <c r="AER60" s="609"/>
      <c r="AES60" s="609"/>
      <c r="AET60" s="609"/>
      <c r="AEU60" s="609"/>
      <c r="AEV60" s="609"/>
      <c r="AEW60" s="609"/>
      <c r="AEX60" s="609"/>
      <c r="AEY60" s="609"/>
      <c r="AEZ60" s="609"/>
      <c r="AFA60" s="609"/>
      <c r="AFB60" s="609"/>
      <c r="AFC60" s="609"/>
      <c r="AFD60" s="609"/>
      <c r="AFE60" s="609"/>
      <c r="AFF60" s="609"/>
      <c r="AFG60" s="609"/>
      <c r="AFH60" s="609"/>
      <c r="AFI60" s="609"/>
      <c r="AFJ60" s="609"/>
      <c r="AFK60" s="609"/>
      <c r="AFL60" s="609"/>
      <c r="AFM60" s="609"/>
      <c r="AFN60" s="609"/>
      <c r="AFO60" s="609"/>
      <c r="AFP60" s="609"/>
      <c r="AFQ60" s="609"/>
      <c r="AFR60" s="609"/>
      <c r="AFS60" s="609"/>
      <c r="AFT60" s="609"/>
      <c r="AFU60" s="609"/>
      <c r="AFV60" s="609"/>
      <c r="AFW60" s="609"/>
      <c r="AFX60" s="609"/>
      <c r="AFY60" s="609"/>
      <c r="AFZ60" s="609"/>
      <c r="AGA60" s="609"/>
      <c r="AGB60" s="609"/>
      <c r="AGC60" s="609"/>
      <c r="AGD60" s="609"/>
      <c r="AGE60" s="609"/>
      <c r="AGF60" s="609"/>
      <c r="AGG60" s="609"/>
      <c r="AGH60" s="609"/>
      <c r="AGI60" s="609"/>
      <c r="AGJ60" s="609"/>
      <c r="AGK60" s="609"/>
      <c r="AGL60" s="609"/>
      <c r="AGM60" s="609"/>
      <c r="AGN60" s="609"/>
      <c r="AGO60" s="609"/>
      <c r="AGP60" s="609"/>
      <c r="AGQ60" s="609"/>
      <c r="AGR60" s="609"/>
      <c r="AGS60" s="609"/>
      <c r="AGT60" s="609"/>
      <c r="AGU60" s="609"/>
      <c r="AGV60" s="609"/>
      <c r="AGW60" s="609"/>
      <c r="AGX60" s="609"/>
      <c r="AGY60" s="609"/>
      <c r="AGZ60" s="609"/>
      <c r="AHA60" s="609"/>
      <c r="AHB60" s="609"/>
      <c r="AHC60" s="609"/>
      <c r="AHD60" s="609"/>
      <c r="AHE60" s="609"/>
      <c r="AHF60" s="609"/>
      <c r="AHG60" s="609"/>
      <c r="AHH60" s="609"/>
      <c r="AHI60" s="609"/>
      <c r="AHJ60" s="609"/>
      <c r="AHK60" s="609"/>
      <c r="AHL60" s="609"/>
      <c r="AHM60" s="609"/>
      <c r="AHN60" s="609"/>
      <c r="AHO60" s="609"/>
      <c r="AHP60" s="609"/>
      <c r="AHQ60" s="609"/>
      <c r="AHR60" s="609"/>
      <c r="AHS60" s="609"/>
      <c r="AHT60" s="609"/>
      <c r="AHU60" s="609"/>
      <c r="AHV60" s="609"/>
      <c r="AHW60" s="609"/>
      <c r="AHX60" s="609"/>
      <c r="AHY60" s="609"/>
      <c r="AHZ60" s="609"/>
      <c r="AIA60" s="609"/>
      <c r="AIB60" s="609"/>
      <c r="AIC60" s="609"/>
      <c r="AID60" s="609"/>
      <c r="AIE60" s="609"/>
      <c r="AIF60" s="609"/>
      <c r="AIG60" s="609"/>
      <c r="AIH60" s="609"/>
      <c r="AII60" s="609"/>
      <c r="AIJ60" s="609"/>
      <c r="AIK60" s="609"/>
      <c r="AIL60" s="609"/>
      <c r="AIM60" s="609"/>
      <c r="AIN60" s="609"/>
      <c r="AIO60" s="609"/>
      <c r="AIP60" s="609"/>
      <c r="AIQ60" s="609"/>
      <c r="AIR60" s="609"/>
      <c r="AIS60" s="609"/>
      <c r="AIT60" s="609"/>
      <c r="AIU60" s="609"/>
      <c r="AIV60" s="609"/>
      <c r="AIW60" s="609"/>
      <c r="AIX60" s="609"/>
      <c r="AIY60" s="609"/>
      <c r="AIZ60" s="609"/>
      <c r="AJA60" s="609"/>
      <c r="AJB60" s="609"/>
      <c r="AJC60" s="609"/>
      <c r="AJD60" s="609"/>
      <c r="AJE60" s="609"/>
      <c r="AJF60" s="609"/>
      <c r="AJG60" s="609"/>
      <c r="AJH60" s="609"/>
      <c r="AJI60" s="609"/>
      <c r="AJJ60" s="609"/>
      <c r="AJK60" s="609"/>
      <c r="AJL60" s="609"/>
      <c r="AJM60" s="609"/>
      <c r="AJN60" s="609"/>
      <c r="AJO60" s="609"/>
      <c r="AJP60" s="609"/>
      <c r="AJQ60" s="609"/>
      <c r="AJR60" s="609"/>
      <c r="AJS60" s="609"/>
      <c r="AJT60" s="609"/>
      <c r="AJU60" s="609"/>
      <c r="AJV60" s="609"/>
      <c r="AJW60" s="609"/>
      <c r="AJX60" s="609"/>
      <c r="AJY60" s="609"/>
      <c r="AJZ60" s="609"/>
      <c r="AKA60" s="609"/>
      <c r="AKB60" s="609"/>
      <c r="AKC60" s="609"/>
      <c r="AKD60" s="609"/>
      <c r="AKE60" s="609"/>
      <c r="AKF60" s="609"/>
      <c r="AKG60" s="609"/>
      <c r="AKH60" s="609"/>
      <c r="AKI60" s="609"/>
      <c r="AKJ60" s="609"/>
      <c r="AKK60" s="609"/>
      <c r="AKL60" s="609"/>
      <c r="AKM60" s="609"/>
      <c r="AKN60" s="609"/>
      <c r="AKO60" s="609"/>
      <c r="AKP60" s="609"/>
      <c r="AKQ60" s="609"/>
      <c r="AKR60" s="609"/>
      <c r="AKS60" s="609"/>
      <c r="AKT60" s="609"/>
      <c r="AKU60" s="609"/>
      <c r="AKV60" s="609"/>
      <c r="AKW60" s="609"/>
      <c r="AKX60" s="609"/>
      <c r="AKY60" s="609"/>
      <c r="AKZ60" s="609"/>
      <c r="ALA60" s="609"/>
      <c r="ALB60" s="609"/>
      <c r="ALC60" s="609"/>
      <c r="ALD60" s="609"/>
      <c r="ALE60" s="609"/>
      <c r="ALF60" s="609"/>
      <c r="ALG60" s="609"/>
      <c r="ALH60" s="609"/>
      <c r="ALI60" s="609"/>
      <c r="ALJ60" s="609"/>
      <c r="ALK60" s="609"/>
      <c r="ALL60" s="609"/>
      <c r="ALM60" s="609"/>
      <c r="ALN60" s="609"/>
      <c r="ALO60" s="609"/>
      <c r="ALP60" s="609"/>
      <c r="ALQ60" s="609"/>
      <c r="ALR60" s="609"/>
      <c r="ALS60" s="609"/>
      <c r="ALT60" s="609"/>
      <c r="ALU60" s="609"/>
      <c r="ALV60" s="609"/>
      <c r="ALW60" s="609"/>
      <c r="ALX60" s="609"/>
      <c r="ALY60" s="609"/>
      <c r="ALZ60" s="609"/>
      <c r="AMA60" s="609"/>
      <c r="AMB60" s="609"/>
      <c r="AMC60" s="609"/>
      <c r="AMD60" s="609"/>
      <c r="AME60" s="609"/>
      <c r="AMF60" s="609"/>
      <c r="AMG60" s="609"/>
      <c r="AMH60" s="609"/>
      <c r="AMI60" s="609"/>
      <c r="AMJ60" s="609"/>
      <c r="AMK60" s="609"/>
      <c r="AML60" s="609"/>
      <c r="AMM60" s="609"/>
      <c r="AMN60" s="609"/>
      <c r="AMO60" s="609"/>
      <c r="AMP60" s="609"/>
      <c r="AMQ60" s="609"/>
      <c r="AMR60" s="609"/>
      <c r="AMS60" s="609"/>
      <c r="AMT60" s="609"/>
      <c r="AMU60" s="609"/>
      <c r="AMV60" s="609"/>
      <c r="AMW60" s="609"/>
      <c r="AMX60" s="609"/>
      <c r="AMY60" s="609"/>
      <c r="AMZ60" s="609"/>
      <c r="ANA60" s="609"/>
      <c r="ANB60" s="609"/>
      <c r="ANC60" s="609"/>
      <c r="AND60" s="609"/>
      <c r="ANE60" s="609"/>
      <c r="ANF60" s="609"/>
      <c r="ANG60" s="609"/>
      <c r="ANH60" s="609"/>
      <c r="ANI60" s="609"/>
      <c r="ANJ60" s="609"/>
      <c r="ANK60" s="609"/>
      <c r="ANL60" s="609"/>
      <c r="ANM60" s="609"/>
      <c r="ANN60" s="609"/>
      <c r="ANO60" s="609"/>
      <c r="ANP60" s="609"/>
      <c r="ANQ60" s="609"/>
      <c r="ANR60" s="609"/>
      <c r="ANS60" s="609"/>
      <c r="ANT60" s="609"/>
      <c r="ANU60" s="609"/>
      <c r="ANV60" s="609"/>
      <c r="ANW60" s="609"/>
      <c r="ANX60" s="609"/>
      <c r="ANY60" s="609"/>
      <c r="ANZ60" s="609"/>
      <c r="AOA60" s="609"/>
      <c r="AOB60" s="609"/>
      <c r="AOC60" s="609"/>
      <c r="AOD60" s="609"/>
      <c r="AOE60" s="609"/>
      <c r="AOF60" s="609"/>
      <c r="AOG60" s="609"/>
      <c r="AOH60" s="609"/>
      <c r="AOI60" s="609"/>
      <c r="AOJ60" s="609"/>
      <c r="AOK60" s="609"/>
      <c r="AOL60" s="609"/>
      <c r="AOM60" s="609"/>
      <c r="AON60" s="609"/>
      <c r="AOO60" s="609"/>
      <c r="AOP60" s="609"/>
      <c r="AOQ60" s="609"/>
      <c r="AOR60" s="609"/>
      <c r="AOS60" s="609"/>
      <c r="AOT60" s="609"/>
      <c r="AOU60" s="609"/>
      <c r="AOV60" s="609"/>
      <c r="AOW60" s="609"/>
      <c r="AOX60" s="609"/>
      <c r="AOY60" s="609"/>
      <c r="AOZ60" s="609"/>
      <c r="APA60" s="609"/>
      <c r="APB60" s="609"/>
      <c r="APC60" s="609"/>
      <c r="APD60" s="609"/>
      <c r="APE60" s="609"/>
      <c r="APF60" s="609"/>
      <c r="APG60" s="609"/>
      <c r="APH60" s="609"/>
      <c r="API60" s="609"/>
      <c r="APJ60" s="609"/>
      <c r="APK60" s="609"/>
      <c r="APL60" s="609"/>
      <c r="APM60" s="609"/>
      <c r="APN60" s="609"/>
      <c r="APO60" s="609"/>
      <c r="APP60" s="609"/>
      <c r="APQ60" s="609"/>
      <c r="APR60" s="609"/>
      <c r="APS60" s="609"/>
      <c r="APT60" s="609"/>
      <c r="APU60" s="609"/>
      <c r="APV60" s="609"/>
      <c r="APW60" s="609"/>
      <c r="APX60" s="609"/>
      <c r="APY60" s="609"/>
      <c r="APZ60" s="609"/>
      <c r="AQA60" s="609"/>
      <c r="AQB60" s="609"/>
      <c r="AQC60" s="609"/>
      <c r="AQD60" s="609"/>
      <c r="AQE60" s="609"/>
      <c r="AQF60" s="609"/>
      <c r="AQG60" s="609"/>
      <c r="AQH60" s="609"/>
      <c r="AQI60" s="609"/>
      <c r="AQJ60" s="609"/>
      <c r="AQK60" s="609"/>
      <c r="AQL60" s="609"/>
      <c r="AQM60" s="609"/>
      <c r="AQN60" s="609"/>
      <c r="AQO60" s="609"/>
      <c r="AQP60" s="609"/>
      <c r="AQQ60" s="609"/>
      <c r="AQR60" s="609"/>
      <c r="AQS60" s="609"/>
      <c r="AQT60" s="609"/>
      <c r="AQU60" s="609"/>
      <c r="AQV60" s="609"/>
      <c r="AQW60" s="609"/>
      <c r="AQX60" s="609"/>
      <c r="AQY60" s="609"/>
      <c r="AQZ60" s="609"/>
      <c r="ARA60" s="609"/>
      <c r="ARB60" s="609"/>
      <c r="ARC60" s="609"/>
      <c r="ARD60" s="609"/>
      <c r="ARE60" s="609"/>
      <c r="ARF60" s="609"/>
      <c r="ARG60" s="609"/>
      <c r="ARH60" s="609"/>
      <c r="ARI60" s="609"/>
      <c r="ARJ60" s="609"/>
      <c r="ARK60" s="609"/>
      <c r="ARL60" s="609"/>
      <c r="ARM60" s="609"/>
      <c r="ARN60" s="609"/>
      <c r="ARO60" s="609"/>
      <c r="ARP60" s="609"/>
      <c r="ARQ60" s="609"/>
      <c r="ARR60" s="609"/>
      <c r="ARS60" s="609"/>
      <c r="ART60" s="609"/>
      <c r="ARU60" s="609"/>
      <c r="ARV60" s="609"/>
      <c r="ARW60" s="609"/>
      <c r="ARX60" s="609"/>
      <c r="ARY60" s="609"/>
      <c r="ARZ60" s="609"/>
      <c r="ASA60" s="609"/>
      <c r="ASB60" s="609"/>
      <c r="ASC60" s="609"/>
      <c r="ASD60" s="609"/>
      <c r="ASE60" s="609"/>
      <c r="ASF60" s="609"/>
      <c r="ASG60" s="609"/>
      <c r="ASH60" s="609"/>
      <c r="ASI60" s="609"/>
      <c r="ASJ60" s="609"/>
      <c r="ASK60" s="609"/>
      <c r="ASL60" s="609"/>
      <c r="ASM60" s="609"/>
      <c r="ASN60" s="609"/>
      <c r="ASO60" s="609"/>
      <c r="ASP60" s="609"/>
      <c r="ASQ60" s="609"/>
      <c r="ASR60" s="609"/>
      <c r="ASS60" s="609"/>
      <c r="AST60" s="609"/>
      <c r="ASU60" s="609"/>
      <c r="ASV60" s="609"/>
      <c r="ASW60" s="609"/>
      <c r="ASX60" s="609"/>
      <c r="ASY60" s="609"/>
      <c r="ASZ60" s="609"/>
      <c r="ATA60" s="609"/>
      <c r="ATB60" s="609"/>
      <c r="ATC60" s="609"/>
      <c r="ATD60" s="609"/>
      <c r="ATE60" s="609"/>
      <c r="ATF60" s="609"/>
      <c r="ATG60" s="609"/>
      <c r="ATH60" s="609"/>
      <c r="ATI60" s="609"/>
      <c r="ATJ60" s="609"/>
      <c r="ATK60" s="609"/>
      <c r="ATL60" s="609"/>
      <c r="ATM60" s="609"/>
      <c r="ATN60" s="609"/>
      <c r="ATO60" s="609"/>
      <c r="ATP60" s="609"/>
      <c r="ATQ60" s="609"/>
      <c r="ATR60" s="609"/>
      <c r="ATS60" s="609"/>
      <c r="ATT60" s="609"/>
      <c r="ATU60" s="609"/>
      <c r="ATV60" s="609"/>
      <c r="ATW60" s="609"/>
      <c r="ATX60" s="609"/>
      <c r="ATY60" s="609"/>
      <c r="ATZ60" s="609"/>
      <c r="AUA60" s="609"/>
      <c r="AUB60" s="609"/>
      <c r="AUC60" s="609"/>
      <c r="AUD60" s="609"/>
      <c r="AUE60" s="609"/>
      <c r="AUF60" s="609"/>
      <c r="AUG60" s="609"/>
      <c r="AUH60" s="609"/>
      <c r="AUI60" s="609"/>
      <c r="AUJ60" s="609"/>
      <c r="AUK60" s="609"/>
      <c r="AUL60" s="609"/>
      <c r="AUM60" s="609"/>
      <c r="AUN60" s="609"/>
      <c r="AUO60" s="609"/>
      <c r="AUP60" s="609"/>
      <c r="AUQ60" s="609"/>
      <c r="AUR60" s="609"/>
      <c r="AUS60" s="609"/>
      <c r="AUT60" s="609"/>
      <c r="AUU60" s="609"/>
      <c r="AUV60" s="609"/>
      <c r="AUW60" s="609"/>
      <c r="AUX60" s="609"/>
      <c r="AUY60" s="609"/>
      <c r="AUZ60" s="609"/>
      <c r="AVA60" s="609"/>
      <c r="AVB60" s="609"/>
      <c r="AVC60" s="609"/>
      <c r="AVD60" s="609"/>
      <c r="AVE60" s="609"/>
      <c r="AVF60" s="609"/>
      <c r="AVG60" s="609"/>
      <c r="AVH60" s="609"/>
      <c r="AVI60" s="609"/>
      <c r="AVJ60" s="609"/>
      <c r="AVK60" s="609"/>
      <c r="AVL60" s="609"/>
      <c r="AVM60" s="609"/>
      <c r="AVN60" s="609"/>
      <c r="AVO60" s="609"/>
      <c r="AVP60" s="609"/>
      <c r="AVQ60" s="609"/>
      <c r="AVR60" s="609"/>
      <c r="AVS60" s="609"/>
      <c r="AVT60" s="609"/>
      <c r="AVU60" s="609"/>
      <c r="AVV60" s="609"/>
      <c r="AVW60" s="609"/>
      <c r="AVX60" s="609"/>
      <c r="AVY60" s="609"/>
      <c r="AVZ60" s="609"/>
      <c r="AWA60" s="609"/>
      <c r="AWB60" s="609"/>
      <c r="AWC60" s="609"/>
      <c r="AWD60" s="609"/>
      <c r="AWE60" s="609"/>
      <c r="AWF60" s="609"/>
      <c r="AWG60" s="609"/>
      <c r="AWH60" s="609"/>
      <c r="AWI60" s="609"/>
      <c r="AWJ60" s="609"/>
      <c r="AWK60" s="609"/>
      <c r="AWL60" s="609"/>
      <c r="AWM60" s="609"/>
      <c r="AWN60" s="609"/>
      <c r="AWO60" s="609"/>
      <c r="AWP60" s="609"/>
      <c r="AWQ60" s="609"/>
      <c r="AWR60" s="609"/>
      <c r="AWS60" s="609"/>
      <c r="AWT60" s="609"/>
      <c r="AWU60" s="609"/>
      <c r="AWV60" s="609"/>
      <c r="AWW60" s="609"/>
      <c r="AWX60" s="609"/>
      <c r="AWY60" s="609"/>
      <c r="AWZ60" s="609"/>
      <c r="AXA60" s="609"/>
      <c r="AXB60" s="609"/>
      <c r="AXC60" s="609"/>
      <c r="AXD60" s="609"/>
      <c r="AXE60" s="609"/>
      <c r="AXF60" s="609"/>
      <c r="AXG60" s="609"/>
      <c r="AXH60" s="609"/>
      <c r="AXI60" s="609"/>
      <c r="AXJ60" s="609"/>
      <c r="AXK60" s="609"/>
      <c r="AXL60" s="609"/>
      <c r="AXM60" s="609"/>
      <c r="AXN60" s="609"/>
      <c r="AXO60" s="609"/>
      <c r="AXP60" s="609"/>
      <c r="AXQ60" s="609"/>
      <c r="AXR60" s="609"/>
      <c r="AXS60" s="609"/>
      <c r="AXT60" s="609"/>
      <c r="AXU60" s="609"/>
      <c r="AXV60" s="609"/>
      <c r="AXW60" s="609"/>
      <c r="AXX60" s="609"/>
      <c r="AXY60" s="609"/>
      <c r="AXZ60" s="609"/>
      <c r="AYA60" s="609"/>
      <c r="AYB60" s="609"/>
      <c r="AYC60" s="609"/>
      <c r="AYD60" s="609"/>
      <c r="AYE60" s="609"/>
      <c r="AYF60" s="609"/>
      <c r="AYG60" s="609"/>
      <c r="AYH60" s="609"/>
      <c r="AYI60" s="609"/>
      <c r="AYJ60" s="609"/>
      <c r="AYK60" s="609"/>
      <c r="AYL60" s="609"/>
      <c r="AYM60" s="609"/>
      <c r="AYN60" s="609"/>
      <c r="AYO60" s="609"/>
      <c r="AYP60" s="609"/>
      <c r="AYQ60" s="609"/>
      <c r="AYR60" s="609"/>
      <c r="AYS60" s="609"/>
      <c r="AYT60" s="609"/>
      <c r="AYU60" s="609"/>
      <c r="AYV60" s="609"/>
      <c r="AYW60" s="609"/>
      <c r="AYX60" s="609"/>
      <c r="AYY60" s="609"/>
      <c r="AYZ60" s="609"/>
      <c r="AZA60" s="609"/>
      <c r="AZB60" s="609"/>
      <c r="AZC60" s="609"/>
      <c r="AZD60" s="609"/>
      <c r="AZE60" s="609"/>
      <c r="AZF60" s="609"/>
      <c r="AZG60" s="609"/>
      <c r="AZH60" s="609"/>
      <c r="AZI60" s="609"/>
      <c r="AZJ60" s="609"/>
      <c r="AZK60" s="609"/>
      <c r="AZL60" s="609"/>
      <c r="AZM60" s="609"/>
      <c r="AZN60" s="609"/>
      <c r="AZO60" s="609"/>
      <c r="AZP60" s="609"/>
      <c r="AZQ60" s="609"/>
      <c r="AZR60" s="609"/>
      <c r="AZS60" s="609"/>
      <c r="AZT60" s="609"/>
      <c r="AZU60" s="609"/>
      <c r="AZV60" s="609"/>
      <c r="AZW60" s="609"/>
      <c r="AZX60" s="609"/>
      <c r="AZY60" s="609"/>
      <c r="AZZ60" s="609"/>
      <c r="BAA60" s="609"/>
      <c r="BAB60" s="609"/>
      <c r="BAC60" s="609"/>
      <c r="BAD60" s="609"/>
      <c r="BAE60" s="609"/>
      <c r="BAF60" s="609"/>
      <c r="BAG60" s="609"/>
      <c r="BAH60" s="609"/>
      <c r="BAI60" s="609"/>
      <c r="BAJ60" s="609"/>
      <c r="BAK60" s="609"/>
      <c r="BAL60" s="609"/>
      <c r="BAM60" s="609"/>
      <c r="BAN60" s="609"/>
      <c r="BAO60" s="609"/>
      <c r="BAP60" s="609"/>
      <c r="BAQ60" s="609"/>
      <c r="BAR60" s="609"/>
      <c r="BAS60" s="609"/>
      <c r="BAT60" s="609"/>
      <c r="BAU60" s="609"/>
      <c r="BAV60" s="609"/>
      <c r="BAW60" s="609"/>
      <c r="BAX60" s="609"/>
      <c r="BAY60" s="609"/>
      <c r="BAZ60" s="609"/>
      <c r="BBA60" s="609"/>
      <c r="BBB60" s="609"/>
      <c r="BBC60" s="609"/>
      <c r="BBD60" s="609"/>
      <c r="BBE60" s="609"/>
      <c r="BBF60" s="609"/>
      <c r="BBG60" s="609"/>
      <c r="BBH60" s="609"/>
      <c r="BBI60" s="609"/>
      <c r="BBJ60" s="609"/>
      <c r="BBK60" s="609"/>
      <c r="BBL60" s="609"/>
      <c r="BBM60" s="609"/>
      <c r="BBN60" s="609"/>
      <c r="BBO60" s="609"/>
      <c r="BBP60" s="609"/>
      <c r="BBQ60" s="609"/>
      <c r="BBR60" s="609"/>
      <c r="BBS60" s="609"/>
      <c r="BBT60" s="609"/>
      <c r="BBU60" s="609"/>
      <c r="BBV60" s="609"/>
      <c r="BBW60" s="609"/>
      <c r="BBX60" s="609"/>
      <c r="BBY60" s="609"/>
      <c r="BBZ60" s="609"/>
      <c r="BCA60" s="609"/>
      <c r="BCB60" s="609"/>
      <c r="BCC60" s="609"/>
      <c r="BCD60" s="609"/>
      <c r="BCE60" s="609"/>
      <c r="BCF60" s="609"/>
      <c r="BCG60" s="609"/>
      <c r="BCH60" s="609"/>
      <c r="BCI60" s="609"/>
      <c r="BCJ60" s="609"/>
      <c r="BCK60" s="609"/>
      <c r="BCL60" s="609"/>
      <c r="BCM60" s="609"/>
      <c r="BCN60" s="609"/>
      <c r="BCO60" s="609"/>
      <c r="BCP60" s="609"/>
      <c r="BCQ60" s="609"/>
      <c r="BCR60" s="609"/>
      <c r="BCS60" s="609"/>
      <c r="BCT60" s="609"/>
      <c r="BCU60" s="609"/>
      <c r="BCV60" s="609"/>
      <c r="BCW60" s="609"/>
      <c r="BCX60" s="609"/>
      <c r="BCY60" s="609"/>
      <c r="BCZ60" s="609"/>
      <c r="BDA60" s="609"/>
      <c r="BDB60" s="609"/>
      <c r="BDC60" s="609"/>
      <c r="BDD60" s="609"/>
      <c r="BDE60" s="609"/>
      <c r="BDF60" s="609"/>
      <c r="BDG60" s="609"/>
      <c r="BDH60" s="609"/>
      <c r="BDI60" s="609"/>
      <c r="BDJ60" s="609"/>
      <c r="BDK60" s="609"/>
      <c r="BDL60" s="609"/>
      <c r="BDM60" s="609"/>
      <c r="BDN60" s="609"/>
      <c r="BDO60" s="609"/>
      <c r="BDP60" s="609"/>
      <c r="BDQ60" s="609"/>
      <c r="BDR60" s="609"/>
      <c r="BDS60" s="609"/>
      <c r="BDT60" s="609"/>
      <c r="BDU60" s="609"/>
      <c r="BDV60" s="609"/>
      <c r="BDW60" s="609"/>
      <c r="BDX60" s="609"/>
      <c r="BDY60" s="609"/>
      <c r="BDZ60" s="609"/>
      <c r="BEA60" s="609"/>
      <c r="BEB60" s="609"/>
      <c r="BEC60" s="609"/>
      <c r="BED60" s="609"/>
      <c r="BEE60" s="609"/>
      <c r="BEF60" s="609"/>
      <c r="BEG60" s="609"/>
      <c r="BEH60" s="609"/>
      <c r="BEI60" s="609"/>
      <c r="BEJ60" s="609"/>
      <c r="BEK60" s="609"/>
      <c r="BEL60" s="609"/>
      <c r="BEM60" s="609"/>
      <c r="BEN60" s="609"/>
      <c r="BEO60" s="609"/>
      <c r="BEP60" s="609"/>
      <c r="BEQ60" s="609"/>
      <c r="BER60" s="609"/>
      <c r="BES60" s="609"/>
      <c r="BET60" s="609"/>
      <c r="BEU60" s="609"/>
      <c r="BEV60" s="609"/>
      <c r="BEW60" s="609"/>
      <c r="BEX60" s="609"/>
      <c r="BEY60" s="609"/>
      <c r="BEZ60" s="609"/>
      <c r="BFA60" s="609"/>
      <c r="BFB60" s="609"/>
      <c r="BFC60" s="609"/>
      <c r="BFD60" s="609"/>
      <c r="BFE60" s="609"/>
      <c r="BFF60" s="609"/>
      <c r="BFG60" s="609"/>
      <c r="BFH60" s="609"/>
      <c r="BFI60" s="609"/>
      <c r="BFJ60" s="609"/>
      <c r="BFK60" s="609"/>
      <c r="BFL60" s="609"/>
      <c r="BFM60" s="609"/>
      <c r="BFN60" s="609"/>
      <c r="BFO60" s="609"/>
      <c r="BFP60" s="609"/>
      <c r="BFQ60" s="609"/>
      <c r="BFR60" s="609"/>
      <c r="BFS60" s="609"/>
      <c r="BFT60" s="609"/>
      <c r="BFU60" s="609"/>
      <c r="BFV60" s="609"/>
      <c r="BFW60" s="609"/>
      <c r="BFX60" s="609"/>
      <c r="BFY60" s="609"/>
      <c r="BFZ60" s="609"/>
      <c r="BGA60" s="609"/>
      <c r="BGB60" s="609"/>
      <c r="BGC60" s="609"/>
      <c r="BGD60" s="609"/>
      <c r="BGE60" s="609"/>
      <c r="BGF60" s="609"/>
      <c r="BGG60" s="609"/>
      <c r="BGH60" s="609"/>
      <c r="BGI60" s="609"/>
      <c r="BGJ60" s="609"/>
      <c r="BGK60" s="609"/>
      <c r="BGL60" s="609"/>
      <c r="BGM60" s="609"/>
      <c r="BGN60" s="609"/>
      <c r="BGO60" s="609"/>
      <c r="BGP60" s="609"/>
      <c r="BGQ60" s="609"/>
      <c r="BGR60" s="609"/>
      <c r="BGS60" s="609"/>
      <c r="BGT60" s="609"/>
      <c r="BGU60" s="609"/>
      <c r="BGV60" s="609"/>
      <c r="BGW60" s="609"/>
      <c r="BGX60" s="609"/>
      <c r="BGY60" s="609"/>
      <c r="BGZ60" s="609"/>
      <c r="BHA60" s="609"/>
      <c r="BHB60" s="609"/>
      <c r="BHC60" s="609"/>
      <c r="BHD60" s="609"/>
      <c r="BHE60" s="609"/>
      <c r="BHF60" s="609"/>
      <c r="BHG60" s="609"/>
      <c r="BHH60" s="609"/>
      <c r="BHI60" s="609"/>
      <c r="BHJ60" s="609"/>
      <c r="BHK60" s="609"/>
      <c r="BHL60" s="609"/>
      <c r="BHM60" s="609"/>
      <c r="BHN60" s="609"/>
      <c r="BHO60" s="609"/>
      <c r="BHP60" s="609"/>
      <c r="BHQ60" s="609"/>
      <c r="BHR60" s="609"/>
      <c r="BHS60" s="609"/>
      <c r="BHT60" s="609"/>
      <c r="BHU60" s="609"/>
      <c r="BHV60" s="609"/>
      <c r="BHW60" s="609"/>
      <c r="BHX60" s="609"/>
      <c r="BHY60" s="609"/>
      <c r="BHZ60" s="609"/>
      <c r="BIA60" s="609"/>
      <c r="BIB60" s="609"/>
      <c r="BIC60" s="609"/>
      <c r="BID60" s="609"/>
      <c r="BIE60" s="609"/>
      <c r="BIF60" s="609"/>
      <c r="BIG60" s="609"/>
      <c r="BIH60" s="609"/>
      <c r="BII60" s="609"/>
      <c r="BIJ60" s="609"/>
      <c r="BIK60" s="609"/>
      <c r="BIL60" s="609"/>
      <c r="BIM60" s="609"/>
      <c r="BIN60" s="609"/>
      <c r="BIO60" s="609"/>
      <c r="BIP60" s="609"/>
      <c r="BIQ60" s="609"/>
      <c r="BIR60" s="609"/>
      <c r="BIS60" s="609"/>
      <c r="BIT60" s="609"/>
      <c r="BIU60" s="609"/>
      <c r="BIV60" s="609"/>
      <c r="BIW60" s="609"/>
      <c r="BIX60" s="609"/>
      <c r="BIY60" s="609"/>
      <c r="BIZ60" s="609"/>
      <c r="BJA60" s="609"/>
      <c r="BJB60" s="609"/>
      <c r="BJC60" s="609"/>
      <c r="BJD60" s="609"/>
      <c r="BJE60" s="609"/>
      <c r="BJF60" s="609"/>
      <c r="BJG60" s="609"/>
      <c r="BJH60" s="609"/>
      <c r="BJI60" s="609"/>
      <c r="BJJ60" s="609"/>
      <c r="BJK60" s="609"/>
      <c r="BJL60" s="609"/>
      <c r="BJM60" s="609"/>
      <c r="BJN60" s="609"/>
      <c r="BJO60" s="609"/>
      <c r="BJP60" s="609"/>
      <c r="BJQ60" s="609"/>
      <c r="BJR60" s="609"/>
      <c r="BJS60" s="609"/>
      <c r="BJT60" s="609"/>
      <c r="BJU60" s="609"/>
      <c r="BJV60" s="609"/>
      <c r="BJW60" s="609"/>
      <c r="BJX60" s="609"/>
      <c r="BJY60" s="609"/>
      <c r="BJZ60" s="609"/>
      <c r="BKA60" s="609"/>
      <c r="BKB60" s="609"/>
      <c r="BKC60" s="609"/>
      <c r="BKD60" s="609"/>
      <c r="BKE60" s="609"/>
      <c r="BKF60" s="609"/>
      <c r="BKG60" s="609"/>
      <c r="BKH60" s="609"/>
      <c r="BKI60" s="609"/>
      <c r="BKJ60" s="609"/>
      <c r="BKK60" s="609"/>
      <c r="BKL60" s="609"/>
      <c r="BKM60" s="609"/>
      <c r="BKN60" s="609"/>
      <c r="BKO60" s="609"/>
      <c r="BKP60" s="609"/>
      <c r="BKQ60" s="609"/>
      <c r="BKR60" s="609"/>
      <c r="BKS60" s="609"/>
      <c r="BKT60" s="609"/>
      <c r="BKU60" s="609"/>
      <c r="BKV60" s="609"/>
      <c r="BKW60" s="609"/>
      <c r="BKX60" s="609"/>
      <c r="BKY60" s="609"/>
      <c r="BKZ60" s="609"/>
      <c r="BLA60" s="609"/>
      <c r="BLB60" s="609"/>
      <c r="BLC60" s="609"/>
      <c r="BLD60" s="609"/>
      <c r="BLE60" s="609"/>
      <c r="BLF60" s="609"/>
      <c r="BLG60" s="609"/>
      <c r="BLH60" s="609"/>
      <c r="BLI60" s="609"/>
      <c r="BLJ60" s="609"/>
      <c r="BLK60" s="609"/>
      <c r="BLL60" s="609"/>
      <c r="BLM60" s="609"/>
      <c r="BLN60" s="609"/>
      <c r="BLO60" s="609"/>
      <c r="BLP60" s="609"/>
      <c r="BLQ60" s="609"/>
      <c r="BLR60" s="609"/>
      <c r="BLS60" s="609"/>
      <c r="BLT60" s="609"/>
      <c r="BLU60" s="609"/>
      <c r="BLV60" s="609"/>
      <c r="BLW60" s="609"/>
      <c r="BLX60" s="609"/>
      <c r="BLY60" s="609"/>
      <c r="BLZ60" s="609"/>
      <c r="BMA60" s="609"/>
      <c r="BMB60" s="609"/>
      <c r="BMC60" s="609"/>
      <c r="BMD60" s="609"/>
      <c r="BME60" s="609"/>
      <c r="BMF60" s="609"/>
      <c r="BMG60" s="609"/>
      <c r="BMH60" s="609"/>
      <c r="BMI60" s="609"/>
      <c r="BMJ60" s="609"/>
      <c r="BMK60" s="609"/>
      <c r="BML60" s="609"/>
      <c r="BMM60" s="609"/>
      <c r="BMN60" s="609"/>
      <c r="BMO60" s="609"/>
      <c r="BMP60" s="609"/>
      <c r="BMQ60" s="609"/>
      <c r="BMR60" s="609"/>
      <c r="BMS60" s="609"/>
      <c r="BMT60" s="609"/>
      <c r="BMU60" s="609"/>
      <c r="BMV60" s="609"/>
      <c r="BMW60" s="609"/>
      <c r="BMX60" s="609"/>
      <c r="BMY60" s="609"/>
      <c r="BMZ60" s="609"/>
      <c r="BNA60" s="609"/>
      <c r="BNB60" s="609"/>
      <c r="BNC60" s="609"/>
      <c r="BND60" s="609"/>
      <c r="BNE60" s="609"/>
      <c r="BNF60" s="609"/>
      <c r="BNG60" s="609"/>
      <c r="BNH60" s="609"/>
      <c r="BNI60" s="609"/>
      <c r="BNJ60" s="609"/>
      <c r="BNK60" s="609"/>
      <c r="BNL60" s="609"/>
      <c r="BNM60" s="609"/>
      <c r="BNN60" s="609"/>
      <c r="BNO60" s="609"/>
      <c r="BNP60" s="609"/>
      <c r="BNQ60" s="609"/>
      <c r="BNR60" s="609"/>
      <c r="BNS60" s="609"/>
      <c r="BNT60" s="609"/>
      <c r="BNU60" s="609"/>
      <c r="BNV60" s="609"/>
      <c r="BNW60" s="609"/>
      <c r="BNX60" s="609"/>
      <c r="BNY60" s="609"/>
      <c r="BNZ60" s="609"/>
      <c r="BOA60" s="609"/>
      <c r="BOB60" s="609"/>
      <c r="BOC60" s="609"/>
      <c r="BOD60" s="609"/>
      <c r="BOE60" s="609"/>
      <c r="BOF60" s="609"/>
      <c r="BOG60" s="609"/>
      <c r="BOH60" s="609"/>
      <c r="BOI60" s="609"/>
      <c r="BOJ60" s="609"/>
      <c r="BOK60" s="609"/>
      <c r="BOL60" s="609"/>
      <c r="BOM60" s="609"/>
      <c r="BON60" s="609"/>
      <c r="BOO60" s="609"/>
      <c r="BOP60" s="609"/>
      <c r="BOQ60" s="609"/>
      <c r="BOR60" s="609"/>
      <c r="BOS60" s="609"/>
      <c r="BOT60" s="609"/>
      <c r="BOU60" s="609"/>
      <c r="BOV60" s="609"/>
      <c r="BOW60" s="609"/>
      <c r="BOX60" s="609"/>
      <c r="BOY60" s="609"/>
      <c r="BOZ60" s="609"/>
      <c r="BPA60" s="609"/>
      <c r="BPB60" s="609"/>
      <c r="BPC60" s="609"/>
      <c r="BPD60" s="609"/>
      <c r="BPE60" s="609"/>
      <c r="BPF60" s="609"/>
      <c r="BPG60" s="609"/>
      <c r="BPH60" s="609"/>
      <c r="BPI60" s="609"/>
      <c r="BPJ60" s="609"/>
      <c r="BPK60" s="609"/>
      <c r="BPL60" s="609"/>
      <c r="BPM60" s="609"/>
      <c r="BPN60" s="609"/>
      <c r="BPO60" s="609"/>
      <c r="BPP60" s="609"/>
      <c r="BPQ60" s="609"/>
      <c r="BPR60" s="609"/>
      <c r="BPS60" s="609"/>
      <c r="BPT60" s="609"/>
      <c r="BPU60" s="609"/>
      <c r="BPV60" s="609"/>
      <c r="BPW60" s="609"/>
      <c r="BPX60" s="609"/>
      <c r="BPY60" s="609"/>
      <c r="BPZ60" s="609"/>
      <c r="BQA60" s="609"/>
      <c r="BQB60" s="609"/>
      <c r="BQC60" s="609"/>
      <c r="BQD60" s="609"/>
      <c r="BQE60" s="609"/>
      <c r="BQF60" s="609"/>
      <c r="BQG60" s="609"/>
      <c r="BQH60" s="609"/>
      <c r="BQI60" s="609"/>
      <c r="BQJ60" s="609"/>
      <c r="BQK60" s="609"/>
      <c r="BQL60" s="609"/>
      <c r="BQM60" s="609"/>
      <c r="BQN60" s="609"/>
      <c r="BQO60" s="609"/>
      <c r="BQP60" s="609"/>
      <c r="BQQ60" s="609"/>
      <c r="BQR60" s="609"/>
      <c r="BQS60" s="609"/>
      <c r="BQT60" s="609"/>
      <c r="BQU60" s="609"/>
      <c r="BQV60" s="609"/>
      <c r="BQW60" s="609"/>
      <c r="BQX60" s="609"/>
      <c r="BQY60" s="609"/>
      <c r="BQZ60" s="609"/>
      <c r="BRA60" s="609"/>
      <c r="BRB60" s="609"/>
      <c r="BRC60" s="609"/>
      <c r="BRD60" s="609"/>
      <c r="BRE60" s="609"/>
      <c r="BRF60" s="609"/>
      <c r="BRG60" s="609"/>
      <c r="BRH60" s="609"/>
      <c r="BRI60" s="609"/>
      <c r="BRJ60" s="609"/>
      <c r="BRK60" s="609"/>
      <c r="BRL60" s="609"/>
      <c r="BRM60" s="609"/>
      <c r="BRN60" s="609"/>
      <c r="BRO60" s="609"/>
      <c r="BRP60" s="609"/>
      <c r="BRQ60" s="609"/>
      <c r="BRR60" s="609"/>
      <c r="BRS60" s="609"/>
      <c r="BRT60" s="609"/>
      <c r="BRU60" s="609"/>
      <c r="BRV60" s="609"/>
      <c r="BRW60" s="609"/>
      <c r="BRX60" s="609"/>
      <c r="BRY60" s="609"/>
      <c r="BRZ60" s="609"/>
      <c r="BSA60" s="609"/>
      <c r="BSB60" s="609"/>
      <c r="BSC60" s="609"/>
      <c r="BSD60" s="609"/>
      <c r="BSE60" s="609"/>
      <c r="BSF60" s="609"/>
      <c r="BSG60" s="609"/>
      <c r="BSH60" s="609"/>
      <c r="BSI60" s="609"/>
      <c r="BSJ60" s="609"/>
      <c r="BSK60" s="609"/>
      <c r="BSL60" s="609"/>
      <c r="BSM60" s="609"/>
      <c r="BSN60" s="609"/>
      <c r="BSO60" s="609"/>
      <c r="BSP60" s="609"/>
      <c r="BSQ60" s="609"/>
      <c r="BSR60" s="609"/>
      <c r="BSS60" s="609"/>
      <c r="BST60" s="609"/>
      <c r="BSU60" s="609"/>
      <c r="BSV60" s="609"/>
      <c r="BSW60" s="609"/>
      <c r="BSX60" s="609"/>
      <c r="BSY60" s="609"/>
      <c r="BSZ60" s="609"/>
      <c r="BTA60" s="609"/>
      <c r="BTB60" s="609"/>
      <c r="BTC60" s="609"/>
      <c r="BTD60" s="609"/>
      <c r="BTE60" s="609"/>
      <c r="BTF60" s="609"/>
      <c r="BTG60" s="609"/>
      <c r="BTH60" s="609"/>
      <c r="BTI60" s="609"/>
      <c r="BTJ60" s="609"/>
      <c r="BTK60" s="609"/>
      <c r="BTL60" s="609"/>
      <c r="BTM60" s="609"/>
      <c r="BTN60" s="609"/>
      <c r="BTO60" s="609"/>
      <c r="BTP60" s="609"/>
      <c r="BTQ60" s="609"/>
      <c r="BTR60" s="609"/>
      <c r="BTS60" s="609"/>
      <c r="BTT60" s="609"/>
      <c r="BTU60" s="609"/>
      <c r="BTV60" s="609"/>
      <c r="BTW60" s="609"/>
      <c r="BTX60" s="609"/>
      <c r="BTY60" s="609"/>
      <c r="BTZ60" s="609"/>
      <c r="BUA60" s="609"/>
      <c r="BUB60" s="609"/>
      <c r="BUC60" s="609"/>
      <c r="BUD60" s="609"/>
      <c r="BUE60" s="609"/>
      <c r="BUF60" s="609"/>
      <c r="BUG60" s="609"/>
      <c r="BUH60" s="609"/>
      <c r="BUI60" s="609"/>
      <c r="BUJ60" s="609"/>
      <c r="BUK60" s="609"/>
      <c r="BUL60" s="609"/>
      <c r="BUM60" s="609"/>
      <c r="BUN60" s="609"/>
      <c r="BUO60" s="609"/>
      <c r="BUP60" s="609"/>
      <c r="BUQ60" s="609"/>
      <c r="BUR60" s="609"/>
      <c r="BUS60" s="609"/>
      <c r="BUT60" s="609"/>
      <c r="BUU60" s="609"/>
      <c r="BUV60" s="609"/>
      <c r="BUW60" s="609"/>
      <c r="BUX60" s="609"/>
      <c r="BUY60" s="609"/>
      <c r="BUZ60" s="609"/>
      <c r="BVA60" s="609"/>
      <c r="BVB60" s="609"/>
      <c r="BVC60" s="609"/>
      <c r="BVD60" s="609"/>
      <c r="BVE60" s="609"/>
      <c r="BVF60" s="609"/>
      <c r="BVG60" s="609"/>
      <c r="BVH60" s="609"/>
      <c r="BVI60" s="609"/>
      <c r="BVJ60" s="609"/>
      <c r="BVK60" s="609"/>
      <c r="BVL60" s="609"/>
      <c r="BVM60" s="609"/>
      <c r="BVN60" s="609"/>
      <c r="BVO60" s="609"/>
      <c r="BVP60" s="609"/>
      <c r="BVQ60" s="609"/>
      <c r="BVR60" s="609"/>
      <c r="BVS60" s="609"/>
      <c r="BVT60" s="609"/>
      <c r="BVU60" s="609"/>
      <c r="BVV60" s="609"/>
      <c r="BVW60" s="609"/>
      <c r="BVX60" s="609"/>
      <c r="BVY60" s="609"/>
      <c r="BVZ60" s="609"/>
      <c r="BWA60" s="609"/>
      <c r="BWB60" s="609"/>
      <c r="BWC60" s="609"/>
      <c r="BWD60" s="609"/>
      <c r="BWE60" s="609"/>
      <c r="BWF60" s="609"/>
      <c r="BWG60" s="609"/>
      <c r="BWH60" s="609"/>
      <c r="BWI60" s="609"/>
      <c r="BWJ60" s="609"/>
      <c r="BWK60" s="609"/>
      <c r="BWL60" s="609"/>
      <c r="BWM60" s="609"/>
      <c r="BWN60" s="609"/>
      <c r="BWO60" s="609"/>
      <c r="BWP60" s="609"/>
      <c r="BWQ60" s="609"/>
      <c r="BWR60" s="609"/>
      <c r="BWS60" s="609"/>
      <c r="BWT60" s="609"/>
      <c r="BWU60" s="609"/>
      <c r="BWV60" s="609"/>
      <c r="BWW60" s="609"/>
      <c r="BWX60" s="609"/>
      <c r="BWY60" s="609"/>
      <c r="BWZ60" s="609"/>
      <c r="BXA60" s="609"/>
      <c r="BXB60" s="609"/>
      <c r="BXC60" s="609"/>
      <c r="BXD60" s="609"/>
      <c r="BXE60" s="609"/>
      <c r="BXF60" s="609"/>
      <c r="BXG60" s="609"/>
      <c r="BXH60" s="609"/>
      <c r="BXI60" s="609"/>
      <c r="BXJ60" s="609"/>
      <c r="BXK60" s="609"/>
      <c r="BXL60" s="609"/>
      <c r="BXM60" s="609"/>
      <c r="BXN60" s="609"/>
      <c r="BXO60" s="609"/>
      <c r="BXP60" s="609"/>
      <c r="BXQ60" s="609"/>
      <c r="BXR60" s="609"/>
      <c r="BXS60" s="609"/>
      <c r="BXT60" s="609"/>
      <c r="BXU60" s="609"/>
      <c r="BXV60" s="609"/>
      <c r="BXW60" s="609"/>
      <c r="BXX60" s="609"/>
      <c r="BXY60" s="609"/>
      <c r="BXZ60" s="609"/>
      <c r="BYA60" s="609"/>
      <c r="BYB60" s="609"/>
      <c r="BYC60" s="609"/>
      <c r="BYD60" s="609"/>
      <c r="BYE60" s="609"/>
      <c r="BYF60" s="609"/>
      <c r="BYG60" s="609"/>
      <c r="BYH60" s="609"/>
      <c r="BYI60" s="609"/>
      <c r="BYJ60" s="609"/>
      <c r="BYK60" s="609"/>
      <c r="BYL60" s="609"/>
      <c r="BYM60" s="609"/>
      <c r="BYN60" s="609"/>
      <c r="BYO60" s="609"/>
      <c r="BYP60" s="609"/>
      <c r="BYQ60" s="609"/>
      <c r="BYR60" s="609"/>
      <c r="BYS60" s="609"/>
      <c r="BYT60" s="609"/>
      <c r="BYU60" s="609"/>
      <c r="BYV60" s="609"/>
      <c r="BYW60" s="609"/>
      <c r="BYX60" s="609"/>
      <c r="BYY60" s="609"/>
      <c r="BYZ60" s="609"/>
      <c r="BZA60" s="609"/>
      <c r="BZB60" s="609"/>
      <c r="BZC60" s="609"/>
      <c r="BZD60" s="609"/>
      <c r="BZE60" s="609"/>
      <c r="BZF60" s="609"/>
      <c r="BZG60" s="609"/>
      <c r="BZH60" s="609"/>
      <c r="BZI60" s="609"/>
      <c r="BZJ60" s="609"/>
      <c r="BZK60" s="609"/>
      <c r="BZL60" s="609"/>
      <c r="BZM60" s="609"/>
      <c r="BZN60" s="609"/>
      <c r="BZO60" s="609"/>
      <c r="BZP60" s="609"/>
      <c r="BZQ60" s="609"/>
      <c r="BZR60" s="609"/>
      <c r="BZS60" s="609"/>
      <c r="BZT60" s="609"/>
      <c r="BZU60" s="609"/>
      <c r="BZV60" s="609"/>
      <c r="BZW60" s="609"/>
      <c r="BZX60" s="609"/>
      <c r="BZY60" s="609"/>
      <c r="BZZ60" s="609"/>
      <c r="CAA60" s="609"/>
      <c r="CAB60" s="609"/>
      <c r="CAC60" s="609"/>
      <c r="CAD60" s="609"/>
      <c r="CAE60" s="609"/>
      <c r="CAF60" s="609"/>
      <c r="CAG60" s="609"/>
      <c r="CAH60" s="609"/>
      <c r="CAI60" s="609"/>
      <c r="CAJ60" s="609"/>
      <c r="CAK60" s="609"/>
      <c r="CAL60" s="609"/>
      <c r="CAM60" s="609"/>
      <c r="CAN60" s="609"/>
      <c r="CAO60" s="609"/>
      <c r="CAP60" s="609"/>
      <c r="CAQ60" s="609"/>
      <c r="CAR60" s="609"/>
      <c r="CAS60" s="609"/>
      <c r="CAT60" s="609"/>
      <c r="CAU60" s="609"/>
      <c r="CAV60" s="609"/>
      <c r="CAW60" s="609"/>
      <c r="CAX60" s="609"/>
      <c r="CAY60" s="609"/>
      <c r="CAZ60" s="609"/>
      <c r="CBA60" s="609"/>
      <c r="CBB60" s="609"/>
      <c r="CBC60" s="609"/>
      <c r="CBD60" s="609"/>
      <c r="CBE60" s="609"/>
      <c r="CBF60" s="609"/>
      <c r="CBG60" s="609"/>
      <c r="CBH60" s="609"/>
      <c r="CBI60" s="609"/>
      <c r="CBJ60" s="609"/>
      <c r="CBK60" s="609"/>
      <c r="CBL60" s="609"/>
      <c r="CBM60" s="609"/>
      <c r="CBN60" s="609"/>
      <c r="CBO60" s="609"/>
      <c r="CBP60" s="609"/>
      <c r="CBQ60" s="609"/>
      <c r="CBR60" s="609"/>
      <c r="CBS60" s="609"/>
      <c r="CBT60" s="609"/>
      <c r="CBU60" s="609"/>
      <c r="CBV60" s="609"/>
      <c r="CBW60" s="609"/>
      <c r="CBX60" s="609"/>
      <c r="CBY60" s="609"/>
      <c r="CBZ60" s="609"/>
      <c r="CCA60" s="609"/>
      <c r="CCB60" s="609"/>
      <c r="CCC60" s="609"/>
      <c r="CCD60" s="609"/>
      <c r="CCE60" s="609"/>
      <c r="CCF60" s="609"/>
      <c r="CCG60" s="609"/>
      <c r="CCH60" s="609"/>
      <c r="CCI60" s="609"/>
      <c r="CCJ60" s="609"/>
      <c r="CCK60" s="609"/>
      <c r="CCL60" s="609"/>
      <c r="CCM60" s="609"/>
      <c r="CCN60" s="609"/>
      <c r="CCO60" s="609"/>
      <c r="CCP60" s="609"/>
      <c r="CCQ60" s="609"/>
      <c r="CCR60" s="609"/>
      <c r="CCS60" s="609"/>
      <c r="CCT60" s="609"/>
      <c r="CCU60" s="609"/>
      <c r="CCV60" s="609"/>
      <c r="CCW60" s="609"/>
      <c r="CCX60" s="609"/>
      <c r="CCY60" s="609"/>
      <c r="CCZ60" s="609"/>
      <c r="CDA60" s="609"/>
      <c r="CDB60" s="609"/>
      <c r="CDC60" s="609"/>
      <c r="CDD60" s="609"/>
      <c r="CDE60" s="609"/>
      <c r="CDF60" s="609"/>
      <c r="CDG60" s="609"/>
      <c r="CDH60" s="609"/>
      <c r="CDI60" s="609"/>
      <c r="CDJ60" s="609"/>
      <c r="CDK60" s="609"/>
      <c r="CDL60" s="609"/>
      <c r="CDM60" s="609"/>
      <c r="CDN60" s="609"/>
      <c r="CDO60" s="609"/>
      <c r="CDP60" s="609"/>
      <c r="CDQ60" s="609"/>
      <c r="CDR60" s="609"/>
      <c r="CDS60" s="609"/>
      <c r="CDT60" s="609"/>
      <c r="CDU60" s="609"/>
      <c r="CDV60" s="609"/>
      <c r="CDW60" s="609"/>
      <c r="CDX60" s="609"/>
      <c r="CDY60" s="609"/>
      <c r="CDZ60" s="609"/>
      <c r="CEA60" s="609"/>
      <c r="CEB60" s="609"/>
      <c r="CEC60" s="609"/>
      <c r="CED60" s="609"/>
      <c r="CEE60" s="609"/>
      <c r="CEF60" s="609"/>
      <c r="CEG60" s="609"/>
      <c r="CEH60" s="609"/>
      <c r="CEI60" s="609"/>
      <c r="CEJ60" s="609"/>
      <c r="CEK60" s="609"/>
      <c r="CEL60" s="609"/>
      <c r="CEM60" s="609"/>
      <c r="CEN60" s="609"/>
      <c r="CEO60" s="609"/>
      <c r="CEP60" s="609"/>
      <c r="CEQ60" s="609"/>
      <c r="CER60" s="609"/>
      <c r="CES60" s="609"/>
      <c r="CET60" s="609"/>
      <c r="CEU60" s="609"/>
      <c r="CEV60" s="609"/>
      <c r="CEW60" s="609"/>
      <c r="CEX60" s="609"/>
      <c r="CEY60" s="609"/>
      <c r="CEZ60" s="609"/>
      <c r="CFA60" s="609"/>
      <c r="CFB60" s="609"/>
      <c r="CFC60" s="609"/>
      <c r="CFD60" s="609"/>
      <c r="CFE60" s="609"/>
      <c r="CFF60" s="609"/>
      <c r="CFG60" s="609"/>
      <c r="CFH60" s="609"/>
      <c r="CFI60" s="609"/>
      <c r="CFJ60" s="609"/>
      <c r="CFK60" s="609"/>
      <c r="CFL60" s="609"/>
      <c r="CFM60" s="609"/>
      <c r="CFN60" s="609"/>
      <c r="CFO60" s="609"/>
      <c r="CFP60" s="609"/>
      <c r="CFQ60" s="609"/>
      <c r="CFR60" s="609"/>
      <c r="CFS60" s="609"/>
      <c r="CFT60" s="609"/>
      <c r="CFU60" s="609"/>
      <c r="CFV60" s="609"/>
      <c r="CFW60" s="609"/>
      <c r="CFX60" s="609"/>
      <c r="CFY60" s="609"/>
      <c r="CFZ60" s="609"/>
      <c r="CGA60" s="609"/>
      <c r="CGB60" s="609"/>
      <c r="CGC60" s="609"/>
      <c r="CGD60" s="609"/>
      <c r="CGE60" s="609"/>
      <c r="CGF60" s="609"/>
      <c r="CGG60" s="609"/>
      <c r="CGH60" s="609"/>
      <c r="CGI60" s="609"/>
      <c r="CGJ60" s="609"/>
      <c r="CGK60" s="609"/>
      <c r="CGL60" s="609"/>
      <c r="CGM60" s="609"/>
      <c r="CGN60" s="609"/>
      <c r="CGO60" s="609"/>
      <c r="CGP60" s="609"/>
      <c r="CGQ60" s="609"/>
      <c r="CGR60" s="609"/>
      <c r="CGS60" s="609"/>
      <c r="CGT60" s="609"/>
      <c r="CGU60" s="609"/>
      <c r="CGV60" s="609"/>
      <c r="CGW60" s="609"/>
      <c r="CGX60" s="609"/>
      <c r="CGY60" s="609"/>
      <c r="CGZ60" s="609"/>
      <c r="CHA60" s="609"/>
      <c r="CHB60" s="609"/>
      <c r="CHC60" s="609"/>
      <c r="CHD60" s="609"/>
      <c r="CHE60" s="609"/>
      <c r="CHF60" s="609"/>
      <c r="CHG60" s="609"/>
      <c r="CHH60" s="609"/>
      <c r="CHI60" s="609"/>
      <c r="CHJ60" s="609"/>
      <c r="CHK60" s="609"/>
      <c r="CHL60" s="609"/>
      <c r="CHM60" s="609"/>
      <c r="CHN60" s="609"/>
      <c r="CHO60" s="609"/>
      <c r="CHP60" s="609"/>
      <c r="CHQ60" s="609"/>
      <c r="CHR60" s="609"/>
      <c r="CHS60" s="609"/>
      <c r="CHT60" s="609"/>
      <c r="CHU60" s="609"/>
      <c r="CHV60" s="609"/>
      <c r="CHW60" s="609"/>
      <c r="CHX60" s="609"/>
      <c r="CHY60" s="609"/>
      <c r="CHZ60" s="609"/>
      <c r="CIA60" s="609"/>
      <c r="CIB60" s="609"/>
      <c r="CIC60" s="609"/>
      <c r="CID60" s="609"/>
      <c r="CIE60" s="609"/>
      <c r="CIF60" s="609"/>
      <c r="CIG60" s="609"/>
      <c r="CIH60" s="609"/>
      <c r="CII60" s="609"/>
      <c r="CIJ60" s="609"/>
      <c r="CIK60" s="609"/>
      <c r="CIL60" s="609"/>
      <c r="CIM60" s="609"/>
      <c r="CIN60" s="609"/>
      <c r="CIO60" s="609"/>
      <c r="CIP60" s="609"/>
      <c r="CIQ60" s="609"/>
      <c r="CIR60" s="609"/>
      <c r="CIS60" s="609"/>
      <c r="CIT60" s="609"/>
      <c r="CIU60" s="609"/>
      <c r="CIV60" s="609"/>
      <c r="CIW60" s="609"/>
      <c r="CIX60" s="609"/>
      <c r="CIY60" s="609"/>
      <c r="CIZ60" s="609"/>
      <c r="CJA60" s="609"/>
      <c r="CJB60" s="609"/>
      <c r="CJC60" s="609"/>
      <c r="CJD60" s="609"/>
      <c r="CJE60" s="609"/>
      <c r="CJF60" s="609"/>
      <c r="CJG60" s="609"/>
      <c r="CJH60" s="609"/>
      <c r="CJI60" s="609"/>
      <c r="CJJ60" s="609"/>
      <c r="CJK60" s="609"/>
      <c r="CJL60" s="609"/>
      <c r="CJM60" s="609"/>
      <c r="CJN60" s="609"/>
      <c r="CJO60" s="609"/>
      <c r="CJP60" s="609"/>
      <c r="CJQ60" s="609"/>
      <c r="CJR60" s="609"/>
      <c r="CJS60" s="609"/>
      <c r="CJT60" s="609"/>
      <c r="CJU60" s="609"/>
      <c r="CJV60" s="609"/>
      <c r="CJW60" s="609"/>
      <c r="CJX60" s="609"/>
      <c r="CJY60" s="609"/>
      <c r="CJZ60" s="609"/>
      <c r="CKA60" s="609"/>
      <c r="CKB60" s="609"/>
      <c r="CKC60" s="609"/>
      <c r="CKD60" s="609"/>
      <c r="CKE60" s="609"/>
      <c r="CKF60" s="609"/>
      <c r="CKG60" s="609"/>
      <c r="CKH60" s="609"/>
      <c r="CKI60" s="609"/>
      <c r="CKJ60" s="609"/>
      <c r="CKK60" s="609"/>
      <c r="CKL60" s="609"/>
      <c r="CKM60" s="609"/>
      <c r="CKN60" s="609"/>
      <c r="CKO60" s="609"/>
      <c r="CKP60" s="609"/>
      <c r="CKQ60" s="609"/>
      <c r="CKR60" s="609"/>
      <c r="CKS60" s="609"/>
      <c r="CKT60" s="609"/>
      <c r="CKU60" s="609"/>
      <c r="CKV60" s="609"/>
      <c r="CKW60" s="609"/>
      <c r="CKX60" s="609"/>
      <c r="CKY60" s="609"/>
      <c r="CKZ60" s="609"/>
      <c r="CLA60" s="609"/>
      <c r="CLB60" s="609"/>
      <c r="CLC60" s="609"/>
      <c r="CLD60" s="609"/>
      <c r="CLE60" s="609"/>
      <c r="CLF60" s="609"/>
      <c r="CLG60" s="609"/>
      <c r="CLH60" s="609"/>
      <c r="CLI60" s="609"/>
      <c r="CLJ60" s="609"/>
      <c r="CLK60" s="609"/>
      <c r="CLL60" s="609"/>
      <c r="CLM60" s="609"/>
      <c r="CLN60" s="609"/>
      <c r="CLO60" s="609"/>
      <c r="CLP60" s="609"/>
      <c r="CLQ60" s="609"/>
      <c r="CLR60" s="609"/>
      <c r="CLS60" s="609"/>
      <c r="CLT60" s="609"/>
      <c r="CLU60" s="609"/>
      <c r="CLV60" s="609"/>
      <c r="CLW60" s="609"/>
      <c r="CLX60" s="609"/>
      <c r="CLY60" s="609"/>
      <c r="CLZ60" s="609"/>
      <c r="CMA60" s="609"/>
      <c r="CMB60" s="609"/>
      <c r="CMC60" s="609"/>
      <c r="CMD60" s="609"/>
      <c r="CME60" s="609"/>
      <c r="CMF60" s="609"/>
      <c r="CMG60" s="609"/>
      <c r="CMH60" s="609"/>
      <c r="CMI60" s="609"/>
      <c r="CMJ60" s="609"/>
      <c r="CMK60" s="609"/>
      <c r="CML60" s="609"/>
      <c r="CMM60" s="609"/>
      <c r="CMN60" s="609"/>
      <c r="CMO60" s="609"/>
      <c r="CMP60" s="609"/>
      <c r="CMQ60" s="609"/>
      <c r="CMR60" s="609"/>
      <c r="CMS60" s="609"/>
      <c r="CMT60" s="609"/>
      <c r="CMU60" s="609"/>
      <c r="CMV60" s="609"/>
      <c r="CMW60" s="609"/>
      <c r="CMX60" s="609"/>
      <c r="CMY60" s="609"/>
      <c r="CMZ60" s="609"/>
      <c r="CNA60" s="609"/>
      <c r="CNB60" s="609"/>
      <c r="CNC60" s="609"/>
      <c r="CND60" s="609"/>
      <c r="CNE60" s="609"/>
      <c r="CNF60" s="609"/>
      <c r="CNG60" s="609"/>
      <c r="CNH60" s="609"/>
      <c r="CNI60" s="609"/>
      <c r="CNJ60" s="609"/>
      <c r="CNK60" s="609"/>
      <c r="CNL60" s="609"/>
      <c r="CNM60" s="609"/>
      <c r="CNN60" s="609"/>
      <c r="CNO60" s="609"/>
      <c r="CNP60" s="609"/>
      <c r="CNQ60" s="609"/>
      <c r="CNR60" s="609"/>
      <c r="CNS60" s="609"/>
      <c r="CNT60" s="609"/>
      <c r="CNU60" s="609"/>
      <c r="CNV60" s="609"/>
      <c r="CNW60" s="609"/>
      <c r="CNX60" s="609"/>
      <c r="CNY60" s="609"/>
      <c r="CNZ60" s="609"/>
      <c r="COA60" s="609"/>
      <c r="COB60" s="609"/>
      <c r="COC60" s="609"/>
      <c r="COD60" s="609"/>
      <c r="COE60" s="609"/>
      <c r="COF60" s="609"/>
      <c r="COG60" s="609"/>
      <c r="COH60" s="609"/>
      <c r="COI60" s="609"/>
      <c r="COJ60" s="609"/>
      <c r="COK60" s="609"/>
      <c r="COL60" s="609"/>
      <c r="COM60" s="609"/>
      <c r="CON60" s="609"/>
      <c r="COO60" s="609"/>
      <c r="COP60" s="609"/>
      <c r="COQ60" s="609"/>
      <c r="COR60" s="609"/>
      <c r="COS60" s="609"/>
      <c r="COT60" s="609"/>
      <c r="COU60" s="609"/>
      <c r="COV60" s="609"/>
      <c r="COW60" s="609"/>
      <c r="COX60" s="609"/>
      <c r="COY60" s="609"/>
      <c r="COZ60" s="609"/>
      <c r="CPA60" s="609"/>
      <c r="CPB60" s="609"/>
      <c r="CPC60" s="609"/>
      <c r="CPD60" s="609"/>
      <c r="CPE60" s="609"/>
      <c r="CPF60" s="609"/>
      <c r="CPG60" s="609"/>
      <c r="CPH60" s="609"/>
      <c r="CPI60" s="609"/>
      <c r="CPJ60" s="609"/>
      <c r="CPK60" s="609"/>
      <c r="CPL60" s="609"/>
      <c r="CPM60" s="609"/>
      <c r="CPN60" s="609"/>
      <c r="CPO60" s="609"/>
      <c r="CPP60" s="609"/>
      <c r="CPQ60" s="609"/>
      <c r="CPR60" s="609"/>
      <c r="CPS60" s="609"/>
      <c r="CPT60" s="609"/>
      <c r="CPU60" s="609"/>
      <c r="CPV60" s="609"/>
      <c r="CPW60" s="609"/>
      <c r="CPX60" s="609"/>
      <c r="CPY60" s="609"/>
      <c r="CPZ60" s="609"/>
      <c r="CQA60" s="609"/>
      <c r="CQB60" s="609"/>
      <c r="CQC60" s="609"/>
      <c r="CQD60" s="609"/>
      <c r="CQE60" s="609"/>
      <c r="CQF60" s="609"/>
      <c r="CQG60" s="609"/>
      <c r="CQH60" s="609"/>
      <c r="CQI60" s="609"/>
      <c r="CQJ60" s="609"/>
      <c r="CQK60" s="609"/>
      <c r="CQL60" s="609"/>
      <c r="CQM60" s="609"/>
      <c r="CQN60" s="609"/>
      <c r="CQO60" s="609"/>
      <c r="CQP60" s="609"/>
      <c r="CQQ60" s="609"/>
      <c r="CQR60" s="609"/>
      <c r="CQS60" s="609"/>
      <c r="CQT60" s="609"/>
      <c r="CQU60" s="609"/>
      <c r="CQV60" s="609"/>
      <c r="CQW60" s="609"/>
      <c r="CQX60" s="609"/>
      <c r="CQY60" s="609"/>
      <c r="CQZ60" s="609"/>
      <c r="CRA60" s="609"/>
      <c r="CRB60" s="609"/>
      <c r="CRC60" s="609"/>
      <c r="CRD60" s="609"/>
      <c r="CRE60" s="609"/>
      <c r="CRF60" s="609"/>
      <c r="CRG60" s="609"/>
      <c r="CRH60" s="609"/>
      <c r="CRI60" s="609"/>
      <c r="CRJ60" s="609"/>
      <c r="CRK60" s="609"/>
      <c r="CRL60" s="609"/>
      <c r="CRM60" s="609"/>
      <c r="CRN60" s="609"/>
      <c r="CRO60" s="609"/>
      <c r="CRP60" s="609"/>
      <c r="CRQ60" s="609"/>
      <c r="CRR60" s="609"/>
      <c r="CRS60" s="609"/>
      <c r="CRT60" s="609"/>
      <c r="CRU60" s="609"/>
      <c r="CRV60" s="609"/>
      <c r="CRW60" s="609"/>
      <c r="CRX60" s="609"/>
      <c r="CRY60" s="609"/>
      <c r="CRZ60" s="609"/>
      <c r="CSA60" s="609"/>
      <c r="CSB60" s="609"/>
      <c r="CSC60" s="609"/>
      <c r="CSD60" s="609"/>
      <c r="CSE60" s="609"/>
      <c r="CSF60" s="609"/>
      <c r="CSG60" s="609"/>
      <c r="CSH60" s="609"/>
      <c r="CSI60" s="609"/>
      <c r="CSJ60" s="609"/>
      <c r="CSK60" s="609"/>
      <c r="CSL60" s="609"/>
      <c r="CSM60" s="609"/>
      <c r="CSN60" s="609"/>
      <c r="CSO60" s="609"/>
      <c r="CSP60" s="609"/>
      <c r="CSQ60" s="609"/>
      <c r="CSR60" s="609"/>
      <c r="CSS60" s="609"/>
      <c r="CST60" s="609"/>
      <c r="CSU60" s="609"/>
      <c r="CSV60" s="609"/>
      <c r="CSW60" s="609"/>
      <c r="CSX60" s="609"/>
      <c r="CSY60" s="609"/>
      <c r="CSZ60" s="609"/>
      <c r="CTA60" s="609"/>
      <c r="CTB60" s="609"/>
      <c r="CTC60" s="609"/>
      <c r="CTD60" s="609"/>
      <c r="CTE60" s="609"/>
      <c r="CTF60" s="609"/>
      <c r="CTG60" s="609"/>
      <c r="CTH60" s="609"/>
      <c r="CTI60" s="609"/>
      <c r="CTJ60" s="609"/>
      <c r="CTK60" s="609"/>
      <c r="CTL60" s="609"/>
      <c r="CTM60" s="609"/>
      <c r="CTN60" s="609"/>
      <c r="CTO60" s="609"/>
      <c r="CTP60" s="609"/>
      <c r="CTQ60" s="609"/>
      <c r="CTR60" s="609"/>
      <c r="CTS60" s="609"/>
      <c r="CTT60" s="609"/>
      <c r="CTU60" s="609"/>
      <c r="CTV60" s="609"/>
      <c r="CTW60" s="609"/>
      <c r="CTX60" s="609"/>
      <c r="CTY60" s="609"/>
      <c r="CTZ60" s="609"/>
      <c r="CUA60" s="609"/>
      <c r="CUB60" s="609"/>
      <c r="CUC60" s="609"/>
      <c r="CUD60" s="609"/>
      <c r="CUE60" s="609"/>
      <c r="CUF60" s="609"/>
      <c r="CUG60" s="609"/>
      <c r="CUH60" s="609"/>
      <c r="CUI60" s="609"/>
      <c r="CUJ60" s="609"/>
      <c r="CUK60" s="609"/>
      <c r="CUL60" s="609"/>
      <c r="CUM60" s="609"/>
      <c r="CUN60" s="609"/>
      <c r="CUO60" s="609"/>
      <c r="CUP60" s="609"/>
      <c r="CUQ60" s="609"/>
      <c r="CUR60" s="609"/>
      <c r="CUS60" s="609"/>
      <c r="CUT60" s="609"/>
      <c r="CUU60" s="609"/>
      <c r="CUV60" s="609"/>
      <c r="CUW60" s="609"/>
      <c r="CUX60" s="609"/>
      <c r="CUY60" s="609"/>
      <c r="CUZ60" s="609"/>
      <c r="CVA60" s="609"/>
      <c r="CVB60" s="609"/>
      <c r="CVC60" s="609"/>
      <c r="CVD60" s="609"/>
      <c r="CVE60" s="609"/>
      <c r="CVF60" s="609"/>
      <c r="CVG60" s="609"/>
      <c r="CVH60" s="609"/>
      <c r="CVI60" s="609"/>
      <c r="CVJ60" s="609"/>
      <c r="CVK60" s="609"/>
      <c r="CVL60" s="609"/>
      <c r="CVM60" s="609"/>
      <c r="CVN60" s="609"/>
      <c r="CVO60" s="609"/>
      <c r="CVP60" s="609"/>
      <c r="CVQ60" s="609"/>
      <c r="CVR60" s="609"/>
      <c r="CVS60" s="609"/>
      <c r="CVT60" s="609"/>
      <c r="CVU60" s="609"/>
      <c r="CVV60" s="609"/>
      <c r="CVW60" s="609"/>
      <c r="CVX60" s="609"/>
      <c r="CVY60" s="609"/>
      <c r="CVZ60" s="609"/>
      <c r="CWA60" s="609"/>
      <c r="CWB60" s="609"/>
      <c r="CWC60" s="609"/>
      <c r="CWD60" s="609"/>
      <c r="CWE60" s="609"/>
      <c r="CWF60" s="609"/>
      <c r="CWG60" s="609"/>
      <c r="CWH60" s="609"/>
      <c r="CWI60" s="609"/>
      <c r="CWJ60" s="609"/>
      <c r="CWK60" s="609"/>
      <c r="CWL60" s="609"/>
      <c r="CWM60" s="609"/>
      <c r="CWN60" s="609"/>
      <c r="CWO60" s="609"/>
      <c r="CWP60" s="609"/>
      <c r="CWQ60" s="609"/>
      <c r="CWR60" s="609"/>
      <c r="CWS60" s="609"/>
      <c r="CWT60" s="609"/>
      <c r="CWU60" s="609"/>
      <c r="CWV60" s="609"/>
      <c r="CWW60" s="609"/>
      <c r="CWX60" s="609"/>
      <c r="CWY60" s="609"/>
      <c r="CWZ60" s="609"/>
      <c r="CXA60" s="609"/>
      <c r="CXB60" s="609"/>
      <c r="CXC60" s="609"/>
      <c r="CXD60" s="609"/>
      <c r="CXE60" s="609"/>
      <c r="CXF60" s="609"/>
      <c r="CXG60" s="609"/>
      <c r="CXH60" s="609"/>
      <c r="CXI60" s="609"/>
      <c r="CXJ60" s="609"/>
      <c r="CXK60" s="609"/>
      <c r="CXL60" s="609"/>
      <c r="CXM60" s="609"/>
      <c r="CXN60" s="609"/>
      <c r="CXO60" s="609"/>
      <c r="CXP60" s="609"/>
      <c r="CXQ60" s="609"/>
      <c r="CXR60" s="609"/>
      <c r="CXS60" s="609"/>
      <c r="CXT60" s="609"/>
      <c r="CXU60" s="609"/>
      <c r="CXV60" s="609"/>
      <c r="CXW60" s="609"/>
      <c r="CXX60" s="609"/>
      <c r="CXY60" s="609"/>
      <c r="CXZ60" s="609"/>
      <c r="CYA60" s="609"/>
      <c r="CYB60" s="609"/>
      <c r="CYC60" s="609"/>
      <c r="CYD60" s="609"/>
      <c r="CYE60" s="609"/>
      <c r="CYF60" s="609"/>
      <c r="CYG60" s="609"/>
      <c r="CYH60" s="609"/>
      <c r="CYI60" s="609"/>
      <c r="CYJ60" s="609"/>
      <c r="CYK60" s="609"/>
      <c r="CYL60" s="609"/>
      <c r="CYM60" s="609"/>
      <c r="CYN60" s="609"/>
      <c r="CYO60" s="609"/>
      <c r="CYP60" s="609"/>
      <c r="CYQ60" s="609"/>
      <c r="CYR60" s="609"/>
      <c r="CYS60" s="609"/>
      <c r="CYT60" s="609"/>
      <c r="CYU60" s="609"/>
      <c r="CYV60" s="609"/>
      <c r="CYW60" s="609"/>
      <c r="CYX60" s="609"/>
      <c r="CYY60" s="609"/>
      <c r="CYZ60" s="609"/>
      <c r="CZA60" s="609"/>
      <c r="CZB60" s="609"/>
      <c r="CZC60" s="609"/>
      <c r="CZD60" s="609"/>
      <c r="CZE60" s="609"/>
      <c r="CZF60" s="609"/>
      <c r="CZG60" s="609"/>
      <c r="CZH60" s="609"/>
      <c r="CZI60" s="609"/>
      <c r="CZJ60" s="609"/>
      <c r="CZK60" s="609"/>
      <c r="CZL60" s="609"/>
      <c r="CZM60" s="609"/>
      <c r="CZN60" s="609"/>
      <c r="CZO60" s="609"/>
      <c r="CZP60" s="609"/>
      <c r="CZQ60" s="609"/>
      <c r="CZR60" s="609"/>
      <c r="CZS60" s="609"/>
      <c r="CZT60" s="609"/>
      <c r="CZU60" s="609"/>
      <c r="CZV60" s="609"/>
      <c r="CZW60" s="609"/>
      <c r="CZX60" s="609"/>
      <c r="CZY60" s="609"/>
      <c r="CZZ60" s="609"/>
      <c r="DAA60" s="609"/>
      <c r="DAB60" s="609"/>
      <c r="DAC60" s="609"/>
      <c r="DAD60" s="609"/>
      <c r="DAE60" s="609"/>
      <c r="DAF60" s="609"/>
      <c r="DAG60" s="609"/>
      <c r="DAH60" s="609"/>
      <c r="DAI60" s="609"/>
      <c r="DAJ60" s="609"/>
      <c r="DAK60" s="609"/>
      <c r="DAL60" s="609"/>
      <c r="DAM60" s="609"/>
      <c r="DAN60" s="609"/>
      <c r="DAO60" s="609"/>
      <c r="DAP60" s="609"/>
      <c r="DAQ60" s="609"/>
      <c r="DAR60" s="609"/>
      <c r="DAS60" s="609"/>
      <c r="DAT60" s="609"/>
      <c r="DAU60" s="609"/>
      <c r="DAV60" s="609"/>
      <c r="DAW60" s="609"/>
      <c r="DAX60" s="609"/>
      <c r="DAY60" s="609"/>
      <c r="DAZ60" s="609"/>
      <c r="DBA60" s="609"/>
      <c r="DBB60" s="609"/>
      <c r="DBC60" s="609"/>
      <c r="DBD60" s="609"/>
      <c r="DBE60" s="609"/>
      <c r="DBF60" s="609"/>
      <c r="DBG60" s="609"/>
      <c r="DBH60" s="609"/>
      <c r="DBI60" s="609"/>
      <c r="DBJ60" s="609"/>
      <c r="DBK60" s="609"/>
      <c r="DBL60" s="609"/>
      <c r="DBM60" s="609"/>
      <c r="DBN60" s="609"/>
      <c r="DBO60" s="609"/>
      <c r="DBP60" s="609"/>
      <c r="DBQ60" s="609"/>
      <c r="DBR60" s="609"/>
      <c r="DBS60" s="609"/>
      <c r="DBT60" s="609"/>
      <c r="DBU60" s="609"/>
      <c r="DBV60" s="609"/>
      <c r="DBW60" s="609"/>
      <c r="DBX60" s="609"/>
      <c r="DBY60" s="609"/>
      <c r="DBZ60" s="609"/>
      <c r="DCA60" s="609"/>
      <c r="DCB60" s="609"/>
      <c r="DCC60" s="609"/>
      <c r="DCD60" s="609"/>
      <c r="DCE60" s="609"/>
      <c r="DCF60" s="609"/>
      <c r="DCG60" s="609"/>
      <c r="DCH60" s="609"/>
      <c r="DCI60" s="609"/>
      <c r="DCJ60" s="609"/>
      <c r="DCK60" s="609"/>
      <c r="DCL60" s="609"/>
      <c r="DCM60" s="609"/>
      <c r="DCN60" s="609"/>
      <c r="DCO60" s="609"/>
      <c r="DCP60" s="609"/>
      <c r="DCQ60" s="609"/>
      <c r="DCR60" s="609"/>
      <c r="DCS60" s="609"/>
      <c r="DCT60" s="609"/>
      <c r="DCU60" s="609"/>
      <c r="DCV60" s="609"/>
      <c r="DCW60" s="609"/>
      <c r="DCX60" s="609"/>
      <c r="DCY60" s="609"/>
      <c r="DCZ60" s="609"/>
      <c r="DDA60" s="609"/>
      <c r="DDB60" s="609"/>
      <c r="DDC60" s="609"/>
      <c r="DDD60" s="609"/>
      <c r="DDE60" s="609"/>
      <c r="DDF60" s="609"/>
      <c r="DDG60" s="609"/>
      <c r="DDH60" s="609"/>
      <c r="DDI60" s="609"/>
      <c r="DDJ60" s="609"/>
      <c r="DDK60" s="609"/>
      <c r="DDL60" s="609"/>
      <c r="DDM60" s="609"/>
      <c r="DDN60" s="609"/>
      <c r="DDO60" s="609"/>
      <c r="DDP60" s="609"/>
      <c r="DDQ60" s="609"/>
      <c r="DDR60" s="609"/>
      <c r="DDS60" s="609"/>
      <c r="DDT60" s="609"/>
      <c r="DDU60" s="609"/>
      <c r="DDV60" s="609"/>
      <c r="DDW60" s="609"/>
      <c r="DDX60" s="609"/>
      <c r="DDY60" s="609"/>
      <c r="DDZ60" s="609"/>
      <c r="DEA60" s="609"/>
      <c r="DEB60" s="609"/>
      <c r="DEC60" s="609"/>
      <c r="DED60" s="609"/>
      <c r="DEE60" s="609"/>
      <c r="DEF60" s="609"/>
      <c r="DEG60" s="609"/>
      <c r="DEH60" s="609"/>
      <c r="DEI60" s="609"/>
      <c r="DEJ60" s="609"/>
      <c r="DEK60" s="609"/>
      <c r="DEL60" s="609"/>
      <c r="DEM60" s="609"/>
      <c r="DEN60" s="609"/>
      <c r="DEO60" s="609"/>
      <c r="DEP60" s="609"/>
      <c r="DEQ60" s="609"/>
      <c r="DER60" s="609"/>
      <c r="DES60" s="609"/>
      <c r="DET60" s="609"/>
      <c r="DEU60" s="609"/>
      <c r="DEV60" s="609"/>
      <c r="DEW60" s="609"/>
      <c r="DEX60" s="609"/>
      <c r="DEY60" s="609"/>
      <c r="DEZ60" s="609"/>
      <c r="DFA60" s="609"/>
      <c r="DFB60" s="609"/>
      <c r="DFC60" s="609"/>
      <c r="DFD60" s="609"/>
      <c r="DFE60" s="609"/>
      <c r="DFF60" s="609"/>
      <c r="DFG60" s="609"/>
      <c r="DFH60" s="609"/>
      <c r="DFI60" s="609"/>
      <c r="DFJ60" s="609"/>
      <c r="DFK60" s="609"/>
      <c r="DFL60" s="609"/>
      <c r="DFM60" s="609"/>
      <c r="DFN60" s="609"/>
      <c r="DFO60" s="609"/>
      <c r="DFP60" s="609"/>
      <c r="DFQ60" s="609"/>
      <c r="DFR60" s="609"/>
      <c r="DFS60" s="609"/>
      <c r="DFT60" s="609"/>
      <c r="DFU60" s="609"/>
      <c r="DFV60" s="609"/>
      <c r="DFW60" s="609"/>
      <c r="DFX60" s="609"/>
      <c r="DFY60" s="609"/>
      <c r="DFZ60" s="609"/>
      <c r="DGA60" s="609"/>
      <c r="DGB60" s="609"/>
      <c r="DGC60" s="609"/>
      <c r="DGD60" s="609"/>
      <c r="DGE60" s="609"/>
      <c r="DGF60" s="609"/>
      <c r="DGG60" s="609"/>
      <c r="DGH60" s="609"/>
      <c r="DGI60" s="609"/>
      <c r="DGJ60" s="609"/>
      <c r="DGK60" s="609"/>
      <c r="DGL60" s="609"/>
      <c r="DGM60" s="609"/>
      <c r="DGN60" s="609"/>
      <c r="DGO60" s="609"/>
      <c r="DGP60" s="609"/>
      <c r="DGQ60" s="609"/>
      <c r="DGR60" s="609"/>
      <c r="DGS60" s="609"/>
      <c r="DGT60" s="609"/>
      <c r="DGU60" s="609"/>
      <c r="DGV60" s="609"/>
      <c r="DGW60" s="609"/>
      <c r="DGX60" s="609"/>
      <c r="DGY60" s="609"/>
      <c r="DGZ60" s="609"/>
      <c r="DHA60" s="609"/>
      <c r="DHB60" s="609"/>
      <c r="DHC60" s="609"/>
      <c r="DHD60" s="609"/>
      <c r="DHE60" s="609"/>
      <c r="DHF60" s="609"/>
      <c r="DHG60" s="609"/>
      <c r="DHH60" s="609"/>
      <c r="DHI60" s="609"/>
      <c r="DHJ60" s="609"/>
      <c r="DHK60" s="609"/>
      <c r="DHL60" s="609"/>
      <c r="DHM60" s="609"/>
      <c r="DHN60" s="609"/>
      <c r="DHO60" s="609"/>
      <c r="DHP60" s="609"/>
      <c r="DHQ60" s="609"/>
      <c r="DHR60" s="609"/>
      <c r="DHS60" s="609"/>
      <c r="DHT60" s="609"/>
      <c r="DHU60" s="609"/>
      <c r="DHV60" s="609"/>
      <c r="DHW60" s="609"/>
      <c r="DHX60" s="609"/>
      <c r="DHY60" s="609"/>
      <c r="DHZ60" s="609"/>
      <c r="DIA60" s="609"/>
      <c r="DIB60" s="609"/>
      <c r="DIC60" s="609"/>
      <c r="DID60" s="609"/>
      <c r="DIE60" s="609"/>
      <c r="DIF60" s="609"/>
      <c r="DIG60" s="609"/>
      <c r="DIH60" s="609"/>
      <c r="DII60" s="609"/>
      <c r="DIJ60" s="609"/>
      <c r="DIK60" s="609"/>
      <c r="DIL60" s="609"/>
      <c r="DIM60" s="609"/>
      <c r="DIN60" s="609"/>
      <c r="DIO60" s="609"/>
      <c r="DIP60" s="609"/>
      <c r="DIQ60" s="609"/>
      <c r="DIR60" s="609"/>
      <c r="DIS60" s="609"/>
      <c r="DIT60" s="609"/>
      <c r="DIU60" s="609"/>
      <c r="DIV60" s="609"/>
      <c r="DIW60" s="609"/>
      <c r="DIX60" s="609"/>
      <c r="DIY60" s="609"/>
      <c r="DIZ60" s="609"/>
      <c r="DJA60" s="609"/>
      <c r="DJB60" s="609"/>
      <c r="DJC60" s="609"/>
      <c r="DJD60" s="609"/>
      <c r="DJE60" s="609"/>
      <c r="DJF60" s="609"/>
      <c r="DJG60" s="609"/>
      <c r="DJH60" s="609"/>
      <c r="DJI60" s="609"/>
      <c r="DJJ60" s="609"/>
      <c r="DJK60" s="609"/>
      <c r="DJL60" s="609"/>
      <c r="DJM60" s="609"/>
      <c r="DJN60" s="609"/>
      <c r="DJO60" s="609"/>
      <c r="DJP60" s="609"/>
      <c r="DJQ60" s="609"/>
      <c r="DJR60" s="609"/>
      <c r="DJS60" s="609"/>
      <c r="DJT60" s="609"/>
      <c r="DJU60" s="609"/>
      <c r="DJV60" s="609"/>
      <c r="DJW60" s="609"/>
      <c r="DJX60" s="609"/>
      <c r="DJY60" s="609"/>
      <c r="DJZ60" s="609"/>
      <c r="DKA60" s="609"/>
      <c r="DKB60" s="609"/>
      <c r="DKC60" s="609"/>
      <c r="DKD60" s="609"/>
      <c r="DKE60" s="609"/>
      <c r="DKF60" s="609"/>
      <c r="DKG60" s="609"/>
      <c r="DKH60" s="609"/>
      <c r="DKI60" s="609"/>
      <c r="DKJ60" s="609"/>
      <c r="DKK60" s="609"/>
      <c r="DKL60" s="609"/>
      <c r="DKM60" s="609"/>
      <c r="DKN60" s="609"/>
      <c r="DKO60" s="609"/>
      <c r="DKP60" s="609"/>
      <c r="DKQ60" s="609"/>
      <c r="DKR60" s="609"/>
      <c r="DKS60" s="609"/>
      <c r="DKT60" s="609"/>
      <c r="DKU60" s="609"/>
      <c r="DKV60" s="609"/>
      <c r="DKW60" s="609"/>
      <c r="DKX60" s="609"/>
      <c r="DKY60" s="609"/>
      <c r="DKZ60" s="609"/>
      <c r="DLA60" s="609"/>
      <c r="DLB60" s="609"/>
      <c r="DLC60" s="609"/>
      <c r="DLD60" s="609"/>
      <c r="DLE60" s="609"/>
      <c r="DLF60" s="609"/>
      <c r="DLG60" s="609"/>
      <c r="DLH60" s="609"/>
      <c r="DLI60" s="609"/>
      <c r="DLJ60" s="609"/>
      <c r="DLK60" s="609"/>
      <c r="DLL60" s="609"/>
      <c r="DLM60" s="609"/>
      <c r="DLN60" s="609"/>
      <c r="DLO60" s="609"/>
      <c r="DLP60" s="609"/>
      <c r="DLQ60" s="609"/>
      <c r="DLR60" s="609"/>
      <c r="DLS60" s="609"/>
      <c r="DLT60" s="609"/>
      <c r="DLU60" s="609"/>
      <c r="DLV60" s="609"/>
      <c r="DLW60" s="609"/>
      <c r="DLX60" s="609"/>
      <c r="DLY60" s="609"/>
      <c r="DLZ60" s="609"/>
      <c r="DMA60" s="609"/>
      <c r="DMB60" s="609"/>
      <c r="DMC60" s="609"/>
      <c r="DMD60" s="609"/>
      <c r="DME60" s="609"/>
      <c r="DMF60" s="609"/>
      <c r="DMG60" s="609"/>
      <c r="DMH60" s="609"/>
      <c r="DMI60" s="609"/>
      <c r="DMJ60" s="609"/>
      <c r="DMK60" s="609"/>
      <c r="DML60" s="609"/>
      <c r="DMM60" s="609"/>
      <c r="DMN60" s="609"/>
      <c r="DMO60" s="609"/>
      <c r="DMP60" s="609"/>
      <c r="DMQ60" s="609"/>
      <c r="DMR60" s="609"/>
      <c r="DMS60" s="609"/>
      <c r="DMT60" s="609"/>
      <c r="DMU60" s="609"/>
      <c r="DMV60" s="609"/>
      <c r="DMW60" s="609"/>
      <c r="DMX60" s="609"/>
      <c r="DMY60" s="609"/>
      <c r="DMZ60" s="609"/>
      <c r="DNA60" s="609"/>
      <c r="DNB60" s="609"/>
      <c r="DNC60" s="609"/>
      <c r="DND60" s="609"/>
      <c r="DNE60" s="609"/>
      <c r="DNF60" s="609"/>
      <c r="DNG60" s="609"/>
      <c r="DNH60" s="609"/>
      <c r="DNI60" s="609"/>
      <c r="DNJ60" s="609"/>
      <c r="DNK60" s="609"/>
      <c r="DNL60" s="609"/>
      <c r="DNM60" s="609"/>
      <c r="DNN60" s="609"/>
      <c r="DNO60" s="609"/>
      <c r="DNP60" s="609"/>
      <c r="DNQ60" s="609"/>
      <c r="DNR60" s="609"/>
      <c r="DNS60" s="609"/>
      <c r="DNT60" s="609"/>
      <c r="DNU60" s="609"/>
      <c r="DNV60" s="609"/>
      <c r="DNW60" s="609"/>
      <c r="DNX60" s="609"/>
      <c r="DNY60" s="609"/>
      <c r="DNZ60" s="609"/>
      <c r="DOA60" s="609"/>
      <c r="DOB60" s="609"/>
      <c r="DOC60" s="609"/>
      <c r="DOD60" s="609"/>
      <c r="DOE60" s="609"/>
      <c r="DOF60" s="609"/>
      <c r="DOG60" s="609"/>
      <c r="DOH60" s="609"/>
      <c r="DOI60" s="609"/>
      <c r="DOJ60" s="609"/>
      <c r="DOK60" s="609"/>
      <c r="DOL60" s="609"/>
      <c r="DOM60" s="609"/>
      <c r="DON60" s="609"/>
      <c r="DOO60" s="609"/>
      <c r="DOP60" s="609"/>
      <c r="DOQ60" s="609"/>
      <c r="DOR60" s="609"/>
      <c r="DOS60" s="609"/>
      <c r="DOT60" s="609"/>
      <c r="DOU60" s="609"/>
      <c r="DOV60" s="609"/>
      <c r="DOW60" s="609"/>
      <c r="DOX60" s="609"/>
      <c r="DOY60" s="609"/>
      <c r="DOZ60" s="609"/>
      <c r="DPA60" s="609"/>
      <c r="DPB60" s="609"/>
      <c r="DPC60" s="609"/>
      <c r="DPD60" s="609"/>
      <c r="DPE60" s="609"/>
      <c r="DPF60" s="609"/>
      <c r="DPG60" s="609"/>
      <c r="DPH60" s="609"/>
      <c r="DPI60" s="609"/>
      <c r="DPJ60" s="609"/>
      <c r="DPK60" s="609"/>
      <c r="DPL60" s="609"/>
      <c r="DPM60" s="609"/>
      <c r="DPN60" s="609"/>
      <c r="DPO60" s="609"/>
      <c r="DPP60" s="609"/>
      <c r="DPQ60" s="609"/>
      <c r="DPR60" s="609"/>
      <c r="DPS60" s="609"/>
      <c r="DPT60" s="609"/>
      <c r="DPU60" s="609"/>
      <c r="DPV60" s="609"/>
      <c r="DPW60" s="609"/>
      <c r="DPX60" s="609"/>
      <c r="DPY60" s="609"/>
      <c r="DPZ60" s="609"/>
      <c r="DQA60" s="609"/>
      <c r="DQB60" s="609"/>
      <c r="DQC60" s="609"/>
      <c r="DQD60" s="609"/>
      <c r="DQE60" s="609"/>
      <c r="DQF60" s="609"/>
      <c r="DQG60" s="609"/>
      <c r="DQH60" s="609"/>
      <c r="DQI60" s="609"/>
      <c r="DQJ60" s="609"/>
      <c r="DQK60" s="609"/>
      <c r="DQL60" s="609"/>
      <c r="DQM60" s="609"/>
      <c r="DQN60" s="609"/>
      <c r="DQO60" s="609"/>
      <c r="DQP60" s="609"/>
      <c r="DQQ60" s="609"/>
      <c r="DQR60" s="609"/>
      <c r="DQS60" s="609"/>
      <c r="DQT60" s="609"/>
      <c r="DQU60" s="609"/>
      <c r="DQV60" s="609"/>
      <c r="DQW60" s="609"/>
      <c r="DQX60" s="609"/>
      <c r="DQY60" s="609"/>
      <c r="DQZ60" s="609"/>
      <c r="DRA60" s="609"/>
      <c r="DRB60" s="609"/>
      <c r="DRC60" s="609"/>
      <c r="DRD60" s="609"/>
      <c r="DRE60" s="609"/>
      <c r="DRF60" s="609"/>
      <c r="DRG60" s="609"/>
      <c r="DRH60" s="609"/>
      <c r="DRI60" s="609"/>
      <c r="DRJ60" s="609"/>
      <c r="DRK60" s="609"/>
      <c r="DRL60" s="609"/>
      <c r="DRM60" s="609"/>
      <c r="DRN60" s="609"/>
      <c r="DRO60" s="609"/>
      <c r="DRP60" s="609"/>
      <c r="DRQ60" s="609"/>
      <c r="DRR60" s="609"/>
      <c r="DRS60" s="609"/>
      <c r="DRT60" s="609"/>
      <c r="DRU60" s="609"/>
      <c r="DRV60" s="609"/>
      <c r="DRW60" s="609"/>
      <c r="DRX60" s="609"/>
      <c r="DRY60" s="609"/>
      <c r="DRZ60" s="609"/>
      <c r="DSA60" s="609"/>
      <c r="DSB60" s="609"/>
      <c r="DSC60" s="609"/>
      <c r="DSD60" s="609"/>
      <c r="DSE60" s="609"/>
      <c r="DSF60" s="609"/>
      <c r="DSG60" s="609"/>
      <c r="DSH60" s="609"/>
      <c r="DSI60" s="609"/>
      <c r="DSJ60" s="609"/>
      <c r="DSK60" s="609"/>
      <c r="DSL60" s="609"/>
      <c r="DSM60" s="609"/>
      <c r="DSN60" s="609"/>
      <c r="DSO60" s="609"/>
      <c r="DSP60" s="609"/>
      <c r="DSQ60" s="609"/>
      <c r="DSR60" s="609"/>
      <c r="DSS60" s="609"/>
      <c r="DST60" s="609"/>
      <c r="DSU60" s="609"/>
      <c r="DSV60" s="609"/>
      <c r="DSW60" s="609"/>
      <c r="DSX60" s="609"/>
      <c r="DSY60" s="609"/>
      <c r="DSZ60" s="609"/>
      <c r="DTA60" s="609"/>
      <c r="DTB60" s="609"/>
      <c r="DTC60" s="609"/>
      <c r="DTD60" s="609"/>
      <c r="DTE60" s="609"/>
      <c r="DTF60" s="609"/>
      <c r="DTG60" s="609"/>
      <c r="DTH60" s="609"/>
      <c r="DTI60" s="609"/>
      <c r="DTJ60" s="609"/>
      <c r="DTK60" s="609"/>
      <c r="DTL60" s="609"/>
      <c r="DTM60" s="609"/>
      <c r="DTN60" s="609"/>
      <c r="DTO60" s="609"/>
      <c r="DTP60" s="609"/>
      <c r="DTQ60" s="609"/>
      <c r="DTR60" s="609"/>
      <c r="DTS60" s="609"/>
      <c r="DTT60" s="609"/>
      <c r="DTU60" s="609"/>
      <c r="DTV60" s="609"/>
      <c r="DTW60" s="609"/>
      <c r="DTX60" s="609"/>
      <c r="DTY60" s="609"/>
      <c r="DTZ60" s="609"/>
      <c r="DUA60" s="609"/>
      <c r="DUB60" s="609"/>
      <c r="DUC60" s="609"/>
      <c r="DUD60" s="609"/>
      <c r="DUE60" s="609"/>
      <c r="DUF60" s="609"/>
      <c r="DUG60" s="609"/>
      <c r="DUH60" s="609"/>
      <c r="DUI60" s="609"/>
      <c r="DUJ60" s="609"/>
      <c r="DUK60" s="609"/>
      <c r="DUL60" s="609"/>
      <c r="DUM60" s="609"/>
      <c r="DUN60" s="609"/>
      <c r="DUO60" s="609"/>
      <c r="DUP60" s="609"/>
      <c r="DUQ60" s="609"/>
      <c r="DUR60" s="609"/>
      <c r="DUS60" s="609"/>
      <c r="DUT60" s="609"/>
      <c r="DUU60" s="609"/>
      <c r="DUV60" s="609"/>
      <c r="DUW60" s="609"/>
      <c r="DUX60" s="609"/>
      <c r="DUY60" s="609"/>
      <c r="DUZ60" s="609"/>
      <c r="DVA60" s="609"/>
      <c r="DVB60" s="609"/>
      <c r="DVC60" s="609"/>
      <c r="DVD60" s="609"/>
      <c r="DVE60" s="609"/>
      <c r="DVF60" s="609"/>
      <c r="DVG60" s="609"/>
      <c r="DVH60" s="609"/>
      <c r="DVI60" s="609"/>
      <c r="DVJ60" s="609"/>
      <c r="DVK60" s="609"/>
      <c r="DVL60" s="609"/>
      <c r="DVM60" s="609"/>
      <c r="DVN60" s="609"/>
      <c r="DVO60" s="609"/>
      <c r="DVP60" s="609"/>
      <c r="DVQ60" s="609"/>
      <c r="DVR60" s="609"/>
      <c r="DVS60" s="609"/>
      <c r="DVT60" s="609"/>
      <c r="DVU60" s="609"/>
      <c r="DVV60" s="609"/>
      <c r="DVW60" s="609"/>
      <c r="DVX60" s="609"/>
      <c r="DVY60" s="609"/>
      <c r="DVZ60" s="609"/>
      <c r="DWA60" s="609"/>
      <c r="DWB60" s="609"/>
      <c r="DWC60" s="609"/>
      <c r="DWD60" s="609"/>
      <c r="DWE60" s="609"/>
      <c r="DWF60" s="609"/>
      <c r="DWG60" s="609"/>
      <c r="DWH60" s="609"/>
      <c r="DWI60" s="609"/>
      <c r="DWJ60" s="609"/>
      <c r="DWK60" s="609"/>
      <c r="DWL60" s="609"/>
      <c r="DWM60" s="609"/>
      <c r="DWN60" s="609"/>
      <c r="DWO60" s="609"/>
      <c r="DWP60" s="609"/>
      <c r="DWQ60" s="609"/>
      <c r="DWR60" s="609"/>
      <c r="DWS60" s="609"/>
      <c r="DWT60" s="609"/>
      <c r="DWU60" s="609"/>
      <c r="DWV60" s="609"/>
      <c r="DWW60" s="609"/>
      <c r="DWX60" s="609"/>
      <c r="DWY60" s="609"/>
      <c r="DWZ60" s="609"/>
      <c r="DXA60" s="609"/>
      <c r="DXB60" s="609"/>
      <c r="DXC60" s="609"/>
      <c r="DXD60" s="609"/>
      <c r="DXE60" s="609"/>
      <c r="DXF60" s="609"/>
      <c r="DXG60" s="609"/>
      <c r="DXH60" s="609"/>
      <c r="DXI60" s="609"/>
      <c r="DXJ60" s="609"/>
      <c r="DXK60" s="609"/>
      <c r="DXL60" s="609"/>
      <c r="DXM60" s="609"/>
      <c r="DXN60" s="609"/>
      <c r="DXO60" s="609"/>
      <c r="DXP60" s="609"/>
      <c r="DXQ60" s="609"/>
      <c r="DXR60" s="609"/>
      <c r="DXS60" s="609"/>
      <c r="DXT60" s="609"/>
      <c r="DXU60" s="609"/>
      <c r="DXV60" s="609"/>
      <c r="DXW60" s="609"/>
      <c r="DXX60" s="609"/>
      <c r="DXY60" s="609"/>
      <c r="DXZ60" s="609"/>
      <c r="DYA60" s="609"/>
      <c r="DYB60" s="609"/>
      <c r="DYC60" s="609"/>
      <c r="DYD60" s="609"/>
      <c r="DYE60" s="609"/>
      <c r="DYF60" s="609"/>
      <c r="DYG60" s="609"/>
      <c r="DYH60" s="609"/>
      <c r="DYI60" s="609"/>
      <c r="DYJ60" s="609"/>
      <c r="DYK60" s="609"/>
      <c r="DYL60" s="609"/>
      <c r="DYM60" s="609"/>
      <c r="DYN60" s="609"/>
      <c r="DYO60" s="609"/>
      <c r="DYP60" s="609"/>
      <c r="DYQ60" s="609"/>
      <c r="DYR60" s="609"/>
      <c r="DYS60" s="609"/>
      <c r="DYT60" s="609"/>
      <c r="DYU60" s="609"/>
      <c r="DYV60" s="609"/>
      <c r="DYW60" s="609"/>
      <c r="DYX60" s="609"/>
      <c r="DYY60" s="609"/>
      <c r="DYZ60" s="609"/>
      <c r="DZA60" s="609"/>
      <c r="DZB60" s="609"/>
      <c r="DZC60" s="609"/>
      <c r="DZD60" s="609"/>
      <c r="DZE60" s="609"/>
      <c r="DZF60" s="609"/>
      <c r="DZG60" s="609"/>
      <c r="DZH60" s="609"/>
      <c r="DZI60" s="609"/>
      <c r="DZJ60" s="609"/>
      <c r="DZK60" s="609"/>
      <c r="DZL60" s="609"/>
      <c r="DZM60" s="609"/>
      <c r="DZN60" s="609"/>
      <c r="DZO60" s="609"/>
      <c r="DZP60" s="609"/>
      <c r="DZQ60" s="609"/>
      <c r="DZR60" s="609"/>
      <c r="DZS60" s="609"/>
      <c r="DZT60" s="609"/>
      <c r="DZU60" s="609"/>
      <c r="DZV60" s="609"/>
      <c r="DZW60" s="609"/>
      <c r="DZX60" s="609"/>
      <c r="DZY60" s="609"/>
      <c r="DZZ60" s="609"/>
      <c r="EAA60" s="609"/>
      <c r="EAB60" s="609"/>
      <c r="EAC60" s="609"/>
      <c r="EAD60" s="609"/>
      <c r="EAE60" s="609"/>
      <c r="EAF60" s="609"/>
      <c r="EAG60" s="609"/>
      <c r="EAH60" s="609"/>
      <c r="EAI60" s="609"/>
      <c r="EAJ60" s="609"/>
      <c r="EAK60" s="609"/>
      <c r="EAL60" s="609"/>
      <c r="EAM60" s="609"/>
      <c r="EAN60" s="609"/>
      <c r="EAO60" s="609"/>
      <c r="EAP60" s="609"/>
      <c r="EAQ60" s="609"/>
      <c r="EAR60" s="609"/>
      <c r="EAS60" s="609"/>
      <c r="EAT60" s="609"/>
      <c r="EAU60" s="609"/>
      <c r="EAV60" s="609"/>
      <c r="EAW60" s="609"/>
      <c r="EAX60" s="609"/>
      <c r="EAY60" s="609"/>
      <c r="EAZ60" s="609"/>
      <c r="EBA60" s="609"/>
      <c r="EBB60" s="609"/>
      <c r="EBC60" s="609"/>
      <c r="EBD60" s="609"/>
      <c r="EBE60" s="609"/>
      <c r="EBF60" s="609"/>
      <c r="EBG60" s="609"/>
      <c r="EBH60" s="609"/>
      <c r="EBI60" s="609"/>
      <c r="EBJ60" s="609"/>
      <c r="EBK60" s="609"/>
      <c r="EBL60" s="609"/>
      <c r="EBM60" s="609"/>
      <c r="EBN60" s="609"/>
      <c r="EBO60" s="609"/>
      <c r="EBP60" s="609"/>
      <c r="EBQ60" s="609"/>
      <c r="EBR60" s="609"/>
      <c r="EBS60" s="609"/>
      <c r="EBT60" s="609"/>
      <c r="EBU60" s="609"/>
      <c r="EBV60" s="609"/>
      <c r="EBW60" s="609"/>
      <c r="EBX60" s="609"/>
      <c r="EBY60" s="609"/>
      <c r="EBZ60" s="609"/>
      <c r="ECA60" s="609"/>
      <c r="ECB60" s="609"/>
      <c r="ECC60" s="609"/>
      <c r="ECD60" s="609"/>
      <c r="ECE60" s="609"/>
      <c r="ECF60" s="609"/>
      <c r="ECG60" s="609"/>
      <c r="ECH60" s="609"/>
      <c r="ECI60" s="609"/>
      <c r="ECJ60" s="609"/>
      <c r="ECK60" s="609"/>
      <c r="ECL60" s="609"/>
      <c r="ECM60" s="609"/>
      <c r="ECN60" s="609"/>
      <c r="ECO60" s="609"/>
      <c r="ECP60" s="609"/>
      <c r="ECQ60" s="609"/>
      <c r="ECR60" s="609"/>
      <c r="ECS60" s="609"/>
      <c r="ECT60" s="609"/>
      <c r="ECU60" s="609"/>
      <c r="ECV60" s="609"/>
      <c r="ECW60" s="609"/>
      <c r="ECX60" s="609"/>
      <c r="ECY60" s="609"/>
      <c r="ECZ60" s="609"/>
      <c r="EDA60" s="609"/>
      <c r="EDB60" s="609"/>
      <c r="EDC60" s="609"/>
      <c r="EDD60" s="609"/>
      <c r="EDE60" s="609"/>
      <c r="EDF60" s="609"/>
      <c r="EDG60" s="609"/>
      <c r="EDH60" s="609"/>
      <c r="EDI60" s="609"/>
      <c r="EDJ60" s="609"/>
      <c r="EDK60" s="609"/>
      <c r="EDL60" s="609"/>
      <c r="EDM60" s="609"/>
      <c r="EDN60" s="609"/>
      <c r="EDO60" s="609"/>
      <c r="EDP60" s="609"/>
      <c r="EDQ60" s="609"/>
      <c r="EDR60" s="609"/>
      <c r="EDS60" s="609"/>
      <c r="EDT60" s="609"/>
      <c r="EDU60" s="609"/>
      <c r="EDV60" s="609"/>
      <c r="EDW60" s="609"/>
      <c r="EDX60" s="609"/>
      <c r="EDY60" s="609"/>
      <c r="EDZ60" s="609"/>
      <c r="EEA60" s="609"/>
      <c r="EEB60" s="609"/>
      <c r="EEC60" s="609"/>
      <c r="EED60" s="609"/>
      <c r="EEE60" s="609"/>
      <c r="EEF60" s="609"/>
      <c r="EEG60" s="609"/>
      <c r="EEH60" s="609"/>
      <c r="EEI60" s="609"/>
      <c r="EEJ60" s="609"/>
      <c r="EEK60" s="609"/>
      <c r="EEL60" s="609"/>
      <c r="EEM60" s="609"/>
      <c r="EEN60" s="609"/>
      <c r="EEO60" s="609"/>
      <c r="EEP60" s="609"/>
      <c r="EEQ60" s="609"/>
      <c r="EER60" s="609"/>
      <c r="EES60" s="609"/>
      <c r="EET60" s="609"/>
      <c r="EEU60" s="609"/>
      <c r="EEV60" s="609"/>
      <c r="EEW60" s="609"/>
      <c r="EEX60" s="609"/>
      <c r="EEY60" s="609"/>
      <c r="EEZ60" s="609"/>
      <c r="EFA60" s="609"/>
      <c r="EFB60" s="609"/>
      <c r="EFC60" s="609"/>
      <c r="EFD60" s="609"/>
      <c r="EFE60" s="609"/>
      <c r="EFF60" s="609"/>
      <c r="EFG60" s="609"/>
      <c r="EFH60" s="609"/>
      <c r="EFI60" s="609"/>
      <c r="EFJ60" s="609"/>
      <c r="EFK60" s="609"/>
      <c r="EFL60" s="609"/>
      <c r="EFM60" s="609"/>
      <c r="EFN60" s="609"/>
      <c r="EFO60" s="609"/>
      <c r="EFP60" s="609"/>
      <c r="EFQ60" s="609"/>
      <c r="EFR60" s="609"/>
      <c r="EFS60" s="609"/>
      <c r="EFT60" s="609"/>
      <c r="EFU60" s="609"/>
      <c r="EFV60" s="609"/>
      <c r="EFW60" s="609"/>
      <c r="EFX60" s="609"/>
      <c r="EFY60" s="609"/>
      <c r="EFZ60" s="609"/>
      <c r="EGA60" s="609"/>
      <c r="EGB60" s="609"/>
      <c r="EGC60" s="609"/>
      <c r="EGD60" s="609"/>
      <c r="EGE60" s="609"/>
      <c r="EGF60" s="609"/>
      <c r="EGG60" s="609"/>
      <c r="EGH60" s="609"/>
      <c r="EGI60" s="609"/>
      <c r="EGJ60" s="609"/>
      <c r="EGK60" s="609"/>
      <c r="EGL60" s="609"/>
      <c r="EGM60" s="609"/>
      <c r="EGN60" s="609"/>
      <c r="EGO60" s="609"/>
      <c r="EGP60" s="609"/>
      <c r="EGQ60" s="609"/>
      <c r="EGR60" s="609"/>
      <c r="EGS60" s="609"/>
      <c r="EGT60" s="609"/>
      <c r="EGU60" s="609"/>
      <c r="EGV60" s="609"/>
      <c r="EGW60" s="609"/>
      <c r="EGX60" s="609"/>
      <c r="EGY60" s="609"/>
      <c r="EGZ60" s="609"/>
      <c r="EHA60" s="609"/>
      <c r="EHB60" s="609"/>
      <c r="EHC60" s="609"/>
      <c r="EHD60" s="609"/>
      <c r="EHE60" s="609"/>
      <c r="EHF60" s="609"/>
      <c r="EHG60" s="609"/>
      <c r="EHH60" s="609"/>
      <c r="EHI60" s="609"/>
      <c r="EHJ60" s="609"/>
      <c r="EHK60" s="609"/>
      <c r="EHL60" s="609"/>
      <c r="EHM60" s="609"/>
      <c r="EHN60" s="609"/>
      <c r="EHO60" s="609"/>
      <c r="EHP60" s="609"/>
      <c r="EHQ60" s="609"/>
      <c r="EHR60" s="609"/>
      <c r="EHS60" s="609"/>
      <c r="EHT60" s="609"/>
      <c r="EHU60" s="609"/>
      <c r="EHV60" s="609"/>
      <c r="EHW60" s="609"/>
      <c r="EHX60" s="609"/>
      <c r="EHY60" s="609"/>
      <c r="EHZ60" s="609"/>
      <c r="EIA60" s="609"/>
      <c r="EIB60" s="609"/>
      <c r="EIC60" s="609"/>
      <c r="EID60" s="609"/>
      <c r="EIE60" s="609"/>
      <c r="EIF60" s="609"/>
      <c r="EIG60" s="609"/>
      <c r="EIH60" s="609"/>
      <c r="EII60" s="609"/>
      <c r="EIJ60" s="609"/>
      <c r="EIK60" s="609"/>
      <c r="EIL60" s="609"/>
      <c r="EIM60" s="609"/>
      <c r="EIN60" s="609"/>
      <c r="EIO60" s="609"/>
      <c r="EIP60" s="609"/>
      <c r="EIQ60" s="609"/>
      <c r="EIR60" s="609"/>
      <c r="EIS60" s="609"/>
      <c r="EIT60" s="609"/>
      <c r="EIU60" s="609"/>
      <c r="EIV60" s="609"/>
      <c r="EIW60" s="609"/>
      <c r="EIX60" s="609"/>
      <c r="EIY60" s="609"/>
      <c r="EIZ60" s="609"/>
      <c r="EJA60" s="609"/>
      <c r="EJB60" s="609"/>
      <c r="EJC60" s="609"/>
      <c r="EJD60" s="609"/>
      <c r="EJE60" s="609"/>
      <c r="EJF60" s="609"/>
      <c r="EJG60" s="609"/>
      <c r="EJH60" s="609"/>
      <c r="EJI60" s="609"/>
      <c r="EJJ60" s="609"/>
      <c r="EJK60" s="609"/>
      <c r="EJL60" s="609"/>
      <c r="EJM60" s="609"/>
      <c r="EJN60" s="609"/>
      <c r="EJO60" s="609"/>
      <c r="EJP60" s="609"/>
      <c r="EJQ60" s="609"/>
      <c r="EJR60" s="609"/>
      <c r="EJS60" s="609"/>
      <c r="EJT60" s="609"/>
      <c r="EJU60" s="609"/>
      <c r="EJV60" s="609"/>
      <c r="EJW60" s="609"/>
      <c r="EJX60" s="609"/>
      <c r="EJY60" s="609"/>
      <c r="EJZ60" s="609"/>
      <c r="EKA60" s="609"/>
      <c r="EKB60" s="609"/>
      <c r="EKC60" s="609"/>
      <c r="EKD60" s="609"/>
      <c r="EKE60" s="609"/>
      <c r="EKF60" s="609"/>
      <c r="EKG60" s="609"/>
      <c r="EKH60" s="609"/>
      <c r="EKI60" s="609"/>
      <c r="EKJ60" s="609"/>
      <c r="EKK60" s="609"/>
      <c r="EKL60" s="609"/>
      <c r="EKM60" s="609"/>
      <c r="EKN60" s="609"/>
      <c r="EKO60" s="609"/>
      <c r="EKP60" s="609"/>
      <c r="EKQ60" s="609"/>
      <c r="EKR60" s="609"/>
      <c r="EKS60" s="609"/>
      <c r="EKT60" s="609"/>
      <c r="EKU60" s="609"/>
      <c r="EKV60" s="609"/>
      <c r="EKW60" s="609"/>
      <c r="EKX60" s="609"/>
      <c r="EKY60" s="609"/>
      <c r="EKZ60" s="609"/>
      <c r="ELA60" s="609"/>
      <c r="ELB60" s="609"/>
      <c r="ELC60" s="609"/>
      <c r="ELD60" s="609"/>
      <c r="ELE60" s="609"/>
      <c r="ELF60" s="609"/>
      <c r="ELG60" s="609"/>
      <c r="ELH60" s="609"/>
      <c r="ELI60" s="609"/>
      <c r="ELJ60" s="609"/>
      <c r="ELK60" s="609"/>
      <c r="ELL60" s="609"/>
      <c r="ELM60" s="609"/>
      <c r="ELN60" s="609"/>
      <c r="ELO60" s="609"/>
      <c r="ELP60" s="609"/>
      <c r="ELQ60" s="609"/>
      <c r="ELR60" s="609"/>
      <c r="ELS60" s="609"/>
      <c r="ELT60" s="609"/>
      <c r="ELU60" s="609"/>
      <c r="ELV60" s="609"/>
      <c r="ELW60" s="609"/>
      <c r="ELX60" s="609"/>
      <c r="ELY60" s="609"/>
      <c r="ELZ60" s="609"/>
      <c r="EMA60" s="609"/>
      <c r="EMB60" s="609"/>
      <c r="EMC60" s="609"/>
      <c r="EMD60" s="609"/>
      <c r="EME60" s="609"/>
      <c r="EMF60" s="609"/>
      <c r="EMG60" s="609"/>
      <c r="EMH60" s="609"/>
      <c r="EMI60" s="609"/>
      <c r="EMJ60" s="609"/>
      <c r="EMK60" s="609"/>
      <c r="EML60" s="609"/>
      <c r="EMM60" s="609"/>
      <c r="EMN60" s="609"/>
      <c r="EMO60" s="609"/>
      <c r="EMP60" s="609"/>
      <c r="EMQ60" s="609"/>
      <c r="EMR60" s="609"/>
      <c r="EMS60" s="609"/>
      <c r="EMT60" s="609"/>
      <c r="EMU60" s="609"/>
      <c r="EMV60" s="609"/>
      <c r="EMW60" s="609"/>
      <c r="EMX60" s="609"/>
      <c r="EMY60" s="609"/>
      <c r="EMZ60" s="609"/>
      <c r="ENA60" s="609"/>
      <c r="ENB60" s="609"/>
      <c r="ENC60" s="609"/>
      <c r="END60" s="609"/>
      <c r="ENE60" s="609"/>
      <c r="ENF60" s="609"/>
      <c r="ENG60" s="609"/>
      <c r="ENH60" s="609"/>
      <c r="ENI60" s="609"/>
      <c r="ENJ60" s="609"/>
      <c r="ENK60" s="609"/>
      <c r="ENL60" s="609"/>
      <c r="ENM60" s="609"/>
      <c r="ENN60" s="609"/>
      <c r="ENO60" s="609"/>
      <c r="ENP60" s="609"/>
      <c r="ENQ60" s="609"/>
      <c r="ENR60" s="609"/>
      <c r="ENS60" s="609"/>
      <c r="ENT60" s="609"/>
      <c r="ENU60" s="609"/>
      <c r="ENV60" s="609"/>
      <c r="ENW60" s="609"/>
      <c r="ENX60" s="609"/>
      <c r="ENY60" s="609"/>
      <c r="ENZ60" s="609"/>
      <c r="EOA60" s="609"/>
      <c r="EOB60" s="609"/>
      <c r="EOC60" s="609"/>
      <c r="EOD60" s="609"/>
      <c r="EOE60" s="609"/>
      <c r="EOF60" s="609"/>
      <c r="EOG60" s="609"/>
      <c r="EOH60" s="609"/>
      <c r="EOI60" s="609"/>
      <c r="EOJ60" s="609"/>
      <c r="EOK60" s="609"/>
      <c r="EOL60" s="609"/>
      <c r="EOM60" s="609"/>
      <c r="EON60" s="609"/>
      <c r="EOO60" s="609"/>
      <c r="EOP60" s="609"/>
      <c r="EOQ60" s="609"/>
      <c r="EOR60" s="609"/>
      <c r="EOS60" s="609"/>
      <c r="EOT60" s="609"/>
      <c r="EOU60" s="609"/>
      <c r="EOV60" s="609"/>
      <c r="EOW60" s="609"/>
      <c r="EOX60" s="609"/>
      <c r="EOY60" s="609"/>
      <c r="EOZ60" s="609"/>
      <c r="EPA60" s="609"/>
      <c r="EPB60" s="609"/>
      <c r="EPC60" s="609"/>
      <c r="EPD60" s="609"/>
      <c r="EPE60" s="609"/>
      <c r="EPF60" s="609"/>
      <c r="EPG60" s="609"/>
      <c r="EPH60" s="609"/>
      <c r="EPI60" s="609"/>
      <c r="EPJ60" s="609"/>
      <c r="EPK60" s="609"/>
      <c r="EPL60" s="609"/>
      <c r="EPM60" s="609"/>
      <c r="EPN60" s="609"/>
      <c r="EPO60" s="609"/>
      <c r="EPP60" s="609"/>
      <c r="EPQ60" s="609"/>
      <c r="EPR60" s="609"/>
      <c r="EPS60" s="609"/>
      <c r="EPT60" s="609"/>
      <c r="EPU60" s="609"/>
      <c r="EPV60" s="609"/>
      <c r="EPW60" s="609"/>
      <c r="EPX60" s="609"/>
      <c r="EPY60" s="609"/>
      <c r="EPZ60" s="609"/>
      <c r="EQA60" s="609"/>
      <c r="EQB60" s="609"/>
      <c r="EQC60" s="609"/>
      <c r="EQD60" s="609"/>
      <c r="EQE60" s="609"/>
      <c r="EQF60" s="609"/>
      <c r="EQG60" s="609"/>
      <c r="EQH60" s="609"/>
      <c r="EQI60" s="609"/>
      <c r="EQJ60" s="609"/>
      <c r="EQK60" s="609"/>
      <c r="EQL60" s="609"/>
      <c r="EQM60" s="609"/>
      <c r="EQN60" s="609"/>
      <c r="EQO60" s="609"/>
      <c r="EQP60" s="609"/>
      <c r="EQQ60" s="609"/>
      <c r="EQR60" s="609"/>
      <c r="EQS60" s="609"/>
      <c r="EQT60" s="609"/>
      <c r="EQU60" s="609"/>
      <c r="EQV60" s="609"/>
      <c r="EQW60" s="609"/>
      <c r="EQX60" s="609"/>
      <c r="EQY60" s="609"/>
      <c r="EQZ60" s="609"/>
      <c r="ERA60" s="609"/>
      <c r="ERB60" s="609"/>
      <c r="ERC60" s="609"/>
      <c r="ERD60" s="609"/>
      <c r="ERE60" s="609"/>
      <c r="ERF60" s="609"/>
      <c r="ERG60" s="609"/>
      <c r="ERH60" s="609"/>
      <c r="ERI60" s="609"/>
      <c r="ERJ60" s="609"/>
      <c r="ERK60" s="609"/>
      <c r="ERL60" s="609"/>
      <c r="ERM60" s="609"/>
      <c r="ERN60" s="609"/>
      <c r="ERO60" s="609"/>
      <c r="ERP60" s="609"/>
      <c r="ERQ60" s="609"/>
      <c r="ERR60" s="609"/>
      <c r="ERS60" s="609"/>
      <c r="ERT60" s="609"/>
      <c r="ERU60" s="609"/>
      <c r="ERV60" s="609"/>
      <c r="ERW60" s="609"/>
      <c r="ERX60" s="609"/>
      <c r="ERY60" s="609"/>
      <c r="ERZ60" s="609"/>
      <c r="ESA60" s="609"/>
      <c r="ESB60" s="609"/>
      <c r="ESC60" s="609"/>
      <c r="ESD60" s="609"/>
      <c r="ESE60" s="609"/>
      <c r="ESF60" s="609"/>
      <c r="ESG60" s="609"/>
      <c r="ESH60" s="609"/>
      <c r="ESI60" s="609"/>
      <c r="ESJ60" s="609"/>
      <c r="ESK60" s="609"/>
      <c r="ESL60" s="609"/>
      <c r="ESM60" s="609"/>
      <c r="ESN60" s="609"/>
      <c r="ESO60" s="609"/>
      <c r="ESP60" s="609"/>
      <c r="ESQ60" s="609"/>
      <c r="ESR60" s="609"/>
      <c r="ESS60" s="609"/>
      <c r="EST60" s="609"/>
      <c r="ESU60" s="609"/>
      <c r="ESV60" s="609"/>
      <c r="ESW60" s="609"/>
      <c r="ESX60" s="609"/>
      <c r="ESY60" s="609"/>
      <c r="ESZ60" s="609"/>
      <c r="ETA60" s="609"/>
      <c r="ETB60" s="609"/>
      <c r="ETC60" s="609"/>
      <c r="ETD60" s="609"/>
      <c r="ETE60" s="609"/>
      <c r="ETF60" s="609"/>
      <c r="ETG60" s="609"/>
      <c r="ETH60" s="609"/>
      <c r="ETI60" s="609"/>
      <c r="ETJ60" s="609"/>
      <c r="ETK60" s="609"/>
      <c r="ETL60" s="609"/>
      <c r="ETM60" s="609"/>
      <c r="ETN60" s="609"/>
      <c r="ETO60" s="609"/>
      <c r="ETP60" s="609"/>
      <c r="ETQ60" s="609"/>
      <c r="ETR60" s="609"/>
      <c r="ETS60" s="609"/>
      <c r="ETT60" s="609"/>
      <c r="ETU60" s="609"/>
      <c r="ETV60" s="609"/>
      <c r="ETW60" s="609"/>
      <c r="ETX60" s="609"/>
      <c r="ETY60" s="609"/>
      <c r="ETZ60" s="609"/>
      <c r="EUA60" s="609"/>
      <c r="EUB60" s="609"/>
      <c r="EUC60" s="609"/>
      <c r="EUD60" s="609"/>
      <c r="EUE60" s="609"/>
      <c r="EUF60" s="609"/>
      <c r="EUG60" s="609"/>
      <c r="EUH60" s="609"/>
      <c r="EUI60" s="609"/>
      <c r="EUJ60" s="609"/>
      <c r="EUK60" s="609"/>
      <c r="EUL60" s="609"/>
      <c r="EUM60" s="609"/>
      <c r="EUN60" s="609"/>
      <c r="EUO60" s="609"/>
      <c r="EUP60" s="609"/>
      <c r="EUQ60" s="609"/>
      <c r="EUR60" s="609"/>
      <c r="EUS60" s="609"/>
      <c r="EUT60" s="609"/>
      <c r="EUU60" s="609"/>
      <c r="EUV60" s="609"/>
      <c r="EUW60" s="609"/>
      <c r="EUX60" s="609"/>
      <c r="EUY60" s="609"/>
      <c r="EUZ60" s="609"/>
      <c r="EVA60" s="609"/>
      <c r="EVB60" s="609"/>
      <c r="EVC60" s="609"/>
      <c r="EVD60" s="609"/>
      <c r="EVE60" s="609"/>
      <c r="EVF60" s="609"/>
      <c r="EVG60" s="609"/>
      <c r="EVH60" s="609"/>
      <c r="EVI60" s="609"/>
      <c r="EVJ60" s="609"/>
      <c r="EVK60" s="609"/>
      <c r="EVL60" s="609"/>
      <c r="EVM60" s="609"/>
      <c r="EVN60" s="609"/>
      <c r="EVO60" s="609"/>
      <c r="EVP60" s="609"/>
      <c r="EVQ60" s="609"/>
      <c r="EVR60" s="609"/>
      <c r="EVS60" s="609"/>
      <c r="EVT60" s="609"/>
      <c r="EVU60" s="609"/>
      <c r="EVV60" s="609"/>
      <c r="EVW60" s="609"/>
      <c r="EVX60" s="609"/>
      <c r="EVY60" s="609"/>
      <c r="EVZ60" s="609"/>
      <c r="EWA60" s="609"/>
      <c r="EWB60" s="609"/>
      <c r="EWC60" s="609"/>
      <c r="EWD60" s="609"/>
      <c r="EWE60" s="609"/>
      <c r="EWF60" s="609"/>
      <c r="EWG60" s="609"/>
      <c r="EWH60" s="609"/>
      <c r="EWI60" s="609"/>
      <c r="EWJ60" s="609"/>
      <c r="EWK60" s="609"/>
      <c r="EWL60" s="609"/>
      <c r="EWM60" s="609"/>
      <c r="EWN60" s="609"/>
      <c r="EWO60" s="609"/>
      <c r="EWP60" s="609"/>
      <c r="EWQ60" s="609"/>
      <c r="EWR60" s="609"/>
      <c r="EWS60" s="609"/>
      <c r="EWT60" s="609"/>
      <c r="EWU60" s="609"/>
      <c r="EWV60" s="609"/>
      <c r="EWW60" s="609"/>
      <c r="EWX60" s="609"/>
      <c r="EWY60" s="609"/>
      <c r="EWZ60" s="609"/>
      <c r="EXA60" s="609"/>
      <c r="EXB60" s="609"/>
      <c r="EXC60" s="609"/>
      <c r="EXD60" s="609"/>
      <c r="EXE60" s="609"/>
      <c r="EXF60" s="609"/>
      <c r="EXG60" s="609"/>
      <c r="EXH60" s="609"/>
      <c r="EXI60" s="609"/>
      <c r="EXJ60" s="609"/>
      <c r="EXK60" s="609"/>
      <c r="EXL60" s="609"/>
      <c r="EXM60" s="609"/>
      <c r="EXN60" s="609"/>
      <c r="EXO60" s="609"/>
      <c r="EXP60" s="609"/>
      <c r="EXQ60" s="609"/>
      <c r="EXR60" s="609"/>
      <c r="EXS60" s="609"/>
      <c r="EXT60" s="609"/>
      <c r="EXU60" s="609"/>
      <c r="EXV60" s="609"/>
      <c r="EXW60" s="609"/>
      <c r="EXX60" s="609"/>
      <c r="EXY60" s="609"/>
      <c r="EXZ60" s="609"/>
      <c r="EYA60" s="609"/>
      <c r="EYB60" s="609"/>
      <c r="EYC60" s="609"/>
      <c r="EYD60" s="609"/>
      <c r="EYE60" s="609"/>
      <c r="EYF60" s="609"/>
      <c r="EYG60" s="609"/>
      <c r="EYH60" s="609"/>
      <c r="EYI60" s="609"/>
      <c r="EYJ60" s="609"/>
      <c r="EYK60" s="609"/>
      <c r="EYL60" s="609"/>
      <c r="EYM60" s="609"/>
      <c r="EYN60" s="609"/>
      <c r="EYO60" s="609"/>
      <c r="EYP60" s="609"/>
      <c r="EYQ60" s="609"/>
      <c r="EYR60" s="609"/>
      <c r="EYS60" s="609"/>
      <c r="EYT60" s="609"/>
      <c r="EYU60" s="609"/>
      <c r="EYV60" s="609"/>
      <c r="EYW60" s="609"/>
      <c r="EYX60" s="609"/>
      <c r="EYY60" s="609"/>
      <c r="EYZ60" s="609"/>
      <c r="EZA60" s="609"/>
      <c r="EZB60" s="609"/>
      <c r="EZC60" s="609"/>
      <c r="EZD60" s="609"/>
      <c r="EZE60" s="609"/>
      <c r="EZF60" s="609"/>
      <c r="EZG60" s="609"/>
      <c r="EZH60" s="609"/>
      <c r="EZI60" s="609"/>
      <c r="EZJ60" s="609"/>
      <c r="EZK60" s="609"/>
      <c r="EZL60" s="609"/>
      <c r="EZM60" s="609"/>
      <c r="EZN60" s="609"/>
      <c r="EZO60" s="609"/>
      <c r="EZP60" s="609"/>
      <c r="EZQ60" s="609"/>
      <c r="EZR60" s="609"/>
      <c r="EZS60" s="609"/>
      <c r="EZT60" s="609"/>
      <c r="EZU60" s="609"/>
      <c r="EZV60" s="609"/>
      <c r="EZW60" s="609"/>
      <c r="EZX60" s="609"/>
      <c r="EZY60" s="609"/>
      <c r="EZZ60" s="609"/>
      <c r="FAA60" s="609"/>
      <c r="FAB60" s="609"/>
      <c r="FAC60" s="609"/>
      <c r="FAD60" s="609"/>
      <c r="FAE60" s="609"/>
      <c r="FAF60" s="609"/>
      <c r="FAG60" s="609"/>
      <c r="FAH60" s="609"/>
      <c r="FAI60" s="609"/>
      <c r="FAJ60" s="609"/>
      <c r="FAK60" s="609"/>
      <c r="FAL60" s="609"/>
      <c r="FAM60" s="609"/>
      <c r="FAN60" s="609"/>
      <c r="FAO60" s="609"/>
      <c r="FAP60" s="609"/>
      <c r="FAQ60" s="609"/>
      <c r="FAR60" s="609"/>
      <c r="FAS60" s="609"/>
      <c r="FAT60" s="609"/>
      <c r="FAU60" s="609"/>
      <c r="FAV60" s="609"/>
      <c r="FAW60" s="609"/>
      <c r="FAX60" s="609"/>
      <c r="FAY60" s="609"/>
      <c r="FAZ60" s="609"/>
      <c r="FBA60" s="609"/>
      <c r="FBB60" s="609"/>
      <c r="FBC60" s="609"/>
      <c r="FBD60" s="609"/>
      <c r="FBE60" s="609"/>
      <c r="FBF60" s="609"/>
      <c r="FBG60" s="609"/>
      <c r="FBH60" s="609"/>
      <c r="FBI60" s="609"/>
      <c r="FBJ60" s="609"/>
      <c r="FBK60" s="609"/>
      <c r="FBL60" s="609"/>
      <c r="FBM60" s="609"/>
      <c r="FBN60" s="609"/>
      <c r="FBO60" s="609"/>
      <c r="FBP60" s="609"/>
      <c r="FBQ60" s="609"/>
      <c r="FBR60" s="609"/>
      <c r="FBS60" s="609"/>
      <c r="FBT60" s="609"/>
      <c r="FBU60" s="609"/>
      <c r="FBV60" s="609"/>
      <c r="FBW60" s="609"/>
      <c r="FBX60" s="609"/>
      <c r="FBY60" s="609"/>
      <c r="FBZ60" s="609"/>
      <c r="FCA60" s="609"/>
      <c r="FCB60" s="609"/>
      <c r="FCC60" s="609"/>
      <c r="FCD60" s="609"/>
      <c r="FCE60" s="609"/>
      <c r="FCF60" s="609"/>
      <c r="FCG60" s="609"/>
      <c r="FCH60" s="609"/>
      <c r="FCI60" s="609"/>
      <c r="FCJ60" s="609"/>
      <c r="FCK60" s="609"/>
      <c r="FCL60" s="609"/>
      <c r="FCM60" s="609"/>
      <c r="FCN60" s="609"/>
      <c r="FCO60" s="609"/>
      <c r="FCP60" s="609"/>
      <c r="FCQ60" s="609"/>
      <c r="FCR60" s="609"/>
      <c r="FCS60" s="609"/>
      <c r="FCT60" s="609"/>
      <c r="FCU60" s="609"/>
      <c r="FCV60" s="609"/>
      <c r="FCW60" s="609"/>
      <c r="FCX60" s="609"/>
      <c r="FCY60" s="609"/>
      <c r="FCZ60" s="609"/>
      <c r="FDA60" s="609"/>
      <c r="FDB60" s="609"/>
      <c r="FDC60" s="609"/>
      <c r="FDD60" s="609"/>
      <c r="FDE60" s="609"/>
      <c r="FDF60" s="609"/>
      <c r="FDG60" s="609"/>
      <c r="FDH60" s="609"/>
      <c r="FDI60" s="609"/>
      <c r="FDJ60" s="609"/>
      <c r="FDK60" s="609"/>
      <c r="FDL60" s="609"/>
      <c r="FDM60" s="609"/>
      <c r="FDN60" s="609"/>
      <c r="FDO60" s="609"/>
      <c r="FDP60" s="609"/>
      <c r="FDQ60" s="609"/>
      <c r="FDR60" s="609"/>
      <c r="FDS60" s="609"/>
      <c r="FDT60" s="609"/>
      <c r="FDU60" s="609"/>
      <c r="FDV60" s="609"/>
      <c r="FDW60" s="609"/>
      <c r="FDX60" s="609"/>
      <c r="FDY60" s="609"/>
      <c r="FDZ60" s="609"/>
      <c r="FEA60" s="609"/>
      <c r="FEB60" s="609"/>
      <c r="FEC60" s="609"/>
      <c r="FED60" s="609"/>
      <c r="FEE60" s="609"/>
      <c r="FEF60" s="609"/>
      <c r="FEG60" s="609"/>
      <c r="FEH60" s="609"/>
      <c r="FEI60" s="609"/>
      <c r="FEJ60" s="609"/>
      <c r="FEK60" s="609"/>
      <c r="FEL60" s="609"/>
      <c r="FEM60" s="609"/>
      <c r="FEN60" s="609"/>
      <c r="FEO60" s="609"/>
      <c r="FEP60" s="609"/>
      <c r="FEQ60" s="609"/>
      <c r="FER60" s="609"/>
      <c r="FES60" s="609"/>
      <c r="FET60" s="609"/>
      <c r="FEU60" s="609"/>
      <c r="FEV60" s="609"/>
      <c r="FEW60" s="609"/>
      <c r="FEX60" s="609"/>
      <c r="FEY60" s="609"/>
      <c r="FEZ60" s="609"/>
      <c r="FFA60" s="609"/>
      <c r="FFB60" s="609"/>
      <c r="FFC60" s="609"/>
      <c r="FFD60" s="609"/>
      <c r="FFE60" s="609"/>
      <c r="FFF60" s="609"/>
      <c r="FFG60" s="609"/>
      <c r="FFH60" s="609"/>
      <c r="FFI60" s="609"/>
      <c r="FFJ60" s="609"/>
      <c r="FFK60" s="609"/>
      <c r="FFL60" s="609"/>
      <c r="FFM60" s="609"/>
      <c r="FFN60" s="609"/>
      <c r="FFO60" s="609"/>
      <c r="FFP60" s="609"/>
      <c r="FFQ60" s="609"/>
      <c r="FFR60" s="609"/>
      <c r="FFS60" s="609"/>
      <c r="FFT60" s="609"/>
      <c r="FFU60" s="609"/>
      <c r="FFV60" s="609"/>
      <c r="FFW60" s="609"/>
      <c r="FFX60" s="609"/>
      <c r="FFY60" s="609"/>
      <c r="FFZ60" s="609"/>
      <c r="FGA60" s="609"/>
      <c r="FGB60" s="609"/>
      <c r="FGC60" s="609"/>
      <c r="FGD60" s="609"/>
      <c r="FGE60" s="609"/>
      <c r="FGF60" s="609"/>
      <c r="FGG60" s="609"/>
      <c r="FGH60" s="609"/>
      <c r="FGI60" s="609"/>
      <c r="FGJ60" s="609"/>
      <c r="FGK60" s="609"/>
      <c r="FGL60" s="609"/>
      <c r="FGM60" s="609"/>
      <c r="FGN60" s="609"/>
      <c r="FGO60" s="609"/>
      <c r="FGP60" s="609"/>
      <c r="FGQ60" s="609"/>
      <c r="FGR60" s="609"/>
      <c r="FGS60" s="609"/>
      <c r="FGT60" s="609"/>
      <c r="FGU60" s="609"/>
      <c r="FGV60" s="609"/>
      <c r="FGW60" s="609"/>
      <c r="FGX60" s="609"/>
      <c r="FGY60" s="609"/>
      <c r="FGZ60" s="609"/>
      <c r="FHA60" s="609"/>
      <c r="FHB60" s="609"/>
      <c r="FHC60" s="609"/>
      <c r="FHD60" s="609"/>
      <c r="FHE60" s="609"/>
      <c r="FHF60" s="609"/>
      <c r="FHG60" s="609"/>
      <c r="FHH60" s="609"/>
      <c r="FHI60" s="609"/>
      <c r="FHJ60" s="609"/>
      <c r="FHK60" s="609"/>
      <c r="FHL60" s="609"/>
      <c r="FHM60" s="609"/>
      <c r="FHN60" s="609"/>
      <c r="FHO60" s="609"/>
      <c r="FHP60" s="609"/>
      <c r="FHQ60" s="609"/>
      <c r="FHR60" s="609"/>
      <c r="FHS60" s="609"/>
      <c r="FHT60" s="609"/>
      <c r="FHU60" s="609"/>
      <c r="FHV60" s="609"/>
      <c r="FHW60" s="609"/>
      <c r="FHX60" s="609"/>
      <c r="FHY60" s="609"/>
      <c r="FHZ60" s="609"/>
      <c r="FIA60" s="609"/>
      <c r="FIB60" s="609"/>
      <c r="FIC60" s="609"/>
      <c r="FID60" s="609"/>
      <c r="FIE60" s="609"/>
      <c r="FIF60" s="609"/>
      <c r="FIG60" s="609"/>
      <c r="FIH60" s="609"/>
      <c r="FII60" s="609"/>
      <c r="FIJ60" s="609"/>
      <c r="FIK60" s="609"/>
      <c r="FIL60" s="609"/>
      <c r="FIM60" s="609"/>
      <c r="FIN60" s="609"/>
      <c r="FIO60" s="609"/>
      <c r="FIP60" s="609"/>
      <c r="FIQ60" s="609"/>
      <c r="FIR60" s="609"/>
      <c r="FIS60" s="609"/>
      <c r="FIT60" s="609"/>
      <c r="FIU60" s="609"/>
      <c r="FIV60" s="609"/>
      <c r="FIW60" s="609"/>
      <c r="FIX60" s="609"/>
      <c r="FIY60" s="609"/>
      <c r="FIZ60" s="609"/>
      <c r="FJA60" s="609"/>
      <c r="FJB60" s="609"/>
      <c r="FJC60" s="609"/>
      <c r="FJD60" s="609"/>
      <c r="FJE60" s="609"/>
      <c r="FJF60" s="609"/>
      <c r="FJG60" s="609"/>
      <c r="FJH60" s="609"/>
      <c r="FJI60" s="609"/>
      <c r="FJJ60" s="609"/>
      <c r="FJK60" s="609"/>
      <c r="FJL60" s="609"/>
      <c r="FJM60" s="609"/>
      <c r="FJN60" s="609"/>
      <c r="FJO60" s="609"/>
      <c r="FJP60" s="609"/>
      <c r="FJQ60" s="609"/>
      <c r="FJR60" s="609"/>
      <c r="FJS60" s="609"/>
      <c r="FJT60" s="609"/>
      <c r="FJU60" s="609"/>
      <c r="FJV60" s="609"/>
      <c r="FJW60" s="609"/>
      <c r="FJX60" s="609"/>
      <c r="FJY60" s="609"/>
      <c r="FJZ60" s="609"/>
      <c r="FKA60" s="609"/>
      <c r="FKB60" s="609"/>
      <c r="FKC60" s="609"/>
      <c r="FKD60" s="609"/>
      <c r="FKE60" s="609"/>
      <c r="FKF60" s="609"/>
      <c r="FKG60" s="609"/>
      <c r="FKH60" s="609"/>
      <c r="FKI60" s="609"/>
      <c r="FKJ60" s="609"/>
      <c r="FKK60" s="609"/>
      <c r="FKL60" s="609"/>
      <c r="FKM60" s="609"/>
      <c r="FKN60" s="609"/>
      <c r="FKO60" s="609"/>
      <c r="FKP60" s="609"/>
      <c r="FKQ60" s="609"/>
      <c r="FKR60" s="609"/>
      <c r="FKS60" s="609"/>
      <c r="FKT60" s="609"/>
      <c r="FKU60" s="609"/>
      <c r="FKV60" s="609"/>
      <c r="FKW60" s="609"/>
      <c r="FKX60" s="609"/>
      <c r="FKY60" s="609"/>
      <c r="FKZ60" s="609"/>
      <c r="FLA60" s="609"/>
      <c r="FLB60" s="609"/>
      <c r="FLC60" s="609"/>
      <c r="FLD60" s="609"/>
      <c r="FLE60" s="609"/>
      <c r="FLF60" s="609"/>
      <c r="FLG60" s="609"/>
      <c r="FLH60" s="609"/>
      <c r="FLI60" s="609"/>
      <c r="FLJ60" s="609"/>
      <c r="FLK60" s="609"/>
      <c r="FLL60" s="609"/>
      <c r="FLM60" s="609"/>
      <c r="FLN60" s="609"/>
      <c r="FLO60" s="609"/>
      <c r="FLP60" s="609"/>
      <c r="FLQ60" s="609"/>
      <c r="FLR60" s="609"/>
      <c r="FLS60" s="609"/>
      <c r="FLT60" s="609"/>
      <c r="FLU60" s="609"/>
      <c r="FLV60" s="609"/>
      <c r="FLW60" s="609"/>
      <c r="FLX60" s="609"/>
      <c r="FLY60" s="609"/>
      <c r="FLZ60" s="609"/>
      <c r="FMA60" s="609"/>
      <c r="FMB60" s="609"/>
      <c r="FMC60" s="609"/>
      <c r="FMD60" s="609"/>
      <c r="FME60" s="609"/>
      <c r="FMF60" s="609"/>
      <c r="FMG60" s="609"/>
      <c r="FMH60" s="609"/>
      <c r="FMI60" s="609"/>
      <c r="FMJ60" s="609"/>
      <c r="FMK60" s="609"/>
      <c r="FML60" s="609"/>
      <c r="FMM60" s="609"/>
      <c r="FMN60" s="609"/>
      <c r="FMO60" s="609"/>
      <c r="FMP60" s="609"/>
      <c r="FMQ60" s="609"/>
      <c r="FMR60" s="609"/>
      <c r="FMS60" s="609"/>
      <c r="FMT60" s="609"/>
      <c r="FMU60" s="609"/>
      <c r="FMV60" s="609"/>
      <c r="FMW60" s="609"/>
      <c r="FMX60" s="609"/>
      <c r="FMY60" s="609"/>
      <c r="FMZ60" s="609"/>
      <c r="FNA60" s="609"/>
      <c r="FNB60" s="609"/>
      <c r="FNC60" s="609"/>
      <c r="FND60" s="609"/>
      <c r="FNE60" s="609"/>
      <c r="FNF60" s="609"/>
      <c r="FNG60" s="609"/>
      <c r="FNH60" s="609"/>
      <c r="FNI60" s="609"/>
      <c r="FNJ60" s="609"/>
      <c r="FNK60" s="609"/>
      <c r="FNL60" s="609"/>
      <c r="FNM60" s="609"/>
      <c r="FNN60" s="609"/>
      <c r="FNO60" s="609"/>
      <c r="FNP60" s="609"/>
      <c r="FNQ60" s="609"/>
      <c r="FNR60" s="609"/>
      <c r="FNS60" s="609"/>
      <c r="FNT60" s="609"/>
      <c r="FNU60" s="609"/>
      <c r="FNV60" s="609"/>
      <c r="FNW60" s="609"/>
      <c r="FNX60" s="609"/>
      <c r="FNY60" s="609"/>
      <c r="FNZ60" s="609"/>
      <c r="FOA60" s="609"/>
      <c r="FOB60" s="609"/>
      <c r="FOC60" s="609"/>
      <c r="FOD60" s="609"/>
      <c r="FOE60" s="609"/>
      <c r="FOF60" s="609"/>
      <c r="FOG60" s="609"/>
      <c r="FOH60" s="609"/>
      <c r="FOI60" s="609"/>
      <c r="FOJ60" s="609"/>
      <c r="FOK60" s="609"/>
      <c r="FOL60" s="609"/>
      <c r="FOM60" s="609"/>
      <c r="FON60" s="609"/>
      <c r="FOO60" s="609"/>
      <c r="FOP60" s="609"/>
      <c r="FOQ60" s="609"/>
      <c r="FOR60" s="609"/>
      <c r="FOS60" s="609"/>
      <c r="FOT60" s="609"/>
      <c r="FOU60" s="609"/>
      <c r="FOV60" s="609"/>
      <c r="FOW60" s="609"/>
      <c r="FOX60" s="609"/>
      <c r="FOY60" s="609"/>
      <c r="FOZ60" s="609"/>
      <c r="FPA60" s="609"/>
      <c r="FPB60" s="609"/>
      <c r="FPC60" s="609"/>
      <c r="FPD60" s="609"/>
      <c r="FPE60" s="609"/>
      <c r="FPF60" s="609"/>
      <c r="FPG60" s="609"/>
      <c r="FPH60" s="609"/>
      <c r="FPI60" s="609"/>
      <c r="FPJ60" s="609"/>
      <c r="FPK60" s="609"/>
      <c r="FPL60" s="609"/>
      <c r="FPM60" s="609"/>
      <c r="FPN60" s="609"/>
      <c r="FPO60" s="609"/>
      <c r="FPP60" s="609"/>
      <c r="FPQ60" s="609"/>
      <c r="FPR60" s="609"/>
      <c r="FPS60" s="609"/>
      <c r="FPT60" s="609"/>
      <c r="FPU60" s="609"/>
      <c r="FPV60" s="609"/>
      <c r="FPW60" s="609"/>
      <c r="FPX60" s="609"/>
      <c r="FPY60" s="609"/>
      <c r="FPZ60" s="609"/>
      <c r="FQA60" s="609"/>
      <c r="FQB60" s="609"/>
      <c r="FQC60" s="609"/>
      <c r="FQD60" s="609"/>
      <c r="FQE60" s="609"/>
      <c r="FQF60" s="609"/>
      <c r="FQG60" s="609"/>
      <c r="FQH60" s="609"/>
      <c r="FQI60" s="609"/>
      <c r="FQJ60" s="609"/>
      <c r="FQK60" s="609"/>
      <c r="FQL60" s="609"/>
      <c r="FQM60" s="609"/>
      <c r="FQN60" s="609"/>
      <c r="FQO60" s="609"/>
      <c r="FQP60" s="609"/>
      <c r="FQQ60" s="609"/>
      <c r="FQR60" s="609"/>
      <c r="FQS60" s="609"/>
      <c r="FQT60" s="609"/>
      <c r="FQU60" s="609"/>
      <c r="FQV60" s="609"/>
      <c r="FQW60" s="609"/>
      <c r="FQX60" s="609"/>
      <c r="FQY60" s="609"/>
      <c r="FQZ60" s="609"/>
      <c r="FRA60" s="609"/>
      <c r="FRB60" s="609"/>
      <c r="FRC60" s="609"/>
      <c r="FRD60" s="609"/>
      <c r="FRE60" s="609"/>
      <c r="FRF60" s="609"/>
      <c r="FRG60" s="609"/>
      <c r="FRH60" s="609"/>
      <c r="FRI60" s="609"/>
      <c r="FRJ60" s="609"/>
      <c r="FRK60" s="609"/>
      <c r="FRL60" s="609"/>
      <c r="FRM60" s="609"/>
      <c r="FRN60" s="609"/>
      <c r="FRO60" s="609"/>
      <c r="FRP60" s="609"/>
      <c r="FRQ60" s="609"/>
      <c r="FRR60" s="609"/>
      <c r="FRS60" s="609"/>
      <c r="FRT60" s="609"/>
      <c r="FRU60" s="609"/>
      <c r="FRV60" s="609"/>
      <c r="FRW60" s="609"/>
      <c r="FRX60" s="609"/>
      <c r="FRY60" s="609"/>
      <c r="FRZ60" s="609"/>
      <c r="FSA60" s="609"/>
      <c r="FSB60" s="609"/>
      <c r="FSC60" s="609"/>
      <c r="FSD60" s="609"/>
      <c r="FSE60" s="609"/>
      <c r="FSF60" s="609"/>
      <c r="FSG60" s="609"/>
      <c r="FSH60" s="609"/>
      <c r="FSI60" s="609"/>
      <c r="FSJ60" s="609"/>
      <c r="FSK60" s="609"/>
      <c r="FSL60" s="609"/>
      <c r="FSM60" s="609"/>
      <c r="FSN60" s="609"/>
      <c r="FSO60" s="609"/>
      <c r="FSP60" s="609"/>
      <c r="FSQ60" s="609"/>
      <c r="FSR60" s="609"/>
      <c r="FSS60" s="609"/>
      <c r="FST60" s="609"/>
      <c r="FSU60" s="609"/>
      <c r="FSV60" s="609"/>
      <c r="FSW60" s="609"/>
      <c r="FSX60" s="609"/>
      <c r="FSY60" s="609"/>
      <c r="FSZ60" s="609"/>
      <c r="FTA60" s="609"/>
      <c r="FTB60" s="609"/>
      <c r="FTC60" s="609"/>
      <c r="FTD60" s="609"/>
      <c r="FTE60" s="609"/>
      <c r="FTF60" s="609"/>
      <c r="FTG60" s="609"/>
      <c r="FTH60" s="609"/>
      <c r="FTI60" s="609"/>
      <c r="FTJ60" s="609"/>
      <c r="FTK60" s="609"/>
      <c r="FTL60" s="609"/>
      <c r="FTM60" s="609"/>
      <c r="FTN60" s="609"/>
      <c r="FTO60" s="609"/>
      <c r="FTP60" s="609"/>
      <c r="FTQ60" s="609"/>
      <c r="FTR60" s="609"/>
      <c r="FTS60" s="609"/>
      <c r="FTT60" s="609"/>
      <c r="FTU60" s="609"/>
      <c r="FTV60" s="609"/>
      <c r="FTW60" s="609"/>
      <c r="FTX60" s="609"/>
      <c r="FTY60" s="609"/>
      <c r="FTZ60" s="609"/>
      <c r="FUA60" s="609"/>
      <c r="FUB60" s="609"/>
      <c r="FUC60" s="609"/>
      <c r="FUD60" s="609"/>
      <c r="FUE60" s="609"/>
      <c r="FUF60" s="609"/>
      <c r="FUG60" s="609"/>
      <c r="FUH60" s="609"/>
      <c r="FUI60" s="609"/>
      <c r="FUJ60" s="609"/>
      <c r="FUK60" s="609"/>
      <c r="FUL60" s="609"/>
      <c r="FUM60" s="609"/>
      <c r="FUN60" s="609"/>
      <c r="FUO60" s="609"/>
      <c r="FUP60" s="609"/>
      <c r="FUQ60" s="609"/>
      <c r="FUR60" s="609"/>
      <c r="FUS60" s="609"/>
      <c r="FUT60" s="609"/>
      <c r="FUU60" s="609"/>
      <c r="FUV60" s="609"/>
      <c r="FUW60" s="609"/>
      <c r="FUX60" s="609"/>
      <c r="FUY60" s="609"/>
      <c r="FUZ60" s="609"/>
      <c r="FVA60" s="609"/>
      <c r="FVB60" s="609"/>
      <c r="FVC60" s="609"/>
      <c r="FVD60" s="609"/>
      <c r="FVE60" s="609"/>
      <c r="FVF60" s="609"/>
      <c r="FVG60" s="609"/>
      <c r="FVH60" s="609"/>
      <c r="FVI60" s="609"/>
      <c r="FVJ60" s="609"/>
      <c r="FVK60" s="609"/>
      <c r="FVL60" s="609"/>
      <c r="FVM60" s="609"/>
      <c r="FVN60" s="609"/>
      <c r="FVO60" s="609"/>
      <c r="FVP60" s="609"/>
      <c r="FVQ60" s="609"/>
      <c r="FVR60" s="609"/>
      <c r="FVS60" s="609"/>
      <c r="FVT60" s="609"/>
      <c r="FVU60" s="609"/>
      <c r="FVV60" s="609"/>
      <c r="FVW60" s="609"/>
      <c r="FVX60" s="609"/>
      <c r="FVY60" s="609"/>
      <c r="FVZ60" s="609"/>
      <c r="FWA60" s="609"/>
      <c r="FWB60" s="609"/>
      <c r="FWC60" s="609"/>
      <c r="FWD60" s="609"/>
      <c r="FWE60" s="609"/>
      <c r="FWF60" s="609"/>
      <c r="FWG60" s="609"/>
      <c r="FWH60" s="609"/>
      <c r="FWI60" s="609"/>
      <c r="FWJ60" s="609"/>
      <c r="FWK60" s="609"/>
      <c r="FWL60" s="609"/>
      <c r="FWM60" s="609"/>
      <c r="FWN60" s="609"/>
      <c r="FWO60" s="609"/>
      <c r="FWP60" s="609"/>
      <c r="FWQ60" s="609"/>
      <c r="FWR60" s="609"/>
      <c r="FWS60" s="609"/>
      <c r="FWT60" s="609"/>
      <c r="FWU60" s="609"/>
      <c r="FWV60" s="609"/>
      <c r="FWW60" s="609"/>
      <c r="FWX60" s="609"/>
      <c r="FWY60" s="609"/>
      <c r="FWZ60" s="609"/>
      <c r="FXA60" s="609"/>
      <c r="FXB60" s="609"/>
      <c r="FXC60" s="609"/>
      <c r="FXD60" s="609"/>
      <c r="FXE60" s="609"/>
      <c r="FXF60" s="609"/>
      <c r="FXG60" s="609"/>
      <c r="FXH60" s="609"/>
      <c r="FXI60" s="609"/>
      <c r="FXJ60" s="609"/>
      <c r="FXK60" s="609"/>
      <c r="FXL60" s="609"/>
      <c r="FXM60" s="609"/>
      <c r="FXN60" s="609"/>
      <c r="FXO60" s="609"/>
      <c r="FXP60" s="609"/>
      <c r="FXQ60" s="609"/>
      <c r="FXR60" s="609"/>
      <c r="FXS60" s="609"/>
      <c r="FXT60" s="609"/>
      <c r="FXU60" s="609"/>
      <c r="FXV60" s="609"/>
      <c r="FXW60" s="609"/>
      <c r="FXX60" s="609"/>
      <c r="FXY60" s="609"/>
      <c r="FXZ60" s="609"/>
      <c r="FYA60" s="609"/>
      <c r="FYB60" s="609"/>
      <c r="FYC60" s="609"/>
      <c r="FYD60" s="609"/>
      <c r="FYE60" s="609"/>
      <c r="FYF60" s="609"/>
      <c r="FYG60" s="609"/>
      <c r="FYH60" s="609"/>
      <c r="FYI60" s="609"/>
      <c r="FYJ60" s="609"/>
      <c r="FYK60" s="609"/>
      <c r="FYL60" s="609"/>
      <c r="FYM60" s="609"/>
      <c r="FYN60" s="609"/>
      <c r="FYO60" s="609"/>
      <c r="FYP60" s="609"/>
      <c r="FYQ60" s="609"/>
      <c r="FYR60" s="609"/>
      <c r="FYS60" s="609"/>
      <c r="FYT60" s="609"/>
      <c r="FYU60" s="609"/>
      <c r="FYV60" s="609"/>
      <c r="FYW60" s="609"/>
      <c r="FYX60" s="609"/>
      <c r="FYY60" s="609"/>
      <c r="FYZ60" s="609"/>
      <c r="FZA60" s="609"/>
      <c r="FZB60" s="609"/>
      <c r="FZC60" s="609"/>
      <c r="FZD60" s="609"/>
      <c r="FZE60" s="609"/>
      <c r="FZF60" s="609"/>
      <c r="FZG60" s="609"/>
      <c r="FZH60" s="609"/>
      <c r="FZI60" s="609"/>
      <c r="FZJ60" s="609"/>
      <c r="FZK60" s="609"/>
      <c r="FZL60" s="609"/>
      <c r="FZM60" s="609"/>
      <c r="FZN60" s="609"/>
      <c r="FZO60" s="609"/>
      <c r="FZP60" s="609"/>
      <c r="FZQ60" s="609"/>
      <c r="FZR60" s="609"/>
      <c r="FZS60" s="609"/>
      <c r="FZT60" s="609"/>
      <c r="FZU60" s="609"/>
      <c r="FZV60" s="609"/>
      <c r="FZW60" s="609"/>
      <c r="FZX60" s="609"/>
      <c r="FZY60" s="609"/>
      <c r="FZZ60" s="609"/>
      <c r="GAA60" s="609"/>
      <c r="GAB60" s="609"/>
      <c r="GAC60" s="609"/>
      <c r="GAD60" s="609"/>
      <c r="GAE60" s="609"/>
      <c r="GAF60" s="609"/>
      <c r="GAG60" s="609"/>
      <c r="GAH60" s="609"/>
      <c r="GAI60" s="609"/>
      <c r="GAJ60" s="609"/>
      <c r="GAK60" s="609"/>
      <c r="GAL60" s="609"/>
      <c r="GAM60" s="609"/>
      <c r="GAN60" s="609"/>
      <c r="GAO60" s="609"/>
      <c r="GAP60" s="609"/>
      <c r="GAQ60" s="609"/>
      <c r="GAR60" s="609"/>
      <c r="GAS60" s="609"/>
      <c r="GAT60" s="609"/>
      <c r="GAU60" s="609"/>
      <c r="GAV60" s="609"/>
      <c r="GAW60" s="609"/>
      <c r="GAX60" s="609"/>
      <c r="GAY60" s="609"/>
      <c r="GAZ60" s="609"/>
      <c r="GBA60" s="609"/>
      <c r="GBB60" s="609"/>
      <c r="GBC60" s="609"/>
      <c r="GBD60" s="609"/>
      <c r="GBE60" s="609"/>
      <c r="GBF60" s="609"/>
      <c r="GBG60" s="609"/>
      <c r="GBH60" s="609"/>
      <c r="GBI60" s="609"/>
      <c r="GBJ60" s="609"/>
      <c r="GBK60" s="609"/>
      <c r="GBL60" s="609"/>
      <c r="GBM60" s="609"/>
      <c r="GBN60" s="609"/>
      <c r="GBO60" s="609"/>
      <c r="GBP60" s="609"/>
      <c r="GBQ60" s="609"/>
      <c r="GBR60" s="609"/>
      <c r="GBS60" s="609"/>
      <c r="GBT60" s="609"/>
      <c r="GBU60" s="609"/>
      <c r="GBV60" s="609"/>
      <c r="GBW60" s="609"/>
      <c r="GBX60" s="609"/>
      <c r="GBY60" s="609"/>
      <c r="GBZ60" s="609"/>
      <c r="GCA60" s="609"/>
      <c r="GCB60" s="609"/>
      <c r="GCC60" s="609"/>
      <c r="GCD60" s="609"/>
      <c r="GCE60" s="609"/>
      <c r="GCF60" s="609"/>
      <c r="GCG60" s="609"/>
      <c r="GCH60" s="609"/>
      <c r="GCI60" s="609"/>
      <c r="GCJ60" s="609"/>
      <c r="GCK60" s="609"/>
      <c r="GCL60" s="609"/>
      <c r="GCM60" s="609"/>
      <c r="GCN60" s="609"/>
      <c r="GCO60" s="609"/>
      <c r="GCP60" s="609"/>
      <c r="GCQ60" s="609"/>
      <c r="GCR60" s="609"/>
      <c r="GCS60" s="609"/>
      <c r="GCT60" s="609"/>
      <c r="GCU60" s="609"/>
      <c r="GCV60" s="609"/>
      <c r="GCW60" s="609"/>
      <c r="GCX60" s="609"/>
      <c r="GCY60" s="609"/>
      <c r="GCZ60" s="609"/>
      <c r="GDA60" s="609"/>
      <c r="GDB60" s="609"/>
      <c r="GDC60" s="609"/>
      <c r="GDD60" s="609"/>
      <c r="GDE60" s="609"/>
      <c r="GDF60" s="609"/>
      <c r="GDG60" s="609"/>
      <c r="GDH60" s="609"/>
      <c r="GDI60" s="609"/>
      <c r="GDJ60" s="609"/>
      <c r="GDK60" s="609"/>
      <c r="GDL60" s="609"/>
      <c r="GDM60" s="609"/>
      <c r="GDN60" s="609"/>
      <c r="GDO60" s="609"/>
      <c r="GDP60" s="609"/>
      <c r="GDQ60" s="609"/>
      <c r="GDR60" s="609"/>
      <c r="GDS60" s="609"/>
      <c r="GDT60" s="609"/>
      <c r="GDU60" s="609"/>
      <c r="GDV60" s="609"/>
      <c r="GDW60" s="609"/>
      <c r="GDX60" s="609"/>
      <c r="GDY60" s="609"/>
      <c r="GDZ60" s="609"/>
      <c r="GEA60" s="609"/>
      <c r="GEB60" s="609"/>
      <c r="GEC60" s="609"/>
      <c r="GED60" s="609"/>
      <c r="GEE60" s="609"/>
      <c r="GEF60" s="609"/>
      <c r="GEG60" s="609"/>
      <c r="GEH60" s="609"/>
      <c r="GEI60" s="609"/>
      <c r="GEJ60" s="609"/>
      <c r="GEK60" s="609"/>
      <c r="GEL60" s="609"/>
      <c r="GEM60" s="609"/>
      <c r="GEN60" s="609"/>
      <c r="GEO60" s="609"/>
      <c r="GEP60" s="609"/>
      <c r="GEQ60" s="609"/>
      <c r="GER60" s="609"/>
      <c r="GES60" s="609"/>
      <c r="GET60" s="609"/>
      <c r="GEU60" s="609"/>
      <c r="GEV60" s="609"/>
      <c r="GEW60" s="609"/>
      <c r="GEX60" s="609"/>
      <c r="GEY60" s="609"/>
      <c r="GEZ60" s="609"/>
      <c r="GFA60" s="609"/>
      <c r="GFB60" s="609"/>
      <c r="GFC60" s="609"/>
      <c r="GFD60" s="609"/>
      <c r="GFE60" s="609"/>
      <c r="GFF60" s="609"/>
      <c r="GFG60" s="609"/>
      <c r="GFH60" s="609"/>
      <c r="GFI60" s="609"/>
      <c r="GFJ60" s="609"/>
      <c r="GFK60" s="609"/>
      <c r="GFL60" s="609"/>
      <c r="GFM60" s="609"/>
      <c r="GFN60" s="609"/>
      <c r="GFO60" s="609"/>
      <c r="GFP60" s="609"/>
      <c r="GFQ60" s="609"/>
      <c r="GFR60" s="609"/>
      <c r="GFS60" s="609"/>
      <c r="GFT60" s="609"/>
      <c r="GFU60" s="609"/>
      <c r="GFV60" s="609"/>
      <c r="GFW60" s="609"/>
      <c r="GFX60" s="609"/>
      <c r="GFY60" s="609"/>
      <c r="GFZ60" s="609"/>
      <c r="GGA60" s="609"/>
      <c r="GGB60" s="609"/>
      <c r="GGC60" s="609"/>
      <c r="GGD60" s="609"/>
      <c r="GGE60" s="609"/>
      <c r="GGF60" s="609"/>
      <c r="GGG60" s="609"/>
      <c r="GGH60" s="609"/>
      <c r="GGI60" s="609"/>
      <c r="GGJ60" s="609"/>
      <c r="GGK60" s="609"/>
      <c r="GGL60" s="609"/>
      <c r="GGM60" s="609"/>
      <c r="GGN60" s="609"/>
      <c r="GGO60" s="609"/>
      <c r="GGP60" s="609"/>
      <c r="GGQ60" s="609"/>
      <c r="GGR60" s="609"/>
      <c r="GGS60" s="609"/>
      <c r="GGT60" s="609"/>
      <c r="GGU60" s="609"/>
      <c r="GGV60" s="609"/>
      <c r="GGW60" s="609"/>
      <c r="GGX60" s="609"/>
      <c r="GGY60" s="609"/>
      <c r="GGZ60" s="609"/>
      <c r="GHA60" s="609"/>
      <c r="GHB60" s="609"/>
      <c r="GHC60" s="609"/>
      <c r="GHD60" s="609"/>
      <c r="GHE60" s="609"/>
      <c r="GHF60" s="609"/>
      <c r="GHG60" s="609"/>
      <c r="GHH60" s="609"/>
      <c r="GHI60" s="609"/>
      <c r="GHJ60" s="609"/>
      <c r="GHK60" s="609"/>
      <c r="GHL60" s="609"/>
      <c r="GHM60" s="609"/>
      <c r="GHN60" s="609"/>
      <c r="GHO60" s="609"/>
      <c r="GHP60" s="609"/>
      <c r="GHQ60" s="609"/>
      <c r="GHR60" s="609"/>
      <c r="GHS60" s="609"/>
      <c r="GHT60" s="609"/>
      <c r="GHU60" s="609"/>
      <c r="GHV60" s="609"/>
      <c r="GHW60" s="609"/>
      <c r="GHX60" s="609"/>
      <c r="GHY60" s="609"/>
      <c r="GHZ60" s="609"/>
      <c r="GIA60" s="609"/>
      <c r="GIB60" s="609"/>
      <c r="GIC60" s="609"/>
      <c r="GID60" s="609"/>
      <c r="GIE60" s="609"/>
      <c r="GIF60" s="609"/>
      <c r="GIG60" s="609"/>
      <c r="GIH60" s="609"/>
      <c r="GII60" s="609"/>
      <c r="GIJ60" s="609"/>
      <c r="GIK60" s="609"/>
      <c r="GIL60" s="609"/>
      <c r="GIM60" s="609"/>
      <c r="GIN60" s="609"/>
      <c r="GIO60" s="609"/>
      <c r="GIP60" s="609"/>
      <c r="GIQ60" s="609"/>
      <c r="GIR60" s="609"/>
      <c r="GIS60" s="609"/>
      <c r="GIT60" s="609"/>
      <c r="GIU60" s="609"/>
      <c r="GIV60" s="609"/>
      <c r="GIW60" s="609"/>
      <c r="GIX60" s="609"/>
      <c r="GIY60" s="609"/>
      <c r="GIZ60" s="609"/>
      <c r="GJA60" s="609"/>
      <c r="GJB60" s="609"/>
      <c r="GJC60" s="609"/>
      <c r="GJD60" s="609"/>
      <c r="GJE60" s="609"/>
      <c r="GJF60" s="609"/>
      <c r="GJG60" s="609"/>
      <c r="GJH60" s="609"/>
      <c r="GJI60" s="609"/>
      <c r="GJJ60" s="609"/>
      <c r="GJK60" s="609"/>
      <c r="GJL60" s="609"/>
      <c r="GJM60" s="609"/>
      <c r="GJN60" s="609"/>
      <c r="GJO60" s="609"/>
      <c r="GJP60" s="609"/>
      <c r="GJQ60" s="609"/>
      <c r="GJR60" s="609"/>
      <c r="GJS60" s="609"/>
      <c r="GJT60" s="609"/>
      <c r="GJU60" s="609"/>
      <c r="GJV60" s="609"/>
      <c r="GJW60" s="609"/>
      <c r="GJX60" s="609"/>
      <c r="GJY60" s="609"/>
      <c r="GJZ60" s="609"/>
      <c r="GKA60" s="609"/>
      <c r="GKB60" s="609"/>
      <c r="GKC60" s="609"/>
      <c r="GKD60" s="609"/>
      <c r="GKE60" s="609"/>
      <c r="GKF60" s="609"/>
      <c r="GKG60" s="609"/>
      <c r="GKH60" s="609"/>
      <c r="GKI60" s="609"/>
      <c r="GKJ60" s="609"/>
      <c r="GKK60" s="609"/>
      <c r="GKL60" s="609"/>
      <c r="GKM60" s="609"/>
      <c r="GKN60" s="609"/>
      <c r="GKO60" s="609"/>
      <c r="GKP60" s="609"/>
      <c r="GKQ60" s="609"/>
      <c r="GKR60" s="609"/>
      <c r="GKS60" s="609"/>
      <c r="GKT60" s="609"/>
      <c r="GKU60" s="609"/>
      <c r="GKV60" s="609"/>
      <c r="GKW60" s="609"/>
      <c r="GKX60" s="609"/>
      <c r="GKY60" s="609"/>
      <c r="GKZ60" s="609"/>
      <c r="GLA60" s="609"/>
      <c r="GLB60" s="609"/>
      <c r="GLC60" s="609"/>
      <c r="GLD60" s="609"/>
      <c r="GLE60" s="609"/>
      <c r="GLF60" s="609"/>
      <c r="GLG60" s="609"/>
      <c r="GLH60" s="609"/>
      <c r="GLI60" s="609"/>
      <c r="GLJ60" s="609"/>
      <c r="GLK60" s="609"/>
      <c r="GLL60" s="609"/>
      <c r="GLM60" s="609"/>
      <c r="GLN60" s="609"/>
      <c r="GLO60" s="609"/>
      <c r="GLP60" s="609"/>
      <c r="GLQ60" s="609"/>
      <c r="GLR60" s="609"/>
      <c r="GLS60" s="609"/>
      <c r="GLT60" s="609"/>
      <c r="GLU60" s="609"/>
      <c r="GLV60" s="609"/>
      <c r="GLW60" s="609"/>
      <c r="GLX60" s="609"/>
      <c r="GLY60" s="609"/>
      <c r="GLZ60" s="609"/>
      <c r="GMA60" s="609"/>
      <c r="GMB60" s="609"/>
      <c r="GMC60" s="609"/>
      <c r="GMD60" s="609"/>
      <c r="GME60" s="609"/>
      <c r="GMF60" s="609"/>
      <c r="GMG60" s="609"/>
      <c r="GMH60" s="609"/>
      <c r="GMI60" s="609"/>
      <c r="GMJ60" s="609"/>
      <c r="GMK60" s="609"/>
      <c r="GML60" s="609"/>
      <c r="GMM60" s="609"/>
      <c r="GMN60" s="609"/>
      <c r="GMO60" s="609"/>
      <c r="GMP60" s="609"/>
      <c r="GMQ60" s="609"/>
      <c r="GMR60" s="609"/>
      <c r="GMS60" s="609"/>
      <c r="GMT60" s="609"/>
      <c r="GMU60" s="609"/>
      <c r="GMV60" s="609"/>
      <c r="GMW60" s="609"/>
      <c r="GMX60" s="609"/>
      <c r="GMY60" s="609"/>
      <c r="GMZ60" s="609"/>
      <c r="GNA60" s="609"/>
      <c r="GNB60" s="609"/>
      <c r="GNC60" s="609"/>
      <c r="GND60" s="609"/>
      <c r="GNE60" s="609"/>
      <c r="GNF60" s="609"/>
      <c r="GNG60" s="609"/>
      <c r="GNH60" s="609"/>
      <c r="GNI60" s="609"/>
      <c r="GNJ60" s="609"/>
      <c r="GNK60" s="609"/>
      <c r="GNL60" s="609"/>
      <c r="GNM60" s="609"/>
      <c r="GNN60" s="609"/>
      <c r="GNO60" s="609"/>
      <c r="GNP60" s="609"/>
      <c r="GNQ60" s="609"/>
      <c r="GNR60" s="609"/>
      <c r="GNS60" s="609"/>
      <c r="GNT60" s="609"/>
      <c r="GNU60" s="609"/>
      <c r="GNV60" s="609"/>
      <c r="GNW60" s="609"/>
      <c r="GNX60" s="609"/>
      <c r="GNY60" s="609"/>
      <c r="GNZ60" s="609"/>
      <c r="GOA60" s="609"/>
      <c r="GOB60" s="609"/>
      <c r="GOC60" s="609"/>
      <c r="GOD60" s="609"/>
      <c r="GOE60" s="609"/>
      <c r="GOF60" s="609"/>
      <c r="GOG60" s="609"/>
      <c r="GOH60" s="609"/>
      <c r="GOI60" s="609"/>
      <c r="GOJ60" s="609"/>
      <c r="GOK60" s="609"/>
      <c r="GOL60" s="609"/>
      <c r="GOM60" s="609"/>
      <c r="GON60" s="609"/>
      <c r="GOO60" s="609"/>
      <c r="GOP60" s="609"/>
      <c r="GOQ60" s="609"/>
      <c r="GOR60" s="609"/>
      <c r="GOS60" s="609"/>
      <c r="GOT60" s="609"/>
      <c r="GOU60" s="609"/>
      <c r="GOV60" s="609"/>
      <c r="GOW60" s="609"/>
      <c r="GOX60" s="609"/>
      <c r="GOY60" s="609"/>
      <c r="GOZ60" s="609"/>
      <c r="GPA60" s="609"/>
      <c r="GPB60" s="609"/>
      <c r="GPC60" s="609"/>
      <c r="GPD60" s="609"/>
      <c r="GPE60" s="609"/>
      <c r="GPF60" s="609"/>
      <c r="GPG60" s="609"/>
      <c r="GPH60" s="609"/>
      <c r="GPI60" s="609"/>
      <c r="GPJ60" s="609"/>
      <c r="GPK60" s="609"/>
      <c r="GPL60" s="609"/>
      <c r="GPM60" s="609"/>
      <c r="GPN60" s="609"/>
      <c r="GPO60" s="609"/>
      <c r="GPP60" s="609"/>
      <c r="GPQ60" s="609"/>
      <c r="GPR60" s="609"/>
      <c r="GPS60" s="609"/>
      <c r="GPT60" s="609"/>
      <c r="GPU60" s="609"/>
      <c r="GPV60" s="609"/>
      <c r="GPW60" s="609"/>
      <c r="GPX60" s="609"/>
      <c r="GPY60" s="609"/>
      <c r="GPZ60" s="609"/>
      <c r="GQA60" s="609"/>
      <c r="GQB60" s="609"/>
      <c r="GQC60" s="609"/>
      <c r="GQD60" s="609"/>
      <c r="GQE60" s="609"/>
      <c r="GQF60" s="609"/>
      <c r="GQG60" s="609"/>
      <c r="GQH60" s="609"/>
      <c r="GQI60" s="609"/>
      <c r="GQJ60" s="609"/>
      <c r="GQK60" s="609"/>
      <c r="GQL60" s="609"/>
      <c r="GQM60" s="609"/>
      <c r="GQN60" s="609"/>
      <c r="GQO60" s="609"/>
      <c r="GQP60" s="609"/>
      <c r="GQQ60" s="609"/>
      <c r="GQR60" s="609"/>
      <c r="GQS60" s="609"/>
      <c r="GQT60" s="609"/>
      <c r="GQU60" s="609"/>
      <c r="GQV60" s="609"/>
      <c r="GQW60" s="609"/>
      <c r="GQX60" s="609"/>
      <c r="GQY60" s="609"/>
      <c r="GQZ60" s="609"/>
      <c r="GRA60" s="609"/>
      <c r="GRB60" s="609"/>
      <c r="GRC60" s="609"/>
      <c r="GRD60" s="609"/>
      <c r="GRE60" s="609"/>
      <c r="GRF60" s="609"/>
      <c r="GRG60" s="609"/>
      <c r="GRH60" s="609"/>
      <c r="GRI60" s="609"/>
      <c r="GRJ60" s="609"/>
      <c r="GRK60" s="609"/>
      <c r="GRL60" s="609"/>
      <c r="GRM60" s="609"/>
      <c r="GRN60" s="609"/>
      <c r="GRO60" s="609"/>
      <c r="GRP60" s="609"/>
      <c r="GRQ60" s="609"/>
      <c r="GRR60" s="609"/>
      <c r="GRS60" s="609"/>
      <c r="GRT60" s="609"/>
      <c r="GRU60" s="609"/>
      <c r="GRV60" s="609"/>
      <c r="GRW60" s="609"/>
      <c r="GRX60" s="609"/>
      <c r="GRY60" s="609"/>
      <c r="GRZ60" s="609"/>
      <c r="GSA60" s="609"/>
      <c r="GSB60" s="609"/>
      <c r="GSC60" s="609"/>
      <c r="GSD60" s="609"/>
      <c r="GSE60" s="609"/>
      <c r="GSF60" s="609"/>
      <c r="GSG60" s="609"/>
      <c r="GSH60" s="609"/>
      <c r="GSI60" s="609"/>
      <c r="GSJ60" s="609"/>
      <c r="GSK60" s="609"/>
      <c r="GSL60" s="609"/>
      <c r="GSM60" s="609"/>
      <c r="GSN60" s="609"/>
      <c r="GSO60" s="609"/>
      <c r="GSP60" s="609"/>
      <c r="GSQ60" s="609"/>
      <c r="GSR60" s="609"/>
      <c r="GSS60" s="609"/>
      <c r="GST60" s="609"/>
      <c r="GSU60" s="609"/>
      <c r="GSV60" s="609"/>
      <c r="GSW60" s="609"/>
      <c r="GSX60" s="609"/>
      <c r="GSY60" s="609"/>
      <c r="GSZ60" s="609"/>
      <c r="GTA60" s="609"/>
      <c r="GTB60" s="609"/>
      <c r="GTC60" s="609"/>
      <c r="GTD60" s="609"/>
      <c r="GTE60" s="609"/>
      <c r="GTF60" s="609"/>
      <c r="GTG60" s="609"/>
      <c r="GTH60" s="609"/>
      <c r="GTI60" s="609"/>
      <c r="GTJ60" s="609"/>
      <c r="GTK60" s="609"/>
      <c r="GTL60" s="609"/>
      <c r="GTM60" s="609"/>
      <c r="GTN60" s="609"/>
      <c r="GTO60" s="609"/>
      <c r="GTP60" s="609"/>
      <c r="GTQ60" s="609"/>
      <c r="GTR60" s="609"/>
      <c r="GTS60" s="609"/>
      <c r="GTT60" s="609"/>
      <c r="GTU60" s="609"/>
      <c r="GTV60" s="609"/>
      <c r="GTW60" s="609"/>
      <c r="GTX60" s="609"/>
      <c r="GTY60" s="609"/>
      <c r="GTZ60" s="609"/>
      <c r="GUA60" s="609"/>
      <c r="GUB60" s="609"/>
      <c r="GUC60" s="609"/>
      <c r="GUD60" s="609"/>
      <c r="GUE60" s="609"/>
      <c r="GUF60" s="609"/>
      <c r="GUG60" s="609"/>
      <c r="GUH60" s="609"/>
      <c r="GUI60" s="609"/>
      <c r="GUJ60" s="609"/>
      <c r="GUK60" s="609"/>
      <c r="GUL60" s="609"/>
      <c r="GUM60" s="609"/>
      <c r="GUN60" s="609"/>
      <c r="GUO60" s="609"/>
      <c r="GUP60" s="609"/>
      <c r="GUQ60" s="609"/>
      <c r="GUR60" s="609"/>
      <c r="GUS60" s="609"/>
      <c r="GUT60" s="609"/>
      <c r="GUU60" s="609"/>
      <c r="GUV60" s="609"/>
      <c r="GUW60" s="609"/>
      <c r="GUX60" s="609"/>
      <c r="GUY60" s="609"/>
      <c r="GUZ60" s="609"/>
      <c r="GVA60" s="609"/>
      <c r="GVB60" s="609"/>
      <c r="GVC60" s="609"/>
      <c r="GVD60" s="609"/>
      <c r="GVE60" s="609"/>
      <c r="GVF60" s="609"/>
      <c r="GVG60" s="609"/>
      <c r="GVH60" s="609"/>
      <c r="GVI60" s="609"/>
      <c r="GVJ60" s="609"/>
      <c r="GVK60" s="609"/>
      <c r="GVL60" s="609"/>
      <c r="GVM60" s="609"/>
      <c r="GVN60" s="609"/>
      <c r="GVO60" s="609"/>
      <c r="GVP60" s="609"/>
      <c r="GVQ60" s="609"/>
      <c r="GVR60" s="609"/>
      <c r="GVS60" s="609"/>
      <c r="GVT60" s="609"/>
      <c r="GVU60" s="609"/>
      <c r="GVV60" s="609"/>
      <c r="GVW60" s="609"/>
      <c r="GVX60" s="609"/>
      <c r="GVY60" s="609"/>
      <c r="GVZ60" s="609"/>
      <c r="GWA60" s="609"/>
      <c r="GWB60" s="609"/>
      <c r="GWC60" s="609"/>
      <c r="GWD60" s="609"/>
      <c r="GWE60" s="609"/>
      <c r="GWF60" s="609"/>
      <c r="GWG60" s="609"/>
      <c r="GWH60" s="609"/>
      <c r="GWI60" s="609"/>
      <c r="GWJ60" s="609"/>
      <c r="GWK60" s="609"/>
      <c r="GWL60" s="609"/>
      <c r="GWM60" s="609"/>
      <c r="GWN60" s="609"/>
      <c r="GWO60" s="609"/>
      <c r="GWP60" s="609"/>
      <c r="GWQ60" s="609"/>
      <c r="GWR60" s="609"/>
      <c r="GWS60" s="609"/>
      <c r="GWT60" s="609"/>
      <c r="GWU60" s="609"/>
      <c r="GWV60" s="609"/>
      <c r="GWW60" s="609"/>
      <c r="GWX60" s="609"/>
      <c r="GWY60" s="609"/>
      <c r="GWZ60" s="609"/>
      <c r="GXA60" s="609"/>
      <c r="GXB60" s="609"/>
      <c r="GXC60" s="609"/>
      <c r="GXD60" s="609"/>
      <c r="GXE60" s="609"/>
      <c r="GXF60" s="609"/>
      <c r="GXG60" s="609"/>
      <c r="GXH60" s="609"/>
      <c r="GXI60" s="609"/>
      <c r="GXJ60" s="609"/>
      <c r="GXK60" s="609"/>
      <c r="GXL60" s="609"/>
      <c r="GXM60" s="609"/>
      <c r="GXN60" s="609"/>
      <c r="GXO60" s="609"/>
      <c r="GXP60" s="609"/>
      <c r="GXQ60" s="609"/>
      <c r="GXR60" s="609"/>
      <c r="GXS60" s="609"/>
      <c r="GXT60" s="609"/>
      <c r="GXU60" s="609"/>
      <c r="GXV60" s="609"/>
      <c r="GXW60" s="609"/>
      <c r="GXX60" s="609"/>
      <c r="GXY60" s="609"/>
      <c r="GXZ60" s="609"/>
      <c r="GYA60" s="609"/>
      <c r="GYB60" s="609"/>
      <c r="GYC60" s="609"/>
      <c r="GYD60" s="609"/>
      <c r="GYE60" s="609"/>
      <c r="GYF60" s="609"/>
      <c r="GYG60" s="609"/>
      <c r="GYH60" s="609"/>
      <c r="GYI60" s="609"/>
      <c r="GYJ60" s="609"/>
      <c r="GYK60" s="609"/>
      <c r="GYL60" s="609"/>
      <c r="GYM60" s="609"/>
      <c r="GYN60" s="609"/>
      <c r="GYO60" s="609"/>
      <c r="GYP60" s="609"/>
      <c r="GYQ60" s="609"/>
      <c r="GYR60" s="609"/>
      <c r="GYS60" s="609"/>
      <c r="GYT60" s="609"/>
      <c r="GYU60" s="609"/>
      <c r="GYV60" s="609"/>
      <c r="GYW60" s="609"/>
      <c r="GYX60" s="609"/>
      <c r="GYY60" s="609"/>
      <c r="GYZ60" s="609"/>
      <c r="GZA60" s="609"/>
      <c r="GZB60" s="609"/>
      <c r="GZC60" s="609"/>
      <c r="GZD60" s="609"/>
      <c r="GZE60" s="609"/>
      <c r="GZF60" s="609"/>
      <c r="GZG60" s="609"/>
      <c r="GZH60" s="609"/>
      <c r="GZI60" s="609"/>
      <c r="GZJ60" s="609"/>
      <c r="GZK60" s="609"/>
      <c r="GZL60" s="609"/>
      <c r="GZM60" s="609"/>
      <c r="GZN60" s="609"/>
      <c r="GZO60" s="609"/>
      <c r="GZP60" s="609"/>
      <c r="GZQ60" s="609"/>
      <c r="GZR60" s="609"/>
      <c r="GZS60" s="609"/>
      <c r="GZT60" s="609"/>
      <c r="GZU60" s="609"/>
      <c r="GZV60" s="609"/>
      <c r="GZW60" s="609"/>
      <c r="GZX60" s="609"/>
      <c r="GZY60" s="609"/>
      <c r="GZZ60" s="609"/>
      <c r="HAA60" s="609"/>
      <c r="HAB60" s="609"/>
      <c r="HAC60" s="609"/>
      <c r="HAD60" s="609"/>
      <c r="HAE60" s="609"/>
      <c r="HAF60" s="609"/>
      <c r="HAG60" s="609"/>
      <c r="HAH60" s="609"/>
      <c r="HAI60" s="609"/>
      <c r="HAJ60" s="609"/>
      <c r="HAK60" s="609"/>
      <c r="HAL60" s="609"/>
      <c r="HAM60" s="609"/>
      <c r="HAN60" s="609"/>
      <c r="HAO60" s="609"/>
      <c r="HAP60" s="609"/>
      <c r="HAQ60" s="609"/>
      <c r="HAR60" s="609"/>
      <c r="HAS60" s="609"/>
      <c r="HAT60" s="609"/>
      <c r="HAU60" s="609"/>
      <c r="HAV60" s="609"/>
      <c r="HAW60" s="609"/>
      <c r="HAX60" s="609"/>
      <c r="HAY60" s="609"/>
      <c r="HAZ60" s="609"/>
      <c r="HBA60" s="609"/>
      <c r="HBB60" s="609"/>
      <c r="HBC60" s="609"/>
      <c r="HBD60" s="609"/>
      <c r="HBE60" s="609"/>
      <c r="HBF60" s="609"/>
      <c r="HBG60" s="609"/>
      <c r="HBH60" s="609"/>
      <c r="HBI60" s="609"/>
      <c r="HBJ60" s="609"/>
      <c r="HBK60" s="609"/>
      <c r="HBL60" s="609"/>
      <c r="HBM60" s="609"/>
      <c r="HBN60" s="609"/>
      <c r="HBO60" s="609"/>
      <c r="HBP60" s="609"/>
      <c r="HBQ60" s="609"/>
      <c r="HBR60" s="609"/>
      <c r="HBS60" s="609"/>
      <c r="HBT60" s="609"/>
      <c r="HBU60" s="609"/>
      <c r="HBV60" s="609"/>
      <c r="HBW60" s="609"/>
      <c r="HBX60" s="609"/>
      <c r="HBY60" s="609"/>
      <c r="HBZ60" s="609"/>
      <c r="HCA60" s="609"/>
      <c r="HCB60" s="609"/>
      <c r="HCC60" s="609"/>
      <c r="HCD60" s="609"/>
      <c r="HCE60" s="609"/>
      <c r="HCF60" s="609"/>
      <c r="HCG60" s="609"/>
      <c r="HCH60" s="609"/>
      <c r="HCI60" s="609"/>
      <c r="HCJ60" s="609"/>
      <c r="HCK60" s="609"/>
      <c r="HCL60" s="609"/>
      <c r="HCM60" s="609"/>
      <c r="HCN60" s="609"/>
      <c r="HCO60" s="609"/>
      <c r="HCP60" s="609"/>
      <c r="HCQ60" s="609"/>
      <c r="HCR60" s="609"/>
      <c r="HCS60" s="609"/>
      <c r="HCT60" s="609"/>
      <c r="HCU60" s="609"/>
      <c r="HCV60" s="609"/>
      <c r="HCW60" s="609"/>
      <c r="HCX60" s="609"/>
      <c r="HCY60" s="609"/>
      <c r="HCZ60" s="609"/>
      <c r="HDA60" s="609"/>
      <c r="HDB60" s="609"/>
      <c r="HDC60" s="609"/>
      <c r="HDD60" s="609"/>
      <c r="HDE60" s="609"/>
      <c r="HDF60" s="609"/>
      <c r="HDG60" s="609"/>
      <c r="HDH60" s="609"/>
      <c r="HDI60" s="609"/>
      <c r="HDJ60" s="609"/>
      <c r="HDK60" s="609"/>
      <c r="HDL60" s="609"/>
      <c r="HDM60" s="609"/>
      <c r="HDN60" s="609"/>
      <c r="HDO60" s="609"/>
      <c r="HDP60" s="609"/>
      <c r="HDQ60" s="609"/>
      <c r="HDR60" s="609"/>
      <c r="HDS60" s="609"/>
      <c r="HDT60" s="609"/>
      <c r="HDU60" s="609"/>
      <c r="HDV60" s="609"/>
      <c r="HDW60" s="609"/>
      <c r="HDX60" s="609"/>
      <c r="HDY60" s="609"/>
      <c r="HDZ60" s="609"/>
      <c r="HEA60" s="609"/>
      <c r="HEB60" s="609"/>
      <c r="HEC60" s="609"/>
      <c r="HED60" s="609"/>
      <c r="HEE60" s="609"/>
      <c r="HEF60" s="609"/>
      <c r="HEG60" s="609"/>
      <c r="HEH60" s="609"/>
      <c r="HEI60" s="609"/>
      <c r="HEJ60" s="609"/>
      <c r="HEK60" s="609"/>
      <c r="HEL60" s="609"/>
      <c r="HEM60" s="609"/>
      <c r="HEN60" s="609"/>
      <c r="HEO60" s="609"/>
      <c r="HEP60" s="609"/>
      <c r="HEQ60" s="609"/>
      <c r="HER60" s="609"/>
      <c r="HES60" s="609"/>
      <c r="HET60" s="609"/>
      <c r="HEU60" s="609"/>
      <c r="HEV60" s="609"/>
      <c r="HEW60" s="609"/>
      <c r="HEX60" s="609"/>
      <c r="HEY60" s="609"/>
      <c r="HEZ60" s="609"/>
      <c r="HFA60" s="609"/>
      <c r="HFB60" s="609"/>
      <c r="HFC60" s="609"/>
      <c r="HFD60" s="609"/>
      <c r="HFE60" s="609"/>
      <c r="HFF60" s="609"/>
      <c r="HFG60" s="609"/>
      <c r="HFH60" s="609"/>
      <c r="HFI60" s="609"/>
      <c r="HFJ60" s="609"/>
      <c r="HFK60" s="609"/>
      <c r="HFL60" s="609"/>
      <c r="HFM60" s="609"/>
      <c r="HFN60" s="609"/>
      <c r="HFO60" s="609"/>
      <c r="HFP60" s="609"/>
      <c r="HFQ60" s="609"/>
      <c r="HFR60" s="609"/>
      <c r="HFS60" s="609"/>
      <c r="HFT60" s="609"/>
      <c r="HFU60" s="609"/>
      <c r="HFV60" s="609"/>
      <c r="HFW60" s="609"/>
      <c r="HFX60" s="609"/>
      <c r="HFY60" s="609"/>
      <c r="HFZ60" s="609"/>
      <c r="HGA60" s="609"/>
      <c r="HGB60" s="609"/>
      <c r="HGC60" s="609"/>
      <c r="HGD60" s="609"/>
      <c r="HGE60" s="609"/>
      <c r="HGF60" s="609"/>
      <c r="HGG60" s="609"/>
      <c r="HGH60" s="609"/>
      <c r="HGI60" s="609"/>
      <c r="HGJ60" s="609"/>
      <c r="HGK60" s="609"/>
      <c r="HGL60" s="609"/>
      <c r="HGM60" s="609"/>
      <c r="HGN60" s="609"/>
      <c r="HGO60" s="609"/>
      <c r="HGP60" s="609"/>
      <c r="HGQ60" s="609"/>
      <c r="HGR60" s="609"/>
      <c r="HGS60" s="609"/>
      <c r="HGT60" s="609"/>
      <c r="HGU60" s="609"/>
      <c r="HGV60" s="609"/>
      <c r="HGW60" s="609"/>
      <c r="HGX60" s="609"/>
      <c r="HGY60" s="609"/>
      <c r="HGZ60" s="609"/>
      <c r="HHA60" s="609"/>
      <c r="HHB60" s="609"/>
      <c r="HHC60" s="609"/>
      <c r="HHD60" s="609"/>
      <c r="HHE60" s="609"/>
      <c r="HHF60" s="609"/>
      <c r="HHG60" s="609"/>
      <c r="HHH60" s="609"/>
      <c r="HHI60" s="609"/>
      <c r="HHJ60" s="609"/>
      <c r="HHK60" s="609"/>
      <c r="HHL60" s="609"/>
      <c r="HHM60" s="609"/>
      <c r="HHN60" s="609"/>
      <c r="HHO60" s="609"/>
      <c r="HHP60" s="609"/>
      <c r="HHQ60" s="609"/>
      <c r="HHR60" s="609"/>
      <c r="HHS60" s="609"/>
      <c r="HHT60" s="609"/>
      <c r="HHU60" s="609"/>
      <c r="HHV60" s="609"/>
      <c r="HHW60" s="609"/>
      <c r="HHX60" s="609"/>
      <c r="HHY60" s="609"/>
      <c r="HHZ60" s="609"/>
      <c r="HIA60" s="609"/>
      <c r="HIB60" s="609"/>
      <c r="HIC60" s="609"/>
      <c r="HID60" s="609"/>
      <c r="HIE60" s="609"/>
      <c r="HIF60" s="609"/>
      <c r="HIG60" s="609"/>
      <c r="HIH60" s="609"/>
      <c r="HII60" s="609"/>
      <c r="HIJ60" s="609"/>
      <c r="HIK60" s="609"/>
      <c r="HIL60" s="609"/>
      <c r="HIM60" s="609"/>
      <c r="HIN60" s="609"/>
      <c r="HIO60" s="609"/>
      <c r="HIP60" s="609"/>
      <c r="HIQ60" s="609"/>
      <c r="HIR60" s="609"/>
      <c r="HIS60" s="609"/>
      <c r="HIT60" s="609"/>
      <c r="HIU60" s="609"/>
      <c r="HIV60" s="609"/>
      <c r="HIW60" s="609"/>
      <c r="HIX60" s="609"/>
      <c r="HIY60" s="609"/>
      <c r="HIZ60" s="609"/>
      <c r="HJA60" s="609"/>
      <c r="HJB60" s="609"/>
      <c r="HJC60" s="609"/>
      <c r="HJD60" s="609"/>
      <c r="HJE60" s="609"/>
      <c r="HJF60" s="609"/>
      <c r="HJG60" s="609"/>
      <c r="HJH60" s="609"/>
      <c r="HJI60" s="609"/>
      <c r="HJJ60" s="609"/>
      <c r="HJK60" s="609"/>
      <c r="HJL60" s="609"/>
      <c r="HJM60" s="609"/>
      <c r="HJN60" s="609"/>
      <c r="HJO60" s="609"/>
      <c r="HJP60" s="609"/>
      <c r="HJQ60" s="609"/>
      <c r="HJR60" s="609"/>
      <c r="HJS60" s="609"/>
      <c r="HJT60" s="609"/>
      <c r="HJU60" s="609"/>
      <c r="HJV60" s="609"/>
      <c r="HJW60" s="609"/>
      <c r="HJX60" s="609"/>
      <c r="HJY60" s="609"/>
      <c r="HJZ60" s="609"/>
      <c r="HKA60" s="609"/>
      <c r="HKB60" s="609"/>
      <c r="HKC60" s="609"/>
      <c r="HKD60" s="609"/>
      <c r="HKE60" s="609"/>
      <c r="HKF60" s="609"/>
      <c r="HKG60" s="609"/>
      <c r="HKH60" s="609"/>
      <c r="HKI60" s="609"/>
      <c r="HKJ60" s="609"/>
      <c r="HKK60" s="609"/>
      <c r="HKL60" s="609"/>
      <c r="HKM60" s="609"/>
      <c r="HKN60" s="609"/>
      <c r="HKO60" s="609"/>
      <c r="HKP60" s="609"/>
      <c r="HKQ60" s="609"/>
      <c r="HKR60" s="609"/>
      <c r="HKS60" s="609"/>
      <c r="HKT60" s="609"/>
      <c r="HKU60" s="609"/>
      <c r="HKV60" s="609"/>
      <c r="HKW60" s="609"/>
      <c r="HKX60" s="609"/>
      <c r="HKY60" s="609"/>
      <c r="HKZ60" s="609"/>
      <c r="HLA60" s="609"/>
      <c r="HLB60" s="609"/>
      <c r="HLC60" s="609"/>
      <c r="HLD60" s="609"/>
      <c r="HLE60" s="609"/>
      <c r="HLF60" s="609"/>
      <c r="HLG60" s="609"/>
      <c r="HLH60" s="609"/>
      <c r="HLI60" s="609"/>
      <c r="HLJ60" s="609"/>
      <c r="HLK60" s="609"/>
      <c r="HLL60" s="609"/>
      <c r="HLM60" s="609"/>
      <c r="HLN60" s="609"/>
      <c r="HLO60" s="609"/>
      <c r="HLP60" s="609"/>
      <c r="HLQ60" s="609"/>
      <c r="HLR60" s="609"/>
      <c r="HLS60" s="609"/>
      <c r="HLT60" s="609"/>
      <c r="HLU60" s="609"/>
      <c r="HLV60" s="609"/>
      <c r="HLW60" s="609"/>
      <c r="HLX60" s="609"/>
      <c r="HLY60" s="609"/>
      <c r="HLZ60" s="609"/>
      <c r="HMA60" s="609"/>
      <c r="HMB60" s="609"/>
      <c r="HMC60" s="609"/>
      <c r="HMD60" s="609"/>
      <c r="HME60" s="609"/>
      <c r="HMF60" s="609"/>
      <c r="HMG60" s="609"/>
      <c r="HMH60" s="609"/>
      <c r="HMI60" s="609"/>
      <c r="HMJ60" s="609"/>
      <c r="HMK60" s="609"/>
      <c r="HML60" s="609"/>
      <c r="HMM60" s="609"/>
      <c r="HMN60" s="609"/>
      <c r="HMO60" s="609"/>
      <c r="HMP60" s="609"/>
      <c r="HMQ60" s="609"/>
      <c r="HMR60" s="609"/>
      <c r="HMS60" s="609"/>
      <c r="HMT60" s="609"/>
      <c r="HMU60" s="609"/>
      <c r="HMV60" s="609"/>
      <c r="HMW60" s="609"/>
      <c r="HMX60" s="609"/>
      <c r="HMY60" s="609"/>
      <c r="HMZ60" s="609"/>
      <c r="HNA60" s="609"/>
      <c r="HNB60" s="609"/>
      <c r="HNC60" s="609"/>
      <c r="HND60" s="609"/>
      <c r="HNE60" s="609"/>
      <c r="HNF60" s="609"/>
      <c r="HNG60" s="609"/>
      <c r="HNH60" s="609"/>
      <c r="HNI60" s="609"/>
      <c r="HNJ60" s="609"/>
      <c r="HNK60" s="609"/>
      <c r="HNL60" s="609"/>
      <c r="HNM60" s="609"/>
      <c r="HNN60" s="609"/>
      <c r="HNO60" s="609"/>
      <c r="HNP60" s="609"/>
      <c r="HNQ60" s="609"/>
      <c r="HNR60" s="609"/>
      <c r="HNS60" s="609"/>
      <c r="HNT60" s="609"/>
      <c r="HNU60" s="609"/>
      <c r="HNV60" s="609"/>
      <c r="HNW60" s="609"/>
      <c r="HNX60" s="609"/>
      <c r="HNY60" s="609"/>
      <c r="HNZ60" s="609"/>
      <c r="HOA60" s="609"/>
      <c r="HOB60" s="609"/>
      <c r="HOC60" s="609"/>
      <c r="HOD60" s="609"/>
      <c r="HOE60" s="609"/>
      <c r="HOF60" s="609"/>
      <c r="HOG60" s="609"/>
      <c r="HOH60" s="609"/>
      <c r="HOI60" s="609"/>
      <c r="HOJ60" s="609"/>
      <c r="HOK60" s="609"/>
      <c r="HOL60" s="609"/>
      <c r="HOM60" s="609"/>
      <c r="HON60" s="609"/>
      <c r="HOO60" s="609"/>
      <c r="HOP60" s="609"/>
      <c r="HOQ60" s="609"/>
      <c r="HOR60" s="609"/>
      <c r="HOS60" s="609"/>
      <c r="HOT60" s="609"/>
      <c r="HOU60" s="609"/>
      <c r="HOV60" s="609"/>
      <c r="HOW60" s="609"/>
      <c r="HOX60" s="609"/>
      <c r="HOY60" s="609"/>
      <c r="HOZ60" s="609"/>
      <c r="HPA60" s="609"/>
      <c r="HPB60" s="609"/>
      <c r="HPC60" s="609"/>
      <c r="HPD60" s="609"/>
      <c r="HPE60" s="609"/>
      <c r="HPF60" s="609"/>
      <c r="HPG60" s="609"/>
      <c r="HPH60" s="609"/>
      <c r="HPI60" s="609"/>
      <c r="HPJ60" s="609"/>
      <c r="HPK60" s="609"/>
      <c r="HPL60" s="609"/>
      <c r="HPM60" s="609"/>
      <c r="HPN60" s="609"/>
      <c r="HPO60" s="609"/>
      <c r="HPP60" s="609"/>
      <c r="HPQ60" s="609"/>
      <c r="HPR60" s="609"/>
      <c r="HPS60" s="609"/>
      <c r="HPT60" s="609"/>
      <c r="HPU60" s="609"/>
      <c r="HPV60" s="609"/>
      <c r="HPW60" s="609"/>
      <c r="HPX60" s="609"/>
      <c r="HPY60" s="609"/>
      <c r="HPZ60" s="609"/>
      <c r="HQA60" s="609"/>
      <c r="HQB60" s="609"/>
      <c r="HQC60" s="609"/>
      <c r="HQD60" s="609"/>
      <c r="HQE60" s="609"/>
      <c r="HQF60" s="609"/>
      <c r="HQG60" s="609"/>
      <c r="HQH60" s="609"/>
      <c r="HQI60" s="609"/>
      <c r="HQJ60" s="609"/>
      <c r="HQK60" s="609"/>
      <c r="HQL60" s="609"/>
      <c r="HQM60" s="609"/>
      <c r="HQN60" s="609"/>
      <c r="HQO60" s="609"/>
      <c r="HQP60" s="609"/>
      <c r="HQQ60" s="609"/>
      <c r="HQR60" s="609"/>
      <c r="HQS60" s="609"/>
      <c r="HQT60" s="609"/>
      <c r="HQU60" s="609"/>
      <c r="HQV60" s="609"/>
      <c r="HQW60" s="609"/>
      <c r="HQX60" s="609"/>
      <c r="HQY60" s="609"/>
      <c r="HQZ60" s="609"/>
      <c r="HRA60" s="609"/>
      <c r="HRB60" s="609"/>
      <c r="HRC60" s="609"/>
      <c r="HRD60" s="609"/>
      <c r="HRE60" s="609"/>
      <c r="HRF60" s="609"/>
      <c r="HRG60" s="609"/>
      <c r="HRH60" s="609"/>
      <c r="HRI60" s="609"/>
      <c r="HRJ60" s="609"/>
      <c r="HRK60" s="609"/>
      <c r="HRL60" s="609"/>
      <c r="HRM60" s="609"/>
      <c r="HRN60" s="609"/>
      <c r="HRO60" s="609"/>
      <c r="HRP60" s="609"/>
      <c r="HRQ60" s="609"/>
      <c r="HRR60" s="609"/>
      <c r="HRS60" s="609"/>
      <c r="HRT60" s="609"/>
      <c r="HRU60" s="609"/>
      <c r="HRV60" s="609"/>
      <c r="HRW60" s="609"/>
      <c r="HRX60" s="609"/>
      <c r="HRY60" s="609"/>
      <c r="HRZ60" s="609"/>
      <c r="HSA60" s="609"/>
      <c r="HSB60" s="609"/>
      <c r="HSC60" s="609"/>
      <c r="HSD60" s="609"/>
      <c r="HSE60" s="609"/>
      <c r="HSF60" s="609"/>
      <c r="HSG60" s="609"/>
      <c r="HSH60" s="609"/>
      <c r="HSI60" s="609"/>
      <c r="HSJ60" s="609"/>
      <c r="HSK60" s="609"/>
      <c r="HSL60" s="609"/>
      <c r="HSM60" s="609"/>
      <c r="HSN60" s="609"/>
      <c r="HSO60" s="609"/>
      <c r="HSP60" s="609"/>
      <c r="HSQ60" s="609"/>
      <c r="HSR60" s="609"/>
      <c r="HSS60" s="609"/>
      <c r="HST60" s="609"/>
      <c r="HSU60" s="609"/>
      <c r="HSV60" s="609"/>
      <c r="HSW60" s="609"/>
      <c r="HSX60" s="609"/>
      <c r="HSY60" s="609"/>
      <c r="HSZ60" s="609"/>
      <c r="HTA60" s="609"/>
      <c r="HTB60" s="609"/>
      <c r="HTC60" s="609"/>
      <c r="HTD60" s="609"/>
      <c r="HTE60" s="609"/>
      <c r="HTF60" s="609"/>
      <c r="HTG60" s="609"/>
      <c r="HTH60" s="609"/>
      <c r="HTI60" s="609"/>
      <c r="HTJ60" s="609"/>
      <c r="HTK60" s="609"/>
      <c r="HTL60" s="609"/>
      <c r="HTM60" s="609"/>
      <c r="HTN60" s="609"/>
      <c r="HTO60" s="609"/>
      <c r="HTP60" s="609"/>
      <c r="HTQ60" s="609"/>
      <c r="HTR60" s="609"/>
      <c r="HTS60" s="609"/>
      <c r="HTT60" s="609"/>
      <c r="HTU60" s="609"/>
      <c r="HTV60" s="609"/>
      <c r="HTW60" s="609"/>
      <c r="HTX60" s="609"/>
      <c r="HTY60" s="609"/>
      <c r="HTZ60" s="609"/>
      <c r="HUA60" s="609"/>
      <c r="HUB60" s="609"/>
      <c r="HUC60" s="609"/>
      <c r="HUD60" s="609"/>
      <c r="HUE60" s="609"/>
      <c r="HUF60" s="609"/>
      <c r="HUG60" s="609"/>
      <c r="HUH60" s="609"/>
      <c r="HUI60" s="609"/>
      <c r="HUJ60" s="609"/>
      <c r="HUK60" s="609"/>
      <c r="HUL60" s="609"/>
      <c r="HUM60" s="609"/>
      <c r="HUN60" s="609"/>
      <c r="HUO60" s="609"/>
      <c r="HUP60" s="609"/>
      <c r="HUQ60" s="609"/>
      <c r="HUR60" s="609"/>
      <c r="HUS60" s="609"/>
      <c r="HUT60" s="609"/>
      <c r="HUU60" s="609"/>
      <c r="HUV60" s="609"/>
      <c r="HUW60" s="609"/>
      <c r="HUX60" s="609"/>
      <c r="HUY60" s="609"/>
      <c r="HUZ60" s="609"/>
      <c r="HVA60" s="609"/>
      <c r="HVB60" s="609"/>
      <c r="HVC60" s="609"/>
      <c r="HVD60" s="609"/>
      <c r="HVE60" s="609"/>
      <c r="HVF60" s="609"/>
      <c r="HVG60" s="609"/>
      <c r="HVH60" s="609"/>
      <c r="HVI60" s="609"/>
      <c r="HVJ60" s="609"/>
      <c r="HVK60" s="609"/>
      <c r="HVL60" s="609"/>
      <c r="HVM60" s="609"/>
      <c r="HVN60" s="609"/>
      <c r="HVO60" s="609"/>
      <c r="HVP60" s="609"/>
      <c r="HVQ60" s="609"/>
      <c r="HVR60" s="609"/>
      <c r="HVS60" s="609"/>
      <c r="HVT60" s="609"/>
      <c r="HVU60" s="609"/>
      <c r="HVV60" s="609"/>
      <c r="HVW60" s="609"/>
      <c r="HVX60" s="609"/>
      <c r="HVY60" s="609"/>
      <c r="HVZ60" s="609"/>
      <c r="HWA60" s="609"/>
      <c r="HWB60" s="609"/>
      <c r="HWC60" s="609"/>
      <c r="HWD60" s="609"/>
      <c r="HWE60" s="609"/>
      <c r="HWF60" s="609"/>
      <c r="HWG60" s="609"/>
      <c r="HWH60" s="609"/>
      <c r="HWI60" s="609"/>
      <c r="HWJ60" s="609"/>
      <c r="HWK60" s="609"/>
      <c r="HWL60" s="609"/>
      <c r="HWM60" s="609"/>
      <c r="HWN60" s="609"/>
      <c r="HWO60" s="609"/>
      <c r="HWP60" s="609"/>
      <c r="HWQ60" s="609"/>
      <c r="HWR60" s="609"/>
      <c r="HWS60" s="609"/>
      <c r="HWT60" s="609"/>
      <c r="HWU60" s="609"/>
      <c r="HWV60" s="609"/>
      <c r="HWW60" s="609"/>
      <c r="HWX60" s="609"/>
      <c r="HWY60" s="609"/>
      <c r="HWZ60" s="609"/>
      <c r="HXA60" s="609"/>
      <c r="HXB60" s="609"/>
      <c r="HXC60" s="609"/>
      <c r="HXD60" s="609"/>
      <c r="HXE60" s="609"/>
      <c r="HXF60" s="609"/>
      <c r="HXG60" s="609"/>
      <c r="HXH60" s="609"/>
      <c r="HXI60" s="609"/>
      <c r="HXJ60" s="609"/>
      <c r="HXK60" s="609"/>
      <c r="HXL60" s="609"/>
      <c r="HXM60" s="609"/>
      <c r="HXN60" s="609"/>
      <c r="HXO60" s="609"/>
      <c r="HXP60" s="609"/>
      <c r="HXQ60" s="609"/>
      <c r="HXR60" s="609"/>
      <c r="HXS60" s="609"/>
      <c r="HXT60" s="609"/>
      <c r="HXU60" s="609"/>
      <c r="HXV60" s="609"/>
      <c r="HXW60" s="609"/>
      <c r="HXX60" s="609"/>
      <c r="HXY60" s="609"/>
      <c r="HXZ60" s="609"/>
      <c r="HYA60" s="609"/>
      <c r="HYB60" s="609"/>
      <c r="HYC60" s="609"/>
      <c r="HYD60" s="609"/>
      <c r="HYE60" s="609"/>
      <c r="HYF60" s="609"/>
      <c r="HYG60" s="609"/>
      <c r="HYH60" s="609"/>
      <c r="HYI60" s="609"/>
      <c r="HYJ60" s="609"/>
      <c r="HYK60" s="609"/>
      <c r="HYL60" s="609"/>
      <c r="HYM60" s="609"/>
      <c r="HYN60" s="609"/>
      <c r="HYO60" s="609"/>
      <c r="HYP60" s="609"/>
      <c r="HYQ60" s="609"/>
      <c r="HYR60" s="609"/>
      <c r="HYS60" s="609"/>
      <c r="HYT60" s="609"/>
      <c r="HYU60" s="609"/>
      <c r="HYV60" s="609"/>
      <c r="HYW60" s="609"/>
      <c r="HYX60" s="609"/>
      <c r="HYY60" s="609"/>
      <c r="HYZ60" s="609"/>
      <c r="HZA60" s="609"/>
      <c r="HZB60" s="609"/>
      <c r="HZC60" s="609"/>
      <c r="HZD60" s="609"/>
      <c r="HZE60" s="609"/>
      <c r="HZF60" s="609"/>
      <c r="HZG60" s="609"/>
      <c r="HZH60" s="609"/>
      <c r="HZI60" s="609"/>
      <c r="HZJ60" s="609"/>
      <c r="HZK60" s="609"/>
      <c r="HZL60" s="609"/>
      <c r="HZM60" s="609"/>
      <c r="HZN60" s="609"/>
      <c r="HZO60" s="609"/>
      <c r="HZP60" s="609"/>
      <c r="HZQ60" s="609"/>
      <c r="HZR60" s="609"/>
      <c r="HZS60" s="609"/>
      <c r="HZT60" s="609"/>
      <c r="HZU60" s="609"/>
      <c r="HZV60" s="609"/>
      <c r="HZW60" s="609"/>
      <c r="HZX60" s="609"/>
      <c r="HZY60" s="609"/>
      <c r="HZZ60" s="609"/>
      <c r="IAA60" s="609"/>
      <c r="IAB60" s="609"/>
      <c r="IAC60" s="609"/>
      <c r="IAD60" s="609"/>
      <c r="IAE60" s="609"/>
      <c r="IAF60" s="609"/>
      <c r="IAG60" s="609"/>
      <c r="IAH60" s="609"/>
      <c r="IAI60" s="609"/>
      <c r="IAJ60" s="609"/>
      <c r="IAK60" s="609"/>
      <c r="IAL60" s="609"/>
      <c r="IAM60" s="609"/>
      <c r="IAN60" s="609"/>
      <c r="IAO60" s="609"/>
      <c r="IAP60" s="609"/>
      <c r="IAQ60" s="609"/>
      <c r="IAR60" s="609"/>
      <c r="IAS60" s="609"/>
      <c r="IAT60" s="609"/>
      <c r="IAU60" s="609"/>
      <c r="IAV60" s="609"/>
      <c r="IAW60" s="609"/>
      <c r="IAX60" s="609"/>
      <c r="IAY60" s="609"/>
      <c r="IAZ60" s="609"/>
      <c r="IBA60" s="609"/>
      <c r="IBB60" s="609"/>
      <c r="IBC60" s="609"/>
      <c r="IBD60" s="609"/>
      <c r="IBE60" s="609"/>
      <c r="IBF60" s="609"/>
      <c r="IBG60" s="609"/>
      <c r="IBH60" s="609"/>
      <c r="IBI60" s="609"/>
      <c r="IBJ60" s="609"/>
      <c r="IBK60" s="609"/>
      <c r="IBL60" s="609"/>
      <c r="IBM60" s="609"/>
      <c r="IBN60" s="609"/>
      <c r="IBO60" s="609"/>
      <c r="IBP60" s="609"/>
      <c r="IBQ60" s="609"/>
      <c r="IBR60" s="609"/>
      <c r="IBS60" s="609"/>
      <c r="IBT60" s="609"/>
      <c r="IBU60" s="609"/>
      <c r="IBV60" s="609"/>
      <c r="IBW60" s="609"/>
      <c r="IBX60" s="609"/>
      <c r="IBY60" s="609"/>
      <c r="IBZ60" s="609"/>
      <c r="ICA60" s="609"/>
      <c r="ICB60" s="609"/>
      <c r="ICC60" s="609"/>
      <c r="ICD60" s="609"/>
      <c r="ICE60" s="609"/>
      <c r="ICF60" s="609"/>
      <c r="ICG60" s="609"/>
      <c r="ICH60" s="609"/>
      <c r="ICI60" s="609"/>
      <c r="ICJ60" s="609"/>
      <c r="ICK60" s="609"/>
      <c r="ICL60" s="609"/>
      <c r="ICM60" s="609"/>
      <c r="ICN60" s="609"/>
      <c r="ICO60" s="609"/>
      <c r="ICP60" s="609"/>
      <c r="ICQ60" s="609"/>
      <c r="ICR60" s="609"/>
      <c r="ICS60" s="609"/>
      <c r="ICT60" s="609"/>
      <c r="ICU60" s="609"/>
      <c r="ICV60" s="609"/>
      <c r="ICW60" s="609"/>
      <c r="ICX60" s="609"/>
      <c r="ICY60" s="609"/>
      <c r="ICZ60" s="609"/>
      <c r="IDA60" s="609"/>
      <c r="IDB60" s="609"/>
      <c r="IDC60" s="609"/>
      <c r="IDD60" s="609"/>
      <c r="IDE60" s="609"/>
      <c r="IDF60" s="609"/>
      <c r="IDG60" s="609"/>
      <c r="IDH60" s="609"/>
      <c r="IDI60" s="609"/>
      <c r="IDJ60" s="609"/>
      <c r="IDK60" s="609"/>
      <c r="IDL60" s="609"/>
      <c r="IDM60" s="609"/>
      <c r="IDN60" s="609"/>
      <c r="IDO60" s="609"/>
      <c r="IDP60" s="609"/>
      <c r="IDQ60" s="609"/>
      <c r="IDR60" s="609"/>
      <c r="IDS60" s="609"/>
      <c r="IDT60" s="609"/>
      <c r="IDU60" s="609"/>
      <c r="IDV60" s="609"/>
      <c r="IDW60" s="609"/>
      <c r="IDX60" s="609"/>
      <c r="IDY60" s="609"/>
      <c r="IDZ60" s="609"/>
      <c r="IEA60" s="609"/>
      <c r="IEB60" s="609"/>
      <c r="IEC60" s="609"/>
      <c r="IED60" s="609"/>
      <c r="IEE60" s="609"/>
      <c r="IEF60" s="609"/>
      <c r="IEG60" s="609"/>
      <c r="IEH60" s="609"/>
      <c r="IEI60" s="609"/>
      <c r="IEJ60" s="609"/>
      <c r="IEK60" s="609"/>
      <c r="IEL60" s="609"/>
      <c r="IEM60" s="609"/>
      <c r="IEN60" s="609"/>
      <c r="IEO60" s="609"/>
      <c r="IEP60" s="609"/>
      <c r="IEQ60" s="609"/>
      <c r="IER60" s="609"/>
      <c r="IES60" s="609"/>
      <c r="IET60" s="609"/>
      <c r="IEU60" s="609"/>
      <c r="IEV60" s="609"/>
      <c r="IEW60" s="609"/>
      <c r="IEX60" s="609"/>
      <c r="IEY60" s="609"/>
      <c r="IEZ60" s="609"/>
      <c r="IFA60" s="609"/>
      <c r="IFB60" s="609"/>
      <c r="IFC60" s="609"/>
      <c r="IFD60" s="609"/>
      <c r="IFE60" s="609"/>
      <c r="IFF60" s="609"/>
      <c r="IFG60" s="609"/>
      <c r="IFH60" s="609"/>
      <c r="IFI60" s="609"/>
      <c r="IFJ60" s="609"/>
      <c r="IFK60" s="609"/>
      <c r="IFL60" s="609"/>
      <c r="IFM60" s="609"/>
      <c r="IFN60" s="609"/>
      <c r="IFO60" s="609"/>
      <c r="IFP60" s="609"/>
      <c r="IFQ60" s="609"/>
      <c r="IFR60" s="609"/>
      <c r="IFS60" s="609"/>
      <c r="IFT60" s="609"/>
      <c r="IFU60" s="609"/>
      <c r="IFV60" s="609"/>
      <c r="IFW60" s="609"/>
      <c r="IFX60" s="609"/>
      <c r="IFY60" s="609"/>
      <c r="IFZ60" s="609"/>
      <c r="IGA60" s="609"/>
      <c r="IGB60" s="609"/>
      <c r="IGC60" s="609"/>
      <c r="IGD60" s="609"/>
      <c r="IGE60" s="609"/>
      <c r="IGF60" s="609"/>
      <c r="IGG60" s="609"/>
      <c r="IGH60" s="609"/>
      <c r="IGI60" s="609"/>
      <c r="IGJ60" s="609"/>
      <c r="IGK60" s="609"/>
      <c r="IGL60" s="609"/>
      <c r="IGM60" s="609"/>
      <c r="IGN60" s="609"/>
      <c r="IGO60" s="609"/>
      <c r="IGP60" s="609"/>
      <c r="IGQ60" s="609"/>
      <c r="IGR60" s="609"/>
      <c r="IGS60" s="609"/>
      <c r="IGT60" s="609"/>
      <c r="IGU60" s="609"/>
      <c r="IGV60" s="609"/>
      <c r="IGW60" s="609"/>
      <c r="IGX60" s="609"/>
      <c r="IGY60" s="609"/>
      <c r="IGZ60" s="609"/>
      <c r="IHA60" s="609"/>
      <c r="IHB60" s="609"/>
      <c r="IHC60" s="609"/>
      <c r="IHD60" s="609"/>
      <c r="IHE60" s="609"/>
      <c r="IHF60" s="609"/>
      <c r="IHG60" s="609"/>
      <c r="IHH60" s="609"/>
      <c r="IHI60" s="609"/>
      <c r="IHJ60" s="609"/>
      <c r="IHK60" s="609"/>
      <c r="IHL60" s="609"/>
      <c r="IHM60" s="609"/>
      <c r="IHN60" s="609"/>
      <c r="IHO60" s="609"/>
      <c r="IHP60" s="609"/>
      <c r="IHQ60" s="609"/>
      <c r="IHR60" s="609"/>
      <c r="IHS60" s="609"/>
      <c r="IHT60" s="609"/>
      <c r="IHU60" s="609"/>
      <c r="IHV60" s="609"/>
      <c r="IHW60" s="609"/>
      <c r="IHX60" s="609"/>
      <c r="IHY60" s="609"/>
      <c r="IHZ60" s="609"/>
      <c r="IIA60" s="609"/>
      <c r="IIB60" s="609"/>
      <c r="IIC60" s="609"/>
      <c r="IID60" s="609"/>
      <c r="IIE60" s="609"/>
      <c r="IIF60" s="609"/>
      <c r="IIG60" s="609"/>
      <c r="IIH60" s="609"/>
      <c r="III60" s="609"/>
      <c r="IIJ60" s="609"/>
      <c r="IIK60" s="609"/>
      <c r="IIL60" s="609"/>
      <c r="IIM60" s="609"/>
      <c r="IIN60" s="609"/>
      <c r="IIO60" s="609"/>
      <c r="IIP60" s="609"/>
      <c r="IIQ60" s="609"/>
      <c r="IIR60" s="609"/>
      <c r="IIS60" s="609"/>
      <c r="IIT60" s="609"/>
      <c r="IIU60" s="609"/>
      <c r="IIV60" s="609"/>
      <c r="IIW60" s="609"/>
      <c r="IIX60" s="609"/>
      <c r="IIY60" s="609"/>
      <c r="IIZ60" s="609"/>
      <c r="IJA60" s="609"/>
      <c r="IJB60" s="609"/>
      <c r="IJC60" s="609"/>
      <c r="IJD60" s="609"/>
      <c r="IJE60" s="609"/>
      <c r="IJF60" s="609"/>
      <c r="IJG60" s="609"/>
      <c r="IJH60" s="609"/>
      <c r="IJI60" s="609"/>
      <c r="IJJ60" s="609"/>
      <c r="IJK60" s="609"/>
      <c r="IJL60" s="609"/>
      <c r="IJM60" s="609"/>
      <c r="IJN60" s="609"/>
      <c r="IJO60" s="609"/>
      <c r="IJP60" s="609"/>
      <c r="IJQ60" s="609"/>
      <c r="IJR60" s="609"/>
      <c r="IJS60" s="609"/>
      <c r="IJT60" s="609"/>
      <c r="IJU60" s="609"/>
      <c r="IJV60" s="609"/>
      <c r="IJW60" s="609"/>
      <c r="IJX60" s="609"/>
      <c r="IJY60" s="609"/>
      <c r="IJZ60" s="609"/>
      <c r="IKA60" s="609"/>
      <c r="IKB60" s="609"/>
      <c r="IKC60" s="609"/>
      <c r="IKD60" s="609"/>
      <c r="IKE60" s="609"/>
      <c r="IKF60" s="609"/>
      <c r="IKG60" s="609"/>
      <c r="IKH60" s="609"/>
      <c r="IKI60" s="609"/>
      <c r="IKJ60" s="609"/>
      <c r="IKK60" s="609"/>
      <c r="IKL60" s="609"/>
      <c r="IKM60" s="609"/>
      <c r="IKN60" s="609"/>
      <c r="IKO60" s="609"/>
      <c r="IKP60" s="609"/>
      <c r="IKQ60" s="609"/>
      <c r="IKR60" s="609"/>
      <c r="IKS60" s="609"/>
      <c r="IKT60" s="609"/>
      <c r="IKU60" s="609"/>
      <c r="IKV60" s="609"/>
      <c r="IKW60" s="609"/>
      <c r="IKX60" s="609"/>
      <c r="IKY60" s="609"/>
      <c r="IKZ60" s="609"/>
      <c r="ILA60" s="609"/>
      <c r="ILB60" s="609"/>
      <c r="ILC60" s="609"/>
      <c r="ILD60" s="609"/>
      <c r="ILE60" s="609"/>
      <c r="ILF60" s="609"/>
      <c r="ILG60" s="609"/>
      <c r="ILH60" s="609"/>
      <c r="ILI60" s="609"/>
      <c r="ILJ60" s="609"/>
      <c r="ILK60" s="609"/>
      <c r="ILL60" s="609"/>
      <c r="ILM60" s="609"/>
      <c r="ILN60" s="609"/>
      <c r="ILO60" s="609"/>
      <c r="ILP60" s="609"/>
      <c r="ILQ60" s="609"/>
      <c r="ILR60" s="609"/>
      <c r="ILS60" s="609"/>
      <c r="ILT60" s="609"/>
      <c r="ILU60" s="609"/>
      <c r="ILV60" s="609"/>
      <c r="ILW60" s="609"/>
      <c r="ILX60" s="609"/>
      <c r="ILY60" s="609"/>
      <c r="ILZ60" s="609"/>
      <c r="IMA60" s="609"/>
      <c r="IMB60" s="609"/>
      <c r="IMC60" s="609"/>
      <c r="IMD60" s="609"/>
      <c r="IME60" s="609"/>
      <c r="IMF60" s="609"/>
      <c r="IMG60" s="609"/>
      <c r="IMH60" s="609"/>
      <c r="IMI60" s="609"/>
      <c r="IMJ60" s="609"/>
      <c r="IMK60" s="609"/>
      <c r="IML60" s="609"/>
      <c r="IMM60" s="609"/>
      <c r="IMN60" s="609"/>
      <c r="IMO60" s="609"/>
      <c r="IMP60" s="609"/>
      <c r="IMQ60" s="609"/>
      <c r="IMR60" s="609"/>
      <c r="IMS60" s="609"/>
      <c r="IMT60" s="609"/>
      <c r="IMU60" s="609"/>
      <c r="IMV60" s="609"/>
      <c r="IMW60" s="609"/>
      <c r="IMX60" s="609"/>
      <c r="IMY60" s="609"/>
      <c r="IMZ60" s="609"/>
      <c r="INA60" s="609"/>
      <c r="INB60" s="609"/>
      <c r="INC60" s="609"/>
      <c r="IND60" s="609"/>
      <c r="INE60" s="609"/>
      <c r="INF60" s="609"/>
      <c r="ING60" s="609"/>
      <c r="INH60" s="609"/>
      <c r="INI60" s="609"/>
      <c r="INJ60" s="609"/>
      <c r="INK60" s="609"/>
      <c r="INL60" s="609"/>
      <c r="INM60" s="609"/>
      <c r="INN60" s="609"/>
      <c r="INO60" s="609"/>
      <c r="INP60" s="609"/>
      <c r="INQ60" s="609"/>
      <c r="INR60" s="609"/>
      <c r="INS60" s="609"/>
      <c r="INT60" s="609"/>
      <c r="INU60" s="609"/>
      <c r="INV60" s="609"/>
      <c r="INW60" s="609"/>
      <c r="INX60" s="609"/>
      <c r="INY60" s="609"/>
      <c r="INZ60" s="609"/>
      <c r="IOA60" s="609"/>
      <c r="IOB60" s="609"/>
      <c r="IOC60" s="609"/>
      <c r="IOD60" s="609"/>
      <c r="IOE60" s="609"/>
      <c r="IOF60" s="609"/>
      <c r="IOG60" s="609"/>
      <c r="IOH60" s="609"/>
      <c r="IOI60" s="609"/>
      <c r="IOJ60" s="609"/>
      <c r="IOK60" s="609"/>
      <c r="IOL60" s="609"/>
      <c r="IOM60" s="609"/>
      <c r="ION60" s="609"/>
      <c r="IOO60" s="609"/>
      <c r="IOP60" s="609"/>
      <c r="IOQ60" s="609"/>
      <c r="IOR60" s="609"/>
      <c r="IOS60" s="609"/>
      <c r="IOT60" s="609"/>
      <c r="IOU60" s="609"/>
      <c r="IOV60" s="609"/>
      <c r="IOW60" s="609"/>
      <c r="IOX60" s="609"/>
      <c r="IOY60" s="609"/>
      <c r="IOZ60" s="609"/>
      <c r="IPA60" s="609"/>
      <c r="IPB60" s="609"/>
      <c r="IPC60" s="609"/>
      <c r="IPD60" s="609"/>
      <c r="IPE60" s="609"/>
      <c r="IPF60" s="609"/>
      <c r="IPG60" s="609"/>
      <c r="IPH60" s="609"/>
      <c r="IPI60" s="609"/>
      <c r="IPJ60" s="609"/>
      <c r="IPK60" s="609"/>
      <c r="IPL60" s="609"/>
      <c r="IPM60" s="609"/>
      <c r="IPN60" s="609"/>
      <c r="IPO60" s="609"/>
      <c r="IPP60" s="609"/>
      <c r="IPQ60" s="609"/>
      <c r="IPR60" s="609"/>
      <c r="IPS60" s="609"/>
      <c r="IPT60" s="609"/>
      <c r="IPU60" s="609"/>
      <c r="IPV60" s="609"/>
      <c r="IPW60" s="609"/>
      <c r="IPX60" s="609"/>
      <c r="IPY60" s="609"/>
      <c r="IPZ60" s="609"/>
      <c r="IQA60" s="609"/>
      <c r="IQB60" s="609"/>
      <c r="IQC60" s="609"/>
      <c r="IQD60" s="609"/>
      <c r="IQE60" s="609"/>
      <c r="IQF60" s="609"/>
      <c r="IQG60" s="609"/>
      <c r="IQH60" s="609"/>
      <c r="IQI60" s="609"/>
      <c r="IQJ60" s="609"/>
      <c r="IQK60" s="609"/>
      <c r="IQL60" s="609"/>
      <c r="IQM60" s="609"/>
      <c r="IQN60" s="609"/>
      <c r="IQO60" s="609"/>
      <c r="IQP60" s="609"/>
      <c r="IQQ60" s="609"/>
      <c r="IQR60" s="609"/>
      <c r="IQS60" s="609"/>
      <c r="IQT60" s="609"/>
      <c r="IQU60" s="609"/>
      <c r="IQV60" s="609"/>
      <c r="IQW60" s="609"/>
      <c r="IQX60" s="609"/>
      <c r="IQY60" s="609"/>
      <c r="IQZ60" s="609"/>
      <c r="IRA60" s="609"/>
      <c r="IRB60" s="609"/>
      <c r="IRC60" s="609"/>
      <c r="IRD60" s="609"/>
      <c r="IRE60" s="609"/>
      <c r="IRF60" s="609"/>
      <c r="IRG60" s="609"/>
      <c r="IRH60" s="609"/>
      <c r="IRI60" s="609"/>
      <c r="IRJ60" s="609"/>
      <c r="IRK60" s="609"/>
      <c r="IRL60" s="609"/>
      <c r="IRM60" s="609"/>
      <c r="IRN60" s="609"/>
      <c r="IRO60" s="609"/>
      <c r="IRP60" s="609"/>
      <c r="IRQ60" s="609"/>
      <c r="IRR60" s="609"/>
      <c r="IRS60" s="609"/>
      <c r="IRT60" s="609"/>
      <c r="IRU60" s="609"/>
      <c r="IRV60" s="609"/>
      <c r="IRW60" s="609"/>
      <c r="IRX60" s="609"/>
      <c r="IRY60" s="609"/>
      <c r="IRZ60" s="609"/>
      <c r="ISA60" s="609"/>
      <c r="ISB60" s="609"/>
      <c r="ISC60" s="609"/>
      <c r="ISD60" s="609"/>
      <c r="ISE60" s="609"/>
      <c r="ISF60" s="609"/>
      <c r="ISG60" s="609"/>
      <c r="ISH60" s="609"/>
      <c r="ISI60" s="609"/>
      <c r="ISJ60" s="609"/>
      <c r="ISK60" s="609"/>
      <c r="ISL60" s="609"/>
      <c r="ISM60" s="609"/>
      <c r="ISN60" s="609"/>
      <c r="ISO60" s="609"/>
      <c r="ISP60" s="609"/>
      <c r="ISQ60" s="609"/>
      <c r="ISR60" s="609"/>
      <c r="ISS60" s="609"/>
      <c r="IST60" s="609"/>
      <c r="ISU60" s="609"/>
      <c r="ISV60" s="609"/>
      <c r="ISW60" s="609"/>
      <c r="ISX60" s="609"/>
      <c r="ISY60" s="609"/>
      <c r="ISZ60" s="609"/>
      <c r="ITA60" s="609"/>
      <c r="ITB60" s="609"/>
      <c r="ITC60" s="609"/>
      <c r="ITD60" s="609"/>
      <c r="ITE60" s="609"/>
      <c r="ITF60" s="609"/>
      <c r="ITG60" s="609"/>
      <c r="ITH60" s="609"/>
      <c r="ITI60" s="609"/>
      <c r="ITJ60" s="609"/>
      <c r="ITK60" s="609"/>
      <c r="ITL60" s="609"/>
      <c r="ITM60" s="609"/>
      <c r="ITN60" s="609"/>
      <c r="ITO60" s="609"/>
      <c r="ITP60" s="609"/>
      <c r="ITQ60" s="609"/>
      <c r="ITR60" s="609"/>
      <c r="ITS60" s="609"/>
      <c r="ITT60" s="609"/>
      <c r="ITU60" s="609"/>
      <c r="ITV60" s="609"/>
      <c r="ITW60" s="609"/>
      <c r="ITX60" s="609"/>
      <c r="ITY60" s="609"/>
      <c r="ITZ60" s="609"/>
      <c r="IUA60" s="609"/>
      <c r="IUB60" s="609"/>
      <c r="IUC60" s="609"/>
      <c r="IUD60" s="609"/>
      <c r="IUE60" s="609"/>
      <c r="IUF60" s="609"/>
      <c r="IUG60" s="609"/>
      <c r="IUH60" s="609"/>
      <c r="IUI60" s="609"/>
      <c r="IUJ60" s="609"/>
      <c r="IUK60" s="609"/>
      <c r="IUL60" s="609"/>
      <c r="IUM60" s="609"/>
      <c r="IUN60" s="609"/>
      <c r="IUO60" s="609"/>
      <c r="IUP60" s="609"/>
      <c r="IUQ60" s="609"/>
      <c r="IUR60" s="609"/>
      <c r="IUS60" s="609"/>
      <c r="IUT60" s="609"/>
      <c r="IUU60" s="609"/>
      <c r="IUV60" s="609"/>
      <c r="IUW60" s="609"/>
      <c r="IUX60" s="609"/>
      <c r="IUY60" s="609"/>
      <c r="IUZ60" s="609"/>
      <c r="IVA60" s="609"/>
      <c r="IVB60" s="609"/>
      <c r="IVC60" s="609"/>
      <c r="IVD60" s="609"/>
      <c r="IVE60" s="609"/>
      <c r="IVF60" s="609"/>
      <c r="IVG60" s="609"/>
      <c r="IVH60" s="609"/>
      <c r="IVI60" s="609"/>
      <c r="IVJ60" s="609"/>
      <c r="IVK60" s="609"/>
      <c r="IVL60" s="609"/>
      <c r="IVM60" s="609"/>
      <c r="IVN60" s="609"/>
      <c r="IVO60" s="609"/>
      <c r="IVP60" s="609"/>
      <c r="IVQ60" s="609"/>
      <c r="IVR60" s="609"/>
      <c r="IVS60" s="609"/>
      <c r="IVT60" s="609"/>
      <c r="IVU60" s="609"/>
      <c r="IVV60" s="609"/>
      <c r="IVW60" s="609"/>
      <c r="IVX60" s="609"/>
      <c r="IVY60" s="609"/>
      <c r="IVZ60" s="609"/>
      <c r="IWA60" s="609"/>
      <c r="IWB60" s="609"/>
      <c r="IWC60" s="609"/>
      <c r="IWD60" s="609"/>
      <c r="IWE60" s="609"/>
      <c r="IWF60" s="609"/>
      <c r="IWG60" s="609"/>
      <c r="IWH60" s="609"/>
      <c r="IWI60" s="609"/>
      <c r="IWJ60" s="609"/>
      <c r="IWK60" s="609"/>
      <c r="IWL60" s="609"/>
      <c r="IWM60" s="609"/>
      <c r="IWN60" s="609"/>
      <c r="IWO60" s="609"/>
      <c r="IWP60" s="609"/>
      <c r="IWQ60" s="609"/>
      <c r="IWR60" s="609"/>
      <c r="IWS60" s="609"/>
      <c r="IWT60" s="609"/>
      <c r="IWU60" s="609"/>
      <c r="IWV60" s="609"/>
      <c r="IWW60" s="609"/>
      <c r="IWX60" s="609"/>
      <c r="IWY60" s="609"/>
      <c r="IWZ60" s="609"/>
      <c r="IXA60" s="609"/>
      <c r="IXB60" s="609"/>
      <c r="IXC60" s="609"/>
      <c r="IXD60" s="609"/>
      <c r="IXE60" s="609"/>
      <c r="IXF60" s="609"/>
      <c r="IXG60" s="609"/>
      <c r="IXH60" s="609"/>
      <c r="IXI60" s="609"/>
      <c r="IXJ60" s="609"/>
      <c r="IXK60" s="609"/>
      <c r="IXL60" s="609"/>
      <c r="IXM60" s="609"/>
      <c r="IXN60" s="609"/>
      <c r="IXO60" s="609"/>
      <c r="IXP60" s="609"/>
      <c r="IXQ60" s="609"/>
      <c r="IXR60" s="609"/>
      <c r="IXS60" s="609"/>
      <c r="IXT60" s="609"/>
      <c r="IXU60" s="609"/>
      <c r="IXV60" s="609"/>
      <c r="IXW60" s="609"/>
      <c r="IXX60" s="609"/>
      <c r="IXY60" s="609"/>
      <c r="IXZ60" s="609"/>
      <c r="IYA60" s="609"/>
      <c r="IYB60" s="609"/>
      <c r="IYC60" s="609"/>
      <c r="IYD60" s="609"/>
      <c r="IYE60" s="609"/>
      <c r="IYF60" s="609"/>
      <c r="IYG60" s="609"/>
      <c r="IYH60" s="609"/>
      <c r="IYI60" s="609"/>
      <c r="IYJ60" s="609"/>
      <c r="IYK60" s="609"/>
      <c r="IYL60" s="609"/>
      <c r="IYM60" s="609"/>
      <c r="IYN60" s="609"/>
      <c r="IYO60" s="609"/>
      <c r="IYP60" s="609"/>
      <c r="IYQ60" s="609"/>
      <c r="IYR60" s="609"/>
      <c r="IYS60" s="609"/>
      <c r="IYT60" s="609"/>
      <c r="IYU60" s="609"/>
      <c r="IYV60" s="609"/>
      <c r="IYW60" s="609"/>
      <c r="IYX60" s="609"/>
      <c r="IYY60" s="609"/>
      <c r="IYZ60" s="609"/>
      <c r="IZA60" s="609"/>
      <c r="IZB60" s="609"/>
      <c r="IZC60" s="609"/>
      <c r="IZD60" s="609"/>
      <c r="IZE60" s="609"/>
      <c r="IZF60" s="609"/>
      <c r="IZG60" s="609"/>
      <c r="IZH60" s="609"/>
      <c r="IZI60" s="609"/>
      <c r="IZJ60" s="609"/>
      <c r="IZK60" s="609"/>
      <c r="IZL60" s="609"/>
      <c r="IZM60" s="609"/>
      <c r="IZN60" s="609"/>
      <c r="IZO60" s="609"/>
      <c r="IZP60" s="609"/>
      <c r="IZQ60" s="609"/>
      <c r="IZR60" s="609"/>
      <c r="IZS60" s="609"/>
      <c r="IZT60" s="609"/>
      <c r="IZU60" s="609"/>
      <c r="IZV60" s="609"/>
      <c r="IZW60" s="609"/>
      <c r="IZX60" s="609"/>
      <c r="IZY60" s="609"/>
      <c r="IZZ60" s="609"/>
      <c r="JAA60" s="609"/>
      <c r="JAB60" s="609"/>
      <c r="JAC60" s="609"/>
      <c r="JAD60" s="609"/>
      <c r="JAE60" s="609"/>
      <c r="JAF60" s="609"/>
      <c r="JAG60" s="609"/>
      <c r="JAH60" s="609"/>
      <c r="JAI60" s="609"/>
      <c r="JAJ60" s="609"/>
      <c r="JAK60" s="609"/>
      <c r="JAL60" s="609"/>
      <c r="JAM60" s="609"/>
      <c r="JAN60" s="609"/>
      <c r="JAO60" s="609"/>
      <c r="JAP60" s="609"/>
      <c r="JAQ60" s="609"/>
      <c r="JAR60" s="609"/>
      <c r="JAS60" s="609"/>
      <c r="JAT60" s="609"/>
      <c r="JAU60" s="609"/>
      <c r="JAV60" s="609"/>
      <c r="JAW60" s="609"/>
      <c r="JAX60" s="609"/>
      <c r="JAY60" s="609"/>
      <c r="JAZ60" s="609"/>
      <c r="JBA60" s="609"/>
      <c r="JBB60" s="609"/>
      <c r="JBC60" s="609"/>
      <c r="JBD60" s="609"/>
      <c r="JBE60" s="609"/>
      <c r="JBF60" s="609"/>
      <c r="JBG60" s="609"/>
      <c r="JBH60" s="609"/>
      <c r="JBI60" s="609"/>
      <c r="JBJ60" s="609"/>
      <c r="JBK60" s="609"/>
      <c r="JBL60" s="609"/>
      <c r="JBM60" s="609"/>
      <c r="JBN60" s="609"/>
      <c r="JBO60" s="609"/>
      <c r="JBP60" s="609"/>
      <c r="JBQ60" s="609"/>
      <c r="JBR60" s="609"/>
      <c r="JBS60" s="609"/>
      <c r="JBT60" s="609"/>
      <c r="JBU60" s="609"/>
      <c r="JBV60" s="609"/>
      <c r="JBW60" s="609"/>
      <c r="JBX60" s="609"/>
      <c r="JBY60" s="609"/>
      <c r="JBZ60" s="609"/>
      <c r="JCA60" s="609"/>
      <c r="JCB60" s="609"/>
      <c r="JCC60" s="609"/>
      <c r="JCD60" s="609"/>
      <c r="JCE60" s="609"/>
      <c r="JCF60" s="609"/>
      <c r="JCG60" s="609"/>
      <c r="JCH60" s="609"/>
      <c r="JCI60" s="609"/>
      <c r="JCJ60" s="609"/>
      <c r="JCK60" s="609"/>
      <c r="JCL60" s="609"/>
      <c r="JCM60" s="609"/>
      <c r="JCN60" s="609"/>
      <c r="JCO60" s="609"/>
      <c r="JCP60" s="609"/>
      <c r="JCQ60" s="609"/>
      <c r="JCR60" s="609"/>
      <c r="JCS60" s="609"/>
      <c r="JCT60" s="609"/>
      <c r="JCU60" s="609"/>
      <c r="JCV60" s="609"/>
      <c r="JCW60" s="609"/>
      <c r="JCX60" s="609"/>
      <c r="JCY60" s="609"/>
      <c r="JCZ60" s="609"/>
      <c r="JDA60" s="609"/>
      <c r="JDB60" s="609"/>
      <c r="JDC60" s="609"/>
      <c r="JDD60" s="609"/>
      <c r="JDE60" s="609"/>
      <c r="JDF60" s="609"/>
      <c r="JDG60" s="609"/>
      <c r="JDH60" s="609"/>
      <c r="JDI60" s="609"/>
      <c r="JDJ60" s="609"/>
      <c r="JDK60" s="609"/>
      <c r="JDL60" s="609"/>
      <c r="JDM60" s="609"/>
      <c r="JDN60" s="609"/>
      <c r="JDO60" s="609"/>
      <c r="JDP60" s="609"/>
      <c r="JDQ60" s="609"/>
      <c r="JDR60" s="609"/>
      <c r="JDS60" s="609"/>
      <c r="JDT60" s="609"/>
      <c r="JDU60" s="609"/>
      <c r="JDV60" s="609"/>
      <c r="JDW60" s="609"/>
      <c r="JDX60" s="609"/>
      <c r="JDY60" s="609"/>
      <c r="JDZ60" s="609"/>
      <c r="JEA60" s="609"/>
      <c r="JEB60" s="609"/>
      <c r="JEC60" s="609"/>
      <c r="JED60" s="609"/>
      <c r="JEE60" s="609"/>
      <c r="JEF60" s="609"/>
      <c r="JEG60" s="609"/>
      <c r="JEH60" s="609"/>
      <c r="JEI60" s="609"/>
      <c r="JEJ60" s="609"/>
      <c r="JEK60" s="609"/>
      <c r="JEL60" s="609"/>
      <c r="JEM60" s="609"/>
      <c r="JEN60" s="609"/>
      <c r="JEO60" s="609"/>
      <c r="JEP60" s="609"/>
      <c r="JEQ60" s="609"/>
      <c r="JER60" s="609"/>
      <c r="JES60" s="609"/>
      <c r="JET60" s="609"/>
      <c r="JEU60" s="609"/>
      <c r="JEV60" s="609"/>
      <c r="JEW60" s="609"/>
      <c r="JEX60" s="609"/>
      <c r="JEY60" s="609"/>
      <c r="JEZ60" s="609"/>
      <c r="JFA60" s="609"/>
      <c r="JFB60" s="609"/>
      <c r="JFC60" s="609"/>
      <c r="JFD60" s="609"/>
      <c r="JFE60" s="609"/>
      <c r="JFF60" s="609"/>
      <c r="JFG60" s="609"/>
      <c r="JFH60" s="609"/>
      <c r="JFI60" s="609"/>
      <c r="JFJ60" s="609"/>
      <c r="JFK60" s="609"/>
      <c r="JFL60" s="609"/>
      <c r="JFM60" s="609"/>
      <c r="JFN60" s="609"/>
      <c r="JFO60" s="609"/>
      <c r="JFP60" s="609"/>
      <c r="JFQ60" s="609"/>
      <c r="JFR60" s="609"/>
      <c r="JFS60" s="609"/>
      <c r="JFT60" s="609"/>
      <c r="JFU60" s="609"/>
      <c r="JFV60" s="609"/>
      <c r="JFW60" s="609"/>
      <c r="JFX60" s="609"/>
      <c r="JFY60" s="609"/>
      <c r="JFZ60" s="609"/>
      <c r="JGA60" s="609"/>
      <c r="JGB60" s="609"/>
      <c r="JGC60" s="609"/>
      <c r="JGD60" s="609"/>
      <c r="JGE60" s="609"/>
      <c r="JGF60" s="609"/>
      <c r="JGG60" s="609"/>
      <c r="JGH60" s="609"/>
      <c r="JGI60" s="609"/>
      <c r="JGJ60" s="609"/>
      <c r="JGK60" s="609"/>
      <c r="JGL60" s="609"/>
      <c r="JGM60" s="609"/>
      <c r="JGN60" s="609"/>
      <c r="JGO60" s="609"/>
      <c r="JGP60" s="609"/>
      <c r="JGQ60" s="609"/>
      <c r="JGR60" s="609"/>
      <c r="JGS60" s="609"/>
      <c r="JGT60" s="609"/>
      <c r="JGU60" s="609"/>
      <c r="JGV60" s="609"/>
      <c r="JGW60" s="609"/>
      <c r="JGX60" s="609"/>
      <c r="JGY60" s="609"/>
      <c r="JGZ60" s="609"/>
      <c r="JHA60" s="609"/>
      <c r="JHB60" s="609"/>
      <c r="JHC60" s="609"/>
      <c r="JHD60" s="609"/>
      <c r="JHE60" s="609"/>
      <c r="JHF60" s="609"/>
      <c r="JHG60" s="609"/>
      <c r="JHH60" s="609"/>
      <c r="JHI60" s="609"/>
      <c r="JHJ60" s="609"/>
      <c r="JHK60" s="609"/>
      <c r="JHL60" s="609"/>
      <c r="JHM60" s="609"/>
      <c r="JHN60" s="609"/>
      <c r="JHO60" s="609"/>
      <c r="JHP60" s="609"/>
      <c r="JHQ60" s="609"/>
      <c r="JHR60" s="609"/>
      <c r="JHS60" s="609"/>
      <c r="JHT60" s="609"/>
      <c r="JHU60" s="609"/>
      <c r="JHV60" s="609"/>
      <c r="JHW60" s="609"/>
      <c r="JHX60" s="609"/>
      <c r="JHY60" s="609"/>
      <c r="JHZ60" s="609"/>
      <c r="JIA60" s="609"/>
      <c r="JIB60" s="609"/>
      <c r="JIC60" s="609"/>
      <c r="JID60" s="609"/>
      <c r="JIE60" s="609"/>
      <c r="JIF60" s="609"/>
      <c r="JIG60" s="609"/>
      <c r="JIH60" s="609"/>
      <c r="JII60" s="609"/>
      <c r="JIJ60" s="609"/>
      <c r="JIK60" s="609"/>
      <c r="JIL60" s="609"/>
      <c r="JIM60" s="609"/>
      <c r="JIN60" s="609"/>
      <c r="JIO60" s="609"/>
      <c r="JIP60" s="609"/>
      <c r="JIQ60" s="609"/>
      <c r="JIR60" s="609"/>
      <c r="JIS60" s="609"/>
      <c r="JIT60" s="609"/>
      <c r="JIU60" s="609"/>
      <c r="JIV60" s="609"/>
      <c r="JIW60" s="609"/>
      <c r="JIX60" s="609"/>
      <c r="JIY60" s="609"/>
      <c r="JIZ60" s="609"/>
      <c r="JJA60" s="609"/>
      <c r="JJB60" s="609"/>
      <c r="JJC60" s="609"/>
      <c r="JJD60" s="609"/>
      <c r="JJE60" s="609"/>
      <c r="JJF60" s="609"/>
      <c r="JJG60" s="609"/>
      <c r="JJH60" s="609"/>
      <c r="JJI60" s="609"/>
      <c r="JJJ60" s="609"/>
      <c r="JJK60" s="609"/>
      <c r="JJL60" s="609"/>
      <c r="JJM60" s="609"/>
      <c r="JJN60" s="609"/>
      <c r="JJO60" s="609"/>
      <c r="JJP60" s="609"/>
      <c r="JJQ60" s="609"/>
      <c r="JJR60" s="609"/>
      <c r="JJS60" s="609"/>
      <c r="JJT60" s="609"/>
      <c r="JJU60" s="609"/>
      <c r="JJV60" s="609"/>
      <c r="JJW60" s="609"/>
      <c r="JJX60" s="609"/>
      <c r="JJY60" s="609"/>
      <c r="JJZ60" s="609"/>
      <c r="JKA60" s="609"/>
      <c r="JKB60" s="609"/>
      <c r="JKC60" s="609"/>
      <c r="JKD60" s="609"/>
      <c r="JKE60" s="609"/>
      <c r="JKF60" s="609"/>
      <c r="JKG60" s="609"/>
      <c r="JKH60" s="609"/>
      <c r="JKI60" s="609"/>
      <c r="JKJ60" s="609"/>
      <c r="JKK60" s="609"/>
      <c r="JKL60" s="609"/>
      <c r="JKM60" s="609"/>
      <c r="JKN60" s="609"/>
      <c r="JKO60" s="609"/>
      <c r="JKP60" s="609"/>
      <c r="JKQ60" s="609"/>
      <c r="JKR60" s="609"/>
      <c r="JKS60" s="609"/>
      <c r="JKT60" s="609"/>
      <c r="JKU60" s="609"/>
      <c r="JKV60" s="609"/>
      <c r="JKW60" s="609"/>
      <c r="JKX60" s="609"/>
      <c r="JKY60" s="609"/>
      <c r="JKZ60" s="609"/>
      <c r="JLA60" s="609"/>
      <c r="JLB60" s="609"/>
      <c r="JLC60" s="609"/>
      <c r="JLD60" s="609"/>
      <c r="JLE60" s="609"/>
      <c r="JLF60" s="609"/>
      <c r="JLG60" s="609"/>
      <c r="JLH60" s="609"/>
      <c r="JLI60" s="609"/>
      <c r="JLJ60" s="609"/>
      <c r="JLK60" s="609"/>
      <c r="JLL60" s="609"/>
      <c r="JLM60" s="609"/>
      <c r="JLN60" s="609"/>
      <c r="JLO60" s="609"/>
      <c r="JLP60" s="609"/>
      <c r="JLQ60" s="609"/>
      <c r="JLR60" s="609"/>
      <c r="JLS60" s="609"/>
      <c r="JLT60" s="609"/>
      <c r="JLU60" s="609"/>
      <c r="JLV60" s="609"/>
      <c r="JLW60" s="609"/>
      <c r="JLX60" s="609"/>
      <c r="JLY60" s="609"/>
      <c r="JLZ60" s="609"/>
      <c r="JMA60" s="609"/>
      <c r="JMB60" s="609"/>
      <c r="JMC60" s="609"/>
      <c r="JMD60" s="609"/>
      <c r="JME60" s="609"/>
      <c r="JMF60" s="609"/>
      <c r="JMG60" s="609"/>
      <c r="JMH60" s="609"/>
      <c r="JMI60" s="609"/>
      <c r="JMJ60" s="609"/>
      <c r="JMK60" s="609"/>
      <c r="JML60" s="609"/>
      <c r="JMM60" s="609"/>
      <c r="JMN60" s="609"/>
      <c r="JMO60" s="609"/>
      <c r="JMP60" s="609"/>
      <c r="JMQ60" s="609"/>
      <c r="JMR60" s="609"/>
      <c r="JMS60" s="609"/>
      <c r="JMT60" s="609"/>
      <c r="JMU60" s="609"/>
      <c r="JMV60" s="609"/>
      <c r="JMW60" s="609"/>
      <c r="JMX60" s="609"/>
      <c r="JMY60" s="609"/>
      <c r="JMZ60" s="609"/>
      <c r="JNA60" s="609"/>
      <c r="JNB60" s="609"/>
      <c r="JNC60" s="609"/>
      <c r="JND60" s="609"/>
      <c r="JNE60" s="609"/>
      <c r="JNF60" s="609"/>
      <c r="JNG60" s="609"/>
      <c r="JNH60" s="609"/>
      <c r="JNI60" s="609"/>
      <c r="JNJ60" s="609"/>
      <c r="JNK60" s="609"/>
      <c r="JNL60" s="609"/>
      <c r="JNM60" s="609"/>
      <c r="JNN60" s="609"/>
      <c r="JNO60" s="609"/>
      <c r="JNP60" s="609"/>
      <c r="JNQ60" s="609"/>
      <c r="JNR60" s="609"/>
      <c r="JNS60" s="609"/>
      <c r="JNT60" s="609"/>
      <c r="JNU60" s="609"/>
      <c r="JNV60" s="609"/>
      <c r="JNW60" s="609"/>
      <c r="JNX60" s="609"/>
      <c r="JNY60" s="609"/>
      <c r="JNZ60" s="609"/>
      <c r="JOA60" s="609"/>
      <c r="JOB60" s="609"/>
      <c r="JOC60" s="609"/>
      <c r="JOD60" s="609"/>
      <c r="JOE60" s="609"/>
      <c r="JOF60" s="609"/>
      <c r="JOG60" s="609"/>
      <c r="JOH60" s="609"/>
      <c r="JOI60" s="609"/>
      <c r="JOJ60" s="609"/>
      <c r="JOK60" s="609"/>
      <c r="JOL60" s="609"/>
      <c r="JOM60" s="609"/>
      <c r="JON60" s="609"/>
      <c r="JOO60" s="609"/>
      <c r="JOP60" s="609"/>
      <c r="JOQ60" s="609"/>
      <c r="JOR60" s="609"/>
      <c r="JOS60" s="609"/>
      <c r="JOT60" s="609"/>
      <c r="JOU60" s="609"/>
      <c r="JOV60" s="609"/>
      <c r="JOW60" s="609"/>
      <c r="JOX60" s="609"/>
      <c r="JOY60" s="609"/>
      <c r="JOZ60" s="609"/>
      <c r="JPA60" s="609"/>
      <c r="JPB60" s="609"/>
      <c r="JPC60" s="609"/>
      <c r="JPD60" s="609"/>
      <c r="JPE60" s="609"/>
      <c r="JPF60" s="609"/>
      <c r="JPG60" s="609"/>
      <c r="JPH60" s="609"/>
      <c r="JPI60" s="609"/>
      <c r="JPJ60" s="609"/>
      <c r="JPK60" s="609"/>
      <c r="JPL60" s="609"/>
      <c r="JPM60" s="609"/>
      <c r="JPN60" s="609"/>
      <c r="JPO60" s="609"/>
      <c r="JPP60" s="609"/>
      <c r="JPQ60" s="609"/>
      <c r="JPR60" s="609"/>
      <c r="JPS60" s="609"/>
      <c r="JPT60" s="609"/>
      <c r="JPU60" s="609"/>
      <c r="JPV60" s="609"/>
      <c r="JPW60" s="609"/>
      <c r="JPX60" s="609"/>
      <c r="JPY60" s="609"/>
      <c r="JPZ60" s="609"/>
      <c r="JQA60" s="609"/>
      <c r="JQB60" s="609"/>
      <c r="JQC60" s="609"/>
      <c r="JQD60" s="609"/>
      <c r="JQE60" s="609"/>
      <c r="JQF60" s="609"/>
      <c r="JQG60" s="609"/>
      <c r="JQH60" s="609"/>
      <c r="JQI60" s="609"/>
      <c r="JQJ60" s="609"/>
      <c r="JQK60" s="609"/>
      <c r="JQL60" s="609"/>
      <c r="JQM60" s="609"/>
      <c r="JQN60" s="609"/>
      <c r="JQO60" s="609"/>
      <c r="JQP60" s="609"/>
      <c r="JQQ60" s="609"/>
      <c r="JQR60" s="609"/>
      <c r="JQS60" s="609"/>
      <c r="JQT60" s="609"/>
      <c r="JQU60" s="609"/>
      <c r="JQV60" s="609"/>
      <c r="JQW60" s="609"/>
      <c r="JQX60" s="609"/>
      <c r="JQY60" s="609"/>
      <c r="JQZ60" s="609"/>
      <c r="JRA60" s="609"/>
      <c r="JRB60" s="609"/>
      <c r="JRC60" s="609"/>
      <c r="JRD60" s="609"/>
      <c r="JRE60" s="609"/>
      <c r="JRF60" s="609"/>
      <c r="JRG60" s="609"/>
      <c r="JRH60" s="609"/>
      <c r="JRI60" s="609"/>
      <c r="JRJ60" s="609"/>
      <c r="JRK60" s="609"/>
      <c r="JRL60" s="609"/>
      <c r="JRM60" s="609"/>
      <c r="JRN60" s="609"/>
      <c r="JRO60" s="609"/>
      <c r="JRP60" s="609"/>
      <c r="JRQ60" s="609"/>
      <c r="JRR60" s="609"/>
      <c r="JRS60" s="609"/>
      <c r="JRT60" s="609"/>
      <c r="JRU60" s="609"/>
      <c r="JRV60" s="609"/>
      <c r="JRW60" s="609"/>
      <c r="JRX60" s="609"/>
      <c r="JRY60" s="609"/>
      <c r="JRZ60" s="609"/>
      <c r="JSA60" s="609"/>
      <c r="JSB60" s="609"/>
      <c r="JSC60" s="609"/>
      <c r="JSD60" s="609"/>
      <c r="JSE60" s="609"/>
      <c r="JSF60" s="609"/>
      <c r="JSG60" s="609"/>
      <c r="JSH60" s="609"/>
      <c r="JSI60" s="609"/>
      <c r="JSJ60" s="609"/>
      <c r="JSK60" s="609"/>
      <c r="JSL60" s="609"/>
      <c r="JSM60" s="609"/>
      <c r="JSN60" s="609"/>
      <c r="JSO60" s="609"/>
      <c r="JSP60" s="609"/>
      <c r="JSQ60" s="609"/>
      <c r="JSR60" s="609"/>
      <c r="JSS60" s="609"/>
      <c r="JST60" s="609"/>
      <c r="JSU60" s="609"/>
      <c r="JSV60" s="609"/>
      <c r="JSW60" s="609"/>
      <c r="JSX60" s="609"/>
      <c r="JSY60" s="609"/>
      <c r="JSZ60" s="609"/>
      <c r="JTA60" s="609"/>
      <c r="JTB60" s="609"/>
      <c r="JTC60" s="609"/>
      <c r="JTD60" s="609"/>
      <c r="JTE60" s="609"/>
      <c r="JTF60" s="609"/>
      <c r="JTG60" s="609"/>
      <c r="JTH60" s="609"/>
      <c r="JTI60" s="609"/>
      <c r="JTJ60" s="609"/>
      <c r="JTK60" s="609"/>
      <c r="JTL60" s="609"/>
      <c r="JTM60" s="609"/>
      <c r="JTN60" s="609"/>
      <c r="JTO60" s="609"/>
      <c r="JTP60" s="609"/>
      <c r="JTQ60" s="609"/>
      <c r="JTR60" s="609"/>
      <c r="JTS60" s="609"/>
      <c r="JTT60" s="609"/>
      <c r="JTU60" s="609"/>
      <c r="JTV60" s="609"/>
      <c r="JTW60" s="609"/>
      <c r="JTX60" s="609"/>
      <c r="JTY60" s="609"/>
      <c r="JTZ60" s="609"/>
      <c r="JUA60" s="609"/>
      <c r="JUB60" s="609"/>
      <c r="JUC60" s="609"/>
      <c r="JUD60" s="609"/>
      <c r="JUE60" s="609"/>
      <c r="JUF60" s="609"/>
      <c r="JUG60" s="609"/>
      <c r="JUH60" s="609"/>
      <c r="JUI60" s="609"/>
      <c r="JUJ60" s="609"/>
      <c r="JUK60" s="609"/>
      <c r="JUL60" s="609"/>
      <c r="JUM60" s="609"/>
      <c r="JUN60" s="609"/>
      <c r="JUO60" s="609"/>
      <c r="JUP60" s="609"/>
      <c r="JUQ60" s="609"/>
      <c r="JUR60" s="609"/>
      <c r="JUS60" s="609"/>
      <c r="JUT60" s="609"/>
      <c r="JUU60" s="609"/>
      <c r="JUV60" s="609"/>
      <c r="JUW60" s="609"/>
      <c r="JUX60" s="609"/>
      <c r="JUY60" s="609"/>
      <c r="JUZ60" s="609"/>
      <c r="JVA60" s="609"/>
      <c r="JVB60" s="609"/>
      <c r="JVC60" s="609"/>
      <c r="JVD60" s="609"/>
      <c r="JVE60" s="609"/>
      <c r="JVF60" s="609"/>
      <c r="JVG60" s="609"/>
      <c r="JVH60" s="609"/>
      <c r="JVI60" s="609"/>
      <c r="JVJ60" s="609"/>
      <c r="JVK60" s="609"/>
      <c r="JVL60" s="609"/>
      <c r="JVM60" s="609"/>
      <c r="JVN60" s="609"/>
      <c r="JVO60" s="609"/>
      <c r="JVP60" s="609"/>
      <c r="JVQ60" s="609"/>
      <c r="JVR60" s="609"/>
      <c r="JVS60" s="609"/>
      <c r="JVT60" s="609"/>
      <c r="JVU60" s="609"/>
      <c r="JVV60" s="609"/>
      <c r="JVW60" s="609"/>
      <c r="JVX60" s="609"/>
      <c r="JVY60" s="609"/>
      <c r="JVZ60" s="609"/>
      <c r="JWA60" s="609"/>
      <c r="JWB60" s="609"/>
      <c r="JWC60" s="609"/>
      <c r="JWD60" s="609"/>
      <c r="JWE60" s="609"/>
      <c r="JWF60" s="609"/>
      <c r="JWG60" s="609"/>
      <c r="JWH60" s="609"/>
      <c r="JWI60" s="609"/>
      <c r="JWJ60" s="609"/>
      <c r="JWK60" s="609"/>
      <c r="JWL60" s="609"/>
      <c r="JWM60" s="609"/>
      <c r="JWN60" s="609"/>
      <c r="JWO60" s="609"/>
      <c r="JWP60" s="609"/>
      <c r="JWQ60" s="609"/>
      <c r="JWR60" s="609"/>
      <c r="JWS60" s="609"/>
      <c r="JWT60" s="609"/>
      <c r="JWU60" s="609"/>
      <c r="JWV60" s="609"/>
      <c r="JWW60" s="609"/>
      <c r="JWX60" s="609"/>
      <c r="JWY60" s="609"/>
      <c r="JWZ60" s="609"/>
      <c r="JXA60" s="609"/>
      <c r="JXB60" s="609"/>
      <c r="JXC60" s="609"/>
      <c r="JXD60" s="609"/>
      <c r="JXE60" s="609"/>
      <c r="JXF60" s="609"/>
      <c r="JXG60" s="609"/>
      <c r="JXH60" s="609"/>
      <c r="JXI60" s="609"/>
      <c r="JXJ60" s="609"/>
      <c r="JXK60" s="609"/>
      <c r="JXL60" s="609"/>
      <c r="JXM60" s="609"/>
      <c r="JXN60" s="609"/>
      <c r="JXO60" s="609"/>
      <c r="JXP60" s="609"/>
      <c r="JXQ60" s="609"/>
      <c r="JXR60" s="609"/>
      <c r="JXS60" s="609"/>
      <c r="JXT60" s="609"/>
      <c r="JXU60" s="609"/>
      <c r="JXV60" s="609"/>
      <c r="JXW60" s="609"/>
      <c r="JXX60" s="609"/>
      <c r="JXY60" s="609"/>
      <c r="JXZ60" s="609"/>
      <c r="JYA60" s="609"/>
      <c r="JYB60" s="609"/>
      <c r="JYC60" s="609"/>
      <c r="JYD60" s="609"/>
      <c r="JYE60" s="609"/>
      <c r="JYF60" s="609"/>
      <c r="JYG60" s="609"/>
      <c r="JYH60" s="609"/>
      <c r="JYI60" s="609"/>
      <c r="JYJ60" s="609"/>
      <c r="JYK60" s="609"/>
      <c r="JYL60" s="609"/>
      <c r="JYM60" s="609"/>
      <c r="JYN60" s="609"/>
      <c r="JYO60" s="609"/>
      <c r="JYP60" s="609"/>
      <c r="JYQ60" s="609"/>
      <c r="JYR60" s="609"/>
      <c r="JYS60" s="609"/>
      <c r="JYT60" s="609"/>
      <c r="JYU60" s="609"/>
      <c r="JYV60" s="609"/>
      <c r="JYW60" s="609"/>
      <c r="JYX60" s="609"/>
      <c r="JYY60" s="609"/>
      <c r="JYZ60" s="609"/>
      <c r="JZA60" s="609"/>
      <c r="JZB60" s="609"/>
      <c r="JZC60" s="609"/>
      <c r="JZD60" s="609"/>
      <c r="JZE60" s="609"/>
      <c r="JZF60" s="609"/>
      <c r="JZG60" s="609"/>
      <c r="JZH60" s="609"/>
      <c r="JZI60" s="609"/>
      <c r="JZJ60" s="609"/>
      <c r="JZK60" s="609"/>
      <c r="JZL60" s="609"/>
      <c r="JZM60" s="609"/>
      <c r="JZN60" s="609"/>
      <c r="JZO60" s="609"/>
      <c r="JZP60" s="609"/>
      <c r="JZQ60" s="609"/>
      <c r="JZR60" s="609"/>
      <c r="JZS60" s="609"/>
      <c r="JZT60" s="609"/>
      <c r="JZU60" s="609"/>
      <c r="JZV60" s="609"/>
      <c r="JZW60" s="609"/>
      <c r="JZX60" s="609"/>
      <c r="JZY60" s="609"/>
      <c r="JZZ60" s="609"/>
      <c r="KAA60" s="609"/>
      <c r="KAB60" s="609"/>
      <c r="KAC60" s="609"/>
      <c r="KAD60" s="609"/>
      <c r="KAE60" s="609"/>
      <c r="KAF60" s="609"/>
      <c r="KAG60" s="609"/>
      <c r="KAH60" s="609"/>
      <c r="KAI60" s="609"/>
      <c r="KAJ60" s="609"/>
      <c r="KAK60" s="609"/>
      <c r="KAL60" s="609"/>
      <c r="KAM60" s="609"/>
      <c r="KAN60" s="609"/>
      <c r="KAO60" s="609"/>
      <c r="KAP60" s="609"/>
      <c r="KAQ60" s="609"/>
      <c r="KAR60" s="609"/>
      <c r="KAS60" s="609"/>
      <c r="KAT60" s="609"/>
      <c r="KAU60" s="609"/>
      <c r="KAV60" s="609"/>
      <c r="KAW60" s="609"/>
      <c r="KAX60" s="609"/>
      <c r="KAY60" s="609"/>
      <c r="KAZ60" s="609"/>
      <c r="KBA60" s="609"/>
      <c r="KBB60" s="609"/>
      <c r="KBC60" s="609"/>
      <c r="KBD60" s="609"/>
      <c r="KBE60" s="609"/>
      <c r="KBF60" s="609"/>
      <c r="KBG60" s="609"/>
      <c r="KBH60" s="609"/>
      <c r="KBI60" s="609"/>
      <c r="KBJ60" s="609"/>
      <c r="KBK60" s="609"/>
      <c r="KBL60" s="609"/>
      <c r="KBM60" s="609"/>
      <c r="KBN60" s="609"/>
      <c r="KBO60" s="609"/>
      <c r="KBP60" s="609"/>
      <c r="KBQ60" s="609"/>
      <c r="KBR60" s="609"/>
      <c r="KBS60" s="609"/>
      <c r="KBT60" s="609"/>
      <c r="KBU60" s="609"/>
      <c r="KBV60" s="609"/>
      <c r="KBW60" s="609"/>
      <c r="KBX60" s="609"/>
      <c r="KBY60" s="609"/>
      <c r="KBZ60" s="609"/>
      <c r="KCA60" s="609"/>
      <c r="KCB60" s="609"/>
      <c r="KCC60" s="609"/>
      <c r="KCD60" s="609"/>
      <c r="KCE60" s="609"/>
      <c r="KCF60" s="609"/>
      <c r="KCG60" s="609"/>
      <c r="KCH60" s="609"/>
      <c r="KCI60" s="609"/>
      <c r="KCJ60" s="609"/>
      <c r="KCK60" s="609"/>
      <c r="KCL60" s="609"/>
      <c r="KCM60" s="609"/>
      <c r="KCN60" s="609"/>
      <c r="KCO60" s="609"/>
      <c r="KCP60" s="609"/>
      <c r="KCQ60" s="609"/>
      <c r="KCR60" s="609"/>
      <c r="KCS60" s="609"/>
      <c r="KCT60" s="609"/>
      <c r="KCU60" s="609"/>
      <c r="KCV60" s="609"/>
      <c r="KCW60" s="609"/>
      <c r="KCX60" s="609"/>
      <c r="KCY60" s="609"/>
      <c r="KCZ60" s="609"/>
      <c r="KDA60" s="609"/>
      <c r="KDB60" s="609"/>
      <c r="KDC60" s="609"/>
      <c r="KDD60" s="609"/>
      <c r="KDE60" s="609"/>
      <c r="KDF60" s="609"/>
      <c r="KDG60" s="609"/>
      <c r="KDH60" s="609"/>
      <c r="KDI60" s="609"/>
      <c r="KDJ60" s="609"/>
      <c r="KDK60" s="609"/>
      <c r="KDL60" s="609"/>
      <c r="KDM60" s="609"/>
      <c r="KDN60" s="609"/>
      <c r="KDO60" s="609"/>
      <c r="KDP60" s="609"/>
      <c r="KDQ60" s="609"/>
      <c r="KDR60" s="609"/>
      <c r="KDS60" s="609"/>
      <c r="KDT60" s="609"/>
      <c r="KDU60" s="609"/>
      <c r="KDV60" s="609"/>
      <c r="KDW60" s="609"/>
      <c r="KDX60" s="609"/>
      <c r="KDY60" s="609"/>
      <c r="KDZ60" s="609"/>
      <c r="KEA60" s="609"/>
      <c r="KEB60" s="609"/>
      <c r="KEC60" s="609"/>
      <c r="KED60" s="609"/>
      <c r="KEE60" s="609"/>
      <c r="KEF60" s="609"/>
      <c r="KEG60" s="609"/>
      <c r="KEH60" s="609"/>
      <c r="KEI60" s="609"/>
      <c r="KEJ60" s="609"/>
      <c r="KEK60" s="609"/>
      <c r="KEL60" s="609"/>
      <c r="KEM60" s="609"/>
      <c r="KEN60" s="609"/>
      <c r="KEO60" s="609"/>
      <c r="KEP60" s="609"/>
      <c r="KEQ60" s="609"/>
      <c r="KER60" s="609"/>
      <c r="KES60" s="609"/>
      <c r="KET60" s="609"/>
      <c r="KEU60" s="609"/>
      <c r="KEV60" s="609"/>
      <c r="KEW60" s="609"/>
      <c r="KEX60" s="609"/>
      <c r="KEY60" s="609"/>
      <c r="KEZ60" s="609"/>
      <c r="KFA60" s="609"/>
      <c r="KFB60" s="609"/>
      <c r="KFC60" s="609"/>
      <c r="KFD60" s="609"/>
      <c r="KFE60" s="609"/>
      <c r="KFF60" s="609"/>
      <c r="KFG60" s="609"/>
      <c r="KFH60" s="609"/>
      <c r="KFI60" s="609"/>
      <c r="KFJ60" s="609"/>
      <c r="KFK60" s="609"/>
      <c r="KFL60" s="609"/>
      <c r="KFM60" s="609"/>
      <c r="KFN60" s="609"/>
      <c r="KFO60" s="609"/>
      <c r="KFP60" s="609"/>
      <c r="KFQ60" s="609"/>
      <c r="KFR60" s="609"/>
      <c r="KFS60" s="609"/>
      <c r="KFT60" s="609"/>
      <c r="KFU60" s="609"/>
      <c r="KFV60" s="609"/>
      <c r="KFW60" s="609"/>
      <c r="KFX60" s="609"/>
      <c r="KFY60" s="609"/>
      <c r="KFZ60" s="609"/>
      <c r="KGA60" s="609"/>
      <c r="KGB60" s="609"/>
      <c r="KGC60" s="609"/>
      <c r="KGD60" s="609"/>
      <c r="KGE60" s="609"/>
      <c r="KGF60" s="609"/>
      <c r="KGG60" s="609"/>
      <c r="KGH60" s="609"/>
      <c r="KGI60" s="609"/>
      <c r="KGJ60" s="609"/>
      <c r="KGK60" s="609"/>
      <c r="KGL60" s="609"/>
      <c r="KGM60" s="609"/>
      <c r="KGN60" s="609"/>
      <c r="KGO60" s="609"/>
      <c r="KGP60" s="609"/>
      <c r="KGQ60" s="609"/>
      <c r="KGR60" s="609"/>
      <c r="KGS60" s="609"/>
      <c r="KGT60" s="609"/>
      <c r="KGU60" s="609"/>
      <c r="KGV60" s="609"/>
      <c r="KGW60" s="609"/>
      <c r="KGX60" s="609"/>
      <c r="KGY60" s="609"/>
      <c r="KGZ60" s="609"/>
      <c r="KHA60" s="609"/>
      <c r="KHB60" s="609"/>
      <c r="KHC60" s="609"/>
      <c r="KHD60" s="609"/>
      <c r="KHE60" s="609"/>
      <c r="KHF60" s="609"/>
      <c r="KHG60" s="609"/>
      <c r="KHH60" s="609"/>
      <c r="KHI60" s="609"/>
      <c r="KHJ60" s="609"/>
      <c r="KHK60" s="609"/>
      <c r="KHL60" s="609"/>
      <c r="KHM60" s="609"/>
      <c r="KHN60" s="609"/>
      <c r="KHO60" s="609"/>
      <c r="KHP60" s="609"/>
      <c r="KHQ60" s="609"/>
      <c r="KHR60" s="609"/>
      <c r="KHS60" s="609"/>
      <c r="KHT60" s="609"/>
      <c r="KHU60" s="609"/>
      <c r="KHV60" s="609"/>
      <c r="KHW60" s="609"/>
      <c r="KHX60" s="609"/>
      <c r="KHY60" s="609"/>
      <c r="KHZ60" s="609"/>
      <c r="KIA60" s="609"/>
      <c r="KIB60" s="609"/>
      <c r="KIC60" s="609"/>
      <c r="KID60" s="609"/>
      <c r="KIE60" s="609"/>
      <c r="KIF60" s="609"/>
      <c r="KIG60" s="609"/>
      <c r="KIH60" s="609"/>
      <c r="KII60" s="609"/>
      <c r="KIJ60" s="609"/>
      <c r="KIK60" s="609"/>
      <c r="KIL60" s="609"/>
      <c r="KIM60" s="609"/>
      <c r="KIN60" s="609"/>
      <c r="KIO60" s="609"/>
      <c r="KIP60" s="609"/>
      <c r="KIQ60" s="609"/>
      <c r="KIR60" s="609"/>
      <c r="KIS60" s="609"/>
      <c r="KIT60" s="609"/>
      <c r="KIU60" s="609"/>
      <c r="KIV60" s="609"/>
      <c r="KIW60" s="609"/>
      <c r="KIX60" s="609"/>
      <c r="KIY60" s="609"/>
      <c r="KIZ60" s="609"/>
      <c r="KJA60" s="609"/>
      <c r="KJB60" s="609"/>
      <c r="KJC60" s="609"/>
      <c r="KJD60" s="609"/>
      <c r="KJE60" s="609"/>
      <c r="KJF60" s="609"/>
      <c r="KJG60" s="609"/>
      <c r="KJH60" s="609"/>
      <c r="KJI60" s="609"/>
      <c r="KJJ60" s="609"/>
      <c r="KJK60" s="609"/>
      <c r="KJL60" s="609"/>
      <c r="KJM60" s="609"/>
      <c r="KJN60" s="609"/>
      <c r="KJO60" s="609"/>
      <c r="KJP60" s="609"/>
      <c r="KJQ60" s="609"/>
      <c r="KJR60" s="609"/>
      <c r="KJS60" s="609"/>
      <c r="KJT60" s="609"/>
      <c r="KJU60" s="609"/>
      <c r="KJV60" s="609"/>
      <c r="KJW60" s="609"/>
      <c r="KJX60" s="609"/>
      <c r="KJY60" s="609"/>
      <c r="KJZ60" s="609"/>
      <c r="KKA60" s="609"/>
      <c r="KKB60" s="609"/>
      <c r="KKC60" s="609"/>
      <c r="KKD60" s="609"/>
      <c r="KKE60" s="609"/>
      <c r="KKF60" s="609"/>
      <c r="KKG60" s="609"/>
      <c r="KKH60" s="609"/>
      <c r="KKI60" s="609"/>
      <c r="KKJ60" s="609"/>
      <c r="KKK60" s="609"/>
      <c r="KKL60" s="609"/>
      <c r="KKM60" s="609"/>
      <c r="KKN60" s="609"/>
      <c r="KKO60" s="609"/>
      <c r="KKP60" s="609"/>
      <c r="KKQ60" s="609"/>
      <c r="KKR60" s="609"/>
      <c r="KKS60" s="609"/>
      <c r="KKT60" s="609"/>
      <c r="KKU60" s="609"/>
      <c r="KKV60" s="609"/>
      <c r="KKW60" s="609"/>
      <c r="KKX60" s="609"/>
      <c r="KKY60" s="609"/>
      <c r="KKZ60" s="609"/>
      <c r="KLA60" s="609"/>
      <c r="KLB60" s="609"/>
      <c r="KLC60" s="609"/>
      <c r="KLD60" s="609"/>
      <c r="KLE60" s="609"/>
      <c r="KLF60" s="609"/>
      <c r="KLG60" s="609"/>
      <c r="KLH60" s="609"/>
      <c r="KLI60" s="609"/>
      <c r="KLJ60" s="609"/>
      <c r="KLK60" s="609"/>
      <c r="KLL60" s="609"/>
      <c r="KLM60" s="609"/>
      <c r="KLN60" s="609"/>
      <c r="KLO60" s="609"/>
      <c r="KLP60" s="609"/>
      <c r="KLQ60" s="609"/>
      <c r="KLR60" s="609"/>
      <c r="KLS60" s="609"/>
      <c r="KLT60" s="609"/>
      <c r="KLU60" s="609"/>
      <c r="KLV60" s="609"/>
      <c r="KLW60" s="609"/>
      <c r="KLX60" s="609"/>
      <c r="KLY60" s="609"/>
      <c r="KLZ60" s="609"/>
      <c r="KMA60" s="609"/>
      <c r="KMB60" s="609"/>
      <c r="KMC60" s="609"/>
      <c r="KMD60" s="609"/>
      <c r="KME60" s="609"/>
      <c r="KMF60" s="609"/>
      <c r="KMG60" s="609"/>
      <c r="KMH60" s="609"/>
      <c r="KMI60" s="609"/>
      <c r="KMJ60" s="609"/>
      <c r="KMK60" s="609"/>
      <c r="KML60" s="609"/>
      <c r="KMM60" s="609"/>
      <c r="KMN60" s="609"/>
      <c r="KMO60" s="609"/>
      <c r="KMP60" s="609"/>
      <c r="KMQ60" s="609"/>
      <c r="KMR60" s="609"/>
      <c r="KMS60" s="609"/>
      <c r="KMT60" s="609"/>
      <c r="KMU60" s="609"/>
      <c r="KMV60" s="609"/>
      <c r="KMW60" s="609"/>
      <c r="KMX60" s="609"/>
      <c r="KMY60" s="609"/>
      <c r="KMZ60" s="609"/>
      <c r="KNA60" s="609"/>
      <c r="KNB60" s="609"/>
      <c r="KNC60" s="609"/>
      <c r="KND60" s="609"/>
      <c r="KNE60" s="609"/>
      <c r="KNF60" s="609"/>
      <c r="KNG60" s="609"/>
      <c r="KNH60" s="609"/>
      <c r="KNI60" s="609"/>
      <c r="KNJ60" s="609"/>
      <c r="KNK60" s="609"/>
      <c r="KNL60" s="609"/>
      <c r="KNM60" s="609"/>
      <c r="KNN60" s="609"/>
      <c r="KNO60" s="609"/>
      <c r="KNP60" s="609"/>
      <c r="KNQ60" s="609"/>
      <c r="KNR60" s="609"/>
      <c r="KNS60" s="609"/>
      <c r="KNT60" s="609"/>
      <c r="KNU60" s="609"/>
      <c r="KNV60" s="609"/>
      <c r="KNW60" s="609"/>
      <c r="KNX60" s="609"/>
      <c r="KNY60" s="609"/>
      <c r="KNZ60" s="609"/>
      <c r="KOA60" s="609"/>
      <c r="KOB60" s="609"/>
      <c r="KOC60" s="609"/>
      <c r="KOD60" s="609"/>
      <c r="KOE60" s="609"/>
      <c r="KOF60" s="609"/>
      <c r="KOG60" s="609"/>
      <c r="KOH60" s="609"/>
      <c r="KOI60" s="609"/>
      <c r="KOJ60" s="609"/>
      <c r="KOK60" s="609"/>
      <c r="KOL60" s="609"/>
      <c r="KOM60" s="609"/>
      <c r="KON60" s="609"/>
      <c r="KOO60" s="609"/>
      <c r="KOP60" s="609"/>
      <c r="KOQ60" s="609"/>
      <c r="KOR60" s="609"/>
      <c r="KOS60" s="609"/>
      <c r="KOT60" s="609"/>
      <c r="KOU60" s="609"/>
      <c r="KOV60" s="609"/>
      <c r="KOW60" s="609"/>
      <c r="KOX60" s="609"/>
      <c r="KOY60" s="609"/>
      <c r="KOZ60" s="609"/>
      <c r="KPA60" s="609"/>
      <c r="KPB60" s="609"/>
      <c r="KPC60" s="609"/>
      <c r="KPD60" s="609"/>
      <c r="KPE60" s="609"/>
      <c r="KPF60" s="609"/>
      <c r="KPG60" s="609"/>
      <c r="KPH60" s="609"/>
      <c r="KPI60" s="609"/>
      <c r="KPJ60" s="609"/>
      <c r="KPK60" s="609"/>
      <c r="KPL60" s="609"/>
      <c r="KPM60" s="609"/>
      <c r="KPN60" s="609"/>
      <c r="KPO60" s="609"/>
      <c r="KPP60" s="609"/>
      <c r="KPQ60" s="609"/>
      <c r="KPR60" s="609"/>
      <c r="KPS60" s="609"/>
      <c r="KPT60" s="609"/>
      <c r="KPU60" s="609"/>
      <c r="KPV60" s="609"/>
      <c r="KPW60" s="609"/>
      <c r="KPX60" s="609"/>
      <c r="KPY60" s="609"/>
      <c r="KPZ60" s="609"/>
      <c r="KQA60" s="609"/>
      <c r="KQB60" s="609"/>
      <c r="KQC60" s="609"/>
      <c r="KQD60" s="609"/>
      <c r="KQE60" s="609"/>
      <c r="KQF60" s="609"/>
      <c r="KQG60" s="609"/>
      <c r="KQH60" s="609"/>
      <c r="KQI60" s="609"/>
      <c r="KQJ60" s="609"/>
      <c r="KQK60" s="609"/>
      <c r="KQL60" s="609"/>
      <c r="KQM60" s="609"/>
      <c r="KQN60" s="609"/>
      <c r="KQO60" s="609"/>
      <c r="KQP60" s="609"/>
      <c r="KQQ60" s="609"/>
      <c r="KQR60" s="609"/>
      <c r="KQS60" s="609"/>
      <c r="KQT60" s="609"/>
      <c r="KQU60" s="609"/>
      <c r="KQV60" s="609"/>
      <c r="KQW60" s="609"/>
      <c r="KQX60" s="609"/>
      <c r="KQY60" s="609"/>
      <c r="KQZ60" s="609"/>
      <c r="KRA60" s="609"/>
      <c r="KRB60" s="609"/>
      <c r="KRC60" s="609"/>
      <c r="KRD60" s="609"/>
      <c r="KRE60" s="609"/>
      <c r="KRF60" s="609"/>
      <c r="KRG60" s="609"/>
      <c r="KRH60" s="609"/>
      <c r="KRI60" s="609"/>
      <c r="KRJ60" s="609"/>
      <c r="KRK60" s="609"/>
      <c r="KRL60" s="609"/>
      <c r="KRM60" s="609"/>
      <c r="KRN60" s="609"/>
      <c r="KRO60" s="609"/>
      <c r="KRP60" s="609"/>
      <c r="KRQ60" s="609"/>
      <c r="KRR60" s="609"/>
      <c r="KRS60" s="609"/>
      <c r="KRT60" s="609"/>
      <c r="KRU60" s="609"/>
      <c r="KRV60" s="609"/>
      <c r="KRW60" s="609"/>
      <c r="KRX60" s="609"/>
      <c r="KRY60" s="609"/>
      <c r="KRZ60" s="609"/>
      <c r="KSA60" s="609"/>
      <c r="KSB60" s="609"/>
      <c r="KSC60" s="609"/>
      <c r="KSD60" s="609"/>
      <c r="KSE60" s="609"/>
      <c r="KSF60" s="609"/>
      <c r="KSG60" s="609"/>
      <c r="KSH60" s="609"/>
      <c r="KSI60" s="609"/>
      <c r="KSJ60" s="609"/>
      <c r="KSK60" s="609"/>
      <c r="KSL60" s="609"/>
      <c r="KSM60" s="609"/>
      <c r="KSN60" s="609"/>
      <c r="KSO60" s="609"/>
      <c r="KSP60" s="609"/>
      <c r="KSQ60" s="609"/>
      <c r="KSR60" s="609"/>
      <c r="KSS60" s="609"/>
      <c r="KST60" s="609"/>
      <c r="KSU60" s="609"/>
      <c r="KSV60" s="609"/>
      <c r="KSW60" s="609"/>
      <c r="KSX60" s="609"/>
      <c r="KSY60" s="609"/>
      <c r="KSZ60" s="609"/>
      <c r="KTA60" s="609"/>
      <c r="KTB60" s="609"/>
      <c r="KTC60" s="609"/>
      <c r="KTD60" s="609"/>
      <c r="KTE60" s="609"/>
      <c r="KTF60" s="609"/>
      <c r="KTG60" s="609"/>
      <c r="KTH60" s="609"/>
      <c r="KTI60" s="609"/>
      <c r="KTJ60" s="609"/>
      <c r="KTK60" s="609"/>
      <c r="KTL60" s="609"/>
      <c r="KTM60" s="609"/>
      <c r="KTN60" s="609"/>
      <c r="KTO60" s="609"/>
      <c r="KTP60" s="609"/>
      <c r="KTQ60" s="609"/>
      <c r="KTR60" s="609"/>
      <c r="KTS60" s="609"/>
      <c r="KTT60" s="609"/>
      <c r="KTU60" s="609"/>
      <c r="KTV60" s="609"/>
      <c r="KTW60" s="609"/>
      <c r="KTX60" s="609"/>
      <c r="KTY60" s="609"/>
      <c r="KTZ60" s="609"/>
      <c r="KUA60" s="609"/>
      <c r="KUB60" s="609"/>
      <c r="KUC60" s="609"/>
      <c r="KUD60" s="609"/>
      <c r="KUE60" s="609"/>
      <c r="KUF60" s="609"/>
      <c r="KUG60" s="609"/>
      <c r="KUH60" s="609"/>
      <c r="KUI60" s="609"/>
      <c r="KUJ60" s="609"/>
      <c r="KUK60" s="609"/>
      <c r="KUL60" s="609"/>
      <c r="KUM60" s="609"/>
      <c r="KUN60" s="609"/>
      <c r="KUO60" s="609"/>
      <c r="KUP60" s="609"/>
      <c r="KUQ60" s="609"/>
      <c r="KUR60" s="609"/>
      <c r="KUS60" s="609"/>
      <c r="KUT60" s="609"/>
      <c r="KUU60" s="609"/>
      <c r="KUV60" s="609"/>
      <c r="KUW60" s="609"/>
      <c r="KUX60" s="609"/>
      <c r="KUY60" s="609"/>
      <c r="KUZ60" s="609"/>
      <c r="KVA60" s="609"/>
      <c r="KVB60" s="609"/>
      <c r="KVC60" s="609"/>
      <c r="KVD60" s="609"/>
      <c r="KVE60" s="609"/>
      <c r="KVF60" s="609"/>
      <c r="KVG60" s="609"/>
      <c r="KVH60" s="609"/>
      <c r="KVI60" s="609"/>
      <c r="KVJ60" s="609"/>
      <c r="KVK60" s="609"/>
      <c r="KVL60" s="609"/>
      <c r="KVM60" s="609"/>
      <c r="KVN60" s="609"/>
      <c r="KVO60" s="609"/>
      <c r="KVP60" s="609"/>
      <c r="KVQ60" s="609"/>
      <c r="KVR60" s="609"/>
      <c r="KVS60" s="609"/>
      <c r="KVT60" s="609"/>
      <c r="KVU60" s="609"/>
      <c r="KVV60" s="609"/>
      <c r="KVW60" s="609"/>
      <c r="KVX60" s="609"/>
      <c r="KVY60" s="609"/>
      <c r="KVZ60" s="609"/>
      <c r="KWA60" s="609"/>
      <c r="KWB60" s="609"/>
      <c r="KWC60" s="609"/>
      <c r="KWD60" s="609"/>
      <c r="KWE60" s="609"/>
      <c r="KWF60" s="609"/>
      <c r="KWG60" s="609"/>
      <c r="KWH60" s="609"/>
      <c r="KWI60" s="609"/>
      <c r="KWJ60" s="609"/>
      <c r="KWK60" s="609"/>
      <c r="KWL60" s="609"/>
      <c r="KWM60" s="609"/>
      <c r="KWN60" s="609"/>
      <c r="KWO60" s="609"/>
      <c r="KWP60" s="609"/>
      <c r="KWQ60" s="609"/>
      <c r="KWR60" s="609"/>
      <c r="KWS60" s="609"/>
      <c r="KWT60" s="609"/>
      <c r="KWU60" s="609"/>
      <c r="KWV60" s="609"/>
      <c r="KWW60" s="609"/>
      <c r="KWX60" s="609"/>
      <c r="KWY60" s="609"/>
      <c r="KWZ60" s="609"/>
      <c r="KXA60" s="609"/>
      <c r="KXB60" s="609"/>
      <c r="KXC60" s="609"/>
      <c r="KXD60" s="609"/>
      <c r="KXE60" s="609"/>
      <c r="KXF60" s="609"/>
      <c r="KXG60" s="609"/>
      <c r="KXH60" s="609"/>
      <c r="KXI60" s="609"/>
      <c r="KXJ60" s="609"/>
      <c r="KXK60" s="609"/>
      <c r="KXL60" s="609"/>
      <c r="KXM60" s="609"/>
      <c r="KXN60" s="609"/>
      <c r="KXO60" s="609"/>
      <c r="KXP60" s="609"/>
      <c r="KXQ60" s="609"/>
      <c r="KXR60" s="609"/>
      <c r="KXS60" s="609"/>
      <c r="KXT60" s="609"/>
      <c r="KXU60" s="609"/>
      <c r="KXV60" s="609"/>
      <c r="KXW60" s="609"/>
      <c r="KXX60" s="609"/>
      <c r="KXY60" s="609"/>
      <c r="KXZ60" s="609"/>
      <c r="KYA60" s="609"/>
      <c r="KYB60" s="609"/>
      <c r="KYC60" s="609"/>
      <c r="KYD60" s="609"/>
      <c r="KYE60" s="609"/>
      <c r="KYF60" s="609"/>
      <c r="KYG60" s="609"/>
      <c r="KYH60" s="609"/>
      <c r="KYI60" s="609"/>
      <c r="KYJ60" s="609"/>
      <c r="KYK60" s="609"/>
      <c r="KYL60" s="609"/>
      <c r="KYM60" s="609"/>
      <c r="KYN60" s="609"/>
      <c r="KYO60" s="609"/>
      <c r="KYP60" s="609"/>
      <c r="KYQ60" s="609"/>
      <c r="KYR60" s="609"/>
      <c r="KYS60" s="609"/>
      <c r="KYT60" s="609"/>
      <c r="KYU60" s="609"/>
      <c r="KYV60" s="609"/>
      <c r="KYW60" s="609"/>
      <c r="KYX60" s="609"/>
      <c r="KYY60" s="609"/>
      <c r="KYZ60" s="609"/>
      <c r="KZA60" s="609"/>
      <c r="KZB60" s="609"/>
      <c r="KZC60" s="609"/>
      <c r="KZD60" s="609"/>
      <c r="KZE60" s="609"/>
      <c r="KZF60" s="609"/>
      <c r="KZG60" s="609"/>
      <c r="KZH60" s="609"/>
      <c r="KZI60" s="609"/>
      <c r="KZJ60" s="609"/>
      <c r="KZK60" s="609"/>
      <c r="KZL60" s="609"/>
      <c r="KZM60" s="609"/>
      <c r="KZN60" s="609"/>
      <c r="KZO60" s="609"/>
      <c r="KZP60" s="609"/>
      <c r="KZQ60" s="609"/>
      <c r="KZR60" s="609"/>
      <c r="KZS60" s="609"/>
      <c r="KZT60" s="609"/>
      <c r="KZU60" s="609"/>
      <c r="KZV60" s="609"/>
      <c r="KZW60" s="609"/>
      <c r="KZX60" s="609"/>
      <c r="KZY60" s="609"/>
      <c r="KZZ60" s="609"/>
      <c r="LAA60" s="609"/>
      <c r="LAB60" s="609"/>
      <c r="LAC60" s="609"/>
      <c r="LAD60" s="609"/>
      <c r="LAE60" s="609"/>
      <c r="LAF60" s="609"/>
      <c r="LAG60" s="609"/>
      <c r="LAH60" s="609"/>
      <c r="LAI60" s="609"/>
      <c r="LAJ60" s="609"/>
      <c r="LAK60" s="609"/>
      <c r="LAL60" s="609"/>
      <c r="LAM60" s="609"/>
      <c r="LAN60" s="609"/>
      <c r="LAO60" s="609"/>
      <c r="LAP60" s="609"/>
      <c r="LAQ60" s="609"/>
      <c r="LAR60" s="609"/>
      <c r="LAS60" s="609"/>
      <c r="LAT60" s="609"/>
      <c r="LAU60" s="609"/>
      <c r="LAV60" s="609"/>
      <c r="LAW60" s="609"/>
      <c r="LAX60" s="609"/>
      <c r="LAY60" s="609"/>
      <c r="LAZ60" s="609"/>
      <c r="LBA60" s="609"/>
      <c r="LBB60" s="609"/>
      <c r="LBC60" s="609"/>
      <c r="LBD60" s="609"/>
      <c r="LBE60" s="609"/>
      <c r="LBF60" s="609"/>
      <c r="LBG60" s="609"/>
      <c r="LBH60" s="609"/>
      <c r="LBI60" s="609"/>
      <c r="LBJ60" s="609"/>
      <c r="LBK60" s="609"/>
      <c r="LBL60" s="609"/>
      <c r="LBM60" s="609"/>
      <c r="LBN60" s="609"/>
      <c r="LBO60" s="609"/>
      <c r="LBP60" s="609"/>
      <c r="LBQ60" s="609"/>
      <c r="LBR60" s="609"/>
      <c r="LBS60" s="609"/>
      <c r="LBT60" s="609"/>
      <c r="LBU60" s="609"/>
      <c r="LBV60" s="609"/>
      <c r="LBW60" s="609"/>
      <c r="LBX60" s="609"/>
      <c r="LBY60" s="609"/>
      <c r="LBZ60" s="609"/>
      <c r="LCA60" s="609"/>
      <c r="LCB60" s="609"/>
      <c r="LCC60" s="609"/>
      <c r="LCD60" s="609"/>
      <c r="LCE60" s="609"/>
      <c r="LCF60" s="609"/>
      <c r="LCG60" s="609"/>
      <c r="LCH60" s="609"/>
      <c r="LCI60" s="609"/>
      <c r="LCJ60" s="609"/>
      <c r="LCK60" s="609"/>
      <c r="LCL60" s="609"/>
      <c r="LCM60" s="609"/>
      <c r="LCN60" s="609"/>
      <c r="LCO60" s="609"/>
      <c r="LCP60" s="609"/>
      <c r="LCQ60" s="609"/>
      <c r="LCR60" s="609"/>
      <c r="LCS60" s="609"/>
      <c r="LCT60" s="609"/>
      <c r="LCU60" s="609"/>
      <c r="LCV60" s="609"/>
      <c r="LCW60" s="609"/>
      <c r="LCX60" s="609"/>
      <c r="LCY60" s="609"/>
      <c r="LCZ60" s="609"/>
      <c r="LDA60" s="609"/>
      <c r="LDB60" s="609"/>
      <c r="LDC60" s="609"/>
      <c r="LDD60" s="609"/>
      <c r="LDE60" s="609"/>
      <c r="LDF60" s="609"/>
      <c r="LDG60" s="609"/>
      <c r="LDH60" s="609"/>
      <c r="LDI60" s="609"/>
      <c r="LDJ60" s="609"/>
      <c r="LDK60" s="609"/>
      <c r="LDL60" s="609"/>
      <c r="LDM60" s="609"/>
      <c r="LDN60" s="609"/>
      <c r="LDO60" s="609"/>
      <c r="LDP60" s="609"/>
      <c r="LDQ60" s="609"/>
      <c r="LDR60" s="609"/>
      <c r="LDS60" s="609"/>
      <c r="LDT60" s="609"/>
      <c r="LDU60" s="609"/>
      <c r="LDV60" s="609"/>
      <c r="LDW60" s="609"/>
      <c r="LDX60" s="609"/>
      <c r="LDY60" s="609"/>
      <c r="LDZ60" s="609"/>
      <c r="LEA60" s="609"/>
      <c r="LEB60" s="609"/>
      <c r="LEC60" s="609"/>
      <c r="LED60" s="609"/>
      <c r="LEE60" s="609"/>
      <c r="LEF60" s="609"/>
      <c r="LEG60" s="609"/>
      <c r="LEH60" s="609"/>
      <c r="LEI60" s="609"/>
      <c r="LEJ60" s="609"/>
      <c r="LEK60" s="609"/>
      <c r="LEL60" s="609"/>
      <c r="LEM60" s="609"/>
      <c r="LEN60" s="609"/>
      <c r="LEO60" s="609"/>
      <c r="LEP60" s="609"/>
      <c r="LEQ60" s="609"/>
      <c r="LER60" s="609"/>
      <c r="LES60" s="609"/>
      <c r="LET60" s="609"/>
      <c r="LEU60" s="609"/>
      <c r="LEV60" s="609"/>
      <c r="LEW60" s="609"/>
      <c r="LEX60" s="609"/>
      <c r="LEY60" s="609"/>
      <c r="LEZ60" s="609"/>
      <c r="LFA60" s="609"/>
      <c r="LFB60" s="609"/>
      <c r="LFC60" s="609"/>
      <c r="LFD60" s="609"/>
      <c r="LFE60" s="609"/>
      <c r="LFF60" s="609"/>
      <c r="LFG60" s="609"/>
      <c r="LFH60" s="609"/>
      <c r="LFI60" s="609"/>
      <c r="LFJ60" s="609"/>
      <c r="LFK60" s="609"/>
      <c r="LFL60" s="609"/>
      <c r="LFM60" s="609"/>
      <c r="LFN60" s="609"/>
      <c r="LFO60" s="609"/>
      <c r="LFP60" s="609"/>
      <c r="LFQ60" s="609"/>
      <c r="LFR60" s="609"/>
      <c r="LFS60" s="609"/>
      <c r="LFT60" s="609"/>
      <c r="LFU60" s="609"/>
      <c r="LFV60" s="609"/>
      <c r="LFW60" s="609"/>
      <c r="LFX60" s="609"/>
      <c r="LFY60" s="609"/>
      <c r="LFZ60" s="609"/>
      <c r="LGA60" s="609"/>
      <c r="LGB60" s="609"/>
      <c r="LGC60" s="609"/>
      <c r="LGD60" s="609"/>
      <c r="LGE60" s="609"/>
      <c r="LGF60" s="609"/>
      <c r="LGG60" s="609"/>
      <c r="LGH60" s="609"/>
      <c r="LGI60" s="609"/>
      <c r="LGJ60" s="609"/>
      <c r="LGK60" s="609"/>
      <c r="LGL60" s="609"/>
      <c r="LGM60" s="609"/>
      <c r="LGN60" s="609"/>
      <c r="LGO60" s="609"/>
      <c r="LGP60" s="609"/>
      <c r="LGQ60" s="609"/>
      <c r="LGR60" s="609"/>
      <c r="LGS60" s="609"/>
      <c r="LGT60" s="609"/>
      <c r="LGU60" s="609"/>
      <c r="LGV60" s="609"/>
      <c r="LGW60" s="609"/>
      <c r="LGX60" s="609"/>
      <c r="LGY60" s="609"/>
      <c r="LGZ60" s="609"/>
      <c r="LHA60" s="609"/>
      <c r="LHB60" s="609"/>
      <c r="LHC60" s="609"/>
      <c r="LHD60" s="609"/>
      <c r="LHE60" s="609"/>
      <c r="LHF60" s="609"/>
      <c r="LHG60" s="609"/>
      <c r="LHH60" s="609"/>
      <c r="LHI60" s="609"/>
      <c r="LHJ60" s="609"/>
      <c r="LHK60" s="609"/>
      <c r="LHL60" s="609"/>
      <c r="LHM60" s="609"/>
      <c r="LHN60" s="609"/>
      <c r="LHO60" s="609"/>
      <c r="LHP60" s="609"/>
      <c r="LHQ60" s="609"/>
      <c r="LHR60" s="609"/>
      <c r="LHS60" s="609"/>
      <c r="LHT60" s="609"/>
      <c r="LHU60" s="609"/>
      <c r="LHV60" s="609"/>
      <c r="LHW60" s="609"/>
      <c r="LHX60" s="609"/>
      <c r="LHY60" s="609"/>
      <c r="LHZ60" s="609"/>
      <c r="LIA60" s="609"/>
      <c r="LIB60" s="609"/>
      <c r="LIC60" s="609"/>
      <c r="LID60" s="609"/>
      <c r="LIE60" s="609"/>
      <c r="LIF60" s="609"/>
      <c r="LIG60" s="609"/>
      <c r="LIH60" s="609"/>
      <c r="LII60" s="609"/>
      <c r="LIJ60" s="609"/>
      <c r="LIK60" s="609"/>
      <c r="LIL60" s="609"/>
      <c r="LIM60" s="609"/>
      <c r="LIN60" s="609"/>
      <c r="LIO60" s="609"/>
      <c r="LIP60" s="609"/>
      <c r="LIQ60" s="609"/>
      <c r="LIR60" s="609"/>
      <c r="LIS60" s="609"/>
      <c r="LIT60" s="609"/>
      <c r="LIU60" s="609"/>
      <c r="LIV60" s="609"/>
      <c r="LIW60" s="609"/>
      <c r="LIX60" s="609"/>
      <c r="LIY60" s="609"/>
      <c r="LIZ60" s="609"/>
      <c r="LJA60" s="609"/>
      <c r="LJB60" s="609"/>
      <c r="LJC60" s="609"/>
      <c r="LJD60" s="609"/>
      <c r="LJE60" s="609"/>
      <c r="LJF60" s="609"/>
      <c r="LJG60" s="609"/>
      <c r="LJH60" s="609"/>
      <c r="LJI60" s="609"/>
      <c r="LJJ60" s="609"/>
      <c r="LJK60" s="609"/>
      <c r="LJL60" s="609"/>
      <c r="LJM60" s="609"/>
      <c r="LJN60" s="609"/>
      <c r="LJO60" s="609"/>
      <c r="LJP60" s="609"/>
      <c r="LJQ60" s="609"/>
      <c r="LJR60" s="609"/>
      <c r="LJS60" s="609"/>
      <c r="LJT60" s="609"/>
      <c r="LJU60" s="609"/>
      <c r="LJV60" s="609"/>
      <c r="LJW60" s="609"/>
      <c r="LJX60" s="609"/>
      <c r="LJY60" s="609"/>
      <c r="LJZ60" s="609"/>
      <c r="LKA60" s="609"/>
      <c r="LKB60" s="609"/>
      <c r="LKC60" s="609"/>
      <c r="LKD60" s="609"/>
      <c r="LKE60" s="609"/>
      <c r="LKF60" s="609"/>
      <c r="LKG60" s="609"/>
      <c r="LKH60" s="609"/>
      <c r="LKI60" s="609"/>
      <c r="LKJ60" s="609"/>
      <c r="LKK60" s="609"/>
      <c r="LKL60" s="609"/>
      <c r="LKM60" s="609"/>
      <c r="LKN60" s="609"/>
      <c r="LKO60" s="609"/>
      <c r="LKP60" s="609"/>
      <c r="LKQ60" s="609"/>
      <c r="LKR60" s="609"/>
      <c r="LKS60" s="609"/>
      <c r="LKT60" s="609"/>
      <c r="LKU60" s="609"/>
      <c r="LKV60" s="609"/>
      <c r="LKW60" s="609"/>
      <c r="LKX60" s="609"/>
      <c r="LKY60" s="609"/>
      <c r="LKZ60" s="609"/>
      <c r="LLA60" s="609"/>
      <c r="LLB60" s="609"/>
      <c r="LLC60" s="609"/>
      <c r="LLD60" s="609"/>
      <c r="LLE60" s="609"/>
      <c r="LLF60" s="609"/>
      <c r="LLG60" s="609"/>
      <c r="LLH60" s="609"/>
      <c r="LLI60" s="609"/>
      <c r="LLJ60" s="609"/>
      <c r="LLK60" s="609"/>
      <c r="LLL60" s="609"/>
      <c r="LLM60" s="609"/>
      <c r="LLN60" s="609"/>
      <c r="LLO60" s="609"/>
      <c r="LLP60" s="609"/>
      <c r="LLQ60" s="609"/>
      <c r="LLR60" s="609"/>
      <c r="LLS60" s="609"/>
      <c r="LLT60" s="609"/>
      <c r="LLU60" s="609"/>
      <c r="LLV60" s="609"/>
      <c r="LLW60" s="609"/>
      <c r="LLX60" s="609"/>
      <c r="LLY60" s="609"/>
      <c r="LLZ60" s="609"/>
      <c r="LMA60" s="609"/>
      <c r="LMB60" s="609"/>
      <c r="LMC60" s="609"/>
      <c r="LMD60" s="609"/>
      <c r="LME60" s="609"/>
      <c r="LMF60" s="609"/>
      <c r="LMG60" s="609"/>
      <c r="LMH60" s="609"/>
      <c r="LMI60" s="609"/>
      <c r="LMJ60" s="609"/>
      <c r="LMK60" s="609"/>
      <c r="LML60" s="609"/>
      <c r="LMM60" s="609"/>
      <c r="LMN60" s="609"/>
      <c r="LMO60" s="609"/>
      <c r="LMP60" s="609"/>
      <c r="LMQ60" s="609"/>
      <c r="LMR60" s="609"/>
      <c r="LMS60" s="609"/>
      <c r="LMT60" s="609"/>
      <c r="LMU60" s="609"/>
      <c r="LMV60" s="609"/>
      <c r="LMW60" s="609"/>
      <c r="LMX60" s="609"/>
      <c r="LMY60" s="609"/>
      <c r="LMZ60" s="609"/>
      <c r="LNA60" s="609"/>
      <c r="LNB60" s="609"/>
      <c r="LNC60" s="609"/>
      <c r="LND60" s="609"/>
      <c r="LNE60" s="609"/>
      <c r="LNF60" s="609"/>
      <c r="LNG60" s="609"/>
      <c r="LNH60" s="609"/>
      <c r="LNI60" s="609"/>
      <c r="LNJ60" s="609"/>
      <c r="LNK60" s="609"/>
      <c r="LNL60" s="609"/>
      <c r="LNM60" s="609"/>
      <c r="LNN60" s="609"/>
      <c r="LNO60" s="609"/>
      <c r="LNP60" s="609"/>
      <c r="LNQ60" s="609"/>
      <c r="LNR60" s="609"/>
      <c r="LNS60" s="609"/>
      <c r="LNT60" s="609"/>
      <c r="LNU60" s="609"/>
      <c r="LNV60" s="609"/>
      <c r="LNW60" s="609"/>
      <c r="LNX60" s="609"/>
      <c r="LNY60" s="609"/>
      <c r="LNZ60" s="609"/>
      <c r="LOA60" s="609"/>
      <c r="LOB60" s="609"/>
      <c r="LOC60" s="609"/>
      <c r="LOD60" s="609"/>
      <c r="LOE60" s="609"/>
      <c r="LOF60" s="609"/>
      <c r="LOG60" s="609"/>
      <c r="LOH60" s="609"/>
      <c r="LOI60" s="609"/>
      <c r="LOJ60" s="609"/>
      <c r="LOK60" s="609"/>
      <c r="LOL60" s="609"/>
      <c r="LOM60" s="609"/>
      <c r="LON60" s="609"/>
      <c r="LOO60" s="609"/>
      <c r="LOP60" s="609"/>
      <c r="LOQ60" s="609"/>
      <c r="LOR60" s="609"/>
      <c r="LOS60" s="609"/>
      <c r="LOT60" s="609"/>
      <c r="LOU60" s="609"/>
      <c r="LOV60" s="609"/>
      <c r="LOW60" s="609"/>
      <c r="LOX60" s="609"/>
      <c r="LOY60" s="609"/>
      <c r="LOZ60" s="609"/>
      <c r="LPA60" s="609"/>
      <c r="LPB60" s="609"/>
      <c r="LPC60" s="609"/>
      <c r="LPD60" s="609"/>
      <c r="LPE60" s="609"/>
      <c r="LPF60" s="609"/>
      <c r="LPG60" s="609"/>
      <c r="LPH60" s="609"/>
      <c r="LPI60" s="609"/>
      <c r="LPJ60" s="609"/>
      <c r="LPK60" s="609"/>
      <c r="LPL60" s="609"/>
      <c r="LPM60" s="609"/>
      <c r="LPN60" s="609"/>
      <c r="LPO60" s="609"/>
      <c r="LPP60" s="609"/>
      <c r="LPQ60" s="609"/>
      <c r="LPR60" s="609"/>
      <c r="LPS60" s="609"/>
      <c r="LPT60" s="609"/>
      <c r="LPU60" s="609"/>
      <c r="LPV60" s="609"/>
      <c r="LPW60" s="609"/>
      <c r="LPX60" s="609"/>
      <c r="LPY60" s="609"/>
      <c r="LPZ60" s="609"/>
      <c r="LQA60" s="609"/>
      <c r="LQB60" s="609"/>
      <c r="LQC60" s="609"/>
      <c r="LQD60" s="609"/>
      <c r="LQE60" s="609"/>
      <c r="LQF60" s="609"/>
      <c r="LQG60" s="609"/>
      <c r="LQH60" s="609"/>
      <c r="LQI60" s="609"/>
      <c r="LQJ60" s="609"/>
      <c r="LQK60" s="609"/>
      <c r="LQL60" s="609"/>
      <c r="LQM60" s="609"/>
      <c r="LQN60" s="609"/>
      <c r="LQO60" s="609"/>
      <c r="LQP60" s="609"/>
      <c r="LQQ60" s="609"/>
      <c r="LQR60" s="609"/>
      <c r="LQS60" s="609"/>
      <c r="LQT60" s="609"/>
      <c r="LQU60" s="609"/>
      <c r="LQV60" s="609"/>
      <c r="LQW60" s="609"/>
      <c r="LQX60" s="609"/>
      <c r="LQY60" s="609"/>
      <c r="LQZ60" s="609"/>
      <c r="LRA60" s="609"/>
      <c r="LRB60" s="609"/>
      <c r="LRC60" s="609"/>
      <c r="LRD60" s="609"/>
      <c r="LRE60" s="609"/>
      <c r="LRF60" s="609"/>
      <c r="LRG60" s="609"/>
      <c r="LRH60" s="609"/>
      <c r="LRI60" s="609"/>
      <c r="LRJ60" s="609"/>
      <c r="LRK60" s="609"/>
      <c r="LRL60" s="609"/>
      <c r="LRM60" s="609"/>
      <c r="LRN60" s="609"/>
      <c r="LRO60" s="609"/>
      <c r="LRP60" s="609"/>
      <c r="LRQ60" s="609"/>
      <c r="LRR60" s="609"/>
      <c r="LRS60" s="609"/>
      <c r="LRT60" s="609"/>
      <c r="LRU60" s="609"/>
      <c r="LRV60" s="609"/>
      <c r="LRW60" s="609"/>
      <c r="LRX60" s="609"/>
      <c r="LRY60" s="609"/>
      <c r="LRZ60" s="609"/>
      <c r="LSA60" s="609"/>
      <c r="LSB60" s="609"/>
      <c r="LSC60" s="609"/>
      <c r="LSD60" s="609"/>
      <c r="LSE60" s="609"/>
      <c r="LSF60" s="609"/>
      <c r="LSG60" s="609"/>
      <c r="LSH60" s="609"/>
      <c r="LSI60" s="609"/>
      <c r="LSJ60" s="609"/>
      <c r="LSK60" s="609"/>
      <c r="LSL60" s="609"/>
      <c r="LSM60" s="609"/>
      <c r="LSN60" s="609"/>
      <c r="LSO60" s="609"/>
      <c r="LSP60" s="609"/>
      <c r="LSQ60" s="609"/>
      <c r="LSR60" s="609"/>
      <c r="LSS60" s="609"/>
      <c r="LST60" s="609"/>
      <c r="LSU60" s="609"/>
      <c r="LSV60" s="609"/>
      <c r="LSW60" s="609"/>
      <c r="LSX60" s="609"/>
      <c r="LSY60" s="609"/>
      <c r="LSZ60" s="609"/>
      <c r="LTA60" s="609"/>
      <c r="LTB60" s="609"/>
      <c r="LTC60" s="609"/>
      <c r="LTD60" s="609"/>
      <c r="LTE60" s="609"/>
      <c r="LTF60" s="609"/>
      <c r="LTG60" s="609"/>
      <c r="LTH60" s="609"/>
      <c r="LTI60" s="609"/>
      <c r="LTJ60" s="609"/>
      <c r="LTK60" s="609"/>
      <c r="LTL60" s="609"/>
      <c r="LTM60" s="609"/>
      <c r="LTN60" s="609"/>
      <c r="LTO60" s="609"/>
      <c r="LTP60" s="609"/>
      <c r="LTQ60" s="609"/>
      <c r="LTR60" s="609"/>
      <c r="LTS60" s="609"/>
      <c r="LTT60" s="609"/>
      <c r="LTU60" s="609"/>
      <c r="LTV60" s="609"/>
      <c r="LTW60" s="609"/>
      <c r="LTX60" s="609"/>
      <c r="LTY60" s="609"/>
      <c r="LTZ60" s="609"/>
      <c r="LUA60" s="609"/>
      <c r="LUB60" s="609"/>
      <c r="LUC60" s="609"/>
      <c r="LUD60" s="609"/>
      <c r="LUE60" s="609"/>
      <c r="LUF60" s="609"/>
      <c r="LUG60" s="609"/>
      <c r="LUH60" s="609"/>
      <c r="LUI60" s="609"/>
      <c r="LUJ60" s="609"/>
      <c r="LUK60" s="609"/>
      <c r="LUL60" s="609"/>
      <c r="LUM60" s="609"/>
      <c r="LUN60" s="609"/>
      <c r="LUO60" s="609"/>
      <c r="LUP60" s="609"/>
      <c r="LUQ60" s="609"/>
      <c r="LUR60" s="609"/>
      <c r="LUS60" s="609"/>
      <c r="LUT60" s="609"/>
      <c r="LUU60" s="609"/>
      <c r="LUV60" s="609"/>
      <c r="LUW60" s="609"/>
      <c r="LUX60" s="609"/>
      <c r="LUY60" s="609"/>
      <c r="LUZ60" s="609"/>
      <c r="LVA60" s="609"/>
      <c r="LVB60" s="609"/>
      <c r="LVC60" s="609"/>
      <c r="LVD60" s="609"/>
      <c r="LVE60" s="609"/>
      <c r="LVF60" s="609"/>
      <c r="LVG60" s="609"/>
      <c r="LVH60" s="609"/>
      <c r="LVI60" s="609"/>
      <c r="LVJ60" s="609"/>
      <c r="LVK60" s="609"/>
      <c r="LVL60" s="609"/>
      <c r="LVM60" s="609"/>
      <c r="LVN60" s="609"/>
      <c r="LVO60" s="609"/>
      <c r="LVP60" s="609"/>
      <c r="LVQ60" s="609"/>
      <c r="LVR60" s="609"/>
      <c r="LVS60" s="609"/>
      <c r="LVT60" s="609"/>
      <c r="LVU60" s="609"/>
      <c r="LVV60" s="609"/>
      <c r="LVW60" s="609"/>
      <c r="LVX60" s="609"/>
      <c r="LVY60" s="609"/>
      <c r="LVZ60" s="609"/>
      <c r="LWA60" s="609"/>
      <c r="LWB60" s="609"/>
      <c r="LWC60" s="609"/>
      <c r="LWD60" s="609"/>
      <c r="LWE60" s="609"/>
      <c r="LWF60" s="609"/>
      <c r="LWG60" s="609"/>
      <c r="LWH60" s="609"/>
      <c r="LWI60" s="609"/>
      <c r="LWJ60" s="609"/>
      <c r="LWK60" s="609"/>
      <c r="LWL60" s="609"/>
      <c r="LWM60" s="609"/>
      <c r="LWN60" s="609"/>
      <c r="LWO60" s="609"/>
      <c r="LWP60" s="609"/>
      <c r="LWQ60" s="609"/>
      <c r="LWR60" s="609"/>
      <c r="LWS60" s="609"/>
      <c r="LWT60" s="609"/>
      <c r="LWU60" s="609"/>
      <c r="LWV60" s="609"/>
      <c r="LWW60" s="609"/>
      <c r="LWX60" s="609"/>
      <c r="LWY60" s="609"/>
      <c r="LWZ60" s="609"/>
      <c r="LXA60" s="609"/>
      <c r="LXB60" s="609"/>
      <c r="LXC60" s="609"/>
      <c r="LXD60" s="609"/>
      <c r="LXE60" s="609"/>
      <c r="LXF60" s="609"/>
      <c r="LXG60" s="609"/>
      <c r="LXH60" s="609"/>
      <c r="LXI60" s="609"/>
      <c r="LXJ60" s="609"/>
      <c r="LXK60" s="609"/>
      <c r="LXL60" s="609"/>
      <c r="LXM60" s="609"/>
      <c r="LXN60" s="609"/>
      <c r="LXO60" s="609"/>
      <c r="LXP60" s="609"/>
      <c r="LXQ60" s="609"/>
      <c r="LXR60" s="609"/>
      <c r="LXS60" s="609"/>
      <c r="LXT60" s="609"/>
      <c r="LXU60" s="609"/>
      <c r="LXV60" s="609"/>
      <c r="LXW60" s="609"/>
      <c r="LXX60" s="609"/>
      <c r="LXY60" s="609"/>
      <c r="LXZ60" s="609"/>
      <c r="LYA60" s="609"/>
      <c r="LYB60" s="609"/>
      <c r="LYC60" s="609"/>
      <c r="LYD60" s="609"/>
      <c r="LYE60" s="609"/>
      <c r="LYF60" s="609"/>
      <c r="LYG60" s="609"/>
      <c r="LYH60" s="609"/>
      <c r="LYI60" s="609"/>
      <c r="LYJ60" s="609"/>
      <c r="LYK60" s="609"/>
      <c r="LYL60" s="609"/>
      <c r="LYM60" s="609"/>
      <c r="LYN60" s="609"/>
      <c r="LYO60" s="609"/>
      <c r="LYP60" s="609"/>
      <c r="LYQ60" s="609"/>
      <c r="LYR60" s="609"/>
      <c r="LYS60" s="609"/>
      <c r="LYT60" s="609"/>
      <c r="LYU60" s="609"/>
      <c r="LYV60" s="609"/>
      <c r="LYW60" s="609"/>
      <c r="LYX60" s="609"/>
      <c r="LYY60" s="609"/>
      <c r="LYZ60" s="609"/>
      <c r="LZA60" s="609"/>
      <c r="LZB60" s="609"/>
      <c r="LZC60" s="609"/>
      <c r="LZD60" s="609"/>
      <c r="LZE60" s="609"/>
      <c r="LZF60" s="609"/>
      <c r="LZG60" s="609"/>
      <c r="LZH60" s="609"/>
      <c r="LZI60" s="609"/>
      <c r="LZJ60" s="609"/>
      <c r="LZK60" s="609"/>
      <c r="LZL60" s="609"/>
      <c r="LZM60" s="609"/>
      <c r="LZN60" s="609"/>
      <c r="LZO60" s="609"/>
      <c r="LZP60" s="609"/>
      <c r="LZQ60" s="609"/>
      <c r="LZR60" s="609"/>
      <c r="LZS60" s="609"/>
      <c r="LZT60" s="609"/>
      <c r="LZU60" s="609"/>
      <c r="LZV60" s="609"/>
      <c r="LZW60" s="609"/>
      <c r="LZX60" s="609"/>
      <c r="LZY60" s="609"/>
      <c r="LZZ60" s="609"/>
      <c r="MAA60" s="609"/>
      <c r="MAB60" s="609"/>
      <c r="MAC60" s="609"/>
      <c r="MAD60" s="609"/>
      <c r="MAE60" s="609"/>
      <c r="MAF60" s="609"/>
      <c r="MAG60" s="609"/>
      <c r="MAH60" s="609"/>
      <c r="MAI60" s="609"/>
      <c r="MAJ60" s="609"/>
      <c r="MAK60" s="609"/>
      <c r="MAL60" s="609"/>
      <c r="MAM60" s="609"/>
      <c r="MAN60" s="609"/>
      <c r="MAO60" s="609"/>
      <c r="MAP60" s="609"/>
      <c r="MAQ60" s="609"/>
      <c r="MAR60" s="609"/>
      <c r="MAS60" s="609"/>
      <c r="MAT60" s="609"/>
      <c r="MAU60" s="609"/>
      <c r="MAV60" s="609"/>
      <c r="MAW60" s="609"/>
      <c r="MAX60" s="609"/>
      <c r="MAY60" s="609"/>
      <c r="MAZ60" s="609"/>
      <c r="MBA60" s="609"/>
      <c r="MBB60" s="609"/>
      <c r="MBC60" s="609"/>
      <c r="MBD60" s="609"/>
      <c r="MBE60" s="609"/>
      <c r="MBF60" s="609"/>
      <c r="MBG60" s="609"/>
      <c r="MBH60" s="609"/>
      <c r="MBI60" s="609"/>
      <c r="MBJ60" s="609"/>
      <c r="MBK60" s="609"/>
      <c r="MBL60" s="609"/>
      <c r="MBM60" s="609"/>
      <c r="MBN60" s="609"/>
      <c r="MBO60" s="609"/>
      <c r="MBP60" s="609"/>
      <c r="MBQ60" s="609"/>
      <c r="MBR60" s="609"/>
      <c r="MBS60" s="609"/>
      <c r="MBT60" s="609"/>
      <c r="MBU60" s="609"/>
      <c r="MBV60" s="609"/>
      <c r="MBW60" s="609"/>
      <c r="MBX60" s="609"/>
      <c r="MBY60" s="609"/>
      <c r="MBZ60" s="609"/>
      <c r="MCA60" s="609"/>
      <c r="MCB60" s="609"/>
      <c r="MCC60" s="609"/>
      <c r="MCD60" s="609"/>
      <c r="MCE60" s="609"/>
      <c r="MCF60" s="609"/>
      <c r="MCG60" s="609"/>
      <c r="MCH60" s="609"/>
      <c r="MCI60" s="609"/>
      <c r="MCJ60" s="609"/>
      <c r="MCK60" s="609"/>
      <c r="MCL60" s="609"/>
      <c r="MCM60" s="609"/>
      <c r="MCN60" s="609"/>
      <c r="MCO60" s="609"/>
      <c r="MCP60" s="609"/>
      <c r="MCQ60" s="609"/>
      <c r="MCR60" s="609"/>
      <c r="MCS60" s="609"/>
      <c r="MCT60" s="609"/>
      <c r="MCU60" s="609"/>
      <c r="MCV60" s="609"/>
      <c r="MCW60" s="609"/>
      <c r="MCX60" s="609"/>
      <c r="MCY60" s="609"/>
      <c r="MCZ60" s="609"/>
      <c r="MDA60" s="609"/>
      <c r="MDB60" s="609"/>
      <c r="MDC60" s="609"/>
      <c r="MDD60" s="609"/>
      <c r="MDE60" s="609"/>
      <c r="MDF60" s="609"/>
      <c r="MDG60" s="609"/>
      <c r="MDH60" s="609"/>
      <c r="MDI60" s="609"/>
      <c r="MDJ60" s="609"/>
      <c r="MDK60" s="609"/>
      <c r="MDL60" s="609"/>
      <c r="MDM60" s="609"/>
      <c r="MDN60" s="609"/>
      <c r="MDO60" s="609"/>
      <c r="MDP60" s="609"/>
      <c r="MDQ60" s="609"/>
      <c r="MDR60" s="609"/>
      <c r="MDS60" s="609"/>
      <c r="MDT60" s="609"/>
      <c r="MDU60" s="609"/>
      <c r="MDV60" s="609"/>
      <c r="MDW60" s="609"/>
      <c r="MDX60" s="609"/>
      <c r="MDY60" s="609"/>
      <c r="MDZ60" s="609"/>
      <c r="MEA60" s="609"/>
      <c r="MEB60" s="609"/>
      <c r="MEC60" s="609"/>
      <c r="MED60" s="609"/>
      <c r="MEE60" s="609"/>
      <c r="MEF60" s="609"/>
      <c r="MEG60" s="609"/>
      <c r="MEH60" s="609"/>
      <c r="MEI60" s="609"/>
      <c r="MEJ60" s="609"/>
      <c r="MEK60" s="609"/>
      <c r="MEL60" s="609"/>
      <c r="MEM60" s="609"/>
      <c r="MEN60" s="609"/>
      <c r="MEO60" s="609"/>
      <c r="MEP60" s="609"/>
      <c r="MEQ60" s="609"/>
      <c r="MER60" s="609"/>
      <c r="MES60" s="609"/>
      <c r="MET60" s="609"/>
      <c r="MEU60" s="609"/>
      <c r="MEV60" s="609"/>
      <c r="MEW60" s="609"/>
      <c r="MEX60" s="609"/>
      <c r="MEY60" s="609"/>
      <c r="MEZ60" s="609"/>
      <c r="MFA60" s="609"/>
      <c r="MFB60" s="609"/>
      <c r="MFC60" s="609"/>
      <c r="MFD60" s="609"/>
      <c r="MFE60" s="609"/>
      <c r="MFF60" s="609"/>
      <c r="MFG60" s="609"/>
      <c r="MFH60" s="609"/>
      <c r="MFI60" s="609"/>
      <c r="MFJ60" s="609"/>
      <c r="MFK60" s="609"/>
      <c r="MFL60" s="609"/>
      <c r="MFM60" s="609"/>
      <c r="MFN60" s="609"/>
      <c r="MFO60" s="609"/>
      <c r="MFP60" s="609"/>
      <c r="MFQ60" s="609"/>
      <c r="MFR60" s="609"/>
      <c r="MFS60" s="609"/>
      <c r="MFT60" s="609"/>
      <c r="MFU60" s="609"/>
      <c r="MFV60" s="609"/>
      <c r="MFW60" s="609"/>
      <c r="MFX60" s="609"/>
      <c r="MFY60" s="609"/>
      <c r="MFZ60" s="609"/>
      <c r="MGA60" s="609"/>
      <c r="MGB60" s="609"/>
      <c r="MGC60" s="609"/>
      <c r="MGD60" s="609"/>
      <c r="MGE60" s="609"/>
      <c r="MGF60" s="609"/>
      <c r="MGG60" s="609"/>
      <c r="MGH60" s="609"/>
      <c r="MGI60" s="609"/>
      <c r="MGJ60" s="609"/>
      <c r="MGK60" s="609"/>
      <c r="MGL60" s="609"/>
      <c r="MGM60" s="609"/>
      <c r="MGN60" s="609"/>
      <c r="MGO60" s="609"/>
      <c r="MGP60" s="609"/>
      <c r="MGQ60" s="609"/>
      <c r="MGR60" s="609"/>
      <c r="MGS60" s="609"/>
      <c r="MGT60" s="609"/>
      <c r="MGU60" s="609"/>
      <c r="MGV60" s="609"/>
      <c r="MGW60" s="609"/>
      <c r="MGX60" s="609"/>
      <c r="MGY60" s="609"/>
      <c r="MGZ60" s="609"/>
      <c r="MHA60" s="609"/>
      <c r="MHB60" s="609"/>
      <c r="MHC60" s="609"/>
      <c r="MHD60" s="609"/>
      <c r="MHE60" s="609"/>
      <c r="MHF60" s="609"/>
      <c r="MHG60" s="609"/>
      <c r="MHH60" s="609"/>
      <c r="MHI60" s="609"/>
      <c r="MHJ60" s="609"/>
      <c r="MHK60" s="609"/>
      <c r="MHL60" s="609"/>
      <c r="MHM60" s="609"/>
      <c r="MHN60" s="609"/>
      <c r="MHO60" s="609"/>
      <c r="MHP60" s="609"/>
      <c r="MHQ60" s="609"/>
      <c r="MHR60" s="609"/>
      <c r="MHS60" s="609"/>
      <c r="MHT60" s="609"/>
      <c r="MHU60" s="609"/>
      <c r="MHV60" s="609"/>
      <c r="MHW60" s="609"/>
      <c r="MHX60" s="609"/>
      <c r="MHY60" s="609"/>
      <c r="MHZ60" s="609"/>
      <c r="MIA60" s="609"/>
      <c r="MIB60" s="609"/>
      <c r="MIC60" s="609"/>
      <c r="MID60" s="609"/>
      <c r="MIE60" s="609"/>
      <c r="MIF60" s="609"/>
      <c r="MIG60" s="609"/>
      <c r="MIH60" s="609"/>
      <c r="MII60" s="609"/>
      <c r="MIJ60" s="609"/>
      <c r="MIK60" s="609"/>
      <c r="MIL60" s="609"/>
      <c r="MIM60" s="609"/>
      <c r="MIN60" s="609"/>
      <c r="MIO60" s="609"/>
      <c r="MIP60" s="609"/>
      <c r="MIQ60" s="609"/>
      <c r="MIR60" s="609"/>
      <c r="MIS60" s="609"/>
      <c r="MIT60" s="609"/>
      <c r="MIU60" s="609"/>
      <c r="MIV60" s="609"/>
      <c r="MIW60" s="609"/>
      <c r="MIX60" s="609"/>
      <c r="MIY60" s="609"/>
      <c r="MIZ60" s="609"/>
      <c r="MJA60" s="609"/>
      <c r="MJB60" s="609"/>
      <c r="MJC60" s="609"/>
      <c r="MJD60" s="609"/>
      <c r="MJE60" s="609"/>
      <c r="MJF60" s="609"/>
      <c r="MJG60" s="609"/>
      <c r="MJH60" s="609"/>
      <c r="MJI60" s="609"/>
      <c r="MJJ60" s="609"/>
      <c r="MJK60" s="609"/>
      <c r="MJL60" s="609"/>
      <c r="MJM60" s="609"/>
      <c r="MJN60" s="609"/>
      <c r="MJO60" s="609"/>
      <c r="MJP60" s="609"/>
      <c r="MJQ60" s="609"/>
      <c r="MJR60" s="609"/>
      <c r="MJS60" s="609"/>
      <c r="MJT60" s="609"/>
      <c r="MJU60" s="609"/>
      <c r="MJV60" s="609"/>
      <c r="MJW60" s="609"/>
      <c r="MJX60" s="609"/>
      <c r="MJY60" s="609"/>
      <c r="MJZ60" s="609"/>
      <c r="MKA60" s="609"/>
      <c r="MKB60" s="609"/>
      <c r="MKC60" s="609"/>
      <c r="MKD60" s="609"/>
      <c r="MKE60" s="609"/>
      <c r="MKF60" s="609"/>
      <c r="MKG60" s="609"/>
      <c r="MKH60" s="609"/>
      <c r="MKI60" s="609"/>
      <c r="MKJ60" s="609"/>
      <c r="MKK60" s="609"/>
      <c r="MKL60" s="609"/>
      <c r="MKM60" s="609"/>
      <c r="MKN60" s="609"/>
      <c r="MKO60" s="609"/>
      <c r="MKP60" s="609"/>
      <c r="MKQ60" s="609"/>
      <c r="MKR60" s="609"/>
      <c r="MKS60" s="609"/>
      <c r="MKT60" s="609"/>
      <c r="MKU60" s="609"/>
      <c r="MKV60" s="609"/>
      <c r="MKW60" s="609"/>
      <c r="MKX60" s="609"/>
      <c r="MKY60" s="609"/>
      <c r="MKZ60" s="609"/>
      <c r="MLA60" s="609"/>
      <c r="MLB60" s="609"/>
      <c r="MLC60" s="609"/>
      <c r="MLD60" s="609"/>
      <c r="MLE60" s="609"/>
      <c r="MLF60" s="609"/>
      <c r="MLG60" s="609"/>
      <c r="MLH60" s="609"/>
      <c r="MLI60" s="609"/>
      <c r="MLJ60" s="609"/>
      <c r="MLK60" s="609"/>
      <c r="MLL60" s="609"/>
      <c r="MLM60" s="609"/>
      <c r="MLN60" s="609"/>
      <c r="MLO60" s="609"/>
      <c r="MLP60" s="609"/>
      <c r="MLQ60" s="609"/>
      <c r="MLR60" s="609"/>
      <c r="MLS60" s="609"/>
      <c r="MLT60" s="609"/>
      <c r="MLU60" s="609"/>
      <c r="MLV60" s="609"/>
      <c r="MLW60" s="609"/>
      <c r="MLX60" s="609"/>
      <c r="MLY60" s="609"/>
      <c r="MLZ60" s="609"/>
      <c r="MMA60" s="609"/>
      <c r="MMB60" s="609"/>
      <c r="MMC60" s="609"/>
      <c r="MMD60" s="609"/>
      <c r="MME60" s="609"/>
      <c r="MMF60" s="609"/>
      <c r="MMG60" s="609"/>
      <c r="MMH60" s="609"/>
      <c r="MMI60" s="609"/>
      <c r="MMJ60" s="609"/>
      <c r="MMK60" s="609"/>
      <c r="MML60" s="609"/>
      <c r="MMM60" s="609"/>
      <c r="MMN60" s="609"/>
      <c r="MMO60" s="609"/>
      <c r="MMP60" s="609"/>
      <c r="MMQ60" s="609"/>
      <c r="MMR60" s="609"/>
      <c r="MMS60" s="609"/>
      <c r="MMT60" s="609"/>
      <c r="MMU60" s="609"/>
      <c r="MMV60" s="609"/>
      <c r="MMW60" s="609"/>
      <c r="MMX60" s="609"/>
      <c r="MMY60" s="609"/>
      <c r="MMZ60" s="609"/>
      <c r="MNA60" s="609"/>
      <c r="MNB60" s="609"/>
      <c r="MNC60" s="609"/>
      <c r="MND60" s="609"/>
      <c r="MNE60" s="609"/>
      <c r="MNF60" s="609"/>
      <c r="MNG60" s="609"/>
      <c r="MNH60" s="609"/>
      <c r="MNI60" s="609"/>
      <c r="MNJ60" s="609"/>
      <c r="MNK60" s="609"/>
      <c r="MNL60" s="609"/>
      <c r="MNM60" s="609"/>
      <c r="MNN60" s="609"/>
      <c r="MNO60" s="609"/>
      <c r="MNP60" s="609"/>
      <c r="MNQ60" s="609"/>
      <c r="MNR60" s="609"/>
      <c r="MNS60" s="609"/>
      <c r="MNT60" s="609"/>
      <c r="MNU60" s="609"/>
      <c r="MNV60" s="609"/>
      <c r="MNW60" s="609"/>
      <c r="MNX60" s="609"/>
      <c r="MNY60" s="609"/>
      <c r="MNZ60" s="609"/>
      <c r="MOA60" s="609"/>
      <c r="MOB60" s="609"/>
      <c r="MOC60" s="609"/>
      <c r="MOD60" s="609"/>
      <c r="MOE60" s="609"/>
      <c r="MOF60" s="609"/>
      <c r="MOG60" s="609"/>
      <c r="MOH60" s="609"/>
      <c r="MOI60" s="609"/>
      <c r="MOJ60" s="609"/>
      <c r="MOK60" s="609"/>
      <c r="MOL60" s="609"/>
      <c r="MOM60" s="609"/>
      <c r="MON60" s="609"/>
      <c r="MOO60" s="609"/>
      <c r="MOP60" s="609"/>
      <c r="MOQ60" s="609"/>
      <c r="MOR60" s="609"/>
      <c r="MOS60" s="609"/>
      <c r="MOT60" s="609"/>
      <c r="MOU60" s="609"/>
      <c r="MOV60" s="609"/>
      <c r="MOW60" s="609"/>
      <c r="MOX60" s="609"/>
      <c r="MOY60" s="609"/>
      <c r="MOZ60" s="609"/>
      <c r="MPA60" s="609"/>
      <c r="MPB60" s="609"/>
      <c r="MPC60" s="609"/>
      <c r="MPD60" s="609"/>
      <c r="MPE60" s="609"/>
      <c r="MPF60" s="609"/>
      <c r="MPG60" s="609"/>
      <c r="MPH60" s="609"/>
      <c r="MPI60" s="609"/>
      <c r="MPJ60" s="609"/>
      <c r="MPK60" s="609"/>
      <c r="MPL60" s="609"/>
      <c r="MPM60" s="609"/>
      <c r="MPN60" s="609"/>
      <c r="MPO60" s="609"/>
      <c r="MPP60" s="609"/>
      <c r="MPQ60" s="609"/>
      <c r="MPR60" s="609"/>
      <c r="MPS60" s="609"/>
      <c r="MPT60" s="609"/>
      <c r="MPU60" s="609"/>
      <c r="MPV60" s="609"/>
      <c r="MPW60" s="609"/>
      <c r="MPX60" s="609"/>
      <c r="MPY60" s="609"/>
      <c r="MPZ60" s="609"/>
      <c r="MQA60" s="609"/>
      <c r="MQB60" s="609"/>
      <c r="MQC60" s="609"/>
      <c r="MQD60" s="609"/>
      <c r="MQE60" s="609"/>
      <c r="MQF60" s="609"/>
      <c r="MQG60" s="609"/>
      <c r="MQH60" s="609"/>
      <c r="MQI60" s="609"/>
      <c r="MQJ60" s="609"/>
      <c r="MQK60" s="609"/>
      <c r="MQL60" s="609"/>
      <c r="MQM60" s="609"/>
      <c r="MQN60" s="609"/>
      <c r="MQO60" s="609"/>
      <c r="MQP60" s="609"/>
      <c r="MQQ60" s="609"/>
      <c r="MQR60" s="609"/>
      <c r="MQS60" s="609"/>
      <c r="MQT60" s="609"/>
      <c r="MQU60" s="609"/>
      <c r="MQV60" s="609"/>
      <c r="MQW60" s="609"/>
      <c r="MQX60" s="609"/>
      <c r="MQY60" s="609"/>
      <c r="MQZ60" s="609"/>
      <c r="MRA60" s="609"/>
      <c r="MRB60" s="609"/>
      <c r="MRC60" s="609"/>
      <c r="MRD60" s="609"/>
      <c r="MRE60" s="609"/>
      <c r="MRF60" s="609"/>
      <c r="MRG60" s="609"/>
      <c r="MRH60" s="609"/>
      <c r="MRI60" s="609"/>
      <c r="MRJ60" s="609"/>
      <c r="MRK60" s="609"/>
      <c r="MRL60" s="609"/>
      <c r="MRM60" s="609"/>
      <c r="MRN60" s="609"/>
      <c r="MRO60" s="609"/>
      <c r="MRP60" s="609"/>
      <c r="MRQ60" s="609"/>
      <c r="MRR60" s="609"/>
      <c r="MRS60" s="609"/>
      <c r="MRT60" s="609"/>
      <c r="MRU60" s="609"/>
      <c r="MRV60" s="609"/>
      <c r="MRW60" s="609"/>
      <c r="MRX60" s="609"/>
      <c r="MRY60" s="609"/>
      <c r="MRZ60" s="609"/>
      <c r="MSA60" s="609"/>
      <c r="MSB60" s="609"/>
      <c r="MSC60" s="609"/>
      <c r="MSD60" s="609"/>
      <c r="MSE60" s="609"/>
      <c r="MSF60" s="609"/>
      <c r="MSG60" s="609"/>
      <c r="MSH60" s="609"/>
      <c r="MSI60" s="609"/>
      <c r="MSJ60" s="609"/>
      <c r="MSK60" s="609"/>
      <c r="MSL60" s="609"/>
      <c r="MSM60" s="609"/>
      <c r="MSN60" s="609"/>
      <c r="MSO60" s="609"/>
      <c r="MSP60" s="609"/>
      <c r="MSQ60" s="609"/>
      <c r="MSR60" s="609"/>
      <c r="MSS60" s="609"/>
      <c r="MST60" s="609"/>
      <c r="MSU60" s="609"/>
      <c r="MSV60" s="609"/>
      <c r="MSW60" s="609"/>
      <c r="MSX60" s="609"/>
      <c r="MSY60" s="609"/>
      <c r="MSZ60" s="609"/>
      <c r="MTA60" s="609"/>
      <c r="MTB60" s="609"/>
      <c r="MTC60" s="609"/>
      <c r="MTD60" s="609"/>
      <c r="MTE60" s="609"/>
      <c r="MTF60" s="609"/>
      <c r="MTG60" s="609"/>
      <c r="MTH60" s="609"/>
      <c r="MTI60" s="609"/>
      <c r="MTJ60" s="609"/>
      <c r="MTK60" s="609"/>
      <c r="MTL60" s="609"/>
      <c r="MTM60" s="609"/>
      <c r="MTN60" s="609"/>
      <c r="MTO60" s="609"/>
      <c r="MTP60" s="609"/>
      <c r="MTQ60" s="609"/>
      <c r="MTR60" s="609"/>
      <c r="MTS60" s="609"/>
      <c r="MTT60" s="609"/>
      <c r="MTU60" s="609"/>
      <c r="MTV60" s="609"/>
      <c r="MTW60" s="609"/>
      <c r="MTX60" s="609"/>
      <c r="MTY60" s="609"/>
      <c r="MTZ60" s="609"/>
      <c r="MUA60" s="609"/>
      <c r="MUB60" s="609"/>
      <c r="MUC60" s="609"/>
      <c r="MUD60" s="609"/>
      <c r="MUE60" s="609"/>
      <c r="MUF60" s="609"/>
      <c r="MUG60" s="609"/>
      <c r="MUH60" s="609"/>
      <c r="MUI60" s="609"/>
      <c r="MUJ60" s="609"/>
      <c r="MUK60" s="609"/>
      <c r="MUL60" s="609"/>
      <c r="MUM60" s="609"/>
      <c r="MUN60" s="609"/>
      <c r="MUO60" s="609"/>
      <c r="MUP60" s="609"/>
      <c r="MUQ60" s="609"/>
      <c r="MUR60" s="609"/>
      <c r="MUS60" s="609"/>
      <c r="MUT60" s="609"/>
      <c r="MUU60" s="609"/>
      <c r="MUV60" s="609"/>
      <c r="MUW60" s="609"/>
      <c r="MUX60" s="609"/>
      <c r="MUY60" s="609"/>
      <c r="MUZ60" s="609"/>
      <c r="MVA60" s="609"/>
      <c r="MVB60" s="609"/>
      <c r="MVC60" s="609"/>
      <c r="MVD60" s="609"/>
      <c r="MVE60" s="609"/>
      <c r="MVF60" s="609"/>
      <c r="MVG60" s="609"/>
      <c r="MVH60" s="609"/>
      <c r="MVI60" s="609"/>
      <c r="MVJ60" s="609"/>
      <c r="MVK60" s="609"/>
      <c r="MVL60" s="609"/>
      <c r="MVM60" s="609"/>
      <c r="MVN60" s="609"/>
      <c r="MVO60" s="609"/>
      <c r="MVP60" s="609"/>
      <c r="MVQ60" s="609"/>
      <c r="MVR60" s="609"/>
      <c r="MVS60" s="609"/>
      <c r="MVT60" s="609"/>
      <c r="MVU60" s="609"/>
      <c r="MVV60" s="609"/>
      <c r="MVW60" s="609"/>
      <c r="MVX60" s="609"/>
      <c r="MVY60" s="609"/>
      <c r="MVZ60" s="609"/>
      <c r="MWA60" s="609"/>
      <c r="MWB60" s="609"/>
      <c r="MWC60" s="609"/>
      <c r="MWD60" s="609"/>
      <c r="MWE60" s="609"/>
      <c r="MWF60" s="609"/>
      <c r="MWG60" s="609"/>
      <c r="MWH60" s="609"/>
      <c r="MWI60" s="609"/>
      <c r="MWJ60" s="609"/>
      <c r="MWK60" s="609"/>
      <c r="MWL60" s="609"/>
      <c r="MWM60" s="609"/>
      <c r="MWN60" s="609"/>
      <c r="MWO60" s="609"/>
      <c r="MWP60" s="609"/>
      <c r="MWQ60" s="609"/>
      <c r="MWR60" s="609"/>
      <c r="MWS60" s="609"/>
      <c r="MWT60" s="609"/>
      <c r="MWU60" s="609"/>
      <c r="MWV60" s="609"/>
      <c r="MWW60" s="609"/>
      <c r="MWX60" s="609"/>
      <c r="MWY60" s="609"/>
      <c r="MWZ60" s="609"/>
      <c r="MXA60" s="609"/>
      <c r="MXB60" s="609"/>
      <c r="MXC60" s="609"/>
      <c r="MXD60" s="609"/>
      <c r="MXE60" s="609"/>
      <c r="MXF60" s="609"/>
      <c r="MXG60" s="609"/>
      <c r="MXH60" s="609"/>
      <c r="MXI60" s="609"/>
      <c r="MXJ60" s="609"/>
      <c r="MXK60" s="609"/>
      <c r="MXL60" s="609"/>
      <c r="MXM60" s="609"/>
      <c r="MXN60" s="609"/>
      <c r="MXO60" s="609"/>
      <c r="MXP60" s="609"/>
      <c r="MXQ60" s="609"/>
      <c r="MXR60" s="609"/>
      <c r="MXS60" s="609"/>
      <c r="MXT60" s="609"/>
      <c r="MXU60" s="609"/>
      <c r="MXV60" s="609"/>
      <c r="MXW60" s="609"/>
      <c r="MXX60" s="609"/>
      <c r="MXY60" s="609"/>
      <c r="MXZ60" s="609"/>
      <c r="MYA60" s="609"/>
      <c r="MYB60" s="609"/>
      <c r="MYC60" s="609"/>
      <c r="MYD60" s="609"/>
      <c r="MYE60" s="609"/>
      <c r="MYF60" s="609"/>
      <c r="MYG60" s="609"/>
      <c r="MYH60" s="609"/>
      <c r="MYI60" s="609"/>
      <c r="MYJ60" s="609"/>
      <c r="MYK60" s="609"/>
      <c r="MYL60" s="609"/>
      <c r="MYM60" s="609"/>
      <c r="MYN60" s="609"/>
      <c r="MYO60" s="609"/>
      <c r="MYP60" s="609"/>
      <c r="MYQ60" s="609"/>
      <c r="MYR60" s="609"/>
      <c r="MYS60" s="609"/>
      <c r="MYT60" s="609"/>
      <c r="MYU60" s="609"/>
      <c r="MYV60" s="609"/>
      <c r="MYW60" s="609"/>
      <c r="MYX60" s="609"/>
      <c r="MYY60" s="609"/>
      <c r="MYZ60" s="609"/>
      <c r="MZA60" s="609"/>
      <c r="MZB60" s="609"/>
      <c r="MZC60" s="609"/>
      <c r="MZD60" s="609"/>
      <c r="MZE60" s="609"/>
      <c r="MZF60" s="609"/>
      <c r="MZG60" s="609"/>
      <c r="MZH60" s="609"/>
      <c r="MZI60" s="609"/>
      <c r="MZJ60" s="609"/>
      <c r="MZK60" s="609"/>
      <c r="MZL60" s="609"/>
      <c r="MZM60" s="609"/>
      <c r="MZN60" s="609"/>
      <c r="MZO60" s="609"/>
      <c r="MZP60" s="609"/>
      <c r="MZQ60" s="609"/>
      <c r="MZR60" s="609"/>
      <c r="MZS60" s="609"/>
      <c r="MZT60" s="609"/>
      <c r="MZU60" s="609"/>
      <c r="MZV60" s="609"/>
      <c r="MZW60" s="609"/>
      <c r="MZX60" s="609"/>
      <c r="MZY60" s="609"/>
      <c r="MZZ60" s="609"/>
      <c r="NAA60" s="609"/>
      <c r="NAB60" s="609"/>
      <c r="NAC60" s="609"/>
      <c r="NAD60" s="609"/>
      <c r="NAE60" s="609"/>
      <c r="NAF60" s="609"/>
      <c r="NAG60" s="609"/>
      <c r="NAH60" s="609"/>
      <c r="NAI60" s="609"/>
      <c r="NAJ60" s="609"/>
      <c r="NAK60" s="609"/>
      <c r="NAL60" s="609"/>
      <c r="NAM60" s="609"/>
      <c r="NAN60" s="609"/>
      <c r="NAO60" s="609"/>
      <c r="NAP60" s="609"/>
      <c r="NAQ60" s="609"/>
      <c r="NAR60" s="609"/>
      <c r="NAS60" s="609"/>
      <c r="NAT60" s="609"/>
      <c r="NAU60" s="609"/>
      <c r="NAV60" s="609"/>
      <c r="NAW60" s="609"/>
      <c r="NAX60" s="609"/>
      <c r="NAY60" s="609"/>
      <c r="NAZ60" s="609"/>
      <c r="NBA60" s="609"/>
      <c r="NBB60" s="609"/>
      <c r="NBC60" s="609"/>
      <c r="NBD60" s="609"/>
      <c r="NBE60" s="609"/>
      <c r="NBF60" s="609"/>
      <c r="NBG60" s="609"/>
      <c r="NBH60" s="609"/>
      <c r="NBI60" s="609"/>
      <c r="NBJ60" s="609"/>
      <c r="NBK60" s="609"/>
      <c r="NBL60" s="609"/>
      <c r="NBM60" s="609"/>
      <c r="NBN60" s="609"/>
      <c r="NBO60" s="609"/>
      <c r="NBP60" s="609"/>
      <c r="NBQ60" s="609"/>
      <c r="NBR60" s="609"/>
      <c r="NBS60" s="609"/>
      <c r="NBT60" s="609"/>
      <c r="NBU60" s="609"/>
      <c r="NBV60" s="609"/>
      <c r="NBW60" s="609"/>
      <c r="NBX60" s="609"/>
      <c r="NBY60" s="609"/>
      <c r="NBZ60" s="609"/>
      <c r="NCA60" s="609"/>
      <c r="NCB60" s="609"/>
      <c r="NCC60" s="609"/>
      <c r="NCD60" s="609"/>
      <c r="NCE60" s="609"/>
      <c r="NCF60" s="609"/>
      <c r="NCG60" s="609"/>
      <c r="NCH60" s="609"/>
      <c r="NCI60" s="609"/>
      <c r="NCJ60" s="609"/>
      <c r="NCK60" s="609"/>
      <c r="NCL60" s="609"/>
      <c r="NCM60" s="609"/>
      <c r="NCN60" s="609"/>
      <c r="NCO60" s="609"/>
      <c r="NCP60" s="609"/>
      <c r="NCQ60" s="609"/>
      <c r="NCR60" s="609"/>
      <c r="NCS60" s="609"/>
      <c r="NCT60" s="609"/>
      <c r="NCU60" s="609"/>
      <c r="NCV60" s="609"/>
      <c r="NCW60" s="609"/>
      <c r="NCX60" s="609"/>
      <c r="NCY60" s="609"/>
      <c r="NCZ60" s="609"/>
      <c r="NDA60" s="609"/>
      <c r="NDB60" s="609"/>
      <c r="NDC60" s="609"/>
      <c r="NDD60" s="609"/>
      <c r="NDE60" s="609"/>
      <c r="NDF60" s="609"/>
      <c r="NDG60" s="609"/>
      <c r="NDH60" s="609"/>
      <c r="NDI60" s="609"/>
      <c r="NDJ60" s="609"/>
      <c r="NDK60" s="609"/>
      <c r="NDL60" s="609"/>
      <c r="NDM60" s="609"/>
      <c r="NDN60" s="609"/>
      <c r="NDO60" s="609"/>
      <c r="NDP60" s="609"/>
      <c r="NDQ60" s="609"/>
      <c r="NDR60" s="609"/>
      <c r="NDS60" s="609"/>
      <c r="NDT60" s="609"/>
      <c r="NDU60" s="609"/>
      <c r="NDV60" s="609"/>
      <c r="NDW60" s="609"/>
      <c r="NDX60" s="609"/>
      <c r="NDY60" s="609"/>
      <c r="NDZ60" s="609"/>
      <c r="NEA60" s="609"/>
      <c r="NEB60" s="609"/>
      <c r="NEC60" s="609"/>
      <c r="NED60" s="609"/>
      <c r="NEE60" s="609"/>
      <c r="NEF60" s="609"/>
      <c r="NEG60" s="609"/>
      <c r="NEH60" s="609"/>
      <c r="NEI60" s="609"/>
      <c r="NEJ60" s="609"/>
      <c r="NEK60" s="609"/>
      <c r="NEL60" s="609"/>
      <c r="NEM60" s="609"/>
      <c r="NEN60" s="609"/>
      <c r="NEO60" s="609"/>
      <c r="NEP60" s="609"/>
      <c r="NEQ60" s="609"/>
      <c r="NER60" s="609"/>
      <c r="NES60" s="609"/>
      <c r="NET60" s="609"/>
      <c r="NEU60" s="609"/>
      <c r="NEV60" s="609"/>
      <c r="NEW60" s="609"/>
      <c r="NEX60" s="609"/>
      <c r="NEY60" s="609"/>
      <c r="NEZ60" s="609"/>
      <c r="NFA60" s="609"/>
      <c r="NFB60" s="609"/>
      <c r="NFC60" s="609"/>
      <c r="NFD60" s="609"/>
      <c r="NFE60" s="609"/>
      <c r="NFF60" s="609"/>
      <c r="NFG60" s="609"/>
      <c r="NFH60" s="609"/>
      <c r="NFI60" s="609"/>
      <c r="NFJ60" s="609"/>
      <c r="NFK60" s="609"/>
      <c r="NFL60" s="609"/>
      <c r="NFM60" s="609"/>
      <c r="NFN60" s="609"/>
      <c r="NFO60" s="609"/>
      <c r="NFP60" s="609"/>
      <c r="NFQ60" s="609"/>
      <c r="NFR60" s="609"/>
      <c r="NFS60" s="609"/>
      <c r="NFT60" s="609"/>
      <c r="NFU60" s="609"/>
      <c r="NFV60" s="609"/>
      <c r="NFW60" s="609"/>
      <c r="NFX60" s="609"/>
      <c r="NFY60" s="609"/>
      <c r="NFZ60" s="609"/>
      <c r="NGA60" s="609"/>
      <c r="NGB60" s="609"/>
      <c r="NGC60" s="609"/>
      <c r="NGD60" s="609"/>
      <c r="NGE60" s="609"/>
      <c r="NGF60" s="609"/>
      <c r="NGG60" s="609"/>
      <c r="NGH60" s="609"/>
      <c r="NGI60" s="609"/>
      <c r="NGJ60" s="609"/>
      <c r="NGK60" s="609"/>
      <c r="NGL60" s="609"/>
      <c r="NGM60" s="609"/>
      <c r="NGN60" s="609"/>
      <c r="NGO60" s="609"/>
      <c r="NGP60" s="609"/>
      <c r="NGQ60" s="609"/>
      <c r="NGR60" s="609"/>
      <c r="NGS60" s="609"/>
      <c r="NGT60" s="609"/>
      <c r="NGU60" s="609"/>
      <c r="NGV60" s="609"/>
      <c r="NGW60" s="609"/>
      <c r="NGX60" s="609"/>
      <c r="NGY60" s="609"/>
      <c r="NGZ60" s="609"/>
      <c r="NHA60" s="609"/>
      <c r="NHB60" s="609"/>
      <c r="NHC60" s="609"/>
      <c r="NHD60" s="609"/>
      <c r="NHE60" s="609"/>
      <c r="NHF60" s="609"/>
      <c r="NHG60" s="609"/>
      <c r="NHH60" s="609"/>
      <c r="NHI60" s="609"/>
      <c r="NHJ60" s="609"/>
      <c r="NHK60" s="609"/>
      <c r="NHL60" s="609"/>
      <c r="NHM60" s="609"/>
      <c r="NHN60" s="609"/>
      <c r="NHO60" s="609"/>
      <c r="NHP60" s="609"/>
      <c r="NHQ60" s="609"/>
      <c r="NHR60" s="609"/>
      <c r="NHS60" s="609"/>
      <c r="NHT60" s="609"/>
      <c r="NHU60" s="609"/>
      <c r="NHV60" s="609"/>
      <c r="NHW60" s="609"/>
      <c r="NHX60" s="609"/>
      <c r="NHY60" s="609"/>
      <c r="NHZ60" s="609"/>
      <c r="NIA60" s="609"/>
      <c r="NIB60" s="609"/>
      <c r="NIC60" s="609"/>
      <c r="NID60" s="609"/>
      <c r="NIE60" s="609"/>
      <c r="NIF60" s="609"/>
      <c r="NIG60" s="609"/>
      <c r="NIH60" s="609"/>
      <c r="NII60" s="609"/>
      <c r="NIJ60" s="609"/>
      <c r="NIK60" s="609"/>
      <c r="NIL60" s="609"/>
      <c r="NIM60" s="609"/>
      <c r="NIN60" s="609"/>
      <c r="NIO60" s="609"/>
      <c r="NIP60" s="609"/>
      <c r="NIQ60" s="609"/>
      <c r="NIR60" s="609"/>
      <c r="NIS60" s="609"/>
      <c r="NIT60" s="609"/>
      <c r="NIU60" s="609"/>
      <c r="NIV60" s="609"/>
      <c r="NIW60" s="609"/>
      <c r="NIX60" s="609"/>
      <c r="NIY60" s="609"/>
      <c r="NIZ60" s="609"/>
      <c r="NJA60" s="609"/>
      <c r="NJB60" s="609"/>
      <c r="NJC60" s="609"/>
      <c r="NJD60" s="609"/>
      <c r="NJE60" s="609"/>
      <c r="NJF60" s="609"/>
      <c r="NJG60" s="609"/>
      <c r="NJH60" s="609"/>
      <c r="NJI60" s="609"/>
      <c r="NJJ60" s="609"/>
      <c r="NJK60" s="609"/>
      <c r="NJL60" s="609"/>
      <c r="NJM60" s="609"/>
      <c r="NJN60" s="609"/>
      <c r="NJO60" s="609"/>
      <c r="NJP60" s="609"/>
      <c r="NJQ60" s="609"/>
      <c r="NJR60" s="609"/>
      <c r="NJS60" s="609"/>
      <c r="NJT60" s="609"/>
      <c r="NJU60" s="609"/>
      <c r="NJV60" s="609"/>
      <c r="NJW60" s="609"/>
      <c r="NJX60" s="609"/>
      <c r="NJY60" s="609"/>
      <c r="NJZ60" s="609"/>
      <c r="NKA60" s="609"/>
      <c r="NKB60" s="609"/>
      <c r="NKC60" s="609"/>
      <c r="NKD60" s="609"/>
      <c r="NKE60" s="609"/>
      <c r="NKF60" s="609"/>
      <c r="NKG60" s="609"/>
      <c r="NKH60" s="609"/>
      <c r="NKI60" s="609"/>
      <c r="NKJ60" s="609"/>
      <c r="NKK60" s="609"/>
      <c r="NKL60" s="609"/>
      <c r="NKM60" s="609"/>
      <c r="NKN60" s="609"/>
      <c r="NKO60" s="609"/>
      <c r="NKP60" s="609"/>
      <c r="NKQ60" s="609"/>
      <c r="NKR60" s="609"/>
      <c r="NKS60" s="609"/>
      <c r="NKT60" s="609"/>
      <c r="NKU60" s="609"/>
      <c r="NKV60" s="609"/>
      <c r="NKW60" s="609"/>
      <c r="NKX60" s="609"/>
      <c r="NKY60" s="609"/>
      <c r="NKZ60" s="609"/>
      <c r="NLA60" s="609"/>
      <c r="NLB60" s="609"/>
      <c r="NLC60" s="609"/>
      <c r="NLD60" s="609"/>
      <c r="NLE60" s="609"/>
      <c r="NLF60" s="609"/>
      <c r="NLG60" s="609"/>
      <c r="NLH60" s="609"/>
      <c r="NLI60" s="609"/>
      <c r="NLJ60" s="609"/>
      <c r="NLK60" s="609"/>
      <c r="NLL60" s="609"/>
      <c r="NLM60" s="609"/>
      <c r="NLN60" s="609"/>
      <c r="NLO60" s="609"/>
      <c r="NLP60" s="609"/>
      <c r="NLQ60" s="609"/>
      <c r="NLR60" s="609"/>
      <c r="NLS60" s="609"/>
      <c r="NLT60" s="609"/>
      <c r="NLU60" s="609"/>
      <c r="NLV60" s="609"/>
      <c r="NLW60" s="609"/>
      <c r="NLX60" s="609"/>
      <c r="NLY60" s="609"/>
      <c r="NLZ60" s="609"/>
      <c r="NMA60" s="609"/>
      <c r="NMB60" s="609"/>
      <c r="NMC60" s="609"/>
      <c r="NMD60" s="609"/>
      <c r="NME60" s="609"/>
      <c r="NMF60" s="609"/>
      <c r="NMG60" s="609"/>
      <c r="NMH60" s="609"/>
      <c r="NMI60" s="609"/>
      <c r="NMJ60" s="609"/>
      <c r="NMK60" s="609"/>
      <c r="NML60" s="609"/>
      <c r="NMM60" s="609"/>
      <c r="NMN60" s="609"/>
      <c r="NMO60" s="609"/>
      <c r="NMP60" s="609"/>
      <c r="NMQ60" s="609"/>
      <c r="NMR60" s="609"/>
      <c r="NMS60" s="609"/>
      <c r="NMT60" s="609"/>
      <c r="NMU60" s="609"/>
      <c r="NMV60" s="609"/>
      <c r="NMW60" s="609"/>
      <c r="NMX60" s="609"/>
      <c r="NMY60" s="609"/>
      <c r="NMZ60" s="609"/>
      <c r="NNA60" s="609"/>
      <c r="NNB60" s="609"/>
      <c r="NNC60" s="609"/>
      <c r="NND60" s="609"/>
      <c r="NNE60" s="609"/>
      <c r="NNF60" s="609"/>
      <c r="NNG60" s="609"/>
      <c r="NNH60" s="609"/>
      <c r="NNI60" s="609"/>
      <c r="NNJ60" s="609"/>
      <c r="NNK60" s="609"/>
      <c r="NNL60" s="609"/>
      <c r="NNM60" s="609"/>
      <c r="NNN60" s="609"/>
      <c r="NNO60" s="609"/>
      <c r="NNP60" s="609"/>
      <c r="NNQ60" s="609"/>
      <c r="NNR60" s="609"/>
      <c r="NNS60" s="609"/>
      <c r="NNT60" s="609"/>
      <c r="NNU60" s="609"/>
      <c r="NNV60" s="609"/>
      <c r="NNW60" s="609"/>
      <c r="NNX60" s="609"/>
      <c r="NNY60" s="609"/>
      <c r="NNZ60" s="609"/>
      <c r="NOA60" s="609"/>
      <c r="NOB60" s="609"/>
      <c r="NOC60" s="609"/>
      <c r="NOD60" s="609"/>
      <c r="NOE60" s="609"/>
      <c r="NOF60" s="609"/>
      <c r="NOG60" s="609"/>
      <c r="NOH60" s="609"/>
      <c r="NOI60" s="609"/>
      <c r="NOJ60" s="609"/>
      <c r="NOK60" s="609"/>
      <c r="NOL60" s="609"/>
      <c r="NOM60" s="609"/>
      <c r="NON60" s="609"/>
      <c r="NOO60" s="609"/>
      <c r="NOP60" s="609"/>
      <c r="NOQ60" s="609"/>
      <c r="NOR60" s="609"/>
      <c r="NOS60" s="609"/>
      <c r="NOT60" s="609"/>
      <c r="NOU60" s="609"/>
      <c r="NOV60" s="609"/>
      <c r="NOW60" s="609"/>
      <c r="NOX60" s="609"/>
      <c r="NOY60" s="609"/>
      <c r="NOZ60" s="609"/>
      <c r="NPA60" s="609"/>
      <c r="NPB60" s="609"/>
      <c r="NPC60" s="609"/>
      <c r="NPD60" s="609"/>
      <c r="NPE60" s="609"/>
      <c r="NPF60" s="609"/>
      <c r="NPG60" s="609"/>
      <c r="NPH60" s="609"/>
      <c r="NPI60" s="609"/>
      <c r="NPJ60" s="609"/>
      <c r="NPK60" s="609"/>
      <c r="NPL60" s="609"/>
      <c r="NPM60" s="609"/>
      <c r="NPN60" s="609"/>
      <c r="NPO60" s="609"/>
      <c r="NPP60" s="609"/>
      <c r="NPQ60" s="609"/>
      <c r="NPR60" s="609"/>
      <c r="NPS60" s="609"/>
      <c r="NPT60" s="609"/>
      <c r="NPU60" s="609"/>
      <c r="NPV60" s="609"/>
      <c r="NPW60" s="609"/>
      <c r="NPX60" s="609"/>
      <c r="NPY60" s="609"/>
      <c r="NPZ60" s="609"/>
      <c r="NQA60" s="609"/>
      <c r="NQB60" s="609"/>
      <c r="NQC60" s="609"/>
      <c r="NQD60" s="609"/>
      <c r="NQE60" s="609"/>
      <c r="NQF60" s="609"/>
      <c r="NQG60" s="609"/>
      <c r="NQH60" s="609"/>
      <c r="NQI60" s="609"/>
      <c r="NQJ60" s="609"/>
      <c r="NQK60" s="609"/>
      <c r="NQL60" s="609"/>
      <c r="NQM60" s="609"/>
      <c r="NQN60" s="609"/>
      <c r="NQO60" s="609"/>
      <c r="NQP60" s="609"/>
      <c r="NQQ60" s="609"/>
      <c r="NQR60" s="609"/>
      <c r="NQS60" s="609"/>
      <c r="NQT60" s="609"/>
      <c r="NQU60" s="609"/>
      <c r="NQV60" s="609"/>
      <c r="NQW60" s="609"/>
      <c r="NQX60" s="609"/>
      <c r="NQY60" s="609"/>
      <c r="NQZ60" s="609"/>
      <c r="NRA60" s="609"/>
      <c r="NRB60" s="609"/>
      <c r="NRC60" s="609"/>
      <c r="NRD60" s="609"/>
      <c r="NRE60" s="609"/>
      <c r="NRF60" s="609"/>
      <c r="NRG60" s="609"/>
      <c r="NRH60" s="609"/>
      <c r="NRI60" s="609"/>
      <c r="NRJ60" s="609"/>
      <c r="NRK60" s="609"/>
      <c r="NRL60" s="609"/>
      <c r="NRM60" s="609"/>
      <c r="NRN60" s="609"/>
      <c r="NRO60" s="609"/>
      <c r="NRP60" s="609"/>
      <c r="NRQ60" s="609"/>
      <c r="NRR60" s="609"/>
      <c r="NRS60" s="609"/>
      <c r="NRT60" s="609"/>
      <c r="NRU60" s="609"/>
      <c r="NRV60" s="609"/>
      <c r="NRW60" s="609"/>
      <c r="NRX60" s="609"/>
      <c r="NRY60" s="609"/>
      <c r="NRZ60" s="609"/>
      <c r="NSA60" s="609"/>
      <c r="NSB60" s="609"/>
      <c r="NSC60" s="609"/>
      <c r="NSD60" s="609"/>
      <c r="NSE60" s="609"/>
      <c r="NSF60" s="609"/>
      <c r="NSG60" s="609"/>
      <c r="NSH60" s="609"/>
      <c r="NSI60" s="609"/>
      <c r="NSJ60" s="609"/>
      <c r="NSK60" s="609"/>
      <c r="NSL60" s="609"/>
      <c r="NSM60" s="609"/>
      <c r="NSN60" s="609"/>
      <c r="NSO60" s="609"/>
      <c r="NSP60" s="609"/>
      <c r="NSQ60" s="609"/>
      <c r="NSR60" s="609"/>
      <c r="NSS60" s="609"/>
      <c r="NST60" s="609"/>
      <c r="NSU60" s="609"/>
      <c r="NSV60" s="609"/>
      <c r="NSW60" s="609"/>
      <c r="NSX60" s="609"/>
      <c r="NSY60" s="609"/>
      <c r="NSZ60" s="609"/>
      <c r="NTA60" s="609"/>
      <c r="NTB60" s="609"/>
      <c r="NTC60" s="609"/>
      <c r="NTD60" s="609"/>
      <c r="NTE60" s="609"/>
      <c r="NTF60" s="609"/>
      <c r="NTG60" s="609"/>
      <c r="NTH60" s="609"/>
      <c r="NTI60" s="609"/>
      <c r="NTJ60" s="609"/>
      <c r="NTK60" s="609"/>
      <c r="NTL60" s="609"/>
      <c r="NTM60" s="609"/>
      <c r="NTN60" s="609"/>
      <c r="NTO60" s="609"/>
      <c r="NTP60" s="609"/>
      <c r="NTQ60" s="609"/>
      <c r="NTR60" s="609"/>
      <c r="NTS60" s="609"/>
      <c r="NTT60" s="609"/>
      <c r="NTU60" s="609"/>
      <c r="NTV60" s="609"/>
      <c r="NTW60" s="609"/>
      <c r="NTX60" s="609"/>
      <c r="NTY60" s="609"/>
      <c r="NTZ60" s="609"/>
      <c r="NUA60" s="609"/>
      <c r="NUB60" s="609"/>
      <c r="NUC60" s="609"/>
      <c r="NUD60" s="609"/>
      <c r="NUE60" s="609"/>
      <c r="NUF60" s="609"/>
      <c r="NUG60" s="609"/>
      <c r="NUH60" s="609"/>
      <c r="NUI60" s="609"/>
      <c r="NUJ60" s="609"/>
      <c r="NUK60" s="609"/>
      <c r="NUL60" s="609"/>
      <c r="NUM60" s="609"/>
      <c r="NUN60" s="609"/>
      <c r="NUO60" s="609"/>
      <c r="NUP60" s="609"/>
      <c r="NUQ60" s="609"/>
      <c r="NUR60" s="609"/>
      <c r="NUS60" s="609"/>
      <c r="NUT60" s="609"/>
      <c r="NUU60" s="609"/>
      <c r="NUV60" s="609"/>
      <c r="NUW60" s="609"/>
      <c r="NUX60" s="609"/>
      <c r="NUY60" s="609"/>
      <c r="NUZ60" s="609"/>
      <c r="NVA60" s="609"/>
      <c r="NVB60" s="609"/>
      <c r="NVC60" s="609"/>
      <c r="NVD60" s="609"/>
      <c r="NVE60" s="609"/>
      <c r="NVF60" s="609"/>
      <c r="NVG60" s="609"/>
      <c r="NVH60" s="609"/>
      <c r="NVI60" s="609"/>
      <c r="NVJ60" s="609"/>
      <c r="NVK60" s="609"/>
      <c r="NVL60" s="609"/>
      <c r="NVM60" s="609"/>
      <c r="NVN60" s="609"/>
      <c r="NVO60" s="609"/>
      <c r="NVP60" s="609"/>
      <c r="NVQ60" s="609"/>
      <c r="NVR60" s="609"/>
      <c r="NVS60" s="609"/>
      <c r="NVT60" s="609"/>
      <c r="NVU60" s="609"/>
      <c r="NVV60" s="609"/>
      <c r="NVW60" s="609"/>
      <c r="NVX60" s="609"/>
      <c r="NVY60" s="609"/>
      <c r="NVZ60" s="609"/>
      <c r="NWA60" s="609"/>
      <c r="NWB60" s="609"/>
      <c r="NWC60" s="609"/>
      <c r="NWD60" s="609"/>
      <c r="NWE60" s="609"/>
      <c r="NWF60" s="609"/>
      <c r="NWG60" s="609"/>
      <c r="NWH60" s="609"/>
      <c r="NWI60" s="609"/>
      <c r="NWJ60" s="609"/>
      <c r="NWK60" s="609"/>
      <c r="NWL60" s="609"/>
      <c r="NWM60" s="609"/>
      <c r="NWN60" s="609"/>
      <c r="NWO60" s="609"/>
      <c r="NWP60" s="609"/>
      <c r="NWQ60" s="609"/>
      <c r="NWR60" s="609"/>
      <c r="NWS60" s="609"/>
      <c r="NWT60" s="609"/>
      <c r="NWU60" s="609"/>
      <c r="NWV60" s="609"/>
      <c r="NWW60" s="609"/>
      <c r="NWX60" s="609"/>
      <c r="NWY60" s="609"/>
      <c r="NWZ60" s="609"/>
      <c r="NXA60" s="609"/>
      <c r="NXB60" s="609"/>
      <c r="NXC60" s="609"/>
      <c r="NXD60" s="609"/>
      <c r="NXE60" s="609"/>
      <c r="NXF60" s="609"/>
      <c r="NXG60" s="609"/>
      <c r="NXH60" s="609"/>
      <c r="NXI60" s="609"/>
      <c r="NXJ60" s="609"/>
      <c r="NXK60" s="609"/>
      <c r="NXL60" s="609"/>
      <c r="NXM60" s="609"/>
      <c r="NXN60" s="609"/>
      <c r="NXO60" s="609"/>
      <c r="NXP60" s="609"/>
      <c r="NXQ60" s="609"/>
      <c r="NXR60" s="609"/>
      <c r="NXS60" s="609"/>
      <c r="NXT60" s="609"/>
      <c r="NXU60" s="609"/>
      <c r="NXV60" s="609"/>
      <c r="NXW60" s="609"/>
      <c r="NXX60" s="609"/>
      <c r="NXY60" s="609"/>
      <c r="NXZ60" s="609"/>
      <c r="NYA60" s="609"/>
      <c r="NYB60" s="609"/>
      <c r="NYC60" s="609"/>
      <c r="NYD60" s="609"/>
      <c r="NYE60" s="609"/>
      <c r="NYF60" s="609"/>
      <c r="NYG60" s="609"/>
      <c r="NYH60" s="609"/>
      <c r="NYI60" s="609"/>
      <c r="NYJ60" s="609"/>
      <c r="NYK60" s="609"/>
      <c r="NYL60" s="609"/>
      <c r="NYM60" s="609"/>
      <c r="NYN60" s="609"/>
      <c r="NYO60" s="609"/>
      <c r="NYP60" s="609"/>
      <c r="NYQ60" s="609"/>
      <c r="NYR60" s="609"/>
      <c r="NYS60" s="609"/>
      <c r="NYT60" s="609"/>
      <c r="NYU60" s="609"/>
      <c r="NYV60" s="609"/>
      <c r="NYW60" s="609"/>
      <c r="NYX60" s="609"/>
      <c r="NYY60" s="609"/>
      <c r="NYZ60" s="609"/>
      <c r="NZA60" s="609"/>
      <c r="NZB60" s="609"/>
      <c r="NZC60" s="609"/>
      <c r="NZD60" s="609"/>
      <c r="NZE60" s="609"/>
      <c r="NZF60" s="609"/>
      <c r="NZG60" s="609"/>
      <c r="NZH60" s="609"/>
      <c r="NZI60" s="609"/>
      <c r="NZJ60" s="609"/>
      <c r="NZK60" s="609"/>
      <c r="NZL60" s="609"/>
      <c r="NZM60" s="609"/>
      <c r="NZN60" s="609"/>
      <c r="NZO60" s="609"/>
      <c r="NZP60" s="609"/>
      <c r="NZQ60" s="609"/>
      <c r="NZR60" s="609"/>
      <c r="NZS60" s="609"/>
      <c r="NZT60" s="609"/>
      <c r="NZU60" s="609"/>
      <c r="NZV60" s="609"/>
      <c r="NZW60" s="609"/>
      <c r="NZX60" s="609"/>
      <c r="NZY60" s="609"/>
      <c r="NZZ60" s="609"/>
      <c r="OAA60" s="609"/>
      <c r="OAB60" s="609"/>
      <c r="OAC60" s="609"/>
      <c r="OAD60" s="609"/>
      <c r="OAE60" s="609"/>
      <c r="OAF60" s="609"/>
      <c r="OAG60" s="609"/>
      <c r="OAH60" s="609"/>
      <c r="OAI60" s="609"/>
      <c r="OAJ60" s="609"/>
      <c r="OAK60" s="609"/>
      <c r="OAL60" s="609"/>
      <c r="OAM60" s="609"/>
      <c r="OAN60" s="609"/>
      <c r="OAO60" s="609"/>
      <c r="OAP60" s="609"/>
      <c r="OAQ60" s="609"/>
      <c r="OAR60" s="609"/>
      <c r="OAS60" s="609"/>
      <c r="OAT60" s="609"/>
      <c r="OAU60" s="609"/>
      <c r="OAV60" s="609"/>
      <c r="OAW60" s="609"/>
      <c r="OAX60" s="609"/>
      <c r="OAY60" s="609"/>
      <c r="OAZ60" s="609"/>
      <c r="OBA60" s="609"/>
      <c r="OBB60" s="609"/>
      <c r="OBC60" s="609"/>
      <c r="OBD60" s="609"/>
      <c r="OBE60" s="609"/>
      <c r="OBF60" s="609"/>
      <c r="OBG60" s="609"/>
      <c r="OBH60" s="609"/>
      <c r="OBI60" s="609"/>
      <c r="OBJ60" s="609"/>
      <c r="OBK60" s="609"/>
      <c r="OBL60" s="609"/>
      <c r="OBM60" s="609"/>
      <c r="OBN60" s="609"/>
      <c r="OBO60" s="609"/>
      <c r="OBP60" s="609"/>
      <c r="OBQ60" s="609"/>
      <c r="OBR60" s="609"/>
      <c r="OBS60" s="609"/>
      <c r="OBT60" s="609"/>
      <c r="OBU60" s="609"/>
      <c r="OBV60" s="609"/>
      <c r="OBW60" s="609"/>
      <c r="OBX60" s="609"/>
      <c r="OBY60" s="609"/>
      <c r="OBZ60" s="609"/>
      <c r="OCA60" s="609"/>
      <c r="OCB60" s="609"/>
      <c r="OCC60" s="609"/>
      <c r="OCD60" s="609"/>
      <c r="OCE60" s="609"/>
      <c r="OCF60" s="609"/>
      <c r="OCG60" s="609"/>
      <c r="OCH60" s="609"/>
      <c r="OCI60" s="609"/>
      <c r="OCJ60" s="609"/>
      <c r="OCK60" s="609"/>
      <c r="OCL60" s="609"/>
      <c r="OCM60" s="609"/>
      <c r="OCN60" s="609"/>
      <c r="OCO60" s="609"/>
      <c r="OCP60" s="609"/>
      <c r="OCQ60" s="609"/>
      <c r="OCR60" s="609"/>
      <c r="OCS60" s="609"/>
      <c r="OCT60" s="609"/>
      <c r="OCU60" s="609"/>
      <c r="OCV60" s="609"/>
      <c r="OCW60" s="609"/>
      <c r="OCX60" s="609"/>
      <c r="OCY60" s="609"/>
      <c r="OCZ60" s="609"/>
      <c r="ODA60" s="609"/>
      <c r="ODB60" s="609"/>
      <c r="ODC60" s="609"/>
      <c r="ODD60" s="609"/>
      <c r="ODE60" s="609"/>
      <c r="ODF60" s="609"/>
      <c r="ODG60" s="609"/>
      <c r="ODH60" s="609"/>
      <c r="ODI60" s="609"/>
      <c r="ODJ60" s="609"/>
      <c r="ODK60" s="609"/>
      <c r="ODL60" s="609"/>
      <c r="ODM60" s="609"/>
      <c r="ODN60" s="609"/>
      <c r="ODO60" s="609"/>
      <c r="ODP60" s="609"/>
      <c r="ODQ60" s="609"/>
      <c r="ODR60" s="609"/>
      <c r="ODS60" s="609"/>
      <c r="ODT60" s="609"/>
      <c r="ODU60" s="609"/>
      <c r="ODV60" s="609"/>
      <c r="ODW60" s="609"/>
      <c r="ODX60" s="609"/>
      <c r="ODY60" s="609"/>
      <c r="ODZ60" s="609"/>
      <c r="OEA60" s="609"/>
      <c r="OEB60" s="609"/>
      <c r="OEC60" s="609"/>
      <c r="OED60" s="609"/>
      <c r="OEE60" s="609"/>
      <c r="OEF60" s="609"/>
      <c r="OEG60" s="609"/>
      <c r="OEH60" s="609"/>
      <c r="OEI60" s="609"/>
      <c r="OEJ60" s="609"/>
      <c r="OEK60" s="609"/>
      <c r="OEL60" s="609"/>
      <c r="OEM60" s="609"/>
      <c r="OEN60" s="609"/>
      <c r="OEO60" s="609"/>
      <c r="OEP60" s="609"/>
      <c r="OEQ60" s="609"/>
      <c r="OER60" s="609"/>
      <c r="OES60" s="609"/>
      <c r="OET60" s="609"/>
      <c r="OEU60" s="609"/>
      <c r="OEV60" s="609"/>
      <c r="OEW60" s="609"/>
      <c r="OEX60" s="609"/>
      <c r="OEY60" s="609"/>
      <c r="OEZ60" s="609"/>
      <c r="OFA60" s="609"/>
      <c r="OFB60" s="609"/>
      <c r="OFC60" s="609"/>
      <c r="OFD60" s="609"/>
      <c r="OFE60" s="609"/>
      <c r="OFF60" s="609"/>
      <c r="OFG60" s="609"/>
      <c r="OFH60" s="609"/>
      <c r="OFI60" s="609"/>
      <c r="OFJ60" s="609"/>
      <c r="OFK60" s="609"/>
      <c r="OFL60" s="609"/>
      <c r="OFM60" s="609"/>
      <c r="OFN60" s="609"/>
      <c r="OFO60" s="609"/>
      <c r="OFP60" s="609"/>
      <c r="OFQ60" s="609"/>
      <c r="OFR60" s="609"/>
      <c r="OFS60" s="609"/>
      <c r="OFT60" s="609"/>
      <c r="OFU60" s="609"/>
      <c r="OFV60" s="609"/>
      <c r="OFW60" s="609"/>
      <c r="OFX60" s="609"/>
      <c r="OFY60" s="609"/>
      <c r="OFZ60" s="609"/>
      <c r="OGA60" s="609"/>
      <c r="OGB60" s="609"/>
      <c r="OGC60" s="609"/>
      <c r="OGD60" s="609"/>
      <c r="OGE60" s="609"/>
      <c r="OGF60" s="609"/>
      <c r="OGG60" s="609"/>
      <c r="OGH60" s="609"/>
      <c r="OGI60" s="609"/>
      <c r="OGJ60" s="609"/>
      <c r="OGK60" s="609"/>
      <c r="OGL60" s="609"/>
      <c r="OGM60" s="609"/>
      <c r="OGN60" s="609"/>
      <c r="OGO60" s="609"/>
      <c r="OGP60" s="609"/>
      <c r="OGQ60" s="609"/>
      <c r="OGR60" s="609"/>
      <c r="OGS60" s="609"/>
      <c r="OGT60" s="609"/>
      <c r="OGU60" s="609"/>
      <c r="OGV60" s="609"/>
      <c r="OGW60" s="609"/>
      <c r="OGX60" s="609"/>
      <c r="OGY60" s="609"/>
      <c r="OGZ60" s="609"/>
      <c r="OHA60" s="609"/>
      <c r="OHB60" s="609"/>
      <c r="OHC60" s="609"/>
      <c r="OHD60" s="609"/>
      <c r="OHE60" s="609"/>
      <c r="OHF60" s="609"/>
      <c r="OHG60" s="609"/>
      <c r="OHH60" s="609"/>
      <c r="OHI60" s="609"/>
      <c r="OHJ60" s="609"/>
      <c r="OHK60" s="609"/>
      <c r="OHL60" s="609"/>
      <c r="OHM60" s="609"/>
      <c r="OHN60" s="609"/>
      <c r="OHO60" s="609"/>
      <c r="OHP60" s="609"/>
      <c r="OHQ60" s="609"/>
      <c r="OHR60" s="609"/>
      <c r="OHS60" s="609"/>
      <c r="OHT60" s="609"/>
      <c r="OHU60" s="609"/>
      <c r="OHV60" s="609"/>
      <c r="OHW60" s="609"/>
      <c r="OHX60" s="609"/>
      <c r="OHY60" s="609"/>
      <c r="OHZ60" s="609"/>
      <c r="OIA60" s="609"/>
      <c r="OIB60" s="609"/>
      <c r="OIC60" s="609"/>
      <c r="OID60" s="609"/>
      <c r="OIE60" s="609"/>
      <c r="OIF60" s="609"/>
      <c r="OIG60" s="609"/>
      <c r="OIH60" s="609"/>
      <c r="OII60" s="609"/>
      <c r="OIJ60" s="609"/>
      <c r="OIK60" s="609"/>
      <c r="OIL60" s="609"/>
      <c r="OIM60" s="609"/>
      <c r="OIN60" s="609"/>
      <c r="OIO60" s="609"/>
      <c r="OIP60" s="609"/>
      <c r="OIQ60" s="609"/>
      <c r="OIR60" s="609"/>
      <c r="OIS60" s="609"/>
      <c r="OIT60" s="609"/>
      <c r="OIU60" s="609"/>
      <c r="OIV60" s="609"/>
      <c r="OIW60" s="609"/>
      <c r="OIX60" s="609"/>
      <c r="OIY60" s="609"/>
      <c r="OIZ60" s="609"/>
      <c r="OJA60" s="609"/>
      <c r="OJB60" s="609"/>
      <c r="OJC60" s="609"/>
      <c r="OJD60" s="609"/>
      <c r="OJE60" s="609"/>
      <c r="OJF60" s="609"/>
      <c r="OJG60" s="609"/>
      <c r="OJH60" s="609"/>
      <c r="OJI60" s="609"/>
      <c r="OJJ60" s="609"/>
      <c r="OJK60" s="609"/>
      <c r="OJL60" s="609"/>
      <c r="OJM60" s="609"/>
      <c r="OJN60" s="609"/>
      <c r="OJO60" s="609"/>
      <c r="OJP60" s="609"/>
      <c r="OJQ60" s="609"/>
      <c r="OJR60" s="609"/>
      <c r="OJS60" s="609"/>
      <c r="OJT60" s="609"/>
      <c r="OJU60" s="609"/>
      <c r="OJV60" s="609"/>
      <c r="OJW60" s="609"/>
      <c r="OJX60" s="609"/>
      <c r="OJY60" s="609"/>
      <c r="OJZ60" s="609"/>
      <c r="OKA60" s="609"/>
      <c r="OKB60" s="609"/>
      <c r="OKC60" s="609"/>
      <c r="OKD60" s="609"/>
      <c r="OKE60" s="609"/>
      <c r="OKF60" s="609"/>
      <c r="OKG60" s="609"/>
      <c r="OKH60" s="609"/>
      <c r="OKI60" s="609"/>
      <c r="OKJ60" s="609"/>
      <c r="OKK60" s="609"/>
      <c r="OKL60" s="609"/>
      <c r="OKM60" s="609"/>
      <c r="OKN60" s="609"/>
      <c r="OKO60" s="609"/>
      <c r="OKP60" s="609"/>
      <c r="OKQ60" s="609"/>
      <c r="OKR60" s="609"/>
      <c r="OKS60" s="609"/>
      <c r="OKT60" s="609"/>
      <c r="OKU60" s="609"/>
      <c r="OKV60" s="609"/>
      <c r="OKW60" s="609"/>
      <c r="OKX60" s="609"/>
      <c r="OKY60" s="609"/>
      <c r="OKZ60" s="609"/>
      <c r="OLA60" s="609"/>
      <c r="OLB60" s="609"/>
      <c r="OLC60" s="609"/>
      <c r="OLD60" s="609"/>
      <c r="OLE60" s="609"/>
      <c r="OLF60" s="609"/>
      <c r="OLG60" s="609"/>
      <c r="OLH60" s="609"/>
      <c r="OLI60" s="609"/>
      <c r="OLJ60" s="609"/>
      <c r="OLK60" s="609"/>
      <c r="OLL60" s="609"/>
      <c r="OLM60" s="609"/>
      <c r="OLN60" s="609"/>
      <c r="OLO60" s="609"/>
      <c r="OLP60" s="609"/>
      <c r="OLQ60" s="609"/>
      <c r="OLR60" s="609"/>
      <c r="OLS60" s="609"/>
      <c r="OLT60" s="609"/>
      <c r="OLU60" s="609"/>
      <c r="OLV60" s="609"/>
      <c r="OLW60" s="609"/>
      <c r="OLX60" s="609"/>
      <c r="OLY60" s="609"/>
      <c r="OLZ60" s="609"/>
      <c r="OMA60" s="609"/>
      <c r="OMB60" s="609"/>
      <c r="OMC60" s="609"/>
      <c r="OMD60" s="609"/>
      <c r="OME60" s="609"/>
      <c r="OMF60" s="609"/>
      <c r="OMG60" s="609"/>
      <c r="OMH60" s="609"/>
      <c r="OMI60" s="609"/>
      <c r="OMJ60" s="609"/>
      <c r="OMK60" s="609"/>
      <c r="OML60" s="609"/>
      <c r="OMM60" s="609"/>
      <c r="OMN60" s="609"/>
      <c r="OMO60" s="609"/>
      <c r="OMP60" s="609"/>
      <c r="OMQ60" s="609"/>
      <c r="OMR60" s="609"/>
      <c r="OMS60" s="609"/>
      <c r="OMT60" s="609"/>
      <c r="OMU60" s="609"/>
      <c r="OMV60" s="609"/>
      <c r="OMW60" s="609"/>
      <c r="OMX60" s="609"/>
      <c r="OMY60" s="609"/>
      <c r="OMZ60" s="609"/>
      <c r="ONA60" s="609"/>
      <c r="ONB60" s="609"/>
      <c r="ONC60" s="609"/>
      <c r="OND60" s="609"/>
      <c r="ONE60" s="609"/>
      <c r="ONF60" s="609"/>
      <c r="ONG60" s="609"/>
      <c r="ONH60" s="609"/>
      <c r="ONI60" s="609"/>
      <c r="ONJ60" s="609"/>
      <c r="ONK60" s="609"/>
      <c r="ONL60" s="609"/>
      <c r="ONM60" s="609"/>
      <c r="ONN60" s="609"/>
      <c r="ONO60" s="609"/>
      <c r="ONP60" s="609"/>
      <c r="ONQ60" s="609"/>
      <c r="ONR60" s="609"/>
      <c r="ONS60" s="609"/>
      <c r="ONT60" s="609"/>
      <c r="ONU60" s="609"/>
      <c r="ONV60" s="609"/>
      <c r="ONW60" s="609"/>
      <c r="ONX60" s="609"/>
      <c r="ONY60" s="609"/>
      <c r="ONZ60" s="609"/>
      <c r="OOA60" s="609"/>
      <c r="OOB60" s="609"/>
      <c r="OOC60" s="609"/>
      <c r="OOD60" s="609"/>
      <c r="OOE60" s="609"/>
      <c r="OOF60" s="609"/>
      <c r="OOG60" s="609"/>
      <c r="OOH60" s="609"/>
      <c r="OOI60" s="609"/>
      <c r="OOJ60" s="609"/>
      <c r="OOK60" s="609"/>
      <c r="OOL60" s="609"/>
      <c r="OOM60" s="609"/>
      <c r="OON60" s="609"/>
      <c r="OOO60" s="609"/>
      <c r="OOP60" s="609"/>
      <c r="OOQ60" s="609"/>
      <c r="OOR60" s="609"/>
      <c r="OOS60" s="609"/>
      <c r="OOT60" s="609"/>
      <c r="OOU60" s="609"/>
      <c r="OOV60" s="609"/>
      <c r="OOW60" s="609"/>
      <c r="OOX60" s="609"/>
      <c r="OOY60" s="609"/>
      <c r="OOZ60" s="609"/>
      <c r="OPA60" s="609"/>
      <c r="OPB60" s="609"/>
      <c r="OPC60" s="609"/>
      <c r="OPD60" s="609"/>
      <c r="OPE60" s="609"/>
      <c r="OPF60" s="609"/>
      <c r="OPG60" s="609"/>
      <c r="OPH60" s="609"/>
      <c r="OPI60" s="609"/>
      <c r="OPJ60" s="609"/>
      <c r="OPK60" s="609"/>
      <c r="OPL60" s="609"/>
      <c r="OPM60" s="609"/>
      <c r="OPN60" s="609"/>
      <c r="OPO60" s="609"/>
      <c r="OPP60" s="609"/>
      <c r="OPQ60" s="609"/>
      <c r="OPR60" s="609"/>
      <c r="OPS60" s="609"/>
      <c r="OPT60" s="609"/>
      <c r="OPU60" s="609"/>
      <c r="OPV60" s="609"/>
      <c r="OPW60" s="609"/>
      <c r="OPX60" s="609"/>
      <c r="OPY60" s="609"/>
      <c r="OPZ60" s="609"/>
      <c r="OQA60" s="609"/>
      <c r="OQB60" s="609"/>
      <c r="OQC60" s="609"/>
      <c r="OQD60" s="609"/>
      <c r="OQE60" s="609"/>
      <c r="OQF60" s="609"/>
      <c r="OQG60" s="609"/>
      <c r="OQH60" s="609"/>
      <c r="OQI60" s="609"/>
      <c r="OQJ60" s="609"/>
      <c r="OQK60" s="609"/>
      <c r="OQL60" s="609"/>
      <c r="OQM60" s="609"/>
      <c r="OQN60" s="609"/>
      <c r="OQO60" s="609"/>
      <c r="OQP60" s="609"/>
      <c r="OQQ60" s="609"/>
      <c r="OQR60" s="609"/>
      <c r="OQS60" s="609"/>
      <c r="OQT60" s="609"/>
      <c r="OQU60" s="609"/>
      <c r="OQV60" s="609"/>
      <c r="OQW60" s="609"/>
      <c r="OQX60" s="609"/>
      <c r="OQY60" s="609"/>
      <c r="OQZ60" s="609"/>
      <c r="ORA60" s="609"/>
      <c r="ORB60" s="609"/>
      <c r="ORC60" s="609"/>
      <c r="ORD60" s="609"/>
      <c r="ORE60" s="609"/>
      <c r="ORF60" s="609"/>
      <c r="ORG60" s="609"/>
      <c r="ORH60" s="609"/>
      <c r="ORI60" s="609"/>
      <c r="ORJ60" s="609"/>
      <c r="ORK60" s="609"/>
      <c r="ORL60" s="609"/>
      <c r="ORM60" s="609"/>
      <c r="ORN60" s="609"/>
      <c r="ORO60" s="609"/>
      <c r="ORP60" s="609"/>
      <c r="ORQ60" s="609"/>
      <c r="ORR60" s="609"/>
      <c r="ORS60" s="609"/>
      <c r="ORT60" s="609"/>
      <c r="ORU60" s="609"/>
      <c r="ORV60" s="609"/>
      <c r="ORW60" s="609"/>
      <c r="ORX60" s="609"/>
      <c r="ORY60" s="609"/>
      <c r="ORZ60" s="609"/>
      <c r="OSA60" s="609"/>
      <c r="OSB60" s="609"/>
      <c r="OSC60" s="609"/>
      <c r="OSD60" s="609"/>
      <c r="OSE60" s="609"/>
      <c r="OSF60" s="609"/>
      <c r="OSG60" s="609"/>
      <c r="OSH60" s="609"/>
      <c r="OSI60" s="609"/>
      <c r="OSJ60" s="609"/>
      <c r="OSK60" s="609"/>
      <c r="OSL60" s="609"/>
      <c r="OSM60" s="609"/>
      <c r="OSN60" s="609"/>
      <c r="OSO60" s="609"/>
      <c r="OSP60" s="609"/>
      <c r="OSQ60" s="609"/>
      <c r="OSR60" s="609"/>
      <c r="OSS60" s="609"/>
      <c r="OST60" s="609"/>
      <c r="OSU60" s="609"/>
      <c r="OSV60" s="609"/>
      <c r="OSW60" s="609"/>
      <c r="OSX60" s="609"/>
      <c r="OSY60" s="609"/>
      <c r="OSZ60" s="609"/>
      <c r="OTA60" s="609"/>
      <c r="OTB60" s="609"/>
      <c r="OTC60" s="609"/>
      <c r="OTD60" s="609"/>
      <c r="OTE60" s="609"/>
      <c r="OTF60" s="609"/>
      <c r="OTG60" s="609"/>
      <c r="OTH60" s="609"/>
      <c r="OTI60" s="609"/>
      <c r="OTJ60" s="609"/>
      <c r="OTK60" s="609"/>
      <c r="OTL60" s="609"/>
      <c r="OTM60" s="609"/>
      <c r="OTN60" s="609"/>
      <c r="OTO60" s="609"/>
      <c r="OTP60" s="609"/>
      <c r="OTQ60" s="609"/>
      <c r="OTR60" s="609"/>
      <c r="OTS60" s="609"/>
      <c r="OTT60" s="609"/>
      <c r="OTU60" s="609"/>
      <c r="OTV60" s="609"/>
      <c r="OTW60" s="609"/>
      <c r="OTX60" s="609"/>
      <c r="OTY60" s="609"/>
      <c r="OTZ60" s="609"/>
      <c r="OUA60" s="609"/>
      <c r="OUB60" s="609"/>
      <c r="OUC60" s="609"/>
      <c r="OUD60" s="609"/>
      <c r="OUE60" s="609"/>
      <c r="OUF60" s="609"/>
      <c r="OUG60" s="609"/>
      <c r="OUH60" s="609"/>
      <c r="OUI60" s="609"/>
      <c r="OUJ60" s="609"/>
      <c r="OUK60" s="609"/>
      <c r="OUL60" s="609"/>
      <c r="OUM60" s="609"/>
      <c r="OUN60" s="609"/>
      <c r="OUO60" s="609"/>
      <c r="OUP60" s="609"/>
      <c r="OUQ60" s="609"/>
      <c r="OUR60" s="609"/>
      <c r="OUS60" s="609"/>
      <c r="OUT60" s="609"/>
      <c r="OUU60" s="609"/>
      <c r="OUV60" s="609"/>
      <c r="OUW60" s="609"/>
      <c r="OUX60" s="609"/>
      <c r="OUY60" s="609"/>
      <c r="OUZ60" s="609"/>
      <c r="OVA60" s="609"/>
      <c r="OVB60" s="609"/>
      <c r="OVC60" s="609"/>
      <c r="OVD60" s="609"/>
      <c r="OVE60" s="609"/>
      <c r="OVF60" s="609"/>
      <c r="OVG60" s="609"/>
      <c r="OVH60" s="609"/>
      <c r="OVI60" s="609"/>
      <c r="OVJ60" s="609"/>
      <c r="OVK60" s="609"/>
      <c r="OVL60" s="609"/>
      <c r="OVM60" s="609"/>
      <c r="OVN60" s="609"/>
      <c r="OVO60" s="609"/>
      <c r="OVP60" s="609"/>
      <c r="OVQ60" s="609"/>
      <c r="OVR60" s="609"/>
      <c r="OVS60" s="609"/>
      <c r="OVT60" s="609"/>
      <c r="OVU60" s="609"/>
      <c r="OVV60" s="609"/>
      <c r="OVW60" s="609"/>
      <c r="OVX60" s="609"/>
      <c r="OVY60" s="609"/>
      <c r="OVZ60" s="609"/>
      <c r="OWA60" s="609"/>
      <c r="OWB60" s="609"/>
      <c r="OWC60" s="609"/>
      <c r="OWD60" s="609"/>
      <c r="OWE60" s="609"/>
      <c r="OWF60" s="609"/>
      <c r="OWG60" s="609"/>
      <c r="OWH60" s="609"/>
      <c r="OWI60" s="609"/>
      <c r="OWJ60" s="609"/>
      <c r="OWK60" s="609"/>
      <c r="OWL60" s="609"/>
      <c r="OWM60" s="609"/>
      <c r="OWN60" s="609"/>
      <c r="OWO60" s="609"/>
      <c r="OWP60" s="609"/>
      <c r="OWQ60" s="609"/>
      <c r="OWR60" s="609"/>
      <c r="OWS60" s="609"/>
      <c r="OWT60" s="609"/>
      <c r="OWU60" s="609"/>
      <c r="OWV60" s="609"/>
      <c r="OWW60" s="609"/>
      <c r="OWX60" s="609"/>
      <c r="OWY60" s="609"/>
      <c r="OWZ60" s="609"/>
      <c r="OXA60" s="609"/>
      <c r="OXB60" s="609"/>
      <c r="OXC60" s="609"/>
      <c r="OXD60" s="609"/>
      <c r="OXE60" s="609"/>
      <c r="OXF60" s="609"/>
      <c r="OXG60" s="609"/>
      <c r="OXH60" s="609"/>
      <c r="OXI60" s="609"/>
      <c r="OXJ60" s="609"/>
      <c r="OXK60" s="609"/>
      <c r="OXL60" s="609"/>
      <c r="OXM60" s="609"/>
      <c r="OXN60" s="609"/>
      <c r="OXO60" s="609"/>
      <c r="OXP60" s="609"/>
      <c r="OXQ60" s="609"/>
      <c r="OXR60" s="609"/>
      <c r="OXS60" s="609"/>
      <c r="OXT60" s="609"/>
      <c r="OXU60" s="609"/>
      <c r="OXV60" s="609"/>
      <c r="OXW60" s="609"/>
      <c r="OXX60" s="609"/>
      <c r="OXY60" s="609"/>
      <c r="OXZ60" s="609"/>
      <c r="OYA60" s="609"/>
      <c r="OYB60" s="609"/>
      <c r="OYC60" s="609"/>
      <c r="OYD60" s="609"/>
      <c r="OYE60" s="609"/>
      <c r="OYF60" s="609"/>
      <c r="OYG60" s="609"/>
      <c r="OYH60" s="609"/>
      <c r="OYI60" s="609"/>
      <c r="OYJ60" s="609"/>
      <c r="OYK60" s="609"/>
      <c r="OYL60" s="609"/>
      <c r="OYM60" s="609"/>
      <c r="OYN60" s="609"/>
      <c r="OYO60" s="609"/>
      <c r="OYP60" s="609"/>
      <c r="OYQ60" s="609"/>
      <c r="OYR60" s="609"/>
      <c r="OYS60" s="609"/>
      <c r="OYT60" s="609"/>
      <c r="OYU60" s="609"/>
      <c r="OYV60" s="609"/>
      <c r="OYW60" s="609"/>
      <c r="OYX60" s="609"/>
      <c r="OYY60" s="609"/>
      <c r="OYZ60" s="609"/>
      <c r="OZA60" s="609"/>
      <c r="OZB60" s="609"/>
      <c r="OZC60" s="609"/>
      <c r="OZD60" s="609"/>
      <c r="OZE60" s="609"/>
      <c r="OZF60" s="609"/>
      <c r="OZG60" s="609"/>
      <c r="OZH60" s="609"/>
      <c r="OZI60" s="609"/>
      <c r="OZJ60" s="609"/>
      <c r="OZK60" s="609"/>
      <c r="OZL60" s="609"/>
      <c r="OZM60" s="609"/>
      <c r="OZN60" s="609"/>
      <c r="OZO60" s="609"/>
      <c r="OZP60" s="609"/>
      <c r="OZQ60" s="609"/>
      <c r="OZR60" s="609"/>
      <c r="OZS60" s="609"/>
      <c r="OZT60" s="609"/>
      <c r="OZU60" s="609"/>
      <c r="OZV60" s="609"/>
      <c r="OZW60" s="609"/>
      <c r="OZX60" s="609"/>
      <c r="OZY60" s="609"/>
      <c r="OZZ60" s="609"/>
      <c r="PAA60" s="609"/>
      <c r="PAB60" s="609"/>
      <c r="PAC60" s="609"/>
      <c r="PAD60" s="609"/>
      <c r="PAE60" s="609"/>
      <c r="PAF60" s="609"/>
      <c r="PAG60" s="609"/>
      <c r="PAH60" s="609"/>
      <c r="PAI60" s="609"/>
      <c r="PAJ60" s="609"/>
      <c r="PAK60" s="609"/>
      <c r="PAL60" s="609"/>
      <c r="PAM60" s="609"/>
      <c r="PAN60" s="609"/>
      <c r="PAO60" s="609"/>
      <c r="PAP60" s="609"/>
      <c r="PAQ60" s="609"/>
      <c r="PAR60" s="609"/>
      <c r="PAS60" s="609"/>
      <c r="PAT60" s="609"/>
      <c r="PAU60" s="609"/>
      <c r="PAV60" s="609"/>
      <c r="PAW60" s="609"/>
      <c r="PAX60" s="609"/>
      <c r="PAY60" s="609"/>
      <c r="PAZ60" s="609"/>
      <c r="PBA60" s="609"/>
      <c r="PBB60" s="609"/>
      <c r="PBC60" s="609"/>
      <c r="PBD60" s="609"/>
      <c r="PBE60" s="609"/>
      <c r="PBF60" s="609"/>
      <c r="PBG60" s="609"/>
      <c r="PBH60" s="609"/>
      <c r="PBI60" s="609"/>
      <c r="PBJ60" s="609"/>
      <c r="PBK60" s="609"/>
      <c r="PBL60" s="609"/>
      <c r="PBM60" s="609"/>
      <c r="PBN60" s="609"/>
      <c r="PBO60" s="609"/>
      <c r="PBP60" s="609"/>
      <c r="PBQ60" s="609"/>
      <c r="PBR60" s="609"/>
      <c r="PBS60" s="609"/>
      <c r="PBT60" s="609"/>
      <c r="PBU60" s="609"/>
      <c r="PBV60" s="609"/>
      <c r="PBW60" s="609"/>
      <c r="PBX60" s="609"/>
      <c r="PBY60" s="609"/>
      <c r="PBZ60" s="609"/>
      <c r="PCA60" s="609"/>
      <c r="PCB60" s="609"/>
      <c r="PCC60" s="609"/>
      <c r="PCD60" s="609"/>
      <c r="PCE60" s="609"/>
      <c r="PCF60" s="609"/>
      <c r="PCG60" s="609"/>
      <c r="PCH60" s="609"/>
      <c r="PCI60" s="609"/>
      <c r="PCJ60" s="609"/>
      <c r="PCK60" s="609"/>
      <c r="PCL60" s="609"/>
      <c r="PCM60" s="609"/>
      <c r="PCN60" s="609"/>
      <c r="PCO60" s="609"/>
      <c r="PCP60" s="609"/>
      <c r="PCQ60" s="609"/>
      <c r="PCR60" s="609"/>
      <c r="PCS60" s="609"/>
      <c r="PCT60" s="609"/>
      <c r="PCU60" s="609"/>
      <c r="PCV60" s="609"/>
      <c r="PCW60" s="609"/>
      <c r="PCX60" s="609"/>
      <c r="PCY60" s="609"/>
      <c r="PCZ60" s="609"/>
      <c r="PDA60" s="609"/>
      <c r="PDB60" s="609"/>
      <c r="PDC60" s="609"/>
      <c r="PDD60" s="609"/>
      <c r="PDE60" s="609"/>
      <c r="PDF60" s="609"/>
      <c r="PDG60" s="609"/>
      <c r="PDH60" s="609"/>
      <c r="PDI60" s="609"/>
      <c r="PDJ60" s="609"/>
      <c r="PDK60" s="609"/>
      <c r="PDL60" s="609"/>
      <c r="PDM60" s="609"/>
      <c r="PDN60" s="609"/>
      <c r="PDO60" s="609"/>
      <c r="PDP60" s="609"/>
      <c r="PDQ60" s="609"/>
      <c r="PDR60" s="609"/>
      <c r="PDS60" s="609"/>
      <c r="PDT60" s="609"/>
      <c r="PDU60" s="609"/>
      <c r="PDV60" s="609"/>
      <c r="PDW60" s="609"/>
      <c r="PDX60" s="609"/>
      <c r="PDY60" s="609"/>
      <c r="PDZ60" s="609"/>
      <c r="PEA60" s="609"/>
      <c r="PEB60" s="609"/>
      <c r="PEC60" s="609"/>
      <c r="PED60" s="609"/>
      <c r="PEE60" s="609"/>
      <c r="PEF60" s="609"/>
      <c r="PEG60" s="609"/>
      <c r="PEH60" s="609"/>
      <c r="PEI60" s="609"/>
      <c r="PEJ60" s="609"/>
      <c r="PEK60" s="609"/>
      <c r="PEL60" s="609"/>
      <c r="PEM60" s="609"/>
      <c r="PEN60" s="609"/>
      <c r="PEO60" s="609"/>
      <c r="PEP60" s="609"/>
      <c r="PEQ60" s="609"/>
      <c r="PER60" s="609"/>
      <c r="PES60" s="609"/>
      <c r="PET60" s="609"/>
      <c r="PEU60" s="609"/>
      <c r="PEV60" s="609"/>
      <c r="PEW60" s="609"/>
      <c r="PEX60" s="609"/>
      <c r="PEY60" s="609"/>
      <c r="PEZ60" s="609"/>
      <c r="PFA60" s="609"/>
      <c r="PFB60" s="609"/>
      <c r="PFC60" s="609"/>
      <c r="PFD60" s="609"/>
      <c r="PFE60" s="609"/>
      <c r="PFF60" s="609"/>
      <c r="PFG60" s="609"/>
      <c r="PFH60" s="609"/>
      <c r="PFI60" s="609"/>
      <c r="PFJ60" s="609"/>
      <c r="PFK60" s="609"/>
      <c r="PFL60" s="609"/>
      <c r="PFM60" s="609"/>
      <c r="PFN60" s="609"/>
      <c r="PFO60" s="609"/>
      <c r="PFP60" s="609"/>
      <c r="PFQ60" s="609"/>
      <c r="PFR60" s="609"/>
      <c r="PFS60" s="609"/>
      <c r="PFT60" s="609"/>
      <c r="PFU60" s="609"/>
      <c r="PFV60" s="609"/>
      <c r="PFW60" s="609"/>
      <c r="PFX60" s="609"/>
      <c r="PFY60" s="609"/>
      <c r="PFZ60" s="609"/>
      <c r="PGA60" s="609"/>
      <c r="PGB60" s="609"/>
      <c r="PGC60" s="609"/>
      <c r="PGD60" s="609"/>
      <c r="PGE60" s="609"/>
      <c r="PGF60" s="609"/>
      <c r="PGG60" s="609"/>
      <c r="PGH60" s="609"/>
      <c r="PGI60" s="609"/>
      <c r="PGJ60" s="609"/>
      <c r="PGK60" s="609"/>
      <c r="PGL60" s="609"/>
      <c r="PGM60" s="609"/>
      <c r="PGN60" s="609"/>
      <c r="PGO60" s="609"/>
      <c r="PGP60" s="609"/>
      <c r="PGQ60" s="609"/>
      <c r="PGR60" s="609"/>
      <c r="PGS60" s="609"/>
      <c r="PGT60" s="609"/>
      <c r="PGU60" s="609"/>
      <c r="PGV60" s="609"/>
      <c r="PGW60" s="609"/>
      <c r="PGX60" s="609"/>
      <c r="PGY60" s="609"/>
      <c r="PGZ60" s="609"/>
      <c r="PHA60" s="609"/>
      <c r="PHB60" s="609"/>
      <c r="PHC60" s="609"/>
      <c r="PHD60" s="609"/>
      <c r="PHE60" s="609"/>
      <c r="PHF60" s="609"/>
      <c r="PHG60" s="609"/>
      <c r="PHH60" s="609"/>
      <c r="PHI60" s="609"/>
      <c r="PHJ60" s="609"/>
      <c r="PHK60" s="609"/>
      <c r="PHL60" s="609"/>
      <c r="PHM60" s="609"/>
      <c r="PHN60" s="609"/>
      <c r="PHO60" s="609"/>
      <c r="PHP60" s="609"/>
      <c r="PHQ60" s="609"/>
      <c r="PHR60" s="609"/>
      <c r="PHS60" s="609"/>
      <c r="PHT60" s="609"/>
      <c r="PHU60" s="609"/>
      <c r="PHV60" s="609"/>
      <c r="PHW60" s="609"/>
      <c r="PHX60" s="609"/>
      <c r="PHY60" s="609"/>
      <c r="PHZ60" s="609"/>
      <c r="PIA60" s="609"/>
      <c r="PIB60" s="609"/>
      <c r="PIC60" s="609"/>
      <c r="PID60" s="609"/>
      <c r="PIE60" s="609"/>
      <c r="PIF60" s="609"/>
      <c r="PIG60" s="609"/>
      <c r="PIH60" s="609"/>
      <c r="PII60" s="609"/>
      <c r="PIJ60" s="609"/>
      <c r="PIK60" s="609"/>
      <c r="PIL60" s="609"/>
      <c r="PIM60" s="609"/>
      <c r="PIN60" s="609"/>
      <c r="PIO60" s="609"/>
      <c r="PIP60" s="609"/>
      <c r="PIQ60" s="609"/>
      <c r="PIR60" s="609"/>
      <c r="PIS60" s="609"/>
      <c r="PIT60" s="609"/>
      <c r="PIU60" s="609"/>
      <c r="PIV60" s="609"/>
      <c r="PIW60" s="609"/>
      <c r="PIX60" s="609"/>
      <c r="PIY60" s="609"/>
      <c r="PIZ60" s="609"/>
      <c r="PJA60" s="609"/>
      <c r="PJB60" s="609"/>
      <c r="PJC60" s="609"/>
      <c r="PJD60" s="609"/>
      <c r="PJE60" s="609"/>
      <c r="PJF60" s="609"/>
      <c r="PJG60" s="609"/>
      <c r="PJH60" s="609"/>
      <c r="PJI60" s="609"/>
      <c r="PJJ60" s="609"/>
      <c r="PJK60" s="609"/>
      <c r="PJL60" s="609"/>
      <c r="PJM60" s="609"/>
      <c r="PJN60" s="609"/>
      <c r="PJO60" s="609"/>
      <c r="PJP60" s="609"/>
      <c r="PJQ60" s="609"/>
      <c r="PJR60" s="609"/>
      <c r="PJS60" s="609"/>
      <c r="PJT60" s="609"/>
      <c r="PJU60" s="609"/>
      <c r="PJV60" s="609"/>
      <c r="PJW60" s="609"/>
      <c r="PJX60" s="609"/>
      <c r="PJY60" s="609"/>
      <c r="PJZ60" s="609"/>
      <c r="PKA60" s="609"/>
      <c r="PKB60" s="609"/>
      <c r="PKC60" s="609"/>
      <c r="PKD60" s="609"/>
      <c r="PKE60" s="609"/>
      <c r="PKF60" s="609"/>
      <c r="PKG60" s="609"/>
      <c r="PKH60" s="609"/>
      <c r="PKI60" s="609"/>
      <c r="PKJ60" s="609"/>
      <c r="PKK60" s="609"/>
      <c r="PKL60" s="609"/>
      <c r="PKM60" s="609"/>
      <c r="PKN60" s="609"/>
      <c r="PKO60" s="609"/>
      <c r="PKP60" s="609"/>
      <c r="PKQ60" s="609"/>
      <c r="PKR60" s="609"/>
      <c r="PKS60" s="609"/>
      <c r="PKT60" s="609"/>
      <c r="PKU60" s="609"/>
      <c r="PKV60" s="609"/>
      <c r="PKW60" s="609"/>
      <c r="PKX60" s="609"/>
      <c r="PKY60" s="609"/>
      <c r="PKZ60" s="609"/>
      <c r="PLA60" s="609"/>
      <c r="PLB60" s="609"/>
      <c r="PLC60" s="609"/>
      <c r="PLD60" s="609"/>
      <c r="PLE60" s="609"/>
      <c r="PLF60" s="609"/>
      <c r="PLG60" s="609"/>
      <c r="PLH60" s="609"/>
      <c r="PLI60" s="609"/>
      <c r="PLJ60" s="609"/>
      <c r="PLK60" s="609"/>
      <c r="PLL60" s="609"/>
      <c r="PLM60" s="609"/>
      <c r="PLN60" s="609"/>
      <c r="PLO60" s="609"/>
      <c r="PLP60" s="609"/>
      <c r="PLQ60" s="609"/>
      <c r="PLR60" s="609"/>
      <c r="PLS60" s="609"/>
      <c r="PLT60" s="609"/>
      <c r="PLU60" s="609"/>
      <c r="PLV60" s="609"/>
      <c r="PLW60" s="609"/>
      <c r="PLX60" s="609"/>
      <c r="PLY60" s="609"/>
      <c r="PLZ60" s="609"/>
      <c r="PMA60" s="609"/>
      <c r="PMB60" s="609"/>
      <c r="PMC60" s="609"/>
      <c r="PMD60" s="609"/>
      <c r="PME60" s="609"/>
      <c r="PMF60" s="609"/>
      <c r="PMG60" s="609"/>
      <c r="PMH60" s="609"/>
      <c r="PMI60" s="609"/>
      <c r="PMJ60" s="609"/>
      <c r="PMK60" s="609"/>
      <c r="PML60" s="609"/>
      <c r="PMM60" s="609"/>
      <c r="PMN60" s="609"/>
      <c r="PMO60" s="609"/>
      <c r="PMP60" s="609"/>
      <c r="PMQ60" s="609"/>
      <c r="PMR60" s="609"/>
      <c r="PMS60" s="609"/>
      <c r="PMT60" s="609"/>
      <c r="PMU60" s="609"/>
      <c r="PMV60" s="609"/>
      <c r="PMW60" s="609"/>
      <c r="PMX60" s="609"/>
      <c r="PMY60" s="609"/>
      <c r="PMZ60" s="609"/>
      <c r="PNA60" s="609"/>
      <c r="PNB60" s="609"/>
      <c r="PNC60" s="609"/>
      <c r="PND60" s="609"/>
      <c r="PNE60" s="609"/>
      <c r="PNF60" s="609"/>
      <c r="PNG60" s="609"/>
      <c r="PNH60" s="609"/>
      <c r="PNI60" s="609"/>
      <c r="PNJ60" s="609"/>
      <c r="PNK60" s="609"/>
      <c r="PNL60" s="609"/>
      <c r="PNM60" s="609"/>
      <c r="PNN60" s="609"/>
      <c r="PNO60" s="609"/>
      <c r="PNP60" s="609"/>
      <c r="PNQ60" s="609"/>
      <c r="PNR60" s="609"/>
      <c r="PNS60" s="609"/>
      <c r="PNT60" s="609"/>
      <c r="PNU60" s="609"/>
      <c r="PNV60" s="609"/>
      <c r="PNW60" s="609"/>
      <c r="PNX60" s="609"/>
      <c r="PNY60" s="609"/>
      <c r="PNZ60" s="609"/>
      <c r="POA60" s="609"/>
      <c r="POB60" s="609"/>
      <c r="POC60" s="609"/>
      <c r="POD60" s="609"/>
      <c r="POE60" s="609"/>
      <c r="POF60" s="609"/>
      <c r="POG60" s="609"/>
      <c r="POH60" s="609"/>
      <c r="POI60" s="609"/>
      <c r="POJ60" s="609"/>
      <c r="POK60" s="609"/>
      <c r="POL60" s="609"/>
      <c r="POM60" s="609"/>
      <c r="PON60" s="609"/>
      <c r="POO60" s="609"/>
      <c r="POP60" s="609"/>
      <c r="POQ60" s="609"/>
      <c r="POR60" s="609"/>
      <c r="POS60" s="609"/>
      <c r="POT60" s="609"/>
      <c r="POU60" s="609"/>
      <c r="POV60" s="609"/>
      <c r="POW60" s="609"/>
      <c r="POX60" s="609"/>
      <c r="POY60" s="609"/>
      <c r="POZ60" s="609"/>
      <c r="PPA60" s="609"/>
      <c r="PPB60" s="609"/>
      <c r="PPC60" s="609"/>
      <c r="PPD60" s="609"/>
      <c r="PPE60" s="609"/>
      <c r="PPF60" s="609"/>
      <c r="PPG60" s="609"/>
      <c r="PPH60" s="609"/>
      <c r="PPI60" s="609"/>
      <c r="PPJ60" s="609"/>
      <c r="PPK60" s="609"/>
      <c r="PPL60" s="609"/>
      <c r="PPM60" s="609"/>
      <c r="PPN60" s="609"/>
      <c r="PPO60" s="609"/>
      <c r="PPP60" s="609"/>
      <c r="PPQ60" s="609"/>
      <c r="PPR60" s="609"/>
      <c r="PPS60" s="609"/>
      <c r="PPT60" s="609"/>
      <c r="PPU60" s="609"/>
      <c r="PPV60" s="609"/>
      <c r="PPW60" s="609"/>
      <c r="PPX60" s="609"/>
      <c r="PPY60" s="609"/>
      <c r="PPZ60" s="609"/>
      <c r="PQA60" s="609"/>
      <c r="PQB60" s="609"/>
      <c r="PQC60" s="609"/>
      <c r="PQD60" s="609"/>
      <c r="PQE60" s="609"/>
      <c r="PQF60" s="609"/>
      <c r="PQG60" s="609"/>
      <c r="PQH60" s="609"/>
      <c r="PQI60" s="609"/>
      <c r="PQJ60" s="609"/>
      <c r="PQK60" s="609"/>
      <c r="PQL60" s="609"/>
      <c r="PQM60" s="609"/>
      <c r="PQN60" s="609"/>
      <c r="PQO60" s="609"/>
      <c r="PQP60" s="609"/>
      <c r="PQQ60" s="609"/>
      <c r="PQR60" s="609"/>
      <c r="PQS60" s="609"/>
      <c r="PQT60" s="609"/>
      <c r="PQU60" s="609"/>
      <c r="PQV60" s="609"/>
      <c r="PQW60" s="609"/>
      <c r="PQX60" s="609"/>
      <c r="PQY60" s="609"/>
      <c r="PQZ60" s="609"/>
      <c r="PRA60" s="609"/>
      <c r="PRB60" s="609"/>
      <c r="PRC60" s="609"/>
      <c r="PRD60" s="609"/>
      <c r="PRE60" s="609"/>
      <c r="PRF60" s="609"/>
      <c r="PRG60" s="609"/>
      <c r="PRH60" s="609"/>
      <c r="PRI60" s="609"/>
      <c r="PRJ60" s="609"/>
      <c r="PRK60" s="609"/>
      <c r="PRL60" s="609"/>
      <c r="PRM60" s="609"/>
      <c r="PRN60" s="609"/>
      <c r="PRO60" s="609"/>
      <c r="PRP60" s="609"/>
      <c r="PRQ60" s="609"/>
      <c r="PRR60" s="609"/>
      <c r="PRS60" s="609"/>
      <c r="PRT60" s="609"/>
      <c r="PRU60" s="609"/>
      <c r="PRV60" s="609"/>
      <c r="PRW60" s="609"/>
      <c r="PRX60" s="609"/>
      <c r="PRY60" s="609"/>
      <c r="PRZ60" s="609"/>
      <c r="PSA60" s="609"/>
      <c r="PSB60" s="609"/>
      <c r="PSC60" s="609"/>
      <c r="PSD60" s="609"/>
      <c r="PSE60" s="609"/>
      <c r="PSF60" s="609"/>
      <c r="PSG60" s="609"/>
      <c r="PSH60" s="609"/>
      <c r="PSI60" s="609"/>
      <c r="PSJ60" s="609"/>
      <c r="PSK60" s="609"/>
      <c r="PSL60" s="609"/>
      <c r="PSM60" s="609"/>
      <c r="PSN60" s="609"/>
      <c r="PSO60" s="609"/>
      <c r="PSP60" s="609"/>
      <c r="PSQ60" s="609"/>
      <c r="PSR60" s="609"/>
      <c r="PSS60" s="609"/>
      <c r="PST60" s="609"/>
      <c r="PSU60" s="609"/>
      <c r="PSV60" s="609"/>
      <c r="PSW60" s="609"/>
      <c r="PSX60" s="609"/>
      <c r="PSY60" s="609"/>
      <c r="PSZ60" s="609"/>
      <c r="PTA60" s="609"/>
      <c r="PTB60" s="609"/>
      <c r="PTC60" s="609"/>
      <c r="PTD60" s="609"/>
      <c r="PTE60" s="609"/>
      <c r="PTF60" s="609"/>
      <c r="PTG60" s="609"/>
      <c r="PTH60" s="609"/>
      <c r="PTI60" s="609"/>
      <c r="PTJ60" s="609"/>
      <c r="PTK60" s="609"/>
      <c r="PTL60" s="609"/>
      <c r="PTM60" s="609"/>
      <c r="PTN60" s="609"/>
      <c r="PTO60" s="609"/>
      <c r="PTP60" s="609"/>
      <c r="PTQ60" s="609"/>
      <c r="PTR60" s="609"/>
      <c r="PTS60" s="609"/>
      <c r="PTT60" s="609"/>
      <c r="PTU60" s="609"/>
      <c r="PTV60" s="609"/>
      <c r="PTW60" s="609"/>
      <c r="PTX60" s="609"/>
      <c r="PTY60" s="609"/>
      <c r="PTZ60" s="609"/>
      <c r="PUA60" s="609"/>
      <c r="PUB60" s="609"/>
      <c r="PUC60" s="609"/>
      <c r="PUD60" s="609"/>
      <c r="PUE60" s="609"/>
      <c r="PUF60" s="609"/>
      <c r="PUG60" s="609"/>
      <c r="PUH60" s="609"/>
      <c r="PUI60" s="609"/>
      <c r="PUJ60" s="609"/>
      <c r="PUK60" s="609"/>
      <c r="PUL60" s="609"/>
      <c r="PUM60" s="609"/>
      <c r="PUN60" s="609"/>
      <c r="PUO60" s="609"/>
      <c r="PUP60" s="609"/>
      <c r="PUQ60" s="609"/>
      <c r="PUR60" s="609"/>
      <c r="PUS60" s="609"/>
      <c r="PUT60" s="609"/>
      <c r="PUU60" s="609"/>
      <c r="PUV60" s="609"/>
      <c r="PUW60" s="609"/>
      <c r="PUX60" s="609"/>
      <c r="PUY60" s="609"/>
      <c r="PUZ60" s="609"/>
      <c r="PVA60" s="609"/>
      <c r="PVB60" s="609"/>
      <c r="PVC60" s="609"/>
      <c r="PVD60" s="609"/>
      <c r="PVE60" s="609"/>
      <c r="PVF60" s="609"/>
      <c r="PVG60" s="609"/>
      <c r="PVH60" s="609"/>
      <c r="PVI60" s="609"/>
      <c r="PVJ60" s="609"/>
      <c r="PVK60" s="609"/>
      <c r="PVL60" s="609"/>
      <c r="PVM60" s="609"/>
      <c r="PVN60" s="609"/>
      <c r="PVO60" s="609"/>
      <c r="PVP60" s="609"/>
      <c r="PVQ60" s="609"/>
      <c r="PVR60" s="609"/>
      <c r="PVS60" s="609"/>
      <c r="PVT60" s="609"/>
      <c r="PVU60" s="609"/>
      <c r="PVV60" s="609"/>
      <c r="PVW60" s="609"/>
      <c r="PVX60" s="609"/>
      <c r="PVY60" s="609"/>
      <c r="PVZ60" s="609"/>
      <c r="PWA60" s="609"/>
      <c r="PWB60" s="609"/>
      <c r="PWC60" s="609"/>
      <c r="PWD60" s="609"/>
      <c r="PWE60" s="609"/>
      <c r="PWF60" s="609"/>
      <c r="PWG60" s="609"/>
      <c r="PWH60" s="609"/>
      <c r="PWI60" s="609"/>
      <c r="PWJ60" s="609"/>
      <c r="PWK60" s="609"/>
      <c r="PWL60" s="609"/>
      <c r="PWM60" s="609"/>
      <c r="PWN60" s="609"/>
      <c r="PWO60" s="609"/>
      <c r="PWP60" s="609"/>
      <c r="PWQ60" s="609"/>
      <c r="PWR60" s="609"/>
      <c r="PWS60" s="609"/>
      <c r="PWT60" s="609"/>
      <c r="PWU60" s="609"/>
      <c r="PWV60" s="609"/>
      <c r="PWW60" s="609"/>
      <c r="PWX60" s="609"/>
      <c r="PWY60" s="609"/>
      <c r="PWZ60" s="609"/>
      <c r="PXA60" s="609"/>
      <c r="PXB60" s="609"/>
      <c r="PXC60" s="609"/>
      <c r="PXD60" s="609"/>
      <c r="PXE60" s="609"/>
      <c r="PXF60" s="609"/>
      <c r="PXG60" s="609"/>
      <c r="PXH60" s="609"/>
      <c r="PXI60" s="609"/>
      <c r="PXJ60" s="609"/>
      <c r="PXK60" s="609"/>
      <c r="PXL60" s="609"/>
      <c r="PXM60" s="609"/>
      <c r="PXN60" s="609"/>
      <c r="PXO60" s="609"/>
      <c r="PXP60" s="609"/>
      <c r="PXQ60" s="609"/>
      <c r="PXR60" s="609"/>
      <c r="PXS60" s="609"/>
      <c r="PXT60" s="609"/>
      <c r="PXU60" s="609"/>
      <c r="PXV60" s="609"/>
      <c r="PXW60" s="609"/>
      <c r="PXX60" s="609"/>
      <c r="PXY60" s="609"/>
      <c r="PXZ60" s="609"/>
      <c r="PYA60" s="609"/>
      <c r="PYB60" s="609"/>
      <c r="PYC60" s="609"/>
      <c r="PYD60" s="609"/>
      <c r="PYE60" s="609"/>
      <c r="PYF60" s="609"/>
      <c r="PYG60" s="609"/>
      <c r="PYH60" s="609"/>
      <c r="PYI60" s="609"/>
      <c r="PYJ60" s="609"/>
      <c r="PYK60" s="609"/>
      <c r="PYL60" s="609"/>
      <c r="PYM60" s="609"/>
      <c r="PYN60" s="609"/>
      <c r="PYO60" s="609"/>
      <c r="PYP60" s="609"/>
      <c r="PYQ60" s="609"/>
      <c r="PYR60" s="609"/>
      <c r="PYS60" s="609"/>
      <c r="PYT60" s="609"/>
      <c r="PYU60" s="609"/>
      <c r="PYV60" s="609"/>
      <c r="PYW60" s="609"/>
      <c r="PYX60" s="609"/>
      <c r="PYY60" s="609"/>
      <c r="PYZ60" s="609"/>
      <c r="PZA60" s="609"/>
      <c r="PZB60" s="609"/>
      <c r="PZC60" s="609"/>
      <c r="PZD60" s="609"/>
      <c r="PZE60" s="609"/>
      <c r="PZF60" s="609"/>
      <c r="PZG60" s="609"/>
      <c r="PZH60" s="609"/>
      <c r="PZI60" s="609"/>
      <c r="PZJ60" s="609"/>
      <c r="PZK60" s="609"/>
      <c r="PZL60" s="609"/>
      <c r="PZM60" s="609"/>
      <c r="PZN60" s="609"/>
      <c r="PZO60" s="609"/>
      <c r="PZP60" s="609"/>
      <c r="PZQ60" s="609"/>
      <c r="PZR60" s="609"/>
      <c r="PZS60" s="609"/>
      <c r="PZT60" s="609"/>
      <c r="PZU60" s="609"/>
      <c r="PZV60" s="609"/>
      <c r="PZW60" s="609"/>
      <c r="PZX60" s="609"/>
      <c r="PZY60" s="609"/>
      <c r="PZZ60" s="609"/>
      <c r="QAA60" s="609"/>
      <c r="QAB60" s="609"/>
      <c r="QAC60" s="609"/>
      <c r="QAD60" s="609"/>
      <c r="QAE60" s="609"/>
      <c r="QAF60" s="609"/>
      <c r="QAG60" s="609"/>
      <c r="QAH60" s="609"/>
      <c r="QAI60" s="609"/>
      <c r="QAJ60" s="609"/>
      <c r="QAK60" s="609"/>
      <c r="QAL60" s="609"/>
      <c r="QAM60" s="609"/>
      <c r="QAN60" s="609"/>
      <c r="QAO60" s="609"/>
      <c r="QAP60" s="609"/>
      <c r="QAQ60" s="609"/>
      <c r="QAR60" s="609"/>
      <c r="QAS60" s="609"/>
      <c r="QAT60" s="609"/>
      <c r="QAU60" s="609"/>
      <c r="QAV60" s="609"/>
      <c r="QAW60" s="609"/>
      <c r="QAX60" s="609"/>
      <c r="QAY60" s="609"/>
      <c r="QAZ60" s="609"/>
      <c r="QBA60" s="609"/>
      <c r="QBB60" s="609"/>
      <c r="QBC60" s="609"/>
      <c r="QBD60" s="609"/>
      <c r="QBE60" s="609"/>
      <c r="QBF60" s="609"/>
      <c r="QBG60" s="609"/>
      <c r="QBH60" s="609"/>
      <c r="QBI60" s="609"/>
      <c r="QBJ60" s="609"/>
      <c r="QBK60" s="609"/>
      <c r="QBL60" s="609"/>
      <c r="QBM60" s="609"/>
      <c r="QBN60" s="609"/>
      <c r="QBO60" s="609"/>
      <c r="QBP60" s="609"/>
      <c r="QBQ60" s="609"/>
      <c r="QBR60" s="609"/>
      <c r="QBS60" s="609"/>
      <c r="QBT60" s="609"/>
      <c r="QBU60" s="609"/>
      <c r="QBV60" s="609"/>
      <c r="QBW60" s="609"/>
      <c r="QBX60" s="609"/>
      <c r="QBY60" s="609"/>
      <c r="QBZ60" s="609"/>
      <c r="QCA60" s="609"/>
      <c r="QCB60" s="609"/>
      <c r="QCC60" s="609"/>
      <c r="QCD60" s="609"/>
      <c r="QCE60" s="609"/>
      <c r="QCF60" s="609"/>
      <c r="QCG60" s="609"/>
      <c r="QCH60" s="609"/>
      <c r="QCI60" s="609"/>
      <c r="QCJ60" s="609"/>
      <c r="QCK60" s="609"/>
      <c r="QCL60" s="609"/>
      <c r="QCM60" s="609"/>
      <c r="QCN60" s="609"/>
      <c r="QCO60" s="609"/>
      <c r="QCP60" s="609"/>
      <c r="QCQ60" s="609"/>
      <c r="QCR60" s="609"/>
      <c r="QCS60" s="609"/>
      <c r="QCT60" s="609"/>
      <c r="QCU60" s="609"/>
      <c r="QCV60" s="609"/>
      <c r="QCW60" s="609"/>
      <c r="QCX60" s="609"/>
      <c r="QCY60" s="609"/>
      <c r="QCZ60" s="609"/>
      <c r="QDA60" s="609"/>
      <c r="QDB60" s="609"/>
      <c r="QDC60" s="609"/>
      <c r="QDD60" s="609"/>
      <c r="QDE60" s="609"/>
      <c r="QDF60" s="609"/>
      <c r="QDG60" s="609"/>
      <c r="QDH60" s="609"/>
      <c r="QDI60" s="609"/>
      <c r="QDJ60" s="609"/>
      <c r="QDK60" s="609"/>
      <c r="QDL60" s="609"/>
      <c r="QDM60" s="609"/>
      <c r="QDN60" s="609"/>
      <c r="QDO60" s="609"/>
      <c r="QDP60" s="609"/>
      <c r="QDQ60" s="609"/>
      <c r="QDR60" s="609"/>
      <c r="QDS60" s="609"/>
      <c r="QDT60" s="609"/>
      <c r="QDU60" s="609"/>
      <c r="QDV60" s="609"/>
      <c r="QDW60" s="609"/>
      <c r="QDX60" s="609"/>
      <c r="QDY60" s="609"/>
      <c r="QDZ60" s="609"/>
      <c r="QEA60" s="609"/>
      <c r="QEB60" s="609"/>
      <c r="QEC60" s="609"/>
      <c r="QED60" s="609"/>
      <c r="QEE60" s="609"/>
      <c r="QEF60" s="609"/>
      <c r="QEG60" s="609"/>
      <c r="QEH60" s="609"/>
      <c r="QEI60" s="609"/>
      <c r="QEJ60" s="609"/>
      <c r="QEK60" s="609"/>
      <c r="QEL60" s="609"/>
      <c r="QEM60" s="609"/>
      <c r="QEN60" s="609"/>
      <c r="QEO60" s="609"/>
      <c r="QEP60" s="609"/>
      <c r="QEQ60" s="609"/>
      <c r="QER60" s="609"/>
      <c r="QES60" s="609"/>
      <c r="QET60" s="609"/>
      <c r="QEU60" s="609"/>
      <c r="QEV60" s="609"/>
      <c r="QEW60" s="609"/>
      <c r="QEX60" s="609"/>
      <c r="QEY60" s="609"/>
      <c r="QEZ60" s="609"/>
      <c r="QFA60" s="609"/>
      <c r="QFB60" s="609"/>
      <c r="QFC60" s="609"/>
      <c r="QFD60" s="609"/>
      <c r="QFE60" s="609"/>
      <c r="QFF60" s="609"/>
      <c r="QFG60" s="609"/>
      <c r="QFH60" s="609"/>
      <c r="QFI60" s="609"/>
      <c r="QFJ60" s="609"/>
      <c r="QFK60" s="609"/>
      <c r="QFL60" s="609"/>
      <c r="QFM60" s="609"/>
      <c r="QFN60" s="609"/>
      <c r="QFO60" s="609"/>
      <c r="QFP60" s="609"/>
      <c r="QFQ60" s="609"/>
      <c r="QFR60" s="609"/>
      <c r="QFS60" s="609"/>
      <c r="QFT60" s="609"/>
      <c r="QFU60" s="609"/>
      <c r="QFV60" s="609"/>
      <c r="QFW60" s="609"/>
      <c r="QFX60" s="609"/>
      <c r="QFY60" s="609"/>
      <c r="QFZ60" s="609"/>
      <c r="QGA60" s="609"/>
      <c r="QGB60" s="609"/>
      <c r="QGC60" s="609"/>
      <c r="QGD60" s="609"/>
      <c r="QGE60" s="609"/>
      <c r="QGF60" s="609"/>
      <c r="QGG60" s="609"/>
      <c r="QGH60" s="609"/>
      <c r="QGI60" s="609"/>
      <c r="QGJ60" s="609"/>
      <c r="QGK60" s="609"/>
      <c r="QGL60" s="609"/>
      <c r="QGM60" s="609"/>
      <c r="QGN60" s="609"/>
      <c r="QGO60" s="609"/>
      <c r="QGP60" s="609"/>
      <c r="QGQ60" s="609"/>
      <c r="QGR60" s="609"/>
      <c r="QGS60" s="609"/>
      <c r="QGT60" s="609"/>
      <c r="QGU60" s="609"/>
      <c r="QGV60" s="609"/>
      <c r="QGW60" s="609"/>
      <c r="QGX60" s="609"/>
      <c r="QGY60" s="609"/>
      <c r="QGZ60" s="609"/>
      <c r="QHA60" s="609"/>
      <c r="QHB60" s="609"/>
      <c r="QHC60" s="609"/>
      <c r="QHD60" s="609"/>
      <c r="QHE60" s="609"/>
      <c r="QHF60" s="609"/>
      <c r="QHG60" s="609"/>
      <c r="QHH60" s="609"/>
      <c r="QHI60" s="609"/>
      <c r="QHJ60" s="609"/>
      <c r="QHK60" s="609"/>
      <c r="QHL60" s="609"/>
      <c r="QHM60" s="609"/>
      <c r="QHN60" s="609"/>
      <c r="QHO60" s="609"/>
      <c r="QHP60" s="609"/>
      <c r="QHQ60" s="609"/>
      <c r="QHR60" s="609"/>
      <c r="QHS60" s="609"/>
      <c r="QHT60" s="609"/>
      <c r="QHU60" s="609"/>
      <c r="QHV60" s="609"/>
      <c r="QHW60" s="609"/>
      <c r="QHX60" s="609"/>
      <c r="QHY60" s="609"/>
      <c r="QHZ60" s="609"/>
      <c r="QIA60" s="609"/>
      <c r="QIB60" s="609"/>
      <c r="QIC60" s="609"/>
      <c r="QID60" s="609"/>
      <c r="QIE60" s="609"/>
      <c r="QIF60" s="609"/>
      <c r="QIG60" s="609"/>
      <c r="QIH60" s="609"/>
      <c r="QII60" s="609"/>
      <c r="QIJ60" s="609"/>
      <c r="QIK60" s="609"/>
      <c r="QIL60" s="609"/>
      <c r="QIM60" s="609"/>
      <c r="QIN60" s="609"/>
      <c r="QIO60" s="609"/>
      <c r="QIP60" s="609"/>
      <c r="QIQ60" s="609"/>
      <c r="QIR60" s="609"/>
      <c r="QIS60" s="609"/>
      <c r="QIT60" s="609"/>
      <c r="QIU60" s="609"/>
      <c r="QIV60" s="609"/>
      <c r="QIW60" s="609"/>
      <c r="QIX60" s="609"/>
      <c r="QIY60" s="609"/>
      <c r="QIZ60" s="609"/>
      <c r="QJA60" s="609"/>
      <c r="QJB60" s="609"/>
      <c r="QJC60" s="609"/>
      <c r="QJD60" s="609"/>
      <c r="QJE60" s="609"/>
      <c r="QJF60" s="609"/>
      <c r="QJG60" s="609"/>
      <c r="QJH60" s="609"/>
      <c r="QJI60" s="609"/>
      <c r="QJJ60" s="609"/>
      <c r="QJK60" s="609"/>
      <c r="QJL60" s="609"/>
      <c r="QJM60" s="609"/>
      <c r="QJN60" s="609"/>
      <c r="QJO60" s="609"/>
      <c r="QJP60" s="609"/>
      <c r="QJQ60" s="609"/>
      <c r="QJR60" s="609"/>
      <c r="QJS60" s="609"/>
      <c r="QJT60" s="609"/>
      <c r="QJU60" s="609"/>
      <c r="QJV60" s="609"/>
      <c r="QJW60" s="609"/>
      <c r="QJX60" s="609"/>
      <c r="QJY60" s="609"/>
      <c r="QJZ60" s="609"/>
      <c r="QKA60" s="609"/>
      <c r="QKB60" s="609"/>
      <c r="QKC60" s="609"/>
      <c r="QKD60" s="609"/>
      <c r="QKE60" s="609"/>
      <c r="QKF60" s="609"/>
      <c r="QKG60" s="609"/>
      <c r="QKH60" s="609"/>
      <c r="QKI60" s="609"/>
      <c r="QKJ60" s="609"/>
      <c r="QKK60" s="609"/>
      <c r="QKL60" s="609"/>
      <c r="QKM60" s="609"/>
      <c r="QKN60" s="609"/>
      <c r="QKO60" s="609"/>
      <c r="QKP60" s="609"/>
      <c r="QKQ60" s="609"/>
      <c r="QKR60" s="609"/>
      <c r="QKS60" s="609"/>
      <c r="QKT60" s="609"/>
      <c r="QKU60" s="609"/>
      <c r="QKV60" s="609"/>
      <c r="QKW60" s="609"/>
      <c r="QKX60" s="609"/>
      <c r="QKY60" s="609"/>
      <c r="QKZ60" s="609"/>
      <c r="QLA60" s="609"/>
      <c r="QLB60" s="609"/>
      <c r="QLC60" s="609"/>
      <c r="QLD60" s="609"/>
      <c r="QLE60" s="609"/>
      <c r="QLF60" s="609"/>
      <c r="QLG60" s="609"/>
      <c r="QLH60" s="609"/>
      <c r="QLI60" s="609"/>
      <c r="QLJ60" s="609"/>
      <c r="QLK60" s="609"/>
      <c r="QLL60" s="609"/>
      <c r="QLM60" s="609"/>
      <c r="QLN60" s="609"/>
      <c r="QLO60" s="609"/>
      <c r="QLP60" s="609"/>
      <c r="QLQ60" s="609"/>
      <c r="QLR60" s="609"/>
      <c r="QLS60" s="609"/>
      <c r="QLT60" s="609"/>
      <c r="QLU60" s="609"/>
      <c r="QLV60" s="609"/>
      <c r="QLW60" s="609"/>
      <c r="QLX60" s="609"/>
      <c r="QLY60" s="609"/>
      <c r="QLZ60" s="609"/>
      <c r="QMA60" s="609"/>
      <c r="QMB60" s="609"/>
      <c r="QMC60" s="609"/>
      <c r="QMD60" s="609"/>
      <c r="QME60" s="609"/>
      <c r="QMF60" s="609"/>
      <c r="QMG60" s="609"/>
      <c r="QMH60" s="609"/>
      <c r="QMI60" s="609"/>
      <c r="QMJ60" s="609"/>
      <c r="QMK60" s="609"/>
      <c r="QML60" s="609"/>
      <c r="QMM60" s="609"/>
      <c r="QMN60" s="609"/>
      <c r="QMO60" s="609"/>
      <c r="QMP60" s="609"/>
      <c r="QMQ60" s="609"/>
      <c r="QMR60" s="609"/>
      <c r="QMS60" s="609"/>
      <c r="QMT60" s="609"/>
      <c r="QMU60" s="609"/>
      <c r="QMV60" s="609"/>
      <c r="QMW60" s="609"/>
      <c r="QMX60" s="609"/>
      <c r="QMY60" s="609"/>
      <c r="QMZ60" s="609"/>
      <c r="QNA60" s="609"/>
      <c r="QNB60" s="609"/>
      <c r="QNC60" s="609"/>
      <c r="QND60" s="609"/>
      <c r="QNE60" s="609"/>
      <c r="QNF60" s="609"/>
      <c r="QNG60" s="609"/>
      <c r="QNH60" s="609"/>
      <c r="QNI60" s="609"/>
      <c r="QNJ60" s="609"/>
      <c r="QNK60" s="609"/>
      <c r="QNL60" s="609"/>
      <c r="QNM60" s="609"/>
      <c r="QNN60" s="609"/>
      <c r="QNO60" s="609"/>
      <c r="QNP60" s="609"/>
      <c r="QNQ60" s="609"/>
      <c r="QNR60" s="609"/>
      <c r="QNS60" s="609"/>
      <c r="QNT60" s="609"/>
      <c r="QNU60" s="609"/>
      <c r="QNV60" s="609"/>
      <c r="QNW60" s="609"/>
      <c r="QNX60" s="609"/>
      <c r="QNY60" s="609"/>
      <c r="QNZ60" s="609"/>
      <c r="QOA60" s="609"/>
      <c r="QOB60" s="609"/>
      <c r="QOC60" s="609"/>
      <c r="QOD60" s="609"/>
      <c r="QOE60" s="609"/>
      <c r="QOF60" s="609"/>
      <c r="QOG60" s="609"/>
      <c r="QOH60" s="609"/>
      <c r="QOI60" s="609"/>
      <c r="QOJ60" s="609"/>
      <c r="QOK60" s="609"/>
      <c r="QOL60" s="609"/>
      <c r="QOM60" s="609"/>
      <c r="QON60" s="609"/>
      <c r="QOO60" s="609"/>
      <c r="QOP60" s="609"/>
      <c r="QOQ60" s="609"/>
      <c r="QOR60" s="609"/>
      <c r="QOS60" s="609"/>
      <c r="QOT60" s="609"/>
      <c r="QOU60" s="609"/>
      <c r="QOV60" s="609"/>
      <c r="QOW60" s="609"/>
      <c r="QOX60" s="609"/>
      <c r="QOY60" s="609"/>
      <c r="QOZ60" s="609"/>
      <c r="QPA60" s="609"/>
      <c r="QPB60" s="609"/>
      <c r="QPC60" s="609"/>
      <c r="QPD60" s="609"/>
      <c r="QPE60" s="609"/>
      <c r="QPF60" s="609"/>
      <c r="QPG60" s="609"/>
      <c r="QPH60" s="609"/>
      <c r="QPI60" s="609"/>
      <c r="QPJ60" s="609"/>
      <c r="QPK60" s="609"/>
      <c r="QPL60" s="609"/>
      <c r="QPM60" s="609"/>
      <c r="QPN60" s="609"/>
      <c r="QPO60" s="609"/>
      <c r="QPP60" s="609"/>
      <c r="QPQ60" s="609"/>
      <c r="QPR60" s="609"/>
      <c r="QPS60" s="609"/>
      <c r="QPT60" s="609"/>
      <c r="QPU60" s="609"/>
      <c r="QPV60" s="609"/>
      <c r="QPW60" s="609"/>
      <c r="QPX60" s="609"/>
      <c r="QPY60" s="609"/>
      <c r="QPZ60" s="609"/>
      <c r="QQA60" s="609"/>
      <c r="QQB60" s="609"/>
      <c r="QQC60" s="609"/>
      <c r="QQD60" s="609"/>
      <c r="QQE60" s="609"/>
      <c r="QQF60" s="609"/>
      <c r="QQG60" s="609"/>
      <c r="QQH60" s="609"/>
      <c r="QQI60" s="609"/>
      <c r="QQJ60" s="609"/>
      <c r="QQK60" s="609"/>
      <c r="QQL60" s="609"/>
      <c r="QQM60" s="609"/>
      <c r="QQN60" s="609"/>
      <c r="QQO60" s="609"/>
      <c r="QQP60" s="609"/>
      <c r="QQQ60" s="609"/>
      <c r="QQR60" s="609"/>
      <c r="QQS60" s="609"/>
      <c r="QQT60" s="609"/>
      <c r="QQU60" s="609"/>
      <c r="QQV60" s="609"/>
      <c r="QQW60" s="609"/>
      <c r="QQX60" s="609"/>
      <c r="QQY60" s="609"/>
      <c r="QQZ60" s="609"/>
      <c r="QRA60" s="609"/>
      <c r="QRB60" s="609"/>
      <c r="QRC60" s="609"/>
      <c r="QRD60" s="609"/>
      <c r="QRE60" s="609"/>
      <c r="QRF60" s="609"/>
      <c r="QRG60" s="609"/>
      <c r="QRH60" s="609"/>
      <c r="QRI60" s="609"/>
      <c r="QRJ60" s="609"/>
      <c r="QRK60" s="609"/>
      <c r="QRL60" s="609"/>
      <c r="QRM60" s="609"/>
      <c r="QRN60" s="609"/>
      <c r="QRO60" s="609"/>
      <c r="QRP60" s="609"/>
      <c r="QRQ60" s="609"/>
      <c r="QRR60" s="609"/>
      <c r="QRS60" s="609"/>
      <c r="QRT60" s="609"/>
      <c r="QRU60" s="609"/>
      <c r="QRV60" s="609"/>
      <c r="QRW60" s="609"/>
      <c r="QRX60" s="609"/>
      <c r="QRY60" s="609"/>
      <c r="QRZ60" s="609"/>
      <c r="QSA60" s="609"/>
      <c r="QSB60" s="609"/>
      <c r="QSC60" s="609"/>
      <c r="QSD60" s="609"/>
      <c r="QSE60" s="609"/>
      <c r="QSF60" s="609"/>
      <c r="QSG60" s="609"/>
      <c r="QSH60" s="609"/>
      <c r="QSI60" s="609"/>
      <c r="QSJ60" s="609"/>
      <c r="QSK60" s="609"/>
      <c r="QSL60" s="609"/>
      <c r="QSM60" s="609"/>
      <c r="QSN60" s="609"/>
      <c r="QSO60" s="609"/>
      <c r="QSP60" s="609"/>
      <c r="QSQ60" s="609"/>
      <c r="QSR60" s="609"/>
      <c r="QSS60" s="609"/>
      <c r="QST60" s="609"/>
      <c r="QSU60" s="609"/>
      <c r="QSV60" s="609"/>
      <c r="QSW60" s="609"/>
      <c r="QSX60" s="609"/>
      <c r="QSY60" s="609"/>
      <c r="QSZ60" s="609"/>
      <c r="QTA60" s="609"/>
      <c r="QTB60" s="609"/>
      <c r="QTC60" s="609"/>
      <c r="QTD60" s="609"/>
      <c r="QTE60" s="609"/>
      <c r="QTF60" s="609"/>
      <c r="QTG60" s="609"/>
      <c r="QTH60" s="609"/>
      <c r="QTI60" s="609"/>
      <c r="QTJ60" s="609"/>
      <c r="QTK60" s="609"/>
      <c r="QTL60" s="609"/>
      <c r="QTM60" s="609"/>
      <c r="QTN60" s="609"/>
      <c r="QTO60" s="609"/>
      <c r="QTP60" s="609"/>
      <c r="QTQ60" s="609"/>
      <c r="QTR60" s="609"/>
      <c r="QTS60" s="609"/>
      <c r="QTT60" s="609"/>
      <c r="QTU60" s="609"/>
      <c r="QTV60" s="609"/>
      <c r="QTW60" s="609"/>
      <c r="QTX60" s="609"/>
      <c r="QTY60" s="609"/>
      <c r="QTZ60" s="609"/>
      <c r="QUA60" s="609"/>
      <c r="QUB60" s="609"/>
      <c r="QUC60" s="609"/>
      <c r="QUD60" s="609"/>
      <c r="QUE60" s="609"/>
      <c r="QUF60" s="609"/>
      <c r="QUG60" s="609"/>
      <c r="QUH60" s="609"/>
      <c r="QUI60" s="609"/>
      <c r="QUJ60" s="609"/>
      <c r="QUK60" s="609"/>
      <c r="QUL60" s="609"/>
      <c r="QUM60" s="609"/>
      <c r="QUN60" s="609"/>
      <c r="QUO60" s="609"/>
      <c r="QUP60" s="609"/>
      <c r="QUQ60" s="609"/>
      <c r="QUR60" s="609"/>
      <c r="QUS60" s="609"/>
      <c r="QUT60" s="609"/>
      <c r="QUU60" s="609"/>
      <c r="QUV60" s="609"/>
      <c r="QUW60" s="609"/>
      <c r="QUX60" s="609"/>
      <c r="QUY60" s="609"/>
      <c r="QUZ60" s="609"/>
      <c r="QVA60" s="609"/>
      <c r="QVB60" s="609"/>
      <c r="QVC60" s="609"/>
      <c r="QVD60" s="609"/>
      <c r="QVE60" s="609"/>
      <c r="QVF60" s="609"/>
      <c r="QVG60" s="609"/>
      <c r="QVH60" s="609"/>
      <c r="QVI60" s="609"/>
      <c r="QVJ60" s="609"/>
      <c r="QVK60" s="609"/>
      <c r="QVL60" s="609"/>
      <c r="QVM60" s="609"/>
      <c r="QVN60" s="609"/>
      <c r="QVO60" s="609"/>
      <c r="QVP60" s="609"/>
      <c r="QVQ60" s="609"/>
      <c r="QVR60" s="609"/>
      <c r="QVS60" s="609"/>
      <c r="QVT60" s="609"/>
      <c r="QVU60" s="609"/>
      <c r="QVV60" s="609"/>
      <c r="QVW60" s="609"/>
      <c r="QVX60" s="609"/>
      <c r="QVY60" s="609"/>
      <c r="QVZ60" s="609"/>
      <c r="QWA60" s="609"/>
      <c r="QWB60" s="609"/>
      <c r="QWC60" s="609"/>
      <c r="QWD60" s="609"/>
      <c r="QWE60" s="609"/>
      <c r="QWF60" s="609"/>
      <c r="QWG60" s="609"/>
      <c r="QWH60" s="609"/>
      <c r="QWI60" s="609"/>
      <c r="QWJ60" s="609"/>
      <c r="QWK60" s="609"/>
      <c r="QWL60" s="609"/>
      <c r="QWM60" s="609"/>
      <c r="QWN60" s="609"/>
      <c r="QWO60" s="609"/>
      <c r="QWP60" s="609"/>
      <c r="QWQ60" s="609"/>
      <c r="QWR60" s="609"/>
      <c r="QWS60" s="609"/>
      <c r="QWT60" s="609"/>
      <c r="QWU60" s="609"/>
      <c r="QWV60" s="609"/>
      <c r="QWW60" s="609"/>
      <c r="QWX60" s="609"/>
      <c r="QWY60" s="609"/>
      <c r="QWZ60" s="609"/>
      <c r="QXA60" s="609"/>
      <c r="QXB60" s="609"/>
      <c r="QXC60" s="609"/>
      <c r="QXD60" s="609"/>
      <c r="QXE60" s="609"/>
      <c r="QXF60" s="609"/>
      <c r="QXG60" s="609"/>
      <c r="QXH60" s="609"/>
      <c r="QXI60" s="609"/>
      <c r="QXJ60" s="609"/>
      <c r="QXK60" s="609"/>
      <c r="QXL60" s="609"/>
      <c r="QXM60" s="609"/>
      <c r="QXN60" s="609"/>
      <c r="QXO60" s="609"/>
      <c r="QXP60" s="609"/>
      <c r="QXQ60" s="609"/>
      <c r="QXR60" s="609"/>
      <c r="QXS60" s="609"/>
      <c r="QXT60" s="609"/>
      <c r="QXU60" s="609"/>
      <c r="QXV60" s="609"/>
      <c r="QXW60" s="609"/>
      <c r="QXX60" s="609"/>
      <c r="QXY60" s="609"/>
      <c r="QXZ60" s="609"/>
      <c r="QYA60" s="609"/>
      <c r="QYB60" s="609"/>
      <c r="QYC60" s="609"/>
      <c r="QYD60" s="609"/>
      <c r="QYE60" s="609"/>
      <c r="QYF60" s="609"/>
      <c r="QYG60" s="609"/>
      <c r="QYH60" s="609"/>
      <c r="QYI60" s="609"/>
      <c r="QYJ60" s="609"/>
      <c r="QYK60" s="609"/>
      <c r="QYL60" s="609"/>
      <c r="QYM60" s="609"/>
      <c r="QYN60" s="609"/>
      <c r="QYO60" s="609"/>
      <c r="QYP60" s="609"/>
      <c r="QYQ60" s="609"/>
      <c r="QYR60" s="609"/>
      <c r="QYS60" s="609"/>
      <c r="QYT60" s="609"/>
      <c r="QYU60" s="609"/>
      <c r="QYV60" s="609"/>
      <c r="QYW60" s="609"/>
      <c r="QYX60" s="609"/>
      <c r="QYY60" s="609"/>
      <c r="QYZ60" s="609"/>
      <c r="QZA60" s="609"/>
      <c r="QZB60" s="609"/>
      <c r="QZC60" s="609"/>
      <c r="QZD60" s="609"/>
      <c r="QZE60" s="609"/>
      <c r="QZF60" s="609"/>
      <c r="QZG60" s="609"/>
      <c r="QZH60" s="609"/>
      <c r="QZI60" s="609"/>
      <c r="QZJ60" s="609"/>
      <c r="QZK60" s="609"/>
      <c r="QZL60" s="609"/>
      <c r="QZM60" s="609"/>
      <c r="QZN60" s="609"/>
      <c r="QZO60" s="609"/>
      <c r="QZP60" s="609"/>
      <c r="QZQ60" s="609"/>
      <c r="QZR60" s="609"/>
      <c r="QZS60" s="609"/>
      <c r="QZT60" s="609"/>
      <c r="QZU60" s="609"/>
      <c r="QZV60" s="609"/>
      <c r="QZW60" s="609"/>
      <c r="QZX60" s="609"/>
      <c r="QZY60" s="609"/>
      <c r="QZZ60" s="609"/>
      <c r="RAA60" s="609"/>
      <c r="RAB60" s="609"/>
      <c r="RAC60" s="609"/>
      <c r="RAD60" s="609"/>
      <c r="RAE60" s="609"/>
      <c r="RAF60" s="609"/>
      <c r="RAG60" s="609"/>
      <c r="RAH60" s="609"/>
      <c r="RAI60" s="609"/>
      <c r="RAJ60" s="609"/>
      <c r="RAK60" s="609"/>
      <c r="RAL60" s="609"/>
      <c r="RAM60" s="609"/>
      <c r="RAN60" s="609"/>
      <c r="RAO60" s="609"/>
      <c r="RAP60" s="609"/>
      <c r="RAQ60" s="609"/>
      <c r="RAR60" s="609"/>
      <c r="RAS60" s="609"/>
      <c r="RAT60" s="609"/>
      <c r="RAU60" s="609"/>
      <c r="RAV60" s="609"/>
      <c r="RAW60" s="609"/>
      <c r="RAX60" s="609"/>
      <c r="RAY60" s="609"/>
      <c r="RAZ60" s="609"/>
      <c r="RBA60" s="609"/>
      <c r="RBB60" s="609"/>
      <c r="RBC60" s="609"/>
      <c r="RBD60" s="609"/>
      <c r="RBE60" s="609"/>
      <c r="RBF60" s="609"/>
      <c r="RBG60" s="609"/>
      <c r="RBH60" s="609"/>
      <c r="RBI60" s="609"/>
      <c r="RBJ60" s="609"/>
      <c r="RBK60" s="609"/>
      <c r="RBL60" s="609"/>
      <c r="RBM60" s="609"/>
      <c r="RBN60" s="609"/>
      <c r="RBO60" s="609"/>
      <c r="RBP60" s="609"/>
      <c r="RBQ60" s="609"/>
      <c r="RBR60" s="609"/>
      <c r="RBS60" s="609"/>
      <c r="RBT60" s="609"/>
      <c r="RBU60" s="609"/>
      <c r="RBV60" s="609"/>
      <c r="RBW60" s="609"/>
      <c r="RBX60" s="609"/>
      <c r="RBY60" s="609"/>
      <c r="RBZ60" s="609"/>
      <c r="RCA60" s="609"/>
      <c r="RCB60" s="609"/>
      <c r="RCC60" s="609"/>
      <c r="RCD60" s="609"/>
      <c r="RCE60" s="609"/>
      <c r="RCF60" s="609"/>
      <c r="RCG60" s="609"/>
      <c r="RCH60" s="609"/>
      <c r="RCI60" s="609"/>
      <c r="RCJ60" s="609"/>
      <c r="RCK60" s="609"/>
      <c r="RCL60" s="609"/>
      <c r="RCM60" s="609"/>
      <c r="RCN60" s="609"/>
      <c r="RCO60" s="609"/>
      <c r="RCP60" s="609"/>
      <c r="RCQ60" s="609"/>
      <c r="RCR60" s="609"/>
      <c r="RCS60" s="609"/>
      <c r="RCT60" s="609"/>
      <c r="RCU60" s="609"/>
      <c r="RCV60" s="609"/>
      <c r="RCW60" s="609"/>
      <c r="RCX60" s="609"/>
      <c r="RCY60" s="609"/>
      <c r="RCZ60" s="609"/>
      <c r="RDA60" s="609"/>
      <c r="RDB60" s="609"/>
      <c r="RDC60" s="609"/>
      <c r="RDD60" s="609"/>
      <c r="RDE60" s="609"/>
      <c r="RDF60" s="609"/>
      <c r="RDG60" s="609"/>
      <c r="RDH60" s="609"/>
      <c r="RDI60" s="609"/>
      <c r="RDJ60" s="609"/>
      <c r="RDK60" s="609"/>
      <c r="RDL60" s="609"/>
      <c r="RDM60" s="609"/>
      <c r="RDN60" s="609"/>
      <c r="RDO60" s="609"/>
      <c r="RDP60" s="609"/>
      <c r="RDQ60" s="609"/>
      <c r="RDR60" s="609"/>
      <c r="RDS60" s="609"/>
      <c r="RDT60" s="609"/>
      <c r="RDU60" s="609"/>
      <c r="RDV60" s="609"/>
      <c r="RDW60" s="609"/>
      <c r="RDX60" s="609"/>
      <c r="RDY60" s="609"/>
      <c r="RDZ60" s="609"/>
      <c r="REA60" s="609"/>
      <c r="REB60" s="609"/>
      <c r="REC60" s="609"/>
      <c r="RED60" s="609"/>
      <c r="REE60" s="609"/>
      <c r="REF60" s="609"/>
      <c r="REG60" s="609"/>
      <c r="REH60" s="609"/>
      <c r="REI60" s="609"/>
      <c r="REJ60" s="609"/>
      <c r="REK60" s="609"/>
      <c r="REL60" s="609"/>
      <c r="REM60" s="609"/>
      <c r="REN60" s="609"/>
      <c r="REO60" s="609"/>
      <c r="REP60" s="609"/>
      <c r="REQ60" s="609"/>
      <c r="RER60" s="609"/>
      <c r="RES60" s="609"/>
      <c r="RET60" s="609"/>
      <c r="REU60" s="609"/>
      <c r="REV60" s="609"/>
      <c r="REW60" s="609"/>
      <c r="REX60" s="609"/>
      <c r="REY60" s="609"/>
      <c r="REZ60" s="609"/>
      <c r="RFA60" s="609"/>
      <c r="RFB60" s="609"/>
      <c r="RFC60" s="609"/>
      <c r="RFD60" s="609"/>
      <c r="RFE60" s="609"/>
      <c r="RFF60" s="609"/>
      <c r="RFG60" s="609"/>
      <c r="RFH60" s="609"/>
      <c r="RFI60" s="609"/>
      <c r="RFJ60" s="609"/>
      <c r="RFK60" s="609"/>
      <c r="RFL60" s="609"/>
      <c r="RFM60" s="609"/>
      <c r="RFN60" s="609"/>
      <c r="RFO60" s="609"/>
      <c r="RFP60" s="609"/>
      <c r="RFQ60" s="609"/>
      <c r="RFR60" s="609"/>
      <c r="RFS60" s="609"/>
      <c r="RFT60" s="609"/>
      <c r="RFU60" s="609"/>
      <c r="RFV60" s="609"/>
      <c r="RFW60" s="609"/>
      <c r="RFX60" s="609"/>
      <c r="RFY60" s="609"/>
      <c r="RFZ60" s="609"/>
      <c r="RGA60" s="609"/>
      <c r="RGB60" s="609"/>
      <c r="RGC60" s="609"/>
      <c r="RGD60" s="609"/>
      <c r="RGE60" s="609"/>
      <c r="RGF60" s="609"/>
      <c r="RGG60" s="609"/>
      <c r="RGH60" s="609"/>
      <c r="RGI60" s="609"/>
      <c r="RGJ60" s="609"/>
      <c r="RGK60" s="609"/>
      <c r="RGL60" s="609"/>
      <c r="RGM60" s="609"/>
      <c r="RGN60" s="609"/>
      <c r="RGO60" s="609"/>
      <c r="RGP60" s="609"/>
      <c r="RGQ60" s="609"/>
      <c r="RGR60" s="609"/>
      <c r="RGS60" s="609"/>
      <c r="RGT60" s="609"/>
      <c r="RGU60" s="609"/>
      <c r="RGV60" s="609"/>
      <c r="RGW60" s="609"/>
      <c r="RGX60" s="609"/>
      <c r="RGY60" s="609"/>
      <c r="RGZ60" s="609"/>
      <c r="RHA60" s="609"/>
      <c r="RHB60" s="609"/>
      <c r="RHC60" s="609"/>
      <c r="RHD60" s="609"/>
      <c r="RHE60" s="609"/>
      <c r="RHF60" s="609"/>
      <c r="RHG60" s="609"/>
      <c r="RHH60" s="609"/>
      <c r="RHI60" s="609"/>
      <c r="RHJ60" s="609"/>
      <c r="RHK60" s="609"/>
      <c r="RHL60" s="609"/>
      <c r="RHM60" s="609"/>
      <c r="RHN60" s="609"/>
      <c r="RHO60" s="609"/>
      <c r="RHP60" s="609"/>
      <c r="RHQ60" s="609"/>
      <c r="RHR60" s="609"/>
      <c r="RHS60" s="609"/>
      <c r="RHT60" s="609"/>
      <c r="RHU60" s="609"/>
      <c r="RHV60" s="609"/>
      <c r="RHW60" s="609"/>
      <c r="RHX60" s="609"/>
      <c r="RHY60" s="609"/>
      <c r="RHZ60" s="609"/>
      <c r="RIA60" s="609"/>
      <c r="RIB60" s="609"/>
      <c r="RIC60" s="609"/>
      <c r="RID60" s="609"/>
      <c r="RIE60" s="609"/>
      <c r="RIF60" s="609"/>
      <c r="RIG60" s="609"/>
      <c r="RIH60" s="609"/>
      <c r="RII60" s="609"/>
      <c r="RIJ60" s="609"/>
      <c r="RIK60" s="609"/>
      <c r="RIL60" s="609"/>
      <c r="RIM60" s="609"/>
      <c r="RIN60" s="609"/>
      <c r="RIO60" s="609"/>
      <c r="RIP60" s="609"/>
      <c r="RIQ60" s="609"/>
      <c r="RIR60" s="609"/>
      <c r="RIS60" s="609"/>
      <c r="RIT60" s="609"/>
      <c r="RIU60" s="609"/>
      <c r="RIV60" s="609"/>
      <c r="RIW60" s="609"/>
      <c r="RIX60" s="609"/>
      <c r="RIY60" s="609"/>
      <c r="RIZ60" s="609"/>
      <c r="RJA60" s="609"/>
      <c r="RJB60" s="609"/>
      <c r="RJC60" s="609"/>
      <c r="RJD60" s="609"/>
      <c r="RJE60" s="609"/>
      <c r="RJF60" s="609"/>
      <c r="RJG60" s="609"/>
      <c r="RJH60" s="609"/>
      <c r="RJI60" s="609"/>
      <c r="RJJ60" s="609"/>
      <c r="RJK60" s="609"/>
      <c r="RJL60" s="609"/>
      <c r="RJM60" s="609"/>
      <c r="RJN60" s="609"/>
      <c r="RJO60" s="609"/>
      <c r="RJP60" s="609"/>
      <c r="RJQ60" s="609"/>
      <c r="RJR60" s="609"/>
      <c r="RJS60" s="609"/>
      <c r="RJT60" s="609"/>
      <c r="RJU60" s="609"/>
      <c r="RJV60" s="609"/>
      <c r="RJW60" s="609"/>
      <c r="RJX60" s="609"/>
      <c r="RJY60" s="609"/>
      <c r="RJZ60" s="609"/>
      <c r="RKA60" s="609"/>
      <c r="RKB60" s="609"/>
      <c r="RKC60" s="609"/>
      <c r="RKD60" s="609"/>
      <c r="RKE60" s="609"/>
      <c r="RKF60" s="609"/>
      <c r="RKG60" s="609"/>
      <c r="RKH60" s="609"/>
      <c r="RKI60" s="609"/>
      <c r="RKJ60" s="609"/>
      <c r="RKK60" s="609"/>
      <c r="RKL60" s="609"/>
      <c r="RKM60" s="609"/>
      <c r="RKN60" s="609"/>
      <c r="RKO60" s="609"/>
      <c r="RKP60" s="609"/>
      <c r="RKQ60" s="609"/>
      <c r="RKR60" s="609"/>
      <c r="RKS60" s="609"/>
      <c r="RKT60" s="609"/>
      <c r="RKU60" s="609"/>
      <c r="RKV60" s="609"/>
      <c r="RKW60" s="609"/>
      <c r="RKX60" s="609"/>
      <c r="RKY60" s="609"/>
      <c r="RKZ60" s="609"/>
      <c r="RLA60" s="609"/>
      <c r="RLB60" s="609"/>
      <c r="RLC60" s="609"/>
      <c r="RLD60" s="609"/>
      <c r="RLE60" s="609"/>
      <c r="RLF60" s="609"/>
      <c r="RLG60" s="609"/>
      <c r="RLH60" s="609"/>
      <c r="RLI60" s="609"/>
      <c r="RLJ60" s="609"/>
      <c r="RLK60" s="609"/>
      <c r="RLL60" s="609"/>
      <c r="RLM60" s="609"/>
      <c r="RLN60" s="609"/>
      <c r="RLO60" s="609"/>
      <c r="RLP60" s="609"/>
      <c r="RLQ60" s="609"/>
      <c r="RLR60" s="609"/>
      <c r="RLS60" s="609"/>
      <c r="RLT60" s="609"/>
      <c r="RLU60" s="609"/>
      <c r="RLV60" s="609"/>
      <c r="RLW60" s="609"/>
      <c r="RLX60" s="609"/>
      <c r="RLY60" s="609"/>
      <c r="RLZ60" s="609"/>
      <c r="RMA60" s="609"/>
      <c r="RMB60" s="609"/>
      <c r="RMC60" s="609"/>
      <c r="RMD60" s="609"/>
      <c r="RME60" s="609"/>
      <c r="RMF60" s="609"/>
      <c r="RMG60" s="609"/>
      <c r="RMH60" s="609"/>
      <c r="RMI60" s="609"/>
      <c r="RMJ60" s="609"/>
      <c r="RMK60" s="609"/>
      <c r="RML60" s="609"/>
      <c r="RMM60" s="609"/>
      <c r="RMN60" s="609"/>
      <c r="RMO60" s="609"/>
      <c r="RMP60" s="609"/>
      <c r="RMQ60" s="609"/>
      <c r="RMR60" s="609"/>
      <c r="RMS60" s="609"/>
      <c r="RMT60" s="609"/>
      <c r="RMU60" s="609"/>
      <c r="RMV60" s="609"/>
      <c r="RMW60" s="609"/>
      <c r="RMX60" s="609"/>
      <c r="RMY60" s="609"/>
      <c r="RMZ60" s="609"/>
      <c r="RNA60" s="609"/>
      <c r="RNB60" s="609"/>
      <c r="RNC60" s="609"/>
      <c r="RND60" s="609"/>
      <c r="RNE60" s="609"/>
      <c r="RNF60" s="609"/>
      <c r="RNG60" s="609"/>
      <c r="RNH60" s="609"/>
      <c r="RNI60" s="609"/>
      <c r="RNJ60" s="609"/>
      <c r="RNK60" s="609"/>
      <c r="RNL60" s="609"/>
      <c r="RNM60" s="609"/>
      <c r="RNN60" s="609"/>
      <c r="RNO60" s="609"/>
      <c r="RNP60" s="609"/>
      <c r="RNQ60" s="609"/>
      <c r="RNR60" s="609"/>
      <c r="RNS60" s="609"/>
      <c r="RNT60" s="609"/>
      <c r="RNU60" s="609"/>
      <c r="RNV60" s="609"/>
      <c r="RNW60" s="609"/>
      <c r="RNX60" s="609"/>
      <c r="RNY60" s="609"/>
      <c r="RNZ60" s="609"/>
      <c r="ROA60" s="609"/>
      <c r="ROB60" s="609"/>
      <c r="ROC60" s="609"/>
      <c r="ROD60" s="609"/>
      <c r="ROE60" s="609"/>
      <c r="ROF60" s="609"/>
      <c r="ROG60" s="609"/>
      <c r="ROH60" s="609"/>
      <c r="ROI60" s="609"/>
      <c r="ROJ60" s="609"/>
      <c r="ROK60" s="609"/>
      <c r="ROL60" s="609"/>
      <c r="ROM60" s="609"/>
      <c r="RON60" s="609"/>
      <c r="ROO60" s="609"/>
      <c r="ROP60" s="609"/>
      <c r="ROQ60" s="609"/>
      <c r="ROR60" s="609"/>
      <c r="ROS60" s="609"/>
      <c r="ROT60" s="609"/>
      <c r="ROU60" s="609"/>
      <c r="ROV60" s="609"/>
      <c r="ROW60" s="609"/>
      <c r="ROX60" s="609"/>
      <c r="ROY60" s="609"/>
      <c r="ROZ60" s="609"/>
      <c r="RPA60" s="609"/>
      <c r="RPB60" s="609"/>
      <c r="RPC60" s="609"/>
      <c r="RPD60" s="609"/>
      <c r="RPE60" s="609"/>
      <c r="RPF60" s="609"/>
      <c r="RPG60" s="609"/>
      <c r="RPH60" s="609"/>
      <c r="RPI60" s="609"/>
      <c r="RPJ60" s="609"/>
      <c r="RPK60" s="609"/>
      <c r="RPL60" s="609"/>
      <c r="RPM60" s="609"/>
      <c r="RPN60" s="609"/>
      <c r="RPO60" s="609"/>
      <c r="RPP60" s="609"/>
      <c r="RPQ60" s="609"/>
      <c r="RPR60" s="609"/>
      <c r="RPS60" s="609"/>
      <c r="RPT60" s="609"/>
      <c r="RPU60" s="609"/>
      <c r="RPV60" s="609"/>
      <c r="RPW60" s="609"/>
      <c r="RPX60" s="609"/>
      <c r="RPY60" s="609"/>
      <c r="RPZ60" s="609"/>
      <c r="RQA60" s="609"/>
      <c r="RQB60" s="609"/>
      <c r="RQC60" s="609"/>
      <c r="RQD60" s="609"/>
      <c r="RQE60" s="609"/>
      <c r="RQF60" s="609"/>
      <c r="RQG60" s="609"/>
      <c r="RQH60" s="609"/>
      <c r="RQI60" s="609"/>
      <c r="RQJ60" s="609"/>
      <c r="RQK60" s="609"/>
      <c r="RQL60" s="609"/>
      <c r="RQM60" s="609"/>
      <c r="RQN60" s="609"/>
      <c r="RQO60" s="609"/>
      <c r="RQP60" s="609"/>
      <c r="RQQ60" s="609"/>
      <c r="RQR60" s="609"/>
      <c r="RQS60" s="609"/>
      <c r="RQT60" s="609"/>
      <c r="RQU60" s="609"/>
      <c r="RQV60" s="609"/>
      <c r="RQW60" s="609"/>
      <c r="RQX60" s="609"/>
      <c r="RQY60" s="609"/>
      <c r="RQZ60" s="609"/>
      <c r="RRA60" s="609"/>
      <c r="RRB60" s="609"/>
      <c r="RRC60" s="609"/>
      <c r="RRD60" s="609"/>
      <c r="RRE60" s="609"/>
      <c r="RRF60" s="609"/>
      <c r="RRG60" s="609"/>
      <c r="RRH60" s="609"/>
      <c r="RRI60" s="609"/>
      <c r="RRJ60" s="609"/>
      <c r="RRK60" s="609"/>
      <c r="RRL60" s="609"/>
      <c r="RRM60" s="609"/>
      <c r="RRN60" s="609"/>
      <c r="RRO60" s="609"/>
      <c r="RRP60" s="609"/>
      <c r="RRQ60" s="609"/>
      <c r="RRR60" s="609"/>
      <c r="RRS60" s="609"/>
      <c r="RRT60" s="609"/>
      <c r="RRU60" s="609"/>
      <c r="RRV60" s="609"/>
      <c r="RRW60" s="609"/>
      <c r="RRX60" s="609"/>
      <c r="RRY60" s="609"/>
      <c r="RRZ60" s="609"/>
      <c r="RSA60" s="609"/>
      <c r="RSB60" s="609"/>
      <c r="RSC60" s="609"/>
      <c r="RSD60" s="609"/>
      <c r="RSE60" s="609"/>
      <c r="RSF60" s="609"/>
      <c r="RSG60" s="609"/>
      <c r="RSH60" s="609"/>
      <c r="RSI60" s="609"/>
      <c r="RSJ60" s="609"/>
      <c r="RSK60" s="609"/>
      <c r="RSL60" s="609"/>
      <c r="RSM60" s="609"/>
      <c r="RSN60" s="609"/>
      <c r="RSO60" s="609"/>
      <c r="RSP60" s="609"/>
      <c r="RSQ60" s="609"/>
      <c r="RSR60" s="609"/>
      <c r="RSS60" s="609"/>
      <c r="RST60" s="609"/>
      <c r="RSU60" s="609"/>
      <c r="RSV60" s="609"/>
      <c r="RSW60" s="609"/>
      <c r="RSX60" s="609"/>
      <c r="RSY60" s="609"/>
      <c r="RSZ60" s="609"/>
      <c r="RTA60" s="609"/>
      <c r="RTB60" s="609"/>
      <c r="RTC60" s="609"/>
      <c r="RTD60" s="609"/>
      <c r="RTE60" s="609"/>
      <c r="RTF60" s="609"/>
      <c r="RTG60" s="609"/>
      <c r="RTH60" s="609"/>
      <c r="RTI60" s="609"/>
      <c r="RTJ60" s="609"/>
      <c r="RTK60" s="609"/>
      <c r="RTL60" s="609"/>
      <c r="RTM60" s="609"/>
      <c r="RTN60" s="609"/>
      <c r="RTO60" s="609"/>
      <c r="RTP60" s="609"/>
      <c r="RTQ60" s="609"/>
      <c r="RTR60" s="609"/>
      <c r="RTS60" s="609"/>
      <c r="RTT60" s="609"/>
      <c r="RTU60" s="609"/>
      <c r="RTV60" s="609"/>
      <c r="RTW60" s="609"/>
      <c r="RTX60" s="609"/>
      <c r="RTY60" s="609"/>
      <c r="RTZ60" s="609"/>
      <c r="RUA60" s="609"/>
      <c r="RUB60" s="609"/>
      <c r="RUC60" s="609"/>
      <c r="RUD60" s="609"/>
      <c r="RUE60" s="609"/>
      <c r="RUF60" s="609"/>
      <c r="RUG60" s="609"/>
      <c r="RUH60" s="609"/>
      <c r="RUI60" s="609"/>
      <c r="RUJ60" s="609"/>
      <c r="RUK60" s="609"/>
      <c r="RUL60" s="609"/>
      <c r="RUM60" s="609"/>
      <c r="RUN60" s="609"/>
      <c r="RUO60" s="609"/>
      <c r="RUP60" s="609"/>
      <c r="RUQ60" s="609"/>
      <c r="RUR60" s="609"/>
      <c r="RUS60" s="609"/>
      <c r="RUT60" s="609"/>
      <c r="RUU60" s="609"/>
      <c r="RUV60" s="609"/>
      <c r="RUW60" s="609"/>
      <c r="RUX60" s="609"/>
      <c r="RUY60" s="609"/>
      <c r="RUZ60" s="609"/>
      <c r="RVA60" s="609"/>
      <c r="RVB60" s="609"/>
      <c r="RVC60" s="609"/>
      <c r="RVD60" s="609"/>
      <c r="RVE60" s="609"/>
      <c r="RVF60" s="609"/>
      <c r="RVG60" s="609"/>
      <c r="RVH60" s="609"/>
      <c r="RVI60" s="609"/>
      <c r="RVJ60" s="609"/>
      <c r="RVK60" s="609"/>
      <c r="RVL60" s="609"/>
      <c r="RVM60" s="609"/>
      <c r="RVN60" s="609"/>
      <c r="RVO60" s="609"/>
      <c r="RVP60" s="609"/>
      <c r="RVQ60" s="609"/>
      <c r="RVR60" s="609"/>
      <c r="RVS60" s="609"/>
      <c r="RVT60" s="609"/>
      <c r="RVU60" s="609"/>
      <c r="RVV60" s="609"/>
      <c r="RVW60" s="609"/>
      <c r="RVX60" s="609"/>
      <c r="RVY60" s="609"/>
      <c r="RVZ60" s="609"/>
      <c r="RWA60" s="609"/>
      <c r="RWB60" s="609"/>
      <c r="RWC60" s="609"/>
      <c r="RWD60" s="609"/>
      <c r="RWE60" s="609"/>
      <c r="RWF60" s="609"/>
      <c r="RWG60" s="609"/>
      <c r="RWH60" s="609"/>
      <c r="RWI60" s="609"/>
      <c r="RWJ60" s="609"/>
      <c r="RWK60" s="609"/>
      <c r="RWL60" s="609"/>
      <c r="RWM60" s="609"/>
      <c r="RWN60" s="609"/>
      <c r="RWO60" s="609"/>
      <c r="RWP60" s="609"/>
      <c r="RWQ60" s="609"/>
      <c r="RWR60" s="609"/>
      <c r="RWS60" s="609"/>
      <c r="RWT60" s="609"/>
      <c r="RWU60" s="609"/>
      <c r="RWV60" s="609"/>
      <c r="RWW60" s="609"/>
      <c r="RWX60" s="609"/>
      <c r="RWY60" s="609"/>
      <c r="RWZ60" s="609"/>
      <c r="RXA60" s="609"/>
      <c r="RXB60" s="609"/>
      <c r="RXC60" s="609"/>
      <c r="RXD60" s="609"/>
      <c r="RXE60" s="609"/>
      <c r="RXF60" s="609"/>
      <c r="RXG60" s="609"/>
      <c r="RXH60" s="609"/>
      <c r="RXI60" s="609"/>
      <c r="RXJ60" s="609"/>
      <c r="RXK60" s="609"/>
      <c r="RXL60" s="609"/>
      <c r="RXM60" s="609"/>
      <c r="RXN60" s="609"/>
      <c r="RXO60" s="609"/>
      <c r="RXP60" s="609"/>
      <c r="RXQ60" s="609"/>
      <c r="RXR60" s="609"/>
      <c r="RXS60" s="609"/>
      <c r="RXT60" s="609"/>
      <c r="RXU60" s="609"/>
      <c r="RXV60" s="609"/>
      <c r="RXW60" s="609"/>
      <c r="RXX60" s="609"/>
      <c r="RXY60" s="609"/>
      <c r="RXZ60" s="609"/>
      <c r="RYA60" s="609"/>
      <c r="RYB60" s="609"/>
      <c r="RYC60" s="609"/>
      <c r="RYD60" s="609"/>
      <c r="RYE60" s="609"/>
      <c r="RYF60" s="609"/>
      <c r="RYG60" s="609"/>
      <c r="RYH60" s="609"/>
      <c r="RYI60" s="609"/>
      <c r="RYJ60" s="609"/>
      <c r="RYK60" s="609"/>
      <c r="RYL60" s="609"/>
      <c r="RYM60" s="609"/>
      <c r="RYN60" s="609"/>
      <c r="RYO60" s="609"/>
      <c r="RYP60" s="609"/>
      <c r="RYQ60" s="609"/>
      <c r="RYR60" s="609"/>
      <c r="RYS60" s="609"/>
      <c r="RYT60" s="609"/>
      <c r="RYU60" s="609"/>
      <c r="RYV60" s="609"/>
      <c r="RYW60" s="609"/>
      <c r="RYX60" s="609"/>
      <c r="RYY60" s="609"/>
      <c r="RYZ60" s="609"/>
      <c r="RZA60" s="609"/>
      <c r="RZB60" s="609"/>
      <c r="RZC60" s="609"/>
      <c r="RZD60" s="609"/>
      <c r="RZE60" s="609"/>
      <c r="RZF60" s="609"/>
      <c r="RZG60" s="609"/>
      <c r="RZH60" s="609"/>
      <c r="RZI60" s="609"/>
      <c r="RZJ60" s="609"/>
      <c r="RZK60" s="609"/>
      <c r="RZL60" s="609"/>
      <c r="RZM60" s="609"/>
      <c r="RZN60" s="609"/>
      <c r="RZO60" s="609"/>
      <c r="RZP60" s="609"/>
      <c r="RZQ60" s="609"/>
      <c r="RZR60" s="609"/>
      <c r="RZS60" s="609"/>
      <c r="RZT60" s="609"/>
      <c r="RZU60" s="609"/>
      <c r="RZV60" s="609"/>
      <c r="RZW60" s="609"/>
      <c r="RZX60" s="609"/>
      <c r="RZY60" s="609"/>
      <c r="RZZ60" s="609"/>
      <c r="SAA60" s="609"/>
      <c r="SAB60" s="609"/>
      <c r="SAC60" s="609"/>
      <c r="SAD60" s="609"/>
      <c r="SAE60" s="609"/>
      <c r="SAF60" s="609"/>
      <c r="SAG60" s="609"/>
      <c r="SAH60" s="609"/>
      <c r="SAI60" s="609"/>
      <c r="SAJ60" s="609"/>
      <c r="SAK60" s="609"/>
      <c r="SAL60" s="609"/>
      <c r="SAM60" s="609"/>
      <c r="SAN60" s="609"/>
      <c r="SAO60" s="609"/>
      <c r="SAP60" s="609"/>
      <c r="SAQ60" s="609"/>
      <c r="SAR60" s="609"/>
      <c r="SAS60" s="609"/>
      <c r="SAT60" s="609"/>
      <c r="SAU60" s="609"/>
      <c r="SAV60" s="609"/>
      <c r="SAW60" s="609"/>
      <c r="SAX60" s="609"/>
      <c r="SAY60" s="609"/>
      <c r="SAZ60" s="609"/>
      <c r="SBA60" s="609"/>
      <c r="SBB60" s="609"/>
      <c r="SBC60" s="609"/>
      <c r="SBD60" s="609"/>
      <c r="SBE60" s="609"/>
      <c r="SBF60" s="609"/>
      <c r="SBG60" s="609"/>
      <c r="SBH60" s="609"/>
      <c r="SBI60" s="609"/>
      <c r="SBJ60" s="609"/>
      <c r="SBK60" s="609"/>
      <c r="SBL60" s="609"/>
      <c r="SBM60" s="609"/>
      <c r="SBN60" s="609"/>
      <c r="SBO60" s="609"/>
      <c r="SBP60" s="609"/>
      <c r="SBQ60" s="609"/>
      <c r="SBR60" s="609"/>
      <c r="SBS60" s="609"/>
      <c r="SBT60" s="609"/>
      <c r="SBU60" s="609"/>
      <c r="SBV60" s="609"/>
      <c r="SBW60" s="609"/>
      <c r="SBX60" s="609"/>
      <c r="SBY60" s="609"/>
      <c r="SBZ60" s="609"/>
      <c r="SCA60" s="609"/>
      <c r="SCB60" s="609"/>
      <c r="SCC60" s="609"/>
      <c r="SCD60" s="609"/>
      <c r="SCE60" s="609"/>
      <c r="SCF60" s="609"/>
      <c r="SCG60" s="609"/>
      <c r="SCH60" s="609"/>
      <c r="SCI60" s="609"/>
      <c r="SCJ60" s="609"/>
      <c r="SCK60" s="609"/>
      <c r="SCL60" s="609"/>
      <c r="SCM60" s="609"/>
      <c r="SCN60" s="609"/>
      <c r="SCO60" s="609"/>
      <c r="SCP60" s="609"/>
      <c r="SCQ60" s="609"/>
      <c r="SCR60" s="609"/>
      <c r="SCS60" s="609"/>
      <c r="SCT60" s="609"/>
      <c r="SCU60" s="609"/>
      <c r="SCV60" s="609"/>
      <c r="SCW60" s="609"/>
      <c r="SCX60" s="609"/>
      <c r="SCY60" s="609"/>
      <c r="SCZ60" s="609"/>
      <c r="SDA60" s="609"/>
      <c r="SDB60" s="609"/>
      <c r="SDC60" s="609"/>
      <c r="SDD60" s="609"/>
      <c r="SDE60" s="609"/>
      <c r="SDF60" s="609"/>
      <c r="SDG60" s="609"/>
      <c r="SDH60" s="609"/>
      <c r="SDI60" s="609"/>
      <c r="SDJ60" s="609"/>
      <c r="SDK60" s="609"/>
      <c r="SDL60" s="609"/>
      <c r="SDM60" s="609"/>
      <c r="SDN60" s="609"/>
      <c r="SDO60" s="609"/>
      <c r="SDP60" s="609"/>
      <c r="SDQ60" s="609"/>
      <c r="SDR60" s="609"/>
      <c r="SDS60" s="609"/>
      <c r="SDT60" s="609"/>
      <c r="SDU60" s="609"/>
      <c r="SDV60" s="609"/>
      <c r="SDW60" s="609"/>
      <c r="SDX60" s="609"/>
      <c r="SDY60" s="609"/>
      <c r="SDZ60" s="609"/>
      <c r="SEA60" s="609"/>
      <c r="SEB60" s="609"/>
      <c r="SEC60" s="609"/>
      <c r="SED60" s="609"/>
      <c r="SEE60" s="609"/>
      <c r="SEF60" s="609"/>
      <c r="SEG60" s="609"/>
      <c r="SEH60" s="609"/>
      <c r="SEI60" s="609"/>
      <c r="SEJ60" s="609"/>
      <c r="SEK60" s="609"/>
      <c r="SEL60" s="609"/>
      <c r="SEM60" s="609"/>
      <c r="SEN60" s="609"/>
      <c r="SEO60" s="609"/>
      <c r="SEP60" s="609"/>
      <c r="SEQ60" s="609"/>
      <c r="SER60" s="609"/>
      <c r="SES60" s="609"/>
      <c r="SET60" s="609"/>
      <c r="SEU60" s="609"/>
      <c r="SEV60" s="609"/>
      <c r="SEW60" s="609"/>
      <c r="SEX60" s="609"/>
      <c r="SEY60" s="609"/>
      <c r="SEZ60" s="609"/>
      <c r="SFA60" s="609"/>
      <c r="SFB60" s="609"/>
      <c r="SFC60" s="609"/>
      <c r="SFD60" s="609"/>
      <c r="SFE60" s="609"/>
      <c r="SFF60" s="609"/>
      <c r="SFG60" s="609"/>
      <c r="SFH60" s="609"/>
      <c r="SFI60" s="609"/>
      <c r="SFJ60" s="609"/>
      <c r="SFK60" s="609"/>
      <c r="SFL60" s="609"/>
      <c r="SFM60" s="609"/>
      <c r="SFN60" s="609"/>
      <c r="SFO60" s="609"/>
      <c r="SFP60" s="609"/>
      <c r="SFQ60" s="609"/>
      <c r="SFR60" s="609"/>
      <c r="SFS60" s="609"/>
      <c r="SFT60" s="609"/>
      <c r="SFU60" s="609"/>
      <c r="SFV60" s="609"/>
      <c r="SFW60" s="609"/>
      <c r="SFX60" s="609"/>
      <c r="SFY60" s="609"/>
      <c r="SFZ60" s="609"/>
      <c r="SGA60" s="609"/>
      <c r="SGB60" s="609"/>
      <c r="SGC60" s="609"/>
      <c r="SGD60" s="609"/>
      <c r="SGE60" s="609"/>
      <c r="SGF60" s="609"/>
      <c r="SGG60" s="609"/>
      <c r="SGH60" s="609"/>
      <c r="SGI60" s="609"/>
      <c r="SGJ60" s="609"/>
      <c r="SGK60" s="609"/>
      <c r="SGL60" s="609"/>
      <c r="SGM60" s="609"/>
      <c r="SGN60" s="609"/>
      <c r="SGO60" s="609"/>
      <c r="SGP60" s="609"/>
      <c r="SGQ60" s="609"/>
      <c r="SGR60" s="609"/>
      <c r="SGS60" s="609"/>
      <c r="SGT60" s="609"/>
      <c r="SGU60" s="609"/>
      <c r="SGV60" s="609"/>
      <c r="SGW60" s="609"/>
      <c r="SGX60" s="609"/>
      <c r="SGY60" s="609"/>
      <c r="SGZ60" s="609"/>
      <c r="SHA60" s="609"/>
      <c r="SHB60" s="609"/>
      <c r="SHC60" s="609"/>
      <c r="SHD60" s="609"/>
      <c r="SHE60" s="609"/>
      <c r="SHF60" s="609"/>
      <c r="SHG60" s="609"/>
      <c r="SHH60" s="609"/>
      <c r="SHI60" s="609"/>
      <c r="SHJ60" s="609"/>
      <c r="SHK60" s="609"/>
      <c r="SHL60" s="609"/>
      <c r="SHM60" s="609"/>
      <c r="SHN60" s="609"/>
      <c r="SHO60" s="609"/>
      <c r="SHP60" s="609"/>
      <c r="SHQ60" s="609"/>
      <c r="SHR60" s="609"/>
      <c r="SHS60" s="609"/>
      <c r="SHT60" s="609"/>
      <c r="SHU60" s="609"/>
      <c r="SHV60" s="609"/>
      <c r="SHW60" s="609"/>
      <c r="SHX60" s="609"/>
      <c r="SHY60" s="609"/>
      <c r="SHZ60" s="609"/>
      <c r="SIA60" s="609"/>
      <c r="SIB60" s="609"/>
      <c r="SIC60" s="609"/>
      <c r="SID60" s="609"/>
      <c r="SIE60" s="609"/>
      <c r="SIF60" s="609"/>
      <c r="SIG60" s="609"/>
      <c r="SIH60" s="609"/>
      <c r="SII60" s="609"/>
      <c r="SIJ60" s="609"/>
      <c r="SIK60" s="609"/>
      <c r="SIL60" s="609"/>
      <c r="SIM60" s="609"/>
      <c r="SIN60" s="609"/>
      <c r="SIO60" s="609"/>
      <c r="SIP60" s="609"/>
      <c r="SIQ60" s="609"/>
      <c r="SIR60" s="609"/>
      <c r="SIS60" s="609"/>
      <c r="SIT60" s="609"/>
      <c r="SIU60" s="609"/>
      <c r="SIV60" s="609"/>
      <c r="SIW60" s="609"/>
      <c r="SIX60" s="609"/>
      <c r="SIY60" s="609"/>
      <c r="SIZ60" s="609"/>
      <c r="SJA60" s="609"/>
      <c r="SJB60" s="609"/>
      <c r="SJC60" s="609"/>
      <c r="SJD60" s="609"/>
      <c r="SJE60" s="609"/>
      <c r="SJF60" s="609"/>
      <c r="SJG60" s="609"/>
      <c r="SJH60" s="609"/>
      <c r="SJI60" s="609"/>
      <c r="SJJ60" s="609"/>
      <c r="SJK60" s="609"/>
      <c r="SJL60" s="609"/>
      <c r="SJM60" s="609"/>
      <c r="SJN60" s="609"/>
      <c r="SJO60" s="609"/>
      <c r="SJP60" s="609"/>
      <c r="SJQ60" s="609"/>
      <c r="SJR60" s="609"/>
      <c r="SJS60" s="609"/>
      <c r="SJT60" s="609"/>
      <c r="SJU60" s="609"/>
      <c r="SJV60" s="609"/>
      <c r="SJW60" s="609"/>
      <c r="SJX60" s="609"/>
      <c r="SJY60" s="609"/>
      <c r="SJZ60" s="609"/>
      <c r="SKA60" s="609"/>
      <c r="SKB60" s="609"/>
      <c r="SKC60" s="609"/>
      <c r="SKD60" s="609"/>
      <c r="SKE60" s="609"/>
      <c r="SKF60" s="609"/>
      <c r="SKG60" s="609"/>
      <c r="SKH60" s="609"/>
      <c r="SKI60" s="609"/>
      <c r="SKJ60" s="609"/>
      <c r="SKK60" s="609"/>
      <c r="SKL60" s="609"/>
      <c r="SKM60" s="609"/>
      <c r="SKN60" s="609"/>
      <c r="SKO60" s="609"/>
      <c r="SKP60" s="609"/>
      <c r="SKQ60" s="609"/>
      <c r="SKR60" s="609"/>
      <c r="SKS60" s="609"/>
      <c r="SKT60" s="609"/>
      <c r="SKU60" s="609"/>
      <c r="SKV60" s="609"/>
      <c r="SKW60" s="609"/>
      <c r="SKX60" s="609"/>
      <c r="SKY60" s="609"/>
      <c r="SKZ60" s="609"/>
      <c r="SLA60" s="609"/>
      <c r="SLB60" s="609"/>
      <c r="SLC60" s="609"/>
      <c r="SLD60" s="609"/>
      <c r="SLE60" s="609"/>
      <c r="SLF60" s="609"/>
      <c r="SLG60" s="609"/>
      <c r="SLH60" s="609"/>
      <c r="SLI60" s="609"/>
      <c r="SLJ60" s="609"/>
      <c r="SLK60" s="609"/>
      <c r="SLL60" s="609"/>
      <c r="SLM60" s="609"/>
      <c r="SLN60" s="609"/>
      <c r="SLO60" s="609"/>
      <c r="SLP60" s="609"/>
      <c r="SLQ60" s="609"/>
      <c r="SLR60" s="609"/>
      <c r="SLS60" s="609"/>
      <c r="SLT60" s="609"/>
      <c r="SLU60" s="609"/>
      <c r="SLV60" s="609"/>
      <c r="SLW60" s="609"/>
      <c r="SLX60" s="609"/>
      <c r="SLY60" s="609"/>
      <c r="SLZ60" s="609"/>
      <c r="SMA60" s="609"/>
      <c r="SMB60" s="609"/>
      <c r="SMC60" s="609"/>
      <c r="SMD60" s="609"/>
      <c r="SME60" s="609"/>
      <c r="SMF60" s="609"/>
      <c r="SMG60" s="609"/>
      <c r="SMH60" s="609"/>
      <c r="SMI60" s="609"/>
      <c r="SMJ60" s="609"/>
      <c r="SMK60" s="609"/>
      <c r="SML60" s="609"/>
      <c r="SMM60" s="609"/>
      <c r="SMN60" s="609"/>
      <c r="SMO60" s="609"/>
      <c r="SMP60" s="609"/>
      <c r="SMQ60" s="609"/>
      <c r="SMR60" s="609"/>
      <c r="SMS60" s="609"/>
      <c r="SMT60" s="609"/>
      <c r="SMU60" s="609"/>
      <c r="SMV60" s="609"/>
      <c r="SMW60" s="609"/>
      <c r="SMX60" s="609"/>
      <c r="SMY60" s="609"/>
      <c r="SMZ60" s="609"/>
      <c r="SNA60" s="609"/>
      <c r="SNB60" s="609"/>
      <c r="SNC60" s="609"/>
      <c r="SND60" s="609"/>
      <c r="SNE60" s="609"/>
      <c r="SNF60" s="609"/>
      <c r="SNG60" s="609"/>
      <c r="SNH60" s="609"/>
      <c r="SNI60" s="609"/>
      <c r="SNJ60" s="609"/>
      <c r="SNK60" s="609"/>
      <c r="SNL60" s="609"/>
      <c r="SNM60" s="609"/>
      <c r="SNN60" s="609"/>
      <c r="SNO60" s="609"/>
      <c r="SNP60" s="609"/>
      <c r="SNQ60" s="609"/>
      <c r="SNR60" s="609"/>
      <c r="SNS60" s="609"/>
      <c r="SNT60" s="609"/>
      <c r="SNU60" s="609"/>
      <c r="SNV60" s="609"/>
      <c r="SNW60" s="609"/>
      <c r="SNX60" s="609"/>
      <c r="SNY60" s="609"/>
      <c r="SNZ60" s="609"/>
      <c r="SOA60" s="609"/>
      <c r="SOB60" s="609"/>
      <c r="SOC60" s="609"/>
      <c r="SOD60" s="609"/>
      <c r="SOE60" s="609"/>
      <c r="SOF60" s="609"/>
      <c r="SOG60" s="609"/>
      <c r="SOH60" s="609"/>
      <c r="SOI60" s="609"/>
      <c r="SOJ60" s="609"/>
      <c r="SOK60" s="609"/>
      <c r="SOL60" s="609"/>
      <c r="SOM60" s="609"/>
      <c r="SON60" s="609"/>
      <c r="SOO60" s="609"/>
      <c r="SOP60" s="609"/>
      <c r="SOQ60" s="609"/>
      <c r="SOR60" s="609"/>
      <c r="SOS60" s="609"/>
      <c r="SOT60" s="609"/>
      <c r="SOU60" s="609"/>
      <c r="SOV60" s="609"/>
      <c r="SOW60" s="609"/>
      <c r="SOX60" s="609"/>
      <c r="SOY60" s="609"/>
      <c r="SOZ60" s="609"/>
      <c r="SPA60" s="609"/>
      <c r="SPB60" s="609"/>
      <c r="SPC60" s="609"/>
      <c r="SPD60" s="609"/>
      <c r="SPE60" s="609"/>
      <c r="SPF60" s="609"/>
      <c r="SPG60" s="609"/>
      <c r="SPH60" s="609"/>
      <c r="SPI60" s="609"/>
      <c r="SPJ60" s="609"/>
      <c r="SPK60" s="609"/>
      <c r="SPL60" s="609"/>
      <c r="SPM60" s="609"/>
      <c r="SPN60" s="609"/>
      <c r="SPO60" s="609"/>
      <c r="SPP60" s="609"/>
      <c r="SPQ60" s="609"/>
      <c r="SPR60" s="609"/>
      <c r="SPS60" s="609"/>
      <c r="SPT60" s="609"/>
      <c r="SPU60" s="609"/>
      <c r="SPV60" s="609"/>
      <c r="SPW60" s="609"/>
      <c r="SPX60" s="609"/>
      <c r="SPY60" s="609"/>
      <c r="SPZ60" s="609"/>
      <c r="SQA60" s="609"/>
      <c r="SQB60" s="609"/>
      <c r="SQC60" s="609"/>
      <c r="SQD60" s="609"/>
      <c r="SQE60" s="609"/>
      <c r="SQF60" s="609"/>
      <c r="SQG60" s="609"/>
      <c r="SQH60" s="609"/>
      <c r="SQI60" s="609"/>
      <c r="SQJ60" s="609"/>
      <c r="SQK60" s="609"/>
      <c r="SQL60" s="609"/>
      <c r="SQM60" s="609"/>
      <c r="SQN60" s="609"/>
      <c r="SQO60" s="609"/>
      <c r="SQP60" s="609"/>
      <c r="SQQ60" s="609"/>
      <c r="SQR60" s="609"/>
      <c r="SQS60" s="609"/>
      <c r="SQT60" s="609"/>
      <c r="SQU60" s="609"/>
      <c r="SQV60" s="609"/>
      <c r="SQW60" s="609"/>
      <c r="SQX60" s="609"/>
      <c r="SQY60" s="609"/>
      <c r="SQZ60" s="609"/>
      <c r="SRA60" s="609"/>
      <c r="SRB60" s="609"/>
      <c r="SRC60" s="609"/>
      <c r="SRD60" s="609"/>
      <c r="SRE60" s="609"/>
      <c r="SRF60" s="609"/>
      <c r="SRG60" s="609"/>
      <c r="SRH60" s="609"/>
      <c r="SRI60" s="609"/>
      <c r="SRJ60" s="609"/>
      <c r="SRK60" s="609"/>
      <c r="SRL60" s="609"/>
      <c r="SRM60" s="609"/>
      <c r="SRN60" s="609"/>
      <c r="SRO60" s="609"/>
      <c r="SRP60" s="609"/>
      <c r="SRQ60" s="609"/>
      <c r="SRR60" s="609"/>
      <c r="SRS60" s="609"/>
      <c r="SRT60" s="609"/>
      <c r="SRU60" s="609"/>
      <c r="SRV60" s="609"/>
      <c r="SRW60" s="609"/>
      <c r="SRX60" s="609"/>
      <c r="SRY60" s="609"/>
      <c r="SRZ60" s="609"/>
      <c r="SSA60" s="609"/>
      <c r="SSB60" s="609"/>
      <c r="SSC60" s="609"/>
      <c r="SSD60" s="609"/>
      <c r="SSE60" s="609"/>
      <c r="SSF60" s="609"/>
      <c r="SSG60" s="609"/>
      <c r="SSH60" s="609"/>
      <c r="SSI60" s="609"/>
      <c r="SSJ60" s="609"/>
      <c r="SSK60" s="609"/>
      <c r="SSL60" s="609"/>
      <c r="SSM60" s="609"/>
      <c r="SSN60" s="609"/>
      <c r="SSO60" s="609"/>
      <c r="SSP60" s="609"/>
      <c r="SSQ60" s="609"/>
      <c r="SSR60" s="609"/>
      <c r="SSS60" s="609"/>
      <c r="SST60" s="609"/>
      <c r="SSU60" s="609"/>
      <c r="SSV60" s="609"/>
      <c r="SSW60" s="609"/>
      <c r="SSX60" s="609"/>
      <c r="SSY60" s="609"/>
      <c r="SSZ60" s="609"/>
      <c r="STA60" s="609"/>
      <c r="STB60" s="609"/>
      <c r="STC60" s="609"/>
      <c r="STD60" s="609"/>
      <c r="STE60" s="609"/>
      <c r="STF60" s="609"/>
      <c r="STG60" s="609"/>
      <c r="STH60" s="609"/>
      <c r="STI60" s="609"/>
      <c r="STJ60" s="609"/>
      <c r="STK60" s="609"/>
      <c r="STL60" s="609"/>
      <c r="STM60" s="609"/>
      <c r="STN60" s="609"/>
      <c r="STO60" s="609"/>
      <c r="STP60" s="609"/>
      <c r="STQ60" s="609"/>
      <c r="STR60" s="609"/>
      <c r="STS60" s="609"/>
      <c r="STT60" s="609"/>
      <c r="STU60" s="609"/>
      <c r="STV60" s="609"/>
      <c r="STW60" s="609"/>
      <c r="STX60" s="609"/>
      <c r="STY60" s="609"/>
      <c r="STZ60" s="609"/>
      <c r="SUA60" s="609"/>
      <c r="SUB60" s="609"/>
      <c r="SUC60" s="609"/>
      <c r="SUD60" s="609"/>
      <c r="SUE60" s="609"/>
      <c r="SUF60" s="609"/>
      <c r="SUG60" s="609"/>
      <c r="SUH60" s="609"/>
      <c r="SUI60" s="609"/>
      <c r="SUJ60" s="609"/>
      <c r="SUK60" s="609"/>
      <c r="SUL60" s="609"/>
      <c r="SUM60" s="609"/>
      <c r="SUN60" s="609"/>
      <c r="SUO60" s="609"/>
      <c r="SUP60" s="609"/>
      <c r="SUQ60" s="609"/>
      <c r="SUR60" s="609"/>
      <c r="SUS60" s="609"/>
      <c r="SUT60" s="609"/>
      <c r="SUU60" s="609"/>
      <c r="SUV60" s="609"/>
      <c r="SUW60" s="609"/>
      <c r="SUX60" s="609"/>
      <c r="SUY60" s="609"/>
      <c r="SUZ60" s="609"/>
      <c r="SVA60" s="609"/>
      <c r="SVB60" s="609"/>
      <c r="SVC60" s="609"/>
      <c r="SVD60" s="609"/>
      <c r="SVE60" s="609"/>
      <c r="SVF60" s="609"/>
      <c r="SVG60" s="609"/>
      <c r="SVH60" s="609"/>
      <c r="SVI60" s="609"/>
      <c r="SVJ60" s="609"/>
      <c r="SVK60" s="609"/>
      <c r="SVL60" s="609"/>
      <c r="SVM60" s="609"/>
      <c r="SVN60" s="609"/>
      <c r="SVO60" s="609"/>
      <c r="SVP60" s="609"/>
      <c r="SVQ60" s="609"/>
      <c r="SVR60" s="609"/>
      <c r="SVS60" s="609"/>
      <c r="SVT60" s="609"/>
      <c r="SVU60" s="609"/>
      <c r="SVV60" s="609"/>
      <c r="SVW60" s="609"/>
      <c r="SVX60" s="609"/>
      <c r="SVY60" s="609"/>
      <c r="SVZ60" s="609"/>
      <c r="SWA60" s="609"/>
      <c r="SWB60" s="609"/>
      <c r="SWC60" s="609"/>
      <c r="SWD60" s="609"/>
      <c r="SWE60" s="609"/>
      <c r="SWF60" s="609"/>
      <c r="SWG60" s="609"/>
      <c r="SWH60" s="609"/>
      <c r="SWI60" s="609"/>
      <c r="SWJ60" s="609"/>
      <c r="SWK60" s="609"/>
      <c r="SWL60" s="609"/>
      <c r="SWM60" s="609"/>
      <c r="SWN60" s="609"/>
      <c r="SWO60" s="609"/>
      <c r="SWP60" s="609"/>
      <c r="SWQ60" s="609"/>
      <c r="SWR60" s="609"/>
      <c r="SWS60" s="609"/>
      <c r="SWT60" s="609"/>
      <c r="SWU60" s="609"/>
      <c r="SWV60" s="609"/>
      <c r="SWW60" s="609"/>
      <c r="SWX60" s="609"/>
      <c r="SWY60" s="609"/>
      <c r="SWZ60" s="609"/>
      <c r="SXA60" s="609"/>
      <c r="SXB60" s="609"/>
      <c r="SXC60" s="609"/>
      <c r="SXD60" s="609"/>
      <c r="SXE60" s="609"/>
      <c r="SXF60" s="609"/>
      <c r="SXG60" s="609"/>
      <c r="SXH60" s="609"/>
      <c r="SXI60" s="609"/>
      <c r="SXJ60" s="609"/>
      <c r="SXK60" s="609"/>
      <c r="SXL60" s="609"/>
      <c r="SXM60" s="609"/>
      <c r="SXN60" s="609"/>
      <c r="SXO60" s="609"/>
      <c r="SXP60" s="609"/>
      <c r="SXQ60" s="609"/>
      <c r="SXR60" s="609"/>
      <c r="SXS60" s="609"/>
      <c r="SXT60" s="609"/>
      <c r="SXU60" s="609"/>
      <c r="SXV60" s="609"/>
      <c r="SXW60" s="609"/>
      <c r="SXX60" s="609"/>
      <c r="SXY60" s="609"/>
      <c r="SXZ60" s="609"/>
      <c r="SYA60" s="609"/>
      <c r="SYB60" s="609"/>
      <c r="SYC60" s="609"/>
      <c r="SYD60" s="609"/>
      <c r="SYE60" s="609"/>
      <c r="SYF60" s="609"/>
      <c r="SYG60" s="609"/>
      <c r="SYH60" s="609"/>
      <c r="SYI60" s="609"/>
      <c r="SYJ60" s="609"/>
      <c r="SYK60" s="609"/>
      <c r="SYL60" s="609"/>
      <c r="SYM60" s="609"/>
      <c r="SYN60" s="609"/>
      <c r="SYO60" s="609"/>
      <c r="SYP60" s="609"/>
      <c r="SYQ60" s="609"/>
      <c r="SYR60" s="609"/>
      <c r="SYS60" s="609"/>
      <c r="SYT60" s="609"/>
      <c r="SYU60" s="609"/>
      <c r="SYV60" s="609"/>
      <c r="SYW60" s="609"/>
      <c r="SYX60" s="609"/>
      <c r="SYY60" s="609"/>
      <c r="SYZ60" s="609"/>
      <c r="SZA60" s="609"/>
      <c r="SZB60" s="609"/>
      <c r="SZC60" s="609"/>
      <c r="SZD60" s="609"/>
      <c r="SZE60" s="609"/>
      <c r="SZF60" s="609"/>
      <c r="SZG60" s="609"/>
      <c r="SZH60" s="609"/>
      <c r="SZI60" s="609"/>
      <c r="SZJ60" s="609"/>
      <c r="SZK60" s="609"/>
      <c r="SZL60" s="609"/>
      <c r="SZM60" s="609"/>
      <c r="SZN60" s="609"/>
      <c r="SZO60" s="609"/>
      <c r="SZP60" s="609"/>
      <c r="SZQ60" s="609"/>
      <c r="SZR60" s="609"/>
      <c r="SZS60" s="609"/>
      <c r="SZT60" s="609"/>
      <c r="SZU60" s="609"/>
      <c r="SZV60" s="609"/>
      <c r="SZW60" s="609"/>
      <c r="SZX60" s="609"/>
      <c r="SZY60" s="609"/>
      <c r="SZZ60" s="609"/>
      <c r="TAA60" s="609"/>
      <c r="TAB60" s="609"/>
      <c r="TAC60" s="609"/>
      <c r="TAD60" s="609"/>
      <c r="TAE60" s="609"/>
      <c r="TAF60" s="609"/>
      <c r="TAG60" s="609"/>
      <c r="TAH60" s="609"/>
      <c r="TAI60" s="609"/>
      <c r="TAJ60" s="609"/>
      <c r="TAK60" s="609"/>
      <c r="TAL60" s="609"/>
      <c r="TAM60" s="609"/>
      <c r="TAN60" s="609"/>
      <c r="TAO60" s="609"/>
      <c r="TAP60" s="609"/>
      <c r="TAQ60" s="609"/>
      <c r="TAR60" s="609"/>
      <c r="TAS60" s="609"/>
      <c r="TAT60" s="609"/>
      <c r="TAU60" s="609"/>
      <c r="TAV60" s="609"/>
      <c r="TAW60" s="609"/>
      <c r="TAX60" s="609"/>
      <c r="TAY60" s="609"/>
      <c r="TAZ60" s="609"/>
      <c r="TBA60" s="609"/>
      <c r="TBB60" s="609"/>
      <c r="TBC60" s="609"/>
      <c r="TBD60" s="609"/>
      <c r="TBE60" s="609"/>
      <c r="TBF60" s="609"/>
      <c r="TBG60" s="609"/>
      <c r="TBH60" s="609"/>
      <c r="TBI60" s="609"/>
      <c r="TBJ60" s="609"/>
      <c r="TBK60" s="609"/>
      <c r="TBL60" s="609"/>
      <c r="TBM60" s="609"/>
      <c r="TBN60" s="609"/>
      <c r="TBO60" s="609"/>
      <c r="TBP60" s="609"/>
      <c r="TBQ60" s="609"/>
      <c r="TBR60" s="609"/>
      <c r="TBS60" s="609"/>
      <c r="TBT60" s="609"/>
      <c r="TBU60" s="609"/>
      <c r="TBV60" s="609"/>
      <c r="TBW60" s="609"/>
      <c r="TBX60" s="609"/>
      <c r="TBY60" s="609"/>
      <c r="TBZ60" s="609"/>
      <c r="TCA60" s="609"/>
      <c r="TCB60" s="609"/>
      <c r="TCC60" s="609"/>
      <c r="TCD60" s="609"/>
      <c r="TCE60" s="609"/>
      <c r="TCF60" s="609"/>
      <c r="TCG60" s="609"/>
      <c r="TCH60" s="609"/>
      <c r="TCI60" s="609"/>
      <c r="TCJ60" s="609"/>
      <c r="TCK60" s="609"/>
      <c r="TCL60" s="609"/>
      <c r="TCM60" s="609"/>
      <c r="TCN60" s="609"/>
      <c r="TCO60" s="609"/>
      <c r="TCP60" s="609"/>
      <c r="TCQ60" s="609"/>
      <c r="TCR60" s="609"/>
      <c r="TCS60" s="609"/>
      <c r="TCT60" s="609"/>
      <c r="TCU60" s="609"/>
      <c r="TCV60" s="609"/>
      <c r="TCW60" s="609"/>
      <c r="TCX60" s="609"/>
      <c r="TCY60" s="609"/>
      <c r="TCZ60" s="609"/>
      <c r="TDA60" s="609"/>
      <c r="TDB60" s="609"/>
      <c r="TDC60" s="609"/>
      <c r="TDD60" s="609"/>
      <c r="TDE60" s="609"/>
      <c r="TDF60" s="609"/>
      <c r="TDG60" s="609"/>
      <c r="TDH60" s="609"/>
      <c r="TDI60" s="609"/>
      <c r="TDJ60" s="609"/>
      <c r="TDK60" s="609"/>
      <c r="TDL60" s="609"/>
      <c r="TDM60" s="609"/>
      <c r="TDN60" s="609"/>
      <c r="TDO60" s="609"/>
      <c r="TDP60" s="609"/>
      <c r="TDQ60" s="609"/>
      <c r="TDR60" s="609"/>
      <c r="TDS60" s="609"/>
      <c r="TDT60" s="609"/>
      <c r="TDU60" s="609"/>
      <c r="TDV60" s="609"/>
      <c r="TDW60" s="609"/>
      <c r="TDX60" s="609"/>
      <c r="TDY60" s="609"/>
      <c r="TDZ60" s="609"/>
      <c r="TEA60" s="609"/>
      <c r="TEB60" s="609"/>
      <c r="TEC60" s="609"/>
      <c r="TED60" s="609"/>
      <c r="TEE60" s="609"/>
      <c r="TEF60" s="609"/>
      <c r="TEG60" s="609"/>
      <c r="TEH60" s="609"/>
      <c r="TEI60" s="609"/>
      <c r="TEJ60" s="609"/>
      <c r="TEK60" s="609"/>
      <c r="TEL60" s="609"/>
      <c r="TEM60" s="609"/>
      <c r="TEN60" s="609"/>
      <c r="TEO60" s="609"/>
      <c r="TEP60" s="609"/>
      <c r="TEQ60" s="609"/>
      <c r="TER60" s="609"/>
      <c r="TES60" s="609"/>
      <c r="TET60" s="609"/>
      <c r="TEU60" s="609"/>
      <c r="TEV60" s="609"/>
      <c r="TEW60" s="609"/>
      <c r="TEX60" s="609"/>
      <c r="TEY60" s="609"/>
      <c r="TEZ60" s="609"/>
      <c r="TFA60" s="609"/>
      <c r="TFB60" s="609"/>
      <c r="TFC60" s="609"/>
      <c r="TFD60" s="609"/>
      <c r="TFE60" s="609"/>
      <c r="TFF60" s="609"/>
      <c r="TFG60" s="609"/>
      <c r="TFH60" s="609"/>
      <c r="TFI60" s="609"/>
      <c r="TFJ60" s="609"/>
      <c r="TFK60" s="609"/>
      <c r="TFL60" s="609"/>
      <c r="TFM60" s="609"/>
      <c r="TFN60" s="609"/>
      <c r="TFO60" s="609"/>
      <c r="TFP60" s="609"/>
      <c r="TFQ60" s="609"/>
      <c r="TFR60" s="609"/>
      <c r="TFS60" s="609"/>
      <c r="TFT60" s="609"/>
      <c r="TFU60" s="609"/>
      <c r="TFV60" s="609"/>
      <c r="TFW60" s="609"/>
      <c r="TFX60" s="609"/>
      <c r="TFY60" s="609"/>
      <c r="TFZ60" s="609"/>
      <c r="TGA60" s="609"/>
      <c r="TGB60" s="609"/>
      <c r="TGC60" s="609"/>
      <c r="TGD60" s="609"/>
      <c r="TGE60" s="609"/>
      <c r="TGF60" s="609"/>
      <c r="TGG60" s="609"/>
      <c r="TGH60" s="609"/>
      <c r="TGI60" s="609"/>
      <c r="TGJ60" s="609"/>
      <c r="TGK60" s="609"/>
      <c r="TGL60" s="609"/>
      <c r="TGM60" s="609"/>
      <c r="TGN60" s="609"/>
      <c r="TGO60" s="609"/>
      <c r="TGP60" s="609"/>
      <c r="TGQ60" s="609"/>
      <c r="TGR60" s="609"/>
      <c r="TGS60" s="609"/>
      <c r="TGT60" s="609"/>
      <c r="TGU60" s="609"/>
      <c r="TGV60" s="609"/>
      <c r="TGW60" s="609"/>
      <c r="TGX60" s="609"/>
      <c r="TGY60" s="609"/>
      <c r="TGZ60" s="609"/>
      <c r="THA60" s="609"/>
      <c r="THB60" s="609"/>
      <c r="THC60" s="609"/>
      <c r="THD60" s="609"/>
      <c r="THE60" s="609"/>
      <c r="THF60" s="609"/>
      <c r="THG60" s="609"/>
      <c r="THH60" s="609"/>
      <c r="THI60" s="609"/>
      <c r="THJ60" s="609"/>
      <c r="THK60" s="609"/>
      <c r="THL60" s="609"/>
      <c r="THM60" s="609"/>
      <c r="THN60" s="609"/>
      <c r="THO60" s="609"/>
      <c r="THP60" s="609"/>
      <c r="THQ60" s="609"/>
      <c r="THR60" s="609"/>
      <c r="THS60" s="609"/>
      <c r="THT60" s="609"/>
      <c r="THU60" s="609"/>
      <c r="THV60" s="609"/>
      <c r="THW60" s="609"/>
      <c r="THX60" s="609"/>
      <c r="THY60" s="609"/>
      <c r="THZ60" s="609"/>
      <c r="TIA60" s="609"/>
      <c r="TIB60" s="609"/>
      <c r="TIC60" s="609"/>
      <c r="TID60" s="609"/>
      <c r="TIE60" s="609"/>
      <c r="TIF60" s="609"/>
      <c r="TIG60" s="609"/>
      <c r="TIH60" s="609"/>
      <c r="TII60" s="609"/>
      <c r="TIJ60" s="609"/>
      <c r="TIK60" s="609"/>
      <c r="TIL60" s="609"/>
      <c r="TIM60" s="609"/>
      <c r="TIN60" s="609"/>
      <c r="TIO60" s="609"/>
      <c r="TIP60" s="609"/>
      <c r="TIQ60" s="609"/>
      <c r="TIR60" s="609"/>
      <c r="TIS60" s="609"/>
      <c r="TIT60" s="609"/>
      <c r="TIU60" s="609"/>
      <c r="TIV60" s="609"/>
      <c r="TIW60" s="609"/>
      <c r="TIX60" s="609"/>
      <c r="TIY60" s="609"/>
      <c r="TIZ60" s="609"/>
      <c r="TJA60" s="609"/>
      <c r="TJB60" s="609"/>
      <c r="TJC60" s="609"/>
      <c r="TJD60" s="609"/>
      <c r="TJE60" s="609"/>
      <c r="TJF60" s="609"/>
      <c r="TJG60" s="609"/>
      <c r="TJH60" s="609"/>
      <c r="TJI60" s="609"/>
      <c r="TJJ60" s="609"/>
      <c r="TJK60" s="609"/>
      <c r="TJL60" s="609"/>
      <c r="TJM60" s="609"/>
      <c r="TJN60" s="609"/>
      <c r="TJO60" s="609"/>
      <c r="TJP60" s="609"/>
      <c r="TJQ60" s="609"/>
      <c r="TJR60" s="609"/>
      <c r="TJS60" s="609"/>
      <c r="TJT60" s="609"/>
      <c r="TJU60" s="609"/>
      <c r="TJV60" s="609"/>
      <c r="TJW60" s="609"/>
      <c r="TJX60" s="609"/>
      <c r="TJY60" s="609"/>
      <c r="TJZ60" s="609"/>
      <c r="TKA60" s="609"/>
      <c r="TKB60" s="609"/>
      <c r="TKC60" s="609"/>
      <c r="TKD60" s="609"/>
      <c r="TKE60" s="609"/>
      <c r="TKF60" s="609"/>
      <c r="TKG60" s="609"/>
      <c r="TKH60" s="609"/>
      <c r="TKI60" s="609"/>
      <c r="TKJ60" s="609"/>
      <c r="TKK60" s="609"/>
      <c r="TKL60" s="609"/>
      <c r="TKM60" s="609"/>
      <c r="TKN60" s="609"/>
      <c r="TKO60" s="609"/>
      <c r="TKP60" s="609"/>
      <c r="TKQ60" s="609"/>
      <c r="TKR60" s="609"/>
      <c r="TKS60" s="609"/>
      <c r="TKT60" s="609"/>
      <c r="TKU60" s="609"/>
      <c r="TKV60" s="609"/>
      <c r="TKW60" s="609"/>
      <c r="TKX60" s="609"/>
      <c r="TKY60" s="609"/>
      <c r="TKZ60" s="609"/>
      <c r="TLA60" s="609"/>
      <c r="TLB60" s="609"/>
      <c r="TLC60" s="609"/>
      <c r="TLD60" s="609"/>
      <c r="TLE60" s="609"/>
      <c r="TLF60" s="609"/>
      <c r="TLG60" s="609"/>
      <c r="TLH60" s="609"/>
      <c r="TLI60" s="609"/>
      <c r="TLJ60" s="609"/>
      <c r="TLK60" s="609"/>
      <c r="TLL60" s="609"/>
      <c r="TLM60" s="609"/>
      <c r="TLN60" s="609"/>
      <c r="TLO60" s="609"/>
      <c r="TLP60" s="609"/>
      <c r="TLQ60" s="609"/>
      <c r="TLR60" s="609"/>
      <c r="TLS60" s="609"/>
      <c r="TLT60" s="609"/>
      <c r="TLU60" s="609"/>
      <c r="TLV60" s="609"/>
      <c r="TLW60" s="609"/>
      <c r="TLX60" s="609"/>
      <c r="TLY60" s="609"/>
      <c r="TLZ60" s="609"/>
      <c r="TMA60" s="609"/>
      <c r="TMB60" s="609"/>
      <c r="TMC60" s="609"/>
      <c r="TMD60" s="609"/>
      <c r="TME60" s="609"/>
      <c r="TMF60" s="609"/>
      <c r="TMG60" s="609"/>
      <c r="TMH60" s="609"/>
      <c r="TMI60" s="609"/>
      <c r="TMJ60" s="609"/>
      <c r="TMK60" s="609"/>
      <c r="TML60" s="609"/>
      <c r="TMM60" s="609"/>
      <c r="TMN60" s="609"/>
      <c r="TMO60" s="609"/>
      <c r="TMP60" s="609"/>
      <c r="TMQ60" s="609"/>
      <c r="TMR60" s="609"/>
      <c r="TMS60" s="609"/>
      <c r="TMT60" s="609"/>
      <c r="TMU60" s="609"/>
      <c r="TMV60" s="609"/>
      <c r="TMW60" s="609"/>
      <c r="TMX60" s="609"/>
      <c r="TMY60" s="609"/>
      <c r="TMZ60" s="609"/>
      <c r="TNA60" s="609"/>
      <c r="TNB60" s="609"/>
      <c r="TNC60" s="609"/>
      <c r="TND60" s="609"/>
      <c r="TNE60" s="609"/>
      <c r="TNF60" s="609"/>
      <c r="TNG60" s="609"/>
      <c r="TNH60" s="609"/>
      <c r="TNI60" s="609"/>
      <c r="TNJ60" s="609"/>
      <c r="TNK60" s="609"/>
      <c r="TNL60" s="609"/>
      <c r="TNM60" s="609"/>
      <c r="TNN60" s="609"/>
      <c r="TNO60" s="609"/>
      <c r="TNP60" s="609"/>
      <c r="TNQ60" s="609"/>
      <c r="TNR60" s="609"/>
      <c r="TNS60" s="609"/>
      <c r="TNT60" s="609"/>
      <c r="TNU60" s="609"/>
      <c r="TNV60" s="609"/>
      <c r="TNW60" s="609"/>
      <c r="TNX60" s="609"/>
      <c r="TNY60" s="609"/>
      <c r="TNZ60" s="609"/>
      <c r="TOA60" s="609"/>
      <c r="TOB60" s="609"/>
      <c r="TOC60" s="609"/>
      <c r="TOD60" s="609"/>
      <c r="TOE60" s="609"/>
      <c r="TOF60" s="609"/>
      <c r="TOG60" s="609"/>
      <c r="TOH60" s="609"/>
      <c r="TOI60" s="609"/>
      <c r="TOJ60" s="609"/>
      <c r="TOK60" s="609"/>
      <c r="TOL60" s="609"/>
      <c r="TOM60" s="609"/>
      <c r="TON60" s="609"/>
      <c r="TOO60" s="609"/>
      <c r="TOP60" s="609"/>
      <c r="TOQ60" s="609"/>
      <c r="TOR60" s="609"/>
      <c r="TOS60" s="609"/>
      <c r="TOT60" s="609"/>
      <c r="TOU60" s="609"/>
      <c r="TOV60" s="609"/>
      <c r="TOW60" s="609"/>
      <c r="TOX60" s="609"/>
      <c r="TOY60" s="609"/>
      <c r="TOZ60" s="609"/>
      <c r="TPA60" s="609"/>
      <c r="TPB60" s="609"/>
      <c r="TPC60" s="609"/>
      <c r="TPD60" s="609"/>
      <c r="TPE60" s="609"/>
      <c r="TPF60" s="609"/>
      <c r="TPG60" s="609"/>
      <c r="TPH60" s="609"/>
      <c r="TPI60" s="609"/>
      <c r="TPJ60" s="609"/>
      <c r="TPK60" s="609"/>
      <c r="TPL60" s="609"/>
      <c r="TPM60" s="609"/>
      <c r="TPN60" s="609"/>
      <c r="TPO60" s="609"/>
      <c r="TPP60" s="609"/>
      <c r="TPQ60" s="609"/>
      <c r="TPR60" s="609"/>
      <c r="TPS60" s="609"/>
      <c r="TPT60" s="609"/>
      <c r="TPU60" s="609"/>
      <c r="TPV60" s="609"/>
      <c r="TPW60" s="609"/>
      <c r="TPX60" s="609"/>
      <c r="TPY60" s="609"/>
      <c r="TPZ60" s="609"/>
      <c r="TQA60" s="609"/>
      <c r="TQB60" s="609"/>
      <c r="TQC60" s="609"/>
      <c r="TQD60" s="609"/>
      <c r="TQE60" s="609"/>
      <c r="TQF60" s="609"/>
      <c r="TQG60" s="609"/>
      <c r="TQH60" s="609"/>
      <c r="TQI60" s="609"/>
      <c r="TQJ60" s="609"/>
      <c r="TQK60" s="609"/>
      <c r="TQL60" s="609"/>
      <c r="TQM60" s="609"/>
      <c r="TQN60" s="609"/>
      <c r="TQO60" s="609"/>
      <c r="TQP60" s="609"/>
      <c r="TQQ60" s="609"/>
      <c r="TQR60" s="609"/>
      <c r="TQS60" s="609"/>
      <c r="TQT60" s="609"/>
      <c r="TQU60" s="609"/>
      <c r="TQV60" s="609"/>
      <c r="TQW60" s="609"/>
      <c r="TQX60" s="609"/>
      <c r="TQY60" s="609"/>
      <c r="TQZ60" s="609"/>
      <c r="TRA60" s="609"/>
      <c r="TRB60" s="609"/>
      <c r="TRC60" s="609"/>
      <c r="TRD60" s="609"/>
      <c r="TRE60" s="609"/>
      <c r="TRF60" s="609"/>
      <c r="TRG60" s="609"/>
      <c r="TRH60" s="609"/>
      <c r="TRI60" s="609"/>
      <c r="TRJ60" s="609"/>
      <c r="TRK60" s="609"/>
      <c r="TRL60" s="609"/>
      <c r="TRM60" s="609"/>
      <c r="TRN60" s="609"/>
      <c r="TRO60" s="609"/>
      <c r="TRP60" s="609"/>
      <c r="TRQ60" s="609"/>
      <c r="TRR60" s="609"/>
      <c r="TRS60" s="609"/>
      <c r="TRT60" s="609"/>
      <c r="TRU60" s="609"/>
      <c r="TRV60" s="609"/>
      <c r="TRW60" s="609"/>
      <c r="TRX60" s="609"/>
      <c r="TRY60" s="609"/>
      <c r="TRZ60" s="609"/>
      <c r="TSA60" s="609"/>
      <c r="TSB60" s="609"/>
      <c r="TSC60" s="609"/>
      <c r="TSD60" s="609"/>
      <c r="TSE60" s="609"/>
      <c r="TSF60" s="609"/>
      <c r="TSG60" s="609"/>
      <c r="TSH60" s="609"/>
      <c r="TSI60" s="609"/>
      <c r="TSJ60" s="609"/>
      <c r="TSK60" s="609"/>
      <c r="TSL60" s="609"/>
      <c r="TSM60" s="609"/>
      <c r="TSN60" s="609"/>
      <c r="TSO60" s="609"/>
      <c r="TSP60" s="609"/>
      <c r="TSQ60" s="609"/>
      <c r="TSR60" s="609"/>
      <c r="TSS60" s="609"/>
      <c r="TST60" s="609"/>
      <c r="TSU60" s="609"/>
      <c r="TSV60" s="609"/>
      <c r="TSW60" s="609"/>
      <c r="TSX60" s="609"/>
      <c r="TSY60" s="609"/>
      <c r="TSZ60" s="609"/>
      <c r="TTA60" s="609"/>
      <c r="TTB60" s="609"/>
      <c r="TTC60" s="609"/>
      <c r="TTD60" s="609"/>
      <c r="TTE60" s="609"/>
      <c r="TTF60" s="609"/>
      <c r="TTG60" s="609"/>
      <c r="TTH60" s="609"/>
      <c r="TTI60" s="609"/>
      <c r="TTJ60" s="609"/>
      <c r="TTK60" s="609"/>
      <c r="TTL60" s="609"/>
      <c r="TTM60" s="609"/>
      <c r="TTN60" s="609"/>
      <c r="TTO60" s="609"/>
      <c r="TTP60" s="609"/>
      <c r="TTQ60" s="609"/>
      <c r="TTR60" s="609"/>
      <c r="TTS60" s="609"/>
      <c r="TTT60" s="609"/>
      <c r="TTU60" s="609"/>
      <c r="TTV60" s="609"/>
      <c r="TTW60" s="609"/>
      <c r="TTX60" s="609"/>
      <c r="TTY60" s="609"/>
      <c r="TTZ60" s="609"/>
      <c r="TUA60" s="609"/>
      <c r="TUB60" s="609"/>
      <c r="TUC60" s="609"/>
      <c r="TUD60" s="609"/>
      <c r="TUE60" s="609"/>
      <c r="TUF60" s="609"/>
      <c r="TUG60" s="609"/>
      <c r="TUH60" s="609"/>
      <c r="TUI60" s="609"/>
      <c r="TUJ60" s="609"/>
      <c r="TUK60" s="609"/>
      <c r="TUL60" s="609"/>
      <c r="TUM60" s="609"/>
      <c r="TUN60" s="609"/>
      <c r="TUO60" s="609"/>
      <c r="TUP60" s="609"/>
      <c r="TUQ60" s="609"/>
      <c r="TUR60" s="609"/>
      <c r="TUS60" s="609"/>
      <c r="TUT60" s="609"/>
      <c r="TUU60" s="609"/>
      <c r="TUV60" s="609"/>
      <c r="TUW60" s="609"/>
      <c r="TUX60" s="609"/>
      <c r="TUY60" s="609"/>
      <c r="TUZ60" s="609"/>
      <c r="TVA60" s="609"/>
      <c r="TVB60" s="609"/>
      <c r="TVC60" s="609"/>
      <c r="TVD60" s="609"/>
      <c r="TVE60" s="609"/>
      <c r="TVF60" s="609"/>
      <c r="TVG60" s="609"/>
      <c r="TVH60" s="609"/>
      <c r="TVI60" s="609"/>
      <c r="TVJ60" s="609"/>
      <c r="TVK60" s="609"/>
      <c r="TVL60" s="609"/>
      <c r="TVM60" s="609"/>
      <c r="TVN60" s="609"/>
      <c r="TVO60" s="609"/>
      <c r="TVP60" s="609"/>
      <c r="TVQ60" s="609"/>
      <c r="TVR60" s="609"/>
      <c r="TVS60" s="609"/>
      <c r="TVT60" s="609"/>
      <c r="TVU60" s="609"/>
      <c r="TVV60" s="609"/>
      <c r="TVW60" s="609"/>
      <c r="TVX60" s="609"/>
      <c r="TVY60" s="609"/>
      <c r="TVZ60" s="609"/>
      <c r="TWA60" s="609"/>
      <c r="TWB60" s="609"/>
      <c r="TWC60" s="609"/>
      <c r="TWD60" s="609"/>
      <c r="TWE60" s="609"/>
      <c r="TWF60" s="609"/>
      <c r="TWG60" s="609"/>
      <c r="TWH60" s="609"/>
      <c r="TWI60" s="609"/>
      <c r="TWJ60" s="609"/>
      <c r="TWK60" s="609"/>
      <c r="TWL60" s="609"/>
      <c r="TWM60" s="609"/>
      <c r="TWN60" s="609"/>
      <c r="TWO60" s="609"/>
      <c r="TWP60" s="609"/>
      <c r="TWQ60" s="609"/>
      <c r="TWR60" s="609"/>
      <c r="TWS60" s="609"/>
      <c r="TWT60" s="609"/>
      <c r="TWU60" s="609"/>
      <c r="TWV60" s="609"/>
      <c r="TWW60" s="609"/>
      <c r="TWX60" s="609"/>
      <c r="TWY60" s="609"/>
      <c r="TWZ60" s="609"/>
      <c r="TXA60" s="609"/>
      <c r="TXB60" s="609"/>
      <c r="TXC60" s="609"/>
      <c r="TXD60" s="609"/>
      <c r="TXE60" s="609"/>
      <c r="TXF60" s="609"/>
      <c r="TXG60" s="609"/>
      <c r="TXH60" s="609"/>
      <c r="TXI60" s="609"/>
      <c r="TXJ60" s="609"/>
      <c r="TXK60" s="609"/>
      <c r="TXL60" s="609"/>
      <c r="TXM60" s="609"/>
      <c r="TXN60" s="609"/>
      <c r="TXO60" s="609"/>
      <c r="TXP60" s="609"/>
      <c r="TXQ60" s="609"/>
      <c r="TXR60" s="609"/>
      <c r="TXS60" s="609"/>
      <c r="TXT60" s="609"/>
      <c r="TXU60" s="609"/>
      <c r="TXV60" s="609"/>
      <c r="TXW60" s="609"/>
      <c r="TXX60" s="609"/>
      <c r="TXY60" s="609"/>
      <c r="TXZ60" s="609"/>
      <c r="TYA60" s="609"/>
      <c r="TYB60" s="609"/>
      <c r="TYC60" s="609"/>
      <c r="TYD60" s="609"/>
      <c r="TYE60" s="609"/>
      <c r="TYF60" s="609"/>
      <c r="TYG60" s="609"/>
      <c r="TYH60" s="609"/>
      <c r="TYI60" s="609"/>
      <c r="TYJ60" s="609"/>
      <c r="TYK60" s="609"/>
      <c r="TYL60" s="609"/>
      <c r="TYM60" s="609"/>
      <c r="TYN60" s="609"/>
      <c r="TYO60" s="609"/>
      <c r="TYP60" s="609"/>
      <c r="TYQ60" s="609"/>
      <c r="TYR60" s="609"/>
      <c r="TYS60" s="609"/>
      <c r="TYT60" s="609"/>
      <c r="TYU60" s="609"/>
      <c r="TYV60" s="609"/>
      <c r="TYW60" s="609"/>
      <c r="TYX60" s="609"/>
      <c r="TYY60" s="609"/>
      <c r="TYZ60" s="609"/>
      <c r="TZA60" s="609"/>
      <c r="TZB60" s="609"/>
      <c r="TZC60" s="609"/>
      <c r="TZD60" s="609"/>
      <c r="TZE60" s="609"/>
      <c r="TZF60" s="609"/>
      <c r="TZG60" s="609"/>
      <c r="TZH60" s="609"/>
      <c r="TZI60" s="609"/>
      <c r="TZJ60" s="609"/>
      <c r="TZK60" s="609"/>
      <c r="TZL60" s="609"/>
      <c r="TZM60" s="609"/>
      <c r="TZN60" s="609"/>
      <c r="TZO60" s="609"/>
      <c r="TZP60" s="609"/>
      <c r="TZQ60" s="609"/>
      <c r="TZR60" s="609"/>
      <c r="TZS60" s="609"/>
      <c r="TZT60" s="609"/>
      <c r="TZU60" s="609"/>
      <c r="TZV60" s="609"/>
      <c r="TZW60" s="609"/>
      <c r="TZX60" s="609"/>
      <c r="TZY60" s="609"/>
      <c r="TZZ60" s="609"/>
      <c r="UAA60" s="609"/>
      <c r="UAB60" s="609"/>
      <c r="UAC60" s="609"/>
      <c r="UAD60" s="609"/>
      <c r="UAE60" s="609"/>
      <c r="UAF60" s="609"/>
      <c r="UAG60" s="609"/>
      <c r="UAH60" s="609"/>
      <c r="UAI60" s="609"/>
      <c r="UAJ60" s="609"/>
      <c r="UAK60" s="609"/>
      <c r="UAL60" s="609"/>
      <c r="UAM60" s="609"/>
      <c r="UAN60" s="609"/>
      <c r="UAO60" s="609"/>
      <c r="UAP60" s="609"/>
      <c r="UAQ60" s="609"/>
      <c r="UAR60" s="609"/>
      <c r="UAS60" s="609"/>
      <c r="UAT60" s="609"/>
      <c r="UAU60" s="609"/>
      <c r="UAV60" s="609"/>
      <c r="UAW60" s="609"/>
      <c r="UAX60" s="609"/>
      <c r="UAY60" s="609"/>
      <c r="UAZ60" s="609"/>
      <c r="UBA60" s="609"/>
      <c r="UBB60" s="609"/>
      <c r="UBC60" s="609"/>
      <c r="UBD60" s="609"/>
      <c r="UBE60" s="609"/>
      <c r="UBF60" s="609"/>
      <c r="UBG60" s="609"/>
      <c r="UBH60" s="609"/>
      <c r="UBI60" s="609"/>
      <c r="UBJ60" s="609"/>
      <c r="UBK60" s="609"/>
      <c r="UBL60" s="609"/>
      <c r="UBM60" s="609"/>
      <c r="UBN60" s="609"/>
      <c r="UBO60" s="609"/>
      <c r="UBP60" s="609"/>
      <c r="UBQ60" s="609"/>
      <c r="UBR60" s="609"/>
      <c r="UBS60" s="609"/>
      <c r="UBT60" s="609"/>
      <c r="UBU60" s="609"/>
      <c r="UBV60" s="609"/>
      <c r="UBW60" s="609"/>
      <c r="UBX60" s="609"/>
      <c r="UBY60" s="609"/>
      <c r="UBZ60" s="609"/>
      <c r="UCA60" s="609"/>
      <c r="UCB60" s="609"/>
      <c r="UCC60" s="609"/>
      <c r="UCD60" s="609"/>
      <c r="UCE60" s="609"/>
      <c r="UCF60" s="609"/>
      <c r="UCG60" s="609"/>
      <c r="UCH60" s="609"/>
      <c r="UCI60" s="609"/>
      <c r="UCJ60" s="609"/>
      <c r="UCK60" s="609"/>
      <c r="UCL60" s="609"/>
      <c r="UCM60" s="609"/>
      <c r="UCN60" s="609"/>
      <c r="UCO60" s="609"/>
      <c r="UCP60" s="609"/>
      <c r="UCQ60" s="609"/>
      <c r="UCR60" s="609"/>
      <c r="UCS60" s="609"/>
      <c r="UCT60" s="609"/>
      <c r="UCU60" s="609"/>
      <c r="UCV60" s="609"/>
      <c r="UCW60" s="609"/>
      <c r="UCX60" s="609"/>
      <c r="UCY60" s="609"/>
      <c r="UCZ60" s="609"/>
      <c r="UDA60" s="609"/>
      <c r="UDB60" s="609"/>
      <c r="UDC60" s="609"/>
      <c r="UDD60" s="609"/>
      <c r="UDE60" s="609"/>
      <c r="UDF60" s="609"/>
      <c r="UDG60" s="609"/>
      <c r="UDH60" s="609"/>
      <c r="UDI60" s="609"/>
      <c r="UDJ60" s="609"/>
      <c r="UDK60" s="609"/>
      <c r="UDL60" s="609"/>
      <c r="UDM60" s="609"/>
      <c r="UDN60" s="609"/>
      <c r="UDO60" s="609"/>
      <c r="UDP60" s="609"/>
      <c r="UDQ60" s="609"/>
      <c r="UDR60" s="609"/>
      <c r="UDS60" s="609"/>
      <c r="UDT60" s="609"/>
      <c r="UDU60" s="609"/>
      <c r="UDV60" s="609"/>
      <c r="UDW60" s="609"/>
      <c r="UDX60" s="609"/>
      <c r="UDY60" s="609"/>
      <c r="UDZ60" s="609"/>
      <c r="UEA60" s="609"/>
      <c r="UEB60" s="609"/>
      <c r="UEC60" s="609"/>
      <c r="UED60" s="609"/>
      <c r="UEE60" s="609"/>
      <c r="UEF60" s="609"/>
      <c r="UEG60" s="609"/>
      <c r="UEH60" s="609"/>
      <c r="UEI60" s="609"/>
      <c r="UEJ60" s="609"/>
      <c r="UEK60" s="609"/>
      <c r="UEL60" s="609"/>
      <c r="UEM60" s="609"/>
      <c r="UEN60" s="609"/>
      <c r="UEO60" s="609"/>
      <c r="UEP60" s="609"/>
      <c r="UEQ60" s="609"/>
      <c r="UER60" s="609"/>
      <c r="UES60" s="609"/>
      <c r="UET60" s="609"/>
      <c r="UEU60" s="609"/>
      <c r="UEV60" s="609"/>
      <c r="UEW60" s="609"/>
      <c r="UEX60" s="609"/>
      <c r="UEY60" s="609"/>
      <c r="UEZ60" s="609"/>
      <c r="UFA60" s="609"/>
      <c r="UFB60" s="609"/>
      <c r="UFC60" s="609"/>
      <c r="UFD60" s="609"/>
      <c r="UFE60" s="609"/>
      <c r="UFF60" s="609"/>
      <c r="UFG60" s="609"/>
      <c r="UFH60" s="609"/>
      <c r="UFI60" s="609"/>
      <c r="UFJ60" s="609"/>
      <c r="UFK60" s="609"/>
      <c r="UFL60" s="609"/>
      <c r="UFM60" s="609"/>
      <c r="UFN60" s="609"/>
      <c r="UFO60" s="609"/>
      <c r="UFP60" s="609"/>
      <c r="UFQ60" s="609"/>
      <c r="UFR60" s="609"/>
      <c r="UFS60" s="609"/>
      <c r="UFT60" s="609"/>
      <c r="UFU60" s="609"/>
      <c r="UFV60" s="609"/>
      <c r="UFW60" s="609"/>
      <c r="UFX60" s="609"/>
      <c r="UFY60" s="609"/>
      <c r="UFZ60" s="609"/>
      <c r="UGA60" s="609"/>
      <c r="UGB60" s="609"/>
      <c r="UGC60" s="609"/>
      <c r="UGD60" s="609"/>
      <c r="UGE60" s="609"/>
      <c r="UGF60" s="609"/>
      <c r="UGG60" s="609"/>
      <c r="UGH60" s="609"/>
      <c r="UGI60" s="609"/>
      <c r="UGJ60" s="609"/>
      <c r="UGK60" s="609"/>
      <c r="UGL60" s="609"/>
      <c r="UGM60" s="609"/>
      <c r="UGN60" s="609"/>
      <c r="UGO60" s="609"/>
      <c r="UGP60" s="609"/>
      <c r="UGQ60" s="609"/>
      <c r="UGR60" s="609"/>
      <c r="UGS60" s="609"/>
      <c r="UGT60" s="609"/>
      <c r="UGU60" s="609"/>
      <c r="UGV60" s="609"/>
      <c r="UGW60" s="609"/>
      <c r="UGX60" s="609"/>
      <c r="UGY60" s="609"/>
      <c r="UGZ60" s="609"/>
      <c r="UHA60" s="609"/>
      <c r="UHB60" s="609"/>
      <c r="UHC60" s="609"/>
      <c r="UHD60" s="609"/>
      <c r="UHE60" s="609"/>
      <c r="UHF60" s="609"/>
      <c r="UHG60" s="609"/>
      <c r="UHH60" s="609"/>
      <c r="UHI60" s="609"/>
      <c r="UHJ60" s="609"/>
      <c r="UHK60" s="609"/>
      <c r="UHL60" s="609"/>
      <c r="UHM60" s="609"/>
      <c r="UHN60" s="609"/>
      <c r="UHO60" s="609"/>
      <c r="UHP60" s="609"/>
      <c r="UHQ60" s="609"/>
      <c r="UHR60" s="609"/>
      <c r="UHS60" s="609"/>
      <c r="UHT60" s="609"/>
      <c r="UHU60" s="609"/>
      <c r="UHV60" s="609"/>
      <c r="UHW60" s="609"/>
      <c r="UHX60" s="609"/>
      <c r="UHY60" s="609"/>
      <c r="UHZ60" s="609"/>
      <c r="UIA60" s="609"/>
      <c r="UIB60" s="609"/>
      <c r="UIC60" s="609"/>
      <c r="UID60" s="609"/>
      <c r="UIE60" s="609"/>
      <c r="UIF60" s="609"/>
      <c r="UIG60" s="609"/>
      <c r="UIH60" s="609"/>
      <c r="UII60" s="609"/>
      <c r="UIJ60" s="609"/>
      <c r="UIK60" s="609"/>
      <c r="UIL60" s="609"/>
      <c r="UIM60" s="609"/>
      <c r="UIN60" s="609"/>
      <c r="UIO60" s="609"/>
      <c r="UIP60" s="609"/>
      <c r="UIQ60" s="609"/>
      <c r="UIR60" s="609"/>
      <c r="UIS60" s="609"/>
      <c r="UIT60" s="609"/>
      <c r="UIU60" s="609"/>
      <c r="UIV60" s="609"/>
      <c r="UIW60" s="609"/>
      <c r="UIX60" s="609"/>
      <c r="UIY60" s="609"/>
      <c r="UIZ60" s="609"/>
      <c r="UJA60" s="609"/>
      <c r="UJB60" s="609"/>
      <c r="UJC60" s="609"/>
      <c r="UJD60" s="609"/>
      <c r="UJE60" s="609"/>
      <c r="UJF60" s="609"/>
      <c r="UJG60" s="609"/>
      <c r="UJH60" s="609"/>
      <c r="UJI60" s="609"/>
      <c r="UJJ60" s="609"/>
      <c r="UJK60" s="609"/>
      <c r="UJL60" s="609"/>
      <c r="UJM60" s="609"/>
      <c r="UJN60" s="609"/>
      <c r="UJO60" s="609"/>
      <c r="UJP60" s="609"/>
      <c r="UJQ60" s="609"/>
      <c r="UJR60" s="609"/>
      <c r="UJS60" s="609"/>
      <c r="UJT60" s="609"/>
      <c r="UJU60" s="609"/>
      <c r="UJV60" s="609"/>
      <c r="UJW60" s="609"/>
      <c r="UJX60" s="609"/>
      <c r="UJY60" s="609"/>
      <c r="UJZ60" s="609"/>
      <c r="UKA60" s="609"/>
      <c r="UKB60" s="609"/>
      <c r="UKC60" s="609"/>
      <c r="UKD60" s="609"/>
      <c r="UKE60" s="609"/>
      <c r="UKF60" s="609"/>
      <c r="UKG60" s="609"/>
      <c r="UKH60" s="609"/>
      <c r="UKI60" s="609"/>
      <c r="UKJ60" s="609"/>
      <c r="UKK60" s="609"/>
      <c r="UKL60" s="609"/>
      <c r="UKM60" s="609"/>
      <c r="UKN60" s="609"/>
      <c r="UKO60" s="609"/>
      <c r="UKP60" s="609"/>
      <c r="UKQ60" s="609"/>
      <c r="UKR60" s="609"/>
      <c r="UKS60" s="609"/>
      <c r="UKT60" s="609"/>
      <c r="UKU60" s="609"/>
      <c r="UKV60" s="609"/>
      <c r="UKW60" s="609"/>
      <c r="UKX60" s="609"/>
      <c r="UKY60" s="609"/>
      <c r="UKZ60" s="609"/>
      <c r="ULA60" s="609"/>
      <c r="ULB60" s="609"/>
      <c r="ULC60" s="609"/>
      <c r="ULD60" s="609"/>
      <c r="ULE60" s="609"/>
      <c r="ULF60" s="609"/>
      <c r="ULG60" s="609"/>
      <c r="ULH60" s="609"/>
      <c r="ULI60" s="609"/>
      <c r="ULJ60" s="609"/>
      <c r="ULK60" s="609"/>
      <c r="ULL60" s="609"/>
      <c r="ULM60" s="609"/>
      <c r="ULN60" s="609"/>
      <c r="ULO60" s="609"/>
      <c r="ULP60" s="609"/>
      <c r="ULQ60" s="609"/>
      <c r="ULR60" s="609"/>
      <c r="ULS60" s="609"/>
      <c r="ULT60" s="609"/>
      <c r="ULU60" s="609"/>
      <c r="ULV60" s="609"/>
      <c r="ULW60" s="609"/>
      <c r="ULX60" s="609"/>
      <c r="ULY60" s="609"/>
      <c r="ULZ60" s="609"/>
      <c r="UMA60" s="609"/>
      <c r="UMB60" s="609"/>
      <c r="UMC60" s="609"/>
      <c r="UMD60" s="609"/>
      <c r="UME60" s="609"/>
      <c r="UMF60" s="609"/>
      <c r="UMG60" s="609"/>
      <c r="UMH60" s="609"/>
      <c r="UMI60" s="609"/>
      <c r="UMJ60" s="609"/>
      <c r="UMK60" s="609"/>
      <c r="UML60" s="609"/>
      <c r="UMM60" s="609"/>
      <c r="UMN60" s="609"/>
      <c r="UMO60" s="609"/>
      <c r="UMP60" s="609"/>
      <c r="UMQ60" s="609"/>
      <c r="UMR60" s="609"/>
      <c r="UMS60" s="609"/>
      <c r="UMT60" s="609"/>
      <c r="UMU60" s="609"/>
      <c r="UMV60" s="609"/>
      <c r="UMW60" s="609"/>
      <c r="UMX60" s="609"/>
      <c r="UMY60" s="609"/>
      <c r="UMZ60" s="609"/>
      <c r="UNA60" s="609"/>
      <c r="UNB60" s="609"/>
      <c r="UNC60" s="609"/>
      <c r="UND60" s="609"/>
      <c r="UNE60" s="609"/>
      <c r="UNF60" s="609"/>
      <c r="UNG60" s="609"/>
      <c r="UNH60" s="609"/>
      <c r="UNI60" s="609"/>
      <c r="UNJ60" s="609"/>
      <c r="UNK60" s="609"/>
      <c r="UNL60" s="609"/>
      <c r="UNM60" s="609"/>
      <c r="UNN60" s="609"/>
      <c r="UNO60" s="609"/>
      <c r="UNP60" s="609"/>
      <c r="UNQ60" s="609"/>
      <c r="UNR60" s="609"/>
      <c r="UNS60" s="609"/>
      <c r="UNT60" s="609"/>
      <c r="UNU60" s="609"/>
      <c r="UNV60" s="609"/>
      <c r="UNW60" s="609"/>
      <c r="UNX60" s="609"/>
      <c r="UNY60" s="609"/>
      <c r="UNZ60" s="609"/>
      <c r="UOA60" s="609"/>
      <c r="UOB60" s="609"/>
      <c r="UOC60" s="609"/>
      <c r="UOD60" s="609"/>
      <c r="UOE60" s="609"/>
      <c r="UOF60" s="609"/>
      <c r="UOG60" s="609"/>
      <c r="UOH60" s="609"/>
      <c r="UOI60" s="609"/>
      <c r="UOJ60" s="609"/>
      <c r="UOK60" s="609"/>
      <c r="UOL60" s="609"/>
      <c r="UOM60" s="609"/>
      <c r="UON60" s="609"/>
      <c r="UOO60" s="609"/>
      <c r="UOP60" s="609"/>
      <c r="UOQ60" s="609"/>
      <c r="UOR60" s="609"/>
      <c r="UOS60" s="609"/>
      <c r="UOT60" s="609"/>
      <c r="UOU60" s="609"/>
      <c r="UOV60" s="609"/>
      <c r="UOW60" s="609"/>
      <c r="UOX60" s="609"/>
      <c r="UOY60" s="609"/>
      <c r="UOZ60" s="609"/>
      <c r="UPA60" s="609"/>
      <c r="UPB60" s="609"/>
      <c r="UPC60" s="609"/>
      <c r="UPD60" s="609"/>
      <c r="UPE60" s="609"/>
      <c r="UPF60" s="609"/>
      <c r="UPG60" s="609"/>
      <c r="UPH60" s="609"/>
      <c r="UPI60" s="609"/>
      <c r="UPJ60" s="609"/>
      <c r="UPK60" s="609"/>
      <c r="UPL60" s="609"/>
      <c r="UPM60" s="609"/>
      <c r="UPN60" s="609"/>
      <c r="UPO60" s="609"/>
      <c r="UPP60" s="609"/>
      <c r="UPQ60" s="609"/>
      <c r="UPR60" s="609"/>
      <c r="UPS60" s="609"/>
      <c r="UPT60" s="609"/>
      <c r="UPU60" s="609"/>
      <c r="UPV60" s="609"/>
      <c r="UPW60" s="609"/>
      <c r="UPX60" s="609"/>
      <c r="UPY60" s="609"/>
      <c r="UPZ60" s="609"/>
      <c r="UQA60" s="609"/>
      <c r="UQB60" s="609"/>
      <c r="UQC60" s="609"/>
      <c r="UQD60" s="609"/>
      <c r="UQE60" s="609"/>
      <c r="UQF60" s="609"/>
      <c r="UQG60" s="609"/>
      <c r="UQH60" s="609"/>
      <c r="UQI60" s="609"/>
      <c r="UQJ60" s="609"/>
      <c r="UQK60" s="609"/>
      <c r="UQL60" s="609"/>
      <c r="UQM60" s="609"/>
      <c r="UQN60" s="609"/>
      <c r="UQO60" s="609"/>
      <c r="UQP60" s="609"/>
      <c r="UQQ60" s="609"/>
      <c r="UQR60" s="609"/>
      <c r="UQS60" s="609"/>
      <c r="UQT60" s="609"/>
      <c r="UQU60" s="609"/>
      <c r="UQV60" s="609"/>
      <c r="UQW60" s="609"/>
      <c r="UQX60" s="609"/>
      <c r="UQY60" s="609"/>
      <c r="UQZ60" s="609"/>
      <c r="URA60" s="609"/>
      <c r="URB60" s="609"/>
      <c r="URC60" s="609"/>
      <c r="URD60" s="609"/>
      <c r="URE60" s="609"/>
      <c r="URF60" s="609"/>
      <c r="URG60" s="609"/>
      <c r="URH60" s="609"/>
      <c r="URI60" s="609"/>
      <c r="URJ60" s="609"/>
      <c r="URK60" s="609"/>
      <c r="URL60" s="609"/>
      <c r="URM60" s="609"/>
      <c r="URN60" s="609"/>
      <c r="URO60" s="609"/>
      <c r="URP60" s="609"/>
      <c r="URQ60" s="609"/>
      <c r="URR60" s="609"/>
      <c r="URS60" s="609"/>
      <c r="URT60" s="609"/>
      <c r="URU60" s="609"/>
      <c r="URV60" s="609"/>
      <c r="URW60" s="609"/>
      <c r="URX60" s="609"/>
      <c r="URY60" s="609"/>
      <c r="URZ60" s="609"/>
      <c r="USA60" s="609"/>
      <c r="USB60" s="609"/>
      <c r="USC60" s="609"/>
      <c r="USD60" s="609"/>
      <c r="USE60" s="609"/>
      <c r="USF60" s="609"/>
      <c r="USG60" s="609"/>
      <c r="USH60" s="609"/>
      <c r="USI60" s="609"/>
      <c r="USJ60" s="609"/>
      <c r="USK60" s="609"/>
      <c r="USL60" s="609"/>
      <c r="USM60" s="609"/>
      <c r="USN60" s="609"/>
      <c r="USO60" s="609"/>
      <c r="USP60" s="609"/>
      <c r="USQ60" s="609"/>
      <c r="USR60" s="609"/>
      <c r="USS60" s="609"/>
      <c r="UST60" s="609"/>
      <c r="USU60" s="609"/>
      <c r="USV60" s="609"/>
      <c r="USW60" s="609"/>
      <c r="USX60" s="609"/>
      <c r="USY60" s="609"/>
      <c r="USZ60" s="609"/>
      <c r="UTA60" s="609"/>
      <c r="UTB60" s="609"/>
      <c r="UTC60" s="609"/>
      <c r="UTD60" s="609"/>
      <c r="UTE60" s="609"/>
      <c r="UTF60" s="609"/>
      <c r="UTG60" s="609"/>
      <c r="UTH60" s="609"/>
      <c r="UTI60" s="609"/>
      <c r="UTJ60" s="609"/>
      <c r="UTK60" s="609"/>
      <c r="UTL60" s="609"/>
      <c r="UTM60" s="609"/>
      <c r="UTN60" s="609"/>
      <c r="UTO60" s="609"/>
      <c r="UTP60" s="609"/>
      <c r="UTQ60" s="609"/>
      <c r="UTR60" s="609"/>
      <c r="UTS60" s="609"/>
      <c r="UTT60" s="609"/>
      <c r="UTU60" s="609"/>
      <c r="UTV60" s="609"/>
      <c r="UTW60" s="609"/>
      <c r="UTX60" s="609"/>
      <c r="UTY60" s="609"/>
      <c r="UTZ60" s="609"/>
      <c r="UUA60" s="609"/>
      <c r="UUB60" s="609"/>
      <c r="UUC60" s="609"/>
      <c r="UUD60" s="609"/>
      <c r="UUE60" s="609"/>
      <c r="UUF60" s="609"/>
      <c r="UUG60" s="609"/>
      <c r="UUH60" s="609"/>
      <c r="UUI60" s="609"/>
      <c r="UUJ60" s="609"/>
      <c r="UUK60" s="609"/>
      <c r="UUL60" s="609"/>
      <c r="UUM60" s="609"/>
      <c r="UUN60" s="609"/>
      <c r="UUO60" s="609"/>
      <c r="UUP60" s="609"/>
      <c r="UUQ60" s="609"/>
      <c r="UUR60" s="609"/>
      <c r="UUS60" s="609"/>
      <c r="UUT60" s="609"/>
      <c r="UUU60" s="609"/>
      <c r="UUV60" s="609"/>
      <c r="UUW60" s="609"/>
      <c r="UUX60" s="609"/>
      <c r="UUY60" s="609"/>
      <c r="UUZ60" s="609"/>
      <c r="UVA60" s="609"/>
      <c r="UVB60" s="609"/>
      <c r="UVC60" s="609"/>
      <c r="UVD60" s="609"/>
      <c r="UVE60" s="609"/>
      <c r="UVF60" s="609"/>
      <c r="UVG60" s="609"/>
      <c r="UVH60" s="609"/>
      <c r="UVI60" s="609"/>
      <c r="UVJ60" s="609"/>
      <c r="UVK60" s="609"/>
      <c r="UVL60" s="609"/>
      <c r="UVM60" s="609"/>
      <c r="UVN60" s="609"/>
      <c r="UVO60" s="609"/>
      <c r="UVP60" s="609"/>
      <c r="UVQ60" s="609"/>
      <c r="UVR60" s="609"/>
      <c r="UVS60" s="609"/>
      <c r="UVT60" s="609"/>
      <c r="UVU60" s="609"/>
      <c r="UVV60" s="609"/>
      <c r="UVW60" s="609"/>
      <c r="UVX60" s="609"/>
      <c r="UVY60" s="609"/>
      <c r="UVZ60" s="609"/>
      <c r="UWA60" s="609"/>
      <c r="UWB60" s="609"/>
      <c r="UWC60" s="609"/>
      <c r="UWD60" s="609"/>
      <c r="UWE60" s="609"/>
      <c r="UWF60" s="609"/>
      <c r="UWG60" s="609"/>
      <c r="UWH60" s="609"/>
      <c r="UWI60" s="609"/>
      <c r="UWJ60" s="609"/>
      <c r="UWK60" s="609"/>
      <c r="UWL60" s="609"/>
      <c r="UWM60" s="609"/>
      <c r="UWN60" s="609"/>
      <c r="UWO60" s="609"/>
      <c r="UWP60" s="609"/>
      <c r="UWQ60" s="609"/>
      <c r="UWR60" s="609"/>
      <c r="UWS60" s="609"/>
      <c r="UWT60" s="609"/>
      <c r="UWU60" s="609"/>
      <c r="UWV60" s="609"/>
      <c r="UWW60" s="609"/>
      <c r="UWX60" s="609"/>
      <c r="UWY60" s="609"/>
      <c r="UWZ60" s="609"/>
      <c r="UXA60" s="609"/>
      <c r="UXB60" s="609"/>
      <c r="UXC60" s="609"/>
      <c r="UXD60" s="609"/>
      <c r="UXE60" s="609"/>
      <c r="UXF60" s="609"/>
      <c r="UXG60" s="609"/>
      <c r="UXH60" s="609"/>
      <c r="UXI60" s="609"/>
      <c r="UXJ60" s="609"/>
      <c r="UXK60" s="609"/>
      <c r="UXL60" s="609"/>
      <c r="UXM60" s="609"/>
      <c r="UXN60" s="609"/>
      <c r="UXO60" s="609"/>
      <c r="UXP60" s="609"/>
      <c r="UXQ60" s="609"/>
      <c r="UXR60" s="609"/>
      <c r="UXS60" s="609"/>
      <c r="UXT60" s="609"/>
      <c r="UXU60" s="609"/>
      <c r="UXV60" s="609"/>
      <c r="UXW60" s="609"/>
      <c r="UXX60" s="609"/>
      <c r="UXY60" s="609"/>
      <c r="UXZ60" s="609"/>
      <c r="UYA60" s="609"/>
      <c r="UYB60" s="609"/>
      <c r="UYC60" s="609"/>
      <c r="UYD60" s="609"/>
      <c r="UYE60" s="609"/>
      <c r="UYF60" s="609"/>
      <c r="UYG60" s="609"/>
      <c r="UYH60" s="609"/>
      <c r="UYI60" s="609"/>
      <c r="UYJ60" s="609"/>
      <c r="UYK60" s="609"/>
      <c r="UYL60" s="609"/>
      <c r="UYM60" s="609"/>
      <c r="UYN60" s="609"/>
      <c r="UYO60" s="609"/>
      <c r="UYP60" s="609"/>
      <c r="UYQ60" s="609"/>
      <c r="UYR60" s="609"/>
      <c r="UYS60" s="609"/>
      <c r="UYT60" s="609"/>
      <c r="UYU60" s="609"/>
      <c r="UYV60" s="609"/>
      <c r="UYW60" s="609"/>
      <c r="UYX60" s="609"/>
      <c r="UYY60" s="609"/>
      <c r="UYZ60" s="609"/>
      <c r="UZA60" s="609"/>
      <c r="UZB60" s="609"/>
      <c r="UZC60" s="609"/>
      <c r="UZD60" s="609"/>
      <c r="UZE60" s="609"/>
      <c r="UZF60" s="609"/>
      <c r="UZG60" s="609"/>
      <c r="UZH60" s="609"/>
      <c r="UZI60" s="609"/>
      <c r="UZJ60" s="609"/>
      <c r="UZK60" s="609"/>
      <c r="UZL60" s="609"/>
      <c r="UZM60" s="609"/>
      <c r="UZN60" s="609"/>
      <c r="UZO60" s="609"/>
      <c r="UZP60" s="609"/>
      <c r="UZQ60" s="609"/>
      <c r="UZR60" s="609"/>
      <c r="UZS60" s="609"/>
      <c r="UZT60" s="609"/>
      <c r="UZU60" s="609"/>
      <c r="UZV60" s="609"/>
      <c r="UZW60" s="609"/>
      <c r="UZX60" s="609"/>
      <c r="UZY60" s="609"/>
      <c r="UZZ60" s="609"/>
      <c r="VAA60" s="609"/>
      <c r="VAB60" s="609"/>
      <c r="VAC60" s="609"/>
      <c r="VAD60" s="609"/>
      <c r="VAE60" s="609"/>
      <c r="VAF60" s="609"/>
      <c r="VAG60" s="609"/>
      <c r="VAH60" s="609"/>
      <c r="VAI60" s="609"/>
      <c r="VAJ60" s="609"/>
      <c r="VAK60" s="609"/>
      <c r="VAL60" s="609"/>
      <c r="VAM60" s="609"/>
      <c r="VAN60" s="609"/>
      <c r="VAO60" s="609"/>
      <c r="VAP60" s="609"/>
      <c r="VAQ60" s="609"/>
      <c r="VAR60" s="609"/>
      <c r="VAS60" s="609"/>
      <c r="VAT60" s="609"/>
      <c r="VAU60" s="609"/>
      <c r="VAV60" s="609"/>
      <c r="VAW60" s="609"/>
      <c r="VAX60" s="609"/>
      <c r="VAY60" s="609"/>
      <c r="VAZ60" s="609"/>
      <c r="VBA60" s="609"/>
      <c r="VBB60" s="609"/>
      <c r="VBC60" s="609"/>
      <c r="VBD60" s="609"/>
      <c r="VBE60" s="609"/>
      <c r="VBF60" s="609"/>
      <c r="VBG60" s="609"/>
      <c r="VBH60" s="609"/>
      <c r="VBI60" s="609"/>
      <c r="VBJ60" s="609"/>
      <c r="VBK60" s="609"/>
      <c r="VBL60" s="609"/>
      <c r="VBM60" s="609"/>
      <c r="VBN60" s="609"/>
      <c r="VBO60" s="609"/>
      <c r="VBP60" s="609"/>
      <c r="VBQ60" s="609"/>
      <c r="VBR60" s="609"/>
      <c r="VBS60" s="609"/>
      <c r="VBT60" s="609"/>
      <c r="VBU60" s="609"/>
      <c r="VBV60" s="609"/>
      <c r="VBW60" s="609"/>
      <c r="VBX60" s="609"/>
      <c r="VBY60" s="609"/>
      <c r="VBZ60" s="609"/>
      <c r="VCA60" s="609"/>
      <c r="VCB60" s="609"/>
      <c r="VCC60" s="609"/>
      <c r="VCD60" s="609"/>
      <c r="VCE60" s="609"/>
      <c r="VCF60" s="609"/>
      <c r="VCG60" s="609"/>
      <c r="VCH60" s="609"/>
      <c r="VCI60" s="609"/>
      <c r="VCJ60" s="609"/>
      <c r="VCK60" s="609"/>
      <c r="VCL60" s="609"/>
      <c r="VCM60" s="609"/>
      <c r="VCN60" s="609"/>
      <c r="VCO60" s="609"/>
      <c r="VCP60" s="609"/>
      <c r="VCQ60" s="609"/>
      <c r="VCR60" s="609"/>
      <c r="VCS60" s="609"/>
      <c r="VCT60" s="609"/>
      <c r="VCU60" s="609"/>
      <c r="VCV60" s="609"/>
      <c r="VCW60" s="609"/>
      <c r="VCX60" s="609"/>
      <c r="VCY60" s="609"/>
      <c r="VCZ60" s="609"/>
      <c r="VDA60" s="609"/>
      <c r="VDB60" s="609"/>
      <c r="VDC60" s="609"/>
      <c r="VDD60" s="609"/>
      <c r="VDE60" s="609"/>
      <c r="VDF60" s="609"/>
      <c r="VDG60" s="609"/>
      <c r="VDH60" s="609"/>
      <c r="VDI60" s="609"/>
      <c r="VDJ60" s="609"/>
      <c r="VDK60" s="609"/>
      <c r="VDL60" s="609"/>
      <c r="VDM60" s="609"/>
      <c r="VDN60" s="609"/>
      <c r="VDO60" s="609"/>
      <c r="VDP60" s="609"/>
      <c r="VDQ60" s="609"/>
      <c r="VDR60" s="609"/>
      <c r="VDS60" s="609"/>
      <c r="VDT60" s="609"/>
      <c r="VDU60" s="609"/>
      <c r="VDV60" s="609"/>
      <c r="VDW60" s="609"/>
      <c r="VDX60" s="609"/>
      <c r="VDY60" s="609"/>
      <c r="VDZ60" s="609"/>
      <c r="VEA60" s="609"/>
      <c r="VEB60" s="609"/>
      <c r="VEC60" s="609"/>
      <c r="VED60" s="609"/>
      <c r="VEE60" s="609"/>
      <c r="VEF60" s="609"/>
      <c r="VEG60" s="609"/>
      <c r="VEH60" s="609"/>
      <c r="VEI60" s="609"/>
      <c r="VEJ60" s="609"/>
      <c r="VEK60" s="609"/>
      <c r="VEL60" s="609"/>
      <c r="VEM60" s="609"/>
      <c r="VEN60" s="609"/>
      <c r="VEO60" s="609"/>
      <c r="VEP60" s="609"/>
      <c r="VEQ60" s="609"/>
      <c r="VER60" s="609"/>
      <c r="VES60" s="609"/>
      <c r="VET60" s="609"/>
      <c r="VEU60" s="609"/>
      <c r="VEV60" s="609"/>
      <c r="VEW60" s="609"/>
      <c r="VEX60" s="609"/>
      <c r="VEY60" s="609"/>
      <c r="VEZ60" s="609"/>
      <c r="VFA60" s="609"/>
      <c r="VFB60" s="609"/>
      <c r="VFC60" s="609"/>
      <c r="VFD60" s="609"/>
      <c r="VFE60" s="609"/>
      <c r="VFF60" s="609"/>
      <c r="VFG60" s="609"/>
      <c r="VFH60" s="609"/>
      <c r="VFI60" s="609"/>
      <c r="VFJ60" s="609"/>
      <c r="VFK60" s="609"/>
      <c r="VFL60" s="609"/>
      <c r="VFM60" s="609"/>
      <c r="VFN60" s="609"/>
      <c r="VFO60" s="609"/>
      <c r="VFP60" s="609"/>
      <c r="VFQ60" s="609"/>
      <c r="VFR60" s="609"/>
      <c r="VFS60" s="609"/>
      <c r="VFT60" s="609"/>
      <c r="VFU60" s="609"/>
      <c r="VFV60" s="609"/>
      <c r="VFW60" s="609"/>
      <c r="VFX60" s="609"/>
      <c r="VFY60" s="609"/>
      <c r="VFZ60" s="609"/>
      <c r="VGA60" s="609"/>
      <c r="VGB60" s="609"/>
      <c r="VGC60" s="609"/>
      <c r="VGD60" s="609"/>
      <c r="VGE60" s="609"/>
      <c r="VGF60" s="609"/>
      <c r="VGG60" s="609"/>
      <c r="VGH60" s="609"/>
      <c r="VGI60" s="609"/>
      <c r="VGJ60" s="609"/>
      <c r="VGK60" s="609"/>
      <c r="VGL60" s="609"/>
      <c r="VGM60" s="609"/>
      <c r="VGN60" s="609"/>
      <c r="VGO60" s="609"/>
      <c r="VGP60" s="609"/>
      <c r="VGQ60" s="609"/>
      <c r="VGR60" s="609"/>
      <c r="VGS60" s="609"/>
      <c r="VGT60" s="609"/>
      <c r="VGU60" s="609"/>
      <c r="VGV60" s="609"/>
      <c r="VGW60" s="609"/>
      <c r="VGX60" s="609"/>
      <c r="VGY60" s="609"/>
      <c r="VGZ60" s="609"/>
      <c r="VHA60" s="609"/>
      <c r="VHB60" s="609"/>
      <c r="VHC60" s="609"/>
      <c r="VHD60" s="609"/>
      <c r="VHE60" s="609"/>
      <c r="VHF60" s="609"/>
      <c r="VHG60" s="609"/>
      <c r="VHH60" s="609"/>
      <c r="VHI60" s="609"/>
      <c r="VHJ60" s="609"/>
      <c r="VHK60" s="609"/>
      <c r="VHL60" s="609"/>
      <c r="VHM60" s="609"/>
      <c r="VHN60" s="609"/>
      <c r="VHO60" s="609"/>
      <c r="VHP60" s="609"/>
      <c r="VHQ60" s="609"/>
      <c r="VHR60" s="609"/>
      <c r="VHS60" s="609"/>
      <c r="VHT60" s="609"/>
      <c r="VHU60" s="609"/>
      <c r="VHV60" s="609"/>
      <c r="VHW60" s="609"/>
      <c r="VHX60" s="609"/>
      <c r="VHY60" s="609"/>
      <c r="VHZ60" s="609"/>
      <c r="VIA60" s="609"/>
      <c r="VIB60" s="609"/>
      <c r="VIC60" s="609"/>
      <c r="VID60" s="609"/>
      <c r="VIE60" s="609"/>
      <c r="VIF60" s="609"/>
      <c r="VIG60" s="609"/>
      <c r="VIH60" s="609"/>
      <c r="VII60" s="609"/>
      <c r="VIJ60" s="609"/>
      <c r="VIK60" s="609"/>
      <c r="VIL60" s="609"/>
      <c r="VIM60" s="609"/>
      <c r="VIN60" s="609"/>
      <c r="VIO60" s="609"/>
      <c r="VIP60" s="609"/>
      <c r="VIQ60" s="609"/>
      <c r="VIR60" s="609"/>
      <c r="VIS60" s="609"/>
      <c r="VIT60" s="609"/>
      <c r="VIU60" s="609"/>
      <c r="VIV60" s="609"/>
      <c r="VIW60" s="609"/>
      <c r="VIX60" s="609"/>
      <c r="VIY60" s="609"/>
      <c r="VIZ60" s="609"/>
      <c r="VJA60" s="609"/>
      <c r="VJB60" s="609"/>
      <c r="VJC60" s="609"/>
      <c r="VJD60" s="609"/>
      <c r="VJE60" s="609"/>
      <c r="VJF60" s="609"/>
      <c r="VJG60" s="609"/>
      <c r="VJH60" s="609"/>
      <c r="VJI60" s="609"/>
      <c r="VJJ60" s="609"/>
      <c r="VJK60" s="609"/>
      <c r="VJL60" s="609"/>
      <c r="VJM60" s="609"/>
      <c r="VJN60" s="609"/>
      <c r="VJO60" s="609"/>
      <c r="VJP60" s="609"/>
      <c r="VJQ60" s="609"/>
      <c r="VJR60" s="609"/>
      <c r="VJS60" s="609"/>
      <c r="VJT60" s="609"/>
      <c r="VJU60" s="609"/>
      <c r="VJV60" s="609"/>
      <c r="VJW60" s="609"/>
      <c r="VJX60" s="609"/>
      <c r="VJY60" s="609"/>
      <c r="VJZ60" s="609"/>
      <c r="VKA60" s="609"/>
      <c r="VKB60" s="609"/>
      <c r="VKC60" s="609"/>
      <c r="VKD60" s="609"/>
      <c r="VKE60" s="609"/>
      <c r="VKF60" s="609"/>
      <c r="VKG60" s="609"/>
      <c r="VKH60" s="609"/>
      <c r="VKI60" s="609"/>
      <c r="VKJ60" s="609"/>
      <c r="VKK60" s="609"/>
      <c r="VKL60" s="609"/>
      <c r="VKM60" s="609"/>
      <c r="VKN60" s="609"/>
      <c r="VKO60" s="609"/>
      <c r="VKP60" s="609"/>
      <c r="VKQ60" s="609"/>
      <c r="VKR60" s="609"/>
      <c r="VKS60" s="609"/>
      <c r="VKT60" s="609"/>
      <c r="VKU60" s="609"/>
      <c r="VKV60" s="609"/>
      <c r="VKW60" s="609"/>
      <c r="VKX60" s="609"/>
      <c r="VKY60" s="609"/>
      <c r="VKZ60" s="609"/>
      <c r="VLA60" s="609"/>
      <c r="VLB60" s="609"/>
      <c r="VLC60" s="609"/>
      <c r="VLD60" s="609"/>
      <c r="VLE60" s="609"/>
      <c r="VLF60" s="609"/>
      <c r="VLG60" s="609"/>
      <c r="VLH60" s="609"/>
      <c r="VLI60" s="609"/>
      <c r="VLJ60" s="609"/>
      <c r="VLK60" s="609"/>
      <c r="VLL60" s="609"/>
      <c r="VLM60" s="609"/>
      <c r="VLN60" s="609"/>
      <c r="VLO60" s="609"/>
      <c r="VLP60" s="609"/>
      <c r="VLQ60" s="609"/>
      <c r="VLR60" s="609"/>
      <c r="VLS60" s="609"/>
      <c r="VLT60" s="609"/>
      <c r="VLU60" s="609"/>
      <c r="VLV60" s="609"/>
      <c r="VLW60" s="609"/>
      <c r="VLX60" s="609"/>
      <c r="VLY60" s="609"/>
      <c r="VLZ60" s="609"/>
      <c r="VMA60" s="609"/>
      <c r="VMB60" s="609"/>
      <c r="VMC60" s="609"/>
      <c r="VMD60" s="609"/>
      <c r="VME60" s="609"/>
      <c r="VMF60" s="609"/>
      <c r="VMG60" s="609"/>
      <c r="VMH60" s="609"/>
      <c r="VMI60" s="609"/>
      <c r="VMJ60" s="609"/>
      <c r="VMK60" s="609"/>
      <c r="VML60" s="609"/>
      <c r="VMM60" s="609"/>
      <c r="VMN60" s="609"/>
      <c r="VMO60" s="609"/>
      <c r="VMP60" s="609"/>
      <c r="VMQ60" s="609"/>
      <c r="VMR60" s="609"/>
      <c r="VMS60" s="609"/>
      <c r="VMT60" s="609"/>
      <c r="VMU60" s="609"/>
      <c r="VMV60" s="609"/>
      <c r="VMW60" s="609"/>
      <c r="VMX60" s="609"/>
      <c r="VMY60" s="609"/>
      <c r="VMZ60" s="609"/>
      <c r="VNA60" s="609"/>
      <c r="VNB60" s="609"/>
      <c r="VNC60" s="609"/>
      <c r="VND60" s="609"/>
      <c r="VNE60" s="609"/>
      <c r="VNF60" s="609"/>
      <c r="VNG60" s="609"/>
      <c r="VNH60" s="609"/>
      <c r="VNI60" s="609"/>
      <c r="VNJ60" s="609"/>
      <c r="VNK60" s="609"/>
      <c r="VNL60" s="609"/>
      <c r="VNM60" s="609"/>
      <c r="VNN60" s="609"/>
      <c r="VNO60" s="609"/>
      <c r="VNP60" s="609"/>
      <c r="VNQ60" s="609"/>
      <c r="VNR60" s="609"/>
      <c r="VNS60" s="609"/>
      <c r="VNT60" s="609"/>
      <c r="VNU60" s="609"/>
      <c r="VNV60" s="609"/>
      <c r="VNW60" s="609"/>
      <c r="VNX60" s="609"/>
      <c r="VNY60" s="609"/>
      <c r="VNZ60" s="609"/>
      <c r="VOA60" s="609"/>
      <c r="VOB60" s="609"/>
      <c r="VOC60" s="609"/>
      <c r="VOD60" s="609"/>
      <c r="VOE60" s="609"/>
      <c r="VOF60" s="609"/>
      <c r="VOG60" s="609"/>
      <c r="VOH60" s="609"/>
      <c r="VOI60" s="609"/>
      <c r="VOJ60" s="609"/>
      <c r="VOK60" s="609"/>
      <c r="VOL60" s="609"/>
      <c r="VOM60" s="609"/>
      <c r="VON60" s="609"/>
      <c r="VOO60" s="609"/>
      <c r="VOP60" s="609"/>
      <c r="VOQ60" s="609"/>
      <c r="VOR60" s="609"/>
      <c r="VOS60" s="609"/>
      <c r="VOT60" s="609"/>
      <c r="VOU60" s="609"/>
      <c r="VOV60" s="609"/>
      <c r="VOW60" s="609"/>
      <c r="VOX60" s="609"/>
      <c r="VOY60" s="609"/>
      <c r="VOZ60" s="609"/>
      <c r="VPA60" s="609"/>
      <c r="VPB60" s="609"/>
      <c r="VPC60" s="609"/>
      <c r="VPD60" s="609"/>
      <c r="VPE60" s="609"/>
      <c r="VPF60" s="609"/>
      <c r="VPG60" s="609"/>
      <c r="VPH60" s="609"/>
      <c r="VPI60" s="609"/>
      <c r="VPJ60" s="609"/>
      <c r="VPK60" s="609"/>
      <c r="VPL60" s="609"/>
      <c r="VPM60" s="609"/>
      <c r="VPN60" s="609"/>
      <c r="VPO60" s="609"/>
      <c r="VPP60" s="609"/>
      <c r="VPQ60" s="609"/>
      <c r="VPR60" s="609"/>
      <c r="VPS60" s="609"/>
      <c r="VPT60" s="609"/>
      <c r="VPU60" s="609"/>
      <c r="VPV60" s="609"/>
      <c r="VPW60" s="609"/>
      <c r="VPX60" s="609"/>
      <c r="VPY60" s="609"/>
      <c r="VPZ60" s="609"/>
      <c r="VQA60" s="609"/>
      <c r="VQB60" s="609"/>
      <c r="VQC60" s="609"/>
      <c r="VQD60" s="609"/>
      <c r="VQE60" s="609"/>
      <c r="VQF60" s="609"/>
      <c r="VQG60" s="609"/>
      <c r="VQH60" s="609"/>
      <c r="VQI60" s="609"/>
      <c r="VQJ60" s="609"/>
      <c r="VQK60" s="609"/>
      <c r="VQL60" s="609"/>
      <c r="VQM60" s="609"/>
      <c r="VQN60" s="609"/>
      <c r="VQO60" s="609"/>
      <c r="VQP60" s="609"/>
      <c r="VQQ60" s="609"/>
      <c r="VQR60" s="609"/>
      <c r="VQS60" s="609"/>
      <c r="VQT60" s="609"/>
      <c r="VQU60" s="609"/>
      <c r="VQV60" s="609"/>
      <c r="VQW60" s="609"/>
      <c r="VQX60" s="609"/>
      <c r="VQY60" s="609"/>
      <c r="VQZ60" s="609"/>
      <c r="VRA60" s="609"/>
      <c r="VRB60" s="609"/>
      <c r="VRC60" s="609"/>
      <c r="VRD60" s="609"/>
      <c r="VRE60" s="609"/>
      <c r="VRF60" s="609"/>
      <c r="VRG60" s="609"/>
      <c r="VRH60" s="609"/>
      <c r="VRI60" s="609"/>
      <c r="VRJ60" s="609"/>
      <c r="VRK60" s="609"/>
      <c r="VRL60" s="609"/>
      <c r="VRM60" s="609"/>
      <c r="VRN60" s="609"/>
      <c r="VRO60" s="609"/>
      <c r="VRP60" s="609"/>
      <c r="VRQ60" s="609"/>
      <c r="VRR60" s="609"/>
      <c r="VRS60" s="609"/>
      <c r="VRT60" s="609"/>
      <c r="VRU60" s="609"/>
      <c r="VRV60" s="609"/>
      <c r="VRW60" s="609"/>
      <c r="VRX60" s="609"/>
      <c r="VRY60" s="609"/>
      <c r="VRZ60" s="609"/>
      <c r="VSA60" s="609"/>
      <c r="VSB60" s="609"/>
      <c r="VSC60" s="609"/>
      <c r="VSD60" s="609"/>
      <c r="VSE60" s="609"/>
      <c r="VSF60" s="609"/>
      <c r="VSG60" s="609"/>
      <c r="VSH60" s="609"/>
      <c r="VSI60" s="609"/>
      <c r="VSJ60" s="609"/>
      <c r="VSK60" s="609"/>
      <c r="VSL60" s="609"/>
      <c r="VSM60" s="609"/>
      <c r="VSN60" s="609"/>
      <c r="VSO60" s="609"/>
      <c r="VSP60" s="609"/>
      <c r="VSQ60" s="609"/>
      <c r="VSR60" s="609"/>
      <c r="VSS60" s="609"/>
      <c r="VST60" s="609"/>
      <c r="VSU60" s="609"/>
      <c r="VSV60" s="609"/>
      <c r="VSW60" s="609"/>
      <c r="VSX60" s="609"/>
      <c r="VSY60" s="609"/>
      <c r="VSZ60" s="609"/>
      <c r="VTA60" s="609"/>
      <c r="VTB60" s="609"/>
      <c r="VTC60" s="609"/>
      <c r="VTD60" s="609"/>
      <c r="VTE60" s="609"/>
      <c r="VTF60" s="609"/>
      <c r="VTG60" s="609"/>
      <c r="VTH60" s="609"/>
      <c r="VTI60" s="609"/>
      <c r="VTJ60" s="609"/>
      <c r="VTK60" s="609"/>
      <c r="VTL60" s="609"/>
      <c r="VTM60" s="609"/>
      <c r="VTN60" s="609"/>
      <c r="VTO60" s="609"/>
      <c r="VTP60" s="609"/>
      <c r="VTQ60" s="609"/>
      <c r="VTR60" s="609"/>
      <c r="VTS60" s="609"/>
      <c r="VTT60" s="609"/>
      <c r="VTU60" s="609"/>
      <c r="VTV60" s="609"/>
      <c r="VTW60" s="609"/>
      <c r="VTX60" s="609"/>
      <c r="VTY60" s="609"/>
      <c r="VTZ60" s="609"/>
      <c r="VUA60" s="609"/>
      <c r="VUB60" s="609"/>
      <c r="VUC60" s="609"/>
      <c r="VUD60" s="609"/>
      <c r="VUE60" s="609"/>
      <c r="VUF60" s="609"/>
      <c r="VUG60" s="609"/>
      <c r="VUH60" s="609"/>
      <c r="VUI60" s="609"/>
      <c r="VUJ60" s="609"/>
      <c r="VUK60" s="609"/>
      <c r="VUL60" s="609"/>
      <c r="VUM60" s="609"/>
      <c r="VUN60" s="609"/>
      <c r="VUO60" s="609"/>
      <c r="VUP60" s="609"/>
      <c r="VUQ60" s="609"/>
      <c r="VUR60" s="609"/>
      <c r="VUS60" s="609"/>
      <c r="VUT60" s="609"/>
      <c r="VUU60" s="609"/>
      <c r="VUV60" s="609"/>
      <c r="VUW60" s="609"/>
      <c r="VUX60" s="609"/>
      <c r="VUY60" s="609"/>
      <c r="VUZ60" s="609"/>
      <c r="VVA60" s="609"/>
      <c r="VVB60" s="609"/>
      <c r="VVC60" s="609"/>
      <c r="VVD60" s="609"/>
      <c r="VVE60" s="609"/>
      <c r="VVF60" s="609"/>
      <c r="VVG60" s="609"/>
      <c r="VVH60" s="609"/>
      <c r="VVI60" s="609"/>
      <c r="VVJ60" s="609"/>
      <c r="VVK60" s="609"/>
      <c r="VVL60" s="609"/>
      <c r="VVM60" s="609"/>
      <c r="VVN60" s="609"/>
      <c r="VVO60" s="609"/>
      <c r="VVP60" s="609"/>
      <c r="VVQ60" s="609"/>
      <c r="VVR60" s="609"/>
      <c r="VVS60" s="609"/>
      <c r="VVT60" s="609"/>
      <c r="VVU60" s="609"/>
      <c r="VVV60" s="609"/>
      <c r="VVW60" s="609"/>
      <c r="VVX60" s="609"/>
      <c r="VVY60" s="609"/>
      <c r="VVZ60" s="609"/>
      <c r="VWA60" s="609"/>
      <c r="VWB60" s="609"/>
      <c r="VWC60" s="609"/>
      <c r="VWD60" s="609"/>
      <c r="VWE60" s="609"/>
      <c r="VWF60" s="609"/>
      <c r="VWG60" s="609"/>
      <c r="VWH60" s="609"/>
      <c r="VWI60" s="609"/>
      <c r="VWJ60" s="609"/>
      <c r="VWK60" s="609"/>
      <c r="VWL60" s="609"/>
      <c r="VWM60" s="609"/>
      <c r="VWN60" s="609"/>
      <c r="VWO60" s="609"/>
      <c r="VWP60" s="609"/>
      <c r="VWQ60" s="609"/>
      <c r="VWR60" s="609"/>
      <c r="VWS60" s="609"/>
      <c r="VWT60" s="609"/>
      <c r="VWU60" s="609"/>
      <c r="VWV60" s="609"/>
      <c r="VWW60" s="609"/>
      <c r="VWX60" s="609"/>
      <c r="VWY60" s="609"/>
      <c r="VWZ60" s="609"/>
      <c r="VXA60" s="609"/>
      <c r="VXB60" s="609"/>
      <c r="VXC60" s="609"/>
      <c r="VXD60" s="609"/>
      <c r="VXE60" s="609"/>
      <c r="VXF60" s="609"/>
      <c r="VXG60" s="609"/>
      <c r="VXH60" s="609"/>
      <c r="VXI60" s="609"/>
      <c r="VXJ60" s="609"/>
      <c r="VXK60" s="609"/>
      <c r="VXL60" s="609"/>
      <c r="VXM60" s="609"/>
      <c r="VXN60" s="609"/>
      <c r="VXO60" s="609"/>
      <c r="VXP60" s="609"/>
      <c r="VXQ60" s="609"/>
      <c r="VXR60" s="609"/>
      <c r="VXS60" s="609"/>
      <c r="VXT60" s="609"/>
      <c r="VXU60" s="609"/>
      <c r="VXV60" s="609"/>
      <c r="VXW60" s="609"/>
      <c r="VXX60" s="609"/>
      <c r="VXY60" s="609"/>
      <c r="VXZ60" s="609"/>
      <c r="VYA60" s="609"/>
      <c r="VYB60" s="609"/>
      <c r="VYC60" s="609"/>
      <c r="VYD60" s="609"/>
      <c r="VYE60" s="609"/>
      <c r="VYF60" s="609"/>
      <c r="VYG60" s="609"/>
      <c r="VYH60" s="609"/>
      <c r="VYI60" s="609"/>
      <c r="VYJ60" s="609"/>
      <c r="VYK60" s="609"/>
      <c r="VYL60" s="609"/>
      <c r="VYM60" s="609"/>
      <c r="VYN60" s="609"/>
      <c r="VYO60" s="609"/>
      <c r="VYP60" s="609"/>
      <c r="VYQ60" s="609"/>
      <c r="VYR60" s="609"/>
      <c r="VYS60" s="609"/>
      <c r="VYT60" s="609"/>
      <c r="VYU60" s="609"/>
      <c r="VYV60" s="609"/>
      <c r="VYW60" s="609"/>
      <c r="VYX60" s="609"/>
      <c r="VYY60" s="609"/>
      <c r="VYZ60" s="609"/>
      <c r="VZA60" s="609"/>
      <c r="VZB60" s="609"/>
      <c r="VZC60" s="609"/>
      <c r="VZD60" s="609"/>
      <c r="VZE60" s="609"/>
      <c r="VZF60" s="609"/>
      <c r="VZG60" s="609"/>
      <c r="VZH60" s="609"/>
      <c r="VZI60" s="609"/>
      <c r="VZJ60" s="609"/>
      <c r="VZK60" s="609"/>
      <c r="VZL60" s="609"/>
      <c r="VZM60" s="609"/>
      <c r="VZN60" s="609"/>
      <c r="VZO60" s="609"/>
      <c r="VZP60" s="609"/>
      <c r="VZQ60" s="609"/>
      <c r="VZR60" s="609"/>
      <c r="VZS60" s="609"/>
      <c r="VZT60" s="609"/>
      <c r="VZU60" s="609"/>
      <c r="VZV60" s="609"/>
      <c r="VZW60" s="609"/>
      <c r="VZX60" s="609"/>
      <c r="VZY60" s="609"/>
      <c r="VZZ60" s="609"/>
      <c r="WAA60" s="609"/>
      <c r="WAB60" s="609"/>
      <c r="WAC60" s="609"/>
      <c r="WAD60" s="609"/>
      <c r="WAE60" s="609"/>
      <c r="WAF60" s="609"/>
      <c r="WAG60" s="609"/>
      <c r="WAH60" s="609"/>
      <c r="WAI60" s="609"/>
      <c r="WAJ60" s="609"/>
      <c r="WAK60" s="609"/>
      <c r="WAL60" s="609"/>
      <c r="WAM60" s="609"/>
      <c r="WAN60" s="609"/>
      <c r="WAO60" s="609"/>
      <c r="WAP60" s="609"/>
      <c r="WAQ60" s="609"/>
      <c r="WAR60" s="609"/>
      <c r="WAS60" s="609"/>
      <c r="WAT60" s="609"/>
      <c r="WAU60" s="609"/>
      <c r="WAV60" s="609"/>
      <c r="WAW60" s="609"/>
      <c r="WAX60" s="609"/>
      <c r="WAY60" s="609"/>
      <c r="WAZ60" s="609"/>
      <c r="WBA60" s="609"/>
      <c r="WBB60" s="609"/>
      <c r="WBC60" s="609"/>
      <c r="WBD60" s="609"/>
      <c r="WBE60" s="609"/>
      <c r="WBF60" s="609"/>
      <c r="WBG60" s="609"/>
      <c r="WBH60" s="609"/>
      <c r="WBI60" s="609"/>
      <c r="WBJ60" s="609"/>
      <c r="WBK60" s="609"/>
      <c r="WBL60" s="609"/>
      <c r="WBM60" s="609"/>
      <c r="WBN60" s="609"/>
      <c r="WBO60" s="609"/>
      <c r="WBP60" s="609"/>
      <c r="WBQ60" s="609"/>
      <c r="WBR60" s="609"/>
      <c r="WBS60" s="609"/>
      <c r="WBT60" s="609"/>
      <c r="WBU60" s="609"/>
      <c r="WBV60" s="609"/>
      <c r="WBW60" s="609"/>
      <c r="WBX60" s="609"/>
      <c r="WBY60" s="609"/>
      <c r="WBZ60" s="609"/>
      <c r="WCA60" s="609"/>
      <c r="WCB60" s="609"/>
      <c r="WCC60" s="609"/>
      <c r="WCD60" s="609"/>
      <c r="WCE60" s="609"/>
      <c r="WCF60" s="609"/>
      <c r="WCG60" s="609"/>
      <c r="WCH60" s="609"/>
      <c r="WCI60" s="609"/>
      <c r="WCJ60" s="609"/>
      <c r="WCK60" s="609"/>
      <c r="WCL60" s="609"/>
      <c r="WCM60" s="609"/>
      <c r="WCN60" s="609"/>
      <c r="WCO60" s="609"/>
      <c r="WCP60" s="609"/>
      <c r="WCQ60" s="609"/>
      <c r="WCR60" s="609"/>
      <c r="WCS60" s="609"/>
      <c r="WCT60" s="609"/>
      <c r="WCU60" s="609"/>
      <c r="WCV60" s="609"/>
      <c r="WCW60" s="609"/>
      <c r="WCX60" s="609"/>
      <c r="WCY60" s="609"/>
      <c r="WCZ60" s="609"/>
      <c r="WDA60" s="609"/>
      <c r="WDB60" s="609"/>
      <c r="WDC60" s="609"/>
      <c r="WDD60" s="609"/>
      <c r="WDE60" s="609"/>
      <c r="WDF60" s="609"/>
      <c r="WDG60" s="609"/>
      <c r="WDH60" s="609"/>
      <c r="WDI60" s="609"/>
      <c r="WDJ60" s="609"/>
      <c r="WDK60" s="609"/>
      <c r="WDL60" s="609"/>
      <c r="WDM60" s="609"/>
      <c r="WDN60" s="609"/>
      <c r="WDO60" s="609"/>
      <c r="WDP60" s="609"/>
      <c r="WDQ60" s="609"/>
      <c r="WDR60" s="609"/>
      <c r="WDS60" s="609"/>
      <c r="WDT60" s="609"/>
      <c r="WDU60" s="609"/>
      <c r="WDV60" s="609"/>
      <c r="WDW60" s="609"/>
      <c r="WDX60" s="609"/>
      <c r="WDY60" s="609"/>
      <c r="WDZ60" s="609"/>
      <c r="WEA60" s="609"/>
      <c r="WEB60" s="609"/>
      <c r="WEC60" s="609"/>
      <c r="WED60" s="609"/>
      <c r="WEE60" s="609"/>
      <c r="WEF60" s="609"/>
      <c r="WEG60" s="609"/>
      <c r="WEH60" s="609"/>
      <c r="WEI60" s="609"/>
      <c r="WEJ60" s="609"/>
      <c r="WEK60" s="609"/>
      <c r="WEL60" s="609"/>
      <c r="WEM60" s="609"/>
      <c r="WEN60" s="609"/>
      <c r="WEO60" s="609"/>
      <c r="WEP60" s="609"/>
      <c r="WEQ60" s="609"/>
      <c r="WER60" s="609"/>
      <c r="WES60" s="609"/>
      <c r="WET60" s="609"/>
      <c r="WEU60" s="609"/>
      <c r="WEV60" s="609"/>
      <c r="WEW60" s="609"/>
      <c r="WEX60" s="609"/>
      <c r="WEY60" s="609"/>
      <c r="WEZ60" s="609"/>
      <c r="WFA60" s="609"/>
      <c r="WFB60" s="609"/>
      <c r="WFC60" s="609"/>
      <c r="WFD60" s="609"/>
      <c r="WFE60" s="609"/>
      <c r="WFF60" s="609"/>
      <c r="WFG60" s="609"/>
      <c r="WFH60" s="609"/>
      <c r="WFI60" s="609"/>
      <c r="WFJ60" s="609"/>
      <c r="WFK60" s="609"/>
      <c r="WFL60" s="609"/>
      <c r="WFM60" s="609"/>
      <c r="WFN60" s="609"/>
      <c r="WFO60" s="609"/>
      <c r="WFP60" s="609"/>
      <c r="WFQ60" s="609"/>
      <c r="WFR60" s="609"/>
      <c r="WFS60" s="609"/>
      <c r="WFT60" s="609"/>
      <c r="WFU60" s="609"/>
      <c r="WFV60" s="609"/>
      <c r="WFW60" s="609"/>
      <c r="WFX60" s="609"/>
      <c r="WFY60" s="609"/>
      <c r="WFZ60" s="609"/>
      <c r="WGA60" s="609"/>
      <c r="WGB60" s="609"/>
      <c r="WGC60" s="609"/>
      <c r="WGD60" s="609"/>
      <c r="WGE60" s="609"/>
      <c r="WGF60" s="609"/>
      <c r="WGG60" s="609"/>
      <c r="WGH60" s="609"/>
      <c r="WGI60" s="609"/>
      <c r="WGJ60" s="609"/>
      <c r="WGK60" s="609"/>
      <c r="WGL60" s="609"/>
      <c r="WGM60" s="609"/>
      <c r="WGN60" s="609"/>
      <c r="WGO60" s="609"/>
      <c r="WGP60" s="609"/>
      <c r="WGQ60" s="609"/>
      <c r="WGR60" s="609"/>
      <c r="WGS60" s="609"/>
      <c r="WGT60" s="609"/>
      <c r="WGU60" s="609"/>
      <c r="WGV60" s="609"/>
      <c r="WGW60" s="609"/>
      <c r="WGX60" s="609"/>
      <c r="WGY60" s="609"/>
      <c r="WGZ60" s="609"/>
      <c r="WHA60" s="609"/>
      <c r="WHB60" s="609"/>
      <c r="WHC60" s="609"/>
      <c r="WHD60" s="609"/>
      <c r="WHE60" s="609"/>
      <c r="WHF60" s="609"/>
      <c r="WHG60" s="609"/>
      <c r="WHH60" s="609"/>
      <c r="WHI60" s="609"/>
      <c r="WHJ60" s="609"/>
      <c r="WHK60" s="609"/>
      <c r="WHL60" s="609"/>
      <c r="WHM60" s="609"/>
      <c r="WHN60" s="609"/>
      <c r="WHO60" s="609"/>
      <c r="WHP60" s="609"/>
      <c r="WHQ60" s="609"/>
      <c r="WHR60" s="609"/>
      <c r="WHS60" s="609"/>
      <c r="WHT60" s="609"/>
      <c r="WHU60" s="609"/>
      <c r="WHV60" s="609"/>
      <c r="WHW60" s="609"/>
      <c r="WHX60" s="609"/>
      <c r="WHY60" s="609"/>
      <c r="WHZ60" s="609"/>
      <c r="WIA60" s="609"/>
      <c r="WIB60" s="609"/>
      <c r="WIC60" s="609"/>
      <c r="WID60" s="609"/>
      <c r="WIE60" s="609"/>
      <c r="WIF60" s="609"/>
      <c r="WIG60" s="609"/>
      <c r="WIH60" s="609"/>
      <c r="WII60" s="609"/>
      <c r="WIJ60" s="609"/>
      <c r="WIK60" s="609"/>
      <c r="WIL60" s="609"/>
      <c r="WIM60" s="609"/>
      <c r="WIN60" s="609"/>
      <c r="WIO60" s="609"/>
      <c r="WIP60" s="609"/>
      <c r="WIQ60" s="609"/>
      <c r="WIR60" s="609"/>
      <c r="WIS60" s="609"/>
      <c r="WIT60" s="609"/>
      <c r="WIU60" s="609"/>
      <c r="WIV60" s="609"/>
      <c r="WIW60" s="609"/>
      <c r="WIX60" s="609"/>
      <c r="WIY60" s="609"/>
      <c r="WIZ60" s="609"/>
      <c r="WJA60" s="609"/>
      <c r="WJB60" s="609"/>
      <c r="WJC60" s="609"/>
      <c r="WJD60" s="609"/>
      <c r="WJE60" s="609"/>
      <c r="WJF60" s="609"/>
      <c r="WJG60" s="609"/>
      <c r="WJH60" s="609"/>
      <c r="WJI60" s="609"/>
      <c r="WJJ60" s="609"/>
      <c r="WJK60" s="609"/>
      <c r="WJL60" s="609"/>
      <c r="WJM60" s="609"/>
      <c r="WJN60" s="609"/>
      <c r="WJO60" s="609"/>
      <c r="WJP60" s="609"/>
      <c r="WJQ60" s="609"/>
      <c r="WJR60" s="609"/>
      <c r="WJS60" s="609"/>
      <c r="WJT60" s="609"/>
      <c r="WJU60" s="609"/>
      <c r="WJV60" s="609"/>
      <c r="WJW60" s="609"/>
      <c r="WJX60" s="609"/>
      <c r="WJY60" s="609"/>
      <c r="WJZ60" s="609"/>
      <c r="WKA60" s="609"/>
      <c r="WKB60" s="609"/>
      <c r="WKC60" s="609"/>
      <c r="WKD60" s="609"/>
      <c r="WKE60" s="609"/>
      <c r="WKF60" s="609"/>
      <c r="WKG60" s="609"/>
      <c r="WKH60" s="609"/>
      <c r="WKI60" s="609"/>
      <c r="WKJ60" s="609"/>
      <c r="WKK60" s="609"/>
      <c r="WKL60" s="609"/>
      <c r="WKM60" s="609"/>
      <c r="WKN60" s="609"/>
      <c r="WKO60" s="609"/>
      <c r="WKP60" s="609"/>
      <c r="WKQ60" s="609"/>
      <c r="WKR60" s="609"/>
      <c r="WKS60" s="609"/>
      <c r="WKT60" s="609"/>
      <c r="WKU60" s="609"/>
      <c r="WKV60" s="609"/>
      <c r="WKW60" s="609"/>
      <c r="WKX60" s="609"/>
      <c r="WKY60" s="609"/>
      <c r="WKZ60" s="609"/>
      <c r="WLA60" s="609"/>
      <c r="WLB60" s="609"/>
      <c r="WLC60" s="609"/>
      <c r="WLD60" s="609"/>
      <c r="WLE60" s="609"/>
      <c r="WLF60" s="609"/>
      <c r="WLG60" s="609"/>
      <c r="WLH60" s="609"/>
      <c r="WLI60" s="609"/>
      <c r="WLJ60" s="609"/>
      <c r="WLK60" s="609"/>
      <c r="WLL60" s="609"/>
      <c r="WLM60" s="609"/>
      <c r="WLN60" s="609"/>
      <c r="WLO60" s="609"/>
      <c r="WLP60" s="609"/>
      <c r="WLQ60" s="609"/>
      <c r="WLR60" s="609"/>
      <c r="WLS60" s="609"/>
      <c r="WLT60" s="609"/>
      <c r="WLU60" s="609"/>
      <c r="WLV60" s="609"/>
      <c r="WLW60" s="609"/>
      <c r="WLX60" s="609"/>
      <c r="WLY60" s="609"/>
      <c r="WLZ60" s="609"/>
      <c r="WMA60" s="609"/>
      <c r="WMB60" s="609"/>
      <c r="WMC60" s="609"/>
      <c r="WMD60" s="609"/>
      <c r="WME60" s="609"/>
      <c r="WMF60" s="609"/>
      <c r="WMG60" s="609"/>
      <c r="WMH60" s="609"/>
      <c r="WMI60" s="609"/>
      <c r="WMJ60" s="609"/>
      <c r="WMK60" s="609"/>
      <c r="WML60" s="609"/>
      <c r="WMM60" s="609"/>
      <c r="WMN60" s="609"/>
      <c r="WMO60" s="609"/>
      <c r="WMP60" s="609"/>
      <c r="WMQ60" s="609"/>
      <c r="WMR60" s="609"/>
      <c r="WMS60" s="609"/>
      <c r="WMT60" s="609"/>
      <c r="WMU60" s="609"/>
      <c r="WMV60" s="609"/>
      <c r="WMW60" s="609"/>
      <c r="WMX60" s="609"/>
      <c r="WMY60" s="609"/>
      <c r="WMZ60" s="609"/>
      <c r="WNA60" s="609"/>
      <c r="WNB60" s="609"/>
      <c r="WNC60" s="609"/>
      <c r="WND60" s="609"/>
      <c r="WNE60" s="609"/>
      <c r="WNF60" s="609"/>
      <c r="WNG60" s="609"/>
      <c r="WNH60" s="609"/>
      <c r="WNI60" s="609"/>
      <c r="WNJ60" s="609"/>
      <c r="WNK60" s="609"/>
      <c r="WNL60" s="609"/>
      <c r="WNM60" s="609"/>
      <c r="WNN60" s="609"/>
      <c r="WNO60" s="609"/>
      <c r="WNP60" s="609"/>
      <c r="WNQ60" s="609"/>
      <c r="WNR60" s="609"/>
      <c r="WNS60" s="609"/>
      <c r="WNT60" s="609"/>
      <c r="WNU60" s="609"/>
      <c r="WNV60" s="609"/>
      <c r="WNW60" s="609"/>
      <c r="WNX60" s="609"/>
      <c r="WNY60" s="609"/>
      <c r="WNZ60" s="609"/>
      <c r="WOA60" s="609"/>
      <c r="WOB60" s="609"/>
      <c r="WOC60" s="609"/>
      <c r="WOD60" s="609"/>
      <c r="WOE60" s="609"/>
      <c r="WOF60" s="609"/>
      <c r="WOG60" s="609"/>
      <c r="WOH60" s="609"/>
      <c r="WOI60" s="609"/>
      <c r="WOJ60" s="609"/>
      <c r="WOK60" s="609"/>
      <c r="WOL60" s="609"/>
      <c r="WOM60" s="609"/>
      <c r="WON60" s="609"/>
      <c r="WOO60" s="609"/>
      <c r="WOP60" s="609"/>
      <c r="WOQ60" s="609"/>
      <c r="WOR60" s="609"/>
      <c r="WOS60" s="609"/>
      <c r="WOT60" s="609"/>
      <c r="WOU60" s="609"/>
      <c r="WOV60" s="609"/>
      <c r="WOW60" s="609"/>
      <c r="WOX60" s="609"/>
      <c r="WOY60" s="609"/>
      <c r="WOZ60" s="609"/>
      <c r="WPA60" s="609"/>
      <c r="WPB60" s="609"/>
      <c r="WPC60" s="609"/>
      <c r="WPD60" s="609"/>
      <c r="WPE60" s="609"/>
      <c r="WPF60" s="609"/>
      <c r="WPG60" s="609"/>
      <c r="WPH60" s="609"/>
      <c r="WPI60" s="609"/>
      <c r="WPJ60" s="609"/>
      <c r="WPK60" s="609"/>
      <c r="WPL60" s="609"/>
      <c r="WPM60" s="609"/>
      <c r="WPN60" s="609"/>
      <c r="WPO60" s="609"/>
      <c r="WPP60" s="609"/>
      <c r="WPQ60" s="609"/>
      <c r="WPR60" s="609"/>
      <c r="WPS60" s="609"/>
      <c r="WPT60" s="609"/>
      <c r="WPU60" s="609"/>
      <c r="WPV60" s="609"/>
      <c r="WPW60" s="609"/>
      <c r="WPX60" s="609"/>
      <c r="WPY60" s="609"/>
      <c r="WPZ60" s="609"/>
      <c r="WQA60" s="609"/>
      <c r="WQB60" s="609"/>
      <c r="WQC60" s="609"/>
      <c r="WQD60" s="609"/>
      <c r="WQE60" s="609"/>
      <c r="WQF60" s="609"/>
      <c r="WQG60" s="609"/>
      <c r="WQH60" s="609"/>
      <c r="WQI60" s="609"/>
      <c r="WQJ60" s="609"/>
      <c r="WQK60" s="609"/>
      <c r="WQL60" s="609"/>
      <c r="WQM60" s="609"/>
      <c r="WQN60" s="609"/>
      <c r="WQO60" s="609"/>
      <c r="WQP60" s="609"/>
      <c r="WQQ60" s="609"/>
      <c r="WQR60" s="609"/>
      <c r="WQS60" s="609"/>
      <c r="WQT60" s="609"/>
      <c r="WQU60" s="609"/>
      <c r="WQV60" s="609"/>
      <c r="WQW60" s="609"/>
      <c r="WQX60" s="609"/>
      <c r="WQY60" s="609"/>
      <c r="WQZ60" s="609"/>
      <c r="WRA60" s="609"/>
      <c r="WRB60" s="609"/>
      <c r="WRC60" s="609"/>
      <c r="WRD60" s="609"/>
      <c r="WRE60" s="609"/>
      <c r="WRF60" s="609"/>
      <c r="WRG60" s="609"/>
      <c r="WRH60" s="609"/>
      <c r="WRI60" s="609"/>
      <c r="WRJ60" s="609"/>
      <c r="WRK60" s="609"/>
      <c r="WRL60" s="609"/>
      <c r="WRM60" s="609"/>
      <c r="WRN60" s="609"/>
      <c r="WRO60" s="609"/>
      <c r="WRP60" s="609"/>
      <c r="WRQ60" s="609"/>
      <c r="WRR60" s="609"/>
      <c r="WRS60" s="609"/>
      <c r="WRT60" s="609"/>
      <c r="WRU60" s="609"/>
      <c r="WRV60" s="609"/>
      <c r="WRW60" s="609"/>
      <c r="WRX60" s="609"/>
      <c r="WRY60" s="609"/>
      <c r="WRZ60" s="609"/>
      <c r="WSA60" s="609"/>
      <c r="WSB60" s="609"/>
      <c r="WSC60" s="609"/>
      <c r="WSD60" s="609"/>
      <c r="WSE60" s="609"/>
      <c r="WSF60" s="609"/>
      <c r="WSG60" s="609"/>
      <c r="WSH60" s="609"/>
      <c r="WSI60" s="609"/>
      <c r="WSJ60" s="609"/>
      <c r="WSK60" s="609"/>
      <c r="WSL60" s="609"/>
      <c r="WSM60" s="609"/>
      <c r="WSN60" s="609"/>
      <c r="WSO60" s="609"/>
      <c r="WSP60" s="609"/>
      <c r="WSQ60" s="609"/>
      <c r="WSR60" s="609"/>
      <c r="WSS60" s="609"/>
      <c r="WST60" s="609"/>
      <c r="WSU60" s="609"/>
      <c r="WSV60" s="609"/>
      <c r="WSW60" s="609"/>
      <c r="WSX60" s="609"/>
      <c r="WSY60" s="609"/>
      <c r="WSZ60" s="609"/>
      <c r="WTA60" s="609"/>
      <c r="WTB60" s="609"/>
      <c r="WTC60" s="609"/>
      <c r="WTD60" s="609"/>
      <c r="WTE60" s="609"/>
      <c r="WTF60" s="609"/>
      <c r="WTG60" s="609"/>
      <c r="WTH60" s="609"/>
      <c r="WTI60" s="609"/>
      <c r="WTJ60" s="609"/>
      <c r="WTK60" s="609"/>
      <c r="WTL60" s="609"/>
      <c r="WTM60" s="609"/>
      <c r="WTN60" s="609"/>
      <c r="WTO60" s="609"/>
      <c r="WTP60" s="609"/>
      <c r="WTQ60" s="609"/>
      <c r="WTR60" s="609"/>
      <c r="WTS60" s="609"/>
      <c r="WTT60" s="609"/>
      <c r="WTU60" s="609"/>
      <c r="WTV60" s="609"/>
      <c r="WTW60" s="609"/>
      <c r="WTX60" s="609"/>
      <c r="WTY60" s="609"/>
      <c r="WTZ60" s="609"/>
      <c r="WUA60" s="609"/>
      <c r="WUB60" s="609"/>
      <c r="WUC60" s="609"/>
      <c r="WUD60" s="609"/>
      <c r="WUE60" s="609"/>
      <c r="WUF60" s="609"/>
      <c r="WUG60" s="609"/>
      <c r="WUH60" s="609"/>
      <c r="WUI60" s="609"/>
      <c r="WUJ60" s="609"/>
      <c r="WUK60" s="609"/>
      <c r="WUL60" s="609"/>
      <c r="WUM60" s="609"/>
      <c r="WUN60" s="609"/>
      <c r="WUO60" s="609"/>
      <c r="WUP60" s="609"/>
      <c r="WUQ60" s="609"/>
      <c r="WUR60" s="609"/>
      <c r="WUS60" s="609"/>
      <c r="WUT60" s="609"/>
      <c r="WUU60" s="609"/>
      <c r="WUV60" s="609"/>
      <c r="WUW60" s="609"/>
      <c r="WUX60" s="609"/>
      <c r="WUY60" s="609"/>
      <c r="WUZ60" s="609"/>
      <c r="WVA60" s="609"/>
      <c r="WVB60" s="609"/>
      <c r="WVC60" s="609"/>
      <c r="WVD60" s="609"/>
      <c r="WVE60" s="609"/>
      <c r="WVF60" s="609"/>
      <c r="WVG60" s="609"/>
      <c r="WVH60" s="609"/>
      <c r="WVI60" s="609"/>
      <c r="WVJ60" s="609"/>
      <c r="WVK60" s="609"/>
      <c r="WVL60" s="609"/>
      <c r="WVM60" s="609"/>
      <c r="WVN60" s="609"/>
      <c r="WVO60" s="609"/>
      <c r="WVP60" s="609"/>
      <c r="WVQ60" s="609"/>
      <c r="WVR60" s="609"/>
      <c r="WVS60" s="609"/>
      <c r="WVT60" s="609"/>
      <c r="WVU60" s="609"/>
      <c r="WVV60" s="609"/>
      <c r="WVW60" s="609"/>
      <c r="WVX60" s="609"/>
      <c r="WVY60" s="609"/>
      <c r="WVZ60" s="609"/>
      <c r="WWA60" s="609"/>
      <c r="WWB60" s="609"/>
      <c r="WWC60" s="609"/>
      <c r="WWD60" s="609"/>
      <c r="WWE60" s="609"/>
      <c r="WWF60" s="609"/>
      <c r="WWG60" s="609"/>
      <c r="WWH60" s="609"/>
      <c r="WWI60" s="609"/>
      <c r="WWJ60" s="609"/>
      <c r="WWK60" s="609"/>
      <c r="WWL60" s="609"/>
      <c r="WWM60" s="609"/>
      <c r="WWN60" s="609"/>
      <c r="WWO60" s="609"/>
      <c r="WWP60" s="609"/>
      <c r="WWQ60" s="609"/>
      <c r="WWR60" s="609"/>
      <c r="WWS60" s="609"/>
      <c r="WWT60" s="609"/>
      <c r="WWU60" s="609"/>
      <c r="WWV60" s="609"/>
      <c r="WWW60" s="609"/>
      <c r="WWX60" s="609"/>
      <c r="WWY60" s="609"/>
      <c r="WWZ60" s="609"/>
      <c r="WXA60" s="609"/>
      <c r="WXB60" s="609"/>
      <c r="WXC60" s="609"/>
      <c r="WXD60" s="609"/>
      <c r="WXE60" s="609"/>
      <c r="WXF60" s="609"/>
      <c r="WXG60" s="609"/>
      <c r="WXH60" s="609"/>
      <c r="WXI60" s="609"/>
      <c r="WXJ60" s="609"/>
      <c r="WXK60" s="609"/>
      <c r="WXL60" s="609"/>
      <c r="WXM60" s="609"/>
      <c r="WXN60" s="609"/>
      <c r="WXO60" s="609"/>
      <c r="WXP60" s="609"/>
      <c r="WXQ60" s="609"/>
      <c r="WXR60" s="609"/>
      <c r="WXS60" s="609"/>
      <c r="WXT60" s="609"/>
      <c r="WXU60" s="609"/>
      <c r="WXV60" s="609"/>
      <c r="WXW60" s="609"/>
      <c r="WXX60" s="609"/>
      <c r="WXY60" s="609"/>
      <c r="WXZ60" s="609"/>
      <c r="WYA60" s="609"/>
      <c r="WYB60" s="609"/>
      <c r="WYC60" s="609"/>
      <c r="WYD60" s="609"/>
      <c r="WYE60" s="609"/>
      <c r="WYF60" s="609"/>
      <c r="WYG60" s="609"/>
      <c r="WYH60" s="609"/>
      <c r="WYI60" s="609"/>
      <c r="WYJ60" s="609"/>
      <c r="WYK60" s="609"/>
      <c r="WYL60" s="609"/>
      <c r="WYM60" s="609"/>
      <c r="WYN60" s="609"/>
      <c r="WYO60" s="609"/>
      <c r="WYP60" s="609"/>
      <c r="WYQ60" s="609"/>
      <c r="WYR60" s="609"/>
      <c r="WYS60" s="609"/>
      <c r="WYT60" s="609"/>
      <c r="WYU60" s="609"/>
      <c r="WYV60" s="609"/>
      <c r="WYW60" s="609"/>
      <c r="WYX60" s="609"/>
      <c r="WYY60" s="609"/>
      <c r="WYZ60" s="609"/>
      <c r="WZA60" s="609"/>
      <c r="WZB60" s="609"/>
      <c r="WZC60" s="609"/>
      <c r="WZD60" s="609"/>
      <c r="WZE60" s="609"/>
      <c r="WZF60" s="609"/>
      <c r="WZG60" s="609"/>
      <c r="WZH60" s="609"/>
      <c r="WZI60" s="609"/>
      <c r="WZJ60" s="609"/>
      <c r="WZK60" s="609"/>
      <c r="WZL60" s="609"/>
      <c r="WZM60" s="609"/>
      <c r="WZN60" s="609"/>
      <c r="WZO60" s="609"/>
      <c r="WZP60" s="609"/>
      <c r="WZQ60" s="609"/>
      <c r="WZR60" s="609"/>
      <c r="WZS60" s="609"/>
      <c r="WZT60" s="609"/>
      <c r="WZU60" s="609"/>
      <c r="WZV60" s="609"/>
      <c r="WZW60" s="609"/>
      <c r="WZX60" s="609"/>
      <c r="WZY60" s="609"/>
      <c r="WZZ60" s="609"/>
      <c r="XAA60" s="609"/>
      <c r="XAB60" s="609"/>
      <c r="XAC60" s="609"/>
      <c r="XAD60" s="609"/>
      <c r="XAE60" s="609"/>
      <c r="XAF60" s="609"/>
      <c r="XAG60" s="609"/>
      <c r="XAH60" s="609"/>
      <c r="XAI60" s="609"/>
      <c r="XAJ60" s="609"/>
      <c r="XAK60" s="609"/>
      <c r="XAL60" s="609"/>
      <c r="XAM60" s="609"/>
      <c r="XAN60" s="609"/>
      <c r="XAO60" s="609"/>
      <c r="XAP60" s="609"/>
      <c r="XAQ60" s="609"/>
      <c r="XAR60" s="609"/>
      <c r="XAS60" s="609"/>
      <c r="XAT60" s="609"/>
      <c r="XAU60" s="609"/>
      <c r="XAV60" s="609"/>
      <c r="XAW60" s="609"/>
      <c r="XAX60" s="609"/>
      <c r="XAY60" s="609"/>
      <c r="XAZ60" s="609"/>
      <c r="XBA60" s="609"/>
      <c r="XBB60" s="609"/>
      <c r="XBC60" s="609"/>
      <c r="XBD60" s="609"/>
      <c r="XBE60" s="609"/>
      <c r="XBF60" s="609"/>
      <c r="XBG60" s="609"/>
      <c r="XBH60" s="609"/>
      <c r="XBI60" s="609"/>
      <c r="XBJ60" s="609"/>
      <c r="XBK60" s="609"/>
      <c r="XBL60" s="609"/>
      <c r="XBM60" s="609"/>
      <c r="XBN60" s="609"/>
      <c r="XBO60" s="609"/>
      <c r="XBP60" s="609"/>
      <c r="XBQ60" s="609"/>
      <c r="XBR60" s="609"/>
      <c r="XBS60" s="609"/>
      <c r="XBT60" s="609"/>
      <c r="XBU60" s="609"/>
      <c r="XBV60" s="609"/>
      <c r="XBW60" s="609"/>
      <c r="XBX60" s="609"/>
      <c r="XBY60" s="609"/>
      <c r="XBZ60" s="609"/>
      <c r="XCA60" s="609"/>
      <c r="XCB60" s="609"/>
      <c r="XCC60" s="609"/>
      <c r="XCD60" s="609"/>
      <c r="XCE60" s="609"/>
      <c r="XCF60" s="609"/>
      <c r="XCG60" s="609"/>
      <c r="XCH60" s="609"/>
      <c r="XCI60" s="609"/>
      <c r="XCJ60" s="609"/>
      <c r="XCK60" s="609"/>
      <c r="XCL60" s="609"/>
      <c r="XCM60" s="609"/>
      <c r="XCN60" s="609"/>
      <c r="XCO60" s="609"/>
      <c r="XCP60" s="609"/>
      <c r="XCQ60" s="609"/>
      <c r="XCR60" s="609"/>
      <c r="XCS60" s="609"/>
      <c r="XCT60" s="609"/>
      <c r="XCU60" s="609"/>
      <c r="XCV60" s="609"/>
      <c r="XCW60" s="609"/>
      <c r="XCX60" s="609"/>
      <c r="XCY60" s="609"/>
      <c r="XCZ60" s="609"/>
      <c r="XDA60" s="609"/>
      <c r="XDB60" s="609"/>
      <c r="XDC60" s="609"/>
      <c r="XDD60" s="609"/>
      <c r="XDE60" s="609"/>
      <c r="XDF60" s="609"/>
      <c r="XDG60" s="609"/>
      <c r="XDH60" s="609"/>
      <c r="XDI60" s="609"/>
      <c r="XDJ60" s="609"/>
      <c r="XDK60" s="609"/>
      <c r="XDL60" s="609"/>
      <c r="XDM60" s="609"/>
      <c r="XDN60" s="609"/>
      <c r="XDO60" s="609"/>
      <c r="XDP60" s="609"/>
      <c r="XDQ60" s="609"/>
      <c r="XDR60" s="609"/>
      <c r="XDS60" s="609"/>
      <c r="XDT60" s="609"/>
      <c r="XDU60" s="609"/>
      <c r="XDV60" s="609"/>
      <c r="XDW60" s="609"/>
      <c r="XDX60" s="609"/>
      <c r="XDY60" s="609"/>
      <c r="XDZ60" s="609"/>
      <c r="XEA60" s="609"/>
      <c r="XEB60" s="609"/>
      <c r="XEC60" s="609"/>
      <c r="XED60" s="609"/>
      <c r="XEE60" s="609"/>
      <c r="XEF60" s="609"/>
      <c r="XEG60" s="609"/>
      <c r="XEH60" s="609"/>
      <c r="XEI60" s="609"/>
      <c r="XEJ60" s="609"/>
      <c r="XEK60" s="609"/>
      <c r="XEL60" s="609"/>
      <c r="XEM60" s="609"/>
      <c r="XEN60" s="609"/>
      <c r="XEO60" s="609"/>
      <c r="XEP60" s="609"/>
      <c r="XEQ60" s="609"/>
      <c r="XER60" s="609"/>
      <c r="XES60" s="609"/>
      <c r="XET60" s="609"/>
      <c r="XEU60" s="609"/>
      <c r="XEV60" s="609"/>
      <c r="XEW60" s="609"/>
      <c r="XEX60" s="609"/>
      <c r="XEY60" s="609"/>
      <c r="XEZ60" s="609"/>
      <c r="XFA60" s="609"/>
    </row>
    <row r="61" spans="1:16381" ht="22.5">
      <c r="A61" s="609" t="str">
        <f t="shared" si="0"/>
        <v>DAK Hamburg  v. 01.01.2022</v>
      </c>
      <c r="B61" s="609">
        <f>ROW()</f>
        <v>61</v>
      </c>
      <c r="C61" s="635" t="s">
        <v>1185</v>
      </c>
      <c r="D61" s="1201">
        <v>44562</v>
      </c>
      <c r="E61" s="636" t="s">
        <v>1213</v>
      </c>
      <c r="F61" s="637" t="str">
        <f t="shared" si="5"/>
        <v/>
      </c>
      <c r="G61" s="634" t="str">
        <f t="shared" si="2"/>
        <v>TO ermöglicht:  Abweichungen vom gerichtl. festgelegten Ausgleichswert;  Verzinsung zwischen EzE und RK geltend machen</v>
      </c>
      <c r="K61" s="1199"/>
      <c r="L61" s="1199"/>
      <c r="M61" s="1199">
        <v>3</v>
      </c>
      <c r="N61" s="1199">
        <v>4</v>
      </c>
      <c r="P61" s="144">
        <f t="shared" si="6"/>
        <v>7</v>
      </c>
    </row>
    <row r="62" spans="1:16381" ht="33.75">
      <c r="A62" s="609" t="str">
        <f t="shared" si="0"/>
        <v>DAK Hamburg  v. 10.07.2013</v>
      </c>
      <c r="B62" s="609">
        <f>ROW()</f>
        <v>62</v>
      </c>
      <c r="C62" s="635" t="s">
        <v>1185</v>
      </c>
      <c r="D62" s="1201">
        <v>41465</v>
      </c>
      <c r="E62" s="636" t="s">
        <v>201</v>
      </c>
      <c r="F62" s="637" t="str">
        <f t="shared" si="5"/>
        <v/>
      </c>
      <c r="G62" s="634" t="str">
        <f t="shared" si="2"/>
        <v>TO ermöglicht: doppelten Kostenabzug;  Abweichungen vom gerichtl. festgelegten Ausgleichswert;  Verzinsung zwischen EzE und RK geltend machen</v>
      </c>
      <c r="I62" s="634" t="s">
        <v>1186</v>
      </c>
      <c r="K62" s="1199"/>
      <c r="L62" s="1199">
        <v>2</v>
      </c>
      <c r="M62" s="1199">
        <v>3</v>
      </c>
      <c r="N62" s="1199">
        <v>4</v>
      </c>
      <c r="P62" s="144">
        <f t="shared" si="6"/>
        <v>9</v>
      </c>
    </row>
    <row r="63" spans="1:16381" s="609" customFormat="1">
      <c r="A63" s="609" t="str">
        <f t="shared" si="0"/>
        <v>Damovo Deutschland GmbH &amp; Co. KG v. 24.08.2009</v>
      </c>
      <c r="B63" s="609">
        <f>ROW()</f>
        <v>63</v>
      </c>
      <c r="C63" s="635" t="s">
        <v>944</v>
      </c>
      <c r="D63" s="1201">
        <v>40049</v>
      </c>
      <c r="E63" s="636"/>
      <c r="F63" s="637" t="str">
        <f t="shared" si="5"/>
        <v/>
      </c>
      <c r="G63" s="634" t="str">
        <f t="shared" si="2"/>
        <v xml:space="preserve">TO ermöglicht: doppelten Kostenabzug; </v>
      </c>
      <c r="H63"/>
      <c r="I63" s="634"/>
      <c r="J63" s="784"/>
      <c r="K63" s="1199"/>
      <c r="L63" s="1199">
        <v>2</v>
      </c>
      <c r="M63" s="1199"/>
      <c r="N63" s="1199"/>
      <c r="O63" s="785"/>
      <c r="P63" s="144">
        <f t="shared" si="6"/>
        <v>2</v>
      </c>
    </row>
    <row r="64" spans="1:16381" ht="33.75">
      <c r="A64" s="609" t="str">
        <f t="shared" si="0"/>
        <v>Debeka Lebensversicherungsverein a.G.  v. 01.08.2020</v>
      </c>
      <c r="B64" s="609">
        <f>ROW()</f>
        <v>64</v>
      </c>
      <c r="C64" s="635" t="s">
        <v>1150</v>
      </c>
      <c r="D64" s="1201">
        <v>44044</v>
      </c>
      <c r="E64" s="636" t="s">
        <v>1019</v>
      </c>
      <c r="F64" s="637" t="str">
        <f t="shared" si="5"/>
        <v>Ja</v>
      </c>
      <c r="G64" s="634" t="str">
        <f t="shared" si="2"/>
        <v>TO ermöglicht: Tarifwechel; doppelten Kostenabzug;  Abweichungen vom gerichtl. festgelegten Ausgleichswert;  Verzinsung zwischen EzE und RK geltend machen</v>
      </c>
      <c r="H64" s="609"/>
      <c r="K64" s="1199">
        <v>1</v>
      </c>
      <c r="L64" s="1199">
        <v>2</v>
      </c>
      <c r="M64" s="1199">
        <v>3</v>
      </c>
      <c r="N64" s="1199">
        <v>4</v>
      </c>
      <c r="P64" s="144">
        <f t="shared" si="6"/>
        <v>10</v>
      </c>
    </row>
    <row r="65" spans="1:16381" ht="33.75">
      <c r="A65" s="609" t="str">
        <f t="shared" si="0"/>
        <v>Debeka Lebensversicherungsverein a.G. AltZertG-Verträge v. 01.01.2017</v>
      </c>
      <c r="B65" s="609">
        <f>ROW()</f>
        <v>65</v>
      </c>
      <c r="C65" s="635" t="s">
        <v>1318</v>
      </c>
      <c r="D65" s="1201">
        <v>42736</v>
      </c>
      <c r="E65" s="636" t="s">
        <v>1053</v>
      </c>
      <c r="F65" s="637" t="str">
        <f t="shared" si="5"/>
        <v>Ja</v>
      </c>
      <c r="G65" s="634" t="str">
        <f t="shared" si="2"/>
        <v>TO ermöglicht: Tarifwechel; doppelten Kostenabzug;  Abweichungen vom gerichtl. festgelegten Ausgleichswert;  Verzinsung zwischen EzE und RK geltend machen</v>
      </c>
      <c r="K65" s="1199">
        <v>1</v>
      </c>
      <c r="L65" s="1199">
        <v>2</v>
      </c>
      <c r="M65" s="1199">
        <v>3</v>
      </c>
      <c r="N65" s="1199">
        <v>4</v>
      </c>
      <c r="P65" s="144">
        <f t="shared" si="6"/>
        <v>10</v>
      </c>
    </row>
    <row r="66" spans="1:16381">
      <c r="A66" s="609" t="str">
        <f t="shared" si="0"/>
        <v>Debeka ZVK VaG Tarif ZVD 7 v. 79-2021</v>
      </c>
      <c r="B66" s="609">
        <f>ROW()</f>
        <v>66</v>
      </c>
      <c r="C66" s="635" t="s">
        <v>1562</v>
      </c>
      <c r="D66" s="1201" t="s">
        <v>1563</v>
      </c>
      <c r="E66" s="636" t="s">
        <v>1564</v>
      </c>
      <c r="F66" s="637"/>
      <c r="K66" s="1199"/>
      <c r="L66" s="1199"/>
      <c r="M66" s="1199"/>
      <c r="N66" s="1199">
        <v>4</v>
      </c>
      <c r="P66" s="144"/>
    </row>
    <row r="67" spans="1:16381" s="609" customFormat="1">
      <c r="A67" s="609" t="str">
        <f t="shared" si="0"/>
        <v>Decadia GmbH v. 16.09.2016</v>
      </c>
      <c r="B67" s="609">
        <f>ROW()</f>
        <v>67</v>
      </c>
      <c r="C67" s="635" t="s">
        <v>1235</v>
      </c>
      <c r="D67" s="1201">
        <v>42629</v>
      </c>
      <c r="E67" s="636">
        <v>5</v>
      </c>
      <c r="F67" s="637" t="str">
        <f t="shared" si="5"/>
        <v/>
      </c>
      <c r="G67" s="634" t="str">
        <f t="shared" si="2"/>
        <v/>
      </c>
      <c r="H67"/>
      <c r="I67" s="634"/>
      <c r="J67" s="784"/>
      <c r="K67" s="1199"/>
      <c r="L67" s="1199"/>
      <c r="M67" s="1199"/>
      <c r="N67" s="1199"/>
      <c r="O67" s="785"/>
      <c r="P67" s="144">
        <f t="shared" si="6"/>
        <v>0</v>
      </c>
      <c r="Q67" s="414"/>
      <c r="R67" s="414"/>
      <c r="S67" s="414"/>
      <c r="T67" s="414"/>
      <c r="U67" s="414"/>
      <c r="V67" s="414"/>
      <c r="W67" s="414"/>
      <c r="X67" s="414"/>
      <c r="Y67" s="414"/>
      <c r="Z67" s="414"/>
      <c r="AA67" s="414"/>
      <c r="AB67" s="414"/>
      <c r="AC67" s="414"/>
      <c r="AD67" s="414"/>
      <c r="AE67" s="414"/>
      <c r="AF67" s="414"/>
      <c r="AG67" s="414"/>
      <c r="AH67" s="414"/>
      <c r="AI67" s="414"/>
      <c r="AJ67" s="414"/>
      <c r="AK67" s="414"/>
      <c r="AL67" s="414"/>
      <c r="AM67" s="414"/>
      <c r="AN67" s="414"/>
      <c r="AO67" s="414"/>
      <c r="AP67" s="414"/>
      <c r="AQ67" s="414"/>
      <c r="AR67" s="414"/>
      <c r="AS67" s="414"/>
      <c r="AT67" s="414"/>
      <c r="AU67" s="414"/>
      <c r="AV67" s="414"/>
      <c r="AW67" s="414"/>
      <c r="AX67" s="414"/>
      <c r="AY67" s="414"/>
      <c r="AZ67" s="414"/>
      <c r="BA67" s="414"/>
      <c r="BB67" s="414"/>
      <c r="BC67" s="414"/>
      <c r="BD67" s="414"/>
      <c r="BE67" s="414"/>
      <c r="BF67" s="414"/>
      <c r="BG67" s="414"/>
      <c r="BH67" s="414"/>
      <c r="BI67" s="414"/>
      <c r="BJ67" s="414"/>
      <c r="BK67" s="414"/>
      <c r="BL67" s="414"/>
      <c r="BM67" s="414"/>
      <c r="BN67" s="414"/>
      <c r="BO67" s="414"/>
      <c r="BP67" s="414"/>
      <c r="BQ67" s="414"/>
      <c r="BR67" s="414"/>
      <c r="BS67" s="414"/>
      <c r="BT67" s="414"/>
      <c r="BU67" s="414"/>
      <c r="BV67" s="414"/>
      <c r="BW67" s="414"/>
      <c r="BX67" s="414"/>
      <c r="BY67" s="414"/>
      <c r="BZ67" s="414"/>
      <c r="CA67" s="414"/>
      <c r="CB67" s="414"/>
      <c r="CC67" s="414"/>
      <c r="CD67" s="414"/>
      <c r="CE67" s="414"/>
      <c r="CF67" s="414"/>
      <c r="CG67" s="414"/>
      <c r="CH67" s="414"/>
      <c r="CI67" s="414"/>
      <c r="CJ67" s="414"/>
      <c r="CK67" s="414"/>
      <c r="CL67" s="414"/>
      <c r="CM67" s="414"/>
      <c r="CN67" s="414"/>
      <c r="CO67" s="414"/>
      <c r="CP67" s="414"/>
      <c r="CQ67" s="414"/>
      <c r="CR67" s="414"/>
      <c r="CS67" s="414"/>
      <c r="CT67" s="414"/>
      <c r="CU67" s="414"/>
      <c r="CV67" s="414"/>
      <c r="CW67" s="414"/>
      <c r="CX67" s="414"/>
      <c r="CY67" s="414"/>
      <c r="CZ67" s="414"/>
      <c r="DA67" s="414"/>
      <c r="DB67" s="414"/>
      <c r="DC67" s="414"/>
      <c r="DD67" s="414"/>
      <c r="DE67" s="414"/>
      <c r="DF67" s="414"/>
      <c r="DG67" s="414"/>
      <c r="DH67" s="414"/>
      <c r="DI67" s="414"/>
      <c r="DJ67" s="414"/>
      <c r="DK67" s="414"/>
      <c r="DL67" s="414"/>
      <c r="DM67" s="414"/>
      <c r="DN67" s="414"/>
      <c r="DO67" s="414"/>
      <c r="DP67" s="414"/>
      <c r="DQ67" s="414"/>
      <c r="DR67" s="414"/>
      <c r="DS67" s="414"/>
      <c r="DT67" s="414"/>
      <c r="DU67" s="414"/>
      <c r="DV67" s="414"/>
      <c r="DW67" s="414"/>
      <c r="DX67" s="414"/>
      <c r="DY67" s="414"/>
      <c r="DZ67" s="414"/>
      <c r="EA67" s="414"/>
      <c r="EB67" s="414"/>
      <c r="EC67" s="414"/>
      <c r="ED67" s="414"/>
      <c r="EE67" s="414"/>
      <c r="EF67" s="414"/>
      <c r="EG67" s="414"/>
      <c r="EH67" s="414"/>
      <c r="EI67" s="414"/>
      <c r="EJ67" s="414"/>
      <c r="EK67" s="414"/>
      <c r="EL67" s="414"/>
      <c r="EM67" s="414"/>
      <c r="EN67" s="414"/>
      <c r="EO67" s="414"/>
      <c r="EP67" s="414"/>
      <c r="EQ67" s="414"/>
      <c r="ER67" s="414"/>
      <c r="ES67" s="414"/>
      <c r="ET67" s="414"/>
      <c r="EU67" s="414"/>
      <c r="EV67" s="414"/>
      <c r="EW67" s="414"/>
      <c r="EX67" s="414"/>
      <c r="EY67" s="414"/>
      <c r="EZ67" s="414"/>
      <c r="FA67" s="414"/>
      <c r="FB67" s="414"/>
      <c r="FC67" s="414"/>
      <c r="FD67" s="414"/>
      <c r="FE67" s="414"/>
      <c r="FF67" s="414"/>
      <c r="FG67" s="414"/>
      <c r="FH67" s="414"/>
      <c r="FI67" s="414"/>
      <c r="FJ67" s="414"/>
      <c r="FK67" s="414"/>
      <c r="FL67" s="414"/>
      <c r="FM67" s="414"/>
      <c r="FN67" s="414"/>
      <c r="FO67" s="414"/>
      <c r="FP67" s="414"/>
      <c r="FQ67" s="414"/>
      <c r="FR67" s="414"/>
      <c r="FS67" s="414"/>
      <c r="FT67" s="414"/>
      <c r="FU67" s="414"/>
      <c r="FV67" s="414"/>
      <c r="FW67" s="414"/>
      <c r="FX67" s="414"/>
      <c r="FY67" s="414"/>
      <c r="FZ67" s="414"/>
      <c r="GA67" s="414"/>
      <c r="GB67" s="414"/>
      <c r="GC67" s="414"/>
      <c r="GD67" s="414"/>
      <c r="GE67" s="414"/>
      <c r="GF67" s="414"/>
      <c r="GG67" s="414"/>
      <c r="GH67" s="414"/>
      <c r="GI67" s="414"/>
      <c r="GJ67" s="414"/>
      <c r="GK67" s="414"/>
      <c r="GL67" s="414"/>
      <c r="GM67" s="414"/>
      <c r="GN67" s="414"/>
      <c r="GO67" s="414"/>
      <c r="GP67" s="414"/>
      <c r="GQ67" s="414"/>
      <c r="GR67" s="414"/>
      <c r="GS67" s="414"/>
      <c r="GT67" s="414"/>
      <c r="GU67" s="414"/>
      <c r="GV67" s="414"/>
      <c r="GW67" s="414"/>
      <c r="GX67" s="414"/>
      <c r="GY67" s="414"/>
      <c r="GZ67" s="414"/>
      <c r="HA67" s="414"/>
      <c r="HB67" s="414"/>
      <c r="HC67" s="414"/>
      <c r="HD67" s="414"/>
      <c r="HE67" s="414"/>
      <c r="HF67" s="414"/>
      <c r="HG67" s="414"/>
      <c r="HH67" s="414"/>
      <c r="HI67" s="414"/>
      <c r="HJ67" s="414"/>
      <c r="HK67" s="414"/>
      <c r="HL67" s="414"/>
      <c r="HM67" s="414"/>
      <c r="HN67" s="414"/>
      <c r="HO67" s="414"/>
      <c r="HP67" s="414"/>
      <c r="HQ67" s="414"/>
      <c r="HR67" s="414"/>
      <c r="HS67" s="414"/>
      <c r="HT67" s="414"/>
      <c r="HU67" s="414"/>
      <c r="HV67" s="414"/>
      <c r="HW67" s="414"/>
      <c r="HX67" s="414"/>
      <c r="HY67" s="414"/>
      <c r="HZ67" s="414"/>
      <c r="IA67" s="414"/>
      <c r="IB67" s="414"/>
      <c r="IC67" s="414"/>
      <c r="ID67" s="414"/>
      <c r="IE67" s="414"/>
      <c r="IF67" s="414"/>
      <c r="IG67" s="414"/>
      <c r="IH67" s="414"/>
      <c r="II67" s="414"/>
      <c r="IJ67" s="414"/>
      <c r="IK67" s="414"/>
      <c r="IL67" s="414"/>
      <c r="IM67" s="414"/>
      <c r="IN67" s="414"/>
      <c r="IO67" s="414"/>
      <c r="IP67" s="414"/>
      <c r="IQ67" s="414"/>
      <c r="IR67" s="414"/>
      <c r="IS67" s="414"/>
      <c r="IT67" s="414"/>
      <c r="IU67" s="414"/>
      <c r="IV67" s="414"/>
      <c r="IW67" s="414"/>
      <c r="IX67" s="414"/>
      <c r="IY67" s="414"/>
      <c r="IZ67" s="414"/>
      <c r="JA67" s="414"/>
      <c r="JB67" s="414"/>
      <c r="JC67" s="414"/>
      <c r="JD67" s="414"/>
      <c r="JE67" s="414"/>
      <c r="JF67" s="414"/>
      <c r="JG67" s="414"/>
      <c r="JH67" s="414"/>
      <c r="JI67" s="414"/>
      <c r="JJ67" s="414"/>
      <c r="JK67" s="414"/>
      <c r="JL67" s="414"/>
      <c r="JM67" s="414"/>
      <c r="JN67" s="414"/>
      <c r="JO67" s="414"/>
      <c r="JP67" s="414"/>
      <c r="JQ67" s="414"/>
      <c r="JR67" s="414"/>
      <c r="JS67" s="414"/>
      <c r="JT67" s="414"/>
      <c r="JU67" s="414"/>
      <c r="JV67" s="414"/>
      <c r="JW67" s="414"/>
      <c r="JX67" s="414"/>
      <c r="JY67" s="414"/>
      <c r="JZ67" s="414"/>
      <c r="KA67" s="414"/>
      <c r="KB67" s="414"/>
      <c r="KC67" s="414"/>
      <c r="KD67" s="414"/>
      <c r="KE67" s="414"/>
      <c r="KF67" s="414"/>
      <c r="KG67" s="414"/>
      <c r="KH67" s="414"/>
      <c r="KI67" s="414"/>
      <c r="KJ67" s="414"/>
      <c r="KK67" s="414"/>
      <c r="KL67" s="414"/>
      <c r="KM67" s="414"/>
      <c r="KN67" s="414"/>
      <c r="KO67" s="414"/>
      <c r="KP67" s="414"/>
      <c r="KQ67" s="414"/>
      <c r="KR67" s="414"/>
      <c r="KS67" s="414"/>
      <c r="KT67" s="414"/>
      <c r="KU67" s="414"/>
      <c r="KV67" s="414"/>
      <c r="KW67" s="414"/>
      <c r="KX67" s="414"/>
      <c r="KY67" s="414"/>
      <c r="KZ67" s="414"/>
      <c r="LA67" s="414"/>
      <c r="LB67" s="414"/>
      <c r="LC67" s="414"/>
      <c r="LD67" s="414"/>
      <c r="LE67" s="414"/>
      <c r="LF67" s="414"/>
      <c r="LG67" s="414"/>
      <c r="LH67" s="414"/>
      <c r="LI67" s="414"/>
      <c r="LJ67" s="414"/>
      <c r="LK67" s="414"/>
      <c r="LL67" s="414"/>
      <c r="LM67" s="414"/>
      <c r="LN67" s="414"/>
      <c r="LO67" s="414"/>
      <c r="LP67" s="414"/>
      <c r="LQ67" s="414"/>
      <c r="LR67" s="414"/>
      <c r="LS67" s="414"/>
      <c r="LT67" s="414"/>
      <c r="LU67" s="414"/>
      <c r="LV67" s="414"/>
      <c r="LW67" s="414"/>
      <c r="LX67" s="414"/>
      <c r="LY67" s="414"/>
      <c r="LZ67" s="414"/>
      <c r="MA67" s="414"/>
      <c r="MB67" s="414"/>
      <c r="MC67" s="414"/>
      <c r="MD67" s="414"/>
      <c r="ME67" s="414"/>
      <c r="MF67" s="414"/>
      <c r="MG67" s="414"/>
      <c r="MH67" s="414"/>
      <c r="MI67" s="414"/>
      <c r="MJ67" s="414"/>
      <c r="MK67" s="414"/>
      <c r="ML67" s="414"/>
      <c r="MM67" s="414"/>
      <c r="MN67" s="414"/>
      <c r="MO67" s="414"/>
      <c r="MP67" s="414"/>
      <c r="MQ67" s="414"/>
      <c r="MR67" s="414"/>
      <c r="MS67" s="414"/>
      <c r="MT67" s="414"/>
      <c r="MU67" s="414"/>
      <c r="MV67" s="414"/>
      <c r="MW67" s="414"/>
      <c r="MX67" s="414"/>
      <c r="MY67" s="414"/>
      <c r="MZ67" s="414"/>
      <c r="NA67" s="414"/>
      <c r="NB67" s="414"/>
      <c r="NC67" s="414"/>
      <c r="ND67" s="414"/>
      <c r="NE67" s="414"/>
      <c r="NF67" s="414"/>
      <c r="NG67" s="414"/>
      <c r="NH67" s="414"/>
      <c r="NI67" s="414"/>
      <c r="NJ67" s="414"/>
      <c r="NK67" s="414"/>
      <c r="NL67" s="414"/>
      <c r="NM67" s="414"/>
      <c r="NN67" s="414"/>
      <c r="NO67" s="414"/>
      <c r="NP67" s="414"/>
      <c r="NQ67" s="414"/>
      <c r="NR67" s="414"/>
      <c r="NS67" s="414"/>
      <c r="NT67" s="414"/>
      <c r="NU67" s="414"/>
      <c r="NV67" s="414"/>
      <c r="NW67" s="414"/>
      <c r="NX67" s="414"/>
      <c r="NY67" s="414"/>
      <c r="NZ67" s="414"/>
      <c r="OA67" s="414"/>
      <c r="OB67" s="414"/>
      <c r="OC67" s="414"/>
      <c r="OD67" s="414"/>
      <c r="OE67" s="414"/>
      <c r="OF67" s="414"/>
      <c r="OG67" s="414"/>
      <c r="OH67" s="414"/>
      <c r="OI67" s="414"/>
      <c r="OJ67" s="414"/>
      <c r="OK67" s="414"/>
      <c r="OL67" s="414"/>
      <c r="OM67" s="414"/>
      <c r="ON67" s="414"/>
      <c r="OO67" s="414"/>
      <c r="OP67" s="414"/>
      <c r="OQ67" s="414"/>
      <c r="OR67" s="414"/>
      <c r="OS67" s="414"/>
      <c r="OT67" s="414"/>
      <c r="OU67" s="414"/>
      <c r="OV67" s="414"/>
      <c r="OW67" s="414"/>
      <c r="OX67" s="414"/>
      <c r="OY67" s="414"/>
      <c r="OZ67" s="414"/>
      <c r="PA67" s="414"/>
      <c r="PB67" s="414"/>
      <c r="PC67" s="414"/>
      <c r="PD67" s="414"/>
      <c r="PE67" s="414"/>
      <c r="PF67" s="414"/>
      <c r="PG67" s="414"/>
      <c r="PH67" s="414"/>
      <c r="PI67" s="414"/>
      <c r="PJ67" s="414"/>
      <c r="PK67" s="414"/>
      <c r="PL67" s="414"/>
      <c r="PM67" s="414"/>
      <c r="PN67" s="414"/>
      <c r="PO67" s="414"/>
      <c r="PP67" s="414"/>
      <c r="PQ67" s="414"/>
      <c r="PR67" s="414"/>
      <c r="PS67" s="414"/>
      <c r="PT67" s="414"/>
      <c r="PU67" s="414"/>
      <c r="PV67" s="414"/>
      <c r="PW67" s="414"/>
      <c r="PX67" s="414"/>
      <c r="PY67" s="414"/>
      <c r="PZ67" s="414"/>
      <c r="QA67" s="414"/>
      <c r="QB67" s="414"/>
      <c r="QC67" s="414"/>
      <c r="QD67" s="414"/>
      <c r="QE67" s="414"/>
      <c r="QF67" s="414"/>
      <c r="QG67" s="414"/>
      <c r="QH67" s="414"/>
      <c r="QI67" s="414"/>
      <c r="QJ67" s="414"/>
      <c r="QK67" s="414"/>
      <c r="QL67" s="414"/>
      <c r="QM67" s="414"/>
      <c r="QN67" s="414"/>
      <c r="QO67" s="414"/>
      <c r="QP67" s="414"/>
      <c r="QQ67" s="414"/>
      <c r="QR67" s="414"/>
      <c r="QS67" s="414"/>
      <c r="QT67" s="414"/>
      <c r="QU67" s="414"/>
      <c r="QV67" s="414"/>
      <c r="QW67" s="414"/>
      <c r="QX67" s="414"/>
      <c r="QY67" s="414"/>
      <c r="QZ67" s="414"/>
      <c r="RA67" s="414"/>
      <c r="RB67" s="414"/>
      <c r="RC67" s="414"/>
      <c r="RD67" s="414"/>
      <c r="RE67" s="414"/>
      <c r="RF67" s="414"/>
      <c r="RG67" s="414"/>
      <c r="RH67" s="414"/>
      <c r="RI67" s="414"/>
      <c r="RJ67" s="414"/>
      <c r="RK67" s="414"/>
      <c r="RL67" s="414"/>
      <c r="RM67" s="414"/>
      <c r="RN67" s="414"/>
      <c r="RO67" s="414"/>
      <c r="RP67" s="414"/>
      <c r="RQ67" s="414"/>
      <c r="RR67" s="414"/>
      <c r="RS67" s="414"/>
      <c r="RT67" s="414"/>
      <c r="RU67" s="414"/>
      <c r="RV67" s="414"/>
      <c r="RW67" s="414"/>
      <c r="RX67" s="414"/>
      <c r="RY67" s="414"/>
      <c r="RZ67" s="414"/>
      <c r="SA67" s="414"/>
      <c r="SB67" s="414"/>
      <c r="SC67" s="414"/>
      <c r="SD67" s="414"/>
      <c r="SE67" s="414"/>
      <c r="SF67" s="414"/>
      <c r="SG67" s="414"/>
      <c r="SH67" s="414"/>
      <c r="SI67" s="414"/>
      <c r="SJ67" s="414"/>
      <c r="SK67" s="414"/>
      <c r="SL67" s="414"/>
      <c r="SM67" s="414"/>
      <c r="SN67" s="414"/>
      <c r="SO67" s="414"/>
      <c r="SP67" s="414"/>
      <c r="SQ67" s="414"/>
      <c r="SR67" s="414"/>
      <c r="SS67" s="414"/>
      <c r="ST67" s="414"/>
      <c r="SU67" s="414"/>
      <c r="SV67" s="414"/>
      <c r="SW67" s="414"/>
      <c r="SX67" s="414"/>
      <c r="SY67" s="414"/>
      <c r="SZ67" s="414"/>
      <c r="TA67" s="414"/>
      <c r="TB67" s="414"/>
      <c r="TC67" s="414"/>
      <c r="TD67" s="414"/>
      <c r="TE67" s="414"/>
      <c r="TF67" s="414"/>
      <c r="TG67" s="414"/>
      <c r="TH67" s="414"/>
      <c r="TI67" s="414"/>
      <c r="TJ67" s="414"/>
      <c r="TK67" s="414"/>
      <c r="TL67" s="414"/>
      <c r="TM67" s="414"/>
      <c r="TN67" s="414"/>
      <c r="TO67" s="414"/>
      <c r="TP67" s="414"/>
      <c r="TQ67" s="414"/>
      <c r="TR67" s="414"/>
      <c r="TS67" s="414"/>
      <c r="TT67" s="414"/>
      <c r="TU67" s="414"/>
      <c r="TV67" s="414"/>
      <c r="TW67" s="414"/>
      <c r="TX67" s="414"/>
      <c r="TY67" s="414"/>
      <c r="TZ67" s="414"/>
      <c r="UA67" s="414"/>
      <c r="UB67" s="414"/>
      <c r="UC67" s="414"/>
      <c r="UD67" s="414"/>
      <c r="UE67" s="414"/>
      <c r="UF67" s="414"/>
      <c r="UG67" s="414"/>
      <c r="UH67" s="414"/>
      <c r="UI67" s="414"/>
      <c r="UJ67" s="414"/>
      <c r="UK67" s="414"/>
      <c r="UL67" s="414"/>
      <c r="UM67" s="414"/>
      <c r="UN67" s="414"/>
      <c r="UO67" s="414"/>
      <c r="UP67" s="414"/>
      <c r="UQ67" s="414"/>
      <c r="UR67" s="414"/>
      <c r="US67" s="414"/>
      <c r="UT67" s="414"/>
      <c r="UU67" s="414"/>
      <c r="UV67" s="414"/>
      <c r="UW67" s="414"/>
      <c r="UX67" s="414"/>
      <c r="UY67" s="414"/>
      <c r="UZ67" s="414"/>
      <c r="VA67" s="414"/>
      <c r="VB67" s="414"/>
      <c r="VC67" s="414"/>
      <c r="VD67" s="414"/>
      <c r="VE67" s="414"/>
      <c r="VF67" s="414"/>
      <c r="VG67" s="414"/>
      <c r="VH67" s="414"/>
      <c r="VI67" s="414"/>
      <c r="VJ67" s="414"/>
      <c r="VK67" s="414"/>
      <c r="VL67" s="414"/>
      <c r="VM67" s="414"/>
      <c r="VN67" s="414"/>
      <c r="VO67" s="414"/>
      <c r="VP67" s="414"/>
      <c r="VQ67" s="414"/>
      <c r="VR67" s="414"/>
      <c r="VS67" s="414"/>
      <c r="VT67" s="414"/>
      <c r="VU67" s="414"/>
      <c r="VV67" s="414"/>
      <c r="VW67" s="414"/>
      <c r="VX67" s="414"/>
      <c r="VY67" s="414"/>
      <c r="VZ67" s="414"/>
      <c r="WA67" s="414"/>
      <c r="WB67" s="414"/>
      <c r="WC67" s="414"/>
      <c r="WD67" s="414"/>
      <c r="WE67" s="414"/>
      <c r="WF67" s="414"/>
      <c r="WG67" s="414"/>
      <c r="WH67" s="414"/>
      <c r="WI67" s="414"/>
      <c r="WJ67" s="414"/>
      <c r="WK67" s="414"/>
      <c r="WL67" s="414"/>
      <c r="WM67" s="414"/>
      <c r="WN67" s="414"/>
      <c r="WO67" s="414"/>
      <c r="WP67" s="414"/>
      <c r="WQ67" s="414"/>
      <c r="WR67" s="414"/>
      <c r="WS67" s="414"/>
      <c r="WT67" s="414"/>
      <c r="WU67" s="414"/>
      <c r="WV67" s="414"/>
      <c r="WW67" s="414"/>
      <c r="WX67" s="414"/>
      <c r="WY67" s="414"/>
      <c r="WZ67" s="414"/>
      <c r="XA67" s="414"/>
      <c r="XB67" s="414"/>
      <c r="XC67" s="414"/>
      <c r="XD67" s="414"/>
      <c r="XE67" s="414"/>
      <c r="XF67" s="414"/>
      <c r="XG67" s="414"/>
      <c r="XH67" s="414"/>
      <c r="XI67" s="414"/>
      <c r="XJ67" s="414"/>
      <c r="XK67" s="414"/>
      <c r="XL67" s="414"/>
      <c r="XM67" s="414"/>
      <c r="XN67" s="414"/>
      <c r="XO67" s="414"/>
      <c r="XP67" s="414"/>
      <c r="XQ67" s="414"/>
      <c r="XR67" s="414"/>
      <c r="XS67" s="414"/>
      <c r="XT67" s="414"/>
      <c r="XU67" s="414"/>
      <c r="XV67" s="414"/>
      <c r="XW67" s="414"/>
      <c r="XX67" s="414"/>
      <c r="XY67" s="414"/>
      <c r="XZ67" s="414"/>
      <c r="YA67" s="414"/>
      <c r="YB67" s="414"/>
      <c r="YC67" s="414"/>
      <c r="YD67" s="414"/>
      <c r="YE67" s="414"/>
      <c r="YF67" s="414"/>
      <c r="YG67" s="414"/>
      <c r="YH67" s="414"/>
      <c r="YI67" s="414"/>
      <c r="YJ67" s="414"/>
      <c r="YK67" s="414"/>
      <c r="YL67" s="414"/>
      <c r="YM67" s="414"/>
      <c r="YN67" s="414"/>
      <c r="YO67" s="414"/>
      <c r="YP67" s="414"/>
      <c r="YQ67" s="414"/>
      <c r="YR67" s="414"/>
      <c r="YS67" s="414"/>
      <c r="YT67" s="414"/>
      <c r="YU67" s="414"/>
      <c r="YV67" s="414"/>
      <c r="YW67" s="414"/>
      <c r="YX67" s="414"/>
      <c r="YY67" s="414"/>
      <c r="YZ67" s="414"/>
      <c r="ZA67" s="414"/>
      <c r="ZB67" s="414"/>
      <c r="ZC67" s="414"/>
      <c r="ZD67" s="414"/>
      <c r="ZE67" s="414"/>
      <c r="ZF67" s="414"/>
      <c r="ZG67" s="414"/>
      <c r="ZH67" s="414"/>
      <c r="ZI67" s="414"/>
      <c r="ZJ67" s="414"/>
      <c r="ZK67" s="414"/>
      <c r="ZL67" s="414"/>
      <c r="ZM67" s="414"/>
      <c r="ZN67" s="414"/>
      <c r="ZO67" s="414"/>
      <c r="ZP67" s="414"/>
      <c r="ZQ67" s="414"/>
      <c r="ZR67" s="414"/>
      <c r="ZS67" s="414"/>
      <c r="ZT67" s="414"/>
      <c r="ZU67" s="414"/>
      <c r="ZV67" s="414"/>
      <c r="ZW67" s="414"/>
      <c r="ZX67" s="414"/>
      <c r="ZY67" s="414"/>
      <c r="ZZ67" s="414"/>
      <c r="AAA67" s="414"/>
      <c r="AAB67" s="414"/>
      <c r="AAC67" s="414"/>
      <c r="AAD67" s="414"/>
      <c r="AAE67" s="414"/>
      <c r="AAF67" s="414"/>
      <c r="AAG67" s="414"/>
      <c r="AAH67" s="414"/>
      <c r="AAI67" s="414"/>
      <c r="AAJ67" s="414"/>
      <c r="AAK67" s="414"/>
      <c r="AAL67" s="414"/>
      <c r="AAM67" s="414"/>
      <c r="AAN67" s="414"/>
      <c r="AAO67" s="414"/>
      <c r="AAP67" s="414"/>
      <c r="AAQ67" s="414"/>
      <c r="AAR67" s="414"/>
      <c r="AAS67" s="414"/>
      <c r="AAT67" s="414"/>
      <c r="AAU67" s="414"/>
      <c r="AAV67" s="414"/>
      <c r="AAW67" s="414"/>
      <c r="AAX67" s="414"/>
      <c r="AAY67" s="414"/>
      <c r="AAZ67" s="414"/>
      <c r="ABA67" s="414"/>
      <c r="ABB67" s="414"/>
      <c r="ABC67" s="414"/>
      <c r="ABD67" s="414"/>
      <c r="ABE67" s="414"/>
      <c r="ABF67" s="414"/>
      <c r="ABG67" s="414"/>
      <c r="ABH67" s="414"/>
      <c r="ABI67" s="414"/>
      <c r="ABJ67" s="414"/>
      <c r="ABK67" s="414"/>
      <c r="ABL67" s="414"/>
      <c r="ABM67" s="414"/>
      <c r="ABN67" s="414"/>
      <c r="ABO67" s="414"/>
      <c r="ABP67" s="414"/>
      <c r="ABQ67" s="414"/>
      <c r="ABR67" s="414"/>
      <c r="ABS67" s="414"/>
      <c r="ABT67" s="414"/>
      <c r="ABU67" s="414"/>
      <c r="ABV67" s="414"/>
      <c r="ABW67" s="414"/>
      <c r="ABX67" s="414"/>
      <c r="ABY67" s="414"/>
      <c r="ABZ67" s="414"/>
      <c r="ACA67" s="414"/>
      <c r="ACB67" s="414"/>
      <c r="ACC67" s="414"/>
      <c r="ACD67" s="414"/>
      <c r="ACE67" s="414"/>
      <c r="ACF67" s="414"/>
      <c r="ACG67" s="414"/>
      <c r="ACH67" s="414"/>
      <c r="ACI67" s="414"/>
      <c r="ACJ67" s="414"/>
      <c r="ACK67" s="414"/>
      <c r="ACL67" s="414"/>
      <c r="ACM67" s="414"/>
      <c r="ACN67" s="414"/>
      <c r="ACO67" s="414"/>
      <c r="ACP67" s="414"/>
      <c r="ACQ67" s="414"/>
      <c r="ACR67" s="414"/>
      <c r="ACS67" s="414"/>
      <c r="ACT67" s="414"/>
      <c r="ACU67" s="414"/>
      <c r="ACV67" s="414"/>
      <c r="ACW67" s="414"/>
      <c r="ACX67" s="414"/>
      <c r="ACY67" s="414"/>
      <c r="ACZ67" s="414"/>
      <c r="ADA67" s="414"/>
      <c r="ADB67" s="414"/>
      <c r="ADC67" s="414"/>
      <c r="ADD67" s="414"/>
      <c r="ADE67" s="414"/>
      <c r="ADF67" s="414"/>
      <c r="ADG67" s="414"/>
      <c r="ADH67" s="414"/>
      <c r="ADI67" s="414"/>
      <c r="ADJ67" s="414"/>
      <c r="ADK67" s="414"/>
      <c r="ADL67" s="414"/>
      <c r="ADM67" s="414"/>
      <c r="ADN67" s="414"/>
      <c r="ADO67" s="414"/>
      <c r="ADP67" s="414"/>
      <c r="ADQ67" s="414"/>
      <c r="ADR67" s="414"/>
      <c r="ADS67" s="414"/>
      <c r="ADT67" s="414"/>
      <c r="ADU67" s="414"/>
      <c r="ADV67" s="414"/>
      <c r="ADW67" s="414"/>
      <c r="ADX67" s="414"/>
      <c r="ADY67" s="414"/>
      <c r="ADZ67" s="414"/>
      <c r="AEA67" s="414"/>
      <c r="AEB67" s="414"/>
      <c r="AEC67" s="414"/>
      <c r="AED67" s="414"/>
      <c r="AEE67" s="414"/>
      <c r="AEF67" s="414"/>
      <c r="AEG67" s="414"/>
      <c r="AEH67" s="414"/>
      <c r="AEI67" s="414"/>
      <c r="AEJ67" s="414"/>
      <c r="AEK67" s="414"/>
      <c r="AEL67" s="414"/>
      <c r="AEM67" s="414"/>
      <c r="AEN67" s="414"/>
      <c r="AEO67" s="414"/>
      <c r="AEP67" s="414"/>
      <c r="AEQ67" s="414"/>
      <c r="AER67" s="414"/>
      <c r="AES67" s="414"/>
      <c r="AET67" s="414"/>
      <c r="AEU67" s="414"/>
      <c r="AEV67" s="414"/>
      <c r="AEW67" s="414"/>
      <c r="AEX67" s="414"/>
      <c r="AEY67" s="414"/>
      <c r="AEZ67" s="414"/>
      <c r="AFA67" s="414"/>
      <c r="AFB67" s="414"/>
      <c r="AFC67" s="414"/>
      <c r="AFD67" s="414"/>
      <c r="AFE67" s="414"/>
      <c r="AFF67" s="414"/>
      <c r="AFG67" s="414"/>
      <c r="AFH67" s="414"/>
      <c r="AFI67" s="414"/>
      <c r="AFJ67" s="414"/>
      <c r="AFK67" s="414"/>
      <c r="AFL67" s="414"/>
      <c r="AFM67" s="414"/>
      <c r="AFN67" s="414"/>
      <c r="AFO67" s="414"/>
      <c r="AFP67" s="414"/>
      <c r="AFQ67" s="414"/>
      <c r="AFR67" s="414"/>
      <c r="AFS67" s="414"/>
      <c r="AFT67" s="414"/>
      <c r="AFU67" s="414"/>
      <c r="AFV67" s="414"/>
      <c r="AFW67" s="414"/>
      <c r="AFX67" s="414"/>
      <c r="AFY67" s="414"/>
      <c r="AFZ67" s="414"/>
      <c r="AGA67" s="414"/>
      <c r="AGB67" s="414"/>
      <c r="AGC67" s="414"/>
      <c r="AGD67" s="414"/>
      <c r="AGE67" s="414"/>
      <c r="AGF67" s="414"/>
      <c r="AGG67" s="414"/>
      <c r="AGH67" s="414"/>
      <c r="AGI67" s="414"/>
      <c r="AGJ67" s="414"/>
      <c r="AGK67" s="414"/>
      <c r="AGL67" s="414"/>
      <c r="AGM67" s="414"/>
      <c r="AGN67" s="414"/>
      <c r="AGO67" s="414"/>
      <c r="AGP67" s="414"/>
      <c r="AGQ67" s="414"/>
      <c r="AGR67" s="414"/>
      <c r="AGS67" s="414"/>
      <c r="AGT67" s="414"/>
      <c r="AGU67" s="414"/>
      <c r="AGV67" s="414"/>
      <c r="AGW67" s="414"/>
      <c r="AGX67" s="414"/>
      <c r="AGY67" s="414"/>
      <c r="AGZ67" s="414"/>
      <c r="AHA67" s="414"/>
      <c r="AHB67" s="414"/>
      <c r="AHC67" s="414"/>
      <c r="AHD67" s="414"/>
      <c r="AHE67" s="414"/>
      <c r="AHF67" s="414"/>
      <c r="AHG67" s="414"/>
      <c r="AHH67" s="414"/>
      <c r="AHI67" s="414"/>
      <c r="AHJ67" s="414"/>
      <c r="AHK67" s="414"/>
      <c r="AHL67" s="414"/>
      <c r="AHM67" s="414"/>
      <c r="AHN67" s="414"/>
      <c r="AHO67" s="414"/>
      <c r="AHP67" s="414"/>
      <c r="AHQ67" s="414"/>
      <c r="AHR67" s="414"/>
      <c r="AHS67" s="414"/>
      <c r="AHT67" s="414"/>
      <c r="AHU67" s="414"/>
      <c r="AHV67" s="414"/>
      <c r="AHW67" s="414"/>
      <c r="AHX67" s="414"/>
      <c r="AHY67" s="414"/>
      <c r="AHZ67" s="414"/>
      <c r="AIA67" s="414"/>
      <c r="AIB67" s="414"/>
      <c r="AIC67" s="414"/>
      <c r="AID67" s="414"/>
      <c r="AIE67" s="414"/>
      <c r="AIF67" s="414"/>
      <c r="AIG67" s="414"/>
      <c r="AIH67" s="414"/>
      <c r="AII67" s="414"/>
      <c r="AIJ67" s="414"/>
      <c r="AIK67" s="414"/>
      <c r="AIL67" s="414"/>
      <c r="AIM67" s="414"/>
      <c r="AIN67" s="414"/>
      <c r="AIO67" s="414"/>
      <c r="AIP67" s="414"/>
      <c r="AIQ67" s="414"/>
      <c r="AIR67" s="414"/>
      <c r="AIS67" s="414"/>
      <c r="AIT67" s="414"/>
      <c r="AIU67" s="414"/>
      <c r="AIV67" s="414"/>
      <c r="AIW67" s="414"/>
      <c r="AIX67" s="414"/>
      <c r="AIY67" s="414"/>
      <c r="AIZ67" s="414"/>
      <c r="AJA67" s="414"/>
      <c r="AJB67" s="414"/>
      <c r="AJC67" s="414"/>
      <c r="AJD67" s="414"/>
      <c r="AJE67" s="414"/>
      <c r="AJF67" s="414"/>
      <c r="AJG67" s="414"/>
      <c r="AJH67" s="414"/>
      <c r="AJI67" s="414"/>
      <c r="AJJ67" s="414"/>
      <c r="AJK67" s="414"/>
      <c r="AJL67" s="414"/>
      <c r="AJM67" s="414"/>
      <c r="AJN67" s="414"/>
      <c r="AJO67" s="414"/>
      <c r="AJP67" s="414"/>
      <c r="AJQ67" s="414"/>
      <c r="AJR67" s="414"/>
      <c r="AJS67" s="414"/>
      <c r="AJT67" s="414"/>
      <c r="AJU67" s="414"/>
      <c r="AJV67" s="414"/>
      <c r="AJW67" s="414"/>
      <c r="AJX67" s="414"/>
      <c r="AJY67" s="414"/>
      <c r="AJZ67" s="414"/>
      <c r="AKA67" s="414"/>
      <c r="AKB67" s="414"/>
      <c r="AKC67" s="414"/>
      <c r="AKD67" s="414"/>
      <c r="AKE67" s="414"/>
      <c r="AKF67" s="414"/>
      <c r="AKG67" s="414"/>
      <c r="AKH67" s="414"/>
      <c r="AKI67" s="414"/>
      <c r="AKJ67" s="414"/>
      <c r="AKK67" s="414"/>
      <c r="AKL67" s="414"/>
      <c r="AKM67" s="414"/>
      <c r="AKN67" s="414"/>
      <c r="AKO67" s="414"/>
      <c r="AKP67" s="414"/>
      <c r="AKQ67" s="414"/>
      <c r="AKR67" s="414"/>
      <c r="AKS67" s="414"/>
      <c r="AKT67" s="414"/>
      <c r="AKU67" s="414"/>
      <c r="AKV67" s="414"/>
      <c r="AKW67" s="414"/>
      <c r="AKX67" s="414"/>
      <c r="AKY67" s="414"/>
      <c r="AKZ67" s="414"/>
      <c r="ALA67" s="414"/>
      <c r="ALB67" s="414"/>
      <c r="ALC67" s="414"/>
      <c r="ALD67" s="414"/>
      <c r="ALE67" s="414"/>
      <c r="ALF67" s="414"/>
      <c r="ALG67" s="414"/>
      <c r="ALH67" s="414"/>
      <c r="ALI67" s="414"/>
      <c r="ALJ67" s="414"/>
      <c r="ALK67" s="414"/>
      <c r="ALL67" s="414"/>
      <c r="ALM67" s="414"/>
      <c r="ALN67" s="414"/>
      <c r="ALO67" s="414"/>
      <c r="ALP67" s="414"/>
      <c r="ALQ67" s="414"/>
      <c r="ALR67" s="414"/>
      <c r="ALS67" s="414"/>
      <c r="ALT67" s="414"/>
      <c r="ALU67" s="414"/>
      <c r="ALV67" s="414"/>
      <c r="ALW67" s="414"/>
      <c r="ALX67" s="414"/>
      <c r="ALY67" s="414"/>
      <c r="ALZ67" s="414"/>
      <c r="AMA67" s="414"/>
      <c r="AMB67" s="414"/>
      <c r="AMC67" s="414"/>
      <c r="AMD67" s="414"/>
      <c r="AME67" s="414"/>
      <c r="AMF67" s="414"/>
      <c r="AMG67" s="414"/>
      <c r="AMH67" s="414"/>
      <c r="AMI67" s="414"/>
      <c r="AMJ67" s="414"/>
      <c r="AMK67" s="414"/>
      <c r="AML67" s="414"/>
      <c r="AMM67" s="414"/>
      <c r="AMN67" s="414"/>
      <c r="AMO67" s="414"/>
      <c r="AMP67" s="414"/>
      <c r="AMQ67" s="414"/>
      <c r="AMR67" s="414"/>
      <c r="AMS67" s="414"/>
      <c r="AMT67" s="414"/>
      <c r="AMU67" s="414"/>
      <c r="AMV67" s="414"/>
      <c r="AMW67" s="414"/>
      <c r="AMX67" s="414"/>
      <c r="AMY67" s="414"/>
      <c r="AMZ67" s="414"/>
      <c r="ANA67" s="414"/>
      <c r="ANB67" s="414"/>
      <c r="ANC67" s="414"/>
      <c r="AND67" s="414"/>
      <c r="ANE67" s="414"/>
      <c r="ANF67" s="414"/>
      <c r="ANG67" s="414"/>
      <c r="ANH67" s="414"/>
      <c r="ANI67" s="414"/>
      <c r="ANJ67" s="414"/>
      <c r="ANK67" s="414"/>
      <c r="ANL67" s="414"/>
      <c r="ANM67" s="414"/>
      <c r="ANN67" s="414"/>
      <c r="ANO67" s="414"/>
      <c r="ANP67" s="414"/>
      <c r="ANQ67" s="414"/>
      <c r="ANR67" s="414"/>
      <c r="ANS67" s="414"/>
      <c r="ANT67" s="414"/>
      <c r="ANU67" s="414"/>
      <c r="ANV67" s="414"/>
      <c r="ANW67" s="414"/>
      <c r="ANX67" s="414"/>
      <c r="ANY67" s="414"/>
      <c r="ANZ67" s="414"/>
      <c r="AOA67" s="414"/>
      <c r="AOB67" s="414"/>
      <c r="AOC67" s="414"/>
      <c r="AOD67" s="414"/>
      <c r="AOE67" s="414"/>
      <c r="AOF67" s="414"/>
      <c r="AOG67" s="414"/>
      <c r="AOH67" s="414"/>
      <c r="AOI67" s="414"/>
      <c r="AOJ67" s="414"/>
      <c r="AOK67" s="414"/>
      <c r="AOL67" s="414"/>
      <c r="AOM67" s="414"/>
      <c r="AON67" s="414"/>
      <c r="AOO67" s="414"/>
      <c r="AOP67" s="414"/>
      <c r="AOQ67" s="414"/>
      <c r="AOR67" s="414"/>
      <c r="AOS67" s="414"/>
      <c r="AOT67" s="414"/>
      <c r="AOU67" s="414"/>
      <c r="AOV67" s="414"/>
      <c r="AOW67" s="414"/>
      <c r="AOX67" s="414"/>
      <c r="AOY67" s="414"/>
      <c r="AOZ67" s="414"/>
      <c r="APA67" s="414"/>
      <c r="APB67" s="414"/>
      <c r="APC67" s="414"/>
      <c r="APD67" s="414"/>
      <c r="APE67" s="414"/>
      <c r="APF67" s="414"/>
      <c r="APG67" s="414"/>
      <c r="APH67" s="414"/>
      <c r="API67" s="414"/>
      <c r="APJ67" s="414"/>
      <c r="APK67" s="414"/>
      <c r="APL67" s="414"/>
      <c r="APM67" s="414"/>
      <c r="APN67" s="414"/>
      <c r="APO67" s="414"/>
      <c r="APP67" s="414"/>
      <c r="APQ67" s="414"/>
      <c r="APR67" s="414"/>
      <c r="APS67" s="414"/>
      <c r="APT67" s="414"/>
      <c r="APU67" s="414"/>
      <c r="APV67" s="414"/>
      <c r="APW67" s="414"/>
      <c r="APX67" s="414"/>
      <c r="APY67" s="414"/>
      <c r="APZ67" s="414"/>
      <c r="AQA67" s="414"/>
      <c r="AQB67" s="414"/>
      <c r="AQC67" s="414"/>
      <c r="AQD67" s="414"/>
      <c r="AQE67" s="414"/>
      <c r="AQF67" s="414"/>
      <c r="AQG67" s="414"/>
      <c r="AQH67" s="414"/>
      <c r="AQI67" s="414"/>
      <c r="AQJ67" s="414"/>
      <c r="AQK67" s="414"/>
      <c r="AQL67" s="414"/>
      <c r="AQM67" s="414"/>
      <c r="AQN67" s="414"/>
      <c r="AQO67" s="414"/>
      <c r="AQP67" s="414"/>
      <c r="AQQ67" s="414"/>
      <c r="AQR67" s="414"/>
      <c r="AQS67" s="414"/>
      <c r="AQT67" s="414"/>
      <c r="AQU67" s="414"/>
      <c r="AQV67" s="414"/>
      <c r="AQW67" s="414"/>
      <c r="AQX67" s="414"/>
      <c r="AQY67" s="414"/>
      <c r="AQZ67" s="414"/>
      <c r="ARA67" s="414"/>
      <c r="ARB67" s="414"/>
      <c r="ARC67" s="414"/>
      <c r="ARD67" s="414"/>
      <c r="ARE67" s="414"/>
      <c r="ARF67" s="414"/>
      <c r="ARG67" s="414"/>
      <c r="ARH67" s="414"/>
      <c r="ARI67" s="414"/>
      <c r="ARJ67" s="414"/>
      <c r="ARK67" s="414"/>
      <c r="ARL67" s="414"/>
      <c r="ARM67" s="414"/>
      <c r="ARN67" s="414"/>
      <c r="ARO67" s="414"/>
      <c r="ARP67" s="414"/>
      <c r="ARQ67" s="414"/>
      <c r="ARR67" s="414"/>
      <c r="ARS67" s="414"/>
      <c r="ART67" s="414"/>
      <c r="ARU67" s="414"/>
      <c r="ARV67" s="414"/>
      <c r="ARW67" s="414"/>
      <c r="ARX67" s="414"/>
      <c r="ARY67" s="414"/>
      <c r="ARZ67" s="414"/>
      <c r="ASA67" s="414"/>
      <c r="ASB67" s="414"/>
      <c r="ASC67" s="414"/>
      <c r="ASD67" s="414"/>
      <c r="ASE67" s="414"/>
      <c r="ASF67" s="414"/>
      <c r="ASG67" s="414"/>
      <c r="ASH67" s="414"/>
      <c r="ASI67" s="414"/>
      <c r="ASJ67" s="414"/>
      <c r="ASK67" s="414"/>
      <c r="ASL67" s="414"/>
      <c r="ASM67" s="414"/>
      <c r="ASN67" s="414"/>
      <c r="ASO67" s="414"/>
      <c r="ASP67" s="414"/>
      <c r="ASQ67" s="414"/>
      <c r="ASR67" s="414"/>
      <c r="ASS67" s="414"/>
      <c r="AST67" s="414"/>
      <c r="ASU67" s="414"/>
      <c r="ASV67" s="414"/>
      <c r="ASW67" s="414"/>
      <c r="ASX67" s="414"/>
      <c r="ASY67" s="414"/>
      <c r="ASZ67" s="414"/>
      <c r="ATA67" s="414"/>
      <c r="ATB67" s="414"/>
      <c r="ATC67" s="414"/>
      <c r="ATD67" s="414"/>
      <c r="ATE67" s="414"/>
      <c r="ATF67" s="414"/>
      <c r="ATG67" s="414"/>
      <c r="ATH67" s="414"/>
      <c r="ATI67" s="414"/>
      <c r="ATJ67" s="414"/>
      <c r="ATK67" s="414"/>
      <c r="ATL67" s="414"/>
      <c r="ATM67" s="414"/>
      <c r="ATN67" s="414"/>
      <c r="ATO67" s="414"/>
      <c r="ATP67" s="414"/>
      <c r="ATQ67" s="414"/>
      <c r="ATR67" s="414"/>
      <c r="ATS67" s="414"/>
      <c r="ATT67" s="414"/>
      <c r="ATU67" s="414"/>
      <c r="ATV67" s="414"/>
      <c r="ATW67" s="414"/>
      <c r="ATX67" s="414"/>
      <c r="ATY67" s="414"/>
      <c r="ATZ67" s="414"/>
      <c r="AUA67" s="414"/>
      <c r="AUB67" s="414"/>
      <c r="AUC67" s="414"/>
      <c r="AUD67" s="414"/>
      <c r="AUE67" s="414"/>
      <c r="AUF67" s="414"/>
      <c r="AUG67" s="414"/>
      <c r="AUH67" s="414"/>
      <c r="AUI67" s="414"/>
      <c r="AUJ67" s="414"/>
      <c r="AUK67" s="414"/>
      <c r="AUL67" s="414"/>
      <c r="AUM67" s="414"/>
      <c r="AUN67" s="414"/>
      <c r="AUO67" s="414"/>
      <c r="AUP67" s="414"/>
      <c r="AUQ67" s="414"/>
      <c r="AUR67" s="414"/>
      <c r="AUS67" s="414"/>
      <c r="AUT67" s="414"/>
      <c r="AUU67" s="414"/>
      <c r="AUV67" s="414"/>
      <c r="AUW67" s="414"/>
      <c r="AUX67" s="414"/>
      <c r="AUY67" s="414"/>
      <c r="AUZ67" s="414"/>
      <c r="AVA67" s="414"/>
      <c r="AVB67" s="414"/>
      <c r="AVC67" s="414"/>
      <c r="AVD67" s="414"/>
      <c r="AVE67" s="414"/>
      <c r="AVF67" s="414"/>
      <c r="AVG67" s="414"/>
      <c r="AVH67" s="414"/>
      <c r="AVI67" s="414"/>
      <c r="AVJ67" s="414"/>
      <c r="AVK67" s="414"/>
      <c r="AVL67" s="414"/>
      <c r="AVM67" s="414"/>
      <c r="AVN67" s="414"/>
      <c r="AVO67" s="414"/>
      <c r="AVP67" s="414"/>
      <c r="AVQ67" s="414"/>
      <c r="AVR67" s="414"/>
      <c r="AVS67" s="414"/>
      <c r="AVT67" s="414"/>
      <c r="AVU67" s="414"/>
      <c r="AVV67" s="414"/>
      <c r="AVW67" s="414"/>
      <c r="AVX67" s="414"/>
      <c r="AVY67" s="414"/>
      <c r="AVZ67" s="414"/>
      <c r="AWA67" s="414"/>
      <c r="AWB67" s="414"/>
      <c r="AWC67" s="414"/>
      <c r="AWD67" s="414"/>
      <c r="AWE67" s="414"/>
      <c r="AWF67" s="414"/>
      <c r="AWG67" s="414"/>
      <c r="AWH67" s="414"/>
      <c r="AWI67" s="414"/>
      <c r="AWJ67" s="414"/>
      <c r="AWK67" s="414"/>
      <c r="AWL67" s="414"/>
      <c r="AWM67" s="414"/>
      <c r="AWN67" s="414"/>
      <c r="AWO67" s="414"/>
      <c r="AWP67" s="414"/>
      <c r="AWQ67" s="414"/>
      <c r="AWR67" s="414"/>
      <c r="AWS67" s="414"/>
      <c r="AWT67" s="414"/>
      <c r="AWU67" s="414"/>
      <c r="AWV67" s="414"/>
      <c r="AWW67" s="414"/>
      <c r="AWX67" s="414"/>
      <c r="AWY67" s="414"/>
      <c r="AWZ67" s="414"/>
      <c r="AXA67" s="414"/>
      <c r="AXB67" s="414"/>
      <c r="AXC67" s="414"/>
      <c r="AXD67" s="414"/>
      <c r="AXE67" s="414"/>
      <c r="AXF67" s="414"/>
      <c r="AXG67" s="414"/>
      <c r="AXH67" s="414"/>
      <c r="AXI67" s="414"/>
      <c r="AXJ67" s="414"/>
      <c r="AXK67" s="414"/>
      <c r="AXL67" s="414"/>
      <c r="AXM67" s="414"/>
      <c r="AXN67" s="414"/>
      <c r="AXO67" s="414"/>
      <c r="AXP67" s="414"/>
      <c r="AXQ67" s="414"/>
      <c r="AXR67" s="414"/>
      <c r="AXS67" s="414"/>
      <c r="AXT67" s="414"/>
      <c r="AXU67" s="414"/>
      <c r="AXV67" s="414"/>
      <c r="AXW67" s="414"/>
      <c r="AXX67" s="414"/>
      <c r="AXY67" s="414"/>
      <c r="AXZ67" s="414"/>
      <c r="AYA67" s="414"/>
      <c r="AYB67" s="414"/>
      <c r="AYC67" s="414"/>
      <c r="AYD67" s="414"/>
      <c r="AYE67" s="414"/>
      <c r="AYF67" s="414"/>
      <c r="AYG67" s="414"/>
      <c r="AYH67" s="414"/>
      <c r="AYI67" s="414"/>
      <c r="AYJ67" s="414"/>
      <c r="AYK67" s="414"/>
      <c r="AYL67" s="414"/>
      <c r="AYM67" s="414"/>
      <c r="AYN67" s="414"/>
      <c r="AYO67" s="414"/>
      <c r="AYP67" s="414"/>
      <c r="AYQ67" s="414"/>
      <c r="AYR67" s="414"/>
      <c r="AYS67" s="414"/>
      <c r="AYT67" s="414"/>
      <c r="AYU67" s="414"/>
      <c r="AYV67" s="414"/>
      <c r="AYW67" s="414"/>
      <c r="AYX67" s="414"/>
      <c r="AYY67" s="414"/>
      <c r="AYZ67" s="414"/>
      <c r="AZA67" s="414"/>
      <c r="AZB67" s="414"/>
      <c r="AZC67" s="414"/>
      <c r="AZD67" s="414"/>
      <c r="AZE67" s="414"/>
      <c r="AZF67" s="414"/>
      <c r="AZG67" s="414"/>
      <c r="AZH67" s="414"/>
      <c r="AZI67" s="414"/>
      <c r="AZJ67" s="414"/>
      <c r="AZK67" s="414"/>
      <c r="AZL67" s="414"/>
      <c r="AZM67" s="414"/>
      <c r="AZN67" s="414"/>
      <c r="AZO67" s="414"/>
      <c r="AZP67" s="414"/>
      <c r="AZQ67" s="414"/>
      <c r="AZR67" s="414"/>
      <c r="AZS67" s="414"/>
      <c r="AZT67" s="414"/>
      <c r="AZU67" s="414"/>
      <c r="AZV67" s="414"/>
      <c r="AZW67" s="414"/>
      <c r="AZX67" s="414"/>
      <c r="AZY67" s="414"/>
      <c r="AZZ67" s="414"/>
      <c r="BAA67" s="414"/>
      <c r="BAB67" s="414"/>
      <c r="BAC67" s="414"/>
      <c r="BAD67" s="414"/>
      <c r="BAE67" s="414"/>
      <c r="BAF67" s="414"/>
      <c r="BAG67" s="414"/>
      <c r="BAH67" s="414"/>
      <c r="BAI67" s="414"/>
      <c r="BAJ67" s="414"/>
      <c r="BAK67" s="414"/>
      <c r="BAL67" s="414"/>
      <c r="BAM67" s="414"/>
      <c r="BAN67" s="414"/>
      <c r="BAO67" s="414"/>
      <c r="BAP67" s="414"/>
      <c r="BAQ67" s="414"/>
      <c r="BAR67" s="414"/>
      <c r="BAS67" s="414"/>
      <c r="BAT67" s="414"/>
      <c r="BAU67" s="414"/>
      <c r="BAV67" s="414"/>
      <c r="BAW67" s="414"/>
      <c r="BAX67" s="414"/>
      <c r="BAY67" s="414"/>
      <c r="BAZ67" s="414"/>
      <c r="BBA67" s="414"/>
      <c r="BBB67" s="414"/>
      <c r="BBC67" s="414"/>
      <c r="BBD67" s="414"/>
      <c r="BBE67" s="414"/>
      <c r="BBF67" s="414"/>
      <c r="BBG67" s="414"/>
      <c r="BBH67" s="414"/>
      <c r="BBI67" s="414"/>
      <c r="BBJ67" s="414"/>
      <c r="BBK67" s="414"/>
      <c r="BBL67" s="414"/>
      <c r="BBM67" s="414"/>
      <c r="BBN67" s="414"/>
      <c r="BBO67" s="414"/>
      <c r="BBP67" s="414"/>
      <c r="BBQ67" s="414"/>
      <c r="BBR67" s="414"/>
      <c r="BBS67" s="414"/>
      <c r="BBT67" s="414"/>
      <c r="BBU67" s="414"/>
      <c r="BBV67" s="414"/>
      <c r="BBW67" s="414"/>
      <c r="BBX67" s="414"/>
      <c r="BBY67" s="414"/>
      <c r="BBZ67" s="414"/>
      <c r="BCA67" s="414"/>
      <c r="BCB67" s="414"/>
      <c r="BCC67" s="414"/>
      <c r="BCD67" s="414"/>
      <c r="BCE67" s="414"/>
      <c r="BCF67" s="414"/>
      <c r="BCG67" s="414"/>
      <c r="BCH67" s="414"/>
      <c r="BCI67" s="414"/>
      <c r="BCJ67" s="414"/>
      <c r="BCK67" s="414"/>
      <c r="BCL67" s="414"/>
      <c r="BCM67" s="414"/>
      <c r="BCN67" s="414"/>
      <c r="BCO67" s="414"/>
      <c r="BCP67" s="414"/>
      <c r="BCQ67" s="414"/>
      <c r="BCR67" s="414"/>
      <c r="BCS67" s="414"/>
      <c r="BCT67" s="414"/>
      <c r="BCU67" s="414"/>
      <c r="BCV67" s="414"/>
      <c r="BCW67" s="414"/>
      <c r="BCX67" s="414"/>
      <c r="BCY67" s="414"/>
      <c r="BCZ67" s="414"/>
      <c r="BDA67" s="414"/>
      <c r="BDB67" s="414"/>
      <c r="BDC67" s="414"/>
      <c r="BDD67" s="414"/>
      <c r="BDE67" s="414"/>
      <c r="BDF67" s="414"/>
      <c r="BDG67" s="414"/>
      <c r="BDH67" s="414"/>
      <c r="BDI67" s="414"/>
      <c r="BDJ67" s="414"/>
      <c r="BDK67" s="414"/>
      <c r="BDL67" s="414"/>
      <c r="BDM67" s="414"/>
      <c r="BDN67" s="414"/>
      <c r="BDO67" s="414"/>
      <c r="BDP67" s="414"/>
      <c r="BDQ67" s="414"/>
      <c r="BDR67" s="414"/>
      <c r="BDS67" s="414"/>
      <c r="BDT67" s="414"/>
      <c r="BDU67" s="414"/>
      <c r="BDV67" s="414"/>
      <c r="BDW67" s="414"/>
      <c r="BDX67" s="414"/>
      <c r="BDY67" s="414"/>
      <c r="BDZ67" s="414"/>
      <c r="BEA67" s="414"/>
      <c r="BEB67" s="414"/>
      <c r="BEC67" s="414"/>
      <c r="BED67" s="414"/>
      <c r="BEE67" s="414"/>
      <c r="BEF67" s="414"/>
      <c r="BEG67" s="414"/>
      <c r="BEH67" s="414"/>
      <c r="BEI67" s="414"/>
      <c r="BEJ67" s="414"/>
      <c r="BEK67" s="414"/>
      <c r="BEL67" s="414"/>
      <c r="BEM67" s="414"/>
      <c r="BEN67" s="414"/>
      <c r="BEO67" s="414"/>
      <c r="BEP67" s="414"/>
      <c r="BEQ67" s="414"/>
      <c r="BER67" s="414"/>
      <c r="BES67" s="414"/>
      <c r="BET67" s="414"/>
      <c r="BEU67" s="414"/>
      <c r="BEV67" s="414"/>
      <c r="BEW67" s="414"/>
      <c r="BEX67" s="414"/>
      <c r="BEY67" s="414"/>
      <c r="BEZ67" s="414"/>
      <c r="BFA67" s="414"/>
      <c r="BFB67" s="414"/>
      <c r="BFC67" s="414"/>
      <c r="BFD67" s="414"/>
      <c r="BFE67" s="414"/>
      <c r="BFF67" s="414"/>
      <c r="BFG67" s="414"/>
      <c r="BFH67" s="414"/>
      <c r="BFI67" s="414"/>
      <c r="BFJ67" s="414"/>
      <c r="BFK67" s="414"/>
      <c r="BFL67" s="414"/>
      <c r="BFM67" s="414"/>
      <c r="BFN67" s="414"/>
      <c r="BFO67" s="414"/>
      <c r="BFP67" s="414"/>
      <c r="BFQ67" s="414"/>
      <c r="BFR67" s="414"/>
      <c r="BFS67" s="414"/>
      <c r="BFT67" s="414"/>
      <c r="BFU67" s="414"/>
      <c r="BFV67" s="414"/>
      <c r="BFW67" s="414"/>
      <c r="BFX67" s="414"/>
      <c r="BFY67" s="414"/>
      <c r="BFZ67" s="414"/>
      <c r="BGA67" s="414"/>
      <c r="BGB67" s="414"/>
      <c r="BGC67" s="414"/>
      <c r="BGD67" s="414"/>
      <c r="BGE67" s="414"/>
      <c r="BGF67" s="414"/>
      <c r="BGG67" s="414"/>
      <c r="BGH67" s="414"/>
      <c r="BGI67" s="414"/>
      <c r="BGJ67" s="414"/>
      <c r="BGK67" s="414"/>
      <c r="BGL67" s="414"/>
      <c r="BGM67" s="414"/>
      <c r="BGN67" s="414"/>
      <c r="BGO67" s="414"/>
      <c r="BGP67" s="414"/>
      <c r="BGQ67" s="414"/>
      <c r="BGR67" s="414"/>
      <c r="BGS67" s="414"/>
      <c r="BGT67" s="414"/>
      <c r="BGU67" s="414"/>
      <c r="BGV67" s="414"/>
      <c r="BGW67" s="414"/>
      <c r="BGX67" s="414"/>
      <c r="BGY67" s="414"/>
      <c r="BGZ67" s="414"/>
      <c r="BHA67" s="414"/>
      <c r="BHB67" s="414"/>
      <c r="BHC67" s="414"/>
      <c r="BHD67" s="414"/>
      <c r="BHE67" s="414"/>
      <c r="BHF67" s="414"/>
      <c r="BHG67" s="414"/>
      <c r="BHH67" s="414"/>
      <c r="BHI67" s="414"/>
      <c r="BHJ67" s="414"/>
      <c r="BHK67" s="414"/>
      <c r="BHL67" s="414"/>
      <c r="BHM67" s="414"/>
      <c r="BHN67" s="414"/>
      <c r="BHO67" s="414"/>
      <c r="BHP67" s="414"/>
      <c r="BHQ67" s="414"/>
      <c r="BHR67" s="414"/>
      <c r="BHS67" s="414"/>
      <c r="BHT67" s="414"/>
      <c r="BHU67" s="414"/>
      <c r="BHV67" s="414"/>
      <c r="BHW67" s="414"/>
      <c r="BHX67" s="414"/>
      <c r="BHY67" s="414"/>
      <c r="BHZ67" s="414"/>
      <c r="BIA67" s="414"/>
      <c r="BIB67" s="414"/>
      <c r="BIC67" s="414"/>
      <c r="BID67" s="414"/>
      <c r="BIE67" s="414"/>
      <c r="BIF67" s="414"/>
      <c r="BIG67" s="414"/>
      <c r="BIH67" s="414"/>
      <c r="BII67" s="414"/>
      <c r="BIJ67" s="414"/>
      <c r="BIK67" s="414"/>
      <c r="BIL67" s="414"/>
      <c r="BIM67" s="414"/>
      <c r="BIN67" s="414"/>
      <c r="BIO67" s="414"/>
      <c r="BIP67" s="414"/>
      <c r="BIQ67" s="414"/>
      <c r="BIR67" s="414"/>
      <c r="BIS67" s="414"/>
      <c r="BIT67" s="414"/>
      <c r="BIU67" s="414"/>
      <c r="BIV67" s="414"/>
      <c r="BIW67" s="414"/>
      <c r="BIX67" s="414"/>
      <c r="BIY67" s="414"/>
      <c r="BIZ67" s="414"/>
      <c r="BJA67" s="414"/>
      <c r="BJB67" s="414"/>
      <c r="BJC67" s="414"/>
      <c r="BJD67" s="414"/>
      <c r="BJE67" s="414"/>
      <c r="BJF67" s="414"/>
      <c r="BJG67" s="414"/>
      <c r="BJH67" s="414"/>
      <c r="BJI67" s="414"/>
      <c r="BJJ67" s="414"/>
      <c r="BJK67" s="414"/>
      <c r="BJL67" s="414"/>
      <c r="BJM67" s="414"/>
      <c r="BJN67" s="414"/>
      <c r="BJO67" s="414"/>
      <c r="BJP67" s="414"/>
      <c r="BJQ67" s="414"/>
      <c r="BJR67" s="414"/>
      <c r="BJS67" s="414"/>
      <c r="BJT67" s="414"/>
      <c r="BJU67" s="414"/>
      <c r="BJV67" s="414"/>
      <c r="BJW67" s="414"/>
      <c r="BJX67" s="414"/>
      <c r="BJY67" s="414"/>
      <c r="BJZ67" s="414"/>
      <c r="BKA67" s="414"/>
      <c r="BKB67" s="414"/>
      <c r="BKC67" s="414"/>
      <c r="BKD67" s="414"/>
      <c r="BKE67" s="414"/>
      <c r="BKF67" s="414"/>
      <c r="BKG67" s="414"/>
      <c r="BKH67" s="414"/>
      <c r="BKI67" s="414"/>
      <c r="BKJ67" s="414"/>
      <c r="BKK67" s="414"/>
      <c r="BKL67" s="414"/>
      <c r="BKM67" s="414"/>
      <c r="BKN67" s="414"/>
      <c r="BKO67" s="414"/>
      <c r="BKP67" s="414"/>
      <c r="BKQ67" s="414"/>
      <c r="BKR67" s="414"/>
      <c r="BKS67" s="414"/>
      <c r="BKT67" s="414"/>
      <c r="BKU67" s="414"/>
      <c r="BKV67" s="414"/>
      <c r="BKW67" s="414"/>
      <c r="BKX67" s="414"/>
      <c r="BKY67" s="414"/>
      <c r="BKZ67" s="414"/>
      <c r="BLA67" s="414"/>
      <c r="BLB67" s="414"/>
      <c r="BLC67" s="414"/>
      <c r="BLD67" s="414"/>
      <c r="BLE67" s="414"/>
      <c r="BLF67" s="414"/>
      <c r="BLG67" s="414"/>
      <c r="BLH67" s="414"/>
      <c r="BLI67" s="414"/>
      <c r="BLJ67" s="414"/>
      <c r="BLK67" s="414"/>
      <c r="BLL67" s="414"/>
      <c r="BLM67" s="414"/>
      <c r="BLN67" s="414"/>
      <c r="BLO67" s="414"/>
      <c r="BLP67" s="414"/>
      <c r="BLQ67" s="414"/>
      <c r="BLR67" s="414"/>
      <c r="BLS67" s="414"/>
      <c r="BLT67" s="414"/>
      <c r="BLU67" s="414"/>
      <c r="BLV67" s="414"/>
      <c r="BLW67" s="414"/>
      <c r="BLX67" s="414"/>
      <c r="BLY67" s="414"/>
      <c r="BLZ67" s="414"/>
      <c r="BMA67" s="414"/>
      <c r="BMB67" s="414"/>
      <c r="BMC67" s="414"/>
      <c r="BMD67" s="414"/>
      <c r="BME67" s="414"/>
      <c r="BMF67" s="414"/>
      <c r="BMG67" s="414"/>
      <c r="BMH67" s="414"/>
      <c r="BMI67" s="414"/>
      <c r="BMJ67" s="414"/>
      <c r="BMK67" s="414"/>
      <c r="BML67" s="414"/>
      <c r="BMM67" s="414"/>
      <c r="BMN67" s="414"/>
      <c r="BMO67" s="414"/>
      <c r="BMP67" s="414"/>
      <c r="BMQ67" s="414"/>
      <c r="BMR67" s="414"/>
      <c r="BMS67" s="414"/>
      <c r="BMT67" s="414"/>
      <c r="BMU67" s="414"/>
      <c r="BMV67" s="414"/>
      <c r="BMW67" s="414"/>
      <c r="BMX67" s="414"/>
      <c r="BMY67" s="414"/>
      <c r="BMZ67" s="414"/>
      <c r="BNA67" s="414"/>
      <c r="BNB67" s="414"/>
      <c r="BNC67" s="414"/>
      <c r="BND67" s="414"/>
      <c r="BNE67" s="414"/>
      <c r="BNF67" s="414"/>
      <c r="BNG67" s="414"/>
      <c r="BNH67" s="414"/>
      <c r="BNI67" s="414"/>
      <c r="BNJ67" s="414"/>
      <c r="BNK67" s="414"/>
      <c r="BNL67" s="414"/>
      <c r="BNM67" s="414"/>
      <c r="BNN67" s="414"/>
      <c r="BNO67" s="414"/>
      <c r="BNP67" s="414"/>
      <c r="BNQ67" s="414"/>
      <c r="BNR67" s="414"/>
      <c r="BNS67" s="414"/>
      <c r="BNT67" s="414"/>
      <c r="BNU67" s="414"/>
      <c r="BNV67" s="414"/>
      <c r="BNW67" s="414"/>
      <c r="BNX67" s="414"/>
      <c r="BNY67" s="414"/>
      <c r="BNZ67" s="414"/>
      <c r="BOA67" s="414"/>
      <c r="BOB67" s="414"/>
      <c r="BOC67" s="414"/>
      <c r="BOD67" s="414"/>
      <c r="BOE67" s="414"/>
      <c r="BOF67" s="414"/>
      <c r="BOG67" s="414"/>
      <c r="BOH67" s="414"/>
      <c r="BOI67" s="414"/>
      <c r="BOJ67" s="414"/>
      <c r="BOK67" s="414"/>
      <c r="BOL67" s="414"/>
      <c r="BOM67" s="414"/>
      <c r="BON67" s="414"/>
      <c r="BOO67" s="414"/>
      <c r="BOP67" s="414"/>
      <c r="BOQ67" s="414"/>
      <c r="BOR67" s="414"/>
      <c r="BOS67" s="414"/>
      <c r="BOT67" s="414"/>
      <c r="BOU67" s="414"/>
      <c r="BOV67" s="414"/>
      <c r="BOW67" s="414"/>
      <c r="BOX67" s="414"/>
      <c r="BOY67" s="414"/>
      <c r="BOZ67" s="414"/>
      <c r="BPA67" s="414"/>
      <c r="BPB67" s="414"/>
      <c r="BPC67" s="414"/>
      <c r="BPD67" s="414"/>
      <c r="BPE67" s="414"/>
      <c r="BPF67" s="414"/>
      <c r="BPG67" s="414"/>
      <c r="BPH67" s="414"/>
      <c r="BPI67" s="414"/>
      <c r="BPJ67" s="414"/>
      <c r="BPK67" s="414"/>
      <c r="BPL67" s="414"/>
      <c r="BPM67" s="414"/>
      <c r="BPN67" s="414"/>
      <c r="BPO67" s="414"/>
      <c r="BPP67" s="414"/>
      <c r="BPQ67" s="414"/>
      <c r="BPR67" s="414"/>
      <c r="BPS67" s="414"/>
      <c r="BPT67" s="414"/>
      <c r="BPU67" s="414"/>
      <c r="BPV67" s="414"/>
      <c r="BPW67" s="414"/>
      <c r="BPX67" s="414"/>
      <c r="BPY67" s="414"/>
      <c r="BPZ67" s="414"/>
      <c r="BQA67" s="414"/>
      <c r="BQB67" s="414"/>
      <c r="BQC67" s="414"/>
      <c r="BQD67" s="414"/>
      <c r="BQE67" s="414"/>
      <c r="BQF67" s="414"/>
      <c r="BQG67" s="414"/>
      <c r="BQH67" s="414"/>
      <c r="BQI67" s="414"/>
      <c r="BQJ67" s="414"/>
      <c r="BQK67" s="414"/>
      <c r="BQL67" s="414"/>
      <c r="BQM67" s="414"/>
      <c r="BQN67" s="414"/>
      <c r="BQO67" s="414"/>
      <c r="BQP67" s="414"/>
      <c r="BQQ67" s="414"/>
      <c r="BQR67" s="414"/>
      <c r="BQS67" s="414"/>
      <c r="BQT67" s="414"/>
      <c r="BQU67" s="414"/>
      <c r="BQV67" s="414"/>
      <c r="BQW67" s="414"/>
      <c r="BQX67" s="414"/>
      <c r="BQY67" s="414"/>
      <c r="BQZ67" s="414"/>
      <c r="BRA67" s="414"/>
      <c r="BRB67" s="414"/>
      <c r="BRC67" s="414"/>
      <c r="BRD67" s="414"/>
      <c r="BRE67" s="414"/>
      <c r="BRF67" s="414"/>
      <c r="BRG67" s="414"/>
      <c r="BRH67" s="414"/>
      <c r="BRI67" s="414"/>
      <c r="BRJ67" s="414"/>
      <c r="BRK67" s="414"/>
      <c r="BRL67" s="414"/>
      <c r="BRM67" s="414"/>
      <c r="BRN67" s="414"/>
      <c r="BRO67" s="414"/>
      <c r="BRP67" s="414"/>
      <c r="BRQ67" s="414"/>
      <c r="BRR67" s="414"/>
      <c r="BRS67" s="414"/>
      <c r="BRT67" s="414"/>
      <c r="BRU67" s="414"/>
      <c r="BRV67" s="414"/>
      <c r="BRW67" s="414"/>
      <c r="BRX67" s="414"/>
      <c r="BRY67" s="414"/>
      <c r="BRZ67" s="414"/>
      <c r="BSA67" s="414"/>
      <c r="BSB67" s="414"/>
      <c r="BSC67" s="414"/>
      <c r="BSD67" s="414"/>
      <c r="BSE67" s="414"/>
      <c r="BSF67" s="414"/>
      <c r="BSG67" s="414"/>
      <c r="BSH67" s="414"/>
      <c r="BSI67" s="414"/>
      <c r="BSJ67" s="414"/>
      <c r="BSK67" s="414"/>
      <c r="BSL67" s="414"/>
      <c r="BSM67" s="414"/>
      <c r="BSN67" s="414"/>
      <c r="BSO67" s="414"/>
      <c r="BSP67" s="414"/>
      <c r="BSQ67" s="414"/>
      <c r="BSR67" s="414"/>
      <c r="BSS67" s="414"/>
      <c r="BST67" s="414"/>
      <c r="BSU67" s="414"/>
      <c r="BSV67" s="414"/>
      <c r="BSW67" s="414"/>
      <c r="BSX67" s="414"/>
      <c r="BSY67" s="414"/>
      <c r="BSZ67" s="414"/>
      <c r="BTA67" s="414"/>
      <c r="BTB67" s="414"/>
      <c r="BTC67" s="414"/>
      <c r="BTD67" s="414"/>
      <c r="BTE67" s="414"/>
      <c r="BTF67" s="414"/>
      <c r="BTG67" s="414"/>
      <c r="BTH67" s="414"/>
      <c r="BTI67" s="414"/>
      <c r="BTJ67" s="414"/>
      <c r="BTK67" s="414"/>
      <c r="BTL67" s="414"/>
      <c r="BTM67" s="414"/>
      <c r="BTN67" s="414"/>
      <c r="BTO67" s="414"/>
      <c r="BTP67" s="414"/>
      <c r="BTQ67" s="414"/>
      <c r="BTR67" s="414"/>
      <c r="BTS67" s="414"/>
      <c r="BTT67" s="414"/>
      <c r="BTU67" s="414"/>
      <c r="BTV67" s="414"/>
      <c r="BTW67" s="414"/>
      <c r="BTX67" s="414"/>
      <c r="BTY67" s="414"/>
      <c r="BTZ67" s="414"/>
      <c r="BUA67" s="414"/>
      <c r="BUB67" s="414"/>
      <c r="BUC67" s="414"/>
      <c r="BUD67" s="414"/>
      <c r="BUE67" s="414"/>
      <c r="BUF67" s="414"/>
      <c r="BUG67" s="414"/>
      <c r="BUH67" s="414"/>
      <c r="BUI67" s="414"/>
      <c r="BUJ67" s="414"/>
      <c r="BUK67" s="414"/>
      <c r="BUL67" s="414"/>
      <c r="BUM67" s="414"/>
      <c r="BUN67" s="414"/>
      <c r="BUO67" s="414"/>
      <c r="BUP67" s="414"/>
      <c r="BUQ67" s="414"/>
      <c r="BUR67" s="414"/>
      <c r="BUS67" s="414"/>
      <c r="BUT67" s="414"/>
      <c r="BUU67" s="414"/>
      <c r="BUV67" s="414"/>
      <c r="BUW67" s="414"/>
      <c r="BUX67" s="414"/>
      <c r="BUY67" s="414"/>
      <c r="BUZ67" s="414"/>
      <c r="BVA67" s="414"/>
      <c r="BVB67" s="414"/>
      <c r="BVC67" s="414"/>
      <c r="BVD67" s="414"/>
      <c r="BVE67" s="414"/>
      <c r="BVF67" s="414"/>
      <c r="BVG67" s="414"/>
      <c r="BVH67" s="414"/>
      <c r="BVI67" s="414"/>
      <c r="BVJ67" s="414"/>
      <c r="BVK67" s="414"/>
      <c r="BVL67" s="414"/>
      <c r="BVM67" s="414"/>
      <c r="BVN67" s="414"/>
      <c r="BVO67" s="414"/>
      <c r="BVP67" s="414"/>
      <c r="BVQ67" s="414"/>
      <c r="BVR67" s="414"/>
      <c r="BVS67" s="414"/>
      <c r="BVT67" s="414"/>
      <c r="BVU67" s="414"/>
      <c r="BVV67" s="414"/>
      <c r="BVW67" s="414"/>
      <c r="BVX67" s="414"/>
      <c r="BVY67" s="414"/>
      <c r="BVZ67" s="414"/>
      <c r="BWA67" s="414"/>
      <c r="BWB67" s="414"/>
      <c r="BWC67" s="414"/>
      <c r="BWD67" s="414"/>
      <c r="BWE67" s="414"/>
      <c r="BWF67" s="414"/>
      <c r="BWG67" s="414"/>
      <c r="BWH67" s="414"/>
      <c r="BWI67" s="414"/>
      <c r="BWJ67" s="414"/>
      <c r="BWK67" s="414"/>
      <c r="BWL67" s="414"/>
      <c r="BWM67" s="414"/>
      <c r="BWN67" s="414"/>
      <c r="BWO67" s="414"/>
      <c r="BWP67" s="414"/>
      <c r="BWQ67" s="414"/>
      <c r="BWR67" s="414"/>
      <c r="BWS67" s="414"/>
      <c r="BWT67" s="414"/>
      <c r="BWU67" s="414"/>
      <c r="BWV67" s="414"/>
      <c r="BWW67" s="414"/>
      <c r="BWX67" s="414"/>
      <c r="BWY67" s="414"/>
      <c r="BWZ67" s="414"/>
      <c r="BXA67" s="414"/>
      <c r="BXB67" s="414"/>
      <c r="BXC67" s="414"/>
      <c r="BXD67" s="414"/>
      <c r="BXE67" s="414"/>
      <c r="BXF67" s="414"/>
      <c r="BXG67" s="414"/>
      <c r="BXH67" s="414"/>
      <c r="BXI67" s="414"/>
      <c r="BXJ67" s="414"/>
      <c r="BXK67" s="414"/>
      <c r="BXL67" s="414"/>
      <c r="BXM67" s="414"/>
      <c r="BXN67" s="414"/>
      <c r="BXO67" s="414"/>
      <c r="BXP67" s="414"/>
      <c r="BXQ67" s="414"/>
      <c r="BXR67" s="414"/>
      <c r="BXS67" s="414"/>
      <c r="BXT67" s="414"/>
      <c r="BXU67" s="414"/>
      <c r="BXV67" s="414"/>
      <c r="BXW67" s="414"/>
      <c r="BXX67" s="414"/>
      <c r="BXY67" s="414"/>
      <c r="BXZ67" s="414"/>
      <c r="BYA67" s="414"/>
      <c r="BYB67" s="414"/>
      <c r="BYC67" s="414"/>
      <c r="BYD67" s="414"/>
      <c r="BYE67" s="414"/>
      <c r="BYF67" s="414"/>
      <c r="BYG67" s="414"/>
      <c r="BYH67" s="414"/>
      <c r="BYI67" s="414"/>
      <c r="BYJ67" s="414"/>
      <c r="BYK67" s="414"/>
      <c r="BYL67" s="414"/>
      <c r="BYM67" s="414"/>
      <c r="BYN67" s="414"/>
      <c r="BYO67" s="414"/>
      <c r="BYP67" s="414"/>
      <c r="BYQ67" s="414"/>
      <c r="BYR67" s="414"/>
      <c r="BYS67" s="414"/>
      <c r="BYT67" s="414"/>
      <c r="BYU67" s="414"/>
      <c r="BYV67" s="414"/>
      <c r="BYW67" s="414"/>
      <c r="BYX67" s="414"/>
      <c r="BYY67" s="414"/>
      <c r="BYZ67" s="414"/>
      <c r="BZA67" s="414"/>
      <c r="BZB67" s="414"/>
      <c r="BZC67" s="414"/>
      <c r="BZD67" s="414"/>
      <c r="BZE67" s="414"/>
      <c r="BZF67" s="414"/>
      <c r="BZG67" s="414"/>
      <c r="BZH67" s="414"/>
      <c r="BZI67" s="414"/>
      <c r="BZJ67" s="414"/>
      <c r="BZK67" s="414"/>
      <c r="BZL67" s="414"/>
      <c r="BZM67" s="414"/>
      <c r="BZN67" s="414"/>
      <c r="BZO67" s="414"/>
      <c r="BZP67" s="414"/>
      <c r="BZQ67" s="414"/>
      <c r="BZR67" s="414"/>
      <c r="BZS67" s="414"/>
      <c r="BZT67" s="414"/>
      <c r="BZU67" s="414"/>
      <c r="BZV67" s="414"/>
      <c r="BZW67" s="414"/>
      <c r="BZX67" s="414"/>
      <c r="BZY67" s="414"/>
      <c r="BZZ67" s="414"/>
      <c r="CAA67" s="414"/>
      <c r="CAB67" s="414"/>
      <c r="CAC67" s="414"/>
      <c r="CAD67" s="414"/>
      <c r="CAE67" s="414"/>
      <c r="CAF67" s="414"/>
      <c r="CAG67" s="414"/>
      <c r="CAH67" s="414"/>
      <c r="CAI67" s="414"/>
      <c r="CAJ67" s="414"/>
      <c r="CAK67" s="414"/>
      <c r="CAL67" s="414"/>
      <c r="CAM67" s="414"/>
      <c r="CAN67" s="414"/>
      <c r="CAO67" s="414"/>
      <c r="CAP67" s="414"/>
      <c r="CAQ67" s="414"/>
      <c r="CAR67" s="414"/>
      <c r="CAS67" s="414"/>
      <c r="CAT67" s="414"/>
      <c r="CAU67" s="414"/>
      <c r="CAV67" s="414"/>
      <c r="CAW67" s="414"/>
      <c r="CAX67" s="414"/>
      <c r="CAY67" s="414"/>
      <c r="CAZ67" s="414"/>
      <c r="CBA67" s="414"/>
      <c r="CBB67" s="414"/>
      <c r="CBC67" s="414"/>
      <c r="CBD67" s="414"/>
      <c r="CBE67" s="414"/>
      <c r="CBF67" s="414"/>
      <c r="CBG67" s="414"/>
      <c r="CBH67" s="414"/>
      <c r="CBI67" s="414"/>
      <c r="CBJ67" s="414"/>
      <c r="CBK67" s="414"/>
      <c r="CBL67" s="414"/>
      <c r="CBM67" s="414"/>
      <c r="CBN67" s="414"/>
      <c r="CBO67" s="414"/>
      <c r="CBP67" s="414"/>
      <c r="CBQ67" s="414"/>
      <c r="CBR67" s="414"/>
      <c r="CBS67" s="414"/>
      <c r="CBT67" s="414"/>
      <c r="CBU67" s="414"/>
      <c r="CBV67" s="414"/>
      <c r="CBW67" s="414"/>
      <c r="CBX67" s="414"/>
      <c r="CBY67" s="414"/>
      <c r="CBZ67" s="414"/>
      <c r="CCA67" s="414"/>
      <c r="CCB67" s="414"/>
      <c r="CCC67" s="414"/>
      <c r="CCD67" s="414"/>
      <c r="CCE67" s="414"/>
      <c r="CCF67" s="414"/>
      <c r="CCG67" s="414"/>
      <c r="CCH67" s="414"/>
      <c r="CCI67" s="414"/>
      <c r="CCJ67" s="414"/>
      <c r="CCK67" s="414"/>
      <c r="CCL67" s="414"/>
      <c r="CCM67" s="414"/>
      <c r="CCN67" s="414"/>
      <c r="CCO67" s="414"/>
      <c r="CCP67" s="414"/>
      <c r="CCQ67" s="414"/>
      <c r="CCR67" s="414"/>
      <c r="CCS67" s="414"/>
      <c r="CCT67" s="414"/>
      <c r="CCU67" s="414"/>
      <c r="CCV67" s="414"/>
      <c r="CCW67" s="414"/>
      <c r="CCX67" s="414"/>
      <c r="CCY67" s="414"/>
      <c r="CCZ67" s="414"/>
      <c r="CDA67" s="414"/>
      <c r="CDB67" s="414"/>
      <c r="CDC67" s="414"/>
      <c r="CDD67" s="414"/>
      <c r="CDE67" s="414"/>
      <c r="CDF67" s="414"/>
      <c r="CDG67" s="414"/>
      <c r="CDH67" s="414"/>
      <c r="CDI67" s="414"/>
      <c r="CDJ67" s="414"/>
      <c r="CDK67" s="414"/>
      <c r="CDL67" s="414"/>
      <c r="CDM67" s="414"/>
      <c r="CDN67" s="414"/>
      <c r="CDO67" s="414"/>
      <c r="CDP67" s="414"/>
      <c r="CDQ67" s="414"/>
      <c r="CDR67" s="414"/>
      <c r="CDS67" s="414"/>
      <c r="CDT67" s="414"/>
      <c r="CDU67" s="414"/>
      <c r="CDV67" s="414"/>
      <c r="CDW67" s="414"/>
      <c r="CDX67" s="414"/>
      <c r="CDY67" s="414"/>
      <c r="CDZ67" s="414"/>
      <c r="CEA67" s="414"/>
      <c r="CEB67" s="414"/>
      <c r="CEC67" s="414"/>
      <c r="CED67" s="414"/>
      <c r="CEE67" s="414"/>
      <c r="CEF67" s="414"/>
      <c r="CEG67" s="414"/>
      <c r="CEH67" s="414"/>
      <c r="CEI67" s="414"/>
      <c r="CEJ67" s="414"/>
      <c r="CEK67" s="414"/>
      <c r="CEL67" s="414"/>
      <c r="CEM67" s="414"/>
      <c r="CEN67" s="414"/>
      <c r="CEO67" s="414"/>
      <c r="CEP67" s="414"/>
      <c r="CEQ67" s="414"/>
      <c r="CER67" s="414"/>
      <c r="CES67" s="414"/>
      <c r="CET67" s="414"/>
      <c r="CEU67" s="414"/>
      <c r="CEV67" s="414"/>
      <c r="CEW67" s="414"/>
      <c r="CEX67" s="414"/>
      <c r="CEY67" s="414"/>
      <c r="CEZ67" s="414"/>
      <c r="CFA67" s="414"/>
      <c r="CFB67" s="414"/>
      <c r="CFC67" s="414"/>
      <c r="CFD67" s="414"/>
      <c r="CFE67" s="414"/>
      <c r="CFF67" s="414"/>
      <c r="CFG67" s="414"/>
      <c r="CFH67" s="414"/>
      <c r="CFI67" s="414"/>
      <c r="CFJ67" s="414"/>
      <c r="CFK67" s="414"/>
      <c r="CFL67" s="414"/>
      <c r="CFM67" s="414"/>
      <c r="CFN67" s="414"/>
      <c r="CFO67" s="414"/>
      <c r="CFP67" s="414"/>
      <c r="CFQ67" s="414"/>
      <c r="CFR67" s="414"/>
      <c r="CFS67" s="414"/>
      <c r="CFT67" s="414"/>
      <c r="CFU67" s="414"/>
      <c r="CFV67" s="414"/>
      <c r="CFW67" s="414"/>
      <c r="CFX67" s="414"/>
      <c r="CFY67" s="414"/>
      <c r="CFZ67" s="414"/>
      <c r="CGA67" s="414"/>
      <c r="CGB67" s="414"/>
      <c r="CGC67" s="414"/>
      <c r="CGD67" s="414"/>
      <c r="CGE67" s="414"/>
      <c r="CGF67" s="414"/>
      <c r="CGG67" s="414"/>
      <c r="CGH67" s="414"/>
      <c r="CGI67" s="414"/>
      <c r="CGJ67" s="414"/>
      <c r="CGK67" s="414"/>
      <c r="CGL67" s="414"/>
      <c r="CGM67" s="414"/>
      <c r="CGN67" s="414"/>
      <c r="CGO67" s="414"/>
      <c r="CGP67" s="414"/>
      <c r="CGQ67" s="414"/>
      <c r="CGR67" s="414"/>
      <c r="CGS67" s="414"/>
      <c r="CGT67" s="414"/>
      <c r="CGU67" s="414"/>
      <c r="CGV67" s="414"/>
      <c r="CGW67" s="414"/>
      <c r="CGX67" s="414"/>
      <c r="CGY67" s="414"/>
      <c r="CGZ67" s="414"/>
      <c r="CHA67" s="414"/>
      <c r="CHB67" s="414"/>
      <c r="CHC67" s="414"/>
      <c r="CHD67" s="414"/>
      <c r="CHE67" s="414"/>
      <c r="CHF67" s="414"/>
      <c r="CHG67" s="414"/>
      <c r="CHH67" s="414"/>
      <c r="CHI67" s="414"/>
      <c r="CHJ67" s="414"/>
      <c r="CHK67" s="414"/>
      <c r="CHL67" s="414"/>
      <c r="CHM67" s="414"/>
      <c r="CHN67" s="414"/>
      <c r="CHO67" s="414"/>
      <c r="CHP67" s="414"/>
      <c r="CHQ67" s="414"/>
      <c r="CHR67" s="414"/>
      <c r="CHS67" s="414"/>
      <c r="CHT67" s="414"/>
      <c r="CHU67" s="414"/>
      <c r="CHV67" s="414"/>
      <c r="CHW67" s="414"/>
      <c r="CHX67" s="414"/>
      <c r="CHY67" s="414"/>
      <c r="CHZ67" s="414"/>
      <c r="CIA67" s="414"/>
      <c r="CIB67" s="414"/>
      <c r="CIC67" s="414"/>
      <c r="CID67" s="414"/>
      <c r="CIE67" s="414"/>
      <c r="CIF67" s="414"/>
      <c r="CIG67" s="414"/>
      <c r="CIH67" s="414"/>
      <c r="CII67" s="414"/>
      <c r="CIJ67" s="414"/>
      <c r="CIK67" s="414"/>
      <c r="CIL67" s="414"/>
      <c r="CIM67" s="414"/>
      <c r="CIN67" s="414"/>
      <c r="CIO67" s="414"/>
      <c r="CIP67" s="414"/>
      <c r="CIQ67" s="414"/>
      <c r="CIR67" s="414"/>
      <c r="CIS67" s="414"/>
      <c r="CIT67" s="414"/>
      <c r="CIU67" s="414"/>
      <c r="CIV67" s="414"/>
      <c r="CIW67" s="414"/>
      <c r="CIX67" s="414"/>
      <c r="CIY67" s="414"/>
      <c r="CIZ67" s="414"/>
      <c r="CJA67" s="414"/>
      <c r="CJB67" s="414"/>
      <c r="CJC67" s="414"/>
      <c r="CJD67" s="414"/>
      <c r="CJE67" s="414"/>
      <c r="CJF67" s="414"/>
      <c r="CJG67" s="414"/>
      <c r="CJH67" s="414"/>
      <c r="CJI67" s="414"/>
      <c r="CJJ67" s="414"/>
      <c r="CJK67" s="414"/>
      <c r="CJL67" s="414"/>
      <c r="CJM67" s="414"/>
      <c r="CJN67" s="414"/>
      <c r="CJO67" s="414"/>
      <c r="CJP67" s="414"/>
      <c r="CJQ67" s="414"/>
      <c r="CJR67" s="414"/>
      <c r="CJS67" s="414"/>
      <c r="CJT67" s="414"/>
      <c r="CJU67" s="414"/>
      <c r="CJV67" s="414"/>
      <c r="CJW67" s="414"/>
      <c r="CJX67" s="414"/>
      <c r="CJY67" s="414"/>
      <c r="CJZ67" s="414"/>
      <c r="CKA67" s="414"/>
      <c r="CKB67" s="414"/>
      <c r="CKC67" s="414"/>
      <c r="CKD67" s="414"/>
      <c r="CKE67" s="414"/>
      <c r="CKF67" s="414"/>
      <c r="CKG67" s="414"/>
      <c r="CKH67" s="414"/>
      <c r="CKI67" s="414"/>
      <c r="CKJ67" s="414"/>
      <c r="CKK67" s="414"/>
      <c r="CKL67" s="414"/>
      <c r="CKM67" s="414"/>
      <c r="CKN67" s="414"/>
      <c r="CKO67" s="414"/>
      <c r="CKP67" s="414"/>
      <c r="CKQ67" s="414"/>
      <c r="CKR67" s="414"/>
      <c r="CKS67" s="414"/>
      <c r="CKT67" s="414"/>
      <c r="CKU67" s="414"/>
      <c r="CKV67" s="414"/>
      <c r="CKW67" s="414"/>
      <c r="CKX67" s="414"/>
      <c r="CKY67" s="414"/>
      <c r="CKZ67" s="414"/>
      <c r="CLA67" s="414"/>
      <c r="CLB67" s="414"/>
      <c r="CLC67" s="414"/>
      <c r="CLD67" s="414"/>
      <c r="CLE67" s="414"/>
      <c r="CLF67" s="414"/>
      <c r="CLG67" s="414"/>
      <c r="CLH67" s="414"/>
      <c r="CLI67" s="414"/>
      <c r="CLJ67" s="414"/>
      <c r="CLK67" s="414"/>
      <c r="CLL67" s="414"/>
      <c r="CLM67" s="414"/>
      <c r="CLN67" s="414"/>
      <c r="CLO67" s="414"/>
      <c r="CLP67" s="414"/>
      <c r="CLQ67" s="414"/>
      <c r="CLR67" s="414"/>
      <c r="CLS67" s="414"/>
      <c r="CLT67" s="414"/>
      <c r="CLU67" s="414"/>
      <c r="CLV67" s="414"/>
      <c r="CLW67" s="414"/>
      <c r="CLX67" s="414"/>
      <c r="CLY67" s="414"/>
      <c r="CLZ67" s="414"/>
      <c r="CMA67" s="414"/>
      <c r="CMB67" s="414"/>
      <c r="CMC67" s="414"/>
      <c r="CMD67" s="414"/>
      <c r="CME67" s="414"/>
      <c r="CMF67" s="414"/>
      <c r="CMG67" s="414"/>
      <c r="CMH67" s="414"/>
      <c r="CMI67" s="414"/>
      <c r="CMJ67" s="414"/>
      <c r="CMK67" s="414"/>
      <c r="CML67" s="414"/>
      <c r="CMM67" s="414"/>
      <c r="CMN67" s="414"/>
      <c r="CMO67" s="414"/>
      <c r="CMP67" s="414"/>
      <c r="CMQ67" s="414"/>
      <c r="CMR67" s="414"/>
      <c r="CMS67" s="414"/>
      <c r="CMT67" s="414"/>
      <c r="CMU67" s="414"/>
      <c r="CMV67" s="414"/>
      <c r="CMW67" s="414"/>
      <c r="CMX67" s="414"/>
      <c r="CMY67" s="414"/>
      <c r="CMZ67" s="414"/>
      <c r="CNA67" s="414"/>
      <c r="CNB67" s="414"/>
      <c r="CNC67" s="414"/>
      <c r="CND67" s="414"/>
      <c r="CNE67" s="414"/>
      <c r="CNF67" s="414"/>
      <c r="CNG67" s="414"/>
      <c r="CNH67" s="414"/>
      <c r="CNI67" s="414"/>
      <c r="CNJ67" s="414"/>
      <c r="CNK67" s="414"/>
      <c r="CNL67" s="414"/>
      <c r="CNM67" s="414"/>
      <c r="CNN67" s="414"/>
      <c r="CNO67" s="414"/>
      <c r="CNP67" s="414"/>
      <c r="CNQ67" s="414"/>
      <c r="CNR67" s="414"/>
      <c r="CNS67" s="414"/>
      <c r="CNT67" s="414"/>
      <c r="CNU67" s="414"/>
      <c r="CNV67" s="414"/>
      <c r="CNW67" s="414"/>
      <c r="CNX67" s="414"/>
      <c r="CNY67" s="414"/>
      <c r="CNZ67" s="414"/>
      <c r="COA67" s="414"/>
      <c r="COB67" s="414"/>
      <c r="COC67" s="414"/>
      <c r="COD67" s="414"/>
      <c r="COE67" s="414"/>
      <c r="COF67" s="414"/>
      <c r="COG67" s="414"/>
      <c r="COH67" s="414"/>
      <c r="COI67" s="414"/>
      <c r="COJ67" s="414"/>
      <c r="COK67" s="414"/>
      <c r="COL67" s="414"/>
      <c r="COM67" s="414"/>
      <c r="CON67" s="414"/>
      <c r="COO67" s="414"/>
      <c r="COP67" s="414"/>
      <c r="COQ67" s="414"/>
      <c r="COR67" s="414"/>
      <c r="COS67" s="414"/>
      <c r="COT67" s="414"/>
      <c r="COU67" s="414"/>
      <c r="COV67" s="414"/>
      <c r="COW67" s="414"/>
      <c r="COX67" s="414"/>
      <c r="COY67" s="414"/>
      <c r="COZ67" s="414"/>
      <c r="CPA67" s="414"/>
      <c r="CPB67" s="414"/>
      <c r="CPC67" s="414"/>
      <c r="CPD67" s="414"/>
      <c r="CPE67" s="414"/>
      <c r="CPF67" s="414"/>
      <c r="CPG67" s="414"/>
      <c r="CPH67" s="414"/>
      <c r="CPI67" s="414"/>
      <c r="CPJ67" s="414"/>
      <c r="CPK67" s="414"/>
      <c r="CPL67" s="414"/>
      <c r="CPM67" s="414"/>
      <c r="CPN67" s="414"/>
      <c r="CPO67" s="414"/>
      <c r="CPP67" s="414"/>
      <c r="CPQ67" s="414"/>
      <c r="CPR67" s="414"/>
      <c r="CPS67" s="414"/>
      <c r="CPT67" s="414"/>
      <c r="CPU67" s="414"/>
      <c r="CPV67" s="414"/>
      <c r="CPW67" s="414"/>
      <c r="CPX67" s="414"/>
      <c r="CPY67" s="414"/>
      <c r="CPZ67" s="414"/>
      <c r="CQA67" s="414"/>
      <c r="CQB67" s="414"/>
      <c r="CQC67" s="414"/>
      <c r="CQD67" s="414"/>
      <c r="CQE67" s="414"/>
      <c r="CQF67" s="414"/>
      <c r="CQG67" s="414"/>
      <c r="CQH67" s="414"/>
      <c r="CQI67" s="414"/>
      <c r="CQJ67" s="414"/>
      <c r="CQK67" s="414"/>
      <c r="CQL67" s="414"/>
      <c r="CQM67" s="414"/>
      <c r="CQN67" s="414"/>
      <c r="CQO67" s="414"/>
      <c r="CQP67" s="414"/>
      <c r="CQQ67" s="414"/>
      <c r="CQR67" s="414"/>
      <c r="CQS67" s="414"/>
      <c r="CQT67" s="414"/>
      <c r="CQU67" s="414"/>
      <c r="CQV67" s="414"/>
      <c r="CQW67" s="414"/>
      <c r="CQX67" s="414"/>
      <c r="CQY67" s="414"/>
      <c r="CQZ67" s="414"/>
      <c r="CRA67" s="414"/>
      <c r="CRB67" s="414"/>
      <c r="CRC67" s="414"/>
      <c r="CRD67" s="414"/>
      <c r="CRE67" s="414"/>
      <c r="CRF67" s="414"/>
      <c r="CRG67" s="414"/>
      <c r="CRH67" s="414"/>
      <c r="CRI67" s="414"/>
      <c r="CRJ67" s="414"/>
      <c r="CRK67" s="414"/>
      <c r="CRL67" s="414"/>
      <c r="CRM67" s="414"/>
      <c r="CRN67" s="414"/>
      <c r="CRO67" s="414"/>
      <c r="CRP67" s="414"/>
      <c r="CRQ67" s="414"/>
      <c r="CRR67" s="414"/>
      <c r="CRS67" s="414"/>
      <c r="CRT67" s="414"/>
      <c r="CRU67" s="414"/>
      <c r="CRV67" s="414"/>
      <c r="CRW67" s="414"/>
      <c r="CRX67" s="414"/>
      <c r="CRY67" s="414"/>
      <c r="CRZ67" s="414"/>
      <c r="CSA67" s="414"/>
      <c r="CSB67" s="414"/>
      <c r="CSC67" s="414"/>
      <c r="CSD67" s="414"/>
      <c r="CSE67" s="414"/>
      <c r="CSF67" s="414"/>
      <c r="CSG67" s="414"/>
      <c r="CSH67" s="414"/>
      <c r="CSI67" s="414"/>
      <c r="CSJ67" s="414"/>
      <c r="CSK67" s="414"/>
      <c r="CSL67" s="414"/>
      <c r="CSM67" s="414"/>
      <c r="CSN67" s="414"/>
      <c r="CSO67" s="414"/>
      <c r="CSP67" s="414"/>
      <c r="CSQ67" s="414"/>
      <c r="CSR67" s="414"/>
      <c r="CSS67" s="414"/>
      <c r="CST67" s="414"/>
      <c r="CSU67" s="414"/>
      <c r="CSV67" s="414"/>
      <c r="CSW67" s="414"/>
      <c r="CSX67" s="414"/>
      <c r="CSY67" s="414"/>
      <c r="CSZ67" s="414"/>
      <c r="CTA67" s="414"/>
      <c r="CTB67" s="414"/>
      <c r="CTC67" s="414"/>
      <c r="CTD67" s="414"/>
      <c r="CTE67" s="414"/>
      <c r="CTF67" s="414"/>
      <c r="CTG67" s="414"/>
      <c r="CTH67" s="414"/>
      <c r="CTI67" s="414"/>
      <c r="CTJ67" s="414"/>
      <c r="CTK67" s="414"/>
      <c r="CTL67" s="414"/>
      <c r="CTM67" s="414"/>
      <c r="CTN67" s="414"/>
      <c r="CTO67" s="414"/>
      <c r="CTP67" s="414"/>
      <c r="CTQ67" s="414"/>
      <c r="CTR67" s="414"/>
      <c r="CTS67" s="414"/>
      <c r="CTT67" s="414"/>
      <c r="CTU67" s="414"/>
      <c r="CTV67" s="414"/>
      <c r="CTW67" s="414"/>
      <c r="CTX67" s="414"/>
      <c r="CTY67" s="414"/>
      <c r="CTZ67" s="414"/>
      <c r="CUA67" s="414"/>
      <c r="CUB67" s="414"/>
      <c r="CUC67" s="414"/>
      <c r="CUD67" s="414"/>
      <c r="CUE67" s="414"/>
      <c r="CUF67" s="414"/>
      <c r="CUG67" s="414"/>
      <c r="CUH67" s="414"/>
      <c r="CUI67" s="414"/>
      <c r="CUJ67" s="414"/>
      <c r="CUK67" s="414"/>
      <c r="CUL67" s="414"/>
      <c r="CUM67" s="414"/>
      <c r="CUN67" s="414"/>
      <c r="CUO67" s="414"/>
      <c r="CUP67" s="414"/>
      <c r="CUQ67" s="414"/>
      <c r="CUR67" s="414"/>
      <c r="CUS67" s="414"/>
      <c r="CUT67" s="414"/>
      <c r="CUU67" s="414"/>
      <c r="CUV67" s="414"/>
      <c r="CUW67" s="414"/>
      <c r="CUX67" s="414"/>
      <c r="CUY67" s="414"/>
      <c r="CUZ67" s="414"/>
      <c r="CVA67" s="414"/>
      <c r="CVB67" s="414"/>
      <c r="CVC67" s="414"/>
      <c r="CVD67" s="414"/>
      <c r="CVE67" s="414"/>
      <c r="CVF67" s="414"/>
      <c r="CVG67" s="414"/>
      <c r="CVH67" s="414"/>
      <c r="CVI67" s="414"/>
      <c r="CVJ67" s="414"/>
      <c r="CVK67" s="414"/>
      <c r="CVL67" s="414"/>
      <c r="CVM67" s="414"/>
      <c r="CVN67" s="414"/>
      <c r="CVO67" s="414"/>
      <c r="CVP67" s="414"/>
      <c r="CVQ67" s="414"/>
      <c r="CVR67" s="414"/>
      <c r="CVS67" s="414"/>
      <c r="CVT67" s="414"/>
      <c r="CVU67" s="414"/>
      <c r="CVV67" s="414"/>
      <c r="CVW67" s="414"/>
      <c r="CVX67" s="414"/>
      <c r="CVY67" s="414"/>
      <c r="CVZ67" s="414"/>
      <c r="CWA67" s="414"/>
      <c r="CWB67" s="414"/>
      <c r="CWC67" s="414"/>
      <c r="CWD67" s="414"/>
      <c r="CWE67" s="414"/>
      <c r="CWF67" s="414"/>
      <c r="CWG67" s="414"/>
      <c r="CWH67" s="414"/>
      <c r="CWI67" s="414"/>
      <c r="CWJ67" s="414"/>
      <c r="CWK67" s="414"/>
      <c r="CWL67" s="414"/>
      <c r="CWM67" s="414"/>
      <c r="CWN67" s="414"/>
      <c r="CWO67" s="414"/>
      <c r="CWP67" s="414"/>
      <c r="CWQ67" s="414"/>
      <c r="CWR67" s="414"/>
      <c r="CWS67" s="414"/>
      <c r="CWT67" s="414"/>
      <c r="CWU67" s="414"/>
      <c r="CWV67" s="414"/>
      <c r="CWW67" s="414"/>
      <c r="CWX67" s="414"/>
      <c r="CWY67" s="414"/>
      <c r="CWZ67" s="414"/>
      <c r="CXA67" s="414"/>
      <c r="CXB67" s="414"/>
      <c r="CXC67" s="414"/>
      <c r="CXD67" s="414"/>
      <c r="CXE67" s="414"/>
      <c r="CXF67" s="414"/>
      <c r="CXG67" s="414"/>
      <c r="CXH67" s="414"/>
      <c r="CXI67" s="414"/>
      <c r="CXJ67" s="414"/>
      <c r="CXK67" s="414"/>
      <c r="CXL67" s="414"/>
      <c r="CXM67" s="414"/>
      <c r="CXN67" s="414"/>
      <c r="CXO67" s="414"/>
      <c r="CXP67" s="414"/>
      <c r="CXQ67" s="414"/>
      <c r="CXR67" s="414"/>
      <c r="CXS67" s="414"/>
      <c r="CXT67" s="414"/>
      <c r="CXU67" s="414"/>
      <c r="CXV67" s="414"/>
      <c r="CXW67" s="414"/>
      <c r="CXX67" s="414"/>
      <c r="CXY67" s="414"/>
      <c r="CXZ67" s="414"/>
      <c r="CYA67" s="414"/>
      <c r="CYB67" s="414"/>
      <c r="CYC67" s="414"/>
      <c r="CYD67" s="414"/>
      <c r="CYE67" s="414"/>
      <c r="CYF67" s="414"/>
      <c r="CYG67" s="414"/>
      <c r="CYH67" s="414"/>
      <c r="CYI67" s="414"/>
      <c r="CYJ67" s="414"/>
      <c r="CYK67" s="414"/>
      <c r="CYL67" s="414"/>
      <c r="CYM67" s="414"/>
      <c r="CYN67" s="414"/>
      <c r="CYO67" s="414"/>
      <c r="CYP67" s="414"/>
      <c r="CYQ67" s="414"/>
      <c r="CYR67" s="414"/>
      <c r="CYS67" s="414"/>
      <c r="CYT67" s="414"/>
      <c r="CYU67" s="414"/>
      <c r="CYV67" s="414"/>
      <c r="CYW67" s="414"/>
      <c r="CYX67" s="414"/>
      <c r="CYY67" s="414"/>
      <c r="CYZ67" s="414"/>
      <c r="CZA67" s="414"/>
      <c r="CZB67" s="414"/>
      <c r="CZC67" s="414"/>
      <c r="CZD67" s="414"/>
      <c r="CZE67" s="414"/>
      <c r="CZF67" s="414"/>
      <c r="CZG67" s="414"/>
      <c r="CZH67" s="414"/>
      <c r="CZI67" s="414"/>
      <c r="CZJ67" s="414"/>
      <c r="CZK67" s="414"/>
      <c r="CZL67" s="414"/>
      <c r="CZM67" s="414"/>
      <c r="CZN67" s="414"/>
      <c r="CZO67" s="414"/>
      <c r="CZP67" s="414"/>
      <c r="CZQ67" s="414"/>
      <c r="CZR67" s="414"/>
      <c r="CZS67" s="414"/>
      <c r="CZT67" s="414"/>
      <c r="CZU67" s="414"/>
      <c r="CZV67" s="414"/>
      <c r="CZW67" s="414"/>
      <c r="CZX67" s="414"/>
      <c r="CZY67" s="414"/>
      <c r="CZZ67" s="414"/>
      <c r="DAA67" s="414"/>
      <c r="DAB67" s="414"/>
      <c r="DAC67" s="414"/>
      <c r="DAD67" s="414"/>
      <c r="DAE67" s="414"/>
      <c r="DAF67" s="414"/>
      <c r="DAG67" s="414"/>
      <c r="DAH67" s="414"/>
      <c r="DAI67" s="414"/>
      <c r="DAJ67" s="414"/>
      <c r="DAK67" s="414"/>
      <c r="DAL67" s="414"/>
      <c r="DAM67" s="414"/>
      <c r="DAN67" s="414"/>
      <c r="DAO67" s="414"/>
      <c r="DAP67" s="414"/>
      <c r="DAQ67" s="414"/>
      <c r="DAR67" s="414"/>
      <c r="DAS67" s="414"/>
      <c r="DAT67" s="414"/>
      <c r="DAU67" s="414"/>
      <c r="DAV67" s="414"/>
      <c r="DAW67" s="414"/>
      <c r="DAX67" s="414"/>
      <c r="DAY67" s="414"/>
      <c r="DAZ67" s="414"/>
      <c r="DBA67" s="414"/>
      <c r="DBB67" s="414"/>
      <c r="DBC67" s="414"/>
      <c r="DBD67" s="414"/>
      <c r="DBE67" s="414"/>
      <c r="DBF67" s="414"/>
      <c r="DBG67" s="414"/>
      <c r="DBH67" s="414"/>
      <c r="DBI67" s="414"/>
      <c r="DBJ67" s="414"/>
      <c r="DBK67" s="414"/>
      <c r="DBL67" s="414"/>
      <c r="DBM67" s="414"/>
      <c r="DBN67" s="414"/>
      <c r="DBO67" s="414"/>
      <c r="DBP67" s="414"/>
      <c r="DBQ67" s="414"/>
      <c r="DBR67" s="414"/>
      <c r="DBS67" s="414"/>
      <c r="DBT67" s="414"/>
      <c r="DBU67" s="414"/>
      <c r="DBV67" s="414"/>
      <c r="DBW67" s="414"/>
      <c r="DBX67" s="414"/>
      <c r="DBY67" s="414"/>
      <c r="DBZ67" s="414"/>
      <c r="DCA67" s="414"/>
      <c r="DCB67" s="414"/>
      <c r="DCC67" s="414"/>
      <c r="DCD67" s="414"/>
      <c r="DCE67" s="414"/>
      <c r="DCF67" s="414"/>
      <c r="DCG67" s="414"/>
      <c r="DCH67" s="414"/>
      <c r="DCI67" s="414"/>
      <c r="DCJ67" s="414"/>
      <c r="DCK67" s="414"/>
      <c r="DCL67" s="414"/>
      <c r="DCM67" s="414"/>
      <c r="DCN67" s="414"/>
      <c r="DCO67" s="414"/>
      <c r="DCP67" s="414"/>
      <c r="DCQ67" s="414"/>
      <c r="DCR67" s="414"/>
      <c r="DCS67" s="414"/>
      <c r="DCT67" s="414"/>
      <c r="DCU67" s="414"/>
      <c r="DCV67" s="414"/>
      <c r="DCW67" s="414"/>
      <c r="DCX67" s="414"/>
      <c r="DCY67" s="414"/>
      <c r="DCZ67" s="414"/>
      <c r="DDA67" s="414"/>
      <c r="DDB67" s="414"/>
      <c r="DDC67" s="414"/>
      <c r="DDD67" s="414"/>
      <c r="DDE67" s="414"/>
      <c r="DDF67" s="414"/>
      <c r="DDG67" s="414"/>
      <c r="DDH67" s="414"/>
      <c r="DDI67" s="414"/>
      <c r="DDJ67" s="414"/>
      <c r="DDK67" s="414"/>
      <c r="DDL67" s="414"/>
      <c r="DDM67" s="414"/>
      <c r="DDN67" s="414"/>
      <c r="DDO67" s="414"/>
      <c r="DDP67" s="414"/>
      <c r="DDQ67" s="414"/>
      <c r="DDR67" s="414"/>
      <c r="DDS67" s="414"/>
      <c r="DDT67" s="414"/>
      <c r="DDU67" s="414"/>
      <c r="DDV67" s="414"/>
      <c r="DDW67" s="414"/>
      <c r="DDX67" s="414"/>
      <c r="DDY67" s="414"/>
      <c r="DDZ67" s="414"/>
      <c r="DEA67" s="414"/>
      <c r="DEB67" s="414"/>
      <c r="DEC67" s="414"/>
      <c r="DED67" s="414"/>
      <c r="DEE67" s="414"/>
      <c r="DEF67" s="414"/>
      <c r="DEG67" s="414"/>
      <c r="DEH67" s="414"/>
      <c r="DEI67" s="414"/>
      <c r="DEJ67" s="414"/>
      <c r="DEK67" s="414"/>
      <c r="DEL67" s="414"/>
      <c r="DEM67" s="414"/>
      <c r="DEN67" s="414"/>
      <c r="DEO67" s="414"/>
      <c r="DEP67" s="414"/>
      <c r="DEQ67" s="414"/>
      <c r="DER67" s="414"/>
      <c r="DES67" s="414"/>
      <c r="DET67" s="414"/>
      <c r="DEU67" s="414"/>
      <c r="DEV67" s="414"/>
      <c r="DEW67" s="414"/>
      <c r="DEX67" s="414"/>
      <c r="DEY67" s="414"/>
      <c r="DEZ67" s="414"/>
      <c r="DFA67" s="414"/>
      <c r="DFB67" s="414"/>
      <c r="DFC67" s="414"/>
      <c r="DFD67" s="414"/>
      <c r="DFE67" s="414"/>
      <c r="DFF67" s="414"/>
      <c r="DFG67" s="414"/>
      <c r="DFH67" s="414"/>
      <c r="DFI67" s="414"/>
      <c r="DFJ67" s="414"/>
      <c r="DFK67" s="414"/>
      <c r="DFL67" s="414"/>
      <c r="DFM67" s="414"/>
      <c r="DFN67" s="414"/>
      <c r="DFO67" s="414"/>
      <c r="DFP67" s="414"/>
      <c r="DFQ67" s="414"/>
      <c r="DFR67" s="414"/>
      <c r="DFS67" s="414"/>
      <c r="DFT67" s="414"/>
      <c r="DFU67" s="414"/>
      <c r="DFV67" s="414"/>
      <c r="DFW67" s="414"/>
      <c r="DFX67" s="414"/>
      <c r="DFY67" s="414"/>
      <c r="DFZ67" s="414"/>
      <c r="DGA67" s="414"/>
      <c r="DGB67" s="414"/>
      <c r="DGC67" s="414"/>
      <c r="DGD67" s="414"/>
      <c r="DGE67" s="414"/>
      <c r="DGF67" s="414"/>
      <c r="DGG67" s="414"/>
      <c r="DGH67" s="414"/>
      <c r="DGI67" s="414"/>
      <c r="DGJ67" s="414"/>
      <c r="DGK67" s="414"/>
      <c r="DGL67" s="414"/>
      <c r="DGM67" s="414"/>
      <c r="DGN67" s="414"/>
      <c r="DGO67" s="414"/>
      <c r="DGP67" s="414"/>
      <c r="DGQ67" s="414"/>
      <c r="DGR67" s="414"/>
      <c r="DGS67" s="414"/>
      <c r="DGT67" s="414"/>
      <c r="DGU67" s="414"/>
      <c r="DGV67" s="414"/>
      <c r="DGW67" s="414"/>
      <c r="DGX67" s="414"/>
      <c r="DGY67" s="414"/>
      <c r="DGZ67" s="414"/>
      <c r="DHA67" s="414"/>
      <c r="DHB67" s="414"/>
      <c r="DHC67" s="414"/>
      <c r="DHD67" s="414"/>
      <c r="DHE67" s="414"/>
      <c r="DHF67" s="414"/>
      <c r="DHG67" s="414"/>
      <c r="DHH67" s="414"/>
      <c r="DHI67" s="414"/>
      <c r="DHJ67" s="414"/>
      <c r="DHK67" s="414"/>
      <c r="DHL67" s="414"/>
      <c r="DHM67" s="414"/>
      <c r="DHN67" s="414"/>
      <c r="DHO67" s="414"/>
      <c r="DHP67" s="414"/>
      <c r="DHQ67" s="414"/>
      <c r="DHR67" s="414"/>
      <c r="DHS67" s="414"/>
      <c r="DHT67" s="414"/>
      <c r="DHU67" s="414"/>
      <c r="DHV67" s="414"/>
      <c r="DHW67" s="414"/>
      <c r="DHX67" s="414"/>
      <c r="DHY67" s="414"/>
      <c r="DHZ67" s="414"/>
      <c r="DIA67" s="414"/>
      <c r="DIB67" s="414"/>
      <c r="DIC67" s="414"/>
      <c r="DID67" s="414"/>
      <c r="DIE67" s="414"/>
      <c r="DIF67" s="414"/>
      <c r="DIG67" s="414"/>
      <c r="DIH67" s="414"/>
      <c r="DII67" s="414"/>
      <c r="DIJ67" s="414"/>
      <c r="DIK67" s="414"/>
      <c r="DIL67" s="414"/>
      <c r="DIM67" s="414"/>
      <c r="DIN67" s="414"/>
      <c r="DIO67" s="414"/>
      <c r="DIP67" s="414"/>
      <c r="DIQ67" s="414"/>
      <c r="DIR67" s="414"/>
      <c r="DIS67" s="414"/>
      <c r="DIT67" s="414"/>
      <c r="DIU67" s="414"/>
      <c r="DIV67" s="414"/>
      <c r="DIW67" s="414"/>
      <c r="DIX67" s="414"/>
      <c r="DIY67" s="414"/>
      <c r="DIZ67" s="414"/>
      <c r="DJA67" s="414"/>
      <c r="DJB67" s="414"/>
      <c r="DJC67" s="414"/>
      <c r="DJD67" s="414"/>
      <c r="DJE67" s="414"/>
      <c r="DJF67" s="414"/>
      <c r="DJG67" s="414"/>
      <c r="DJH67" s="414"/>
      <c r="DJI67" s="414"/>
      <c r="DJJ67" s="414"/>
      <c r="DJK67" s="414"/>
      <c r="DJL67" s="414"/>
      <c r="DJM67" s="414"/>
      <c r="DJN67" s="414"/>
      <c r="DJO67" s="414"/>
      <c r="DJP67" s="414"/>
      <c r="DJQ67" s="414"/>
      <c r="DJR67" s="414"/>
      <c r="DJS67" s="414"/>
      <c r="DJT67" s="414"/>
      <c r="DJU67" s="414"/>
      <c r="DJV67" s="414"/>
      <c r="DJW67" s="414"/>
      <c r="DJX67" s="414"/>
      <c r="DJY67" s="414"/>
      <c r="DJZ67" s="414"/>
      <c r="DKA67" s="414"/>
      <c r="DKB67" s="414"/>
      <c r="DKC67" s="414"/>
      <c r="DKD67" s="414"/>
      <c r="DKE67" s="414"/>
      <c r="DKF67" s="414"/>
      <c r="DKG67" s="414"/>
      <c r="DKH67" s="414"/>
      <c r="DKI67" s="414"/>
      <c r="DKJ67" s="414"/>
      <c r="DKK67" s="414"/>
      <c r="DKL67" s="414"/>
      <c r="DKM67" s="414"/>
      <c r="DKN67" s="414"/>
      <c r="DKO67" s="414"/>
      <c r="DKP67" s="414"/>
      <c r="DKQ67" s="414"/>
      <c r="DKR67" s="414"/>
      <c r="DKS67" s="414"/>
      <c r="DKT67" s="414"/>
      <c r="DKU67" s="414"/>
      <c r="DKV67" s="414"/>
      <c r="DKW67" s="414"/>
      <c r="DKX67" s="414"/>
      <c r="DKY67" s="414"/>
      <c r="DKZ67" s="414"/>
      <c r="DLA67" s="414"/>
      <c r="DLB67" s="414"/>
      <c r="DLC67" s="414"/>
      <c r="DLD67" s="414"/>
      <c r="DLE67" s="414"/>
      <c r="DLF67" s="414"/>
      <c r="DLG67" s="414"/>
      <c r="DLH67" s="414"/>
      <c r="DLI67" s="414"/>
      <c r="DLJ67" s="414"/>
      <c r="DLK67" s="414"/>
      <c r="DLL67" s="414"/>
      <c r="DLM67" s="414"/>
      <c r="DLN67" s="414"/>
      <c r="DLO67" s="414"/>
      <c r="DLP67" s="414"/>
      <c r="DLQ67" s="414"/>
      <c r="DLR67" s="414"/>
      <c r="DLS67" s="414"/>
      <c r="DLT67" s="414"/>
      <c r="DLU67" s="414"/>
      <c r="DLV67" s="414"/>
      <c r="DLW67" s="414"/>
      <c r="DLX67" s="414"/>
      <c r="DLY67" s="414"/>
      <c r="DLZ67" s="414"/>
      <c r="DMA67" s="414"/>
      <c r="DMB67" s="414"/>
      <c r="DMC67" s="414"/>
      <c r="DMD67" s="414"/>
      <c r="DME67" s="414"/>
      <c r="DMF67" s="414"/>
      <c r="DMG67" s="414"/>
      <c r="DMH67" s="414"/>
      <c r="DMI67" s="414"/>
      <c r="DMJ67" s="414"/>
      <c r="DMK67" s="414"/>
      <c r="DML67" s="414"/>
      <c r="DMM67" s="414"/>
      <c r="DMN67" s="414"/>
      <c r="DMO67" s="414"/>
      <c r="DMP67" s="414"/>
      <c r="DMQ67" s="414"/>
      <c r="DMR67" s="414"/>
      <c r="DMS67" s="414"/>
      <c r="DMT67" s="414"/>
      <c r="DMU67" s="414"/>
      <c r="DMV67" s="414"/>
      <c r="DMW67" s="414"/>
      <c r="DMX67" s="414"/>
      <c r="DMY67" s="414"/>
      <c r="DMZ67" s="414"/>
      <c r="DNA67" s="414"/>
      <c r="DNB67" s="414"/>
      <c r="DNC67" s="414"/>
      <c r="DND67" s="414"/>
      <c r="DNE67" s="414"/>
      <c r="DNF67" s="414"/>
      <c r="DNG67" s="414"/>
      <c r="DNH67" s="414"/>
      <c r="DNI67" s="414"/>
      <c r="DNJ67" s="414"/>
      <c r="DNK67" s="414"/>
      <c r="DNL67" s="414"/>
      <c r="DNM67" s="414"/>
      <c r="DNN67" s="414"/>
      <c r="DNO67" s="414"/>
      <c r="DNP67" s="414"/>
      <c r="DNQ67" s="414"/>
      <c r="DNR67" s="414"/>
      <c r="DNS67" s="414"/>
      <c r="DNT67" s="414"/>
      <c r="DNU67" s="414"/>
      <c r="DNV67" s="414"/>
      <c r="DNW67" s="414"/>
      <c r="DNX67" s="414"/>
      <c r="DNY67" s="414"/>
      <c r="DNZ67" s="414"/>
      <c r="DOA67" s="414"/>
      <c r="DOB67" s="414"/>
      <c r="DOC67" s="414"/>
      <c r="DOD67" s="414"/>
      <c r="DOE67" s="414"/>
      <c r="DOF67" s="414"/>
      <c r="DOG67" s="414"/>
      <c r="DOH67" s="414"/>
      <c r="DOI67" s="414"/>
      <c r="DOJ67" s="414"/>
      <c r="DOK67" s="414"/>
      <c r="DOL67" s="414"/>
      <c r="DOM67" s="414"/>
      <c r="DON67" s="414"/>
      <c r="DOO67" s="414"/>
      <c r="DOP67" s="414"/>
      <c r="DOQ67" s="414"/>
      <c r="DOR67" s="414"/>
      <c r="DOS67" s="414"/>
      <c r="DOT67" s="414"/>
      <c r="DOU67" s="414"/>
      <c r="DOV67" s="414"/>
      <c r="DOW67" s="414"/>
      <c r="DOX67" s="414"/>
      <c r="DOY67" s="414"/>
      <c r="DOZ67" s="414"/>
      <c r="DPA67" s="414"/>
      <c r="DPB67" s="414"/>
      <c r="DPC67" s="414"/>
      <c r="DPD67" s="414"/>
      <c r="DPE67" s="414"/>
      <c r="DPF67" s="414"/>
      <c r="DPG67" s="414"/>
      <c r="DPH67" s="414"/>
      <c r="DPI67" s="414"/>
      <c r="DPJ67" s="414"/>
      <c r="DPK67" s="414"/>
      <c r="DPL67" s="414"/>
      <c r="DPM67" s="414"/>
      <c r="DPN67" s="414"/>
      <c r="DPO67" s="414"/>
      <c r="DPP67" s="414"/>
      <c r="DPQ67" s="414"/>
      <c r="DPR67" s="414"/>
      <c r="DPS67" s="414"/>
      <c r="DPT67" s="414"/>
      <c r="DPU67" s="414"/>
      <c r="DPV67" s="414"/>
      <c r="DPW67" s="414"/>
      <c r="DPX67" s="414"/>
      <c r="DPY67" s="414"/>
      <c r="DPZ67" s="414"/>
      <c r="DQA67" s="414"/>
      <c r="DQB67" s="414"/>
      <c r="DQC67" s="414"/>
      <c r="DQD67" s="414"/>
      <c r="DQE67" s="414"/>
      <c r="DQF67" s="414"/>
      <c r="DQG67" s="414"/>
      <c r="DQH67" s="414"/>
      <c r="DQI67" s="414"/>
      <c r="DQJ67" s="414"/>
      <c r="DQK67" s="414"/>
      <c r="DQL67" s="414"/>
      <c r="DQM67" s="414"/>
      <c r="DQN67" s="414"/>
      <c r="DQO67" s="414"/>
      <c r="DQP67" s="414"/>
      <c r="DQQ67" s="414"/>
      <c r="DQR67" s="414"/>
      <c r="DQS67" s="414"/>
      <c r="DQT67" s="414"/>
      <c r="DQU67" s="414"/>
      <c r="DQV67" s="414"/>
      <c r="DQW67" s="414"/>
      <c r="DQX67" s="414"/>
      <c r="DQY67" s="414"/>
      <c r="DQZ67" s="414"/>
      <c r="DRA67" s="414"/>
      <c r="DRB67" s="414"/>
      <c r="DRC67" s="414"/>
      <c r="DRD67" s="414"/>
      <c r="DRE67" s="414"/>
      <c r="DRF67" s="414"/>
      <c r="DRG67" s="414"/>
      <c r="DRH67" s="414"/>
      <c r="DRI67" s="414"/>
      <c r="DRJ67" s="414"/>
      <c r="DRK67" s="414"/>
      <c r="DRL67" s="414"/>
      <c r="DRM67" s="414"/>
      <c r="DRN67" s="414"/>
      <c r="DRO67" s="414"/>
      <c r="DRP67" s="414"/>
      <c r="DRQ67" s="414"/>
      <c r="DRR67" s="414"/>
      <c r="DRS67" s="414"/>
      <c r="DRT67" s="414"/>
      <c r="DRU67" s="414"/>
      <c r="DRV67" s="414"/>
      <c r="DRW67" s="414"/>
      <c r="DRX67" s="414"/>
      <c r="DRY67" s="414"/>
      <c r="DRZ67" s="414"/>
      <c r="DSA67" s="414"/>
      <c r="DSB67" s="414"/>
      <c r="DSC67" s="414"/>
      <c r="DSD67" s="414"/>
      <c r="DSE67" s="414"/>
      <c r="DSF67" s="414"/>
      <c r="DSG67" s="414"/>
      <c r="DSH67" s="414"/>
      <c r="DSI67" s="414"/>
      <c r="DSJ67" s="414"/>
      <c r="DSK67" s="414"/>
      <c r="DSL67" s="414"/>
      <c r="DSM67" s="414"/>
      <c r="DSN67" s="414"/>
      <c r="DSO67" s="414"/>
      <c r="DSP67" s="414"/>
      <c r="DSQ67" s="414"/>
      <c r="DSR67" s="414"/>
      <c r="DSS67" s="414"/>
      <c r="DST67" s="414"/>
      <c r="DSU67" s="414"/>
      <c r="DSV67" s="414"/>
      <c r="DSW67" s="414"/>
      <c r="DSX67" s="414"/>
      <c r="DSY67" s="414"/>
      <c r="DSZ67" s="414"/>
      <c r="DTA67" s="414"/>
      <c r="DTB67" s="414"/>
      <c r="DTC67" s="414"/>
      <c r="DTD67" s="414"/>
      <c r="DTE67" s="414"/>
      <c r="DTF67" s="414"/>
      <c r="DTG67" s="414"/>
      <c r="DTH67" s="414"/>
      <c r="DTI67" s="414"/>
      <c r="DTJ67" s="414"/>
      <c r="DTK67" s="414"/>
      <c r="DTL67" s="414"/>
      <c r="DTM67" s="414"/>
      <c r="DTN67" s="414"/>
      <c r="DTO67" s="414"/>
      <c r="DTP67" s="414"/>
      <c r="DTQ67" s="414"/>
      <c r="DTR67" s="414"/>
      <c r="DTS67" s="414"/>
      <c r="DTT67" s="414"/>
      <c r="DTU67" s="414"/>
      <c r="DTV67" s="414"/>
      <c r="DTW67" s="414"/>
      <c r="DTX67" s="414"/>
      <c r="DTY67" s="414"/>
      <c r="DTZ67" s="414"/>
      <c r="DUA67" s="414"/>
      <c r="DUB67" s="414"/>
      <c r="DUC67" s="414"/>
      <c r="DUD67" s="414"/>
      <c r="DUE67" s="414"/>
      <c r="DUF67" s="414"/>
      <c r="DUG67" s="414"/>
      <c r="DUH67" s="414"/>
      <c r="DUI67" s="414"/>
      <c r="DUJ67" s="414"/>
      <c r="DUK67" s="414"/>
      <c r="DUL67" s="414"/>
      <c r="DUM67" s="414"/>
      <c r="DUN67" s="414"/>
      <c r="DUO67" s="414"/>
      <c r="DUP67" s="414"/>
      <c r="DUQ67" s="414"/>
      <c r="DUR67" s="414"/>
      <c r="DUS67" s="414"/>
      <c r="DUT67" s="414"/>
      <c r="DUU67" s="414"/>
      <c r="DUV67" s="414"/>
      <c r="DUW67" s="414"/>
      <c r="DUX67" s="414"/>
      <c r="DUY67" s="414"/>
      <c r="DUZ67" s="414"/>
      <c r="DVA67" s="414"/>
      <c r="DVB67" s="414"/>
      <c r="DVC67" s="414"/>
      <c r="DVD67" s="414"/>
      <c r="DVE67" s="414"/>
      <c r="DVF67" s="414"/>
      <c r="DVG67" s="414"/>
      <c r="DVH67" s="414"/>
      <c r="DVI67" s="414"/>
      <c r="DVJ67" s="414"/>
      <c r="DVK67" s="414"/>
      <c r="DVL67" s="414"/>
      <c r="DVM67" s="414"/>
      <c r="DVN67" s="414"/>
      <c r="DVO67" s="414"/>
      <c r="DVP67" s="414"/>
      <c r="DVQ67" s="414"/>
      <c r="DVR67" s="414"/>
      <c r="DVS67" s="414"/>
      <c r="DVT67" s="414"/>
      <c r="DVU67" s="414"/>
      <c r="DVV67" s="414"/>
      <c r="DVW67" s="414"/>
      <c r="DVX67" s="414"/>
      <c r="DVY67" s="414"/>
      <c r="DVZ67" s="414"/>
      <c r="DWA67" s="414"/>
      <c r="DWB67" s="414"/>
      <c r="DWC67" s="414"/>
      <c r="DWD67" s="414"/>
      <c r="DWE67" s="414"/>
      <c r="DWF67" s="414"/>
      <c r="DWG67" s="414"/>
      <c r="DWH67" s="414"/>
      <c r="DWI67" s="414"/>
      <c r="DWJ67" s="414"/>
      <c r="DWK67" s="414"/>
      <c r="DWL67" s="414"/>
      <c r="DWM67" s="414"/>
      <c r="DWN67" s="414"/>
      <c r="DWO67" s="414"/>
      <c r="DWP67" s="414"/>
      <c r="DWQ67" s="414"/>
      <c r="DWR67" s="414"/>
      <c r="DWS67" s="414"/>
      <c r="DWT67" s="414"/>
      <c r="DWU67" s="414"/>
      <c r="DWV67" s="414"/>
      <c r="DWW67" s="414"/>
      <c r="DWX67" s="414"/>
      <c r="DWY67" s="414"/>
      <c r="DWZ67" s="414"/>
      <c r="DXA67" s="414"/>
      <c r="DXB67" s="414"/>
      <c r="DXC67" s="414"/>
      <c r="DXD67" s="414"/>
      <c r="DXE67" s="414"/>
      <c r="DXF67" s="414"/>
      <c r="DXG67" s="414"/>
      <c r="DXH67" s="414"/>
      <c r="DXI67" s="414"/>
      <c r="DXJ67" s="414"/>
      <c r="DXK67" s="414"/>
      <c r="DXL67" s="414"/>
      <c r="DXM67" s="414"/>
      <c r="DXN67" s="414"/>
      <c r="DXO67" s="414"/>
      <c r="DXP67" s="414"/>
      <c r="DXQ67" s="414"/>
      <c r="DXR67" s="414"/>
      <c r="DXS67" s="414"/>
      <c r="DXT67" s="414"/>
      <c r="DXU67" s="414"/>
      <c r="DXV67" s="414"/>
      <c r="DXW67" s="414"/>
      <c r="DXX67" s="414"/>
      <c r="DXY67" s="414"/>
      <c r="DXZ67" s="414"/>
      <c r="DYA67" s="414"/>
      <c r="DYB67" s="414"/>
      <c r="DYC67" s="414"/>
      <c r="DYD67" s="414"/>
      <c r="DYE67" s="414"/>
      <c r="DYF67" s="414"/>
      <c r="DYG67" s="414"/>
      <c r="DYH67" s="414"/>
      <c r="DYI67" s="414"/>
      <c r="DYJ67" s="414"/>
      <c r="DYK67" s="414"/>
      <c r="DYL67" s="414"/>
      <c r="DYM67" s="414"/>
      <c r="DYN67" s="414"/>
      <c r="DYO67" s="414"/>
      <c r="DYP67" s="414"/>
      <c r="DYQ67" s="414"/>
      <c r="DYR67" s="414"/>
      <c r="DYS67" s="414"/>
      <c r="DYT67" s="414"/>
      <c r="DYU67" s="414"/>
      <c r="DYV67" s="414"/>
      <c r="DYW67" s="414"/>
      <c r="DYX67" s="414"/>
      <c r="DYY67" s="414"/>
      <c r="DYZ67" s="414"/>
      <c r="DZA67" s="414"/>
      <c r="DZB67" s="414"/>
      <c r="DZC67" s="414"/>
      <c r="DZD67" s="414"/>
      <c r="DZE67" s="414"/>
      <c r="DZF67" s="414"/>
      <c r="DZG67" s="414"/>
      <c r="DZH67" s="414"/>
      <c r="DZI67" s="414"/>
      <c r="DZJ67" s="414"/>
      <c r="DZK67" s="414"/>
      <c r="DZL67" s="414"/>
      <c r="DZM67" s="414"/>
      <c r="DZN67" s="414"/>
      <c r="DZO67" s="414"/>
      <c r="DZP67" s="414"/>
      <c r="DZQ67" s="414"/>
      <c r="DZR67" s="414"/>
      <c r="DZS67" s="414"/>
      <c r="DZT67" s="414"/>
      <c r="DZU67" s="414"/>
      <c r="DZV67" s="414"/>
      <c r="DZW67" s="414"/>
      <c r="DZX67" s="414"/>
      <c r="DZY67" s="414"/>
      <c r="DZZ67" s="414"/>
      <c r="EAA67" s="414"/>
      <c r="EAB67" s="414"/>
      <c r="EAC67" s="414"/>
      <c r="EAD67" s="414"/>
      <c r="EAE67" s="414"/>
      <c r="EAF67" s="414"/>
      <c r="EAG67" s="414"/>
      <c r="EAH67" s="414"/>
      <c r="EAI67" s="414"/>
      <c r="EAJ67" s="414"/>
      <c r="EAK67" s="414"/>
      <c r="EAL67" s="414"/>
      <c r="EAM67" s="414"/>
      <c r="EAN67" s="414"/>
      <c r="EAO67" s="414"/>
      <c r="EAP67" s="414"/>
      <c r="EAQ67" s="414"/>
      <c r="EAR67" s="414"/>
      <c r="EAS67" s="414"/>
      <c r="EAT67" s="414"/>
      <c r="EAU67" s="414"/>
      <c r="EAV67" s="414"/>
      <c r="EAW67" s="414"/>
      <c r="EAX67" s="414"/>
      <c r="EAY67" s="414"/>
      <c r="EAZ67" s="414"/>
      <c r="EBA67" s="414"/>
      <c r="EBB67" s="414"/>
      <c r="EBC67" s="414"/>
      <c r="EBD67" s="414"/>
      <c r="EBE67" s="414"/>
      <c r="EBF67" s="414"/>
      <c r="EBG67" s="414"/>
      <c r="EBH67" s="414"/>
      <c r="EBI67" s="414"/>
      <c r="EBJ67" s="414"/>
      <c r="EBK67" s="414"/>
      <c r="EBL67" s="414"/>
      <c r="EBM67" s="414"/>
      <c r="EBN67" s="414"/>
      <c r="EBO67" s="414"/>
      <c r="EBP67" s="414"/>
      <c r="EBQ67" s="414"/>
      <c r="EBR67" s="414"/>
      <c r="EBS67" s="414"/>
      <c r="EBT67" s="414"/>
      <c r="EBU67" s="414"/>
      <c r="EBV67" s="414"/>
      <c r="EBW67" s="414"/>
      <c r="EBX67" s="414"/>
      <c r="EBY67" s="414"/>
      <c r="EBZ67" s="414"/>
      <c r="ECA67" s="414"/>
      <c r="ECB67" s="414"/>
      <c r="ECC67" s="414"/>
      <c r="ECD67" s="414"/>
      <c r="ECE67" s="414"/>
      <c r="ECF67" s="414"/>
      <c r="ECG67" s="414"/>
      <c r="ECH67" s="414"/>
      <c r="ECI67" s="414"/>
      <c r="ECJ67" s="414"/>
      <c r="ECK67" s="414"/>
      <c r="ECL67" s="414"/>
      <c r="ECM67" s="414"/>
      <c r="ECN67" s="414"/>
      <c r="ECO67" s="414"/>
      <c r="ECP67" s="414"/>
      <c r="ECQ67" s="414"/>
      <c r="ECR67" s="414"/>
      <c r="ECS67" s="414"/>
      <c r="ECT67" s="414"/>
      <c r="ECU67" s="414"/>
      <c r="ECV67" s="414"/>
      <c r="ECW67" s="414"/>
      <c r="ECX67" s="414"/>
      <c r="ECY67" s="414"/>
      <c r="ECZ67" s="414"/>
      <c r="EDA67" s="414"/>
      <c r="EDB67" s="414"/>
      <c r="EDC67" s="414"/>
      <c r="EDD67" s="414"/>
      <c r="EDE67" s="414"/>
      <c r="EDF67" s="414"/>
      <c r="EDG67" s="414"/>
      <c r="EDH67" s="414"/>
      <c r="EDI67" s="414"/>
      <c r="EDJ67" s="414"/>
      <c r="EDK67" s="414"/>
      <c r="EDL67" s="414"/>
      <c r="EDM67" s="414"/>
      <c r="EDN67" s="414"/>
      <c r="EDO67" s="414"/>
      <c r="EDP67" s="414"/>
      <c r="EDQ67" s="414"/>
      <c r="EDR67" s="414"/>
      <c r="EDS67" s="414"/>
      <c r="EDT67" s="414"/>
      <c r="EDU67" s="414"/>
      <c r="EDV67" s="414"/>
      <c r="EDW67" s="414"/>
      <c r="EDX67" s="414"/>
      <c r="EDY67" s="414"/>
      <c r="EDZ67" s="414"/>
      <c r="EEA67" s="414"/>
      <c r="EEB67" s="414"/>
      <c r="EEC67" s="414"/>
      <c r="EED67" s="414"/>
      <c r="EEE67" s="414"/>
      <c r="EEF67" s="414"/>
      <c r="EEG67" s="414"/>
      <c r="EEH67" s="414"/>
      <c r="EEI67" s="414"/>
      <c r="EEJ67" s="414"/>
      <c r="EEK67" s="414"/>
      <c r="EEL67" s="414"/>
      <c r="EEM67" s="414"/>
      <c r="EEN67" s="414"/>
      <c r="EEO67" s="414"/>
      <c r="EEP67" s="414"/>
      <c r="EEQ67" s="414"/>
      <c r="EER67" s="414"/>
      <c r="EES67" s="414"/>
      <c r="EET67" s="414"/>
      <c r="EEU67" s="414"/>
      <c r="EEV67" s="414"/>
      <c r="EEW67" s="414"/>
      <c r="EEX67" s="414"/>
      <c r="EEY67" s="414"/>
      <c r="EEZ67" s="414"/>
      <c r="EFA67" s="414"/>
      <c r="EFB67" s="414"/>
      <c r="EFC67" s="414"/>
      <c r="EFD67" s="414"/>
      <c r="EFE67" s="414"/>
      <c r="EFF67" s="414"/>
      <c r="EFG67" s="414"/>
      <c r="EFH67" s="414"/>
      <c r="EFI67" s="414"/>
      <c r="EFJ67" s="414"/>
      <c r="EFK67" s="414"/>
      <c r="EFL67" s="414"/>
      <c r="EFM67" s="414"/>
      <c r="EFN67" s="414"/>
      <c r="EFO67" s="414"/>
      <c r="EFP67" s="414"/>
      <c r="EFQ67" s="414"/>
      <c r="EFR67" s="414"/>
      <c r="EFS67" s="414"/>
      <c r="EFT67" s="414"/>
      <c r="EFU67" s="414"/>
      <c r="EFV67" s="414"/>
      <c r="EFW67" s="414"/>
      <c r="EFX67" s="414"/>
      <c r="EFY67" s="414"/>
      <c r="EFZ67" s="414"/>
      <c r="EGA67" s="414"/>
      <c r="EGB67" s="414"/>
      <c r="EGC67" s="414"/>
      <c r="EGD67" s="414"/>
      <c r="EGE67" s="414"/>
      <c r="EGF67" s="414"/>
      <c r="EGG67" s="414"/>
      <c r="EGH67" s="414"/>
      <c r="EGI67" s="414"/>
      <c r="EGJ67" s="414"/>
      <c r="EGK67" s="414"/>
      <c r="EGL67" s="414"/>
      <c r="EGM67" s="414"/>
      <c r="EGN67" s="414"/>
      <c r="EGO67" s="414"/>
      <c r="EGP67" s="414"/>
      <c r="EGQ67" s="414"/>
      <c r="EGR67" s="414"/>
      <c r="EGS67" s="414"/>
      <c r="EGT67" s="414"/>
      <c r="EGU67" s="414"/>
      <c r="EGV67" s="414"/>
      <c r="EGW67" s="414"/>
      <c r="EGX67" s="414"/>
      <c r="EGY67" s="414"/>
      <c r="EGZ67" s="414"/>
      <c r="EHA67" s="414"/>
      <c r="EHB67" s="414"/>
      <c r="EHC67" s="414"/>
      <c r="EHD67" s="414"/>
      <c r="EHE67" s="414"/>
      <c r="EHF67" s="414"/>
      <c r="EHG67" s="414"/>
      <c r="EHH67" s="414"/>
      <c r="EHI67" s="414"/>
      <c r="EHJ67" s="414"/>
      <c r="EHK67" s="414"/>
      <c r="EHL67" s="414"/>
      <c r="EHM67" s="414"/>
      <c r="EHN67" s="414"/>
      <c r="EHO67" s="414"/>
      <c r="EHP67" s="414"/>
      <c r="EHQ67" s="414"/>
      <c r="EHR67" s="414"/>
      <c r="EHS67" s="414"/>
      <c r="EHT67" s="414"/>
      <c r="EHU67" s="414"/>
      <c r="EHV67" s="414"/>
      <c r="EHW67" s="414"/>
      <c r="EHX67" s="414"/>
      <c r="EHY67" s="414"/>
      <c r="EHZ67" s="414"/>
      <c r="EIA67" s="414"/>
      <c r="EIB67" s="414"/>
      <c r="EIC67" s="414"/>
      <c r="EID67" s="414"/>
      <c r="EIE67" s="414"/>
      <c r="EIF67" s="414"/>
      <c r="EIG67" s="414"/>
      <c r="EIH67" s="414"/>
      <c r="EII67" s="414"/>
      <c r="EIJ67" s="414"/>
      <c r="EIK67" s="414"/>
      <c r="EIL67" s="414"/>
      <c r="EIM67" s="414"/>
      <c r="EIN67" s="414"/>
      <c r="EIO67" s="414"/>
      <c r="EIP67" s="414"/>
      <c r="EIQ67" s="414"/>
      <c r="EIR67" s="414"/>
      <c r="EIS67" s="414"/>
      <c r="EIT67" s="414"/>
      <c r="EIU67" s="414"/>
      <c r="EIV67" s="414"/>
      <c r="EIW67" s="414"/>
      <c r="EIX67" s="414"/>
      <c r="EIY67" s="414"/>
      <c r="EIZ67" s="414"/>
      <c r="EJA67" s="414"/>
      <c r="EJB67" s="414"/>
      <c r="EJC67" s="414"/>
      <c r="EJD67" s="414"/>
      <c r="EJE67" s="414"/>
      <c r="EJF67" s="414"/>
      <c r="EJG67" s="414"/>
      <c r="EJH67" s="414"/>
      <c r="EJI67" s="414"/>
      <c r="EJJ67" s="414"/>
      <c r="EJK67" s="414"/>
      <c r="EJL67" s="414"/>
      <c r="EJM67" s="414"/>
      <c r="EJN67" s="414"/>
      <c r="EJO67" s="414"/>
      <c r="EJP67" s="414"/>
      <c r="EJQ67" s="414"/>
      <c r="EJR67" s="414"/>
      <c r="EJS67" s="414"/>
      <c r="EJT67" s="414"/>
      <c r="EJU67" s="414"/>
      <c r="EJV67" s="414"/>
      <c r="EJW67" s="414"/>
      <c r="EJX67" s="414"/>
      <c r="EJY67" s="414"/>
      <c r="EJZ67" s="414"/>
      <c r="EKA67" s="414"/>
      <c r="EKB67" s="414"/>
      <c r="EKC67" s="414"/>
      <c r="EKD67" s="414"/>
      <c r="EKE67" s="414"/>
      <c r="EKF67" s="414"/>
      <c r="EKG67" s="414"/>
      <c r="EKH67" s="414"/>
      <c r="EKI67" s="414"/>
      <c r="EKJ67" s="414"/>
      <c r="EKK67" s="414"/>
      <c r="EKL67" s="414"/>
      <c r="EKM67" s="414"/>
      <c r="EKN67" s="414"/>
      <c r="EKO67" s="414"/>
      <c r="EKP67" s="414"/>
      <c r="EKQ67" s="414"/>
      <c r="EKR67" s="414"/>
      <c r="EKS67" s="414"/>
      <c r="EKT67" s="414"/>
      <c r="EKU67" s="414"/>
      <c r="EKV67" s="414"/>
      <c r="EKW67" s="414"/>
      <c r="EKX67" s="414"/>
      <c r="EKY67" s="414"/>
      <c r="EKZ67" s="414"/>
      <c r="ELA67" s="414"/>
      <c r="ELB67" s="414"/>
      <c r="ELC67" s="414"/>
      <c r="ELD67" s="414"/>
      <c r="ELE67" s="414"/>
      <c r="ELF67" s="414"/>
      <c r="ELG67" s="414"/>
      <c r="ELH67" s="414"/>
      <c r="ELI67" s="414"/>
      <c r="ELJ67" s="414"/>
      <c r="ELK67" s="414"/>
      <c r="ELL67" s="414"/>
      <c r="ELM67" s="414"/>
      <c r="ELN67" s="414"/>
      <c r="ELO67" s="414"/>
      <c r="ELP67" s="414"/>
      <c r="ELQ67" s="414"/>
      <c r="ELR67" s="414"/>
      <c r="ELS67" s="414"/>
      <c r="ELT67" s="414"/>
      <c r="ELU67" s="414"/>
      <c r="ELV67" s="414"/>
      <c r="ELW67" s="414"/>
      <c r="ELX67" s="414"/>
      <c r="ELY67" s="414"/>
      <c r="ELZ67" s="414"/>
      <c r="EMA67" s="414"/>
      <c r="EMB67" s="414"/>
      <c r="EMC67" s="414"/>
      <c r="EMD67" s="414"/>
      <c r="EME67" s="414"/>
      <c r="EMF67" s="414"/>
      <c r="EMG67" s="414"/>
      <c r="EMH67" s="414"/>
      <c r="EMI67" s="414"/>
      <c r="EMJ67" s="414"/>
      <c r="EMK67" s="414"/>
      <c r="EML67" s="414"/>
      <c r="EMM67" s="414"/>
      <c r="EMN67" s="414"/>
      <c r="EMO67" s="414"/>
      <c r="EMP67" s="414"/>
      <c r="EMQ67" s="414"/>
      <c r="EMR67" s="414"/>
      <c r="EMS67" s="414"/>
      <c r="EMT67" s="414"/>
      <c r="EMU67" s="414"/>
      <c r="EMV67" s="414"/>
      <c r="EMW67" s="414"/>
      <c r="EMX67" s="414"/>
      <c r="EMY67" s="414"/>
      <c r="EMZ67" s="414"/>
      <c r="ENA67" s="414"/>
      <c r="ENB67" s="414"/>
      <c r="ENC67" s="414"/>
      <c r="END67" s="414"/>
      <c r="ENE67" s="414"/>
      <c r="ENF67" s="414"/>
      <c r="ENG67" s="414"/>
      <c r="ENH67" s="414"/>
      <c r="ENI67" s="414"/>
      <c r="ENJ67" s="414"/>
      <c r="ENK67" s="414"/>
      <c r="ENL67" s="414"/>
      <c r="ENM67" s="414"/>
      <c r="ENN67" s="414"/>
      <c r="ENO67" s="414"/>
      <c r="ENP67" s="414"/>
      <c r="ENQ67" s="414"/>
      <c r="ENR67" s="414"/>
      <c r="ENS67" s="414"/>
      <c r="ENT67" s="414"/>
      <c r="ENU67" s="414"/>
      <c r="ENV67" s="414"/>
      <c r="ENW67" s="414"/>
      <c r="ENX67" s="414"/>
      <c r="ENY67" s="414"/>
      <c r="ENZ67" s="414"/>
      <c r="EOA67" s="414"/>
      <c r="EOB67" s="414"/>
      <c r="EOC67" s="414"/>
      <c r="EOD67" s="414"/>
      <c r="EOE67" s="414"/>
      <c r="EOF67" s="414"/>
      <c r="EOG67" s="414"/>
      <c r="EOH67" s="414"/>
      <c r="EOI67" s="414"/>
      <c r="EOJ67" s="414"/>
      <c r="EOK67" s="414"/>
      <c r="EOL67" s="414"/>
      <c r="EOM67" s="414"/>
      <c r="EON67" s="414"/>
      <c r="EOO67" s="414"/>
      <c r="EOP67" s="414"/>
      <c r="EOQ67" s="414"/>
      <c r="EOR67" s="414"/>
      <c r="EOS67" s="414"/>
      <c r="EOT67" s="414"/>
      <c r="EOU67" s="414"/>
      <c r="EOV67" s="414"/>
      <c r="EOW67" s="414"/>
      <c r="EOX67" s="414"/>
      <c r="EOY67" s="414"/>
      <c r="EOZ67" s="414"/>
      <c r="EPA67" s="414"/>
      <c r="EPB67" s="414"/>
      <c r="EPC67" s="414"/>
      <c r="EPD67" s="414"/>
      <c r="EPE67" s="414"/>
      <c r="EPF67" s="414"/>
      <c r="EPG67" s="414"/>
      <c r="EPH67" s="414"/>
      <c r="EPI67" s="414"/>
      <c r="EPJ67" s="414"/>
      <c r="EPK67" s="414"/>
      <c r="EPL67" s="414"/>
      <c r="EPM67" s="414"/>
      <c r="EPN67" s="414"/>
      <c r="EPO67" s="414"/>
      <c r="EPP67" s="414"/>
      <c r="EPQ67" s="414"/>
      <c r="EPR67" s="414"/>
      <c r="EPS67" s="414"/>
      <c r="EPT67" s="414"/>
      <c r="EPU67" s="414"/>
      <c r="EPV67" s="414"/>
      <c r="EPW67" s="414"/>
      <c r="EPX67" s="414"/>
      <c r="EPY67" s="414"/>
      <c r="EPZ67" s="414"/>
      <c r="EQA67" s="414"/>
      <c r="EQB67" s="414"/>
      <c r="EQC67" s="414"/>
      <c r="EQD67" s="414"/>
      <c r="EQE67" s="414"/>
      <c r="EQF67" s="414"/>
      <c r="EQG67" s="414"/>
      <c r="EQH67" s="414"/>
      <c r="EQI67" s="414"/>
      <c r="EQJ67" s="414"/>
      <c r="EQK67" s="414"/>
      <c r="EQL67" s="414"/>
      <c r="EQM67" s="414"/>
      <c r="EQN67" s="414"/>
      <c r="EQO67" s="414"/>
      <c r="EQP67" s="414"/>
      <c r="EQQ67" s="414"/>
      <c r="EQR67" s="414"/>
      <c r="EQS67" s="414"/>
      <c r="EQT67" s="414"/>
      <c r="EQU67" s="414"/>
      <c r="EQV67" s="414"/>
      <c r="EQW67" s="414"/>
      <c r="EQX67" s="414"/>
      <c r="EQY67" s="414"/>
      <c r="EQZ67" s="414"/>
      <c r="ERA67" s="414"/>
      <c r="ERB67" s="414"/>
      <c r="ERC67" s="414"/>
      <c r="ERD67" s="414"/>
      <c r="ERE67" s="414"/>
      <c r="ERF67" s="414"/>
      <c r="ERG67" s="414"/>
      <c r="ERH67" s="414"/>
      <c r="ERI67" s="414"/>
      <c r="ERJ67" s="414"/>
      <c r="ERK67" s="414"/>
      <c r="ERL67" s="414"/>
      <c r="ERM67" s="414"/>
      <c r="ERN67" s="414"/>
      <c r="ERO67" s="414"/>
      <c r="ERP67" s="414"/>
      <c r="ERQ67" s="414"/>
      <c r="ERR67" s="414"/>
      <c r="ERS67" s="414"/>
      <c r="ERT67" s="414"/>
      <c r="ERU67" s="414"/>
      <c r="ERV67" s="414"/>
      <c r="ERW67" s="414"/>
      <c r="ERX67" s="414"/>
      <c r="ERY67" s="414"/>
      <c r="ERZ67" s="414"/>
      <c r="ESA67" s="414"/>
      <c r="ESB67" s="414"/>
      <c r="ESC67" s="414"/>
      <c r="ESD67" s="414"/>
      <c r="ESE67" s="414"/>
      <c r="ESF67" s="414"/>
      <c r="ESG67" s="414"/>
      <c r="ESH67" s="414"/>
      <c r="ESI67" s="414"/>
      <c r="ESJ67" s="414"/>
      <c r="ESK67" s="414"/>
      <c r="ESL67" s="414"/>
      <c r="ESM67" s="414"/>
      <c r="ESN67" s="414"/>
      <c r="ESO67" s="414"/>
      <c r="ESP67" s="414"/>
      <c r="ESQ67" s="414"/>
      <c r="ESR67" s="414"/>
      <c r="ESS67" s="414"/>
      <c r="EST67" s="414"/>
      <c r="ESU67" s="414"/>
      <c r="ESV67" s="414"/>
      <c r="ESW67" s="414"/>
      <c r="ESX67" s="414"/>
      <c r="ESY67" s="414"/>
      <c r="ESZ67" s="414"/>
      <c r="ETA67" s="414"/>
      <c r="ETB67" s="414"/>
      <c r="ETC67" s="414"/>
      <c r="ETD67" s="414"/>
      <c r="ETE67" s="414"/>
      <c r="ETF67" s="414"/>
      <c r="ETG67" s="414"/>
      <c r="ETH67" s="414"/>
      <c r="ETI67" s="414"/>
      <c r="ETJ67" s="414"/>
      <c r="ETK67" s="414"/>
      <c r="ETL67" s="414"/>
      <c r="ETM67" s="414"/>
      <c r="ETN67" s="414"/>
      <c r="ETO67" s="414"/>
      <c r="ETP67" s="414"/>
      <c r="ETQ67" s="414"/>
      <c r="ETR67" s="414"/>
      <c r="ETS67" s="414"/>
      <c r="ETT67" s="414"/>
      <c r="ETU67" s="414"/>
      <c r="ETV67" s="414"/>
      <c r="ETW67" s="414"/>
      <c r="ETX67" s="414"/>
      <c r="ETY67" s="414"/>
      <c r="ETZ67" s="414"/>
      <c r="EUA67" s="414"/>
      <c r="EUB67" s="414"/>
      <c r="EUC67" s="414"/>
      <c r="EUD67" s="414"/>
      <c r="EUE67" s="414"/>
      <c r="EUF67" s="414"/>
      <c r="EUG67" s="414"/>
      <c r="EUH67" s="414"/>
      <c r="EUI67" s="414"/>
      <c r="EUJ67" s="414"/>
      <c r="EUK67" s="414"/>
      <c r="EUL67" s="414"/>
      <c r="EUM67" s="414"/>
      <c r="EUN67" s="414"/>
      <c r="EUO67" s="414"/>
      <c r="EUP67" s="414"/>
      <c r="EUQ67" s="414"/>
      <c r="EUR67" s="414"/>
      <c r="EUS67" s="414"/>
      <c r="EUT67" s="414"/>
      <c r="EUU67" s="414"/>
      <c r="EUV67" s="414"/>
      <c r="EUW67" s="414"/>
      <c r="EUX67" s="414"/>
      <c r="EUY67" s="414"/>
      <c r="EUZ67" s="414"/>
      <c r="EVA67" s="414"/>
      <c r="EVB67" s="414"/>
      <c r="EVC67" s="414"/>
      <c r="EVD67" s="414"/>
      <c r="EVE67" s="414"/>
      <c r="EVF67" s="414"/>
      <c r="EVG67" s="414"/>
      <c r="EVH67" s="414"/>
      <c r="EVI67" s="414"/>
      <c r="EVJ67" s="414"/>
      <c r="EVK67" s="414"/>
      <c r="EVL67" s="414"/>
      <c r="EVM67" s="414"/>
      <c r="EVN67" s="414"/>
      <c r="EVO67" s="414"/>
      <c r="EVP67" s="414"/>
      <c r="EVQ67" s="414"/>
      <c r="EVR67" s="414"/>
      <c r="EVS67" s="414"/>
      <c r="EVT67" s="414"/>
      <c r="EVU67" s="414"/>
      <c r="EVV67" s="414"/>
      <c r="EVW67" s="414"/>
      <c r="EVX67" s="414"/>
      <c r="EVY67" s="414"/>
      <c r="EVZ67" s="414"/>
      <c r="EWA67" s="414"/>
      <c r="EWB67" s="414"/>
      <c r="EWC67" s="414"/>
      <c r="EWD67" s="414"/>
      <c r="EWE67" s="414"/>
      <c r="EWF67" s="414"/>
      <c r="EWG67" s="414"/>
      <c r="EWH67" s="414"/>
      <c r="EWI67" s="414"/>
      <c r="EWJ67" s="414"/>
      <c r="EWK67" s="414"/>
      <c r="EWL67" s="414"/>
      <c r="EWM67" s="414"/>
      <c r="EWN67" s="414"/>
      <c r="EWO67" s="414"/>
      <c r="EWP67" s="414"/>
      <c r="EWQ67" s="414"/>
      <c r="EWR67" s="414"/>
      <c r="EWS67" s="414"/>
      <c r="EWT67" s="414"/>
      <c r="EWU67" s="414"/>
      <c r="EWV67" s="414"/>
      <c r="EWW67" s="414"/>
      <c r="EWX67" s="414"/>
      <c r="EWY67" s="414"/>
      <c r="EWZ67" s="414"/>
      <c r="EXA67" s="414"/>
      <c r="EXB67" s="414"/>
      <c r="EXC67" s="414"/>
      <c r="EXD67" s="414"/>
      <c r="EXE67" s="414"/>
      <c r="EXF67" s="414"/>
      <c r="EXG67" s="414"/>
      <c r="EXH67" s="414"/>
      <c r="EXI67" s="414"/>
      <c r="EXJ67" s="414"/>
      <c r="EXK67" s="414"/>
      <c r="EXL67" s="414"/>
      <c r="EXM67" s="414"/>
      <c r="EXN67" s="414"/>
      <c r="EXO67" s="414"/>
      <c r="EXP67" s="414"/>
      <c r="EXQ67" s="414"/>
      <c r="EXR67" s="414"/>
      <c r="EXS67" s="414"/>
      <c r="EXT67" s="414"/>
      <c r="EXU67" s="414"/>
      <c r="EXV67" s="414"/>
      <c r="EXW67" s="414"/>
      <c r="EXX67" s="414"/>
      <c r="EXY67" s="414"/>
      <c r="EXZ67" s="414"/>
      <c r="EYA67" s="414"/>
      <c r="EYB67" s="414"/>
      <c r="EYC67" s="414"/>
      <c r="EYD67" s="414"/>
      <c r="EYE67" s="414"/>
      <c r="EYF67" s="414"/>
      <c r="EYG67" s="414"/>
      <c r="EYH67" s="414"/>
      <c r="EYI67" s="414"/>
      <c r="EYJ67" s="414"/>
      <c r="EYK67" s="414"/>
      <c r="EYL67" s="414"/>
      <c r="EYM67" s="414"/>
      <c r="EYN67" s="414"/>
      <c r="EYO67" s="414"/>
      <c r="EYP67" s="414"/>
      <c r="EYQ67" s="414"/>
      <c r="EYR67" s="414"/>
      <c r="EYS67" s="414"/>
      <c r="EYT67" s="414"/>
      <c r="EYU67" s="414"/>
      <c r="EYV67" s="414"/>
      <c r="EYW67" s="414"/>
      <c r="EYX67" s="414"/>
      <c r="EYY67" s="414"/>
      <c r="EYZ67" s="414"/>
      <c r="EZA67" s="414"/>
      <c r="EZB67" s="414"/>
      <c r="EZC67" s="414"/>
      <c r="EZD67" s="414"/>
      <c r="EZE67" s="414"/>
      <c r="EZF67" s="414"/>
      <c r="EZG67" s="414"/>
      <c r="EZH67" s="414"/>
      <c r="EZI67" s="414"/>
      <c r="EZJ67" s="414"/>
      <c r="EZK67" s="414"/>
      <c r="EZL67" s="414"/>
      <c r="EZM67" s="414"/>
      <c r="EZN67" s="414"/>
      <c r="EZO67" s="414"/>
      <c r="EZP67" s="414"/>
      <c r="EZQ67" s="414"/>
      <c r="EZR67" s="414"/>
      <c r="EZS67" s="414"/>
      <c r="EZT67" s="414"/>
      <c r="EZU67" s="414"/>
      <c r="EZV67" s="414"/>
      <c r="EZW67" s="414"/>
      <c r="EZX67" s="414"/>
      <c r="EZY67" s="414"/>
      <c r="EZZ67" s="414"/>
      <c r="FAA67" s="414"/>
      <c r="FAB67" s="414"/>
      <c r="FAC67" s="414"/>
      <c r="FAD67" s="414"/>
      <c r="FAE67" s="414"/>
      <c r="FAF67" s="414"/>
      <c r="FAG67" s="414"/>
      <c r="FAH67" s="414"/>
      <c r="FAI67" s="414"/>
      <c r="FAJ67" s="414"/>
      <c r="FAK67" s="414"/>
      <c r="FAL67" s="414"/>
      <c r="FAM67" s="414"/>
      <c r="FAN67" s="414"/>
      <c r="FAO67" s="414"/>
      <c r="FAP67" s="414"/>
      <c r="FAQ67" s="414"/>
      <c r="FAR67" s="414"/>
      <c r="FAS67" s="414"/>
      <c r="FAT67" s="414"/>
      <c r="FAU67" s="414"/>
      <c r="FAV67" s="414"/>
      <c r="FAW67" s="414"/>
      <c r="FAX67" s="414"/>
      <c r="FAY67" s="414"/>
      <c r="FAZ67" s="414"/>
      <c r="FBA67" s="414"/>
      <c r="FBB67" s="414"/>
      <c r="FBC67" s="414"/>
      <c r="FBD67" s="414"/>
      <c r="FBE67" s="414"/>
      <c r="FBF67" s="414"/>
      <c r="FBG67" s="414"/>
      <c r="FBH67" s="414"/>
      <c r="FBI67" s="414"/>
      <c r="FBJ67" s="414"/>
      <c r="FBK67" s="414"/>
      <c r="FBL67" s="414"/>
      <c r="FBM67" s="414"/>
      <c r="FBN67" s="414"/>
      <c r="FBO67" s="414"/>
      <c r="FBP67" s="414"/>
      <c r="FBQ67" s="414"/>
      <c r="FBR67" s="414"/>
      <c r="FBS67" s="414"/>
      <c r="FBT67" s="414"/>
      <c r="FBU67" s="414"/>
      <c r="FBV67" s="414"/>
      <c r="FBW67" s="414"/>
      <c r="FBX67" s="414"/>
      <c r="FBY67" s="414"/>
      <c r="FBZ67" s="414"/>
      <c r="FCA67" s="414"/>
      <c r="FCB67" s="414"/>
      <c r="FCC67" s="414"/>
      <c r="FCD67" s="414"/>
      <c r="FCE67" s="414"/>
      <c r="FCF67" s="414"/>
      <c r="FCG67" s="414"/>
      <c r="FCH67" s="414"/>
      <c r="FCI67" s="414"/>
      <c r="FCJ67" s="414"/>
      <c r="FCK67" s="414"/>
      <c r="FCL67" s="414"/>
      <c r="FCM67" s="414"/>
      <c r="FCN67" s="414"/>
      <c r="FCO67" s="414"/>
      <c r="FCP67" s="414"/>
      <c r="FCQ67" s="414"/>
      <c r="FCR67" s="414"/>
      <c r="FCS67" s="414"/>
      <c r="FCT67" s="414"/>
      <c r="FCU67" s="414"/>
      <c r="FCV67" s="414"/>
      <c r="FCW67" s="414"/>
      <c r="FCX67" s="414"/>
      <c r="FCY67" s="414"/>
      <c r="FCZ67" s="414"/>
      <c r="FDA67" s="414"/>
      <c r="FDB67" s="414"/>
      <c r="FDC67" s="414"/>
      <c r="FDD67" s="414"/>
      <c r="FDE67" s="414"/>
      <c r="FDF67" s="414"/>
      <c r="FDG67" s="414"/>
      <c r="FDH67" s="414"/>
      <c r="FDI67" s="414"/>
      <c r="FDJ67" s="414"/>
      <c r="FDK67" s="414"/>
      <c r="FDL67" s="414"/>
      <c r="FDM67" s="414"/>
      <c r="FDN67" s="414"/>
      <c r="FDO67" s="414"/>
      <c r="FDP67" s="414"/>
      <c r="FDQ67" s="414"/>
      <c r="FDR67" s="414"/>
      <c r="FDS67" s="414"/>
      <c r="FDT67" s="414"/>
      <c r="FDU67" s="414"/>
      <c r="FDV67" s="414"/>
      <c r="FDW67" s="414"/>
      <c r="FDX67" s="414"/>
      <c r="FDY67" s="414"/>
      <c r="FDZ67" s="414"/>
      <c r="FEA67" s="414"/>
      <c r="FEB67" s="414"/>
      <c r="FEC67" s="414"/>
      <c r="FED67" s="414"/>
      <c r="FEE67" s="414"/>
      <c r="FEF67" s="414"/>
      <c r="FEG67" s="414"/>
      <c r="FEH67" s="414"/>
      <c r="FEI67" s="414"/>
      <c r="FEJ67" s="414"/>
      <c r="FEK67" s="414"/>
      <c r="FEL67" s="414"/>
      <c r="FEM67" s="414"/>
      <c r="FEN67" s="414"/>
      <c r="FEO67" s="414"/>
      <c r="FEP67" s="414"/>
      <c r="FEQ67" s="414"/>
      <c r="FER67" s="414"/>
      <c r="FES67" s="414"/>
      <c r="FET67" s="414"/>
      <c r="FEU67" s="414"/>
      <c r="FEV67" s="414"/>
      <c r="FEW67" s="414"/>
      <c r="FEX67" s="414"/>
      <c r="FEY67" s="414"/>
      <c r="FEZ67" s="414"/>
      <c r="FFA67" s="414"/>
      <c r="FFB67" s="414"/>
      <c r="FFC67" s="414"/>
      <c r="FFD67" s="414"/>
      <c r="FFE67" s="414"/>
      <c r="FFF67" s="414"/>
      <c r="FFG67" s="414"/>
      <c r="FFH67" s="414"/>
      <c r="FFI67" s="414"/>
      <c r="FFJ67" s="414"/>
      <c r="FFK67" s="414"/>
      <c r="FFL67" s="414"/>
      <c r="FFM67" s="414"/>
      <c r="FFN67" s="414"/>
      <c r="FFO67" s="414"/>
      <c r="FFP67" s="414"/>
      <c r="FFQ67" s="414"/>
      <c r="FFR67" s="414"/>
      <c r="FFS67" s="414"/>
      <c r="FFT67" s="414"/>
      <c r="FFU67" s="414"/>
      <c r="FFV67" s="414"/>
      <c r="FFW67" s="414"/>
      <c r="FFX67" s="414"/>
      <c r="FFY67" s="414"/>
      <c r="FFZ67" s="414"/>
      <c r="FGA67" s="414"/>
      <c r="FGB67" s="414"/>
      <c r="FGC67" s="414"/>
      <c r="FGD67" s="414"/>
      <c r="FGE67" s="414"/>
      <c r="FGF67" s="414"/>
      <c r="FGG67" s="414"/>
      <c r="FGH67" s="414"/>
      <c r="FGI67" s="414"/>
      <c r="FGJ67" s="414"/>
      <c r="FGK67" s="414"/>
      <c r="FGL67" s="414"/>
      <c r="FGM67" s="414"/>
      <c r="FGN67" s="414"/>
      <c r="FGO67" s="414"/>
      <c r="FGP67" s="414"/>
      <c r="FGQ67" s="414"/>
      <c r="FGR67" s="414"/>
      <c r="FGS67" s="414"/>
      <c r="FGT67" s="414"/>
      <c r="FGU67" s="414"/>
      <c r="FGV67" s="414"/>
      <c r="FGW67" s="414"/>
      <c r="FGX67" s="414"/>
      <c r="FGY67" s="414"/>
      <c r="FGZ67" s="414"/>
      <c r="FHA67" s="414"/>
      <c r="FHB67" s="414"/>
      <c r="FHC67" s="414"/>
      <c r="FHD67" s="414"/>
      <c r="FHE67" s="414"/>
      <c r="FHF67" s="414"/>
      <c r="FHG67" s="414"/>
      <c r="FHH67" s="414"/>
      <c r="FHI67" s="414"/>
      <c r="FHJ67" s="414"/>
      <c r="FHK67" s="414"/>
      <c r="FHL67" s="414"/>
      <c r="FHM67" s="414"/>
      <c r="FHN67" s="414"/>
      <c r="FHO67" s="414"/>
      <c r="FHP67" s="414"/>
      <c r="FHQ67" s="414"/>
      <c r="FHR67" s="414"/>
      <c r="FHS67" s="414"/>
      <c r="FHT67" s="414"/>
      <c r="FHU67" s="414"/>
      <c r="FHV67" s="414"/>
      <c r="FHW67" s="414"/>
      <c r="FHX67" s="414"/>
      <c r="FHY67" s="414"/>
      <c r="FHZ67" s="414"/>
      <c r="FIA67" s="414"/>
      <c r="FIB67" s="414"/>
      <c r="FIC67" s="414"/>
      <c r="FID67" s="414"/>
      <c r="FIE67" s="414"/>
      <c r="FIF67" s="414"/>
      <c r="FIG67" s="414"/>
      <c r="FIH67" s="414"/>
      <c r="FII67" s="414"/>
      <c r="FIJ67" s="414"/>
      <c r="FIK67" s="414"/>
      <c r="FIL67" s="414"/>
      <c r="FIM67" s="414"/>
      <c r="FIN67" s="414"/>
      <c r="FIO67" s="414"/>
      <c r="FIP67" s="414"/>
      <c r="FIQ67" s="414"/>
      <c r="FIR67" s="414"/>
      <c r="FIS67" s="414"/>
      <c r="FIT67" s="414"/>
      <c r="FIU67" s="414"/>
      <c r="FIV67" s="414"/>
      <c r="FIW67" s="414"/>
      <c r="FIX67" s="414"/>
      <c r="FIY67" s="414"/>
      <c r="FIZ67" s="414"/>
      <c r="FJA67" s="414"/>
      <c r="FJB67" s="414"/>
      <c r="FJC67" s="414"/>
      <c r="FJD67" s="414"/>
      <c r="FJE67" s="414"/>
      <c r="FJF67" s="414"/>
      <c r="FJG67" s="414"/>
      <c r="FJH67" s="414"/>
      <c r="FJI67" s="414"/>
      <c r="FJJ67" s="414"/>
      <c r="FJK67" s="414"/>
      <c r="FJL67" s="414"/>
      <c r="FJM67" s="414"/>
      <c r="FJN67" s="414"/>
      <c r="FJO67" s="414"/>
      <c r="FJP67" s="414"/>
      <c r="FJQ67" s="414"/>
      <c r="FJR67" s="414"/>
      <c r="FJS67" s="414"/>
      <c r="FJT67" s="414"/>
      <c r="FJU67" s="414"/>
      <c r="FJV67" s="414"/>
      <c r="FJW67" s="414"/>
      <c r="FJX67" s="414"/>
      <c r="FJY67" s="414"/>
      <c r="FJZ67" s="414"/>
      <c r="FKA67" s="414"/>
      <c r="FKB67" s="414"/>
      <c r="FKC67" s="414"/>
      <c r="FKD67" s="414"/>
      <c r="FKE67" s="414"/>
      <c r="FKF67" s="414"/>
      <c r="FKG67" s="414"/>
      <c r="FKH67" s="414"/>
      <c r="FKI67" s="414"/>
      <c r="FKJ67" s="414"/>
      <c r="FKK67" s="414"/>
      <c r="FKL67" s="414"/>
      <c r="FKM67" s="414"/>
      <c r="FKN67" s="414"/>
      <c r="FKO67" s="414"/>
      <c r="FKP67" s="414"/>
      <c r="FKQ67" s="414"/>
      <c r="FKR67" s="414"/>
      <c r="FKS67" s="414"/>
      <c r="FKT67" s="414"/>
      <c r="FKU67" s="414"/>
      <c r="FKV67" s="414"/>
      <c r="FKW67" s="414"/>
      <c r="FKX67" s="414"/>
      <c r="FKY67" s="414"/>
      <c r="FKZ67" s="414"/>
      <c r="FLA67" s="414"/>
      <c r="FLB67" s="414"/>
      <c r="FLC67" s="414"/>
      <c r="FLD67" s="414"/>
      <c r="FLE67" s="414"/>
      <c r="FLF67" s="414"/>
      <c r="FLG67" s="414"/>
      <c r="FLH67" s="414"/>
      <c r="FLI67" s="414"/>
      <c r="FLJ67" s="414"/>
      <c r="FLK67" s="414"/>
      <c r="FLL67" s="414"/>
      <c r="FLM67" s="414"/>
      <c r="FLN67" s="414"/>
      <c r="FLO67" s="414"/>
      <c r="FLP67" s="414"/>
      <c r="FLQ67" s="414"/>
      <c r="FLR67" s="414"/>
      <c r="FLS67" s="414"/>
      <c r="FLT67" s="414"/>
      <c r="FLU67" s="414"/>
      <c r="FLV67" s="414"/>
      <c r="FLW67" s="414"/>
      <c r="FLX67" s="414"/>
      <c r="FLY67" s="414"/>
      <c r="FLZ67" s="414"/>
      <c r="FMA67" s="414"/>
      <c r="FMB67" s="414"/>
      <c r="FMC67" s="414"/>
      <c r="FMD67" s="414"/>
      <c r="FME67" s="414"/>
      <c r="FMF67" s="414"/>
      <c r="FMG67" s="414"/>
      <c r="FMH67" s="414"/>
      <c r="FMI67" s="414"/>
      <c r="FMJ67" s="414"/>
      <c r="FMK67" s="414"/>
      <c r="FML67" s="414"/>
      <c r="FMM67" s="414"/>
      <c r="FMN67" s="414"/>
      <c r="FMO67" s="414"/>
      <c r="FMP67" s="414"/>
      <c r="FMQ67" s="414"/>
      <c r="FMR67" s="414"/>
      <c r="FMS67" s="414"/>
      <c r="FMT67" s="414"/>
      <c r="FMU67" s="414"/>
      <c r="FMV67" s="414"/>
      <c r="FMW67" s="414"/>
      <c r="FMX67" s="414"/>
      <c r="FMY67" s="414"/>
      <c r="FMZ67" s="414"/>
      <c r="FNA67" s="414"/>
      <c r="FNB67" s="414"/>
      <c r="FNC67" s="414"/>
      <c r="FND67" s="414"/>
      <c r="FNE67" s="414"/>
      <c r="FNF67" s="414"/>
      <c r="FNG67" s="414"/>
      <c r="FNH67" s="414"/>
      <c r="FNI67" s="414"/>
      <c r="FNJ67" s="414"/>
      <c r="FNK67" s="414"/>
      <c r="FNL67" s="414"/>
      <c r="FNM67" s="414"/>
      <c r="FNN67" s="414"/>
      <c r="FNO67" s="414"/>
      <c r="FNP67" s="414"/>
      <c r="FNQ67" s="414"/>
      <c r="FNR67" s="414"/>
      <c r="FNS67" s="414"/>
      <c r="FNT67" s="414"/>
      <c r="FNU67" s="414"/>
      <c r="FNV67" s="414"/>
      <c r="FNW67" s="414"/>
      <c r="FNX67" s="414"/>
      <c r="FNY67" s="414"/>
      <c r="FNZ67" s="414"/>
      <c r="FOA67" s="414"/>
      <c r="FOB67" s="414"/>
      <c r="FOC67" s="414"/>
      <c r="FOD67" s="414"/>
      <c r="FOE67" s="414"/>
      <c r="FOF67" s="414"/>
      <c r="FOG67" s="414"/>
      <c r="FOH67" s="414"/>
      <c r="FOI67" s="414"/>
      <c r="FOJ67" s="414"/>
      <c r="FOK67" s="414"/>
      <c r="FOL67" s="414"/>
      <c r="FOM67" s="414"/>
      <c r="FON67" s="414"/>
      <c r="FOO67" s="414"/>
      <c r="FOP67" s="414"/>
      <c r="FOQ67" s="414"/>
      <c r="FOR67" s="414"/>
      <c r="FOS67" s="414"/>
      <c r="FOT67" s="414"/>
      <c r="FOU67" s="414"/>
      <c r="FOV67" s="414"/>
      <c r="FOW67" s="414"/>
      <c r="FOX67" s="414"/>
      <c r="FOY67" s="414"/>
      <c r="FOZ67" s="414"/>
      <c r="FPA67" s="414"/>
      <c r="FPB67" s="414"/>
      <c r="FPC67" s="414"/>
      <c r="FPD67" s="414"/>
      <c r="FPE67" s="414"/>
      <c r="FPF67" s="414"/>
      <c r="FPG67" s="414"/>
      <c r="FPH67" s="414"/>
      <c r="FPI67" s="414"/>
      <c r="FPJ67" s="414"/>
      <c r="FPK67" s="414"/>
      <c r="FPL67" s="414"/>
      <c r="FPM67" s="414"/>
      <c r="FPN67" s="414"/>
      <c r="FPO67" s="414"/>
      <c r="FPP67" s="414"/>
      <c r="FPQ67" s="414"/>
      <c r="FPR67" s="414"/>
      <c r="FPS67" s="414"/>
      <c r="FPT67" s="414"/>
      <c r="FPU67" s="414"/>
      <c r="FPV67" s="414"/>
      <c r="FPW67" s="414"/>
      <c r="FPX67" s="414"/>
      <c r="FPY67" s="414"/>
      <c r="FPZ67" s="414"/>
      <c r="FQA67" s="414"/>
      <c r="FQB67" s="414"/>
      <c r="FQC67" s="414"/>
      <c r="FQD67" s="414"/>
      <c r="FQE67" s="414"/>
      <c r="FQF67" s="414"/>
      <c r="FQG67" s="414"/>
      <c r="FQH67" s="414"/>
      <c r="FQI67" s="414"/>
      <c r="FQJ67" s="414"/>
      <c r="FQK67" s="414"/>
      <c r="FQL67" s="414"/>
      <c r="FQM67" s="414"/>
      <c r="FQN67" s="414"/>
      <c r="FQO67" s="414"/>
      <c r="FQP67" s="414"/>
      <c r="FQQ67" s="414"/>
      <c r="FQR67" s="414"/>
      <c r="FQS67" s="414"/>
      <c r="FQT67" s="414"/>
      <c r="FQU67" s="414"/>
      <c r="FQV67" s="414"/>
      <c r="FQW67" s="414"/>
      <c r="FQX67" s="414"/>
      <c r="FQY67" s="414"/>
      <c r="FQZ67" s="414"/>
      <c r="FRA67" s="414"/>
      <c r="FRB67" s="414"/>
      <c r="FRC67" s="414"/>
      <c r="FRD67" s="414"/>
      <c r="FRE67" s="414"/>
      <c r="FRF67" s="414"/>
      <c r="FRG67" s="414"/>
      <c r="FRH67" s="414"/>
      <c r="FRI67" s="414"/>
      <c r="FRJ67" s="414"/>
      <c r="FRK67" s="414"/>
      <c r="FRL67" s="414"/>
      <c r="FRM67" s="414"/>
      <c r="FRN67" s="414"/>
      <c r="FRO67" s="414"/>
      <c r="FRP67" s="414"/>
      <c r="FRQ67" s="414"/>
      <c r="FRR67" s="414"/>
      <c r="FRS67" s="414"/>
      <c r="FRT67" s="414"/>
      <c r="FRU67" s="414"/>
      <c r="FRV67" s="414"/>
      <c r="FRW67" s="414"/>
      <c r="FRX67" s="414"/>
      <c r="FRY67" s="414"/>
      <c r="FRZ67" s="414"/>
      <c r="FSA67" s="414"/>
      <c r="FSB67" s="414"/>
      <c r="FSC67" s="414"/>
      <c r="FSD67" s="414"/>
      <c r="FSE67" s="414"/>
      <c r="FSF67" s="414"/>
      <c r="FSG67" s="414"/>
      <c r="FSH67" s="414"/>
      <c r="FSI67" s="414"/>
      <c r="FSJ67" s="414"/>
      <c r="FSK67" s="414"/>
      <c r="FSL67" s="414"/>
      <c r="FSM67" s="414"/>
      <c r="FSN67" s="414"/>
      <c r="FSO67" s="414"/>
      <c r="FSP67" s="414"/>
      <c r="FSQ67" s="414"/>
      <c r="FSR67" s="414"/>
      <c r="FSS67" s="414"/>
      <c r="FST67" s="414"/>
      <c r="FSU67" s="414"/>
      <c r="FSV67" s="414"/>
      <c r="FSW67" s="414"/>
      <c r="FSX67" s="414"/>
      <c r="FSY67" s="414"/>
      <c r="FSZ67" s="414"/>
      <c r="FTA67" s="414"/>
      <c r="FTB67" s="414"/>
      <c r="FTC67" s="414"/>
      <c r="FTD67" s="414"/>
      <c r="FTE67" s="414"/>
      <c r="FTF67" s="414"/>
      <c r="FTG67" s="414"/>
      <c r="FTH67" s="414"/>
      <c r="FTI67" s="414"/>
      <c r="FTJ67" s="414"/>
      <c r="FTK67" s="414"/>
      <c r="FTL67" s="414"/>
      <c r="FTM67" s="414"/>
      <c r="FTN67" s="414"/>
      <c r="FTO67" s="414"/>
      <c r="FTP67" s="414"/>
      <c r="FTQ67" s="414"/>
      <c r="FTR67" s="414"/>
      <c r="FTS67" s="414"/>
      <c r="FTT67" s="414"/>
      <c r="FTU67" s="414"/>
      <c r="FTV67" s="414"/>
      <c r="FTW67" s="414"/>
      <c r="FTX67" s="414"/>
      <c r="FTY67" s="414"/>
      <c r="FTZ67" s="414"/>
      <c r="FUA67" s="414"/>
      <c r="FUB67" s="414"/>
      <c r="FUC67" s="414"/>
      <c r="FUD67" s="414"/>
      <c r="FUE67" s="414"/>
      <c r="FUF67" s="414"/>
      <c r="FUG67" s="414"/>
      <c r="FUH67" s="414"/>
      <c r="FUI67" s="414"/>
      <c r="FUJ67" s="414"/>
      <c r="FUK67" s="414"/>
      <c r="FUL67" s="414"/>
      <c r="FUM67" s="414"/>
      <c r="FUN67" s="414"/>
      <c r="FUO67" s="414"/>
      <c r="FUP67" s="414"/>
      <c r="FUQ67" s="414"/>
      <c r="FUR67" s="414"/>
      <c r="FUS67" s="414"/>
      <c r="FUT67" s="414"/>
      <c r="FUU67" s="414"/>
      <c r="FUV67" s="414"/>
      <c r="FUW67" s="414"/>
      <c r="FUX67" s="414"/>
      <c r="FUY67" s="414"/>
      <c r="FUZ67" s="414"/>
      <c r="FVA67" s="414"/>
      <c r="FVB67" s="414"/>
      <c r="FVC67" s="414"/>
      <c r="FVD67" s="414"/>
      <c r="FVE67" s="414"/>
      <c r="FVF67" s="414"/>
      <c r="FVG67" s="414"/>
      <c r="FVH67" s="414"/>
      <c r="FVI67" s="414"/>
      <c r="FVJ67" s="414"/>
      <c r="FVK67" s="414"/>
      <c r="FVL67" s="414"/>
      <c r="FVM67" s="414"/>
      <c r="FVN67" s="414"/>
      <c r="FVO67" s="414"/>
      <c r="FVP67" s="414"/>
      <c r="FVQ67" s="414"/>
      <c r="FVR67" s="414"/>
      <c r="FVS67" s="414"/>
      <c r="FVT67" s="414"/>
      <c r="FVU67" s="414"/>
      <c r="FVV67" s="414"/>
      <c r="FVW67" s="414"/>
      <c r="FVX67" s="414"/>
      <c r="FVY67" s="414"/>
      <c r="FVZ67" s="414"/>
      <c r="FWA67" s="414"/>
      <c r="FWB67" s="414"/>
      <c r="FWC67" s="414"/>
      <c r="FWD67" s="414"/>
      <c r="FWE67" s="414"/>
      <c r="FWF67" s="414"/>
      <c r="FWG67" s="414"/>
      <c r="FWH67" s="414"/>
      <c r="FWI67" s="414"/>
      <c r="FWJ67" s="414"/>
      <c r="FWK67" s="414"/>
      <c r="FWL67" s="414"/>
      <c r="FWM67" s="414"/>
      <c r="FWN67" s="414"/>
      <c r="FWO67" s="414"/>
      <c r="FWP67" s="414"/>
      <c r="FWQ67" s="414"/>
      <c r="FWR67" s="414"/>
      <c r="FWS67" s="414"/>
      <c r="FWT67" s="414"/>
      <c r="FWU67" s="414"/>
      <c r="FWV67" s="414"/>
      <c r="FWW67" s="414"/>
      <c r="FWX67" s="414"/>
      <c r="FWY67" s="414"/>
      <c r="FWZ67" s="414"/>
      <c r="FXA67" s="414"/>
      <c r="FXB67" s="414"/>
      <c r="FXC67" s="414"/>
      <c r="FXD67" s="414"/>
      <c r="FXE67" s="414"/>
      <c r="FXF67" s="414"/>
      <c r="FXG67" s="414"/>
      <c r="FXH67" s="414"/>
      <c r="FXI67" s="414"/>
      <c r="FXJ67" s="414"/>
      <c r="FXK67" s="414"/>
      <c r="FXL67" s="414"/>
      <c r="FXM67" s="414"/>
      <c r="FXN67" s="414"/>
      <c r="FXO67" s="414"/>
      <c r="FXP67" s="414"/>
      <c r="FXQ67" s="414"/>
      <c r="FXR67" s="414"/>
      <c r="FXS67" s="414"/>
      <c r="FXT67" s="414"/>
      <c r="FXU67" s="414"/>
      <c r="FXV67" s="414"/>
      <c r="FXW67" s="414"/>
      <c r="FXX67" s="414"/>
      <c r="FXY67" s="414"/>
      <c r="FXZ67" s="414"/>
      <c r="FYA67" s="414"/>
      <c r="FYB67" s="414"/>
      <c r="FYC67" s="414"/>
      <c r="FYD67" s="414"/>
      <c r="FYE67" s="414"/>
      <c r="FYF67" s="414"/>
      <c r="FYG67" s="414"/>
      <c r="FYH67" s="414"/>
      <c r="FYI67" s="414"/>
      <c r="FYJ67" s="414"/>
      <c r="FYK67" s="414"/>
      <c r="FYL67" s="414"/>
      <c r="FYM67" s="414"/>
      <c r="FYN67" s="414"/>
      <c r="FYO67" s="414"/>
      <c r="FYP67" s="414"/>
      <c r="FYQ67" s="414"/>
      <c r="FYR67" s="414"/>
      <c r="FYS67" s="414"/>
      <c r="FYT67" s="414"/>
      <c r="FYU67" s="414"/>
      <c r="FYV67" s="414"/>
      <c r="FYW67" s="414"/>
      <c r="FYX67" s="414"/>
      <c r="FYY67" s="414"/>
      <c r="FYZ67" s="414"/>
      <c r="FZA67" s="414"/>
      <c r="FZB67" s="414"/>
      <c r="FZC67" s="414"/>
      <c r="FZD67" s="414"/>
      <c r="FZE67" s="414"/>
      <c r="FZF67" s="414"/>
      <c r="FZG67" s="414"/>
      <c r="FZH67" s="414"/>
      <c r="FZI67" s="414"/>
      <c r="FZJ67" s="414"/>
      <c r="FZK67" s="414"/>
      <c r="FZL67" s="414"/>
      <c r="FZM67" s="414"/>
      <c r="FZN67" s="414"/>
      <c r="FZO67" s="414"/>
      <c r="FZP67" s="414"/>
      <c r="FZQ67" s="414"/>
      <c r="FZR67" s="414"/>
      <c r="FZS67" s="414"/>
      <c r="FZT67" s="414"/>
      <c r="FZU67" s="414"/>
      <c r="FZV67" s="414"/>
      <c r="FZW67" s="414"/>
      <c r="FZX67" s="414"/>
      <c r="FZY67" s="414"/>
      <c r="FZZ67" s="414"/>
      <c r="GAA67" s="414"/>
      <c r="GAB67" s="414"/>
      <c r="GAC67" s="414"/>
      <c r="GAD67" s="414"/>
      <c r="GAE67" s="414"/>
      <c r="GAF67" s="414"/>
      <c r="GAG67" s="414"/>
      <c r="GAH67" s="414"/>
      <c r="GAI67" s="414"/>
      <c r="GAJ67" s="414"/>
      <c r="GAK67" s="414"/>
      <c r="GAL67" s="414"/>
      <c r="GAM67" s="414"/>
      <c r="GAN67" s="414"/>
      <c r="GAO67" s="414"/>
      <c r="GAP67" s="414"/>
      <c r="GAQ67" s="414"/>
      <c r="GAR67" s="414"/>
      <c r="GAS67" s="414"/>
      <c r="GAT67" s="414"/>
      <c r="GAU67" s="414"/>
      <c r="GAV67" s="414"/>
      <c r="GAW67" s="414"/>
      <c r="GAX67" s="414"/>
      <c r="GAY67" s="414"/>
      <c r="GAZ67" s="414"/>
      <c r="GBA67" s="414"/>
      <c r="GBB67" s="414"/>
      <c r="GBC67" s="414"/>
      <c r="GBD67" s="414"/>
      <c r="GBE67" s="414"/>
      <c r="GBF67" s="414"/>
      <c r="GBG67" s="414"/>
      <c r="GBH67" s="414"/>
      <c r="GBI67" s="414"/>
      <c r="GBJ67" s="414"/>
      <c r="GBK67" s="414"/>
      <c r="GBL67" s="414"/>
      <c r="GBM67" s="414"/>
      <c r="GBN67" s="414"/>
      <c r="GBO67" s="414"/>
      <c r="GBP67" s="414"/>
      <c r="GBQ67" s="414"/>
      <c r="GBR67" s="414"/>
      <c r="GBS67" s="414"/>
      <c r="GBT67" s="414"/>
      <c r="GBU67" s="414"/>
      <c r="GBV67" s="414"/>
      <c r="GBW67" s="414"/>
      <c r="GBX67" s="414"/>
      <c r="GBY67" s="414"/>
      <c r="GBZ67" s="414"/>
      <c r="GCA67" s="414"/>
      <c r="GCB67" s="414"/>
      <c r="GCC67" s="414"/>
      <c r="GCD67" s="414"/>
      <c r="GCE67" s="414"/>
      <c r="GCF67" s="414"/>
      <c r="GCG67" s="414"/>
      <c r="GCH67" s="414"/>
      <c r="GCI67" s="414"/>
      <c r="GCJ67" s="414"/>
      <c r="GCK67" s="414"/>
      <c r="GCL67" s="414"/>
      <c r="GCM67" s="414"/>
      <c r="GCN67" s="414"/>
      <c r="GCO67" s="414"/>
      <c r="GCP67" s="414"/>
      <c r="GCQ67" s="414"/>
      <c r="GCR67" s="414"/>
      <c r="GCS67" s="414"/>
      <c r="GCT67" s="414"/>
      <c r="GCU67" s="414"/>
      <c r="GCV67" s="414"/>
      <c r="GCW67" s="414"/>
      <c r="GCX67" s="414"/>
      <c r="GCY67" s="414"/>
      <c r="GCZ67" s="414"/>
      <c r="GDA67" s="414"/>
      <c r="GDB67" s="414"/>
      <c r="GDC67" s="414"/>
      <c r="GDD67" s="414"/>
      <c r="GDE67" s="414"/>
      <c r="GDF67" s="414"/>
      <c r="GDG67" s="414"/>
      <c r="GDH67" s="414"/>
      <c r="GDI67" s="414"/>
      <c r="GDJ67" s="414"/>
      <c r="GDK67" s="414"/>
      <c r="GDL67" s="414"/>
      <c r="GDM67" s="414"/>
      <c r="GDN67" s="414"/>
      <c r="GDO67" s="414"/>
      <c r="GDP67" s="414"/>
      <c r="GDQ67" s="414"/>
      <c r="GDR67" s="414"/>
      <c r="GDS67" s="414"/>
      <c r="GDT67" s="414"/>
      <c r="GDU67" s="414"/>
      <c r="GDV67" s="414"/>
      <c r="GDW67" s="414"/>
      <c r="GDX67" s="414"/>
      <c r="GDY67" s="414"/>
      <c r="GDZ67" s="414"/>
      <c r="GEA67" s="414"/>
      <c r="GEB67" s="414"/>
      <c r="GEC67" s="414"/>
      <c r="GED67" s="414"/>
      <c r="GEE67" s="414"/>
      <c r="GEF67" s="414"/>
      <c r="GEG67" s="414"/>
      <c r="GEH67" s="414"/>
      <c r="GEI67" s="414"/>
      <c r="GEJ67" s="414"/>
      <c r="GEK67" s="414"/>
      <c r="GEL67" s="414"/>
      <c r="GEM67" s="414"/>
      <c r="GEN67" s="414"/>
      <c r="GEO67" s="414"/>
      <c r="GEP67" s="414"/>
      <c r="GEQ67" s="414"/>
      <c r="GER67" s="414"/>
      <c r="GES67" s="414"/>
      <c r="GET67" s="414"/>
      <c r="GEU67" s="414"/>
      <c r="GEV67" s="414"/>
      <c r="GEW67" s="414"/>
      <c r="GEX67" s="414"/>
      <c r="GEY67" s="414"/>
      <c r="GEZ67" s="414"/>
      <c r="GFA67" s="414"/>
      <c r="GFB67" s="414"/>
      <c r="GFC67" s="414"/>
      <c r="GFD67" s="414"/>
      <c r="GFE67" s="414"/>
      <c r="GFF67" s="414"/>
      <c r="GFG67" s="414"/>
      <c r="GFH67" s="414"/>
      <c r="GFI67" s="414"/>
      <c r="GFJ67" s="414"/>
      <c r="GFK67" s="414"/>
      <c r="GFL67" s="414"/>
      <c r="GFM67" s="414"/>
      <c r="GFN67" s="414"/>
      <c r="GFO67" s="414"/>
      <c r="GFP67" s="414"/>
      <c r="GFQ67" s="414"/>
      <c r="GFR67" s="414"/>
      <c r="GFS67" s="414"/>
      <c r="GFT67" s="414"/>
      <c r="GFU67" s="414"/>
      <c r="GFV67" s="414"/>
      <c r="GFW67" s="414"/>
      <c r="GFX67" s="414"/>
      <c r="GFY67" s="414"/>
      <c r="GFZ67" s="414"/>
      <c r="GGA67" s="414"/>
      <c r="GGB67" s="414"/>
      <c r="GGC67" s="414"/>
      <c r="GGD67" s="414"/>
      <c r="GGE67" s="414"/>
      <c r="GGF67" s="414"/>
      <c r="GGG67" s="414"/>
      <c r="GGH67" s="414"/>
      <c r="GGI67" s="414"/>
      <c r="GGJ67" s="414"/>
      <c r="GGK67" s="414"/>
      <c r="GGL67" s="414"/>
      <c r="GGM67" s="414"/>
      <c r="GGN67" s="414"/>
      <c r="GGO67" s="414"/>
      <c r="GGP67" s="414"/>
      <c r="GGQ67" s="414"/>
      <c r="GGR67" s="414"/>
      <c r="GGS67" s="414"/>
      <c r="GGT67" s="414"/>
      <c r="GGU67" s="414"/>
      <c r="GGV67" s="414"/>
      <c r="GGW67" s="414"/>
      <c r="GGX67" s="414"/>
      <c r="GGY67" s="414"/>
      <c r="GGZ67" s="414"/>
      <c r="GHA67" s="414"/>
      <c r="GHB67" s="414"/>
      <c r="GHC67" s="414"/>
      <c r="GHD67" s="414"/>
      <c r="GHE67" s="414"/>
      <c r="GHF67" s="414"/>
      <c r="GHG67" s="414"/>
      <c r="GHH67" s="414"/>
      <c r="GHI67" s="414"/>
      <c r="GHJ67" s="414"/>
      <c r="GHK67" s="414"/>
      <c r="GHL67" s="414"/>
      <c r="GHM67" s="414"/>
      <c r="GHN67" s="414"/>
      <c r="GHO67" s="414"/>
      <c r="GHP67" s="414"/>
      <c r="GHQ67" s="414"/>
      <c r="GHR67" s="414"/>
      <c r="GHS67" s="414"/>
      <c r="GHT67" s="414"/>
      <c r="GHU67" s="414"/>
      <c r="GHV67" s="414"/>
      <c r="GHW67" s="414"/>
      <c r="GHX67" s="414"/>
      <c r="GHY67" s="414"/>
      <c r="GHZ67" s="414"/>
      <c r="GIA67" s="414"/>
      <c r="GIB67" s="414"/>
      <c r="GIC67" s="414"/>
      <c r="GID67" s="414"/>
      <c r="GIE67" s="414"/>
      <c r="GIF67" s="414"/>
      <c r="GIG67" s="414"/>
      <c r="GIH67" s="414"/>
      <c r="GII67" s="414"/>
      <c r="GIJ67" s="414"/>
      <c r="GIK67" s="414"/>
      <c r="GIL67" s="414"/>
      <c r="GIM67" s="414"/>
      <c r="GIN67" s="414"/>
      <c r="GIO67" s="414"/>
      <c r="GIP67" s="414"/>
      <c r="GIQ67" s="414"/>
      <c r="GIR67" s="414"/>
      <c r="GIS67" s="414"/>
      <c r="GIT67" s="414"/>
      <c r="GIU67" s="414"/>
      <c r="GIV67" s="414"/>
      <c r="GIW67" s="414"/>
      <c r="GIX67" s="414"/>
      <c r="GIY67" s="414"/>
      <c r="GIZ67" s="414"/>
      <c r="GJA67" s="414"/>
      <c r="GJB67" s="414"/>
      <c r="GJC67" s="414"/>
      <c r="GJD67" s="414"/>
      <c r="GJE67" s="414"/>
      <c r="GJF67" s="414"/>
      <c r="GJG67" s="414"/>
      <c r="GJH67" s="414"/>
      <c r="GJI67" s="414"/>
      <c r="GJJ67" s="414"/>
      <c r="GJK67" s="414"/>
      <c r="GJL67" s="414"/>
      <c r="GJM67" s="414"/>
      <c r="GJN67" s="414"/>
      <c r="GJO67" s="414"/>
      <c r="GJP67" s="414"/>
      <c r="GJQ67" s="414"/>
      <c r="GJR67" s="414"/>
      <c r="GJS67" s="414"/>
      <c r="GJT67" s="414"/>
      <c r="GJU67" s="414"/>
      <c r="GJV67" s="414"/>
      <c r="GJW67" s="414"/>
      <c r="GJX67" s="414"/>
      <c r="GJY67" s="414"/>
      <c r="GJZ67" s="414"/>
      <c r="GKA67" s="414"/>
      <c r="GKB67" s="414"/>
      <c r="GKC67" s="414"/>
      <c r="GKD67" s="414"/>
      <c r="GKE67" s="414"/>
      <c r="GKF67" s="414"/>
      <c r="GKG67" s="414"/>
      <c r="GKH67" s="414"/>
      <c r="GKI67" s="414"/>
      <c r="GKJ67" s="414"/>
      <c r="GKK67" s="414"/>
      <c r="GKL67" s="414"/>
      <c r="GKM67" s="414"/>
      <c r="GKN67" s="414"/>
      <c r="GKO67" s="414"/>
      <c r="GKP67" s="414"/>
      <c r="GKQ67" s="414"/>
      <c r="GKR67" s="414"/>
      <c r="GKS67" s="414"/>
      <c r="GKT67" s="414"/>
      <c r="GKU67" s="414"/>
      <c r="GKV67" s="414"/>
      <c r="GKW67" s="414"/>
      <c r="GKX67" s="414"/>
      <c r="GKY67" s="414"/>
      <c r="GKZ67" s="414"/>
      <c r="GLA67" s="414"/>
      <c r="GLB67" s="414"/>
      <c r="GLC67" s="414"/>
      <c r="GLD67" s="414"/>
      <c r="GLE67" s="414"/>
      <c r="GLF67" s="414"/>
      <c r="GLG67" s="414"/>
      <c r="GLH67" s="414"/>
      <c r="GLI67" s="414"/>
      <c r="GLJ67" s="414"/>
      <c r="GLK67" s="414"/>
      <c r="GLL67" s="414"/>
      <c r="GLM67" s="414"/>
      <c r="GLN67" s="414"/>
      <c r="GLO67" s="414"/>
      <c r="GLP67" s="414"/>
      <c r="GLQ67" s="414"/>
      <c r="GLR67" s="414"/>
      <c r="GLS67" s="414"/>
      <c r="GLT67" s="414"/>
      <c r="GLU67" s="414"/>
      <c r="GLV67" s="414"/>
      <c r="GLW67" s="414"/>
      <c r="GLX67" s="414"/>
      <c r="GLY67" s="414"/>
      <c r="GLZ67" s="414"/>
      <c r="GMA67" s="414"/>
      <c r="GMB67" s="414"/>
      <c r="GMC67" s="414"/>
      <c r="GMD67" s="414"/>
      <c r="GME67" s="414"/>
      <c r="GMF67" s="414"/>
      <c r="GMG67" s="414"/>
      <c r="GMH67" s="414"/>
      <c r="GMI67" s="414"/>
      <c r="GMJ67" s="414"/>
      <c r="GMK67" s="414"/>
      <c r="GML67" s="414"/>
      <c r="GMM67" s="414"/>
      <c r="GMN67" s="414"/>
      <c r="GMO67" s="414"/>
      <c r="GMP67" s="414"/>
      <c r="GMQ67" s="414"/>
      <c r="GMR67" s="414"/>
      <c r="GMS67" s="414"/>
      <c r="GMT67" s="414"/>
      <c r="GMU67" s="414"/>
      <c r="GMV67" s="414"/>
      <c r="GMW67" s="414"/>
      <c r="GMX67" s="414"/>
      <c r="GMY67" s="414"/>
      <c r="GMZ67" s="414"/>
      <c r="GNA67" s="414"/>
      <c r="GNB67" s="414"/>
      <c r="GNC67" s="414"/>
      <c r="GND67" s="414"/>
      <c r="GNE67" s="414"/>
      <c r="GNF67" s="414"/>
      <c r="GNG67" s="414"/>
      <c r="GNH67" s="414"/>
      <c r="GNI67" s="414"/>
      <c r="GNJ67" s="414"/>
      <c r="GNK67" s="414"/>
      <c r="GNL67" s="414"/>
      <c r="GNM67" s="414"/>
      <c r="GNN67" s="414"/>
      <c r="GNO67" s="414"/>
      <c r="GNP67" s="414"/>
      <c r="GNQ67" s="414"/>
      <c r="GNR67" s="414"/>
      <c r="GNS67" s="414"/>
      <c r="GNT67" s="414"/>
      <c r="GNU67" s="414"/>
      <c r="GNV67" s="414"/>
      <c r="GNW67" s="414"/>
      <c r="GNX67" s="414"/>
      <c r="GNY67" s="414"/>
      <c r="GNZ67" s="414"/>
      <c r="GOA67" s="414"/>
      <c r="GOB67" s="414"/>
      <c r="GOC67" s="414"/>
      <c r="GOD67" s="414"/>
      <c r="GOE67" s="414"/>
      <c r="GOF67" s="414"/>
      <c r="GOG67" s="414"/>
      <c r="GOH67" s="414"/>
      <c r="GOI67" s="414"/>
      <c r="GOJ67" s="414"/>
      <c r="GOK67" s="414"/>
      <c r="GOL67" s="414"/>
      <c r="GOM67" s="414"/>
      <c r="GON67" s="414"/>
      <c r="GOO67" s="414"/>
      <c r="GOP67" s="414"/>
      <c r="GOQ67" s="414"/>
      <c r="GOR67" s="414"/>
      <c r="GOS67" s="414"/>
      <c r="GOT67" s="414"/>
      <c r="GOU67" s="414"/>
      <c r="GOV67" s="414"/>
      <c r="GOW67" s="414"/>
      <c r="GOX67" s="414"/>
      <c r="GOY67" s="414"/>
      <c r="GOZ67" s="414"/>
      <c r="GPA67" s="414"/>
      <c r="GPB67" s="414"/>
      <c r="GPC67" s="414"/>
      <c r="GPD67" s="414"/>
      <c r="GPE67" s="414"/>
      <c r="GPF67" s="414"/>
      <c r="GPG67" s="414"/>
      <c r="GPH67" s="414"/>
      <c r="GPI67" s="414"/>
      <c r="GPJ67" s="414"/>
      <c r="GPK67" s="414"/>
      <c r="GPL67" s="414"/>
      <c r="GPM67" s="414"/>
      <c r="GPN67" s="414"/>
      <c r="GPO67" s="414"/>
      <c r="GPP67" s="414"/>
      <c r="GPQ67" s="414"/>
      <c r="GPR67" s="414"/>
      <c r="GPS67" s="414"/>
      <c r="GPT67" s="414"/>
      <c r="GPU67" s="414"/>
      <c r="GPV67" s="414"/>
      <c r="GPW67" s="414"/>
      <c r="GPX67" s="414"/>
      <c r="GPY67" s="414"/>
      <c r="GPZ67" s="414"/>
      <c r="GQA67" s="414"/>
      <c r="GQB67" s="414"/>
      <c r="GQC67" s="414"/>
      <c r="GQD67" s="414"/>
      <c r="GQE67" s="414"/>
      <c r="GQF67" s="414"/>
      <c r="GQG67" s="414"/>
      <c r="GQH67" s="414"/>
      <c r="GQI67" s="414"/>
      <c r="GQJ67" s="414"/>
      <c r="GQK67" s="414"/>
      <c r="GQL67" s="414"/>
      <c r="GQM67" s="414"/>
      <c r="GQN67" s="414"/>
      <c r="GQO67" s="414"/>
      <c r="GQP67" s="414"/>
      <c r="GQQ67" s="414"/>
      <c r="GQR67" s="414"/>
      <c r="GQS67" s="414"/>
      <c r="GQT67" s="414"/>
      <c r="GQU67" s="414"/>
      <c r="GQV67" s="414"/>
      <c r="GQW67" s="414"/>
      <c r="GQX67" s="414"/>
      <c r="GQY67" s="414"/>
      <c r="GQZ67" s="414"/>
      <c r="GRA67" s="414"/>
      <c r="GRB67" s="414"/>
      <c r="GRC67" s="414"/>
      <c r="GRD67" s="414"/>
      <c r="GRE67" s="414"/>
      <c r="GRF67" s="414"/>
      <c r="GRG67" s="414"/>
      <c r="GRH67" s="414"/>
      <c r="GRI67" s="414"/>
      <c r="GRJ67" s="414"/>
      <c r="GRK67" s="414"/>
      <c r="GRL67" s="414"/>
      <c r="GRM67" s="414"/>
      <c r="GRN67" s="414"/>
      <c r="GRO67" s="414"/>
      <c r="GRP67" s="414"/>
      <c r="GRQ67" s="414"/>
      <c r="GRR67" s="414"/>
      <c r="GRS67" s="414"/>
      <c r="GRT67" s="414"/>
      <c r="GRU67" s="414"/>
      <c r="GRV67" s="414"/>
      <c r="GRW67" s="414"/>
      <c r="GRX67" s="414"/>
      <c r="GRY67" s="414"/>
      <c r="GRZ67" s="414"/>
      <c r="GSA67" s="414"/>
      <c r="GSB67" s="414"/>
      <c r="GSC67" s="414"/>
      <c r="GSD67" s="414"/>
      <c r="GSE67" s="414"/>
      <c r="GSF67" s="414"/>
      <c r="GSG67" s="414"/>
      <c r="GSH67" s="414"/>
      <c r="GSI67" s="414"/>
      <c r="GSJ67" s="414"/>
      <c r="GSK67" s="414"/>
      <c r="GSL67" s="414"/>
      <c r="GSM67" s="414"/>
      <c r="GSN67" s="414"/>
      <c r="GSO67" s="414"/>
      <c r="GSP67" s="414"/>
      <c r="GSQ67" s="414"/>
      <c r="GSR67" s="414"/>
      <c r="GSS67" s="414"/>
      <c r="GST67" s="414"/>
      <c r="GSU67" s="414"/>
      <c r="GSV67" s="414"/>
      <c r="GSW67" s="414"/>
      <c r="GSX67" s="414"/>
      <c r="GSY67" s="414"/>
      <c r="GSZ67" s="414"/>
      <c r="GTA67" s="414"/>
      <c r="GTB67" s="414"/>
      <c r="GTC67" s="414"/>
      <c r="GTD67" s="414"/>
      <c r="GTE67" s="414"/>
      <c r="GTF67" s="414"/>
      <c r="GTG67" s="414"/>
      <c r="GTH67" s="414"/>
      <c r="GTI67" s="414"/>
      <c r="GTJ67" s="414"/>
      <c r="GTK67" s="414"/>
      <c r="GTL67" s="414"/>
      <c r="GTM67" s="414"/>
      <c r="GTN67" s="414"/>
      <c r="GTO67" s="414"/>
      <c r="GTP67" s="414"/>
      <c r="GTQ67" s="414"/>
      <c r="GTR67" s="414"/>
      <c r="GTS67" s="414"/>
      <c r="GTT67" s="414"/>
      <c r="GTU67" s="414"/>
      <c r="GTV67" s="414"/>
      <c r="GTW67" s="414"/>
      <c r="GTX67" s="414"/>
      <c r="GTY67" s="414"/>
      <c r="GTZ67" s="414"/>
      <c r="GUA67" s="414"/>
      <c r="GUB67" s="414"/>
      <c r="GUC67" s="414"/>
      <c r="GUD67" s="414"/>
      <c r="GUE67" s="414"/>
      <c r="GUF67" s="414"/>
      <c r="GUG67" s="414"/>
      <c r="GUH67" s="414"/>
      <c r="GUI67" s="414"/>
      <c r="GUJ67" s="414"/>
      <c r="GUK67" s="414"/>
      <c r="GUL67" s="414"/>
      <c r="GUM67" s="414"/>
      <c r="GUN67" s="414"/>
      <c r="GUO67" s="414"/>
      <c r="GUP67" s="414"/>
      <c r="GUQ67" s="414"/>
      <c r="GUR67" s="414"/>
      <c r="GUS67" s="414"/>
      <c r="GUT67" s="414"/>
      <c r="GUU67" s="414"/>
      <c r="GUV67" s="414"/>
      <c r="GUW67" s="414"/>
      <c r="GUX67" s="414"/>
      <c r="GUY67" s="414"/>
      <c r="GUZ67" s="414"/>
      <c r="GVA67" s="414"/>
      <c r="GVB67" s="414"/>
      <c r="GVC67" s="414"/>
      <c r="GVD67" s="414"/>
      <c r="GVE67" s="414"/>
      <c r="GVF67" s="414"/>
      <c r="GVG67" s="414"/>
      <c r="GVH67" s="414"/>
      <c r="GVI67" s="414"/>
      <c r="GVJ67" s="414"/>
      <c r="GVK67" s="414"/>
      <c r="GVL67" s="414"/>
      <c r="GVM67" s="414"/>
      <c r="GVN67" s="414"/>
      <c r="GVO67" s="414"/>
      <c r="GVP67" s="414"/>
      <c r="GVQ67" s="414"/>
      <c r="GVR67" s="414"/>
      <c r="GVS67" s="414"/>
      <c r="GVT67" s="414"/>
      <c r="GVU67" s="414"/>
      <c r="GVV67" s="414"/>
      <c r="GVW67" s="414"/>
      <c r="GVX67" s="414"/>
      <c r="GVY67" s="414"/>
      <c r="GVZ67" s="414"/>
      <c r="GWA67" s="414"/>
      <c r="GWB67" s="414"/>
      <c r="GWC67" s="414"/>
      <c r="GWD67" s="414"/>
      <c r="GWE67" s="414"/>
      <c r="GWF67" s="414"/>
      <c r="GWG67" s="414"/>
      <c r="GWH67" s="414"/>
      <c r="GWI67" s="414"/>
      <c r="GWJ67" s="414"/>
      <c r="GWK67" s="414"/>
      <c r="GWL67" s="414"/>
      <c r="GWM67" s="414"/>
      <c r="GWN67" s="414"/>
      <c r="GWO67" s="414"/>
      <c r="GWP67" s="414"/>
      <c r="GWQ67" s="414"/>
      <c r="GWR67" s="414"/>
      <c r="GWS67" s="414"/>
      <c r="GWT67" s="414"/>
      <c r="GWU67" s="414"/>
      <c r="GWV67" s="414"/>
      <c r="GWW67" s="414"/>
      <c r="GWX67" s="414"/>
      <c r="GWY67" s="414"/>
      <c r="GWZ67" s="414"/>
      <c r="GXA67" s="414"/>
      <c r="GXB67" s="414"/>
      <c r="GXC67" s="414"/>
      <c r="GXD67" s="414"/>
      <c r="GXE67" s="414"/>
      <c r="GXF67" s="414"/>
      <c r="GXG67" s="414"/>
      <c r="GXH67" s="414"/>
      <c r="GXI67" s="414"/>
      <c r="GXJ67" s="414"/>
      <c r="GXK67" s="414"/>
      <c r="GXL67" s="414"/>
      <c r="GXM67" s="414"/>
      <c r="GXN67" s="414"/>
      <c r="GXO67" s="414"/>
      <c r="GXP67" s="414"/>
      <c r="GXQ67" s="414"/>
      <c r="GXR67" s="414"/>
      <c r="GXS67" s="414"/>
      <c r="GXT67" s="414"/>
      <c r="GXU67" s="414"/>
      <c r="GXV67" s="414"/>
      <c r="GXW67" s="414"/>
      <c r="GXX67" s="414"/>
      <c r="GXY67" s="414"/>
      <c r="GXZ67" s="414"/>
      <c r="GYA67" s="414"/>
      <c r="GYB67" s="414"/>
      <c r="GYC67" s="414"/>
      <c r="GYD67" s="414"/>
      <c r="GYE67" s="414"/>
      <c r="GYF67" s="414"/>
      <c r="GYG67" s="414"/>
      <c r="GYH67" s="414"/>
      <c r="GYI67" s="414"/>
      <c r="GYJ67" s="414"/>
      <c r="GYK67" s="414"/>
      <c r="GYL67" s="414"/>
      <c r="GYM67" s="414"/>
      <c r="GYN67" s="414"/>
      <c r="GYO67" s="414"/>
      <c r="GYP67" s="414"/>
      <c r="GYQ67" s="414"/>
      <c r="GYR67" s="414"/>
      <c r="GYS67" s="414"/>
      <c r="GYT67" s="414"/>
      <c r="GYU67" s="414"/>
      <c r="GYV67" s="414"/>
      <c r="GYW67" s="414"/>
      <c r="GYX67" s="414"/>
      <c r="GYY67" s="414"/>
      <c r="GYZ67" s="414"/>
      <c r="GZA67" s="414"/>
      <c r="GZB67" s="414"/>
      <c r="GZC67" s="414"/>
      <c r="GZD67" s="414"/>
      <c r="GZE67" s="414"/>
      <c r="GZF67" s="414"/>
      <c r="GZG67" s="414"/>
      <c r="GZH67" s="414"/>
      <c r="GZI67" s="414"/>
      <c r="GZJ67" s="414"/>
      <c r="GZK67" s="414"/>
      <c r="GZL67" s="414"/>
      <c r="GZM67" s="414"/>
      <c r="GZN67" s="414"/>
      <c r="GZO67" s="414"/>
      <c r="GZP67" s="414"/>
      <c r="GZQ67" s="414"/>
      <c r="GZR67" s="414"/>
      <c r="GZS67" s="414"/>
      <c r="GZT67" s="414"/>
      <c r="GZU67" s="414"/>
      <c r="GZV67" s="414"/>
      <c r="GZW67" s="414"/>
      <c r="GZX67" s="414"/>
      <c r="GZY67" s="414"/>
      <c r="GZZ67" s="414"/>
      <c r="HAA67" s="414"/>
      <c r="HAB67" s="414"/>
      <c r="HAC67" s="414"/>
      <c r="HAD67" s="414"/>
      <c r="HAE67" s="414"/>
      <c r="HAF67" s="414"/>
      <c r="HAG67" s="414"/>
      <c r="HAH67" s="414"/>
      <c r="HAI67" s="414"/>
      <c r="HAJ67" s="414"/>
      <c r="HAK67" s="414"/>
      <c r="HAL67" s="414"/>
      <c r="HAM67" s="414"/>
      <c r="HAN67" s="414"/>
      <c r="HAO67" s="414"/>
      <c r="HAP67" s="414"/>
      <c r="HAQ67" s="414"/>
      <c r="HAR67" s="414"/>
      <c r="HAS67" s="414"/>
      <c r="HAT67" s="414"/>
      <c r="HAU67" s="414"/>
      <c r="HAV67" s="414"/>
      <c r="HAW67" s="414"/>
      <c r="HAX67" s="414"/>
      <c r="HAY67" s="414"/>
      <c r="HAZ67" s="414"/>
      <c r="HBA67" s="414"/>
      <c r="HBB67" s="414"/>
      <c r="HBC67" s="414"/>
      <c r="HBD67" s="414"/>
      <c r="HBE67" s="414"/>
      <c r="HBF67" s="414"/>
      <c r="HBG67" s="414"/>
      <c r="HBH67" s="414"/>
      <c r="HBI67" s="414"/>
      <c r="HBJ67" s="414"/>
      <c r="HBK67" s="414"/>
      <c r="HBL67" s="414"/>
      <c r="HBM67" s="414"/>
      <c r="HBN67" s="414"/>
      <c r="HBO67" s="414"/>
      <c r="HBP67" s="414"/>
      <c r="HBQ67" s="414"/>
      <c r="HBR67" s="414"/>
      <c r="HBS67" s="414"/>
      <c r="HBT67" s="414"/>
      <c r="HBU67" s="414"/>
      <c r="HBV67" s="414"/>
      <c r="HBW67" s="414"/>
      <c r="HBX67" s="414"/>
      <c r="HBY67" s="414"/>
      <c r="HBZ67" s="414"/>
      <c r="HCA67" s="414"/>
      <c r="HCB67" s="414"/>
      <c r="HCC67" s="414"/>
      <c r="HCD67" s="414"/>
      <c r="HCE67" s="414"/>
      <c r="HCF67" s="414"/>
      <c r="HCG67" s="414"/>
      <c r="HCH67" s="414"/>
      <c r="HCI67" s="414"/>
      <c r="HCJ67" s="414"/>
      <c r="HCK67" s="414"/>
      <c r="HCL67" s="414"/>
      <c r="HCM67" s="414"/>
      <c r="HCN67" s="414"/>
      <c r="HCO67" s="414"/>
      <c r="HCP67" s="414"/>
      <c r="HCQ67" s="414"/>
      <c r="HCR67" s="414"/>
      <c r="HCS67" s="414"/>
      <c r="HCT67" s="414"/>
      <c r="HCU67" s="414"/>
      <c r="HCV67" s="414"/>
      <c r="HCW67" s="414"/>
      <c r="HCX67" s="414"/>
      <c r="HCY67" s="414"/>
      <c r="HCZ67" s="414"/>
      <c r="HDA67" s="414"/>
      <c r="HDB67" s="414"/>
      <c r="HDC67" s="414"/>
      <c r="HDD67" s="414"/>
      <c r="HDE67" s="414"/>
      <c r="HDF67" s="414"/>
      <c r="HDG67" s="414"/>
      <c r="HDH67" s="414"/>
      <c r="HDI67" s="414"/>
      <c r="HDJ67" s="414"/>
      <c r="HDK67" s="414"/>
      <c r="HDL67" s="414"/>
      <c r="HDM67" s="414"/>
      <c r="HDN67" s="414"/>
      <c r="HDO67" s="414"/>
      <c r="HDP67" s="414"/>
      <c r="HDQ67" s="414"/>
      <c r="HDR67" s="414"/>
      <c r="HDS67" s="414"/>
      <c r="HDT67" s="414"/>
      <c r="HDU67" s="414"/>
      <c r="HDV67" s="414"/>
      <c r="HDW67" s="414"/>
      <c r="HDX67" s="414"/>
      <c r="HDY67" s="414"/>
      <c r="HDZ67" s="414"/>
      <c r="HEA67" s="414"/>
      <c r="HEB67" s="414"/>
      <c r="HEC67" s="414"/>
      <c r="HED67" s="414"/>
      <c r="HEE67" s="414"/>
      <c r="HEF67" s="414"/>
      <c r="HEG67" s="414"/>
      <c r="HEH67" s="414"/>
      <c r="HEI67" s="414"/>
      <c r="HEJ67" s="414"/>
      <c r="HEK67" s="414"/>
      <c r="HEL67" s="414"/>
      <c r="HEM67" s="414"/>
      <c r="HEN67" s="414"/>
      <c r="HEO67" s="414"/>
      <c r="HEP67" s="414"/>
      <c r="HEQ67" s="414"/>
      <c r="HER67" s="414"/>
      <c r="HES67" s="414"/>
      <c r="HET67" s="414"/>
      <c r="HEU67" s="414"/>
      <c r="HEV67" s="414"/>
      <c r="HEW67" s="414"/>
      <c r="HEX67" s="414"/>
      <c r="HEY67" s="414"/>
      <c r="HEZ67" s="414"/>
      <c r="HFA67" s="414"/>
      <c r="HFB67" s="414"/>
      <c r="HFC67" s="414"/>
      <c r="HFD67" s="414"/>
      <c r="HFE67" s="414"/>
      <c r="HFF67" s="414"/>
      <c r="HFG67" s="414"/>
      <c r="HFH67" s="414"/>
      <c r="HFI67" s="414"/>
      <c r="HFJ67" s="414"/>
      <c r="HFK67" s="414"/>
      <c r="HFL67" s="414"/>
      <c r="HFM67" s="414"/>
      <c r="HFN67" s="414"/>
      <c r="HFO67" s="414"/>
      <c r="HFP67" s="414"/>
      <c r="HFQ67" s="414"/>
      <c r="HFR67" s="414"/>
      <c r="HFS67" s="414"/>
      <c r="HFT67" s="414"/>
      <c r="HFU67" s="414"/>
      <c r="HFV67" s="414"/>
      <c r="HFW67" s="414"/>
      <c r="HFX67" s="414"/>
      <c r="HFY67" s="414"/>
      <c r="HFZ67" s="414"/>
      <c r="HGA67" s="414"/>
      <c r="HGB67" s="414"/>
      <c r="HGC67" s="414"/>
      <c r="HGD67" s="414"/>
      <c r="HGE67" s="414"/>
      <c r="HGF67" s="414"/>
      <c r="HGG67" s="414"/>
      <c r="HGH67" s="414"/>
      <c r="HGI67" s="414"/>
      <c r="HGJ67" s="414"/>
      <c r="HGK67" s="414"/>
      <c r="HGL67" s="414"/>
      <c r="HGM67" s="414"/>
      <c r="HGN67" s="414"/>
      <c r="HGO67" s="414"/>
      <c r="HGP67" s="414"/>
      <c r="HGQ67" s="414"/>
      <c r="HGR67" s="414"/>
      <c r="HGS67" s="414"/>
      <c r="HGT67" s="414"/>
      <c r="HGU67" s="414"/>
      <c r="HGV67" s="414"/>
      <c r="HGW67" s="414"/>
      <c r="HGX67" s="414"/>
      <c r="HGY67" s="414"/>
      <c r="HGZ67" s="414"/>
      <c r="HHA67" s="414"/>
      <c r="HHB67" s="414"/>
      <c r="HHC67" s="414"/>
      <c r="HHD67" s="414"/>
      <c r="HHE67" s="414"/>
      <c r="HHF67" s="414"/>
      <c r="HHG67" s="414"/>
      <c r="HHH67" s="414"/>
      <c r="HHI67" s="414"/>
      <c r="HHJ67" s="414"/>
      <c r="HHK67" s="414"/>
      <c r="HHL67" s="414"/>
      <c r="HHM67" s="414"/>
      <c r="HHN67" s="414"/>
      <c r="HHO67" s="414"/>
      <c r="HHP67" s="414"/>
      <c r="HHQ67" s="414"/>
      <c r="HHR67" s="414"/>
      <c r="HHS67" s="414"/>
      <c r="HHT67" s="414"/>
      <c r="HHU67" s="414"/>
      <c r="HHV67" s="414"/>
      <c r="HHW67" s="414"/>
      <c r="HHX67" s="414"/>
      <c r="HHY67" s="414"/>
      <c r="HHZ67" s="414"/>
      <c r="HIA67" s="414"/>
      <c r="HIB67" s="414"/>
      <c r="HIC67" s="414"/>
      <c r="HID67" s="414"/>
      <c r="HIE67" s="414"/>
      <c r="HIF67" s="414"/>
      <c r="HIG67" s="414"/>
      <c r="HIH67" s="414"/>
      <c r="HII67" s="414"/>
      <c r="HIJ67" s="414"/>
      <c r="HIK67" s="414"/>
      <c r="HIL67" s="414"/>
      <c r="HIM67" s="414"/>
      <c r="HIN67" s="414"/>
      <c r="HIO67" s="414"/>
      <c r="HIP67" s="414"/>
      <c r="HIQ67" s="414"/>
      <c r="HIR67" s="414"/>
      <c r="HIS67" s="414"/>
      <c r="HIT67" s="414"/>
      <c r="HIU67" s="414"/>
      <c r="HIV67" s="414"/>
      <c r="HIW67" s="414"/>
      <c r="HIX67" s="414"/>
      <c r="HIY67" s="414"/>
      <c r="HIZ67" s="414"/>
      <c r="HJA67" s="414"/>
      <c r="HJB67" s="414"/>
      <c r="HJC67" s="414"/>
      <c r="HJD67" s="414"/>
      <c r="HJE67" s="414"/>
      <c r="HJF67" s="414"/>
      <c r="HJG67" s="414"/>
      <c r="HJH67" s="414"/>
      <c r="HJI67" s="414"/>
      <c r="HJJ67" s="414"/>
      <c r="HJK67" s="414"/>
      <c r="HJL67" s="414"/>
      <c r="HJM67" s="414"/>
      <c r="HJN67" s="414"/>
      <c r="HJO67" s="414"/>
      <c r="HJP67" s="414"/>
      <c r="HJQ67" s="414"/>
      <c r="HJR67" s="414"/>
      <c r="HJS67" s="414"/>
      <c r="HJT67" s="414"/>
      <c r="HJU67" s="414"/>
      <c r="HJV67" s="414"/>
      <c r="HJW67" s="414"/>
      <c r="HJX67" s="414"/>
      <c r="HJY67" s="414"/>
      <c r="HJZ67" s="414"/>
      <c r="HKA67" s="414"/>
      <c r="HKB67" s="414"/>
      <c r="HKC67" s="414"/>
      <c r="HKD67" s="414"/>
      <c r="HKE67" s="414"/>
      <c r="HKF67" s="414"/>
      <c r="HKG67" s="414"/>
      <c r="HKH67" s="414"/>
      <c r="HKI67" s="414"/>
      <c r="HKJ67" s="414"/>
      <c r="HKK67" s="414"/>
      <c r="HKL67" s="414"/>
      <c r="HKM67" s="414"/>
      <c r="HKN67" s="414"/>
      <c r="HKO67" s="414"/>
      <c r="HKP67" s="414"/>
      <c r="HKQ67" s="414"/>
      <c r="HKR67" s="414"/>
      <c r="HKS67" s="414"/>
      <c r="HKT67" s="414"/>
      <c r="HKU67" s="414"/>
      <c r="HKV67" s="414"/>
      <c r="HKW67" s="414"/>
      <c r="HKX67" s="414"/>
      <c r="HKY67" s="414"/>
      <c r="HKZ67" s="414"/>
      <c r="HLA67" s="414"/>
      <c r="HLB67" s="414"/>
      <c r="HLC67" s="414"/>
      <c r="HLD67" s="414"/>
      <c r="HLE67" s="414"/>
      <c r="HLF67" s="414"/>
      <c r="HLG67" s="414"/>
      <c r="HLH67" s="414"/>
      <c r="HLI67" s="414"/>
      <c r="HLJ67" s="414"/>
      <c r="HLK67" s="414"/>
      <c r="HLL67" s="414"/>
      <c r="HLM67" s="414"/>
      <c r="HLN67" s="414"/>
      <c r="HLO67" s="414"/>
      <c r="HLP67" s="414"/>
      <c r="HLQ67" s="414"/>
      <c r="HLR67" s="414"/>
      <c r="HLS67" s="414"/>
      <c r="HLT67" s="414"/>
      <c r="HLU67" s="414"/>
      <c r="HLV67" s="414"/>
      <c r="HLW67" s="414"/>
      <c r="HLX67" s="414"/>
      <c r="HLY67" s="414"/>
      <c r="HLZ67" s="414"/>
      <c r="HMA67" s="414"/>
      <c r="HMB67" s="414"/>
      <c r="HMC67" s="414"/>
      <c r="HMD67" s="414"/>
      <c r="HME67" s="414"/>
      <c r="HMF67" s="414"/>
      <c r="HMG67" s="414"/>
      <c r="HMH67" s="414"/>
      <c r="HMI67" s="414"/>
      <c r="HMJ67" s="414"/>
      <c r="HMK67" s="414"/>
      <c r="HML67" s="414"/>
      <c r="HMM67" s="414"/>
      <c r="HMN67" s="414"/>
      <c r="HMO67" s="414"/>
      <c r="HMP67" s="414"/>
      <c r="HMQ67" s="414"/>
      <c r="HMR67" s="414"/>
      <c r="HMS67" s="414"/>
      <c r="HMT67" s="414"/>
      <c r="HMU67" s="414"/>
      <c r="HMV67" s="414"/>
      <c r="HMW67" s="414"/>
      <c r="HMX67" s="414"/>
      <c r="HMY67" s="414"/>
      <c r="HMZ67" s="414"/>
      <c r="HNA67" s="414"/>
      <c r="HNB67" s="414"/>
      <c r="HNC67" s="414"/>
      <c r="HND67" s="414"/>
      <c r="HNE67" s="414"/>
      <c r="HNF67" s="414"/>
      <c r="HNG67" s="414"/>
      <c r="HNH67" s="414"/>
      <c r="HNI67" s="414"/>
      <c r="HNJ67" s="414"/>
      <c r="HNK67" s="414"/>
      <c r="HNL67" s="414"/>
      <c r="HNM67" s="414"/>
      <c r="HNN67" s="414"/>
      <c r="HNO67" s="414"/>
      <c r="HNP67" s="414"/>
      <c r="HNQ67" s="414"/>
      <c r="HNR67" s="414"/>
      <c r="HNS67" s="414"/>
      <c r="HNT67" s="414"/>
      <c r="HNU67" s="414"/>
      <c r="HNV67" s="414"/>
      <c r="HNW67" s="414"/>
      <c r="HNX67" s="414"/>
      <c r="HNY67" s="414"/>
      <c r="HNZ67" s="414"/>
      <c r="HOA67" s="414"/>
      <c r="HOB67" s="414"/>
      <c r="HOC67" s="414"/>
      <c r="HOD67" s="414"/>
      <c r="HOE67" s="414"/>
      <c r="HOF67" s="414"/>
      <c r="HOG67" s="414"/>
      <c r="HOH67" s="414"/>
      <c r="HOI67" s="414"/>
      <c r="HOJ67" s="414"/>
      <c r="HOK67" s="414"/>
      <c r="HOL67" s="414"/>
      <c r="HOM67" s="414"/>
      <c r="HON67" s="414"/>
      <c r="HOO67" s="414"/>
      <c r="HOP67" s="414"/>
      <c r="HOQ67" s="414"/>
      <c r="HOR67" s="414"/>
      <c r="HOS67" s="414"/>
      <c r="HOT67" s="414"/>
      <c r="HOU67" s="414"/>
      <c r="HOV67" s="414"/>
      <c r="HOW67" s="414"/>
      <c r="HOX67" s="414"/>
      <c r="HOY67" s="414"/>
      <c r="HOZ67" s="414"/>
      <c r="HPA67" s="414"/>
      <c r="HPB67" s="414"/>
      <c r="HPC67" s="414"/>
      <c r="HPD67" s="414"/>
      <c r="HPE67" s="414"/>
      <c r="HPF67" s="414"/>
      <c r="HPG67" s="414"/>
      <c r="HPH67" s="414"/>
      <c r="HPI67" s="414"/>
      <c r="HPJ67" s="414"/>
      <c r="HPK67" s="414"/>
      <c r="HPL67" s="414"/>
      <c r="HPM67" s="414"/>
      <c r="HPN67" s="414"/>
      <c r="HPO67" s="414"/>
      <c r="HPP67" s="414"/>
      <c r="HPQ67" s="414"/>
      <c r="HPR67" s="414"/>
      <c r="HPS67" s="414"/>
      <c r="HPT67" s="414"/>
      <c r="HPU67" s="414"/>
      <c r="HPV67" s="414"/>
      <c r="HPW67" s="414"/>
      <c r="HPX67" s="414"/>
      <c r="HPY67" s="414"/>
      <c r="HPZ67" s="414"/>
      <c r="HQA67" s="414"/>
      <c r="HQB67" s="414"/>
      <c r="HQC67" s="414"/>
      <c r="HQD67" s="414"/>
      <c r="HQE67" s="414"/>
      <c r="HQF67" s="414"/>
      <c r="HQG67" s="414"/>
      <c r="HQH67" s="414"/>
      <c r="HQI67" s="414"/>
      <c r="HQJ67" s="414"/>
      <c r="HQK67" s="414"/>
      <c r="HQL67" s="414"/>
      <c r="HQM67" s="414"/>
      <c r="HQN67" s="414"/>
      <c r="HQO67" s="414"/>
      <c r="HQP67" s="414"/>
      <c r="HQQ67" s="414"/>
      <c r="HQR67" s="414"/>
      <c r="HQS67" s="414"/>
      <c r="HQT67" s="414"/>
      <c r="HQU67" s="414"/>
      <c r="HQV67" s="414"/>
      <c r="HQW67" s="414"/>
      <c r="HQX67" s="414"/>
      <c r="HQY67" s="414"/>
      <c r="HQZ67" s="414"/>
      <c r="HRA67" s="414"/>
      <c r="HRB67" s="414"/>
      <c r="HRC67" s="414"/>
      <c r="HRD67" s="414"/>
      <c r="HRE67" s="414"/>
      <c r="HRF67" s="414"/>
      <c r="HRG67" s="414"/>
      <c r="HRH67" s="414"/>
      <c r="HRI67" s="414"/>
      <c r="HRJ67" s="414"/>
      <c r="HRK67" s="414"/>
      <c r="HRL67" s="414"/>
      <c r="HRM67" s="414"/>
      <c r="HRN67" s="414"/>
      <c r="HRO67" s="414"/>
      <c r="HRP67" s="414"/>
      <c r="HRQ67" s="414"/>
      <c r="HRR67" s="414"/>
      <c r="HRS67" s="414"/>
      <c r="HRT67" s="414"/>
      <c r="HRU67" s="414"/>
      <c r="HRV67" s="414"/>
      <c r="HRW67" s="414"/>
      <c r="HRX67" s="414"/>
      <c r="HRY67" s="414"/>
      <c r="HRZ67" s="414"/>
      <c r="HSA67" s="414"/>
      <c r="HSB67" s="414"/>
      <c r="HSC67" s="414"/>
      <c r="HSD67" s="414"/>
      <c r="HSE67" s="414"/>
      <c r="HSF67" s="414"/>
      <c r="HSG67" s="414"/>
      <c r="HSH67" s="414"/>
      <c r="HSI67" s="414"/>
      <c r="HSJ67" s="414"/>
      <c r="HSK67" s="414"/>
      <c r="HSL67" s="414"/>
      <c r="HSM67" s="414"/>
      <c r="HSN67" s="414"/>
      <c r="HSO67" s="414"/>
      <c r="HSP67" s="414"/>
      <c r="HSQ67" s="414"/>
      <c r="HSR67" s="414"/>
      <c r="HSS67" s="414"/>
      <c r="HST67" s="414"/>
      <c r="HSU67" s="414"/>
      <c r="HSV67" s="414"/>
      <c r="HSW67" s="414"/>
      <c r="HSX67" s="414"/>
      <c r="HSY67" s="414"/>
      <c r="HSZ67" s="414"/>
      <c r="HTA67" s="414"/>
      <c r="HTB67" s="414"/>
      <c r="HTC67" s="414"/>
      <c r="HTD67" s="414"/>
      <c r="HTE67" s="414"/>
      <c r="HTF67" s="414"/>
      <c r="HTG67" s="414"/>
      <c r="HTH67" s="414"/>
      <c r="HTI67" s="414"/>
      <c r="HTJ67" s="414"/>
      <c r="HTK67" s="414"/>
      <c r="HTL67" s="414"/>
      <c r="HTM67" s="414"/>
      <c r="HTN67" s="414"/>
      <c r="HTO67" s="414"/>
      <c r="HTP67" s="414"/>
      <c r="HTQ67" s="414"/>
      <c r="HTR67" s="414"/>
      <c r="HTS67" s="414"/>
      <c r="HTT67" s="414"/>
      <c r="HTU67" s="414"/>
      <c r="HTV67" s="414"/>
      <c r="HTW67" s="414"/>
      <c r="HTX67" s="414"/>
      <c r="HTY67" s="414"/>
      <c r="HTZ67" s="414"/>
      <c r="HUA67" s="414"/>
      <c r="HUB67" s="414"/>
      <c r="HUC67" s="414"/>
      <c r="HUD67" s="414"/>
      <c r="HUE67" s="414"/>
      <c r="HUF67" s="414"/>
      <c r="HUG67" s="414"/>
      <c r="HUH67" s="414"/>
      <c r="HUI67" s="414"/>
      <c r="HUJ67" s="414"/>
      <c r="HUK67" s="414"/>
      <c r="HUL67" s="414"/>
      <c r="HUM67" s="414"/>
      <c r="HUN67" s="414"/>
      <c r="HUO67" s="414"/>
      <c r="HUP67" s="414"/>
      <c r="HUQ67" s="414"/>
      <c r="HUR67" s="414"/>
      <c r="HUS67" s="414"/>
      <c r="HUT67" s="414"/>
      <c r="HUU67" s="414"/>
      <c r="HUV67" s="414"/>
      <c r="HUW67" s="414"/>
      <c r="HUX67" s="414"/>
      <c r="HUY67" s="414"/>
      <c r="HUZ67" s="414"/>
      <c r="HVA67" s="414"/>
      <c r="HVB67" s="414"/>
      <c r="HVC67" s="414"/>
      <c r="HVD67" s="414"/>
      <c r="HVE67" s="414"/>
      <c r="HVF67" s="414"/>
      <c r="HVG67" s="414"/>
      <c r="HVH67" s="414"/>
      <c r="HVI67" s="414"/>
      <c r="HVJ67" s="414"/>
      <c r="HVK67" s="414"/>
      <c r="HVL67" s="414"/>
      <c r="HVM67" s="414"/>
      <c r="HVN67" s="414"/>
      <c r="HVO67" s="414"/>
      <c r="HVP67" s="414"/>
      <c r="HVQ67" s="414"/>
      <c r="HVR67" s="414"/>
      <c r="HVS67" s="414"/>
      <c r="HVT67" s="414"/>
      <c r="HVU67" s="414"/>
      <c r="HVV67" s="414"/>
      <c r="HVW67" s="414"/>
      <c r="HVX67" s="414"/>
      <c r="HVY67" s="414"/>
      <c r="HVZ67" s="414"/>
      <c r="HWA67" s="414"/>
      <c r="HWB67" s="414"/>
      <c r="HWC67" s="414"/>
      <c r="HWD67" s="414"/>
      <c r="HWE67" s="414"/>
      <c r="HWF67" s="414"/>
      <c r="HWG67" s="414"/>
      <c r="HWH67" s="414"/>
      <c r="HWI67" s="414"/>
      <c r="HWJ67" s="414"/>
      <c r="HWK67" s="414"/>
      <c r="HWL67" s="414"/>
      <c r="HWM67" s="414"/>
      <c r="HWN67" s="414"/>
      <c r="HWO67" s="414"/>
      <c r="HWP67" s="414"/>
      <c r="HWQ67" s="414"/>
      <c r="HWR67" s="414"/>
      <c r="HWS67" s="414"/>
      <c r="HWT67" s="414"/>
      <c r="HWU67" s="414"/>
      <c r="HWV67" s="414"/>
      <c r="HWW67" s="414"/>
      <c r="HWX67" s="414"/>
      <c r="HWY67" s="414"/>
      <c r="HWZ67" s="414"/>
      <c r="HXA67" s="414"/>
      <c r="HXB67" s="414"/>
      <c r="HXC67" s="414"/>
      <c r="HXD67" s="414"/>
      <c r="HXE67" s="414"/>
      <c r="HXF67" s="414"/>
      <c r="HXG67" s="414"/>
      <c r="HXH67" s="414"/>
      <c r="HXI67" s="414"/>
      <c r="HXJ67" s="414"/>
      <c r="HXK67" s="414"/>
      <c r="HXL67" s="414"/>
      <c r="HXM67" s="414"/>
      <c r="HXN67" s="414"/>
      <c r="HXO67" s="414"/>
      <c r="HXP67" s="414"/>
      <c r="HXQ67" s="414"/>
      <c r="HXR67" s="414"/>
      <c r="HXS67" s="414"/>
      <c r="HXT67" s="414"/>
      <c r="HXU67" s="414"/>
      <c r="HXV67" s="414"/>
      <c r="HXW67" s="414"/>
      <c r="HXX67" s="414"/>
      <c r="HXY67" s="414"/>
      <c r="HXZ67" s="414"/>
      <c r="HYA67" s="414"/>
      <c r="HYB67" s="414"/>
      <c r="HYC67" s="414"/>
      <c r="HYD67" s="414"/>
      <c r="HYE67" s="414"/>
      <c r="HYF67" s="414"/>
      <c r="HYG67" s="414"/>
      <c r="HYH67" s="414"/>
      <c r="HYI67" s="414"/>
      <c r="HYJ67" s="414"/>
      <c r="HYK67" s="414"/>
      <c r="HYL67" s="414"/>
      <c r="HYM67" s="414"/>
      <c r="HYN67" s="414"/>
      <c r="HYO67" s="414"/>
      <c r="HYP67" s="414"/>
      <c r="HYQ67" s="414"/>
      <c r="HYR67" s="414"/>
      <c r="HYS67" s="414"/>
      <c r="HYT67" s="414"/>
      <c r="HYU67" s="414"/>
      <c r="HYV67" s="414"/>
      <c r="HYW67" s="414"/>
      <c r="HYX67" s="414"/>
      <c r="HYY67" s="414"/>
      <c r="HYZ67" s="414"/>
      <c r="HZA67" s="414"/>
      <c r="HZB67" s="414"/>
      <c r="HZC67" s="414"/>
      <c r="HZD67" s="414"/>
      <c r="HZE67" s="414"/>
      <c r="HZF67" s="414"/>
      <c r="HZG67" s="414"/>
      <c r="HZH67" s="414"/>
      <c r="HZI67" s="414"/>
      <c r="HZJ67" s="414"/>
      <c r="HZK67" s="414"/>
      <c r="HZL67" s="414"/>
      <c r="HZM67" s="414"/>
      <c r="HZN67" s="414"/>
      <c r="HZO67" s="414"/>
      <c r="HZP67" s="414"/>
      <c r="HZQ67" s="414"/>
      <c r="HZR67" s="414"/>
      <c r="HZS67" s="414"/>
      <c r="HZT67" s="414"/>
      <c r="HZU67" s="414"/>
      <c r="HZV67" s="414"/>
      <c r="HZW67" s="414"/>
      <c r="HZX67" s="414"/>
      <c r="HZY67" s="414"/>
      <c r="HZZ67" s="414"/>
      <c r="IAA67" s="414"/>
      <c r="IAB67" s="414"/>
      <c r="IAC67" s="414"/>
      <c r="IAD67" s="414"/>
      <c r="IAE67" s="414"/>
      <c r="IAF67" s="414"/>
      <c r="IAG67" s="414"/>
      <c r="IAH67" s="414"/>
      <c r="IAI67" s="414"/>
      <c r="IAJ67" s="414"/>
      <c r="IAK67" s="414"/>
      <c r="IAL67" s="414"/>
      <c r="IAM67" s="414"/>
      <c r="IAN67" s="414"/>
      <c r="IAO67" s="414"/>
      <c r="IAP67" s="414"/>
      <c r="IAQ67" s="414"/>
      <c r="IAR67" s="414"/>
      <c r="IAS67" s="414"/>
      <c r="IAT67" s="414"/>
      <c r="IAU67" s="414"/>
      <c r="IAV67" s="414"/>
      <c r="IAW67" s="414"/>
      <c r="IAX67" s="414"/>
      <c r="IAY67" s="414"/>
      <c r="IAZ67" s="414"/>
      <c r="IBA67" s="414"/>
      <c r="IBB67" s="414"/>
      <c r="IBC67" s="414"/>
      <c r="IBD67" s="414"/>
      <c r="IBE67" s="414"/>
      <c r="IBF67" s="414"/>
      <c r="IBG67" s="414"/>
      <c r="IBH67" s="414"/>
      <c r="IBI67" s="414"/>
      <c r="IBJ67" s="414"/>
      <c r="IBK67" s="414"/>
      <c r="IBL67" s="414"/>
      <c r="IBM67" s="414"/>
      <c r="IBN67" s="414"/>
      <c r="IBO67" s="414"/>
      <c r="IBP67" s="414"/>
      <c r="IBQ67" s="414"/>
      <c r="IBR67" s="414"/>
      <c r="IBS67" s="414"/>
      <c r="IBT67" s="414"/>
      <c r="IBU67" s="414"/>
      <c r="IBV67" s="414"/>
      <c r="IBW67" s="414"/>
      <c r="IBX67" s="414"/>
      <c r="IBY67" s="414"/>
      <c r="IBZ67" s="414"/>
      <c r="ICA67" s="414"/>
      <c r="ICB67" s="414"/>
      <c r="ICC67" s="414"/>
      <c r="ICD67" s="414"/>
      <c r="ICE67" s="414"/>
      <c r="ICF67" s="414"/>
      <c r="ICG67" s="414"/>
      <c r="ICH67" s="414"/>
      <c r="ICI67" s="414"/>
      <c r="ICJ67" s="414"/>
      <c r="ICK67" s="414"/>
      <c r="ICL67" s="414"/>
      <c r="ICM67" s="414"/>
      <c r="ICN67" s="414"/>
      <c r="ICO67" s="414"/>
      <c r="ICP67" s="414"/>
      <c r="ICQ67" s="414"/>
      <c r="ICR67" s="414"/>
      <c r="ICS67" s="414"/>
      <c r="ICT67" s="414"/>
      <c r="ICU67" s="414"/>
      <c r="ICV67" s="414"/>
      <c r="ICW67" s="414"/>
      <c r="ICX67" s="414"/>
      <c r="ICY67" s="414"/>
      <c r="ICZ67" s="414"/>
      <c r="IDA67" s="414"/>
      <c r="IDB67" s="414"/>
      <c r="IDC67" s="414"/>
      <c r="IDD67" s="414"/>
      <c r="IDE67" s="414"/>
      <c r="IDF67" s="414"/>
      <c r="IDG67" s="414"/>
      <c r="IDH67" s="414"/>
      <c r="IDI67" s="414"/>
      <c r="IDJ67" s="414"/>
      <c r="IDK67" s="414"/>
      <c r="IDL67" s="414"/>
      <c r="IDM67" s="414"/>
      <c r="IDN67" s="414"/>
      <c r="IDO67" s="414"/>
      <c r="IDP67" s="414"/>
      <c r="IDQ67" s="414"/>
      <c r="IDR67" s="414"/>
      <c r="IDS67" s="414"/>
      <c r="IDT67" s="414"/>
      <c r="IDU67" s="414"/>
      <c r="IDV67" s="414"/>
      <c r="IDW67" s="414"/>
      <c r="IDX67" s="414"/>
      <c r="IDY67" s="414"/>
      <c r="IDZ67" s="414"/>
      <c r="IEA67" s="414"/>
      <c r="IEB67" s="414"/>
      <c r="IEC67" s="414"/>
      <c r="IED67" s="414"/>
      <c r="IEE67" s="414"/>
      <c r="IEF67" s="414"/>
      <c r="IEG67" s="414"/>
      <c r="IEH67" s="414"/>
      <c r="IEI67" s="414"/>
      <c r="IEJ67" s="414"/>
      <c r="IEK67" s="414"/>
      <c r="IEL67" s="414"/>
      <c r="IEM67" s="414"/>
      <c r="IEN67" s="414"/>
      <c r="IEO67" s="414"/>
      <c r="IEP67" s="414"/>
      <c r="IEQ67" s="414"/>
      <c r="IER67" s="414"/>
      <c r="IES67" s="414"/>
      <c r="IET67" s="414"/>
      <c r="IEU67" s="414"/>
      <c r="IEV67" s="414"/>
      <c r="IEW67" s="414"/>
      <c r="IEX67" s="414"/>
      <c r="IEY67" s="414"/>
      <c r="IEZ67" s="414"/>
      <c r="IFA67" s="414"/>
      <c r="IFB67" s="414"/>
      <c r="IFC67" s="414"/>
      <c r="IFD67" s="414"/>
      <c r="IFE67" s="414"/>
      <c r="IFF67" s="414"/>
      <c r="IFG67" s="414"/>
      <c r="IFH67" s="414"/>
      <c r="IFI67" s="414"/>
      <c r="IFJ67" s="414"/>
      <c r="IFK67" s="414"/>
      <c r="IFL67" s="414"/>
      <c r="IFM67" s="414"/>
      <c r="IFN67" s="414"/>
      <c r="IFO67" s="414"/>
      <c r="IFP67" s="414"/>
      <c r="IFQ67" s="414"/>
      <c r="IFR67" s="414"/>
      <c r="IFS67" s="414"/>
      <c r="IFT67" s="414"/>
      <c r="IFU67" s="414"/>
      <c r="IFV67" s="414"/>
      <c r="IFW67" s="414"/>
      <c r="IFX67" s="414"/>
      <c r="IFY67" s="414"/>
      <c r="IFZ67" s="414"/>
      <c r="IGA67" s="414"/>
      <c r="IGB67" s="414"/>
      <c r="IGC67" s="414"/>
      <c r="IGD67" s="414"/>
      <c r="IGE67" s="414"/>
      <c r="IGF67" s="414"/>
      <c r="IGG67" s="414"/>
      <c r="IGH67" s="414"/>
      <c r="IGI67" s="414"/>
      <c r="IGJ67" s="414"/>
      <c r="IGK67" s="414"/>
      <c r="IGL67" s="414"/>
      <c r="IGM67" s="414"/>
      <c r="IGN67" s="414"/>
      <c r="IGO67" s="414"/>
      <c r="IGP67" s="414"/>
      <c r="IGQ67" s="414"/>
      <c r="IGR67" s="414"/>
      <c r="IGS67" s="414"/>
      <c r="IGT67" s="414"/>
      <c r="IGU67" s="414"/>
      <c r="IGV67" s="414"/>
      <c r="IGW67" s="414"/>
      <c r="IGX67" s="414"/>
      <c r="IGY67" s="414"/>
      <c r="IGZ67" s="414"/>
      <c r="IHA67" s="414"/>
      <c r="IHB67" s="414"/>
      <c r="IHC67" s="414"/>
      <c r="IHD67" s="414"/>
      <c r="IHE67" s="414"/>
      <c r="IHF67" s="414"/>
      <c r="IHG67" s="414"/>
      <c r="IHH67" s="414"/>
      <c r="IHI67" s="414"/>
      <c r="IHJ67" s="414"/>
      <c r="IHK67" s="414"/>
      <c r="IHL67" s="414"/>
      <c r="IHM67" s="414"/>
      <c r="IHN67" s="414"/>
      <c r="IHO67" s="414"/>
      <c r="IHP67" s="414"/>
      <c r="IHQ67" s="414"/>
      <c r="IHR67" s="414"/>
      <c r="IHS67" s="414"/>
      <c r="IHT67" s="414"/>
      <c r="IHU67" s="414"/>
      <c r="IHV67" s="414"/>
      <c r="IHW67" s="414"/>
      <c r="IHX67" s="414"/>
      <c r="IHY67" s="414"/>
      <c r="IHZ67" s="414"/>
      <c r="IIA67" s="414"/>
      <c r="IIB67" s="414"/>
      <c r="IIC67" s="414"/>
      <c r="IID67" s="414"/>
      <c r="IIE67" s="414"/>
      <c r="IIF67" s="414"/>
      <c r="IIG67" s="414"/>
      <c r="IIH67" s="414"/>
      <c r="III67" s="414"/>
      <c r="IIJ67" s="414"/>
      <c r="IIK67" s="414"/>
      <c r="IIL67" s="414"/>
      <c r="IIM67" s="414"/>
      <c r="IIN67" s="414"/>
      <c r="IIO67" s="414"/>
      <c r="IIP67" s="414"/>
      <c r="IIQ67" s="414"/>
      <c r="IIR67" s="414"/>
      <c r="IIS67" s="414"/>
      <c r="IIT67" s="414"/>
      <c r="IIU67" s="414"/>
      <c r="IIV67" s="414"/>
      <c r="IIW67" s="414"/>
      <c r="IIX67" s="414"/>
      <c r="IIY67" s="414"/>
      <c r="IIZ67" s="414"/>
      <c r="IJA67" s="414"/>
      <c r="IJB67" s="414"/>
      <c r="IJC67" s="414"/>
      <c r="IJD67" s="414"/>
      <c r="IJE67" s="414"/>
      <c r="IJF67" s="414"/>
      <c r="IJG67" s="414"/>
      <c r="IJH67" s="414"/>
      <c r="IJI67" s="414"/>
      <c r="IJJ67" s="414"/>
      <c r="IJK67" s="414"/>
      <c r="IJL67" s="414"/>
      <c r="IJM67" s="414"/>
      <c r="IJN67" s="414"/>
      <c r="IJO67" s="414"/>
      <c r="IJP67" s="414"/>
      <c r="IJQ67" s="414"/>
      <c r="IJR67" s="414"/>
      <c r="IJS67" s="414"/>
      <c r="IJT67" s="414"/>
      <c r="IJU67" s="414"/>
      <c r="IJV67" s="414"/>
      <c r="IJW67" s="414"/>
      <c r="IJX67" s="414"/>
      <c r="IJY67" s="414"/>
      <c r="IJZ67" s="414"/>
      <c r="IKA67" s="414"/>
      <c r="IKB67" s="414"/>
      <c r="IKC67" s="414"/>
      <c r="IKD67" s="414"/>
      <c r="IKE67" s="414"/>
      <c r="IKF67" s="414"/>
      <c r="IKG67" s="414"/>
      <c r="IKH67" s="414"/>
      <c r="IKI67" s="414"/>
      <c r="IKJ67" s="414"/>
      <c r="IKK67" s="414"/>
      <c r="IKL67" s="414"/>
      <c r="IKM67" s="414"/>
      <c r="IKN67" s="414"/>
      <c r="IKO67" s="414"/>
      <c r="IKP67" s="414"/>
      <c r="IKQ67" s="414"/>
      <c r="IKR67" s="414"/>
      <c r="IKS67" s="414"/>
      <c r="IKT67" s="414"/>
      <c r="IKU67" s="414"/>
      <c r="IKV67" s="414"/>
      <c r="IKW67" s="414"/>
      <c r="IKX67" s="414"/>
      <c r="IKY67" s="414"/>
      <c r="IKZ67" s="414"/>
      <c r="ILA67" s="414"/>
      <c r="ILB67" s="414"/>
      <c r="ILC67" s="414"/>
      <c r="ILD67" s="414"/>
      <c r="ILE67" s="414"/>
      <c r="ILF67" s="414"/>
      <c r="ILG67" s="414"/>
      <c r="ILH67" s="414"/>
      <c r="ILI67" s="414"/>
      <c r="ILJ67" s="414"/>
      <c r="ILK67" s="414"/>
      <c r="ILL67" s="414"/>
      <c r="ILM67" s="414"/>
      <c r="ILN67" s="414"/>
      <c r="ILO67" s="414"/>
      <c r="ILP67" s="414"/>
      <c r="ILQ67" s="414"/>
      <c r="ILR67" s="414"/>
      <c r="ILS67" s="414"/>
      <c r="ILT67" s="414"/>
      <c r="ILU67" s="414"/>
      <c r="ILV67" s="414"/>
      <c r="ILW67" s="414"/>
      <c r="ILX67" s="414"/>
      <c r="ILY67" s="414"/>
      <c r="ILZ67" s="414"/>
      <c r="IMA67" s="414"/>
      <c r="IMB67" s="414"/>
      <c r="IMC67" s="414"/>
      <c r="IMD67" s="414"/>
      <c r="IME67" s="414"/>
      <c r="IMF67" s="414"/>
      <c r="IMG67" s="414"/>
      <c r="IMH67" s="414"/>
      <c r="IMI67" s="414"/>
      <c r="IMJ67" s="414"/>
      <c r="IMK67" s="414"/>
      <c r="IML67" s="414"/>
      <c r="IMM67" s="414"/>
      <c r="IMN67" s="414"/>
      <c r="IMO67" s="414"/>
      <c r="IMP67" s="414"/>
      <c r="IMQ67" s="414"/>
      <c r="IMR67" s="414"/>
      <c r="IMS67" s="414"/>
      <c r="IMT67" s="414"/>
      <c r="IMU67" s="414"/>
      <c r="IMV67" s="414"/>
      <c r="IMW67" s="414"/>
      <c r="IMX67" s="414"/>
      <c r="IMY67" s="414"/>
      <c r="IMZ67" s="414"/>
      <c r="INA67" s="414"/>
      <c r="INB67" s="414"/>
      <c r="INC67" s="414"/>
      <c r="IND67" s="414"/>
      <c r="INE67" s="414"/>
      <c r="INF67" s="414"/>
      <c r="ING67" s="414"/>
      <c r="INH67" s="414"/>
      <c r="INI67" s="414"/>
      <c r="INJ67" s="414"/>
      <c r="INK67" s="414"/>
      <c r="INL67" s="414"/>
      <c r="INM67" s="414"/>
      <c r="INN67" s="414"/>
      <c r="INO67" s="414"/>
      <c r="INP67" s="414"/>
      <c r="INQ67" s="414"/>
      <c r="INR67" s="414"/>
      <c r="INS67" s="414"/>
      <c r="INT67" s="414"/>
      <c r="INU67" s="414"/>
      <c r="INV67" s="414"/>
      <c r="INW67" s="414"/>
      <c r="INX67" s="414"/>
      <c r="INY67" s="414"/>
      <c r="INZ67" s="414"/>
      <c r="IOA67" s="414"/>
      <c r="IOB67" s="414"/>
      <c r="IOC67" s="414"/>
      <c r="IOD67" s="414"/>
      <c r="IOE67" s="414"/>
      <c r="IOF67" s="414"/>
      <c r="IOG67" s="414"/>
      <c r="IOH67" s="414"/>
      <c r="IOI67" s="414"/>
      <c r="IOJ67" s="414"/>
      <c r="IOK67" s="414"/>
      <c r="IOL67" s="414"/>
      <c r="IOM67" s="414"/>
      <c r="ION67" s="414"/>
      <c r="IOO67" s="414"/>
      <c r="IOP67" s="414"/>
      <c r="IOQ67" s="414"/>
      <c r="IOR67" s="414"/>
      <c r="IOS67" s="414"/>
      <c r="IOT67" s="414"/>
      <c r="IOU67" s="414"/>
      <c r="IOV67" s="414"/>
      <c r="IOW67" s="414"/>
      <c r="IOX67" s="414"/>
      <c r="IOY67" s="414"/>
      <c r="IOZ67" s="414"/>
      <c r="IPA67" s="414"/>
      <c r="IPB67" s="414"/>
      <c r="IPC67" s="414"/>
      <c r="IPD67" s="414"/>
      <c r="IPE67" s="414"/>
      <c r="IPF67" s="414"/>
      <c r="IPG67" s="414"/>
      <c r="IPH67" s="414"/>
      <c r="IPI67" s="414"/>
      <c r="IPJ67" s="414"/>
      <c r="IPK67" s="414"/>
      <c r="IPL67" s="414"/>
      <c r="IPM67" s="414"/>
      <c r="IPN67" s="414"/>
      <c r="IPO67" s="414"/>
      <c r="IPP67" s="414"/>
      <c r="IPQ67" s="414"/>
      <c r="IPR67" s="414"/>
      <c r="IPS67" s="414"/>
      <c r="IPT67" s="414"/>
      <c r="IPU67" s="414"/>
      <c r="IPV67" s="414"/>
      <c r="IPW67" s="414"/>
      <c r="IPX67" s="414"/>
      <c r="IPY67" s="414"/>
      <c r="IPZ67" s="414"/>
      <c r="IQA67" s="414"/>
      <c r="IQB67" s="414"/>
      <c r="IQC67" s="414"/>
      <c r="IQD67" s="414"/>
      <c r="IQE67" s="414"/>
      <c r="IQF67" s="414"/>
      <c r="IQG67" s="414"/>
      <c r="IQH67" s="414"/>
      <c r="IQI67" s="414"/>
      <c r="IQJ67" s="414"/>
      <c r="IQK67" s="414"/>
      <c r="IQL67" s="414"/>
      <c r="IQM67" s="414"/>
      <c r="IQN67" s="414"/>
      <c r="IQO67" s="414"/>
      <c r="IQP67" s="414"/>
      <c r="IQQ67" s="414"/>
      <c r="IQR67" s="414"/>
      <c r="IQS67" s="414"/>
      <c r="IQT67" s="414"/>
      <c r="IQU67" s="414"/>
      <c r="IQV67" s="414"/>
      <c r="IQW67" s="414"/>
      <c r="IQX67" s="414"/>
      <c r="IQY67" s="414"/>
      <c r="IQZ67" s="414"/>
      <c r="IRA67" s="414"/>
      <c r="IRB67" s="414"/>
      <c r="IRC67" s="414"/>
      <c r="IRD67" s="414"/>
      <c r="IRE67" s="414"/>
      <c r="IRF67" s="414"/>
      <c r="IRG67" s="414"/>
      <c r="IRH67" s="414"/>
      <c r="IRI67" s="414"/>
      <c r="IRJ67" s="414"/>
      <c r="IRK67" s="414"/>
      <c r="IRL67" s="414"/>
      <c r="IRM67" s="414"/>
      <c r="IRN67" s="414"/>
      <c r="IRO67" s="414"/>
      <c r="IRP67" s="414"/>
      <c r="IRQ67" s="414"/>
      <c r="IRR67" s="414"/>
      <c r="IRS67" s="414"/>
      <c r="IRT67" s="414"/>
      <c r="IRU67" s="414"/>
      <c r="IRV67" s="414"/>
      <c r="IRW67" s="414"/>
      <c r="IRX67" s="414"/>
      <c r="IRY67" s="414"/>
      <c r="IRZ67" s="414"/>
      <c r="ISA67" s="414"/>
      <c r="ISB67" s="414"/>
      <c r="ISC67" s="414"/>
      <c r="ISD67" s="414"/>
      <c r="ISE67" s="414"/>
      <c r="ISF67" s="414"/>
      <c r="ISG67" s="414"/>
      <c r="ISH67" s="414"/>
      <c r="ISI67" s="414"/>
      <c r="ISJ67" s="414"/>
      <c r="ISK67" s="414"/>
      <c r="ISL67" s="414"/>
      <c r="ISM67" s="414"/>
      <c r="ISN67" s="414"/>
      <c r="ISO67" s="414"/>
      <c r="ISP67" s="414"/>
      <c r="ISQ67" s="414"/>
      <c r="ISR67" s="414"/>
      <c r="ISS67" s="414"/>
      <c r="IST67" s="414"/>
      <c r="ISU67" s="414"/>
      <c r="ISV67" s="414"/>
      <c r="ISW67" s="414"/>
      <c r="ISX67" s="414"/>
      <c r="ISY67" s="414"/>
      <c r="ISZ67" s="414"/>
      <c r="ITA67" s="414"/>
      <c r="ITB67" s="414"/>
      <c r="ITC67" s="414"/>
      <c r="ITD67" s="414"/>
      <c r="ITE67" s="414"/>
      <c r="ITF67" s="414"/>
      <c r="ITG67" s="414"/>
      <c r="ITH67" s="414"/>
      <c r="ITI67" s="414"/>
      <c r="ITJ67" s="414"/>
      <c r="ITK67" s="414"/>
      <c r="ITL67" s="414"/>
      <c r="ITM67" s="414"/>
      <c r="ITN67" s="414"/>
      <c r="ITO67" s="414"/>
      <c r="ITP67" s="414"/>
      <c r="ITQ67" s="414"/>
      <c r="ITR67" s="414"/>
      <c r="ITS67" s="414"/>
      <c r="ITT67" s="414"/>
      <c r="ITU67" s="414"/>
      <c r="ITV67" s="414"/>
      <c r="ITW67" s="414"/>
      <c r="ITX67" s="414"/>
      <c r="ITY67" s="414"/>
      <c r="ITZ67" s="414"/>
      <c r="IUA67" s="414"/>
      <c r="IUB67" s="414"/>
      <c r="IUC67" s="414"/>
      <c r="IUD67" s="414"/>
      <c r="IUE67" s="414"/>
      <c r="IUF67" s="414"/>
      <c r="IUG67" s="414"/>
      <c r="IUH67" s="414"/>
      <c r="IUI67" s="414"/>
      <c r="IUJ67" s="414"/>
      <c r="IUK67" s="414"/>
      <c r="IUL67" s="414"/>
      <c r="IUM67" s="414"/>
      <c r="IUN67" s="414"/>
      <c r="IUO67" s="414"/>
      <c r="IUP67" s="414"/>
      <c r="IUQ67" s="414"/>
      <c r="IUR67" s="414"/>
      <c r="IUS67" s="414"/>
      <c r="IUT67" s="414"/>
      <c r="IUU67" s="414"/>
      <c r="IUV67" s="414"/>
      <c r="IUW67" s="414"/>
      <c r="IUX67" s="414"/>
      <c r="IUY67" s="414"/>
      <c r="IUZ67" s="414"/>
      <c r="IVA67" s="414"/>
      <c r="IVB67" s="414"/>
      <c r="IVC67" s="414"/>
      <c r="IVD67" s="414"/>
      <c r="IVE67" s="414"/>
      <c r="IVF67" s="414"/>
      <c r="IVG67" s="414"/>
      <c r="IVH67" s="414"/>
      <c r="IVI67" s="414"/>
      <c r="IVJ67" s="414"/>
      <c r="IVK67" s="414"/>
      <c r="IVL67" s="414"/>
      <c r="IVM67" s="414"/>
      <c r="IVN67" s="414"/>
      <c r="IVO67" s="414"/>
      <c r="IVP67" s="414"/>
      <c r="IVQ67" s="414"/>
      <c r="IVR67" s="414"/>
      <c r="IVS67" s="414"/>
      <c r="IVT67" s="414"/>
      <c r="IVU67" s="414"/>
      <c r="IVV67" s="414"/>
      <c r="IVW67" s="414"/>
      <c r="IVX67" s="414"/>
      <c r="IVY67" s="414"/>
      <c r="IVZ67" s="414"/>
      <c r="IWA67" s="414"/>
      <c r="IWB67" s="414"/>
      <c r="IWC67" s="414"/>
      <c r="IWD67" s="414"/>
      <c r="IWE67" s="414"/>
      <c r="IWF67" s="414"/>
      <c r="IWG67" s="414"/>
      <c r="IWH67" s="414"/>
      <c r="IWI67" s="414"/>
      <c r="IWJ67" s="414"/>
      <c r="IWK67" s="414"/>
      <c r="IWL67" s="414"/>
      <c r="IWM67" s="414"/>
      <c r="IWN67" s="414"/>
      <c r="IWO67" s="414"/>
      <c r="IWP67" s="414"/>
      <c r="IWQ67" s="414"/>
      <c r="IWR67" s="414"/>
      <c r="IWS67" s="414"/>
      <c r="IWT67" s="414"/>
      <c r="IWU67" s="414"/>
      <c r="IWV67" s="414"/>
      <c r="IWW67" s="414"/>
      <c r="IWX67" s="414"/>
      <c r="IWY67" s="414"/>
      <c r="IWZ67" s="414"/>
      <c r="IXA67" s="414"/>
      <c r="IXB67" s="414"/>
      <c r="IXC67" s="414"/>
      <c r="IXD67" s="414"/>
      <c r="IXE67" s="414"/>
      <c r="IXF67" s="414"/>
      <c r="IXG67" s="414"/>
      <c r="IXH67" s="414"/>
      <c r="IXI67" s="414"/>
      <c r="IXJ67" s="414"/>
      <c r="IXK67" s="414"/>
      <c r="IXL67" s="414"/>
      <c r="IXM67" s="414"/>
      <c r="IXN67" s="414"/>
      <c r="IXO67" s="414"/>
      <c r="IXP67" s="414"/>
      <c r="IXQ67" s="414"/>
      <c r="IXR67" s="414"/>
      <c r="IXS67" s="414"/>
      <c r="IXT67" s="414"/>
      <c r="IXU67" s="414"/>
      <c r="IXV67" s="414"/>
      <c r="IXW67" s="414"/>
      <c r="IXX67" s="414"/>
      <c r="IXY67" s="414"/>
      <c r="IXZ67" s="414"/>
      <c r="IYA67" s="414"/>
      <c r="IYB67" s="414"/>
      <c r="IYC67" s="414"/>
      <c r="IYD67" s="414"/>
      <c r="IYE67" s="414"/>
      <c r="IYF67" s="414"/>
      <c r="IYG67" s="414"/>
      <c r="IYH67" s="414"/>
      <c r="IYI67" s="414"/>
      <c r="IYJ67" s="414"/>
      <c r="IYK67" s="414"/>
      <c r="IYL67" s="414"/>
      <c r="IYM67" s="414"/>
      <c r="IYN67" s="414"/>
      <c r="IYO67" s="414"/>
      <c r="IYP67" s="414"/>
      <c r="IYQ67" s="414"/>
      <c r="IYR67" s="414"/>
      <c r="IYS67" s="414"/>
      <c r="IYT67" s="414"/>
      <c r="IYU67" s="414"/>
      <c r="IYV67" s="414"/>
      <c r="IYW67" s="414"/>
      <c r="IYX67" s="414"/>
      <c r="IYY67" s="414"/>
      <c r="IYZ67" s="414"/>
      <c r="IZA67" s="414"/>
      <c r="IZB67" s="414"/>
      <c r="IZC67" s="414"/>
      <c r="IZD67" s="414"/>
      <c r="IZE67" s="414"/>
      <c r="IZF67" s="414"/>
      <c r="IZG67" s="414"/>
      <c r="IZH67" s="414"/>
      <c r="IZI67" s="414"/>
      <c r="IZJ67" s="414"/>
      <c r="IZK67" s="414"/>
      <c r="IZL67" s="414"/>
      <c r="IZM67" s="414"/>
      <c r="IZN67" s="414"/>
      <c r="IZO67" s="414"/>
      <c r="IZP67" s="414"/>
      <c r="IZQ67" s="414"/>
      <c r="IZR67" s="414"/>
      <c r="IZS67" s="414"/>
      <c r="IZT67" s="414"/>
      <c r="IZU67" s="414"/>
      <c r="IZV67" s="414"/>
      <c r="IZW67" s="414"/>
      <c r="IZX67" s="414"/>
      <c r="IZY67" s="414"/>
      <c r="IZZ67" s="414"/>
      <c r="JAA67" s="414"/>
      <c r="JAB67" s="414"/>
      <c r="JAC67" s="414"/>
      <c r="JAD67" s="414"/>
      <c r="JAE67" s="414"/>
      <c r="JAF67" s="414"/>
      <c r="JAG67" s="414"/>
      <c r="JAH67" s="414"/>
      <c r="JAI67" s="414"/>
      <c r="JAJ67" s="414"/>
      <c r="JAK67" s="414"/>
      <c r="JAL67" s="414"/>
      <c r="JAM67" s="414"/>
      <c r="JAN67" s="414"/>
      <c r="JAO67" s="414"/>
      <c r="JAP67" s="414"/>
      <c r="JAQ67" s="414"/>
      <c r="JAR67" s="414"/>
      <c r="JAS67" s="414"/>
      <c r="JAT67" s="414"/>
      <c r="JAU67" s="414"/>
      <c r="JAV67" s="414"/>
      <c r="JAW67" s="414"/>
      <c r="JAX67" s="414"/>
      <c r="JAY67" s="414"/>
      <c r="JAZ67" s="414"/>
      <c r="JBA67" s="414"/>
      <c r="JBB67" s="414"/>
      <c r="JBC67" s="414"/>
      <c r="JBD67" s="414"/>
      <c r="JBE67" s="414"/>
      <c r="JBF67" s="414"/>
      <c r="JBG67" s="414"/>
      <c r="JBH67" s="414"/>
      <c r="JBI67" s="414"/>
      <c r="JBJ67" s="414"/>
      <c r="JBK67" s="414"/>
      <c r="JBL67" s="414"/>
      <c r="JBM67" s="414"/>
      <c r="JBN67" s="414"/>
      <c r="JBO67" s="414"/>
      <c r="JBP67" s="414"/>
      <c r="JBQ67" s="414"/>
      <c r="JBR67" s="414"/>
      <c r="JBS67" s="414"/>
      <c r="JBT67" s="414"/>
      <c r="JBU67" s="414"/>
      <c r="JBV67" s="414"/>
      <c r="JBW67" s="414"/>
      <c r="JBX67" s="414"/>
      <c r="JBY67" s="414"/>
      <c r="JBZ67" s="414"/>
      <c r="JCA67" s="414"/>
      <c r="JCB67" s="414"/>
      <c r="JCC67" s="414"/>
      <c r="JCD67" s="414"/>
      <c r="JCE67" s="414"/>
      <c r="JCF67" s="414"/>
      <c r="JCG67" s="414"/>
      <c r="JCH67" s="414"/>
      <c r="JCI67" s="414"/>
      <c r="JCJ67" s="414"/>
      <c r="JCK67" s="414"/>
      <c r="JCL67" s="414"/>
      <c r="JCM67" s="414"/>
      <c r="JCN67" s="414"/>
      <c r="JCO67" s="414"/>
      <c r="JCP67" s="414"/>
      <c r="JCQ67" s="414"/>
      <c r="JCR67" s="414"/>
      <c r="JCS67" s="414"/>
      <c r="JCT67" s="414"/>
      <c r="JCU67" s="414"/>
      <c r="JCV67" s="414"/>
      <c r="JCW67" s="414"/>
      <c r="JCX67" s="414"/>
      <c r="JCY67" s="414"/>
      <c r="JCZ67" s="414"/>
      <c r="JDA67" s="414"/>
      <c r="JDB67" s="414"/>
      <c r="JDC67" s="414"/>
      <c r="JDD67" s="414"/>
      <c r="JDE67" s="414"/>
      <c r="JDF67" s="414"/>
      <c r="JDG67" s="414"/>
      <c r="JDH67" s="414"/>
      <c r="JDI67" s="414"/>
      <c r="JDJ67" s="414"/>
      <c r="JDK67" s="414"/>
      <c r="JDL67" s="414"/>
      <c r="JDM67" s="414"/>
      <c r="JDN67" s="414"/>
      <c r="JDO67" s="414"/>
      <c r="JDP67" s="414"/>
      <c r="JDQ67" s="414"/>
      <c r="JDR67" s="414"/>
      <c r="JDS67" s="414"/>
      <c r="JDT67" s="414"/>
      <c r="JDU67" s="414"/>
      <c r="JDV67" s="414"/>
      <c r="JDW67" s="414"/>
      <c r="JDX67" s="414"/>
      <c r="JDY67" s="414"/>
      <c r="JDZ67" s="414"/>
      <c r="JEA67" s="414"/>
      <c r="JEB67" s="414"/>
      <c r="JEC67" s="414"/>
      <c r="JED67" s="414"/>
      <c r="JEE67" s="414"/>
      <c r="JEF67" s="414"/>
      <c r="JEG67" s="414"/>
      <c r="JEH67" s="414"/>
      <c r="JEI67" s="414"/>
      <c r="JEJ67" s="414"/>
      <c r="JEK67" s="414"/>
      <c r="JEL67" s="414"/>
      <c r="JEM67" s="414"/>
      <c r="JEN67" s="414"/>
      <c r="JEO67" s="414"/>
      <c r="JEP67" s="414"/>
      <c r="JEQ67" s="414"/>
      <c r="JER67" s="414"/>
      <c r="JES67" s="414"/>
      <c r="JET67" s="414"/>
      <c r="JEU67" s="414"/>
      <c r="JEV67" s="414"/>
      <c r="JEW67" s="414"/>
      <c r="JEX67" s="414"/>
      <c r="JEY67" s="414"/>
      <c r="JEZ67" s="414"/>
      <c r="JFA67" s="414"/>
      <c r="JFB67" s="414"/>
      <c r="JFC67" s="414"/>
      <c r="JFD67" s="414"/>
      <c r="JFE67" s="414"/>
      <c r="JFF67" s="414"/>
      <c r="JFG67" s="414"/>
      <c r="JFH67" s="414"/>
      <c r="JFI67" s="414"/>
      <c r="JFJ67" s="414"/>
      <c r="JFK67" s="414"/>
      <c r="JFL67" s="414"/>
      <c r="JFM67" s="414"/>
      <c r="JFN67" s="414"/>
      <c r="JFO67" s="414"/>
      <c r="JFP67" s="414"/>
      <c r="JFQ67" s="414"/>
      <c r="JFR67" s="414"/>
      <c r="JFS67" s="414"/>
      <c r="JFT67" s="414"/>
      <c r="JFU67" s="414"/>
      <c r="JFV67" s="414"/>
      <c r="JFW67" s="414"/>
      <c r="JFX67" s="414"/>
      <c r="JFY67" s="414"/>
      <c r="JFZ67" s="414"/>
      <c r="JGA67" s="414"/>
      <c r="JGB67" s="414"/>
      <c r="JGC67" s="414"/>
      <c r="JGD67" s="414"/>
      <c r="JGE67" s="414"/>
      <c r="JGF67" s="414"/>
      <c r="JGG67" s="414"/>
      <c r="JGH67" s="414"/>
      <c r="JGI67" s="414"/>
      <c r="JGJ67" s="414"/>
      <c r="JGK67" s="414"/>
      <c r="JGL67" s="414"/>
      <c r="JGM67" s="414"/>
      <c r="JGN67" s="414"/>
      <c r="JGO67" s="414"/>
      <c r="JGP67" s="414"/>
      <c r="JGQ67" s="414"/>
      <c r="JGR67" s="414"/>
      <c r="JGS67" s="414"/>
      <c r="JGT67" s="414"/>
      <c r="JGU67" s="414"/>
      <c r="JGV67" s="414"/>
      <c r="JGW67" s="414"/>
      <c r="JGX67" s="414"/>
      <c r="JGY67" s="414"/>
      <c r="JGZ67" s="414"/>
      <c r="JHA67" s="414"/>
      <c r="JHB67" s="414"/>
      <c r="JHC67" s="414"/>
      <c r="JHD67" s="414"/>
      <c r="JHE67" s="414"/>
      <c r="JHF67" s="414"/>
      <c r="JHG67" s="414"/>
      <c r="JHH67" s="414"/>
      <c r="JHI67" s="414"/>
      <c r="JHJ67" s="414"/>
      <c r="JHK67" s="414"/>
      <c r="JHL67" s="414"/>
      <c r="JHM67" s="414"/>
      <c r="JHN67" s="414"/>
      <c r="JHO67" s="414"/>
      <c r="JHP67" s="414"/>
      <c r="JHQ67" s="414"/>
      <c r="JHR67" s="414"/>
      <c r="JHS67" s="414"/>
      <c r="JHT67" s="414"/>
      <c r="JHU67" s="414"/>
      <c r="JHV67" s="414"/>
      <c r="JHW67" s="414"/>
      <c r="JHX67" s="414"/>
      <c r="JHY67" s="414"/>
      <c r="JHZ67" s="414"/>
      <c r="JIA67" s="414"/>
      <c r="JIB67" s="414"/>
      <c r="JIC67" s="414"/>
      <c r="JID67" s="414"/>
      <c r="JIE67" s="414"/>
      <c r="JIF67" s="414"/>
      <c r="JIG67" s="414"/>
      <c r="JIH67" s="414"/>
      <c r="JII67" s="414"/>
      <c r="JIJ67" s="414"/>
      <c r="JIK67" s="414"/>
      <c r="JIL67" s="414"/>
      <c r="JIM67" s="414"/>
      <c r="JIN67" s="414"/>
      <c r="JIO67" s="414"/>
      <c r="JIP67" s="414"/>
      <c r="JIQ67" s="414"/>
      <c r="JIR67" s="414"/>
      <c r="JIS67" s="414"/>
      <c r="JIT67" s="414"/>
      <c r="JIU67" s="414"/>
      <c r="JIV67" s="414"/>
      <c r="JIW67" s="414"/>
      <c r="JIX67" s="414"/>
      <c r="JIY67" s="414"/>
      <c r="JIZ67" s="414"/>
      <c r="JJA67" s="414"/>
      <c r="JJB67" s="414"/>
      <c r="JJC67" s="414"/>
      <c r="JJD67" s="414"/>
      <c r="JJE67" s="414"/>
      <c r="JJF67" s="414"/>
      <c r="JJG67" s="414"/>
      <c r="JJH67" s="414"/>
      <c r="JJI67" s="414"/>
      <c r="JJJ67" s="414"/>
      <c r="JJK67" s="414"/>
      <c r="JJL67" s="414"/>
      <c r="JJM67" s="414"/>
      <c r="JJN67" s="414"/>
      <c r="JJO67" s="414"/>
      <c r="JJP67" s="414"/>
      <c r="JJQ67" s="414"/>
      <c r="JJR67" s="414"/>
      <c r="JJS67" s="414"/>
      <c r="JJT67" s="414"/>
      <c r="JJU67" s="414"/>
      <c r="JJV67" s="414"/>
      <c r="JJW67" s="414"/>
      <c r="JJX67" s="414"/>
      <c r="JJY67" s="414"/>
      <c r="JJZ67" s="414"/>
      <c r="JKA67" s="414"/>
      <c r="JKB67" s="414"/>
      <c r="JKC67" s="414"/>
      <c r="JKD67" s="414"/>
      <c r="JKE67" s="414"/>
      <c r="JKF67" s="414"/>
      <c r="JKG67" s="414"/>
      <c r="JKH67" s="414"/>
      <c r="JKI67" s="414"/>
      <c r="JKJ67" s="414"/>
      <c r="JKK67" s="414"/>
      <c r="JKL67" s="414"/>
      <c r="JKM67" s="414"/>
      <c r="JKN67" s="414"/>
      <c r="JKO67" s="414"/>
      <c r="JKP67" s="414"/>
      <c r="JKQ67" s="414"/>
      <c r="JKR67" s="414"/>
      <c r="JKS67" s="414"/>
      <c r="JKT67" s="414"/>
      <c r="JKU67" s="414"/>
      <c r="JKV67" s="414"/>
      <c r="JKW67" s="414"/>
      <c r="JKX67" s="414"/>
      <c r="JKY67" s="414"/>
      <c r="JKZ67" s="414"/>
      <c r="JLA67" s="414"/>
      <c r="JLB67" s="414"/>
      <c r="JLC67" s="414"/>
      <c r="JLD67" s="414"/>
      <c r="JLE67" s="414"/>
      <c r="JLF67" s="414"/>
      <c r="JLG67" s="414"/>
      <c r="JLH67" s="414"/>
      <c r="JLI67" s="414"/>
      <c r="JLJ67" s="414"/>
      <c r="JLK67" s="414"/>
      <c r="JLL67" s="414"/>
      <c r="JLM67" s="414"/>
      <c r="JLN67" s="414"/>
      <c r="JLO67" s="414"/>
      <c r="JLP67" s="414"/>
      <c r="JLQ67" s="414"/>
      <c r="JLR67" s="414"/>
      <c r="JLS67" s="414"/>
      <c r="JLT67" s="414"/>
      <c r="JLU67" s="414"/>
      <c r="JLV67" s="414"/>
      <c r="JLW67" s="414"/>
      <c r="JLX67" s="414"/>
      <c r="JLY67" s="414"/>
      <c r="JLZ67" s="414"/>
      <c r="JMA67" s="414"/>
      <c r="JMB67" s="414"/>
      <c r="JMC67" s="414"/>
      <c r="JMD67" s="414"/>
      <c r="JME67" s="414"/>
      <c r="JMF67" s="414"/>
      <c r="JMG67" s="414"/>
      <c r="JMH67" s="414"/>
      <c r="JMI67" s="414"/>
      <c r="JMJ67" s="414"/>
      <c r="JMK67" s="414"/>
      <c r="JML67" s="414"/>
      <c r="JMM67" s="414"/>
      <c r="JMN67" s="414"/>
      <c r="JMO67" s="414"/>
      <c r="JMP67" s="414"/>
      <c r="JMQ67" s="414"/>
      <c r="JMR67" s="414"/>
      <c r="JMS67" s="414"/>
      <c r="JMT67" s="414"/>
      <c r="JMU67" s="414"/>
      <c r="JMV67" s="414"/>
      <c r="JMW67" s="414"/>
      <c r="JMX67" s="414"/>
      <c r="JMY67" s="414"/>
      <c r="JMZ67" s="414"/>
      <c r="JNA67" s="414"/>
      <c r="JNB67" s="414"/>
      <c r="JNC67" s="414"/>
      <c r="JND67" s="414"/>
      <c r="JNE67" s="414"/>
      <c r="JNF67" s="414"/>
      <c r="JNG67" s="414"/>
      <c r="JNH67" s="414"/>
      <c r="JNI67" s="414"/>
      <c r="JNJ67" s="414"/>
      <c r="JNK67" s="414"/>
      <c r="JNL67" s="414"/>
      <c r="JNM67" s="414"/>
      <c r="JNN67" s="414"/>
      <c r="JNO67" s="414"/>
      <c r="JNP67" s="414"/>
      <c r="JNQ67" s="414"/>
      <c r="JNR67" s="414"/>
      <c r="JNS67" s="414"/>
      <c r="JNT67" s="414"/>
      <c r="JNU67" s="414"/>
      <c r="JNV67" s="414"/>
      <c r="JNW67" s="414"/>
      <c r="JNX67" s="414"/>
      <c r="JNY67" s="414"/>
      <c r="JNZ67" s="414"/>
      <c r="JOA67" s="414"/>
      <c r="JOB67" s="414"/>
      <c r="JOC67" s="414"/>
      <c r="JOD67" s="414"/>
      <c r="JOE67" s="414"/>
      <c r="JOF67" s="414"/>
      <c r="JOG67" s="414"/>
      <c r="JOH67" s="414"/>
      <c r="JOI67" s="414"/>
      <c r="JOJ67" s="414"/>
      <c r="JOK67" s="414"/>
      <c r="JOL67" s="414"/>
      <c r="JOM67" s="414"/>
      <c r="JON67" s="414"/>
      <c r="JOO67" s="414"/>
      <c r="JOP67" s="414"/>
      <c r="JOQ67" s="414"/>
      <c r="JOR67" s="414"/>
      <c r="JOS67" s="414"/>
      <c r="JOT67" s="414"/>
      <c r="JOU67" s="414"/>
      <c r="JOV67" s="414"/>
      <c r="JOW67" s="414"/>
      <c r="JOX67" s="414"/>
      <c r="JOY67" s="414"/>
      <c r="JOZ67" s="414"/>
      <c r="JPA67" s="414"/>
      <c r="JPB67" s="414"/>
      <c r="JPC67" s="414"/>
      <c r="JPD67" s="414"/>
      <c r="JPE67" s="414"/>
      <c r="JPF67" s="414"/>
      <c r="JPG67" s="414"/>
      <c r="JPH67" s="414"/>
      <c r="JPI67" s="414"/>
      <c r="JPJ67" s="414"/>
      <c r="JPK67" s="414"/>
      <c r="JPL67" s="414"/>
      <c r="JPM67" s="414"/>
      <c r="JPN67" s="414"/>
      <c r="JPO67" s="414"/>
      <c r="JPP67" s="414"/>
      <c r="JPQ67" s="414"/>
      <c r="JPR67" s="414"/>
      <c r="JPS67" s="414"/>
      <c r="JPT67" s="414"/>
      <c r="JPU67" s="414"/>
      <c r="JPV67" s="414"/>
      <c r="JPW67" s="414"/>
      <c r="JPX67" s="414"/>
      <c r="JPY67" s="414"/>
      <c r="JPZ67" s="414"/>
      <c r="JQA67" s="414"/>
      <c r="JQB67" s="414"/>
      <c r="JQC67" s="414"/>
      <c r="JQD67" s="414"/>
      <c r="JQE67" s="414"/>
      <c r="JQF67" s="414"/>
      <c r="JQG67" s="414"/>
      <c r="JQH67" s="414"/>
      <c r="JQI67" s="414"/>
      <c r="JQJ67" s="414"/>
      <c r="JQK67" s="414"/>
      <c r="JQL67" s="414"/>
      <c r="JQM67" s="414"/>
      <c r="JQN67" s="414"/>
      <c r="JQO67" s="414"/>
      <c r="JQP67" s="414"/>
      <c r="JQQ67" s="414"/>
      <c r="JQR67" s="414"/>
      <c r="JQS67" s="414"/>
      <c r="JQT67" s="414"/>
      <c r="JQU67" s="414"/>
      <c r="JQV67" s="414"/>
      <c r="JQW67" s="414"/>
      <c r="JQX67" s="414"/>
      <c r="JQY67" s="414"/>
      <c r="JQZ67" s="414"/>
      <c r="JRA67" s="414"/>
      <c r="JRB67" s="414"/>
      <c r="JRC67" s="414"/>
      <c r="JRD67" s="414"/>
      <c r="JRE67" s="414"/>
      <c r="JRF67" s="414"/>
      <c r="JRG67" s="414"/>
      <c r="JRH67" s="414"/>
      <c r="JRI67" s="414"/>
      <c r="JRJ67" s="414"/>
      <c r="JRK67" s="414"/>
      <c r="JRL67" s="414"/>
      <c r="JRM67" s="414"/>
      <c r="JRN67" s="414"/>
      <c r="JRO67" s="414"/>
      <c r="JRP67" s="414"/>
      <c r="JRQ67" s="414"/>
      <c r="JRR67" s="414"/>
      <c r="JRS67" s="414"/>
      <c r="JRT67" s="414"/>
      <c r="JRU67" s="414"/>
      <c r="JRV67" s="414"/>
      <c r="JRW67" s="414"/>
      <c r="JRX67" s="414"/>
      <c r="JRY67" s="414"/>
      <c r="JRZ67" s="414"/>
      <c r="JSA67" s="414"/>
      <c r="JSB67" s="414"/>
      <c r="JSC67" s="414"/>
      <c r="JSD67" s="414"/>
      <c r="JSE67" s="414"/>
      <c r="JSF67" s="414"/>
      <c r="JSG67" s="414"/>
      <c r="JSH67" s="414"/>
      <c r="JSI67" s="414"/>
      <c r="JSJ67" s="414"/>
      <c r="JSK67" s="414"/>
      <c r="JSL67" s="414"/>
      <c r="JSM67" s="414"/>
      <c r="JSN67" s="414"/>
      <c r="JSO67" s="414"/>
      <c r="JSP67" s="414"/>
      <c r="JSQ67" s="414"/>
      <c r="JSR67" s="414"/>
      <c r="JSS67" s="414"/>
      <c r="JST67" s="414"/>
      <c r="JSU67" s="414"/>
      <c r="JSV67" s="414"/>
      <c r="JSW67" s="414"/>
      <c r="JSX67" s="414"/>
      <c r="JSY67" s="414"/>
      <c r="JSZ67" s="414"/>
      <c r="JTA67" s="414"/>
      <c r="JTB67" s="414"/>
      <c r="JTC67" s="414"/>
      <c r="JTD67" s="414"/>
      <c r="JTE67" s="414"/>
      <c r="JTF67" s="414"/>
      <c r="JTG67" s="414"/>
      <c r="JTH67" s="414"/>
      <c r="JTI67" s="414"/>
      <c r="JTJ67" s="414"/>
      <c r="JTK67" s="414"/>
      <c r="JTL67" s="414"/>
      <c r="JTM67" s="414"/>
      <c r="JTN67" s="414"/>
      <c r="JTO67" s="414"/>
      <c r="JTP67" s="414"/>
      <c r="JTQ67" s="414"/>
      <c r="JTR67" s="414"/>
      <c r="JTS67" s="414"/>
      <c r="JTT67" s="414"/>
      <c r="JTU67" s="414"/>
      <c r="JTV67" s="414"/>
      <c r="JTW67" s="414"/>
      <c r="JTX67" s="414"/>
      <c r="JTY67" s="414"/>
      <c r="JTZ67" s="414"/>
      <c r="JUA67" s="414"/>
      <c r="JUB67" s="414"/>
      <c r="JUC67" s="414"/>
      <c r="JUD67" s="414"/>
      <c r="JUE67" s="414"/>
      <c r="JUF67" s="414"/>
      <c r="JUG67" s="414"/>
      <c r="JUH67" s="414"/>
      <c r="JUI67" s="414"/>
      <c r="JUJ67" s="414"/>
      <c r="JUK67" s="414"/>
      <c r="JUL67" s="414"/>
      <c r="JUM67" s="414"/>
      <c r="JUN67" s="414"/>
      <c r="JUO67" s="414"/>
      <c r="JUP67" s="414"/>
      <c r="JUQ67" s="414"/>
      <c r="JUR67" s="414"/>
      <c r="JUS67" s="414"/>
      <c r="JUT67" s="414"/>
      <c r="JUU67" s="414"/>
      <c r="JUV67" s="414"/>
      <c r="JUW67" s="414"/>
      <c r="JUX67" s="414"/>
      <c r="JUY67" s="414"/>
      <c r="JUZ67" s="414"/>
      <c r="JVA67" s="414"/>
      <c r="JVB67" s="414"/>
      <c r="JVC67" s="414"/>
      <c r="JVD67" s="414"/>
      <c r="JVE67" s="414"/>
      <c r="JVF67" s="414"/>
      <c r="JVG67" s="414"/>
      <c r="JVH67" s="414"/>
      <c r="JVI67" s="414"/>
      <c r="JVJ67" s="414"/>
      <c r="JVK67" s="414"/>
      <c r="JVL67" s="414"/>
      <c r="JVM67" s="414"/>
      <c r="JVN67" s="414"/>
      <c r="JVO67" s="414"/>
      <c r="JVP67" s="414"/>
      <c r="JVQ67" s="414"/>
      <c r="JVR67" s="414"/>
      <c r="JVS67" s="414"/>
      <c r="JVT67" s="414"/>
      <c r="JVU67" s="414"/>
      <c r="JVV67" s="414"/>
      <c r="JVW67" s="414"/>
      <c r="JVX67" s="414"/>
      <c r="JVY67" s="414"/>
      <c r="JVZ67" s="414"/>
      <c r="JWA67" s="414"/>
      <c r="JWB67" s="414"/>
      <c r="JWC67" s="414"/>
      <c r="JWD67" s="414"/>
      <c r="JWE67" s="414"/>
      <c r="JWF67" s="414"/>
      <c r="JWG67" s="414"/>
      <c r="JWH67" s="414"/>
      <c r="JWI67" s="414"/>
      <c r="JWJ67" s="414"/>
      <c r="JWK67" s="414"/>
      <c r="JWL67" s="414"/>
      <c r="JWM67" s="414"/>
      <c r="JWN67" s="414"/>
      <c r="JWO67" s="414"/>
      <c r="JWP67" s="414"/>
      <c r="JWQ67" s="414"/>
      <c r="JWR67" s="414"/>
      <c r="JWS67" s="414"/>
      <c r="JWT67" s="414"/>
      <c r="JWU67" s="414"/>
      <c r="JWV67" s="414"/>
      <c r="JWW67" s="414"/>
      <c r="JWX67" s="414"/>
      <c r="JWY67" s="414"/>
      <c r="JWZ67" s="414"/>
      <c r="JXA67" s="414"/>
      <c r="JXB67" s="414"/>
      <c r="JXC67" s="414"/>
      <c r="JXD67" s="414"/>
      <c r="JXE67" s="414"/>
      <c r="JXF67" s="414"/>
      <c r="JXG67" s="414"/>
      <c r="JXH67" s="414"/>
      <c r="JXI67" s="414"/>
      <c r="JXJ67" s="414"/>
      <c r="JXK67" s="414"/>
      <c r="JXL67" s="414"/>
      <c r="JXM67" s="414"/>
      <c r="JXN67" s="414"/>
      <c r="JXO67" s="414"/>
      <c r="JXP67" s="414"/>
      <c r="JXQ67" s="414"/>
      <c r="JXR67" s="414"/>
      <c r="JXS67" s="414"/>
      <c r="JXT67" s="414"/>
      <c r="JXU67" s="414"/>
      <c r="JXV67" s="414"/>
      <c r="JXW67" s="414"/>
      <c r="JXX67" s="414"/>
      <c r="JXY67" s="414"/>
      <c r="JXZ67" s="414"/>
      <c r="JYA67" s="414"/>
      <c r="JYB67" s="414"/>
      <c r="JYC67" s="414"/>
      <c r="JYD67" s="414"/>
      <c r="JYE67" s="414"/>
      <c r="JYF67" s="414"/>
      <c r="JYG67" s="414"/>
      <c r="JYH67" s="414"/>
      <c r="JYI67" s="414"/>
      <c r="JYJ67" s="414"/>
      <c r="JYK67" s="414"/>
      <c r="JYL67" s="414"/>
      <c r="JYM67" s="414"/>
      <c r="JYN67" s="414"/>
      <c r="JYO67" s="414"/>
      <c r="JYP67" s="414"/>
      <c r="JYQ67" s="414"/>
      <c r="JYR67" s="414"/>
      <c r="JYS67" s="414"/>
      <c r="JYT67" s="414"/>
      <c r="JYU67" s="414"/>
      <c r="JYV67" s="414"/>
      <c r="JYW67" s="414"/>
      <c r="JYX67" s="414"/>
      <c r="JYY67" s="414"/>
      <c r="JYZ67" s="414"/>
      <c r="JZA67" s="414"/>
      <c r="JZB67" s="414"/>
      <c r="JZC67" s="414"/>
      <c r="JZD67" s="414"/>
      <c r="JZE67" s="414"/>
      <c r="JZF67" s="414"/>
      <c r="JZG67" s="414"/>
      <c r="JZH67" s="414"/>
      <c r="JZI67" s="414"/>
      <c r="JZJ67" s="414"/>
      <c r="JZK67" s="414"/>
      <c r="JZL67" s="414"/>
      <c r="JZM67" s="414"/>
      <c r="JZN67" s="414"/>
      <c r="JZO67" s="414"/>
      <c r="JZP67" s="414"/>
      <c r="JZQ67" s="414"/>
      <c r="JZR67" s="414"/>
      <c r="JZS67" s="414"/>
      <c r="JZT67" s="414"/>
      <c r="JZU67" s="414"/>
      <c r="JZV67" s="414"/>
      <c r="JZW67" s="414"/>
      <c r="JZX67" s="414"/>
      <c r="JZY67" s="414"/>
      <c r="JZZ67" s="414"/>
      <c r="KAA67" s="414"/>
      <c r="KAB67" s="414"/>
      <c r="KAC67" s="414"/>
      <c r="KAD67" s="414"/>
      <c r="KAE67" s="414"/>
      <c r="KAF67" s="414"/>
      <c r="KAG67" s="414"/>
      <c r="KAH67" s="414"/>
      <c r="KAI67" s="414"/>
      <c r="KAJ67" s="414"/>
      <c r="KAK67" s="414"/>
      <c r="KAL67" s="414"/>
      <c r="KAM67" s="414"/>
      <c r="KAN67" s="414"/>
      <c r="KAO67" s="414"/>
      <c r="KAP67" s="414"/>
      <c r="KAQ67" s="414"/>
      <c r="KAR67" s="414"/>
      <c r="KAS67" s="414"/>
      <c r="KAT67" s="414"/>
      <c r="KAU67" s="414"/>
      <c r="KAV67" s="414"/>
      <c r="KAW67" s="414"/>
      <c r="KAX67" s="414"/>
      <c r="KAY67" s="414"/>
      <c r="KAZ67" s="414"/>
      <c r="KBA67" s="414"/>
      <c r="KBB67" s="414"/>
      <c r="KBC67" s="414"/>
      <c r="KBD67" s="414"/>
      <c r="KBE67" s="414"/>
      <c r="KBF67" s="414"/>
      <c r="KBG67" s="414"/>
      <c r="KBH67" s="414"/>
      <c r="KBI67" s="414"/>
      <c r="KBJ67" s="414"/>
      <c r="KBK67" s="414"/>
      <c r="KBL67" s="414"/>
      <c r="KBM67" s="414"/>
      <c r="KBN67" s="414"/>
      <c r="KBO67" s="414"/>
      <c r="KBP67" s="414"/>
      <c r="KBQ67" s="414"/>
      <c r="KBR67" s="414"/>
      <c r="KBS67" s="414"/>
      <c r="KBT67" s="414"/>
      <c r="KBU67" s="414"/>
      <c r="KBV67" s="414"/>
      <c r="KBW67" s="414"/>
      <c r="KBX67" s="414"/>
      <c r="KBY67" s="414"/>
      <c r="KBZ67" s="414"/>
      <c r="KCA67" s="414"/>
      <c r="KCB67" s="414"/>
      <c r="KCC67" s="414"/>
      <c r="KCD67" s="414"/>
      <c r="KCE67" s="414"/>
      <c r="KCF67" s="414"/>
      <c r="KCG67" s="414"/>
      <c r="KCH67" s="414"/>
      <c r="KCI67" s="414"/>
      <c r="KCJ67" s="414"/>
      <c r="KCK67" s="414"/>
      <c r="KCL67" s="414"/>
      <c r="KCM67" s="414"/>
      <c r="KCN67" s="414"/>
      <c r="KCO67" s="414"/>
      <c r="KCP67" s="414"/>
      <c r="KCQ67" s="414"/>
      <c r="KCR67" s="414"/>
      <c r="KCS67" s="414"/>
      <c r="KCT67" s="414"/>
      <c r="KCU67" s="414"/>
      <c r="KCV67" s="414"/>
      <c r="KCW67" s="414"/>
      <c r="KCX67" s="414"/>
      <c r="KCY67" s="414"/>
      <c r="KCZ67" s="414"/>
      <c r="KDA67" s="414"/>
      <c r="KDB67" s="414"/>
      <c r="KDC67" s="414"/>
      <c r="KDD67" s="414"/>
      <c r="KDE67" s="414"/>
      <c r="KDF67" s="414"/>
      <c r="KDG67" s="414"/>
      <c r="KDH67" s="414"/>
      <c r="KDI67" s="414"/>
      <c r="KDJ67" s="414"/>
      <c r="KDK67" s="414"/>
      <c r="KDL67" s="414"/>
      <c r="KDM67" s="414"/>
      <c r="KDN67" s="414"/>
      <c r="KDO67" s="414"/>
      <c r="KDP67" s="414"/>
      <c r="KDQ67" s="414"/>
      <c r="KDR67" s="414"/>
      <c r="KDS67" s="414"/>
      <c r="KDT67" s="414"/>
      <c r="KDU67" s="414"/>
      <c r="KDV67" s="414"/>
      <c r="KDW67" s="414"/>
      <c r="KDX67" s="414"/>
      <c r="KDY67" s="414"/>
      <c r="KDZ67" s="414"/>
      <c r="KEA67" s="414"/>
      <c r="KEB67" s="414"/>
      <c r="KEC67" s="414"/>
      <c r="KED67" s="414"/>
      <c r="KEE67" s="414"/>
      <c r="KEF67" s="414"/>
      <c r="KEG67" s="414"/>
      <c r="KEH67" s="414"/>
      <c r="KEI67" s="414"/>
      <c r="KEJ67" s="414"/>
      <c r="KEK67" s="414"/>
      <c r="KEL67" s="414"/>
      <c r="KEM67" s="414"/>
      <c r="KEN67" s="414"/>
      <c r="KEO67" s="414"/>
      <c r="KEP67" s="414"/>
      <c r="KEQ67" s="414"/>
      <c r="KER67" s="414"/>
      <c r="KES67" s="414"/>
      <c r="KET67" s="414"/>
      <c r="KEU67" s="414"/>
      <c r="KEV67" s="414"/>
      <c r="KEW67" s="414"/>
      <c r="KEX67" s="414"/>
      <c r="KEY67" s="414"/>
      <c r="KEZ67" s="414"/>
      <c r="KFA67" s="414"/>
      <c r="KFB67" s="414"/>
      <c r="KFC67" s="414"/>
      <c r="KFD67" s="414"/>
      <c r="KFE67" s="414"/>
      <c r="KFF67" s="414"/>
      <c r="KFG67" s="414"/>
      <c r="KFH67" s="414"/>
      <c r="KFI67" s="414"/>
      <c r="KFJ67" s="414"/>
      <c r="KFK67" s="414"/>
      <c r="KFL67" s="414"/>
      <c r="KFM67" s="414"/>
      <c r="KFN67" s="414"/>
      <c r="KFO67" s="414"/>
      <c r="KFP67" s="414"/>
      <c r="KFQ67" s="414"/>
      <c r="KFR67" s="414"/>
      <c r="KFS67" s="414"/>
      <c r="KFT67" s="414"/>
      <c r="KFU67" s="414"/>
      <c r="KFV67" s="414"/>
      <c r="KFW67" s="414"/>
      <c r="KFX67" s="414"/>
      <c r="KFY67" s="414"/>
      <c r="KFZ67" s="414"/>
      <c r="KGA67" s="414"/>
      <c r="KGB67" s="414"/>
      <c r="KGC67" s="414"/>
      <c r="KGD67" s="414"/>
      <c r="KGE67" s="414"/>
      <c r="KGF67" s="414"/>
      <c r="KGG67" s="414"/>
      <c r="KGH67" s="414"/>
      <c r="KGI67" s="414"/>
      <c r="KGJ67" s="414"/>
      <c r="KGK67" s="414"/>
      <c r="KGL67" s="414"/>
      <c r="KGM67" s="414"/>
      <c r="KGN67" s="414"/>
      <c r="KGO67" s="414"/>
      <c r="KGP67" s="414"/>
      <c r="KGQ67" s="414"/>
      <c r="KGR67" s="414"/>
      <c r="KGS67" s="414"/>
      <c r="KGT67" s="414"/>
      <c r="KGU67" s="414"/>
      <c r="KGV67" s="414"/>
      <c r="KGW67" s="414"/>
      <c r="KGX67" s="414"/>
      <c r="KGY67" s="414"/>
      <c r="KGZ67" s="414"/>
      <c r="KHA67" s="414"/>
      <c r="KHB67" s="414"/>
      <c r="KHC67" s="414"/>
      <c r="KHD67" s="414"/>
      <c r="KHE67" s="414"/>
      <c r="KHF67" s="414"/>
      <c r="KHG67" s="414"/>
      <c r="KHH67" s="414"/>
      <c r="KHI67" s="414"/>
      <c r="KHJ67" s="414"/>
      <c r="KHK67" s="414"/>
      <c r="KHL67" s="414"/>
      <c r="KHM67" s="414"/>
      <c r="KHN67" s="414"/>
      <c r="KHO67" s="414"/>
      <c r="KHP67" s="414"/>
      <c r="KHQ67" s="414"/>
      <c r="KHR67" s="414"/>
      <c r="KHS67" s="414"/>
      <c r="KHT67" s="414"/>
      <c r="KHU67" s="414"/>
      <c r="KHV67" s="414"/>
      <c r="KHW67" s="414"/>
      <c r="KHX67" s="414"/>
      <c r="KHY67" s="414"/>
      <c r="KHZ67" s="414"/>
      <c r="KIA67" s="414"/>
      <c r="KIB67" s="414"/>
      <c r="KIC67" s="414"/>
      <c r="KID67" s="414"/>
      <c r="KIE67" s="414"/>
      <c r="KIF67" s="414"/>
      <c r="KIG67" s="414"/>
      <c r="KIH67" s="414"/>
      <c r="KII67" s="414"/>
      <c r="KIJ67" s="414"/>
      <c r="KIK67" s="414"/>
      <c r="KIL67" s="414"/>
      <c r="KIM67" s="414"/>
      <c r="KIN67" s="414"/>
      <c r="KIO67" s="414"/>
      <c r="KIP67" s="414"/>
      <c r="KIQ67" s="414"/>
      <c r="KIR67" s="414"/>
      <c r="KIS67" s="414"/>
      <c r="KIT67" s="414"/>
      <c r="KIU67" s="414"/>
      <c r="KIV67" s="414"/>
      <c r="KIW67" s="414"/>
      <c r="KIX67" s="414"/>
      <c r="KIY67" s="414"/>
      <c r="KIZ67" s="414"/>
      <c r="KJA67" s="414"/>
      <c r="KJB67" s="414"/>
      <c r="KJC67" s="414"/>
      <c r="KJD67" s="414"/>
      <c r="KJE67" s="414"/>
      <c r="KJF67" s="414"/>
      <c r="KJG67" s="414"/>
      <c r="KJH67" s="414"/>
      <c r="KJI67" s="414"/>
      <c r="KJJ67" s="414"/>
      <c r="KJK67" s="414"/>
      <c r="KJL67" s="414"/>
      <c r="KJM67" s="414"/>
      <c r="KJN67" s="414"/>
      <c r="KJO67" s="414"/>
      <c r="KJP67" s="414"/>
      <c r="KJQ67" s="414"/>
      <c r="KJR67" s="414"/>
      <c r="KJS67" s="414"/>
      <c r="KJT67" s="414"/>
      <c r="KJU67" s="414"/>
      <c r="KJV67" s="414"/>
      <c r="KJW67" s="414"/>
      <c r="KJX67" s="414"/>
      <c r="KJY67" s="414"/>
      <c r="KJZ67" s="414"/>
      <c r="KKA67" s="414"/>
      <c r="KKB67" s="414"/>
      <c r="KKC67" s="414"/>
      <c r="KKD67" s="414"/>
      <c r="KKE67" s="414"/>
      <c r="KKF67" s="414"/>
      <c r="KKG67" s="414"/>
      <c r="KKH67" s="414"/>
      <c r="KKI67" s="414"/>
      <c r="KKJ67" s="414"/>
      <c r="KKK67" s="414"/>
      <c r="KKL67" s="414"/>
      <c r="KKM67" s="414"/>
      <c r="KKN67" s="414"/>
      <c r="KKO67" s="414"/>
      <c r="KKP67" s="414"/>
      <c r="KKQ67" s="414"/>
      <c r="KKR67" s="414"/>
      <c r="KKS67" s="414"/>
      <c r="KKT67" s="414"/>
      <c r="KKU67" s="414"/>
      <c r="KKV67" s="414"/>
      <c r="KKW67" s="414"/>
      <c r="KKX67" s="414"/>
      <c r="KKY67" s="414"/>
      <c r="KKZ67" s="414"/>
      <c r="KLA67" s="414"/>
      <c r="KLB67" s="414"/>
      <c r="KLC67" s="414"/>
      <c r="KLD67" s="414"/>
      <c r="KLE67" s="414"/>
      <c r="KLF67" s="414"/>
      <c r="KLG67" s="414"/>
      <c r="KLH67" s="414"/>
      <c r="KLI67" s="414"/>
      <c r="KLJ67" s="414"/>
      <c r="KLK67" s="414"/>
      <c r="KLL67" s="414"/>
      <c r="KLM67" s="414"/>
      <c r="KLN67" s="414"/>
      <c r="KLO67" s="414"/>
      <c r="KLP67" s="414"/>
      <c r="KLQ67" s="414"/>
      <c r="KLR67" s="414"/>
      <c r="KLS67" s="414"/>
      <c r="KLT67" s="414"/>
      <c r="KLU67" s="414"/>
      <c r="KLV67" s="414"/>
      <c r="KLW67" s="414"/>
      <c r="KLX67" s="414"/>
      <c r="KLY67" s="414"/>
      <c r="KLZ67" s="414"/>
      <c r="KMA67" s="414"/>
      <c r="KMB67" s="414"/>
      <c r="KMC67" s="414"/>
      <c r="KMD67" s="414"/>
      <c r="KME67" s="414"/>
      <c r="KMF67" s="414"/>
      <c r="KMG67" s="414"/>
      <c r="KMH67" s="414"/>
      <c r="KMI67" s="414"/>
      <c r="KMJ67" s="414"/>
      <c r="KMK67" s="414"/>
      <c r="KML67" s="414"/>
      <c r="KMM67" s="414"/>
      <c r="KMN67" s="414"/>
      <c r="KMO67" s="414"/>
      <c r="KMP67" s="414"/>
      <c r="KMQ67" s="414"/>
      <c r="KMR67" s="414"/>
      <c r="KMS67" s="414"/>
      <c r="KMT67" s="414"/>
      <c r="KMU67" s="414"/>
      <c r="KMV67" s="414"/>
      <c r="KMW67" s="414"/>
      <c r="KMX67" s="414"/>
      <c r="KMY67" s="414"/>
      <c r="KMZ67" s="414"/>
      <c r="KNA67" s="414"/>
      <c r="KNB67" s="414"/>
      <c r="KNC67" s="414"/>
      <c r="KND67" s="414"/>
      <c r="KNE67" s="414"/>
      <c r="KNF67" s="414"/>
      <c r="KNG67" s="414"/>
      <c r="KNH67" s="414"/>
      <c r="KNI67" s="414"/>
      <c r="KNJ67" s="414"/>
      <c r="KNK67" s="414"/>
      <c r="KNL67" s="414"/>
      <c r="KNM67" s="414"/>
      <c r="KNN67" s="414"/>
      <c r="KNO67" s="414"/>
      <c r="KNP67" s="414"/>
      <c r="KNQ67" s="414"/>
      <c r="KNR67" s="414"/>
      <c r="KNS67" s="414"/>
      <c r="KNT67" s="414"/>
      <c r="KNU67" s="414"/>
      <c r="KNV67" s="414"/>
      <c r="KNW67" s="414"/>
      <c r="KNX67" s="414"/>
      <c r="KNY67" s="414"/>
      <c r="KNZ67" s="414"/>
      <c r="KOA67" s="414"/>
      <c r="KOB67" s="414"/>
      <c r="KOC67" s="414"/>
      <c r="KOD67" s="414"/>
      <c r="KOE67" s="414"/>
      <c r="KOF67" s="414"/>
      <c r="KOG67" s="414"/>
      <c r="KOH67" s="414"/>
      <c r="KOI67" s="414"/>
      <c r="KOJ67" s="414"/>
      <c r="KOK67" s="414"/>
      <c r="KOL67" s="414"/>
      <c r="KOM67" s="414"/>
      <c r="KON67" s="414"/>
      <c r="KOO67" s="414"/>
      <c r="KOP67" s="414"/>
      <c r="KOQ67" s="414"/>
      <c r="KOR67" s="414"/>
      <c r="KOS67" s="414"/>
      <c r="KOT67" s="414"/>
      <c r="KOU67" s="414"/>
      <c r="KOV67" s="414"/>
      <c r="KOW67" s="414"/>
      <c r="KOX67" s="414"/>
      <c r="KOY67" s="414"/>
      <c r="KOZ67" s="414"/>
      <c r="KPA67" s="414"/>
      <c r="KPB67" s="414"/>
      <c r="KPC67" s="414"/>
      <c r="KPD67" s="414"/>
      <c r="KPE67" s="414"/>
      <c r="KPF67" s="414"/>
      <c r="KPG67" s="414"/>
      <c r="KPH67" s="414"/>
      <c r="KPI67" s="414"/>
      <c r="KPJ67" s="414"/>
      <c r="KPK67" s="414"/>
      <c r="KPL67" s="414"/>
      <c r="KPM67" s="414"/>
      <c r="KPN67" s="414"/>
      <c r="KPO67" s="414"/>
      <c r="KPP67" s="414"/>
      <c r="KPQ67" s="414"/>
      <c r="KPR67" s="414"/>
      <c r="KPS67" s="414"/>
      <c r="KPT67" s="414"/>
      <c r="KPU67" s="414"/>
      <c r="KPV67" s="414"/>
      <c r="KPW67" s="414"/>
      <c r="KPX67" s="414"/>
      <c r="KPY67" s="414"/>
      <c r="KPZ67" s="414"/>
      <c r="KQA67" s="414"/>
      <c r="KQB67" s="414"/>
      <c r="KQC67" s="414"/>
      <c r="KQD67" s="414"/>
      <c r="KQE67" s="414"/>
      <c r="KQF67" s="414"/>
      <c r="KQG67" s="414"/>
      <c r="KQH67" s="414"/>
      <c r="KQI67" s="414"/>
      <c r="KQJ67" s="414"/>
      <c r="KQK67" s="414"/>
      <c r="KQL67" s="414"/>
      <c r="KQM67" s="414"/>
      <c r="KQN67" s="414"/>
      <c r="KQO67" s="414"/>
      <c r="KQP67" s="414"/>
      <c r="KQQ67" s="414"/>
      <c r="KQR67" s="414"/>
      <c r="KQS67" s="414"/>
      <c r="KQT67" s="414"/>
      <c r="KQU67" s="414"/>
      <c r="KQV67" s="414"/>
      <c r="KQW67" s="414"/>
      <c r="KQX67" s="414"/>
      <c r="KQY67" s="414"/>
      <c r="KQZ67" s="414"/>
      <c r="KRA67" s="414"/>
      <c r="KRB67" s="414"/>
      <c r="KRC67" s="414"/>
      <c r="KRD67" s="414"/>
      <c r="KRE67" s="414"/>
      <c r="KRF67" s="414"/>
      <c r="KRG67" s="414"/>
      <c r="KRH67" s="414"/>
      <c r="KRI67" s="414"/>
      <c r="KRJ67" s="414"/>
      <c r="KRK67" s="414"/>
      <c r="KRL67" s="414"/>
      <c r="KRM67" s="414"/>
      <c r="KRN67" s="414"/>
      <c r="KRO67" s="414"/>
      <c r="KRP67" s="414"/>
      <c r="KRQ67" s="414"/>
      <c r="KRR67" s="414"/>
      <c r="KRS67" s="414"/>
      <c r="KRT67" s="414"/>
      <c r="KRU67" s="414"/>
      <c r="KRV67" s="414"/>
      <c r="KRW67" s="414"/>
      <c r="KRX67" s="414"/>
      <c r="KRY67" s="414"/>
      <c r="KRZ67" s="414"/>
      <c r="KSA67" s="414"/>
      <c r="KSB67" s="414"/>
      <c r="KSC67" s="414"/>
      <c r="KSD67" s="414"/>
      <c r="KSE67" s="414"/>
      <c r="KSF67" s="414"/>
      <c r="KSG67" s="414"/>
      <c r="KSH67" s="414"/>
      <c r="KSI67" s="414"/>
      <c r="KSJ67" s="414"/>
      <c r="KSK67" s="414"/>
      <c r="KSL67" s="414"/>
      <c r="KSM67" s="414"/>
      <c r="KSN67" s="414"/>
      <c r="KSO67" s="414"/>
      <c r="KSP67" s="414"/>
      <c r="KSQ67" s="414"/>
      <c r="KSR67" s="414"/>
      <c r="KSS67" s="414"/>
      <c r="KST67" s="414"/>
      <c r="KSU67" s="414"/>
      <c r="KSV67" s="414"/>
      <c r="KSW67" s="414"/>
      <c r="KSX67" s="414"/>
      <c r="KSY67" s="414"/>
      <c r="KSZ67" s="414"/>
      <c r="KTA67" s="414"/>
      <c r="KTB67" s="414"/>
      <c r="KTC67" s="414"/>
      <c r="KTD67" s="414"/>
      <c r="KTE67" s="414"/>
      <c r="KTF67" s="414"/>
      <c r="KTG67" s="414"/>
      <c r="KTH67" s="414"/>
      <c r="KTI67" s="414"/>
      <c r="KTJ67" s="414"/>
      <c r="KTK67" s="414"/>
      <c r="KTL67" s="414"/>
      <c r="KTM67" s="414"/>
      <c r="KTN67" s="414"/>
      <c r="KTO67" s="414"/>
      <c r="KTP67" s="414"/>
      <c r="KTQ67" s="414"/>
      <c r="KTR67" s="414"/>
      <c r="KTS67" s="414"/>
      <c r="KTT67" s="414"/>
      <c r="KTU67" s="414"/>
      <c r="KTV67" s="414"/>
      <c r="KTW67" s="414"/>
      <c r="KTX67" s="414"/>
      <c r="KTY67" s="414"/>
      <c r="KTZ67" s="414"/>
      <c r="KUA67" s="414"/>
      <c r="KUB67" s="414"/>
      <c r="KUC67" s="414"/>
      <c r="KUD67" s="414"/>
      <c r="KUE67" s="414"/>
      <c r="KUF67" s="414"/>
      <c r="KUG67" s="414"/>
      <c r="KUH67" s="414"/>
      <c r="KUI67" s="414"/>
      <c r="KUJ67" s="414"/>
      <c r="KUK67" s="414"/>
      <c r="KUL67" s="414"/>
      <c r="KUM67" s="414"/>
      <c r="KUN67" s="414"/>
      <c r="KUO67" s="414"/>
      <c r="KUP67" s="414"/>
      <c r="KUQ67" s="414"/>
      <c r="KUR67" s="414"/>
      <c r="KUS67" s="414"/>
      <c r="KUT67" s="414"/>
      <c r="KUU67" s="414"/>
      <c r="KUV67" s="414"/>
      <c r="KUW67" s="414"/>
      <c r="KUX67" s="414"/>
      <c r="KUY67" s="414"/>
      <c r="KUZ67" s="414"/>
      <c r="KVA67" s="414"/>
      <c r="KVB67" s="414"/>
      <c r="KVC67" s="414"/>
      <c r="KVD67" s="414"/>
      <c r="KVE67" s="414"/>
      <c r="KVF67" s="414"/>
      <c r="KVG67" s="414"/>
      <c r="KVH67" s="414"/>
      <c r="KVI67" s="414"/>
      <c r="KVJ67" s="414"/>
      <c r="KVK67" s="414"/>
      <c r="KVL67" s="414"/>
      <c r="KVM67" s="414"/>
      <c r="KVN67" s="414"/>
      <c r="KVO67" s="414"/>
      <c r="KVP67" s="414"/>
      <c r="KVQ67" s="414"/>
      <c r="KVR67" s="414"/>
      <c r="KVS67" s="414"/>
      <c r="KVT67" s="414"/>
      <c r="KVU67" s="414"/>
      <c r="KVV67" s="414"/>
      <c r="KVW67" s="414"/>
      <c r="KVX67" s="414"/>
      <c r="KVY67" s="414"/>
      <c r="KVZ67" s="414"/>
      <c r="KWA67" s="414"/>
      <c r="KWB67" s="414"/>
      <c r="KWC67" s="414"/>
      <c r="KWD67" s="414"/>
      <c r="KWE67" s="414"/>
      <c r="KWF67" s="414"/>
      <c r="KWG67" s="414"/>
      <c r="KWH67" s="414"/>
      <c r="KWI67" s="414"/>
      <c r="KWJ67" s="414"/>
      <c r="KWK67" s="414"/>
      <c r="KWL67" s="414"/>
      <c r="KWM67" s="414"/>
      <c r="KWN67" s="414"/>
      <c r="KWO67" s="414"/>
      <c r="KWP67" s="414"/>
      <c r="KWQ67" s="414"/>
      <c r="KWR67" s="414"/>
      <c r="KWS67" s="414"/>
      <c r="KWT67" s="414"/>
      <c r="KWU67" s="414"/>
      <c r="KWV67" s="414"/>
      <c r="KWW67" s="414"/>
      <c r="KWX67" s="414"/>
      <c r="KWY67" s="414"/>
      <c r="KWZ67" s="414"/>
      <c r="KXA67" s="414"/>
      <c r="KXB67" s="414"/>
      <c r="KXC67" s="414"/>
      <c r="KXD67" s="414"/>
      <c r="KXE67" s="414"/>
      <c r="KXF67" s="414"/>
      <c r="KXG67" s="414"/>
      <c r="KXH67" s="414"/>
      <c r="KXI67" s="414"/>
      <c r="KXJ67" s="414"/>
      <c r="KXK67" s="414"/>
      <c r="KXL67" s="414"/>
      <c r="KXM67" s="414"/>
      <c r="KXN67" s="414"/>
      <c r="KXO67" s="414"/>
      <c r="KXP67" s="414"/>
      <c r="KXQ67" s="414"/>
      <c r="KXR67" s="414"/>
      <c r="KXS67" s="414"/>
      <c r="KXT67" s="414"/>
      <c r="KXU67" s="414"/>
      <c r="KXV67" s="414"/>
      <c r="KXW67" s="414"/>
      <c r="KXX67" s="414"/>
      <c r="KXY67" s="414"/>
      <c r="KXZ67" s="414"/>
      <c r="KYA67" s="414"/>
      <c r="KYB67" s="414"/>
      <c r="KYC67" s="414"/>
      <c r="KYD67" s="414"/>
      <c r="KYE67" s="414"/>
      <c r="KYF67" s="414"/>
      <c r="KYG67" s="414"/>
      <c r="KYH67" s="414"/>
      <c r="KYI67" s="414"/>
      <c r="KYJ67" s="414"/>
      <c r="KYK67" s="414"/>
      <c r="KYL67" s="414"/>
      <c r="KYM67" s="414"/>
      <c r="KYN67" s="414"/>
      <c r="KYO67" s="414"/>
      <c r="KYP67" s="414"/>
      <c r="KYQ67" s="414"/>
      <c r="KYR67" s="414"/>
      <c r="KYS67" s="414"/>
      <c r="KYT67" s="414"/>
      <c r="KYU67" s="414"/>
      <c r="KYV67" s="414"/>
      <c r="KYW67" s="414"/>
      <c r="KYX67" s="414"/>
      <c r="KYY67" s="414"/>
      <c r="KYZ67" s="414"/>
      <c r="KZA67" s="414"/>
      <c r="KZB67" s="414"/>
      <c r="KZC67" s="414"/>
      <c r="KZD67" s="414"/>
      <c r="KZE67" s="414"/>
      <c r="KZF67" s="414"/>
      <c r="KZG67" s="414"/>
      <c r="KZH67" s="414"/>
      <c r="KZI67" s="414"/>
      <c r="KZJ67" s="414"/>
      <c r="KZK67" s="414"/>
      <c r="KZL67" s="414"/>
      <c r="KZM67" s="414"/>
      <c r="KZN67" s="414"/>
      <c r="KZO67" s="414"/>
      <c r="KZP67" s="414"/>
      <c r="KZQ67" s="414"/>
      <c r="KZR67" s="414"/>
      <c r="KZS67" s="414"/>
      <c r="KZT67" s="414"/>
      <c r="KZU67" s="414"/>
      <c r="KZV67" s="414"/>
      <c r="KZW67" s="414"/>
      <c r="KZX67" s="414"/>
      <c r="KZY67" s="414"/>
      <c r="KZZ67" s="414"/>
      <c r="LAA67" s="414"/>
      <c r="LAB67" s="414"/>
      <c r="LAC67" s="414"/>
      <c r="LAD67" s="414"/>
      <c r="LAE67" s="414"/>
      <c r="LAF67" s="414"/>
      <c r="LAG67" s="414"/>
      <c r="LAH67" s="414"/>
      <c r="LAI67" s="414"/>
      <c r="LAJ67" s="414"/>
      <c r="LAK67" s="414"/>
      <c r="LAL67" s="414"/>
      <c r="LAM67" s="414"/>
      <c r="LAN67" s="414"/>
      <c r="LAO67" s="414"/>
      <c r="LAP67" s="414"/>
      <c r="LAQ67" s="414"/>
      <c r="LAR67" s="414"/>
      <c r="LAS67" s="414"/>
      <c r="LAT67" s="414"/>
      <c r="LAU67" s="414"/>
      <c r="LAV67" s="414"/>
      <c r="LAW67" s="414"/>
      <c r="LAX67" s="414"/>
      <c r="LAY67" s="414"/>
      <c r="LAZ67" s="414"/>
      <c r="LBA67" s="414"/>
      <c r="LBB67" s="414"/>
      <c r="LBC67" s="414"/>
      <c r="LBD67" s="414"/>
      <c r="LBE67" s="414"/>
      <c r="LBF67" s="414"/>
      <c r="LBG67" s="414"/>
      <c r="LBH67" s="414"/>
      <c r="LBI67" s="414"/>
      <c r="LBJ67" s="414"/>
      <c r="LBK67" s="414"/>
      <c r="LBL67" s="414"/>
      <c r="LBM67" s="414"/>
      <c r="LBN67" s="414"/>
      <c r="LBO67" s="414"/>
      <c r="LBP67" s="414"/>
      <c r="LBQ67" s="414"/>
      <c r="LBR67" s="414"/>
      <c r="LBS67" s="414"/>
      <c r="LBT67" s="414"/>
      <c r="LBU67" s="414"/>
      <c r="LBV67" s="414"/>
      <c r="LBW67" s="414"/>
      <c r="LBX67" s="414"/>
      <c r="LBY67" s="414"/>
      <c r="LBZ67" s="414"/>
      <c r="LCA67" s="414"/>
      <c r="LCB67" s="414"/>
      <c r="LCC67" s="414"/>
      <c r="LCD67" s="414"/>
      <c r="LCE67" s="414"/>
      <c r="LCF67" s="414"/>
      <c r="LCG67" s="414"/>
      <c r="LCH67" s="414"/>
      <c r="LCI67" s="414"/>
      <c r="LCJ67" s="414"/>
      <c r="LCK67" s="414"/>
      <c r="LCL67" s="414"/>
      <c r="LCM67" s="414"/>
      <c r="LCN67" s="414"/>
      <c r="LCO67" s="414"/>
      <c r="LCP67" s="414"/>
      <c r="LCQ67" s="414"/>
      <c r="LCR67" s="414"/>
      <c r="LCS67" s="414"/>
      <c r="LCT67" s="414"/>
      <c r="LCU67" s="414"/>
      <c r="LCV67" s="414"/>
      <c r="LCW67" s="414"/>
      <c r="LCX67" s="414"/>
      <c r="LCY67" s="414"/>
      <c r="LCZ67" s="414"/>
      <c r="LDA67" s="414"/>
      <c r="LDB67" s="414"/>
      <c r="LDC67" s="414"/>
      <c r="LDD67" s="414"/>
      <c r="LDE67" s="414"/>
      <c r="LDF67" s="414"/>
      <c r="LDG67" s="414"/>
      <c r="LDH67" s="414"/>
      <c r="LDI67" s="414"/>
      <c r="LDJ67" s="414"/>
      <c r="LDK67" s="414"/>
      <c r="LDL67" s="414"/>
      <c r="LDM67" s="414"/>
      <c r="LDN67" s="414"/>
      <c r="LDO67" s="414"/>
      <c r="LDP67" s="414"/>
      <c r="LDQ67" s="414"/>
      <c r="LDR67" s="414"/>
      <c r="LDS67" s="414"/>
      <c r="LDT67" s="414"/>
      <c r="LDU67" s="414"/>
      <c r="LDV67" s="414"/>
      <c r="LDW67" s="414"/>
      <c r="LDX67" s="414"/>
      <c r="LDY67" s="414"/>
      <c r="LDZ67" s="414"/>
      <c r="LEA67" s="414"/>
      <c r="LEB67" s="414"/>
      <c r="LEC67" s="414"/>
      <c r="LED67" s="414"/>
      <c r="LEE67" s="414"/>
      <c r="LEF67" s="414"/>
      <c r="LEG67" s="414"/>
      <c r="LEH67" s="414"/>
      <c r="LEI67" s="414"/>
      <c r="LEJ67" s="414"/>
      <c r="LEK67" s="414"/>
      <c r="LEL67" s="414"/>
      <c r="LEM67" s="414"/>
      <c r="LEN67" s="414"/>
      <c r="LEO67" s="414"/>
      <c r="LEP67" s="414"/>
      <c r="LEQ67" s="414"/>
      <c r="LER67" s="414"/>
      <c r="LES67" s="414"/>
      <c r="LET67" s="414"/>
      <c r="LEU67" s="414"/>
      <c r="LEV67" s="414"/>
      <c r="LEW67" s="414"/>
      <c r="LEX67" s="414"/>
      <c r="LEY67" s="414"/>
      <c r="LEZ67" s="414"/>
      <c r="LFA67" s="414"/>
      <c r="LFB67" s="414"/>
      <c r="LFC67" s="414"/>
      <c r="LFD67" s="414"/>
      <c r="LFE67" s="414"/>
      <c r="LFF67" s="414"/>
      <c r="LFG67" s="414"/>
      <c r="LFH67" s="414"/>
      <c r="LFI67" s="414"/>
      <c r="LFJ67" s="414"/>
      <c r="LFK67" s="414"/>
      <c r="LFL67" s="414"/>
      <c r="LFM67" s="414"/>
      <c r="LFN67" s="414"/>
      <c r="LFO67" s="414"/>
      <c r="LFP67" s="414"/>
      <c r="LFQ67" s="414"/>
      <c r="LFR67" s="414"/>
      <c r="LFS67" s="414"/>
      <c r="LFT67" s="414"/>
      <c r="LFU67" s="414"/>
      <c r="LFV67" s="414"/>
      <c r="LFW67" s="414"/>
      <c r="LFX67" s="414"/>
      <c r="LFY67" s="414"/>
      <c r="LFZ67" s="414"/>
      <c r="LGA67" s="414"/>
      <c r="LGB67" s="414"/>
      <c r="LGC67" s="414"/>
      <c r="LGD67" s="414"/>
      <c r="LGE67" s="414"/>
      <c r="LGF67" s="414"/>
      <c r="LGG67" s="414"/>
      <c r="LGH67" s="414"/>
      <c r="LGI67" s="414"/>
      <c r="LGJ67" s="414"/>
      <c r="LGK67" s="414"/>
      <c r="LGL67" s="414"/>
      <c r="LGM67" s="414"/>
      <c r="LGN67" s="414"/>
      <c r="LGO67" s="414"/>
      <c r="LGP67" s="414"/>
      <c r="LGQ67" s="414"/>
      <c r="LGR67" s="414"/>
      <c r="LGS67" s="414"/>
      <c r="LGT67" s="414"/>
      <c r="LGU67" s="414"/>
      <c r="LGV67" s="414"/>
      <c r="LGW67" s="414"/>
      <c r="LGX67" s="414"/>
      <c r="LGY67" s="414"/>
      <c r="LGZ67" s="414"/>
      <c r="LHA67" s="414"/>
      <c r="LHB67" s="414"/>
      <c r="LHC67" s="414"/>
      <c r="LHD67" s="414"/>
      <c r="LHE67" s="414"/>
      <c r="LHF67" s="414"/>
      <c r="LHG67" s="414"/>
      <c r="LHH67" s="414"/>
      <c r="LHI67" s="414"/>
      <c r="LHJ67" s="414"/>
      <c r="LHK67" s="414"/>
      <c r="LHL67" s="414"/>
      <c r="LHM67" s="414"/>
      <c r="LHN67" s="414"/>
      <c r="LHO67" s="414"/>
      <c r="LHP67" s="414"/>
      <c r="LHQ67" s="414"/>
      <c r="LHR67" s="414"/>
      <c r="LHS67" s="414"/>
      <c r="LHT67" s="414"/>
      <c r="LHU67" s="414"/>
      <c r="LHV67" s="414"/>
      <c r="LHW67" s="414"/>
      <c r="LHX67" s="414"/>
      <c r="LHY67" s="414"/>
      <c r="LHZ67" s="414"/>
      <c r="LIA67" s="414"/>
      <c r="LIB67" s="414"/>
      <c r="LIC67" s="414"/>
      <c r="LID67" s="414"/>
      <c r="LIE67" s="414"/>
      <c r="LIF67" s="414"/>
      <c r="LIG67" s="414"/>
      <c r="LIH67" s="414"/>
      <c r="LII67" s="414"/>
      <c r="LIJ67" s="414"/>
      <c r="LIK67" s="414"/>
      <c r="LIL67" s="414"/>
      <c r="LIM67" s="414"/>
      <c r="LIN67" s="414"/>
      <c r="LIO67" s="414"/>
      <c r="LIP67" s="414"/>
      <c r="LIQ67" s="414"/>
      <c r="LIR67" s="414"/>
      <c r="LIS67" s="414"/>
      <c r="LIT67" s="414"/>
      <c r="LIU67" s="414"/>
      <c r="LIV67" s="414"/>
      <c r="LIW67" s="414"/>
      <c r="LIX67" s="414"/>
      <c r="LIY67" s="414"/>
      <c r="LIZ67" s="414"/>
      <c r="LJA67" s="414"/>
      <c r="LJB67" s="414"/>
      <c r="LJC67" s="414"/>
      <c r="LJD67" s="414"/>
      <c r="LJE67" s="414"/>
      <c r="LJF67" s="414"/>
      <c r="LJG67" s="414"/>
      <c r="LJH67" s="414"/>
      <c r="LJI67" s="414"/>
      <c r="LJJ67" s="414"/>
      <c r="LJK67" s="414"/>
      <c r="LJL67" s="414"/>
      <c r="LJM67" s="414"/>
      <c r="LJN67" s="414"/>
      <c r="LJO67" s="414"/>
      <c r="LJP67" s="414"/>
      <c r="LJQ67" s="414"/>
      <c r="LJR67" s="414"/>
      <c r="LJS67" s="414"/>
      <c r="LJT67" s="414"/>
      <c r="LJU67" s="414"/>
      <c r="LJV67" s="414"/>
      <c r="LJW67" s="414"/>
      <c r="LJX67" s="414"/>
      <c r="LJY67" s="414"/>
      <c r="LJZ67" s="414"/>
      <c r="LKA67" s="414"/>
      <c r="LKB67" s="414"/>
      <c r="LKC67" s="414"/>
      <c r="LKD67" s="414"/>
      <c r="LKE67" s="414"/>
      <c r="LKF67" s="414"/>
      <c r="LKG67" s="414"/>
      <c r="LKH67" s="414"/>
      <c r="LKI67" s="414"/>
      <c r="LKJ67" s="414"/>
      <c r="LKK67" s="414"/>
      <c r="LKL67" s="414"/>
      <c r="LKM67" s="414"/>
      <c r="LKN67" s="414"/>
      <c r="LKO67" s="414"/>
      <c r="LKP67" s="414"/>
      <c r="LKQ67" s="414"/>
      <c r="LKR67" s="414"/>
      <c r="LKS67" s="414"/>
      <c r="LKT67" s="414"/>
      <c r="LKU67" s="414"/>
      <c r="LKV67" s="414"/>
      <c r="LKW67" s="414"/>
      <c r="LKX67" s="414"/>
      <c r="LKY67" s="414"/>
      <c r="LKZ67" s="414"/>
      <c r="LLA67" s="414"/>
      <c r="LLB67" s="414"/>
      <c r="LLC67" s="414"/>
      <c r="LLD67" s="414"/>
      <c r="LLE67" s="414"/>
      <c r="LLF67" s="414"/>
      <c r="LLG67" s="414"/>
      <c r="LLH67" s="414"/>
      <c r="LLI67" s="414"/>
      <c r="LLJ67" s="414"/>
      <c r="LLK67" s="414"/>
      <c r="LLL67" s="414"/>
      <c r="LLM67" s="414"/>
      <c r="LLN67" s="414"/>
      <c r="LLO67" s="414"/>
      <c r="LLP67" s="414"/>
      <c r="LLQ67" s="414"/>
      <c r="LLR67" s="414"/>
      <c r="LLS67" s="414"/>
      <c r="LLT67" s="414"/>
      <c r="LLU67" s="414"/>
      <c r="LLV67" s="414"/>
      <c r="LLW67" s="414"/>
      <c r="LLX67" s="414"/>
      <c r="LLY67" s="414"/>
      <c r="LLZ67" s="414"/>
      <c r="LMA67" s="414"/>
      <c r="LMB67" s="414"/>
      <c r="LMC67" s="414"/>
      <c r="LMD67" s="414"/>
      <c r="LME67" s="414"/>
      <c r="LMF67" s="414"/>
      <c r="LMG67" s="414"/>
      <c r="LMH67" s="414"/>
      <c r="LMI67" s="414"/>
      <c r="LMJ67" s="414"/>
      <c r="LMK67" s="414"/>
      <c r="LML67" s="414"/>
      <c r="LMM67" s="414"/>
      <c r="LMN67" s="414"/>
      <c r="LMO67" s="414"/>
      <c r="LMP67" s="414"/>
      <c r="LMQ67" s="414"/>
      <c r="LMR67" s="414"/>
      <c r="LMS67" s="414"/>
      <c r="LMT67" s="414"/>
      <c r="LMU67" s="414"/>
      <c r="LMV67" s="414"/>
      <c r="LMW67" s="414"/>
      <c r="LMX67" s="414"/>
      <c r="LMY67" s="414"/>
      <c r="LMZ67" s="414"/>
      <c r="LNA67" s="414"/>
      <c r="LNB67" s="414"/>
      <c r="LNC67" s="414"/>
      <c r="LND67" s="414"/>
      <c r="LNE67" s="414"/>
      <c r="LNF67" s="414"/>
      <c r="LNG67" s="414"/>
      <c r="LNH67" s="414"/>
      <c r="LNI67" s="414"/>
      <c r="LNJ67" s="414"/>
      <c r="LNK67" s="414"/>
      <c r="LNL67" s="414"/>
      <c r="LNM67" s="414"/>
      <c r="LNN67" s="414"/>
      <c r="LNO67" s="414"/>
      <c r="LNP67" s="414"/>
      <c r="LNQ67" s="414"/>
      <c r="LNR67" s="414"/>
      <c r="LNS67" s="414"/>
      <c r="LNT67" s="414"/>
      <c r="LNU67" s="414"/>
      <c r="LNV67" s="414"/>
      <c r="LNW67" s="414"/>
      <c r="LNX67" s="414"/>
      <c r="LNY67" s="414"/>
      <c r="LNZ67" s="414"/>
      <c r="LOA67" s="414"/>
      <c r="LOB67" s="414"/>
      <c r="LOC67" s="414"/>
      <c r="LOD67" s="414"/>
      <c r="LOE67" s="414"/>
      <c r="LOF67" s="414"/>
      <c r="LOG67" s="414"/>
      <c r="LOH67" s="414"/>
      <c r="LOI67" s="414"/>
      <c r="LOJ67" s="414"/>
      <c r="LOK67" s="414"/>
      <c r="LOL67" s="414"/>
      <c r="LOM67" s="414"/>
      <c r="LON67" s="414"/>
      <c r="LOO67" s="414"/>
      <c r="LOP67" s="414"/>
      <c r="LOQ67" s="414"/>
      <c r="LOR67" s="414"/>
      <c r="LOS67" s="414"/>
      <c r="LOT67" s="414"/>
      <c r="LOU67" s="414"/>
      <c r="LOV67" s="414"/>
      <c r="LOW67" s="414"/>
      <c r="LOX67" s="414"/>
      <c r="LOY67" s="414"/>
      <c r="LOZ67" s="414"/>
      <c r="LPA67" s="414"/>
      <c r="LPB67" s="414"/>
      <c r="LPC67" s="414"/>
      <c r="LPD67" s="414"/>
      <c r="LPE67" s="414"/>
      <c r="LPF67" s="414"/>
      <c r="LPG67" s="414"/>
      <c r="LPH67" s="414"/>
      <c r="LPI67" s="414"/>
      <c r="LPJ67" s="414"/>
      <c r="LPK67" s="414"/>
      <c r="LPL67" s="414"/>
      <c r="LPM67" s="414"/>
      <c r="LPN67" s="414"/>
      <c r="LPO67" s="414"/>
      <c r="LPP67" s="414"/>
      <c r="LPQ67" s="414"/>
      <c r="LPR67" s="414"/>
      <c r="LPS67" s="414"/>
      <c r="LPT67" s="414"/>
      <c r="LPU67" s="414"/>
      <c r="LPV67" s="414"/>
      <c r="LPW67" s="414"/>
      <c r="LPX67" s="414"/>
      <c r="LPY67" s="414"/>
      <c r="LPZ67" s="414"/>
      <c r="LQA67" s="414"/>
      <c r="LQB67" s="414"/>
      <c r="LQC67" s="414"/>
      <c r="LQD67" s="414"/>
      <c r="LQE67" s="414"/>
      <c r="LQF67" s="414"/>
      <c r="LQG67" s="414"/>
      <c r="LQH67" s="414"/>
      <c r="LQI67" s="414"/>
      <c r="LQJ67" s="414"/>
      <c r="LQK67" s="414"/>
      <c r="LQL67" s="414"/>
      <c r="LQM67" s="414"/>
      <c r="LQN67" s="414"/>
      <c r="LQO67" s="414"/>
      <c r="LQP67" s="414"/>
      <c r="LQQ67" s="414"/>
      <c r="LQR67" s="414"/>
      <c r="LQS67" s="414"/>
      <c r="LQT67" s="414"/>
      <c r="LQU67" s="414"/>
      <c r="LQV67" s="414"/>
      <c r="LQW67" s="414"/>
      <c r="LQX67" s="414"/>
      <c r="LQY67" s="414"/>
      <c r="LQZ67" s="414"/>
      <c r="LRA67" s="414"/>
      <c r="LRB67" s="414"/>
      <c r="LRC67" s="414"/>
      <c r="LRD67" s="414"/>
      <c r="LRE67" s="414"/>
      <c r="LRF67" s="414"/>
      <c r="LRG67" s="414"/>
      <c r="LRH67" s="414"/>
      <c r="LRI67" s="414"/>
      <c r="LRJ67" s="414"/>
      <c r="LRK67" s="414"/>
      <c r="LRL67" s="414"/>
      <c r="LRM67" s="414"/>
      <c r="LRN67" s="414"/>
      <c r="LRO67" s="414"/>
      <c r="LRP67" s="414"/>
      <c r="LRQ67" s="414"/>
      <c r="LRR67" s="414"/>
      <c r="LRS67" s="414"/>
      <c r="LRT67" s="414"/>
      <c r="LRU67" s="414"/>
      <c r="LRV67" s="414"/>
      <c r="LRW67" s="414"/>
      <c r="LRX67" s="414"/>
      <c r="LRY67" s="414"/>
      <c r="LRZ67" s="414"/>
      <c r="LSA67" s="414"/>
      <c r="LSB67" s="414"/>
      <c r="LSC67" s="414"/>
      <c r="LSD67" s="414"/>
      <c r="LSE67" s="414"/>
      <c r="LSF67" s="414"/>
      <c r="LSG67" s="414"/>
      <c r="LSH67" s="414"/>
      <c r="LSI67" s="414"/>
      <c r="LSJ67" s="414"/>
      <c r="LSK67" s="414"/>
      <c r="LSL67" s="414"/>
      <c r="LSM67" s="414"/>
      <c r="LSN67" s="414"/>
      <c r="LSO67" s="414"/>
      <c r="LSP67" s="414"/>
      <c r="LSQ67" s="414"/>
      <c r="LSR67" s="414"/>
      <c r="LSS67" s="414"/>
      <c r="LST67" s="414"/>
      <c r="LSU67" s="414"/>
      <c r="LSV67" s="414"/>
      <c r="LSW67" s="414"/>
      <c r="LSX67" s="414"/>
      <c r="LSY67" s="414"/>
      <c r="LSZ67" s="414"/>
      <c r="LTA67" s="414"/>
      <c r="LTB67" s="414"/>
      <c r="LTC67" s="414"/>
      <c r="LTD67" s="414"/>
      <c r="LTE67" s="414"/>
      <c r="LTF67" s="414"/>
      <c r="LTG67" s="414"/>
      <c r="LTH67" s="414"/>
      <c r="LTI67" s="414"/>
      <c r="LTJ67" s="414"/>
      <c r="LTK67" s="414"/>
      <c r="LTL67" s="414"/>
      <c r="LTM67" s="414"/>
      <c r="LTN67" s="414"/>
      <c r="LTO67" s="414"/>
      <c r="LTP67" s="414"/>
      <c r="LTQ67" s="414"/>
      <c r="LTR67" s="414"/>
      <c r="LTS67" s="414"/>
      <c r="LTT67" s="414"/>
      <c r="LTU67" s="414"/>
      <c r="LTV67" s="414"/>
      <c r="LTW67" s="414"/>
      <c r="LTX67" s="414"/>
      <c r="LTY67" s="414"/>
      <c r="LTZ67" s="414"/>
      <c r="LUA67" s="414"/>
      <c r="LUB67" s="414"/>
      <c r="LUC67" s="414"/>
      <c r="LUD67" s="414"/>
      <c r="LUE67" s="414"/>
      <c r="LUF67" s="414"/>
      <c r="LUG67" s="414"/>
      <c r="LUH67" s="414"/>
      <c r="LUI67" s="414"/>
      <c r="LUJ67" s="414"/>
      <c r="LUK67" s="414"/>
      <c r="LUL67" s="414"/>
      <c r="LUM67" s="414"/>
      <c r="LUN67" s="414"/>
      <c r="LUO67" s="414"/>
      <c r="LUP67" s="414"/>
      <c r="LUQ67" s="414"/>
      <c r="LUR67" s="414"/>
      <c r="LUS67" s="414"/>
      <c r="LUT67" s="414"/>
      <c r="LUU67" s="414"/>
      <c r="LUV67" s="414"/>
      <c r="LUW67" s="414"/>
      <c r="LUX67" s="414"/>
      <c r="LUY67" s="414"/>
      <c r="LUZ67" s="414"/>
      <c r="LVA67" s="414"/>
      <c r="LVB67" s="414"/>
      <c r="LVC67" s="414"/>
      <c r="LVD67" s="414"/>
      <c r="LVE67" s="414"/>
      <c r="LVF67" s="414"/>
      <c r="LVG67" s="414"/>
      <c r="LVH67" s="414"/>
      <c r="LVI67" s="414"/>
      <c r="LVJ67" s="414"/>
      <c r="LVK67" s="414"/>
      <c r="LVL67" s="414"/>
      <c r="LVM67" s="414"/>
      <c r="LVN67" s="414"/>
      <c r="LVO67" s="414"/>
      <c r="LVP67" s="414"/>
      <c r="LVQ67" s="414"/>
      <c r="LVR67" s="414"/>
      <c r="LVS67" s="414"/>
      <c r="LVT67" s="414"/>
      <c r="LVU67" s="414"/>
      <c r="LVV67" s="414"/>
      <c r="LVW67" s="414"/>
      <c r="LVX67" s="414"/>
      <c r="LVY67" s="414"/>
      <c r="LVZ67" s="414"/>
      <c r="LWA67" s="414"/>
      <c r="LWB67" s="414"/>
      <c r="LWC67" s="414"/>
      <c r="LWD67" s="414"/>
      <c r="LWE67" s="414"/>
      <c r="LWF67" s="414"/>
      <c r="LWG67" s="414"/>
      <c r="LWH67" s="414"/>
      <c r="LWI67" s="414"/>
      <c r="LWJ67" s="414"/>
      <c r="LWK67" s="414"/>
      <c r="LWL67" s="414"/>
      <c r="LWM67" s="414"/>
      <c r="LWN67" s="414"/>
      <c r="LWO67" s="414"/>
      <c r="LWP67" s="414"/>
      <c r="LWQ67" s="414"/>
      <c r="LWR67" s="414"/>
      <c r="LWS67" s="414"/>
      <c r="LWT67" s="414"/>
      <c r="LWU67" s="414"/>
      <c r="LWV67" s="414"/>
      <c r="LWW67" s="414"/>
      <c r="LWX67" s="414"/>
      <c r="LWY67" s="414"/>
      <c r="LWZ67" s="414"/>
      <c r="LXA67" s="414"/>
      <c r="LXB67" s="414"/>
      <c r="LXC67" s="414"/>
      <c r="LXD67" s="414"/>
      <c r="LXE67" s="414"/>
      <c r="LXF67" s="414"/>
      <c r="LXG67" s="414"/>
      <c r="LXH67" s="414"/>
      <c r="LXI67" s="414"/>
      <c r="LXJ67" s="414"/>
      <c r="LXK67" s="414"/>
      <c r="LXL67" s="414"/>
      <c r="LXM67" s="414"/>
      <c r="LXN67" s="414"/>
      <c r="LXO67" s="414"/>
      <c r="LXP67" s="414"/>
      <c r="LXQ67" s="414"/>
      <c r="LXR67" s="414"/>
      <c r="LXS67" s="414"/>
      <c r="LXT67" s="414"/>
      <c r="LXU67" s="414"/>
      <c r="LXV67" s="414"/>
      <c r="LXW67" s="414"/>
      <c r="LXX67" s="414"/>
      <c r="LXY67" s="414"/>
      <c r="LXZ67" s="414"/>
      <c r="LYA67" s="414"/>
      <c r="LYB67" s="414"/>
      <c r="LYC67" s="414"/>
      <c r="LYD67" s="414"/>
      <c r="LYE67" s="414"/>
      <c r="LYF67" s="414"/>
      <c r="LYG67" s="414"/>
      <c r="LYH67" s="414"/>
      <c r="LYI67" s="414"/>
      <c r="LYJ67" s="414"/>
      <c r="LYK67" s="414"/>
      <c r="LYL67" s="414"/>
      <c r="LYM67" s="414"/>
      <c r="LYN67" s="414"/>
      <c r="LYO67" s="414"/>
      <c r="LYP67" s="414"/>
      <c r="LYQ67" s="414"/>
      <c r="LYR67" s="414"/>
      <c r="LYS67" s="414"/>
      <c r="LYT67" s="414"/>
      <c r="LYU67" s="414"/>
      <c r="LYV67" s="414"/>
      <c r="LYW67" s="414"/>
      <c r="LYX67" s="414"/>
      <c r="LYY67" s="414"/>
      <c r="LYZ67" s="414"/>
      <c r="LZA67" s="414"/>
      <c r="LZB67" s="414"/>
      <c r="LZC67" s="414"/>
      <c r="LZD67" s="414"/>
      <c r="LZE67" s="414"/>
      <c r="LZF67" s="414"/>
      <c r="LZG67" s="414"/>
      <c r="LZH67" s="414"/>
      <c r="LZI67" s="414"/>
      <c r="LZJ67" s="414"/>
      <c r="LZK67" s="414"/>
      <c r="LZL67" s="414"/>
      <c r="LZM67" s="414"/>
      <c r="LZN67" s="414"/>
      <c r="LZO67" s="414"/>
      <c r="LZP67" s="414"/>
      <c r="LZQ67" s="414"/>
      <c r="LZR67" s="414"/>
      <c r="LZS67" s="414"/>
      <c r="LZT67" s="414"/>
      <c r="LZU67" s="414"/>
      <c r="LZV67" s="414"/>
      <c r="LZW67" s="414"/>
      <c r="LZX67" s="414"/>
      <c r="LZY67" s="414"/>
      <c r="LZZ67" s="414"/>
      <c r="MAA67" s="414"/>
      <c r="MAB67" s="414"/>
      <c r="MAC67" s="414"/>
      <c r="MAD67" s="414"/>
      <c r="MAE67" s="414"/>
      <c r="MAF67" s="414"/>
      <c r="MAG67" s="414"/>
      <c r="MAH67" s="414"/>
      <c r="MAI67" s="414"/>
      <c r="MAJ67" s="414"/>
      <c r="MAK67" s="414"/>
      <c r="MAL67" s="414"/>
      <c r="MAM67" s="414"/>
      <c r="MAN67" s="414"/>
      <c r="MAO67" s="414"/>
      <c r="MAP67" s="414"/>
      <c r="MAQ67" s="414"/>
      <c r="MAR67" s="414"/>
      <c r="MAS67" s="414"/>
      <c r="MAT67" s="414"/>
      <c r="MAU67" s="414"/>
      <c r="MAV67" s="414"/>
      <c r="MAW67" s="414"/>
      <c r="MAX67" s="414"/>
      <c r="MAY67" s="414"/>
      <c r="MAZ67" s="414"/>
      <c r="MBA67" s="414"/>
      <c r="MBB67" s="414"/>
      <c r="MBC67" s="414"/>
      <c r="MBD67" s="414"/>
      <c r="MBE67" s="414"/>
      <c r="MBF67" s="414"/>
      <c r="MBG67" s="414"/>
      <c r="MBH67" s="414"/>
      <c r="MBI67" s="414"/>
      <c r="MBJ67" s="414"/>
      <c r="MBK67" s="414"/>
      <c r="MBL67" s="414"/>
      <c r="MBM67" s="414"/>
      <c r="MBN67" s="414"/>
      <c r="MBO67" s="414"/>
      <c r="MBP67" s="414"/>
      <c r="MBQ67" s="414"/>
      <c r="MBR67" s="414"/>
      <c r="MBS67" s="414"/>
      <c r="MBT67" s="414"/>
      <c r="MBU67" s="414"/>
      <c r="MBV67" s="414"/>
      <c r="MBW67" s="414"/>
      <c r="MBX67" s="414"/>
      <c r="MBY67" s="414"/>
      <c r="MBZ67" s="414"/>
      <c r="MCA67" s="414"/>
      <c r="MCB67" s="414"/>
      <c r="MCC67" s="414"/>
      <c r="MCD67" s="414"/>
      <c r="MCE67" s="414"/>
      <c r="MCF67" s="414"/>
      <c r="MCG67" s="414"/>
      <c r="MCH67" s="414"/>
      <c r="MCI67" s="414"/>
      <c r="MCJ67" s="414"/>
      <c r="MCK67" s="414"/>
      <c r="MCL67" s="414"/>
      <c r="MCM67" s="414"/>
      <c r="MCN67" s="414"/>
      <c r="MCO67" s="414"/>
      <c r="MCP67" s="414"/>
      <c r="MCQ67" s="414"/>
      <c r="MCR67" s="414"/>
      <c r="MCS67" s="414"/>
      <c r="MCT67" s="414"/>
      <c r="MCU67" s="414"/>
      <c r="MCV67" s="414"/>
      <c r="MCW67" s="414"/>
      <c r="MCX67" s="414"/>
      <c r="MCY67" s="414"/>
      <c r="MCZ67" s="414"/>
      <c r="MDA67" s="414"/>
      <c r="MDB67" s="414"/>
      <c r="MDC67" s="414"/>
      <c r="MDD67" s="414"/>
      <c r="MDE67" s="414"/>
      <c r="MDF67" s="414"/>
      <c r="MDG67" s="414"/>
      <c r="MDH67" s="414"/>
      <c r="MDI67" s="414"/>
      <c r="MDJ67" s="414"/>
      <c r="MDK67" s="414"/>
      <c r="MDL67" s="414"/>
      <c r="MDM67" s="414"/>
      <c r="MDN67" s="414"/>
      <c r="MDO67" s="414"/>
      <c r="MDP67" s="414"/>
      <c r="MDQ67" s="414"/>
      <c r="MDR67" s="414"/>
      <c r="MDS67" s="414"/>
      <c r="MDT67" s="414"/>
      <c r="MDU67" s="414"/>
      <c r="MDV67" s="414"/>
      <c r="MDW67" s="414"/>
      <c r="MDX67" s="414"/>
      <c r="MDY67" s="414"/>
      <c r="MDZ67" s="414"/>
      <c r="MEA67" s="414"/>
      <c r="MEB67" s="414"/>
      <c r="MEC67" s="414"/>
      <c r="MED67" s="414"/>
      <c r="MEE67" s="414"/>
      <c r="MEF67" s="414"/>
      <c r="MEG67" s="414"/>
      <c r="MEH67" s="414"/>
      <c r="MEI67" s="414"/>
      <c r="MEJ67" s="414"/>
      <c r="MEK67" s="414"/>
      <c r="MEL67" s="414"/>
      <c r="MEM67" s="414"/>
      <c r="MEN67" s="414"/>
      <c r="MEO67" s="414"/>
      <c r="MEP67" s="414"/>
      <c r="MEQ67" s="414"/>
      <c r="MER67" s="414"/>
      <c r="MES67" s="414"/>
      <c r="MET67" s="414"/>
      <c r="MEU67" s="414"/>
      <c r="MEV67" s="414"/>
      <c r="MEW67" s="414"/>
      <c r="MEX67" s="414"/>
      <c r="MEY67" s="414"/>
      <c r="MEZ67" s="414"/>
      <c r="MFA67" s="414"/>
      <c r="MFB67" s="414"/>
      <c r="MFC67" s="414"/>
      <c r="MFD67" s="414"/>
      <c r="MFE67" s="414"/>
      <c r="MFF67" s="414"/>
      <c r="MFG67" s="414"/>
      <c r="MFH67" s="414"/>
      <c r="MFI67" s="414"/>
      <c r="MFJ67" s="414"/>
      <c r="MFK67" s="414"/>
      <c r="MFL67" s="414"/>
      <c r="MFM67" s="414"/>
      <c r="MFN67" s="414"/>
      <c r="MFO67" s="414"/>
      <c r="MFP67" s="414"/>
      <c r="MFQ67" s="414"/>
      <c r="MFR67" s="414"/>
      <c r="MFS67" s="414"/>
      <c r="MFT67" s="414"/>
      <c r="MFU67" s="414"/>
      <c r="MFV67" s="414"/>
      <c r="MFW67" s="414"/>
      <c r="MFX67" s="414"/>
      <c r="MFY67" s="414"/>
      <c r="MFZ67" s="414"/>
      <c r="MGA67" s="414"/>
      <c r="MGB67" s="414"/>
      <c r="MGC67" s="414"/>
      <c r="MGD67" s="414"/>
      <c r="MGE67" s="414"/>
      <c r="MGF67" s="414"/>
      <c r="MGG67" s="414"/>
      <c r="MGH67" s="414"/>
      <c r="MGI67" s="414"/>
      <c r="MGJ67" s="414"/>
      <c r="MGK67" s="414"/>
      <c r="MGL67" s="414"/>
      <c r="MGM67" s="414"/>
      <c r="MGN67" s="414"/>
      <c r="MGO67" s="414"/>
      <c r="MGP67" s="414"/>
      <c r="MGQ67" s="414"/>
      <c r="MGR67" s="414"/>
      <c r="MGS67" s="414"/>
      <c r="MGT67" s="414"/>
      <c r="MGU67" s="414"/>
      <c r="MGV67" s="414"/>
      <c r="MGW67" s="414"/>
      <c r="MGX67" s="414"/>
      <c r="MGY67" s="414"/>
      <c r="MGZ67" s="414"/>
      <c r="MHA67" s="414"/>
      <c r="MHB67" s="414"/>
      <c r="MHC67" s="414"/>
      <c r="MHD67" s="414"/>
      <c r="MHE67" s="414"/>
      <c r="MHF67" s="414"/>
      <c r="MHG67" s="414"/>
      <c r="MHH67" s="414"/>
      <c r="MHI67" s="414"/>
      <c r="MHJ67" s="414"/>
      <c r="MHK67" s="414"/>
      <c r="MHL67" s="414"/>
      <c r="MHM67" s="414"/>
      <c r="MHN67" s="414"/>
      <c r="MHO67" s="414"/>
      <c r="MHP67" s="414"/>
      <c r="MHQ67" s="414"/>
      <c r="MHR67" s="414"/>
      <c r="MHS67" s="414"/>
      <c r="MHT67" s="414"/>
      <c r="MHU67" s="414"/>
      <c r="MHV67" s="414"/>
      <c r="MHW67" s="414"/>
      <c r="MHX67" s="414"/>
      <c r="MHY67" s="414"/>
      <c r="MHZ67" s="414"/>
      <c r="MIA67" s="414"/>
      <c r="MIB67" s="414"/>
      <c r="MIC67" s="414"/>
      <c r="MID67" s="414"/>
      <c r="MIE67" s="414"/>
      <c r="MIF67" s="414"/>
      <c r="MIG67" s="414"/>
      <c r="MIH67" s="414"/>
      <c r="MII67" s="414"/>
      <c r="MIJ67" s="414"/>
      <c r="MIK67" s="414"/>
      <c r="MIL67" s="414"/>
      <c r="MIM67" s="414"/>
      <c r="MIN67" s="414"/>
      <c r="MIO67" s="414"/>
      <c r="MIP67" s="414"/>
      <c r="MIQ67" s="414"/>
      <c r="MIR67" s="414"/>
      <c r="MIS67" s="414"/>
      <c r="MIT67" s="414"/>
      <c r="MIU67" s="414"/>
      <c r="MIV67" s="414"/>
      <c r="MIW67" s="414"/>
      <c r="MIX67" s="414"/>
      <c r="MIY67" s="414"/>
      <c r="MIZ67" s="414"/>
      <c r="MJA67" s="414"/>
      <c r="MJB67" s="414"/>
      <c r="MJC67" s="414"/>
      <c r="MJD67" s="414"/>
      <c r="MJE67" s="414"/>
      <c r="MJF67" s="414"/>
      <c r="MJG67" s="414"/>
      <c r="MJH67" s="414"/>
      <c r="MJI67" s="414"/>
      <c r="MJJ67" s="414"/>
      <c r="MJK67" s="414"/>
      <c r="MJL67" s="414"/>
      <c r="MJM67" s="414"/>
      <c r="MJN67" s="414"/>
      <c r="MJO67" s="414"/>
      <c r="MJP67" s="414"/>
      <c r="MJQ67" s="414"/>
      <c r="MJR67" s="414"/>
      <c r="MJS67" s="414"/>
      <c r="MJT67" s="414"/>
      <c r="MJU67" s="414"/>
      <c r="MJV67" s="414"/>
      <c r="MJW67" s="414"/>
      <c r="MJX67" s="414"/>
      <c r="MJY67" s="414"/>
      <c r="MJZ67" s="414"/>
      <c r="MKA67" s="414"/>
      <c r="MKB67" s="414"/>
      <c r="MKC67" s="414"/>
      <c r="MKD67" s="414"/>
      <c r="MKE67" s="414"/>
      <c r="MKF67" s="414"/>
      <c r="MKG67" s="414"/>
      <c r="MKH67" s="414"/>
      <c r="MKI67" s="414"/>
      <c r="MKJ67" s="414"/>
      <c r="MKK67" s="414"/>
      <c r="MKL67" s="414"/>
      <c r="MKM67" s="414"/>
      <c r="MKN67" s="414"/>
      <c r="MKO67" s="414"/>
      <c r="MKP67" s="414"/>
      <c r="MKQ67" s="414"/>
      <c r="MKR67" s="414"/>
      <c r="MKS67" s="414"/>
      <c r="MKT67" s="414"/>
      <c r="MKU67" s="414"/>
      <c r="MKV67" s="414"/>
      <c r="MKW67" s="414"/>
      <c r="MKX67" s="414"/>
      <c r="MKY67" s="414"/>
      <c r="MKZ67" s="414"/>
      <c r="MLA67" s="414"/>
      <c r="MLB67" s="414"/>
      <c r="MLC67" s="414"/>
      <c r="MLD67" s="414"/>
      <c r="MLE67" s="414"/>
      <c r="MLF67" s="414"/>
      <c r="MLG67" s="414"/>
      <c r="MLH67" s="414"/>
      <c r="MLI67" s="414"/>
      <c r="MLJ67" s="414"/>
      <c r="MLK67" s="414"/>
      <c r="MLL67" s="414"/>
      <c r="MLM67" s="414"/>
      <c r="MLN67" s="414"/>
      <c r="MLO67" s="414"/>
      <c r="MLP67" s="414"/>
      <c r="MLQ67" s="414"/>
      <c r="MLR67" s="414"/>
      <c r="MLS67" s="414"/>
      <c r="MLT67" s="414"/>
      <c r="MLU67" s="414"/>
      <c r="MLV67" s="414"/>
      <c r="MLW67" s="414"/>
      <c r="MLX67" s="414"/>
      <c r="MLY67" s="414"/>
      <c r="MLZ67" s="414"/>
      <c r="MMA67" s="414"/>
      <c r="MMB67" s="414"/>
      <c r="MMC67" s="414"/>
      <c r="MMD67" s="414"/>
      <c r="MME67" s="414"/>
      <c r="MMF67" s="414"/>
      <c r="MMG67" s="414"/>
      <c r="MMH67" s="414"/>
      <c r="MMI67" s="414"/>
      <c r="MMJ67" s="414"/>
      <c r="MMK67" s="414"/>
      <c r="MML67" s="414"/>
      <c r="MMM67" s="414"/>
      <c r="MMN67" s="414"/>
      <c r="MMO67" s="414"/>
      <c r="MMP67" s="414"/>
      <c r="MMQ67" s="414"/>
      <c r="MMR67" s="414"/>
      <c r="MMS67" s="414"/>
      <c r="MMT67" s="414"/>
      <c r="MMU67" s="414"/>
      <c r="MMV67" s="414"/>
      <c r="MMW67" s="414"/>
      <c r="MMX67" s="414"/>
      <c r="MMY67" s="414"/>
      <c r="MMZ67" s="414"/>
      <c r="MNA67" s="414"/>
      <c r="MNB67" s="414"/>
      <c r="MNC67" s="414"/>
      <c r="MND67" s="414"/>
      <c r="MNE67" s="414"/>
      <c r="MNF67" s="414"/>
      <c r="MNG67" s="414"/>
      <c r="MNH67" s="414"/>
      <c r="MNI67" s="414"/>
      <c r="MNJ67" s="414"/>
      <c r="MNK67" s="414"/>
      <c r="MNL67" s="414"/>
      <c r="MNM67" s="414"/>
      <c r="MNN67" s="414"/>
      <c r="MNO67" s="414"/>
      <c r="MNP67" s="414"/>
      <c r="MNQ67" s="414"/>
      <c r="MNR67" s="414"/>
      <c r="MNS67" s="414"/>
      <c r="MNT67" s="414"/>
      <c r="MNU67" s="414"/>
      <c r="MNV67" s="414"/>
      <c r="MNW67" s="414"/>
      <c r="MNX67" s="414"/>
      <c r="MNY67" s="414"/>
      <c r="MNZ67" s="414"/>
      <c r="MOA67" s="414"/>
      <c r="MOB67" s="414"/>
      <c r="MOC67" s="414"/>
      <c r="MOD67" s="414"/>
      <c r="MOE67" s="414"/>
      <c r="MOF67" s="414"/>
      <c r="MOG67" s="414"/>
      <c r="MOH67" s="414"/>
      <c r="MOI67" s="414"/>
      <c r="MOJ67" s="414"/>
      <c r="MOK67" s="414"/>
      <c r="MOL67" s="414"/>
      <c r="MOM67" s="414"/>
      <c r="MON67" s="414"/>
      <c r="MOO67" s="414"/>
      <c r="MOP67" s="414"/>
      <c r="MOQ67" s="414"/>
      <c r="MOR67" s="414"/>
      <c r="MOS67" s="414"/>
      <c r="MOT67" s="414"/>
      <c r="MOU67" s="414"/>
      <c r="MOV67" s="414"/>
      <c r="MOW67" s="414"/>
      <c r="MOX67" s="414"/>
      <c r="MOY67" s="414"/>
      <c r="MOZ67" s="414"/>
      <c r="MPA67" s="414"/>
      <c r="MPB67" s="414"/>
      <c r="MPC67" s="414"/>
      <c r="MPD67" s="414"/>
      <c r="MPE67" s="414"/>
      <c r="MPF67" s="414"/>
      <c r="MPG67" s="414"/>
      <c r="MPH67" s="414"/>
      <c r="MPI67" s="414"/>
      <c r="MPJ67" s="414"/>
      <c r="MPK67" s="414"/>
      <c r="MPL67" s="414"/>
      <c r="MPM67" s="414"/>
      <c r="MPN67" s="414"/>
      <c r="MPO67" s="414"/>
      <c r="MPP67" s="414"/>
      <c r="MPQ67" s="414"/>
      <c r="MPR67" s="414"/>
      <c r="MPS67" s="414"/>
      <c r="MPT67" s="414"/>
      <c r="MPU67" s="414"/>
      <c r="MPV67" s="414"/>
      <c r="MPW67" s="414"/>
      <c r="MPX67" s="414"/>
      <c r="MPY67" s="414"/>
      <c r="MPZ67" s="414"/>
      <c r="MQA67" s="414"/>
      <c r="MQB67" s="414"/>
      <c r="MQC67" s="414"/>
      <c r="MQD67" s="414"/>
      <c r="MQE67" s="414"/>
      <c r="MQF67" s="414"/>
      <c r="MQG67" s="414"/>
      <c r="MQH67" s="414"/>
      <c r="MQI67" s="414"/>
      <c r="MQJ67" s="414"/>
      <c r="MQK67" s="414"/>
      <c r="MQL67" s="414"/>
      <c r="MQM67" s="414"/>
      <c r="MQN67" s="414"/>
      <c r="MQO67" s="414"/>
      <c r="MQP67" s="414"/>
      <c r="MQQ67" s="414"/>
      <c r="MQR67" s="414"/>
      <c r="MQS67" s="414"/>
      <c r="MQT67" s="414"/>
      <c r="MQU67" s="414"/>
      <c r="MQV67" s="414"/>
      <c r="MQW67" s="414"/>
      <c r="MQX67" s="414"/>
      <c r="MQY67" s="414"/>
      <c r="MQZ67" s="414"/>
      <c r="MRA67" s="414"/>
      <c r="MRB67" s="414"/>
      <c r="MRC67" s="414"/>
      <c r="MRD67" s="414"/>
      <c r="MRE67" s="414"/>
      <c r="MRF67" s="414"/>
      <c r="MRG67" s="414"/>
      <c r="MRH67" s="414"/>
      <c r="MRI67" s="414"/>
      <c r="MRJ67" s="414"/>
      <c r="MRK67" s="414"/>
      <c r="MRL67" s="414"/>
      <c r="MRM67" s="414"/>
      <c r="MRN67" s="414"/>
      <c r="MRO67" s="414"/>
      <c r="MRP67" s="414"/>
      <c r="MRQ67" s="414"/>
      <c r="MRR67" s="414"/>
      <c r="MRS67" s="414"/>
      <c r="MRT67" s="414"/>
      <c r="MRU67" s="414"/>
      <c r="MRV67" s="414"/>
      <c r="MRW67" s="414"/>
      <c r="MRX67" s="414"/>
      <c r="MRY67" s="414"/>
      <c r="MRZ67" s="414"/>
      <c r="MSA67" s="414"/>
      <c r="MSB67" s="414"/>
      <c r="MSC67" s="414"/>
      <c r="MSD67" s="414"/>
      <c r="MSE67" s="414"/>
      <c r="MSF67" s="414"/>
      <c r="MSG67" s="414"/>
      <c r="MSH67" s="414"/>
      <c r="MSI67" s="414"/>
      <c r="MSJ67" s="414"/>
      <c r="MSK67" s="414"/>
      <c r="MSL67" s="414"/>
      <c r="MSM67" s="414"/>
      <c r="MSN67" s="414"/>
      <c r="MSO67" s="414"/>
      <c r="MSP67" s="414"/>
      <c r="MSQ67" s="414"/>
      <c r="MSR67" s="414"/>
      <c r="MSS67" s="414"/>
      <c r="MST67" s="414"/>
      <c r="MSU67" s="414"/>
      <c r="MSV67" s="414"/>
      <c r="MSW67" s="414"/>
      <c r="MSX67" s="414"/>
      <c r="MSY67" s="414"/>
      <c r="MSZ67" s="414"/>
      <c r="MTA67" s="414"/>
      <c r="MTB67" s="414"/>
      <c r="MTC67" s="414"/>
      <c r="MTD67" s="414"/>
      <c r="MTE67" s="414"/>
      <c r="MTF67" s="414"/>
      <c r="MTG67" s="414"/>
      <c r="MTH67" s="414"/>
      <c r="MTI67" s="414"/>
      <c r="MTJ67" s="414"/>
      <c r="MTK67" s="414"/>
      <c r="MTL67" s="414"/>
      <c r="MTM67" s="414"/>
      <c r="MTN67" s="414"/>
      <c r="MTO67" s="414"/>
      <c r="MTP67" s="414"/>
      <c r="MTQ67" s="414"/>
      <c r="MTR67" s="414"/>
      <c r="MTS67" s="414"/>
      <c r="MTT67" s="414"/>
      <c r="MTU67" s="414"/>
      <c r="MTV67" s="414"/>
      <c r="MTW67" s="414"/>
      <c r="MTX67" s="414"/>
      <c r="MTY67" s="414"/>
      <c r="MTZ67" s="414"/>
      <c r="MUA67" s="414"/>
      <c r="MUB67" s="414"/>
      <c r="MUC67" s="414"/>
      <c r="MUD67" s="414"/>
      <c r="MUE67" s="414"/>
      <c r="MUF67" s="414"/>
      <c r="MUG67" s="414"/>
      <c r="MUH67" s="414"/>
      <c r="MUI67" s="414"/>
      <c r="MUJ67" s="414"/>
      <c r="MUK67" s="414"/>
      <c r="MUL67" s="414"/>
      <c r="MUM67" s="414"/>
      <c r="MUN67" s="414"/>
      <c r="MUO67" s="414"/>
      <c r="MUP67" s="414"/>
      <c r="MUQ67" s="414"/>
      <c r="MUR67" s="414"/>
      <c r="MUS67" s="414"/>
      <c r="MUT67" s="414"/>
      <c r="MUU67" s="414"/>
      <c r="MUV67" s="414"/>
      <c r="MUW67" s="414"/>
      <c r="MUX67" s="414"/>
      <c r="MUY67" s="414"/>
      <c r="MUZ67" s="414"/>
      <c r="MVA67" s="414"/>
      <c r="MVB67" s="414"/>
      <c r="MVC67" s="414"/>
      <c r="MVD67" s="414"/>
      <c r="MVE67" s="414"/>
      <c r="MVF67" s="414"/>
      <c r="MVG67" s="414"/>
      <c r="MVH67" s="414"/>
      <c r="MVI67" s="414"/>
      <c r="MVJ67" s="414"/>
      <c r="MVK67" s="414"/>
      <c r="MVL67" s="414"/>
      <c r="MVM67" s="414"/>
      <c r="MVN67" s="414"/>
      <c r="MVO67" s="414"/>
      <c r="MVP67" s="414"/>
      <c r="MVQ67" s="414"/>
      <c r="MVR67" s="414"/>
      <c r="MVS67" s="414"/>
      <c r="MVT67" s="414"/>
      <c r="MVU67" s="414"/>
      <c r="MVV67" s="414"/>
      <c r="MVW67" s="414"/>
      <c r="MVX67" s="414"/>
      <c r="MVY67" s="414"/>
      <c r="MVZ67" s="414"/>
      <c r="MWA67" s="414"/>
      <c r="MWB67" s="414"/>
      <c r="MWC67" s="414"/>
      <c r="MWD67" s="414"/>
      <c r="MWE67" s="414"/>
      <c r="MWF67" s="414"/>
      <c r="MWG67" s="414"/>
      <c r="MWH67" s="414"/>
      <c r="MWI67" s="414"/>
      <c r="MWJ67" s="414"/>
      <c r="MWK67" s="414"/>
      <c r="MWL67" s="414"/>
      <c r="MWM67" s="414"/>
      <c r="MWN67" s="414"/>
      <c r="MWO67" s="414"/>
      <c r="MWP67" s="414"/>
      <c r="MWQ67" s="414"/>
      <c r="MWR67" s="414"/>
      <c r="MWS67" s="414"/>
      <c r="MWT67" s="414"/>
      <c r="MWU67" s="414"/>
      <c r="MWV67" s="414"/>
      <c r="MWW67" s="414"/>
      <c r="MWX67" s="414"/>
      <c r="MWY67" s="414"/>
      <c r="MWZ67" s="414"/>
      <c r="MXA67" s="414"/>
      <c r="MXB67" s="414"/>
      <c r="MXC67" s="414"/>
      <c r="MXD67" s="414"/>
      <c r="MXE67" s="414"/>
      <c r="MXF67" s="414"/>
      <c r="MXG67" s="414"/>
      <c r="MXH67" s="414"/>
      <c r="MXI67" s="414"/>
      <c r="MXJ67" s="414"/>
      <c r="MXK67" s="414"/>
      <c r="MXL67" s="414"/>
      <c r="MXM67" s="414"/>
      <c r="MXN67" s="414"/>
      <c r="MXO67" s="414"/>
      <c r="MXP67" s="414"/>
      <c r="MXQ67" s="414"/>
      <c r="MXR67" s="414"/>
      <c r="MXS67" s="414"/>
      <c r="MXT67" s="414"/>
      <c r="MXU67" s="414"/>
      <c r="MXV67" s="414"/>
      <c r="MXW67" s="414"/>
      <c r="MXX67" s="414"/>
      <c r="MXY67" s="414"/>
      <c r="MXZ67" s="414"/>
      <c r="MYA67" s="414"/>
      <c r="MYB67" s="414"/>
      <c r="MYC67" s="414"/>
      <c r="MYD67" s="414"/>
      <c r="MYE67" s="414"/>
      <c r="MYF67" s="414"/>
      <c r="MYG67" s="414"/>
      <c r="MYH67" s="414"/>
      <c r="MYI67" s="414"/>
      <c r="MYJ67" s="414"/>
      <c r="MYK67" s="414"/>
      <c r="MYL67" s="414"/>
      <c r="MYM67" s="414"/>
      <c r="MYN67" s="414"/>
      <c r="MYO67" s="414"/>
      <c r="MYP67" s="414"/>
      <c r="MYQ67" s="414"/>
      <c r="MYR67" s="414"/>
      <c r="MYS67" s="414"/>
      <c r="MYT67" s="414"/>
      <c r="MYU67" s="414"/>
      <c r="MYV67" s="414"/>
      <c r="MYW67" s="414"/>
      <c r="MYX67" s="414"/>
      <c r="MYY67" s="414"/>
      <c r="MYZ67" s="414"/>
      <c r="MZA67" s="414"/>
      <c r="MZB67" s="414"/>
      <c r="MZC67" s="414"/>
      <c r="MZD67" s="414"/>
      <c r="MZE67" s="414"/>
      <c r="MZF67" s="414"/>
      <c r="MZG67" s="414"/>
      <c r="MZH67" s="414"/>
      <c r="MZI67" s="414"/>
      <c r="MZJ67" s="414"/>
      <c r="MZK67" s="414"/>
      <c r="MZL67" s="414"/>
      <c r="MZM67" s="414"/>
      <c r="MZN67" s="414"/>
      <c r="MZO67" s="414"/>
      <c r="MZP67" s="414"/>
      <c r="MZQ67" s="414"/>
      <c r="MZR67" s="414"/>
      <c r="MZS67" s="414"/>
      <c r="MZT67" s="414"/>
      <c r="MZU67" s="414"/>
      <c r="MZV67" s="414"/>
      <c r="MZW67" s="414"/>
      <c r="MZX67" s="414"/>
      <c r="MZY67" s="414"/>
      <c r="MZZ67" s="414"/>
      <c r="NAA67" s="414"/>
      <c r="NAB67" s="414"/>
      <c r="NAC67" s="414"/>
      <c r="NAD67" s="414"/>
      <c r="NAE67" s="414"/>
      <c r="NAF67" s="414"/>
      <c r="NAG67" s="414"/>
      <c r="NAH67" s="414"/>
      <c r="NAI67" s="414"/>
      <c r="NAJ67" s="414"/>
      <c r="NAK67" s="414"/>
      <c r="NAL67" s="414"/>
      <c r="NAM67" s="414"/>
      <c r="NAN67" s="414"/>
      <c r="NAO67" s="414"/>
      <c r="NAP67" s="414"/>
      <c r="NAQ67" s="414"/>
      <c r="NAR67" s="414"/>
      <c r="NAS67" s="414"/>
      <c r="NAT67" s="414"/>
      <c r="NAU67" s="414"/>
      <c r="NAV67" s="414"/>
      <c r="NAW67" s="414"/>
      <c r="NAX67" s="414"/>
      <c r="NAY67" s="414"/>
      <c r="NAZ67" s="414"/>
      <c r="NBA67" s="414"/>
      <c r="NBB67" s="414"/>
      <c r="NBC67" s="414"/>
      <c r="NBD67" s="414"/>
      <c r="NBE67" s="414"/>
      <c r="NBF67" s="414"/>
      <c r="NBG67" s="414"/>
      <c r="NBH67" s="414"/>
      <c r="NBI67" s="414"/>
      <c r="NBJ67" s="414"/>
      <c r="NBK67" s="414"/>
      <c r="NBL67" s="414"/>
      <c r="NBM67" s="414"/>
      <c r="NBN67" s="414"/>
      <c r="NBO67" s="414"/>
      <c r="NBP67" s="414"/>
      <c r="NBQ67" s="414"/>
      <c r="NBR67" s="414"/>
      <c r="NBS67" s="414"/>
      <c r="NBT67" s="414"/>
      <c r="NBU67" s="414"/>
      <c r="NBV67" s="414"/>
      <c r="NBW67" s="414"/>
      <c r="NBX67" s="414"/>
      <c r="NBY67" s="414"/>
      <c r="NBZ67" s="414"/>
      <c r="NCA67" s="414"/>
      <c r="NCB67" s="414"/>
      <c r="NCC67" s="414"/>
      <c r="NCD67" s="414"/>
      <c r="NCE67" s="414"/>
      <c r="NCF67" s="414"/>
      <c r="NCG67" s="414"/>
      <c r="NCH67" s="414"/>
      <c r="NCI67" s="414"/>
      <c r="NCJ67" s="414"/>
      <c r="NCK67" s="414"/>
      <c r="NCL67" s="414"/>
      <c r="NCM67" s="414"/>
      <c r="NCN67" s="414"/>
      <c r="NCO67" s="414"/>
      <c r="NCP67" s="414"/>
      <c r="NCQ67" s="414"/>
      <c r="NCR67" s="414"/>
      <c r="NCS67" s="414"/>
      <c r="NCT67" s="414"/>
      <c r="NCU67" s="414"/>
      <c r="NCV67" s="414"/>
      <c r="NCW67" s="414"/>
      <c r="NCX67" s="414"/>
      <c r="NCY67" s="414"/>
      <c r="NCZ67" s="414"/>
      <c r="NDA67" s="414"/>
      <c r="NDB67" s="414"/>
      <c r="NDC67" s="414"/>
      <c r="NDD67" s="414"/>
      <c r="NDE67" s="414"/>
      <c r="NDF67" s="414"/>
      <c r="NDG67" s="414"/>
      <c r="NDH67" s="414"/>
      <c r="NDI67" s="414"/>
      <c r="NDJ67" s="414"/>
      <c r="NDK67" s="414"/>
      <c r="NDL67" s="414"/>
      <c r="NDM67" s="414"/>
      <c r="NDN67" s="414"/>
      <c r="NDO67" s="414"/>
      <c r="NDP67" s="414"/>
      <c r="NDQ67" s="414"/>
      <c r="NDR67" s="414"/>
      <c r="NDS67" s="414"/>
      <c r="NDT67" s="414"/>
      <c r="NDU67" s="414"/>
      <c r="NDV67" s="414"/>
      <c r="NDW67" s="414"/>
      <c r="NDX67" s="414"/>
      <c r="NDY67" s="414"/>
      <c r="NDZ67" s="414"/>
      <c r="NEA67" s="414"/>
      <c r="NEB67" s="414"/>
      <c r="NEC67" s="414"/>
      <c r="NED67" s="414"/>
      <c r="NEE67" s="414"/>
      <c r="NEF67" s="414"/>
      <c r="NEG67" s="414"/>
      <c r="NEH67" s="414"/>
      <c r="NEI67" s="414"/>
      <c r="NEJ67" s="414"/>
      <c r="NEK67" s="414"/>
      <c r="NEL67" s="414"/>
      <c r="NEM67" s="414"/>
      <c r="NEN67" s="414"/>
      <c r="NEO67" s="414"/>
      <c r="NEP67" s="414"/>
      <c r="NEQ67" s="414"/>
      <c r="NER67" s="414"/>
      <c r="NES67" s="414"/>
      <c r="NET67" s="414"/>
      <c r="NEU67" s="414"/>
      <c r="NEV67" s="414"/>
      <c r="NEW67" s="414"/>
      <c r="NEX67" s="414"/>
      <c r="NEY67" s="414"/>
      <c r="NEZ67" s="414"/>
      <c r="NFA67" s="414"/>
      <c r="NFB67" s="414"/>
      <c r="NFC67" s="414"/>
      <c r="NFD67" s="414"/>
      <c r="NFE67" s="414"/>
      <c r="NFF67" s="414"/>
      <c r="NFG67" s="414"/>
      <c r="NFH67" s="414"/>
      <c r="NFI67" s="414"/>
      <c r="NFJ67" s="414"/>
      <c r="NFK67" s="414"/>
      <c r="NFL67" s="414"/>
      <c r="NFM67" s="414"/>
      <c r="NFN67" s="414"/>
      <c r="NFO67" s="414"/>
      <c r="NFP67" s="414"/>
      <c r="NFQ67" s="414"/>
      <c r="NFR67" s="414"/>
      <c r="NFS67" s="414"/>
      <c r="NFT67" s="414"/>
      <c r="NFU67" s="414"/>
      <c r="NFV67" s="414"/>
      <c r="NFW67" s="414"/>
      <c r="NFX67" s="414"/>
      <c r="NFY67" s="414"/>
      <c r="NFZ67" s="414"/>
      <c r="NGA67" s="414"/>
      <c r="NGB67" s="414"/>
      <c r="NGC67" s="414"/>
      <c r="NGD67" s="414"/>
      <c r="NGE67" s="414"/>
      <c r="NGF67" s="414"/>
      <c r="NGG67" s="414"/>
      <c r="NGH67" s="414"/>
      <c r="NGI67" s="414"/>
      <c r="NGJ67" s="414"/>
      <c r="NGK67" s="414"/>
      <c r="NGL67" s="414"/>
      <c r="NGM67" s="414"/>
      <c r="NGN67" s="414"/>
      <c r="NGO67" s="414"/>
      <c r="NGP67" s="414"/>
      <c r="NGQ67" s="414"/>
      <c r="NGR67" s="414"/>
      <c r="NGS67" s="414"/>
      <c r="NGT67" s="414"/>
      <c r="NGU67" s="414"/>
      <c r="NGV67" s="414"/>
      <c r="NGW67" s="414"/>
      <c r="NGX67" s="414"/>
      <c r="NGY67" s="414"/>
      <c r="NGZ67" s="414"/>
      <c r="NHA67" s="414"/>
      <c r="NHB67" s="414"/>
      <c r="NHC67" s="414"/>
      <c r="NHD67" s="414"/>
      <c r="NHE67" s="414"/>
      <c r="NHF67" s="414"/>
      <c r="NHG67" s="414"/>
      <c r="NHH67" s="414"/>
      <c r="NHI67" s="414"/>
      <c r="NHJ67" s="414"/>
      <c r="NHK67" s="414"/>
      <c r="NHL67" s="414"/>
      <c r="NHM67" s="414"/>
      <c r="NHN67" s="414"/>
      <c r="NHO67" s="414"/>
      <c r="NHP67" s="414"/>
      <c r="NHQ67" s="414"/>
      <c r="NHR67" s="414"/>
      <c r="NHS67" s="414"/>
      <c r="NHT67" s="414"/>
      <c r="NHU67" s="414"/>
      <c r="NHV67" s="414"/>
      <c r="NHW67" s="414"/>
      <c r="NHX67" s="414"/>
      <c r="NHY67" s="414"/>
      <c r="NHZ67" s="414"/>
      <c r="NIA67" s="414"/>
      <c r="NIB67" s="414"/>
      <c r="NIC67" s="414"/>
      <c r="NID67" s="414"/>
      <c r="NIE67" s="414"/>
      <c r="NIF67" s="414"/>
      <c r="NIG67" s="414"/>
      <c r="NIH67" s="414"/>
      <c r="NII67" s="414"/>
      <c r="NIJ67" s="414"/>
      <c r="NIK67" s="414"/>
      <c r="NIL67" s="414"/>
      <c r="NIM67" s="414"/>
      <c r="NIN67" s="414"/>
      <c r="NIO67" s="414"/>
      <c r="NIP67" s="414"/>
      <c r="NIQ67" s="414"/>
      <c r="NIR67" s="414"/>
      <c r="NIS67" s="414"/>
      <c r="NIT67" s="414"/>
      <c r="NIU67" s="414"/>
      <c r="NIV67" s="414"/>
      <c r="NIW67" s="414"/>
      <c r="NIX67" s="414"/>
      <c r="NIY67" s="414"/>
      <c r="NIZ67" s="414"/>
      <c r="NJA67" s="414"/>
      <c r="NJB67" s="414"/>
      <c r="NJC67" s="414"/>
      <c r="NJD67" s="414"/>
      <c r="NJE67" s="414"/>
      <c r="NJF67" s="414"/>
      <c r="NJG67" s="414"/>
      <c r="NJH67" s="414"/>
      <c r="NJI67" s="414"/>
      <c r="NJJ67" s="414"/>
      <c r="NJK67" s="414"/>
      <c r="NJL67" s="414"/>
      <c r="NJM67" s="414"/>
      <c r="NJN67" s="414"/>
      <c r="NJO67" s="414"/>
      <c r="NJP67" s="414"/>
      <c r="NJQ67" s="414"/>
      <c r="NJR67" s="414"/>
      <c r="NJS67" s="414"/>
      <c r="NJT67" s="414"/>
      <c r="NJU67" s="414"/>
      <c r="NJV67" s="414"/>
      <c r="NJW67" s="414"/>
      <c r="NJX67" s="414"/>
      <c r="NJY67" s="414"/>
      <c r="NJZ67" s="414"/>
      <c r="NKA67" s="414"/>
      <c r="NKB67" s="414"/>
      <c r="NKC67" s="414"/>
      <c r="NKD67" s="414"/>
      <c r="NKE67" s="414"/>
      <c r="NKF67" s="414"/>
      <c r="NKG67" s="414"/>
      <c r="NKH67" s="414"/>
      <c r="NKI67" s="414"/>
      <c r="NKJ67" s="414"/>
      <c r="NKK67" s="414"/>
      <c r="NKL67" s="414"/>
      <c r="NKM67" s="414"/>
      <c r="NKN67" s="414"/>
      <c r="NKO67" s="414"/>
      <c r="NKP67" s="414"/>
      <c r="NKQ67" s="414"/>
      <c r="NKR67" s="414"/>
      <c r="NKS67" s="414"/>
      <c r="NKT67" s="414"/>
      <c r="NKU67" s="414"/>
      <c r="NKV67" s="414"/>
      <c r="NKW67" s="414"/>
      <c r="NKX67" s="414"/>
      <c r="NKY67" s="414"/>
      <c r="NKZ67" s="414"/>
      <c r="NLA67" s="414"/>
      <c r="NLB67" s="414"/>
      <c r="NLC67" s="414"/>
      <c r="NLD67" s="414"/>
      <c r="NLE67" s="414"/>
      <c r="NLF67" s="414"/>
      <c r="NLG67" s="414"/>
      <c r="NLH67" s="414"/>
      <c r="NLI67" s="414"/>
      <c r="NLJ67" s="414"/>
      <c r="NLK67" s="414"/>
      <c r="NLL67" s="414"/>
      <c r="NLM67" s="414"/>
      <c r="NLN67" s="414"/>
      <c r="NLO67" s="414"/>
      <c r="NLP67" s="414"/>
      <c r="NLQ67" s="414"/>
      <c r="NLR67" s="414"/>
      <c r="NLS67" s="414"/>
      <c r="NLT67" s="414"/>
      <c r="NLU67" s="414"/>
      <c r="NLV67" s="414"/>
      <c r="NLW67" s="414"/>
      <c r="NLX67" s="414"/>
      <c r="NLY67" s="414"/>
      <c r="NLZ67" s="414"/>
      <c r="NMA67" s="414"/>
      <c r="NMB67" s="414"/>
      <c r="NMC67" s="414"/>
      <c r="NMD67" s="414"/>
      <c r="NME67" s="414"/>
      <c r="NMF67" s="414"/>
      <c r="NMG67" s="414"/>
      <c r="NMH67" s="414"/>
      <c r="NMI67" s="414"/>
      <c r="NMJ67" s="414"/>
      <c r="NMK67" s="414"/>
      <c r="NML67" s="414"/>
      <c r="NMM67" s="414"/>
      <c r="NMN67" s="414"/>
      <c r="NMO67" s="414"/>
      <c r="NMP67" s="414"/>
      <c r="NMQ67" s="414"/>
      <c r="NMR67" s="414"/>
      <c r="NMS67" s="414"/>
      <c r="NMT67" s="414"/>
      <c r="NMU67" s="414"/>
      <c r="NMV67" s="414"/>
      <c r="NMW67" s="414"/>
      <c r="NMX67" s="414"/>
      <c r="NMY67" s="414"/>
      <c r="NMZ67" s="414"/>
      <c r="NNA67" s="414"/>
      <c r="NNB67" s="414"/>
      <c r="NNC67" s="414"/>
      <c r="NND67" s="414"/>
      <c r="NNE67" s="414"/>
      <c r="NNF67" s="414"/>
      <c r="NNG67" s="414"/>
      <c r="NNH67" s="414"/>
      <c r="NNI67" s="414"/>
      <c r="NNJ67" s="414"/>
      <c r="NNK67" s="414"/>
      <c r="NNL67" s="414"/>
      <c r="NNM67" s="414"/>
      <c r="NNN67" s="414"/>
      <c r="NNO67" s="414"/>
      <c r="NNP67" s="414"/>
      <c r="NNQ67" s="414"/>
      <c r="NNR67" s="414"/>
      <c r="NNS67" s="414"/>
      <c r="NNT67" s="414"/>
      <c r="NNU67" s="414"/>
      <c r="NNV67" s="414"/>
      <c r="NNW67" s="414"/>
      <c r="NNX67" s="414"/>
      <c r="NNY67" s="414"/>
      <c r="NNZ67" s="414"/>
      <c r="NOA67" s="414"/>
      <c r="NOB67" s="414"/>
      <c r="NOC67" s="414"/>
      <c r="NOD67" s="414"/>
      <c r="NOE67" s="414"/>
      <c r="NOF67" s="414"/>
      <c r="NOG67" s="414"/>
      <c r="NOH67" s="414"/>
      <c r="NOI67" s="414"/>
      <c r="NOJ67" s="414"/>
      <c r="NOK67" s="414"/>
      <c r="NOL67" s="414"/>
      <c r="NOM67" s="414"/>
      <c r="NON67" s="414"/>
      <c r="NOO67" s="414"/>
      <c r="NOP67" s="414"/>
      <c r="NOQ67" s="414"/>
      <c r="NOR67" s="414"/>
      <c r="NOS67" s="414"/>
      <c r="NOT67" s="414"/>
      <c r="NOU67" s="414"/>
      <c r="NOV67" s="414"/>
      <c r="NOW67" s="414"/>
      <c r="NOX67" s="414"/>
      <c r="NOY67" s="414"/>
      <c r="NOZ67" s="414"/>
      <c r="NPA67" s="414"/>
      <c r="NPB67" s="414"/>
      <c r="NPC67" s="414"/>
      <c r="NPD67" s="414"/>
      <c r="NPE67" s="414"/>
      <c r="NPF67" s="414"/>
      <c r="NPG67" s="414"/>
      <c r="NPH67" s="414"/>
      <c r="NPI67" s="414"/>
      <c r="NPJ67" s="414"/>
      <c r="NPK67" s="414"/>
      <c r="NPL67" s="414"/>
      <c r="NPM67" s="414"/>
      <c r="NPN67" s="414"/>
      <c r="NPO67" s="414"/>
      <c r="NPP67" s="414"/>
      <c r="NPQ67" s="414"/>
      <c r="NPR67" s="414"/>
      <c r="NPS67" s="414"/>
      <c r="NPT67" s="414"/>
      <c r="NPU67" s="414"/>
      <c r="NPV67" s="414"/>
      <c r="NPW67" s="414"/>
      <c r="NPX67" s="414"/>
      <c r="NPY67" s="414"/>
      <c r="NPZ67" s="414"/>
      <c r="NQA67" s="414"/>
      <c r="NQB67" s="414"/>
      <c r="NQC67" s="414"/>
      <c r="NQD67" s="414"/>
      <c r="NQE67" s="414"/>
      <c r="NQF67" s="414"/>
      <c r="NQG67" s="414"/>
      <c r="NQH67" s="414"/>
      <c r="NQI67" s="414"/>
      <c r="NQJ67" s="414"/>
      <c r="NQK67" s="414"/>
      <c r="NQL67" s="414"/>
      <c r="NQM67" s="414"/>
      <c r="NQN67" s="414"/>
      <c r="NQO67" s="414"/>
      <c r="NQP67" s="414"/>
      <c r="NQQ67" s="414"/>
      <c r="NQR67" s="414"/>
      <c r="NQS67" s="414"/>
      <c r="NQT67" s="414"/>
      <c r="NQU67" s="414"/>
      <c r="NQV67" s="414"/>
      <c r="NQW67" s="414"/>
      <c r="NQX67" s="414"/>
      <c r="NQY67" s="414"/>
      <c r="NQZ67" s="414"/>
      <c r="NRA67" s="414"/>
      <c r="NRB67" s="414"/>
      <c r="NRC67" s="414"/>
      <c r="NRD67" s="414"/>
      <c r="NRE67" s="414"/>
      <c r="NRF67" s="414"/>
      <c r="NRG67" s="414"/>
      <c r="NRH67" s="414"/>
      <c r="NRI67" s="414"/>
      <c r="NRJ67" s="414"/>
      <c r="NRK67" s="414"/>
      <c r="NRL67" s="414"/>
      <c r="NRM67" s="414"/>
      <c r="NRN67" s="414"/>
      <c r="NRO67" s="414"/>
      <c r="NRP67" s="414"/>
      <c r="NRQ67" s="414"/>
      <c r="NRR67" s="414"/>
      <c r="NRS67" s="414"/>
      <c r="NRT67" s="414"/>
      <c r="NRU67" s="414"/>
      <c r="NRV67" s="414"/>
      <c r="NRW67" s="414"/>
      <c r="NRX67" s="414"/>
      <c r="NRY67" s="414"/>
      <c r="NRZ67" s="414"/>
      <c r="NSA67" s="414"/>
      <c r="NSB67" s="414"/>
      <c r="NSC67" s="414"/>
      <c r="NSD67" s="414"/>
      <c r="NSE67" s="414"/>
      <c r="NSF67" s="414"/>
      <c r="NSG67" s="414"/>
      <c r="NSH67" s="414"/>
      <c r="NSI67" s="414"/>
      <c r="NSJ67" s="414"/>
      <c r="NSK67" s="414"/>
      <c r="NSL67" s="414"/>
      <c r="NSM67" s="414"/>
      <c r="NSN67" s="414"/>
      <c r="NSO67" s="414"/>
      <c r="NSP67" s="414"/>
      <c r="NSQ67" s="414"/>
      <c r="NSR67" s="414"/>
      <c r="NSS67" s="414"/>
      <c r="NST67" s="414"/>
      <c r="NSU67" s="414"/>
      <c r="NSV67" s="414"/>
      <c r="NSW67" s="414"/>
      <c r="NSX67" s="414"/>
      <c r="NSY67" s="414"/>
      <c r="NSZ67" s="414"/>
      <c r="NTA67" s="414"/>
      <c r="NTB67" s="414"/>
      <c r="NTC67" s="414"/>
      <c r="NTD67" s="414"/>
      <c r="NTE67" s="414"/>
      <c r="NTF67" s="414"/>
      <c r="NTG67" s="414"/>
      <c r="NTH67" s="414"/>
      <c r="NTI67" s="414"/>
      <c r="NTJ67" s="414"/>
      <c r="NTK67" s="414"/>
      <c r="NTL67" s="414"/>
      <c r="NTM67" s="414"/>
      <c r="NTN67" s="414"/>
      <c r="NTO67" s="414"/>
      <c r="NTP67" s="414"/>
      <c r="NTQ67" s="414"/>
      <c r="NTR67" s="414"/>
      <c r="NTS67" s="414"/>
      <c r="NTT67" s="414"/>
      <c r="NTU67" s="414"/>
      <c r="NTV67" s="414"/>
      <c r="NTW67" s="414"/>
      <c r="NTX67" s="414"/>
      <c r="NTY67" s="414"/>
      <c r="NTZ67" s="414"/>
      <c r="NUA67" s="414"/>
      <c r="NUB67" s="414"/>
      <c r="NUC67" s="414"/>
      <c r="NUD67" s="414"/>
      <c r="NUE67" s="414"/>
      <c r="NUF67" s="414"/>
      <c r="NUG67" s="414"/>
      <c r="NUH67" s="414"/>
      <c r="NUI67" s="414"/>
      <c r="NUJ67" s="414"/>
      <c r="NUK67" s="414"/>
      <c r="NUL67" s="414"/>
      <c r="NUM67" s="414"/>
      <c r="NUN67" s="414"/>
      <c r="NUO67" s="414"/>
      <c r="NUP67" s="414"/>
      <c r="NUQ67" s="414"/>
      <c r="NUR67" s="414"/>
      <c r="NUS67" s="414"/>
      <c r="NUT67" s="414"/>
      <c r="NUU67" s="414"/>
      <c r="NUV67" s="414"/>
      <c r="NUW67" s="414"/>
      <c r="NUX67" s="414"/>
      <c r="NUY67" s="414"/>
      <c r="NUZ67" s="414"/>
      <c r="NVA67" s="414"/>
      <c r="NVB67" s="414"/>
      <c r="NVC67" s="414"/>
      <c r="NVD67" s="414"/>
      <c r="NVE67" s="414"/>
      <c r="NVF67" s="414"/>
      <c r="NVG67" s="414"/>
      <c r="NVH67" s="414"/>
      <c r="NVI67" s="414"/>
      <c r="NVJ67" s="414"/>
      <c r="NVK67" s="414"/>
      <c r="NVL67" s="414"/>
      <c r="NVM67" s="414"/>
      <c r="NVN67" s="414"/>
      <c r="NVO67" s="414"/>
      <c r="NVP67" s="414"/>
      <c r="NVQ67" s="414"/>
      <c r="NVR67" s="414"/>
      <c r="NVS67" s="414"/>
      <c r="NVT67" s="414"/>
      <c r="NVU67" s="414"/>
      <c r="NVV67" s="414"/>
      <c r="NVW67" s="414"/>
      <c r="NVX67" s="414"/>
      <c r="NVY67" s="414"/>
      <c r="NVZ67" s="414"/>
      <c r="NWA67" s="414"/>
      <c r="NWB67" s="414"/>
      <c r="NWC67" s="414"/>
      <c r="NWD67" s="414"/>
      <c r="NWE67" s="414"/>
      <c r="NWF67" s="414"/>
      <c r="NWG67" s="414"/>
      <c r="NWH67" s="414"/>
      <c r="NWI67" s="414"/>
      <c r="NWJ67" s="414"/>
      <c r="NWK67" s="414"/>
      <c r="NWL67" s="414"/>
      <c r="NWM67" s="414"/>
      <c r="NWN67" s="414"/>
      <c r="NWO67" s="414"/>
      <c r="NWP67" s="414"/>
      <c r="NWQ67" s="414"/>
      <c r="NWR67" s="414"/>
      <c r="NWS67" s="414"/>
      <c r="NWT67" s="414"/>
      <c r="NWU67" s="414"/>
      <c r="NWV67" s="414"/>
      <c r="NWW67" s="414"/>
      <c r="NWX67" s="414"/>
      <c r="NWY67" s="414"/>
      <c r="NWZ67" s="414"/>
      <c r="NXA67" s="414"/>
      <c r="NXB67" s="414"/>
      <c r="NXC67" s="414"/>
      <c r="NXD67" s="414"/>
      <c r="NXE67" s="414"/>
      <c r="NXF67" s="414"/>
      <c r="NXG67" s="414"/>
      <c r="NXH67" s="414"/>
      <c r="NXI67" s="414"/>
      <c r="NXJ67" s="414"/>
      <c r="NXK67" s="414"/>
      <c r="NXL67" s="414"/>
      <c r="NXM67" s="414"/>
      <c r="NXN67" s="414"/>
      <c r="NXO67" s="414"/>
      <c r="NXP67" s="414"/>
      <c r="NXQ67" s="414"/>
      <c r="NXR67" s="414"/>
      <c r="NXS67" s="414"/>
      <c r="NXT67" s="414"/>
      <c r="NXU67" s="414"/>
      <c r="NXV67" s="414"/>
      <c r="NXW67" s="414"/>
      <c r="NXX67" s="414"/>
      <c r="NXY67" s="414"/>
      <c r="NXZ67" s="414"/>
      <c r="NYA67" s="414"/>
      <c r="NYB67" s="414"/>
      <c r="NYC67" s="414"/>
      <c r="NYD67" s="414"/>
      <c r="NYE67" s="414"/>
      <c r="NYF67" s="414"/>
      <c r="NYG67" s="414"/>
      <c r="NYH67" s="414"/>
      <c r="NYI67" s="414"/>
      <c r="NYJ67" s="414"/>
      <c r="NYK67" s="414"/>
      <c r="NYL67" s="414"/>
      <c r="NYM67" s="414"/>
      <c r="NYN67" s="414"/>
      <c r="NYO67" s="414"/>
      <c r="NYP67" s="414"/>
      <c r="NYQ67" s="414"/>
      <c r="NYR67" s="414"/>
      <c r="NYS67" s="414"/>
      <c r="NYT67" s="414"/>
      <c r="NYU67" s="414"/>
      <c r="NYV67" s="414"/>
      <c r="NYW67" s="414"/>
      <c r="NYX67" s="414"/>
      <c r="NYY67" s="414"/>
      <c r="NYZ67" s="414"/>
      <c r="NZA67" s="414"/>
      <c r="NZB67" s="414"/>
      <c r="NZC67" s="414"/>
      <c r="NZD67" s="414"/>
      <c r="NZE67" s="414"/>
      <c r="NZF67" s="414"/>
      <c r="NZG67" s="414"/>
      <c r="NZH67" s="414"/>
      <c r="NZI67" s="414"/>
      <c r="NZJ67" s="414"/>
      <c r="NZK67" s="414"/>
      <c r="NZL67" s="414"/>
      <c r="NZM67" s="414"/>
      <c r="NZN67" s="414"/>
      <c r="NZO67" s="414"/>
      <c r="NZP67" s="414"/>
      <c r="NZQ67" s="414"/>
      <c r="NZR67" s="414"/>
      <c r="NZS67" s="414"/>
      <c r="NZT67" s="414"/>
      <c r="NZU67" s="414"/>
      <c r="NZV67" s="414"/>
      <c r="NZW67" s="414"/>
      <c r="NZX67" s="414"/>
      <c r="NZY67" s="414"/>
      <c r="NZZ67" s="414"/>
      <c r="OAA67" s="414"/>
      <c r="OAB67" s="414"/>
      <c r="OAC67" s="414"/>
      <c r="OAD67" s="414"/>
      <c r="OAE67" s="414"/>
      <c r="OAF67" s="414"/>
      <c r="OAG67" s="414"/>
      <c r="OAH67" s="414"/>
      <c r="OAI67" s="414"/>
      <c r="OAJ67" s="414"/>
      <c r="OAK67" s="414"/>
      <c r="OAL67" s="414"/>
      <c r="OAM67" s="414"/>
      <c r="OAN67" s="414"/>
      <c r="OAO67" s="414"/>
      <c r="OAP67" s="414"/>
      <c r="OAQ67" s="414"/>
      <c r="OAR67" s="414"/>
      <c r="OAS67" s="414"/>
      <c r="OAT67" s="414"/>
      <c r="OAU67" s="414"/>
      <c r="OAV67" s="414"/>
      <c r="OAW67" s="414"/>
      <c r="OAX67" s="414"/>
      <c r="OAY67" s="414"/>
      <c r="OAZ67" s="414"/>
      <c r="OBA67" s="414"/>
      <c r="OBB67" s="414"/>
      <c r="OBC67" s="414"/>
      <c r="OBD67" s="414"/>
      <c r="OBE67" s="414"/>
      <c r="OBF67" s="414"/>
      <c r="OBG67" s="414"/>
      <c r="OBH67" s="414"/>
      <c r="OBI67" s="414"/>
      <c r="OBJ67" s="414"/>
      <c r="OBK67" s="414"/>
      <c r="OBL67" s="414"/>
      <c r="OBM67" s="414"/>
      <c r="OBN67" s="414"/>
      <c r="OBO67" s="414"/>
      <c r="OBP67" s="414"/>
      <c r="OBQ67" s="414"/>
      <c r="OBR67" s="414"/>
      <c r="OBS67" s="414"/>
      <c r="OBT67" s="414"/>
      <c r="OBU67" s="414"/>
      <c r="OBV67" s="414"/>
      <c r="OBW67" s="414"/>
      <c r="OBX67" s="414"/>
      <c r="OBY67" s="414"/>
      <c r="OBZ67" s="414"/>
      <c r="OCA67" s="414"/>
      <c r="OCB67" s="414"/>
      <c r="OCC67" s="414"/>
      <c r="OCD67" s="414"/>
      <c r="OCE67" s="414"/>
      <c r="OCF67" s="414"/>
      <c r="OCG67" s="414"/>
      <c r="OCH67" s="414"/>
      <c r="OCI67" s="414"/>
      <c r="OCJ67" s="414"/>
      <c r="OCK67" s="414"/>
      <c r="OCL67" s="414"/>
      <c r="OCM67" s="414"/>
      <c r="OCN67" s="414"/>
      <c r="OCO67" s="414"/>
      <c r="OCP67" s="414"/>
      <c r="OCQ67" s="414"/>
      <c r="OCR67" s="414"/>
      <c r="OCS67" s="414"/>
      <c r="OCT67" s="414"/>
      <c r="OCU67" s="414"/>
      <c r="OCV67" s="414"/>
      <c r="OCW67" s="414"/>
      <c r="OCX67" s="414"/>
      <c r="OCY67" s="414"/>
      <c r="OCZ67" s="414"/>
      <c r="ODA67" s="414"/>
      <c r="ODB67" s="414"/>
      <c r="ODC67" s="414"/>
      <c r="ODD67" s="414"/>
      <c r="ODE67" s="414"/>
      <c r="ODF67" s="414"/>
      <c r="ODG67" s="414"/>
      <c r="ODH67" s="414"/>
      <c r="ODI67" s="414"/>
      <c r="ODJ67" s="414"/>
      <c r="ODK67" s="414"/>
      <c r="ODL67" s="414"/>
      <c r="ODM67" s="414"/>
      <c r="ODN67" s="414"/>
      <c r="ODO67" s="414"/>
      <c r="ODP67" s="414"/>
      <c r="ODQ67" s="414"/>
      <c r="ODR67" s="414"/>
      <c r="ODS67" s="414"/>
      <c r="ODT67" s="414"/>
      <c r="ODU67" s="414"/>
      <c r="ODV67" s="414"/>
      <c r="ODW67" s="414"/>
      <c r="ODX67" s="414"/>
      <c r="ODY67" s="414"/>
      <c r="ODZ67" s="414"/>
      <c r="OEA67" s="414"/>
      <c r="OEB67" s="414"/>
      <c r="OEC67" s="414"/>
      <c r="OED67" s="414"/>
      <c r="OEE67" s="414"/>
      <c r="OEF67" s="414"/>
      <c r="OEG67" s="414"/>
      <c r="OEH67" s="414"/>
      <c r="OEI67" s="414"/>
      <c r="OEJ67" s="414"/>
      <c r="OEK67" s="414"/>
      <c r="OEL67" s="414"/>
      <c r="OEM67" s="414"/>
      <c r="OEN67" s="414"/>
      <c r="OEO67" s="414"/>
      <c r="OEP67" s="414"/>
      <c r="OEQ67" s="414"/>
      <c r="OER67" s="414"/>
      <c r="OES67" s="414"/>
      <c r="OET67" s="414"/>
      <c r="OEU67" s="414"/>
      <c r="OEV67" s="414"/>
      <c r="OEW67" s="414"/>
      <c r="OEX67" s="414"/>
      <c r="OEY67" s="414"/>
      <c r="OEZ67" s="414"/>
      <c r="OFA67" s="414"/>
      <c r="OFB67" s="414"/>
      <c r="OFC67" s="414"/>
      <c r="OFD67" s="414"/>
      <c r="OFE67" s="414"/>
      <c r="OFF67" s="414"/>
      <c r="OFG67" s="414"/>
      <c r="OFH67" s="414"/>
      <c r="OFI67" s="414"/>
      <c r="OFJ67" s="414"/>
      <c r="OFK67" s="414"/>
      <c r="OFL67" s="414"/>
      <c r="OFM67" s="414"/>
      <c r="OFN67" s="414"/>
      <c r="OFO67" s="414"/>
      <c r="OFP67" s="414"/>
      <c r="OFQ67" s="414"/>
      <c r="OFR67" s="414"/>
      <c r="OFS67" s="414"/>
      <c r="OFT67" s="414"/>
      <c r="OFU67" s="414"/>
      <c r="OFV67" s="414"/>
      <c r="OFW67" s="414"/>
      <c r="OFX67" s="414"/>
      <c r="OFY67" s="414"/>
      <c r="OFZ67" s="414"/>
      <c r="OGA67" s="414"/>
      <c r="OGB67" s="414"/>
      <c r="OGC67" s="414"/>
      <c r="OGD67" s="414"/>
      <c r="OGE67" s="414"/>
      <c r="OGF67" s="414"/>
      <c r="OGG67" s="414"/>
      <c r="OGH67" s="414"/>
      <c r="OGI67" s="414"/>
      <c r="OGJ67" s="414"/>
      <c r="OGK67" s="414"/>
      <c r="OGL67" s="414"/>
      <c r="OGM67" s="414"/>
      <c r="OGN67" s="414"/>
      <c r="OGO67" s="414"/>
      <c r="OGP67" s="414"/>
      <c r="OGQ67" s="414"/>
      <c r="OGR67" s="414"/>
      <c r="OGS67" s="414"/>
      <c r="OGT67" s="414"/>
      <c r="OGU67" s="414"/>
      <c r="OGV67" s="414"/>
      <c r="OGW67" s="414"/>
      <c r="OGX67" s="414"/>
      <c r="OGY67" s="414"/>
      <c r="OGZ67" s="414"/>
      <c r="OHA67" s="414"/>
      <c r="OHB67" s="414"/>
      <c r="OHC67" s="414"/>
      <c r="OHD67" s="414"/>
      <c r="OHE67" s="414"/>
      <c r="OHF67" s="414"/>
      <c r="OHG67" s="414"/>
      <c r="OHH67" s="414"/>
      <c r="OHI67" s="414"/>
      <c r="OHJ67" s="414"/>
      <c r="OHK67" s="414"/>
      <c r="OHL67" s="414"/>
      <c r="OHM67" s="414"/>
      <c r="OHN67" s="414"/>
      <c r="OHO67" s="414"/>
      <c r="OHP67" s="414"/>
      <c r="OHQ67" s="414"/>
      <c r="OHR67" s="414"/>
      <c r="OHS67" s="414"/>
      <c r="OHT67" s="414"/>
      <c r="OHU67" s="414"/>
      <c r="OHV67" s="414"/>
      <c r="OHW67" s="414"/>
      <c r="OHX67" s="414"/>
      <c r="OHY67" s="414"/>
      <c r="OHZ67" s="414"/>
      <c r="OIA67" s="414"/>
      <c r="OIB67" s="414"/>
      <c r="OIC67" s="414"/>
      <c r="OID67" s="414"/>
      <c r="OIE67" s="414"/>
      <c r="OIF67" s="414"/>
      <c r="OIG67" s="414"/>
      <c r="OIH67" s="414"/>
      <c r="OII67" s="414"/>
      <c r="OIJ67" s="414"/>
      <c r="OIK67" s="414"/>
      <c r="OIL67" s="414"/>
      <c r="OIM67" s="414"/>
      <c r="OIN67" s="414"/>
      <c r="OIO67" s="414"/>
      <c r="OIP67" s="414"/>
      <c r="OIQ67" s="414"/>
      <c r="OIR67" s="414"/>
      <c r="OIS67" s="414"/>
      <c r="OIT67" s="414"/>
      <c r="OIU67" s="414"/>
      <c r="OIV67" s="414"/>
      <c r="OIW67" s="414"/>
      <c r="OIX67" s="414"/>
      <c r="OIY67" s="414"/>
      <c r="OIZ67" s="414"/>
      <c r="OJA67" s="414"/>
      <c r="OJB67" s="414"/>
      <c r="OJC67" s="414"/>
      <c r="OJD67" s="414"/>
      <c r="OJE67" s="414"/>
      <c r="OJF67" s="414"/>
      <c r="OJG67" s="414"/>
      <c r="OJH67" s="414"/>
      <c r="OJI67" s="414"/>
      <c r="OJJ67" s="414"/>
      <c r="OJK67" s="414"/>
      <c r="OJL67" s="414"/>
      <c r="OJM67" s="414"/>
      <c r="OJN67" s="414"/>
      <c r="OJO67" s="414"/>
      <c r="OJP67" s="414"/>
      <c r="OJQ67" s="414"/>
      <c r="OJR67" s="414"/>
      <c r="OJS67" s="414"/>
      <c r="OJT67" s="414"/>
      <c r="OJU67" s="414"/>
      <c r="OJV67" s="414"/>
      <c r="OJW67" s="414"/>
      <c r="OJX67" s="414"/>
      <c r="OJY67" s="414"/>
      <c r="OJZ67" s="414"/>
      <c r="OKA67" s="414"/>
      <c r="OKB67" s="414"/>
      <c r="OKC67" s="414"/>
      <c r="OKD67" s="414"/>
      <c r="OKE67" s="414"/>
      <c r="OKF67" s="414"/>
      <c r="OKG67" s="414"/>
      <c r="OKH67" s="414"/>
      <c r="OKI67" s="414"/>
      <c r="OKJ67" s="414"/>
      <c r="OKK67" s="414"/>
      <c r="OKL67" s="414"/>
      <c r="OKM67" s="414"/>
      <c r="OKN67" s="414"/>
      <c r="OKO67" s="414"/>
      <c r="OKP67" s="414"/>
      <c r="OKQ67" s="414"/>
      <c r="OKR67" s="414"/>
      <c r="OKS67" s="414"/>
      <c r="OKT67" s="414"/>
      <c r="OKU67" s="414"/>
      <c r="OKV67" s="414"/>
      <c r="OKW67" s="414"/>
      <c r="OKX67" s="414"/>
      <c r="OKY67" s="414"/>
      <c r="OKZ67" s="414"/>
      <c r="OLA67" s="414"/>
      <c r="OLB67" s="414"/>
      <c r="OLC67" s="414"/>
      <c r="OLD67" s="414"/>
      <c r="OLE67" s="414"/>
      <c r="OLF67" s="414"/>
      <c r="OLG67" s="414"/>
      <c r="OLH67" s="414"/>
      <c r="OLI67" s="414"/>
      <c r="OLJ67" s="414"/>
      <c r="OLK67" s="414"/>
      <c r="OLL67" s="414"/>
      <c r="OLM67" s="414"/>
      <c r="OLN67" s="414"/>
      <c r="OLO67" s="414"/>
      <c r="OLP67" s="414"/>
      <c r="OLQ67" s="414"/>
      <c r="OLR67" s="414"/>
      <c r="OLS67" s="414"/>
      <c r="OLT67" s="414"/>
      <c r="OLU67" s="414"/>
      <c r="OLV67" s="414"/>
      <c r="OLW67" s="414"/>
      <c r="OLX67" s="414"/>
      <c r="OLY67" s="414"/>
      <c r="OLZ67" s="414"/>
      <c r="OMA67" s="414"/>
      <c r="OMB67" s="414"/>
      <c r="OMC67" s="414"/>
      <c r="OMD67" s="414"/>
      <c r="OME67" s="414"/>
      <c r="OMF67" s="414"/>
      <c r="OMG67" s="414"/>
      <c r="OMH67" s="414"/>
      <c r="OMI67" s="414"/>
      <c r="OMJ67" s="414"/>
      <c r="OMK67" s="414"/>
      <c r="OML67" s="414"/>
      <c r="OMM67" s="414"/>
      <c r="OMN67" s="414"/>
      <c r="OMO67" s="414"/>
      <c r="OMP67" s="414"/>
      <c r="OMQ67" s="414"/>
      <c r="OMR67" s="414"/>
      <c r="OMS67" s="414"/>
      <c r="OMT67" s="414"/>
      <c r="OMU67" s="414"/>
      <c r="OMV67" s="414"/>
      <c r="OMW67" s="414"/>
      <c r="OMX67" s="414"/>
      <c r="OMY67" s="414"/>
      <c r="OMZ67" s="414"/>
      <c r="ONA67" s="414"/>
      <c r="ONB67" s="414"/>
      <c r="ONC67" s="414"/>
      <c r="OND67" s="414"/>
      <c r="ONE67" s="414"/>
      <c r="ONF67" s="414"/>
      <c r="ONG67" s="414"/>
      <c r="ONH67" s="414"/>
      <c r="ONI67" s="414"/>
      <c r="ONJ67" s="414"/>
      <c r="ONK67" s="414"/>
      <c r="ONL67" s="414"/>
      <c r="ONM67" s="414"/>
      <c r="ONN67" s="414"/>
      <c r="ONO67" s="414"/>
      <c r="ONP67" s="414"/>
      <c r="ONQ67" s="414"/>
      <c r="ONR67" s="414"/>
      <c r="ONS67" s="414"/>
      <c r="ONT67" s="414"/>
      <c r="ONU67" s="414"/>
      <c r="ONV67" s="414"/>
      <c r="ONW67" s="414"/>
      <c r="ONX67" s="414"/>
      <c r="ONY67" s="414"/>
      <c r="ONZ67" s="414"/>
      <c r="OOA67" s="414"/>
      <c r="OOB67" s="414"/>
      <c r="OOC67" s="414"/>
      <c r="OOD67" s="414"/>
      <c r="OOE67" s="414"/>
      <c r="OOF67" s="414"/>
      <c r="OOG67" s="414"/>
      <c r="OOH67" s="414"/>
      <c r="OOI67" s="414"/>
      <c r="OOJ67" s="414"/>
      <c r="OOK67" s="414"/>
      <c r="OOL67" s="414"/>
      <c r="OOM67" s="414"/>
      <c r="OON67" s="414"/>
      <c r="OOO67" s="414"/>
      <c r="OOP67" s="414"/>
      <c r="OOQ67" s="414"/>
      <c r="OOR67" s="414"/>
      <c r="OOS67" s="414"/>
      <c r="OOT67" s="414"/>
      <c r="OOU67" s="414"/>
      <c r="OOV67" s="414"/>
      <c r="OOW67" s="414"/>
      <c r="OOX67" s="414"/>
      <c r="OOY67" s="414"/>
      <c r="OOZ67" s="414"/>
      <c r="OPA67" s="414"/>
      <c r="OPB67" s="414"/>
      <c r="OPC67" s="414"/>
      <c r="OPD67" s="414"/>
      <c r="OPE67" s="414"/>
      <c r="OPF67" s="414"/>
      <c r="OPG67" s="414"/>
      <c r="OPH67" s="414"/>
      <c r="OPI67" s="414"/>
      <c r="OPJ67" s="414"/>
      <c r="OPK67" s="414"/>
      <c r="OPL67" s="414"/>
      <c r="OPM67" s="414"/>
      <c r="OPN67" s="414"/>
      <c r="OPO67" s="414"/>
      <c r="OPP67" s="414"/>
      <c r="OPQ67" s="414"/>
      <c r="OPR67" s="414"/>
      <c r="OPS67" s="414"/>
      <c r="OPT67" s="414"/>
      <c r="OPU67" s="414"/>
      <c r="OPV67" s="414"/>
      <c r="OPW67" s="414"/>
      <c r="OPX67" s="414"/>
      <c r="OPY67" s="414"/>
      <c r="OPZ67" s="414"/>
      <c r="OQA67" s="414"/>
      <c r="OQB67" s="414"/>
      <c r="OQC67" s="414"/>
      <c r="OQD67" s="414"/>
      <c r="OQE67" s="414"/>
      <c r="OQF67" s="414"/>
      <c r="OQG67" s="414"/>
      <c r="OQH67" s="414"/>
      <c r="OQI67" s="414"/>
      <c r="OQJ67" s="414"/>
      <c r="OQK67" s="414"/>
      <c r="OQL67" s="414"/>
      <c r="OQM67" s="414"/>
      <c r="OQN67" s="414"/>
      <c r="OQO67" s="414"/>
      <c r="OQP67" s="414"/>
      <c r="OQQ67" s="414"/>
      <c r="OQR67" s="414"/>
      <c r="OQS67" s="414"/>
      <c r="OQT67" s="414"/>
      <c r="OQU67" s="414"/>
      <c r="OQV67" s="414"/>
      <c r="OQW67" s="414"/>
      <c r="OQX67" s="414"/>
      <c r="OQY67" s="414"/>
      <c r="OQZ67" s="414"/>
      <c r="ORA67" s="414"/>
      <c r="ORB67" s="414"/>
      <c r="ORC67" s="414"/>
      <c r="ORD67" s="414"/>
      <c r="ORE67" s="414"/>
      <c r="ORF67" s="414"/>
      <c r="ORG67" s="414"/>
      <c r="ORH67" s="414"/>
      <c r="ORI67" s="414"/>
      <c r="ORJ67" s="414"/>
      <c r="ORK67" s="414"/>
      <c r="ORL67" s="414"/>
      <c r="ORM67" s="414"/>
      <c r="ORN67" s="414"/>
      <c r="ORO67" s="414"/>
      <c r="ORP67" s="414"/>
      <c r="ORQ67" s="414"/>
      <c r="ORR67" s="414"/>
      <c r="ORS67" s="414"/>
      <c r="ORT67" s="414"/>
      <c r="ORU67" s="414"/>
      <c r="ORV67" s="414"/>
      <c r="ORW67" s="414"/>
      <c r="ORX67" s="414"/>
      <c r="ORY67" s="414"/>
      <c r="ORZ67" s="414"/>
      <c r="OSA67" s="414"/>
      <c r="OSB67" s="414"/>
      <c r="OSC67" s="414"/>
      <c r="OSD67" s="414"/>
      <c r="OSE67" s="414"/>
      <c r="OSF67" s="414"/>
      <c r="OSG67" s="414"/>
      <c r="OSH67" s="414"/>
      <c r="OSI67" s="414"/>
      <c r="OSJ67" s="414"/>
      <c r="OSK67" s="414"/>
      <c r="OSL67" s="414"/>
      <c r="OSM67" s="414"/>
      <c r="OSN67" s="414"/>
      <c r="OSO67" s="414"/>
      <c r="OSP67" s="414"/>
      <c r="OSQ67" s="414"/>
      <c r="OSR67" s="414"/>
      <c r="OSS67" s="414"/>
      <c r="OST67" s="414"/>
      <c r="OSU67" s="414"/>
      <c r="OSV67" s="414"/>
      <c r="OSW67" s="414"/>
      <c r="OSX67" s="414"/>
      <c r="OSY67" s="414"/>
      <c r="OSZ67" s="414"/>
      <c r="OTA67" s="414"/>
      <c r="OTB67" s="414"/>
      <c r="OTC67" s="414"/>
      <c r="OTD67" s="414"/>
      <c r="OTE67" s="414"/>
      <c r="OTF67" s="414"/>
      <c r="OTG67" s="414"/>
      <c r="OTH67" s="414"/>
      <c r="OTI67" s="414"/>
      <c r="OTJ67" s="414"/>
      <c r="OTK67" s="414"/>
      <c r="OTL67" s="414"/>
      <c r="OTM67" s="414"/>
      <c r="OTN67" s="414"/>
      <c r="OTO67" s="414"/>
      <c r="OTP67" s="414"/>
      <c r="OTQ67" s="414"/>
      <c r="OTR67" s="414"/>
      <c r="OTS67" s="414"/>
      <c r="OTT67" s="414"/>
      <c r="OTU67" s="414"/>
      <c r="OTV67" s="414"/>
      <c r="OTW67" s="414"/>
      <c r="OTX67" s="414"/>
      <c r="OTY67" s="414"/>
      <c r="OTZ67" s="414"/>
      <c r="OUA67" s="414"/>
      <c r="OUB67" s="414"/>
      <c r="OUC67" s="414"/>
      <c r="OUD67" s="414"/>
      <c r="OUE67" s="414"/>
      <c r="OUF67" s="414"/>
      <c r="OUG67" s="414"/>
      <c r="OUH67" s="414"/>
      <c r="OUI67" s="414"/>
      <c r="OUJ67" s="414"/>
      <c r="OUK67" s="414"/>
      <c r="OUL67" s="414"/>
      <c r="OUM67" s="414"/>
      <c r="OUN67" s="414"/>
      <c r="OUO67" s="414"/>
      <c r="OUP67" s="414"/>
      <c r="OUQ67" s="414"/>
      <c r="OUR67" s="414"/>
      <c r="OUS67" s="414"/>
      <c r="OUT67" s="414"/>
      <c r="OUU67" s="414"/>
      <c r="OUV67" s="414"/>
      <c r="OUW67" s="414"/>
      <c r="OUX67" s="414"/>
      <c r="OUY67" s="414"/>
      <c r="OUZ67" s="414"/>
      <c r="OVA67" s="414"/>
      <c r="OVB67" s="414"/>
      <c r="OVC67" s="414"/>
      <c r="OVD67" s="414"/>
      <c r="OVE67" s="414"/>
      <c r="OVF67" s="414"/>
      <c r="OVG67" s="414"/>
      <c r="OVH67" s="414"/>
      <c r="OVI67" s="414"/>
      <c r="OVJ67" s="414"/>
      <c r="OVK67" s="414"/>
      <c r="OVL67" s="414"/>
      <c r="OVM67" s="414"/>
      <c r="OVN67" s="414"/>
      <c r="OVO67" s="414"/>
      <c r="OVP67" s="414"/>
      <c r="OVQ67" s="414"/>
      <c r="OVR67" s="414"/>
      <c r="OVS67" s="414"/>
      <c r="OVT67" s="414"/>
      <c r="OVU67" s="414"/>
      <c r="OVV67" s="414"/>
      <c r="OVW67" s="414"/>
      <c r="OVX67" s="414"/>
      <c r="OVY67" s="414"/>
      <c r="OVZ67" s="414"/>
      <c r="OWA67" s="414"/>
      <c r="OWB67" s="414"/>
      <c r="OWC67" s="414"/>
      <c r="OWD67" s="414"/>
      <c r="OWE67" s="414"/>
      <c r="OWF67" s="414"/>
      <c r="OWG67" s="414"/>
      <c r="OWH67" s="414"/>
      <c r="OWI67" s="414"/>
      <c r="OWJ67" s="414"/>
      <c r="OWK67" s="414"/>
      <c r="OWL67" s="414"/>
      <c r="OWM67" s="414"/>
      <c r="OWN67" s="414"/>
      <c r="OWO67" s="414"/>
      <c r="OWP67" s="414"/>
      <c r="OWQ67" s="414"/>
      <c r="OWR67" s="414"/>
      <c r="OWS67" s="414"/>
      <c r="OWT67" s="414"/>
      <c r="OWU67" s="414"/>
      <c r="OWV67" s="414"/>
      <c r="OWW67" s="414"/>
      <c r="OWX67" s="414"/>
      <c r="OWY67" s="414"/>
      <c r="OWZ67" s="414"/>
      <c r="OXA67" s="414"/>
      <c r="OXB67" s="414"/>
      <c r="OXC67" s="414"/>
      <c r="OXD67" s="414"/>
      <c r="OXE67" s="414"/>
      <c r="OXF67" s="414"/>
      <c r="OXG67" s="414"/>
      <c r="OXH67" s="414"/>
      <c r="OXI67" s="414"/>
      <c r="OXJ67" s="414"/>
      <c r="OXK67" s="414"/>
      <c r="OXL67" s="414"/>
      <c r="OXM67" s="414"/>
      <c r="OXN67" s="414"/>
      <c r="OXO67" s="414"/>
      <c r="OXP67" s="414"/>
      <c r="OXQ67" s="414"/>
      <c r="OXR67" s="414"/>
      <c r="OXS67" s="414"/>
      <c r="OXT67" s="414"/>
      <c r="OXU67" s="414"/>
      <c r="OXV67" s="414"/>
      <c r="OXW67" s="414"/>
      <c r="OXX67" s="414"/>
      <c r="OXY67" s="414"/>
      <c r="OXZ67" s="414"/>
      <c r="OYA67" s="414"/>
      <c r="OYB67" s="414"/>
      <c r="OYC67" s="414"/>
      <c r="OYD67" s="414"/>
      <c r="OYE67" s="414"/>
      <c r="OYF67" s="414"/>
      <c r="OYG67" s="414"/>
      <c r="OYH67" s="414"/>
      <c r="OYI67" s="414"/>
      <c r="OYJ67" s="414"/>
      <c r="OYK67" s="414"/>
      <c r="OYL67" s="414"/>
      <c r="OYM67" s="414"/>
      <c r="OYN67" s="414"/>
      <c r="OYO67" s="414"/>
      <c r="OYP67" s="414"/>
      <c r="OYQ67" s="414"/>
      <c r="OYR67" s="414"/>
      <c r="OYS67" s="414"/>
      <c r="OYT67" s="414"/>
      <c r="OYU67" s="414"/>
      <c r="OYV67" s="414"/>
      <c r="OYW67" s="414"/>
      <c r="OYX67" s="414"/>
      <c r="OYY67" s="414"/>
      <c r="OYZ67" s="414"/>
      <c r="OZA67" s="414"/>
      <c r="OZB67" s="414"/>
      <c r="OZC67" s="414"/>
      <c r="OZD67" s="414"/>
      <c r="OZE67" s="414"/>
      <c r="OZF67" s="414"/>
      <c r="OZG67" s="414"/>
      <c r="OZH67" s="414"/>
      <c r="OZI67" s="414"/>
      <c r="OZJ67" s="414"/>
      <c r="OZK67" s="414"/>
      <c r="OZL67" s="414"/>
      <c r="OZM67" s="414"/>
      <c r="OZN67" s="414"/>
      <c r="OZO67" s="414"/>
      <c r="OZP67" s="414"/>
      <c r="OZQ67" s="414"/>
      <c r="OZR67" s="414"/>
      <c r="OZS67" s="414"/>
      <c r="OZT67" s="414"/>
      <c r="OZU67" s="414"/>
      <c r="OZV67" s="414"/>
      <c r="OZW67" s="414"/>
      <c r="OZX67" s="414"/>
      <c r="OZY67" s="414"/>
      <c r="OZZ67" s="414"/>
      <c r="PAA67" s="414"/>
      <c r="PAB67" s="414"/>
      <c r="PAC67" s="414"/>
      <c r="PAD67" s="414"/>
      <c r="PAE67" s="414"/>
      <c r="PAF67" s="414"/>
      <c r="PAG67" s="414"/>
      <c r="PAH67" s="414"/>
      <c r="PAI67" s="414"/>
      <c r="PAJ67" s="414"/>
      <c r="PAK67" s="414"/>
      <c r="PAL67" s="414"/>
      <c r="PAM67" s="414"/>
      <c r="PAN67" s="414"/>
      <c r="PAO67" s="414"/>
      <c r="PAP67" s="414"/>
      <c r="PAQ67" s="414"/>
      <c r="PAR67" s="414"/>
      <c r="PAS67" s="414"/>
      <c r="PAT67" s="414"/>
      <c r="PAU67" s="414"/>
      <c r="PAV67" s="414"/>
      <c r="PAW67" s="414"/>
      <c r="PAX67" s="414"/>
      <c r="PAY67" s="414"/>
      <c r="PAZ67" s="414"/>
      <c r="PBA67" s="414"/>
      <c r="PBB67" s="414"/>
      <c r="PBC67" s="414"/>
      <c r="PBD67" s="414"/>
      <c r="PBE67" s="414"/>
      <c r="PBF67" s="414"/>
      <c r="PBG67" s="414"/>
      <c r="PBH67" s="414"/>
      <c r="PBI67" s="414"/>
      <c r="PBJ67" s="414"/>
      <c r="PBK67" s="414"/>
      <c r="PBL67" s="414"/>
      <c r="PBM67" s="414"/>
      <c r="PBN67" s="414"/>
      <c r="PBO67" s="414"/>
      <c r="PBP67" s="414"/>
      <c r="PBQ67" s="414"/>
      <c r="PBR67" s="414"/>
      <c r="PBS67" s="414"/>
      <c r="PBT67" s="414"/>
      <c r="PBU67" s="414"/>
      <c r="PBV67" s="414"/>
      <c r="PBW67" s="414"/>
      <c r="PBX67" s="414"/>
      <c r="PBY67" s="414"/>
      <c r="PBZ67" s="414"/>
      <c r="PCA67" s="414"/>
      <c r="PCB67" s="414"/>
      <c r="PCC67" s="414"/>
      <c r="PCD67" s="414"/>
      <c r="PCE67" s="414"/>
      <c r="PCF67" s="414"/>
      <c r="PCG67" s="414"/>
      <c r="PCH67" s="414"/>
      <c r="PCI67" s="414"/>
      <c r="PCJ67" s="414"/>
      <c r="PCK67" s="414"/>
      <c r="PCL67" s="414"/>
      <c r="PCM67" s="414"/>
      <c r="PCN67" s="414"/>
      <c r="PCO67" s="414"/>
      <c r="PCP67" s="414"/>
      <c r="PCQ67" s="414"/>
      <c r="PCR67" s="414"/>
      <c r="PCS67" s="414"/>
      <c r="PCT67" s="414"/>
      <c r="PCU67" s="414"/>
      <c r="PCV67" s="414"/>
      <c r="PCW67" s="414"/>
      <c r="PCX67" s="414"/>
      <c r="PCY67" s="414"/>
      <c r="PCZ67" s="414"/>
      <c r="PDA67" s="414"/>
      <c r="PDB67" s="414"/>
      <c r="PDC67" s="414"/>
      <c r="PDD67" s="414"/>
      <c r="PDE67" s="414"/>
      <c r="PDF67" s="414"/>
      <c r="PDG67" s="414"/>
      <c r="PDH67" s="414"/>
      <c r="PDI67" s="414"/>
      <c r="PDJ67" s="414"/>
      <c r="PDK67" s="414"/>
      <c r="PDL67" s="414"/>
      <c r="PDM67" s="414"/>
      <c r="PDN67" s="414"/>
      <c r="PDO67" s="414"/>
      <c r="PDP67" s="414"/>
      <c r="PDQ67" s="414"/>
      <c r="PDR67" s="414"/>
      <c r="PDS67" s="414"/>
      <c r="PDT67" s="414"/>
      <c r="PDU67" s="414"/>
      <c r="PDV67" s="414"/>
      <c r="PDW67" s="414"/>
      <c r="PDX67" s="414"/>
      <c r="PDY67" s="414"/>
      <c r="PDZ67" s="414"/>
      <c r="PEA67" s="414"/>
      <c r="PEB67" s="414"/>
      <c r="PEC67" s="414"/>
      <c r="PED67" s="414"/>
      <c r="PEE67" s="414"/>
      <c r="PEF67" s="414"/>
      <c r="PEG67" s="414"/>
      <c r="PEH67" s="414"/>
      <c r="PEI67" s="414"/>
      <c r="PEJ67" s="414"/>
      <c r="PEK67" s="414"/>
      <c r="PEL67" s="414"/>
      <c r="PEM67" s="414"/>
      <c r="PEN67" s="414"/>
      <c r="PEO67" s="414"/>
      <c r="PEP67" s="414"/>
      <c r="PEQ67" s="414"/>
      <c r="PER67" s="414"/>
      <c r="PES67" s="414"/>
      <c r="PET67" s="414"/>
      <c r="PEU67" s="414"/>
      <c r="PEV67" s="414"/>
      <c r="PEW67" s="414"/>
      <c r="PEX67" s="414"/>
      <c r="PEY67" s="414"/>
      <c r="PEZ67" s="414"/>
      <c r="PFA67" s="414"/>
      <c r="PFB67" s="414"/>
      <c r="PFC67" s="414"/>
      <c r="PFD67" s="414"/>
      <c r="PFE67" s="414"/>
      <c r="PFF67" s="414"/>
      <c r="PFG67" s="414"/>
      <c r="PFH67" s="414"/>
      <c r="PFI67" s="414"/>
      <c r="PFJ67" s="414"/>
      <c r="PFK67" s="414"/>
      <c r="PFL67" s="414"/>
      <c r="PFM67" s="414"/>
      <c r="PFN67" s="414"/>
      <c r="PFO67" s="414"/>
      <c r="PFP67" s="414"/>
      <c r="PFQ67" s="414"/>
      <c r="PFR67" s="414"/>
      <c r="PFS67" s="414"/>
      <c r="PFT67" s="414"/>
      <c r="PFU67" s="414"/>
      <c r="PFV67" s="414"/>
      <c r="PFW67" s="414"/>
      <c r="PFX67" s="414"/>
      <c r="PFY67" s="414"/>
      <c r="PFZ67" s="414"/>
      <c r="PGA67" s="414"/>
      <c r="PGB67" s="414"/>
      <c r="PGC67" s="414"/>
      <c r="PGD67" s="414"/>
      <c r="PGE67" s="414"/>
      <c r="PGF67" s="414"/>
      <c r="PGG67" s="414"/>
      <c r="PGH67" s="414"/>
      <c r="PGI67" s="414"/>
      <c r="PGJ67" s="414"/>
      <c r="PGK67" s="414"/>
      <c r="PGL67" s="414"/>
      <c r="PGM67" s="414"/>
      <c r="PGN67" s="414"/>
      <c r="PGO67" s="414"/>
      <c r="PGP67" s="414"/>
      <c r="PGQ67" s="414"/>
      <c r="PGR67" s="414"/>
      <c r="PGS67" s="414"/>
      <c r="PGT67" s="414"/>
      <c r="PGU67" s="414"/>
      <c r="PGV67" s="414"/>
      <c r="PGW67" s="414"/>
      <c r="PGX67" s="414"/>
      <c r="PGY67" s="414"/>
      <c r="PGZ67" s="414"/>
      <c r="PHA67" s="414"/>
      <c r="PHB67" s="414"/>
      <c r="PHC67" s="414"/>
      <c r="PHD67" s="414"/>
      <c r="PHE67" s="414"/>
      <c r="PHF67" s="414"/>
      <c r="PHG67" s="414"/>
      <c r="PHH67" s="414"/>
      <c r="PHI67" s="414"/>
      <c r="PHJ67" s="414"/>
      <c r="PHK67" s="414"/>
      <c r="PHL67" s="414"/>
      <c r="PHM67" s="414"/>
      <c r="PHN67" s="414"/>
      <c r="PHO67" s="414"/>
      <c r="PHP67" s="414"/>
      <c r="PHQ67" s="414"/>
      <c r="PHR67" s="414"/>
      <c r="PHS67" s="414"/>
      <c r="PHT67" s="414"/>
      <c r="PHU67" s="414"/>
      <c r="PHV67" s="414"/>
      <c r="PHW67" s="414"/>
      <c r="PHX67" s="414"/>
      <c r="PHY67" s="414"/>
      <c r="PHZ67" s="414"/>
      <c r="PIA67" s="414"/>
      <c r="PIB67" s="414"/>
      <c r="PIC67" s="414"/>
      <c r="PID67" s="414"/>
      <c r="PIE67" s="414"/>
      <c r="PIF67" s="414"/>
      <c r="PIG67" s="414"/>
      <c r="PIH67" s="414"/>
      <c r="PII67" s="414"/>
      <c r="PIJ67" s="414"/>
      <c r="PIK67" s="414"/>
      <c r="PIL67" s="414"/>
      <c r="PIM67" s="414"/>
      <c r="PIN67" s="414"/>
      <c r="PIO67" s="414"/>
      <c r="PIP67" s="414"/>
      <c r="PIQ67" s="414"/>
      <c r="PIR67" s="414"/>
      <c r="PIS67" s="414"/>
      <c r="PIT67" s="414"/>
      <c r="PIU67" s="414"/>
      <c r="PIV67" s="414"/>
      <c r="PIW67" s="414"/>
      <c r="PIX67" s="414"/>
      <c r="PIY67" s="414"/>
      <c r="PIZ67" s="414"/>
      <c r="PJA67" s="414"/>
      <c r="PJB67" s="414"/>
      <c r="PJC67" s="414"/>
      <c r="PJD67" s="414"/>
      <c r="PJE67" s="414"/>
      <c r="PJF67" s="414"/>
      <c r="PJG67" s="414"/>
      <c r="PJH67" s="414"/>
      <c r="PJI67" s="414"/>
      <c r="PJJ67" s="414"/>
      <c r="PJK67" s="414"/>
      <c r="PJL67" s="414"/>
      <c r="PJM67" s="414"/>
      <c r="PJN67" s="414"/>
      <c r="PJO67" s="414"/>
      <c r="PJP67" s="414"/>
      <c r="PJQ67" s="414"/>
      <c r="PJR67" s="414"/>
      <c r="PJS67" s="414"/>
      <c r="PJT67" s="414"/>
      <c r="PJU67" s="414"/>
      <c r="PJV67" s="414"/>
      <c r="PJW67" s="414"/>
      <c r="PJX67" s="414"/>
      <c r="PJY67" s="414"/>
      <c r="PJZ67" s="414"/>
      <c r="PKA67" s="414"/>
      <c r="PKB67" s="414"/>
      <c r="PKC67" s="414"/>
      <c r="PKD67" s="414"/>
      <c r="PKE67" s="414"/>
      <c r="PKF67" s="414"/>
      <c r="PKG67" s="414"/>
      <c r="PKH67" s="414"/>
      <c r="PKI67" s="414"/>
      <c r="PKJ67" s="414"/>
      <c r="PKK67" s="414"/>
      <c r="PKL67" s="414"/>
      <c r="PKM67" s="414"/>
      <c r="PKN67" s="414"/>
      <c r="PKO67" s="414"/>
      <c r="PKP67" s="414"/>
      <c r="PKQ67" s="414"/>
      <c r="PKR67" s="414"/>
      <c r="PKS67" s="414"/>
      <c r="PKT67" s="414"/>
      <c r="PKU67" s="414"/>
      <c r="PKV67" s="414"/>
      <c r="PKW67" s="414"/>
      <c r="PKX67" s="414"/>
      <c r="PKY67" s="414"/>
      <c r="PKZ67" s="414"/>
      <c r="PLA67" s="414"/>
      <c r="PLB67" s="414"/>
      <c r="PLC67" s="414"/>
      <c r="PLD67" s="414"/>
      <c r="PLE67" s="414"/>
      <c r="PLF67" s="414"/>
      <c r="PLG67" s="414"/>
      <c r="PLH67" s="414"/>
      <c r="PLI67" s="414"/>
      <c r="PLJ67" s="414"/>
      <c r="PLK67" s="414"/>
      <c r="PLL67" s="414"/>
      <c r="PLM67" s="414"/>
      <c r="PLN67" s="414"/>
      <c r="PLO67" s="414"/>
      <c r="PLP67" s="414"/>
      <c r="PLQ67" s="414"/>
      <c r="PLR67" s="414"/>
      <c r="PLS67" s="414"/>
      <c r="PLT67" s="414"/>
      <c r="PLU67" s="414"/>
      <c r="PLV67" s="414"/>
      <c r="PLW67" s="414"/>
      <c r="PLX67" s="414"/>
      <c r="PLY67" s="414"/>
      <c r="PLZ67" s="414"/>
      <c r="PMA67" s="414"/>
      <c r="PMB67" s="414"/>
      <c r="PMC67" s="414"/>
      <c r="PMD67" s="414"/>
      <c r="PME67" s="414"/>
      <c r="PMF67" s="414"/>
      <c r="PMG67" s="414"/>
      <c r="PMH67" s="414"/>
      <c r="PMI67" s="414"/>
      <c r="PMJ67" s="414"/>
      <c r="PMK67" s="414"/>
      <c r="PML67" s="414"/>
      <c r="PMM67" s="414"/>
      <c r="PMN67" s="414"/>
      <c r="PMO67" s="414"/>
      <c r="PMP67" s="414"/>
      <c r="PMQ67" s="414"/>
      <c r="PMR67" s="414"/>
      <c r="PMS67" s="414"/>
      <c r="PMT67" s="414"/>
      <c r="PMU67" s="414"/>
      <c r="PMV67" s="414"/>
      <c r="PMW67" s="414"/>
      <c r="PMX67" s="414"/>
      <c r="PMY67" s="414"/>
      <c r="PMZ67" s="414"/>
      <c r="PNA67" s="414"/>
      <c r="PNB67" s="414"/>
      <c r="PNC67" s="414"/>
      <c r="PND67" s="414"/>
      <c r="PNE67" s="414"/>
      <c r="PNF67" s="414"/>
      <c r="PNG67" s="414"/>
      <c r="PNH67" s="414"/>
      <c r="PNI67" s="414"/>
      <c r="PNJ67" s="414"/>
      <c r="PNK67" s="414"/>
      <c r="PNL67" s="414"/>
      <c r="PNM67" s="414"/>
      <c r="PNN67" s="414"/>
      <c r="PNO67" s="414"/>
      <c r="PNP67" s="414"/>
      <c r="PNQ67" s="414"/>
      <c r="PNR67" s="414"/>
      <c r="PNS67" s="414"/>
      <c r="PNT67" s="414"/>
      <c r="PNU67" s="414"/>
      <c r="PNV67" s="414"/>
      <c r="PNW67" s="414"/>
      <c r="PNX67" s="414"/>
      <c r="PNY67" s="414"/>
      <c r="PNZ67" s="414"/>
      <c r="POA67" s="414"/>
      <c r="POB67" s="414"/>
      <c r="POC67" s="414"/>
      <c r="POD67" s="414"/>
      <c r="POE67" s="414"/>
      <c r="POF67" s="414"/>
      <c r="POG67" s="414"/>
      <c r="POH67" s="414"/>
      <c r="POI67" s="414"/>
      <c r="POJ67" s="414"/>
      <c r="POK67" s="414"/>
      <c r="POL67" s="414"/>
      <c r="POM67" s="414"/>
      <c r="PON67" s="414"/>
      <c r="POO67" s="414"/>
      <c r="POP67" s="414"/>
      <c r="POQ67" s="414"/>
      <c r="POR67" s="414"/>
      <c r="POS67" s="414"/>
      <c r="POT67" s="414"/>
      <c r="POU67" s="414"/>
      <c r="POV67" s="414"/>
      <c r="POW67" s="414"/>
      <c r="POX67" s="414"/>
      <c r="POY67" s="414"/>
      <c r="POZ67" s="414"/>
      <c r="PPA67" s="414"/>
      <c r="PPB67" s="414"/>
      <c r="PPC67" s="414"/>
      <c r="PPD67" s="414"/>
      <c r="PPE67" s="414"/>
      <c r="PPF67" s="414"/>
      <c r="PPG67" s="414"/>
      <c r="PPH67" s="414"/>
      <c r="PPI67" s="414"/>
      <c r="PPJ67" s="414"/>
      <c r="PPK67" s="414"/>
      <c r="PPL67" s="414"/>
      <c r="PPM67" s="414"/>
      <c r="PPN67" s="414"/>
      <c r="PPO67" s="414"/>
      <c r="PPP67" s="414"/>
      <c r="PPQ67" s="414"/>
      <c r="PPR67" s="414"/>
      <c r="PPS67" s="414"/>
      <c r="PPT67" s="414"/>
      <c r="PPU67" s="414"/>
      <c r="PPV67" s="414"/>
      <c r="PPW67" s="414"/>
      <c r="PPX67" s="414"/>
      <c r="PPY67" s="414"/>
      <c r="PPZ67" s="414"/>
      <c r="PQA67" s="414"/>
      <c r="PQB67" s="414"/>
      <c r="PQC67" s="414"/>
      <c r="PQD67" s="414"/>
      <c r="PQE67" s="414"/>
      <c r="PQF67" s="414"/>
      <c r="PQG67" s="414"/>
      <c r="PQH67" s="414"/>
      <c r="PQI67" s="414"/>
      <c r="PQJ67" s="414"/>
      <c r="PQK67" s="414"/>
      <c r="PQL67" s="414"/>
      <c r="PQM67" s="414"/>
      <c r="PQN67" s="414"/>
      <c r="PQO67" s="414"/>
      <c r="PQP67" s="414"/>
      <c r="PQQ67" s="414"/>
      <c r="PQR67" s="414"/>
      <c r="PQS67" s="414"/>
      <c r="PQT67" s="414"/>
      <c r="PQU67" s="414"/>
      <c r="PQV67" s="414"/>
      <c r="PQW67" s="414"/>
      <c r="PQX67" s="414"/>
      <c r="PQY67" s="414"/>
      <c r="PQZ67" s="414"/>
      <c r="PRA67" s="414"/>
      <c r="PRB67" s="414"/>
      <c r="PRC67" s="414"/>
      <c r="PRD67" s="414"/>
      <c r="PRE67" s="414"/>
      <c r="PRF67" s="414"/>
      <c r="PRG67" s="414"/>
      <c r="PRH67" s="414"/>
      <c r="PRI67" s="414"/>
      <c r="PRJ67" s="414"/>
      <c r="PRK67" s="414"/>
      <c r="PRL67" s="414"/>
      <c r="PRM67" s="414"/>
      <c r="PRN67" s="414"/>
      <c r="PRO67" s="414"/>
      <c r="PRP67" s="414"/>
      <c r="PRQ67" s="414"/>
      <c r="PRR67" s="414"/>
      <c r="PRS67" s="414"/>
      <c r="PRT67" s="414"/>
      <c r="PRU67" s="414"/>
      <c r="PRV67" s="414"/>
      <c r="PRW67" s="414"/>
      <c r="PRX67" s="414"/>
      <c r="PRY67" s="414"/>
      <c r="PRZ67" s="414"/>
      <c r="PSA67" s="414"/>
      <c r="PSB67" s="414"/>
      <c r="PSC67" s="414"/>
      <c r="PSD67" s="414"/>
      <c r="PSE67" s="414"/>
      <c r="PSF67" s="414"/>
      <c r="PSG67" s="414"/>
      <c r="PSH67" s="414"/>
      <c r="PSI67" s="414"/>
      <c r="PSJ67" s="414"/>
      <c r="PSK67" s="414"/>
      <c r="PSL67" s="414"/>
      <c r="PSM67" s="414"/>
      <c r="PSN67" s="414"/>
      <c r="PSO67" s="414"/>
      <c r="PSP67" s="414"/>
      <c r="PSQ67" s="414"/>
      <c r="PSR67" s="414"/>
      <c r="PSS67" s="414"/>
      <c r="PST67" s="414"/>
      <c r="PSU67" s="414"/>
      <c r="PSV67" s="414"/>
      <c r="PSW67" s="414"/>
      <c r="PSX67" s="414"/>
      <c r="PSY67" s="414"/>
      <c r="PSZ67" s="414"/>
      <c r="PTA67" s="414"/>
      <c r="PTB67" s="414"/>
      <c r="PTC67" s="414"/>
      <c r="PTD67" s="414"/>
      <c r="PTE67" s="414"/>
      <c r="PTF67" s="414"/>
      <c r="PTG67" s="414"/>
      <c r="PTH67" s="414"/>
      <c r="PTI67" s="414"/>
      <c r="PTJ67" s="414"/>
      <c r="PTK67" s="414"/>
      <c r="PTL67" s="414"/>
      <c r="PTM67" s="414"/>
      <c r="PTN67" s="414"/>
      <c r="PTO67" s="414"/>
      <c r="PTP67" s="414"/>
      <c r="PTQ67" s="414"/>
      <c r="PTR67" s="414"/>
      <c r="PTS67" s="414"/>
      <c r="PTT67" s="414"/>
      <c r="PTU67" s="414"/>
      <c r="PTV67" s="414"/>
      <c r="PTW67" s="414"/>
      <c r="PTX67" s="414"/>
      <c r="PTY67" s="414"/>
      <c r="PTZ67" s="414"/>
      <c r="PUA67" s="414"/>
      <c r="PUB67" s="414"/>
      <c r="PUC67" s="414"/>
      <c r="PUD67" s="414"/>
      <c r="PUE67" s="414"/>
      <c r="PUF67" s="414"/>
      <c r="PUG67" s="414"/>
      <c r="PUH67" s="414"/>
      <c r="PUI67" s="414"/>
      <c r="PUJ67" s="414"/>
      <c r="PUK67" s="414"/>
      <c r="PUL67" s="414"/>
      <c r="PUM67" s="414"/>
      <c r="PUN67" s="414"/>
      <c r="PUO67" s="414"/>
      <c r="PUP67" s="414"/>
      <c r="PUQ67" s="414"/>
      <c r="PUR67" s="414"/>
      <c r="PUS67" s="414"/>
      <c r="PUT67" s="414"/>
      <c r="PUU67" s="414"/>
      <c r="PUV67" s="414"/>
      <c r="PUW67" s="414"/>
      <c r="PUX67" s="414"/>
      <c r="PUY67" s="414"/>
      <c r="PUZ67" s="414"/>
      <c r="PVA67" s="414"/>
      <c r="PVB67" s="414"/>
      <c r="PVC67" s="414"/>
      <c r="PVD67" s="414"/>
      <c r="PVE67" s="414"/>
      <c r="PVF67" s="414"/>
      <c r="PVG67" s="414"/>
      <c r="PVH67" s="414"/>
      <c r="PVI67" s="414"/>
      <c r="PVJ67" s="414"/>
      <c r="PVK67" s="414"/>
      <c r="PVL67" s="414"/>
      <c r="PVM67" s="414"/>
      <c r="PVN67" s="414"/>
      <c r="PVO67" s="414"/>
      <c r="PVP67" s="414"/>
      <c r="PVQ67" s="414"/>
      <c r="PVR67" s="414"/>
      <c r="PVS67" s="414"/>
      <c r="PVT67" s="414"/>
      <c r="PVU67" s="414"/>
      <c r="PVV67" s="414"/>
      <c r="PVW67" s="414"/>
      <c r="PVX67" s="414"/>
      <c r="PVY67" s="414"/>
      <c r="PVZ67" s="414"/>
      <c r="PWA67" s="414"/>
      <c r="PWB67" s="414"/>
      <c r="PWC67" s="414"/>
      <c r="PWD67" s="414"/>
      <c r="PWE67" s="414"/>
      <c r="PWF67" s="414"/>
      <c r="PWG67" s="414"/>
      <c r="PWH67" s="414"/>
      <c r="PWI67" s="414"/>
      <c r="PWJ67" s="414"/>
      <c r="PWK67" s="414"/>
      <c r="PWL67" s="414"/>
      <c r="PWM67" s="414"/>
      <c r="PWN67" s="414"/>
      <c r="PWO67" s="414"/>
      <c r="PWP67" s="414"/>
      <c r="PWQ67" s="414"/>
      <c r="PWR67" s="414"/>
      <c r="PWS67" s="414"/>
      <c r="PWT67" s="414"/>
      <c r="PWU67" s="414"/>
      <c r="PWV67" s="414"/>
      <c r="PWW67" s="414"/>
      <c r="PWX67" s="414"/>
      <c r="PWY67" s="414"/>
      <c r="PWZ67" s="414"/>
      <c r="PXA67" s="414"/>
      <c r="PXB67" s="414"/>
      <c r="PXC67" s="414"/>
      <c r="PXD67" s="414"/>
      <c r="PXE67" s="414"/>
      <c r="PXF67" s="414"/>
      <c r="PXG67" s="414"/>
      <c r="PXH67" s="414"/>
      <c r="PXI67" s="414"/>
      <c r="PXJ67" s="414"/>
      <c r="PXK67" s="414"/>
      <c r="PXL67" s="414"/>
      <c r="PXM67" s="414"/>
      <c r="PXN67" s="414"/>
      <c r="PXO67" s="414"/>
      <c r="PXP67" s="414"/>
      <c r="PXQ67" s="414"/>
      <c r="PXR67" s="414"/>
      <c r="PXS67" s="414"/>
      <c r="PXT67" s="414"/>
      <c r="PXU67" s="414"/>
      <c r="PXV67" s="414"/>
      <c r="PXW67" s="414"/>
      <c r="PXX67" s="414"/>
      <c r="PXY67" s="414"/>
      <c r="PXZ67" s="414"/>
      <c r="PYA67" s="414"/>
      <c r="PYB67" s="414"/>
      <c r="PYC67" s="414"/>
      <c r="PYD67" s="414"/>
      <c r="PYE67" s="414"/>
      <c r="PYF67" s="414"/>
      <c r="PYG67" s="414"/>
      <c r="PYH67" s="414"/>
      <c r="PYI67" s="414"/>
      <c r="PYJ67" s="414"/>
      <c r="PYK67" s="414"/>
      <c r="PYL67" s="414"/>
      <c r="PYM67" s="414"/>
      <c r="PYN67" s="414"/>
      <c r="PYO67" s="414"/>
      <c r="PYP67" s="414"/>
      <c r="PYQ67" s="414"/>
      <c r="PYR67" s="414"/>
      <c r="PYS67" s="414"/>
      <c r="PYT67" s="414"/>
      <c r="PYU67" s="414"/>
      <c r="PYV67" s="414"/>
      <c r="PYW67" s="414"/>
      <c r="PYX67" s="414"/>
      <c r="PYY67" s="414"/>
      <c r="PYZ67" s="414"/>
      <c r="PZA67" s="414"/>
      <c r="PZB67" s="414"/>
      <c r="PZC67" s="414"/>
      <c r="PZD67" s="414"/>
      <c r="PZE67" s="414"/>
      <c r="PZF67" s="414"/>
      <c r="PZG67" s="414"/>
      <c r="PZH67" s="414"/>
      <c r="PZI67" s="414"/>
      <c r="PZJ67" s="414"/>
      <c r="PZK67" s="414"/>
      <c r="PZL67" s="414"/>
      <c r="PZM67" s="414"/>
      <c r="PZN67" s="414"/>
      <c r="PZO67" s="414"/>
      <c r="PZP67" s="414"/>
      <c r="PZQ67" s="414"/>
      <c r="PZR67" s="414"/>
      <c r="PZS67" s="414"/>
      <c r="PZT67" s="414"/>
      <c r="PZU67" s="414"/>
      <c r="PZV67" s="414"/>
      <c r="PZW67" s="414"/>
      <c r="PZX67" s="414"/>
      <c r="PZY67" s="414"/>
      <c r="PZZ67" s="414"/>
      <c r="QAA67" s="414"/>
      <c r="QAB67" s="414"/>
      <c r="QAC67" s="414"/>
      <c r="QAD67" s="414"/>
      <c r="QAE67" s="414"/>
      <c r="QAF67" s="414"/>
      <c r="QAG67" s="414"/>
      <c r="QAH67" s="414"/>
      <c r="QAI67" s="414"/>
      <c r="QAJ67" s="414"/>
      <c r="QAK67" s="414"/>
      <c r="QAL67" s="414"/>
      <c r="QAM67" s="414"/>
      <c r="QAN67" s="414"/>
      <c r="QAO67" s="414"/>
      <c r="QAP67" s="414"/>
      <c r="QAQ67" s="414"/>
      <c r="QAR67" s="414"/>
      <c r="QAS67" s="414"/>
      <c r="QAT67" s="414"/>
      <c r="QAU67" s="414"/>
      <c r="QAV67" s="414"/>
      <c r="QAW67" s="414"/>
      <c r="QAX67" s="414"/>
      <c r="QAY67" s="414"/>
      <c r="QAZ67" s="414"/>
      <c r="QBA67" s="414"/>
      <c r="QBB67" s="414"/>
      <c r="QBC67" s="414"/>
      <c r="QBD67" s="414"/>
      <c r="QBE67" s="414"/>
      <c r="QBF67" s="414"/>
      <c r="QBG67" s="414"/>
      <c r="QBH67" s="414"/>
      <c r="QBI67" s="414"/>
      <c r="QBJ67" s="414"/>
      <c r="QBK67" s="414"/>
      <c r="QBL67" s="414"/>
      <c r="QBM67" s="414"/>
      <c r="QBN67" s="414"/>
      <c r="QBO67" s="414"/>
      <c r="QBP67" s="414"/>
      <c r="QBQ67" s="414"/>
      <c r="QBR67" s="414"/>
      <c r="QBS67" s="414"/>
      <c r="QBT67" s="414"/>
      <c r="QBU67" s="414"/>
      <c r="QBV67" s="414"/>
      <c r="QBW67" s="414"/>
      <c r="QBX67" s="414"/>
      <c r="QBY67" s="414"/>
      <c r="QBZ67" s="414"/>
      <c r="QCA67" s="414"/>
      <c r="QCB67" s="414"/>
      <c r="QCC67" s="414"/>
      <c r="QCD67" s="414"/>
      <c r="QCE67" s="414"/>
      <c r="QCF67" s="414"/>
      <c r="QCG67" s="414"/>
      <c r="QCH67" s="414"/>
      <c r="QCI67" s="414"/>
      <c r="QCJ67" s="414"/>
      <c r="QCK67" s="414"/>
      <c r="QCL67" s="414"/>
      <c r="QCM67" s="414"/>
      <c r="QCN67" s="414"/>
      <c r="QCO67" s="414"/>
      <c r="QCP67" s="414"/>
      <c r="QCQ67" s="414"/>
      <c r="QCR67" s="414"/>
      <c r="QCS67" s="414"/>
      <c r="QCT67" s="414"/>
      <c r="QCU67" s="414"/>
      <c r="QCV67" s="414"/>
      <c r="QCW67" s="414"/>
      <c r="QCX67" s="414"/>
      <c r="QCY67" s="414"/>
      <c r="QCZ67" s="414"/>
      <c r="QDA67" s="414"/>
      <c r="QDB67" s="414"/>
      <c r="QDC67" s="414"/>
      <c r="QDD67" s="414"/>
      <c r="QDE67" s="414"/>
      <c r="QDF67" s="414"/>
      <c r="QDG67" s="414"/>
      <c r="QDH67" s="414"/>
      <c r="QDI67" s="414"/>
      <c r="QDJ67" s="414"/>
      <c r="QDK67" s="414"/>
      <c r="QDL67" s="414"/>
      <c r="QDM67" s="414"/>
      <c r="QDN67" s="414"/>
      <c r="QDO67" s="414"/>
      <c r="QDP67" s="414"/>
      <c r="QDQ67" s="414"/>
      <c r="QDR67" s="414"/>
      <c r="QDS67" s="414"/>
      <c r="QDT67" s="414"/>
      <c r="QDU67" s="414"/>
      <c r="QDV67" s="414"/>
      <c r="QDW67" s="414"/>
      <c r="QDX67" s="414"/>
      <c r="QDY67" s="414"/>
      <c r="QDZ67" s="414"/>
      <c r="QEA67" s="414"/>
      <c r="QEB67" s="414"/>
      <c r="QEC67" s="414"/>
      <c r="QED67" s="414"/>
      <c r="QEE67" s="414"/>
      <c r="QEF67" s="414"/>
      <c r="QEG67" s="414"/>
      <c r="QEH67" s="414"/>
      <c r="QEI67" s="414"/>
      <c r="QEJ67" s="414"/>
      <c r="QEK67" s="414"/>
      <c r="QEL67" s="414"/>
      <c r="QEM67" s="414"/>
      <c r="QEN67" s="414"/>
      <c r="QEO67" s="414"/>
      <c r="QEP67" s="414"/>
      <c r="QEQ67" s="414"/>
      <c r="QER67" s="414"/>
      <c r="QES67" s="414"/>
      <c r="QET67" s="414"/>
      <c r="QEU67" s="414"/>
      <c r="QEV67" s="414"/>
      <c r="QEW67" s="414"/>
      <c r="QEX67" s="414"/>
      <c r="QEY67" s="414"/>
      <c r="QEZ67" s="414"/>
      <c r="QFA67" s="414"/>
      <c r="QFB67" s="414"/>
      <c r="QFC67" s="414"/>
      <c r="QFD67" s="414"/>
      <c r="QFE67" s="414"/>
      <c r="QFF67" s="414"/>
      <c r="QFG67" s="414"/>
      <c r="QFH67" s="414"/>
      <c r="QFI67" s="414"/>
      <c r="QFJ67" s="414"/>
      <c r="QFK67" s="414"/>
      <c r="QFL67" s="414"/>
      <c r="QFM67" s="414"/>
      <c r="QFN67" s="414"/>
      <c r="QFO67" s="414"/>
      <c r="QFP67" s="414"/>
      <c r="QFQ67" s="414"/>
      <c r="QFR67" s="414"/>
      <c r="QFS67" s="414"/>
      <c r="QFT67" s="414"/>
      <c r="QFU67" s="414"/>
      <c r="QFV67" s="414"/>
      <c r="QFW67" s="414"/>
      <c r="QFX67" s="414"/>
      <c r="QFY67" s="414"/>
      <c r="QFZ67" s="414"/>
      <c r="QGA67" s="414"/>
      <c r="QGB67" s="414"/>
      <c r="QGC67" s="414"/>
      <c r="QGD67" s="414"/>
      <c r="QGE67" s="414"/>
      <c r="QGF67" s="414"/>
      <c r="QGG67" s="414"/>
      <c r="QGH67" s="414"/>
      <c r="QGI67" s="414"/>
      <c r="QGJ67" s="414"/>
      <c r="QGK67" s="414"/>
      <c r="QGL67" s="414"/>
      <c r="QGM67" s="414"/>
      <c r="QGN67" s="414"/>
      <c r="QGO67" s="414"/>
      <c r="QGP67" s="414"/>
      <c r="QGQ67" s="414"/>
      <c r="QGR67" s="414"/>
      <c r="QGS67" s="414"/>
      <c r="QGT67" s="414"/>
      <c r="QGU67" s="414"/>
      <c r="QGV67" s="414"/>
      <c r="QGW67" s="414"/>
      <c r="QGX67" s="414"/>
      <c r="QGY67" s="414"/>
      <c r="QGZ67" s="414"/>
      <c r="QHA67" s="414"/>
      <c r="QHB67" s="414"/>
      <c r="QHC67" s="414"/>
      <c r="QHD67" s="414"/>
      <c r="QHE67" s="414"/>
      <c r="QHF67" s="414"/>
      <c r="QHG67" s="414"/>
      <c r="QHH67" s="414"/>
      <c r="QHI67" s="414"/>
      <c r="QHJ67" s="414"/>
      <c r="QHK67" s="414"/>
      <c r="QHL67" s="414"/>
      <c r="QHM67" s="414"/>
      <c r="QHN67" s="414"/>
      <c r="QHO67" s="414"/>
      <c r="QHP67" s="414"/>
      <c r="QHQ67" s="414"/>
      <c r="QHR67" s="414"/>
      <c r="QHS67" s="414"/>
      <c r="QHT67" s="414"/>
      <c r="QHU67" s="414"/>
      <c r="QHV67" s="414"/>
      <c r="QHW67" s="414"/>
      <c r="QHX67" s="414"/>
      <c r="QHY67" s="414"/>
      <c r="QHZ67" s="414"/>
      <c r="QIA67" s="414"/>
      <c r="QIB67" s="414"/>
      <c r="QIC67" s="414"/>
      <c r="QID67" s="414"/>
      <c r="QIE67" s="414"/>
      <c r="QIF67" s="414"/>
      <c r="QIG67" s="414"/>
      <c r="QIH67" s="414"/>
      <c r="QII67" s="414"/>
      <c r="QIJ67" s="414"/>
      <c r="QIK67" s="414"/>
      <c r="QIL67" s="414"/>
      <c r="QIM67" s="414"/>
      <c r="QIN67" s="414"/>
      <c r="QIO67" s="414"/>
      <c r="QIP67" s="414"/>
      <c r="QIQ67" s="414"/>
      <c r="QIR67" s="414"/>
      <c r="QIS67" s="414"/>
      <c r="QIT67" s="414"/>
      <c r="QIU67" s="414"/>
      <c r="QIV67" s="414"/>
      <c r="QIW67" s="414"/>
      <c r="QIX67" s="414"/>
      <c r="QIY67" s="414"/>
      <c r="QIZ67" s="414"/>
      <c r="QJA67" s="414"/>
      <c r="QJB67" s="414"/>
      <c r="QJC67" s="414"/>
      <c r="QJD67" s="414"/>
      <c r="QJE67" s="414"/>
      <c r="QJF67" s="414"/>
      <c r="QJG67" s="414"/>
      <c r="QJH67" s="414"/>
      <c r="QJI67" s="414"/>
      <c r="QJJ67" s="414"/>
      <c r="QJK67" s="414"/>
      <c r="QJL67" s="414"/>
      <c r="QJM67" s="414"/>
      <c r="QJN67" s="414"/>
      <c r="QJO67" s="414"/>
      <c r="QJP67" s="414"/>
      <c r="QJQ67" s="414"/>
      <c r="QJR67" s="414"/>
      <c r="QJS67" s="414"/>
      <c r="QJT67" s="414"/>
      <c r="QJU67" s="414"/>
      <c r="QJV67" s="414"/>
      <c r="QJW67" s="414"/>
      <c r="QJX67" s="414"/>
      <c r="QJY67" s="414"/>
      <c r="QJZ67" s="414"/>
      <c r="QKA67" s="414"/>
      <c r="QKB67" s="414"/>
      <c r="QKC67" s="414"/>
      <c r="QKD67" s="414"/>
      <c r="QKE67" s="414"/>
      <c r="QKF67" s="414"/>
      <c r="QKG67" s="414"/>
      <c r="QKH67" s="414"/>
      <c r="QKI67" s="414"/>
      <c r="QKJ67" s="414"/>
      <c r="QKK67" s="414"/>
      <c r="QKL67" s="414"/>
      <c r="QKM67" s="414"/>
      <c r="QKN67" s="414"/>
      <c r="QKO67" s="414"/>
      <c r="QKP67" s="414"/>
      <c r="QKQ67" s="414"/>
      <c r="QKR67" s="414"/>
      <c r="QKS67" s="414"/>
      <c r="QKT67" s="414"/>
      <c r="QKU67" s="414"/>
      <c r="QKV67" s="414"/>
      <c r="QKW67" s="414"/>
      <c r="QKX67" s="414"/>
      <c r="QKY67" s="414"/>
      <c r="QKZ67" s="414"/>
      <c r="QLA67" s="414"/>
      <c r="QLB67" s="414"/>
      <c r="QLC67" s="414"/>
      <c r="QLD67" s="414"/>
      <c r="QLE67" s="414"/>
      <c r="QLF67" s="414"/>
      <c r="QLG67" s="414"/>
      <c r="QLH67" s="414"/>
      <c r="QLI67" s="414"/>
      <c r="QLJ67" s="414"/>
      <c r="QLK67" s="414"/>
      <c r="QLL67" s="414"/>
      <c r="QLM67" s="414"/>
      <c r="QLN67" s="414"/>
      <c r="QLO67" s="414"/>
      <c r="QLP67" s="414"/>
      <c r="QLQ67" s="414"/>
      <c r="QLR67" s="414"/>
      <c r="QLS67" s="414"/>
      <c r="QLT67" s="414"/>
      <c r="QLU67" s="414"/>
      <c r="QLV67" s="414"/>
      <c r="QLW67" s="414"/>
      <c r="QLX67" s="414"/>
      <c r="QLY67" s="414"/>
      <c r="QLZ67" s="414"/>
      <c r="QMA67" s="414"/>
      <c r="QMB67" s="414"/>
      <c r="QMC67" s="414"/>
      <c r="QMD67" s="414"/>
      <c r="QME67" s="414"/>
      <c r="QMF67" s="414"/>
      <c r="QMG67" s="414"/>
      <c r="QMH67" s="414"/>
      <c r="QMI67" s="414"/>
      <c r="QMJ67" s="414"/>
      <c r="QMK67" s="414"/>
      <c r="QML67" s="414"/>
      <c r="QMM67" s="414"/>
      <c r="QMN67" s="414"/>
      <c r="QMO67" s="414"/>
      <c r="QMP67" s="414"/>
      <c r="QMQ67" s="414"/>
      <c r="QMR67" s="414"/>
      <c r="QMS67" s="414"/>
      <c r="QMT67" s="414"/>
      <c r="QMU67" s="414"/>
      <c r="QMV67" s="414"/>
      <c r="QMW67" s="414"/>
      <c r="QMX67" s="414"/>
      <c r="QMY67" s="414"/>
      <c r="QMZ67" s="414"/>
      <c r="QNA67" s="414"/>
      <c r="QNB67" s="414"/>
      <c r="QNC67" s="414"/>
      <c r="QND67" s="414"/>
      <c r="QNE67" s="414"/>
      <c r="QNF67" s="414"/>
      <c r="QNG67" s="414"/>
      <c r="QNH67" s="414"/>
      <c r="QNI67" s="414"/>
      <c r="QNJ67" s="414"/>
      <c r="QNK67" s="414"/>
      <c r="QNL67" s="414"/>
      <c r="QNM67" s="414"/>
      <c r="QNN67" s="414"/>
      <c r="QNO67" s="414"/>
      <c r="QNP67" s="414"/>
      <c r="QNQ67" s="414"/>
      <c r="QNR67" s="414"/>
      <c r="QNS67" s="414"/>
      <c r="QNT67" s="414"/>
      <c r="QNU67" s="414"/>
      <c r="QNV67" s="414"/>
      <c r="QNW67" s="414"/>
      <c r="QNX67" s="414"/>
      <c r="QNY67" s="414"/>
      <c r="QNZ67" s="414"/>
      <c r="QOA67" s="414"/>
      <c r="QOB67" s="414"/>
      <c r="QOC67" s="414"/>
      <c r="QOD67" s="414"/>
      <c r="QOE67" s="414"/>
      <c r="QOF67" s="414"/>
      <c r="QOG67" s="414"/>
      <c r="QOH67" s="414"/>
      <c r="QOI67" s="414"/>
      <c r="QOJ67" s="414"/>
      <c r="QOK67" s="414"/>
      <c r="QOL67" s="414"/>
      <c r="QOM67" s="414"/>
      <c r="QON67" s="414"/>
      <c r="QOO67" s="414"/>
      <c r="QOP67" s="414"/>
      <c r="QOQ67" s="414"/>
      <c r="QOR67" s="414"/>
      <c r="QOS67" s="414"/>
      <c r="QOT67" s="414"/>
      <c r="QOU67" s="414"/>
      <c r="QOV67" s="414"/>
      <c r="QOW67" s="414"/>
      <c r="QOX67" s="414"/>
      <c r="QOY67" s="414"/>
      <c r="QOZ67" s="414"/>
      <c r="QPA67" s="414"/>
      <c r="QPB67" s="414"/>
      <c r="QPC67" s="414"/>
      <c r="QPD67" s="414"/>
      <c r="QPE67" s="414"/>
      <c r="QPF67" s="414"/>
      <c r="QPG67" s="414"/>
      <c r="QPH67" s="414"/>
      <c r="QPI67" s="414"/>
      <c r="QPJ67" s="414"/>
      <c r="QPK67" s="414"/>
      <c r="QPL67" s="414"/>
      <c r="QPM67" s="414"/>
      <c r="QPN67" s="414"/>
      <c r="QPO67" s="414"/>
      <c r="QPP67" s="414"/>
      <c r="QPQ67" s="414"/>
      <c r="QPR67" s="414"/>
      <c r="QPS67" s="414"/>
      <c r="QPT67" s="414"/>
      <c r="QPU67" s="414"/>
      <c r="QPV67" s="414"/>
      <c r="QPW67" s="414"/>
      <c r="QPX67" s="414"/>
      <c r="QPY67" s="414"/>
      <c r="QPZ67" s="414"/>
      <c r="QQA67" s="414"/>
      <c r="QQB67" s="414"/>
      <c r="QQC67" s="414"/>
      <c r="QQD67" s="414"/>
      <c r="QQE67" s="414"/>
      <c r="QQF67" s="414"/>
      <c r="QQG67" s="414"/>
      <c r="QQH67" s="414"/>
      <c r="QQI67" s="414"/>
      <c r="QQJ67" s="414"/>
      <c r="QQK67" s="414"/>
      <c r="QQL67" s="414"/>
      <c r="QQM67" s="414"/>
      <c r="QQN67" s="414"/>
      <c r="QQO67" s="414"/>
      <c r="QQP67" s="414"/>
      <c r="QQQ67" s="414"/>
      <c r="QQR67" s="414"/>
      <c r="QQS67" s="414"/>
      <c r="QQT67" s="414"/>
      <c r="QQU67" s="414"/>
      <c r="QQV67" s="414"/>
      <c r="QQW67" s="414"/>
      <c r="QQX67" s="414"/>
      <c r="QQY67" s="414"/>
      <c r="QQZ67" s="414"/>
      <c r="QRA67" s="414"/>
      <c r="QRB67" s="414"/>
      <c r="QRC67" s="414"/>
      <c r="QRD67" s="414"/>
      <c r="QRE67" s="414"/>
      <c r="QRF67" s="414"/>
      <c r="QRG67" s="414"/>
      <c r="QRH67" s="414"/>
      <c r="QRI67" s="414"/>
      <c r="QRJ67" s="414"/>
      <c r="QRK67" s="414"/>
      <c r="QRL67" s="414"/>
      <c r="QRM67" s="414"/>
      <c r="QRN67" s="414"/>
      <c r="QRO67" s="414"/>
      <c r="QRP67" s="414"/>
      <c r="QRQ67" s="414"/>
      <c r="QRR67" s="414"/>
      <c r="QRS67" s="414"/>
      <c r="QRT67" s="414"/>
      <c r="QRU67" s="414"/>
      <c r="QRV67" s="414"/>
      <c r="QRW67" s="414"/>
      <c r="QRX67" s="414"/>
      <c r="QRY67" s="414"/>
      <c r="QRZ67" s="414"/>
      <c r="QSA67" s="414"/>
      <c r="QSB67" s="414"/>
      <c r="QSC67" s="414"/>
      <c r="QSD67" s="414"/>
      <c r="QSE67" s="414"/>
      <c r="QSF67" s="414"/>
      <c r="QSG67" s="414"/>
      <c r="QSH67" s="414"/>
      <c r="QSI67" s="414"/>
      <c r="QSJ67" s="414"/>
      <c r="QSK67" s="414"/>
      <c r="QSL67" s="414"/>
      <c r="QSM67" s="414"/>
      <c r="QSN67" s="414"/>
      <c r="QSO67" s="414"/>
      <c r="QSP67" s="414"/>
      <c r="QSQ67" s="414"/>
      <c r="QSR67" s="414"/>
      <c r="QSS67" s="414"/>
      <c r="QST67" s="414"/>
      <c r="QSU67" s="414"/>
      <c r="QSV67" s="414"/>
      <c r="QSW67" s="414"/>
      <c r="QSX67" s="414"/>
      <c r="QSY67" s="414"/>
      <c r="QSZ67" s="414"/>
      <c r="QTA67" s="414"/>
      <c r="QTB67" s="414"/>
      <c r="QTC67" s="414"/>
      <c r="QTD67" s="414"/>
      <c r="QTE67" s="414"/>
      <c r="QTF67" s="414"/>
      <c r="QTG67" s="414"/>
      <c r="QTH67" s="414"/>
      <c r="QTI67" s="414"/>
      <c r="QTJ67" s="414"/>
      <c r="QTK67" s="414"/>
      <c r="QTL67" s="414"/>
      <c r="QTM67" s="414"/>
      <c r="QTN67" s="414"/>
      <c r="QTO67" s="414"/>
      <c r="QTP67" s="414"/>
      <c r="QTQ67" s="414"/>
      <c r="QTR67" s="414"/>
      <c r="QTS67" s="414"/>
      <c r="QTT67" s="414"/>
      <c r="QTU67" s="414"/>
      <c r="QTV67" s="414"/>
      <c r="QTW67" s="414"/>
      <c r="QTX67" s="414"/>
      <c r="QTY67" s="414"/>
      <c r="QTZ67" s="414"/>
      <c r="QUA67" s="414"/>
      <c r="QUB67" s="414"/>
      <c r="QUC67" s="414"/>
      <c r="QUD67" s="414"/>
      <c r="QUE67" s="414"/>
      <c r="QUF67" s="414"/>
      <c r="QUG67" s="414"/>
      <c r="QUH67" s="414"/>
      <c r="QUI67" s="414"/>
      <c r="QUJ67" s="414"/>
      <c r="QUK67" s="414"/>
      <c r="QUL67" s="414"/>
      <c r="QUM67" s="414"/>
      <c r="QUN67" s="414"/>
      <c r="QUO67" s="414"/>
      <c r="QUP67" s="414"/>
      <c r="QUQ67" s="414"/>
      <c r="QUR67" s="414"/>
      <c r="QUS67" s="414"/>
      <c r="QUT67" s="414"/>
      <c r="QUU67" s="414"/>
      <c r="QUV67" s="414"/>
      <c r="QUW67" s="414"/>
      <c r="QUX67" s="414"/>
      <c r="QUY67" s="414"/>
      <c r="QUZ67" s="414"/>
      <c r="QVA67" s="414"/>
      <c r="QVB67" s="414"/>
      <c r="QVC67" s="414"/>
      <c r="QVD67" s="414"/>
      <c r="QVE67" s="414"/>
      <c r="QVF67" s="414"/>
      <c r="QVG67" s="414"/>
      <c r="QVH67" s="414"/>
      <c r="QVI67" s="414"/>
      <c r="QVJ67" s="414"/>
      <c r="QVK67" s="414"/>
      <c r="QVL67" s="414"/>
      <c r="QVM67" s="414"/>
      <c r="QVN67" s="414"/>
      <c r="QVO67" s="414"/>
      <c r="QVP67" s="414"/>
      <c r="QVQ67" s="414"/>
      <c r="QVR67" s="414"/>
      <c r="QVS67" s="414"/>
      <c r="QVT67" s="414"/>
      <c r="QVU67" s="414"/>
      <c r="QVV67" s="414"/>
      <c r="QVW67" s="414"/>
      <c r="QVX67" s="414"/>
      <c r="QVY67" s="414"/>
      <c r="QVZ67" s="414"/>
      <c r="QWA67" s="414"/>
      <c r="QWB67" s="414"/>
      <c r="QWC67" s="414"/>
      <c r="QWD67" s="414"/>
      <c r="QWE67" s="414"/>
      <c r="QWF67" s="414"/>
      <c r="QWG67" s="414"/>
      <c r="QWH67" s="414"/>
      <c r="QWI67" s="414"/>
      <c r="QWJ67" s="414"/>
      <c r="QWK67" s="414"/>
      <c r="QWL67" s="414"/>
      <c r="QWM67" s="414"/>
      <c r="QWN67" s="414"/>
      <c r="QWO67" s="414"/>
      <c r="QWP67" s="414"/>
      <c r="QWQ67" s="414"/>
      <c r="QWR67" s="414"/>
      <c r="QWS67" s="414"/>
      <c r="QWT67" s="414"/>
      <c r="QWU67" s="414"/>
      <c r="QWV67" s="414"/>
      <c r="QWW67" s="414"/>
      <c r="QWX67" s="414"/>
      <c r="QWY67" s="414"/>
      <c r="QWZ67" s="414"/>
      <c r="QXA67" s="414"/>
      <c r="QXB67" s="414"/>
      <c r="QXC67" s="414"/>
      <c r="QXD67" s="414"/>
      <c r="QXE67" s="414"/>
      <c r="QXF67" s="414"/>
      <c r="QXG67" s="414"/>
      <c r="QXH67" s="414"/>
      <c r="QXI67" s="414"/>
      <c r="QXJ67" s="414"/>
      <c r="QXK67" s="414"/>
      <c r="QXL67" s="414"/>
      <c r="QXM67" s="414"/>
      <c r="QXN67" s="414"/>
      <c r="QXO67" s="414"/>
      <c r="QXP67" s="414"/>
      <c r="QXQ67" s="414"/>
      <c r="QXR67" s="414"/>
      <c r="QXS67" s="414"/>
      <c r="QXT67" s="414"/>
      <c r="QXU67" s="414"/>
      <c r="QXV67" s="414"/>
      <c r="QXW67" s="414"/>
      <c r="QXX67" s="414"/>
      <c r="QXY67" s="414"/>
      <c r="QXZ67" s="414"/>
      <c r="QYA67" s="414"/>
      <c r="QYB67" s="414"/>
      <c r="QYC67" s="414"/>
      <c r="QYD67" s="414"/>
      <c r="QYE67" s="414"/>
      <c r="QYF67" s="414"/>
      <c r="QYG67" s="414"/>
      <c r="QYH67" s="414"/>
      <c r="QYI67" s="414"/>
      <c r="QYJ67" s="414"/>
      <c r="QYK67" s="414"/>
      <c r="QYL67" s="414"/>
      <c r="QYM67" s="414"/>
      <c r="QYN67" s="414"/>
      <c r="QYO67" s="414"/>
      <c r="QYP67" s="414"/>
      <c r="QYQ67" s="414"/>
      <c r="QYR67" s="414"/>
      <c r="QYS67" s="414"/>
      <c r="QYT67" s="414"/>
      <c r="QYU67" s="414"/>
      <c r="QYV67" s="414"/>
      <c r="QYW67" s="414"/>
      <c r="QYX67" s="414"/>
      <c r="QYY67" s="414"/>
      <c r="QYZ67" s="414"/>
      <c r="QZA67" s="414"/>
      <c r="QZB67" s="414"/>
      <c r="QZC67" s="414"/>
      <c r="QZD67" s="414"/>
      <c r="QZE67" s="414"/>
      <c r="QZF67" s="414"/>
      <c r="QZG67" s="414"/>
      <c r="QZH67" s="414"/>
      <c r="QZI67" s="414"/>
      <c r="QZJ67" s="414"/>
      <c r="QZK67" s="414"/>
      <c r="QZL67" s="414"/>
      <c r="QZM67" s="414"/>
      <c r="QZN67" s="414"/>
      <c r="QZO67" s="414"/>
      <c r="QZP67" s="414"/>
      <c r="QZQ67" s="414"/>
      <c r="QZR67" s="414"/>
      <c r="QZS67" s="414"/>
      <c r="QZT67" s="414"/>
      <c r="QZU67" s="414"/>
      <c r="QZV67" s="414"/>
      <c r="QZW67" s="414"/>
      <c r="QZX67" s="414"/>
      <c r="QZY67" s="414"/>
      <c r="QZZ67" s="414"/>
      <c r="RAA67" s="414"/>
      <c r="RAB67" s="414"/>
      <c r="RAC67" s="414"/>
      <c r="RAD67" s="414"/>
      <c r="RAE67" s="414"/>
      <c r="RAF67" s="414"/>
      <c r="RAG67" s="414"/>
      <c r="RAH67" s="414"/>
      <c r="RAI67" s="414"/>
      <c r="RAJ67" s="414"/>
      <c r="RAK67" s="414"/>
      <c r="RAL67" s="414"/>
      <c r="RAM67" s="414"/>
      <c r="RAN67" s="414"/>
      <c r="RAO67" s="414"/>
      <c r="RAP67" s="414"/>
      <c r="RAQ67" s="414"/>
      <c r="RAR67" s="414"/>
      <c r="RAS67" s="414"/>
      <c r="RAT67" s="414"/>
      <c r="RAU67" s="414"/>
      <c r="RAV67" s="414"/>
      <c r="RAW67" s="414"/>
      <c r="RAX67" s="414"/>
      <c r="RAY67" s="414"/>
      <c r="RAZ67" s="414"/>
      <c r="RBA67" s="414"/>
      <c r="RBB67" s="414"/>
      <c r="RBC67" s="414"/>
      <c r="RBD67" s="414"/>
      <c r="RBE67" s="414"/>
      <c r="RBF67" s="414"/>
      <c r="RBG67" s="414"/>
      <c r="RBH67" s="414"/>
      <c r="RBI67" s="414"/>
      <c r="RBJ67" s="414"/>
      <c r="RBK67" s="414"/>
      <c r="RBL67" s="414"/>
      <c r="RBM67" s="414"/>
      <c r="RBN67" s="414"/>
      <c r="RBO67" s="414"/>
      <c r="RBP67" s="414"/>
      <c r="RBQ67" s="414"/>
      <c r="RBR67" s="414"/>
      <c r="RBS67" s="414"/>
      <c r="RBT67" s="414"/>
      <c r="RBU67" s="414"/>
      <c r="RBV67" s="414"/>
      <c r="RBW67" s="414"/>
      <c r="RBX67" s="414"/>
      <c r="RBY67" s="414"/>
      <c r="RBZ67" s="414"/>
      <c r="RCA67" s="414"/>
      <c r="RCB67" s="414"/>
      <c r="RCC67" s="414"/>
      <c r="RCD67" s="414"/>
      <c r="RCE67" s="414"/>
      <c r="RCF67" s="414"/>
      <c r="RCG67" s="414"/>
      <c r="RCH67" s="414"/>
      <c r="RCI67" s="414"/>
      <c r="RCJ67" s="414"/>
      <c r="RCK67" s="414"/>
      <c r="RCL67" s="414"/>
      <c r="RCM67" s="414"/>
      <c r="RCN67" s="414"/>
      <c r="RCO67" s="414"/>
      <c r="RCP67" s="414"/>
      <c r="RCQ67" s="414"/>
      <c r="RCR67" s="414"/>
      <c r="RCS67" s="414"/>
      <c r="RCT67" s="414"/>
      <c r="RCU67" s="414"/>
      <c r="RCV67" s="414"/>
      <c r="RCW67" s="414"/>
      <c r="RCX67" s="414"/>
      <c r="RCY67" s="414"/>
      <c r="RCZ67" s="414"/>
      <c r="RDA67" s="414"/>
      <c r="RDB67" s="414"/>
      <c r="RDC67" s="414"/>
      <c r="RDD67" s="414"/>
      <c r="RDE67" s="414"/>
      <c r="RDF67" s="414"/>
      <c r="RDG67" s="414"/>
      <c r="RDH67" s="414"/>
      <c r="RDI67" s="414"/>
      <c r="RDJ67" s="414"/>
      <c r="RDK67" s="414"/>
      <c r="RDL67" s="414"/>
      <c r="RDM67" s="414"/>
      <c r="RDN67" s="414"/>
      <c r="RDO67" s="414"/>
      <c r="RDP67" s="414"/>
      <c r="RDQ67" s="414"/>
      <c r="RDR67" s="414"/>
      <c r="RDS67" s="414"/>
      <c r="RDT67" s="414"/>
      <c r="RDU67" s="414"/>
      <c r="RDV67" s="414"/>
      <c r="RDW67" s="414"/>
      <c r="RDX67" s="414"/>
      <c r="RDY67" s="414"/>
      <c r="RDZ67" s="414"/>
      <c r="REA67" s="414"/>
      <c r="REB67" s="414"/>
      <c r="REC67" s="414"/>
      <c r="RED67" s="414"/>
      <c r="REE67" s="414"/>
      <c r="REF67" s="414"/>
      <c r="REG67" s="414"/>
      <c r="REH67" s="414"/>
      <c r="REI67" s="414"/>
      <c r="REJ67" s="414"/>
      <c r="REK67" s="414"/>
      <c r="REL67" s="414"/>
      <c r="REM67" s="414"/>
      <c r="REN67" s="414"/>
      <c r="REO67" s="414"/>
      <c r="REP67" s="414"/>
      <c r="REQ67" s="414"/>
      <c r="RER67" s="414"/>
      <c r="RES67" s="414"/>
      <c r="RET67" s="414"/>
      <c r="REU67" s="414"/>
      <c r="REV67" s="414"/>
      <c r="REW67" s="414"/>
      <c r="REX67" s="414"/>
      <c r="REY67" s="414"/>
      <c r="REZ67" s="414"/>
      <c r="RFA67" s="414"/>
      <c r="RFB67" s="414"/>
      <c r="RFC67" s="414"/>
      <c r="RFD67" s="414"/>
      <c r="RFE67" s="414"/>
      <c r="RFF67" s="414"/>
      <c r="RFG67" s="414"/>
      <c r="RFH67" s="414"/>
      <c r="RFI67" s="414"/>
      <c r="RFJ67" s="414"/>
      <c r="RFK67" s="414"/>
      <c r="RFL67" s="414"/>
      <c r="RFM67" s="414"/>
      <c r="RFN67" s="414"/>
      <c r="RFO67" s="414"/>
      <c r="RFP67" s="414"/>
      <c r="RFQ67" s="414"/>
      <c r="RFR67" s="414"/>
      <c r="RFS67" s="414"/>
      <c r="RFT67" s="414"/>
      <c r="RFU67" s="414"/>
      <c r="RFV67" s="414"/>
      <c r="RFW67" s="414"/>
      <c r="RFX67" s="414"/>
      <c r="RFY67" s="414"/>
      <c r="RFZ67" s="414"/>
      <c r="RGA67" s="414"/>
      <c r="RGB67" s="414"/>
      <c r="RGC67" s="414"/>
      <c r="RGD67" s="414"/>
      <c r="RGE67" s="414"/>
      <c r="RGF67" s="414"/>
      <c r="RGG67" s="414"/>
      <c r="RGH67" s="414"/>
      <c r="RGI67" s="414"/>
      <c r="RGJ67" s="414"/>
      <c r="RGK67" s="414"/>
      <c r="RGL67" s="414"/>
      <c r="RGM67" s="414"/>
      <c r="RGN67" s="414"/>
      <c r="RGO67" s="414"/>
      <c r="RGP67" s="414"/>
      <c r="RGQ67" s="414"/>
      <c r="RGR67" s="414"/>
      <c r="RGS67" s="414"/>
      <c r="RGT67" s="414"/>
      <c r="RGU67" s="414"/>
      <c r="RGV67" s="414"/>
      <c r="RGW67" s="414"/>
      <c r="RGX67" s="414"/>
      <c r="RGY67" s="414"/>
      <c r="RGZ67" s="414"/>
      <c r="RHA67" s="414"/>
      <c r="RHB67" s="414"/>
      <c r="RHC67" s="414"/>
      <c r="RHD67" s="414"/>
      <c r="RHE67" s="414"/>
      <c r="RHF67" s="414"/>
      <c r="RHG67" s="414"/>
      <c r="RHH67" s="414"/>
      <c r="RHI67" s="414"/>
      <c r="RHJ67" s="414"/>
      <c r="RHK67" s="414"/>
      <c r="RHL67" s="414"/>
      <c r="RHM67" s="414"/>
      <c r="RHN67" s="414"/>
      <c r="RHO67" s="414"/>
      <c r="RHP67" s="414"/>
      <c r="RHQ67" s="414"/>
      <c r="RHR67" s="414"/>
      <c r="RHS67" s="414"/>
      <c r="RHT67" s="414"/>
      <c r="RHU67" s="414"/>
      <c r="RHV67" s="414"/>
      <c r="RHW67" s="414"/>
      <c r="RHX67" s="414"/>
      <c r="RHY67" s="414"/>
      <c r="RHZ67" s="414"/>
      <c r="RIA67" s="414"/>
      <c r="RIB67" s="414"/>
      <c r="RIC67" s="414"/>
      <c r="RID67" s="414"/>
      <c r="RIE67" s="414"/>
      <c r="RIF67" s="414"/>
      <c r="RIG67" s="414"/>
      <c r="RIH67" s="414"/>
      <c r="RII67" s="414"/>
      <c r="RIJ67" s="414"/>
      <c r="RIK67" s="414"/>
      <c r="RIL67" s="414"/>
      <c r="RIM67" s="414"/>
      <c r="RIN67" s="414"/>
      <c r="RIO67" s="414"/>
      <c r="RIP67" s="414"/>
      <c r="RIQ67" s="414"/>
      <c r="RIR67" s="414"/>
      <c r="RIS67" s="414"/>
      <c r="RIT67" s="414"/>
      <c r="RIU67" s="414"/>
      <c r="RIV67" s="414"/>
      <c r="RIW67" s="414"/>
      <c r="RIX67" s="414"/>
      <c r="RIY67" s="414"/>
      <c r="RIZ67" s="414"/>
      <c r="RJA67" s="414"/>
      <c r="RJB67" s="414"/>
      <c r="RJC67" s="414"/>
      <c r="RJD67" s="414"/>
      <c r="RJE67" s="414"/>
      <c r="RJF67" s="414"/>
      <c r="RJG67" s="414"/>
      <c r="RJH67" s="414"/>
      <c r="RJI67" s="414"/>
      <c r="RJJ67" s="414"/>
      <c r="RJK67" s="414"/>
      <c r="RJL67" s="414"/>
      <c r="RJM67" s="414"/>
      <c r="RJN67" s="414"/>
      <c r="RJO67" s="414"/>
      <c r="RJP67" s="414"/>
      <c r="RJQ67" s="414"/>
      <c r="RJR67" s="414"/>
      <c r="RJS67" s="414"/>
      <c r="RJT67" s="414"/>
      <c r="RJU67" s="414"/>
      <c r="RJV67" s="414"/>
      <c r="RJW67" s="414"/>
      <c r="RJX67" s="414"/>
      <c r="RJY67" s="414"/>
      <c r="RJZ67" s="414"/>
      <c r="RKA67" s="414"/>
      <c r="RKB67" s="414"/>
      <c r="RKC67" s="414"/>
      <c r="RKD67" s="414"/>
      <c r="RKE67" s="414"/>
      <c r="RKF67" s="414"/>
      <c r="RKG67" s="414"/>
      <c r="RKH67" s="414"/>
      <c r="RKI67" s="414"/>
      <c r="RKJ67" s="414"/>
      <c r="RKK67" s="414"/>
      <c r="RKL67" s="414"/>
      <c r="RKM67" s="414"/>
      <c r="RKN67" s="414"/>
      <c r="RKO67" s="414"/>
      <c r="RKP67" s="414"/>
      <c r="RKQ67" s="414"/>
      <c r="RKR67" s="414"/>
      <c r="RKS67" s="414"/>
      <c r="RKT67" s="414"/>
      <c r="RKU67" s="414"/>
      <c r="RKV67" s="414"/>
      <c r="RKW67" s="414"/>
      <c r="RKX67" s="414"/>
      <c r="RKY67" s="414"/>
      <c r="RKZ67" s="414"/>
      <c r="RLA67" s="414"/>
      <c r="RLB67" s="414"/>
      <c r="RLC67" s="414"/>
      <c r="RLD67" s="414"/>
      <c r="RLE67" s="414"/>
      <c r="RLF67" s="414"/>
      <c r="RLG67" s="414"/>
      <c r="RLH67" s="414"/>
      <c r="RLI67" s="414"/>
      <c r="RLJ67" s="414"/>
      <c r="RLK67" s="414"/>
      <c r="RLL67" s="414"/>
      <c r="RLM67" s="414"/>
      <c r="RLN67" s="414"/>
      <c r="RLO67" s="414"/>
      <c r="RLP67" s="414"/>
      <c r="RLQ67" s="414"/>
      <c r="RLR67" s="414"/>
      <c r="RLS67" s="414"/>
      <c r="RLT67" s="414"/>
      <c r="RLU67" s="414"/>
      <c r="RLV67" s="414"/>
      <c r="RLW67" s="414"/>
      <c r="RLX67" s="414"/>
      <c r="RLY67" s="414"/>
      <c r="RLZ67" s="414"/>
      <c r="RMA67" s="414"/>
      <c r="RMB67" s="414"/>
      <c r="RMC67" s="414"/>
      <c r="RMD67" s="414"/>
      <c r="RME67" s="414"/>
      <c r="RMF67" s="414"/>
      <c r="RMG67" s="414"/>
      <c r="RMH67" s="414"/>
      <c r="RMI67" s="414"/>
      <c r="RMJ67" s="414"/>
      <c r="RMK67" s="414"/>
      <c r="RML67" s="414"/>
      <c r="RMM67" s="414"/>
      <c r="RMN67" s="414"/>
      <c r="RMO67" s="414"/>
      <c r="RMP67" s="414"/>
      <c r="RMQ67" s="414"/>
      <c r="RMR67" s="414"/>
      <c r="RMS67" s="414"/>
      <c r="RMT67" s="414"/>
      <c r="RMU67" s="414"/>
      <c r="RMV67" s="414"/>
      <c r="RMW67" s="414"/>
      <c r="RMX67" s="414"/>
      <c r="RMY67" s="414"/>
      <c r="RMZ67" s="414"/>
      <c r="RNA67" s="414"/>
      <c r="RNB67" s="414"/>
      <c r="RNC67" s="414"/>
      <c r="RND67" s="414"/>
      <c r="RNE67" s="414"/>
      <c r="RNF67" s="414"/>
      <c r="RNG67" s="414"/>
      <c r="RNH67" s="414"/>
      <c r="RNI67" s="414"/>
      <c r="RNJ67" s="414"/>
      <c r="RNK67" s="414"/>
      <c r="RNL67" s="414"/>
      <c r="RNM67" s="414"/>
      <c r="RNN67" s="414"/>
      <c r="RNO67" s="414"/>
      <c r="RNP67" s="414"/>
      <c r="RNQ67" s="414"/>
      <c r="RNR67" s="414"/>
      <c r="RNS67" s="414"/>
      <c r="RNT67" s="414"/>
      <c r="RNU67" s="414"/>
      <c r="RNV67" s="414"/>
      <c r="RNW67" s="414"/>
      <c r="RNX67" s="414"/>
      <c r="RNY67" s="414"/>
      <c r="RNZ67" s="414"/>
      <c r="ROA67" s="414"/>
      <c r="ROB67" s="414"/>
      <c r="ROC67" s="414"/>
      <c r="ROD67" s="414"/>
      <c r="ROE67" s="414"/>
      <c r="ROF67" s="414"/>
      <c r="ROG67" s="414"/>
      <c r="ROH67" s="414"/>
      <c r="ROI67" s="414"/>
      <c r="ROJ67" s="414"/>
      <c r="ROK67" s="414"/>
      <c r="ROL67" s="414"/>
      <c r="ROM67" s="414"/>
      <c r="RON67" s="414"/>
      <c r="ROO67" s="414"/>
      <c r="ROP67" s="414"/>
      <c r="ROQ67" s="414"/>
      <c r="ROR67" s="414"/>
      <c r="ROS67" s="414"/>
      <c r="ROT67" s="414"/>
      <c r="ROU67" s="414"/>
      <c r="ROV67" s="414"/>
      <c r="ROW67" s="414"/>
      <c r="ROX67" s="414"/>
      <c r="ROY67" s="414"/>
      <c r="ROZ67" s="414"/>
      <c r="RPA67" s="414"/>
      <c r="RPB67" s="414"/>
      <c r="RPC67" s="414"/>
      <c r="RPD67" s="414"/>
      <c r="RPE67" s="414"/>
      <c r="RPF67" s="414"/>
      <c r="RPG67" s="414"/>
      <c r="RPH67" s="414"/>
      <c r="RPI67" s="414"/>
      <c r="RPJ67" s="414"/>
      <c r="RPK67" s="414"/>
      <c r="RPL67" s="414"/>
      <c r="RPM67" s="414"/>
      <c r="RPN67" s="414"/>
      <c r="RPO67" s="414"/>
      <c r="RPP67" s="414"/>
      <c r="RPQ67" s="414"/>
      <c r="RPR67" s="414"/>
      <c r="RPS67" s="414"/>
      <c r="RPT67" s="414"/>
      <c r="RPU67" s="414"/>
      <c r="RPV67" s="414"/>
      <c r="RPW67" s="414"/>
      <c r="RPX67" s="414"/>
      <c r="RPY67" s="414"/>
      <c r="RPZ67" s="414"/>
      <c r="RQA67" s="414"/>
      <c r="RQB67" s="414"/>
      <c r="RQC67" s="414"/>
      <c r="RQD67" s="414"/>
      <c r="RQE67" s="414"/>
      <c r="RQF67" s="414"/>
      <c r="RQG67" s="414"/>
      <c r="RQH67" s="414"/>
      <c r="RQI67" s="414"/>
      <c r="RQJ67" s="414"/>
      <c r="RQK67" s="414"/>
      <c r="RQL67" s="414"/>
      <c r="RQM67" s="414"/>
      <c r="RQN67" s="414"/>
      <c r="RQO67" s="414"/>
      <c r="RQP67" s="414"/>
      <c r="RQQ67" s="414"/>
      <c r="RQR67" s="414"/>
      <c r="RQS67" s="414"/>
      <c r="RQT67" s="414"/>
      <c r="RQU67" s="414"/>
      <c r="RQV67" s="414"/>
      <c r="RQW67" s="414"/>
      <c r="RQX67" s="414"/>
      <c r="RQY67" s="414"/>
      <c r="RQZ67" s="414"/>
      <c r="RRA67" s="414"/>
      <c r="RRB67" s="414"/>
      <c r="RRC67" s="414"/>
      <c r="RRD67" s="414"/>
      <c r="RRE67" s="414"/>
      <c r="RRF67" s="414"/>
      <c r="RRG67" s="414"/>
      <c r="RRH67" s="414"/>
      <c r="RRI67" s="414"/>
      <c r="RRJ67" s="414"/>
      <c r="RRK67" s="414"/>
      <c r="RRL67" s="414"/>
      <c r="RRM67" s="414"/>
      <c r="RRN67" s="414"/>
      <c r="RRO67" s="414"/>
      <c r="RRP67" s="414"/>
      <c r="RRQ67" s="414"/>
      <c r="RRR67" s="414"/>
      <c r="RRS67" s="414"/>
      <c r="RRT67" s="414"/>
      <c r="RRU67" s="414"/>
      <c r="RRV67" s="414"/>
      <c r="RRW67" s="414"/>
      <c r="RRX67" s="414"/>
      <c r="RRY67" s="414"/>
      <c r="RRZ67" s="414"/>
      <c r="RSA67" s="414"/>
      <c r="RSB67" s="414"/>
      <c r="RSC67" s="414"/>
      <c r="RSD67" s="414"/>
      <c r="RSE67" s="414"/>
      <c r="RSF67" s="414"/>
      <c r="RSG67" s="414"/>
      <c r="RSH67" s="414"/>
      <c r="RSI67" s="414"/>
      <c r="RSJ67" s="414"/>
      <c r="RSK67" s="414"/>
      <c r="RSL67" s="414"/>
      <c r="RSM67" s="414"/>
      <c r="RSN67" s="414"/>
      <c r="RSO67" s="414"/>
      <c r="RSP67" s="414"/>
      <c r="RSQ67" s="414"/>
      <c r="RSR67" s="414"/>
      <c r="RSS67" s="414"/>
      <c r="RST67" s="414"/>
      <c r="RSU67" s="414"/>
      <c r="RSV67" s="414"/>
      <c r="RSW67" s="414"/>
      <c r="RSX67" s="414"/>
      <c r="RSY67" s="414"/>
      <c r="RSZ67" s="414"/>
      <c r="RTA67" s="414"/>
      <c r="RTB67" s="414"/>
      <c r="RTC67" s="414"/>
      <c r="RTD67" s="414"/>
      <c r="RTE67" s="414"/>
      <c r="RTF67" s="414"/>
      <c r="RTG67" s="414"/>
      <c r="RTH67" s="414"/>
      <c r="RTI67" s="414"/>
      <c r="RTJ67" s="414"/>
      <c r="RTK67" s="414"/>
      <c r="RTL67" s="414"/>
      <c r="RTM67" s="414"/>
      <c r="RTN67" s="414"/>
      <c r="RTO67" s="414"/>
      <c r="RTP67" s="414"/>
      <c r="RTQ67" s="414"/>
      <c r="RTR67" s="414"/>
      <c r="RTS67" s="414"/>
      <c r="RTT67" s="414"/>
      <c r="RTU67" s="414"/>
      <c r="RTV67" s="414"/>
      <c r="RTW67" s="414"/>
      <c r="RTX67" s="414"/>
      <c r="RTY67" s="414"/>
      <c r="RTZ67" s="414"/>
      <c r="RUA67" s="414"/>
      <c r="RUB67" s="414"/>
      <c r="RUC67" s="414"/>
      <c r="RUD67" s="414"/>
      <c r="RUE67" s="414"/>
      <c r="RUF67" s="414"/>
      <c r="RUG67" s="414"/>
      <c r="RUH67" s="414"/>
      <c r="RUI67" s="414"/>
      <c r="RUJ67" s="414"/>
      <c r="RUK67" s="414"/>
      <c r="RUL67" s="414"/>
      <c r="RUM67" s="414"/>
      <c r="RUN67" s="414"/>
      <c r="RUO67" s="414"/>
      <c r="RUP67" s="414"/>
      <c r="RUQ67" s="414"/>
      <c r="RUR67" s="414"/>
      <c r="RUS67" s="414"/>
      <c r="RUT67" s="414"/>
      <c r="RUU67" s="414"/>
      <c r="RUV67" s="414"/>
      <c r="RUW67" s="414"/>
      <c r="RUX67" s="414"/>
      <c r="RUY67" s="414"/>
      <c r="RUZ67" s="414"/>
      <c r="RVA67" s="414"/>
      <c r="RVB67" s="414"/>
      <c r="RVC67" s="414"/>
      <c r="RVD67" s="414"/>
      <c r="RVE67" s="414"/>
      <c r="RVF67" s="414"/>
      <c r="RVG67" s="414"/>
      <c r="RVH67" s="414"/>
      <c r="RVI67" s="414"/>
      <c r="RVJ67" s="414"/>
      <c r="RVK67" s="414"/>
      <c r="RVL67" s="414"/>
      <c r="RVM67" s="414"/>
      <c r="RVN67" s="414"/>
      <c r="RVO67" s="414"/>
      <c r="RVP67" s="414"/>
      <c r="RVQ67" s="414"/>
      <c r="RVR67" s="414"/>
      <c r="RVS67" s="414"/>
      <c r="RVT67" s="414"/>
      <c r="RVU67" s="414"/>
      <c r="RVV67" s="414"/>
      <c r="RVW67" s="414"/>
      <c r="RVX67" s="414"/>
      <c r="RVY67" s="414"/>
      <c r="RVZ67" s="414"/>
      <c r="RWA67" s="414"/>
      <c r="RWB67" s="414"/>
      <c r="RWC67" s="414"/>
      <c r="RWD67" s="414"/>
      <c r="RWE67" s="414"/>
      <c r="RWF67" s="414"/>
      <c r="RWG67" s="414"/>
      <c r="RWH67" s="414"/>
      <c r="RWI67" s="414"/>
      <c r="RWJ67" s="414"/>
      <c r="RWK67" s="414"/>
      <c r="RWL67" s="414"/>
      <c r="RWM67" s="414"/>
      <c r="RWN67" s="414"/>
      <c r="RWO67" s="414"/>
      <c r="RWP67" s="414"/>
      <c r="RWQ67" s="414"/>
      <c r="RWR67" s="414"/>
      <c r="RWS67" s="414"/>
      <c r="RWT67" s="414"/>
      <c r="RWU67" s="414"/>
      <c r="RWV67" s="414"/>
      <c r="RWW67" s="414"/>
      <c r="RWX67" s="414"/>
      <c r="RWY67" s="414"/>
      <c r="RWZ67" s="414"/>
      <c r="RXA67" s="414"/>
      <c r="RXB67" s="414"/>
      <c r="RXC67" s="414"/>
      <c r="RXD67" s="414"/>
      <c r="RXE67" s="414"/>
      <c r="RXF67" s="414"/>
      <c r="RXG67" s="414"/>
      <c r="RXH67" s="414"/>
      <c r="RXI67" s="414"/>
      <c r="RXJ67" s="414"/>
      <c r="RXK67" s="414"/>
      <c r="RXL67" s="414"/>
      <c r="RXM67" s="414"/>
      <c r="RXN67" s="414"/>
      <c r="RXO67" s="414"/>
      <c r="RXP67" s="414"/>
      <c r="RXQ67" s="414"/>
      <c r="RXR67" s="414"/>
      <c r="RXS67" s="414"/>
      <c r="RXT67" s="414"/>
      <c r="RXU67" s="414"/>
      <c r="RXV67" s="414"/>
      <c r="RXW67" s="414"/>
      <c r="RXX67" s="414"/>
      <c r="RXY67" s="414"/>
      <c r="RXZ67" s="414"/>
      <c r="RYA67" s="414"/>
      <c r="RYB67" s="414"/>
      <c r="RYC67" s="414"/>
      <c r="RYD67" s="414"/>
      <c r="RYE67" s="414"/>
      <c r="RYF67" s="414"/>
      <c r="RYG67" s="414"/>
      <c r="RYH67" s="414"/>
      <c r="RYI67" s="414"/>
      <c r="RYJ67" s="414"/>
      <c r="RYK67" s="414"/>
      <c r="RYL67" s="414"/>
      <c r="RYM67" s="414"/>
      <c r="RYN67" s="414"/>
      <c r="RYO67" s="414"/>
      <c r="RYP67" s="414"/>
      <c r="RYQ67" s="414"/>
      <c r="RYR67" s="414"/>
      <c r="RYS67" s="414"/>
      <c r="RYT67" s="414"/>
      <c r="RYU67" s="414"/>
      <c r="RYV67" s="414"/>
      <c r="RYW67" s="414"/>
      <c r="RYX67" s="414"/>
      <c r="RYY67" s="414"/>
      <c r="RYZ67" s="414"/>
      <c r="RZA67" s="414"/>
      <c r="RZB67" s="414"/>
      <c r="RZC67" s="414"/>
      <c r="RZD67" s="414"/>
      <c r="RZE67" s="414"/>
      <c r="RZF67" s="414"/>
      <c r="RZG67" s="414"/>
      <c r="RZH67" s="414"/>
      <c r="RZI67" s="414"/>
      <c r="RZJ67" s="414"/>
      <c r="RZK67" s="414"/>
      <c r="RZL67" s="414"/>
      <c r="RZM67" s="414"/>
      <c r="RZN67" s="414"/>
      <c r="RZO67" s="414"/>
      <c r="RZP67" s="414"/>
      <c r="RZQ67" s="414"/>
      <c r="RZR67" s="414"/>
      <c r="RZS67" s="414"/>
      <c r="RZT67" s="414"/>
      <c r="RZU67" s="414"/>
      <c r="RZV67" s="414"/>
      <c r="RZW67" s="414"/>
      <c r="RZX67" s="414"/>
      <c r="RZY67" s="414"/>
      <c r="RZZ67" s="414"/>
      <c r="SAA67" s="414"/>
      <c r="SAB67" s="414"/>
      <c r="SAC67" s="414"/>
      <c r="SAD67" s="414"/>
      <c r="SAE67" s="414"/>
      <c r="SAF67" s="414"/>
      <c r="SAG67" s="414"/>
      <c r="SAH67" s="414"/>
      <c r="SAI67" s="414"/>
      <c r="SAJ67" s="414"/>
      <c r="SAK67" s="414"/>
      <c r="SAL67" s="414"/>
      <c r="SAM67" s="414"/>
      <c r="SAN67" s="414"/>
      <c r="SAO67" s="414"/>
      <c r="SAP67" s="414"/>
      <c r="SAQ67" s="414"/>
      <c r="SAR67" s="414"/>
      <c r="SAS67" s="414"/>
      <c r="SAT67" s="414"/>
      <c r="SAU67" s="414"/>
      <c r="SAV67" s="414"/>
      <c r="SAW67" s="414"/>
      <c r="SAX67" s="414"/>
      <c r="SAY67" s="414"/>
      <c r="SAZ67" s="414"/>
      <c r="SBA67" s="414"/>
      <c r="SBB67" s="414"/>
      <c r="SBC67" s="414"/>
      <c r="SBD67" s="414"/>
      <c r="SBE67" s="414"/>
      <c r="SBF67" s="414"/>
      <c r="SBG67" s="414"/>
      <c r="SBH67" s="414"/>
      <c r="SBI67" s="414"/>
      <c r="SBJ67" s="414"/>
      <c r="SBK67" s="414"/>
      <c r="SBL67" s="414"/>
      <c r="SBM67" s="414"/>
      <c r="SBN67" s="414"/>
      <c r="SBO67" s="414"/>
      <c r="SBP67" s="414"/>
      <c r="SBQ67" s="414"/>
      <c r="SBR67" s="414"/>
      <c r="SBS67" s="414"/>
      <c r="SBT67" s="414"/>
      <c r="SBU67" s="414"/>
      <c r="SBV67" s="414"/>
      <c r="SBW67" s="414"/>
      <c r="SBX67" s="414"/>
      <c r="SBY67" s="414"/>
      <c r="SBZ67" s="414"/>
      <c r="SCA67" s="414"/>
      <c r="SCB67" s="414"/>
      <c r="SCC67" s="414"/>
      <c r="SCD67" s="414"/>
      <c r="SCE67" s="414"/>
      <c r="SCF67" s="414"/>
      <c r="SCG67" s="414"/>
      <c r="SCH67" s="414"/>
      <c r="SCI67" s="414"/>
      <c r="SCJ67" s="414"/>
      <c r="SCK67" s="414"/>
      <c r="SCL67" s="414"/>
      <c r="SCM67" s="414"/>
      <c r="SCN67" s="414"/>
      <c r="SCO67" s="414"/>
      <c r="SCP67" s="414"/>
      <c r="SCQ67" s="414"/>
      <c r="SCR67" s="414"/>
      <c r="SCS67" s="414"/>
      <c r="SCT67" s="414"/>
      <c r="SCU67" s="414"/>
      <c r="SCV67" s="414"/>
      <c r="SCW67" s="414"/>
      <c r="SCX67" s="414"/>
      <c r="SCY67" s="414"/>
      <c r="SCZ67" s="414"/>
      <c r="SDA67" s="414"/>
      <c r="SDB67" s="414"/>
      <c r="SDC67" s="414"/>
      <c r="SDD67" s="414"/>
      <c r="SDE67" s="414"/>
      <c r="SDF67" s="414"/>
      <c r="SDG67" s="414"/>
      <c r="SDH67" s="414"/>
      <c r="SDI67" s="414"/>
      <c r="SDJ67" s="414"/>
      <c r="SDK67" s="414"/>
      <c r="SDL67" s="414"/>
      <c r="SDM67" s="414"/>
      <c r="SDN67" s="414"/>
      <c r="SDO67" s="414"/>
      <c r="SDP67" s="414"/>
      <c r="SDQ67" s="414"/>
      <c r="SDR67" s="414"/>
      <c r="SDS67" s="414"/>
      <c r="SDT67" s="414"/>
      <c r="SDU67" s="414"/>
      <c r="SDV67" s="414"/>
      <c r="SDW67" s="414"/>
      <c r="SDX67" s="414"/>
      <c r="SDY67" s="414"/>
      <c r="SDZ67" s="414"/>
      <c r="SEA67" s="414"/>
      <c r="SEB67" s="414"/>
      <c r="SEC67" s="414"/>
      <c r="SED67" s="414"/>
      <c r="SEE67" s="414"/>
      <c r="SEF67" s="414"/>
      <c r="SEG67" s="414"/>
      <c r="SEH67" s="414"/>
      <c r="SEI67" s="414"/>
      <c r="SEJ67" s="414"/>
      <c r="SEK67" s="414"/>
      <c r="SEL67" s="414"/>
      <c r="SEM67" s="414"/>
      <c r="SEN67" s="414"/>
      <c r="SEO67" s="414"/>
      <c r="SEP67" s="414"/>
      <c r="SEQ67" s="414"/>
      <c r="SER67" s="414"/>
      <c r="SES67" s="414"/>
      <c r="SET67" s="414"/>
      <c r="SEU67" s="414"/>
      <c r="SEV67" s="414"/>
      <c r="SEW67" s="414"/>
      <c r="SEX67" s="414"/>
      <c r="SEY67" s="414"/>
      <c r="SEZ67" s="414"/>
      <c r="SFA67" s="414"/>
      <c r="SFB67" s="414"/>
      <c r="SFC67" s="414"/>
      <c r="SFD67" s="414"/>
      <c r="SFE67" s="414"/>
      <c r="SFF67" s="414"/>
      <c r="SFG67" s="414"/>
      <c r="SFH67" s="414"/>
      <c r="SFI67" s="414"/>
      <c r="SFJ67" s="414"/>
      <c r="SFK67" s="414"/>
      <c r="SFL67" s="414"/>
      <c r="SFM67" s="414"/>
      <c r="SFN67" s="414"/>
      <c r="SFO67" s="414"/>
      <c r="SFP67" s="414"/>
      <c r="SFQ67" s="414"/>
      <c r="SFR67" s="414"/>
      <c r="SFS67" s="414"/>
      <c r="SFT67" s="414"/>
      <c r="SFU67" s="414"/>
      <c r="SFV67" s="414"/>
      <c r="SFW67" s="414"/>
      <c r="SFX67" s="414"/>
      <c r="SFY67" s="414"/>
      <c r="SFZ67" s="414"/>
      <c r="SGA67" s="414"/>
      <c r="SGB67" s="414"/>
      <c r="SGC67" s="414"/>
      <c r="SGD67" s="414"/>
      <c r="SGE67" s="414"/>
      <c r="SGF67" s="414"/>
      <c r="SGG67" s="414"/>
      <c r="SGH67" s="414"/>
      <c r="SGI67" s="414"/>
      <c r="SGJ67" s="414"/>
      <c r="SGK67" s="414"/>
      <c r="SGL67" s="414"/>
      <c r="SGM67" s="414"/>
      <c r="SGN67" s="414"/>
      <c r="SGO67" s="414"/>
      <c r="SGP67" s="414"/>
      <c r="SGQ67" s="414"/>
      <c r="SGR67" s="414"/>
      <c r="SGS67" s="414"/>
      <c r="SGT67" s="414"/>
      <c r="SGU67" s="414"/>
      <c r="SGV67" s="414"/>
      <c r="SGW67" s="414"/>
      <c r="SGX67" s="414"/>
      <c r="SGY67" s="414"/>
      <c r="SGZ67" s="414"/>
      <c r="SHA67" s="414"/>
      <c r="SHB67" s="414"/>
      <c r="SHC67" s="414"/>
      <c r="SHD67" s="414"/>
      <c r="SHE67" s="414"/>
      <c r="SHF67" s="414"/>
      <c r="SHG67" s="414"/>
      <c r="SHH67" s="414"/>
      <c r="SHI67" s="414"/>
      <c r="SHJ67" s="414"/>
      <c r="SHK67" s="414"/>
      <c r="SHL67" s="414"/>
      <c r="SHM67" s="414"/>
      <c r="SHN67" s="414"/>
      <c r="SHO67" s="414"/>
      <c r="SHP67" s="414"/>
      <c r="SHQ67" s="414"/>
      <c r="SHR67" s="414"/>
      <c r="SHS67" s="414"/>
      <c r="SHT67" s="414"/>
      <c r="SHU67" s="414"/>
      <c r="SHV67" s="414"/>
      <c r="SHW67" s="414"/>
      <c r="SHX67" s="414"/>
      <c r="SHY67" s="414"/>
      <c r="SHZ67" s="414"/>
      <c r="SIA67" s="414"/>
      <c r="SIB67" s="414"/>
      <c r="SIC67" s="414"/>
      <c r="SID67" s="414"/>
      <c r="SIE67" s="414"/>
      <c r="SIF67" s="414"/>
      <c r="SIG67" s="414"/>
      <c r="SIH67" s="414"/>
      <c r="SII67" s="414"/>
      <c r="SIJ67" s="414"/>
      <c r="SIK67" s="414"/>
      <c r="SIL67" s="414"/>
      <c r="SIM67" s="414"/>
      <c r="SIN67" s="414"/>
      <c r="SIO67" s="414"/>
      <c r="SIP67" s="414"/>
      <c r="SIQ67" s="414"/>
      <c r="SIR67" s="414"/>
      <c r="SIS67" s="414"/>
      <c r="SIT67" s="414"/>
      <c r="SIU67" s="414"/>
      <c r="SIV67" s="414"/>
      <c r="SIW67" s="414"/>
      <c r="SIX67" s="414"/>
      <c r="SIY67" s="414"/>
      <c r="SIZ67" s="414"/>
      <c r="SJA67" s="414"/>
      <c r="SJB67" s="414"/>
      <c r="SJC67" s="414"/>
      <c r="SJD67" s="414"/>
      <c r="SJE67" s="414"/>
      <c r="SJF67" s="414"/>
      <c r="SJG67" s="414"/>
      <c r="SJH67" s="414"/>
      <c r="SJI67" s="414"/>
      <c r="SJJ67" s="414"/>
      <c r="SJK67" s="414"/>
      <c r="SJL67" s="414"/>
      <c r="SJM67" s="414"/>
      <c r="SJN67" s="414"/>
      <c r="SJO67" s="414"/>
      <c r="SJP67" s="414"/>
      <c r="SJQ67" s="414"/>
      <c r="SJR67" s="414"/>
      <c r="SJS67" s="414"/>
      <c r="SJT67" s="414"/>
      <c r="SJU67" s="414"/>
      <c r="SJV67" s="414"/>
      <c r="SJW67" s="414"/>
      <c r="SJX67" s="414"/>
      <c r="SJY67" s="414"/>
      <c r="SJZ67" s="414"/>
      <c r="SKA67" s="414"/>
      <c r="SKB67" s="414"/>
      <c r="SKC67" s="414"/>
      <c r="SKD67" s="414"/>
      <c r="SKE67" s="414"/>
      <c r="SKF67" s="414"/>
      <c r="SKG67" s="414"/>
      <c r="SKH67" s="414"/>
      <c r="SKI67" s="414"/>
      <c r="SKJ67" s="414"/>
      <c r="SKK67" s="414"/>
      <c r="SKL67" s="414"/>
      <c r="SKM67" s="414"/>
      <c r="SKN67" s="414"/>
      <c r="SKO67" s="414"/>
      <c r="SKP67" s="414"/>
      <c r="SKQ67" s="414"/>
      <c r="SKR67" s="414"/>
      <c r="SKS67" s="414"/>
      <c r="SKT67" s="414"/>
      <c r="SKU67" s="414"/>
      <c r="SKV67" s="414"/>
      <c r="SKW67" s="414"/>
      <c r="SKX67" s="414"/>
      <c r="SKY67" s="414"/>
      <c r="SKZ67" s="414"/>
      <c r="SLA67" s="414"/>
      <c r="SLB67" s="414"/>
      <c r="SLC67" s="414"/>
      <c r="SLD67" s="414"/>
      <c r="SLE67" s="414"/>
      <c r="SLF67" s="414"/>
      <c r="SLG67" s="414"/>
      <c r="SLH67" s="414"/>
      <c r="SLI67" s="414"/>
      <c r="SLJ67" s="414"/>
      <c r="SLK67" s="414"/>
      <c r="SLL67" s="414"/>
      <c r="SLM67" s="414"/>
      <c r="SLN67" s="414"/>
      <c r="SLO67" s="414"/>
      <c r="SLP67" s="414"/>
      <c r="SLQ67" s="414"/>
      <c r="SLR67" s="414"/>
      <c r="SLS67" s="414"/>
      <c r="SLT67" s="414"/>
      <c r="SLU67" s="414"/>
      <c r="SLV67" s="414"/>
      <c r="SLW67" s="414"/>
      <c r="SLX67" s="414"/>
      <c r="SLY67" s="414"/>
      <c r="SLZ67" s="414"/>
      <c r="SMA67" s="414"/>
      <c r="SMB67" s="414"/>
      <c r="SMC67" s="414"/>
      <c r="SMD67" s="414"/>
      <c r="SME67" s="414"/>
      <c r="SMF67" s="414"/>
      <c r="SMG67" s="414"/>
      <c r="SMH67" s="414"/>
      <c r="SMI67" s="414"/>
      <c r="SMJ67" s="414"/>
      <c r="SMK67" s="414"/>
      <c r="SML67" s="414"/>
      <c r="SMM67" s="414"/>
      <c r="SMN67" s="414"/>
      <c r="SMO67" s="414"/>
      <c r="SMP67" s="414"/>
      <c r="SMQ67" s="414"/>
      <c r="SMR67" s="414"/>
      <c r="SMS67" s="414"/>
      <c r="SMT67" s="414"/>
      <c r="SMU67" s="414"/>
      <c r="SMV67" s="414"/>
      <c r="SMW67" s="414"/>
      <c r="SMX67" s="414"/>
      <c r="SMY67" s="414"/>
      <c r="SMZ67" s="414"/>
      <c r="SNA67" s="414"/>
      <c r="SNB67" s="414"/>
      <c r="SNC67" s="414"/>
      <c r="SND67" s="414"/>
      <c r="SNE67" s="414"/>
      <c r="SNF67" s="414"/>
      <c r="SNG67" s="414"/>
      <c r="SNH67" s="414"/>
      <c r="SNI67" s="414"/>
      <c r="SNJ67" s="414"/>
      <c r="SNK67" s="414"/>
      <c r="SNL67" s="414"/>
      <c r="SNM67" s="414"/>
      <c r="SNN67" s="414"/>
      <c r="SNO67" s="414"/>
      <c r="SNP67" s="414"/>
      <c r="SNQ67" s="414"/>
      <c r="SNR67" s="414"/>
      <c r="SNS67" s="414"/>
      <c r="SNT67" s="414"/>
      <c r="SNU67" s="414"/>
      <c r="SNV67" s="414"/>
      <c r="SNW67" s="414"/>
      <c r="SNX67" s="414"/>
      <c r="SNY67" s="414"/>
      <c r="SNZ67" s="414"/>
      <c r="SOA67" s="414"/>
      <c r="SOB67" s="414"/>
      <c r="SOC67" s="414"/>
      <c r="SOD67" s="414"/>
      <c r="SOE67" s="414"/>
      <c r="SOF67" s="414"/>
      <c r="SOG67" s="414"/>
      <c r="SOH67" s="414"/>
      <c r="SOI67" s="414"/>
      <c r="SOJ67" s="414"/>
      <c r="SOK67" s="414"/>
      <c r="SOL67" s="414"/>
      <c r="SOM67" s="414"/>
      <c r="SON67" s="414"/>
      <c r="SOO67" s="414"/>
      <c r="SOP67" s="414"/>
      <c r="SOQ67" s="414"/>
      <c r="SOR67" s="414"/>
      <c r="SOS67" s="414"/>
      <c r="SOT67" s="414"/>
      <c r="SOU67" s="414"/>
      <c r="SOV67" s="414"/>
      <c r="SOW67" s="414"/>
      <c r="SOX67" s="414"/>
      <c r="SOY67" s="414"/>
      <c r="SOZ67" s="414"/>
      <c r="SPA67" s="414"/>
      <c r="SPB67" s="414"/>
      <c r="SPC67" s="414"/>
      <c r="SPD67" s="414"/>
      <c r="SPE67" s="414"/>
      <c r="SPF67" s="414"/>
      <c r="SPG67" s="414"/>
      <c r="SPH67" s="414"/>
      <c r="SPI67" s="414"/>
      <c r="SPJ67" s="414"/>
      <c r="SPK67" s="414"/>
      <c r="SPL67" s="414"/>
      <c r="SPM67" s="414"/>
      <c r="SPN67" s="414"/>
      <c r="SPO67" s="414"/>
      <c r="SPP67" s="414"/>
      <c r="SPQ67" s="414"/>
      <c r="SPR67" s="414"/>
      <c r="SPS67" s="414"/>
      <c r="SPT67" s="414"/>
      <c r="SPU67" s="414"/>
      <c r="SPV67" s="414"/>
      <c r="SPW67" s="414"/>
      <c r="SPX67" s="414"/>
      <c r="SPY67" s="414"/>
      <c r="SPZ67" s="414"/>
      <c r="SQA67" s="414"/>
      <c r="SQB67" s="414"/>
      <c r="SQC67" s="414"/>
      <c r="SQD67" s="414"/>
      <c r="SQE67" s="414"/>
      <c r="SQF67" s="414"/>
      <c r="SQG67" s="414"/>
      <c r="SQH67" s="414"/>
      <c r="SQI67" s="414"/>
      <c r="SQJ67" s="414"/>
      <c r="SQK67" s="414"/>
      <c r="SQL67" s="414"/>
      <c r="SQM67" s="414"/>
      <c r="SQN67" s="414"/>
      <c r="SQO67" s="414"/>
      <c r="SQP67" s="414"/>
      <c r="SQQ67" s="414"/>
      <c r="SQR67" s="414"/>
      <c r="SQS67" s="414"/>
      <c r="SQT67" s="414"/>
      <c r="SQU67" s="414"/>
      <c r="SQV67" s="414"/>
      <c r="SQW67" s="414"/>
      <c r="SQX67" s="414"/>
      <c r="SQY67" s="414"/>
      <c r="SQZ67" s="414"/>
      <c r="SRA67" s="414"/>
      <c r="SRB67" s="414"/>
      <c r="SRC67" s="414"/>
      <c r="SRD67" s="414"/>
      <c r="SRE67" s="414"/>
      <c r="SRF67" s="414"/>
      <c r="SRG67" s="414"/>
      <c r="SRH67" s="414"/>
      <c r="SRI67" s="414"/>
      <c r="SRJ67" s="414"/>
      <c r="SRK67" s="414"/>
      <c r="SRL67" s="414"/>
      <c r="SRM67" s="414"/>
      <c r="SRN67" s="414"/>
      <c r="SRO67" s="414"/>
      <c r="SRP67" s="414"/>
      <c r="SRQ67" s="414"/>
      <c r="SRR67" s="414"/>
      <c r="SRS67" s="414"/>
      <c r="SRT67" s="414"/>
      <c r="SRU67" s="414"/>
      <c r="SRV67" s="414"/>
      <c r="SRW67" s="414"/>
      <c r="SRX67" s="414"/>
      <c r="SRY67" s="414"/>
      <c r="SRZ67" s="414"/>
      <c r="SSA67" s="414"/>
      <c r="SSB67" s="414"/>
      <c r="SSC67" s="414"/>
      <c r="SSD67" s="414"/>
      <c r="SSE67" s="414"/>
      <c r="SSF67" s="414"/>
      <c r="SSG67" s="414"/>
      <c r="SSH67" s="414"/>
      <c r="SSI67" s="414"/>
      <c r="SSJ67" s="414"/>
      <c r="SSK67" s="414"/>
      <c r="SSL67" s="414"/>
      <c r="SSM67" s="414"/>
      <c r="SSN67" s="414"/>
      <c r="SSO67" s="414"/>
      <c r="SSP67" s="414"/>
      <c r="SSQ67" s="414"/>
      <c r="SSR67" s="414"/>
      <c r="SSS67" s="414"/>
      <c r="SST67" s="414"/>
      <c r="SSU67" s="414"/>
      <c r="SSV67" s="414"/>
      <c r="SSW67" s="414"/>
      <c r="SSX67" s="414"/>
      <c r="SSY67" s="414"/>
      <c r="SSZ67" s="414"/>
      <c r="STA67" s="414"/>
      <c r="STB67" s="414"/>
      <c r="STC67" s="414"/>
      <c r="STD67" s="414"/>
      <c r="STE67" s="414"/>
      <c r="STF67" s="414"/>
      <c r="STG67" s="414"/>
      <c r="STH67" s="414"/>
      <c r="STI67" s="414"/>
      <c r="STJ67" s="414"/>
      <c r="STK67" s="414"/>
      <c r="STL67" s="414"/>
      <c r="STM67" s="414"/>
      <c r="STN67" s="414"/>
      <c r="STO67" s="414"/>
      <c r="STP67" s="414"/>
      <c r="STQ67" s="414"/>
      <c r="STR67" s="414"/>
      <c r="STS67" s="414"/>
      <c r="STT67" s="414"/>
      <c r="STU67" s="414"/>
      <c r="STV67" s="414"/>
      <c r="STW67" s="414"/>
      <c r="STX67" s="414"/>
      <c r="STY67" s="414"/>
      <c r="STZ67" s="414"/>
      <c r="SUA67" s="414"/>
      <c r="SUB67" s="414"/>
      <c r="SUC67" s="414"/>
      <c r="SUD67" s="414"/>
      <c r="SUE67" s="414"/>
      <c r="SUF67" s="414"/>
      <c r="SUG67" s="414"/>
      <c r="SUH67" s="414"/>
      <c r="SUI67" s="414"/>
      <c r="SUJ67" s="414"/>
      <c r="SUK67" s="414"/>
      <c r="SUL67" s="414"/>
      <c r="SUM67" s="414"/>
      <c r="SUN67" s="414"/>
      <c r="SUO67" s="414"/>
      <c r="SUP67" s="414"/>
      <c r="SUQ67" s="414"/>
      <c r="SUR67" s="414"/>
      <c r="SUS67" s="414"/>
      <c r="SUT67" s="414"/>
      <c r="SUU67" s="414"/>
      <c r="SUV67" s="414"/>
      <c r="SUW67" s="414"/>
      <c r="SUX67" s="414"/>
      <c r="SUY67" s="414"/>
      <c r="SUZ67" s="414"/>
      <c r="SVA67" s="414"/>
      <c r="SVB67" s="414"/>
      <c r="SVC67" s="414"/>
      <c r="SVD67" s="414"/>
      <c r="SVE67" s="414"/>
      <c r="SVF67" s="414"/>
      <c r="SVG67" s="414"/>
      <c r="SVH67" s="414"/>
      <c r="SVI67" s="414"/>
      <c r="SVJ67" s="414"/>
      <c r="SVK67" s="414"/>
      <c r="SVL67" s="414"/>
      <c r="SVM67" s="414"/>
      <c r="SVN67" s="414"/>
      <c r="SVO67" s="414"/>
      <c r="SVP67" s="414"/>
      <c r="SVQ67" s="414"/>
      <c r="SVR67" s="414"/>
      <c r="SVS67" s="414"/>
      <c r="SVT67" s="414"/>
      <c r="SVU67" s="414"/>
      <c r="SVV67" s="414"/>
      <c r="SVW67" s="414"/>
      <c r="SVX67" s="414"/>
      <c r="SVY67" s="414"/>
      <c r="SVZ67" s="414"/>
      <c r="SWA67" s="414"/>
      <c r="SWB67" s="414"/>
      <c r="SWC67" s="414"/>
      <c r="SWD67" s="414"/>
      <c r="SWE67" s="414"/>
      <c r="SWF67" s="414"/>
      <c r="SWG67" s="414"/>
      <c r="SWH67" s="414"/>
      <c r="SWI67" s="414"/>
      <c r="SWJ67" s="414"/>
      <c r="SWK67" s="414"/>
      <c r="SWL67" s="414"/>
      <c r="SWM67" s="414"/>
      <c r="SWN67" s="414"/>
      <c r="SWO67" s="414"/>
      <c r="SWP67" s="414"/>
      <c r="SWQ67" s="414"/>
      <c r="SWR67" s="414"/>
      <c r="SWS67" s="414"/>
      <c r="SWT67" s="414"/>
      <c r="SWU67" s="414"/>
      <c r="SWV67" s="414"/>
      <c r="SWW67" s="414"/>
      <c r="SWX67" s="414"/>
      <c r="SWY67" s="414"/>
      <c r="SWZ67" s="414"/>
      <c r="SXA67" s="414"/>
      <c r="SXB67" s="414"/>
      <c r="SXC67" s="414"/>
      <c r="SXD67" s="414"/>
      <c r="SXE67" s="414"/>
      <c r="SXF67" s="414"/>
      <c r="SXG67" s="414"/>
      <c r="SXH67" s="414"/>
      <c r="SXI67" s="414"/>
      <c r="SXJ67" s="414"/>
      <c r="SXK67" s="414"/>
      <c r="SXL67" s="414"/>
      <c r="SXM67" s="414"/>
      <c r="SXN67" s="414"/>
      <c r="SXO67" s="414"/>
      <c r="SXP67" s="414"/>
      <c r="SXQ67" s="414"/>
      <c r="SXR67" s="414"/>
      <c r="SXS67" s="414"/>
      <c r="SXT67" s="414"/>
      <c r="SXU67" s="414"/>
      <c r="SXV67" s="414"/>
      <c r="SXW67" s="414"/>
      <c r="SXX67" s="414"/>
      <c r="SXY67" s="414"/>
      <c r="SXZ67" s="414"/>
      <c r="SYA67" s="414"/>
      <c r="SYB67" s="414"/>
      <c r="SYC67" s="414"/>
      <c r="SYD67" s="414"/>
      <c r="SYE67" s="414"/>
      <c r="SYF67" s="414"/>
      <c r="SYG67" s="414"/>
      <c r="SYH67" s="414"/>
      <c r="SYI67" s="414"/>
      <c r="SYJ67" s="414"/>
      <c r="SYK67" s="414"/>
      <c r="SYL67" s="414"/>
      <c r="SYM67" s="414"/>
      <c r="SYN67" s="414"/>
      <c r="SYO67" s="414"/>
      <c r="SYP67" s="414"/>
      <c r="SYQ67" s="414"/>
      <c r="SYR67" s="414"/>
      <c r="SYS67" s="414"/>
      <c r="SYT67" s="414"/>
      <c r="SYU67" s="414"/>
      <c r="SYV67" s="414"/>
      <c r="SYW67" s="414"/>
      <c r="SYX67" s="414"/>
      <c r="SYY67" s="414"/>
      <c r="SYZ67" s="414"/>
      <c r="SZA67" s="414"/>
      <c r="SZB67" s="414"/>
      <c r="SZC67" s="414"/>
      <c r="SZD67" s="414"/>
      <c r="SZE67" s="414"/>
      <c r="SZF67" s="414"/>
      <c r="SZG67" s="414"/>
      <c r="SZH67" s="414"/>
      <c r="SZI67" s="414"/>
      <c r="SZJ67" s="414"/>
      <c r="SZK67" s="414"/>
      <c r="SZL67" s="414"/>
      <c r="SZM67" s="414"/>
      <c r="SZN67" s="414"/>
      <c r="SZO67" s="414"/>
      <c r="SZP67" s="414"/>
      <c r="SZQ67" s="414"/>
      <c r="SZR67" s="414"/>
      <c r="SZS67" s="414"/>
      <c r="SZT67" s="414"/>
      <c r="SZU67" s="414"/>
      <c r="SZV67" s="414"/>
      <c r="SZW67" s="414"/>
      <c r="SZX67" s="414"/>
      <c r="SZY67" s="414"/>
      <c r="SZZ67" s="414"/>
      <c r="TAA67" s="414"/>
      <c r="TAB67" s="414"/>
      <c r="TAC67" s="414"/>
      <c r="TAD67" s="414"/>
      <c r="TAE67" s="414"/>
      <c r="TAF67" s="414"/>
      <c r="TAG67" s="414"/>
      <c r="TAH67" s="414"/>
      <c r="TAI67" s="414"/>
      <c r="TAJ67" s="414"/>
      <c r="TAK67" s="414"/>
      <c r="TAL67" s="414"/>
      <c r="TAM67" s="414"/>
      <c r="TAN67" s="414"/>
      <c r="TAO67" s="414"/>
      <c r="TAP67" s="414"/>
      <c r="TAQ67" s="414"/>
      <c r="TAR67" s="414"/>
      <c r="TAS67" s="414"/>
      <c r="TAT67" s="414"/>
      <c r="TAU67" s="414"/>
      <c r="TAV67" s="414"/>
      <c r="TAW67" s="414"/>
      <c r="TAX67" s="414"/>
      <c r="TAY67" s="414"/>
      <c r="TAZ67" s="414"/>
      <c r="TBA67" s="414"/>
      <c r="TBB67" s="414"/>
      <c r="TBC67" s="414"/>
      <c r="TBD67" s="414"/>
      <c r="TBE67" s="414"/>
      <c r="TBF67" s="414"/>
      <c r="TBG67" s="414"/>
      <c r="TBH67" s="414"/>
      <c r="TBI67" s="414"/>
      <c r="TBJ67" s="414"/>
      <c r="TBK67" s="414"/>
      <c r="TBL67" s="414"/>
      <c r="TBM67" s="414"/>
      <c r="TBN67" s="414"/>
      <c r="TBO67" s="414"/>
      <c r="TBP67" s="414"/>
      <c r="TBQ67" s="414"/>
      <c r="TBR67" s="414"/>
      <c r="TBS67" s="414"/>
      <c r="TBT67" s="414"/>
      <c r="TBU67" s="414"/>
      <c r="TBV67" s="414"/>
      <c r="TBW67" s="414"/>
      <c r="TBX67" s="414"/>
      <c r="TBY67" s="414"/>
      <c r="TBZ67" s="414"/>
      <c r="TCA67" s="414"/>
      <c r="TCB67" s="414"/>
      <c r="TCC67" s="414"/>
      <c r="TCD67" s="414"/>
      <c r="TCE67" s="414"/>
      <c r="TCF67" s="414"/>
      <c r="TCG67" s="414"/>
      <c r="TCH67" s="414"/>
      <c r="TCI67" s="414"/>
      <c r="TCJ67" s="414"/>
      <c r="TCK67" s="414"/>
      <c r="TCL67" s="414"/>
      <c r="TCM67" s="414"/>
      <c r="TCN67" s="414"/>
      <c r="TCO67" s="414"/>
      <c r="TCP67" s="414"/>
      <c r="TCQ67" s="414"/>
      <c r="TCR67" s="414"/>
      <c r="TCS67" s="414"/>
      <c r="TCT67" s="414"/>
      <c r="TCU67" s="414"/>
      <c r="TCV67" s="414"/>
      <c r="TCW67" s="414"/>
      <c r="TCX67" s="414"/>
      <c r="TCY67" s="414"/>
      <c r="TCZ67" s="414"/>
      <c r="TDA67" s="414"/>
      <c r="TDB67" s="414"/>
      <c r="TDC67" s="414"/>
      <c r="TDD67" s="414"/>
      <c r="TDE67" s="414"/>
      <c r="TDF67" s="414"/>
      <c r="TDG67" s="414"/>
      <c r="TDH67" s="414"/>
      <c r="TDI67" s="414"/>
      <c r="TDJ67" s="414"/>
      <c r="TDK67" s="414"/>
      <c r="TDL67" s="414"/>
      <c r="TDM67" s="414"/>
      <c r="TDN67" s="414"/>
      <c r="TDO67" s="414"/>
      <c r="TDP67" s="414"/>
      <c r="TDQ67" s="414"/>
      <c r="TDR67" s="414"/>
      <c r="TDS67" s="414"/>
      <c r="TDT67" s="414"/>
      <c r="TDU67" s="414"/>
      <c r="TDV67" s="414"/>
      <c r="TDW67" s="414"/>
      <c r="TDX67" s="414"/>
      <c r="TDY67" s="414"/>
      <c r="TDZ67" s="414"/>
      <c r="TEA67" s="414"/>
      <c r="TEB67" s="414"/>
      <c r="TEC67" s="414"/>
      <c r="TED67" s="414"/>
      <c r="TEE67" s="414"/>
      <c r="TEF67" s="414"/>
      <c r="TEG67" s="414"/>
      <c r="TEH67" s="414"/>
      <c r="TEI67" s="414"/>
      <c r="TEJ67" s="414"/>
      <c r="TEK67" s="414"/>
      <c r="TEL67" s="414"/>
      <c r="TEM67" s="414"/>
      <c r="TEN67" s="414"/>
      <c r="TEO67" s="414"/>
      <c r="TEP67" s="414"/>
      <c r="TEQ67" s="414"/>
      <c r="TER67" s="414"/>
      <c r="TES67" s="414"/>
      <c r="TET67" s="414"/>
      <c r="TEU67" s="414"/>
      <c r="TEV67" s="414"/>
      <c r="TEW67" s="414"/>
      <c r="TEX67" s="414"/>
      <c r="TEY67" s="414"/>
      <c r="TEZ67" s="414"/>
      <c r="TFA67" s="414"/>
      <c r="TFB67" s="414"/>
      <c r="TFC67" s="414"/>
      <c r="TFD67" s="414"/>
      <c r="TFE67" s="414"/>
      <c r="TFF67" s="414"/>
      <c r="TFG67" s="414"/>
      <c r="TFH67" s="414"/>
      <c r="TFI67" s="414"/>
      <c r="TFJ67" s="414"/>
      <c r="TFK67" s="414"/>
      <c r="TFL67" s="414"/>
      <c r="TFM67" s="414"/>
      <c r="TFN67" s="414"/>
      <c r="TFO67" s="414"/>
      <c r="TFP67" s="414"/>
      <c r="TFQ67" s="414"/>
      <c r="TFR67" s="414"/>
      <c r="TFS67" s="414"/>
      <c r="TFT67" s="414"/>
      <c r="TFU67" s="414"/>
      <c r="TFV67" s="414"/>
      <c r="TFW67" s="414"/>
      <c r="TFX67" s="414"/>
      <c r="TFY67" s="414"/>
      <c r="TFZ67" s="414"/>
      <c r="TGA67" s="414"/>
      <c r="TGB67" s="414"/>
      <c r="TGC67" s="414"/>
      <c r="TGD67" s="414"/>
      <c r="TGE67" s="414"/>
      <c r="TGF67" s="414"/>
      <c r="TGG67" s="414"/>
      <c r="TGH67" s="414"/>
      <c r="TGI67" s="414"/>
      <c r="TGJ67" s="414"/>
      <c r="TGK67" s="414"/>
      <c r="TGL67" s="414"/>
      <c r="TGM67" s="414"/>
      <c r="TGN67" s="414"/>
      <c r="TGO67" s="414"/>
      <c r="TGP67" s="414"/>
      <c r="TGQ67" s="414"/>
      <c r="TGR67" s="414"/>
      <c r="TGS67" s="414"/>
      <c r="TGT67" s="414"/>
      <c r="TGU67" s="414"/>
      <c r="TGV67" s="414"/>
      <c r="TGW67" s="414"/>
      <c r="TGX67" s="414"/>
      <c r="TGY67" s="414"/>
      <c r="TGZ67" s="414"/>
      <c r="THA67" s="414"/>
      <c r="THB67" s="414"/>
      <c r="THC67" s="414"/>
      <c r="THD67" s="414"/>
      <c r="THE67" s="414"/>
      <c r="THF67" s="414"/>
      <c r="THG67" s="414"/>
      <c r="THH67" s="414"/>
      <c r="THI67" s="414"/>
      <c r="THJ67" s="414"/>
      <c r="THK67" s="414"/>
      <c r="THL67" s="414"/>
      <c r="THM67" s="414"/>
      <c r="THN67" s="414"/>
      <c r="THO67" s="414"/>
      <c r="THP67" s="414"/>
      <c r="THQ67" s="414"/>
      <c r="THR67" s="414"/>
      <c r="THS67" s="414"/>
      <c r="THT67" s="414"/>
      <c r="THU67" s="414"/>
      <c r="THV67" s="414"/>
      <c r="THW67" s="414"/>
      <c r="THX67" s="414"/>
      <c r="THY67" s="414"/>
      <c r="THZ67" s="414"/>
      <c r="TIA67" s="414"/>
      <c r="TIB67" s="414"/>
      <c r="TIC67" s="414"/>
      <c r="TID67" s="414"/>
      <c r="TIE67" s="414"/>
      <c r="TIF67" s="414"/>
      <c r="TIG67" s="414"/>
      <c r="TIH67" s="414"/>
      <c r="TII67" s="414"/>
      <c r="TIJ67" s="414"/>
      <c r="TIK67" s="414"/>
      <c r="TIL67" s="414"/>
      <c r="TIM67" s="414"/>
      <c r="TIN67" s="414"/>
      <c r="TIO67" s="414"/>
      <c r="TIP67" s="414"/>
      <c r="TIQ67" s="414"/>
      <c r="TIR67" s="414"/>
      <c r="TIS67" s="414"/>
      <c r="TIT67" s="414"/>
      <c r="TIU67" s="414"/>
      <c r="TIV67" s="414"/>
      <c r="TIW67" s="414"/>
      <c r="TIX67" s="414"/>
      <c r="TIY67" s="414"/>
      <c r="TIZ67" s="414"/>
      <c r="TJA67" s="414"/>
      <c r="TJB67" s="414"/>
      <c r="TJC67" s="414"/>
      <c r="TJD67" s="414"/>
      <c r="TJE67" s="414"/>
      <c r="TJF67" s="414"/>
      <c r="TJG67" s="414"/>
      <c r="TJH67" s="414"/>
      <c r="TJI67" s="414"/>
      <c r="TJJ67" s="414"/>
      <c r="TJK67" s="414"/>
      <c r="TJL67" s="414"/>
      <c r="TJM67" s="414"/>
      <c r="TJN67" s="414"/>
      <c r="TJO67" s="414"/>
      <c r="TJP67" s="414"/>
      <c r="TJQ67" s="414"/>
      <c r="TJR67" s="414"/>
      <c r="TJS67" s="414"/>
      <c r="TJT67" s="414"/>
      <c r="TJU67" s="414"/>
      <c r="TJV67" s="414"/>
      <c r="TJW67" s="414"/>
      <c r="TJX67" s="414"/>
      <c r="TJY67" s="414"/>
      <c r="TJZ67" s="414"/>
      <c r="TKA67" s="414"/>
      <c r="TKB67" s="414"/>
      <c r="TKC67" s="414"/>
      <c r="TKD67" s="414"/>
      <c r="TKE67" s="414"/>
      <c r="TKF67" s="414"/>
      <c r="TKG67" s="414"/>
      <c r="TKH67" s="414"/>
      <c r="TKI67" s="414"/>
      <c r="TKJ67" s="414"/>
      <c r="TKK67" s="414"/>
      <c r="TKL67" s="414"/>
      <c r="TKM67" s="414"/>
      <c r="TKN67" s="414"/>
      <c r="TKO67" s="414"/>
      <c r="TKP67" s="414"/>
      <c r="TKQ67" s="414"/>
      <c r="TKR67" s="414"/>
      <c r="TKS67" s="414"/>
      <c r="TKT67" s="414"/>
      <c r="TKU67" s="414"/>
      <c r="TKV67" s="414"/>
      <c r="TKW67" s="414"/>
      <c r="TKX67" s="414"/>
      <c r="TKY67" s="414"/>
      <c r="TKZ67" s="414"/>
      <c r="TLA67" s="414"/>
      <c r="TLB67" s="414"/>
      <c r="TLC67" s="414"/>
      <c r="TLD67" s="414"/>
      <c r="TLE67" s="414"/>
      <c r="TLF67" s="414"/>
      <c r="TLG67" s="414"/>
      <c r="TLH67" s="414"/>
      <c r="TLI67" s="414"/>
      <c r="TLJ67" s="414"/>
      <c r="TLK67" s="414"/>
      <c r="TLL67" s="414"/>
      <c r="TLM67" s="414"/>
      <c r="TLN67" s="414"/>
      <c r="TLO67" s="414"/>
      <c r="TLP67" s="414"/>
      <c r="TLQ67" s="414"/>
      <c r="TLR67" s="414"/>
      <c r="TLS67" s="414"/>
      <c r="TLT67" s="414"/>
      <c r="TLU67" s="414"/>
      <c r="TLV67" s="414"/>
      <c r="TLW67" s="414"/>
      <c r="TLX67" s="414"/>
      <c r="TLY67" s="414"/>
      <c r="TLZ67" s="414"/>
      <c r="TMA67" s="414"/>
      <c r="TMB67" s="414"/>
      <c r="TMC67" s="414"/>
      <c r="TMD67" s="414"/>
      <c r="TME67" s="414"/>
      <c r="TMF67" s="414"/>
      <c r="TMG67" s="414"/>
      <c r="TMH67" s="414"/>
      <c r="TMI67" s="414"/>
      <c r="TMJ67" s="414"/>
      <c r="TMK67" s="414"/>
      <c r="TML67" s="414"/>
      <c r="TMM67" s="414"/>
      <c r="TMN67" s="414"/>
      <c r="TMO67" s="414"/>
      <c r="TMP67" s="414"/>
      <c r="TMQ67" s="414"/>
      <c r="TMR67" s="414"/>
      <c r="TMS67" s="414"/>
      <c r="TMT67" s="414"/>
      <c r="TMU67" s="414"/>
      <c r="TMV67" s="414"/>
      <c r="TMW67" s="414"/>
      <c r="TMX67" s="414"/>
      <c r="TMY67" s="414"/>
      <c r="TMZ67" s="414"/>
      <c r="TNA67" s="414"/>
      <c r="TNB67" s="414"/>
      <c r="TNC67" s="414"/>
      <c r="TND67" s="414"/>
      <c r="TNE67" s="414"/>
      <c r="TNF67" s="414"/>
      <c r="TNG67" s="414"/>
      <c r="TNH67" s="414"/>
      <c r="TNI67" s="414"/>
      <c r="TNJ67" s="414"/>
      <c r="TNK67" s="414"/>
      <c r="TNL67" s="414"/>
      <c r="TNM67" s="414"/>
      <c r="TNN67" s="414"/>
      <c r="TNO67" s="414"/>
      <c r="TNP67" s="414"/>
      <c r="TNQ67" s="414"/>
      <c r="TNR67" s="414"/>
      <c r="TNS67" s="414"/>
      <c r="TNT67" s="414"/>
      <c r="TNU67" s="414"/>
      <c r="TNV67" s="414"/>
      <c r="TNW67" s="414"/>
      <c r="TNX67" s="414"/>
      <c r="TNY67" s="414"/>
      <c r="TNZ67" s="414"/>
      <c r="TOA67" s="414"/>
      <c r="TOB67" s="414"/>
      <c r="TOC67" s="414"/>
      <c r="TOD67" s="414"/>
      <c r="TOE67" s="414"/>
      <c r="TOF67" s="414"/>
      <c r="TOG67" s="414"/>
      <c r="TOH67" s="414"/>
      <c r="TOI67" s="414"/>
      <c r="TOJ67" s="414"/>
      <c r="TOK67" s="414"/>
      <c r="TOL67" s="414"/>
      <c r="TOM67" s="414"/>
      <c r="TON67" s="414"/>
      <c r="TOO67" s="414"/>
      <c r="TOP67" s="414"/>
      <c r="TOQ67" s="414"/>
      <c r="TOR67" s="414"/>
      <c r="TOS67" s="414"/>
      <c r="TOT67" s="414"/>
      <c r="TOU67" s="414"/>
      <c r="TOV67" s="414"/>
      <c r="TOW67" s="414"/>
      <c r="TOX67" s="414"/>
      <c r="TOY67" s="414"/>
      <c r="TOZ67" s="414"/>
      <c r="TPA67" s="414"/>
      <c r="TPB67" s="414"/>
      <c r="TPC67" s="414"/>
      <c r="TPD67" s="414"/>
      <c r="TPE67" s="414"/>
      <c r="TPF67" s="414"/>
      <c r="TPG67" s="414"/>
      <c r="TPH67" s="414"/>
      <c r="TPI67" s="414"/>
      <c r="TPJ67" s="414"/>
      <c r="TPK67" s="414"/>
      <c r="TPL67" s="414"/>
      <c r="TPM67" s="414"/>
      <c r="TPN67" s="414"/>
      <c r="TPO67" s="414"/>
      <c r="TPP67" s="414"/>
      <c r="TPQ67" s="414"/>
      <c r="TPR67" s="414"/>
      <c r="TPS67" s="414"/>
      <c r="TPT67" s="414"/>
      <c r="TPU67" s="414"/>
      <c r="TPV67" s="414"/>
      <c r="TPW67" s="414"/>
      <c r="TPX67" s="414"/>
      <c r="TPY67" s="414"/>
      <c r="TPZ67" s="414"/>
      <c r="TQA67" s="414"/>
      <c r="TQB67" s="414"/>
      <c r="TQC67" s="414"/>
      <c r="TQD67" s="414"/>
      <c r="TQE67" s="414"/>
      <c r="TQF67" s="414"/>
      <c r="TQG67" s="414"/>
      <c r="TQH67" s="414"/>
      <c r="TQI67" s="414"/>
      <c r="TQJ67" s="414"/>
      <c r="TQK67" s="414"/>
      <c r="TQL67" s="414"/>
      <c r="TQM67" s="414"/>
      <c r="TQN67" s="414"/>
      <c r="TQO67" s="414"/>
      <c r="TQP67" s="414"/>
      <c r="TQQ67" s="414"/>
      <c r="TQR67" s="414"/>
      <c r="TQS67" s="414"/>
      <c r="TQT67" s="414"/>
      <c r="TQU67" s="414"/>
      <c r="TQV67" s="414"/>
      <c r="TQW67" s="414"/>
      <c r="TQX67" s="414"/>
      <c r="TQY67" s="414"/>
      <c r="TQZ67" s="414"/>
      <c r="TRA67" s="414"/>
      <c r="TRB67" s="414"/>
      <c r="TRC67" s="414"/>
      <c r="TRD67" s="414"/>
      <c r="TRE67" s="414"/>
      <c r="TRF67" s="414"/>
      <c r="TRG67" s="414"/>
      <c r="TRH67" s="414"/>
      <c r="TRI67" s="414"/>
      <c r="TRJ67" s="414"/>
      <c r="TRK67" s="414"/>
      <c r="TRL67" s="414"/>
      <c r="TRM67" s="414"/>
      <c r="TRN67" s="414"/>
      <c r="TRO67" s="414"/>
      <c r="TRP67" s="414"/>
      <c r="TRQ67" s="414"/>
      <c r="TRR67" s="414"/>
      <c r="TRS67" s="414"/>
      <c r="TRT67" s="414"/>
      <c r="TRU67" s="414"/>
      <c r="TRV67" s="414"/>
      <c r="TRW67" s="414"/>
      <c r="TRX67" s="414"/>
      <c r="TRY67" s="414"/>
      <c r="TRZ67" s="414"/>
      <c r="TSA67" s="414"/>
      <c r="TSB67" s="414"/>
      <c r="TSC67" s="414"/>
      <c r="TSD67" s="414"/>
      <c r="TSE67" s="414"/>
      <c r="TSF67" s="414"/>
      <c r="TSG67" s="414"/>
      <c r="TSH67" s="414"/>
      <c r="TSI67" s="414"/>
      <c r="TSJ67" s="414"/>
      <c r="TSK67" s="414"/>
      <c r="TSL67" s="414"/>
      <c r="TSM67" s="414"/>
      <c r="TSN67" s="414"/>
      <c r="TSO67" s="414"/>
      <c r="TSP67" s="414"/>
      <c r="TSQ67" s="414"/>
      <c r="TSR67" s="414"/>
      <c r="TSS67" s="414"/>
      <c r="TST67" s="414"/>
      <c r="TSU67" s="414"/>
      <c r="TSV67" s="414"/>
      <c r="TSW67" s="414"/>
      <c r="TSX67" s="414"/>
      <c r="TSY67" s="414"/>
      <c r="TSZ67" s="414"/>
      <c r="TTA67" s="414"/>
      <c r="TTB67" s="414"/>
      <c r="TTC67" s="414"/>
      <c r="TTD67" s="414"/>
      <c r="TTE67" s="414"/>
      <c r="TTF67" s="414"/>
      <c r="TTG67" s="414"/>
      <c r="TTH67" s="414"/>
      <c r="TTI67" s="414"/>
      <c r="TTJ67" s="414"/>
      <c r="TTK67" s="414"/>
      <c r="TTL67" s="414"/>
      <c r="TTM67" s="414"/>
      <c r="TTN67" s="414"/>
      <c r="TTO67" s="414"/>
      <c r="TTP67" s="414"/>
      <c r="TTQ67" s="414"/>
      <c r="TTR67" s="414"/>
      <c r="TTS67" s="414"/>
      <c r="TTT67" s="414"/>
      <c r="TTU67" s="414"/>
      <c r="TTV67" s="414"/>
      <c r="TTW67" s="414"/>
      <c r="TTX67" s="414"/>
      <c r="TTY67" s="414"/>
      <c r="TTZ67" s="414"/>
      <c r="TUA67" s="414"/>
      <c r="TUB67" s="414"/>
      <c r="TUC67" s="414"/>
      <c r="TUD67" s="414"/>
      <c r="TUE67" s="414"/>
      <c r="TUF67" s="414"/>
      <c r="TUG67" s="414"/>
      <c r="TUH67" s="414"/>
      <c r="TUI67" s="414"/>
      <c r="TUJ67" s="414"/>
      <c r="TUK67" s="414"/>
      <c r="TUL67" s="414"/>
      <c r="TUM67" s="414"/>
      <c r="TUN67" s="414"/>
      <c r="TUO67" s="414"/>
      <c r="TUP67" s="414"/>
      <c r="TUQ67" s="414"/>
      <c r="TUR67" s="414"/>
      <c r="TUS67" s="414"/>
      <c r="TUT67" s="414"/>
      <c r="TUU67" s="414"/>
      <c r="TUV67" s="414"/>
      <c r="TUW67" s="414"/>
      <c r="TUX67" s="414"/>
      <c r="TUY67" s="414"/>
      <c r="TUZ67" s="414"/>
      <c r="TVA67" s="414"/>
      <c r="TVB67" s="414"/>
      <c r="TVC67" s="414"/>
      <c r="TVD67" s="414"/>
      <c r="TVE67" s="414"/>
      <c r="TVF67" s="414"/>
      <c r="TVG67" s="414"/>
      <c r="TVH67" s="414"/>
      <c r="TVI67" s="414"/>
      <c r="TVJ67" s="414"/>
      <c r="TVK67" s="414"/>
      <c r="TVL67" s="414"/>
      <c r="TVM67" s="414"/>
      <c r="TVN67" s="414"/>
      <c r="TVO67" s="414"/>
      <c r="TVP67" s="414"/>
      <c r="TVQ67" s="414"/>
      <c r="TVR67" s="414"/>
      <c r="TVS67" s="414"/>
      <c r="TVT67" s="414"/>
      <c r="TVU67" s="414"/>
      <c r="TVV67" s="414"/>
      <c r="TVW67" s="414"/>
      <c r="TVX67" s="414"/>
      <c r="TVY67" s="414"/>
      <c r="TVZ67" s="414"/>
      <c r="TWA67" s="414"/>
      <c r="TWB67" s="414"/>
      <c r="TWC67" s="414"/>
      <c r="TWD67" s="414"/>
      <c r="TWE67" s="414"/>
      <c r="TWF67" s="414"/>
      <c r="TWG67" s="414"/>
      <c r="TWH67" s="414"/>
      <c r="TWI67" s="414"/>
      <c r="TWJ67" s="414"/>
      <c r="TWK67" s="414"/>
      <c r="TWL67" s="414"/>
      <c r="TWM67" s="414"/>
      <c r="TWN67" s="414"/>
      <c r="TWO67" s="414"/>
      <c r="TWP67" s="414"/>
      <c r="TWQ67" s="414"/>
      <c r="TWR67" s="414"/>
      <c r="TWS67" s="414"/>
      <c r="TWT67" s="414"/>
      <c r="TWU67" s="414"/>
      <c r="TWV67" s="414"/>
      <c r="TWW67" s="414"/>
      <c r="TWX67" s="414"/>
      <c r="TWY67" s="414"/>
      <c r="TWZ67" s="414"/>
      <c r="TXA67" s="414"/>
      <c r="TXB67" s="414"/>
      <c r="TXC67" s="414"/>
      <c r="TXD67" s="414"/>
      <c r="TXE67" s="414"/>
      <c r="TXF67" s="414"/>
      <c r="TXG67" s="414"/>
      <c r="TXH67" s="414"/>
      <c r="TXI67" s="414"/>
      <c r="TXJ67" s="414"/>
      <c r="TXK67" s="414"/>
      <c r="TXL67" s="414"/>
      <c r="TXM67" s="414"/>
      <c r="TXN67" s="414"/>
      <c r="TXO67" s="414"/>
      <c r="TXP67" s="414"/>
      <c r="TXQ67" s="414"/>
      <c r="TXR67" s="414"/>
      <c r="TXS67" s="414"/>
      <c r="TXT67" s="414"/>
      <c r="TXU67" s="414"/>
      <c r="TXV67" s="414"/>
      <c r="TXW67" s="414"/>
      <c r="TXX67" s="414"/>
      <c r="TXY67" s="414"/>
      <c r="TXZ67" s="414"/>
      <c r="TYA67" s="414"/>
      <c r="TYB67" s="414"/>
      <c r="TYC67" s="414"/>
      <c r="TYD67" s="414"/>
      <c r="TYE67" s="414"/>
      <c r="TYF67" s="414"/>
      <c r="TYG67" s="414"/>
      <c r="TYH67" s="414"/>
      <c r="TYI67" s="414"/>
      <c r="TYJ67" s="414"/>
      <c r="TYK67" s="414"/>
      <c r="TYL67" s="414"/>
      <c r="TYM67" s="414"/>
      <c r="TYN67" s="414"/>
      <c r="TYO67" s="414"/>
      <c r="TYP67" s="414"/>
      <c r="TYQ67" s="414"/>
      <c r="TYR67" s="414"/>
      <c r="TYS67" s="414"/>
      <c r="TYT67" s="414"/>
      <c r="TYU67" s="414"/>
      <c r="TYV67" s="414"/>
      <c r="TYW67" s="414"/>
      <c r="TYX67" s="414"/>
      <c r="TYY67" s="414"/>
      <c r="TYZ67" s="414"/>
      <c r="TZA67" s="414"/>
      <c r="TZB67" s="414"/>
      <c r="TZC67" s="414"/>
      <c r="TZD67" s="414"/>
      <c r="TZE67" s="414"/>
      <c r="TZF67" s="414"/>
      <c r="TZG67" s="414"/>
      <c r="TZH67" s="414"/>
      <c r="TZI67" s="414"/>
      <c r="TZJ67" s="414"/>
      <c r="TZK67" s="414"/>
      <c r="TZL67" s="414"/>
      <c r="TZM67" s="414"/>
      <c r="TZN67" s="414"/>
      <c r="TZO67" s="414"/>
      <c r="TZP67" s="414"/>
      <c r="TZQ67" s="414"/>
      <c r="TZR67" s="414"/>
      <c r="TZS67" s="414"/>
      <c r="TZT67" s="414"/>
      <c r="TZU67" s="414"/>
      <c r="TZV67" s="414"/>
      <c r="TZW67" s="414"/>
      <c r="TZX67" s="414"/>
      <c r="TZY67" s="414"/>
      <c r="TZZ67" s="414"/>
      <c r="UAA67" s="414"/>
      <c r="UAB67" s="414"/>
      <c r="UAC67" s="414"/>
      <c r="UAD67" s="414"/>
      <c r="UAE67" s="414"/>
      <c r="UAF67" s="414"/>
      <c r="UAG67" s="414"/>
      <c r="UAH67" s="414"/>
      <c r="UAI67" s="414"/>
      <c r="UAJ67" s="414"/>
      <c r="UAK67" s="414"/>
      <c r="UAL67" s="414"/>
      <c r="UAM67" s="414"/>
      <c r="UAN67" s="414"/>
      <c r="UAO67" s="414"/>
      <c r="UAP67" s="414"/>
      <c r="UAQ67" s="414"/>
      <c r="UAR67" s="414"/>
      <c r="UAS67" s="414"/>
      <c r="UAT67" s="414"/>
      <c r="UAU67" s="414"/>
      <c r="UAV67" s="414"/>
      <c r="UAW67" s="414"/>
      <c r="UAX67" s="414"/>
      <c r="UAY67" s="414"/>
      <c r="UAZ67" s="414"/>
      <c r="UBA67" s="414"/>
      <c r="UBB67" s="414"/>
      <c r="UBC67" s="414"/>
      <c r="UBD67" s="414"/>
      <c r="UBE67" s="414"/>
      <c r="UBF67" s="414"/>
      <c r="UBG67" s="414"/>
      <c r="UBH67" s="414"/>
      <c r="UBI67" s="414"/>
      <c r="UBJ67" s="414"/>
      <c r="UBK67" s="414"/>
      <c r="UBL67" s="414"/>
      <c r="UBM67" s="414"/>
      <c r="UBN67" s="414"/>
      <c r="UBO67" s="414"/>
      <c r="UBP67" s="414"/>
      <c r="UBQ67" s="414"/>
      <c r="UBR67" s="414"/>
      <c r="UBS67" s="414"/>
      <c r="UBT67" s="414"/>
      <c r="UBU67" s="414"/>
      <c r="UBV67" s="414"/>
      <c r="UBW67" s="414"/>
      <c r="UBX67" s="414"/>
      <c r="UBY67" s="414"/>
      <c r="UBZ67" s="414"/>
      <c r="UCA67" s="414"/>
      <c r="UCB67" s="414"/>
      <c r="UCC67" s="414"/>
      <c r="UCD67" s="414"/>
      <c r="UCE67" s="414"/>
      <c r="UCF67" s="414"/>
      <c r="UCG67" s="414"/>
      <c r="UCH67" s="414"/>
      <c r="UCI67" s="414"/>
      <c r="UCJ67" s="414"/>
      <c r="UCK67" s="414"/>
      <c r="UCL67" s="414"/>
      <c r="UCM67" s="414"/>
      <c r="UCN67" s="414"/>
      <c r="UCO67" s="414"/>
      <c r="UCP67" s="414"/>
      <c r="UCQ67" s="414"/>
      <c r="UCR67" s="414"/>
      <c r="UCS67" s="414"/>
      <c r="UCT67" s="414"/>
      <c r="UCU67" s="414"/>
      <c r="UCV67" s="414"/>
      <c r="UCW67" s="414"/>
      <c r="UCX67" s="414"/>
      <c r="UCY67" s="414"/>
      <c r="UCZ67" s="414"/>
      <c r="UDA67" s="414"/>
      <c r="UDB67" s="414"/>
      <c r="UDC67" s="414"/>
      <c r="UDD67" s="414"/>
      <c r="UDE67" s="414"/>
      <c r="UDF67" s="414"/>
      <c r="UDG67" s="414"/>
      <c r="UDH67" s="414"/>
      <c r="UDI67" s="414"/>
      <c r="UDJ67" s="414"/>
      <c r="UDK67" s="414"/>
      <c r="UDL67" s="414"/>
      <c r="UDM67" s="414"/>
      <c r="UDN67" s="414"/>
      <c r="UDO67" s="414"/>
      <c r="UDP67" s="414"/>
      <c r="UDQ67" s="414"/>
      <c r="UDR67" s="414"/>
      <c r="UDS67" s="414"/>
      <c r="UDT67" s="414"/>
      <c r="UDU67" s="414"/>
      <c r="UDV67" s="414"/>
      <c r="UDW67" s="414"/>
      <c r="UDX67" s="414"/>
      <c r="UDY67" s="414"/>
      <c r="UDZ67" s="414"/>
      <c r="UEA67" s="414"/>
      <c r="UEB67" s="414"/>
      <c r="UEC67" s="414"/>
      <c r="UED67" s="414"/>
      <c r="UEE67" s="414"/>
      <c r="UEF67" s="414"/>
      <c r="UEG67" s="414"/>
      <c r="UEH67" s="414"/>
      <c r="UEI67" s="414"/>
      <c r="UEJ67" s="414"/>
      <c r="UEK67" s="414"/>
      <c r="UEL67" s="414"/>
      <c r="UEM67" s="414"/>
      <c r="UEN67" s="414"/>
      <c r="UEO67" s="414"/>
      <c r="UEP67" s="414"/>
      <c r="UEQ67" s="414"/>
      <c r="UER67" s="414"/>
      <c r="UES67" s="414"/>
      <c r="UET67" s="414"/>
      <c r="UEU67" s="414"/>
      <c r="UEV67" s="414"/>
      <c r="UEW67" s="414"/>
      <c r="UEX67" s="414"/>
      <c r="UEY67" s="414"/>
      <c r="UEZ67" s="414"/>
      <c r="UFA67" s="414"/>
      <c r="UFB67" s="414"/>
      <c r="UFC67" s="414"/>
      <c r="UFD67" s="414"/>
      <c r="UFE67" s="414"/>
      <c r="UFF67" s="414"/>
      <c r="UFG67" s="414"/>
      <c r="UFH67" s="414"/>
      <c r="UFI67" s="414"/>
      <c r="UFJ67" s="414"/>
      <c r="UFK67" s="414"/>
      <c r="UFL67" s="414"/>
      <c r="UFM67" s="414"/>
      <c r="UFN67" s="414"/>
      <c r="UFO67" s="414"/>
      <c r="UFP67" s="414"/>
      <c r="UFQ67" s="414"/>
      <c r="UFR67" s="414"/>
      <c r="UFS67" s="414"/>
      <c r="UFT67" s="414"/>
      <c r="UFU67" s="414"/>
      <c r="UFV67" s="414"/>
      <c r="UFW67" s="414"/>
      <c r="UFX67" s="414"/>
      <c r="UFY67" s="414"/>
      <c r="UFZ67" s="414"/>
      <c r="UGA67" s="414"/>
      <c r="UGB67" s="414"/>
      <c r="UGC67" s="414"/>
      <c r="UGD67" s="414"/>
      <c r="UGE67" s="414"/>
      <c r="UGF67" s="414"/>
      <c r="UGG67" s="414"/>
      <c r="UGH67" s="414"/>
      <c r="UGI67" s="414"/>
      <c r="UGJ67" s="414"/>
      <c r="UGK67" s="414"/>
      <c r="UGL67" s="414"/>
      <c r="UGM67" s="414"/>
      <c r="UGN67" s="414"/>
      <c r="UGO67" s="414"/>
      <c r="UGP67" s="414"/>
      <c r="UGQ67" s="414"/>
      <c r="UGR67" s="414"/>
      <c r="UGS67" s="414"/>
      <c r="UGT67" s="414"/>
      <c r="UGU67" s="414"/>
      <c r="UGV67" s="414"/>
      <c r="UGW67" s="414"/>
      <c r="UGX67" s="414"/>
      <c r="UGY67" s="414"/>
      <c r="UGZ67" s="414"/>
      <c r="UHA67" s="414"/>
      <c r="UHB67" s="414"/>
      <c r="UHC67" s="414"/>
      <c r="UHD67" s="414"/>
      <c r="UHE67" s="414"/>
      <c r="UHF67" s="414"/>
      <c r="UHG67" s="414"/>
      <c r="UHH67" s="414"/>
      <c r="UHI67" s="414"/>
      <c r="UHJ67" s="414"/>
      <c r="UHK67" s="414"/>
      <c r="UHL67" s="414"/>
      <c r="UHM67" s="414"/>
      <c r="UHN67" s="414"/>
      <c r="UHO67" s="414"/>
      <c r="UHP67" s="414"/>
      <c r="UHQ67" s="414"/>
      <c r="UHR67" s="414"/>
      <c r="UHS67" s="414"/>
      <c r="UHT67" s="414"/>
      <c r="UHU67" s="414"/>
      <c r="UHV67" s="414"/>
      <c r="UHW67" s="414"/>
      <c r="UHX67" s="414"/>
      <c r="UHY67" s="414"/>
      <c r="UHZ67" s="414"/>
      <c r="UIA67" s="414"/>
      <c r="UIB67" s="414"/>
      <c r="UIC67" s="414"/>
      <c r="UID67" s="414"/>
      <c r="UIE67" s="414"/>
      <c r="UIF67" s="414"/>
      <c r="UIG67" s="414"/>
      <c r="UIH67" s="414"/>
      <c r="UII67" s="414"/>
      <c r="UIJ67" s="414"/>
      <c r="UIK67" s="414"/>
      <c r="UIL67" s="414"/>
      <c r="UIM67" s="414"/>
      <c r="UIN67" s="414"/>
      <c r="UIO67" s="414"/>
      <c r="UIP67" s="414"/>
      <c r="UIQ67" s="414"/>
      <c r="UIR67" s="414"/>
      <c r="UIS67" s="414"/>
      <c r="UIT67" s="414"/>
      <c r="UIU67" s="414"/>
      <c r="UIV67" s="414"/>
      <c r="UIW67" s="414"/>
      <c r="UIX67" s="414"/>
      <c r="UIY67" s="414"/>
      <c r="UIZ67" s="414"/>
      <c r="UJA67" s="414"/>
      <c r="UJB67" s="414"/>
      <c r="UJC67" s="414"/>
      <c r="UJD67" s="414"/>
      <c r="UJE67" s="414"/>
      <c r="UJF67" s="414"/>
      <c r="UJG67" s="414"/>
      <c r="UJH67" s="414"/>
      <c r="UJI67" s="414"/>
      <c r="UJJ67" s="414"/>
      <c r="UJK67" s="414"/>
      <c r="UJL67" s="414"/>
      <c r="UJM67" s="414"/>
      <c r="UJN67" s="414"/>
      <c r="UJO67" s="414"/>
      <c r="UJP67" s="414"/>
      <c r="UJQ67" s="414"/>
      <c r="UJR67" s="414"/>
      <c r="UJS67" s="414"/>
      <c r="UJT67" s="414"/>
      <c r="UJU67" s="414"/>
      <c r="UJV67" s="414"/>
      <c r="UJW67" s="414"/>
      <c r="UJX67" s="414"/>
      <c r="UJY67" s="414"/>
      <c r="UJZ67" s="414"/>
      <c r="UKA67" s="414"/>
      <c r="UKB67" s="414"/>
      <c r="UKC67" s="414"/>
      <c r="UKD67" s="414"/>
      <c r="UKE67" s="414"/>
      <c r="UKF67" s="414"/>
      <c r="UKG67" s="414"/>
      <c r="UKH67" s="414"/>
      <c r="UKI67" s="414"/>
      <c r="UKJ67" s="414"/>
      <c r="UKK67" s="414"/>
      <c r="UKL67" s="414"/>
      <c r="UKM67" s="414"/>
      <c r="UKN67" s="414"/>
      <c r="UKO67" s="414"/>
      <c r="UKP67" s="414"/>
      <c r="UKQ67" s="414"/>
      <c r="UKR67" s="414"/>
      <c r="UKS67" s="414"/>
      <c r="UKT67" s="414"/>
      <c r="UKU67" s="414"/>
      <c r="UKV67" s="414"/>
      <c r="UKW67" s="414"/>
      <c r="UKX67" s="414"/>
      <c r="UKY67" s="414"/>
      <c r="UKZ67" s="414"/>
      <c r="ULA67" s="414"/>
      <c r="ULB67" s="414"/>
      <c r="ULC67" s="414"/>
      <c r="ULD67" s="414"/>
      <c r="ULE67" s="414"/>
      <c r="ULF67" s="414"/>
      <c r="ULG67" s="414"/>
      <c r="ULH67" s="414"/>
      <c r="ULI67" s="414"/>
      <c r="ULJ67" s="414"/>
      <c r="ULK67" s="414"/>
      <c r="ULL67" s="414"/>
      <c r="ULM67" s="414"/>
      <c r="ULN67" s="414"/>
      <c r="ULO67" s="414"/>
      <c r="ULP67" s="414"/>
      <c r="ULQ67" s="414"/>
      <c r="ULR67" s="414"/>
      <c r="ULS67" s="414"/>
      <c r="ULT67" s="414"/>
      <c r="ULU67" s="414"/>
      <c r="ULV67" s="414"/>
      <c r="ULW67" s="414"/>
      <c r="ULX67" s="414"/>
      <c r="ULY67" s="414"/>
      <c r="ULZ67" s="414"/>
      <c r="UMA67" s="414"/>
      <c r="UMB67" s="414"/>
      <c r="UMC67" s="414"/>
      <c r="UMD67" s="414"/>
      <c r="UME67" s="414"/>
      <c r="UMF67" s="414"/>
      <c r="UMG67" s="414"/>
      <c r="UMH67" s="414"/>
      <c r="UMI67" s="414"/>
      <c r="UMJ67" s="414"/>
      <c r="UMK67" s="414"/>
      <c r="UML67" s="414"/>
      <c r="UMM67" s="414"/>
      <c r="UMN67" s="414"/>
      <c r="UMO67" s="414"/>
      <c r="UMP67" s="414"/>
      <c r="UMQ67" s="414"/>
      <c r="UMR67" s="414"/>
      <c r="UMS67" s="414"/>
      <c r="UMT67" s="414"/>
      <c r="UMU67" s="414"/>
      <c r="UMV67" s="414"/>
      <c r="UMW67" s="414"/>
      <c r="UMX67" s="414"/>
      <c r="UMY67" s="414"/>
      <c r="UMZ67" s="414"/>
      <c r="UNA67" s="414"/>
      <c r="UNB67" s="414"/>
      <c r="UNC67" s="414"/>
      <c r="UND67" s="414"/>
      <c r="UNE67" s="414"/>
      <c r="UNF67" s="414"/>
      <c r="UNG67" s="414"/>
      <c r="UNH67" s="414"/>
      <c r="UNI67" s="414"/>
      <c r="UNJ67" s="414"/>
      <c r="UNK67" s="414"/>
      <c r="UNL67" s="414"/>
      <c r="UNM67" s="414"/>
      <c r="UNN67" s="414"/>
      <c r="UNO67" s="414"/>
      <c r="UNP67" s="414"/>
      <c r="UNQ67" s="414"/>
      <c r="UNR67" s="414"/>
      <c r="UNS67" s="414"/>
      <c r="UNT67" s="414"/>
      <c r="UNU67" s="414"/>
      <c r="UNV67" s="414"/>
      <c r="UNW67" s="414"/>
      <c r="UNX67" s="414"/>
      <c r="UNY67" s="414"/>
      <c r="UNZ67" s="414"/>
      <c r="UOA67" s="414"/>
      <c r="UOB67" s="414"/>
      <c r="UOC67" s="414"/>
      <c r="UOD67" s="414"/>
      <c r="UOE67" s="414"/>
      <c r="UOF67" s="414"/>
      <c r="UOG67" s="414"/>
      <c r="UOH67" s="414"/>
      <c r="UOI67" s="414"/>
      <c r="UOJ67" s="414"/>
      <c r="UOK67" s="414"/>
      <c r="UOL67" s="414"/>
      <c r="UOM67" s="414"/>
      <c r="UON67" s="414"/>
      <c r="UOO67" s="414"/>
      <c r="UOP67" s="414"/>
      <c r="UOQ67" s="414"/>
      <c r="UOR67" s="414"/>
      <c r="UOS67" s="414"/>
      <c r="UOT67" s="414"/>
      <c r="UOU67" s="414"/>
      <c r="UOV67" s="414"/>
      <c r="UOW67" s="414"/>
      <c r="UOX67" s="414"/>
      <c r="UOY67" s="414"/>
      <c r="UOZ67" s="414"/>
      <c r="UPA67" s="414"/>
      <c r="UPB67" s="414"/>
      <c r="UPC67" s="414"/>
      <c r="UPD67" s="414"/>
      <c r="UPE67" s="414"/>
      <c r="UPF67" s="414"/>
      <c r="UPG67" s="414"/>
      <c r="UPH67" s="414"/>
      <c r="UPI67" s="414"/>
      <c r="UPJ67" s="414"/>
      <c r="UPK67" s="414"/>
      <c r="UPL67" s="414"/>
      <c r="UPM67" s="414"/>
      <c r="UPN67" s="414"/>
      <c r="UPO67" s="414"/>
      <c r="UPP67" s="414"/>
      <c r="UPQ67" s="414"/>
      <c r="UPR67" s="414"/>
      <c r="UPS67" s="414"/>
      <c r="UPT67" s="414"/>
      <c r="UPU67" s="414"/>
      <c r="UPV67" s="414"/>
      <c r="UPW67" s="414"/>
      <c r="UPX67" s="414"/>
      <c r="UPY67" s="414"/>
      <c r="UPZ67" s="414"/>
      <c r="UQA67" s="414"/>
      <c r="UQB67" s="414"/>
      <c r="UQC67" s="414"/>
      <c r="UQD67" s="414"/>
      <c r="UQE67" s="414"/>
      <c r="UQF67" s="414"/>
      <c r="UQG67" s="414"/>
      <c r="UQH67" s="414"/>
      <c r="UQI67" s="414"/>
      <c r="UQJ67" s="414"/>
      <c r="UQK67" s="414"/>
      <c r="UQL67" s="414"/>
      <c r="UQM67" s="414"/>
      <c r="UQN67" s="414"/>
      <c r="UQO67" s="414"/>
      <c r="UQP67" s="414"/>
      <c r="UQQ67" s="414"/>
      <c r="UQR67" s="414"/>
      <c r="UQS67" s="414"/>
      <c r="UQT67" s="414"/>
      <c r="UQU67" s="414"/>
      <c r="UQV67" s="414"/>
      <c r="UQW67" s="414"/>
      <c r="UQX67" s="414"/>
      <c r="UQY67" s="414"/>
      <c r="UQZ67" s="414"/>
      <c r="URA67" s="414"/>
      <c r="URB67" s="414"/>
      <c r="URC67" s="414"/>
      <c r="URD67" s="414"/>
      <c r="URE67" s="414"/>
      <c r="URF67" s="414"/>
      <c r="URG67" s="414"/>
      <c r="URH67" s="414"/>
      <c r="URI67" s="414"/>
      <c r="URJ67" s="414"/>
      <c r="URK67" s="414"/>
      <c r="URL67" s="414"/>
      <c r="URM67" s="414"/>
      <c r="URN67" s="414"/>
      <c r="URO67" s="414"/>
      <c r="URP67" s="414"/>
      <c r="URQ67" s="414"/>
      <c r="URR67" s="414"/>
      <c r="URS67" s="414"/>
      <c r="URT67" s="414"/>
      <c r="URU67" s="414"/>
      <c r="URV67" s="414"/>
      <c r="URW67" s="414"/>
      <c r="URX67" s="414"/>
      <c r="URY67" s="414"/>
      <c r="URZ67" s="414"/>
      <c r="USA67" s="414"/>
      <c r="USB67" s="414"/>
      <c r="USC67" s="414"/>
      <c r="USD67" s="414"/>
      <c r="USE67" s="414"/>
      <c r="USF67" s="414"/>
      <c r="USG67" s="414"/>
      <c r="USH67" s="414"/>
      <c r="USI67" s="414"/>
      <c r="USJ67" s="414"/>
      <c r="USK67" s="414"/>
      <c r="USL67" s="414"/>
      <c r="USM67" s="414"/>
      <c r="USN67" s="414"/>
      <c r="USO67" s="414"/>
      <c r="USP67" s="414"/>
      <c r="USQ67" s="414"/>
      <c r="USR67" s="414"/>
      <c r="USS67" s="414"/>
      <c r="UST67" s="414"/>
      <c r="USU67" s="414"/>
      <c r="USV67" s="414"/>
      <c r="USW67" s="414"/>
      <c r="USX67" s="414"/>
      <c r="USY67" s="414"/>
      <c r="USZ67" s="414"/>
      <c r="UTA67" s="414"/>
      <c r="UTB67" s="414"/>
      <c r="UTC67" s="414"/>
      <c r="UTD67" s="414"/>
      <c r="UTE67" s="414"/>
      <c r="UTF67" s="414"/>
      <c r="UTG67" s="414"/>
      <c r="UTH67" s="414"/>
      <c r="UTI67" s="414"/>
      <c r="UTJ67" s="414"/>
      <c r="UTK67" s="414"/>
      <c r="UTL67" s="414"/>
      <c r="UTM67" s="414"/>
      <c r="UTN67" s="414"/>
      <c r="UTO67" s="414"/>
      <c r="UTP67" s="414"/>
      <c r="UTQ67" s="414"/>
      <c r="UTR67" s="414"/>
      <c r="UTS67" s="414"/>
      <c r="UTT67" s="414"/>
      <c r="UTU67" s="414"/>
      <c r="UTV67" s="414"/>
      <c r="UTW67" s="414"/>
      <c r="UTX67" s="414"/>
      <c r="UTY67" s="414"/>
      <c r="UTZ67" s="414"/>
      <c r="UUA67" s="414"/>
      <c r="UUB67" s="414"/>
      <c r="UUC67" s="414"/>
      <c r="UUD67" s="414"/>
      <c r="UUE67" s="414"/>
      <c r="UUF67" s="414"/>
      <c r="UUG67" s="414"/>
      <c r="UUH67" s="414"/>
      <c r="UUI67" s="414"/>
      <c r="UUJ67" s="414"/>
      <c r="UUK67" s="414"/>
      <c r="UUL67" s="414"/>
      <c r="UUM67" s="414"/>
      <c r="UUN67" s="414"/>
      <c r="UUO67" s="414"/>
      <c r="UUP67" s="414"/>
      <c r="UUQ67" s="414"/>
      <c r="UUR67" s="414"/>
      <c r="UUS67" s="414"/>
      <c r="UUT67" s="414"/>
      <c r="UUU67" s="414"/>
      <c r="UUV67" s="414"/>
      <c r="UUW67" s="414"/>
      <c r="UUX67" s="414"/>
      <c r="UUY67" s="414"/>
      <c r="UUZ67" s="414"/>
      <c r="UVA67" s="414"/>
      <c r="UVB67" s="414"/>
      <c r="UVC67" s="414"/>
      <c r="UVD67" s="414"/>
      <c r="UVE67" s="414"/>
      <c r="UVF67" s="414"/>
      <c r="UVG67" s="414"/>
      <c r="UVH67" s="414"/>
      <c r="UVI67" s="414"/>
      <c r="UVJ67" s="414"/>
      <c r="UVK67" s="414"/>
      <c r="UVL67" s="414"/>
      <c r="UVM67" s="414"/>
      <c r="UVN67" s="414"/>
      <c r="UVO67" s="414"/>
      <c r="UVP67" s="414"/>
      <c r="UVQ67" s="414"/>
      <c r="UVR67" s="414"/>
      <c r="UVS67" s="414"/>
      <c r="UVT67" s="414"/>
      <c r="UVU67" s="414"/>
      <c r="UVV67" s="414"/>
      <c r="UVW67" s="414"/>
      <c r="UVX67" s="414"/>
      <c r="UVY67" s="414"/>
      <c r="UVZ67" s="414"/>
      <c r="UWA67" s="414"/>
      <c r="UWB67" s="414"/>
      <c r="UWC67" s="414"/>
      <c r="UWD67" s="414"/>
      <c r="UWE67" s="414"/>
      <c r="UWF67" s="414"/>
      <c r="UWG67" s="414"/>
      <c r="UWH67" s="414"/>
      <c r="UWI67" s="414"/>
      <c r="UWJ67" s="414"/>
      <c r="UWK67" s="414"/>
      <c r="UWL67" s="414"/>
      <c r="UWM67" s="414"/>
      <c r="UWN67" s="414"/>
      <c r="UWO67" s="414"/>
      <c r="UWP67" s="414"/>
      <c r="UWQ67" s="414"/>
      <c r="UWR67" s="414"/>
      <c r="UWS67" s="414"/>
      <c r="UWT67" s="414"/>
      <c r="UWU67" s="414"/>
      <c r="UWV67" s="414"/>
      <c r="UWW67" s="414"/>
      <c r="UWX67" s="414"/>
      <c r="UWY67" s="414"/>
      <c r="UWZ67" s="414"/>
      <c r="UXA67" s="414"/>
      <c r="UXB67" s="414"/>
      <c r="UXC67" s="414"/>
      <c r="UXD67" s="414"/>
      <c r="UXE67" s="414"/>
      <c r="UXF67" s="414"/>
      <c r="UXG67" s="414"/>
      <c r="UXH67" s="414"/>
      <c r="UXI67" s="414"/>
      <c r="UXJ67" s="414"/>
      <c r="UXK67" s="414"/>
      <c r="UXL67" s="414"/>
      <c r="UXM67" s="414"/>
      <c r="UXN67" s="414"/>
      <c r="UXO67" s="414"/>
      <c r="UXP67" s="414"/>
      <c r="UXQ67" s="414"/>
      <c r="UXR67" s="414"/>
      <c r="UXS67" s="414"/>
      <c r="UXT67" s="414"/>
      <c r="UXU67" s="414"/>
      <c r="UXV67" s="414"/>
      <c r="UXW67" s="414"/>
      <c r="UXX67" s="414"/>
      <c r="UXY67" s="414"/>
      <c r="UXZ67" s="414"/>
      <c r="UYA67" s="414"/>
      <c r="UYB67" s="414"/>
      <c r="UYC67" s="414"/>
      <c r="UYD67" s="414"/>
      <c r="UYE67" s="414"/>
      <c r="UYF67" s="414"/>
      <c r="UYG67" s="414"/>
      <c r="UYH67" s="414"/>
      <c r="UYI67" s="414"/>
      <c r="UYJ67" s="414"/>
      <c r="UYK67" s="414"/>
      <c r="UYL67" s="414"/>
      <c r="UYM67" s="414"/>
      <c r="UYN67" s="414"/>
      <c r="UYO67" s="414"/>
      <c r="UYP67" s="414"/>
      <c r="UYQ67" s="414"/>
      <c r="UYR67" s="414"/>
      <c r="UYS67" s="414"/>
      <c r="UYT67" s="414"/>
      <c r="UYU67" s="414"/>
      <c r="UYV67" s="414"/>
      <c r="UYW67" s="414"/>
      <c r="UYX67" s="414"/>
      <c r="UYY67" s="414"/>
      <c r="UYZ67" s="414"/>
      <c r="UZA67" s="414"/>
      <c r="UZB67" s="414"/>
      <c r="UZC67" s="414"/>
      <c r="UZD67" s="414"/>
      <c r="UZE67" s="414"/>
      <c r="UZF67" s="414"/>
      <c r="UZG67" s="414"/>
      <c r="UZH67" s="414"/>
      <c r="UZI67" s="414"/>
      <c r="UZJ67" s="414"/>
      <c r="UZK67" s="414"/>
      <c r="UZL67" s="414"/>
      <c r="UZM67" s="414"/>
      <c r="UZN67" s="414"/>
      <c r="UZO67" s="414"/>
      <c r="UZP67" s="414"/>
      <c r="UZQ67" s="414"/>
      <c r="UZR67" s="414"/>
      <c r="UZS67" s="414"/>
      <c r="UZT67" s="414"/>
      <c r="UZU67" s="414"/>
      <c r="UZV67" s="414"/>
      <c r="UZW67" s="414"/>
      <c r="UZX67" s="414"/>
      <c r="UZY67" s="414"/>
      <c r="UZZ67" s="414"/>
      <c r="VAA67" s="414"/>
      <c r="VAB67" s="414"/>
      <c r="VAC67" s="414"/>
      <c r="VAD67" s="414"/>
      <c r="VAE67" s="414"/>
      <c r="VAF67" s="414"/>
      <c r="VAG67" s="414"/>
      <c r="VAH67" s="414"/>
      <c r="VAI67" s="414"/>
      <c r="VAJ67" s="414"/>
      <c r="VAK67" s="414"/>
      <c r="VAL67" s="414"/>
      <c r="VAM67" s="414"/>
      <c r="VAN67" s="414"/>
      <c r="VAO67" s="414"/>
      <c r="VAP67" s="414"/>
      <c r="VAQ67" s="414"/>
      <c r="VAR67" s="414"/>
      <c r="VAS67" s="414"/>
      <c r="VAT67" s="414"/>
      <c r="VAU67" s="414"/>
      <c r="VAV67" s="414"/>
      <c r="VAW67" s="414"/>
      <c r="VAX67" s="414"/>
      <c r="VAY67" s="414"/>
      <c r="VAZ67" s="414"/>
      <c r="VBA67" s="414"/>
      <c r="VBB67" s="414"/>
      <c r="VBC67" s="414"/>
      <c r="VBD67" s="414"/>
      <c r="VBE67" s="414"/>
      <c r="VBF67" s="414"/>
      <c r="VBG67" s="414"/>
      <c r="VBH67" s="414"/>
      <c r="VBI67" s="414"/>
      <c r="VBJ67" s="414"/>
      <c r="VBK67" s="414"/>
      <c r="VBL67" s="414"/>
      <c r="VBM67" s="414"/>
      <c r="VBN67" s="414"/>
      <c r="VBO67" s="414"/>
      <c r="VBP67" s="414"/>
      <c r="VBQ67" s="414"/>
      <c r="VBR67" s="414"/>
      <c r="VBS67" s="414"/>
      <c r="VBT67" s="414"/>
      <c r="VBU67" s="414"/>
      <c r="VBV67" s="414"/>
      <c r="VBW67" s="414"/>
      <c r="VBX67" s="414"/>
      <c r="VBY67" s="414"/>
      <c r="VBZ67" s="414"/>
      <c r="VCA67" s="414"/>
      <c r="VCB67" s="414"/>
      <c r="VCC67" s="414"/>
      <c r="VCD67" s="414"/>
      <c r="VCE67" s="414"/>
      <c r="VCF67" s="414"/>
      <c r="VCG67" s="414"/>
      <c r="VCH67" s="414"/>
      <c r="VCI67" s="414"/>
      <c r="VCJ67" s="414"/>
      <c r="VCK67" s="414"/>
      <c r="VCL67" s="414"/>
      <c r="VCM67" s="414"/>
      <c r="VCN67" s="414"/>
      <c r="VCO67" s="414"/>
      <c r="VCP67" s="414"/>
      <c r="VCQ67" s="414"/>
      <c r="VCR67" s="414"/>
      <c r="VCS67" s="414"/>
      <c r="VCT67" s="414"/>
      <c r="VCU67" s="414"/>
      <c r="VCV67" s="414"/>
      <c r="VCW67" s="414"/>
      <c r="VCX67" s="414"/>
      <c r="VCY67" s="414"/>
      <c r="VCZ67" s="414"/>
      <c r="VDA67" s="414"/>
      <c r="VDB67" s="414"/>
      <c r="VDC67" s="414"/>
      <c r="VDD67" s="414"/>
      <c r="VDE67" s="414"/>
      <c r="VDF67" s="414"/>
      <c r="VDG67" s="414"/>
      <c r="VDH67" s="414"/>
      <c r="VDI67" s="414"/>
      <c r="VDJ67" s="414"/>
      <c r="VDK67" s="414"/>
      <c r="VDL67" s="414"/>
      <c r="VDM67" s="414"/>
      <c r="VDN67" s="414"/>
      <c r="VDO67" s="414"/>
      <c r="VDP67" s="414"/>
      <c r="VDQ67" s="414"/>
      <c r="VDR67" s="414"/>
      <c r="VDS67" s="414"/>
      <c r="VDT67" s="414"/>
      <c r="VDU67" s="414"/>
      <c r="VDV67" s="414"/>
      <c r="VDW67" s="414"/>
      <c r="VDX67" s="414"/>
      <c r="VDY67" s="414"/>
      <c r="VDZ67" s="414"/>
      <c r="VEA67" s="414"/>
      <c r="VEB67" s="414"/>
      <c r="VEC67" s="414"/>
      <c r="VED67" s="414"/>
      <c r="VEE67" s="414"/>
      <c r="VEF67" s="414"/>
      <c r="VEG67" s="414"/>
      <c r="VEH67" s="414"/>
      <c r="VEI67" s="414"/>
      <c r="VEJ67" s="414"/>
      <c r="VEK67" s="414"/>
      <c r="VEL67" s="414"/>
      <c r="VEM67" s="414"/>
      <c r="VEN67" s="414"/>
      <c r="VEO67" s="414"/>
      <c r="VEP67" s="414"/>
      <c r="VEQ67" s="414"/>
      <c r="VER67" s="414"/>
      <c r="VES67" s="414"/>
      <c r="VET67" s="414"/>
      <c r="VEU67" s="414"/>
      <c r="VEV67" s="414"/>
      <c r="VEW67" s="414"/>
      <c r="VEX67" s="414"/>
      <c r="VEY67" s="414"/>
      <c r="VEZ67" s="414"/>
      <c r="VFA67" s="414"/>
      <c r="VFB67" s="414"/>
      <c r="VFC67" s="414"/>
      <c r="VFD67" s="414"/>
      <c r="VFE67" s="414"/>
      <c r="VFF67" s="414"/>
      <c r="VFG67" s="414"/>
      <c r="VFH67" s="414"/>
      <c r="VFI67" s="414"/>
      <c r="VFJ67" s="414"/>
      <c r="VFK67" s="414"/>
      <c r="VFL67" s="414"/>
      <c r="VFM67" s="414"/>
      <c r="VFN67" s="414"/>
      <c r="VFO67" s="414"/>
      <c r="VFP67" s="414"/>
      <c r="VFQ67" s="414"/>
      <c r="VFR67" s="414"/>
      <c r="VFS67" s="414"/>
      <c r="VFT67" s="414"/>
      <c r="VFU67" s="414"/>
      <c r="VFV67" s="414"/>
      <c r="VFW67" s="414"/>
      <c r="VFX67" s="414"/>
      <c r="VFY67" s="414"/>
      <c r="VFZ67" s="414"/>
      <c r="VGA67" s="414"/>
      <c r="VGB67" s="414"/>
      <c r="VGC67" s="414"/>
      <c r="VGD67" s="414"/>
      <c r="VGE67" s="414"/>
      <c r="VGF67" s="414"/>
      <c r="VGG67" s="414"/>
      <c r="VGH67" s="414"/>
      <c r="VGI67" s="414"/>
      <c r="VGJ67" s="414"/>
      <c r="VGK67" s="414"/>
      <c r="VGL67" s="414"/>
      <c r="VGM67" s="414"/>
      <c r="VGN67" s="414"/>
      <c r="VGO67" s="414"/>
      <c r="VGP67" s="414"/>
      <c r="VGQ67" s="414"/>
      <c r="VGR67" s="414"/>
      <c r="VGS67" s="414"/>
      <c r="VGT67" s="414"/>
      <c r="VGU67" s="414"/>
      <c r="VGV67" s="414"/>
      <c r="VGW67" s="414"/>
      <c r="VGX67" s="414"/>
      <c r="VGY67" s="414"/>
      <c r="VGZ67" s="414"/>
      <c r="VHA67" s="414"/>
      <c r="VHB67" s="414"/>
      <c r="VHC67" s="414"/>
      <c r="VHD67" s="414"/>
      <c r="VHE67" s="414"/>
      <c r="VHF67" s="414"/>
      <c r="VHG67" s="414"/>
      <c r="VHH67" s="414"/>
      <c r="VHI67" s="414"/>
      <c r="VHJ67" s="414"/>
      <c r="VHK67" s="414"/>
      <c r="VHL67" s="414"/>
      <c r="VHM67" s="414"/>
      <c r="VHN67" s="414"/>
      <c r="VHO67" s="414"/>
      <c r="VHP67" s="414"/>
      <c r="VHQ67" s="414"/>
      <c r="VHR67" s="414"/>
      <c r="VHS67" s="414"/>
      <c r="VHT67" s="414"/>
      <c r="VHU67" s="414"/>
      <c r="VHV67" s="414"/>
      <c r="VHW67" s="414"/>
      <c r="VHX67" s="414"/>
      <c r="VHY67" s="414"/>
      <c r="VHZ67" s="414"/>
      <c r="VIA67" s="414"/>
      <c r="VIB67" s="414"/>
      <c r="VIC67" s="414"/>
      <c r="VID67" s="414"/>
      <c r="VIE67" s="414"/>
      <c r="VIF67" s="414"/>
      <c r="VIG67" s="414"/>
      <c r="VIH67" s="414"/>
      <c r="VII67" s="414"/>
      <c r="VIJ67" s="414"/>
      <c r="VIK67" s="414"/>
      <c r="VIL67" s="414"/>
      <c r="VIM67" s="414"/>
      <c r="VIN67" s="414"/>
      <c r="VIO67" s="414"/>
      <c r="VIP67" s="414"/>
      <c r="VIQ67" s="414"/>
      <c r="VIR67" s="414"/>
      <c r="VIS67" s="414"/>
      <c r="VIT67" s="414"/>
      <c r="VIU67" s="414"/>
      <c r="VIV67" s="414"/>
      <c r="VIW67" s="414"/>
      <c r="VIX67" s="414"/>
      <c r="VIY67" s="414"/>
      <c r="VIZ67" s="414"/>
      <c r="VJA67" s="414"/>
      <c r="VJB67" s="414"/>
      <c r="VJC67" s="414"/>
      <c r="VJD67" s="414"/>
      <c r="VJE67" s="414"/>
      <c r="VJF67" s="414"/>
      <c r="VJG67" s="414"/>
      <c r="VJH67" s="414"/>
      <c r="VJI67" s="414"/>
      <c r="VJJ67" s="414"/>
      <c r="VJK67" s="414"/>
      <c r="VJL67" s="414"/>
      <c r="VJM67" s="414"/>
      <c r="VJN67" s="414"/>
      <c r="VJO67" s="414"/>
      <c r="VJP67" s="414"/>
      <c r="VJQ67" s="414"/>
      <c r="VJR67" s="414"/>
      <c r="VJS67" s="414"/>
      <c r="VJT67" s="414"/>
      <c r="VJU67" s="414"/>
      <c r="VJV67" s="414"/>
      <c r="VJW67" s="414"/>
      <c r="VJX67" s="414"/>
      <c r="VJY67" s="414"/>
      <c r="VJZ67" s="414"/>
      <c r="VKA67" s="414"/>
      <c r="VKB67" s="414"/>
      <c r="VKC67" s="414"/>
      <c r="VKD67" s="414"/>
      <c r="VKE67" s="414"/>
      <c r="VKF67" s="414"/>
      <c r="VKG67" s="414"/>
      <c r="VKH67" s="414"/>
      <c r="VKI67" s="414"/>
      <c r="VKJ67" s="414"/>
      <c r="VKK67" s="414"/>
      <c r="VKL67" s="414"/>
      <c r="VKM67" s="414"/>
      <c r="VKN67" s="414"/>
      <c r="VKO67" s="414"/>
      <c r="VKP67" s="414"/>
      <c r="VKQ67" s="414"/>
      <c r="VKR67" s="414"/>
      <c r="VKS67" s="414"/>
      <c r="VKT67" s="414"/>
      <c r="VKU67" s="414"/>
      <c r="VKV67" s="414"/>
      <c r="VKW67" s="414"/>
      <c r="VKX67" s="414"/>
      <c r="VKY67" s="414"/>
      <c r="VKZ67" s="414"/>
      <c r="VLA67" s="414"/>
      <c r="VLB67" s="414"/>
      <c r="VLC67" s="414"/>
      <c r="VLD67" s="414"/>
      <c r="VLE67" s="414"/>
      <c r="VLF67" s="414"/>
      <c r="VLG67" s="414"/>
      <c r="VLH67" s="414"/>
      <c r="VLI67" s="414"/>
      <c r="VLJ67" s="414"/>
      <c r="VLK67" s="414"/>
      <c r="VLL67" s="414"/>
      <c r="VLM67" s="414"/>
      <c r="VLN67" s="414"/>
      <c r="VLO67" s="414"/>
      <c r="VLP67" s="414"/>
      <c r="VLQ67" s="414"/>
      <c r="VLR67" s="414"/>
      <c r="VLS67" s="414"/>
      <c r="VLT67" s="414"/>
      <c r="VLU67" s="414"/>
      <c r="VLV67" s="414"/>
      <c r="VLW67" s="414"/>
      <c r="VLX67" s="414"/>
      <c r="VLY67" s="414"/>
      <c r="VLZ67" s="414"/>
      <c r="VMA67" s="414"/>
      <c r="VMB67" s="414"/>
      <c r="VMC67" s="414"/>
      <c r="VMD67" s="414"/>
      <c r="VME67" s="414"/>
      <c r="VMF67" s="414"/>
      <c r="VMG67" s="414"/>
      <c r="VMH67" s="414"/>
      <c r="VMI67" s="414"/>
      <c r="VMJ67" s="414"/>
      <c r="VMK67" s="414"/>
      <c r="VML67" s="414"/>
      <c r="VMM67" s="414"/>
      <c r="VMN67" s="414"/>
      <c r="VMO67" s="414"/>
      <c r="VMP67" s="414"/>
      <c r="VMQ67" s="414"/>
      <c r="VMR67" s="414"/>
      <c r="VMS67" s="414"/>
      <c r="VMT67" s="414"/>
      <c r="VMU67" s="414"/>
      <c r="VMV67" s="414"/>
      <c r="VMW67" s="414"/>
      <c r="VMX67" s="414"/>
      <c r="VMY67" s="414"/>
      <c r="VMZ67" s="414"/>
      <c r="VNA67" s="414"/>
      <c r="VNB67" s="414"/>
      <c r="VNC67" s="414"/>
      <c r="VND67" s="414"/>
      <c r="VNE67" s="414"/>
      <c r="VNF67" s="414"/>
      <c r="VNG67" s="414"/>
      <c r="VNH67" s="414"/>
      <c r="VNI67" s="414"/>
      <c r="VNJ67" s="414"/>
      <c r="VNK67" s="414"/>
      <c r="VNL67" s="414"/>
      <c r="VNM67" s="414"/>
      <c r="VNN67" s="414"/>
      <c r="VNO67" s="414"/>
      <c r="VNP67" s="414"/>
      <c r="VNQ67" s="414"/>
      <c r="VNR67" s="414"/>
      <c r="VNS67" s="414"/>
      <c r="VNT67" s="414"/>
      <c r="VNU67" s="414"/>
      <c r="VNV67" s="414"/>
      <c r="VNW67" s="414"/>
      <c r="VNX67" s="414"/>
      <c r="VNY67" s="414"/>
      <c r="VNZ67" s="414"/>
      <c r="VOA67" s="414"/>
      <c r="VOB67" s="414"/>
      <c r="VOC67" s="414"/>
      <c r="VOD67" s="414"/>
      <c r="VOE67" s="414"/>
      <c r="VOF67" s="414"/>
      <c r="VOG67" s="414"/>
      <c r="VOH67" s="414"/>
      <c r="VOI67" s="414"/>
      <c r="VOJ67" s="414"/>
      <c r="VOK67" s="414"/>
      <c r="VOL67" s="414"/>
      <c r="VOM67" s="414"/>
      <c r="VON67" s="414"/>
      <c r="VOO67" s="414"/>
      <c r="VOP67" s="414"/>
      <c r="VOQ67" s="414"/>
      <c r="VOR67" s="414"/>
      <c r="VOS67" s="414"/>
      <c r="VOT67" s="414"/>
      <c r="VOU67" s="414"/>
      <c r="VOV67" s="414"/>
      <c r="VOW67" s="414"/>
      <c r="VOX67" s="414"/>
      <c r="VOY67" s="414"/>
      <c r="VOZ67" s="414"/>
      <c r="VPA67" s="414"/>
      <c r="VPB67" s="414"/>
      <c r="VPC67" s="414"/>
      <c r="VPD67" s="414"/>
      <c r="VPE67" s="414"/>
      <c r="VPF67" s="414"/>
      <c r="VPG67" s="414"/>
      <c r="VPH67" s="414"/>
      <c r="VPI67" s="414"/>
      <c r="VPJ67" s="414"/>
      <c r="VPK67" s="414"/>
      <c r="VPL67" s="414"/>
      <c r="VPM67" s="414"/>
      <c r="VPN67" s="414"/>
      <c r="VPO67" s="414"/>
      <c r="VPP67" s="414"/>
      <c r="VPQ67" s="414"/>
      <c r="VPR67" s="414"/>
      <c r="VPS67" s="414"/>
      <c r="VPT67" s="414"/>
      <c r="VPU67" s="414"/>
      <c r="VPV67" s="414"/>
      <c r="VPW67" s="414"/>
      <c r="VPX67" s="414"/>
      <c r="VPY67" s="414"/>
      <c r="VPZ67" s="414"/>
      <c r="VQA67" s="414"/>
      <c r="VQB67" s="414"/>
      <c r="VQC67" s="414"/>
      <c r="VQD67" s="414"/>
      <c r="VQE67" s="414"/>
      <c r="VQF67" s="414"/>
      <c r="VQG67" s="414"/>
      <c r="VQH67" s="414"/>
      <c r="VQI67" s="414"/>
      <c r="VQJ67" s="414"/>
      <c r="VQK67" s="414"/>
      <c r="VQL67" s="414"/>
      <c r="VQM67" s="414"/>
      <c r="VQN67" s="414"/>
      <c r="VQO67" s="414"/>
      <c r="VQP67" s="414"/>
      <c r="VQQ67" s="414"/>
      <c r="VQR67" s="414"/>
      <c r="VQS67" s="414"/>
      <c r="VQT67" s="414"/>
      <c r="VQU67" s="414"/>
      <c r="VQV67" s="414"/>
      <c r="VQW67" s="414"/>
      <c r="VQX67" s="414"/>
      <c r="VQY67" s="414"/>
      <c r="VQZ67" s="414"/>
      <c r="VRA67" s="414"/>
      <c r="VRB67" s="414"/>
      <c r="VRC67" s="414"/>
      <c r="VRD67" s="414"/>
      <c r="VRE67" s="414"/>
      <c r="VRF67" s="414"/>
      <c r="VRG67" s="414"/>
      <c r="VRH67" s="414"/>
      <c r="VRI67" s="414"/>
      <c r="VRJ67" s="414"/>
      <c r="VRK67" s="414"/>
      <c r="VRL67" s="414"/>
      <c r="VRM67" s="414"/>
      <c r="VRN67" s="414"/>
      <c r="VRO67" s="414"/>
      <c r="VRP67" s="414"/>
      <c r="VRQ67" s="414"/>
      <c r="VRR67" s="414"/>
      <c r="VRS67" s="414"/>
      <c r="VRT67" s="414"/>
      <c r="VRU67" s="414"/>
      <c r="VRV67" s="414"/>
      <c r="VRW67" s="414"/>
      <c r="VRX67" s="414"/>
      <c r="VRY67" s="414"/>
      <c r="VRZ67" s="414"/>
      <c r="VSA67" s="414"/>
      <c r="VSB67" s="414"/>
      <c r="VSC67" s="414"/>
      <c r="VSD67" s="414"/>
      <c r="VSE67" s="414"/>
      <c r="VSF67" s="414"/>
      <c r="VSG67" s="414"/>
      <c r="VSH67" s="414"/>
      <c r="VSI67" s="414"/>
      <c r="VSJ67" s="414"/>
      <c r="VSK67" s="414"/>
      <c r="VSL67" s="414"/>
      <c r="VSM67" s="414"/>
      <c r="VSN67" s="414"/>
      <c r="VSO67" s="414"/>
      <c r="VSP67" s="414"/>
      <c r="VSQ67" s="414"/>
      <c r="VSR67" s="414"/>
      <c r="VSS67" s="414"/>
      <c r="VST67" s="414"/>
      <c r="VSU67" s="414"/>
      <c r="VSV67" s="414"/>
      <c r="VSW67" s="414"/>
      <c r="VSX67" s="414"/>
      <c r="VSY67" s="414"/>
      <c r="VSZ67" s="414"/>
      <c r="VTA67" s="414"/>
      <c r="VTB67" s="414"/>
      <c r="VTC67" s="414"/>
      <c r="VTD67" s="414"/>
      <c r="VTE67" s="414"/>
      <c r="VTF67" s="414"/>
      <c r="VTG67" s="414"/>
      <c r="VTH67" s="414"/>
      <c r="VTI67" s="414"/>
      <c r="VTJ67" s="414"/>
      <c r="VTK67" s="414"/>
      <c r="VTL67" s="414"/>
      <c r="VTM67" s="414"/>
      <c r="VTN67" s="414"/>
      <c r="VTO67" s="414"/>
      <c r="VTP67" s="414"/>
      <c r="VTQ67" s="414"/>
      <c r="VTR67" s="414"/>
      <c r="VTS67" s="414"/>
      <c r="VTT67" s="414"/>
      <c r="VTU67" s="414"/>
      <c r="VTV67" s="414"/>
      <c r="VTW67" s="414"/>
      <c r="VTX67" s="414"/>
      <c r="VTY67" s="414"/>
      <c r="VTZ67" s="414"/>
      <c r="VUA67" s="414"/>
      <c r="VUB67" s="414"/>
      <c r="VUC67" s="414"/>
      <c r="VUD67" s="414"/>
      <c r="VUE67" s="414"/>
      <c r="VUF67" s="414"/>
      <c r="VUG67" s="414"/>
      <c r="VUH67" s="414"/>
      <c r="VUI67" s="414"/>
      <c r="VUJ67" s="414"/>
      <c r="VUK67" s="414"/>
      <c r="VUL67" s="414"/>
      <c r="VUM67" s="414"/>
      <c r="VUN67" s="414"/>
      <c r="VUO67" s="414"/>
      <c r="VUP67" s="414"/>
      <c r="VUQ67" s="414"/>
      <c r="VUR67" s="414"/>
      <c r="VUS67" s="414"/>
      <c r="VUT67" s="414"/>
      <c r="VUU67" s="414"/>
      <c r="VUV67" s="414"/>
      <c r="VUW67" s="414"/>
      <c r="VUX67" s="414"/>
      <c r="VUY67" s="414"/>
      <c r="VUZ67" s="414"/>
      <c r="VVA67" s="414"/>
      <c r="VVB67" s="414"/>
      <c r="VVC67" s="414"/>
      <c r="VVD67" s="414"/>
      <c r="VVE67" s="414"/>
      <c r="VVF67" s="414"/>
      <c r="VVG67" s="414"/>
      <c r="VVH67" s="414"/>
      <c r="VVI67" s="414"/>
      <c r="VVJ67" s="414"/>
      <c r="VVK67" s="414"/>
      <c r="VVL67" s="414"/>
      <c r="VVM67" s="414"/>
      <c r="VVN67" s="414"/>
      <c r="VVO67" s="414"/>
      <c r="VVP67" s="414"/>
      <c r="VVQ67" s="414"/>
      <c r="VVR67" s="414"/>
      <c r="VVS67" s="414"/>
      <c r="VVT67" s="414"/>
      <c r="VVU67" s="414"/>
      <c r="VVV67" s="414"/>
      <c r="VVW67" s="414"/>
      <c r="VVX67" s="414"/>
      <c r="VVY67" s="414"/>
      <c r="VVZ67" s="414"/>
      <c r="VWA67" s="414"/>
      <c r="VWB67" s="414"/>
      <c r="VWC67" s="414"/>
      <c r="VWD67" s="414"/>
      <c r="VWE67" s="414"/>
      <c r="VWF67" s="414"/>
      <c r="VWG67" s="414"/>
      <c r="VWH67" s="414"/>
      <c r="VWI67" s="414"/>
      <c r="VWJ67" s="414"/>
      <c r="VWK67" s="414"/>
      <c r="VWL67" s="414"/>
      <c r="VWM67" s="414"/>
      <c r="VWN67" s="414"/>
      <c r="VWO67" s="414"/>
      <c r="VWP67" s="414"/>
      <c r="VWQ67" s="414"/>
      <c r="VWR67" s="414"/>
      <c r="VWS67" s="414"/>
      <c r="VWT67" s="414"/>
      <c r="VWU67" s="414"/>
      <c r="VWV67" s="414"/>
      <c r="VWW67" s="414"/>
      <c r="VWX67" s="414"/>
      <c r="VWY67" s="414"/>
      <c r="VWZ67" s="414"/>
      <c r="VXA67" s="414"/>
      <c r="VXB67" s="414"/>
      <c r="VXC67" s="414"/>
      <c r="VXD67" s="414"/>
      <c r="VXE67" s="414"/>
      <c r="VXF67" s="414"/>
      <c r="VXG67" s="414"/>
      <c r="VXH67" s="414"/>
      <c r="VXI67" s="414"/>
      <c r="VXJ67" s="414"/>
      <c r="VXK67" s="414"/>
      <c r="VXL67" s="414"/>
      <c r="VXM67" s="414"/>
      <c r="VXN67" s="414"/>
      <c r="VXO67" s="414"/>
      <c r="VXP67" s="414"/>
      <c r="VXQ67" s="414"/>
      <c r="VXR67" s="414"/>
      <c r="VXS67" s="414"/>
      <c r="VXT67" s="414"/>
      <c r="VXU67" s="414"/>
      <c r="VXV67" s="414"/>
      <c r="VXW67" s="414"/>
      <c r="VXX67" s="414"/>
      <c r="VXY67" s="414"/>
      <c r="VXZ67" s="414"/>
      <c r="VYA67" s="414"/>
      <c r="VYB67" s="414"/>
      <c r="VYC67" s="414"/>
      <c r="VYD67" s="414"/>
      <c r="VYE67" s="414"/>
      <c r="VYF67" s="414"/>
      <c r="VYG67" s="414"/>
      <c r="VYH67" s="414"/>
      <c r="VYI67" s="414"/>
      <c r="VYJ67" s="414"/>
      <c r="VYK67" s="414"/>
      <c r="VYL67" s="414"/>
      <c r="VYM67" s="414"/>
      <c r="VYN67" s="414"/>
      <c r="VYO67" s="414"/>
      <c r="VYP67" s="414"/>
      <c r="VYQ67" s="414"/>
      <c r="VYR67" s="414"/>
      <c r="VYS67" s="414"/>
      <c r="VYT67" s="414"/>
      <c r="VYU67" s="414"/>
      <c r="VYV67" s="414"/>
      <c r="VYW67" s="414"/>
      <c r="VYX67" s="414"/>
      <c r="VYY67" s="414"/>
      <c r="VYZ67" s="414"/>
      <c r="VZA67" s="414"/>
      <c r="VZB67" s="414"/>
      <c r="VZC67" s="414"/>
      <c r="VZD67" s="414"/>
      <c r="VZE67" s="414"/>
      <c r="VZF67" s="414"/>
      <c r="VZG67" s="414"/>
      <c r="VZH67" s="414"/>
      <c r="VZI67" s="414"/>
      <c r="VZJ67" s="414"/>
      <c r="VZK67" s="414"/>
      <c r="VZL67" s="414"/>
      <c r="VZM67" s="414"/>
      <c r="VZN67" s="414"/>
      <c r="VZO67" s="414"/>
      <c r="VZP67" s="414"/>
      <c r="VZQ67" s="414"/>
      <c r="VZR67" s="414"/>
      <c r="VZS67" s="414"/>
      <c r="VZT67" s="414"/>
      <c r="VZU67" s="414"/>
      <c r="VZV67" s="414"/>
      <c r="VZW67" s="414"/>
      <c r="VZX67" s="414"/>
      <c r="VZY67" s="414"/>
      <c r="VZZ67" s="414"/>
      <c r="WAA67" s="414"/>
      <c r="WAB67" s="414"/>
      <c r="WAC67" s="414"/>
      <c r="WAD67" s="414"/>
      <c r="WAE67" s="414"/>
      <c r="WAF67" s="414"/>
      <c r="WAG67" s="414"/>
      <c r="WAH67" s="414"/>
      <c r="WAI67" s="414"/>
      <c r="WAJ67" s="414"/>
      <c r="WAK67" s="414"/>
      <c r="WAL67" s="414"/>
      <c r="WAM67" s="414"/>
      <c r="WAN67" s="414"/>
      <c r="WAO67" s="414"/>
      <c r="WAP67" s="414"/>
      <c r="WAQ67" s="414"/>
      <c r="WAR67" s="414"/>
      <c r="WAS67" s="414"/>
      <c r="WAT67" s="414"/>
      <c r="WAU67" s="414"/>
      <c r="WAV67" s="414"/>
      <c r="WAW67" s="414"/>
      <c r="WAX67" s="414"/>
      <c r="WAY67" s="414"/>
      <c r="WAZ67" s="414"/>
      <c r="WBA67" s="414"/>
      <c r="WBB67" s="414"/>
      <c r="WBC67" s="414"/>
      <c r="WBD67" s="414"/>
      <c r="WBE67" s="414"/>
      <c r="WBF67" s="414"/>
      <c r="WBG67" s="414"/>
      <c r="WBH67" s="414"/>
      <c r="WBI67" s="414"/>
      <c r="WBJ67" s="414"/>
      <c r="WBK67" s="414"/>
      <c r="WBL67" s="414"/>
      <c r="WBM67" s="414"/>
      <c r="WBN67" s="414"/>
      <c r="WBO67" s="414"/>
      <c r="WBP67" s="414"/>
      <c r="WBQ67" s="414"/>
      <c r="WBR67" s="414"/>
      <c r="WBS67" s="414"/>
      <c r="WBT67" s="414"/>
      <c r="WBU67" s="414"/>
      <c r="WBV67" s="414"/>
      <c r="WBW67" s="414"/>
      <c r="WBX67" s="414"/>
      <c r="WBY67" s="414"/>
      <c r="WBZ67" s="414"/>
      <c r="WCA67" s="414"/>
      <c r="WCB67" s="414"/>
      <c r="WCC67" s="414"/>
      <c r="WCD67" s="414"/>
      <c r="WCE67" s="414"/>
      <c r="WCF67" s="414"/>
      <c r="WCG67" s="414"/>
      <c r="WCH67" s="414"/>
      <c r="WCI67" s="414"/>
      <c r="WCJ67" s="414"/>
      <c r="WCK67" s="414"/>
      <c r="WCL67" s="414"/>
      <c r="WCM67" s="414"/>
      <c r="WCN67" s="414"/>
      <c r="WCO67" s="414"/>
      <c r="WCP67" s="414"/>
      <c r="WCQ67" s="414"/>
      <c r="WCR67" s="414"/>
      <c r="WCS67" s="414"/>
      <c r="WCT67" s="414"/>
      <c r="WCU67" s="414"/>
      <c r="WCV67" s="414"/>
      <c r="WCW67" s="414"/>
      <c r="WCX67" s="414"/>
      <c r="WCY67" s="414"/>
      <c r="WCZ67" s="414"/>
      <c r="WDA67" s="414"/>
      <c r="WDB67" s="414"/>
      <c r="WDC67" s="414"/>
      <c r="WDD67" s="414"/>
      <c r="WDE67" s="414"/>
      <c r="WDF67" s="414"/>
      <c r="WDG67" s="414"/>
      <c r="WDH67" s="414"/>
      <c r="WDI67" s="414"/>
      <c r="WDJ67" s="414"/>
      <c r="WDK67" s="414"/>
      <c r="WDL67" s="414"/>
      <c r="WDM67" s="414"/>
      <c r="WDN67" s="414"/>
      <c r="WDO67" s="414"/>
      <c r="WDP67" s="414"/>
      <c r="WDQ67" s="414"/>
      <c r="WDR67" s="414"/>
      <c r="WDS67" s="414"/>
      <c r="WDT67" s="414"/>
      <c r="WDU67" s="414"/>
      <c r="WDV67" s="414"/>
      <c r="WDW67" s="414"/>
      <c r="WDX67" s="414"/>
      <c r="WDY67" s="414"/>
      <c r="WDZ67" s="414"/>
      <c r="WEA67" s="414"/>
      <c r="WEB67" s="414"/>
      <c r="WEC67" s="414"/>
      <c r="WED67" s="414"/>
      <c r="WEE67" s="414"/>
      <c r="WEF67" s="414"/>
      <c r="WEG67" s="414"/>
      <c r="WEH67" s="414"/>
      <c r="WEI67" s="414"/>
      <c r="WEJ67" s="414"/>
      <c r="WEK67" s="414"/>
      <c r="WEL67" s="414"/>
      <c r="WEM67" s="414"/>
      <c r="WEN67" s="414"/>
      <c r="WEO67" s="414"/>
      <c r="WEP67" s="414"/>
      <c r="WEQ67" s="414"/>
      <c r="WER67" s="414"/>
      <c r="WES67" s="414"/>
      <c r="WET67" s="414"/>
      <c r="WEU67" s="414"/>
      <c r="WEV67" s="414"/>
      <c r="WEW67" s="414"/>
      <c r="WEX67" s="414"/>
      <c r="WEY67" s="414"/>
      <c r="WEZ67" s="414"/>
      <c r="WFA67" s="414"/>
      <c r="WFB67" s="414"/>
      <c r="WFC67" s="414"/>
      <c r="WFD67" s="414"/>
      <c r="WFE67" s="414"/>
      <c r="WFF67" s="414"/>
      <c r="WFG67" s="414"/>
      <c r="WFH67" s="414"/>
      <c r="WFI67" s="414"/>
      <c r="WFJ67" s="414"/>
      <c r="WFK67" s="414"/>
      <c r="WFL67" s="414"/>
      <c r="WFM67" s="414"/>
      <c r="WFN67" s="414"/>
      <c r="WFO67" s="414"/>
      <c r="WFP67" s="414"/>
      <c r="WFQ67" s="414"/>
      <c r="WFR67" s="414"/>
      <c r="WFS67" s="414"/>
      <c r="WFT67" s="414"/>
      <c r="WFU67" s="414"/>
      <c r="WFV67" s="414"/>
      <c r="WFW67" s="414"/>
      <c r="WFX67" s="414"/>
      <c r="WFY67" s="414"/>
      <c r="WFZ67" s="414"/>
      <c r="WGA67" s="414"/>
      <c r="WGB67" s="414"/>
      <c r="WGC67" s="414"/>
      <c r="WGD67" s="414"/>
      <c r="WGE67" s="414"/>
      <c r="WGF67" s="414"/>
      <c r="WGG67" s="414"/>
      <c r="WGH67" s="414"/>
      <c r="WGI67" s="414"/>
      <c r="WGJ67" s="414"/>
      <c r="WGK67" s="414"/>
      <c r="WGL67" s="414"/>
      <c r="WGM67" s="414"/>
      <c r="WGN67" s="414"/>
      <c r="WGO67" s="414"/>
      <c r="WGP67" s="414"/>
      <c r="WGQ67" s="414"/>
      <c r="WGR67" s="414"/>
      <c r="WGS67" s="414"/>
      <c r="WGT67" s="414"/>
      <c r="WGU67" s="414"/>
      <c r="WGV67" s="414"/>
      <c r="WGW67" s="414"/>
      <c r="WGX67" s="414"/>
      <c r="WGY67" s="414"/>
      <c r="WGZ67" s="414"/>
      <c r="WHA67" s="414"/>
      <c r="WHB67" s="414"/>
      <c r="WHC67" s="414"/>
      <c r="WHD67" s="414"/>
      <c r="WHE67" s="414"/>
      <c r="WHF67" s="414"/>
      <c r="WHG67" s="414"/>
      <c r="WHH67" s="414"/>
      <c r="WHI67" s="414"/>
      <c r="WHJ67" s="414"/>
      <c r="WHK67" s="414"/>
      <c r="WHL67" s="414"/>
      <c r="WHM67" s="414"/>
      <c r="WHN67" s="414"/>
      <c r="WHO67" s="414"/>
      <c r="WHP67" s="414"/>
      <c r="WHQ67" s="414"/>
      <c r="WHR67" s="414"/>
      <c r="WHS67" s="414"/>
      <c r="WHT67" s="414"/>
      <c r="WHU67" s="414"/>
      <c r="WHV67" s="414"/>
      <c r="WHW67" s="414"/>
      <c r="WHX67" s="414"/>
      <c r="WHY67" s="414"/>
      <c r="WHZ67" s="414"/>
      <c r="WIA67" s="414"/>
      <c r="WIB67" s="414"/>
      <c r="WIC67" s="414"/>
      <c r="WID67" s="414"/>
      <c r="WIE67" s="414"/>
      <c r="WIF67" s="414"/>
      <c r="WIG67" s="414"/>
      <c r="WIH67" s="414"/>
      <c r="WII67" s="414"/>
      <c r="WIJ67" s="414"/>
      <c r="WIK67" s="414"/>
      <c r="WIL67" s="414"/>
      <c r="WIM67" s="414"/>
      <c r="WIN67" s="414"/>
      <c r="WIO67" s="414"/>
      <c r="WIP67" s="414"/>
      <c r="WIQ67" s="414"/>
      <c r="WIR67" s="414"/>
      <c r="WIS67" s="414"/>
      <c r="WIT67" s="414"/>
      <c r="WIU67" s="414"/>
      <c r="WIV67" s="414"/>
      <c r="WIW67" s="414"/>
      <c r="WIX67" s="414"/>
      <c r="WIY67" s="414"/>
      <c r="WIZ67" s="414"/>
      <c r="WJA67" s="414"/>
      <c r="WJB67" s="414"/>
      <c r="WJC67" s="414"/>
      <c r="WJD67" s="414"/>
      <c r="WJE67" s="414"/>
      <c r="WJF67" s="414"/>
      <c r="WJG67" s="414"/>
      <c r="WJH67" s="414"/>
      <c r="WJI67" s="414"/>
      <c r="WJJ67" s="414"/>
      <c r="WJK67" s="414"/>
      <c r="WJL67" s="414"/>
      <c r="WJM67" s="414"/>
      <c r="WJN67" s="414"/>
      <c r="WJO67" s="414"/>
      <c r="WJP67" s="414"/>
      <c r="WJQ67" s="414"/>
      <c r="WJR67" s="414"/>
      <c r="WJS67" s="414"/>
      <c r="WJT67" s="414"/>
      <c r="WJU67" s="414"/>
      <c r="WJV67" s="414"/>
      <c r="WJW67" s="414"/>
      <c r="WJX67" s="414"/>
      <c r="WJY67" s="414"/>
      <c r="WJZ67" s="414"/>
      <c r="WKA67" s="414"/>
      <c r="WKB67" s="414"/>
      <c r="WKC67" s="414"/>
      <c r="WKD67" s="414"/>
      <c r="WKE67" s="414"/>
      <c r="WKF67" s="414"/>
      <c r="WKG67" s="414"/>
      <c r="WKH67" s="414"/>
      <c r="WKI67" s="414"/>
      <c r="WKJ67" s="414"/>
      <c r="WKK67" s="414"/>
      <c r="WKL67" s="414"/>
      <c r="WKM67" s="414"/>
      <c r="WKN67" s="414"/>
      <c r="WKO67" s="414"/>
      <c r="WKP67" s="414"/>
      <c r="WKQ67" s="414"/>
      <c r="WKR67" s="414"/>
      <c r="WKS67" s="414"/>
      <c r="WKT67" s="414"/>
      <c r="WKU67" s="414"/>
      <c r="WKV67" s="414"/>
      <c r="WKW67" s="414"/>
      <c r="WKX67" s="414"/>
      <c r="WKY67" s="414"/>
      <c r="WKZ67" s="414"/>
      <c r="WLA67" s="414"/>
      <c r="WLB67" s="414"/>
      <c r="WLC67" s="414"/>
      <c r="WLD67" s="414"/>
      <c r="WLE67" s="414"/>
      <c r="WLF67" s="414"/>
      <c r="WLG67" s="414"/>
      <c r="WLH67" s="414"/>
      <c r="WLI67" s="414"/>
      <c r="WLJ67" s="414"/>
      <c r="WLK67" s="414"/>
      <c r="WLL67" s="414"/>
      <c r="WLM67" s="414"/>
      <c r="WLN67" s="414"/>
      <c r="WLO67" s="414"/>
      <c r="WLP67" s="414"/>
      <c r="WLQ67" s="414"/>
      <c r="WLR67" s="414"/>
      <c r="WLS67" s="414"/>
      <c r="WLT67" s="414"/>
      <c r="WLU67" s="414"/>
      <c r="WLV67" s="414"/>
      <c r="WLW67" s="414"/>
      <c r="WLX67" s="414"/>
      <c r="WLY67" s="414"/>
      <c r="WLZ67" s="414"/>
      <c r="WMA67" s="414"/>
      <c r="WMB67" s="414"/>
      <c r="WMC67" s="414"/>
      <c r="WMD67" s="414"/>
      <c r="WME67" s="414"/>
      <c r="WMF67" s="414"/>
      <c r="WMG67" s="414"/>
      <c r="WMH67" s="414"/>
      <c r="WMI67" s="414"/>
      <c r="WMJ67" s="414"/>
      <c r="WMK67" s="414"/>
      <c r="WML67" s="414"/>
      <c r="WMM67" s="414"/>
      <c r="WMN67" s="414"/>
      <c r="WMO67" s="414"/>
      <c r="WMP67" s="414"/>
      <c r="WMQ67" s="414"/>
      <c r="WMR67" s="414"/>
      <c r="WMS67" s="414"/>
      <c r="WMT67" s="414"/>
      <c r="WMU67" s="414"/>
      <c r="WMV67" s="414"/>
      <c r="WMW67" s="414"/>
      <c r="WMX67" s="414"/>
      <c r="WMY67" s="414"/>
      <c r="WMZ67" s="414"/>
      <c r="WNA67" s="414"/>
      <c r="WNB67" s="414"/>
      <c r="WNC67" s="414"/>
      <c r="WND67" s="414"/>
      <c r="WNE67" s="414"/>
      <c r="WNF67" s="414"/>
      <c r="WNG67" s="414"/>
      <c r="WNH67" s="414"/>
      <c r="WNI67" s="414"/>
      <c r="WNJ67" s="414"/>
      <c r="WNK67" s="414"/>
      <c r="WNL67" s="414"/>
      <c r="WNM67" s="414"/>
      <c r="WNN67" s="414"/>
      <c r="WNO67" s="414"/>
      <c r="WNP67" s="414"/>
      <c r="WNQ67" s="414"/>
      <c r="WNR67" s="414"/>
      <c r="WNS67" s="414"/>
      <c r="WNT67" s="414"/>
      <c r="WNU67" s="414"/>
      <c r="WNV67" s="414"/>
      <c r="WNW67" s="414"/>
      <c r="WNX67" s="414"/>
      <c r="WNY67" s="414"/>
      <c r="WNZ67" s="414"/>
      <c r="WOA67" s="414"/>
      <c r="WOB67" s="414"/>
      <c r="WOC67" s="414"/>
      <c r="WOD67" s="414"/>
      <c r="WOE67" s="414"/>
      <c r="WOF67" s="414"/>
      <c r="WOG67" s="414"/>
      <c r="WOH67" s="414"/>
      <c r="WOI67" s="414"/>
      <c r="WOJ67" s="414"/>
      <c r="WOK67" s="414"/>
      <c r="WOL67" s="414"/>
      <c r="WOM67" s="414"/>
      <c r="WON67" s="414"/>
      <c r="WOO67" s="414"/>
      <c r="WOP67" s="414"/>
      <c r="WOQ67" s="414"/>
      <c r="WOR67" s="414"/>
      <c r="WOS67" s="414"/>
      <c r="WOT67" s="414"/>
      <c r="WOU67" s="414"/>
      <c r="WOV67" s="414"/>
      <c r="WOW67" s="414"/>
      <c r="WOX67" s="414"/>
      <c r="WOY67" s="414"/>
      <c r="WOZ67" s="414"/>
      <c r="WPA67" s="414"/>
      <c r="WPB67" s="414"/>
      <c r="WPC67" s="414"/>
      <c r="WPD67" s="414"/>
      <c r="WPE67" s="414"/>
      <c r="WPF67" s="414"/>
      <c r="WPG67" s="414"/>
      <c r="WPH67" s="414"/>
      <c r="WPI67" s="414"/>
      <c r="WPJ67" s="414"/>
      <c r="WPK67" s="414"/>
      <c r="WPL67" s="414"/>
      <c r="WPM67" s="414"/>
      <c r="WPN67" s="414"/>
      <c r="WPO67" s="414"/>
      <c r="WPP67" s="414"/>
      <c r="WPQ67" s="414"/>
      <c r="WPR67" s="414"/>
      <c r="WPS67" s="414"/>
      <c r="WPT67" s="414"/>
      <c r="WPU67" s="414"/>
      <c r="WPV67" s="414"/>
      <c r="WPW67" s="414"/>
      <c r="WPX67" s="414"/>
      <c r="WPY67" s="414"/>
      <c r="WPZ67" s="414"/>
      <c r="WQA67" s="414"/>
      <c r="WQB67" s="414"/>
      <c r="WQC67" s="414"/>
      <c r="WQD67" s="414"/>
      <c r="WQE67" s="414"/>
      <c r="WQF67" s="414"/>
      <c r="WQG67" s="414"/>
      <c r="WQH67" s="414"/>
      <c r="WQI67" s="414"/>
      <c r="WQJ67" s="414"/>
      <c r="WQK67" s="414"/>
      <c r="WQL67" s="414"/>
      <c r="WQM67" s="414"/>
      <c r="WQN67" s="414"/>
      <c r="WQO67" s="414"/>
      <c r="WQP67" s="414"/>
      <c r="WQQ67" s="414"/>
      <c r="WQR67" s="414"/>
      <c r="WQS67" s="414"/>
      <c r="WQT67" s="414"/>
      <c r="WQU67" s="414"/>
      <c r="WQV67" s="414"/>
      <c r="WQW67" s="414"/>
      <c r="WQX67" s="414"/>
      <c r="WQY67" s="414"/>
      <c r="WQZ67" s="414"/>
      <c r="WRA67" s="414"/>
      <c r="WRB67" s="414"/>
      <c r="WRC67" s="414"/>
      <c r="WRD67" s="414"/>
      <c r="WRE67" s="414"/>
      <c r="WRF67" s="414"/>
      <c r="WRG67" s="414"/>
      <c r="WRH67" s="414"/>
      <c r="WRI67" s="414"/>
      <c r="WRJ67" s="414"/>
      <c r="WRK67" s="414"/>
      <c r="WRL67" s="414"/>
      <c r="WRM67" s="414"/>
      <c r="WRN67" s="414"/>
      <c r="WRO67" s="414"/>
      <c r="WRP67" s="414"/>
      <c r="WRQ67" s="414"/>
      <c r="WRR67" s="414"/>
      <c r="WRS67" s="414"/>
      <c r="WRT67" s="414"/>
      <c r="WRU67" s="414"/>
      <c r="WRV67" s="414"/>
      <c r="WRW67" s="414"/>
      <c r="WRX67" s="414"/>
      <c r="WRY67" s="414"/>
      <c r="WRZ67" s="414"/>
      <c r="WSA67" s="414"/>
      <c r="WSB67" s="414"/>
      <c r="WSC67" s="414"/>
      <c r="WSD67" s="414"/>
      <c r="WSE67" s="414"/>
      <c r="WSF67" s="414"/>
      <c r="WSG67" s="414"/>
      <c r="WSH67" s="414"/>
      <c r="WSI67" s="414"/>
      <c r="WSJ67" s="414"/>
      <c r="WSK67" s="414"/>
      <c r="WSL67" s="414"/>
      <c r="WSM67" s="414"/>
      <c r="WSN67" s="414"/>
      <c r="WSO67" s="414"/>
      <c r="WSP67" s="414"/>
      <c r="WSQ67" s="414"/>
      <c r="WSR67" s="414"/>
      <c r="WSS67" s="414"/>
      <c r="WST67" s="414"/>
      <c r="WSU67" s="414"/>
      <c r="WSV67" s="414"/>
      <c r="WSW67" s="414"/>
      <c r="WSX67" s="414"/>
      <c r="WSY67" s="414"/>
      <c r="WSZ67" s="414"/>
      <c r="WTA67" s="414"/>
      <c r="WTB67" s="414"/>
      <c r="WTC67" s="414"/>
      <c r="WTD67" s="414"/>
      <c r="WTE67" s="414"/>
      <c r="WTF67" s="414"/>
      <c r="WTG67" s="414"/>
      <c r="WTH67" s="414"/>
      <c r="WTI67" s="414"/>
      <c r="WTJ67" s="414"/>
      <c r="WTK67" s="414"/>
      <c r="WTL67" s="414"/>
      <c r="WTM67" s="414"/>
      <c r="WTN67" s="414"/>
      <c r="WTO67" s="414"/>
      <c r="WTP67" s="414"/>
      <c r="WTQ67" s="414"/>
      <c r="WTR67" s="414"/>
      <c r="WTS67" s="414"/>
      <c r="WTT67" s="414"/>
      <c r="WTU67" s="414"/>
      <c r="WTV67" s="414"/>
      <c r="WTW67" s="414"/>
      <c r="WTX67" s="414"/>
      <c r="WTY67" s="414"/>
      <c r="WTZ67" s="414"/>
      <c r="WUA67" s="414"/>
      <c r="WUB67" s="414"/>
      <c r="WUC67" s="414"/>
      <c r="WUD67" s="414"/>
      <c r="WUE67" s="414"/>
      <c r="WUF67" s="414"/>
      <c r="WUG67" s="414"/>
      <c r="WUH67" s="414"/>
      <c r="WUI67" s="414"/>
      <c r="WUJ67" s="414"/>
      <c r="WUK67" s="414"/>
      <c r="WUL67" s="414"/>
      <c r="WUM67" s="414"/>
      <c r="WUN67" s="414"/>
      <c r="WUO67" s="414"/>
      <c r="WUP67" s="414"/>
      <c r="WUQ67" s="414"/>
      <c r="WUR67" s="414"/>
      <c r="WUS67" s="414"/>
      <c r="WUT67" s="414"/>
      <c r="WUU67" s="414"/>
      <c r="WUV67" s="414"/>
      <c r="WUW67" s="414"/>
      <c r="WUX67" s="414"/>
      <c r="WUY67" s="414"/>
      <c r="WUZ67" s="414"/>
      <c r="WVA67" s="414"/>
      <c r="WVB67" s="414"/>
      <c r="WVC67" s="414"/>
      <c r="WVD67" s="414"/>
      <c r="WVE67" s="414"/>
      <c r="WVF67" s="414"/>
      <c r="WVG67" s="414"/>
      <c r="WVH67" s="414"/>
      <c r="WVI67" s="414"/>
      <c r="WVJ67" s="414"/>
      <c r="WVK67" s="414"/>
      <c r="WVL67" s="414"/>
      <c r="WVM67" s="414"/>
      <c r="WVN67" s="414"/>
      <c r="WVO67" s="414"/>
      <c r="WVP67" s="414"/>
      <c r="WVQ67" s="414"/>
      <c r="WVR67" s="414"/>
      <c r="WVS67" s="414"/>
      <c r="WVT67" s="414"/>
      <c r="WVU67" s="414"/>
      <c r="WVV67" s="414"/>
      <c r="WVW67" s="414"/>
      <c r="WVX67" s="414"/>
      <c r="WVY67" s="414"/>
      <c r="WVZ67" s="414"/>
      <c r="WWA67" s="414"/>
      <c r="WWB67" s="414"/>
      <c r="WWC67" s="414"/>
      <c r="WWD67" s="414"/>
      <c r="WWE67" s="414"/>
      <c r="WWF67" s="414"/>
      <c r="WWG67" s="414"/>
      <c r="WWH67" s="414"/>
      <c r="WWI67" s="414"/>
      <c r="WWJ67" s="414"/>
      <c r="WWK67" s="414"/>
      <c r="WWL67" s="414"/>
      <c r="WWM67" s="414"/>
      <c r="WWN67" s="414"/>
      <c r="WWO67" s="414"/>
      <c r="WWP67" s="414"/>
      <c r="WWQ67" s="414"/>
      <c r="WWR67" s="414"/>
      <c r="WWS67" s="414"/>
      <c r="WWT67" s="414"/>
      <c r="WWU67" s="414"/>
      <c r="WWV67" s="414"/>
      <c r="WWW67" s="414"/>
      <c r="WWX67" s="414"/>
      <c r="WWY67" s="414"/>
      <c r="WWZ67" s="414"/>
      <c r="WXA67" s="414"/>
      <c r="WXB67" s="414"/>
      <c r="WXC67" s="414"/>
      <c r="WXD67" s="414"/>
      <c r="WXE67" s="414"/>
      <c r="WXF67" s="414"/>
      <c r="WXG67" s="414"/>
      <c r="WXH67" s="414"/>
      <c r="WXI67" s="414"/>
      <c r="WXJ67" s="414"/>
      <c r="WXK67" s="414"/>
      <c r="WXL67" s="414"/>
      <c r="WXM67" s="414"/>
      <c r="WXN67" s="414"/>
      <c r="WXO67" s="414"/>
      <c r="WXP67" s="414"/>
      <c r="WXQ67" s="414"/>
      <c r="WXR67" s="414"/>
      <c r="WXS67" s="414"/>
      <c r="WXT67" s="414"/>
      <c r="WXU67" s="414"/>
      <c r="WXV67" s="414"/>
      <c r="WXW67" s="414"/>
      <c r="WXX67" s="414"/>
      <c r="WXY67" s="414"/>
      <c r="WXZ67" s="414"/>
      <c r="WYA67" s="414"/>
      <c r="WYB67" s="414"/>
      <c r="WYC67" s="414"/>
      <c r="WYD67" s="414"/>
      <c r="WYE67" s="414"/>
      <c r="WYF67" s="414"/>
      <c r="WYG67" s="414"/>
      <c r="WYH67" s="414"/>
      <c r="WYI67" s="414"/>
      <c r="WYJ67" s="414"/>
      <c r="WYK67" s="414"/>
      <c r="WYL67" s="414"/>
      <c r="WYM67" s="414"/>
      <c r="WYN67" s="414"/>
      <c r="WYO67" s="414"/>
      <c r="WYP67" s="414"/>
      <c r="WYQ67" s="414"/>
      <c r="WYR67" s="414"/>
      <c r="WYS67" s="414"/>
      <c r="WYT67" s="414"/>
      <c r="WYU67" s="414"/>
      <c r="WYV67" s="414"/>
      <c r="WYW67" s="414"/>
      <c r="WYX67" s="414"/>
      <c r="WYY67" s="414"/>
      <c r="WYZ67" s="414"/>
      <c r="WZA67" s="414"/>
      <c r="WZB67" s="414"/>
      <c r="WZC67" s="414"/>
      <c r="WZD67" s="414"/>
      <c r="WZE67" s="414"/>
      <c r="WZF67" s="414"/>
      <c r="WZG67" s="414"/>
      <c r="WZH67" s="414"/>
      <c r="WZI67" s="414"/>
      <c r="WZJ67" s="414"/>
      <c r="WZK67" s="414"/>
      <c r="WZL67" s="414"/>
      <c r="WZM67" s="414"/>
      <c r="WZN67" s="414"/>
      <c r="WZO67" s="414"/>
      <c r="WZP67" s="414"/>
      <c r="WZQ67" s="414"/>
      <c r="WZR67" s="414"/>
      <c r="WZS67" s="414"/>
      <c r="WZT67" s="414"/>
      <c r="WZU67" s="414"/>
      <c r="WZV67" s="414"/>
      <c r="WZW67" s="414"/>
      <c r="WZX67" s="414"/>
      <c r="WZY67" s="414"/>
      <c r="WZZ67" s="414"/>
      <c r="XAA67" s="414"/>
      <c r="XAB67" s="414"/>
      <c r="XAC67" s="414"/>
      <c r="XAD67" s="414"/>
      <c r="XAE67" s="414"/>
      <c r="XAF67" s="414"/>
      <c r="XAG67" s="414"/>
      <c r="XAH67" s="414"/>
      <c r="XAI67" s="414"/>
      <c r="XAJ67" s="414"/>
      <c r="XAK67" s="414"/>
      <c r="XAL67" s="414"/>
      <c r="XAM67" s="414"/>
      <c r="XAN67" s="414"/>
      <c r="XAO67" s="414"/>
      <c r="XAP67" s="414"/>
      <c r="XAQ67" s="414"/>
      <c r="XAR67" s="414"/>
      <c r="XAS67" s="414"/>
      <c r="XAT67" s="414"/>
      <c r="XAU67" s="414"/>
      <c r="XAV67" s="414"/>
      <c r="XAW67" s="414"/>
      <c r="XAX67" s="414"/>
      <c r="XAY67" s="414"/>
      <c r="XAZ67" s="414"/>
      <c r="XBA67" s="414"/>
      <c r="XBB67" s="414"/>
      <c r="XBC67" s="414"/>
      <c r="XBD67" s="414"/>
      <c r="XBE67" s="414"/>
      <c r="XBF67" s="414"/>
      <c r="XBG67" s="414"/>
      <c r="XBH67" s="414"/>
      <c r="XBI67" s="414"/>
      <c r="XBJ67" s="414"/>
      <c r="XBK67" s="414"/>
      <c r="XBL67" s="414"/>
      <c r="XBM67" s="414"/>
      <c r="XBN67" s="414"/>
      <c r="XBO67" s="414"/>
      <c r="XBP67" s="414"/>
      <c r="XBQ67" s="414"/>
      <c r="XBR67" s="414"/>
      <c r="XBS67" s="414"/>
      <c r="XBT67" s="414"/>
      <c r="XBU67" s="414"/>
      <c r="XBV67" s="414"/>
      <c r="XBW67" s="414"/>
      <c r="XBX67" s="414"/>
      <c r="XBY67" s="414"/>
      <c r="XBZ67" s="414"/>
      <c r="XCA67" s="414"/>
      <c r="XCB67" s="414"/>
      <c r="XCC67" s="414"/>
      <c r="XCD67" s="414"/>
      <c r="XCE67" s="414"/>
      <c r="XCF67" s="414"/>
      <c r="XCG67" s="414"/>
      <c r="XCH67" s="414"/>
      <c r="XCI67" s="414"/>
      <c r="XCJ67" s="414"/>
      <c r="XCK67" s="414"/>
      <c r="XCL67" s="414"/>
      <c r="XCM67" s="414"/>
      <c r="XCN67" s="414"/>
      <c r="XCO67" s="414"/>
      <c r="XCP67" s="414"/>
      <c r="XCQ67" s="414"/>
      <c r="XCR67" s="414"/>
      <c r="XCS67" s="414"/>
      <c r="XCT67" s="414"/>
      <c r="XCU67" s="414"/>
      <c r="XCV67" s="414"/>
      <c r="XCW67" s="414"/>
      <c r="XCX67" s="414"/>
      <c r="XCY67" s="414"/>
      <c r="XCZ67" s="414"/>
      <c r="XDA67" s="414"/>
      <c r="XDB67" s="414"/>
      <c r="XDC67" s="414"/>
      <c r="XDD67" s="414"/>
      <c r="XDE67" s="414"/>
      <c r="XDF67" s="414"/>
      <c r="XDG67" s="414"/>
      <c r="XDH67" s="414"/>
      <c r="XDI67" s="414"/>
      <c r="XDJ67" s="414"/>
      <c r="XDK67" s="414"/>
      <c r="XDL67" s="414"/>
      <c r="XDM67" s="414"/>
      <c r="XDN67" s="414"/>
      <c r="XDO67" s="414"/>
      <c r="XDP67" s="414"/>
      <c r="XDQ67" s="414"/>
      <c r="XDR67" s="414"/>
      <c r="XDS67" s="414"/>
      <c r="XDT67" s="414"/>
      <c r="XDU67" s="414"/>
      <c r="XDV67" s="414"/>
      <c r="XDW67" s="414"/>
      <c r="XDX67" s="414"/>
      <c r="XDY67" s="414"/>
      <c r="XDZ67" s="414"/>
      <c r="XEA67" s="414"/>
      <c r="XEB67" s="414"/>
      <c r="XEC67" s="414"/>
      <c r="XED67" s="414"/>
      <c r="XEE67" s="414"/>
      <c r="XEF67" s="414"/>
      <c r="XEG67" s="414"/>
      <c r="XEH67" s="414"/>
      <c r="XEI67" s="414"/>
      <c r="XEJ67" s="414"/>
      <c r="XEK67" s="414"/>
      <c r="XEL67" s="414"/>
      <c r="XEM67" s="414"/>
      <c r="XEN67" s="414"/>
      <c r="XEO67" s="414"/>
      <c r="XEP67" s="414"/>
      <c r="XEQ67" s="414"/>
      <c r="XER67" s="414"/>
      <c r="XES67" s="414"/>
      <c r="XET67" s="414"/>
      <c r="XEU67" s="414"/>
      <c r="XEV67" s="414"/>
      <c r="XEW67" s="414"/>
      <c r="XEX67" s="414"/>
      <c r="XEY67" s="414"/>
      <c r="XEZ67" s="414"/>
      <c r="XFA67" s="414"/>
    </row>
    <row r="68" spans="1:16381" ht="22.5">
      <c r="A68" s="609" t="str">
        <f t="shared" si="0"/>
        <v>Degussa Pensionskasse Marl Troisdorf v. 01.07.2016</v>
      </c>
      <c r="B68" s="609">
        <f>ROW()</f>
        <v>68</v>
      </c>
      <c r="C68" s="635" t="s">
        <v>1002</v>
      </c>
      <c r="D68" s="1202">
        <v>42552</v>
      </c>
      <c r="E68" s="636" t="s">
        <v>1003</v>
      </c>
      <c r="F68" s="637" t="str">
        <f t="shared" si="5"/>
        <v/>
      </c>
      <c r="G68" s="634" t="str">
        <f t="shared" si="2"/>
        <v>TO ermöglicht:  Verzinsung zwischen EzE und RK geltend machen</v>
      </c>
      <c r="K68" s="1199"/>
      <c r="L68" s="1199"/>
      <c r="M68" s="1199"/>
      <c r="N68" s="1199">
        <v>4</v>
      </c>
      <c r="P68" s="144">
        <f t="shared" si="6"/>
        <v>4</v>
      </c>
    </row>
    <row r="69" spans="1:16381">
      <c r="A69" s="609" t="str">
        <f t="shared" si="0"/>
        <v>Degussa Pensionskasse Riester-Tarif v. 01.06.2016</v>
      </c>
      <c r="B69" s="609">
        <f>ROW()</f>
        <v>69</v>
      </c>
      <c r="C69" s="635" t="s">
        <v>1000</v>
      </c>
      <c r="D69" s="1202">
        <v>42522</v>
      </c>
      <c r="E69" s="636" t="s">
        <v>1001</v>
      </c>
      <c r="F69" s="637" t="str">
        <f t="shared" si="5"/>
        <v/>
      </c>
      <c r="G69" s="634" t="str">
        <f t="shared" si="2"/>
        <v>TO ermöglicht:  Verzinsung zwischen EzE und RK geltend machen</v>
      </c>
      <c r="J69" s="788"/>
      <c r="K69" s="1199"/>
      <c r="L69" s="1199"/>
      <c r="M69" s="1199"/>
      <c r="N69" s="1199">
        <v>4</v>
      </c>
      <c r="P69" s="144">
        <f t="shared" si="6"/>
        <v>4</v>
      </c>
    </row>
    <row r="70" spans="1:16381">
      <c r="A70" s="609" t="str">
        <f t="shared" si="0"/>
        <v>Degussa Pensionskasse v. 01.06.2016</v>
      </c>
      <c r="B70" s="609">
        <f>ROW()</f>
        <v>70</v>
      </c>
      <c r="C70" s="635" t="s">
        <v>998</v>
      </c>
      <c r="D70" s="1202">
        <v>42522</v>
      </c>
      <c r="E70" s="636" t="s">
        <v>999</v>
      </c>
      <c r="F70" s="637" t="str">
        <f t="shared" si="5"/>
        <v/>
      </c>
      <c r="G70" s="634" t="str">
        <f t="shared" si="2"/>
        <v>TO ermöglicht:  Verzinsung zwischen EzE und RK geltend machen</v>
      </c>
      <c r="H70" s="609"/>
      <c r="K70" s="1199"/>
      <c r="L70" s="1199"/>
      <c r="M70" s="1199"/>
      <c r="N70" s="1199">
        <v>4</v>
      </c>
      <c r="P70" s="144">
        <f t="shared" si="6"/>
        <v>4</v>
      </c>
      <c r="Q70" s="609"/>
      <c r="R70" s="609"/>
      <c r="S70" s="609"/>
      <c r="T70" s="609"/>
      <c r="U70" s="609"/>
      <c r="V70" s="609"/>
      <c r="W70" s="609"/>
      <c r="X70" s="609"/>
      <c r="Y70" s="609"/>
      <c r="Z70" s="609"/>
      <c r="AA70" s="609"/>
      <c r="AB70" s="609"/>
      <c r="AC70" s="609"/>
      <c r="AD70" s="609"/>
      <c r="AE70" s="609"/>
      <c r="AF70" s="609"/>
      <c r="AG70" s="609"/>
      <c r="AH70" s="609"/>
      <c r="AI70" s="609"/>
      <c r="AJ70" s="609"/>
      <c r="AK70" s="609"/>
      <c r="AL70" s="609"/>
      <c r="AM70" s="609"/>
      <c r="AN70" s="609"/>
      <c r="AO70" s="609"/>
      <c r="AP70" s="609"/>
      <c r="AQ70" s="609"/>
      <c r="AR70" s="609"/>
      <c r="AS70" s="609"/>
      <c r="AT70" s="609"/>
      <c r="AU70" s="609"/>
      <c r="AV70" s="609"/>
      <c r="AW70" s="609"/>
      <c r="AX70" s="609"/>
      <c r="AY70" s="609"/>
      <c r="AZ70" s="609"/>
      <c r="BA70" s="609"/>
      <c r="BB70" s="609"/>
      <c r="BC70" s="609"/>
      <c r="BD70" s="609"/>
      <c r="BE70" s="609"/>
      <c r="BF70" s="609"/>
      <c r="BG70" s="609"/>
      <c r="BH70" s="609"/>
      <c r="BI70" s="609"/>
      <c r="BJ70" s="609"/>
      <c r="BK70" s="609"/>
      <c r="BL70" s="609"/>
      <c r="BM70" s="609"/>
      <c r="BN70" s="609"/>
      <c r="BO70" s="609"/>
      <c r="BP70" s="609"/>
      <c r="BQ70" s="609"/>
      <c r="BR70" s="609"/>
      <c r="BS70" s="609"/>
      <c r="BT70" s="609"/>
      <c r="BU70" s="609"/>
      <c r="BV70" s="609"/>
      <c r="BW70" s="609"/>
      <c r="BX70" s="609"/>
      <c r="BY70" s="609"/>
      <c r="BZ70" s="609"/>
      <c r="CA70" s="609"/>
      <c r="CB70" s="609"/>
      <c r="CC70" s="609"/>
      <c r="CD70" s="609"/>
      <c r="CE70" s="609"/>
      <c r="CF70" s="609"/>
      <c r="CG70" s="609"/>
      <c r="CH70" s="609"/>
      <c r="CI70" s="609"/>
      <c r="CJ70" s="609"/>
      <c r="CK70" s="609"/>
      <c r="CL70" s="609"/>
      <c r="CM70" s="609"/>
      <c r="CN70" s="609"/>
      <c r="CO70" s="609"/>
      <c r="CP70" s="609"/>
      <c r="CQ70" s="609"/>
      <c r="CR70" s="609"/>
      <c r="CS70" s="609"/>
      <c r="CT70" s="609"/>
      <c r="CU70" s="609"/>
      <c r="CV70" s="609"/>
      <c r="CW70" s="609"/>
      <c r="CX70" s="609"/>
      <c r="CY70" s="609"/>
      <c r="CZ70" s="609"/>
      <c r="DA70" s="609"/>
      <c r="DB70" s="609"/>
      <c r="DC70" s="609"/>
      <c r="DD70" s="609"/>
      <c r="DE70" s="609"/>
      <c r="DF70" s="609"/>
      <c r="DG70" s="609"/>
      <c r="DH70" s="609"/>
      <c r="DI70" s="609"/>
      <c r="DJ70" s="609"/>
      <c r="DK70" s="609"/>
      <c r="DL70" s="609"/>
      <c r="DM70" s="609"/>
      <c r="DN70" s="609"/>
      <c r="DO70" s="609"/>
      <c r="DP70" s="609"/>
      <c r="DQ70" s="609"/>
      <c r="DR70" s="609"/>
      <c r="DS70" s="609"/>
      <c r="DT70" s="609"/>
      <c r="DU70" s="609"/>
      <c r="DV70" s="609"/>
      <c r="DW70" s="609"/>
      <c r="DX70" s="609"/>
      <c r="DY70" s="609"/>
      <c r="DZ70" s="609"/>
      <c r="EA70" s="609"/>
      <c r="EB70" s="609"/>
      <c r="EC70" s="609"/>
      <c r="ED70" s="609"/>
      <c r="EE70" s="609"/>
      <c r="EF70" s="609"/>
      <c r="EG70" s="609"/>
      <c r="EH70" s="609"/>
      <c r="EI70" s="609"/>
      <c r="EJ70" s="609"/>
      <c r="EK70" s="609"/>
      <c r="EL70" s="609"/>
      <c r="EM70" s="609"/>
      <c r="EN70" s="609"/>
      <c r="EO70" s="609"/>
      <c r="EP70" s="609"/>
      <c r="EQ70" s="609"/>
      <c r="ER70" s="609"/>
      <c r="ES70" s="609"/>
      <c r="ET70" s="609"/>
      <c r="EU70" s="609"/>
      <c r="EV70" s="609"/>
      <c r="EW70" s="609"/>
      <c r="EX70" s="609"/>
      <c r="EY70" s="609"/>
      <c r="EZ70" s="609"/>
      <c r="FA70" s="609"/>
      <c r="FB70" s="609"/>
      <c r="FC70" s="609"/>
      <c r="FD70" s="609"/>
      <c r="FE70" s="609"/>
      <c r="FF70" s="609"/>
      <c r="FG70" s="609"/>
      <c r="FH70" s="609"/>
      <c r="FI70" s="609"/>
      <c r="FJ70" s="609"/>
      <c r="FK70" s="609"/>
      <c r="FL70" s="609"/>
      <c r="FM70" s="609"/>
      <c r="FN70" s="609"/>
      <c r="FO70" s="609"/>
      <c r="FP70" s="609"/>
      <c r="FQ70" s="609"/>
      <c r="FR70" s="609"/>
      <c r="FS70" s="609"/>
      <c r="FT70" s="609"/>
      <c r="FU70" s="609"/>
      <c r="FV70" s="609"/>
      <c r="FW70" s="609"/>
      <c r="FX70" s="609"/>
      <c r="FY70" s="609"/>
      <c r="FZ70" s="609"/>
      <c r="GA70" s="609"/>
      <c r="GB70" s="609"/>
      <c r="GC70" s="609"/>
      <c r="GD70" s="609"/>
      <c r="GE70" s="609"/>
      <c r="GF70" s="609"/>
      <c r="GG70" s="609"/>
      <c r="GH70" s="609"/>
      <c r="GI70" s="609"/>
      <c r="GJ70" s="609"/>
      <c r="GK70" s="609"/>
      <c r="GL70" s="609"/>
      <c r="GM70" s="609"/>
      <c r="GN70" s="609"/>
      <c r="GO70" s="609"/>
      <c r="GP70" s="609"/>
      <c r="GQ70" s="609"/>
      <c r="GR70" s="609"/>
      <c r="GS70" s="609"/>
      <c r="GT70" s="609"/>
      <c r="GU70" s="609"/>
      <c r="GV70" s="609"/>
      <c r="GW70" s="609"/>
      <c r="GX70" s="609"/>
      <c r="GY70" s="609"/>
      <c r="GZ70" s="609"/>
      <c r="HA70" s="609"/>
      <c r="HB70" s="609"/>
      <c r="HC70" s="609"/>
      <c r="HD70" s="609"/>
      <c r="HE70" s="609"/>
      <c r="HF70" s="609"/>
      <c r="HG70" s="609"/>
      <c r="HH70" s="609"/>
      <c r="HI70" s="609"/>
      <c r="HJ70" s="609"/>
      <c r="HK70" s="609"/>
      <c r="HL70" s="609"/>
      <c r="HM70" s="609"/>
      <c r="HN70" s="609"/>
      <c r="HO70" s="609"/>
      <c r="HP70" s="609"/>
      <c r="HQ70" s="609"/>
      <c r="HR70" s="609"/>
      <c r="HS70" s="609"/>
      <c r="HT70" s="609"/>
      <c r="HU70" s="609"/>
      <c r="HV70" s="609"/>
      <c r="HW70" s="609"/>
      <c r="HX70" s="609"/>
      <c r="HY70" s="609"/>
      <c r="HZ70" s="609"/>
      <c r="IA70" s="609"/>
      <c r="IB70" s="609"/>
      <c r="IC70" s="609"/>
      <c r="ID70" s="609"/>
      <c r="IE70" s="609"/>
      <c r="IF70" s="609"/>
      <c r="IG70" s="609"/>
      <c r="IH70" s="609"/>
      <c r="II70" s="609"/>
      <c r="IJ70" s="609"/>
      <c r="IK70" s="609"/>
      <c r="IL70" s="609"/>
      <c r="IM70" s="609"/>
      <c r="IN70" s="609"/>
      <c r="IO70" s="609"/>
      <c r="IP70" s="609"/>
      <c r="IQ70" s="609"/>
      <c r="IR70" s="609"/>
      <c r="IS70" s="609"/>
      <c r="IT70" s="609"/>
      <c r="IU70" s="609"/>
      <c r="IV70" s="609"/>
      <c r="IW70" s="609"/>
      <c r="IX70" s="609"/>
      <c r="IY70" s="609"/>
      <c r="IZ70" s="609"/>
      <c r="JA70" s="609"/>
      <c r="JB70" s="609"/>
      <c r="JC70" s="609"/>
      <c r="JD70" s="609"/>
      <c r="JE70" s="609"/>
      <c r="JF70" s="609"/>
      <c r="JG70" s="609"/>
      <c r="JH70" s="609"/>
      <c r="JI70" s="609"/>
      <c r="JJ70" s="609"/>
      <c r="JK70" s="609"/>
      <c r="JL70" s="609"/>
      <c r="JM70" s="609"/>
      <c r="JN70" s="609"/>
      <c r="JO70" s="609"/>
      <c r="JP70" s="609"/>
      <c r="JQ70" s="609"/>
      <c r="JR70" s="609"/>
      <c r="JS70" s="609"/>
      <c r="JT70" s="609"/>
      <c r="JU70" s="609"/>
      <c r="JV70" s="609"/>
      <c r="JW70" s="609"/>
      <c r="JX70" s="609"/>
      <c r="JY70" s="609"/>
      <c r="JZ70" s="609"/>
      <c r="KA70" s="609"/>
      <c r="KB70" s="609"/>
      <c r="KC70" s="609"/>
      <c r="KD70" s="609"/>
      <c r="KE70" s="609"/>
      <c r="KF70" s="609"/>
      <c r="KG70" s="609"/>
      <c r="KH70" s="609"/>
      <c r="KI70" s="609"/>
      <c r="KJ70" s="609"/>
      <c r="KK70" s="609"/>
      <c r="KL70" s="609"/>
      <c r="KM70" s="609"/>
      <c r="KN70" s="609"/>
      <c r="KO70" s="609"/>
      <c r="KP70" s="609"/>
      <c r="KQ70" s="609"/>
      <c r="KR70" s="609"/>
      <c r="KS70" s="609"/>
      <c r="KT70" s="609"/>
      <c r="KU70" s="609"/>
      <c r="KV70" s="609"/>
      <c r="KW70" s="609"/>
      <c r="KX70" s="609"/>
      <c r="KY70" s="609"/>
      <c r="KZ70" s="609"/>
      <c r="LA70" s="609"/>
      <c r="LB70" s="609"/>
      <c r="LC70" s="609"/>
      <c r="LD70" s="609"/>
      <c r="LE70" s="609"/>
      <c r="LF70" s="609"/>
      <c r="LG70" s="609"/>
      <c r="LH70" s="609"/>
      <c r="LI70" s="609"/>
      <c r="LJ70" s="609"/>
      <c r="LK70" s="609"/>
      <c r="LL70" s="609"/>
      <c r="LM70" s="609"/>
      <c r="LN70" s="609"/>
      <c r="LO70" s="609"/>
      <c r="LP70" s="609"/>
      <c r="LQ70" s="609"/>
      <c r="LR70" s="609"/>
      <c r="LS70" s="609"/>
      <c r="LT70" s="609"/>
      <c r="LU70" s="609"/>
      <c r="LV70" s="609"/>
      <c r="LW70" s="609"/>
      <c r="LX70" s="609"/>
      <c r="LY70" s="609"/>
      <c r="LZ70" s="609"/>
      <c r="MA70" s="609"/>
      <c r="MB70" s="609"/>
      <c r="MC70" s="609"/>
      <c r="MD70" s="609"/>
      <c r="ME70" s="609"/>
      <c r="MF70" s="609"/>
      <c r="MG70" s="609"/>
      <c r="MH70" s="609"/>
      <c r="MI70" s="609"/>
      <c r="MJ70" s="609"/>
      <c r="MK70" s="609"/>
      <c r="ML70" s="609"/>
      <c r="MM70" s="609"/>
      <c r="MN70" s="609"/>
      <c r="MO70" s="609"/>
      <c r="MP70" s="609"/>
      <c r="MQ70" s="609"/>
      <c r="MR70" s="609"/>
      <c r="MS70" s="609"/>
      <c r="MT70" s="609"/>
      <c r="MU70" s="609"/>
      <c r="MV70" s="609"/>
      <c r="MW70" s="609"/>
      <c r="MX70" s="609"/>
      <c r="MY70" s="609"/>
      <c r="MZ70" s="609"/>
      <c r="NA70" s="609"/>
      <c r="NB70" s="609"/>
      <c r="NC70" s="609"/>
      <c r="ND70" s="609"/>
      <c r="NE70" s="609"/>
      <c r="NF70" s="609"/>
      <c r="NG70" s="609"/>
      <c r="NH70" s="609"/>
      <c r="NI70" s="609"/>
      <c r="NJ70" s="609"/>
      <c r="NK70" s="609"/>
      <c r="NL70" s="609"/>
      <c r="NM70" s="609"/>
      <c r="NN70" s="609"/>
      <c r="NO70" s="609"/>
      <c r="NP70" s="609"/>
      <c r="NQ70" s="609"/>
      <c r="NR70" s="609"/>
      <c r="NS70" s="609"/>
      <c r="NT70" s="609"/>
      <c r="NU70" s="609"/>
      <c r="NV70" s="609"/>
      <c r="NW70" s="609"/>
      <c r="NX70" s="609"/>
      <c r="NY70" s="609"/>
      <c r="NZ70" s="609"/>
      <c r="OA70" s="609"/>
      <c r="OB70" s="609"/>
      <c r="OC70" s="609"/>
      <c r="OD70" s="609"/>
      <c r="OE70" s="609"/>
      <c r="OF70" s="609"/>
      <c r="OG70" s="609"/>
      <c r="OH70" s="609"/>
      <c r="OI70" s="609"/>
      <c r="OJ70" s="609"/>
      <c r="OK70" s="609"/>
      <c r="OL70" s="609"/>
      <c r="OM70" s="609"/>
      <c r="ON70" s="609"/>
      <c r="OO70" s="609"/>
      <c r="OP70" s="609"/>
      <c r="OQ70" s="609"/>
      <c r="OR70" s="609"/>
      <c r="OS70" s="609"/>
      <c r="OT70" s="609"/>
      <c r="OU70" s="609"/>
      <c r="OV70" s="609"/>
      <c r="OW70" s="609"/>
      <c r="OX70" s="609"/>
      <c r="OY70" s="609"/>
      <c r="OZ70" s="609"/>
      <c r="PA70" s="609"/>
      <c r="PB70" s="609"/>
      <c r="PC70" s="609"/>
      <c r="PD70" s="609"/>
      <c r="PE70" s="609"/>
      <c r="PF70" s="609"/>
      <c r="PG70" s="609"/>
      <c r="PH70" s="609"/>
      <c r="PI70" s="609"/>
      <c r="PJ70" s="609"/>
      <c r="PK70" s="609"/>
      <c r="PL70" s="609"/>
      <c r="PM70" s="609"/>
      <c r="PN70" s="609"/>
      <c r="PO70" s="609"/>
      <c r="PP70" s="609"/>
      <c r="PQ70" s="609"/>
      <c r="PR70" s="609"/>
      <c r="PS70" s="609"/>
      <c r="PT70" s="609"/>
      <c r="PU70" s="609"/>
      <c r="PV70" s="609"/>
      <c r="PW70" s="609"/>
      <c r="PX70" s="609"/>
      <c r="PY70" s="609"/>
      <c r="PZ70" s="609"/>
      <c r="QA70" s="609"/>
      <c r="QB70" s="609"/>
      <c r="QC70" s="609"/>
      <c r="QD70" s="609"/>
      <c r="QE70" s="609"/>
      <c r="QF70" s="609"/>
      <c r="QG70" s="609"/>
      <c r="QH70" s="609"/>
      <c r="QI70" s="609"/>
      <c r="QJ70" s="609"/>
      <c r="QK70" s="609"/>
      <c r="QL70" s="609"/>
      <c r="QM70" s="609"/>
      <c r="QN70" s="609"/>
      <c r="QO70" s="609"/>
      <c r="QP70" s="609"/>
      <c r="QQ70" s="609"/>
      <c r="QR70" s="609"/>
      <c r="QS70" s="609"/>
      <c r="QT70" s="609"/>
      <c r="QU70" s="609"/>
      <c r="QV70" s="609"/>
      <c r="QW70" s="609"/>
      <c r="QX70" s="609"/>
      <c r="QY70" s="609"/>
      <c r="QZ70" s="609"/>
      <c r="RA70" s="609"/>
      <c r="RB70" s="609"/>
      <c r="RC70" s="609"/>
      <c r="RD70" s="609"/>
      <c r="RE70" s="609"/>
      <c r="RF70" s="609"/>
      <c r="RG70" s="609"/>
      <c r="RH70" s="609"/>
      <c r="RI70" s="609"/>
      <c r="RJ70" s="609"/>
      <c r="RK70" s="609"/>
      <c r="RL70" s="609"/>
      <c r="RM70" s="609"/>
      <c r="RN70" s="609"/>
      <c r="RO70" s="609"/>
      <c r="RP70" s="609"/>
      <c r="RQ70" s="609"/>
      <c r="RR70" s="609"/>
      <c r="RS70" s="609"/>
      <c r="RT70" s="609"/>
      <c r="RU70" s="609"/>
      <c r="RV70" s="609"/>
      <c r="RW70" s="609"/>
      <c r="RX70" s="609"/>
      <c r="RY70" s="609"/>
      <c r="RZ70" s="609"/>
      <c r="SA70" s="609"/>
      <c r="SB70" s="609"/>
      <c r="SC70" s="609"/>
      <c r="SD70" s="609"/>
      <c r="SE70" s="609"/>
      <c r="SF70" s="609"/>
      <c r="SG70" s="609"/>
      <c r="SH70" s="609"/>
      <c r="SI70" s="609"/>
      <c r="SJ70" s="609"/>
      <c r="SK70" s="609"/>
      <c r="SL70" s="609"/>
      <c r="SM70" s="609"/>
      <c r="SN70" s="609"/>
      <c r="SO70" s="609"/>
      <c r="SP70" s="609"/>
      <c r="SQ70" s="609"/>
      <c r="SR70" s="609"/>
      <c r="SS70" s="609"/>
      <c r="ST70" s="609"/>
      <c r="SU70" s="609"/>
      <c r="SV70" s="609"/>
      <c r="SW70" s="609"/>
      <c r="SX70" s="609"/>
      <c r="SY70" s="609"/>
      <c r="SZ70" s="609"/>
      <c r="TA70" s="609"/>
      <c r="TB70" s="609"/>
      <c r="TC70" s="609"/>
      <c r="TD70" s="609"/>
      <c r="TE70" s="609"/>
      <c r="TF70" s="609"/>
      <c r="TG70" s="609"/>
      <c r="TH70" s="609"/>
      <c r="TI70" s="609"/>
      <c r="TJ70" s="609"/>
      <c r="TK70" s="609"/>
      <c r="TL70" s="609"/>
      <c r="TM70" s="609"/>
      <c r="TN70" s="609"/>
      <c r="TO70" s="609"/>
      <c r="TP70" s="609"/>
      <c r="TQ70" s="609"/>
      <c r="TR70" s="609"/>
      <c r="TS70" s="609"/>
      <c r="TT70" s="609"/>
      <c r="TU70" s="609"/>
      <c r="TV70" s="609"/>
      <c r="TW70" s="609"/>
      <c r="TX70" s="609"/>
      <c r="TY70" s="609"/>
      <c r="TZ70" s="609"/>
      <c r="UA70" s="609"/>
      <c r="UB70" s="609"/>
      <c r="UC70" s="609"/>
      <c r="UD70" s="609"/>
      <c r="UE70" s="609"/>
      <c r="UF70" s="609"/>
      <c r="UG70" s="609"/>
      <c r="UH70" s="609"/>
      <c r="UI70" s="609"/>
      <c r="UJ70" s="609"/>
      <c r="UK70" s="609"/>
      <c r="UL70" s="609"/>
      <c r="UM70" s="609"/>
      <c r="UN70" s="609"/>
      <c r="UO70" s="609"/>
      <c r="UP70" s="609"/>
      <c r="UQ70" s="609"/>
      <c r="UR70" s="609"/>
      <c r="US70" s="609"/>
      <c r="UT70" s="609"/>
      <c r="UU70" s="609"/>
      <c r="UV70" s="609"/>
      <c r="UW70" s="609"/>
      <c r="UX70" s="609"/>
      <c r="UY70" s="609"/>
      <c r="UZ70" s="609"/>
      <c r="VA70" s="609"/>
      <c r="VB70" s="609"/>
      <c r="VC70" s="609"/>
      <c r="VD70" s="609"/>
      <c r="VE70" s="609"/>
      <c r="VF70" s="609"/>
      <c r="VG70" s="609"/>
      <c r="VH70" s="609"/>
      <c r="VI70" s="609"/>
      <c r="VJ70" s="609"/>
      <c r="VK70" s="609"/>
      <c r="VL70" s="609"/>
      <c r="VM70" s="609"/>
      <c r="VN70" s="609"/>
      <c r="VO70" s="609"/>
      <c r="VP70" s="609"/>
      <c r="VQ70" s="609"/>
      <c r="VR70" s="609"/>
      <c r="VS70" s="609"/>
      <c r="VT70" s="609"/>
      <c r="VU70" s="609"/>
      <c r="VV70" s="609"/>
      <c r="VW70" s="609"/>
      <c r="VX70" s="609"/>
      <c r="VY70" s="609"/>
      <c r="VZ70" s="609"/>
      <c r="WA70" s="609"/>
      <c r="WB70" s="609"/>
      <c r="WC70" s="609"/>
      <c r="WD70" s="609"/>
      <c r="WE70" s="609"/>
      <c r="WF70" s="609"/>
      <c r="WG70" s="609"/>
      <c r="WH70" s="609"/>
      <c r="WI70" s="609"/>
      <c r="WJ70" s="609"/>
      <c r="WK70" s="609"/>
      <c r="WL70" s="609"/>
      <c r="WM70" s="609"/>
      <c r="WN70" s="609"/>
      <c r="WO70" s="609"/>
      <c r="WP70" s="609"/>
      <c r="WQ70" s="609"/>
      <c r="WR70" s="609"/>
      <c r="WS70" s="609"/>
      <c r="WT70" s="609"/>
      <c r="WU70" s="609"/>
      <c r="WV70" s="609"/>
      <c r="WW70" s="609"/>
      <c r="WX70" s="609"/>
      <c r="WY70" s="609"/>
      <c r="WZ70" s="609"/>
      <c r="XA70" s="609"/>
      <c r="XB70" s="609"/>
      <c r="XC70" s="609"/>
      <c r="XD70" s="609"/>
      <c r="XE70" s="609"/>
      <c r="XF70" s="609"/>
      <c r="XG70" s="609"/>
      <c r="XH70" s="609"/>
      <c r="XI70" s="609"/>
      <c r="XJ70" s="609"/>
      <c r="XK70" s="609"/>
      <c r="XL70" s="609"/>
      <c r="XM70" s="609"/>
      <c r="XN70" s="609"/>
      <c r="XO70" s="609"/>
      <c r="XP70" s="609"/>
      <c r="XQ70" s="609"/>
      <c r="XR70" s="609"/>
      <c r="XS70" s="609"/>
      <c r="XT70" s="609"/>
      <c r="XU70" s="609"/>
      <c r="XV70" s="609"/>
      <c r="XW70" s="609"/>
      <c r="XX70" s="609"/>
      <c r="XY70" s="609"/>
      <c r="XZ70" s="609"/>
      <c r="YA70" s="609"/>
      <c r="YB70" s="609"/>
      <c r="YC70" s="609"/>
      <c r="YD70" s="609"/>
      <c r="YE70" s="609"/>
      <c r="YF70" s="609"/>
      <c r="YG70" s="609"/>
      <c r="YH70" s="609"/>
      <c r="YI70" s="609"/>
      <c r="YJ70" s="609"/>
      <c r="YK70" s="609"/>
      <c r="YL70" s="609"/>
      <c r="YM70" s="609"/>
      <c r="YN70" s="609"/>
      <c r="YO70" s="609"/>
      <c r="YP70" s="609"/>
      <c r="YQ70" s="609"/>
      <c r="YR70" s="609"/>
      <c r="YS70" s="609"/>
      <c r="YT70" s="609"/>
      <c r="YU70" s="609"/>
      <c r="YV70" s="609"/>
      <c r="YW70" s="609"/>
      <c r="YX70" s="609"/>
      <c r="YY70" s="609"/>
      <c r="YZ70" s="609"/>
      <c r="ZA70" s="609"/>
      <c r="ZB70" s="609"/>
      <c r="ZC70" s="609"/>
      <c r="ZD70" s="609"/>
      <c r="ZE70" s="609"/>
      <c r="ZF70" s="609"/>
      <c r="ZG70" s="609"/>
      <c r="ZH70" s="609"/>
      <c r="ZI70" s="609"/>
      <c r="ZJ70" s="609"/>
      <c r="ZK70" s="609"/>
      <c r="ZL70" s="609"/>
      <c r="ZM70" s="609"/>
      <c r="ZN70" s="609"/>
      <c r="ZO70" s="609"/>
      <c r="ZP70" s="609"/>
      <c r="ZQ70" s="609"/>
      <c r="ZR70" s="609"/>
      <c r="ZS70" s="609"/>
      <c r="ZT70" s="609"/>
      <c r="ZU70" s="609"/>
      <c r="ZV70" s="609"/>
      <c r="ZW70" s="609"/>
      <c r="ZX70" s="609"/>
      <c r="ZY70" s="609"/>
      <c r="ZZ70" s="609"/>
      <c r="AAA70" s="609"/>
      <c r="AAB70" s="609"/>
      <c r="AAC70" s="609"/>
      <c r="AAD70" s="609"/>
      <c r="AAE70" s="609"/>
      <c r="AAF70" s="609"/>
      <c r="AAG70" s="609"/>
      <c r="AAH70" s="609"/>
      <c r="AAI70" s="609"/>
      <c r="AAJ70" s="609"/>
      <c r="AAK70" s="609"/>
      <c r="AAL70" s="609"/>
      <c r="AAM70" s="609"/>
      <c r="AAN70" s="609"/>
      <c r="AAO70" s="609"/>
      <c r="AAP70" s="609"/>
      <c r="AAQ70" s="609"/>
      <c r="AAR70" s="609"/>
      <c r="AAS70" s="609"/>
      <c r="AAT70" s="609"/>
      <c r="AAU70" s="609"/>
      <c r="AAV70" s="609"/>
      <c r="AAW70" s="609"/>
      <c r="AAX70" s="609"/>
      <c r="AAY70" s="609"/>
      <c r="AAZ70" s="609"/>
      <c r="ABA70" s="609"/>
      <c r="ABB70" s="609"/>
      <c r="ABC70" s="609"/>
      <c r="ABD70" s="609"/>
      <c r="ABE70" s="609"/>
      <c r="ABF70" s="609"/>
      <c r="ABG70" s="609"/>
      <c r="ABH70" s="609"/>
      <c r="ABI70" s="609"/>
      <c r="ABJ70" s="609"/>
      <c r="ABK70" s="609"/>
      <c r="ABL70" s="609"/>
      <c r="ABM70" s="609"/>
      <c r="ABN70" s="609"/>
      <c r="ABO70" s="609"/>
      <c r="ABP70" s="609"/>
      <c r="ABQ70" s="609"/>
      <c r="ABR70" s="609"/>
      <c r="ABS70" s="609"/>
      <c r="ABT70" s="609"/>
      <c r="ABU70" s="609"/>
      <c r="ABV70" s="609"/>
      <c r="ABW70" s="609"/>
      <c r="ABX70" s="609"/>
      <c r="ABY70" s="609"/>
      <c r="ABZ70" s="609"/>
      <c r="ACA70" s="609"/>
      <c r="ACB70" s="609"/>
      <c r="ACC70" s="609"/>
      <c r="ACD70" s="609"/>
      <c r="ACE70" s="609"/>
      <c r="ACF70" s="609"/>
      <c r="ACG70" s="609"/>
      <c r="ACH70" s="609"/>
      <c r="ACI70" s="609"/>
      <c r="ACJ70" s="609"/>
      <c r="ACK70" s="609"/>
      <c r="ACL70" s="609"/>
      <c r="ACM70" s="609"/>
      <c r="ACN70" s="609"/>
      <c r="ACO70" s="609"/>
      <c r="ACP70" s="609"/>
      <c r="ACQ70" s="609"/>
      <c r="ACR70" s="609"/>
      <c r="ACS70" s="609"/>
      <c r="ACT70" s="609"/>
      <c r="ACU70" s="609"/>
      <c r="ACV70" s="609"/>
      <c r="ACW70" s="609"/>
      <c r="ACX70" s="609"/>
      <c r="ACY70" s="609"/>
      <c r="ACZ70" s="609"/>
      <c r="ADA70" s="609"/>
      <c r="ADB70" s="609"/>
      <c r="ADC70" s="609"/>
      <c r="ADD70" s="609"/>
      <c r="ADE70" s="609"/>
      <c r="ADF70" s="609"/>
      <c r="ADG70" s="609"/>
      <c r="ADH70" s="609"/>
      <c r="ADI70" s="609"/>
      <c r="ADJ70" s="609"/>
      <c r="ADK70" s="609"/>
      <c r="ADL70" s="609"/>
      <c r="ADM70" s="609"/>
      <c r="ADN70" s="609"/>
      <c r="ADO70" s="609"/>
      <c r="ADP70" s="609"/>
      <c r="ADQ70" s="609"/>
      <c r="ADR70" s="609"/>
      <c r="ADS70" s="609"/>
      <c r="ADT70" s="609"/>
      <c r="ADU70" s="609"/>
      <c r="ADV70" s="609"/>
      <c r="ADW70" s="609"/>
      <c r="ADX70" s="609"/>
      <c r="ADY70" s="609"/>
      <c r="ADZ70" s="609"/>
      <c r="AEA70" s="609"/>
      <c r="AEB70" s="609"/>
      <c r="AEC70" s="609"/>
      <c r="AED70" s="609"/>
      <c r="AEE70" s="609"/>
      <c r="AEF70" s="609"/>
      <c r="AEG70" s="609"/>
      <c r="AEH70" s="609"/>
      <c r="AEI70" s="609"/>
      <c r="AEJ70" s="609"/>
      <c r="AEK70" s="609"/>
      <c r="AEL70" s="609"/>
      <c r="AEM70" s="609"/>
      <c r="AEN70" s="609"/>
      <c r="AEO70" s="609"/>
      <c r="AEP70" s="609"/>
      <c r="AEQ70" s="609"/>
      <c r="AER70" s="609"/>
      <c r="AES70" s="609"/>
      <c r="AET70" s="609"/>
      <c r="AEU70" s="609"/>
      <c r="AEV70" s="609"/>
      <c r="AEW70" s="609"/>
      <c r="AEX70" s="609"/>
      <c r="AEY70" s="609"/>
      <c r="AEZ70" s="609"/>
      <c r="AFA70" s="609"/>
      <c r="AFB70" s="609"/>
      <c r="AFC70" s="609"/>
      <c r="AFD70" s="609"/>
      <c r="AFE70" s="609"/>
      <c r="AFF70" s="609"/>
      <c r="AFG70" s="609"/>
      <c r="AFH70" s="609"/>
      <c r="AFI70" s="609"/>
      <c r="AFJ70" s="609"/>
      <c r="AFK70" s="609"/>
      <c r="AFL70" s="609"/>
      <c r="AFM70" s="609"/>
      <c r="AFN70" s="609"/>
      <c r="AFO70" s="609"/>
      <c r="AFP70" s="609"/>
      <c r="AFQ70" s="609"/>
      <c r="AFR70" s="609"/>
      <c r="AFS70" s="609"/>
      <c r="AFT70" s="609"/>
      <c r="AFU70" s="609"/>
      <c r="AFV70" s="609"/>
      <c r="AFW70" s="609"/>
      <c r="AFX70" s="609"/>
      <c r="AFY70" s="609"/>
      <c r="AFZ70" s="609"/>
      <c r="AGA70" s="609"/>
      <c r="AGB70" s="609"/>
      <c r="AGC70" s="609"/>
      <c r="AGD70" s="609"/>
      <c r="AGE70" s="609"/>
      <c r="AGF70" s="609"/>
      <c r="AGG70" s="609"/>
      <c r="AGH70" s="609"/>
      <c r="AGI70" s="609"/>
      <c r="AGJ70" s="609"/>
      <c r="AGK70" s="609"/>
      <c r="AGL70" s="609"/>
      <c r="AGM70" s="609"/>
      <c r="AGN70" s="609"/>
      <c r="AGO70" s="609"/>
      <c r="AGP70" s="609"/>
      <c r="AGQ70" s="609"/>
      <c r="AGR70" s="609"/>
      <c r="AGS70" s="609"/>
      <c r="AGT70" s="609"/>
      <c r="AGU70" s="609"/>
      <c r="AGV70" s="609"/>
      <c r="AGW70" s="609"/>
      <c r="AGX70" s="609"/>
      <c r="AGY70" s="609"/>
      <c r="AGZ70" s="609"/>
      <c r="AHA70" s="609"/>
      <c r="AHB70" s="609"/>
      <c r="AHC70" s="609"/>
      <c r="AHD70" s="609"/>
      <c r="AHE70" s="609"/>
      <c r="AHF70" s="609"/>
      <c r="AHG70" s="609"/>
      <c r="AHH70" s="609"/>
      <c r="AHI70" s="609"/>
      <c r="AHJ70" s="609"/>
      <c r="AHK70" s="609"/>
      <c r="AHL70" s="609"/>
      <c r="AHM70" s="609"/>
      <c r="AHN70" s="609"/>
      <c r="AHO70" s="609"/>
      <c r="AHP70" s="609"/>
      <c r="AHQ70" s="609"/>
      <c r="AHR70" s="609"/>
      <c r="AHS70" s="609"/>
      <c r="AHT70" s="609"/>
      <c r="AHU70" s="609"/>
      <c r="AHV70" s="609"/>
      <c r="AHW70" s="609"/>
      <c r="AHX70" s="609"/>
      <c r="AHY70" s="609"/>
      <c r="AHZ70" s="609"/>
      <c r="AIA70" s="609"/>
      <c r="AIB70" s="609"/>
      <c r="AIC70" s="609"/>
      <c r="AID70" s="609"/>
      <c r="AIE70" s="609"/>
      <c r="AIF70" s="609"/>
      <c r="AIG70" s="609"/>
      <c r="AIH70" s="609"/>
      <c r="AII70" s="609"/>
      <c r="AIJ70" s="609"/>
      <c r="AIK70" s="609"/>
      <c r="AIL70" s="609"/>
      <c r="AIM70" s="609"/>
      <c r="AIN70" s="609"/>
      <c r="AIO70" s="609"/>
      <c r="AIP70" s="609"/>
      <c r="AIQ70" s="609"/>
      <c r="AIR70" s="609"/>
      <c r="AIS70" s="609"/>
      <c r="AIT70" s="609"/>
      <c r="AIU70" s="609"/>
      <c r="AIV70" s="609"/>
      <c r="AIW70" s="609"/>
      <c r="AIX70" s="609"/>
      <c r="AIY70" s="609"/>
      <c r="AIZ70" s="609"/>
      <c r="AJA70" s="609"/>
      <c r="AJB70" s="609"/>
      <c r="AJC70" s="609"/>
      <c r="AJD70" s="609"/>
      <c r="AJE70" s="609"/>
      <c r="AJF70" s="609"/>
      <c r="AJG70" s="609"/>
      <c r="AJH70" s="609"/>
      <c r="AJI70" s="609"/>
      <c r="AJJ70" s="609"/>
      <c r="AJK70" s="609"/>
      <c r="AJL70" s="609"/>
      <c r="AJM70" s="609"/>
      <c r="AJN70" s="609"/>
      <c r="AJO70" s="609"/>
      <c r="AJP70" s="609"/>
      <c r="AJQ70" s="609"/>
      <c r="AJR70" s="609"/>
      <c r="AJS70" s="609"/>
      <c r="AJT70" s="609"/>
      <c r="AJU70" s="609"/>
      <c r="AJV70" s="609"/>
      <c r="AJW70" s="609"/>
      <c r="AJX70" s="609"/>
      <c r="AJY70" s="609"/>
      <c r="AJZ70" s="609"/>
      <c r="AKA70" s="609"/>
      <c r="AKB70" s="609"/>
      <c r="AKC70" s="609"/>
      <c r="AKD70" s="609"/>
      <c r="AKE70" s="609"/>
      <c r="AKF70" s="609"/>
      <c r="AKG70" s="609"/>
      <c r="AKH70" s="609"/>
      <c r="AKI70" s="609"/>
      <c r="AKJ70" s="609"/>
      <c r="AKK70" s="609"/>
      <c r="AKL70" s="609"/>
      <c r="AKM70" s="609"/>
      <c r="AKN70" s="609"/>
      <c r="AKO70" s="609"/>
      <c r="AKP70" s="609"/>
      <c r="AKQ70" s="609"/>
      <c r="AKR70" s="609"/>
      <c r="AKS70" s="609"/>
      <c r="AKT70" s="609"/>
      <c r="AKU70" s="609"/>
      <c r="AKV70" s="609"/>
      <c r="AKW70" s="609"/>
      <c r="AKX70" s="609"/>
      <c r="AKY70" s="609"/>
      <c r="AKZ70" s="609"/>
      <c r="ALA70" s="609"/>
      <c r="ALB70" s="609"/>
      <c r="ALC70" s="609"/>
      <c r="ALD70" s="609"/>
      <c r="ALE70" s="609"/>
      <c r="ALF70" s="609"/>
      <c r="ALG70" s="609"/>
      <c r="ALH70" s="609"/>
      <c r="ALI70" s="609"/>
      <c r="ALJ70" s="609"/>
      <c r="ALK70" s="609"/>
      <c r="ALL70" s="609"/>
      <c r="ALM70" s="609"/>
      <c r="ALN70" s="609"/>
      <c r="ALO70" s="609"/>
      <c r="ALP70" s="609"/>
      <c r="ALQ70" s="609"/>
      <c r="ALR70" s="609"/>
      <c r="ALS70" s="609"/>
      <c r="ALT70" s="609"/>
      <c r="ALU70" s="609"/>
      <c r="ALV70" s="609"/>
      <c r="ALW70" s="609"/>
      <c r="ALX70" s="609"/>
      <c r="ALY70" s="609"/>
      <c r="ALZ70" s="609"/>
      <c r="AMA70" s="609"/>
      <c r="AMB70" s="609"/>
      <c r="AMC70" s="609"/>
      <c r="AMD70" s="609"/>
      <c r="AME70" s="609"/>
      <c r="AMF70" s="609"/>
      <c r="AMG70" s="609"/>
      <c r="AMH70" s="609"/>
      <c r="AMI70" s="609"/>
      <c r="AMJ70" s="609"/>
      <c r="AMK70" s="609"/>
      <c r="AML70" s="609"/>
      <c r="AMM70" s="609"/>
      <c r="AMN70" s="609"/>
      <c r="AMO70" s="609"/>
      <c r="AMP70" s="609"/>
      <c r="AMQ70" s="609"/>
      <c r="AMR70" s="609"/>
      <c r="AMS70" s="609"/>
      <c r="AMT70" s="609"/>
      <c r="AMU70" s="609"/>
      <c r="AMV70" s="609"/>
      <c r="AMW70" s="609"/>
      <c r="AMX70" s="609"/>
      <c r="AMY70" s="609"/>
      <c r="AMZ70" s="609"/>
      <c r="ANA70" s="609"/>
      <c r="ANB70" s="609"/>
      <c r="ANC70" s="609"/>
      <c r="AND70" s="609"/>
      <c r="ANE70" s="609"/>
      <c r="ANF70" s="609"/>
      <c r="ANG70" s="609"/>
      <c r="ANH70" s="609"/>
      <c r="ANI70" s="609"/>
      <c r="ANJ70" s="609"/>
      <c r="ANK70" s="609"/>
      <c r="ANL70" s="609"/>
      <c r="ANM70" s="609"/>
      <c r="ANN70" s="609"/>
      <c r="ANO70" s="609"/>
      <c r="ANP70" s="609"/>
      <c r="ANQ70" s="609"/>
      <c r="ANR70" s="609"/>
      <c r="ANS70" s="609"/>
      <c r="ANT70" s="609"/>
      <c r="ANU70" s="609"/>
      <c r="ANV70" s="609"/>
      <c r="ANW70" s="609"/>
      <c r="ANX70" s="609"/>
      <c r="ANY70" s="609"/>
      <c r="ANZ70" s="609"/>
      <c r="AOA70" s="609"/>
      <c r="AOB70" s="609"/>
      <c r="AOC70" s="609"/>
      <c r="AOD70" s="609"/>
      <c r="AOE70" s="609"/>
      <c r="AOF70" s="609"/>
      <c r="AOG70" s="609"/>
      <c r="AOH70" s="609"/>
      <c r="AOI70" s="609"/>
      <c r="AOJ70" s="609"/>
      <c r="AOK70" s="609"/>
      <c r="AOL70" s="609"/>
      <c r="AOM70" s="609"/>
      <c r="AON70" s="609"/>
      <c r="AOO70" s="609"/>
      <c r="AOP70" s="609"/>
      <c r="AOQ70" s="609"/>
      <c r="AOR70" s="609"/>
      <c r="AOS70" s="609"/>
      <c r="AOT70" s="609"/>
      <c r="AOU70" s="609"/>
      <c r="AOV70" s="609"/>
      <c r="AOW70" s="609"/>
      <c r="AOX70" s="609"/>
      <c r="AOY70" s="609"/>
      <c r="AOZ70" s="609"/>
      <c r="APA70" s="609"/>
      <c r="APB70" s="609"/>
      <c r="APC70" s="609"/>
      <c r="APD70" s="609"/>
      <c r="APE70" s="609"/>
      <c r="APF70" s="609"/>
      <c r="APG70" s="609"/>
      <c r="APH70" s="609"/>
      <c r="API70" s="609"/>
      <c r="APJ70" s="609"/>
      <c r="APK70" s="609"/>
      <c r="APL70" s="609"/>
      <c r="APM70" s="609"/>
      <c r="APN70" s="609"/>
      <c r="APO70" s="609"/>
      <c r="APP70" s="609"/>
      <c r="APQ70" s="609"/>
      <c r="APR70" s="609"/>
      <c r="APS70" s="609"/>
      <c r="APT70" s="609"/>
      <c r="APU70" s="609"/>
      <c r="APV70" s="609"/>
      <c r="APW70" s="609"/>
      <c r="APX70" s="609"/>
      <c r="APY70" s="609"/>
      <c r="APZ70" s="609"/>
      <c r="AQA70" s="609"/>
      <c r="AQB70" s="609"/>
      <c r="AQC70" s="609"/>
      <c r="AQD70" s="609"/>
      <c r="AQE70" s="609"/>
      <c r="AQF70" s="609"/>
      <c r="AQG70" s="609"/>
      <c r="AQH70" s="609"/>
      <c r="AQI70" s="609"/>
      <c r="AQJ70" s="609"/>
      <c r="AQK70" s="609"/>
      <c r="AQL70" s="609"/>
      <c r="AQM70" s="609"/>
      <c r="AQN70" s="609"/>
      <c r="AQO70" s="609"/>
      <c r="AQP70" s="609"/>
      <c r="AQQ70" s="609"/>
      <c r="AQR70" s="609"/>
      <c r="AQS70" s="609"/>
      <c r="AQT70" s="609"/>
      <c r="AQU70" s="609"/>
      <c r="AQV70" s="609"/>
      <c r="AQW70" s="609"/>
      <c r="AQX70" s="609"/>
      <c r="AQY70" s="609"/>
      <c r="AQZ70" s="609"/>
      <c r="ARA70" s="609"/>
      <c r="ARB70" s="609"/>
      <c r="ARC70" s="609"/>
      <c r="ARD70" s="609"/>
      <c r="ARE70" s="609"/>
      <c r="ARF70" s="609"/>
      <c r="ARG70" s="609"/>
      <c r="ARH70" s="609"/>
      <c r="ARI70" s="609"/>
      <c r="ARJ70" s="609"/>
      <c r="ARK70" s="609"/>
      <c r="ARL70" s="609"/>
      <c r="ARM70" s="609"/>
      <c r="ARN70" s="609"/>
      <c r="ARO70" s="609"/>
      <c r="ARP70" s="609"/>
      <c r="ARQ70" s="609"/>
      <c r="ARR70" s="609"/>
      <c r="ARS70" s="609"/>
      <c r="ART70" s="609"/>
      <c r="ARU70" s="609"/>
      <c r="ARV70" s="609"/>
      <c r="ARW70" s="609"/>
      <c r="ARX70" s="609"/>
      <c r="ARY70" s="609"/>
      <c r="ARZ70" s="609"/>
      <c r="ASA70" s="609"/>
      <c r="ASB70" s="609"/>
      <c r="ASC70" s="609"/>
      <c r="ASD70" s="609"/>
      <c r="ASE70" s="609"/>
      <c r="ASF70" s="609"/>
      <c r="ASG70" s="609"/>
      <c r="ASH70" s="609"/>
      <c r="ASI70" s="609"/>
      <c r="ASJ70" s="609"/>
      <c r="ASK70" s="609"/>
      <c r="ASL70" s="609"/>
      <c r="ASM70" s="609"/>
      <c r="ASN70" s="609"/>
      <c r="ASO70" s="609"/>
      <c r="ASP70" s="609"/>
      <c r="ASQ70" s="609"/>
      <c r="ASR70" s="609"/>
      <c r="ASS70" s="609"/>
      <c r="AST70" s="609"/>
      <c r="ASU70" s="609"/>
      <c r="ASV70" s="609"/>
      <c r="ASW70" s="609"/>
      <c r="ASX70" s="609"/>
      <c r="ASY70" s="609"/>
      <c r="ASZ70" s="609"/>
      <c r="ATA70" s="609"/>
      <c r="ATB70" s="609"/>
      <c r="ATC70" s="609"/>
      <c r="ATD70" s="609"/>
      <c r="ATE70" s="609"/>
      <c r="ATF70" s="609"/>
      <c r="ATG70" s="609"/>
      <c r="ATH70" s="609"/>
      <c r="ATI70" s="609"/>
      <c r="ATJ70" s="609"/>
      <c r="ATK70" s="609"/>
      <c r="ATL70" s="609"/>
      <c r="ATM70" s="609"/>
      <c r="ATN70" s="609"/>
      <c r="ATO70" s="609"/>
      <c r="ATP70" s="609"/>
      <c r="ATQ70" s="609"/>
      <c r="ATR70" s="609"/>
      <c r="ATS70" s="609"/>
      <c r="ATT70" s="609"/>
      <c r="ATU70" s="609"/>
      <c r="ATV70" s="609"/>
      <c r="ATW70" s="609"/>
      <c r="ATX70" s="609"/>
      <c r="ATY70" s="609"/>
      <c r="ATZ70" s="609"/>
      <c r="AUA70" s="609"/>
      <c r="AUB70" s="609"/>
      <c r="AUC70" s="609"/>
      <c r="AUD70" s="609"/>
      <c r="AUE70" s="609"/>
      <c r="AUF70" s="609"/>
      <c r="AUG70" s="609"/>
      <c r="AUH70" s="609"/>
      <c r="AUI70" s="609"/>
      <c r="AUJ70" s="609"/>
      <c r="AUK70" s="609"/>
      <c r="AUL70" s="609"/>
      <c r="AUM70" s="609"/>
      <c r="AUN70" s="609"/>
      <c r="AUO70" s="609"/>
      <c r="AUP70" s="609"/>
      <c r="AUQ70" s="609"/>
      <c r="AUR70" s="609"/>
      <c r="AUS70" s="609"/>
      <c r="AUT70" s="609"/>
      <c r="AUU70" s="609"/>
      <c r="AUV70" s="609"/>
      <c r="AUW70" s="609"/>
      <c r="AUX70" s="609"/>
      <c r="AUY70" s="609"/>
      <c r="AUZ70" s="609"/>
      <c r="AVA70" s="609"/>
      <c r="AVB70" s="609"/>
      <c r="AVC70" s="609"/>
      <c r="AVD70" s="609"/>
      <c r="AVE70" s="609"/>
      <c r="AVF70" s="609"/>
      <c r="AVG70" s="609"/>
      <c r="AVH70" s="609"/>
      <c r="AVI70" s="609"/>
      <c r="AVJ70" s="609"/>
      <c r="AVK70" s="609"/>
      <c r="AVL70" s="609"/>
      <c r="AVM70" s="609"/>
      <c r="AVN70" s="609"/>
      <c r="AVO70" s="609"/>
      <c r="AVP70" s="609"/>
      <c r="AVQ70" s="609"/>
      <c r="AVR70" s="609"/>
      <c r="AVS70" s="609"/>
      <c r="AVT70" s="609"/>
      <c r="AVU70" s="609"/>
      <c r="AVV70" s="609"/>
      <c r="AVW70" s="609"/>
      <c r="AVX70" s="609"/>
      <c r="AVY70" s="609"/>
      <c r="AVZ70" s="609"/>
      <c r="AWA70" s="609"/>
      <c r="AWB70" s="609"/>
      <c r="AWC70" s="609"/>
      <c r="AWD70" s="609"/>
      <c r="AWE70" s="609"/>
      <c r="AWF70" s="609"/>
      <c r="AWG70" s="609"/>
      <c r="AWH70" s="609"/>
      <c r="AWI70" s="609"/>
      <c r="AWJ70" s="609"/>
      <c r="AWK70" s="609"/>
      <c r="AWL70" s="609"/>
      <c r="AWM70" s="609"/>
      <c r="AWN70" s="609"/>
      <c r="AWO70" s="609"/>
      <c r="AWP70" s="609"/>
      <c r="AWQ70" s="609"/>
      <c r="AWR70" s="609"/>
      <c r="AWS70" s="609"/>
      <c r="AWT70" s="609"/>
      <c r="AWU70" s="609"/>
      <c r="AWV70" s="609"/>
      <c r="AWW70" s="609"/>
      <c r="AWX70" s="609"/>
      <c r="AWY70" s="609"/>
      <c r="AWZ70" s="609"/>
      <c r="AXA70" s="609"/>
      <c r="AXB70" s="609"/>
      <c r="AXC70" s="609"/>
      <c r="AXD70" s="609"/>
      <c r="AXE70" s="609"/>
      <c r="AXF70" s="609"/>
      <c r="AXG70" s="609"/>
      <c r="AXH70" s="609"/>
      <c r="AXI70" s="609"/>
      <c r="AXJ70" s="609"/>
      <c r="AXK70" s="609"/>
      <c r="AXL70" s="609"/>
      <c r="AXM70" s="609"/>
      <c r="AXN70" s="609"/>
      <c r="AXO70" s="609"/>
      <c r="AXP70" s="609"/>
      <c r="AXQ70" s="609"/>
      <c r="AXR70" s="609"/>
      <c r="AXS70" s="609"/>
      <c r="AXT70" s="609"/>
      <c r="AXU70" s="609"/>
      <c r="AXV70" s="609"/>
      <c r="AXW70" s="609"/>
      <c r="AXX70" s="609"/>
      <c r="AXY70" s="609"/>
      <c r="AXZ70" s="609"/>
      <c r="AYA70" s="609"/>
      <c r="AYB70" s="609"/>
      <c r="AYC70" s="609"/>
      <c r="AYD70" s="609"/>
      <c r="AYE70" s="609"/>
      <c r="AYF70" s="609"/>
      <c r="AYG70" s="609"/>
      <c r="AYH70" s="609"/>
      <c r="AYI70" s="609"/>
      <c r="AYJ70" s="609"/>
      <c r="AYK70" s="609"/>
      <c r="AYL70" s="609"/>
      <c r="AYM70" s="609"/>
      <c r="AYN70" s="609"/>
      <c r="AYO70" s="609"/>
      <c r="AYP70" s="609"/>
      <c r="AYQ70" s="609"/>
      <c r="AYR70" s="609"/>
      <c r="AYS70" s="609"/>
      <c r="AYT70" s="609"/>
      <c r="AYU70" s="609"/>
      <c r="AYV70" s="609"/>
      <c r="AYW70" s="609"/>
      <c r="AYX70" s="609"/>
      <c r="AYY70" s="609"/>
      <c r="AYZ70" s="609"/>
      <c r="AZA70" s="609"/>
      <c r="AZB70" s="609"/>
      <c r="AZC70" s="609"/>
      <c r="AZD70" s="609"/>
      <c r="AZE70" s="609"/>
      <c r="AZF70" s="609"/>
      <c r="AZG70" s="609"/>
      <c r="AZH70" s="609"/>
      <c r="AZI70" s="609"/>
      <c r="AZJ70" s="609"/>
      <c r="AZK70" s="609"/>
      <c r="AZL70" s="609"/>
      <c r="AZM70" s="609"/>
      <c r="AZN70" s="609"/>
      <c r="AZO70" s="609"/>
      <c r="AZP70" s="609"/>
      <c r="AZQ70" s="609"/>
      <c r="AZR70" s="609"/>
      <c r="AZS70" s="609"/>
      <c r="AZT70" s="609"/>
      <c r="AZU70" s="609"/>
      <c r="AZV70" s="609"/>
      <c r="AZW70" s="609"/>
      <c r="AZX70" s="609"/>
      <c r="AZY70" s="609"/>
      <c r="AZZ70" s="609"/>
      <c r="BAA70" s="609"/>
      <c r="BAB70" s="609"/>
      <c r="BAC70" s="609"/>
      <c r="BAD70" s="609"/>
      <c r="BAE70" s="609"/>
      <c r="BAF70" s="609"/>
      <c r="BAG70" s="609"/>
      <c r="BAH70" s="609"/>
      <c r="BAI70" s="609"/>
      <c r="BAJ70" s="609"/>
      <c r="BAK70" s="609"/>
      <c r="BAL70" s="609"/>
      <c r="BAM70" s="609"/>
      <c r="BAN70" s="609"/>
      <c r="BAO70" s="609"/>
      <c r="BAP70" s="609"/>
      <c r="BAQ70" s="609"/>
      <c r="BAR70" s="609"/>
      <c r="BAS70" s="609"/>
      <c r="BAT70" s="609"/>
      <c r="BAU70" s="609"/>
      <c r="BAV70" s="609"/>
      <c r="BAW70" s="609"/>
      <c r="BAX70" s="609"/>
      <c r="BAY70" s="609"/>
      <c r="BAZ70" s="609"/>
      <c r="BBA70" s="609"/>
      <c r="BBB70" s="609"/>
      <c r="BBC70" s="609"/>
      <c r="BBD70" s="609"/>
      <c r="BBE70" s="609"/>
      <c r="BBF70" s="609"/>
      <c r="BBG70" s="609"/>
      <c r="BBH70" s="609"/>
      <c r="BBI70" s="609"/>
      <c r="BBJ70" s="609"/>
      <c r="BBK70" s="609"/>
      <c r="BBL70" s="609"/>
      <c r="BBM70" s="609"/>
      <c r="BBN70" s="609"/>
      <c r="BBO70" s="609"/>
      <c r="BBP70" s="609"/>
      <c r="BBQ70" s="609"/>
      <c r="BBR70" s="609"/>
      <c r="BBS70" s="609"/>
      <c r="BBT70" s="609"/>
      <c r="BBU70" s="609"/>
      <c r="BBV70" s="609"/>
      <c r="BBW70" s="609"/>
      <c r="BBX70" s="609"/>
      <c r="BBY70" s="609"/>
      <c r="BBZ70" s="609"/>
      <c r="BCA70" s="609"/>
      <c r="BCB70" s="609"/>
      <c r="BCC70" s="609"/>
      <c r="BCD70" s="609"/>
      <c r="BCE70" s="609"/>
      <c r="BCF70" s="609"/>
      <c r="BCG70" s="609"/>
      <c r="BCH70" s="609"/>
      <c r="BCI70" s="609"/>
      <c r="BCJ70" s="609"/>
      <c r="BCK70" s="609"/>
      <c r="BCL70" s="609"/>
      <c r="BCM70" s="609"/>
      <c r="BCN70" s="609"/>
      <c r="BCO70" s="609"/>
      <c r="BCP70" s="609"/>
      <c r="BCQ70" s="609"/>
      <c r="BCR70" s="609"/>
      <c r="BCS70" s="609"/>
      <c r="BCT70" s="609"/>
      <c r="BCU70" s="609"/>
      <c r="BCV70" s="609"/>
      <c r="BCW70" s="609"/>
      <c r="BCX70" s="609"/>
      <c r="BCY70" s="609"/>
      <c r="BCZ70" s="609"/>
      <c r="BDA70" s="609"/>
      <c r="BDB70" s="609"/>
      <c r="BDC70" s="609"/>
      <c r="BDD70" s="609"/>
      <c r="BDE70" s="609"/>
      <c r="BDF70" s="609"/>
      <c r="BDG70" s="609"/>
      <c r="BDH70" s="609"/>
      <c r="BDI70" s="609"/>
      <c r="BDJ70" s="609"/>
      <c r="BDK70" s="609"/>
      <c r="BDL70" s="609"/>
      <c r="BDM70" s="609"/>
      <c r="BDN70" s="609"/>
      <c r="BDO70" s="609"/>
      <c r="BDP70" s="609"/>
      <c r="BDQ70" s="609"/>
      <c r="BDR70" s="609"/>
      <c r="BDS70" s="609"/>
      <c r="BDT70" s="609"/>
      <c r="BDU70" s="609"/>
      <c r="BDV70" s="609"/>
      <c r="BDW70" s="609"/>
      <c r="BDX70" s="609"/>
      <c r="BDY70" s="609"/>
      <c r="BDZ70" s="609"/>
      <c r="BEA70" s="609"/>
      <c r="BEB70" s="609"/>
      <c r="BEC70" s="609"/>
      <c r="BED70" s="609"/>
      <c r="BEE70" s="609"/>
      <c r="BEF70" s="609"/>
      <c r="BEG70" s="609"/>
      <c r="BEH70" s="609"/>
      <c r="BEI70" s="609"/>
      <c r="BEJ70" s="609"/>
      <c r="BEK70" s="609"/>
      <c r="BEL70" s="609"/>
      <c r="BEM70" s="609"/>
      <c r="BEN70" s="609"/>
      <c r="BEO70" s="609"/>
      <c r="BEP70" s="609"/>
      <c r="BEQ70" s="609"/>
      <c r="BER70" s="609"/>
      <c r="BES70" s="609"/>
      <c r="BET70" s="609"/>
      <c r="BEU70" s="609"/>
      <c r="BEV70" s="609"/>
      <c r="BEW70" s="609"/>
      <c r="BEX70" s="609"/>
      <c r="BEY70" s="609"/>
      <c r="BEZ70" s="609"/>
      <c r="BFA70" s="609"/>
      <c r="BFB70" s="609"/>
      <c r="BFC70" s="609"/>
      <c r="BFD70" s="609"/>
      <c r="BFE70" s="609"/>
      <c r="BFF70" s="609"/>
      <c r="BFG70" s="609"/>
      <c r="BFH70" s="609"/>
      <c r="BFI70" s="609"/>
      <c r="BFJ70" s="609"/>
      <c r="BFK70" s="609"/>
      <c r="BFL70" s="609"/>
      <c r="BFM70" s="609"/>
      <c r="BFN70" s="609"/>
      <c r="BFO70" s="609"/>
      <c r="BFP70" s="609"/>
      <c r="BFQ70" s="609"/>
      <c r="BFR70" s="609"/>
      <c r="BFS70" s="609"/>
      <c r="BFT70" s="609"/>
      <c r="BFU70" s="609"/>
      <c r="BFV70" s="609"/>
      <c r="BFW70" s="609"/>
      <c r="BFX70" s="609"/>
      <c r="BFY70" s="609"/>
      <c r="BFZ70" s="609"/>
      <c r="BGA70" s="609"/>
      <c r="BGB70" s="609"/>
      <c r="BGC70" s="609"/>
      <c r="BGD70" s="609"/>
      <c r="BGE70" s="609"/>
      <c r="BGF70" s="609"/>
      <c r="BGG70" s="609"/>
      <c r="BGH70" s="609"/>
      <c r="BGI70" s="609"/>
      <c r="BGJ70" s="609"/>
      <c r="BGK70" s="609"/>
      <c r="BGL70" s="609"/>
      <c r="BGM70" s="609"/>
      <c r="BGN70" s="609"/>
      <c r="BGO70" s="609"/>
      <c r="BGP70" s="609"/>
      <c r="BGQ70" s="609"/>
      <c r="BGR70" s="609"/>
      <c r="BGS70" s="609"/>
      <c r="BGT70" s="609"/>
      <c r="BGU70" s="609"/>
      <c r="BGV70" s="609"/>
      <c r="BGW70" s="609"/>
      <c r="BGX70" s="609"/>
      <c r="BGY70" s="609"/>
      <c r="BGZ70" s="609"/>
      <c r="BHA70" s="609"/>
      <c r="BHB70" s="609"/>
      <c r="BHC70" s="609"/>
      <c r="BHD70" s="609"/>
      <c r="BHE70" s="609"/>
      <c r="BHF70" s="609"/>
      <c r="BHG70" s="609"/>
      <c r="BHH70" s="609"/>
      <c r="BHI70" s="609"/>
      <c r="BHJ70" s="609"/>
      <c r="BHK70" s="609"/>
      <c r="BHL70" s="609"/>
      <c r="BHM70" s="609"/>
      <c r="BHN70" s="609"/>
      <c r="BHO70" s="609"/>
      <c r="BHP70" s="609"/>
      <c r="BHQ70" s="609"/>
      <c r="BHR70" s="609"/>
      <c r="BHS70" s="609"/>
      <c r="BHT70" s="609"/>
      <c r="BHU70" s="609"/>
      <c r="BHV70" s="609"/>
      <c r="BHW70" s="609"/>
      <c r="BHX70" s="609"/>
      <c r="BHY70" s="609"/>
      <c r="BHZ70" s="609"/>
      <c r="BIA70" s="609"/>
      <c r="BIB70" s="609"/>
      <c r="BIC70" s="609"/>
      <c r="BID70" s="609"/>
      <c r="BIE70" s="609"/>
      <c r="BIF70" s="609"/>
      <c r="BIG70" s="609"/>
      <c r="BIH70" s="609"/>
      <c r="BII70" s="609"/>
      <c r="BIJ70" s="609"/>
      <c r="BIK70" s="609"/>
      <c r="BIL70" s="609"/>
      <c r="BIM70" s="609"/>
      <c r="BIN70" s="609"/>
      <c r="BIO70" s="609"/>
      <c r="BIP70" s="609"/>
      <c r="BIQ70" s="609"/>
      <c r="BIR70" s="609"/>
      <c r="BIS70" s="609"/>
      <c r="BIT70" s="609"/>
      <c r="BIU70" s="609"/>
      <c r="BIV70" s="609"/>
      <c r="BIW70" s="609"/>
      <c r="BIX70" s="609"/>
      <c r="BIY70" s="609"/>
      <c r="BIZ70" s="609"/>
      <c r="BJA70" s="609"/>
      <c r="BJB70" s="609"/>
      <c r="BJC70" s="609"/>
      <c r="BJD70" s="609"/>
      <c r="BJE70" s="609"/>
      <c r="BJF70" s="609"/>
      <c r="BJG70" s="609"/>
      <c r="BJH70" s="609"/>
      <c r="BJI70" s="609"/>
      <c r="BJJ70" s="609"/>
      <c r="BJK70" s="609"/>
      <c r="BJL70" s="609"/>
      <c r="BJM70" s="609"/>
      <c r="BJN70" s="609"/>
      <c r="BJO70" s="609"/>
      <c r="BJP70" s="609"/>
      <c r="BJQ70" s="609"/>
      <c r="BJR70" s="609"/>
      <c r="BJS70" s="609"/>
      <c r="BJT70" s="609"/>
      <c r="BJU70" s="609"/>
      <c r="BJV70" s="609"/>
      <c r="BJW70" s="609"/>
      <c r="BJX70" s="609"/>
      <c r="BJY70" s="609"/>
      <c r="BJZ70" s="609"/>
      <c r="BKA70" s="609"/>
      <c r="BKB70" s="609"/>
      <c r="BKC70" s="609"/>
      <c r="BKD70" s="609"/>
      <c r="BKE70" s="609"/>
      <c r="BKF70" s="609"/>
      <c r="BKG70" s="609"/>
      <c r="BKH70" s="609"/>
      <c r="BKI70" s="609"/>
      <c r="BKJ70" s="609"/>
      <c r="BKK70" s="609"/>
      <c r="BKL70" s="609"/>
      <c r="BKM70" s="609"/>
      <c r="BKN70" s="609"/>
      <c r="BKO70" s="609"/>
      <c r="BKP70" s="609"/>
      <c r="BKQ70" s="609"/>
      <c r="BKR70" s="609"/>
      <c r="BKS70" s="609"/>
      <c r="BKT70" s="609"/>
      <c r="BKU70" s="609"/>
      <c r="BKV70" s="609"/>
      <c r="BKW70" s="609"/>
      <c r="BKX70" s="609"/>
      <c r="BKY70" s="609"/>
      <c r="BKZ70" s="609"/>
      <c r="BLA70" s="609"/>
      <c r="BLB70" s="609"/>
      <c r="BLC70" s="609"/>
      <c r="BLD70" s="609"/>
      <c r="BLE70" s="609"/>
      <c r="BLF70" s="609"/>
      <c r="BLG70" s="609"/>
      <c r="BLH70" s="609"/>
      <c r="BLI70" s="609"/>
      <c r="BLJ70" s="609"/>
      <c r="BLK70" s="609"/>
      <c r="BLL70" s="609"/>
      <c r="BLM70" s="609"/>
      <c r="BLN70" s="609"/>
      <c r="BLO70" s="609"/>
      <c r="BLP70" s="609"/>
      <c r="BLQ70" s="609"/>
      <c r="BLR70" s="609"/>
      <c r="BLS70" s="609"/>
      <c r="BLT70" s="609"/>
      <c r="BLU70" s="609"/>
      <c r="BLV70" s="609"/>
      <c r="BLW70" s="609"/>
      <c r="BLX70" s="609"/>
      <c r="BLY70" s="609"/>
      <c r="BLZ70" s="609"/>
      <c r="BMA70" s="609"/>
      <c r="BMB70" s="609"/>
      <c r="BMC70" s="609"/>
      <c r="BMD70" s="609"/>
      <c r="BME70" s="609"/>
      <c r="BMF70" s="609"/>
      <c r="BMG70" s="609"/>
      <c r="BMH70" s="609"/>
      <c r="BMI70" s="609"/>
      <c r="BMJ70" s="609"/>
      <c r="BMK70" s="609"/>
      <c r="BML70" s="609"/>
      <c r="BMM70" s="609"/>
      <c r="BMN70" s="609"/>
      <c r="BMO70" s="609"/>
      <c r="BMP70" s="609"/>
      <c r="BMQ70" s="609"/>
      <c r="BMR70" s="609"/>
      <c r="BMS70" s="609"/>
      <c r="BMT70" s="609"/>
      <c r="BMU70" s="609"/>
      <c r="BMV70" s="609"/>
      <c r="BMW70" s="609"/>
      <c r="BMX70" s="609"/>
      <c r="BMY70" s="609"/>
      <c r="BMZ70" s="609"/>
      <c r="BNA70" s="609"/>
      <c r="BNB70" s="609"/>
      <c r="BNC70" s="609"/>
      <c r="BND70" s="609"/>
      <c r="BNE70" s="609"/>
      <c r="BNF70" s="609"/>
      <c r="BNG70" s="609"/>
      <c r="BNH70" s="609"/>
      <c r="BNI70" s="609"/>
      <c r="BNJ70" s="609"/>
      <c r="BNK70" s="609"/>
      <c r="BNL70" s="609"/>
      <c r="BNM70" s="609"/>
      <c r="BNN70" s="609"/>
      <c r="BNO70" s="609"/>
      <c r="BNP70" s="609"/>
      <c r="BNQ70" s="609"/>
      <c r="BNR70" s="609"/>
      <c r="BNS70" s="609"/>
      <c r="BNT70" s="609"/>
      <c r="BNU70" s="609"/>
      <c r="BNV70" s="609"/>
      <c r="BNW70" s="609"/>
      <c r="BNX70" s="609"/>
      <c r="BNY70" s="609"/>
      <c r="BNZ70" s="609"/>
      <c r="BOA70" s="609"/>
      <c r="BOB70" s="609"/>
      <c r="BOC70" s="609"/>
      <c r="BOD70" s="609"/>
      <c r="BOE70" s="609"/>
      <c r="BOF70" s="609"/>
      <c r="BOG70" s="609"/>
      <c r="BOH70" s="609"/>
      <c r="BOI70" s="609"/>
      <c r="BOJ70" s="609"/>
      <c r="BOK70" s="609"/>
      <c r="BOL70" s="609"/>
      <c r="BOM70" s="609"/>
      <c r="BON70" s="609"/>
      <c r="BOO70" s="609"/>
      <c r="BOP70" s="609"/>
      <c r="BOQ70" s="609"/>
      <c r="BOR70" s="609"/>
      <c r="BOS70" s="609"/>
      <c r="BOT70" s="609"/>
      <c r="BOU70" s="609"/>
      <c r="BOV70" s="609"/>
      <c r="BOW70" s="609"/>
      <c r="BOX70" s="609"/>
      <c r="BOY70" s="609"/>
      <c r="BOZ70" s="609"/>
      <c r="BPA70" s="609"/>
      <c r="BPB70" s="609"/>
      <c r="BPC70" s="609"/>
      <c r="BPD70" s="609"/>
      <c r="BPE70" s="609"/>
      <c r="BPF70" s="609"/>
      <c r="BPG70" s="609"/>
      <c r="BPH70" s="609"/>
      <c r="BPI70" s="609"/>
      <c r="BPJ70" s="609"/>
      <c r="BPK70" s="609"/>
      <c r="BPL70" s="609"/>
      <c r="BPM70" s="609"/>
      <c r="BPN70" s="609"/>
      <c r="BPO70" s="609"/>
      <c r="BPP70" s="609"/>
      <c r="BPQ70" s="609"/>
      <c r="BPR70" s="609"/>
      <c r="BPS70" s="609"/>
      <c r="BPT70" s="609"/>
      <c r="BPU70" s="609"/>
      <c r="BPV70" s="609"/>
      <c r="BPW70" s="609"/>
      <c r="BPX70" s="609"/>
      <c r="BPY70" s="609"/>
      <c r="BPZ70" s="609"/>
      <c r="BQA70" s="609"/>
      <c r="BQB70" s="609"/>
      <c r="BQC70" s="609"/>
      <c r="BQD70" s="609"/>
      <c r="BQE70" s="609"/>
      <c r="BQF70" s="609"/>
      <c r="BQG70" s="609"/>
      <c r="BQH70" s="609"/>
      <c r="BQI70" s="609"/>
      <c r="BQJ70" s="609"/>
      <c r="BQK70" s="609"/>
      <c r="BQL70" s="609"/>
      <c r="BQM70" s="609"/>
      <c r="BQN70" s="609"/>
      <c r="BQO70" s="609"/>
      <c r="BQP70" s="609"/>
      <c r="BQQ70" s="609"/>
      <c r="BQR70" s="609"/>
      <c r="BQS70" s="609"/>
      <c r="BQT70" s="609"/>
      <c r="BQU70" s="609"/>
      <c r="BQV70" s="609"/>
      <c r="BQW70" s="609"/>
      <c r="BQX70" s="609"/>
      <c r="BQY70" s="609"/>
      <c r="BQZ70" s="609"/>
      <c r="BRA70" s="609"/>
      <c r="BRB70" s="609"/>
      <c r="BRC70" s="609"/>
      <c r="BRD70" s="609"/>
      <c r="BRE70" s="609"/>
      <c r="BRF70" s="609"/>
      <c r="BRG70" s="609"/>
      <c r="BRH70" s="609"/>
      <c r="BRI70" s="609"/>
      <c r="BRJ70" s="609"/>
      <c r="BRK70" s="609"/>
      <c r="BRL70" s="609"/>
      <c r="BRM70" s="609"/>
      <c r="BRN70" s="609"/>
      <c r="BRO70" s="609"/>
      <c r="BRP70" s="609"/>
      <c r="BRQ70" s="609"/>
      <c r="BRR70" s="609"/>
      <c r="BRS70" s="609"/>
      <c r="BRT70" s="609"/>
      <c r="BRU70" s="609"/>
      <c r="BRV70" s="609"/>
      <c r="BRW70" s="609"/>
      <c r="BRX70" s="609"/>
      <c r="BRY70" s="609"/>
      <c r="BRZ70" s="609"/>
      <c r="BSA70" s="609"/>
      <c r="BSB70" s="609"/>
      <c r="BSC70" s="609"/>
      <c r="BSD70" s="609"/>
      <c r="BSE70" s="609"/>
      <c r="BSF70" s="609"/>
      <c r="BSG70" s="609"/>
      <c r="BSH70" s="609"/>
      <c r="BSI70" s="609"/>
      <c r="BSJ70" s="609"/>
      <c r="BSK70" s="609"/>
      <c r="BSL70" s="609"/>
      <c r="BSM70" s="609"/>
      <c r="BSN70" s="609"/>
      <c r="BSO70" s="609"/>
      <c r="BSP70" s="609"/>
      <c r="BSQ70" s="609"/>
      <c r="BSR70" s="609"/>
      <c r="BSS70" s="609"/>
      <c r="BST70" s="609"/>
      <c r="BSU70" s="609"/>
      <c r="BSV70" s="609"/>
      <c r="BSW70" s="609"/>
      <c r="BSX70" s="609"/>
      <c r="BSY70" s="609"/>
      <c r="BSZ70" s="609"/>
      <c r="BTA70" s="609"/>
      <c r="BTB70" s="609"/>
      <c r="BTC70" s="609"/>
      <c r="BTD70" s="609"/>
      <c r="BTE70" s="609"/>
      <c r="BTF70" s="609"/>
      <c r="BTG70" s="609"/>
      <c r="BTH70" s="609"/>
      <c r="BTI70" s="609"/>
      <c r="BTJ70" s="609"/>
      <c r="BTK70" s="609"/>
      <c r="BTL70" s="609"/>
      <c r="BTM70" s="609"/>
      <c r="BTN70" s="609"/>
      <c r="BTO70" s="609"/>
      <c r="BTP70" s="609"/>
      <c r="BTQ70" s="609"/>
      <c r="BTR70" s="609"/>
      <c r="BTS70" s="609"/>
      <c r="BTT70" s="609"/>
      <c r="BTU70" s="609"/>
      <c r="BTV70" s="609"/>
      <c r="BTW70" s="609"/>
      <c r="BTX70" s="609"/>
      <c r="BTY70" s="609"/>
      <c r="BTZ70" s="609"/>
      <c r="BUA70" s="609"/>
      <c r="BUB70" s="609"/>
      <c r="BUC70" s="609"/>
      <c r="BUD70" s="609"/>
      <c r="BUE70" s="609"/>
      <c r="BUF70" s="609"/>
      <c r="BUG70" s="609"/>
      <c r="BUH70" s="609"/>
      <c r="BUI70" s="609"/>
      <c r="BUJ70" s="609"/>
      <c r="BUK70" s="609"/>
      <c r="BUL70" s="609"/>
      <c r="BUM70" s="609"/>
      <c r="BUN70" s="609"/>
      <c r="BUO70" s="609"/>
      <c r="BUP70" s="609"/>
      <c r="BUQ70" s="609"/>
      <c r="BUR70" s="609"/>
      <c r="BUS70" s="609"/>
      <c r="BUT70" s="609"/>
      <c r="BUU70" s="609"/>
      <c r="BUV70" s="609"/>
      <c r="BUW70" s="609"/>
      <c r="BUX70" s="609"/>
      <c r="BUY70" s="609"/>
      <c r="BUZ70" s="609"/>
      <c r="BVA70" s="609"/>
      <c r="BVB70" s="609"/>
      <c r="BVC70" s="609"/>
      <c r="BVD70" s="609"/>
      <c r="BVE70" s="609"/>
      <c r="BVF70" s="609"/>
      <c r="BVG70" s="609"/>
      <c r="BVH70" s="609"/>
      <c r="BVI70" s="609"/>
      <c r="BVJ70" s="609"/>
      <c r="BVK70" s="609"/>
      <c r="BVL70" s="609"/>
      <c r="BVM70" s="609"/>
      <c r="BVN70" s="609"/>
      <c r="BVO70" s="609"/>
      <c r="BVP70" s="609"/>
      <c r="BVQ70" s="609"/>
      <c r="BVR70" s="609"/>
      <c r="BVS70" s="609"/>
      <c r="BVT70" s="609"/>
      <c r="BVU70" s="609"/>
      <c r="BVV70" s="609"/>
      <c r="BVW70" s="609"/>
      <c r="BVX70" s="609"/>
      <c r="BVY70" s="609"/>
      <c r="BVZ70" s="609"/>
      <c r="BWA70" s="609"/>
      <c r="BWB70" s="609"/>
      <c r="BWC70" s="609"/>
      <c r="BWD70" s="609"/>
      <c r="BWE70" s="609"/>
      <c r="BWF70" s="609"/>
      <c r="BWG70" s="609"/>
      <c r="BWH70" s="609"/>
      <c r="BWI70" s="609"/>
      <c r="BWJ70" s="609"/>
      <c r="BWK70" s="609"/>
      <c r="BWL70" s="609"/>
      <c r="BWM70" s="609"/>
      <c r="BWN70" s="609"/>
      <c r="BWO70" s="609"/>
      <c r="BWP70" s="609"/>
      <c r="BWQ70" s="609"/>
      <c r="BWR70" s="609"/>
      <c r="BWS70" s="609"/>
      <c r="BWT70" s="609"/>
      <c r="BWU70" s="609"/>
      <c r="BWV70" s="609"/>
      <c r="BWW70" s="609"/>
      <c r="BWX70" s="609"/>
      <c r="BWY70" s="609"/>
      <c r="BWZ70" s="609"/>
      <c r="BXA70" s="609"/>
      <c r="BXB70" s="609"/>
      <c r="BXC70" s="609"/>
      <c r="BXD70" s="609"/>
      <c r="BXE70" s="609"/>
      <c r="BXF70" s="609"/>
      <c r="BXG70" s="609"/>
      <c r="BXH70" s="609"/>
      <c r="BXI70" s="609"/>
      <c r="BXJ70" s="609"/>
      <c r="BXK70" s="609"/>
      <c r="BXL70" s="609"/>
      <c r="BXM70" s="609"/>
      <c r="BXN70" s="609"/>
      <c r="BXO70" s="609"/>
      <c r="BXP70" s="609"/>
      <c r="BXQ70" s="609"/>
      <c r="BXR70" s="609"/>
      <c r="BXS70" s="609"/>
      <c r="BXT70" s="609"/>
      <c r="BXU70" s="609"/>
      <c r="BXV70" s="609"/>
      <c r="BXW70" s="609"/>
      <c r="BXX70" s="609"/>
      <c r="BXY70" s="609"/>
      <c r="BXZ70" s="609"/>
      <c r="BYA70" s="609"/>
      <c r="BYB70" s="609"/>
      <c r="BYC70" s="609"/>
      <c r="BYD70" s="609"/>
      <c r="BYE70" s="609"/>
      <c r="BYF70" s="609"/>
      <c r="BYG70" s="609"/>
      <c r="BYH70" s="609"/>
      <c r="BYI70" s="609"/>
      <c r="BYJ70" s="609"/>
      <c r="BYK70" s="609"/>
      <c r="BYL70" s="609"/>
      <c r="BYM70" s="609"/>
      <c r="BYN70" s="609"/>
      <c r="BYO70" s="609"/>
      <c r="BYP70" s="609"/>
      <c r="BYQ70" s="609"/>
      <c r="BYR70" s="609"/>
      <c r="BYS70" s="609"/>
      <c r="BYT70" s="609"/>
      <c r="BYU70" s="609"/>
      <c r="BYV70" s="609"/>
      <c r="BYW70" s="609"/>
      <c r="BYX70" s="609"/>
      <c r="BYY70" s="609"/>
      <c r="BYZ70" s="609"/>
      <c r="BZA70" s="609"/>
      <c r="BZB70" s="609"/>
      <c r="BZC70" s="609"/>
      <c r="BZD70" s="609"/>
      <c r="BZE70" s="609"/>
      <c r="BZF70" s="609"/>
      <c r="BZG70" s="609"/>
      <c r="BZH70" s="609"/>
      <c r="BZI70" s="609"/>
      <c r="BZJ70" s="609"/>
      <c r="BZK70" s="609"/>
      <c r="BZL70" s="609"/>
      <c r="BZM70" s="609"/>
      <c r="BZN70" s="609"/>
      <c r="BZO70" s="609"/>
      <c r="BZP70" s="609"/>
      <c r="BZQ70" s="609"/>
      <c r="BZR70" s="609"/>
      <c r="BZS70" s="609"/>
      <c r="BZT70" s="609"/>
      <c r="BZU70" s="609"/>
      <c r="BZV70" s="609"/>
      <c r="BZW70" s="609"/>
      <c r="BZX70" s="609"/>
      <c r="BZY70" s="609"/>
      <c r="BZZ70" s="609"/>
      <c r="CAA70" s="609"/>
      <c r="CAB70" s="609"/>
      <c r="CAC70" s="609"/>
      <c r="CAD70" s="609"/>
      <c r="CAE70" s="609"/>
      <c r="CAF70" s="609"/>
      <c r="CAG70" s="609"/>
      <c r="CAH70" s="609"/>
      <c r="CAI70" s="609"/>
      <c r="CAJ70" s="609"/>
      <c r="CAK70" s="609"/>
      <c r="CAL70" s="609"/>
      <c r="CAM70" s="609"/>
      <c r="CAN70" s="609"/>
      <c r="CAO70" s="609"/>
      <c r="CAP70" s="609"/>
      <c r="CAQ70" s="609"/>
      <c r="CAR70" s="609"/>
      <c r="CAS70" s="609"/>
      <c r="CAT70" s="609"/>
      <c r="CAU70" s="609"/>
      <c r="CAV70" s="609"/>
      <c r="CAW70" s="609"/>
      <c r="CAX70" s="609"/>
      <c r="CAY70" s="609"/>
      <c r="CAZ70" s="609"/>
      <c r="CBA70" s="609"/>
      <c r="CBB70" s="609"/>
      <c r="CBC70" s="609"/>
      <c r="CBD70" s="609"/>
      <c r="CBE70" s="609"/>
      <c r="CBF70" s="609"/>
      <c r="CBG70" s="609"/>
      <c r="CBH70" s="609"/>
      <c r="CBI70" s="609"/>
      <c r="CBJ70" s="609"/>
      <c r="CBK70" s="609"/>
      <c r="CBL70" s="609"/>
      <c r="CBM70" s="609"/>
      <c r="CBN70" s="609"/>
      <c r="CBO70" s="609"/>
      <c r="CBP70" s="609"/>
      <c r="CBQ70" s="609"/>
      <c r="CBR70" s="609"/>
      <c r="CBS70" s="609"/>
      <c r="CBT70" s="609"/>
      <c r="CBU70" s="609"/>
      <c r="CBV70" s="609"/>
      <c r="CBW70" s="609"/>
      <c r="CBX70" s="609"/>
      <c r="CBY70" s="609"/>
      <c r="CBZ70" s="609"/>
      <c r="CCA70" s="609"/>
      <c r="CCB70" s="609"/>
      <c r="CCC70" s="609"/>
      <c r="CCD70" s="609"/>
      <c r="CCE70" s="609"/>
      <c r="CCF70" s="609"/>
      <c r="CCG70" s="609"/>
      <c r="CCH70" s="609"/>
      <c r="CCI70" s="609"/>
      <c r="CCJ70" s="609"/>
      <c r="CCK70" s="609"/>
      <c r="CCL70" s="609"/>
      <c r="CCM70" s="609"/>
      <c r="CCN70" s="609"/>
      <c r="CCO70" s="609"/>
      <c r="CCP70" s="609"/>
      <c r="CCQ70" s="609"/>
      <c r="CCR70" s="609"/>
      <c r="CCS70" s="609"/>
      <c r="CCT70" s="609"/>
      <c r="CCU70" s="609"/>
      <c r="CCV70" s="609"/>
      <c r="CCW70" s="609"/>
      <c r="CCX70" s="609"/>
      <c r="CCY70" s="609"/>
      <c r="CCZ70" s="609"/>
      <c r="CDA70" s="609"/>
      <c r="CDB70" s="609"/>
      <c r="CDC70" s="609"/>
      <c r="CDD70" s="609"/>
      <c r="CDE70" s="609"/>
      <c r="CDF70" s="609"/>
      <c r="CDG70" s="609"/>
      <c r="CDH70" s="609"/>
      <c r="CDI70" s="609"/>
      <c r="CDJ70" s="609"/>
      <c r="CDK70" s="609"/>
      <c r="CDL70" s="609"/>
      <c r="CDM70" s="609"/>
      <c r="CDN70" s="609"/>
      <c r="CDO70" s="609"/>
      <c r="CDP70" s="609"/>
      <c r="CDQ70" s="609"/>
      <c r="CDR70" s="609"/>
      <c r="CDS70" s="609"/>
      <c r="CDT70" s="609"/>
      <c r="CDU70" s="609"/>
      <c r="CDV70" s="609"/>
      <c r="CDW70" s="609"/>
      <c r="CDX70" s="609"/>
      <c r="CDY70" s="609"/>
      <c r="CDZ70" s="609"/>
      <c r="CEA70" s="609"/>
      <c r="CEB70" s="609"/>
      <c r="CEC70" s="609"/>
      <c r="CED70" s="609"/>
      <c r="CEE70" s="609"/>
      <c r="CEF70" s="609"/>
      <c r="CEG70" s="609"/>
      <c r="CEH70" s="609"/>
      <c r="CEI70" s="609"/>
      <c r="CEJ70" s="609"/>
      <c r="CEK70" s="609"/>
      <c r="CEL70" s="609"/>
      <c r="CEM70" s="609"/>
      <c r="CEN70" s="609"/>
      <c r="CEO70" s="609"/>
      <c r="CEP70" s="609"/>
      <c r="CEQ70" s="609"/>
      <c r="CER70" s="609"/>
      <c r="CES70" s="609"/>
      <c r="CET70" s="609"/>
      <c r="CEU70" s="609"/>
      <c r="CEV70" s="609"/>
      <c r="CEW70" s="609"/>
      <c r="CEX70" s="609"/>
      <c r="CEY70" s="609"/>
      <c r="CEZ70" s="609"/>
      <c r="CFA70" s="609"/>
      <c r="CFB70" s="609"/>
      <c r="CFC70" s="609"/>
      <c r="CFD70" s="609"/>
      <c r="CFE70" s="609"/>
      <c r="CFF70" s="609"/>
      <c r="CFG70" s="609"/>
      <c r="CFH70" s="609"/>
      <c r="CFI70" s="609"/>
      <c r="CFJ70" s="609"/>
      <c r="CFK70" s="609"/>
      <c r="CFL70" s="609"/>
      <c r="CFM70" s="609"/>
      <c r="CFN70" s="609"/>
      <c r="CFO70" s="609"/>
      <c r="CFP70" s="609"/>
      <c r="CFQ70" s="609"/>
      <c r="CFR70" s="609"/>
      <c r="CFS70" s="609"/>
      <c r="CFT70" s="609"/>
      <c r="CFU70" s="609"/>
      <c r="CFV70" s="609"/>
      <c r="CFW70" s="609"/>
      <c r="CFX70" s="609"/>
      <c r="CFY70" s="609"/>
      <c r="CFZ70" s="609"/>
      <c r="CGA70" s="609"/>
      <c r="CGB70" s="609"/>
      <c r="CGC70" s="609"/>
      <c r="CGD70" s="609"/>
      <c r="CGE70" s="609"/>
      <c r="CGF70" s="609"/>
      <c r="CGG70" s="609"/>
      <c r="CGH70" s="609"/>
      <c r="CGI70" s="609"/>
      <c r="CGJ70" s="609"/>
      <c r="CGK70" s="609"/>
      <c r="CGL70" s="609"/>
      <c r="CGM70" s="609"/>
      <c r="CGN70" s="609"/>
      <c r="CGO70" s="609"/>
      <c r="CGP70" s="609"/>
      <c r="CGQ70" s="609"/>
      <c r="CGR70" s="609"/>
      <c r="CGS70" s="609"/>
      <c r="CGT70" s="609"/>
      <c r="CGU70" s="609"/>
      <c r="CGV70" s="609"/>
      <c r="CGW70" s="609"/>
      <c r="CGX70" s="609"/>
      <c r="CGY70" s="609"/>
      <c r="CGZ70" s="609"/>
      <c r="CHA70" s="609"/>
      <c r="CHB70" s="609"/>
      <c r="CHC70" s="609"/>
      <c r="CHD70" s="609"/>
      <c r="CHE70" s="609"/>
      <c r="CHF70" s="609"/>
      <c r="CHG70" s="609"/>
      <c r="CHH70" s="609"/>
      <c r="CHI70" s="609"/>
      <c r="CHJ70" s="609"/>
      <c r="CHK70" s="609"/>
      <c r="CHL70" s="609"/>
      <c r="CHM70" s="609"/>
      <c r="CHN70" s="609"/>
      <c r="CHO70" s="609"/>
      <c r="CHP70" s="609"/>
      <c r="CHQ70" s="609"/>
      <c r="CHR70" s="609"/>
      <c r="CHS70" s="609"/>
      <c r="CHT70" s="609"/>
      <c r="CHU70" s="609"/>
      <c r="CHV70" s="609"/>
      <c r="CHW70" s="609"/>
      <c r="CHX70" s="609"/>
      <c r="CHY70" s="609"/>
      <c r="CHZ70" s="609"/>
      <c r="CIA70" s="609"/>
      <c r="CIB70" s="609"/>
      <c r="CIC70" s="609"/>
      <c r="CID70" s="609"/>
      <c r="CIE70" s="609"/>
      <c r="CIF70" s="609"/>
      <c r="CIG70" s="609"/>
      <c r="CIH70" s="609"/>
      <c r="CII70" s="609"/>
      <c r="CIJ70" s="609"/>
      <c r="CIK70" s="609"/>
      <c r="CIL70" s="609"/>
      <c r="CIM70" s="609"/>
      <c r="CIN70" s="609"/>
      <c r="CIO70" s="609"/>
      <c r="CIP70" s="609"/>
      <c r="CIQ70" s="609"/>
      <c r="CIR70" s="609"/>
      <c r="CIS70" s="609"/>
      <c r="CIT70" s="609"/>
      <c r="CIU70" s="609"/>
      <c r="CIV70" s="609"/>
      <c r="CIW70" s="609"/>
      <c r="CIX70" s="609"/>
      <c r="CIY70" s="609"/>
      <c r="CIZ70" s="609"/>
      <c r="CJA70" s="609"/>
      <c r="CJB70" s="609"/>
      <c r="CJC70" s="609"/>
      <c r="CJD70" s="609"/>
      <c r="CJE70" s="609"/>
      <c r="CJF70" s="609"/>
      <c r="CJG70" s="609"/>
      <c r="CJH70" s="609"/>
      <c r="CJI70" s="609"/>
      <c r="CJJ70" s="609"/>
      <c r="CJK70" s="609"/>
      <c r="CJL70" s="609"/>
      <c r="CJM70" s="609"/>
      <c r="CJN70" s="609"/>
      <c r="CJO70" s="609"/>
      <c r="CJP70" s="609"/>
      <c r="CJQ70" s="609"/>
      <c r="CJR70" s="609"/>
      <c r="CJS70" s="609"/>
      <c r="CJT70" s="609"/>
      <c r="CJU70" s="609"/>
      <c r="CJV70" s="609"/>
      <c r="CJW70" s="609"/>
      <c r="CJX70" s="609"/>
      <c r="CJY70" s="609"/>
      <c r="CJZ70" s="609"/>
      <c r="CKA70" s="609"/>
      <c r="CKB70" s="609"/>
      <c r="CKC70" s="609"/>
      <c r="CKD70" s="609"/>
      <c r="CKE70" s="609"/>
      <c r="CKF70" s="609"/>
      <c r="CKG70" s="609"/>
      <c r="CKH70" s="609"/>
      <c r="CKI70" s="609"/>
      <c r="CKJ70" s="609"/>
      <c r="CKK70" s="609"/>
      <c r="CKL70" s="609"/>
      <c r="CKM70" s="609"/>
      <c r="CKN70" s="609"/>
      <c r="CKO70" s="609"/>
      <c r="CKP70" s="609"/>
      <c r="CKQ70" s="609"/>
      <c r="CKR70" s="609"/>
      <c r="CKS70" s="609"/>
      <c r="CKT70" s="609"/>
      <c r="CKU70" s="609"/>
      <c r="CKV70" s="609"/>
      <c r="CKW70" s="609"/>
      <c r="CKX70" s="609"/>
      <c r="CKY70" s="609"/>
      <c r="CKZ70" s="609"/>
      <c r="CLA70" s="609"/>
      <c r="CLB70" s="609"/>
      <c r="CLC70" s="609"/>
      <c r="CLD70" s="609"/>
      <c r="CLE70" s="609"/>
      <c r="CLF70" s="609"/>
      <c r="CLG70" s="609"/>
      <c r="CLH70" s="609"/>
      <c r="CLI70" s="609"/>
      <c r="CLJ70" s="609"/>
      <c r="CLK70" s="609"/>
      <c r="CLL70" s="609"/>
      <c r="CLM70" s="609"/>
      <c r="CLN70" s="609"/>
      <c r="CLO70" s="609"/>
      <c r="CLP70" s="609"/>
      <c r="CLQ70" s="609"/>
      <c r="CLR70" s="609"/>
      <c r="CLS70" s="609"/>
      <c r="CLT70" s="609"/>
      <c r="CLU70" s="609"/>
      <c r="CLV70" s="609"/>
      <c r="CLW70" s="609"/>
      <c r="CLX70" s="609"/>
      <c r="CLY70" s="609"/>
      <c r="CLZ70" s="609"/>
      <c r="CMA70" s="609"/>
      <c r="CMB70" s="609"/>
      <c r="CMC70" s="609"/>
      <c r="CMD70" s="609"/>
      <c r="CME70" s="609"/>
      <c r="CMF70" s="609"/>
      <c r="CMG70" s="609"/>
      <c r="CMH70" s="609"/>
      <c r="CMI70" s="609"/>
      <c r="CMJ70" s="609"/>
      <c r="CMK70" s="609"/>
      <c r="CML70" s="609"/>
      <c r="CMM70" s="609"/>
      <c r="CMN70" s="609"/>
      <c r="CMO70" s="609"/>
      <c r="CMP70" s="609"/>
      <c r="CMQ70" s="609"/>
      <c r="CMR70" s="609"/>
      <c r="CMS70" s="609"/>
      <c r="CMT70" s="609"/>
      <c r="CMU70" s="609"/>
      <c r="CMV70" s="609"/>
      <c r="CMW70" s="609"/>
      <c r="CMX70" s="609"/>
      <c r="CMY70" s="609"/>
      <c r="CMZ70" s="609"/>
      <c r="CNA70" s="609"/>
      <c r="CNB70" s="609"/>
      <c r="CNC70" s="609"/>
      <c r="CND70" s="609"/>
      <c r="CNE70" s="609"/>
      <c r="CNF70" s="609"/>
      <c r="CNG70" s="609"/>
      <c r="CNH70" s="609"/>
      <c r="CNI70" s="609"/>
      <c r="CNJ70" s="609"/>
      <c r="CNK70" s="609"/>
      <c r="CNL70" s="609"/>
      <c r="CNM70" s="609"/>
      <c r="CNN70" s="609"/>
      <c r="CNO70" s="609"/>
      <c r="CNP70" s="609"/>
      <c r="CNQ70" s="609"/>
      <c r="CNR70" s="609"/>
      <c r="CNS70" s="609"/>
      <c r="CNT70" s="609"/>
      <c r="CNU70" s="609"/>
      <c r="CNV70" s="609"/>
      <c r="CNW70" s="609"/>
      <c r="CNX70" s="609"/>
      <c r="CNY70" s="609"/>
      <c r="CNZ70" s="609"/>
      <c r="COA70" s="609"/>
      <c r="COB70" s="609"/>
      <c r="COC70" s="609"/>
      <c r="COD70" s="609"/>
      <c r="COE70" s="609"/>
      <c r="COF70" s="609"/>
      <c r="COG70" s="609"/>
      <c r="COH70" s="609"/>
      <c r="COI70" s="609"/>
      <c r="COJ70" s="609"/>
      <c r="COK70" s="609"/>
      <c r="COL70" s="609"/>
      <c r="COM70" s="609"/>
      <c r="CON70" s="609"/>
      <c r="COO70" s="609"/>
      <c r="COP70" s="609"/>
      <c r="COQ70" s="609"/>
      <c r="COR70" s="609"/>
      <c r="COS70" s="609"/>
      <c r="COT70" s="609"/>
      <c r="COU70" s="609"/>
      <c r="COV70" s="609"/>
      <c r="COW70" s="609"/>
      <c r="COX70" s="609"/>
      <c r="COY70" s="609"/>
      <c r="COZ70" s="609"/>
      <c r="CPA70" s="609"/>
      <c r="CPB70" s="609"/>
      <c r="CPC70" s="609"/>
      <c r="CPD70" s="609"/>
      <c r="CPE70" s="609"/>
      <c r="CPF70" s="609"/>
      <c r="CPG70" s="609"/>
      <c r="CPH70" s="609"/>
      <c r="CPI70" s="609"/>
      <c r="CPJ70" s="609"/>
      <c r="CPK70" s="609"/>
      <c r="CPL70" s="609"/>
      <c r="CPM70" s="609"/>
      <c r="CPN70" s="609"/>
      <c r="CPO70" s="609"/>
      <c r="CPP70" s="609"/>
      <c r="CPQ70" s="609"/>
      <c r="CPR70" s="609"/>
      <c r="CPS70" s="609"/>
      <c r="CPT70" s="609"/>
      <c r="CPU70" s="609"/>
      <c r="CPV70" s="609"/>
      <c r="CPW70" s="609"/>
      <c r="CPX70" s="609"/>
      <c r="CPY70" s="609"/>
      <c r="CPZ70" s="609"/>
      <c r="CQA70" s="609"/>
      <c r="CQB70" s="609"/>
      <c r="CQC70" s="609"/>
      <c r="CQD70" s="609"/>
      <c r="CQE70" s="609"/>
      <c r="CQF70" s="609"/>
      <c r="CQG70" s="609"/>
      <c r="CQH70" s="609"/>
      <c r="CQI70" s="609"/>
      <c r="CQJ70" s="609"/>
      <c r="CQK70" s="609"/>
      <c r="CQL70" s="609"/>
      <c r="CQM70" s="609"/>
      <c r="CQN70" s="609"/>
      <c r="CQO70" s="609"/>
      <c r="CQP70" s="609"/>
      <c r="CQQ70" s="609"/>
      <c r="CQR70" s="609"/>
      <c r="CQS70" s="609"/>
      <c r="CQT70" s="609"/>
      <c r="CQU70" s="609"/>
      <c r="CQV70" s="609"/>
      <c r="CQW70" s="609"/>
      <c r="CQX70" s="609"/>
      <c r="CQY70" s="609"/>
      <c r="CQZ70" s="609"/>
      <c r="CRA70" s="609"/>
      <c r="CRB70" s="609"/>
      <c r="CRC70" s="609"/>
      <c r="CRD70" s="609"/>
      <c r="CRE70" s="609"/>
      <c r="CRF70" s="609"/>
      <c r="CRG70" s="609"/>
      <c r="CRH70" s="609"/>
      <c r="CRI70" s="609"/>
      <c r="CRJ70" s="609"/>
      <c r="CRK70" s="609"/>
      <c r="CRL70" s="609"/>
      <c r="CRM70" s="609"/>
      <c r="CRN70" s="609"/>
      <c r="CRO70" s="609"/>
      <c r="CRP70" s="609"/>
      <c r="CRQ70" s="609"/>
      <c r="CRR70" s="609"/>
      <c r="CRS70" s="609"/>
      <c r="CRT70" s="609"/>
      <c r="CRU70" s="609"/>
      <c r="CRV70" s="609"/>
      <c r="CRW70" s="609"/>
      <c r="CRX70" s="609"/>
      <c r="CRY70" s="609"/>
      <c r="CRZ70" s="609"/>
      <c r="CSA70" s="609"/>
      <c r="CSB70" s="609"/>
      <c r="CSC70" s="609"/>
      <c r="CSD70" s="609"/>
      <c r="CSE70" s="609"/>
      <c r="CSF70" s="609"/>
      <c r="CSG70" s="609"/>
      <c r="CSH70" s="609"/>
      <c r="CSI70" s="609"/>
      <c r="CSJ70" s="609"/>
      <c r="CSK70" s="609"/>
      <c r="CSL70" s="609"/>
      <c r="CSM70" s="609"/>
      <c r="CSN70" s="609"/>
      <c r="CSO70" s="609"/>
      <c r="CSP70" s="609"/>
      <c r="CSQ70" s="609"/>
      <c r="CSR70" s="609"/>
      <c r="CSS70" s="609"/>
      <c r="CST70" s="609"/>
      <c r="CSU70" s="609"/>
      <c r="CSV70" s="609"/>
      <c r="CSW70" s="609"/>
      <c r="CSX70" s="609"/>
      <c r="CSY70" s="609"/>
      <c r="CSZ70" s="609"/>
      <c r="CTA70" s="609"/>
      <c r="CTB70" s="609"/>
      <c r="CTC70" s="609"/>
      <c r="CTD70" s="609"/>
      <c r="CTE70" s="609"/>
      <c r="CTF70" s="609"/>
      <c r="CTG70" s="609"/>
      <c r="CTH70" s="609"/>
      <c r="CTI70" s="609"/>
      <c r="CTJ70" s="609"/>
      <c r="CTK70" s="609"/>
      <c r="CTL70" s="609"/>
      <c r="CTM70" s="609"/>
      <c r="CTN70" s="609"/>
      <c r="CTO70" s="609"/>
      <c r="CTP70" s="609"/>
      <c r="CTQ70" s="609"/>
      <c r="CTR70" s="609"/>
      <c r="CTS70" s="609"/>
      <c r="CTT70" s="609"/>
      <c r="CTU70" s="609"/>
      <c r="CTV70" s="609"/>
      <c r="CTW70" s="609"/>
      <c r="CTX70" s="609"/>
      <c r="CTY70" s="609"/>
      <c r="CTZ70" s="609"/>
      <c r="CUA70" s="609"/>
      <c r="CUB70" s="609"/>
      <c r="CUC70" s="609"/>
      <c r="CUD70" s="609"/>
      <c r="CUE70" s="609"/>
      <c r="CUF70" s="609"/>
      <c r="CUG70" s="609"/>
      <c r="CUH70" s="609"/>
      <c r="CUI70" s="609"/>
      <c r="CUJ70" s="609"/>
      <c r="CUK70" s="609"/>
      <c r="CUL70" s="609"/>
      <c r="CUM70" s="609"/>
      <c r="CUN70" s="609"/>
      <c r="CUO70" s="609"/>
      <c r="CUP70" s="609"/>
      <c r="CUQ70" s="609"/>
      <c r="CUR70" s="609"/>
      <c r="CUS70" s="609"/>
      <c r="CUT70" s="609"/>
      <c r="CUU70" s="609"/>
      <c r="CUV70" s="609"/>
      <c r="CUW70" s="609"/>
      <c r="CUX70" s="609"/>
      <c r="CUY70" s="609"/>
      <c r="CUZ70" s="609"/>
      <c r="CVA70" s="609"/>
      <c r="CVB70" s="609"/>
      <c r="CVC70" s="609"/>
      <c r="CVD70" s="609"/>
      <c r="CVE70" s="609"/>
      <c r="CVF70" s="609"/>
      <c r="CVG70" s="609"/>
      <c r="CVH70" s="609"/>
      <c r="CVI70" s="609"/>
      <c r="CVJ70" s="609"/>
      <c r="CVK70" s="609"/>
      <c r="CVL70" s="609"/>
      <c r="CVM70" s="609"/>
      <c r="CVN70" s="609"/>
      <c r="CVO70" s="609"/>
      <c r="CVP70" s="609"/>
      <c r="CVQ70" s="609"/>
      <c r="CVR70" s="609"/>
      <c r="CVS70" s="609"/>
      <c r="CVT70" s="609"/>
      <c r="CVU70" s="609"/>
      <c r="CVV70" s="609"/>
      <c r="CVW70" s="609"/>
      <c r="CVX70" s="609"/>
      <c r="CVY70" s="609"/>
      <c r="CVZ70" s="609"/>
      <c r="CWA70" s="609"/>
      <c r="CWB70" s="609"/>
      <c r="CWC70" s="609"/>
      <c r="CWD70" s="609"/>
      <c r="CWE70" s="609"/>
      <c r="CWF70" s="609"/>
      <c r="CWG70" s="609"/>
      <c r="CWH70" s="609"/>
      <c r="CWI70" s="609"/>
      <c r="CWJ70" s="609"/>
      <c r="CWK70" s="609"/>
      <c r="CWL70" s="609"/>
      <c r="CWM70" s="609"/>
      <c r="CWN70" s="609"/>
      <c r="CWO70" s="609"/>
      <c r="CWP70" s="609"/>
      <c r="CWQ70" s="609"/>
      <c r="CWR70" s="609"/>
      <c r="CWS70" s="609"/>
      <c r="CWT70" s="609"/>
      <c r="CWU70" s="609"/>
      <c r="CWV70" s="609"/>
      <c r="CWW70" s="609"/>
      <c r="CWX70" s="609"/>
      <c r="CWY70" s="609"/>
      <c r="CWZ70" s="609"/>
      <c r="CXA70" s="609"/>
      <c r="CXB70" s="609"/>
      <c r="CXC70" s="609"/>
      <c r="CXD70" s="609"/>
      <c r="CXE70" s="609"/>
      <c r="CXF70" s="609"/>
      <c r="CXG70" s="609"/>
      <c r="CXH70" s="609"/>
      <c r="CXI70" s="609"/>
      <c r="CXJ70" s="609"/>
      <c r="CXK70" s="609"/>
      <c r="CXL70" s="609"/>
      <c r="CXM70" s="609"/>
      <c r="CXN70" s="609"/>
      <c r="CXO70" s="609"/>
      <c r="CXP70" s="609"/>
      <c r="CXQ70" s="609"/>
      <c r="CXR70" s="609"/>
      <c r="CXS70" s="609"/>
      <c r="CXT70" s="609"/>
      <c r="CXU70" s="609"/>
      <c r="CXV70" s="609"/>
      <c r="CXW70" s="609"/>
      <c r="CXX70" s="609"/>
      <c r="CXY70" s="609"/>
      <c r="CXZ70" s="609"/>
      <c r="CYA70" s="609"/>
      <c r="CYB70" s="609"/>
      <c r="CYC70" s="609"/>
      <c r="CYD70" s="609"/>
      <c r="CYE70" s="609"/>
      <c r="CYF70" s="609"/>
      <c r="CYG70" s="609"/>
      <c r="CYH70" s="609"/>
      <c r="CYI70" s="609"/>
      <c r="CYJ70" s="609"/>
      <c r="CYK70" s="609"/>
      <c r="CYL70" s="609"/>
      <c r="CYM70" s="609"/>
      <c r="CYN70" s="609"/>
      <c r="CYO70" s="609"/>
      <c r="CYP70" s="609"/>
      <c r="CYQ70" s="609"/>
      <c r="CYR70" s="609"/>
      <c r="CYS70" s="609"/>
      <c r="CYT70" s="609"/>
      <c r="CYU70" s="609"/>
      <c r="CYV70" s="609"/>
      <c r="CYW70" s="609"/>
      <c r="CYX70" s="609"/>
      <c r="CYY70" s="609"/>
      <c r="CYZ70" s="609"/>
      <c r="CZA70" s="609"/>
      <c r="CZB70" s="609"/>
      <c r="CZC70" s="609"/>
      <c r="CZD70" s="609"/>
      <c r="CZE70" s="609"/>
      <c r="CZF70" s="609"/>
      <c r="CZG70" s="609"/>
      <c r="CZH70" s="609"/>
      <c r="CZI70" s="609"/>
      <c r="CZJ70" s="609"/>
      <c r="CZK70" s="609"/>
      <c r="CZL70" s="609"/>
      <c r="CZM70" s="609"/>
      <c r="CZN70" s="609"/>
      <c r="CZO70" s="609"/>
      <c r="CZP70" s="609"/>
      <c r="CZQ70" s="609"/>
      <c r="CZR70" s="609"/>
      <c r="CZS70" s="609"/>
      <c r="CZT70" s="609"/>
      <c r="CZU70" s="609"/>
      <c r="CZV70" s="609"/>
      <c r="CZW70" s="609"/>
      <c r="CZX70" s="609"/>
      <c r="CZY70" s="609"/>
      <c r="CZZ70" s="609"/>
      <c r="DAA70" s="609"/>
      <c r="DAB70" s="609"/>
      <c r="DAC70" s="609"/>
      <c r="DAD70" s="609"/>
      <c r="DAE70" s="609"/>
      <c r="DAF70" s="609"/>
      <c r="DAG70" s="609"/>
      <c r="DAH70" s="609"/>
      <c r="DAI70" s="609"/>
      <c r="DAJ70" s="609"/>
      <c r="DAK70" s="609"/>
      <c r="DAL70" s="609"/>
      <c r="DAM70" s="609"/>
      <c r="DAN70" s="609"/>
      <c r="DAO70" s="609"/>
      <c r="DAP70" s="609"/>
      <c r="DAQ70" s="609"/>
      <c r="DAR70" s="609"/>
      <c r="DAS70" s="609"/>
      <c r="DAT70" s="609"/>
      <c r="DAU70" s="609"/>
      <c r="DAV70" s="609"/>
      <c r="DAW70" s="609"/>
      <c r="DAX70" s="609"/>
      <c r="DAY70" s="609"/>
      <c r="DAZ70" s="609"/>
      <c r="DBA70" s="609"/>
      <c r="DBB70" s="609"/>
      <c r="DBC70" s="609"/>
      <c r="DBD70" s="609"/>
      <c r="DBE70" s="609"/>
      <c r="DBF70" s="609"/>
      <c r="DBG70" s="609"/>
      <c r="DBH70" s="609"/>
      <c r="DBI70" s="609"/>
      <c r="DBJ70" s="609"/>
      <c r="DBK70" s="609"/>
      <c r="DBL70" s="609"/>
      <c r="DBM70" s="609"/>
      <c r="DBN70" s="609"/>
      <c r="DBO70" s="609"/>
      <c r="DBP70" s="609"/>
      <c r="DBQ70" s="609"/>
      <c r="DBR70" s="609"/>
      <c r="DBS70" s="609"/>
      <c r="DBT70" s="609"/>
      <c r="DBU70" s="609"/>
      <c r="DBV70" s="609"/>
      <c r="DBW70" s="609"/>
      <c r="DBX70" s="609"/>
      <c r="DBY70" s="609"/>
      <c r="DBZ70" s="609"/>
      <c r="DCA70" s="609"/>
      <c r="DCB70" s="609"/>
      <c r="DCC70" s="609"/>
      <c r="DCD70" s="609"/>
      <c r="DCE70" s="609"/>
      <c r="DCF70" s="609"/>
      <c r="DCG70" s="609"/>
      <c r="DCH70" s="609"/>
      <c r="DCI70" s="609"/>
      <c r="DCJ70" s="609"/>
      <c r="DCK70" s="609"/>
      <c r="DCL70" s="609"/>
      <c r="DCM70" s="609"/>
      <c r="DCN70" s="609"/>
      <c r="DCO70" s="609"/>
      <c r="DCP70" s="609"/>
      <c r="DCQ70" s="609"/>
      <c r="DCR70" s="609"/>
      <c r="DCS70" s="609"/>
      <c r="DCT70" s="609"/>
      <c r="DCU70" s="609"/>
      <c r="DCV70" s="609"/>
      <c r="DCW70" s="609"/>
      <c r="DCX70" s="609"/>
      <c r="DCY70" s="609"/>
      <c r="DCZ70" s="609"/>
      <c r="DDA70" s="609"/>
      <c r="DDB70" s="609"/>
      <c r="DDC70" s="609"/>
      <c r="DDD70" s="609"/>
      <c r="DDE70" s="609"/>
      <c r="DDF70" s="609"/>
      <c r="DDG70" s="609"/>
      <c r="DDH70" s="609"/>
      <c r="DDI70" s="609"/>
      <c r="DDJ70" s="609"/>
      <c r="DDK70" s="609"/>
      <c r="DDL70" s="609"/>
      <c r="DDM70" s="609"/>
      <c r="DDN70" s="609"/>
      <c r="DDO70" s="609"/>
      <c r="DDP70" s="609"/>
      <c r="DDQ70" s="609"/>
      <c r="DDR70" s="609"/>
      <c r="DDS70" s="609"/>
      <c r="DDT70" s="609"/>
      <c r="DDU70" s="609"/>
      <c r="DDV70" s="609"/>
      <c r="DDW70" s="609"/>
      <c r="DDX70" s="609"/>
      <c r="DDY70" s="609"/>
      <c r="DDZ70" s="609"/>
      <c r="DEA70" s="609"/>
      <c r="DEB70" s="609"/>
      <c r="DEC70" s="609"/>
      <c r="DED70" s="609"/>
      <c r="DEE70" s="609"/>
      <c r="DEF70" s="609"/>
      <c r="DEG70" s="609"/>
      <c r="DEH70" s="609"/>
      <c r="DEI70" s="609"/>
      <c r="DEJ70" s="609"/>
      <c r="DEK70" s="609"/>
      <c r="DEL70" s="609"/>
      <c r="DEM70" s="609"/>
      <c r="DEN70" s="609"/>
      <c r="DEO70" s="609"/>
      <c r="DEP70" s="609"/>
      <c r="DEQ70" s="609"/>
      <c r="DER70" s="609"/>
      <c r="DES70" s="609"/>
      <c r="DET70" s="609"/>
      <c r="DEU70" s="609"/>
      <c r="DEV70" s="609"/>
      <c r="DEW70" s="609"/>
      <c r="DEX70" s="609"/>
      <c r="DEY70" s="609"/>
      <c r="DEZ70" s="609"/>
      <c r="DFA70" s="609"/>
      <c r="DFB70" s="609"/>
      <c r="DFC70" s="609"/>
      <c r="DFD70" s="609"/>
      <c r="DFE70" s="609"/>
      <c r="DFF70" s="609"/>
      <c r="DFG70" s="609"/>
      <c r="DFH70" s="609"/>
      <c r="DFI70" s="609"/>
      <c r="DFJ70" s="609"/>
      <c r="DFK70" s="609"/>
      <c r="DFL70" s="609"/>
      <c r="DFM70" s="609"/>
      <c r="DFN70" s="609"/>
      <c r="DFO70" s="609"/>
      <c r="DFP70" s="609"/>
      <c r="DFQ70" s="609"/>
      <c r="DFR70" s="609"/>
      <c r="DFS70" s="609"/>
      <c r="DFT70" s="609"/>
      <c r="DFU70" s="609"/>
      <c r="DFV70" s="609"/>
      <c r="DFW70" s="609"/>
      <c r="DFX70" s="609"/>
      <c r="DFY70" s="609"/>
      <c r="DFZ70" s="609"/>
      <c r="DGA70" s="609"/>
      <c r="DGB70" s="609"/>
      <c r="DGC70" s="609"/>
      <c r="DGD70" s="609"/>
      <c r="DGE70" s="609"/>
      <c r="DGF70" s="609"/>
      <c r="DGG70" s="609"/>
      <c r="DGH70" s="609"/>
      <c r="DGI70" s="609"/>
      <c r="DGJ70" s="609"/>
      <c r="DGK70" s="609"/>
      <c r="DGL70" s="609"/>
      <c r="DGM70" s="609"/>
      <c r="DGN70" s="609"/>
      <c r="DGO70" s="609"/>
      <c r="DGP70" s="609"/>
      <c r="DGQ70" s="609"/>
      <c r="DGR70" s="609"/>
      <c r="DGS70" s="609"/>
      <c r="DGT70" s="609"/>
      <c r="DGU70" s="609"/>
      <c r="DGV70" s="609"/>
      <c r="DGW70" s="609"/>
      <c r="DGX70" s="609"/>
      <c r="DGY70" s="609"/>
      <c r="DGZ70" s="609"/>
      <c r="DHA70" s="609"/>
      <c r="DHB70" s="609"/>
      <c r="DHC70" s="609"/>
      <c r="DHD70" s="609"/>
      <c r="DHE70" s="609"/>
      <c r="DHF70" s="609"/>
      <c r="DHG70" s="609"/>
      <c r="DHH70" s="609"/>
      <c r="DHI70" s="609"/>
      <c r="DHJ70" s="609"/>
      <c r="DHK70" s="609"/>
      <c r="DHL70" s="609"/>
      <c r="DHM70" s="609"/>
      <c r="DHN70" s="609"/>
      <c r="DHO70" s="609"/>
      <c r="DHP70" s="609"/>
      <c r="DHQ70" s="609"/>
      <c r="DHR70" s="609"/>
      <c r="DHS70" s="609"/>
      <c r="DHT70" s="609"/>
      <c r="DHU70" s="609"/>
      <c r="DHV70" s="609"/>
      <c r="DHW70" s="609"/>
      <c r="DHX70" s="609"/>
      <c r="DHY70" s="609"/>
      <c r="DHZ70" s="609"/>
      <c r="DIA70" s="609"/>
      <c r="DIB70" s="609"/>
      <c r="DIC70" s="609"/>
      <c r="DID70" s="609"/>
      <c r="DIE70" s="609"/>
      <c r="DIF70" s="609"/>
      <c r="DIG70" s="609"/>
      <c r="DIH70" s="609"/>
      <c r="DII70" s="609"/>
      <c r="DIJ70" s="609"/>
      <c r="DIK70" s="609"/>
      <c r="DIL70" s="609"/>
      <c r="DIM70" s="609"/>
      <c r="DIN70" s="609"/>
      <c r="DIO70" s="609"/>
      <c r="DIP70" s="609"/>
      <c r="DIQ70" s="609"/>
      <c r="DIR70" s="609"/>
      <c r="DIS70" s="609"/>
      <c r="DIT70" s="609"/>
      <c r="DIU70" s="609"/>
      <c r="DIV70" s="609"/>
      <c r="DIW70" s="609"/>
      <c r="DIX70" s="609"/>
      <c r="DIY70" s="609"/>
      <c r="DIZ70" s="609"/>
      <c r="DJA70" s="609"/>
      <c r="DJB70" s="609"/>
      <c r="DJC70" s="609"/>
      <c r="DJD70" s="609"/>
      <c r="DJE70" s="609"/>
      <c r="DJF70" s="609"/>
      <c r="DJG70" s="609"/>
      <c r="DJH70" s="609"/>
      <c r="DJI70" s="609"/>
      <c r="DJJ70" s="609"/>
      <c r="DJK70" s="609"/>
      <c r="DJL70" s="609"/>
      <c r="DJM70" s="609"/>
      <c r="DJN70" s="609"/>
      <c r="DJO70" s="609"/>
      <c r="DJP70" s="609"/>
      <c r="DJQ70" s="609"/>
      <c r="DJR70" s="609"/>
      <c r="DJS70" s="609"/>
      <c r="DJT70" s="609"/>
      <c r="DJU70" s="609"/>
      <c r="DJV70" s="609"/>
      <c r="DJW70" s="609"/>
      <c r="DJX70" s="609"/>
      <c r="DJY70" s="609"/>
      <c r="DJZ70" s="609"/>
      <c r="DKA70" s="609"/>
      <c r="DKB70" s="609"/>
      <c r="DKC70" s="609"/>
      <c r="DKD70" s="609"/>
      <c r="DKE70" s="609"/>
      <c r="DKF70" s="609"/>
      <c r="DKG70" s="609"/>
      <c r="DKH70" s="609"/>
      <c r="DKI70" s="609"/>
      <c r="DKJ70" s="609"/>
      <c r="DKK70" s="609"/>
      <c r="DKL70" s="609"/>
      <c r="DKM70" s="609"/>
      <c r="DKN70" s="609"/>
      <c r="DKO70" s="609"/>
      <c r="DKP70" s="609"/>
      <c r="DKQ70" s="609"/>
      <c r="DKR70" s="609"/>
      <c r="DKS70" s="609"/>
      <c r="DKT70" s="609"/>
      <c r="DKU70" s="609"/>
      <c r="DKV70" s="609"/>
      <c r="DKW70" s="609"/>
      <c r="DKX70" s="609"/>
      <c r="DKY70" s="609"/>
      <c r="DKZ70" s="609"/>
      <c r="DLA70" s="609"/>
      <c r="DLB70" s="609"/>
      <c r="DLC70" s="609"/>
      <c r="DLD70" s="609"/>
      <c r="DLE70" s="609"/>
      <c r="DLF70" s="609"/>
      <c r="DLG70" s="609"/>
      <c r="DLH70" s="609"/>
      <c r="DLI70" s="609"/>
      <c r="DLJ70" s="609"/>
      <c r="DLK70" s="609"/>
      <c r="DLL70" s="609"/>
      <c r="DLM70" s="609"/>
      <c r="DLN70" s="609"/>
      <c r="DLO70" s="609"/>
      <c r="DLP70" s="609"/>
      <c r="DLQ70" s="609"/>
      <c r="DLR70" s="609"/>
      <c r="DLS70" s="609"/>
      <c r="DLT70" s="609"/>
      <c r="DLU70" s="609"/>
      <c r="DLV70" s="609"/>
      <c r="DLW70" s="609"/>
      <c r="DLX70" s="609"/>
      <c r="DLY70" s="609"/>
      <c r="DLZ70" s="609"/>
      <c r="DMA70" s="609"/>
      <c r="DMB70" s="609"/>
      <c r="DMC70" s="609"/>
      <c r="DMD70" s="609"/>
      <c r="DME70" s="609"/>
      <c r="DMF70" s="609"/>
      <c r="DMG70" s="609"/>
      <c r="DMH70" s="609"/>
      <c r="DMI70" s="609"/>
      <c r="DMJ70" s="609"/>
      <c r="DMK70" s="609"/>
      <c r="DML70" s="609"/>
      <c r="DMM70" s="609"/>
      <c r="DMN70" s="609"/>
      <c r="DMO70" s="609"/>
      <c r="DMP70" s="609"/>
      <c r="DMQ70" s="609"/>
      <c r="DMR70" s="609"/>
      <c r="DMS70" s="609"/>
      <c r="DMT70" s="609"/>
      <c r="DMU70" s="609"/>
      <c r="DMV70" s="609"/>
      <c r="DMW70" s="609"/>
      <c r="DMX70" s="609"/>
      <c r="DMY70" s="609"/>
      <c r="DMZ70" s="609"/>
      <c r="DNA70" s="609"/>
      <c r="DNB70" s="609"/>
      <c r="DNC70" s="609"/>
      <c r="DND70" s="609"/>
      <c r="DNE70" s="609"/>
      <c r="DNF70" s="609"/>
      <c r="DNG70" s="609"/>
      <c r="DNH70" s="609"/>
      <c r="DNI70" s="609"/>
      <c r="DNJ70" s="609"/>
      <c r="DNK70" s="609"/>
      <c r="DNL70" s="609"/>
      <c r="DNM70" s="609"/>
      <c r="DNN70" s="609"/>
      <c r="DNO70" s="609"/>
      <c r="DNP70" s="609"/>
      <c r="DNQ70" s="609"/>
      <c r="DNR70" s="609"/>
      <c r="DNS70" s="609"/>
      <c r="DNT70" s="609"/>
      <c r="DNU70" s="609"/>
      <c r="DNV70" s="609"/>
      <c r="DNW70" s="609"/>
      <c r="DNX70" s="609"/>
      <c r="DNY70" s="609"/>
      <c r="DNZ70" s="609"/>
      <c r="DOA70" s="609"/>
      <c r="DOB70" s="609"/>
      <c r="DOC70" s="609"/>
      <c r="DOD70" s="609"/>
      <c r="DOE70" s="609"/>
      <c r="DOF70" s="609"/>
      <c r="DOG70" s="609"/>
      <c r="DOH70" s="609"/>
      <c r="DOI70" s="609"/>
      <c r="DOJ70" s="609"/>
      <c r="DOK70" s="609"/>
      <c r="DOL70" s="609"/>
      <c r="DOM70" s="609"/>
      <c r="DON70" s="609"/>
      <c r="DOO70" s="609"/>
      <c r="DOP70" s="609"/>
      <c r="DOQ70" s="609"/>
      <c r="DOR70" s="609"/>
      <c r="DOS70" s="609"/>
      <c r="DOT70" s="609"/>
      <c r="DOU70" s="609"/>
      <c r="DOV70" s="609"/>
      <c r="DOW70" s="609"/>
      <c r="DOX70" s="609"/>
      <c r="DOY70" s="609"/>
      <c r="DOZ70" s="609"/>
      <c r="DPA70" s="609"/>
      <c r="DPB70" s="609"/>
      <c r="DPC70" s="609"/>
      <c r="DPD70" s="609"/>
      <c r="DPE70" s="609"/>
      <c r="DPF70" s="609"/>
      <c r="DPG70" s="609"/>
      <c r="DPH70" s="609"/>
      <c r="DPI70" s="609"/>
      <c r="DPJ70" s="609"/>
      <c r="DPK70" s="609"/>
      <c r="DPL70" s="609"/>
      <c r="DPM70" s="609"/>
      <c r="DPN70" s="609"/>
      <c r="DPO70" s="609"/>
      <c r="DPP70" s="609"/>
      <c r="DPQ70" s="609"/>
      <c r="DPR70" s="609"/>
      <c r="DPS70" s="609"/>
      <c r="DPT70" s="609"/>
      <c r="DPU70" s="609"/>
      <c r="DPV70" s="609"/>
      <c r="DPW70" s="609"/>
      <c r="DPX70" s="609"/>
      <c r="DPY70" s="609"/>
      <c r="DPZ70" s="609"/>
      <c r="DQA70" s="609"/>
      <c r="DQB70" s="609"/>
      <c r="DQC70" s="609"/>
      <c r="DQD70" s="609"/>
      <c r="DQE70" s="609"/>
      <c r="DQF70" s="609"/>
      <c r="DQG70" s="609"/>
      <c r="DQH70" s="609"/>
      <c r="DQI70" s="609"/>
      <c r="DQJ70" s="609"/>
      <c r="DQK70" s="609"/>
      <c r="DQL70" s="609"/>
      <c r="DQM70" s="609"/>
      <c r="DQN70" s="609"/>
      <c r="DQO70" s="609"/>
      <c r="DQP70" s="609"/>
      <c r="DQQ70" s="609"/>
      <c r="DQR70" s="609"/>
      <c r="DQS70" s="609"/>
      <c r="DQT70" s="609"/>
      <c r="DQU70" s="609"/>
      <c r="DQV70" s="609"/>
      <c r="DQW70" s="609"/>
      <c r="DQX70" s="609"/>
      <c r="DQY70" s="609"/>
      <c r="DQZ70" s="609"/>
      <c r="DRA70" s="609"/>
      <c r="DRB70" s="609"/>
      <c r="DRC70" s="609"/>
      <c r="DRD70" s="609"/>
      <c r="DRE70" s="609"/>
      <c r="DRF70" s="609"/>
      <c r="DRG70" s="609"/>
      <c r="DRH70" s="609"/>
      <c r="DRI70" s="609"/>
      <c r="DRJ70" s="609"/>
      <c r="DRK70" s="609"/>
      <c r="DRL70" s="609"/>
      <c r="DRM70" s="609"/>
      <c r="DRN70" s="609"/>
      <c r="DRO70" s="609"/>
      <c r="DRP70" s="609"/>
      <c r="DRQ70" s="609"/>
      <c r="DRR70" s="609"/>
      <c r="DRS70" s="609"/>
      <c r="DRT70" s="609"/>
      <c r="DRU70" s="609"/>
      <c r="DRV70" s="609"/>
      <c r="DRW70" s="609"/>
      <c r="DRX70" s="609"/>
      <c r="DRY70" s="609"/>
      <c r="DRZ70" s="609"/>
      <c r="DSA70" s="609"/>
      <c r="DSB70" s="609"/>
      <c r="DSC70" s="609"/>
      <c r="DSD70" s="609"/>
      <c r="DSE70" s="609"/>
      <c r="DSF70" s="609"/>
      <c r="DSG70" s="609"/>
      <c r="DSH70" s="609"/>
      <c r="DSI70" s="609"/>
      <c r="DSJ70" s="609"/>
      <c r="DSK70" s="609"/>
      <c r="DSL70" s="609"/>
      <c r="DSM70" s="609"/>
      <c r="DSN70" s="609"/>
      <c r="DSO70" s="609"/>
      <c r="DSP70" s="609"/>
      <c r="DSQ70" s="609"/>
      <c r="DSR70" s="609"/>
      <c r="DSS70" s="609"/>
      <c r="DST70" s="609"/>
      <c r="DSU70" s="609"/>
      <c r="DSV70" s="609"/>
      <c r="DSW70" s="609"/>
      <c r="DSX70" s="609"/>
      <c r="DSY70" s="609"/>
      <c r="DSZ70" s="609"/>
      <c r="DTA70" s="609"/>
      <c r="DTB70" s="609"/>
      <c r="DTC70" s="609"/>
      <c r="DTD70" s="609"/>
      <c r="DTE70" s="609"/>
      <c r="DTF70" s="609"/>
      <c r="DTG70" s="609"/>
      <c r="DTH70" s="609"/>
      <c r="DTI70" s="609"/>
      <c r="DTJ70" s="609"/>
      <c r="DTK70" s="609"/>
      <c r="DTL70" s="609"/>
      <c r="DTM70" s="609"/>
      <c r="DTN70" s="609"/>
      <c r="DTO70" s="609"/>
      <c r="DTP70" s="609"/>
      <c r="DTQ70" s="609"/>
      <c r="DTR70" s="609"/>
      <c r="DTS70" s="609"/>
      <c r="DTT70" s="609"/>
      <c r="DTU70" s="609"/>
      <c r="DTV70" s="609"/>
      <c r="DTW70" s="609"/>
      <c r="DTX70" s="609"/>
      <c r="DTY70" s="609"/>
      <c r="DTZ70" s="609"/>
      <c r="DUA70" s="609"/>
      <c r="DUB70" s="609"/>
      <c r="DUC70" s="609"/>
      <c r="DUD70" s="609"/>
      <c r="DUE70" s="609"/>
      <c r="DUF70" s="609"/>
      <c r="DUG70" s="609"/>
      <c r="DUH70" s="609"/>
      <c r="DUI70" s="609"/>
      <c r="DUJ70" s="609"/>
      <c r="DUK70" s="609"/>
      <c r="DUL70" s="609"/>
      <c r="DUM70" s="609"/>
      <c r="DUN70" s="609"/>
      <c r="DUO70" s="609"/>
      <c r="DUP70" s="609"/>
      <c r="DUQ70" s="609"/>
      <c r="DUR70" s="609"/>
      <c r="DUS70" s="609"/>
      <c r="DUT70" s="609"/>
      <c r="DUU70" s="609"/>
      <c r="DUV70" s="609"/>
      <c r="DUW70" s="609"/>
      <c r="DUX70" s="609"/>
      <c r="DUY70" s="609"/>
      <c r="DUZ70" s="609"/>
      <c r="DVA70" s="609"/>
      <c r="DVB70" s="609"/>
      <c r="DVC70" s="609"/>
      <c r="DVD70" s="609"/>
      <c r="DVE70" s="609"/>
      <c r="DVF70" s="609"/>
      <c r="DVG70" s="609"/>
      <c r="DVH70" s="609"/>
      <c r="DVI70" s="609"/>
      <c r="DVJ70" s="609"/>
      <c r="DVK70" s="609"/>
      <c r="DVL70" s="609"/>
      <c r="DVM70" s="609"/>
      <c r="DVN70" s="609"/>
      <c r="DVO70" s="609"/>
      <c r="DVP70" s="609"/>
      <c r="DVQ70" s="609"/>
      <c r="DVR70" s="609"/>
      <c r="DVS70" s="609"/>
      <c r="DVT70" s="609"/>
      <c r="DVU70" s="609"/>
      <c r="DVV70" s="609"/>
      <c r="DVW70" s="609"/>
      <c r="DVX70" s="609"/>
      <c r="DVY70" s="609"/>
      <c r="DVZ70" s="609"/>
      <c r="DWA70" s="609"/>
      <c r="DWB70" s="609"/>
      <c r="DWC70" s="609"/>
      <c r="DWD70" s="609"/>
      <c r="DWE70" s="609"/>
      <c r="DWF70" s="609"/>
      <c r="DWG70" s="609"/>
      <c r="DWH70" s="609"/>
      <c r="DWI70" s="609"/>
      <c r="DWJ70" s="609"/>
      <c r="DWK70" s="609"/>
      <c r="DWL70" s="609"/>
      <c r="DWM70" s="609"/>
      <c r="DWN70" s="609"/>
      <c r="DWO70" s="609"/>
      <c r="DWP70" s="609"/>
      <c r="DWQ70" s="609"/>
      <c r="DWR70" s="609"/>
      <c r="DWS70" s="609"/>
      <c r="DWT70" s="609"/>
      <c r="DWU70" s="609"/>
      <c r="DWV70" s="609"/>
      <c r="DWW70" s="609"/>
      <c r="DWX70" s="609"/>
      <c r="DWY70" s="609"/>
      <c r="DWZ70" s="609"/>
      <c r="DXA70" s="609"/>
      <c r="DXB70" s="609"/>
      <c r="DXC70" s="609"/>
      <c r="DXD70" s="609"/>
      <c r="DXE70" s="609"/>
      <c r="DXF70" s="609"/>
      <c r="DXG70" s="609"/>
      <c r="DXH70" s="609"/>
      <c r="DXI70" s="609"/>
      <c r="DXJ70" s="609"/>
      <c r="DXK70" s="609"/>
      <c r="DXL70" s="609"/>
      <c r="DXM70" s="609"/>
      <c r="DXN70" s="609"/>
      <c r="DXO70" s="609"/>
      <c r="DXP70" s="609"/>
      <c r="DXQ70" s="609"/>
      <c r="DXR70" s="609"/>
      <c r="DXS70" s="609"/>
      <c r="DXT70" s="609"/>
      <c r="DXU70" s="609"/>
      <c r="DXV70" s="609"/>
      <c r="DXW70" s="609"/>
      <c r="DXX70" s="609"/>
      <c r="DXY70" s="609"/>
      <c r="DXZ70" s="609"/>
      <c r="DYA70" s="609"/>
      <c r="DYB70" s="609"/>
      <c r="DYC70" s="609"/>
      <c r="DYD70" s="609"/>
      <c r="DYE70" s="609"/>
      <c r="DYF70" s="609"/>
      <c r="DYG70" s="609"/>
      <c r="DYH70" s="609"/>
      <c r="DYI70" s="609"/>
      <c r="DYJ70" s="609"/>
      <c r="DYK70" s="609"/>
      <c r="DYL70" s="609"/>
      <c r="DYM70" s="609"/>
      <c r="DYN70" s="609"/>
      <c r="DYO70" s="609"/>
      <c r="DYP70" s="609"/>
      <c r="DYQ70" s="609"/>
      <c r="DYR70" s="609"/>
      <c r="DYS70" s="609"/>
      <c r="DYT70" s="609"/>
      <c r="DYU70" s="609"/>
      <c r="DYV70" s="609"/>
      <c r="DYW70" s="609"/>
      <c r="DYX70" s="609"/>
      <c r="DYY70" s="609"/>
      <c r="DYZ70" s="609"/>
      <c r="DZA70" s="609"/>
      <c r="DZB70" s="609"/>
      <c r="DZC70" s="609"/>
      <c r="DZD70" s="609"/>
      <c r="DZE70" s="609"/>
      <c r="DZF70" s="609"/>
      <c r="DZG70" s="609"/>
      <c r="DZH70" s="609"/>
      <c r="DZI70" s="609"/>
      <c r="DZJ70" s="609"/>
      <c r="DZK70" s="609"/>
      <c r="DZL70" s="609"/>
      <c r="DZM70" s="609"/>
      <c r="DZN70" s="609"/>
      <c r="DZO70" s="609"/>
      <c r="DZP70" s="609"/>
      <c r="DZQ70" s="609"/>
      <c r="DZR70" s="609"/>
      <c r="DZS70" s="609"/>
      <c r="DZT70" s="609"/>
      <c r="DZU70" s="609"/>
      <c r="DZV70" s="609"/>
      <c r="DZW70" s="609"/>
      <c r="DZX70" s="609"/>
      <c r="DZY70" s="609"/>
      <c r="DZZ70" s="609"/>
      <c r="EAA70" s="609"/>
      <c r="EAB70" s="609"/>
      <c r="EAC70" s="609"/>
      <c r="EAD70" s="609"/>
      <c r="EAE70" s="609"/>
      <c r="EAF70" s="609"/>
      <c r="EAG70" s="609"/>
      <c r="EAH70" s="609"/>
      <c r="EAI70" s="609"/>
      <c r="EAJ70" s="609"/>
      <c r="EAK70" s="609"/>
      <c r="EAL70" s="609"/>
      <c r="EAM70" s="609"/>
      <c r="EAN70" s="609"/>
      <c r="EAO70" s="609"/>
      <c r="EAP70" s="609"/>
      <c r="EAQ70" s="609"/>
      <c r="EAR70" s="609"/>
      <c r="EAS70" s="609"/>
      <c r="EAT70" s="609"/>
      <c r="EAU70" s="609"/>
      <c r="EAV70" s="609"/>
      <c r="EAW70" s="609"/>
      <c r="EAX70" s="609"/>
      <c r="EAY70" s="609"/>
      <c r="EAZ70" s="609"/>
      <c r="EBA70" s="609"/>
      <c r="EBB70" s="609"/>
      <c r="EBC70" s="609"/>
      <c r="EBD70" s="609"/>
      <c r="EBE70" s="609"/>
      <c r="EBF70" s="609"/>
      <c r="EBG70" s="609"/>
      <c r="EBH70" s="609"/>
      <c r="EBI70" s="609"/>
      <c r="EBJ70" s="609"/>
      <c r="EBK70" s="609"/>
      <c r="EBL70" s="609"/>
      <c r="EBM70" s="609"/>
      <c r="EBN70" s="609"/>
      <c r="EBO70" s="609"/>
      <c r="EBP70" s="609"/>
      <c r="EBQ70" s="609"/>
      <c r="EBR70" s="609"/>
      <c r="EBS70" s="609"/>
      <c r="EBT70" s="609"/>
      <c r="EBU70" s="609"/>
      <c r="EBV70" s="609"/>
      <c r="EBW70" s="609"/>
      <c r="EBX70" s="609"/>
      <c r="EBY70" s="609"/>
      <c r="EBZ70" s="609"/>
      <c r="ECA70" s="609"/>
      <c r="ECB70" s="609"/>
      <c r="ECC70" s="609"/>
      <c r="ECD70" s="609"/>
      <c r="ECE70" s="609"/>
      <c r="ECF70" s="609"/>
      <c r="ECG70" s="609"/>
      <c r="ECH70" s="609"/>
      <c r="ECI70" s="609"/>
      <c r="ECJ70" s="609"/>
      <c r="ECK70" s="609"/>
      <c r="ECL70" s="609"/>
      <c r="ECM70" s="609"/>
      <c r="ECN70" s="609"/>
      <c r="ECO70" s="609"/>
      <c r="ECP70" s="609"/>
      <c r="ECQ70" s="609"/>
      <c r="ECR70" s="609"/>
      <c r="ECS70" s="609"/>
      <c r="ECT70" s="609"/>
      <c r="ECU70" s="609"/>
      <c r="ECV70" s="609"/>
      <c r="ECW70" s="609"/>
      <c r="ECX70" s="609"/>
      <c r="ECY70" s="609"/>
      <c r="ECZ70" s="609"/>
      <c r="EDA70" s="609"/>
      <c r="EDB70" s="609"/>
      <c r="EDC70" s="609"/>
      <c r="EDD70" s="609"/>
      <c r="EDE70" s="609"/>
      <c r="EDF70" s="609"/>
      <c r="EDG70" s="609"/>
      <c r="EDH70" s="609"/>
      <c r="EDI70" s="609"/>
      <c r="EDJ70" s="609"/>
      <c r="EDK70" s="609"/>
      <c r="EDL70" s="609"/>
      <c r="EDM70" s="609"/>
      <c r="EDN70" s="609"/>
      <c r="EDO70" s="609"/>
      <c r="EDP70" s="609"/>
      <c r="EDQ70" s="609"/>
      <c r="EDR70" s="609"/>
      <c r="EDS70" s="609"/>
      <c r="EDT70" s="609"/>
      <c r="EDU70" s="609"/>
      <c r="EDV70" s="609"/>
      <c r="EDW70" s="609"/>
      <c r="EDX70" s="609"/>
      <c r="EDY70" s="609"/>
      <c r="EDZ70" s="609"/>
      <c r="EEA70" s="609"/>
      <c r="EEB70" s="609"/>
      <c r="EEC70" s="609"/>
      <c r="EED70" s="609"/>
      <c r="EEE70" s="609"/>
      <c r="EEF70" s="609"/>
      <c r="EEG70" s="609"/>
      <c r="EEH70" s="609"/>
      <c r="EEI70" s="609"/>
      <c r="EEJ70" s="609"/>
      <c r="EEK70" s="609"/>
      <c r="EEL70" s="609"/>
      <c r="EEM70" s="609"/>
      <c r="EEN70" s="609"/>
      <c r="EEO70" s="609"/>
      <c r="EEP70" s="609"/>
      <c r="EEQ70" s="609"/>
      <c r="EER70" s="609"/>
      <c r="EES70" s="609"/>
      <c r="EET70" s="609"/>
      <c r="EEU70" s="609"/>
      <c r="EEV70" s="609"/>
      <c r="EEW70" s="609"/>
      <c r="EEX70" s="609"/>
      <c r="EEY70" s="609"/>
      <c r="EEZ70" s="609"/>
      <c r="EFA70" s="609"/>
      <c r="EFB70" s="609"/>
      <c r="EFC70" s="609"/>
      <c r="EFD70" s="609"/>
      <c r="EFE70" s="609"/>
      <c r="EFF70" s="609"/>
      <c r="EFG70" s="609"/>
      <c r="EFH70" s="609"/>
      <c r="EFI70" s="609"/>
      <c r="EFJ70" s="609"/>
      <c r="EFK70" s="609"/>
      <c r="EFL70" s="609"/>
      <c r="EFM70" s="609"/>
      <c r="EFN70" s="609"/>
      <c r="EFO70" s="609"/>
      <c r="EFP70" s="609"/>
      <c r="EFQ70" s="609"/>
      <c r="EFR70" s="609"/>
      <c r="EFS70" s="609"/>
      <c r="EFT70" s="609"/>
      <c r="EFU70" s="609"/>
      <c r="EFV70" s="609"/>
      <c r="EFW70" s="609"/>
      <c r="EFX70" s="609"/>
      <c r="EFY70" s="609"/>
      <c r="EFZ70" s="609"/>
      <c r="EGA70" s="609"/>
      <c r="EGB70" s="609"/>
      <c r="EGC70" s="609"/>
      <c r="EGD70" s="609"/>
      <c r="EGE70" s="609"/>
      <c r="EGF70" s="609"/>
      <c r="EGG70" s="609"/>
      <c r="EGH70" s="609"/>
      <c r="EGI70" s="609"/>
      <c r="EGJ70" s="609"/>
      <c r="EGK70" s="609"/>
      <c r="EGL70" s="609"/>
      <c r="EGM70" s="609"/>
      <c r="EGN70" s="609"/>
      <c r="EGO70" s="609"/>
      <c r="EGP70" s="609"/>
      <c r="EGQ70" s="609"/>
      <c r="EGR70" s="609"/>
      <c r="EGS70" s="609"/>
      <c r="EGT70" s="609"/>
      <c r="EGU70" s="609"/>
      <c r="EGV70" s="609"/>
      <c r="EGW70" s="609"/>
      <c r="EGX70" s="609"/>
      <c r="EGY70" s="609"/>
      <c r="EGZ70" s="609"/>
      <c r="EHA70" s="609"/>
      <c r="EHB70" s="609"/>
      <c r="EHC70" s="609"/>
      <c r="EHD70" s="609"/>
      <c r="EHE70" s="609"/>
      <c r="EHF70" s="609"/>
      <c r="EHG70" s="609"/>
      <c r="EHH70" s="609"/>
      <c r="EHI70" s="609"/>
      <c r="EHJ70" s="609"/>
      <c r="EHK70" s="609"/>
      <c r="EHL70" s="609"/>
      <c r="EHM70" s="609"/>
      <c r="EHN70" s="609"/>
      <c r="EHO70" s="609"/>
      <c r="EHP70" s="609"/>
      <c r="EHQ70" s="609"/>
      <c r="EHR70" s="609"/>
      <c r="EHS70" s="609"/>
      <c r="EHT70" s="609"/>
      <c r="EHU70" s="609"/>
      <c r="EHV70" s="609"/>
      <c r="EHW70" s="609"/>
      <c r="EHX70" s="609"/>
      <c r="EHY70" s="609"/>
      <c r="EHZ70" s="609"/>
      <c r="EIA70" s="609"/>
      <c r="EIB70" s="609"/>
      <c r="EIC70" s="609"/>
      <c r="EID70" s="609"/>
      <c r="EIE70" s="609"/>
      <c r="EIF70" s="609"/>
      <c r="EIG70" s="609"/>
      <c r="EIH70" s="609"/>
      <c r="EII70" s="609"/>
      <c r="EIJ70" s="609"/>
      <c r="EIK70" s="609"/>
      <c r="EIL70" s="609"/>
      <c r="EIM70" s="609"/>
      <c r="EIN70" s="609"/>
      <c r="EIO70" s="609"/>
      <c r="EIP70" s="609"/>
      <c r="EIQ70" s="609"/>
      <c r="EIR70" s="609"/>
      <c r="EIS70" s="609"/>
      <c r="EIT70" s="609"/>
      <c r="EIU70" s="609"/>
      <c r="EIV70" s="609"/>
      <c r="EIW70" s="609"/>
      <c r="EIX70" s="609"/>
      <c r="EIY70" s="609"/>
      <c r="EIZ70" s="609"/>
      <c r="EJA70" s="609"/>
      <c r="EJB70" s="609"/>
      <c r="EJC70" s="609"/>
      <c r="EJD70" s="609"/>
      <c r="EJE70" s="609"/>
      <c r="EJF70" s="609"/>
      <c r="EJG70" s="609"/>
      <c r="EJH70" s="609"/>
      <c r="EJI70" s="609"/>
      <c r="EJJ70" s="609"/>
      <c r="EJK70" s="609"/>
      <c r="EJL70" s="609"/>
      <c r="EJM70" s="609"/>
      <c r="EJN70" s="609"/>
      <c r="EJO70" s="609"/>
      <c r="EJP70" s="609"/>
      <c r="EJQ70" s="609"/>
      <c r="EJR70" s="609"/>
      <c r="EJS70" s="609"/>
      <c r="EJT70" s="609"/>
      <c r="EJU70" s="609"/>
      <c r="EJV70" s="609"/>
      <c r="EJW70" s="609"/>
      <c r="EJX70" s="609"/>
      <c r="EJY70" s="609"/>
      <c r="EJZ70" s="609"/>
      <c r="EKA70" s="609"/>
      <c r="EKB70" s="609"/>
      <c r="EKC70" s="609"/>
      <c r="EKD70" s="609"/>
      <c r="EKE70" s="609"/>
      <c r="EKF70" s="609"/>
      <c r="EKG70" s="609"/>
      <c r="EKH70" s="609"/>
      <c r="EKI70" s="609"/>
      <c r="EKJ70" s="609"/>
      <c r="EKK70" s="609"/>
      <c r="EKL70" s="609"/>
      <c r="EKM70" s="609"/>
      <c r="EKN70" s="609"/>
      <c r="EKO70" s="609"/>
      <c r="EKP70" s="609"/>
      <c r="EKQ70" s="609"/>
      <c r="EKR70" s="609"/>
      <c r="EKS70" s="609"/>
      <c r="EKT70" s="609"/>
      <c r="EKU70" s="609"/>
      <c r="EKV70" s="609"/>
      <c r="EKW70" s="609"/>
      <c r="EKX70" s="609"/>
      <c r="EKY70" s="609"/>
      <c r="EKZ70" s="609"/>
      <c r="ELA70" s="609"/>
      <c r="ELB70" s="609"/>
      <c r="ELC70" s="609"/>
      <c r="ELD70" s="609"/>
      <c r="ELE70" s="609"/>
      <c r="ELF70" s="609"/>
      <c r="ELG70" s="609"/>
      <c r="ELH70" s="609"/>
      <c r="ELI70" s="609"/>
      <c r="ELJ70" s="609"/>
      <c r="ELK70" s="609"/>
      <c r="ELL70" s="609"/>
      <c r="ELM70" s="609"/>
      <c r="ELN70" s="609"/>
      <c r="ELO70" s="609"/>
      <c r="ELP70" s="609"/>
      <c r="ELQ70" s="609"/>
      <c r="ELR70" s="609"/>
      <c r="ELS70" s="609"/>
      <c r="ELT70" s="609"/>
      <c r="ELU70" s="609"/>
      <c r="ELV70" s="609"/>
      <c r="ELW70" s="609"/>
      <c r="ELX70" s="609"/>
      <c r="ELY70" s="609"/>
      <c r="ELZ70" s="609"/>
      <c r="EMA70" s="609"/>
      <c r="EMB70" s="609"/>
      <c r="EMC70" s="609"/>
      <c r="EMD70" s="609"/>
      <c r="EME70" s="609"/>
      <c r="EMF70" s="609"/>
      <c r="EMG70" s="609"/>
      <c r="EMH70" s="609"/>
      <c r="EMI70" s="609"/>
      <c r="EMJ70" s="609"/>
      <c r="EMK70" s="609"/>
      <c r="EML70" s="609"/>
      <c r="EMM70" s="609"/>
      <c r="EMN70" s="609"/>
      <c r="EMO70" s="609"/>
      <c r="EMP70" s="609"/>
      <c r="EMQ70" s="609"/>
      <c r="EMR70" s="609"/>
      <c r="EMS70" s="609"/>
      <c r="EMT70" s="609"/>
      <c r="EMU70" s="609"/>
      <c r="EMV70" s="609"/>
      <c r="EMW70" s="609"/>
      <c r="EMX70" s="609"/>
      <c r="EMY70" s="609"/>
      <c r="EMZ70" s="609"/>
      <c r="ENA70" s="609"/>
      <c r="ENB70" s="609"/>
      <c r="ENC70" s="609"/>
      <c r="END70" s="609"/>
      <c r="ENE70" s="609"/>
      <c r="ENF70" s="609"/>
      <c r="ENG70" s="609"/>
      <c r="ENH70" s="609"/>
      <c r="ENI70" s="609"/>
      <c r="ENJ70" s="609"/>
      <c r="ENK70" s="609"/>
      <c r="ENL70" s="609"/>
      <c r="ENM70" s="609"/>
      <c r="ENN70" s="609"/>
      <c r="ENO70" s="609"/>
      <c r="ENP70" s="609"/>
      <c r="ENQ70" s="609"/>
      <c r="ENR70" s="609"/>
      <c r="ENS70" s="609"/>
      <c r="ENT70" s="609"/>
      <c r="ENU70" s="609"/>
      <c r="ENV70" s="609"/>
      <c r="ENW70" s="609"/>
      <c r="ENX70" s="609"/>
      <c r="ENY70" s="609"/>
      <c r="ENZ70" s="609"/>
      <c r="EOA70" s="609"/>
      <c r="EOB70" s="609"/>
      <c r="EOC70" s="609"/>
      <c r="EOD70" s="609"/>
      <c r="EOE70" s="609"/>
      <c r="EOF70" s="609"/>
      <c r="EOG70" s="609"/>
      <c r="EOH70" s="609"/>
      <c r="EOI70" s="609"/>
      <c r="EOJ70" s="609"/>
      <c r="EOK70" s="609"/>
      <c r="EOL70" s="609"/>
      <c r="EOM70" s="609"/>
      <c r="EON70" s="609"/>
      <c r="EOO70" s="609"/>
      <c r="EOP70" s="609"/>
      <c r="EOQ70" s="609"/>
      <c r="EOR70" s="609"/>
      <c r="EOS70" s="609"/>
      <c r="EOT70" s="609"/>
      <c r="EOU70" s="609"/>
      <c r="EOV70" s="609"/>
      <c r="EOW70" s="609"/>
      <c r="EOX70" s="609"/>
      <c r="EOY70" s="609"/>
      <c r="EOZ70" s="609"/>
      <c r="EPA70" s="609"/>
      <c r="EPB70" s="609"/>
      <c r="EPC70" s="609"/>
      <c r="EPD70" s="609"/>
      <c r="EPE70" s="609"/>
      <c r="EPF70" s="609"/>
      <c r="EPG70" s="609"/>
      <c r="EPH70" s="609"/>
      <c r="EPI70" s="609"/>
      <c r="EPJ70" s="609"/>
      <c r="EPK70" s="609"/>
      <c r="EPL70" s="609"/>
      <c r="EPM70" s="609"/>
      <c r="EPN70" s="609"/>
      <c r="EPO70" s="609"/>
      <c r="EPP70" s="609"/>
      <c r="EPQ70" s="609"/>
      <c r="EPR70" s="609"/>
      <c r="EPS70" s="609"/>
      <c r="EPT70" s="609"/>
      <c r="EPU70" s="609"/>
      <c r="EPV70" s="609"/>
      <c r="EPW70" s="609"/>
      <c r="EPX70" s="609"/>
      <c r="EPY70" s="609"/>
      <c r="EPZ70" s="609"/>
      <c r="EQA70" s="609"/>
      <c r="EQB70" s="609"/>
      <c r="EQC70" s="609"/>
      <c r="EQD70" s="609"/>
      <c r="EQE70" s="609"/>
      <c r="EQF70" s="609"/>
      <c r="EQG70" s="609"/>
      <c r="EQH70" s="609"/>
      <c r="EQI70" s="609"/>
      <c r="EQJ70" s="609"/>
      <c r="EQK70" s="609"/>
      <c r="EQL70" s="609"/>
      <c r="EQM70" s="609"/>
      <c r="EQN70" s="609"/>
      <c r="EQO70" s="609"/>
      <c r="EQP70" s="609"/>
      <c r="EQQ70" s="609"/>
      <c r="EQR70" s="609"/>
      <c r="EQS70" s="609"/>
      <c r="EQT70" s="609"/>
      <c r="EQU70" s="609"/>
      <c r="EQV70" s="609"/>
      <c r="EQW70" s="609"/>
      <c r="EQX70" s="609"/>
      <c r="EQY70" s="609"/>
      <c r="EQZ70" s="609"/>
      <c r="ERA70" s="609"/>
      <c r="ERB70" s="609"/>
      <c r="ERC70" s="609"/>
      <c r="ERD70" s="609"/>
      <c r="ERE70" s="609"/>
      <c r="ERF70" s="609"/>
      <c r="ERG70" s="609"/>
      <c r="ERH70" s="609"/>
      <c r="ERI70" s="609"/>
      <c r="ERJ70" s="609"/>
      <c r="ERK70" s="609"/>
      <c r="ERL70" s="609"/>
      <c r="ERM70" s="609"/>
      <c r="ERN70" s="609"/>
      <c r="ERO70" s="609"/>
      <c r="ERP70" s="609"/>
      <c r="ERQ70" s="609"/>
      <c r="ERR70" s="609"/>
      <c r="ERS70" s="609"/>
      <c r="ERT70" s="609"/>
      <c r="ERU70" s="609"/>
      <c r="ERV70" s="609"/>
      <c r="ERW70" s="609"/>
      <c r="ERX70" s="609"/>
      <c r="ERY70" s="609"/>
      <c r="ERZ70" s="609"/>
      <c r="ESA70" s="609"/>
      <c r="ESB70" s="609"/>
      <c r="ESC70" s="609"/>
      <c r="ESD70" s="609"/>
      <c r="ESE70" s="609"/>
      <c r="ESF70" s="609"/>
      <c r="ESG70" s="609"/>
      <c r="ESH70" s="609"/>
      <c r="ESI70" s="609"/>
      <c r="ESJ70" s="609"/>
      <c r="ESK70" s="609"/>
      <c r="ESL70" s="609"/>
      <c r="ESM70" s="609"/>
      <c r="ESN70" s="609"/>
      <c r="ESO70" s="609"/>
      <c r="ESP70" s="609"/>
      <c r="ESQ70" s="609"/>
      <c r="ESR70" s="609"/>
      <c r="ESS70" s="609"/>
      <c r="EST70" s="609"/>
      <c r="ESU70" s="609"/>
      <c r="ESV70" s="609"/>
      <c r="ESW70" s="609"/>
      <c r="ESX70" s="609"/>
      <c r="ESY70" s="609"/>
      <c r="ESZ70" s="609"/>
      <c r="ETA70" s="609"/>
      <c r="ETB70" s="609"/>
      <c r="ETC70" s="609"/>
      <c r="ETD70" s="609"/>
      <c r="ETE70" s="609"/>
      <c r="ETF70" s="609"/>
      <c r="ETG70" s="609"/>
      <c r="ETH70" s="609"/>
      <c r="ETI70" s="609"/>
      <c r="ETJ70" s="609"/>
      <c r="ETK70" s="609"/>
      <c r="ETL70" s="609"/>
      <c r="ETM70" s="609"/>
      <c r="ETN70" s="609"/>
      <c r="ETO70" s="609"/>
      <c r="ETP70" s="609"/>
      <c r="ETQ70" s="609"/>
      <c r="ETR70" s="609"/>
      <c r="ETS70" s="609"/>
      <c r="ETT70" s="609"/>
      <c r="ETU70" s="609"/>
      <c r="ETV70" s="609"/>
      <c r="ETW70" s="609"/>
      <c r="ETX70" s="609"/>
      <c r="ETY70" s="609"/>
      <c r="ETZ70" s="609"/>
      <c r="EUA70" s="609"/>
      <c r="EUB70" s="609"/>
      <c r="EUC70" s="609"/>
      <c r="EUD70" s="609"/>
      <c r="EUE70" s="609"/>
      <c r="EUF70" s="609"/>
      <c r="EUG70" s="609"/>
      <c r="EUH70" s="609"/>
      <c r="EUI70" s="609"/>
      <c r="EUJ70" s="609"/>
      <c r="EUK70" s="609"/>
      <c r="EUL70" s="609"/>
      <c r="EUM70" s="609"/>
      <c r="EUN70" s="609"/>
      <c r="EUO70" s="609"/>
      <c r="EUP70" s="609"/>
      <c r="EUQ70" s="609"/>
      <c r="EUR70" s="609"/>
      <c r="EUS70" s="609"/>
      <c r="EUT70" s="609"/>
      <c r="EUU70" s="609"/>
      <c r="EUV70" s="609"/>
      <c r="EUW70" s="609"/>
      <c r="EUX70" s="609"/>
      <c r="EUY70" s="609"/>
      <c r="EUZ70" s="609"/>
      <c r="EVA70" s="609"/>
      <c r="EVB70" s="609"/>
      <c r="EVC70" s="609"/>
      <c r="EVD70" s="609"/>
      <c r="EVE70" s="609"/>
      <c r="EVF70" s="609"/>
      <c r="EVG70" s="609"/>
      <c r="EVH70" s="609"/>
      <c r="EVI70" s="609"/>
      <c r="EVJ70" s="609"/>
      <c r="EVK70" s="609"/>
      <c r="EVL70" s="609"/>
      <c r="EVM70" s="609"/>
      <c r="EVN70" s="609"/>
      <c r="EVO70" s="609"/>
      <c r="EVP70" s="609"/>
      <c r="EVQ70" s="609"/>
      <c r="EVR70" s="609"/>
      <c r="EVS70" s="609"/>
      <c r="EVT70" s="609"/>
      <c r="EVU70" s="609"/>
      <c r="EVV70" s="609"/>
      <c r="EVW70" s="609"/>
      <c r="EVX70" s="609"/>
      <c r="EVY70" s="609"/>
      <c r="EVZ70" s="609"/>
      <c r="EWA70" s="609"/>
      <c r="EWB70" s="609"/>
      <c r="EWC70" s="609"/>
      <c r="EWD70" s="609"/>
      <c r="EWE70" s="609"/>
      <c r="EWF70" s="609"/>
      <c r="EWG70" s="609"/>
      <c r="EWH70" s="609"/>
      <c r="EWI70" s="609"/>
      <c r="EWJ70" s="609"/>
      <c r="EWK70" s="609"/>
      <c r="EWL70" s="609"/>
      <c r="EWM70" s="609"/>
      <c r="EWN70" s="609"/>
      <c r="EWO70" s="609"/>
      <c r="EWP70" s="609"/>
      <c r="EWQ70" s="609"/>
      <c r="EWR70" s="609"/>
      <c r="EWS70" s="609"/>
      <c r="EWT70" s="609"/>
      <c r="EWU70" s="609"/>
      <c r="EWV70" s="609"/>
      <c r="EWW70" s="609"/>
      <c r="EWX70" s="609"/>
      <c r="EWY70" s="609"/>
      <c r="EWZ70" s="609"/>
      <c r="EXA70" s="609"/>
      <c r="EXB70" s="609"/>
      <c r="EXC70" s="609"/>
      <c r="EXD70" s="609"/>
      <c r="EXE70" s="609"/>
      <c r="EXF70" s="609"/>
      <c r="EXG70" s="609"/>
      <c r="EXH70" s="609"/>
      <c r="EXI70" s="609"/>
      <c r="EXJ70" s="609"/>
      <c r="EXK70" s="609"/>
      <c r="EXL70" s="609"/>
      <c r="EXM70" s="609"/>
      <c r="EXN70" s="609"/>
      <c r="EXO70" s="609"/>
      <c r="EXP70" s="609"/>
      <c r="EXQ70" s="609"/>
      <c r="EXR70" s="609"/>
      <c r="EXS70" s="609"/>
      <c r="EXT70" s="609"/>
      <c r="EXU70" s="609"/>
      <c r="EXV70" s="609"/>
      <c r="EXW70" s="609"/>
      <c r="EXX70" s="609"/>
      <c r="EXY70" s="609"/>
      <c r="EXZ70" s="609"/>
      <c r="EYA70" s="609"/>
      <c r="EYB70" s="609"/>
      <c r="EYC70" s="609"/>
      <c r="EYD70" s="609"/>
      <c r="EYE70" s="609"/>
      <c r="EYF70" s="609"/>
      <c r="EYG70" s="609"/>
      <c r="EYH70" s="609"/>
      <c r="EYI70" s="609"/>
      <c r="EYJ70" s="609"/>
      <c r="EYK70" s="609"/>
      <c r="EYL70" s="609"/>
      <c r="EYM70" s="609"/>
      <c r="EYN70" s="609"/>
      <c r="EYO70" s="609"/>
      <c r="EYP70" s="609"/>
      <c r="EYQ70" s="609"/>
      <c r="EYR70" s="609"/>
      <c r="EYS70" s="609"/>
      <c r="EYT70" s="609"/>
      <c r="EYU70" s="609"/>
      <c r="EYV70" s="609"/>
      <c r="EYW70" s="609"/>
      <c r="EYX70" s="609"/>
      <c r="EYY70" s="609"/>
      <c r="EYZ70" s="609"/>
      <c r="EZA70" s="609"/>
      <c r="EZB70" s="609"/>
      <c r="EZC70" s="609"/>
      <c r="EZD70" s="609"/>
      <c r="EZE70" s="609"/>
      <c r="EZF70" s="609"/>
      <c r="EZG70" s="609"/>
      <c r="EZH70" s="609"/>
      <c r="EZI70" s="609"/>
      <c r="EZJ70" s="609"/>
      <c r="EZK70" s="609"/>
      <c r="EZL70" s="609"/>
      <c r="EZM70" s="609"/>
      <c r="EZN70" s="609"/>
      <c r="EZO70" s="609"/>
      <c r="EZP70" s="609"/>
      <c r="EZQ70" s="609"/>
      <c r="EZR70" s="609"/>
      <c r="EZS70" s="609"/>
      <c r="EZT70" s="609"/>
      <c r="EZU70" s="609"/>
      <c r="EZV70" s="609"/>
      <c r="EZW70" s="609"/>
      <c r="EZX70" s="609"/>
      <c r="EZY70" s="609"/>
      <c r="EZZ70" s="609"/>
      <c r="FAA70" s="609"/>
      <c r="FAB70" s="609"/>
      <c r="FAC70" s="609"/>
      <c r="FAD70" s="609"/>
      <c r="FAE70" s="609"/>
      <c r="FAF70" s="609"/>
      <c r="FAG70" s="609"/>
      <c r="FAH70" s="609"/>
      <c r="FAI70" s="609"/>
      <c r="FAJ70" s="609"/>
      <c r="FAK70" s="609"/>
      <c r="FAL70" s="609"/>
      <c r="FAM70" s="609"/>
      <c r="FAN70" s="609"/>
      <c r="FAO70" s="609"/>
      <c r="FAP70" s="609"/>
      <c r="FAQ70" s="609"/>
      <c r="FAR70" s="609"/>
      <c r="FAS70" s="609"/>
      <c r="FAT70" s="609"/>
      <c r="FAU70" s="609"/>
      <c r="FAV70" s="609"/>
      <c r="FAW70" s="609"/>
      <c r="FAX70" s="609"/>
      <c r="FAY70" s="609"/>
      <c r="FAZ70" s="609"/>
      <c r="FBA70" s="609"/>
      <c r="FBB70" s="609"/>
      <c r="FBC70" s="609"/>
      <c r="FBD70" s="609"/>
      <c r="FBE70" s="609"/>
      <c r="FBF70" s="609"/>
      <c r="FBG70" s="609"/>
      <c r="FBH70" s="609"/>
      <c r="FBI70" s="609"/>
      <c r="FBJ70" s="609"/>
      <c r="FBK70" s="609"/>
      <c r="FBL70" s="609"/>
      <c r="FBM70" s="609"/>
      <c r="FBN70" s="609"/>
      <c r="FBO70" s="609"/>
      <c r="FBP70" s="609"/>
      <c r="FBQ70" s="609"/>
      <c r="FBR70" s="609"/>
      <c r="FBS70" s="609"/>
      <c r="FBT70" s="609"/>
      <c r="FBU70" s="609"/>
      <c r="FBV70" s="609"/>
      <c r="FBW70" s="609"/>
      <c r="FBX70" s="609"/>
      <c r="FBY70" s="609"/>
      <c r="FBZ70" s="609"/>
      <c r="FCA70" s="609"/>
      <c r="FCB70" s="609"/>
      <c r="FCC70" s="609"/>
      <c r="FCD70" s="609"/>
      <c r="FCE70" s="609"/>
      <c r="FCF70" s="609"/>
      <c r="FCG70" s="609"/>
      <c r="FCH70" s="609"/>
      <c r="FCI70" s="609"/>
      <c r="FCJ70" s="609"/>
      <c r="FCK70" s="609"/>
      <c r="FCL70" s="609"/>
      <c r="FCM70" s="609"/>
      <c r="FCN70" s="609"/>
      <c r="FCO70" s="609"/>
      <c r="FCP70" s="609"/>
      <c r="FCQ70" s="609"/>
      <c r="FCR70" s="609"/>
      <c r="FCS70" s="609"/>
      <c r="FCT70" s="609"/>
      <c r="FCU70" s="609"/>
      <c r="FCV70" s="609"/>
      <c r="FCW70" s="609"/>
      <c r="FCX70" s="609"/>
      <c r="FCY70" s="609"/>
      <c r="FCZ70" s="609"/>
      <c r="FDA70" s="609"/>
      <c r="FDB70" s="609"/>
      <c r="FDC70" s="609"/>
      <c r="FDD70" s="609"/>
      <c r="FDE70" s="609"/>
      <c r="FDF70" s="609"/>
      <c r="FDG70" s="609"/>
      <c r="FDH70" s="609"/>
      <c r="FDI70" s="609"/>
      <c r="FDJ70" s="609"/>
      <c r="FDK70" s="609"/>
      <c r="FDL70" s="609"/>
      <c r="FDM70" s="609"/>
      <c r="FDN70" s="609"/>
      <c r="FDO70" s="609"/>
      <c r="FDP70" s="609"/>
      <c r="FDQ70" s="609"/>
      <c r="FDR70" s="609"/>
      <c r="FDS70" s="609"/>
      <c r="FDT70" s="609"/>
      <c r="FDU70" s="609"/>
      <c r="FDV70" s="609"/>
      <c r="FDW70" s="609"/>
      <c r="FDX70" s="609"/>
      <c r="FDY70" s="609"/>
      <c r="FDZ70" s="609"/>
      <c r="FEA70" s="609"/>
      <c r="FEB70" s="609"/>
      <c r="FEC70" s="609"/>
      <c r="FED70" s="609"/>
      <c r="FEE70" s="609"/>
      <c r="FEF70" s="609"/>
      <c r="FEG70" s="609"/>
      <c r="FEH70" s="609"/>
      <c r="FEI70" s="609"/>
      <c r="FEJ70" s="609"/>
      <c r="FEK70" s="609"/>
      <c r="FEL70" s="609"/>
      <c r="FEM70" s="609"/>
      <c r="FEN70" s="609"/>
      <c r="FEO70" s="609"/>
      <c r="FEP70" s="609"/>
      <c r="FEQ70" s="609"/>
      <c r="FER70" s="609"/>
      <c r="FES70" s="609"/>
      <c r="FET70" s="609"/>
      <c r="FEU70" s="609"/>
      <c r="FEV70" s="609"/>
      <c r="FEW70" s="609"/>
      <c r="FEX70" s="609"/>
      <c r="FEY70" s="609"/>
      <c r="FEZ70" s="609"/>
      <c r="FFA70" s="609"/>
      <c r="FFB70" s="609"/>
      <c r="FFC70" s="609"/>
      <c r="FFD70" s="609"/>
      <c r="FFE70" s="609"/>
      <c r="FFF70" s="609"/>
      <c r="FFG70" s="609"/>
      <c r="FFH70" s="609"/>
      <c r="FFI70" s="609"/>
      <c r="FFJ70" s="609"/>
      <c r="FFK70" s="609"/>
      <c r="FFL70" s="609"/>
      <c r="FFM70" s="609"/>
      <c r="FFN70" s="609"/>
      <c r="FFO70" s="609"/>
      <c r="FFP70" s="609"/>
      <c r="FFQ70" s="609"/>
      <c r="FFR70" s="609"/>
      <c r="FFS70" s="609"/>
      <c r="FFT70" s="609"/>
      <c r="FFU70" s="609"/>
      <c r="FFV70" s="609"/>
      <c r="FFW70" s="609"/>
      <c r="FFX70" s="609"/>
      <c r="FFY70" s="609"/>
      <c r="FFZ70" s="609"/>
      <c r="FGA70" s="609"/>
      <c r="FGB70" s="609"/>
      <c r="FGC70" s="609"/>
      <c r="FGD70" s="609"/>
      <c r="FGE70" s="609"/>
      <c r="FGF70" s="609"/>
      <c r="FGG70" s="609"/>
      <c r="FGH70" s="609"/>
      <c r="FGI70" s="609"/>
      <c r="FGJ70" s="609"/>
      <c r="FGK70" s="609"/>
      <c r="FGL70" s="609"/>
      <c r="FGM70" s="609"/>
      <c r="FGN70" s="609"/>
      <c r="FGO70" s="609"/>
      <c r="FGP70" s="609"/>
      <c r="FGQ70" s="609"/>
      <c r="FGR70" s="609"/>
      <c r="FGS70" s="609"/>
      <c r="FGT70" s="609"/>
      <c r="FGU70" s="609"/>
      <c r="FGV70" s="609"/>
      <c r="FGW70" s="609"/>
      <c r="FGX70" s="609"/>
      <c r="FGY70" s="609"/>
      <c r="FGZ70" s="609"/>
      <c r="FHA70" s="609"/>
      <c r="FHB70" s="609"/>
      <c r="FHC70" s="609"/>
      <c r="FHD70" s="609"/>
      <c r="FHE70" s="609"/>
      <c r="FHF70" s="609"/>
      <c r="FHG70" s="609"/>
      <c r="FHH70" s="609"/>
      <c r="FHI70" s="609"/>
      <c r="FHJ70" s="609"/>
      <c r="FHK70" s="609"/>
      <c r="FHL70" s="609"/>
      <c r="FHM70" s="609"/>
      <c r="FHN70" s="609"/>
      <c r="FHO70" s="609"/>
      <c r="FHP70" s="609"/>
      <c r="FHQ70" s="609"/>
      <c r="FHR70" s="609"/>
      <c r="FHS70" s="609"/>
      <c r="FHT70" s="609"/>
      <c r="FHU70" s="609"/>
      <c r="FHV70" s="609"/>
      <c r="FHW70" s="609"/>
      <c r="FHX70" s="609"/>
      <c r="FHY70" s="609"/>
      <c r="FHZ70" s="609"/>
      <c r="FIA70" s="609"/>
      <c r="FIB70" s="609"/>
      <c r="FIC70" s="609"/>
      <c r="FID70" s="609"/>
      <c r="FIE70" s="609"/>
      <c r="FIF70" s="609"/>
      <c r="FIG70" s="609"/>
      <c r="FIH70" s="609"/>
      <c r="FII70" s="609"/>
      <c r="FIJ70" s="609"/>
      <c r="FIK70" s="609"/>
      <c r="FIL70" s="609"/>
      <c r="FIM70" s="609"/>
      <c r="FIN70" s="609"/>
      <c r="FIO70" s="609"/>
      <c r="FIP70" s="609"/>
      <c r="FIQ70" s="609"/>
      <c r="FIR70" s="609"/>
      <c r="FIS70" s="609"/>
      <c r="FIT70" s="609"/>
      <c r="FIU70" s="609"/>
      <c r="FIV70" s="609"/>
      <c r="FIW70" s="609"/>
      <c r="FIX70" s="609"/>
      <c r="FIY70" s="609"/>
      <c r="FIZ70" s="609"/>
      <c r="FJA70" s="609"/>
      <c r="FJB70" s="609"/>
      <c r="FJC70" s="609"/>
      <c r="FJD70" s="609"/>
      <c r="FJE70" s="609"/>
      <c r="FJF70" s="609"/>
      <c r="FJG70" s="609"/>
      <c r="FJH70" s="609"/>
      <c r="FJI70" s="609"/>
      <c r="FJJ70" s="609"/>
      <c r="FJK70" s="609"/>
      <c r="FJL70" s="609"/>
      <c r="FJM70" s="609"/>
      <c r="FJN70" s="609"/>
      <c r="FJO70" s="609"/>
      <c r="FJP70" s="609"/>
      <c r="FJQ70" s="609"/>
      <c r="FJR70" s="609"/>
      <c r="FJS70" s="609"/>
      <c r="FJT70" s="609"/>
      <c r="FJU70" s="609"/>
      <c r="FJV70" s="609"/>
      <c r="FJW70" s="609"/>
      <c r="FJX70" s="609"/>
      <c r="FJY70" s="609"/>
      <c r="FJZ70" s="609"/>
      <c r="FKA70" s="609"/>
      <c r="FKB70" s="609"/>
      <c r="FKC70" s="609"/>
      <c r="FKD70" s="609"/>
      <c r="FKE70" s="609"/>
      <c r="FKF70" s="609"/>
      <c r="FKG70" s="609"/>
      <c r="FKH70" s="609"/>
      <c r="FKI70" s="609"/>
      <c r="FKJ70" s="609"/>
      <c r="FKK70" s="609"/>
      <c r="FKL70" s="609"/>
      <c r="FKM70" s="609"/>
      <c r="FKN70" s="609"/>
      <c r="FKO70" s="609"/>
      <c r="FKP70" s="609"/>
      <c r="FKQ70" s="609"/>
      <c r="FKR70" s="609"/>
      <c r="FKS70" s="609"/>
      <c r="FKT70" s="609"/>
      <c r="FKU70" s="609"/>
      <c r="FKV70" s="609"/>
      <c r="FKW70" s="609"/>
      <c r="FKX70" s="609"/>
      <c r="FKY70" s="609"/>
      <c r="FKZ70" s="609"/>
      <c r="FLA70" s="609"/>
      <c r="FLB70" s="609"/>
      <c r="FLC70" s="609"/>
      <c r="FLD70" s="609"/>
      <c r="FLE70" s="609"/>
      <c r="FLF70" s="609"/>
      <c r="FLG70" s="609"/>
      <c r="FLH70" s="609"/>
      <c r="FLI70" s="609"/>
      <c r="FLJ70" s="609"/>
      <c r="FLK70" s="609"/>
      <c r="FLL70" s="609"/>
      <c r="FLM70" s="609"/>
      <c r="FLN70" s="609"/>
      <c r="FLO70" s="609"/>
      <c r="FLP70" s="609"/>
      <c r="FLQ70" s="609"/>
      <c r="FLR70" s="609"/>
      <c r="FLS70" s="609"/>
      <c r="FLT70" s="609"/>
      <c r="FLU70" s="609"/>
      <c r="FLV70" s="609"/>
      <c r="FLW70" s="609"/>
      <c r="FLX70" s="609"/>
      <c r="FLY70" s="609"/>
      <c r="FLZ70" s="609"/>
      <c r="FMA70" s="609"/>
      <c r="FMB70" s="609"/>
      <c r="FMC70" s="609"/>
      <c r="FMD70" s="609"/>
      <c r="FME70" s="609"/>
      <c r="FMF70" s="609"/>
      <c r="FMG70" s="609"/>
      <c r="FMH70" s="609"/>
      <c r="FMI70" s="609"/>
      <c r="FMJ70" s="609"/>
      <c r="FMK70" s="609"/>
      <c r="FML70" s="609"/>
      <c r="FMM70" s="609"/>
      <c r="FMN70" s="609"/>
      <c r="FMO70" s="609"/>
      <c r="FMP70" s="609"/>
      <c r="FMQ70" s="609"/>
      <c r="FMR70" s="609"/>
      <c r="FMS70" s="609"/>
      <c r="FMT70" s="609"/>
      <c r="FMU70" s="609"/>
      <c r="FMV70" s="609"/>
      <c r="FMW70" s="609"/>
      <c r="FMX70" s="609"/>
      <c r="FMY70" s="609"/>
      <c r="FMZ70" s="609"/>
      <c r="FNA70" s="609"/>
      <c r="FNB70" s="609"/>
      <c r="FNC70" s="609"/>
      <c r="FND70" s="609"/>
      <c r="FNE70" s="609"/>
      <c r="FNF70" s="609"/>
      <c r="FNG70" s="609"/>
      <c r="FNH70" s="609"/>
      <c r="FNI70" s="609"/>
      <c r="FNJ70" s="609"/>
      <c r="FNK70" s="609"/>
      <c r="FNL70" s="609"/>
      <c r="FNM70" s="609"/>
      <c r="FNN70" s="609"/>
      <c r="FNO70" s="609"/>
      <c r="FNP70" s="609"/>
      <c r="FNQ70" s="609"/>
      <c r="FNR70" s="609"/>
      <c r="FNS70" s="609"/>
      <c r="FNT70" s="609"/>
      <c r="FNU70" s="609"/>
      <c r="FNV70" s="609"/>
      <c r="FNW70" s="609"/>
      <c r="FNX70" s="609"/>
      <c r="FNY70" s="609"/>
      <c r="FNZ70" s="609"/>
      <c r="FOA70" s="609"/>
      <c r="FOB70" s="609"/>
      <c r="FOC70" s="609"/>
      <c r="FOD70" s="609"/>
      <c r="FOE70" s="609"/>
      <c r="FOF70" s="609"/>
      <c r="FOG70" s="609"/>
      <c r="FOH70" s="609"/>
      <c r="FOI70" s="609"/>
      <c r="FOJ70" s="609"/>
      <c r="FOK70" s="609"/>
      <c r="FOL70" s="609"/>
      <c r="FOM70" s="609"/>
      <c r="FON70" s="609"/>
      <c r="FOO70" s="609"/>
      <c r="FOP70" s="609"/>
      <c r="FOQ70" s="609"/>
      <c r="FOR70" s="609"/>
      <c r="FOS70" s="609"/>
      <c r="FOT70" s="609"/>
      <c r="FOU70" s="609"/>
      <c r="FOV70" s="609"/>
      <c r="FOW70" s="609"/>
      <c r="FOX70" s="609"/>
      <c r="FOY70" s="609"/>
      <c r="FOZ70" s="609"/>
      <c r="FPA70" s="609"/>
      <c r="FPB70" s="609"/>
      <c r="FPC70" s="609"/>
      <c r="FPD70" s="609"/>
      <c r="FPE70" s="609"/>
      <c r="FPF70" s="609"/>
      <c r="FPG70" s="609"/>
      <c r="FPH70" s="609"/>
      <c r="FPI70" s="609"/>
      <c r="FPJ70" s="609"/>
      <c r="FPK70" s="609"/>
      <c r="FPL70" s="609"/>
      <c r="FPM70" s="609"/>
      <c r="FPN70" s="609"/>
      <c r="FPO70" s="609"/>
      <c r="FPP70" s="609"/>
      <c r="FPQ70" s="609"/>
      <c r="FPR70" s="609"/>
      <c r="FPS70" s="609"/>
      <c r="FPT70" s="609"/>
      <c r="FPU70" s="609"/>
      <c r="FPV70" s="609"/>
      <c r="FPW70" s="609"/>
      <c r="FPX70" s="609"/>
      <c r="FPY70" s="609"/>
      <c r="FPZ70" s="609"/>
      <c r="FQA70" s="609"/>
      <c r="FQB70" s="609"/>
      <c r="FQC70" s="609"/>
      <c r="FQD70" s="609"/>
      <c r="FQE70" s="609"/>
      <c r="FQF70" s="609"/>
      <c r="FQG70" s="609"/>
      <c r="FQH70" s="609"/>
      <c r="FQI70" s="609"/>
      <c r="FQJ70" s="609"/>
      <c r="FQK70" s="609"/>
      <c r="FQL70" s="609"/>
      <c r="FQM70" s="609"/>
      <c r="FQN70" s="609"/>
      <c r="FQO70" s="609"/>
      <c r="FQP70" s="609"/>
      <c r="FQQ70" s="609"/>
      <c r="FQR70" s="609"/>
      <c r="FQS70" s="609"/>
      <c r="FQT70" s="609"/>
      <c r="FQU70" s="609"/>
      <c r="FQV70" s="609"/>
      <c r="FQW70" s="609"/>
      <c r="FQX70" s="609"/>
      <c r="FQY70" s="609"/>
      <c r="FQZ70" s="609"/>
      <c r="FRA70" s="609"/>
      <c r="FRB70" s="609"/>
      <c r="FRC70" s="609"/>
      <c r="FRD70" s="609"/>
      <c r="FRE70" s="609"/>
      <c r="FRF70" s="609"/>
      <c r="FRG70" s="609"/>
      <c r="FRH70" s="609"/>
      <c r="FRI70" s="609"/>
      <c r="FRJ70" s="609"/>
      <c r="FRK70" s="609"/>
      <c r="FRL70" s="609"/>
      <c r="FRM70" s="609"/>
      <c r="FRN70" s="609"/>
      <c r="FRO70" s="609"/>
      <c r="FRP70" s="609"/>
      <c r="FRQ70" s="609"/>
      <c r="FRR70" s="609"/>
      <c r="FRS70" s="609"/>
      <c r="FRT70" s="609"/>
      <c r="FRU70" s="609"/>
      <c r="FRV70" s="609"/>
      <c r="FRW70" s="609"/>
      <c r="FRX70" s="609"/>
      <c r="FRY70" s="609"/>
      <c r="FRZ70" s="609"/>
      <c r="FSA70" s="609"/>
      <c r="FSB70" s="609"/>
      <c r="FSC70" s="609"/>
      <c r="FSD70" s="609"/>
      <c r="FSE70" s="609"/>
      <c r="FSF70" s="609"/>
      <c r="FSG70" s="609"/>
      <c r="FSH70" s="609"/>
      <c r="FSI70" s="609"/>
      <c r="FSJ70" s="609"/>
      <c r="FSK70" s="609"/>
      <c r="FSL70" s="609"/>
      <c r="FSM70" s="609"/>
      <c r="FSN70" s="609"/>
      <c r="FSO70" s="609"/>
      <c r="FSP70" s="609"/>
      <c r="FSQ70" s="609"/>
      <c r="FSR70" s="609"/>
      <c r="FSS70" s="609"/>
      <c r="FST70" s="609"/>
      <c r="FSU70" s="609"/>
      <c r="FSV70" s="609"/>
      <c r="FSW70" s="609"/>
      <c r="FSX70" s="609"/>
      <c r="FSY70" s="609"/>
      <c r="FSZ70" s="609"/>
      <c r="FTA70" s="609"/>
      <c r="FTB70" s="609"/>
      <c r="FTC70" s="609"/>
      <c r="FTD70" s="609"/>
      <c r="FTE70" s="609"/>
      <c r="FTF70" s="609"/>
      <c r="FTG70" s="609"/>
      <c r="FTH70" s="609"/>
      <c r="FTI70" s="609"/>
      <c r="FTJ70" s="609"/>
      <c r="FTK70" s="609"/>
      <c r="FTL70" s="609"/>
      <c r="FTM70" s="609"/>
      <c r="FTN70" s="609"/>
      <c r="FTO70" s="609"/>
      <c r="FTP70" s="609"/>
      <c r="FTQ70" s="609"/>
      <c r="FTR70" s="609"/>
      <c r="FTS70" s="609"/>
      <c r="FTT70" s="609"/>
      <c r="FTU70" s="609"/>
      <c r="FTV70" s="609"/>
      <c r="FTW70" s="609"/>
      <c r="FTX70" s="609"/>
      <c r="FTY70" s="609"/>
      <c r="FTZ70" s="609"/>
      <c r="FUA70" s="609"/>
      <c r="FUB70" s="609"/>
      <c r="FUC70" s="609"/>
      <c r="FUD70" s="609"/>
      <c r="FUE70" s="609"/>
      <c r="FUF70" s="609"/>
      <c r="FUG70" s="609"/>
      <c r="FUH70" s="609"/>
      <c r="FUI70" s="609"/>
      <c r="FUJ70" s="609"/>
      <c r="FUK70" s="609"/>
      <c r="FUL70" s="609"/>
      <c r="FUM70" s="609"/>
      <c r="FUN70" s="609"/>
      <c r="FUO70" s="609"/>
      <c r="FUP70" s="609"/>
      <c r="FUQ70" s="609"/>
      <c r="FUR70" s="609"/>
      <c r="FUS70" s="609"/>
      <c r="FUT70" s="609"/>
      <c r="FUU70" s="609"/>
      <c r="FUV70" s="609"/>
      <c r="FUW70" s="609"/>
      <c r="FUX70" s="609"/>
      <c r="FUY70" s="609"/>
      <c r="FUZ70" s="609"/>
      <c r="FVA70" s="609"/>
      <c r="FVB70" s="609"/>
      <c r="FVC70" s="609"/>
      <c r="FVD70" s="609"/>
      <c r="FVE70" s="609"/>
      <c r="FVF70" s="609"/>
      <c r="FVG70" s="609"/>
      <c r="FVH70" s="609"/>
      <c r="FVI70" s="609"/>
      <c r="FVJ70" s="609"/>
      <c r="FVK70" s="609"/>
      <c r="FVL70" s="609"/>
      <c r="FVM70" s="609"/>
      <c r="FVN70" s="609"/>
      <c r="FVO70" s="609"/>
      <c r="FVP70" s="609"/>
      <c r="FVQ70" s="609"/>
      <c r="FVR70" s="609"/>
      <c r="FVS70" s="609"/>
      <c r="FVT70" s="609"/>
      <c r="FVU70" s="609"/>
      <c r="FVV70" s="609"/>
      <c r="FVW70" s="609"/>
      <c r="FVX70" s="609"/>
      <c r="FVY70" s="609"/>
      <c r="FVZ70" s="609"/>
      <c r="FWA70" s="609"/>
      <c r="FWB70" s="609"/>
      <c r="FWC70" s="609"/>
      <c r="FWD70" s="609"/>
      <c r="FWE70" s="609"/>
      <c r="FWF70" s="609"/>
      <c r="FWG70" s="609"/>
      <c r="FWH70" s="609"/>
      <c r="FWI70" s="609"/>
      <c r="FWJ70" s="609"/>
      <c r="FWK70" s="609"/>
      <c r="FWL70" s="609"/>
      <c r="FWM70" s="609"/>
      <c r="FWN70" s="609"/>
      <c r="FWO70" s="609"/>
      <c r="FWP70" s="609"/>
      <c r="FWQ70" s="609"/>
      <c r="FWR70" s="609"/>
      <c r="FWS70" s="609"/>
      <c r="FWT70" s="609"/>
      <c r="FWU70" s="609"/>
      <c r="FWV70" s="609"/>
      <c r="FWW70" s="609"/>
      <c r="FWX70" s="609"/>
      <c r="FWY70" s="609"/>
      <c r="FWZ70" s="609"/>
      <c r="FXA70" s="609"/>
      <c r="FXB70" s="609"/>
      <c r="FXC70" s="609"/>
      <c r="FXD70" s="609"/>
      <c r="FXE70" s="609"/>
      <c r="FXF70" s="609"/>
      <c r="FXG70" s="609"/>
      <c r="FXH70" s="609"/>
      <c r="FXI70" s="609"/>
      <c r="FXJ70" s="609"/>
      <c r="FXK70" s="609"/>
      <c r="FXL70" s="609"/>
      <c r="FXM70" s="609"/>
      <c r="FXN70" s="609"/>
      <c r="FXO70" s="609"/>
      <c r="FXP70" s="609"/>
      <c r="FXQ70" s="609"/>
      <c r="FXR70" s="609"/>
      <c r="FXS70" s="609"/>
      <c r="FXT70" s="609"/>
      <c r="FXU70" s="609"/>
      <c r="FXV70" s="609"/>
      <c r="FXW70" s="609"/>
      <c r="FXX70" s="609"/>
      <c r="FXY70" s="609"/>
      <c r="FXZ70" s="609"/>
      <c r="FYA70" s="609"/>
      <c r="FYB70" s="609"/>
      <c r="FYC70" s="609"/>
      <c r="FYD70" s="609"/>
      <c r="FYE70" s="609"/>
      <c r="FYF70" s="609"/>
      <c r="FYG70" s="609"/>
      <c r="FYH70" s="609"/>
      <c r="FYI70" s="609"/>
      <c r="FYJ70" s="609"/>
      <c r="FYK70" s="609"/>
      <c r="FYL70" s="609"/>
      <c r="FYM70" s="609"/>
      <c r="FYN70" s="609"/>
      <c r="FYO70" s="609"/>
      <c r="FYP70" s="609"/>
      <c r="FYQ70" s="609"/>
      <c r="FYR70" s="609"/>
      <c r="FYS70" s="609"/>
      <c r="FYT70" s="609"/>
      <c r="FYU70" s="609"/>
      <c r="FYV70" s="609"/>
      <c r="FYW70" s="609"/>
      <c r="FYX70" s="609"/>
      <c r="FYY70" s="609"/>
      <c r="FYZ70" s="609"/>
      <c r="FZA70" s="609"/>
      <c r="FZB70" s="609"/>
      <c r="FZC70" s="609"/>
      <c r="FZD70" s="609"/>
      <c r="FZE70" s="609"/>
      <c r="FZF70" s="609"/>
      <c r="FZG70" s="609"/>
      <c r="FZH70" s="609"/>
      <c r="FZI70" s="609"/>
      <c r="FZJ70" s="609"/>
      <c r="FZK70" s="609"/>
      <c r="FZL70" s="609"/>
      <c r="FZM70" s="609"/>
      <c r="FZN70" s="609"/>
      <c r="FZO70" s="609"/>
      <c r="FZP70" s="609"/>
      <c r="FZQ70" s="609"/>
      <c r="FZR70" s="609"/>
      <c r="FZS70" s="609"/>
      <c r="FZT70" s="609"/>
      <c r="FZU70" s="609"/>
      <c r="FZV70" s="609"/>
      <c r="FZW70" s="609"/>
      <c r="FZX70" s="609"/>
      <c r="FZY70" s="609"/>
      <c r="FZZ70" s="609"/>
      <c r="GAA70" s="609"/>
      <c r="GAB70" s="609"/>
      <c r="GAC70" s="609"/>
      <c r="GAD70" s="609"/>
      <c r="GAE70" s="609"/>
      <c r="GAF70" s="609"/>
      <c r="GAG70" s="609"/>
      <c r="GAH70" s="609"/>
      <c r="GAI70" s="609"/>
      <c r="GAJ70" s="609"/>
      <c r="GAK70" s="609"/>
      <c r="GAL70" s="609"/>
      <c r="GAM70" s="609"/>
      <c r="GAN70" s="609"/>
      <c r="GAO70" s="609"/>
      <c r="GAP70" s="609"/>
      <c r="GAQ70" s="609"/>
      <c r="GAR70" s="609"/>
      <c r="GAS70" s="609"/>
      <c r="GAT70" s="609"/>
      <c r="GAU70" s="609"/>
      <c r="GAV70" s="609"/>
      <c r="GAW70" s="609"/>
      <c r="GAX70" s="609"/>
      <c r="GAY70" s="609"/>
      <c r="GAZ70" s="609"/>
      <c r="GBA70" s="609"/>
      <c r="GBB70" s="609"/>
      <c r="GBC70" s="609"/>
      <c r="GBD70" s="609"/>
      <c r="GBE70" s="609"/>
      <c r="GBF70" s="609"/>
      <c r="GBG70" s="609"/>
      <c r="GBH70" s="609"/>
      <c r="GBI70" s="609"/>
      <c r="GBJ70" s="609"/>
      <c r="GBK70" s="609"/>
      <c r="GBL70" s="609"/>
      <c r="GBM70" s="609"/>
      <c r="GBN70" s="609"/>
      <c r="GBO70" s="609"/>
      <c r="GBP70" s="609"/>
      <c r="GBQ70" s="609"/>
      <c r="GBR70" s="609"/>
      <c r="GBS70" s="609"/>
      <c r="GBT70" s="609"/>
      <c r="GBU70" s="609"/>
      <c r="GBV70" s="609"/>
      <c r="GBW70" s="609"/>
      <c r="GBX70" s="609"/>
      <c r="GBY70" s="609"/>
      <c r="GBZ70" s="609"/>
      <c r="GCA70" s="609"/>
      <c r="GCB70" s="609"/>
      <c r="GCC70" s="609"/>
      <c r="GCD70" s="609"/>
      <c r="GCE70" s="609"/>
      <c r="GCF70" s="609"/>
      <c r="GCG70" s="609"/>
      <c r="GCH70" s="609"/>
      <c r="GCI70" s="609"/>
      <c r="GCJ70" s="609"/>
      <c r="GCK70" s="609"/>
      <c r="GCL70" s="609"/>
      <c r="GCM70" s="609"/>
      <c r="GCN70" s="609"/>
      <c r="GCO70" s="609"/>
      <c r="GCP70" s="609"/>
      <c r="GCQ70" s="609"/>
      <c r="GCR70" s="609"/>
      <c r="GCS70" s="609"/>
      <c r="GCT70" s="609"/>
      <c r="GCU70" s="609"/>
      <c r="GCV70" s="609"/>
      <c r="GCW70" s="609"/>
      <c r="GCX70" s="609"/>
      <c r="GCY70" s="609"/>
      <c r="GCZ70" s="609"/>
      <c r="GDA70" s="609"/>
      <c r="GDB70" s="609"/>
      <c r="GDC70" s="609"/>
      <c r="GDD70" s="609"/>
      <c r="GDE70" s="609"/>
      <c r="GDF70" s="609"/>
      <c r="GDG70" s="609"/>
      <c r="GDH70" s="609"/>
      <c r="GDI70" s="609"/>
      <c r="GDJ70" s="609"/>
      <c r="GDK70" s="609"/>
      <c r="GDL70" s="609"/>
      <c r="GDM70" s="609"/>
      <c r="GDN70" s="609"/>
      <c r="GDO70" s="609"/>
      <c r="GDP70" s="609"/>
      <c r="GDQ70" s="609"/>
      <c r="GDR70" s="609"/>
      <c r="GDS70" s="609"/>
      <c r="GDT70" s="609"/>
      <c r="GDU70" s="609"/>
      <c r="GDV70" s="609"/>
      <c r="GDW70" s="609"/>
      <c r="GDX70" s="609"/>
      <c r="GDY70" s="609"/>
      <c r="GDZ70" s="609"/>
      <c r="GEA70" s="609"/>
      <c r="GEB70" s="609"/>
      <c r="GEC70" s="609"/>
      <c r="GED70" s="609"/>
      <c r="GEE70" s="609"/>
      <c r="GEF70" s="609"/>
      <c r="GEG70" s="609"/>
      <c r="GEH70" s="609"/>
      <c r="GEI70" s="609"/>
      <c r="GEJ70" s="609"/>
      <c r="GEK70" s="609"/>
      <c r="GEL70" s="609"/>
      <c r="GEM70" s="609"/>
      <c r="GEN70" s="609"/>
      <c r="GEO70" s="609"/>
      <c r="GEP70" s="609"/>
      <c r="GEQ70" s="609"/>
      <c r="GER70" s="609"/>
      <c r="GES70" s="609"/>
      <c r="GET70" s="609"/>
      <c r="GEU70" s="609"/>
      <c r="GEV70" s="609"/>
      <c r="GEW70" s="609"/>
      <c r="GEX70" s="609"/>
      <c r="GEY70" s="609"/>
      <c r="GEZ70" s="609"/>
      <c r="GFA70" s="609"/>
      <c r="GFB70" s="609"/>
      <c r="GFC70" s="609"/>
      <c r="GFD70" s="609"/>
      <c r="GFE70" s="609"/>
      <c r="GFF70" s="609"/>
      <c r="GFG70" s="609"/>
      <c r="GFH70" s="609"/>
      <c r="GFI70" s="609"/>
      <c r="GFJ70" s="609"/>
      <c r="GFK70" s="609"/>
      <c r="GFL70" s="609"/>
      <c r="GFM70" s="609"/>
      <c r="GFN70" s="609"/>
      <c r="GFO70" s="609"/>
      <c r="GFP70" s="609"/>
      <c r="GFQ70" s="609"/>
      <c r="GFR70" s="609"/>
      <c r="GFS70" s="609"/>
      <c r="GFT70" s="609"/>
      <c r="GFU70" s="609"/>
      <c r="GFV70" s="609"/>
      <c r="GFW70" s="609"/>
      <c r="GFX70" s="609"/>
      <c r="GFY70" s="609"/>
      <c r="GFZ70" s="609"/>
      <c r="GGA70" s="609"/>
      <c r="GGB70" s="609"/>
      <c r="GGC70" s="609"/>
      <c r="GGD70" s="609"/>
      <c r="GGE70" s="609"/>
      <c r="GGF70" s="609"/>
      <c r="GGG70" s="609"/>
      <c r="GGH70" s="609"/>
      <c r="GGI70" s="609"/>
      <c r="GGJ70" s="609"/>
      <c r="GGK70" s="609"/>
      <c r="GGL70" s="609"/>
      <c r="GGM70" s="609"/>
      <c r="GGN70" s="609"/>
      <c r="GGO70" s="609"/>
      <c r="GGP70" s="609"/>
      <c r="GGQ70" s="609"/>
      <c r="GGR70" s="609"/>
      <c r="GGS70" s="609"/>
      <c r="GGT70" s="609"/>
      <c r="GGU70" s="609"/>
      <c r="GGV70" s="609"/>
      <c r="GGW70" s="609"/>
      <c r="GGX70" s="609"/>
      <c r="GGY70" s="609"/>
      <c r="GGZ70" s="609"/>
      <c r="GHA70" s="609"/>
      <c r="GHB70" s="609"/>
      <c r="GHC70" s="609"/>
      <c r="GHD70" s="609"/>
      <c r="GHE70" s="609"/>
      <c r="GHF70" s="609"/>
      <c r="GHG70" s="609"/>
      <c r="GHH70" s="609"/>
      <c r="GHI70" s="609"/>
      <c r="GHJ70" s="609"/>
      <c r="GHK70" s="609"/>
      <c r="GHL70" s="609"/>
      <c r="GHM70" s="609"/>
      <c r="GHN70" s="609"/>
      <c r="GHO70" s="609"/>
      <c r="GHP70" s="609"/>
      <c r="GHQ70" s="609"/>
      <c r="GHR70" s="609"/>
      <c r="GHS70" s="609"/>
      <c r="GHT70" s="609"/>
      <c r="GHU70" s="609"/>
      <c r="GHV70" s="609"/>
      <c r="GHW70" s="609"/>
      <c r="GHX70" s="609"/>
      <c r="GHY70" s="609"/>
      <c r="GHZ70" s="609"/>
      <c r="GIA70" s="609"/>
      <c r="GIB70" s="609"/>
      <c r="GIC70" s="609"/>
      <c r="GID70" s="609"/>
      <c r="GIE70" s="609"/>
      <c r="GIF70" s="609"/>
      <c r="GIG70" s="609"/>
      <c r="GIH70" s="609"/>
      <c r="GII70" s="609"/>
      <c r="GIJ70" s="609"/>
      <c r="GIK70" s="609"/>
      <c r="GIL70" s="609"/>
      <c r="GIM70" s="609"/>
      <c r="GIN70" s="609"/>
      <c r="GIO70" s="609"/>
      <c r="GIP70" s="609"/>
      <c r="GIQ70" s="609"/>
      <c r="GIR70" s="609"/>
      <c r="GIS70" s="609"/>
      <c r="GIT70" s="609"/>
      <c r="GIU70" s="609"/>
      <c r="GIV70" s="609"/>
      <c r="GIW70" s="609"/>
      <c r="GIX70" s="609"/>
      <c r="GIY70" s="609"/>
      <c r="GIZ70" s="609"/>
      <c r="GJA70" s="609"/>
      <c r="GJB70" s="609"/>
      <c r="GJC70" s="609"/>
      <c r="GJD70" s="609"/>
      <c r="GJE70" s="609"/>
      <c r="GJF70" s="609"/>
      <c r="GJG70" s="609"/>
      <c r="GJH70" s="609"/>
      <c r="GJI70" s="609"/>
      <c r="GJJ70" s="609"/>
      <c r="GJK70" s="609"/>
      <c r="GJL70" s="609"/>
      <c r="GJM70" s="609"/>
      <c r="GJN70" s="609"/>
      <c r="GJO70" s="609"/>
      <c r="GJP70" s="609"/>
      <c r="GJQ70" s="609"/>
      <c r="GJR70" s="609"/>
      <c r="GJS70" s="609"/>
      <c r="GJT70" s="609"/>
      <c r="GJU70" s="609"/>
      <c r="GJV70" s="609"/>
      <c r="GJW70" s="609"/>
      <c r="GJX70" s="609"/>
      <c r="GJY70" s="609"/>
      <c r="GJZ70" s="609"/>
      <c r="GKA70" s="609"/>
      <c r="GKB70" s="609"/>
      <c r="GKC70" s="609"/>
      <c r="GKD70" s="609"/>
      <c r="GKE70" s="609"/>
      <c r="GKF70" s="609"/>
      <c r="GKG70" s="609"/>
      <c r="GKH70" s="609"/>
      <c r="GKI70" s="609"/>
      <c r="GKJ70" s="609"/>
      <c r="GKK70" s="609"/>
      <c r="GKL70" s="609"/>
      <c r="GKM70" s="609"/>
      <c r="GKN70" s="609"/>
      <c r="GKO70" s="609"/>
      <c r="GKP70" s="609"/>
      <c r="GKQ70" s="609"/>
      <c r="GKR70" s="609"/>
      <c r="GKS70" s="609"/>
      <c r="GKT70" s="609"/>
      <c r="GKU70" s="609"/>
      <c r="GKV70" s="609"/>
      <c r="GKW70" s="609"/>
      <c r="GKX70" s="609"/>
      <c r="GKY70" s="609"/>
      <c r="GKZ70" s="609"/>
      <c r="GLA70" s="609"/>
      <c r="GLB70" s="609"/>
      <c r="GLC70" s="609"/>
      <c r="GLD70" s="609"/>
      <c r="GLE70" s="609"/>
      <c r="GLF70" s="609"/>
      <c r="GLG70" s="609"/>
      <c r="GLH70" s="609"/>
      <c r="GLI70" s="609"/>
      <c r="GLJ70" s="609"/>
      <c r="GLK70" s="609"/>
      <c r="GLL70" s="609"/>
      <c r="GLM70" s="609"/>
      <c r="GLN70" s="609"/>
      <c r="GLO70" s="609"/>
      <c r="GLP70" s="609"/>
      <c r="GLQ70" s="609"/>
      <c r="GLR70" s="609"/>
      <c r="GLS70" s="609"/>
      <c r="GLT70" s="609"/>
      <c r="GLU70" s="609"/>
      <c r="GLV70" s="609"/>
      <c r="GLW70" s="609"/>
      <c r="GLX70" s="609"/>
      <c r="GLY70" s="609"/>
      <c r="GLZ70" s="609"/>
      <c r="GMA70" s="609"/>
      <c r="GMB70" s="609"/>
      <c r="GMC70" s="609"/>
      <c r="GMD70" s="609"/>
      <c r="GME70" s="609"/>
      <c r="GMF70" s="609"/>
      <c r="GMG70" s="609"/>
      <c r="GMH70" s="609"/>
      <c r="GMI70" s="609"/>
      <c r="GMJ70" s="609"/>
      <c r="GMK70" s="609"/>
      <c r="GML70" s="609"/>
      <c r="GMM70" s="609"/>
      <c r="GMN70" s="609"/>
      <c r="GMO70" s="609"/>
      <c r="GMP70" s="609"/>
      <c r="GMQ70" s="609"/>
      <c r="GMR70" s="609"/>
      <c r="GMS70" s="609"/>
      <c r="GMT70" s="609"/>
      <c r="GMU70" s="609"/>
      <c r="GMV70" s="609"/>
      <c r="GMW70" s="609"/>
      <c r="GMX70" s="609"/>
      <c r="GMY70" s="609"/>
      <c r="GMZ70" s="609"/>
      <c r="GNA70" s="609"/>
      <c r="GNB70" s="609"/>
      <c r="GNC70" s="609"/>
      <c r="GND70" s="609"/>
      <c r="GNE70" s="609"/>
      <c r="GNF70" s="609"/>
      <c r="GNG70" s="609"/>
      <c r="GNH70" s="609"/>
      <c r="GNI70" s="609"/>
      <c r="GNJ70" s="609"/>
      <c r="GNK70" s="609"/>
      <c r="GNL70" s="609"/>
      <c r="GNM70" s="609"/>
      <c r="GNN70" s="609"/>
      <c r="GNO70" s="609"/>
      <c r="GNP70" s="609"/>
      <c r="GNQ70" s="609"/>
      <c r="GNR70" s="609"/>
      <c r="GNS70" s="609"/>
      <c r="GNT70" s="609"/>
      <c r="GNU70" s="609"/>
      <c r="GNV70" s="609"/>
      <c r="GNW70" s="609"/>
      <c r="GNX70" s="609"/>
      <c r="GNY70" s="609"/>
      <c r="GNZ70" s="609"/>
      <c r="GOA70" s="609"/>
      <c r="GOB70" s="609"/>
      <c r="GOC70" s="609"/>
      <c r="GOD70" s="609"/>
      <c r="GOE70" s="609"/>
      <c r="GOF70" s="609"/>
      <c r="GOG70" s="609"/>
      <c r="GOH70" s="609"/>
      <c r="GOI70" s="609"/>
      <c r="GOJ70" s="609"/>
      <c r="GOK70" s="609"/>
      <c r="GOL70" s="609"/>
      <c r="GOM70" s="609"/>
      <c r="GON70" s="609"/>
      <c r="GOO70" s="609"/>
      <c r="GOP70" s="609"/>
      <c r="GOQ70" s="609"/>
      <c r="GOR70" s="609"/>
      <c r="GOS70" s="609"/>
      <c r="GOT70" s="609"/>
      <c r="GOU70" s="609"/>
      <c r="GOV70" s="609"/>
      <c r="GOW70" s="609"/>
      <c r="GOX70" s="609"/>
      <c r="GOY70" s="609"/>
      <c r="GOZ70" s="609"/>
      <c r="GPA70" s="609"/>
      <c r="GPB70" s="609"/>
      <c r="GPC70" s="609"/>
      <c r="GPD70" s="609"/>
      <c r="GPE70" s="609"/>
      <c r="GPF70" s="609"/>
      <c r="GPG70" s="609"/>
      <c r="GPH70" s="609"/>
      <c r="GPI70" s="609"/>
      <c r="GPJ70" s="609"/>
      <c r="GPK70" s="609"/>
      <c r="GPL70" s="609"/>
      <c r="GPM70" s="609"/>
      <c r="GPN70" s="609"/>
      <c r="GPO70" s="609"/>
      <c r="GPP70" s="609"/>
      <c r="GPQ70" s="609"/>
      <c r="GPR70" s="609"/>
      <c r="GPS70" s="609"/>
      <c r="GPT70" s="609"/>
      <c r="GPU70" s="609"/>
      <c r="GPV70" s="609"/>
      <c r="GPW70" s="609"/>
      <c r="GPX70" s="609"/>
      <c r="GPY70" s="609"/>
      <c r="GPZ70" s="609"/>
      <c r="GQA70" s="609"/>
      <c r="GQB70" s="609"/>
      <c r="GQC70" s="609"/>
      <c r="GQD70" s="609"/>
      <c r="GQE70" s="609"/>
      <c r="GQF70" s="609"/>
      <c r="GQG70" s="609"/>
      <c r="GQH70" s="609"/>
      <c r="GQI70" s="609"/>
      <c r="GQJ70" s="609"/>
      <c r="GQK70" s="609"/>
      <c r="GQL70" s="609"/>
      <c r="GQM70" s="609"/>
      <c r="GQN70" s="609"/>
      <c r="GQO70" s="609"/>
      <c r="GQP70" s="609"/>
      <c r="GQQ70" s="609"/>
      <c r="GQR70" s="609"/>
      <c r="GQS70" s="609"/>
      <c r="GQT70" s="609"/>
      <c r="GQU70" s="609"/>
      <c r="GQV70" s="609"/>
      <c r="GQW70" s="609"/>
      <c r="GQX70" s="609"/>
      <c r="GQY70" s="609"/>
      <c r="GQZ70" s="609"/>
      <c r="GRA70" s="609"/>
      <c r="GRB70" s="609"/>
      <c r="GRC70" s="609"/>
      <c r="GRD70" s="609"/>
      <c r="GRE70" s="609"/>
      <c r="GRF70" s="609"/>
      <c r="GRG70" s="609"/>
      <c r="GRH70" s="609"/>
      <c r="GRI70" s="609"/>
      <c r="GRJ70" s="609"/>
      <c r="GRK70" s="609"/>
      <c r="GRL70" s="609"/>
      <c r="GRM70" s="609"/>
      <c r="GRN70" s="609"/>
      <c r="GRO70" s="609"/>
      <c r="GRP70" s="609"/>
      <c r="GRQ70" s="609"/>
      <c r="GRR70" s="609"/>
      <c r="GRS70" s="609"/>
      <c r="GRT70" s="609"/>
      <c r="GRU70" s="609"/>
      <c r="GRV70" s="609"/>
      <c r="GRW70" s="609"/>
      <c r="GRX70" s="609"/>
      <c r="GRY70" s="609"/>
      <c r="GRZ70" s="609"/>
      <c r="GSA70" s="609"/>
      <c r="GSB70" s="609"/>
      <c r="GSC70" s="609"/>
      <c r="GSD70" s="609"/>
      <c r="GSE70" s="609"/>
      <c r="GSF70" s="609"/>
      <c r="GSG70" s="609"/>
      <c r="GSH70" s="609"/>
      <c r="GSI70" s="609"/>
      <c r="GSJ70" s="609"/>
      <c r="GSK70" s="609"/>
      <c r="GSL70" s="609"/>
      <c r="GSM70" s="609"/>
      <c r="GSN70" s="609"/>
      <c r="GSO70" s="609"/>
      <c r="GSP70" s="609"/>
      <c r="GSQ70" s="609"/>
      <c r="GSR70" s="609"/>
      <c r="GSS70" s="609"/>
      <c r="GST70" s="609"/>
      <c r="GSU70" s="609"/>
      <c r="GSV70" s="609"/>
      <c r="GSW70" s="609"/>
      <c r="GSX70" s="609"/>
      <c r="GSY70" s="609"/>
      <c r="GSZ70" s="609"/>
      <c r="GTA70" s="609"/>
      <c r="GTB70" s="609"/>
      <c r="GTC70" s="609"/>
      <c r="GTD70" s="609"/>
      <c r="GTE70" s="609"/>
      <c r="GTF70" s="609"/>
      <c r="GTG70" s="609"/>
      <c r="GTH70" s="609"/>
      <c r="GTI70" s="609"/>
      <c r="GTJ70" s="609"/>
      <c r="GTK70" s="609"/>
      <c r="GTL70" s="609"/>
      <c r="GTM70" s="609"/>
      <c r="GTN70" s="609"/>
      <c r="GTO70" s="609"/>
      <c r="GTP70" s="609"/>
      <c r="GTQ70" s="609"/>
      <c r="GTR70" s="609"/>
      <c r="GTS70" s="609"/>
      <c r="GTT70" s="609"/>
      <c r="GTU70" s="609"/>
      <c r="GTV70" s="609"/>
      <c r="GTW70" s="609"/>
      <c r="GTX70" s="609"/>
      <c r="GTY70" s="609"/>
      <c r="GTZ70" s="609"/>
      <c r="GUA70" s="609"/>
      <c r="GUB70" s="609"/>
      <c r="GUC70" s="609"/>
      <c r="GUD70" s="609"/>
      <c r="GUE70" s="609"/>
      <c r="GUF70" s="609"/>
      <c r="GUG70" s="609"/>
      <c r="GUH70" s="609"/>
      <c r="GUI70" s="609"/>
      <c r="GUJ70" s="609"/>
      <c r="GUK70" s="609"/>
      <c r="GUL70" s="609"/>
      <c r="GUM70" s="609"/>
      <c r="GUN70" s="609"/>
      <c r="GUO70" s="609"/>
      <c r="GUP70" s="609"/>
      <c r="GUQ70" s="609"/>
      <c r="GUR70" s="609"/>
      <c r="GUS70" s="609"/>
      <c r="GUT70" s="609"/>
      <c r="GUU70" s="609"/>
      <c r="GUV70" s="609"/>
      <c r="GUW70" s="609"/>
      <c r="GUX70" s="609"/>
      <c r="GUY70" s="609"/>
      <c r="GUZ70" s="609"/>
      <c r="GVA70" s="609"/>
      <c r="GVB70" s="609"/>
      <c r="GVC70" s="609"/>
      <c r="GVD70" s="609"/>
      <c r="GVE70" s="609"/>
      <c r="GVF70" s="609"/>
      <c r="GVG70" s="609"/>
      <c r="GVH70" s="609"/>
      <c r="GVI70" s="609"/>
      <c r="GVJ70" s="609"/>
      <c r="GVK70" s="609"/>
      <c r="GVL70" s="609"/>
      <c r="GVM70" s="609"/>
      <c r="GVN70" s="609"/>
      <c r="GVO70" s="609"/>
      <c r="GVP70" s="609"/>
      <c r="GVQ70" s="609"/>
      <c r="GVR70" s="609"/>
      <c r="GVS70" s="609"/>
      <c r="GVT70" s="609"/>
      <c r="GVU70" s="609"/>
      <c r="GVV70" s="609"/>
      <c r="GVW70" s="609"/>
      <c r="GVX70" s="609"/>
      <c r="GVY70" s="609"/>
      <c r="GVZ70" s="609"/>
      <c r="GWA70" s="609"/>
      <c r="GWB70" s="609"/>
      <c r="GWC70" s="609"/>
      <c r="GWD70" s="609"/>
      <c r="GWE70" s="609"/>
      <c r="GWF70" s="609"/>
      <c r="GWG70" s="609"/>
      <c r="GWH70" s="609"/>
      <c r="GWI70" s="609"/>
      <c r="GWJ70" s="609"/>
      <c r="GWK70" s="609"/>
      <c r="GWL70" s="609"/>
      <c r="GWM70" s="609"/>
      <c r="GWN70" s="609"/>
      <c r="GWO70" s="609"/>
      <c r="GWP70" s="609"/>
      <c r="GWQ70" s="609"/>
      <c r="GWR70" s="609"/>
      <c r="GWS70" s="609"/>
      <c r="GWT70" s="609"/>
      <c r="GWU70" s="609"/>
      <c r="GWV70" s="609"/>
      <c r="GWW70" s="609"/>
      <c r="GWX70" s="609"/>
      <c r="GWY70" s="609"/>
      <c r="GWZ70" s="609"/>
      <c r="GXA70" s="609"/>
      <c r="GXB70" s="609"/>
      <c r="GXC70" s="609"/>
      <c r="GXD70" s="609"/>
      <c r="GXE70" s="609"/>
      <c r="GXF70" s="609"/>
      <c r="GXG70" s="609"/>
      <c r="GXH70" s="609"/>
      <c r="GXI70" s="609"/>
      <c r="GXJ70" s="609"/>
      <c r="GXK70" s="609"/>
      <c r="GXL70" s="609"/>
      <c r="GXM70" s="609"/>
      <c r="GXN70" s="609"/>
      <c r="GXO70" s="609"/>
      <c r="GXP70" s="609"/>
      <c r="GXQ70" s="609"/>
      <c r="GXR70" s="609"/>
      <c r="GXS70" s="609"/>
      <c r="GXT70" s="609"/>
      <c r="GXU70" s="609"/>
      <c r="GXV70" s="609"/>
      <c r="GXW70" s="609"/>
      <c r="GXX70" s="609"/>
      <c r="GXY70" s="609"/>
      <c r="GXZ70" s="609"/>
      <c r="GYA70" s="609"/>
      <c r="GYB70" s="609"/>
      <c r="GYC70" s="609"/>
      <c r="GYD70" s="609"/>
      <c r="GYE70" s="609"/>
      <c r="GYF70" s="609"/>
      <c r="GYG70" s="609"/>
      <c r="GYH70" s="609"/>
      <c r="GYI70" s="609"/>
      <c r="GYJ70" s="609"/>
      <c r="GYK70" s="609"/>
      <c r="GYL70" s="609"/>
      <c r="GYM70" s="609"/>
      <c r="GYN70" s="609"/>
      <c r="GYO70" s="609"/>
      <c r="GYP70" s="609"/>
      <c r="GYQ70" s="609"/>
      <c r="GYR70" s="609"/>
      <c r="GYS70" s="609"/>
      <c r="GYT70" s="609"/>
      <c r="GYU70" s="609"/>
      <c r="GYV70" s="609"/>
      <c r="GYW70" s="609"/>
      <c r="GYX70" s="609"/>
      <c r="GYY70" s="609"/>
      <c r="GYZ70" s="609"/>
      <c r="GZA70" s="609"/>
      <c r="GZB70" s="609"/>
      <c r="GZC70" s="609"/>
      <c r="GZD70" s="609"/>
      <c r="GZE70" s="609"/>
      <c r="GZF70" s="609"/>
      <c r="GZG70" s="609"/>
      <c r="GZH70" s="609"/>
      <c r="GZI70" s="609"/>
      <c r="GZJ70" s="609"/>
      <c r="GZK70" s="609"/>
      <c r="GZL70" s="609"/>
      <c r="GZM70" s="609"/>
      <c r="GZN70" s="609"/>
      <c r="GZO70" s="609"/>
      <c r="GZP70" s="609"/>
      <c r="GZQ70" s="609"/>
      <c r="GZR70" s="609"/>
      <c r="GZS70" s="609"/>
      <c r="GZT70" s="609"/>
      <c r="GZU70" s="609"/>
      <c r="GZV70" s="609"/>
      <c r="GZW70" s="609"/>
      <c r="GZX70" s="609"/>
      <c r="GZY70" s="609"/>
      <c r="GZZ70" s="609"/>
      <c r="HAA70" s="609"/>
      <c r="HAB70" s="609"/>
      <c r="HAC70" s="609"/>
      <c r="HAD70" s="609"/>
      <c r="HAE70" s="609"/>
      <c r="HAF70" s="609"/>
      <c r="HAG70" s="609"/>
      <c r="HAH70" s="609"/>
      <c r="HAI70" s="609"/>
      <c r="HAJ70" s="609"/>
      <c r="HAK70" s="609"/>
      <c r="HAL70" s="609"/>
      <c r="HAM70" s="609"/>
      <c r="HAN70" s="609"/>
      <c r="HAO70" s="609"/>
      <c r="HAP70" s="609"/>
      <c r="HAQ70" s="609"/>
      <c r="HAR70" s="609"/>
      <c r="HAS70" s="609"/>
      <c r="HAT70" s="609"/>
      <c r="HAU70" s="609"/>
      <c r="HAV70" s="609"/>
      <c r="HAW70" s="609"/>
      <c r="HAX70" s="609"/>
      <c r="HAY70" s="609"/>
      <c r="HAZ70" s="609"/>
      <c r="HBA70" s="609"/>
      <c r="HBB70" s="609"/>
      <c r="HBC70" s="609"/>
      <c r="HBD70" s="609"/>
      <c r="HBE70" s="609"/>
      <c r="HBF70" s="609"/>
      <c r="HBG70" s="609"/>
      <c r="HBH70" s="609"/>
      <c r="HBI70" s="609"/>
      <c r="HBJ70" s="609"/>
      <c r="HBK70" s="609"/>
      <c r="HBL70" s="609"/>
      <c r="HBM70" s="609"/>
      <c r="HBN70" s="609"/>
      <c r="HBO70" s="609"/>
      <c r="HBP70" s="609"/>
      <c r="HBQ70" s="609"/>
      <c r="HBR70" s="609"/>
      <c r="HBS70" s="609"/>
      <c r="HBT70" s="609"/>
      <c r="HBU70" s="609"/>
      <c r="HBV70" s="609"/>
      <c r="HBW70" s="609"/>
      <c r="HBX70" s="609"/>
      <c r="HBY70" s="609"/>
      <c r="HBZ70" s="609"/>
      <c r="HCA70" s="609"/>
      <c r="HCB70" s="609"/>
      <c r="HCC70" s="609"/>
      <c r="HCD70" s="609"/>
      <c r="HCE70" s="609"/>
      <c r="HCF70" s="609"/>
      <c r="HCG70" s="609"/>
      <c r="HCH70" s="609"/>
      <c r="HCI70" s="609"/>
      <c r="HCJ70" s="609"/>
      <c r="HCK70" s="609"/>
      <c r="HCL70" s="609"/>
      <c r="HCM70" s="609"/>
      <c r="HCN70" s="609"/>
      <c r="HCO70" s="609"/>
      <c r="HCP70" s="609"/>
      <c r="HCQ70" s="609"/>
      <c r="HCR70" s="609"/>
      <c r="HCS70" s="609"/>
      <c r="HCT70" s="609"/>
      <c r="HCU70" s="609"/>
      <c r="HCV70" s="609"/>
      <c r="HCW70" s="609"/>
      <c r="HCX70" s="609"/>
      <c r="HCY70" s="609"/>
      <c r="HCZ70" s="609"/>
      <c r="HDA70" s="609"/>
      <c r="HDB70" s="609"/>
      <c r="HDC70" s="609"/>
      <c r="HDD70" s="609"/>
      <c r="HDE70" s="609"/>
      <c r="HDF70" s="609"/>
      <c r="HDG70" s="609"/>
      <c r="HDH70" s="609"/>
      <c r="HDI70" s="609"/>
      <c r="HDJ70" s="609"/>
      <c r="HDK70" s="609"/>
      <c r="HDL70" s="609"/>
      <c r="HDM70" s="609"/>
      <c r="HDN70" s="609"/>
      <c r="HDO70" s="609"/>
      <c r="HDP70" s="609"/>
      <c r="HDQ70" s="609"/>
      <c r="HDR70" s="609"/>
      <c r="HDS70" s="609"/>
      <c r="HDT70" s="609"/>
      <c r="HDU70" s="609"/>
      <c r="HDV70" s="609"/>
      <c r="HDW70" s="609"/>
      <c r="HDX70" s="609"/>
      <c r="HDY70" s="609"/>
      <c r="HDZ70" s="609"/>
      <c r="HEA70" s="609"/>
      <c r="HEB70" s="609"/>
      <c r="HEC70" s="609"/>
      <c r="HED70" s="609"/>
      <c r="HEE70" s="609"/>
      <c r="HEF70" s="609"/>
      <c r="HEG70" s="609"/>
      <c r="HEH70" s="609"/>
      <c r="HEI70" s="609"/>
      <c r="HEJ70" s="609"/>
      <c r="HEK70" s="609"/>
      <c r="HEL70" s="609"/>
      <c r="HEM70" s="609"/>
      <c r="HEN70" s="609"/>
      <c r="HEO70" s="609"/>
      <c r="HEP70" s="609"/>
      <c r="HEQ70" s="609"/>
      <c r="HER70" s="609"/>
      <c r="HES70" s="609"/>
      <c r="HET70" s="609"/>
      <c r="HEU70" s="609"/>
      <c r="HEV70" s="609"/>
      <c r="HEW70" s="609"/>
      <c r="HEX70" s="609"/>
      <c r="HEY70" s="609"/>
      <c r="HEZ70" s="609"/>
      <c r="HFA70" s="609"/>
      <c r="HFB70" s="609"/>
      <c r="HFC70" s="609"/>
      <c r="HFD70" s="609"/>
      <c r="HFE70" s="609"/>
      <c r="HFF70" s="609"/>
      <c r="HFG70" s="609"/>
      <c r="HFH70" s="609"/>
      <c r="HFI70" s="609"/>
      <c r="HFJ70" s="609"/>
      <c r="HFK70" s="609"/>
      <c r="HFL70" s="609"/>
      <c r="HFM70" s="609"/>
      <c r="HFN70" s="609"/>
      <c r="HFO70" s="609"/>
      <c r="HFP70" s="609"/>
      <c r="HFQ70" s="609"/>
      <c r="HFR70" s="609"/>
      <c r="HFS70" s="609"/>
      <c r="HFT70" s="609"/>
      <c r="HFU70" s="609"/>
      <c r="HFV70" s="609"/>
      <c r="HFW70" s="609"/>
      <c r="HFX70" s="609"/>
      <c r="HFY70" s="609"/>
      <c r="HFZ70" s="609"/>
      <c r="HGA70" s="609"/>
      <c r="HGB70" s="609"/>
      <c r="HGC70" s="609"/>
      <c r="HGD70" s="609"/>
      <c r="HGE70" s="609"/>
      <c r="HGF70" s="609"/>
      <c r="HGG70" s="609"/>
      <c r="HGH70" s="609"/>
      <c r="HGI70" s="609"/>
      <c r="HGJ70" s="609"/>
      <c r="HGK70" s="609"/>
      <c r="HGL70" s="609"/>
      <c r="HGM70" s="609"/>
      <c r="HGN70" s="609"/>
      <c r="HGO70" s="609"/>
      <c r="HGP70" s="609"/>
      <c r="HGQ70" s="609"/>
      <c r="HGR70" s="609"/>
      <c r="HGS70" s="609"/>
      <c r="HGT70" s="609"/>
      <c r="HGU70" s="609"/>
      <c r="HGV70" s="609"/>
      <c r="HGW70" s="609"/>
      <c r="HGX70" s="609"/>
      <c r="HGY70" s="609"/>
      <c r="HGZ70" s="609"/>
      <c r="HHA70" s="609"/>
      <c r="HHB70" s="609"/>
      <c r="HHC70" s="609"/>
      <c r="HHD70" s="609"/>
      <c r="HHE70" s="609"/>
      <c r="HHF70" s="609"/>
      <c r="HHG70" s="609"/>
      <c r="HHH70" s="609"/>
      <c r="HHI70" s="609"/>
      <c r="HHJ70" s="609"/>
      <c r="HHK70" s="609"/>
      <c r="HHL70" s="609"/>
      <c r="HHM70" s="609"/>
      <c r="HHN70" s="609"/>
      <c r="HHO70" s="609"/>
      <c r="HHP70" s="609"/>
      <c r="HHQ70" s="609"/>
      <c r="HHR70" s="609"/>
      <c r="HHS70" s="609"/>
      <c r="HHT70" s="609"/>
      <c r="HHU70" s="609"/>
      <c r="HHV70" s="609"/>
      <c r="HHW70" s="609"/>
      <c r="HHX70" s="609"/>
      <c r="HHY70" s="609"/>
      <c r="HHZ70" s="609"/>
      <c r="HIA70" s="609"/>
      <c r="HIB70" s="609"/>
      <c r="HIC70" s="609"/>
      <c r="HID70" s="609"/>
      <c r="HIE70" s="609"/>
      <c r="HIF70" s="609"/>
      <c r="HIG70" s="609"/>
      <c r="HIH70" s="609"/>
      <c r="HII70" s="609"/>
      <c r="HIJ70" s="609"/>
      <c r="HIK70" s="609"/>
      <c r="HIL70" s="609"/>
      <c r="HIM70" s="609"/>
      <c r="HIN70" s="609"/>
      <c r="HIO70" s="609"/>
      <c r="HIP70" s="609"/>
      <c r="HIQ70" s="609"/>
      <c r="HIR70" s="609"/>
      <c r="HIS70" s="609"/>
      <c r="HIT70" s="609"/>
      <c r="HIU70" s="609"/>
      <c r="HIV70" s="609"/>
      <c r="HIW70" s="609"/>
      <c r="HIX70" s="609"/>
      <c r="HIY70" s="609"/>
      <c r="HIZ70" s="609"/>
      <c r="HJA70" s="609"/>
      <c r="HJB70" s="609"/>
      <c r="HJC70" s="609"/>
      <c r="HJD70" s="609"/>
      <c r="HJE70" s="609"/>
      <c r="HJF70" s="609"/>
      <c r="HJG70" s="609"/>
      <c r="HJH70" s="609"/>
      <c r="HJI70" s="609"/>
      <c r="HJJ70" s="609"/>
      <c r="HJK70" s="609"/>
      <c r="HJL70" s="609"/>
      <c r="HJM70" s="609"/>
      <c r="HJN70" s="609"/>
      <c r="HJO70" s="609"/>
      <c r="HJP70" s="609"/>
      <c r="HJQ70" s="609"/>
      <c r="HJR70" s="609"/>
      <c r="HJS70" s="609"/>
      <c r="HJT70" s="609"/>
      <c r="HJU70" s="609"/>
      <c r="HJV70" s="609"/>
      <c r="HJW70" s="609"/>
      <c r="HJX70" s="609"/>
      <c r="HJY70" s="609"/>
      <c r="HJZ70" s="609"/>
      <c r="HKA70" s="609"/>
      <c r="HKB70" s="609"/>
      <c r="HKC70" s="609"/>
      <c r="HKD70" s="609"/>
      <c r="HKE70" s="609"/>
      <c r="HKF70" s="609"/>
      <c r="HKG70" s="609"/>
      <c r="HKH70" s="609"/>
      <c r="HKI70" s="609"/>
      <c r="HKJ70" s="609"/>
      <c r="HKK70" s="609"/>
      <c r="HKL70" s="609"/>
      <c r="HKM70" s="609"/>
      <c r="HKN70" s="609"/>
      <c r="HKO70" s="609"/>
      <c r="HKP70" s="609"/>
      <c r="HKQ70" s="609"/>
      <c r="HKR70" s="609"/>
      <c r="HKS70" s="609"/>
      <c r="HKT70" s="609"/>
      <c r="HKU70" s="609"/>
      <c r="HKV70" s="609"/>
      <c r="HKW70" s="609"/>
      <c r="HKX70" s="609"/>
      <c r="HKY70" s="609"/>
      <c r="HKZ70" s="609"/>
      <c r="HLA70" s="609"/>
      <c r="HLB70" s="609"/>
      <c r="HLC70" s="609"/>
      <c r="HLD70" s="609"/>
      <c r="HLE70" s="609"/>
      <c r="HLF70" s="609"/>
      <c r="HLG70" s="609"/>
      <c r="HLH70" s="609"/>
      <c r="HLI70" s="609"/>
      <c r="HLJ70" s="609"/>
      <c r="HLK70" s="609"/>
      <c r="HLL70" s="609"/>
      <c r="HLM70" s="609"/>
      <c r="HLN70" s="609"/>
      <c r="HLO70" s="609"/>
      <c r="HLP70" s="609"/>
      <c r="HLQ70" s="609"/>
      <c r="HLR70" s="609"/>
      <c r="HLS70" s="609"/>
      <c r="HLT70" s="609"/>
      <c r="HLU70" s="609"/>
      <c r="HLV70" s="609"/>
      <c r="HLW70" s="609"/>
      <c r="HLX70" s="609"/>
      <c r="HLY70" s="609"/>
      <c r="HLZ70" s="609"/>
      <c r="HMA70" s="609"/>
      <c r="HMB70" s="609"/>
      <c r="HMC70" s="609"/>
      <c r="HMD70" s="609"/>
      <c r="HME70" s="609"/>
      <c r="HMF70" s="609"/>
      <c r="HMG70" s="609"/>
      <c r="HMH70" s="609"/>
      <c r="HMI70" s="609"/>
      <c r="HMJ70" s="609"/>
      <c r="HMK70" s="609"/>
      <c r="HML70" s="609"/>
      <c r="HMM70" s="609"/>
      <c r="HMN70" s="609"/>
      <c r="HMO70" s="609"/>
      <c r="HMP70" s="609"/>
      <c r="HMQ70" s="609"/>
      <c r="HMR70" s="609"/>
      <c r="HMS70" s="609"/>
      <c r="HMT70" s="609"/>
      <c r="HMU70" s="609"/>
      <c r="HMV70" s="609"/>
      <c r="HMW70" s="609"/>
      <c r="HMX70" s="609"/>
      <c r="HMY70" s="609"/>
      <c r="HMZ70" s="609"/>
      <c r="HNA70" s="609"/>
      <c r="HNB70" s="609"/>
      <c r="HNC70" s="609"/>
      <c r="HND70" s="609"/>
      <c r="HNE70" s="609"/>
      <c r="HNF70" s="609"/>
      <c r="HNG70" s="609"/>
      <c r="HNH70" s="609"/>
      <c r="HNI70" s="609"/>
      <c r="HNJ70" s="609"/>
      <c r="HNK70" s="609"/>
      <c r="HNL70" s="609"/>
      <c r="HNM70" s="609"/>
      <c r="HNN70" s="609"/>
      <c r="HNO70" s="609"/>
      <c r="HNP70" s="609"/>
      <c r="HNQ70" s="609"/>
      <c r="HNR70" s="609"/>
      <c r="HNS70" s="609"/>
      <c r="HNT70" s="609"/>
      <c r="HNU70" s="609"/>
      <c r="HNV70" s="609"/>
      <c r="HNW70" s="609"/>
      <c r="HNX70" s="609"/>
      <c r="HNY70" s="609"/>
      <c r="HNZ70" s="609"/>
      <c r="HOA70" s="609"/>
      <c r="HOB70" s="609"/>
      <c r="HOC70" s="609"/>
      <c r="HOD70" s="609"/>
      <c r="HOE70" s="609"/>
      <c r="HOF70" s="609"/>
      <c r="HOG70" s="609"/>
      <c r="HOH70" s="609"/>
      <c r="HOI70" s="609"/>
      <c r="HOJ70" s="609"/>
      <c r="HOK70" s="609"/>
      <c r="HOL70" s="609"/>
      <c r="HOM70" s="609"/>
      <c r="HON70" s="609"/>
      <c r="HOO70" s="609"/>
      <c r="HOP70" s="609"/>
      <c r="HOQ70" s="609"/>
      <c r="HOR70" s="609"/>
      <c r="HOS70" s="609"/>
      <c r="HOT70" s="609"/>
      <c r="HOU70" s="609"/>
      <c r="HOV70" s="609"/>
      <c r="HOW70" s="609"/>
      <c r="HOX70" s="609"/>
      <c r="HOY70" s="609"/>
      <c r="HOZ70" s="609"/>
      <c r="HPA70" s="609"/>
      <c r="HPB70" s="609"/>
      <c r="HPC70" s="609"/>
      <c r="HPD70" s="609"/>
      <c r="HPE70" s="609"/>
      <c r="HPF70" s="609"/>
      <c r="HPG70" s="609"/>
      <c r="HPH70" s="609"/>
      <c r="HPI70" s="609"/>
      <c r="HPJ70" s="609"/>
      <c r="HPK70" s="609"/>
      <c r="HPL70" s="609"/>
      <c r="HPM70" s="609"/>
      <c r="HPN70" s="609"/>
      <c r="HPO70" s="609"/>
      <c r="HPP70" s="609"/>
      <c r="HPQ70" s="609"/>
      <c r="HPR70" s="609"/>
      <c r="HPS70" s="609"/>
      <c r="HPT70" s="609"/>
      <c r="HPU70" s="609"/>
      <c r="HPV70" s="609"/>
      <c r="HPW70" s="609"/>
      <c r="HPX70" s="609"/>
      <c r="HPY70" s="609"/>
      <c r="HPZ70" s="609"/>
      <c r="HQA70" s="609"/>
      <c r="HQB70" s="609"/>
      <c r="HQC70" s="609"/>
      <c r="HQD70" s="609"/>
      <c r="HQE70" s="609"/>
      <c r="HQF70" s="609"/>
      <c r="HQG70" s="609"/>
      <c r="HQH70" s="609"/>
      <c r="HQI70" s="609"/>
      <c r="HQJ70" s="609"/>
      <c r="HQK70" s="609"/>
      <c r="HQL70" s="609"/>
      <c r="HQM70" s="609"/>
      <c r="HQN70" s="609"/>
      <c r="HQO70" s="609"/>
      <c r="HQP70" s="609"/>
      <c r="HQQ70" s="609"/>
      <c r="HQR70" s="609"/>
      <c r="HQS70" s="609"/>
      <c r="HQT70" s="609"/>
      <c r="HQU70" s="609"/>
      <c r="HQV70" s="609"/>
      <c r="HQW70" s="609"/>
      <c r="HQX70" s="609"/>
      <c r="HQY70" s="609"/>
      <c r="HQZ70" s="609"/>
      <c r="HRA70" s="609"/>
      <c r="HRB70" s="609"/>
      <c r="HRC70" s="609"/>
      <c r="HRD70" s="609"/>
      <c r="HRE70" s="609"/>
      <c r="HRF70" s="609"/>
      <c r="HRG70" s="609"/>
      <c r="HRH70" s="609"/>
      <c r="HRI70" s="609"/>
      <c r="HRJ70" s="609"/>
      <c r="HRK70" s="609"/>
      <c r="HRL70" s="609"/>
      <c r="HRM70" s="609"/>
      <c r="HRN70" s="609"/>
      <c r="HRO70" s="609"/>
      <c r="HRP70" s="609"/>
      <c r="HRQ70" s="609"/>
      <c r="HRR70" s="609"/>
      <c r="HRS70" s="609"/>
      <c r="HRT70" s="609"/>
      <c r="HRU70" s="609"/>
      <c r="HRV70" s="609"/>
      <c r="HRW70" s="609"/>
      <c r="HRX70" s="609"/>
      <c r="HRY70" s="609"/>
      <c r="HRZ70" s="609"/>
      <c r="HSA70" s="609"/>
      <c r="HSB70" s="609"/>
      <c r="HSC70" s="609"/>
      <c r="HSD70" s="609"/>
      <c r="HSE70" s="609"/>
      <c r="HSF70" s="609"/>
      <c r="HSG70" s="609"/>
      <c r="HSH70" s="609"/>
      <c r="HSI70" s="609"/>
      <c r="HSJ70" s="609"/>
      <c r="HSK70" s="609"/>
      <c r="HSL70" s="609"/>
      <c r="HSM70" s="609"/>
      <c r="HSN70" s="609"/>
      <c r="HSO70" s="609"/>
      <c r="HSP70" s="609"/>
      <c r="HSQ70" s="609"/>
      <c r="HSR70" s="609"/>
      <c r="HSS70" s="609"/>
      <c r="HST70" s="609"/>
      <c r="HSU70" s="609"/>
      <c r="HSV70" s="609"/>
      <c r="HSW70" s="609"/>
      <c r="HSX70" s="609"/>
      <c r="HSY70" s="609"/>
      <c r="HSZ70" s="609"/>
      <c r="HTA70" s="609"/>
      <c r="HTB70" s="609"/>
      <c r="HTC70" s="609"/>
      <c r="HTD70" s="609"/>
      <c r="HTE70" s="609"/>
      <c r="HTF70" s="609"/>
      <c r="HTG70" s="609"/>
      <c r="HTH70" s="609"/>
      <c r="HTI70" s="609"/>
      <c r="HTJ70" s="609"/>
      <c r="HTK70" s="609"/>
      <c r="HTL70" s="609"/>
      <c r="HTM70" s="609"/>
      <c r="HTN70" s="609"/>
      <c r="HTO70" s="609"/>
      <c r="HTP70" s="609"/>
      <c r="HTQ70" s="609"/>
      <c r="HTR70" s="609"/>
      <c r="HTS70" s="609"/>
      <c r="HTT70" s="609"/>
      <c r="HTU70" s="609"/>
      <c r="HTV70" s="609"/>
      <c r="HTW70" s="609"/>
      <c r="HTX70" s="609"/>
      <c r="HTY70" s="609"/>
      <c r="HTZ70" s="609"/>
      <c r="HUA70" s="609"/>
      <c r="HUB70" s="609"/>
      <c r="HUC70" s="609"/>
      <c r="HUD70" s="609"/>
      <c r="HUE70" s="609"/>
      <c r="HUF70" s="609"/>
      <c r="HUG70" s="609"/>
      <c r="HUH70" s="609"/>
      <c r="HUI70" s="609"/>
      <c r="HUJ70" s="609"/>
      <c r="HUK70" s="609"/>
      <c r="HUL70" s="609"/>
      <c r="HUM70" s="609"/>
      <c r="HUN70" s="609"/>
      <c r="HUO70" s="609"/>
      <c r="HUP70" s="609"/>
      <c r="HUQ70" s="609"/>
      <c r="HUR70" s="609"/>
      <c r="HUS70" s="609"/>
      <c r="HUT70" s="609"/>
      <c r="HUU70" s="609"/>
      <c r="HUV70" s="609"/>
      <c r="HUW70" s="609"/>
      <c r="HUX70" s="609"/>
      <c r="HUY70" s="609"/>
      <c r="HUZ70" s="609"/>
      <c r="HVA70" s="609"/>
      <c r="HVB70" s="609"/>
      <c r="HVC70" s="609"/>
      <c r="HVD70" s="609"/>
      <c r="HVE70" s="609"/>
      <c r="HVF70" s="609"/>
      <c r="HVG70" s="609"/>
      <c r="HVH70" s="609"/>
      <c r="HVI70" s="609"/>
      <c r="HVJ70" s="609"/>
      <c r="HVK70" s="609"/>
      <c r="HVL70" s="609"/>
      <c r="HVM70" s="609"/>
      <c r="HVN70" s="609"/>
      <c r="HVO70" s="609"/>
      <c r="HVP70" s="609"/>
      <c r="HVQ70" s="609"/>
      <c r="HVR70" s="609"/>
      <c r="HVS70" s="609"/>
      <c r="HVT70" s="609"/>
      <c r="HVU70" s="609"/>
      <c r="HVV70" s="609"/>
      <c r="HVW70" s="609"/>
      <c r="HVX70" s="609"/>
      <c r="HVY70" s="609"/>
      <c r="HVZ70" s="609"/>
      <c r="HWA70" s="609"/>
      <c r="HWB70" s="609"/>
      <c r="HWC70" s="609"/>
      <c r="HWD70" s="609"/>
      <c r="HWE70" s="609"/>
      <c r="HWF70" s="609"/>
      <c r="HWG70" s="609"/>
      <c r="HWH70" s="609"/>
      <c r="HWI70" s="609"/>
      <c r="HWJ70" s="609"/>
      <c r="HWK70" s="609"/>
      <c r="HWL70" s="609"/>
      <c r="HWM70" s="609"/>
      <c r="HWN70" s="609"/>
      <c r="HWO70" s="609"/>
      <c r="HWP70" s="609"/>
      <c r="HWQ70" s="609"/>
      <c r="HWR70" s="609"/>
      <c r="HWS70" s="609"/>
      <c r="HWT70" s="609"/>
      <c r="HWU70" s="609"/>
      <c r="HWV70" s="609"/>
      <c r="HWW70" s="609"/>
      <c r="HWX70" s="609"/>
      <c r="HWY70" s="609"/>
      <c r="HWZ70" s="609"/>
      <c r="HXA70" s="609"/>
      <c r="HXB70" s="609"/>
      <c r="HXC70" s="609"/>
      <c r="HXD70" s="609"/>
      <c r="HXE70" s="609"/>
      <c r="HXF70" s="609"/>
      <c r="HXG70" s="609"/>
      <c r="HXH70" s="609"/>
      <c r="HXI70" s="609"/>
      <c r="HXJ70" s="609"/>
      <c r="HXK70" s="609"/>
      <c r="HXL70" s="609"/>
      <c r="HXM70" s="609"/>
      <c r="HXN70" s="609"/>
      <c r="HXO70" s="609"/>
      <c r="HXP70" s="609"/>
      <c r="HXQ70" s="609"/>
      <c r="HXR70" s="609"/>
      <c r="HXS70" s="609"/>
      <c r="HXT70" s="609"/>
      <c r="HXU70" s="609"/>
      <c r="HXV70" s="609"/>
      <c r="HXW70" s="609"/>
      <c r="HXX70" s="609"/>
      <c r="HXY70" s="609"/>
      <c r="HXZ70" s="609"/>
      <c r="HYA70" s="609"/>
      <c r="HYB70" s="609"/>
      <c r="HYC70" s="609"/>
      <c r="HYD70" s="609"/>
      <c r="HYE70" s="609"/>
      <c r="HYF70" s="609"/>
      <c r="HYG70" s="609"/>
      <c r="HYH70" s="609"/>
      <c r="HYI70" s="609"/>
      <c r="HYJ70" s="609"/>
      <c r="HYK70" s="609"/>
      <c r="HYL70" s="609"/>
      <c r="HYM70" s="609"/>
      <c r="HYN70" s="609"/>
      <c r="HYO70" s="609"/>
      <c r="HYP70" s="609"/>
      <c r="HYQ70" s="609"/>
      <c r="HYR70" s="609"/>
      <c r="HYS70" s="609"/>
      <c r="HYT70" s="609"/>
      <c r="HYU70" s="609"/>
      <c r="HYV70" s="609"/>
      <c r="HYW70" s="609"/>
      <c r="HYX70" s="609"/>
      <c r="HYY70" s="609"/>
      <c r="HYZ70" s="609"/>
      <c r="HZA70" s="609"/>
      <c r="HZB70" s="609"/>
      <c r="HZC70" s="609"/>
      <c r="HZD70" s="609"/>
      <c r="HZE70" s="609"/>
      <c r="HZF70" s="609"/>
      <c r="HZG70" s="609"/>
      <c r="HZH70" s="609"/>
      <c r="HZI70" s="609"/>
      <c r="HZJ70" s="609"/>
      <c r="HZK70" s="609"/>
      <c r="HZL70" s="609"/>
      <c r="HZM70" s="609"/>
      <c r="HZN70" s="609"/>
      <c r="HZO70" s="609"/>
      <c r="HZP70" s="609"/>
      <c r="HZQ70" s="609"/>
      <c r="HZR70" s="609"/>
      <c r="HZS70" s="609"/>
      <c r="HZT70" s="609"/>
      <c r="HZU70" s="609"/>
      <c r="HZV70" s="609"/>
      <c r="HZW70" s="609"/>
      <c r="HZX70" s="609"/>
      <c r="HZY70" s="609"/>
      <c r="HZZ70" s="609"/>
      <c r="IAA70" s="609"/>
      <c r="IAB70" s="609"/>
      <c r="IAC70" s="609"/>
      <c r="IAD70" s="609"/>
      <c r="IAE70" s="609"/>
      <c r="IAF70" s="609"/>
      <c r="IAG70" s="609"/>
      <c r="IAH70" s="609"/>
      <c r="IAI70" s="609"/>
      <c r="IAJ70" s="609"/>
      <c r="IAK70" s="609"/>
      <c r="IAL70" s="609"/>
      <c r="IAM70" s="609"/>
      <c r="IAN70" s="609"/>
      <c r="IAO70" s="609"/>
      <c r="IAP70" s="609"/>
      <c r="IAQ70" s="609"/>
      <c r="IAR70" s="609"/>
      <c r="IAS70" s="609"/>
      <c r="IAT70" s="609"/>
      <c r="IAU70" s="609"/>
      <c r="IAV70" s="609"/>
      <c r="IAW70" s="609"/>
      <c r="IAX70" s="609"/>
      <c r="IAY70" s="609"/>
      <c r="IAZ70" s="609"/>
      <c r="IBA70" s="609"/>
      <c r="IBB70" s="609"/>
      <c r="IBC70" s="609"/>
      <c r="IBD70" s="609"/>
      <c r="IBE70" s="609"/>
      <c r="IBF70" s="609"/>
      <c r="IBG70" s="609"/>
      <c r="IBH70" s="609"/>
      <c r="IBI70" s="609"/>
      <c r="IBJ70" s="609"/>
      <c r="IBK70" s="609"/>
      <c r="IBL70" s="609"/>
      <c r="IBM70" s="609"/>
      <c r="IBN70" s="609"/>
      <c r="IBO70" s="609"/>
      <c r="IBP70" s="609"/>
      <c r="IBQ70" s="609"/>
      <c r="IBR70" s="609"/>
      <c r="IBS70" s="609"/>
      <c r="IBT70" s="609"/>
      <c r="IBU70" s="609"/>
      <c r="IBV70" s="609"/>
      <c r="IBW70" s="609"/>
      <c r="IBX70" s="609"/>
      <c r="IBY70" s="609"/>
      <c r="IBZ70" s="609"/>
      <c r="ICA70" s="609"/>
      <c r="ICB70" s="609"/>
      <c r="ICC70" s="609"/>
      <c r="ICD70" s="609"/>
      <c r="ICE70" s="609"/>
      <c r="ICF70" s="609"/>
      <c r="ICG70" s="609"/>
      <c r="ICH70" s="609"/>
      <c r="ICI70" s="609"/>
      <c r="ICJ70" s="609"/>
      <c r="ICK70" s="609"/>
      <c r="ICL70" s="609"/>
      <c r="ICM70" s="609"/>
      <c r="ICN70" s="609"/>
      <c r="ICO70" s="609"/>
      <c r="ICP70" s="609"/>
      <c r="ICQ70" s="609"/>
      <c r="ICR70" s="609"/>
      <c r="ICS70" s="609"/>
      <c r="ICT70" s="609"/>
      <c r="ICU70" s="609"/>
      <c r="ICV70" s="609"/>
      <c r="ICW70" s="609"/>
      <c r="ICX70" s="609"/>
      <c r="ICY70" s="609"/>
      <c r="ICZ70" s="609"/>
      <c r="IDA70" s="609"/>
      <c r="IDB70" s="609"/>
      <c r="IDC70" s="609"/>
      <c r="IDD70" s="609"/>
      <c r="IDE70" s="609"/>
      <c r="IDF70" s="609"/>
      <c r="IDG70" s="609"/>
      <c r="IDH70" s="609"/>
      <c r="IDI70" s="609"/>
      <c r="IDJ70" s="609"/>
      <c r="IDK70" s="609"/>
      <c r="IDL70" s="609"/>
      <c r="IDM70" s="609"/>
      <c r="IDN70" s="609"/>
      <c r="IDO70" s="609"/>
      <c r="IDP70" s="609"/>
      <c r="IDQ70" s="609"/>
      <c r="IDR70" s="609"/>
      <c r="IDS70" s="609"/>
      <c r="IDT70" s="609"/>
      <c r="IDU70" s="609"/>
      <c r="IDV70" s="609"/>
      <c r="IDW70" s="609"/>
      <c r="IDX70" s="609"/>
      <c r="IDY70" s="609"/>
      <c r="IDZ70" s="609"/>
      <c r="IEA70" s="609"/>
      <c r="IEB70" s="609"/>
      <c r="IEC70" s="609"/>
      <c r="IED70" s="609"/>
      <c r="IEE70" s="609"/>
      <c r="IEF70" s="609"/>
      <c r="IEG70" s="609"/>
      <c r="IEH70" s="609"/>
      <c r="IEI70" s="609"/>
      <c r="IEJ70" s="609"/>
      <c r="IEK70" s="609"/>
      <c r="IEL70" s="609"/>
      <c r="IEM70" s="609"/>
      <c r="IEN70" s="609"/>
      <c r="IEO70" s="609"/>
      <c r="IEP70" s="609"/>
      <c r="IEQ70" s="609"/>
      <c r="IER70" s="609"/>
      <c r="IES70" s="609"/>
      <c r="IET70" s="609"/>
      <c r="IEU70" s="609"/>
      <c r="IEV70" s="609"/>
      <c r="IEW70" s="609"/>
      <c r="IEX70" s="609"/>
      <c r="IEY70" s="609"/>
      <c r="IEZ70" s="609"/>
      <c r="IFA70" s="609"/>
      <c r="IFB70" s="609"/>
      <c r="IFC70" s="609"/>
      <c r="IFD70" s="609"/>
      <c r="IFE70" s="609"/>
      <c r="IFF70" s="609"/>
      <c r="IFG70" s="609"/>
      <c r="IFH70" s="609"/>
      <c r="IFI70" s="609"/>
      <c r="IFJ70" s="609"/>
      <c r="IFK70" s="609"/>
      <c r="IFL70" s="609"/>
      <c r="IFM70" s="609"/>
      <c r="IFN70" s="609"/>
      <c r="IFO70" s="609"/>
      <c r="IFP70" s="609"/>
      <c r="IFQ70" s="609"/>
      <c r="IFR70" s="609"/>
      <c r="IFS70" s="609"/>
      <c r="IFT70" s="609"/>
      <c r="IFU70" s="609"/>
      <c r="IFV70" s="609"/>
      <c r="IFW70" s="609"/>
      <c r="IFX70" s="609"/>
      <c r="IFY70" s="609"/>
      <c r="IFZ70" s="609"/>
      <c r="IGA70" s="609"/>
      <c r="IGB70" s="609"/>
      <c r="IGC70" s="609"/>
      <c r="IGD70" s="609"/>
      <c r="IGE70" s="609"/>
      <c r="IGF70" s="609"/>
      <c r="IGG70" s="609"/>
      <c r="IGH70" s="609"/>
      <c r="IGI70" s="609"/>
      <c r="IGJ70" s="609"/>
      <c r="IGK70" s="609"/>
      <c r="IGL70" s="609"/>
      <c r="IGM70" s="609"/>
      <c r="IGN70" s="609"/>
      <c r="IGO70" s="609"/>
      <c r="IGP70" s="609"/>
      <c r="IGQ70" s="609"/>
      <c r="IGR70" s="609"/>
      <c r="IGS70" s="609"/>
      <c r="IGT70" s="609"/>
      <c r="IGU70" s="609"/>
      <c r="IGV70" s="609"/>
      <c r="IGW70" s="609"/>
      <c r="IGX70" s="609"/>
      <c r="IGY70" s="609"/>
      <c r="IGZ70" s="609"/>
      <c r="IHA70" s="609"/>
      <c r="IHB70" s="609"/>
      <c r="IHC70" s="609"/>
      <c r="IHD70" s="609"/>
      <c r="IHE70" s="609"/>
      <c r="IHF70" s="609"/>
      <c r="IHG70" s="609"/>
      <c r="IHH70" s="609"/>
      <c r="IHI70" s="609"/>
      <c r="IHJ70" s="609"/>
      <c r="IHK70" s="609"/>
      <c r="IHL70" s="609"/>
      <c r="IHM70" s="609"/>
      <c r="IHN70" s="609"/>
      <c r="IHO70" s="609"/>
      <c r="IHP70" s="609"/>
      <c r="IHQ70" s="609"/>
      <c r="IHR70" s="609"/>
      <c r="IHS70" s="609"/>
      <c r="IHT70" s="609"/>
      <c r="IHU70" s="609"/>
      <c r="IHV70" s="609"/>
      <c r="IHW70" s="609"/>
      <c r="IHX70" s="609"/>
      <c r="IHY70" s="609"/>
      <c r="IHZ70" s="609"/>
      <c r="IIA70" s="609"/>
      <c r="IIB70" s="609"/>
      <c r="IIC70" s="609"/>
      <c r="IID70" s="609"/>
      <c r="IIE70" s="609"/>
      <c r="IIF70" s="609"/>
      <c r="IIG70" s="609"/>
      <c r="IIH70" s="609"/>
      <c r="III70" s="609"/>
      <c r="IIJ70" s="609"/>
      <c r="IIK70" s="609"/>
      <c r="IIL70" s="609"/>
      <c r="IIM70" s="609"/>
      <c r="IIN70" s="609"/>
      <c r="IIO70" s="609"/>
      <c r="IIP70" s="609"/>
      <c r="IIQ70" s="609"/>
      <c r="IIR70" s="609"/>
      <c r="IIS70" s="609"/>
      <c r="IIT70" s="609"/>
      <c r="IIU70" s="609"/>
      <c r="IIV70" s="609"/>
      <c r="IIW70" s="609"/>
      <c r="IIX70" s="609"/>
      <c r="IIY70" s="609"/>
      <c r="IIZ70" s="609"/>
      <c r="IJA70" s="609"/>
      <c r="IJB70" s="609"/>
      <c r="IJC70" s="609"/>
      <c r="IJD70" s="609"/>
      <c r="IJE70" s="609"/>
      <c r="IJF70" s="609"/>
      <c r="IJG70" s="609"/>
      <c r="IJH70" s="609"/>
      <c r="IJI70" s="609"/>
      <c r="IJJ70" s="609"/>
      <c r="IJK70" s="609"/>
      <c r="IJL70" s="609"/>
      <c r="IJM70" s="609"/>
      <c r="IJN70" s="609"/>
      <c r="IJO70" s="609"/>
      <c r="IJP70" s="609"/>
      <c r="IJQ70" s="609"/>
      <c r="IJR70" s="609"/>
      <c r="IJS70" s="609"/>
      <c r="IJT70" s="609"/>
      <c r="IJU70" s="609"/>
      <c r="IJV70" s="609"/>
      <c r="IJW70" s="609"/>
      <c r="IJX70" s="609"/>
      <c r="IJY70" s="609"/>
      <c r="IJZ70" s="609"/>
      <c r="IKA70" s="609"/>
      <c r="IKB70" s="609"/>
      <c r="IKC70" s="609"/>
      <c r="IKD70" s="609"/>
      <c r="IKE70" s="609"/>
      <c r="IKF70" s="609"/>
      <c r="IKG70" s="609"/>
      <c r="IKH70" s="609"/>
      <c r="IKI70" s="609"/>
      <c r="IKJ70" s="609"/>
      <c r="IKK70" s="609"/>
      <c r="IKL70" s="609"/>
      <c r="IKM70" s="609"/>
      <c r="IKN70" s="609"/>
      <c r="IKO70" s="609"/>
      <c r="IKP70" s="609"/>
      <c r="IKQ70" s="609"/>
      <c r="IKR70" s="609"/>
      <c r="IKS70" s="609"/>
      <c r="IKT70" s="609"/>
      <c r="IKU70" s="609"/>
      <c r="IKV70" s="609"/>
      <c r="IKW70" s="609"/>
      <c r="IKX70" s="609"/>
      <c r="IKY70" s="609"/>
      <c r="IKZ70" s="609"/>
      <c r="ILA70" s="609"/>
      <c r="ILB70" s="609"/>
      <c r="ILC70" s="609"/>
      <c r="ILD70" s="609"/>
      <c r="ILE70" s="609"/>
      <c r="ILF70" s="609"/>
      <c r="ILG70" s="609"/>
      <c r="ILH70" s="609"/>
      <c r="ILI70" s="609"/>
      <c r="ILJ70" s="609"/>
      <c r="ILK70" s="609"/>
      <c r="ILL70" s="609"/>
      <c r="ILM70" s="609"/>
      <c r="ILN70" s="609"/>
      <c r="ILO70" s="609"/>
      <c r="ILP70" s="609"/>
      <c r="ILQ70" s="609"/>
      <c r="ILR70" s="609"/>
      <c r="ILS70" s="609"/>
      <c r="ILT70" s="609"/>
      <c r="ILU70" s="609"/>
      <c r="ILV70" s="609"/>
      <c r="ILW70" s="609"/>
      <c r="ILX70" s="609"/>
      <c r="ILY70" s="609"/>
      <c r="ILZ70" s="609"/>
      <c r="IMA70" s="609"/>
      <c r="IMB70" s="609"/>
      <c r="IMC70" s="609"/>
      <c r="IMD70" s="609"/>
      <c r="IME70" s="609"/>
      <c r="IMF70" s="609"/>
      <c r="IMG70" s="609"/>
      <c r="IMH70" s="609"/>
      <c r="IMI70" s="609"/>
      <c r="IMJ70" s="609"/>
      <c r="IMK70" s="609"/>
      <c r="IML70" s="609"/>
      <c r="IMM70" s="609"/>
      <c r="IMN70" s="609"/>
      <c r="IMO70" s="609"/>
      <c r="IMP70" s="609"/>
      <c r="IMQ70" s="609"/>
      <c r="IMR70" s="609"/>
      <c r="IMS70" s="609"/>
      <c r="IMT70" s="609"/>
      <c r="IMU70" s="609"/>
      <c r="IMV70" s="609"/>
      <c r="IMW70" s="609"/>
      <c r="IMX70" s="609"/>
      <c r="IMY70" s="609"/>
      <c r="IMZ70" s="609"/>
      <c r="INA70" s="609"/>
      <c r="INB70" s="609"/>
      <c r="INC70" s="609"/>
      <c r="IND70" s="609"/>
      <c r="INE70" s="609"/>
      <c r="INF70" s="609"/>
      <c r="ING70" s="609"/>
      <c r="INH70" s="609"/>
      <c r="INI70" s="609"/>
      <c r="INJ70" s="609"/>
      <c r="INK70" s="609"/>
      <c r="INL70" s="609"/>
      <c r="INM70" s="609"/>
      <c r="INN70" s="609"/>
      <c r="INO70" s="609"/>
      <c r="INP70" s="609"/>
      <c r="INQ70" s="609"/>
      <c r="INR70" s="609"/>
      <c r="INS70" s="609"/>
      <c r="INT70" s="609"/>
      <c r="INU70" s="609"/>
      <c r="INV70" s="609"/>
      <c r="INW70" s="609"/>
      <c r="INX70" s="609"/>
      <c r="INY70" s="609"/>
      <c r="INZ70" s="609"/>
      <c r="IOA70" s="609"/>
      <c r="IOB70" s="609"/>
      <c r="IOC70" s="609"/>
      <c r="IOD70" s="609"/>
      <c r="IOE70" s="609"/>
      <c r="IOF70" s="609"/>
      <c r="IOG70" s="609"/>
      <c r="IOH70" s="609"/>
      <c r="IOI70" s="609"/>
      <c r="IOJ70" s="609"/>
      <c r="IOK70" s="609"/>
      <c r="IOL70" s="609"/>
      <c r="IOM70" s="609"/>
      <c r="ION70" s="609"/>
      <c r="IOO70" s="609"/>
      <c r="IOP70" s="609"/>
      <c r="IOQ70" s="609"/>
      <c r="IOR70" s="609"/>
      <c r="IOS70" s="609"/>
      <c r="IOT70" s="609"/>
      <c r="IOU70" s="609"/>
      <c r="IOV70" s="609"/>
      <c r="IOW70" s="609"/>
      <c r="IOX70" s="609"/>
      <c r="IOY70" s="609"/>
      <c r="IOZ70" s="609"/>
      <c r="IPA70" s="609"/>
      <c r="IPB70" s="609"/>
      <c r="IPC70" s="609"/>
      <c r="IPD70" s="609"/>
      <c r="IPE70" s="609"/>
      <c r="IPF70" s="609"/>
      <c r="IPG70" s="609"/>
      <c r="IPH70" s="609"/>
      <c r="IPI70" s="609"/>
      <c r="IPJ70" s="609"/>
      <c r="IPK70" s="609"/>
      <c r="IPL70" s="609"/>
      <c r="IPM70" s="609"/>
      <c r="IPN70" s="609"/>
      <c r="IPO70" s="609"/>
      <c r="IPP70" s="609"/>
      <c r="IPQ70" s="609"/>
      <c r="IPR70" s="609"/>
      <c r="IPS70" s="609"/>
      <c r="IPT70" s="609"/>
      <c r="IPU70" s="609"/>
      <c r="IPV70" s="609"/>
      <c r="IPW70" s="609"/>
      <c r="IPX70" s="609"/>
      <c r="IPY70" s="609"/>
      <c r="IPZ70" s="609"/>
      <c r="IQA70" s="609"/>
      <c r="IQB70" s="609"/>
      <c r="IQC70" s="609"/>
      <c r="IQD70" s="609"/>
      <c r="IQE70" s="609"/>
      <c r="IQF70" s="609"/>
      <c r="IQG70" s="609"/>
      <c r="IQH70" s="609"/>
      <c r="IQI70" s="609"/>
      <c r="IQJ70" s="609"/>
      <c r="IQK70" s="609"/>
      <c r="IQL70" s="609"/>
      <c r="IQM70" s="609"/>
      <c r="IQN70" s="609"/>
      <c r="IQO70" s="609"/>
      <c r="IQP70" s="609"/>
      <c r="IQQ70" s="609"/>
      <c r="IQR70" s="609"/>
      <c r="IQS70" s="609"/>
      <c r="IQT70" s="609"/>
      <c r="IQU70" s="609"/>
      <c r="IQV70" s="609"/>
      <c r="IQW70" s="609"/>
      <c r="IQX70" s="609"/>
      <c r="IQY70" s="609"/>
      <c r="IQZ70" s="609"/>
      <c r="IRA70" s="609"/>
      <c r="IRB70" s="609"/>
      <c r="IRC70" s="609"/>
      <c r="IRD70" s="609"/>
      <c r="IRE70" s="609"/>
      <c r="IRF70" s="609"/>
      <c r="IRG70" s="609"/>
      <c r="IRH70" s="609"/>
      <c r="IRI70" s="609"/>
      <c r="IRJ70" s="609"/>
      <c r="IRK70" s="609"/>
      <c r="IRL70" s="609"/>
      <c r="IRM70" s="609"/>
      <c r="IRN70" s="609"/>
      <c r="IRO70" s="609"/>
      <c r="IRP70" s="609"/>
      <c r="IRQ70" s="609"/>
      <c r="IRR70" s="609"/>
      <c r="IRS70" s="609"/>
      <c r="IRT70" s="609"/>
      <c r="IRU70" s="609"/>
      <c r="IRV70" s="609"/>
      <c r="IRW70" s="609"/>
      <c r="IRX70" s="609"/>
      <c r="IRY70" s="609"/>
      <c r="IRZ70" s="609"/>
      <c r="ISA70" s="609"/>
      <c r="ISB70" s="609"/>
      <c r="ISC70" s="609"/>
      <c r="ISD70" s="609"/>
      <c r="ISE70" s="609"/>
      <c r="ISF70" s="609"/>
      <c r="ISG70" s="609"/>
      <c r="ISH70" s="609"/>
      <c r="ISI70" s="609"/>
      <c r="ISJ70" s="609"/>
      <c r="ISK70" s="609"/>
      <c r="ISL70" s="609"/>
      <c r="ISM70" s="609"/>
      <c r="ISN70" s="609"/>
      <c r="ISO70" s="609"/>
      <c r="ISP70" s="609"/>
      <c r="ISQ70" s="609"/>
      <c r="ISR70" s="609"/>
      <c r="ISS70" s="609"/>
      <c r="IST70" s="609"/>
      <c r="ISU70" s="609"/>
      <c r="ISV70" s="609"/>
      <c r="ISW70" s="609"/>
      <c r="ISX70" s="609"/>
      <c r="ISY70" s="609"/>
      <c r="ISZ70" s="609"/>
      <c r="ITA70" s="609"/>
      <c r="ITB70" s="609"/>
      <c r="ITC70" s="609"/>
      <c r="ITD70" s="609"/>
      <c r="ITE70" s="609"/>
      <c r="ITF70" s="609"/>
      <c r="ITG70" s="609"/>
      <c r="ITH70" s="609"/>
      <c r="ITI70" s="609"/>
      <c r="ITJ70" s="609"/>
      <c r="ITK70" s="609"/>
      <c r="ITL70" s="609"/>
      <c r="ITM70" s="609"/>
      <c r="ITN70" s="609"/>
      <c r="ITO70" s="609"/>
      <c r="ITP70" s="609"/>
      <c r="ITQ70" s="609"/>
      <c r="ITR70" s="609"/>
      <c r="ITS70" s="609"/>
      <c r="ITT70" s="609"/>
      <c r="ITU70" s="609"/>
      <c r="ITV70" s="609"/>
      <c r="ITW70" s="609"/>
      <c r="ITX70" s="609"/>
      <c r="ITY70" s="609"/>
      <c r="ITZ70" s="609"/>
      <c r="IUA70" s="609"/>
      <c r="IUB70" s="609"/>
      <c r="IUC70" s="609"/>
      <c r="IUD70" s="609"/>
      <c r="IUE70" s="609"/>
      <c r="IUF70" s="609"/>
      <c r="IUG70" s="609"/>
      <c r="IUH70" s="609"/>
      <c r="IUI70" s="609"/>
      <c r="IUJ70" s="609"/>
      <c r="IUK70" s="609"/>
      <c r="IUL70" s="609"/>
      <c r="IUM70" s="609"/>
      <c r="IUN70" s="609"/>
      <c r="IUO70" s="609"/>
      <c r="IUP70" s="609"/>
      <c r="IUQ70" s="609"/>
      <c r="IUR70" s="609"/>
      <c r="IUS70" s="609"/>
      <c r="IUT70" s="609"/>
      <c r="IUU70" s="609"/>
      <c r="IUV70" s="609"/>
      <c r="IUW70" s="609"/>
      <c r="IUX70" s="609"/>
      <c r="IUY70" s="609"/>
      <c r="IUZ70" s="609"/>
      <c r="IVA70" s="609"/>
      <c r="IVB70" s="609"/>
      <c r="IVC70" s="609"/>
      <c r="IVD70" s="609"/>
      <c r="IVE70" s="609"/>
      <c r="IVF70" s="609"/>
      <c r="IVG70" s="609"/>
      <c r="IVH70" s="609"/>
      <c r="IVI70" s="609"/>
      <c r="IVJ70" s="609"/>
      <c r="IVK70" s="609"/>
      <c r="IVL70" s="609"/>
      <c r="IVM70" s="609"/>
      <c r="IVN70" s="609"/>
      <c r="IVO70" s="609"/>
      <c r="IVP70" s="609"/>
      <c r="IVQ70" s="609"/>
      <c r="IVR70" s="609"/>
      <c r="IVS70" s="609"/>
      <c r="IVT70" s="609"/>
      <c r="IVU70" s="609"/>
      <c r="IVV70" s="609"/>
      <c r="IVW70" s="609"/>
      <c r="IVX70" s="609"/>
      <c r="IVY70" s="609"/>
      <c r="IVZ70" s="609"/>
      <c r="IWA70" s="609"/>
      <c r="IWB70" s="609"/>
      <c r="IWC70" s="609"/>
      <c r="IWD70" s="609"/>
      <c r="IWE70" s="609"/>
      <c r="IWF70" s="609"/>
      <c r="IWG70" s="609"/>
      <c r="IWH70" s="609"/>
      <c r="IWI70" s="609"/>
      <c r="IWJ70" s="609"/>
      <c r="IWK70" s="609"/>
      <c r="IWL70" s="609"/>
      <c r="IWM70" s="609"/>
      <c r="IWN70" s="609"/>
      <c r="IWO70" s="609"/>
      <c r="IWP70" s="609"/>
      <c r="IWQ70" s="609"/>
      <c r="IWR70" s="609"/>
      <c r="IWS70" s="609"/>
      <c r="IWT70" s="609"/>
      <c r="IWU70" s="609"/>
      <c r="IWV70" s="609"/>
      <c r="IWW70" s="609"/>
      <c r="IWX70" s="609"/>
      <c r="IWY70" s="609"/>
      <c r="IWZ70" s="609"/>
      <c r="IXA70" s="609"/>
      <c r="IXB70" s="609"/>
      <c r="IXC70" s="609"/>
      <c r="IXD70" s="609"/>
      <c r="IXE70" s="609"/>
      <c r="IXF70" s="609"/>
      <c r="IXG70" s="609"/>
      <c r="IXH70" s="609"/>
      <c r="IXI70" s="609"/>
      <c r="IXJ70" s="609"/>
      <c r="IXK70" s="609"/>
      <c r="IXL70" s="609"/>
      <c r="IXM70" s="609"/>
      <c r="IXN70" s="609"/>
      <c r="IXO70" s="609"/>
      <c r="IXP70" s="609"/>
      <c r="IXQ70" s="609"/>
      <c r="IXR70" s="609"/>
      <c r="IXS70" s="609"/>
      <c r="IXT70" s="609"/>
      <c r="IXU70" s="609"/>
      <c r="IXV70" s="609"/>
      <c r="IXW70" s="609"/>
      <c r="IXX70" s="609"/>
      <c r="IXY70" s="609"/>
      <c r="IXZ70" s="609"/>
      <c r="IYA70" s="609"/>
      <c r="IYB70" s="609"/>
      <c r="IYC70" s="609"/>
      <c r="IYD70" s="609"/>
      <c r="IYE70" s="609"/>
      <c r="IYF70" s="609"/>
      <c r="IYG70" s="609"/>
      <c r="IYH70" s="609"/>
      <c r="IYI70" s="609"/>
      <c r="IYJ70" s="609"/>
      <c r="IYK70" s="609"/>
      <c r="IYL70" s="609"/>
      <c r="IYM70" s="609"/>
      <c r="IYN70" s="609"/>
      <c r="IYO70" s="609"/>
      <c r="IYP70" s="609"/>
      <c r="IYQ70" s="609"/>
      <c r="IYR70" s="609"/>
      <c r="IYS70" s="609"/>
      <c r="IYT70" s="609"/>
      <c r="IYU70" s="609"/>
      <c r="IYV70" s="609"/>
      <c r="IYW70" s="609"/>
      <c r="IYX70" s="609"/>
      <c r="IYY70" s="609"/>
      <c r="IYZ70" s="609"/>
      <c r="IZA70" s="609"/>
      <c r="IZB70" s="609"/>
      <c r="IZC70" s="609"/>
      <c r="IZD70" s="609"/>
      <c r="IZE70" s="609"/>
      <c r="IZF70" s="609"/>
      <c r="IZG70" s="609"/>
      <c r="IZH70" s="609"/>
      <c r="IZI70" s="609"/>
      <c r="IZJ70" s="609"/>
      <c r="IZK70" s="609"/>
      <c r="IZL70" s="609"/>
      <c r="IZM70" s="609"/>
      <c r="IZN70" s="609"/>
      <c r="IZO70" s="609"/>
      <c r="IZP70" s="609"/>
      <c r="IZQ70" s="609"/>
      <c r="IZR70" s="609"/>
      <c r="IZS70" s="609"/>
      <c r="IZT70" s="609"/>
      <c r="IZU70" s="609"/>
      <c r="IZV70" s="609"/>
      <c r="IZW70" s="609"/>
      <c r="IZX70" s="609"/>
      <c r="IZY70" s="609"/>
      <c r="IZZ70" s="609"/>
      <c r="JAA70" s="609"/>
      <c r="JAB70" s="609"/>
      <c r="JAC70" s="609"/>
      <c r="JAD70" s="609"/>
      <c r="JAE70" s="609"/>
      <c r="JAF70" s="609"/>
      <c r="JAG70" s="609"/>
      <c r="JAH70" s="609"/>
      <c r="JAI70" s="609"/>
      <c r="JAJ70" s="609"/>
      <c r="JAK70" s="609"/>
      <c r="JAL70" s="609"/>
      <c r="JAM70" s="609"/>
      <c r="JAN70" s="609"/>
      <c r="JAO70" s="609"/>
      <c r="JAP70" s="609"/>
      <c r="JAQ70" s="609"/>
      <c r="JAR70" s="609"/>
      <c r="JAS70" s="609"/>
      <c r="JAT70" s="609"/>
      <c r="JAU70" s="609"/>
      <c r="JAV70" s="609"/>
      <c r="JAW70" s="609"/>
      <c r="JAX70" s="609"/>
      <c r="JAY70" s="609"/>
      <c r="JAZ70" s="609"/>
      <c r="JBA70" s="609"/>
      <c r="JBB70" s="609"/>
      <c r="JBC70" s="609"/>
      <c r="JBD70" s="609"/>
      <c r="JBE70" s="609"/>
      <c r="JBF70" s="609"/>
      <c r="JBG70" s="609"/>
      <c r="JBH70" s="609"/>
      <c r="JBI70" s="609"/>
      <c r="JBJ70" s="609"/>
      <c r="JBK70" s="609"/>
      <c r="JBL70" s="609"/>
      <c r="JBM70" s="609"/>
      <c r="JBN70" s="609"/>
      <c r="JBO70" s="609"/>
      <c r="JBP70" s="609"/>
      <c r="JBQ70" s="609"/>
      <c r="JBR70" s="609"/>
      <c r="JBS70" s="609"/>
      <c r="JBT70" s="609"/>
      <c r="JBU70" s="609"/>
      <c r="JBV70" s="609"/>
      <c r="JBW70" s="609"/>
      <c r="JBX70" s="609"/>
      <c r="JBY70" s="609"/>
      <c r="JBZ70" s="609"/>
      <c r="JCA70" s="609"/>
      <c r="JCB70" s="609"/>
      <c r="JCC70" s="609"/>
      <c r="JCD70" s="609"/>
      <c r="JCE70" s="609"/>
      <c r="JCF70" s="609"/>
      <c r="JCG70" s="609"/>
      <c r="JCH70" s="609"/>
      <c r="JCI70" s="609"/>
      <c r="JCJ70" s="609"/>
      <c r="JCK70" s="609"/>
      <c r="JCL70" s="609"/>
      <c r="JCM70" s="609"/>
      <c r="JCN70" s="609"/>
      <c r="JCO70" s="609"/>
      <c r="JCP70" s="609"/>
      <c r="JCQ70" s="609"/>
      <c r="JCR70" s="609"/>
      <c r="JCS70" s="609"/>
      <c r="JCT70" s="609"/>
      <c r="JCU70" s="609"/>
      <c r="JCV70" s="609"/>
      <c r="JCW70" s="609"/>
      <c r="JCX70" s="609"/>
      <c r="JCY70" s="609"/>
      <c r="JCZ70" s="609"/>
      <c r="JDA70" s="609"/>
      <c r="JDB70" s="609"/>
      <c r="JDC70" s="609"/>
      <c r="JDD70" s="609"/>
      <c r="JDE70" s="609"/>
      <c r="JDF70" s="609"/>
      <c r="JDG70" s="609"/>
      <c r="JDH70" s="609"/>
      <c r="JDI70" s="609"/>
      <c r="JDJ70" s="609"/>
      <c r="JDK70" s="609"/>
      <c r="JDL70" s="609"/>
      <c r="JDM70" s="609"/>
      <c r="JDN70" s="609"/>
      <c r="JDO70" s="609"/>
      <c r="JDP70" s="609"/>
      <c r="JDQ70" s="609"/>
      <c r="JDR70" s="609"/>
      <c r="JDS70" s="609"/>
      <c r="JDT70" s="609"/>
      <c r="JDU70" s="609"/>
      <c r="JDV70" s="609"/>
      <c r="JDW70" s="609"/>
      <c r="JDX70" s="609"/>
      <c r="JDY70" s="609"/>
      <c r="JDZ70" s="609"/>
      <c r="JEA70" s="609"/>
      <c r="JEB70" s="609"/>
      <c r="JEC70" s="609"/>
      <c r="JED70" s="609"/>
      <c r="JEE70" s="609"/>
      <c r="JEF70" s="609"/>
      <c r="JEG70" s="609"/>
      <c r="JEH70" s="609"/>
      <c r="JEI70" s="609"/>
      <c r="JEJ70" s="609"/>
      <c r="JEK70" s="609"/>
      <c r="JEL70" s="609"/>
      <c r="JEM70" s="609"/>
      <c r="JEN70" s="609"/>
      <c r="JEO70" s="609"/>
      <c r="JEP70" s="609"/>
      <c r="JEQ70" s="609"/>
      <c r="JER70" s="609"/>
      <c r="JES70" s="609"/>
      <c r="JET70" s="609"/>
      <c r="JEU70" s="609"/>
      <c r="JEV70" s="609"/>
      <c r="JEW70" s="609"/>
      <c r="JEX70" s="609"/>
      <c r="JEY70" s="609"/>
      <c r="JEZ70" s="609"/>
      <c r="JFA70" s="609"/>
      <c r="JFB70" s="609"/>
      <c r="JFC70" s="609"/>
      <c r="JFD70" s="609"/>
      <c r="JFE70" s="609"/>
      <c r="JFF70" s="609"/>
      <c r="JFG70" s="609"/>
      <c r="JFH70" s="609"/>
      <c r="JFI70" s="609"/>
      <c r="JFJ70" s="609"/>
      <c r="JFK70" s="609"/>
      <c r="JFL70" s="609"/>
      <c r="JFM70" s="609"/>
      <c r="JFN70" s="609"/>
      <c r="JFO70" s="609"/>
      <c r="JFP70" s="609"/>
      <c r="JFQ70" s="609"/>
      <c r="JFR70" s="609"/>
      <c r="JFS70" s="609"/>
      <c r="JFT70" s="609"/>
      <c r="JFU70" s="609"/>
      <c r="JFV70" s="609"/>
      <c r="JFW70" s="609"/>
      <c r="JFX70" s="609"/>
      <c r="JFY70" s="609"/>
      <c r="JFZ70" s="609"/>
      <c r="JGA70" s="609"/>
      <c r="JGB70" s="609"/>
      <c r="JGC70" s="609"/>
      <c r="JGD70" s="609"/>
      <c r="JGE70" s="609"/>
      <c r="JGF70" s="609"/>
      <c r="JGG70" s="609"/>
      <c r="JGH70" s="609"/>
      <c r="JGI70" s="609"/>
      <c r="JGJ70" s="609"/>
      <c r="JGK70" s="609"/>
      <c r="JGL70" s="609"/>
      <c r="JGM70" s="609"/>
      <c r="JGN70" s="609"/>
      <c r="JGO70" s="609"/>
      <c r="JGP70" s="609"/>
      <c r="JGQ70" s="609"/>
      <c r="JGR70" s="609"/>
      <c r="JGS70" s="609"/>
      <c r="JGT70" s="609"/>
      <c r="JGU70" s="609"/>
      <c r="JGV70" s="609"/>
      <c r="JGW70" s="609"/>
      <c r="JGX70" s="609"/>
      <c r="JGY70" s="609"/>
      <c r="JGZ70" s="609"/>
      <c r="JHA70" s="609"/>
      <c r="JHB70" s="609"/>
      <c r="JHC70" s="609"/>
      <c r="JHD70" s="609"/>
      <c r="JHE70" s="609"/>
      <c r="JHF70" s="609"/>
      <c r="JHG70" s="609"/>
      <c r="JHH70" s="609"/>
      <c r="JHI70" s="609"/>
      <c r="JHJ70" s="609"/>
      <c r="JHK70" s="609"/>
      <c r="JHL70" s="609"/>
      <c r="JHM70" s="609"/>
      <c r="JHN70" s="609"/>
      <c r="JHO70" s="609"/>
      <c r="JHP70" s="609"/>
      <c r="JHQ70" s="609"/>
      <c r="JHR70" s="609"/>
      <c r="JHS70" s="609"/>
      <c r="JHT70" s="609"/>
      <c r="JHU70" s="609"/>
      <c r="JHV70" s="609"/>
      <c r="JHW70" s="609"/>
      <c r="JHX70" s="609"/>
      <c r="JHY70" s="609"/>
      <c r="JHZ70" s="609"/>
      <c r="JIA70" s="609"/>
      <c r="JIB70" s="609"/>
      <c r="JIC70" s="609"/>
      <c r="JID70" s="609"/>
      <c r="JIE70" s="609"/>
      <c r="JIF70" s="609"/>
      <c r="JIG70" s="609"/>
      <c r="JIH70" s="609"/>
      <c r="JII70" s="609"/>
      <c r="JIJ70" s="609"/>
      <c r="JIK70" s="609"/>
      <c r="JIL70" s="609"/>
      <c r="JIM70" s="609"/>
      <c r="JIN70" s="609"/>
      <c r="JIO70" s="609"/>
      <c r="JIP70" s="609"/>
      <c r="JIQ70" s="609"/>
      <c r="JIR70" s="609"/>
      <c r="JIS70" s="609"/>
      <c r="JIT70" s="609"/>
      <c r="JIU70" s="609"/>
      <c r="JIV70" s="609"/>
      <c r="JIW70" s="609"/>
      <c r="JIX70" s="609"/>
      <c r="JIY70" s="609"/>
      <c r="JIZ70" s="609"/>
      <c r="JJA70" s="609"/>
      <c r="JJB70" s="609"/>
      <c r="JJC70" s="609"/>
      <c r="JJD70" s="609"/>
      <c r="JJE70" s="609"/>
      <c r="JJF70" s="609"/>
      <c r="JJG70" s="609"/>
      <c r="JJH70" s="609"/>
      <c r="JJI70" s="609"/>
      <c r="JJJ70" s="609"/>
      <c r="JJK70" s="609"/>
      <c r="JJL70" s="609"/>
      <c r="JJM70" s="609"/>
      <c r="JJN70" s="609"/>
      <c r="JJO70" s="609"/>
      <c r="JJP70" s="609"/>
      <c r="JJQ70" s="609"/>
      <c r="JJR70" s="609"/>
      <c r="JJS70" s="609"/>
      <c r="JJT70" s="609"/>
      <c r="JJU70" s="609"/>
      <c r="JJV70" s="609"/>
      <c r="JJW70" s="609"/>
      <c r="JJX70" s="609"/>
      <c r="JJY70" s="609"/>
      <c r="JJZ70" s="609"/>
      <c r="JKA70" s="609"/>
      <c r="JKB70" s="609"/>
      <c r="JKC70" s="609"/>
      <c r="JKD70" s="609"/>
      <c r="JKE70" s="609"/>
      <c r="JKF70" s="609"/>
      <c r="JKG70" s="609"/>
      <c r="JKH70" s="609"/>
      <c r="JKI70" s="609"/>
      <c r="JKJ70" s="609"/>
      <c r="JKK70" s="609"/>
      <c r="JKL70" s="609"/>
      <c r="JKM70" s="609"/>
      <c r="JKN70" s="609"/>
      <c r="JKO70" s="609"/>
      <c r="JKP70" s="609"/>
      <c r="JKQ70" s="609"/>
      <c r="JKR70" s="609"/>
      <c r="JKS70" s="609"/>
      <c r="JKT70" s="609"/>
      <c r="JKU70" s="609"/>
      <c r="JKV70" s="609"/>
      <c r="JKW70" s="609"/>
      <c r="JKX70" s="609"/>
      <c r="JKY70" s="609"/>
      <c r="JKZ70" s="609"/>
      <c r="JLA70" s="609"/>
      <c r="JLB70" s="609"/>
      <c r="JLC70" s="609"/>
      <c r="JLD70" s="609"/>
      <c r="JLE70" s="609"/>
      <c r="JLF70" s="609"/>
      <c r="JLG70" s="609"/>
      <c r="JLH70" s="609"/>
      <c r="JLI70" s="609"/>
      <c r="JLJ70" s="609"/>
      <c r="JLK70" s="609"/>
      <c r="JLL70" s="609"/>
      <c r="JLM70" s="609"/>
      <c r="JLN70" s="609"/>
      <c r="JLO70" s="609"/>
      <c r="JLP70" s="609"/>
      <c r="JLQ70" s="609"/>
      <c r="JLR70" s="609"/>
      <c r="JLS70" s="609"/>
      <c r="JLT70" s="609"/>
      <c r="JLU70" s="609"/>
      <c r="JLV70" s="609"/>
      <c r="JLW70" s="609"/>
      <c r="JLX70" s="609"/>
      <c r="JLY70" s="609"/>
      <c r="JLZ70" s="609"/>
      <c r="JMA70" s="609"/>
      <c r="JMB70" s="609"/>
      <c r="JMC70" s="609"/>
      <c r="JMD70" s="609"/>
      <c r="JME70" s="609"/>
      <c r="JMF70" s="609"/>
      <c r="JMG70" s="609"/>
      <c r="JMH70" s="609"/>
      <c r="JMI70" s="609"/>
      <c r="JMJ70" s="609"/>
      <c r="JMK70" s="609"/>
      <c r="JML70" s="609"/>
      <c r="JMM70" s="609"/>
      <c r="JMN70" s="609"/>
      <c r="JMO70" s="609"/>
      <c r="JMP70" s="609"/>
      <c r="JMQ70" s="609"/>
      <c r="JMR70" s="609"/>
      <c r="JMS70" s="609"/>
      <c r="JMT70" s="609"/>
      <c r="JMU70" s="609"/>
      <c r="JMV70" s="609"/>
      <c r="JMW70" s="609"/>
      <c r="JMX70" s="609"/>
      <c r="JMY70" s="609"/>
      <c r="JMZ70" s="609"/>
      <c r="JNA70" s="609"/>
      <c r="JNB70" s="609"/>
      <c r="JNC70" s="609"/>
      <c r="JND70" s="609"/>
      <c r="JNE70" s="609"/>
      <c r="JNF70" s="609"/>
      <c r="JNG70" s="609"/>
      <c r="JNH70" s="609"/>
      <c r="JNI70" s="609"/>
      <c r="JNJ70" s="609"/>
      <c r="JNK70" s="609"/>
      <c r="JNL70" s="609"/>
      <c r="JNM70" s="609"/>
      <c r="JNN70" s="609"/>
      <c r="JNO70" s="609"/>
      <c r="JNP70" s="609"/>
      <c r="JNQ70" s="609"/>
      <c r="JNR70" s="609"/>
      <c r="JNS70" s="609"/>
      <c r="JNT70" s="609"/>
      <c r="JNU70" s="609"/>
      <c r="JNV70" s="609"/>
      <c r="JNW70" s="609"/>
      <c r="JNX70" s="609"/>
      <c r="JNY70" s="609"/>
      <c r="JNZ70" s="609"/>
      <c r="JOA70" s="609"/>
      <c r="JOB70" s="609"/>
      <c r="JOC70" s="609"/>
      <c r="JOD70" s="609"/>
      <c r="JOE70" s="609"/>
      <c r="JOF70" s="609"/>
      <c r="JOG70" s="609"/>
      <c r="JOH70" s="609"/>
      <c r="JOI70" s="609"/>
      <c r="JOJ70" s="609"/>
      <c r="JOK70" s="609"/>
      <c r="JOL70" s="609"/>
      <c r="JOM70" s="609"/>
      <c r="JON70" s="609"/>
      <c r="JOO70" s="609"/>
      <c r="JOP70" s="609"/>
      <c r="JOQ70" s="609"/>
      <c r="JOR70" s="609"/>
      <c r="JOS70" s="609"/>
      <c r="JOT70" s="609"/>
      <c r="JOU70" s="609"/>
      <c r="JOV70" s="609"/>
      <c r="JOW70" s="609"/>
      <c r="JOX70" s="609"/>
      <c r="JOY70" s="609"/>
      <c r="JOZ70" s="609"/>
      <c r="JPA70" s="609"/>
      <c r="JPB70" s="609"/>
      <c r="JPC70" s="609"/>
      <c r="JPD70" s="609"/>
      <c r="JPE70" s="609"/>
      <c r="JPF70" s="609"/>
      <c r="JPG70" s="609"/>
      <c r="JPH70" s="609"/>
      <c r="JPI70" s="609"/>
      <c r="JPJ70" s="609"/>
      <c r="JPK70" s="609"/>
      <c r="JPL70" s="609"/>
      <c r="JPM70" s="609"/>
      <c r="JPN70" s="609"/>
      <c r="JPO70" s="609"/>
      <c r="JPP70" s="609"/>
      <c r="JPQ70" s="609"/>
      <c r="JPR70" s="609"/>
      <c r="JPS70" s="609"/>
      <c r="JPT70" s="609"/>
      <c r="JPU70" s="609"/>
      <c r="JPV70" s="609"/>
      <c r="JPW70" s="609"/>
      <c r="JPX70" s="609"/>
      <c r="JPY70" s="609"/>
      <c r="JPZ70" s="609"/>
      <c r="JQA70" s="609"/>
      <c r="JQB70" s="609"/>
      <c r="JQC70" s="609"/>
      <c r="JQD70" s="609"/>
      <c r="JQE70" s="609"/>
      <c r="JQF70" s="609"/>
      <c r="JQG70" s="609"/>
      <c r="JQH70" s="609"/>
      <c r="JQI70" s="609"/>
      <c r="JQJ70" s="609"/>
      <c r="JQK70" s="609"/>
      <c r="JQL70" s="609"/>
      <c r="JQM70" s="609"/>
      <c r="JQN70" s="609"/>
      <c r="JQO70" s="609"/>
      <c r="JQP70" s="609"/>
      <c r="JQQ70" s="609"/>
      <c r="JQR70" s="609"/>
      <c r="JQS70" s="609"/>
      <c r="JQT70" s="609"/>
      <c r="JQU70" s="609"/>
      <c r="JQV70" s="609"/>
      <c r="JQW70" s="609"/>
      <c r="JQX70" s="609"/>
      <c r="JQY70" s="609"/>
      <c r="JQZ70" s="609"/>
      <c r="JRA70" s="609"/>
      <c r="JRB70" s="609"/>
      <c r="JRC70" s="609"/>
      <c r="JRD70" s="609"/>
      <c r="JRE70" s="609"/>
      <c r="JRF70" s="609"/>
      <c r="JRG70" s="609"/>
      <c r="JRH70" s="609"/>
      <c r="JRI70" s="609"/>
      <c r="JRJ70" s="609"/>
      <c r="JRK70" s="609"/>
      <c r="JRL70" s="609"/>
      <c r="JRM70" s="609"/>
      <c r="JRN70" s="609"/>
      <c r="JRO70" s="609"/>
      <c r="JRP70" s="609"/>
      <c r="JRQ70" s="609"/>
      <c r="JRR70" s="609"/>
      <c r="JRS70" s="609"/>
      <c r="JRT70" s="609"/>
      <c r="JRU70" s="609"/>
      <c r="JRV70" s="609"/>
      <c r="JRW70" s="609"/>
      <c r="JRX70" s="609"/>
      <c r="JRY70" s="609"/>
      <c r="JRZ70" s="609"/>
      <c r="JSA70" s="609"/>
      <c r="JSB70" s="609"/>
      <c r="JSC70" s="609"/>
      <c r="JSD70" s="609"/>
      <c r="JSE70" s="609"/>
      <c r="JSF70" s="609"/>
      <c r="JSG70" s="609"/>
      <c r="JSH70" s="609"/>
      <c r="JSI70" s="609"/>
      <c r="JSJ70" s="609"/>
      <c r="JSK70" s="609"/>
      <c r="JSL70" s="609"/>
      <c r="JSM70" s="609"/>
      <c r="JSN70" s="609"/>
      <c r="JSO70" s="609"/>
      <c r="JSP70" s="609"/>
      <c r="JSQ70" s="609"/>
      <c r="JSR70" s="609"/>
      <c r="JSS70" s="609"/>
      <c r="JST70" s="609"/>
      <c r="JSU70" s="609"/>
      <c r="JSV70" s="609"/>
      <c r="JSW70" s="609"/>
      <c r="JSX70" s="609"/>
      <c r="JSY70" s="609"/>
      <c r="JSZ70" s="609"/>
      <c r="JTA70" s="609"/>
      <c r="JTB70" s="609"/>
      <c r="JTC70" s="609"/>
      <c r="JTD70" s="609"/>
      <c r="JTE70" s="609"/>
      <c r="JTF70" s="609"/>
      <c r="JTG70" s="609"/>
      <c r="JTH70" s="609"/>
      <c r="JTI70" s="609"/>
      <c r="JTJ70" s="609"/>
      <c r="JTK70" s="609"/>
      <c r="JTL70" s="609"/>
      <c r="JTM70" s="609"/>
      <c r="JTN70" s="609"/>
      <c r="JTO70" s="609"/>
      <c r="JTP70" s="609"/>
      <c r="JTQ70" s="609"/>
      <c r="JTR70" s="609"/>
      <c r="JTS70" s="609"/>
      <c r="JTT70" s="609"/>
      <c r="JTU70" s="609"/>
      <c r="JTV70" s="609"/>
      <c r="JTW70" s="609"/>
      <c r="JTX70" s="609"/>
      <c r="JTY70" s="609"/>
      <c r="JTZ70" s="609"/>
      <c r="JUA70" s="609"/>
      <c r="JUB70" s="609"/>
      <c r="JUC70" s="609"/>
      <c r="JUD70" s="609"/>
      <c r="JUE70" s="609"/>
      <c r="JUF70" s="609"/>
      <c r="JUG70" s="609"/>
      <c r="JUH70" s="609"/>
      <c r="JUI70" s="609"/>
      <c r="JUJ70" s="609"/>
      <c r="JUK70" s="609"/>
      <c r="JUL70" s="609"/>
      <c r="JUM70" s="609"/>
      <c r="JUN70" s="609"/>
      <c r="JUO70" s="609"/>
      <c r="JUP70" s="609"/>
      <c r="JUQ70" s="609"/>
      <c r="JUR70" s="609"/>
      <c r="JUS70" s="609"/>
      <c r="JUT70" s="609"/>
      <c r="JUU70" s="609"/>
      <c r="JUV70" s="609"/>
      <c r="JUW70" s="609"/>
      <c r="JUX70" s="609"/>
      <c r="JUY70" s="609"/>
      <c r="JUZ70" s="609"/>
      <c r="JVA70" s="609"/>
      <c r="JVB70" s="609"/>
      <c r="JVC70" s="609"/>
      <c r="JVD70" s="609"/>
      <c r="JVE70" s="609"/>
      <c r="JVF70" s="609"/>
      <c r="JVG70" s="609"/>
      <c r="JVH70" s="609"/>
      <c r="JVI70" s="609"/>
      <c r="JVJ70" s="609"/>
      <c r="JVK70" s="609"/>
      <c r="JVL70" s="609"/>
      <c r="JVM70" s="609"/>
      <c r="JVN70" s="609"/>
      <c r="JVO70" s="609"/>
      <c r="JVP70" s="609"/>
      <c r="JVQ70" s="609"/>
      <c r="JVR70" s="609"/>
      <c r="JVS70" s="609"/>
      <c r="JVT70" s="609"/>
      <c r="JVU70" s="609"/>
      <c r="JVV70" s="609"/>
      <c r="JVW70" s="609"/>
      <c r="JVX70" s="609"/>
      <c r="JVY70" s="609"/>
      <c r="JVZ70" s="609"/>
      <c r="JWA70" s="609"/>
      <c r="JWB70" s="609"/>
      <c r="JWC70" s="609"/>
      <c r="JWD70" s="609"/>
      <c r="JWE70" s="609"/>
      <c r="JWF70" s="609"/>
      <c r="JWG70" s="609"/>
      <c r="JWH70" s="609"/>
      <c r="JWI70" s="609"/>
      <c r="JWJ70" s="609"/>
      <c r="JWK70" s="609"/>
      <c r="JWL70" s="609"/>
      <c r="JWM70" s="609"/>
      <c r="JWN70" s="609"/>
      <c r="JWO70" s="609"/>
      <c r="JWP70" s="609"/>
      <c r="JWQ70" s="609"/>
      <c r="JWR70" s="609"/>
      <c r="JWS70" s="609"/>
      <c r="JWT70" s="609"/>
      <c r="JWU70" s="609"/>
      <c r="JWV70" s="609"/>
      <c r="JWW70" s="609"/>
      <c r="JWX70" s="609"/>
      <c r="JWY70" s="609"/>
      <c r="JWZ70" s="609"/>
      <c r="JXA70" s="609"/>
      <c r="JXB70" s="609"/>
      <c r="JXC70" s="609"/>
      <c r="JXD70" s="609"/>
      <c r="JXE70" s="609"/>
      <c r="JXF70" s="609"/>
      <c r="JXG70" s="609"/>
      <c r="JXH70" s="609"/>
      <c r="JXI70" s="609"/>
      <c r="JXJ70" s="609"/>
      <c r="JXK70" s="609"/>
      <c r="JXL70" s="609"/>
      <c r="JXM70" s="609"/>
      <c r="JXN70" s="609"/>
      <c r="JXO70" s="609"/>
      <c r="JXP70" s="609"/>
      <c r="JXQ70" s="609"/>
      <c r="JXR70" s="609"/>
      <c r="JXS70" s="609"/>
      <c r="JXT70" s="609"/>
      <c r="JXU70" s="609"/>
      <c r="JXV70" s="609"/>
      <c r="JXW70" s="609"/>
      <c r="JXX70" s="609"/>
      <c r="JXY70" s="609"/>
      <c r="JXZ70" s="609"/>
      <c r="JYA70" s="609"/>
      <c r="JYB70" s="609"/>
      <c r="JYC70" s="609"/>
      <c r="JYD70" s="609"/>
      <c r="JYE70" s="609"/>
      <c r="JYF70" s="609"/>
      <c r="JYG70" s="609"/>
      <c r="JYH70" s="609"/>
      <c r="JYI70" s="609"/>
      <c r="JYJ70" s="609"/>
      <c r="JYK70" s="609"/>
      <c r="JYL70" s="609"/>
      <c r="JYM70" s="609"/>
      <c r="JYN70" s="609"/>
      <c r="JYO70" s="609"/>
      <c r="JYP70" s="609"/>
      <c r="JYQ70" s="609"/>
      <c r="JYR70" s="609"/>
      <c r="JYS70" s="609"/>
      <c r="JYT70" s="609"/>
      <c r="JYU70" s="609"/>
      <c r="JYV70" s="609"/>
      <c r="JYW70" s="609"/>
      <c r="JYX70" s="609"/>
      <c r="JYY70" s="609"/>
      <c r="JYZ70" s="609"/>
      <c r="JZA70" s="609"/>
      <c r="JZB70" s="609"/>
      <c r="JZC70" s="609"/>
      <c r="JZD70" s="609"/>
      <c r="JZE70" s="609"/>
      <c r="JZF70" s="609"/>
      <c r="JZG70" s="609"/>
      <c r="JZH70" s="609"/>
      <c r="JZI70" s="609"/>
      <c r="JZJ70" s="609"/>
      <c r="JZK70" s="609"/>
      <c r="JZL70" s="609"/>
      <c r="JZM70" s="609"/>
      <c r="JZN70" s="609"/>
      <c r="JZO70" s="609"/>
      <c r="JZP70" s="609"/>
      <c r="JZQ70" s="609"/>
      <c r="JZR70" s="609"/>
      <c r="JZS70" s="609"/>
      <c r="JZT70" s="609"/>
      <c r="JZU70" s="609"/>
      <c r="JZV70" s="609"/>
      <c r="JZW70" s="609"/>
      <c r="JZX70" s="609"/>
      <c r="JZY70" s="609"/>
      <c r="JZZ70" s="609"/>
      <c r="KAA70" s="609"/>
      <c r="KAB70" s="609"/>
      <c r="KAC70" s="609"/>
      <c r="KAD70" s="609"/>
      <c r="KAE70" s="609"/>
      <c r="KAF70" s="609"/>
      <c r="KAG70" s="609"/>
      <c r="KAH70" s="609"/>
      <c r="KAI70" s="609"/>
      <c r="KAJ70" s="609"/>
      <c r="KAK70" s="609"/>
      <c r="KAL70" s="609"/>
      <c r="KAM70" s="609"/>
      <c r="KAN70" s="609"/>
      <c r="KAO70" s="609"/>
      <c r="KAP70" s="609"/>
      <c r="KAQ70" s="609"/>
      <c r="KAR70" s="609"/>
      <c r="KAS70" s="609"/>
      <c r="KAT70" s="609"/>
      <c r="KAU70" s="609"/>
      <c r="KAV70" s="609"/>
      <c r="KAW70" s="609"/>
      <c r="KAX70" s="609"/>
      <c r="KAY70" s="609"/>
      <c r="KAZ70" s="609"/>
      <c r="KBA70" s="609"/>
      <c r="KBB70" s="609"/>
      <c r="KBC70" s="609"/>
      <c r="KBD70" s="609"/>
      <c r="KBE70" s="609"/>
      <c r="KBF70" s="609"/>
      <c r="KBG70" s="609"/>
      <c r="KBH70" s="609"/>
      <c r="KBI70" s="609"/>
      <c r="KBJ70" s="609"/>
      <c r="KBK70" s="609"/>
      <c r="KBL70" s="609"/>
      <c r="KBM70" s="609"/>
      <c r="KBN70" s="609"/>
      <c r="KBO70" s="609"/>
      <c r="KBP70" s="609"/>
      <c r="KBQ70" s="609"/>
      <c r="KBR70" s="609"/>
      <c r="KBS70" s="609"/>
      <c r="KBT70" s="609"/>
      <c r="KBU70" s="609"/>
      <c r="KBV70" s="609"/>
      <c r="KBW70" s="609"/>
      <c r="KBX70" s="609"/>
      <c r="KBY70" s="609"/>
      <c r="KBZ70" s="609"/>
      <c r="KCA70" s="609"/>
      <c r="KCB70" s="609"/>
      <c r="KCC70" s="609"/>
      <c r="KCD70" s="609"/>
      <c r="KCE70" s="609"/>
      <c r="KCF70" s="609"/>
      <c r="KCG70" s="609"/>
      <c r="KCH70" s="609"/>
      <c r="KCI70" s="609"/>
      <c r="KCJ70" s="609"/>
      <c r="KCK70" s="609"/>
      <c r="KCL70" s="609"/>
      <c r="KCM70" s="609"/>
      <c r="KCN70" s="609"/>
      <c r="KCO70" s="609"/>
      <c r="KCP70" s="609"/>
      <c r="KCQ70" s="609"/>
      <c r="KCR70" s="609"/>
      <c r="KCS70" s="609"/>
      <c r="KCT70" s="609"/>
      <c r="KCU70" s="609"/>
      <c r="KCV70" s="609"/>
      <c r="KCW70" s="609"/>
      <c r="KCX70" s="609"/>
      <c r="KCY70" s="609"/>
      <c r="KCZ70" s="609"/>
      <c r="KDA70" s="609"/>
      <c r="KDB70" s="609"/>
      <c r="KDC70" s="609"/>
      <c r="KDD70" s="609"/>
      <c r="KDE70" s="609"/>
      <c r="KDF70" s="609"/>
      <c r="KDG70" s="609"/>
      <c r="KDH70" s="609"/>
      <c r="KDI70" s="609"/>
      <c r="KDJ70" s="609"/>
      <c r="KDK70" s="609"/>
      <c r="KDL70" s="609"/>
      <c r="KDM70" s="609"/>
      <c r="KDN70" s="609"/>
      <c r="KDO70" s="609"/>
      <c r="KDP70" s="609"/>
      <c r="KDQ70" s="609"/>
      <c r="KDR70" s="609"/>
      <c r="KDS70" s="609"/>
      <c r="KDT70" s="609"/>
      <c r="KDU70" s="609"/>
      <c r="KDV70" s="609"/>
      <c r="KDW70" s="609"/>
      <c r="KDX70" s="609"/>
      <c r="KDY70" s="609"/>
      <c r="KDZ70" s="609"/>
      <c r="KEA70" s="609"/>
      <c r="KEB70" s="609"/>
      <c r="KEC70" s="609"/>
      <c r="KED70" s="609"/>
      <c r="KEE70" s="609"/>
      <c r="KEF70" s="609"/>
      <c r="KEG70" s="609"/>
      <c r="KEH70" s="609"/>
      <c r="KEI70" s="609"/>
      <c r="KEJ70" s="609"/>
      <c r="KEK70" s="609"/>
      <c r="KEL70" s="609"/>
      <c r="KEM70" s="609"/>
      <c r="KEN70" s="609"/>
      <c r="KEO70" s="609"/>
      <c r="KEP70" s="609"/>
      <c r="KEQ70" s="609"/>
      <c r="KER70" s="609"/>
      <c r="KES70" s="609"/>
      <c r="KET70" s="609"/>
      <c r="KEU70" s="609"/>
      <c r="KEV70" s="609"/>
      <c r="KEW70" s="609"/>
      <c r="KEX70" s="609"/>
      <c r="KEY70" s="609"/>
      <c r="KEZ70" s="609"/>
      <c r="KFA70" s="609"/>
      <c r="KFB70" s="609"/>
      <c r="KFC70" s="609"/>
      <c r="KFD70" s="609"/>
      <c r="KFE70" s="609"/>
      <c r="KFF70" s="609"/>
      <c r="KFG70" s="609"/>
      <c r="KFH70" s="609"/>
      <c r="KFI70" s="609"/>
      <c r="KFJ70" s="609"/>
      <c r="KFK70" s="609"/>
      <c r="KFL70" s="609"/>
      <c r="KFM70" s="609"/>
      <c r="KFN70" s="609"/>
      <c r="KFO70" s="609"/>
      <c r="KFP70" s="609"/>
      <c r="KFQ70" s="609"/>
      <c r="KFR70" s="609"/>
      <c r="KFS70" s="609"/>
      <c r="KFT70" s="609"/>
      <c r="KFU70" s="609"/>
      <c r="KFV70" s="609"/>
      <c r="KFW70" s="609"/>
      <c r="KFX70" s="609"/>
      <c r="KFY70" s="609"/>
      <c r="KFZ70" s="609"/>
      <c r="KGA70" s="609"/>
      <c r="KGB70" s="609"/>
      <c r="KGC70" s="609"/>
      <c r="KGD70" s="609"/>
      <c r="KGE70" s="609"/>
      <c r="KGF70" s="609"/>
      <c r="KGG70" s="609"/>
      <c r="KGH70" s="609"/>
      <c r="KGI70" s="609"/>
      <c r="KGJ70" s="609"/>
      <c r="KGK70" s="609"/>
      <c r="KGL70" s="609"/>
      <c r="KGM70" s="609"/>
      <c r="KGN70" s="609"/>
      <c r="KGO70" s="609"/>
      <c r="KGP70" s="609"/>
      <c r="KGQ70" s="609"/>
      <c r="KGR70" s="609"/>
      <c r="KGS70" s="609"/>
      <c r="KGT70" s="609"/>
      <c r="KGU70" s="609"/>
      <c r="KGV70" s="609"/>
      <c r="KGW70" s="609"/>
      <c r="KGX70" s="609"/>
      <c r="KGY70" s="609"/>
      <c r="KGZ70" s="609"/>
      <c r="KHA70" s="609"/>
      <c r="KHB70" s="609"/>
      <c r="KHC70" s="609"/>
      <c r="KHD70" s="609"/>
      <c r="KHE70" s="609"/>
      <c r="KHF70" s="609"/>
      <c r="KHG70" s="609"/>
      <c r="KHH70" s="609"/>
      <c r="KHI70" s="609"/>
      <c r="KHJ70" s="609"/>
      <c r="KHK70" s="609"/>
      <c r="KHL70" s="609"/>
      <c r="KHM70" s="609"/>
      <c r="KHN70" s="609"/>
      <c r="KHO70" s="609"/>
      <c r="KHP70" s="609"/>
      <c r="KHQ70" s="609"/>
      <c r="KHR70" s="609"/>
      <c r="KHS70" s="609"/>
      <c r="KHT70" s="609"/>
      <c r="KHU70" s="609"/>
      <c r="KHV70" s="609"/>
      <c r="KHW70" s="609"/>
      <c r="KHX70" s="609"/>
      <c r="KHY70" s="609"/>
      <c r="KHZ70" s="609"/>
      <c r="KIA70" s="609"/>
      <c r="KIB70" s="609"/>
      <c r="KIC70" s="609"/>
      <c r="KID70" s="609"/>
      <c r="KIE70" s="609"/>
      <c r="KIF70" s="609"/>
      <c r="KIG70" s="609"/>
      <c r="KIH70" s="609"/>
      <c r="KII70" s="609"/>
      <c r="KIJ70" s="609"/>
      <c r="KIK70" s="609"/>
      <c r="KIL70" s="609"/>
      <c r="KIM70" s="609"/>
      <c r="KIN70" s="609"/>
      <c r="KIO70" s="609"/>
      <c r="KIP70" s="609"/>
      <c r="KIQ70" s="609"/>
      <c r="KIR70" s="609"/>
      <c r="KIS70" s="609"/>
      <c r="KIT70" s="609"/>
      <c r="KIU70" s="609"/>
      <c r="KIV70" s="609"/>
      <c r="KIW70" s="609"/>
      <c r="KIX70" s="609"/>
      <c r="KIY70" s="609"/>
      <c r="KIZ70" s="609"/>
      <c r="KJA70" s="609"/>
      <c r="KJB70" s="609"/>
      <c r="KJC70" s="609"/>
      <c r="KJD70" s="609"/>
      <c r="KJE70" s="609"/>
      <c r="KJF70" s="609"/>
      <c r="KJG70" s="609"/>
      <c r="KJH70" s="609"/>
      <c r="KJI70" s="609"/>
      <c r="KJJ70" s="609"/>
      <c r="KJK70" s="609"/>
      <c r="KJL70" s="609"/>
      <c r="KJM70" s="609"/>
      <c r="KJN70" s="609"/>
      <c r="KJO70" s="609"/>
      <c r="KJP70" s="609"/>
      <c r="KJQ70" s="609"/>
      <c r="KJR70" s="609"/>
      <c r="KJS70" s="609"/>
      <c r="KJT70" s="609"/>
      <c r="KJU70" s="609"/>
      <c r="KJV70" s="609"/>
      <c r="KJW70" s="609"/>
      <c r="KJX70" s="609"/>
      <c r="KJY70" s="609"/>
      <c r="KJZ70" s="609"/>
      <c r="KKA70" s="609"/>
      <c r="KKB70" s="609"/>
      <c r="KKC70" s="609"/>
      <c r="KKD70" s="609"/>
      <c r="KKE70" s="609"/>
      <c r="KKF70" s="609"/>
      <c r="KKG70" s="609"/>
      <c r="KKH70" s="609"/>
      <c r="KKI70" s="609"/>
      <c r="KKJ70" s="609"/>
      <c r="KKK70" s="609"/>
      <c r="KKL70" s="609"/>
      <c r="KKM70" s="609"/>
      <c r="KKN70" s="609"/>
      <c r="KKO70" s="609"/>
      <c r="KKP70" s="609"/>
      <c r="KKQ70" s="609"/>
      <c r="KKR70" s="609"/>
      <c r="KKS70" s="609"/>
      <c r="KKT70" s="609"/>
      <c r="KKU70" s="609"/>
      <c r="KKV70" s="609"/>
      <c r="KKW70" s="609"/>
      <c r="KKX70" s="609"/>
      <c r="KKY70" s="609"/>
      <c r="KKZ70" s="609"/>
      <c r="KLA70" s="609"/>
      <c r="KLB70" s="609"/>
      <c r="KLC70" s="609"/>
      <c r="KLD70" s="609"/>
      <c r="KLE70" s="609"/>
      <c r="KLF70" s="609"/>
      <c r="KLG70" s="609"/>
      <c r="KLH70" s="609"/>
      <c r="KLI70" s="609"/>
      <c r="KLJ70" s="609"/>
      <c r="KLK70" s="609"/>
      <c r="KLL70" s="609"/>
      <c r="KLM70" s="609"/>
      <c r="KLN70" s="609"/>
      <c r="KLO70" s="609"/>
      <c r="KLP70" s="609"/>
      <c r="KLQ70" s="609"/>
      <c r="KLR70" s="609"/>
      <c r="KLS70" s="609"/>
      <c r="KLT70" s="609"/>
      <c r="KLU70" s="609"/>
      <c r="KLV70" s="609"/>
      <c r="KLW70" s="609"/>
      <c r="KLX70" s="609"/>
      <c r="KLY70" s="609"/>
      <c r="KLZ70" s="609"/>
      <c r="KMA70" s="609"/>
      <c r="KMB70" s="609"/>
      <c r="KMC70" s="609"/>
      <c r="KMD70" s="609"/>
      <c r="KME70" s="609"/>
      <c r="KMF70" s="609"/>
      <c r="KMG70" s="609"/>
      <c r="KMH70" s="609"/>
      <c r="KMI70" s="609"/>
      <c r="KMJ70" s="609"/>
      <c r="KMK70" s="609"/>
      <c r="KML70" s="609"/>
      <c r="KMM70" s="609"/>
      <c r="KMN70" s="609"/>
      <c r="KMO70" s="609"/>
      <c r="KMP70" s="609"/>
      <c r="KMQ70" s="609"/>
      <c r="KMR70" s="609"/>
      <c r="KMS70" s="609"/>
      <c r="KMT70" s="609"/>
      <c r="KMU70" s="609"/>
      <c r="KMV70" s="609"/>
      <c r="KMW70" s="609"/>
      <c r="KMX70" s="609"/>
      <c r="KMY70" s="609"/>
      <c r="KMZ70" s="609"/>
      <c r="KNA70" s="609"/>
      <c r="KNB70" s="609"/>
      <c r="KNC70" s="609"/>
      <c r="KND70" s="609"/>
      <c r="KNE70" s="609"/>
      <c r="KNF70" s="609"/>
      <c r="KNG70" s="609"/>
      <c r="KNH70" s="609"/>
      <c r="KNI70" s="609"/>
      <c r="KNJ70" s="609"/>
      <c r="KNK70" s="609"/>
      <c r="KNL70" s="609"/>
      <c r="KNM70" s="609"/>
      <c r="KNN70" s="609"/>
      <c r="KNO70" s="609"/>
      <c r="KNP70" s="609"/>
      <c r="KNQ70" s="609"/>
      <c r="KNR70" s="609"/>
      <c r="KNS70" s="609"/>
      <c r="KNT70" s="609"/>
      <c r="KNU70" s="609"/>
      <c r="KNV70" s="609"/>
      <c r="KNW70" s="609"/>
      <c r="KNX70" s="609"/>
      <c r="KNY70" s="609"/>
      <c r="KNZ70" s="609"/>
      <c r="KOA70" s="609"/>
      <c r="KOB70" s="609"/>
      <c r="KOC70" s="609"/>
      <c r="KOD70" s="609"/>
      <c r="KOE70" s="609"/>
      <c r="KOF70" s="609"/>
      <c r="KOG70" s="609"/>
      <c r="KOH70" s="609"/>
      <c r="KOI70" s="609"/>
      <c r="KOJ70" s="609"/>
      <c r="KOK70" s="609"/>
      <c r="KOL70" s="609"/>
      <c r="KOM70" s="609"/>
      <c r="KON70" s="609"/>
      <c r="KOO70" s="609"/>
      <c r="KOP70" s="609"/>
      <c r="KOQ70" s="609"/>
      <c r="KOR70" s="609"/>
      <c r="KOS70" s="609"/>
      <c r="KOT70" s="609"/>
      <c r="KOU70" s="609"/>
      <c r="KOV70" s="609"/>
      <c r="KOW70" s="609"/>
      <c r="KOX70" s="609"/>
      <c r="KOY70" s="609"/>
      <c r="KOZ70" s="609"/>
      <c r="KPA70" s="609"/>
      <c r="KPB70" s="609"/>
      <c r="KPC70" s="609"/>
      <c r="KPD70" s="609"/>
      <c r="KPE70" s="609"/>
      <c r="KPF70" s="609"/>
      <c r="KPG70" s="609"/>
      <c r="KPH70" s="609"/>
      <c r="KPI70" s="609"/>
      <c r="KPJ70" s="609"/>
      <c r="KPK70" s="609"/>
      <c r="KPL70" s="609"/>
      <c r="KPM70" s="609"/>
      <c r="KPN70" s="609"/>
      <c r="KPO70" s="609"/>
      <c r="KPP70" s="609"/>
      <c r="KPQ70" s="609"/>
      <c r="KPR70" s="609"/>
      <c r="KPS70" s="609"/>
      <c r="KPT70" s="609"/>
      <c r="KPU70" s="609"/>
      <c r="KPV70" s="609"/>
      <c r="KPW70" s="609"/>
      <c r="KPX70" s="609"/>
      <c r="KPY70" s="609"/>
      <c r="KPZ70" s="609"/>
      <c r="KQA70" s="609"/>
      <c r="KQB70" s="609"/>
      <c r="KQC70" s="609"/>
      <c r="KQD70" s="609"/>
      <c r="KQE70" s="609"/>
      <c r="KQF70" s="609"/>
      <c r="KQG70" s="609"/>
      <c r="KQH70" s="609"/>
      <c r="KQI70" s="609"/>
      <c r="KQJ70" s="609"/>
      <c r="KQK70" s="609"/>
      <c r="KQL70" s="609"/>
      <c r="KQM70" s="609"/>
      <c r="KQN70" s="609"/>
      <c r="KQO70" s="609"/>
      <c r="KQP70" s="609"/>
      <c r="KQQ70" s="609"/>
      <c r="KQR70" s="609"/>
      <c r="KQS70" s="609"/>
      <c r="KQT70" s="609"/>
      <c r="KQU70" s="609"/>
      <c r="KQV70" s="609"/>
      <c r="KQW70" s="609"/>
      <c r="KQX70" s="609"/>
      <c r="KQY70" s="609"/>
      <c r="KQZ70" s="609"/>
      <c r="KRA70" s="609"/>
      <c r="KRB70" s="609"/>
      <c r="KRC70" s="609"/>
      <c r="KRD70" s="609"/>
      <c r="KRE70" s="609"/>
      <c r="KRF70" s="609"/>
      <c r="KRG70" s="609"/>
      <c r="KRH70" s="609"/>
      <c r="KRI70" s="609"/>
      <c r="KRJ70" s="609"/>
      <c r="KRK70" s="609"/>
      <c r="KRL70" s="609"/>
      <c r="KRM70" s="609"/>
      <c r="KRN70" s="609"/>
      <c r="KRO70" s="609"/>
      <c r="KRP70" s="609"/>
      <c r="KRQ70" s="609"/>
      <c r="KRR70" s="609"/>
      <c r="KRS70" s="609"/>
      <c r="KRT70" s="609"/>
      <c r="KRU70" s="609"/>
      <c r="KRV70" s="609"/>
      <c r="KRW70" s="609"/>
      <c r="KRX70" s="609"/>
      <c r="KRY70" s="609"/>
      <c r="KRZ70" s="609"/>
      <c r="KSA70" s="609"/>
      <c r="KSB70" s="609"/>
      <c r="KSC70" s="609"/>
      <c r="KSD70" s="609"/>
      <c r="KSE70" s="609"/>
      <c r="KSF70" s="609"/>
      <c r="KSG70" s="609"/>
      <c r="KSH70" s="609"/>
      <c r="KSI70" s="609"/>
      <c r="KSJ70" s="609"/>
      <c r="KSK70" s="609"/>
      <c r="KSL70" s="609"/>
      <c r="KSM70" s="609"/>
      <c r="KSN70" s="609"/>
      <c r="KSO70" s="609"/>
      <c r="KSP70" s="609"/>
      <c r="KSQ70" s="609"/>
      <c r="KSR70" s="609"/>
      <c r="KSS70" s="609"/>
      <c r="KST70" s="609"/>
      <c r="KSU70" s="609"/>
      <c r="KSV70" s="609"/>
      <c r="KSW70" s="609"/>
      <c r="KSX70" s="609"/>
      <c r="KSY70" s="609"/>
      <c r="KSZ70" s="609"/>
      <c r="KTA70" s="609"/>
      <c r="KTB70" s="609"/>
      <c r="KTC70" s="609"/>
      <c r="KTD70" s="609"/>
      <c r="KTE70" s="609"/>
      <c r="KTF70" s="609"/>
      <c r="KTG70" s="609"/>
      <c r="KTH70" s="609"/>
      <c r="KTI70" s="609"/>
      <c r="KTJ70" s="609"/>
      <c r="KTK70" s="609"/>
      <c r="KTL70" s="609"/>
      <c r="KTM70" s="609"/>
      <c r="KTN70" s="609"/>
      <c r="KTO70" s="609"/>
      <c r="KTP70" s="609"/>
      <c r="KTQ70" s="609"/>
      <c r="KTR70" s="609"/>
      <c r="KTS70" s="609"/>
      <c r="KTT70" s="609"/>
      <c r="KTU70" s="609"/>
      <c r="KTV70" s="609"/>
      <c r="KTW70" s="609"/>
      <c r="KTX70" s="609"/>
      <c r="KTY70" s="609"/>
      <c r="KTZ70" s="609"/>
      <c r="KUA70" s="609"/>
      <c r="KUB70" s="609"/>
      <c r="KUC70" s="609"/>
      <c r="KUD70" s="609"/>
      <c r="KUE70" s="609"/>
      <c r="KUF70" s="609"/>
      <c r="KUG70" s="609"/>
      <c r="KUH70" s="609"/>
      <c r="KUI70" s="609"/>
      <c r="KUJ70" s="609"/>
      <c r="KUK70" s="609"/>
      <c r="KUL70" s="609"/>
      <c r="KUM70" s="609"/>
      <c r="KUN70" s="609"/>
      <c r="KUO70" s="609"/>
      <c r="KUP70" s="609"/>
      <c r="KUQ70" s="609"/>
      <c r="KUR70" s="609"/>
      <c r="KUS70" s="609"/>
      <c r="KUT70" s="609"/>
      <c r="KUU70" s="609"/>
      <c r="KUV70" s="609"/>
      <c r="KUW70" s="609"/>
      <c r="KUX70" s="609"/>
      <c r="KUY70" s="609"/>
      <c r="KUZ70" s="609"/>
      <c r="KVA70" s="609"/>
      <c r="KVB70" s="609"/>
      <c r="KVC70" s="609"/>
      <c r="KVD70" s="609"/>
      <c r="KVE70" s="609"/>
      <c r="KVF70" s="609"/>
      <c r="KVG70" s="609"/>
      <c r="KVH70" s="609"/>
      <c r="KVI70" s="609"/>
      <c r="KVJ70" s="609"/>
      <c r="KVK70" s="609"/>
      <c r="KVL70" s="609"/>
      <c r="KVM70" s="609"/>
      <c r="KVN70" s="609"/>
      <c r="KVO70" s="609"/>
      <c r="KVP70" s="609"/>
      <c r="KVQ70" s="609"/>
      <c r="KVR70" s="609"/>
      <c r="KVS70" s="609"/>
      <c r="KVT70" s="609"/>
      <c r="KVU70" s="609"/>
      <c r="KVV70" s="609"/>
      <c r="KVW70" s="609"/>
      <c r="KVX70" s="609"/>
      <c r="KVY70" s="609"/>
      <c r="KVZ70" s="609"/>
      <c r="KWA70" s="609"/>
      <c r="KWB70" s="609"/>
      <c r="KWC70" s="609"/>
      <c r="KWD70" s="609"/>
      <c r="KWE70" s="609"/>
      <c r="KWF70" s="609"/>
      <c r="KWG70" s="609"/>
      <c r="KWH70" s="609"/>
      <c r="KWI70" s="609"/>
      <c r="KWJ70" s="609"/>
      <c r="KWK70" s="609"/>
      <c r="KWL70" s="609"/>
      <c r="KWM70" s="609"/>
      <c r="KWN70" s="609"/>
      <c r="KWO70" s="609"/>
      <c r="KWP70" s="609"/>
      <c r="KWQ70" s="609"/>
      <c r="KWR70" s="609"/>
      <c r="KWS70" s="609"/>
      <c r="KWT70" s="609"/>
      <c r="KWU70" s="609"/>
      <c r="KWV70" s="609"/>
      <c r="KWW70" s="609"/>
      <c r="KWX70" s="609"/>
      <c r="KWY70" s="609"/>
      <c r="KWZ70" s="609"/>
      <c r="KXA70" s="609"/>
      <c r="KXB70" s="609"/>
      <c r="KXC70" s="609"/>
      <c r="KXD70" s="609"/>
      <c r="KXE70" s="609"/>
      <c r="KXF70" s="609"/>
      <c r="KXG70" s="609"/>
      <c r="KXH70" s="609"/>
      <c r="KXI70" s="609"/>
      <c r="KXJ70" s="609"/>
      <c r="KXK70" s="609"/>
      <c r="KXL70" s="609"/>
      <c r="KXM70" s="609"/>
      <c r="KXN70" s="609"/>
      <c r="KXO70" s="609"/>
      <c r="KXP70" s="609"/>
      <c r="KXQ70" s="609"/>
      <c r="KXR70" s="609"/>
      <c r="KXS70" s="609"/>
      <c r="KXT70" s="609"/>
      <c r="KXU70" s="609"/>
      <c r="KXV70" s="609"/>
      <c r="KXW70" s="609"/>
      <c r="KXX70" s="609"/>
      <c r="KXY70" s="609"/>
      <c r="KXZ70" s="609"/>
      <c r="KYA70" s="609"/>
      <c r="KYB70" s="609"/>
      <c r="KYC70" s="609"/>
      <c r="KYD70" s="609"/>
      <c r="KYE70" s="609"/>
      <c r="KYF70" s="609"/>
      <c r="KYG70" s="609"/>
      <c r="KYH70" s="609"/>
      <c r="KYI70" s="609"/>
      <c r="KYJ70" s="609"/>
      <c r="KYK70" s="609"/>
      <c r="KYL70" s="609"/>
      <c r="KYM70" s="609"/>
      <c r="KYN70" s="609"/>
      <c r="KYO70" s="609"/>
      <c r="KYP70" s="609"/>
      <c r="KYQ70" s="609"/>
      <c r="KYR70" s="609"/>
      <c r="KYS70" s="609"/>
      <c r="KYT70" s="609"/>
      <c r="KYU70" s="609"/>
      <c r="KYV70" s="609"/>
      <c r="KYW70" s="609"/>
      <c r="KYX70" s="609"/>
      <c r="KYY70" s="609"/>
      <c r="KYZ70" s="609"/>
      <c r="KZA70" s="609"/>
      <c r="KZB70" s="609"/>
      <c r="KZC70" s="609"/>
      <c r="KZD70" s="609"/>
      <c r="KZE70" s="609"/>
      <c r="KZF70" s="609"/>
      <c r="KZG70" s="609"/>
      <c r="KZH70" s="609"/>
      <c r="KZI70" s="609"/>
      <c r="KZJ70" s="609"/>
      <c r="KZK70" s="609"/>
      <c r="KZL70" s="609"/>
      <c r="KZM70" s="609"/>
      <c r="KZN70" s="609"/>
      <c r="KZO70" s="609"/>
      <c r="KZP70" s="609"/>
      <c r="KZQ70" s="609"/>
      <c r="KZR70" s="609"/>
      <c r="KZS70" s="609"/>
      <c r="KZT70" s="609"/>
      <c r="KZU70" s="609"/>
      <c r="KZV70" s="609"/>
      <c r="KZW70" s="609"/>
      <c r="KZX70" s="609"/>
      <c r="KZY70" s="609"/>
      <c r="KZZ70" s="609"/>
      <c r="LAA70" s="609"/>
      <c r="LAB70" s="609"/>
      <c r="LAC70" s="609"/>
      <c r="LAD70" s="609"/>
      <c r="LAE70" s="609"/>
      <c r="LAF70" s="609"/>
      <c r="LAG70" s="609"/>
      <c r="LAH70" s="609"/>
      <c r="LAI70" s="609"/>
      <c r="LAJ70" s="609"/>
      <c r="LAK70" s="609"/>
      <c r="LAL70" s="609"/>
      <c r="LAM70" s="609"/>
      <c r="LAN70" s="609"/>
      <c r="LAO70" s="609"/>
      <c r="LAP70" s="609"/>
      <c r="LAQ70" s="609"/>
      <c r="LAR70" s="609"/>
      <c r="LAS70" s="609"/>
      <c r="LAT70" s="609"/>
      <c r="LAU70" s="609"/>
      <c r="LAV70" s="609"/>
      <c r="LAW70" s="609"/>
      <c r="LAX70" s="609"/>
      <c r="LAY70" s="609"/>
      <c r="LAZ70" s="609"/>
      <c r="LBA70" s="609"/>
      <c r="LBB70" s="609"/>
      <c r="LBC70" s="609"/>
      <c r="LBD70" s="609"/>
      <c r="LBE70" s="609"/>
      <c r="LBF70" s="609"/>
      <c r="LBG70" s="609"/>
      <c r="LBH70" s="609"/>
      <c r="LBI70" s="609"/>
      <c r="LBJ70" s="609"/>
      <c r="LBK70" s="609"/>
      <c r="LBL70" s="609"/>
      <c r="LBM70" s="609"/>
      <c r="LBN70" s="609"/>
      <c r="LBO70" s="609"/>
      <c r="LBP70" s="609"/>
      <c r="LBQ70" s="609"/>
      <c r="LBR70" s="609"/>
      <c r="LBS70" s="609"/>
      <c r="LBT70" s="609"/>
      <c r="LBU70" s="609"/>
      <c r="LBV70" s="609"/>
      <c r="LBW70" s="609"/>
      <c r="LBX70" s="609"/>
      <c r="LBY70" s="609"/>
      <c r="LBZ70" s="609"/>
      <c r="LCA70" s="609"/>
      <c r="LCB70" s="609"/>
      <c r="LCC70" s="609"/>
      <c r="LCD70" s="609"/>
      <c r="LCE70" s="609"/>
      <c r="LCF70" s="609"/>
      <c r="LCG70" s="609"/>
      <c r="LCH70" s="609"/>
      <c r="LCI70" s="609"/>
      <c r="LCJ70" s="609"/>
      <c r="LCK70" s="609"/>
      <c r="LCL70" s="609"/>
      <c r="LCM70" s="609"/>
      <c r="LCN70" s="609"/>
      <c r="LCO70" s="609"/>
      <c r="LCP70" s="609"/>
      <c r="LCQ70" s="609"/>
      <c r="LCR70" s="609"/>
      <c r="LCS70" s="609"/>
      <c r="LCT70" s="609"/>
      <c r="LCU70" s="609"/>
      <c r="LCV70" s="609"/>
      <c r="LCW70" s="609"/>
      <c r="LCX70" s="609"/>
      <c r="LCY70" s="609"/>
      <c r="LCZ70" s="609"/>
      <c r="LDA70" s="609"/>
      <c r="LDB70" s="609"/>
      <c r="LDC70" s="609"/>
      <c r="LDD70" s="609"/>
      <c r="LDE70" s="609"/>
      <c r="LDF70" s="609"/>
      <c r="LDG70" s="609"/>
      <c r="LDH70" s="609"/>
      <c r="LDI70" s="609"/>
      <c r="LDJ70" s="609"/>
      <c r="LDK70" s="609"/>
      <c r="LDL70" s="609"/>
      <c r="LDM70" s="609"/>
      <c r="LDN70" s="609"/>
      <c r="LDO70" s="609"/>
      <c r="LDP70" s="609"/>
      <c r="LDQ70" s="609"/>
      <c r="LDR70" s="609"/>
      <c r="LDS70" s="609"/>
      <c r="LDT70" s="609"/>
      <c r="LDU70" s="609"/>
      <c r="LDV70" s="609"/>
      <c r="LDW70" s="609"/>
      <c r="LDX70" s="609"/>
      <c r="LDY70" s="609"/>
      <c r="LDZ70" s="609"/>
      <c r="LEA70" s="609"/>
      <c r="LEB70" s="609"/>
      <c r="LEC70" s="609"/>
      <c r="LED70" s="609"/>
      <c r="LEE70" s="609"/>
      <c r="LEF70" s="609"/>
      <c r="LEG70" s="609"/>
      <c r="LEH70" s="609"/>
      <c r="LEI70" s="609"/>
      <c r="LEJ70" s="609"/>
      <c r="LEK70" s="609"/>
      <c r="LEL70" s="609"/>
      <c r="LEM70" s="609"/>
      <c r="LEN70" s="609"/>
      <c r="LEO70" s="609"/>
      <c r="LEP70" s="609"/>
      <c r="LEQ70" s="609"/>
      <c r="LER70" s="609"/>
      <c r="LES70" s="609"/>
      <c r="LET70" s="609"/>
      <c r="LEU70" s="609"/>
      <c r="LEV70" s="609"/>
      <c r="LEW70" s="609"/>
      <c r="LEX70" s="609"/>
      <c r="LEY70" s="609"/>
      <c r="LEZ70" s="609"/>
      <c r="LFA70" s="609"/>
      <c r="LFB70" s="609"/>
      <c r="LFC70" s="609"/>
      <c r="LFD70" s="609"/>
      <c r="LFE70" s="609"/>
      <c r="LFF70" s="609"/>
      <c r="LFG70" s="609"/>
      <c r="LFH70" s="609"/>
      <c r="LFI70" s="609"/>
      <c r="LFJ70" s="609"/>
      <c r="LFK70" s="609"/>
      <c r="LFL70" s="609"/>
      <c r="LFM70" s="609"/>
      <c r="LFN70" s="609"/>
      <c r="LFO70" s="609"/>
      <c r="LFP70" s="609"/>
      <c r="LFQ70" s="609"/>
      <c r="LFR70" s="609"/>
      <c r="LFS70" s="609"/>
      <c r="LFT70" s="609"/>
      <c r="LFU70" s="609"/>
      <c r="LFV70" s="609"/>
      <c r="LFW70" s="609"/>
      <c r="LFX70" s="609"/>
      <c r="LFY70" s="609"/>
      <c r="LFZ70" s="609"/>
      <c r="LGA70" s="609"/>
      <c r="LGB70" s="609"/>
      <c r="LGC70" s="609"/>
      <c r="LGD70" s="609"/>
      <c r="LGE70" s="609"/>
      <c r="LGF70" s="609"/>
      <c r="LGG70" s="609"/>
      <c r="LGH70" s="609"/>
      <c r="LGI70" s="609"/>
      <c r="LGJ70" s="609"/>
      <c r="LGK70" s="609"/>
      <c r="LGL70" s="609"/>
      <c r="LGM70" s="609"/>
      <c r="LGN70" s="609"/>
      <c r="LGO70" s="609"/>
      <c r="LGP70" s="609"/>
      <c r="LGQ70" s="609"/>
      <c r="LGR70" s="609"/>
      <c r="LGS70" s="609"/>
      <c r="LGT70" s="609"/>
      <c r="LGU70" s="609"/>
      <c r="LGV70" s="609"/>
      <c r="LGW70" s="609"/>
      <c r="LGX70" s="609"/>
      <c r="LGY70" s="609"/>
      <c r="LGZ70" s="609"/>
      <c r="LHA70" s="609"/>
      <c r="LHB70" s="609"/>
      <c r="LHC70" s="609"/>
      <c r="LHD70" s="609"/>
      <c r="LHE70" s="609"/>
      <c r="LHF70" s="609"/>
      <c r="LHG70" s="609"/>
      <c r="LHH70" s="609"/>
      <c r="LHI70" s="609"/>
      <c r="LHJ70" s="609"/>
      <c r="LHK70" s="609"/>
      <c r="LHL70" s="609"/>
      <c r="LHM70" s="609"/>
      <c r="LHN70" s="609"/>
      <c r="LHO70" s="609"/>
      <c r="LHP70" s="609"/>
      <c r="LHQ70" s="609"/>
      <c r="LHR70" s="609"/>
      <c r="LHS70" s="609"/>
      <c r="LHT70" s="609"/>
      <c r="LHU70" s="609"/>
      <c r="LHV70" s="609"/>
      <c r="LHW70" s="609"/>
      <c r="LHX70" s="609"/>
      <c r="LHY70" s="609"/>
      <c r="LHZ70" s="609"/>
      <c r="LIA70" s="609"/>
      <c r="LIB70" s="609"/>
      <c r="LIC70" s="609"/>
      <c r="LID70" s="609"/>
      <c r="LIE70" s="609"/>
      <c r="LIF70" s="609"/>
      <c r="LIG70" s="609"/>
      <c r="LIH70" s="609"/>
      <c r="LII70" s="609"/>
      <c r="LIJ70" s="609"/>
      <c r="LIK70" s="609"/>
      <c r="LIL70" s="609"/>
      <c r="LIM70" s="609"/>
      <c r="LIN70" s="609"/>
      <c r="LIO70" s="609"/>
      <c r="LIP70" s="609"/>
      <c r="LIQ70" s="609"/>
      <c r="LIR70" s="609"/>
      <c r="LIS70" s="609"/>
      <c r="LIT70" s="609"/>
      <c r="LIU70" s="609"/>
      <c r="LIV70" s="609"/>
      <c r="LIW70" s="609"/>
      <c r="LIX70" s="609"/>
      <c r="LIY70" s="609"/>
      <c r="LIZ70" s="609"/>
      <c r="LJA70" s="609"/>
      <c r="LJB70" s="609"/>
      <c r="LJC70" s="609"/>
      <c r="LJD70" s="609"/>
      <c r="LJE70" s="609"/>
      <c r="LJF70" s="609"/>
      <c r="LJG70" s="609"/>
      <c r="LJH70" s="609"/>
      <c r="LJI70" s="609"/>
      <c r="LJJ70" s="609"/>
      <c r="LJK70" s="609"/>
      <c r="LJL70" s="609"/>
      <c r="LJM70" s="609"/>
      <c r="LJN70" s="609"/>
      <c r="LJO70" s="609"/>
      <c r="LJP70" s="609"/>
      <c r="LJQ70" s="609"/>
      <c r="LJR70" s="609"/>
      <c r="LJS70" s="609"/>
      <c r="LJT70" s="609"/>
      <c r="LJU70" s="609"/>
      <c r="LJV70" s="609"/>
      <c r="LJW70" s="609"/>
      <c r="LJX70" s="609"/>
      <c r="LJY70" s="609"/>
      <c r="LJZ70" s="609"/>
      <c r="LKA70" s="609"/>
      <c r="LKB70" s="609"/>
      <c r="LKC70" s="609"/>
      <c r="LKD70" s="609"/>
      <c r="LKE70" s="609"/>
      <c r="LKF70" s="609"/>
      <c r="LKG70" s="609"/>
      <c r="LKH70" s="609"/>
      <c r="LKI70" s="609"/>
      <c r="LKJ70" s="609"/>
      <c r="LKK70" s="609"/>
      <c r="LKL70" s="609"/>
      <c r="LKM70" s="609"/>
      <c r="LKN70" s="609"/>
      <c r="LKO70" s="609"/>
      <c r="LKP70" s="609"/>
      <c r="LKQ70" s="609"/>
      <c r="LKR70" s="609"/>
      <c r="LKS70" s="609"/>
      <c r="LKT70" s="609"/>
      <c r="LKU70" s="609"/>
      <c r="LKV70" s="609"/>
      <c r="LKW70" s="609"/>
      <c r="LKX70" s="609"/>
      <c r="LKY70" s="609"/>
      <c r="LKZ70" s="609"/>
      <c r="LLA70" s="609"/>
      <c r="LLB70" s="609"/>
      <c r="LLC70" s="609"/>
      <c r="LLD70" s="609"/>
      <c r="LLE70" s="609"/>
      <c r="LLF70" s="609"/>
      <c r="LLG70" s="609"/>
      <c r="LLH70" s="609"/>
      <c r="LLI70" s="609"/>
      <c r="LLJ70" s="609"/>
      <c r="LLK70" s="609"/>
      <c r="LLL70" s="609"/>
      <c r="LLM70" s="609"/>
      <c r="LLN70" s="609"/>
      <c r="LLO70" s="609"/>
      <c r="LLP70" s="609"/>
      <c r="LLQ70" s="609"/>
      <c r="LLR70" s="609"/>
      <c r="LLS70" s="609"/>
      <c r="LLT70" s="609"/>
      <c r="LLU70" s="609"/>
      <c r="LLV70" s="609"/>
      <c r="LLW70" s="609"/>
      <c r="LLX70" s="609"/>
      <c r="LLY70" s="609"/>
      <c r="LLZ70" s="609"/>
      <c r="LMA70" s="609"/>
      <c r="LMB70" s="609"/>
      <c r="LMC70" s="609"/>
      <c r="LMD70" s="609"/>
      <c r="LME70" s="609"/>
      <c r="LMF70" s="609"/>
      <c r="LMG70" s="609"/>
      <c r="LMH70" s="609"/>
      <c r="LMI70" s="609"/>
      <c r="LMJ70" s="609"/>
      <c r="LMK70" s="609"/>
      <c r="LML70" s="609"/>
      <c r="LMM70" s="609"/>
      <c r="LMN70" s="609"/>
      <c r="LMO70" s="609"/>
      <c r="LMP70" s="609"/>
      <c r="LMQ70" s="609"/>
      <c r="LMR70" s="609"/>
      <c r="LMS70" s="609"/>
      <c r="LMT70" s="609"/>
      <c r="LMU70" s="609"/>
      <c r="LMV70" s="609"/>
      <c r="LMW70" s="609"/>
      <c r="LMX70" s="609"/>
      <c r="LMY70" s="609"/>
      <c r="LMZ70" s="609"/>
      <c r="LNA70" s="609"/>
      <c r="LNB70" s="609"/>
      <c r="LNC70" s="609"/>
      <c r="LND70" s="609"/>
      <c r="LNE70" s="609"/>
      <c r="LNF70" s="609"/>
      <c r="LNG70" s="609"/>
      <c r="LNH70" s="609"/>
      <c r="LNI70" s="609"/>
      <c r="LNJ70" s="609"/>
      <c r="LNK70" s="609"/>
      <c r="LNL70" s="609"/>
      <c r="LNM70" s="609"/>
      <c r="LNN70" s="609"/>
      <c r="LNO70" s="609"/>
      <c r="LNP70" s="609"/>
      <c r="LNQ70" s="609"/>
      <c r="LNR70" s="609"/>
      <c r="LNS70" s="609"/>
      <c r="LNT70" s="609"/>
      <c r="LNU70" s="609"/>
      <c r="LNV70" s="609"/>
      <c r="LNW70" s="609"/>
      <c r="LNX70" s="609"/>
      <c r="LNY70" s="609"/>
      <c r="LNZ70" s="609"/>
      <c r="LOA70" s="609"/>
      <c r="LOB70" s="609"/>
      <c r="LOC70" s="609"/>
      <c r="LOD70" s="609"/>
      <c r="LOE70" s="609"/>
      <c r="LOF70" s="609"/>
      <c r="LOG70" s="609"/>
      <c r="LOH70" s="609"/>
      <c r="LOI70" s="609"/>
      <c r="LOJ70" s="609"/>
      <c r="LOK70" s="609"/>
      <c r="LOL70" s="609"/>
      <c r="LOM70" s="609"/>
      <c r="LON70" s="609"/>
      <c r="LOO70" s="609"/>
      <c r="LOP70" s="609"/>
      <c r="LOQ70" s="609"/>
      <c r="LOR70" s="609"/>
      <c r="LOS70" s="609"/>
      <c r="LOT70" s="609"/>
      <c r="LOU70" s="609"/>
      <c r="LOV70" s="609"/>
      <c r="LOW70" s="609"/>
      <c r="LOX70" s="609"/>
      <c r="LOY70" s="609"/>
      <c r="LOZ70" s="609"/>
      <c r="LPA70" s="609"/>
      <c r="LPB70" s="609"/>
      <c r="LPC70" s="609"/>
      <c r="LPD70" s="609"/>
      <c r="LPE70" s="609"/>
      <c r="LPF70" s="609"/>
      <c r="LPG70" s="609"/>
      <c r="LPH70" s="609"/>
      <c r="LPI70" s="609"/>
      <c r="LPJ70" s="609"/>
      <c r="LPK70" s="609"/>
      <c r="LPL70" s="609"/>
      <c r="LPM70" s="609"/>
      <c r="LPN70" s="609"/>
      <c r="LPO70" s="609"/>
      <c r="LPP70" s="609"/>
      <c r="LPQ70" s="609"/>
      <c r="LPR70" s="609"/>
      <c r="LPS70" s="609"/>
      <c r="LPT70" s="609"/>
      <c r="LPU70" s="609"/>
      <c r="LPV70" s="609"/>
      <c r="LPW70" s="609"/>
      <c r="LPX70" s="609"/>
      <c r="LPY70" s="609"/>
      <c r="LPZ70" s="609"/>
      <c r="LQA70" s="609"/>
      <c r="LQB70" s="609"/>
      <c r="LQC70" s="609"/>
      <c r="LQD70" s="609"/>
      <c r="LQE70" s="609"/>
      <c r="LQF70" s="609"/>
      <c r="LQG70" s="609"/>
      <c r="LQH70" s="609"/>
      <c r="LQI70" s="609"/>
      <c r="LQJ70" s="609"/>
      <c r="LQK70" s="609"/>
      <c r="LQL70" s="609"/>
      <c r="LQM70" s="609"/>
      <c r="LQN70" s="609"/>
      <c r="LQO70" s="609"/>
      <c r="LQP70" s="609"/>
      <c r="LQQ70" s="609"/>
      <c r="LQR70" s="609"/>
      <c r="LQS70" s="609"/>
      <c r="LQT70" s="609"/>
      <c r="LQU70" s="609"/>
      <c r="LQV70" s="609"/>
      <c r="LQW70" s="609"/>
      <c r="LQX70" s="609"/>
      <c r="LQY70" s="609"/>
      <c r="LQZ70" s="609"/>
      <c r="LRA70" s="609"/>
      <c r="LRB70" s="609"/>
      <c r="LRC70" s="609"/>
      <c r="LRD70" s="609"/>
      <c r="LRE70" s="609"/>
      <c r="LRF70" s="609"/>
      <c r="LRG70" s="609"/>
      <c r="LRH70" s="609"/>
      <c r="LRI70" s="609"/>
      <c r="LRJ70" s="609"/>
      <c r="LRK70" s="609"/>
      <c r="LRL70" s="609"/>
      <c r="LRM70" s="609"/>
      <c r="LRN70" s="609"/>
      <c r="LRO70" s="609"/>
      <c r="LRP70" s="609"/>
      <c r="LRQ70" s="609"/>
      <c r="LRR70" s="609"/>
      <c r="LRS70" s="609"/>
      <c r="LRT70" s="609"/>
      <c r="LRU70" s="609"/>
      <c r="LRV70" s="609"/>
      <c r="LRW70" s="609"/>
      <c r="LRX70" s="609"/>
      <c r="LRY70" s="609"/>
      <c r="LRZ70" s="609"/>
      <c r="LSA70" s="609"/>
      <c r="LSB70" s="609"/>
      <c r="LSC70" s="609"/>
      <c r="LSD70" s="609"/>
      <c r="LSE70" s="609"/>
      <c r="LSF70" s="609"/>
      <c r="LSG70" s="609"/>
      <c r="LSH70" s="609"/>
      <c r="LSI70" s="609"/>
      <c r="LSJ70" s="609"/>
      <c r="LSK70" s="609"/>
      <c r="LSL70" s="609"/>
      <c r="LSM70" s="609"/>
      <c r="LSN70" s="609"/>
      <c r="LSO70" s="609"/>
      <c r="LSP70" s="609"/>
      <c r="LSQ70" s="609"/>
      <c r="LSR70" s="609"/>
      <c r="LSS70" s="609"/>
      <c r="LST70" s="609"/>
      <c r="LSU70" s="609"/>
      <c r="LSV70" s="609"/>
      <c r="LSW70" s="609"/>
      <c r="LSX70" s="609"/>
      <c r="LSY70" s="609"/>
      <c r="LSZ70" s="609"/>
      <c r="LTA70" s="609"/>
      <c r="LTB70" s="609"/>
      <c r="LTC70" s="609"/>
      <c r="LTD70" s="609"/>
      <c r="LTE70" s="609"/>
      <c r="LTF70" s="609"/>
      <c r="LTG70" s="609"/>
      <c r="LTH70" s="609"/>
      <c r="LTI70" s="609"/>
      <c r="LTJ70" s="609"/>
      <c r="LTK70" s="609"/>
      <c r="LTL70" s="609"/>
      <c r="LTM70" s="609"/>
      <c r="LTN70" s="609"/>
      <c r="LTO70" s="609"/>
      <c r="LTP70" s="609"/>
      <c r="LTQ70" s="609"/>
      <c r="LTR70" s="609"/>
      <c r="LTS70" s="609"/>
      <c r="LTT70" s="609"/>
      <c r="LTU70" s="609"/>
      <c r="LTV70" s="609"/>
      <c r="LTW70" s="609"/>
      <c r="LTX70" s="609"/>
      <c r="LTY70" s="609"/>
      <c r="LTZ70" s="609"/>
      <c r="LUA70" s="609"/>
      <c r="LUB70" s="609"/>
      <c r="LUC70" s="609"/>
      <c r="LUD70" s="609"/>
      <c r="LUE70" s="609"/>
      <c r="LUF70" s="609"/>
      <c r="LUG70" s="609"/>
      <c r="LUH70" s="609"/>
      <c r="LUI70" s="609"/>
      <c r="LUJ70" s="609"/>
      <c r="LUK70" s="609"/>
      <c r="LUL70" s="609"/>
      <c r="LUM70" s="609"/>
      <c r="LUN70" s="609"/>
      <c r="LUO70" s="609"/>
      <c r="LUP70" s="609"/>
      <c r="LUQ70" s="609"/>
      <c r="LUR70" s="609"/>
      <c r="LUS70" s="609"/>
      <c r="LUT70" s="609"/>
      <c r="LUU70" s="609"/>
      <c r="LUV70" s="609"/>
      <c r="LUW70" s="609"/>
      <c r="LUX70" s="609"/>
      <c r="LUY70" s="609"/>
      <c r="LUZ70" s="609"/>
      <c r="LVA70" s="609"/>
      <c r="LVB70" s="609"/>
      <c r="LVC70" s="609"/>
      <c r="LVD70" s="609"/>
      <c r="LVE70" s="609"/>
      <c r="LVF70" s="609"/>
      <c r="LVG70" s="609"/>
      <c r="LVH70" s="609"/>
      <c r="LVI70" s="609"/>
      <c r="LVJ70" s="609"/>
      <c r="LVK70" s="609"/>
      <c r="LVL70" s="609"/>
      <c r="LVM70" s="609"/>
      <c r="LVN70" s="609"/>
      <c r="LVO70" s="609"/>
      <c r="LVP70" s="609"/>
      <c r="LVQ70" s="609"/>
      <c r="LVR70" s="609"/>
      <c r="LVS70" s="609"/>
      <c r="LVT70" s="609"/>
      <c r="LVU70" s="609"/>
      <c r="LVV70" s="609"/>
      <c r="LVW70" s="609"/>
      <c r="LVX70" s="609"/>
      <c r="LVY70" s="609"/>
      <c r="LVZ70" s="609"/>
      <c r="LWA70" s="609"/>
      <c r="LWB70" s="609"/>
      <c r="LWC70" s="609"/>
      <c r="LWD70" s="609"/>
      <c r="LWE70" s="609"/>
      <c r="LWF70" s="609"/>
      <c r="LWG70" s="609"/>
      <c r="LWH70" s="609"/>
      <c r="LWI70" s="609"/>
      <c r="LWJ70" s="609"/>
      <c r="LWK70" s="609"/>
      <c r="LWL70" s="609"/>
      <c r="LWM70" s="609"/>
      <c r="LWN70" s="609"/>
      <c r="LWO70" s="609"/>
      <c r="LWP70" s="609"/>
      <c r="LWQ70" s="609"/>
      <c r="LWR70" s="609"/>
      <c r="LWS70" s="609"/>
      <c r="LWT70" s="609"/>
      <c r="LWU70" s="609"/>
      <c r="LWV70" s="609"/>
      <c r="LWW70" s="609"/>
      <c r="LWX70" s="609"/>
      <c r="LWY70" s="609"/>
      <c r="LWZ70" s="609"/>
      <c r="LXA70" s="609"/>
      <c r="LXB70" s="609"/>
      <c r="LXC70" s="609"/>
      <c r="LXD70" s="609"/>
      <c r="LXE70" s="609"/>
      <c r="LXF70" s="609"/>
      <c r="LXG70" s="609"/>
      <c r="LXH70" s="609"/>
      <c r="LXI70" s="609"/>
      <c r="LXJ70" s="609"/>
      <c r="LXK70" s="609"/>
      <c r="LXL70" s="609"/>
      <c r="LXM70" s="609"/>
      <c r="LXN70" s="609"/>
      <c r="LXO70" s="609"/>
      <c r="LXP70" s="609"/>
      <c r="LXQ70" s="609"/>
      <c r="LXR70" s="609"/>
      <c r="LXS70" s="609"/>
      <c r="LXT70" s="609"/>
      <c r="LXU70" s="609"/>
      <c r="LXV70" s="609"/>
      <c r="LXW70" s="609"/>
      <c r="LXX70" s="609"/>
      <c r="LXY70" s="609"/>
      <c r="LXZ70" s="609"/>
      <c r="LYA70" s="609"/>
      <c r="LYB70" s="609"/>
      <c r="LYC70" s="609"/>
      <c r="LYD70" s="609"/>
      <c r="LYE70" s="609"/>
      <c r="LYF70" s="609"/>
      <c r="LYG70" s="609"/>
      <c r="LYH70" s="609"/>
      <c r="LYI70" s="609"/>
      <c r="LYJ70" s="609"/>
      <c r="LYK70" s="609"/>
      <c r="LYL70" s="609"/>
      <c r="LYM70" s="609"/>
      <c r="LYN70" s="609"/>
      <c r="LYO70" s="609"/>
      <c r="LYP70" s="609"/>
      <c r="LYQ70" s="609"/>
      <c r="LYR70" s="609"/>
      <c r="LYS70" s="609"/>
      <c r="LYT70" s="609"/>
      <c r="LYU70" s="609"/>
      <c r="LYV70" s="609"/>
      <c r="LYW70" s="609"/>
      <c r="LYX70" s="609"/>
      <c r="LYY70" s="609"/>
      <c r="LYZ70" s="609"/>
      <c r="LZA70" s="609"/>
      <c r="LZB70" s="609"/>
      <c r="LZC70" s="609"/>
      <c r="LZD70" s="609"/>
      <c r="LZE70" s="609"/>
      <c r="LZF70" s="609"/>
      <c r="LZG70" s="609"/>
      <c r="LZH70" s="609"/>
      <c r="LZI70" s="609"/>
      <c r="LZJ70" s="609"/>
      <c r="LZK70" s="609"/>
      <c r="LZL70" s="609"/>
      <c r="LZM70" s="609"/>
      <c r="LZN70" s="609"/>
      <c r="LZO70" s="609"/>
      <c r="LZP70" s="609"/>
      <c r="LZQ70" s="609"/>
      <c r="LZR70" s="609"/>
      <c r="LZS70" s="609"/>
      <c r="LZT70" s="609"/>
      <c r="LZU70" s="609"/>
      <c r="LZV70" s="609"/>
      <c r="LZW70" s="609"/>
      <c r="LZX70" s="609"/>
      <c r="LZY70" s="609"/>
      <c r="LZZ70" s="609"/>
      <c r="MAA70" s="609"/>
      <c r="MAB70" s="609"/>
      <c r="MAC70" s="609"/>
      <c r="MAD70" s="609"/>
      <c r="MAE70" s="609"/>
      <c r="MAF70" s="609"/>
      <c r="MAG70" s="609"/>
      <c r="MAH70" s="609"/>
      <c r="MAI70" s="609"/>
      <c r="MAJ70" s="609"/>
      <c r="MAK70" s="609"/>
      <c r="MAL70" s="609"/>
      <c r="MAM70" s="609"/>
      <c r="MAN70" s="609"/>
      <c r="MAO70" s="609"/>
      <c r="MAP70" s="609"/>
      <c r="MAQ70" s="609"/>
      <c r="MAR70" s="609"/>
      <c r="MAS70" s="609"/>
      <c r="MAT70" s="609"/>
      <c r="MAU70" s="609"/>
      <c r="MAV70" s="609"/>
      <c r="MAW70" s="609"/>
      <c r="MAX70" s="609"/>
      <c r="MAY70" s="609"/>
      <c r="MAZ70" s="609"/>
      <c r="MBA70" s="609"/>
      <c r="MBB70" s="609"/>
      <c r="MBC70" s="609"/>
      <c r="MBD70" s="609"/>
      <c r="MBE70" s="609"/>
      <c r="MBF70" s="609"/>
      <c r="MBG70" s="609"/>
      <c r="MBH70" s="609"/>
      <c r="MBI70" s="609"/>
      <c r="MBJ70" s="609"/>
      <c r="MBK70" s="609"/>
      <c r="MBL70" s="609"/>
      <c r="MBM70" s="609"/>
      <c r="MBN70" s="609"/>
      <c r="MBO70" s="609"/>
      <c r="MBP70" s="609"/>
      <c r="MBQ70" s="609"/>
      <c r="MBR70" s="609"/>
      <c r="MBS70" s="609"/>
      <c r="MBT70" s="609"/>
      <c r="MBU70" s="609"/>
      <c r="MBV70" s="609"/>
      <c r="MBW70" s="609"/>
      <c r="MBX70" s="609"/>
      <c r="MBY70" s="609"/>
      <c r="MBZ70" s="609"/>
      <c r="MCA70" s="609"/>
      <c r="MCB70" s="609"/>
      <c r="MCC70" s="609"/>
      <c r="MCD70" s="609"/>
      <c r="MCE70" s="609"/>
      <c r="MCF70" s="609"/>
      <c r="MCG70" s="609"/>
      <c r="MCH70" s="609"/>
      <c r="MCI70" s="609"/>
      <c r="MCJ70" s="609"/>
      <c r="MCK70" s="609"/>
      <c r="MCL70" s="609"/>
      <c r="MCM70" s="609"/>
      <c r="MCN70" s="609"/>
      <c r="MCO70" s="609"/>
      <c r="MCP70" s="609"/>
      <c r="MCQ70" s="609"/>
      <c r="MCR70" s="609"/>
      <c r="MCS70" s="609"/>
      <c r="MCT70" s="609"/>
      <c r="MCU70" s="609"/>
      <c r="MCV70" s="609"/>
      <c r="MCW70" s="609"/>
      <c r="MCX70" s="609"/>
      <c r="MCY70" s="609"/>
      <c r="MCZ70" s="609"/>
      <c r="MDA70" s="609"/>
      <c r="MDB70" s="609"/>
      <c r="MDC70" s="609"/>
      <c r="MDD70" s="609"/>
      <c r="MDE70" s="609"/>
      <c r="MDF70" s="609"/>
      <c r="MDG70" s="609"/>
      <c r="MDH70" s="609"/>
      <c r="MDI70" s="609"/>
      <c r="MDJ70" s="609"/>
      <c r="MDK70" s="609"/>
      <c r="MDL70" s="609"/>
      <c r="MDM70" s="609"/>
      <c r="MDN70" s="609"/>
      <c r="MDO70" s="609"/>
      <c r="MDP70" s="609"/>
      <c r="MDQ70" s="609"/>
      <c r="MDR70" s="609"/>
      <c r="MDS70" s="609"/>
      <c r="MDT70" s="609"/>
      <c r="MDU70" s="609"/>
      <c r="MDV70" s="609"/>
      <c r="MDW70" s="609"/>
      <c r="MDX70" s="609"/>
      <c r="MDY70" s="609"/>
      <c r="MDZ70" s="609"/>
      <c r="MEA70" s="609"/>
      <c r="MEB70" s="609"/>
      <c r="MEC70" s="609"/>
      <c r="MED70" s="609"/>
      <c r="MEE70" s="609"/>
      <c r="MEF70" s="609"/>
      <c r="MEG70" s="609"/>
      <c r="MEH70" s="609"/>
      <c r="MEI70" s="609"/>
      <c r="MEJ70" s="609"/>
      <c r="MEK70" s="609"/>
      <c r="MEL70" s="609"/>
      <c r="MEM70" s="609"/>
      <c r="MEN70" s="609"/>
      <c r="MEO70" s="609"/>
      <c r="MEP70" s="609"/>
      <c r="MEQ70" s="609"/>
      <c r="MER70" s="609"/>
      <c r="MES70" s="609"/>
      <c r="MET70" s="609"/>
      <c r="MEU70" s="609"/>
      <c r="MEV70" s="609"/>
      <c r="MEW70" s="609"/>
      <c r="MEX70" s="609"/>
      <c r="MEY70" s="609"/>
      <c r="MEZ70" s="609"/>
      <c r="MFA70" s="609"/>
      <c r="MFB70" s="609"/>
      <c r="MFC70" s="609"/>
      <c r="MFD70" s="609"/>
      <c r="MFE70" s="609"/>
      <c r="MFF70" s="609"/>
      <c r="MFG70" s="609"/>
      <c r="MFH70" s="609"/>
      <c r="MFI70" s="609"/>
      <c r="MFJ70" s="609"/>
      <c r="MFK70" s="609"/>
      <c r="MFL70" s="609"/>
      <c r="MFM70" s="609"/>
      <c r="MFN70" s="609"/>
      <c r="MFO70" s="609"/>
      <c r="MFP70" s="609"/>
      <c r="MFQ70" s="609"/>
      <c r="MFR70" s="609"/>
      <c r="MFS70" s="609"/>
      <c r="MFT70" s="609"/>
      <c r="MFU70" s="609"/>
      <c r="MFV70" s="609"/>
      <c r="MFW70" s="609"/>
      <c r="MFX70" s="609"/>
      <c r="MFY70" s="609"/>
      <c r="MFZ70" s="609"/>
      <c r="MGA70" s="609"/>
      <c r="MGB70" s="609"/>
      <c r="MGC70" s="609"/>
      <c r="MGD70" s="609"/>
      <c r="MGE70" s="609"/>
      <c r="MGF70" s="609"/>
      <c r="MGG70" s="609"/>
      <c r="MGH70" s="609"/>
      <c r="MGI70" s="609"/>
      <c r="MGJ70" s="609"/>
      <c r="MGK70" s="609"/>
      <c r="MGL70" s="609"/>
      <c r="MGM70" s="609"/>
      <c r="MGN70" s="609"/>
      <c r="MGO70" s="609"/>
      <c r="MGP70" s="609"/>
      <c r="MGQ70" s="609"/>
      <c r="MGR70" s="609"/>
      <c r="MGS70" s="609"/>
      <c r="MGT70" s="609"/>
      <c r="MGU70" s="609"/>
      <c r="MGV70" s="609"/>
      <c r="MGW70" s="609"/>
      <c r="MGX70" s="609"/>
      <c r="MGY70" s="609"/>
      <c r="MGZ70" s="609"/>
      <c r="MHA70" s="609"/>
      <c r="MHB70" s="609"/>
      <c r="MHC70" s="609"/>
      <c r="MHD70" s="609"/>
      <c r="MHE70" s="609"/>
      <c r="MHF70" s="609"/>
      <c r="MHG70" s="609"/>
      <c r="MHH70" s="609"/>
      <c r="MHI70" s="609"/>
      <c r="MHJ70" s="609"/>
      <c r="MHK70" s="609"/>
      <c r="MHL70" s="609"/>
      <c r="MHM70" s="609"/>
      <c r="MHN70" s="609"/>
      <c r="MHO70" s="609"/>
      <c r="MHP70" s="609"/>
      <c r="MHQ70" s="609"/>
      <c r="MHR70" s="609"/>
      <c r="MHS70" s="609"/>
      <c r="MHT70" s="609"/>
      <c r="MHU70" s="609"/>
      <c r="MHV70" s="609"/>
      <c r="MHW70" s="609"/>
      <c r="MHX70" s="609"/>
      <c r="MHY70" s="609"/>
      <c r="MHZ70" s="609"/>
      <c r="MIA70" s="609"/>
      <c r="MIB70" s="609"/>
      <c r="MIC70" s="609"/>
      <c r="MID70" s="609"/>
      <c r="MIE70" s="609"/>
      <c r="MIF70" s="609"/>
      <c r="MIG70" s="609"/>
      <c r="MIH70" s="609"/>
      <c r="MII70" s="609"/>
      <c r="MIJ70" s="609"/>
      <c r="MIK70" s="609"/>
      <c r="MIL70" s="609"/>
      <c r="MIM70" s="609"/>
      <c r="MIN70" s="609"/>
      <c r="MIO70" s="609"/>
      <c r="MIP70" s="609"/>
      <c r="MIQ70" s="609"/>
      <c r="MIR70" s="609"/>
      <c r="MIS70" s="609"/>
      <c r="MIT70" s="609"/>
      <c r="MIU70" s="609"/>
      <c r="MIV70" s="609"/>
      <c r="MIW70" s="609"/>
      <c r="MIX70" s="609"/>
      <c r="MIY70" s="609"/>
      <c r="MIZ70" s="609"/>
      <c r="MJA70" s="609"/>
      <c r="MJB70" s="609"/>
      <c r="MJC70" s="609"/>
      <c r="MJD70" s="609"/>
      <c r="MJE70" s="609"/>
      <c r="MJF70" s="609"/>
      <c r="MJG70" s="609"/>
      <c r="MJH70" s="609"/>
      <c r="MJI70" s="609"/>
      <c r="MJJ70" s="609"/>
      <c r="MJK70" s="609"/>
      <c r="MJL70" s="609"/>
      <c r="MJM70" s="609"/>
      <c r="MJN70" s="609"/>
      <c r="MJO70" s="609"/>
      <c r="MJP70" s="609"/>
      <c r="MJQ70" s="609"/>
      <c r="MJR70" s="609"/>
      <c r="MJS70" s="609"/>
      <c r="MJT70" s="609"/>
      <c r="MJU70" s="609"/>
      <c r="MJV70" s="609"/>
      <c r="MJW70" s="609"/>
      <c r="MJX70" s="609"/>
      <c r="MJY70" s="609"/>
      <c r="MJZ70" s="609"/>
      <c r="MKA70" s="609"/>
      <c r="MKB70" s="609"/>
      <c r="MKC70" s="609"/>
      <c r="MKD70" s="609"/>
      <c r="MKE70" s="609"/>
      <c r="MKF70" s="609"/>
      <c r="MKG70" s="609"/>
      <c r="MKH70" s="609"/>
      <c r="MKI70" s="609"/>
      <c r="MKJ70" s="609"/>
      <c r="MKK70" s="609"/>
      <c r="MKL70" s="609"/>
      <c r="MKM70" s="609"/>
      <c r="MKN70" s="609"/>
      <c r="MKO70" s="609"/>
      <c r="MKP70" s="609"/>
      <c r="MKQ70" s="609"/>
      <c r="MKR70" s="609"/>
      <c r="MKS70" s="609"/>
      <c r="MKT70" s="609"/>
      <c r="MKU70" s="609"/>
      <c r="MKV70" s="609"/>
      <c r="MKW70" s="609"/>
      <c r="MKX70" s="609"/>
      <c r="MKY70" s="609"/>
      <c r="MKZ70" s="609"/>
      <c r="MLA70" s="609"/>
      <c r="MLB70" s="609"/>
      <c r="MLC70" s="609"/>
      <c r="MLD70" s="609"/>
      <c r="MLE70" s="609"/>
      <c r="MLF70" s="609"/>
      <c r="MLG70" s="609"/>
      <c r="MLH70" s="609"/>
      <c r="MLI70" s="609"/>
      <c r="MLJ70" s="609"/>
      <c r="MLK70" s="609"/>
      <c r="MLL70" s="609"/>
      <c r="MLM70" s="609"/>
      <c r="MLN70" s="609"/>
      <c r="MLO70" s="609"/>
      <c r="MLP70" s="609"/>
      <c r="MLQ70" s="609"/>
      <c r="MLR70" s="609"/>
      <c r="MLS70" s="609"/>
      <c r="MLT70" s="609"/>
      <c r="MLU70" s="609"/>
      <c r="MLV70" s="609"/>
      <c r="MLW70" s="609"/>
      <c r="MLX70" s="609"/>
      <c r="MLY70" s="609"/>
      <c r="MLZ70" s="609"/>
      <c r="MMA70" s="609"/>
      <c r="MMB70" s="609"/>
      <c r="MMC70" s="609"/>
      <c r="MMD70" s="609"/>
      <c r="MME70" s="609"/>
      <c r="MMF70" s="609"/>
      <c r="MMG70" s="609"/>
      <c r="MMH70" s="609"/>
      <c r="MMI70" s="609"/>
      <c r="MMJ70" s="609"/>
      <c r="MMK70" s="609"/>
      <c r="MML70" s="609"/>
      <c r="MMM70" s="609"/>
      <c r="MMN70" s="609"/>
      <c r="MMO70" s="609"/>
      <c r="MMP70" s="609"/>
      <c r="MMQ70" s="609"/>
      <c r="MMR70" s="609"/>
      <c r="MMS70" s="609"/>
      <c r="MMT70" s="609"/>
      <c r="MMU70" s="609"/>
      <c r="MMV70" s="609"/>
      <c r="MMW70" s="609"/>
      <c r="MMX70" s="609"/>
      <c r="MMY70" s="609"/>
      <c r="MMZ70" s="609"/>
      <c r="MNA70" s="609"/>
      <c r="MNB70" s="609"/>
      <c r="MNC70" s="609"/>
      <c r="MND70" s="609"/>
      <c r="MNE70" s="609"/>
      <c r="MNF70" s="609"/>
      <c r="MNG70" s="609"/>
      <c r="MNH70" s="609"/>
      <c r="MNI70" s="609"/>
      <c r="MNJ70" s="609"/>
      <c r="MNK70" s="609"/>
      <c r="MNL70" s="609"/>
      <c r="MNM70" s="609"/>
      <c r="MNN70" s="609"/>
      <c r="MNO70" s="609"/>
      <c r="MNP70" s="609"/>
      <c r="MNQ70" s="609"/>
      <c r="MNR70" s="609"/>
      <c r="MNS70" s="609"/>
      <c r="MNT70" s="609"/>
      <c r="MNU70" s="609"/>
      <c r="MNV70" s="609"/>
      <c r="MNW70" s="609"/>
      <c r="MNX70" s="609"/>
      <c r="MNY70" s="609"/>
      <c r="MNZ70" s="609"/>
      <c r="MOA70" s="609"/>
      <c r="MOB70" s="609"/>
      <c r="MOC70" s="609"/>
      <c r="MOD70" s="609"/>
      <c r="MOE70" s="609"/>
      <c r="MOF70" s="609"/>
      <c r="MOG70" s="609"/>
      <c r="MOH70" s="609"/>
      <c r="MOI70" s="609"/>
      <c r="MOJ70" s="609"/>
      <c r="MOK70" s="609"/>
      <c r="MOL70" s="609"/>
      <c r="MOM70" s="609"/>
      <c r="MON70" s="609"/>
      <c r="MOO70" s="609"/>
      <c r="MOP70" s="609"/>
      <c r="MOQ70" s="609"/>
      <c r="MOR70" s="609"/>
      <c r="MOS70" s="609"/>
      <c r="MOT70" s="609"/>
      <c r="MOU70" s="609"/>
      <c r="MOV70" s="609"/>
      <c r="MOW70" s="609"/>
      <c r="MOX70" s="609"/>
      <c r="MOY70" s="609"/>
      <c r="MOZ70" s="609"/>
      <c r="MPA70" s="609"/>
      <c r="MPB70" s="609"/>
      <c r="MPC70" s="609"/>
      <c r="MPD70" s="609"/>
      <c r="MPE70" s="609"/>
      <c r="MPF70" s="609"/>
      <c r="MPG70" s="609"/>
      <c r="MPH70" s="609"/>
      <c r="MPI70" s="609"/>
      <c r="MPJ70" s="609"/>
      <c r="MPK70" s="609"/>
      <c r="MPL70" s="609"/>
      <c r="MPM70" s="609"/>
      <c r="MPN70" s="609"/>
      <c r="MPO70" s="609"/>
      <c r="MPP70" s="609"/>
      <c r="MPQ70" s="609"/>
      <c r="MPR70" s="609"/>
      <c r="MPS70" s="609"/>
      <c r="MPT70" s="609"/>
      <c r="MPU70" s="609"/>
      <c r="MPV70" s="609"/>
      <c r="MPW70" s="609"/>
      <c r="MPX70" s="609"/>
      <c r="MPY70" s="609"/>
      <c r="MPZ70" s="609"/>
      <c r="MQA70" s="609"/>
      <c r="MQB70" s="609"/>
      <c r="MQC70" s="609"/>
      <c r="MQD70" s="609"/>
      <c r="MQE70" s="609"/>
      <c r="MQF70" s="609"/>
      <c r="MQG70" s="609"/>
      <c r="MQH70" s="609"/>
      <c r="MQI70" s="609"/>
      <c r="MQJ70" s="609"/>
      <c r="MQK70" s="609"/>
      <c r="MQL70" s="609"/>
      <c r="MQM70" s="609"/>
      <c r="MQN70" s="609"/>
      <c r="MQO70" s="609"/>
      <c r="MQP70" s="609"/>
      <c r="MQQ70" s="609"/>
      <c r="MQR70" s="609"/>
      <c r="MQS70" s="609"/>
      <c r="MQT70" s="609"/>
      <c r="MQU70" s="609"/>
      <c r="MQV70" s="609"/>
      <c r="MQW70" s="609"/>
      <c r="MQX70" s="609"/>
      <c r="MQY70" s="609"/>
      <c r="MQZ70" s="609"/>
      <c r="MRA70" s="609"/>
      <c r="MRB70" s="609"/>
      <c r="MRC70" s="609"/>
      <c r="MRD70" s="609"/>
      <c r="MRE70" s="609"/>
      <c r="MRF70" s="609"/>
      <c r="MRG70" s="609"/>
      <c r="MRH70" s="609"/>
      <c r="MRI70" s="609"/>
      <c r="MRJ70" s="609"/>
      <c r="MRK70" s="609"/>
      <c r="MRL70" s="609"/>
      <c r="MRM70" s="609"/>
      <c r="MRN70" s="609"/>
      <c r="MRO70" s="609"/>
      <c r="MRP70" s="609"/>
      <c r="MRQ70" s="609"/>
      <c r="MRR70" s="609"/>
      <c r="MRS70" s="609"/>
      <c r="MRT70" s="609"/>
      <c r="MRU70" s="609"/>
      <c r="MRV70" s="609"/>
      <c r="MRW70" s="609"/>
      <c r="MRX70" s="609"/>
      <c r="MRY70" s="609"/>
      <c r="MRZ70" s="609"/>
      <c r="MSA70" s="609"/>
      <c r="MSB70" s="609"/>
      <c r="MSC70" s="609"/>
      <c r="MSD70" s="609"/>
      <c r="MSE70" s="609"/>
      <c r="MSF70" s="609"/>
      <c r="MSG70" s="609"/>
      <c r="MSH70" s="609"/>
      <c r="MSI70" s="609"/>
      <c r="MSJ70" s="609"/>
      <c r="MSK70" s="609"/>
      <c r="MSL70" s="609"/>
      <c r="MSM70" s="609"/>
      <c r="MSN70" s="609"/>
      <c r="MSO70" s="609"/>
      <c r="MSP70" s="609"/>
      <c r="MSQ70" s="609"/>
      <c r="MSR70" s="609"/>
      <c r="MSS70" s="609"/>
      <c r="MST70" s="609"/>
      <c r="MSU70" s="609"/>
      <c r="MSV70" s="609"/>
      <c r="MSW70" s="609"/>
      <c r="MSX70" s="609"/>
      <c r="MSY70" s="609"/>
      <c r="MSZ70" s="609"/>
      <c r="MTA70" s="609"/>
      <c r="MTB70" s="609"/>
      <c r="MTC70" s="609"/>
      <c r="MTD70" s="609"/>
      <c r="MTE70" s="609"/>
      <c r="MTF70" s="609"/>
      <c r="MTG70" s="609"/>
      <c r="MTH70" s="609"/>
      <c r="MTI70" s="609"/>
      <c r="MTJ70" s="609"/>
      <c r="MTK70" s="609"/>
      <c r="MTL70" s="609"/>
      <c r="MTM70" s="609"/>
      <c r="MTN70" s="609"/>
      <c r="MTO70" s="609"/>
      <c r="MTP70" s="609"/>
      <c r="MTQ70" s="609"/>
      <c r="MTR70" s="609"/>
      <c r="MTS70" s="609"/>
      <c r="MTT70" s="609"/>
      <c r="MTU70" s="609"/>
      <c r="MTV70" s="609"/>
      <c r="MTW70" s="609"/>
      <c r="MTX70" s="609"/>
      <c r="MTY70" s="609"/>
      <c r="MTZ70" s="609"/>
      <c r="MUA70" s="609"/>
      <c r="MUB70" s="609"/>
      <c r="MUC70" s="609"/>
      <c r="MUD70" s="609"/>
      <c r="MUE70" s="609"/>
      <c r="MUF70" s="609"/>
      <c r="MUG70" s="609"/>
      <c r="MUH70" s="609"/>
      <c r="MUI70" s="609"/>
      <c r="MUJ70" s="609"/>
      <c r="MUK70" s="609"/>
      <c r="MUL70" s="609"/>
      <c r="MUM70" s="609"/>
      <c r="MUN70" s="609"/>
      <c r="MUO70" s="609"/>
      <c r="MUP70" s="609"/>
      <c r="MUQ70" s="609"/>
      <c r="MUR70" s="609"/>
      <c r="MUS70" s="609"/>
      <c r="MUT70" s="609"/>
      <c r="MUU70" s="609"/>
      <c r="MUV70" s="609"/>
      <c r="MUW70" s="609"/>
      <c r="MUX70" s="609"/>
      <c r="MUY70" s="609"/>
      <c r="MUZ70" s="609"/>
      <c r="MVA70" s="609"/>
      <c r="MVB70" s="609"/>
      <c r="MVC70" s="609"/>
      <c r="MVD70" s="609"/>
      <c r="MVE70" s="609"/>
      <c r="MVF70" s="609"/>
      <c r="MVG70" s="609"/>
      <c r="MVH70" s="609"/>
      <c r="MVI70" s="609"/>
      <c r="MVJ70" s="609"/>
      <c r="MVK70" s="609"/>
      <c r="MVL70" s="609"/>
      <c r="MVM70" s="609"/>
      <c r="MVN70" s="609"/>
      <c r="MVO70" s="609"/>
      <c r="MVP70" s="609"/>
      <c r="MVQ70" s="609"/>
      <c r="MVR70" s="609"/>
      <c r="MVS70" s="609"/>
      <c r="MVT70" s="609"/>
      <c r="MVU70" s="609"/>
      <c r="MVV70" s="609"/>
      <c r="MVW70" s="609"/>
      <c r="MVX70" s="609"/>
      <c r="MVY70" s="609"/>
      <c r="MVZ70" s="609"/>
      <c r="MWA70" s="609"/>
      <c r="MWB70" s="609"/>
      <c r="MWC70" s="609"/>
      <c r="MWD70" s="609"/>
      <c r="MWE70" s="609"/>
      <c r="MWF70" s="609"/>
      <c r="MWG70" s="609"/>
      <c r="MWH70" s="609"/>
      <c r="MWI70" s="609"/>
      <c r="MWJ70" s="609"/>
      <c r="MWK70" s="609"/>
      <c r="MWL70" s="609"/>
      <c r="MWM70" s="609"/>
      <c r="MWN70" s="609"/>
      <c r="MWO70" s="609"/>
      <c r="MWP70" s="609"/>
      <c r="MWQ70" s="609"/>
      <c r="MWR70" s="609"/>
      <c r="MWS70" s="609"/>
      <c r="MWT70" s="609"/>
      <c r="MWU70" s="609"/>
      <c r="MWV70" s="609"/>
      <c r="MWW70" s="609"/>
      <c r="MWX70" s="609"/>
      <c r="MWY70" s="609"/>
      <c r="MWZ70" s="609"/>
      <c r="MXA70" s="609"/>
      <c r="MXB70" s="609"/>
      <c r="MXC70" s="609"/>
      <c r="MXD70" s="609"/>
      <c r="MXE70" s="609"/>
      <c r="MXF70" s="609"/>
      <c r="MXG70" s="609"/>
      <c r="MXH70" s="609"/>
      <c r="MXI70" s="609"/>
      <c r="MXJ70" s="609"/>
      <c r="MXK70" s="609"/>
      <c r="MXL70" s="609"/>
      <c r="MXM70" s="609"/>
      <c r="MXN70" s="609"/>
      <c r="MXO70" s="609"/>
      <c r="MXP70" s="609"/>
      <c r="MXQ70" s="609"/>
      <c r="MXR70" s="609"/>
      <c r="MXS70" s="609"/>
      <c r="MXT70" s="609"/>
      <c r="MXU70" s="609"/>
      <c r="MXV70" s="609"/>
      <c r="MXW70" s="609"/>
      <c r="MXX70" s="609"/>
      <c r="MXY70" s="609"/>
      <c r="MXZ70" s="609"/>
      <c r="MYA70" s="609"/>
      <c r="MYB70" s="609"/>
      <c r="MYC70" s="609"/>
      <c r="MYD70" s="609"/>
      <c r="MYE70" s="609"/>
      <c r="MYF70" s="609"/>
      <c r="MYG70" s="609"/>
      <c r="MYH70" s="609"/>
      <c r="MYI70" s="609"/>
      <c r="MYJ70" s="609"/>
      <c r="MYK70" s="609"/>
      <c r="MYL70" s="609"/>
      <c r="MYM70" s="609"/>
      <c r="MYN70" s="609"/>
      <c r="MYO70" s="609"/>
      <c r="MYP70" s="609"/>
      <c r="MYQ70" s="609"/>
      <c r="MYR70" s="609"/>
      <c r="MYS70" s="609"/>
      <c r="MYT70" s="609"/>
      <c r="MYU70" s="609"/>
      <c r="MYV70" s="609"/>
      <c r="MYW70" s="609"/>
      <c r="MYX70" s="609"/>
      <c r="MYY70" s="609"/>
      <c r="MYZ70" s="609"/>
      <c r="MZA70" s="609"/>
      <c r="MZB70" s="609"/>
      <c r="MZC70" s="609"/>
      <c r="MZD70" s="609"/>
      <c r="MZE70" s="609"/>
      <c r="MZF70" s="609"/>
      <c r="MZG70" s="609"/>
      <c r="MZH70" s="609"/>
      <c r="MZI70" s="609"/>
      <c r="MZJ70" s="609"/>
      <c r="MZK70" s="609"/>
      <c r="MZL70" s="609"/>
      <c r="MZM70" s="609"/>
      <c r="MZN70" s="609"/>
      <c r="MZO70" s="609"/>
      <c r="MZP70" s="609"/>
      <c r="MZQ70" s="609"/>
      <c r="MZR70" s="609"/>
      <c r="MZS70" s="609"/>
      <c r="MZT70" s="609"/>
      <c r="MZU70" s="609"/>
      <c r="MZV70" s="609"/>
      <c r="MZW70" s="609"/>
      <c r="MZX70" s="609"/>
      <c r="MZY70" s="609"/>
      <c r="MZZ70" s="609"/>
      <c r="NAA70" s="609"/>
      <c r="NAB70" s="609"/>
      <c r="NAC70" s="609"/>
      <c r="NAD70" s="609"/>
      <c r="NAE70" s="609"/>
      <c r="NAF70" s="609"/>
      <c r="NAG70" s="609"/>
      <c r="NAH70" s="609"/>
      <c r="NAI70" s="609"/>
      <c r="NAJ70" s="609"/>
      <c r="NAK70" s="609"/>
      <c r="NAL70" s="609"/>
      <c r="NAM70" s="609"/>
      <c r="NAN70" s="609"/>
      <c r="NAO70" s="609"/>
      <c r="NAP70" s="609"/>
      <c r="NAQ70" s="609"/>
      <c r="NAR70" s="609"/>
      <c r="NAS70" s="609"/>
      <c r="NAT70" s="609"/>
      <c r="NAU70" s="609"/>
      <c r="NAV70" s="609"/>
      <c r="NAW70" s="609"/>
      <c r="NAX70" s="609"/>
      <c r="NAY70" s="609"/>
      <c r="NAZ70" s="609"/>
      <c r="NBA70" s="609"/>
      <c r="NBB70" s="609"/>
      <c r="NBC70" s="609"/>
      <c r="NBD70" s="609"/>
      <c r="NBE70" s="609"/>
      <c r="NBF70" s="609"/>
      <c r="NBG70" s="609"/>
      <c r="NBH70" s="609"/>
      <c r="NBI70" s="609"/>
      <c r="NBJ70" s="609"/>
      <c r="NBK70" s="609"/>
      <c r="NBL70" s="609"/>
      <c r="NBM70" s="609"/>
      <c r="NBN70" s="609"/>
      <c r="NBO70" s="609"/>
      <c r="NBP70" s="609"/>
      <c r="NBQ70" s="609"/>
      <c r="NBR70" s="609"/>
      <c r="NBS70" s="609"/>
      <c r="NBT70" s="609"/>
      <c r="NBU70" s="609"/>
      <c r="NBV70" s="609"/>
      <c r="NBW70" s="609"/>
      <c r="NBX70" s="609"/>
      <c r="NBY70" s="609"/>
      <c r="NBZ70" s="609"/>
      <c r="NCA70" s="609"/>
      <c r="NCB70" s="609"/>
      <c r="NCC70" s="609"/>
      <c r="NCD70" s="609"/>
      <c r="NCE70" s="609"/>
      <c r="NCF70" s="609"/>
      <c r="NCG70" s="609"/>
      <c r="NCH70" s="609"/>
      <c r="NCI70" s="609"/>
      <c r="NCJ70" s="609"/>
      <c r="NCK70" s="609"/>
      <c r="NCL70" s="609"/>
      <c r="NCM70" s="609"/>
      <c r="NCN70" s="609"/>
      <c r="NCO70" s="609"/>
      <c r="NCP70" s="609"/>
      <c r="NCQ70" s="609"/>
      <c r="NCR70" s="609"/>
      <c r="NCS70" s="609"/>
      <c r="NCT70" s="609"/>
      <c r="NCU70" s="609"/>
      <c r="NCV70" s="609"/>
      <c r="NCW70" s="609"/>
      <c r="NCX70" s="609"/>
      <c r="NCY70" s="609"/>
      <c r="NCZ70" s="609"/>
      <c r="NDA70" s="609"/>
      <c r="NDB70" s="609"/>
      <c r="NDC70" s="609"/>
      <c r="NDD70" s="609"/>
      <c r="NDE70" s="609"/>
      <c r="NDF70" s="609"/>
      <c r="NDG70" s="609"/>
      <c r="NDH70" s="609"/>
      <c r="NDI70" s="609"/>
      <c r="NDJ70" s="609"/>
      <c r="NDK70" s="609"/>
      <c r="NDL70" s="609"/>
      <c r="NDM70" s="609"/>
      <c r="NDN70" s="609"/>
      <c r="NDO70" s="609"/>
      <c r="NDP70" s="609"/>
      <c r="NDQ70" s="609"/>
      <c r="NDR70" s="609"/>
      <c r="NDS70" s="609"/>
      <c r="NDT70" s="609"/>
      <c r="NDU70" s="609"/>
      <c r="NDV70" s="609"/>
      <c r="NDW70" s="609"/>
      <c r="NDX70" s="609"/>
      <c r="NDY70" s="609"/>
      <c r="NDZ70" s="609"/>
      <c r="NEA70" s="609"/>
      <c r="NEB70" s="609"/>
      <c r="NEC70" s="609"/>
      <c r="NED70" s="609"/>
      <c r="NEE70" s="609"/>
      <c r="NEF70" s="609"/>
      <c r="NEG70" s="609"/>
      <c r="NEH70" s="609"/>
      <c r="NEI70" s="609"/>
      <c r="NEJ70" s="609"/>
      <c r="NEK70" s="609"/>
      <c r="NEL70" s="609"/>
      <c r="NEM70" s="609"/>
      <c r="NEN70" s="609"/>
      <c r="NEO70" s="609"/>
      <c r="NEP70" s="609"/>
      <c r="NEQ70" s="609"/>
      <c r="NER70" s="609"/>
      <c r="NES70" s="609"/>
      <c r="NET70" s="609"/>
      <c r="NEU70" s="609"/>
      <c r="NEV70" s="609"/>
      <c r="NEW70" s="609"/>
      <c r="NEX70" s="609"/>
      <c r="NEY70" s="609"/>
      <c r="NEZ70" s="609"/>
      <c r="NFA70" s="609"/>
      <c r="NFB70" s="609"/>
      <c r="NFC70" s="609"/>
      <c r="NFD70" s="609"/>
      <c r="NFE70" s="609"/>
      <c r="NFF70" s="609"/>
      <c r="NFG70" s="609"/>
      <c r="NFH70" s="609"/>
      <c r="NFI70" s="609"/>
      <c r="NFJ70" s="609"/>
      <c r="NFK70" s="609"/>
      <c r="NFL70" s="609"/>
      <c r="NFM70" s="609"/>
      <c r="NFN70" s="609"/>
      <c r="NFO70" s="609"/>
      <c r="NFP70" s="609"/>
      <c r="NFQ70" s="609"/>
      <c r="NFR70" s="609"/>
      <c r="NFS70" s="609"/>
      <c r="NFT70" s="609"/>
      <c r="NFU70" s="609"/>
      <c r="NFV70" s="609"/>
      <c r="NFW70" s="609"/>
      <c r="NFX70" s="609"/>
      <c r="NFY70" s="609"/>
      <c r="NFZ70" s="609"/>
      <c r="NGA70" s="609"/>
      <c r="NGB70" s="609"/>
      <c r="NGC70" s="609"/>
      <c r="NGD70" s="609"/>
      <c r="NGE70" s="609"/>
      <c r="NGF70" s="609"/>
      <c r="NGG70" s="609"/>
      <c r="NGH70" s="609"/>
      <c r="NGI70" s="609"/>
      <c r="NGJ70" s="609"/>
      <c r="NGK70" s="609"/>
      <c r="NGL70" s="609"/>
      <c r="NGM70" s="609"/>
      <c r="NGN70" s="609"/>
      <c r="NGO70" s="609"/>
      <c r="NGP70" s="609"/>
      <c r="NGQ70" s="609"/>
      <c r="NGR70" s="609"/>
      <c r="NGS70" s="609"/>
      <c r="NGT70" s="609"/>
      <c r="NGU70" s="609"/>
      <c r="NGV70" s="609"/>
      <c r="NGW70" s="609"/>
      <c r="NGX70" s="609"/>
      <c r="NGY70" s="609"/>
      <c r="NGZ70" s="609"/>
      <c r="NHA70" s="609"/>
      <c r="NHB70" s="609"/>
      <c r="NHC70" s="609"/>
      <c r="NHD70" s="609"/>
      <c r="NHE70" s="609"/>
      <c r="NHF70" s="609"/>
      <c r="NHG70" s="609"/>
      <c r="NHH70" s="609"/>
      <c r="NHI70" s="609"/>
      <c r="NHJ70" s="609"/>
      <c r="NHK70" s="609"/>
      <c r="NHL70" s="609"/>
      <c r="NHM70" s="609"/>
      <c r="NHN70" s="609"/>
      <c r="NHO70" s="609"/>
      <c r="NHP70" s="609"/>
      <c r="NHQ70" s="609"/>
      <c r="NHR70" s="609"/>
      <c r="NHS70" s="609"/>
      <c r="NHT70" s="609"/>
      <c r="NHU70" s="609"/>
      <c r="NHV70" s="609"/>
      <c r="NHW70" s="609"/>
      <c r="NHX70" s="609"/>
      <c r="NHY70" s="609"/>
      <c r="NHZ70" s="609"/>
      <c r="NIA70" s="609"/>
      <c r="NIB70" s="609"/>
      <c r="NIC70" s="609"/>
      <c r="NID70" s="609"/>
      <c r="NIE70" s="609"/>
      <c r="NIF70" s="609"/>
      <c r="NIG70" s="609"/>
      <c r="NIH70" s="609"/>
      <c r="NII70" s="609"/>
      <c r="NIJ70" s="609"/>
      <c r="NIK70" s="609"/>
      <c r="NIL70" s="609"/>
      <c r="NIM70" s="609"/>
      <c r="NIN70" s="609"/>
      <c r="NIO70" s="609"/>
      <c r="NIP70" s="609"/>
      <c r="NIQ70" s="609"/>
      <c r="NIR70" s="609"/>
      <c r="NIS70" s="609"/>
      <c r="NIT70" s="609"/>
      <c r="NIU70" s="609"/>
      <c r="NIV70" s="609"/>
      <c r="NIW70" s="609"/>
      <c r="NIX70" s="609"/>
      <c r="NIY70" s="609"/>
      <c r="NIZ70" s="609"/>
      <c r="NJA70" s="609"/>
      <c r="NJB70" s="609"/>
      <c r="NJC70" s="609"/>
      <c r="NJD70" s="609"/>
      <c r="NJE70" s="609"/>
      <c r="NJF70" s="609"/>
      <c r="NJG70" s="609"/>
      <c r="NJH70" s="609"/>
      <c r="NJI70" s="609"/>
      <c r="NJJ70" s="609"/>
      <c r="NJK70" s="609"/>
      <c r="NJL70" s="609"/>
      <c r="NJM70" s="609"/>
      <c r="NJN70" s="609"/>
      <c r="NJO70" s="609"/>
      <c r="NJP70" s="609"/>
      <c r="NJQ70" s="609"/>
      <c r="NJR70" s="609"/>
      <c r="NJS70" s="609"/>
      <c r="NJT70" s="609"/>
      <c r="NJU70" s="609"/>
      <c r="NJV70" s="609"/>
      <c r="NJW70" s="609"/>
      <c r="NJX70" s="609"/>
      <c r="NJY70" s="609"/>
      <c r="NJZ70" s="609"/>
      <c r="NKA70" s="609"/>
      <c r="NKB70" s="609"/>
      <c r="NKC70" s="609"/>
      <c r="NKD70" s="609"/>
      <c r="NKE70" s="609"/>
      <c r="NKF70" s="609"/>
      <c r="NKG70" s="609"/>
      <c r="NKH70" s="609"/>
      <c r="NKI70" s="609"/>
      <c r="NKJ70" s="609"/>
      <c r="NKK70" s="609"/>
      <c r="NKL70" s="609"/>
      <c r="NKM70" s="609"/>
      <c r="NKN70" s="609"/>
      <c r="NKO70" s="609"/>
      <c r="NKP70" s="609"/>
      <c r="NKQ70" s="609"/>
      <c r="NKR70" s="609"/>
      <c r="NKS70" s="609"/>
      <c r="NKT70" s="609"/>
      <c r="NKU70" s="609"/>
      <c r="NKV70" s="609"/>
      <c r="NKW70" s="609"/>
      <c r="NKX70" s="609"/>
      <c r="NKY70" s="609"/>
      <c r="NKZ70" s="609"/>
      <c r="NLA70" s="609"/>
      <c r="NLB70" s="609"/>
      <c r="NLC70" s="609"/>
      <c r="NLD70" s="609"/>
      <c r="NLE70" s="609"/>
      <c r="NLF70" s="609"/>
      <c r="NLG70" s="609"/>
      <c r="NLH70" s="609"/>
      <c r="NLI70" s="609"/>
      <c r="NLJ70" s="609"/>
      <c r="NLK70" s="609"/>
      <c r="NLL70" s="609"/>
      <c r="NLM70" s="609"/>
      <c r="NLN70" s="609"/>
      <c r="NLO70" s="609"/>
      <c r="NLP70" s="609"/>
      <c r="NLQ70" s="609"/>
      <c r="NLR70" s="609"/>
      <c r="NLS70" s="609"/>
      <c r="NLT70" s="609"/>
      <c r="NLU70" s="609"/>
      <c r="NLV70" s="609"/>
      <c r="NLW70" s="609"/>
      <c r="NLX70" s="609"/>
      <c r="NLY70" s="609"/>
      <c r="NLZ70" s="609"/>
      <c r="NMA70" s="609"/>
      <c r="NMB70" s="609"/>
      <c r="NMC70" s="609"/>
      <c r="NMD70" s="609"/>
      <c r="NME70" s="609"/>
      <c r="NMF70" s="609"/>
      <c r="NMG70" s="609"/>
      <c r="NMH70" s="609"/>
      <c r="NMI70" s="609"/>
      <c r="NMJ70" s="609"/>
      <c r="NMK70" s="609"/>
      <c r="NML70" s="609"/>
      <c r="NMM70" s="609"/>
      <c r="NMN70" s="609"/>
      <c r="NMO70" s="609"/>
      <c r="NMP70" s="609"/>
      <c r="NMQ70" s="609"/>
      <c r="NMR70" s="609"/>
      <c r="NMS70" s="609"/>
      <c r="NMT70" s="609"/>
      <c r="NMU70" s="609"/>
      <c r="NMV70" s="609"/>
      <c r="NMW70" s="609"/>
      <c r="NMX70" s="609"/>
      <c r="NMY70" s="609"/>
      <c r="NMZ70" s="609"/>
      <c r="NNA70" s="609"/>
      <c r="NNB70" s="609"/>
      <c r="NNC70" s="609"/>
      <c r="NND70" s="609"/>
      <c r="NNE70" s="609"/>
      <c r="NNF70" s="609"/>
      <c r="NNG70" s="609"/>
      <c r="NNH70" s="609"/>
      <c r="NNI70" s="609"/>
      <c r="NNJ70" s="609"/>
      <c r="NNK70" s="609"/>
      <c r="NNL70" s="609"/>
      <c r="NNM70" s="609"/>
      <c r="NNN70" s="609"/>
      <c r="NNO70" s="609"/>
      <c r="NNP70" s="609"/>
      <c r="NNQ70" s="609"/>
      <c r="NNR70" s="609"/>
      <c r="NNS70" s="609"/>
      <c r="NNT70" s="609"/>
      <c r="NNU70" s="609"/>
      <c r="NNV70" s="609"/>
      <c r="NNW70" s="609"/>
      <c r="NNX70" s="609"/>
      <c r="NNY70" s="609"/>
      <c r="NNZ70" s="609"/>
      <c r="NOA70" s="609"/>
      <c r="NOB70" s="609"/>
      <c r="NOC70" s="609"/>
      <c r="NOD70" s="609"/>
      <c r="NOE70" s="609"/>
      <c r="NOF70" s="609"/>
      <c r="NOG70" s="609"/>
      <c r="NOH70" s="609"/>
      <c r="NOI70" s="609"/>
      <c r="NOJ70" s="609"/>
      <c r="NOK70" s="609"/>
      <c r="NOL70" s="609"/>
      <c r="NOM70" s="609"/>
      <c r="NON70" s="609"/>
      <c r="NOO70" s="609"/>
      <c r="NOP70" s="609"/>
      <c r="NOQ70" s="609"/>
      <c r="NOR70" s="609"/>
      <c r="NOS70" s="609"/>
      <c r="NOT70" s="609"/>
      <c r="NOU70" s="609"/>
      <c r="NOV70" s="609"/>
      <c r="NOW70" s="609"/>
      <c r="NOX70" s="609"/>
      <c r="NOY70" s="609"/>
      <c r="NOZ70" s="609"/>
      <c r="NPA70" s="609"/>
      <c r="NPB70" s="609"/>
      <c r="NPC70" s="609"/>
      <c r="NPD70" s="609"/>
      <c r="NPE70" s="609"/>
      <c r="NPF70" s="609"/>
      <c r="NPG70" s="609"/>
      <c r="NPH70" s="609"/>
      <c r="NPI70" s="609"/>
      <c r="NPJ70" s="609"/>
      <c r="NPK70" s="609"/>
      <c r="NPL70" s="609"/>
      <c r="NPM70" s="609"/>
      <c r="NPN70" s="609"/>
      <c r="NPO70" s="609"/>
      <c r="NPP70" s="609"/>
      <c r="NPQ70" s="609"/>
      <c r="NPR70" s="609"/>
      <c r="NPS70" s="609"/>
      <c r="NPT70" s="609"/>
      <c r="NPU70" s="609"/>
      <c r="NPV70" s="609"/>
      <c r="NPW70" s="609"/>
      <c r="NPX70" s="609"/>
      <c r="NPY70" s="609"/>
      <c r="NPZ70" s="609"/>
      <c r="NQA70" s="609"/>
      <c r="NQB70" s="609"/>
      <c r="NQC70" s="609"/>
      <c r="NQD70" s="609"/>
      <c r="NQE70" s="609"/>
      <c r="NQF70" s="609"/>
      <c r="NQG70" s="609"/>
      <c r="NQH70" s="609"/>
      <c r="NQI70" s="609"/>
      <c r="NQJ70" s="609"/>
      <c r="NQK70" s="609"/>
      <c r="NQL70" s="609"/>
      <c r="NQM70" s="609"/>
      <c r="NQN70" s="609"/>
      <c r="NQO70" s="609"/>
      <c r="NQP70" s="609"/>
      <c r="NQQ70" s="609"/>
      <c r="NQR70" s="609"/>
      <c r="NQS70" s="609"/>
      <c r="NQT70" s="609"/>
      <c r="NQU70" s="609"/>
      <c r="NQV70" s="609"/>
      <c r="NQW70" s="609"/>
      <c r="NQX70" s="609"/>
      <c r="NQY70" s="609"/>
      <c r="NQZ70" s="609"/>
      <c r="NRA70" s="609"/>
      <c r="NRB70" s="609"/>
      <c r="NRC70" s="609"/>
      <c r="NRD70" s="609"/>
      <c r="NRE70" s="609"/>
      <c r="NRF70" s="609"/>
      <c r="NRG70" s="609"/>
      <c r="NRH70" s="609"/>
      <c r="NRI70" s="609"/>
      <c r="NRJ70" s="609"/>
      <c r="NRK70" s="609"/>
      <c r="NRL70" s="609"/>
      <c r="NRM70" s="609"/>
      <c r="NRN70" s="609"/>
      <c r="NRO70" s="609"/>
      <c r="NRP70" s="609"/>
      <c r="NRQ70" s="609"/>
      <c r="NRR70" s="609"/>
      <c r="NRS70" s="609"/>
      <c r="NRT70" s="609"/>
      <c r="NRU70" s="609"/>
      <c r="NRV70" s="609"/>
      <c r="NRW70" s="609"/>
      <c r="NRX70" s="609"/>
      <c r="NRY70" s="609"/>
      <c r="NRZ70" s="609"/>
      <c r="NSA70" s="609"/>
      <c r="NSB70" s="609"/>
      <c r="NSC70" s="609"/>
      <c r="NSD70" s="609"/>
      <c r="NSE70" s="609"/>
      <c r="NSF70" s="609"/>
      <c r="NSG70" s="609"/>
      <c r="NSH70" s="609"/>
      <c r="NSI70" s="609"/>
      <c r="NSJ70" s="609"/>
      <c r="NSK70" s="609"/>
      <c r="NSL70" s="609"/>
      <c r="NSM70" s="609"/>
      <c r="NSN70" s="609"/>
      <c r="NSO70" s="609"/>
      <c r="NSP70" s="609"/>
      <c r="NSQ70" s="609"/>
      <c r="NSR70" s="609"/>
      <c r="NSS70" s="609"/>
      <c r="NST70" s="609"/>
      <c r="NSU70" s="609"/>
      <c r="NSV70" s="609"/>
      <c r="NSW70" s="609"/>
      <c r="NSX70" s="609"/>
      <c r="NSY70" s="609"/>
      <c r="NSZ70" s="609"/>
      <c r="NTA70" s="609"/>
      <c r="NTB70" s="609"/>
      <c r="NTC70" s="609"/>
      <c r="NTD70" s="609"/>
      <c r="NTE70" s="609"/>
      <c r="NTF70" s="609"/>
      <c r="NTG70" s="609"/>
      <c r="NTH70" s="609"/>
      <c r="NTI70" s="609"/>
      <c r="NTJ70" s="609"/>
      <c r="NTK70" s="609"/>
      <c r="NTL70" s="609"/>
      <c r="NTM70" s="609"/>
      <c r="NTN70" s="609"/>
      <c r="NTO70" s="609"/>
      <c r="NTP70" s="609"/>
      <c r="NTQ70" s="609"/>
      <c r="NTR70" s="609"/>
      <c r="NTS70" s="609"/>
      <c r="NTT70" s="609"/>
      <c r="NTU70" s="609"/>
      <c r="NTV70" s="609"/>
      <c r="NTW70" s="609"/>
      <c r="NTX70" s="609"/>
      <c r="NTY70" s="609"/>
      <c r="NTZ70" s="609"/>
      <c r="NUA70" s="609"/>
      <c r="NUB70" s="609"/>
      <c r="NUC70" s="609"/>
      <c r="NUD70" s="609"/>
      <c r="NUE70" s="609"/>
      <c r="NUF70" s="609"/>
      <c r="NUG70" s="609"/>
      <c r="NUH70" s="609"/>
      <c r="NUI70" s="609"/>
      <c r="NUJ70" s="609"/>
      <c r="NUK70" s="609"/>
      <c r="NUL70" s="609"/>
      <c r="NUM70" s="609"/>
      <c r="NUN70" s="609"/>
      <c r="NUO70" s="609"/>
      <c r="NUP70" s="609"/>
      <c r="NUQ70" s="609"/>
      <c r="NUR70" s="609"/>
      <c r="NUS70" s="609"/>
      <c r="NUT70" s="609"/>
      <c r="NUU70" s="609"/>
      <c r="NUV70" s="609"/>
      <c r="NUW70" s="609"/>
      <c r="NUX70" s="609"/>
      <c r="NUY70" s="609"/>
      <c r="NUZ70" s="609"/>
      <c r="NVA70" s="609"/>
      <c r="NVB70" s="609"/>
      <c r="NVC70" s="609"/>
      <c r="NVD70" s="609"/>
      <c r="NVE70" s="609"/>
      <c r="NVF70" s="609"/>
      <c r="NVG70" s="609"/>
      <c r="NVH70" s="609"/>
      <c r="NVI70" s="609"/>
      <c r="NVJ70" s="609"/>
      <c r="NVK70" s="609"/>
      <c r="NVL70" s="609"/>
      <c r="NVM70" s="609"/>
      <c r="NVN70" s="609"/>
      <c r="NVO70" s="609"/>
      <c r="NVP70" s="609"/>
      <c r="NVQ70" s="609"/>
      <c r="NVR70" s="609"/>
      <c r="NVS70" s="609"/>
      <c r="NVT70" s="609"/>
      <c r="NVU70" s="609"/>
      <c r="NVV70" s="609"/>
      <c r="NVW70" s="609"/>
      <c r="NVX70" s="609"/>
      <c r="NVY70" s="609"/>
      <c r="NVZ70" s="609"/>
      <c r="NWA70" s="609"/>
      <c r="NWB70" s="609"/>
      <c r="NWC70" s="609"/>
      <c r="NWD70" s="609"/>
      <c r="NWE70" s="609"/>
      <c r="NWF70" s="609"/>
      <c r="NWG70" s="609"/>
      <c r="NWH70" s="609"/>
      <c r="NWI70" s="609"/>
      <c r="NWJ70" s="609"/>
      <c r="NWK70" s="609"/>
      <c r="NWL70" s="609"/>
      <c r="NWM70" s="609"/>
      <c r="NWN70" s="609"/>
      <c r="NWO70" s="609"/>
      <c r="NWP70" s="609"/>
      <c r="NWQ70" s="609"/>
      <c r="NWR70" s="609"/>
      <c r="NWS70" s="609"/>
      <c r="NWT70" s="609"/>
      <c r="NWU70" s="609"/>
      <c r="NWV70" s="609"/>
      <c r="NWW70" s="609"/>
      <c r="NWX70" s="609"/>
      <c r="NWY70" s="609"/>
      <c r="NWZ70" s="609"/>
      <c r="NXA70" s="609"/>
      <c r="NXB70" s="609"/>
      <c r="NXC70" s="609"/>
      <c r="NXD70" s="609"/>
      <c r="NXE70" s="609"/>
      <c r="NXF70" s="609"/>
      <c r="NXG70" s="609"/>
      <c r="NXH70" s="609"/>
      <c r="NXI70" s="609"/>
      <c r="NXJ70" s="609"/>
      <c r="NXK70" s="609"/>
      <c r="NXL70" s="609"/>
      <c r="NXM70" s="609"/>
      <c r="NXN70" s="609"/>
      <c r="NXO70" s="609"/>
      <c r="NXP70" s="609"/>
      <c r="NXQ70" s="609"/>
      <c r="NXR70" s="609"/>
      <c r="NXS70" s="609"/>
      <c r="NXT70" s="609"/>
      <c r="NXU70" s="609"/>
      <c r="NXV70" s="609"/>
      <c r="NXW70" s="609"/>
      <c r="NXX70" s="609"/>
      <c r="NXY70" s="609"/>
      <c r="NXZ70" s="609"/>
      <c r="NYA70" s="609"/>
      <c r="NYB70" s="609"/>
      <c r="NYC70" s="609"/>
      <c r="NYD70" s="609"/>
      <c r="NYE70" s="609"/>
      <c r="NYF70" s="609"/>
      <c r="NYG70" s="609"/>
      <c r="NYH70" s="609"/>
      <c r="NYI70" s="609"/>
      <c r="NYJ70" s="609"/>
      <c r="NYK70" s="609"/>
      <c r="NYL70" s="609"/>
      <c r="NYM70" s="609"/>
      <c r="NYN70" s="609"/>
      <c r="NYO70" s="609"/>
      <c r="NYP70" s="609"/>
      <c r="NYQ70" s="609"/>
      <c r="NYR70" s="609"/>
      <c r="NYS70" s="609"/>
      <c r="NYT70" s="609"/>
      <c r="NYU70" s="609"/>
      <c r="NYV70" s="609"/>
      <c r="NYW70" s="609"/>
      <c r="NYX70" s="609"/>
      <c r="NYY70" s="609"/>
      <c r="NYZ70" s="609"/>
      <c r="NZA70" s="609"/>
      <c r="NZB70" s="609"/>
      <c r="NZC70" s="609"/>
      <c r="NZD70" s="609"/>
      <c r="NZE70" s="609"/>
      <c r="NZF70" s="609"/>
      <c r="NZG70" s="609"/>
      <c r="NZH70" s="609"/>
      <c r="NZI70" s="609"/>
      <c r="NZJ70" s="609"/>
      <c r="NZK70" s="609"/>
      <c r="NZL70" s="609"/>
      <c r="NZM70" s="609"/>
      <c r="NZN70" s="609"/>
      <c r="NZO70" s="609"/>
      <c r="NZP70" s="609"/>
      <c r="NZQ70" s="609"/>
      <c r="NZR70" s="609"/>
      <c r="NZS70" s="609"/>
      <c r="NZT70" s="609"/>
      <c r="NZU70" s="609"/>
      <c r="NZV70" s="609"/>
      <c r="NZW70" s="609"/>
      <c r="NZX70" s="609"/>
      <c r="NZY70" s="609"/>
      <c r="NZZ70" s="609"/>
      <c r="OAA70" s="609"/>
      <c r="OAB70" s="609"/>
      <c r="OAC70" s="609"/>
      <c r="OAD70" s="609"/>
      <c r="OAE70" s="609"/>
      <c r="OAF70" s="609"/>
      <c r="OAG70" s="609"/>
      <c r="OAH70" s="609"/>
      <c r="OAI70" s="609"/>
      <c r="OAJ70" s="609"/>
      <c r="OAK70" s="609"/>
      <c r="OAL70" s="609"/>
      <c r="OAM70" s="609"/>
      <c r="OAN70" s="609"/>
      <c r="OAO70" s="609"/>
      <c r="OAP70" s="609"/>
      <c r="OAQ70" s="609"/>
      <c r="OAR70" s="609"/>
      <c r="OAS70" s="609"/>
      <c r="OAT70" s="609"/>
      <c r="OAU70" s="609"/>
      <c r="OAV70" s="609"/>
      <c r="OAW70" s="609"/>
      <c r="OAX70" s="609"/>
      <c r="OAY70" s="609"/>
      <c r="OAZ70" s="609"/>
      <c r="OBA70" s="609"/>
      <c r="OBB70" s="609"/>
      <c r="OBC70" s="609"/>
      <c r="OBD70" s="609"/>
      <c r="OBE70" s="609"/>
      <c r="OBF70" s="609"/>
      <c r="OBG70" s="609"/>
      <c r="OBH70" s="609"/>
      <c r="OBI70" s="609"/>
      <c r="OBJ70" s="609"/>
      <c r="OBK70" s="609"/>
      <c r="OBL70" s="609"/>
      <c r="OBM70" s="609"/>
      <c r="OBN70" s="609"/>
      <c r="OBO70" s="609"/>
      <c r="OBP70" s="609"/>
      <c r="OBQ70" s="609"/>
      <c r="OBR70" s="609"/>
      <c r="OBS70" s="609"/>
      <c r="OBT70" s="609"/>
      <c r="OBU70" s="609"/>
      <c r="OBV70" s="609"/>
      <c r="OBW70" s="609"/>
      <c r="OBX70" s="609"/>
      <c r="OBY70" s="609"/>
      <c r="OBZ70" s="609"/>
      <c r="OCA70" s="609"/>
      <c r="OCB70" s="609"/>
      <c r="OCC70" s="609"/>
      <c r="OCD70" s="609"/>
      <c r="OCE70" s="609"/>
      <c r="OCF70" s="609"/>
      <c r="OCG70" s="609"/>
      <c r="OCH70" s="609"/>
      <c r="OCI70" s="609"/>
      <c r="OCJ70" s="609"/>
      <c r="OCK70" s="609"/>
      <c r="OCL70" s="609"/>
      <c r="OCM70" s="609"/>
      <c r="OCN70" s="609"/>
      <c r="OCO70" s="609"/>
      <c r="OCP70" s="609"/>
      <c r="OCQ70" s="609"/>
      <c r="OCR70" s="609"/>
      <c r="OCS70" s="609"/>
      <c r="OCT70" s="609"/>
      <c r="OCU70" s="609"/>
      <c r="OCV70" s="609"/>
      <c r="OCW70" s="609"/>
      <c r="OCX70" s="609"/>
      <c r="OCY70" s="609"/>
      <c r="OCZ70" s="609"/>
      <c r="ODA70" s="609"/>
      <c r="ODB70" s="609"/>
      <c r="ODC70" s="609"/>
      <c r="ODD70" s="609"/>
      <c r="ODE70" s="609"/>
      <c r="ODF70" s="609"/>
      <c r="ODG70" s="609"/>
      <c r="ODH70" s="609"/>
      <c r="ODI70" s="609"/>
      <c r="ODJ70" s="609"/>
      <c r="ODK70" s="609"/>
      <c r="ODL70" s="609"/>
      <c r="ODM70" s="609"/>
      <c r="ODN70" s="609"/>
      <c r="ODO70" s="609"/>
      <c r="ODP70" s="609"/>
      <c r="ODQ70" s="609"/>
      <c r="ODR70" s="609"/>
      <c r="ODS70" s="609"/>
      <c r="ODT70" s="609"/>
      <c r="ODU70" s="609"/>
      <c r="ODV70" s="609"/>
      <c r="ODW70" s="609"/>
      <c r="ODX70" s="609"/>
      <c r="ODY70" s="609"/>
      <c r="ODZ70" s="609"/>
      <c r="OEA70" s="609"/>
      <c r="OEB70" s="609"/>
      <c r="OEC70" s="609"/>
      <c r="OED70" s="609"/>
      <c r="OEE70" s="609"/>
      <c r="OEF70" s="609"/>
      <c r="OEG70" s="609"/>
      <c r="OEH70" s="609"/>
      <c r="OEI70" s="609"/>
      <c r="OEJ70" s="609"/>
      <c r="OEK70" s="609"/>
      <c r="OEL70" s="609"/>
      <c r="OEM70" s="609"/>
      <c r="OEN70" s="609"/>
      <c r="OEO70" s="609"/>
      <c r="OEP70" s="609"/>
      <c r="OEQ70" s="609"/>
      <c r="OER70" s="609"/>
      <c r="OES70" s="609"/>
      <c r="OET70" s="609"/>
      <c r="OEU70" s="609"/>
      <c r="OEV70" s="609"/>
      <c r="OEW70" s="609"/>
      <c r="OEX70" s="609"/>
      <c r="OEY70" s="609"/>
      <c r="OEZ70" s="609"/>
      <c r="OFA70" s="609"/>
      <c r="OFB70" s="609"/>
      <c r="OFC70" s="609"/>
      <c r="OFD70" s="609"/>
      <c r="OFE70" s="609"/>
      <c r="OFF70" s="609"/>
      <c r="OFG70" s="609"/>
      <c r="OFH70" s="609"/>
      <c r="OFI70" s="609"/>
      <c r="OFJ70" s="609"/>
      <c r="OFK70" s="609"/>
      <c r="OFL70" s="609"/>
      <c r="OFM70" s="609"/>
      <c r="OFN70" s="609"/>
      <c r="OFO70" s="609"/>
      <c r="OFP70" s="609"/>
      <c r="OFQ70" s="609"/>
      <c r="OFR70" s="609"/>
      <c r="OFS70" s="609"/>
      <c r="OFT70" s="609"/>
      <c r="OFU70" s="609"/>
      <c r="OFV70" s="609"/>
      <c r="OFW70" s="609"/>
      <c r="OFX70" s="609"/>
      <c r="OFY70" s="609"/>
      <c r="OFZ70" s="609"/>
      <c r="OGA70" s="609"/>
      <c r="OGB70" s="609"/>
      <c r="OGC70" s="609"/>
      <c r="OGD70" s="609"/>
      <c r="OGE70" s="609"/>
      <c r="OGF70" s="609"/>
      <c r="OGG70" s="609"/>
      <c r="OGH70" s="609"/>
      <c r="OGI70" s="609"/>
      <c r="OGJ70" s="609"/>
      <c r="OGK70" s="609"/>
      <c r="OGL70" s="609"/>
      <c r="OGM70" s="609"/>
      <c r="OGN70" s="609"/>
      <c r="OGO70" s="609"/>
      <c r="OGP70" s="609"/>
      <c r="OGQ70" s="609"/>
      <c r="OGR70" s="609"/>
      <c r="OGS70" s="609"/>
      <c r="OGT70" s="609"/>
      <c r="OGU70" s="609"/>
      <c r="OGV70" s="609"/>
      <c r="OGW70" s="609"/>
      <c r="OGX70" s="609"/>
      <c r="OGY70" s="609"/>
      <c r="OGZ70" s="609"/>
      <c r="OHA70" s="609"/>
      <c r="OHB70" s="609"/>
      <c r="OHC70" s="609"/>
      <c r="OHD70" s="609"/>
      <c r="OHE70" s="609"/>
      <c r="OHF70" s="609"/>
      <c r="OHG70" s="609"/>
      <c r="OHH70" s="609"/>
      <c r="OHI70" s="609"/>
      <c r="OHJ70" s="609"/>
      <c r="OHK70" s="609"/>
      <c r="OHL70" s="609"/>
      <c r="OHM70" s="609"/>
      <c r="OHN70" s="609"/>
      <c r="OHO70" s="609"/>
      <c r="OHP70" s="609"/>
      <c r="OHQ70" s="609"/>
      <c r="OHR70" s="609"/>
      <c r="OHS70" s="609"/>
      <c r="OHT70" s="609"/>
      <c r="OHU70" s="609"/>
      <c r="OHV70" s="609"/>
      <c r="OHW70" s="609"/>
      <c r="OHX70" s="609"/>
      <c r="OHY70" s="609"/>
      <c r="OHZ70" s="609"/>
      <c r="OIA70" s="609"/>
      <c r="OIB70" s="609"/>
      <c r="OIC70" s="609"/>
      <c r="OID70" s="609"/>
      <c r="OIE70" s="609"/>
      <c r="OIF70" s="609"/>
      <c r="OIG70" s="609"/>
      <c r="OIH70" s="609"/>
      <c r="OII70" s="609"/>
      <c r="OIJ70" s="609"/>
      <c r="OIK70" s="609"/>
      <c r="OIL70" s="609"/>
      <c r="OIM70" s="609"/>
      <c r="OIN70" s="609"/>
      <c r="OIO70" s="609"/>
      <c r="OIP70" s="609"/>
      <c r="OIQ70" s="609"/>
      <c r="OIR70" s="609"/>
      <c r="OIS70" s="609"/>
      <c r="OIT70" s="609"/>
      <c r="OIU70" s="609"/>
      <c r="OIV70" s="609"/>
      <c r="OIW70" s="609"/>
      <c r="OIX70" s="609"/>
      <c r="OIY70" s="609"/>
      <c r="OIZ70" s="609"/>
      <c r="OJA70" s="609"/>
      <c r="OJB70" s="609"/>
      <c r="OJC70" s="609"/>
      <c r="OJD70" s="609"/>
      <c r="OJE70" s="609"/>
      <c r="OJF70" s="609"/>
      <c r="OJG70" s="609"/>
      <c r="OJH70" s="609"/>
      <c r="OJI70" s="609"/>
      <c r="OJJ70" s="609"/>
      <c r="OJK70" s="609"/>
      <c r="OJL70" s="609"/>
      <c r="OJM70" s="609"/>
      <c r="OJN70" s="609"/>
      <c r="OJO70" s="609"/>
      <c r="OJP70" s="609"/>
      <c r="OJQ70" s="609"/>
      <c r="OJR70" s="609"/>
      <c r="OJS70" s="609"/>
      <c r="OJT70" s="609"/>
      <c r="OJU70" s="609"/>
      <c r="OJV70" s="609"/>
      <c r="OJW70" s="609"/>
      <c r="OJX70" s="609"/>
      <c r="OJY70" s="609"/>
      <c r="OJZ70" s="609"/>
      <c r="OKA70" s="609"/>
      <c r="OKB70" s="609"/>
      <c r="OKC70" s="609"/>
      <c r="OKD70" s="609"/>
      <c r="OKE70" s="609"/>
      <c r="OKF70" s="609"/>
      <c r="OKG70" s="609"/>
      <c r="OKH70" s="609"/>
      <c r="OKI70" s="609"/>
      <c r="OKJ70" s="609"/>
      <c r="OKK70" s="609"/>
      <c r="OKL70" s="609"/>
      <c r="OKM70" s="609"/>
      <c r="OKN70" s="609"/>
      <c r="OKO70" s="609"/>
      <c r="OKP70" s="609"/>
      <c r="OKQ70" s="609"/>
      <c r="OKR70" s="609"/>
      <c r="OKS70" s="609"/>
      <c r="OKT70" s="609"/>
      <c r="OKU70" s="609"/>
      <c r="OKV70" s="609"/>
      <c r="OKW70" s="609"/>
      <c r="OKX70" s="609"/>
      <c r="OKY70" s="609"/>
      <c r="OKZ70" s="609"/>
      <c r="OLA70" s="609"/>
      <c r="OLB70" s="609"/>
      <c r="OLC70" s="609"/>
      <c r="OLD70" s="609"/>
      <c r="OLE70" s="609"/>
      <c r="OLF70" s="609"/>
      <c r="OLG70" s="609"/>
      <c r="OLH70" s="609"/>
      <c r="OLI70" s="609"/>
      <c r="OLJ70" s="609"/>
      <c r="OLK70" s="609"/>
      <c r="OLL70" s="609"/>
      <c r="OLM70" s="609"/>
      <c r="OLN70" s="609"/>
      <c r="OLO70" s="609"/>
      <c r="OLP70" s="609"/>
      <c r="OLQ70" s="609"/>
      <c r="OLR70" s="609"/>
      <c r="OLS70" s="609"/>
      <c r="OLT70" s="609"/>
      <c r="OLU70" s="609"/>
      <c r="OLV70" s="609"/>
      <c r="OLW70" s="609"/>
      <c r="OLX70" s="609"/>
      <c r="OLY70" s="609"/>
      <c r="OLZ70" s="609"/>
      <c r="OMA70" s="609"/>
      <c r="OMB70" s="609"/>
      <c r="OMC70" s="609"/>
      <c r="OMD70" s="609"/>
      <c r="OME70" s="609"/>
      <c r="OMF70" s="609"/>
      <c r="OMG70" s="609"/>
      <c r="OMH70" s="609"/>
      <c r="OMI70" s="609"/>
      <c r="OMJ70" s="609"/>
      <c r="OMK70" s="609"/>
      <c r="OML70" s="609"/>
      <c r="OMM70" s="609"/>
      <c r="OMN70" s="609"/>
      <c r="OMO70" s="609"/>
      <c r="OMP70" s="609"/>
      <c r="OMQ70" s="609"/>
      <c r="OMR70" s="609"/>
      <c r="OMS70" s="609"/>
      <c r="OMT70" s="609"/>
      <c r="OMU70" s="609"/>
      <c r="OMV70" s="609"/>
      <c r="OMW70" s="609"/>
      <c r="OMX70" s="609"/>
      <c r="OMY70" s="609"/>
      <c r="OMZ70" s="609"/>
      <c r="ONA70" s="609"/>
      <c r="ONB70" s="609"/>
      <c r="ONC70" s="609"/>
      <c r="OND70" s="609"/>
      <c r="ONE70" s="609"/>
      <c r="ONF70" s="609"/>
      <c r="ONG70" s="609"/>
      <c r="ONH70" s="609"/>
      <c r="ONI70" s="609"/>
      <c r="ONJ70" s="609"/>
      <c r="ONK70" s="609"/>
      <c r="ONL70" s="609"/>
      <c r="ONM70" s="609"/>
      <c r="ONN70" s="609"/>
      <c r="ONO70" s="609"/>
      <c r="ONP70" s="609"/>
      <c r="ONQ70" s="609"/>
      <c r="ONR70" s="609"/>
      <c r="ONS70" s="609"/>
      <c r="ONT70" s="609"/>
      <c r="ONU70" s="609"/>
      <c r="ONV70" s="609"/>
      <c r="ONW70" s="609"/>
      <c r="ONX70" s="609"/>
      <c r="ONY70" s="609"/>
      <c r="ONZ70" s="609"/>
      <c r="OOA70" s="609"/>
      <c r="OOB70" s="609"/>
      <c r="OOC70" s="609"/>
      <c r="OOD70" s="609"/>
      <c r="OOE70" s="609"/>
      <c r="OOF70" s="609"/>
      <c r="OOG70" s="609"/>
      <c r="OOH70" s="609"/>
      <c r="OOI70" s="609"/>
      <c r="OOJ70" s="609"/>
      <c r="OOK70" s="609"/>
      <c r="OOL70" s="609"/>
      <c r="OOM70" s="609"/>
      <c r="OON70" s="609"/>
      <c r="OOO70" s="609"/>
      <c r="OOP70" s="609"/>
      <c r="OOQ70" s="609"/>
      <c r="OOR70" s="609"/>
      <c r="OOS70" s="609"/>
      <c r="OOT70" s="609"/>
      <c r="OOU70" s="609"/>
      <c r="OOV70" s="609"/>
      <c r="OOW70" s="609"/>
      <c r="OOX70" s="609"/>
      <c r="OOY70" s="609"/>
      <c r="OOZ70" s="609"/>
      <c r="OPA70" s="609"/>
      <c r="OPB70" s="609"/>
      <c r="OPC70" s="609"/>
      <c r="OPD70" s="609"/>
      <c r="OPE70" s="609"/>
      <c r="OPF70" s="609"/>
      <c r="OPG70" s="609"/>
      <c r="OPH70" s="609"/>
      <c r="OPI70" s="609"/>
      <c r="OPJ70" s="609"/>
      <c r="OPK70" s="609"/>
      <c r="OPL70" s="609"/>
      <c r="OPM70" s="609"/>
      <c r="OPN70" s="609"/>
      <c r="OPO70" s="609"/>
      <c r="OPP70" s="609"/>
      <c r="OPQ70" s="609"/>
      <c r="OPR70" s="609"/>
      <c r="OPS70" s="609"/>
      <c r="OPT70" s="609"/>
      <c r="OPU70" s="609"/>
      <c r="OPV70" s="609"/>
      <c r="OPW70" s="609"/>
      <c r="OPX70" s="609"/>
      <c r="OPY70" s="609"/>
      <c r="OPZ70" s="609"/>
      <c r="OQA70" s="609"/>
      <c r="OQB70" s="609"/>
      <c r="OQC70" s="609"/>
      <c r="OQD70" s="609"/>
      <c r="OQE70" s="609"/>
      <c r="OQF70" s="609"/>
      <c r="OQG70" s="609"/>
      <c r="OQH70" s="609"/>
      <c r="OQI70" s="609"/>
      <c r="OQJ70" s="609"/>
      <c r="OQK70" s="609"/>
      <c r="OQL70" s="609"/>
      <c r="OQM70" s="609"/>
      <c r="OQN70" s="609"/>
      <c r="OQO70" s="609"/>
      <c r="OQP70" s="609"/>
      <c r="OQQ70" s="609"/>
      <c r="OQR70" s="609"/>
      <c r="OQS70" s="609"/>
      <c r="OQT70" s="609"/>
      <c r="OQU70" s="609"/>
      <c r="OQV70" s="609"/>
      <c r="OQW70" s="609"/>
      <c r="OQX70" s="609"/>
      <c r="OQY70" s="609"/>
      <c r="OQZ70" s="609"/>
      <c r="ORA70" s="609"/>
      <c r="ORB70" s="609"/>
      <c r="ORC70" s="609"/>
      <c r="ORD70" s="609"/>
      <c r="ORE70" s="609"/>
      <c r="ORF70" s="609"/>
      <c r="ORG70" s="609"/>
      <c r="ORH70" s="609"/>
      <c r="ORI70" s="609"/>
      <c r="ORJ70" s="609"/>
      <c r="ORK70" s="609"/>
      <c r="ORL70" s="609"/>
      <c r="ORM70" s="609"/>
      <c r="ORN70" s="609"/>
      <c r="ORO70" s="609"/>
      <c r="ORP70" s="609"/>
      <c r="ORQ70" s="609"/>
      <c r="ORR70" s="609"/>
      <c r="ORS70" s="609"/>
      <c r="ORT70" s="609"/>
      <c r="ORU70" s="609"/>
      <c r="ORV70" s="609"/>
      <c r="ORW70" s="609"/>
      <c r="ORX70" s="609"/>
      <c r="ORY70" s="609"/>
      <c r="ORZ70" s="609"/>
      <c r="OSA70" s="609"/>
      <c r="OSB70" s="609"/>
      <c r="OSC70" s="609"/>
      <c r="OSD70" s="609"/>
      <c r="OSE70" s="609"/>
      <c r="OSF70" s="609"/>
      <c r="OSG70" s="609"/>
      <c r="OSH70" s="609"/>
      <c r="OSI70" s="609"/>
      <c r="OSJ70" s="609"/>
      <c r="OSK70" s="609"/>
      <c r="OSL70" s="609"/>
      <c r="OSM70" s="609"/>
      <c r="OSN70" s="609"/>
      <c r="OSO70" s="609"/>
      <c r="OSP70" s="609"/>
      <c r="OSQ70" s="609"/>
      <c r="OSR70" s="609"/>
      <c r="OSS70" s="609"/>
      <c r="OST70" s="609"/>
      <c r="OSU70" s="609"/>
      <c r="OSV70" s="609"/>
      <c r="OSW70" s="609"/>
      <c r="OSX70" s="609"/>
      <c r="OSY70" s="609"/>
      <c r="OSZ70" s="609"/>
      <c r="OTA70" s="609"/>
      <c r="OTB70" s="609"/>
      <c r="OTC70" s="609"/>
      <c r="OTD70" s="609"/>
      <c r="OTE70" s="609"/>
      <c r="OTF70" s="609"/>
      <c r="OTG70" s="609"/>
      <c r="OTH70" s="609"/>
      <c r="OTI70" s="609"/>
      <c r="OTJ70" s="609"/>
      <c r="OTK70" s="609"/>
      <c r="OTL70" s="609"/>
      <c r="OTM70" s="609"/>
      <c r="OTN70" s="609"/>
      <c r="OTO70" s="609"/>
      <c r="OTP70" s="609"/>
      <c r="OTQ70" s="609"/>
      <c r="OTR70" s="609"/>
      <c r="OTS70" s="609"/>
      <c r="OTT70" s="609"/>
      <c r="OTU70" s="609"/>
      <c r="OTV70" s="609"/>
      <c r="OTW70" s="609"/>
      <c r="OTX70" s="609"/>
      <c r="OTY70" s="609"/>
      <c r="OTZ70" s="609"/>
      <c r="OUA70" s="609"/>
      <c r="OUB70" s="609"/>
      <c r="OUC70" s="609"/>
      <c r="OUD70" s="609"/>
      <c r="OUE70" s="609"/>
      <c r="OUF70" s="609"/>
      <c r="OUG70" s="609"/>
      <c r="OUH70" s="609"/>
      <c r="OUI70" s="609"/>
      <c r="OUJ70" s="609"/>
      <c r="OUK70" s="609"/>
      <c r="OUL70" s="609"/>
      <c r="OUM70" s="609"/>
      <c r="OUN70" s="609"/>
      <c r="OUO70" s="609"/>
      <c r="OUP70" s="609"/>
      <c r="OUQ70" s="609"/>
      <c r="OUR70" s="609"/>
      <c r="OUS70" s="609"/>
      <c r="OUT70" s="609"/>
      <c r="OUU70" s="609"/>
      <c r="OUV70" s="609"/>
      <c r="OUW70" s="609"/>
      <c r="OUX70" s="609"/>
      <c r="OUY70" s="609"/>
      <c r="OUZ70" s="609"/>
      <c r="OVA70" s="609"/>
      <c r="OVB70" s="609"/>
      <c r="OVC70" s="609"/>
      <c r="OVD70" s="609"/>
      <c r="OVE70" s="609"/>
      <c r="OVF70" s="609"/>
      <c r="OVG70" s="609"/>
      <c r="OVH70" s="609"/>
      <c r="OVI70" s="609"/>
      <c r="OVJ70" s="609"/>
      <c r="OVK70" s="609"/>
      <c r="OVL70" s="609"/>
      <c r="OVM70" s="609"/>
      <c r="OVN70" s="609"/>
      <c r="OVO70" s="609"/>
      <c r="OVP70" s="609"/>
      <c r="OVQ70" s="609"/>
      <c r="OVR70" s="609"/>
      <c r="OVS70" s="609"/>
      <c r="OVT70" s="609"/>
      <c r="OVU70" s="609"/>
      <c r="OVV70" s="609"/>
      <c r="OVW70" s="609"/>
      <c r="OVX70" s="609"/>
      <c r="OVY70" s="609"/>
      <c r="OVZ70" s="609"/>
      <c r="OWA70" s="609"/>
      <c r="OWB70" s="609"/>
      <c r="OWC70" s="609"/>
      <c r="OWD70" s="609"/>
      <c r="OWE70" s="609"/>
      <c r="OWF70" s="609"/>
      <c r="OWG70" s="609"/>
      <c r="OWH70" s="609"/>
      <c r="OWI70" s="609"/>
      <c r="OWJ70" s="609"/>
      <c r="OWK70" s="609"/>
      <c r="OWL70" s="609"/>
      <c r="OWM70" s="609"/>
      <c r="OWN70" s="609"/>
      <c r="OWO70" s="609"/>
      <c r="OWP70" s="609"/>
      <c r="OWQ70" s="609"/>
      <c r="OWR70" s="609"/>
      <c r="OWS70" s="609"/>
      <c r="OWT70" s="609"/>
      <c r="OWU70" s="609"/>
      <c r="OWV70" s="609"/>
      <c r="OWW70" s="609"/>
      <c r="OWX70" s="609"/>
      <c r="OWY70" s="609"/>
      <c r="OWZ70" s="609"/>
      <c r="OXA70" s="609"/>
      <c r="OXB70" s="609"/>
      <c r="OXC70" s="609"/>
      <c r="OXD70" s="609"/>
      <c r="OXE70" s="609"/>
      <c r="OXF70" s="609"/>
      <c r="OXG70" s="609"/>
      <c r="OXH70" s="609"/>
      <c r="OXI70" s="609"/>
      <c r="OXJ70" s="609"/>
      <c r="OXK70" s="609"/>
      <c r="OXL70" s="609"/>
      <c r="OXM70" s="609"/>
      <c r="OXN70" s="609"/>
      <c r="OXO70" s="609"/>
      <c r="OXP70" s="609"/>
      <c r="OXQ70" s="609"/>
      <c r="OXR70" s="609"/>
      <c r="OXS70" s="609"/>
      <c r="OXT70" s="609"/>
      <c r="OXU70" s="609"/>
      <c r="OXV70" s="609"/>
      <c r="OXW70" s="609"/>
      <c r="OXX70" s="609"/>
      <c r="OXY70" s="609"/>
      <c r="OXZ70" s="609"/>
      <c r="OYA70" s="609"/>
      <c r="OYB70" s="609"/>
      <c r="OYC70" s="609"/>
      <c r="OYD70" s="609"/>
      <c r="OYE70" s="609"/>
      <c r="OYF70" s="609"/>
      <c r="OYG70" s="609"/>
      <c r="OYH70" s="609"/>
      <c r="OYI70" s="609"/>
      <c r="OYJ70" s="609"/>
      <c r="OYK70" s="609"/>
      <c r="OYL70" s="609"/>
      <c r="OYM70" s="609"/>
      <c r="OYN70" s="609"/>
      <c r="OYO70" s="609"/>
      <c r="OYP70" s="609"/>
      <c r="OYQ70" s="609"/>
      <c r="OYR70" s="609"/>
      <c r="OYS70" s="609"/>
      <c r="OYT70" s="609"/>
      <c r="OYU70" s="609"/>
      <c r="OYV70" s="609"/>
      <c r="OYW70" s="609"/>
      <c r="OYX70" s="609"/>
      <c r="OYY70" s="609"/>
      <c r="OYZ70" s="609"/>
      <c r="OZA70" s="609"/>
      <c r="OZB70" s="609"/>
      <c r="OZC70" s="609"/>
      <c r="OZD70" s="609"/>
      <c r="OZE70" s="609"/>
      <c r="OZF70" s="609"/>
      <c r="OZG70" s="609"/>
      <c r="OZH70" s="609"/>
      <c r="OZI70" s="609"/>
      <c r="OZJ70" s="609"/>
      <c r="OZK70" s="609"/>
      <c r="OZL70" s="609"/>
      <c r="OZM70" s="609"/>
      <c r="OZN70" s="609"/>
      <c r="OZO70" s="609"/>
      <c r="OZP70" s="609"/>
      <c r="OZQ70" s="609"/>
      <c r="OZR70" s="609"/>
      <c r="OZS70" s="609"/>
      <c r="OZT70" s="609"/>
      <c r="OZU70" s="609"/>
      <c r="OZV70" s="609"/>
      <c r="OZW70" s="609"/>
      <c r="OZX70" s="609"/>
      <c r="OZY70" s="609"/>
      <c r="OZZ70" s="609"/>
      <c r="PAA70" s="609"/>
      <c r="PAB70" s="609"/>
      <c r="PAC70" s="609"/>
      <c r="PAD70" s="609"/>
      <c r="PAE70" s="609"/>
      <c r="PAF70" s="609"/>
      <c r="PAG70" s="609"/>
      <c r="PAH70" s="609"/>
      <c r="PAI70" s="609"/>
      <c r="PAJ70" s="609"/>
      <c r="PAK70" s="609"/>
      <c r="PAL70" s="609"/>
      <c r="PAM70" s="609"/>
      <c r="PAN70" s="609"/>
      <c r="PAO70" s="609"/>
      <c r="PAP70" s="609"/>
      <c r="PAQ70" s="609"/>
      <c r="PAR70" s="609"/>
      <c r="PAS70" s="609"/>
      <c r="PAT70" s="609"/>
      <c r="PAU70" s="609"/>
      <c r="PAV70" s="609"/>
      <c r="PAW70" s="609"/>
      <c r="PAX70" s="609"/>
      <c r="PAY70" s="609"/>
      <c r="PAZ70" s="609"/>
      <c r="PBA70" s="609"/>
      <c r="PBB70" s="609"/>
      <c r="PBC70" s="609"/>
      <c r="PBD70" s="609"/>
      <c r="PBE70" s="609"/>
      <c r="PBF70" s="609"/>
      <c r="PBG70" s="609"/>
      <c r="PBH70" s="609"/>
      <c r="PBI70" s="609"/>
      <c r="PBJ70" s="609"/>
      <c r="PBK70" s="609"/>
      <c r="PBL70" s="609"/>
      <c r="PBM70" s="609"/>
      <c r="PBN70" s="609"/>
      <c r="PBO70" s="609"/>
      <c r="PBP70" s="609"/>
      <c r="PBQ70" s="609"/>
      <c r="PBR70" s="609"/>
      <c r="PBS70" s="609"/>
      <c r="PBT70" s="609"/>
      <c r="PBU70" s="609"/>
      <c r="PBV70" s="609"/>
      <c r="PBW70" s="609"/>
      <c r="PBX70" s="609"/>
      <c r="PBY70" s="609"/>
      <c r="PBZ70" s="609"/>
      <c r="PCA70" s="609"/>
      <c r="PCB70" s="609"/>
      <c r="PCC70" s="609"/>
      <c r="PCD70" s="609"/>
      <c r="PCE70" s="609"/>
      <c r="PCF70" s="609"/>
      <c r="PCG70" s="609"/>
      <c r="PCH70" s="609"/>
      <c r="PCI70" s="609"/>
      <c r="PCJ70" s="609"/>
      <c r="PCK70" s="609"/>
      <c r="PCL70" s="609"/>
      <c r="PCM70" s="609"/>
      <c r="PCN70" s="609"/>
      <c r="PCO70" s="609"/>
      <c r="PCP70" s="609"/>
      <c r="PCQ70" s="609"/>
      <c r="PCR70" s="609"/>
      <c r="PCS70" s="609"/>
      <c r="PCT70" s="609"/>
      <c r="PCU70" s="609"/>
      <c r="PCV70" s="609"/>
      <c r="PCW70" s="609"/>
      <c r="PCX70" s="609"/>
      <c r="PCY70" s="609"/>
      <c r="PCZ70" s="609"/>
      <c r="PDA70" s="609"/>
      <c r="PDB70" s="609"/>
      <c r="PDC70" s="609"/>
      <c r="PDD70" s="609"/>
      <c r="PDE70" s="609"/>
      <c r="PDF70" s="609"/>
      <c r="PDG70" s="609"/>
      <c r="PDH70" s="609"/>
      <c r="PDI70" s="609"/>
      <c r="PDJ70" s="609"/>
      <c r="PDK70" s="609"/>
      <c r="PDL70" s="609"/>
      <c r="PDM70" s="609"/>
      <c r="PDN70" s="609"/>
      <c r="PDO70" s="609"/>
      <c r="PDP70" s="609"/>
      <c r="PDQ70" s="609"/>
      <c r="PDR70" s="609"/>
      <c r="PDS70" s="609"/>
      <c r="PDT70" s="609"/>
      <c r="PDU70" s="609"/>
      <c r="PDV70" s="609"/>
      <c r="PDW70" s="609"/>
      <c r="PDX70" s="609"/>
      <c r="PDY70" s="609"/>
      <c r="PDZ70" s="609"/>
      <c r="PEA70" s="609"/>
      <c r="PEB70" s="609"/>
      <c r="PEC70" s="609"/>
      <c r="PED70" s="609"/>
      <c r="PEE70" s="609"/>
      <c r="PEF70" s="609"/>
      <c r="PEG70" s="609"/>
      <c r="PEH70" s="609"/>
      <c r="PEI70" s="609"/>
      <c r="PEJ70" s="609"/>
      <c r="PEK70" s="609"/>
      <c r="PEL70" s="609"/>
      <c r="PEM70" s="609"/>
      <c r="PEN70" s="609"/>
      <c r="PEO70" s="609"/>
      <c r="PEP70" s="609"/>
      <c r="PEQ70" s="609"/>
      <c r="PER70" s="609"/>
      <c r="PES70" s="609"/>
      <c r="PET70" s="609"/>
      <c r="PEU70" s="609"/>
      <c r="PEV70" s="609"/>
      <c r="PEW70" s="609"/>
      <c r="PEX70" s="609"/>
      <c r="PEY70" s="609"/>
      <c r="PEZ70" s="609"/>
      <c r="PFA70" s="609"/>
      <c r="PFB70" s="609"/>
      <c r="PFC70" s="609"/>
      <c r="PFD70" s="609"/>
      <c r="PFE70" s="609"/>
      <c r="PFF70" s="609"/>
      <c r="PFG70" s="609"/>
      <c r="PFH70" s="609"/>
      <c r="PFI70" s="609"/>
      <c r="PFJ70" s="609"/>
      <c r="PFK70" s="609"/>
      <c r="PFL70" s="609"/>
      <c r="PFM70" s="609"/>
      <c r="PFN70" s="609"/>
      <c r="PFO70" s="609"/>
      <c r="PFP70" s="609"/>
      <c r="PFQ70" s="609"/>
      <c r="PFR70" s="609"/>
      <c r="PFS70" s="609"/>
      <c r="PFT70" s="609"/>
      <c r="PFU70" s="609"/>
      <c r="PFV70" s="609"/>
      <c r="PFW70" s="609"/>
      <c r="PFX70" s="609"/>
      <c r="PFY70" s="609"/>
      <c r="PFZ70" s="609"/>
      <c r="PGA70" s="609"/>
      <c r="PGB70" s="609"/>
      <c r="PGC70" s="609"/>
      <c r="PGD70" s="609"/>
      <c r="PGE70" s="609"/>
      <c r="PGF70" s="609"/>
      <c r="PGG70" s="609"/>
      <c r="PGH70" s="609"/>
      <c r="PGI70" s="609"/>
      <c r="PGJ70" s="609"/>
      <c r="PGK70" s="609"/>
      <c r="PGL70" s="609"/>
      <c r="PGM70" s="609"/>
      <c r="PGN70" s="609"/>
      <c r="PGO70" s="609"/>
      <c r="PGP70" s="609"/>
      <c r="PGQ70" s="609"/>
      <c r="PGR70" s="609"/>
      <c r="PGS70" s="609"/>
      <c r="PGT70" s="609"/>
      <c r="PGU70" s="609"/>
      <c r="PGV70" s="609"/>
      <c r="PGW70" s="609"/>
      <c r="PGX70" s="609"/>
      <c r="PGY70" s="609"/>
      <c r="PGZ70" s="609"/>
      <c r="PHA70" s="609"/>
      <c r="PHB70" s="609"/>
      <c r="PHC70" s="609"/>
      <c r="PHD70" s="609"/>
      <c r="PHE70" s="609"/>
      <c r="PHF70" s="609"/>
      <c r="PHG70" s="609"/>
      <c r="PHH70" s="609"/>
      <c r="PHI70" s="609"/>
      <c r="PHJ70" s="609"/>
      <c r="PHK70" s="609"/>
      <c r="PHL70" s="609"/>
      <c r="PHM70" s="609"/>
      <c r="PHN70" s="609"/>
      <c r="PHO70" s="609"/>
      <c r="PHP70" s="609"/>
      <c r="PHQ70" s="609"/>
      <c r="PHR70" s="609"/>
      <c r="PHS70" s="609"/>
      <c r="PHT70" s="609"/>
      <c r="PHU70" s="609"/>
      <c r="PHV70" s="609"/>
      <c r="PHW70" s="609"/>
      <c r="PHX70" s="609"/>
      <c r="PHY70" s="609"/>
      <c r="PHZ70" s="609"/>
      <c r="PIA70" s="609"/>
      <c r="PIB70" s="609"/>
      <c r="PIC70" s="609"/>
      <c r="PID70" s="609"/>
      <c r="PIE70" s="609"/>
      <c r="PIF70" s="609"/>
      <c r="PIG70" s="609"/>
      <c r="PIH70" s="609"/>
      <c r="PII70" s="609"/>
      <c r="PIJ70" s="609"/>
      <c r="PIK70" s="609"/>
      <c r="PIL70" s="609"/>
      <c r="PIM70" s="609"/>
      <c r="PIN70" s="609"/>
      <c r="PIO70" s="609"/>
      <c r="PIP70" s="609"/>
      <c r="PIQ70" s="609"/>
      <c r="PIR70" s="609"/>
      <c r="PIS70" s="609"/>
      <c r="PIT70" s="609"/>
      <c r="PIU70" s="609"/>
      <c r="PIV70" s="609"/>
      <c r="PIW70" s="609"/>
      <c r="PIX70" s="609"/>
      <c r="PIY70" s="609"/>
      <c r="PIZ70" s="609"/>
      <c r="PJA70" s="609"/>
      <c r="PJB70" s="609"/>
      <c r="PJC70" s="609"/>
      <c r="PJD70" s="609"/>
      <c r="PJE70" s="609"/>
      <c r="PJF70" s="609"/>
      <c r="PJG70" s="609"/>
      <c r="PJH70" s="609"/>
      <c r="PJI70" s="609"/>
      <c r="PJJ70" s="609"/>
      <c r="PJK70" s="609"/>
      <c r="PJL70" s="609"/>
      <c r="PJM70" s="609"/>
      <c r="PJN70" s="609"/>
      <c r="PJO70" s="609"/>
      <c r="PJP70" s="609"/>
      <c r="PJQ70" s="609"/>
      <c r="PJR70" s="609"/>
      <c r="PJS70" s="609"/>
      <c r="PJT70" s="609"/>
      <c r="PJU70" s="609"/>
      <c r="PJV70" s="609"/>
      <c r="PJW70" s="609"/>
      <c r="PJX70" s="609"/>
      <c r="PJY70" s="609"/>
      <c r="PJZ70" s="609"/>
      <c r="PKA70" s="609"/>
      <c r="PKB70" s="609"/>
      <c r="PKC70" s="609"/>
      <c r="PKD70" s="609"/>
      <c r="PKE70" s="609"/>
      <c r="PKF70" s="609"/>
      <c r="PKG70" s="609"/>
      <c r="PKH70" s="609"/>
      <c r="PKI70" s="609"/>
      <c r="PKJ70" s="609"/>
      <c r="PKK70" s="609"/>
      <c r="PKL70" s="609"/>
      <c r="PKM70" s="609"/>
      <c r="PKN70" s="609"/>
      <c r="PKO70" s="609"/>
      <c r="PKP70" s="609"/>
      <c r="PKQ70" s="609"/>
      <c r="PKR70" s="609"/>
      <c r="PKS70" s="609"/>
      <c r="PKT70" s="609"/>
      <c r="PKU70" s="609"/>
      <c r="PKV70" s="609"/>
      <c r="PKW70" s="609"/>
      <c r="PKX70" s="609"/>
      <c r="PKY70" s="609"/>
      <c r="PKZ70" s="609"/>
      <c r="PLA70" s="609"/>
      <c r="PLB70" s="609"/>
      <c r="PLC70" s="609"/>
      <c r="PLD70" s="609"/>
      <c r="PLE70" s="609"/>
      <c r="PLF70" s="609"/>
      <c r="PLG70" s="609"/>
      <c r="PLH70" s="609"/>
      <c r="PLI70" s="609"/>
      <c r="PLJ70" s="609"/>
      <c r="PLK70" s="609"/>
      <c r="PLL70" s="609"/>
      <c r="PLM70" s="609"/>
      <c r="PLN70" s="609"/>
      <c r="PLO70" s="609"/>
      <c r="PLP70" s="609"/>
      <c r="PLQ70" s="609"/>
      <c r="PLR70" s="609"/>
      <c r="PLS70" s="609"/>
      <c r="PLT70" s="609"/>
      <c r="PLU70" s="609"/>
      <c r="PLV70" s="609"/>
      <c r="PLW70" s="609"/>
      <c r="PLX70" s="609"/>
      <c r="PLY70" s="609"/>
      <c r="PLZ70" s="609"/>
      <c r="PMA70" s="609"/>
      <c r="PMB70" s="609"/>
      <c r="PMC70" s="609"/>
      <c r="PMD70" s="609"/>
      <c r="PME70" s="609"/>
      <c r="PMF70" s="609"/>
      <c r="PMG70" s="609"/>
      <c r="PMH70" s="609"/>
      <c r="PMI70" s="609"/>
      <c r="PMJ70" s="609"/>
      <c r="PMK70" s="609"/>
      <c r="PML70" s="609"/>
      <c r="PMM70" s="609"/>
      <c r="PMN70" s="609"/>
      <c r="PMO70" s="609"/>
      <c r="PMP70" s="609"/>
      <c r="PMQ70" s="609"/>
      <c r="PMR70" s="609"/>
      <c r="PMS70" s="609"/>
      <c r="PMT70" s="609"/>
      <c r="PMU70" s="609"/>
      <c r="PMV70" s="609"/>
      <c r="PMW70" s="609"/>
      <c r="PMX70" s="609"/>
      <c r="PMY70" s="609"/>
      <c r="PMZ70" s="609"/>
      <c r="PNA70" s="609"/>
      <c r="PNB70" s="609"/>
      <c r="PNC70" s="609"/>
      <c r="PND70" s="609"/>
      <c r="PNE70" s="609"/>
      <c r="PNF70" s="609"/>
      <c r="PNG70" s="609"/>
      <c r="PNH70" s="609"/>
      <c r="PNI70" s="609"/>
      <c r="PNJ70" s="609"/>
      <c r="PNK70" s="609"/>
      <c r="PNL70" s="609"/>
      <c r="PNM70" s="609"/>
      <c r="PNN70" s="609"/>
      <c r="PNO70" s="609"/>
      <c r="PNP70" s="609"/>
      <c r="PNQ70" s="609"/>
      <c r="PNR70" s="609"/>
      <c r="PNS70" s="609"/>
      <c r="PNT70" s="609"/>
      <c r="PNU70" s="609"/>
      <c r="PNV70" s="609"/>
      <c r="PNW70" s="609"/>
      <c r="PNX70" s="609"/>
      <c r="PNY70" s="609"/>
      <c r="PNZ70" s="609"/>
      <c r="POA70" s="609"/>
      <c r="POB70" s="609"/>
      <c r="POC70" s="609"/>
      <c r="POD70" s="609"/>
      <c r="POE70" s="609"/>
      <c r="POF70" s="609"/>
      <c r="POG70" s="609"/>
      <c r="POH70" s="609"/>
      <c r="POI70" s="609"/>
      <c r="POJ70" s="609"/>
      <c r="POK70" s="609"/>
      <c r="POL70" s="609"/>
      <c r="POM70" s="609"/>
      <c r="PON70" s="609"/>
      <c r="POO70" s="609"/>
      <c r="POP70" s="609"/>
      <c r="POQ70" s="609"/>
      <c r="POR70" s="609"/>
      <c r="POS70" s="609"/>
      <c r="POT70" s="609"/>
      <c r="POU70" s="609"/>
      <c r="POV70" s="609"/>
      <c r="POW70" s="609"/>
      <c r="POX70" s="609"/>
      <c r="POY70" s="609"/>
      <c r="POZ70" s="609"/>
      <c r="PPA70" s="609"/>
      <c r="PPB70" s="609"/>
      <c r="PPC70" s="609"/>
      <c r="PPD70" s="609"/>
      <c r="PPE70" s="609"/>
      <c r="PPF70" s="609"/>
      <c r="PPG70" s="609"/>
      <c r="PPH70" s="609"/>
      <c r="PPI70" s="609"/>
      <c r="PPJ70" s="609"/>
      <c r="PPK70" s="609"/>
      <c r="PPL70" s="609"/>
      <c r="PPM70" s="609"/>
      <c r="PPN70" s="609"/>
      <c r="PPO70" s="609"/>
      <c r="PPP70" s="609"/>
      <c r="PPQ70" s="609"/>
      <c r="PPR70" s="609"/>
      <c r="PPS70" s="609"/>
      <c r="PPT70" s="609"/>
      <c r="PPU70" s="609"/>
      <c r="PPV70" s="609"/>
      <c r="PPW70" s="609"/>
      <c r="PPX70" s="609"/>
      <c r="PPY70" s="609"/>
      <c r="PPZ70" s="609"/>
      <c r="PQA70" s="609"/>
      <c r="PQB70" s="609"/>
      <c r="PQC70" s="609"/>
      <c r="PQD70" s="609"/>
      <c r="PQE70" s="609"/>
      <c r="PQF70" s="609"/>
      <c r="PQG70" s="609"/>
      <c r="PQH70" s="609"/>
      <c r="PQI70" s="609"/>
      <c r="PQJ70" s="609"/>
      <c r="PQK70" s="609"/>
      <c r="PQL70" s="609"/>
      <c r="PQM70" s="609"/>
      <c r="PQN70" s="609"/>
      <c r="PQO70" s="609"/>
      <c r="PQP70" s="609"/>
      <c r="PQQ70" s="609"/>
      <c r="PQR70" s="609"/>
      <c r="PQS70" s="609"/>
      <c r="PQT70" s="609"/>
      <c r="PQU70" s="609"/>
      <c r="PQV70" s="609"/>
      <c r="PQW70" s="609"/>
      <c r="PQX70" s="609"/>
      <c r="PQY70" s="609"/>
      <c r="PQZ70" s="609"/>
      <c r="PRA70" s="609"/>
      <c r="PRB70" s="609"/>
      <c r="PRC70" s="609"/>
      <c r="PRD70" s="609"/>
      <c r="PRE70" s="609"/>
      <c r="PRF70" s="609"/>
      <c r="PRG70" s="609"/>
      <c r="PRH70" s="609"/>
      <c r="PRI70" s="609"/>
      <c r="PRJ70" s="609"/>
      <c r="PRK70" s="609"/>
      <c r="PRL70" s="609"/>
      <c r="PRM70" s="609"/>
      <c r="PRN70" s="609"/>
      <c r="PRO70" s="609"/>
      <c r="PRP70" s="609"/>
      <c r="PRQ70" s="609"/>
      <c r="PRR70" s="609"/>
      <c r="PRS70" s="609"/>
      <c r="PRT70" s="609"/>
      <c r="PRU70" s="609"/>
      <c r="PRV70" s="609"/>
      <c r="PRW70" s="609"/>
      <c r="PRX70" s="609"/>
      <c r="PRY70" s="609"/>
      <c r="PRZ70" s="609"/>
      <c r="PSA70" s="609"/>
      <c r="PSB70" s="609"/>
      <c r="PSC70" s="609"/>
      <c r="PSD70" s="609"/>
      <c r="PSE70" s="609"/>
      <c r="PSF70" s="609"/>
      <c r="PSG70" s="609"/>
      <c r="PSH70" s="609"/>
      <c r="PSI70" s="609"/>
      <c r="PSJ70" s="609"/>
      <c r="PSK70" s="609"/>
      <c r="PSL70" s="609"/>
      <c r="PSM70" s="609"/>
      <c r="PSN70" s="609"/>
      <c r="PSO70" s="609"/>
      <c r="PSP70" s="609"/>
      <c r="PSQ70" s="609"/>
      <c r="PSR70" s="609"/>
      <c r="PSS70" s="609"/>
      <c r="PST70" s="609"/>
      <c r="PSU70" s="609"/>
      <c r="PSV70" s="609"/>
      <c r="PSW70" s="609"/>
      <c r="PSX70" s="609"/>
      <c r="PSY70" s="609"/>
      <c r="PSZ70" s="609"/>
      <c r="PTA70" s="609"/>
      <c r="PTB70" s="609"/>
      <c r="PTC70" s="609"/>
      <c r="PTD70" s="609"/>
      <c r="PTE70" s="609"/>
      <c r="PTF70" s="609"/>
      <c r="PTG70" s="609"/>
      <c r="PTH70" s="609"/>
      <c r="PTI70" s="609"/>
      <c r="PTJ70" s="609"/>
      <c r="PTK70" s="609"/>
      <c r="PTL70" s="609"/>
      <c r="PTM70" s="609"/>
      <c r="PTN70" s="609"/>
      <c r="PTO70" s="609"/>
      <c r="PTP70" s="609"/>
      <c r="PTQ70" s="609"/>
      <c r="PTR70" s="609"/>
      <c r="PTS70" s="609"/>
      <c r="PTT70" s="609"/>
      <c r="PTU70" s="609"/>
      <c r="PTV70" s="609"/>
      <c r="PTW70" s="609"/>
      <c r="PTX70" s="609"/>
      <c r="PTY70" s="609"/>
      <c r="PTZ70" s="609"/>
      <c r="PUA70" s="609"/>
      <c r="PUB70" s="609"/>
      <c r="PUC70" s="609"/>
      <c r="PUD70" s="609"/>
      <c r="PUE70" s="609"/>
      <c r="PUF70" s="609"/>
      <c r="PUG70" s="609"/>
      <c r="PUH70" s="609"/>
      <c r="PUI70" s="609"/>
      <c r="PUJ70" s="609"/>
      <c r="PUK70" s="609"/>
      <c r="PUL70" s="609"/>
      <c r="PUM70" s="609"/>
      <c r="PUN70" s="609"/>
      <c r="PUO70" s="609"/>
      <c r="PUP70" s="609"/>
      <c r="PUQ70" s="609"/>
      <c r="PUR70" s="609"/>
      <c r="PUS70" s="609"/>
      <c r="PUT70" s="609"/>
      <c r="PUU70" s="609"/>
      <c r="PUV70" s="609"/>
      <c r="PUW70" s="609"/>
      <c r="PUX70" s="609"/>
      <c r="PUY70" s="609"/>
      <c r="PUZ70" s="609"/>
      <c r="PVA70" s="609"/>
      <c r="PVB70" s="609"/>
      <c r="PVC70" s="609"/>
      <c r="PVD70" s="609"/>
      <c r="PVE70" s="609"/>
      <c r="PVF70" s="609"/>
      <c r="PVG70" s="609"/>
      <c r="PVH70" s="609"/>
      <c r="PVI70" s="609"/>
      <c r="PVJ70" s="609"/>
      <c r="PVK70" s="609"/>
      <c r="PVL70" s="609"/>
      <c r="PVM70" s="609"/>
      <c r="PVN70" s="609"/>
      <c r="PVO70" s="609"/>
      <c r="PVP70" s="609"/>
      <c r="PVQ70" s="609"/>
      <c r="PVR70" s="609"/>
      <c r="PVS70" s="609"/>
      <c r="PVT70" s="609"/>
      <c r="PVU70" s="609"/>
      <c r="PVV70" s="609"/>
      <c r="PVW70" s="609"/>
      <c r="PVX70" s="609"/>
      <c r="PVY70" s="609"/>
      <c r="PVZ70" s="609"/>
      <c r="PWA70" s="609"/>
      <c r="PWB70" s="609"/>
      <c r="PWC70" s="609"/>
      <c r="PWD70" s="609"/>
      <c r="PWE70" s="609"/>
      <c r="PWF70" s="609"/>
      <c r="PWG70" s="609"/>
      <c r="PWH70" s="609"/>
      <c r="PWI70" s="609"/>
      <c r="PWJ70" s="609"/>
      <c r="PWK70" s="609"/>
      <c r="PWL70" s="609"/>
      <c r="PWM70" s="609"/>
      <c r="PWN70" s="609"/>
      <c r="PWO70" s="609"/>
      <c r="PWP70" s="609"/>
      <c r="PWQ70" s="609"/>
      <c r="PWR70" s="609"/>
      <c r="PWS70" s="609"/>
      <c r="PWT70" s="609"/>
      <c r="PWU70" s="609"/>
      <c r="PWV70" s="609"/>
      <c r="PWW70" s="609"/>
      <c r="PWX70" s="609"/>
      <c r="PWY70" s="609"/>
      <c r="PWZ70" s="609"/>
      <c r="PXA70" s="609"/>
      <c r="PXB70" s="609"/>
      <c r="PXC70" s="609"/>
      <c r="PXD70" s="609"/>
      <c r="PXE70" s="609"/>
      <c r="PXF70" s="609"/>
      <c r="PXG70" s="609"/>
      <c r="PXH70" s="609"/>
      <c r="PXI70" s="609"/>
      <c r="PXJ70" s="609"/>
      <c r="PXK70" s="609"/>
      <c r="PXL70" s="609"/>
      <c r="PXM70" s="609"/>
      <c r="PXN70" s="609"/>
      <c r="PXO70" s="609"/>
      <c r="PXP70" s="609"/>
      <c r="PXQ70" s="609"/>
      <c r="PXR70" s="609"/>
      <c r="PXS70" s="609"/>
      <c r="PXT70" s="609"/>
      <c r="PXU70" s="609"/>
      <c r="PXV70" s="609"/>
      <c r="PXW70" s="609"/>
      <c r="PXX70" s="609"/>
      <c r="PXY70" s="609"/>
      <c r="PXZ70" s="609"/>
      <c r="PYA70" s="609"/>
      <c r="PYB70" s="609"/>
      <c r="PYC70" s="609"/>
      <c r="PYD70" s="609"/>
      <c r="PYE70" s="609"/>
      <c r="PYF70" s="609"/>
      <c r="PYG70" s="609"/>
      <c r="PYH70" s="609"/>
      <c r="PYI70" s="609"/>
      <c r="PYJ70" s="609"/>
      <c r="PYK70" s="609"/>
      <c r="PYL70" s="609"/>
      <c r="PYM70" s="609"/>
      <c r="PYN70" s="609"/>
      <c r="PYO70" s="609"/>
      <c r="PYP70" s="609"/>
      <c r="PYQ70" s="609"/>
      <c r="PYR70" s="609"/>
      <c r="PYS70" s="609"/>
      <c r="PYT70" s="609"/>
      <c r="PYU70" s="609"/>
      <c r="PYV70" s="609"/>
      <c r="PYW70" s="609"/>
      <c r="PYX70" s="609"/>
      <c r="PYY70" s="609"/>
      <c r="PYZ70" s="609"/>
      <c r="PZA70" s="609"/>
      <c r="PZB70" s="609"/>
      <c r="PZC70" s="609"/>
      <c r="PZD70" s="609"/>
      <c r="PZE70" s="609"/>
      <c r="PZF70" s="609"/>
      <c r="PZG70" s="609"/>
      <c r="PZH70" s="609"/>
      <c r="PZI70" s="609"/>
      <c r="PZJ70" s="609"/>
      <c r="PZK70" s="609"/>
      <c r="PZL70" s="609"/>
      <c r="PZM70" s="609"/>
      <c r="PZN70" s="609"/>
      <c r="PZO70" s="609"/>
      <c r="PZP70" s="609"/>
      <c r="PZQ70" s="609"/>
      <c r="PZR70" s="609"/>
      <c r="PZS70" s="609"/>
      <c r="PZT70" s="609"/>
      <c r="PZU70" s="609"/>
      <c r="PZV70" s="609"/>
      <c r="PZW70" s="609"/>
      <c r="PZX70" s="609"/>
      <c r="PZY70" s="609"/>
      <c r="PZZ70" s="609"/>
      <c r="QAA70" s="609"/>
      <c r="QAB70" s="609"/>
      <c r="QAC70" s="609"/>
      <c r="QAD70" s="609"/>
      <c r="QAE70" s="609"/>
      <c r="QAF70" s="609"/>
      <c r="QAG70" s="609"/>
      <c r="QAH70" s="609"/>
      <c r="QAI70" s="609"/>
      <c r="QAJ70" s="609"/>
      <c r="QAK70" s="609"/>
      <c r="QAL70" s="609"/>
      <c r="QAM70" s="609"/>
      <c r="QAN70" s="609"/>
      <c r="QAO70" s="609"/>
      <c r="QAP70" s="609"/>
      <c r="QAQ70" s="609"/>
      <c r="QAR70" s="609"/>
      <c r="QAS70" s="609"/>
      <c r="QAT70" s="609"/>
      <c r="QAU70" s="609"/>
      <c r="QAV70" s="609"/>
      <c r="QAW70" s="609"/>
      <c r="QAX70" s="609"/>
      <c r="QAY70" s="609"/>
      <c r="QAZ70" s="609"/>
      <c r="QBA70" s="609"/>
      <c r="QBB70" s="609"/>
      <c r="QBC70" s="609"/>
      <c r="QBD70" s="609"/>
      <c r="QBE70" s="609"/>
      <c r="QBF70" s="609"/>
      <c r="QBG70" s="609"/>
      <c r="QBH70" s="609"/>
      <c r="QBI70" s="609"/>
      <c r="QBJ70" s="609"/>
      <c r="QBK70" s="609"/>
      <c r="QBL70" s="609"/>
      <c r="QBM70" s="609"/>
      <c r="QBN70" s="609"/>
      <c r="QBO70" s="609"/>
      <c r="QBP70" s="609"/>
      <c r="QBQ70" s="609"/>
      <c r="QBR70" s="609"/>
      <c r="QBS70" s="609"/>
      <c r="QBT70" s="609"/>
      <c r="QBU70" s="609"/>
      <c r="QBV70" s="609"/>
      <c r="QBW70" s="609"/>
      <c r="QBX70" s="609"/>
      <c r="QBY70" s="609"/>
      <c r="QBZ70" s="609"/>
      <c r="QCA70" s="609"/>
      <c r="QCB70" s="609"/>
      <c r="QCC70" s="609"/>
      <c r="QCD70" s="609"/>
      <c r="QCE70" s="609"/>
      <c r="QCF70" s="609"/>
      <c r="QCG70" s="609"/>
      <c r="QCH70" s="609"/>
      <c r="QCI70" s="609"/>
      <c r="QCJ70" s="609"/>
      <c r="QCK70" s="609"/>
      <c r="QCL70" s="609"/>
      <c r="QCM70" s="609"/>
      <c r="QCN70" s="609"/>
      <c r="QCO70" s="609"/>
      <c r="QCP70" s="609"/>
      <c r="QCQ70" s="609"/>
      <c r="QCR70" s="609"/>
      <c r="QCS70" s="609"/>
      <c r="QCT70" s="609"/>
      <c r="QCU70" s="609"/>
      <c r="QCV70" s="609"/>
      <c r="QCW70" s="609"/>
      <c r="QCX70" s="609"/>
      <c r="QCY70" s="609"/>
      <c r="QCZ70" s="609"/>
      <c r="QDA70" s="609"/>
      <c r="QDB70" s="609"/>
      <c r="QDC70" s="609"/>
      <c r="QDD70" s="609"/>
      <c r="QDE70" s="609"/>
      <c r="QDF70" s="609"/>
      <c r="QDG70" s="609"/>
      <c r="QDH70" s="609"/>
      <c r="QDI70" s="609"/>
      <c r="QDJ70" s="609"/>
      <c r="QDK70" s="609"/>
      <c r="QDL70" s="609"/>
      <c r="QDM70" s="609"/>
      <c r="QDN70" s="609"/>
      <c r="QDO70" s="609"/>
      <c r="QDP70" s="609"/>
      <c r="QDQ70" s="609"/>
      <c r="QDR70" s="609"/>
      <c r="QDS70" s="609"/>
      <c r="QDT70" s="609"/>
      <c r="QDU70" s="609"/>
      <c r="QDV70" s="609"/>
      <c r="QDW70" s="609"/>
      <c r="QDX70" s="609"/>
      <c r="QDY70" s="609"/>
      <c r="QDZ70" s="609"/>
      <c r="QEA70" s="609"/>
      <c r="QEB70" s="609"/>
      <c r="QEC70" s="609"/>
      <c r="QED70" s="609"/>
      <c r="QEE70" s="609"/>
      <c r="QEF70" s="609"/>
      <c r="QEG70" s="609"/>
      <c r="QEH70" s="609"/>
      <c r="QEI70" s="609"/>
      <c r="QEJ70" s="609"/>
      <c r="QEK70" s="609"/>
      <c r="QEL70" s="609"/>
      <c r="QEM70" s="609"/>
      <c r="QEN70" s="609"/>
      <c r="QEO70" s="609"/>
      <c r="QEP70" s="609"/>
      <c r="QEQ70" s="609"/>
      <c r="QER70" s="609"/>
      <c r="QES70" s="609"/>
      <c r="QET70" s="609"/>
      <c r="QEU70" s="609"/>
      <c r="QEV70" s="609"/>
      <c r="QEW70" s="609"/>
      <c r="QEX70" s="609"/>
      <c r="QEY70" s="609"/>
      <c r="QEZ70" s="609"/>
      <c r="QFA70" s="609"/>
      <c r="QFB70" s="609"/>
      <c r="QFC70" s="609"/>
      <c r="QFD70" s="609"/>
      <c r="QFE70" s="609"/>
      <c r="QFF70" s="609"/>
      <c r="QFG70" s="609"/>
      <c r="QFH70" s="609"/>
      <c r="QFI70" s="609"/>
      <c r="QFJ70" s="609"/>
      <c r="QFK70" s="609"/>
      <c r="QFL70" s="609"/>
      <c r="QFM70" s="609"/>
      <c r="QFN70" s="609"/>
      <c r="QFO70" s="609"/>
      <c r="QFP70" s="609"/>
      <c r="QFQ70" s="609"/>
      <c r="QFR70" s="609"/>
      <c r="QFS70" s="609"/>
      <c r="QFT70" s="609"/>
      <c r="QFU70" s="609"/>
      <c r="QFV70" s="609"/>
      <c r="QFW70" s="609"/>
      <c r="QFX70" s="609"/>
      <c r="QFY70" s="609"/>
      <c r="QFZ70" s="609"/>
      <c r="QGA70" s="609"/>
      <c r="QGB70" s="609"/>
      <c r="QGC70" s="609"/>
      <c r="QGD70" s="609"/>
      <c r="QGE70" s="609"/>
      <c r="QGF70" s="609"/>
      <c r="QGG70" s="609"/>
      <c r="QGH70" s="609"/>
      <c r="QGI70" s="609"/>
      <c r="QGJ70" s="609"/>
      <c r="QGK70" s="609"/>
      <c r="QGL70" s="609"/>
      <c r="QGM70" s="609"/>
      <c r="QGN70" s="609"/>
      <c r="QGO70" s="609"/>
      <c r="QGP70" s="609"/>
      <c r="QGQ70" s="609"/>
      <c r="QGR70" s="609"/>
      <c r="QGS70" s="609"/>
      <c r="QGT70" s="609"/>
      <c r="QGU70" s="609"/>
      <c r="QGV70" s="609"/>
      <c r="QGW70" s="609"/>
      <c r="QGX70" s="609"/>
      <c r="QGY70" s="609"/>
      <c r="QGZ70" s="609"/>
      <c r="QHA70" s="609"/>
      <c r="QHB70" s="609"/>
      <c r="QHC70" s="609"/>
      <c r="QHD70" s="609"/>
      <c r="QHE70" s="609"/>
      <c r="QHF70" s="609"/>
      <c r="QHG70" s="609"/>
      <c r="QHH70" s="609"/>
      <c r="QHI70" s="609"/>
      <c r="QHJ70" s="609"/>
      <c r="QHK70" s="609"/>
      <c r="QHL70" s="609"/>
      <c r="QHM70" s="609"/>
      <c r="QHN70" s="609"/>
      <c r="QHO70" s="609"/>
      <c r="QHP70" s="609"/>
      <c r="QHQ70" s="609"/>
      <c r="QHR70" s="609"/>
      <c r="QHS70" s="609"/>
      <c r="QHT70" s="609"/>
      <c r="QHU70" s="609"/>
      <c r="QHV70" s="609"/>
      <c r="QHW70" s="609"/>
      <c r="QHX70" s="609"/>
      <c r="QHY70" s="609"/>
      <c r="QHZ70" s="609"/>
      <c r="QIA70" s="609"/>
      <c r="QIB70" s="609"/>
      <c r="QIC70" s="609"/>
      <c r="QID70" s="609"/>
      <c r="QIE70" s="609"/>
      <c r="QIF70" s="609"/>
      <c r="QIG70" s="609"/>
      <c r="QIH70" s="609"/>
      <c r="QII70" s="609"/>
      <c r="QIJ70" s="609"/>
      <c r="QIK70" s="609"/>
      <c r="QIL70" s="609"/>
      <c r="QIM70" s="609"/>
      <c r="QIN70" s="609"/>
      <c r="QIO70" s="609"/>
      <c r="QIP70" s="609"/>
      <c r="QIQ70" s="609"/>
      <c r="QIR70" s="609"/>
      <c r="QIS70" s="609"/>
      <c r="QIT70" s="609"/>
      <c r="QIU70" s="609"/>
      <c r="QIV70" s="609"/>
      <c r="QIW70" s="609"/>
      <c r="QIX70" s="609"/>
      <c r="QIY70" s="609"/>
      <c r="QIZ70" s="609"/>
      <c r="QJA70" s="609"/>
      <c r="QJB70" s="609"/>
      <c r="QJC70" s="609"/>
      <c r="QJD70" s="609"/>
      <c r="QJE70" s="609"/>
      <c r="QJF70" s="609"/>
      <c r="QJG70" s="609"/>
      <c r="QJH70" s="609"/>
      <c r="QJI70" s="609"/>
      <c r="QJJ70" s="609"/>
      <c r="QJK70" s="609"/>
      <c r="QJL70" s="609"/>
      <c r="QJM70" s="609"/>
      <c r="QJN70" s="609"/>
      <c r="QJO70" s="609"/>
      <c r="QJP70" s="609"/>
      <c r="QJQ70" s="609"/>
      <c r="QJR70" s="609"/>
      <c r="QJS70" s="609"/>
      <c r="QJT70" s="609"/>
      <c r="QJU70" s="609"/>
      <c r="QJV70" s="609"/>
      <c r="QJW70" s="609"/>
      <c r="QJX70" s="609"/>
      <c r="QJY70" s="609"/>
      <c r="QJZ70" s="609"/>
      <c r="QKA70" s="609"/>
      <c r="QKB70" s="609"/>
      <c r="QKC70" s="609"/>
      <c r="QKD70" s="609"/>
      <c r="QKE70" s="609"/>
      <c r="QKF70" s="609"/>
      <c r="QKG70" s="609"/>
      <c r="QKH70" s="609"/>
      <c r="QKI70" s="609"/>
      <c r="QKJ70" s="609"/>
      <c r="QKK70" s="609"/>
      <c r="QKL70" s="609"/>
      <c r="QKM70" s="609"/>
      <c r="QKN70" s="609"/>
      <c r="QKO70" s="609"/>
      <c r="QKP70" s="609"/>
      <c r="QKQ70" s="609"/>
      <c r="QKR70" s="609"/>
      <c r="QKS70" s="609"/>
      <c r="QKT70" s="609"/>
      <c r="QKU70" s="609"/>
      <c r="QKV70" s="609"/>
      <c r="QKW70" s="609"/>
      <c r="QKX70" s="609"/>
      <c r="QKY70" s="609"/>
      <c r="QKZ70" s="609"/>
      <c r="QLA70" s="609"/>
      <c r="QLB70" s="609"/>
      <c r="QLC70" s="609"/>
      <c r="QLD70" s="609"/>
      <c r="QLE70" s="609"/>
      <c r="QLF70" s="609"/>
      <c r="QLG70" s="609"/>
      <c r="QLH70" s="609"/>
      <c r="QLI70" s="609"/>
      <c r="QLJ70" s="609"/>
      <c r="QLK70" s="609"/>
      <c r="QLL70" s="609"/>
      <c r="QLM70" s="609"/>
      <c r="QLN70" s="609"/>
      <c r="QLO70" s="609"/>
      <c r="QLP70" s="609"/>
      <c r="QLQ70" s="609"/>
      <c r="QLR70" s="609"/>
      <c r="QLS70" s="609"/>
      <c r="QLT70" s="609"/>
      <c r="QLU70" s="609"/>
      <c r="QLV70" s="609"/>
      <c r="QLW70" s="609"/>
      <c r="QLX70" s="609"/>
      <c r="QLY70" s="609"/>
      <c r="QLZ70" s="609"/>
      <c r="QMA70" s="609"/>
      <c r="QMB70" s="609"/>
      <c r="QMC70" s="609"/>
      <c r="QMD70" s="609"/>
      <c r="QME70" s="609"/>
      <c r="QMF70" s="609"/>
      <c r="QMG70" s="609"/>
      <c r="QMH70" s="609"/>
      <c r="QMI70" s="609"/>
      <c r="QMJ70" s="609"/>
      <c r="QMK70" s="609"/>
      <c r="QML70" s="609"/>
      <c r="QMM70" s="609"/>
      <c r="QMN70" s="609"/>
      <c r="QMO70" s="609"/>
      <c r="QMP70" s="609"/>
      <c r="QMQ70" s="609"/>
      <c r="QMR70" s="609"/>
      <c r="QMS70" s="609"/>
      <c r="QMT70" s="609"/>
      <c r="QMU70" s="609"/>
      <c r="QMV70" s="609"/>
      <c r="QMW70" s="609"/>
      <c r="QMX70" s="609"/>
      <c r="QMY70" s="609"/>
      <c r="QMZ70" s="609"/>
      <c r="QNA70" s="609"/>
      <c r="QNB70" s="609"/>
      <c r="QNC70" s="609"/>
      <c r="QND70" s="609"/>
      <c r="QNE70" s="609"/>
      <c r="QNF70" s="609"/>
      <c r="QNG70" s="609"/>
      <c r="QNH70" s="609"/>
      <c r="QNI70" s="609"/>
      <c r="QNJ70" s="609"/>
      <c r="QNK70" s="609"/>
      <c r="QNL70" s="609"/>
      <c r="QNM70" s="609"/>
      <c r="QNN70" s="609"/>
      <c r="QNO70" s="609"/>
      <c r="QNP70" s="609"/>
      <c r="QNQ70" s="609"/>
      <c r="QNR70" s="609"/>
      <c r="QNS70" s="609"/>
      <c r="QNT70" s="609"/>
      <c r="QNU70" s="609"/>
      <c r="QNV70" s="609"/>
      <c r="QNW70" s="609"/>
      <c r="QNX70" s="609"/>
      <c r="QNY70" s="609"/>
      <c r="QNZ70" s="609"/>
      <c r="QOA70" s="609"/>
      <c r="QOB70" s="609"/>
      <c r="QOC70" s="609"/>
      <c r="QOD70" s="609"/>
      <c r="QOE70" s="609"/>
      <c r="QOF70" s="609"/>
      <c r="QOG70" s="609"/>
      <c r="QOH70" s="609"/>
      <c r="QOI70" s="609"/>
      <c r="QOJ70" s="609"/>
      <c r="QOK70" s="609"/>
      <c r="QOL70" s="609"/>
      <c r="QOM70" s="609"/>
      <c r="QON70" s="609"/>
      <c r="QOO70" s="609"/>
      <c r="QOP70" s="609"/>
      <c r="QOQ70" s="609"/>
      <c r="QOR70" s="609"/>
      <c r="QOS70" s="609"/>
      <c r="QOT70" s="609"/>
      <c r="QOU70" s="609"/>
      <c r="QOV70" s="609"/>
      <c r="QOW70" s="609"/>
      <c r="QOX70" s="609"/>
      <c r="QOY70" s="609"/>
      <c r="QOZ70" s="609"/>
      <c r="QPA70" s="609"/>
      <c r="QPB70" s="609"/>
      <c r="QPC70" s="609"/>
      <c r="QPD70" s="609"/>
      <c r="QPE70" s="609"/>
      <c r="QPF70" s="609"/>
      <c r="QPG70" s="609"/>
      <c r="QPH70" s="609"/>
      <c r="QPI70" s="609"/>
      <c r="QPJ70" s="609"/>
      <c r="QPK70" s="609"/>
      <c r="QPL70" s="609"/>
      <c r="QPM70" s="609"/>
      <c r="QPN70" s="609"/>
      <c r="QPO70" s="609"/>
      <c r="QPP70" s="609"/>
      <c r="QPQ70" s="609"/>
      <c r="QPR70" s="609"/>
      <c r="QPS70" s="609"/>
      <c r="QPT70" s="609"/>
      <c r="QPU70" s="609"/>
      <c r="QPV70" s="609"/>
      <c r="QPW70" s="609"/>
      <c r="QPX70" s="609"/>
      <c r="QPY70" s="609"/>
      <c r="QPZ70" s="609"/>
      <c r="QQA70" s="609"/>
      <c r="QQB70" s="609"/>
      <c r="QQC70" s="609"/>
      <c r="QQD70" s="609"/>
      <c r="QQE70" s="609"/>
      <c r="QQF70" s="609"/>
      <c r="QQG70" s="609"/>
      <c r="QQH70" s="609"/>
      <c r="QQI70" s="609"/>
      <c r="QQJ70" s="609"/>
      <c r="QQK70" s="609"/>
      <c r="QQL70" s="609"/>
      <c r="QQM70" s="609"/>
      <c r="QQN70" s="609"/>
      <c r="QQO70" s="609"/>
      <c r="QQP70" s="609"/>
      <c r="QQQ70" s="609"/>
      <c r="QQR70" s="609"/>
      <c r="QQS70" s="609"/>
      <c r="QQT70" s="609"/>
      <c r="QQU70" s="609"/>
      <c r="QQV70" s="609"/>
      <c r="QQW70" s="609"/>
      <c r="QQX70" s="609"/>
      <c r="QQY70" s="609"/>
      <c r="QQZ70" s="609"/>
      <c r="QRA70" s="609"/>
      <c r="QRB70" s="609"/>
      <c r="QRC70" s="609"/>
      <c r="QRD70" s="609"/>
      <c r="QRE70" s="609"/>
      <c r="QRF70" s="609"/>
      <c r="QRG70" s="609"/>
      <c r="QRH70" s="609"/>
      <c r="QRI70" s="609"/>
      <c r="QRJ70" s="609"/>
      <c r="QRK70" s="609"/>
      <c r="QRL70" s="609"/>
      <c r="QRM70" s="609"/>
      <c r="QRN70" s="609"/>
      <c r="QRO70" s="609"/>
      <c r="QRP70" s="609"/>
      <c r="QRQ70" s="609"/>
      <c r="QRR70" s="609"/>
      <c r="QRS70" s="609"/>
      <c r="QRT70" s="609"/>
      <c r="QRU70" s="609"/>
      <c r="QRV70" s="609"/>
      <c r="QRW70" s="609"/>
      <c r="QRX70" s="609"/>
      <c r="QRY70" s="609"/>
      <c r="QRZ70" s="609"/>
      <c r="QSA70" s="609"/>
      <c r="QSB70" s="609"/>
      <c r="QSC70" s="609"/>
      <c r="QSD70" s="609"/>
      <c r="QSE70" s="609"/>
      <c r="QSF70" s="609"/>
      <c r="QSG70" s="609"/>
      <c r="QSH70" s="609"/>
      <c r="QSI70" s="609"/>
      <c r="QSJ70" s="609"/>
      <c r="QSK70" s="609"/>
      <c r="QSL70" s="609"/>
      <c r="QSM70" s="609"/>
      <c r="QSN70" s="609"/>
      <c r="QSO70" s="609"/>
      <c r="QSP70" s="609"/>
      <c r="QSQ70" s="609"/>
      <c r="QSR70" s="609"/>
      <c r="QSS70" s="609"/>
      <c r="QST70" s="609"/>
      <c r="QSU70" s="609"/>
      <c r="QSV70" s="609"/>
      <c r="QSW70" s="609"/>
      <c r="QSX70" s="609"/>
      <c r="QSY70" s="609"/>
      <c r="QSZ70" s="609"/>
      <c r="QTA70" s="609"/>
      <c r="QTB70" s="609"/>
      <c r="QTC70" s="609"/>
      <c r="QTD70" s="609"/>
      <c r="QTE70" s="609"/>
      <c r="QTF70" s="609"/>
      <c r="QTG70" s="609"/>
      <c r="QTH70" s="609"/>
      <c r="QTI70" s="609"/>
      <c r="QTJ70" s="609"/>
      <c r="QTK70" s="609"/>
      <c r="QTL70" s="609"/>
      <c r="QTM70" s="609"/>
      <c r="QTN70" s="609"/>
      <c r="QTO70" s="609"/>
      <c r="QTP70" s="609"/>
      <c r="QTQ70" s="609"/>
      <c r="QTR70" s="609"/>
      <c r="QTS70" s="609"/>
      <c r="QTT70" s="609"/>
      <c r="QTU70" s="609"/>
      <c r="QTV70" s="609"/>
      <c r="QTW70" s="609"/>
      <c r="QTX70" s="609"/>
      <c r="QTY70" s="609"/>
      <c r="QTZ70" s="609"/>
      <c r="QUA70" s="609"/>
      <c r="QUB70" s="609"/>
      <c r="QUC70" s="609"/>
      <c r="QUD70" s="609"/>
      <c r="QUE70" s="609"/>
      <c r="QUF70" s="609"/>
      <c r="QUG70" s="609"/>
      <c r="QUH70" s="609"/>
      <c r="QUI70" s="609"/>
      <c r="QUJ70" s="609"/>
      <c r="QUK70" s="609"/>
      <c r="QUL70" s="609"/>
      <c r="QUM70" s="609"/>
      <c r="QUN70" s="609"/>
      <c r="QUO70" s="609"/>
      <c r="QUP70" s="609"/>
      <c r="QUQ70" s="609"/>
      <c r="QUR70" s="609"/>
      <c r="QUS70" s="609"/>
      <c r="QUT70" s="609"/>
      <c r="QUU70" s="609"/>
      <c r="QUV70" s="609"/>
      <c r="QUW70" s="609"/>
      <c r="QUX70" s="609"/>
      <c r="QUY70" s="609"/>
      <c r="QUZ70" s="609"/>
      <c r="QVA70" s="609"/>
      <c r="QVB70" s="609"/>
      <c r="QVC70" s="609"/>
      <c r="QVD70" s="609"/>
      <c r="QVE70" s="609"/>
      <c r="QVF70" s="609"/>
      <c r="QVG70" s="609"/>
      <c r="QVH70" s="609"/>
      <c r="QVI70" s="609"/>
      <c r="QVJ70" s="609"/>
      <c r="QVK70" s="609"/>
      <c r="QVL70" s="609"/>
      <c r="QVM70" s="609"/>
      <c r="QVN70" s="609"/>
      <c r="QVO70" s="609"/>
      <c r="QVP70" s="609"/>
      <c r="QVQ70" s="609"/>
      <c r="QVR70" s="609"/>
      <c r="QVS70" s="609"/>
      <c r="QVT70" s="609"/>
      <c r="QVU70" s="609"/>
      <c r="QVV70" s="609"/>
      <c r="QVW70" s="609"/>
      <c r="QVX70" s="609"/>
      <c r="QVY70" s="609"/>
      <c r="QVZ70" s="609"/>
      <c r="QWA70" s="609"/>
      <c r="QWB70" s="609"/>
      <c r="QWC70" s="609"/>
      <c r="QWD70" s="609"/>
      <c r="QWE70" s="609"/>
      <c r="QWF70" s="609"/>
      <c r="QWG70" s="609"/>
      <c r="QWH70" s="609"/>
      <c r="QWI70" s="609"/>
      <c r="QWJ70" s="609"/>
      <c r="QWK70" s="609"/>
      <c r="QWL70" s="609"/>
      <c r="QWM70" s="609"/>
      <c r="QWN70" s="609"/>
      <c r="QWO70" s="609"/>
      <c r="QWP70" s="609"/>
      <c r="QWQ70" s="609"/>
      <c r="QWR70" s="609"/>
      <c r="QWS70" s="609"/>
      <c r="QWT70" s="609"/>
      <c r="QWU70" s="609"/>
      <c r="QWV70" s="609"/>
      <c r="QWW70" s="609"/>
      <c r="QWX70" s="609"/>
      <c r="QWY70" s="609"/>
      <c r="QWZ70" s="609"/>
      <c r="QXA70" s="609"/>
      <c r="QXB70" s="609"/>
      <c r="QXC70" s="609"/>
      <c r="QXD70" s="609"/>
      <c r="QXE70" s="609"/>
      <c r="QXF70" s="609"/>
      <c r="QXG70" s="609"/>
      <c r="QXH70" s="609"/>
      <c r="QXI70" s="609"/>
      <c r="QXJ70" s="609"/>
      <c r="QXK70" s="609"/>
      <c r="QXL70" s="609"/>
      <c r="QXM70" s="609"/>
      <c r="QXN70" s="609"/>
      <c r="QXO70" s="609"/>
      <c r="QXP70" s="609"/>
      <c r="QXQ70" s="609"/>
      <c r="QXR70" s="609"/>
      <c r="QXS70" s="609"/>
      <c r="QXT70" s="609"/>
      <c r="QXU70" s="609"/>
      <c r="QXV70" s="609"/>
      <c r="QXW70" s="609"/>
      <c r="QXX70" s="609"/>
      <c r="QXY70" s="609"/>
      <c r="QXZ70" s="609"/>
      <c r="QYA70" s="609"/>
      <c r="QYB70" s="609"/>
      <c r="QYC70" s="609"/>
      <c r="QYD70" s="609"/>
      <c r="QYE70" s="609"/>
      <c r="QYF70" s="609"/>
      <c r="QYG70" s="609"/>
      <c r="QYH70" s="609"/>
      <c r="QYI70" s="609"/>
      <c r="QYJ70" s="609"/>
      <c r="QYK70" s="609"/>
      <c r="QYL70" s="609"/>
      <c r="QYM70" s="609"/>
      <c r="QYN70" s="609"/>
      <c r="QYO70" s="609"/>
      <c r="QYP70" s="609"/>
      <c r="QYQ70" s="609"/>
      <c r="QYR70" s="609"/>
      <c r="QYS70" s="609"/>
      <c r="QYT70" s="609"/>
      <c r="QYU70" s="609"/>
      <c r="QYV70" s="609"/>
      <c r="QYW70" s="609"/>
      <c r="QYX70" s="609"/>
      <c r="QYY70" s="609"/>
      <c r="QYZ70" s="609"/>
      <c r="QZA70" s="609"/>
      <c r="QZB70" s="609"/>
      <c r="QZC70" s="609"/>
      <c r="QZD70" s="609"/>
      <c r="QZE70" s="609"/>
      <c r="QZF70" s="609"/>
      <c r="QZG70" s="609"/>
      <c r="QZH70" s="609"/>
      <c r="QZI70" s="609"/>
      <c r="QZJ70" s="609"/>
      <c r="QZK70" s="609"/>
      <c r="QZL70" s="609"/>
      <c r="QZM70" s="609"/>
      <c r="QZN70" s="609"/>
      <c r="QZO70" s="609"/>
      <c r="QZP70" s="609"/>
      <c r="QZQ70" s="609"/>
      <c r="QZR70" s="609"/>
      <c r="QZS70" s="609"/>
      <c r="QZT70" s="609"/>
      <c r="QZU70" s="609"/>
      <c r="QZV70" s="609"/>
      <c r="QZW70" s="609"/>
      <c r="QZX70" s="609"/>
      <c r="QZY70" s="609"/>
      <c r="QZZ70" s="609"/>
      <c r="RAA70" s="609"/>
      <c r="RAB70" s="609"/>
      <c r="RAC70" s="609"/>
      <c r="RAD70" s="609"/>
      <c r="RAE70" s="609"/>
      <c r="RAF70" s="609"/>
      <c r="RAG70" s="609"/>
      <c r="RAH70" s="609"/>
      <c r="RAI70" s="609"/>
      <c r="RAJ70" s="609"/>
      <c r="RAK70" s="609"/>
      <c r="RAL70" s="609"/>
      <c r="RAM70" s="609"/>
      <c r="RAN70" s="609"/>
      <c r="RAO70" s="609"/>
      <c r="RAP70" s="609"/>
      <c r="RAQ70" s="609"/>
      <c r="RAR70" s="609"/>
      <c r="RAS70" s="609"/>
      <c r="RAT70" s="609"/>
      <c r="RAU70" s="609"/>
      <c r="RAV70" s="609"/>
      <c r="RAW70" s="609"/>
      <c r="RAX70" s="609"/>
      <c r="RAY70" s="609"/>
      <c r="RAZ70" s="609"/>
      <c r="RBA70" s="609"/>
      <c r="RBB70" s="609"/>
      <c r="RBC70" s="609"/>
      <c r="RBD70" s="609"/>
      <c r="RBE70" s="609"/>
      <c r="RBF70" s="609"/>
      <c r="RBG70" s="609"/>
      <c r="RBH70" s="609"/>
      <c r="RBI70" s="609"/>
      <c r="RBJ70" s="609"/>
      <c r="RBK70" s="609"/>
      <c r="RBL70" s="609"/>
      <c r="RBM70" s="609"/>
      <c r="RBN70" s="609"/>
      <c r="RBO70" s="609"/>
      <c r="RBP70" s="609"/>
      <c r="RBQ70" s="609"/>
      <c r="RBR70" s="609"/>
      <c r="RBS70" s="609"/>
      <c r="RBT70" s="609"/>
      <c r="RBU70" s="609"/>
      <c r="RBV70" s="609"/>
      <c r="RBW70" s="609"/>
      <c r="RBX70" s="609"/>
      <c r="RBY70" s="609"/>
      <c r="RBZ70" s="609"/>
      <c r="RCA70" s="609"/>
      <c r="RCB70" s="609"/>
      <c r="RCC70" s="609"/>
      <c r="RCD70" s="609"/>
      <c r="RCE70" s="609"/>
      <c r="RCF70" s="609"/>
      <c r="RCG70" s="609"/>
      <c r="RCH70" s="609"/>
      <c r="RCI70" s="609"/>
      <c r="RCJ70" s="609"/>
      <c r="RCK70" s="609"/>
      <c r="RCL70" s="609"/>
      <c r="RCM70" s="609"/>
      <c r="RCN70" s="609"/>
      <c r="RCO70" s="609"/>
      <c r="RCP70" s="609"/>
      <c r="RCQ70" s="609"/>
      <c r="RCR70" s="609"/>
      <c r="RCS70" s="609"/>
      <c r="RCT70" s="609"/>
      <c r="RCU70" s="609"/>
      <c r="RCV70" s="609"/>
      <c r="RCW70" s="609"/>
      <c r="RCX70" s="609"/>
      <c r="RCY70" s="609"/>
      <c r="RCZ70" s="609"/>
      <c r="RDA70" s="609"/>
      <c r="RDB70" s="609"/>
      <c r="RDC70" s="609"/>
      <c r="RDD70" s="609"/>
      <c r="RDE70" s="609"/>
      <c r="RDF70" s="609"/>
      <c r="RDG70" s="609"/>
      <c r="RDH70" s="609"/>
      <c r="RDI70" s="609"/>
      <c r="RDJ70" s="609"/>
      <c r="RDK70" s="609"/>
      <c r="RDL70" s="609"/>
      <c r="RDM70" s="609"/>
      <c r="RDN70" s="609"/>
      <c r="RDO70" s="609"/>
      <c r="RDP70" s="609"/>
      <c r="RDQ70" s="609"/>
      <c r="RDR70" s="609"/>
      <c r="RDS70" s="609"/>
      <c r="RDT70" s="609"/>
      <c r="RDU70" s="609"/>
      <c r="RDV70" s="609"/>
      <c r="RDW70" s="609"/>
      <c r="RDX70" s="609"/>
      <c r="RDY70" s="609"/>
      <c r="RDZ70" s="609"/>
      <c r="REA70" s="609"/>
      <c r="REB70" s="609"/>
      <c r="REC70" s="609"/>
      <c r="RED70" s="609"/>
      <c r="REE70" s="609"/>
      <c r="REF70" s="609"/>
      <c r="REG70" s="609"/>
      <c r="REH70" s="609"/>
      <c r="REI70" s="609"/>
      <c r="REJ70" s="609"/>
      <c r="REK70" s="609"/>
      <c r="REL70" s="609"/>
      <c r="REM70" s="609"/>
      <c r="REN70" s="609"/>
      <c r="REO70" s="609"/>
      <c r="REP70" s="609"/>
      <c r="REQ70" s="609"/>
      <c r="RER70" s="609"/>
      <c r="RES70" s="609"/>
      <c r="RET70" s="609"/>
      <c r="REU70" s="609"/>
      <c r="REV70" s="609"/>
      <c r="REW70" s="609"/>
      <c r="REX70" s="609"/>
      <c r="REY70" s="609"/>
      <c r="REZ70" s="609"/>
      <c r="RFA70" s="609"/>
      <c r="RFB70" s="609"/>
      <c r="RFC70" s="609"/>
      <c r="RFD70" s="609"/>
      <c r="RFE70" s="609"/>
      <c r="RFF70" s="609"/>
      <c r="RFG70" s="609"/>
      <c r="RFH70" s="609"/>
      <c r="RFI70" s="609"/>
      <c r="RFJ70" s="609"/>
      <c r="RFK70" s="609"/>
      <c r="RFL70" s="609"/>
      <c r="RFM70" s="609"/>
      <c r="RFN70" s="609"/>
      <c r="RFO70" s="609"/>
      <c r="RFP70" s="609"/>
      <c r="RFQ70" s="609"/>
      <c r="RFR70" s="609"/>
      <c r="RFS70" s="609"/>
      <c r="RFT70" s="609"/>
      <c r="RFU70" s="609"/>
      <c r="RFV70" s="609"/>
      <c r="RFW70" s="609"/>
      <c r="RFX70" s="609"/>
      <c r="RFY70" s="609"/>
      <c r="RFZ70" s="609"/>
      <c r="RGA70" s="609"/>
      <c r="RGB70" s="609"/>
      <c r="RGC70" s="609"/>
      <c r="RGD70" s="609"/>
      <c r="RGE70" s="609"/>
      <c r="RGF70" s="609"/>
      <c r="RGG70" s="609"/>
      <c r="RGH70" s="609"/>
      <c r="RGI70" s="609"/>
      <c r="RGJ70" s="609"/>
      <c r="RGK70" s="609"/>
      <c r="RGL70" s="609"/>
      <c r="RGM70" s="609"/>
      <c r="RGN70" s="609"/>
      <c r="RGO70" s="609"/>
      <c r="RGP70" s="609"/>
      <c r="RGQ70" s="609"/>
      <c r="RGR70" s="609"/>
      <c r="RGS70" s="609"/>
      <c r="RGT70" s="609"/>
      <c r="RGU70" s="609"/>
      <c r="RGV70" s="609"/>
      <c r="RGW70" s="609"/>
      <c r="RGX70" s="609"/>
      <c r="RGY70" s="609"/>
      <c r="RGZ70" s="609"/>
      <c r="RHA70" s="609"/>
      <c r="RHB70" s="609"/>
      <c r="RHC70" s="609"/>
      <c r="RHD70" s="609"/>
      <c r="RHE70" s="609"/>
      <c r="RHF70" s="609"/>
      <c r="RHG70" s="609"/>
      <c r="RHH70" s="609"/>
      <c r="RHI70" s="609"/>
      <c r="RHJ70" s="609"/>
      <c r="RHK70" s="609"/>
      <c r="RHL70" s="609"/>
      <c r="RHM70" s="609"/>
      <c r="RHN70" s="609"/>
      <c r="RHO70" s="609"/>
      <c r="RHP70" s="609"/>
      <c r="RHQ70" s="609"/>
      <c r="RHR70" s="609"/>
      <c r="RHS70" s="609"/>
      <c r="RHT70" s="609"/>
      <c r="RHU70" s="609"/>
      <c r="RHV70" s="609"/>
      <c r="RHW70" s="609"/>
      <c r="RHX70" s="609"/>
      <c r="RHY70" s="609"/>
      <c r="RHZ70" s="609"/>
      <c r="RIA70" s="609"/>
      <c r="RIB70" s="609"/>
      <c r="RIC70" s="609"/>
      <c r="RID70" s="609"/>
      <c r="RIE70" s="609"/>
      <c r="RIF70" s="609"/>
      <c r="RIG70" s="609"/>
      <c r="RIH70" s="609"/>
      <c r="RII70" s="609"/>
      <c r="RIJ70" s="609"/>
      <c r="RIK70" s="609"/>
      <c r="RIL70" s="609"/>
      <c r="RIM70" s="609"/>
      <c r="RIN70" s="609"/>
      <c r="RIO70" s="609"/>
      <c r="RIP70" s="609"/>
      <c r="RIQ70" s="609"/>
      <c r="RIR70" s="609"/>
      <c r="RIS70" s="609"/>
      <c r="RIT70" s="609"/>
      <c r="RIU70" s="609"/>
      <c r="RIV70" s="609"/>
      <c r="RIW70" s="609"/>
      <c r="RIX70" s="609"/>
      <c r="RIY70" s="609"/>
      <c r="RIZ70" s="609"/>
      <c r="RJA70" s="609"/>
      <c r="RJB70" s="609"/>
      <c r="RJC70" s="609"/>
      <c r="RJD70" s="609"/>
      <c r="RJE70" s="609"/>
      <c r="RJF70" s="609"/>
      <c r="RJG70" s="609"/>
      <c r="RJH70" s="609"/>
      <c r="RJI70" s="609"/>
      <c r="RJJ70" s="609"/>
      <c r="RJK70" s="609"/>
      <c r="RJL70" s="609"/>
      <c r="RJM70" s="609"/>
      <c r="RJN70" s="609"/>
      <c r="RJO70" s="609"/>
      <c r="RJP70" s="609"/>
      <c r="RJQ70" s="609"/>
      <c r="RJR70" s="609"/>
      <c r="RJS70" s="609"/>
      <c r="RJT70" s="609"/>
      <c r="RJU70" s="609"/>
      <c r="RJV70" s="609"/>
      <c r="RJW70" s="609"/>
      <c r="RJX70" s="609"/>
      <c r="RJY70" s="609"/>
      <c r="RJZ70" s="609"/>
      <c r="RKA70" s="609"/>
      <c r="RKB70" s="609"/>
      <c r="RKC70" s="609"/>
      <c r="RKD70" s="609"/>
      <c r="RKE70" s="609"/>
      <c r="RKF70" s="609"/>
      <c r="RKG70" s="609"/>
      <c r="RKH70" s="609"/>
      <c r="RKI70" s="609"/>
      <c r="RKJ70" s="609"/>
      <c r="RKK70" s="609"/>
      <c r="RKL70" s="609"/>
      <c r="RKM70" s="609"/>
      <c r="RKN70" s="609"/>
      <c r="RKO70" s="609"/>
      <c r="RKP70" s="609"/>
      <c r="RKQ70" s="609"/>
      <c r="RKR70" s="609"/>
      <c r="RKS70" s="609"/>
      <c r="RKT70" s="609"/>
      <c r="RKU70" s="609"/>
      <c r="RKV70" s="609"/>
      <c r="RKW70" s="609"/>
      <c r="RKX70" s="609"/>
      <c r="RKY70" s="609"/>
      <c r="RKZ70" s="609"/>
      <c r="RLA70" s="609"/>
      <c r="RLB70" s="609"/>
      <c r="RLC70" s="609"/>
      <c r="RLD70" s="609"/>
      <c r="RLE70" s="609"/>
      <c r="RLF70" s="609"/>
      <c r="RLG70" s="609"/>
      <c r="RLH70" s="609"/>
      <c r="RLI70" s="609"/>
      <c r="RLJ70" s="609"/>
      <c r="RLK70" s="609"/>
      <c r="RLL70" s="609"/>
      <c r="RLM70" s="609"/>
      <c r="RLN70" s="609"/>
      <c r="RLO70" s="609"/>
      <c r="RLP70" s="609"/>
      <c r="RLQ70" s="609"/>
      <c r="RLR70" s="609"/>
      <c r="RLS70" s="609"/>
      <c r="RLT70" s="609"/>
      <c r="RLU70" s="609"/>
      <c r="RLV70" s="609"/>
      <c r="RLW70" s="609"/>
      <c r="RLX70" s="609"/>
      <c r="RLY70" s="609"/>
      <c r="RLZ70" s="609"/>
      <c r="RMA70" s="609"/>
      <c r="RMB70" s="609"/>
      <c r="RMC70" s="609"/>
      <c r="RMD70" s="609"/>
      <c r="RME70" s="609"/>
      <c r="RMF70" s="609"/>
      <c r="RMG70" s="609"/>
      <c r="RMH70" s="609"/>
      <c r="RMI70" s="609"/>
      <c r="RMJ70" s="609"/>
      <c r="RMK70" s="609"/>
      <c r="RML70" s="609"/>
      <c r="RMM70" s="609"/>
      <c r="RMN70" s="609"/>
      <c r="RMO70" s="609"/>
      <c r="RMP70" s="609"/>
      <c r="RMQ70" s="609"/>
      <c r="RMR70" s="609"/>
      <c r="RMS70" s="609"/>
      <c r="RMT70" s="609"/>
      <c r="RMU70" s="609"/>
      <c r="RMV70" s="609"/>
      <c r="RMW70" s="609"/>
      <c r="RMX70" s="609"/>
      <c r="RMY70" s="609"/>
      <c r="RMZ70" s="609"/>
      <c r="RNA70" s="609"/>
      <c r="RNB70" s="609"/>
      <c r="RNC70" s="609"/>
      <c r="RND70" s="609"/>
      <c r="RNE70" s="609"/>
      <c r="RNF70" s="609"/>
      <c r="RNG70" s="609"/>
      <c r="RNH70" s="609"/>
      <c r="RNI70" s="609"/>
      <c r="RNJ70" s="609"/>
      <c r="RNK70" s="609"/>
      <c r="RNL70" s="609"/>
      <c r="RNM70" s="609"/>
      <c r="RNN70" s="609"/>
      <c r="RNO70" s="609"/>
      <c r="RNP70" s="609"/>
      <c r="RNQ70" s="609"/>
      <c r="RNR70" s="609"/>
      <c r="RNS70" s="609"/>
      <c r="RNT70" s="609"/>
      <c r="RNU70" s="609"/>
      <c r="RNV70" s="609"/>
      <c r="RNW70" s="609"/>
      <c r="RNX70" s="609"/>
      <c r="RNY70" s="609"/>
      <c r="RNZ70" s="609"/>
      <c r="ROA70" s="609"/>
      <c r="ROB70" s="609"/>
      <c r="ROC70" s="609"/>
      <c r="ROD70" s="609"/>
      <c r="ROE70" s="609"/>
      <c r="ROF70" s="609"/>
      <c r="ROG70" s="609"/>
      <c r="ROH70" s="609"/>
      <c r="ROI70" s="609"/>
      <c r="ROJ70" s="609"/>
      <c r="ROK70" s="609"/>
      <c r="ROL70" s="609"/>
      <c r="ROM70" s="609"/>
      <c r="RON70" s="609"/>
      <c r="ROO70" s="609"/>
      <c r="ROP70" s="609"/>
      <c r="ROQ70" s="609"/>
      <c r="ROR70" s="609"/>
      <c r="ROS70" s="609"/>
      <c r="ROT70" s="609"/>
      <c r="ROU70" s="609"/>
      <c r="ROV70" s="609"/>
      <c r="ROW70" s="609"/>
      <c r="ROX70" s="609"/>
      <c r="ROY70" s="609"/>
      <c r="ROZ70" s="609"/>
      <c r="RPA70" s="609"/>
      <c r="RPB70" s="609"/>
      <c r="RPC70" s="609"/>
      <c r="RPD70" s="609"/>
      <c r="RPE70" s="609"/>
      <c r="RPF70" s="609"/>
      <c r="RPG70" s="609"/>
      <c r="RPH70" s="609"/>
      <c r="RPI70" s="609"/>
      <c r="RPJ70" s="609"/>
      <c r="RPK70" s="609"/>
      <c r="RPL70" s="609"/>
      <c r="RPM70" s="609"/>
      <c r="RPN70" s="609"/>
      <c r="RPO70" s="609"/>
      <c r="RPP70" s="609"/>
      <c r="RPQ70" s="609"/>
      <c r="RPR70" s="609"/>
      <c r="RPS70" s="609"/>
      <c r="RPT70" s="609"/>
      <c r="RPU70" s="609"/>
      <c r="RPV70" s="609"/>
      <c r="RPW70" s="609"/>
      <c r="RPX70" s="609"/>
      <c r="RPY70" s="609"/>
      <c r="RPZ70" s="609"/>
      <c r="RQA70" s="609"/>
      <c r="RQB70" s="609"/>
      <c r="RQC70" s="609"/>
      <c r="RQD70" s="609"/>
      <c r="RQE70" s="609"/>
      <c r="RQF70" s="609"/>
      <c r="RQG70" s="609"/>
      <c r="RQH70" s="609"/>
      <c r="RQI70" s="609"/>
      <c r="RQJ70" s="609"/>
      <c r="RQK70" s="609"/>
      <c r="RQL70" s="609"/>
      <c r="RQM70" s="609"/>
      <c r="RQN70" s="609"/>
      <c r="RQO70" s="609"/>
      <c r="RQP70" s="609"/>
      <c r="RQQ70" s="609"/>
      <c r="RQR70" s="609"/>
      <c r="RQS70" s="609"/>
      <c r="RQT70" s="609"/>
      <c r="RQU70" s="609"/>
      <c r="RQV70" s="609"/>
      <c r="RQW70" s="609"/>
      <c r="RQX70" s="609"/>
      <c r="RQY70" s="609"/>
      <c r="RQZ70" s="609"/>
      <c r="RRA70" s="609"/>
      <c r="RRB70" s="609"/>
      <c r="RRC70" s="609"/>
      <c r="RRD70" s="609"/>
      <c r="RRE70" s="609"/>
      <c r="RRF70" s="609"/>
      <c r="RRG70" s="609"/>
      <c r="RRH70" s="609"/>
      <c r="RRI70" s="609"/>
      <c r="RRJ70" s="609"/>
      <c r="RRK70" s="609"/>
      <c r="RRL70" s="609"/>
      <c r="RRM70" s="609"/>
      <c r="RRN70" s="609"/>
      <c r="RRO70" s="609"/>
      <c r="RRP70" s="609"/>
      <c r="RRQ70" s="609"/>
      <c r="RRR70" s="609"/>
      <c r="RRS70" s="609"/>
      <c r="RRT70" s="609"/>
      <c r="RRU70" s="609"/>
      <c r="RRV70" s="609"/>
      <c r="RRW70" s="609"/>
      <c r="RRX70" s="609"/>
      <c r="RRY70" s="609"/>
      <c r="RRZ70" s="609"/>
      <c r="RSA70" s="609"/>
      <c r="RSB70" s="609"/>
      <c r="RSC70" s="609"/>
      <c r="RSD70" s="609"/>
      <c r="RSE70" s="609"/>
      <c r="RSF70" s="609"/>
      <c r="RSG70" s="609"/>
      <c r="RSH70" s="609"/>
      <c r="RSI70" s="609"/>
      <c r="RSJ70" s="609"/>
      <c r="RSK70" s="609"/>
      <c r="RSL70" s="609"/>
      <c r="RSM70" s="609"/>
      <c r="RSN70" s="609"/>
      <c r="RSO70" s="609"/>
      <c r="RSP70" s="609"/>
      <c r="RSQ70" s="609"/>
      <c r="RSR70" s="609"/>
      <c r="RSS70" s="609"/>
      <c r="RST70" s="609"/>
      <c r="RSU70" s="609"/>
      <c r="RSV70" s="609"/>
      <c r="RSW70" s="609"/>
      <c r="RSX70" s="609"/>
      <c r="RSY70" s="609"/>
      <c r="RSZ70" s="609"/>
      <c r="RTA70" s="609"/>
      <c r="RTB70" s="609"/>
      <c r="RTC70" s="609"/>
      <c r="RTD70" s="609"/>
      <c r="RTE70" s="609"/>
      <c r="RTF70" s="609"/>
      <c r="RTG70" s="609"/>
      <c r="RTH70" s="609"/>
      <c r="RTI70" s="609"/>
      <c r="RTJ70" s="609"/>
      <c r="RTK70" s="609"/>
      <c r="RTL70" s="609"/>
      <c r="RTM70" s="609"/>
      <c r="RTN70" s="609"/>
      <c r="RTO70" s="609"/>
      <c r="RTP70" s="609"/>
      <c r="RTQ70" s="609"/>
      <c r="RTR70" s="609"/>
      <c r="RTS70" s="609"/>
      <c r="RTT70" s="609"/>
      <c r="RTU70" s="609"/>
      <c r="RTV70" s="609"/>
      <c r="RTW70" s="609"/>
      <c r="RTX70" s="609"/>
      <c r="RTY70" s="609"/>
      <c r="RTZ70" s="609"/>
      <c r="RUA70" s="609"/>
      <c r="RUB70" s="609"/>
      <c r="RUC70" s="609"/>
      <c r="RUD70" s="609"/>
      <c r="RUE70" s="609"/>
      <c r="RUF70" s="609"/>
      <c r="RUG70" s="609"/>
      <c r="RUH70" s="609"/>
      <c r="RUI70" s="609"/>
      <c r="RUJ70" s="609"/>
      <c r="RUK70" s="609"/>
      <c r="RUL70" s="609"/>
      <c r="RUM70" s="609"/>
      <c r="RUN70" s="609"/>
      <c r="RUO70" s="609"/>
      <c r="RUP70" s="609"/>
      <c r="RUQ70" s="609"/>
      <c r="RUR70" s="609"/>
      <c r="RUS70" s="609"/>
      <c r="RUT70" s="609"/>
      <c r="RUU70" s="609"/>
      <c r="RUV70" s="609"/>
      <c r="RUW70" s="609"/>
      <c r="RUX70" s="609"/>
      <c r="RUY70" s="609"/>
      <c r="RUZ70" s="609"/>
      <c r="RVA70" s="609"/>
      <c r="RVB70" s="609"/>
      <c r="RVC70" s="609"/>
      <c r="RVD70" s="609"/>
      <c r="RVE70" s="609"/>
      <c r="RVF70" s="609"/>
      <c r="RVG70" s="609"/>
      <c r="RVH70" s="609"/>
      <c r="RVI70" s="609"/>
      <c r="RVJ70" s="609"/>
      <c r="RVK70" s="609"/>
      <c r="RVL70" s="609"/>
      <c r="RVM70" s="609"/>
      <c r="RVN70" s="609"/>
      <c r="RVO70" s="609"/>
      <c r="RVP70" s="609"/>
      <c r="RVQ70" s="609"/>
      <c r="RVR70" s="609"/>
      <c r="RVS70" s="609"/>
      <c r="RVT70" s="609"/>
      <c r="RVU70" s="609"/>
      <c r="RVV70" s="609"/>
      <c r="RVW70" s="609"/>
      <c r="RVX70" s="609"/>
      <c r="RVY70" s="609"/>
      <c r="RVZ70" s="609"/>
      <c r="RWA70" s="609"/>
      <c r="RWB70" s="609"/>
      <c r="RWC70" s="609"/>
      <c r="RWD70" s="609"/>
      <c r="RWE70" s="609"/>
      <c r="RWF70" s="609"/>
      <c r="RWG70" s="609"/>
      <c r="RWH70" s="609"/>
      <c r="RWI70" s="609"/>
      <c r="RWJ70" s="609"/>
      <c r="RWK70" s="609"/>
      <c r="RWL70" s="609"/>
      <c r="RWM70" s="609"/>
      <c r="RWN70" s="609"/>
      <c r="RWO70" s="609"/>
      <c r="RWP70" s="609"/>
      <c r="RWQ70" s="609"/>
      <c r="RWR70" s="609"/>
      <c r="RWS70" s="609"/>
      <c r="RWT70" s="609"/>
      <c r="RWU70" s="609"/>
      <c r="RWV70" s="609"/>
      <c r="RWW70" s="609"/>
      <c r="RWX70" s="609"/>
      <c r="RWY70" s="609"/>
      <c r="RWZ70" s="609"/>
      <c r="RXA70" s="609"/>
      <c r="RXB70" s="609"/>
      <c r="RXC70" s="609"/>
      <c r="RXD70" s="609"/>
      <c r="RXE70" s="609"/>
      <c r="RXF70" s="609"/>
      <c r="RXG70" s="609"/>
      <c r="RXH70" s="609"/>
      <c r="RXI70" s="609"/>
      <c r="RXJ70" s="609"/>
      <c r="RXK70" s="609"/>
      <c r="RXL70" s="609"/>
      <c r="RXM70" s="609"/>
      <c r="RXN70" s="609"/>
      <c r="RXO70" s="609"/>
      <c r="RXP70" s="609"/>
      <c r="RXQ70" s="609"/>
      <c r="RXR70" s="609"/>
      <c r="RXS70" s="609"/>
      <c r="RXT70" s="609"/>
      <c r="RXU70" s="609"/>
      <c r="RXV70" s="609"/>
      <c r="RXW70" s="609"/>
      <c r="RXX70" s="609"/>
      <c r="RXY70" s="609"/>
      <c r="RXZ70" s="609"/>
      <c r="RYA70" s="609"/>
      <c r="RYB70" s="609"/>
      <c r="RYC70" s="609"/>
      <c r="RYD70" s="609"/>
      <c r="RYE70" s="609"/>
      <c r="RYF70" s="609"/>
      <c r="RYG70" s="609"/>
      <c r="RYH70" s="609"/>
      <c r="RYI70" s="609"/>
      <c r="RYJ70" s="609"/>
      <c r="RYK70" s="609"/>
      <c r="RYL70" s="609"/>
      <c r="RYM70" s="609"/>
      <c r="RYN70" s="609"/>
      <c r="RYO70" s="609"/>
      <c r="RYP70" s="609"/>
      <c r="RYQ70" s="609"/>
      <c r="RYR70" s="609"/>
      <c r="RYS70" s="609"/>
      <c r="RYT70" s="609"/>
      <c r="RYU70" s="609"/>
      <c r="RYV70" s="609"/>
      <c r="RYW70" s="609"/>
      <c r="RYX70" s="609"/>
      <c r="RYY70" s="609"/>
      <c r="RYZ70" s="609"/>
      <c r="RZA70" s="609"/>
      <c r="RZB70" s="609"/>
      <c r="RZC70" s="609"/>
      <c r="RZD70" s="609"/>
      <c r="RZE70" s="609"/>
      <c r="RZF70" s="609"/>
      <c r="RZG70" s="609"/>
      <c r="RZH70" s="609"/>
      <c r="RZI70" s="609"/>
      <c r="RZJ70" s="609"/>
      <c r="RZK70" s="609"/>
      <c r="RZL70" s="609"/>
      <c r="RZM70" s="609"/>
      <c r="RZN70" s="609"/>
      <c r="RZO70" s="609"/>
      <c r="RZP70" s="609"/>
      <c r="RZQ70" s="609"/>
      <c r="RZR70" s="609"/>
      <c r="RZS70" s="609"/>
      <c r="RZT70" s="609"/>
      <c r="RZU70" s="609"/>
      <c r="RZV70" s="609"/>
      <c r="RZW70" s="609"/>
      <c r="RZX70" s="609"/>
      <c r="RZY70" s="609"/>
      <c r="RZZ70" s="609"/>
      <c r="SAA70" s="609"/>
      <c r="SAB70" s="609"/>
      <c r="SAC70" s="609"/>
      <c r="SAD70" s="609"/>
      <c r="SAE70" s="609"/>
      <c r="SAF70" s="609"/>
      <c r="SAG70" s="609"/>
      <c r="SAH70" s="609"/>
      <c r="SAI70" s="609"/>
      <c r="SAJ70" s="609"/>
      <c r="SAK70" s="609"/>
      <c r="SAL70" s="609"/>
      <c r="SAM70" s="609"/>
      <c r="SAN70" s="609"/>
      <c r="SAO70" s="609"/>
      <c r="SAP70" s="609"/>
      <c r="SAQ70" s="609"/>
      <c r="SAR70" s="609"/>
      <c r="SAS70" s="609"/>
      <c r="SAT70" s="609"/>
      <c r="SAU70" s="609"/>
      <c r="SAV70" s="609"/>
      <c r="SAW70" s="609"/>
      <c r="SAX70" s="609"/>
      <c r="SAY70" s="609"/>
      <c r="SAZ70" s="609"/>
      <c r="SBA70" s="609"/>
      <c r="SBB70" s="609"/>
      <c r="SBC70" s="609"/>
      <c r="SBD70" s="609"/>
      <c r="SBE70" s="609"/>
      <c r="SBF70" s="609"/>
      <c r="SBG70" s="609"/>
      <c r="SBH70" s="609"/>
      <c r="SBI70" s="609"/>
      <c r="SBJ70" s="609"/>
      <c r="SBK70" s="609"/>
      <c r="SBL70" s="609"/>
      <c r="SBM70" s="609"/>
      <c r="SBN70" s="609"/>
      <c r="SBO70" s="609"/>
      <c r="SBP70" s="609"/>
      <c r="SBQ70" s="609"/>
      <c r="SBR70" s="609"/>
      <c r="SBS70" s="609"/>
      <c r="SBT70" s="609"/>
      <c r="SBU70" s="609"/>
      <c r="SBV70" s="609"/>
      <c r="SBW70" s="609"/>
      <c r="SBX70" s="609"/>
      <c r="SBY70" s="609"/>
      <c r="SBZ70" s="609"/>
      <c r="SCA70" s="609"/>
      <c r="SCB70" s="609"/>
      <c r="SCC70" s="609"/>
      <c r="SCD70" s="609"/>
      <c r="SCE70" s="609"/>
      <c r="SCF70" s="609"/>
      <c r="SCG70" s="609"/>
      <c r="SCH70" s="609"/>
      <c r="SCI70" s="609"/>
      <c r="SCJ70" s="609"/>
      <c r="SCK70" s="609"/>
      <c r="SCL70" s="609"/>
      <c r="SCM70" s="609"/>
      <c r="SCN70" s="609"/>
      <c r="SCO70" s="609"/>
      <c r="SCP70" s="609"/>
      <c r="SCQ70" s="609"/>
      <c r="SCR70" s="609"/>
      <c r="SCS70" s="609"/>
      <c r="SCT70" s="609"/>
      <c r="SCU70" s="609"/>
      <c r="SCV70" s="609"/>
      <c r="SCW70" s="609"/>
      <c r="SCX70" s="609"/>
      <c r="SCY70" s="609"/>
      <c r="SCZ70" s="609"/>
      <c r="SDA70" s="609"/>
      <c r="SDB70" s="609"/>
      <c r="SDC70" s="609"/>
      <c r="SDD70" s="609"/>
      <c r="SDE70" s="609"/>
      <c r="SDF70" s="609"/>
      <c r="SDG70" s="609"/>
      <c r="SDH70" s="609"/>
      <c r="SDI70" s="609"/>
      <c r="SDJ70" s="609"/>
      <c r="SDK70" s="609"/>
      <c r="SDL70" s="609"/>
      <c r="SDM70" s="609"/>
      <c r="SDN70" s="609"/>
      <c r="SDO70" s="609"/>
      <c r="SDP70" s="609"/>
      <c r="SDQ70" s="609"/>
      <c r="SDR70" s="609"/>
      <c r="SDS70" s="609"/>
      <c r="SDT70" s="609"/>
      <c r="SDU70" s="609"/>
      <c r="SDV70" s="609"/>
      <c r="SDW70" s="609"/>
      <c r="SDX70" s="609"/>
      <c r="SDY70" s="609"/>
      <c r="SDZ70" s="609"/>
      <c r="SEA70" s="609"/>
      <c r="SEB70" s="609"/>
      <c r="SEC70" s="609"/>
      <c r="SED70" s="609"/>
      <c r="SEE70" s="609"/>
      <c r="SEF70" s="609"/>
      <c r="SEG70" s="609"/>
      <c r="SEH70" s="609"/>
      <c r="SEI70" s="609"/>
      <c r="SEJ70" s="609"/>
      <c r="SEK70" s="609"/>
      <c r="SEL70" s="609"/>
      <c r="SEM70" s="609"/>
      <c r="SEN70" s="609"/>
      <c r="SEO70" s="609"/>
      <c r="SEP70" s="609"/>
      <c r="SEQ70" s="609"/>
      <c r="SER70" s="609"/>
      <c r="SES70" s="609"/>
      <c r="SET70" s="609"/>
      <c r="SEU70" s="609"/>
      <c r="SEV70" s="609"/>
      <c r="SEW70" s="609"/>
      <c r="SEX70" s="609"/>
      <c r="SEY70" s="609"/>
      <c r="SEZ70" s="609"/>
      <c r="SFA70" s="609"/>
      <c r="SFB70" s="609"/>
      <c r="SFC70" s="609"/>
      <c r="SFD70" s="609"/>
      <c r="SFE70" s="609"/>
      <c r="SFF70" s="609"/>
      <c r="SFG70" s="609"/>
      <c r="SFH70" s="609"/>
      <c r="SFI70" s="609"/>
      <c r="SFJ70" s="609"/>
      <c r="SFK70" s="609"/>
      <c r="SFL70" s="609"/>
      <c r="SFM70" s="609"/>
      <c r="SFN70" s="609"/>
      <c r="SFO70" s="609"/>
      <c r="SFP70" s="609"/>
      <c r="SFQ70" s="609"/>
      <c r="SFR70" s="609"/>
      <c r="SFS70" s="609"/>
      <c r="SFT70" s="609"/>
      <c r="SFU70" s="609"/>
      <c r="SFV70" s="609"/>
      <c r="SFW70" s="609"/>
      <c r="SFX70" s="609"/>
      <c r="SFY70" s="609"/>
      <c r="SFZ70" s="609"/>
      <c r="SGA70" s="609"/>
      <c r="SGB70" s="609"/>
      <c r="SGC70" s="609"/>
      <c r="SGD70" s="609"/>
      <c r="SGE70" s="609"/>
      <c r="SGF70" s="609"/>
      <c r="SGG70" s="609"/>
      <c r="SGH70" s="609"/>
      <c r="SGI70" s="609"/>
      <c r="SGJ70" s="609"/>
      <c r="SGK70" s="609"/>
      <c r="SGL70" s="609"/>
      <c r="SGM70" s="609"/>
      <c r="SGN70" s="609"/>
      <c r="SGO70" s="609"/>
      <c r="SGP70" s="609"/>
      <c r="SGQ70" s="609"/>
      <c r="SGR70" s="609"/>
      <c r="SGS70" s="609"/>
      <c r="SGT70" s="609"/>
      <c r="SGU70" s="609"/>
      <c r="SGV70" s="609"/>
      <c r="SGW70" s="609"/>
      <c r="SGX70" s="609"/>
      <c r="SGY70" s="609"/>
      <c r="SGZ70" s="609"/>
      <c r="SHA70" s="609"/>
      <c r="SHB70" s="609"/>
      <c r="SHC70" s="609"/>
      <c r="SHD70" s="609"/>
      <c r="SHE70" s="609"/>
      <c r="SHF70" s="609"/>
      <c r="SHG70" s="609"/>
      <c r="SHH70" s="609"/>
      <c r="SHI70" s="609"/>
      <c r="SHJ70" s="609"/>
      <c r="SHK70" s="609"/>
      <c r="SHL70" s="609"/>
      <c r="SHM70" s="609"/>
      <c r="SHN70" s="609"/>
      <c r="SHO70" s="609"/>
      <c r="SHP70" s="609"/>
      <c r="SHQ70" s="609"/>
      <c r="SHR70" s="609"/>
      <c r="SHS70" s="609"/>
      <c r="SHT70" s="609"/>
      <c r="SHU70" s="609"/>
      <c r="SHV70" s="609"/>
      <c r="SHW70" s="609"/>
      <c r="SHX70" s="609"/>
      <c r="SHY70" s="609"/>
      <c r="SHZ70" s="609"/>
      <c r="SIA70" s="609"/>
      <c r="SIB70" s="609"/>
      <c r="SIC70" s="609"/>
      <c r="SID70" s="609"/>
      <c r="SIE70" s="609"/>
      <c r="SIF70" s="609"/>
      <c r="SIG70" s="609"/>
      <c r="SIH70" s="609"/>
      <c r="SII70" s="609"/>
      <c r="SIJ70" s="609"/>
      <c r="SIK70" s="609"/>
      <c r="SIL70" s="609"/>
      <c r="SIM70" s="609"/>
      <c r="SIN70" s="609"/>
      <c r="SIO70" s="609"/>
      <c r="SIP70" s="609"/>
      <c r="SIQ70" s="609"/>
      <c r="SIR70" s="609"/>
      <c r="SIS70" s="609"/>
      <c r="SIT70" s="609"/>
      <c r="SIU70" s="609"/>
      <c r="SIV70" s="609"/>
      <c r="SIW70" s="609"/>
      <c r="SIX70" s="609"/>
      <c r="SIY70" s="609"/>
      <c r="SIZ70" s="609"/>
      <c r="SJA70" s="609"/>
      <c r="SJB70" s="609"/>
      <c r="SJC70" s="609"/>
      <c r="SJD70" s="609"/>
      <c r="SJE70" s="609"/>
      <c r="SJF70" s="609"/>
      <c r="SJG70" s="609"/>
      <c r="SJH70" s="609"/>
      <c r="SJI70" s="609"/>
      <c r="SJJ70" s="609"/>
      <c r="SJK70" s="609"/>
      <c r="SJL70" s="609"/>
      <c r="SJM70" s="609"/>
      <c r="SJN70" s="609"/>
      <c r="SJO70" s="609"/>
      <c r="SJP70" s="609"/>
      <c r="SJQ70" s="609"/>
      <c r="SJR70" s="609"/>
      <c r="SJS70" s="609"/>
      <c r="SJT70" s="609"/>
      <c r="SJU70" s="609"/>
      <c r="SJV70" s="609"/>
      <c r="SJW70" s="609"/>
      <c r="SJX70" s="609"/>
      <c r="SJY70" s="609"/>
      <c r="SJZ70" s="609"/>
      <c r="SKA70" s="609"/>
      <c r="SKB70" s="609"/>
      <c r="SKC70" s="609"/>
      <c r="SKD70" s="609"/>
      <c r="SKE70" s="609"/>
      <c r="SKF70" s="609"/>
      <c r="SKG70" s="609"/>
      <c r="SKH70" s="609"/>
      <c r="SKI70" s="609"/>
      <c r="SKJ70" s="609"/>
      <c r="SKK70" s="609"/>
      <c r="SKL70" s="609"/>
      <c r="SKM70" s="609"/>
      <c r="SKN70" s="609"/>
      <c r="SKO70" s="609"/>
      <c r="SKP70" s="609"/>
      <c r="SKQ70" s="609"/>
      <c r="SKR70" s="609"/>
      <c r="SKS70" s="609"/>
      <c r="SKT70" s="609"/>
      <c r="SKU70" s="609"/>
      <c r="SKV70" s="609"/>
      <c r="SKW70" s="609"/>
      <c r="SKX70" s="609"/>
      <c r="SKY70" s="609"/>
      <c r="SKZ70" s="609"/>
      <c r="SLA70" s="609"/>
      <c r="SLB70" s="609"/>
      <c r="SLC70" s="609"/>
      <c r="SLD70" s="609"/>
      <c r="SLE70" s="609"/>
      <c r="SLF70" s="609"/>
      <c r="SLG70" s="609"/>
      <c r="SLH70" s="609"/>
      <c r="SLI70" s="609"/>
      <c r="SLJ70" s="609"/>
      <c r="SLK70" s="609"/>
      <c r="SLL70" s="609"/>
      <c r="SLM70" s="609"/>
      <c r="SLN70" s="609"/>
      <c r="SLO70" s="609"/>
      <c r="SLP70" s="609"/>
      <c r="SLQ70" s="609"/>
      <c r="SLR70" s="609"/>
      <c r="SLS70" s="609"/>
      <c r="SLT70" s="609"/>
      <c r="SLU70" s="609"/>
      <c r="SLV70" s="609"/>
      <c r="SLW70" s="609"/>
      <c r="SLX70" s="609"/>
      <c r="SLY70" s="609"/>
      <c r="SLZ70" s="609"/>
      <c r="SMA70" s="609"/>
      <c r="SMB70" s="609"/>
      <c r="SMC70" s="609"/>
      <c r="SMD70" s="609"/>
      <c r="SME70" s="609"/>
      <c r="SMF70" s="609"/>
      <c r="SMG70" s="609"/>
      <c r="SMH70" s="609"/>
      <c r="SMI70" s="609"/>
      <c r="SMJ70" s="609"/>
      <c r="SMK70" s="609"/>
      <c r="SML70" s="609"/>
      <c r="SMM70" s="609"/>
      <c r="SMN70" s="609"/>
      <c r="SMO70" s="609"/>
      <c r="SMP70" s="609"/>
      <c r="SMQ70" s="609"/>
      <c r="SMR70" s="609"/>
      <c r="SMS70" s="609"/>
      <c r="SMT70" s="609"/>
      <c r="SMU70" s="609"/>
      <c r="SMV70" s="609"/>
      <c r="SMW70" s="609"/>
      <c r="SMX70" s="609"/>
      <c r="SMY70" s="609"/>
      <c r="SMZ70" s="609"/>
      <c r="SNA70" s="609"/>
      <c r="SNB70" s="609"/>
      <c r="SNC70" s="609"/>
      <c r="SND70" s="609"/>
      <c r="SNE70" s="609"/>
      <c r="SNF70" s="609"/>
      <c r="SNG70" s="609"/>
      <c r="SNH70" s="609"/>
      <c r="SNI70" s="609"/>
      <c r="SNJ70" s="609"/>
      <c r="SNK70" s="609"/>
      <c r="SNL70" s="609"/>
      <c r="SNM70" s="609"/>
      <c r="SNN70" s="609"/>
      <c r="SNO70" s="609"/>
      <c r="SNP70" s="609"/>
      <c r="SNQ70" s="609"/>
      <c r="SNR70" s="609"/>
      <c r="SNS70" s="609"/>
      <c r="SNT70" s="609"/>
      <c r="SNU70" s="609"/>
      <c r="SNV70" s="609"/>
      <c r="SNW70" s="609"/>
      <c r="SNX70" s="609"/>
      <c r="SNY70" s="609"/>
      <c r="SNZ70" s="609"/>
      <c r="SOA70" s="609"/>
      <c r="SOB70" s="609"/>
      <c r="SOC70" s="609"/>
      <c r="SOD70" s="609"/>
      <c r="SOE70" s="609"/>
      <c r="SOF70" s="609"/>
      <c r="SOG70" s="609"/>
      <c r="SOH70" s="609"/>
      <c r="SOI70" s="609"/>
      <c r="SOJ70" s="609"/>
      <c r="SOK70" s="609"/>
      <c r="SOL70" s="609"/>
      <c r="SOM70" s="609"/>
      <c r="SON70" s="609"/>
      <c r="SOO70" s="609"/>
      <c r="SOP70" s="609"/>
      <c r="SOQ70" s="609"/>
      <c r="SOR70" s="609"/>
      <c r="SOS70" s="609"/>
      <c r="SOT70" s="609"/>
      <c r="SOU70" s="609"/>
      <c r="SOV70" s="609"/>
      <c r="SOW70" s="609"/>
      <c r="SOX70" s="609"/>
      <c r="SOY70" s="609"/>
      <c r="SOZ70" s="609"/>
      <c r="SPA70" s="609"/>
      <c r="SPB70" s="609"/>
      <c r="SPC70" s="609"/>
      <c r="SPD70" s="609"/>
      <c r="SPE70" s="609"/>
      <c r="SPF70" s="609"/>
      <c r="SPG70" s="609"/>
      <c r="SPH70" s="609"/>
      <c r="SPI70" s="609"/>
      <c r="SPJ70" s="609"/>
      <c r="SPK70" s="609"/>
      <c r="SPL70" s="609"/>
      <c r="SPM70" s="609"/>
      <c r="SPN70" s="609"/>
      <c r="SPO70" s="609"/>
      <c r="SPP70" s="609"/>
      <c r="SPQ70" s="609"/>
      <c r="SPR70" s="609"/>
      <c r="SPS70" s="609"/>
      <c r="SPT70" s="609"/>
      <c r="SPU70" s="609"/>
      <c r="SPV70" s="609"/>
      <c r="SPW70" s="609"/>
      <c r="SPX70" s="609"/>
      <c r="SPY70" s="609"/>
      <c r="SPZ70" s="609"/>
      <c r="SQA70" s="609"/>
      <c r="SQB70" s="609"/>
      <c r="SQC70" s="609"/>
      <c r="SQD70" s="609"/>
      <c r="SQE70" s="609"/>
      <c r="SQF70" s="609"/>
      <c r="SQG70" s="609"/>
      <c r="SQH70" s="609"/>
      <c r="SQI70" s="609"/>
      <c r="SQJ70" s="609"/>
      <c r="SQK70" s="609"/>
      <c r="SQL70" s="609"/>
      <c r="SQM70" s="609"/>
      <c r="SQN70" s="609"/>
      <c r="SQO70" s="609"/>
      <c r="SQP70" s="609"/>
      <c r="SQQ70" s="609"/>
      <c r="SQR70" s="609"/>
      <c r="SQS70" s="609"/>
      <c r="SQT70" s="609"/>
      <c r="SQU70" s="609"/>
      <c r="SQV70" s="609"/>
      <c r="SQW70" s="609"/>
      <c r="SQX70" s="609"/>
      <c r="SQY70" s="609"/>
      <c r="SQZ70" s="609"/>
      <c r="SRA70" s="609"/>
      <c r="SRB70" s="609"/>
      <c r="SRC70" s="609"/>
      <c r="SRD70" s="609"/>
      <c r="SRE70" s="609"/>
      <c r="SRF70" s="609"/>
      <c r="SRG70" s="609"/>
      <c r="SRH70" s="609"/>
      <c r="SRI70" s="609"/>
      <c r="SRJ70" s="609"/>
      <c r="SRK70" s="609"/>
      <c r="SRL70" s="609"/>
      <c r="SRM70" s="609"/>
      <c r="SRN70" s="609"/>
      <c r="SRO70" s="609"/>
      <c r="SRP70" s="609"/>
      <c r="SRQ70" s="609"/>
      <c r="SRR70" s="609"/>
      <c r="SRS70" s="609"/>
      <c r="SRT70" s="609"/>
      <c r="SRU70" s="609"/>
      <c r="SRV70" s="609"/>
      <c r="SRW70" s="609"/>
      <c r="SRX70" s="609"/>
      <c r="SRY70" s="609"/>
      <c r="SRZ70" s="609"/>
      <c r="SSA70" s="609"/>
      <c r="SSB70" s="609"/>
      <c r="SSC70" s="609"/>
      <c r="SSD70" s="609"/>
      <c r="SSE70" s="609"/>
      <c r="SSF70" s="609"/>
      <c r="SSG70" s="609"/>
      <c r="SSH70" s="609"/>
      <c r="SSI70" s="609"/>
      <c r="SSJ70" s="609"/>
      <c r="SSK70" s="609"/>
      <c r="SSL70" s="609"/>
      <c r="SSM70" s="609"/>
      <c r="SSN70" s="609"/>
      <c r="SSO70" s="609"/>
      <c r="SSP70" s="609"/>
      <c r="SSQ70" s="609"/>
      <c r="SSR70" s="609"/>
      <c r="SSS70" s="609"/>
      <c r="SST70" s="609"/>
      <c r="SSU70" s="609"/>
      <c r="SSV70" s="609"/>
      <c r="SSW70" s="609"/>
      <c r="SSX70" s="609"/>
      <c r="SSY70" s="609"/>
      <c r="SSZ70" s="609"/>
      <c r="STA70" s="609"/>
      <c r="STB70" s="609"/>
      <c r="STC70" s="609"/>
      <c r="STD70" s="609"/>
      <c r="STE70" s="609"/>
      <c r="STF70" s="609"/>
      <c r="STG70" s="609"/>
      <c r="STH70" s="609"/>
      <c r="STI70" s="609"/>
      <c r="STJ70" s="609"/>
      <c r="STK70" s="609"/>
      <c r="STL70" s="609"/>
      <c r="STM70" s="609"/>
      <c r="STN70" s="609"/>
      <c r="STO70" s="609"/>
      <c r="STP70" s="609"/>
      <c r="STQ70" s="609"/>
      <c r="STR70" s="609"/>
      <c r="STS70" s="609"/>
      <c r="STT70" s="609"/>
      <c r="STU70" s="609"/>
      <c r="STV70" s="609"/>
      <c r="STW70" s="609"/>
      <c r="STX70" s="609"/>
      <c r="STY70" s="609"/>
      <c r="STZ70" s="609"/>
      <c r="SUA70" s="609"/>
      <c r="SUB70" s="609"/>
      <c r="SUC70" s="609"/>
      <c r="SUD70" s="609"/>
      <c r="SUE70" s="609"/>
      <c r="SUF70" s="609"/>
      <c r="SUG70" s="609"/>
      <c r="SUH70" s="609"/>
      <c r="SUI70" s="609"/>
      <c r="SUJ70" s="609"/>
      <c r="SUK70" s="609"/>
      <c r="SUL70" s="609"/>
      <c r="SUM70" s="609"/>
      <c r="SUN70" s="609"/>
      <c r="SUO70" s="609"/>
      <c r="SUP70" s="609"/>
      <c r="SUQ70" s="609"/>
      <c r="SUR70" s="609"/>
      <c r="SUS70" s="609"/>
      <c r="SUT70" s="609"/>
      <c r="SUU70" s="609"/>
      <c r="SUV70" s="609"/>
      <c r="SUW70" s="609"/>
      <c r="SUX70" s="609"/>
      <c r="SUY70" s="609"/>
      <c r="SUZ70" s="609"/>
      <c r="SVA70" s="609"/>
      <c r="SVB70" s="609"/>
      <c r="SVC70" s="609"/>
      <c r="SVD70" s="609"/>
      <c r="SVE70" s="609"/>
      <c r="SVF70" s="609"/>
      <c r="SVG70" s="609"/>
      <c r="SVH70" s="609"/>
      <c r="SVI70" s="609"/>
      <c r="SVJ70" s="609"/>
      <c r="SVK70" s="609"/>
      <c r="SVL70" s="609"/>
      <c r="SVM70" s="609"/>
      <c r="SVN70" s="609"/>
      <c r="SVO70" s="609"/>
      <c r="SVP70" s="609"/>
      <c r="SVQ70" s="609"/>
      <c r="SVR70" s="609"/>
      <c r="SVS70" s="609"/>
      <c r="SVT70" s="609"/>
      <c r="SVU70" s="609"/>
      <c r="SVV70" s="609"/>
      <c r="SVW70" s="609"/>
      <c r="SVX70" s="609"/>
      <c r="SVY70" s="609"/>
      <c r="SVZ70" s="609"/>
      <c r="SWA70" s="609"/>
      <c r="SWB70" s="609"/>
      <c r="SWC70" s="609"/>
      <c r="SWD70" s="609"/>
      <c r="SWE70" s="609"/>
      <c r="SWF70" s="609"/>
      <c r="SWG70" s="609"/>
      <c r="SWH70" s="609"/>
      <c r="SWI70" s="609"/>
      <c r="SWJ70" s="609"/>
      <c r="SWK70" s="609"/>
      <c r="SWL70" s="609"/>
      <c r="SWM70" s="609"/>
      <c r="SWN70" s="609"/>
      <c r="SWO70" s="609"/>
      <c r="SWP70" s="609"/>
      <c r="SWQ70" s="609"/>
      <c r="SWR70" s="609"/>
      <c r="SWS70" s="609"/>
      <c r="SWT70" s="609"/>
      <c r="SWU70" s="609"/>
      <c r="SWV70" s="609"/>
      <c r="SWW70" s="609"/>
      <c r="SWX70" s="609"/>
      <c r="SWY70" s="609"/>
      <c r="SWZ70" s="609"/>
      <c r="SXA70" s="609"/>
      <c r="SXB70" s="609"/>
      <c r="SXC70" s="609"/>
      <c r="SXD70" s="609"/>
      <c r="SXE70" s="609"/>
      <c r="SXF70" s="609"/>
      <c r="SXG70" s="609"/>
      <c r="SXH70" s="609"/>
      <c r="SXI70" s="609"/>
      <c r="SXJ70" s="609"/>
      <c r="SXK70" s="609"/>
      <c r="SXL70" s="609"/>
      <c r="SXM70" s="609"/>
      <c r="SXN70" s="609"/>
      <c r="SXO70" s="609"/>
      <c r="SXP70" s="609"/>
      <c r="SXQ70" s="609"/>
      <c r="SXR70" s="609"/>
      <c r="SXS70" s="609"/>
      <c r="SXT70" s="609"/>
      <c r="SXU70" s="609"/>
      <c r="SXV70" s="609"/>
      <c r="SXW70" s="609"/>
      <c r="SXX70" s="609"/>
      <c r="SXY70" s="609"/>
      <c r="SXZ70" s="609"/>
      <c r="SYA70" s="609"/>
      <c r="SYB70" s="609"/>
      <c r="SYC70" s="609"/>
      <c r="SYD70" s="609"/>
      <c r="SYE70" s="609"/>
      <c r="SYF70" s="609"/>
      <c r="SYG70" s="609"/>
      <c r="SYH70" s="609"/>
      <c r="SYI70" s="609"/>
      <c r="SYJ70" s="609"/>
      <c r="SYK70" s="609"/>
      <c r="SYL70" s="609"/>
      <c r="SYM70" s="609"/>
      <c r="SYN70" s="609"/>
      <c r="SYO70" s="609"/>
      <c r="SYP70" s="609"/>
      <c r="SYQ70" s="609"/>
      <c r="SYR70" s="609"/>
      <c r="SYS70" s="609"/>
      <c r="SYT70" s="609"/>
      <c r="SYU70" s="609"/>
      <c r="SYV70" s="609"/>
      <c r="SYW70" s="609"/>
      <c r="SYX70" s="609"/>
      <c r="SYY70" s="609"/>
      <c r="SYZ70" s="609"/>
      <c r="SZA70" s="609"/>
      <c r="SZB70" s="609"/>
      <c r="SZC70" s="609"/>
      <c r="SZD70" s="609"/>
      <c r="SZE70" s="609"/>
      <c r="SZF70" s="609"/>
      <c r="SZG70" s="609"/>
      <c r="SZH70" s="609"/>
      <c r="SZI70" s="609"/>
      <c r="SZJ70" s="609"/>
      <c r="SZK70" s="609"/>
      <c r="SZL70" s="609"/>
      <c r="SZM70" s="609"/>
      <c r="SZN70" s="609"/>
      <c r="SZO70" s="609"/>
      <c r="SZP70" s="609"/>
      <c r="SZQ70" s="609"/>
      <c r="SZR70" s="609"/>
      <c r="SZS70" s="609"/>
      <c r="SZT70" s="609"/>
      <c r="SZU70" s="609"/>
      <c r="SZV70" s="609"/>
      <c r="SZW70" s="609"/>
      <c r="SZX70" s="609"/>
      <c r="SZY70" s="609"/>
      <c r="SZZ70" s="609"/>
      <c r="TAA70" s="609"/>
      <c r="TAB70" s="609"/>
      <c r="TAC70" s="609"/>
      <c r="TAD70" s="609"/>
      <c r="TAE70" s="609"/>
      <c r="TAF70" s="609"/>
      <c r="TAG70" s="609"/>
      <c r="TAH70" s="609"/>
      <c r="TAI70" s="609"/>
      <c r="TAJ70" s="609"/>
      <c r="TAK70" s="609"/>
      <c r="TAL70" s="609"/>
      <c r="TAM70" s="609"/>
      <c r="TAN70" s="609"/>
      <c r="TAO70" s="609"/>
      <c r="TAP70" s="609"/>
      <c r="TAQ70" s="609"/>
      <c r="TAR70" s="609"/>
      <c r="TAS70" s="609"/>
      <c r="TAT70" s="609"/>
      <c r="TAU70" s="609"/>
      <c r="TAV70" s="609"/>
      <c r="TAW70" s="609"/>
      <c r="TAX70" s="609"/>
      <c r="TAY70" s="609"/>
      <c r="TAZ70" s="609"/>
      <c r="TBA70" s="609"/>
      <c r="TBB70" s="609"/>
      <c r="TBC70" s="609"/>
      <c r="TBD70" s="609"/>
      <c r="TBE70" s="609"/>
      <c r="TBF70" s="609"/>
      <c r="TBG70" s="609"/>
      <c r="TBH70" s="609"/>
      <c r="TBI70" s="609"/>
      <c r="TBJ70" s="609"/>
      <c r="TBK70" s="609"/>
      <c r="TBL70" s="609"/>
      <c r="TBM70" s="609"/>
      <c r="TBN70" s="609"/>
      <c r="TBO70" s="609"/>
      <c r="TBP70" s="609"/>
      <c r="TBQ70" s="609"/>
      <c r="TBR70" s="609"/>
      <c r="TBS70" s="609"/>
      <c r="TBT70" s="609"/>
      <c r="TBU70" s="609"/>
      <c r="TBV70" s="609"/>
      <c r="TBW70" s="609"/>
      <c r="TBX70" s="609"/>
      <c r="TBY70" s="609"/>
      <c r="TBZ70" s="609"/>
      <c r="TCA70" s="609"/>
      <c r="TCB70" s="609"/>
      <c r="TCC70" s="609"/>
      <c r="TCD70" s="609"/>
      <c r="TCE70" s="609"/>
      <c r="TCF70" s="609"/>
      <c r="TCG70" s="609"/>
      <c r="TCH70" s="609"/>
      <c r="TCI70" s="609"/>
      <c r="TCJ70" s="609"/>
      <c r="TCK70" s="609"/>
      <c r="TCL70" s="609"/>
      <c r="TCM70" s="609"/>
      <c r="TCN70" s="609"/>
      <c r="TCO70" s="609"/>
      <c r="TCP70" s="609"/>
      <c r="TCQ70" s="609"/>
      <c r="TCR70" s="609"/>
      <c r="TCS70" s="609"/>
      <c r="TCT70" s="609"/>
      <c r="TCU70" s="609"/>
      <c r="TCV70" s="609"/>
      <c r="TCW70" s="609"/>
      <c r="TCX70" s="609"/>
      <c r="TCY70" s="609"/>
      <c r="TCZ70" s="609"/>
      <c r="TDA70" s="609"/>
      <c r="TDB70" s="609"/>
      <c r="TDC70" s="609"/>
      <c r="TDD70" s="609"/>
      <c r="TDE70" s="609"/>
      <c r="TDF70" s="609"/>
      <c r="TDG70" s="609"/>
      <c r="TDH70" s="609"/>
      <c r="TDI70" s="609"/>
      <c r="TDJ70" s="609"/>
      <c r="TDK70" s="609"/>
      <c r="TDL70" s="609"/>
      <c r="TDM70" s="609"/>
      <c r="TDN70" s="609"/>
      <c r="TDO70" s="609"/>
      <c r="TDP70" s="609"/>
      <c r="TDQ70" s="609"/>
      <c r="TDR70" s="609"/>
      <c r="TDS70" s="609"/>
      <c r="TDT70" s="609"/>
      <c r="TDU70" s="609"/>
      <c r="TDV70" s="609"/>
      <c r="TDW70" s="609"/>
      <c r="TDX70" s="609"/>
      <c r="TDY70" s="609"/>
      <c r="TDZ70" s="609"/>
      <c r="TEA70" s="609"/>
      <c r="TEB70" s="609"/>
      <c r="TEC70" s="609"/>
      <c r="TED70" s="609"/>
      <c r="TEE70" s="609"/>
      <c r="TEF70" s="609"/>
      <c r="TEG70" s="609"/>
      <c r="TEH70" s="609"/>
      <c r="TEI70" s="609"/>
      <c r="TEJ70" s="609"/>
      <c r="TEK70" s="609"/>
      <c r="TEL70" s="609"/>
      <c r="TEM70" s="609"/>
      <c r="TEN70" s="609"/>
      <c r="TEO70" s="609"/>
      <c r="TEP70" s="609"/>
      <c r="TEQ70" s="609"/>
      <c r="TER70" s="609"/>
      <c r="TES70" s="609"/>
      <c r="TET70" s="609"/>
      <c r="TEU70" s="609"/>
      <c r="TEV70" s="609"/>
      <c r="TEW70" s="609"/>
      <c r="TEX70" s="609"/>
      <c r="TEY70" s="609"/>
      <c r="TEZ70" s="609"/>
      <c r="TFA70" s="609"/>
      <c r="TFB70" s="609"/>
      <c r="TFC70" s="609"/>
      <c r="TFD70" s="609"/>
      <c r="TFE70" s="609"/>
      <c r="TFF70" s="609"/>
      <c r="TFG70" s="609"/>
      <c r="TFH70" s="609"/>
      <c r="TFI70" s="609"/>
      <c r="TFJ70" s="609"/>
      <c r="TFK70" s="609"/>
      <c r="TFL70" s="609"/>
      <c r="TFM70" s="609"/>
      <c r="TFN70" s="609"/>
      <c r="TFO70" s="609"/>
      <c r="TFP70" s="609"/>
      <c r="TFQ70" s="609"/>
      <c r="TFR70" s="609"/>
      <c r="TFS70" s="609"/>
      <c r="TFT70" s="609"/>
      <c r="TFU70" s="609"/>
      <c r="TFV70" s="609"/>
      <c r="TFW70" s="609"/>
      <c r="TFX70" s="609"/>
      <c r="TFY70" s="609"/>
      <c r="TFZ70" s="609"/>
      <c r="TGA70" s="609"/>
      <c r="TGB70" s="609"/>
      <c r="TGC70" s="609"/>
      <c r="TGD70" s="609"/>
      <c r="TGE70" s="609"/>
      <c r="TGF70" s="609"/>
      <c r="TGG70" s="609"/>
      <c r="TGH70" s="609"/>
      <c r="TGI70" s="609"/>
      <c r="TGJ70" s="609"/>
      <c r="TGK70" s="609"/>
      <c r="TGL70" s="609"/>
      <c r="TGM70" s="609"/>
      <c r="TGN70" s="609"/>
      <c r="TGO70" s="609"/>
      <c r="TGP70" s="609"/>
      <c r="TGQ70" s="609"/>
      <c r="TGR70" s="609"/>
      <c r="TGS70" s="609"/>
      <c r="TGT70" s="609"/>
      <c r="TGU70" s="609"/>
      <c r="TGV70" s="609"/>
      <c r="TGW70" s="609"/>
      <c r="TGX70" s="609"/>
      <c r="TGY70" s="609"/>
      <c r="TGZ70" s="609"/>
      <c r="THA70" s="609"/>
      <c r="THB70" s="609"/>
      <c r="THC70" s="609"/>
      <c r="THD70" s="609"/>
      <c r="THE70" s="609"/>
      <c r="THF70" s="609"/>
      <c r="THG70" s="609"/>
      <c r="THH70" s="609"/>
      <c r="THI70" s="609"/>
      <c r="THJ70" s="609"/>
      <c r="THK70" s="609"/>
      <c r="THL70" s="609"/>
      <c r="THM70" s="609"/>
      <c r="THN70" s="609"/>
      <c r="THO70" s="609"/>
      <c r="THP70" s="609"/>
      <c r="THQ70" s="609"/>
      <c r="THR70" s="609"/>
      <c r="THS70" s="609"/>
      <c r="THT70" s="609"/>
      <c r="THU70" s="609"/>
      <c r="THV70" s="609"/>
      <c r="THW70" s="609"/>
      <c r="THX70" s="609"/>
      <c r="THY70" s="609"/>
      <c r="THZ70" s="609"/>
      <c r="TIA70" s="609"/>
      <c r="TIB70" s="609"/>
      <c r="TIC70" s="609"/>
      <c r="TID70" s="609"/>
      <c r="TIE70" s="609"/>
      <c r="TIF70" s="609"/>
      <c r="TIG70" s="609"/>
      <c r="TIH70" s="609"/>
      <c r="TII70" s="609"/>
      <c r="TIJ70" s="609"/>
      <c r="TIK70" s="609"/>
      <c r="TIL70" s="609"/>
      <c r="TIM70" s="609"/>
      <c r="TIN70" s="609"/>
      <c r="TIO70" s="609"/>
      <c r="TIP70" s="609"/>
      <c r="TIQ70" s="609"/>
      <c r="TIR70" s="609"/>
      <c r="TIS70" s="609"/>
      <c r="TIT70" s="609"/>
      <c r="TIU70" s="609"/>
      <c r="TIV70" s="609"/>
      <c r="TIW70" s="609"/>
      <c r="TIX70" s="609"/>
      <c r="TIY70" s="609"/>
      <c r="TIZ70" s="609"/>
      <c r="TJA70" s="609"/>
      <c r="TJB70" s="609"/>
      <c r="TJC70" s="609"/>
      <c r="TJD70" s="609"/>
      <c r="TJE70" s="609"/>
      <c r="TJF70" s="609"/>
      <c r="TJG70" s="609"/>
      <c r="TJH70" s="609"/>
      <c r="TJI70" s="609"/>
      <c r="TJJ70" s="609"/>
      <c r="TJK70" s="609"/>
      <c r="TJL70" s="609"/>
      <c r="TJM70" s="609"/>
      <c r="TJN70" s="609"/>
      <c r="TJO70" s="609"/>
      <c r="TJP70" s="609"/>
      <c r="TJQ70" s="609"/>
      <c r="TJR70" s="609"/>
      <c r="TJS70" s="609"/>
      <c r="TJT70" s="609"/>
      <c r="TJU70" s="609"/>
      <c r="TJV70" s="609"/>
      <c r="TJW70" s="609"/>
      <c r="TJX70" s="609"/>
      <c r="TJY70" s="609"/>
      <c r="TJZ70" s="609"/>
      <c r="TKA70" s="609"/>
      <c r="TKB70" s="609"/>
      <c r="TKC70" s="609"/>
      <c r="TKD70" s="609"/>
      <c r="TKE70" s="609"/>
      <c r="TKF70" s="609"/>
      <c r="TKG70" s="609"/>
      <c r="TKH70" s="609"/>
      <c r="TKI70" s="609"/>
      <c r="TKJ70" s="609"/>
      <c r="TKK70" s="609"/>
      <c r="TKL70" s="609"/>
      <c r="TKM70" s="609"/>
      <c r="TKN70" s="609"/>
      <c r="TKO70" s="609"/>
      <c r="TKP70" s="609"/>
      <c r="TKQ70" s="609"/>
      <c r="TKR70" s="609"/>
      <c r="TKS70" s="609"/>
      <c r="TKT70" s="609"/>
      <c r="TKU70" s="609"/>
      <c r="TKV70" s="609"/>
      <c r="TKW70" s="609"/>
      <c r="TKX70" s="609"/>
      <c r="TKY70" s="609"/>
      <c r="TKZ70" s="609"/>
      <c r="TLA70" s="609"/>
      <c r="TLB70" s="609"/>
      <c r="TLC70" s="609"/>
      <c r="TLD70" s="609"/>
      <c r="TLE70" s="609"/>
      <c r="TLF70" s="609"/>
      <c r="TLG70" s="609"/>
      <c r="TLH70" s="609"/>
      <c r="TLI70" s="609"/>
      <c r="TLJ70" s="609"/>
      <c r="TLK70" s="609"/>
      <c r="TLL70" s="609"/>
      <c r="TLM70" s="609"/>
      <c r="TLN70" s="609"/>
      <c r="TLO70" s="609"/>
      <c r="TLP70" s="609"/>
      <c r="TLQ70" s="609"/>
      <c r="TLR70" s="609"/>
      <c r="TLS70" s="609"/>
      <c r="TLT70" s="609"/>
      <c r="TLU70" s="609"/>
      <c r="TLV70" s="609"/>
      <c r="TLW70" s="609"/>
      <c r="TLX70" s="609"/>
      <c r="TLY70" s="609"/>
      <c r="TLZ70" s="609"/>
      <c r="TMA70" s="609"/>
      <c r="TMB70" s="609"/>
      <c r="TMC70" s="609"/>
      <c r="TMD70" s="609"/>
      <c r="TME70" s="609"/>
      <c r="TMF70" s="609"/>
      <c r="TMG70" s="609"/>
      <c r="TMH70" s="609"/>
      <c r="TMI70" s="609"/>
      <c r="TMJ70" s="609"/>
      <c r="TMK70" s="609"/>
      <c r="TML70" s="609"/>
      <c r="TMM70" s="609"/>
      <c r="TMN70" s="609"/>
      <c r="TMO70" s="609"/>
      <c r="TMP70" s="609"/>
      <c r="TMQ70" s="609"/>
      <c r="TMR70" s="609"/>
      <c r="TMS70" s="609"/>
      <c r="TMT70" s="609"/>
      <c r="TMU70" s="609"/>
      <c r="TMV70" s="609"/>
      <c r="TMW70" s="609"/>
      <c r="TMX70" s="609"/>
      <c r="TMY70" s="609"/>
      <c r="TMZ70" s="609"/>
      <c r="TNA70" s="609"/>
      <c r="TNB70" s="609"/>
      <c r="TNC70" s="609"/>
      <c r="TND70" s="609"/>
      <c r="TNE70" s="609"/>
      <c r="TNF70" s="609"/>
      <c r="TNG70" s="609"/>
      <c r="TNH70" s="609"/>
      <c r="TNI70" s="609"/>
      <c r="TNJ70" s="609"/>
      <c r="TNK70" s="609"/>
      <c r="TNL70" s="609"/>
      <c r="TNM70" s="609"/>
      <c r="TNN70" s="609"/>
      <c r="TNO70" s="609"/>
      <c r="TNP70" s="609"/>
      <c r="TNQ70" s="609"/>
      <c r="TNR70" s="609"/>
      <c r="TNS70" s="609"/>
      <c r="TNT70" s="609"/>
      <c r="TNU70" s="609"/>
      <c r="TNV70" s="609"/>
      <c r="TNW70" s="609"/>
      <c r="TNX70" s="609"/>
      <c r="TNY70" s="609"/>
      <c r="TNZ70" s="609"/>
      <c r="TOA70" s="609"/>
      <c r="TOB70" s="609"/>
      <c r="TOC70" s="609"/>
      <c r="TOD70" s="609"/>
      <c r="TOE70" s="609"/>
      <c r="TOF70" s="609"/>
      <c r="TOG70" s="609"/>
      <c r="TOH70" s="609"/>
      <c r="TOI70" s="609"/>
      <c r="TOJ70" s="609"/>
      <c r="TOK70" s="609"/>
      <c r="TOL70" s="609"/>
      <c r="TOM70" s="609"/>
      <c r="TON70" s="609"/>
      <c r="TOO70" s="609"/>
      <c r="TOP70" s="609"/>
      <c r="TOQ70" s="609"/>
      <c r="TOR70" s="609"/>
      <c r="TOS70" s="609"/>
      <c r="TOT70" s="609"/>
      <c r="TOU70" s="609"/>
      <c r="TOV70" s="609"/>
      <c r="TOW70" s="609"/>
      <c r="TOX70" s="609"/>
      <c r="TOY70" s="609"/>
      <c r="TOZ70" s="609"/>
      <c r="TPA70" s="609"/>
      <c r="TPB70" s="609"/>
      <c r="TPC70" s="609"/>
      <c r="TPD70" s="609"/>
      <c r="TPE70" s="609"/>
      <c r="TPF70" s="609"/>
      <c r="TPG70" s="609"/>
      <c r="TPH70" s="609"/>
      <c r="TPI70" s="609"/>
      <c r="TPJ70" s="609"/>
      <c r="TPK70" s="609"/>
      <c r="TPL70" s="609"/>
      <c r="TPM70" s="609"/>
      <c r="TPN70" s="609"/>
      <c r="TPO70" s="609"/>
      <c r="TPP70" s="609"/>
      <c r="TPQ70" s="609"/>
      <c r="TPR70" s="609"/>
      <c r="TPS70" s="609"/>
      <c r="TPT70" s="609"/>
      <c r="TPU70" s="609"/>
      <c r="TPV70" s="609"/>
      <c r="TPW70" s="609"/>
      <c r="TPX70" s="609"/>
      <c r="TPY70" s="609"/>
      <c r="TPZ70" s="609"/>
      <c r="TQA70" s="609"/>
      <c r="TQB70" s="609"/>
      <c r="TQC70" s="609"/>
      <c r="TQD70" s="609"/>
      <c r="TQE70" s="609"/>
      <c r="TQF70" s="609"/>
      <c r="TQG70" s="609"/>
      <c r="TQH70" s="609"/>
      <c r="TQI70" s="609"/>
      <c r="TQJ70" s="609"/>
      <c r="TQK70" s="609"/>
      <c r="TQL70" s="609"/>
      <c r="TQM70" s="609"/>
      <c r="TQN70" s="609"/>
      <c r="TQO70" s="609"/>
      <c r="TQP70" s="609"/>
      <c r="TQQ70" s="609"/>
      <c r="TQR70" s="609"/>
      <c r="TQS70" s="609"/>
      <c r="TQT70" s="609"/>
      <c r="TQU70" s="609"/>
      <c r="TQV70" s="609"/>
      <c r="TQW70" s="609"/>
      <c r="TQX70" s="609"/>
      <c r="TQY70" s="609"/>
      <c r="TQZ70" s="609"/>
      <c r="TRA70" s="609"/>
      <c r="TRB70" s="609"/>
      <c r="TRC70" s="609"/>
      <c r="TRD70" s="609"/>
      <c r="TRE70" s="609"/>
      <c r="TRF70" s="609"/>
      <c r="TRG70" s="609"/>
      <c r="TRH70" s="609"/>
      <c r="TRI70" s="609"/>
      <c r="TRJ70" s="609"/>
      <c r="TRK70" s="609"/>
      <c r="TRL70" s="609"/>
      <c r="TRM70" s="609"/>
      <c r="TRN70" s="609"/>
      <c r="TRO70" s="609"/>
      <c r="TRP70" s="609"/>
      <c r="TRQ70" s="609"/>
      <c r="TRR70" s="609"/>
      <c r="TRS70" s="609"/>
      <c r="TRT70" s="609"/>
      <c r="TRU70" s="609"/>
      <c r="TRV70" s="609"/>
      <c r="TRW70" s="609"/>
      <c r="TRX70" s="609"/>
      <c r="TRY70" s="609"/>
      <c r="TRZ70" s="609"/>
      <c r="TSA70" s="609"/>
      <c r="TSB70" s="609"/>
      <c r="TSC70" s="609"/>
      <c r="TSD70" s="609"/>
      <c r="TSE70" s="609"/>
      <c r="TSF70" s="609"/>
      <c r="TSG70" s="609"/>
      <c r="TSH70" s="609"/>
      <c r="TSI70" s="609"/>
      <c r="TSJ70" s="609"/>
      <c r="TSK70" s="609"/>
      <c r="TSL70" s="609"/>
      <c r="TSM70" s="609"/>
      <c r="TSN70" s="609"/>
      <c r="TSO70" s="609"/>
      <c r="TSP70" s="609"/>
      <c r="TSQ70" s="609"/>
      <c r="TSR70" s="609"/>
      <c r="TSS70" s="609"/>
      <c r="TST70" s="609"/>
      <c r="TSU70" s="609"/>
      <c r="TSV70" s="609"/>
      <c r="TSW70" s="609"/>
      <c r="TSX70" s="609"/>
      <c r="TSY70" s="609"/>
      <c r="TSZ70" s="609"/>
      <c r="TTA70" s="609"/>
      <c r="TTB70" s="609"/>
      <c r="TTC70" s="609"/>
      <c r="TTD70" s="609"/>
      <c r="TTE70" s="609"/>
      <c r="TTF70" s="609"/>
      <c r="TTG70" s="609"/>
      <c r="TTH70" s="609"/>
      <c r="TTI70" s="609"/>
      <c r="TTJ70" s="609"/>
      <c r="TTK70" s="609"/>
      <c r="TTL70" s="609"/>
      <c r="TTM70" s="609"/>
      <c r="TTN70" s="609"/>
      <c r="TTO70" s="609"/>
      <c r="TTP70" s="609"/>
      <c r="TTQ70" s="609"/>
      <c r="TTR70" s="609"/>
      <c r="TTS70" s="609"/>
      <c r="TTT70" s="609"/>
      <c r="TTU70" s="609"/>
      <c r="TTV70" s="609"/>
      <c r="TTW70" s="609"/>
      <c r="TTX70" s="609"/>
      <c r="TTY70" s="609"/>
      <c r="TTZ70" s="609"/>
      <c r="TUA70" s="609"/>
      <c r="TUB70" s="609"/>
      <c r="TUC70" s="609"/>
      <c r="TUD70" s="609"/>
      <c r="TUE70" s="609"/>
      <c r="TUF70" s="609"/>
      <c r="TUG70" s="609"/>
      <c r="TUH70" s="609"/>
      <c r="TUI70" s="609"/>
      <c r="TUJ70" s="609"/>
      <c r="TUK70" s="609"/>
      <c r="TUL70" s="609"/>
      <c r="TUM70" s="609"/>
      <c r="TUN70" s="609"/>
      <c r="TUO70" s="609"/>
      <c r="TUP70" s="609"/>
      <c r="TUQ70" s="609"/>
      <c r="TUR70" s="609"/>
      <c r="TUS70" s="609"/>
      <c r="TUT70" s="609"/>
      <c r="TUU70" s="609"/>
      <c r="TUV70" s="609"/>
      <c r="TUW70" s="609"/>
      <c r="TUX70" s="609"/>
      <c r="TUY70" s="609"/>
      <c r="TUZ70" s="609"/>
      <c r="TVA70" s="609"/>
      <c r="TVB70" s="609"/>
      <c r="TVC70" s="609"/>
      <c r="TVD70" s="609"/>
      <c r="TVE70" s="609"/>
      <c r="TVF70" s="609"/>
      <c r="TVG70" s="609"/>
      <c r="TVH70" s="609"/>
      <c r="TVI70" s="609"/>
      <c r="TVJ70" s="609"/>
      <c r="TVK70" s="609"/>
      <c r="TVL70" s="609"/>
      <c r="TVM70" s="609"/>
      <c r="TVN70" s="609"/>
      <c r="TVO70" s="609"/>
      <c r="TVP70" s="609"/>
      <c r="TVQ70" s="609"/>
      <c r="TVR70" s="609"/>
      <c r="TVS70" s="609"/>
      <c r="TVT70" s="609"/>
      <c r="TVU70" s="609"/>
      <c r="TVV70" s="609"/>
      <c r="TVW70" s="609"/>
      <c r="TVX70" s="609"/>
      <c r="TVY70" s="609"/>
      <c r="TVZ70" s="609"/>
      <c r="TWA70" s="609"/>
      <c r="TWB70" s="609"/>
      <c r="TWC70" s="609"/>
      <c r="TWD70" s="609"/>
      <c r="TWE70" s="609"/>
      <c r="TWF70" s="609"/>
      <c r="TWG70" s="609"/>
      <c r="TWH70" s="609"/>
      <c r="TWI70" s="609"/>
      <c r="TWJ70" s="609"/>
      <c r="TWK70" s="609"/>
      <c r="TWL70" s="609"/>
      <c r="TWM70" s="609"/>
      <c r="TWN70" s="609"/>
      <c r="TWO70" s="609"/>
      <c r="TWP70" s="609"/>
      <c r="TWQ70" s="609"/>
      <c r="TWR70" s="609"/>
      <c r="TWS70" s="609"/>
      <c r="TWT70" s="609"/>
      <c r="TWU70" s="609"/>
      <c r="TWV70" s="609"/>
      <c r="TWW70" s="609"/>
      <c r="TWX70" s="609"/>
      <c r="TWY70" s="609"/>
      <c r="TWZ70" s="609"/>
      <c r="TXA70" s="609"/>
      <c r="TXB70" s="609"/>
      <c r="TXC70" s="609"/>
      <c r="TXD70" s="609"/>
      <c r="TXE70" s="609"/>
      <c r="TXF70" s="609"/>
      <c r="TXG70" s="609"/>
      <c r="TXH70" s="609"/>
      <c r="TXI70" s="609"/>
      <c r="TXJ70" s="609"/>
      <c r="TXK70" s="609"/>
      <c r="TXL70" s="609"/>
      <c r="TXM70" s="609"/>
      <c r="TXN70" s="609"/>
      <c r="TXO70" s="609"/>
      <c r="TXP70" s="609"/>
      <c r="TXQ70" s="609"/>
      <c r="TXR70" s="609"/>
      <c r="TXS70" s="609"/>
      <c r="TXT70" s="609"/>
      <c r="TXU70" s="609"/>
      <c r="TXV70" s="609"/>
      <c r="TXW70" s="609"/>
      <c r="TXX70" s="609"/>
      <c r="TXY70" s="609"/>
      <c r="TXZ70" s="609"/>
      <c r="TYA70" s="609"/>
      <c r="TYB70" s="609"/>
      <c r="TYC70" s="609"/>
      <c r="TYD70" s="609"/>
      <c r="TYE70" s="609"/>
      <c r="TYF70" s="609"/>
      <c r="TYG70" s="609"/>
      <c r="TYH70" s="609"/>
      <c r="TYI70" s="609"/>
      <c r="TYJ70" s="609"/>
      <c r="TYK70" s="609"/>
      <c r="TYL70" s="609"/>
      <c r="TYM70" s="609"/>
      <c r="TYN70" s="609"/>
      <c r="TYO70" s="609"/>
      <c r="TYP70" s="609"/>
      <c r="TYQ70" s="609"/>
      <c r="TYR70" s="609"/>
      <c r="TYS70" s="609"/>
      <c r="TYT70" s="609"/>
      <c r="TYU70" s="609"/>
      <c r="TYV70" s="609"/>
      <c r="TYW70" s="609"/>
      <c r="TYX70" s="609"/>
      <c r="TYY70" s="609"/>
      <c r="TYZ70" s="609"/>
      <c r="TZA70" s="609"/>
      <c r="TZB70" s="609"/>
      <c r="TZC70" s="609"/>
      <c r="TZD70" s="609"/>
      <c r="TZE70" s="609"/>
      <c r="TZF70" s="609"/>
      <c r="TZG70" s="609"/>
      <c r="TZH70" s="609"/>
      <c r="TZI70" s="609"/>
      <c r="TZJ70" s="609"/>
      <c r="TZK70" s="609"/>
      <c r="TZL70" s="609"/>
      <c r="TZM70" s="609"/>
      <c r="TZN70" s="609"/>
      <c r="TZO70" s="609"/>
      <c r="TZP70" s="609"/>
      <c r="TZQ70" s="609"/>
      <c r="TZR70" s="609"/>
      <c r="TZS70" s="609"/>
      <c r="TZT70" s="609"/>
      <c r="TZU70" s="609"/>
      <c r="TZV70" s="609"/>
      <c r="TZW70" s="609"/>
      <c r="TZX70" s="609"/>
      <c r="TZY70" s="609"/>
      <c r="TZZ70" s="609"/>
      <c r="UAA70" s="609"/>
      <c r="UAB70" s="609"/>
      <c r="UAC70" s="609"/>
      <c r="UAD70" s="609"/>
      <c r="UAE70" s="609"/>
      <c r="UAF70" s="609"/>
      <c r="UAG70" s="609"/>
      <c r="UAH70" s="609"/>
      <c r="UAI70" s="609"/>
      <c r="UAJ70" s="609"/>
      <c r="UAK70" s="609"/>
      <c r="UAL70" s="609"/>
      <c r="UAM70" s="609"/>
      <c r="UAN70" s="609"/>
      <c r="UAO70" s="609"/>
      <c r="UAP70" s="609"/>
      <c r="UAQ70" s="609"/>
      <c r="UAR70" s="609"/>
      <c r="UAS70" s="609"/>
      <c r="UAT70" s="609"/>
      <c r="UAU70" s="609"/>
      <c r="UAV70" s="609"/>
      <c r="UAW70" s="609"/>
      <c r="UAX70" s="609"/>
      <c r="UAY70" s="609"/>
      <c r="UAZ70" s="609"/>
      <c r="UBA70" s="609"/>
      <c r="UBB70" s="609"/>
      <c r="UBC70" s="609"/>
      <c r="UBD70" s="609"/>
      <c r="UBE70" s="609"/>
      <c r="UBF70" s="609"/>
      <c r="UBG70" s="609"/>
      <c r="UBH70" s="609"/>
      <c r="UBI70" s="609"/>
      <c r="UBJ70" s="609"/>
      <c r="UBK70" s="609"/>
      <c r="UBL70" s="609"/>
      <c r="UBM70" s="609"/>
      <c r="UBN70" s="609"/>
      <c r="UBO70" s="609"/>
      <c r="UBP70" s="609"/>
      <c r="UBQ70" s="609"/>
      <c r="UBR70" s="609"/>
      <c r="UBS70" s="609"/>
      <c r="UBT70" s="609"/>
      <c r="UBU70" s="609"/>
      <c r="UBV70" s="609"/>
      <c r="UBW70" s="609"/>
      <c r="UBX70" s="609"/>
      <c r="UBY70" s="609"/>
      <c r="UBZ70" s="609"/>
      <c r="UCA70" s="609"/>
      <c r="UCB70" s="609"/>
      <c r="UCC70" s="609"/>
      <c r="UCD70" s="609"/>
      <c r="UCE70" s="609"/>
      <c r="UCF70" s="609"/>
      <c r="UCG70" s="609"/>
      <c r="UCH70" s="609"/>
      <c r="UCI70" s="609"/>
      <c r="UCJ70" s="609"/>
      <c r="UCK70" s="609"/>
      <c r="UCL70" s="609"/>
      <c r="UCM70" s="609"/>
      <c r="UCN70" s="609"/>
      <c r="UCO70" s="609"/>
      <c r="UCP70" s="609"/>
      <c r="UCQ70" s="609"/>
      <c r="UCR70" s="609"/>
      <c r="UCS70" s="609"/>
      <c r="UCT70" s="609"/>
      <c r="UCU70" s="609"/>
      <c r="UCV70" s="609"/>
      <c r="UCW70" s="609"/>
      <c r="UCX70" s="609"/>
      <c r="UCY70" s="609"/>
      <c r="UCZ70" s="609"/>
      <c r="UDA70" s="609"/>
      <c r="UDB70" s="609"/>
      <c r="UDC70" s="609"/>
      <c r="UDD70" s="609"/>
      <c r="UDE70" s="609"/>
      <c r="UDF70" s="609"/>
      <c r="UDG70" s="609"/>
      <c r="UDH70" s="609"/>
      <c r="UDI70" s="609"/>
      <c r="UDJ70" s="609"/>
      <c r="UDK70" s="609"/>
      <c r="UDL70" s="609"/>
      <c r="UDM70" s="609"/>
      <c r="UDN70" s="609"/>
      <c r="UDO70" s="609"/>
      <c r="UDP70" s="609"/>
      <c r="UDQ70" s="609"/>
      <c r="UDR70" s="609"/>
      <c r="UDS70" s="609"/>
      <c r="UDT70" s="609"/>
      <c r="UDU70" s="609"/>
      <c r="UDV70" s="609"/>
      <c r="UDW70" s="609"/>
      <c r="UDX70" s="609"/>
      <c r="UDY70" s="609"/>
      <c r="UDZ70" s="609"/>
      <c r="UEA70" s="609"/>
      <c r="UEB70" s="609"/>
      <c r="UEC70" s="609"/>
      <c r="UED70" s="609"/>
      <c r="UEE70" s="609"/>
      <c r="UEF70" s="609"/>
      <c r="UEG70" s="609"/>
      <c r="UEH70" s="609"/>
      <c r="UEI70" s="609"/>
      <c r="UEJ70" s="609"/>
      <c r="UEK70" s="609"/>
      <c r="UEL70" s="609"/>
      <c r="UEM70" s="609"/>
      <c r="UEN70" s="609"/>
      <c r="UEO70" s="609"/>
      <c r="UEP70" s="609"/>
      <c r="UEQ70" s="609"/>
      <c r="UER70" s="609"/>
      <c r="UES70" s="609"/>
      <c r="UET70" s="609"/>
      <c r="UEU70" s="609"/>
      <c r="UEV70" s="609"/>
      <c r="UEW70" s="609"/>
      <c r="UEX70" s="609"/>
      <c r="UEY70" s="609"/>
      <c r="UEZ70" s="609"/>
      <c r="UFA70" s="609"/>
      <c r="UFB70" s="609"/>
      <c r="UFC70" s="609"/>
      <c r="UFD70" s="609"/>
      <c r="UFE70" s="609"/>
      <c r="UFF70" s="609"/>
      <c r="UFG70" s="609"/>
      <c r="UFH70" s="609"/>
      <c r="UFI70" s="609"/>
      <c r="UFJ70" s="609"/>
      <c r="UFK70" s="609"/>
      <c r="UFL70" s="609"/>
      <c r="UFM70" s="609"/>
      <c r="UFN70" s="609"/>
      <c r="UFO70" s="609"/>
      <c r="UFP70" s="609"/>
      <c r="UFQ70" s="609"/>
      <c r="UFR70" s="609"/>
      <c r="UFS70" s="609"/>
      <c r="UFT70" s="609"/>
      <c r="UFU70" s="609"/>
      <c r="UFV70" s="609"/>
      <c r="UFW70" s="609"/>
      <c r="UFX70" s="609"/>
      <c r="UFY70" s="609"/>
      <c r="UFZ70" s="609"/>
      <c r="UGA70" s="609"/>
      <c r="UGB70" s="609"/>
      <c r="UGC70" s="609"/>
      <c r="UGD70" s="609"/>
      <c r="UGE70" s="609"/>
      <c r="UGF70" s="609"/>
      <c r="UGG70" s="609"/>
      <c r="UGH70" s="609"/>
      <c r="UGI70" s="609"/>
      <c r="UGJ70" s="609"/>
      <c r="UGK70" s="609"/>
      <c r="UGL70" s="609"/>
      <c r="UGM70" s="609"/>
      <c r="UGN70" s="609"/>
      <c r="UGO70" s="609"/>
      <c r="UGP70" s="609"/>
      <c r="UGQ70" s="609"/>
      <c r="UGR70" s="609"/>
      <c r="UGS70" s="609"/>
      <c r="UGT70" s="609"/>
      <c r="UGU70" s="609"/>
      <c r="UGV70" s="609"/>
      <c r="UGW70" s="609"/>
      <c r="UGX70" s="609"/>
      <c r="UGY70" s="609"/>
      <c r="UGZ70" s="609"/>
      <c r="UHA70" s="609"/>
      <c r="UHB70" s="609"/>
      <c r="UHC70" s="609"/>
      <c r="UHD70" s="609"/>
      <c r="UHE70" s="609"/>
      <c r="UHF70" s="609"/>
      <c r="UHG70" s="609"/>
      <c r="UHH70" s="609"/>
      <c r="UHI70" s="609"/>
      <c r="UHJ70" s="609"/>
      <c r="UHK70" s="609"/>
      <c r="UHL70" s="609"/>
      <c r="UHM70" s="609"/>
      <c r="UHN70" s="609"/>
      <c r="UHO70" s="609"/>
      <c r="UHP70" s="609"/>
      <c r="UHQ70" s="609"/>
      <c r="UHR70" s="609"/>
      <c r="UHS70" s="609"/>
      <c r="UHT70" s="609"/>
      <c r="UHU70" s="609"/>
      <c r="UHV70" s="609"/>
      <c r="UHW70" s="609"/>
      <c r="UHX70" s="609"/>
      <c r="UHY70" s="609"/>
      <c r="UHZ70" s="609"/>
      <c r="UIA70" s="609"/>
      <c r="UIB70" s="609"/>
      <c r="UIC70" s="609"/>
      <c r="UID70" s="609"/>
      <c r="UIE70" s="609"/>
      <c r="UIF70" s="609"/>
      <c r="UIG70" s="609"/>
      <c r="UIH70" s="609"/>
      <c r="UII70" s="609"/>
      <c r="UIJ70" s="609"/>
      <c r="UIK70" s="609"/>
      <c r="UIL70" s="609"/>
      <c r="UIM70" s="609"/>
      <c r="UIN70" s="609"/>
      <c r="UIO70" s="609"/>
      <c r="UIP70" s="609"/>
      <c r="UIQ70" s="609"/>
      <c r="UIR70" s="609"/>
      <c r="UIS70" s="609"/>
      <c r="UIT70" s="609"/>
      <c r="UIU70" s="609"/>
      <c r="UIV70" s="609"/>
      <c r="UIW70" s="609"/>
      <c r="UIX70" s="609"/>
      <c r="UIY70" s="609"/>
      <c r="UIZ70" s="609"/>
      <c r="UJA70" s="609"/>
      <c r="UJB70" s="609"/>
      <c r="UJC70" s="609"/>
      <c r="UJD70" s="609"/>
      <c r="UJE70" s="609"/>
      <c r="UJF70" s="609"/>
      <c r="UJG70" s="609"/>
      <c r="UJH70" s="609"/>
      <c r="UJI70" s="609"/>
      <c r="UJJ70" s="609"/>
      <c r="UJK70" s="609"/>
      <c r="UJL70" s="609"/>
      <c r="UJM70" s="609"/>
      <c r="UJN70" s="609"/>
      <c r="UJO70" s="609"/>
      <c r="UJP70" s="609"/>
      <c r="UJQ70" s="609"/>
      <c r="UJR70" s="609"/>
      <c r="UJS70" s="609"/>
      <c r="UJT70" s="609"/>
      <c r="UJU70" s="609"/>
      <c r="UJV70" s="609"/>
      <c r="UJW70" s="609"/>
      <c r="UJX70" s="609"/>
      <c r="UJY70" s="609"/>
      <c r="UJZ70" s="609"/>
      <c r="UKA70" s="609"/>
      <c r="UKB70" s="609"/>
      <c r="UKC70" s="609"/>
      <c r="UKD70" s="609"/>
      <c r="UKE70" s="609"/>
      <c r="UKF70" s="609"/>
      <c r="UKG70" s="609"/>
      <c r="UKH70" s="609"/>
      <c r="UKI70" s="609"/>
      <c r="UKJ70" s="609"/>
      <c r="UKK70" s="609"/>
      <c r="UKL70" s="609"/>
      <c r="UKM70" s="609"/>
      <c r="UKN70" s="609"/>
      <c r="UKO70" s="609"/>
      <c r="UKP70" s="609"/>
      <c r="UKQ70" s="609"/>
      <c r="UKR70" s="609"/>
      <c r="UKS70" s="609"/>
      <c r="UKT70" s="609"/>
      <c r="UKU70" s="609"/>
      <c r="UKV70" s="609"/>
      <c r="UKW70" s="609"/>
      <c r="UKX70" s="609"/>
      <c r="UKY70" s="609"/>
      <c r="UKZ70" s="609"/>
      <c r="ULA70" s="609"/>
      <c r="ULB70" s="609"/>
      <c r="ULC70" s="609"/>
      <c r="ULD70" s="609"/>
      <c r="ULE70" s="609"/>
      <c r="ULF70" s="609"/>
      <c r="ULG70" s="609"/>
      <c r="ULH70" s="609"/>
      <c r="ULI70" s="609"/>
      <c r="ULJ70" s="609"/>
      <c r="ULK70" s="609"/>
      <c r="ULL70" s="609"/>
      <c r="ULM70" s="609"/>
      <c r="ULN70" s="609"/>
      <c r="ULO70" s="609"/>
      <c r="ULP70" s="609"/>
      <c r="ULQ70" s="609"/>
      <c r="ULR70" s="609"/>
      <c r="ULS70" s="609"/>
      <c r="ULT70" s="609"/>
      <c r="ULU70" s="609"/>
      <c r="ULV70" s="609"/>
      <c r="ULW70" s="609"/>
      <c r="ULX70" s="609"/>
      <c r="ULY70" s="609"/>
      <c r="ULZ70" s="609"/>
      <c r="UMA70" s="609"/>
      <c r="UMB70" s="609"/>
      <c r="UMC70" s="609"/>
      <c r="UMD70" s="609"/>
      <c r="UME70" s="609"/>
      <c r="UMF70" s="609"/>
      <c r="UMG70" s="609"/>
      <c r="UMH70" s="609"/>
      <c r="UMI70" s="609"/>
      <c r="UMJ70" s="609"/>
      <c r="UMK70" s="609"/>
      <c r="UML70" s="609"/>
      <c r="UMM70" s="609"/>
      <c r="UMN70" s="609"/>
      <c r="UMO70" s="609"/>
      <c r="UMP70" s="609"/>
      <c r="UMQ70" s="609"/>
      <c r="UMR70" s="609"/>
      <c r="UMS70" s="609"/>
      <c r="UMT70" s="609"/>
      <c r="UMU70" s="609"/>
      <c r="UMV70" s="609"/>
      <c r="UMW70" s="609"/>
      <c r="UMX70" s="609"/>
      <c r="UMY70" s="609"/>
      <c r="UMZ70" s="609"/>
      <c r="UNA70" s="609"/>
      <c r="UNB70" s="609"/>
      <c r="UNC70" s="609"/>
      <c r="UND70" s="609"/>
      <c r="UNE70" s="609"/>
      <c r="UNF70" s="609"/>
      <c r="UNG70" s="609"/>
      <c r="UNH70" s="609"/>
      <c r="UNI70" s="609"/>
      <c r="UNJ70" s="609"/>
      <c r="UNK70" s="609"/>
      <c r="UNL70" s="609"/>
      <c r="UNM70" s="609"/>
      <c r="UNN70" s="609"/>
      <c r="UNO70" s="609"/>
      <c r="UNP70" s="609"/>
      <c r="UNQ70" s="609"/>
      <c r="UNR70" s="609"/>
      <c r="UNS70" s="609"/>
      <c r="UNT70" s="609"/>
      <c r="UNU70" s="609"/>
      <c r="UNV70" s="609"/>
      <c r="UNW70" s="609"/>
      <c r="UNX70" s="609"/>
      <c r="UNY70" s="609"/>
      <c r="UNZ70" s="609"/>
      <c r="UOA70" s="609"/>
      <c r="UOB70" s="609"/>
      <c r="UOC70" s="609"/>
      <c r="UOD70" s="609"/>
      <c r="UOE70" s="609"/>
      <c r="UOF70" s="609"/>
      <c r="UOG70" s="609"/>
      <c r="UOH70" s="609"/>
      <c r="UOI70" s="609"/>
      <c r="UOJ70" s="609"/>
      <c r="UOK70" s="609"/>
      <c r="UOL70" s="609"/>
      <c r="UOM70" s="609"/>
      <c r="UON70" s="609"/>
      <c r="UOO70" s="609"/>
      <c r="UOP70" s="609"/>
      <c r="UOQ70" s="609"/>
      <c r="UOR70" s="609"/>
      <c r="UOS70" s="609"/>
      <c r="UOT70" s="609"/>
      <c r="UOU70" s="609"/>
      <c r="UOV70" s="609"/>
      <c r="UOW70" s="609"/>
      <c r="UOX70" s="609"/>
      <c r="UOY70" s="609"/>
      <c r="UOZ70" s="609"/>
      <c r="UPA70" s="609"/>
      <c r="UPB70" s="609"/>
      <c r="UPC70" s="609"/>
      <c r="UPD70" s="609"/>
      <c r="UPE70" s="609"/>
      <c r="UPF70" s="609"/>
      <c r="UPG70" s="609"/>
      <c r="UPH70" s="609"/>
      <c r="UPI70" s="609"/>
      <c r="UPJ70" s="609"/>
      <c r="UPK70" s="609"/>
      <c r="UPL70" s="609"/>
      <c r="UPM70" s="609"/>
      <c r="UPN70" s="609"/>
      <c r="UPO70" s="609"/>
      <c r="UPP70" s="609"/>
      <c r="UPQ70" s="609"/>
      <c r="UPR70" s="609"/>
      <c r="UPS70" s="609"/>
      <c r="UPT70" s="609"/>
      <c r="UPU70" s="609"/>
      <c r="UPV70" s="609"/>
      <c r="UPW70" s="609"/>
      <c r="UPX70" s="609"/>
      <c r="UPY70" s="609"/>
      <c r="UPZ70" s="609"/>
      <c r="UQA70" s="609"/>
      <c r="UQB70" s="609"/>
      <c r="UQC70" s="609"/>
      <c r="UQD70" s="609"/>
      <c r="UQE70" s="609"/>
      <c r="UQF70" s="609"/>
      <c r="UQG70" s="609"/>
      <c r="UQH70" s="609"/>
      <c r="UQI70" s="609"/>
      <c r="UQJ70" s="609"/>
      <c r="UQK70" s="609"/>
      <c r="UQL70" s="609"/>
      <c r="UQM70" s="609"/>
      <c r="UQN70" s="609"/>
      <c r="UQO70" s="609"/>
      <c r="UQP70" s="609"/>
      <c r="UQQ70" s="609"/>
      <c r="UQR70" s="609"/>
      <c r="UQS70" s="609"/>
      <c r="UQT70" s="609"/>
      <c r="UQU70" s="609"/>
      <c r="UQV70" s="609"/>
      <c r="UQW70" s="609"/>
      <c r="UQX70" s="609"/>
      <c r="UQY70" s="609"/>
      <c r="UQZ70" s="609"/>
      <c r="URA70" s="609"/>
      <c r="URB70" s="609"/>
      <c r="URC70" s="609"/>
      <c r="URD70" s="609"/>
      <c r="URE70" s="609"/>
      <c r="URF70" s="609"/>
      <c r="URG70" s="609"/>
      <c r="URH70" s="609"/>
      <c r="URI70" s="609"/>
      <c r="URJ70" s="609"/>
      <c r="URK70" s="609"/>
      <c r="URL70" s="609"/>
      <c r="URM70" s="609"/>
      <c r="URN70" s="609"/>
      <c r="URO70" s="609"/>
      <c r="URP70" s="609"/>
      <c r="URQ70" s="609"/>
      <c r="URR70" s="609"/>
      <c r="URS70" s="609"/>
      <c r="URT70" s="609"/>
      <c r="URU70" s="609"/>
      <c r="URV70" s="609"/>
      <c r="URW70" s="609"/>
      <c r="URX70" s="609"/>
      <c r="URY70" s="609"/>
      <c r="URZ70" s="609"/>
      <c r="USA70" s="609"/>
      <c r="USB70" s="609"/>
      <c r="USC70" s="609"/>
      <c r="USD70" s="609"/>
      <c r="USE70" s="609"/>
      <c r="USF70" s="609"/>
      <c r="USG70" s="609"/>
      <c r="USH70" s="609"/>
      <c r="USI70" s="609"/>
      <c r="USJ70" s="609"/>
      <c r="USK70" s="609"/>
      <c r="USL70" s="609"/>
      <c r="USM70" s="609"/>
      <c r="USN70" s="609"/>
      <c r="USO70" s="609"/>
      <c r="USP70" s="609"/>
      <c r="USQ70" s="609"/>
      <c r="USR70" s="609"/>
      <c r="USS70" s="609"/>
      <c r="UST70" s="609"/>
      <c r="USU70" s="609"/>
      <c r="USV70" s="609"/>
      <c r="USW70" s="609"/>
      <c r="USX70" s="609"/>
      <c r="USY70" s="609"/>
      <c r="USZ70" s="609"/>
      <c r="UTA70" s="609"/>
      <c r="UTB70" s="609"/>
      <c r="UTC70" s="609"/>
      <c r="UTD70" s="609"/>
      <c r="UTE70" s="609"/>
      <c r="UTF70" s="609"/>
      <c r="UTG70" s="609"/>
      <c r="UTH70" s="609"/>
      <c r="UTI70" s="609"/>
      <c r="UTJ70" s="609"/>
      <c r="UTK70" s="609"/>
      <c r="UTL70" s="609"/>
      <c r="UTM70" s="609"/>
      <c r="UTN70" s="609"/>
      <c r="UTO70" s="609"/>
      <c r="UTP70" s="609"/>
      <c r="UTQ70" s="609"/>
      <c r="UTR70" s="609"/>
      <c r="UTS70" s="609"/>
      <c r="UTT70" s="609"/>
      <c r="UTU70" s="609"/>
      <c r="UTV70" s="609"/>
      <c r="UTW70" s="609"/>
      <c r="UTX70" s="609"/>
      <c r="UTY70" s="609"/>
      <c r="UTZ70" s="609"/>
      <c r="UUA70" s="609"/>
      <c r="UUB70" s="609"/>
      <c r="UUC70" s="609"/>
      <c r="UUD70" s="609"/>
      <c r="UUE70" s="609"/>
      <c r="UUF70" s="609"/>
      <c r="UUG70" s="609"/>
      <c r="UUH70" s="609"/>
      <c r="UUI70" s="609"/>
      <c r="UUJ70" s="609"/>
      <c r="UUK70" s="609"/>
      <c r="UUL70" s="609"/>
      <c r="UUM70" s="609"/>
      <c r="UUN70" s="609"/>
      <c r="UUO70" s="609"/>
      <c r="UUP70" s="609"/>
      <c r="UUQ70" s="609"/>
      <c r="UUR70" s="609"/>
      <c r="UUS70" s="609"/>
      <c r="UUT70" s="609"/>
      <c r="UUU70" s="609"/>
      <c r="UUV70" s="609"/>
      <c r="UUW70" s="609"/>
      <c r="UUX70" s="609"/>
      <c r="UUY70" s="609"/>
      <c r="UUZ70" s="609"/>
      <c r="UVA70" s="609"/>
      <c r="UVB70" s="609"/>
      <c r="UVC70" s="609"/>
      <c r="UVD70" s="609"/>
      <c r="UVE70" s="609"/>
      <c r="UVF70" s="609"/>
      <c r="UVG70" s="609"/>
      <c r="UVH70" s="609"/>
      <c r="UVI70" s="609"/>
      <c r="UVJ70" s="609"/>
      <c r="UVK70" s="609"/>
      <c r="UVL70" s="609"/>
      <c r="UVM70" s="609"/>
      <c r="UVN70" s="609"/>
      <c r="UVO70" s="609"/>
      <c r="UVP70" s="609"/>
      <c r="UVQ70" s="609"/>
      <c r="UVR70" s="609"/>
      <c r="UVS70" s="609"/>
      <c r="UVT70" s="609"/>
      <c r="UVU70" s="609"/>
      <c r="UVV70" s="609"/>
      <c r="UVW70" s="609"/>
      <c r="UVX70" s="609"/>
      <c r="UVY70" s="609"/>
      <c r="UVZ70" s="609"/>
      <c r="UWA70" s="609"/>
      <c r="UWB70" s="609"/>
      <c r="UWC70" s="609"/>
      <c r="UWD70" s="609"/>
      <c r="UWE70" s="609"/>
      <c r="UWF70" s="609"/>
      <c r="UWG70" s="609"/>
      <c r="UWH70" s="609"/>
      <c r="UWI70" s="609"/>
      <c r="UWJ70" s="609"/>
      <c r="UWK70" s="609"/>
      <c r="UWL70" s="609"/>
      <c r="UWM70" s="609"/>
      <c r="UWN70" s="609"/>
      <c r="UWO70" s="609"/>
      <c r="UWP70" s="609"/>
      <c r="UWQ70" s="609"/>
      <c r="UWR70" s="609"/>
      <c r="UWS70" s="609"/>
      <c r="UWT70" s="609"/>
      <c r="UWU70" s="609"/>
      <c r="UWV70" s="609"/>
      <c r="UWW70" s="609"/>
      <c r="UWX70" s="609"/>
      <c r="UWY70" s="609"/>
      <c r="UWZ70" s="609"/>
      <c r="UXA70" s="609"/>
      <c r="UXB70" s="609"/>
      <c r="UXC70" s="609"/>
      <c r="UXD70" s="609"/>
      <c r="UXE70" s="609"/>
      <c r="UXF70" s="609"/>
      <c r="UXG70" s="609"/>
      <c r="UXH70" s="609"/>
      <c r="UXI70" s="609"/>
      <c r="UXJ70" s="609"/>
      <c r="UXK70" s="609"/>
      <c r="UXL70" s="609"/>
      <c r="UXM70" s="609"/>
      <c r="UXN70" s="609"/>
      <c r="UXO70" s="609"/>
      <c r="UXP70" s="609"/>
      <c r="UXQ70" s="609"/>
      <c r="UXR70" s="609"/>
      <c r="UXS70" s="609"/>
      <c r="UXT70" s="609"/>
      <c r="UXU70" s="609"/>
      <c r="UXV70" s="609"/>
      <c r="UXW70" s="609"/>
      <c r="UXX70" s="609"/>
      <c r="UXY70" s="609"/>
      <c r="UXZ70" s="609"/>
      <c r="UYA70" s="609"/>
      <c r="UYB70" s="609"/>
      <c r="UYC70" s="609"/>
      <c r="UYD70" s="609"/>
      <c r="UYE70" s="609"/>
      <c r="UYF70" s="609"/>
      <c r="UYG70" s="609"/>
      <c r="UYH70" s="609"/>
      <c r="UYI70" s="609"/>
      <c r="UYJ70" s="609"/>
      <c r="UYK70" s="609"/>
      <c r="UYL70" s="609"/>
      <c r="UYM70" s="609"/>
      <c r="UYN70" s="609"/>
      <c r="UYO70" s="609"/>
      <c r="UYP70" s="609"/>
      <c r="UYQ70" s="609"/>
      <c r="UYR70" s="609"/>
      <c r="UYS70" s="609"/>
      <c r="UYT70" s="609"/>
      <c r="UYU70" s="609"/>
      <c r="UYV70" s="609"/>
      <c r="UYW70" s="609"/>
      <c r="UYX70" s="609"/>
      <c r="UYY70" s="609"/>
      <c r="UYZ70" s="609"/>
      <c r="UZA70" s="609"/>
      <c r="UZB70" s="609"/>
      <c r="UZC70" s="609"/>
      <c r="UZD70" s="609"/>
      <c r="UZE70" s="609"/>
      <c r="UZF70" s="609"/>
      <c r="UZG70" s="609"/>
      <c r="UZH70" s="609"/>
      <c r="UZI70" s="609"/>
      <c r="UZJ70" s="609"/>
      <c r="UZK70" s="609"/>
      <c r="UZL70" s="609"/>
      <c r="UZM70" s="609"/>
      <c r="UZN70" s="609"/>
      <c r="UZO70" s="609"/>
      <c r="UZP70" s="609"/>
      <c r="UZQ70" s="609"/>
      <c r="UZR70" s="609"/>
      <c r="UZS70" s="609"/>
      <c r="UZT70" s="609"/>
      <c r="UZU70" s="609"/>
      <c r="UZV70" s="609"/>
      <c r="UZW70" s="609"/>
      <c r="UZX70" s="609"/>
      <c r="UZY70" s="609"/>
      <c r="UZZ70" s="609"/>
      <c r="VAA70" s="609"/>
      <c r="VAB70" s="609"/>
      <c r="VAC70" s="609"/>
      <c r="VAD70" s="609"/>
      <c r="VAE70" s="609"/>
      <c r="VAF70" s="609"/>
      <c r="VAG70" s="609"/>
      <c r="VAH70" s="609"/>
      <c r="VAI70" s="609"/>
      <c r="VAJ70" s="609"/>
      <c r="VAK70" s="609"/>
      <c r="VAL70" s="609"/>
      <c r="VAM70" s="609"/>
      <c r="VAN70" s="609"/>
      <c r="VAO70" s="609"/>
      <c r="VAP70" s="609"/>
      <c r="VAQ70" s="609"/>
      <c r="VAR70" s="609"/>
      <c r="VAS70" s="609"/>
      <c r="VAT70" s="609"/>
      <c r="VAU70" s="609"/>
      <c r="VAV70" s="609"/>
      <c r="VAW70" s="609"/>
      <c r="VAX70" s="609"/>
      <c r="VAY70" s="609"/>
      <c r="VAZ70" s="609"/>
      <c r="VBA70" s="609"/>
      <c r="VBB70" s="609"/>
      <c r="VBC70" s="609"/>
      <c r="VBD70" s="609"/>
      <c r="VBE70" s="609"/>
      <c r="VBF70" s="609"/>
      <c r="VBG70" s="609"/>
      <c r="VBH70" s="609"/>
      <c r="VBI70" s="609"/>
      <c r="VBJ70" s="609"/>
      <c r="VBK70" s="609"/>
      <c r="VBL70" s="609"/>
      <c r="VBM70" s="609"/>
      <c r="VBN70" s="609"/>
      <c r="VBO70" s="609"/>
      <c r="VBP70" s="609"/>
      <c r="VBQ70" s="609"/>
      <c r="VBR70" s="609"/>
      <c r="VBS70" s="609"/>
      <c r="VBT70" s="609"/>
      <c r="VBU70" s="609"/>
      <c r="VBV70" s="609"/>
      <c r="VBW70" s="609"/>
      <c r="VBX70" s="609"/>
      <c r="VBY70" s="609"/>
      <c r="VBZ70" s="609"/>
      <c r="VCA70" s="609"/>
      <c r="VCB70" s="609"/>
      <c r="VCC70" s="609"/>
      <c r="VCD70" s="609"/>
      <c r="VCE70" s="609"/>
      <c r="VCF70" s="609"/>
      <c r="VCG70" s="609"/>
      <c r="VCH70" s="609"/>
      <c r="VCI70" s="609"/>
      <c r="VCJ70" s="609"/>
      <c r="VCK70" s="609"/>
      <c r="VCL70" s="609"/>
      <c r="VCM70" s="609"/>
      <c r="VCN70" s="609"/>
      <c r="VCO70" s="609"/>
      <c r="VCP70" s="609"/>
      <c r="VCQ70" s="609"/>
      <c r="VCR70" s="609"/>
      <c r="VCS70" s="609"/>
      <c r="VCT70" s="609"/>
      <c r="VCU70" s="609"/>
      <c r="VCV70" s="609"/>
      <c r="VCW70" s="609"/>
      <c r="VCX70" s="609"/>
      <c r="VCY70" s="609"/>
      <c r="VCZ70" s="609"/>
      <c r="VDA70" s="609"/>
      <c r="VDB70" s="609"/>
      <c r="VDC70" s="609"/>
      <c r="VDD70" s="609"/>
      <c r="VDE70" s="609"/>
      <c r="VDF70" s="609"/>
      <c r="VDG70" s="609"/>
      <c r="VDH70" s="609"/>
      <c r="VDI70" s="609"/>
      <c r="VDJ70" s="609"/>
      <c r="VDK70" s="609"/>
      <c r="VDL70" s="609"/>
      <c r="VDM70" s="609"/>
      <c r="VDN70" s="609"/>
      <c r="VDO70" s="609"/>
      <c r="VDP70" s="609"/>
      <c r="VDQ70" s="609"/>
      <c r="VDR70" s="609"/>
      <c r="VDS70" s="609"/>
      <c r="VDT70" s="609"/>
      <c r="VDU70" s="609"/>
      <c r="VDV70" s="609"/>
      <c r="VDW70" s="609"/>
      <c r="VDX70" s="609"/>
      <c r="VDY70" s="609"/>
      <c r="VDZ70" s="609"/>
      <c r="VEA70" s="609"/>
      <c r="VEB70" s="609"/>
      <c r="VEC70" s="609"/>
      <c r="VED70" s="609"/>
      <c r="VEE70" s="609"/>
      <c r="VEF70" s="609"/>
      <c r="VEG70" s="609"/>
      <c r="VEH70" s="609"/>
      <c r="VEI70" s="609"/>
      <c r="VEJ70" s="609"/>
      <c r="VEK70" s="609"/>
      <c r="VEL70" s="609"/>
      <c r="VEM70" s="609"/>
      <c r="VEN70" s="609"/>
      <c r="VEO70" s="609"/>
      <c r="VEP70" s="609"/>
      <c r="VEQ70" s="609"/>
      <c r="VER70" s="609"/>
      <c r="VES70" s="609"/>
      <c r="VET70" s="609"/>
      <c r="VEU70" s="609"/>
      <c r="VEV70" s="609"/>
      <c r="VEW70" s="609"/>
      <c r="VEX70" s="609"/>
      <c r="VEY70" s="609"/>
      <c r="VEZ70" s="609"/>
      <c r="VFA70" s="609"/>
      <c r="VFB70" s="609"/>
      <c r="VFC70" s="609"/>
      <c r="VFD70" s="609"/>
      <c r="VFE70" s="609"/>
      <c r="VFF70" s="609"/>
      <c r="VFG70" s="609"/>
      <c r="VFH70" s="609"/>
      <c r="VFI70" s="609"/>
      <c r="VFJ70" s="609"/>
      <c r="VFK70" s="609"/>
      <c r="VFL70" s="609"/>
      <c r="VFM70" s="609"/>
      <c r="VFN70" s="609"/>
      <c r="VFO70" s="609"/>
      <c r="VFP70" s="609"/>
      <c r="VFQ70" s="609"/>
      <c r="VFR70" s="609"/>
      <c r="VFS70" s="609"/>
      <c r="VFT70" s="609"/>
      <c r="VFU70" s="609"/>
      <c r="VFV70" s="609"/>
      <c r="VFW70" s="609"/>
      <c r="VFX70" s="609"/>
      <c r="VFY70" s="609"/>
      <c r="VFZ70" s="609"/>
      <c r="VGA70" s="609"/>
      <c r="VGB70" s="609"/>
      <c r="VGC70" s="609"/>
      <c r="VGD70" s="609"/>
      <c r="VGE70" s="609"/>
      <c r="VGF70" s="609"/>
      <c r="VGG70" s="609"/>
      <c r="VGH70" s="609"/>
      <c r="VGI70" s="609"/>
      <c r="VGJ70" s="609"/>
      <c r="VGK70" s="609"/>
      <c r="VGL70" s="609"/>
      <c r="VGM70" s="609"/>
      <c r="VGN70" s="609"/>
      <c r="VGO70" s="609"/>
      <c r="VGP70" s="609"/>
      <c r="VGQ70" s="609"/>
      <c r="VGR70" s="609"/>
      <c r="VGS70" s="609"/>
      <c r="VGT70" s="609"/>
      <c r="VGU70" s="609"/>
      <c r="VGV70" s="609"/>
      <c r="VGW70" s="609"/>
      <c r="VGX70" s="609"/>
      <c r="VGY70" s="609"/>
      <c r="VGZ70" s="609"/>
      <c r="VHA70" s="609"/>
      <c r="VHB70" s="609"/>
      <c r="VHC70" s="609"/>
      <c r="VHD70" s="609"/>
      <c r="VHE70" s="609"/>
      <c r="VHF70" s="609"/>
      <c r="VHG70" s="609"/>
      <c r="VHH70" s="609"/>
      <c r="VHI70" s="609"/>
      <c r="VHJ70" s="609"/>
      <c r="VHK70" s="609"/>
      <c r="VHL70" s="609"/>
      <c r="VHM70" s="609"/>
      <c r="VHN70" s="609"/>
      <c r="VHO70" s="609"/>
      <c r="VHP70" s="609"/>
      <c r="VHQ70" s="609"/>
      <c r="VHR70" s="609"/>
      <c r="VHS70" s="609"/>
      <c r="VHT70" s="609"/>
      <c r="VHU70" s="609"/>
      <c r="VHV70" s="609"/>
      <c r="VHW70" s="609"/>
      <c r="VHX70" s="609"/>
      <c r="VHY70" s="609"/>
      <c r="VHZ70" s="609"/>
      <c r="VIA70" s="609"/>
      <c r="VIB70" s="609"/>
      <c r="VIC70" s="609"/>
      <c r="VID70" s="609"/>
      <c r="VIE70" s="609"/>
      <c r="VIF70" s="609"/>
      <c r="VIG70" s="609"/>
      <c r="VIH70" s="609"/>
      <c r="VII70" s="609"/>
      <c r="VIJ70" s="609"/>
      <c r="VIK70" s="609"/>
      <c r="VIL70" s="609"/>
      <c r="VIM70" s="609"/>
      <c r="VIN70" s="609"/>
      <c r="VIO70" s="609"/>
      <c r="VIP70" s="609"/>
      <c r="VIQ70" s="609"/>
      <c r="VIR70" s="609"/>
      <c r="VIS70" s="609"/>
      <c r="VIT70" s="609"/>
      <c r="VIU70" s="609"/>
      <c r="VIV70" s="609"/>
      <c r="VIW70" s="609"/>
      <c r="VIX70" s="609"/>
      <c r="VIY70" s="609"/>
      <c r="VIZ70" s="609"/>
      <c r="VJA70" s="609"/>
      <c r="VJB70" s="609"/>
      <c r="VJC70" s="609"/>
      <c r="VJD70" s="609"/>
      <c r="VJE70" s="609"/>
      <c r="VJF70" s="609"/>
      <c r="VJG70" s="609"/>
      <c r="VJH70" s="609"/>
      <c r="VJI70" s="609"/>
      <c r="VJJ70" s="609"/>
      <c r="VJK70" s="609"/>
      <c r="VJL70" s="609"/>
      <c r="VJM70" s="609"/>
      <c r="VJN70" s="609"/>
      <c r="VJO70" s="609"/>
      <c r="VJP70" s="609"/>
      <c r="VJQ70" s="609"/>
      <c r="VJR70" s="609"/>
      <c r="VJS70" s="609"/>
      <c r="VJT70" s="609"/>
      <c r="VJU70" s="609"/>
      <c r="VJV70" s="609"/>
      <c r="VJW70" s="609"/>
      <c r="VJX70" s="609"/>
      <c r="VJY70" s="609"/>
      <c r="VJZ70" s="609"/>
      <c r="VKA70" s="609"/>
      <c r="VKB70" s="609"/>
      <c r="VKC70" s="609"/>
      <c r="VKD70" s="609"/>
      <c r="VKE70" s="609"/>
      <c r="VKF70" s="609"/>
      <c r="VKG70" s="609"/>
      <c r="VKH70" s="609"/>
      <c r="VKI70" s="609"/>
      <c r="VKJ70" s="609"/>
      <c r="VKK70" s="609"/>
      <c r="VKL70" s="609"/>
      <c r="VKM70" s="609"/>
      <c r="VKN70" s="609"/>
      <c r="VKO70" s="609"/>
      <c r="VKP70" s="609"/>
      <c r="VKQ70" s="609"/>
      <c r="VKR70" s="609"/>
      <c r="VKS70" s="609"/>
      <c r="VKT70" s="609"/>
      <c r="VKU70" s="609"/>
      <c r="VKV70" s="609"/>
      <c r="VKW70" s="609"/>
      <c r="VKX70" s="609"/>
      <c r="VKY70" s="609"/>
      <c r="VKZ70" s="609"/>
      <c r="VLA70" s="609"/>
      <c r="VLB70" s="609"/>
      <c r="VLC70" s="609"/>
      <c r="VLD70" s="609"/>
      <c r="VLE70" s="609"/>
      <c r="VLF70" s="609"/>
      <c r="VLG70" s="609"/>
      <c r="VLH70" s="609"/>
      <c r="VLI70" s="609"/>
      <c r="VLJ70" s="609"/>
      <c r="VLK70" s="609"/>
      <c r="VLL70" s="609"/>
      <c r="VLM70" s="609"/>
      <c r="VLN70" s="609"/>
      <c r="VLO70" s="609"/>
      <c r="VLP70" s="609"/>
      <c r="VLQ70" s="609"/>
      <c r="VLR70" s="609"/>
      <c r="VLS70" s="609"/>
      <c r="VLT70" s="609"/>
      <c r="VLU70" s="609"/>
      <c r="VLV70" s="609"/>
      <c r="VLW70" s="609"/>
      <c r="VLX70" s="609"/>
      <c r="VLY70" s="609"/>
      <c r="VLZ70" s="609"/>
      <c r="VMA70" s="609"/>
      <c r="VMB70" s="609"/>
      <c r="VMC70" s="609"/>
      <c r="VMD70" s="609"/>
      <c r="VME70" s="609"/>
      <c r="VMF70" s="609"/>
      <c r="VMG70" s="609"/>
      <c r="VMH70" s="609"/>
      <c r="VMI70" s="609"/>
      <c r="VMJ70" s="609"/>
      <c r="VMK70" s="609"/>
      <c r="VML70" s="609"/>
      <c r="VMM70" s="609"/>
      <c r="VMN70" s="609"/>
      <c r="VMO70" s="609"/>
      <c r="VMP70" s="609"/>
      <c r="VMQ70" s="609"/>
      <c r="VMR70" s="609"/>
      <c r="VMS70" s="609"/>
      <c r="VMT70" s="609"/>
      <c r="VMU70" s="609"/>
      <c r="VMV70" s="609"/>
      <c r="VMW70" s="609"/>
      <c r="VMX70" s="609"/>
      <c r="VMY70" s="609"/>
      <c r="VMZ70" s="609"/>
      <c r="VNA70" s="609"/>
      <c r="VNB70" s="609"/>
      <c r="VNC70" s="609"/>
      <c r="VND70" s="609"/>
      <c r="VNE70" s="609"/>
      <c r="VNF70" s="609"/>
      <c r="VNG70" s="609"/>
      <c r="VNH70" s="609"/>
      <c r="VNI70" s="609"/>
      <c r="VNJ70" s="609"/>
      <c r="VNK70" s="609"/>
      <c r="VNL70" s="609"/>
      <c r="VNM70" s="609"/>
      <c r="VNN70" s="609"/>
      <c r="VNO70" s="609"/>
      <c r="VNP70" s="609"/>
      <c r="VNQ70" s="609"/>
      <c r="VNR70" s="609"/>
      <c r="VNS70" s="609"/>
      <c r="VNT70" s="609"/>
      <c r="VNU70" s="609"/>
      <c r="VNV70" s="609"/>
      <c r="VNW70" s="609"/>
      <c r="VNX70" s="609"/>
      <c r="VNY70" s="609"/>
      <c r="VNZ70" s="609"/>
      <c r="VOA70" s="609"/>
      <c r="VOB70" s="609"/>
      <c r="VOC70" s="609"/>
      <c r="VOD70" s="609"/>
      <c r="VOE70" s="609"/>
      <c r="VOF70" s="609"/>
      <c r="VOG70" s="609"/>
      <c r="VOH70" s="609"/>
      <c r="VOI70" s="609"/>
      <c r="VOJ70" s="609"/>
      <c r="VOK70" s="609"/>
      <c r="VOL70" s="609"/>
      <c r="VOM70" s="609"/>
      <c r="VON70" s="609"/>
      <c r="VOO70" s="609"/>
      <c r="VOP70" s="609"/>
      <c r="VOQ70" s="609"/>
      <c r="VOR70" s="609"/>
      <c r="VOS70" s="609"/>
      <c r="VOT70" s="609"/>
      <c r="VOU70" s="609"/>
      <c r="VOV70" s="609"/>
      <c r="VOW70" s="609"/>
      <c r="VOX70" s="609"/>
      <c r="VOY70" s="609"/>
      <c r="VOZ70" s="609"/>
      <c r="VPA70" s="609"/>
      <c r="VPB70" s="609"/>
      <c r="VPC70" s="609"/>
      <c r="VPD70" s="609"/>
      <c r="VPE70" s="609"/>
      <c r="VPF70" s="609"/>
      <c r="VPG70" s="609"/>
      <c r="VPH70" s="609"/>
      <c r="VPI70" s="609"/>
      <c r="VPJ70" s="609"/>
      <c r="VPK70" s="609"/>
      <c r="VPL70" s="609"/>
      <c r="VPM70" s="609"/>
      <c r="VPN70" s="609"/>
      <c r="VPO70" s="609"/>
      <c r="VPP70" s="609"/>
      <c r="VPQ70" s="609"/>
      <c r="VPR70" s="609"/>
      <c r="VPS70" s="609"/>
      <c r="VPT70" s="609"/>
      <c r="VPU70" s="609"/>
      <c r="VPV70" s="609"/>
      <c r="VPW70" s="609"/>
      <c r="VPX70" s="609"/>
      <c r="VPY70" s="609"/>
      <c r="VPZ70" s="609"/>
      <c r="VQA70" s="609"/>
      <c r="VQB70" s="609"/>
      <c r="VQC70" s="609"/>
      <c r="VQD70" s="609"/>
      <c r="VQE70" s="609"/>
      <c r="VQF70" s="609"/>
      <c r="VQG70" s="609"/>
      <c r="VQH70" s="609"/>
      <c r="VQI70" s="609"/>
      <c r="VQJ70" s="609"/>
      <c r="VQK70" s="609"/>
      <c r="VQL70" s="609"/>
      <c r="VQM70" s="609"/>
      <c r="VQN70" s="609"/>
      <c r="VQO70" s="609"/>
      <c r="VQP70" s="609"/>
      <c r="VQQ70" s="609"/>
      <c r="VQR70" s="609"/>
      <c r="VQS70" s="609"/>
      <c r="VQT70" s="609"/>
      <c r="VQU70" s="609"/>
      <c r="VQV70" s="609"/>
      <c r="VQW70" s="609"/>
      <c r="VQX70" s="609"/>
      <c r="VQY70" s="609"/>
      <c r="VQZ70" s="609"/>
      <c r="VRA70" s="609"/>
      <c r="VRB70" s="609"/>
      <c r="VRC70" s="609"/>
      <c r="VRD70" s="609"/>
      <c r="VRE70" s="609"/>
      <c r="VRF70" s="609"/>
      <c r="VRG70" s="609"/>
      <c r="VRH70" s="609"/>
      <c r="VRI70" s="609"/>
      <c r="VRJ70" s="609"/>
      <c r="VRK70" s="609"/>
      <c r="VRL70" s="609"/>
      <c r="VRM70" s="609"/>
      <c r="VRN70" s="609"/>
      <c r="VRO70" s="609"/>
      <c r="VRP70" s="609"/>
      <c r="VRQ70" s="609"/>
      <c r="VRR70" s="609"/>
      <c r="VRS70" s="609"/>
      <c r="VRT70" s="609"/>
      <c r="VRU70" s="609"/>
      <c r="VRV70" s="609"/>
      <c r="VRW70" s="609"/>
      <c r="VRX70" s="609"/>
      <c r="VRY70" s="609"/>
      <c r="VRZ70" s="609"/>
      <c r="VSA70" s="609"/>
      <c r="VSB70" s="609"/>
      <c r="VSC70" s="609"/>
      <c r="VSD70" s="609"/>
      <c r="VSE70" s="609"/>
      <c r="VSF70" s="609"/>
      <c r="VSG70" s="609"/>
      <c r="VSH70" s="609"/>
      <c r="VSI70" s="609"/>
      <c r="VSJ70" s="609"/>
      <c r="VSK70" s="609"/>
      <c r="VSL70" s="609"/>
      <c r="VSM70" s="609"/>
      <c r="VSN70" s="609"/>
      <c r="VSO70" s="609"/>
      <c r="VSP70" s="609"/>
      <c r="VSQ70" s="609"/>
      <c r="VSR70" s="609"/>
      <c r="VSS70" s="609"/>
      <c r="VST70" s="609"/>
      <c r="VSU70" s="609"/>
      <c r="VSV70" s="609"/>
      <c r="VSW70" s="609"/>
      <c r="VSX70" s="609"/>
      <c r="VSY70" s="609"/>
      <c r="VSZ70" s="609"/>
      <c r="VTA70" s="609"/>
      <c r="VTB70" s="609"/>
      <c r="VTC70" s="609"/>
      <c r="VTD70" s="609"/>
      <c r="VTE70" s="609"/>
      <c r="VTF70" s="609"/>
      <c r="VTG70" s="609"/>
      <c r="VTH70" s="609"/>
      <c r="VTI70" s="609"/>
      <c r="VTJ70" s="609"/>
      <c r="VTK70" s="609"/>
      <c r="VTL70" s="609"/>
      <c r="VTM70" s="609"/>
      <c r="VTN70" s="609"/>
      <c r="VTO70" s="609"/>
      <c r="VTP70" s="609"/>
      <c r="VTQ70" s="609"/>
      <c r="VTR70" s="609"/>
      <c r="VTS70" s="609"/>
      <c r="VTT70" s="609"/>
      <c r="VTU70" s="609"/>
      <c r="VTV70" s="609"/>
      <c r="VTW70" s="609"/>
      <c r="VTX70" s="609"/>
      <c r="VTY70" s="609"/>
      <c r="VTZ70" s="609"/>
      <c r="VUA70" s="609"/>
      <c r="VUB70" s="609"/>
      <c r="VUC70" s="609"/>
      <c r="VUD70" s="609"/>
      <c r="VUE70" s="609"/>
      <c r="VUF70" s="609"/>
      <c r="VUG70" s="609"/>
      <c r="VUH70" s="609"/>
      <c r="VUI70" s="609"/>
      <c r="VUJ70" s="609"/>
      <c r="VUK70" s="609"/>
      <c r="VUL70" s="609"/>
      <c r="VUM70" s="609"/>
      <c r="VUN70" s="609"/>
      <c r="VUO70" s="609"/>
      <c r="VUP70" s="609"/>
      <c r="VUQ70" s="609"/>
      <c r="VUR70" s="609"/>
      <c r="VUS70" s="609"/>
      <c r="VUT70" s="609"/>
      <c r="VUU70" s="609"/>
      <c r="VUV70" s="609"/>
      <c r="VUW70" s="609"/>
      <c r="VUX70" s="609"/>
      <c r="VUY70" s="609"/>
      <c r="VUZ70" s="609"/>
      <c r="VVA70" s="609"/>
      <c r="VVB70" s="609"/>
      <c r="VVC70" s="609"/>
      <c r="VVD70" s="609"/>
      <c r="VVE70" s="609"/>
      <c r="VVF70" s="609"/>
      <c r="VVG70" s="609"/>
      <c r="VVH70" s="609"/>
      <c r="VVI70" s="609"/>
      <c r="VVJ70" s="609"/>
      <c r="VVK70" s="609"/>
      <c r="VVL70" s="609"/>
      <c r="VVM70" s="609"/>
      <c r="VVN70" s="609"/>
      <c r="VVO70" s="609"/>
      <c r="VVP70" s="609"/>
      <c r="VVQ70" s="609"/>
      <c r="VVR70" s="609"/>
      <c r="VVS70" s="609"/>
      <c r="VVT70" s="609"/>
      <c r="VVU70" s="609"/>
      <c r="VVV70" s="609"/>
      <c r="VVW70" s="609"/>
      <c r="VVX70" s="609"/>
      <c r="VVY70" s="609"/>
      <c r="VVZ70" s="609"/>
      <c r="VWA70" s="609"/>
      <c r="VWB70" s="609"/>
      <c r="VWC70" s="609"/>
      <c r="VWD70" s="609"/>
      <c r="VWE70" s="609"/>
      <c r="VWF70" s="609"/>
      <c r="VWG70" s="609"/>
      <c r="VWH70" s="609"/>
      <c r="VWI70" s="609"/>
      <c r="VWJ70" s="609"/>
      <c r="VWK70" s="609"/>
      <c r="VWL70" s="609"/>
      <c r="VWM70" s="609"/>
      <c r="VWN70" s="609"/>
      <c r="VWO70" s="609"/>
      <c r="VWP70" s="609"/>
      <c r="VWQ70" s="609"/>
      <c r="VWR70" s="609"/>
      <c r="VWS70" s="609"/>
      <c r="VWT70" s="609"/>
      <c r="VWU70" s="609"/>
      <c r="VWV70" s="609"/>
      <c r="VWW70" s="609"/>
      <c r="VWX70" s="609"/>
      <c r="VWY70" s="609"/>
      <c r="VWZ70" s="609"/>
      <c r="VXA70" s="609"/>
      <c r="VXB70" s="609"/>
      <c r="VXC70" s="609"/>
      <c r="VXD70" s="609"/>
      <c r="VXE70" s="609"/>
      <c r="VXF70" s="609"/>
      <c r="VXG70" s="609"/>
      <c r="VXH70" s="609"/>
      <c r="VXI70" s="609"/>
      <c r="VXJ70" s="609"/>
      <c r="VXK70" s="609"/>
      <c r="VXL70" s="609"/>
      <c r="VXM70" s="609"/>
      <c r="VXN70" s="609"/>
      <c r="VXO70" s="609"/>
      <c r="VXP70" s="609"/>
      <c r="VXQ70" s="609"/>
      <c r="VXR70" s="609"/>
      <c r="VXS70" s="609"/>
      <c r="VXT70" s="609"/>
      <c r="VXU70" s="609"/>
      <c r="VXV70" s="609"/>
      <c r="VXW70" s="609"/>
      <c r="VXX70" s="609"/>
      <c r="VXY70" s="609"/>
      <c r="VXZ70" s="609"/>
      <c r="VYA70" s="609"/>
      <c r="VYB70" s="609"/>
      <c r="VYC70" s="609"/>
      <c r="VYD70" s="609"/>
      <c r="VYE70" s="609"/>
      <c r="VYF70" s="609"/>
      <c r="VYG70" s="609"/>
      <c r="VYH70" s="609"/>
      <c r="VYI70" s="609"/>
      <c r="VYJ70" s="609"/>
      <c r="VYK70" s="609"/>
      <c r="VYL70" s="609"/>
      <c r="VYM70" s="609"/>
      <c r="VYN70" s="609"/>
      <c r="VYO70" s="609"/>
      <c r="VYP70" s="609"/>
      <c r="VYQ70" s="609"/>
      <c r="VYR70" s="609"/>
      <c r="VYS70" s="609"/>
      <c r="VYT70" s="609"/>
      <c r="VYU70" s="609"/>
      <c r="VYV70" s="609"/>
      <c r="VYW70" s="609"/>
      <c r="VYX70" s="609"/>
      <c r="VYY70" s="609"/>
      <c r="VYZ70" s="609"/>
      <c r="VZA70" s="609"/>
      <c r="VZB70" s="609"/>
      <c r="VZC70" s="609"/>
      <c r="VZD70" s="609"/>
      <c r="VZE70" s="609"/>
      <c r="VZF70" s="609"/>
      <c r="VZG70" s="609"/>
      <c r="VZH70" s="609"/>
      <c r="VZI70" s="609"/>
      <c r="VZJ70" s="609"/>
      <c r="VZK70" s="609"/>
      <c r="VZL70" s="609"/>
      <c r="VZM70" s="609"/>
      <c r="VZN70" s="609"/>
      <c r="VZO70" s="609"/>
      <c r="VZP70" s="609"/>
      <c r="VZQ70" s="609"/>
      <c r="VZR70" s="609"/>
      <c r="VZS70" s="609"/>
      <c r="VZT70" s="609"/>
      <c r="VZU70" s="609"/>
      <c r="VZV70" s="609"/>
      <c r="VZW70" s="609"/>
      <c r="VZX70" s="609"/>
      <c r="VZY70" s="609"/>
      <c r="VZZ70" s="609"/>
      <c r="WAA70" s="609"/>
      <c r="WAB70" s="609"/>
      <c r="WAC70" s="609"/>
      <c r="WAD70" s="609"/>
      <c r="WAE70" s="609"/>
      <c r="WAF70" s="609"/>
      <c r="WAG70" s="609"/>
      <c r="WAH70" s="609"/>
      <c r="WAI70" s="609"/>
      <c r="WAJ70" s="609"/>
      <c r="WAK70" s="609"/>
      <c r="WAL70" s="609"/>
      <c r="WAM70" s="609"/>
      <c r="WAN70" s="609"/>
      <c r="WAO70" s="609"/>
      <c r="WAP70" s="609"/>
      <c r="WAQ70" s="609"/>
      <c r="WAR70" s="609"/>
      <c r="WAS70" s="609"/>
      <c r="WAT70" s="609"/>
      <c r="WAU70" s="609"/>
      <c r="WAV70" s="609"/>
      <c r="WAW70" s="609"/>
      <c r="WAX70" s="609"/>
      <c r="WAY70" s="609"/>
      <c r="WAZ70" s="609"/>
      <c r="WBA70" s="609"/>
      <c r="WBB70" s="609"/>
      <c r="WBC70" s="609"/>
      <c r="WBD70" s="609"/>
      <c r="WBE70" s="609"/>
      <c r="WBF70" s="609"/>
      <c r="WBG70" s="609"/>
      <c r="WBH70" s="609"/>
      <c r="WBI70" s="609"/>
      <c r="WBJ70" s="609"/>
      <c r="WBK70" s="609"/>
      <c r="WBL70" s="609"/>
      <c r="WBM70" s="609"/>
      <c r="WBN70" s="609"/>
      <c r="WBO70" s="609"/>
      <c r="WBP70" s="609"/>
      <c r="WBQ70" s="609"/>
      <c r="WBR70" s="609"/>
      <c r="WBS70" s="609"/>
      <c r="WBT70" s="609"/>
      <c r="WBU70" s="609"/>
      <c r="WBV70" s="609"/>
      <c r="WBW70" s="609"/>
      <c r="WBX70" s="609"/>
      <c r="WBY70" s="609"/>
      <c r="WBZ70" s="609"/>
      <c r="WCA70" s="609"/>
      <c r="WCB70" s="609"/>
      <c r="WCC70" s="609"/>
      <c r="WCD70" s="609"/>
      <c r="WCE70" s="609"/>
      <c r="WCF70" s="609"/>
      <c r="WCG70" s="609"/>
      <c r="WCH70" s="609"/>
      <c r="WCI70" s="609"/>
      <c r="WCJ70" s="609"/>
      <c r="WCK70" s="609"/>
      <c r="WCL70" s="609"/>
      <c r="WCM70" s="609"/>
      <c r="WCN70" s="609"/>
      <c r="WCO70" s="609"/>
      <c r="WCP70" s="609"/>
      <c r="WCQ70" s="609"/>
      <c r="WCR70" s="609"/>
      <c r="WCS70" s="609"/>
      <c r="WCT70" s="609"/>
      <c r="WCU70" s="609"/>
      <c r="WCV70" s="609"/>
      <c r="WCW70" s="609"/>
      <c r="WCX70" s="609"/>
      <c r="WCY70" s="609"/>
      <c r="WCZ70" s="609"/>
      <c r="WDA70" s="609"/>
      <c r="WDB70" s="609"/>
      <c r="WDC70" s="609"/>
      <c r="WDD70" s="609"/>
      <c r="WDE70" s="609"/>
      <c r="WDF70" s="609"/>
      <c r="WDG70" s="609"/>
      <c r="WDH70" s="609"/>
      <c r="WDI70" s="609"/>
      <c r="WDJ70" s="609"/>
      <c r="WDK70" s="609"/>
      <c r="WDL70" s="609"/>
      <c r="WDM70" s="609"/>
      <c r="WDN70" s="609"/>
      <c r="WDO70" s="609"/>
      <c r="WDP70" s="609"/>
      <c r="WDQ70" s="609"/>
      <c r="WDR70" s="609"/>
      <c r="WDS70" s="609"/>
      <c r="WDT70" s="609"/>
      <c r="WDU70" s="609"/>
      <c r="WDV70" s="609"/>
      <c r="WDW70" s="609"/>
      <c r="WDX70" s="609"/>
      <c r="WDY70" s="609"/>
      <c r="WDZ70" s="609"/>
      <c r="WEA70" s="609"/>
      <c r="WEB70" s="609"/>
      <c r="WEC70" s="609"/>
      <c r="WED70" s="609"/>
      <c r="WEE70" s="609"/>
      <c r="WEF70" s="609"/>
      <c r="WEG70" s="609"/>
      <c r="WEH70" s="609"/>
      <c r="WEI70" s="609"/>
      <c r="WEJ70" s="609"/>
      <c r="WEK70" s="609"/>
      <c r="WEL70" s="609"/>
      <c r="WEM70" s="609"/>
      <c r="WEN70" s="609"/>
      <c r="WEO70" s="609"/>
      <c r="WEP70" s="609"/>
      <c r="WEQ70" s="609"/>
      <c r="WER70" s="609"/>
      <c r="WES70" s="609"/>
      <c r="WET70" s="609"/>
      <c r="WEU70" s="609"/>
      <c r="WEV70" s="609"/>
      <c r="WEW70" s="609"/>
      <c r="WEX70" s="609"/>
      <c r="WEY70" s="609"/>
      <c r="WEZ70" s="609"/>
      <c r="WFA70" s="609"/>
      <c r="WFB70" s="609"/>
      <c r="WFC70" s="609"/>
      <c r="WFD70" s="609"/>
      <c r="WFE70" s="609"/>
      <c r="WFF70" s="609"/>
      <c r="WFG70" s="609"/>
      <c r="WFH70" s="609"/>
      <c r="WFI70" s="609"/>
      <c r="WFJ70" s="609"/>
      <c r="WFK70" s="609"/>
      <c r="WFL70" s="609"/>
      <c r="WFM70" s="609"/>
      <c r="WFN70" s="609"/>
      <c r="WFO70" s="609"/>
      <c r="WFP70" s="609"/>
      <c r="WFQ70" s="609"/>
      <c r="WFR70" s="609"/>
      <c r="WFS70" s="609"/>
      <c r="WFT70" s="609"/>
      <c r="WFU70" s="609"/>
      <c r="WFV70" s="609"/>
      <c r="WFW70" s="609"/>
      <c r="WFX70" s="609"/>
      <c r="WFY70" s="609"/>
      <c r="WFZ70" s="609"/>
      <c r="WGA70" s="609"/>
      <c r="WGB70" s="609"/>
      <c r="WGC70" s="609"/>
      <c r="WGD70" s="609"/>
      <c r="WGE70" s="609"/>
      <c r="WGF70" s="609"/>
      <c r="WGG70" s="609"/>
      <c r="WGH70" s="609"/>
      <c r="WGI70" s="609"/>
      <c r="WGJ70" s="609"/>
      <c r="WGK70" s="609"/>
      <c r="WGL70" s="609"/>
      <c r="WGM70" s="609"/>
      <c r="WGN70" s="609"/>
      <c r="WGO70" s="609"/>
      <c r="WGP70" s="609"/>
      <c r="WGQ70" s="609"/>
      <c r="WGR70" s="609"/>
      <c r="WGS70" s="609"/>
      <c r="WGT70" s="609"/>
      <c r="WGU70" s="609"/>
      <c r="WGV70" s="609"/>
      <c r="WGW70" s="609"/>
      <c r="WGX70" s="609"/>
      <c r="WGY70" s="609"/>
      <c r="WGZ70" s="609"/>
      <c r="WHA70" s="609"/>
      <c r="WHB70" s="609"/>
      <c r="WHC70" s="609"/>
      <c r="WHD70" s="609"/>
      <c r="WHE70" s="609"/>
      <c r="WHF70" s="609"/>
      <c r="WHG70" s="609"/>
      <c r="WHH70" s="609"/>
      <c r="WHI70" s="609"/>
      <c r="WHJ70" s="609"/>
      <c r="WHK70" s="609"/>
      <c r="WHL70" s="609"/>
      <c r="WHM70" s="609"/>
      <c r="WHN70" s="609"/>
      <c r="WHO70" s="609"/>
      <c r="WHP70" s="609"/>
      <c r="WHQ70" s="609"/>
      <c r="WHR70" s="609"/>
      <c r="WHS70" s="609"/>
      <c r="WHT70" s="609"/>
      <c r="WHU70" s="609"/>
      <c r="WHV70" s="609"/>
      <c r="WHW70" s="609"/>
      <c r="WHX70" s="609"/>
      <c r="WHY70" s="609"/>
      <c r="WHZ70" s="609"/>
      <c r="WIA70" s="609"/>
      <c r="WIB70" s="609"/>
      <c r="WIC70" s="609"/>
      <c r="WID70" s="609"/>
      <c r="WIE70" s="609"/>
      <c r="WIF70" s="609"/>
      <c r="WIG70" s="609"/>
      <c r="WIH70" s="609"/>
      <c r="WII70" s="609"/>
      <c r="WIJ70" s="609"/>
      <c r="WIK70" s="609"/>
      <c r="WIL70" s="609"/>
      <c r="WIM70" s="609"/>
      <c r="WIN70" s="609"/>
      <c r="WIO70" s="609"/>
      <c r="WIP70" s="609"/>
      <c r="WIQ70" s="609"/>
      <c r="WIR70" s="609"/>
      <c r="WIS70" s="609"/>
      <c r="WIT70" s="609"/>
      <c r="WIU70" s="609"/>
      <c r="WIV70" s="609"/>
      <c r="WIW70" s="609"/>
      <c r="WIX70" s="609"/>
      <c r="WIY70" s="609"/>
      <c r="WIZ70" s="609"/>
      <c r="WJA70" s="609"/>
      <c r="WJB70" s="609"/>
      <c r="WJC70" s="609"/>
      <c r="WJD70" s="609"/>
      <c r="WJE70" s="609"/>
      <c r="WJF70" s="609"/>
      <c r="WJG70" s="609"/>
      <c r="WJH70" s="609"/>
      <c r="WJI70" s="609"/>
      <c r="WJJ70" s="609"/>
      <c r="WJK70" s="609"/>
      <c r="WJL70" s="609"/>
      <c r="WJM70" s="609"/>
      <c r="WJN70" s="609"/>
      <c r="WJO70" s="609"/>
      <c r="WJP70" s="609"/>
      <c r="WJQ70" s="609"/>
      <c r="WJR70" s="609"/>
      <c r="WJS70" s="609"/>
      <c r="WJT70" s="609"/>
      <c r="WJU70" s="609"/>
      <c r="WJV70" s="609"/>
      <c r="WJW70" s="609"/>
      <c r="WJX70" s="609"/>
      <c r="WJY70" s="609"/>
      <c r="WJZ70" s="609"/>
      <c r="WKA70" s="609"/>
      <c r="WKB70" s="609"/>
      <c r="WKC70" s="609"/>
      <c r="WKD70" s="609"/>
      <c r="WKE70" s="609"/>
      <c r="WKF70" s="609"/>
      <c r="WKG70" s="609"/>
      <c r="WKH70" s="609"/>
      <c r="WKI70" s="609"/>
      <c r="WKJ70" s="609"/>
      <c r="WKK70" s="609"/>
      <c r="WKL70" s="609"/>
      <c r="WKM70" s="609"/>
      <c r="WKN70" s="609"/>
      <c r="WKO70" s="609"/>
      <c r="WKP70" s="609"/>
      <c r="WKQ70" s="609"/>
      <c r="WKR70" s="609"/>
      <c r="WKS70" s="609"/>
      <c r="WKT70" s="609"/>
      <c r="WKU70" s="609"/>
      <c r="WKV70" s="609"/>
      <c r="WKW70" s="609"/>
      <c r="WKX70" s="609"/>
      <c r="WKY70" s="609"/>
      <c r="WKZ70" s="609"/>
      <c r="WLA70" s="609"/>
      <c r="WLB70" s="609"/>
      <c r="WLC70" s="609"/>
      <c r="WLD70" s="609"/>
      <c r="WLE70" s="609"/>
      <c r="WLF70" s="609"/>
      <c r="WLG70" s="609"/>
      <c r="WLH70" s="609"/>
      <c r="WLI70" s="609"/>
      <c r="WLJ70" s="609"/>
      <c r="WLK70" s="609"/>
      <c r="WLL70" s="609"/>
      <c r="WLM70" s="609"/>
      <c r="WLN70" s="609"/>
      <c r="WLO70" s="609"/>
      <c r="WLP70" s="609"/>
      <c r="WLQ70" s="609"/>
      <c r="WLR70" s="609"/>
      <c r="WLS70" s="609"/>
      <c r="WLT70" s="609"/>
      <c r="WLU70" s="609"/>
      <c r="WLV70" s="609"/>
      <c r="WLW70" s="609"/>
      <c r="WLX70" s="609"/>
      <c r="WLY70" s="609"/>
      <c r="WLZ70" s="609"/>
      <c r="WMA70" s="609"/>
      <c r="WMB70" s="609"/>
      <c r="WMC70" s="609"/>
      <c r="WMD70" s="609"/>
      <c r="WME70" s="609"/>
      <c r="WMF70" s="609"/>
      <c r="WMG70" s="609"/>
      <c r="WMH70" s="609"/>
      <c r="WMI70" s="609"/>
      <c r="WMJ70" s="609"/>
      <c r="WMK70" s="609"/>
      <c r="WML70" s="609"/>
      <c r="WMM70" s="609"/>
      <c r="WMN70" s="609"/>
      <c r="WMO70" s="609"/>
      <c r="WMP70" s="609"/>
      <c r="WMQ70" s="609"/>
      <c r="WMR70" s="609"/>
      <c r="WMS70" s="609"/>
      <c r="WMT70" s="609"/>
      <c r="WMU70" s="609"/>
      <c r="WMV70" s="609"/>
      <c r="WMW70" s="609"/>
      <c r="WMX70" s="609"/>
      <c r="WMY70" s="609"/>
      <c r="WMZ70" s="609"/>
      <c r="WNA70" s="609"/>
      <c r="WNB70" s="609"/>
      <c r="WNC70" s="609"/>
      <c r="WND70" s="609"/>
      <c r="WNE70" s="609"/>
      <c r="WNF70" s="609"/>
      <c r="WNG70" s="609"/>
      <c r="WNH70" s="609"/>
      <c r="WNI70" s="609"/>
      <c r="WNJ70" s="609"/>
      <c r="WNK70" s="609"/>
      <c r="WNL70" s="609"/>
      <c r="WNM70" s="609"/>
      <c r="WNN70" s="609"/>
      <c r="WNO70" s="609"/>
      <c r="WNP70" s="609"/>
      <c r="WNQ70" s="609"/>
      <c r="WNR70" s="609"/>
      <c r="WNS70" s="609"/>
      <c r="WNT70" s="609"/>
      <c r="WNU70" s="609"/>
      <c r="WNV70" s="609"/>
      <c r="WNW70" s="609"/>
      <c r="WNX70" s="609"/>
      <c r="WNY70" s="609"/>
      <c r="WNZ70" s="609"/>
      <c r="WOA70" s="609"/>
      <c r="WOB70" s="609"/>
      <c r="WOC70" s="609"/>
      <c r="WOD70" s="609"/>
      <c r="WOE70" s="609"/>
      <c r="WOF70" s="609"/>
      <c r="WOG70" s="609"/>
      <c r="WOH70" s="609"/>
      <c r="WOI70" s="609"/>
      <c r="WOJ70" s="609"/>
      <c r="WOK70" s="609"/>
      <c r="WOL70" s="609"/>
      <c r="WOM70" s="609"/>
      <c r="WON70" s="609"/>
      <c r="WOO70" s="609"/>
      <c r="WOP70" s="609"/>
      <c r="WOQ70" s="609"/>
      <c r="WOR70" s="609"/>
      <c r="WOS70" s="609"/>
      <c r="WOT70" s="609"/>
      <c r="WOU70" s="609"/>
      <c r="WOV70" s="609"/>
      <c r="WOW70" s="609"/>
      <c r="WOX70" s="609"/>
      <c r="WOY70" s="609"/>
      <c r="WOZ70" s="609"/>
      <c r="WPA70" s="609"/>
      <c r="WPB70" s="609"/>
      <c r="WPC70" s="609"/>
      <c r="WPD70" s="609"/>
      <c r="WPE70" s="609"/>
      <c r="WPF70" s="609"/>
      <c r="WPG70" s="609"/>
      <c r="WPH70" s="609"/>
      <c r="WPI70" s="609"/>
      <c r="WPJ70" s="609"/>
      <c r="WPK70" s="609"/>
      <c r="WPL70" s="609"/>
      <c r="WPM70" s="609"/>
      <c r="WPN70" s="609"/>
      <c r="WPO70" s="609"/>
      <c r="WPP70" s="609"/>
      <c r="WPQ70" s="609"/>
      <c r="WPR70" s="609"/>
      <c r="WPS70" s="609"/>
      <c r="WPT70" s="609"/>
      <c r="WPU70" s="609"/>
      <c r="WPV70" s="609"/>
      <c r="WPW70" s="609"/>
      <c r="WPX70" s="609"/>
      <c r="WPY70" s="609"/>
      <c r="WPZ70" s="609"/>
      <c r="WQA70" s="609"/>
      <c r="WQB70" s="609"/>
      <c r="WQC70" s="609"/>
      <c r="WQD70" s="609"/>
      <c r="WQE70" s="609"/>
      <c r="WQF70" s="609"/>
      <c r="WQG70" s="609"/>
      <c r="WQH70" s="609"/>
      <c r="WQI70" s="609"/>
      <c r="WQJ70" s="609"/>
      <c r="WQK70" s="609"/>
      <c r="WQL70" s="609"/>
      <c r="WQM70" s="609"/>
      <c r="WQN70" s="609"/>
      <c r="WQO70" s="609"/>
      <c r="WQP70" s="609"/>
      <c r="WQQ70" s="609"/>
      <c r="WQR70" s="609"/>
      <c r="WQS70" s="609"/>
      <c r="WQT70" s="609"/>
      <c r="WQU70" s="609"/>
      <c r="WQV70" s="609"/>
      <c r="WQW70" s="609"/>
      <c r="WQX70" s="609"/>
      <c r="WQY70" s="609"/>
      <c r="WQZ70" s="609"/>
      <c r="WRA70" s="609"/>
      <c r="WRB70" s="609"/>
      <c r="WRC70" s="609"/>
      <c r="WRD70" s="609"/>
      <c r="WRE70" s="609"/>
      <c r="WRF70" s="609"/>
      <c r="WRG70" s="609"/>
      <c r="WRH70" s="609"/>
      <c r="WRI70" s="609"/>
      <c r="WRJ70" s="609"/>
      <c r="WRK70" s="609"/>
      <c r="WRL70" s="609"/>
      <c r="WRM70" s="609"/>
      <c r="WRN70" s="609"/>
      <c r="WRO70" s="609"/>
      <c r="WRP70" s="609"/>
      <c r="WRQ70" s="609"/>
      <c r="WRR70" s="609"/>
      <c r="WRS70" s="609"/>
      <c r="WRT70" s="609"/>
      <c r="WRU70" s="609"/>
      <c r="WRV70" s="609"/>
      <c r="WRW70" s="609"/>
      <c r="WRX70" s="609"/>
      <c r="WRY70" s="609"/>
      <c r="WRZ70" s="609"/>
      <c r="WSA70" s="609"/>
      <c r="WSB70" s="609"/>
      <c r="WSC70" s="609"/>
      <c r="WSD70" s="609"/>
      <c r="WSE70" s="609"/>
      <c r="WSF70" s="609"/>
      <c r="WSG70" s="609"/>
      <c r="WSH70" s="609"/>
      <c r="WSI70" s="609"/>
      <c r="WSJ70" s="609"/>
      <c r="WSK70" s="609"/>
      <c r="WSL70" s="609"/>
      <c r="WSM70" s="609"/>
      <c r="WSN70" s="609"/>
      <c r="WSO70" s="609"/>
      <c r="WSP70" s="609"/>
      <c r="WSQ70" s="609"/>
      <c r="WSR70" s="609"/>
      <c r="WSS70" s="609"/>
      <c r="WST70" s="609"/>
      <c r="WSU70" s="609"/>
      <c r="WSV70" s="609"/>
      <c r="WSW70" s="609"/>
      <c r="WSX70" s="609"/>
      <c r="WSY70" s="609"/>
      <c r="WSZ70" s="609"/>
      <c r="WTA70" s="609"/>
      <c r="WTB70" s="609"/>
      <c r="WTC70" s="609"/>
      <c r="WTD70" s="609"/>
      <c r="WTE70" s="609"/>
      <c r="WTF70" s="609"/>
      <c r="WTG70" s="609"/>
      <c r="WTH70" s="609"/>
      <c r="WTI70" s="609"/>
      <c r="WTJ70" s="609"/>
      <c r="WTK70" s="609"/>
      <c r="WTL70" s="609"/>
      <c r="WTM70" s="609"/>
      <c r="WTN70" s="609"/>
      <c r="WTO70" s="609"/>
      <c r="WTP70" s="609"/>
      <c r="WTQ70" s="609"/>
      <c r="WTR70" s="609"/>
      <c r="WTS70" s="609"/>
      <c r="WTT70" s="609"/>
      <c r="WTU70" s="609"/>
      <c r="WTV70" s="609"/>
      <c r="WTW70" s="609"/>
      <c r="WTX70" s="609"/>
      <c r="WTY70" s="609"/>
      <c r="WTZ70" s="609"/>
      <c r="WUA70" s="609"/>
      <c r="WUB70" s="609"/>
      <c r="WUC70" s="609"/>
      <c r="WUD70" s="609"/>
      <c r="WUE70" s="609"/>
      <c r="WUF70" s="609"/>
      <c r="WUG70" s="609"/>
      <c r="WUH70" s="609"/>
      <c r="WUI70" s="609"/>
      <c r="WUJ70" s="609"/>
      <c r="WUK70" s="609"/>
      <c r="WUL70" s="609"/>
      <c r="WUM70" s="609"/>
      <c r="WUN70" s="609"/>
      <c r="WUO70" s="609"/>
      <c r="WUP70" s="609"/>
      <c r="WUQ70" s="609"/>
      <c r="WUR70" s="609"/>
      <c r="WUS70" s="609"/>
      <c r="WUT70" s="609"/>
      <c r="WUU70" s="609"/>
      <c r="WUV70" s="609"/>
      <c r="WUW70" s="609"/>
      <c r="WUX70" s="609"/>
      <c r="WUY70" s="609"/>
      <c r="WUZ70" s="609"/>
      <c r="WVA70" s="609"/>
      <c r="WVB70" s="609"/>
      <c r="WVC70" s="609"/>
      <c r="WVD70" s="609"/>
      <c r="WVE70" s="609"/>
      <c r="WVF70" s="609"/>
      <c r="WVG70" s="609"/>
      <c r="WVH70" s="609"/>
      <c r="WVI70" s="609"/>
      <c r="WVJ70" s="609"/>
      <c r="WVK70" s="609"/>
      <c r="WVL70" s="609"/>
      <c r="WVM70" s="609"/>
      <c r="WVN70" s="609"/>
      <c r="WVO70" s="609"/>
      <c r="WVP70" s="609"/>
      <c r="WVQ70" s="609"/>
      <c r="WVR70" s="609"/>
      <c r="WVS70" s="609"/>
      <c r="WVT70" s="609"/>
      <c r="WVU70" s="609"/>
      <c r="WVV70" s="609"/>
      <c r="WVW70" s="609"/>
      <c r="WVX70" s="609"/>
      <c r="WVY70" s="609"/>
      <c r="WVZ70" s="609"/>
      <c r="WWA70" s="609"/>
      <c r="WWB70" s="609"/>
      <c r="WWC70" s="609"/>
      <c r="WWD70" s="609"/>
      <c r="WWE70" s="609"/>
      <c r="WWF70" s="609"/>
      <c r="WWG70" s="609"/>
      <c r="WWH70" s="609"/>
      <c r="WWI70" s="609"/>
      <c r="WWJ70" s="609"/>
      <c r="WWK70" s="609"/>
      <c r="WWL70" s="609"/>
      <c r="WWM70" s="609"/>
      <c r="WWN70" s="609"/>
      <c r="WWO70" s="609"/>
      <c r="WWP70" s="609"/>
      <c r="WWQ70" s="609"/>
      <c r="WWR70" s="609"/>
      <c r="WWS70" s="609"/>
      <c r="WWT70" s="609"/>
      <c r="WWU70" s="609"/>
      <c r="WWV70" s="609"/>
      <c r="WWW70" s="609"/>
      <c r="WWX70" s="609"/>
      <c r="WWY70" s="609"/>
      <c r="WWZ70" s="609"/>
      <c r="WXA70" s="609"/>
      <c r="WXB70" s="609"/>
      <c r="WXC70" s="609"/>
      <c r="WXD70" s="609"/>
      <c r="WXE70" s="609"/>
      <c r="WXF70" s="609"/>
      <c r="WXG70" s="609"/>
      <c r="WXH70" s="609"/>
      <c r="WXI70" s="609"/>
      <c r="WXJ70" s="609"/>
      <c r="WXK70" s="609"/>
      <c r="WXL70" s="609"/>
      <c r="WXM70" s="609"/>
      <c r="WXN70" s="609"/>
      <c r="WXO70" s="609"/>
      <c r="WXP70" s="609"/>
      <c r="WXQ70" s="609"/>
      <c r="WXR70" s="609"/>
      <c r="WXS70" s="609"/>
      <c r="WXT70" s="609"/>
      <c r="WXU70" s="609"/>
      <c r="WXV70" s="609"/>
      <c r="WXW70" s="609"/>
      <c r="WXX70" s="609"/>
      <c r="WXY70" s="609"/>
      <c r="WXZ70" s="609"/>
      <c r="WYA70" s="609"/>
      <c r="WYB70" s="609"/>
      <c r="WYC70" s="609"/>
      <c r="WYD70" s="609"/>
      <c r="WYE70" s="609"/>
      <c r="WYF70" s="609"/>
      <c r="WYG70" s="609"/>
      <c r="WYH70" s="609"/>
      <c r="WYI70" s="609"/>
      <c r="WYJ70" s="609"/>
      <c r="WYK70" s="609"/>
      <c r="WYL70" s="609"/>
      <c r="WYM70" s="609"/>
      <c r="WYN70" s="609"/>
      <c r="WYO70" s="609"/>
      <c r="WYP70" s="609"/>
      <c r="WYQ70" s="609"/>
      <c r="WYR70" s="609"/>
      <c r="WYS70" s="609"/>
      <c r="WYT70" s="609"/>
      <c r="WYU70" s="609"/>
      <c r="WYV70" s="609"/>
      <c r="WYW70" s="609"/>
      <c r="WYX70" s="609"/>
      <c r="WYY70" s="609"/>
      <c r="WYZ70" s="609"/>
      <c r="WZA70" s="609"/>
      <c r="WZB70" s="609"/>
      <c r="WZC70" s="609"/>
      <c r="WZD70" s="609"/>
      <c r="WZE70" s="609"/>
      <c r="WZF70" s="609"/>
      <c r="WZG70" s="609"/>
      <c r="WZH70" s="609"/>
      <c r="WZI70" s="609"/>
      <c r="WZJ70" s="609"/>
      <c r="WZK70" s="609"/>
      <c r="WZL70" s="609"/>
      <c r="WZM70" s="609"/>
      <c r="WZN70" s="609"/>
      <c r="WZO70" s="609"/>
      <c r="WZP70" s="609"/>
      <c r="WZQ70" s="609"/>
      <c r="WZR70" s="609"/>
      <c r="WZS70" s="609"/>
      <c r="WZT70" s="609"/>
      <c r="WZU70" s="609"/>
      <c r="WZV70" s="609"/>
      <c r="WZW70" s="609"/>
      <c r="WZX70" s="609"/>
      <c r="WZY70" s="609"/>
      <c r="WZZ70" s="609"/>
      <c r="XAA70" s="609"/>
      <c r="XAB70" s="609"/>
      <c r="XAC70" s="609"/>
      <c r="XAD70" s="609"/>
      <c r="XAE70" s="609"/>
      <c r="XAF70" s="609"/>
      <c r="XAG70" s="609"/>
      <c r="XAH70" s="609"/>
      <c r="XAI70" s="609"/>
      <c r="XAJ70" s="609"/>
      <c r="XAK70" s="609"/>
      <c r="XAL70" s="609"/>
      <c r="XAM70" s="609"/>
      <c r="XAN70" s="609"/>
      <c r="XAO70" s="609"/>
      <c r="XAP70" s="609"/>
      <c r="XAQ70" s="609"/>
      <c r="XAR70" s="609"/>
      <c r="XAS70" s="609"/>
      <c r="XAT70" s="609"/>
      <c r="XAU70" s="609"/>
      <c r="XAV70" s="609"/>
      <c r="XAW70" s="609"/>
      <c r="XAX70" s="609"/>
      <c r="XAY70" s="609"/>
      <c r="XAZ70" s="609"/>
      <c r="XBA70" s="609"/>
      <c r="XBB70" s="609"/>
      <c r="XBC70" s="609"/>
      <c r="XBD70" s="609"/>
      <c r="XBE70" s="609"/>
      <c r="XBF70" s="609"/>
      <c r="XBG70" s="609"/>
      <c r="XBH70" s="609"/>
      <c r="XBI70" s="609"/>
      <c r="XBJ70" s="609"/>
      <c r="XBK70" s="609"/>
      <c r="XBL70" s="609"/>
      <c r="XBM70" s="609"/>
      <c r="XBN70" s="609"/>
      <c r="XBO70" s="609"/>
      <c r="XBP70" s="609"/>
      <c r="XBQ70" s="609"/>
      <c r="XBR70" s="609"/>
      <c r="XBS70" s="609"/>
      <c r="XBT70" s="609"/>
      <c r="XBU70" s="609"/>
      <c r="XBV70" s="609"/>
      <c r="XBW70" s="609"/>
      <c r="XBX70" s="609"/>
      <c r="XBY70" s="609"/>
      <c r="XBZ70" s="609"/>
      <c r="XCA70" s="609"/>
      <c r="XCB70" s="609"/>
      <c r="XCC70" s="609"/>
      <c r="XCD70" s="609"/>
      <c r="XCE70" s="609"/>
      <c r="XCF70" s="609"/>
      <c r="XCG70" s="609"/>
      <c r="XCH70" s="609"/>
      <c r="XCI70" s="609"/>
      <c r="XCJ70" s="609"/>
      <c r="XCK70" s="609"/>
      <c r="XCL70" s="609"/>
      <c r="XCM70" s="609"/>
      <c r="XCN70" s="609"/>
      <c r="XCO70" s="609"/>
      <c r="XCP70" s="609"/>
      <c r="XCQ70" s="609"/>
      <c r="XCR70" s="609"/>
      <c r="XCS70" s="609"/>
      <c r="XCT70" s="609"/>
      <c r="XCU70" s="609"/>
      <c r="XCV70" s="609"/>
      <c r="XCW70" s="609"/>
      <c r="XCX70" s="609"/>
      <c r="XCY70" s="609"/>
      <c r="XCZ70" s="609"/>
      <c r="XDA70" s="609"/>
      <c r="XDB70" s="609"/>
      <c r="XDC70" s="609"/>
      <c r="XDD70" s="609"/>
      <c r="XDE70" s="609"/>
      <c r="XDF70" s="609"/>
      <c r="XDG70" s="609"/>
      <c r="XDH70" s="609"/>
      <c r="XDI70" s="609"/>
      <c r="XDJ70" s="609"/>
      <c r="XDK70" s="609"/>
      <c r="XDL70" s="609"/>
      <c r="XDM70" s="609"/>
      <c r="XDN70" s="609"/>
      <c r="XDO70" s="609"/>
      <c r="XDP70" s="609"/>
      <c r="XDQ70" s="609"/>
      <c r="XDR70" s="609"/>
      <c r="XDS70" s="609"/>
      <c r="XDT70" s="609"/>
      <c r="XDU70" s="609"/>
      <c r="XDV70" s="609"/>
      <c r="XDW70" s="609"/>
      <c r="XDX70" s="609"/>
      <c r="XDY70" s="609"/>
      <c r="XDZ70" s="609"/>
      <c r="XEA70" s="609"/>
      <c r="XEB70" s="609"/>
      <c r="XEC70" s="609"/>
      <c r="XED70" s="609"/>
      <c r="XEE70" s="609"/>
      <c r="XEF70" s="609"/>
      <c r="XEG70" s="609"/>
      <c r="XEH70" s="609"/>
      <c r="XEI70" s="609"/>
      <c r="XEJ70" s="609"/>
      <c r="XEK70" s="609"/>
      <c r="XEL70" s="609"/>
      <c r="XEM70" s="609"/>
      <c r="XEN70" s="609"/>
      <c r="XEO70" s="609"/>
      <c r="XEP70" s="609"/>
      <c r="XEQ70" s="609"/>
      <c r="XER70" s="609"/>
      <c r="XES70" s="609"/>
      <c r="XET70" s="609"/>
      <c r="XEU70" s="609"/>
      <c r="XEV70" s="609"/>
      <c r="XEW70" s="609"/>
      <c r="XEX70" s="609"/>
      <c r="XEY70" s="609"/>
      <c r="XEZ70" s="609"/>
      <c r="XFA70" s="609"/>
    </row>
    <row r="71" spans="1:16381">
      <c r="A71" s="609" t="str">
        <f t="shared" si="0"/>
        <v>Degussa UK Leistungsplan RUK v. 01.07.2018</v>
      </c>
      <c r="B71" s="609">
        <f>ROW()</f>
        <v>71</v>
      </c>
      <c r="C71" s="635" t="s">
        <v>1151</v>
      </c>
      <c r="D71" s="1202">
        <v>43282</v>
      </c>
      <c r="E71" s="636" t="s">
        <v>1004</v>
      </c>
      <c r="F71" s="637" t="str">
        <f t="shared" si="5"/>
        <v/>
      </c>
      <c r="G71" s="634" t="str">
        <f t="shared" si="2"/>
        <v>TO ermöglicht:  Verzinsung zwischen EzE und RK geltend machen</v>
      </c>
      <c r="K71" s="1199"/>
      <c r="L71" s="1199"/>
      <c r="M71" s="1199"/>
      <c r="N71" s="1199">
        <v>4</v>
      </c>
      <c r="P71" s="144">
        <f t="shared" si="6"/>
        <v>4</v>
      </c>
    </row>
    <row r="72" spans="1:16381" s="609" customFormat="1">
      <c r="A72" s="609" t="str">
        <f t="shared" si="0"/>
        <v>Degussa UK Leistungsplan RUK vor 2018</v>
      </c>
      <c r="B72" s="609">
        <f>ROW()</f>
        <v>72</v>
      </c>
      <c r="C72" s="635" t="s">
        <v>1005</v>
      </c>
      <c r="D72" s="636"/>
      <c r="E72" s="636" t="s">
        <v>1004</v>
      </c>
      <c r="F72" s="637" t="str">
        <f t="shared" si="5"/>
        <v/>
      </c>
      <c r="G72" s="634" t="str">
        <f t="shared" si="2"/>
        <v>TO ermöglicht:  Verzinsung zwischen EzE und RK geltend machen</v>
      </c>
      <c r="H72"/>
      <c r="I72" s="634"/>
      <c r="J72" s="788"/>
      <c r="K72" s="1199"/>
      <c r="L72" s="1199"/>
      <c r="M72" s="1199"/>
      <c r="N72" s="1199">
        <v>4</v>
      </c>
      <c r="O72" s="785"/>
      <c r="P72" s="144">
        <f t="shared" si="6"/>
        <v>4</v>
      </c>
      <c r="Q72" s="414"/>
      <c r="R72" s="414"/>
      <c r="S72" s="414"/>
      <c r="T72" s="414"/>
      <c r="U72" s="414"/>
      <c r="V72" s="414"/>
      <c r="W72" s="414"/>
      <c r="X72" s="414"/>
      <c r="Y72" s="414"/>
      <c r="Z72" s="414"/>
      <c r="AA72" s="414"/>
      <c r="AB72" s="414"/>
      <c r="AC72" s="414"/>
      <c r="AD72" s="414"/>
      <c r="AE72" s="414"/>
      <c r="AF72" s="414"/>
      <c r="AG72" s="414"/>
      <c r="AH72" s="414"/>
      <c r="AI72" s="414"/>
      <c r="AJ72" s="414"/>
      <c r="AK72" s="414"/>
      <c r="AL72" s="414"/>
      <c r="AM72" s="414"/>
      <c r="AN72" s="414"/>
      <c r="AO72" s="414"/>
      <c r="AP72" s="414"/>
      <c r="AQ72" s="414"/>
      <c r="AR72" s="414"/>
      <c r="AS72" s="414"/>
      <c r="AT72" s="414"/>
      <c r="AU72" s="414"/>
      <c r="AV72" s="414"/>
      <c r="AW72" s="414"/>
      <c r="AX72" s="414"/>
      <c r="AY72" s="414"/>
      <c r="AZ72" s="414"/>
      <c r="BA72" s="414"/>
      <c r="BB72" s="414"/>
      <c r="BC72" s="414"/>
      <c r="BD72" s="414"/>
      <c r="BE72" s="414"/>
      <c r="BF72" s="414"/>
      <c r="BG72" s="414"/>
      <c r="BH72" s="414"/>
      <c r="BI72" s="414"/>
      <c r="BJ72" s="414"/>
      <c r="BK72" s="414"/>
      <c r="BL72" s="414"/>
      <c r="BM72" s="414"/>
      <c r="BN72" s="414"/>
      <c r="BO72" s="414"/>
      <c r="BP72" s="414"/>
      <c r="BQ72" s="414"/>
      <c r="BR72" s="414"/>
      <c r="BS72" s="414"/>
      <c r="BT72" s="414"/>
      <c r="BU72" s="414"/>
      <c r="BV72" s="414"/>
      <c r="BW72" s="414"/>
      <c r="BX72" s="414"/>
      <c r="BY72" s="414"/>
      <c r="BZ72" s="414"/>
      <c r="CA72" s="414"/>
      <c r="CB72" s="414"/>
      <c r="CC72" s="414"/>
      <c r="CD72" s="414"/>
      <c r="CE72" s="414"/>
      <c r="CF72" s="414"/>
      <c r="CG72" s="414"/>
      <c r="CH72" s="414"/>
      <c r="CI72" s="414"/>
      <c r="CJ72" s="414"/>
      <c r="CK72" s="414"/>
      <c r="CL72" s="414"/>
      <c r="CM72" s="414"/>
      <c r="CN72" s="414"/>
      <c r="CO72" s="414"/>
      <c r="CP72" s="414"/>
      <c r="CQ72" s="414"/>
      <c r="CR72" s="414"/>
      <c r="CS72" s="414"/>
      <c r="CT72" s="414"/>
      <c r="CU72" s="414"/>
      <c r="CV72" s="414"/>
      <c r="CW72" s="414"/>
      <c r="CX72" s="414"/>
      <c r="CY72" s="414"/>
      <c r="CZ72" s="414"/>
      <c r="DA72" s="414"/>
      <c r="DB72" s="414"/>
      <c r="DC72" s="414"/>
      <c r="DD72" s="414"/>
      <c r="DE72" s="414"/>
      <c r="DF72" s="414"/>
      <c r="DG72" s="414"/>
      <c r="DH72" s="414"/>
      <c r="DI72" s="414"/>
      <c r="DJ72" s="414"/>
      <c r="DK72" s="414"/>
      <c r="DL72" s="414"/>
      <c r="DM72" s="414"/>
      <c r="DN72" s="414"/>
      <c r="DO72" s="414"/>
      <c r="DP72" s="414"/>
      <c r="DQ72" s="414"/>
      <c r="DR72" s="414"/>
      <c r="DS72" s="414"/>
      <c r="DT72" s="414"/>
      <c r="DU72" s="414"/>
      <c r="DV72" s="414"/>
      <c r="DW72" s="414"/>
      <c r="DX72" s="414"/>
      <c r="DY72" s="414"/>
      <c r="DZ72" s="414"/>
      <c r="EA72" s="414"/>
      <c r="EB72" s="414"/>
      <c r="EC72" s="414"/>
      <c r="ED72" s="414"/>
      <c r="EE72" s="414"/>
      <c r="EF72" s="414"/>
      <c r="EG72" s="414"/>
      <c r="EH72" s="414"/>
      <c r="EI72" s="414"/>
      <c r="EJ72" s="414"/>
      <c r="EK72" s="414"/>
      <c r="EL72" s="414"/>
      <c r="EM72" s="414"/>
      <c r="EN72" s="414"/>
      <c r="EO72" s="414"/>
      <c r="EP72" s="414"/>
      <c r="EQ72" s="414"/>
      <c r="ER72" s="414"/>
      <c r="ES72" s="414"/>
      <c r="ET72" s="414"/>
      <c r="EU72" s="414"/>
      <c r="EV72" s="414"/>
      <c r="EW72" s="414"/>
      <c r="EX72" s="414"/>
      <c r="EY72" s="414"/>
      <c r="EZ72" s="414"/>
      <c r="FA72" s="414"/>
      <c r="FB72" s="414"/>
      <c r="FC72" s="414"/>
      <c r="FD72" s="414"/>
      <c r="FE72" s="414"/>
      <c r="FF72" s="414"/>
      <c r="FG72" s="414"/>
      <c r="FH72" s="414"/>
      <c r="FI72" s="414"/>
      <c r="FJ72" s="414"/>
      <c r="FK72" s="414"/>
      <c r="FL72" s="414"/>
      <c r="FM72" s="414"/>
      <c r="FN72" s="414"/>
      <c r="FO72" s="414"/>
      <c r="FP72" s="414"/>
      <c r="FQ72" s="414"/>
      <c r="FR72" s="414"/>
      <c r="FS72" s="414"/>
      <c r="FT72" s="414"/>
      <c r="FU72" s="414"/>
      <c r="FV72" s="414"/>
      <c r="FW72" s="414"/>
      <c r="FX72" s="414"/>
      <c r="FY72" s="414"/>
      <c r="FZ72" s="414"/>
      <c r="GA72" s="414"/>
      <c r="GB72" s="414"/>
      <c r="GC72" s="414"/>
      <c r="GD72" s="414"/>
      <c r="GE72" s="414"/>
      <c r="GF72" s="414"/>
      <c r="GG72" s="414"/>
      <c r="GH72" s="414"/>
      <c r="GI72" s="414"/>
      <c r="GJ72" s="414"/>
      <c r="GK72" s="414"/>
      <c r="GL72" s="414"/>
      <c r="GM72" s="414"/>
      <c r="GN72" s="414"/>
      <c r="GO72" s="414"/>
      <c r="GP72" s="414"/>
      <c r="GQ72" s="414"/>
      <c r="GR72" s="414"/>
      <c r="GS72" s="414"/>
      <c r="GT72" s="414"/>
      <c r="GU72" s="414"/>
      <c r="GV72" s="414"/>
      <c r="GW72" s="414"/>
      <c r="GX72" s="414"/>
      <c r="GY72" s="414"/>
      <c r="GZ72" s="414"/>
      <c r="HA72" s="414"/>
      <c r="HB72" s="414"/>
      <c r="HC72" s="414"/>
      <c r="HD72" s="414"/>
      <c r="HE72" s="414"/>
      <c r="HF72" s="414"/>
      <c r="HG72" s="414"/>
      <c r="HH72" s="414"/>
      <c r="HI72" s="414"/>
      <c r="HJ72" s="414"/>
      <c r="HK72" s="414"/>
      <c r="HL72" s="414"/>
      <c r="HM72" s="414"/>
      <c r="HN72" s="414"/>
      <c r="HO72" s="414"/>
      <c r="HP72" s="414"/>
      <c r="HQ72" s="414"/>
      <c r="HR72" s="414"/>
      <c r="HS72" s="414"/>
      <c r="HT72" s="414"/>
      <c r="HU72" s="414"/>
      <c r="HV72" s="414"/>
      <c r="HW72" s="414"/>
      <c r="HX72" s="414"/>
      <c r="HY72" s="414"/>
      <c r="HZ72" s="414"/>
      <c r="IA72" s="414"/>
      <c r="IB72" s="414"/>
      <c r="IC72" s="414"/>
      <c r="ID72" s="414"/>
      <c r="IE72" s="414"/>
      <c r="IF72" s="414"/>
      <c r="IG72" s="414"/>
      <c r="IH72" s="414"/>
      <c r="II72" s="414"/>
      <c r="IJ72" s="414"/>
      <c r="IK72" s="414"/>
      <c r="IL72" s="414"/>
      <c r="IM72" s="414"/>
      <c r="IN72" s="414"/>
      <c r="IO72" s="414"/>
      <c r="IP72" s="414"/>
      <c r="IQ72" s="414"/>
      <c r="IR72" s="414"/>
      <c r="IS72" s="414"/>
      <c r="IT72" s="414"/>
      <c r="IU72" s="414"/>
      <c r="IV72" s="414"/>
      <c r="IW72" s="414"/>
      <c r="IX72" s="414"/>
      <c r="IY72" s="414"/>
      <c r="IZ72" s="414"/>
      <c r="JA72" s="414"/>
      <c r="JB72" s="414"/>
      <c r="JC72" s="414"/>
      <c r="JD72" s="414"/>
      <c r="JE72" s="414"/>
      <c r="JF72" s="414"/>
      <c r="JG72" s="414"/>
      <c r="JH72" s="414"/>
      <c r="JI72" s="414"/>
      <c r="JJ72" s="414"/>
      <c r="JK72" s="414"/>
      <c r="JL72" s="414"/>
      <c r="JM72" s="414"/>
      <c r="JN72" s="414"/>
      <c r="JO72" s="414"/>
      <c r="JP72" s="414"/>
      <c r="JQ72" s="414"/>
      <c r="JR72" s="414"/>
      <c r="JS72" s="414"/>
      <c r="JT72" s="414"/>
      <c r="JU72" s="414"/>
      <c r="JV72" s="414"/>
      <c r="JW72" s="414"/>
      <c r="JX72" s="414"/>
      <c r="JY72" s="414"/>
      <c r="JZ72" s="414"/>
      <c r="KA72" s="414"/>
      <c r="KB72" s="414"/>
      <c r="KC72" s="414"/>
      <c r="KD72" s="414"/>
      <c r="KE72" s="414"/>
      <c r="KF72" s="414"/>
      <c r="KG72" s="414"/>
      <c r="KH72" s="414"/>
      <c r="KI72" s="414"/>
      <c r="KJ72" s="414"/>
      <c r="KK72" s="414"/>
      <c r="KL72" s="414"/>
      <c r="KM72" s="414"/>
      <c r="KN72" s="414"/>
      <c r="KO72" s="414"/>
      <c r="KP72" s="414"/>
      <c r="KQ72" s="414"/>
      <c r="KR72" s="414"/>
      <c r="KS72" s="414"/>
      <c r="KT72" s="414"/>
      <c r="KU72" s="414"/>
      <c r="KV72" s="414"/>
      <c r="KW72" s="414"/>
      <c r="KX72" s="414"/>
      <c r="KY72" s="414"/>
      <c r="KZ72" s="414"/>
      <c r="LA72" s="414"/>
      <c r="LB72" s="414"/>
      <c r="LC72" s="414"/>
      <c r="LD72" s="414"/>
      <c r="LE72" s="414"/>
      <c r="LF72" s="414"/>
      <c r="LG72" s="414"/>
      <c r="LH72" s="414"/>
      <c r="LI72" s="414"/>
      <c r="LJ72" s="414"/>
      <c r="LK72" s="414"/>
      <c r="LL72" s="414"/>
      <c r="LM72" s="414"/>
      <c r="LN72" s="414"/>
      <c r="LO72" s="414"/>
      <c r="LP72" s="414"/>
      <c r="LQ72" s="414"/>
      <c r="LR72" s="414"/>
      <c r="LS72" s="414"/>
      <c r="LT72" s="414"/>
      <c r="LU72" s="414"/>
      <c r="LV72" s="414"/>
      <c r="LW72" s="414"/>
      <c r="LX72" s="414"/>
      <c r="LY72" s="414"/>
      <c r="LZ72" s="414"/>
      <c r="MA72" s="414"/>
      <c r="MB72" s="414"/>
      <c r="MC72" s="414"/>
      <c r="MD72" s="414"/>
      <c r="ME72" s="414"/>
      <c r="MF72" s="414"/>
      <c r="MG72" s="414"/>
      <c r="MH72" s="414"/>
      <c r="MI72" s="414"/>
      <c r="MJ72" s="414"/>
      <c r="MK72" s="414"/>
      <c r="ML72" s="414"/>
      <c r="MM72" s="414"/>
      <c r="MN72" s="414"/>
      <c r="MO72" s="414"/>
      <c r="MP72" s="414"/>
      <c r="MQ72" s="414"/>
      <c r="MR72" s="414"/>
      <c r="MS72" s="414"/>
      <c r="MT72" s="414"/>
      <c r="MU72" s="414"/>
      <c r="MV72" s="414"/>
      <c r="MW72" s="414"/>
      <c r="MX72" s="414"/>
      <c r="MY72" s="414"/>
      <c r="MZ72" s="414"/>
      <c r="NA72" s="414"/>
      <c r="NB72" s="414"/>
      <c r="NC72" s="414"/>
      <c r="ND72" s="414"/>
      <c r="NE72" s="414"/>
      <c r="NF72" s="414"/>
      <c r="NG72" s="414"/>
      <c r="NH72" s="414"/>
      <c r="NI72" s="414"/>
      <c r="NJ72" s="414"/>
      <c r="NK72" s="414"/>
      <c r="NL72" s="414"/>
      <c r="NM72" s="414"/>
      <c r="NN72" s="414"/>
      <c r="NO72" s="414"/>
      <c r="NP72" s="414"/>
      <c r="NQ72" s="414"/>
      <c r="NR72" s="414"/>
      <c r="NS72" s="414"/>
      <c r="NT72" s="414"/>
      <c r="NU72" s="414"/>
      <c r="NV72" s="414"/>
      <c r="NW72" s="414"/>
      <c r="NX72" s="414"/>
      <c r="NY72" s="414"/>
      <c r="NZ72" s="414"/>
      <c r="OA72" s="414"/>
      <c r="OB72" s="414"/>
      <c r="OC72" s="414"/>
      <c r="OD72" s="414"/>
      <c r="OE72" s="414"/>
      <c r="OF72" s="414"/>
      <c r="OG72" s="414"/>
      <c r="OH72" s="414"/>
      <c r="OI72" s="414"/>
      <c r="OJ72" s="414"/>
      <c r="OK72" s="414"/>
      <c r="OL72" s="414"/>
      <c r="OM72" s="414"/>
      <c r="ON72" s="414"/>
      <c r="OO72" s="414"/>
      <c r="OP72" s="414"/>
      <c r="OQ72" s="414"/>
      <c r="OR72" s="414"/>
      <c r="OS72" s="414"/>
      <c r="OT72" s="414"/>
      <c r="OU72" s="414"/>
      <c r="OV72" s="414"/>
      <c r="OW72" s="414"/>
      <c r="OX72" s="414"/>
      <c r="OY72" s="414"/>
      <c r="OZ72" s="414"/>
      <c r="PA72" s="414"/>
      <c r="PB72" s="414"/>
      <c r="PC72" s="414"/>
      <c r="PD72" s="414"/>
      <c r="PE72" s="414"/>
      <c r="PF72" s="414"/>
      <c r="PG72" s="414"/>
      <c r="PH72" s="414"/>
      <c r="PI72" s="414"/>
      <c r="PJ72" s="414"/>
      <c r="PK72" s="414"/>
      <c r="PL72" s="414"/>
      <c r="PM72" s="414"/>
      <c r="PN72" s="414"/>
      <c r="PO72" s="414"/>
      <c r="PP72" s="414"/>
      <c r="PQ72" s="414"/>
      <c r="PR72" s="414"/>
      <c r="PS72" s="414"/>
      <c r="PT72" s="414"/>
      <c r="PU72" s="414"/>
      <c r="PV72" s="414"/>
      <c r="PW72" s="414"/>
      <c r="PX72" s="414"/>
      <c r="PY72" s="414"/>
      <c r="PZ72" s="414"/>
      <c r="QA72" s="414"/>
      <c r="QB72" s="414"/>
      <c r="QC72" s="414"/>
      <c r="QD72" s="414"/>
      <c r="QE72" s="414"/>
      <c r="QF72" s="414"/>
      <c r="QG72" s="414"/>
      <c r="QH72" s="414"/>
      <c r="QI72" s="414"/>
      <c r="QJ72" s="414"/>
      <c r="QK72" s="414"/>
      <c r="QL72" s="414"/>
      <c r="QM72" s="414"/>
      <c r="QN72" s="414"/>
      <c r="QO72" s="414"/>
      <c r="QP72" s="414"/>
      <c r="QQ72" s="414"/>
      <c r="QR72" s="414"/>
      <c r="QS72" s="414"/>
      <c r="QT72" s="414"/>
      <c r="QU72" s="414"/>
      <c r="QV72" s="414"/>
      <c r="QW72" s="414"/>
      <c r="QX72" s="414"/>
      <c r="QY72" s="414"/>
      <c r="QZ72" s="414"/>
      <c r="RA72" s="414"/>
      <c r="RB72" s="414"/>
      <c r="RC72" s="414"/>
      <c r="RD72" s="414"/>
      <c r="RE72" s="414"/>
      <c r="RF72" s="414"/>
      <c r="RG72" s="414"/>
      <c r="RH72" s="414"/>
      <c r="RI72" s="414"/>
      <c r="RJ72" s="414"/>
      <c r="RK72" s="414"/>
      <c r="RL72" s="414"/>
      <c r="RM72" s="414"/>
      <c r="RN72" s="414"/>
      <c r="RO72" s="414"/>
      <c r="RP72" s="414"/>
      <c r="RQ72" s="414"/>
      <c r="RR72" s="414"/>
      <c r="RS72" s="414"/>
      <c r="RT72" s="414"/>
      <c r="RU72" s="414"/>
      <c r="RV72" s="414"/>
      <c r="RW72" s="414"/>
      <c r="RX72" s="414"/>
      <c r="RY72" s="414"/>
      <c r="RZ72" s="414"/>
      <c r="SA72" s="414"/>
      <c r="SB72" s="414"/>
      <c r="SC72" s="414"/>
      <c r="SD72" s="414"/>
      <c r="SE72" s="414"/>
      <c r="SF72" s="414"/>
      <c r="SG72" s="414"/>
      <c r="SH72" s="414"/>
      <c r="SI72" s="414"/>
      <c r="SJ72" s="414"/>
      <c r="SK72" s="414"/>
      <c r="SL72" s="414"/>
      <c r="SM72" s="414"/>
      <c r="SN72" s="414"/>
      <c r="SO72" s="414"/>
      <c r="SP72" s="414"/>
      <c r="SQ72" s="414"/>
      <c r="SR72" s="414"/>
      <c r="SS72" s="414"/>
      <c r="ST72" s="414"/>
      <c r="SU72" s="414"/>
      <c r="SV72" s="414"/>
      <c r="SW72" s="414"/>
      <c r="SX72" s="414"/>
      <c r="SY72" s="414"/>
      <c r="SZ72" s="414"/>
      <c r="TA72" s="414"/>
      <c r="TB72" s="414"/>
      <c r="TC72" s="414"/>
      <c r="TD72" s="414"/>
      <c r="TE72" s="414"/>
      <c r="TF72" s="414"/>
      <c r="TG72" s="414"/>
      <c r="TH72" s="414"/>
      <c r="TI72" s="414"/>
      <c r="TJ72" s="414"/>
      <c r="TK72" s="414"/>
      <c r="TL72" s="414"/>
      <c r="TM72" s="414"/>
      <c r="TN72" s="414"/>
      <c r="TO72" s="414"/>
      <c r="TP72" s="414"/>
      <c r="TQ72" s="414"/>
      <c r="TR72" s="414"/>
      <c r="TS72" s="414"/>
      <c r="TT72" s="414"/>
      <c r="TU72" s="414"/>
      <c r="TV72" s="414"/>
      <c r="TW72" s="414"/>
      <c r="TX72" s="414"/>
      <c r="TY72" s="414"/>
      <c r="TZ72" s="414"/>
      <c r="UA72" s="414"/>
      <c r="UB72" s="414"/>
      <c r="UC72" s="414"/>
      <c r="UD72" s="414"/>
      <c r="UE72" s="414"/>
      <c r="UF72" s="414"/>
      <c r="UG72" s="414"/>
      <c r="UH72" s="414"/>
      <c r="UI72" s="414"/>
      <c r="UJ72" s="414"/>
      <c r="UK72" s="414"/>
      <c r="UL72" s="414"/>
      <c r="UM72" s="414"/>
      <c r="UN72" s="414"/>
      <c r="UO72" s="414"/>
      <c r="UP72" s="414"/>
      <c r="UQ72" s="414"/>
      <c r="UR72" s="414"/>
      <c r="US72" s="414"/>
      <c r="UT72" s="414"/>
      <c r="UU72" s="414"/>
      <c r="UV72" s="414"/>
      <c r="UW72" s="414"/>
      <c r="UX72" s="414"/>
      <c r="UY72" s="414"/>
      <c r="UZ72" s="414"/>
      <c r="VA72" s="414"/>
      <c r="VB72" s="414"/>
      <c r="VC72" s="414"/>
      <c r="VD72" s="414"/>
      <c r="VE72" s="414"/>
      <c r="VF72" s="414"/>
      <c r="VG72" s="414"/>
      <c r="VH72" s="414"/>
      <c r="VI72" s="414"/>
      <c r="VJ72" s="414"/>
      <c r="VK72" s="414"/>
      <c r="VL72" s="414"/>
      <c r="VM72" s="414"/>
      <c r="VN72" s="414"/>
      <c r="VO72" s="414"/>
      <c r="VP72" s="414"/>
      <c r="VQ72" s="414"/>
      <c r="VR72" s="414"/>
      <c r="VS72" s="414"/>
      <c r="VT72" s="414"/>
      <c r="VU72" s="414"/>
      <c r="VV72" s="414"/>
      <c r="VW72" s="414"/>
      <c r="VX72" s="414"/>
      <c r="VY72" s="414"/>
      <c r="VZ72" s="414"/>
      <c r="WA72" s="414"/>
      <c r="WB72" s="414"/>
      <c r="WC72" s="414"/>
      <c r="WD72" s="414"/>
      <c r="WE72" s="414"/>
      <c r="WF72" s="414"/>
      <c r="WG72" s="414"/>
      <c r="WH72" s="414"/>
      <c r="WI72" s="414"/>
      <c r="WJ72" s="414"/>
      <c r="WK72" s="414"/>
      <c r="WL72" s="414"/>
      <c r="WM72" s="414"/>
      <c r="WN72" s="414"/>
      <c r="WO72" s="414"/>
      <c r="WP72" s="414"/>
      <c r="WQ72" s="414"/>
      <c r="WR72" s="414"/>
      <c r="WS72" s="414"/>
      <c r="WT72" s="414"/>
      <c r="WU72" s="414"/>
      <c r="WV72" s="414"/>
      <c r="WW72" s="414"/>
      <c r="WX72" s="414"/>
      <c r="WY72" s="414"/>
      <c r="WZ72" s="414"/>
      <c r="XA72" s="414"/>
      <c r="XB72" s="414"/>
      <c r="XC72" s="414"/>
      <c r="XD72" s="414"/>
      <c r="XE72" s="414"/>
      <c r="XF72" s="414"/>
      <c r="XG72" s="414"/>
      <c r="XH72" s="414"/>
      <c r="XI72" s="414"/>
      <c r="XJ72" s="414"/>
      <c r="XK72" s="414"/>
      <c r="XL72" s="414"/>
      <c r="XM72" s="414"/>
      <c r="XN72" s="414"/>
      <c r="XO72" s="414"/>
      <c r="XP72" s="414"/>
      <c r="XQ72" s="414"/>
      <c r="XR72" s="414"/>
      <c r="XS72" s="414"/>
      <c r="XT72" s="414"/>
      <c r="XU72" s="414"/>
      <c r="XV72" s="414"/>
      <c r="XW72" s="414"/>
      <c r="XX72" s="414"/>
      <c r="XY72" s="414"/>
      <c r="XZ72" s="414"/>
      <c r="YA72" s="414"/>
      <c r="YB72" s="414"/>
      <c r="YC72" s="414"/>
      <c r="YD72" s="414"/>
      <c r="YE72" s="414"/>
      <c r="YF72" s="414"/>
      <c r="YG72" s="414"/>
      <c r="YH72" s="414"/>
      <c r="YI72" s="414"/>
      <c r="YJ72" s="414"/>
      <c r="YK72" s="414"/>
      <c r="YL72" s="414"/>
      <c r="YM72" s="414"/>
      <c r="YN72" s="414"/>
      <c r="YO72" s="414"/>
      <c r="YP72" s="414"/>
      <c r="YQ72" s="414"/>
      <c r="YR72" s="414"/>
      <c r="YS72" s="414"/>
      <c r="YT72" s="414"/>
      <c r="YU72" s="414"/>
      <c r="YV72" s="414"/>
      <c r="YW72" s="414"/>
      <c r="YX72" s="414"/>
      <c r="YY72" s="414"/>
      <c r="YZ72" s="414"/>
      <c r="ZA72" s="414"/>
      <c r="ZB72" s="414"/>
      <c r="ZC72" s="414"/>
      <c r="ZD72" s="414"/>
      <c r="ZE72" s="414"/>
      <c r="ZF72" s="414"/>
      <c r="ZG72" s="414"/>
      <c r="ZH72" s="414"/>
      <c r="ZI72" s="414"/>
      <c r="ZJ72" s="414"/>
      <c r="ZK72" s="414"/>
      <c r="ZL72" s="414"/>
      <c r="ZM72" s="414"/>
      <c r="ZN72" s="414"/>
      <c r="ZO72" s="414"/>
      <c r="ZP72" s="414"/>
      <c r="ZQ72" s="414"/>
      <c r="ZR72" s="414"/>
      <c r="ZS72" s="414"/>
      <c r="ZT72" s="414"/>
      <c r="ZU72" s="414"/>
      <c r="ZV72" s="414"/>
      <c r="ZW72" s="414"/>
      <c r="ZX72" s="414"/>
      <c r="ZY72" s="414"/>
      <c r="ZZ72" s="414"/>
      <c r="AAA72" s="414"/>
      <c r="AAB72" s="414"/>
      <c r="AAC72" s="414"/>
      <c r="AAD72" s="414"/>
      <c r="AAE72" s="414"/>
      <c r="AAF72" s="414"/>
      <c r="AAG72" s="414"/>
      <c r="AAH72" s="414"/>
      <c r="AAI72" s="414"/>
      <c r="AAJ72" s="414"/>
      <c r="AAK72" s="414"/>
      <c r="AAL72" s="414"/>
      <c r="AAM72" s="414"/>
      <c r="AAN72" s="414"/>
      <c r="AAO72" s="414"/>
      <c r="AAP72" s="414"/>
      <c r="AAQ72" s="414"/>
      <c r="AAR72" s="414"/>
      <c r="AAS72" s="414"/>
      <c r="AAT72" s="414"/>
      <c r="AAU72" s="414"/>
      <c r="AAV72" s="414"/>
      <c r="AAW72" s="414"/>
      <c r="AAX72" s="414"/>
      <c r="AAY72" s="414"/>
      <c r="AAZ72" s="414"/>
      <c r="ABA72" s="414"/>
      <c r="ABB72" s="414"/>
      <c r="ABC72" s="414"/>
      <c r="ABD72" s="414"/>
      <c r="ABE72" s="414"/>
      <c r="ABF72" s="414"/>
      <c r="ABG72" s="414"/>
      <c r="ABH72" s="414"/>
      <c r="ABI72" s="414"/>
      <c r="ABJ72" s="414"/>
      <c r="ABK72" s="414"/>
      <c r="ABL72" s="414"/>
      <c r="ABM72" s="414"/>
      <c r="ABN72" s="414"/>
      <c r="ABO72" s="414"/>
      <c r="ABP72" s="414"/>
      <c r="ABQ72" s="414"/>
      <c r="ABR72" s="414"/>
      <c r="ABS72" s="414"/>
      <c r="ABT72" s="414"/>
      <c r="ABU72" s="414"/>
      <c r="ABV72" s="414"/>
      <c r="ABW72" s="414"/>
      <c r="ABX72" s="414"/>
      <c r="ABY72" s="414"/>
      <c r="ABZ72" s="414"/>
      <c r="ACA72" s="414"/>
      <c r="ACB72" s="414"/>
      <c r="ACC72" s="414"/>
      <c r="ACD72" s="414"/>
      <c r="ACE72" s="414"/>
      <c r="ACF72" s="414"/>
      <c r="ACG72" s="414"/>
      <c r="ACH72" s="414"/>
      <c r="ACI72" s="414"/>
      <c r="ACJ72" s="414"/>
      <c r="ACK72" s="414"/>
      <c r="ACL72" s="414"/>
      <c r="ACM72" s="414"/>
      <c r="ACN72" s="414"/>
      <c r="ACO72" s="414"/>
      <c r="ACP72" s="414"/>
      <c r="ACQ72" s="414"/>
      <c r="ACR72" s="414"/>
      <c r="ACS72" s="414"/>
      <c r="ACT72" s="414"/>
      <c r="ACU72" s="414"/>
      <c r="ACV72" s="414"/>
      <c r="ACW72" s="414"/>
      <c r="ACX72" s="414"/>
      <c r="ACY72" s="414"/>
      <c r="ACZ72" s="414"/>
      <c r="ADA72" s="414"/>
      <c r="ADB72" s="414"/>
      <c r="ADC72" s="414"/>
      <c r="ADD72" s="414"/>
      <c r="ADE72" s="414"/>
      <c r="ADF72" s="414"/>
      <c r="ADG72" s="414"/>
      <c r="ADH72" s="414"/>
      <c r="ADI72" s="414"/>
      <c r="ADJ72" s="414"/>
      <c r="ADK72" s="414"/>
      <c r="ADL72" s="414"/>
      <c r="ADM72" s="414"/>
      <c r="ADN72" s="414"/>
      <c r="ADO72" s="414"/>
      <c r="ADP72" s="414"/>
      <c r="ADQ72" s="414"/>
      <c r="ADR72" s="414"/>
      <c r="ADS72" s="414"/>
      <c r="ADT72" s="414"/>
      <c r="ADU72" s="414"/>
      <c r="ADV72" s="414"/>
      <c r="ADW72" s="414"/>
      <c r="ADX72" s="414"/>
      <c r="ADY72" s="414"/>
      <c r="ADZ72" s="414"/>
      <c r="AEA72" s="414"/>
      <c r="AEB72" s="414"/>
      <c r="AEC72" s="414"/>
      <c r="AED72" s="414"/>
      <c r="AEE72" s="414"/>
      <c r="AEF72" s="414"/>
      <c r="AEG72" s="414"/>
      <c r="AEH72" s="414"/>
      <c r="AEI72" s="414"/>
      <c r="AEJ72" s="414"/>
      <c r="AEK72" s="414"/>
      <c r="AEL72" s="414"/>
      <c r="AEM72" s="414"/>
      <c r="AEN72" s="414"/>
      <c r="AEO72" s="414"/>
      <c r="AEP72" s="414"/>
      <c r="AEQ72" s="414"/>
      <c r="AER72" s="414"/>
      <c r="AES72" s="414"/>
      <c r="AET72" s="414"/>
      <c r="AEU72" s="414"/>
      <c r="AEV72" s="414"/>
      <c r="AEW72" s="414"/>
      <c r="AEX72" s="414"/>
      <c r="AEY72" s="414"/>
      <c r="AEZ72" s="414"/>
      <c r="AFA72" s="414"/>
      <c r="AFB72" s="414"/>
      <c r="AFC72" s="414"/>
      <c r="AFD72" s="414"/>
      <c r="AFE72" s="414"/>
      <c r="AFF72" s="414"/>
      <c r="AFG72" s="414"/>
      <c r="AFH72" s="414"/>
      <c r="AFI72" s="414"/>
      <c r="AFJ72" s="414"/>
      <c r="AFK72" s="414"/>
      <c r="AFL72" s="414"/>
      <c r="AFM72" s="414"/>
      <c r="AFN72" s="414"/>
      <c r="AFO72" s="414"/>
      <c r="AFP72" s="414"/>
      <c r="AFQ72" s="414"/>
      <c r="AFR72" s="414"/>
      <c r="AFS72" s="414"/>
      <c r="AFT72" s="414"/>
      <c r="AFU72" s="414"/>
      <c r="AFV72" s="414"/>
      <c r="AFW72" s="414"/>
      <c r="AFX72" s="414"/>
      <c r="AFY72" s="414"/>
      <c r="AFZ72" s="414"/>
      <c r="AGA72" s="414"/>
      <c r="AGB72" s="414"/>
      <c r="AGC72" s="414"/>
      <c r="AGD72" s="414"/>
      <c r="AGE72" s="414"/>
      <c r="AGF72" s="414"/>
      <c r="AGG72" s="414"/>
      <c r="AGH72" s="414"/>
      <c r="AGI72" s="414"/>
      <c r="AGJ72" s="414"/>
      <c r="AGK72" s="414"/>
      <c r="AGL72" s="414"/>
      <c r="AGM72" s="414"/>
      <c r="AGN72" s="414"/>
      <c r="AGO72" s="414"/>
      <c r="AGP72" s="414"/>
      <c r="AGQ72" s="414"/>
      <c r="AGR72" s="414"/>
      <c r="AGS72" s="414"/>
      <c r="AGT72" s="414"/>
      <c r="AGU72" s="414"/>
      <c r="AGV72" s="414"/>
      <c r="AGW72" s="414"/>
      <c r="AGX72" s="414"/>
      <c r="AGY72" s="414"/>
      <c r="AGZ72" s="414"/>
      <c r="AHA72" s="414"/>
      <c r="AHB72" s="414"/>
      <c r="AHC72" s="414"/>
      <c r="AHD72" s="414"/>
      <c r="AHE72" s="414"/>
      <c r="AHF72" s="414"/>
      <c r="AHG72" s="414"/>
      <c r="AHH72" s="414"/>
      <c r="AHI72" s="414"/>
      <c r="AHJ72" s="414"/>
      <c r="AHK72" s="414"/>
      <c r="AHL72" s="414"/>
      <c r="AHM72" s="414"/>
      <c r="AHN72" s="414"/>
      <c r="AHO72" s="414"/>
      <c r="AHP72" s="414"/>
      <c r="AHQ72" s="414"/>
      <c r="AHR72" s="414"/>
      <c r="AHS72" s="414"/>
      <c r="AHT72" s="414"/>
      <c r="AHU72" s="414"/>
      <c r="AHV72" s="414"/>
      <c r="AHW72" s="414"/>
      <c r="AHX72" s="414"/>
      <c r="AHY72" s="414"/>
      <c r="AHZ72" s="414"/>
      <c r="AIA72" s="414"/>
      <c r="AIB72" s="414"/>
      <c r="AIC72" s="414"/>
      <c r="AID72" s="414"/>
      <c r="AIE72" s="414"/>
      <c r="AIF72" s="414"/>
      <c r="AIG72" s="414"/>
      <c r="AIH72" s="414"/>
      <c r="AII72" s="414"/>
      <c r="AIJ72" s="414"/>
      <c r="AIK72" s="414"/>
      <c r="AIL72" s="414"/>
      <c r="AIM72" s="414"/>
      <c r="AIN72" s="414"/>
      <c r="AIO72" s="414"/>
      <c r="AIP72" s="414"/>
      <c r="AIQ72" s="414"/>
      <c r="AIR72" s="414"/>
      <c r="AIS72" s="414"/>
      <c r="AIT72" s="414"/>
      <c r="AIU72" s="414"/>
      <c r="AIV72" s="414"/>
      <c r="AIW72" s="414"/>
      <c r="AIX72" s="414"/>
      <c r="AIY72" s="414"/>
      <c r="AIZ72" s="414"/>
      <c r="AJA72" s="414"/>
      <c r="AJB72" s="414"/>
      <c r="AJC72" s="414"/>
      <c r="AJD72" s="414"/>
      <c r="AJE72" s="414"/>
      <c r="AJF72" s="414"/>
      <c r="AJG72" s="414"/>
      <c r="AJH72" s="414"/>
      <c r="AJI72" s="414"/>
      <c r="AJJ72" s="414"/>
      <c r="AJK72" s="414"/>
      <c r="AJL72" s="414"/>
      <c r="AJM72" s="414"/>
      <c r="AJN72" s="414"/>
      <c r="AJO72" s="414"/>
      <c r="AJP72" s="414"/>
      <c r="AJQ72" s="414"/>
      <c r="AJR72" s="414"/>
      <c r="AJS72" s="414"/>
      <c r="AJT72" s="414"/>
      <c r="AJU72" s="414"/>
      <c r="AJV72" s="414"/>
      <c r="AJW72" s="414"/>
      <c r="AJX72" s="414"/>
      <c r="AJY72" s="414"/>
      <c r="AJZ72" s="414"/>
      <c r="AKA72" s="414"/>
      <c r="AKB72" s="414"/>
      <c r="AKC72" s="414"/>
      <c r="AKD72" s="414"/>
      <c r="AKE72" s="414"/>
      <c r="AKF72" s="414"/>
      <c r="AKG72" s="414"/>
      <c r="AKH72" s="414"/>
      <c r="AKI72" s="414"/>
      <c r="AKJ72" s="414"/>
      <c r="AKK72" s="414"/>
      <c r="AKL72" s="414"/>
      <c r="AKM72" s="414"/>
      <c r="AKN72" s="414"/>
      <c r="AKO72" s="414"/>
      <c r="AKP72" s="414"/>
      <c r="AKQ72" s="414"/>
      <c r="AKR72" s="414"/>
      <c r="AKS72" s="414"/>
      <c r="AKT72" s="414"/>
      <c r="AKU72" s="414"/>
      <c r="AKV72" s="414"/>
      <c r="AKW72" s="414"/>
      <c r="AKX72" s="414"/>
      <c r="AKY72" s="414"/>
      <c r="AKZ72" s="414"/>
      <c r="ALA72" s="414"/>
      <c r="ALB72" s="414"/>
      <c r="ALC72" s="414"/>
      <c r="ALD72" s="414"/>
      <c r="ALE72" s="414"/>
      <c r="ALF72" s="414"/>
      <c r="ALG72" s="414"/>
      <c r="ALH72" s="414"/>
      <c r="ALI72" s="414"/>
      <c r="ALJ72" s="414"/>
      <c r="ALK72" s="414"/>
      <c r="ALL72" s="414"/>
      <c r="ALM72" s="414"/>
      <c r="ALN72" s="414"/>
      <c r="ALO72" s="414"/>
      <c r="ALP72" s="414"/>
      <c r="ALQ72" s="414"/>
      <c r="ALR72" s="414"/>
      <c r="ALS72" s="414"/>
      <c r="ALT72" s="414"/>
      <c r="ALU72" s="414"/>
      <c r="ALV72" s="414"/>
      <c r="ALW72" s="414"/>
      <c r="ALX72" s="414"/>
      <c r="ALY72" s="414"/>
      <c r="ALZ72" s="414"/>
      <c r="AMA72" s="414"/>
      <c r="AMB72" s="414"/>
      <c r="AMC72" s="414"/>
      <c r="AMD72" s="414"/>
      <c r="AME72" s="414"/>
      <c r="AMF72" s="414"/>
      <c r="AMG72" s="414"/>
      <c r="AMH72" s="414"/>
      <c r="AMI72" s="414"/>
      <c r="AMJ72" s="414"/>
      <c r="AMK72" s="414"/>
      <c r="AML72" s="414"/>
      <c r="AMM72" s="414"/>
      <c r="AMN72" s="414"/>
      <c r="AMO72" s="414"/>
      <c r="AMP72" s="414"/>
      <c r="AMQ72" s="414"/>
      <c r="AMR72" s="414"/>
      <c r="AMS72" s="414"/>
      <c r="AMT72" s="414"/>
      <c r="AMU72" s="414"/>
      <c r="AMV72" s="414"/>
      <c r="AMW72" s="414"/>
      <c r="AMX72" s="414"/>
      <c r="AMY72" s="414"/>
      <c r="AMZ72" s="414"/>
      <c r="ANA72" s="414"/>
      <c r="ANB72" s="414"/>
      <c r="ANC72" s="414"/>
      <c r="AND72" s="414"/>
      <c r="ANE72" s="414"/>
      <c r="ANF72" s="414"/>
      <c r="ANG72" s="414"/>
      <c r="ANH72" s="414"/>
      <c r="ANI72" s="414"/>
      <c r="ANJ72" s="414"/>
      <c r="ANK72" s="414"/>
      <c r="ANL72" s="414"/>
      <c r="ANM72" s="414"/>
      <c r="ANN72" s="414"/>
      <c r="ANO72" s="414"/>
      <c r="ANP72" s="414"/>
      <c r="ANQ72" s="414"/>
      <c r="ANR72" s="414"/>
      <c r="ANS72" s="414"/>
      <c r="ANT72" s="414"/>
      <c r="ANU72" s="414"/>
      <c r="ANV72" s="414"/>
      <c r="ANW72" s="414"/>
      <c r="ANX72" s="414"/>
      <c r="ANY72" s="414"/>
      <c r="ANZ72" s="414"/>
      <c r="AOA72" s="414"/>
      <c r="AOB72" s="414"/>
      <c r="AOC72" s="414"/>
      <c r="AOD72" s="414"/>
      <c r="AOE72" s="414"/>
      <c r="AOF72" s="414"/>
      <c r="AOG72" s="414"/>
      <c r="AOH72" s="414"/>
      <c r="AOI72" s="414"/>
      <c r="AOJ72" s="414"/>
      <c r="AOK72" s="414"/>
      <c r="AOL72" s="414"/>
      <c r="AOM72" s="414"/>
      <c r="AON72" s="414"/>
      <c r="AOO72" s="414"/>
      <c r="AOP72" s="414"/>
      <c r="AOQ72" s="414"/>
      <c r="AOR72" s="414"/>
      <c r="AOS72" s="414"/>
      <c r="AOT72" s="414"/>
      <c r="AOU72" s="414"/>
      <c r="AOV72" s="414"/>
      <c r="AOW72" s="414"/>
      <c r="AOX72" s="414"/>
      <c r="AOY72" s="414"/>
      <c r="AOZ72" s="414"/>
      <c r="APA72" s="414"/>
      <c r="APB72" s="414"/>
      <c r="APC72" s="414"/>
      <c r="APD72" s="414"/>
      <c r="APE72" s="414"/>
      <c r="APF72" s="414"/>
      <c r="APG72" s="414"/>
      <c r="APH72" s="414"/>
      <c r="API72" s="414"/>
      <c r="APJ72" s="414"/>
      <c r="APK72" s="414"/>
      <c r="APL72" s="414"/>
      <c r="APM72" s="414"/>
      <c r="APN72" s="414"/>
      <c r="APO72" s="414"/>
      <c r="APP72" s="414"/>
      <c r="APQ72" s="414"/>
      <c r="APR72" s="414"/>
      <c r="APS72" s="414"/>
      <c r="APT72" s="414"/>
      <c r="APU72" s="414"/>
      <c r="APV72" s="414"/>
      <c r="APW72" s="414"/>
      <c r="APX72" s="414"/>
      <c r="APY72" s="414"/>
      <c r="APZ72" s="414"/>
      <c r="AQA72" s="414"/>
      <c r="AQB72" s="414"/>
      <c r="AQC72" s="414"/>
      <c r="AQD72" s="414"/>
      <c r="AQE72" s="414"/>
      <c r="AQF72" s="414"/>
      <c r="AQG72" s="414"/>
      <c r="AQH72" s="414"/>
      <c r="AQI72" s="414"/>
      <c r="AQJ72" s="414"/>
      <c r="AQK72" s="414"/>
      <c r="AQL72" s="414"/>
      <c r="AQM72" s="414"/>
      <c r="AQN72" s="414"/>
      <c r="AQO72" s="414"/>
      <c r="AQP72" s="414"/>
      <c r="AQQ72" s="414"/>
      <c r="AQR72" s="414"/>
      <c r="AQS72" s="414"/>
      <c r="AQT72" s="414"/>
      <c r="AQU72" s="414"/>
      <c r="AQV72" s="414"/>
      <c r="AQW72" s="414"/>
      <c r="AQX72" s="414"/>
      <c r="AQY72" s="414"/>
      <c r="AQZ72" s="414"/>
      <c r="ARA72" s="414"/>
      <c r="ARB72" s="414"/>
      <c r="ARC72" s="414"/>
      <c r="ARD72" s="414"/>
      <c r="ARE72" s="414"/>
      <c r="ARF72" s="414"/>
      <c r="ARG72" s="414"/>
      <c r="ARH72" s="414"/>
      <c r="ARI72" s="414"/>
      <c r="ARJ72" s="414"/>
      <c r="ARK72" s="414"/>
      <c r="ARL72" s="414"/>
      <c r="ARM72" s="414"/>
      <c r="ARN72" s="414"/>
      <c r="ARO72" s="414"/>
      <c r="ARP72" s="414"/>
      <c r="ARQ72" s="414"/>
      <c r="ARR72" s="414"/>
      <c r="ARS72" s="414"/>
      <c r="ART72" s="414"/>
      <c r="ARU72" s="414"/>
      <c r="ARV72" s="414"/>
      <c r="ARW72" s="414"/>
      <c r="ARX72" s="414"/>
      <c r="ARY72" s="414"/>
      <c r="ARZ72" s="414"/>
      <c r="ASA72" s="414"/>
      <c r="ASB72" s="414"/>
      <c r="ASC72" s="414"/>
      <c r="ASD72" s="414"/>
      <c r="ASE72" s="414"/>
      <c r="ASF72" s="414"/>
      <c r="ASG72" s="414"/>
      <c r="ASH72" s="414"/>
      <c r="ASI72" s="414"/>
      <c r="ASJ72" s="414"/>
      <c r="ASK72" s="414"/>
      <c r="ASL72" s="414"/>
      <c r="ASM72" s="414"/>
      <c r="ASN72" s="414"/>
      <c r="ASO72" s="414"/>
      <c r="ASP72" s="414"/>
      <c r="ASQ72" s="414"/>
      <c r="ASR72" s="414"/>
      <c r="ASS72" s="414"/>
      <c r="AST72" s="414"/>
      <c r="ASU72" s="414"/>
      <c r="ASV72" s="414"/>
      <c r="ASW72" s="414"/>
      <c r="ASX72" s="414"/>
      <c r="ASY72" s="414"/>
      <c r="ASZ72" s="414"/>
      <c r="ATA72" s="414"/>
      <c r="ATB72" s="414"/>
      <c r="ATC72" s="414"/>
      <c r="ATD72" s="414"/>
      <c r="ATE72" s="414"/>
      <c r="ATF72" s="414"/>
      <c r="ATG72" s="414"/>
      <c r="ATH72" s="414"/>
      <c r="ATI72" s="414"/>
      <c r="ATJ72" s="414"/>
      <c r="ATK72" s="414"/>
      <c r="ATL72" s="414"/>
      <c r="ATM72" s="414"/>
      <c r="ATN72" s="414"/>
      <c r="ATO72" s="414"/>
      <c r="ATP72" s="414"/>
      <c r="ATQ72" s="414"/>
      <c r="ATR72" s="414"/>
      <c r="ATS72" s="414"/>
      <c r="ATT72" s="414"/>
      <c r="ATU72" s="414"/>
      <c r="ATV72" s="414"/>
      <c r="ATW72" s="414"/>
      <c r="ATX72" s="414"/>
      <c r="ATY72" s="414"/>
      <c r="ATZ72" s="414"/>
      <c r="AUA72" s="414"/>
      <c r="AUB72" s="414"/>
      <c r="AUC72" s="414"/>
      <c r="AUD72" s="414"/>
      <c r="AUE72" s="414"/>
      <c r="AUF72" s="414"/>
      <c r="AUG72" s="414"/>
      <c r="AUH72" s="414"/>
      <c r="AUI72" s="414"/>
      <c r="AUJ72" s="414"/>
      <c r="AUK72" s="414"/>
      <c r="AUL72" s="414"/>
      <c r="AUM72" s="414"/>
      <c r="AUN72" s="414"/>
      <c r="AUO72" s="414"/>
      <c r="AUP72" s="414"/>
      <c r="AUQ72" s="414"/>
      <c r="AUR72" s="414"/>
      <c r="AUS72" s="414"/>
      <c r="AUT72" s="414"/>
      <c r="AUU72" s="414"/>
      <c r="AUV72" s="414"/>
      <c r="AUW72" s="414"/>
      <c r="AUX72" s="414"/>
      <c r="AUY72" s="414"/>
      <c r="AUZ72" s="414"/>
      <c r="AVA72" s="414"/>
      <c r="AVB72" s="414"/>
      <c r="AVC72" s="414"/>
      <c r="AVD72" s="414"/>
      <c r="AVE72" s="414"/>
      <c r="AVF72" s="414"/>
      <c r="AVG72" s="414"/>
      <c r="AVH72" s="414"/>
      <c r="AVI72" s="414"/>
      <c r="AVJ72" s="414"/>
      <c r="AVK72" s="414"/>
      <c r="AVL72" s="414"/>
      <c r="AVM72" s="414"/>
      <c r="AVN72" s="414"/>
      <c r="AVO72" s="414"/>
      <c r="AVP72" s="414"/>
      <c r="AVQ72" s="414"/>
      <c r="AVR72" s="414"/>
      <c r="AVS72" s="414"/>
      <c r="AVT72" s="414"/>
      <c r="AVU72" s="414"/>
      <c r="AVV72" s="414"/>
      <c r="AVW72" s="414"/>
      <c r="AVX72" s="414"/>
      <c r="AVY72" s="414"/>
      <c r="AVZ72" s="414"/>
      <c r="AWA72" s="414"/>
      <c r="AWB72" s="414"/>
      <c r="AWC72" s="414"/>
      <c r="AWD72" s="414"/>
      <c r="AWE72" s="414"/>
      <c r="AWF72" s="414"/>
      <c r="AWG72" s="414"/>
      <c r="AWH72" s="414"/>
      <c r="AWI72" s="414"/>
      <c r="AWJ72" s="414"/>
      <c r="AWK72" s="414"/>
      <c r="AWL72" s="414"/>
      <c r="AWM72" s="414"/>
      <c r="AWN72" s="414"/>
      <c r="AWO72" s="414"/>
      <c r="AWP72" s="414"/>
      <c r="AWQ72" s="414"/>
      <c r="AWR72" s="414"/>
      <c r="AWS72" s="414"/>
      <c r="AWT72" s="414"/>
      <c r="AWU72" s="414"/>
      <c r="AWV72" s="414"/>
      <c r="AWW72" s="414"/>
      <c r="AWX72" s="414"/>
      <c r="AWY72" s="414"/>
      <c r="AWZ72" s="414"/>
      <c r="AXA72" s="414"/>
      <c r="AXB72" s="414"/>
      <c r="AXC72" s="414"/>
      <c r="AXD72" s="414"/>
      <c r="AXE72" s="414"/>
      <c r="AXF72" s="414"/>
      <c r="AXG72" s="414"/>
      <c r="AXH72" s="414"/>
      <c r="AXI72" s="414"/>
      <c r="AXJ72" s="414"/>
      <c r="AXK72" s="414"/>
      <c r="AXL72" s="414"/>
      <c r="AXM72" s="414"/>
      <c r="AXN72" s="414"/>
      <c r="AXO72" s="414"/>
      <c r="AXP72" s="414"/>
      <c r="AXQ72" s="414"/>
      <c r="AXR72" s="414"/>
      <c r="AXS72" s="414"/>
      <c r="AXT72" s="414"/>
      <c r="AXU72" s="414"/>
      <c r="AXV72" s="414"/>
      <c r="AXW72" s="414"/>
      <c r="AXX72" s="414"/>
      <c r="AXY72" s="414"/>
      <c r="AXZ72" s="414"/>
      <c r="AYA72" s="414"/>
      <c r="AYB72" s="414"/>
      <c r="AYC72" s="414"/>
      <c r="AYD72" s="414"/>
      <c r="AYE72" s="414"/>
      <c r="AYF72" s="414"/>
      <c r="AYG72" s="414"/>
      <c r="AYH72" s="414"/>
      <c r="AYI72" s="414"/>
      <c r="AYJ72" s="414"/>
      <c r="AYK72" s="414"/>
      <c r="AYL72" s="414"/>
      <c r="AYM72" s="414"/>
      <c r="AYN72" s="414"/>
      <c r="AYO72" s="414"/>
      <c r="AYP72" s="414"/>
      <c r="AYQ72" s="414"/>
      <c r="AYR72" s="414"/>
      <c r="AYS72" s="414"/>
      <c r="AYT72" s="414"/>
      <c r="AYU72" s="414"/>
      <c r="AYV72" s="414"/>
      <c r="AYW72" s="414"/>
      <c r="AYX72" s="414"/>
      <c r="AYY72" s="414"/>
      <c r="AYZ72" s="414"/>
      <c r="AZA72" s="414"/>
      <c r="AZB72" s="414"/>
      <c r="AZC72" s="414"/>
      <c r="AZD72" s="414"/>
      <c r="AZE72" s="414"/>
      <c r="AZF72" s="414"/>
      <c r="AZG72" s="414"/>
      <c r="AZH72" s="414"/>
      <c r="AZI72" s="414"/>
      <c r="AZJ72" s="414"/>
      <c r="AZK72" s="414"/>
      <c r="AZL72" s="414"/>
      <c r="AZM72" s="414"/>
      <c r="AZN72" s="414"/>
      <c r="AZO72" s="414"/>
      <c r="AZP72" s="414"/>
      <c r="AZQ72" s="414"/>
      <c r="AZR72" s="414"/>
      <c r="AZS72" s="414"/>
      <c r="AZT72" s="414"/>
      <c r="AZU72" s="414"/>
      <c r="AZV72" s="414"/>
      <c r="AZW72" s="414"/>
      <c r="AZX72" s="414"/>
      <c r="AZY72" s="414"/>
      <c r="AZZ72" s="414"/>
      <c r="BAA72" s="414"/>
      <c r="BAB72" s="414"/>
      <c r="BAC72" s="414"/>
      <c r="BAD72" s="414"/>
      <c r="BAE72" s="414"/>
      <c r="BAF72" s="414"/>
      <c r="BAG72" s="414"/>
      <c r="BAH72" s="414"/>
      <c r="BAI72" s="414"/>
      <c r="BAJ72" s="414"/>
      <c r="BAK72" s="414"/>
      <c r="BAL72" s="414"/>
      <c r="BAM72" s="414"/>
      <c r="BAN72" s="414"/>
      <c r="BAO72" s="414"/>
      <c r="BAP72" s="414"/>
      <c r="BAQ72" s="414"/>
      <c r="BAR72" s="414"/>
      <c r="BAS72" s="414"/>
      <c r="BAT72" s="414"/>
      <c r="BAU72" s="414"/>
      <c r="BAV72" s="414"/>
      <c r="BAW72" s="414"/>
      <c r="BAX72" s="414"/>
      <c r="BAY72" s="414"/>
      <c r="BAZ72" s="414"/>
      <c r="BBA72" s="414"/>
      <c r="BBB72" s="414"/>
      <c r="BBC72" s="414"/>
      <c r="BBD72" s="414"/>
      <c r="BBE72" s="414"/>
      <c r="BBF72" s="414"/>
      <c r="BBG72" s="414"/>
      <c r="BBH72" s="414"/>
      <c r="BBI72" s="414"/>
      <c r="BBJ72" s="414"/>
      <c r="BBK72" s="414"/>
      <c r="BBL72" s="414"/>
      <c r="BBM72" s="414"/>
      <c r="BBN72" s="414"/>
      <c r="BBO72" s="414"/>
      <c r="BBP72" s="414"/>
      <c r="BBQ72" s="414"/>
      <c r="BBR72" s="414"/>
      <c r="BBS72" s="414"/>
      <c r="BBT72" s="414"/>
      <c r="BBU72" s="414"/>
      <c r="BBV72" s="414"/>
      <c r="BBW72" s="414"/>
      <c r="BBX72" s="414"/>
      <c r="BBY72" s="414"/>
      <c r="BBZ72" s="414"/>
      <c r="BCA72" s="414"/>
      <c r="BCB72" s="414"/>
      <c r="BCC72" s="414"/>
      <c r="BCD72" s="414"/>
      <c r="BCE72" s="414"/>
      <c r="BCF72" s="414"/>
      <c r="BCG72" s="414"/>
      <c r="BCH72" s="414"/>
      <c r="BCI72" s="414"/>
      <c r="BCJ72" s="414"/>
      <c r="BCK72" s="414"/>
      <c r="BCL72" s="414"/>
      <c r="BCM72" s="414"/>
      <c r="BCN72" s="414"/>
      <c r="BCO72" s="414"/>
      <c r="BCP72" s="414"/>
      <c r="BCQ72" s="414"/>
      <c r="BCR72" s="414"/>
      <c r="BCS72" s="414"/>
      <c r="BCT72" s="414"/>
      <c r="BCU72" s="414"/>
      <c r="BCV72" s="414"/>
      <c r="BCW72" s="414"/>
      <c r="BCX72" s="414"/>
      <c r="BCY72" s="414"/>
      <c r="BCZ72" s="414"/>
      <c r="BDA72" s="414"/>
      <c r="BDB72" s="414"/>
      <c r="BDC72" s="414"/>
      <c r="BDD72" s="414"/>
      <c r="BDE72" s="414"/>
      <c r="BDF72" s="414"/>
      <c r="BDG72" s="414"/>
      <c r="BDH72" s="414"/>
      <c r="BDI72" s="414"/>
      <c r="BDJ72" s="414"/>
      <c r="BDK72" s="414"/>
      <c r="BDL72" s="414"/>
      <c r="BDM72" s="414"/>
      <c r="BDN72" s="414"/>
      <c r="BDO72" s="414"/>
      <c r="BDP72" s="414"/>
      <c r="BDQ72" s="414"/>
      <c r="BDR72" s="414"/>
      <c r="BDS72" s="414"/>
      <c r="BDT72" s="414"/>
      <c r="BDU72" s="414"/>
      <c r="BDV72" s="414"/>
      <c r="BDW72" s="414"/>
      <c r="BDX72" s="414"/>
      <c r="BDY72" s="414"/>
      <c r="BDZ72" s="414"/>
      <c r="BEA72" s="414"/>
      <c r="BEB72" s="414"/>
      <c r="BEC72" s="414"/>
      <c r="BED72" s="414"/>
      <c r="BEE72" s="414"/>
      <c r="BEF72" s="414"/>
      <c r="BEG72" s="414"/>
      <c r="BEH72" s="414"/>
      <c r="BEI72" s="414"/>
      <c r="BEJ72" s="414"/>
      <c r="BEK72" s="414"/>
      <c r="BEL72" s="414"/>
      <c r="BEM72" s="414"/>
      <c r="BEN72" s="414"/>
      <c r="BEO72" s="414"/>
      <c r="BEP72" s="414"/>
      <c r="BEQ72" s="414"/>
      <c r="BER72" s="414"/>
      <c r="BES72" s="414"/>
      <c r="BET72" s="414"/>
      <c r="BEU72" s="414"/>
      <c r="BEV72" s="414"/>
      <c r="BEW72" s="414"/>
      <c r="BEX72" s="414"/>
      <c r="BEY72" s="414"/>
      <c r="BEZ72" s="414"/>
      <c r="BFA72" s="414"/>
      <c r="BFB72" s="414"/>
      <c r="BFC72" s="414"/>
      <c r="BFD72" s="414"/>
      <c r="BFE72" s="414"/>
      <c r="BFF72" s="414"/>
      <c r="BFG72" s="414"/>
      <c r="BFH72" s="414"/>
      <c r="BFI72" s="414"/>
      <c r="BFJ72" s="414"/>
      <c r="BFK72" s="414"/>
      <c r="BFL72" s="414"/>
      <c r="BFM72" s="414"/>
      <c r="BFN72" s="414"/>
      <c r="BFO72" s="414"/>
      <c r="BFP72" s="414"/>
      <c r="BFQ72" s="414"/>
      <c r="BFR72" s="414"/>
      <c r="BFS72" s="414"/>
      <c r="BFT72" s="414"/>
      <c r="BFU72" s="414"/>
      <c r="BFV72" s="414"/>
      <c r="BFW72" s="414"/>
      <c r="BFX72" s="414"/>
      <c r="BFY72" s="414"/>
      <c r="BFZ72" s="414"/>
      <c r="BGA72" s="414"/>
      <c r="BGB72" s="414"/>
      <c r="BGC72" s="414"/>
      <c r="BGD72" s="414"/>
      <c r="BGE72" s="414"/>
      <c r="BGF72" s="414"/>
      <c r="BGG72" s="414"/>
      <c r="BGH72" s="414"/>
      <c r="BGI72" s="414"/>
      <c r="BGJ72" s="414"/>
      <c r="BGK72" s="414"/>
      <c r="BGL72" s="414"/>
      <c r="BGM72" s="414"/>
      <c r="BGN72" s="414"/>
      <c r="BGO72" s="414"/>
      <c r="BGP72" s="414"/>
      <c r="BGQ72" s="414"/>
      <c r="BGR72" s="414"/>
      <c r="BGS72" s="414"/>
      <c r="BGT72" s="414"/>
      <c r="BGU72" s="414"/>
      <c r="BGV72" s="414"/>
      <c r="BGW72" s="414"/>
      <c r="BGX72" s="414"/>
      <c r="BGY72" s="414"/>
      <c r="BGZ72" s="414"/>
      <c r="BHA72" s="414"/>
      <c r="BHB72" s="414"/>
      <c r="BHC72" s="414"/>
      <c r="BHD72" s="414"/>
      <c r="BHE72" s="414"/>
      <c r="BHF72" s="414"/>
      <c r="BHG72" s="414"/>
      <c r="BHH72" s="414"/>
      <c r="BHI72" s="414"/>
      <c r="BHJ72" s="414"/>
      <c r="BHK72" s="414"/>
      <c r="BHL72" s="414"/>
      <c r="BHM72" s="414"/>
      <c r="BHN72" s="414"/>
      <c r="BHO72" s="414"/>
      <c r="BHP72" s="414"/>
      <c r="BHQ72" s="414"/>
      <c r="BHR72" s="414"/>
      <c r="BHS72" s="414"/>
      <c r="BHT72" s="414"/>
      <c r="BHU72" s="414"/>
      <c r="BHV72" s="414"/>
      <c r="BHW72" s="414"/>
      <c r="BHX72" s="414"/>
      <c r="BHY72" s="414"/>
      <c r="BHZ72" s="414"/>
      <c r="BIA72" s="414"/>
      <c r="BIB72" s="414"/>
      <c r="BIC72" s="414"/>
      <c r="BID72" s="414"/>
      <c r="BIE72" s="414"/>
      <c r="BIF72" s="414"/>
      <c r="BIG72" s="414"/>
      <c r="BIH72" s="414"/>
      <c r="BII72" s="414"/>
      <c r="BIJ72" s="414"/>
      <c r="BIK72" s="414"/>
      <c r="BIL72" s="414"/>
      <c r="BIM72" s="414"/>
      <c r="BIN72" s="414"/>
      <c r="BIO72" s="414"/>
      <c r="BIP72" s="414"/>
      <c r="BIQ72" s="414"/>
      <c r="BIR72" s="414"/>
      <c r="BIS72" s="414"/>
      <c r="BIT72" s="414"/>
      <c r="BIU72" s="414"/>
      <c r="BIV72" s="414"/>
      <c r="BIW72" s="414"/>
      <c r="BIX72" s="414"/>
      <c r="BIY72" s="414"/>
      <c r="BIZ72" s="414"/>
      <c r="BJA72" s="414"/>
      <c r="BJB72" s="414"/>
      <c r="BJC72" s="414"/>
      <c r="BJD72" s="414"/>
      <c r="BJE72" s="414"/>
      <c r="BJF72" s="414"/>
      <c r="BJG72" s="414"/>
      <c r="BJH72" s="414"/>
      <c r="BJI72" s="414"/>
      <c r="BJJ72" s="414"/>
      <c r="BJK72" s="414"/>
      <c r="BJL72" s="414"/>
      <c r="BJM72" s="414"/>
      <c r="BJN72" s="414"/>
      <c r="BJO72" s="414"/>
      <c r="BJP72" s="414"/>
      <c r="BJQ72" s="414"/>
      <c r="BJR72" s="414"/>
      <c r="BJS72" s="414"/>
      <c r="BJT72" s="414"/>
      <c r="BJU72" s="414"/>
      <c r="BJV72" s="414"/>
      <c r="BJW72" s="414"/>
      <c r="BJX72" s="414"/>
      <c r="BJY72" s="414"/>
      <c r="BJZ72" s="414"/>
      <c r="BKA72" s="414"/>
      <c r="BKB72" s="414"/>
      <c r="BKC72" s="414"/>
      <c r="BKD72" s="414"/>
      <c r="BKE72" s="414"/>
      <c r="BKF72" s="414"/>
      <c r="BKG72" s="414"/>
      <c r="BKH72" s="414"/>
      <c r="BKI72" s="414"/>
      <c r="BKJ72" s="414"/>
      <c r="BKK72" s="414"/>
      <c r="BKL72" s="414"/>
      <c r="BKM72" s="414"/>
      <c r="BKN72" s="414"/>
      <c r="BKO72" s="414"/>
      <c r="BKP72" s="414"/>
      <c r="BKQ72" s="414"/>
      <c r="BKR72" s="414"/>
      <c r="BKS72" s="414"/>
      <c r="BKT72" s="414"/>
      <c r="BKU72" s="414"/>
      <c r="BKV72" s="414"/>
      <c r="BKW72" s="414"/>
      <c r="BKX72" s="414"/>
      <c r="BKY72" s="414"/>
      <c r="BKZ72" s="414"/>
      <c r="BLA72" s="414"/>
      <c r="BLB72" s="414"/>
      <c r="BLC72" s="414"/>
      <c r="BLD72" s="414"/>
      <c r="BLE72" s="414"/>
      <c r="BLF72" s="414"/>
      <c r="BLG72" s="414"/>
      <c r="BLH72" s="414"/>
      <c r="BLI72" s="414"/>
      <c r="BLJ72" s="414"/>
      <c r="BLK72" s="414"/>
      <c r="BLL72" s="414"/>
      <c r="BLM72" s="414"/>
      <c r="BLN72" s="414"/>
      <c r="BLO72" s="414"/>
      <c r="BLP72" s="414"/>
      <c r="BLQ72" s="414"/>
      <c r="BLR72" s="414"/>
      <c r="BLS72" s="414"/>
      <c r="BLT72" s="414"/>
      <c r="BLU72" s="414"/>
      <c r="BLV72" s="414"/>
      <c r="BLW72" s="414"/>
      <c r="BLX72" s="414"/>
      <c r="BLY72" s="414"/>
      <c r="BLZ72" s="414"/>
      <c r="BMA72" s="414"/>
      <c r="BMB72" s="414"/>
      <c r="BMC72" s="414"/>
      <c r="BMD72" s="414"/>
      <c r="BME72" s="414"/>
      <c r="BMF72" s="414"/>
      <c r="BMG72" s="414"/>
      <c r="BMH72" s="414"/>
      <c r="BMI72" s="414"/>
      <c r="BMJ72" s="414"/>
      <c r="BMK72" s="414"/>
      <c r="BML72" s="414"/>
      <c r="BMM72" s="414"/>
      <c r="BMN72" s="414"/>
      <c r="BMO72" s="414"/>
      <c r="BMP72" s="414"/>
      <c r="BMQ72" s="414"/>
      <c r="BMR72" s="414"/>
      <c r="BMS72" s="414"/>
      <c r="BMT72" s="414"/>
      <c r="BMU72" s="414"/>
      <c r="BMV72" s="414"/>
      <c r="BMW72" s="414"/>
      <c r="BMX72" s="414"/>
      <c r="BMY72" s="414"/>
      <c r="BMZ72" s="414"/>
      <c r="BNA72" s="414"/>
      <c r="BNB72" s="414"/>
      <c r="BNC72" s="414"/>
      <c r="BND72" s="414"/>
      <c r="BNE72" s="414"/>
      <c r="BNF72" s="414"/>
      <c r="BNG72" s="414"/>
      <c r="BNH72" s="414"/>
      <c r="BNI72" s="414"/>
      <c r="BNJ72" s="414"/>
      <c r="BNK72" s="414"/>
      <c r="BNL72" s="414"/>
      <c r="BNM72" s="414"/>
      <c r="BNN72" s="414"/>
      <c r="BNO72" s="414"/>
      <c r="BNP72" s="414"/>
      <c r="BNQ72" s="414"/>
      <c r="BNR72" s="414"/>
      <c r="BNS72" s="414"/>
      <c r="BNT72" s="414"/>
      <c r="BNU72" s="414"/>
      <c r="BNV72" s="414"/>
      <c r="BNW72" s="414"/>
      <c r="BNX72" s="414"/>
      <c r="BNY72" s="414"/>
      <c r="BNZ72" s="414"/>
      <c r="BOA72" s="414"/>
      <c r="BOB72" s="414"/>
      <c r="BOC72" s="414"/>
      <c r="BOD72" s="414"/>
      <c r="BOE72" s="414"/>
      <c r="BOF72" s="414"/>
      <c r="BOG72" s="414"/>
      <c r="BOH72" s="414"/>
      <c r="BOI72" s="414"/>
      <c r="BOJ72" s="414"/>
      <c r="BOK72" s="414"/>
      <c r="BOL72" s="414"/>
      <c r="BOM72" s="414"/>
      <c r="BON72" s="414"/>
      <c r="BOO72" s="414"/>
      <c r="BOP72" s="414"/>
      <c r="BOQ72" s="414"/>
      <c r="BOR72" s="414"/>
      <c r="BOS72" s="414"/>
      <c r="BOT72" s="414"/>
      <c r="BOU72" s="414"/>
      <c r="BOV72" s="414"/>
      <c r="BOW72" s="414"/>
      <c r="BOX72" s="414"/>
      <c r="BOY72" s="414"/>
      <c r="BOZ72" s="414"/>
      <c r="BPA72" s="414"/>
      <c r="BPB72" s="414"/>
      <c r="BPC72" s="414"/>
      <c r="BPD72" s="414"/>
      <c r="BPE72" s="414"/>
      <c r="BPF72" s="414"/>
      <c r="BPG72" s="414"/>
      <c r="BPH72" s="414"/>
      <c r="BPI72" s="414"/>
      <c r="BPJ72" s="414"/>
      <c r="BPK72" s="414"/>
      <c r="BPL72" s="414"/>
      <c r="BPM72" s="414"/>
      <c r="BPN72" s="414"/>
      <c r="BPO72" s="414"/>
      <c r="BPP72" s="414"/>
      <c r="BPQ72" s="414"/>
      <c r="BPR72" s="414"/>
      <c r="BPS72" s="414"/>
      <c r="BPT72" s="414"/>
      <c r="BPU72" s="414"/>
      <c r="BPV72" s="414"/>
      <c r="BPW72" s="414"/>
      <c r="BPX72" s="414"/>
      <c r="BPY72" s="414"/>
      <c r="BPZ72" s="414"/>
      <c r="BQA72" s="414"/>
      <c r="BQB72" s="414"/>
      <c r="BQC72" s="414"/>
      <c r="BQD72" s="414"/>
      <c r="BQE72" s="414"/>
      <c r="BQF72" s="414"/>
      <c r="BQG72" s="414"/>
      <c r="BQH72" s="414"/>
      <c r="BQI72" s="414"/>
      <c r="BQJ72" s="414"/>
      <c r="BQK72" s="414"/>
      <c r="BQL72" s="414"/>
      <c r="BQM72" s="414"/>
      <c r="BQN72" s="414"/>
      <c r="BQO72" s="414"/>
      <c r="BQP72" s="414"/>
      <c r="BQQ72" s="414"/>
      <c r="BQR72" s="414"/>
      <c r="BQS72" s="414"/>
      <c r="BQT72" s="414"/>
      <c r="BQU72" s="414"/>
      <c r="BQV72" s="414"/>
      <c r="BQW72" s="414"/>
      <c r="BQX72" s="414"/>
      <c r="BQY72" s="414"/>
      <c r="BQZ72" s="414"/>
      <c r="BRA72" s="414"/>
      <c r="BRB72" s="414"/>
      <c r="BRC72" s="414"/>
      <c r="BRD72" s="414"/>
      <c r="BRE72" s="414"/>
      <c r="BRF72" s="414"/>
      <c r="BRG72" s="414"/>
      <c r="BRH72" s="414"/>
      <c r="BRI72" s="414"/>
      <c r="BRJ72" s="414"/>
      <c r="BRK72" s="414"/>
      <c r="BRL72" s="414"/>
      <c r="BRM72" s="414"/>
      <c r="BRN72" s="414"/>
      <c r="BRO72" s="414"/>
      <c r="BRP72" s="414"/>
      <c r="BRQ72" s="414"/>
      <c r="BRR72" s="414"/>
      <c r="BRS72" s="414"/>
      <c r="BRT72" s="414"/>
      <c r="BRU72" s="414"/>
      <c r="BRV72" s="414"/>
      <c r="BRW72" s="414"/>
      <c r="BRX72" s="414"/>
      <c r="BRY72" s="414"/>
      <c r="BRZ72" s="414"/>
      <c r="BSA72" s="414"/>
      <c r="BSB72" s="414"/>
      <c r="BSC72" s="414"/>
      <c r="BSD72" s="414"/>
      <c r="BSE72" s="414"/>
      <c r="BSF72" s="414"/>
      <c r="BSG72" s="414"/>
      <c r="BSH72" s="414"/>
      <c r="BSI72" s="414"/>
      <c r="BSJ72" s="414"/>
      <c r="BSK72" s="414"/>
      <c r="BSL72" s="414"/>
      <c r="BSM72" s="414"/>
      <c r="BSN72" s="414"/>
      <c r="BSO72" s="414"/>
      <c r="BSP72" s="414"/>
      <c r="BSQ72" s="414"/>
      <c r="BSR72" s="414"/>
      <c r="BSS72" s="414"/>
      <c r="BST72" s="414"/>
      <c r="BSU72" s="414"/>
      <c r="BSV72" s="414"/>
      <c r="BSW72" s="414"/>
      <c r="BSX72" s="414"/>
      <c r="BSY72" s="414"/>
      <c r="BSZ72" s="414"/>
      <c r="BTA72" s="414"/>
      <c r="BTB72" s="414"/>
      <c r="BTC72" s="414"/>
      <c r="BTD72" s="414"/>
      <c r="BTE72" s="414"/>
      <c r="BTF72" s="414"/>
      <c r="BTG72" s="414"/>
      <c r="BTH72" s="414"/>
      <c r="BTI72" s="414"/>
      <c r="BTJ72" s="414"/>
      <c r="BTK72" s="414"/>
      <c r="BTL72" s="414"/>
      <c r="BTM72" s="414"/>
      <c r="BTN72" s="414"/>
      <c r="BTO72" s="414"/>
      <c r="BTP72" s="414"/>
      <c r="BTQ72" s="414"/>
      <c r="BTR72" s="414"/>
      <c r="BTS72" s="414"/>
      <c r="BTT72" s="414"/>
      <c r="BTU72" s="414"/>
      <c r="BTV72" s="414"/>
      <c r="BTW72" s="414"/>
      <c r="BTX72" s="414"/>
      <c r="BTY72" s="414"/>
      <c r="BTZ72" s="414"/>
      <c r="BUA72" s="414"/>
      <c r="BUB72" s="414"/>
      <c r="BUC72" s="414"/>
      <c r="BUD72" s="414"/>
      <c r="BUE72" s="414"/>
      <c r="BUF72" s="414"/>
      <c r="BUG72" s="414"/>
      <c r="BUH72" s="414"/>
      <c r="BUI72" s="414"/>
      <c r="BUJ72" s="414"/>
      <c r="BUK72" s="414"/>
      <c r="BUL72" s="414"/>
      <c r="BUM72" s="414"/>
      <c r="BUN72" s="414"/>
      <c r="BUO72" s="414"/>
      <c r="BUP72" s="414"/>
      <c r="BUQ72" s="414"/>
      <c r="BUR72" s="414"/>
      <c r="BUS72" s="414"/>
      <c r="BUT72" s="414"/>
      <c r="BUU72" s="414"/>
      <c r="BUV72" s="414"/>
      <c r="BUW72" s="414"/>
      <c r="BUX72" s="414"/>
      <c r="BUY72" s="414"/>
      <c r="BUZ72" s="414"/>
      <c r="BVA72" s="414"/>
      <c r="BVB72" s="414"/>
      <c r="BVC72" s="414"/>
      <c r="BVD72" s="414"/>
      <c r="BVE72" s="414"/>
      <c r="BVF72" s="414"/>
      <c r="BVG72" s="414"/>
      <c r="BVH72" s="414"/>
      <c r="BVI72" s="414"/>
      <c r="BVJ72" s="414"/>
      <c r="BVK72" s="414"/>
      <c r="BVL72" s="414"/>
      <c r="BVM72" s="414"/>
      <c r="BVN72" s="414"/>
      <c r="BVO72" s="414"/>
      <c r="BVP72" s="414"/>
      <c r="BVQ72" s="414"/>
      <c r="BVR72" s="414"/>
      <c r="BVS72" s="414"/>
      <c r="BVT72" s="414"/>
      <c r="BVU72" s="414"/>
      <c r="BVV72" s="414"/>
      <c r="BVW72" s="414"/>
      <c r="BVX72" s="414"/>
      <c r="BVY72" s="414"/>
      <c r="BVZ72" s="414"/>
      <c r="BWA72" s="414"/>
      <c r="BWB72" s="414"/>
      <c r="BWC72" s="414"/>
      <c r="BWD72" s="414"/>
      <c r="BWE72" s="414"/>
      <c r="BWF72" s="414"/>
      <c r="BWG72" s="414"/>
      <c r="BWH72" s="414"/>
      <c r="BWI72" s="414"/>
      <c r="BWJ72" s="414"/>
      <c r="BWK72" s="414"/>
      <c r="BWL72" s="414"/>
      <c r="BWM72" s="414"/>
      <c r="BWN72" s="414"/>
      <c r="BWO72" s="414"/>
      <c r="BWP72" s="414"/>
      <c r="BWQ72" s="414"/>
      <c r="BWR72" s="414"/>
      <c r="BWS72" s="414"/>
      <c r="BWT72" s="414"/>
      <c r="BWU72" s="414"/>
      <c r="BWV72" s="414"/>
      <c r="BWW72" s="414"/>
      <c r="BWX72" s="414"/>
      <c r="BWY72" s="414"/>
      <c r="BWZ72" s="414"/>
      <c r="BXA72" s="414"/>
      <c r="BXB72" s="414"/>
      <c r="BXC72" s="414"/>
      <c r="BXD72" s="414"/>
      <c r="BXE72" s="414"/>
      <c r="BXF72" s="414"/>
      <c r="BXG72" s="414"/>
      <c r="BXH72" s="414"/>
      <c r="BXI72" s="414"/>
      <c r="BXJ72" s="414"/>
      <c r="BXK72" s="414"/>
      <c r="BXL72" s="414"/>
      <c r="BXM72" s="414"/>
      <c r="BXN72" s="414"/>
      <c r="BXO72" s="414"/>
      <c r="BXP72" s="414"/>
      <c r="BXQ72" s="414"/>
      <c r="BXR72" s="414"/>
      <c r="BXS72" s="414"/>
      <c r="BXT72" s="414"/>
      <c r="BXU72" s="414"/>
      <c r="BXV72" s="414"/>
      <c r="BXW72" s="414"/>
      <c r="BXX72" s="414"/>
      <c r="BXY72" s="414"/>
      <c r="BXZ72" s="414"/>
      <c r="BYA72" s="414"/>
      <c r="BYB72" s="414"/>
      <c r="BYC72" s="414"/>
      <c r="BYD72" s="414"/>
      <c r="BYE72" s="414"/>
      <c r="BYF72" s="414"/>
      <c r="BYG72" s="414"/>
      <c r="BYH72" s="414"/>
      <c r="BYI72" s="414"/>
      <c r="BYJ72" s="414"/>
      <c r="BYK72" s="414"/>
      <c r="BYL72" s="414"/>
      <c r="BYM72" s="414"/>
      <c r="BYN72" s="414"/>
      <c r="BYO72" s="414"/>
      <c r="BYP72" s="414"/>
      <c r="BYQ72" s="414"/>
      <c r="BYR72" s="414"/>
      <c r="BYS72" s="414"/>
      <c r="BYT72" s="414"/>
      <c r="BYU72" s="414"/>
      <c r="BYV72" s="414"/>
      <c r="BYW72" s="414"/>
      <c r="BYX72" s="414"/>
      <c r="BYY72" s="414"/>
      <c r="BYZ72" s="414"/>
      <c r="BZA72" s="414"/>
      <c r="BZB72" s="414"/>
      <c r="BZC72" s="414"/>
      <c r="BZD72" s="414"/>
      <c r="BZE72" s="414"/>
      <c r="BZF72" s="414"/>
      <c r="BZG72" s="414"/>
      <c r="BZH72" s="414"/>
      <c r="BZI72" s="414"/>
      <c r="BZJ72" s="414"/>
      <c r="BZK72" s="414"/>
      <c r="BZL72" s="414"/>
      <c r="BZM72" s="414"/>
      <c r="BZN72" s="414"/>
      <c r="BZO72" s="414"/>
      <c r="BZP72" s="414"/>
      <c r="BZQ72" s="414"/>
      <c r="BZR72" s="414"/>
      <c r="BZS72" s="414"/>
      <c r="BZT72" s="414"/>
      <c r="BZU72" s="414"/>
      <c r="BZV72" s="414"/>
      <c r="BZW72" s="414"/>
      <c r="BZX72" s="414"/>
      <c r="BZY72" s="414"/>
      <c r="BZZ72" s="414"/>
      <c r="CAA72" s="414"/>
      <c r="CAB72" s="414"/>
      <c r="CAC72" s="414"/>
      <c r="CAD72" s="414"/>
      <c r="CAE72" s="414"/>
      <c r="CAF72" s="414"/>
      <c r="CAG72" s="414"/>
      <c r="CAH72" s="414"/>
      <c r="CAI72" s="414"/>
      <c r="CAJ72" s="414"/>
      <c r="CAK72" s="414"/>
      <c r="CAL72" s="414"/>
      <c r="CAM72" s="414"/>
      <c r="CAN72" s="414"/>
      <c r="CAO72" s="414"/>
      <c r="CAP72" s="414"/>
      <c r="CAQ72" s="414"/>
      <c r="CAR72" s="414"/>
      <c r="CAS72" s="414"/>
      <c r="CAT72" s="414"/>
      <c r="CAU72" s="414"/>
      <c r="CAV72" s="414"/>
      <c r="CAW72" s="414"/>
      <c r="CAX72" s="414"/>
      <c r="CAY72" s="414"/>
      <c r="CAZ72" s="414"/>
      <c r="CBA72" s="414"/>
      <c r="CBB72" s="414"/>
      <c r="CBC72" s="414"/>
      <c r="CBD72" s="414"/>
      <c r="CBE72" s="414"/>
      <c r="CBF72" s="414"/>
      <c r="CBG72" s="414"/>
      <c r="CBH72" s="414"/>
      <c r="CBI72" s="414"/>
      <c r="CBJ72" s="414"/>
      <c r="CBK72" s="414"/>
      <c r="CBL72" s="414"/>
      <c r="CBM72" s="414"/>
      <c r="CBN72" s="414"/>
      <c r="CBO72" s="414"/>
      <c r="CBP72" s="414"/>
      <c r="CBQ72" s="414"/>
      <c r="CBR72" s="414"/>
      <c r="CBS72" s="414"/>
      <c r="CBT72" s="414"/>
      <c r="CBU72" s="414"/>
      <c r="CBV72" s="414"/>
      <c r="CBW72" s="414"/>
      <c r="CBX72" s="414"/>
      <c r="CBY72" s="414"/>
      <c r="CBZ72" s="414"/>
      <c r="CCA72" s="414"/>
      <c r="CCB72" s="414"/>
      <c r="CCC72" s="414"/>
      <c r="CCD72" s="414"/>
      <c r="CCE72" s="414"/>
      <c r="CCF72" s="414"/>
      <c r="CCG72" s="414"/>
      <c r="CCH72" s="414"/>
      <c r="CCI72" s="414"/>
      <c r="CCJ72" s="414"/>
      <c r="CCK72" s="414"/>
      <c r="CCL72" s="414"/>
      <c r="CCM72" s="414"/>
      <c r="CCN72" s="414"/>
      <c r="CCO72" s="414"/>
      <c r="CCP72" s="414"/>
      <c r="CCQ72" s="414"/>
      <c r="CCR72" s="414"/>
      <c r="CCS72" s="414"/>
      <c r="CCT72" s="414"/>
      <c r="CCU72" s="414"/>
      <c r="CCV72" s="414"/>
      <c r="CCW72" s="414"/>
      <c r="CCX72" s="414"/>
      <c r="CCY72" s="414"/>
      <c r="CCZ72" s="414"/>
      <c r="CDA72" s="414"/>
      <c r="CDB72" s="414"/>
      <c r="CDC72" s="414"/>
      <c r="CDD72" s="414"/>
      <c r="CDE72" s="414"/>
      <c r="CDF72" s="414"/>
      <c r="CDG72" s="414"/>
      <c r="CDH72" s="414"/>
      <c r="CDI72" s="414"/>
      <c r="CDJ72" s="414"/>
      <c r="CDK72" s="414"/>
      <c r="CDL72" s="414"/>
      <c r="CDM72" s="414"/>
      <c r="CDN72" s="414"/>
      <c r="CDO72" s="414"/>
      <c r="CDP72" s="414"/>
      <c r="CDQ72" s="414"/>
      <c r="CDR72" s="414"/>
      <c r="CDS72" s="414"/>
      <c r="CDT72" s="414"/>
      <c r="CDU72" s="414"/>
      <c r="CDV72" s="414"/>
      <c r="CDW72" s="414"/>
      <c r="CDX72" s="414"/>
      <c r="CDY72" s="414"/>
      <c r="CDZ72" s="414"/>
      <c r="CEA72" s="414"/>
      <c r="CEB72" s="414"/>
      <c r="CEC72" s="414"/>
      <c r="CED72" s="414"/>
      <c r="CEE72" s="414"/>
      <c r="CEF72" s="414"/>
      <c r="CEG72" s="414"/>
      <c r="CEH72" s="414"/>
      <c r="CEI72" s="414"/>
      <c r="CEJ72" s="414"/>
      <c r="CEK72" s="414"/>
      <c r="CEL72" s="414"/>
      <c r="CEM72" s="414"/>
      <c r="CEN72" s="414"/>
      <c r="CEO72" s="414"/>
      <c r="CEP72" s="414"/>
      <c r="CEQ72" s="414"/>
      <c r="CER72" s="414"/>
      <c r="CES72" s="414"/>
      <c r="CET72" s="414"/>
      <c r="CEU72" s="414"/>
      <c r="CEV72" s="414"/>
      <c r="CEW72" s="414"/>
      <c r="CEX72" s="414"/>
      <c r="CEY72" s="414"/>
      <c r="CEZ72" s="414"/>
      <c r="CFA72" s="414"/>
      <c r="CFB72" s="414"/>
      <c r="CFC72" s="414"/>
      <c r="CFD72" s="414"/>
      <c r="CFE72" s="414"/>
      <c r="CFF72" s="414"/>
      <c r="CFG72" s="414"/>
      <c r="CFH72" s="414"/>
      <c r="CFI72" s="414"/>
      <c r="CFJ72" s="414"/>
      <c r="CFK72" s="414"/>
      <c r="CFL72" s="414"/>
      <c r="CFM72" s="414"/>
      <c r="CFN72" s="414"/>
      <c r="CFO72" s="414"/>
      <c r="CFP72" s="414"/>
      <c r="CFQ72" s="414"/>
      <c r="CFR72" s="414"/>
      <c r="CFS72" s="414"/>
      <c r="CFT72" s="414"/>
      <c r="CFU72" s="414"/>
      <c r="CFV72" s="414"/>
      <c r="CFW72" s="414"/>
      <c r="CFX72" s="414"/>
      <c r="CFY72" s="414"/>
      <c r="CFZ72" s="414"/>
      <c r="CGA72" s="414"/>
      <c r="CGB72" s="414"/>
      <c r="CGC72" s="414"/>
      <c r="CGD72" s="414"/>
      <c r="CGE72" s="414"/>
      <c r="CGF72" s="414"/>
      <c r="CGG72" s="414"/>
      <c r="CGH72" s="414"/>
      <c r="CGI72" s="414"/>
      <c r="CGJ72" s="414"/>
      <c r="CGK72" s="414"/>
      <c r="CGL72" s="414"/>
      <c r="CGM72" s="414"/>
      <c r="CGN72" s="414"/>
      <c r="CGO72" s="414"/>
      <c r="CGP72" s="414"/>
      <c r="CGQ72" s="414"/>
      <c r="CGR72" s="414"/>
      <c r="CGS72" s="414"/>
      <c r="CGT72" s="414"/>
      <c r="CGU72" s="414"/>
      <c r="CGV72" s="414"/>
      <c r="CGW72" s="414"/>
      <c r="CGX72" s="414"/>
      <c r="CGY72" s="414"/>
      <c r="CGZ72" s="414"/>
      <c r="CHA72" s="414"/>
      <c r="CHB72" s="414"/>
      <c r="CHC72" s="414"/>
      <c r="CHD72" s="414"/>
      <c r="CHE72" s="414"/>
      <c r="CHF72" s="414"/>
      <c r="CHG72" s="414"/>
      <c r="CHH72" s="414"/>
      <c r="CHI72" s="414"/>
      <c r="CHJ72" s="414"/>
      <c r="CHK72" s="414"/>
      <c r="CHL72" s="414"/>
      <c r="CHM72" s="414"/>
      <c r="CHN72" s="414"/>
      <c r="CHO72" s="414"/>
      <c r="CHP72" s="414"/>
      <c r="CHQ72" s="414"/>
      <c r="CHR72" s="414"/>
      <c r="CHS72" s="414"/>
      <c r="CHT72" s="414"/>
      <c r="CHU72" s="414"/>
      <c r="CHV72" s="414"/>
      <c r="CHW72" s="414"/>
      <c r="CHX72" s="414"/>
      <c r="CHY72" s="414"/>
      <c r="CHZ72" s="414"/>
      <c r="CIA72" s="414"/>
      <c r="CIB72" s="414"/>
      <c r="CIC72" s="414"/>
      <c r="CID72" s="414"/>
      <c r="CIE72" s="414"/>
      <c r="CIF72" s="414"/>
      <c r="CIG72" s="414"/>
      <c r="CIH72" s="414"/>
      <c r="CII72" s="414"/>
      <c r="CIJ72" s="414"/>
      <c r="CIK72" s="414"/>
      <c r="CIL72" s="414"/>
      <c r="CIM72" s="414"/>
      <c r="CIN72" s="414"/>
      <c r="CIO72" s="414"/>
      <c r="CIP72" s="414"/>
      <c r="CIQ72" s="414"/>
      <c r="CIR72" s="414"/>
      <c r="CIS72" s="414"/>
      <c r="CIT72" s="414"/>
      <c r="CIU72" s="414"/>
      <c r="CIV72" s="414"/>
      <c r="CIW72" s="414"/>
      <c r="CIX72" s="414"/>
      <c r="CIY72" s="414"/>
      <c r="CIZ72" s="414"/>
      <c r="CJA72" s="414"/>
      <c r="CJB72" s="414"/>
      <c r="CJC72" s="414"/>
      <c r="CJD72" s="414"/>
      <c r="CJE72" s="414"/>
      <c r="CJF72" s="414"/>
      <c r="CJG72" s="414"/>
      <c r="CJH72" s="414"/>
      <c r="CJI72" s="414"/>
      <c r="CJJ72" s="414"/>
      <c r="CJK72" s="414"/>
      <c r="CJL72" s="414"/>
      <c r="CJM72" s="414"/>
      <c r="CJN72" s="414"/>
      <c r="CJO72" s="414"/>
      <c r="CJP72" s="414"/>
      <c r="CJQ72" s="414"/>
      <c r="CJR72" s="414"/>
      <c r="CJS72" s="414"/>
      <c r="CJT72" s="414"/>
      <c r="CJU72" s="414"/>
      <c r="CJV72" s="414"/>
      <c r="CJW72" s="414"/>
      <c r="CJX72" s="414"/>
      <c r="CJY72" s="414"/>
      <c r="CJZ72" s="414"/>
      <c r="CKA72" s="414"/>
      <c r="CKB72" s="414"/>
      <c r="CKC72" s="414"/>
      <c r="CKD72" s="414"/>
      <c r="CKE72" s="414"/>
      <c r="CKF72" s="414"/>
      <c r="CKG72" s="414"/>
      <c r="CKH72" s="414"/>
      <c r="CKI72" s="414"/>
      <c r="CKJ72" s="414"/>
      <c r="CKK72" s="414"/>
      <c r="CKL72" s="414"/>
      <c r="CKM72" s="414"/>
      <c r="CKN72" s="414"/>
      <c r="CKO72" s="414"/>
      <c r="CKP72" s="414"/>
      <c r="CKQ72" s="414"/>
      <c r="CKR72" s="414"/>
      <c r="CKS72" s="414"/>
      <c r="CKT72" s="414"/>
      <c r="CKU72" s="414"/>
      <c r="CKV72" s="414"/>
      <c r="CKW72" s="414"/>
      <c r="CKX72" s="414"/>
      <c r="CKY72" s="414"/>
      <c r="CKZ72" s="414"/>
      <c r="CLA72" s="414"/>
      <c r="CLB72" s="414"/>
      <c r="CLC72" s="414"/>
      <c r="CLD72" s="414"/>
      <c r="CLE72" s="414"/>
      <c r="CLF72" s="414"/>
      <c r="CLG72" s="414"/>
      <c r="CLH72" s="414"/>
      <c r="CLI72" s="414"/>
      <c r="CLJ72" s="414"/>
      <c r="CLK72" s="414"/>
      <c r="CLL72" s="414"/>
      <c r="CLM72" s="414"/>
      <c r="CLN72" s="414"/>
      <c r="CLO72" s="414"/>
      <c r="CLP72" s="414"/>
      <c r="CLQ72" s="414"/>
      <c r="CLR72" s="414"/>
      <c r="CLS72" s="414"/>
      <c r="CLT72" s="414"/>
      <c r="CLU72" s="414"/>
      <c r="CLV72" s="414"/>
      <c r="CLW72" s="414"/>
      <c r="CLX72" s="414"/>
      <c r="CLY72" s="414"/>
      <c r="CLZ72" s="414"/>
      <c r="CMA72" s="414"/>
      <c r="CMB72" s="414"/>
      <c r="CMC72" s="414"/>
      <c r="CMD72" s="414"/>
      <c r="CME72" s="414"/>
      <c r="CMF72" s="414"/>
      <c r="CMG72" s="414"/>
      <c r="CMH72" s="414"/>
      <c r="CMI72" s="414"/>
      <c r="CMJ72" s="414"/>
      <c r="CMK72" s="414"/>
      <c r="CML72" s="414"/>
      <c r="CMM72" s="414"/>
      <c r="CMN72" s="414"/>
      <c r="CMO72" s="414"/>
      <c r="CMP72" s="414"/>
      <c r="CMQ72" s="414"/>
      <c r="CMR72" s="414"/>
      <c r="CMS72" s="414"/>
      <c r="CMT72" s="414"/>
      <c r="CMU72" s="414"/>
      <c r="CMV72" s="414"/>
      <c r="CMW72" s="414"/>
      <c r="CMX72" s="414"/>
      <c r="CMY72" s="414"/>
      <c r="CMZ72" s="414"/>
      <c r="CNA72" s="414"/>
      <c r="CNB72" s="414"/>
      <c r="CNC72" s="414"/>
      <c r="CND72" s="414"/>
      <c r="CNE72" s="414"/>
      <c r="CNF72" s="414"/>
      <c r="CNG72" s="414"/>
      <c r="CNH72" s="414"/>
      <c r="CNI72" s="414"/>
      <c r="CNJ72" s="414"/>
      <c r="CNK72" s="414"/>
      <c r="CNL72" s="414"/>
      <c r="CNM72" s="414"/>
      <c r="CNN72" s="414"/>
      <c r="CNO72" s="414"/>
      <c r="CNP72" s="414"/>
      <c r="CNQ72" s="414"/>
      <c r="CNR72" s="414"/>
      <c r="CNS72" s="414"/>
      <c r="CNT72" s="414"/>
      <c r="CNU72" s="414"/>
      <c r="CNV72" s="414"/>
      <c r="CNW72" s="414"/>
      <c r="CNX72" s="414"/>
      <c r="CNY72" s="414"/>
      <c r="CNZ72" s="414"/>
      <c r="COA72" s="414"/>
      <c r="COB72" s="414"/>
      <c r="COC72" s="414"/>
      <c r="COD72" s="414"/>
      <c r="COE72" s="414"/>
      <c r="COF72" s="414"/>
      <c r="COG72" s="414"/>
      <c r="COH72" s="414"/>
      <c r="COI72" s="414"/>
      <c r="COJ72" s="414"/>
      <c r="COK72" s="414"/>
      <c r="COL72" s="414"/>
      <c r="COM72" s="414"/>
      <c r="CON72" s="414"/>
      <c r="COO72" s="414"/>
      <c r="COP72" s="414"/>
      <c r="COQ72" s="414"/>
      <c r="COR72" s="414"/>
      <c r="COS72" s="414"/>
      <c r="COT72" s="414"/>
      <c r="COU72" s="414"/>
      <c r="COV72" s="414"/>
      <c r="COW72" s="414"/>
      <c r="COX72" s="414"/>
      <c r="COY72" s="414"/>
      <c r="COZ72" s="414"/>
      <c r="CPA72" s="414"/>
      <c r="CPB72" s="414"/>
      <c r="CPC72" s="414"/>
      <c r="CPD72" s="414"/>
      <c r="CPE72" s="414"/>
      <c r="CPF72" s="414"/>
      <c r="CPG72" s="414"/>
      <c r="CPH72" s="414"/>
      <c r="CPI72" s="414"/>
      <c r="CPJ72" s="414"/>
      <c r="CPK72" s="414"/>
      <c r="CPL72" s="414"/>
      <c r="CPM72" s="414"/>
      <c r="CPN72" s="414"/>
      <c r="CPO72" s="414"/>
      <c r="CPP72" s="414"/>
      <c r="CPQ72" s="414"/>
      <c r="CPR72" s="414"/>
      <c r="CPS72" s="414"/>
      <c r="CPT72" s="414"/>
      <c r="CPU72" s="414"/>
      <c r="CPV72" s="414"/>
      <c r="CPW72" s="414"/>
      <c r="CPX72" s="414"/>
      <c r="CPY72" s="414"/>
      <c r="CPZ72" s="414"/>
      <c r="CQA72" s="414"/>
      <c r="CQB72" s="414"/>
      <c r="CQC72" s="414"/>
      <c r="CQD72" s="414"/>
      <c r="CQE72" s="414"/>
      <c r="CQF72" s="414"/>
      <c r="CQG72" s="414"/>
      <c r="CQH72" s="414"/>
      <c r="CQI72" s="414"/>
      <c r="CQJ72" s="414"/>
      <c r="CQK72" s="414"/>
      <c r="CQL72" s="414"/>
      <c r="CQM72" s="414"/>
      <c r="CQN72" s="414"/>
      <c r="CQO72" s="414"/>
      <c r="CQP72" s="414"/>
      <c r="CQQ72" s="414"/>
      <c r="CQR72" s="414"/>
      <c r="CQS72" s="414"/>
      <c r="CQT72" s="414"/>
      <c r="CQU72" s="414"/>
      <c r="CQV72" s="414"/>
      <c r="CQW72" s="414"/>
      <c r="CQX72" s="414"/>
      <c r="CQY72" s="414"/>
      <c r="CQZ72" s="414"/>
      <c r="CRA72" s="414"/>
      <c r="CRB72" s="414"/>
      <c r="CRC72" s="414"/>
      <c r="CRD72" s="414"/>
      <c r="CRE72" s="414"/>
      <c r="CRF72" s="414"/>
      <c r="CRG72" s="414"/>
      <c r="CRH72" s="414"/>
      <c r="CRI72" s="414"/>
      <c r="CRJ72" s="414"/>
      <c r="CRK72" s="414"/>
      <c r="CRL72" s="414"/>
      <c r="CRM72" s="414"/>
      <c r="CRN72" s="414"/>
      <c r="CRO72" s="414"/>
      <c r="CRP72" s="414"/>
      <c r="CRQ72" s="414"/>
      <c r="CRR72" s="414"/>
      <c r="CRS72" s="414"/>
      <c r="CRT72" s="414"/>
      <c r="CRU72" s="414"/>
      <c r="CRV72" s="414"/>
      <c r="CRW72" s="414"/>
      <c r="CRX72" s="414"/>
      <c r="CRY72" s="414"/>
      <c r="CRZ72" s="414"/>
      <c r="CSA72" s="414"/>
      <c r="CSB72" s="414"/>
      <c r="CSC72" s="414"/>
      <c r="CSD72" s="414"/>
      <c r="CSE72" s="414"/>
      <c r="CSF72" s="414"/>
      <c r="CSG72" s="414"/>
      <c r="CSH72" s="414"/>
      <c r="CSI72" s="414"/>
      <c r="CSJ72" s="414"/>
      <c r="CSK72" s="414"/>
      <c r="CSL72" s="414"/>
      <c r="CSM72" s="414"/>
      <c r="CSN72" s="414"/>
      <c r="CSO72" s="414"/>
      <c r="CSP72" s="414"/>
      <c r="CSQ72" s="414"/>
      <c r="CSR72" s="414"/>
      <c r="CSS72" s="414"/>
      <c r="CST72" s="414"/>
      <c r="CSU72" s="414"/>
      <c r="CSV72" s="414"/>
      <c r="CSW72" s="414"/>
      <c r="CSX72" s="414"/>
      <c r="CSY72" s="414"/>
      <c r="CSZ72" s="414"/>
      <c r="CTA72" s="414"/>
      <c r="CTB72" s="414"/>
      <c r="CTC72" s="414"/>
      <c r="CTD72" s="414"/>
      <c r="CTE72" s="414"/>
      <c r="CTF72" s="414"/>
      <c r="CTG72" s="414"/>
      <c r="CTH72" s="414"/>
      <c r="CTI72" s="414"/>
      <c r="CTJ72" s="414"/>
      <c r="CTK72" s="414"/>
      <c r="CTL72" s="414"/>
      <c r="CTM72" s="414"/>
      <c r="CTN72" s="414"/>
      <c r="CTO72" s="414"/>
      <c r="CTP72" s="414"/>
      <c r="CTQ72" s="414"/>
      <c r="CTR72" s="414"/>
      <c r="CTS72" s="414"/>
      <c r="CTT72" s="414"/>
      <c r="CTU72" s="414"/>
      <c r="CTV72" s="414"/>
      <c r="CTW72" s="414"/>
      <c r="CTX72" s="414"/>
      <c r="CTY72" s="414"/>
      <c r="CTZ72" s="414"/>
      <c r="CUA72" s="414"/>
      <c r="CUB72" s="414"/>
      <c r="CUC72" s="414"/>
      <c r="CUD72" s="414"/>
      <c r="CUE72" s="414"/>
      <c r="CUF72" s="414"/>
      <c r="CUG72" s="414"/>
      <c r="CUH72" s="414"/>
      <c r="CUI72" s="414"/>
      <c r="CUJ72" s="414"/>
      <c r="CUK72" s="414"/>
      <c r="CUL72" s="414"/>
      <c r="CUM72" s="414"/>
      <c r="CUN72" s="414"/>
      <c r="CUO72" s="414"/>
      <c r="CUP72" s="414"/>
      <c r="CUQ72" s="414"/>
      <c r="CUR72" s="414"/>
      <c r="CUS72" s="414"/>
      <c r="CUT72" s="414"/>
      <c r="CUU72" s="414"/>
      <c r="CUV72" s="414"/>
      <c r="CUW72" s="414"/>
      <c r="CUX72" s="414"/>
      <c r="CUY72" s="414"/>
      <c r="CUZ72" s="414"/>
      <c r="CVA72" s="414"/>
      <c r="CVB72" s="414"/>
      <c r="CVC72" s="414"/>
      <c r="CVD72" s="414"/>
      <c r="CVE72" s="414"/>
      <c r="CVF72" s="414"/>
      <c r="CVG72" s="414"/>
      <c r="CVH72" s="414"/>
      <c r="CVI72" s="414"/>
      <c r="CVJ72" s="414"/>
      <c r="CVK72" s="414"/>
      <c r="CVL72" s="414"/>
      <c r="CVM72" s="414"/>
      <c r="CVN72" s="414"/>
      <c r="CVO72" s="414"/>
      <c r="CVP72" s="414"/>
      <c r="CVQ72" s="414"/>
      <c r="CVR72" s="414"/>
      <c r="CVS72" s="414"/>
      <c r="CVT72" s="414"/>
      <c r="CVU72" s="414"/>
      <c r="CVV72" s="414"/>
      <c r="CVW72" s="414"/>
      <c r="CVX72" s="414"/>
      <c r="CVY72" s="414"/>
      <c r="CVZ72" s="414"/>
      <c r="CWA72" s="414"/>
      <c r="CWB72" s="414"/>
      <c r="CWC72" s="414"/>
      <c r="CWD72" s="414"/>
      <c r="CWE72" s="414"/>
      <c r="CWF72" s="414"/>
      <c r="CWG72" s="414"/>
      <c r="CWH72" s="414"/>
      <c r="CWI72" s="414"/>
      <c r="CWJ72" s="414"/>
      <c r="CWK72" s="414"/>
      <c r="CWL72" s="414"/>
      <c r="CWM72" s="414"/>
      <c r="CWN72" s="414"/>
      <c r="CWO72" s="414"/>
      <c r="CWP72" s="414"/>
      <c r="CWQ72" s="414"/>
      <c r="CWR72" s="414"/>
      <c r="CWS72" s="414"/>
      <c r="CWT72" s="414"/>
      <c r="CWU72" s="414"/>
      <c r="CWV72" s="414"/>
      <c r="CWW72" s="414"/>
      <c r="CWX72" s="414"/>
      <c r="CWY72" s="414"/>
      <c r="CWZ72" s="414"/>
      <c r="CXA72" s="414"/>
      <c r="CXB72" s="414"/>
      <c r="CXC72" s="414"/>
      <c r="CXD72" s="414"/>
      <c r="CXE72" s="414"/>
      <c r="CXF72" s="414"/>
      <c r="CXG72" s="414"/>
      <c r="CXH72" s="414"/>
      <c r="CXI72" s="414"/>
      <c r="CXJ72" s="414"/>
      <c r="CXK72" s="414"/>
      <c r="CXL72" s="414"/>
      <c r="CXM72" s="414"/>
      <c r="CXN72" s="414"/>
      <c r="CXO72" s="414"/>
      <c r="CXP72" s="414"/>
      <c r="CXQ72" s="414"/>
      <c r="CXR72" s="414"/>
      <c r="CXS72" s="414"/>
      <c r="CXT72" s="414"/>
      <c r="CXU72" s="414"/>
      <c r="CXV72" s="414"/>
      <c r="CXW72" s="414"/>
      <c r="CXX72" s="414"/>
      <c r="CXY72" s="414"/>
      <c r="CXZ72" s="414"/>
      <c r="CYA72" s="414"/>
      <c r="CYB72" s="414"/>
      <c r="CYC72" s="414"/>
      <c r="CYD72" s="414"/>
      <c r="CYE72" s="414"/>
      <c r="CYF72" s="414"/>
      <c r="CYG72" s="414"/>
      <c r="CYH72" s="414"/>
      <c r="CYI72" s="414"/>
      <c r="CYJ72" s="414"/>
      <c r="CYK72" s="414"/>
      <c r="CYL72" s="414"/>
      <c r="CYM72" s="414"/>
      <c r="CYN72" s="414"/>
      <c r="CYO72" s="414"/>
      <c r="CYP72" s="414"/>
      <c r="CYQ72" s="414"/>
      <c r="CYR72" s="414"/>
      <c r="CYS72" s="414"/>
      <c r="CYT72" s="414"/>
      <c r="CYU72" s="414"/>
      <c r="CYV72" s="414"/>
      <c r="CYW72" s="414"/>
      <c r="CYX72" s="414"/>
      <c r="CYY72" s="414"/>
      <c r="CYZ72" s="414"/>
      <c r="CZA72" s="414"/>
      <c r="CZB72" s="414"/>
      <c r="CZC72" s="414"/>
      <c r="CZD72" s="414"/>
      <c r="CZE72" s="414"/>
      <c r="CZF72" s="414"/>
      <c r="CZG72" s="414"/>
      <c r="CZH72" s="414"/>
      <c r="CZI72" s="414"/>
      <c r="CZJ72" s="414"/>
      <c r="CZK72" s="414"/>
      <c r="CZL72" s="414"/>
      <c r="CZM72" s="414"/>
      <c r="CZN72" s="414"/>
      <c r="CZO72" s="414"/>
      <c r="CZP72" s="414"/>
      <c r="CZQ72" s="414"/>
      <c r="CZR72" s="414"/>
      <c r="CZS72" s="414"/>
      <c r="CZT72" s="414"/>
      <c r="CZU72" s="414"/>
      <c r="CZV72" s="414"/>
      <c r="CZW72" s="414"/>
      <c r="CZX72" s="414"/>
      <c r="CZY72" s="414"/>
      <c r="CZZ72" s="414"/>
      <c r="DAA72" s="414"/>
      <c r="DAB72" s="414"/>
      <c r="DAC72" s="414"/>
      <c r="DAD72" s="414"/>
      <c r="DAE72" s="414"/>
      <c r="DAF72" s="414"/>
      <c r="DAG72" s="414"/>
      <c r="DAH72" s="414"/>
      <c r="DAI72" s="414"/>
      <c r="DAJ72" s="414"/>
      <c r="DAK72" s="414"/>
      <c r="DAL72" s="414"/>
      <c r="DAM72" s="414"/>
      <c r="DAN72" s="414"/>
      <c r="DAO72" s="414"/>
      <c r="DAP72" s="414"/>
      <c r="DAQ72" s="414"/>
      <c r="DAR72" s="414"/>
      <c r="DAS72" s="414"/>
      <c r="DAT72" s="414"/>
      <c r="DAU72" s="414"/>
      <c r="DAV72" s="414"/>
      <c r="DAW72" s="414"/>
      <c r="DAX72" s="414"/>
      <c r="DAY72" s="414"/>
      <c r="DAZ72" s="414"/>
      <c r="DBA72" s="414"/>
      <c r="DBB72" s="414"/>
      <c r="DBC72" s="414"/>
      <c r="DBD72" s="414"/>
      <c r="DBE72" s="414"/>
      <c r="DBF72" s="414"/>
      <c r="DBG72" s="414"/>
      <c r="DBH72" s="414"/>
      <c r="DBI72" s="414"/>
      <c r="DBJ72" s="414"/>
      <c r="DBK72" s="414"/>
      <c r="DBL72" s="414"/>
      <c r="DBM72" s="414"/>
      <c r="DBN72" s="414"/>
      <c r="DBO72" s="414"/>
      <c r="DBP72" s="414"/>
      <c r="DBQ72" s="414"/>
      <c r="DBR72" s="414"/>
      <c r="DBS72" s="414"/>
      <c r="DBT72" s="414"/>
      <c r="DBU72" s="414"/>
      <c r="DBV72" s="414"/>
      <c r="DBW72" s="414"/>
      <c r="DBX72" s="414"/>
      <c r="DBY72" s="414"/>
      <c r="DBZ72" s="414"/>
      <c r="DCA72" s="414"/>
      <c r="DCB72" s="414"/>
      <c r="DCC72" s="414"/>
      <c r="DCD72" s="414"/>
      <c r="DCE72" s="414"/>
      <c r="DCF72" s="414"/>
      <c r="DCG72" s="414"/>
      <c r="DCH72" s="414"/>
      <c r="DCI72" s="414"/>
      <c r="DCJ72" s="414"/>
      <c r="DCK72" s="414"/>
      <c r="DCL72" s="414"/>
      <c r="DCM72" s="414"/>
      <c r="DCN72" s="414"/>
      <c r="DCO72" s="414"/>
      <c r="DCP72" s="414"/>
      <c r="DCQ72" s="414"/>
      <c r="DCR72" s="414"/>
      <c r="DCS72" s="414"/>
      <c r="DCT72" s="414"/>
      <c r="DCU72" s="414"/>
      <c r="DCV72" s="414"/>
      <c r="DCW72" s="414"/>
      <c r="DCX72" s="414"/>
      <c r="DCY72" s="414"/>
      <c r="DCZ72" s="414"/>
      <c r="DDA72" s="414"/>
      <c r="DDB72" s="414"/>
      <c r="DDC72" s="414"/>
      <c r="DDD72" s="414"/>
      <c r="DDE72" s="414"/>
      <c r="DDF72" s="414"/>
      <c r="DDG72" s="414"/>
      <c r="DDH72" s="414"/>
      <c r="DDI72" s="414"/>
      <c r="DDJ72" s="414"/>
      <c r="DDK72" s="414"/>
      <c r="DDL72" s="414"/>
      <c r="DDM72" s="414"/>
      <c r="DDN72" s="414"/>
      <c r="DDO72" s="414"/>
      <c r="DDP72" s="414"/>
      <c r="DDQ72" s="414"/>
      <c r="DDR72" s="414"/>
      <c r="DDS72" s="414"/>
      <c r="DDT72" s="414"/>
      <c r="DDU72" s="414"/>
      <c r="DDV72" s="414"/>
      <c r="DDW72" s="414"/>
      <c r="DDX72" s="414"/>
      <c r="DDY72" s="414"/>
      <c r="DDZ72" s="414"/>
      <c r="DEA72" s="414"/>
      <c r="DEB72" s="414"/>
      <c r="DEC72" s="414"/>
      <c r="DED72" s="414"/>
      <c r="DEE72" s="414"/>
      <c r="DEF72" s="414"/>
      <c r="DEG72" s="414"/>
      <c r="DEH72" s="414"/>
      <c r="DEI72" s="414"/>
      <c r="DEJ72" s="414"/>
      <c r="DEK72" s="414"/>
      <c r="DEL72" s="414"/>
      <c r="DEM72" s="414"/>
      <c r="DEN72" s="414"/>
      <c r="DEO72" s="414"/>
      <c r="DEP72" s="414"/>
      <c r="DEQ72" s="414"/>
      <c r="DER72" s="414"/>
      <c r="DES72" s="414"/>
      <c r="DET72" s="414"/>
      <c r="DEU72" s="414"/>
      <c r="DEV72" s="414"/>
      <c r="DEW72" s="414"/>
      <c r="DEX72" s="414"/>
      <c r="DEY72" s="414"/>
      <c r="DEZ72" s="414"/>
      <c r="DFA72" s="414"/>
      <c r="DFB72" s="414"/>
      <c r="DFC72" s="414"/>
      <c r="DFD72" s="414"/>
      <c r="DFE72" s="414"/>
      <c r="DFF72" s="414"/>
      <c r="DFG72" s="414"/>
      <c r="DFH72" s="414"/>
      <c r="DFI72" s="414"/>
      <c r="DFJ72" s="414"/>
      <c r="DFK72" s="414"/>
      <c r="DFL72" s="414"/>
      <c r="DFM72" s="414"/>
      <c r="DFN72" s="414"/>
      <c r="DFO72" s="414"/>
      <c r="DFP72" s="414"/>
      <c r="DFQ72" s="414"/>
      <c r="DFR72" s="414"/>
      <c r="DFS72" s="414"/>
      <c r="DFT72" s="414"/>
      <c r="DFU72" s="414"/>
      <c r="DFV72" s="414"/>
      <c r="DFW72" s="414"/>
      <c r="DFX72" s="414"/>
      <c r="DFY72" s="414"/>
      <c r="DFZ72" s="414"/>
      <c r="DGA72" s="414"/>
      <c r="DGB72" s="414"/>
      <c r="DGC72" s="414"/>
      <c r="DGD72" s="414"/>
      <c r="DGE72" s="414"/>
      <c r="DGF72" s="414"/>
      <c r="DGG72" s="414"/>
      <c r="DGH72" s="414"/>
      <c r="DGI72" s="414"/>
      <c r="DGJ72" s="414"/>
      <c r="DGK72" s="414"/>
      <c r="DGL72" s="414"/>
      <c r="DGM72" s="414"/>
      <c r="DGN72" s="414"/>
      <c r="DGO72" s="414"/>
      <c r="DGP72" s="414"/>
      <c r="DGQ72" s="414"/>
      <c r="DGR72" s="414"/>
      <c r="DGS72" s="414"/>
      <c r="DGT72" s="414"/>
      <c r="DGU72" s="414"/>
      <c r="DGV72" s="414"/>
      <c r="DGW72" s="414"/>
      <c r="DGX72" s="414"/>
      <c r="DGY72" s="414"/>
      <c r="DGZ72" s="414"/>
      <c r="DHA72" s="414"/>
      <c r="DHB72" s="414"/>
      <c r="DHC72" s="414"/>
      <c r="DHD72" s="414"/>
      <c r="DHE72" s="414"/>
      <c r="DHF72" s="414"/>
      <c r="DHG72" s="414"/>
      <c r="DHH72" s="414"/>
      <c r="DHI72" s="414"/>
      <c r="DHJ72" s="414"/>
      <c r="DHK72" s="414"/>
      <c r="DHL72" s="414"/>
      <c r="DHM72" s="414"/>
      <c r="DHN72" s="414"/>
      <c r="DHO72" s="414"/>
      <c r="DHP72" s="414"/>
      <c r="DHQ72" s="414"/>
      <c r="DHR72" s="414"/>
      <c r="DHS72" s="414"/>
      <c r="DHT72" s="414"/>
      <c r="DHU72" s="414"/>
      <c r="DHV72" s="414"/>
      <c r="DHW72" s="414"/>
      <c r="DHX72" s="414"/>
      <c r="DHY72" s="414"/>
      <c r="DHZ72" s="414"/>
      <c r="DIA72" s="414"/>
      <c r="DIB72" s="414"/>
      <c r="DIC72" s="414"/>
      <c r="DID72" s="414"/>
      <c r="DIE72" s="414"/>
      <c r="DIF72" s="414"/>
      <c r="DIG72" s="414"/>
      <c r="DIH72" s="414"/>
      <c r="DII72" s="414"/>
      <c r="DIJ72" s="414"/>
      <c r="DIK72" s="414"/>
      <c r="DIL72" s="414"/>
      <c r="DIM72" s="414"/>
      <c r="DIN72" s="414"/>
      <c r="DIO72" s="414"/>
      <c r="DIP72" s="414"/>
      <c r="DIQ72" s="414"/>
      <c r="DIR72" s="414"/>
      <c r="DIS72" s="414"/>
      <c r="DIT72" s="414"/>
      <c r="DIU72" s="414"/>
      <c r="DIV72" s="414"/>
      <c r="DIW72" s="414"/>
      <c r="DIX72" s="414"/>
      <c r="DIY72" s="414"/>
      <c r="DIZ72" s="414"/>
      <c r="DJA72" s="414"/>
      <c r="DJB72" s="414"/>
      <c r="DJC72" s="414"/>
      <c r="DJD72" s="414"/>
      <c r="DJE72" s="414"/>
      <c r="DJF72" s="414"/>
      <c r="DJG72" s="414"/>
      <c r="DJH72" s="414"/>
      <c r="DJI72" s="414"/>
      <c r="DJJ72" s="414"/>
      <c r="DJK72" s="414"/>
      <c r="DJL72" s="414"/>
      <c r="DJM72" s="414"/>
      <c r="DJN72" s="414"/>
      <c r="DJO72" s="414"/>
      <c r="DJP72" s="414"/>
      <c r="DJQ72" s="414"/>
      <c r="DJR72" s="414"/>
      <c r="DJS72" s="414"/>
      <c r="DJT72" s="414"/>
      <c r="DJU72" s="414"/>
      <c r="DJV72" s="414"/>
      <c r="DJW72" s="414"/>
      <c r="DJX72" s="414"/>
      <c r="DJY72" s="414"/>
      <c r="DJZ72" s="414"/>
      <c r="DKA72" s="414"/>
      <c r="DKB72" s="414"/>
      <c r="DKC72" s="414"/>
      <c r="DKD72" s="414"/>
      <c r="DKE72" s="414"/>
      <c r="DKF72" s="414"/>
      <c r="DKG72" s="414"/>
      <c r="DKH72" s="414"/>
      <c r="DKI72" s="414"/>
      <c r="DKJ72" s="414"/>
      <c r="DKK72" s="414"/>
      <c r="DKL72" s="414"/>
      <c r="DKM72" s="414"/>
      <c r="DKN72" s="414"/>
      <c r="DKO72" s="414"/>
      <c r="DKP72" s="414"/>
      <c r="DKQ72" s="414"/>
      <c r="DKR72" s="414"/>
      <c r="DKS72" s="414"/>
      <c r="DKT72" s="414"/>
      <c r="DKU72" s="414"/>
      <c r="DKV72" s="414"/>
      <c r="DKW72" s="414"/>
      <c r="DKX72" s="414"/>
      <c r="DKY72" s="414"/>
      <c r="DKZ72" s="414"/>
      <c r="DLA72" s="414"/>
      <c r="DLB72" s="414"/>
      <c r="DLC72" s="414"/>
      <c r="DLD72" s="414"/>
      <c r="DLE72" s="414"/>
      <c r="DLF72" s="414"/>
      <c r="DLG72" s="414"/>
      <c r="DLH72" s="414"/>
      <c r="DLI72" s="414"/>
      <c r="DLJ72" s="414"/>
      <c r="DLK72" s="414"/>
      <c r="DLL72" s="414"/>
      <c r="DLM72" s="414"/>
      <c r="DLN72" s="414"/>
      <c r="DLO72" s="414"/>
      <c r="DLP72" s="414"/>
      <c r="DLQ72" s="414"/>
      <c r="DLR72" s="414"/>
      <c r="DLS72" s="414"/>
      <c r="DLT72" s="414"/>
      <c r="DLU72" s="414"/>
      <c r="DLV72" s="414"/>
      <c r="DLW72" s="414"/>
      <c r="DLX72" s="414"/>
      <c r="DLY72" s="414"/>
      <c r="DLZ72" s="414"/>
      <c r="DMA72" s="414"/>
      <c r="DMB72" s="414"/>
      <c r="DMC72" s="414"/>
      <c r="DMD72" s="414"/>
      <c r="DME72" s="414"/>
      <c r="DMF72" s="414"/>
      <c r="DMG72" s="414"/>
      <c r="DMH72" s="414"/>
      <c r="DMI72" s="414"/>
      <c r="DMJ72" s="414"/>
      <c r="DMK72" s="414"/>
      <c r="DML72" s="414"/>
      <c r="DMM72" s="414"/>
      <c r="DMN72" s="414"/>
      <c r="DMO72" s="414"/>
      <c r="DMP72" s="414"/>
      <c r="DMQ72" s="414"/>
      <c r="DMR72" s="414"/>
      <c r="DMS72" s="414"/>
      <c r="DMT72" s="414"/>
      <c r="DMU72" s="414"/>
      <c r="DMV72" s="414"/>
      <c r="DMW72" s="414"/>
      <c r="DMX72" s="414"/>
      <c r="DMY72" s="414"/>
      <c r="DMZ72" s="414"/>
      <c r="DNA72" s="414"/>
      <c r="DNB72" s="414"/>
      <c r="DNC72" s="414"/>
      <c r="DND72" s="414"/>
      <c r="DNE72" s="414"/>
      <c r="DNF72" s="414"/>
      <c r="DNG72" s="414"/>
      <c r="DNH72" s="414"/>
      <c r="DNI72" s="414"/>
      <c r="DNJ72" s="414"/>
      <c r="DNK72" s="414"/>
      <c r="DNL72" s="414"/>
      <c r="DNM72" s="414"/>
      <c r="DNN72" s="414"/>
      <c r="DNO72" s="414"/>
      <c r="DNP72" s="414"/>
      <c r="DNQ72" s="414"/>
      <c r="DNR72" s="414"/>
      <c r="DNS72" s="414"/>
      <c r="DNT72" s="414"/>
      <c r="DNU72" s="414"/>
      <c r="DNV72" s="414"/>
      <c r="DNW72" s="414"/>
      <c r="DNX72" s="414"/>
      <c r="DNY72" s="414"/>
      <c r="DNZ72" s="414"/>
      <c r="DOA72" s="414"/>
      <c r="DOB72" s="414"/>
      <c r="DOC72" s="414"/>
      <c r="DOD72" s="414"/>
      <c r="DOE72" s="414"/>
      <c r="DOF72" s="414"/>
      <c r="DOG72" s="414"/>
      <c r="DOH72" s="414"/>
      <c r="DOI72" s="414"/>
      <c r="DOJ72" s="414"/>
      <c r="DOK72" s="414"/>
      <c r="DOL72" s="414"/>
      <c r="DOM72" s="414"/>
      <c r="DON72" s="414"/>
      <c r="DOO72" s="414"/>
      <c r="DOP72" s="414"/>
      <c r="DOQ72" s="414"/>
      <c r="DOR72" s="414"/>
      <c r="DOS72" s="414"/>
      <c r="DOT72" s="414"/>
      <c r="DOU72" s="414"/>
      <c r="DOV72" s="414"/>
      <c r="DOW72" s="414"/>
      <c r="DOX72" s="414"/>
      <c r="DOY72" s="414"/>
      <c r="DOZ72" s="414"/>
      <c r="DPA72" s="414"/>
      <c r="DPB72" s="414"/>
      <c r="DPC72" s="414"/>
      <c r="DPD72" s="414"/>
      <c r="DPE72" s="414"/>
      <c r="DPF72" s="414"/>
      <c r="DPG72" s="414"/>
      <c r="DPH72" s="414"/>
      <c r="DPI72" s="414"/>
      <c r="DPJ72" s="414"/>
      <c r="DPK72" s="414"/>
      <c r="DPL72" s="414"/>
      <c r="DPM72" s="414"/>
      <c r="DPN72" s="414"/>
      <c r="DPO72" s="414"/>
      <c r="DPP72" s="414"/>
      <c r="DPQ72" s="414"/>
      <c r="DPR72" s="414"/>
      <c r="DPS72" s="414"/>
      <c r="DPT72" s="414"/>
      <c r="DPU72" s="414"/>
      <c r="DPV72" s="414"/>
      <c r="DPW72" s="414"/>
      <c r="DPX72" s="414"/>
      <c r="DPY72" s="414"/>
      <c r="DPZ72" s="414"/>
      <c r="DQA72" s="414"/>
      <c r="DQB72" s="414"/>
      <c r="DQC72" s="414"/>
      <c r="DQD72" s="414"/>
      <c r="DQE72" s="414"/>
      <c r="DQF72" s="414"/>
      <c r="DQG72" s="414"/>
      <c r="DQH72" s="414"/>
      <c r="DQI72" s="414"/>
      <c r="DQJ72" s="414"/>
      <c r="DQK72" s="414"/>
      <c r="DQL72" s="414"/>
      <c r="DQM72" s="414"/>
      <c r="DQN72" s="414"/>
      <c r="DQO72" s="414"/>
      <c r="DQP72" s="414"/>
      <c r="DQQ72" s="414"/>
      <c r="DQR72" s="414"/>
      <c r="DQS72" s="414"/>
      <c r="DQT72" s="414"/>
      <c r="DQU72" s="414"/>
      <c r="DQV72" s="414"/>
      <c r="DQW72" s="414"/>
      <c r="DQX72" s="414"/>
      <c r="DQY72" s="414"/>
      <c r="DQZ72" s="414"/>
      <c r="DRA72" s="414"/>
      <c r="DRB72" s="414"/>
      <c r="DRC72" s="414"/>
      <c r="DRD72" s="414"/>
      <c r="DRE72" s="414"/>
      <c r="DRF72" s="414"/>
      <c r="DRG72" s="414"/>
      <c r="DRH72" s="414"/>
      <c r="DRI72" s="414"/>
      <c r="DRJ72" s="414"/>
      <c r="DRK72" s="414"/>
      <c r="DRL72" s="414"/>
      <c r="DRM72" s="414"/>
      <c r="DRN72" s="414"/>
      <c r="DRO72" s="414"/>
      <c r="DRP72" s="414"/>
      <c r="DRQ72" s="414"/>
      <c r="DRR72" s="414"/>
      <c r="DRS72" s="414"/>
      <c r="DRT72" s="414"/>
      <c r="DRU72" s="414"/>
      <c r="DRV72" s="414"/>
      <c r="DRW72" s="414"/>
      <c r="DRX72" s="414"/>
      <c r="DRY72" s="414"/>
      <c r="DRZ72" s="414"/>
      <c r="DSA72" s="414"/>
      <c r="DSB72" s="414"/>
      <c r="DSC72" s="414"/>
      <c r="DSD72" s="414"/>
      <c r="DSE72" s="414"/>
      <c r="DSF72" s="414"/>
      <c r="DSG72" s="414"/>
      <c r="DSH72" s="414"/>
      <c r="DSI72" s="414"/>
      <c r="DSJ72" s="414"/>
      <c r="DSK72" s="414"/>
      <c r="DSL72" s="414"/>
      <c r="DSM72" s="414"/>
      <c r="DSN72" s="414"/>
      <c r="DSO72" s="414"/>
      <c r="DSP72" s="414"/>
      <c r="DSQ72" s="414"/>
      <c r="DSR72" s="414"/>
      <c r="DSS72" s="414"/>
      <c r="DST72" s="414"/>
      <c r="DSU72" s="414"/>
      <c r="DSV72" s="414"/>
      <c r="DSW72" s="414"/>
      <c r="DSX72" s="414"/>
      <c r="DSY72" s="414"/>
      <c r="DSZ72" s="414"/>
      <c r="DTA72" s="414"/>
      <c r="DTB72" s="414"/>
      <c r="DTC72" s="414"/>
      <c r="DTD72" s="414"/>
      <c r="DTE72" s="414"/>
      <c r="DTF72" s="414"/>
      <c r="DTG72" s="414"/>
      <c r="DTH72" s="414"/>
      <c r="DTI72" s="414"/>
      <c r="DTJ72" s="414"/>
      <c r="DTK72" s="414"/>
      <c r="DTL72" s="414"/>
      <c r="DTM72" s="414"/>
      <c r="DTN72" s="414"/>
      <c r="DTO72" s="414"/>
      <c r="DTP72" s="414"/>
      <c r="DTQ72" s="414"/>
      <c r="DTR72" s="414"/>
      <c r="DTS72" s="414"/>
      <c r="DTT72" s="414"/>
      <c r="DTU72" s="414"/>
      <c r="DTV72" s="414"/>
      <c r="DTW72" s="414"/>
      <c r="DTX72" s="414"/>
      <c r="DTY72" s="414"/>
      <c r="DTZ72" s="414"/>
      <c r="DUA72" s="414"/>
      <c r="DUB72" s="414"/>
      <c r="DUC72" s="414"/>
      <c r="DUD72" s="414"/>
      <c r="DUE72" s="414"/>
      <c r="DUF72" s="414"/>
      <c r="DUG72" s="414"/>
      <c r="DUH72" s="414"/>
      <c r="DUI72" s="414"/>
      <c r="DUJ72" s="414"/>
      <c r="DUK72" s="414"/>
      <c r="DUL72" s="414"/>
      <c r="DUM72" s="414"/>
      <c r="DUN72" s="414"/>
      <c r="DUO72" s="414"/>
      <c r="DUP72" s="414"/>
      <c r="DUQ72" s="414"/>
      <c r="DUR72" s="414"/>
      <c r="DUS72" s="414"/>
      <c r="DUT72" s="414"/>
      <c r="DUU72" s="414"/>
      <c r="DUV72" s="414"/>
      <c r="DUW72" s="414"/>
      <c r="DUX72" s="414"/>
      <c r="DUY72" s="414"/>
      <c r="DUZ72" s="414"/>
      <c r="DVA72" s="414"/>
      <c r="DVB72" s="414"/>
      <c r="DVC72" s="414"/>
      <c r="DVD72" s="414"/>
      <c r="DVE72" s="414"/>
      <c r="DVF72" s="414"/>
      <c r="DVG72" s="414"/>
      <c r="DVH72" s="414"/>
      <c r="DVI72" s="414"/>
      <c r="DVJ72" s="414"/>
      <c r="DVK72" s="414"/>
      <c r="DVL72" s="414"/>
      <c r="DVM72" s="414"/>
      <c r="DVN72" s="414"/>
      <c r="DVO72" s="414"/>
      <c r="DVP72" s="414"/>
      <c r="DVQ72" s="414"/>
      <c r="DVR72" s="414"/>
      <c r="DVS72" s="414"/>
      <c r="DVT72" s="414"/>
      <c r="DVU72" s="414"/>
      <c r="DVV72" s="414"/>
      <c r="DVW72" s="414"/>
      <c r="DVX72" s="414"/>
      <c r="DVY72" s="414"/>
      <c r="DVZ72" s="414"/>
      <c r="DWA72" s="414"/>
      <c r="DWB72" s="414"/>
      <c r="DWC72" s="414"/>
      <c r="DWD72" s="414"/>
      <c r="DWE72" s="414"/>
      <c r="DWF72" s="414"/>
      <c r="DWG72" s="414"/>
      <c r="DWH72" s="414"/>
      <c r="DWI72" s="414"/>
      <c r="DWJ72" s="414"/>
      <c r="DWK72" s="414"/>
      <c r="DWL72" s="414"/>
      <c r="DWM72" s="414"/>
      <c r="DWN72" s="414"/>
      <c r="DWO72" s="414"/>
      <c r="DWP72" s="414"/>
      <c r="DWQ72" s="414"/>
      <c r="DWR72" s="414"/>
      <c r="DWS72" s="414"/>
      <c r="DWT72" s="414"/>
      <c r="DWU72" s="414"/>
      <c r="DWV72" s="414"/>
      <c r="DWW72" s="414"/>
      <c r="DWX72" s="414"/>
      <c r="DWY72" s="414"/>
      <c r="DWZ72" s="414"/>
      <c r="DXA72" s="414"/>
      <c r="DXB72" s="414"/>
      <c r="DXC72" s="414"/>
      <c r="DXD72" s="414"/>
      <c r="DXE72" s="414"/>
      <c r="DXF72" s="414"/>
      <c r="DXG72" s="414"/>
      <c r="DXH72" s="414"/>
      <c r="DXI72" s="414"/>
      <c r="DXJ72" s="414"/>
      <c r="DXK72" s="414"/>
      <c r="DXL72" s="414"/>
      <c r="DXM72" s="414"/>
      <c r="DXN72" s="414"/>
      <c r="DXO72" s="414"/>
      <c r="DXP72" s="414"/>
      <c r="DXQ72" s="414"/>
      <c r="DXR72" s="414"/>
      <c r="DXS72" s="414"/>
      <c r="DXT72" s="414"/>
      <c r="DXU72" s="414"/>
      <c r="DXV72" s="414"/>
      <c r="DXW72" s="414"/>
      <c r="DXX72" s="414"/>
      <c r="DXY72" s="414"/>
      <c r="DXZ72" s="414"/>
      <c r="DYA72" s="414"/>
      <c r="DYB72" s="414"/>
      <c r="DYC72" s="414"/>
      <c r="DYD72" s="414"/>
      <c r="DYE72" s="414"/>
      <c r="DYF72" s="414"/>
      <c r="DYG72" s="414"/>
      <c r="DYH72" s="414"/>
      <c r="DYI72" s="414"/>
      <c r="DYJ72" s="414"/>
      <c r="DYK72" s="414"/>
      <c r="DYL72" s="414"/>
      <c r="DYM72" s="414"/>
      <c r="DYN72" s="414"/>
      <c r="DYO72" s="414"/>
      <c r="DYP72" s="414"/>
      <c r="DYQ72" s="414"/>
      <c r="DYR72" s="414"/>
      <c r="DYS72" s="414"/>
      <c r="DYT72" s="414"/>
      <c r="DYU72" s="414"/>
      <c r="DYV72" s="414"/>
      <c r="DYW72" s="414"/>
      <c r="DYX72" s="414"/>
      <c r="DYY72" s="414"/>
      <c r="DYZ72" s="414"/>
      <c r="DZA72" s="414"/>
      <c r="DZB72" s="414"/>
      <c r="DZC72" s="414"/>
      <c r="DZD72" s="414"/>
      <c r="DZE72" s="414"/>
      <c r="DZF72" s="414"/>
      <c r="DZG72" s="414"/>
      <c r="DZH72" s="414"/>
      <c r="DZI72" s="414"/>
      <c r="DZJ72" s="414"/>
      <c r="DZK72" s="414"/>
      <c r="DZL72" s="414"/>
      <c r="DZM72" s="414"/>
      <c r="DZN72" s="414"/>
      <c r="DZO72" s="414"/>
      <c r="DZP72" s="414"/>
      <c r="DZQ72" s="414"/>
      <c r="DZR72" s="414"/>
      <c r="DZS72" s="414"/>
      <c r="DZT72" s="414"/>
      <c r="DZU72" s="414"/>
      <c r="DZV72" s="414"/>
      <c r="DZW72" s="414"/>
      <c r="DZX72" s="414"/>
      <c r="DZY72" s="414"/>
      <c r="DZZ72" s="414"/>
      <c r="EAA72" s="414"/>
      <c r="EAB72" s="414"/>
      <c r="EAC72" s="414"/>
      <c r="EAD72" s="414"/>
      <c r="EAE72" s="414"/>
      <c r="EAF72" s="414"/>
      <c r="EAG72" s="414"/>
      <c r="EAH72" s="414"/>
      <c r="EAI72" s="414"/>
      <c r="EAJ72" s="414"/>
      <c r="EAK72" s="414"/>
      <c r="EAL72" s="414"/>
      <c r="EAM72" s="414"/>
      <c r="EAN72" s="414"/>
      <c r="EAO72" s="414"/>
      <c r="EAP72" s="414"/>
      <c r="EAQ72" s="414"/>
      <c r="EAR72" s="414"/>
      <c r="EAS72" s="414"/>
      <c r="EAT72" s="414"/>
      <c r="EAU72" s="414"/>
      <c r="EAV72" s="414"/>
      <c r="EAW72" s="414"/>
      <c r="EAX72" s="414"/>
      <c r="EAY72" s="414"/>
      <c r="EAZ72" s="414"/>
      <c r="EBA72" s="414"/>
      <c r="EBB72" s="414"/>
      <c r="EBC72" s="414"/>
      <c r="EBD72" s="414"/>
      <c r="EBE72" s="414"/>
      <c r="EBF72" s="414"/>
      <c r="EBG72" s="414"/>
      <c r="EBH72" s="414"/>
      <c r="EBI72" s="414"/>
      <c r="EBJ72" s="414"/>
      <c r="EBK72" s="414"/>
      <c r="EBL72" s="414"/>
      <c r="EBM72" s="414"/>
      <c r="EBN72" s="414"/>
      <c r="EBO72" s="414"/>
      <c r="EBP72" s="414"/>
      <c r="EBQ72" s="414"/>
      <c r="EBR72" s="414"/>
      <c r="EBS72" s="414"/>
      <c r="EBT72" s="414"/>
      <c r="EBU72" s="414"/>
      <c r="EBV72" s="414"/>
      <c r="EBW72" s="414"/>
      <c r="EBX72" s="414"/>
      <c r="EBY72" s="414"/>
      <c r="EBZ72" s="414"/>
      <c r="ECA72" s="414"/>
      <c r="ECB72" s="414"/>
      <c r="ECC72" s="414"/>
      <c r="ECD72" s="414"/>
      <c r="ECE72" s="414"/>
      <c r="ECF72" s="414"/>
      <c r="ECG72" s="414"/>
      <c r="ECH72" s="414"/>
      <c r="ECI72" s="414"/>
      <c r="ECJ72" s="414"/>
      <c r="ECK72" s="414"/>
      <c r="ECL72" s="414"/>
      <c r="ECM72" s="414"/>
      <c r="ECN72" s="414"/>
      <c r="ECO72" s="414"/>
      <c r="ECP72" s="414"/>
      <c r="ECQ72" s="414"/>
      <c r="ECR72" s="414"/>
      <c r="ECS72" s="414"/>
      <c r="ECT72" s="414"/>
      <c r="ECU72" s="414"/>
      <c r="ECV72" s="414"/>
      <c r="ECW72" s="414"/>
      <c r="ECX72" s="414"/>
      <c r="ECY72" s="414"/>
      <c r="ECZ72" s="414"/>
      <c r="EDA72" s="414"/>
      <c r="EDB72" s="414"/>
      <c r="EDC72" s="414"/>
      <c r="EDD72" s="414"/>
      <c r="EDE72" s="414"/>
      <c r="EDF72" s="414"/>
      <c r="EDG72" s="414"/>
      <c r="EDH72" s="414"/>
      <c r="EDI72" s="414"/>
      <c r="EDJ72" s="414"/>
      <c r="EDK72" s="414"/>
      <c r="EDL72" s="414"/>
      <c r="EDM72" s="414"/>
      <c r="EDN72" s="414"/>
      <c r="EDO72" s="414"/>
      <c r="EDP72" s="414"/>
      <c r="EDQ72" s="414"/>
      <c r="EDR72" s="414"/>
      <c r="EDS72" s="414"/>
      <c r="EDT72" s="414"/>
      <c r="EDU72" s="414"/>
      <c r="EDV72" s="414"/>
      <c r="EDW72" s="414"/>
      <c r="EDX72" s="414"/>
      <c r="EDY72" s="414"/>
      <c r="EDZ72" s="414"/>
      <c r="EEA72" s="414"/>
      <c r="EEB72" s="414"/>
      <c r="EEC72" s="414"/>
      <c r="EED72" s="414"/>
      <c r="EEE72" s="414"/>
      <c r="EEF72" s="414"/>
      <c r="EEG72" s="414"/>
      <c r="EEH72" s="414"/>
      <c r="EEI72" s="414"/>
      <c r="EEJ72" s="414"/>
      <c r="EEK72" s="414"/>
      <c r="EEL72" s="414"/>
      <c r="EEM72" s="414"/>
      <c r="EEN72" s="414"/>
      <c r="EEO72" s="414"/>
      <c r="EEP72" s="414"/>
      <c r="EEQ72" s="414"/>
      <c r="EER72" s="414"/>
      <c r="EES72" s="414"/>
      <c r="EET72" s="414"/>
      <c r="EEU72" s="414"/>
      <c r="EEV72" s="414"/>
      <c r="EEW72" s="414"/>
      <c r="EEX72" s="414"/>
      <c r="EEY72" s="414"/>
      <c r="EEZ72" s="414"/>
      <c r="EFA72" s="414"/>
      <c r="EFB72" s="414"/>
      <c r="EFC72" s="414"/>
      <c r="EFD72" s="414"/>
      <c r="EFE72" s="414"/>
      <c r="EFF72" s="414"/>
      <c r="EFG72" s="414"/>
      <c r="EFH72" s="414"/>
      <c r="EFI72" s="414"/>
      <c r="EFJ72" s="414"/>
      <c r="EFK72" s="414"/>
      <c r="EFL72" s="414"/>
      <c r="EFM72" s="414"/>
      <c r="EFN72" s="414"/>
      <c r="EFO72" s="414"/>
      <c r="EFP72" s="414"/>
      <c r="EFQ72" s="414"/>
      <c r="EFR72" s="414"/>
      <c r="EFS72" s="414"/>
      <c r="EFT72" s="414"/>
      <c r="EFU72" s="414"/>
      <c r="EFV72" s="414"/>
      <c r="EFW72" s="414"/>
      <c r="EFX72" s="414"/>
      <c r="EFY72" s="414"/>
      <c r="EFZ72" s="414"/>
      <c r="EGA72" s="414"/>
      <c r="EGB72" s="414"/>
      <c r="EGC72" s="414"/>
      <c r="EGD72" s="414"/>
      <c r="EGE72" s="414"/>
      <c r="EGF72" s="414"/>
      <c r="EGG72" s="414"/>
      <c r="EGH72" s="414"/>
      <c r="EGI72" s="414"/>
      <c r="EGJ72" s="414"/>
      <c r="EGK72" s="414"/>
      <c r="EGL72" s="414"/>
      <c r="EGM72" s="414"/>
      <c r="EGN72" s="414"/>
      <c r="EGO72" s="414"/>
      <c r="EGP72" s="414"/>
      <c r="EGQ72" s="414"/>
      <c r="EGR72" s="414"/>
      <c r="EGS72" s="414"/>
      <c r="EGT72" s="414"/>
      <c r="EGU72" s="414"/>
      <c r="EGV72" s="414"/>
      <c r="EGW72" s="414"/>
      <c r="EGX72" s="414"/>
      <c r="EGY72" s="414"/>
      <c r="EGZ72" s="414"/>
      <c r="EHA72" s="414"/>
      <c r="EHB72" s="414"/>
      <c r="EHC72" s="414"/>
      <c r="EHD72" s="414"/>
      <c r="EHE72" s="414"/>
      <c r="EHF72" s="414"/>
      <c r="EHG72" s="414"/>
      <c r="EHH72" s="414"/>
      <c r="EHI72" s="414"/>
      <c r="EHJ72" s="414"/>
      <c r="EHK72" s="414"/>
      <c r="EHL72" s="414"/>
      <c r="EHM72" s="414"/>
      <c r="EHN72" s="414"/>
      <c r="EHO72" s="414"/>
      <c r="EHP72" s="414"/>
      <c r="EHQ72" s="414"/>
      <c r="EHR72" s="414"/>
      <c r="EHS72" s="414"/>
      <c r="EHT72" s="414"/>
      <c r="EHU72" s="414"/>
      <c r="EHV72" s="414"/>
      <c r="EHW72" s="414"/>
      <c r="EHX72" s="414"/>
      <c r="EHY72" s="414"/>
      <c r="EHZ72" s="414"/>
      <c r="EIA72" s="414"/>
      <c r="EIB72" s="414"/>
      <c r="EIC72" s="414"/>
      <c r="EID72" s="414"/>
      <c r="EIE72" s="414"/>
      <c r="EIF72" s="414"/>
      <c r="EIG72" s="414"/>
      <c r="EIH72" s="414"/>
      <c r="EII72" s="414"/>
      <c r="EIJ72" s="414"/>
      <c r="EIK72" s="414"/>
      <c r="EIL72" s="414"/>
      <c r="EIM72" s="414"/>
      <c r="EIN72" s="414"/>
      <c r="EIO72" s="414"/>
      <c r="EIP72" s="414"/>
      <c r="EIQ72" s="414"/>
      <c r="EIR72" s="414"/>
      <c r="EIS72" s="414"/>
      <c r="EIT72" s="414"/>
      <c r="EIU72" s="414"/>
      <c r="EIV72" s="414"/>
      <c r="EIW72" s="414"/>
      <c r="EIX72" s="414"/>
      <c r="EIY72" s="414"/>
      <c r="EIZ72" s="414"/>
      <c r="EJA72" s="414"/>
      <c r="EJB72" s="414"/>
      <c r="EJC72" s="414"/>
      <c r="EJD72" s="414"/>
      <c r="EJE72" s="414"/>
      <c r="EJF72" s="414"/>
      <c r="EJG72" s="414"/>
      <c r="EJH72" s="414"/>
      <c r="EJI72" s="414"/>
      <c r="EJJ72" s="414"/>
      <c r="EJK72" s="414"/>
      <c r="EJL72" s="414"/>
      <c r="EJM72" s="414"/>
      <c r="EJN72" s="414"/>
      <c r="EJO72" s="414"/>
      <c r="EJP72" s="414"/>
      <c r="EJQ72" s="414"/>
      <c r="EJR72" s="414"/>
      <c r="EJS72" s="414"/>
      <c r="EJT72" s="414"/>
      <c r="EJU72" s="414"/>
      <c r="EJV72" s="414"/>
      <c r="EJW72" s="414"/>
      <c r="EJX72" s="414"/>
      <c r="EJY72" s="414"/>
      <c r="EJZ72" s="414"/>
      <c r="EKA72" s="414"/>
      <c r="EKB72" s="414"/>
      <c r="EKC72" s="414"/>
      <c r="EKD72" s="414"/>
      <c r="EKE72" s="414"/>
      <c r="EKF72" s="414"/>
      <c r="EKG72" s="414"/>
      <c r="EKH72" s="414"/>
      <c r="EKI72" s="414"/>
      <c r="EKJ72" s="414"/>
      <c r="EKK72" s="414"/>
      <c r="EKL72" s="414"/>
      <c r="EKM72" s="414"/>
      <c r="EKN72" s="414"/>
      <c r="EKO72" s="414"/>
      <c r="EKP72" s="414"/>
      <c r="EKQ72" s="414"/>
      <c r="EKR72" s="414"/>
      <c r="EKS72" s="414"/>
      <c r="EKT72" s="414"/>
      <c r="EKU72" s="414"/>
      <c r="EKV72" s="414"/>
      <c r="EKW72" s="414"/>
      <c r="EKX72" s="414"/>
      <c r="EKY72" s="414"/>
      <c r="EKZ72" s="414"/>
      <c r="ELA72" s="414"/>
      <c r="ELB72" s="414"/>
      <c r="ELC72" s="414"/>
      <c r="ELD72" s="414"/>
      <c r="ELE72" s="414"/>
      <c r="ELF72" s="414"/>
      <c r="ELG72" s="414"/>
      <c r="ELH72" s="414"/>
      <c r="ELI72" s="414"/>
      <c r="ELJ72" s="414"/>
      <c r="ELK72" s="414"/>
      <c r="ELL72" s="414"/>
      <c r="ELM72" s="414"/>
      <c r="ELN72" s="414"/>
      <c r="ELO72" s="414"/>
      <c r="ELP72" s="414"/>
      <c r="ELQ72" s="414"/>
      <c r="ELR72" s="414"/>
      <c r="ELS72" s="414"/>
      <c r="ELT72" s="414"/>
      <c r="ELU72" s="414"/>
      <c r="ELV72" s="414"/>
      <c r="ELW72" s="414"/>
      <c r="ELX72" s="414"/>
      <c r="ELY72" s="414"/>
      <c r="ELZ72" s="414"/>
      <c r="EMA72" s="414"/>
      <c r="EMB72" s="414"/>
      <c r="EMC72" s="414"/>
      <c r="EMD72" s="414"/>
      <c r="EME72" s="414"/>
      <c r="EMF72" s="414"/>
      <c r="EMG72" s="414"/>
      <c r="EMH72" s="414"/>
      <c r="EMI72" s="414"/>
      <c r="EMJ72" s="414"/>
      <c r="EMK72" s="414"/>
      <c r="EML72" s="414"/>
      <c r="EMM72" s="414"/>
      <c r="EMN72" s="414"/>
      <c r="EMO72" s="414"/>
      <c r="EMP72" s="414"/>
      <c r="EMQ72" s="414"/>
      <c r="EMR72" s="414"/>
      <c r="EMS72" s="414"/>
      <c r="EMT72" s="414"/>
      <c r="EMU72" s="414"/>
      <c r="EMV72" s="414"/>
      <c r="EMW72" s="414"/>
      <c r="EMX72" s="414"/>
      <c r="EMY72" s="414"/>
      <c r="EMZ72" s="414"/>
      <c r="ENA72" s="414"/>
      <c r="ENB72" s="414"/>
      <c r="ENC72" s="414"/>
      <c r="END72" s="414"/>
      <c r="ENE72" s="414"/>
      <c r="ENF72" s="414"/>
      <c r="ENG72" s="414"/>
      <c r="ENH72" s="414"/>
      <c r="ENI72" s="414"/>
      <c r="ENJ72" s="414"/>
      <c r="ENK72" s="414"/>
      <c r="ENL72" s="414"/>
      <c r="ENM72" s="414"/>
      <c r="ENN72" s="414"/>
      <c r="ENO72" s="414"/>
      <c r="ENP72" s="414"/>
      <c r="ENQ72" s="414"/>
      <c r="ENR72" s="414"/>
      <c r="ENS72" s="414"/>
      <c r="ENT72" s="414"/>
      <c r="ENU72" s="414"/>
      <c r="ENV72" s="414"/>
      <c r="ENW72" s="414"/>
      <c r="ENX72" s="414"/>
      <c r="ENY72" s="414"/>
      <c r="ENZ72" s="414"/>
      <c r="EOA72" s="414"/>
      <c r="EOB72" s="414"/>
      <c r="EOC72" s="414"/>
      <c r="EOD72" s="414"/>
      <c r="EOE72" s="414"/>
      <c r="EOF72" s="414"/>
      <c r="EOG72" s="414"/>
      <c r="EOH72" s="414"/>
      <c r="EOI72" s="414"/>
      <c r="EOJ72" s="414"/>
      <c r="EOK72" s="414"/>
      <c r="EOL72" s="414"/>
      <c r="EOM72" s="414"/>
      <c r="EON72" s="414"/>
      <c r="EOO72" s="414"/>
      <c r="EOP72" s="414"/>
      <c r="EOQ72" s="414"/>
      <c r="EOR72" s="414"/>
      <c r="EOS72" s="414"/>
      <c r="EOT72" s="414"/>
      <c r="EOU72" s="414"/>
      <c r="EOV72" s="414"/>
      <c r="EOW72" s="414"/>
      <c r="EOX72" s="414"/>
      <c r="EOY72" s="414"/>
      <c r="EOZ72" s="414"/>
      <c r="EPA72" s="414"/>
      <c r="EPB72" s="414"/>
      <c r="EPC72" s="414"/>
      <c r="EPD72" s="414"/>
      <c r="EPE72" s="414"/>
      <c r="EPF72" s="414"/>
      <c r="EPG72" s="414"/>
      <c r="EPH72" s="414"/>
      <c r="EPI72" s="414"/>
      <c r="EPJ72" s="414"/>
      <c r="EPK72" s="414"/>
      <c r="EPL72" s="414"/>
      <c r="EPM72" s="414"/>
      <c r="EPN72" s="414"/>
      <c r="EPO72" s="414"/>
      <c r="EPP72" s="414"/>
      <c r="EPQ72" s="414"/>
      <c r="EPR72" s="414"/>
      <c r="EPS72" s="414"/>
      <c r="EPT72" s="414"/>
      <c r="EPU72" s="414"/>
      <c r="EPV72" s="414"/>
      <c r="EPW72" s="414"/>
      <c r="EPX72" s="414"/>
      <c r="EPY72" s="414"/>
      <c r="EPZ72" s="414"/>
      <c r="EQA72" s="414"/>
      <c r="EQB72" s="414"/>
      <c r="EQC72" s="414"/>
      <c r="EQD72" s="414"/>
      <c r="EQE72" s="414"/>
      <c r="EQF72" s="414"/>
      <c r="EQG72" s="414"/>
      <c r="EQH72" s="414"/>
      <c r="EQI72" s="414"/>
      <c r="EQJ72" s="414"/>
      <c r="EQK72" s="414"/>
      <c r="EQL72" s="414"/>
      <c r="EQM72" s="414"/>
      <c r="EQN72" s="414"/>
      <c r="EQO72" s="414"/>
      <c r="EQP72" s="414"/>
      <c r="EQQ72" s="414"/>
      <c r="EQR72" s="414"/>
      <c r="EQS72" s="414"/>
      <c r="EQT72" s="414"/>
      <c r="EQU72" s="414"/>
      <c r="EQV72" s="414"/>
      <c r="EQW72" s="414"/>
      <c r="EQX72" s="414"/>
      <c r="EQY72" s="414"/>
      <c r="EQZ72" s="414"/>
      <c r="ERA72" s="414"/>
      <c r="ERB72" s="414"/>
      <c r="ERC72" s="414"/>
      <c r="ERD72" s="414"/>
      <c r="ERE72" s="414"/>
      <c r="ERF72" s="414"/>
      <c r="ERG72" s="414"/>
      <c r="ERH72" s="414"/>
      <c r="ERI72" s="414"/>
      <c r="ERJ72" s="414"/>
      <c r="ERK72" s="414"/>
      <c r="ERL72" s="414"/>
      <c r="ERM72" s="414"/>
      <c r="ERN72" s="414"/>
      <c r="ERO72" s="414"/>
      <c r="ERP72" s="414"/>
      <c r="ERQ72" s="414"/>
      <c r="ERR72" s="414"/>
      <c r="ERS72" s="414"/>
      <c r="ERT72" s="414"/>
      <c r="ERU72" s="414"/>
      <c r="ERV72" s="414"/>
      <c r="ERW72" s="414"/>
      <c r="ERX72" s="414"/>
      <c r="ERY72" s="414"/>
      <c r="ERZ72" s="414"/>
      <c r="ESA72" s="414"/>
      <c r="ESB72" s="414"/>
      <c r="ESC72" s="414"/>
      <c r="ESD72" s="414"/>
      <c r="ESE72" s="414"/>
      <c r="ESF72" s="414"/>
      <c r="ESG72" s="414"/>
      <c r="ESH72" s="414"/>
      <c r="ESI72" s="414"/>
      <c r="ESJ72" s="414"/>
      <c r="ESK72" s="414"/>
      <c r="ESL72" s="414"/>
      <c r="ESM72" s="414"/>
      <c r="ESN72" s="414"/>
      <c r="ESO72" s="414"/>
      <c r="ESP72" s="414"/>
      <c r="ESQ72" s="414"/>
      <c r="ESR72" s="414"/>
      <c r="ESS72" s="414"/>
      <c r="EST72" s="414"/>
      <c r="ESU72" s="414"/>
      <c r="ESV72" s="414"/>
      <c r="ESW72" s="414"/>
      <c r="ESX72" s="414"/>
      <c r="ESY72" s="414"/>
      <c r="ESZ72" s="414"/>
      <c r="ETA72" s="414"/>
      <c r="ETB72" s="414"/>
      <c r="ETC72" s="414"/>
      <c r="ETD72" s="414"/>
      <c r="ETE72" s="414"/>
      <c r="ETF72" s="414"/>
      <c r="ETG72" s="414"/>
      <c r="ETH72" s="414"/>
      <c r="ETI72" s="414"/>
      <c r="ETJ72" s="414"/>
      <c r="ETK72" s="414"/>
      <c r="ETL72" s="414"/>
      <c r="ETM72" s="414"/>
      <c r="ETN72" s="414"/>
      <c r="ETO72" s="414"/>
      <c r="ETP72" s="414"/>
      <c r="ETQ72" s="414"/>
      <c r="ETR72" s="414"/>
      <c r="ETS72" s="414"/>
      <c r="ETT72" s="414"/>
      <c r="ETU72" s="414"/>
      <c r="ETV72" s="414"/>
      <c r="ETW72" s="414"/>
      <c r="ETX72" s="414"/>
      <c r="ETY72" s="414"/>
      <c r="ETZ72" s="414"/>
      <c r="EUA72" s="414"/>
      <c r="EUB72" s="414"/>
      <c r="EUC72" s="414"/>
      <c r="EUD72" s="414"/>
      <c r="EUE72" s="414"/>
      <c r="EUF72" s="414"/>
      <c r="EUG72" s="414"/>
      <c r="EUH72" s="414"/>
      <c r="EUI72" s="414"/>
      <c r="EUJ72" s="414"/>
      <c r="EUK72" s="414"/>
      <c r="EUL72" s="414"/>
      <c r="EUM72" s="414"/>
      <c r="EUN72" s="414"/>
      <c r="EUO72" s="414"/>
      <c r="EUP72" s="414"/>
      <c r="EUQ72" s="414"/>
      <c r="EUR72" s="414"/>
      <c r="EUS72" s="414"/>
      <c r="EUT72" s="414"/>
      <c r="EUU72" s="414"/>
      <c r="EUV72" s="414"/>
      <c r="EUW72" s="414"/>
      <c r="EUX72" s="414"/>
      <c r="EUY72" s="414"/>
      <c r="EUZ72" s="414"/>
      <c r="EVA72" s="414"/>
      <c r="EVB72" s="414"/>
      <c r="EVC72" s="414"/>
      <c r="EVD72" s="414"/>
      <c r="EVE72" s="414"/>
      <c r="EVF72" s="414"/>
      <c r="EVG72" s="414"/>
      <c r="EVH72" s="414"/>
      <c r="EVI72" s="414"/>
      <c r="EVJ72" s="414"/>
      <c r="EVK72" s="414"/>
      <c r="EVL72" s="414"/>
      <c r="EVM72" s="414"/>
      <c r="EVN72" s="414"/>
      <c r="EVO72" s="414"/>
      <c r="EVP72" s="414"/>
      <c r="EVQ72" s="414"/>
      <c r="EVR72" s="414"/>
      <c r="EVS72" s="414"/>
      <c r="EVT72" s="414"/>
      <c r="EVU72" s="414"/>
      <c r="EVV72" s="414"/>
      <c r="EVW72" s="414"/>
      <c r="EVX72" s="414"/>
      <c r="EVY72" s="414"/>
      <c r="EVZ72" s="414"/>
      <c r="EWA72" s="414"/>
      <c r="EWB72" s="414"/>
      <c r="EWC72" s="414"/>
      <c r="EWD72" s="414"/>
      <c r="EWE72" s="414"/>
      <c r="EWF72" s="414"/>
      <c r="EWG72" s="414"/>
      <c r="EWH72" s="414"/>
      <c r="EWI72" s="414"/>
      <c r="EWJ72" s="414"/>
      <c r="EWK72" s="414"/>
      <c r="EWL72" s="414"/>
      <c r="EWM72" s="414"/>
      <c r="EWN72" s="414"/>
      <c r="EWO72" s="414"/>
      <c r="EWP72" s="414"/>
      <c r="EWQ72" s="414"/>
      <c r="EWR72" s="414"/>
      <c r="EWS72" s="414"/>
      <c r="EWT72" s="414"/>
      <c r="EWU72" s="414"/>
      <c r="EWV72" s="414"/>
      <c r="EWW72" s="414"/>
      <c r="EWX72" s="414"/>
      <c r="EWY72" s="414"/>
      <c r="EWZ72" s="414"/>
      <c r="EXA72" s="414"/>
      <c r="EXB72" s="414"/>
      <c r="EXC72" s="414"/>
      <c r="EXD72" s="414"/>
      <c r="EXE72" s="414"/>
      <c r="EXF72" s="414"/>
      <c r="EXG72" s="414"/>
      <c r="EXH72" s="414"/>
      <c r="EXI72" s="414"/>
      <c r="EXJ72" s="414"/>
      <c r="EXK72" s="414"/>
      <c r="EXL72" s="414"/>
      <c r="EXM72" s="414"/>
      <c r="EXN72" s="414"/>
      <c r="EXO72" s="414"/>
      <c r="EXP72" s="414"/>
      <c r="EXQ72" s="414"/>
      <c r="EXR72" s="414"/>
      <c r="EXS72" s="414"/>
      <c r="EXT72" s="414"/>
      <c r="EXU72" s="414"/>
      <c r="EXV72" s="414"/>
      <c r="EXW72" s="414"/>
      <c r="EXX72" s="414"/>
      <c r="EXY72" s="414"/>
      <c r="EXZ72" s="414"/>
      <c r="EYA72" s="414"/>
      <c r="EYB72" s="414"/>
      <c r="EYC72" s="414"/>
      <c r="EYD72" s="414"/>
      <c r="EYE72" s="414"/>
      <c r="EYF72" s="414"/>
      <c r="EYG72" s="414"/>
      <c r="EYH72" s="414"/>
      <c r="EYI72" s="414"/>
      <c r="EYJ72" s="414"/>
      <c r="EYK72" s="414"/>
      <c r="EYL72" s="414"/>
      <c r="EYM72" s="414"/>
      <c r="EYN72" s="414"/>
      <c r="EYO72" s="414"/>
      <c r="EYP72" s="414"/>
      <c r="EYQ72" s="414"/>
      <c r="EYR72" s="414"/>
      <c r="EYS72" s="414"/>
      <c r="EYT72" s="414"/>
      <c r="EYU72" s="414"/>
      <c r="EYV72" s="414"/>
      <c r="EYW72" s="414"/>
      <c r="EYX72" s="414"/>
      <c r="EYY72" s="414"/>
      <c r="EYZ72" s="414"/>
      <c r="EZA72" s="414"/>
      <c r="EZB72" s="414"/>
      <c r="EZC72" s="414"/>
      <c r="EZD72" s="414"/>
      <c r="EZE72" s="414"/>
      <c r="EZF72" s="414"/>
      <c r="EZG72" s="414"/>
      <c r="EZH72" s="414"/>
      <c r="EZI72" s="414"/>
      <c r="EZJ72" s="414"/>
      <c r="EZK72" s="414"/>
      <c r="EZL72" s="414"/>
      <c r="EZM72" s="414"/>
      <c r="EZN72" s="414"/>
      <c r="EZO72" s="414"/>
      <c r="EZP72" s="414"/>
      <c r="EZQ72" s="414"/>
      <c r="EZR72" s="414"/>
      <c r="EZS72" s="414"/>
      <c r="EZT72" s="414"/>
      <c r="EZU72" s="414"/>
      <c r="EZV72" s="414"/>
      <c r="EZW72" s="414"/>
      <c r="EZX72" s="414"/>
      <c r="EZY72" s="414"/>
      <c r="EZZ72" s="414"/>
      <c r="FAA72" s="414"/>
      <c r="FAB72" s="414"/>
      <c r="FAC72" s="414"/>
      <c r="FAD72" s="414"/>
      <c r="FAE72" s="414"/>
      <c r="FAF72" s="414"/>
      <c r="FAG72" s="414"/>
      <c r="FAH72" s="414"/>
      <c r="FAI72" s="414"/>
      <c r="FAJ72" s="414"/>
      <c r="FAK72" s="414"/>
      <c r="FAL72" s="414"/>
      <c r="FAM72" s="414"/>
      <c r="FAN72" s="414"/>
      <c r="FAO72" s="414"/>
      <c r="FAP72" s="414"/>
      <c r="FAQ72" s="414"/>
      <c r="FAR72" s="414"/>
      <c r="FAS72" s="414"/>
      <c r="FAT72" s="414"/>
      <c r="FAU72" s="414"/>
      <c r="FAV72" s="414"/>
      <c r="FAW72" s="414"/>
      <c r="FAX72" s="414"/>
      <c r="FAY72" s="414"/>
      <c r="FAZ72" s="414"/>
      <c r="FBA72" s="414"/>
      <c r="FBB72" s="414"/>
      <c r="FBC72" s="414"/>
      <c r="FBD72" s="414"/>
      <c r="FBE72" s="414"/>
      <c r="FBF72" s="414"/>
      <c r="FBG72" s="414"/>
      <c r="FBH72" s="414"/>
      <c r="FBI72" s="414"/>
      <c r="FBJ72" s="414"/>
      <c r="FBK72" s="414"/>
      <c r="FBL72" s="414"/>
      <c r="FBM72" s="414"/>
      <c r="FBN72" s="414"/>
      <c r="FBO72" s="414"/>
      <c r="FBP72" s="414"/>
      <c r="FBQ72" s="414"/>
      <c r="FBR72" s="414"/>
      <c r="FBS72" s="414"/>
      <c r="FBT72" s="414"/>
      <c r="FBU72" s="414"/>
      <c r="FBV72" s="414"/>
      <c r="FBW72" s="414"/>
      <c r="FBX72" s="414"/>
      <c r="FBY72" s="414"/>
      <c r="FBZ72" s="414"/>
      <c r="FCA72" s="414"/>
      <c r="FCB72" s="414"/>
      <c r="FCC72" s="414"/>
      <c r="FCD72" s="414"/>
      <c r="FCE72" s="414"/>
      <c r="FCF72" s="414"/>
      <c r="FCG72" s="414"/>
      <c r="FCH72" s="414"/>
      <c r="FCI72" s="414"/>
      <c r="FCJ72" s="414"/>
      <c r="FCK72" s="414"/>
      <c r="FCL72" s="414"/>
      <c r="FCM72" s="414"/>
      <c r="FCN72" s="414"/>
      <c r="FCO72" s="414"/>
      <c r="FCP72" s="414"/>
      <c r="FCQ72" s="414"/>
      <c r="FCR72" s="414"/>
      <c r="FCS72" s="414"/>
      <c r="FCT72" s="414"/>
      <c r="FCU72" s="414"/>
      <c r="FCV72" s="414"/>
      <c r="FCW72" s="414"/>
      <c r="FCX72" s="414"/>
      <c r="FCY72" s="414"/>
      <c r="FCZ72" s="414"/>
      <c r="FDA72" s="414"/>
      <c r="FDB72" s="414"/>
      <c r="FDC72" s="414"/>
      <c r="FDD72" s="414"/>
      <c r="FDE72" s="414"/>
      <c r="FDF72" s="414"/>
      <c r="FDG72" s="414"/>
      <c r="FDH72" s="414"/>
      <c r="FDI72" s="414"/>
      <c r="FDJ72" s="414"/>
      <c r="FDK72" s="414"/>
      <c r="FDL72" s="414"/>
      <c r="FDM72" s="414"/>
      <c r="FDN72" s="414"/>
      <c r="FDO72" s="414"/>
      <c r="FDP72" s="414"/>
      <c r="FDQ72" s="414"/>
      <c r="FDR72" s="414"/>
      <c r="FDS72" s="414"/>
      <c r="FDT72" s="414"/>
      <c r="FDU72" s="414"/>
      <c r="FDV72" s="414"/>
      <c r="FDW72" s="414"/>
      <c r="FDX72" s="414"/>
      <c r="FDY72" s="414"/>
      <c r="FDZ72" s="414"/>
      <c r="FEA72" s="414"/>
      <c r="FEB72" s="414"/>
      <c r="FEC72" s="414"/>
      <c r="FED72" s="414"/>
      <c r="FEE72" s="414"/>
      <c r="FEF72" s="414"/>
      <c r="FEG72" s="414"/>
      <c r="FEH72" s="414"/>
      <c r="FEI72" s="414"/>
      <c r="FEJ72" s="414"/>
      <c r="FEK72" s="414"/>
      <c r="FEL72" s="414"/>
      <c r="FEM72" s="414"/>
      <c r="FEN72" s="414"/>
      <c r="FEO72" s="414"/>
      <c r="FEP72" s="414"/>
      <c r="FEQ72" s="414"/>
      <c r="FER72" s="414"/>
      <c r="FES72" s="414"/>
      <c r="FET72" s="414"/>
      <c r="FEU72" s="414"/>
      <c r="FEV72" s="414"/>
      <c r="FEW72" s="414"/>
      <c r="FEX72" s="414"/>
      <c r="FEY72" s="414"/>
      <c r="FEZ72" s="414"/>
      <c r="FFA72" s="414"/>
      <c r="FFB72" s="414"/>
      <c r="FFC72" s="414"/>
      <c r="FFD72" s="414"/>
      <c r="FFE72" s="414"/>
      <c r="FFF72" s="414"/>
      <c r="FFG72" s="414"/>
      <c r="FFH72" s="414"/>
      <c r="FFI72" s="414"/>
      <c r="FFJ72" s="414"/>
      <c r="FFK72" s="414"/>
      <c r="FFL72" s="414"/>
      <c r="FFM72" s="414"/>
      <c r="FFN72" s="414"/>
      <c r="FFO72" s="414"/>
      <c r="FFP72" s="414"/>
      <c r="FFQ72" s="414"/>
      <c r="FFR72" s="414"/>
      <c r="FFS72" s="414"/>
      <c r="FFT72" s="414"/>
      <c r="FFU72" s="414"/>
      <c r="FFV72" s="414"/>
      <c r="FFW72" s="414"/>
      <c r="FFX72" s="414"/>
      <c r="FFY72" s="414"/>
      <c r="FFZ72" s="414"/>
      <c r="FGA72" s="414"/>
      <c r="FGB72" s="414"/>
      <c r="FGC72" s="414"/>
      <c r="FGD72" s="414"/>
      <c r="FGE72" s="414"/>
      <c r="FGF72" s="414"/>
      <c r="FGG72" s="414"/>
      <c r="FGH72" s="414"/>
      <c r="FGI72" s="414"/>
      <c r="FGJ72" s="414"/>
      <c r="FGK72" s="414"/>
      <c r="FGL72" s="414"/>
      <c r="FGM72" s="414"/>
      <c r="FGN72" s="414"/>
      <c r="FGO72" s="414"/>
      <c r="FGP72" s="414"/>
      <c r="FGQ72" s="414"/>
      <c r="FGR72" s="414"/>
      <c r="FGS72" s="414"/>
      <c r="FGT72" s="414"/>
      <c r="FGU72" s="414"/>
      <c r="FGV72" s="414"/>
      <c r="FGW72" s="414"/>
      <c r="FGX72" s="414"/>
      <c r="FGY72" s="414"/>
      <c r="FGZ72" s="414"/>
      <c r="FHA72" s="414"/>
      <c r="FHB72" s="414"/>
      <c r="FHC72" s="414"/>
      <c r="FHD72" s="414"/>
      <c r="FHE72" s="414"/>
      <c r="FHF72" s="414"/>
      <c r="FHG72" s="414"/>
      <c r="FHH72" s="414"/>
      <c r="FHI72" s="414"/>
      <c r="FHJ72" s="414"/>
      <c r="FHK72" s="414"/>
      <c r="FHL72" s="414"/>
      <c r="FHM72" s="414"/>
      <c r="FHN72" s="414"/>
      <c r="FHO72" s="414"/>
      <c r="FHP72" s="414"/>
      <c r="FHQ72" s="414"/>
      <c r="FHR72" s="414"/>
      <c r="FHS72" s="414"/>
      <c r="FHT72" s="414"/>
      <c r="FHU72" s="414"/>
      <c r="FHV72" s="414"/>
      <c r="FHW72" s="414"/>
      <c r="FHX72" s="414"/>
      <c r="FHY72" s="414"/>
      <c r="FHZ72" s="414"/>
      <c r="FIA72" s="414"/>
      <c r="FIB72" s="414"/>
      <c r="FIC72" s="414"/>
      <c r="FID72" s="414"/>
      <c r="FIE72" s="414"/>
      <c r="FIF72" s="414"/>
      <c r="FIG72" s="414"/>
      <c r="FIH72" s="414"/>
      <c r="FII72" s="414"/>
      <c r="FIJ72" s="414"/>
      <c r="FIK72" s="414"/>
      <c r="FIL72" s="414"/>
      <c r="FIM72" s="414"/>
      <c r="FIN72" s="414"/>
      <c r="FIO72" s="414"/>
      <c r="FIP72" s="414"/>
      <c r="FIQ72" s="414"/>
      <c r="FIR72" s="414"/>
      <c r="FIS72" s="414"/>
      <c r="FIT72" s="414"/>
      <c r="FIU72" s="414"/>
      <c r="FIV72" s="414"/>
      <c r="FIW72" s="414"/>
      <c r="FIX72" s="414"/>
      <c r="FIY72" s="414"/>
      <c r="FIZ72" s="414"/>
      <c r="FJA72" s="414"/>
      <c r="FJB72" s="414"/>
      <c r="FJC72" s="414"/>
      <c r="FJD72" s="414"/>
      <c r="FJE72" s="414"/>
      <c r="FJF72" s="414"/>
      <c r="FJG72" s="414"/>
      <c r="FJH72" s="414"/>
      <c r="FJI72" s="414"/>
      <c r="FJJ72" s="414"/>
      <c r="FJK72" s="414"/>
      <c r="FJL72" s="414"/>
      <c r="FJM72" s="414"/>
      <c r="FJN72" s="414"/>
      <c r="FJO72" s="414"/>
      <c r="FJP72" s="414"/>
      <c r="FJQ72" s="414"/>
      <c r="FJR72" s="414"/>
      <c r="FJS72" s="414"/>
      <c r="FJT72" s="414"/>
      <c r="FJU72" s="414"/>
      <c r="FJV72" s="414"/>
      <c r="FJW72" s="414"/>
      <c r="FJX72" s="414"/>
      <c r="FJY72" s="414"/>
      <c r="FJZ72" s="414"/>
      <c r="FKA72" s="414"/>
      <c r="FKB72" s="414"/>
      <c r="FKC72" s="414"/>
      <c r="FKD72" s="414"/>
      <c r="FKE72" s="414"/>
      <c r="FKF72" s="414"/>
      <c r="FKG72" s="414"/>
      <c r="FKH72" s="414"/>
      <c r="FKI72" s="414"/>
      <c r="FKJ72" s="414"/>
      <c r="FKK72" s="414"/>
      <c r="FKL72" s="414"/>
      <c r="FKM72" s="414"/>
      <c r="FKN72" s="414"/>
      <c r="FKO72" s="414"/>
      <c r="FKP72" s="414"/>
      <c r="FKQ72" s="414"/>
      <c r="FKR72" s="414"/>
      <c r="FKS72" s="414"/>
      <c r="FKT72" s="414"/>
      <c r="FKU72" s="414"/>
      <c r="FKV72" s="414"/>
      <c r="FKW72" s="414"/>
      <c r="FKX72" s="414"/>
      <c r="FKY72" s="414"/>
      <c r="FKZ72" s="414"/>
      <c r="FLA72" s="414"/>
      <c r="FLB72" s="414"/>
      <c r="FLC72" s="414"/>
      <c r="FLD72" s="414"/>
      <c r="FLE72" s="414"/>
      <c r="FLF72" s="414"/>
      <c r="FLG72" s="414"/>
      <c r="FLH72" s="414"/>
      <c r="FLI72" s="414"/>
      <c r="FLJ72" s="414"/>
      <c r="FLK72" s="414"/>
      <c r="FLL72" s="414"/>
      <c r="FLM72" s="414"/>
      <c r="FLN72" s="414"/>
      <c r="FLO72" s="414"/>
      <c r="FLP72" s="414"/>
      <c r="FLQ72" s="414"/>
      <c r="FLR72" s="414"/>
      <c r="FLS72" s="414"/>
      <c r="FLT72" s="414"/>
      <c r="FLU72" s="414"/>
      <c r="FLV72" s="414"/>
      <c r="FLW72" s="414"/>
      <c r="FLX72" s="414"/>
      <c r="FLY72" s="414"/>
      <c r="FLZ72" s="414"/>
      <c r="FMA72" s="414"/>
      <c r="FMB72" s="414"/>
      <c r="FMC72" s="414"/>
      <c r="FMD72" s="414"/>
      <c r="FME72" s="414"/>
      <c r="FMF72" s="414"/>
      <c r="FMG72" s="414"/>
      <c r="FMH72" s="414"/>
      <c r="FMI72" s="414"/>
      <c r="FMJ72" s="414"/>
      <c r="FMK72" s="414"/>
      <c r="FML72" s="414"/>
      <c r="FMM72" s="414"/>
      <c r="FMN72" s="414"/>
      <c r="FMO72" s="414"/>
      <c r="FMP72" s="414"/>
      <c r="FMQ72" s="414"/>
      <c r="FMR72" s="414"/>
      <c r="FMS72" s="414"/>
      <c r="FMT72" s="414"/>
      <c r="FMU72" s="414"/>
      <c r="FMV72" s="414"/>
      <c r="FMW72" s="414"/>
      <c r="FMX72" s="414"/>
      <c r="FMY72" s="414"/>
      <c r="FMZ72" s="414"/>
      <c r="FNA72" s="414"/>
      <c r="FNB72" s="414"/>
      <c r="FNC72" s="414"/>
      <c r="FND72" s="414"/>
      <c r="FNE72" s="414"/>
      <c r="FNF72" s="414"/>
      <c r="FNG72" s="414"/>
      <c r="FNH72" s="414"/>
      <c r="FNI72" s="414"/>
      <c r="FNJ72" s="414"/>
      <c r="FNK72" s="414"/>
      <c r="FNL72" s="414"/>
      <c r="FNM72" s="414"/>
      <c r="FNN72" s="414"/>
      <c r="FNO72" s="414"/>
      <c r="FNP72" s="414"/>
      <c r="FNQ72" s="414"/>
      <c r="FNR72" s="414"/>
      <c r="FNS72" s="414"/>
      <c r="FNT72" s="414"/>
      <c r="FNU72" s="414"/>
      <c r="FNV72" s="414"/>
      <c r="FNW72" s="414"/>
      <c r="FNX72" s="414"/>
      <c r="FNY72" s="414"/>
      <c r="FNZ72" s="414"/>
      <c r="FOA72" s="414"/>
      <c r="FOB72" s="414"/>
      <c r="FOC72" s="414"/>
      <c r="FOD72" s="414"/>
      <c r="FOE72" s="414"/>
      <c r="FOF72" s="414"/>
      <c r="FOG72" s="414"/>
      <c r="FOH72" s="414"/>
      <c r="FOI72" s="414"/>
      <c r="FOJ72" s="414"/>
      <c r="FOK72" s="414"/>
      <c r="FOL72" s="414"/>
      <c r="FOM72" s="414"/>
      <c r="FON72" s="414"/>
      <c r="FOO72" s="414"/>
      <c r="FOP72" s="414"/>
      <c r="FOQ72" s="414"/>
      <c r="FOR72" s="414"/>
      <c r="FOS72" s="414"/>
      <c r="FOT72" s="414"/>
      <c r="FOU72" s="414"/>
      <c r="FOV72" s="414"/>
      <c r="FOW72" s="414"/>
      <c r="FOX72" s="414"/>
      <c r="FOY72" s="414"/>
      <c r="FOZ72" s="414"/>
      <c r="FPA72" s="414"/>
      <c r="FPB72" s="414"/>
      <c r="FPC72" s="414"/>
      <c r="FPD72" s="414"/>
      <c r="FPE72" s="414"/>
      <c r="FPF72" s="414"/>
      <c r="FPG72" s="414"/>
      <c r="FPH72" s="414"/>
      <c r="FPI72" s="414"/>
      <c r="FPJ72" s="414"/>
      <c r="FPK72" s="414"/>
      <c r="FPL72" s="414"/>
      <c r="FPM72" s="414"/>
      <c r="FPN72" s="414"/>
      <c r="FPO72" s="414"/>
      <c r="FPP72" s="414"/>
      <c r="FPQ72" s="414"/>
      <c r="FPR72" s="414"/>
      <c r="FPS72" s="414"/>
      <c r="FPT72" s="414"/>
      <c r="FPU72" s="414"/>
      <c r="FPV72" s="414"/>
      <c r="FPW72" s="414"/>
      <c r="FPX72" s="414"/>
      <c r="FPY72" s="414"/>
      <c r="FPZ72" s="414"/>
      <c r="FQA72" s="414"/>
      <c r="FQB72" s="414"/>
      <c r="FQC72" s="414"/>
      <c r="FQD72" s="414"/>
      <c r="FQE72" s="414"/>
      <c r="FQF72" s="414"/>
      <c r="FQG72" s="414"/>
      <c r="FQH72" s="414"/>
      <c r="FQI72" s="414"/>
      <c r="FQJ72" s="414"/>
      <c r="FQK72" s="414"/>
      <c r="FQL72" s="414"/>
      <c r="FQM72" s="414"/>
      <c r="FQN72" s="414"/>
      <c r="FQO72" s="414"/>
      <c r="FQP72" s="414"/>
      <c r="FQQ72" s="414"/>
      <c r="FQR72" s="414"/>
      <c r="FQS72" s="414"/>
      <c r="FQT72" s="414"/>
      <c r="FQU72" s="414"/>
      <c r="FQV72" s="414"/>
      <c r="FQW72" s="414"/>
      <c r="FQX72" s="414"/>
      <c r="FQY72" s="414"/>
      <c r="FQZ72" s="414"/>
      <c r="FRA72" s="414"/>
      <c r="FRB72" s="414"/>
      <c r="FRC72" s="414"/>
      <c r="FRD72" s="414"/>
      <c r="FRE72" s="414"/>
      <c r="FRF72" s="414"/>
      <c r="FRG72" s="414"/>
      <c r="FRH72" s="414"/>
      <c r="FRI72" s="414"/>
      <c r="FRJ72" s="414"/>
      <c r="FRK72" s="414"/>
      <c r="FRL72" s="414"/>
      <c r="FRM72" s="414"/>
      <c r="FRN72" s="414"/>
      <c r="FRO72" s="414"/>
      <c r="FRP72" s="414"/>
      <c r="FRQ72" s="414"/>
      <c r="FRR72" s="414"/>
      <c r="FRS72" s="414"/>
      <c r="FRT72" s="414"/>
      <c r="FRU72" s="414"/>
      <c r="FRV72" s="414"/>
      <c r="FRW72" s="414"/>
      <c r="FRX72" s="414"/>
      <c r="FRY72" s="414"/>
      <c r="FRZ72" s="414"/>
      <c r="FSA72" s="414"/>
      <c r="FSB72" s="414"/>
      <c r="FSC72" s="414"/>
      <c r="FSD72" s="414"/>
      <c r="FSE72" s="414"/>
      <c r="FSF72" s="414"/>
      <c r="FSG72" s="414"/>
      <c r="FSH72" s="414"/>
      <c r="FSI72" s="414"/>
      <c r="FSJ72" s="414"/>
      <c r="FSK72" s="414"/>
      <c r="FSL72" s="414"/>
      <c r="FSM72" s="414"/>
      <c r="FSN72" s="414"/>
      <c r="FSO72" s="414"/>
      <c r="FSP72" s="414"/>
      <c r="FSQ72" s="414"/>
      <c r="FSR72" s="414"/>
      <c r="FSS72" s="414"/>
      <c r="FST72" s="414"/>
      <c r="FSU72" s="414"/>
      <c r="FSV72" s="414"/>
      <c r="FSW72" s="414"/>
      <c r="FSX72" s="414"/>
      <c r="FSY72" s="414"/>
      <c r="FSZ72" s="414"/>
      <c r="FTA72" s="414"/>
      <c r="FTB72" s="414"/>
      <c r="FTC72" s="414"/>
      <c r="FTD72" s="414"/>
      <c r="FTE72" s="414"/>
      <c r="FTF72" s="414"/>
      <c r="FTG72" s="414"/>
      <c r="FTH72" s="414"/>
      <c r="FTI72" s="414"/>
      <c r="FTJ72" s="414"/>
      <c r="FTK72" s="414"/>
      <c r="FTL72" s="414"/>
      <c r="FTM72" s="414"/>
      <c r="FTN72" s="414"/>
      <c r="FTO72" s="414"/>
      <c r="FTP72" s="414"/>
      <c r="FTQ72" s="414"/>
      <c r="FTR72" s="414"/>
      <c r="FTS72" s="414"/>
      <c r="FTT72" s="414"/>
      <c r="FTU72" s="414"/>
      <c r="FTV72" s="414"/>
      <c r="FTW72" s="414"/>
      <c r="FTX72" s="414"/>
      <c r="FTY72" s="414"/>
      <c r="FTZ72" s="414"/>
      <c r="FUA72" s="414"/>
      <c r="FUB72" s="414"/>
      <c r="FUC72" s="414"/>
      <c r="FUD72" s="414"/>
      <c r="FUE72" s="414"/>
      <c r="FUF72" s="414"/>
      <c r="FUG72" s="414"/>
      <c r="FUH72" s="414"/>
      <c r="FUI72" s="414"/>
      <c r="FUJ72" s="414"/>
      <c r="FUK72" s="414"/>
      <c r="FUL72" s="414"/>
      <c r="FUM72" s="414"/>
      <c r="FUN72" s="414"/>
      <c r="FUO72" s="414"/>
      <c r="FUP72" s="414"/>
      <c r="FUQ72" s="414"/>
      <c r="FUR72" s="414"/>
      <c r="FUS72" s="414"/>
      <c r="FUT72" s="414"/>
      <c r="FUU72" s="414"/>
      <c r="FUV72" s="414"/>
      <c r="FUW72" s="414"/>
      <c r="FUX72" s="414"/>
      <c r="FUY72" s="414"/>
      <c r="FUZ72" s="414"/>
      <c r="FVA72" s="414"/>
      <c r="FVB72" s="414"/>
      <c r="FVC72" s="414"/>
      <c r="FVD72" s="414"/>
      <c r="FVE72" s="414"/>
      <c r="FVF72" s="414"/>
      <c r="FVG72" s="414"/>
      <c r="FVH72" s="414"/>
      <c r="FVI72" s="414"/>
      <c r="FVJ72" s="414"/>
      <c r="FVK72" s="414"/>
      <c r="FVL72" s="414"/>
      <c r="FVM72" s="414"/>
      <c r="FVN72" s="414"/>
      <c r="FVO72" s="414"/>
      <c r="FVP72" s="414"/>
      <c r="FVQ72" s="414"/>
      <c r="FVR72" s="414"/>
      <c r="FVS72" s="414"/>
      <c r="FVT72" s="414"/>
      <c r="FVU72" s="414"/>
      <c r="FVV72" s="414"/>
      <c r="FVW72" s="414"/>
      <c r="FVX72" s="414"/>
      <c r="FVY72" s="414"/>
      <c r="FVZ72" s="414"/>
      <c r="FWA72" s="414"/>
      <c r="FWB72" s="414"/>
      <c r="FWC72" s="414"/>
      <c r="FWD72" s="414"/>
      <c r="FWE72" s="414"/>
      <c r="FWF72" s="414"/>
      <c r="FWG72" s="414"/>
      <c r="FWH72" s="414"/>
      <c r="FWI72" s="414"/>
      <c r="FWJ72" s="414"/>
      <c r="FWK72" s="414"/>
      <c r="FWL72" s="414"/>
      <c r="FWM72" s="414"/>
      <c r="FWN72" s="414"/>
      <c r="FWO72" s="414"/>
      <c r="FWP72" s="414"/>
      <c r="FWQ72" s="414"/>
      <c r="FWR72" s="414"/>
      <c r="FWS72" s="414"/>
      <c r="FWT72" s="414"/>
      <c r="FWU72" s="414"/>
      <c r="FWV72" s="414"/>
      <c r="FWW72" s="414"/>
      <c r="FWX72" s="414"/>
      <c r="FWY72" s="414"/>
      <c r="FWZ72" s="414"/>
      <c r="FXA72" s="414"/>
      <c r="FXB72" s="414"/>
      <c r="FXC72" s="414"/>
      <c r="FXD72" s="414"/>
      <c r="FXE72" s="414"/>
      <c r="FXF72" s="414"/>
      <c r="FXG72" s="414"/>
      <c r="FXH72" s="414"/>
      <c r="FXI72" s="414"/>
      <c r="FXJ72" s="414"/>
      <c r="FXK72" s="414"/>
      <c r="FXL72" s="414"/>
      <c r="FXM72" s="414"/>
      <c r="FXN72" s="414"/>
      <c r="FXO72" s="414"/>
      <c r="FXP72" s="414"/>
      <c r="FXQ72" s="414"/>
      <c r="FXR72" s="414"/>
      <c r="FXS72" s="414"/>
      <c r="FXT72" s="414"/>
      <c r="FXU72" s="414"/>
      <c r="FXV72" s="414"/>
      <c r="FXW72" s="414"/>
      <c r="FXX72" s="414"/>
      <c r="FXY72" s="414"/>
      <c r="FXZ72" s="414"/>
      <c r="FYA72" s="414"/>
      <c r="FYB72" s="414"/>
      <c r="FYC72" s="414"/>
      <c r="FYD72" s="414"/>
      <c r="FYE72" s="414"/>
      <c r="FYF72" s="414"/>
      <c r="FYG72" s="414"/>
      <c r="FYH72" s="414"/>
      <c r="FYI72" s="414"/>
      <c r="FYJ72" s="414"/>
      <c r="FYK72" s="414"/>
      <c r="FYL72" s="414"/>
      <c r="FYM72" s="414"/>
      <c r="FYN72" s="414"/>
      <c r="FYO72" s="414"/>
      <c r="FYP72" s="414"/>
      <c r="FYQ72" s="414"/>
      <c r="FYR72" s="414"/>
      <c r="FYS72" s="414"/>
      <c r="FYT72" s="414"/>
      <c r="FYU72" s="414"/>
      <c r="FYV72" s="414"/>
      <c r="FYW72" s="414"/>
      <c r="FYX72" s="414"/>
      <c r="FYY72" s="414"/>
      <c r="FYZ72" s="414"/>
      <c r="FZA72" s="414"/>
      <c r="FZB72" s="414"/>
      <c r="FZC72" s="414"/>
      <c r="FZD72" s="414"/>
      <c r="FZE72" s="414"/>
      <c r="FZF72" s="414"/>
      <c r="FZG72" s="414"/>
      <c r="FZH72" s="414"/>
      <c r="FZI72" s="414"/>
      <c r="FZJ72" s="414"/>
      <c r="FZK72" s="414"/>
      <c r="FZL72" s="414"/>
      <c r="FZM72" s="414"/>
      <c r="FZN72" s="414"/>
      <c r="FZO72" s="414"/>
      <c r="FZP72" s="414"/>
      <c r="FZQ72" s="414"/>
      <c r="FZR72" s="414"/>
      <c r="FZS72" s="414"/>
      <c r="FZT72" s="414"/>
      <c r="FZU72" s="414"/>
      <c r="FZV72" s="414"/>
      <c r="FZW72" s="414"/>
      <c r="FZX72" s="414"/>
      <c r="FZY72" s="414"/>
      <c r="FZZ72" s="414"/>
      <c r="GAA72" s="414"/>
      <c r="GAB72" s="414"/>
      <c r="GAC72" s="414"/>
      <c r="GAD72" s="414"/>
      <c r="GAE72" s="414"/>
      <c r="GAF72" s="414"/>
      <c r="GAG72" s="414"/>
      <c r="GAH72" s="414"/>
      <c r="GAI72" s="414"/>
      <c r="GAJ72" s="414"/>
      <c r="GAK72" s="414"/>
      <c r="GAL72" s="414"/>
      <c r="GAM72" s="414"/>
      <c r="GAN72" s="414"/>
      <c r="GAO72" s="414"/>
      <c r="GAP72" s="414"/>
      <c r="GAQ72" s="414"/>
      <c r="GAR72" s="414"/>
      <c r="GAS72" s="414"/>
      <c r="GAT72" s="414"/>
      <c r="GAU72" s="414"/>
      <c r="GAV72" s="414"/>
      <c r="GAW72" s="414"/>
      <c r="GAX72" s="414"/>
      <c r="GAY72" s="414"/>
      <c r="GAZ72" s="414"/>
      <c r="GBA72" s="414"/>
      <c r="GBB72" s="414"/>
      <c r="GBC72" s="414"/>
      <c r="GBD72" s="414"/>
      <c r="GBE72" s="414"/>
      <c r="GBF72" s="414"/>
      <c r="GBG72" s="414"/>
      <c r="GBH72" s="414"/>
      <c r="GBI72" s="414"/>
      <c r="GBJ72" s="414"/>
      <c r="GBK72" s="414"/>
      <c r="GBL72" s="414"/>
      <c r="GBM72" s="414"/>
      <c r="GBN72" s="414"/>
      <c r="GBO72" s="414"/>
      <c r="GBP72" s="414"/>
      <c r="GBQ72" s="414"/>
      <c r="GBR72" s="414"/>
      <c r="GBS72" s="414"/>
      <c r="GBT72" s="414"/>
      <c r="GBU72" s="414"/>
      <c r="GBV72" s="414"/>
      <c r="GBW72" s="414"/>
      <c r="GBX72" s="414"/>
      <c r="GBY72" s="414"/>
      <c r="GBZ72" s="414"/>
      <c r="GCA72" s="414"/>
      <c r="GCB72" s="414"/>
      <c r="GCC72" s="414"/>
      <c r="GCD72" s="414"/>
      <c r="GCE72" s="414"/>
      <c r="GCF72" s="414"/>
      <c r="GCG72" s="414"/>
      <c r="GCH72" s="414"/>
      <c r="GCI72" s="414"/>
      <c r="GCJ72" s="414"/>
      <c r="GCK72" s="414"/>
      <c r="GCL72" s="414"/>
      <c r="GCM72" s="414"/>
      <c r="GCN72" s="414"/>
      <c r="GCO72" s="414"/>
      <c r="GCP72" s="414"/>
      <c r="GCQ72" s="414"/>
      <c r="GCR72" s="414"/>
      <c r="GCS72" s="414"/>
      <c r="GCT72" s="414"/>
      <c r="GCU72" s="414"/>
      <c r="GCV72" s="414"/>
      <c r="GCW72" s="414"/>
      <c r="GCX72" s="414"/>
      <c r="GCY72" s="414"/>
      <c r="GCZ72" s="414"/>
      <c r="GDA72" s="414"/>
      <c r="GDB72" s="414"/>
      <c r="GDC72" s="414"/>
      <c r="GDD72" s="414"/>
      <c r="GDE72" s="414"/>
      <c r="GDF72" s="414"/>
      <c r="GDG72" s="414"/>
      <c r="GDH72" s="414"/>
      <c r="GDI72" s="414"/>
      <c r="GDJ72" s="414"/>
      <c r="GDK72" s="414"/>
      <c r="GDL72" s="414"/>
      <c r="GDM72" s="414"/>
      <c r="GDN72" s="414"/>
      <c r="GDO72" s="414"/>
      <c r="GDP72" s="414"/>
      <c r="GDQ72" s="414"/>
      <c r="GDR72" s="414"/>
      <c r="GDS72" s="414"/>
      <c r="GDT72" s="414"/>
      <c r="GDU72" s="414"/>
      <c r="GDV72" s="414"/>
      <c r="GDW72" s="414"/>
      <c r="GDX72" s="414"/>
      <c r="GDY72" s="414"/>
      <c r="GDZ72" s="414"/>
      <c r="GEA72" s="414"/>
      <c r="GEB72" s="414"/>
      <c r="GEC72" s="414"/>
      <c r="GED72" s="414"/>
      <c r="GEE72" s="414"/>
      <c r="GEF72" s="414"/>
      <c r="GEG72" s="414"/>
      <c r="GEH72" s="414"/>
      <c r="GEI72" s="414"/>
      <c r="GEJ72" s="414"/>
      <c r="GEK72" s="414"/>
      <c r="GEL72" s="414"/>
      <c r="GEM72" s="414"/>
      <c r="GEN72" s="414"/>
      <c r="GEO72" s="414"/>
      <c r="GEP72" s="414"/>
      <c r="GEQ72" s="414"/>
      <c r="GER72" s="414"/>
      <c r="GES72" s="414"/>
      <c r="GET72" s="414"/>
      <c r="GEU72" s="414"/>
      <c r="GEV72" s="414"/>
      <c r="GEW72" s="414"/>
      <c r="GEX72" s="414"/>
      <c r="GEY72" s="414"/>
      <c r="GEZ72" s="414"/>
      <c r="GFA72" s="414"/>
      <c r="GFB72" s="414"/>
      <c r="GFC72" s="414"/>
      <c r="GFD72" s="414"/>
      <c r="GFE72" s="414"/>
      <c r="GFF72" s="414"/>
      <c r="GFG72" s="414"/>
      <c r="GFH72" s="414"/>
      <c r="GFI72" s="414"/>
      <c r="GFJ72" s="414"/>
      <c r="GFK72" s="414"/>
      <c r="GFL72" s="414"/>
      <c r="GFM72" s="414"/>
      <c r="GFN72" s="414"/>
      <c r="GFO72" s="414"/>
      <c r="GFP72" s="414"/>
      <c r="GFQ72" s="414"/>
      <c r="GFR72" s="414"/>
      <c r="GFS72" s="414"/>
      <c r="GFT72" s="414"/>
      <c r="GFU72" s="414"/>
      <c r="GFV72" s="414"/>
      <c r="GFW72" s="414"/>
      <c r="GFX72" s="414"/>
      <c r="GFY72" s="414"/>
      <c r="GFZ72" s="414"/>
      <c r="GGA72" s="414"/>
      <c r="GGB72" s="414"/>
      <c r="GGC72" s="414"/>
      <c r="GGD72" s="414"/>
      <c r="GGE72" s="414"/>
      <c r="GGF72" s="414"/>
      <c r="GGG72" s="414"/>
      <c r="GGH72" s="414"/>
      <c r="GGI72" s="414"/>
      <c r="GGJ72" s="414"/>
      <c r="GGK72" s="414"/>
      <c r="GGL72" s="414"/>
      <c r="GGM72" s="414"/>
      <c r="GGN72" s="414"/>
      <c r="GGO72" s="414"/>
      <c r="GGP72" s="414"/>
      <c r="GGQ72" s="414"/>
      <c r="GGR72" s="414"/>
      <c r="GGS72" s="414"/>
      <c r="GGT72" s="414"/>
      <c r="GGU72" s="414"/>
      <c r="GGV72" s="414"/>
      <c r="GGW72" s="414"/>
      <c r="GGX72" s="414"/>
      <c r="GGY72" s="414"/>
      <c r="GGZ72" s="414"/>
      <c r="GHA72" s="414"/>
      <c r="GHB72" s="414"/>
      <c r="GHC72" s="414"/>
      <c r="GHD72" s="414"/>
      <c r="GHE72" s="414"/>
      <c r="GHF72" s="414"/>
      <c r="GHG72" s="414"/>
      <c r="GHH72" s="414"/>
      <c r="GHI72" s="414"/>
      <c r="GHJ72" s="414"/>
      <c r="GHK72" s="414"/>
      <c r="GHL72" s="414"/>
      <c r="GHM72" s="414"/>
      <c r="GHN72" s="414"/>
      <c r="GHO72" s="414"/>
      <c r="GHP72" s="414"/>
      <c r="GHQ72" s="414"/>
      <c r="GHR72" s="414"/>
      <c r="GHS72" s="414"/>
      <c r="GHT72" s="414"/>
      <c r="GHU72" s="414"/>
      <c r="GHV72" s="414"/>
      <c r="GHW72" s="414"/>
      <c r="GHX72" s="414"/>
      <c r="GHY72" s="414"/>
      <c r="GHZ72" s="414"/>
      <c r="GIA72" s="414"/>
      <c r="GIB72" s="414"/>
      <c r="GIC72" s="414"/>
      <c r="GID72" s="414"/>
      <c r="GIE72" s="414"/>
      <c r="GIF72" s="414"/>
      <c r="GIG72" s="414"/>
      <c r="GIH72" s="414"/>
      <c r="GII72" s="414"/>
      <c r="GIJ72" s="414"/>
      <c r="GIK72" s="414"/>
      <c r="GIL72" s="414"/>
      <c r="GIM72" s="414"/>
      <c r="GIN72" s="414"/>
      <c r="GIO72" s="414"/>
      <c r="GIP72" s="414"/>
      <c r="GIQ72" s="414"/>
      <c r="GIR72" s="414"/>
      <c r="GIS72" s="414"/>
      <c r="GIT72" s="414"/>
      <c r="GIU72" s="414"/>
      <c r="GIV72" s="414"/>
      <c r="GIW72" s="414"/>
      <c r="GIX72" s="414"/>
      <c r="GIY72" s="414"/>
      <c r="GIZ72" s="414"/>
      <c r="GJA72" s="414"/>
      <c r="GJB72" s="414"/>
      <c r="GJC72" s="414"/>
      <c r="GJD72" s="414"/>
      <c r="GJE72" s="414"/>
      <c r="GJF72" s="414"/>
      <c r="GJG72" s="414"/>
      <c r="GJH72" s="414"/>
      <c r="GJI72" s="414"/>
      <c r="GJJ72" s="414"/>
      <c r="GJK72" s="414"/>
      <c r="GJL72" s="414"/>
      <c r="GJM72" s="414"/>
      <c r="GJN72" s="414"/>
      <c r="GJO72" s="414"/>
      <c r="GJP72" s="414"/>
      <c r="GJQ72" s="414"/>
      <c r="GJR72" s="414"/>
      <c r="GJS72" s="414"/>
      <c r="GJT72" s="414"/>
      <c r="GJU72" s="414"/>
      <c r="GJV72" s="414"/>
      <c r="GJW72" s="414"/>
      <c r="GJX72" s="414"/>
      <c r="GJY72" s="414"/>
      <c r="GJZ72" s="414"/>
      <c r="GKA72" s="414"/>
      <c r="GKB72" s="414"/>
      <c r="GKC72" s="414"/>
      <c r="GKD72" s="414"/>
      <c r="GKE72" s="414"/>
      <c r="GKF72" s="414"/>
      <c r="GKG72" s="414"/>
      <c r="GKH72" s="414"/>
      <c r="GKI72" s="414"/>
      <c r="GKJ72" s="414"/>
      <c r="GKK72" s="414"/>
      <c r="GKL72" s="414"/>
      <c r="GKM72" s="414"/>
      <c r="GKN72" s="414"/>
      <c r="GKO72" s="414"/>
      <c r="GKP72" s="414"/>
      <c r="GKQ72" s="414"/>
      <c r="GKR72" s="414"/>
      <c r="GKS72" s="414"/>
      <c r="GKT72" s="414"/>
      <c r="GKU72" s="414"/>
      <c r="GKV72" s="414"/>
      <c r="GKW72" s="414"/>
      <c r="GKX72" s="414"/>
      <c r="GKY72" s="414"/>
      <c r="GKZ72" s="414"/>
      <c r="GLA72" s="414"/>
      <c r="GLB72" s="414"/>
      <c r="GLC72" s="414"/>
      <c r="GLD72" s="414"/>
      <c r="GLE72" s="414"/>
      <c r="GLF72" s="414"/>
      <c r="GLG72" s="414"/>
      <c r="GLH72" s="414"/>
      <c r="GLI72" s="414"/>
      <c r="GLJ72" s="414"/>
      <c r="GLK72" s="414"/>
      <c r="GLL72" s="414"/>
      <c r="GLM72" s="414"/>
      <c r="GLN72" s="414"/>
      <c r="GLO72" s="414"/>
      <c r="GLP72" s="414"/>
      <c r="GLQ72" s="414"/>
      <c r="GLR72" s="414"/>
      <c r="GLS72" s="414"/>
      <c r="GLT72" s="414"/>
      <c r="GLU72" s="414"/>
      <c r="GLV72" s="414"/>
      <c r="GLW72" s="414"/>
      <c r="GLX72" s="414"/>
      <c r="GLY72" s="414"/>
      <c r="GLZ72" s="414"/>
      <c r="GMA72" s="414"/>
      <c r="GMB72" s="414"/>
      <c r="GMC72" s="414"/>
      <c r="GMD72" s="414"/>
      <c r="GME72" s="414"/>
      <c r="GMF72" s="414"/>
      <c r="GMG72" s="414"/>
      <c r="GMH72" s="414"/>
      <c r="GMI72" s="414"/>
      <c r="GMJ72" s="414"/>
      <c r="GMK72" s="414"/>
      <c r="GML72" s="414"/>
      <c r="GMM72" s="414"/>
      <c r="GMN72" s="414"/>
      <c r="GMO72" s="414"/>
      <c r="GMP72" s="414"/>
      <c r="GMQ72" s="414"/>
      <c r="GMR72" s="414"/>
      <c r="GMS72" s="414"/>
      <c r="GMT72" s="414"/>
      <c r="GMU72" s="414"/>
      <c r="GMV72" s="414"/>
      <c r="GMW72" s="414"/>
      <c r="GMX72" s="414"/>
      <c r="GMY72" s="414"/>
      <c r="GMZ72" s="414"/>
      <c r="GNA72" s="414"/>
      <c r="GNB72" s="414"/>
      <c r="GNC72" s="414"/>
      <c r="GND72" s="414"/>
      <c r="GNE72" s="414"/>
      <c r="GNF72" s="414"/>
      <c r="GNG72" s="414"/>
      <c r="GNH72" s="414"/>
      <c r="GNI72" s="414"/>
      <c r="GNJ72" s="414"/>
      <c r="GNK72" s="414"/>
      <c r="GNL72" s="414"/>
      <c r="GNM72" s="414"/>
      <c r="GNN72" s="414"/>
      <c r="GNO72" s="414"/>
      <c r="GNP72" s="414"/>
      <c r="GNQ72" s="414"/>
      <c r="GNR72" s="414"/>
      <c r="GNS72" s="414"/>
      <c r="GNT72" s="414"/>
      <c r="GNU72" s="414"/>
      <c r="GNV72" s="414"/>
      <c r="GNW72" s="414"/>
      <c r="GNX72" s="414"/>
      <c r="GNY72" s="414"/>
      <c r="GNZ72" s="414"/>
      <c r="GOA72" s="414"/>
      <c r="GOB72" s="414"/>
      <c r="GOC72" s="414"/>
      <c r="GOD72" s="414"/>
      <c r="GOE72" s="414"/>
      <c r="GOF72" s="414"/>
      <c r="GOG72" s="414"/>
      <c r="GOH72" s="414"/>
      <c r="GOI72" s="414"/>
      <c r="GOJ72" s="414"/>
      <c r="GOK72" s="414"/>
      <c r="GOL72" s="414"/>
      <c r="GOM72" s="414"/>
      <c r="GON72" s="414"/>
      <c r="GOO72" s="414"/>
      <c r="GOP72" s="414"/>
      <c r="GOQ72" s="414"/>
      <c r="GOR72" s="414"/>
      <c r="GOS72" s="414"/>
      <c r="GOT72" s="414"/>
      <c r="GOU72" s="414"/>
      <c r="GOV72" s="414"/>
      <c r="GOW72" s="414"/>
      <c r="GOX72" s="414"/>
      <c r="GOY72" s="414"/>
      <c r="GOZ72" s="414"/>
      <c r="GPA72" s="414"/>
      <c r="GPB72" s="414"/>
      <c r="GPC72" s="414"/>
      <c r="GPD72" s="414"/>
      <c r="GPE72" s="414"/>
      <c r="GPF72" s="414"/>
      <c r="GPG72" s="414"/>
      <c r="GPH72" s="414"/>
      <c r="GPI72" s="414"/>
      <c r="GPJ72" s="414"/>
      <c r="GPK72" s="414"/>
      <c r="GPL72" s="414"/>
      <c r="GPM72" s="414"/>
      <c r="GPN72" s="414"/>
      <c r="GPO72" s="414"/>
      <c r="GPP72" s="414"/>
      <c r="GPQ72" s="414"/>
      <c r="GPR72" s="414"/>
      <c r="GPS72" s="414"/>
      <c r="GPT72" s="414"/>
      <c r="GPU72" s="414"/>
      <c r="GPV72" s="414"/>
      <c r="GPW72" s="414"/>
      <c r="GPX72" s="414"/>
      <c r="GPY72" s="414"/>
      <c r="GPZ72" s="414"/>
      <c r="GQA72" s="414"/>
      <c r="GQB72" s="414"/>
      <c r="GQC72" s="414"/>
      <c r="GQD72" s="414"/>
      <c r="GQE72" s="414"/>
      <c r="GQF72" s="414"/>
      <c r="GQG72" s="414"/>
      <c r="GQH72" s="414"/>
      <c r="GQI72" s="414"/>
      <c r="GQJ72" s="414"/>
      <c r="GQK72" s="414"/>
      <c r="GQL72" s="414"/>
      <c r="GQM72" s="414"/>
      <c r="GQN72" s="414"/>
      <c r="GQO72" s="414"/>
      <c r="GQP72" s="414"/>
      <c r="GQQ72" s="414"/>
      <c r="GQR72" s="414"/>
      <c r="GQS72" s="414"/>
      <c r="GQT72" s="414"/>
      <c r="GQU72" s="414"/>
      <c r="GQV72" s="414"/>
      <c r="GQW72" s="414"/>
      <c r="GQX72" s="414"/>
      <c r="GQY72" s="414"/>
      <c r="GQZ72" s="414"/>
      <c r="GRA72" s="414"/>
      <c r="GRB72" s="414"/>
      <c r="GRC72" s="414"/>
      <c r="GRD72" s="414"/>
      <c r="GRE72" s="414"/>
      <c r="GRF72" s="414"/>
      <c r="GRG72" s="414"/>
      <c r="GRH72" s="414"/>
      <c r="GRI72" s="414"/>
      <c r="GRJ72" s="414"/>
      <c r="GRK72" s="414"/>
      <c r="GRL72" s="414"/>
      <c r="GRM72" s="414"/>
      <c r="GRN72" s="414"/>
      <c r="GRO72" s="414"/>
      <c r="GRP72" s="414"/>
      <c r="GRQ72" s="414"/>
      <c r="GRR72" s="414"/>
      <c r="GRS72" s="414"/>
      <c r="GRT72" s="414"/>
      <c r="GRU72" s="414"/>
      <c r="GRV72" s="414"/>
      <c r="GRW72" s="414"/>
      <c r="GRX72" s="414"/>
      <c r="GRY72" s="414"/>
      <c r="GRZ72" s="414"/>
      <c r="GSA72" s="414"/>
      <c r="GSB72" s="414"/>
      <c r="GSC72" s="414"/>
      <c r="GSD72" s="414"/>
      <c r="GSE72" s="414"/>
      <c r="GSF72" s="414"/>
      <c r="GSG72" s="414"/>
      <c r="GSH72" s="414"/>
      <c r="GSI72" s="414"/>
      <c r="GSJ72" s="414"/>
      <c r="GSK72" s="414"/>
      <c r="GSL72" s="414"/>
      <c r="GSM72" s="414"/>
      <c r="GSN72" s="414"/>
      <c r="GSO72" s="414"/>
      <c r="GSP72" s="414"/>
      <c r="GSQ72" s="414"/>
      <c r="GSR72" s="414"/>
      <c r="GSS72" s="414"/>
      <c r="GST72" s="414"/>
      <c r="GSU72" s="414"/>
      <c r="GSV72" s="414"/>
      <c r="GSW72" s="414"/>
      <c r="GSX72" s="414"/>
      <c r="GSY72" s="414"/>
      <c r="GSZ72" s="414"/>
      <c r="GTA72" s="414"/>
      <c r="GTB72" s="414"/>
      <c r="GTC72" s="414"/>
      <c r="GTD72" s="414"/>
      <c r="GTE72" s="414"/>
      <c r="GTF72" s="414"/>
      <c r="GTG72" s="414"/>
      <c r="GTH72" s="414"/>
      <c r="GTI72" s="414"/>
      <c r="GTJ72" s="414"/>
      <c r="GTK72" s="414"/>
      <c r="GTL72" s="414"/>
      <c r="GTM72" s="414"/>
      <c r="GTN72" s="414"/>
      <c r="GTO72" s="414"/>
      <c r="GTP72" s="414"/>
      <c r="GTQ72" s="414"/>
      <c r="GTR72" s="414"/>
      <c r="GTS72" s="414"/>
      <c r="GTT72" s="414"/>
      <c r="GTU72" s="414"/>
      <c r="GTV72" s="414"/>
      <c r="GTW72" s="414"/>
      <c r="GTX72" s="414"/>
      <c r="GTY72" s="414"/>
      <c r="GTZ72" s="414"/>
      <c r="GUA72" s="414"/>
      <c r="GUB72" s="414"/>
      <c r="GUC72" s="414"/>
      <c r="GUD72" s="414"/>
      <c r="GUE72" s="414"/>
      <c r="GUF72" s="414"/>
      <c r="GUG72" s="414"/>
      <c r="GUH72" s="414"/>
      <c r="GUI72" s="414"/>
      <c r="GUJ72" s="414"/>
      <c r="GUK72" s="414"/>
      <c r="GUL72" s="414"/>
      <c r="GUM72" s="414"/>
      <c r="GUN72" s="414"/>
      <c r="GUO72" s="414"/>
      <c r="GUP72" s="414"/>
      <c r="GUQ72" s="414"/>
      <c r="GUR72" s="414"/>
      <c r="GUS72" s="414"/>
      <c r="GUT72" s="414"/>
      <c r="GUU72" s="414"/>
      <c r="GUV72" s="414"/>
      <c r="GUW72" s="414"/>
      <c r="GUX72" s="414"/>
      <c r="GUY72" s="414"/>
      <c r="GUZ72" s="414"/>
      <c r="GVA72" s="414"/>
      <c r="GVB72" s="414"/>
      <c r="GVC72" s="414"/>
      <c r="GVD72" s="414"/>
      <c r="GVE72" s="414"/>
      <c r="GVF72" s="414"/>
      <c r="GVG72" s="414"/>
      <c r="GVH72" s="414"/>
      <c r="GVI72" s="414"/>
      <c r="GVJ72" s="414"/>
      <c r="GVK72" s="414"/>
      <c r="GVL72" s="414"/>
      <c r="GVM72" s="414"/>
      <c r="GVN72" s="414"/>
      <c r="GVO72" s="414"/>
      <c r="GVP72" s="414"/>
      <c r="GVQ72" s="414"/>
      <c r="GVR72" s="414"/>
      <c r="GVS72" s="414"/>
      <c r="GVT72" s="414"/>
      <c r="GVU72" s="414"/>
      <c r="GVV72" s="414"/>
      <c r="GVW72" s="414"/>
      <c r="GVX72" s="414"/>
      <c r="GVY72" s="414"/>
      <c r="GVZ72" s="414"/>
      <c r="GWA72" s="414"/>
      <c r="GWB72" s="414"/>
      <c r="GWC72" s="414"/>
      <c r="GWD72" s="414"/>
      <c r="GWE72" s="414"/>
      <c r="GWF72" s="414"/>
      <c r="GWG72" s="414"/>
      <c r="GWH72" s="414"/>
      <c r="GWI72" s="414"/>
      <c r="GWJ72" s="414"/>
      <c r="GWK72" s="414"/>
      <c r="GWL72" s="414"/>
      <c r="GWM72" s="414"/>
      <c r="GWN72" s="414"/>
      <c r="GWO72" s="414"/>
      <c r="GWP72" s="414"/>
      <c r="GWQ72" s="414"/>
      <c r="GWR72" s="414"/>
      <c r="GWS72" s="414"/>
      <c r="GWT72" s="414"/>
      <c r="GWU72" s="414"/>
      <c r="GWV72" s="414"/>
      <c r="GWW72" s="414"/>
      <c r="GWX72" s="414"/>
      <c r="GWY72" s="414"/>
      <c r="GWZ72" s="414"/>
      <c r="GXA72" s="414"/>
      <c r="GXB72" s="414"/>
      <c r="GXC72" s="414"/>
      <c r="GXD72" s="414"/>
      <c r="GXE72" s="414"/>
      <c r="GXF72" s="414"/>
      <c r="GXG72" s="414"/>
      <c r="GXH72" s="414"/>
      <c r="GXI72" s="414"/>
      <c r="GXJ72" s="414"/>
      <c r="GXK72" s="414"/>
      <c r="GXL72" s="414"/>
      <c r="GXM72" s="414"/>
      <c r="GXN72" s="414"/>
      <c r="GXO72" s="414"/>
      <c r="GXP72" s="414"/>
      <c r="GXQ72" s="414"/>
      <c r="GXR72" s="414"/>
      <c r="GXS72" s="414"/>
      <c r="GXT72" s="414"/>
      <c r="GXU72" s="414"/>
      <c r="GXV72" s="414"/>
      <c r="GXW72" s="414"/>
      <c r="GXX72" s="414"/>
      <c r="GXY72" s="414"/>
      <c r="GXZ72" s="414"/>
      <c r="GYA72" s="414"/>
      <c r="GYB72" s="414"/>
      <c r="GYC72" s="414"/>
      <c r="GYD72" s="414"/>
      <c r="GYE72" s="414"/>
      <c r="GYF72" s="414"/>
      <c r="GYG72" s="414"/>
      <c r="GYH72" s="414"/>
      <c r="GYI72" s="414"/>
      <c r="GYJ72" s="414"/>
      <c r="GYK72" s="414"/>
      <c r="GYL72" s="414"/>
      <c r="GYM72" s="414"/>
      <c r="GYN72" s="414"/>
      <c r="GYO72" s="414"/>
      <c r="GYP72" s="414"/>
      <c r="GYQ72" s="414"/>
      <c r="GYR72" s="414"/>
      <c r="GYS72" s="414"/>
      <c r="GYT72" s="414"/>
      <c r="GYU72" s="414"/>
      <c r="GYV72" s="414"/>
      <c r="GYW72" s="414"/>
      <c r="GYX72" s="414"/>
      <c r="GYY72" s="414"/>
      <c r="GYZ72" s="414"/>
      <c r="GZA72" s="414"/>
      <c r="GZB72" s="414"/>
      <c r="GZC72" s="414"/>
      <c r="GZD72" s="414"/>
      <c r="GZE72" s="414"/>
      <c r="GZF72" s="414"/>
      <c r="GZG72" s="414"/>
      <c r="GZH72" s="414"/>
      <c r="GZI72" s="414"/>
      <c r="GZJ72" s="414"/>
      <c r="GZK72" s="414"/>
      <c r="GZL72" s="414"/>
      <c r="GZM72" s="414"/>
      <c r="GZN72" s="414"/>
      <c r="GZO72" s="414"/>
      <c r="GZP72" s="414"/>
      <c r="GZQ72" s="414"/>
      <c r="GZR72" s="414"/>
      <c r="GZS72" s="414"/>
      <c r="GZT72" s="414"/>
      <c r="GZU72" s="414"/>
      <c r="GZV72" s="414"/>
      <c r="GZW72" s="414"/>
      <c r="GZX72" s="414"/>
      <c r="GZY72" s="414"/>
      <c r="GZZ72" s="414"/>
      <c r="HAA72" s="414"/>
      <c r="HAB72" s="414"/>
      <c r="HAC72" s="414"/>
      <c r="HAD72" s="414"/>
      <c r="HAE72" s="414"/>
      <c r="HAF72" s="414"/>
      <c r="HAG72" s="414"/>
      <c r="HAH72" s="414"/>
      <c r="HAI72" s="414"/>
      <c r="HAJ72" s="414"/>
      <c r="HAK72" s="414"/>
      <c r="HAL72" s="414"/>
      <c r="HAM72" s="414"/>
      <c r="HAN72" s="414"/>
      <c r="HAO72" s="414"/>
      <c r="HAP72" s="414"/>
      <c r="HAQ72" s="414"/>
      <c r="HAR72" s="414"/>
      <c r="HAS72" s="414"/>
      <c r="HAT72" s="414"/>
      <c r="HAU72" s="414"/>
      <c r="HAV72" s="414"/>
      <c r="HAW72" s="414"/>
      <c r="HAX72" s="414"/>
      <c r="HAY72" s="414"/>
      <c r="HAZ72" s="414"/>
      <c r="HBA72" s="414"/>
      <c r="HBB72" s="414"/>
      <c r="HBC72" s="414"/>
      <c r="HBD72" s="414"/>
      <c r="HBE72" s="414"/>
      <c r="HBF72" s="414"/>
      <c r="HBG72" s="414"/>
      <c r="HBH72" s="414"/>
      <c r="HBI72" s="414"/>
      <c r="HBJ72" s="414"/>
      <c r="HBK72" s="414"/>
      <c r="HBL72" s="414"/>
      <c r="HBM72" s="414"/>
      <c r="HBN72" s="414"/>
      <c r="HBO72" s="414"/>
      <c r="HBP72" s="414"/>
      <c r="HBQ72" s="414"/>
      <c r="HBR72" s="414"/>
      <c r="HBS72" s="414"/>
      <c r="HBT72" s="414"/>
      <c r="HBU72" s="414"/>
      <c r="HBV72" s="414"/>
      <c r="HBW72" s="414"/>
      <c r="HBX72" s="414"/>
      <c r="HBY72" s="414"/>
      <c r="HBZ72" s="414"/>
      <c r="HCA72" s="414"/>
      <c r="HCB72" s="414"/>
      <c r="HCC72" s="414"/>
      <c r="HCD72" s="414"/>
      <c r="HCE72" s="414"/>
      <c r="HCF72" s="414"/>
      <c r="HCG72" s="414"/>
      <c r="HCH72" s="414"/>
      <c r="HCI72" s="414"/>
      <c r="HCJ72" s="414"/>
      <c r="HCK72" s="414"/>
      <c r="HCL72" s="414"/>
      <c r="HCM72" s="414"/>
      <c r="HCN72" s="414"/>
      <c r="HCO72" s="414"/>
      <c r="HCP72" s="414"/>
      <c r="HCQ72" s="414"/>
      <c r="HCR72" s="414"/>
      <c r="HCS72" s="414"/>
      <c r="HCT72" s="414"/>
      <c r="HCU72" s="414"/>
      <c r="HCV72" s="414"/>
      <c r="HCW72" s="414"/>
      <c r="HCX72" s="414"/>
      <c r="HCY72" s="414"/>
      <c r="HCZ72" s="414"/>
      <c r="HDA72" s="414"/>
      <c r="HDB72" s="414"/>
      <c r="HDC72" s="414"/>
      <c r="HDD72" s="414"/>
      <c r="HDE72" s="414"/>
      <c r="HDF72" s="414"/>
      <c r="HDG72" s="414"/>
      <c r="HDH72" s="414"/>
      <c r="HDI72" s="414"/>
      <c r="HDJ72" s="414"/>
      <c r="HDK72" s="414"/>
      <c r="HDL72" s="414"/>
      <c r="HDM72" s="414"/>
      <c r="HDN72" s="414"/>
      <c r="HDO72" s="414"/>
      <c r="HDP72" s="414"/>
      <c r="HDQ72" s="414"/>
      <c r="HDR72" s="414"/>
      <c r="HDS72" s="414"/>
      <c r="HDT72" s="414"/>
      <c r="HDU72" s="414"/>
      <c r="HDV72" s="414"/>
      <c r="HDW72" s="414"/>
      <c r="HDX72" s="414"/>
      <c r="HDY72" s="414"/>
      <c r="HDZ72" s="414"/>
      <c r="HEA72" s="414"/>
      <c r="HEB72" s="414"/>
      <c r="HEC72" s="414"/>
      <c r="HED72" s="414"/>
      <c r="HEE72" s="414"/>
      <c r="HEF72" s="414"/>
      <c r="HEG72" s="414"/>
      <c r="HEH72" s="414"/>
      <c r="HEI72" s="414"/>
      <c r="HEJ72" s="414"/>
      <c r="HEK72" s="414"/>
      <c r="HEL72" s="414"/>
      <c r="HEM72" s="414"/>
      <c r="HEN72" s="414"/>
      <c r="HEO72" s="414"/>
      <c r="HEP72" s="414"/>
      <c r="HEQ72" s="414"/>
      <c r="HER72" s="414"/>
      <c r="HES72" s="414"/>
      <c r="HET72" s="414"/>
      <c r="HEU72" s="414"/>
      <c r="HEV72" s="414"/>
      <c r="HEW72" s="414"/>
      <c r="HEX72" s="414"/>
      <c r="HEY72" s="414"/>
      <c r="HEZ72" s="414"/>
      <c r="HFA72" s="414"/>
      <c r="HFB72" s="414"/>
      <c r="HFC72" s="414"/>
      <c r="HFD72" s="414"/>
      <c r="HFE72" s="414"/>
      <c r="HFF72" s="414"/>
      <c r="HFG72" s="414"/>
      <c r="HFH72" s="414"/>
      <c r="HFI72" s="414"/>
      <c r="HFJ72" s="414"/>
      <c r="HFK72" s="414"/>
      <c r="HFL72" s="414"/>
      <c r="HFM72" s="414"/>
      <c r="HFN72" s="414"/>
      <c r="HFO72" s="414"/>
      <c r="HFP72" s="414"/>
      <c r="HFQ72" s="414"/>
      <c r="HFR72" s="414"/>
      <c r="HFS72" s="414"/>
      <c r="HFT72" s="414"/>
      <c r="HFU72" s="414"/>
      <c r="HFV72" s="414"/>
      <c r="HFW72" s="414"/>
      <c r="HFX72" s="414"/>
      <c r="HFY72" s="414"/>
      <c r="HFZ72" s="414"/>
      <c r="HGA72" s="414"/>
      <c r="HGB72" s="414"/>
      <c r="HGC72" s="414"/>
      <c r="HGD72" s="414"/>
      <c r="HGE72" s="414"/>
      <c r="HGF72" s="414"/>
      <c r="HGG72" s="414"/>
      <c r="HGH72" s="414"/>
      <c r="HGI72" s="414"/>
      <c r="HGJ72" s="414"/>
      <c r="HGK72" s="414"/>
      <c r="HGL72" s="414"/>
      <c r="HGM72" s="414"/>
      <c r="HGN72" s="414"/>
      <c r="HGO72" s="414"/>
      <c r="HGP72" s="414"/>
      <c r="HGQ72" s="414"/>
      <c r="HGR72" s="414"/>
      <c r="HGS72" s="414"/>
      <c r="HGT72" s="414"/>
      <c r="HGU72" s="414"/>
      <c r="HGV72" s="414"/>
      <c r="HGW72" s="414"/>
      <c r="HGX72" s="414"/>
      <c r="HGY72" s="414"/>
      <c r="HGZ72" s="414"/>
      <c r="HHA72" s="414"/>
      <c r="HHB72" s="414"/>
      <c r="HHC72" s="414"/>
      <c r="HHD72" s="414"/>
      <c r="HHE72" s="414"/>
      <c r="HHF72" s="414"/>
      <c r="HHG72" s="414"/>
      <c r="HHH72" s="414"/>
      <c r="HHI72" s="414"/>
      <c r="HHJ72" s="414"/>
      <c r="HHK72" s="414"/>
      <c r="HHL72" s="414"/>
      <c r="HHM72" s="414"/>
      <c r="HHN72" s="414"/>
      <c r="HHO72" s="414"/>
      <c r="HHP72" s="414"/>
      <c r="HHQ72" s="414"/>
      <c r="HHR72" s="414"/>
      <c r="HHS72" s="414"/>
      <c r="HHT72" s="414"/>
      <c r="HHU72" s="414"/>
      <c r="HHV72" s="414"/>
      <c r="HHW72" s="414"/>
      <c r="HHX72" s="414"/>
      <c r="HHY72" s="414"/>
      <c r="HHZ72" s="414"/>
      <c r="HIA72" s="414"/>
      <c r="HIB72" s="414"/>
      <c r="HIC72" s="414"/>
      <c r="HID72" s="414"/>
      <c r="HIE72" s="414"/>
      <c r="HIF72" s="414"/>
      <c r="HIG72" s="414"/>
      <c r="HIH72" s="414"/>
      <c r="HII72" s="414"/>
      <c r="HIJ72" s="414"/>
      <c r="HIK72" s="414"/>
      <c r="HIL72" s="414"/>
      <c r="HIM72" s="414"/>
      <c r="HIN72" s="414"/>
      <c r="HIO72" s="414"/>
      <c r="HIP72" s="414"/>
      <c r="HIQ72" s="414"/>
      <c r="HIR72" s="414"/>
      <c r="HIS72" s="414"/>
      <c r="HIT72" s="414"/>
      <c r="HIU72" s="414"/>
      <c r="HIV72" s="414"/>
      <c r="HIW72" s="414"/>
      <c r="HIX72" s="414"/>
      <c r="HIY72" s="414"/>
      <c r="HIZ72" s="414"/>
      <c r="HJA72" s="414"/>
      <c r="HJB72" s="414"/>
      <c r="HJC72" s="414"/>
      <c r="HJD72" s="414"/>
      <c r="HJE72" s="414"/>
      <c r="HJF72" s="414"/>
      <c r="HJG72" s="414"/>
      <c r="HJH72" s="414"/>
      <c r="HJI72" s="414"/>
      <c r="HJJ72" s="414"/>
      <c r="HJK72" s="414"/>
      <c r="HJL72" s="414"/>
      <c r="HJM72" s="414"/>
      <c r="HJN72" s="414"/>
      <c r="HJO72" s="414"/>
      <c r="HJP72" s="414"/>
      <c r="HJQ72" s="414"/>
      <c r="HJR72" s="414"/>
      <c r="HJS72" s="414"/>
      <c r="HJT72" s="414"/>
      <c r="HJU72" s="414"/>
      <c r="HJV72" s="414"/>
      <c r="HJW72" s="414"/>
      <c r="HJX72" s="414"/>
      <c r="HJY72" s="414"/>
      <c r="HJZ72" s="414"/>
      <c r="HKA72" s="414"/>
      <c r="HKB72" s="414"/>
      <c r="HKC72" s="414"/>
      <c r="HKD72" s="414"/>
      <c r="HKE72" s="414"/>
      <c r="HKF72" s="414"/>
      <c r="HKG72" s="414"/>
      <c r="HKH72" s="414"/>
      <c r="HKI72" s="414"/>
      <c r="HKJ72" s="414"/>
      <c r="HKK72" s="414"/>
      <c r="HKL72" s="414"/>
      <c r="HKM72" s="414"/>
      <c r="HKN72" s="414"/>
      <c r="HKO72" s="414"/>
      <c r="HKP72" s="414"/>
      <c r="HKQ72" s="414"/>
      <c r="HKR72" s="414"/>
      <c r="HKS72" s="414"/>
      <c r="HKT72" s="414"/>
      <c r="HKU72" s="414"/>
      <c r="HKV72" s="414"/>
      <c r="HKW72" s="414"/>
      <c r="HKX72" s="414"/>
      <c r="HKY72" s="414"/>
      <c r="HKZ72" s="414"/>
      <c r="HLA72" s="414"/>
      <c r="HLB72" s="414"/>
      <c r="HLC72" s="414"/>
      <c r="HLD72" s="414"/>
      <c r="HLE72" s="414"/>
      <c r="HLF72" s="414"/>
      <c r="HLG72" s="414"/>
      <c r="HLH72" s="414"/>
      <c r="HLI72" s="414"/>
      <c r="HLJ72" s="414"/>
      <c r="HLK72" s="414"/>
      <c r="HLL72" s="414"/>
      <c r="HLM72" s="414"/>
      <c r="HLN72" s="414"/>
      <c r="HLO72" s="414"/>
      <c r="HLP72" s="414"/>
      <c r="HLQ72" s="414"/>
      <c r="HLR72" s="414"/>
      <c r="HLS72" s="414"/>
      <c r="HLT72" s="414"/>
      <c r="HLU72" s="414"/>
      <c r="HLV72" s="414"/>
      <c r="HLW72" s="414"/>
      <c r="HLX72" s="414"/>
      <c r="HLY72" s="414"/>
      <c r="HLZ72" s="414"/>
      <c r="HMA72" s="414"/>
      <c r="HMB72" s="414"/>
      <c r="HMC72" s="414"/>
      <c r="HMD72" s="414"/>
      <c r="HME72" s="414"/>
      <c r="HMF72" s="414"/>
      <c r="HMG72" s="414"/>
      <c r="HMH72" s="414"/>
      <c r="HMI72" s="414"/>
      <c r="HMJ72" s="414"/>
      <c r="HMK72" s="414"/>
      <c r="HML72" s="414"/>
      <c r="HMM72" s="414"/>
      <c r="HMN72" s="414"/>
      <c r="HMO72" s="414"/>
      <c r="HMP72" s="414"/>
      <c r="HMQ72" s="414"/>
      <c r="HMR72" s="414"/>
      <c r="HMS72" s="414"/>
      <c r="HMT72" s="414"/>
      <c r="HMU72" s="414"/>
      <c r="HMV72" s="414"/>
      <c r="HMW72" s="414"/>
      <c r="HMX72" s="414"/>
      <c r="HMY72" s="414"/>
      <c r="HMZ72" s="414"/>
      <c r="HNA72" s="414"/>
      <c r="HNB72" s="414"/>
      <c r="HNC72" s="414"/>
      <c r="HND72" s="414"/>
      <c r="HNE72" s="414"/>
      <c r="HNF72" s="414"/>
      <c r="HNG72" s="414"/>
      <c r="HNH72" s="414"/>
      <c r="HNI72" s="414"/>
      <c r="HNJ72" s="414"/>
      <c r="HNK72" s="414"/>
      <c r="HNL72" s="414"/>
      <c r="HNM72" s="414"/>
      <c r="HNN72" s="414"/>
      <c r="HNO72" s="414"/>
      <c r="HNP72" s="414"/>
      <c r="HNQ72" s="414"/>
      <c r="HNR72" s="414"/>
      <c r="HNS72" s="414"/>
      <c r="HNT72" s="414"/>
      <c r="HNU72" s="414"/>
      <c r="HNV72" s="414"/>
      <c r="HNW72" s="414"/>
      <c r="HNX72" s="414"/>
      <c r="HNY72" s="414"/>
      <c r="HNZ72" s="414"/>
      <c r="HOA72" s="414"/>
      <c r="HOB72" s="414"/>
      <c r="HOC72" s="414"/>
      <c r="HOD72" s="414"/>
      <c r="HOE72" s="414"/>
      <c r="HOF72" s="414"/>
      <c r="HOG72" s="414"/>
      <c r="HOH72" s="414"/>
      <c r="HOI72" s="414"/>
      <c r="HOJ72" s="414"/>
      <c r="HOK72" s="414"/>
      <c r="HOL72" s="414"/>
      <c r="HOM72" s="414"/>
      <c r="HON72" s="414"/>
      <c r="HOO72" s="414"/>
      <c r="HOP72" s="414"/>
      <c r="HOQ72" s="414"/>
      <c r="HOR72" s="414"/>
      <c r="HOS72" s="414"/>
      <c r="HOT72" s="414"/>
      <c r="HOU72" s="414"/>
      <c r="HOV72" s="414"/>
      <c r="HOW72" s="414"/>
      <c r="HOX72" s="414"/>
      <c r="HOY72" s="414"/>
      <c r="HOZ72" s="414"/>
      <c r="HPA72" s="414"/>
      <c r="HPB72" s="414"/>
      <c r="HPC72" s="414"/>
      <c r="HPD72" s="414"/>
      <c r="HPE72" s="414"/>
      <c r="HPF72" s="414"/>
      <c r="HPG72" s="414"/>
      <c r="HPH72" s="414"/>
      <c r="HPI72" s="414"/>
      <c r="HPJ72" s="414"/>
      <c r="HPK72" s="414"/>
      <c r="HPL72" s="414"/>
      <c r="HPM72" s="414"/>
      <c r="HPN72" s="414"/>
      <c r="HPO72" s="414"/>
      <c r="HPP72" s="414"/>
      <c r="HPQ72" s="414"/>
      <c r="HPR72" s="414"/>
      <c r="HPS72" s="414"/>
      <c r="HPT72" s="414"/>
      <c r="HPU72" s="414"/>
      <c r="HPV72" s="414"/>
      <c r="HPW72" s="414"/>
      <c r="HPX72" s="414"/>
      <c r="HPY72" s="414"/>
      <c r="HPZ72" s="414"/>
      <c r="HQA72" s="414"/>
      <c r="HQB72" s="414"/>
      <c r="HQC72" s="414"/>
      <c r="HQD72" s="414"/>
      <c r="HQE72" s="414"/>
      <c r="HQF72" s="414"/>
      <c r="HQG72" s="414"/>
      <c r="HQH72" s="414"/>
      <c r="HQI72" s="414"/>
      <c r="HQJ72" s="414"/>
      <c r="HQK72" s="414"/>
      <c r="HQL72" s="414"/>
      <c r="HQM72" s="414"/>
      <c r="HQN72" s="414"/>
      <c r="HQO72" s="414"/>
      <c r="HQP72" s="414"/>
      <c r="HQQ72" s="414"/>
      <c r="HQR72" s="414"/>
      <c r="HQS72" s="414"/>
      <c r="HQT72" s="414"/>
      <c r="HQU72" s="414"/>
      <c r="HQV72" s="414"/>
      <c r="HQW72" s="414"/>
      <c r="HQX72" s="414"/>
      <c r="HQY72" s="414"/>
      <c r="HQZ72" s="414"/>
      <c r="HRA72" s="414"/>
      <c r="HRB72" s="414"/>
      <c r="HRC72" s="414"/>
      <c r="HRD72" s="414"/>
      <c r="HRE72" s="414"/>
      <c r="HRF72" s="414"/>
      <c r="HRG72" s="414"/>
      <c r="HRH72" s="414"/>
      <c r="HRI72" s="414"/>
      <c r="HRJ72" s="414"/>
      <c r="HRK72" s="414"/>
      <c r="HRL72" s="414"/>
      <c r="HRM72" s="414"/>
      <c r="HRN72" s="414"/>
      <c r="HRO72" s="414"/>
      <c r="HRP72" s="414"/>
      <c r="HRQ72" s="414"/>
      <c r="HRR72" s="414"/>
      <c r="HRS72" s="414"/>
      <c r="HRT72" s="414"/>
      <c r="HRU72" s="414"/>
      <c r="HRV72" s="414"/>
      <c r="HRW72" s="414"/>
      <c r="HRX72" s="414"/>
      <c r="HRY72" s="414"/>
      <c r="HRZ72" s="414"/>
      <c r="HSA72" s="414"/>
      <c r="HSB72" s="414"/>
      <c r="HSC72" s="414"/>
      <c r="HSD72" s="414"/>
      <c r="HSE72" s="414"/>
      <c r="HSF72" s="414"/>
      <c r="HSG72" s="414"/>
      <c r="HSH72" s="414"/>
      <c r="HSI72" s="414"/>
      <c r="HSJ72" s="414"/>
      <c r="HSK72" s="414"/>
      <c r="HSL72" s="414"/>
      <c r="HSM72" s="414"/>
      <c r="HSN72" s="414"/>
      <c r="HSO72" s="414"/>
      <c r="HSP72" s="414"/>
      <c r="HSQ72" s="414"/>
      <c r="HSR72" s="414"/>
      <c r="HSS72" s="414"/>
      <c r="HST72" s="414"/>
      <c r="HSU72" s="414"/>
      <c r="HSV72" s="414"/>
      <c r="HSW72" s="414"/>
      <c r="HSX72" s="414"/>
      <c r="HSY72" s="414"/>
      <c r="HSZ72" s="414"/>
      <c r="HTA72" s="414"/>
      <c r="HTB72" s="414"/>
      <c r="HTC72" s="414"/>
      <c r="HTD72" s="414"/>
      <c r="HTE72" s="414"/>
      <c r="HTF72" s="414"/>
      <c r="HTG72" s="414"/>
      <c r="HTH72" s="414"/>
      <c r="HTI72" s="414"/>
      <c r="HTJ72" s="414"/>
      <c r="HTK72" s="414"/>
      <c r="HTL72" s="414"/>
      <c r="HTM72" s="414"/>
      <c r="HTN72" s="414"/>
      <c r="HTO72" s="414"/>
      <c r="HTP72" s="414"/>
      <c r="HTQ72" s="414"/>
      <c r="HTR72" s="414"/>
      <c r="HTS72" s="414"/>
      <c r="HTT72" s="414"/>
      <c r="HTU72" s="414"/>
      <c r="HTV72" s="414"/>
      <c r="HTW72" s="414"/>
      <c r="HTX72" s="414"/>
      <c r="HTY72" s="414"/>
      <c r="HTZ72" s="414"/>
      <c r="HUA72" s="414"/>
      <c r="HUB72" s="414"/>
      <c r="HUC72" s="414"/>
      <c r="HUD72" s="414"/>
      <c r="HUE72" s="414"/>
      <c r="HUF72" s="414"/>
      <c r="HUG72" s="414"/>
      <c r="HUH72" s="414"/>
      <c r="HUI72" s="414"/>
      <c r="HUJ72" s="414"/>
      <c r="HUK72" s="414"/>
      <c r="HUL72" s="414"/>
      <c r="HUM72" s="414"/>
      <c r="HUN72" s="414"/>
      <c r="HUO72" s="414"/>
      <c r="HUP72" s="414"/>
      <c r="HUQ72" s="414"/>
      <c r="HUR72" s="414"/>
      <c r="HUS72" s="414"/>
      <c r="HUT72" s="414"/>
      <c r="HUU72" s="414"/>
      <c r="HUV72" s="414"/>
      <c r="HUW72" s="414"/>
      <c r="HUX72" s="414"/>
      <c r="HUY72" s="414"/>
      <c r="HUZ72" s="414"/>
      <c r="HVA72" s="414"/>
      <c r="HVB72" s="414"/>
      <c r="HVC72" s="414"/>
      <c r="HVD72" s="414"/>
      <c r="HVE72" s="414"/>
      <c r="HVF72" s="414"/>
      <c r="HVG72" s="414"/>
      <c r="HVH72" s="414"/>
      <c r="HVI72" s="414"/>
      <c r="HVJ72" s="414"/>
      <c r="HVK72" s="414"/>
      <c r="HVL72" s="414"/>
      <c r="HVM72" s="414"/>
      <c r="HVN72" s="414"/>
      <c r="HVO72" s="414"/>
      <c r="HVP72" s="414"/>
      <c r="HVQ72" s="414"/>
      <c r="HVR72" s="414"/>
      <c r="HVS72" s="414"/>
      <c r="HVT72" s="414"/>
      <c r="HVU72" s="414"/>
      <c r="HVV72" s="414"/>
      <c r="HVW72" s="414"/>
      <c r="HVX72" s="414"/>
      <c r="HVY72" s="414"/>
      <c r="HVZ72" s="414"/>
      <c r="HWA72" s="414"/>
      <c r="HWB72" s="414"/>
      <c r="HWC72" s="414"/>
      <c r="HWD72" s="414"/>
      <c r="HWE72" s="414"/>
      <c r="HWF72" s="414"/>
      <c r="HWG72" s="414"/>
      <c r="HWH72" s="414"/>
      <c r="HWI72" s="414"/>
      <c r="HWJ72" s="414"/>
      <c r="HWK72" s="414"/>
      <c r="HWL72" s="414"/>
      <c r="HWM72" s="414"/>
      <c r="HWN72" s="414"/>
      <c r="HWO72" s="414"/>
      <c r="HWP72" s="414"/>
      <c r="HWQ72" s="414"/>
      <c r="HWR72" s="414"/>
      <c r="HWS72" s="414"/>
      <c r="HWT72" s="414"/>
      <c r="HWU72" s="414"/>
      <c r="HWV72" s="414"/>
      <c r="HWW72" s="414"/>
      <c r="HWX72" s="414"/>
      <c r="HWY72" s="414"/>
      <c r="HWZ72" s="414"/>
      <c r="HXA72" s="414"/>
      <c r="HXB72" s="414"/>
      <c r="HXC72" s="414"/>
      <c r="HXD72" s="414"/>
      <c r="HXE72" s="414"/>
      <c r="HXF72" s="414"/>
      <c r="HXG72" s="414"/>
      <c r="HXH72" s="414"/>
      <c r="HXI72" s="414"/>
      <c r="HXJ72" s="414"/>
      <c r="HXK72" s="414"/>
      <c r="HXL72" s="414"/>
      <c r="HXM72" s="414"/>
      <c r="HXN72" s="414"/>
      <c r="HXO72" s="414"/>
      <c r="HXP72" s="414"/>
      <c r="HXQ72" s="414"/>
      <c r="HXR72" s="414"/>
      <c r="HXS72" s="414"/>
      <c r="HXT72" s="414"/>
      <c r="HXU72" s="414"/>
      <c r="HXV72" s="414"/>
      <c r="HXW72" s="414"/>
      <c r="HXX72" s="414"/>
      <c r="HXY72" s="414"/>
      <c r="HXZ72" s="414"/>
      <c r="HYA72" s="414"/>
      <c r="HYB72" s="414"/>
      <c r="HYC72" s="414"/>
      <c r="HYD72" s="414"/>
      <c r="HYE72" s="414"/>
      <c r="HYF72" s="414"/>
      <c r="HYG72" s="414"/>
      <c r="HYH72" s="414"/>
      <c r="HYI72" s="414"/>
      <c r="HYJ72" s="414"/>
      <c r="HYK72" s="414"/>
      <c r="HYL72" s="414"/>
      <c r="HYM72" s="414"/>
      <c r="HYN72" s="414"/>
      <c r="HYO72" s="414"/>
      <c r="HYP72" s="414"/>
      <c r="HYQ72" s="414"/>
      <c r="HYR72" s="414"/>
      <c r="HYS72" s="414"/>
      <c r="HYT72" s="414"/>
      <c r="HYU72" s="414"/>
      <c r="HYV72" s="414"/>
      <c r="HYW72" s="414"/>
      <c r="HYX72" s="414"/>
      <c r="HYY72" s="414"/>
      <c r="HYZ72" s="414"/>
      <c r="HZA72" s="414"/>
      <c r="HZB72" s="414"/>
      <c r="HZC72" s="414"/>
      <c r="HZD72" s="414"/>
      <c r="HZE72" s="414"/>
      <c r="HZF72" s="414"/>
      <c r="HZG72" s="414"/>
      <c r="HZH72" s="414"/>
      <c r="HZI72" s="414"/>
      <c r="HZJ72" s="414"/>
      <c r="HZK72" s="414"/>
      <c r="HZL72" s="414"/>
      <c r="HZM72" s="414"/>
      <c r="HZN72" s="414"/>
      <c r="HZO72" s="414"/>
      <c r="HZP72" s="414"/>
      <c r="HZQ72" s="414"/>
      <c r="HZR72" s="414"/>
      <c r="HZS72" s="414"/>
      <c r="HZT72" s="414"/>
      <c r="HZU72" s="414"/>
      <c r="HZV72" s="414"/>
      <c r="HZW72" s="414"/>
      <c r="HZX72" s="414"/>
      <c r="HZY72" s="414"/>
      <c r="HZZ72" s="414"/>
      <c r="IAA72" s="414"/>
      <c r="IAB72" s="414"/>
      <c r="IAC72" s="414"/>
      <c r="IAD72" s="414"/>
      <c r="IAE72" s="414"/>
      <c r="IAF72" s="414"/>
      <c r="IAG72" s="414"/>
      <c r="IAH72" s="414"/>
      <c r="IAI72" s="414"/>
      <c r="IAJ72" s="414"/>
      <c r="IAK72" s="414"/>
      <c r="IAL72" s="414"/>
      <c r="IAM72" s="414"/>
      <c r="IAN72" s="414"/>
      <c r="IAO72" s="414"/>
      <c r="IAP72" s="414"/>
      <c r="IAQ72" s="414"/>
      <c r="IAR72" s="414"/>
      <c r="IAS72" s="414"/>
      <c r="IAT72" s="414"/>
      <c r="IAU72" s="414"/>
      <c r="IAV72" s="414"/>
      <c r="IAW72" s="414"/>
      <c r="IAX72" s="414"/>
      <c r="IAY72" s="414"/>
      <c r="IAZ72" s="414"/>
      <c r="IBA72" s="414"/>
      <c r="IBB72" s="414"/>
      <c r="IBC72" s="414"/>
      <c r="IBD72" s="414"/>
      <c r="IBE72" s="414"/>
      <c r="IBF72" s="414"/>
      <c r="IBG72" s="414"/>
      <c r="IBH72" s="414"/>
      <c r="IBI72" s="414"/>
      <c r="IBJ72" s="414"/>
      <c r="IBK72" s="414"/>
      <c r="IBL72" s="414"/>
      <c r="IBM72" s="414"/>
      <c r="IBN72" s="414"/>
      <c r="IBO72" s="414"/>
      <c r="IBP72" s="414"/>
      <c r="IBQ72" s="414"/>
      <c r="IBR72" s="414"/>
      <c r="IBS72" s="414"/>
      <c r="IBT72" s="414"/>
      <c r="IBU72" s="414"/>
      <c r="IBV72" s="414"/>
      <c r="IBW72" s="414"/>
      <c r="IBX72" s="414"/>
      <c r="IBY72" s="414"/>
      <c r="IBZ72" s="414"/>
      <c r="ICA72" s="414"/>
      <c r="ICB72" s="414"/>
      <c r="ICC72" s="414"/>
      <c r="ICD72" s="414"/>
      <c r="ICE72" s="414"/>
      <c r="ICF72" s="414"/>
      <c r="ICG72" s="414"/>
      <c r="ICH72" s="414"/>
      <c r="ICI72" s="414"/>
      <c r="ICJ72" s="414"/>
      <c r="ICK72" s="414"/>
      <c r="ICL72" s="414"/>
      <c r="ICM72" s="414"/>
      <c r="ICN72" s="414"/>
      <c r="ICO72" s="414"/>
      <c r="ICP72" s="414"/>
      <c r="ICQ72" s="414"/>
      <c r="ICR72" s="414"/>
      <c r="ICS72" s="414"/>
      <c r="ICT72" s="414"/>
      <c r="ICU72" s="414"/>
      <c r="ICV72" s="414"/>
      <c r="ICW72" s="414"/>
      <c r="ICX72" s="414"/>
      <c r="ICY72" s="414"/>
      <c r="ICZ72" s="414"/>
      <c r="IDA72" s="414"/>
      <c r="IDB72" s="414"/>
      <c r="IDC72" s="414"/>
      <c r="IDD72" s="414"/>
      <c r="IDE72" s="414"/>
      <c r="IDF72" s="414"/>
      <c r="IDG72" s="414"/>
      <c r="IDH72" s="414"/>
      <c r="IDI72" s="414"/>
      <c r="IDJ72" s="414"/>
      <c r="IDK72" s="414"/>
      <c r="IDL72" s="414"/>
      <c r="IDM72" s="414"/>
      <c r="IDN72" s="414"/>
      <c r="IDO72" s="414"/>
      <c r="IDP72" s="414"/>
      <c r="IDQ72" s="414"/>
      <c r="IDR72" s="414"/>
      <c r="IDS72" s="414"/>
      <c r="IDT72" s="414"/>
      <c r="IDU72" s="414"/>
      <c r="IDV72" s="414"/>
      <c r="IDW72" s="414"/>
      <c r="IDX72" s="414"/>
      <c r="IDY72" s="414"/>
      <c r="IDZ72" s="414"/>
      <c r="IEA72" s="414"/>
      <c r="IEB72" s="414"/>
      <c r="IEC72" s="414"/>
      <c r="IED72" s="414"/>
      <c r="IEE72" s="414"/>
      <c r="IEF72" s="414"/>
      <c r="IEG72" s="414"/>
      <c r="IEH72" s="414"/>
      <c r="IEI72" s="414"/>
      <c r="IEJ72" s="414"/>
      <c r="IEK72" s="414"/>
      <c r="IEL72" s="414"/>
      <c r="IEM72" s="414"/>
      <c r="IEN72" s="414"/>
      <c r="IEO72" s="414"/>
      <c r="IEP72" s="414"/>
      <c r="IEQ72" s="414"/>
      <c r="IER72" s="414"/>
      <c r="IES72" s="414"/>
      <c r="IET72" s="414"/>
      <c r="IEU72" s="414"/>
      <c r="IEV72" s="414"/>
      <c r="IEW72" s="414"/>
      <c r="IEX72" s="414"/>
      <c r="IEY72" s="414"/>
      <c r="IEZ72" s="414"/>
      <c r="IFA72" s="414"/>
      <c r="IFB72" s="414"/>
      <c r="IFC72" s="414"/>
      <c r="IFD72" s="414"/>
      <c r="IFE72" s="414"/>
      <c r="IFF72" s="414"/>
      <c r="IFG72" s="414"/>
      <c r="IFH72" s="414"/>
      <c r="IFI72" s="414"/>
      <c r="IFJ72" s="414"/>
      <c r="IFK72" s="414"/>
      <c r="IFL72" s="414"/>
      <c r="IFM72" s="414"/>
      <c r="IFN72" s="414"/>
      <c r="IFO72" s="414"/>
      <c r="IFP72" s="414"/>
      <c r="IFQ72" s="414"/>
      <c r="IFR72" s="414"/>
      <c r="IFS72" s="414"/>
      <c r="IFT72" s="414"/>
      <c r="IFU72" s="414"/>
      <c r="IFV72" s="414"/>
      <c r="IFW72" s="414"/>
      <c r="IFX72" s="414"/>
      <c r="IFY72" s="414"/>
      <c r="IFZ72" s="414"/>
      <c r="IGA72" s="414"/>
      <c r="IGB72" s="414"/>
      <c r="IGC72" s="414"/>
      <c r="IGD72" s="414"/>
      <c r="IGE72" s="414"/>
      <c r="IGF72" s="414"/>
      <c r="IGG72" s="414"/>
      <c r="IGH72" s="414"/>
      <c r="IGI72" s="414"/>
      <c r="IGJ72" s="414"/>
      <c r="IGK72" s="414"/>
      <c r="IGL72" s="414"/>
      <c r="IGM72" s="414"/>
      <c r="IGN72" s="414"/>
      <c r="IGO72" s="414"/>
      <c r="IGP72" s="414"/>
      <c r="IGQ72" s="414"/>
      <c r="IGR72" s="414"/>
      <c r="IGS72" s="414"/>
      <c r="IGT72" s="414"/>
      <c r="IGU72" s="414"/>
      <c r="IGV72" s="414"/>
      <c r="IGW72" s="414"/>
      <c r="IGX72" s="414"/>
      <c r="IGY72" s="414"/>
      <c r="IGZ72" s="414"/>
      <c r="IHA72" s="414"/>
      <c r="IHB72" s="414"/>
      <c r="IHC72" s="414"/>
      <c r="IHD72" s="414"/>
      <c r="IHE72" s="414"/>
      <c r="IHF72" s="414"/>
      <c r="IHG72" s="414"/>
      <c r="IHH72" s="414"/>
      <c r="IHI72" s="414"/>
      <c r="IHJ72" s="414"/>
      <c r="IHK72" s="414"/>
      <c r="IHL72" s="414"/>
      <c r="IHM72" s="414"/>
      <c r="IHN72" s="414"/>
      <c r="IHO72" s="414"/>
      <c r="IHP72" s="414"/>
      <c r="IHQ72" s="414"/>
      <c r="IHR72" s="414"/>
      <c r="IHS72" s="414"/>
      <c r="IHT72" s="414"/>
      <c r="IHU72" s="414"/>
      <c r="IHV72" s="414"/>
      <c r="IHW72" s="414"/>
      <c r="IHX72" s="414"/>
      <c r="IHY72" s="414"/>
      <c r="IHZ72" s="414"/>
      <c r="IIA72" s="414"/>
      <c r="IIB72" s="414"/>
      <c r="IIC72" s="414"/>
      <c r="IID72" s="414"/>
      <c r="IIE72" s="414"/>
      <c r="IIF72" s="414"/>
      <c r="IIG72" s="414"/>
      <c r="IIH72" s="414"/>
      <c r="III72" s="414"/>
      <c r="IIJ72" s="414"/>
      <c r="IIK72" s="414"/>
      <c r="IIL72" s="414"/>
      <c r="IIM72" s="414"/>
      <c r="IIN72" s="414"/>
      <c r="IIO72" s="414"/>
      <c r="IIP72" s="414"/>
      <c r="IIQ72" s="414"/>
      <c r="IIR72" s="414"/>
      <c r="IIS72" s="414"/>
      <c r="IIT72" s="414"/>
      <c r="IIU72" s="414"/>
      <c r="IIV72" s="414"/>
      <c r="IIW72" s="414"/>
      <c r="IIX72" s="414"/>
      <c r="IIY72" s="414"/>
      <c r="IIZ72" s="414"/>
      <c r="IJA72" s="414"/>
      <c r="IJB72" s="414"/>
      <c r="IJC72" s="414"/>
      <c r="IJD72" s="414"/>
      <c r="IJE72" s="414"/>
      <c r="IJF72" s="414"/>
      <c r="IJG72" s="414"/>
      <c r="IJH72" s="414"/>
      <c r="IJI72" s="414"/>
      <c r="IJJ72" s="414"/>
      <c r="IJK72" s="414"/>
      <c r="IJL72" s="414"/>
      <c r="IJM72" s="414"/>
      <c r="IJN72" s="414"/>
      <c r="IJO72" s="414"/>
      <c r="IJP72" s="414"/>
      <c r="IJQ72" s="414"/>
      <c r="IJR72" s="414"/>
      <c r="IJS72" s="414"/>
      <c r="IJT72" s="414"/>
      <c r="IJU72" s="414"/>
      <c r="IJV72" s="414"/>
      <c r="IJW72" s="414"/>
      <c r="IJX72" s="414"/>
      <c r="IJY72" s="414"/>
      <c r="IJZ72" s="414"/>
      <c r="IKA72" s="414"/>
      <c r="IKB72" s="414"/>
      <c r="IKC72" s="414"/>
      <c r="IKD72" s="414"/>
      <c r="IKE72" s="414"/>
      <c r="IKF72" s="414"/>
      <c r="IKG72" s="414"/>
      <c r="IKH72" s="414"/>
      <c r="IKI72" s="414"/>
      <c r="IKJ72" s="414"/>
      <c r="IKK72" s="414"/>
      <c r="IKL72" s="414"/>
      <c r="IKM72" s="414"/>
      <c r="IKN72" s="414"/>
      <c r="IKO72" s="414"/>
      <c r="IKP72" s="414"/>
      <c r="IKQ72" s="414"/>
      <c r="IKR72" s="414"/>
      <c r="IKS72" s="414"/>
      <c r="IKT72" s="414"/>
      <c r="IKU72" s="414"/>
      <c r="IKV72" s="414"/>
      <c r="IKW72" s="414"/>
      <c r="IKX72" s="414"/>
      <c r="IKY72" s="414"/>
      <c r="IKZ72" s="414"/>
      <c r="ILA72" s="414"/>
      <c r="ILB72" s="414"/>
      <c r="ILC72" s="414"/>
      <c r="ILD72" s="414"/>
      <c r="ILE72" s="414"/>
      <c r="ILF72" s="414"/>
      <c r="ILG72" s="414"/>
      <c r="ILH72" s="414"/>
      <c r="ILI72" s="414"/>
      <c r="ILJ72" s="414"/>
      <c r="ILK72" s="414"/>
      <c r="ILL72" s="414"/>
      <c r="ILM72" s="414"/>
      <c r="ILN72" s="414"/>
      <c r="ILO72" s="414"/>
      <c r="ILP72" s="414"/>
      <c r="ILQ72" s="414"/>
      <c r="ILR72" s="414"/>
      <c r="ILS72" s="414"/>
      <c r="ILT72" s="414"/>
      <c r="ILU72" s="414"/>
      <c r="ILV72" s="414"/>
      <c r="ILW72" s="414"/>
      <c r="ILX72" s="414"/>
      <c r="ILY72" s="414"/>
      <c r="ILZ72" s="414"/>
      <c r="IMA72" s="414"/>
      <c r="IMB72" s="414"/>
      <c r="IMC72" s="414"/>
      <c r="IMD72" s="414"/>
      <c r="IME72" s="414"/>
      <c r="IMF72" s="414"/>
      <c r="IMG72" s="414"/>
      <c r="IMH72" s="414"/>
      <c r="IMI72" s="414"/>
      <c r="IMJ72" s="414"/>
      <c r="IMK72" s="414"/>
      <c r="IML72" s="414"/>
      <c r="IMM72" s="414"/>
      <c r="IMN72" s="414"/>
      <c r="IMO72" s="414"/>
      <c r="IMP72" s="414"/>
      <c r="IMQ72" s="414"/>
      <c r="IMR72" s="414"/>
      <c r="IMS72" s="414"/>
      <c r="IMT72" s="414"/>
      <c r="IMU72" s="414"/>
      <c r="IMV72" s="414"/>
      <c r="IMW72" s="414"/>
      <c r="IMX72" s="414"/>
      <c r="IMY72" s="414"/>
      <c r="IMZ72" s="414"/>
      <c r="INA72" s="414"/>
      <c r="INB72" s="414"/>
      <c r="INC72" s="414"/>
      <c r="IND72" s="414"/>
      <c r="INE72" s="414"/>
      <c r="INF72" s="414"/>
      <c r="ING72" s="414"/>
      <c r="INH72" s="414"/>
      <c r="INI72" s="414"/>
      <c r="INJ72" s="414"/>
      <c r="INK72" s="414"/>
      <c r="INL72" s="414"/>
      <c r="INM72" s="414"/>
      <c r="INN72" s="414"/>
      <c r="INO72" s="414"/>
      <c r="INP72" s="414"/>
      <c r="INQ72" s="414"/>
      <c r="INR72" s="414"/>
      <c r="INS72" s="414"/>
      <c r="INT72" s="414"/>
      <c r="INU72" s="414"/>
      <c r="INV72" s="414"/>
      <c r="INW72" s="414"/>
      <c r="INX72" s="414"/>
      <c r="INY72" s="414"/>
      <c r="INZ72" s="414"/>
      <c r="IOA72" s="414"/>
      <c r="IOB72" s="414"/>
      <c r="IOC72" s="414"/>
      <c r="IOD72" s="414"/>
      <c r="IOE72" s="414"/>
      <c r="IOF72" s="414"/>
      <c r="IOG72" s="414"/>
      <c r="IOH72" s="414"/>
      <c r="IOI72" s="414"/>
      <c r="IOJ72" s="414"/>
      <c r="IOK72" s="414"/>
      <c r="IOL72" s="414"/>
      <c r="IOM72" s="414"/>
      <c r="ION72" s="414"/>
      <c r="IOO72" s="414"/>
      <c r="IOP72" s="414"/>
      <c r="IOQ72" s="414"/>
      <c r="IOR72" s="414"/>
      <c r="IOS72" s="414"/>
      <c r="IOT72" s="414"/>
      <c r="IOU72" s="414"/>
      <c r="IOV72" s="414"/>
      <c r="IOW72" s="414"/>
      <c r="IOX72" s="414"/>
      <c r="IOY72" s="414"/>
      <c r="IOZ72" s="414"/>
      <c r="IPA72" s="414"/>
      <c r="IPB72" s="414"/>
      <c r="IPC72" s="414"/>
      <c r="IPD72" s="414"/>
      <c r="IPE72" s="414"/>
      <c r="IPF72" s="414"/>
      <c r="IPG72" s="414"/>
      <c r="IPH72" s="414"/>
      <c r="IPI72" s="414"/>
      <c r="IPJ72" s="414"/>
      <c r="IPK72" s="414"/>
      <c r="IPL72" s="414"/>
      <c r="IPM72" s="414"/>
      <c r="IPN72" s="414"/>
      <c r="IPO72" s="414"/>
      <c r="IPP72" s="414"/>
      <c r="IPQ72" s="414"/>
      <c r="IPR72" s="414"/>
      <c r="IPS72" s="414"/>
      <c r="IPT72" s="414"/>
      <c r="IPU72" s="414"/>
      <c r="IPV72" s="414"/>
      <c r="IPW72" s="414"/>
      <c r="IPX72" s="414"/>
      <c r="IPY72" s="414"/>
      <c r="IPZ72" s="414"/>
      <c r="IQA72" s="414"/>
      <c r="IQB72" s="414"/>
      <c r="IQC72" s="414"/>
      <c r="IQD72" s="414"/>
      <c r="IQE72" s="414"/>
      <c r="IQF72" s="414"/>
      <c r="IQG72" s="414"/>
      <c r="IQH72" s="414"/>
      <c r="IQI72" s="414"/>
      <c r="IQJ72" s="414"/>
      <c r="IQK72" s="414"/>
      <c r="IQL72" s="414"/>
      <c r="IQM72" s="414"/>
      <c r="IQN72" s="414"/>
      <c r="IQO72" s="414"/>
      <c r="IQP72" s="414"/>
      <c r="IQQ72" s="414"/>
      <c r="IQR72" s="414"/>
      <c r="IQS72" s="414"/>
      <c r="IQT72" s="414"/>
      <c r="IQU72" s="414"/>
      <c r="IQV72" s="414"/>
      <c r="IQW72" s="414"/>
      <c r="IQX72" s="414"/>
      <c r="IQY72" s="414"/>
      <c r="IQZ72" s="414"/>
      <c r="IRA72" s="414"/>
      <c r="IRB72" s="414"/>
      <c r="IRC72" s="414"/>
      <c r="IRD72" s="414"/>
      <c r="IRE72" s="414"/>
      <c r="IRF72" s="414"/>
      <c r="IRG72" s="414"/>
      <c r="IRH72" s="414"/>
      <c r="IRI72" s="414"/>
      <c r="IRJ72" s="414"/>
      <c r="IRK72" s="414"/>
      <c r="IRL72" s="414"/>
      <c r="IRM72" s="414"/>
      <c r="IRN72" s="414"/>
      <c r="IRO72" s="414"/>
      <c r="IRP72" s="414"/>
      <c r="IRQ72" s="414"/>
      <c r="IRR72" s="414"/>
      <c r="IRS72" s="414"/>
      <c r="IRT72" s="414"/>
      <c r="IRU72" s="414"/>
      <c r="IRV72" s="414"/>
      <c r="IRW72" s="414"/>
      <c r="IRX72" s="414"/>
      <c r="IRY72" s="414"/>
      <c r="IRZ72" s="414"/>
      <c r="ISA72" s="414"/>
      <c r="ISB72" s="414"/>
      <c r="ISC72" s="414"/>
      <c r="ISD72" s="414"/>
      <c r="ISE72" s="414"/>
      <c r="ISF72" s="414"/>
      <c r="ISG72" s="414"/>
      <c r="ISH72" s="414"/>
      <c r="ISI72" s="414"/>
      <c r="ISJ72" s="414"/>
      <c r="ISK72" s="414"/>
      <c r="ISL72" s="414"/>
      <c r="ISM72" s="414"/>
      <c r="ISN72" s="414"/>
      <c r="ISO72" s="414"/>
      <c r="ISP72" s="414"/>
      <c r="ISQ72" s="414"/>
      <c r="ISR72" s="414"/>
      <c r="ISS72" s="414"/>
      <c r="IST72" s="414"/>
      <c r="ISU72" s="414"/>
      <c r="ISV72" s="414"/>
      <c r="ISW72" s="414"/>
      <c r="ISX72" s="414"/>
      <c r="ISY72" s="414"/>
      <c r="ISZ72" s="414"/>
      <c r="ITA72" s="414"/>
      <c r="ITB72" s="414"/>
      <c r="ITC72" s="414"/>
      <c r="ITD72" s="414"/>
      <c r="ITE72" s="414"/>
      <c r="ITF72" s="414"/>
      <c r="ITG72" s="414"/>
      <c r="ITH72" s="414"/>
      <c r="ITI72" s="414"/>
      <c r="ITJ72" s="414"/>
      <c r="ITK72" s="414"/>
      <c r="ITL72" s="414"/>
      <c r="ITM72" s="414"/>
      <c r="ITN72" s="414"/>
      <c r="ITO72" s="414"/>
      <c r="ITP72" s="414"/>
      <c r="ITQ72" s="414"/>
      <c r="ITR72" s="414"/>
      <c r="ITS72" s="414"/>
      <c r="ITT72" s="414"/>
      <c r="ITU72" s="414"/>
      <c r="ITV72" s="414"/>
      <c r="ITW72" s="414"/>
      <c r="ITX72" s="414"/>
      <c r="ITY72" s="414"/>
      <c r="ITZ72" s="414"/>
      <c r="IUA72" s="414"/>
      <c r="IUB72" s="414"/>
      <c r="IUC72" s="414"/>
      <c r="IUD72" s="414"/>
      <c r="IUE72" s="414"/>
      <c r="IUF72" s="414"/>
      <c r="IUG72" s="414"/>
      <c r="IUH72" s="414"/>
      <c r="IUI72" s="414"/>
      <c r="IUJ72" s="414"/>
      <c r="IUK72" s="414"/>
      <c r="IUL72" s="414"/>
      <c r="IUM72" s="414"/>
      <c r="IUN72" s="414"/>
      <c r="IUO72" s="414"/>
      <c r="IUP72" s="414"/>
      <c r="IUQ72" s="414"/>
      <c r="IUR72" s="414"/>
      <c r="IUS72" s="414"/>
      <c r="IUT72" s="414"/>
      <c r="IUU72" s="414"/>
      <c r="IUV72" s="414"/>
      <c r="IUW72" s="414"/>
      <c r="IUX72" s="414"/>
      <c r="IUY72" s="414"/>
      <c r="IUZ72" s="414"/>
      <c r="IVA72" s="414"/>
      <c r="IVB72" s="414"/>
      <c r="IVC72" s="414"/>
      <c r="IVD72" s="414"/>
      <c r="IVE72" s="414"/>
      <c r="IVF72" s="414"/>
      <c r="IVG72" s="414"/>
      <c r="IVH72" s="414"/>
      <c r="IVI72" s="414"/>
      <c r="IVJ72" s="414"/>
      <c r="IVK72" s="414"/>
      <c r="IVL72" s="414"/>
      <c r="IVM72" s="414"/>
      <c r="IVN72" s="414"/>
      <c r="IVO72" s="414"/>
      <c r="IVP72" s="414"/>
      <c r="IVQ72" s="414"/>
      <c r="IVR72" s="414"/>
      <c r="IVS72" s="414"/>
      <c r="IVT72" s="414"/>
      <c r="IVU72" s="414"/>
      <c r="IVV72" s="414"/>
      <c r="IVW72" s="414"/>
      <c r="IVX72" s="414"/>
      <c r="IVY72" s="414"/>
      <c r="IVZ72" s="414"/>
      <c r="IWA72" s="414"/>
      <c r="IWB72" s="414"/>
      <c r="IWC72" s="414"/>
      <c r="IWD72" s="414"/>
      <c r="IWE72" s="414"/>
      <c r="IWF72" s="414"/>
      <c r="IWG72" s="414"/>
      <c r="IWH72" s="414"/>
      <c r="IWI72" s="414"/>
      <c r="IWJ72" s="414"/>
      <c r="IWK72" s="414"/>
      <c r="IWL72" s="414"/>
      <c r="IWM72" s="414"/>
      <c r="IWN72" s="414"/>
      <c r="IWO72" s="414"/>
      <c r="IWP72" s="414"/>
      <c r="IWQ72" s="414"/>
      <c r="IWR72" s="414"/>
      <c r="IWS72" s="414"/>
      <c r="IWT72" s="414"/>
      <c r="IWU72" s="414"/>
      <c r="IWV72" s="414"/>
      <c r="IWW72" s="414"/>
      <c r="IWX72" s="414"/>
      <c r="IWY72" s="414"/>
      <c r="IWZ72" s="414"/>
      <c r="IXA72" s="414"/>
      <c r="IXB72" s="414"/>
      <c r="IXC72" s="414"/>
      <c r="IXD72" s="414"/>
      <c r="IXE72" s="414"/>
      <c r="IXF72" s="414"/>
      <c r="IXG72" s="414"/>
      <c r="IXH72" s="414"/>
      <c r="IXI72" s="414"/>
      <c r="IXJ72" s="414"/>
      <c r="IXK72" s="414"/>
      <c r="IXL72" s="414"/>
      <c r="IXM72" s="414"/>
      <c r="IXN72" s="414"/>
      <c r="IXO72" s="414"/>
      <c r="IXP72" s="414"/>
      <c r="IXQ72" s="414"/>
      <c r="IXR72" s="414"/>
      <c r="IXS72" s="414"/>
      <c r="IXT72" s="414"/>
      <c r="IXU72" s="414"/>
      <c r="IXV72" s="414"/>
      <c r="IXW72" s="414"/>
      <c r="IXX72" s="414"/>
      <c r="IXY72" s="414"/>
      <c r="IXZ72" s="414"/>
      <c r="IYA72" s="414"/>
      <c r="IYB72" s="414"/>
      <c r="IYC72" s="414"/>
      <c r="IYD72" s="414"/>
      <c r="IYE72" s="414"/>
      <c r="IYF72" s="414"/>
      <c r="IYG72" s="414"/>
      <c r="IYH72" s="414"/>
      <c r="IYI72" s="414"/>
      <c r="IYJ72" s="414"/>
      <c r="IYK72" s="414"/>
      <c r="IYL72" s="414"/>
      <c r="IYM72" s="414"/>
      <c r="IYN72" s="414"/>
      <c r="IYO72" s="414"/>
      <c r="IYP72" s="414"/>
      <c r="IYQ72" s="414"/>
      <c r="IYR72" s="414"/>
      <c r="IYS72" s="414"/>
      <c r="IYT72" s="414"/>
      <c r="IYU72" s="414"/>
      <c r="IYV72" s="414"/>
      <c r="IYW72" s="414"/>
      <c r="IYX72" s="414"/>
      <c r="IYY72" s="414"/>
      <c r="IYZ72" s="414"/>
      <c r="IZA72" s="414"/>
      <c r="IZB72" s="414"/>
      <c r="IZC72" s="414"/>
      <c r="IZD72" s="414"/>
      <c r="IZE72" s="414"/>
      <c r="IZF72" s="414"/>
      <c r="IZG72" s="414"/>
      <c r="IZH72" s="414"/>
      <c r="IZI72" s="414"/>
      <c r="IZJ72" s="414"/>
      <c r="IZK72" s="414"/>
      <c r="IZL72" s="414"/>
      <c r="IZM72" s="414"/>
      <c r="IZN72" s="414"/>
      <c r="IZO72" s="414"/>
      <c r="IZP72" s="414"/>
      <c r="IZQ72" s="414"/>
      <c r="IZR72" s="414"/>
      <c r="IZS72" s="414"/>
      <c r="IZT72" s="414"/>
      <c r="IZU72" s="414"/>
      <c r="IZV72" s="414"/>
      <c r="IZW72" s="414"/>
      <c r="IZX72" s="414"/>
      <c r="IZY72" s="414"/>
      <c r="IZZ72" s="414"/>
      <c r="JAA72" s="414"/>
      <c r="JAB72" s="414"/>
      <c r="JAC72" s="414"/>
      <c r="JAD72" s="414"/>
      <c r="JAE72" s="414"/>
      <c r="JAF72" s="414"/>
      <c r="JAG72" s="414"/>
      <c r="JAH72" s="414"/>
      <c r="JAI72" s="414"/>
      <c r="JAJ72" s="414"/>
      <c r="JAK72" s="414"/>
      <c r="JAL72" s="414"/>
      <c r="JAM72" s="414"/>
      <c r="JAN72" s="414"/>
      <c r="JAO72" s="414"/>
      <c r="JAP72" s="414"/>
      <c r="JAQ72" s="414"/>
      <c r="JAR72" s="414"/>
      <c r="JAS72" s="414"/>
      <c r="JAT72" s="414"/>
      <c r="JAU72" s="414"/>
      <c r="JAV72" s="414"/>
      <c r="JAW72" s="414"/>
      <c r="JAX72" s="414"/>
      <c r="JAY72" s="414"/>
      <c r="JAZ72" s="414"/>
      <c r="JBA72" s="414"/>
      <c r="JBB72" s="414"/>
      <c r="JBC72" s="414"/>
      <c r="JBD72" s="414"/>
      <c r="JBE72" s="414"/>
      <c r="JBF72" s="414"/>
      <c r="JBG72" s="414"/>
      <c r="JBH72" s="414"/>
      <c r="JBI72" s="414"/>
      <c r="JBJ72" s="414"/>
      <c r="JBK72" s="414"/>
      <c r="JBL72" s="414"/>
      <c r="JBM72" s="414"/>
      <c r="JBN72" s="414"/>
      <c r="JBO72" s="414"/>
      <c r="JBP72" s="414"/>
      <c r="JBQ72" s="414"/>
      <c r="JBR72" s="414"/>
      <c r="JBS72" s="414"/>
      <c r="JBT72" s="414"/>
      <c r="JBU72" s="414"/>
      <c r="JBV72" s="414"/>
      <c r="JBW72" s="414"/>
      <c r="JBX72" s="414"/>
      <c r="JBY72" s="414"/>
      <c r="JBZ72" s="414"/>
      <c r="JCA72" s="414"/>
      <c r="JCB72" s="414"/>
      <c r="JCC72" s="414"/>
      <c r="JCD72" s="414"/>
      <c r="JCE72" s="414"/>
      <c r="JCF72" s="414"/>
      <c r="JCG72" s="414"/>
      <c r="JCH72" s="414"/>
      <c r="JCI72" s="414"/>
      <c r="JCJ72" s="414"/>
      <c r="JCK72" s="414"/>
      <c r="JCL72" s="414"/>
      <c r="JCM72" s="414"/>
      <c r="JCN72" s="414"/>
      <c r="JCO72" s="414"/>
      <c r="JCP72" s="414"/>
      <c r="JCQ72" s="414"/>
      <c r="JCR72" s="414"/>
      <c r="JCS72" s="414"/>
      <c r="JCT72" s="414"/>
      <c r="JCU72" s="414"/>
      <c r="JCV72" s="414"/>
      <c r="JCW72" s="414"/>
      <c r="JCX72" s="414"/>
      <c r="JCY72" s="414"/>
      <c r="JCZ72" s="414"/>
      <c r="JDA72" s="414"/>
      <c r="JDB72" s="414"/>
      <c r="JDC72" s="414"/>
      <c r="JDD72" s="414"/>
      <c r="JDE72" s="414"/>
      <c r="JDF72" s="414"/>
      <c r="JDG72" s="414"/>
      <c r="JDH72" s="414"/>
      <c r="JDI72" s="414"/>
      <c r="JDJ72" s="414"/>
      <c r="JDK72" s="414"/>
      <c r="JDL72" s="414"/>
      <c r="JDM72" s="414"/>
      <c r="JDN72" s="414"/>
      <c r="JDO72" s="414"/>
      <c r="JDP72" s="414"/>
      <c r="JDQ72" s="414"/>
      <c r="JDR72" s="414"/>
      <c r="JDS72" s="414"/>
      <c r="JDT72" s="414"/>
      <c r="JDU72" s="414"/>
      <c r="JDV72" s="414"/>
      <c r="JDW72" s="414"/>
      <c r="JDX72" s="414"/>
      <c r="JDY72" s="414"/>
      <c r="JDZ72" s="414"/>
      <c r="JEA72" s="414"/>
      <c r="JEB72" s="414"/>
      <c r="JEC72" s="414"/>
      <c r="JED72" s="414"/>
      <c r="JEE72" s="414"/>
      <c r="JEF72" s="414"/>
      <c r="JEG72" s="414"/>
      <c r="JEH72" s="414"/>
      <c r="JEI72" s="414"/>
      <c r="JEJ72" s="414"/>
      <c r="JEK72" s="414"/>
      <c r="JEL72" s="414"/>
      <c r="JEM72" s="414"/>
      <c r="JEN72" s="414"/>
      <c r="JEO72" s="414"/>
      <c r="JEP72" s="414"/>
      <c r="JEQ72" s="414"/>
      <c r="JER72" s="414"/>
      <c r="JES72" s="414"/>
      <c r="JET72" s="414"/>
      <c r="JEU72" s="414"/>
      <c r="JEV72" s="414"/>
      <c r="JEW72" s="414"/>
      <c r="JEX72" s="414"/>
      <c r="JEY72" s="414"/>
      <c r="JEZ72" s="414"/>
      <c r="JFA72" s="414"/>
      <c r="JFB72" s="414"/>
      <c r="JFC72" s="414"/>
      <c r="JFD72" s="414"/>
      <c r="JFE72" s="414"/>
      <c r="JFF72" s="414"/>
      <c r="JFG72" s="414"/>
      <c r="JFH72" s="414"/>
      <c r="JFI72" s="414"/>
      <c r="JFJ72" s="414"/>
      <c r="JFK72" s="414"/>
      <c r="JFL72" s="414"/>
      <c r="JFM72" s="414"/>
      <c r="JFN72" s="414"/>
      <c r="JFO72" s="414"/>
      <c r="JFP72" s="414"/>
      <c r="JFQ72" s="414"/>
      <c r="JFR72" s="414"/>
      <c r="JFS72" s="414"/>
      <c r="JFT72" s="414"/>
      <c r="JFU72" s="414"/>
      <c r="JFV72" s="414"/>
      <c r="JFW72" s="414"/>
      <c r="JFX72" s="414"/>
      <c r="JFY72" s="414"/>
      <c r="JFZ72" s="414"/>
      <c r="JGA72" s="414"/>
      <c r="JGB72" s="414"/>
      <c r="JGC72" s="414"/>
      <c r="JGD72" s="414"/>
      <c r="JGE72" s="414"/>
      <c r="JGF72" s="414"/>
      <c r="JGG72" s="414"/>
      <c r="JGH72" s="414"/>
      <c r="JGI72" s="414"/>
      <c r="JGJ72" s="414"/>
      <c r="JGK72" s="414"/>
      <c r="JGL72" s="414"/>
      <c r="JGM72" s="414"/>
      <c r="JGN72" s="414"/>
      <c r="JGO72" s="414"/>
      <c r="JGP72" s="414"/>
      <c r="JGQ72" s="414"/>
      <c r="JGR72" s="414"/>
      <c r="JGS72" s="414"/>
      <c r="JGT72" s="414"/>
      <c r="JGU72" s="414"/>
      <c r="JGV72" s="414"/>
      <c r="JGW72" s="414"/>
      <c r="JGX72" s="414"/>
      <c r="JGY72" s="414"/>
      <c r="JGZ72" s="414"/>
      <c r="JHA72" s="414"/>
      <c r="JHB72" s="414"/>
      <c r="JHC72" s="414"/>
      <c r="JHD72" s="414"/>
      <c r="JHE72" s="414"/>
      <c r="JHF72" s="414"/>
      <c r="JHG72" s="414"/>
      <c r="JHH72" s="414"/>
      <c r="JHI72" s="414"/>
      <c r="JHJ72" s="414"/>
      <c r="JHK72" s="414"/>
      <c r="JHL72" s="414"/>
      <c r="JHM72" s="414"/>
      <c r="JHN72" s="414"/>
      <c r="JHO72" s="414"/>
      <c r="JHP72" s="414"/>
      <c r="JHQ72" s="414"/>
      <c r="JHR72" s="414"/>
      <c r="JHS72" s="414"/>
      <c r="JHT72" s="414"/>
      <c r="JHU72" s="414"/>
      <c r="JHV72" s="414"/>
      <c r="JHW72" s="414"/>
      <c r="JHX72" s="414"/>
      <c r="JHY72" s="414"/>
      <c r="JHZ72" s="414"/>
      <c r="JIA72" s="414"/>
      <c r="JIB72" s="414"/>
      <c r="JIC72" s="414"/>
      <c r="JID72" s="414"/>
      <c r="JIE72" s="414"/>
      <c r="JIF72" s="414"/>
      <c r="JIG72" s="414"/>
      <c r="JIH72" s="414"/>
      <c r="JII72" s="414"/>
      <c r="JIJ72" s="414"/>
      <c r="JIK72" s="414"/>
      <c r="JIL72" s="414"/>
      <c r="JIM72" s="414"/>
      <c r="JIN72" s="414"/>
      <c r="JIO72" s="414"/>
      <c r="JIP72" s="414"/>
      <c r="JIQ72" s="414"/>
      <c r="JIR72" s="414"/>
      <c r="JIS72" s="414"/>
      <c r="JIT72" s="414"/>
      <c r="JIU72" s="414"/>
      <c r="JIV72" s="414"/>
      <c r="JIW72" s="414"/>
      <c r="JIX72" s="414"/>
      <c r="JIY72" s="414"/>
      <c r="JIZ72" s="414"/>
      <c r="JJA72" s="414"/>
      <c r="JJB72" s="414"/>
      <c r="JJC72" s="414"/>
      <c r="JJD72" s="414"/>
      <c r="JJE72" s="414"/>
      <c r="JJF72" s="414"/>
      <c r="JJG72" s="414"/>
      <c r="JJH72" s="414"/>
      <c r="JJI72" s="414"/>
      <c r="JJJ72" s="414"/>
      <c r="JJK72" s="414"/>
      <c r="JJL72" s="414"/>
      <c r="JJM72" s="414"/>
      <c r="JJN72" s="414"/>
      <c r="JJO72" s="414"/>
      <c r="JJP72" s="414"/>
      <c r="JJQ72" s="414"/>
      <c r="JJR72" s="414"/>
      <c r="JJS72" s="414"/>
      <c r="JJT72" s="414"/>
      <c r="JJU72" s="414"/>
      <c r="JJV72" s="414"/>
      <c r="JJW72" s="414"/>
      <c r="JJX72" s="414"/>
      <c r="JJY72" s="414"/>
      <c r="JJZ72" s="414"/>
      <c r="JKA72" s="414"/>
      <c r="JKB72" s="414"/>
      <c r="JKC72" s="414"/>
      <c r="JKD72" s="414"/>
      <c r="JKE72" s="414"/>
      <c r="JKF72" s="414"/>
      <c r="JKG72" s="414"/>
      <c r="JKH72" s="414"/>
      <c r="JKI72" s="414"/>
      <c r="JKJ72" s="414"/>
      <c r="JKK72" s="414"/>
      <c r="JKL72" s="414"/>
      <c r="JKM72" s="414"/>
      <c r="JKN72" s="414"/>
      <c r="JKO72" s="414"/>
      <c r="JKP72" s="414"/>
      <c r="JKQ72" s="414"/>
      <c r="JKR72" s="414"/>
      <c r="JKS72" s="414"/>
      <c r="JKT72" s="414"/>
      <c r="JKU72" s="414"/>
      <c r="JKV72" s="414"/>
      <c r="JKW72" s="414"/>
      <c r="JKX72" s="414"/>
      <c r="JKY72" s="414"/>
      <c r="JKZ72" s="414"/>
      <c r="JLA72" s="414"/>
      <c r="JLB72" s="414"/>
      <c r="JLC72" s="414"/>
      <c r="JLD72" s="414"/>
      <c r="JLE72" s="414"/>
      <c r="JLF72" s="414"/>
      <c r="JLG72" s="414"/>
      <c r="JLH72" s="414"/>
      <c r="JLI72" s="414"/>
      <c r="JLJ72" s="414"/>
      <c r="JLK72" s="414"/>
      <c r="JLL72" s="414"/>
      <c r="JLM72" s="414"/>
      <c r="JLN72" s="414"/>
      <c r="JLO72" s="414"/>
      <c r="JLP72" s="414"/>
      <c r="JLQ72" s="414"/>
      <c r="JLR72" s="414"/>
      <c r="JLS72" s="414"/>
      <c r="JLT72" s="414"/>
      <c r="JLU72" s="414"/>
      <c r="JLV72" s="414"/>
      <c r="JLW72" s="414"/>
      <c r="JLX72" s="414"/>
      <c r="JLY72" s="414"/>
      <c r="JLZ72" s="414"/>
      <c r="JMA72" s="414"/>
      <c r="JMB72" s="414"/>
      <c r="JMC72" s="414"/>
      <c r="JMD72" s="414"/>
      <c r="JME72" s="414"/>
      <c r="JMF72" s="414"/>
      <c r="JMG72" s="414"/>
      <c r="JMH72" s="414"/>
      <c r="JMI72" s="414"/>
      <c r="JMJ72" s="414"/>
      <c r="JMK72" s="414"/>
      <c r="JML72" s="414"/>
      <c r="JMM72" s="414"/>
      <c r="JMN72" s="414"/>
      <c r="JMO72" s="414"/>
      <c r="JMP72" s="414"/>
      <c r="JMQ72" s="414"/>
      <c r="JMR72" s="414"/>
      <c r="JMS72" s="414"/>
      <c r="JMT72" s="414"/>
      <c r="JMU72" s="414"/>
      <c r="JMV72" s="414"/>
      <c r="JMW72" s="414"/>
      <c r="JMX72" s="414"/>
      <c r="JMY72" s="414"/>
      <c r="JMZ72" s="414"/>
      <c r="JNA72" s="414"/>
      <c r="JNB72" s="414"/>
      <c r="JNC72" s="414"/>
      <c r="JND72" s="414"/>
      <c r="JNE72" s="414"/>
      <c r="JNF72" s="414"/>
      <c r="JNG72" s="414"/>
      <c r="JNH72" s="414"/>
      <c r="JNI72" s="414"/>
      <c r="JNJ72" s="414"/>
      <c r="JNK72" s="414"/>
      <c r="JNL72" s="414"/>
      <c r="JNM72" s="414"/>
      <c r="JNN72" s="414"/>
      <c r="JNO72" s="414"/>
      <c r="JNP72" s="414"/>
      <c r="JNQ72" s="414"/>
      <c r="JNR72" s="414"/>
      <c r="JNS72" s="414"/>
      <c r="JNT72" s="414"/>
      <c r="JNU72" s="414"/>
      <c r="JNV72" s="414"/>
      <c r="JNW72" s="414"/>
      <c r="JNX72" s="414"/>
      <c r="JNY72" s="414"/>
      <c r="JNZ72" s="414"/>
      <c r="JOA72" s="414"/>
      <c r="JOB72" s="414"/>
      <c r="JOC72" s="414"/>
      <c r="JOD72" s="414"/>
      <c r="JOE72" s="414"/>
      <c r="JOF72" s="414"/>
      <c r="JOG72" s="414"/>
      <c r="JOH72" s="414"/>
      <c r="JOI72" s="414"/>
      <c r="JOJ72" s="414"/>
      <c r="JOK72" s="414"/>
      <c r="JOL72" s="414"/>
      <c r="JOM72" s="414"/>
      <c r="JON72" s="414"/>
      <c r="JOO72" s="414"/>
      <c r="JOP72" s="414"/>
      <c r="JOQ72" s="414"/>
      <c r="JOR72" s="414"/>
      <c r="JOS72" s="414"/>
      <c r="JOT72" s="414"/>
      <c r="JOU72" s="414"/>
      <c r="JOV72" s="414"/>
      <c r="JOW72" s="414"/>
      <c r="JOX72" s="414"/>
      <c r="JOY72" s="414"/>
      <c r="JOZ72" s="414"/>
      <c r="JPA72" s="414"/>
      <c r="JPB72" s="414"/>
      <c r="JPC72" s="414"/>
      <c r="JPD72" s="414"/>
      <c r="JPE72" s="414"/>
      <c r="JPF72" s="414"/>
      <c r="JPG72" s="414"/>
      <c r="JPH72" s="414"/>
      <c r="JPI72" s="414"/>
      <c r="JPJ72" s="414"/>
      <c r="JPK72" s="414"/>
      <c r="JPL72" s="414"/>
      <c r="JPM72" s="414"/>
      <c r="JPN72" s="414"/>
      <c r="JPO72" s="414"/>
      <c r="JPP72" s="414"/>
      <c r="JPQ72" s="414"/>
      <c r="JPR72" s="414"/>
      <c r="JPS72" s="414"/>
      <c r="JPT72" s="414"/>
      <c r="JPU72" s="414"/>
      <c r="JPV72" s="414"/>
      <c r="JPW72" s="414"/>
      <c r="JPX72" s="414"/>
      <c r="JPY72" s="414"/>
      <c r="JPZ72" s="414"/>
      <c r="JQA72" s="414"/>
      <c r="JQB72" s="414"/>
      <c r="JQC72" s="414"/>
      <c r="JQD72" s="414"/>
      <c r="JQE72" s="414"/>
      <c r="JQF72" s="414"/>
      <c r="JQG72" s="414"/>
      <c r="JQH72" s="414"/>
      <c r="JQI72" s="414"/>
      <c r="JQJ72" s="414"/>
      <c r="JQK72" s="414"/>
      <c r="JQL72" s="414"/>
      <c r="JQM72" s="414"/>
      <c r="JQN72" s="414"/>
      <c r="JQO72" s="414"/>
      <c r="JQP72" s="414"/>
      <c r="JQQ72" s="414"/>
      <c r="JQR72" s="414"/>
      <c r="JQS72" s="414"/>
      <c r="JQT72" s="414"/>
      <c r="JQU72" s="414"/>
      <c r="JQV72" s="414"/>
      <c r="JQW72" s="414"/>
      <c r="JQX72" s="414"/>
      <c r="JQY72" s="414"/>
      <c r="JQZ72" s="414"/>
      <c r="JRA72" s="414"/>
      <c r="JRB72" s="414"/>
      <c r="JRC72" s="414"/>
      <c r="JRD72" s="414"/>
      <c r="JRE72" s="414"/>
      <c r="JRF72" s="414"/>
      <c r="JRG72" s="414"/>
      <c r="JRH72" s="414"/>
      <c r="JRI72" s="414"/>
      <c r="JRJ72" s="414"/>
      <c r="JRK72" s="414"/>
      <c r="JRL72" s="414"/>
      <c r="JRM72" s="414"/>
      <c r="JRN72" s="414"/>
      <c r="JRO72" s="414"/>
      <c r="JRP72" s="414"/>
      <c r="JRQ72" s="414"/>
      <c r="JRR72" s="414"/>
      <c r="JRS72" s="414"/>
      <c r="JRT72" s="414"/>
      <c r="JRU72" s="414"/>
      <c r="JRV72" s="414"/>
      <c r="JRW72" s="414"/>
      <c r="JRX72" s="414"/>
      <c r="JRY72" s="414"/>
      <c r="JRZ72" s="414"/>
      <c r="JSA72" s="414"/>
      <c r="JSB72" s="414"/>
      <c r="JSC72" s="414"/>
      <c r="JSD72" s="414"/>
      <c r="JSE72" s="414"/>
      <c r="JSF72" s="414"/>
      <c r="JSG72" s="414"/>
      <c r="JSH72" s="414"/>
      <c r="JSI72" s="414"/>
      <c r="JSJ72" s="414"/>
      <c r="JSK72" s="414"/>
      <c r="JSL72" s="414"/>
      <c r="JSM72" s="414"/>
      <c r="JSN72" s="414"/>
      <c r="JSO72" s="414"/>
      <c r="JSP72" s="414"/>
      <c r="JSQ72" s="414"/>
      <c r="JSR72" s="414"/>
      <c r="JSS72" s="414"/>
      <c r="JST72" s="414"/>
      <c r="JSU72" s="414"/>
      <c r="JSV72" s="414"/>
      <c r="JSW72" s="414"/>
      <c r="JSX72" s="414"/>
      <c r="JSY72" s="414"/>
      <c r="JSZ72" s="414"/>
      <c r="JTA72" s="414"/>
      <c r="JTB72" s="414"/>
      <c r="JTC72" s="414"/>
      <c r="JTD72" s="414"/>
      <c r="JTE72" s="414"/>
      <c r="JTF72" s="414"/>
      <c r="JTG72" s="414"/>
      <c r="JTH72" s="414"/>
      <c r="JTI72" s="414"/>
      <c r="JTJ72" s="414"/>
      <c r="JTK72" s="414"/>
      <c r="JTL72" s="414"/>
      <c r="JTM72" s="414"/>
      <c r="JTN72" s="414"/>
      <c r="JTO72" s="414"/>
      <c r="JTP72" s="414"/>
      <c r="JTQ72" s="414"/>
      <c r="JTR72" s="414"/>
      <c r="JTS72" s="414"/>
      <c r="JTT72" s="414"/>
      <c r="JTU72" s="414"/>
      <c r="JTV72" s="414"/>
      <c r="JTW72" s="414"/>
      <c r="JTX72" s="414"/>
      <c r="JTY72" s="414"/>
      <c r="JTZ72" s="414"/>
      <c r="JUA72" s="414"/>
      <c r="JUB72" s="414"/>
      <c r="JUC72" s="414"/>
      <c r="JUD72" s="414"/>
      <c r="JUE72" s="414"/>
      <c r="JUF72" s="414"/>
      <c r="JUG72" s="414"/>
      <c r="JUH72" s="414"/>
      <c r="JUI72" s="414"/>
      <c r="JUJ72" s="414"/>
      <c r="JUK72" s="414"/>
      <c r="JUL72" s="414"/>
      <c r="JUM72" s="414"/>
      <c r="JUN72" s="414"/>
      <c r="JUO72" s="414"/>
      <c r="JUP72" s="414"/>
      <c r="JUQ72" s="414"/>
      <c r="JUR72" s="414"/>
      <c r="JUS72" s="414"/>
      <c r="JUT72" s="414"/>
      <c r="JUU72" s="414"/>
      <c r="JUV72" s="414"/>
      <c r="JUW72" s="414"/>
      <c r="JUX72" s="414"/>
      <c r="JUY72" s="414"/>
      <c r="JUZ72" s="414"/>
      <c r="JVA72" s="414"/>
      <c r="JVB72" s="414"/>
      <c r="JVC72" s="414"/>
      <c r="JVD72" s="414"/>
      <c r="JVE72" s="414"/>
      <c r="JVF72" s="414"/>
      <c r="JVG72" s="414"/>
      <c r="JVH72" s="414"/>
      <c r="JVI72" s="414"/>
      <c r="JVJ72" s="414"/>
      <c r="JVK72" s="414"/>
      <c r="JVL72" s="414"/>
      <c r="JVM72" s="414"/>
      <c r="JVN72" s="414"/>
      <c r="JVO72" s="414"/>
      <c r="JVP72" s="414"/>
      <c r="JVQ72" s="414"/>
      <c r="JVR72" s="414"/>
      <c r="JVS72" s="414"/>
      <c r="JVT72" s="414"/>
      <c r="JVU72" s="414"/>
      <c r="JVV72" s="414"/>
      <c r="JVW72" s="414"/>
      <c r="JVX72" s="414"/>
      <c r="JVY72" s="414"/>
      <c r="JVZ72" s="414"/>
      <c r="JWA72" s="414"/>
      <c r="JWB72" s="414"/>
      <c r="JWC72" s="414"/>
      <c r="JWD72" s="414"/>
      <c r="JWE72" s="414"/>
      <c r="JWF72" s="414"/>
      <c r="JWG72" s="414"/>
      <c r="JWH72" s="414"/>
      <c r="JWI72" s="414"/>
      <c r="JWJ72" s="414"/>
      <c r="JWK72" s="414"/>
      <c r="JWL72" s="414"/>
      <c r="JWM72" s="414"/>
      <c r="JWN72" s="414"/>
      <c r="JWO72" s="414"/>
      <c r="JWP72" s="414"/>
      <c r="JWQ72" s="414"/>
      <c r="JWR72" s="414"/>
      <c r="JWS72" s="414"/>
      <c r="JWT72" s="414"/>
      <c r="JWU72" s="414"/>
      <c r="JWV72" s="414"/>
      <c r="JWW72" s="414"/>
      <c r="JWX72" s="414"/>
      <c r="JWY72" s="414"/>
      <c r="JWZ72" s="414"/>
      <c r="JXA72" s="414"/>
      <c r="JXB72" s="414"/>
      <c r="JXC72" s="414"/>
      <c r="JXD72" s="414"/>
      <c r="JXE72" s="414"/>
      <c r="JXF72" s="414"/>
      <c r="JXG72" s="414"/>
      <c r="JXH72" s="414"/>
      <c r="JXI72" s="414"/>
      <c r="JXJ72" s="414"/>
      <c r="JXK72" s="414"/>
      <c r="JXL72" s="414"/>
      <c r="JXM72" s="414"/>
      <c r="JXN72" s="414"/>
      <c r="JXO72" s="414"/>
      <c r="JXP72" s="414"/>
      <c r="JXQ72" s="414"/>
      <c r="JXR72" s="414"/>
      <c r="JXS72" s="414"/>
      <c r="JXT72" s="414"/>
      <c r="JXU72" s="414"/>
      <c r="JXV72" s="414"/>
      <c r="JXW72" s="414"/>
      <c r="JXX72" s="414"/>
      <c r="JXY72" s="414"/>
      <c r="JXZ72" s="414"/>
      <c r="JYA72" s="414"/>
      <c r="JYB72" s="414"/>
      <c r="JYC72" s="414"/>
      <c r="JYD72" s="414"/>
      <c r="JYE72" s="414"/>
      <c r="JYF72" s="414"/>
      <c r="JYG72" s="414"/>
      <c r="JYH72" s="414"/>
      <c r="JYI72" s="414"/>
      <c r="JYJ72" s="414"/>
      <c r="JYK72" s="414"/>
      <c r="JYL72" s="414"/>
      <c r="JYM72" s="414"/>
      <c r="JYN72" s="414"/>
      <c r="JYO72" s="414"/>
      <c r="JYP72" s="414"/>
      <c r="JYQ72" s="414"/>
      <c r="JYR72" s="414"/>
      <c r="JYS72" s="414"/>
      <c r="JYT72" s="414"/>
      <c r="JYU72" s="414"/>
      <c r="JYV72" s="414"/>
      <c r="JYW72" s="414"/>
      <c r="JYX72" s="414"/>
      <c r="JYY72" s="414"/>
      <c r="JYZ72" s="414"/>
      <c r="JZA72" s="414"/>
      <c r="JZB72" s="414"/>
      <c r="JZC72" s="414"/>
      <c r="JZD72" s="414"/>
      <c r="JZE72" s="414"/>
      <c r="JZF72" s="414"/>
      <c r="JZG72" s="414"/>
      <c r="JZH72" s="414"/>
      <c r="JZI72" s="414"/>
      <c r="JZJ72" s="414"/>
      <c r="JZK72" s="414"/>
      <c r="JZL72" s="414"/>
      <c r="JZM72" s="414"/>
      <c r="JZN72" s="414"/>
      <c r="JZO72" s="414"/>
      <c r="JZP72" s="414"/>
      <c r="JZQ72" s="414"/>
      <c r="JZR72" s="414"/>
      <c r="JZS72" s="414"/>
      <c r="JZT72" s="414"/>
      <c r="JZU72" s="414"/>
      <c r="JZV72" s="414"/>
      <c r="JZW72" s="414"/>
      <c r="JZX72" s="414"/>
      <c r="JZY72" s="414"/>
      <c r="JZZ72" s="414"/>
      <c r="KAA72" s="414"/>
      <c r="KAB72" s="414"/>
      <c r="KAC72" s="414"/>
      <c r="KAD72" s="414"/>
      <c r="KAE72" s="414"/>
      <c r="KAF72" s="414"/>
      <c r="KAG72" s="414"/>
      <c r="KAH72" s="414"/>
      <c r="KAI72" s="414"/>
      <c r="KAJ72" s="414"/>
      <c r="KAK72" s="414"/>
      <c r="KAL72" s="414"/>
      <c r="KAM72" s="414"/>
      <c r="KAN72" s="414"/>
      <c r="KAO72" s="414"/>
      <c r="KAP72" s="414"/>
      <c r="KAQ72" s="414"/>
      <c r="KAR72" s="414"/>
      <c r="KAS72" s="414"/>
      <c r="KAT72" s="414"/>
      <c r="KAU72" s="414"/>
      <c r="KAV72" s="414"/>
      <c r="KAW72" s="414"/>
      <c r="KAX72" s="414"/>
      <c r="KAY72" s="414"/>
      <c r="KAZ72" s="414"/>
      <c r="KBA72" s="414"/>
      <c r="KBB72" s="414"/>
      <c r="KBC72" s="414"/>
      <c r="KBD72" s="414"/>
      <c r="KBE72" s="414"/>
      <c r="KBF72" s="414"/>
      <c r="KBG72" s="414"/>
      <c r="KBH72" s="414"/>
      <c r="KBI72" s="414"/>
      <c r="KBJ72" s="414"/>
      <c r="KBK72" s="414"/>
      <c r="KBL72" s="414"/>
      <c r="KBM72" s="414"/>
      <c r="KBN72" s="414"/>
      <c r="KBO72" s="414"/>
      <c r="KBP72" s="414"/>
      <c r="KBQ72" s="414"/>
      <c r="KBR72" s="414"/>
      <c r="KBS72" s="414"/>
      <c r="KBT72" s="414"/>
      <c r="KBU72" s="414"/>
      <c r="KBV72" s="414"/>
      <c r="KBW72" s="414"/>
      <c r="KBX72" s="414"/>
      <c r="KBY72" s="414"/>
      <c r="KBZ72" s="414"/>
      <c r="KCA72" s="414"/>
      <c r="KCB72" s="414"/>
      <c r="KCC72" s="414"/>
      <c r="KCD72" s="414"/>
      <c r="KCE72" s="414"/>
      <c r="KCF72" s="414"/>
      <c r="KCG72" s="414"/>
      <c r="KCH72" s="414"/>
      <c r="KCI72" s="414"/>
      <c r="KCJ72" s="414"/>
      <c r="KCK72" s="414"/>
      <c r="KCL72" s="414"/>
      <c r="KCM72" s="414"/>
      <c r="KCN72" s="414"/>
      <c r="KCO72" s="414"/>
      <c r="KCP72" s="414"/>
      <c r="KCQ72" s="414"/>
      <c r="KCR72" s="414"/>
      <c r="KCS72" s="414"/>
      <c r="KCT72" s="414"/>
      <c r="KCU72" s="414"/>
      <c r="KCV72" s="414"/>
      <c r="KCW72" s="414"/>
      <c r="KCX72" s="414"/>
      <c r="KCY72" s="414"/>
      <c r="KCZ72" s="414"/>
      <c r="KDA72" s="414"/>
      <c r="KDB72" s="414"/>
      <c r="KDC72" s="414"/>
      <c r="KDD72" s="414"/>
      <c r="KDE72" s="414"/>
      <c r="KDF72" s="414"/>
      <c r="KDG72" s="414"/>
      <c r="KDH72" s="414"/>
      <c r="KDI72" s="414"/>
      <c r="KDJ72" s="414"/>
      <c r="KDK72" s="414"/>
      <c r="KDL72" s="414"/>
      <c r="KDM72" s="414"/>
      <c r="KDN72" s="414"/>
      <c r="KDO72" s="414"/>
      <c r="KDP72" s="414"/>
      <c r="KDQ72" s="414"/>
      <c r="KDR72" s="414"/>
      <c r="KDS72" s="414"/>
      <c r="KDT72" s="414"/>
      <c r="KDU72" s="414"/>
      <c r="KDV72" s="414"/>
      <c r="KDW72" s="414"/>
      <c r="KDX72" s="414"/>
      <c r="KDY72" s="414"/>
      <c r="KDZ72" s="414"/>
      <c r="KEA72" s="414"/>
      <c r="KEB72" s="414"/>
      <c r="KEC72" s="414"/>
      <c r="KED72" s="414"/>
      <c r="KEE72" s="414"/>
      <c r="KEF72" s="414"/>
      <c r="KEG72" s="414"/>
      <c r="KEH72" s="414"/>
      <c r="KEI72" s="414"/>
      <c r="KEJ72" s="414"/>
      <c r="KEK72" s="414"/>
      <c r="KEL72" s="414"/>
      <c r="KEM72" s="414"/>
      <c r="KEN72" s="414"/>
      <c r="KEO72" s="414"/>
      <c r="KEP72" s="414"/>
      <c r="KEQ72" s="414"/>
      <c r="KER72" s="414"/>
      <c r="KES72" s="414"/>
      <c r="KET72" s="414"/>
      <c r="KEU72" s="414"/>
      <c r="KEV72" s="414"/>
      <c r="KEW72" s="414"/>
      <c r="KEX72" s="414"/>
      <c r="KEY72" s="414"/>
      <c r="KEZ72" s="414"/>
      <c r="KFA72" s="414"/>
      <c r="KFB72" s="414"/>
      <c r="KFC72" s="414"/>
      <c r="KFD72" s="414"/>
      <c r="KFE72" s="414"/>
      <c r="KFF72" s="414"/>
      <c r="KFG72" s="414"/>
      <c r="KFH72" s="414"/>
      <c r="KFI72" s="414"/>
      <c r="KFJ72" s="414"/>
      <c r="KFK72" s="414"/>
      <c r="KFL72" s="414"/>
      <c r="KFM72" s="414"/>
      <c r="KFN72" s="414"/>
      <c r="KFO72" s="414"/>
      <c r="KFP72" s="414"/>
      <c r="KFQ72" s="414"/>
      <c r="KFR72" s="414"/>
      <c r="KFS72" s="414"/>
      <c r="KFT72" s="414"/>
      <c r="KFU72" s="414"/>
      <c r="KFV72" s="414"/>
      <c r="KFW72" s="414"/>
      <c r="KFX72" s="414"/>
      <c r="KFY72" s="414"/>
      <c r="KFZ72" s="414"/>
      <c r="KGA72" s="414"/>
      <c r="KGB72" s="414"/>
      <c r="KGC72" s="414"/>
      <c r="KGD72" s="414"/>
      <c r="KGE72" s="414"/>
      <c r="KGF72" s="414"/>
      <c r="KGG72" s="414"/>
      <c r="KGH72" s="414"/>
      <c r="KGI72" s="414"/>
      <c r="KGJ72" s="414"/>
      <c r="KGK72" s="414"/>
      <c r="KGL72" s="414"/>
      <c r="KGM72" s="414"/>
      <c r="KGN72" s="414"/>
      <c r="KGO72" s="414"/>
      <c r="KGP72" s="414"/>
      <c r="KGQ72" s="414"/>
      <c r="KGR72" s="414"/>
      <c r="KGS72" s="414"/>
      <c r="KGT72" s="414"/>
      <c r="KGU72" s="414"/>
      <c r="KGV72" s="414"/>
      <c r="KGW72" s="414"/>
      <c r="KGX72" s="414"/>
      <c r="KGY72" s="414"/>
      <c r="KGZ72" s="414"/>
      <c r="KHA72" s="414"/>
      <c r="KHB72" s="414"/>
      <c r="KHC72" s="414"/>
      <c r="KHD72" s="414"/>
      <c r="KHE72" s="414"/>
      <c r="KHF72" s="414"/>
      <c r="KHG72" s="414"/>
      <c r="KHH72" s="414"/>
      <c r="KHI72" s="414"/>
      <c r="KHJ72" s="414"/>
      <c r="KHK72" s="414"/>
      <c r="KHL72" s="414"/>
      <c r="KHM72" s="414"/>
      <c r="KHN72" s="414"/>
      <c r="KHO72" s="414"/>
      <c r="KHP72" s="414"/>
      <c r="KHQ72" s="414"/>
      <c r="KHR72" s="414"/>
      <c r="KHS72" s="414"/>
      <c r="KHT72" s="414"/>
      <c r="KHU72" s="414"/>
      <c r="KHV72" s="414"/>
      <c r="KHW72" s="414"/>
      <c r="KHX72" s="414"/>
      <c r="KHY72" s="414"/>
      <c r="KHZ72" s="414"/>
      <c r="KIA72" s="414"/>
      <c r="KIB72" s="414"/>
      <c r="KIC72" s="414"/>
      <c r="KID72" s="414"/>
      <c r="KIE72" s="414"/>
      <c r="KIF72" s="414"/>
      <c r="KIG72" s="414"/>
      <c r="KIH72" s="414"/>
      <c r="KII72" s="414"/>
      <c r="KIJ72" s="414"/>
      <c r="KIK72" s="414"/>
      <c r="KIL72" s="414"/>
      <c r="KIM72" s="414"/>
      <c r="KIN72" s="414"/>
      <c r="KIO72" s="414"/>
      <c r="KIP72" s="414"/>
      <c r="KIQ72" s="414"/>
      <c r="KIR72" s="414"/>
      <c r="KIS72" s="414"/>
      <c r="KIT72" s="414"/>
      <c r="KIU72" s="414"/>
      <c r="KIV72" s="414"/>
      <c r="KIW72" s="414"/>
      <c r="KIX72" s="414"/>
      <c r="KIY72" s="414"/>
      <c r="KIZ72" s="414"/>
      <c r="KJA72" s="414"/>
      <c r="KJB72" s="414"/>
      <c r="KJC72" s="414"/>
      <c r="KJD72" s="414"/>
      <c r="KJE72" s="414"/>
      <c r="KJF72" s="414"/>
      <c r="KJG72" s="414"/>
      <c r="KJH72" s="414"/>
      <c r="KJI72" s="414"/>
      <c r="KJJ72" s="414"/>
      <c r="KJK72" s="414"/>
      <c r="KJL72" s="414"/>
      <c r="KJM72" s="414"/>
      <c r="KJN72" s="414"/>
      <c r="KJO72" s="414"/>
      <c r="KJP72" s="414"/>
      <c r="KJQ72" s="414"/>
      <c r="KJR72" s="414"/>
      <c r="KJS72" s="414"/>
      <c r="KJT72" s="414"/>
      <c r="KJU72" s="414"/>
      <c r="KJV72" s="414"/>
      <c r="KJW72" s="414"/>
      <c r="KJX72" s="414"/>
      <c r="KJY72" s="414"/>
      <c r="KJZ72" s="414"/>
      <c r="KKA72" s="414"/>
      <c r="KKB72" s="414"/>
      <c r="KKC72" s="414"/>
      <c r="KKD72" s="414"/>
      <c r="KKE72" s="414"/>
      <c r="KKF72" s="414"/>
      <c r="KKG72" s="414"/>
      <c r="KKH72" s="414"/>
      <c r="KKI72" s="414"/>
      <c r="KKJ72" s="414"/>
      <c r="KKK72" s="414"/>
      <c r="KKL72" s="414"/>
      <c r="KKM72" s="414"/>
      <c r="KKN72" s="414"/>
      <c r="KKO72" s="414"/>
      <c r="KKP72" s="414"/>
      <c r="KKQ72" s="414"/>
      <c r="KKR72" s="414"/>
      <c r="KKS72" s="414"/>
      <c r="KKT72" s="414"/>
      <c r="KKU72" s="414"/>
      <c r="KKV72" s="414"/>
      <c r="KKW72" s="414"/>
      <c r="KKX72" s="414"/>
      <c r="KKY72" s="414"/>
      <c r="KKZ72" s="414"/>
      <c r="KLA72" s="414"/>
      <c r="KLB72" s="414"/>
      <c r="KLC72" s="414"/>
      <c r="KLD72" s="414"/>
      <c r="KLE72" s="414"/>
      <c r="KLF72" s="414"/>
      <c r="KLG72" s="414"/>
      <c r="KLH72" s="414"/>
      <c r="KLI72" s="414"/>
      <c r="KLJ72" s="414"/>
      <c r="KLK72" s="414"/>
      <c r="KLL72" s="414"/>
      <c r="KLM72" s="414"/>
      <c r="KLN72" s="414"/>
      <c r="KLO72" s="414"/>
      <c r="KLP72" s="414"/>
      <c r="KLQ72" s="414"/>
      <c r="KLR72" s="414"/>
      <c r="KLS72" s="414"/>
      <c r="KLT72" s="414"/>
      <c r="KLU72" s="414"/>
      <c r="KLV72" s="414"/>
      <c r="KLW72" s="414"/>
      <c r="KLX72" s="414"/>
      <c r="KLY72" s="414"/>
      <c r="KLZ72" s="414"/>
      <c r="KMA72" s="414"/>
      <c r="KMB72" s="414"/>
      <c r="KMC72" s="414"/>
      <c r="KMD72" s="414"/>
      <c r="KME72" s="414"/>
      <c r="KMF72" s="414"/>
      <c r="KMG72" s="414"/>
      <c r="KMH72" s="414"/>
      <c r="KMI72" s="414"/>
      <c r="KMJ72" s="414"/>
      <c r="KMK72" s="414"/>
      <c r="KML72" s="414"/>
      <c r="KMM72" s="414"/>
      <c r="KMN72" s="414"/>
      <c r="KMO72" s="414"/>
      <c r="KMP72" s="414"/>
      <c r="KMQ72" s="414"/>
      <c r="KMR72" s="414"/>
      <c r="KMS72" s="414"/>
      <c r="KMT72" s="414"/>
      <c r="KMU72" s="414"/>
      <c r="KMV72" s="414"/>
      <c r="KMW72" s="414"/>
      <c r="KMX72" s="414"/>
      <c r="KMY72" s="414"/>
      <c r="KMZ72" s="414"/>
      <c r="KNA72" s="414"/>
      <c r="KNB72" s="414"/>
      <c r="KNC72" s="414"/>
      <c r="KND72" s="414"/>
      <c r="KNE72" s="414"/>
      <c r="KNF72" s="414"/>
      <c r="KNG72" s="414"/>
      <c r="KNH72" s="414"/>
      <c r="KNI72" s="414"/>
      <c r="KNJ72" s="414"/>
      <c r="KNK72" s="414"/>
      <c r="KNL72" s="414"/>
      <c r="KNM72" s="414"/>
      <c r="KNN72" s="414"/>
      <c r="KNO72" s="414"/>
      <c r="KNP72" s="414"/>
      <c r="KNQ72" s="414"/>
      <c r="KNR72" s="414"/>
      <c r="KNS72" s="414"/>
      <c r="KNT72" s="414"/>
      <c r="KNU72" s="414"/>
      <c r="KNV72" s="414"/>
      <c r="KNW72" s="414"/>
      <c r="KNX72" s="414"/>
      <c r="KNY72" s="414"/>
      <c r="KNZ72" s="414"/>
      <c r="KOA72" s="414"/>
      <c r="KOB72" s="414"/>
      <c r="KOC72" s="414"/>
      <c r="KOD72" s="414"/>
      <c r="KOE72" s="414"/>
      <c r="KOF72" s="414"/>
      <c r="KOG72" s="414"/>
      <c r="KOH72" s="414"/>
      <c r="KOI72" s="414"/>
      <c r="KOJ72" s="414"/>
      <c r="KOK72" s="414"/>
      <c r="KOL72" s="414"/>
      <c r="KOM72" s="414"/>
      <c r="KON72" s="414"/>
      <c r="KOO72" s="414"/>
      <c r="KOP72" s="414"/>
      <c r="KOQ72" s="414"/>
      <c r="KOR72" s="414"/>
      <c r="KOS72" s="414"/>
      <c r="KOT72" s="414"/>
      <c r="KOU72" s="414"/>
      <c r="KOV72" s="414"/>
      <c r="KOW72" s="414"/>
      <c r="KOX72" s="414"/>
      <c r="KOY72" s="414"/>
      <c r="KOZ72" s="414"/>
      <c r="KPA72" s="414"/>
      <c r="KPB72" s="414"/>
      <c r="KPC72" s="414"/>
      <c r="KPD72" s="414"/>
      <c r="KPE72" s="414"/>
      <c r="KPF72" s="414"/>
      <c r="KPG72" s="414"/>
      <c r="KPH72" s="414"/>
      <c r="KPI72" s="414"/>
      <c r="KPJ72" s="414"/>
      <c r="KPK72" s="414"/>
      <c r="KPL72" s="414"/>
      <c r="KPM72" s="414"/>
      <c r="KPN72" s="414"/>
      <c r="KPO72" s="414"/>
      <c r="KPP72" s="414"/>
      <c r="KPQ72" s="414"/>
      <c r="KPR72" s="414"/>
      <c r="KPS72" s="414"/>
      <c r="KPT72" s="414"/>
      <c r="KPU72" s="414"/>
      <c r="KPV72" s="414"/>
      <c r="KPW72" s="414"/>
      <c r="KPX72" s="414"/>
      <c r="KPY72" s="414"/>
      <c r="KPZ72" s="414"/>
      <c r="KQA72" s="414"/>
      <c r="KQB72" s="414"/>
      <c r="KQC72" s="414"/>
      <c r="KQD72" s="414"/>
      <c r="KQE72" s="414"/>
      <c r="KQF72" s="414"/>
      <c r="KQG72" s="414"/>
      <c r="KQH72" s="414"/>
      <c r="KQI72" s="414"/>
      <c r="KQJ72" s="414"/>
      <c r="KQK72" s="414"/>
      <c r="KQL72" s="414"/>
      <c r="KQM72" s="414"/>
      <c r="KQN72" s="414"/>
      <c r="KQO72" s="414"/>
      <c r="KQP72" s="414"/>
      <c r="KQQ72" s="414"/>
      <c r="KQR72" s="414"/>
      <c r="KQS72" s="414"/>
      <c r="KQT72" s="414"/>
      <c r="KQU72" s="414"/>
      <c r="KQV72" s="414"/>
      <c r="KQW72" s="414"/>
      <c r="KQX72" s="414"/>
      <c r="KQY72" s="414"/>
      <c r="KQZ72" s="414"/>
      <c r="KRA72" s="414"/>
      <c r="KRB72" s="414"/>
      <c r="KRC72" s="414"/>
      <c r="KRD72" s="414"/>
      <c r="KRE72" s="414"/>
      <c r="KRF72" s="414"/>
      <c r="KRG72" s="414"/>
      <c r="KRH72" s="414"/>
      <c r="KRI72" s="414"/>
      <c r="KRJ72" s="414"/>
      <c r="KRK72" s="414"/>
      <c r="KRL72" s="414"/>
      <c r="KRM72" s="414"/>
      <c r="KRN72" s="414"/>
      <c r="KRO72" s="414"/>
      <c r="KRP72" s="414"/>
      <c r="KRQ72" s="414"/>
      <c r="KRR72" s="414"/>
      <c r="KRS72" s="414"/>
      <c r="KRT72" s="414"/>
      <c r="KRU72" s="414"/>
      <c r="KRV72" s="414"/>
      <c r="KRW72" s="414"/>
      <c r="KRX72" s="414"/>
      <c r="KRY72" s="414"/>
      <c r="KRZ72" s="414"/>
      <c r="KSA72" s="414"/>
      <c r="KSB72" s="414"/>
      <c r="KSC72" s="414"/>
      <c r="KSD72" s="414"/>
      <c r="KSE72" s="414"/>
      <c r="KSF72" s="414"/>
      <c r="KSG72" s="414"/>
      <c r="KSH72" s="414"/>
      <c r="KSI72" s="414"/>
      <c r="KSJ72" s="414"/>
      <c r="KSK72" s="414"/>
      <c r="KSL72" s="414"/>
      <c r="KSM72" s="414"/>
      <c r="KSN72" s="414"/>
      <c r="KSO72" s="414"/>
      <c r="KSP72" s="414"/>
      <c r="KSQ72" s="414"/>
      <c r="KSR72" s="414"/>
      <c r="KSS72" s="414"/>
      <c r="KST72" s="414"/>
      <c r="KSU72" s="414"/>
      <c r="KSV72" s="414"/>
      <c r="KSW72" s="414"/>
      <c r="KSX72" s="414"/>
      <c r="KSY72" s="414"/>
      <c r="KSZ72" s="414"/>
      <c r="KTA72" s="414"/>
      <c r="KTB72" s="414"/>
      <c r="KTC72" s="414"/>
      <c r="KTD72" s="414"/>
      <c r="KTE72" s="414"/>
      <c r="KTF72" s="414"/>
      <c r="KTG72" s="414"/>
      <c r="KTH72" s="414"/>
      <c r="KTI72" s="414"/>
      <c r="KTJ72" s="414"/>
      <c r="KTK72" s="414"/>
      <c r="KTL72" s="414"/>
      <c r="KTM72" s="414"/>
      <c r="KTN72" s="414"/>
      <c r="KTO72" s="414"/>
      <c r="KTP72" s="414"/>
      <c r="KTQ72" s="414"/>
      <c r="KTR72" s="414"/>
      <c r="KTS72" s="414"/>
      <c r="KTT72" s="414"/>
      <c r="KTU72" s="414"/>
      <c r="KTV72" s="414"/>
      <c r="KTW72" s="414"/>
      <c r="KTX72" s="414"/>
      <c r="KTY72" s="414"/>
      <c r="KTZ72" s="414"/>
      <c r="KUA72" s="414"/>
      <c r="KUB72" s="414"/>
      <c r="KUC72" s="414"/>
      <c r="KUD72" s="414"/>
      <c r="KUE72" s="414"/>
      <c r="KUF72" s="414"/>
      <c r="KUG72" s="414"/>
      <c r="KUH72" s="414"/>
      <c r="KUI72" s="414"/>
      <c r="KUJ72" s="414"/>
      <c r="KUK72" s="414"/>
      <c r="KUL72" s="414"/>
      <c r="KUM72" s="414"/>
      <c r="KUN72" s="414"/>
      <c r="KUO72" s="414"/>
      <c r="KUP72" s="414"/>
      <c r="KUQ72" s="414"/>
      <c r="KUR72" s="414"/>
      <c r="KUS72" s="414"/>
      <c r="KUT72" s="414"/>
      <c r="KUU72" s="414"/>
      <c r="KUV72" s="414"/>
      <c r="KUW72" s="414"/>
      <c r="KUX72" s="414"/>
      <c r="KUY72" s="414"/>
      <c r="KUZ72" s="414"/>
      <c r="KVA72" s="414"/>
      <c r="KVB72" s="414"/>
      <c r="KVC72" s="414"/>
      <c r="KVD72" s="414"/>
      <c r="KVE72" s="414"/>
      <c r="KVF72" s="414"/>
      <c r="KVG72" s="414"/>
      <c r="KVH72" s="414"/>
      <c r="KVI72" s="414"/>
      <c r="KVJ72" s="414"/>
      <c r="KVK72" s="414"/>
      <c r="KVL72" s="414"/>
      <c r="KVM72" s="414"/>
      <c r="KVN72" s="414"/>
      <c r="KVO72" s="414"/>
      <c r="KVP72" s="414"/>
      <c r="KVQ72" s="414"/>
      <c r="KVR72" s="414"/>
      <c r="KVS72" s="414"/>
      <c r="KVT72" s="414"/>
      <c r="KVU72" s="414"/>
      <c r="KVV72" s="414"/>
      <c r="KVW72" s="414"/>
      <c r="KVX72" s="414"/>
      <c r="KVY72" s="414"/>
      <c r="KVZ72" s="414"/>
      <c r="KWA72" s="414"/>
      <c r="KWB72" s="414"/>
      <c r="KWC72" s="414"/>
      <c r="KWD72" s="414"/>
      <c r="KWE72" s="414"/>
      <c r="KWF72" s="414"/>
      <c r="KWG72" s="414"/>
      <c r="KWH72" s="414"/>
      <c r="KWI72" s="414"/>
      <c r="KWJ72" s="414"/>
      <c r="KWK72" s="414"/>
      <c r="KWL72" s="414"/>
      <c r="KWM72" s="414"/>
      <c r="KWN72" s="414"/>
      <c r="KWO72" s="414"/>
      <c r="KWP72" s="414"/>
      <c r="KWQ72" s="414"/>
      <c r="KWR72" s="414"/>
      <c r="KWS72" s="414"/>
      <c r="KWT72" s="414"/>
      <c r="KWU72" s="414"/>
      <c r="KWV72" s="414"/>
      <c r="KWW72" s="414"/>
      <c r="KWX72" s="414"/>
      <c r="KWY72" s="414"/>
      <c r="KWZ72" s="414"/>
      <c r="KXA72" s="414"/>
      <c r="KXB72" s="414"/>
      <c r="KXC72" s="414"/>
      <c r="KXD72" s="414"/>
      <c r="KXE72" s="414"/>
      <c r="KXF72" s="414"/>
      <c r="KXG72" s="414"/>
      <c r="KXH72" s="414"/>
      <c r="KXI72" s="414"/>
      <c r="KXJ72" s="414"/>
      <c r="KXK72" s="414"/>
      <c r="KXL72" s="414"/>
      <c r="KXM72" s="414"/>
      <c r="KXN72" s="414"/>
      <c r="KXO72" s="414"/>
      <c r="KXP72" s="414"/>
      <c r="KXQ72" s="414"/>
      <c r="KXR72" s="414"/>
      <c r="KXS72" s="414"/>
      <c r="KXT72" s="414"/>
      <c r="KXU72" s="414"/>
      <c r="KXV72" s="414"/>
      <c r="KXW72" s="414"/>
      <c r="KXX72" s="414"/>
      <c r="KXY72" s="414"/>
      <c r="KXZ72" s="414"/>
      <c r="KYA72" s="414"/>
      <c r="KYB72" s="414"/>
      <c r="KYC72" s="414"/>
      <c r="KYD72" s="414"/>
      <c r="KYE72" s="414"/>
      <c r="KYF72" s="414"/>
      <c r="KYG72" s="414"/>
      <c r="KYH72" s="414"/>
      <c r="KYI72" s="414"/>
      <c r="KYJ72" s="414"/>
      <c r="KYK72" s="414"/>
      <c r="KYL72" s="414"/>
      <c r="KYM72" s="414"/>
      <c r="KYN72" s="414"/>
      <c r="KYO72" s="414"/>
      <c r="KYP72" s="414"/>
      <c r="KYQ72" s="414"/>
      <c r="KYR72" s="414"/>
      <c r="KYS72" s="414"/>
      <c r="KYT72" s="414"/>
      <c r="KYU72" s="414"/>
      <c r="KYV72" s="414"/>
      <c r="KYW72" s="414"/>
      <c r="KYX72" s="414"/>
      <c r="KYY72" s="414"/>
      <c r="KYZ72" s="414"/>
      <c r="KZA72" s="414"/>
      <c r="KZB72" s="414"/>
      <c r="KZC72" s="414"/>
      <c r="KZD72" s="414"/>
      <c r="KZE72" s="414"/>
      <c r="KZF72" s="414"/>
      <c r="KZG72" s="414"/>
      <c r="KZH72" s="414"/>
      <c r="KZI72" s="414"/>
      <c r="KZJ72" s="414"/>
      <c r="KZK72" s="414"/>
      <c r="KZL72" s="414"/>
      <c r="KZM72" s="414"/>
      <c r="KZN72" s="414"/>
      <c r="KZO72" s="414"/>
      <c r="KZP72" s="414"/>
      <c r="KZQ72" s="414"/>
      <c r="KZR72" s="414"/>
      <c r="KZS72" s="414"/>
      <c r="KZT72" s="414"/>
      <c r="KZU72" s="414"/>
      <c r="KZV72" s="414"/>
      <c r="KZW72" s="414"/>
      <c r="KZX72" s="414"/>
      <c r="KZY72" s="414"/>
      <c r="KZZ72" s="414"/>
      <c r="LAA72" s="414"/>
      <c r="LAB72" s="414"/>
      <c r="LAC72" s="414"/>
      <c r="LAD72" s="414"/>
      <c r="LAE72" s="414"/>
      <c r="LAF72" s="414"/>
      <c r="LAG72" s="414"/>
      <c r="LAH72" s="414"/>
      <c r="LAI72" s="414"/>
      <c r="LAJ72" s="414"/>
      <c r="LAK72" s="414"/>
      <c r="LAL72" s="414"/>
      <c r="LAM72" s="414"/>
      <c r="LAN72" s="414"/>
      <c r="LAO72" s="414"/>
      <c r="LAP72" s="414"/>
      <c r="LAQ72" s="414"/>
      <c r="LAR72" s="414"/>
      <c r="LAS72" s="414"/>
      <c r="LAT72" s="414"/>
      <c r="LAU72" s="414"/>
      <c r="LAV72" s="414"/>
      <c r="LAW72" s="414"/>
      <c r="LAX72" s="414"/>
      <c r="LAY72" s="414"/>
      <c r="LAZ72" s="414"/>
      <c r="LBA72" s="414"/>
      <c r="LBB72" s="414"/>
      <c r="LBC72" s="414"/>
      <c r="LBD72" s="414"/>
      <c r="LBE72" s="414"/>
      <c r="LBF72" s="414"/>
      <c r="LBG72" s="414"/>
      <c r="LBH72" s="414"/>
      <c r="LBI72" s="414"/>
      <c r="LBJ72" s="414"/>
      <c r="LBK72" s="414"/>
      <c r="LBL72" s="414"/>
      <c r="LBM72" s="414"/>
      <c r="LBN72" s="414"/>
      <c r="LBO72" s="414"/>
      <c r="LBP72" s="414"/>
      <c r="LBQ72" s="414"/>
      <c r="LBR72" s="414"/>
      <c r="LBS72" s="414"/>
      <c r="LBT72" s="414"/>
      <c r="LBU72" s="414"/>
      <c r="LBV72" s="414"/>
      <c r="LBW72" s="414"/>
      <c r="LBX72" s="414"/>
      <c r="LBY72" s="414"/>
      <c r="LBZ72" s="414"/>
      <c r="LCA72" s="414"/>
      <c r="LCB72" s="414"/>
      <c r="LCC72" s="414"/>
      <c r="LCD72" s="414"/>
      <c r="LCE72" s="414"/>
      <c r="LCF72" s="414"/>
      <c r="LCG72" s="414"/>
      <c r="LCH72" s="414"/>
      <c r="LCI72" s="414"/>
      <c r="LCJ72" s="414"/>
      <c r="LCK72" s="414"/>
      <c r="LCL72" s="414"/>
      <c r="LCM72" s="414"/>
      <c r="LCN72" s="414"/>
      <c r="LCO72" s="414"/>
      <c r="LCP72" s="414"/>
      <c r="LCQ72" s="414"/>
      <c r="LCR72" s="414"/>
      <c r="LCS72" s="414"/>
      <c r="LCT72" s="414"/>
      <c r="LCU72" s="414"/>
      <c r="LCV72" s="414"/>
      <c r="LCW72" s="414"/>
      <c r="LCX72" s="414"/>
      <c r="LCY72" s="414"/>
      <c r="LCZ72" s="414"/>
      <c r="LDA72" s="414"/>
      <c r="LDB72" s="414"/>
      <c r="LDC72" s="414"/>
      <c r="LDD72" s="414"/>
      <c r="LDE72" s="414"/>
      <c r="LDF72" s="414"/>
      <c r="LDG72" s="414"/>
      <c r="LDH72" s="414"/>
      <c r="LDI72" s="414"/>
      <c r="LDJ72" s="414"/>
      <c r="LDK72" s="414"/>
      <c r="LDL72" s="414"/>
      <c r="LDM72" s="414"/>
      <c r="LDN72" s="414"/>
      <c r="LDO72" s="414"/>
      <c r="LDP72" s="414"/>
      <c r="LDQ72" s="414"/>
      <c r="LDR72" s="414"/>
      <c r="LDS72" s="414"/>
      <c r="LDT72" s="414"/>
      <c r="LDU72" s="414"/>
      <c r="LDV72" s="414"/>
      <c r="LDW72" s="414"/>
      <c r="LDX72" s="414"/>
      <c r="LDY72" s="414"/>
      <c r="LDZ72" s="414"/>
      <c r="LEA72" s="414"/>
      <c r="LEB72" s="414"/>
      <c r="LEC72" s="414"/>
      <c r="LED72" s="414"/>
      <c r="LEE72" s="414"/>
      <c r="LEF72" s="414"/>
      <c r="LEG72" s="414"/>
      <c r="LEH72" s="414"/>
      <c r="LEI72" s="414"/>
      <c r="LEJ72" s="414"/>
      <c r="LEK72" s="414"/>
      <c r="LEL72" s="414"/>
      <c r="LEM72" s="414"/>
      <c r="LEN72" s="414"/>
      <c r="LEO72" s="414"/>
      <c r="LEP72" s="414"/>
      <c r="LEQ72" s="414"/>
      <c r="LER72" s="414"/>
      <c r="LES72" s="414"/>
      <c r="LET72" s="414"/>
      <c r="LEU72" s="414"/>
      <c r="LEV72" s="414"/>
      <c r="LEW72" s="414"/>
      <c r="LEX72" s="414"/>
      <c r="LEY72" s="414"/>
      <c r="LEZ72" s="414"/>
      <c r="LFA72" s="414"/>
      <c r="LFB72" s="414"/>
      <c r="LFC72" s="414"/>
      <c r="LFD72" s="414"/>
      <c r="LFE72" s="414"/>
      <c r="LFF72" s="414"/>
      <c r="LFG72" s="414"/>
      <c r="LFH72" s="414"/>
      <c r="LFI72" s="414"/>
      <c r="LFJ72" s="414"/>
      <c r="LFK72" s="414"/>
      <c r="LFL72" s="414"/>
      <c r="LFM72" s="414"/>
      <c r="LFN72" s="414"/>
      <c r="LFO72" s="414"/>
      <c r="LFP72" s="414"/>
      <c r="LFQ72" s="414"/>
      <c r="LFR72" s="414"/>
      <c r="LFS72" s="414"/>
      <c r="LFT72" s="414"/>
      <c r="LFU72" s="414"/>
      <c r="LFV72" s="414"/>
      <c r="LFW72" s="414"/>
      <c r="LFX72" s="414"/>
      <c r="LFY72" s="414"/>
      <c r="LFZ72" s="414"/>
      <c r="LGA72" s="414"/>
      <c r="LGB72" s="414"/>
      <c r="LGC72" s="414"/>
      <c r="LGD72" s="414"/>
      <c r="LGE72" s="414"/>
      <c r="LGF72" s="414"/>
      <c r="LGG72" s="414"/>
      <c r="LGH72" s="414"/>
      <c r="LGI72" s="414"/>
      <c r="LGJ72" s="414"/>
      <c r="LGK72" s="414"/>
      <c r="LGL72" s="414"/>
      <c r="LGM72" s="414"/>
      <c r="LGN72" s="414"/>
      <c r="LGO72" s="414"/>
      <c r="LGP72" s="414"/>
      <c r="LGQ72" s="414"/>
      <c r="LGR72" s="414"/>
      <c r="LGS72" s="414"/>
      <c r="LGT72" s="414"/>
      <c r="LGU72" s="414"/>
      <c r="LGV72" s="414"/>
      <c r="LGW72" s="414"/>
      <c r="LGX72" s="414"/>
      <c r="LGY72" s="414"/>
      <c r="LGZ72" s="414"/>
      <c r="LHA72" s="414"/>
      <c r="LHB72" s="414"/>
      <c r="LHC72" s="414"/>
      <c r="LHD72" s="414"/>
      <c r="LHE72" s="414"/>
      <c r="LHF72" s="414"/>
      <c r="LHG72" s="414"/>
      <c r="LHH72" s="414"/>
      <c r="LHI72" s="414"/>
      <c r="LHJ72" s="414"/>
      <c r="LHK72" s="414"/>
      <c r="LHL72" s="414"/>
      <c r="LHM72" s="414"/>
      <c r="LHN72" s="414"/>
      <c r="LHO72" s="414"/>
      <c r="LHP72" s="414"/>
      <c r="LHQ72" s="414"/>
      <c r="LHR72" s="414"/>
      <c r="LHS72" s="414"/>
      <c r="LHT72" s="414"/>
      <c r="LHU72" s="414"/>
      <c r="LHV72" s="414"/>
      <c r="LHW72" s="414"/>
      <c r="LHX72" s="414"/>
      <c r="LHY72" s="414"/>
      <c r="LHZ72" s="414"/>
      <c r="LIA72" s="414"/>
      <c r="LIB72" s="414"/>
      <c r="LIC72" s="414"/>
      <c r="LID72" s="414"/>
      <c r="LIE72" s="414"/>
      <c r="LIF72" s="414"/>
      <c r="LIG72" s="414"/>
      <c r="LIH72" s="414"/>
      <c r="LII72" s="414"/>
      <c r="LIJ72" s="414"/>
      <c r="LIK72" s="414"/>
      <c r="LIL72" s="414"/>
      <c r="LIM72" s="414"/>
      <c r="LIN72" s="414"/>
      <c r="LIO72" s="414"/>
      <c r="LIP72" s="414"/>
      <c r="LIQ72" s="414"/>
      <c r="LIR72" s="414"/>
      <c r="LIS72" s="414"/>
      <c r="LIT72" s="414"/>
      <c r="LIU72" s="414"/>
      <c r="LIV72" s="414"/>
      <c r="LIW72" s="414"/>
      <c r="LIX72" s="414"/>
      <c r="LIY72" s="414"/>
      <c r="LIZ72" s="414"/>
      <c r="LJA72" s="414"/>
      <c r="LJB72" s="414"/>
      <c r="LJC72" s="414"/>
      <c r="LJD72" s="414"/>
      <c r="LJE72" s="414"/>
      <c r="LJF72" s="414"/>
      <c r="LJG72" s="414"/>
      <c r="LJH72" s="414"/>
      <c r="LJI72" s="414"/>
      <c r="LJJ72" s="414"/>
      <c r="LJK72" s="414"/>
      <c r="LJL72" s="414"/>
      <c r="LJM72" s="414"/>
      <c r="LJN72" s="414"/>
      <c r="LJO72" s="414"/>
      <c r="LJP72" s="414"/>
      <c r="LJQ72" s="414"/>
      <c r="LJR72" s="414"/>
      <c r="LJS72" s="414"/>
      <c r="LJT72" s="414"/>
      <c r="LJU72" s="414"/>
      <c r="LJV72" s="414"/>
      <c r="LJW72" s="414"/>
      <c r="LJX72" s="414"/>
      <c r="LJY72" s="414"/>
      <c r="LJZ72" s="414"/>
      <c r="LKA72" s="414"/>
      <c r="LKB72" s="414"/>
      <c r="LKC72" s="414"/>
      <c r="LKD72" s="414"/>
      <c r="LKE72" s="414"/>
      <c r="LKF72" s="414"/>
      <c r="LKG72" s="414"/>
      <c r="LKH72" s="414"/>
      <c r="LKI72" s="414"/>
      <c r="LKJ72" s="414"/>
      <c r="LKK72" s="414"/>
      <c r="LKL72" s="414"/>
      <c r="LKM72" s="414"/>
      <c r="LKN72" s="414"/>
      <c r="LKO72" s="414"/>
      <c r="LKP72" s="414"/>
      <c r="LKQ72" s="414"/>
      <c r="LKR72" s="414"/>
      <c r="LKS72" s="414"/>
      <c r="LKT72" s="414"/>
      <c r="LKU72" s="414"/>
      <c r="LKV72" s="414"/>
      <c r="LKW72" s="414"/>
      <c r="LKX72" s="414"/>
      <c r="LKY72" s="414"/>
      <c r="LKZ72" s="414"/>
      <c r="LLA72" s="414"/>
      <c r="LLB72" s="414"/>
      <c r="LLC72" s="414"/>
      <c r="LLD72" s="414"/>
      <c r="LLE72" s="414"/>
      <c r="LLF72" s="414"/>
      <c r="LLG72" s="414"/>
      <c r="LLH72" s="414"/>
      <c r="LLI72" s="414"/>
      <c r="LLJ72" s="414"/>
      <c r="LLK72" s="414"/>
      <c r="LLL72" s="414"/>
      <c r="LLM72" s="414"/>
      <c r="LLN72" s="414"/>
      <c r="LLO72" s="414"/>
      <c r="LLP72" s="414"/>
      <c r="LLQ72" s="414"/>
      <c r="LLR72" s="414"/>
      <c r="LLS72" s="414"/>
      <c r="LLT72" s="414"/>
      <c r="LLU72" s="414"/>
      <c r="LLV72" s="414"/>
      <c r="LLW72" s="414"/>
      <c r="LLX72" s="414"/>
      <c r="LLY72" s="414"/>
      <c r="LLZ72" s="414"/>
      <c r="LMA72" s="414"/>
      <c r="LMB72" s="414"/>
      <c r="LMC72" s="414"/>
      <c r="LMD72" s="414"/>
      <c r="LME72" s="414"/>
      <c r="LMF72" s="414"/>
      <c r="LMG72" s="414"/>
      <c r="LMH72" s="414"/>
      <c r="LMI72" s="414"/>
      <c r="LMJ72" s="414"/>
      <c r="LMK72" s="414"/>
      <c r="LML72" s="414"/>
      <c r="LMM72" s="414"/>
      <c r="LMN72" s="414"/>
      <c r="LMO72" s="414"/>
      <c r="LMP72" s="414"/>
      <c r="LMQ72" s="414"/>
      <c r="LMR72" s="414"/>
      <c r="LMS72" s="414"/>
      <c r="LMT72" s="414"/>
      <c r="LMU72" s="414"/>
      <c r="LMV72" s="414"/>
      <c r="LMW72" s="414"/>
      <c r="LMX72" s="414"/>
      <c r="LMY72" s="414"/>
      <c r="LMZ72" s="414"/>
      <c r="LNA72" s="414"/>
      <c r="LNB72" s="414"/>
      <c r="LNC72" s="414"/>
      <c r="LND72" s="414"/>
      <c r="LNE72" s="414"/>
      <c r="LNF72" s="414"/>
      <c r="LNG72" s="414"/>
      <c r="LNH72" s="414"/>
      <c r="LNI72" s="414"/>
      <c r="LNJ72" s="414"/>
      <c r="LNK72" s="414"/>
      <c r="LNL72" s="414"/>
      <c r="LNM72" s="414"/>
      <c r="LNN72" s="414"/>
      <c r="LNO72" s="414"/>
      <c r="LNP72" s="414"/>
      <c r="LNQ72" s="414"/>
      <c r="LNR72" s="414"/>
      <c r="LNS72" s="414"/>
      <c r="LNT72" s="414"/>
      <c r="LNU72" s="414"/>
      <c r="LNV72" s="414"/>
      <c r="LNW72" s="414"/>
      <c r="LNX72" s="414"/>
      <c r="LNY72" s="414"/>
      <c r="LNZ72" s="414"/>
      <c r="LOA72" s="414"/>
      <c r="LOB72" s="414"/>
      <c r="LOC72" s="414"/>
      <c r="LOD72" s="414"/>
      <c r="LOE72" s="414"/>
      <c r="LOF72" s="414"/>
      <c r="LOG72" s="414"/>
      <c r="LOH72" s="414"/>
      <c r="LOI72" s="414"/>
      <c r="LOJ72" s="414"/>
      <c r="LOK72" s="414"/>
      <c r="LOL72" s="414"/>
      <c r="LOM72" s="414"/>
      <c r="LON72" s="414"/>
      <c r="LOO72" s="414"/>
      <c r="LOP72" s="414"/>
      <c r="LOQ72" s="414"/>
      <c r="LOR72" s="414"/>
      <c r="LOS72" s="414"/>
      <c r="LOT72" s="414"/>
      <c r="LOU72" s="414"/>
      <c r="LOV72" s="414"/>
      <c r="LOW72" s="414"/>
      <c r="LOX72" s="414"/>
      <c r="LOY72" s="414"/>
      <c r="LOZ72" s="414"/>
      <c r="LPA72" s="414"/>
      <c r="LPB72" s="414"/>
      <c r="LPC72" s="414"/>
      <c r="LPD72" s="414"/>
      <c r="LPE72" s="414"/>
      <c r="LPF72" s="414"/>
      <c r="LPG72" s="414"/>
      <c r="LPH72" s="414"/>
      <c r="LPI72" s="414"/>
      <c r="LPJ72" s="414"/>
      <c r="LPK72" s="414"/>
      <c r="LPL72" s="414"/>
      <c r="LPM72" s="414"/>
      <c r="LPN72" s="414"/>
      <c r="LPO72" s="414"/>
      <c r="LPP72" s="414"/>
      <c r="LPQ72" s="414"/>
      <c r="LPR72" s="414"/>
      <c r="LPS72" s="414"/>
      <c r="LPT72" s="414"/>
      <c r="LPU72" s="414"/>
      <c r="LPV72" s="414"/>
      <c r="LPW72" s="414"/>
      <c r="LPX72" s="414"/>
      <c r="LPY72" s="414"/>
      <c r="LPZ72" s="414"/>
      <c r="LQA72" s="414"/>
      <c r="LQB72" s="414"/>
      <c r="LQC72" s="414"/>
      <c r="LQD72" s="414"/>
      <c r="LQE72" s="414"/>
      <c r="LQF72" s="414"/>
      <c r="LQG72" s="414"/>
      <c r="LQH72" s="414"/>
      <c r="LQI72" s="414"/>
      <c r="LQJ72" s="414"/>
      <c r="LQK72" s="414"/>
      <c r="LQL72" s="414"/>
      <c r="LQM72" s="414"/>
      <c r="LQN72" s="414"/>
      <c r="LQO72" s="414"/>
      <c r="LQP72" s="414"/>
      <c r="LQQ72" s="414"/>
      <c r="LQR72" s="414"/>
      <c r="LQS72" s="414"/>
      <c r="LQT72" s="414"/>
      <c r="LQU72" s="414"/>
      <c r="LQV72" s="414"/>
      <c r="LQW72" s="414"/>
      <c r="LQX72" s="414"/>
      <c r="LQY72" s="414"/>
      <c r="LQZ72" s="414"/>
      <c r="LRA72" s="414"/>
      <c r="LRB72" s="414"/>
      <c r="LRC72" s="414"/>
      <c r="LRD72" s="414"/>
      <c r="LRE72" s="414"/>
      <c r="LRF72" s="414"/>
      <c r="LRG72" s="414"/>
      <c r="LRH72" s="414"/>
      <c r="LRI72" s="414"/>
      <c r="LRJ72" s="414"/>
      <c r="LRK72" s="414"/>
      <c r="LRL72" s="414"/>
      <c r="LRM72" s="414"/>
      <c r="LRN72" s="414"/>
      <c r="LRO72" s="414"/>
      <c r="LRP72" s="414"/>
      <c r="LRQ72" s="414"/>
      <c r="LRR72" s="414"/>
      <c r="LRS72" s="414"/>
      <c r="LRT72" s="414"/>
      <c r="LRU72" s="414"/>
      <c r="LRV72" s="414"/>
      <c r="LRW72" s="414"/>
      <c r="LRX72" s="414"/>
      <c r="LRY72" s="414"/>
      <c r="LRZ72" s="414"/>
      <c r="LSA72" s="414"/>
      <c r="LSB72" s="414"/>
      <c r="LSC72" s="414"/>
      <c r="LSD72" s="414"/>
      <c r="LSE72" s="414"/>
      <c r="LSF72" s="414"/>
      <c r="LSG72" s="414"/>
      <c r="LSH72" s="414"/>
      <c r="LSI72" s="414"/>
      <c r="LSJ72" s="414"/>
      <c r="LSK72" s="414"/>
      <c r="LSL72" s="414"/>
      <c r="LSM72" s="414"/>
      <c r="LSN72" s="414"/>
      <c r="LSO72" s="414"/>
      <c r="LSP72" s="414"/>
      <c r="LSQ72" s="414"/>
      <c r="LSR72" s="414"/>
      <c r="LSS72" s="414"/>
      <c r="LST72" s="414"/>
      <c r="LSU72" s="414"/>
      <c r="LSV72" s="414"/>
      <c r="LSW72" s="414"/>
      <c r="LSX72" s="414"/>
      <c r="LSY72" s="414"/>
      <c r="LSZ72" s="414"/>
      <c r="LTA72" s="414"/>
      <c r="LTB72" s="414"/>
      <c r="LTC72" s="414"/>
      <c r="LTD72" s="414"/>
      <c r="LTE72" s="414"/>
      <c r="LTF72" s="414"/>
      <c r="LTG72" s="414"/>
      <c r="LTH72" s="414"/>
      <c r="LTI72" s="414"/>
      <c r="LTJ72" s="414"/>
      <c r="LTK72" s="414"/>
      <c r="LTL72" s="414"/>
      <c r="LTM72" s="414"/>
      <c r="LTN72" s="414"/>
      <c r="LTO72" s="414"/>
      <c r="LTP72" s="414"/>
      <c r="LTQ72" s="414"/>
      <c r="LTR72" s="414"/>
      <c r="LTS72" s="414"/>
      <c r="LTT72" s="414"/>
      <c r="LTU72" s="414"/>
      <c r="LTV72" s="414"/>
      <c r="LTW72" s="414"/>
      <c r="LTX72" s="414"/>
      <c r="LTY72" s="414"/>
      <c r="LTZ72" s="414"/>
      <c r="LUA72" s="414"/>
      <c r="LUB72" s="414"/>
      <c r="LUC72" s="414"/>
      <c r="LUD72" s="414"/>
      <c r="LUE72" s="414"/>
      <c r="LUF72" s="414"/>
      <c r="LUG72" s="414"/>
      <c r="LUH72" s="414"/>
      <c r="LUI72" s="414"/>
      <c r="LUJ72" s="414"/>
      <c r="LUK72" s="414"/>
      <c r="LUL72" s="414"/>
      <c r="LUM72" s="414"/>
      <c r="LUN72" s="414"/>
      <c r="LUO72" s="414"/>
      <c r="LUP72" s="414"/>
      <c r="LUQ72" s="414"/>
      <c r="LUR72" s="414"/>
      <c r="LUS72" s="414"/>
      <c r="LUT72" s="414"/>
      <c r="LUU72" s="414"/>
      <c r="LUV72" s="414"/>
      <c r="LUW72" s="414"/>
      <c r="LUX72" s="414"/>
      <c r="LUY72" s="414"/>
      <c r="LUZ72" s="414"/>
      <c r="LVA72" s="414"/>
      <c r="LVB72" s="414"/>
      <c r="LVC72" s="414"/>
      <c r="LVD72" s="414"/>
      <c r="LVE72" s="414"/>
      <c r="LVF72" s="414"/>
      <c r="LVG72" s="414"/>
      <c r="LVH72" s="414"/>
      <c r="LVI72" s="414"/>
      <c r="LVJ72" s="414"/>
      <c r="LVK72" s="414"/>
      <c r="LVL72" s="414"/>
      <c r="LVM72" s="414"/>
      <c r="LVN72" s="414"/>
      <c r="LVO72" s="414"/>
      <c r="LVP72" s="414"/>
      <c r="LVQ72" s="414"/>
      <c r="LVR72" s="414"/>
      <c r="LVS72" s="414"/>
      <c r="LVT72" s="414"/>
      <c r="LVU72" s="414"/>
      <c r="LVV72" s="414"/>
      <c r="LVW72" s="414"/>
      <c r="LVX72" s="414"/>
      <c r="LVY72" s="414"/>
      <c r="LVZ72" s="414"/>
      <c r="LWA72" s="414"/>
      <c r="LWB72" s="414"/>
      <c r="LWC72" s="414"/>
      <c r="LWD72" s="414"/>
      <c r="LWE72" s="414"/>
      <c r="LWF72" s="414"/>
      <c r="LWG72" s="414"/>
      <c r="LWH72" s="414"/>
      <c r="LWI72" s="414"/>
      <c r="LWJ72" s="414"/>
      <c r="LWK72" s="414"/>
      <c r="LWL72" s="414"/>
      <c r="LWM72" s="414"/>
      <c r="LWN72" s="414"/>
      <c r="LWO72" s="414"/>
      <c r="LWP72" s="414"/>
      <c r="LWQ72" s="414"/>
      <c r="LWR72" s="414"/>
      <c r="LWS72" s="414"/>
      <c r="LWT72" s="414"/>
      <c r="LWU72" s="414"/>
      <c r="LWV72" s="414"/>
      <c r="LWW72" s="414"/>
      <c r="LWX72" s="414"/>
      <c r="LWY72" s="414"/>
      <c r="LWZ72" s="414"/>
      <c r="LXA72" s="414"/>
      <c r="LXB72" s="414"/>
      <c r="LXC72" s="414"/>
      <c r="LXD72" s="414"/>
      <c r="LXE72" s="414"/>
      <c r="LXF72" s="414"/>
      <c r="LXG72" s="414"/>
      <c r="LXH72" s="414"/>
      <c r="LXI72" s="414"/>
      <c r="LXJ72" s="414"/>
      <c r="LXK72" s="414"/>
      <c r="LXL72" s="414"/>
      <c r="LXM72" s="414"/>
      <c r="LXN72" s="414"/>
      <c r="LXO72" s="414"/>
      <c r="LXP72" s="414"/>
      <c r="LXQ72" s="414"/>
      <c r="LXR72" s="414"/>
      <c r="LXS72" s="414"/>
      <c r="LXT72" s="414"/>
      <c r="LXU72" s="414"/>
      <c r="LXV72" s="414"/>
      <c r="LXW72" s="414"/>
      <c r="LXX72" s="414"/>
      <c r="LXY72" s="414"/>
      <c r="LXZ72" s="414"/>
      <c r="LYA72" s="414"/>
      <c r="LYB72" s="414"/>
      <c r="LYC72" s="414"/>
      <c r="LYD72" s="414"/>
      <c r="LYE72" s="414"/>
      <c r="LYF72" s="414"/>
      <c r="LYG72" s="414"/>
      <c r="LYH72" s="414"/>
      <c r="LYI72" s="414"/>
      <c r="LYJ72" s="414"/>
      <c r="LYK72" s="414"/>
      <c r="LYL72" s="414"/>
      <c r="LYM72" s="414"/>
      <c r="LYN72" s="414"/>
      <c r="LYO72" s="414"/>
      <c r="LYP72" s="414"/>
      <c r="LYQ72" s="414"/>
      <c r="LYR72" s="414"/>
      <c r="LYS72" s="414"/>
      <c r="LYT72" s="414"/>
      <c r="LYU72" s="414"/>
      <c r="LYV72" s="414"/>
      <c r="LYW72" s="414"/>
      <c r="LYX72" s="414"/>
      <c r="LYY72" s="414"/>
      <c r="LYZ72" s="414"/>
      <c r="LZA72" s="414"/>
      <c r="LZB72" s="414"/>
      <c r="LZC72" s="414"/>
      <c r="LZD72" s="414"/>
      <c r="LZE72" s="414"/>
      <c r="LZF72" s="414"/>
      <c r="LZG72" s="414"/>
      <c r="LZH72" s="414"/>
      <c r="LZI72" s="414"/>
      <c r="LZJ72" s="414"/>
      <c r="LZK72" s="414"/>
      <c r="LZL72" s="414"/>
      <c r="LZM72" s="414"/>
      <c r="LZN72" s="414"/>
      <c r="LZO72" s="414"/>
      <c r="LZP72" s="414"/>
      <c r="LZQ72" s="414"/>
      <c r="LZR72" s="414"/>
      <c r="LZS72" s="414"/>
      <c r="LZT72" s="414"/>
      <c r="LZU72" s="414"/>
      <c r="LZV72" s="414"/>
      <c r="LZW72" s="414"/>
      <c r="LZX72" s="414"/>
      <c r="LZY72" s="414"/>
      <c r="LZZ72" s="414"/>
      <c r="MAA72" s="414"/>
      <c r="MAB72" s="414"/>
      <c r="MAC72" s="414"/>
      <c r="MAD72" s="414"/>
      <c r="MAE72" s="414"/>
      <c r="MAF72" s="414"/>
      <c r="MAG72" s="414"/>
      <c r="MAH72" s="414"/>
      <c r="MAI72" s="414"/>
      <c r="MAJ72" s="414"/>
      <c r="MAK72" s="414"/>
      <c r="MAL72" s="414"/>
      <c r="MAM72" s="414"/>
      <c r="MAN72" s="414"/>
      <c r="MAO72" s="414"/>
      <c r="MAP72" s="414"/>
      <c r="MAQ72" s="414"/>
      <c r="MAR72" s="414"/>
      <c r="MAS72" s="414"/>
      <c r="MAT72" s="414"/>
      <c r="MAU72" s="414"/>
      <c r="MAV72" s="414"/>
      <c r="MAW72" s="414"/>
      <c r="MAX72" s="414"/>
      <c r="MAY72" s="414"/>
      <c r="MAZ72" s="414"/>
      <c r="MBA72" s="414"/>
      <c r="MBB72" s="414"/>
      <c r="MBC72" s="414"/>
      <c r="MBD72" s="414"/>
      <c r="MBE72" s="414"/>
      <c r="MBF72" s="414"/>
      <c r="MBG72" s="414"/>
      <c r="MBH72" s="414"/>
      <c r="MBI72" s="414"/>
      <c r="MBJ72" s="414"/>
      <c r="MBK72" s="414"/>
      <c r="MBL72" s="414"/>
      <c r="MBM72" s="414"/>
      <c r="MBN72" s="414"/>
      <c r="MBO72" s="414"/>
      <c r="MBP72" s="414"/>
      <c r="MBQ72" s="414"/>
      <c r="MBR72" s="414"/>
      <c r="MBS72" s="414"/>
      <c r="MBT72" s="414"/>
      <c r="MBU72" s="414"/>
      <c r="MBV72" s="414"/>
      <c r="MBW72" s="414"/>
      <c r="MBX72" s="414"/>
      <c r="MBY72" s="414"/>
      <c r="MBZ72" s="414"/>
      <c r="MCA72" s="414"/>
      <c r="MCB72" s="414"/>
      <c r="MCC72" s="414"/>
      <c r="MCD72" s="414"/>
      <c r="MCE72" s="414"/>
      <c r="MCF72" s="414"/>
      <c r="MCG72" s="414"/>
      <c r="MCH72" s="414"/>
      <c r="MCI72" s="414"/>
      <c r="MCJ72" s="414"/>
      <c r="MCK72" s="414"/>
      <c r="MCL72" s="414"/>
      <c r="MCM72" s="414"/>
      <c r="MCN72" s="414"/>
      <c r="MCO72" s="414"/>
      <c r="MCP72" s="414"/>
      <c r="MCQ72" s="414"/>
      <c r="MCR72" s="414"/>
      <c r="MCS72" s="414"/>
      <c r="MCT72" s="414"/>
      <c r="MCU72" s="414"/>
      <c r="MCV72" s="414"/>
      <c r="MCW72" s="414"/>
      <c r="MCX72" s="414"/>
      <c r="MCY72" s="414"/>
      <c r="MCZ72" s="414"/>
      <c r="MDA72" s="414"/>
      <c r="MDB72" s="414"/>
      <c r="MDC72" s="414"/>
      <c r="MDD72" s="414"/>
      <c r="MDE72" s="414"/>
      <c r="MDF72" s="414"/>
      <c r="MDG72" s="414"/>
      <c r="MDH72" s="414"/>
      <c r="MDI72" s="414"/>
      <c r="MDJ72" s="414"/>
      <c r="MDK72" s="414"/>
      <c r="MDL72" s="414"/>
      <c r="MDM72" s="414"/>
      <c r="MDN72" s="414"/>
      <c r="MDO72" s="414"/>
      <c r="MDP72" s="414"/>
      <c r="MDQ72" s="414"/>
      <c r="MDR72" s="414"/>
      <c r="MDS72" s="414"/>
      <c r="MDT72" s="414"/>
      <c r="MDU72" s="414"/>
      <c r="MDV72" s="414"/>
      <c r="MDW72" s="414"/>
      <c r="MDX72" s="414"/>
      <c r="MDY72" s="414"/>
      <c r="MDZ72" s="414"/>
      <c r="MEA72" s="414"/>
      <c r="MEB72" s="414"/>
      <c r="MEC72" s="414"/>
      <c r="MED72" s="414"/>
      <c r="MEE72" s="414"/>
      <c r="MEF72" s="414"/>
      <c r="MEG72" s="414"/>
      <c r="MEH72" s="414"/>
      <c r="MEI72" s="414"/>
      <c r="MEJ72" s="414"/>
      <c r="MEK72" s="414"/>
      <c r="MEL72" s="414"/>
      <c r="MEM72" s="414"/>
      <c r="MEN72" s="414"/>
      <c r="MEO72" s="414"/>
      <c r="MEP72" s="414"/>
      <c r="MEQ72" s="414"/>
      <c r="MER72" s="414"/>
      <c r="MES72" s="414"/>
      <c r="MET72" s="414"/>
      <c r="MEU72" s="414"/>
      <c r="MEV72" s="414"/>
      <c r="MEW72" s="414"/>
      <c r="MEX72" s="414"/>
      <c r="MEY72" s="414"/>
      <c r="MEZ72" s="414"/>
      <c r="MFA72" s="414"/>
      <c r="MFB72" s="414"/>
      <c r="MFC72" s="414"/>
      <c r="MFD72" s="414"/>
      <c r="MFE72" s="414"/>
      <c r="MFF72" s="414"/>
      <c r="MFG72" s="414"/>
      <c r="MFH72" s="414"/>
      <c r="MFI72" s="414"/>
      <c r="MFJ72" s="414"/>
      <c r="MFK72" s="414"/>
      <c r="MFL72" s="414"/>
      <c r="MFM72" s="414"/>
      <c r="MFN72" s="414"/>
      <c r="MFO72" s="414"/>
      <c r="MFP72" s="414"/>
      <c r="MFQ72" s="414"/>
      <c r="MFR72" s="414"/>
      <c r="MFS72" s="414"/>
      <c r="MFT72" s="414"/>
      <c r="MFU72" s="414"/>
      <c r="MFV72" s="414"/>
      <c r="MFW72" s="414"/>
      <c r="MFX72" s="414"/>
      <c r="MFY72" s="414"/>
      <c r="MFZ72" s="414"/>
      <c r="MGA72" s="414"/>
      <c r="MGB72" s="414"/>
      <c r="MGC72" s="414"/>
      <c r="MGD72" s="414"/>
      <c r="MGE72" s="414"/>
      <c r="MGF72" s="414"/>
      <c r="MGG72" s="414"/>
      <c r="MGH72" s="414"/>
      <c r="MGI72" s="414"/>
      <c r="MGJ72" s="414"/>
      <c r="MGK72" s="414"/>
      <c r="MGL72" s="414"/>
      <c r="MGM72" s="414"/>
      <c r="MGN72" s="414"/>
      <c r="MGO72" s="414"/>
      <c r="MGP72" s="414"/>
      <c r="MGQ72" s="414"/>
      <c r="MGR72" s="414"/>
      <c r="MGS72" s="414"/>
      <c r="MGT72" s="414"/>
      <c r="MGU72" s="414"/>
      <c r="MGV72" s="414"/>
      <c r="MGW72" s="414"/>
      <c r="MGX72" s="414"/>
      <c r="MGY72" s="414"/>
      <c r="MGZ72" s="414"/>
      <c r="MHA72" s="414"/>
      <c r="MHB72" s="414"/>
      <c r="MHC72" s="414"/>
      <c r="MHD72" s="414"/>
      <c r="MHE72" s="414"/>
      <c r="MHF72" s="414"/>
      <c r="MHG72" s="414"/>
      <c r="MHH72" s="414"/>
      <c r="MHI72" s="414"/>
      <c r="MHJ72" s="414"/>
      <c r="MHK72" s="414"/>
      <c r="MHL72" s="414"/>
      <c r="MHM72" s="414"/>
      <c r="MHN72" s="414"/>
      <c r="MHO72" s="414"/>
      <c r="MHP72" s="414"/>
      <c r="MHQ72" s="414"/>
      <c r="MHR72" s="414"/>
      <c r="MHS72" s="414"/>
      <c r="MHT72" s="414"/>
      <c r="MHU72" s="414"/>
      <c r="MHV72" s="414"/>
      <c r="MHW72" s="414"/>
      <c r="MHX72" s="414"/>
      <c r="MHY72" s="414"/>
      <c r="MHZ72" s="414"/>
      <c r="MIA72" s="414"/>
      <c r="MIB72" s="414"/>
      <c r="MIC72" s="414"/>
      <c r="MID72" s="414"/>
      <c r="MIE72" s="414"/>
      <c r="MIF72" s="414"/>
      <c r="MIG72" s="414"/>
      <c r="MIH72" s="414"/>
      <c r="MII72" s="414"/>
      <c r="MIJ72" s="414"/>
      <c r="MIK72" s="414"/>
      <c r="MIL72" s="414"/>
      <c r="MIM72" s="414"/>
      <c r="MIN72" s="414"/>
      <c r="MIO72" s="414"/>
      <c r="MIP72" s="414"/>
      <c r="MIQ72" s="414"/>
      <c r="MIR72" s="414"/>
      <c r="MIS72" s="414"/>
      <c r="MIT72" s="414"/>
      <c r="MIU72" s="414"/>
      <c r="MIV72" s="414"/>
      <c r="MIW72" s="414"/>
      <c r="MIX72" s="414"/>
      <c r="MIY72" s="414"/>
      <c r="MIZ72" s="414"/>
      <c r="MJA72" s="414"/>
      <c r="MJB72" s="414"/>
      <c r="MJC72" s="414"/>
      <c r="MJD72" s="414"/>
      <c r="MJE72" s="414"/>
      <c r="MJF72" s="414"/>
      <c r="MJG72" s="414"/>
      <c r="MJH72" s="414"/>
      <c r="MJI72" s="414"/>
      <c r="MJJ72" s="414"/>
      <c r="MJK72" s="414"/>
      <c r="MJL72" s="414"/>
      <c r="MJM72" s="414"/>
      <c r="MJN72" s="414"/>
      <c r="MJO72" s="414"/>
      <c r="MJP72" s="414"/>
      <c r="MJQ72" s="414"/>
      <c r="MJR72" s="414"/>
      <c r="MJS72" s="414"/>
      <c r="MJT72" s="414"/>
      <c r="MJU72" s="414"/>
      <c r="MJV72" s="414"/>
      <c r="MJW72" s="414"/>
      <c r="MJX72" s="414"/>
      <c r="MJY72" s="414"/>
      <c r="MJZ72" s="414"/>
      <c r="MKA72" s="414"/>
      <c r="MKB72" s="414"/>
      <c r="MKC72" s="414"/>
      <c r="MKD72" s="414"/>
      <c r="MKE72" s="414"/>
      <c r="MKF72" s="414"/>
      <c r="MKG72" s="414"/>
      <c r="MKH72" s="414"/>
      <c r="MKI72" s="414"/>
      <c r="MKJ72" s="414"/>
      <c r="MKK72" s="414"/>
      <c r="MKL72" s="414"/>
      <c r="MKM72" s="414"/>
      <c r="MKN72" s="414"/>
      <c r="MKO72" s="414"/>
      <c r="MKP72" s="414"/>
      <c r="MKQ72" s="414"/>
      <c r="MKR72" s="414"/>
      <c r="MKS72" s="414"/>
      <c r="MKT72" s="414"/>
      <c r="MKU72" s="414"/>
      <c r="MKV72" s="414"/>
      <c r="MKW72" s="414"/>
      <c r="MKX72" s="414"/>
      <c r="MKY72" s="414"/>
      <c r="MKZ72" s="414"/>
      <c r="MLA72" s="414"/>
      <c r="MLB72" s="414"/>
      <c r="MLC72" s="414"/>
      <c r="MLD72" s="414"/>
      <c r="MLE72" s="414"/>
      <c r="MLF72" s="414"/>
      <c r="MLG72" s="414"/>
      <c r="MLH72" s="414"/>
      <c r="MLI72" s="414"/>
      <c r="MLJ72" s="414"/>
      <c r="MLK72" s="414"/>
      <c r="MLL72" s="414"/>
      <c r="MLM72" s="414"/>
      <c r="MLN72" s="414"/>
      <c r="MLO72" s="414"/>
      <c r="MLP72" s="414"/>
      <c r="MLQ72" s="414"/>
      <c r="MLR72" s="414"/>
      <c r="MLS72" s="414"/>
      <c r="MLT72" s="414"/>
      <c r="MLU72" s="414"/>
      <c r="MLV72" s="414"/>
      <c r="MLW72" s="414"/>
      <c r="MLX72" s="414"/>
      <c r="MLY72" s="414"/>
      <c r="MLZ72" s="414"/>
      <c r="MMA72" s="414"/>
      <c r="MMB72" s="414"/>
      <c r="MMC72" s="414"/>
      <c r="MMD72" s="414"/>
      <c r="MME72" s="414"/>
      <c r="MMF72" s="414"/>
      <c r="MMG72" s="414"/>
      <c r="MMH72" s="414"/>
      <c r="MMI72" s="414"/>
      <c r="MMJ72" s="414"/>
      <c r="MMK72" s="414"/>
      <c r="MML72" s="414"/>
      <c r="MMM72" s="414"/>
      <c r="MMN72" s="414"/>
      <c r="MMO72" s="414"/>
      <c r="MMP72" s="414"/>
      <c r="MMQ72" s="414"/>
      <c r="MMR72" s="414"/>
      <c r="MMS72" s="414"/>
      <c r="MMT72" s="414"/>
      <c r="MMU72" s="414"/>
      <c r="MMV72" s="414"/>
      <c r="MMW72" s="414"/>
      <c r="MMX72" s="414"/>
      <c r="MMY72" s="414"/>
      <c r="MMZ72" s="414"/>
      <c r="MNA72" s="414"/>
      <c r="MNB72" s="414"/>
      <c r="MNC72" s="414"/>
      <c r="MND72" s="414"/>
      <c r="MNE72" s="414"/>
      <c r="MNF72" s="414"/>
      <c r="MNG72" s="414"/>
      <c r="MNH72" s="414"/>
      <c r="MNI72" s="414"/>
      <c r="MNJ72" s="414"/>
      <c r="MNK72" s="414"/>
      <c r="MNL72" s="414"/>
      <c r="MNM72" s="414"/>
      <c r="MNN72" s="414"/>
      <c r="MNO72" s="414"/>
      <c r="MNP72" s="414"/>
      <c r="MNQ72" s="414"/>
      <c r="MNR72" s="414"/>
      <c r="MNS72" s="414"/>
      <c r="MNT72" s="414"/>
      <c r="MNU72" s="414"/>
      <c r="MNV72" s="414"/>
      <c r="MNW72" s="414"/>
      <c r="MNX72" s="414"/>
      <c r="MNY72" s="414"/>
      <c r="MNZ72" s="414"/>
      <c r="MOA72" s="414"/>
      <c r="MOB72" s="414"/>
      <c r="MOC72" s="414"/>
      <c r="MOD72" s="414"/>
      <c r="MOE72" s="414"/>
      <c r="MOF72" s="414"/>
      <c r="MOG72" s="414"/>
      <c r="MOH72" s="414"/>
      <c r="MOI72" s="414"/>
      <c r="MOJ72" s="414"/>
      <c r="MOK72" s="414"/>
      <c r="MOL72" s="414"/>
      <c r="MOM72" s="414"/>
      <c r="MON72" s="414"/>
      <c r="MOO72" s="414"/>
      <c r="MOP72" s="414"/>
      <c r="MOQ72" s="414"/>
      <c r="MOR72" s="414"/>
      <c r="MOS72" s="414"/>
      <c r="MOT72" s="414"/>
      <c r="MOU72" s="414"/>
      <c r="MOV72" s="414"/>
      <c r="MOW72" s="414"/>
      <c r="MOX72" s="414"/>
      <c r="MOY72" s="414"/>
      <c r="MOZ72" s="414"/>
      <c r="MPA72" s="414"/>
      <c r="MPB72" s="414"/>
      <c r="MPC72" s="414"/>
      <c r="MPD72" s="414"/>
      <c r="MPE72" s="414"/>
      <c r="MPF72" s="414"/>
      <c r="MPG72" s="414"/>
      <c r="MPH72" s="414"/>
      <c r="MPI72" s="414"/>
      <c r="MPJ72" s="414"/>
      <c r="MPK72" s="414"/>
      <c r="MPL72" s="414"/>
      <c r="MPM72" s="414"/>
      <c r="MPN72" s="414"/>
      <c r="MPO72" s="414"/>
      <c r="MPP72" s="414"/>
      <c r="MPQ72" s="414"/>
      <c r="MPR72" s="414"/>
      <c r="MPS72" s="414"/>
      <c r="MPT72" s="414"/>
      <c r="MPU72" s="414"/>
      <c r="MPV72" s="414"/>
      <c r="MPW72" s="414"/>
      <c r="MPX72" s="414"/>
      <c r="MPY72" s="414"/>
      <c r="MPZ72" s="414"/>
      <c r="MQA72" s="414"/>
      <c r="MQB72" s="414"/>
      <c r="MQC72" s="414"/>
      <c r="MQD72" s="414"/>
      <c r="MQE72" s="414"/>
      <c r="MQF72" s="414"/>
      <c r="MQG72" s="414"/>
      <c r="MQH72" s="414"/>
      <c r="MQI72" s="414"/>
      <c r="MQJ72" s="414"/>
      <c r="MQK72" s="414"/>
      <c r="MQL72" s="414"/>
      <c r="MQM72" s="414"/>
      <c r="MQN72" s="414"/>
      <c r="MQO72" s="414"/>
      <c r="MQP72" s="414"/>
      <c r="MQQ72" s="414"/>
      <c r="MQR72" s="414"/>
      <c r="MQS72" s="414"/>
      <c r="MQT72" s="414"/>
      <c r="MQU72" s="414"/>
      <c r="MQV72" s="414"/>
      <c r="MQW72" s="414"/>
      <c r="MQX72" s="414"/>
      <c r="MQY72" s="414"/>
      <c r="MQZ72" s="414"/>
      <c r="MRA72" s="414"/>
      <c r="MRB72" s="414"/>
      <c r="MRC72" s="414"/>
      <c r="MRD72" s="414"/>
      <c r="MRE72" s="414"/>
      <c r="MRF72" s="414"/>
      <c r="MRG72" s="414"/>
      <c r="MRH72" s="414"/>
      <c r="MRI72" s="414"/>
      <c r="MRJ72" s="414"/>
      <c r="MRK72" s="414"/>
      <c r="MRL72" s="414"/>
      <c r="MRM72" s="414"/>
      <c r="MRN72" s="414"/>
      <c r="MRO72" s="414"/>
      <c r="MRP72" s="414"/>
      <c r="MRQ72" s="414"/>
      <c r="MRR72" s="414"/>
      <c r="MRS72" s="414"/>
      <c r="MRT72" s="414"/>
      <c r="MRU72" s="414"/>
      <c r="MRV72" s="414"/>
      <c r="MRW72" s="414"/>
      <c r="MRX72" s="414"/>
      <c r="MRY72" s="414"/>
      <c r="MRZ72" s="414"/>
      <c r="MSA72" s="414"/>
      <c r="MSB72" s="414"/>
      <c r="MSC72" s="414"/>
      <c r="MSD72" s="414"/>
      <c r="MSE72" s="414"/>
      <c r="MSF72" s="414"/>
      <c r="MSG72" s="414"/>
      <c r="MSH72" s="414"/>
      <c r="MSI72" s="414"/>
      <c r="MSJ72" s="414"/>
      <c r="MSK72" s="414"/>
      <c r="MSL72" s="414"/>
      <c r="MSM72" s="414"/>
      <c r="MSN72" s="414"/>
      <c r="MSO72" s="414"/>
      <c r="MSP72" s="414"/>
      <c r="MSQ72" s="414"/>
      <c r="MSR72" s="414"/>
      <c r="MSS72" s="414"/>
      <c r="MST72" s="414"/>
      <c r="MSU72" s="414"/>
      <c r="MSV72" s="414"/>
      <c r="MSW72" s="414"/>
      <c r="MSX72" s="414"/>
      <c r="MSY72" s="414"/>
      <c r="MSZ72" s="414"/>
      <c r="MTA72" s="414"/>
      <c r="MTB72" s="414"/>
      <c r="MTC72" s="414"/>
      <c r="MTD72" s="414"/>
      <c r="MTE72" s="414"/>
      <c r="MTF72" s="414"/>
      <c r="MTG72" s="414"/>
      <c r="MTH72" s="414"/>
      <c r="MTI72" s="414"/>
      <c r="MTJ72" s="414"/>
      <c r="MTK72" s="414"/>
      <c r="MTL72" s="414"/>
      <c r="MTM72" s="414"/>
      <c r="MTN72" s="414"/>
      <c r="MTO72" s="414"/>
      <c r="MTP72" s="414"/>
      <c r="MTQ72" s="414"/>
      <c r="MTR72" s="414"/>
      <c r="MTS72" s="414"/>
      <c r="MTT72" s="414"/>
      <c r="MTU72" s="414"/>
      <c r="MTV72" s="414"/>
      <c r="MTW72" s="414"/>
      <c r="MTX72" s="414"/>
      <c r="MTY72" s="414"/>
      <c r="MTZ72" s="414"/>
      <c r="MUA72" s="414"/>
      <c r="MUB72" s="414"/>
      <c r="MUC72" s="414"/>
      <c r="MUD72" s="414"/>
      <c r="MUE72" s="414"/>
      <c r="MUF72" s="414"/>
      <c r="MUG72" s="414"/>
      <c r="MUH72" s="414"/>
      <c r="MUI72" s="414"/>
      <c r="MUJ72" s="414"/>
      <c r="MUK72" s="414"/>
      <c r="MUL72" s="414"/>
      <c r="MUM72" s="414"/>
      <c r="MUN72" s="414"/>
      <c r="MUO72" s="414"/>
      <c r="MUP72" s="414"/>
      <c r="MUQ72" s="414"/>
      <c r="MUR72" s="414"/>
      <c r="MUS72" s="414"/>
      <c r="MUT72" s="414"/>
      <c r="MUU72" s="414"/>
      <c r="MUV72" s="414"/>
      <c r="MUW72" s="414"/>
      <c r="MUX72" s="414"/>
      <c r="MUY72" s="414"/>
      <c r="MUZ72" s="414"/>
      <c r="MVA72" s="414"/>
      <c r="MVB72" s="414"/>
      <c r="MVC72" s="414"/>
      <c r="MVD72" s="414"/>
      <c r="MVE72" s="414"/>
      <c r="MVF72" s="414"/>
      <c r="MVG72" s="414"/>
      <c r="MVH72" s="414"/>
      <c r="MVI72" s="414"/>
      <c r="MVJ72" s="414"/>
      <c r="MVK72" s="414"/>
      <c r="MVL72" s="414"/>
      <c r="MVM72" s="414"/>
      <c r="MVN72" s="414"/>
      <c r="MVO72" s="414"/>
      <c r="MVP72" s="414"/>
      <c r="MVQ72" s="414"/>
      <c r="MVR72" s="414"/>
      <c r="MVS72" s="414"/>
      <c r="MVT72" s="414"/>
      <c r="MVU72" s="414"/>
      <c r="MVV72" s="414"/>
      <c r="MVW72" s="414"/>
      <c r="MVX72" s="414"/>
      <c r="MVY72" s="414"/>
      <c r="MVZ72" s="414"/>
      <c r="MWA72" s="414"/>
      <c r="MWB72" s="414"/>
      <c r="MWC72" s="414"/>
      <c r="MWD72" s="414"/>
      <c r="MWE72" s="414"/>
      <c r="MWF72" s="414"/>
      <c r="MWG72" s="414"/>
      <c r="MWH72" s="414"/>
      <c r="MWI72" s="414"/>
      <c r="MWJ72" s="414"/>
      <c r="MWK72" s="414"/>
      <c r="MWL72" s="414"/>
      <c r="MWM72" s="414"/>
      <c r="MWN72" s="414"/>
      <c r="MWO72" s="414"/>
      <c r="MWP72" s="414"/>
      <c r="MWQ72" s="414"/>
      <c r="MWR72" s="414"/>
      <c r="MWS72" s="414"/>
      <c r="MWT72" s="414"/>
      <c r="MWU72" s="414"/>
      <c r="MWV72" s="414"/>
      <c r="MWW72" s="414"/>
      <c r="MWX72" s="414"/>
      <c r="MWY72" s="414"/>
      <c r="MWZ72" s="414"/>
      <c r="MXA72" s="414"/>
      <c r="MXB72" s="414"/>
      <c r="MXC72" s="414"/>
      <c r="MXD72" s="414"/>
      <c r="MXE72" s="414"/>
      <c r="MXF72" s="414"/>
      <c r="MXG72" s="414"/>
      <c r="MXH72" s="414"/>
      <c r="MXI72" s="414"/>
      <c r="MXJ72" s="414"/>
      <c r="MXK72" s="414"/>
      <c r="MXL72" s="414"/>
      <c r="MXM72" s="414"/>
      <c r="MXN72" s="414"/>
      <c r="MXO72" s="414"/>
      <c r="MXP72" s="414"/>
      <c r="MXQ72" s="414"/>
      <c r="MXR72" s="414"/>
      <c r="MXS72" s="414"/>
      <c r="MXT72" s="414"/>
      <c r="MXU72" s="414"/>
      <c r="MXV72" s="414"/>
      <c r="MXW72" s="414"/>
      <c r="MXX72" s="414"/>
      <c r="MXY72" s="414"/>
      <c r="MXZ72" s="414"/>
      <c r="MYA72" s="414"/>
      <c r="MYB72" s="414"/>
      <c r="MYC72" s="414"/>
      <c r="MYD72" s="414"/>
      <c r="MYE72" s="414"/>
      <c r="MYF72" s="414"/>
      <c r="MYG72" s="414"/>
      <c r="MYH72" s="414"/>
      <c r="MYI72" s="414"/>
      <c r="MYJ72" s="414"/>
      <c r="MYK72" s="414"/>
      <c r="MYL72" s="414"/>
      <c r="MYM72" s="414"/>
      <c r="MYN72" s="414"/>
      <c r="MYO72" s="414"/>
      <c r="MYP72" s="414"/>
      <c r="MYQ72" s="414"/>
      <c r="MYR72" s="414"/>
      <c r="MYS72" s="414"/>
      <c r="MYT72" s="414"/>
      <c r="MYU72" s="414"/>
      <c r="MYV72" s="414"/>
      <c r="MYW72" s="414"/>
      <c r="MYX72" s="414"/>
      <c r="MYY72" s="414"/>
      <c r="MYZ72" s="414"/>
      <c r="MZA72" s="414"/>
      <c r="MZB72" s="414"/>
      <c r="MZC72" s="414"/>
      <c r="MZD72" s="414"/>
      <c r="MZE72" s="414"/>
      <c r="MZF72" s="414"/>
      <c r="MZG72" s="414"/>
      <c r="MZH72" s="414"/>
      <c r="MZI72" s="414"/>
      <c r="MZJ72" s="414"/>
      <c r="MZK72" s="414"/>
      <c r="MZL72" s="414"/>
      <c r="MZM72" s="414"/>
      <c r="MZN72" s="414"/>
      <c r="MZO72" s="414"/>
      <c r="MZP72" s="414"/>
      <c r="MZQ72" s="414"/>
      <c r="MZR72" s="414"/>
      <c r="MZS72" s="414"/>
      <c r="MZT72" s="414"/>
      <c r="MZU72" s="414"/>
      <c r="MZV72" s="414"/>
      <c r="MZW72" s="414"/>
      <c r="MZX72" s="414"/>
      <c r="MZY72" s="414"/>
      <c r="MZZ72" s="414"/>
      <c r="NAA72" s="414"/>
      <c r="NAB72" s="414"/>
      <c r="NAC72" s="414"/>
      <c r="NAD72" s="414"/>
      <c r="NAE72" s="414"/>
      <c r="NAF72" s="414"/>
      <c r="NAG72" s="414"/>
      <c r="NAH72" s="414"/>
      <c r="NAI72" s="414"/>
      <c r="NAJ72" s="414"/>
      <c r="NAK72" s="414"/>
      <c r="NAL72" s="414"/>
      <c r="NAM72" s="414"/>
      <c r="NAN72" s="414"/>
      <c r="NAO72" s="414"/>
      <c r="NAP72" s="414"/>
      <c r="NAQ72" s="414"/>
      <c r="NAR72" s="414"/>
      <c r="NAS72" s="414"/>
      <c r="NAT72" s="414"/>
      <c r="NAU72" s="414"/>
      <c r="NAV72" s="414"/>
      <c r="NAW72" s="414"/>
      <c r="NAX72" s="414"/>
      <c r="NAY72" s="414"/>
      <c r="NAZ72" s="414"/>
      <c r="NBA72" s="414"/>
      <c r="NBB72" s="414"/>
      <c r="NBC72" s="414"/>
      <c r="NBD72" s="414"/>
      <c r="NBE72" s="414"/>
      <c r="NBF72" s="414"/>
      <c r="NBG72" s="414"/>
      <c r="NBH72" s="414"/>
      <c r="NBI72" s="414"/>
      <c r="NBJ72" s="414"/>
      <c r="NBK72" s="414"/>
      <c r="NBL72" s="414"/>
      <c r="NBM72" s="414"/>
      <c r="NBN72" s="414"/>
      <c r="NBO72" s="414"/>
      <c r="NBP72" s="414"/>
      <c r="NBQ72" s="414"/>
      <c r="NBR72" s="414"/>
      <c r="NBS72" s="414"/>
      <c r="NBT72" s="414"/>
      <c r="NBU72" s="414"/>
      <c r="NBV72" s="414"/>
      <c r="NBW72" s="414"/>
      <c r="NBX72" s="414"/>
      <c r="NBY72" s="414"/>
      <c r="NBZ72" s="414"/>
      <c r="NCA72" s="414"/>
      <c r="NCB72" s="414"/>
      <c r="NCC72" s="414"/>
      <c r="NCD72" s="414"/>
      <c r="NCE72" s="414"/>
      <c r="NCF72" s="414"/>
      <c r="NCG72" s="414"/>
      <c r="NCH72" s="414"/>
      <c r="NCI72" s="414"/>
      <c r="NCJ72" s="414"/>
      <c r="NCK72" s="414"/>
      <c r="NCL72" s="414"/>
      <c r="NCM72" s="414"/>
      <c r="NCN72" s="414"/>
      <c r="NCO72" s="414"/>
      <c r="NCP72" s="414"/>
      <c r="NCQ72" s="414"/>
      <c r="NCR72" s="414"/>
      <c r="NCS72" s="414"/>
      <c r="NCT72" s="414"/>
      <c r="NCU72" s="414"/>
      <c r="NCV72" s="414"/>
      <c r="NCW72" s="414"/>
      <c r="NCX72" s="414"/>
      <c r="NCY72" s="414"/>
      <c r="NCZ72" s="414"/>
      <c r="NDA72" s="414"/>
      <c r="NDB72" s="414"/>
      <c r="NDC72" s="414"/>
      <c r="NDD72" s="414"/>
      <c r="NDE72" s="414"/>
      <c r="NDF72" s="414"/>
      <c r="NDG72" s="414"/>
      <c r="NDH72" s="414"/>
      <c r="NDI72" s="414"/>
      <c r="NDJ72" s="414"/>
      <c r="NDK72" s="414"/>
      <c r="NDL72" s="414"/>
      <c r="NDM72" s="414"/>
      <c r="NDN72" s="414"/>
      <c r="NDO72" s="414"/>
      <c r="NDP72" s="414"/>
      <c r="NDQ72" s="414"/>
      <c r="NDR72" s="414"/>
      <c r="NDS72" s="414"/>
      <c r="NDT72" s="414"/>
      <c r="NDU72" s="414"/>
      <c r="NDV72" s="414"/>
      <c r="NDW72" s="414"/>
      <c r="NDX72" s="414"/>
      <c r="NDY72" s="414"/>
      <c r="NDZ72" s="414"/>
      <c r="NEA72" s="414"/>
      <c r="NEB72" s="414"/>
      <c r="NEC72" s="414"/>
      <c r="NED72" s="414"/>
      <c r="NEE72" s="414"/>
      <c r="NEF72" s="414"/>
      <c r="NEG72" s="414"/>
      <c r="NEH72" s="414"/>
      <c r="NEI72" s="414"/>
      <c r="NEJ72" s="414"/>
      <c r="NEK72" s="414"/>
      <c r="NEL72" s="414"/>
      <c r="NEM72" s="414"/>
      <c r="NEN72" s="414"/>
      <c r="NEO72" s="414"/>
      <c r="NEP72" s="414"/>
      <c r="NEQ72" s="414"/>
      <c r="NER72" s="414"/>
      <c r="NES72" s="414"/>
      <c r="NET72" s="414"/>
      <c r="NEU72" s="414"/>
      <c r="NEV72" s="414"/>
      <c r="NEW72" s="414"/>
      <c r="NEX72" s="414"/>
      <c r="NEY72" s="414"/>
      <c r="NEZ72" s="414"/>
      <c r="NFA72" s="414"/>
      <c r="NFB72" s="414"/>
      <c r="NFC72" s="414"/>
      <c r="NFD72" s="414"/>
      <c r="NFE72" s="414"/>
      <c r="NFF72" s="414"/>
      <c r="NFG72" s="414"/>
      <c r="NFH72" s="414"/>
      <c r="NFI72" s="414"/>
      <c r="NFJ72" s="414"/>
      <c r="NFK72" s="414"/>
      <c r="NFL72" s="414"/>
      <c r="NFM72" s="414"/>
      <c r="NFN72" s="414"/>
      <c r="NFO72" s="414"/>
      <c r="NFP72" s="414"/>
      <c r="NFQ72" s="414"/>
      <c r="NFR72" s="414"/>
      <c r="NFS72" s="414"/>
      <c r="NFT72" s="414"/>
      <c r="NFU72" s="414"/>
      <c r="NFV72" s="414"/>
      <c r="NFW72" s="414"/>
      <c r="NFX72" s="414"/>
      <c r="NFY72" s="414"/>
      <c r="NFZ72" s="414"/>
      <c r="NGA72" s="414"/>
      <c r="NGB72" s="414"/>
      <c r="NGC72" s="414"/>
      <c r="NGD72" s="414"/>
      <c r="NGE72" s="414"/>
      <c r="NGF72" s="414"/>
      <c r="NGG72" s="414"/>
      <c r="NGH72" s="414"/>
      <c r="NGI72" s="414"/>
      <c r="NGJ72" s="414"/>
      <c r="NGK72" s="414"/>
      <c r="NGL72" s="414"/>
      <c r="NGM72" s="414"/>
      <c r="NGN72" s="414"/>
      <c r="NGO72" s="414"/>
      <c r="NGP72" s="414"/>
      <c r="NGQ72" s="414"/>
      <c r="NGR72" s="414"/>
      <c r="NGS72" s="414"/>
      <c r="NGT72" s="414"/>
      <c r="NGU72" s="414"/>
      <c r="NGV72" s="414"/>
      <c r="NGW72" s="414"/>
      <c r="NGX72" s="414"/>
      <c r="NGY72" s="414"/>
      <c r="NGZ72" s="414"/>
      <c r="NHA72" s="414"/>
      <c r="NHB72" s="414"/>
      <c r="NHC72" s="414"/>
      <c r="NHD72" s="414"/>
      <c r="NHE72" s="414"/>
      <c r="NHF72" s="414"/>
      <c r="NHG72" s="414"/>
      <c r="NHH72" s="414"/>
      <c r="NHI72" s="414"/>
      <c r="NHJ72" s="414"/>
      <c r="NHK72" s="414"/>
      <c r="NHL72" s="414"/>
      <c r="NHM72" s="414"/>
      <c r="NHN72" s="414"/>
      <c r="NHO72" s="414"/>
      <c r="NHP72" s="414"/>
      <c r="NHQ72" s="414"/>
      <c r="NHR72" s="414"/>
      <c r="NHS72" s="414"/>
      <c r="NHT72" s="414"/>
      <c r="NHU72" s="414"/>
      <c r="NHV72" s="414"/>
      <c r="NHW72" s="414"/>
      <c r="NHX72" s="414"/>
      <c r="NHY72" s="414"/>
      <c r="NHZ72" s="414"/>
      <c r="NIA72" s="414"/>
      <c r="NIB72" s="414"/>
      <c r="NIC72" s="414"/>
      <c r="NID72" s="414"/>
      <c r="NIE72" s="414"/>
      <c r="NIF72" s="414"/>
      <c r="NIG72" s="414"/>
      <c r="NIH72" s="414"/>
      <c r="NII72" s="414"/>
      <c r="NIJ72" s="414"/>
      <c r="NIK72" s="414"/>
      <c r="NIL72" s="414"/>
      <c r="NIM72" s="414"/>
      <c r="NIN72" s="414"/>
      <c r="NIO72" s="414"/>
      <c r="NIP72" s="414"/>
      <c r="NIQ72" s="414"/>
      <c r="NIR72" s="414"/>
      <c r="NIS72" s="414"/>
      <c r="NIT72" s="414"/>
      <c r="NIU72" s="414"/>
      <c r="NIV72" s="414"/>
      <c r="NIW72" s="414"/>
      <c r="NIX72" s="414"/>
      <c r="NIY72" s="414"/>
      <c r="NIZ72" s="414"/>
      <c r="NJA72" s="414"/>
      <c r="NJB72" s="414"/>
      <c r="NJC72" s="414"/>
      <c r="NJD72" s="414"/>
      <c r="NJE72" s="414"/>
      <c r="NJF72" s="414"/>
      <c r="NJG72" s="414"/>
      <c r="NJH72" s="414"/>
      <c r="NJI72" s="414"/>
      <c r="NJJ72" s="414"/>
      <c r="NJK72" s="414"/>
      <c r="NJL72" s="414"/>
      <c r="NJM72" s="414"/>
      <c r="NJN72" s="414"/>
      <c r="NJO72" s="414"/>
      <c r="NJP72" s="414"/>
      <c r="NJQ72" s="414"/>
      <c r="NJR72" s="414"/>
      <c r="NJS72" s="414"/>
      <c r="NJT72" s="414"/>
      <c r="NJU72" s="414"/>
      <c r="NJV72" s="414"/>
      <c r="NJW72" s="414"/>
      <c r="NJX72" s="414"/>
      <c r="NJY72" s="414"/>
      <c r="NJZ72" s="414"/>
      <c r="NKA72" s="414"/>
      <c r="NKB72" s="414"/>
      <c r="NKC72" s="414"/>
      <c r="NKD72" s="414"/>
      <c r="NKE72" s="414"/>
      <c r="NKF72" s="414"/>
      <c r="NKG72" s="414"/>
      <c r="NKH72" s="414"/>
      <c r="NKI72" s="414"/>
      <c r="NKJ72" s="414"/>
      <c r="NKK72" s="414"/>
      <c r="NKL72" s="414"/>
      <c r="NKM72" s="414"/>
      <c r="NKN72" s="414"/>
      <c r="NKO72" s="414"/>
      <c r="NKP72" s="414"/>
      <c r="NKQ72" s="414"/>
      <c r="NKR72" s="414"/>
      <c r="NKS72" s="414"/>
      <c r="NKT72" s="414"/>
      <c r="NKU72" s="414"/>
      <c r="NKV72" s="414"/>
      <c r="NKW72" s="414"/>
      <c r="NKX72" s="414"/>
      <c r="NKY72" s="414"/>
      <c r="NKZ72" s="414"/>
      <c r="NLA72" s="414"/>
      <c r="NLB72" s="414"/>
      <c r="NLC72" s="414"/>
      <c r="NLD72" s="414"/>
      <c r="NLE72" s="414"/>
      <c r="NLF72" s="414"/>
      <c r="NLG72" s="414"/>
      <c r="NLH72" s="414"/>
      <c r="NLI72" s="414"/>
      <c r="NLJ72" s="414"/>
      <c r="NLK72" s="414"/>
      <c r="NLL72" s="414"/>
      <c r="NLM72" s="414"/>
      <c r="NLN72" s="414"/>
      <c r="NLO72" s="414"/>
      <c r="NLP72" s="414"/>
      <c r="NLQ72" s="414"/>
      <c r="NLR72" s="414"/>
      <c r="NLS72" s="414"/>
      <c r="NLT72" s="414"/>
      <c r="NLU72" s="414"/>
      <c r="NLV72" s="414"/>
      <c r="NLW72" s="414"/>
      <c r="NLX72" s="414"/>
      <c r="NLY72" s="414"/>
      <c r="NLZ72" s="414"/>
      <c r="NMA72" s="414"/>
      <c r="NMB72" s="414"/>
      <c r="NMC72" s="414"/>
      <c r="NMD72" s="414"/>
      <c r="NME72" s="414"/>
      <c r="NMF72" s="414"/>
      <c r="NMG72" s="414"/>
      <c r="NMH72" s="414"/>
      <c r="NMI72" s="414"/>
      <c r="NMJ72" s="414"/>
      <c r="NMK72" s="414"/>
      <c r="NML72" s="414"/>
      <c r="NMM72" s="414"/>
      <c r="NMN72" s="414"/>
      <c r="NMO72" s="414"/>
      <c r="NMP72" s="414"/>
      <c r="NMQ72" s="414"/>
      <c r="NMR72" s="414"/>
      <c r="NMS72" s="414"/>
      <c r="NMT72" s="414"/>
      <c r="NMU72" s="414"/>
      <c r="NMV72" s="414"/>
      <c r="NMW72" s="414"/>
      <c r="NMX72" s="414"/>
      <c r="NMY72" s="414"/>
      <c r="NMZ72" s="414"/>
      <c r="NNA72" s="414"/>
      <c r="NNB72" s="414"/>
      <c r="NNC72" s="414"/>
      <c r="NND72" s="414"/>
      <c r="NNE72" s="414"/>
      <c r="NNF72" s="414"/>
      <c r="NNG72" s="414"/>
      <c r="NNH72" s="414"/>
      <c r="NNI72" s="414"/>
      <c r="NNJ72" s="414"/>
      <c r="NNK72" s="414"/>
      <c r="NNL72" s="414"/>
      <c r="NNM72" s="414"/>
      <c r="NNN72" s="414"/>
      <c r="NNO72" s="414"/>
      <c r="NNP72" s="414"/>
      <c r="NNQ72" s="414"/>
      <c r="NNR72" s="414"/>
      <c r="NNS72" s="414"/>
      <c r="NNT72" s="414"/>
      <c r="NNU72" s="414"/>
      <c r="NNV72" s="414"/>
      <c r="NNW72" s="414"/>
      <c r="NNX72" s="414"/>
      <c r="NNY72" s="414"/>
      <c r="NNZ72" s="414"/>
      <c r="NOA72" s="414"/>
      <c r="NOB72" s="414"/>
      <c r="NOC72" s="414"/>
      <c r="NOD72" s="414"/>
      <c r="NOE72" s="414"/>
      <c r="NOF72" s="414"/>
      <c r="NOG72" s="414"/>
      <c r="NOH72" s="414"/>
      <c r="NOI72" s="414"/>
      <c r="NOJ72" s="414"/>
      <c r="NOK72" s="414"/>
      <c r="NOL72" s="414"/>
      <c r="NOM72" s="414"/>
      <c r="NON72" s="414"/>
      <c r="NOO72" s="414"/>
      <c r="NOP72" s="414"/>
      <c r="NOQ72" s="414"/>
      <c r="NOR72" s="414"/>
      <c r="NOS72" s="414"/>
      <c r="NOT72" s="414"/>
      <c r="NOU72" s="414"/>
      <c r="NOV72" s="414"/>
      <c r="NOW72" s="414"/>
      <c r="NOX72" s="414"/>
      <c r="NOY72" s="414"/>
      <c r="NOZ72" s="414"/>
      <c r="NPA72" s="414"/>
      <c r="NPB72" s="414"/>
      <c r="NPC72" s="414"/>
      <c r="NPD72" s="414"/>
      <c r="NPE72" s="414"/>
      <c r="NPF72" s="414"/>
      <c r="NPG72" s="414"/>
      <c r="NPH72" s="414"/>
      <c r="NPI72" s="414"/>
      <c r="NPJ72" s="414"/>
      <c r="NPK72" s="414"/>
      <c r="NPL72" s="414"/>
      <c r="NPM72" s="414"/>
      <c r="NPN72" s="414"/>
      <c r="NPO72" s="414"/>
      <c r="NPP72" s="414"/>
      <c r="NPQ72" s="414"/>
      <c r="NPR72" s="414"/>
      <c r="NPS72" s="414"/>
      <c r="NPT72" s="414"/>
      <c r="NPU72" s="414"/>
      <c r="NPV72" s="414"/>
      <c r="NPW72" s="414"/>
      <c r="NPX72" s="414"/>
      <c r="NPY72" s="414"/>
      <c r="NPZ72" s="414"/>
      <c r="NQA72" s="414"/>
      <c r="NQB72" s="414"/>
      <c r="NQC72" s="414"/>
      <c r="NQD72" s="414"/>
      <c r="NQE72" s="414"/>
      <c r="NQF72" s="414"/>
      <c r="NQG72" s="414"/>
      <c r="NQH72" s="414"/>
      <c r="NQI72" s="414"/>
      <c r="NQJ72" s="414"/>
      <c r="NQK72" s="414"/>
      <c r="NQL72" s="414"/>
      <c r="NQM72" s="414"/>
      <c r="NQN72" s="414"/>
      <c r="NQO72" s="414"/>
      <c r="NQP72" s="414"/>
      <c r="NQQ72" s="414"/>
      <c r="NQR72" s="414"/>
      <c r="NQS72" s="414"/>
      <c r="NQT72" s="414"/>
      <c r="NQU72" s="414"/>
      <c r="NQV72" s="414"/>
      <c r="NQW72" s="414"/>
      <c r="NQX72" s="414"/>
      <c r="NQY72" s="414"/>
      <c r="NQZ72" s="414"/>
      <c r="NRA72" s="414"/>
      <c r="NRB72" s="414"/>
      <c r="NRC72" s="414"/>
      <c r="NRD72" s="414"/>
      <c r="NRE72" s="414"/>
      <c r="NRF72" s="414"/>
      <c r="NRG72" s="414"/>
      <c r="NRH72" s="414"/>
      <c r="NRI72" s="414"/>
      <c r="NRJ72" s="414"/>
      <c r="NRK72" s="414"/>
      <c r="NRL72" s="414"/>
      <c r="NRM72" s="414"/>
      <c r="NRN72" s="414"/>
      <c r="NRO72" s="414"/>
      <c r="NRP72" s="414"/>
      <c r="NRQ72" s="414"/>
      <c r="NRR72" s="414"/>
      <c r="NRS72" s="414"/>
      <c r="NRT72" s="414"/>
      <c r="NRU72" s="414"/>
      <c r="NRV72" s="414"/>
      <c r="NRW72" s="414"/>
      <c r="NRX72" s="414"/>
      <c r="NRY72" s="414"/>
      <c r="NRZ72" s="414"/>
      <c r="NSA72" s="414"/>
      <c r="NSB72" s="414"/>
      <c r="NSC72" s="414"/>
      <c r="NSD72" s="414"/>
      <c r="NSE72" s="414"/>
      <c r="NSF72" s="414"/>
      <c r="NSG72" s="414"/>
      <c r="NSH72" s="414"/>
      <c r="NSI72" s="414"/>
      <c r="NSJ72" s="414"/>
      <c r="NSK72" s="414"/>
      <c r="NSL72" s="414"/>
      <c r="NSM72" s="414"/>
      <c r="NSN72" s="414"/>
      <c r="NSO72" s="414"/>
      <c r="NSP72" s="414"/>
      <c r="NSQ72" s="414"/>
      <c r="NSR72" s="414"/>
      <c r="NSS72" s="414"/>
      <c r="NST72" s="414"/>
      <c r="NSU72" s="414"/>
      <c r="NSV72" s="414"/>
      <c r="NSW72" s="414"/>
      <c r="NSX72" s="414"/>
      <c r="NSY72" s="414"/>
      <c r="NSZ72" s="414"/>
      <c r="NTA72" s="414"/>
      <c r="NTB72" s="414"/>
      <c r="NTC72" s="414"/>
      <c r="NTD72" s="414"/>
      <c r="NTE72" s="414"/>
      <c r="NTF72" s="414"/>
      <c r="NTG72" s="414"/>
      <c r="NTH72" s="414"/>
      <c r="NTI72" s="414"/>
      <c r="NTJ72" s="414"/>
      <c r="NTK72" s="414"/>
      <c r="NTL72" s="414"/>
      <c r="NTM72" s="414"/>
      <c r="NTN72" s="414"/>
      <c r="NTO72" s="414"/>
      <c r="NTP72" s="414"/>
      <c r="NTQ72" s="414"/>
      <c r="NTR72" s="414"/>
      <c r="NTS72" s="414"/>
      <c r="NTT72" s="414"/>
      <c r="NTU72" s="414"/>
      <c r="NTV72" s="414"/>
      <c r="NTW72" s="414"/>
      <c r="NTX72" s="414"/>
      <c r="NTY72" s="414"/>
      <c r="NTZ72" s="414"/>
      <c r="NUA72" s="414"/>
      <c r="NUB72" s="414"/>
      <c r="NUC72" s="414"/>
      <c r="NUD72" s="414"/>
      <c r="NUE72" s="414"/>
      <c r="NUF72" s="414"/>
      <c r="NUG72" s="414"/>
      <c r="NUH72" s="414"/>
      <c r="NUI72" s="414"/>
      <c r="NUJ72" s="414"/>
      <c r="NUK72" s="414"/>
      <c r="NUL72" s="414"/>
      <c r="NUM72" s="414"/>
      <c r="NUN72" s="414"/>
      <c r="NUO72" s="414"/>
      <c r="NUP72" s="414"/>
      <c r="NUQ72" s="414"/>
      <c r="NUR72" s="414"/>
      <c r="NUS72" s="414"/>
      <c r="NUT72" s="414"/>
      <c r="NUU72" s="414"/>
      <c r="NUV72" s="414"/>
      <c r="NUW72" s="414"/>
      <c r="NUX72" s="414"/>
      <c r="NUY72" s="414"/>
      <c r="NUZ72" s="414"/>
      <c r="NVA72" s="414"/>
      <c r="NVB72" s="414"/>
      <c r="NVC72" s="414"/>
      <c r="NVD72" s="414"/>
      <c r="NVE72" s="414"/>
      <c r="NVF72" s="414"/>
      <c r="NVG72" s="414"/>
      <c r="NVH72" s="414"/>
      <c r="NVI72" s="414"/>
      <c r="NVJ72" s="414"/>
      <c r="NVK72" s="414"/>
      <c r="NVL72" s="414"/>
      <c r="NVM72" s="414"/>
      <c r="NVN72" s="414"/>
      <c r="NVO72" s="414"/>
      <c r="NVP72" s="414"/>
      <c r="NVQ72" s="414"/>
      <c r="NVR72" s="414"/>
      <c r="NVS72" s="414"/>
      <c r="NVT72" s="414"/>
      <c r="NVU72" s="414"/>
      <c r="NVV72" s="414"/>
      <c r="NVW72" s="414"/>
      <c r="NVX72" s="414"/>
      <c r="NVY72" s="414"/>
      <c r="NVZ72" s="414"/>
      <c r="NWA72" s="414"/>
      <c r="NWB72" s="414"/>
      <c r="NWC72" s="414"/>
      <c r="NWD72" s="414"/>
      <c r="NWE72" s="414"/>
      <c r="NWF72" s="414"/>
      <c r="NWG72" s="414"/>
      <c r="NWH72" s="414"/>
      <c r="NWI72" s="414"/>
      <c r="NWJ72" s="414"/>
      <c r="NWK72" s="414"/>
      <c r="NWL72" s="414"/>
      <c r="NWM72" s="414"/>
      <c r="NWN72" s="414"/>
      <c r="NWO72" s="414"/>
      <c r="NWP72" s="414"/>
      <c r="NWQ72" s="414"/>
      <c r="NWR72" s="414"/>
      <c r="NWS72" s="414"/>
      <c r="NWT72" s="414"/>
      <c r="NWU72" s="414"/>
      <c r="NWV72" s="414"/>
      <c r="NWW72" s="414"/>
      <c r="NWX72" s="414"/>
      <c r="NWY72" s="414"/>
      <c r="NWZ72" s="414"/>
      <c r="NXA72" s="414"/>
      <c r="NXB72" s="414"/>
      <c r="NXC72" s="414"/>
      <c r="NXD72" s="414"/>
      <c r="NXE72" s="414"/>
      <c r="NXF72" s="414"/>
      <c r="NXG72" s="414"/>
      <c r="NXH72" s="414"/>
      <c r="NXI72" s="414"/>
      <c r="NXJ72" s="414"/>
      <c r="NXK72" s="414"/>
      <c r="NXL72" s="414"/>
      <c r="NXM72" s="414"/>
      <c r="NXN72" s="414"/>
      <c r="NXO72" s="414"/>
      <c r="NXP72" s="414"/>
      <c r="NXQ72" s="414"/>
      <c r="NXR72" s="414"/>
      <c r="NXS72" s="414"/>
      <c r="NXT72" s="414"/>
      <c r="NXU72" s="414"/>
      <c r="NXV72" s="414"/>
      <c r="NXW72" s="414"/>
      <c r="NXX72" s="414"/>
      <c r="NXY72" s="414"/>
      <c r="NXZ72" s="414"/>
      <c r="NYA72" s="414"/>
      <c r="NYB72" s="414"/>
      <c r="NYC72" s="414"/>
      <c r="NYD72" s="414"/>
      <c r="NYE72" s="414"/>
      <c r="NYF72" s="414"/>
      <c r="NYG72" s="414"/>
      <c r="NYH72" s="414"/>
      <c r="NYI72" s="414"/>
      <c r="NYJ72" s="414"/>
      <c r="NYK72" s="414"/>
      <c r="NYL72" s="414"/>
      <c r="NYM72" s="414"/>
      <c r="NYN72" s="414"/>
      <c r="NYO72" s="414"/>
      <c r="NYP72" s="414"/>
      <c r="NYQ72" s="414"/>
      <c r="NYR72" s="414"/>
      <c r="NYS72" s="414"/>
      <c r="NYT72" s="414"/>
      <c r="NYU72" s="414"/>
      <c r="NYV72" s="414"/>
      <c r="NYW72" s="414"/>
      <c r="NYX72" s="414"/>
      <c r="NYY72" s="414"/>
      <c r="NYZ72" s="414"/>
      <c r="NZA72" s="414"/>
      <c r="NZB72" s="414"/>
      <c r="NZC72" s="414"/>
      <c r="NZD72" s="414"/>
      <c r="NZE72" s="414"/>
      <c r="NZF72" s="414"/>
      <c r="NZG72" s="414"/>
      <c r="NZH72" s="414"/>
      <c r="NZI72" s="414"/>
      <c r="NZJ72" s="414"/>
      <c r="NZK72" s="414"/>
      <c r="NZL72" s="414"/>
      <c r="NZM72" s="414"/>
      <c r="NZN72" s="414"/>
      <c r="NZO72" s="414"/>
      <c r="NZP72" s="414"/>
      <c r="NZQ72" s="414"/>
      <c r="NZR72" s="414"/>
      <c r="NZS72" s="414"/>
      <c r="NZT72" s="414"/>
      <c r="NZU72" s="414"/>
      <c r="NZV72" s="414"/>
      <c r="NZW72" s="414"/>
      <c r="NZX72" s="414"/>
      <c r="NZY72" s="414"/>
      <c r="NZZ72" s="414"/>
      <c r="OAA72" s="414"/>
      <c r="OAB72" s="414"/>
      <c r="OAC72" s="414"/>
      <c r="OAD72" s="414"/>
      <c r="OAE72" s="414"/>
      <c r="OAF72" s="414"/>
      <c r="OAG72" s="414"/>
      <c r="OAH72" s="414"/>
      <c r="OAI72" s="414"/>
      <c r="OAJ72" s="414"/>
      <c r="OAK72" s="414"/>
      <c r="OAL72" s="414"/>
      <c r="OAM72" s="414"/>
      <c r="OAN72" s="414"/>
      <c r="OAO72" s="414"/>
      <c r="OAP72" s="414"/>
      <c r="OAQ72" s="414"/>
      <c r="OAR72" s="414"/>
      <c r="OAS72" s="414"/>
      <c r="OAT72" s="414"/>
      <c r="OAU72" s="414"/>
      <c r="OAV72" s="414"/>
      <c r="OAW72" s="414"/>
      <c r="OAX72" s="414"/>
      <c r="OAY72" s="414"/>
      <c r="OAZ72" s="414"/>
      <c r="OBA72" s="414"/>
      <c r="OBB72" s="414"/>
      <c r="OBC72" s="414"/>
      <c r="OBD72" s="414"/>
      <c r="OBE72" s="414"/>
      <c r="OBF72" s="414"/>
      <c r="OBG72" s="414"/>
      <c r="OBH72" s="414"/>
      <c r="OBI72" s="414"/>
      <c r="OBJ72" s="414"/>
      <c r="OBK72" s="414"/>
      <c r="OBL72" s="414"/>
      <c r="OBM72" s="414"/>
      <c r="OBN72" s="414"/>
      <c r="OBO72" s="414"/>
      <c r="OBP72" s="414"/>
      <c r="OBQ72" s="414"/>
      <c r="OBR72" s="414"/>
      <c r="OBS72" s="414"/>
      <c r="OBT72" s="414"/>
      <c r="OBU72" s="414"/>
      <c r="OBV72" s="414"/>
      <c r="OBW72" s="414"/>
      <c r="OBX72" s="414"/>
      <c r="OBY72" s="414"/>
      <c r="OBZ72" s="414"/>
      <c r="OCA72" s="414"/>
      <c r="OCB72" s="414"/>
      <c r="OCC72" s="414"/>
      <c r="OCD72" s="414"/>
      <c r="OCE72" s="414"/>
      <c r="OCF72" s="414"/>
      <c r="OCG72" s="414"/>
      <c r="OCH72" s="414"/>
      <c r="OCI72" s="414"/>
      <c r="OCJ72" s="414"/>
      <c r="OCK72" s="414"/>
      <c r="OCL72" s="414"/>
      <c r="OCM72" s="414"/>
      <c r="OCN72" s="414"/>
      <c r="OCO72" s="414"/>
      <c r="OCP72" s="414"/>
      <c r="OCQ72" s="414"/>
      <c r="OCR72" s="414"/>
      <c r="OCS72" s="414"/>
      <c r="OCT72" s="414"/>
      <c r="OCU72" s="414"/>
      <c r="OCV72" s="414"/>
      <c r="OCW72" s="414"/>
      <c r="OCX72" s="414"/>
      <c r="OCY72" s="414"/>
      <c r="OCZ72" s="414"/>
      <c r="ODA72" s="414"/>
      <c r="ODB72" s="414"/>
      <c r="ODC72" s="414"/>
      <c r="ODD72" s="414"/>
      <c r="ODE72" s="414"/>
      <c r="ODF72" s="414"/>
      <c r="ODG72" s="414"/>
      <c r="ODH72" s="414"/>
      <c r="ODI72" s="414"/>
      <c r="ODJ72" s="414"/>
      <c r="ODK72" s="414"/>
      <c r="ODL72" s="414"/>
      <c r="ODM72" s="414"/>
      <c r="ODN72" s="414"/>
      <c r="ODO72" s="414"/>
      <c r="ODP72" s="414"/>
      <c r="ODQ72" s="414"/>
      <c r="ODR72" s="414"/>
      <c r="ODS72" s="414"/>
      <c r="ODT72" s="414"/>
      <c r="ODU72" s="414"/>
      <c r="ODV72" s="414"/>
      <c r="ODW72" s="414"/>
      <c r="ODX72" s="414"/>
      <c r="ODY72" s="414"/>
      <c r="ODZ72" s="414"/>
      <c r="OEA72" s="414"/>
      <c r="OEB72" s="414"/>
      <c r="OEC72" s="414"/>
      <c r="OED72" s="414"/>
      <c r="OEE72" s="414"/>
      <c r="OEF72" s="414"/>
      <c r="OEG72" s="414"/>
      <c r="OEH72" s="414"/>
      <c r="OEI72" s="414"/>
      <c r="OEJ72" s="414"/>
      <c r="OEK72" s="414"/>
      <c r="OEL72" s="414"/>
      <c r="OEM72" s="414"/>
      <c r="OEN72" s="414"/>
      <c r="OEO72" s="414"/>
      <c r="OEP72" s="414"/>
      <c r="OEQ72" s="414"/>
      <c r="OER72" s="414"/>
      <c r="OES72" s="414"/>
      <c r="OET72" s="414"/>
      <c r="OEU72" s="414"/>
      <c r="OEV72" s="414"/>
      <c r="OEW72" s="414"/>
      <c r="OEX72" s="414"/>
      <c r="OEY72" s="414"/>
      <c r="OEZ72" s="414"/>
      <c r="OFA72" s="414"/>
      <c r="OFB72" s="414"/>
      <c r="OFC72" s="414"/>
      <c r="OFD72" s="414"/>
      <c r="OFE72" s="414"/>
      <c r="OFF72" s="414"/>
      <c r="OFG72" s="414"/>
      <c r="OFH72" s="414"/>
      <c r="OFI72" s="414"/>
      <c r="OFJ72" s="414"/>
      <c r="OFK72" s="414"/>
      <c r="OFL72" s="414"/>
      <c r="OFM72" s="414"/>
      <c r="OFN72" s="414"/>
      <c r="OFO72" s="414"/>
      <c r="OFP72" s="414"/>
      <c r="OFQ72" s="414"/>
      <c r="OFR72" s="414"/>
      <c r="OFS72" s="414"/>
      <c r="OFT72" s="414"/>
      <c r="OFU72" s="414"/>
      <c r="OFV72" s="414"/>
      <c r="OFW72" s="414"/>
      <c r="OFX72" s="414"/>
      <c r="OFY72" s="414"/>
      <c r="OFZ72" s="414"/>
      <c r="OGA72" s="414"/>
      <c r="OGB72" s="414"/>
      <c r="OGC72" s="414"/>
      <c r="OGD72" s="414"/>
      <c r="OGE72" s="414"/>
      <c r="OGF72" s="414"/>
      <c r="OGG72" s="414"/>
      <c r="OGH72" s="414"/>
      <c r="OGI72" s="414"/>
      <c r="OGJ72" s="414"/>
      <c r="OGK72" s="414"/>
      <c r="OGL72" s="414"/>
      <c r="OGM72" s="414"/>
      <c r="OGN72" s="414"/>
      <c r="OGO72" s="414"/>
      <c r="OGP72" s="414"/>
      <c r="OGQ72" s="414"/>
      <c r="OGR72" s="414"/>
      <c r="OGS72" s="414"/>
      <c r="OGT72" s="414"/>
      <c r="OGU72" s="414"/>
      <c r="OGV72" s="414"/>
      <c r="OGW72" s="414"/>
      <c r="OGX72" s="414"/>
      <c r="OGY72" s="414"/>
      <c r="OGZ72" s="414"/>
      <c r="OHA72" s="414"/>
      <c r="OHB72" s="414"/>
      <c r="OHC72" s="414"/>
      <c r="OHD72" s="414"/>
      <c r="OHE72" s="414"/>
      <c r="OHF72" s="414"/>
      <c r="OHG72" s="414"/>
      <c r="OHH72" s="414"/>
      <c r="OHI72" s="414"/>
      <c r="OHJ72" s="414"/>
      <c r="OHK72" s="414"/>
      <c r="OHL72" s="414"/>
      <c r="OHM72" s="414"/>
      <c r="OHN72" s="414"/>
      <c r="OHO72" s="414"/>
      <c r="OHP72" s="414"/>
      <c r="OHQ72" s="414"/>
      <c r="OHR72" s="414"/>
      <c r="OHS72" s="414"/>
      <c r="OHT72" s="414"/>
      <c r="OHU72" s="414"/>
      <c r="OHV72" s="414"/>
      <c r="OHW72" s="414"/>
      <c r="OHX72" s="414"/>
      <c r="OHY72" s="414"/>
      <c r="OHZ72" s="414"/>
      <c r="OIA72" s="414"/>
      <c r="OIB72" s="414"/>
      <c r="OIC72" s="414"/>
      <c r="OID72" s="414"/>
      <c r="OIE72" s="414"/>
      <c r="OIF72" s="414"/>
      <c r="OIG72" s="414"/>
      <c r="OIH72" s="414"/>
      <c r="OII72" s="414"/>
      <c r="OIJ72" s="414"/>
      <c r="OIK72" s="414"/>
      <c r="OIL72" s="414"/>
      <c r="OIM72" s="414"/>
      <c r="OIN72" s="414"/>
      <c r="OIO72" s="414"/>
      <c r="OIP72" s="414"/>
      <c r="OIQ72" s="414"/>
      <c r="OIR72" s="414"/>
      <c r="OIS72" s="414"/>
      <c r="OIT72" s="414"/>
      <c r="OIU72" s="414"/>
      <c r="OIV72" s="414"/>
      <c r="OIW72" s="414"/>
      <c r="OIX72" s="414"/>
      <c r="OIY72" s="414"/>
      <c r="OIZ72" s="414"/>
      <c r="OJA72" s="414"/>
      <c r="OJB72" s="414"/>
      <c r="OJC72" s="414"/>
      <c r="OJD72" s="414"/>
      <c r="OJE72" s="414"/>
      <c r="OJF72" s="414"/>
      <c r="OJG72" s="414"/>
      <c r="OJH72" s="414"/>
      <c r="OJI72" s="414"/>
      <c r="OJJ72" s="414"/>
      <c r="OJK72" s="414"/>
      <c r="OJL72" s="414"/>
      <c r="OJM72" s="414"/>
      <c r="OJN72" s="414"/>
      <c r="OJO72" s="414"/>
      <c r="OJP72" s="414"/>
      <c r="OJQ72" s="414"/>
      <c r="OJR72" s="414"/>
      <c r="OJS72" s="414"/>
      <c r="OJT72" s="414"/>
      <c r="OJU72" s="414"/>
      <c r="OJV72" s="414"/>
      <c r="OJW72" s="414"/>
      <c r="OJX72" s="414"/>
      <c r="OJY72" s="414"/>
      <c r="OJZ72" s="414"/>
      <c r="OKA72" s="414"/>
      <c r="OKB72" s="414"/>
      <c r="OKC72" s="414"/>
      <c r="OKD72" s="414"/>
      <c r="OKE72" s="414"/>
      <c r="OKF72" s="414"/>
      <c r="OKG72" s="414"/>
      <c r="OKH72" s="414"/>
      <c r="OKI72" s="414"/>
      <c r="OKJ72" s="414"/>
      <c r="OKK72" s="414"/>
      <c r="OKL72" s="414"/>
      <c r="OKM72" s="414"/>
      <c r="OKN72" s="414"/>
      <c r="OKO72" s="414"/>
      <c r="OKP72" s="414"/>
      <c r="OKQ72" s="414"/>
      <c r="OKR72" s="414"/>
      <c r="OKS72" s="414"/>
      <c r="OKT72" s="414"/>
      <c r="OKU72" s="414"/>
      <c r="OKV72" s="414"/>
      <c r="OKW72" s="414"/>
      <c r="OKX72" s="414"/>
      <c r="OKY72" s="414"/>
      <c r="OKZ72" s="414"/>
      <c r="OLA72" s="414"/>
      <c r="OLB72" s="414"/>
      <c r="OLC72" s="414"/>
      <c r="OLD72" s="414"/>
      <c r="OLE72" s="414"/>
      <c r="OLF72" s="414"/>
      <c r="OLG72" s="414"/>
      <c r="OLH72" s="414"/>
      <c r="OLI72" s="414"/>
      <c r="OLJ72" s="414"/>
      <c r="OLK72" s="414"/>
      <c r="OLL72" s="414"/>
      <c r="OLM72" s="414"/>
      <c r="OLN72" s="414"/>
      <c r="OLO72" s="414"/>
      <c r="OLP72" s="414"/>
      <c r="OLQ72" s="414"/>
      <c r="OLR72" s="414"/>
      <c r="OLS72" s="414"/>
      <c r="OLT72" s="414"/>
      <c r="OLU72" s="414"/>
      <c r="OLV72" s="414"/>
      <c r="OLW72" s="414"/>
      <c r="OLX72" s="414"/>
      <c r="OLY72" s="414"/>
      <c r="OLZ72" s="414"/>
      <c r="OMA72" s="414"/>
      <c r="OMB72" s="414"/>
      <c r="OMC72" s="414"/>
      <c r="OMD72" s="414"/>
      <c r="OME72" s="414"/>
      <c r="OMF72" s="414"/>
      <c r="OMG72" s="414"/>
      <c r="OMH72" s="414"/>
      <c r="OMI72" s="414"/>
      <c r="OMJ72" s="414"/>
      <c r="OMK72" s="414"/>
      <c r="OML72" s="414"/>
      <c r="OMM72" s="414"/>
      <c r="OMN72" s="414"/>
      <c r="OMO72" s="414"/>
      <c r="OMP72" s="414"/>
      <c r="OMQ72" s="414"/>
      <c r="OMR72" s="414"/>
      <c r="OMS72" s="414"/>
      <c r="OMT72" s="414"/>
      <c r="OMU72" s="414"/>
      <c r="OMV72" s="414"/>
      <c r="OMW72" s="414"/>
      <c r="OMX72" s="414"/>
      <c r="OMY72" s="414"/>
      <c r="OMZ72" s="414"/>
      <c r="ONA72" s="414"/>
      <c r="ONB72" s="414"/>
      <c r="ONC72" s="414"/>
      <c r="OND72" s="414"/>
      <c r="ONE72" s="414"/>
      <c r="ONF72" s="414"/>
      <c r="ONG72" s="414"/>
      <c r="ONH72" s="414"/>
      <c r="ONI72" s="414"/>
      <c r="ONJ72" s="414"/>
      <c r="ONK72" s="414"/>
      <c r="ONL72" s="414"/>
      <c r="ONM72" s="414"/>
      <c r="ONN72" s="414"/>
      <c r="ONO72" s="414"/>
      <c r="ONP72" s="414"/>
      <c r="ONQ72" s="414"/>
      <c r="ONR72" s="414"/>
      <c r="ONS72" s="414"/>
      <c r="ONT72" s="414"/>
      <c r="ONU72" s="414"/>
      <c r="ONV72" s="414"/>
      <c r="ONW72" s="414"/>
      <c r="ONX72" s="414"/>
      <c r="ONY72" s="414"/>
      <c r="ONZ72" s="414"/>
      <c r="OOA72" s="414"/>
      <c r="OOB72" s="414"/>
      <c r="OOC72" s="414"/>
      <c r="OOD72" s="414"/>
      <c r="OOE72" s="414"/>
      <c r="OOF72" s="414"/>
      <c r="OOG72" s="414"/>
      <c r="OOH72" s="414"/>
      <c r="OOI72" s="414"/>
      <c r="OOJ72" s="414"/>
      <c r="OOK72" s="414"/>
      <c r="OOL72" s="414"/>
      <c r="OOM72" s="414"/>
      <c r="OON72" s="414"/>
      <c r="OOO72" s="414"/>
      <c r="OOP72" s="414"/>
      <c r="OOQ72" s="414"/>
      <c r="OOR72" s="414"/>
      <c r="OOS72" s="414"/>
      <c r="OOT72" s="414"/>
      <c r="OOU72" s="414"/>
      <c r="OOV72" s="414"/>
      <c r="OOW72" s="414"/>
      <c r="OOX72" s="414"/>
      <c r="OOY72" s="414"/>
      <c r="OOZ72" s="414"/>
      <c r="OPA72" s="414"/>
      <c r="OPB72" s="414"/>
      <c r="OPC72" s="414"/>
      <c r="OPD72" s="414"/>
      <c r="OPE72" s="414"/>
      <c r="OPF72" s="414"/>
      <c r="OPG72" s="414"/>
      <c r="OPH72" s="414"/>
      <c r="OPI72" s="414"/>
      <c r="OPJ72" s="414"/>
      <c r="OPK72" s="414"/>
      <c r="OPL72" s="414"/>
      <c r="OPM72" s="414"/>
      <c r="OPN72" s="414"/>
      <c r="OPO72" s="414"/>
      <c r="OPP72" s="414"/>
      <c r="OPQ72" s="414"/>
      <c r="OPR72" s="414"/>
      <c r="OPS72" s="414"/>
      <c r="OPT72" s="414"/>
      <c r="OPU72" s="414"/>
      <c r="OPV72" s="414"/>
      <c r="OPW72" s="414"/>
      <c r="OPX72" s="414"/>
      <c r="OPY72" s="414"/>
      <c r="OPZ72" s="414"/>
      <c r="OQA72" s="414"/>
      <c r="OQB72" s="414"/>
      <c r="OQC72" s="414"/>
      <c r="OQD72" s="414"/>
      <c r="OQE72" s="414"/>
      <c r="OQF72" s="414"/>
      <c r="OQG72" s="414"/>
      <c r="OQH72" s="414"/>
      <c r="OQI72" s="414"/>
      <c r="OQJ72" s="414"/>
      <c r="OQK72" s="414"/>
      <c r="OQL72" s="414"/>
      <c r="OQM72" s="414"/>
      <c r="OQN72" s="414"/>
      <c r="OQO72" s="414"/>
      <c r="OQP72" s="414"/>
      <c r="OQQ72" s="414"/>
      <c r="OQR72" s="414"/>
      <c r="OQS72" s="414"/>
      <c r="OQT72" s="414"/>
      <c r="OQU72" s="414"/>
      <c r="OQV72" s="414"/>
      <c r="OQW72" s="414"/>
      <c r="OQX72" s="414"/>
      <c r="OQY72" s="414"/>
      <c r="OQZ72" s="414"/>
      <c r="ORA72" s="414"/>
      <c r="ORB72" s="414"/>
      <c r="ORC72" s="414"/>
      <c r="ORD72" s="414"/>
      <c r="ORE72" s="414"/>
      <c r="ORF72" s="414"/>
      <c r="ORG72" s="414"/>
      <c r="ORH72" s="414"/>
      <c r="ORI72" s="414"/>
      <c r="ORJ72" s="414"/>
      <c r="ORK72" s="414"/>
      <c r="ORL72" s="414"/>
      <c r="ORM72" s="414"/>
      <c r="ORN72" s="414"/>
      <c r="ORO72" s="414"/>
      <c r="ORP72" s="414"/>
      <c r="ORQ72" s="414"/>
      <c r="ORR72" s="414"/>
      <c r="ORS72" s="414"/>
      <c r="ORT72" s="414"/>
      <c r="ORU72" s="414"/>
      <c r="ORV72" s="414"/>
      <c r="ORW72" s="414"/>
      <c r="ORX72" s="414"/>
      <c r="ORY72" s="414"/>
      <c r="ORZ72" s="414"/>
      <c r="OSA72" s="414"/>
      <c r="OSB72" s="414"/>
      <c r="OSC72" s="414"/>
      <c r="OSD72" s="414"/>
      <c r="OSE72" s="414"/>
      <c r="OSF72" s="414"/>
      <c r="OSG72" s="414"/>
      <c r="OSH72" s="414"/>
      <c r="OSI72" s="414"/>
      <c r="OSJ72" s="414"/>
      <c r="OSK72" s="414"/>
      <c r="OSL72" s="414"/>
      <c r="OSM72" s="414"/>
      <c r="OSN72" s="414"/>
      <c r="OSO72" s="414"/>
      <c r="OSP72" s="414"/>
      <c r="OSQ72" s="414"/>
      <c r="OSR72" s="414"/>
      <c r="OSS72" s="414"/>
      <c r="OST72" s="414"/>
      <c r="OSU72" s="414"/>
      <c r="OSV72" s="414"/>
      <c r="OSW72" s="414"/>
      <c r="OSX72" s="414"/>
      <c r="OSY72" s="414"/>
      <c r="OSZ72" s="414"/>
      <c r="OTA72" s="414"/>
      <c r="OTB72" s="414"/>
      <c r="OTC72" s="414"/>
      <c r="OTD72" s="414"/>
      <c r="OTE72" s="414"/>
      <c r="OTF72" s="414"/>
      <c r="OTG72" s="414"/>
      <c r="OTH72" s="414"/>
      <c r="OTI72" s="414"/>
      <c r="OTJ72" s="414"/>
      <c r="OTK72" s="414"/>
      <c r="OTL72" s="414"/>
      <c r="OTM72" s="414"/>
      <c r="OTN72" s="414"/>
      <c r="OTO72" s="414"/>
      <c r="OTP72" s="414"/>
      <c r="OTQ72" s="414"/>
      <c r="OTR72" s="414"/>
      <c r="OTS72" s="414"/>
      <c r="OTT72" s="414"/>
      <c r="OTU72" s="414"/>
      <c r="OTV72" s="414"/>
      <c r="OTW72" s="414"/>
      <c r="OTX72" s="414"/>
      <c r="OTY72" s="414"/>
      <c r="OTZ72" s="414"/>
      <c r="OUA72" s="414"/>
      <c r="OUB72" s="414"/>
      <c r="OUC72" s="414"/>
      <c r="OUD72" s="414"/>
      <c r="OUE72" s="414"/>
      <c r="OUF72" s="414"/>
      <c r="OUG72" s="414"/>
      <c r="OUH72" s="414"/>
      <c r="OUI72" s="414"/>
      <c r="OUJ72" s="414"/>
      <c r="OUK72" s="414"/>
      <c r="OUL72" s="414"/>
      <c r="OUM72" s="414"/>
      <c r="OUN72" s="414"/>
      <c r="OUO72" s="414"/>
      <c r="OUP72" s="414"/>
      <c r="OUQ72" s="414"/>
      <c r="OUR72" s="414"/>
      <c r="OUS72" s="414"/>
      <c r="OUT72" s="414"/>
      <c r="OUU72" s="414"/>
      <c r="OUV72" s="414"/>
      <c r="OUW72" s="414"/>
      <c r="OUX72" s="414"/>
      <c r="OUY72" s="414"/>
      <c r="OUZ72" s="414"/>
      <c r="OVA72" s="414"/>
      <c r="OVB72" s="414"/>
      <c r="OVC72" s="414"/>
      <c r="OVD72" s="414"/>
      <c r="OVE72" s="414"/>
      <c r="OVF72" s="414"/>
      <c r="OVG72" s="414"/>
      <c r="OVH72" s="414"/>
      <c r="OVI72" s="414"/>
      <c r="OVJ72" s="414"/>
      <c r="OVK72" s="414"/>
      <c r="OVL72" s="414"/>
      <c r="OVM72" s="414"/>
      <c r="OVN72" s="414"/>
      <c r="OVO72" s="414"/>
      <c r="OVP72" s="414"/>
      <c r="OVQ72" s="414"/>
      <c r="OVR72" s="414"/>
      <c r="OVS72" s="414"/>
      <c r="OVT72" s="414"/>
      <c r="OVU72" s="414"/>
      <c r="OVV72" s="414"/>
      <c r="OVW72" s="414"/>
      <c r="OVX72" s="414"/>
      <c r="OVY72" s="414"/>
      <c r="OVZ72" s="414"/>
      <c r="OWA72" s="414"/>
      <c r="OWB72" s="414"/>
      <c r="OWC72" s="414"/>
      <c r="OWD72" s="414"/>
      <c r="OWE72" s="414"/>
      <c r="OWF72" s="414"/>
      <c r="OWG72" s="414"/>
      <c r="OWH72" s="414"/>
      <c r="OWI72" s="414"/>
      <c r="OWJ72" s="414"/>
      <c r="OWK72" s="414"/>
      <c r="OWL72" s="414"/>
      <c r="OWM72" s="414"/>
      <c r="OWN72" s="414"/>
      <c r="OWO72" s="414"/>
      <c r="OWP72" s="414"/>
      <c r="OWQ72" s="414"/>
      <c r="OWR72" s="414"/>
      <c r="OWS72" s="414"/>
      <c r="OWT72" s="414"/>
      <c r="OWU72" s="414"/>
      <c r="OWV72" s="414"/>
      <c r="OWW72" s="414"/>
      <c r="OWX72" s="414"/>
      <c r="OWY72" s="414"/>
      <c r="OWZ72" s="414"/>
      <c r="OXA72" s="414"/>
      <c r="OXB72" s="414"/>
      <c r="OXC72" s="414"/>
      <c r="OXD72" s="414"/>
      <c r="OXE72" s="414"/>
      <c r="OXF72" s="414"/>
      <c r="OXG72" s="414"/>
      <c r="OXH72" s="414"/>
      <c r="OXI72" s="414"/>
      <c r="OXJ72" s="414"/>
      <c r="OXK72" s="414"/>
      <c r="OXL72" s="414"/>
      <c r="OXM72" s="414"/>
      <c r="OXN72" s="414"/>
      <c r="OXO72" s="414"/>
      <c r="OXP72" s="414"/>
      <c r="OXQ72" s="414"/>
      <c r="OXR72" s="414"/>
      <c r="OXS72" s="414"/>
      <c r="OXT72" s="414"/>
      <c r="OXU72" s="414"/>
      <c r="OXV72" s="414"/>
      <c r="OXW72" s="414"/>
      <c r="OXX72" s="414"/>
      <c r="OXY72" s="414"/>
      <c r="OXZ72" s="414"/>
      <c r="OYA72" s="414"/>
      <c r="OYB72" s="414"/>
      <c r="OYC72" s="414"/>
      <c r="OYD72" s="414"/>
      <c r="OYE72" s="414"/>
      <c r="OYF72" s="414"/>
      <c r="OYG72" s="414"/>
      <c r="OYH72" s="414"/>
      <c r="OYI72" s="414"/>
      <c r="OYJ72" s="414"/>
      <c r="OYK72" s="414"/>
      <c r="OYL72" s="414"/>
      <c r="OYM72" s="414"/>
      <c r="OYN72" s="414"/>
      <c r="OYO72" s="414"/>
      <c r="OYP72" s="414"/>
      <c r="OYQ72" s="414"/>
      <c r="OYR72" s="414"/>
      <c r="OYS72" s="414"/>
      <c r="OYT72" s="414"/>
      <c r="OYU72" s="414"/>
      <c r="OYV72" s="414"/>
      <c r="OYW72" s="414"/>
      <c r="OYX72" s="414"/>
      <c r="OYY72" s="414"/>
      <c r="OYZ72" s="414"/>
      <c r="OZA72" s="414"/>
      <c r="OZB72" s="414"/>
      <c r="OZC72" s="414"/>
      <c r="OZD72" s="414"/>
      <c r="OZE72" s="414"/>
      <c r="OZF72" s="414"/>
      <c r="OZG72" s="414"/>
      <c r="OZH72" s="414"/>
      <c r="OZI72" s="414"/>
      <c r="OZJ72" s="414"/>
      <c r="OZK72" s="414"/>
      <c r="OZL72" s="414"/>
      <c r="OZM72" s="414"/>
      <c r="OZN72" s="414"/>
      <c r="OZO72" s="414"/>
      <c r="OZP72" s="414"/>
      <c r="OZQ72" s="414"/>
      <c r="OZR72" s="414"/>
      <c r="OZS72" s="414"/>
      <c r="OZT72" s="414"/>
      <c r="OZU72" s="414"/>
      <c r="OZV72" s="414"/>
      <c r="OZW72" s="414"/>
      <c r="OZX72" s="414"/>
      <c r="OZY72" s="414"/>
      <c r="OZZ72" s="414"/>
      <c r="PAA72" s="414"/>
      <c r="PAB72" s="414"/>
      <c r="PAC72" s="414"/>
      <c r="PAD72" s="414"/>
      <c r="PAE72" s="414"/>
      <c r="PAF72" s="414"/>
      <c r="PAG72" s="414"/>
      <c r="PAH72" s="414"/>
      <c r="PAI72" s="414"/>
      <c r="PAJ72" s="414"/>
      <c r="PAK72" s="414"/>
      <c r="PAL72" s="414"/>
      <c r="PAM72" s="414"/>
      <c r="PAN72" s="414"/>
      <c r="PAO72" s="414"/>
      <c r="PAP72" s="414"/>
      <c r="PAQ72" s="414"/>
      <c r="PAR72" s="414"/>
      <c r="PAS72" s="414"/>
      <c r="PAT72" s="414"/>
      <c r="PAU72" s="414"/>
      <c r="PAV72" s="414"/>
      <c r="PAW72" s="414"/>
      <c r="PAX72" s="414"/>
      <c r="PAY72" s="414"/>
      <c r="PAZ72" s="414"/>
      <c r="PBA72" s="414"/>
      <c r="PBB72" s="414"/>
      <c r="PBC72" s="414"/>
      <c r="PBD72" s="414"/>
      <c r="PBE72" s="414"/>
      <c r="PBF72" s="414"/>
      <c r="PBG72" s="414"/>
      <c r="PBH72" s="414"/>
      <c r="PBI72" s="414"/>
      <c r="PBJ72" s="414"/>
      <c r="PBK72" s="414"/>
      <c r="PBL72" s="414"/>
      <c r="PBM72" s="414"/>
      <c r="PBN72" s="414"/>
      <c r="PBO72" s="414"/>
      <c r="PBP72" s="414"/>
      <c r="PBQ72" s="414"/>
      <c r="PBR72" s="414"/>
      <c r="PBS72" s="414"/>
      <c r="PBT72" s="414"/>
      <c r="PBU72" s="414"/>
      <c r="PBV72" s="414"/>
      <c r="PBW72" s="414"/>
      <c r="PBX72" s="414"/>
      <c r="PBY72" s="414"/>
      <c r="PBZ72" s="414"/>
      <c r="PCA72" s="414"/>
      <c r="PCB72" s="414"/>
      <c r="PCC72" s="414"/>
      <c r="PCD72" s="414"/>
      <c r="PCE72" s="414"/>
      <c r="PCF72" s="414"/>
      <c r="PCG72" s="414"/>
      <c r="PCH72" s="414"/>
      <c r="PCI72" s="414"/>
      <c r="PCJ72" s="414"/>
      <c r="PCK72" s="414"/>
      <c r="PCL72" s="414"/>
      <c r="PCM72" s="414"/>
      <c r="PCN72" s="414"/>
      <c r="PCO72" s="414"/>
      <c r="PCP72" s="414"/>
      <c r="PCQ72" s="414"/>
      <c r="PCR72" s="414"/>
      <c r="PCS72" s="414"/>
      <c r="PCT72" s="414"/>
      <c r="PCU72" s="414"/>
      <c r="PCV72" s="414"/>
      <c r="PCW72" s="414"/>
      <c r="PCX72" s="414"/>
      <c r="PCY72" s="414"/>
      <c r="PCZ72" s="414"/>
      <c r="PDA72" s="414"/>
      <c r="PDB72" s="414"/>
      <c r="PDC72" s="414"/>
      <c r="PDD72" s="414"/>
      <c r="PDE72" s="414"/>
      <c r="PDF72" s="414"/>
      <c r="PDG72" s="414"/>
      <c r="PDH72" s="414"/>
      <c r="PDI72" s="414"/>
      <c r="PDJ72" s="414"/>
      <c r="PDK72" s="414"/>
      <c r="PDL72" s="414"/>
      <c r="PDM72" s="414"/>
      <c r="PDN72" s="414"/>
      <c r="PDO72" s="414"/>
      <c r="PDP72" s="414"/>
      <c r="PDQ72" s="414"/>
      <c r="PDR72" s="414"/>
      <c r="PDS72" s="414"/>
      <c r="PDT72" s="414"/>
      <c r="PDU72" s="414"/>
      <c r="PDV72" s="414"/>
      <c r="PDW72" s="414"/>
      <c r="PDX72" s="414"/>
      <c r="PDY72" s="414"/>
      <c r="PDZ72" s="414"/>
      <c r="PEA72" s="414"/>
      <c r="PEB72" s="414"/>
      <c r="PEC72" s="414"/>
      <c r="PED72" s="414"/>
      <c r="PEE72" s="414"/>
      <c r="PEF72" s="414"/>
      <c r="PEG72" s="414"/>
      <c r="PEH72" s="414"/>
      <c r="PEI72" s="414"/>
      <c r="PEJ72" s="414"/>
      <c r="PEK72" s="414"/>
      <c r="PEL72" s="414"/>
      <c r="PEM72" s="414"/>
      <c r="PEN72" s="414"/>
      <c r="PEO72" s="414"/>
      <c r="PEP72" s="414"/>
      <c r="PEQ72" s="414"/>
      <c r="PER72" s="414"/>
      <c r="PES72" s="414"/>
      <c r="PET72" s="414"/>
      <c r="PEU72" s="414"/>
      <c r="PEV72" s="414"/>
      <c r="PEW72" s="414"/>
      <c r="PEX72" s="414"/>
      <c r="PEY72" s="414"/>
      <c r="PEZ72" s="414"/>
      <c r="PFA72" s="414"/>
      <c r="PFB72" s="414"/>
      <c r="PFC72" s="414"/>
      <c r="PFD72" s="414"/>
      <c r="PFE72" s="414"/>
      <c r="PFF72" s="414"/>
      <c r="PFG72" s="414"/>
      <c r="PFH72" s="414"/>
      <c r="PFI72" s="414"/>
      <c r="PFJ72" s="414"/>
      <c r="PFK72" s="414"/>
      <c r="PFL72" s="414"/>
      <c r="PFM72" s="414"/>
      <c r="PFN72" s="414"/>
      <c r="PFO72" s="414"/>
      <c r="PFP72" s="414"/>
      <c r="PFQ72" s="414"/>
      <c r="PFR72" s="414"/>
      <c r="PFS72" s="414"/>
      <c r="PFT72" s="414"/>
      <c r="PFU72" s="414"/>
      <c r="PFV72" s="414"/>
      <c r="PFW72" s="414"/>
      <c r="PFX72" s="414"/>
      <c r="PFY72" s="414"/>
      <c r="PFZ72" s="414"/>
      <c r="PGA72" s="414"/>
      <c r="PGB72" s="414"/>
      <c r="PGC72" s="414"/>
      <c r="PGD72" s="414"/>
      <c r="PGE72" s="414"/>
      <c r="PGF72" s="414"/>
      <c r="PGG72" s="414"/>
      <c r="PGH72" s="414"/>
      <c r="PGI72" s="414"/>
      <c r="PGJ72" s="414"/>
      <c r="PGK72" s="414"/>
      <c r="PGL72" s="414"/>
      <c r="PGM72" s="414"/>
      <c r="PGN72" s="414"/>
      <c r="PGO72" s="414"/>
      <c r="PGP72" s="414"/>
      <c r="PGQ72" s="414"/>
      <c r="PGR72" s="414"/>
      <c r="PGS72" s="414"/>
      <c r="PGT72" s="414"/>
      <c r="PGU72" s="414"/>
      <c r="PGV72" s="414"/>
      <c r="PGW72" s="414"/>
      <c r="PGX72" s="414"/>
      <c r="PGY72" s="414"/>
      <c r="PGZ72" s="414"/>
      <c r="PHA72" s="414"/>
      <c r="PHB72" s="414"/>
      <c r="PHC72" s="414"/>
      <c r="PHD72" s="414"/>
      <c r="PHE72" s="414"/>
      <c r="PHF72" s="414"/>
      <c r="PHG72" s="414"/>
      <c r="PHH72" s="414"/>
      <c r="PHI72" s="414"/>
      <c r="PHJ72" s="414"/>
      <c r="PHK72" s="414"/>
      <c r="PHL72" s="414"/>
      <c r="PHM72" s="414"/>
      <c r="PHN72" s="414"/>
      <c r="PHO72" s="414"/>
      <c r="PHP72" s="414"/>
      <c r="PHQ72" s="414"/>
      <c r="PHR72" s="414"/>
      <c r="PHS72" s="414"/>
      <c r="PHT72" s="414"/>
      <c r="PHU72" s="414"/>
      <c r="PHV72" s="414"/>
      <c r="PHW72" s="414"/>
      <c r="PHX72" s="414"/>
      <c r="PHY72" s="414"/>
      <c r="PHZ72" s="414"/>
      <c r="PIA72" s="414"/>
      <c r="PIB72" s="414"/>
      <c r="PIC72" s="414"/>
      <c r="PID72" s="414"/>
      <c r="PIE72" s="414"/>
      <c r="PIF72" s="414"/>
      <c r="PIG72" s="414"/>
      <c r="PIH72" s="414"/>
      <c r="PII72" s="414"/>
      <c r="PIJ72" s="414"/>
      <c r="PIK72" s="414"/>
      <c r="PIL72" s="414"/>
      <c r="PIM72" s="414"/>
      <c r="PIN72" s="414"/>
      <c r="PIO72" s="414"/>
      <c r="PIP72" s="414"/>
      <c r="PIQ72" s="414"/>
      <c r="PIR72" s="414"/>
      <c r="PIS72" s="414"/>
      <c r="PIT72" s="414"/>
      <c r="PIU72" s="414"/>
      <c r="PIV72" s="414"/>
      <c r="PIW72" s="414"/>
      <c r="PIX72" s="414"/>
      <c r="PIY72" s="414"/>
      <c r="PIZ72" s="414"/>
      <c r="PJA72" s="414"/>
      <c r="PJB72" s="414"/>
      <c r="PJC72" s="414"/>
      <c r="PJD72" s="414"/>
      <c r="PJE72" s="414"/>
      <c r="PJF72" s="414"/>
      <c r="PJG72" s="414"/>
      <c r="PJH72" s="414"/>
      <c r="PJI72" s="414"/>
      <c r="PJJ72" s="414"/>
      <c r="PJK72" s="414"/>
      <c r="PJL72" s="414"/>
      <c r="PJM72" s="414"/>
      <c r="PJN72" s="414"/>
      <c r="PJO72" s="414"/>
      <c r="PJP72" s="414"/>
      <c r="PJQ72" s="414"/>
      <c r="PJR72" s="414"/>
      <c r="PJS72" s="414"/>
      <c r="PJT72" s="414"/>
      <c r="PJU72" s="414"/>
      <c r="PJV72" s="414"/>
      <c r="PJW72" s="414"/>
      <c r="PJX72" s="414"/>
      <c r="PJY72" s="414"/>
      <c r="PJZ72" s="414"/>
      <c r="PKA72" s="414"/>
      <c r="PKB72" s="414"/>
      <c r="PKC72" s="414"/>
      <c r="PKD72" s="414"/>
      <c r="PKE72" s="414"/>
      <c r="PKF72" s="414"/>
      <c r="PKG72" s="414"/>
      <c r="PKH72" s="414"/>
      <c r="PKI72" s="414"/>
      <c r="PKJ72" s="414"/>
      <c r="PKK72" s="414"/>
      <c r="PKL72" s="414"/>
      <c r="PKM72" s="414"/>
      <c r="PKN72" s="414"/>
      <c r="PKO72" s="414"/>
      <c r="PKP72" s="414"/>
      <c r="PKQ72" s="414"/>
      <c r="PKR72" s="414"/>
      <c r="PKS72" s="414"/>
      <c r="PKT72" s="414"/>
      <c r="PKU72" s="414"/>
      <c r="PKV72" s="414"/>
      <c r="PKW72" s="414"/>
      <c r="PKX72" s="414"/>
      <c r="PKY72" s="414"/>
      <c r="PKZ72" s="414"/>
      <c r="PLA72" s="414"/>
      <c r="PLB72" s="414"/>
      <c r="PLC72" s="414"/>
      <c r="PLD72" s="414"/>
      <c r="PLE72" s="414"/>
      <c r="PLF72" s="414"/>
      <c r="PLG72" s="414"/>
      <c r="PLH72" s="414"/>
      <c r="PLI72" s="414"/>
      <c r="PLJ72" s="414"/>
      <c r="PLK72" s="414"/>
      <c r="PLL72" s="414"/>
      <c r="PLM72" s="414"/>
      <c r="PLN72" s="414"/>
      <c r="PLO72" s="414"/>
      <c r="PLP72" s="414"/>
      <c r="PLQ72" s="414"/>
      <c r="PLR72" s="414"/>
      <c r="PLS72" s="414"/>
      <c r="PLT72" s="414"/>
      <c r="PLU72" s="414"/>
      <c r="PLV72" s="414"/>
      <c r="PLW72" s="414"/>
      <c r="PLX72" s="414"/>
      <c r="PLY72" s="414"/>
      <c r="PLZ72" s="414"/>
      <c r="PMA72" s="414"/>
      <c r="PMB72" s="414"/>
      <c r="PMC72" s="414"/>
      <c r="PMD72" s="414"/>
      <c r="PME72" s="414"/>
      <c r="PMF72" s="414"/>
      <c r="PMG72" s="414"/>
      <c r="PMH72" s="414"/>
      <c r="PMI72" s="414"/>
      <c r="PMJ72" s="414"/>
      <c r="PMK72" s="414"/>
      <c r="PML72" s="414"/>
      <c r="PMM72" s="414"/>
      <c r="PMN72" s="414"/>
      <c r="PMO72" s="414"/>
      <c r="PMP72" s="414"/>
      <c r="PMQ72" s="414"/>
      <c r="PMR72" s="414"/>
      <c r="PMS72" s="414"/>
      <c r="PMT72" s="414"/>
      <c r="PMU72" s="414"/>
      <c r="PMV72" s="414"/>
      <c r="PMW72" s="414"/>
      <c r="PMX72" s="414"/>
      <c r="PMY72" s="414"/>
      <c r="PMZ72" s="414"/>
      <c r="PNA72" s="414"/>
      <c r="PNB72" s="414"/>
      <c r="PNC72" s="414"/>
      <c r="PND72" s="414"/>
      <c r="PNE72" s="414"/>
      <c r="PNF72" s="414"/>
      <c r="PNG72" s="414"/>
      <c r="PNH72" s="414"/>
      <c r="PNI72" s="414"/>
      <c r="PNJ72" s="414"/>
      <c r="PNK72" s="414"/>
      <c r="PNL72" s="414"/>
      <c r="PNM72" s="414"/>
      <c r="PNN72" s="414"/>
      <c r="PNO72" s="414"/>
      <c r="PNP72" s="414"/>
      <c r="PNQ72" s="414"/>
      <c r="PNR72" s="414"/>
      <c r="PNS72" s="414"/>
      <c r="PNT72" s="414"/>
      <c r="PNU72" s="414"/>
      <c r="PNV72" s="414"/>
      <c r="PNW72" s="414"/>
      <c r="PNX72" s="414"/>
      <c r="PNY72" s="414"/>
      <c r="PNZ72" s="414"/>
      <c r="POA72" s="414"/>
      <c r="POB72" s="414"/>
      <c r="POC72" s="414"/>
      <c r="POD72" s="414"/>
      <c r="POE72" s="414"/>
      <c r="POF72" s="414"/>
      <c r="POG72" s="414"/>
      <c r="POH72" s="414"/>
      <c r="POI72" s="414"/>
      <c r="POJ72" s="414"/>
      <c r="POK72" s="414"/>
      <c r="POL72" s="414"/>
      <c r="POM72" s="414"/>
      <c r="PON72" s="414"/>
      <c r="POO72" s="414"/>
      <c r="POP72" s="414"/>
      <c r="POQ72" s="414"/>
      <c r="POR72" s="414"/>
      <c r="POS72" s="414"/>
      <c r="POT72" s="414"/>
      <c r="POU72" s="414"/>
      <c r="POV72" s="414"/>
      <c r="POW72" s="414"/>
      <c r="POX72" s="414"/>
      <c r="POY72" s="414"/>
      <c r="POZ72" s="414"/>
      <c r="PPA72" s="414"/>
      <c r="PPB72" s="414"/>
      <c r="PPC72" s="414"/>
      <c r="PPD72" s="414"/>
      <c r="PPE72" s="414"/>
      <c r="PPF72" s="414"/>
      <c r="PPG72" s="414"/>
      <c r="PPH72" s="414"/>
      <c r="PPI72" s="414"/>
      <c r="PPJ72" s="414"/>
      <c r="PPK72" s="414"/>
      <c r="PPL72" s="414"/>
      <c r="PPM72" s="414"/>
      <c r="PPN72" s="414"/>
      <c r="PPO72" s="414"/>
      <c r="PPP72" s="414"/>
      <c r="PPQ72" s="414"/>
      <c r="PPR72" s="414"/>
      <c r="PPS72" s="414"/>
      <c r="PPT72" s="414"/>
      <c r="PPU72" s="414"/>
      <c r="PPV72" s="414"/>
      <c r="PPW72" s="414"/>
      <c r="PPX72" s="414"/>
      <c r="PPY72" s="414"/>
      <c r="PPZ72" s="414"/>
      <c r="PQA72" s="414"/>
      <c r="PQB72" s="414"/>
      <c r="PQC72" s="414"/>
      <c r="PQD72" s="414"/>
      <c r="PQE72" s="414"/>
      <c r="PQF72" s="414"/>
      <c r="PQG72" s="414"/>
      <c r="PQH72" s="414"/>
      <c r="PQI72" s="414"/>
      <c r="PQJ72" s="414"/>
      <c r="PQK72" s="414"/>
      <c r="PQL72" s="414"/>
      <c r="PQM72" s="414"/>
      <c r="PQN72" s="414"/>
      <c r="PQO72" s="414"/>
      <c r="PQP72" s="414"/>
      <c r="PQQ72" s="414"/>
      <c r="PQR72" s="414"/>
      <c r="PQS72" s="414"/>
      <c r="PQT72" s="414"/>
      <c r="PQU72" s="414"/>
      <c r="PQV72" s="414"/>
      <c r="PQW72" s="414"/>
      <c r="PQX72" s="414"/>
      <c r="PQY72" s="414"/>
      <c r="PQZ72" s="414"/>
      <c r="PRA72" s="414"/>
      <c r="PRB72" s="414"/>
      <c r="PRC72" s="414"/>
      <c r="PRD72" s="414"/>
      <c r="PRE72" s="414"/>
      <c r="PRF72" s="414"/>
      <c r="PRG72" s="414"/>
      <c r="PRH72" s="414"/>
      <c r="PRI72" s="414"/>
      <c r="PRJ72" s="414"/>
      <c r="PRK72" s="414"/>
      <c r="PRL72" s="414"/>
      <c r="PRM72" s="414"/>
      <c r="PRN72" s="414"/>
      <c r="PRO72" s="414"/>
      <c r="PRP72" s="414"/>
      <c r="PRQ72" s="414"/>
      <c r="PRR72" s="414"/>
      <c r="PRS72" s="414"/>
      <c r="PRT72" s="414"/>
      <c r="PRU72" s="414"/>
      <c r="PRV72" s="414"/>
      <c r="PRW72" s="414"/>
      <c r="PRX72" s="414"/>
      <c r="PRY72" s="414"/>
      <c r="PRZ72" s="414"/>
      <c r="PSA72" s="414"/>
      <c r="PSB72" s="414"/>
      <c r="PSC72" s="414"/>
      <c r="PSD72" s="414"/>
      <c r="PSE72" s="414"/>
      <c r="PSF72" s="414"/>
      <c r="PSG72" s="414"/>
      <c r="PSH72" s="414"/>
      <c r="PSI72" s="414"/>
      <c r="PSJ72" s="414"/>
      <c r="PSK72" s="414"/>
      <c r="PSL72" s="414"/>
      <c r="PSM72" s="414"/>
      <c r="PSN72" s="414"/>
      <c r="PSO72" s="414"/>
      <c r="PSP72" s="414"/>
      <c r="PSQ72" s="414"/>
      <c r="PSR72" s="414"/>
      <c r="PSS72" s="414"/>
      <c r="PST72" s="414"/>
      <c r="PSU72" s="414"/>
      <c r="PSV72" s="414"/>
      <c r="PSW72" s="414"/>
      <c r="PSX72" s="414"/>
      <c r="PSY72" s="414"/>
      <c r="PSZ72" s="414"/>
      <c r="PTA72" s="414"/>
      <c r="PTB72" s="414"/>
      <c r="PTC72" s="414"/>
      <c r="PTD72" s="414"/>
      <c r="PTE72" s="414"/>
      <c r="PTF72" s="414"/>
      <c r="PTG72" s="414"/>
      <c r="PTH72" s="414"/>
      <c r="PTI72" s="414"/>
      <c r="PTJ72" s="414"/>
      <c r="PTK72" s="414"/>
      <c r="PTL72" s="414"/>
      <c r="PTM72" s="414"/>
      <c r="PTN72" s="414"/>
      <c r="PTO72" s="414"/>
      <c r="PTP72" s="414"/>
      <c r="PTQ72" s="414"/>
      <c r="PTR72" s="414"/>
      <c r="PTS72" s="414"/>
      <c r="PTT72" s="414"/>
      <c r="PTU72" s="414"/>
      <c r="PTV72" s="414"/>
      <c r="PTW72" s="414"/>
      <c r="PTX72" s="414"/>
      <c r="PTY72" s="414"/>
      <c r="PTZ72" s="414"/>
      <c r="PUA72" s="414"/>
      <c r="PUB72" s="414"/>
      <c r="PUC72" s="414"/>
      <c r="PUD72" s="414"/>
      <c r="PUE72" s="414"/>
      <c r="PUF72" s="414"/>
      <c r="PUG72" s="414"/>
      <c r="PUH72" s="414"/>
      <c r="PUI72" s="414"/>
      <c r="PUJ72" s="414"/>
      <c r="PUK72" s="414"/>
      <c r="PUL72" s="414"/>
      <c r="PUM72" s="414"/>
      <c r="PUN72" s="414"/>
      <c r="PUO72" s="414"/>
      <c r="PUP72" s="414"/>
      <c r="PUQ72" s="414"/>
      <c r="PUR72" s="414"/>
      <c r="PUS72" s="414"/>
      <c r="PUT72" s="414"/>
      <c r="PUU72" s="414"/>
      <c r="PUV72" s="414"/>
      <c r="PUW72" s="414"/>
      <c r="PUX72" s="414"/>
      <c r="PUY72" s="414"/>
      <c r="PUZ72" s="414"/>
      <c r="PVA72" s="414"/>
      <c r="PVB72" s="414"/>
      <c r="PVC72" s="414"/>
      <c r="PVD72" s="414"/>
      <c r="PVE72" s="414"/>
      <c r="PVF72" s="414"/>
      <c r="PVG72" s="414"/>
      <c r="PVH72" s="414"/>
      <c r="PVI72" s="414"/>
      <c r="PVJ72" s="414"/>
      <c r="PVK72" s="414"/>
      <c r="PVL72" s="414"/>
      <c r="PVM72" s="414"/>
      <c r="PVN72" s="414"/>
      <c r="PVO72" s="414"/>
      <c r="PVP72" s="414"/>
      <c r="PVQ72" s="414"/>
      <c r="PVR72" s="414"/>
      <c r="PVS72" s="414"/>
      <c r="PVT72" s="414"/>
      <c r="PVU72" s="414"/>
      <c r="PVV72" s="414"/>
      <c r="PVW72" s="414"/>
      <c r="PVX72" s="414"/>
      <c r="PVY72" s="414"/>
      <c r="PVZ72" s="414"/>
      <c r="PWA72" s="414"/>
      <c r="PWB72" s="414"/>
      <c r="PWC72" s="414"/>
      <c r="PWD72" s="414"/>
      <c r="PWE72" s="414"/>
      <c r="PWF72" s="414"/>
      <c r="PWG72" s="414"/>
      <c r="PWH72" s="414"/>
      <c r="PWI72" s="414"/>
      <c r="PWJ72" s="414"/>
      <c r="PWK72" s="414"/>
      <c r="PWL72" s="414"/>
      <c r="PWM72" s="414"/>
      <c r="PWN72" s="414"/>
      <c r="PWO72" s="414"/>
      <c r="PWP72" s="414"/>
      <c r="PWQ72" s="414"/>
      <c r="PWR72" s="414"/>
      <c r="PWS72" s="414"/>
      <c r="PWT72" s="414"/>
      <c r="PWU72" s="414"/>
      <c r="PWV72" s="414"/>
      <c r="PWW72" s="414"/>
      <c r="PWX72" s="414"/>
      <c r="PWY72" s="414"/>
      <c r="PWZ72" s="414"/>
      <c r="PXA72" s="414"/>
      <c r="PXB72" s="414"/>
      <c r="PXC72" s="414"/>
      <c r="PXD72" s="414"/>
      <c r="PXE72" s="414"/>
      <c r="PXF72" s="414"/>
      <c r="PXG72" s="414"/>
      <c r="PXH72" s="414"/>
      <c r="PXI72" s="414"/>
      <c r="PXJ72" s="414"/>
      <c r="PXK72" s="414"/>
      <c r="PXL72" s="414"/>
      <c r="PXM72" s="414"/>
      <c r="PXN72" s="414"/>
      <c r="PXO72" s="414"/>
      <c r="PXP72" s="414"/>
      <c r="PXQ72" s="414"/>
      <c r="PXR72" s="414"/>
      <c r="PXS72" s="414"/>
      <c r="PXT72" s="414"/>
      <c r="PXU72" s="414"/>
      <c r="PXV72" s="414"/>
      <c r="PXW72" s="414"/>
      <c r="PXX72" s="414"/>
      <c r="PXY72" s="414"/>
      <c r="PXZ72" s="414"/>
      <c r="PYA72" s="414"/>
      <c r="PYB72" s="414"/>
      <c r="PYC72" s="414"/>
      <c r="PYD72" s="414"/>
      <c r="PYE72" s="414"/>
      <c r="PYF72" s="414"/>
      <c r="PYG72" s="414"/>
      <c r="PYH72" s="414"/>
      <c r="PYI72" s="414"/>
      <c r="PYJ72" s="414"/>
      <c r="PYK72" s="414"/>
      <c r="PYL72" s="414"/>
      <c r="PYM72" s="414"/>
      <c r="PYN72" s="414"/>
      <c r="PYO72" s="414"/>
      <c r="PYP72" s="414"/>
      <c r="PYQ72" s="414"/>
      <c r="PYR72" s="414"/>
      <c r="PYS72" s="414"/>
      <c r="PYT72" s="414"/>
      <c r="PYU72" s="414"/>
      <c r="PYV72" s="414"/>
      <c r="PYW72" s="414"/>
      <c r="PYX72" s="414"/>
      <c r="PYY72" s="414"/>
      <c r="PYZ72" s="414"/>
      <c r="PZA72" s="414"/>
      <c r="PZB72" s="414"/>
      <c r="PZC72" s="414"/>
      <c r="PZD72" s="414"/>
      <c r="PZE72" s="414"/>
      <c r="PZF72" s="414"/>
      <c r="PZG72" s="414"/>
      <c r="PZH72" s="414"/>
      <c r="PZI72" s="414"/>
      <c r="PZJ72" s="414"/>
      <c r="PZK72" s="414"/>
      <c r="PZL72" s="414"/>
      <c r="PZM72" s="414"/>
      <c r="PZN72" s="414"/>
      <c r="PZO72" s="414"/>
      <c r="PZP72" s="414"/>
      <c r="PZQ72" s="414"/>
      <c r="PZR72" s="414"/>
      <c r="PZS72" s="414"/>
      <c r="PZT72" s="414"/>
      <c r="PZU72" s="414"/>
      <c r="PZV72" s="414"/>
      <c r="PZW72" s="414"/>
      <c r="PZX72" s="414"/>
      <c r="PZY72" s="414"/>
      <c r="PZZ72" s="414"/>
      <c r="QAA72" s="414"/>
      <c r="QAB72" s="414"/>
      <c r="QAC72" s="414"/>
      <c r="QAD72" s="414"/>
      <c r="QAE72" s="414"/>
      <c r="QAF72" s="414"/>
      <c r="QAG72" s="414"/>
      <c r="QAH72" s="414"/>
      <c r="QAI72" s="414"/>
      <c r="QAJ72" s="414"/>
      <c r="QAK72" s="414"/>
      <c r="QAL72" s="414"/>
      <c r="QAM72" s="414"/>
      <c r="QAN72" s="414"/>
      <c r="QAO72" s="414"/>
      <c r="QAP72" s="414"/>
      <c r="QAQ72" s="414"/>
      <c r="QAR72" s="414"/>
      <c r="QAS72" s="414"/>
      <c r="QAT72" s="414"/>
      <c r="QAU72" s="414"/>
      <c r="QAV72" s="414"/>
      <c r="QAW72" s="414"/>
      <c r="QAX72" s="414"/>
      <c r="QAY72" s="414"/>
      <c r="QAZ72" s="414"/>
      <c r="QBA72" s="414"/>
      <c r="QBB72" s="414"/>
      <c r="QBC72" s="414"/>
      <c r="QBD72" s="414"/>
      <c r="QBE72" s="414"/>
      <c r="QBF72" s="414"/>
      <c r="QBG72" s="414"/>
      <c r="QBH72" s="414"/>
      <c r="QBI72" s="414"/>
      <c r="QBJ72" s="414"/>
      <c r="QBK72" s="414"/>
      <c r="QBL72" s="414"/>
      <c r="QBM72" s="414"/>
      <c r="QBN72" s="414"/>
      <c r="QBO72" s="414"/>
      <c r="QBP72" s="414"/>
      <c r="QBQ72" s="414"/>
      <c r="QBR72" s="414"/>
      <c r="QBS72" s="414"/>
      <c r="QBT72" s="414"/>
      <c r="QBU72" s="414"/>
      <c r="QBV72" s="414"/>
      <c r="QBW72" s="414"/>
      <c r="QBX72" s="414"/>
      <c r="QBY72" s="414"/>
      <c r="QBZ72" s="414"/>
      <c r="QCA72" s="414"/>
      <c r="QCB72" s="414"/>
      <c r="QCC72" s="414"/>
      <c r="QCD72" s="414"/>
      <c r="QCE72" s="414"/>
      <c r="QCF72" s="414"/>
      <c r="QCG72" s="414"/>
      <c r="QCH72" s="414"/>
      <c r="QCI72" s="414"/>
      <c r="QCJ72" s="414"/>
      <c r="QCK72" s="414"/>
      <c r="QCL72" s="414"/>
      <c r="QCM72" s="414"/>
      <c r="QCN72" s="414"/>
      <c r="QCO72" s="414"/>
      <c r="QCP72" s="414"/>
      <c r="QCQ72" s="414"/>
      <c r="QCR72" s="414"/>
      <c r="QCS72" s="414"/>
      <c r="QCT72" s="414"/>
      <c r="QCU72" s="414"/>
      <c r="QCV72" s="414"/>
      <c r="QCW72" s="414"/>
      <c r="QCX72" s="414"/>
      <c r="QCY72" s="414"/>
      <c r="QCZ72" s="414"/>
      <c r="QDA72" s="414"/>
      <c r="QDB72" s="414"/>
      <c r="QDC72" s="414"/>
      <c r="QDD72" s="414"/>
      <c r="QDE72" s="414"/>
      <c r="QDF72" s="414"/>
      <c r="QDG72" s="414"/>
      <c r="QDH72" s="414"/>
      <c r="QDI72" s="414"/>
      <c r="QDJ72" s="414"/>
      <c r="QDK72" s="414"/>
      <c r="QDL72" s="414"/>
      <c r="QDM72" s="414"/>
      <c r="QDN72" s="414"/>
      <c r="QDO72" s="414"/>
      <c r="QDP72" s="414"/>
      <c r="QDQ72" s="414"/>
      <c r="QDR72" s="414"/>
      <c r="QDS72" s="414"/>
      <c r="QDT72" s="414"/>
      <c r="QDU72" s="414"/>
      <c r="QDV72" s="414"/>
      <c r="QDW72" s="414"/>
      <c r="QDX72" s="414"/>
      <c r="QDY72" s="414"/>
      <c r="QDZ72" s="414"/>
      <c r="QEA72" s="414"/>
      <c r="QEB72" s="414"/>
      <c r="QEC72" s="414"/>
      <c r="QED72" s="414"/>
      <c r="QEE72" s="414"/>
      <c r="QEF72" s="414"/>
      <c r="QEG72" s="414"/>
      <c r="QEH72" s="414"/>
      <c r="QEI72" s="414"/>
      <c r="QEJ72" s="414"/>
      <c r="QEK72" s="414"/>
      <c r="QEL72" s="414"/>
      <c r="QEM72" s="414"/>
      <c r="QEN72" s="414"/>
      <c r="QEO72" s="414"/>
      <c r="QEP72" s="414"/>
      <c r="QEQ72" s="414"/>
      <c r="QER72" s="414"/>
      <c r="QES72" s="414"/>
      <c r="QET72" s="414"/>
      <c r="QEU72" s="414"/>
      <c r="QEV72" s="414"/>
      <c r="QEW72" s="414"/>
      <c r="QEX72" s="414"/>
      <c r="QEY72" s="414"/>
      <c r="QEZ72" s="414"/>
      <c r="QFA72" s="414"/>
      <c r="QFB72" s="414"/>
      <c r="QFC72" s="414"/>
      <c r="QFD72" s="414"/>
      <c r="QFE72" s="414"/>
      <c r="QFF72" s="414"/>
      <c r="QFG72" s="414"/>
      <c r="QFH72" s="414"/>
      <c r="QFI72" s="414"/>
      <c r="QFJ72" s="414"/>
      <c r="QFK72" s="414"/>
      <c r="QFL72" s="414"/>
      <c r="QFM72" s="414"/>
      <c r="QFN72" s="414"/>
      <c r="QFO72" s="414"/>
      <c r="QFP72" s="414"/>
      <c r="QFQ72" s="414"/>
      <c r="QFR72" s="414"/>
      <c r="QFS72" s="414"/>
      <c r="QFT72" s="414"/>
      <c r="QFU72" s="414"/>
      <c r="QFV72" s="414"/>
      <c r="QFW72" s="414"/>
      <c r="QFX72" s="414"/>
      <c r="QFY72" s="414"/>
      <c r="QFZ72" s="414"/>
      <c r="QGA72" s="414"/>
      <c r="QGB72" s="414"/>
      <c r="QGC72" s="414"/>
      <c r="QGD72" s="414"/>
      <c r="QGE72" s="414"/>
      <c r="QGF72" s="414"/>
      <c r="QGG72" s="414"/>
      <c r="QGH72" s="414"/>
      <c r="QGI72" s="414"/>
      <c r="QGJ72" s="414"/>
      <c r="QGK72" s="414"/>
      <c r="QGL72" s="414"/>
      <c r="QGM72" s="414"/>
      <c r="QGN72" s="414"/>
      <c r="QGO72" s="414"/>
      <c r="QGP72" s="414"/>
      <c r="QGQ72" s="414"/>
      <c r="QGR72" s="414"/>
      <c r="QGS72" s="414"/>
      <c r="QGT72" s="414"/>
      <c r="QGU72" s="414"/>
      <c r="QGV72" s="414"/>
      <c r="QGW72" s="414"/>
      <c r="QGX72" s="414"/>
      <c r="QGY72" s="414"/>
      <c r="QGZ72" s="414"/>
      <c r="QHA72" s="414"/>
      <c r="QHB72" s="414"/>
      <c r="QHC72" s="414"/>
      <c r="QHD72" s="414"/>
      <c r="QHE72" s="414"/>
      <c r="QHF72" s="414"/>
      <c r="QHG72" s="414"/>
      <c r="QHH72" s="414"/>
      <c r="QHI72" s="414"/>
      <c r="QHJ72" s="414"/>
      <c r="QHK72" s="414"/>
      <c r="QHL72" s="414"/>
      <c r="QHM72" s="414"/>
      <c r="QHN72" s="414"/>
      <c r="QHO72" s="414"/>
      <c r="QHP72" s="414"/>
      <c r="QHQ72" s="414"/>
      <c r="QHR72" s="414"/>
      <c r="QHS72" s="414"/>
      <c r="QHT72" s="414"/>
      <c r="QHU72" s="414"/>
      <c r="QHV72" s="414"/>
      <c r="QHW72" s="414"/>
      <c r="QHX72" s="414"/>
      <c r="QHY72" s="414"/>
      <c r="QHZ72" s="414"/>
      <c r="QIA72" s="414"/>
      <c r="QIB72" s="414"/>
      <c r="QIC72" s="414"/>
      <c r="QID72" s="414"/>
      <c r="QIE72" s="414"/>
      <c r="QIF72" s="414"/>
      <c r="QIG72" s="414"/>
      <c r="QIH72" s="414"/>
      <c r="QII72" s="414"/>
      <c r="QIJ72" s="414"/>
      <c r="QIK72" s="414"/>
      <c r="QIL72" s="414"/>
      <c r="QIM72" s="414"/>
      <c r="QIN72" s="414"/>
      <c r="QIO72" s="414"/>
      <c r="QIP72" s="414"/>
      <c r="QIQ72" s="414"/>
      <c r="QIR72" s="414"/>
      <c r="QIS72" s="414"/>
      <c r="QIT72" s="414"/>
      <c r="QIU72" s="414"/>
      <c r="QIV72" s="414"/>
      <c r="QIW72" s="414"/>
      <c r="QIX72" s="414"/>
      <c r="QIY72" s="414"/>
      <c r="QIZ72" s="414"/>
      <c r="QJA72" s="414"/>
      <c r="QJB72" s="414"/>
      <c r="QJC72" s="414"/>
      <c r="QJD72" s="414"/>
      <c r="QJE72" s="414"/>
      <c r="QJF72" s="414"/>
      <c r="QJG72" s="414"/>
      <c r="QJH72" s="414"/>
      <c r="QJI72" s="414"/>
      <c r="QJJ72" s="414"/>
      <c r="QJK72" s="414"/>
      <c r="QJL72" s="414"/>
      <c r="QJM72" s="414"/>
      <c r="QJN72" s="414"/>
      <c r="QJO72" s="414"/>
      <c r="QJP72" s="414"/>
      <c r="QJQ72" s="414"/>
      <c r="QJR72" s="414"/>
      <c r="QJS72" s="414"/>
      <c r="QJT72" s="414"/>
      <c r="QJU72" s="414"/>
      <c r="QJV72" s="414"/>
      <c r="QJW72" s="414"/>
      <c r="QJX72" s="414"/>
      <c r="QJY72" s="414"/>
      <c r="QJZ72" s="414"/>
      <c r="QKA72" s="414"/>
      <c r="QKB72" s="414"/>
      <c r="QKC72" s="414"/>
      <c r="QKD72" s="414"/>
      <c r="QKE72" s="414"/>
      <c r="QKF72" s="414"/>
      <c r="QKG72" s="414"/>
      <c r="QKH72" s="414"/>
      <c r="QKI72" s="414"/>
      <c r="QKJ72" s="414"/>
      <c r="QKK72" s="414"/>
      <c r="QKL72" s="414"/>
      <c r="QKM72" s="414"/>
      <c r="QKN72" s="414"/>
      <c r="QKO72" s="414"/>
      <c r="QKP72" s="414"/>
      <c r="QKQ72" s="414"/>
      <c r="QKR72" s="414"/>
      <c r="QKS72" s="414"/>
      <c r="QKT72" s="414"/>
      <c r="QKU72" s="414"/>
      <c r="QKV72" s="414"/>
      <c r="QKW72" s="414"/>
      <c r="QKX72" s="414"/>
      <c r="QKY72" s="414"/>
      <c r="QKZ72" s="414"/>
      <c r="QLA72" s="414"/>
      <c r="QLB72" s="414"/>
      <c r="QLC72" s="414"/>
      <c r="QLD72" s="414"/>
      <c r="QLE72" s="414"/>
      <c r="QLF72" s="414"/>
      <c r="QLG72" s="414"/>
      <c r="QLH72" s="414"/>
      <c r="QLI72" s="414"/>
      <c r="QLJ72" s="414"/>
      <c r="QLK72" s="414"/>
      <c r="QLL72" s="414"/>
      <c r="QLM72" s="414"/>
      <c r="QLN72" s="414"/>
      <c r="QLO72" s="414"/>
      <c r="QLP72" s="414"/>
      <c r="QLQ72" s="414"/>
      <c r="QLR72" s="414"/>
      <c r="QLS72" s="414"/>
      <c r="QLT72" s="414"/>
      <c r="QLU72" s="414"/>
      <c r="QLV72" s="414"/>
      <c r="QLW72" s="414"/>
      <c r="QLX72" s="414"/>
      <c r="QLY72" s="414"/>
      <c r="QLZ72" s="414"/>
      <c r="QMA72" s="414"/>
      <c r="QMB72" s="414"/>
      <c r="QMC72" s="414"/>
      <c r="QMD72" s="414"/>
      <c r="QME72" s="414"/>
      <c r="QMF72" s="414"/>
      <c r="QMG72" s="414"/>
      <c r="QMH72" s="414"/>
      <c r="QMI72" s="414"/>
      <c r="QMJ72" s="414"/>
      <c r="QMK72" s="414"/>
      <c r="QML72" s="414"/>
      <c r="QMM72" s="414"/>
      <c r="QMN72" s="414"/>
      <c r="QMO72" s="414"/>
      <c r="QMP72" s="414"/>
      <c r="QMQ72" s="414"/>
      <c r="QMR72" s="414"/>
      <c r="QMS72" s="414"/>
      <c r="QMT72" s="414"/>
      <c r="QMU72" s="414"/>
      <c r="QMV72" s="414"/>
      <c r="QMW72" s="414"/>
      <c r="QMX72" s="414"/>
      <c r="QMY72" s="414"/>
      <c r="QMZ72" s="414"/>
      <c r="QNA72" s="414"/>
      <c r="QNB72" s="414"/>
      <c r="QNC72" s="414"/>
      <c r="QND72" s="414"/>
      <c r="QNE72" s="414"/>
      <c r="QNF72" s="414"/>
      <c r="QNG72" s="414"/>
      <c r="QNH72" s="414"/>
      <c r="QNI72" s="414"/>
      <c r="QNJ72" s="414"/>
      <c r="QNK72" s="414"/>
      <c r="QNL72" s="414"/>
      <c r="QNM72" s="414"/>
      <c r="QNN72" s="414"/>
      <c r="QNO72" s="414"/>
      <c r="QNP72" s="414"/>
      <c r="QNQ72" s="414"/>
      <c r="QNR72" s="414"/>
      <c r="QNS72" s="414"/>
      <c r="QNT72" s="414"/>
      <c r="QNU72" s="414"/>
      <c r="QNV72" s="414"/>
      <c r="QNW72" s="414"/>
      <c r="QNX72" s="414"/>
      <c r="QNY72" s="414"/>
      <c r="QNZ72" s="414"/>
      <c r="QOA72" s="414"/>
      <c r="QOB72" s="414"/>
      <c r="QOC72" s="414"/>
      <c r="QOD72" s="414"/>
      <c r="QOE72" s="414"/>
      <c r="QOF72" s="414"/>
      <c r="QOG72" s="414"/>
      <c r="QOH72" s="414"/>
      <c r="QOI72" s="414"/>
      <c r="QOJ72" s="414"/>
      <c r="QOK72" s="414"/>
      <c r="QOL72" s="414"/>
      <c r="QOM72" s="414"/>
      <c r="QON72" s="414"/>
      <c r="QOO72" s="414"/>
      <c r="QOP72" s="414"/>
      <c r="QOQ72" s="414"/>
      <c r="QOR72" s="414"/>
      <c r="QOS72" s="414"/>
      <c r="QOT72" s="414"/>
      <c r="QOU72" s="414"/>
      <c r="QOV72" s="414"/>
      <c r="QOW72" s="414"/>
      <c r="QOX72" s="414"/>
      <c r="QOY72" s="414"/>
      <c r="QOZ72" s="414"/>
      <c r="QPA72" s="414"/>
      <c r="QPB72" s="414"/>
      <c r="QPC72" s="414"/>
      <c r="QPD72" s="414"/>
      <c r="QPE72" s="414"/>
      <c r="QPF72" s="414"/>
      <c r="QPG72" s="414"/>
      <c r="QPH72" s="414"/>
      <c r="QPI72" s="414"/>
      <c r="QPJ72" s="414"/>
      <c r="QPK72" s="414"/>
      <c r="QPL72" s="414"/>
      <c r="QPM72" s="414"/>
      <c r="QPN72" s="414"/>
      <c r="QPO72" s="414"/>
      <c r="QPP72" s="414"/>
      <c r="QPQ72" s="414"/>
      <c r="QPR72" s="414"/>
      <c r="QPS72" s="414"/>
      <c r="QPT72" s="414"/>
      <c r="QPU72" s="414"/>
      <c r="QPV72" s="414"/>
      <c r="QPW72" s="414"/>
      <c r="QPX72" s="414"/>
      <c r="QPY72" s="414"/>
      <c r="QPZ72" s="414"/>
      <c r="QQA72" s="414"/>
      <c r="QQB72" s="414"/>
      <c r="QQC72" s="414"/>
      <c r="QQD72" s="414"/>
      <c r="QQE72" s="414"/>
      <c r="QQF72" s="414"/>
      <c r="QQG72" s="414"/>
      <c r="QQH72" s="414"/>
      <c r="QQI72" s="414"/>
      <c r="QQJ72" s="414"/>
      <c r="QQK72" s="414"/>
      <c r="QQL72" s="414"/>
      <c r="QQM72" s="414"/>
      <c r="QQN72" s="414"/>
      <c r="QQO72" s="414"/>
      <c r="QQP72" s="414"/>
      <c r="QQQ72" s="414"/>
      <c r="QQR72" s="414"/>
      <c r="QQS72" s="414"/>
      <c r="QQT72" s="414"/>
      <c r="QQU72" s="414"/>
      <c r="QQV72" s="414"/>
      <c r="QQW72" s="414"/>
      <c r="QQX72" s="414"/>
      <c r="QQY72" s="414"/>
      <c r="QQZ72" s="414"/>
      <c r="QRA72" s="414"/>
      <c r="QRB72" s="414"/>
      <c r="QRC72" s="414"/>
      <c r="QRD72" s="414"/>
      <c r="QRE72" s="414"/>
      <c r="QRF72" s="414"/>
      <c r="QRG72" s="414"/>
      <c r="QRH72" s="414"/>
      <c r="QRI72" s="414"/>
      <c r="QRJ72" s="414"/>
      <c r="QRK72" s="414"/>
      <c r="QRL72" s="414"/>
      <c r="QRM72" s="414"/>
      <c r="QRN72" s="414"/>
      <c r="QRO72" s="414"/>
      <c r="QRP72" s="414"/>
      <c r="QRQ72" s="414"/>
      <c r="QRR72" s="414"/>
      <c r="QRS72" s="414"/>
      <c r="QRT72" s="414"/>
      <c r="QRU72" s="414"/>
      <c r="QRV72" s="414"/>
      <c r="QRW72" s="414"/>
      <c r="QRX72" s="414"/>
      <c r="QRY72" s="414"/>
      <c r="QRZ72" s="414"/>
      <c r="QSA72" s="414"/>
      <c r="QSB72" s="414"/>
      <c r="QSC72" s="414"/>
      <c r="QSD72" s="414"/>
      <c r="QSE72" s="414"/>
      <c r="QSF72" s="414"/>
      <c r="QSG72" s="414"/>
      <c r="QSH72" s="414"/>
      <c r="QSI72" s="414"/>
      <c r="QSJ72" s="414"/>
      <c r="QSK72" s="414"/>
      <c r="QSL72" s="414"/>
      <c r="QSM72" s="414"/>
      <c r="QSN72" s="414"/>
      <c r="QSO72" s="414"/>
      <c r="QSP72" s="414"/>
      <c r="QSQ72" s="414"/>
      <c r="QSR72" s="414"/>
      <c r="QSS72" s="414"/>
      <c r="QST72" s="414"/>
      <c r="QSU72" s="414"/>
      <c r="QSV72" s="414"/>
      <c r="QSW72" s="414"/>
      <c r="QSX72" s="414"/>
      <c r="QSY72" s="414"/>
      <c r="QSZ72" s="414"/>
      <c r="QTA72" s="414"/>
      <c r="QTB72" s="414"/>
      <c r="QTC72" s="414"/>
      <c r="QTD72" s="414"/>
      <c r="QTE72" s="414"/>
      <c r="QTF72" s="414"/>
      <c r="QTG72" s="414"/>
      <c r="QTH72" s="414"/>
      <c r="QTI72" s="414"/>
      <c r="QTJ72" s="414"/>
      <c r="QTK72" s="414"/>
      <c r="QTL72" s="414"/>
      <c r="QTM72" s="414"/>
      <c r="QTN72" s="414"/>
      <c r="QTO72" s="414"/>
      <c r="QTP72" s="414"/>
      <c r="QTQ72" s="414"/>
      <c r="QTR72" s="414"/>
      <c r="QTS72" s="414"/>
      <c r="QTT72" s="414"/>
      <c r="QTU72" s="414"/>
      <c r="QTV72" s="414"/>
      <c r="QTW72" s="414"/>
      <c r="QTX72" s="414"/>
      <c r="QTY72" s="414"/>
      <c r="QTZ72" s="414"/>
      <c r="QUA72" s="414"/>
      <c r="QUB72" s="414"/>
      <c r="QUC72" s="414"/>
      <c r="QUD72" s="414"/>
      <c r="QUE72" s="414"/>
      <c r="QUF72" s="414"/>
      <c r="QUG72" s="414"/>
      <c r="QUH72" s="414"/>
      <c r="QUI72" s="414"/>
      <c r="QUJ72" s="414"/>
      <c r="QUK72" s="414"/>
      <c r="QUL72" s="414"/>
      <c r="QUM72" s="414"/>
      <c r="QUN72" s="414"/>
      <c r="QUO72" s="414"/>
      <c r="QUP72" s="414"/>
      <c r="QUQ72" s="414"/>
      <c r="QUR72" s="414"/>
      <c r="QUS72" s="414"/>
      <c r="QUT72" s="414"/>
      <c r="QUU72" s="414"/>
      <c r="QUV72" s="414"/>
      <c r="QUW72" s="414"/>
      <c r="QUX72" s="414"/>
      <c r="QUY72" s="414"/>
      <c r="QUZ72" s="414"/>
      <c r="QVA72" s="414"/>
      <c r="QVB72" s="414"/>
      <c r="QVC72" s="414"/>
      <c r="QVD72" s="414"/>
      <c r="QVE72" s="414"/>
      <c r="QVF72" s="414"/>
      <c r="QVG72" s="414"/>
      <c r="QVH72" s="414"/>
      <c r="QVI72" s="414"/>
      <c r="QVJ72" s="414"/>
      <c r="QVK72" s="414"/>
      <c r="QVL72" s="414"/>
      <c r="QVM72" s="414"/>
      <c r="QVN72" s="414"/>
      <c r="QVO72" s="414"/>
      <c r="QVP72" s="414"/>
      <c r="QVQ72" s="414"/>
      <c r="QVR72" s="414"/>
      <c r="QVS72" s="414"/>
      <c r="QVT72" s="414"/>
      <c r="QVU72" s="414"/>
      <c r="QVV72" s="414"/>
      <c r="QVW72" s="414"/>
      <c r="QVX72" s="414"/>
      <c r="QVY72" s="414"/>
      <c r="QVZ72" s="414"/>
      <c r="QWA72" s="414"/>
      <c r="QWB72" s="414"/>
      <c r="QWC72" s="414"/>
      <c r="QWD72" s="414"/>
      <c r="QWE72" s="414"/>
      <c r="QWF72" s="414"/>
      <c r="QWG72" s="414"/>
      <c r="QWH72" s="414"/>
      <c r="QWI72" s="414"/>
      <c r="QWJ72" s="414"/>
      <c r="QWK72" s="414"/>
      <c r="QWL72" s="414"/>
      <c r="QWM72" s="414"/>
      <c r="QWN72" s="414"/>
      <c r="QWO72" s="414"/>
      <c r="QWP72" s="414"/>
      <c r="QWQ72" s="414"/>
      <c r="QWR72" s="414"/>
      <c r="QWS72" s="414"/>
      <c r="QWT72" s="414"/>
      <c r="QWU72" s="414"/>
      <c r="QWV72" s="414"/>
      <c r="QWW72" s="414"/>
      <c r="QWX72" s="414"/>
      <c r="QWY72" s="414"/>
      <c r="QWZ72" s="414"/>
      <c r="QXA72" s="414"/>
      <c r="QXB72" s="414"/>
      <c r="QXC72" s="414"/>
      <c r="QXD72" s="414"/>
      <c r="QXE72" s="414"/>
      <c r="QXF72" s="414"/>
      <c r="QXG72" s="414"/>
      <c r="QXH72" s="414"/>
      <c r="QXI72" s="414"/>
      <c r="QXJ72" s="414"/>
      <c r="QXK72" s="414"/>
      <c r="QXL72" s="414"/>
      <c r="QXM72" s="414"/>
      <c r="QXN72" s="414"/>
      <c r="QXO72" s="414"/>
      <c r="QXP72" s="414"/>
      <c r="QXQ72" s="414"/>
      <c r="QXR72" s="414"/>
      <c r="QXS72" s="414"/>
      <c r="QXT72" s="414"/>
      <c r="QXU72" s="414"/>
      <c r="QXV72" s="414"/>
      <c r="QXW72" s="414"/>
      <c r="QXX72" s="414"/>
      <c r="QXY72" s="414"/>
      <c r="QXZ72" s="414"/>
      <c r="QYA72" s="414"/>
      <c r="QYB72" s="414"/>
      <c r="QYC72" s="414"/>
      <c r="QYD72" s="414"/>
      <c r="QYE72" s="414"/>
      <c r="QYF72" s="414"/>
      <c r="QYG72" s="414"/>
      <c r="QYH72" s="414"/>
      <c r="QYI72" s="414"/>
      <c r="QYJ72" s="414"/>
      <c r="QYK72" s="414"/>
      <c r="QYL72" s="414"/>
      <c r="QYM72" s="414"/>
      <c r="QYN72" s="414"/>
      <c r="QYO72" s="414"/>
      <c r="QYP72" s="414"/>
      <c r="QYQ72" s="414"/>
      <c r="QYR72" s="414"/>
      <c r="QYS72" s="414"/>
      <c r="QYT72" s="414"/>
      <c r="QYU72" s="414"/>
      <c r="QYV72" s="414"/>
      <c r="QYW72" s="414"/>
      <c r="QYX72" s="414"/>
      <c r="QYY72" s="414"/>
      <c r="QYZ72" s="414"/>
      <c r="QZA72" s="414"/>
      <c r="QZB72" s="414"/>
      <c r="QZC72" s="414"/>
      <c r="QZD72" s="414"/>
      <c r="QZE72" s="414"/>
      <c r="QZF72" s="414"/>
      <c r="QZG72" s="414"/>
      <c r="QZH72" s="414"/>
      <c r="QZI72" s="414"/>
      <c r="QZJ72" s="414"/>
      <c r="QZK72" s="414"/>
      <c r="QZL72" s="414"/>
      <c r="QZM72" s="414"/>
      <c r="QZN72" s="414"/>
      <c r="QZO72" s="414"/>
      <c r="QZP72" s="414"/>
      <c r="QZQ72" s="414"/>
      <c r="QZR72" s="414"/>
      <c r="QZS72" s="414"/>
      <c r="QZT72" s="414"/>
      <c r="QZU72" s="414"/>
      <c r="QZV72" s="414"/>
      <c r="QZW72" s="414"/>
      <c r="QZX72" s="414"/>
      <c r="QZY72" s="414"/>
      <c r="QZZ72" s="414"/>
      <c r="RAA72" s="414"/>
      <c r="RAB72" s="414"/>
      <c r="RAC72" s="414"/>
      <c r="RAD72" s="414"/>
      <c r="RAE72" s="414"/>
      <c r="RAF72" s="414"/>
      <c r="RAG72" s="414"/>
      <c r="RAH72" s="414"/>
      <c r="RAI72" s="414"/>
      <c r="RAJ72" s="414"/>
      <c r="RAK72" s="414"/>
      <c r="RAL72" s="414"/>
      <c r="RAM72" s="414"/>
      <c r="RAN72" s="414"/>
      <c r="RAO72" s="414"/>
      <c r="RAP72" s="414"/>
      <c r="RAQ72" s="414"/>
      <c r="RAR72" s="414"/>
      <c r="RAS72" s="414"/>
      <c r="RAT72" s="414"/>
      <c r="RAU72" s="414"/>
      <c r="RAV72" s="414"/>
      <c r="RAW72" s="414"/>
      <c r="RAX72" s="414"/>
      <c r="RAY72" s="414"/>
      <c r="RAZ72" s="414"/>
      <c r="RBA72" s="414"/>
      <c r="RBB72" s="414"/>
      <c r="RBC72" s="414"/>
      <c r="RBD72" s="414"/>
      <c r="RBE72" s="414"/>
      <c r="RBF72" s="414"/>
      <c r="RBG72" s="414"/>
      <c r="RBH72" s="414"/>
      <c r="RBI72" s="414"/>
      <c r="RBJ72" s="414"/>
      <c r="RBK72" s="414"/>
      <c r="RBL72" s="414"/>
      <c r="RBM72" s="414"/>
      <c r="RBN72" s="414"/>
      <c r="RBO72" s="414"/>
      <c r="RBP72" s="414"/>
      <c r="RBQ72" s="414"/>
      <c r="RBR72" s="414"/>
      <c r="RBS72" s="414"/>
      <c r="RBT72" s="414"/>
      <c r="RBU72" s="414"/>
      <c r="RBV72" s="414"/>
      <c r="RBW72" s="414"/>
      <c r="RBX72" s="414"/>
      <c r="RBY72" s="414"/>
      <c r="RBZ72" s="414"/>
      <c r="RCA72" s="414"/>
      <c r="RCB72" s="414"/>
      <c r="RCC72" s="414"/>
      <c r="RCD72" s="414"/>
      <c r="RCE72" s="414"/>
      <c r="RCF72" s="414"/>
      <c r="RCG72" s="414"/>
      <c r="RCH72" s="414"/>
      <c r="RCI72" s="414"/>
      <c r="RCJ72" s="414"/>
      <c r="RCK72" s="414"/>
      <c r="RCL72" s="414"/>
      <c r="RCM72" s="414"/>
      <c r="RCN72" s="414"/>
      <c r="RCO72" s="414"/>
      <c r="RCP72" s="414"/>
      <c r="RCQ72" s="414"/>
      <c r="RCR72" s="414"/>
      <c r="RCS72" s="414"/>
      <c r="RCT72" s="414"/>
      <c r="RCU72" s="414"/>
      <c r="RCV72" s="414"/>
      <c r="RCW72" s="414"/>
      <c r="RCX72" s="414"/>
      <c r="RCY72" s="414"/>
      <c r="RCZ72" s="414"/>
      <c r="RDA72" s="414"/>
      <c r="RDB72" s="414"/>
      <c r="RDC72" s="414"/>
      <c r="RDD72" s="414"/>
      <c r="RDE72" s="414"/>
      <c r="RDF72" s="414"/>
      <c r="RDG72" s="414"/>
      <c r="RDH72" s="414"/>
      <c r="RDI72" s="414"/>
      <c r="RDJ72" s="414"/>
      <c r="RDK72" s="414"/>
      <c r="RDL72" s="414"/>
      <c r="RDM72" s="414"/>
      <c r="RDN72" s="414"/>
      <c r="RDO72" s="414"/>
      <c r="RDP72" s="414"/>
      <c r="RDQ72" s="414"/>
      <c r="RDR72" s="414"/>
      <c r="RDS72" s="414"/>
      <c r="RDT72" s="414"/>
      <c r="RDU72" s="414"/>
      <c r="RDV72" s="414"/>
      <c r="RDW72" s="414"/>
      <c r="RDX72" s="414"/>
      <c r="RDY72" s="414"/>
      <c r="RDZ72" s="414"/>
      <c r="REA72" s="414"/>
      <c r="REB72" s="414"/>
      <c r="REC72" s="414"/>
      <c r="RED72" s="414"/>
      <c r="REE72" s="414"/>
      <c r="REF72" s="414"/>
      <c r="REG72" s="414"/>
      <c r="REH72" s="414"/>
      <c r="REI72" s="414"/>
      <c r="REJ72" s="414"/>
      <c r="REK72" s="414"/>
      <c r="REL72" s="414"/>
      <c r="REM72" s="414"/>
      <c r="REN72" s="414"/>
      <c r="REO72" s="414"/>
      <c r="REP72" s="414"/>
      <c r="REQ72" s="414"/>
      <c r="RER72" s="414"/>
      <c r="RES72" s="414"/>
      <c r="RET72" s="414"/>
      <c r="REU72" s="414"/>
      <c r="REV72" s="414"/>
      <c r="REW72" s="414"/>
      <c r="REX72" s="414"/>
      <c r="REY72" s="414"/>
      <c r="REZ72" s="414"/>
      <c r="RFA72" s="414"/>
      <c r="RFB72" s="414"/>
      <c r="RFC72" s="414"/>
      <c r="RFD72" s="414"/>
      <c r="RFE72" s="414"/>
      <c r="RFF72" s="414"/>
      <c r="RFG72" s="414"/>
      <c r="RFH72" s="414"/>
      <c r="RFI72" s="414"/>
      <c r="RFJ72" s="414"/>
      <c r="RFK72" s="414"/>
      <c r="RFL72" s="414"/>
      <c r="RFM72" s="414"/>
      <c r="RFN72" s="414"/>
      <c r="RFO72" s="414"/>
      <c r="RFP72" s="414"/>
      <c r="RFQ72" s="414"/>
      <c r="RFR72" s="414"/>
      <c r="RFS72" s="414"/>
      <c r="RFT72" s="414"/>
      <c r="RFU72" s="414"/>
      <c r="RFV72" s="414"/>
      <c r="RFW72" s="414"/>
      <c r="RFX72" s="414"/>
      <c r="RFY72" s="414"/>
      <c r="RFZ72" s="414"/>
      <c r="RGA72" s="414"/>
      <c r="RGB72" s="414"/>
      <c r="RGC72" s="414"/>
      <c r="RGD72" s="414"/>
      <c r="RGE72" s="414"/>
      <c r="RGF72" s="414"/>
      <c r="RGG72" s="414"/>
      <c r="RGH72" s="414"/>
      <c r="RGI72" s="414"/>
      <c r="RGJ72" s="414"/>
      <c r="RGK72" s="414"/>
      <c r="RGL72" s="414"/>
      <c r="RGM72" s="414"/>
      <c r="RGN72" s="414"/>
      <c r="RGO72" s="414"/>
      <c r="RGP72" s="414"/>
      <c r="RGQ72" s="414"/>
      <c r="RGR72" s="414"/>
      <c r="RGS72" s="414"/>
      <c r="RGT72" s="414"/>
      <c r="RGU72" s="414"/>
      <c r="RGV72" s="414"/>
      <c r="RGW72" s="414"/>
      <c r="RGX72" s="414"/>
      <c r="RGY72" s="414"/>
      <c r="RGZ72" s="414"/>
      <c r="RHA72" s="414"/>
      <c r="RHB72" s="414"/>
      <c r="RHC72" s="414"/>
      <c r="RHD72" s="414"/>
      <c r="RHE72" s="414"/>
      <c r="RHF72" s="414"/>
      <c r="RHG72" s="414"/>
      <c r="RHH72" s="414"/>
      <c r="RHI72" s="414"/>
      <c r="RHJ72" s="414"/>
      <c r="RHK72" s="414"/>
      <c r="RHL72" s="414"/>
      <c r="RHM72" s="414"/>
      <c r="RHN72" s="414"/>
      <c r="RHO72" s="414"/>
      <c r="RHP72" s="414"/>
      <c r="RHQ72" s="414"/>
      <c r="RHR72" s="414"/>
      <c r="RHS72" s="414"/>
      <c r="RHT72" s="414"/>
      <c r="RHU72" s="414"/>
      <c r="RHV72" s="414"/>
      <c r="RHW72" s="414"/>
      <c r="RHX72" s="414"/>
      <c r="RHY72" s="414"/>
      <c r="RHZ72" s="414"/>
      <c r="RIA72" s="414"/>
      <c r="RIB72" s="414"/>
      <c r="RIC72" s="414"/>
      <c r="RID72" s="414"/>
      <c r="RIE72" s="414"/>
      <c r="RIF72" s="414"/>
      <c r="RIG72" s="414"/>
      <c r="RIH72" s="414"/>
      <c r="RII72" s="414"/>
      <c r="RIJ72" s="414"/>
      <c r="RIK72" s="414"/>
      <c r="RIL72" s="414"/>
      <c r="RIM72" s="414"/>
      <c r="RIN72" s="414"/>
      <c r="RIO72" s="414"/>
      <c r="RIP72" s="414"/>
      <c r="RIQ72" s="414"/>
      <c r="RIR72" s="414"/>
      <c r="RIS72" s="414"/>
      <c r="RIT72" s="414"/>
      <c r="RIU72" s="414"/>
      <c r="RIV72" s="414"/>
      <c r="RIW72" s="414"/>
      <c r="RIX72" s="414"/>
      <c r="RIY72" s="414"/>
      <c r="RIZ72" s="414"/>
      <c r="RJA72" s="414"/>
      <c r="RJB72" s="414"/>
      <c r="RJC72" s="414"/>
      <c r="RJD72" s="414"/>
      <c r="RJE72" s="414"/>
      <c r="RJF72" s="414"/>
      <c r="RJG72" s="414"/>
      <c r="RJH72" s="414"/>
      <c r="RJI72" s="414"/>
      <c r="RJJ72" s="414"/>
      <c r="RJK72" s="414"/>
      <c r="RJL72" s="414"/>
      <c r="RJM72" s="414"/>
      <c r="RJN72" s="414"/>
      <c r="RJO72" s="414"/>
      <c r="RJP72" s="414"/>
      <c r="RJQ72" s="414"/>
      <c r="RJR72" s="414"/>
      <c r="RJS72" s="414"/>
      <c r="RJT72" s="414"/>
      <c r="RJU72" s="414"/>
      <c r="RJV72" s="414"/>
      <c r="RJW72" s="414"/>
      <c r="RJX72" s="414"/>
      <c r="RJY72" s="414"/>
      <c r="RJZ72" s="414"/>
      <c r="RKA72" s="414"/>
      <c r="RKB72" s="414"/>
      <c r="RKC72" s="414"/>
      <c r="RKD72" s="414"/>
      <c r="RKE72" s="414"/>
      <c r="RKF72" s="414"/>
      <c r="RKG72" s="414"/>
      <c r="RKH72" s="414"/>
      <c r="RKI72" s="414"/>
      <c r="RKJ72" s="414"/>
      <c r="RKK72" s="414"/>
      <c r="RKL72" s="414"/>
      <c r="RKM72" s="414"/>
      <c r="RKN72" s="414"/>
      <c r="RKO72" s="414"/>
      <c r="RKP72" s="414"/>
      <c r="RKQ72" s="414"/>
      <c r="RKR72" s="414"/>
      <c r="RKS72" s="414"/>
      <c r="RKT72" s="414"/>
      <c r="RKU72" s="414"/>
      <c r="RKV72" s="414"/>
      <c r="RKW72" s="414"/>
      <c r="RKX72" s="414"/>
      <c r="RKY72" s="414"/>
      <c r="RKZ72" s="414"/>
      <c r="RLA72" s="414"/>
      <c r="RLB72" s="414"/>
      <c r="RLC72" s="414"/>
      <c r="RLD72" s="414"/>
      <c r="RLE72" s="414"/>
      <c r="RLF72" s="414"/>
      <c r="RLG72" s="414"/>
      <c r="RLH72" s="414"/>
      <c r="RLI72" s="414"/>
      <c r="RLJ72" s="414"/>
      <c r="RLK72" s="414"/>
      <c r="RLL72" s="414"/>
      <c r="RLM72" s="414"/>
      <c r="RLN72" s="414"/>
      <c r="RLO72" s="414"/>
      <c r="RLP72" s="414"/>
      <c r="RLQ72" s="414"/>
      <c r="RLR72" s="414"/>
      <c r="RLS72" s="414"/>
      <c r="RLT72" s="414"/>
      <c r="RLU72" s="414"/>
      <c r="RLV72" s="414"/>
      <c r="RLW72" s="414"/>
      <c r="RLX72" s="414"/>
      <c r="RLY72" s="414"/>
      <c r="RLZ72" s="414"/>
      <c r="RMA72" s="414"/>
      <c r="RMB72" s="414"/>
      <c r="RMC72" s="414"/>
      <c r="RMD72" s="414"/>
      <c r="RME72" s="414"/>
      <c r="RMF72" s="414"/>
      <c r="RMG72" s="414"/>
      <c r="RMH72" s="414"/>
      <c r="RMI72" s="414"/>
      <c r="RMJ72" s="414"/>
      <c r="RMK72" s="414"/>
      <c r="RML72" s="414"/>
      <c r="RMM72" s="414"/>
      <c r="RMN72" s="414"/>
      <c r="RMO72" s="414"/>
      <c r="RMP72" s="414"/>
      <c r="RMQ72" s="414"/>
      <c r="RMR72" s="414"/>
      <c r="RMS72" s="414"/>
      <c r="RMT72" s="414"/>
      <c r="RMU72" s="414"/>
      <c r="RMV72" s="414"/>
      <c r="RMW72" s="414"/>
      <c r="RMX72" s="414"/>
      <c r="RMY72" s="414"/>
      <c r="RMZ72" s="414"/>
      <c r="RNA72" s="414"/>
      <c r="RNB72" s="414"/>
      <c r="RNC72" s="414"/>
      <c r="RND72" s="414"/>
      <c r="RNE72" s="414"/>
      <c r="RNF72" s="414"/>
      <c r="RNG72" s="414"/>
      <c r="RNH72" s="414"/>
      <c r="RNI72" s="414"/>
      <c r="RNJ72" s="414"/>
      <c r="RNK72" s="414"/>
      <c r="RNL72" s="414"/>
      <c r="RNM72" s="414"/>
      <c r="RNN72" s="414"/>
      <c r="RNO72" s="414"/>
      <c r="RNP72" s="414"/>
      <c r="RNQ72" s="414"/>
      <c r="RNR72" s="414"/>
      <c r="RNS72" s="414"/>
      <c r="RNT72" s="414"/>
      <c r="RNU72" s="414"/>
      <c r="RNV72" s="414"/>
      <c r="RNW72" s="414"/>
      <c r="RNX72" s="414"/>
      <c r="RNY72" s="414"/>
      <c r="RNZ72" s="414"/>
      <c r="ROA72" s="414"/>
      <c r="ROB72" s="414"/>
      <c r="ROC72" s="414"/>
      <c r="ROD72" s="414"/>
      <c r="ROE72" s="414"/>
      <c r="ROF72" s="414"/>
      <c r="ROG72" s="414"/>
      <c r="ROH72" s="414"/>
      <c r="ROI72" s="414"/>
      <c r="ROJ72" s="414"/>
      <c r="ROK72" s="414"/>
      <c r="ROL72" s="414"/>
      <c r="ROM72" s="414"/>
      <c r="RON72" s="414"/>
      <c r="ROO72" s="414"/>
      <c r="ROP72" s="414"/>
      <c r="ROQ72" s="414"/>
      <c r="ROR72" s="414"/>
      <c r="ROS72" s="414"/>
      <c r="ROT72" s="414"/>
      <c r="ROU72" s="414"/>
      <c r="ROV72" s="414"/>
      <c r="ROW72" s="414"/>
      <c r="ROX72" s="414"/>
      <c r="ROY72" s="414"/>
      <c r="ROZ72" s="414"/>
      <c r="RPA72" s="414"/>
      <c r="RPB72" s="414"/>
      <c r="RPC72" s="414"/>
      <c r="RPD72" s="414"/>
      <c r="RPE72" s="414"/>
      <c r="RPF72" s="414"/>
      <c r="RPG72" s="414"/>
      <c r="RPH72" s="414"/>
      <c r="RPI72" s="414"/>
      <c r="RPJ72" s="414"/>
      <c r="RPK72" s="414"/>
      <c r="RPL72" s="414"/>
      <c r="RPM72" s="414"/>
      <c r="RPN72" s="414"/>
      <c r="RPO72" s="414"/>
      <c r="RPP72" s="414"/>
      <c r="RPQ72" s="414"/>
      <c r="RPR72" s="414"/>
      <c r="RPS72" s="414"/>
      <c r="RPT72" s="414"/>
      <c r="RPU72" s="414"/>
      <c r="RPV72" s="414"/>
      <c r="RPW72" s="414"/>
      <c r="RPX72" s="414"/>
      <c r="RPY72" s="414"/>
      <c r="RPZ72" s="414"/>
      <c r="RQA72" s="414"/>
      <c r="RQB72" s="414"/>
      <c r="RQC72" s="414"/>
      <c r="RQD72" s="414"/>
      <c r="RQE72" s="414"/>
      <c r="RQF72" s="414"/>
      <c r="RQG72" s="414"/>
      <c r="RQH72" s="414"/>
      <c r="RQI72" s="414"/>
      <c r="RQJ72" s="414"/>
      <c r="RQK72" s="414"/>
      <c r="RQL72" s="414"/>
      <c r="RQM72" s="414"/>
      <c r="RQN72" s="414"/>
      <c r="RQO72" s="414"/>
      <c r="RQP72" s="414"/>
      <c r="RQQ72" s="414"/>
      <c r="RQR72" s="414"/>
      <c r="RQS72" s="414"/>
      <c r="RQT72" s="414"/>
      <c r="RQU72" s="414"/>
      <c r="RQV72" s="414"/>
      <c r="RQW72" s="414"/>
      <c r="RQX72" s="414"/>
      <c r="RQY72" s="414"/>
      <c r="RQZ72" s="414"/>
      <c r="RRA72" s="414"/>
      <c r="RRB72" s="414"/>
      <c r="RRC72" s="414"/>
      <c r="RRD72" s="414"/>
      <c r="RRE72" s="414"/>
      <c r="RRF72" s="414"/>
      <c r="RRG72" s="414"/>
      <c r="RRH72" s="414"/>
      <c r="RRI72" s="414"/>
      <c r="RRJ72" s="414"/>
      <c r="RRK72" s="414"/>
      <c r="RRL72" s="414"/>
      <c r="RRM72" s="414"/>
      <c r="RRN72" s="414"/>
      <c r="RRO72" s="414"/>
      <c r="RRP72" s="414"/>
      <c r="RRQ72" s="414"/>
      <c r="RRR72" s="414"/>
      <c r="RRS72" s="414"/>
      <c r="RRT72" s="414"/>
      <c r="RRU72" s="414"/>
      <c r="RRV72" s="414"/>
      <c r="RRW72" s="414"/>
      <c r="RRX72" s="414"/>
      <c r="RRY72" s="414"/>
      <c r="RRZ72" s="414"/>
      <c r="RSA72" s="414"/>
      <c r="RSB72" s="414"/>
      <c r="RSC72" s="414"/>
      <c r="RSD72" s="414"/>
      <c r="RSE72" s="414"/>
      <c r="RSF72" s="414"/>
      <c r="RSG72" s="414"/>
      <c r="RSH72" s="414"/>
      <c r="RSI72" s="414"/>
      <c r="RSJ72" s="414"/>
      <c r="RSK72" s="414"/>
      <c r="RSL72" s="414"/>
      <c r="RSM72" s="414"/>
      <c r="RSN72" s="414"/>
      <c r="RSO72" s="414"/>
      <c r="RSP72" s="414"/>
      <c r="RSQ72" s="414"/>
      <c r="RSR72" s="414"/>
      <c r="RSS72" s="414"/>
      <c r="RST72" s="414"/>
      <c r="RSU72" s="414"/>
      <c r="RSV72" s="414"/>
      <c r="RSW72" s="414"/>
      <c r="RSX72" s="414"/>
      <c r="RSY72" s="414"/>
      <c r="RSZ72" s="414"/>
      <c r="RTA72" s="414"/>
      <c r="RTB72" s="414"/>
      <c r="RTC72" s="414"/>
      <c r="RTD72" s="414"/>
      <c r="RTE72" s="414"/>
      <c r="RTF72" s="414"/>
      <c r="RTG72" s="414"/>
      <c r="RTH72" s="414"/>
      <c r="RTI72" s="414"/>
      <c r="RTJ72" s="414"/>
      <c r="RTK72" s="414"/>
      <c r="RTL72" s="414"/>
      <c r="RTM72" s="414"/>
      <c r="RTN72" s="414"/>
      <c r="RTO72" s="414"/>
      <c r="RTP72" s="414"/>
      <c r="RTQ72" s="414"/>
      <c r="RTR72" s="414"/>
      <c r="RTS72" s="414"/>
      <c r="RTT72" s="414"/>
      <c r="RTU72" s="414"/>
      <c r="RTV72" s="414"/>
      <c r="RTW72" s="414"/>
      <c r="RTX72" s="414"/>
      <c r="RTY72" s="414"/>
      <c r="RTZ72" s="414"/>
      <c r="RUA72" s="414"/>
      <c r="RUB72" s="414"/>
      <c r="RUC72" s="414"/>
      <c r="RUD72" s="414"/>
      <c r="RUE72" s="414"/>
      <c r="RUF72" s="414"/>
      <c r="RUG72" s="414"/>
      <c r="RUH72" s="414"/>
      <c r="RUI72" s="414"/>
      <c r="RUJ72" s="414"/>
      <c r="RUK72" s="414"/>
      <c r="RUL72" s="414"/>
      <c r="RUM72" s="414"/>
      <c r="RUN72" s="414"/>
      <c r="RUO72" s="414"/>
      <c r="RUP72" s="414"/>
      <c r="RUQ72" s="414"/>
      <c r="RUR72" s="414"/>
      <c r="RUS72" s="414"/>
      <c r="RUT72" s="414"/>
      <c r="RUU72" s="414"/>
      <c r="RUV72" s="414"/>
      <c r="RUW72" s="414"/>
      <c r="RUX72" s="414"/>
      <c r="RUY72" s="414"/>
      <c r="RUZ72" s="414"/>
      <c r="RVA72" s="414"/>
      <c r="RVB72" s="414"/>
      <c r="RVC72" s="414"/>
      <c r="RVD72" s="414"/>
      <c r="RVE72" s="414"/>
      <c r="RVF72" s="414"/>
      <c r="RVG72" s="414"/>
      <c r="RVH72" s="414"/>
      <c r="RVI72" s="414"/>
      <c r="RVJ72" s="414"/>
      <c r="RVK72" s="414"/>
      <c r="RVL72" s="414"/>
      <c r="RVM72" s="414"/>
      <c r="RVN72" s="414"/>
      <c r="RVO72" s="414"/>
      <c r="RVP72" s="414"/>
      <c r="RVQ72" s="414"/>
      <c r="RVR72" s="414"/>
      <c r="RVS72" s="414"/>
      <c r="RVT72" s="414"/>
      <c r="RVU72" s="414"/>
      <c r="RVV72" s="414"/>
      <c r="RVW72" s="414"/>
      <c r="RVX72" s="414"/>
      <c r="RVY72" s="414"/>
      <c r="RVZ72" s="414"/>
      <c r="RWA72" s="414"/>
      <c r="RWB72" s="414"/>
      <c r="RWC72" s="414"/>
      <c r="RWD72" s="414"/>
      <c r="RWE72" s="414"/>
      <c r="RWF72" s="414"/>
      <c r="RWG72" s="414"/>
      <c r="RWH72" s="414"/>
      <c r="RWI72" s="414"/>
      <c r="RWJ72" s="414"/>
      <c r="RWK72" s="414"/>
      <c r="RWL72" s="414"/>
      <c r="RWM72" s="414"/>
      <c r="RWN72" s="414"/>
      <c r="RWO72" s="414"/>
      <c r="RWP72" s="414"/>
      <c r="RWQ72" s="414"/>
      <c r="RWR72" s="414"/>
      <c r="RWS72" s="414"/>
      <c r="RWT72" s="414"/>
      <c r="RWU72" s="414"/>
      <c r="RWV72" s="414"/>
      <c r="RWW72" s="414"/>
      <c r="RWX72" s="414"/>
      <c r="RWY72" s="414"/>
      <c r="RWZ72" s="414"/>
      <c r="RXA72" s="414"/>
      <c r="RXB72" s="414"/>
      <c r="RXC72" s="414"/>
      <c r="RXD72" s="414"/>
      <c r="RXE72" s="414"/>
      <c r="RXF72" s="414"/>
      <c r="RXG72" s="414"/>
      <c r="RXH72" s="414"/>
      <c r="RXI72" s="414"/>
      <c r="RXJ72" s="414"/>
      <c r="RXK72" s="414"/>
      <c r="RXL72" s="414"/>
      <c r="RXM72" s="414"/>
      <c r="RXN72" s="414"/>
      <c r="RXO72" s="414"/>
      <c r="RXP72" s="414"/>
      <c r="RXQ72" s="414"/>
      <c r="RXR72" s="414"/>
      <c r="RXS72" s="414"/>
      <c r="RXT72" s="414"/>
      <c r="RXU72" s="414"/>
      <c r="RXV72" s="414"/>
      <c r="RXW72" s="414"/>
      <c r="RXX72" s="414"/>
      <c r="RXY72" s="414"/>
      <c r="RXZ72" s="414"/>
      <c r="RYA72" s="414"/>
      <c r="RYB72" s="414"/>
      <c r="RYC72" s="414"/>
      <c r="RYD72" s="414"/>
      <c r="RYE72" s="414"/>
      <c r="RYF72" s="414"/>
      <c r="RYG72" s="414"/>
      <c r="RYH72" s="414"/>
      <c r="RYI72" s="414"/>
      <c r="RYJ72" s="414"/>
      <c r="RYK72" s="414"/>
      <c r="RYL72" s="414"/>
      <c r="RYM72" s="414"/>
      <c r="RYN72" s="414"/>
      <c r="RYO72" s="414"/>
      <c r="RYP72" s="414"/>
      <c r="RYQ72" s="414"/>
      <c r="RYR72" s="414"/>
      <c r="RYS72" s="414"/>
      <c r="RYT72" s="414"/>
      <c r="RYU72" s="414"/>
      <c r="RYV72" s="414"/>
      <c r="RYW72" s="414"/>
      <c r="RYX72" s="414"/>
      <c r="RYY72" s="414"/>
      <c r="RYZ72" s="414"/>
      <c r="RZA72" s="414"/>
      <c r="RZB72" s="414"/>
      <c r="RZC72" s="414"/>
      <c r="RZD72" s="414"/>
      <c r="RZE72" s="414"/>
      <c r="RZF72" s="414"/>
      <c r="RZG72" s="414"/>
      <c r="RZH72" s="414"/>
      <c r="RZI72" s="414"/>
      <c r="RZJ72" s="414"/>
      <c r="RZK72" s="414"/>
      <c r="RZL72" s="414"/>
      <c r="RZM72" s="414"/>
      <c r="RZN72" s="414"/>
      <c r="RZO72" s="414"/>
      <c r="RZP72" s="414"/>
      <c r="RZQ72" s="414"/>
      <c r="RZR72" s="414"/>
      <c r="RZS72" s="414"/>
      <c r="RZT72" s="414"/>
      <c r="RZU72" s="414"/>
      <c r="RZV72" s="414"/>
      <c r="RZW72" s="414"/>
      <c r="RZX72" s="414"/>
      <c r="RZY72" s="414"/>
      <c r="RZZ72" s="414"/>
      <c r="SAA72" s="414"/>
      <c r="SAB72" s="414"/>
      <c r="SAC72" s="414"/>
      <c r="SAD72" s="414"/>
      <c r="SAE72" s="414"/>
      <c r="SAF72" s="414"/>
      <c r="SAG72" s="414"/>
      <c r="SAH72" s="414"/>
      <c r="SAI72" s="414"/>
      <c r="SAJ72" s="414"/>
      <c r="SAK72" s="414"/>
      <c r="SAL72" s="414"/>
      <c r="SAM72" s="414"/>
      <c r="SAN72" s="414"/>
      <c r="SAO72" s="414"/>
      <c r="SAP72" s="414"/>
      <c r="SAQ72" s="414"/>
      <c r="SAR72" s="414"/>
      <c r="SAS72" s="414"/>
      <c r="SAT72" s="414"/>
      <c r="SAU72" s="414"/>
      <c r="SAV72" s="414"/>
      <c r="SAW72" s="414"/>
      <c r="SAX72" s="414"/>
      <c r="SAY72" s="414"/>
      <c r="SAZ72" s="414"/>
      <c r="SBA72" s="414"/>
      <c r="SBB72" s="414"/>
      <c r="SBC72" s="414"/>
      <c r="SBD72" s="414"/>
      <c r="SBE72" s="414"/>
      <c r="SBF72" s="414"/>
      <c r="SBG72" s="414"/>
      <c r="SBH72" s="414"/>
      <c r="SBI72" s="414"/>
      <c r="SBJ72" s="414"/>
      <c r="SBK72" s="414"/>
      <c r="SBL72" s="414"/>
      <c r="SBM72" s="414"/>
      <c r="SBN72" s="414"/>
      <c r="SBO72" s="414"/>
      <c r="SBP72" s="414"/>
      <c r="SBQ72" s="414"/>
      <c r="SBR72" s="414"/>
      <c r="SBS72" s="414"/>
      <c r="SBT72" s="414"/>
      <c r="SBU72" s="414"/>
      <c r="SBV72" s="414"/>
      <c r="SBW72" s="414"/>
      <c r="SBX72" s="414"/>
      <c r="SBY72" s="414"/>
      <c r="SBZ72" s="414"/>
      <c r="SCA72" s="414"/>
      <c r="SCB72" s="414"/>
      <c r="SCC72" s="414"/>
      <c r="SCD72" s="414"/>
      <c r="SCE72" s="414"/>
      <c r="SCF72" s="414"/>
      <c r="SCG72" s="414"/>
      <c r="SCH72" s="414"/>
      <c r="SCI72" s="414"/>
      <c r="SCJ72" s="414"/>
      <c r="SCK72" s="414"/>
      <c r="SCL72" s="414"/>
      <c r="SCM72" s="414"/>
      <c r="SCN72" s="414"/>
      <c r="SCO72" s="414"/>
      <c r="SCP72" s="414"/>
      <c r="SCQ72" s="414"/>
      <c r="SCR72" s="414"/>
      <c r="SCS72" s="414"/>
      <c r="SCT72" s="414"/>
      <c r="SCU72" s="414"/>
      <c r="SCV72" s="414"/>
      <c r="SCW72" s="414"/>
      <c r="SCX72" s="414"/>
      <c r="SCY72" s="414"/>
      <c r="SCZ72" s="414"/>
      <c r="SDA72" s="414"/>
      <c r="SDB72" s="414"/>
      <c r="SDC72" s="414"/>
      <c r="SDD72" s="414"/>
      <c r="SDE72" s="414"/>
      <c r="SDF72" s="414"/>
      <c r="SDG72" s="414"/>
      <c r="SDH72" s="414"/>
      <c r="SDI72" s="414"/>
      <c r="SDJ72" s="414"/>
      <c r="SDK72" s="414"/>
      <c r="SDL72" s="414"/>
      <c r="SDM72" s="414"/>
      <c r="SDN72" s="414"/>
      <c r="SDO72" s="414"/>
      <c r="SDP72" s="414"/>
      <c r="SDQ72" s="414"/>
      <c r="SDR72" s="414"/>
      <c r="SDS72" s="414"/>
      <c r="SDT72" s="414"/>
      <c r="SDU72" s="414"/>
      <c r="SDV72" s="414"/>
      <c r="SDW72" s="414"/>
      <c r="SDX72" s="414"/>
      <c r="SDY72" s="414"/>
      <c r="SDZ72" s="414"/>
      <c r="SEA72" s="414"/>
      <c r="SEB72" s="414"/>
      <c r="SEC72" s="414"/>
      <c r="SED72" s="414"/>
      <c r="SEE72" s="414"/>
      <c r="SEF72" s="414"/>
      <c r="SEG72" s="414"/>
      <c r="SEH72" s="414"/>
      <c r="SEI72" s="414"/>
      <c r="SEJ72" s="414"/>
      <c r="SEK72" s="414"/>
      <c r="SEL72" s="414"/>
      <c r="SEM72" s="414"/>
      <c r="SEN72" s="414"/>
      <c r="SEO72" s="414"/>
      <c r="SEP72" s="414"/>
      <c r="SEQ72" s="414"/>
      <c r="SER72" s="414"/>
      <c r="SES72" s="414"/>
      <c r="SET72" s="414"/>
      <c r="SEU72" s="414"/>
      <c r="SEV72" s="414"/>
      <c r="SEW72" s="414"/>
      <c r="SEX72" s="414"/>
      <c r="SEY72" s="414"/>
      <c r="SEZ72" s="414"/>
      <c r="SFA72" s="414"/>
      <c r="SFB72" s="414"/>
      <c r="SFC72" s="414"/>
      <c r="SFD72" s="414"/>
      <c r="SFE72" s="414"/>
      <c r="SFF72" s="414"/>
      <c r="SFG72" s="414"/>
      <c r="SFH72" s="414"/>
      <c r="SFI72" s="414"/>
      <c r="SFJ72" s="414"/>
      <c r="SFK72" s="414"/>
      <c r="SFL72" s="414"/>
      <c r="SFM72" s="414"/>
      <c r="SFN72" s="414"/>
      <c r="SFO72" s="414"/>
      <c r="SFP72" s="414"/>
      <c r="SFQ72" s="414"/>
      <c r="SFR72" s="414"/>
      <c r="SFS72" s="414"/>
      <c r="SFT72" s="414"/>
      <c r="SFU72" s="414"/>
      <c r="SFV72" s="414"/>
      <c r="SFW72" s="414"/>
      <c r="SFX72" s="414"/>
      <c r="SFY72" s="414"/>
      <c r="SFZ72" s="414"/>
      <c r="SGA72" s="414"/>
      <c r="SGB72" s="414"/>
      <c r="SGC72" s="414"/>
      <c r="SGD72" s="414"/>
      <c r="SGE72" s="414"/>
      <c r="SGF72" s="414"/>
      <c r="SGG72" s="414"/>
      <c r="SGH72" s="414"/>
      <c r="SGI72" s="414"/>
      <c r="SGJ72" s="414"/>
      <c r="SGK72" s="414"/>
      <c r="SGL72" s="414"/>
      <c r="SGM72" s="414"/>
      <c r="SGN72" s="414"/>
      <c r="SGO72" s="414"/>
      <c r="SGP72" s="414"/>
      <c r="SGQ72" s="414"/>
      <c r="SGR72" s="414"/>
      <c r="SGS72" s="414"/>
      <c r="SGT72" s="414"/>
      <c r="SGU72" s="414"/>
      <c r="SGV72" s="414"/>
      <c r="SGW72" s="414"/>
      <c r="SGX72" s="414"/>
      <c r="SGY72" s="414"/>
      <c r="SGZ72" s="414"/>
      <c r="SHA72" s="414"/>
      <c r="SHB72" s="414"/>
      <c r="SHC72" s="414"/>
      <c r="SHD72" s="414"/>
      <c r="SHE72" s="414"/>
      <c r="SHF72" s="414"/>
      <c r="SHG72" s="414"/>
      <c r="SHH72" s="414"/>
      <c r="SHI72" s="414"/>
      <c r="SHJ72" s="414"/>
      <c r="SHK72" s="414"/>
      <c r="SHL72" s="414"/>
      <c r="SHM72" s="414"/>
      <c r="SHN72" s="414"/>
      <c r="SHO72" s="414"/>
      <c r="SHP72" s="414"/>
      <c r="SHQ72" s="414"/>
      <c r="SHR72" s="414"/>
      <c r="SHS72" s="414"/>
      <c r="SHT72" s="414"/>
      <c r="SHU72" s="414"/>
      <c r="SHV72" s="414"/>
      <c r="SHW72" s="414"/>
      <c r="SHX72" s="414"/>
      <c r="SHY72" s="414"/>
      <c r="SHZ72" s="414"/>
      <c r="SIA72" s="414"/>
      <c r="SIB72" s="414"/>
      <c r="SIC72" s="414"/>
      <c r="SID72" s="414"/>
      <c r="SIE72" s="414"/>
      <c r="SIF72" s="414"/>
      <c r="SIG72" s="414"/>
      <c r="SIH72" s="414"/>
      <c r="SII72" s="414"/>
      <c r="SIJ72" s="414"/>
      <c r="SIK72" s="414"/>
      <c r="SIL72" s="414"/>
      <c r="SIM72" s="414"/>
      <c r="SIN72" s="414"/>
      <c r="SIO72" s="414"/>
      <c r="SIP72" s="414"/>
      <c r="SIQ72" s="414"/>
      <c r="SIR72" s="414"/>
      <c r="SIS72" s="414"/>
      <c r="SIT72" s="414"/>
      <c r="SIU72" s="414"/>
      <c r="SIV72" s="414"/>
      <c r="SIW72" s="414"/>
      <c r="SIX72" s="414"/>
      <c r="SIY72" s="414"/>
      <c r="SIZ72" s="414"/>
      <c r="SJA72" s="414"/>
      <c r="SJB72" s="414"/>
      <c r="SJC72" s="414"/>
      <c r="SJD72" s="414"/>
      <c r="SJE72" s="414"/>
      <c r="SJF72" s="414"/>
      <c r="SJG72" s="414"/>
      <c r="SJH72" s="414"/>
      <c r="SJI72" s="414"/>
      <c r="SJJ72" s="414"/>
      <c r="SJK72" s="414"/>
      <c r="SJL72" s="414"/>
      <c r="SJM72" s="414"/>
      <c r="SJN72" s="414"/>
      <c r="SJO72" s="414"/>
      <c r="SJP72" s="414"/>
      <c r="SJQ72" s="414"/>
      <c r="SJR72" s="414"/>
      <c r="SJS72" s="414"/>
      <c r="SJT72" s="414"/>
      <c r="SJU72" s="414"/>
      <c r="SJV72" s="414"/>
      <c r="SJW72" s="414"/>
      <c r="SJX72" s="414"/>
      <c r="SJY72" s="414"/>
      <c r="SJZ72" s="414"/>
      <c r="SKA72" s="414"/>
      <c r="SKB72" s="414"/>
      <c r="SKC72" s="414"/>
      <c r="SKD72" s="414"/>
      <c r="SKE72" s="414"/>
      <c r="SKF72" s="414"/>
      <c r="SKG72" s="414"/>
      <c r="SKH72" s="414"/>
      <c r="SKI72" s="414"/>
      <c r="SKJ72" s="414"/>
      <c r="SKK72" s="414"/>
      <c r="SKL72" s="414"/>
      <c r="SKM72" s="414"/>
      <c r="SKN72" s="414"/>
      <c r="SKO72" s="414"/>
      <c r="SKP72" s="414"/>
      <c r="SKQ72" s="414"/>
      <c r="SKR72" s="414"/>
      <c r="SKS72" s="414"/>
      <c r="SKT72" s="414"/>
      <c r="SKU72" s="414"/>
      <c r="SKV72" s="414"/>
      <c r="SKW72" s="414"/>
      <c r="SKX72" s="414"/>
      <c r="SKY72" s="414"/>
      <c r="SKZ72" s="414"/>
      <c r="SLA72" s="414"/>
      <c r="SLB72" s="414"/>
      <c r="SLC72" s="414"/>
      <c r="SLD72" s="414"/>
      <c r="SLE72" s="414"/>
      <c r="SLF72" s="414"/>
      <c r="SLG72" s="414"/>
      <c r="SLH72" s="414"/>
      <c r="SLI72" s="414"/>
      <c r="SLJ72" s="414"/>
      <c r="SLK72" s="414"/>
      <c r="SLL72" s="414"/>
      <c r="SLM72" s="414"/>
      <c r="SLN72" s="414"/>
      <c r="SLO72" s="414"/>
      <c r="SLP72" s="414"/>
      <c r="SLQ72" s="414"/>
      <c r="SLR72" s="414"/>
      <c r="SLS72" s="414"/>
      <c r="SLT72" s="414"/>
      <c r="SLU72" s="414"/>
      <c r="SLV72" s="414"/>
      <c r="SLW72" s="414"/>
      <c r="SLX72" s="414"/>
      <c r="SLY72" s="414"/>
      <c r="SLZ72" s="414"/>
      <c r="SMA72" s="414"/>
      <c r="SMB72" s="414"/>
      <c r="SMC72" s="414"/>
      <c r="SMD72" s="414"/>
      <c r="SME72" s="414"/>
      <c r="SMF72" s="414"/>
      <c r="SMG72" s="414"/>
      <c r="SMH72" s="414"/>
      <c r="SMI72" s="414"/>
      <c r="SMJ72" s="414"/>
      <c r="SMK72" s="414"/>
      <c r="SML72" s="414"/>
      <c r="SMM72" s="414"/>
      <c r="SMN72" s="414"/>
      <c r="SMO72" s="414"/>
      <c r="SMP72" s="414"/>
      <c r="SMQ72" s="414"/>
      <c r="SMR72" s="414"/>
      <c r="SMS72" s="414"/>
      <c r="SMT72" s="414"/>
      <c r="SMU72" s="414"/>
      <c r="SMV72" s="414"/>
      <c r="SMW72" s="414"/>
      <c r="SMX72" s="414"/>
      <c r="SMY72" s="414"/>
      <c r="SMZ72" s="414"/>
      <c r="SNA72" s="414"/>
      <c r="SNB72" s="414"/>
      <c r="SNC72" s="414"/>
      <c r="SND72" s="414"/>
      <c r="SNE72" s="414"/>
      <c r="SNF72" s="414"/>
      <c r="SNG72" s="414"/>
      <c r="SNH72" s="414"/>
      <c r="SNI72" s="414"/>
      <c r="SNJ72" s="414"/>
      <c r="SNK72" s="414"/>
      <c r="SNL72" s="414"/>
      <c r="SNM72" s="414"/>
      <c r="SNN72" s="414"/>
      <c r="SNO72" s="414"/>
      <c r="SNP72" s="414"/>
      <c r="SNQ72" s="414"/>
      <c r="SNR72" s="414"/>
      <c r="SNS72" s="414"/>
      <c r="SNT72" s="414"/>
      <c r="SNU72" s="414"/>
      <c r="SNV72" s="414"/>
      <c r="SNW72" s="414"/>
      <c r="SNX72" s="414"/>
      <c r="SNY72" s="414"/>
      <c r="SNZ72" s="414"/>
      <c r="SOA72" s="414"/>
      <c r="SOB72" s="414"/>
      <c r="SOC72" s="414"/>
      <c r="SOD72" s="414"/>
      <c r="SOE72" s="414"/>
      <c r="SOF72" s="414"/>
      <c r="SOG72" s="414"/>
      <c r="SOH72" s="414"/>
      <c r="SOI72" s="414"/>
      <c r="SOJ72" s="414"/>
      <c r="SOK72" s="414"/>
      <c r="SOL72" s="414"/>
      <c r="SOM72" s="414"/>
      <c r="SON72" s="414"/>
      <c r="SOO72" s="414"/>
      <c r="SOP72" s="414"/>
      <c r="SOQ72" s="414"/>
      <c r="SOR72" s="414"/>
      <c r="SOS72" s="414"/>
      <c r="SOT72" s="414"/>
      <c r="SOU72" s="414"/>
      <c r="SOV72" s="414"/>
      <c r="SOW72" s="414"/>
      <c r="SOX72" s="414"/>
      <c r="SOY72" s="414"/>
      <c r="SOZ72" s="414"/>
      <c r="SPA72" s="414"/>
      <c r="SPB72" s="414"/>
      <c r="SPC72" s="414"/>
      <c r="SPD72" s="414"/>
      <c r="SPE72" s="414"/>
      <c r="SPF72" s="414"/>
      <c r="SPG72" s="414"/>
      <c r="SPH72" s="414"/>
      <c r="SPI72" s="414"/>
      <c r="SPJ72" s="414"/>
      <c r="SPK72" s="414"/>
      <c r="SPL72" s="414"/>
      <c r="SPM72" s="414"/>
      <c r="SPN72" s="414"/>
      <c r="SPO72" s="414"/>
      <c r="SPP72" s="414"/>
      <c r="SPQ72" s="414"/>
      <c r="SPR72" s="414"/>
      <c r="SPS72" s="414"/>
      <c r="SPT72" s="414"/>
      <c r="SPU72" s="414"/>
      <c r="SPV72" s="414"/>
      <c r="SPW72" s="414"/>
      <c r="SPX72" s="414"/>
      <c r="SPY72" s="414"/>
      <c r="SPZ72" s="414"/>
      <c r="SQA72" s="414"/>
      <c r="SQB72" s="414"/>
      <c r="SQC72" s="414"/>
      <c r="SQD72" s="414"/>
      <c r="SQE72" s="414"/>
      <c r="SQF72" s="414"/>
      <c r="SQG72" s="414"/>
      <c r="SQH72" s="414"/>
      <c r="SQI72" s="414"/>
      <c r="SQJ72" s="414"/>
      <c r="SQK72" s="414"/>
      <c r="SQL72" s="414"/>
      <c r="SQM72" s="414"/>
      <c r="SQN72" s="414"/>
      <c r="SQO72" s="414"/>
      <c r="SQP72" s="414"/>
      <c r="SQQ72" s="414"/>
      <c r="SQR72" s="414"/>
      <c r="SQS72" s="414"/>
      <c r="SQT72" s="414"/>
      <c r="SQU72" s="414"/>
      <c r="SQV72" s="414"/>
      <c r="SQW72" s="414"/>
      <c r="SQX72" s="414"/>
      <c r="SQY72" s="414"/>
      <c r="SQZ72" s="414"/>
      <c r="SRA72" s="414"/>
      <c r="SRB72" s="414"/>
      <c r="SRC72" s="414"/>
      <c r="SRD72" s="414"/>
      <c r="SRE72" s="414"/>
      <c r="SRF72" s="414"/>
      <c r="SRG72" s="414"/>
      <c r="SRH72" s="414"/>
      <c r="SRI72" s="414"/>
      <c r="SRJ72" s="414"/>
      <c r="SRK72" s="414"/>
      <c r="SRL72" s="414"/>
      <c r="SRM72" s="414"/>
      <c r="SRN72" s="414"/>
      <c r="SRO72" s="414"/>
      <c r="SRP72" s="414"/>
      <c r="SRQ72" s="414"/>
      <c r="SRR72" s="414"/>
      <c r="SRS72" s="414"/>
      <c r="SRT72" s="414"/>
      <c r="SRU72" s="414"/>
      <c r="SRV72" s="414"/>
      <c r="SRW72" s="414"/>
      <c r="SRX72" s="414"/>
      <c r="SRY72" s="414"/>
      <c r="SRZ72" s="414"/>
      <c r="SSA72" s="414"/>
      <c r="SSB72" s="414"/>
      <c r="SSC72" s="414"/>
      <c r="SSD72" s="414"/>
      <c r="SSE72" s="414"/>
      <c r="SSF72" s="414"/>
      <c r="SSG72" s="414"/>
      <c r="SSH72" s="414"/>
      <c r="SSI72" s="414"/>
      <c r="SSJ72" s="414"/>
      <c r="SSK72" s="414"/>
      <c r="SSL72" s="414"/>
      <c r="SSM72" s="414"/>
      <c r="SSN72" s="414"/>
      <c r="SSO72" s="414"/>
      <c r="SSP72" s="414"/>
      <c r="SSQ72" s="414"/>
      <c r="SSR72" s="414"/>
      <c r="SSS72" s="414"/>
      <c r="SST72" s="414"/>
      <c r="SSU72" s="414"/>
      <c r="SSV72" s="414"/>
      <c r="SSW72" s="414"/>
      <c r="SSX72" s="414"/>
      <c r="SSY72" s="414"/>
      <c r="SSZ72" s="414"/>
      <c r="STA72" s="414"/>
      <c r="STB72" s="414"/>
      <c r="STC72" s="414"/>
      <c r="STD72" s="414"/>
      <c r="STE72" s="414"/>
      <c r="STF72" s="414"/>
      <c r="STG72" s="414"/>
      <c r="STH72" s="414"/>
      <c r="STI72" s="414"/>
      <c r="STJ72" s="414"/>
      <c r="STK72" s="414"/>
      <c r="STL72" s="414"/>
      <c r="STM72" s="414"/>
      <c r="STN72" s="414"/>
      <c r="STO72" s="414"/>
      <c r="STP72" s="414"/>
      <c r="STQ72" s="414"/>
      <c r="STR72" s="414"/>
      <c r="STS72" s="414"/>
      <c r="STT72" s="414"/>
      <c r="STU72" s="414"/>
      <c r="STV72" s="414"/>
      <c r="STW72" s="414"/>
      <c r="STX72" s="414"/>
      <c r="STY72" s="414"/>
      <c r="STZ72" s="414"/>
      <c r="SUA72" s="414"/>
      <c r="SUB72" s="414"/>
      <c r="SUC72" s="414"/>
      <c r="SUD72" s="414"/>
      <c r="SUE72" s="414"/>
      <c r="SUF72" s="414"/>
      <c r="SUG72" s="414"/>
      <c r="SUH72" s="414"/>
      <c r="SUI72" s="414"/>
      <c r="SUJ72" s="414"/>
      <c r="SUK72" s="414"/>
      <c r="SUL72" s="414"/>
      <c r="SUM72" s="414"/>
      <c r="SUN72" s="414"/>
      <c r="SUO72" s="414"/>
      <c r="SUP72" s="414"/>
      <c r="SUQ72" s="414"/>
      <c r="SUR72" s="414"/>
      <c r="SUS72" s="414"/>
      <c r="SUT72" s="414"/>
      <c r="SUU72" s="414"/>
      <c r="SUV72" s="414"/>
      <c r="SUW72" s="414"/>
      <c r="SUX72" s="414"/>
      <c r="SUY72" s="414"/>
      <c r="SUZ72" s="414"/>
      <c r="SVA72" s="414"/>
      <c r="SVB72" s="414"/>
      <c r="SVC72" s="414"/>
      <c r="SVD72" s="414"/>
      <c r="SVE72" s="414"/>
      <c r="SVF72" s="414"/>
      <c r="SVG72" s="414"/>
      <c r="SVH72" s="414"/>
      <c r="SVI72" s="414"/>
      <c r="SVJ72" s="414"/>
      <c r="SVK72" s="414"/>
      <c r="SVL72" s="414"/>
      <c r="SVM72" s="414"/>
      <c r="SVN72" s="414"/>
      <c r="SVO72" s="414"/>
      <c r="SVP72" s="414"/>
      <c r="SVQ72" s="414"/>
      <c r="SVR72" s="414"/>
      <c r="SVS72" s="414"/>
      <c r="SVT72" s="414"/>
      <c r="SVU72" s="414"/>
      <c r="SVV72" s="414"/>
      <c r="SVW72" s="414"/>
      <c r="SVX72" s="414"/>
      <c r="SVY72" s="414"/>
      <c r="SVZ72" s="414"/>
      <c r="SWA72" s="414"/>
      <c r="SWB72" s="414"/>
      <c r="SWC72" s="414"/>
      <c r="SWD72" s="414"/>
      <c r="SWE72" s="414"/>
      <c r="SWF72" s="414"/>
      <c r="SWG72" s="414"/>
      <c r="SWH72" s="414"/>
      <c r="SWI72" s="414"/>
      <c r="SWJ72" s="414"/>
      <c r="SWK72" s="414"/>
      <c r="SWL72" s="414"/>
      <c r="SWM72" s="414"/>
      <c r="SWN72" s="414"/>
      <c r="SWO72" s="414"/>
      <c r="SWP72" s="414"/>
      <c r="SWQ72" s="414"/>
      <c r="SWR72" s="414"/>
      <c r="SWS72" s="414"/>
      <c r="SWT72" s="414"/>
      <c r="SWU72" s="414"/>
      <c r="SWV72" s="414"/>
      <c r="SWW72" s="414"/>
      <c r="SWX72" s="414"/>
      <c r="SWY72" s="414"/>
      <c r="SWZ72" s="414"/>
      <c r="SXA72" s="414"/>
      <c r="SXB72" s="414"/>
      <c r="SXC72" s="414"/>
      <c r="SXD72" s="414"/>
      <c r="SXE72" s="414"/>
      <c r="SXF72" s="414"/>
      <c r="SXG72" s="414"/>
      <c r="SXH72" s="414"/>
      <c r="SXI72" s="414"/>
      <c r="SXJ72" s="414"/>
      <c r="SXK72" s="414"/>
      <c r="SXL72" s="414"/>
      <c r="SXM72" s="414"/>
      <c r="SXN72" s="414"/>
      <c r="SXO72" s="414"/>
      <c r="SXP72" s="414"/>
      <c r="SXQ72" s="414"/>
      <c r="SXR72" s="414"/>
      <c r="SXS72" s="414"/>
      <c r="SXT72" s="414"/>
      <c r="SXU72" s="414"/>
      <c r="SXV72" s="414"/>
      <c r="SXW72" s="414"/>
      <c r="SXX72" s="414"/>
      <c r="SXY72" s="414"/>
      <c r="SXZ72" s="414"/>
      <c r="SYA72" s="414"/>
      <c r="SYB72" s="414"/>
      <c r="SYC72" s="414"/>
      <c r="SYD72" s="414"/>
      <c r="SYE72" s="414"/>
      <c r="SYF72" s="414"/>
      <c r="SYG72" s="414"/>
      <c r="SYH72" s="414"/>
      <c r="SYI72" s="414"/>
      <c r="SYJ72" s="414"/>
      <c r="SYK72" s="414"/>
      <c r="SYL72" s="414"/>
      <c r="SYM72" s="414"/>
      <c r="SYN72" s="414"/>
      <c r="SYO72" s="414"/>
      <c r="SYP72" s="414"/>
      <c r="SYQ72" s="414"/>
      <c r="SYR72" s="414"/>
      <c r="SYS72" s="414"/>
      <c r="SYT72" s="414"/>
      <c r="SYU72" s="414"/>
      <c r="SYV72" s="414"/>
      <c r="SYW72" s="414"/>
      <c r="SYX72" s="414"/>
      <c r="SYY72" s="414"/>
      <c r="SYZ72" s="414"/>
      <c r="SZA72" s="414"/>
      <c r="SZB72" s="414"/>
      <c r="SZC72" s="414"/>
      <c r="SZD72" s="414"/>
      <c r="SZE72" s="414"/>
      <c r="SZF72" s="414"/>
      <c r="SZG72" s="414"/>
      <c r="SZH72" s="414"/>
      <c r="SZI72" s="414"/>
      <c r="SZJ72" s="414"/>
      <c r="SZK72" s="414"/>
      <c r="SZL72" s="414"/>
      <c r="SZM72" s="414"/>
      <c r="SZN72" s="414"/>
      <c r="SZO72" s="414"/>
      <c r="SZP72" s="414"/>
      <c r="SZQ72" s="414"/>
      <c r="SZR72" s="414"/>
      <c r="SZS72" s="414"/>
      <c r="SZT72" s="414"/>
      <c r="SZU72" s="414"/>
      <c r="SZV72" s="414"/>
      <c r="SZW72" s="414"/>
      <c r="SZX72" s="414"/>
      <c r="SZY72" s="414"/>
      <c r="SZZ72" s="414"/>
      <c r="TAA72" s="414"/>
      <c r="TAB72" s="414"/>
      <c r="TAC72" s="414"/>
      <c r="TAD72" s="414"/>
      <c r="TAE72" s="414"/>
      <c r="TAF72" s="414"/>
      <c r="TAG72" s="414"/>
      <c r="TAH72" s="414"/>
      <c r="TAI72" s="414"/>
      <c r="TAJ72" s="414"/>
      <c r="TAK72" s="414"/>
      <c r="TAL72" s="414"/>
      <c r="TAM72" s="414"/>
      <c r="TAN72" s="414"/>
      <c r="TAO72" s="414"/>
      <c r="TAP72" s="414"/>
      <c r="TAQ72" s="414"/>
      <c r="TAR72" s="414"/>
      <c r="TAS72" s="414"/>
      <c r="TAT72" s="414"/>
      <c r="TAU72" s="414"/>
      <c r="TAV72" s="414"/>
      <c r="TAW72" s="414"/>
      <c r="TAX72" s="414"/>
      <c r="TAY72" s="414"/>
      <c r="TAZ72" s="414"/>
      <c r="TBA72" s="414"/>
      <c r="TBB72" s="414"/>
      <c r="TBC72" s="414"/>
      <c r="TBD72" s="414"/>
      <c r="TBE72" s="414"/>
      <c r="TBF72" s="414"/>
      <c r="TBG72" s="414"/>
      <c r="TBH72" s="414"/>
      <c r="TBI72" s="414"/>
      <c r="TBJ72" s="414"/>
      <c r="TBK72" s="414"/>
      <c r="TBL72" s="414"/>
      <c r="TBM72" s="414"/>
      <c r="TBN72" s="414"/>
      <c r="TBO72" s="414"/>
      <c r="TBP72" s="414"/>
      <c r="TBQ72" s="414"/>
      <c r="TBR72" s="414"/>
      <c r="TBS72" s="414"/>
      <c r="TBT72" s="414"/>
      <c r="TBU72" s="414"/>
      <c r="TBV72" s="414"/>
      <c r="TBW72" s="414"/>
      <c r="TBX72" s="414"/>
      <c r="TBY72" s="414"/>
      <c r="TBZ72" s="414"/>
      <c r="TCA72" s="414"/>
      <c r="TCB72" s="414"/>
      <c r="TCC72" s="414"/>
      <c r="TCD72" s="414"/>
      <c r="TCE72" s="414"/>
      <c r="TCF72" s="414"/>
      <c r="TCG72" s="414"/>
      <c r="TCH72" s="414"/>
      <c r="TCI72" s="414"/>
      <c r="TCJ72" s="414"/>
      <c r="TCK72" s="414"/>
      <c r="TCL72" s="414"/>
      <c r="TCM72" s="414"/>
      <c r="TCN72" s="414"/>
      <c r="TCO72" s="414"/>
      <c r="TCP72" s="414"/>
      <c r="TCQ72" s="414"/>
      <c r="TCR72" s="414"/>
      <c r="TCS72" s="414"/>
      <c r="TCT72" s="414"/>
      <c r="TCU72" s="414"/>
      <c r="TCV72" s="414"/>
      <c r="TCW72" s="414"/>
      <c r="TCX72" s="414"/>
      <c r="TCY72" s="414"/>
      <c r="TCZ72" s="414"/>
      <c r="TDA72" s="414"/>
      <c r="TDB72" s="414"/>
      <c r="TDC72" s="414"/>
      <c r="TDD72" s="414"/>
      <c r="TDE72" s="414"/>
      <c r="TDF72" s="414"/>
      <c r="TDG72" s="414"/>
      <c r="TDH72" s="414"/>
      <c r="TDI72" s="414"/>
      <c r="TDJ72" s="414"/>
      <c r="TDK72" s="414"/>
      <c r="TDL72" s="414"/>
      <c r="TDM72" s="414"/>
      <c r="TDN72" s="414"/>
      <c r="TDO72" s="414"/>
      <c r="TDP72" s="414"/>
      <c r="TDQ72" s="414"/>
      <c r="TDR72" s="414"/>
      <c r="TDS72" s="414"/>
      <c r="TDT72" s="414"/>
      <c r="TDU72" s="414"/>
      <c r="TDV72" s="414"/>
      <c r="TDW72" s="414"/>
      <c r="TDX72" s="414"/>
      <c r="TDY72" s="414"/>
      <c r="TDZ72" s="414"/>
      <c r="TEA72" s="414"/>
      <c r="TEB72" s="414"/>
      <c r="TEC72" s="414"/>
      <c r="TED72" s="414"/>
      <c r="TEE72" s="414"/>
      <c r="TEF72" s="414"/>
      <c r="TEG72" s="414"/>
      <c r="TEH72" s="414"/>
      <c r="TEI72" s="414"/>
      <c r="TEJ72" s="414"/>
      <c r="TEK72" s="414"/>
      <c r="TEL72" s="414"/>
      <c r="TEM72" s="414"/>
      <c r="TEN72" s="414"/>
      <c r="TEO72" s="414"/>
      <c r="TEP72" s="414"/>
      <c r="TEQ72" s="414"/>
      <c r="TER72" s="414"/>
      <c r="TES72" s="414"/>
      <c r="TET72" s="414"/>
      <c r="TEU72" s="414"/>
      <c r="TEV72" s="414"/>
      <c r="TEW72" s="414"/>
      <c r="TEX72" s="414"/>
      <c r="TEY72" s="414"/>
      <c r="TEZ72" s="414"/>
      <c r="TFA72" s="414"/>
      <c r="TFB72" s="414"/>
      <c r="TFC72" s="414"/>
      <c r="TFD72" s="414"/>
      <c r="TFE72" s="414"/>
      <c r="TFF72" s="414"/>
      <c r="TFG72" s="414"/>
      <c r="TFH72" s="414"/>
      <c r="TFI72" s="414"/>
      <c r="TFJ72" s="414"/>
      <c r="TFK72" s="414"/>
      <c r="TFL72" s="414"/>
      <c r="TFM72" s="414"/>
      <c r="TFN72" s="414"/>
      <c r="TFO72" s="414"/>
      <c r="TFP72" s="414"/>
      <c r="TFQ72" s="414"/>
      <c r="TFR72" s="414"/>
      <c r="TFS72" s="414"/>
      <c r="TFT72" s="414"/>
      <c r="TFU72" s="414"/>
      <c r="TFV72" s="414"/>
      <c r="TFW72" s="414"/>
      <c r="TFX72" s="414"/>
      <c r="TFY72" s="414"/>
      <c r="TFZ72" s="414"/>
      <c r="TGA72" s="414"/>
      <c r="TGB72" s="414"/>
      <c r="TGC72" s="414"/>
      <c r="TGD72" s="414"/>
      <c r="TGE72" s="414"/>
      <c r="TGF72" s="414"/>
      <c r="TGG72" s="414"/>
      <c r="TGH72" s="414"/>
      <c r="TGI72" s="414"/>
      <c r="TGJ72" s="414"/>
      <c r="TGK72" s="414"/>
      <c r="TGL72" s="414"/>
      <c r="TGM72" s="414"/>
      <c r="TGN72" s="414"/>
      <c r="TGO72" s="414"/>
      <c r="TGP72" s="414"/>
      <c r="TGQ72" s="414"/>
      <c r="TGR72" s="414"/>
      <c r="TGS72" s="414"/>
      <c r="TGT72" s="414"/>
      <c r="TGU72" s="414"/>
      <c r="TGV72" s="414"/>
      <c r="TGW72" s="414"/>
      <c r="TGX72" s="414"/>
      <c r="TGY72" s="414"/>
      <c r="TGZ72" s="414"/>
      <c r="THA72" s="414"/>
      <c r="THB72" s="414"/>
      <c r="THC72" s="414"/>
      <c r="THD72" s="414"/>
      <c r="THE72" s="414"/>
      <c r="THF72" s="414"/>
      <c r="THG72" s="414"/>
      <c r="THH72" s="414"/>
      <c r="THI72" s="414"/>
      <c r="THJ72" s="414"/>
      <c r="THK72" s="414"/>
      <c r="THL72" s="414"/>
      <c r="THM72" s="414"/>
      <c r="THN72" s="414"/>
      <c r="THO72" s="414"/>
      <c r="THP72" s="414"/>
      <c r="THQ72" s="414"/>
      <c r="THR72" s="414"/>
      <c r="THS72" s="414"/>
      <c r="THT72" s="414"/>
      <c r="THU72" s="414"/>
      <c r="THV72" s="414"/>
      <c r="THW72" s="414"/>
      <c r="THX72" s="414"/>
      <c r="THY72" s="414"/>
      <c r="THZ72" s="414"/>
      <c r="TIA72" s="414"/>
      <c r="TIB72" s="414"/>
      <c r="TIC72" s="414"/>
      <c r="TID72" s="414"/>
      <c r="TIE72" s="414"/>
      <c r="TIF72" s="414"/>
      <c r="TIG72" s="414"/>
      <c r="TIH72" s="414"/>
      <c r="TII72" s="414"/>
      <c r="TIJ72" s="414"/>
      <c r="TIK72" s="414"/>
      <c r="TIL72" s="414"/>
      <c r="TIM72" s="414"/>
      <c r="TIN72" s="414"/>
      <c r="TIO72" s="414"/>
      <c r="TIP72" s="414"/>
      <c r="TIQ72" s="414"/>
      <c r="TIR72" s="414"/>
      <c r="TIS72" s="414"/>
      <c r="TIT72" s="414"/>
      <c r="TIU72" s="414"/>
      <c r="TIV72" s="414"/>
      <c r="TIW72" s="414"/>
      <c r="TIX72" s="414"/>
      <c r="TIY72" s="414"/>
      <c r="TIZ72" s="414"/>
      <c r="TJA72" s="414"/>
      <c r="TJB72" s="414"/>
      <c r="TJC72" s="414"/>
      <c r="TJD72" s="414"/>
      <c r="TJE72" s="414"/>
      <c r="TJF72" s="414"/>
      <c r="TJG72" s="414"/>
      <c r="TJH72" s="414"/>
      <c r="TJI72" s="414"/>
      <c r="TJJ72" s="414"/>
      <c r="TJK72" s="414"/>
      <c r="TJL72" s="414"/>
      <c r="TJM72" s="414"/>
      <c r="TJN72" s="414"/>
      <c r="TJO72" s="414"/>
      <c r="TJP72" s="414"/>
      <c r="TJQ72" s="414"/>
      <c r="TJR72" s="414"/>
      <c r="TJS72" s="414"/>
      <c r="TJT72" s="414"/>
      <c r="TJU72" s="414"/>
      <c r="TJV72" s="414"/>
      <c r="TJW72" s="414"/>
      <c r="TJX72" s="414"/>
      <c r="TJY72" s="414"/>
      <c r="TJZ72" s="414"/>
      <c r="TKA72" s="414"/>
      <c r="TKB72" s="414"/>
      <c r="TKC72" s="414"/>
      <c r="TKD72" s="414"/>
      <c r="TKE72" s="414"/>
      <c r="TKF72" s="414"/>
      <c r="TKG72" s="414"/>
      <c r="TKH72" s="414"/>
      <c r="TKI72" s="414"/>
      <c r="TKJ72" s="414"/>
      <c r="TKK72" s="414"/>
      <c r="TKL72" s="414"/>
      <c r="TKM72" s="414"/>
      <c r="TKN72" s="414"/>
      <c r="TKO72" s="414"/>
      <c r="TKP72" s="414"/>
      <c r="TKQ72" s="414"/>
      <c r="TKR72" s="414"/>
      <c r="TKS72" s="414"/>
      <c r="TKT72" s="414"/>
      <c r="TKU72" s="414"/>
      <c r="TKV72" s="414"/>
      <c r="TKW72" s="414"/>
      <c r="TKX72" s="414"/>
      <c r="TKY72" s="414"/>
      <c r="TKZ72" s="414"/>
      <c r="TLA72" s="414"/>
      <c r="TLB72" s="414"/>
      <c r="TLC72" s="414"/>
      <c r="TLD72" s="414"/>
      <c r="TLE72" s="414"/>
      <c r="TLF72" s="414"/>
      <c r="TLG72" s="414"/>
      <c r="TLH72" s="414"/>
      <c r="TLI72" s="414"/>
      <c r="TLJ72" s="414"/>
      <c r="TLK72" s="414"/>
      <c r="TLL72" s="414"/>
      <c r="TLM72" s="414"/>
      <c r="TLN72" s="414"/>
      <c r="TLO72" s="414"/>
      <c r="TLP72" s="414"/>
      <c r="TLQ72" s="414"/>
      <c r="TLR72" s="414"/>
      <c r="TLS72" s="414"/>
      <c r="TLT72" s="414"/>
      <c r="TLU72" s="414"/>
      <c r="TLV72" s="414"/>
      <c r="TLW72" s="414"/>
      <c r="TLX72" s="414"/>
      <c r="TLY72" s="414"/>
      <c r="TLZ72" s="414"/>
      <c r="TMA72" s="414"/>
      <c r="TMB72" s="414"/>
      <c r="TMC72" s="414"/>
      <c r="TMD72" s="414"/>
      <c r="TME72" s="414"/>
      <c r="TMF72" s="414"/>
      <c r="TMG72" s="414"/>
      <c r="TMH72" s="414"/>
      <c r="TMI72" s="414"/>
      <c r="TMJ72" s="414"/>
      <c r="TMK72" s="414"/>
      <c r="TML72" s="414"/>
      <c r="TMM72" s="414"/>
      <c r="TMN72" s="414"/>
      <c r="TMO72" s="414"/>
      <c r="TMP72" s="414"/>
      <c r="TMQ72" s="414"/>
      <c r="TMR72" s="414"/>
      <c r="TMS72" s="414"/>
      <c r="TMT72" s="414"/>
      <c r="TMU72" s="414"/>
      <c r="TMV72" s="414"/>
      <c r="TMW72" s="414"/>
      <c r="TMX72" s="414"/>
      <c r="TMY72" s="414"/>
      <c r="TMZ72" s="414"/>
      <c r="TNA72" s="414"/>
      <c r="TNB72" s="414"/>
      <c r="TNC72" s="414"/>
      <c r="TND72" s="414"/>
      <c r="TNE72" s="414"/>
      <c r="TNF72" s="414"/>
      <c r="TNG72" s="414"/>
      <c r="TNH72" s="414"/>
      <c r="TNI72" s="414"/>
      <c r="TNJ72" s="414"/>
      <c r="TNK72" s="414"/>
      <c r="TNL72" s="414"/>
      <c r="TNM72" s="414"/>
      <c r="TNN72" s="414"/>
      <c r="TNO72" s="414"/>
      <c r="TNP72" s="414"/>
      <c r="TNQ72" s="414"/>
      <c r="TNR72" s="414"/>
      <c r="TNS72" s="414"/>
      <c r="TNT72" s="414"/>
      <c r="TNU72" s="414"/>
      <c r="TNV72" s="414"/>
      <c r="TNW72" s="414"/>
      <c r="TNX72" s="414"/>
      <c r="TNY72" s="414"/>
      <c r="TNZ72" s="414"/>
      <c r="TOA72" s="414"/>
      <c r="TOB72" s="414"/>
      <c r="TOC72" s="414"/>
      <c r="TOD72" s="414"/>
      <c r="TOE72" s="414"/>
      <c r="TOF72" s="414"/>
      <c r="TOG72" s="414"/>
      <c r="TOH72" s="414"/>
      <c r="TOI72" s="414"/>
      <c r="TOJ72" s="414"/>
      <c r="TOK72" s="414"/>
      <c r="TOL72" s="414"/>
      <c r="TOM72" s="414"/>
      <c r="TON72" s="414"/>
      <c r="TOO72" s="414"/>
      <c r="TOP72" s="414"/>
      <c r="TOQ72" s="414"/>
      <c r="TOR72" s="414"/>
      <c r="TOS72" s="414"/>
      <c r="TOT72" s="414"/>
      <c r="TOU72" s="414"/>
      <c r="TOV72" s="414"/>
      <c r="TOW72" s="414"/>
      <c r="TOX72" s="414"/>
      <c r="TOY72" s="414"/>
      <c r="TOZ72" s="414"/>
      <c r="TPA72" s="414"/>
      <c r="TPB72" s="414"/>
      <c r="TPC72" s="414"/>
      <c r="TPD72" s="414"/>
      <c r="TPE72" s="414"/>
      <c r="TPF72" s="414"/>
      <c r="TPG72" s="414"/>
      <c r="TPH72" s="414"/>
      <c r="TPI72" s="414"/>
      <c r="TPJ72" s="414"/>
      <c r="TPK72" s="414"/>
      <c r="TPL72" s="414"/>
      <c r="TPM72" s="414"/>
      <c r="TPN72" s="414"/>
      <c r="TPO72" s="414"/>
      <c r="TPP72" s="414"/>
      <c r="TPQ72" s="414"/>
      <c r="TPR72" s="414"/>
      <c r="TPS72" s="414"/>
      <c r="TPT72" s="414"/>
      <c r="TPU72" s="414"/>
      <c r="TPV72" s="414"/>
      <c r="TPW72" s="414"/>
      <c r="TPX72" s="414"/>
      <c r="TPY72" s="414"/>
      <c r="TPZ72" s="414"/>
      <c r="TQA72" s="414"/>
      <c r="TQB72" s="414"/>
      <c r="TQC72" s="414"/>
      <c r="TQD72" s="414"/>
      <c r="TQE72" s="414"/>
      <c r="TQF72" s="414"/>
      <c r="TQG72" s="414"/>
      <c r="TQH72" s="414"/>
      <c r="TQI72" s="414"/>
      <c r="TQJ72" s="414"/>
      <c r="TQK72" s="414"/>
      <c r="TQL72" s="414"/>
      <c r="TQM72" s="414"/>
      <c r="TQN72" s="414"/>
      <c r="TQO72" s="414"/>
      <c r="TQP72" s="414"/>
      <c r="TQQ72" s="414"/>
      <c r="TQR72" s="414"/>
      <c r="TQS72" s="414"/>
      <c r="TQT72" s="414"/>
      <c r="TQU72" s="414"/>
      <c r="TQV72" s="414"/>
      <c r="TQW72" s="414"/>
      <c r="TQX72" s="414"/>
      <c r="TQY72" s="414"/>
      <c r="TQZ72" s="414"/>
      <c r="TRA72" s="414"/>
      <c r="TRB72" s="414"/>
      <c r="TRC72" s="414"/>
      <c r="TRD72" s="414"/>
      <c r="TRE72" s="414"/>
      <c r="TRF72" s="414"/>
      <c r="TRG72" s="414"/>
      <c r="TRH72" s="414"/>
      <c r="TRI72" s="414"/>
      <c r="TRJ72" s="414"/>
      <c r="TRK72" s="414"/>
      <c r="TRL72" s="414"/>
      <c r="TRM72" s="414"/>
      <c r="TRN72" s="414"/>
      <c r="TRO72" s="414"/>
      <c r="TRP72" s="414"/>
      <c r="TRQ72" s="414"/>
      <c r="TRR72" s="414"/>
      <c r="TRS72" s="414"/>
      <c r="TRT72" s="414"/>
      <c r="TRU72" s="414"/>
      <c r="TRV72" s="414"/>
      <c r="TRW72" s="414"/>
      <c r="TRX72" s="414"/>
      <c r="TRY72" s="414"/>
      <c r="TRZ72" s="414"/>
      <c r="TSA72" s="414"/>
      <c r="TSB72" s="414"/>
      <c r="TSC72" s="414"/>
      <c r="TSD72" s="414"/>
      <c r="TSE72" s="414"/>
      <c r="TSF72" s="414"/>
      <c r="TSG72" s="414"/>
      <c r="TSH72" s="414"/>
      <c r="TSI72" s="414"/>
      <c r="TSJ72" s="414"/>
      <c r="TSK72" s="414"/>
      <c r="TSL72" s="414"/>
      <c r="TSM72" s="414"/>
      <c r="TSN72" s="414"/>
      <c r="TSO72" s="414"/>
      <c r="TSP72" s="414"/>
      <c r="TSQ72" s="414"/>
      <c r="TSR72" s="414"/>
      <c r="TSS72" s="414"/>
      <c r="TST72" s="414"/>
      <c r="TSU72" s="414"/>
      <c r="TSV72" s="414"/>
      <c r="TSW72" s="414"/>
      <c r="TSX72" s="414"/>
      <c r="TSY72" s="414"/>
      <c r="TSZ72" s="414"/>
      <c r="TTA72" s="414"/>
      <c r="TTB72" s="414"/>
      <c r="TTC72" s="414"/>
      <c r="TTD72" s="414"/>
      <c r="TTE72" s="414"/>
      <c r="TTF72" s="414"/>
      <c r="TTG72" s="414"/>
      <c r="TTH72" s="414"/>
      <c r="TTI72" s="414"/>
      <c r="TTJ72" s="414"/>
      <c r="TTK72" s="414"/>
      <c r="TTL72" s="414"/>
      <c r="TTM72" s="414"/>
      <c r="TTN72" s="414"/>
      <c r="TTO72" s="414"/>
      <c r="TTP72" s="414"/>
      <c r="TTQ72" s="414"/>
      <c r="TTR72" s="414"/>
      <c r="TTS72" s="414"/>
      <c r="TTT72" s="414"/>
      <c r="TTU72" s="414"/>
      <c r="TTV72" s="414"/>
      <c r="TTW72" s="414"/>
      <c r="TTX72" s="414"/>
      <c r="TTY72" s="414"/>
      <c r="TTZ72" s="414"/>
      <c r="TUA72" s="414"/>
      <c r="TUB72" s="414"/>
      <c r="TUC72" s="414"/>
      <c r="TUD72" s="414"/>
      <c r="TUE72" s="414"/>
      <c r="TUF72" s="414"/>
      <c r="TUG72" s="414"/>
      <c r="TUH72" s="414"/>
      <c r="TUI72" s="414"/>
      <c r="TUJ72" s="414"/>
      <c r="TUK72" s="414"/>
      <c r="TUL72" s="414"/>
      <c r="TUM72" s="414"/>
      <c r="TUN72" s="414"/>
      <c r="TUO72" s="414"/>
      <c r="TUP72" s="414"/>
      <c r="TUQ72" s="414"/>
      <c r="TUR72" s="414"/>
      <c r="TUS72" s="414"/>
      <c r="TUT72" s="414"/>
      <c r="TUU72" s="414"/>
      <c r="TUV72" s="414"/>
      <c r="TUW72" s="414"/>
      <c r="TUX72" s="414"/>
      <c r="TUY72" s="414"/>
      <c r="TUZ72" s="414"/>
      <c r="TVA72" s="414"/>
      <c r="TVB72" s="414"/>
      <c r="TVC72" s="414"/>
      <c r="TVD72" s="414"/>
      <c r="TVE72" s="414"/>
      <c r="TVF72" s="414"/>
      <c r="TVG72" s="414"/>
      <c r="TVH72" s="414"/>
      <c r="TVI72" s="414"/>
      <c r="TVJ72" s="414"/>
      <c r="TVK72" s="414"/>
      <c r="TVL72" s="414"/>
      <c r="TVM72" s="414"/>
      <c r="TVN72" s="414"/>
      <c r="TVO72" s="414"/>
      <c r="TVP72" s="414"/>
      <c r="TVQ72" s="414"/>
      <c r="TVR72" s="414"/>
      <c r="TVS72" s="414"/>
      <c r="TVT72" s="414"/>
      <c r="TVU72" s="414"/>
      <c r="TVV72" s="414"/>
      <c r="TVW72" s="414"/>
      <c r="TVX72" s="414"/>
      <c r="TVY72" s="414"/>
      <c r="TVZ72" s="414"/>
      <c r="TWA72" s="414"/>
      <c r="TWB72" s="414"/>
      <c r="TWC72" s="414"/>
      <c r="TWD72" s="414"/>
      <c r="TWE72" s="414"/>
      <c r="TWF72" s="414"/>
      <c r="TWG72" s="414"/>
      <c r="TWH72" s="414"/>
      <c r="TWI72" s="414"/>
      <c r="TWJ72" s="414"/>
      <c r="TWK72" s="414"/>
      <c r="TWL72" s="414"/>
      <c r="TWM72" s="414"/>
      <c r="TWN72" s="414"/>
      <c r="TWO72" s="414"/>
      <c r="TWP72" s="414"/>
      <c r="TWQ72" s="414"/>
      <c r="TWR72" s="414"/>
      <c r="TWS72" s="414"/>
      <c r="TWT72" s="414"/>
      <c r="TWU72" s="414"/>
      <c r="TWV72" s="414"/>
      <c r="TWW72" s="414"/>
      <c r="TWX72" s="414"/>
      <c r="TWY72" s="414"/>
      <c r="TWZ72" s="414"/>
      <c r="TXA72" s="414"/>
      <c r="TXB72" s="414"/>
      <c r="TXC72" s="414"/>
      <c r="TXD72" s="414"/>
      <c r="TXE72" s="414"/>
      <c r="TXF72" s="414"/>
      <c r="TXG72" s="414"/>
      <c r="TXH72" s="414"/>
      <c r="TXI72" s="414"/>
      <c r="TXJ72" s="414"/>
      <c r="TXK72" s="414"/>
      <c r="TXL72" s="414"/>
      <c r="TXM72" s="414"/>
      <c r="TXN72" s="414"/>
      <c r="TXO72" s="414"/>
      <c r="TXP72" s="414"/>
      <c r="TXQ72" s="414"/>
      <c r="TXR72" s="414"/>
      <c r="TXS72" s="414"/>
      <c r="TXT72" s="414"/>
      <c r="TXU72" s="414"/>
      <c r="TXV72" s="414"/>
      <c r="TXW72" s="414"/>
      <c r="TXX72" s="414"/>
      <c r="TXY72" s="414"/>
      <c r="TXZ72" s="414"/>
      <c r="TYA72" s="414"/>
      <c r="TYB72" s="414"/>
      <c r="TYC72" s="414"/>
      <c r="TYD72" s="414"/>
      <c r="TYE72" s="414"/>
      <c r="TYF72" s="414"/>
      <c r="TYG72" s="414"/>
      <c r="TYH72" s="414"/>
      <c r="TYI72" s="414"/>
      <c r="TYJ72" s="414"/>
      <c r="TYK72" s="414"/>
      <c r="TYL72" s="414"/>
      <c r="TYM72" s="414"/>
      <c r="TYN72" s="414"/>
      <c r="TYO72" s="414"/>
      <c r="TYP72" s="414"/>
      <c r="TYQ72" s="414"/>
      <c r="TYR72" s="414"/>
      <c r="TYS72" s="414"/>
      <c r="TYT72" s="414"/>
      <c r="TYU72" s="414"/>
      <c r="TYV72" s="414"/>
      <c r="TYW72" s="414"/>
      <c r="TYX72" s="414"/>
      <c r="TYY72" s="414"/>
      <c r="TYZ72" s="414"/>
      <c r="TZA72" s="414"/>
      <c r="TZB72" s="414"/>
      <c r="TZC72" s="414"/>
      <c r="TZD72" s="414"/>
      <c r="TZE72" s="414"/>
      <c r="TZF72" s="414"/>
      <c r="TZG72" s="414"/>
      <c r="TZH72" s="414"/>
      <c r="TZI72" s="414"/>
      <c r="TZJ72" s="414"/>
      <c r="TZK72" s="414"/>
      <c r="TZL72" s="414"/>
      <c r="TZM72" s="414"/>
      <c r="TZN72" s="414"/>
      <c r="TZO72" s="414"/>
      <c r="TZP72" s="414"/>
      <c r="TZQ72" s="414"/>
      <c r="TZR72" s="414"/>
      <c r="TZS72" s="414"/>
      <c r="TZT72" s="414"/>
      <c r="TZU72" s="414"/>
      <c r="TZV72" s="414"/>
      <c r="TZW72" s="414"/>
      <c r="TZX72" s="414"/>
      <c r="TZY72" s="414"/>
      <c r="TZZ72" s="414"/>
      <c r="UAA72" s="414"/>
      <c r="UAB72" s="414"/>
      <c r="UAC72" s="414"/>
      <c r="UAD72" s="414"/>
      <c r="UAE72" s="414"/>
      <c r="UAF72" s="414"/>
      <c r="UAG72" s="414"/>
      <c r="UAH72" s="414"/>
      <c r="UAI72" s="414"/>
      <c r="UAJ72" s="414"/>
      <c r="UAK72" s="414"/>
      <c r="UAL72" s="414"/>
      <c r="UAM72" s="414"/>
      <c r="UAN72" s="414"/>
      <c r="UAO72" s="414"/>
      <c r="UAP72" s="414"/>
      <c r="UAQ72" s="414"/>
      <c r="UAR72" s="414"/>
      <c r="UAS72" s="414"/>
      <c r="UAT72" s="414"/>
      <c r="UAU72" s="414"/>
      <c r="UAV72" s="414"/>
      <c r="UAW72" s="414"/>
      <c r="UAX72" s="414"/>
      <c r="UAY72" s="414"/>
      <c r="UAZ72" s="414"/>
      <c r="UBA72" s="414"/>
      <c r="UBB72" s="414"/>
      <c r="UBC72" s="414"/>
      <c r="UBD72" s="414"/>
      <c r="UBE72" s="414"/>
      <c r="UBF72" s="414"/>
      <c r="UBG72" s="414"/>
      <c r="UBH72" s="414"/>
      <c r="UBI72" s="414"/>
      <c r="UBJ72" s="414"/>
      <c r="UBK72" s="414"/>
      <c r="UBL72" s="414"/>
      <c r="UBM72" s="414"/>
      <c r="UBN72" s="414"/>
      <c r="UBO72" s="414"/>
      <c r="UBP72" s="414"/>
      <c r="UBQ72" s="414"/>
      <c r="UBR72" s="414"/>
      <c r="UBS72" s="414"/>
      <c r="UBT72" s="414"/>
      <c r="UBU72" s="414"/>
      <c r="UBV72" s="414"/>
      <c r="UBW72" s="414"/>
      <c r="UBX72" s="414"/>
      <c r="UBY72" s="414"/>
      <c r="UBZ72" s="414"/>
      <c r="UCA72" s="414"/>
      <c r="UCB72" s="414"/>
      <c r="UCC72" s="414"/>
      <c r="UCD72" s="414"/>
      <c r="UCE72" s="414"/>
      <c r="UCF72" s="414"/>
      <c r="UCG72" s="414"/>
      <c r="UCH72" s="414"/>
      <c r="UCI72" s="414"/>
      <c r="UCJ72" s="414"/>
      <c r="UCK72" s="414"/>
      <c r="UCL72" s="414"/>
      <c r="UCM72" s="414"/>
      <c r="UCN72" s="414"/>
      <c r="UCO72" s="414"/>
      <c r="UCP72" s="414"/>
      <c r="UCQ72" s="414"/>
      <c r="UCR72" s="414"/>
      <c r="UCS72" s="414"/>
      <c r="UCT72" s="414"/>
      <c r="UCU72" s="414"/>
      <c r="UCV72" s="414"/>
      <c r="UCW72" s="414"/>
      <c r="UCX72" s="414"/>
      <c r="UCY72" s="414"/>
      <c r="UCZ72" s="414"/>
      <c r="UDA72" s="414"/>
      <c r="UDB72" s="414"/>
      <c r="UDC72" s="414"/>
      <c r="UDD72" s="414"/>
      <c r="UDE72" s="414"/>
      <c r="UDF72" s="414"/>
      <c r="UDG72" s="414"/>
      <c r="UDH72" s="414"/>
      <c r="UDI72" s="414"/>
      <c r="UDJ72" s="414"/>
      <c r="UDK72" s="414"/>
      <c r="UDL72" s="414"/>
      <c r="UDM72" s="414"/>
      <c r="UDN72" s="414"/>
      <c r="UDO72" s="414"/>
      <c r="UDP72" s="414"/>
      <c r="UDQ72" s="414"/>
      <c r="UDR72" s="414"/>
      <c r="UDS72" s="414"/>
      <c r="UDT72" s="414"/>
      <c r="UDU72" s="414"/>
      <c r="UDV72" s="414"/>
      <c r="UDW72" s="414"/>
      <c r="UDX72" s="414"/>
      <c r="UDY72" s="414"/>
      <c r="UDZ72" s="414"/>
      <c r="UEA72" s="414"/>
      <c r="UEB72" s="414"/>
      <c r="UEC72" s="414"/>
      <c r="UED72" s="414"/>
      <c r="UEE72" s="414"/>
      <c r="UEF72" s="414"/>
      <c r="UEG72" s="414"/>
      <c r="UEH72" s="414"/>
      <c r="UEI72" s="414"/>
      <c r="UEJ72" s="414"/>
      <c r="UEK72" s="414"/>
      <c r="UEL72" s="414"/>
      <c r="UEM72" s="414"/>
      <c r="UEN72" s="414"/>
      <c r="UEO72" s="414"/>
      <c r="UEP72" s="414"/>
      <c r="UEQ72" s="414"/>
      <c r="UER72" s="414"/>
      <c r="UES72" s="414"/>
      <c r="UET72" s="414"/>
      <c r="UEU72" s="414"/>
      <c r="UEV72" s="414"/>
      <c r="UEW72" s="414"/>
      <c r="UEX72" s="414"/>
      <c r="UEY72" s="414"/>
      <c r="UEZ72" s="414"/>
      <c r="UFA72" s="414"/>
      <c r="UFB72" s="414"/>
      <c r="UFC72" s="414"/>
      <c r="UFD72" s="414"/>
      <c r="UFE72" s="414"/>
      <c r="UFF72" s="414"/>
      <c r="UFG72" s="414"/>
      <c r="UFH72" s="414"/>
      <c r="UFI72" s="414"/>
      <c r="UFJ72" s="414"/>
      <c r="UFK72" s="414"/>
      <c r="UFL72" s="414"/>
      <c r="UFM72" s="414"/>
      <c r="UFN72" s="414"/>
      <c r="UFO72" s="414"/>
      <c r="UFP72" s="414"/>
      <c r="UFQ72" s="414"/>
      <c r="UFR72" s="414"/>
      <c r="UFS72" s="414"/>
      <c r="UFT72" s="414"/>
      <c r="UFU72" s="414"/>
      <c r="UFV72" s="414"/>
      <c r="UFW72" s="414"/>
      <c r="UFX72" s="414"/>
      <c r="UFY72" s="414"/>
      <c r="UFZ72" s="414"/>
      <c r="UGA72" s="414"/>
      <c r="UGB72" s="414"/>
      <c r="UGC72" s="414"/>
      <c r="UGD72" s="414"/>
      <c r="UGE72" s="414"/>
      <c r="UGF72" s="414"/>
      <c r="UGG72" s="414"/>
      <c r="UGH72" s="414"/>
      <c r="UGI72" s="414"/>
      <c r="UGJ72" s="414"/>
      <c r="UGK72" s="414"/>
      <c r="UGL72" s="414"/>
      <c r="UGM72" s="414"/>
      <c r="UGN72" s="414"/>
      <c r="UGO72" s="414"/>
      <c r="UGP72" s="414"/>
      <c r="UGQ72" s="414"/>
      <c r="UGR72" s="414"/>
      <c r="UGS72" s="414"/>
      <c r="UGT72" s="414"/>
      <c r="UGU72" s="414"/>
      <c r="UGV72" s="414"/>
      <c r="UGW72" s="414"/>
      <c r="UGX72" s="414"/>
      <c r="UGY72" s="414"/>
      <c r="UGZ72" s="414"/>
      <c r="UHA72" s="414"/>
      <c r="UHB72" s="414"/>
      <c r="UHC72" s="414"/>
      <c r="UHD72" s="414"/>
      <c r="UHE72" s="414"/>
      <c r="UHF72" s="414"/>
      <c r="UHG72" s="414"/>
      <c r="UHH72" s="414"/>
      <c r="UHI72" s="414"/>
      <c r="UHJ72" s="414"/>
      <c r="UHK72" s="414"/>
      <c r="UHL72" s="414"/>
      <c r="UHM72" s="414"/>
      <c r="UHN72" s="414"/>
      <c r="UHO72" s="414"/>
      <c r="UHP72" s="414"/>
      <c r="UHQ72" s="414"/>
      <c r="UHR72" s="414"/>
      <c r="UHS72" s="414"/>
      <c r="UHT72" s="414"/>
      <c r="UHU72" s="414"/>
      <c r="UHV72" s="414"/>
      <c r="UHW72" s="414"/>
      <c r="UHX72" s="414"/>
      <c r="UHY72" s="414"/>
      <c r="UHZ72" s="414"/>
      <c r="UIA72" s="414"/>
      <c r="UIB72" s="414"/>
      <c r="UIC72" s="414"/>
      <c r="UID72" s="414"/>
      <c r="UIE72" s="414"/>
      <c r="UIF72" s="414"/>
      <c r="UIG72" s="414"/>
      <c r="UIH72" s="414"/>
      <c r="UII72" s="414"/>
      <c r="UIJ72" s="414"/>
      <c r="UIK72" s="414"/>
      <c r="UIL72" s="414"/>
      <c r="UIM72" s="414"/>
      <c r="UIN72" s="414"/>
      <c r="UIO72" s="414"/>
      <c r="UIP72" s="414"/>
      <c r="UIQ72" s="414"/>
      <c r="UIR72" s="414"/>
      <c r="UIS72" s="414"/>
      <c r="UIT72" s="414"/>
      <c r="UIU72" s="414"/>
      <c r="UIV72" s="414"/>
      <c r="UIW72" s="414"/>
      <c r="UIX72" s="414"/>
      <c r="UIY72" s="414"/>
      <c r="UIZ72" s="414"/>
      <c r="UJA72" s="414"/>
      <c r="UJB72" s="414"/>
      <c r="UJC72" s="414"/>
      <c r="UJD72" s="414"/>
      <c r="UJE72" s="414"/>
      <c r="UJF72" s="414"/>
      <c r="UJG72" s="414"/>
      <c r="UJH72" s="414"/>
      <c r="UJI72" s="414"/>
      <c r="UJJ72" s="414"/>
      <c r="UJK72" s="414"/>
      <c r="UJL72" s="414"/>
      <c r="UJM72" s="414"/>
      <c r="UJN72" s="414"/>
      <c r="UJO72" s="414"/>
      <c r="UJP72" s="414"/>
      <c r="UJQ72" s="414"/>
      <c r="UJR72" s="414"/>
      <c r="UJS72" s="414"/>
      <c r="UJT72" s="414"/>
      <c r="UJU72" s="414"/>
      <c r="UJV72" s="414"/>
      <c r="UJW72" s="414"/>
      <c r="UJX72" s="414"/>
      <c r="UJY72" s="414"/>
      <c r="UJZ72" s="414"/>
      <c r="UKA72" s="414"/>
      <c r="UKB72" s="414"/>
      <c r="UKC72" s="414"/>
      <c r="UKD72" s="414"/>
      <c r="UKE72" s="414"/>
      <c r="UKF72" s="414"/>
      <c r="UKG72" s="414"/>
      <c r="UKH72" s="414"/>
      <c r="UKI72" s="414"/>
      <c r="UKJ72" s="414"/>
      <c r="UKK72" s="414"/>
      <c r="UKL72" s="414"/>
      <c r="UKM72" s="414"/>
      <c r="UKN72" s="414"/>
      <c r="UKO72" s="414"/>
      <c r="UKP72" s="414"/>
      <c r="UKQ72" s="414"/>
      <c r="UKR72" s="414"/>
      <c r="UKS72" s="414"/>
      <c r="UKT72" s="414"/>
      <c r="UKU72" s="414"/>
      <c r="UKV72" s="414"/>
      <c r="UKW72" s="414"/>
      <c r="UKX72" s="414"/>
      <c r="UKY72" s="414"/>
      <c r="UKZ72" s="414"/>
      <c r="ULA72" s="414"/>
      <c r="ULB72" s="414"/>
      <c r="ULC72" s="414"/>
      <c r="ULD72" s="414"/>
      <c r="ULE72" s="414"/>
      <c r="ULF72" s="414"/>
      <c r="ULG72" s="414"/>
      <c r="ULH72" s="414"/>
      <c r="ULI72" s="414"/>
      <c r="ULJ72" s="414"/>
      <c r="ULK72" s="414"/>
      <c r="ULL72" s="414"/>
      <c r="ULM72" s="414"/>
      <c r="ULN72" s="414"/>
      <c r="ULO72" s="414"/>
      <c r="ULP72" s="414"/>
      <c r="ULQ72" s="414"/>
      <c r="ULR72" s="414"/>
      <c r="ULS72" s="414"/>
      <c r="ULT72" s="414"/>
      <c r="ULU72" s="414"/>
      <c r="ULV72" s="414"/>
      <c r="ULW72" s="414"/>
      <c r="ULX72" s="414"/>
      <c r="ULY72" s="414"/>
      <c r="ULZ72" s="414"/>
      <c r="UMA72" s="414"/>
      <c r="UMB72" s="414"/>
      <c r="UMC72" s="414"/>
      <c r="UMD72" s="414"/>
      <c r="UME72" s="414"/>
      <c r="UMF72" s="414"/>
      <c r="UMG72" s="414"/>
      <c r="UMH72" s="414"/>
      <c r="UMI72" s="414"/>
      <c r="UMJ72" s="414"/>
      <c r="UMK72" s="414"/>
      <c r="UML72" s="414"/>
      <c r="UMM72" s="414"/>
      <c r="UMN72" s="414"/>
      <c r="UMO72" s="414"/>
      <c r="UMP72" s="414"/>
      <c r="UMQ72" s="414"/>
      <c r="UMR72" s="414"/>
      <c r="UMS72" s="414"/>
      <c r="UMT72" s="414"/>
      <c r="UMU72" s="414"/>
      <c r="UMV72" s="414"/>
      <c r="UMW72" s="414"/>
      <c r="UMX72" s="414"/>
      <c r="UMY72" s="414"/>
      <c r="UMZ72" s="414"/>
      <c r="UNA72" s="414"/>
      <c r="UNB72" s="414"/>
      <c r="UNC72" s="414"/>
      <c r="UND72" s="414"/>
      <c r="UNE72" s="414"/>
      <c r="UNF72" s="414"/>
      <c r="UNG72" s="414"/>
      <c r="UNH72" s="414"/>
      <c r="UNI72" s="414"/>
      <c r="UNJ72" s="414"/>
      <c r="UNK72" s="414"/>
      <c r="UNL72" s="414"/>
      <c r="UNM72" s="414"/>
      <c r="UNN72" s="414"/>
      <c r="UNO72" s="414"/>
      <c r="UNP72" s="414"/>
      <c r="UNQ72" s="414"/>
      <c r="UNR72" s="414"/>
      <c r="UNS72" s="414"/>
      <c r="UNT72" s="414"/>
      <c r="UNU72" s="414"/>
      <c r="UNV72" s="414"/>
      <c r="UNW72" s="414"/>
      <c r="UNX72" s="414"/>
      <c r="UNY72" s="414"/>
      <c r="UNZ72" s="414"/>
      <c r="UOA72" s="414"/>
      <c r="UOB72" s="414"/>
      <c r="UOC72" s="414"/>
      <c r="UOD72" s="414"/>
      <c r="UOE72" s="414"/>
      <c r="UOF72" s="414"/>
      <c r="UOG72" s="414"/>
      <c r="UOH72" s="414"/>
      <c r="UOI72" s="414"/>
      <c r="UOJ72" s="414"/>
      <c r="UOK72" s="414"/>
      <c r="UOL72" s="414"/>
      <c r="UOM72" s="414"/>
      <c r="UON72" s="414"/>
      <c r="UOO72" s="414"/>
      <c r="UOP72" s="414"/>
      <c r="UOQ72" s="414"/>
      <c r="UOR72" s="414"/>
      <c r="UOS72" s="414"/>
      <c r="UOT72" s="414"/>
      <c r="UOU72" s="414"/>
      <c r="UOV72" s="414"/>
      <c r="UOW72" s="414"/>
      <c r="UOX72" s="414"/>
      <c r="UOY72" s="414"/>
      <c r="UOZ72" s="414"/>
      <c r="UPA72" s="414"/>
      <c r="UPB72" s="414"/>
      <c r="UPC72" s="414"/>
      <c r="UPD72" s="414"/>
      <c r="UPE72" s="414"/>
      <c r="UPF72" s="414"/>
      <c r="UPG72" s="414"/>
      <c r="UPH72" s="414"/>
      <c r="UPI72" s="414"/>
      <c r="UPJ72" s="414"/>
      <c r="UPK72" s="414"/>
      <c r="UPL72" s="414"/>
      <c r="UPM72" s="414"/>
      <c r="UPN72" s="414"/>
      <c r="UPO72" s="414"/>
      <c r="UPP72" s="414"/>
      <c r="UPQ72" s="414"/>
      <c r="UPR72" s="414"/>
      <c r="UPS72" s="414"/>
      <c r="UPT72" s="414"/>
      <c r="UPU72" s="414"/>
      <c r="UPV72" s="414"/>
      <c r="UPW72" s="414"/>
      <c r="UPX72" s="414"/>
      <c r="UPY72" s="414"/>
      <c r="UPZ72" s="414"/>
      <c r="UQA72" s="414"/>
      <c r="UQB72" s="414"/>
      <c r="UQC72" s="414"/>
      <c r="UQD72" s="414"/>
      <c r="UQE72" s="414"/>
      <c r="UQF72" s="414"/>
      <c r="UQG72" s="414"/>
      <c r="UQH72" s="414"/>
      <c r="UQI72" s="414"/>
      <c r="UQJ72" s="414"/>
      <c r="UQK72" s="414"/>
      <c r="UQL72" s="414"/>
      <c r="UQM72" s="414"/>
      <c r="UQN72" s="414"/>
      <c r="UQO72" s="414"/>
      <c r="UQP72" s="414"/>
      <c r="UQQ72" s="414"/>
      <c r="UQR72" s="414"/>
      <c r="UQS72" s="414"/>
      <c r="UQT72" s="414"/>
      <c r="UQU72" s="414"/>
      <c r="UQV72" s="414"/>
      <c r="UQW72" s="414"/>
      <c r="UQX72" s="414"/>
      <c r="UQY72" s="414"/>
      <c r="UQZ72" s="414"/>
      <c r="URA72" s="414"/>
      <c r="URB72" s="414"/>
      <c r="URC72" s="414"/>
      <c r="URD72" s="414"/>
      <c r="URE72" s="414"/>
      <c r="URF72" s="414"/>
      <c r="URG72" s="414"/>
      <c r="URH72" s="414"/>
      <c r="URI72" s="414"/>
      <c r="URJ72" s="414"/>
      <c r="URK72" s="414"/>
      <c r="URL72" s="414"/>
      <c r="URM72" s="414"/>
      <c r="URN72" s="414"/>
      <c r="URO72" s="414"/>
      <c r="URP72" s="414"/>
      <c r="URQ72" s="414"/>
      <c r="URR72" s="414"/>
      <c r="URS72" s="414"/>
      <c r="URT72" s="414"/>
      <c r="URU72" s="414"/>
      <c r="URV72" s="414"/>
      <c r="URW72" s="414"/>
      <c r="URX72" s="414"/>
      <c r="URY72" s="414"/>
      <c r="URZ72" s="414"/>
      <c r="USA72" s="414"/>
      <c r="USB72" s="414"/>
      <c r="USC72" s="414"/>
      <c r="USD72" s="414"/>
      <c r="USE72" s="414"/>
      <c r="USF72" s="414"/>
      <c r="USG72" s="414"/>
      <c r="USH72" s="414"/>
      <c r="USI72" s="414"/>
      <c r="USJ72" s="414"/>
      <c r="USK72" s="414"/>
      <c r="USL72" s="414"/>
      <c r="USM72" s="414"/>
      <c r="USN72" s="414"/>
      <c r="USO72" s="414"/>
      <c r="USP72" s="414"/>
      <c r="USQ72" s="414"/>
      <c r="USR72" s="414"/>
      <c r="USS72" s="414"/>
      <c r="UST72" s="414"/>
      <c r="USU72" s="414"/>
      <c r="USV72" s="414"/>
      <c r="USW72" s="414"/>
      <c r="USX72" s="414"/>
      <c r="USY72" s="414"/>
      <c r="USZ72" s="414"/>
      <c r="UTA72" s="414"/>
      <c r="UTB72" s="414"/>
      <c r="UTC72" s="414"/>
      <c r="UTD72" s="414"/>
      <c r="UTE72" s="414"/>
      <c r="UTF72" s="414"/>
      <c r="UTG72" s="414"/>
      <c r="UTH72" s="414"/>
      <c r="UTI72" s="414"/>
      <c r="UTJ72" s="414"/>
      <c r="UTK72" s="414"/>
      <c r="UTL72" s="414"/>
      <c r="UTM72" s="414"/>
      <c r="UTN72" s="414"/>
      <c r="UTO72" s="414"/>
      <c r="UTP72" s="414"/>
      <c r="UTQ72" s="414"/>
      <c r="UTR72" s="414"/>
      <c r="UTS72" s="414"/>
      <c r="UTT72" s="414"/>
      <c r="UTU72" s="414"/>
      <c r="UTV72" s="414"/>
      <c r="UTW72" s="414"/>
      <c r="UTX72" s="414"/>
      <c r="UTY72" s="414"/>
      <c r="UTZ72" s="414"/>
      <c r="UUA72" s="414"/>
      <c r="UUB72" s="414"/>
      <c r="UUC72" s="414"/>
      <c r="UUD72" s="414"/>
      <c r="UUE72" s="414"/>
      <c r="UUF72" s="414"/>
      <c r="UUG72" s="414"/>
      <c r="UUH72" s="414"/>
      <c r="UUI72" s="414"/>
      <c r="UUJ72" s="414"/>
      <c r="UUK72" s="414"/>
      <c r="UUL72" s="414"/>
      <c r="UUM72" s="414"/>
      <c r="UUN72" s="414"/>
      <c r="UUO72" s="414"/>
      <c r="UUP72" s="414"/>
      <c r="UUQ72" s="414"/>
      <c r="UUR72" s="414"/>
      <c r="UUS72" s="414"/>
      <c r="UUT72" s="414"/>
      <c r="UUU72" s="414"/>
      <c r="UUV72" s="414"/>
      <c r="UUW72" s="414"/>
      <c r="UUX72" s="414"/>
      <c r="UUY72" s="414"/>
      <c r="UUZ72" s="414"/>
      <c r="UVA72" s="414"/>
      <c r="UVB72" s="414"/>
      <c r="UVC72" s="414"/>
      <c r="UVD72" s="414"/>
      <c r="UVE72" s="414"/>
      <c r="UVF72" s="414"/>
      <c r="UVG72" s="414"/>
      <c r="UVH72" s="414"/>
      <c r="UVI72" s="414"/>
      <c r="UVJ72" s="414"/>
      <c r="UVK72" s="414"/>
      <c r="UVL72" s="414"/>
      <c r="UVM72" s="414"/>
      <c r="UVN72" s="414"/>
      <c r="UVO72" s="414"/>
      <c r="UVP72" s="414"/>
      <c r="UVQ72" s="414"/>
      <c r="UVR72" s="414"/>
      <c r="UVS72" s="414"/>
      <c r="UVT72" s="414"/>
      <c r="UVU72" s="414"/>
      <c r="UVV72" s="414"/>
      <c r="UVW72" s="414"/>
      <c r="UVX72" s="414"/>
      <c r="UVY72" s="414"/>
      <c r="UVZ72" s="414"/>
      <c r="UWA72" s="414"/>
      <c r="UWB72" s="414"/>
      <c r="UWC72" s="414"/>
      <c r="UWD72" s="414"/>
      <c r="UWE72" s="414"/>
      <c r="UWF72" s="414"/>
      <c r="UWG72" s="414"/>
      <c r="UWH72" s="414"/>
      <c r="UWI72" s="414"/>
      <c r="UWJ72" s="414"/>
      <c r="UWK72" s="414"/>
      <c r="UWL72" s="414"/>
      <c r="UWM72" s="414"/>
      <c r="UWN72" s="414"/>
      <c r="UWO72" s="414"/>
      <c r="UWP72" s="414"/>
      <c r="UWQ72" s="414"/>
      <c r="UWR72" s="414"/>
      <c r="UWS72" s="414"/>
      <c r="UWT72" s="414"/>
      <c r="UWU72" s="414"/>
      <c r="UWV72" s="414"/>
      <c r="UWW72" s="414"/>
      <c r="UWX72" s="414"/>
      <c r="UWY72" s="414"/>
      <c r="UWZ72" s="414"/>
      <c r="UXA72" s="414"/>
      <c r="UXB72" s="414"/>
      <c r="UXC72" s="414"/>
      <c r="UXD72" s="414"/>
      <c r="UXE72" s="414"/>
      <c r="UXF72" s="414"/>
      <c r="UXG72" s="414"/>
      <c r="UXH72" s="414"/>
      <c r="UXI72" s="414"/>
      <c r="UXJ72" s="414"/>
      <c r="UXK72" s="414"/>
      <c r="UXL72" s="414"/>
      <c r="UXM72" s="414"/>
      <c r="UXN72" s="414"/>
      <c r="UXO72" s="414"/>
      <c r="UXP72" s="414"/>
      <c r="UXQ72" s="414"/>
      <c r="UXR72" s="414"/>
      <c r="UXS72" s="414"/>
      <c r="UXT72" s="414"/>
      <c r="UXU72" s="414"/>
      <c r="UXV72" s="414"/>
      <c r="UXW72" s="414"/>
      <c r="UXX72" s="414"/>
      <c r="UXY72" s="414"/>
      <c r="UXZ72" s="414"/>
      <c r="UYA72" s="414"/>
      <c r="UYB72" s="414"/>
      <c r="UYC72" s="414"/>
      <c r="UYD72" s="414"/>
      <c r="UYE72" s="414"/>
      <c r="UYF72" s="414"/>
      <c r="UYG72" s="414"/>
      <c r="UYH72" s="414"/>
      <c r="UYI72" s="414"/>
      <c r="UYJ72" s="414"/>
      <c r="UYK72" s="414"/>
      <c r="UYL72" s="414"/>
      <c r="UYM72" s="414"/>
      <c r="UYN72" s="414"/>
      <c r="UYO72" s="414"/>
      <c r="UYP72" s="414"/>
      <c r="UYQ72" s="414"/>
      <c r="UYR72" s="414"/>
      <c r="UYS72" s="414"/>
      <c r="UYT72" s="414"/>
      <c r="UYU72" s="414"/>
      <c r="UYV72" s="414"/>
      <c r="UYW72" s="414"/>
      <c r="UYX72" s="414"/>
      <c r="UYY72" s="414"/>
      <c r="UYZ72" s="414"/>
      <c r="UZA72" s="414"/>
      <c r="UZB72" s="414"/>
      <c r="UZC72" s="414"/>
      <c r="UZD72" s="414"/>
      <c r="UZE72" s="414"/>
      <c r="UZF72" s="414"/>
      <c r="UZG72" s="414"/>
      <c r="UZH72" s="414"/>
      <c r="UZI72" s="414"/>
      <c r="UZJ72" s="414"/>
      <c r="UZK72" s="414"/>
      <c r="UZL72" s="414"/>
      <c r="UZM72" s="414"/>
      <c r="UZN72" s="414"/>
      <c r="UZO72" s="414"/>
      <c r="UZP72" s="414"/>
      <c r="UZQ72" s="414"/>
      <c r="UZR72" s="414"/>
      <c r="UZS72" s="414"/>
      <c r="UZT72" s="414"/>
      <c r="UZU72" s="414"/>
      <c r="UZV72" s="414"/>
      <c r="UZW72" s="414"/>
      <c r="UZX72" s="414"/>
      <c r="UZY72" s="414"/>
      <c r="UZZ72" s="414"/>
      <c r="VAA72" s="414"/>
      <c r="VAB72" s="414"/>
      <c r="VAC72" s="414"/>
      <c r="VAD72" s="414"/>
      <c r="VAE72" s="414"/>
      <c r="VAF72" s="414"/>
      <c r="VAG72" s="414"/>
      <c r="VAH72" s="414"/>
      <c r="VAI72" s="414"/>
      <c r="VAJ72" s="414"/>
      <c r="VAK72" s="414"/>
      <c r="VAL72" s="414"/>
      <c r="VAM72" s="414"/>
      <c r="VAN72" s="414"/>
      <c r="VAO72" s="414"/>
      <c r="VAP72" s="414"/>
      <c r="VAQ72" s="414"/>
      <c r="VAR72" s="414"/>
      <c r="VAS72" s="414"/>
      <c r="VAT72" s="414"/>
      <c r="VAU72" s="414"/>
      <c r="VAV72" s="414"/>
      <c r="VAW72" s="414"/>
      <c r="VAX72" s="414"/>
      <c r="VAY72" s="414"/>
      <c r="VAZ72" s="414"/>
      <c r="VBA72" s="414"/>
      <c r="VBB72" s="414"/>
      <c r="VBC72" s="414"/>
      <c r="VBD72" s="414"/>
      <c r="VBE72" s="414"/>
      <c r="VBF72" s="414"/>
      <c r="VBG72" s="414"/>
      <c r="VBH72" s="414"/>
      <c r="VBI72" s="414"/>
      <c r="VBJ72" s="414"/>
      <c r="VBK72" s="414"/>
      <c r="VBL72" s="414"/>
      <c r="VBM72" s="414"/>
      <c r="VBN72" s="414"/>
      <c r="VBO72" s="414"/>
      <c r="VBP72" s="414"/>
      <c r="VBQ72" s="414"/>
      <c r="VBR72" s="414"/>
      <c r="VBS72" s="414"/>
      <c r="VBT72" s="414"/>
      <c r="VBU72" s="414"/>
      <c r="VBV72" s="414"/>
      <c r="VBW72" s="414"/>
      <c r="VBX72" s="414"/>
      <c r="VBY72" s="414"/>
      <c r="VBZ72" s="414"/>
      <c r="VCA72" s="414"/>
      <c r="VCB72" s="414"/>
      <c r="VCC72" s="414"/>
      <c r="VCD72" s="414"/>
      <c r="VCE72" s="414"/>
      <c r="VCF72" s="414"/>
      <c r="VCG72" s="414"/>
      <c r="VCH72" s="414"/>
      <c r="VCI72" s="414"/>
      <c r="VCJ72" s="414"/>
      <c r="VCK72" s="414"/>
      <c r="VCL72" s="414"/>
      <c r="VCM72" s="414"/>
      <c r="VCN72" s="414"/>
      <c r="VCO72" s="414"/>
      <c r="VCP72" s="414"/>
      <c r="VCQ72" s="414"/>
      <c r="VCR72" s="414"/>
      <c r="VCS72" s="414"/>
      <c r="VCT72" s="414"/>
      <c r="VCU72" s="414"/>
      <c r="VCV72" s="414"/>
      <c r="VCW72" s="414"/>
      <c r="VCX72" s="414"/>
      <c r="VCY72" s="414"/>
      <c r="VCZ72" s="414"/>
      <c r="VDA72" s="414"/>
      <c r="VDB72" s="414"/>
      <c r="VDC72" s="414"/>
      <c r="VDD72" s="414"/>
      <c r="VDE72" s="414"/>
      <c r="VDF72" s="414"/>
      <c r="VDG72" s="414"/>
      <c r="VDH72" s="414"/>
      <c r="VDI72" s="414"/>
      <c r="VDJ72" s="414"/>
      <c r="VDK72" s="414"/>
      <c r="VDL72" s="414"/>
      <c r="VDM72" s="414"/>
      <c r="VDN72" s="414"/>
      <c r="VDO72" s="414"/>
      <c r="VDP72" s="414"/>
      <c r="VDQ72" s="414"/>
      <c r="VDR72" s="414"/>
      <c r="VDS72" s="414"/>
      <c r="VDT72" s="414"/>
      <c r="VDU72" s="414"/>
      <c r="VDV72" s="414"/>
      <c r="VDW72" s="414"/>
      <c r="VDX72" s="414"/>
      <c r="VDY72" s="414"/>
      <c r="VDZ72" s="414"/>
      <c r="VEA72" s="414"/>
      <c r="VEB72" s="414"/>
      <c r="VEC72" s="414"/>
      <c r="VED72" s="414"/>
      <c r="VEE72" s="414"/>
      <c r="VEF72" s="414"/>
      <c r="VEG72" s="414"/>
      <c r="VEH72" s="414"/>
      <c r="VEI72" s="414"/>
      <c r="VEJ72" s="414"/>
      <c r="VEK72" s="414"/>
      <c r="VEL72" s="414"/>
      <c r="VEM72" s="414"/>
      <c r="VEN72" s="414"/>
      <c r="VEO72" s="414"/>
      <c r="VEP72" s="414"/>
      <c r="VEQ72" s="414"/>
      <c r="VER72" s="414"/>
      <c r="VES72" s="414"/>
      <c r="VET72" s="414"/>
      <c r="VEU72" s="414"/>
      <c r="VEV72" s="414"/>
      <c r="VEW72" s="414"/>
      <c r="VEX72" s="414"/>
      <c r="VEY72" s="414"/>
      <c r="VEZ72" s="414"/>
      <c r="VFA72" s="414"/>
      <c r="VFB72" s="414"/>
      <c r="VFC72" s="414"/>
      <c r="VFD72" s="414"/>
      <c r="VFE72" s="414"/>
      <c r="VFF72" s="414"/>
      <c r="VFG72" s="414"/>
      <c r="VFH72" s="414"/>
      <c r="VFI72" s="414"/>
      <c r="VFJ72" s="414"/>
      <c r="VFK72" s="414"/>
      <c r="VFL72" s="414"/>
      <c r="VFM72" s="414"/>
      <c r="VFN72" s="414"/>
      <c r="VFO72" s="414"/>
      <c r="VFP72" s="414"/>
      <c r="VFQ72" s="414"/>
      <c r="VFR72" s="414"/>
      <c r="VFS72" s="414"/>
      <c r="VFT72" s="414"/>
      <c r="VFU72" s="414"/>
      <c r="VFV72" s="414"/>
      <c r="VFW72" s="414"/>
      <c r="VFX72" s="414"/>
      <c r="VFY72" s="414"/>
      <c r="VFZ72" s="414"/>
      <c r="VGA72" s="414"/>
      <c r="VGB72" s="414"/>
      <c r="VGC72" s="414"/>
      <c r="VGD72" s="414"/>
      <c r="VGE72" s="414"/>
      <c r="VGF72" s="414"/>
      <c r="VGG72" s="414"/>
      <c r="VGH72" s="414"/>
      <c r="VGI72" s="414"/>
      <c r="VGJ72" s="414"/>
      <c r="VGK72" s="414"/>
      <c r="VGL72" s="414"/>
      <c r="VGM72" s="414"/>
      <c r="VGN72" s="414"/>
      <c r="VGO72" s="414"/>
      <c r="VGP72" s="414"/>
      <c r="VGQ72" s="414"/>
      <c r="VGR72" s="414"/>
      <c r="VGS72" s="414"/>
      <c r="VGT72" s="414"/>
      <c r="VGU72" s="414"/>
      <c r="VGV72" s="414"/>
      <c r="VGW72" s="414"/>
      <c r="VGX72" s="414"/>
      <c r="VGY72" s="414"/>
      <c r="VGZ72" s="414"/>
      <c r="VHA72" s="414"/>
      <c r="VHB72" s="414"/>
      <c r="VHC72" s="414"/>
      <c r="VHD72" s="414"/>
      <c r="VHE72" s="414"/>
      <c r="VHF72" s="414"/>
      <c r="VHG72" s="414"/>
      <c r="VHH72" s="414"/>
      <c r="VHI72" s="414"/>
      <c r="VHJ72" s="414"/>
      <c r="VHK72" s="414"/>
      <c r="VHL72" s="414"/>
      <c r="VHM72" s="414"/>
      <c r="VHN72" s="414"/>
      <c r="VHO72" s="414"/>
      <c r="VHP72" s="414"/>
      <c r="VHQ72" s="414"/>
      <c r="VHR72" s="414"/>
      <c r="VHS72" s="414"/>
      <c r="VHT72" s="414"/>
      <c r="VHU72" s="414"/>
      <c r="VHV72" s="414"/>
      <c r="VHW72" s="414"/>
      <c r="VHX72" s="414"/>
      <c r="VHY72" s="414"/>
      <c r="VHZ72" s="414"/>
      <c r="VIA72" s="414"/>
      <c r="VIB72" s="414"/>
      <c r="VIC72" s="414"/>
      <c r="VID72" s="414"/>
      <c r="VIE72" s="414"/>
      <c r="VIF72" s="414"/>
      <c r="VIG72" s="414"/>
      <c r="VIH72" s="414"/>
      <c r="VII72" s="414"/>
      <c r="VIJ72" s="414"/>
      <c r="VIK72" s="414"/>
      <c r="VIL72" s="414"/>
      <c r="VIM72" s="414"/>
      <c r="VIN72" s="414"/>
      <c r="VIO72" s="414"/>
      <c r="VIP72" s="414"/>
      <c r="VIQ72" s="414"/>
      <c r="VIR72" s="414"/>
      <c r="VIS72" s="414"/>
      <c r="VIT72" s="414"/>
      <c r="VIU72" s="414"/>
      <c r="VIV72" s="414"/>
      <c r="VIW72" s="414"/>
      <c r="VIX72" s="414"/>
      <c r="VIY72" s="414"/>
      <c r="VIZ72" s="414"/>
      <c r="VJA72" s="414"/>
      <c r="VJB72" s="414"/>
      <c r="VJC72" s="414"/>
      <c r="VJD72" s="414"/>
      <c r="VJE72" s="414"/>
      <c r="VJF72" s="414"/>
      <c r="VJG72" s="414"/>
      <c r="VJH72" s="414"/>
      <c r="VJI72" s="414"/>
      <c r="VJJ72" s="414"/>
      <c r="VJK72" s="414"/>
      <c r="VJL72" s="414"/>
      <c r="VJM72" s="414"/>
      <c r="VJN72" s="414"/>
      <c r="VJO72" s="414"/>
      <c r="VJP72" s="414"/>
      <c r="VJQ72" s="414"/>
      <c r="VJR72" s="414"/>
      <c r="VJS72" s="414"/>
      <c r="VJT72" s="414"/>
      <c r="VJU72" s="414"/>
      <c r="VJV72" s="414"/>
      <c r="VJW72" s="414"/>
      <c r="VJX72" s="414"/>
      <c r="VJY72" s="414"/>
      <c r="VJZ72" s="414"/>
      <c r="VKA72" s="414"/>
      <c r="VKB72" s="414"/>
      <c r="VKC72" s="414"/>
      <c r="VKD72" s="414"/>
      <c r="VKE72" s="414"/>
      <c r="VKF72" s="414"/>
      <c r="VKG72" s="414"/>
      <c r="VKH72" s="414"/>
      <c r="VKI72" s="414"/>
      <c r="VKJ72" s="414"/>
      <c r="VKK72" s="414"/>
      <c r="VKL72" s="414"/>
      <c r="VKM72" s="414"/>
      <c r="VKN72" s="414"/>
      <c r="VKO72" s="414"/>
      <c r="VKP72" s="414"/>
      <c r="VKQ72" s="414"/>
      <c r="VKR72" s="414"/>
      <c r="VKS72" s="414"/>
      <c r="VKT72" s="414"/>
      <c r="VKU72" s="414"/>
      <c r="VKV72" s="414"/>
      <c r="VKW72" s="414"/>
      <c r="VKX72" s="414"/>
      <c r="VKY72" s="414"/>
      <c r="VKZ72" s="414"/>
      <c r="VLA72" s="414"/>
      <c r="VLB72" s="414"/>
      <c r="VLC72" s="414"/>
      <c r="VLD72" s="414"/>
      <c r="VLE72" s="414"/>
      <c r="VLF72" s="414"/>
      <c r="VLG72" s="414"/>
      <c r="VLH72" s="414"/>
      <c r="VLI72" s="414"/>
      <c r="VLJ72" s="414"/>
      <c r="VLK72" s="414"/>
      <c r="VLL72" s="414"/>
      <c r="VLM72" s="414"/>
      <c r="VLN72" s="414"/>
      <c r="VLO72" s="414"/>
      <c r="VLP72" s="414"/>
      <c r="VLQ72" s="414"/>
      <c r="VLR72" s="414"/>
      <c r="VLS72" s="414"/>
      <c r="VLT72" s="414"/>
      <c r="VLU72" s="414"/>
      <c r="VLV72" s="414"/>
      <c r="VLW72" s="414"/>
      <c r="VLX72" s="414"/>
      <c r="VLY72" s="414"/>
      <c r="VLZ72" s="414"/>
      <c r="VMA72" s="414"/>
      <c r="VMB72" s="414"/>
      <c r="VMC72" s="414"/>
      <c r="VMD72" s="414"/>
      <c r="VME72" s="414"/>
      <c r="VMF72" s="414"/>
      <c r="VMG72" s="414"/>
      <c r="VMH72" s="414"/>
      <c r="VMI72" s="414"/>
      <c r="VMJ72" s="414"/>
      <c r="VMK72" s="414"/>
      <c r="VML72" s="414"/>
      <c r="VMM72" s="414"/>
      <c r="VMN72" s="414"/>
      <c r="VMO72" s="414"/>
      <c r="VMP72" s="414"/>
      <c r="VMQ72" s="414"/>
      <c r="VMR72" s="414"/>
      <c r="VMS72" s="414"/>
      <c r="VMT72" s="414"/>
      <c r="VMU72" s="414"/>
      <c r="VMV72" s="414"/>
      <c r="VMW72" s="414"/>
      <c r="VMX72" s="414"/>
      <c r="VMY72" s="414"/>
      <c r="VMZ72" s="414"/>
      <c r="VNA72" s="414"/>
      <c r="VNB72" s="414"/>
      <c r="VNC72" s="414"/>
      <c r="VND72" s="414"/>
      <c r="VNE72" s="414"/>
      <c r="VNF72" s="414"/>
      <c r="VNG72" s="414"/>
      <c r="VNH72" s="414"/>
      <c r="VNI72" s="414"/>
      <c r="VNJ72" s="414"/>
      <c r="VNK72" s="414"/>
      <c r="VNL72" s="414"/>
      <c r="VNM72" s="414"/>
      <c r="VNN72" s="414"/>
      <c r="VNO72" s="414"/>
      <c r="VNP72" s="414"/>
      <c r="VNQ72" s="414"/>
      <c r="VNR72" s="414"/>
      <c r="VNS72" s="414"/>
      <c r="VNT72" s="414"/>
      <c r="VNU72" s="414"/>
      <c r="VNV72" s="414"/>
      <c r="VNW72" s="414"/>
      <c r="VNX72" s="414"/>
      <c r="VNY72" s="414"/>
      <c r="VNZ72" s="414"/>
      <c r="VOA72" s="414"/>
      <c r="VOB72" s="414"/>
      <c r="VOC72" s="414"/>
      <c r="VOD72" s="414"/>
      <c r="VOE72" s="414"/>
      <c r="VOF72" s="414"/>
      <c r="VOG72" s="414"/>
      <c r="VOH72" s="414"/>
      <c r="VOI72" s="414"/>
      <c r="VOJ72" s="414"/>
      <c r="VOK72" s="414"/>
      <c r="VOL72" s="414"/>
      <c r="VOM72" s="414"/>
      <c r="VON72" s="414"/>
      <c r="VOO72" s="414"/>
      <c r="VOP72" s="414"/>
      <c r="VOQ72" s="414"/>
      <c r="VOR72" s="414"/>
      <c r="VOS72" s="414"/>
      <c r="VOT72" s="414"/>
      <c r="VOU72" s="414"/>
      <c r="VOV72" s="414"/>
      <c r="VOW72" s="414"/>
      <c r="VOX72" s="414"/>
      <c r="VOY72" s="414"/>
      <c r="VOZ72" s="414"/>
      <c r="VPA72" s="414"/>
      <c r="VPB72" s="414"/>
      <c r="VPC72" s="414"/>
      <c r="VPD72" s="414"/>
      <c r="VPE72" s="414"/>
      <c r="VPF72" s="414"/>
      <c r="VPG72" s="414"/>
      <c r="VPH72" s="414"/>
      <c r="VPI72" s="414"/>
      <c r="VPJ72" s="414"/>
      <c r="VPK72" s="414"/>
      <c r="VPL72" s="414"/>
      <c r="VPM72" s="414"/>
      <c r="VPN72" s="414"/>
      <c r="VPO72" s="414"/>
      <c r="VPP72" s="414"/>
      <c r="VPQ72" s="414"/>
      <c r="VPR72" s="414"/>
      <c r="VPS72" s="414"/>
      <c r="VPT72" s="414"/>
      <c r="VPU72" s="414"/>
      <c r="VPV72" s="414"/>
      <c r="VPW72" s="414"/>
      <c r="VPX72" s="414"/>
      <c r="VPY72" s="414"/>
      <c r="VPZ72" s="414"/>
      <c r="VQA72" s="414"/>
      <c r="VQB72" s="414"/>
      <c r="VQC72" s="414"/>
      <c r="VQD72" s="414"/>
      <c r="VQE72" s="414"/>
      <c r="VQF72" s="414"/>
      <c r="VQG72" s="414"/>
      <c r="VQH72" s="414"/>
      <c r="VQI72" s="414"/>
      <c r="VQJ72" s="414"/>
      <c r="VQK72" s="414"/>
      <c r="VQL72" s="414"/>
      <c r="VQM72" s="414"/>
      <c r="VQN72" s="414"/>
      <c r="VQO72" s="414"/>
      <c r="VQP72" s="414"/>
      <c r="VQQ72" s="414"/>
      <c r="VQR72" s="414"/>
      <c r="VQS72" s="414"/>
      <c r="VQT72" s="414"/>
      <c r="VQU72" s="414"/>
      <c r="VQV72" s="414"/>
      <c r="VQW72" s="414"/>
      <c r="VQX72" s="414"/>
      <c r="VQY72" s="414"/>
      <c r="VQZ72" s="414"/>
      <c r="VRA72" s="414"/>
      <c r="VRB72" s="414"/>
      <c r="VRC72" s="414"/>
      <c r="VRD72" s="414"/>
      <c r="VRE72" s="414"/>
      <c r="VRF72" s="414"/>
      <c r="VRG72" s="414"/>
      <c r="VRH72" s="414"/>
      <c r="VRI72" s="414"/>
      <c r="VRJ72" s="414"/>
      <c r="VRK72" s="414"/>
      <c r="VRL72" s="414"/>
      <c r="VRM72" s="414"/>
      <c r="VRN72" s="414"/>
      <c r="VRO72" s="414"/>
      <c r="VRP72" s="414"/>
      <c r="VRQ72" s="414"/>
      <c r="VRR72" s="414"/>
      <c r="VRS72" s="414"/>
      <c r="VRT72" s="414"/>
      <c r="VRU72" s="414"/>
      <c r="VRV72" s="414"/>
      <c r="VRW72" s="414"/>
      <c r="VRX72" s="414"/>
      <c r="VRY72" s="414"/>
      <c r="VRZ72" s="414"/>
      <c r="VSA72" s="414"/>
      <c r="VSB72" s="414"/>
      <c r="VSC72" s="414"/>
      <c r="VSD72" s="414"/>
      <c r="VSE72" s="414"/>
      <c r="VSF72" s="414"/>
      <c r="VSG72" s="414"/>
      <c r="VSH72" s="414"/>
      <c r="VSI72" s="414"/>
      <c r="VSJ72" s="414"/>
      <c r="VSK72" s="414"/>
      <c r="VSL72" s="414"/>
      <c r="VSM72" s="414"/>
      <c r="VSN72" s="414"/>
      <c r="VSO72" s="414"/>
      <c r="VSP72" s="414"/>
      <c r="VSQ72" s="414"/>
      <c r="VSR72" s="414"/>
      <c r="VSS72" s="414"/>
      <c r="VST72" s="414"/>
      <c r="VSU72" s="414"/>
      <c r="VSV72" s="414"/>
      <c r="VSW72" s="414"/>
      <c r="VSX72" s="414"/>
      <c r="VSY72" s="414"/>
      <c r="VSZ72" s="414"/>
      <c r="VTA72" s="414"/>
      <c r="VTB72" s="414"/>
      <c r="VTC72" s="414"/>
      <c r="VTD72" s="414"/>
      <c r="VTE72" s="414"/>
      <c r="VTF72" s="414"/>
      <c r="VTG72" s="414"/>
      <c r="VTH72" s="414"/>
      <c r="VTI72" s="414"/>
      <c r="VTJ72" s="414"/>
      <c r="VTK72" s="414"/>
      <c r="VTL72" s="414"/>
      <c r="VTM72" s="414"/>
      <c r="VTN72" s="414"/>
      <c r="VTO72" s="414"/>
      <c r="VTP72" s="414"/>
      <c r="VTQ72" s="414"/>
      <c r="VTR72" s="414"/>
      <c r="VTS72" s="414"/>
      <c r="VTT72" s="414"/>
      <c r="VTU72" s="414"/>
      <c r="VTV72" s="414"/>
      <c r="VTW72" s="414"/>
      <c r="VTX72" s="414"/>
      <c r="VTY72" s="414"/>
      <c r="VTZ72" s="414"/>
      <c r="VUA72" s="414"/>
      <c r="VUB72" s="414"/>
      <c r="VUC72" s="414"/>
      <c r="VUD72" s="414"/>
      <c r="VUE72" s="414"/>
      <c r="VUF72" s="414"/>
      <c r="VUG72" s="414"/>
      <c r="VUH72" s="414"/>
      <c r="VUI72" s="414"/>
      <c r="VUJ72" s="414"/>
      <c r="VUK72" s="414"/>
      <c r="VUL72" s="414"/>
      <c r="VUM72" s="414"/>
      <c r="VUN72" s="414"/>
      <c r="VUO72" s="414"/>
      <c r="VUP72" s="414"/>
      <c r="VUQ72" s="414"/>
      <c r="VUR72" s="414"/>
      <c r="VUS72" s="414"/>
      <c r="VUT72" s="414"/>
      <c r="VUU72" s="414"/>
      <c r="VUV72" s="414"/>
      <c r="VUW72" s="414"/>
      <c r="VUX72" s="414"/>
      <c r="VUY72" s="414"/>
      <c r="VUZ72" s="414"/>
      <c r="VVA72" s="414"/>
      <c r="VVB72" s="414"/>
      <c r="VVC72" s="414"/>
      <c r="VVD72" s="414"/>
      <c r="VVE72" s="414"/>
      <c r="VVF72" s="414"/>
      <c r="VVG72" s="414"/>
      <c r="VVH72" s="414"/>
      <c r="VVI72" s="414"/>
      <c r="VVJ72" s="414"/>
      <c r="VVK72" s="414"/>
      <c r="VVL72" s="414"/>
      <c r="VVM72" s="414"/>
      <c r="VVN72" s="414"/>
      <c r="VVO72" s="414"/>
      <c r="VVP72" s="414"/>
      <c r="VVQ72" s="414"/>
      <c r="VVR72" s="414"/>
      <c r="VVS72" s="414"/>
      <c r="VVT72" s="414"/>
      <c r="VVU72" s="414"/>
      <c r="VVV72" s="414"/>
      <c r="VVW72" s="414"/>
      <c r="VVX72" s="414"/>
      <c r="VVY72" s="414"/>
      <c r="VVZ72" s="414"/>
      <c r="VWA72" s="414"/>
      <c r="VWB72" s="414"/>
      <c r="VWC72" s="414"/>
      <c r="VWD72" s="414"/>
      <c r="VWE72" s="414"/>
      <c r="VWF72" s="414"/>
      <c r="VWG72" s="414"/>
      <c r="VWH72" s="414"/>
      <c r="VWI72" s="414"/>
      <c r="VWJ72" s="414"/>
      <c r="VWK72" s="414"/>
      <c r="VWL72" s="414"/>
      <c r="VWM72" s="414"/>
      <c r="VWN72" s="414"/>
      <c r="VWO72" s="414"/>
      <c r="VWP72" s="414"/>
      <c r="VWQ72" s="414"/>
      <c r="VWR72" s="414"/>
      <c r="VWS72" s="414"/>
      <c r="VWT72" s="414"/>
      <c r="VWU72" s="414"/>
      <c r="VWV72" s="414"/>
      <c r="VWW72" s="414"/>
      <c r="VWX72" s="414"/>
      <c r="VWY72" s="414"/>
      <c r="VWZ72" s="414"/>
      <c r="VXA72" s="414"/>
      <c r="VXB72" s="414"/>
      <c r="VXC72" s="414"/>
      <c r="VXD72" s="414"/>
      <c r="VXE72" s="414"/>
      <c r="VXF72" s="414"/>
      <c r="VXG72" s="414"/>
      <c r="VXH72" s="414"/>
      <c r="VXI72" s="414"/>
      <c r="VXJ72" s="414"/>
      <c r="VXK72" s="414"/>
      <c r="VXL72" s="414"/>
      <c r="VXM72" s="414"/>
      <c r="VXN72" s="414"/>
      <c r="VXO72" s="414"/>
      <c r="VXP72" s="414"/>
      <c r="VXQ72" s="414"/>
      <c r="VXR72" s="414"/>
      <c r="VXS72" s="414"/>
      <c r="VXT72" s="414"/>
      <c r="VXU72" s="414"/>
      <c r="VXV72" s="414"/>
      <c r="VXW72" s="414"/>
      <c r="VXX72" s="414"/>
      <c r="VXY72" s="414"/>
      <c r="VXZ72" s="414"/>
      <c r="VYA72" s="414"/>
      <c r="VYB72" s="414"/>
      <c r="VYC72" s="414"/>
      <c r="VYD72" s="414"/>
      <c r="VYE72" s="414"/>
      <c r="VYF72" s="414"/>
      <c r="VYG72" s="414"/>
      <c r="VYH72" s="414"/>
      <c r="VYI72" s="414"/>
      <c r="VYJ72" s="414"/>
      <c r="VYK72" s="414"/>
      <c r="VYL72" s="414"/>
      <c r="VYM72" s="414"/>
      <c r="VYN72" s="414"/>
      <c r="VYO72" s="414"/>
      <c r="VYP72" s="414"/>
      <c r="VYQ72" s="414"/>
      <c r="VYR72" s="414"/>
      <c r="VYS72" s="414"/>
      <c r="VYT72" s="414"/>
      <c r="VYU72" s="414"/>
      <c r="VYV72" s="414"/>
      <c r="VYW72" s="414"/>
      <c r="VYX72" s="414"/>
      <c r="VYY72" s="414"/>
      <c r="VYZ72" s="414"/>
      <c r="VZA72" s="414"/>
      <c r="VZB72" s="414"/>
      <c r="VZC72" s="414"/>
      <c r="VZD72" s="414"/>
      <c r="VZE72" s="414"/>
      <c r="VZF72" s="414"/>
      <c r="VZG72" s="414"/>
      <c r="VZH72" s="414"/>
      <c r="VZI72" s="414"/>
      <c r="VZJ72" s="414"/>
      <c r="VZK72" s="414"/>
      <c r="VZL72" s="414"/>
      <c r="VZM72" s="414"/>
      <c r="VZN72" s="414"/>
      <c r="VZO72" s="414"/>
      <c r="VZP72" s="414"/>
      <c r="VZQ72" s="414"/>
      <c r="VZR72" s="414"/>
      <c r="VZS72" s="414"/>
      <c r="VZT72" s="414"/>
      <c r="VZU72" s="414"/>
      <c r="VZV72" s="414"/>
      <c r="VZW72" s="414"/>
      <c r="VZX72" s="414"/>
      <c r="VZY72" s="414"/>
      <c r="VZZ72" s="414"/>
      <c r="WAA72" s="414"/>
      <c r="WAB72" s="414"/>
      <c r="WAC72" s="414"/>
      <c r="WAD72" s="414"/>
      <c r="WAE72" s="414"/>
      <c r="WAF72" s="414"/>
      <c r="WAG72" s="414"/>
      <c r="WAH72" s="414"/>
      <c r="WAI72" s="414"/>
      <c r="WAJ72" s="414"/>
      <c r="WAK72" s="414"/>
      <c r="WAL72" s="414"/>
      <c r="WAM72" s="414"/>
      <c r="WAN72" s="414"/>
      <c r="WAO72" s="414"/>
      <c r="WAP72" s="414"/>
      <c r="WAQ72" s="414"/>
      <c r="WAR72" s="414"/>
      <c r="WAS72" s="414"/>
      <c r="WAT72" s="414"/>
      <c r="WAU72" s="414"/>
      <c r="WAV72" s="414"/>
      <c r="WAW72" s="414"/>
      <c r="WAX72" s="414"/>
      <c r="WAY72" s="414"/>
      <c r="WAZ72" s="414"/>
      <c r="WBA72" s="414"/>
      <c r="WBB72" s="414"/>
      <c r="WBC72" s="414"/>
      <c r="WBD72" s="414"/>
      <c r="WBE72" s="414"/>
      <c r="WBF72" s="414"/>
      <c r="WBG72" s="414"/>
      <c r="WBH72" s="414"/>
      <c r="WBI72" s="414"/>
      <c r="WBJ72" s="414"/>
      <c r="WBK72" s="414"/>
      <c r="WBL72" s="414"/>
      <c r="WBM72" s="414"/>
      <c r="WBN72" s="414"/>
      <c r="WBO72" s="414"/>
      <c r="WBP72" s="414"/>
      <c r="WBQ72" s="414"/>
      <c r="WBR72" s="414"/>
      <c r="WBS72" s="414"/>
      <c r="WBT72" s="414"/>
      <c r="WBU72" s="414"/>
      <c r="WBV72" s="414"/>
      <c r="WBW72" s="414"/>
      <c r="WBX72" s="414"/>
      <c r="WBY72" s="414"/>
      <c r="WBZ72" s="414"/>
      <c r="WCA72" s="414"/>
      <c r="WCB72" s="414"/>
      <c r="WCC72" s="414"/>
      <c r="WCD72" s="414"/>
      <c r="WCE72" s="414"/>
      <c r="WCF72" s="414"/>
      <c r="WCG72" s="414"/>
      <c r="WCH72" s="414"/>
      <c r="WCI72" s="414"/>
      <c r="WCJ72" s="414"/>
      <c r="WCK72" s="414"/>
      <c r="WCL72" s="414"/>
      <c r="WCM72" s="414"/>
      <c r="WCN72" s="414"/>
      <c r="WCO72" s="414"/>
      <c r="WCP72" s="414"/>
      <c r="WCQ72" s="414"/>
      <c r="WCR72" s="414"/>
      <c r="WCS72" s="414"/>
      <c r="WCT72" s="414"/>
      <c r="WCU72" s="414"/>
      <c r="WCV72" s="414"/>
      <c r="WCW72" s="414"/>
      <c r="WCX72" s="414"/>
      <c r="WCY72" s="414"/>
      <c r="WCZ72" s="414"/>
      <c r="WDA72" s="414"/>
      <c r="WDB72" s="414"/>
      <c r="WDC72" s="414"/>
      <c r="WDD72" s="414"/>
      <c r="WDE72" s="414"/>
      <c r="WDF72" s="414"/>
      <c r="WDG72" s="414"/>
      <c r="WDH72" s="414"/>
      <c r="WDI72" s="414"/>
      <c r="WDJ72" s="414"/>
      <c r="WDK72" s="414"/>
      <c r="WDL72" s="414"/>
      <c r="WDM72" s="414"/>
      <c r="WDN72" s="414"/>
      <c r="WDO72" s="414"/>
      <c r="WDP72" s="414"/>
      <c r="WDQ72" s="414"/>
      <c r="WDR72" s="414"/>
      <c r="WDS72" s="414"/>
      <c r="WDT72" s="414"/>
      <c r="WDU72" s="414"/>
      <c r="WDV72" s="414"/>
      <c r="WDW72" s="414"/>
      <c r="WDX72" s="414"/>
      <c r="WDY72" s="414"/>
      <c r="WDZ72" s="414"/>
      <c r="WEA72" s="414"/>
      <c r="WEB72" s="414"/>
      <c r="WEC72" s="414"/>
      <c r="WED72" s="414"/>
      <c r="WEE72" s="414"/>
      <c r="WEF72" s="414"/>
      <c r="WEG72" s="414"/>
      <c r="WEH72" s="414"/>
      <c r="WEI72" s="414"/>
      <c r="WEJ72" s="414"/>
      <c r="WEK72" s="414"/>
      <c r="WEL72" s="414"/>
      <c r="WEM72" s="414"/>
      <c r="WEN72" s="414"/>
      <c r="WEO72" s="414"/>
      <c r="WEP72" s="414"/>
      <c r="WEQ72" s="414"/>
      <c r="WER72" s="414"/>
      <c r="WES72" s="414"/>
      <c r="WET72" s="414"/>
      <c r="WEU72" s="414"/>
      <c r="WEV72" s="414"/>
      <c r="WEW72" s="414"/>
      <c r="WEX72" s="414"/>
      <c r="WEY72" s="414"/>
      <c r="WEZ72" s="414"/>
      <c r="WFA72" s="414"/>
      <c r="WFB72" s="414"/>
      <c r="WFC72" s="414"/>
      <c r="WFD72" s="414"/>
      <c r="WFE72" s="414"/>
      <c r="WFF72" s="414"/>
      <c r="WFG72" s="414"/>
      <c r="WFH72" s="414"/>
      <c r="WFI72" s="414"/>
      <c r="WFJ72" s="414"/>
      <c r="WFK72" s="414"/>
      <c r="WFL72" s="414"/>
      <c r="WFM72" s="414"/>
      <c r="WFN72" s="414"/>
      <c r="WFO72" s="414"/>
      <c r="WFP72" s="414"/>
      <c r="WFQ72" s="414"/>
      <c r="WFR72" s="414"/>
      <c r="WFS72" s="414"/>
      <c r="WFT72" s="414"/>
      <c r="WFU72" s="414"/>
      <c r="WFV72" s="414"/>
      <c r="WFW72" s="414"/>
      <c r="WFX72" s="414"/>
      <c r="WFY72" s="414"/>
      <c r="WFZ72" s="414"/>
      <c r="WGA72" s="414"/>
      <c r="WGB72" s="414"/>
      <c r="WGC72" s="414"/>
      <c r="WGD72" s="414"/>
      <c r="WGE72" s="414"/>
      <c r="WGF72" s="414"/>
      <c r="WGG72" s="414"/>
      <c r="WGH72" s="414"/>
      <c r="WGI72" s="414"/>
      <c r="WGJ72" s="414"/>
      <c r="WGK72" s="414"/>
      <c r="WGL72" s="414"/>
      <c r="WGM72" s="414"/>
      <c r="WGN72" s="414"/>
      <c r="WGO72" s="414"/>
      <c r="WGP72" s="414"/>
      <c r="WGQ72" s="414"/>
      <c r="WGR72" s="414"/>
      <c r="WGS72" s="414"/>
      <c r="WGT72" s="414"/>
      <c r="WGU72" s="414"/>
      <c r="WGV72" s="414"/>
      <c r="WGW72" s="414"/>
      <c r="WGX72" s="414"/>
      <c r="WGY72" s="414"/>
      <c r="WGZ72" s="414"/>
      <c r="WHA72" s="414"/>
      <c r="WHB72" s="414"/>
      <c r="WHC72" s="414"/>
      <c r="WHD72" s="414"/>
      <c r="WHE72" s="414"/>
      <c r="WHF72" s="414"/>
      <c r="WHG72" s="414"/>
      <c r="WHH72" s="414"/>
      <c r="WHI72" s="414"/>
      <c r="WHJ72" s="414"/>
      <c r="WHK72" s="414"/>
      <c r="WHL72" s="414"/>
      <c r="WHM72" s="414"/>
      <c r="WHN72" s="414"/>
      <c r="WHO72" s="414"/>
      <c r="WHP72" s="414"/>
      <c r="WHQ72" s="414"/>
      <c r="WHR72" s="414"/>
      <c r="WHS72" s="414"/>
      <c r="WHT72" s="414"/>
      <c r="WHU72" s="414"/>
      <c r="WHV72" s="414"/>
      <c r="WHW72" s="414"/>
      <c r="WHX72" s="414"/>
      <c r="WHY72" s="414"/>
      <c r="WHZ72" s="414"/>
      <c r="WIA72" s="414"/>
      <c r="WIB72" s="414"/>
      <c r="WIC72" s="414"/>
      <c r="WID72" s="414"/>
      <c r="WIE72" s="414"/>
      <c r="WIF72" s="414"/>
      <c r="WIG72" s="414"/>
      <c r="WIH72" s="414"/>
      <c r="WII72" s="414"/>
      <c r="WIJ72" s="414"/>
      <c r="WIK72" s="414"/>
      <c r="WIL72" s="414"/>
      <c r="WIM72" s="414"/>
      <c r="WIN72" s="414"/>
      <c r="WIO72" s="414"/>
      <c r="WIP72" s="414"/>
      <c r="WIQ72" s="414"/>
      <c r="WIR72" s="414"/>
      <c r="WIS72" s="414"/>
      <c r="WIT72" s="414"/>
      <c r="WIU72" s="414"/>
      <c r="WIV72" s="414"/>
      <c r="WIW72" s="414"/>
      <c r="WIX72" s="414"/>
      <c r="WIY72" s="414"/>
      <c r="WIZ72" s="414"/>
      <c r="WJA72" s="414"/>
      <c r="WJB72" s="414"/>
      <c r="WJC72" s="414"/>
      <c r="WJD72" s="414"/>
      <c r="WJE72" s="414"/>
      <c r="WJF72" s="414"/>
      <c r="WJG72" s="414"/>
      <c r="WJH72" s="414"/>
      <c r="WJI72" s="414"/>
      <c r="WJJ72" s="414"/>
      <c r="WJK72" s="414"/>
      <c r="WJL72" s="414"/>
      <c r="WJM72" s="414"/>
      <c r="WJN72" s="414"/>
      <c r="WJO72" s="414"/>
      <c r="WJP72" s="414"/>
      <c r="WJQ72" s="414"/>
      <c r="WJR72" s="414"/>
      <c r="WJS72" s="414"/>
      <c r="WJT72" s="414"/>
      <c r="WJU72" s="414"/>
      <c r="WJV72" s="414"/>
      <c r="WJW72" s="414"/>
      <c r="WJX72" s="414"/>
      <c r="WJY72" s="414"/>
      <c r="WJZ72" s="414"/>
      <c r="WKA72" s="414"/>
      <c r="WKB72" s="414"/>
      <c r="WKC72" s="414"/>
      <c r="WKD72" s="414"/>
      <c r="WKE72" s="414"/>
      <c r="WKF72" s="414"/>
      <c r="WKG72" s="414"/>
      <c r="WKH72" s="414"/>
      <c r="WKI72" s="414"/>
      <c r="WKJ72" s="414"/>
      <c r="WKK72" s="414"/>
      <c r="WKL72" s="414"/>
      <c r="WKM72" s="414"/>
      <c r="WKN72" s="414"/>
      <c r="WKO72" s="414"/>
      <c r="WKP72" s="414"/>
      <c r="WKQ72" s="414"/>
      <c r="WKR72" s="414"/>
      <c r="WKS72" s="414"/>
      <c r="WKT72" s="414"/>
      <c r="WKU72" s="414"/>
      <c r="WKV72" s="414"/>
      <c r="WKW72" s="414"/>
      <c r="WKX72" s="414"/>
      <c r="WKY72" s="414"/>
      <c r="WKZ72" s="414"/>
      <c r="WLA72" s="414"/>
      <c r="WLB72" s="414"/>
      <c r="WLC72" s="414"/>
      <c r="WLD72" s="414"/>
      <c r="WLE72" s="414"/>
      <c r="WLF72" s="414"/>
      <c r="WLG72" s="414"/>
      <c r="WLH72" s="414"/>
      <c r="WLI72" s="414"/>
      <c r="WLJ72" s="414"/>
      <c r="WLK72" s="414"/>
      <c r="WLL72" s="414"/>
      <c r="WLM72" s="414"/>
      <c r="WLN72" s="414"/>
      <c r="WLO72" s="414"/>
      <c r="WLP72" s="414"/>
      <c r="WLQ72" s="414"/>
      <c r="WLR72" s="414"/>
      <c r="WLS72" s="414"/>
      <c r="WLT72" s="414"/>
      <c r="WLU72" s="414"/>
      <c r="WLV72" s="414"/>
      <c r="WLW72" s="414"/>
      <c r="WLX72" s="414"/>
      <c r="WLY72" s="414"/>
      <c r="WLZ72" s="414"/>
      <c r="WMA72" s="414"/>
      <c r="WMB72" s="414"/>
      <c r="WMC72" s="414"/>
      <c r="WMD72" s="414"/>
      <c r="WME72" s="414"/>
      <c r="WMF72" s="414"/>
      <c r="WMG72" s="414"/>
      <c r="WMH72" s="414"/>
      <c r="WMI72" s="414"/>
      <c r="WMJ72" s="414"/>
      <c r="WMK72" s="414"/>
      <c r="WML72" s="414"/>
      <c r="WMM72" s="414"/>
      <c r="WMN72" s="414"/>
      <c r="WMO72" s="414"/>
      <c r="WMP72" s="414"/>
      <c r="WMQ72" s="414"/>
      <c r="WMR72" s="414"/>
      <c r="WMS72" s="414"/>
      <c r="WMT72" s="414"/>
      <c r="WMU72" s="414"/>
      <c r="WMV72" s="414"/>
      <c r="WMW72" s="414"/>
      <c r="WMX72" s="414"/>
      <c r="WMY72" s="414"/>
      <c r="WMZ72" s="414"/>
      <c r="WNA72" s="414"/>
      <c r="WNB72" s="414"/>
      <c r="WNC72" s="414"/>
      <c r="WND72" s="414"/>
      <c r="WNE72" s="414"/>
      <c r="WNF72" s="414"/>
      <c r="WNG72" s="414"/>
      <c r="WNH72" s="414"/>
      <c r="WNI72" s="414"/>
      <c r="WNJ72" s="414"/>
      <c r="WNK72" s="414"/>
      <c r="WNL72" s="414"/>
      <c r="WNM72" s="414"/>
      <c r="WNN72" s="414"/>
      <c r="WNO72" s="414"/>
      <c r="WNP72" s="414"/>
      <c r="WNQ72" s="414"/>
      <c r="WNR72" s="414"/>
      <c r="WNS72" s="414"/>
      <c r="WNT72" s="414"/>
      <c r="WNU72" s="414"/>
      <c r="WNV72" s="414"/>
      <c r="WNW72" s="414"/>
      <c r="WNX72" s="414"/>
      <c r="WNY72" s="414"/>
      <c r="WNZ72" s="414"/>
      <c r="WOA72" s="414"/>
      <c r="WOB72" s="414"/>
      <c r="WOC72" s="414"/>
      <c r="WOD72" s="414"/>
      <c r="WOE72" s="414"/>
      <c r="WOF72" s="414"/>
      <c r="WOG72" s="414"/>
      <c r="WOH72" s="414"/>
      <c r="WOI72" s="414"/>
      <c r="WOJ72" s="414"/>
      <c r="WOK72" s="414"/>
      <c r="WOL72" s="414"/>
      <c r="WOM72" s="414"/>
      <c r="WON72" s="414"/>
      <c r="WOO72" s="414"/>
      <c r="WOP72" s="414"/>
      <c r="WOQ72" s="414"/>
      <c r="WOR72" s="414"/>
      <c r="WOS72" s="414"/>
      <c r="WOT72" s="414"/>
      <c r="WOU72" s="414"/>
      <c r="WOV72" s="414"/>
      <c r="WOW72" s="414"/>
      <c r="WOX72" s="414"/>
      <c r="WOY72" s="414"/>
      <c r="WOZ72" s="414"/>
      <c r="WPA72" s="414"/>
      <c r="WPB72" s="414"/>
      <c r="WPC72" s="414"/>
      <c r="WPD72" s="414"/>
      <c r="WPE72" s="414"/>
      <c r="WPF72" s="414"/>
      <c r="WPG72" s="414"/>
      <c r="WPH72" s="414"/>
      <c r="WPI72" s="414"/>
      <c r="WPJ72" s="414"/>
      <c r="WPK72" s="414"/>
      <c r="WPL72" s="414"/>
      <c r="WPM72" s="414"/>
      <c r="WPN72" s="414"/>
      <c r="WPO72" s="414"/>
      <c r="WPP72" s="414"/>
      <c r="WPQ72" s="414"/>
      <c r="WPR72" s="414"/>
      <c r="WPS72" s="414"/>
      <c r="WPT72" s="414"/>
      <c r="WPU72" s="414"/>
      <c r="WPV72" s="414"/>
      <c r="WPW72" s="414"/>
      <c r="WPX72" s="414"/>
      <c r="WPY72" s="414"/>
      <c r="WPZ72" s="414"/>
      <c r="WQA72" s="414"/>
      <c r="WQB72" s="414"/>
      <c r="WQC72" s="414"/>
      <c r="WQD72" s="414"/>
      <c r="WQE72" s="414"/>
      <c r="WQF72" s="414"/>
      <c r="WQG72" s="414"/>
      <c r="WQH72" s="414"/>
      <c r="WQI72" s="414"/>
      <c r="WQJ72" s="414"/>
      <c r="WQK72" s="414"/>
      <c r="WQL72" s="414"/>
      <c r="WQM72" s="414"/>
      <c r="WQN72" s="414"/>
      <c r="WQO72" s="414"/>
      <c r="WQP72" s="414"/>
      <c r="WQQ72" s="414"/>
      <c r="WQR72" s="414"/>
      <c r="WQS72" s="414"/>
      <c r="WQT72" s="414"/>
      <c r="WQU72" s="414"/>
      <c r="WQV72" s="414"/>
      <c r="WQW72" s="414"/>
      <c r="WQX72" s="414"/>
      <c r="WQY72" s="414"/>
      <c r="WQZ72" s="414"/>
      <c r="WRA72" s="414"/>
      <c r="WRB72" s="414"/>
      <c r="WRC72" s="414"/>
      <c r="WRD72" s="414"/>
      <c r="WRE72" s="414"/>
      <c r="WRF72" s="414"/>
      <c r="WRG72" s="414"/>
      <c r="WRH72" s="414"/>
      <c r="WRI72" s="414"/>
      <c r="WRJ72" s="414"/>
      <c r="WRK72" s="414"/>
      <c r="WRL72" s="414"/>
      <c r="WRM72" s="414"/>
      <c r="WRN72" s="414"/>
      <c r="WRO72" s="414"/>
      <c r="WRP72" s="414"/>
      <c r="WRQ72" s="414"/>
      <c r="WRR72" s="414"/>
      <c r="WRS72" s="414"/>
      <c r="WRT72" s="414"/>
      <c r="WRU72" s="414"/>
      <c r="WRV72" s="414"/>
      <c r="WRW72" s="414"/>
      <c r="WRX72" s="414"/>
      <c r="WRY72" s="414"/>
      <c r="WRZ72" s="414"/>
      <c r="WSA72" s="414"/>
      <c r="WSB72" s="414"/>
      <c r="WSC72" s="414"/>
      <c r="WSD72" s="414"/>
      <c r="WSE72" s="414"/>
      <c r="WSF72" s="414"/>
      <c r="WSG72" s="414"/>
      <c r="WSH72" s="414"/>
      <c r="WSI72" s="414"/>
      <c r="WSJ72" s="414"/>
      <c r="WSK72" s="414"/>
      <c r="WSL72" s="414"/>
      <c r="WSM72" s="414"/>
      <c r="WSN72" s="414"/>
      <c r="WSO72" s="414"/>
      <c r="WSP72" s="414"/>
      <c r="WSQ72" s="414"/>
      <c r="WSR72" s="414"/>
      <c r="WSS72" s="414"/>
      <c r="WST72" s="414"/>
      <c r="WSU72" s="414"/>
      <c r="WSV72" s="414"/>
      <c r="WSW72" s="414"/>
      <c r="WSX72" s="414"/>
      <c r="WSY72" s="414"/>
      <c r="WSZ72" s="414"/>
      <c r="WTA72" s="414"/>
      <c r="WTB72" s="414"/>
      <c r="WTC72" s="414"/>
      <c r="WTD72" s="414"/>
      <c r="WTE72" s="414"/>
      <c r="WTF72" s="414"/>
      <c r="WTG72" s="414"/>
      <c r="WTH72" s="414"/>
      <c r="WTI72" s="414"/>
      <c r="WTJ72" s="414"/>
      <c r="WTK72" s="414"/>
      <c r="WTL72" s="414"/>
      <c r="WTM72" s="414"/>
      <c r="WTN72" s="414"/>
      <c r="WTO72" s="414"/>
      <c r="WTP72" s="414"/>
      <c r="WTQ72" s="414"/>
      <c r="WTR72" s="414"/>
      <c r="WTS72" s="414"/>
      <c r="WTT72" s="414"/>
      <c r="WTU72" s="414"/>
      <c r="WTV72" s="414"/>
      <c r="WTW72" s="414"/>
      <c r="WTX72" s="414"/>
      <c r="WTY72" s="414"/>
      <c r="WTZ72" s="414"/>
      <c r="WUA72" s="414"/>
      <c r="WUB72" s="414"/>
      <c r="WUC72" s="414"/>
      <c r="WUD72" s="414"/>
      <c r="WUE72" s="414"/>
      <c r="WUF72" s="414"/>
      <c r="WUG72" s="414"/>
      <c r="WUH72" s="414"/>
      <c r="WUI72" s="414"/>
      <c r="WUJ72" s="414"/>
      <c r="WUK72" s="414"/>
      <c r="WUL72" s="414"/>
      <c r="WUM72" s="414"/>
      <c r="WUN72" s="414"/>
      <c r="WUO72" s="414"/>
      <c r="WUP72" s="414"/>
      <c r="WUQ72" s="414"/>
      <c r="WUR72" s="414"/>
      <c r="WUS72" s="414"/>
      <c r="WUT72" s="414"/>
      <c r="WUU72" s="414"/>
      <c r="WUV72" s="414"/>
      <c r="WUW72" s="414"/>
      <c r="WUX72" s="414"/>
      <c r="WUY72" s="414"/>
      <c r="WUZ72" s="414"/>
      <c r="WVA72" s="414"/>
      <c r="WVB72" s="414"/>
      <c r="WVC72" s="414"/>
      <c r="WVD72" s="414"/>
      <c r="WVE72" s="414"/>
      <c r="WVF72" s="414"/>
      <c r="WVG72" s="414"/>
      <c r="WVH72" s="414"/>
      <c r="WVI72" s="414"/>
      <c r="WVJ72" s="414"/>
      <c r="WVK72" s="414"/>
      <c r="WVL72" s="414"/>
      <c r="WVM72" s="414"/>
      <c r="WVN72" s="414"/>
      <c r="WVO72" s="414"/>
      <c r="WVP72" s="414"/>
      <c r="WVQ72" s="414"/>
      <c r="WVR72" s="414"/>
      <c r="WVS72" s="414"/>
      <c r="WVT72" s="414"/>
      <c r="WVU72" s="414"/>
      <c r="WVV72" s="414"/>
      <c r="WVW72" s="414"/>
      <c r="WVX72" s="414"/>
      <c r="WVY72" s="414"/>
      <c r="WVZ72" s="414"/>
      <c r="WWA72" s="414"/>
      <c r="WWB72" s="414"/>
      <c r="WWC72" s="414"/>
      <c r="WWD72" s="414"/>
      <c r="WWE72" s="414"/>
      <c r="WWF72" s="414"/>
      <c r="WWG72" s="414"/>
      <c r="WWH72" s="414"/>
      <c r="WWI72" s="414"/>
      <c r="WWJ72" s="414"/>
      <c r="WWK72" s="414"/>
      <c r="WWL72" s="414"/>
      <c r="WWM72" s="414"/>
      <c r="WWN72" s="414"/>
      <c r="WWO72" s="414"/>
      <c r="WWP72" s="414"/>
      <c r="WWQ72" s="414"/>
      <c r="WWR72" s="414"/>
      <c r="WWS72" s="414"/>
      <c r="WWT72" s="414"/>
      <c r="WWU72" s="414"/>
      <c r="WWV72" s="414"/>
      <c r="WWW72" s="414"/>
      <c r="WWX72" s="414"/>
      <c r="WWY72" s="414"/>
      <c r="WWZ72" s="414"/>
      <c r="WXA72" s="414"/>
      <c r="WXB72" s="414"/>
      <c r="WXC72" s="414"/>
      <c r="WXD72" s="414"/>
      <c r="WXE72" s="414"/>
      <c r="WXF72" s="414"/>
      <c r="WXG72" s="414"/>
      <c r="WXH72" s="414"/>
      <c r="WXI72" s="414"/>
      <c r="WXJ72" s="414"/>
      <c r="WXK72" s="414"/>
      <c r="WXL72" s="414"/>
      <c r="WXM72" s="414"/>
      <c r="WXN72" s="414"/>
      <c r="WXO72" s="414"/>
      <c r="WXP72" s="414"/>
      <c r="WXQ72" s="414"/>
      <c r="WXR72" s="414"/>
      <c r="WXS72" s="414"/>
      <c r="WXT72" s="414"/>
      <c r="WXU72" s="414"/>
      <c r="WXV72" s="414"/>
      <c r="WXW72" s="414"/>
      <c r="WXX72" s="414"/>
      <c r="WXY72" s="414"/>
      <c r="WXZ72" s="414"/>
      <c r="WYA72" s="414"/>
      <c r="WYB72" s="414"/>
      <c r="WYC72" s="414"/>
      <c r="WYD72" s="414"/>
      <c r="WYE72" s="414"/>
      <c r="WYF72" s="414"/>
      <c r="WYG72" s="414"/>
      <c r="WYH72" s="414"/>
      <c r="WYI72" s="414"/>
      <c r="WYJ72" s="414"/>
      <c r="WYK72" s="414"/>
      <c r="WYL72" s="414"/>
      <c r="WYM72" s="414"/>
      <c r="WYN72" s="414"/>
      <c r="WYO72" s="414"/>
      <c r="WYP72" s="414"/>
      <c r="WYQ72" s="414"/>
      <c r="WYR72" s="414"/>
      <c r="WYS72" s="414"/>
      <c r="WYT72" s="414"/>
      <c r="WYU72" s="414"/>
      <c r="WYV72" s="414"/>
      <c r="WYW72" s="414"/>
      <c r="WYX72" s="414"/>
      <c r="WYY72" s="414"/>
      <c r="WYZ72" s="414"/>
      <c r="WZA72" s="414"/>
      <c r="WZB72" s="414"/>
      <c r="WZC72" s="414"/>
      <c r="WZD72" s="414"/>
      <c r="WZE72" s="414"/>
      <c r="WZF72" s="414"/>
      <c r="WZG72" s="414"/>
      <c r="WZH72" s="414"/>
      <c r="WZI72" s="414"/>
      <c r="WZJ72" s="414"/>
      <c r="WZK72" s="414"/>
      <c r="WZL72" s="414"/>
      <c r="WZM72" s="414"/>
      <c r="WZN72" s="414"/>
      <c r="WZO72" s="414"/>
      <c r="WZP72" s="414"/>
      <c r="WZQ72" s="414"/>
      <c r="WZR72" s="414"/>
      <c r="WZS72" s="414"/>
      <c r="WZT72" s="414"/>
      <c r="WZU72" s="414"/>
      <c r="WZV72" s="414"/>
      <c r="WZW72" s="414"/>
      <c r="WZX72" s="414"/>
      <c r="WZY72" s="414"/>
      <c r="WZZ72" s="414"/>
      <c r="XAA72" s="414"/>
      <c r="XAB72" s="414"/>
      <c r="XAC72" s="414"/>
      <c r="XAD72" s="414"/>
      <c r="XAE72" s="414"/>
      <c r="XAF72" s="414"/>
      <c r="XAG72" s="414"/>
      <c r="XAH72" s="414"/>
      <c r="XAI72" s="414"/>
      <c r="XAJ72" s="414"/>
      <c r="XAK72" s="414"/>
      <c r="XAL72" s="414"/>
      <c r="XAM72" s="414"/>
      <c r="XAN72" s="414"/>
      <c r="XAO72" s="414"/>
      <c r="XAP72" s="414"/>
      <c r="XAQ72" s="414"/>
      <c r="XAR72" s="414"/>
      <c r="XAS72" s="414"/>
      <c r="XAT72" s="414"/>
      <c r="XAU72" s="414"/>
      <c r="XAV72" s="414"/>
      <c r="XAW72" s="414"/>
      <c r="XAX72" s="414"/>
      <c r="XAY72" s="414"/>
      <c r="XAZ72" s="414"/>
      <c r="XBA72" s="414"/>
      <c r="XBB72" s="414"/>
      <c r="XBC72" s="414"/>
      <c r="XBD72" s="414"/>
      <c r="XBE72" s="414"/>
      <c r="XBF72" s="414"/>
      <c r="XBG72" s="414"/>
      <c r="XBH72" s="414"/>
      <c r="XBI72" s="414"/>
      <c r="XBJ72" s="414"/>
      <c r="XBK72" s="414"/>
      <c r="XBL72" s="414"/>
      <c r="XBM72" s="414"/>
      <c r="XBN72" s="414"/>
      <c r="XBO72" s="414"/>
      <c r="XBP72" s="414"/>
      <c r="XBQ72" s="414"/>
      <c r="XBR72" s="414"/>
      <c r="XBS72" s="414"/>
      <c r="XBT72" s="414"/>
      <c r="XBU72" s="414"/>
      <c r="XBV72" s="414"/>
      <c r="XBW72" s="414"/>
      <c r="XBX72" s="414"/>
      <c r="XBY72" s="414"/>
      <c r="XBZ72" s="414"/>
      <c r="XCA72" s="414"/>
      <c r="XCB72" s="414"/>
      <c r="XCC72" s="414"/>
      <c r="XCD72" s="414"/>
      <c r="XCE72" s="414"/>
      <c r="XCF72" s="414"/>
      <c r="XCG72" s="414"/>
      <c r="XCH72" s="414"/>
      <c r="XCI72" s="414"/>
      <c r="XCJ72" s="414"/>
      <c r="XCK72" s="414"/>
      <c r="XCL72" s="414"/>
      <c r="XCM72" s="414"/>
      <c r="XCN72" s="414"/>
      <c r="XCO72" s="414"/>
      <c r="XCP72" s="414"/>
      <c r="XCQ72" s="414"/>
      <c r="XCR72" s="414"/>
      <c r="XCS72" s="414"/>
      <c r="XCT72" s="414"/>
      <c r="XCU72" s="414"/>
      <c r="XCV72" s="414"/>
      <c r="XCW72" s="414"/>
      <c r="XCX72" s="414"/>
      <c r="XCY72" s="414"/>
      <c r="XCZ72" s="414"/>
      <c r="XDA72" s="414"/>
      <c r="XDB72" s="414"/>
      <c r="XDC72" s="414"/>
      <c r="XDD72" s="414"/>
      <c r="XDE72" s="414"/>
      <c r="XDF72" s="414"/>
      <c r="XDG72" s="414"/>
      <c r="XDH72" s="414"/>
      <c r="XDI72" s="414"/>
      <c r="XDJ72" s="414"/>
      <c r="XDK72" s="414"/>
      <c r="XDL72" s="414"/>
      <c r="XDM72" s="414"/>
      <c r="XDN72" s="414"/>
      <c r="XDO72" s="414"/>
      <c r="XDP72" s="414"/>
      <c r="XDQ72" s="414"/>
      <c r="XDR72" s="414"/>
      <c r="XDS72" s="414"/>
      <c r="XDT72" s="414"/>
      <c r="XDU72" s="414"/>
      <c r="XDV72" s="414"/>
      <c r="XDW72" s="414"/>
      <c r="XDX72" s="414"/>
      <c r="XDY72" s="414"/>
      <c r="XDZ72" s="414"/>
      <c r="XEA72" s="414"/>
      <c r="XEB72" s="414"/>
      <c r="XEC72" s="414"/>
      <c r="XED72" s="414"/>
      <c r="XEE72" s="414"/>
      <c r="XEF72" s="414"/>
      <c r="XEG72" s="414"/>
      <c r="XEH72" s="414"/>
      <c r="XEI72" s="414"/>
      <c r="XEJ72" s="414"/>
      <c r="XEK72" s="414"/>
      <c r="XEL72" s="414"/>
      <c r="XEM72" s="414"/>
      <c r="XEN72" s="414"/>
      <c r="XEO72" s="414"/>
      <c r="XEP72" s="414"/>
      <c r="XEQ72" s="414"/>
      <c r="XER72" s="414"/>
      <c r="XES72" s="414"/>
      <c r="XET72" s="414"/>
      <c r="XEU72" s="414"/>
      <c r="XEV72" s="414"/>
      <c r="XEW72" s="414"/>
      <c r="XEX72" s="414"/>
      <c r="XEY72" s="414"/>
      <c r="XEZ72" s="414"/>
      <c r="XFA72" s="414"/>
    </row>
    <row r="73" spans="1:16381" ht="22.5">
      <c r="A73" s="609" t="str">
        <f t="shared" si="0"/>
        <v>Deka-BonusRente</v>
      </c>
      <c r="B73" s="609">
        <f>ROW()</f>
        <v>73</v>
      </c>
      <c r="C73" s="635" t="s">
        <v>1046</v>
      </c>
      <c r="D73" s="1201"/>
      <c r="E73" s="636" t="s">
        <v>660</v>
      </c>
      <c r="F73" s="637" t="str">
        <f t="shared" si="5"/>
        <v>Ja</v>
      </c>
      <c r="G73" s="634" t="str">
        <f t="shared" si="2"/>
        <v>TO ermöglicht: Tarifwechel; doppelten Kostenabzug;  Verzinsung zwischen EzE und RK geltend machen</v>
      </c>
      <c r="H73" s="609"/>
      <c r="J73" s="788"/>
      <c r="K73" s="1199">
        <v>1</v>
      </c>
      <c r="L73" s="1199">
        <v>2</v>
      </c>
      <c r="M73" s="1199"/>
      <c r="N73" s="1199">
        <v>4</v>
      </c>
      <c r="O73" s="960" t="s">
        <v>1047</v>
      </c>
      <c r="P73" s="144">
        <f t="shared" si="6"/>
        <v>7</v>
      </c>
      <c r="Q73" s="609"/>
      <c r="R73" s="609"/>
      <c r="S73" s="609"/>
      <c r="T73" s="609"/>
      <c r="U73" s="609"/>
      <c r="V73" s="609"/>
      <c r="W73" s="609"/>
      <c r="X73" s="609"/>
      <c r="Y73" s="609"/>
      <c r="Z73" s="609"/>
      <c r="AA73" s="609"/>
      <c r="AB73" s="609"/>
      <c r="AC73" s="609"/>
      <c r="AD73" s="609"/>
      <c r="AE73" s="609"/>
      <c r="AF73" s="609"/>
      <c r="AG73" s="609"/>
      <c r="AH73" s="609"/>
      <c r="AI73" s="609"/>
      <c r="AJ73" s="609"/>
      <c r="AK73" s="609"/>
      <c r="AL73" s="609"/>
      <c r="AM73" s="609"/>
      <c r="AN73" s="609"/>
      <c r="AO73" s="609"/>
      <c r="AP73" s="609"/>
      <c r="AQ73" s="609"/>
      <c r="AR73" s="609"/>
      <c r="AS73" s="609"/>
      <c r="AT73" s="609"/>
      <c r="AU73" s="609"/>
      <c r="AV73" s="609"/>
      <c r="AW73" s="609"/>
      <c r="AX73" s="609"/>
      <c r="AY73" s="609"/>
      <c r="AZ73" s="609"/>
      <c r="BA73" s="609"/>
      <c r="BB73" s="609"/>
      <c r="BC73" s="609"/>
      <c r="BD73" s="609"/>
      <c r="BE73" s="609"/>
      <c r="BF73" s="609"/>
      <c r="BG73" s="609"/>
      <c r="BH73" s="609"/>
      <c r="BI73" s="609"/>
      <c r="BJ73" s="609"/>
      <c r="BK73" s="609"/>
      <c r="BL73" s="609"/>
      <c r="BM73" s="609"/>
      <c r="BN73" s="609"/>
      <c r="BO73" s="609"/>
      <c r="BP73" s="609"/>
      <c r="BQ73" s="609"/>
      <c r="BR73" s="609"/>
      <c r="BS73" s="609"/>
      <c r="BT73" s="609"/>
      <c r="BU73" s="609"/>
      <c r="BV73" s="609"/>
      <c r="BW73" s="609"/>
      <c r="BX73" s="609"/>
      <c r="BY73" s="609"/>
      <c r="BZ73" s="609"/>
      <c r="CA73" s="609"/>
      <c r="CB73" s="609"/>
      <c r="CC73" s="609"/>
      <c r="CD73" s="609"/>
      <c r="CE73" s="609"/>
      <c r="CF73" s="609"/>
      <c r="CG73" s="609"/>
      <c r="CH73" s="609"/>
      <c r="CI73" s="609"/>
      <c r="CJ73" s="609"/>
      <c r="CK73" s="609"/>
      <c r="CL73" s="609"/>
      <c r="CM73" s="609"/>
      <c r="CN73" s="609"/>
      <c r="CO73" s="609"/>
      <c r="CP73" s="609"/>
      <c r="CQ73" s="609"/>
      <c r="CR73" s="609"/>
      <c r="CS73" s="609"/>
      <c r="CT73" s="609"/>
      <c r="CU73" s="609"/>
      <c r="CV73" s="609"/>
      <c r="CW73" s="609"/>
      <c r="CX73" s="609"/>
      <c r="CY73" s="609"/>
      <c r="CZ73" s="609"/>
      <c r="DA73" s="609"/>
      <c r="DB73" s="609"/>
      <c r="DC73" s="609"/>
      <c r="DD73" s="609"/>
      <c r="DE73" s="609"/>
      <c r="DF73" s="609"/>
      <c r="DG73" s="609"/>
      <c r="DH73" s="609"/>
      <c r="DI73" s="609"/>
      <c r="DJ73" s="609"/>
      <c r="DK73" s="609"/>
      <c r="DL73" s="609"/>
      <c r="DM73" s="609"/>
      <c r="DN73" s="609"/>
      <c r="DO73" s="609"/>
      <c r="DP73" s="609"/>
      <c r="DQ73" s="609"/>
      <c r="DR73" s="609"/>
      <c r="DS73" s="609"/>
      <c r="DT73" s="609"/>
      <c r="DU73" s="609"/>
      <c r="DV73" s="609"/>
      <c r="DW73" s="609"/>
      <c r="DX73" s="609"/>
      <c r="DY73" s="609"/>
      <c r="DZ73" s="609"/>
      <c r="EA73" s="609"/>
      <c r="EB73" s="609"/>
      <c r="EC73" s="609"/>
      <c r="ED73" s="609"/>
      <c r="EE73" s="609"/>
      <c r="EF73" s="609"/>
      <c r="EG73" s="609"/>
      <c r="EH73" s="609"/>
      <c r="EI73" s="609"/>
      <c r="EJ73" s="609"/>
      <c r="EK73" s="609"/>
      <c r="EL73" s="609"/>
      <c r="EM73" s="609"/>
      <c r="EN73" s="609"/>
      <c r="EO73" s="609"/>
      <c r="EP73" s="609"/>
      <c r="EQ73" s="609"/>
      <c r="ER73" s="609"/>
      <c r="ES73" s="609"/>
      <c r="ET73" s="609"/>
      <c r="EU73" s="609"/>
      <c r="EV73" s="609"/>
      <c r="EW73" s="609"/>
      <c r="EX73" s="609"/>
      <c r="EY73" s="609"/>
      <c r="EZ73" s="609"/>
      <c r="FA73" s="609"/>
      <c r="FB73" s="609"/>
      <c r="FC73" s="609"/>
      <c r="FD73" s="609"/>
      <c r="FE73" s="609"/>
      <c r="FF73" s="609"/>
      <c r="FG73" s="609"/>
      <c r="FH73" s="609"/>
      <c r="FI73" s="609"/>
      <c r="FJ73" s="609"/>
      <c r="FK73" s="609"/>
      <c r="FL73" s="609"/>
      <c r="FM73" s="609"/>
      <c r="FN73" s="609"/>
      <c r="FO73" s="609"/>
      <c r="FP73" s="609"/>
      <c r="FQ73" s="609"/>
      <c r="FR73" s="609"/>
      <c r="FS73" s="609"/>
      <c r="FT73" s="609"/>
      <c r="FU73" s="609"/>
      <c r="FV73" s="609"/>
      <c r="FW73" s="609"/>
      <c r="FX73" s="609"/>
      <c r="FY73" s="609"/>
      <c r="FZ73" s="609"/>
      <c r="GA73" s="609"/>
      <c r="GB73" s="609"/>
      <c r="GC73" s="609"/>
      <c r="GD73" s="609"/>
      <c r="GE73" s="609"/>
      <c r="GF73" s="609"/>
      <c r="GG73" s="609"/>
      <c r="GH73" s="609"/>
      <c r="GI73" s="609"/>
      <c r="GJ73" s="609"/>
      <c r="GK73" s="609"/>
      <c r="GL73" s="609"/>
      <c r="GM73" s="609"/>
      <c r="GN73" s="609"/>
      <c r="GO73" s="609"/>
      <c r="GP73" s="609"/>
      <c r="GQ73" s="609"/>
      <c r="GR73" s="609"/>
      <c r="GS73" s="609"/>
      <c r="GT73" s="609"/>
      <c r="GU73" s="609"/>
      <c r="GV73" s="609"/>
      <c r="GW73" s="609"/>
      <c r="GX73" s="609"/>
      <c r="GY73" s="609"/>
      <c r="GZ73" s="609"/>
      <c r="HA73" s="609"/>
      <c r="HB73" s="609"/>
      <c r="HC73" s="609"/>
      <c r="HD73" s="609"/>
      <c r="HE73" s="609"/>
      <c r="HF73" s="609"/>
      <c r="HG73" s="609"/>
      <c r="HH73" s="609"/>
      <c r="HI73" s="609"/>
      <c r="HJ73" s="609"/>
      <c r="HK73" s="609"/>
      <c r="HL73" s="609"/>
      <c r="HM73" s="609"/>
      <c r="HN73" s="609"/>
      <c r="HO73" s="609"/>
      <c r="HP73" s="609"/>
      <c r="HQ73" s="609"/>
      <c r="HR73" s="609"/>
      <c r="HS73" s="609"/>
      <c r="HT73" s="609"/>
      <c r="HU73" s="609"/>
      <c r="HV73" s="609"/>
      <c r="HW73" s="609"/>
      <c r="HX73" s="609"/>
      <c r="HY73" s="609"/>
      <c r="HZ73" s="609"/>
      <c r="IA73" s="609"/>
      <c r="IB73" s="609"/>
      <c r="IC73" s="609"/>
      <c r="ID73" s="609"/>
      <c r="IE73" s="609"/>
      <c r="IF73" s="609"/>
      <c r="IG73" s="609"/>
      <c r="IH73" s="609"/>
      <c r="II73" s="609"/>
      <c r="IJ73" s="609"/>
      <c r="IK73" s="609"/>
      <c r="IL73" s="609"/>
      <c r="IM73" s="609"/>
      <c r="IN73" s="609"/>
      <c r="IO73" s="609"/>
      <c r="IP73" s="609"/>
      <c r="IQ73" s="609"/>
      <c r="IR73" s="609"/>
      <c r="IS73" s="609"/>
      <c r="IT73" s="609"/>
      <c r="IU73" s="609"/>
      <c r="IV73" s="609"/>
      <c r="IW73" s="609"/>
      <c r="IX73" s="609"/>
      <c r="IY73" s="609"/>
      <c r="IZ73" s="609"/>
      <c r="JA73" s="609"/>
      <c r="JB73" s="609"/>
      <c r="JC73" s="609"/>
      <c r="JD73" s="609"/>
      <c r="JE73" s="609"/>
      <c r="JF73" s="609"/>
      <c r="JG73" s="609"/>
      <c r="JH73" s="609"/>
      <c r="JI73" s="609"/>
      <c r="JJ73" s="609"/>
      <c r="JK73" s="609"/>
      <c r="JL73" s="609"/>
      <c r="JM73" s="609"/>
      <c r="JN73" s="609"/>
      <c r="JO73" s="609"/>
      <c r="JP73" s="609"/>
      <c r="JQ73" s="609"/>
      <c r="JR73" s="609"/>
      <c r="JS73" s="609"/>
      <c r="JT73" s="609"/>
      <c r="JU73" s="609"/>
      <c r="JV73" s="609"/>
      <c r="JW73" s="609"/>
      <c r="JX73" s="609"/>
      <c r="JY73" s="609"/>
      <c r="JZ73" s="609"/>
      <c r="KA73" s="609"/>
      <c r="KB73" s="609"/>
      <c r="KC73" s="609"/>
      <c r="KD73" s="609"/>
      <c r="KE73" s="609"/>
      <c r="KF73" s="609"/>
      <c r="KG73" s="609"/>
      <c r="KH73" s="609"/>
      <c r="KI73" s="609"/>
      <c r="KJ73" s="609"/>
      <c r="KK73" s="609"/>
      <c r="KL73" s="609"/>
      <c r="KM73" s="609"/>
      <c r="KN73" s="609"/>
      <c r="KO73" s="609"/>
      <c r="KP73" s="609"/>
      <c r="KQ73" s="609"/>
      <c r="KR73" s="609"/>
      <c r="KS73" s="609"/>
      <c r="KT73" s="609"/>
      <c r="KU73" s="609"/>
      <c r="KV73" s="609"/>
      <c r="KW73" s="609"/>
      <c r="KX73" s="609"/>
      <c r="KY73" s="609"/>
      <c r="KZ73" s="609"/>
      <c r="LA73" s="609"/>
      <c r="LB73" s="609"/>
      <c r="LC73" s="609"/>
      <c r="LD73" s="609"/>
      <c r="LE73" s="609"/>
      <c r="LF73" s="609"/>
      <c r="LG73" s="609"/>
      <c r="LH73" s="609"/>
      <c r="LI73" s="609"/>
      <c r="LJ73" s="609"/>
      <c r="LK73" s="609"/>
      <c r="LL73" s="609"/>
      <c r="LM73" s="609"/>
      <c r="LN73" s="609"/>
      <c r="LO73" s="609"/>
      <c r="LP73" s="609"/>
      <c r="LQ73" s="609"/>
      <c r="LR73" s="609"/>
      <c r="LS73" s="609"/>
      <c r="LT73" s="609"/>
      <c r="LU73" s="609"/>
      <c r="LV73" s="609"/>
      <c r="LW73" s="609"/>
      <c r="LX73" s="609"/>
      <c r="LY73" s="609"/>
      <c r="LZ73" s="609"/>
      <c r="MA73" s="609"/>
      <c r="MB73" s="609"/>
      <c r="MC73" s="609"/>
      <c r="MD73" s="609"/>
      <c r="ME73" s="609"/>
      <c r="MF73" s="609"/>
      <c r="MG73" s="609"/>
      <c r="MH73" s="609"/>
      <c r="MI73" s="609"/>
      <c r="MJ73" s="609"/>
      <c r="MK73" s="609"/>
      <c r="ML73" s="609"/>
      <c r="MM73" s="609"/>
      <c r="MN73" s="609"/>
      <c r="MO73" s="609"/>
      <c r="MP73" s="609"/>
      <c r="MQ73" s="609"/>
      <c r="MR73" s="609"/>
      <c r="MS73" s="609"/>
      <c r="MT73" s="609"/>
      <c r="MU73" s="609"/>
      <c r="MV73" s="609"/>
      <c r="MW73" s="609"/>
      <c r="MX73" s="609"/>
      <c r="MY73" s="609"/>
      <c r="MZ73" s="609"/>
      <c r="NA73" s="609"/>
      <c r="NB73" s="609"/>
      <c r="NC73" s="609"/>
      <c r="ND73" s="609"/>
      <c r="NE73" s="609"/>
      <c r="NF73" s="609"/>
      <c r="NG73" s="609"/>
      <c r="NH73" s="609"/>
      <c r="NI73" s="609"/>
      <c r="NJ73" s="609"/>
      <c r="NK73" s="609"/>
      <c r="NL73" s="609"/>
      <c r="NM73" s="609"/>
      <c r="NN73" s="609"/>
      <c r="NO73" s="609"/>
      <c r="NP73" s="609"/>
      <c r="NQ73" s="609"/>
      <c r="NR73" s="609"/>
      <c r="NS73" s="609"/>
      <c r="NT73" s="609"/>
      <c r="NU73" s="609"/>
      <c r="NV73" s="609"/>
      <c r="NW73" s="609"/>
      <c r="NX73" s="609"/>
      <c r="NY73" s="609"/>
      <c r="NZ73" s="609"/>
      <c r="OA73" s="609"/>
      <c r="OB73" s="609"/>
      <c r="OC73" s="609"/>
      <c r="OD73" s="609"/>
      <c r="OE73" s="609"/>
      <c r="OF73" s="609"/>
      <c r="OG73" s="609"/>
      <c r="OH73" s="609"/>
      <c r="OI73" s="609"/>
      <c r="OJ73" s="609"/>
      <c r="OK73" s="609"/>
      <c r="OL73" s="609"/>
      <c r="OM73" s="609"/>
      <c r="ON73" s="609"/>
      <c r="OO73" s="609"/>
      <c r="OP73" s="609"/>
      <c r="OQ73" s="609"/>
      <c r="OR73" s="609"/>
      <c r="OS73" s="609"/>
      <c r="OT73" s="609"/>
      <c r="OU73" s="609"/>
      <c r="OV73" s="609"/>
      <c r="OW73" s="609"/>
      <c r="OX73" s="609"/>
      <c r="OY73" s="609"/>
      <c r="OZ73" s="609"/>
      <c r="PA73" s="609"/>
      <c r="PB73" s="609"/>
      <c r="PC73" s="609"/>
      <c r="PD73" s="609"/>
      <c r="PE73" s="609"/>
      <c r="PF73" s="609"/>
      <c r="PG73" s="609"/>
      <c r="PH73" s="609"/>
      <c r="PI73" s="609"/>
      <c r="PJ73" s="609"/>
      <c r="PK73" s="609"/>
      <c r="PL73" s="609"/>
      <c r="PM73" s="609"/>
      <c r="PN73" s="609"/>
      <c r="PO73" s="609"/>
      <c r="PP73" s="609"/>
      <c r="PQ73" s="609"/>
      <c r="PR73" s="609"/>
      <c r="PS73" s="609"/>
      <c r="PT73" s="609"/>
      <c r="PU73" s="609"/>
      <c r="PV73" s="609"/>
      <c r="PW73" s="609"/>
      <c r="PX73" s="609"/>
      <c r="PY73" s="609"/>
      <c r="PZ73" s="609"/>
      <c r="QA73" s="609"/>
      <c r="QB73" s="609"/>
      <c r="QC73" s="609"/>
      <c r="QD73" s="609"/>
      <c r="QE73" s="609"/>
      <c r="QF73" s="609"/>
      <c r="QG73" s="609"/>
      <c r="QH73" s="609"/>
      <c r="QI73" s="609"/>
      <c r="QJ73" s="609"/>
      <c r="QK73" s="609"/>
      <c r="QL73" s="609"/>
      <c r="QM73" s="609"/>
      <c r="QN73" s="609"/>
      <c r="QO73" s="609"/>
      <c r="QP73" s="609"/>
      <c r="QQ73" s="609"/>
      <c r="QR73" s="609"/>
      <c r="QS73" s="609"/>
      <c r="QT73" s="609"/>
      <c r="QU73" s="609"/>
      <c r="QV73" s="609"/>
      <c r="QW73" s="609"/>
      <c r="QX73" s="609"/>
      <c r="QY73" s="609"/>
      <c r="QZ73" s="609"/>
      <c r="RA73" s="609"/>
      <c r="RB73" s="609"/>
      <c r="RC73" s="609"/>
      <c r="RD73" s="609"/>
      <c r="RE73" s="609"/>
      <c r="RF73" s="609"/>
      <c r="RG73" s="609"/>
      <c r="RH73" s="609"/>
      <c r="RI73" s="609"/>
      <c r="RJ73" s="609"/>
      <c r="RK73" s="609"/>
      <c r="RL73" s="609"/>
      <c r="RM73" s="609"/>
      <c r="RN73" s="609"/>
      <c r="RO73" s="609"/>
      <c r="RP73" s="609"/>
      <c r="RQ73" s="609"/>
      <c r="RR73" s="609"/>
      <c r="RS73" s="609"/>
      <c r="RT73" s="609"/>
      <c r="RU73" s="609"/>
      <c r="RV73" s="609"/>
      <c r="RW73" s="609"/>
      <c r="RX73" s="609"/>
      <c r="RY73" s="609"/>
      <c r="RZ73" s="609"/>
      <c r="SA73" s="609"/>
      <c r="SB73" s="609"/>
      <c r="SC73" s="609"/>
      <c r="SD73" s="609"/>
      <c r="SE73" s="609"/>
      <c r="SF73" s="609"/>
      <c r="SG73" s="609"/>
      <c r="SH73" s="609"/>
      <c r="SI73" s="609"/>
      <c r="SJ73" s="609"/>
      <c r="SK73" s="609"/>
      <c r="SL73" s="609"/>
      <c r="SM73" s="609"/>
      <c r="SN73" s="609"/>
      <c r="SO73" s="609"/>
      <c r="SP73" s="609"/>
      <c r="SQ73" s="609"/>
      <c r="SR73" s="609"/>
      <c r="SS73" s="609"/>
      <c r="ST73" s="609"/>
      <c r="SU73" s="609"/>
      <c r="SV73" s="609"/>
      <c r="SW73" s="609"/>
      <c r="SX73" s="609"/>
      <c r="SY73" s="609"/>
      <c r="SZ73" s="609"/>
      <c r="TA73" s="609"/>
      <c r="TB73" s="609"/>
      <c r="TC73" s="609"/>
      <c r="TD73" s="609"/>
      <c r="TE73" s="609"/>
      <c r="TF73" s="609"/>
      <c r="TG73" s="609"/>
      <c r="TH73" s="609"/>
      <c r="TI73" s="609"/>
      <c r="TJ73" s="609"/>
      <c r="TK73" s="609"/>
      <c r="TL73" s="609"/>
      <c r="TM73" s="609"/>
      <c r="TN73" s="609"/>
      <c r="TO73" s="609"/>
      <c r="TP73" s="609"/>
      <c r="TQ73" s="609"/>
      <c r="TR73" s="609"/>
      <c r="TS73" s="609"/>
      <c r="TT73" s="609"/>
      <c r="TU73" s="609"/>
      <c r="TV73" s="609"/>
      <c r="TW73" s="609"/>
      <c r="TX73" s="609"/>
      <c r="TY73" s="609"/>
      <c r="TZ73" s="609"/>
      <c r="UA73" s="609"/>
      <c r="UB73" s="609"/>
      <c r="UC73" s="609"/>
      <c r="UD73" s="609"/>
      <c r="UE73" s="609"/>
      <c r="UF73" s="609"/>
      <c r="UG73" s="609"/>
      <c r="UH73" s="609"/>
      <c r="UI73" s="609"/>
      <c r="UJ73" s="609"/>
      <c r="UK73" s="609"/>
      <c r="UL73" s="609"/>
      <c r="UM73" s="609"/>
      <c r="UN73" s="609"/>
      <c r="UO73" s="609"/>
      <c r="UP73" s="609"/>
      <c r="UQ73" s="609"/>
      <c r="UR73" s="609"/>
      <c r="US73" s="609"/>
      <c r="UT73" s="609"/>
      <c r="UU73" s="609"/>
      <c r="UV73" s="609"/>
      <c r="UW73" s="609"/>
      <c r="UX73" s="609"/>
      <c r="UY73" s="609"/>
      <c r="UZ73" s="609"/>
      <c r="VA73" s="609"/>
      <c r="VB73" s="609"/>
      <c r="VC73" s="609"/>
      <c r="VD73" s="609"/>
      <c r="VE73" s="609"/>
      <c r="VF73" s="609"/>
      <c r="VG73" s="609"/>
      <c r="VH73" s="609"/>
      <c r="VI73" s="609"/>
      <c r="VJ73" s="609"/>
      <c r="VK73" s="609"/>
      <c r="VL73" s="609"/>
      <c r="VM73" s="609"/>
      <c r="VN73" s="609"/>
      <c r="VO73" s="609"/>
      <c r="VP73" s="609"/>
      <c r="VQ73" s="609"/>
      <c r="VR73" s="609"/>
      <c r="VS73" s="609"/>
      <c r="VT73" s="609"/>
      <c r="VU73" s="609"/>
      <c r="VV73" s="609"/>
      <c r="VW73" s="609"/>
      <c r="VX73" s="609"/>
      <c r="VY73" s="609"/>
      <c r="VZ73" s="609"/>
      <c r="WA73" s="609"/>
      <c r="WB73" s="609"/>
      <c r="WC73" s="609"/>
      <c r="WD73" s="609"/>
      <c r="WE73" s="609"/>
      <c r="WF73" s="609"/>
      <c r="WG73" s="609"/>
      <c r="WH73" s="609"/>
      <c r="WI73" s="609"/>
      <c r="WJ73" s="609"/>
      <c r="WK73" s="609"/>
      <c r="WL73" s="609"/>
      <c r="WM73" s="609"/>
      <c r="WN73" s="609"/>
      <c r="WO73" s="609"/>
      <c r="WP73" s="609"/>
      <c r="WQ73" s="609"/>
      <c r="WR73" s="609"/>
      <c r="WS73" s="609"/>
      <c r="WT73" s="609"/>
      <c r="WU73" s="609"/>
      <c r="WV73" s="609"/>
      <c r="WW73" s="609"/>
      <c r="WX73" s="609"/>
      <c r="WY73" s="609"/>
      <c r="WZ73" s="609"/>
      <c r="XA73" s="609"/>
      <c r="XB73" s="609"/>
      <c r="XC73" s="609"/>
      <c r="XD73" s="609"/>
      <c r="XE73" s="609"/>
      <c r="XF73" s="609"/>
      <c r="XG73" s="609"/>
      <c r="XH73" s="609"/>
      <c r="XI73" s="609"/>
      <c r="XJ73" s="609"/>
      <c r="XK73" s="609"/>
      <c r="XL73" s="609"/>
      <c r="XM73" s="609"/>
      <c r="XN73" s="609"/>
      <c r="XO73" s="609"/>
      <c r="XP73" s="609"/>
      <c r="XQ73" s="609"/>
      <c r="XR73" s="609"/>
      <c r="XS73" s="609"/>
      <c r="XT73" s="609"/>
      <c r="XU73" s="609"/>
      <c r="XV73" s="609"/>
      <c r="XW73" s="609"/>
      <c r="XX73" s="609"/>
      <c r="XY73" s="609"/>
      <c r="XZ73" s="609"/>
      <c r="YA73" s="609"/>
      <c r="YB73" s="609"/>
      <c r="YC73" s="609"/>
      <c r="YD73" s="609"/>
      <c r="YE73" s="609"/>
      <c r="YF73" s="609"/>
      <c r="YG73" s="609"/>
      <c r="YH73" s="609"/>
      <c r="YI73" s="609"/>
      <c r="YJ73" s="609"/>
      <c r="YK73" s="609"/>
      <c r="YL73" s="609"/>
      <c r="YM73" s="609"/>
      <c r="YN73" s="609"/>
      <c r="YO73" s="609"/>
      <c r="YP73" s="609"/>
      <c r="YQ73" s="609"/>
      <c r="YR73" s="609"/>
      <c r="YS73" s="609"/>
      <c r="YT73" s="609"/>
      <c r="YU73" s="609"/>
      <c r="YV73" s="609"/>
      <c r="YW73" s="609"/>
      <c r="YX73" s="609"/>
      <c r="YY73" s="609"/>
      <c r="YZ73" s="609"/>
      <c r="ZA73" s="609"/>
      <c r="ZB73" s="609"/>
      <c r="ZC73" s="609"/>
      <c r="ZD73" s="609"/>
      <c r="ZE73" s="609"/>
      <c r="ZF73" s="609"/>
      <c r="ZG73" s="609"/>
      <c r="ZH73" s="609"/>
      <c r="ZI73" s="609"/>
      <c r="ZJ73" s="609"/>
      <c r="ZK73" s="609"/>
      <c r="ZL73" s="609"/>
      <c r="ZM73" s="609"/>
      <c r="ZN73" s="609"/>
      <c r="ZO73" s="609"/>
      <c r="ZP73" s="609"/>
      <c r="ZQ73" s="609"/>
      <c r="ZR73" s="609"/>
      <c r="ZS73" s="609"/>
      <c r="ZT73" s="609"/>
      <c r="ZU73" s="609"/>
      <c r="ZV73" s="609"/>
      <c r="ZW73" s="609"/>
      <c r="ZX73" s="609"/>
      <c r="ZY73" s="609"/>
      <c r="ZZ73" s="609"/>
      <c r="AAA73" s="609"/>
      <c r="AAB73" s="609"/>
      <c r="AAC73" s="609"/>
      <c r="AAD73" s="609"/>
      <c r="AAE73" s="609"/>
      <c r="AAF73" s="609"/>
      <c r="AAG73" s="609"/>
      <c r="AAH73" s="609"/>
      <c r="AAI73" s="609"/>
      <c r="AAJ73" s="609"/>
      <c r="AAK73" s="609"/>
      <c r="AAL73" s="609"/>
      <c r="AAM73" s="609"/>
      <c r="AAN73" s="609"/>
      <c r="AAO73" s="609"/>
      <c r="AAP73" s="609"/>
      <c r="AAQ73" s="609"/>
      <c r="AAR73" s="609"/>
      <c r="AAS73" s="609"/>
      <c r="AAT73" s="609"/>
      <c r="AAU73" s="609"/>
      <c r="AAV73" s="609"/>
      <c r="AAW73" s="609"/>
      <c r="AAX73" s="609"/>
      <c r="AAY73" s="609"/>
      <c r="AAZ73" s="609"/>
      <c r="ABA73" s="609"/>
      <c r="ABB73" s="609"/>
      <c r="ABC73" s="609"/>
      <c r="ABD73" s="609"/>
      <c r="ABE73" s="609"/>
      <c r="ABF73" s="609"/>
      <c r="ABG73" s="609"/>
      <c r="ABH73" s="609"/>
      <c r="ABI73" s="609"/>
      <c r="ABJ73" s="609"/>
      <c r="ABK73" s="609"/>
      <c r="ABL73" s="609"/>
      <c r="ABM73" s="609"/>
      <c r="ABN73" s="609"/>
      <c r="ABO73" s="609"/>
      <c r="ABP73" s="609"/>
      <c r="ABQ73" s="609"/>
      <c r="ABR73" s="609"/>
      <c r="ABS73" s="609"/>
      <c r="ABT73" s="609"/>
      <c r="ABU73" s="609"/>
      <c r="ABV73" s="609"/>
      <c r="ABW73" s="609"/>
      <c r="ABX73" s="609"/>
      <c r="ABY73" s="609"/>
      <c r="ABZ73" s="609"/>
      <c r="ACA73" s="609"/>
      <c r="ACB73" s="609"/>
      <c r="ACC73" s="609"/>
      <c r="ACD73" s="609"/>
      <c r="ACE73" s="609"/>
      <c r="ACF73" s="609"/>
      <c r="ACG73" s="609"/>
      <c r="ACH73" s="609"/>
      <c r="ACI73" s="609"/>
      <c r="ACJ73" s="609"/>
      <c r="ACK73" s="609"/>
      <c r="ACL73" s="609"/>
      <c r="ACM73" s="609"/>
      <c r="ACN73" s="609"/>
      <c r="ACO73" s="609"/>
      <c r="ACP73" s="609"/>
      <c r="ACQ73" s="609"/>
      <c r="ACR73" s="609"/>
      <c r="ACS73" s="609"/>
      <c r="ACT73" s="609"/>
      <c r="ACU73" s="609"/>
      <c r="ACV73" s="609"/>
      <c r="ACW73" s="609"/>
      <c r="ACX73" s="609"/>
      <c r="ACY73" s="609"/>
      <c r="ACZ73" s="609"/>
      <c r="ADA73" s="609"/>
      <c r="ADB73" s="609"/>
      <c r="ADC73" s="609"/>
      <c r="ADD73" s="609"/>
      <c r="ADE73" s="609"/>
      <c r="ADF73" s="609"/>
      <c r="ADG73" s="609"/>
      <c r="ADH73" s="609"/>
      <c r="ADI73" s="609"/>
      <c r="ADJ73" s="609"/>
      <c r="ADK73" s="609"/>
      <c r="ADL73" s="609"/>
      <c r="ADM73" s="609"/>
      <c r="ADN73" s="609"/>
      <c r="ADO73" s="609"/>
      <c r="ADP73" s="609"/>
      <c r="ADQ73" s="609"/>
      <c r="ADR73" s="609"/>
      <c r="ADS73" s="609"/>
      <c r="ADT73" s="609"/>
      <c r="ADU73" s="609"/>
      <c r="ADV73" s="609"/>
      <c r="ADW73" s="609"/>
      <c r="ADX73" s="609"/>
      <c r="ADY73" s="609"/>
      <c r="ADZ73" s="609"/>
      <c r="AEA73" s="609"/>
      <c r="AEB73" s="609"/>
      <c r="AEC73" s="609"/>
      <c r="AED73" s="609"/>
      <c r="AEE73" s="609"/>
      <c r="AEF73" s="609"/>
      <c r="AEG73" s="609"/>
      <c r="AEH73" s="609"/>
      <c r="AEI73" s="609"/>
      <c r="AEJ73" s="609"/>
      <c r="AEK73" s="609"/>
      <c r="AEL73" s="609"/>
      <c r="AEM73" s="609"/>
      <c r="AEN73" s="609"/>
      <c r="AEO73" s="609"/>
      <c r="AEP73" s="609"/>
      <c r="AEQ73" s="609"/>
      <c r="AER73" s="609"/>
      <c r="AES73" s="609"/>
      <c r="AET73" s="609"/>
      <c r="AEU73" s="609"/>
      <c r="AEV73" s="609"/>
      <c r="AEW73" s="609"/>
      <c r="AEX73" s="609"/>
      <c r="AEY73" s="609"/>
      <c r="AEZ73" s="609"/>
      <c r="AFA73" s="609"/>
      <c r="AFB73" s="609"/>
      <c r="AFC73" s="609"/>
      <c r="AFD73" s="609"/>
      <c r="AFE73" s="609"/>
      <c r="AFF73" s="609"/>
      <c r="AFG73" s="609"/>
      <c r="AFH73" s="609"/>
      <c r="AFI73" s="609"/>
      <c r="AFJ73" s="609"/>
      <c r="AFK73" s="609"/>
      <c r="AFL73" s="609"/>
      <c r="AFM73" s="609"/>
      <c r="AFN73" s="609"/>
      <c r="AFO73" s="609"/>
      <c r="AFP73" s="609"/>
      <c r="AFQ73" s="609"/>
      <c r="AFR73" s="609"/>
      <c r="AFS73" s="609"/>
      <c r="AFT73" s="609"/>
      <c r="AFU73" s="609"/>
      <c r="AFV73" s="609"/>
      <c r="AFW73" s="609"/>
      <c r="AFX73" s="609"/>
      <c r="AFY73" s="609"/>
      <c r="AFZ73" s="609"/>
      <c r="AGA73" s="609"/>
      <c r="AGB73" s="609"/>
      <c r="AGC73" s="609"/>
      <c r="AGD73" s="609"/>
      <c r="AGE73" s="609"/>
      <c r="AGF73" s="609"/>
      <c r="AGG73" s="609"/>
      <c r="AGH73" s="609"/>
      <c r="AGI73" s="609"/>
      <c r="AGJ73" s="609"/>
      <c r="AGK73" s="609"/>
      <c r="AGL73" s="609"/>
      <c r="AGM73" s="609"/>
      <c r="AGN73" s="609"/>
      <c r="AGO73" s="609"/>
      <c r="AGP73" s="609"/>
      <c r="AGQ73" s="609"/>
      <c r="AGR73" s="609"/>
      <c r="AGS73" s="609"/>
      <c r="AGT73" s="609"/>
      <c r="AGU73" s="609"/>
      <c r="AGV73" s="609"/>
      <c r="AGW73" s="609"/>
      <c r="AGX73" s="609"/>
      <c r="AGY73" s="609"/>
      <c r="AGZ73" s="609"/>
      <c r="AHA73" s="609"/>
      <c r="AHB73" s="609"/>
      <c r="AHC73" s="609"/>
      <c r="AHD73" s="609"/>
      <c r="AHE73" s="609"/>
      <c r="AHF73" s="609"/>
      <c r="AHG73" s="609"/>
      <c r="AHH73" s="609"/>
      <c r="AHI73" s="609"/>
      <c r="AHJ73" s="609"/>
      <c r="AHK73" s="609"/>
      <c r="AHL73" s="609"/>
      <c r="AHM73" s="609"/>
      <c r="AHN73" s="609"/>
      <c r="AHO73" s="609"/>
      <c r="AHP73" s="609"/>
      <c r="AHQ73" s="609"/>
      <c r="AHR73" s="609"/>
      <c r="AHS73" s="609"/>
      <c r="AHT73" s="609"/>
      <c r="AHU73" s="609"/>
      <c r="AHV73" s="609"/>
      <c r="AHW73" s="609"/>
      <c r="AHX73" s="609"/>
      <c r="AHY73" s="609"/>
      <c r="AHZ73" s="609"/>
      <c r="AIA73" s="609"/>
      <c r="AIB73" s="609"/>
      <c r="AIC73" s="609"/>
      <c r="AID73" s="609"/>
      <c r="AIE73" s="609"/>
      <c r="AIF73" s="609"/>
      <c r="AIG73" s="609"/>
      <c r="AIH73" s="609"/>
      <c r="AII73" s="609"/>
      <c r="AIJ73" s="609"/>
      <c r="AIK73" s="609"/>
      <c r="AIL73" s="609"/>
      <c r="AIM73" s="609"/>
      <c r="AIN73" s="609"/>
      <c r="AIO73" s="609"/>
      <c r="AIP73" s="609"/>
      <c r="AIQ73" s="609"/>
      <c r="AIR73" s="609"/>
      <c r="AIS73" s="609"/>
      <c r="AIT73" s="609"/>
      <c r="AIU73" s="609"/>
      <c r="AIV73" s="609"/>
      <c r="AIW73" s="609"/>
      <c r="AIX73" s="609"/>
      <c r="AIY73" s="609"/>
      <c r="AIZ73" s="609"/>
      <c r="AJA73" s="609"/>
      <c r="AJB73" s="609"/>
      <c r="AJC73" s="609"/>
      <c r="AJD73" s="609"/>
      <c r="AJE73" s="609"/>
      <c r="AJF73" s="609"/>
      <c r="AJG73" s="609"/>
      <c r="AJH73" s="609"/>
      <c r="AJI73" s="609"/>
      <c r="AJJ73" s="609"/>
      <c r="AJK73" s="609"/>
      <c r="AJL73" s="609"/>
      <c r="AJM73" s="609"/>
      <c r="AJN73" s="609"/>
      <c r="AJO73" s="609"/>
      <c r="AJP73" s="609"/>
      <c r="AJQ73" s="609"/>
      <c r="AJR73" s="609"/>
      <c r="AJS73" s="609"/>
      <c r="AJT73" s="609"/>
      <c r="AJU73" s="609"/>
      <c r="AJV73" s="609"/>
      <c r="AJW73" s="609"/>
      <c r="AJX73" s="609"/>
      <c r="AJY73" s="609"/>
      <c r="AJZ73" s="609"/>
      <c r="AKA73" s="609"/>
      <c r="AKB73" s="609"/>
      <c r="AKC73" s="609"/>
      <c r="AKD73" s="609"/>
      <c r="AKE73" s="609"/>
      <c r="AKF73" s="609"/>
      <c r="AKG73" s="609"/>
      <c r="AKH73" s="609"/>
      <c r="AKI73" s="609"/>
      <c r="AKJ73" s="609"/>
      <c r="AKK73" s="609"/>
      <c r="AKL73" s="609"/>
      <c r="AKM73" s="609"/>
      <c r="AKN73" s="609"/>
      <c r="AKO73" s="609"/>
      <c r="AKP73" s="609"/>
      <c r="AKQ73" s="609"/>
      <c r="AKR73" s="609"/>
      <c r="AKS73" s="609"/>
      <c r="AKT73" s="609"/>
      <c r="AKU73" s="609"/>
      <c r="AKV73" s="609"/>
      <c r="AKW73" s="609"/>
      <c r="AKX73" s="609"/>
      <c r="AKY73" s="609"/>
      <c r="AKZ73" s="609"/>
      <c r="ALA73" s="609"/>
      <c r="ALB73" s="609"/>
      <c r="ALC73" s="609"/>
      <c r="ALD73" s="609"/>
      <c r="ALE73" s="609"/>
      <c r="ALF73" s="609"/>
      <c r="ALG73" s="609"/>
      <c r="ALH73" s="609"/>
      <c r="ALI73" s="609"/>
      <c r="ALJ73" s="609"/>
      <c r="ALK73" s="609"/>
      <c r="ALL73" s="609"/>
      <c r="ALM73" s="609"/>
      <c r="ALN73" s="609"/>
      <c r="ALO73" s="609"/>
      <c r="ALP73" s="609"/>
      <c r="ALQ73" s="609"/>
      <c r="ALR73" s="609"/>
      <c r="ALS73" s="609"/>
      <c r="ALT73" s="609"/>
      <c r="ALU73" s="609"/>
      <c r="ALV73" s="609"/>
      <c r="ALW73" s="609"/>
      <c r="ALX73" s="609"/>
      <c r="ALY73" s="609"/>
      <c r="ALZ73" s="609"/>
      <c r="AMA73" s="609"/>
      <c r="AMB73" s="609"/>
      <c r="AMC73" s="609"/>
      <c r="AMD73" s="609"/>
      <c r="AME73" s="609"/>
      <c r="AMF73" s="609"/>
      <c r="AMG73" s="609"/>
      <c r="AMH73" s="609"/>
      <c r="AMI73" s="609"/>
      <c r="AMJ73" s="609"/>
      <c r="AMK73" s="609"/>
      <c r="AML73" s="609"/>
      <c r="AMM73" s="609"/>
      <c r="AMN73" s="609"/>
      <c r="AMO73" s="609"/>
      <c r="AMP73" s="609"/>
      <c r="AMQ73" s="609"/>
      <c r="AMR73" s="609"/>
      <c r="AMS73" s="609"/>
      <c r="AMT73" s="609"/>
      <c r="AMU73" s="609"/>
      <c r="AMV73" s="609"/>
      <c r="AMW73" s="609"/>
      <c r="AMX73" s="609"/>
      <c r="AMY73" s="609"/>
      <c r="AMZ73" s="609"/>
      <c r="ANA73" s="609"/>
      <c r="ANB73" s="609"/>
      <c r="ANC73" s="609"/>
      <c r="AND73" s="609"/>
      <c r="ANE73" s="609"/>
      <c r="ANF73" s="609"/>
      <c r="ANG73" s="609"/>
      <c r="ANH73" s="609"/>
      <c r="ANI73" s="609"/>
      <c r="ANJ73" s="609"/>
      <c r="ANK73" s="609"/>
      <c r="ANL73" s="609"/>
      <c r="ANM73" s="609"/>
      <c r="ANN73" s="609"/>
      <c r="ANO73" s="609"/>
      <c r="ANP73" s="609"/>
      <c r="ANQ73" s="609"/>
      <c r="ANR73" s="609"/>
      <c r="ANS73" s="609"/>
      <c r="ANT73" s="609"/>
      <c r="ANU73" s="609"/>
      <c r="ANV73" s="609"/>
      <c r="ANW73" s="609"/>
      <c r="ANX73" s="609"/>
      <c r="ANY73" s="609"/>
      <c r="ANZ73" s="609"/>
      <c r="AOA73" s="609"/>
      <c r="AOB73" s="609"/>
      <c r="AOC73" s="609"/>
      <c r="AOD73" s="609"/>
      <c r="AOE73" s="609"/>
      <c r="AOF73" s="609"/>
      <c r="AOG73" s="609"/>
      <c r="AOH73" s="609"/>
      <c r="AOI73" s="609"/>
      <c r="AOJ73" s="609"/>
      <c r="AOK73" s="609"/>
      <c r="AOL73" s="609"/>
      <c r="AOM73" s="609"/>
      <c r="AON73" s="609"/>
      <c r="AOO73" s="609"/>
      <c r="AOP73" s="609"/>
      <c r="AOQ73" s="609"/>
      <c r="AOR73" s="609"/>
      <c r="AOS73" s="609"/>
      <c r="AOT73" s="609"/>
      <c r="AOU73" s="609"/>
      <c r="AOV73" s="609"/>
      <c r="AOW73" s="609"/>
      <c r="AOX73" s="609"/>
      <c r="AOY73" s="609"/>
      <c r="AOZ73" s="609"/>
      <c r="APA73" s="609"/>
      <c r="APB73" s="609"/>
      <c r="APC73" s="609"/>
      <c r="APD73" s="609"/>
      <c r="APE73" s="609"/>
      <c r="APF73" s="609"/>
      <c r="APG73" s="609"/>
      <c r="APH73" s="609"/>
      <c r="API73" s="609"/>
      <c r="APJ73" s="609"/>
      <c r="APK73" s="609"/>
      <c r="APL73" s="609"/>
      <c r="APM73" s="609"/>
      <c r="APN73" s="609"/>
      <c r="APO73" s="609"/>
      <c r="APP73" s="609"/>
      <c r="APQ73" s="609"/>
      <c r="APR73" s="609"/>
      <c r="APS73" s="609"/>
      <c r="APT73" s="609"/>
      <c r="APU73" s="609"/>
      <c r="APV73" s="609"/>
      <c r="APW73" s="609"/>
      <c r="APX73" s="609"/>
      <c r="APY73" s="609"/>
      <c r="APZ73" s="609"/>
      <c r="AQA73" s="609"/>
      <c r="AQB73" s="609"/>
      <c r="AQC73" s="609"/>
      <c r="AQD73" s="609"/>
      <c r="AQE73" s="609"/>
      <c r="AQF73" s="609"/>
      <c r="AQG73" s="609"/>
      <c r="AQH73" s="609"/>
      <c r="AQI73" s="609"/>
      <c r="AQJ73" s="609"/>
      <c r="AQK73" s="609"/>
      <c r="AQL73" s="609"/>
      <c r="AQM73" s="609"/>
      <c r="AQN73" s="609"/>
      <c r="AQO73" s="609"/>
      <c r="AQP73" s="609"/>
      <c r="AQQ73" s="609"/>
      <c r="AQR73" s="609"/>
      <c r="AQS73" s="609"/>
      <c r="AQT73" s="609"/>
      <c r="AQU73" s="609"/>
      <c r="AQV73" s="609"/>
      <c r="AQW73" s="609"/>
      <c r="AQX73" s="609"/>
      <c r="AQY73" s="609"/>
      <c r="AQZ73" s="609"/>
      <c r="ARA73" s="609"/>
      <c r="ARB73" s="609"/>
      <c r="ARC73" s="609"/>
      <c r="ARD73" s="609"/>
      <c r="ARE73" s="609"/>
      <c r="ARF73" s="609"/>
      <c r="ARG73" s="609"/>
      <c r="ARH73" s="609"/>
      <c r="ARI73" s="609"/>
      <c r="ARJ73" s="609"/>
      <c r="ARK73" s="609"/>
      <c r="ARL73" s="609"/>
      <c r="ARM73" s="609"/>
      <c r="ARN73" s="609"/>
      <c r="ARO73" s="609"/>
      <c r="ARP73" s="609"/>
      <c r="ARQ73" s="609"/>
      <c r="ARR73" s="609"/>
      <c r="ARS73" s="609"/>
      <c r="ART73" s="609"/>
      <c r="ARU73" s="609"/>
      <c r="ARV73" s="609"/>
      <c r="ARW73" s="609"/>
      <c r="ARX73" s="609"/>
      <c r="ARY73" s="609"/>
      <c r="ARZ73" s="609"/>
      <c r="ASA73" s="609"/>
      <c r="ASB73" s="609"/>
      <c r="ASC73" s="609"/>
      <c r="ASD73" s="609"/>
      <c r="ASE73" s="609"/>
      <c r="ASF73" s="609"/>
      <c r="ASG73" s="609"/>
      <c r="ASH73" s="609"/>
      <c r="ASI73" s="609"/>
      <c r="ASJ73" s="609"/>
      <c r="ASK73" s="609"/>
      <c r="ASL73" s="609"/>
      <c r="ASM73" s="609"/>
      <c r="ASN73" s="609"/>
      <c r="ASO73" s="609"/>
      <c r="ASP73" s="609"/>
      <c r="ASQ73" s="609"/>
      <c r="ASR73" s="609"/>
      <c r="ASS73" s="609"/>
      <c r="AST73" s="609"/>
      <c r="ASU73" s="609"/>
      <c r="ASV73" s="609"/>
      <c r="ASW73" s="609"/>
      <c r="ASX73" s="609"/>
      <c r="ASY73" s="609"/>
      <c r="ASZ73" s="609"/>
      <c r="ATA73" s="609"/>
      <c r="ATB73" s="609"/>
      <c r="ATC73" s="609"/>
      <c r="ATD73" s="609"/>
      <c r="ATE73" s="609"/>
      <c r="ATF73" s="609"/>
      <c r="ATG73" s="609"/>
      <c r="ATH73" s="609"/>
      <c r="ATI73" s="609"/>
      <c r="ATJ73" s="609"/>
      <c r="ATK73" s="609"/>
      <c r="ATL73" s="609"/>
      <c r="ATM73" s="609"/>
      <c r="ATN73" s="609"/>
      <c r="ATO73" s="609"/>
      <c r="ATP73" s="609"/>
      <c r="ATQ73" s="609"/>
      <c r="ATR73" s="609"/>
      <c r="ATS73" s="609"/>
      <c r="ATT73" s="609"/>
      <c r="ATU73" s="609"/>
      <c r="ATV73" s="609"/>
      <c r="ATW73" s="609"/>
      <c r="ATX73" s="609"/>
      <c r="ATY73" s="609"/>
      <c r="ATZ73" s="609"/>
      <c r="AUA73" s="609"/>
      <c r="AUB73" s="609"/>
      <c r="AUC73" s="609"/>
      <c r="AUD73" s="609"/>
      <c r="AUE73" s="609"/>
      <c r="AUF73" s="609"/>
      <c r="AUG73" s="609"/>
      <c r="AUH73" s="609"/>
      <c r="AUI73" s="609"/>
      <c r="AUJ73" s="609"/>
      <c r="AUK73" s="609"/>
      <c r="AUL73" s="609"/>
      <c r="AUM73" s="609"/>
      <c r="AUN73" s="609"/>
      <c r="AUO73" s="609"/>
      <c r="AUP73" s="609"/>
      <c r="AUQ73" s="609"/>
      <c r="AUR73" s="609"/>
      <c r="AUS73" s="609"/>
      <c r="AUT73" s="609"/>
      <c r="AUU73" s="609"/>
      <c r="AUV73" s="609"/>
      <c r="AUW73" s="609"/>
      <c r="AUX73" s="609"/>
      <c r="AUY73" s="609"/>
      <c r="AUZ73" s="609"/>
      <c r="AVA73" s="609"/>
      <c r="AVB73" s="609"/>
      <c r="AVC73" s="609"/>
      <c r="AVD73" s="609"/>
      <c r="AVE73" s="609"/>
      <c r="AVF73" s="609"/>
      <c r="AVG73" s="609"/>
      <c r="AVH73" s="609"/>
      <c r="AVI73" s="609"/>
      <c r="AVJ73" s="609"/>
      <c r="AVK73" s="609"/>
      <c r="AVL73" s="609"/>
      <c r="AVM73" s="609"/>
      <c r="AVN73" s="609"/>
      <c r="AVO73" s="609"/>
      <c r="AVP73" s="609"/>
      <c r="AVQ73" s="609"/>
      <c r="AVR73" s="609"/>
      <c r="AVS73" s="609"/>
      <c r="AVT73" s="609"/>
      <c r="AVU73" s="609"/>
      <c r="AVV73" s="609"/>
      <c r="AVW73" s="609"/>
      <c r="AVX73" s="609"/>
      <c r="AVY73" s="609"/>
      <c r="AVZ73" s="609"/>
      <c r="AWA73" s="609"/>
      <c r="AWB73" s="609"/>
      <c r="AWC73" s="609"/>
      <c r="AWD73" s="609"/>
      <c r="AWE73" s="609"/>
      <c r="AWF73" s="609"/>
      <c r="AWG73" s="609"/>
      <c r="AWH73" s="609"/>
      <c r="AWI73" s="609"/>
      <c r="AWJ73" s="609"/>
      <c r="AWK73" s="609"/>
      <c r="AWL73" s="609"/>
      <c r="AWM73" s="609"/>
      <c r="AWN73" s="609"/>
      <c r="AWO73" s="609"/>
      <c r="AWP73" s="609"/>
      <c r="AWQ73" s="609"/>
      <c r="AWR73" s="609"/>
      <c r="AWS73" s="609"/>
      <c r="AWT73" s="609"/>
      <c r="AWU73" s="609"/>
      <c r="AWV73" s="609"/>
      <c r="AWW73" s="609"/>
      <c r="AWX73" s="609"/>
      <c r="AWY73" s="609"/>
      <c r="AWZ73" s="609"/>
      <c r="AXA73" s="609"/>
      <c r="AXB73" s="609"/>
      <c r="AXC73" s="609"/>
      <c r="AXD73" s="609"/>
      <c r="AXE73" s="609"/>
      <c r="AXF73" s="609"/>
      <c r="AXG73" s="609"/>
      <c r="AXH73" s="609"/>
      <c r="AXI73" s="609"/>
      <c r="AXJ73" s="609"/>
      <c r="AXK73" s="609"/>
      <c r="AXL73" s="609"/>
      <c r="AXM73" s="609"/>
      <c r="AXN73" s="609"/>
      <c r="AXO73" s="609"/>
      <c r="AXP73" s="609"/>
      <c r="AXQ73" s="609"/>
      <c r="AXR73" s="609"/>
      <c r="AXS73" s="609"/>
      <c r="AXT73" s="609"/>
      <c r="AXU73" s="609"/>
      <c r="AXV73" s="609"/>
      <c r="AXW73" s="609"/>
      <c r="AXX73" s="609"/>
      <c r="AXY73" s="609"/>
      <c r="AXZ73" s="609"/>
      <c r="AYA73" s="609"/>
      <c r="AYB73" s="609"/>
      <c r="AYC73" s="609"/>
      <c r="AYD73" s="609"/>
      <c r="AYE73" s="609"/>
      <c r="AYF73" s="609"/>
      <c r="AYG73" s="609"/>
      <c r="AYH73" s="609"/>
      <c r="AYI73" s="609"/>
      <c r="AYJ73" s="609"/>
      <c r="AYK73" s="609"/>
      <c r="AYL73" s="609"/>
      <c r="AYM73" s="609"/>
      <c r="AYN73" s="609"/>
      <c r="AYO73" s="609"/>
      <c r="AYP73" s="609"/>
      <c r="AYQ73" s="609"/>
      <c r="AYR73" s="609"/>
      <c r="AYS73" s="609"/>
      <c r="AYT73" s="609"/>
      <c r="AYU73" s="609"/>
      <c r="AYV73" s="609"/>
      <c r="AYW73" s="609"/>
      <c r="AYX73" s="609"/>
      <c r="AYY73" s="609"/>
      <c r="AYZ73" s="609"/>
      <c r="AZA73" s="609"/>
      <c r="AZB73" s="609"/>
      <c r="AZC73" s="609"/>
      <c r="AZD73" s="609"/>
      <c r="AZE73" s="609"/>
      <c r="AZF73" s="609"/>
      <c r="AZG73" s="609"/>
      <c r="AZH73" s="609"/>
      <c r="AZI73" s="609"/>
      <c r="AZJ73" s="609"/>
      <c r="AZK73" s="609"/>
      <c r="AZL73" s="609"/>
      <c r="AZM73" s="609"/>
      <c r="AZN73" s="609"/>
      <c r="AZO73" s="609"/>
      <c r="AZP73" s="609"/>
      <c r="AZQ73" s="609"/>
      <c r="AZR73" s="609"/>
      <c r="AZS73" s="609"/>
      <c r="AZT73" s="609"/>
      <c r="AZU73" s="609"/>
      <c r="AZV73" s="609"/>
      <c r="AZW73" s="609"/>
      <c r="AZX73" s="609"/>
      <c r="AZY73" s="609"/>
      <c r="AZZ73" s="609"/>
      <c r="BAA73" s="609"/>
      <c r="BAB73" s="609"/>
      <c r="BAC73" s="609"/>
      <c r="BAD73" s="609"/>
      <c r="BAE73" s="609"/>
      <c r="BAF73" s="609"/>
      <c r="BAG73" s="609"/>
      <c r="BAH73" s="609"/>
      <c r="BAI73" s="609"/>
      <c r="BAJ73" s="609"/>
      <c r="BAK73" s="609"/>
      <c r="BAL73" s="609"/>
      <c r="BAM73" s="609"/>
      <c r="BAN73" s="609"/>
      <c r="BAO73" s="609"/>
      <c r="BAP73" s="609"/>
      <c r="BAQ73" s="609"/>
      <c r="BAR73" s="609"/>
      <c r="BAS73" s="609"/>
      <c r="BAT73" s="609"/>
      <c r="BAU73" s="609"/>
      <c r="BAV73" s="609"/>
      <c r="BAW73" s="609"/>
      <c r="BAX73" s="609"/>
      <c r="BAY73" s="609"/>
      <c r="BAZ73" s="609"/>
      <c r="BBA73" s="609"/>
      <c r="BBB73" s="609"/>
      <c r="BBC73" s="609"/>
      <c r="BBD73" s="609"/>
      <c r="BBE73" s="609"/>
      <c r="BBF73" s="609"/>
      <c r="BBG73" s="609"/>
      <c r="BBH73" s="609"/>
      <c r="BBI73" s="609"/>
      <c r="BBJ73" s="609"/>
      <c r="BBK73" s="609"/>
      <c r="BBL73" s="609"/>
      <c r="BBM73" s="609"/>
      <c r="BBN73" s="609"/>
      <c r="BBO73" s="609"/>
      <c r="BBP73" s="609"/>
      <c r="BBQ73" s="609"/>
      <c r="BBR73" s="609"/>
      <c r="BBS73" s="609"/>
      <c r="BBT73" s="609"/>
      <c r="BBU73" s="609"/>
      <c r="BBV73" s="609"/>
      <c r="BBW73" s="609"/>
      <c r="BBX73" s="609"/>
      <c r="BBY73" s="609"/>
      <c r="BBZ73" s="609"/>
      <c r="BCA73" s="609"/>
      <c r="BCB73" s="609"/>
      <c r="BCC73" s="609"/>
      <c r="BCD73" s="609"/>
      <c r="BCE73" s="609"/>
      <c r="BCF73" s="609"/>
      <c r="BCG73" s="609"/>
      <c r="BCH73" s="609"/>
      <c r="BCI73" s="609"/>
      <c r="BCJ73" s="609"/>
      <c r="BCK73" s="609"/>
      <c r="BCL73" s="609"/>
      <c r="BCM73" s="609"/>
      <c r="BCN73" s="609"/>
      <c r="BCO73" s="609"/>
      <c r="BCP73" s="609"/>
      <c r="BCQ73" s="609"/>
      <c r="BCR73" s="609"/>
      <c r="BCS73" s="609"/>
      <c r="BCT73" s="609"/>
      <c r="BCU73" s="609"/>
      <c r="BCV73" s="609"/>
      <c r="BCW73" s="609"/>
      <c r="BCX73" s="609"/>
      <c r="BCY73" s="609"/>
      <c r="BCZ73" s="609"/>
      <c r="BDA73" s="609"/>
      <c r="BDB73" s="609"/>
      <c r="BDC73" s="609"/>
      <c r="BDD73" s="609"/>
      <c r="BDE73" s="609"/>
      <c r="BDF73" s="609"/>
      <c r="BDG73" s="609"/>
      <c r="BDH73" s="609"/>
      <c r="BDI73" s="609"/>
      <c r="BDJ73" s="609"/>
      <c r="BDK73" s="609"/>
      <c r="BDL73" s="609"/>
      <c r="BDM73" s="609"/>
      <c r="BDN73" s="609"/>
      <c r="BDO73" s="609"/>
      <c r="BDP73" s="609"/>
      <c r="BDQ73" s="609"/>
      <c r="BDR73" s="609"/>
      <c r="BDS73" s="609"/>
      <c r="BDT73" s="609"/>
      <c r="BDU73" s="609"/>
      <c r="BDV73" s="609"/>
      <c r="BDW73" s="609"/>
      <c r="BDX73" s="609"/>
      <c r="BDY73" s="609"/>
      <c r="BDZ73" s="609"/>
      <c r="BEA73" s="609"/>
      <c r="BEB73" s="609"/>
      <c r="BEC73" s="609"/>
      <c r="BED73" s="609"/>
      <c r="BEE73" s="609"/>
      <c r="BEF73" s="609"/>
      <c r="BEG73" s="609"/>
      <c r="BEH73" s="609"/>
      <c r="BEI73" s="609"/>
      <c r="BEJ73" s="609"/>
      <c r="BEK73" s="609"/>
      <c r="BEL73" s="609"/>
      <c r="BEM73" s="609"/>
      <c r="BEN73" s="609"/>
      <c r="BEO73" s="609"/>
      <c r="BEP73" s="609"/>
      <c r="BEQ73" s="609"/>
      <c r="BER73" s="609"/>
      <c r="BES73" s="609"/>
      <c r="BET73" s="609"/>
      <c r="BEU73" s="609"/>
      <c r="BEV73" s="609"/>
      <c r="BEW73" s="609"/>
      <c r="BEX73" s="609"/>
      <c r="BEY73" s="609"/>
      <c r="BEZ73" s="609"/>
      <c r="BFA73" s="609"/>
      <c r="BFB73" s="609"/>
      <c r="BFC73" s="609"/>
      <c r="BFD73" s="609"/>
      <c r="BFE73" s="609"/>
      <c r="BFF73" s="609"/>
      <c r="BFG73" s="609"/>
      <c r="BFH73" s="609"/>
      <c r="BFI73" s="609"/>
      <c r="BFJ73" s="609"/>
      <c r="BFK73" s="609"/>
      <c r="BFL73" s="609"/>
      <c r="BFM73" s="609"/>
      <c r="BFN73" s="609"/>
      <c r="BFO73" s="609"/>
      <c r="BFP73" s="609"/>
      <c r="BFQ73" s="609"/>
      <c r="BFR73" s="609"/>
      <c r="BFS73" s="609"/>
      <c r="BFT73" s="609"/>
      <c r="BFU73" s="609"/>
      <c r="BFV73" s="609"/>
      <c r="BFW73" s="609"/>
      <c r="BFX73" s="609"/>
      <c r="BFY73" s="609"/>
      <c r="BFZ73" s="609"/>
      <c r="BGA73" s="609"/>
      <c r="BGB73" s="609"/>
      <c r="BGC73" s="609"/>
      <c r="BGD73" s="609"/>
      <c r="BGE73" s="609"/>
      <c r="BGF73" s="609"/>
      <c r="BGG73" s="609"/>
      <c r="BGH73" s="609"/>
      <c r="BGI73" s="609"/>
      <c r="BGJ73" s="609"/>
      <c r="BGK73" s="609"/>
      <c r="BGL73" s="609"/>
      <c r="BGM73" s="609"/>
      <c r="BGN73" s="609"/>
      <c r="BGO73" s="609"/>
      <c r="BGP73" s="609"/>
      <c r="BGQ73" s="609"/>
      <c r="BGR73" s="609"/>
      <c r="BGS73" s="609"/>
      <c r="BGT73" s="609"/>
      <c r="BGU73" s="609"/>
      <c r="BGV73" s="609"/>
      <c r="BGW73" s="609"/>
      <c r="BGX73" s="609"/>
      <c r="BGY73" s="609"/>
      <c r="BGZ73" s="609"/>
      <c r="BHA73" s="609"/>
      <c r="BHB73" s="609"/>
      <c r="BHC73" s="609"/>
      <c r="BHD73" s="609"/>
      <c r="BHE73" s="609"/>
      <c r="BHF73" s="609"/>
      <c r="BHG73" s="609"/>
      <c r="BHH73" s="609"/>
      <c r="BHI73" s="609"/>
      <c r="BHJ73" s="609"/>
      <c r="BHK73" s="609"/>
      <c r="BHL73" s="609"/>
      <c r="BHM73" s="609"/>
      <c r="BHN73" s="609"/>
      <c r="BHO73" s="609"/>
      <c r="BHP73" s="609"/>
      <c r="BHQ73" s="609"/>
      <c r="BHR73" s="609"/>
      <c r="BHS73" s="609"/>
      <c r="BHT73" s="609"/>
      <c r="BHU73" s="609"/>
      <c r="BHV73" s="609"/>
      <c r="BHW73" s="609"/>
      <c r="BHX73" s="609"/>
      <c r="BHY73" s="609"/>
      <c r="BHZ73" s="609"/>
      <c r="BIA73" s="609"/>
      <c r="BIB73" s="609"/>
      <c r="BIC73" s="609"/>
      <c r="BID73" s="609"/>
      <c r="BIE73" s="609"/>
      <c r="BIF73" s="609"/>
      <c r="BIG73" s="609"/>
      <c r="BIH73" s="609"/>
      <c r="BII73" s="609"/>
      <c r="BIJ73" s="609"/>
      <c r="BIK73" s="609"/>
      <c r="BIL73" s="609"/>
      <c r="BIM73" s="609"/>
      <c r="BIN73" s="609"/>
      <c r="BIO73" s="609"/>
      <c r="BIP73" s="609"/>
      <c r="BIQ73" s="609"/>
      <c r="BIR73" s="609"/>
      <c r="BIS73" s="609"/>
      <c r="BIT73" s="609"/>
      <c r="BIU73" s="609"/>
      <c r="BIV73" s="609"/>
      <c r="BIW73" s="609"/>
      <c r="BIX73" s="609"/>
      <c r="BIY73" s="609"/>
      <c r="BIZ73" s="609"/>
      <c r="BJA73" s="609"/>
      <c r="BJB73" s="609"/>
      <c r="BJC73" s="609"/>
      <c r="BJD73" s="609"/>
      <c r="BJE73" s="609"/>
      <c r="BJF73" s="609"/>
      <c r="BJG73" s="609"/>
      <c r="BJH73" s="609"/>
      <c r="BJI73" s="609"/>
      <c r="BJJ73" s="609"/>
      <c r="BJK73" s="609"/>
      <c r="BJL73" s="609"/>
      <c r="BJM73" s="609"/>
      <c r="BJN73" s="609"/>
      <c r="BJO73" s="609"/>
      <c r="BJP73" s="609"/>
      <c r="BJQ73" s="609"/>
      <c r="BJR73" s="609"/>
      <c r="BJS73" s="609"/>
      <c r="BJT73" s="609"/>
      <c r="BJU73" s="609"/>
      <c r="BJV73" s="609"/>
      <c r="BJW73" s="609"/>
      <c r="BJX73" s="609"/>
      <c r="BJY73" s="609"/>
      <c r="BJZ73" s="609"/>
      <c r="BKA73" s="609"/>
      <c r="BKB73" s="609"/>
      <c r="BKC73" s="609"/>
      <c r="BKD73" s="609"/>
      <c r="BKE73" s="609"/>
      <c r="BKF73" s="609"/>
      <c r="BKG73" s="609"/>
      <c r="BKH73" s="609"/>
      <c r="BKI73" s="609"/>
      <c r="BKJ73" s="609"/>
      <c r="BKK73" s="609"/>
      <c r="BKL73" s="609"/>
      <c r="BKM73" s="609"/>
      <c r="BKN73" s="609"/>
      <c r="BKO73" s="609"/>
      <c r="BKP73" s="609"/>
      <c r="BKQ73" s="609"/>
      <c r="BKR73" s="609"/>
      <c r="BKS73" s="609"/>
      <c r="BKT73" s="609"/>
      <c r="BKU73" s="609"/>
      <c r="BKV73" s="609"/>
      <c r="BKW73" s="609"/>
      <c r="BKX73" s="609"/>
      <c r="BKY73" s="609"/>
      <c r="BKZ73" s="609"/>
      <c r="BLA73" s="609"/>
      <c r="BLB73" s="609"/>
      <c r="BLC73" s="609"/>
      <c r="BLD73" s="609"/>
      <c r="BLE73" s="609"/>
      <c r="BLF73" s="609"/>
      <c r="BLG73" s="609"/>
      <c r="BLH73" s="609"/>
      <c r="BLI73" s="609"/>
      <c r="BLJ73" s="609"/>
      <c r="BLK73" s="609"/>
      <c r="BLL73" s="609"/>
      <c r="BLM73" s="609"/>
      <c r="BLN73" s="609"/>
      <c r="BLO73" s="609"/>
      <c r="BLP73" s="609"/>
      <c r="BLQ73" s="609"/>
      <c r="BLR73" s="609"/>
      <c r="BLS73" s="609"/>
      <c r="BLT73" s="609"/>
      <c r="BLU73" s="609"/>
      <c r="BLV73" s="609"/>
      <c r="BLW73" s="609"/>
      <c r="BLX73" s="609"/>
      <c r="BLY73" s="609"/>
      <c r="BLZ73" s="609"/>
      <c r="BMA73" s="609"/>
      <c r="BMB73" s="609"/>
      <c r="BMC73" s="609"/>
      <c r="BMD73" s="609"/>
      <c r="BME73" s="609"/>
      <c r="BMF73" s="609"/>
      <c r="BMG73" s="609"/>
      <c r="BMH73" s="609"/>
      <c r="BMI73" s="609"/>
      <c r="BMJ73" s="609"/>
      <c r="BMK73" s="609"/>
      <c r="BML73" s="609"/>
      <c r="BMM73" s="609"/>
      <c r="BMN73" s="609"/>
      <c r="BMO73" s="609"/>
      <c r="BMP73" s="609"/>
      <c r="BMQ73" s="609"/>
      <c r="BMR73" s="609"/>
      <c r="BMS73" s="609"/>
      <c r="BMT73" s="609"/>
      <c r="BMU73" s="609"/>
      <c r="BMV73" s="609"/>
      <c r="BMW73" s="609"/>
      <c r="BMX73" s="609"/>
      <c r="BMY73" s="609"/>
      <c r="BMZ73" s="609"/>
      <c r="BNA73" s="609"/>
      <c r="BNB73" s="609"/>
      <c r="BNC73" s="609"/>
      <c r="BND73" s="609"/>
      <c r="BNE73" s="609"/>
      <c r="BNF73" s="609"/>
      <c r="BNG73" s="609"/>
      <c r="BNH73" s="609"/>
      <c r="BNI73" s="609"/>
      <c r="BNJ73" s="609"/>
      <c r="BNK73" s="609"/>
      <c r="BNL73" s="609"/>
      <c r="BNM73" s="609"/>
      <c r="BNN73" s="609"/>
      <c r="BNO73" s="609"/>
      <c r="BNP73" s="609"/>
      <c r="BNQ73" s="609"/>
      <c r="BNR73" s="609"/>
      <c r="BNS73" s="609"/>
      <c r="BNT73" s="609"/>
      <c r="BNU73" s="609"/>
      <c r="BNV73" s="609"/>
      <c r="BNW73" s="609"/>
      <c r="BNX73" s="609"/>
      <c r="BNY73" s="609"/>
      <c r="BNZ73" s="609"/>
      <c r="BOA73" s="609"/>
      <c r="BOB73" s="609"/>
      <c r="BOC73" s="609"/>
      <c r="BOD73" s="609"/>
      <c r="BOE73" s="609"/>
      <c r="BOF73" s="609"/>
      <c r="BOG73" s="609"/>
      <c r="BOH73" s="609"/>
      <c r="BOI73" s="609"/>
      <c r="BOJ73" s="609"/>
      <c r="BOK73" s="609"/>
      <c r="BOL73" s="609"/>
      <c r="BOM73" s="609"/>
      <c r="BON73" s="609"/>
      <c r="BOO73" s="609"/>
      <c r="BOP73" s="609"/>
      <c r="BOQ73" s="609"/>
      <c r="BOR73" s="609"/>
      <c r="BOS73" s="609"/>
      <c r="BOT73" s="609"/>
      <c r="BOU73" s="609"/>
      <c r="BOV73" s="609"/>
      <c r="BOW73" s="609"/>
      <c r="BOX73" s="609"/>
      <c r="BOY73" s="609"/>
      <c r="BOZ73" s="609"/>
      <c r="BPA73" s="609"/>
      <c r="BPB73" s="609"/>
      <c r="BPC73" s="609"/>
      <c r="BPD73" s="609"/>
      <c r="BPE73" s="609"/>
      <c r="BPF73" s="609"/>
      <c r="BPG73" s="609"/>
      <c r="BPH73" s="609"/>
      <c r="BPI73" s="609"/>
      <c r="BPJ73" s="609"/>
      <c r="BPK73" s="609"/>
      <c r="BPL73" s="609"/>
      <c r="BPM73" s="609"/>
      <c r="BPN73" s="609"/>
      <c r="BPO73" s="609"/>
      <c r="BPP73" s="609"/>
      <c r="BPQ73" s="609"/>
      <c r="BPR73" s="609"/>
      <c r="BPS73" s="609"/>
      <c r="BPT73" s="609"/>
      <c r="BPU73" s="609"/>
      <c r="BPV73" s="609"/>
      <c r="BPW73" s="609"/>
      <c r="BPX73" s="609"/>
      <c r="BPY73" s="609"/>
      <c r="BPZ73" s="609"/>
      <c r="BQA73" s="609"/>
      <c r="BQB73" s="609"/>
      <c r="BQC73" s="609"/>
      <c r="BQD73" s="609"/>
      <c r="BQE73" s="609"/>
      <c r="BQF73" s="609"/>
      <c r="BQG73" s="609"/>
      <c r="BQH73" s="609"/>
      <c r="BQI73" s="609"/>
      <c r="BQJ73" s="609"/>
      <c r="BQK73" s="609"/>
      <c r="BQL73" s="609"/>
      <c r="BQM73" s="609"/>
      <c r="BQN73" s="609"/>
      <c r="BQO73" s="609"/>
      <c r="BQP73" s="609"/>
      <c r="BQQ73" s="609"/>
      <c r="BQR73" s="609"/>
      <c r="BQS73" s="609"/>
      <c r="BQT73" s="609"/>
      <c r="BQU73" s="609"/>
      <c r="BQV73" s="609"/>
      <c r="BQW73" s="609"/>
      <c r="BQX73" s="609"/>
      <c r="BQY73" s="609"/>
      <c r="BQZ73" s="609"/>
      <c r="BRA73" s="609"/>
      <c r="BRB73" s="609"/>
      <c r="BRC73" s="609"/>
      <c r="BRD73" s="609"/>
      <c r="BRE73" s="609"/>
      <c r="BRF73" s="609"/>
      <c r="BRG73" s="609"/>
      <c r="BRH73" s="609"/>
      <c r="BRI73" s="609"/>
      <c r="BRJ73" s="609"/>
      <c r="BRK73" s="609"/>
      <c r="BRL73" s="609"/>
      <c r="BRM73" s="609"/>
      <c r="BRN73" s="609"/>
      <c r="BRO73" s="609"/>
      <c r="BRP73" s="609"/>
      <c r="BRQ73" s="609"/>
      <c r="BRR73" s="609"/>
      <c r="BRS73" s="609"/>
      <c r="BRT73" s="609"/>
      <c r="BRU73" s="609"/>
      <c r="BRV73" s="609"/>
      <c r="BRW73" s="609"/>
      <c r="BRX73" s="609"/>
      <c r="BRY73" s="609"/>
      <c r="BRZ73" s="609"/>
      <c r="BSA73" s="609"/>
      <c r="BSB73" s="609"/>
      <c r="BSC73" s="609"/>
      <c r="BSD73" s="609"/>
      <c r="BSE73" s="609"/>
      <c r="BSF73" s="609"/>
      <c r="BSG73" s="609"/>
      <c r="BSH73" s="609"/>
      <c r="BSI73" s="609"/>
      <c r="BSJ73" s="609"/>
      <c r="BSK73" s="609"/>
      <c r="BSL73" s="609"/>
      <c r="BSM73" s="609"/>
      <c r="BSN73" s="609"/>
      <c r="BSO73" s="609"/>
      <c r="BSP73" s="609"/>
      <c r="BSQ73" s="609"/>
      <c r="BSR73" s="609"/>
      <c r="BSS73" s="609"/>
      <c r="BST73" s="609"/>
      <c r="BSU73" s="609"/>
      <c r="BSV73" s="609"/>
      <c r="BSW73" s="609"/>
      <c r="BSX73" s="609"/>
      <c r="BSY73" s="609"/>
      <c r="BSZ73" s="609"/>
      <c r="BTA73" s="609"/>
      <c r="BTB73" s="609"/>
      <c r="BTC73" s="609"/>
      <c r="BTD73" s="609"/>
      <c r="BTE73" s="609"/>
      <c r="BTF73" s="609"/>
      <c r="BTG73" s="609"/>
      <c r="BTH73" s="609"/>
      <c r="BTI73" s="609"/>
      <c r="BTJ73" s="609"/>
      <c r="BTK73" s="609"/>
      <c r="BTL73" s="609"/>
      <c r="BTM73" s="609"/>
      <c r="BTN73" s="609"/>
      <c r="BTO73" s="609"/>
      <c r="BTP73" s="609"/>
      <c r="BTQ73" s="609"/>
      <c r="BTR73" s="609"/>
      <c r="BTS73" s="609"/>
      <c r="BTT73" s="609"/>
      <c r="BTU73" s="609"/>
      <c r="BTV73" s="609"/>
      <c r="BTW73" s="609"/>
      <c r="BTX73" s="609"/>
      <c r="BTY73" s="609"/>
      <c r="BTZ73" s="609"/>
      <c r="BUA73" s="609"/>
      <c r="BUB73" s="609"/>
      <c r="BUC73" s="609"/>
      <c r="BUD73" s="609"/>
      <c r="BUE73" s="609"/>
      <c r="BUF73" s="609"/>
      <c r="BUG73" s="609"/>
      <c r="BUH73" s="609"/>
      <c r="BUI73" s="609"/>
      <c r="BUJ73" s="609"/>
      <c r="BUK73" s="609"/>
      <c r="BUL73" s="609"/>
      <c r="BUM73" s="609"/>
      <c r="BUN73" s="609"/>
      <c r="BUO73" s="609"/>
      <c r="BUP73" s="609"/>
      <c r="BUQ73" s="609"/>
      <c r="BUR73" s="609"/>
      <c r="BUS73" s="609"/>
      <c r="BUT73" s="609"/>
      <c r="BUU73" s="609"/>
      <c r="BUV73" s="609"/>
      <c r="BUW73" s="609"/>
      <c r="BUX73" s="609"/>
      <c r="BUY73" s="609"/>
      <c r="BUZ73" s="609"/>
      <c r="BVA73" s="609"/>
      <c r="BVB73" s="609"/>
      <c r="BVC73" s="609"/>
      <c r="BVD73" s="609"/>
      <c r="BVE73" s="609"/>
      <c r="BVF73" s="609"/>
      <c r="BVG73" s="609"/>
      <c r="BVH73" s="609"/>
      <c r="BVI73" s="609"/>
      <c r="BVJ73" s="609"/>
      <c r="BVK73" s="609"/>
      <c r="BVL73" s="609"/>
      <c r="BVM73" s="609"/>
      <c r="BVN73" s="609"/>
      <c r="BVO73" s="609"/>
      <c r="BVP73" s="609"/>
      <c r="BVQ73" s="609"/>
      <c r="BVR73" s="609"/>
      <c r="BVS73" s="609"/>
      <c r="BVT73" s="609"/>
      <c r="BVU73" s="609"/>
      <c r="BVV73" s="609"/>
      <c r="BVW73" s="609"/>
      <c r="BVX73" s="609"/>
      <c r="BVY73" s="609"/>
      <c r="BVZ73" s="609"/>
      <c r="BWA73" s="609"/>
      <c r="BWB73" s="609"/>
      <c r="BWC73" s="609"/>
      <c r="BWD73" s="609"/>
      <c r="BWE73" s="609"/>
      <c r="BWF73" s="609"/>
      <c r="BWG73" s="609"/>
      <c r="BWH73" s="609"/>
      <c r="BWI73" s="609"/>
      <c r="BWJ73" s="609"/>
      <c r="BWK73" s="609"/>
      <c r="BWL73" s="609"/>
      <c r="BWM73" s="609"/>
      <c r="BWN73" s="609"/>
      <c r="BWO73" s="609"/>
      <c r="BWP73" s="609"/>
      <c r="BWQ73" s="609"/>
      <c r="BWR73" s="609"/>
      <c r="BWS73" s="609"/>
      <c r="BWT73" s="609"/>
      <c r="BWU73" s="609"/>
      <c r="BWV73" s="609"/>
      <c r="BWW73" s="609"/>
      <c r="BWX73" s="609"/>
      <c r="BWY73" s="609"/>
      <c r="BWZ73" s="609"/>
      <c r="BXA73" s="609"/>
      <c r="BXB73" s="609"/>
      <c r="BXC73" s="609"/>
      <c r="BXD73" s="609"/>
      <c r="BXE73" s="609"/>
      <c r="BXF73" s="609"/>
      <c r="BXG73" s="609"/>
      <c r="BXH73" s="609"/>
      <c r="BXI73" s="609"/>
      <c r="BXJ73" s="609"/>
      <c r="BXK73" s="609"/>
      <c r="BXL73" s="609"/>
      <c r="BXM73" s="609"/>
      <c r="BXN73" s="609"/>
      <c r="BXO73" s="609"/>
      <c r="BXP73" s="609"/>
      <c r="BXQ73" s="609"/>
      <c r="BXR73" s="609"/>
      <c r="BXS73" s="609"/>
      <c r="BXT73" s="609"/>
      <c r="BXU73" s="609"/>
      <c r="BXV73" s="609"/>
      <c r="BXW73" s="609"/>
      <c r="BXX73" s="609"/>
      <c r="BXY73" s="609"/>
      <c r="BXZ73" s="609"/>
      <c r="BYA73" s="609"/>
      <c r="BYB73" s="609"/>
      <c r="BYC73" s="609"/>
      <c r="BYD73" s="609"/>
      <c r="BYE73" s="609"/>
      <c r="BYF73" s="609"/>
      <c r="BYG73" s="609"/>
      <c r="BYH73" s="609"/>
      <c r="BYI73" s="609"/>
      <c r="BYJ73" s="609"/>
      <c r="BYK73" s="609"/>
      <c r="BYL73" s="609"/>
      <c r="BYM73" s="609"/>
      <c r="BYN73" s="609"/>
      <c r="BYO73" s="609"/>
      <c r="BYP73" s="609"/>
      <c r="BYQ73" s="609"/>
      <c r="BYR73" s="609"/>
      <c r="BYS73" s="609"/>
      <c r="BYT73" s="609"/>
      <c r="BYU73" s="609"/>
      <c r="BYV73" s="609"/>
      <c r="BYW73" s="609"/>
      <c r="BYX73" s="609"/>
      <c r="BYY73" s="609"/>
      <c r="BYZ73" s="609"/>
      <c r="BZA73" s="609"/>
      <c r="BZB73" s="609"/>
      <c r="BZC73" s="609"/>
      <c r="BZD73" s="609"/>
      <c r="BZE73" s="609"/>
      <c r="BZF73" s="609"/>
      <c r="BZG73" s="609"/>
      <c r="BZH73" s="609"/>
      <c r="BZI73" s="609"/>
      <c r="BZJ73" s="609"/>
      <c r="BZK73" s="609"/>
      <c r="BZL73" s="609"/>
      <c r="BZM73" s="609"/>
      <c r="BZN73" s="609"/>
      <c r="BZO73" s="609"/>
      <c r="BZP73" s="609"/>
      <c r="BZQ73" s="609"/>
      <c r="BZR73" s="609"/>
      <c r="BZS73" s="609"/>
      <c r="BZT73" s="609"/>
      <c r="BZU73" s="609"/>
      <c r="BZV73" s="609"/>
      <c r="BZW73" s="609"/>
      <c r="BZX73" s="609"/>
      <c r="BZY73" s="609"/>
      <c r="BZZ73" s="609"/>
      <c r="CAA73" s="609"/>
      <c r="CAB73" s="609"/>
      <c r="CAC73" s="609"/>
      <c r="CAD73" s="609"/>
      <c r="CAE73" s="609"/>
      <c r="CAF73" s="609"/>
      <c r="CAG73" s="609"/>
      <c r="CAH73" s="609"/>
      <c r="CAI73" s="609"/>
      <c r="CAJ73" s="609"/>
      <c r="CAK73" s="609"/>
      <c r="CAL73" s="609"/>
      <c r="CAM73" s="609"/>
      <c r="CAN73" s="609"/>
      <c r="CAO73" s="609"/>
      <c r="CAP73" s="609"/>
      <c r="CAQ73" s="609"/>
      <c r="CAR73" s="609"/>
      <c r="CAS73" s="609"/>
      <c r="CAT73" s="609"/>
      <c r="CAU73" s="609"/>
      <c r="CAV73" s="609"/>
      <c r="CAW73" s="609"/>
      <c r="CAX73" s="609"/>
      <c r="CAY73" s="609"/>
      <c r="CAZ73" s="609"/>
      <c r="CBA73" s="609"/>
      <c r="CBB73" s="609"/>
      <c r="CBC73" s="609"/>
      <c r="CBD73" s="609"/>
      <c r="CBE73" s="609"/>
      <c r="CBF73" s="609"/>
      <c r="CBG73" s="609"/>
      <c r="CBH73" s="609"/>
      <c r="CBI73" s="609"/>
      <c r="CBJ73" s="609"/>
      <c r="CBK73" s="609"/>
      <c r="CBL73" s="609"/>
      <c r="CBM73" s="609"/>
      <c r="CBN73" s="609"/>
      <c r="CBO73" s="609"/>
      <c r="CBP73" s="609"/>
      <c r="CBQ73" s="609"/>
      <c r="CBR73" s="609"/>
      <c r="CBS73" s="609"/>
      <c r="CBT73" s="609"/>
      <c r="CBU73" s="609"/>
      <c r="CBV73" s="609"/>
      <c r="CBW73" s="609"/>
      <c r="CBX73" s="609"/>
      <c r="CBY73" s="609"/>
      <c r="CBZ73" s="609"/>
      <c r="CCA73" s="609"/>
      <c r="CCB73" s="609"/>
      <c r="CCC73" s="609"/>
      <c r="CCD73" s="609"/>
      <c r="CCE73" s="609"/>
      <c r="CCF73" s="609"/>
      <c r="CCG73" s="609"/>
      <c r="CCH73" s="609"/>
      <c r="CCI73" s="609"/>
      <c r="CCJ73" s="609"/>
      <c r="CCK73" s="609"/>
      <c r="CCL73" s="609"/>
      <c r="CCM73" s="609"/>
      <c r="CCN73" s="609"/>
      <c r="CCO73" s="609"/>
      <c r="CCP73" s="609"/>
      <c r="CCQ73" s="609"/>
      <c r="CCR73" s="609"/>
      <c r="CCS73" s="609"/>
      <c r="CCT73" s="609"/>
      <c r="CCU73" s="609"/>
      <c r="CCV73" s="609"/>
      <c r="CCW73" s="609"/>
      <c r="CCX73" s="609"/>
      <c r="CCY73" s="609"/>
      <c r="CCZ73" s="609"/>
      <c r="CDA73" s="609"/>
      <c r="CDB73" s="609"/>
      <c r="CDC73" s="609"/>
      <c r="CDD73" s="609"/>
      <c r="CDE73" s="609"/>
      <c r="CDF73" s="609"/>
      <c r="CDG73" s="609"/>
      <c r="CDH73" s="609"/>
      <c r="CDI73" s="609"/>
      <c r="CDJ73" s="609"/>
      <c r="CDK73" s="609"/>
      <c r="CDL73" s="609"/>
      <c r="CDM73" s="609"/>
      <c r="CDN73" s="609"/>
      <c r="CDO73" s="609"/>
      <c r="CDP73" s="609"/>
      <c r="CDQ73" s="609"/>
      <c r="CDR73" s="609"/>
      <c r="CDS73" s="609"/>
      <c r="CDT73" s="609"/>
      <c r="CDU73" s="609"/>
      <c r="CDV73" s="609"/>
      <c r="CDW73" s="609"/>
      <c r="CDX73" s="609"/>
      <c r="CDY73" s="609"/>
      <c r="CDZ73" s="609"/>
      <c r="CEA73" s="609"/>
      <c r="CEB73" s="609"/>
      <c r="CEC73" s="609"/>
      <c r="CED73" s="609"/>
      <c r="CEE73" s="609"/>
      <c r="CEF73" s="609"/>
      <c r="CEG73" s="609"/>
      <c r="CEH73" s="609"/>
      <c r="CEI73" s="609"/>
      <c r="CEJ73" s="609"/>
      <c r="CEK73" s="609"/>
      <c r="CEL73" s="609"/>
      <c r="CEM73" s="609"/>
      <c r="CEN73" s="609"/>
      <c r="CEO73" s="609"/>
      <c r="CEP73" s="609"/>
      <c r="CEQ73" s="609"/>
      <c r="CER73" s="609"/>
      <c r="CES73" s="609"/>
      <c r="CET73" s="609"/>
      <c r="CEU73" s="609"/>
      <c r="CEV73" s="609"/>
      <c r="CEW73" s="609"/>
      <c r="CEX73" s="609"/>
      <c r="CEY73" s="609"/>
      <c r="CEZ73" s="609"/>
      <c r="CFA73" s="609"/>
      <c r="CFB73" s="609"/>
      <c r="CFC73" s="609"/>
      <c r="CFD73" s="609"/>
      <c r="CFE73" s="609"/>
      <c r="CFF73" s="609"/>
      <c r="CFG73" s="609"/>
      <c r="CFH73" s="609"/>
      <c r="CFI73" s="609"/>
      <c r="CFJ73" s="609"/>
      <c r="CFK73" s="609"/>
      <c r="CFL73" s="609"/>
      <c r="CFM73" s="609"/>
      <c r="CFN73" s="609"/>
      <c r="CFO73" s="609"/>
      <c r="CFP73" s="609"/>
      <c r="CFQ73" s="609"/>
      <c r="CFR73" s="609"/>
      <c r="CFS73" s="609"/>
      <c r="CFT73" s="609"/>
      <c r="CFU73" s="609"/>
      <c r="CFV73" s="609"/>
      <c r="CFW73" s="609"/>
      <c r="CFX73" s="609"/>
      <c r="CFY73" s="609"/>
      <c r="CFZ73" s="609"/>
      <c r="CGA73" s="609"/>
      <c r="CGB73" s="609"/>
      <c r="CGC73" s="609"/>
      <c r="CGD73" s="609"/>
      <c r="CGE73" s="609"/>
      <c r="CGF73" s="609"/>
      <c r="CGG73" s="609"/>
      <c r="CGH73" s="609"/>
      <c r="CGI73" s="609"/>
      <c r="CGJ73" s="609"/>
      <c r="CGK73" s="609"/>
      <c r="CGL73" s="609"/>
      <c r="CGM73" s="609"/>
      <c r="CGN73" s="609"/>
      <c r="CGO73" s="609"/>
      <c r="CGP73" s="609"/>
      <c r="CGQ73" s="609"/>
      <c r="CGR73" s="609"/>
      <c r="CGS73" s="609"/>
      <c r="CGT73" s="609"/>
      <c r="CGU73" s="609"/>
      <c r="CGV73" s="609"/>
      <c r="CGW73" s="609"/>
      <c r="CGX73" s="609"/>
      <c r="CGY73" s="609"/>
      <c r="CGZ73" s="609"/>
      <c r="CHA73" s="609"/>
      <c r="CHB73" s="609"/>
      <c r="CHC73" s="609"/>
      <c r="CHD73" s="609"/>
      <c r="CHE73" s="609"/>
      <c r="CHF73" s="609"/>
      <c r="CHG73" s="609"/>
      <c r="CHH73" s="609"/>
      <c r="CHI73" s="609"/>
      <c r="CHJ73" s="609"/>
      <c r="CHK73" s="609"/>
      <c r="CHL73" s="609"/>
      <c r="CHM73" s="609"/>
      <c r="CHN73" s="609"/>
      <c r="CHO73" s="609"/>
      <c r="CHP73" s="609"/>
      <c r="CHQ73" s="609"/>
      <c r="CHR73" s="609"/>
      <c r="CHS73" s="609"/>
      <c r="CHT73" s="609"/>
      <c r="CHU73" s="609"/>
      <c r="CHV73" s="609"/>
      <c r="CHW73" s="609"/>
      <c r="CHX73" s="609"/>
      <c r="CHY73" s="609"/>
      <c r="CHZ73" s="609"/>
      <c r="CIA73" s="609"/>
      <c r="CIB73" s="609"/>
      <c r="CIC73" s="609"/>
      <c r="CID73" s="609"/>
      <c r="CIE73" s="609"/>
      <c r="CIF73" s="609"/>
      <c r="CIG73" s="609"/>
      <c r="CIH73" s="609"/>
      <c r="CII73" s="609"/>
      <c r="CIJ73" s="609"/>
      <c r="CIK73" s="609"/>
      <c r="CIL73" s="609"/>
      <c r="CIM73" s="609"/>
      <c r="CIN73" s="609"/>
      <c r="CIO73" s="609"/>
      <c r="CIP73" s="609"/>
      <c r="CIQ73" s="609"/>
      <c r="CIR73" s="609"/>
      <c r="CIS73" s="609"/>
      <c r="CIT73" s="609"/>
      <c r="CIU73" s="609"/>
      <c r="CIV73" s="609"/>
      <c r="CIW73" s="609"/>
      <c r="CIX73" s="609"/>
      <c r="CIY73" s="609"/>
      <c r="CIZ73" s="609"/>
      <c r="CJA73" s="609"/>
      <c r="CJB73" s="609"/>
      <c r="CJC73" s="609"/>
      <c r="CJD73" s="609"/>
      <c r="CJE73" s="609"/>
      <c r="CJF73" s="609"/>
      <c r="CJG73" s="609"/>
      <c r="CJH73" s="609"/>
      <c r="CJI73" s="609"/>
      <c r="CJJ73" s="609"/>
      <c r="CJK73" s="609"/>
      <c r="CJL73" s="609"/>
      <c r="CJM73" s="609"/>
      <c r="CJN73" s="609"/>
      <c r="CJO73" s="609"/>
      <c r="CJP73" s="609"/>
      <c r="CJQ73" s="609"/>
      <c r="CJR73" s="609"/>
      <c r="CJS73" s="609"/>
      <c r="CJT73" s="609"/>
      <c r="CJU73" s="609"/>
      <c r="CJV73" s="609"/>
      <c r="CJW73" s="609"/>
      <c r="CJX73" s="609"/>
      <c r="CJY73" s="609"/>
      <c r="CJZ73" s="609"/>
      <c r="CKA73" s="609"/>
      <c r="CKB73" s="609"/>
      <c r="CKC73" s="609"/>
      <c r="CKD73" s="609"/>
      <c r="CKE73" s="609"/>
      <c r="CKF73" s="609"/>
      <c r="CKG73" s="609"/>
      <c r="CKH73" s="609"/>
      <c r="CKI73" s="609"/>
      <c r="CKJ73" s="609"/>
      <c r="CKK73" s="609"/>
      <c r="CKL73" s="609"/>
      <c r="CKM73" s="609"/>
      <c r="CKN73" s="609"/>
      <c r="CKO73" s="609"/>
      <c r="CKP73" s="609"/>
      <c r="CKQ73" s="609"/>
      <c r="CKR73" s="609"/>
      <c r="CKS73" s="609"/>
      <c r="CKT73" s="609"/>
      <c r="CKU73" s="609"/>
      <c r="CKV73" s="609"/>
      <c r="CKW73" s="609"/>
      <c r="CKX73" s="609"/>
      <c r="CKY73" s="609"/>
      <c r="CKZ73" s="609"/>
      <c r="CLA73" s="609"/>
      <c r="CLB73" s="609"/>
      <c r="CLC73" s="609"/>
      <c r="CLD73" s="609"/>
      <c r="CLE73" s="609"/>
      <c r="CLF73" s="609"/>
      <c r="CLG73" s="609"/>
      <c r="CLH73" s="609"/>
      <c r="CLI73" s="609"/>
      <c r="CLJ73" s="609"/>
      <c r="CLK73" s="609"/>
      <c r="CLL73" s="609"/>
      <c r="CLM73" s="609"/>
      <c r="CLN73" s="609"/>
      <c r="CLO73" s="609"/>
      <c r="CLP73" s="609"/>
      <c r="CLQ73" s="609"/>
      <c r="CLR73" s="609"/>
      <c r="CLS73" s="609"/>
      <c r="CLT73" s="609"/>
      <c r="CLU73" s="609"/>
      <c r="CLV73" s="609"/>
      <c r="CLW73" s="609"/>
      <c r="CLX73" s="609"/>
      <c r="CLY73" s="609"/>
      <c r="CLZ73" s="609"/>
      <c r="CMA73" s="609"/>
      <c r="CMB73" s="609"/>
      <c r="CMC73" s="609"/>
      <c r="CMD73" s="609"/>
      <c r="CME73" s="609"/>
      <c r="CMF73" s="609"/>
      <c r="CMG73" s="609"/>
      <c r="CMH73" s="609"/>
      <c r="CMI73" s="609"/>
      <c r="CMJ73" s="609"/>
      <c r="CMK73" s="609"/>
      <c r="CML73" s="609"/>
      <c r="CMM73" s="609"/>
      <c r="CMN73" s="609"/>
      <c r="CMO73" s="609"/>
      <c r="CMP73" s="609"/>
      <c r="CMQ73" s="609"/>
      <c r="CMR73" s="609"/>
      <c r="CMS73" s="609"/>
      <c r="CMT73" s="609"/>
      <c r="CMU73" s="609"/>
      <c r="CMV73" s="609"/>
      <c r="CMW73" s="609"/>
      <c r="CMX73" s="609"/>
      <c r="CMY73" s="609"/>
      <c r="CMZ73" s="609"/>
      <c r="CNA73" s="609"/>
      <c r="CNB73" s="609"/>
      <c r="CNC73" s="609"/>
      <c r="CND73" s="609"/>
      <c r="CNE73" s="609"/>
      <c r="CNF73" s="609"/>
      <c r="CNG73" s="609"/>
      <c r="CNH73" s="609"/>
      <c r="CNI73" s="609"/>
      <c r="CNJ73" s="609"/>
      <c r="CNK73" s="609"/>
      <c r="CNL73" s="609"/>
      <c r="CNM73" s="609"/>
      <c r="CNN73" s="609"/>
      <c r="CNO73" s="609"/>
      <c r="CNP73" s="609"/>
      <c r="CNQ73" s="609"/>
      <c r="CNR73" s="609"/>
      <c r="CNS73" s="609"/>
      <c r="CNT73" s="609"/>
      <c r="CNU73" s="609"/>
      <c r="CNV73" s="609"/>
      <c r="CNW73" s="609"/>
      <c r="CNX73" s="609"/>
      <c r="CNY73" s="609"/>
      <c r="CNZ73" s="609"/>
      <c r="COA73" s="609"/>
      <c r="COB73" s="609"/>
      <c r="COC73" s="609"/>
      <c r="COD73" s="609"/>
      <c r="COE73" s="609"/>
      <c r="COF73" s="609"/>
      <c r="COG73" s="609"/>
      <c r="COH73" s="609"/>
      <c r="COI73" s="609"/>
      <c r="COJ73" s="609"/>
      <c r="COK73" s="609"/>
      <c r="COL73" s="609"/>
      <c r="COM73" s="609"/>
      <c r="CON73" s="609"/>
      <c r="COO73" s="609"/>
      <c r="COP73" s="609"/>
      <c r="COQ73" s="609"/>
      <c r="COR73" s="609"/>
      <c r="COS73" s="609"/>
      <c r="COT73" s="609"/>
      <c r="COU73" s="609"/>
      <c r="COV73" s="609"/>
      <c r="COW73" s="609"/>
      <c r="COX73" s="609"/>
      <c r="COY73" s="609"/>
      <c r="COZ73" s="609"/>
      <c r="CPA73" s="609"/>
      <c r="CPB73" s="609"/>
      <c r="CPC73" s="609"/>
      <c r="CPD73" s="609"/>
      <c r="CPE73" s="609"/>
      <c r="CPF73" s="609"/>
      <c r="CPG73" s="609"/>
      <c r="CPH73" s="609"/>
      <c r="CPI73" s="609"/>
      <c r="CPJ73" s="609"/>
      <c r="CPK73" s="609"/>
      <c r="CPL73" s="609"/>
      <c r="CPM73" s="609"/>
      <c r="CPN73" s="609"/>
      <c r="CPO73" s="609"/>
      <c r="CPP73" s="609"/>
      <c r="CPQ73" s="609"/>
      <c r="CPR73" s="609"/>
      <c r="CPS73" s="609"/>
      <c r="CPT73" s="609"/>
      <c r="CPU73" s="609"/>
      <c r="CPV73" s="609"/>
      <c r="CPW73" s="609"/>
      <c r="CPX73" s="609"/>
      <c r="CPY73" s="609"/>
      <c r="CPZ73" s="609"/>
      <c r="CQA73" s="609"/>
      <c r="CQB73" s="609"/>
      <c r="CQC73" s="609"/>
      <c r="CQD73" s="609"/>
      <c r="CQE73" s="609"/>
      <c r="CQF73" s="609"/>
      <c r="CQG73" s="609"/>
      <c r="CQH73" s="609"/>
      <c r="CQI73" s="609"/>
      <c r="CQJ73" s="609"/>
      <c r="CQK73" s="609"/>
      <c r="CQL73" s="609"/>
      <c r="CQM73" s="609"/>
      <c r="CQN73" s="609"/>
      <c r="CQO73" s="609"/>
      <c r="CQP73" s="609"/>
      <c r="CQQ73" s="609"/>
      <c r="CQR73" s="609"/>
      <c r="CQS73" s="609"/>
      <c r="CQT73" s="609"/>
      <c r="CQU73" s="609"/>
      <c r="CQV73" s="609"/>
      <c r="CQW73" s="609"/>
      <c r="CQX73" s="609"/>
      <c r="CQY73" s="609"/>
      <c r="CQZ73" s="609"/>
      <c r="CRA73" s="609"/>
      <c r="CRB73" s="609"/>
      <c r="CRC73" s="609"/>
      <c r="CRD73" s="609"/>
      <c r="CRE73" s="609"/>
      <c r="CRF73" s="609"/>
      <c r="CRG73" s="609"/>
      <c r="CRH73" s="609"/>
      <c r="CRI73" s="609"/>
      <c r="CRJ73" s="609"/>
      <c r="CRK73" s="609"/>
      <c r="CRL73" s="609"/>
      <c r="CRM73" s="609"/>
      <c r="CRN73" s="609"/>
      <c r="CRO73" s="609"/>
      <c r="CRP73" s="609"/>
      <c r="CRQ73" s="609"/>
      <c r="CRR73" s="609"/>
      <c r="CRS73" s="609"/>
      <c r="CRT73" s="609"/>
      <c r="CRU73" s="609"/>
      <c r="CRV73" s="609"/>
      <c r="CRW73" s="609"/>
      <c r="CRX73" s="609"/>
      <c r="CRY73" s="609"/>
      <c r="CRZ73" s="609"/>
      <c r="CSA73" s="609"/>
      <c r="CSB73" s="609"/>
      <c r="CSC73" s="609"/>
      <c r="CSD73" s="609"/>
      <c r="CSE73" s="609"/>
      <c r="CSF73" s="609"/>
      <c r="CSG73" s="609"/>
      <c r="CSH73" s="609"/>
      <c r="CSI73" s="609"/>
      <c r="CSJ73" s="609"/>
      <c r="CSK73" s="609"/>
      <c r="CSL73" s="609"/>
      <c r="CSM73" s="609"/>
      <c r="CSN73" s="609"/>
      <c r="CSO73" s="609"/>
      <c r="CSP73" s="609"/>
      <c r="CSQ73" s="609"/>
      <c r="CSR73" s="609"/>
      <c r="CSS73" s="609"/>
      <c r="CST73" s="609"/>
      <c r="CSU73" s="609"/>
      <c r="CSV73" s="609"/>
      <c r="CSW73" s="609"/>
      <c r="CSX73" s="609"/>
      <c r="CSY73" s="609"/>
      <c r="CSZ73" s="609"/>
      <c r="CTA73" s="609"/>
      <c r="CTB73" s="609"/>
      <c r="CTC73" s="609"/>
      <c r="CTD73" s="609"/>
      <c r="CTE73" s="609"/>
      <c r="CTF73" s="609"/>
      <c r="CTG73" s="609"/>
      <c r="CTH73" s="609"/>
      <c r="CTI73" s="609"/>
      <c r="CTJ73" s="609"/>
      <c r="CTK73" s="609"/>
      <c r="CTL73" s="609"/>
      <c r="CTM73" s="609"/>
      <c r="CTN73" s="609"/>
      <c r="CTO73" s="609"/>
      <c r="CTP73" s="609"/>
      <c r="CTQ73" s="609"/>
      <c r="CTR73" s="609"/>
      <c r="CTS73" s="609"/>
      <c r="CTT73" s="609"/>
      <c r="CTU73" s="609"/>
      <c r="CTV73" s="609"/>
      <c r="CTW73" s="609"/>
      <c r="CTX73" s="609"/>
      <c r="CTY73" s="609"/>
      <c r="CTZ73" s="609"/>
      <c r="CUA73" s="609"/>
      <c r="CUB73" s="609"/>
      <c r="CUC73" s="609"/>
      <c r="CUD73" s="609"/>
      <c r="CUE73" s="609"/>
      <c r="CUF73" s="609"/>
      <c r="CUG73" s="609"/>
      <c r="CUH73" s="609"/>
      <c r="CUI73" s="609"/>
      <c r="CUJ73" s="609"/>
      <c r="CUK73" s="609"/>
      <c r="CUL73" s="609"/>
      <c r="CUM73" s="609"/>
      <c r="CUN73" s="609"/>
      <c r="CUO73" s="609"/>
      <c r="CUP73" s="609"/>
      <c r="CUQ73" s="609"/>
      <c r="CUR73" s="609"/>
      <c r="CUS73" s="609"/>
      <c r="CUT73" s="609"/>
      <c r="CUU73" s="609"/>
      <c r="CUV73" s="609"/>
      <c r="CUW73" s="609"/>
      <c r="CUX73" s="609"/>
      <c r="CUY73" s="609"/>
      <c r="CUZ73" s="609"/>
      <c r="CVA73" s="609"/>
      <c r="CVB73" s="609"/>
      <c r="CVC73" s="609"/>
      <c r="CVD73" s="609"/>
      <c r="CVE73" s="609"/>
      <c r="CVF73" s="609"/>
      <c r="CVG73" s="609"/>
      <c r="CVH73" s="609"/>
      <c r="CVI73" s="609"/>
      <c r="CVJ73" s="609"/>
      <c r="CVK73" s="609"/>
      <c r="CVL73" s="609"/>
      <c r="CVM73" s="609"/>
      <c r="CVN73" s="609"/>
      <c r="CVO73" s="609"/>
      <c r="CVP73" s="609"/>
      <c r="CVQ73" s="609"/>
      <c r="CVR73" s="609"/>
      <c r="CVS73" s="609"/>
      <c r="CVT73" s="609"/>
      <c r="CVU73" s="609"/>
      <c r="CVV73" s="609"/>
      <c r="CVW73" s="609"/>
      <c r="CVX73" s="609"/>
      <c r="CVY73" s="609"/>
      <c r="CVZ73" s="609"/>
      <c r="CWA73" s="609"/>
      <c r="CWB73" s="609"/>
      <c r="CWC73" s="609"/>
      <c r="CWD73" s="609"/>
      <c r="CWE73" s="609"/>
      <c r="CWF73" s="609"/>
      <c r="CWG73" s="609"/>
      <c r="CWH73" s="609"/>
      <c r="CWI73" s="609"/>
      <c r="CWJ73" s="609"/>
      <c r="CWK73" s="609"/>
      <c r="CWL73" s="609"/>
      <c r="CWM73" s="609"/>
      <c r="CWN73" s="609"/>
      <c r="CWO73" s="609"/>
      <c r="CWP73" s="609"/>
      <c r="CWQ73" s="609"/>
      <c r="CWR73" s="609"/>
      <c r="CWS73" s="609"/>
      <c r="CWT73" s="609"/>
      <c r="CWU73" s="609"/>
      <c r="CWV73" s="609"/>
      <c r="CWW73" s="609"/>
      <c r="CWX73" s="609"/>
      <c r="CWY73" s="609"/>
      <c r="CWZ73" s="609"/>
      <c r="CXA73" s="609"/>
      <c r="CXB73" s="609"/>
      <c r="CXC73" s="609"/>
      <c r="CXD73" s="609"/>
      <c r="CXE73" s="609"/>
      <c r="CXF73" s="609"/>
      <c r="CXG73" s="609"/>
      <c r="CXH73" s="609"/>
      <c r="CXI73" s="609"/>
      <c r="CXJ73" s="609"/>
      <c r="CXK73" s="609"/>
      <c r="CXL73" s="609"/>
      <c r="CXM73" s="609"/>
      <c r="CXN73" s="609"/>
      <c r="CXO73" s="609"/>
      <c r="CXP73" s="609"/>
      <c r="CXQ73" s="609"/>
      <c r="CXR73" s="609"/>
      <c r="CXS73" s="609"/>
      <c r="CXT73" s="609"/>
      <c r="CXU73" s="609"/>
      <c r="CXV73" s="609"/>
      <c r="CXW73" s="609"/>
      <c r="CXX73" s="609"/>
      <c r="CXY73" s="609"/>
      <c r="CXZ73" s="609"/>
      <c r="CYA73" s="609"/>
      <c r="CYB73" s="609"/>
      <c r="CYC73" s="609"/>
      <c r="CYD73" s="609"/>
      <c r="CYE73" s="609"/>
      <c r="CYF73" s="609"/>
      <c r="CYG73" s="609"/>
      <c r="CYH73" s="609"/>
      <c r="CYI73" s="609"/>
      <c r="CYJ73" s="609"/>
      <c r="CYK73" s="609"/>
      <c r="CYL73" s="609"/>
      <c r="CYM73" s="609"/>
      <c r="CYN73" s="609"/>
      <c r="CYO73" s="609"/>
      <c r="CYP73" s="609"/>
      <c r="CYQ73" s="609"/>
      <c r="CYR73" s="609"/>
      <c r="CYS73" s="609"/>
      <c r="CYT73" s="609"/>
      <c r="CYU73" s="609"/>
      <c r="CYV73" s="609"/>
      <c r="CYW73" s="609"/>
      <c r="CYX73" s="609"/>
      <c r="CYY73" s="609"/>
      <c r="CYZ73" s="609"/>
      <c r="CZA73" s="609"/>
      <c r="CZB73" s="609"/>
      <c r="CZC73" s="609"/>
      <c r="CZD73" s="609"/>
      <c r="CZE73" s="609"/>
      <c r="CZF73" s="609"/>
      <c r="CZG73" s="609"/>
      <c r="CZH73" s="609"/>
      <c r="CZI73" s="609"/>
      <c r="CZJ73" s="609"/>
      <c r="CZK73" s="609"/>
      <c r="CZL73" s="609"/>
      <c r="CZM73" s="609"/>
      <c r="CZN73" s="609"/>
      <c r="CZO73" s="609"/>
      <c r="CZP73" s="609"/>
      <c r="CZQ73" s="609"/>
      <c r="CZR73" s="609"/>
      <c r="CZS73" s="609"/>
      <c r="CZT73" s="609"/>
      <c r="CZU73" s="609"/>
      <c r="CZV73" s="609"/>
      <c r="CZW73" s="609"/>
      <c r="CZX73" s="609"/>
      <c r="CZY73" s="609"/>
      <c r="CZZ73" s="609"/>
      <c r="DAA73" s="609"/>
      <c r="DAB73" s="609"/>
      <c r="DAC73" s="609"/>
      <c r="DAD73" s="609"/>
      <c r="DAE73" s="609"/>
      <c r="DAF73" s="609"/>
      <c r="DAG73" s="609"/>
      <c r="DAH73" s="609"/>
      <c r="DAI73" s="609"/>
      <c r="DAJ73" s="609"/>
      <c r="DAK73" s="609"/>
      <c r="DAL73" s="609"/>
      <c r="DAM73" s="609"/>
      <c r="DAN73" s="609"/>
      <c r="DAO73" s="609"/>
      <c r="DAP73" s="609"/>
      <c r="DAQ73" s="609"/>
      <c r="DAR73" s="609"/>
      <c r="DAS73" s="609"/>
      <c r="DAT73" s="609"/>
      <c r="DAU73" s="609"/>
      <c r="DAV73" s="609"/>
      <c r="DAW73" s="609"/>
      <c r="DAX73" s="609"/>
      <c r="DAY73" s="609"/>
      <c r="DAZ73" s="609"/>
      <c r="DBA73" s="609"/>
      <c r="DBB73" s="609"/>
      <c r="DBC73" s="609"/>
      <c r="DBD73" s="609"/>
      <c r="DBE73" s="609"/>
      <c r="DBF73" s="609"/>
      <c r="DBG73" s="609"/>
      <c r="DBH73" s="609"/>
      <c r="DBI73" s="609"/>
      <c r="DBJ73" s="609"/>
      <c r="DBK73" s="609"/>
      <c r="DBL73" s="609"/>
      <c r="DBM73" s="609"/>
      <c r="DBN73" s="609"/>
      <c r="DBO73" s="609"/>
      <c r="DBP73" s="609"/>
      <c r="DBQ73" s="609"/>
      <c r="DBR73" s="609"/>
      <c r="DBS73" s="609"/>
      <c r="DBT73" s="609"/>
      <c r="DBU73" s="609"/>
      <c r="DBV73" s="609"/>
      <c r="DBW73" s="609"/>
      <c r="DBX73" s="609"/>
      <c r="DBY73" s="609"/>
      <c r="DBZ73" s="609"/>
      <c r="DCA73" s="609"/>
      <c r="DCB73" s="609"/>
      <c r="DCC73" s="609"/>
      <c r="DCD73" s="609"/>
      <c r="DCE73" s="609"/>
      <c r="DCF73" s="609"/>
      <c r="DCG73" s="609"/>
      <c r="DCH73" s="609"/>
      <c r="DCI73" s="609"/>
      <c r="DCJ73" s="609"/>
      <c r="DCK73" s="609"/>
      <c r="DCL73" s="609"/>
      <c r="DCM73" s="609"/>
      <c r="DCN73" s="609"/>
      <c r="DCO73" s="609"/>
      <c r="DCP73" s="609"/>
      <c r="DCQ73" s="609"/>
      <c r="DCR73" s="609"/>
      <c r="DCS73" s="609"/>
      <c r="DCT73" s="609"/>
      <c r="DCU73" s="609"/>
      <c r="DCV73" s="609"/>
      <c r="DCW73" s="609"/>
      <c r="DCX73" s="609"/>
      <c r="DCY73" s="609"/>
      <c r="DCZ73" s="609"/>
      <c r="DDA73" s="609"/>
      <c r="DDB73" s="609"/>
      <c r="DDC73" s="609"/>
      <c r="DDD73" s="609"/>
      <c r="DDE73" s="609"/>
      <c r="DDF73" s="609"/>
      <c r="DDG73" s="609"/>
      <c r="DDH73" s="609"/>
      <c r="DDI73" s="609"/>
      <c r="DDJ73" s="609"/>
      <c r="DDK73" s="609"/>
      <c r="DDL73" s="609"/>
      <c r="DDM73" s="609"/>
      <c r="DDN73" s="609"/>
      <c r="DDO73" s="609"/>
      <c r="DDP73" s="609"/>
      <c r="DDQ73" s="609"/>
      <c r="DDR73" s="609"/>
      <c r="DDS73" s="609"/>
      <c r="DDT73" s="609"/>
      <c r="DDU73" s="609"/>
      <c r="DDV73" s="609"/>
      <c r="DDW73" s="609"/>
      <c r="DDX73" s="609"/>
      <c r="DDY73" s="609"/>
      <c r="DDZ73" s="609"/>
      <c r="DEA73" s="609"/>
      <c r="DEB73" s="609"/>
      <c r="DEC73" s="609"/>
      <c r="DED73" s="609"/>
      <c r="DEE73" s="609"/>
      <c r="DEF73" s="609"/>
      <c r="DEG73" s="609"/>
      <c r="DEH73" s="609"/>
      <c r="DEI73" s="609"/>
      <c r="DEJ73" s="609"/>
      <c r="DEK73" s="609"/>
      <c r="DEL73" s="609"/>
      <c r="DEM73" s="609"/>
      <c r="DEN73" s="609"/>
      <c r="DEO73" s="609"/>
      <c r="DEP73" s="609"/>
      <c r="DEQ73" s="609"/>
      <c r="DER73" s="609"/>
      <c r="DES73" s="609"/>
      <c r="DET73" s="609"/>
      <c r="DEU73" s="609"/>
      <c r="DEV73" s="609"/>
      <c r="DEW73" s="609"/>
      <c r="DEX73" s="609"/>
      <c r="DEY73" s="609"/>
      <c r="DEZ73" s="609"/>
      <c r="DFA73" s="609"/>
      <c r="DFB73" s="609"/>
      <c r="DFC73" s="609"/>
      <c r="DFD73" s="609"/>
      <c r="DFE73" s="609"/>
      <c r="DFF73" s="609"/>
      <c r="DFG73" s="609"/>
      <c r="DFH73" s="609"/>
      <c r="DFI73" s="609"/>
      <c r="DFJ73" s="609"/>
      <c r="DFK73" s="609"/>
      <c r="DFL73" s="609"/>
      <c r="DFM73" s="609"/>
      <c r="DFN73" s="609"/>
      <c r="DFO73" s="609"/>
      <c r="DFP73" s="609"/>
      <c r="DFQ73" s="609"/>
      <c r="DFR73" s="609"/>
      <c r="DFS73" s="609"/>
      <c r="DFT73" s="609"/>
      <c r="DFU73" s="609"/>
      <c r="DFV73" s="609"/>
      <c r="DFW73" s="609"/>
      <c r="DFX73" s="609"/>
      <c r="DFY73" s="609"/>
      <c r="DFZ73" s="609"/>
      <c r="DGA73" s="609"/>
      <c r="DGB73" s="609"/>
      <c r="DGC73" s="609"/>
      <c r="DGD73" s="609"/>
      <c r="DGE73" s="609"/>
      <c r="DGF73" s="609"/>
      <c r="DGG73" s="609"/>
      <c r="DGH73" s="609"/>
      <c r="DGI73" s="609"/>
      <c r="DGJ73" s="609"/>
      <c r="DGK73" s="609"/>
      <c r="DGL73" s="609"/>
      <c r="DGM73" s="609"/>
      <c r="DGN73" s="609"/>
      <c r="DGO73" s="609"/>
      <c r="DGP73" s="609"/>
      <c r="DGQ73" s="609"/>
      <c r="DGR73" s="609"/>
      <c r="DGS73" s="609"/>
      <c r="DGT73" s="609"/>
      <c r="DGU73" s="609"/>
      <c r="DGV73" s="609"/>
      <c r="DGW73" s="609"/>
      <c r="DGX73" s="609"/>
      <c r="DGY73" s="609"/>
      <c r="DGZ73" s="609"/>
      <c r="DHA73" s="609"/>
      <c r="DHB73" s="609"/>
      <c r="DHC73" s="609"/>
      <c r="DHD73" s="609"/>
      <c r="DHE73" s="609"/>
      <c r="DHF73" s="609"/>
      <c r="DHG73" s="609"/>
      <c r="DHH73" s="609"/>
      <c r="DHI73" s="609"/>
      <c r="DHJ73" s="609"/>
      <c r="DHK73" s="609"/>
      <c r="DHL73" s="609"/>
      <c r="DHM73" s="609"/>
      <c r="DHN73" s="609"/>
      <c r="DHO73" s="609"/>
      <c r="DHP73" s="609"/>
      <c r="DHQ73" s="609"/>
      <c r="DHR73" s="609"/>
      <c r="DHS73" s="609"/>
      <c r="DHT73" s="609"/>
      <c r="DHU73" s="609"/>
      <c r="DHV73" s="609"/>
      <c r="DHW73" s="609"/>
      <c r="DHX73" s="609"/>
      <c r="DHY73" s="609"/>
      <c r="DHZ73" s="609"/>
      <c r="DIA73" s="609"/>
      <c r="DIB73" s="609"/>
      <c r="DIC73" s="609"/>
      <c r="DID73" s="609"/>
      <c r="DIE73" s="609"/>
      <c r="DIF73" s="609"/>
      <c r="DIG73" s="609"/>
      <c r="DIH73" s="609"/>
      <c r="DII73" s="609"/>
      <c r="DIJ73" s="609"/>
      <c r="DIK73" s="609"/>
      <c r="DIL73" s="609"/>
      <c r="DIM73" s="609"/>
      <c r="DIN73" s="609"/>
      <c r="DIO73" s="609"/>
      <c r="DIP73" s="609"/>
      <c r="DIQ73" s="609"/>
      <c r="DIR73" s="609"/>
      <c r="DIS73" s="609"/>
      <c r="DIT73" s="609"/>
      <c r="DIU73" s="609"/>
      <c r="DIV73" s="609"/>
      <c r="DIW73" s="609"/>
      <c r="DIX73" s="609"/>
      <c r="DIY73" s="609"/>
      <c r="DIZ73" s="609"/>
      <c r="DJA73" s="609"/>
      <c r="DJB73" s="609"/>
      <c r="DJC73" s="609"/>
      <c r="DJD73" s="609"/>
      <c r="DJE73" s="609"/>
      <c r="DJF73" s="609"/>
      <c r="DJG73" s="609"/>
      <c r="DJH73" s="609"/>
      <c r="DJI73" s="609"/>
      <c r="DJJ73" s="609"/>
      <c r="DJK73" s="609"/>
      <c r="DJL73" s="609"/>
      <c r="DJM73" s="609"/>
      <c r="DJN73" s="609"/>
      <c r="DJO73" s="609"/>
      <c r="DJP73" s="609"/>
      <c r="DJQ73" s="609"/>
      <c r="DJR73" s="609"/>
      <c r="DJS73" s="609"/>
      <c r="DJT73" s="609"/>
      <c r="DJU73" s="609"/>
      <c r="DJV73" s="609"/>
      <c r="DJW73" s="609"/>
      <c r="DJX73" s="609"/>
      <c r="DJY73" s="609"/>
      <c r="DJZ73" s="609"/>
      <c r="DKA73" s="609"/>
      <c r="DKB73" s="609"/>
      <c r="DKC73" s="609"/>
      <c r="DKD73" s="609"/>
      <c r="DKE73" s="609"/>
      <c r="DKF73" s="609"/>
      <c r="DKG73" s="609"/>
      <c r="DKH73" s="609"/>
      <c r="DKI73" s="609"/>
      <c r="DKJ73" s="609"/>
      <c r="DKK73" s="609"/>
      <c r="DKL73" s="609"/>
      <c r="DKM73" s="609"/>
      <c r="DKN73" s="609"/>
      <c r="DKO73" s="609"/>
      <c r="DKP73" s="609"/>
      <c r="DKQ73" s="609"/>
      <c r="DKR73" s="609"/>
      <c r="DKS73" s="609"/>
      <c r="DKT73" s="609"/>
      <c r="DKU73" s="609"/>
      <c r="DKV73" s="609"/>
      <c r="DKW73" s="609"/>
      <c r="DKX73" s="609"/>
      <c r="DKY73" s="609"/>
      <c r="DKZ73" s="609"/>
      <c r="DLA73" s="609"/>
      <c r="DLB73" s="609"/>
      <c r="DLC73" s="609"/>
      <c r="DLD73" s="609"/>
      <c r="DLE73" s="609"/>
      <c r="DLF73" s="609"/>
      <c r="DLG73" s="609"/>
      <c r="DLH73" s="609"/>
      <c r="DLI73" s="609"/>
      <c r="DLJ73" s="609"/>
      <c r="DLK73" s="609"/>
      <c r="DLL73" s="609"/>
      <c r="DLM73" s="609"/>
      <c r="DLN73" s="609"/>
      <c r="DLO73" s="609"/>
      <c r="DLP73" s="609"/>
      <c r="DLQ73" s="609"/>
      <c r="DLR73" s="609"/>
      <c r="DLS73" s="609"/>
      <c r="DLT73" s="609"/>
      <c r="DLU73" s="609"/>
      <c r="DLV73" s="609"/>
      <c r="DLW73" s="609"/>
      <c r="DLX73" s="609"/>
      <c r="DLY73" s="609"/>
      <c r="DLZ73" s="609"/>
      <c r="DMA73" s="609"/>
      <c r="DMB73" s="609"/>
      <c r="DMC73" s="609"/>
      <c r="DMD73" s="609"/>
      <c r="DME73" s="609"/>
      <c r="DMF73" s="609"/>
      <c r="DMG73" s="609"/>
      <c r="DMH73" s="609"/>
      <c r="DMI73" s="609"/>
      <c r="DMJ73" s="609"/>
      <c r="DMK73" s="609"/>
      <c r="DML73" s="609"/>
      <c r="DMM73" s="609"/>
      <c r="DMN73" s="609"/>
      <c r="DMO73" s="609"/>
      <c r="DMP73" s="609"/>
      <c r="DMQ73" s="609"/>
      <c r="DMR73" s="609"/>
      <c r="DMS73" s="609"/>
      <c r="DMT73" s="609"/>
      <c r="DMU73" s="609"/>
      <c r="DMV73" s="609"/>
      <c r="DMW73" s="609"/>
      <c r="DMX73" s="609"/>
      <c r="DMY73" s="609"/>
      <c r="DMZ73" s="609"/>
      <c r="DNA73" s="609"/>
      <c r="DNB73" s="609"/>
      <c r="DNC73" s="609"/>
      <c r="DND73" s="609"/>
      <c r="DNE73" s="609"/>
      <c r="DNF73" s="609"/>
      <c r="DNG73" s="609"/>
      <c r="DNH73" s="609"/>
      <c r="DNI73" s="609"/>
      <c r="DNJ73" s="609"/>
      <c r="DNK73" s="609"/>
      <c r="DNL73" s="609"/>
      <c r="DNM73" s="609"/>
      <c r="DNN73" s="609"/>
      <c r="DNO73" s="609"/>
      <c r="DNP73" s="609"/>
      <c r="DNQ73" s="609"/>
      <c r="DNR73" s="609"/>
      <c r="DNS73" s="609"/>
      <c r="DNT73" s="609"/>
      <c r="DNU73" s="609"/>
      <c r="DNV73" s="609"/>
      <c r="DNW73" s="609"/>
      <c r="DNX73" s="609"/>
      <c r="DNY73" s="609"/>
      <c r="DNZ73" s="609"/>
      <c r="DOA73" s="609"/>
      <c r="DOB73" s="609"/>
      <c r="DOC73" s="609"/>
      <c r="DOD73" s="609"/>
      <c r="DOE73" s="609"/>
      <c r="DOF73" s="609"/>
      <c r="DOG73" s="609"/>
      <c r="DOH73" s="609"/>
      <c r="DOI73" s="609"/>
      <c r="DOJ73" s="609"/>
      <c r="DOK73" s="609"/>
      <c r="DOL73" s="609"/>
      <c r="DOM73" s="609"/>
      <c r="DON73" s="609"/>
      <c r="DOO73" s="609"/>
      <c r="DOP73" s="609"/>
      <c r="DOQ73" s="609"/>
      <c r="DOR73" s="609"/>
      <c r="DOS73" s="609"/>
      <c r="DOT73" s="609"/>
      <c r="DOU73" s="609"/>
      <c r="DOV73" s="609"/>
      <c r="DOW73" s="609"/>
      <c r="DOX73" s="609"/>
      <c r="DOY73" s="609"/>
      <c r="DOZ73" s="609"/>
      <c r="DPA73" s="609"/>
      <c r="DPB73" s="609"/>
      <c r="DPC73" s="609"/>
      <c r="DPD73" s="609"/>
      <c r="DPE73" s="609"/>
      <c r="DPF73" s="609"/>
      <c r="DPG73" s="609"/>
      <c r="DPH73" s="609"/>
      <c r="DPI73" s="609"/>
      <c r="DPJ73" s="609"/>
      <c r="DPK73" s="609"/>
      <c r="DPL73" s="609"/>
      <c r="DPM73" s="609"/>
      <c r="DPN73" s="609"/>
      <c r="DPO73" s="609"/>
      <c r="DPP73" s="609"/>
      <c r="DPQ73" s="609"/>
      <c r="DPR73" s="609"/>
      <c r="DPS73" s="609"/>
      <c r="DPT73" s="609"/>
      <c r="DPU73" s="609"/>
      <c r="DPV73" s="609"/>
      <c r="DPW73" s="609"/>
      <c r="DPX73" s="609"/>
      <c r="DPY73" s="609"/>
      <c r="DPZ73" s="609"/>
      <c r="DQA73" s="609"/>
      <c r="DQB73" s="609"/>
      <c r="DQC73" s="609"/>
      <c r="DQD73" s="609"/>
      <c r="DQE73" s="609"/>
      <c r="DQF73" s="609"/>
      <c r="DQG73" s="609"/>
      <c r="DQH73" s="609"/>
      <c r="DQI73" s="609"/>
      <c r="DQJ73" s="609"/>
      <c r="DQK73" s="609"/>
      <c r="DQL73" s="609"/>
      <c r="DQM73" s="609"/>
      <c r="DQN73" s="609"/>
      <c r="DQO73" s="609"/>
      <c r="DQP73" s="609"/>
      <c r="DQQ73" s="609"/>
      <c r="DQR73" s="609"/>
      <c r="DQS73" s="609"/>
      <c r="DQT73" s="609"/>
      <c r="DQU73" s="609"/>
      <c r="DQV73" s="609"/>
      <c r="DQW73" s="609"/>
      <c r="DQX73" s="609"/>
      <c r="DQY73" s="609"/>
      <c r="DQZ73" s="609"/>
      <c r="DRA73" s="609"/>
      <c r="DRB73" s="609"/>
      <c r="DRC73" s="609"/>
      <c r="DRD73" s="609"/>
      <c r="DRE73" s="609"/>
      <c r="DRF73" s="609"/>
      <c r="DRG73" s="609"/>
      <c r="DRH73" s="609"/>
      <c r="DRI73" s="609"/>
      <c r="DRJ73" s="609"/>
      <c r="DRK73" s="609"/>
      <c r="DRL73" s="609"/>
      <c r="DRM73" s="609"/>
      <c r="DRN73" s="609"/>
      <c r="DRO73" s="609"/>
      <c r="DRP73" s="609"/>
      <c r="DRQ73" s="609"/>
      <c r="DRR73" s="609"/>
      <c r="DRS73" s="609"/>
      <c r="DRT73" s="609"/>
      <c r="DRU73" s="609"/>
      <c r="DRV73" s="609"/>
      <c r="DRW73" s="609"/>
      <c r="DRX73" s="609"/>
      <c r="DRY73" s="609"/>
      <c r="DRZ73" s="609"/>
      <c r="DSA73" s="609"/>
      <c r="DSB73" s="609"/>
      <c r="DSC73" s="609"/>
      <c r="DSD73" s="609"/>
      <c r="DSE73" s="609"/>
      <c r="DSF73" s="609"/>
      <c r="DSG73" s="609"/>
      <c r="DSH73" s="609"/>
      <c r="DSI73" s="609"/>
      <c r="DSJ73" s="609"/>
      <c r="DSK73" s="609"/>
      <c r="DSL73" s="609"/>
      <c r="DSM73" s="609"/>
      <c r="DSN73" s="609"/>
      <c r="DSO73" s="609"/>
      <c r="DSP73" s="609"/>
      <c r="DSQ73" s="609"/>
      <c r="DSR73" s="609"/>
      <c r="DSS73" s="609"/>
      <c r="DST73" s="609"/>
      <c r="DSU73" s="609"/>
      <c r="DSV73" s="609"/>
      <c r="DSW73" s="609"/>
      <c r="DSX73" s="609"/>
      <c r="DSY73" s="609"/>
      <c r="DSZ73" s="609"/>
      <c r="DTA73" s="609"/>
      <c r="DTB73" s="609"/>
      <c r="DTC73" s="609"/>
      <c r="DTD73" s="609"/>
      <c r="DTE73" s="609"/>
      <c r="DTF73" s="609"/>
      <c r="DTG73" s="609"/>
      <c r="DTH73" s="609"/>
      <c r="DTI73" s="609"/>
      <c r="DTJ73" s="609"/>
      <c r="DTK73" s="609"/>
      <c r="DTL73" s="609"/>
      <c r="DTM73" s="609"/>
      <c r="DTN73" s="609"/>
      <c r="DTO73" s="609"/>
      <c r="DTP73" s="609"/>
      <c r="DTQ73" s="609"/>
      <c r="DTR73" s="609"/>
      <c r="DTS73" s="609"/>
      <c r="DTT73" s="609"/>
      <c r="DTU73" s="609"/>
      <c r="DTV73" s="609"/>
      <c r="DTW73" s="609"/>
      <c r="DTX73" s="609"/>
      <c r="DTY73" s="609"/>
      <c r="DTZ73" s="609"/>
      <c r="DUA73" s="609"/>
      <c r="DUB73" s="609"/>
      <c r="DUC73" s="609"/>
      <c r="DUD73" s="609"/>
      <c r="DUE73" s="609"/>
      <c r="DUF73" s="609"/>
      <c r="DUG73" s="609"/>
      <c r="DUH73" s="609"/>
      <c r="DUI73" s="609"/>
      <c r="DUJ73" s="609"/>
      <c r="DUK73" s="609"/>
      <c r="DUL73" s="609"/>
      <c r="DUM73" s="609"/>
      <c r="DUN73" s="609"/>
      <c r="DUO73" s="609"/>
      <c r="DUP73" s="609"/>
      <c r="DUQ73" s="609"/>
      <c r="DUR73" s="609"/>
      <c r="DUS73" s="609"/>
      <c r="DUT73" s="609"/>
      <c r="DUU73" s="609"/>
      <c r="DUV73" s="609"/>
      <c r="DUW73" s="609"/>
      <c r="DUX73" s="609"/>
      <c r="DUY73" s="609"/>
      <c r="DUZ73" s="609"/>
      <c r="DVA73" s="609"/>
      <c r="DVB73" s="609"/>
      <c r="DVC73" s="609"/>
      <c r="DVD73" s="609"/>
      <c r="DVE73" s="609"/>
      <c r="DVF73" s="609"/>
      <c r="DVG73" s="609"/>
      <c r="DVH73" s="609"/>
      <c r="DVI73" s="609"/>
      <c r="DVJ73" s="609"/>
      <c r="DVK73" s="609"/>
      <c r="DVL73" s="609"/>
      <c r="DVM73" s="609"/>
      <c r="DVN73" s="609"/>
      <c r="DVO73" s="609"/>
      <c r="DVP73" s="609"/>
      <c r="DVQ73" s="609"/>
      <c r="DVR73" s="609"/>
      <c r="DVS73" s="609"/>
      <c r="DVT73" s="609"/>
      <c r="DVU73" s="609"/>
      <c r="DVV73" s="609"/>
      <c r="DVW73" s="609"/>
      <c r="DVX73" s="609"/>
      <c r="DVY73" s="609"/>
      <c r="DVZ73" s="609"/>
      <c r="DWA73" s="609"/>
      <c r="DWB73" s="609"/>
      <c r="DWC73" s="609"/>
      <c r="DWD73" s="609"/>
      <c r="DWE73" s="609"/>
      <c r="DWF73" s="609"/>
      <c r="DWG73" s="609"/>
      <c r="DWH73" s="609"/>
      <c r="DWI73" s="609"/>
      <c r="DWJ73" s="609"/>
      <c r="DWK73" s="609"/>
      <c r="DWL73" s="609"/>
      <c r="DWM73" s="609"/>
      <c r="DWN73" s="609"/>
      <c r="DWO73" s="609"/>
      <c r="DWP73" s="609"/>
      <c r="DWQ73" s="609"/>
      <c r="DWR73" s="609"/>
      <c r="DWS73" s="609"/>
      <c r="DWT73" s="609"/>
      <c r="DWU73" s="609"/>
      <c r="DWV73" s="609"/>
      <c r="DWW73" s="609"/>
      <c r="DWX73" s="609"/>
      <c r="DWY73" s="609"/>
      <c r="DWZ73" s="609"/>
      <c r="DXA73" s="609"/>
      <c r="DXB73" s="609"/>
      <c r="DXC73" s="609"/>
      <c r="DXD73" s="609"/>
      <c r="DXE73" s="609"/>
      <c r="DXF73" s="609"/>
      <c r="DXG73" s="609"/>
      <c r="DXH73" s="609"/>
      <c r="DXI73" s="609"/>
      <c r="DXJ73" s="609"/>
      <c r="DXK73" s="609"/>
      <c r="DXL73" s="609"/>
      <c r="DXM73" s="609"/>
      <c r="DXN73" s="609"/>
      <c r="DXO73" s="609"/>
      <c r="DXP73" s="609"/>
      <c r="DXQ73" s="609"/>
      <c r="DXR73" s="609"/>
      <c r="DXS73" s="609"/>
      <c r="DXT73" s="609"/>
      <c r="DXU73" s="609"/>
      <c r="DXV73" s="609"/>
      <c r="DXW73" s="609"/>
      <c r="DXX73" s="609"/>
      <c r="DXY73" s="609"/>
      <c r="DXZ73" s="609"/>
      <c r="DYA73" s="609"/>
      <c r="DYB73" s="609"/>
      <c r="DYC73" s="609"/>
      <c r="DYD73" s="609"/>
      <c r="DYE73" s="609"/>
      <c r="DYF73" s="609"/>
      <c r="DYG73" s="609"/>
      <c r="DYH73" s="609"/>
      <c r="DYI73" s="609"/>
      <c r="DYJ73" s="609"/>
      <c r="DYK73" s="609"/>
      <c r="DYL73" s="609"/>
      <c r="DYM73" s="609"/>
      <c r="DYN73" s="609"/>
      <c r="DYO73" s="609"/>
      <c r="DYP73" s="609"/>
      <c r="DYQ73" s="609"/>
      <c r="DYR73" s="609"/>
      <c r="DYS73" s="609"/>
      <c r="DYT73" s="609"/>
      <c r="DYU73" s="609"/>
      <c r="DYV73" s="609"/>
      <c r="DYW73" s="609"/>
      <c r="DYX73" s="609"/>
      <c r="DYY73" s="609"/>
      <c r="DYZ73" s="609"/>
      <c r="DZA73" s="609"/>
      <c r="DZB73" s="609"/>
      <c r="DZC73" s="609"/>
      <c r="DZD73" s="609"/>
      <c r="DZE73" s="609"/>
      <c r="DZF73" s="609"/>
      <c r="DZG73" s="609"/>
      <c r="DZH73" s="609"/>
      <c r="DZI73" s="609"/>
      <c r="DZJ73" s="609"/>
      <c r="DZK73" s="609"/>
      <c r="DZL73" s="609"/>
      <c r="DZM73" s="609"/>
      <c r="DZN73" s="609"/>
      <c r="DZO73" s="609"/>
      <c r="DZP73" s="609"/>
      <c r="DZQ73" s="609"/>
      <c r="DZR73" s="609"/>
      <c r="DZS73" s="609"/>
      <c r="DZT73" s="609"/>
      <c r="DZU73" s="609"/>
      <c r="DZV73" s="609"/>
      <c r="DZW73" s="609"/>
      <c r="DZX73" s="609"/>
      <c r="DZY73" s="609"/>
      <c r="DZZ73" s="609"/>
      <c r="EAA73" s="609"/>
      <c r="EAB73" s="609"/>
      <c r="EAC73" s="609"/>
      <c r="EAD73" s="609"/>
      <c r="EAE73" s="609"/>
      <c r="EAF73" s="609"/>
      <c r="EAG73" s="609"/>
      <c r="EAH73" s="609"/>
      <c r="EAI73" s="609"/>
      <c r="EAJ73" s="609"/>
      <c r="EAK73" s="609"/>
      <c r="EAL73" s="609"/>
      <c r="EAM73" s="609"/>
      <c r="EAN73" s="609"/>
      <c r="EAO73" s="609"/>
      <c r="EAP73" s="609"/>
      <c r="EAQ73" s="609"/>
      <c r="EAR73" s="609"/>
      <c r="EAS73" s="609"/>
      <c r="EAT73" s="609"/>
      <c r="EAU73" s="609"/>
      <c r="EAV73" s="609"/>
      <c r="EAW73" s="609"/>
      <c r="EAX73" s="609"/>
      <c r="EAY73" s="609"/>
      <c r="EAZ73" s="609"/>
      <c r="EBA73" s="609"/>
      <c r="EBB73" s="609"/>
      <c r="EBC73" s="609"/>
      <c r="EBD73" s="609"/>
      <c r="EBE73" s="609"/>
      <c r="EBF73" s="609"/>
      <c r="EBG73" s="609"/>
      <c r="EBH73" s="609"/>
      <c r="EBI73" s="609"/>
      <c r="EBJ73" s="609"/>
      <c r="EBK73" s="609"/>
      <c r="EBL73" s="609"/>
      <c r="EBM73" s="609"/>
      <c r="EBN73" s="609"/>
      <c r="EBO73" s="609"/>
      <c r="EBP73" s="609"/>
      <c r="EBQ73" s="609"/>
      <c r="EBR73" s="609"/>
      <c r="EBS73" s="609"/>
      <c r="EBT73" s="609"/>
      <c r="EBU73" s="609"/>
      <c r="EBV73" s="609"/>
      <c r="EBW73" s="609"/>
      <c r="EBX73" s="609"/>
      <c r="EBY73" s="609"/>
      <c r="EBZ73" s="609"/>
      <c r="ECA73" s="609"/>
      <c r="ECB73" s="609"/>
      <c r="ECC73" s="609"/>
      <c r="ECD73" s="609"/>
      <c r="ECE73" s="609"/>
      <c r="ECF73" s="609"/>
      <c r="ECG73" s="609"/>
      <c r="ECH73" s="609"/>
      <c r="ECI73" s="609"/>
      <c r="ECJ73" s="609"/>
      <c r="ECK73" s="609"/>
      <c r="ECL73" s="609"/>
      <c r="ECM73" s="609"/>
      <c r="ECN73" s="609"/>
      <c r="ECO73" s="609"/>
      <c r="ECP73" s="609"/>
      <c r="ECQ73" s="609"/>
      <c r="ECR73" s="609"/>
      <c r="ECS73" s="609"/>
      <c r="ECT73" s="609"/>
      <c r="ECU73" s="609"/>
      <c r="ECV73" s="609"/>
      <c r="ECW73" s="609"/>
      <c r="ECX73" s="609"/>
      <c r="ECY73" s="609"/>
      <c r="ECZ73" s="609"/>
      <c r="EDA73" s="609"/>
      <c r="EDB73" s="609"/>
      <c r="EDC73" s="609"/>
      <c r="EDD73" s="609"/>
      <c r="EDE73" s="609"/>
      <c r="EDF73" s="609"/>
      <c r="EDG73" s="609"/>
      <c r="EDH73" s="609"/>
      <c r="EDI73" s="609"/>
      <c r="EDJ73" s="609"/>
      <c r="EDK73" s="609"/>
      <c r="EDL73" s="609"/>
      <c r="EDM73" s="609"/>
      <c r="EDN73" s="609"/>
      <c r="EDO73" s="609"/>
      <c r="EDP73" s="609"/>
      <c r="EDQ73" s="609"/>
      <c r="EDR73" s="609"/>
      <c r="EDS73" s="609"/>
      <c r="EDT73" s="609"/>
      <c r="EDU73" s="609"/>
      <c r="EDV73" s="609"/>
      <c r="EDW73" s="609"/>
      <c r="EDX73" s="609"/>
      <c r="EDY73" s="609"/>
      <c r="EDZ73" s="609"/>
      <c r="EEA73" s="609"/>
      <c r="EEB73" s="609"/>
      <c r="EEC73" s="609"/>
      <c r="EED73" s="609"/>
      <c r="EEE73" s="609"/>
      <c r="EEF73" s="609"/>
      <c r="EEG73" s="609"/>
      <c r="EEH73" s="609"/>
      <c r="EEI73" s="609"/>
      <c r="EEJ73" s="609"/>
      <c r="EEK73" s="609"/>
      <c r="EEL73" s="609"/>
      <c r="EEM73" s="609"/>
      <c r="EEN73" s="609"/>
      <c r="EEO73" s="609"/>
      <c r="EEP73" s="609"/>
      <c r="EEQ73" s="609"/>
      <c r="EER73" s="609"/>
      <c r="EES73" s="609"/>
      <c r="EET73" s="609"/>
      <c r="EEU73" s="609"/>
      <c r="EEV73" s="609"/>
      <c r="EEW73" s="609"/>
      <c r="EEX73" s="609"/>
      <c r="EEY73" s="609"/>
      <c r="EEZ73" s="609"/>
      <c r="EFA73" s="609"/>
      <c r="EFB73" s="609"/>
      <c r="EFC73" s="609"/>
      <c r="EFD73" s="609"/>
      <c r="EFE73" s="609"/>
      <c r="EFF73" s="609"/>
      <c r="EFG73" s="609"/>
      <c r="EFH73" s="609"/>
      <c r="EFI73" s="609"/>
      <c r="EFJ73" s="609"/>
      <c r="EFK73" s="609"/>
      <c r="EFL73" s="609"/>
      <c r="EFM73" s="609"/>
      <c r="EFN73" s="609"/>
      <c r="EFO73" s="609"/>
      <c r="EFP73" s="609"/>
      <c r="EFQ73" s="609"/>
      <c r="EFR73" s="609"/>
      <c r="EFS73" s="609"/>
      <c r="EFT73" s="609"/>
      <c r="EFU73" s="609"/>
      <c r="EFV73" s="609"/>
      <c r="EFW73" s="609"/>
      <c r="EFX73" s="609"/>
      <c r="EFY73" s="609"/>
      <c r="EFZ73" s="609"/>
      <c r="EGA73" s="609"/>
      <c r="EGB73" s="609"/>
      <c r="EGC73" s="609"/>
      <c r="EGD73" s="609"/>
      <c r="EGE73" s="609"/>
      <c r="EGF73" s="609"/>
      <c r="EGG73" s="609"/>
      <c r="EGH73" s="609"/>
      <c r="EGI73" s="609"/>
      <c r="EGJ73" s="609"/>
      <c r="EGK73" s="609"/>
      <c r="EGL73" s="609"/>
      <c r="EGM73" s="609"/>
      <c r="EGN73" s="609"/>
      <c r="EGO73" s="609"/>
      <c r="EGP73" s="609"/>
      <c r="EGQ73" s="609"/>
      <c r="EGR73" s="609"/>
      <c r="EGS73" s="609"/>
      <c r="EGT73" s="609"/>
      <c r="EGU73" s="609"/>
      <c r="EGV73" s="609"/>
      <c r="EGW73" s="609"/>
      <c r="EGX73" s="609"/>
      <c r="EGY73" s="609"/>
      <c r="EGZ73" s="609"/>
      <c r="EHA73" s="609"/>
      <c r="EHB73" s="609"/>
      <c r="EHC73" s="609"/>
      <c r="EHD73" s="609"/>
      <c r="EHE73" s="609"/>
      <c r="EHF73" s="609"/>
      <c r="EHG73" s="609"/>
      <c r="EHH73" s="609"/>
      <c r="EHI73" s="609"/>
      <c r="EHJ73" s="609"/>
      <c r="EHK73" s="609"/>
      <c r="EHL73" s="609"/>
      <c r="EHM73" s="609"/>
      <c r="EHN73" s="609"/>
      <c r="EHO73" s="609"/>
      <c r="EHP73" s="609"/>
      <c r="EHQ73" s="609"/>
      <c r="EHR73" s="609"/>
      <c r="EHS73" s="609"/>
      <c r="EHT73" s="609"/>
      <c r="EHU73" s="609"/>
      <c r="EHV73" s="609"/>
      <c r="EHW73" s="609"/>
      <c r="EHX73" s="609"/>
      <c r="EHY73" s="609"/>
      <c r="EHZ73" s="609"/>
      <c r="EIA73" s="609"/>
      <c r="EIB73" s="609"/>
      <c r="EIC73" s="609"/>
      <c r="EID73" s="609"/>
      <c r="EIE73" s="609"/>
      <c r="EIF73" s="609"/>
      <c r="EIG73" s="609"/>
      <c r="EIH73" s="609"/>
      <c r="EII73" s="609"/>
      <c r="EIJ73" s="609"/>
      <c r="EIK73" s="609"/>
      <c r="EIL73" s="609"/>
      <c r="EIM73" s="609"/>
      <c r="EIN73" s="609"/>
      <c r="EIO73" s="609"/>
      <c r="EIP73" s="609"/>
      <c r="EIQ73" s="609"/>
      <c r="EIR73" s="609"/>
      <c r="EIS73" s="609"/>
      <c r="EIT73" s="609"/>
      <c r="EIU73" s="609"/>
      <c r="EIV73" s="609"/>
      <c r="EIW73" s="609"/>
      <c r="EIX73" s="609"/>
      <c r="EIY73" s="609"/>
      <c r="EIZ73" s="609"/>
      <c r="EJA73" s="609"/>
      <c r="EJB73" s="609"/>
      <c r="EJC73" s="609"/>
      <c r="EJD73" s="609"/>
      <c r="EJE73" s="609"/>
      <c r="EJF73" s="609"/>
      <c r="EJG73" s="609"/>
      <c r="EJH73" s="609"/>
      <c r="EJI73" s="609"/>
      <c r="EJJ73" s="609"/>
      <c r="EJK73" s="609"/>
      <c r="EJL73" s="609"/>
      <c r="EJM73" s="609"/>
      <c r="EJN73" s="609"/>
      <c r="EJO73" s="609"/>
      <c r="EJP73" s="609"/>
      <c r="EJQ73" s="609"/>
      <c r="EJR73" s="609"/>
      <c r="EJS73" s="609"/>
      <c r="EJT73" s="609"/>
      <c r="EJU73" s="609"/>
      <c r="EJV73" s="609"/>
      <c r="EJW73" s="609"/>
      <c r="EJX73" s="609"/>
      <c r="EJY73" s="609"/>
      <c r="EJZ73" s="609"/>
      <c r="EKA73" s="609"/>
      <c r="EKB73" s="609"/>
      <c r="EKC73" s="609"/>
      <c r="EKD73" s="609"/>
      <c r="EKE73" s="609"/>
      <c r="EKF73" s="609"/>
      <c r="EKG73" s="609"/>
      <c r="EKH73" s="609"/>
      <c r="EKI73" s="609"/>
      <c r="EKJ73" s="609"/>
      <c r="EKK73" s="609"/>
      <c r="EKL73" s="609"/>
      <c r="EKM73" s="609"/>
      <c r="EKN73" s="609"/>
      <c r="EKO73" s="609"/>
      <c r="EKP73" s="609"/>
      <c r="EKQ73" s="609"/>
      <c r="EKR73" s="609"/>
      <c r="EKS73" s="609"/>
      <c r="EKT73" s="609"/>
      <c r="EKU73" s="609"/>
      <c r="EKV73" s="609"/>
      <c r="EKW73" s="609"/>
      <c r="EKX73" s="609"/>
      <c r="EKY73" s="609"/>
      <c r="EKZ73" s="609"/>
      <c r="ELA73" s="609"/>
      <c r="ELB73" s="609"/>
      <c r="ELC73" s="609"/>
      <c r="ELD73" s="609"/>
      <c r="ELE73" s="609"/>
      <c r="ELF73" s="609"/>
      <c r="ELG73" s="609"/>
      <c r="ELH73" s="609"/>
      <c r="ELI73" s="609"/>
      <c r="ELJ73" s="609"/>
      <c r="ELK73" s="609"/>
      <c r="ELL73" s="609"/>
      <c r="ELM73" s="609"/>
      <c r="ELN73" s="609"/>
      <c r="ELO73" s="609"/>
      <c r="ELP73" s="609"/>
      <c r="ELQ73" s="609"/>
      <c r="ELR73" s="609"/>
      <c r="ELS73" s="609"/>
      <c r="ELT73" s="609"/>
      <c r="ELU73" s="609"/>
      <c r="ELV73" s="609"/>
      <c r="ELW73" s="609"/>
      <c r="ELX73" s="609"/>
      <c r="ELY73" s="609"/>
      <c r="ELZ73" s="609"/>
      <c r="EMA73" s="609"/>
      <c r="EMB73" s="609"/>
      <c r="EMC73" s="609"/>
      <c r="EMD73" s="609"/>
      <c r="EME73" s="609"/>
      <c r="EMF73" s="609"/>
      <c r="EMG73" s="609"/>
      <c r="EMH73" s="609"/>
      <c r="EMI73" s="609"/>
      <c r="EMJ73" s="609"/>
      <c r="EMK73" s="609"/>
      <c r="EML73" s="609"/>
      <c r="EMM73" s="609"/>
      <c r="EMN73" s="609"/>
      <c r="EMO73" s="609"/>
      <c r="EMP73" s="609"/>
      <c r="EMQ73" s="609"/>
      <c r="EMR73" s="609"/>
      <c r="EMS73" s="609"/>
      <c r="EMT73" s="609"/>
      <c r="EMU73" s="609"/>
      <c r="EMV73" s="609"/>
      <c r="EMW73" s="609"/>
      <c r="EMX73" s="609"/>
      <c r="EMY73" s="609"/>
      <c r="EMZ73" s="609"/>
      <c r="ENA73" s="609"/>
      <c r="ENB73" s="609"/>
      <c r="ENC73" s="609"/>
      <c r="END73" s="609"/>
      <c r="ENE73" s="609"/>
      <c r="ENF73" s="609"/>
      <c r="ENG73" s="609"/>
      <c r="ENH73" s="609"/>
      <c r="ENI73" s="609"/>
      <c r="ENJ73" s="609"/>
      <c r="ENK73" s="609"/>
      <c r="ENL73" s="609"/>
      <c r="ENM73" s="609"/>
      <c r="ENN73" s="609"/>
      <c r="ENO73" s="609"/>
      <c r="ENP73" s="609"/>
      <c r="ENQ73" s="609"/>
      <c r="ENR73" s="609"/>
      <c r="ENS73" s="609"/>
      <c r="ENT73" s="609"/>
      <c r="ENU73" s="609"/>
      <c r="ENV73" s="609"/>
      <c r="ENW73" s="609"/>
      <c r="ENX73" s="609"/>
      <c r="ENY73" s="609"/>
      <c r="ENZ73" s="609"/>
      <c r="EOA73" s="609"/>
      <c r="EOB73" s="609"/>
      <c r="EOC73" s="609"/>
      <c r="EOD73" s="609"/>
      <c r="EOE73" s="609"/>
      <c r="EOF73" s="609"/>
      <c r="EOG73" s="609"/>
      <c r="EOH73" s="609"/>
      <c r="EOI73" s="609"/>
      <c r="EOJ73" s="609"/>
      <c r="EOK73" s="609"/>
      <c r="EOL73" s="609"/>
      <c r="EOM73" s="609"/>
      <c r="EON73" s="609"/>
      <c r="EOO73" s="609"/>
      <c r="EOP73" s="609"/>
      <c r="EOQ73" s="609"/>
      <c r="EOR73" s="609"/>
      <c r="EOS73" s="609"/>
      <c r="EOT73" s="609"/>
      <c r="EOU73" s="609"/>
      <c r="EOV73" s="609"/>
      <c r="EOW73" s="609"/>
      <c r="EOX73" s="609"/>
      <c r="EOY73" s="609"/>
      <c r="EOZ73" s="609"/>
      <c r="EPA73" s="609"/>
      <c r="EPB73" s="609"/>
      <c r="EPC73" s="609"/>
      <c r="EPD73" s="609"/>
      <c r="EPE73" s="609"/>
      <c r="EPF73" s="609"/>
      <c r="EPG73" s="609"/>
      <c r="EPH73" s="609"/>
      <c r="EPI73" s="609"/>
      <c r="EPJ73" s="609"/>
      <c r="EPK73" s="609"/>
      <c r="EPL73" s="609"/>
      <c r="EPM73" s="609"/>
      <c r="EPN73" s="609"/>
      <c r="EPO73" s="609"/>
      <c r="EPP73" s="609"/>
      <c r="EPQ73" s="609"/>
      <c r="EPR73" s="609"/>
      <c r="EPS73" s="609"/>
      <c r="EPT73" s="609"/>
      <c r="EPU73" s="609"/>
      <c r="EPV73" s="609"/>
      <c r="EPW73" s="609"/>
      <c r="EPX73" s="609"/>
      <c r="EPY73" s="609"/>
      <c r="EPZ73" s="609"/>
      <c r="EQA73" s="609"/>
      <c r="EQB73" s="609"/>
      <c r="EQC73" s="609"/>
      <c r="EQD73" s="609"/>
      <c r="EQE73" s="609"/>
      <c r="EQF73" s="609"/>
      <c r="EQG73" s="609"/>
      <c r="EQH73" s="609"/>
      <c r="EQI73" s="609"/>
      <c r="EQJ73" s="609"/>
      <c r="EQK73" s="609"/>
      <c r="EQL73" s="609"/>
      <c r="EQM73" s="609"/>
      <c r="EQN73" s="609"/>
      <c r="EQO73" s="609"/>
      <c r="EQP73" s="609"/>
      <c r="EQQ73" s="609"/>
      <c r="EQR73" s="609"/>
      <c r="EQS73" s="609"/>
      <c r="EQT73" s="609"/>
      <c r="EQU73" s="609"/>
      <c r="EQV73" s="609"/>
      <c r="EQW73" s="609"/>
      <c r="EQX73" s="609"/>
      <c r="EQY73" s="609"/>
      <c r="EQZ73" s="609"/>
      <c r="ERA73" s="609"/>
      <c r="ERB73" s="609"/>
      <c r="ERC73" s="609"/>
      <c r="ERD73" s="609"/>
      <c r="ERE73" s="609"/>
      <c r="ERF73" s="609"/>
      <c r="ERG73" s="609"/>
      <c r="ERH73" s="609"/>
      <c r="ERI73" s="609"/>
      <c r="ERJ73" s="609"/>
      <c r="ERK73" s="609"/>
      <c r="ERL73" s="609"/>
      <c r="ERM73" s="609"/>
      <c r="ERN73" s="609"/>
      <c r="ERO73" s="609"/>
      <c r="ERP73" s="609"/>
      <c r="ERQ73" s="609"/>
      <c r="ERR73" s="609"/>
      <c r="ERS73" s="609"/>
      <c r="ERT73" s="609"/>
      <c r="ERU73" s="609"/>
      <c r="ERV73" s="609"/>
      <c r="ERW73" s="609"/>
      <c r="ERX73" s="609"/>
      <c r="ERY73" s="609"/>
      <c r="ERZ73" s="609"/>
      <c r="ESA73" s="609"/>
      <c r="ESB73" s="609"/>
      <c r="ESC73" s="609"/>
      <c r="ESD73" s="609"/>
      <c r="ESE73" s="609"/>
      <c r="ESF73" s="609"/>
      <c r="ESG73" s="609"/>
      <c r="ESH73" s="609"/>
      <c r="ESI73" s="609"/>
      <c r="ESJ73" s="609"/>
      <c r="ESK73" s="609"/>
      <c r="ESL73" s="609"/>
      <c r="ESM73" s="609"/>
      <c r="ESN73" s="609"/>
      <c r="ESO73" s="609"/>
      <c r="ESP73" s="609"/>
      <c r="ESQ73" s="609"/>
      <c r="ESR73" s="609"/>
      <c r="ESS73" s="609"/>
      <c r="EST73" s="609"/>
      <c r="ESU73" s="609"/>
      <c r="ESV73" s="609"/>
      <c r="ESW73" s="609"/>
      <c r="ESX73" s="609"/>
      <c r="ESY73" s="609"/>
      <c r="ESZ73" s="609"/>
      <c r="ETA73" s="609"/>
      <c r="ETB73" s="609"/>
      <c r="ETC73" s="609"/>
      <c r="ETD73" s="609"/>
      <c r="ETE73" s="609"/>
      <c r="ETF73" s="609"/>
      <c r="ETG73" s="609"/>
      <c r="ETH73" s="609"/>
      <c r="ETI73" s="609"/>
      <c r="ETJ73" s="609"/>
      <c r="ETK73" s="609"/>
      <c r="ETL73" s="609"/>
      <c r="ETM73" s="609"/>
      <c r="ETN73" s="609"/>
      <c r="ETO73" s="609"/>
      <c r="ETP73" s="609"/>
      <c r="ETQ73" s="609"/>
      <c r="ETR73" s="609"/>
      <c r="ETS73" s="609"/>
      <c r="ETT73" s="609"/>
      <c r="ETU73" s="609"/>
      <c r="ETV73" s="609"/>
      <c r="ETW73" s="609"/>
      <c r="ETX73" s="609"/>
      <c r="ETY73" s="609"/>
      <c r="ETZ73" s="609"/>
      <c r="EUA73" s="609"/>
      <c r="EUB73" s="609"/>
      <c r="EUC73" s="609"/>
      <c r="EUD73" s="609"/>
      <c r="EUE73" s="609"/>
      <c r="EUF73" s="609"/>
      <c r="EUG73" s="609"/>
      <c r="EUH73" s="609"/>
      <c r="EUI73" s="609"/>
      <c r="EUJ73" s="609"/>
      <c r="EUK73" s="609"/>
      <c r="EUL73" s="609"/>
      <c r="EUM73" s="609"/>
      <c r="EUN73" s="609"/>
      <c r="EUO73" s="609"/>
      <c r="EUP73" s="609"/>
      <c r="EUQ73" s="609"/>
      <c r="EUR73" s="609"/>
      <c r="EUS73" s="609"/>
      <c r="EUT73" s="609"/>
      <c r="EUU73" s="609"/>
      <c r="EUV73" s="609"/>
      <c r="EUW73" s="609"/>
      <c r="EUX73" s="609"/>
      <c r="EUY73" s="609"/>
      <c r="EUZ73" s="609"/>
      <c r="EVA73" s="609"/>
      <c r="EVB73" s="609"/>
      <c r="EVC73" s="609"/>
      <c r="EVD73" s="609"/>
      <c r="EVE73" s="609"/>
      <c r="EVF73" s="609"/>
      <c r="EVG73" s="609"/>
      <c r="EVH73" s="609"/>
      <c r="EVI73" s="609"/>
      <c r="EVJ73" s="609"/>
      <c r="EVK73" s="609"/>
      <c r="EVL73" s="609"/>
      <c r="EVM73" s="609"/>
      <c r="EVN73" s="609"/>
      <c r="EVO73" s="609"/>
      <c r="EVP73" s="609"/>
      <c r="EVQ73" s="609"/>
      <c r="EVR73" s="609"/>
      <c r="EVS73" s="609"/>
      <c r="EVT73" s="609"/>
      <c r="EVU73" s="609"/>
      <c r="EVV73" s="609"/>
      <c r="EVW73" s="609"/>
      <c r="EVX73" s="609"/>
      <c r="EVY73" s="609"/>
      <c r="EVZ73" s="609"/>
      <c r="EWA73" s="609"/>
      <c r="EWB73" s="609"/>
      <c r="EWC73" s="609"/>
      <c r="EWD73" s="609"/>
      <c r="EWE73" s="609"/>
      <c r="EWF73" s="609"/>
      <c r="EWG73" s="609"/>
      <c r="EWH73" s="609"/>
      <c r="EWI73" s="609"/>
      <c r="EWJ73" s="609"/>
      <c r="EWK73" s="609"/>
      <c r="EWL73" s="609"/>
      <c r="EWM73" s="609"/>
      <c r="EWN73" s="609"/>
      <c r="EWO73" s="609"/>
      <c r="EWP73" s="609"/>
      <c r="EWQ73" s="609"/>
      <c r="EWR73" s="609"/>
      <c r="EWS73" s="609"/>
      <c r="EWT73" s="609"/>
      <c r="EWU73" s="609"/>
      <c r="EWV73" s="609"/>
      <c r="EWW73" s="609"/>
      <c r="EWX73" s="609"/>
      <c r="EWY73" s="609"/>
      <c r="EWZ73" s="609"/>
      <c r="EXA73" s="609"/>
      <c r="EXB73" s="609"/>
      <c r="EXC73" s="609"/>
      <c r="EXD73" s="609"/>
      <c r="EXE73" s="609"/>
      <c r="EXF73" s="609"/>
      <c r="EXG73" s="609"/>
      <c r="EXH73" s="609"/>
      <c r="EXI73" s="609"/>
      <c r="EXJ73" s="609"/>
      <c r="EXK73" s="609"/>
      <c r="EXL73" s="609"/>
      <c r="EXM73" s="609"/>
      <c r="EXN73" s="609"/>
      <c r="EXO73" s="609"/>
      <c r="EXP73" s="609"/>
      <c r="EXQ73" s="609"/>
      <c r="EXR73" s="609"/>
      <c r="EXS73" s="609"/>
      <c r="EXT73" s="609"/>
      <c r="EXU73" s="609"/>
      <c r="EXV73" s="609"/>
      <c r="EXW73" s="609"/>
      <c r="EXX73" s="609"/>
      <c r="EXY73" s="609"/>
      <c r="EXZ73" s="609"/>
      <c r="EYA73" s="609"/>
      <c r="EYB73" s="609"/>
      <c r="EYC73" s="609"/>
      <c r="EYD73" s="609"/>
      <c r="EYE73" s="609"/>
      <c r="EYF73" s="609"/>
      <c r="EYG73" s="609"/>
      <c r="EYH73" s="609"/>
      <c r="EYI73" s="609"/>
      <c r="EYJ73" s="609"/>
      <c r="EYK73" s="609"/>
      <c r="EYL73" s="609"/>
      <c r="EYM73" s="609"/>
      <c r="EYN73" s="609"/>
      <c r="EYO73" s="609"/>
      <c r="EYP73" s="609"/>
      <c r="EYQ73" s="609"/>
      <c r="EYR73" s="609"/>
      <c r="EYS73" s="609"/>
      <c r="EYT73" s="609"/>
      <c r="EYU73" s="609"/>
      <c r="EYV73" s="609"/>
      <c r="EYW73" s="609"/>
      <c r="EYX73" s="609"/>
      <c r="EYY73" s="609"/>
      <c r="EYZ73" s="609"/>
      <c r="EZA73" s="609"/>
      <c r="EZB73" s="609"/>
      <c r="EZC73" s="609"/>
      <c r="EZD73" s="609"/>
      <c r="EZE73" s="609"/>
      <c r="EZF73" s="609"/>
      <c r="EZG73" s="609"/>
      <c r="EZH73" s="609"/>
      <c r="EZI73" s="609"/>
      <c r="EZJ73" s="609"/>
      <c r="EZK73" s="609"/>
      <c r="EZL73" s="609"/>
      <c r="EZM73" s="609"/>
      <c r="EZN73" s="609"/>
      <c r="EZO73" s="609"/>
      <c r="EZP73" s="609"/>
      <c r="EZQ73" s="609"/>
      <c r="EZR73" s="609"/>
      <c r="EZS73" s="609"/>
      <c r="EZT73" s="609"/>
      <c r="EZU73" s="609"/>
      <c r="EZV73" s="609"/>
      <c r="EZW73" s="609"/>
      <c r="EZX73" s="609"/>
      <c r="EZY73" s="609"/>
      <c r="EZZ73" s="609"/>
      <c r="FAA73" s="609"/>
      <c r="FAB73" s="609"/>
      <c r="FAC73" s="609"/>
      <c r="FAD73" s="609"/>
      <c r="FAE73" s="609"/>
      <c r="FAF73" s="609"/>
      <c r="FAG73" s="609"/>
      <c r="FAH73" s="609"/>
      <c r="FAI73" s="609"/>
      <c r="FAJ73" s="609"/>
      <c r="FAK73" s="609"/>
      <c r="FAL73" s="609"/>
      <c r="FAM73" s="609"/>
      <c r="FAN73" s="609"/>
      <c r="FAO73" s="609"/>
      <c r="FAP73" s="609"/>
      <c r="FAQ73" s="609"/>
      <c r="FAR73" s="609"/>
      <c r="FAS73" s="609"/>
      <c r="FAT73" s="609"/>
      <c r="FAU73" s="609"/>
      <c r="FAV73" s="609"/>
      <c r="FAW73" s="609"/>
      <c r="FAX73" s="609"/>
      <c r="FAY73" s="609"/>
      <c r="FAZ73" s="609"/>
      <c r="FBA73" s="609"/>
      <c r="FBB73" s="609"/>
      <c r="FBC73" s="609"/>
      <c r="FBD73" s="609"/>
      <c r="FBE73" s="609"/>
      <c r="FBF73" s="609"/>
      <c r="FBG73" s="609"/>
      <c r="FBH73" s="609"/>
      <c r="FBI73" s="609"/>
      <c r="FBJ73" s="609"/>
      <c r="FBK73" s="609"/>
      <c r="FBL73" s="609"/>
      <c r="FBM73" s="609"/>
      <c r="FBN73" s="609"/>
      <c r="FBO73" s="609"/>
      <c r="FBP73" s="609"/>
      <c r="FBQ73" s="609"/>
      <c r="FBR73" s="609"/>
      <c r="FBS73" s="609"/>
      <c r="FBT73" s="609"/>
      <c r="FBU73" s="609"/>
      <c r="FBV73" s="609"/>
      <c r="FBW73" s="609"/>
      <c r="FBX73" s="609"/>
      <c r="FBY73" s="609"/>
      <c r="FBZ73" s="609"/>
      <c r="FCA73" s="609"/>
      <c r="FCB73" s="609"/>
      <c r="FCC73" s="609"/>
      <c r="FCD73" s="609"/>
      <c r="FCE73" s="609"/>
      <c r="FCF73" s="609"/>
      <c r="FCG73" s="609"/>
      <c r="FCH73" s="609"/>
      <c r="FCI73" s="609"/>
      <c r="FCJ73" s="609"/>
      <c r="FCK73" s="609"/>
      <c r="FCL73" s="609"/>
      <c r="FCM73" s="609"/>
      <c r="FCN73" s="609"/>
      <c r="FCO73" s="609"/>
      <c r="FCP73" s="609"/>
      <c r="FCQ73" s="609"/>
      <c r="FCR73" s="609"/>
      <c r="FCS73" s="609"/>
      <c r="FCT73" s="609"/>
      <c r="FCU73" s="609"/>
      <c r="FCV73" s="609"/>
      <c r="FCW73" s="609"/>
      <c r="FCX73" s="609"/>
      <c r="FCY73" s="609"/>
      <c r="FCZ73" s="609"/>
      <c r="FDA73" s="609"/>
      <c r="FDB73" s="609"/>
      <c r="FDC73" s="609"/>
      <c r="FDD73" s="609"/>
      <c r="FDE73" s="609"/>
      <c r="FDF73" s="609"/>
      <c r="FDG73" s="609"/>
      <c r="FDH73" s="609"/>
      <c r="FDI73" s="609"/>
      <c r="FDJ73" s="609"/>
      <c r="FDK73" s="609"/>
      <c r="FDL73" s="609"/>
      <c r="FDM73" s="609"/>
      <c r="FDN73" s="609"/>
      <c r="FDO73" s="609"/>
      <c r="FDP73" s="609"/>
      <c r="FDQ73" s="609"/>
      <c r="FDR73" s="609"/>
      <c r="FDS73" s="609"/>
      <c r="FDT73" s="609"/>
      <c r="FDU73" s="609"/>
      <c r="FDV73" s="609"/>
      <c r="FDW73" s="609"/>
      <c r="FDX73" s="609"/>
      <c r="FDY73" s="609"/>
      <c r="FDZ73" s="609"/>
      <c r="FEA73" s="609"/>
      <c r="FEB73" s="609"/>
      <c r="FEC73" s="609"/>
      <c r="FED73" s="609"/>
      <c r="FEE73" s="609"/>
      <c r="FEF73" s="609"/>
      <c r="FEG73" s="609"/>
      <c r="FEH73" s="609"/>
      <c r="FEI73" s="609"/>
      <c r="FEJ73" s="609"/>
      <c r="FEK73" s="609"/>
      <c r="FEL73" s="609"/>
      <c r="FEM73" s="609"/>
      <c r="FEN73" s="609"/>
      <c r="FEO73" s="609"/>
      <c r="FEP73" s="609"/>
      <c r="FEQ73" s="609"/>
      <c r="FER73" s="609"/>
      <c r="FES73" s="609"/>
      <c r="FET73" s="609"/>
      <c r="FEU73" s="609"/>
      <c r="FEV73" s="609"/>
      <c r="FEW73" s="609"/>
      <c r="FEX73" s="609"/>
      <c r="FEY73" s="609"/>
      <c r="FEZ73" s="609"/>
      <c r="FFA73" s="609"/>
      <c r="FFB73" s="609"/>
      <c r="FFC73" s="609"/>
      <c r="FFD73" s="609"/>
      <c r="FFE73" s="609"/>
      <c r="FFF73" s="609"/>
      <c r="FFG73" s="609"/>
      <c r="FFH73" s="609"/>
      <c r="FFI73" s="609"/>
      <c r="FFJ73" s="609"/>
      <c r="FFK73" s="609"/>
      <c r="FFL73" s="609"/>
      <c r="FFM73" s="609"/>
      <c r="FFN73" s="609"/>
      <c r="FFO73" s="609"/>
      <c r="FFP73" s="609"/>
      <c r="FFQ73" s="609"/>
      <c r="FFR73" s="609"/>
      <c r="FFS73" s="609"/>
      <c r="FFT73" s="609"/>
      <c r="FFU73" s="609"/>
      <c r="FFV73" s="609"/>
      <c r="FFW73" s="609"/>
      <c r="FFX73" s="609"/>
      <c r="FFY73" s="609"/>
      <c r="FFZ73" s="609"/>
      <c r="FGA73" s="609"/>
      <c r="FGB73" s="609"/>
      <c r="FGC73" s="609"/>
      <c r="FGD73" s="609"/>
      <c r="FGE73" s="609"/>
      <c r="FGF73" s="609"/>
      <c r="FGG73" s="609"/>
      <c r="FGH73" s="609"/>
      <c r="FGI73" s="609"/>
      <c r="FGJ73" s="609"/>
      <c r="FGK73" s="609"/>
      <c r="FGL73" s="609"/>
      <c r="FGM73" s="609"/>
      <c r="FGN73" s="609"/>
      <c r="FGO73" s="609"/>
      <c r="FGP73" s="609"/>
      <c r="FGQ73" s="609"/>
      <c r="FGR73" s="609"/>
      <c r="FGS73" s="609"/>
      <c r="FGT73" s="609"/>
      <c r="FGU73" s="609"/>
      <c r="FGV73" s="609"/>
      <c r="FGW73" s="609"/>
      <c r="FGX73" s="609"/>
      <c r="FGY73" s="609"/>
      <c r="FGZ73" s="609"/>
      <c r="FHA73" s="609"/>
      <c r="FHB73" s="609"/>
      <c r="FHC73" s="609"/>
      <c r="FHD73" s="609"/>
      <c r="FHE73" s="609"/>
      <c r="FHF73" s="609"/>
      <c r="FHG73" s="609"/>
      <c r="FHH73" s="609"/>
      <c r="FHI73" s="609"/>
      <c r="FHJ73" s="609"/>
      <c r="FHK73" s="609"/>
      <c r="FHL73" s="609"/>
      <c r="FHM73" s="609"/>
      <c r="FHN73" s="609"/>
      <c r="FHO73" s="609"/>
      <c r="FHP73" s="609"/>
      <c r="FHQ73" s="609"/>
      <c r="FHR73" s="609"/>
      <c r="FHS73" s="609"/>
      <c r="FHT73" s="609"/>
      <c r="FHU73" s="609"/>
      <c r="FHV73" s="609"/>
      <c r="FHW73" s="609"/>
      <c r="FHX73" s="609"/>
      <c r="FHY73" s="609"/>
      <c r="FHZ73" s="609"/>
      <c r="FIA73" s="609"/>
      <c r="FIB73" s="609"/>
      <c r="FIC73" s="609"/>
      <c r="FID73" s="609"/>
      <c r="FIE73" s="609"/>
      <c r="FIF73" s="609"/>
      <c r="FIG73" s="609"/>
      <c r="FIH73" s="609"/>
      <c r="FII73" s="609"/>
      <c r="FIJ73" s="609"/>
      <c r="FIK73" s="609"/>
      <c r="FIL73" s="609"/>
      <c r="FIM73" s="609"/>
      <c r="FIN73" s="609"/>
      <c r="FIO73" s="609"/>
      <c r="FIP73" s="609"/>
      <c r="FIQ73" s="609"/>
      <c r="FIR73" s="609"/>
      <c r="FIS73" s="609"/>
      <c r="FIT73" s="609"/>
      <c r="FIU73" s="609"/>
      <c r="FIV73" s="609"/>
      <c r="FIW73" s="609"/>
      <c r="FIX73" s="609"/>
      <c r="FIY73" s="609"/>
      <c r="FIZ73" s="609"/>
      <c r="FJA73" s="609"/>
      <c r="FJB73" s="609"/>
      <c r="FJC73" s="609"/>
      <c r="FJD73" s="609"/>
      <c r="FJE73" s="609"/>
      <c r="FJF73" s="609"/>
      <c r="FJG73" s="609"/>
      <c r="FJH73" s="609"/>
      <c r="FJI73" s="609"/>
      <c r="FJJ73" s="609"/>
      <c r="FJK73" s="609"/>
      <c r="FJL73" s="609"/>
      <c r="FJM73" s="609"/>
      <c r="FJN73" s="609"/>
      <c r="FJO73" s="609"/>
      <c r="FJP73" s="609"/>
      <c r="FJQ73" s="609"/>
      <c r="FJR73" s="609"/>
      <c r="FJS73" s="609"/>
      <c r="FJT73" s="609"/>
      <c r="FJU73" s="609"/>
      <c r="FJV73" s="609"/>
      <c r="FJW73" s="609"/>
      <c r="FJX73" s="609"/>
      <c r="FJY73" s="609"/>
      <c r="FJZ73" s="609"/>
      <c r="FKA73" s="609"/>
      <c r="FKB73" s="609"/>
      <c r="FKC73" s="609"/>
      <c r="FKD73" s="609"/>
      <c r="FKE73" s="609"/>
      <c r="FKF73" s="609"/>
      <c r="FKG73" s="609"/>
      <c r="FKH73" s="609"/>
      <c r="FKI73" s="609"/>
      <c r="FKJ73" s="609"/>
      <c r="FKK73" s="609"/>
      <c r="FKL73" s="609"/>
      <c r="FKM73" s="609"/>
      <c r="FKN73" s="609"/>
      <c r="FKO73" s="609"/>
      <c r="FKP73" s="609"/>
      <c r="FKQ73" s="609"/>
      <c r="FKR73" s="609"/>
      <c r="FKS73" s="609"/>
      <c r="FKT73" s="609"/>
      <c r="FKU73" s="609"/>
      <c r="FKV73" s="609"/>
      <c r="FKW73" s="609"/>
      <c r="FKX73" s="609"/>
      <c r="FKY73" s="609"/>
      <c r="FKZ73" s="609"/>
      <c r="FLA73" s="609"/>
      <c r="FLB73" s="609"/>
      <c r="FLC73" s="609"/>
      <c r="FLD73" s="609"/>
      <c r="FLE73" s="609"/>
      <c r="FLF73" s="609"/>
      <c r="FLG73" s="609"/>
      <c r="FLH73" s="609"/>
      <c r="FLI73" s="609"/>
      <c r="FLJ73" s="609"/>
      <c r="FLK73" s="609"/>
      <c r="FLL73" s="609"/>
      <c r="FLM73" s="609"/>
      <c r="FLN73" s="609"/>
      <c r="FLO73" s="609"/>
      <c r="FLP73" s="609"/>
      <c r="FLQ73" s="609"/>
      <c r="FLR73" s="609"/>
      <c r="FLS73" s="609"/>
      <c r="FLT73" s="609"/>
      <c r="FLU73" s="609"/>
      <c r="FLV73" s="609"/>
      <c r="FLW73" s="609"/>
      <c r="FLX73" s="609"/>
      <c r="FLY73" s="609"/>
      <c r="FLZ73" s="609"/>
      <c r="FMA73" s="609"/>
      <c r="FMB73" s="609"/>
      <c r="FMC73" s="609"/>
      <c r="FMD73" s="609"/>
      <c r="FME73" s="609"/>
      <c r="FMF73" s="609"/>
      <c r="FMG73" s="609"/>
      <c r="FMH73" s="609"/>
      <c r="FMI73" s="609"/>
      <c r="FMJ73" s="609"/>
      <c r="FMK73" s="609"/>
      <c r="FML73" s="609"/>
      <c r="FMM73" s="609"/>
      <c r="FMN73" s="609"/>
      <c r="FMO73" s="609"/>
      <c r="FMP73" s="609"/>
      <c r="FMQ73" s="609"/>
      <c r="FMR73" s="609"/>
      <c r="FMS73" s="609"/>
      <c r="FMT73" s="609"/>
      <c r="FMU73" s="609"/>
      <c r="FMV73" s="609"/>
      <c r="FMW73" s="609"/>
      <c r="FMX73" s="609"/>
      <c r="FMY73" s="609"/>
      <c r="FMZ73" s="609"/>
      <c r="FNA73" s="609"/>
      <c r="FNB73" s="609"/>
      <c r="FNC73" s="609"/>
      <c r="FND73" s="609"/>
      <c r="FNE73" s="609"/>
      <c r="FNF73" s="609"/>
      <c r="FNG73" s="609"/>
      <c r="FNH73" s="609"/>
      <c r="FNI73" s="609"/>
      <c r="FNJ73" s="609"/>
      <c r="FNK73" s="609"/>
      <c r="FNL73" s="609"/>
      <c r="FNM73" s="609"/>
      <c r="FNN73" s="609"/>
      <c r="FNO73" s="609"/>
      <c r="FNP73" s="609"/>
      <c r="FNQ73" s="609"/>
      <c r="FNR73" s="609"/>
      <c r="FNS73" s="609"/>
      <c r="FNT73" s="609"/>
      <c r="FNU73" s="609"/>
      <c r="FNV73" s="609"/>
      <c r="FNW73" s="609"/>
      <c r="FNX73" s="609"/>
      <c r="FNY73" s="609"/>
      <c r="FNZ73" s="609"/>
      <c r="FOA73" s="609"/>
      <c r="FOB73" s="609"/>
      <c r="FOC73" s="609"/>
      <c r="FOD73" s="609"/>
      <c r="FOE73" s="609"/>
      <c r="FOF73" s="609"/>
      <c r="FOG73" s="609"/>
      <c r="FOH73" s="609"/>
      <c r="FOI73" s="609"/>
      <c r="FOJ73" s="609"/>
      <c r="FOK73" s="609"/>
      <c r="FOL73" s="609"/>
      <c r="FOM73" s="609"/>
      <c r="FON73" s="609"/>
      <c r="FOO73" s="609"/>
      <c r="FOP73" s="609"/>
      <c r="FOQ73" s="609"/>
      <c r="FOR73" s="609"/>
      <c r="FOS73" s="609"/>
      <c r="FOT73" s="609"/>
      <c r="FOU73" s="609"/>
      <c r="FOV73" s="609"/>
      <c r="FOW73" s="609"/>
      <c r="FOX73" s="609"/>
      <c r="FOY73" s="609"/>
      <c r="FOZ73" s="609"/>
      <c r="FPA73" s="609"/>
      <c r="FPB73" s="609"/>
      <c r="FPC73" s="609"/>
      <c r="FPD73" s="609"/>
      <c r="FPE73" s="609"/>
      <c r="FPF73" s="609"/>
      <c r="FPG73" s="609"/>
      <c r="FPH73" s="609"/>
      <c r="FPI73" s="609"/>
      <c r="FPJ73" s="609"/>
      <c r="FPK73" s="609"/>
      <c r="FPL73" s="609"/>
      <c r="FPM73" s="609"/>
      <c r="FPN73" s="609"/>
      <c r="FPO73" s="609"/>
      <c r="FPP73" s="609"/>
      <c r="FPQ73" s="609"/>
      <c r="FPR73" s="609"/>
      <c r="FPS73" s="609"/>
      <c r="FPT73" s="609"/>
      <c r="FPU73" s="609"/>
      <c r="FPV73" s="609"/>
      <c r="FPW73" s="609"/>
      <c r="FPX73" s="609"/>
      <c r="FPY73" s="609"/>
      <c r="FPZ73" s="609"/>
      <c r="FQA73" s="609"/>
      <c r="FQB73" s="609"/>
      <c r="FQC73" s="609"/>
      <c r="FQD73" s="609"/>
      <c r="FQE73" s="609"/>
      <c r="FQF73" s="609"/>
      <c r="FQG73" s="609"/>
      <c r="FQH73" s="609"/>
      <c r="FQI73" s="609"/>
      <c r="FQJ73" s="609"/>
      <c r="FQK73" s="609"/>
      <c r="FQL73" s="609"/>
      <c r="FQM73" s="609"/>
      <c r="FQN73" s="609"/>
      <c r="FQO73" s="609"/>
      <c r="FQP73" s="609"/>
      <c r="FQQ73" s="609"/>
      <c r="FQR73" s="609"/>
      <c r="FQS73" s="609"/>
      <c r="FQT73" s="609"/>
      <c r="FQU73" s="609"/>
      <c r="FQV73" s="609"/>
      <c r="FQW73" s="609"/>
      <c r="FQX73" s="609"/>
      <c r="FQY73" s="609"/>
      <c r="FQZ73" s="609"/>
      <c r="FRA73" s="609"/>
      <c r="FRB73" s="609"/>
      <c r="FRC73" s="609"/>
      <c r="FRD73" s="609"/>
      <c r="FRE73" s="609"/>
      <c r="FRF73" s="609"/>
      <c r="FRG73" s="609"/>
      <c r="FRH73" s="609"/>
      <c r="FRI73" s="609"/>
      <c r="FRJ73" s="609"/>
      <c r="FRK73" s="609"/>
      <c r="FRL73" s="609"/>
      <c r="FRM73" s="609"/>
      <c r="FRN73" s="609"/>
      <c r="FRO73" s="609"/>
      <c r="FRP73" s="609"/>
      <c r="FRQ73" s="609"/>
      <c r="FRR73" s="609"/>
      <c r="FRS73" s="609"/>
      <c r="FRT73" s="609"/>
      <c r="FRU73" s="609"/>
      <c r="FRV73" s="609"/>
      <c r="FRW73" s="609"/>
      <c r="FRX73" s="609"/>
      <c r="FRY73" s="609"/>
      <c r="FRZ73" s="609"/>
      <c r="FSA73" s="609"/>
      <c r="FSB73" s="609"/>
      <c r="FSC73" s="609"/>
      <c r="FSD73" s="609"/>
      <c r="FSE73" s="609"/>
      <c r="FSF73" s="609"/>
      <c r="FSG73" s="609"/>
      <c r="FSH73" s="609"/>
      <c r="FSI73" s="609"/>
      <c r="FSJ73" s="609"/>
      <c r="FSK73" s="609"/>
      <c r="FSL73" s="609"/>
      <c r="FSM73" s="609"/>
      <c r="FSN73" s="609"/>
      <c r="FSO73" s="609"/>
      <c r="FSP73" s="609"/>
      <c r="FSQ73" s="609"/>
      <c r="FSR73" s="609"/>
      <c r="FSS73" s="609"/>
      <c r="FST73" s="609"/>
      <c r="FSU73" s="609"/>
      <c r="FSV73" s="609"/>
      <c r="FSW73" s="609"/>
      <c r="FSX73" s="609"/>
      <c r="FSY73" s="609"/>
      <c r="FSZ73" s="609"/>
      <c r="FTA73" s="609"/>
      <c r="FTB73" s="609"/>
      <c r="FTC73" s="609"/>
      <c r="FTD73" s="609"/>
      <c r="FTE73" s="609"/>
      <c r="FTF73" s="609"/>
      <c r="FTG73" s="609"/>
      <c r="FTH73" s="609"/>
      <c r="FTI73" s="609"/>
      <c r="FTJ73" s="609"/>
      <c r="FTK73" s="609"/>
      <c r="FTL73" s="609"/>
      <c r="FTM73" s="609"/>
      <c r="FTN73" s="609"/>
      <c r="FTO73" s="609"/>
      <c r="FTP73" s="609"/>
      <c r="FTQ73" s="609"/>
      <c r="FTR73" s="609"/>
      <c r="FTS73" s="609"/>
      <c r="FTT73" s="609"/>
      <c r="FTU73" s="609"/>
      <c r="FTV73" s="609"/>
      <c r="FTW73" s="609"/>
      <c r="FTX73" s="609"/>
      <c r="FTY73" s="609"/>
      <c r="FTZ73" s="609"/>
      <c r="FUA73" s="609"/>
      <c r="FUB73" s="609"/>
      <c r="FUC73" s="609"/>
      <c r="FUD73" s="609"/>
      <c r="FUE73" s="609"/>
      <c r="FUF73" s="609"/>
      <c r="FUG73" s="609"/>
      <c r="FUH73" s="609"/>
      <c r="FUI73" s="609"/>
      <c r="FUJ73" s="609"/>
      <c r="FUK73" s="609"/>
      <c r="FUL73" s="609"/>
      <c r="FUM73" s="609"/>
      <c r="FUN73" s="609"/>
      <c r="FUO73" s="609"/>
      <c r="FUP73" s="609"/>
      <c r="FUQ73" s="609"/>
      <c r="FUR73" s="609"/>
      <c r="FUS73" s="609"/>
      <c r="FUT73" s="609"/>
      <c r="FUU73" s="609"/>
      <c r="FUV73" s="609"/>
      <c r="FUW73" s="609"/>
      <c r="FUX73" s="609"/>
      <c r="FUY73" s="609"/>
      <c r="FUZ73" s="609"/>
      <c r="FVA73" s="609"/>
      <c r="FVB73" s="609"/>
      <c r="FVC73" s="609"/>
      <c r="FVD73" s="609"/>
      <c r="FVE73" s="609"/>
      <c r="FVF73" s="609"/>
      <c r="FVG73" s="609"/>
      <c r="FVH73" s="609"/>
      <c r="FVI73" s="609"/>
      <c r="FVJ73" s="609"/>
      <c r="FVK73" s="609"/>
      <c r="FVL73" s="609"/>
      <c r="FVM73" s="609"/>
      <c r="FVN73" s="609"/>
      <c r="FVO73" s="609"/>
      <c r="FVP73" s="609"/>
      <c r="FVQ73" s="609"/>
      <c r="FVR73" s="609"/>
      <c r="FVS73" s="609"/>
      <c r="FVT73" s="609"/>
      <c r="FVU73" s="609"/>
      <c r="FVV73" s="609"/>
      <c r="FVW73" s="609"/>
      <c r="FVX73" s="609"/>
      <c r="FVY73" s="609"/>
      <c r="FVZ73" s="609"/>
      <c r="FWA73" s="609"/>
      <c r="FWB73" s="609"/>
      <c r="FWC73" s="609"/>
      <c r="FWD73" s="609"/>
      <c r="FWE73" s="609"/>
      <c r="FWF73" s="609"/>
      <c r="FWG73" s="609"/>
      <c r="FWH73" s="609"/>
      <c r="FWI73" s="609"/>
      <c r="FWJ73" s="609"/>
      <c r="FWK73" s="609"/>
      <c r="FWL73" s="609"/>
      <c r="FWM73" s="609"/>
      <c r="FWN73" s="609"/>
      <c r="FWO73" s="609"/>
      <c r="FWP73" s="609"/>
      <c r="FWQ73" s="609"/>
      <c r="FWR73" s="609"/>
      <c r="FWS73" s="609"/>
      <c r="FWT73" s="609"/>
      <c r="FWU73" s="609"/>
      <c r="FWV73" s="609"/>
      <c r="FWW73" s="609"/>
      <c r="FWX73" s="609"/>
      <c r="FWY73" s="609"/>
      <c r="FWZ73" s="609"/>
      <c r="FXA73" s="609"/>
      <c r="FXB73" s="609"/>
      <c r="FXC73" s="609"/>
      <c r="FXD73" s="609"/>
      <c r="FXE73" s="609"/>
      <c r="FXF73" s="609"/>
      <c r="FXG73" s="609"/>
      <c r="FXH73" s="609"/>
      <c r="FXI73" s="609"/>
      <c r="FXJ73" s="609"/>
      <c r="FXK73" s="609"/>
      <c r="FXL73" s="609"/>
      <c r="FXM73" s="609"/>
      <c r="FXN73" s="609"/>
      <c r="FXO73" s="609"/>
      <c r="FXP73" s="609"/>
      <c r="FXQ73" s="609"/>
      <c r="FXR73" s="609"/>
      <c r="FXS73" s="609"/>
      <c r="FXT73" s="609"/>
      <c r="FXU73" s="609"/>
      <c r="FXV73" s="609"/>
      <c r="FXW73" s="609"/>
      <c r="FXX73" s="609"/>
      <c r="FXY73" s="609"/>
      <c r="FXZ73" s="609"/>
      <c r="FYA73" s="609"/>
      <c r="FYB73" s="609"/>
      <c r="FYC73" s="609"/>
      <c r="FYD73" s="609"/>
      <c r="FYE73" s="609"/>
      <c r="FYF73" s="609"/>
      <c r="FYG73" s="609"/>
      <c r="FYH73" s="609"/>
      <c r="FYI73" s="609"/>
      <c r="FYJ73" s="609"/>
      <c r="FYK73" s="609"/>
      <c r="FYL73" s="609"/>
      <c r="FYM73" s="609"/>
      <c r="FYN73" s="609"/>
      <c r="FYO73" s="609"/>
      <c r="FYP73" s="609"/>
      <c r="FYQ73" s="609"/>
      <c r="FYR73" s="609"/>
      <c r="FYS73" s="609"/>
      <c r="FYT73" s="609"/>
      <c r="FYU73" s="609"/>
      <c r="FYV73" s="609"/>
      <c r="FYW73" s="609"/>
      <c r="FYX73" s="609"/>
      <c r="FYY73" s="609"/>
      <c r="FYZ73" s="609"/>
      <c r="FZA73" s="609"/>
      <c r="FZB73" s="609"/>
      <c r="FZC73" s="609"/>
      <c r="FZD73" s="609"/>
      <c r="FZE73" s="609"/>
      <c r="FZF73" s="609"/>
      <c r="FZG73" s="609"/>
      <c r="FZH73" s="609"/>
      <c r="FZI73" s="609"/>
      <c r="FZJ73" s="609"/>
      <c r="FZK73" s="609"/>
      <c r="FZL73" s="609"/>
      <c r="FZM73" s="609"/>
      <c r="FZN73" s="609"/>
      <c r="FZO73" s="609"/>
      <c r="FZP73" s="609"/>
      <c r="FZQ73" s="609"/>
      <c r="FZR73" s="609"/>
      <c r="FZS73" s="609"/>
      <c r="FZT73" s="609"/>
      <c r="FZU73" s="609"/>
      <c r="FZV73" s="609"/>
      <c r="FZW73" s="609"/>
      <c r="FZX73" s="609"/>
      <c r="FZY73" s="609"/>
      <c r="FZZ73" s="609"/>
      <c r="GAA73" s="609"/>
      <c r="GAB73" s="609"/>
      <c r="GAC73" s="609"/>
      <c r="GAD73" s="609"/>
      <c r="GAE73" s="609"/>
      <c r="GAF73" s="609"/>
      <c r="GAG73" s="609"/>
      <c r="GAH73" s="609"/>
      <c r="GAI73" s="609"/>
      <c r="GAJ73" s="609"/>
      <c r="GAK73" s="609"/>
      <c r="GAL73" s="609"/>
      <c r="GAM73" s="609"/>
      <c r="GAN73" s="609"/>
      <c r="GAO73" s="609"/>
      <c r="GAP73" s="609"/>
      <c r="GAQ73" s="609"/>
      <c r="GAR73" s="609"/>
      <c r="GAS73" s="609"/>
      <c r="GAT73" s="609"/>
      <c r="GAU73" s="609"/>
      <c r="GAV73" s="609"/>
      <c r="GAW73" s="609"/>
      <c r="GAX73" s="609"/>
      <c r="GAY73" s="609"/>
      <c r="GAZ73" s="609"/>
      <c r="GBA73" s="609"/>
      <c r="GBB73" s="609"/>
      <c r="GBC73" s="609"/>
      <c r="GBD73" s="609"/>
      <c r="GBE73" s="609"/>
      <c r="GBF73" s="609"/>
      <c r="GBG73" s="609"/>
      <c r="GBH73" s="609"/>
      <c r="GBI73" s="609"/>
      <c r="GBJ73" s="609"/>
      <c r="GBK73" s="609"/>
      <c r="GBL73" s="609"/>
      <c r="GBM73" s="609"/>
      <c r="GBN73" s="609"/>
      <c r="GBO73" s="609"/>
      <c r="GBP73" s="609"/>
      <c r="GBQ73" s="609"/>
      <c r="GBR73" s="609"/>
      <c r="GBS73" s="609"/>
      <c r="GBT73" s="609"/>
      <c r="GBU73" s="609"/>
      <c r="GBV73" s="609"/>
      <c r="GBW73" s="609"/>
      <c r="GBX73" s="609"/>
      <c r="GBY73" s="609"/>
      <c r="GBZ73" s="609"/>
      <c r="GCA73" s="609"/>
      <c r="GCB73" s="609"/>
      <c r="GCC73" s="609"/>
      <c r="GCD73" s="609"/>
      <c r="GCE73" s="609"/>
      <c r="GCF73" s="609"/>
      <c r="GCG73" s="609"/>
      <c r="GCH73" s="609"/>
      <c r="GCI73" s="609"/>
      <c r="GCJ73" s="609"/>
      <c r="GCK73" s="609"/>
      <c r="GCL73" s="609"/>
      <c r="GCM73" s="609"/>
      <c r="GCN73" s="609"/>
      <c r="GCO73" s="609"/>
      <c r="GCP73" s="609"/>
      <c r="GCQ73" s="609"/>
      <c r="GCR73" s="609"/>
      <c r="GCS73" s="609"/>
      <c r="GCT73" s="609"/>
      <c r="GCU73" s="609"/>
      <c r="GCV73" s="609"/>
      <c r="GCW73" s="609"/>
      <c r="GCX73" s="609"/>
      <c r="GCY73" s="609"/>
      <c r="GCZ73" s="609"/>
      <c r="GDA73" s="609"/>
      <c r="GDB73" s="609"/>
      <c r="GDC73" s="609"/>
      <c r="GDD73" s="609"/>
      <c r="GDE73" s="609"/>
      <c r="GDF73" s="609"/>
      <c r="GDG73" s="609"/>
      <c r="GDH73" s="609"/>
      <c r="GDI73" s="609"/>
      <c r="GDJ73" s="609"/>
      <c r="GDK73" s="609"/>
      <c r="GDL73" s="609"/>
      <c r="GDM73" s="609"/>
      <c r="GDN73" s="609"/>
      <c r="GDO73" s="609"/>
      <c r="GDP73" s="609"/>
      <c r="GDQ73" s="609"/>
      <c r="GDR73" s="609"/>
      <c r="GDS73" s="609"/>
      <c r="GDT73" s="609"/>
      <c r="GDU73" s="609"/>
      <c r="GDV73" s="609"/>
      <c r="GDW73" s="609"/>
      <c r="GDX73" s="609"/>
      <c r="GDY73" s="609"/>
      <c r="GDZ73" s="609"/>
      <c r="GEA73" s="609"/>
      <c r="GEB73" s="609"/>
      <c r="GEC73" s="609"/>
      <c r="GED73" s="609"/>
      <c r="GEE73" s="609"/>
      <c r="GEF73" s="609"/>
      <c r="GEG73" s="609"/>
      <c r="GEH73" s="609"/>
      <c r="GEI73" s="609"/>
      <c r="GEJ73" s="609"/>
      <c r="GEK73" s="609"/>
      <c r="GEL73" s="609"/>
      <c r="GEM73" s="609"/>
      <c r="GEN73" s="609"/>
      <c r="GEO73" s="609"/>
      <c r="GEP73" s="609"/>
      <c r="GEQ73" s="609"/>
      <c r="GER73" s="609"/>
      <c r="GES73" s="609"/>
      <c r="GET73" s="609"/>
      <c r="GEU73" s="609"/>
      <c r="GEV73" s="609"/>
      <c r="GEW73" s="609"/>
      <c r="GEX73" s="609"/>
      <c r="GEY73" s="609"/>
      <c r="GEZ73" s="609"/>
      <c r="GFA73" s="609"/>
      <c r="GFB73" s="609"/>
      <c r="GFC73" s="609"/>
      <c r="GFD73" s="609"/>
      <c r="GFE73" s="609"/>
      <c r="GFF73" s="609"/>
      <c r="GFG73" s="609"/>
      <c r="GFH73" s="609"/>
      <c r="GFI73" s="609"/>
      <c r="GFJ73" s="609"/>
      <c r="GFK73" s="609"/>
      <c r="GFL73" s="609"/>
      <c r="GFM73" s="609"/>
      <c r="GFN73" s="609"/>
      <c r="GFO73" s="609"/>
      <c r="GFP73" s="609"/>
      <c r="GFQ73" s="609"/>
      <c r="GFR73" s="609"/>
      <c r="GFS73" s="609"/>
      <c r="GFT73" s="609"/>
      <c r="GFU73" s="609"/>
      <c r="GFV73" s="609"/>
      <c r="GFW73" s="609"/>
      <c r="GFX73" s="609"/>
      <c r="GFY73" s="609"/>
      <c r="GFZ73" s="609"/>
      <c r="GGA73" s="609"/>
      <c r="GGB73" s="609"/>
      <c r="GGC73" s="609"/>
      <c r="GGD73" s="609"/>
      <c r="GGE73" s="609"/>
      <c r="GGF73" s="609"/>
      <c r="GGG73" s="609"/>
      <c r="GGH73" s="609"/>
      <c r="GGI73" s="609"/>
      <c r="GGJ73" s="609"/>
      <c r="GGK73" s="609"/>
      <c r="GGL73" s="609"/>
      <c r="GGM73" s="609"/>
      <c r="GGN73" s="609"/>
      <c r="GGO73" s="609"/>
      <c r="GGP73" s="609"/>
      <c r="GGQ73" s="609"/>
      <c r="GGR73" s="609"/>
      <c r="GGS73" s="609"/>
      <c r="GGT73" s="609"/>
      <c r="GGU73" s="609"/>
      <c r="GGV73" s="609"/>
      <c r="GGW73" s="609"/>
      <c r="GGX73" s="609"/>
      <c r="GGY73" s="609"/>
      <c r="GGZ73" s="609"/>
      <c r="GHA73" s="609"/>
      <c r="GHB73" s="609"/>
      <c r="GHC73" s="609"/>
      <c r="GHD73" s="609"/>
      <c r="GHE73" s="609"/>
      <c r="GHF73" s="609"/>
      <c r="GHG73" s="609"/>
      <c r="GHH73" s="609"/>
      <c r="GHI73" s="609"/>
      <c r="GHJ73" s="609"/>
      <c r="GHK73" s="609"/>
      <c r="GHL73" s="609"/>
      <c r="GHM73" s="609"/>
      <c r="GHN73" s="609"/>
      <c r="GHO73" s="609"/>
      <c r="GHP73" s="609"/>
      <c r="GHQ73" s="609"/>
      <c r="GHR73" s="609"/>
      <c r="GHS73" s="609"/>
      <c r="GHT73" s="609"/>
      <c r="GHU73" s="609"/>
      <c r="GHV73" s="609"/>
      <c r="GHW73" s="609"/>
      <c r="GHX73" s="609"/>
      <c r="GHY73" s="609"/>
      <c r="GHZ73" s="609"/>
      <c r="GIA73" s="609"/>
      <c r="GIB73" s="609"/>
      <c r="GIC73" s="609"/>
      <c r="GID73" s="609"/>
      <c r="GIE73" s="609"/>
      <c r="GIF73" s="609"/>
      <c r="GIG73" s="609"/>
      <c r="GIH73" s="609"/>
      <c r="GII73" s="609"/>
      <c r="GIJ73" s="609"/>
      <c r="GIK73" s="609"/>
      <c r="GIL73" s="609"/>
      <c r="GIM73" s="609"/>
      <c r="GIN73" s="609"/>
      <c r="GIO73" s="609"/>
      <c r="GIP73" s="609"/>
      <c r="GIQ73" s="609"/>
      <c r="GIR73" s="609"/>
      <c r="GIS73" s="609"/>
      <c r="GIT73" s="609"/>
      <c r="GIU73" s="609"/>
      <c r="GIV73" s="609"/>
      <c r="GIW73" s="609"/>
      <c r="GIX73" s="609"/>
      <c r="GIY73" s="609"/>
      <c r="GIZ73" s="609"/>
      <c r="GJA73" s="609"/>
      <c r="GJB73" s="609"/>
      <c r="GJC73" s="609"/>
      <c r="GJD73" s="609"/>
      <c r="GJE73" s="609"/>
      <c r="GJF73" s="609"/>
      <c r="GJG73" s="609"/>
      <c r="GJH73" s="609"/>
      <c r="GJI73" s="609"/>
      <c r="GJJ73" s="609"/>
      <c r="GJK73" s="609"/>
      <c r="GJL73" s="609"/>
      <c r="GJM73" s="609"/>
      <c r="GJN73" s="609"/>
      <c r="GJO73" s="609"/>
      <c r="GJP73" s="609"/>
      <c r="GJQ73" s="609"/>
      <c r="GJR73" s="609"/>
      <c r="GJS73" s="609"/>
      <c r="GJT73" s="609"/>
      <c r="GJU73" s="609"/>
      <c r="GJV73" s="609"/>
      <c r="GJW73" s="609"/>
      <c r="GJX73" s="609"/>
      <c r="GJY73" s="609"/>
      <c r="GJZ73" s="609"/>
      <c r="GKA73" s="609"/>
      <c r="GKB73" s="609"/>
      <c r="GKC73" s="609"/>
      <c r="GKD73" s="609"/>
      <c r="GKE73" s="609"/>
      <c r="GKF73" s="609"/>
      <c r="GKG73" s="609"/>
      <c r="GKH73" s="609"/>
      <c r="GKI73" s="609"/>
      <c r="GKJ73" s="609"/>
      <c r="GKK73" s="609"/>
      <c r="GKL73" s="609"/>
      <c r="GKM73" s="609"/>
      <c r="GKN73" s="609"/>
      <c r="GKO73" s="609"/>
      <c r="GKP73" s="609"/>
      <c r="GKQ73" s="609"/>
      <c r="GKR73" s="609"/>
      <c r="GKS73" s="609"/>
      <c r="GKT73" s="609"/>
      <c r="GKU73" s="609"/>
      <c r="GKV73" s="609"/>
      <c r="GKW73" s="609"/>
      <c r="GKX73" s="609"/>
      <c r="GKY73" s="609"/>
      <c r="GKZ73" s="609"/>
      <c r="GLA73" s="609"/>
      <c r="GLB73" s="609"/>
      <c r="GLC73" s="609"/>
      <c r="GLD73" s="609"/>
      <c r="GLE73" s="609"/>
      <c r="GLF73" s="609"/>
      <c r="GLG73" s="609"/>
      <c r="GLH73" s="609"/>
      <c r="GLI73" s="609"/>
      <c r="GLJ73" s="609"/>
      <c r="GLK73" s="609"/>
      <c r="GLL73" s="609"/>
      <c r="GLM73" s="609"/>
      <c r="GLN73" s="609"/>
      <c r="GLO73" s="609"/>
      <c r="GLP73" s="609"/>
      <c r="GLQ73" s="609"/>
      <c r="GLR73" s="609"/>
      <c r="GLS73" s="609"/>
      <c r="GLT73" s="609"/>
      <c r="GLU73" s="609"/>
      <c r="GLV73" s="609"/>
      <c r="GLW73" s="609"/>
      <c r="GLX73" s="609"/>
      <c r="GLY73" s="609"/>
      <c r="GLZ73" s="609"/>
      <c r="GMA73" s="609"/>
      <c r="GMB73" s="609"/>
      <c r="GMC73" s="609"/>
      <c r="GMD73" s="609"/>
      <c r="GME73" s="609"/>
      <c r="GMF73" s="609"/>
      <c r="GMG73" s="609"/>
      <c r="GMH73" s="609"/>
      <c r="GMI73" s="609"/>
      <c r="GMJ73" s="609"/>
      <c r="GMK73" s="609"/>
      <c r="GML73" s="609"/>
      <c r="GMM73" s="609"/>
      <c r="GMN73" s="609"/>
      <c r="GMO73" s="609"/>
      <c r="GMP73" s="609"/>
      <c r="GMQ73" s="609"/>
      <c r="GMR73" s="609"/>
      <c r="GMS73" s="609"/>
      <c r="GMT73" s="609"/>
      <c r="GMU73" s="609"/>
      <c r="GMV73" s="609"/>
      <c r="GMW73" s="609"/>
      <c r="GMX73" s="609"/>
      <c r="GMY73" s="609"/>
      <c r="GMZ73" s="609"/>
      <c r="GNA73" s="609"/>
      <c r="GNB73" s="609"/>
      <c r="GNC73" s="609"/>
      <c r="GND73" s="609"/>
      <c r="GNE73" s="609"/>
      <c r="GNF73" s="609"/>
      <c r="GNG73" s="609"/>
      <c r="GNH73" s="609"/>
      <c r="GNI73" s="609"/>
      <c r="GNJ73" s="609"/>
      <c r="GNK73" s="609"/>
      <c r="GNL73" s="609"/>
      <c r="GNM73" s="609"/>
      <c r="GNN73" s="609"/>
      <c r="GNO73" s="609"/>
      <c r="GNP73" s="609"/>
      <c r="GNQ73" s="609"/>
      <c r="GNR73" s="609"/>
      <c r="GNS73" s="609"/>
      <c r="GNT73" s="609"/>
      <c r="GNU73" s="609"/>
      <c r="GNV73" s="609"/>
      <c r="GNW73" s="609"/>
      <c r="GNX73" s="609"/>
      <c r="GNY73" s="609"/>
      <c r="GNZ73" s="609"/>
      <c r="GOA73" s="609"/>
      <c r="GOB73" s="609"/>
      <c r="GOC73" s="609"/>
      <c r="GOD73" s="609"/>
      <c r="GOE73" s="609"/>
      <c r="GOF73" s="609"/>
      <c r="GOG73" s="609"/>
      <c r="GOH73" s="609"/>
      <c r="GOI73" s="609"/>
      <c r="GOJ73" s="609"/>
      <c r="GOK73" s="609"/>
      <c r="GOL73" s="609"/>
      <c r="GOM73" s="609"/>
      <c r="GON73" s="609"/>
      <c r="GOO73" s="609"/>
      <c r="GOP73" s="609"/>
      <c r="GOQ73" s="609"/>
      <c r="GOR73" s="609"/>
      <c r="GOS73" s="609"/>
      <c r="GOT73" s="609"/>
      <c r="GOU73" s="609"/>
      <c r="GOV73" s="609"/>
      <c r="GOW73" s="609"/>
      <c r="GOX73" s="609"/>
      <c r="GOY73" s="609"/>
      <c r="GOZ73" s="609"/>
      <c r="GPA73" s="609"/>
      <c r="GPB73" s="609"/>
      <c r="GPC73" s="609"/>
      <c r="GPD73" s="609"/>
      <c r="GPE73" s="609"/>
      <c r="GPF73" s="609"/>
      <c r="GPG73" s="609"/>
      <c r="GPH73" s="609"/>
      <c r="GPI73" s="609"/>
      <c r="GPJ73" s="609"/>
      <c r="GPK73" s="609"/>
      <c r="GPL73" s="609"/>
      <c r="GPM73" s="609"/>
      <c r="GPN73" s="609"/>
      <c r="GPO73" s="609"/>
      <c r="GPP73" s="609"/>
      <c r="GPQ73" s="609"/>
      <c r="GPR73" s="609"/>
      <c r="GPS73" s="609"/>
      <c r="GPT73" s="609"/>
      <c r="GPU73" s="609"/>
      <c r="GPV73" s="609"/>
      <c r="GPW73" s="609"/>
      <c r="GPX73" s="609"/>
      <c r="GPY73" s="609"/>
      <c r="GPZ73" s="609"/>
      <c r="GQA73" s="609"/>
      <c r="GQB73" s="609"/>
      <c r="GQC73" s="609"/>
      <c r="GQD73" s="609"/>
      <c r="GQE73" s="609"/>
      <c r="GQF73" s="609"/>
      <c r="GQG73" s="609"/>
      <c r="GQH73" s="609"/>
      <c r="GQI73" s="609"/>
      <c r="GQJ73" s="609"/>
      <c r="GQK73" s="609"/>
      <c r="GQL73" s="609"/>
      <c r="GQM73" s="609"/>
      <c r="GQN73" s="609"/>
      <c r="GQO73" s="609"/>
      <c r="GQP73" s="609"/>
      <c r="GQQ73" s="609"/>
      <c r="GQR73" s="609"/>
      <c r="GQS73" s="609"/>
      <c r="GQT73" s="609"/>
      <c r="GQU73" s="609"/>
      <c r="GQV73" s="609"/>
      <c r="GQW73" s="609"/>
      <c r="GQX73" s="609"/>
      <c r="GQY73" s="609"/>
      <c r="GQZ73" s="609"/>
      <c r="GRA73" s="609"/>
      <c r="GRB73" s="609"/>
      <c r="GRC73" s="609"/>
      <c r="GRD73" s="609"/>
      <c r="GRE73" s="609"/>
      <c r="GRF73" s="609"/>
      <c r="GRG73" s="609"/>
      <c r="GRH73" s="609"/>
      <c r="GRI73" s="609"/>
      <c r="GRJ73" s="609"/>
      <c r="GRK73" s="609"/>
      <c r="GRL73" s="609"/>
      <c r="GRM73" s="609"/>
      <c r="GRN73" s="609"/>
      <c r="GRO73" s="609"/>
      <c r="GRP73" s="609"/>
      <c r="GRQ73" s="609"/>
      <c r="GRR73" s="609"/>
      <c r="GRS73" s="609"/>
      <c r="GRT73" s="609"/>
      <c r="GRU73" s="609"/>
      <c r="GRV73" s="609"/>
      <c r="GRW73" s="609"/>
      <c r="GRX73" s="609"/>
      <c r="GRY73" s="609"/>
      <c r="GRZ73" s="609"/>
      <c r="GSA73" s="609"/>
      <c r="GSB73" s="609"/>
      <c r="GSC73" s="609"/>
      <c r="GSD73" s="609"/>
      <c r="GSE73" s="609"/>
      <c r="GSF73" s="609"/>
      <c r="GSG73" s="609"/>
      <c r="GSH73" s="609"/>
      <c r="GSI73" s="609"/>
      <c r="GSJ73" s="609"/>
      <c r="GSK73" s="609"/>
      <c r="GSL73" s="609"/>
      <c r="GSM73" s="609"/>
      <c r="GSN73" s="609"/>
      <c r="GSO73" s="609"/>
      <c r="GSP73" s="609"/>
      <c r="GSQ73" s="609"/>
      <c r="GSR73" s="609"/>
      <c r="GSS73" s="609"/>
      <c r="GST73" s="609"/>
      <c r="GSU73" s="609"/>
      <c r="GSV73" s="609"/>
      <c r="GSW73" s="609"/>
      <c r="GSX73" s="609"/>
      <c r="GSY73" s="609"/>
      <c r="GSZ73" s="609"/>
      <c r="GTA73" s="609"/>
      <c r="GTB73" s="609"/>
      <c r="GTC73" s="609"/>
      <c r="GTD73" s="609"/>
      <c r="GTE73" s="609"/>
      <c r="GTF73" s="609"/>
      <c r="GTG73" s="609"/>
      <c r="GTH73" s="609"/>
      <c r="GTI73" s="609"/>
      <c r="GTJ73" s="609"/>
      <c r="GTK73" s="609"/>
      <c r="GTL73" s="609"/>
      <c r="GTM73" s="609"/>
      <c r="GTN73" s="609"/>
      <c r="GTO73" s="609"/>
      <c r="GTP73" s="609"/>
      <c r="GTQ73" s="609"/>
      <c r="GTR73" s="609"/>
      <c r="GTS73" s="609"/>
      <c r="GTT73" s="609"/>
      <c r="GTU73" s="609"/>
      <c r="GTV73" s="609"/>
      <c r="GTW73" s="609"/>
      <c r="GTX73" s="609"/>
      <c r="GTY73" s="609"/>
      <c r="GTZ73" s="609"/>
      <c r="GUA73" s="609"/>
      <c r="GUB73" s="609"/>
      <c r="GUC73" s="609"/>
      <c r="GUD73" s="609"/>
      <c r="GUE73" s="609"/>
      <c r="GUF73" s="609"/>
      <c r="GUG73" s="609"/>
      <c r="GUH73" s="609"/>
      <c r="GUI73" s="609"/>
      <c r="GUJ73" s="609"/>
      <c r="GUK73" s="609"/>
      <c r="GUL73" s="609"/>
      <c r="GUM73" s="609"/>
      <c r="GUN73" s="609"/>
      <c r="GUO73" s="609"/>
      <c r="GUP73" s="609"/>
      <c r="GUQ73" s="609"/>
      <c r="GUR73" s="609"/>
      <c r="GUS73" s="609"/>
      <c r="GUT73" s="609"/>
      <c r="GUU73" s="609"/>
      <c r="GUV73" s="609"/>
      <c r="GUW73" s="609"/>
      <c r="GUX73" s="609"/>
      <c r="GUY73" s="609"/>
      <c r="GUZ73" s="609"/>
      <c r="GVA73" s="609"/>
      <c r="GVB73" s="609"/>
      <c r="GVC73" s="609"/>
      <c r="GVD73" s="609"/>
      <c r="GVE73" s="609"/>
      <c r="GVF73" s="609"/>
      <c r="GVG73" s="609"/>
      <c r="GVH73" s="609"/>
      <c r="GVI73" s="609"/>
      <c r="GVJ73" s="609"/>
      <c r="GVK73" s="609"/>
      <c r="GVL73" s="609"/>
      <c r="GVM73" s="609"/>
      <c r="GVN73" s="609"/>
      <c r="GVO73" s="609"/>
      <c r="GVP73" s="609"/>
      <c r="GVQ73" s="609"/>
      <c r="GVR73" s="609"/>
      <c r="GVS73" s="609"/>
      <c r="GVT73" s="609"/>
      <c r="GVU73" s="609"/>
      <c r="GVV73" s="609"/>
      <c r="GVW73" s="609"/>
      <c r="GVX73" s="609"/>
      <c r="GVY73" s="609"/>
      <c r="GVZ73" s="609"/>
      <c r="GWA73" s="609"/>
      <c r="GWB73" s="609"/>
      <c r="GWC73" s="609"/>
      <c r="GWD73" s="609"/>
      <c r="GWE73" s="609"/>
      <c r="GWF73" s="609"/>
      <c r="GWG73" s="609"/>
      <c r="GWH73" s="609"/>
      <c r="GWI73" s="609"/>
      <c r="GWJ73" s="609"/>
      <c r="GWK73" s="609"/>
      <c r="GWL73" s="609"/>
      <c r="GWM73" s="609"/>
      <c r="GWN73" s="609"/>
      <c r="GWO73" s="609"/>
      <c r="GWP73" s="609"/>
      <c r="GWQ73" s="609"/>
      <c r="GWR73" s="609"/>
      <c r="GWS73" s="609"/>
      <c r="GWT73" s="609"/>
      <c r="GWU73" s="609"/>
      <c r="GWV73" s="609"/>
      <c r="GWW73" s="609"/>
      <c r="GWX73" s="609"/>
      <c r="GWY73" s="609"/>
      <c r="GWZ73" s="609"/>
      <c r="GXA73" s="609"/>
      <c r="GXB73" s="609"/>
      <c r="GXC73" s="609"/>
      <c r="GXD73" s="609"/>
      <c r="GXE73" s="609"/>
      <c r="GXF73" s="609"/>
      <c r="GXG73" s="609"/>
      <c r="GXH73" s="609"/>
      <c r="GXI73" s="609"/>
      <c r="GXJ73" s="609"/>
      <c r="GXK73" s="609"/>
      <c r="GXL73" s="609"/>
      <c r="GXM73" s="609"/>
      <c r="GXN73" s="609"/>
      <c r="GXO73" s="609"/>
      <c r="GXP73" s="609"/>
      <c r="GXQ73" s="609"/>
      <c r="GXR73" s="609"/>
      <c r="GXS73" s="609"/>
      <c r="GXT73" s="609"/>
      <c r="GXU73" s="609"/>
      <c r="GXV73" s="609"/>
      <c r="GXW73" s="609"/>
      <c r="GXX73" s="609"/>
      <c r="GXY73" s="609"/>
      <c r="GXZ73" s="609"/>
      <c r="GYA73" s="609"/>
      <c r="GYB73" s="609"/>
      <c r="GYC73" s="609"/>
      <c r="GYD73" s="609"/>
      <c r="GYE73" s="609"/>
      <c r="GYF73" s="609"/>
      <c r="GYG73" s="609"/>
      <c r="GYH73" s="609"/>
      <c r="GYI73" s="609"/>
      <c r="GYJ73" s="609"/>
      <c r="GYK73" s="609"/>
      <c r="GYL73" s="609"/>
      <c r="GYM73" s="609"/>
      <c r="GYN73" s="609"/>
      <c r="GYO73" s="609"/>
      <c r="GYP73" s="609"/>
      <c r="GYQ73" s="609"/>
      <c r="GYR73" s="609"/>
      <c r="GYS73" s="609"/>
      <c r="GYT73" s="609"/>
      <c r="GYU73" s="609"/>
      <c r="GYV73" s="609"/>
      <c r="GYW73" s="609"/>
      <c r="GYX73" s="609"/>
      <c r="GYY73" s="609"/>
      <c r="GYZ73" s="609"/>
      <c r="GZA73" s="609"/>
      <c r="GZB73" s="609"/>
      <c r="GZC73" s="609"/>
      <c r="GZD73" s="609"/>
      <c r="GZE73" s="609"/>
      <c r="GZF73" s="609"/>
      <c r="GZG73" s="609"/>
      <c r="GZH73" s="609"/>
      <c r="GZI73" s="609"/>
      <c r="GZJ73" s="609"/>
      <c r="GZK73" s="609"/>
      <c r="GZL73" s="609"/>
      <c r="GZM73" s="609"/>
      <c r="GZN73" s="609"/>
      <c r="GZO73" s="609"/>
      <c r="GZP73" s="609"/>
      <c r="GZQ73" s="609"/>
      <c r="GZR73" s="609"/>
      <c r="GZS73" s="609"/>
      <c r="GZT73" s="609"/>
      <c r="GZU73" s="609"/>
      <c r="GZV73" s="609"/>
      <c r="GZW73" s="609"/>
      <c r="GZX73" s="609"/>
      <c r="GZY73" s="609"/>
      <c r="GZZ73" s="609"/>
      <c r="HAA73" s="609"/>
      <c r="HAB73" s="609"/>
      <c r="HAC73" s="609"/>
      <c r="HAD73" s="609"/>
      <c r="HAE73" s="609"/>
      <c r="HAF73" s="609"/>
      <c r="HAG73" s="609"/>
      <c r="HAH73" s="609"/>
      <c r="HAI73" s="609"/>
      <c r="HAJ73" s="609"/>
      <c r="HAK73" s="609"/>
      <c r="HAL73" s="609"/>
      <c r="HAM73" s="609"/>
      <c r="HAN73" s="609"/>
      <c r="HAO73" s="609"/>
      <c r="HAP73" s="609"/>
      <c r="HAQ73" s="609"/>
      <c r="HAR73" s="609"/>
      <c r="HAS73" s="609"/>
      <c r="HAT73" s="609"/>
      <c r="HAU73" s="609"/>
      <c r="HAV73" s="609"/>
      <c r="HAW73" s="609"/>
      <c r="HAX73" s="609"/>
      <c r="HAY73" s="609"/>
      <c r="HAZ73" s="609"/>
      <c r="HBA73" s="609"/>
      <c r="HBB73" s="609"/>
      <c r="HBC73" s="609"/>
      <c r="HBD73" s="609"/>
      <c r="HBE73" s="609"/>
      <c r="HBF73" s="609"/>
      <c r="HBG73" s="609"/>
      <c r="HBH73" s="609"/>
      <c r="HBI73" s="609"/>
      <c r="HBJ73" s="609"/>
      <c r="HBK73" s="609"/>
      <c r="HBL73" s="609"/>
      <c r="HBM73" s="609"/>
      <c r="HBN73" s="609"/>
      <c r="HBO73" s="609"/>
      <c r="HBP73" s="609"/>
      <c r="HBQ73" s="609"/>
      <c r="HBR73" s="609"/>
      <c r="HBS73" s="609"/>
      <c r="HBT73" s="609"/>
      <c r="HBU73" s="609"/>
      <c r="HBV73" s="609"/>
      <c r="HBW73" s="609"/>
      <c r="HBX73" s="609"/>
      <c r="HBY73" s="609"/>
      <c r="HBZ73" s="609"/>
      <c r="HCA73" s="609"/>
      <c r="HCB73" s="609"/>
      <c r="HCC73" s="609"/>
      <c r="HCD73" s="609"/>
      <c r="HCE73" s="609"/>
      <c r="HCF73" s="609"/>
      <c r="HCG73" s="609"/>
      <c r="HCH73" s="609"/>
      <c r="HCI73" s="609"/>
      <c r="HCJ73" s="609"/>
      <c r="HCK73" s="609"/>
      <c r="HCL73" s="609"/>
      <c r="HCM73" s="609"/>
      <c r="HCN73" s="609"/>
      <c r="HCO73" s="609"/>
      <c r="HCP73" s="609"/>
      <c r="HCQ73" s="609"/>
      <c r="HCR73" s="609"/>
      <c r="HCS73" s="609"/>
      <c r="HCT73" s="609"/>
      <c r="HCU73" s="609"/>
      <c r="HCV73" s="609"/>
      <c r="HCW73" s="609"/>
      <c r="HCX73" s="609"/>
      <c r="HCY73" s="609"/>
      <c r="HCZ73" s="609"/>
      <c r="HDA73" s="609"/>
      <c r="HDB73" s="609"/>
      <c r="HDC73" s="609"/>
      <c r="HDD73" s="609"/>
      <c r="HDE73" s="609"/>
      <c r="HDF73" s="609"/>
      <c r="HDG73" s="609"/>
      <c r="HDH73" s="609"/>
      <c r="HDI73" s="609"/>
      <c r="HDJ73" s="609"/>
      <c r="HDK73" s="609"/>
      <c r="HDL73" s="609"/>
      <c r="HDM73" s="609"/>
      <c r="HDN73" s="609"/>
      <c r="HDO73" s="609"/>
      <c r="HDP73" s="609"/>
      <c r="HDQ73" s="609"/>
      <c r="HDR73" s="609"/>
      <c r="HDS73" s="609"/>
      <c r="HDT73" s="609"/>
      <c r="HDU73" s="609"/>
      <c r="HDV73" s="609"/>
      <c r="HDW73" s="609"/>
      <c r="HDX73" s="609"/>
      <c r="HDY73" s="609"/>
      <c r="HDZ73" s="609"/>
      <c r="HEA73" s="609"/>
      <c r="HEB73" s="609"/>
      <c r="HEC73" s="609"/>
      <c r="HED73" s="609"/>
      <c r="HEE73" s="609"/>
      <c r="HEF73" s="609"/>
      <c r="HEG73" s="609"/>
      <c r="HEH73" s="609"/>
      <c r="HEI73" s="609"/>
      <c r="HEJ73" s="609"/>
      <c r="HEK73" s="609"/>
      <c r="HEL73" s="609"/>
      <c r="HEM73" s="609"/>
      <c r="HEN73" s="609"/>
      <c r="HEO73" s="609"/>
      <c r="HEP73" s="609"/>
      <c r="HEQ73" s="609"/>
      <c r="HER73" s="609"/>
      <c r="HES73" s="609"/>
      <c r="HET73" s="609"/>
      <c r="HEU73" s="609"/>
      <c r="HEV73" s="609"/>
      <c r="HEW73" s="609"/>
      <c r="HEX73" s="609"/>
      <c r="HEY73" s="609"/>
      <c r="HEZ73" s="609"/>
      <c r="HFA73" s="609"/>
      <c r="HFB73" s="609"/>
      <c r="HFC73" s="609"/>
      <c r="HFD73" s="609"/>
      <c r="HFE73" s="609"/>
      <c r="HFF73" s="609"/>
      <c r="HFG73" s="609"/>
      <c r="HFH73" s="609"/>
      <c r="HFI73" s="609"/>
      <c r="HFJ73" s="609"/>
      <c r="HFK73" s="609"/>
      <c r="HFL73" s="609"/>
      <c r="HFM73" s="609"/>
      <c r="HFN73" s="609"/>
      <c r="HFO73" s="609"/>
      <c r="HFP73" s="609"/>
      <c r="HFQ73" s="609"/>
      <c r="HFR73" s="609"/>
      <c r="HFS73" s="609"/>
      <c r="HFT73" s="609"/>
      <c r="HFU73" s="609"/>
      <c r="HFV73" s="609"/>
      <c r="HFW73" s="609"/>
      <c r="HFX73" s="609"/>
      <c r="HFY73" s="609"/>
      <c r="HFZ73" s="609"/>
      <c r="HGA73" s="609"/>
      <c r="HGB73" s="609"/>
      <c r="HGC73" s="609"/>
      <c r="HGD73" s="609"/>
      <c r="HGE73" s="609"/>
      <c r="HGF73" s="609"/>
      <c r="HGG73" s="609"/>
      <c r="HGH73" s="609"/>
      <c r="HGI73" s="609"/>
      <c r="HGJ73" s="609"/>
      <c r="HGK73" s="609"/>
      <c r="HGL73" s="609"/>
      <c r="HGM73" s="609"/>
      <c r="HGN73" s="609"/>
      <c r="HGO73" s="609"/>
      <c r="HGP73" s="609"/>
      <c r="HGQ73" s="609"/>
      <c r="HGR73" s="609"/>
      <c r="HGS73" s="609"/>
      <c r="HGT73" s="609"/>
      <c r="HGU73" s="609"/>
      <c r="HGV73" s="609"/>
      <c r="HGW73" s="609"/>
      <c r="HGX73" s="609"/>
      <c r="HGY73" s="609"/>
      <c r="HGZ73" s="609"/>
      <c r="HHA73" s="609"/>
      <c r="HHB73" s="609"/>
      <c r="HHC73" s="609"/>
      <c r="HHD73" s="609"/>
      <c r="HHE73" s="609"/>
      <c r="HHF73" s="609"/>
      <c r="HHG73" s="609"/>
      <c r="HHH73" s="609"/>
      <c r="HHI73" s="609"/>
      <c r="HHJ73" s="609"/>
      <c r="HHK73" s="609"/>
      <c r="HHL73" s="609"/>
      <c r="HHM73" s="609"/>
      <c r="HHN73" s="609"/>
      <c r="HHO73" s="609"/>
      <c r="HHP73" s="609"/>
      <c r="HHQ73" s="609"/>
      <c r="HHR73" s="609"/>
      <c r="HHS73" s="609"/>
      <c r="HHT73" s="609"/>
      <c r="HHU73" s="609"/>
      <c r="HHV73" s="609"/>
      <c r="HHW73" s="609"/>
      <c r="HHX73" s="609"/>
      <c r="HHY73" s="609"/>
      <c r="HHZ73" s="609"/>
      <c r="HIA73" s="609"/>
      <c r="HIB73" s="609"/>
      <c r="HIC73" s="609"/>
      <c r="HID73" s="609"/>
      <c r="HIE73" s="609"/>
      <c r="HIF73" s="609"/>
      <c r="HIG73" s="609"/>
      <c r="HIH73" s="609"/>
      <c r="HII73" s="609"/>
      <c r="HIJ73" s="609"/>
      <c r="HIK73" s="609"/>
      <c r="HIL73" s="609"/>
      <c r="HIM73" s="609"/>
      <c r="HIN73" s="609"/>
      <c r="HIO73" s="609"/>
      <c r="HIP73" s="609"/>
      <c r="HIQ73" s="609"/>
      <c r="HIR73" s="609"/>
      <c r="HIS73" s="609"/>
      <c r="HIT73" s="609"/>
      <c r="HIU73" s="609"/>
      <c r="HIV73" s="609"/>
      <c r="HIW73" s="609"/>
      <c r="HIX73" s="609"/>
      <c r="HIY73" s="609"/>
      <c r="HIZ73" s="609"/>
      <c r="HJA73" s="609"/>
      <c r="HJB73" s="609"/>
      <c r="HJC73" s="609"/>
      <c r="HJD73" s="609"/>
      <c r="HJE73" s="609"/>
      <c r="HJF73" s="609"/>
      <c r="HJG73" s="609"/>
      <c r="HJH73" s="609"/>
      <c r="HJI73" s="609"/>
      <c r="HJJ73" s="609"/>
      <c r="HJK73" s="609"/>
      <c r="HJL73" s="609"/>
      <c r="HJM73" s="609"/>
      <c r="HJN73" s="609"/>
      <c r="HJO73" s="609"/>
      <c r="HJP73" s="609"/>
      <c r="HJQ73" s="609"/>
      <c r="HJR73" s="609"/>
      <c r="HJS73" s="609"/>
      <c r="HJT73" s="609"/>
      <c r="HJU73" s="609"/>
      <c r="HJV73" s="609"/>
      <c r="HJW73" s="609"/>
      <c r="HJX73" s="609"/>
      <c r="HJY73" s="609"/>
      <c r="HJZ73" s="609"/>
      <c r="HKA73" s="609"/>
      <c r="HKB73" s="609"/>
      <c r="HKC73" s="609"/>
      <c r="HKD73" s="609"/>
      <c r="HKE73" s="609"/>
      <c r="HKF73" s="609"/>
      <c r="HKG73" s="609"/>
      <c r="HKH73" s="609"/>
      <c r="HKI73" s="609"/>
      <c r="HKJ73" s="609"/>
      <c r="HKK73" s="609"/>
      <c r="HKL73" s="609"/>
      <c r="HKM73" s="609"/>
      <c r="HKN73" s="609"/>
      <c r="HKO73" s="609"/>
      <c r="HKP73" s="609"/>
      <c r="HKQ73" s="609"/>
      <c r="HKR73" s="609"/>
      <c r="HKS73" s="609"/>
      <c r="HKT73" s="609"/>
      <c r="HKU73" s="609"/>
      <c r="HKV73" s="609"/>
      <c r="HKW73" s="609"/>
      <c r="HKX73" s="609"/>
      <c r="HKY73" s="609"/>
      <c r="HKZ73" s="609"/>
      <c r="HLA73" s="609"/>
      <c r="HLB73" s="609"/>
      <c r="HLC73" s="609"/>
      <c r="HLD73" s="609"/>
      <c r="HLE73" s="609"/>
      <c r="HLF73" s="609"/>
      <c r="HLG73" s="609"/>
      <c r="HLH73" s="609"/>
      <c r="HLI73" s="609"/>
      <c r="HLJ73" s="609"/>
      <c r="HLK73" s="609"/>
      <c r="HLL73" s="609"/>
      <c r="HLM73" s="609"/>
      <c r="HLN73" s="609"/>
      <c r="HLO73" s="609"/>
      <c r="HLP73" s="609"/>
      <c r="HLQ73" s="609"/>
      <c r="HLR73" s="609"/>
      <c r="HLS73" s="609"/>
      <c r="HLT73" s="609"/>
      <c r="HLU73" s="609"/>
      <c r="HLV73" s="609"/>
      <c r="HLW73" s="609"/>
      <c r="HLX73" s="609"/>
      <c r="HLY73" s="609"/>
      <c r="HLZ73" s="609"/>
      <c r="HMA73" s="609"/>
      <c r="HMB73" s="609"/>
      <c r="HMC73" s="609"/>
      <c r="HMD73" s="609"/>
      <c r="HME73" s="609"/>
      <c r="HMF73" s="609"/>
      <c r="HMG73" s="609"/>
      <c r="HMH73" s="609"/>
      <c r="HMI73" s="609"/>
      <c r="HMJ73" s="609"/>
      <c r="HMK73" s="609"/>
      <c r="HML73" s="609"/>
      <c r="HMM73" s="609"/>
      <c r="HMN73" s="609"/>
      <c r="HMO73" s="609"/>
      <c r="HMP73" s="609"/>
      <c r="HMQ73" s="609"/>
      <c r="HMR73" s="609"/>
      <c r="HMS73" s="609"/>
      <c r="HMT73" s="609"/>
      <c r="HMU73" s="609"/>
      <c r="HMV73" s="609"/>
      <c r="HMW73" s="609"/>
      <c r="HMX73" s="609"/>
      <c r="HMY73" s="609"/>
      <c r="HMZ73" s="609"/>
      <c r="HNA73" s="609"/>
      <c r="HNB73" s="609"/>
      <c r="HNC73" s="609"/>
      <c r="HND73" s="609"/>
      <c r="HNE73" s="609"/>
      <c r="HNF73" s="609"/>
      <c r="HNG73" s="609"/>
      <c r="HNH73" s="609"/>
      <c r="HNI73" s="609"/>
      <c r="HNJ73" s="609"/>
      <c r="HNK73" s="609"/>
      <c r="HNL73" s="609"/>
      <c r="HNM73" s="609"/>
      <c r="HNN73" s="609"/>
      <c r="HNO73" s="609"/>
      <c r="HNP73" s="609"/>
      <c r="HNQ73" s="609"/>
      <c r="HNR73" s="609"/>
      <c r="HNS73" s="609"/>
      <c r="HNT73" s="609"/>
      <c r="HNU73" s="609"/>
      <c r="HNV73" s="609"/>
      <c r="HNW73" s="609"/>
      <c r="HNX73" s="609"/>
      <c r="HNY73" s="609"/>
      <c r="HNZ73" s="609"/>
      <c r="HOA73" s="609"/>
      <c r="HOB73" s="609"/>
      <c r="HOC73" s="609"/>
      <c r="HOD73" s="609"/>
      <c r="HOE73" s="609"/>
      <c r="HOF73" s="609"/>
      <c r="HOG73" s="609"/>
      <c r="HOH73" s="609"/>
      <c r="HOI73" s="609"/>
      <c r="HOJ73" s="609"/>
      <c r="HOK73" s="609"/>
      <c r="HOL73" s="609"/>
      <c r="HOM73" s="609"/>
      <c r="HON73" s="609"/>
      <c r="HOO73" s="609"/>
      <c r="HOP73" s="609"/>
      <c r="HOQ73" s="609"/>
      <c r="HOR73" s="609"/>
      <c r="HOS73" s="609"/>
      <c r="HOT73" s="609"/>
      <c r="HOU73" s="609"/>
      <c r="HOV73" s="609"/>
      <c r="HOW73" s="609"/>
      <c r="HOX73" s="609"/>
      <c r="HOY73" s="609"/>
      <c r="HOZ73" s="609"/>
      <c r="HPA73" s="609"/>
      <c r="HPB73" s="609"/>
      <c r="HPC73" s="609"/>
      <c r="HPD73" s="609"/>
      <c r="HPE73" s="609"/>
      <c r="HPF73" s="609"/>
      <c r="HPG73" s="609"/>
      <c r="HPH73" s="609"/>
      <c r="HPI73" s="609"/>
      <c r="HPJ73" s="609"/>
      <c r="HPK73" s="609"/>
      <c r="HPL73" s="609"/>
      <c r="HPM73" s="609"/>
      <c r="HPN73" s="609"/>
      <c r="HPO73" s="609"/>
      <c r="HPP73" s="609"/>
      <c r="HPQ73" s="609"/>
      <c r="HPR73" s="609"/>
      <c r="HPS73" s="609"/>
      <c r="HPT73" s="609"/>
      <c r="HPU73" s="609"/>
      <c r="HPV73" s="609"/>
      <c r="HPW73" s="609"/>
      <c r="HPX73" s="609"/>
      <c r="HPY73" s="609"/>
      <c r="HPZ73" s="609"/>
      <c r="HQA73" s="609"/>
      <c r="HQB73" s="609"/>
      <c r="HQC73" s="609"/>
      <c r="HQD73" s="609"/>
      <c r="HQE73" s="609"/>
      <c r="HQF73" s="609"/>
      <c r="HQG73" s="609"/>
      <c r="HQH73" s="609"/>
      <c r="HQI73" s="609"/>
      <c r="HQJ73" s="609"/>
      <c r="HQK73" s="609"/>
      <c r="HQL73" s="609"/>
      <c r="HQM73" s="609"/>
      <c r="HQN73" s="609"/>
      <c r="HQO73" s="609"/>
      <c r="HQP73" s="609"/>
      <c r="HQQ73" s="609"/>
      <c r="HQR73" s="609"/>
      <c r="HQS73" s="609"/>
      <c r="HQT73" s="609"/>
      <c r="HQU73" s="609"/>
      <c r="HQV73" s="609"/>
      <c r="HQW73" s="609"/>
      <c r="HQX73" s="609"/>
      <c r="HQY73" s="609"/>
      <c r="HQZ73" s="609"/>
      <c r="HRA73" s="609"/>
      <c r="HRB73" s="609"/>
      <c r="HRC73" s="609"/>
      <c r="HRD73" s="609"/>
      <c r="HRE73" s="609"/>
      <c r="HRF73" s="609"/>
      <c r="HRG73" s="609"/>
      <c r="HRH73" s="609"/>
      <c r="HRI73" s="609"/>
      <c r="HRJ73" s="609"/>
      <c r="HRK73" s="609"/>
      <c r="HRL73" s="609"/>
      <c r="HRM73" s="609"/>
      <c r="HRN73" s="609"/>
      <c r="HRO73" s="609"/>
      <c r="HRP73" s="609"/>
      <c r="HRQ73" s="609"/>
      <c r="HRR73" s="609"/>
      <c r="HRS73" s="609"/>
      <c r="HRT73" s="609"/>
      <c r="HRU73" s="609"/>
      <c r="HRV73" s="609"/>
      <c r="HRW73" s="609"/>
      <c r="HRX73" s="609"/>
      <c r="HRY73" s="609"/>
      <c r="HRZ73" s="609"/>
      <c r="HSA73" s="609"/>
      <c r="HSB73" s="609"/>
      <c r="HSC73" s="609"/>
      <c r="HSD73" s="609"/>
      <c r="HSE73" s="609"/>
      <c r="HSF73" s="609"/>
      <c r="HSG73" s="609"/>
      <c r="HSH73" s="609"/>
      <c r="HSI73" s="609"/>
      <c r="HSJ73" s="609"/>
      <c r="HSK73" s="609"/>
      <c r="HSL73" s="609"/>
      <c r="HSM73" s="609"/>
      <c r="HSN73" s="609"/>
      <c r="HSO73" s="609"/>
      <c r="HSP73" s="609"/>
      <c r="HSQ73" s="609"/>
      <c r="HSR73" s="609"/>
      <c r="HSS73" s="609"/>
      <c r="HST73" s="609"/>
      <c r="HSU73" s="609"/>
      <c r="HSV73" s="609"/>
      <c r="HSW73" s="609"/>
      <c r="HSX73" s="609"/>
      <c r="HSY73" s="609"/>
      <c r="HSZ73" s="609"/>
      <c r="HTA73" s="609"/>
      <c r="HTB73" s="609"/>
      <c r="HTC73" s="609"/>
      <c r="HTD73" s="609"/>
      <c r="HTE73" s="609"/>
      <c r="HTF73" s="609"/>
      <c r="HTG73" s="609"/>
      <c r="HTH73" s="609"/>
      <c r="HTI73" s="609"/>
      <c r="HTJ73" s="609"/>
      <c r="HTK73" s="609"/>
      <c r="HTL73" s="609"/>
      <c r="HTM73" s="609"/>
      <c r="HTN73" s="609"/>
      <c r="HTO73" s="609"/>
      <c r="HTP73" s="609"/>
      <c r="HTQ73" s="609"/>
      <c r="HTR73" s="609"/>
      <c r="HTS73" s="609"/>
      <c r="HTT73" s="609"/>
      <c r="HTU73" s="609"/>
      <c r="HTV73" s="609"/>
      <c r="HTW73" s="609"/>
      <c r="HTX73" s="609"/>
      <c r="HTY73" s="609"/>
      <c r="HTZ73" s="609"/>
      <c r="HUA73" s="609"/>
      <c r="HUB73" s="609"/>
      <c r="HUC73" s="609"/>
      <c r="HUD73" s="609"/>
      <c r="HUE73" s="609"/>
      <c r="HUF73" s="609"/>
      <c r="HUG73" s="609"/>
      <c r="HUH73" s="609"/>
      <c r="HUI73" s="609"/>
      <c r="HUJ73" s="609"/>
      <c r="HUK73" s="609"/>
      <c r="HUL73" s="609"/>
      <c r="HUM73" s="609"/>
      <c r="HUN73" s="609"/>
      <c r="HUO73" s="609"/>
      <c r="HUP73" s="609"/>
      <c r="HUQ73" s="609"/>
      <c r="HUR73" s="609"/>
      <c r="HUS73" s="609"/>
      <c r="HUT73" s="609"/>
      <c r="HUU73" s="609"/>
      <c r="HUV73" s="609"/>
      <c r="HUW73" s="609"/>
      <c r="HUX73" s="609"/>
      <c r="HUY73" s="609"/>
      <c r="HUZ73" s="609"/>
      <c r="HVA73" s="609"/>
      <c r="HVB73" s="609"/>
      <c r="HVC73" s="609"/>
      <c r="HVD73" s="609"/>
      <c r="HVE73" s="609"/>
      <c r="HVF73" s="609"/>
      <c r="HVG73" s="609"/>
      <c r="HVH73" s="609"/>
      <c r="HVI73" s="609"/>
      <c r="HVJ73" s="609"/>
      <c r="HVK73" s="609"/>
      <c r="HVL73" s="609"/>
      <c r="HVM73" s="609"/>
      <c r="HVN73" s="609"/>
      <c r="HVO73" s="609"/>
      <c r="HVP73" s="609"/>
      <c r="HVQ73" s="609"/>
      <c r="HVR73" s="609"/>
      <c r="HVS73" s="609"/>
      <c r="HVT73" s="609"/>
      <c r="HVU73" s="609"/>
      <c r="HVV73" s="609"/>
      <c r="HVW73" s="609"/>
      <c r="HVX73" s="609"/>
      <c r="HVY73" s="609"/>
      <c r="HVZ73" s="609"/>
      <c r="HWA73" s="609"/>
      <c r="HWB73" s="609"/>
      <c r="HWC73" s="609"/>
      <c r="HWD73" s="609"/>
      <c r="HWE73" s="609"/>
      <c r="HWF73" s="609"/>
      <c r="HWG73" s="609"/>
      <c r="HWH73" s="609"/>
      <c r="HWI73" s="609"/>
      <c r="HWJ73" s="609"/>
      <c r="HWK73" s="609"/>
      <c r="HWL73" s="609"/>
      <c r="HWM73" s="609"/>
      <c r="HWN73" s="609"/>
      <c r="HWO73" s="609"/>
      <c r="HWP73" s="609"/>
      <c r="HWQ73" s="609"/>
      <c r="HWR73" s="609"/>
      <c r="HWS73" s="609"/>
      <c r="HWT73" s="609"/>
      <c r="HWU73" s="609"/>
      <c r="HWV73" s="609"/>
      <c r="HWW73" s="609"/>
      <c r="HWX73" s="609"/>
      <c r="HWY73" s="609"/>
      <c r="HWZ73" s="609"/>
      <c r="HXA73" s="609"/>
      <c r="HXB73" s="609"/>
      <c r="HXC73" s="609"/>
      <c r="HXD73" s="609"/>
      <c r="HXE73" s="609"/>
      <c r="HXF73" s="609"/>
      <c r="HXG73" s="609"/>
      <c r="HXH73" s="609"/>
      <c r="HXI73" s="609"/>
      <c r="HXJ73" s="609"/>
      <c r="HXK73" s="609"/>
      <c r="HXL73" s="609"/>
      <c r="HXM73" s="609"/>
      <c r="HXN73" s="609"/>
      <c r="HXO73" s="609"/>
      <c r="HXP73" s="609"/>
      <c r="HXQ73" s="609"/>
      <c r="HXR73" s="609"/>
      <c r="HXS73" s="609"/>
      <c r="HXT73" s="609"/>
      <c r="HXU73" s="609"/>
      <c r="HXV73" s="609"/>
      <c r="HXW73" s="609"/>
      <c r="HXX73" s="609"/>
      <c r="HXY73" s="609"/>
      <c r="HXZ73" s="609"/>
      <c r="HYA73" s="609"/>
      <c r="HYB73" s="609"/>
      <c r="HYC73" s="609"/>
      <c r="HYD73" s="609"/>
      <c r="HYE73" s="609"/>
      <c r="HYF73" s="609"/>
      <c r="HYG73" s="609"/>
      <c r="HYH73" s="609"/>
      <c r="HYI73" s="609"/>
      <c r="HYJ73" s="609"/>
      <c r="HYK73" s="609"/>
      <c r="HYL73" s="609"/>
      <c r="HYM73" s="609"/>
      <c r="HYN73" s="609"/>
      <c r="HYO73" s="609"/>
      <c r="HYP73" s="609"/>
      <c r="HYQ73" s="609"/>
      <c r="HYR73" s="609"/>
      <c r="HYS73" s="609"/>
      <c r="HYT73" s="609"/>
      <c r="HYU73" s="609"/>
      <c r="HYV73" s="609"/>
      <c r="HYW73" s="609"/>
      <c r="HYX73" s="609"/>
      <c r="HYY73" s="609"/>
      <c r="HYZ73" s="609"/>
      <c r="HZA73" s="609"/>
      <c r="HZB73" s="609"/>
      <c r="HZC73" s="609"/>
      <c r="HZD73" s="609"/>
      <c r="HZE73" s="609"/>
      <c r="HZF73" s="609"/>
      <c r="HZG73" s="609"/>
      <c r="HZH73" s="609"/>
      <c r="HZI73" s="609"/>
      <c r="HZJ73" s="609"/>
      <c r="HZK73" s="609"/>
      <c r="HZL73" s="609"/>
      <c r="HZM73" s="609"/>
      <c r="HZN73" s="609"/>
      <c r="HZO73" s="609"/>
      <c r="HZP73" s="609"/>
      <c r="HZQ73" s="609"/>
      <c r="HZR73" s="609"/>
      <c r="HZS73" s="609"/>
      <c r="HZT73" s="609"/>
      <c r="HZU73" s="609"/>
      <c r="HZV73" s="609"/>
      <c r="HZW73" s="609"/>
      <c r="HZX73" s="609"/>
      <c r="HZY73" s="609"/>
      <c r="HZZ73" s="609"/>
      <c r="IAA73" s="609"/>
      <c r="IAB73" s="609"/>
      <c r="IAC73" s="609"/>
      <c r="IAD73" s="609"/>
      <c r="IAE73" s="609"/>
      <c r="IAF73" s="609"/>
      <c r="IAG73" s="609"/>
      <c r="IAH73" s="609"/>
      <c r="IAI73" s="609"/>
      <c r="IAJ73" s="609"/>
      <c r="IAK73" s="609"/>
      <c r="IAL73" s="609"/>
      <c r="IAM73" s="609"/>
      <c r="IAN73" s="609"/>
      <c r="IAO73" s="609"/>
      <c r="IAP73" s="609"/>
      <c r="IAQ73" s="609"/>
      <c r="IAR73" s="609"/>
      <c r="IAS73" s="609"/>
      <c r="IAT73" s="609"/>
      <c r="IAU73" s="609"/>
      <c r="IAV73" s="609"/>
      <c r="IAW73" s="609"/>
      <c r="IAX73" s="609"/>
      <c r="IAY73" s="609"/>
      <c r="IAZ73" s="609"/>
      <c r="IBA73" s="609"/>
      <c r="IBB73" s="609"/>
      <c r="IBC73" s="609"/>
      <c r="IBD73" s="609"/>
      <c r="IBE73" s="609"/>
      <c r="IBF73" s="609"/>
      <c r="IBG73" s="609"/>
      <c r="IBH73" s="609"/>
      <c r="IBI73" s="609"/>
      <c r="IBJ73" s="609"/>
      <c r="IBK73" s="609"/>
      <c r="IBL73" s="609"/>
      <c r="IBM73" s="609"/>
      <c r="IBN73" s="609"/>
      <c r="IBO73" s="609"/>
      <c r="IBP73" s="609"/>
      <c r="IBQ73" s="609"/>
      <c r="IBR73" s="609"/>
      <c r="IBS73" s="609"/>
      <c r="IBT73" s="609"/>
      <c r="IBU73" s="609"/>
      <c r="IBV73" s="609"/>
      <c r="IBW73" s="609"/>
      <c r="IBX73" s="609"/>
      <c r="IBY73" s="609"/>
      <c r="IBZ73" s="609"/>
      <c r="ICA73" s="609"/>
      <c r="ICB73" s="609"/>
      <c r="ICC73" s="609"/>
      <c r="ICD73" s="609"/>
      <c r="ICE73" s="609"/>
      <c r="ICF73" s="609"/>
      <c r="ICG73" s="609"/>
      <c r="ICH73" s="609"/>
      <c r="ICI73" s="609"/>
      <c r="ICJ73" s="609"/>
      <c r="ICK73" s="609"/>
      <c r="ICL73" s="609"/>
      <c r="ICM73" s="609"/>
      <c r="ICN73" s="609"/>
      <c r="ICO73" s="609"/>
      <c r="ICP73" s="609"/>
      <c r="ICQ73" s="609"/>
      <c r="ICR73" s="609"/>
      <c r="ICS73" s="609"/>
      <c r="ICT73" s="609"/>
      <c r="ICU73" s="609"/>
      <c r="ICV73" s="609"/>
      <c r="ICW73" s="609"/>
      <c r="ICX73" s="609"/>
      <c r="ICY73" s="609"/>
      <c r="ICZ73" s="609"/>
      <c r="IDA73" s="609"/>
      <c r="IDB73" s="609"/>
      <c r="IDC73" s="609"/>
      <c r="IDD73" s="609"/>
      <c r="IDE73" s="609"/>
      <c r="IDF73" s="609"/>
      <c r="IDG73" s="609"/>
      <c r="IDH73" s="609"/>
      <c r="IDI73" s="609"/>
      <c r="IDJ73" s="609"/>
      <c r="IDK73" s="609"/>
      <c r="IDL73" s="609"/>
      <c r="IDM73" s="609"/>
      <c r="IDN73" s="609"/>
      <c r="IDO73" s="609"/>
      <c r="IDP73" s="609"/>
      <c r="IDQ73" s="609"/>
      <c r="IDR73" s="609"/>
      <c r="IDS73" s="609"/>
      <c r="IDT73" s="609"/>
      <c r="IDU73" s="609"/>
      <c r="IDV73" s="609"/>
      <c r="IDW73" s="609"/>
      <c r="IDX73" s="609"/>
      <c r="IDY73" s="609"/>
      <c r="IDZ73" s="609"/>
      <c r="IEA73" s="609"/>
      <c r="IEB73" s="609"/>
      <c r="IEC73" s="609"/>
      <c r="IED73" s="609"/>
      <c r="IEE73" s="609"/>
      <c r="IEF73" s="609"/>
      <c r="IEG73" s="609"/>
      <c r="IEH73" s="609"/>
      <c r="IEI73" s="609"/>
      <c r="IEJ73" s="609"/>
      <c r="IEK73" s="609"/>
      <c r="IEL73" s="609"/>
      <c r="IEM73" s="609"/>
      <c r="IEN73" s="609"/>
      <c r="IEO73" s="609"/>
      <c r="IEP73" s="609"/>
      <c r="IEQ73" s="609"/>
      <c r="IER73" s="609"/>
      <c r="IES73" s="609"/>
      <c r="IET73" s="609"/>
      <c r="IEU73" s="609"/>
      <c r="IEV73" s="609"/>
      <c r="IEW73" s="609"/>
      <c r="IEX73" s="609"/>
      <c r="IEY73" s="609"/>
      <c r="IEZ73" s="609"/>
      <c r="IFA73" s="609"/>
      <c r="IFB73" s="609"/>
      <c r="IFC73" s="609"/>
      <c r="IFD73" s="609"/>
      <c r="IFE73" s="609"/>
      <c r="IFF73" s="609"/>
      <c r="IFG73" s="609"/>
      <c r="IFH73" s="609"/>
      <c r="IFI73" s="609"/>
      <c r="IFJ73" s="609"/>
      <c r="IFK73" s="609"/>
      <c r="IFL73" s="609"/>
      <c r="IFM73" s="609"/>
      <c r="IFN73" s="609"/>
      <c r="IFO73" s="609"/>
      <c r="IFP73" s="609"/>
      <c r="IFQ73" s="609"/>
      <c r="IFR73" s="609"/>
      <c r="IFS73" s="609"/>
      <c r="IFT73" s="609"/>
      <c r="IFU73" s="609"/>
      <c r="IFV73" s="609"/>
      <c r="IFW73" s="609"/>
      <c r="IFX73" s="609"/>
      <c r="IFY73" s="609"/>
      <c r="IFZ73" s="609"/>
      <c r="IGA73" s="609"/>
      <c r="IGB73" s="609"/>
      <c r="IGC73" s="609"/>
      <c r="IGD73" s="609"/>
      <c r="IGE73" s="609"/>
      <c r="IGF73" s="609"/>
      <c r="IGG73" s="609"/>
      <c r="IGH73" s="609"/>
      <c r="IGI73" s="609"/>
      <c r="IGJ73" s="609"/>
      <c r="IGK73" s="609"/>
      <c r="IGL73" s="609"/>
      <c r="IGM73" s="609"/>
      <c r="IGN73" s="609"/>
      <c r="IGO73" s="609"/>
      <c r="IGP73" s="609"/>
      <c r="IGQ73" s="609"/>
      <c r="IGR73" s="609"/>
      <c r="IGS73" s="609"/>
      <c r="IGT73" s="609"/>
      <c r="IGU73" s="609"/>
      <c r="IGV73" s="609"/>
      <c r="IGW73" s="609"/>
      <c r="IGX73" s="609"/>
      <c r="IGY73" s="609"/>
      <c r="IGZ73" s="609"/>
      <c r="IHA73" s="609"/>
      <c r="IHB73" s="609"/>
      <c r="IHC73" s="609"/>
      <c r="IHD73" s="609"/>
      <c r="IHE73" s="609"/>
      <c r="IHF73" s="609"/>
      <c r="IHG73" s="609"/>
      <c r="IHH73" s="609"/>
      <c r="IHI73" s="609"/>
      <c r="IHJ73" s="609"/>
      <c r="IHK73" s="609"/>
      <c r="IHL73" s="609"/>
      <c r="IHM73" s="609"/>
      <c r="IHN73" s="609"/>
      <c r="IHO73" s="609"/>
      <c r="IHP73" s="609"/>
      <c r="IHQ73" s="609"/>
      <c r="IHR73" s="609"/>
      <c r="IHS73" s="609"/>
      <c r="IHT73" s="609"/>
      <c r="IHU73" s="609"/>
      <c r="IHV73" s="609"/>
      <c r="IHW73" s="609"/>
      <c r="IHX73" s="609"/>
      <c r="IHY73" s="609"/>
      <c r="IHZ73" s="609"/>
      <c r="IIA73" s="609"/>
      <c r="IIB73" s="609"/>
      <c r="IIC73" s="609"/>
      <c r="IID73" s="609"/>
      <c r="IIE73" s="609"/>
      <c r="IIF73" s="609"/>
      <c r="IIG73" s="609"/>
      <c r="IIH73" s="609"/>
      <c r="III73" s="609"/>
      <c r="IIJ73" s="609"/>
      <c r="IIK73" s="609"/>
      <c r="IIL73" s="609"/>
      <c r="IIM73" s="609"/>
      <c r="IIN73" s="609"/>
      <c r="IIO73" s="609"/>
      <c r="IIP73" s="609"/>
      <c r="IIQ73" s="609"/>
      <c r="IIR73" s="609"/>
      <c r="IIS73" s="609"/>
      <c r="IIT73" s="609"/>
      <c r="IIU73" s="609"/>
      <c r="IIV73" s="609"/>
      <c r="IIW73" s="609"/>
      <c r="IIX73" s="609"/>
      <c r="IIY73" s="609"/>
      <c r="IIZ73" s="609"/>
      <c r="IJA73" s="609"/>
      <c r="IJB73" s="609"/>
      <c r="IJC73" s="609"/>
      <c r="IJD73" s="609"/>
      <c r="IJE73" s="609"/>
      <c r="IJF73" s="609"/>
      <c r="IJG73" s="609"/>
      <c r="IJH73" s="609"/>
      <c r="IJI73" s="609"/>
      <c r="IJJ73" s="609"/>
      <c r="IJK73" s="609"/>
      <c r="IJL73" s="609"/>
      <c r="IJM73" s="609"/>
      <c r="IJN73" s="609"/>
      <c r="IJO73" s="609"/>
      <c r="IJP73" s="609"/>
      <c r="IJQ73" s="609"/>
      <c r="IJR73" s="609"/>
      <c r="IJS73" s="609"/>
      <c r="IJT73" s="609"/>
      <c r="IJU73" s="609"/>
      <c r="IJV73" s="609"/>
      <c r="IJW73" s="609"/>
      <c r="IJX73" s="609"/>
      <c r="IJY73" s="609"/>
      <c r="IJZ73" s="609"/>
      <c r="IKA73" s="609"/>
      <c r="IKB73" s="609"/>
      <c r="IKC73" s="609"/>
      <c r="IKD73" s="609"/>
      <c r="IKE73" s="609"/>
      <c r="IKF73" s="609"/>
      <c r="IKG73" s="609"/>
      <c r="IKH73" s="609"/>
      <c r="IKI73" s="609"/>
      <c r="IKJ73" s="609"/>
      <c r="IKK73" s="609"/>
      <c r="IKL73" s="609"/>
      <c r="IKM73" s="609"/>
      <c r="IKN73" s="609"/>
      <c r="IKO73" s="609"/>
      <c r="IKP73" s="609"/>
      <c r="IKQ73" s="609"/>
      <c r="IKR73" s="609"/>
      <c r="IKS73" s="609"/>
      <c r="IKT73" s="609"/>
      <c r="IKU73" s="609"/>
      <c r="IKV73" s="609"/>
      <c r="IKW73" s="609"/>
      <c r="IKX73" s="609"/>
      <c r="IKY73" s="609"/>
      <c r="IKZ73" s="609"/>
      <c r="ILA73" s="609"/>
      <c r="ILB73" s="609"/>
      <c r="ILC73" s="609"/>
      <c r="ILD73" s="609"/>
      <c r="ILE73" s="609"/>
      <c r="ILF73" s="609"/>
      <c r="ILG73" s="609"/>
      <c r="ILH73" s="609"/>
      <c r="ILI73" s="609"/>
      <c r="ILJ73" s="609"/>
      <c r="ILK73" s="609"/>
      <c r="ILL73" s="609"/>
      <c r="ILM73" s="609"/>
      <c r="ILN73" s="609"/>
      <c r="ILO73" s="609"/>
      <c r="ILP73" s="609"/>
      <c r="ILQ73" s="609"/>
      <c r="ILR73" s="609"/>
      <c r="ILS73" s="609"/>
      <c r="ILT73" s="609"/>
      <c r="ILU73" s="609"/>
      <c r="ILV73" s="609"/>
      <c r="ILW73" s="609"/>
      <c r="ILX73" s="609"/>
      <c r="ILY73" s="609"/>
      <c r="ILZ73" s="609"/>
      <c r="IMA73" s="609"/>
      <c r="IMB73" s="609"/>
      <c r="IMC73" s="609"/>
      <c r="IMD73" s="609"/>
      <c r="IME73" s="609"/>
      <c r="IMF73" s="609"/>
      <c r="IMG73" s="609"/>
      <c r="IMH73" s="609"/>
      <c r="IMI73" s="609"/>
      <c r="IMJ73" s="609"/>
      <c r="IMK73" s="609"/>
      <c r="IML73" s="609"/>
      <c r="IMM73" s="609"/>
      <c r="IMN73" s="609"/>
      <c r="IMO73" s="609"/>
      <c r="IMP73" s="609"/>
      <c r="IMQ73" s="609"/>
      <c r="IMR73" s="609"/>
      <c r="IMS73" s="609"/>
      <c r="IMT73" s="609"/>
      <c r="IMU73" s="609"/>
      <c r="IMV73" s="609"/>
      <c r="IMW73" s="609"/>
      <c r="IMX73" s="609"/>
      <c r="IMY73" s="609"/>
      <c r="IMZ73" s="609"/>
      <c r="INA73" s="609"/>
      <c r="INB73" s="609"/>
      <c r="INC73" s="609"/>
      <c r="IND73" s="609"/>
      <c r="INE73" s="609"/>
      <c r="INF73" s="609"/>
      <c r="ING73" s="609"/>
      <c r="INH73" s="609"/>
      <c r="INI73" s="609"/>
      <c r="INJ73" s="609"/>
      <c r="INK73" s="609"/>
      <c r="INL73" s="609"/>
      <c r="INM73" s="609"/>
      <c r="INN73" s="609"/>
      <c r="INO73" s="609"/>
      <c r="INP73" s="609"/>
      <c r="INQ73" s="609"/>
      <c r="INR73" s="609"/>
      <c r="INS73" s="609"/>
      <c r="INT73" s="609"/>
      <c r="INU73" s="609"/>
      <c r="INV73" s="609"/>
      <c r="INW73" s="609"/>
      <c r="INX73" s="609"/>
      <c r="INY73" s="609"/>
      <c r="INZ73" s="609"/>
      <c r="IOA73" s="609"/>
      <c r="IOB73" s="609"/>
      <c r="IOC73" s="609"/>
      <c r="IOD73" s="609"/>
      <c r="IOE73" s="609"/>
      <c r="IOF73" s="609"/>
      <c r="IOG73" s="609"/>
      <c r="IOH73" s="609"/>
      <c r="IOI73" s="609"/>
      <c r="IOJ73" s="609"/>
      <c r="IOK73" s="609"/>
      <c r="IOL73" s="609"/>
      <c r="IOM73" s="609"/>
      <c r="ION73" s="609"/>
      <c r="IOO73" s="609"/>
      <c r="IOP73" s="609"/>
      <c r="IOQ73" s="609"/>
      <c r="IOR73" s="609"/>
      <c r="IOS73" s="609"/>
      <c r="IOT73" s="609"/>
      <c r="IOU73" s="609"/>
      <c r="IOV73" s="609"/>
      <c r="IOW73" s="609"/>
      <c r="IOX73" s="609"/>
      <c r="IOY73" s="609"/>
      <c r="IOZ73" s="609"/>
      <c r="IPA73" s="609"/>
      <c r="IPB73" s="609"/>
      <c r="IPC73" s="609"/>
      <c r="IPD73" s="609"/>
      <c r="IPE73" s="609"/>
      <c r="IPF73" s="609"/>
      <c r="IPG73" s="609"/>
      <c r="IPH73" s="609"/>
      <c r="IPI73" s="609"/>
      <c r="IPJ73" s="609"/>
      <c r="IPK73" s="609"/>
      <c r="IPL73" s="609"/>
      <c r="IPM73" s="609"/>
      <c r="IPN73" s="609"/>
      <c r="IPO73" s="609"/>
      <c r="IPP73" s="609"/>
      <c r="IPQ73" s="609"/>
      <c r="IPR73" s="609"/>
      <c r="IPS73" s="609"/>
      <c r="IPT73" s="609"/>
      <c r="IPU73" s="609"/>
      <c r="IPV73" s="609"/>
      <c r="IPW73" s="609"/>
      <c r="IPX73" s="609"/>
      <c r="IPY73" s="609"/>
      <c r="IPZ73" s="609"/>
      <c r="IQA73" s="609"/>
      <c r="IQB73" s="609"/>
      <c r="IQC73" s="609"/>
      <c r="IQD73" s="609"/>
      <c r="IQE73" s="609"/>
      <c r="IQF73" s="609"/>
      <c r="IQG73" s="609"/>
      <c r="IQH73" s="609"/>
      <c r="IQI73" s="609"/>
      <c r="IQJ73" s="609"/>
      <c r="IQK73" s="609"/>
      <c r="IQL73" s="609"/>
      <c r="IQM73" s="609"/>
      <c r="IQN73" s="609"/>
      <c r="IQO73" s="609"/>
      <c r="IQP73" s="609"/>
      <c r="IQQ73" s="609"/>
      <c r="IQR73" s="609"/>
      <c r="IQS73" s="609"/>
      <c r="IQT73" s="609"/>
      <c r="IQU73" s="609"/>
      <c r="IQV73" s="609"/>
      <c r="IQW73" s="609"/>
      <c r="IQX73" s="609"/>
      <c r="IQY73" s="609"/>
      <c r="IQZ73" s="609"/>
      <c r="IRA73" s="609"/>
      <c r="IRB73" s="609"/>
      <c r="IRC73" s="609"/>
      <c r="IRD73" s="609"/>
      <c r="IRE73" s="609"/>
      <c r="IRF73" s="609"/>
      <c r="IRG73" s="609"/>
      <c r="IRH73" s="609"/>
      <c r="IRI73" s="609"/>
      <c r="IRJ73" s="609"/>
      <c r="IRK73" s="609"/>
      <c r="IRL73" s="609"/>
      <c r="IRM73" s="609"/>
      <c r="IRN73" s="609"/>
      <c r="IRO73" s="609"/>
      <c r="IRP73" s="609"/>
      <c r="IRQ73" s="609"/>
      <c r="IRR73" s="609"/>
      <c r="IRS73" s="609"/>
      <c r="IRT73" s="609"/>
      <c r="IRU73" s="609"/>
      <c r="IRV73" s="609"/>
      <c r="IRW73" s="609"/>
      <c r="IRX73" s="609"/>
      <c r="IRY73" s="609"/>
      <c r="IRZ73" s="609"/>
      <c r="ISA73" s="609"/>
      <c r="ISB73" s="609"/>
      <c r="ISC73" s="609"/>
      <c r="ISD73" s="609"/>
      <c r="ISE73" s="609"/>
      <c r="ISF73" s="609"/>
      <c r="ISG73" s="609"/>
      <c r="ISH73" s="609"/>
      <c r="ISI73" s="609"/>
      <c r="ISJ73" s="609"/>
      <c r="ISK73" s="609"/>
      <c r="ISL73" s="609"/>
      <c r="ISM73" s="609"/>
      <c r="ISN73" s="609"/>
      <c r="ISO73" s="609"/>
      <c r="ISP73" s="609"/>
      <c r="ISQ73" s="609"/>
      <c r="ISR73" s="609"/>
      <c r="ISS73" s="609"/>
      <c r="IST73" s="609"/>
      <c r="ISU73" s="609"/>
      <c r="ISV73" s="609"/>
      <c r="ISW73" s="609"/>
      <c r="ISX73" s="609"/>
      <c r="ISY73" s="609"/>
      <c r="ISZ73" s="609"/>
      <c r="ITA73" s="609"/>
      <c r="ITB73" s="609"/>
      <c r="ITC73" s="609"/>
      <c r="ITD73" s="609"/>
      <c r="ITE73" s="609"/>
      <c r="ITF73" s="609"/>
      <c r="ITG73" s="609"/>
      <c r="ITH73" s="609"/>
      <c r="ITI73" s="609"/>
      <c r="ITJ73" s="609"/>
      <c r="ITK73" s="609"/>
      <c r="ITL73" s="609"/>
      <c r="ITM73" s="609"/>
      <c r="ITN73" s="609"/>
      <c r="ITO73" s="609"/>
      <c r="ITP73" s="609"/>
      <c r="ITQ73" s="609"/>
      <c r="ITR73" s="609"/>
      <c r="ITS73" s="609"/>
      <c r="ITT73" s="609"/>
      <c r="ITU73" s="609"/>
      <c r="ITV73" s="609"/>
      <c r="ITW73" s="609"/>
      <c r="ITX73" s="609"/>
      <c r="ITY73" s="609"/>
      <c r="ITZ73" s="609"/>
      <c r="IUA73" s="609"/>
      <c r="IUB73" s="609"/>
      <c r="IUC73" s="609"/>
      <c r="IUD73" s="609"/>
      <c r="IUE73" s="609"/>
      <c r="IUF73" s="609"/>
      <c r="IUG73" s="609"/>
      <c r="IUH73" s="609"/>
      <c r="IUI73" s="609"/>
      <c r="IUJ73" s="609"/>
      <c r="IUK73" s="609"/>
      <c r="IUL73" s="609"/>
      <c r="IUM73" s="609"/>
      <c r="IUN73" s="609"/>
      <c r="IUO73" s="609"/>
      <c r="IUP73" s="609"/>
      <c r="IUQ73" s="609"/>
      <c r="IUR73" s="609"/>
      <c r="IUS73" s="609"/>
      <c r="IUT73" s="609"/>
      <c r="IUU73" s="609"/>
      <c r="IUV73" s="609"/>
      <c r="IUW73" s="609"/>
      <c r="IUX73" s="609"/>
      <c r="IUY73" s="609"/>
      <c r="IUZ73" s="609"/>
      <c r="IVA73" s="609"/>
      <c r="IVB73" s="609"/>
      <c r="IVC73" s="609"/>
      <c r="IVD73" s="609"/>
      <c r="IVE73" s="609"/>
      <c r="IVF73" s="609"/>
      <c r="IVG73" s="609"/>
      <c r="IVH73" s="609"/>
      <c r="IVI73" s="609"/>
      <c r="IVJ73" s="609"/>
      <c r="IVK73" s="609"/>
      <c r="IVL73" s="609"/>
      <c r="IVM73" s="609"/>
      <c r="IVN73" s="609"/>
      <c r="IVO73" s="609"/>
      <c r="IVP73" s="609"/>
      <c r="IVQ73" s="609"/>
      <c r="IVR73" s="609"/>
      <c r="IVS73" s="609"/>
      <c r="IVT73" s="609"/>
      <c r="IVU73" s="609"/>
      <c r="IVV73" s="609"/>
      <c r="IVW73" s="609"/>
      <c r="IVX73" s="609"/>
      <c r="IVY73" s="609"/>
      <c r="IVZ73" s="609"/>
      <c r="IWA73" s="609"/>
      <c r="IWB73" s="609"/>
      <c r="IWC73" s="609"/>
      <c r="IWD73" s="609"/>
      <c r="IWE73" s="609"/>
      <c r="IWF73" s="609"/>
      <c r="IWG73" s="609"/>
      <c r="IWH73" s="609"/>
      <c r="IWI73" s="609"/>
      <c r="IWJ73" s="609"/>
      <c r="IWK73" s="609"/>
      <c r="IWL73" s="609"/>
      <c r="IWM73" s="609"/>
      <c r="IWN73" s="609"/>
      <c r="IWO73" s="609"/>
      <c r="IWP73" s="609"/>
      <c r="IWQ73" s="609"/>
      <c r="IWR73" s="609"/>
      <c r="IWS73" s="609"/>
      <c r="IWT73" s="609"/>
      <c r="IWU73" s="609"/>
      <c r="IWV73" s="609"/>
      <c r="IWW73" s="609"/>
      <c r="IWX73" s="609"/>
      <c r="IWY73" s="609"/>
      <c r="IWZ73" s="609"/>
      <c r="IXA73" s="609"/>
      <c r="IXB73" s="609"/>
      <c r="IXC73" s="609"/>
      <c r="IXD73" s="609"/>
      <c r="IXE73" s="609"/>
      <c r="IXF73" s="609"/>
      <c r="IXG73" s="609"/>
      <c r="IXH73" s="609"/>
      <c r="IXI73" s="609"/>
      <c r="IXJ73" s="609"/>
      <c r="IXK73" s="609"/>
      <c r="IXL73" s="609"/>
      <c r="IXM73" s="609"/>
      <c r="IXN73" s="609"/>
      <c r="IXO73" s="609"/>
      <c r="IXP73" s="609"/>
      <c r="IXQ73" s="609"/>
      <c r="IXR73" s="609"/>
      <c r="IXS73" s="609"/>
      <c r="IXT73" s="609"/>
      <c r="IXU73" s="609"/>
      <c r="IXV73" s="609"/>
      <c r="IXW73" s="609"/>
      <c r="IXX73" s="609"/>
      <c r="IXY73" s="609"/>
      <c r="IXZ73" s="609"/>
      <c r="IYA73" s="609"/>
      <c r="IYB73" s="609"/>
      <c r="IYC73" s="609"/>
      <c r="IYD73" s="609"/>
      <c r="IYE73" s="609"/>
      <c r="IYF73" s="609"/>
      <c r="IYG73" s="609"/>
      <c r="IYH73" s="609"/>
      <c r="IYI73" s="609"/>
      <c r="IYJ73" s="609"/>
      <c r="IYK73" s="609"/>
      <c r="IYL73" s="609"/>
      <c r="IYM73" s="609"/>
      <c r="IYN73" s="609"/>
      <c r="IYO73" s="609"/>
      <c r="IYP73" s="609"/>
      <c r="IYQ73" s="609"/>
      <c r="IYR73" s="609"/>
      <c r="IYS73" s="609"/>
      <c r="IYT73" s="609"/>
      <c r="IYU73" s="609"/>
      <c r="IYV73" s="609"/>
      <c r="IYW73" s="609"/>
      <c r="IYX73" s="609"/>
      <c r="IYY73" s="609"/>
      <c r="IYZ73" s="609"/>
      <c r="IZA73" s="609"/>
      <c r="IZB73" s="609"/>
      <c r="IZC73" s="609"/>
      <c r="IZD73" s="609"/>
      <c r="IZE73" s="609"/>
      <c r="IZF73" s="609"/>
      <c r="IZG73" s="609"/>
      <c r="IZH73" s="609"/>
      <c r="IZI73" s="609"/>
      <c r="IZJ73" s="609"/>
      <c r="IZK73" s="609"/>
      <c r="IZL73" s="609"/>
      <c r="IZM73" s="609"/>
      <c r="IZN73" s="609"/>
      <c r="IZO73" s="609"/>
      <c r="IZP73" s="609"/>
      <c r="IZQ73" s="609"/>
      <c r="IZR73" s="609"/>
      <c r="IZS73" s="609"/>
      <c r="IZT73" s="609"/>
      <c r="IZU73" s="609"/>
      <c r="IZV73" s="609"/>
      <c r="IZW73" s="609"/>
      <c r="IZX73" s="609"/>
      <c r="IZY73" s="609"/>
      <c r="IZZ73" s="609"/>
      <c r="JAA73" s="609"/>
      <c r="JAB73" s="609"/>
      <c r="JAC73" s="609"/>
      <c r="JAD73" s="609"/>
      <c r="JAE73" s="609"/>
      <c r="JAF73" s="609"/>
      <c r="JAG73" s="609"/>
      <c r="JAH73" s="609"/>
      <c r="JAI73" s="609"/>
      <c r="JAJ73" s="609"/>
      <c r="JAK73" s="609"/>
      <c r="JAL73" s="609"/>
      <c r="JAM73" s="609"/>
      <c r="JAN73" s="609"/>
      <c r="JAO73" s="609"/>
      <c r="JAP73" s="609"/>
      <c r="JAQ73" s="609"/>
      <c r="JAR73" s="609"/>
      <c r="JAS73" s="609"/>
      <c r="JAT73" s="609"/>
      <c r="JAU73" s="609"/>
      <c r="JAV73" s="609"/>
      <c r="JAW73" s="609"/>
      <c r="JAX73" s="609"/>
      <c r="JAY73" s="609"/>
      <c r="JAZ73" s="609"/>
      <c r="JBA73" s="609"/>
      <c r="JBB73" s="609"/>
      <c r="JBC73" s="609"/>
      <c r="JBD73" s="609"/>
      <c r="JBE73" s="609"/>
      <c r="JBF73" s="609"/>
      <c r="JBG73" s="609"/>
      <c r="JBH73" s="609"/>
      <c r="JBI73" s="609"/>
      <c r="JBJ73" s="609"/>
      <c r="JBK73" s="609"/>
      <c r="JBL73" s="609"/>
      <c r="JBM73" s="609"/>
      <c r="JBN73" s="609"/>
      <c r="JBO73" s="609"/>
      <c r="JBP73" s="609"/>
      <c r="JBQ73" s="609"/>
      <c r="JBR73" s="609"/>
      <c r="JBS73" s="609"/>
      <c r="JBT73" s="609"/>
      <c r="JBU73" s="609"/>
      <c r="JBV73" s="609"/>
      <c r="JBW73" s="609"/>
      <c r="JBX73" s="609"/>
      <c r="JBY73" s="609"/>
      <c r="JBZ73" s="609"/>
      <c r="JCA73" s="609"/>
      <c r="JCB73" s="609"/>
      <c r="JCC73" s="609"/>
      <c r="JCD73" s="609"/>
      <c r="JCE73" s="609"/>
      <c r="JCF73" s="609"/>
      <c r="JCG73" s="609"/>
      <c r="JCH73" s="609"/>
      <c r="JCI73" s="609"/>
      <c r="JCJ73" s="609"/>
      <c r="JCK73" s="609"/>
      <c r="JCL73" s="609"/>
      <c r="JCM73" s="609"/>
      <c r="JCN73" s="609"/>
      <c r="JCO73" s="609"/>
      <c r="JCP73" s="609"/>
      <c r="JCQ73" s="609"/>
      <c r="JCR73" s="609"/>
      <c r="JCS73" s="609"/>
      <c r="JCT73" s="609"/>
      <c r="JCU73" s="609"/>
      <c r="JCV73" s="609"/>
      <c r="JCW73" s="609"/>
      <c r="JCX73" s="609"/>
      <c r="JCY73" s="609"/>
      <c r="JCZ73" s="609"/>
      <c r="JDA73" s="609"/>
      <c r="JDB73" s="609"/>
      <c r="JDC73" s="609"/>
      <c r="JDD73" s="609"/>
      <c r="JDE73" s="609"/>
      <c r="JDF73" s="609"/>
      <c r="JDG73" s="609"/>
      <c r="JDH73" s="609"/>
      <c r="JDI73" s="609"/>
      <c r="JDJ73" s="609"/>
      <c r="JDK73" s="609"/>
      <c r="JDL73" s="609"/>
      <c r="JDM73" s="609"/>
      <c r="JDN73" s="609"/>
      <c r="JDO73" s="609"/>
      <c r="JDP73" s="609"/>
      <c r="JDQ73" s="609"/>
      <c r="JDR73" s="609"/>
      <c r="JDS73" s="609"/>
      <c r="JDT73" s="609"/>
      <c r="JDU73" s="609"/>
      <c r="JDV73" s="609"/>
      <c r="JDW73" s="609"/>
      <c r="JDX73" s="609"/>
      <c r="JDY73" s="609"/>
      <c r="JDZ73" s="609"/>
      <c r="JEA73" s="609"/>
      <c r="JEB73" s="609"/>
      <c r="JEC73" s="609"/>
      <c r="JED73" s="609"/>
      <c r="JEE73" s="609"/>
      <c r="JEF73" s="609"/>
      <c r="JEG73" s="609"/>
      <c r="JEH73" s="609"/>
      <c r="JEI73" s="609"/>
      <c r="JEJ73" s="609"/>
      <c r="JEK73" s="609"/>
      <c r="JEL73" s="609"/>
      <c r="JEM73" s="609"/>
      <c r="JEN73" s="609"/>
      <c r="JEO73" s="609"/>
      <c r="JEP73" s="609"/>
      <c r="JEQ73" s="609"/>
      <c r="JER73" s="609"/>
      <c r="JES73" s="609"/>
      <c r="JET73" s="609"/>
      <c r="JEU73" s="609"/>
      <c r="JEV73" s="609"/>
      <c r="JEW73" s="609"/>
      <c r="JEX73" s="609"/>
      <c r="JEY73" s="609"/>
      <c r="JEZ73" s="609"/>
      <c r="JFA73" s="609"/>
      <c r="JFB73" s="609"/>
      <c r="JFC73" s="609"/>
      <c r="JFD73" s="609"/>
      <c r="JFE73" s="609"/>
      <c r="JFF73" s="609"/>
      <c r="JFG73" s="609"/>
      <c r="JFH73" s="609"/>
      <c r="JFI73" s="609"/>
      <c r="JFJ73" s="609"/>
      <c r="JFK73" s="609"/>
      <c r="JFL73" s="609"/>
      <c r="JFM73" s="609"/>
      <c r="JFN73" s="609"/>
      <c r="JFO73" s="609"/>
      <c r="JFP73" s="609"/>
      <c r="JFQ73" s="609"/>
      <c r="JFR73" s="609"/>
      <c r="JFS73" s="609"/>
      <c r="JFT73" s="609"/>
      <c r="JFU73" s="609"/>
      <c r="JFV73" s="609"/>
      <c r="JFW73" s="609"/>
      <c r="JFX73" s="609"/>
      <c r="JFY73" s="609"/>
      <c r="JFZ73" s="609"/>
      <c r="JGA73" s="609"/>
      <c r="JGB73" s="609"/>
      <c r="JGC73" s="609"/>
      <c r="JGD73" s="609"/>
      <c r="JGE73" s="609"/>
      <c r="JGF73" s="609"/>
      <c r="JGG73" s="609"/>
      <c r="JGH73" s="609"/>
      <c r="JGI73" s="609"/>
      <c r="JGJ73" s="609"/>
      <c r="JGK73" s="609"/>
      <c r="JGL73" s="609"/>
      <c r="JGM73" s="609"/>
      <c r="JGN73" s="609"/>
      <c r="JGO73" s="609"/>
      <c r="JGP73" s="609"/>
      <c r="JGQ73" s="609"/>
      <c r="JGR73" s="609"/>
      <c r="JGS73" s="609"/>
      <c r="JGT73" s="609"/>
      <c r="JGU73" s="609"/>
      <c r="JGV73" s="609"/>
      <c r="JGW73" s="609"/>
      <c r="JGX73" s="609"/>
      <c r="JGY73" s="609"/>
      <c r="JGZ73" s="609"/>
      <c r="JHA73" s="609"/>
      <c r="JHB73" s="609"/>
      <c r="JHC73" s="609"/>
      <c r="JHD73" s="609"/>
      <c r="JHE73" s="609"/>
      <c r="JHF73" s="609"/>
      <c r="JHG73" s="609"/>
      <c r="JHH73" s="609"/>
      <c r="JHI73" s="609"/>
      <c r="JHJ73" s="609"/>
      <c r="JHK73" s="609"/>
      <c r="JHL73" s="609"/>
      <c r="JHM73" s="609"/>
      <c r="JHN73" s="609"/>
      <c r="JHO73" s="609"/>
      <c r="JHP73" s="609"/>
      <c r="JHQ73" s="609"/>
      <c r="JHR73" s="609"/>
      <c r="JHS73" s="609"/>
      <c r="JHT73" s="609"/>
      <c r="JHU73" s="609"/>
      <c r="JHV73" s="609"/>
      <c r="JHW73" s="609"/>
      <c r="JHX73" s="609"/>
      <c r="JHY73" s="609"/>
      <c r="JHZ73" s="609"/>
      <c r="JIA73" s="609"/>
      <c r="JIB73" s="609"/>
      <c r="JIC73" s="609"/>
      <c r="JID73" s="609"/>
      <c r="JIE73" s="609"/>
      <c r="JIF73" s="609"/>
      <c r="JIG73" s="609"/>
      <c r="JIH73" s="609"/>
      <c r="JII73" s="609"/>
      <c r="JIJ73" s="609"/>
      <c r="JIK73" s="609"/>
      <c r="JIL73" s="609"/>
      <c r="JIM73" s="609"/>
      <c r="JIN73" s="609"/>
      <c r="JIO73" s="609"/>
      <c r="JIP73" s="609"/>
      <c r="JIQ73" s="609"/>
      <c r="JIR73" s="609"/>
      <c r="JIS73" s="609"/>
      <c r="JIT73" s="609"/>
      <c r="JIU73" s="609"/>
      <c r="JIV73" s="609"/>
      <c r="JIW73" s="609"/>
      <c r="JIX73" s="609"/>
      <c r="JIY73" s="609"/>
      <c r="JIZ73" s="609"/>
      <c r="JJA73" s="609"/>
      <c r="JJB73" s="609"/>
      <c r="JJC73" s="609"/>
      <c r="JJD73" s="609"/>
      <c r="JJE73" s="609"/>
      <c r="JJF73" s="609"/>
      <c r="JJG73" s="609"/>
      <c r="JJH73" s="609"/>
      <c r="JJI73" s="609"/>
      <c r="JJJ73" s="609"/>
      <c r="JJK73" s="609"/>
      <c r="JJL73" s="609"/>
      <c r="JJM73" s="609"/>
      <c r="JJN73" s="609"/>
      <c r="JJO73" s="609"/>
      <c r="JJP73" s="609"/>
      <c r="JJQ73" s="609"/>
      <c r="JJR73" s="609"/>
      <c r="JJS73" s="609"/>
      <c r="JJT73" s="609"/>
      <c r="JJU73" s="609"/>
      <c r="JJV73" s="609"/>
      <c r="JJW73" s="609"/>
      <c r="JJX73" s="609"/>
      <c r="JJY73" s="609"/>
      <c r="JJZ73" s="609"/>
      <c r="JKA73" s="609"/>
      <c r="JKB73" s="609"/>
      <c r="JKC73" s="609"/>
      <c r="JKD73" s="609"/>
      <c r="JKE73" s="609"/>
      <c r="JKF73" s="609"/>
      <c r="JKG73" s="609"/>
      <c r="JKH73" s="609"/>
      <c r="JKI73" s="609"/>
      <c r="JKJ73" s="609"/>
      <c r="JKK73" s="609"/>
      <c r="JKL73" s="609"/>
      <c r="JKM73" s="609"/>
      <c r="JKN73" s="609"/>
      <c r="JKO73" s="609"/>
      <c r="JKP73" s="609"/>
      <c r="JKQ73" s="609"/>
      <c r="JKR73" s="609"/>
      <c r="JKS73" s="609"/>
      <c r="JKT73" s="609"/>
      <c r="JKU73" s="609"/>
      <c r="JKV73" s="609"/>
      <c r="JKW73" s="609"/>
      <c r="JKX73" s="609"/>
      <c r="JKY73" s="609"/>
      <c r="JKZ73" s="609"/>
      <c r="JLA73" s="609"/>
      <c r="JLB73" s="609"/>
      <c r="JLC73" s="609"/>
      <c r="JLD73" s="609"/>
      <c r="JLE73" s="609"/>
      <c r="JLF73" s="609"/>
      <c r="JLG73" s="609"/>
      <c r="JLH73" s="609"/>
      <c r="JLI73" s="609"/>
      <c r="JLJ73" s="609"/>
      <c r="JLK73" s="609"/>
      <c r="JLL73" s="609"/>
      <c r="JLM73" s="609"/>
      <c r="JLN73" s="609"/>
      <c r="JLO73" s="609"/>
      <c r="JLP73" s="609"/>
      <c r="JLQ73" s="609"/>
      <c r="JLR73" s="609"/>
      <c r="JLS73" s="609"/>
      <c r="JLT73" s="609"/>
      <c r="JLU73" s="609"/>
      <c r="JLV73" s="609"/>
      <c r="JLW73" s="609"/>
      <c r="JLX73" s="609"/>
      <c r="JLY73" s="609"/>
      <c r="JLZ73" s="609"/>
      <c r="JMA73" s="609"/>
      <c r="JMB73" s="609"/>
      <c r="JMC73" s="609"/>
      <c r="JMD73" s="609"/>
      <c r="JME73" s="609"/>
      <c r="JMF73" s="609"/>
      <c r="JMG73" s="609"/>
      <c r="JMH73" s="609"/>
      <c r="JMI73" s="609"/>
      <c r="JMJ73" s="609"/>
      <c r="JMK73" s="609"/>
      <c r="JML73" s="609"/>
      <c r="JMM73" s="609"/>
      <c r="JMN73" s="609"/>
      <c r="JMO73" s="609"/>
      <c r="JMP73" s="609"/>
      <c r="JMQ73" s="609"/>
      <c r="JMR73" s="609"/>
      <c r="JMS73" s="609"/>
      <c r="JMT73" s="609"/>
      <c r="JMU73" s="609"/>
      <c r="JMV73" s="609"/>
      <c r="JMW73" s="609"/>
      <c r="JMX73" s="609"/>
      <c r="JMY73" s="609"/>
      <c r="JMZ73" s="609"/>
      <c r="JNA73" s="609"/>
      <c r="JNB73" s="609"/>
      <c r="JNC73" s="609"/>
      <c r="JND73" s="609"/>
      <c r="JNE73" s="609"/>
      <c r="JNF73" s="609"/>
      <c r="JNG73" s="609"/>
      <c r="JNH73" s="609"/>
      <c r="JNI73" s="609"/>
      <c r="JNJ73" s="609"/>
      <c r="JNK73" s="609"/>
      <c r="JNL73" s="609"/>
      <c r="JNM73" s="609"/>
      <c r="JNN73" s="609"/>
      <c r="JNO73" s="609"/>
      <c r="JNP73" s="609"/>
      <c r="JNQ73" s="609"/>
      <c r="JNR73" s="609"/>
      <c r="JNS73" s="609"/>
      <c r="JNT73" s="609"/>
      <c r="JNU73" s="609"/>
      <c r="JNV73" s="609"/>
      <c r="JNW73" s="609"/>
      <c r="JNX73" s="609"/>
      <c r="JNY73" s="609"/>
      <c r="JNZ73" s="609"/>
      <c r="JOA73" s="609"/>
      <c r="JOB73" s="609"/>
      <c r="JOC73" s="609"/>
      <c r="JOD73" s="609"/>
      <c r="JOE73" s="609"/>
      <c r="JOF73" s="609"/>
      <c r="JOG73" s="609"/>
      <c r="JOH73" s="609"/>
      <c r="JOI73" s="609"/>
      <c r="JOJ73" s="609"/>
      <c r="JOK73" s="609"/>
      <c r="JOL73" s="609"/>
      <c r="JOM73" s="609"/>
      <c r="JON73" s="609"/>
      <c r="JOO73" s="609"/>
      <c r="JOP73" s="609"/>
      <c r="JOQ73" s="609"/>
      <c r="JOR73" s="609"/>
      <c r="JOS73" s="609"/>
      <c r="JOT73" s="609"/>
      <c r="JOU73" s="609"/>
      <c r="JOV73" s="609"/>
      <c r="JOW73" s="609"/>
      <c r="JOX73" s="609"/>
      <c r="JOY73" s="609"/>
      <c r="JOZ73" s="609"/>
      <c r="JPA73" s="609"/>
      <c r="JPB73" s="609"/>
      <c r="JPC73" s="609"/>
      <c r="JPD73" s="609"/>
      <c r="JPE73" s="609"/>
      <c r="JPF73" s="609"/>
      <c r="JPG73" s="609"/>
      <c r="JPH73" s="609"/>
      <c r="JPI73" s="609"/>
      <c r="JPJ73" s="609"/>
      <c r="JPK73" s="609"/>
      <c r="JPL73" s="609"/>
      <c r="JPM73" s="609"/>
      <c r="JPN73" s="609"/>
      <c r="JPO73" s="609"/>
      <c r="JPP73" s="609"/>
      <c r="JPQ73" s="609"/>
      <c r="JPR73" s="609"/>
      <c r="JPS73" s="609"/>
      <c r="JPT73" s="609"/>
      <c r="JPU73" s="609"/>
      <c r="JPV73" s="609"/>
      <c r="JPW73" s="609"/>
      <c r="JPX73" s="609"/>
      <c r="JPY73" s="609"/>
      <c r="JPZ73" s="609"/>
      <c r="JQA73" s="609"/>
      <c r="JQB73" s="609"/>
      <c r="JQC73" s="609"/>
      <c r="JQD73" s="609"/>
      <c r="JQE73" s="609"/>
      <c r="JQF73" s="609"/>
      <c r="JQG73" s="609"/>
      <c r="JQH73" s="609"/>
      <c r="JQI73" s="609"/>
      <c r="JQJ73" s="609"/>
      <c r="JQK73" s="609"/>
      <c r="JQL73" s="609"/>
      <c r="JQM73" s="609"/>
      <c r="JQN73" s="609"/>
      <c r="JQO73" s="609"/>
      <c r="JQP73" s="609"/>
      <c r="JQQ73" s="609"/>
      <c r="JQR73" s="609"/>
      <c r="JQS73" s="609"/>
      <c r="JQT73" s="609"/>
      <c r="JQU73" s="609"/>
      <c r="JQV73" s="609"/>
      <c r="JQW73" s="609"/>
      <c r="JQX73" s="609"/>
      <c r="JQY73" s="609"/>
      <c r="JQZ73" s="609"/>
      <c r="JRA73" s="609"/>
      <c r="JRB73" s="609"/>
      <c r="JRC73" s="609"/>
      <c r="JRD73" s="609"/>
      <c r="JRE73" s="609"/>
      <c r="JRF73" s="609"/>
      <c r="JRG73" s="609"/>
      <c r="JRH73" s="609"/>
      <c r="JRI73" s="609"/>
      <c r="JRJ73" s="609"/>
      <c r="JRK73" s="609"/>
      <c r="JRL73" s="609"/>
      <c r="JRM73" s="609"/>
      <c r="JRN73" s="609"/>
      <c r="JRO73" s="609"/>
      <c r="JRP73" s="609"/>
      <c r="JRQ73" s="609"/>
      <c r="JRR73" s="609"/>
      <c r="JRS73" s="609"/>
      <c r="JRT73" s="609"/>
      <c r="JRU73" s="609"/>
      <c r="JRV73" s="609"/>
      <c r="JRW73" s="609"/>
      <c r="JRX73" s="609"/>
      <c r="JRY73" s="609"/>
      <c r="JRZ73" s="609"/>
      <c r="JSA73" s="609"/>
      <c r="JSB73" s="609"/>
      <c r="JSC73" s="609"/>
      <c r="JSD73" s="609"/>
      <c r="JSE73" s="609"/>
      <c r="JSF73" s="609"/>
      <c r="JSG73" s="609"/>
      <c r="JSH73" s="609"/>
      <c r="JSI73" s="609"/>
      <c r="JSJ73" s="609"/>
      <c r="JSK73" s="609"/>
      <c r="JSL73" s="609"/>
      <c r="JSM73" s="609"/>
      <c r="JSN73" s="609"/>
      <c r="JSO73" s="609"/>
      <c r="JSP73" s="609"/>
      <c r="JSQ73" s="609"/>
      <c r="JSR73" s="609"/>
      <c r="JSS73" s="609"/>
      <c r="JST73" s="609"/>
      <c r="JSU73" s="609"/>
      <c r="JSV73" s="609"/>
      <c r="JSW73" s="609"/>
      <c r="JSX73" s="609"/>
      <c r="JSY73" s="609"/>
      <c r="JSZ73" s="609"/>
      <c r="JTA73" s="609"/>
      <c r="JTB73" s="609"/>
      <c r="JTC73" s="609"/>
      <c r="JTD73" s="609"/>
      <c r="JTE73" s="609"/>
      <c r="JTF73" s="609"/>
      <c r="JTG73" s="609"/>
      <c r="JTH73" s="609"/>
      <c r="JTI73" s="609"/>
      <c r="JTJ73" s="609"/>
      <c r="JTK73" s="609"/>
      <c r="JTL73" s="609"/>
      <c r="JTM73" s="609"/>
      <c r="JTN73" s="609"/>
      <c r="JTO73" s="609"/>
      <c r="JTP73" s="609"/>
      <c r="JTQ73" s="609"/>
      <c r="JTR73" s="609"/>
      <c r="JTS73" s="609"/>
      <c r="JTT73" s="609"/>
      <c r="JTU73" s="609"/>
      <c r="JTV73" s="609"/>
      <c r="JTW73" s="609"/>
      <c r="JTX73" s="609"/>
      <c r="JTY73" s="609"/>
      <c r="JTZ73" s="609"/>
      <c r="JUA73" s="609"/>
      <c r="JUB73" s="609"/>
      <c r="JUC73" s="609"/>
      <c r="JUD73" s="609"/>
      <c r="JUE73" s="609"/>
      <c r="JUF73" s="609"/>
      <c r="JUG73" s="609"/>
      <c r="JUH73" s="609"/>
      <c r="JUI73" s="609"/>
      <c r="JUJ73" s="609"/>
      <c r="JUK73" s="609"/>
      <c r="JUL73" s="609"/>
      <c r="JUM73" s="609"/>
      <c r="JUN73" s="609"/>
      <c r="JUO73" s="609"/>
      <c r="JUP73" s="609"/>
      <c r="JUQ73" s="609"/>
      <c r="JUR73" s="609"/>
      <c r="JUS73" s="609"/>
      <c r="JUT73" s="609"/>
      <c r="JUU73" s="609"/>
      <c r="JUV73" s="609"/>
      <c r="JUW73" s="609"/>
      <c r="JUX73" s="609"/>
      <c r="JUY73" s="609"/>
      <c r="JUZ73" s="609"/>
      <c r="JVA73" s="609"/>
      <c r="JVB73" s="609"/>
      <c r="JVC73" s="609"/>
      <c r="JVD73" s="609"/>
      <c r="JVE73" s="609"/>
      <c r="JVF73" s="609"/>
      <c r="JVG73" s="609"/>
      <c r="JVH73" s="609"/>
      <c r="JVI73" s="609"/>
      <c r="JVJ73" s="609"/>
      <c r="JVK73" s="609"/>
      <c r="JVL73" s="609"/>
      <c r="JVM73" s="609"/>
      <c r="JVN73" s="609"/>
      <c r="JVO73" s="609"/>
      <c r="JVP73" s="609"/>
      <c r="JVQ73" s="609"/>
      <c r="JVR73" s="609"/>
      <c r="JVS73" s="609"/>
      <c r="JVT73" s="609"/>
      <c r="JVU73" s="609"/>
      <c r="JVV73" s="609"/>
      <c r="JVW73" s="609"/>
      <c r="JVX73" s="609"/>
      <c r="JVY73" s="609"/>
      <c r="JVZ73" s="609"/>
      <c r="JWA73" s="609"/>
      <c r="JWB73" s="609"/>
      <c r="JWC73" s="609"/>
      <c r="JWD73" s="609"/>
      <c r="JWE73" s="609"/>
      <c r="JWF73" s="609"/>
      <c r="JWG73" s="609"/>
      <c r="JWH73" s="609"/>
      <c r="JWI73" s="609"/>
      <c r="JWJ73" s="609"/>
      <c r="JWK73" s="609"/>
      <c r="JWL73" s="609"/>
      <c r="JWM73" s="609"/>
      <c r="JWN73" s="609"/>
      <c r="JWO73" s="609"/>
      <c r="JWP73" s="609"/>
      <c r="JWQ73" s="609"/>
      <c r="JWR73" s="609"/>
      <c r="JWS73" s="609"/>
      <c r="JWT73" s="609"/>
      <c r="JWU73" s="609"/>
      <c r="JWV73" s="609"/>
      <c r="JWW73" s="609"/>
      <c r="JWX73" s="609"/>
      <c r="JWY73" s="609"/>
      <c r="JWZ73" s="609"/>
      <c r="JXA73" s="609"/>
      <c r="JXB73" s="609"/>
      <c r="JXC73" s="609"/>
      <c r="JXD73" s="609"/>
      <c r="JXE73" s="609"/>
      <c r="JXF73" s="609"/>
      <c r="JXG73" s="609"/>
      <c r="JXH73" s="609"/>
      <c r="JXI73" s="609"/>
      <c r="JXJ73" s="609"/>
      <c r="JXK73" s="609"/>
      <c r="JXL73" s="609"/>
      <c r="JXM73" s="609"/>
      <c r="JXN73" s="609"/>
      <c r="JXO73" s="609"/>
      <c r="JXP73" s="609"/>
      <c r="JXQ73" s="609"/>
      <c r="JXR73" s="609"/>
      <c r="JXS73" s="609"/>
      <c r="JXT73" s="609"/>
      <c r="JXU73" s="609"/>
      <c r="JXV73" s="609"/>
      <c r="JXW73" s="609"/>
      <c r="JXX73" s="609"/>
      <c r="JXY73" s="609"/>
      <c r="JXZ73" s="609"/>
      <c r="JYA73" s="609"/>
      <c r="JYB73" s="609"/>
      <c r="JYC73" s="609"/>
      <c r="JYD73" s="609"/>
      <c r="JYE73" s="609"/>
      <c r="JYF73" s="609"/>
      <c r="JYG73" s="609"/>
      <c r="JYH73" s="609"/>
      <c r="JYI73" s="609"/>
      <c r="JYJ73" s="609"/>
      <c r="JYK73" s="609"/>
      <c r="JYL73" s="609"/>
      <c r="JYM73" s="609"/>
      <c r="JYN73" s="609"/>
      <c r="JYO73" s="609"/>
      <c r="JYP73" s="609"/>
      <c r="JYQ73" s="609"/>
      <c r="JYR73" s="609"/>
      <c r="JYS73" s="609"/>
      <c r="JYT73" s="609"/>
      <c r="JYU73" s="609"/>
      <c r="JYV73" s="609"/>
      <c r="JYW73" s="609"/>
      <c r="JYX73" s="609"/>
      <c r="JYY73" s="609"/>
      <c r="JYZ73" s="609"/>
      <c r="JZA73" s="609"/>
      <c r="JZB73" s="609"/>
      <c r="JZC73" s="609"/>
      <c r="JZD73" s="609"/>
      <c r="JZE73" s="609"/>
      <c r="JZF73" s="609"/>
      <c r="JZG73" s="609"/>
      <c r="JZH73" s="609"/>
      <c r="JZI73" s="609"/>
      <c r="JZJ73" s="609"/>
      <c r="JZK73" s="609"/>
      <c r="JZL73" s="609"/>
      <c r="JZM73" s="609"/>
      <c r="JZN73" s="609"/>
      <c r="JZO73" s="609"/>
      <c r="JZP73" s="609"/>
      <c r="JZQ73" s="609"/>
      <c r="JZR73" s="609"/>
      <c r="JZS73" s="609"/>
      <c r="JZT73" s="609"/>
      <c r="JZU73" s="609"/>
      <c r="JZV73" s="609"/>
      <c r="JZW73" s="609"/>
      <c r="JZX73" s="609"/>
      <c r="JZY73" s="609"/>
      <c r="JZZ73" s="609"/>
      <c r="KAA73" s="609"/>
      <c r="KAB73" s="609"/>
      <c r="KAC73" s="609"/>
      <c r="KAD73" s="609"/>
      <c r="KAE73" s="609"/>
      <c r="KAF73" s="609"/>
      <c r="KAG73" s="609"/>
      <c r="KAH73" s="609"/>
      <c r="KAI73" s="609"/>
      <c r="KAJ73" s="609"/>
      <c r="KAK73" s="609"/>
      <c r="KAL73" s="609"/>
      <c r="KAM73" s="609"/>
      <c r="KAN73" s="609"/>
      <c r="KAO73" s="609"/>
      <c r="KAP73" s="609"/>
      <c r="KAQ73" s="609"/>
      <c r="KAR73" s="609"/>
      <c r="KAS73" s="609"/>
      <c r="KAT73" s="609"/>
      <c r="KAU73" s="609"/>
      <c r="KAV73" s="609"/>
      <c r="KAW73" s="609"/>
      <c r="KAX73" s="609"/>
      <c r="KAY73" s="609"/>
      <c r="KAZ73" s="609"/>
      <c r="KBA73" s="609"/>
      <c r="KBB73" s="609"/>
      <c r="KBC73" s="609"/>
      <c r="KBD73" s="609"/>
      <c r="KBE73" s="609"/>
      <c r="KBF73" s="609"/>
      <c r="KBG73" s="609"/>
      <c r="KBH73" s="609"/>
      <c r="KBI73" s="609"/>
      <c r="KBJ73" s="609"/>
      <c r="KBK73" s="609"/>
      <c r="KBL73" s="609"/>
      <c r="KBM73" s="609"/>
      <c r="KBN73" s="609"/>
      <c r="KBO73" s="609"/>
      <c r="KBP73" s="609"/>
      <c r="KBQ73" s="609"/>
      <c r="KBR73" s="609"/>
      <c r="KBS73" s="609"/>
      <c r="KBT73" s="609"/>
      <c r="KBU73" s="609"/>
      <c r="KBV73" s="609"/>
      <c r="KBW73" s="609"/>
      <c r="KBX73" s="609"/>
      <c r="KBY73" s="609"/>
      <c r="KBZ73" s="609"/>
      <c r="KCA73" s="609"/>
      <c r="KCB73" s="609"/>
      <c r="KCC73" s="609"/>
      <c r="KCD73" s="609"/>
      <c r="KCE73" s="609"/>
      <c r="KCF73" s="609"/>
      <c r="KCG73" s="609"/>
      <c r="KCH73" s="609"/>
      <c r="KCI73" s="609"/>
      <c r="KCJ73" s="609"/>
      <c r="KCK73" s="609"/>
      <c r="KCL73" s="609"/>
      <c r="KCM73" s="609"/>
      <c r="KCN73" s="609"/>
      <c r="KCO73" s="609"/>
      <c r="KCP73" s="609"/>
      <c r="KCQ73" s="609"/>
      <c r="KCR73" s="609"/>
      <c r="KCS73" s="609"/>
      <c r="KCT73" s="609"/>
      <c r="KCU73" s="609"/>
      <c r="KCV73" s="609"/>
      <c r="KCW73" s="609"/>
      <c r="KCX73" s="609"/>
      <c r="KCY73" s="609"/>
      <c r="KCZ73" s="609"/>
      <c r="KDA73" s="609"/>
      <c r="KDB73" s="609"/>
      <c r="KDC73" s="609"/>
      <c r="KDD73" s="609"/>
      <c r="KDE73" s="609"/>
      <c r="KDF73" s="609"/>
      <c r="KDG73" s="609"/>
      <c r="KDH73" s="609"/>
      <c r="KDI73" s="609"/>
      <c r="KDJ73" s="609"/>
      <c r="KDK73" s="609"/>
      <c r="KDL73" s="609"/>
      <c r="KDM73" s="609"/>
      <c r="KDN73" s="609"/>
      <c r="KDO73" s="609"/>
      <c r="KDP73" s="609"/>
      <c r="KDQ73" s="609"/>
      <c r="KDR73" s="609"/>
      <c r="KDS73" s="609"/>
      <c r="KDT73" s="609"/>
      <c r="KDU73" s="609"/>
      <c r="KDV73" s="609"/>
      <c r="KDW73" s="609"/>
      <c r="KDX73" s="609"/>
      <c r="KDY73" s="609"/>
      <c r="KDZ73" s="609"/>
      <c r="KEA73" s="609"/>
      <c r="KEB73" s="609"/>
      <c r="KEC73" s="609"/>
      <c r="KED73" s="609"/>
      <c r="KEE73" s="609"/>
      <c r="KEF73" s="609"/>
      <c r="KEG73" s="609"/>
      <c r="KEH73" s="609"/>
      <c r="KEI73" s="609"/>
      <c r="KEJ73" s="609"/>
      <c r="KEK73" s="609"/>
      <c r="KEL73" s="609"/>
      <c r="KEM73" s="609"/>
      <c r="KEN73" s="609"/>
      <c r="KEO73" s="609"/>
      <c r="KEP73" s="609"/>
      <c r="KEQ73" s="609"/>
      <c r="KER73" s="609"/>
      <c r="KES73" s="609"/>
      <c r="KET73" s="609"/>
      <c r="KEU73" s="609"/>
      <c r="KEV73" s="609"/>
      <c r="KEW73" s="609"/>
      <c r="KEX73" s="609"/>
      <c r="KEY73" s="609"/>
      <c r="KEZ73" s="609"/>
      <c r="KFA73" s="609"/>
      <c r="KFB73" s="609"/>
      <c r="KFC73" s="609"/>
      <c r="KFD73" s="609"/>
      <c r="KFE73" s="609"/>
      <c r="KFF73" s="609"/>
      <c r="KFG73" s="609"/>
      <c r="KFH73" s="609"/>
      <c r="KFI73" s="609"/>
      <c r="KFJ73" s="609"/>
      <c r="KFK73" s="609"/>
      <c r="KFL73" s="609"/>
      <c r="KFM73" s="609"/>
      <c r="KFN73" s="609"/>
      <c r="KFO73" s="609"/>
      <c r="KFP73" s="609"/>
      <c r="KFQ73" s="609"/>
      <c r="KFR73" s="609"/>
      <c r="KFS73" s="609"/>
      <c r="KFT73" s="609"/>
      <c r="KFU73" s="609"/>
      <c r="KFV73" s="609"/>
      <c r="KFW73" s="609"/>
      <c r="KFX73" s="609"/>
      <c r="KFY73" s="609"/>
      <c r="KFZ73" s="609"/>
      <c r="KGA73" s="609"/>
      <c r="KGB73" s="609"/>
      <c r="KGC73" s="609"/>
      <c r="KGD73" s="609"/>
      <c r="KGE73" s="609"/>
      <c r="KGF73" s="609"/>
      <c r="KGG73" s="609"/>
      <c r="KGH73" s="609"/>
      <c r="KGI73" s="609"/>
      <c r="KGJ73" s="609"/>
      <c r="KGK73" s="609"/>
      <c r="KGL73" s="609"/>
      <c r="KGM73" s="609"/>
      <c r="KGN73" s="609"/>
      <c r="KGO73" s="609"/>
      <c r="KGP73" s="609"/>
      <c r="KGQ73" s="609"/>
      <c r="KGR73" s="609"/>
      <c r="KGS73" s="609"/>
      <c r="KGT73" s="609"/>
      <c r="KGU73" s="609"/>
      <c r="KGV73" s="609"/>
      <c r="KGW73" s="609"/>
      <c r="KGX73" s="609"/>
      <c r="KGY73" s="609"/>
      <c r="KGZ73" s="609"/>
      <c r="KHA73" s="609"/>
      <c r="KHB73" s="609"/>
      <c r="KHC73" s="609"/>
      <c r="KHD73" s="609"/>
      <c r="KHE73" s="609"/>
      <c r="KHF73" s="609"/>
      <c r="KHG73" s="609"/>
      <c r="KHH73" s="609"/>
      <c r="KHI73" s="609"/>
      <c r="KHJ73" s="609"/>
      <c r="KHK73" s="609"/>
      <c r="KHL73" s="609"/>
      <c r="KHM73" s="609"/>
      <c r="KHN73" s="609"/>
      <c r="KHO73" s="609"/>
      <c r="KHP73" s="609"/>
      <c r="KHQ73" s="609"/>
      <c r="KHR73" s="609"/>
      <c r="KHS73" s="609"/>
      <c r="KHT73" s="609"/>
      <c r="KHU73" s="609"/>
      <c r="KHV73" s="609"/>
      <c r="KHW73" s="609"/>
      <c r="KHX73" s="609"/>
      <c r="KHY73" s="609"/>
      <c r="KHZ73" s="609"/>
      <c r="KIA73" s="609"/>
      <c r="KIB73" s="609"/>
      <c r="KIC73" s="609"/>
      <c r="KID73" s="609"/>
      <c r="KIE73" s="609"/>
      <c r="KIF73" s="609"/>
      <c r="KIG73" s="609"/>
      <c r="KIH73" s="609"/>
      <c r="KII73" s="609"/>
      <c r="KIJ73" s="609"/>
      <c r="KIK73" s="609"/>
      <c r="KIL73" s="609"/>
      <c r="KIM73" s="609"/>
      <c r="KIN73" s="609"/>
      <c r="KIO73" s="609"/>
      <c r="KIP73" s="609"/>
      <c r="KIQ73" s="609"/>
      <c r="KIR73" s="609"/>
      <c r="KIS73" s="609"/>
      <c r="KIT73" s="609"/>
      <c r="KIU73" s="609"/>
      <c r="KIV73" s="609"/>
      <c r="KIW73" s="609"/>
      <c r="KIX73" s="609"/>
      <c r="KIY73" s="609"/>
      <c r="KIZ73" s="609"/>
      <c r="KJA73" s="609"/>
      <c r="KJB73" s="609"/>
      <c r="KJC73" s="609"/>
      <c r="KJD73" s="609"/>
      <c r="KJE73" s="609"/>
      <c r="KJF73" s="609"/>
      <c r="KJG73" s="609"/>
      <c r="KJH73" s="609"/>
      <c r="KJI73" s="609"/>
      <c r="KJJ73" s="609"/>
      <c r="KJK73" s="609"/>
      <c r="KJL73" s="609"/>
      <c r="KJM73" s="609"/>
      <c r="KJN73" s="609"/>
      <c r="KJO73" s="609"/>
      <c r="KJP73" s="609"/>
      <c r="KJQ73" s="609"/>
      <c r="KJR73" s="609"/>
      <c r="KJS73" s="609"/>
      <c r="KJT73" s="609"/>
      <c r="KJU73" s="609"/>
      <c r="KJV73" s="609"/>
      <c r="KJW73" s="609"/>
      <c r="KJX73" s="609"/>
      <c r="KJY73" s="609"/>
      <c r="KJZ73" s="609"/>
      <c r="KKA73" s="609"/>
      <c r="KKB73" s="609"/>
      <c r="KKC73" s="609"/>
      <c r="KKD73" s="609"/>
      <c r="KKE73" s="609"/>
      <c r="KKF73" s="609"/>
      <c r="KKG73" s="609"/>
      <c r="KKH73" s="609"/>
      <c r="KKI73" s="609"/>
      <c r="KKJ73" s="609"/>
      <c r="KKK73" s="609"/>
      <c r="KKL73" s="609"/>
      <c r="KKM73" s="609"/>
      <c r="KKN73" s="609"/>
      <c r="KKO73" s="609"/>
      <c r="KKP73" s="609"/>
      <c r="KKQ73" s="609"/>
      <c r="KKR73" s="609"/>
      <c r="KKS73" s="609"/>
      <c r="KKT73" s="609"/>
      <c r="KKU73" s="609"/>
      <c r="KKV73" s="609"/>
      <c r="KKW73" s="609"/>
      <c r="KKX73" s="609"/>
      <c r="KKY73" s="609"/>
      <c r="KKZ73" s="609"/>
      <c r="KLA73" s="609"/>
      <c r="KLB73" s="609"/>
      <c r="KLC73" s="609"/>
      <c r="KLD73" s="609"/>
      <c r="KLE73" s="609"/>
      <c r="KLF73" s="609"/>
      <c r="KLG73" s="609"/>
      <c r="KLH73" s="609"/>
      <c r="KLI73" s="609"/>
      <c r="KLJ73" s="609"/>
      <c r="KLK73" s="609"/>
      <c r="KLL73" s="609"/>
      <c r="KLM73" s="609"/>
      <c r="KLN73" s="609"/>
      <c r="KLO73" s="609"/>
      <c r="KLP73" s="609"/>
      <c r="KLQ73" s="609"/>
      <c r="KLR73" s="609"/>
      <c r="KLS73" s="609"/>
      <c r="KLT73" s="609"/>
      <c r="KLU73" s="609"/>
      <c r="KLV73" s="609"/>
      <c r="KLW73" s="609"/>
      <c r="KLX73" s="609"/>
      <c r="KLY73" s="609"/>
      <c r="KLZ73" s="609"/>
      <c r="KMA73" s="609"/>
      <c r="KMB73" s="609"/>
      <c r="KMC73" s="609"/>
      <c r="KMD73" s="609"/>
      <c r="KME73" s="609"/>
      <c r="KMF73" s="609"/>
      <c r="KMG73" s="609"/>
      <c r="KMH73" s="609"/>
      <c r="KMI73" s="609"/>
      <c r="KMJ73" s="609"/>
      <c r="KMK73" s="609"/>
      <c r="KML73" s="609"/>
      <c r="KMM73" s="609"/>
      <c r="KMN73" s="609"/>
      <c r="KMO73" s="609"/>
      <c r="KMP73" s="609"/>
      <c r="KMQ73" s="609"/>
      <c r="KMR73" s="609"/>
      <c r="KMS73" s="609"/>
      <c r="KMT73" s="609"/>
      <c r="KMU73" s="609"/>
      <c r="KMV73" s="609"/>
      <c r="KMW73" s="609"/>
      <c r="KMX73" s="609"/>
      <c r="KMY73" s="609"/>
      <c r="KMZ73" s="609"/>
      <c r="KNA73" s="609"/>
      <c r="KNB73" s="609"/>
      <c r="KNC73" s="609"/>
      <c r="KND73" s="609"/>
      <c r="KNE73" s="609"/>
      <c r="KNF73" s="609"/>
      <c r="KNG73" s="609"/>
      <c r="KNH73" s="609"/>
      <c r="KNI73" s="609"/>
      <c r="KNJ73" s="609"/>
      <c r="KNK73" s="609"/>
      <c r="KNL73" s="609"/>
      <c r="KNM73" s="609"/>
      <c r="KNN73" s="609"/>
      <c r="KNO73" s="609"/>
      <c r="KNP73" s="609"/>
      <c r="KNQ73" s="609"/>
      <c r="KNR73" s="609"/>
      <c r="KNS73" s="609"/>
      <c r="KNT73" s="609"/>
      <c r="KNU73" s="609"/>
      <c r="KNV73" s="609"/>
      <c r="KNW73" s="609"/>
      <c r="KNX73" s="609"/>
      <c r="KNY73" s="609"/>
      <c r="KNZ73" s="609"/>
      <c r="KOA73" s="609"/>
      <c r="KOB73" s="609"/>
      <c r="KOC73" s="609"/>
      <c r="KOD73" s="609"/>
      <c r="KOE73" s="609"/>
      <c r="KOF73" s="609"/>
      <c r="KOG73" s="609"/>
      <c r="KOH73" s="609"/>
      <c r="KOI73" s="609"/>
      <c r="KOJ73" s="609"/>
      <c r="KOK73" s="609"/>
      <c r="KOL73" s="609"/>
      <c r="KOM73" s="609"/>
      <c r="KON73" s="609"/>
      <c r="KOO73" s="609"/>
      <c r="KOP73" s="609"/>
      <c r="KOQ73" s="609"/>
      <c r="KOR73" s="609"/>
      <c r="KOS73" s="609"/>
      <c r="KOT73" s="609"/>
      <c r="KOU73" s="609"/>
      <c r="KOV73" s="609"/>
      <c r="KOW73" s="609"/>
      <c r="KOX73" s="609"/>
      <c r="KOY73" s="609"/>
      <c r="KOZ73" s="609"/>
      <c r="KPA73" s="609"/>
      <c r="KPB73" s="609"/>
      <c r="KPC73" s="609"/>
      <c r="KPD73" s="609"/>
      <c r="KPE73" s="609"/>
      <c r="KPF73" s="609"/>
      <c r="KPG73" s="609"/>
      <c r="KPH73" s="609"/>
      <c r="KPI73" s="609"/>
      <c r="KPJ73" s="609"/>
      <c r="KPK73" s="609"/>
      <c r="KPL73" s="609"/>
      <c r="KPM73" s="609"/>
      <c r="KPN73" s="609"/>
      <c r="KPO73" s="609"/>
      <c r="KPP73" s="609"/>
      <c r="KPQ73" s="609"/>
      <c r="KPR73" s="609"/>
      <c r="KPS73" s="609"/>
      <c r="KPT73" s="609"/>
      <c r="KPU73" s="609"/>
      <c r="KPV73" s="609"/>
      <c r="KPW73" s="609"/>
      <c r="KPX73" s="609"/>
      <c r="KPY73" s="609"/>
      <c r="KPZ73" s="609"/>
      <c r="KQA73" s="609"/>
      <c r="KQB73" s="609"/>
      <c r="KQC73" s="609"/>
      <c r="KQD73" s="609"/>
      <c r="KQE73" s="609"/>
      <c r="KQF73" s="609"/>
      <c r="KQG73" s="609"/>
      <c r="KQH73" s="609"/>
      <c r="KQI73" s="609"/>
      <c r="KQJ73" s="609"/>
      <c r="KQK73" s="609"/>
      <c r="KQL73" s="609"/>
      <c r="KQM73" s="609"/>
      <c r="KQN73" s="609"/>
      <c r="KQO73" s="609"/>
      <c r="KQP73" s="609"/>
      <c r="KQQ73" s="609"/>
      <c r="KQR73" s="609"/>
      <c r="KQS73" s="609"/>
      <c r="KQT73" s="609"/>
      <c r="KQU73" s="609"/>
      <c r="KQV73" s="609"/>
      <c r="KQW73" s="609"/>
      <c r="KQX73" s="609"/>
      <c r="KQY73" s="609"/>
      <c r="KQZ73" s="609"/>
      <c r="KRA73" s="609"/>
      <c r="KRB73" s="609"/>
      <c r="KRC73" s="609"/>
      <c r="KRD73" s="609"/>
      <c r="KRE73" s="609"/>
      <c r="KRF73" s="609"/>
      <c r="KRG73" s="609"/>
      <c r="KRH73" s="609"/>
      <c r="KRI73" s="609"/>
      <c r="KRJ73" s="609"/>
      <c r="KRK73" s="609"/>
      <c r="KRL73" s="609"/>
      <c r="KRM73" s="609"/>
      <c r="KRN73" s="609"/>
      <c r="KRO73" s="609"/>
      <c r="KRP73" s="609"/>
      <c r="KRQ73" s="609"/>
      <c r="KRR73" s="609"/>
      <c r="KRS73" s="609"/>
      <c r="KRT73" s="609"/>
      <c r="KRU73" s="609"/>
      <c r="KRV73" s="609"/>
      <c r="KRW73" s="609"/>
      <c r="KRX73" s="609"/>
      <c r="KRY73" s="609"/>
      <c r="KRZ73" s="609"/>
      <c r="KSA73" s="609"/>
      <c r="KSB73" s="609"/>
      <c r="KSC73" s="609"/>
      <c r="KSD73" s="609"/>
      <c r="KSE73" s="609"/>
      <c r="KSF73" s="609"/>
      <c r="KSG73" s="609"/>
      <c r="KSH73" s="609"/>
      <c r="KSI73" s="609"/>
      <c r="KSJ73" s="609"/>
      <c r="KSK73" s="609"/>
      <c r="KSL73" s="609"/>
      <c r="KSM73" s="609"/>
      <c r="KSN73" s="609"/>
      <c r="KSO73" s="609"/>
      <c r="KSP73" s="609"/>
      <c r="KSQ73" s="609"/>
      <c r="KSR73" s="609"/>
      <c r="KSS73" s="609"/>
      <c r="KST73" s="609"/>
      <c r="KSU73" s="609"/>
      <c r="KSV73" s="609"/>
      <c r="KSW73" s="609"/>
      <c r="KSX73" s="609"/>
      <c r="KSY73" s="609"/>
      <c r="KSZ73" s="609"/>
      <c r="KTA73" s="609"/>
      <c r="KTB73" s="609"/>
      <c r="KTC73" s="609"/>
      <c r="KTD73" s="609"/>
      <c r="KTE73" s="609"/>
      <c r="KTF73" s="609"/>
      <c r="KTG73" s="609"/>
      <c r="KTH73" s="609"/>
      <c r="KTI73" s="609"/>
      <c r="KTJ73" s="609"/>
      <c r="KTK73" s="609"/>
      <c r="KTL73" s="609"/>
      <c r="KTM73" s="609"/>
      <c r="KTN73" s="609"/>
      <c r="KTO73" s="609"/>
      <c r="KTP73" s="609"/>
      <c r="KTQ73" s="609"/>
      <c r="KTR73" s="609"/>
      <c r="KTS73" s="609"/>
      <c r="KTT73" s="609"/>
      <c r="KTU73" s="609"/>
      <c r="KTV73" s="609"/>
      <c r="KTW73" s="609"/>
      <c r="KTX73" s="609"/>
      <c r="KTY73" s="609"/>
      <c r="KTZ73" s="609"/>
      <c r="KUA73" s="609"/>
      <c r="KUB73" s="609"/>
      <c r="KUC73" s="609"/>
      <c r="KUD73" s="609"/>
      <c r="KUE73" s="609"/>
      <c r="KUF73" s="609"/>
      <c r="KUG73" s="609"/>
      <c r="KUH73" s="609"/>
      <c r="KUI73" s="609"/>
      <c r="KUJ73" s="609"/>
      <c r="KUK73" s="609"/>
      <c r="KUL73" s="609"/>
      <c r="KUM73" s="609"/>
      <c r="KUN73" s="609"/>
      <c r="KUO73" s="609"/>
      <c r="KUP73" s="609"/>
      <c r="KUQ73" s="609"/>
      <c r="KUR73" s="609"/>
      <c r="KUS73" s="609"/>
      <c r="KUT73" s="609"/>
      <c r="KUU73" s="609"/>
      <c r="KUV73" s="609"/>
      <c r="KUW73" s="609"/>
      <c r="KUX73" s="609"/>
      <c r="KUY73" s="609"/>
      <c r="KUZ73" s="609"/>
      <c r="KVA73" s="609"/>
      <c r="KVB73" s="609"/>
      <c r="KVC73" s="609"/>
      <c r="KVD73" s="609"/>
      <c r="KVE73" s="609"/>
      <c r="KVF73" s="609"/>
      <c r="KVG73" s="609"/>
      <c r="KVH73" s="609"/>
      <c r="KVI73" s="609"/>
      <c r="KVJ73" s="609"/>
      <c r="KVK73" s="609"/>
      <c r="KVL73" s="609"/>
      <c r="KVM73" s="609"/>
      <c r="KVN73" s="609"/>
      <c r="KVO73" s="609"/>
      <c r="KVP73" s="609"/>
      <c r="KVQ73" s="609"/>
      <c r="KVR73" s="609"/>
      <c r="KVS73" s="609"/>
      <c r="KVT73" s="609"/>
      <c r="KVU73" s="609"/>
      <c r="KVV73" s="609"/>
      <c r="KVW73" s="609"/>
      <c r="KVX73" s="609"/>
      <c r="KVY73" s="609"/>
      <c r="KVZ73" s="609"/>
      <c r="KWA73" s="609"/>
      <c r="KWB73" s="609"/>
      <c r="KWC73" s="609"/>
      <c r="KWD73" s="609"/>
      <c r="KWE73" s="609"/>
      <c r="KWF73" s="609"/>
      <c r="KWG73" s="609"/>
      <c r="KWH73" s="609"/>
      <c r="KWI73" s="609"/>
      <c r="KWJ73" s="609"/>
      <c r="KWK73" s="609"/>
      <c r="KWL73" s="609"/>
      <c r="KWM73" s="609"/>
      <c r="KWN73" s="609"/>
      <c r="KWO73" s="609"/>
      <c r="KWP73" s="609"/>
      <c r="KWQ73" s="609"/>
      <c r="KWR73" s="609"/>
      <c r="KWS73" s="609"/>
      <c r="KWT73" s="609"/>
      <c r="KWU73" s="609"/>
      <c r="KWV73" s="609"/>
      <c r="KWW73" s="609"/>
      <c r="KWX73" s="609"/>
      <c r="KWY73" s="609"/>
      <c r="KWZ73" s="609"/>
      <c r="KXA73" s="609"/>
      <c r="KXB73" s="609"/>
      <c r="KXC73" s="609"/>
      <c r="KXD73" s="609"/>
      <c r="KXE73" s="609"/>
      <c r="KXF73" s="609"/>
      <c r="KXG73" s="609"/>
      <c r="KXH73" s="609"/>
      <c r="KXI73" s="609"/>
      <c r="KXJ73" s="609"/>
      <c r="KXK73" s="609"/>
      <c r="KXL73" s="609"/>
      <c r="KXM73" s="609"/>
      <c r="KXN73" s="609"/>
      <c r="KXO73" s="609"/>
      <c r="KXP73" s="609"/>
      <c r="KXQ73" s="609"/>
      <c r="KXR73" s="609"/>
      <c r="KXS73" s="609"/>
      <c r="KXT73" s="609"/>
      <c r="KXU73" s="609"/>
      <c r="KXV73" s="609"/>
      <c r="KXW73" s="609"/>
      <c r="KXX73" s="609"/>
      <c r="KXY73" s="609"/>
      <c r="KXZ73" s="609"/>
      <c r="KYA73" s="609"/>
      <c r="KYB73" s="609"/>
      <c r="KYC73" s="609"/>
      <c r="KYD73" s="609"/>
      <c r="KYE73" s="609"/>
      <c r="KYF73" s="609"/>
      <c r="KYG73" s="609"/>
      <c r="KYH73" s="609"/>
      <c r="KYI73" s="609"/>
      <c r="KYJ73" s="609"/>
      <c r="KYK73" s="609"/>
      <c r="KYL73" s="609"/>
      <c r="KYM73" s="609"/>
      <c r="KYN73" s="609"/>
      <c r="KYO73" s="609"/>
      <c r="KYP73" s="609"/>
      <c r="KYQ73" s="609"/>
      <c r="KYR73" s="609"/>
      <c r="KYS73" s="609"/>
      <c r="KYT73" s="609"/>
      <c r="KYU73" s="609"/>
      <c r="KYV73" s="609"/>
      <c r="KYW73" s="609"/>
      <c r="KYX73" s="609"/>
      <c r="KYY73" s="609"/>
      <c r="KYZ73" s="609"/>
      <c r="KZA73" s="609"/>
      <c r="KZB73" s="609"/>
      <c r="KZC73" s="609"/>
      <c r="KZD73" s="609"/>
      <c r="KZE73" s="609"/>
      <c r="KZF73" s="609"/>
      <c r="KZG73" s="609"/>
      <c r="KZH73" s="609"/>
      <c r="KZI73" s="609"/>
      <c r="KZJ73" s="609"/>
      <c r="KZK73" s="609"/>
      <c r="KZL73" s="609"/>
      <c r="KZM73" s="609"/>
      <c r="KZN73" s="609"/>
      <c r="KZO73" s="609"/>
      <c r="KZP73" s="609"/>
      <c r="KZQ73" s="609"/>
      <c r="KZR73" s="609"/>
      <c r="KZS73" s="609"/>
      <c r="KZT73" s="609"/>
      <c r="KZU73" s="609"/>
      <c r="KZV73" s="609"/>
      <c r="KZW73" s="609"/>
      <c r="KZX73" s="609"/>
      <c r="KZY73" s="609"/>
      <c r="KZZ73" s="609"/>
      <c r="LAA73" s="609"/>
      <c r="LAB73" s="609"/>
      <c r="LAC73" s="609"/>
      <c r="LAD73" s="609"/>
      <c r="LAE73" s="609"/>
      <c r="LAF73" s="609"/>
      <c r="LAG73" s="609"/>
      <c r="LAH73" s="609"/>
      <c r="LAI73" s="609"/>
      <c r="LAJ73" s="609"/>
      <c r="LAK73" s="609"/>
      <c r="LAL73" s="609"/>
      <c r="LAM73" s="609"/>
      <c r="LAN73" s="609"/>
      <c r="LAO73" s="609"/>
      <c r="LAP73" s="609"/>
      <c r="LAQ73" s="609"/>
      <c r="LAR73" s="609"/>
      <c r="LAS73" s="609"/>
      <c r="LAT73" s="609"/>
      <c r="LAU73" s="609"/>
      <c r="LAV73" s="609"/>
      <c r="LAW73" s="609"/>
      <c r="LAX73" s="609"/>
      <c r="LAY73" s="609"/>
      <c r="LAZ73" s="609"/>
      <c r="LBA73" s="609"/>
      <c r="LBB73" s="609"/>
      <c r="LBC73" s="609"/>
      <c r="LBD73" s="609"/>
      <c r="LBE73" s="609"/>
      <c r="LBF73" s="609"/>
      <c r="LBG73" s="609"/>
      <c r="LBH73" s="609"/>
      <c r="LBI73" s="609"/>
      <c r="LBJ73" s="609"/>
      <c r="LBK73" s="609"/>
      <c r="LBL73" s="609"/>
      <c r="LBM73" s="609"/>
      <c r="LBN73" s="609"/>
      <c r="LBO73" s="609"/>
      <c r="LBP73" s="609"/>
      <c r="LBQ73" s="609"/>
      <c r="LBR73" s="609"/>
      <c r="LBS73" s="609"/>
      <c r="LBT73" s="609"/>
      <c r="LBU73" s="609"/>
      <c r="LBV73" s="609"/>
      <c r="LBW73" s="609"/>
      <c r="LBX73" s="609"/>
      <c r="LBY73" s="609"/>
      <c r="LBZ73" s="609"/>
      <c r="LCA73" s="609"/>
      <c r="LCB73" s="609"/>
      <c r="LCC73" s="609"/>
      <c r="LCD73" s="609"/>
      <c r="LCE73" s="609"/>
      <c r="LCF73" s="609"/>
      <c r="LCG73" s="609"/>
      <c r="LCH73" s="609"/>
      <c r="LCI73" s="609"/>
      <c r="LCJ73" s="609"/>
      <c r="LCK73" s="609"/>
      <c r="LCL73" s="609"/>
      <c r="LCM73" s="609"/>
      <c r="LCN73" s="609"/>
      <c r="LCO73" s="609"/>
      <c r="LCP73" s="609"/>
      <c r="LCQ73" s="609"/>
      <c r="LCR73" s="609"/>
      <c r="LCS73" s="609"/>
      <c r="LCT73" s="609"/>
      <c r="LCU73" s="609"/>
      <c r="LCV73" s="609"/>
      <c r="LCW73" s="609"/>
      <c r="LCX73" s="609"/>
      <c r="LCY73" s="609"/>
      <c r="LCZ73" s="609"/>
      <c r="LDA73" s="609"/>
      <c r="LDB73" s="609"/>
      <c r="LDC73" s="609"/>
      <c r="LDD73" s="609"/>
      <c r="LDE73" s="609"/>
      <c r="LDF73" s="609"/>
      <c r="LDG73" s="609"/>
      <c r="LDH73" s="609"/>
      <c r="LDI73" s="609"/>
      <c r="LDJ73" s="609"/>
      <c r="LDK73" s="609"/>
      <c r="LDL73" s="609"/>
      <c r="LDM73" s="609"/>
      <c r="LDN73" s="609"/>
      <c r="LDO73" s="609"/>
      <c r="LDP73" s="609"/>
      <c r="LDQ73" s="609"/>
      <c r="LDR73" s="609"/>
      <c r="LDS73" s="609"/>
      <c r="LDT73" s="609"/>
      <c r="LDU73" s="609"/>
      <c r="LDV73" s="609"/>
      <c r="LDW73" s="609"/>
      <c r="LDX73" s="609"/>
      <c r="LDY73" s="609"/>
      <c r="LDZ73" s="609"/>
      <c r="LEA73" s="609"/>
      <c r="LEB73" s="609"/>
      <c r="LEC73" s="609"/>
      <c r="LED73" s="609"/>
      <c r="LEE73" s="609"/>
      <c r="LEF73" s="609"/>
      <c r="LEG73" s="609"/>
      <c r="LEH73" s="609"/>
      <c r="LEI73" s="609"/>
      <c r="LEJ73" s="609"/>
      <c r="LEK73" s="609"/>
      <c r="LEL73" s="609"/>
      <c r="LEM73" s="609"/>
      <c r="LEN73" s="609"/>
      <c r="LEO73" s="609"/>
      <c r="LEP73" s="609"/>
      <c r="LEQ73" s="609"/>
      <c r="LER73" s="609"/>
      <c r="LES73" s="609"/>
      <c r="LET73" s="609"/>
      <c r="LEU73" s="609"/>
      <c r="LEV73" s="609"/>
      <c r="LEW73" s="609"/>
      <c r="LEX73" s="609"/>
      <c r="LEY73" s="609"/>
      <c r="LEZ73" s="609"/>
      <c r="LFA73" s="609"/>
      <c r="LFB73" s="609"/>
      <c r="LFC73" s="609"/>
      <c r="LFD73" s="609"/>
      <c r="LFE73" s="609"/>
      <c r="LFF73" s="609"/>
      <c r="LFG73" s="609"/>
      <c r="LFH73" s="609"/>
      <c r="LFI73" s="609"/>
      <c r="LFJ73" s="609"/>
      <c r="LFK73" s="609"/>
      <c r="LFL73" s="609"/>
      <c r="LFM73" s="609"/>
      <c r="LFN73" s="609"/>
      <c r="LFO73" s="609"/>
      <c r="LFP73" s="609"/>
      <c r="LFQ73" s="609"/>
      <c r="LFR73" s="609"/>
      <c r="LFS73" s="609"/>
      <c r="LFT73" s="609"/>
      <c r="LFU73" s="609"/>
      <c r="LFV73" s="609"/>
      <c r="LFW73" s="609"/>
      <c r="LFX73" s="609"/>
      <c r="LFY73" s="609"/>
      <c r="LFZ73" s="609"/>
      <c r="LGA73" s="609"/>
      <c r="LGB73" s="609"/>
      <c r="LGC73" s="609"/>
      <c r="LGD73" s="609"/>
      <c r="LGE73" s="609"/>
      <c r="LGF73" s="609"/>
      <c r="LGG73" s="609"/>
      <c r="LGH73" s="609"/>
      <c r="LGI73" s="609"/>
      <c r="LGJ73" s="609"/>
      <c r="LGK73" s="609"/>
      <c r="LGL73" s="609"/>
      <c r="LGM73" s="609"/>
      <c r="LGN73" s="609"/>
      <c r="LGO73" s="609"/>
      <c r="LGP73" s="609"/>
      <c r="LGQ73" s="609"/>
      <c r="LGR73" s="609"/>
      <c r="LGS73" s="609"/>
      <c r="LGT73" s="609"/>
      <c r="LGU73" s="609"/>
      <c r="LGV73" s="609"/>
      <c r="LGW73" s="609"/>
      <c r="LGX73" s="609"/>
      <c r="LGY73" s="609"/>
      <c r="LGZ73" s="609"/>
      <c r="LHA73" s="609"/>
      <c r="LHB73" s="609"/>
      <c r="LHC73" s="609"/>
      <c r="LHD73" s="609"/>
      <c r="LHE73" s="609"/>
      <c r="LHF73" s="609"/>
      <c r="LHG73" s="609"/>
      <c r="LHH73" s="609"/>
      <c r="LHI73" s="609"/>
      <c r="LHJ73" s="609"/>
      <c r="LHK73" s="609"/>
      <c r="LHL73" s="609"/>
      <c r="LHM73" s="609"/>
      <c r="LHN73" s="609"/>
      <c r="LHO73" s="609"/>
      <c r="LHP73" s="609"/>
      <c r="LHQ73" s="609"/>
      <c r="LHR73" s="609"/>
      <c r="LHS73" s="609"/>
      <c r="LHT73" s="609"/>
      <c r="LHU73" s="609"/>
      <c r="LHV73" s="609"/>
      <c r="LHW73" s="609"/>
      <c r="LHX73" s="609"/>
      <c r="LHY73" s="609"/>
      <c r="LHZ73" s="609"/>
      <c r="LIA73" s="609"/>
      <c r="LIB73" s="609"/>
      <c r="LIC73" s="609"/>
      <c r="LID73" s="609"/>
      <c r="LIE73" s="609"/>
      <c r="LIF73" s="609"/>
      <c r="LIG73" s="609"/>
      <c r="LIH73" s="609"/>
      <c r="LII73" s="609"/>
      <c r="LIJ73" s="609"/>
      <c r="LIK73" s="609"/>
      <c r="LIL73" s="609"/>
      <c r="LIM73" s="609"/>
      <c r="LIN73" s="609"/>
      <c r="LIO73" s="609"/>
      <c r="LIP73" s="609"/>
      <c r="LIQ73" s="609"/>
      <c r="LIR73" s="609"/>
      <c r="LIS73" s="609"/>
      <c r="LIT73" s="609"/>
      <c r="LIU73" s="609"/>
      <c r="LIV73" s="609"/>
      <c r="LIW73" s="609"/>
      <c r="LIX73" s="609"/>
      <c r="LIY73" s="609"/>
      <c r="LIZ73" s="609"/>
      <c r="LJA73" s="609"/>
      <c r="LJB73" s="609"/>
      <c r="LJC73" s="609"/>
      <c r="LJD73" s="609"/>
      <c r="LJE73" s="609"/>
      <c r="LJF73" s="609"/>
      <c r="LJG73" s="609"/>
      <c r="LJH73" s="609"/>
      <c r="LJI73" s="609"/>
      <c r="LJJ73" s="609"/>
      <c r="LJK73" s="609"/>
      <c r="LJL73" s="609"/>
      <c r="LJM73" s="609"/>
      <c r="LJN73" s="609"/>
      <c r="LJO73" s="609"/>
      <c r="LJP73" s="609"/>
      <c r="LJQ73" s="609"/>
      <c r="LJR73" s="609"/>
      <c r="LJS73" s="609"/>
      <c r="LJT73" s="609"/>
      <c r="LJU73" s="609"/>
      <c r="LJV73" s="609"/>
      <c r="LJW73" s="609"/>
      <c r="LJX73" s="609"/>
      <c r="LJY73" s="609"/>
      <c r="LJZ73" s="609"/>
      <c r="LKA73" s="609"/>
      <c r="LKB73" s="609"/>
      <c r="LKC73" s="609"/>
      <c r="LKD73" s="609"/>
      <c r="LKE73" s="609"/>
      <c r="LKF73" s="609"/>
      <c r="LKG73" s="609"/>
      <c r="LKH73" s="609"/>
      <c r="LKI73" s="609"/>
      <c r="LKJ73" s="609"/>
      <c r="LKK73" s="609"/>
      <c r="LKL73" s="609"/>
      <c r="LKM73" s="609"/>
      <c r="LKN73" s="609"/>
      <c r="LKO73" s="609"/>
      <c r="LKP73" s="609"/>
      <c r="LKQ73" s="609"/>
      <c r="LKR73" s="609"/>
      <c r="LKS73" s="609"/>
      <c r="LKT73" s="609"/>
      <c r="LKU73" s="609"/>
      <c r="LKV73" s="609"/>
      <c r="LKW73" s="609"/>
      <c r="LKX73" s="609"/>
      <c r="LKY73" s="609"/>
      <c r="LKZ73" s="609"/>
      <c r="LLA73" s="609"/>
      <c r="LLB73" s="609"/>
      <c r="LLC73" s="609"/>
      <c r="LLD73" s="609"/>
      <c r="LLE73" s="609"/>
      <c r="LLF73" s="609"/>
      <c r="LLG73" s="609"/>
      <c r="LLH73" s="609"/>
      <c r="LLI73" s="609"/>
      <c r="LLJ73" s="609"/>
      <c r="LLK73" s="609"/>
      <c r="LLL73" s="609"/>
      <c r="LLM73" s="609"/>
      <c r="LLN73" s="609"/>
      <c r="LLO73" s="609"/>
      <c r="LLP73" s="609"/>
      <c r="LLQ73" s="609"/>
      <c r="LLR73" s="609"/>
      <c r="LLS73" s="609"/>
      <c r="LLT73" s="609"/>
      <c r="LLU73" s="609"/>
      <c r="LLV73" s="609"/>
      <c r="LLW73" s="609"/>
      <c r="LLX73" s="609"/>
      <c r="LLY73" s="609"/>
      <c r="LLZ73" s="609"/>
      <c r="LMA73" s="609"/>
      <c r="LMB73" s="609"/>
      <c r="LMC73" s="609"/>
      <c r="LMD73" s="609"/>
      <c r="LME73" s="609"/>
      <c r="LMF73" s="609"/>
      <c r="LMG73" s="609"/>
      <c r="LMH73" s="609"/>
      <c r="LMI73" s="609"/>
      <c r="LMJ73" s="609"/>
      <c r="LMK73" s="609"/>
      <c r="LML73" s="609"/>
      <c r="LMM73" s="609"/>
      <c r="LMN73" s="609"/>
      <c r="LMO73" s="609"/>
      <c r="LMP73" s="609"/>
      <c r="LMQ73" s="609"/>
      <c r="LMR73" s="609"/>
      <c r="LMS73" s="609"/>
      <c r="LMT73" s="609"/>
      <c r="LMU73" s="609"/>
      <c r="LMV73" s="609"/>
      <c r="LMW73" s="609"/>
      <c r="LMX73" s="609"/>
      <c r="LMY73" s="609"/>
      <c r="LMZ73" s="609"/>
      <c r="LNA73" s="609"/>
      <c r="LNB73" s="609"/>
      <c r="LNC73" s="609"/>
      <c r="LND73" s="609"/>
      <c r="LNE73" s="609"/>
      <c r="LNF73" s="609"/>
      <c r="LNG73" s="609"/>
      <c r="LNH73" s="609"/>
      <c r="LNI73" s="609"/>
      <c r="LNJ73" s="609"/>
      <c r="LNK73" s="609"/>
      <c r="LNL73" s="609"/>
      <c r="LNM73" s="609"/>
      <c r="LNN73" s="609"/>
      <c r="LNO73" s="609"/>
      <c r="LNP73" s="609"/>
      <c r="LNQ73" s="609"/>
      <c r="LNR73" s="609"/>
      <c r="LNS73" s="609"/>
      <c r="LNT73" s="609"/>
      <c r="LNU73" s="609"/>
      <c r="LNV73" s="609"/>
      <c r="LNW73" s="609"/>
      <c r="LNX73" s="609"/>
      <c r="LNY73" s="609"/>
      <c r="LNZ73" s="609"/>
      <c r="LOA73" s="609"/>
      <c r="LOB73" s="609"/>
      <c r="LOC73" s="609"/>
      <c r="LOD73" s="609"/>
      <c r="LOE73" s="609"/>
      <c r="LOF73" s="609"/>
      <c r="LOG73" s="609"/>
      <c r="LOH73" s="609"/>
      <c r="LOI73" s="609"/>
      <c r="LOJ73" s="609"/>
      <c r="LOK73" s="609"/>
      <c r="LOL73" s="609"/>
      <c r="LOM73" s="609"/>
      <c r="LON73" s="609"/>
      <c r="LOO73" s="609"/>
      <c r="LOP73" s="609"/>
      <c r="LOQ73" s="609"/>
      <c r="LOR73" s="609"/>
      <c r="LOS73" s="609"/>
      <c r="LOT73" s="609"/>
      <c r="LOU73" s="609"/>
      <c r="LOV73" s="609"/>
      <c r="LOW73" s="609"/>
      <c r="LOX73" s="609"/>
      <c r="LOY73" s="609"/>
      <c r="LOZ73" s="609"/>
      <c r="LPA73" s="609"/>
      <c r="LPB73" s="609"/>
      <c r="LPC73" s="609"/>
      <c r="LPD73" s="609"/>
      <c r="LPE73" s="609"/>
      <c r="LPF73" s="609"/>
      <c r="LPG73" s="609"/>
      <c r="LPH73" s="609"/>
      <c r="LPI73" s="609"/>
      <c r="LPJ73" s="609"/>
      <c r="LPK73" s="609"/>
      <c r="LPL73" s="609"/>
      <c r="LPM73" s="609"/>
      <c r="LPN73" s="609"/>
      <c r="LPO73" s="609"/>
      <c r="LPP73" s="609"/>
      <c r="LPQ73" s="609"/>
      <c r="LPR73" s="609"/>
      <c r="LPS73" s="609"/>
      <c r="LPT73" s="609"/>
      <c r="LPU73" s="609"/>
      <c r="LPV73" s="609"/>
      <c r="LPW73" s="609"/>
      <c r="LPX73" s="609"/>
      <c r="LPY73" s="609"/>
      <c r="LPZ73" s="609"/>
      <c r="LQA73" s="609"/>
      <c r="LQB73" s="609"/>
      <c r="LQC73" s="609"/>
      <c r="LQD73" s="609"/>
      <c r="LQE73" s="609"/>
      <c r="LQF73" s="609"/>
      <c r="LQG73" s="609"/>
      <c r="LQH73" s="609"/>
      <c r="LQI73" s="609"/>
      <c r="LQJ73" s="609"/>
      <c r="LQK73" s="609"/>
      <c r="LQL73" s="609"/>
      <c r="LQM73" s="609"/>
      <c r="LQN73" s="609"/>
      <c r="LQO73" s="609"/>
      <c r="LQP73" s="609"/>
      <c r="LQQ73" s="609"/>
      <c r="LQR73" s="609"/>
      <c r="LQS73" s="609"/>
      <c r="LQT73" s="609"/>
      <c r="LQU73" s="609"/>
      <c r="LQV73" s="609"/>
      <c r="LQW73" s="609"/>
      <c r="LQX73" s="609"/>
      <c r="LQY73" s="609"/>
      <c r="LQZ73" s="609"/>
      <c r="LRA73" s="609"/>
      <c r="LRB73" s="609"/>
      <c r="LRC73" s="609"/>
      <c r="LRD73" s="609"/>
      <c r="LRE73" s="609"/>
      <c r="LRF73" s="609"/>
      <c r="LRG73" s="609"/>
      <c r="LRH73" s="609"/>
      <c r="LRI73" s="609"/>
      <c r="LRJ73" s="609"/>
      <c r="LRK73" s="609"/>
      <c r="LRL73" s="609"/>
      <c r="LRM73" s="609"/>
      <c r="LRN73" s="609"/>
      <c r="LRO73" s="609"/>
      <c r="LRP73" s="609"/>
      <c r="LRQ73" s="609"/>
      <c r="LRR73" s="609"/>
      <c r="LRS73" s="609"/>
      <c r="LRT73" s="609"/>
      <c r="LRU73" s="609"/>
      <c r="LRV73" s="609"/>
      <c r="LRW73" s="609"/>
      <c r="LRX73" s="609"/>
      <c r="LRY73" s="609"/>
      <c r="LRZ73" s="609"/>
      <c r="LSA73" s="609"/>
      <c r="LSB73" s="609"/>
      <c r="LSC73" s="609"/>
      <c r="LSD73" s="609"/>
      <c r="LSE73" s="609"/>
      <c r="LSF73" s="609"/>
      <c r="LSG73" s="609"/>
      <c r="LSH73" s="609"/>
      <c r="LSI73" s="609"/>
      <c r="LSJ73" s="609"/>
      <c r="LSK73" s="609"/>
      <c r="LSL73" s="609"/>
      <c r="LSM73" s="609"/>
      <c r="LSN73" s="609"/>
      <c r="LSO73" s="609"/>
      <c r="LSP73" s="609"/>
      <c r="LSQ73" s="609"/>
      <c r="LSR73" s="609"/>
      <c r="LSS73" s="609"/>
      <c r="LST73" s="609"/>
      <c r="LSU73" s="609"/>
      <c r="LSV73" s="609"/>
      <c r="LSW73" s="609"/>
      <c r="LSX73" s="609"/>
      <c r="LSY73" s="609"/>
      <c r="LSZ73" s="609"/>
      <c r="LTA73" s="609"/>
      <c r="LTB73" s="609"/>
      <c r="LTC73" s="609"/>
      <c r="LTD73" s="609"/>
      <c r="LTE73" s="609"/>
      <c r="LTF73" s="609"/>
      <c r="LTG73" s="609"/>
      <c r="LTH73" s="609"/>
      <c r="LTI73" s="609"/>
      <c r="LTJ73" s="609"/>
      <c r="LTK73" s="609"/>
      <c r="LTL73" s="609"/>
      <c r="LTM73" s="609"/>
      <c r="LTN73" s="609"/>
      <c r="LTO73" s="609"/>
      <c r="LTP73" s="609"/>
      <c r="LTQ73" s="609"/>
      <c r="LTR73" s="609"/>
      <c r="LTS73" s="609"/>
      <c r="LTT73" s="609"/>
      <c r="LTU73" s="609"/>
      <c r="LTV73" s="609"/>
      <c r="LTW73" s="609"/>
      <c r="LTX73" s="609"/>
      <c r="LTY73" s="609"/>
      <c r="LTZ73" s="609"/>
      <c r="LUA73" s="609"/>
      <c r="LUB73" s="609"/>
      <c r="LUC73" s="609"/>
      <c r="LUD73" s="609"/>
      <c r="LUE73" s="609"/>
      <c r="LUF73" s="609"/>
      <c r="LUG73" s="609"/>
      <c r="LUH73" s="609"/>
      <c r="LUI73" s="609"/>
      <c r="LUJ73" s="609"/>
      <c r="LUK73" s="609"/>
      <c r="LUL73" s="609"/>
      <c r="LUM73" s="609"/>
      <c r="LUN73" s="609"/>
      <c r="LUO73" s="609"/>
      <c r="LUP73" s="609"/>
      <c r="LUQ73" s="609"/>
      <c r="LUR73" s="609"/>
      <c r="LUS73" s="609"/>
      <c r="LUT73" s="609"/>
      <c r="LUU73" s="609"/>
      <c r="LUV73" s="609"/>
      <c r="LUW73" s="609"/>
      <c r="LUX73" s="609"/>
      <c r="LUY73" s="609"/>
      <c r="LUZ73" s="609"/>
      <c r="LVA73" s="609"/>
      <c r="LVB73" s="609"/>
      <c r="LVC73" s="609"/>
      <c r="LVD73" s="609"/>
      <c r="LVE73" s="609"/>
      <c r="LVF73" s="609"/>
      <c r="LVG73" s="609"/>
      <c r="LVH73" s="609"/>
      <c r="LVI73" s="609"/>
      <c r="LVJ73" s="609"/>
      <c r="LVK73" s="609"/>
      <c r="LVL73" s="609"/>
      <c r="LVM73" s="609"/>
      <c r="LVN73" s="609"/>
      <c r="LVO73" s="609"/>
      <c r="LVP73" s="609"/>
      <c r="LVQ73" s="609"/>
      <c r="LVR73" s="609"/>
      <c r="LVS73" s="609"/>
      <c r="LVT73" s="609"/>
      <c r="LVU73" s="609"/>
      <c r="LVV73" s="609"/>
      <c r="LVW73" s="609"/>
      <c r="LVX73" s="609"/>
      <c r="LVY73" s="609"/>
      <c r="LVZ73" s="609"/>
      <c r="LWA73" s="609"/>
      <c r="LWB73" s="609"/>
      <c r="LWC73" s="609"/>
      <c r="LWD73" s="609"/>
      <c r="LWE73" s="609"/>
      <c r="LWF73" s="609"/>
      <c r="LWG73" s="609"/>
      <c r="LWH73" s="609"/>
      <c r="LWI73" s="609"/>
      <c r="LWJ73" s="609"/>
      <c r="LWK73" s="609"/>
      <c r="LWL73" s="609"/>
      <c r="LWM73" s="609"/>
      <c r="LWN73" s="609"/>
      <c r="LWO73" s="609"/>
      <c r="LWP73" s="609"/>
      <c r="LWQ73" s="609"/>
      <c r="LWR73" s="609"/>
      <c r="LWS73" s="609"/>
      <c r="LWT73" s="609"/>
      <c r="LWU73" s="609"/>
      <c r="LWV73" s="609"/>
      <c r="LWW73" s="609"/>
      <c r="LWX73" s="609"/>
      <c r="LWY73" s="609"/>
      <c r="LWZ73" s="609"/>
      <c r="LXA73" s="609"/>
      <c r="LXB73" s="609"/>
      <c r="LXC73" s="609"/>
      <c r="LXD73" s="609"/>
      <c r="LXE73" s="609"/>
      <c r="LXF73" s="609"/>
      <c r="LXG73" s="609"/>
      <c r="LXH73" s="609"/>
      <c r="LXI73" s="609"/>
      <c r="LXJ73" s="609"/>
      <c r="LXK73" s="609"/>
      <c r="LXL73" s="609"/>
      <c r="LXM73" s="609"/>
      <c r="LXN73" s="609"/>
      <c r="LXO73" s="609"/>
      <c r="LXP73" s="609"/>
      <c r="LXQ73" s="609"/>
      <c r="LXR73" s="609"/>
      <c r="LXS73" s="609"/>
      <c r="LXT73" s="609"/>
      <c r="LXU73" s="609"/>
      <c r="LXV73" s="609"/>
      <c r="LXW73" s="609"/>
      <c r="LXX73" s="609"/>
      <c r="LXY73" s="609"/>
      <c r="LXZ73" s="609"/>
      <c r="LYA73" s="609"/>
      <c r="LYB73" s="609"/>
      <c r="LYC73" s="609"/>
      <c r="LYD73" s="609"/>
      <c r="LYE73" s="609"/>
      <c r="LYF73" s="609"/>
      <c r="LYG73" s="609"/>
      <c r="LYH73" s="609"/>
      <c r="LYI73" s="609"/>
      <c r="LYJ73" s="609"/>
      <c r="LYK73" s="609"/>
      <c r="LYL73" s="609"/>
      <c r="LYM73" s="609"/>
      <c r="LYN73" s="609"/>
      <c r="LYO73" s="609"/>
      <c r="LYP73" s="609"/>
      <c r="LYQ73" s="609"/>
      <c r="LYR73" s="609"/>
      <c r="LYS73" s="609"/>
      <c r="LYT73" s="609"/>
      <c r="LYU73" s="609"/>
      <c r="LYV73" s="609"/>
      <c r="LYW73" s="609"/>
      <c r="LYX73" s="609"/>
      <c r="LYY73" s="609"/>
      <c r="LYZ73" s="609"/>
      <c r="LZA73" s="609"/>
      <c r="LZB73" s="609"/>
      <c r="LZC73" s="609"/>
      <c r="LZD73" s="609"/>
      <c r="LZE73" s="609"/>
      <c r="LZF73" s="609"/>
      <c r="LZG73" s="609"/>
      <c r="LZH73" s="609"/>
      <c r="LZI73" s="609"/>
      <c r="LZJ73" s="609"/>
      <c r="LZK73" s="609"/>
      <c r="LZL73" s="609"/>
      <c r="LZM73" s="609"/>
      <c r="LZN73" s="609"/>
      <c r="LZO73" s="609"/>
      <c r="LZP73" s="609"/>
      <c r="LZQ73" s="609"/>
      <c r="LZR73" s="609"/>
      <c r="LZS73" s="609"/>
      <c r="LZT73" s="609"/>
      <c r="LZU73" s="609"/>
      <c r="LZV73" s="609"/>
      <c r="LZW73" s="609"/>
      <c r="LZX73" s="609"/>
      <c r="LZY73" s="609"/>
      <c r="LZZ73" s="609"/>
      <c r="MAA73" s="609"/>
      <c r="MAB73" s="609"/>
      <c r="MAC73" s="609"/>
      <c r="MAD73" s="609"/>
      <c r="MAE73" s="609"/>
      <c r="MAF73" s="609"/>
      <c r="MAG73" s="609"/>
      <c r="MAH73" s="609"/>
      <c r="MAI73" s="609"/>
      <c r="MAJ73" s="609"/>
      <c r="MAK73" s="609"/>
      <c r="MAL73" s="609"/>
      <c r="MAM73" s="609"/>
      <c r="MAN73" s="609"/>
      <c r="MAO73" s="609"/>
      <c r="MAP73" s="609"/>
      <c r="MAQ73" s="609"/>
      <c r="MAR73" s="609"/>
      <c r="MAS73" s="609"/>
      <c r="MAT73" s="609"/>
      <c r="MAU73" s="609"/>
      <c r="MAV73" s="609"/>
      <c r="MAW73" s="609"/>
      <c r="MAX73" s="609"/>
      <c r="MAY73" s="609"/>
      <c r="MAZ73" s="609"/>
      <c r="MBA73" s="609"/>
      <c r="MBB73" s="609"/>
      <c r="MBC73" s="609"/>
      <c r="MBD73" s="609"/>
      <c r="MBE73" s="609"/>
      <c r="MBF73" s="609"/>
      <c r="MBG73" s="609"/>
      <c r="MBH73" s="609"/>
      <c r="MBI73" s="609"/>
      <c r="MBJ73" s="609"/>
      <c r="MBK73" s="609"/>
      <c r="MBL73" s="609"/>
      <c r="MBM73" s="609"/>
      <c r="MBN73" s="609"/>
      <c r="MBO73" s="609"/>
      <c r="MBP73" s="609"/>
      <c r="MBQ73" s="609"/>
      <c r="MBR73" s="609"/>
      <c r="MBS73" s="609"/>
      <c r="MBT73" s="609"/>
      <c r="MBU73" s="609"/>
      <c r="MBV73" s="609"/>
      <c r="MBW73" s="609"/>
      <c r="MBX73" s="609"/>
      <c r="MBY73" s="609"/>
      <c r="MBZ73" s="609"/>
      <c r="MCA73" s="609"/>
      <c r="MCB73" s="609"/>
      <c r="MCC73" s="609"/>
      <c r="MCD73" s="609"/>
      <c r="MCE73" s="609"/>
      <c r="MCF73" s="609"/>
      <c r="MCG73" s="609"/>
      <c r="MCH73" s="609"/>
      <c r="MCI73" s="609"/>
      <c r="MCJ73" s="609"/>
      <c r="MCK73" s="609"/>
      <c r="MCL73" s="609"/>
      <c r="MCM73" s="609"/>
      <c r="MCN73" s="609"/>
      <c r="MCO73" s="609"/>
      <c r="MCP73" s="609"/>
      <c r="MCQ73" s="609"/>
      <c r="MCR73" s="609"/>
      <c r="MCS73" s="609"/>
      <c r="MCT73" s="609"/>
      <c r="MCU73" s="609"/>
      <c r="MCV73" s="609"/>
      <c r="MCW73" s="609"/>
      <c r="MCX73" s="609"/>
      <c r="MCY73" s="609"/>
      <c r="MCZ73" s="609"/>
      <c r="MDA73" s="609"/>
      <c r="MDB73" s="609"/>
      <c r="MDC73" s="609"/>
      <c r="MDD73" s="609"/>
      <c r="MDE73" s="609"/>
      <c r="MDF73" s="609"/>
      <c r="MDG73" s="609"/>
      <c r="MDH73" s="609"/>
      <c r="MDI73" s="609"/>
      <c r="MDJ73" s="609"/>
      <c r="MDK73" s="609"/>
      <c r="MDL73" s="609"/>
      <c r="MDM73" s="609"/>
      <c r="MDN73" s="609"/>
      <c r="MDO73" s="609"/>
      <c r="MDP73" s="609"/>
      <c r="MDQ73" s="609"/>
      <c r="MDR73" s="609"/>
      <c r="MDS73" s="609"/>
      <c r="MDT73" s="609"/>
      <c r="MDU73" s="609"/>
      <c r="MDV73" s="609"/>
      <c r="MDW73" s="609"/>
      <c r="MDX73" s="609"/>
      <c r="MDY73" s="609"/>
      <c r="MDZ73" s="609"/>
      <c r="MEA73" s="609"/>
      <c r="MEB73" s="609"/>
      <c r="MEC73" s="609"/>
      <c r="MED73" s="609"/>
      <c r="MEE73" s="609"/>
      <c r="MEF73" s="609"/>
      <c r="MEG73" s="609"/>
      <c r="MEH73" s="609"/>
      <c r="MEI73" s="609"/>
      <c r="MEJ73" s="609"/>
      <c r="MEK73" s="609"/>
      <c r="MEL73" s="609"/>
      <c r="MEM73" s="609"/>
      <c r="MEN73" s="609"/>
      <c r="MEO73" s="609"/>
      <c r="MEP73" s="609"/>
      <c r="MEQ73" s="609"/>
      <c r="MER73" s="609"/>
      <c r="MES73" s="609"/>
      <c r="MET73" s="609"/>
      <c r="MEU73" s="609"/>
      <c r="MEV73" s="609"/>
      <c r="MEW73" s="609"/>
      <c r="MEX73" s="609"/>
      <c r="MEY73" s="609"/>
      <c r="MEZ73" s="609"/>
      <c r="MFA73" s="609"/>
      <c r="MFB73" s="609"/>
      <c r="MFC73" s="609"/>
      <c r="MFD73" s="609"/>
      <c r="MFE73" s="609"/>
      <c r="MFF73" s="609"/>
      <c r="MFG73" s="609"/>
      <c r="MFH73" s="609"/>
      <c r="MFI73" s="609"/>
      <c r="MFJ73" s="609"/>
      <c r="MFK73" s="609"/>
      <c r="MFL73" s="609"/>
      <c r="MFM73" s="609"/>
      <c r="MFN73" s="609"/>
      <c r="MFO73" s="609"/>
      <c r="MFP73" s="609"/>
      <c r="MFQ73" s="609"/>
      <c r="MFR73" s="609"/>
      <c r="MFS73" s="609"/>
      <c r="MFT73" s="609"/>
      <c r="MFU73" s="609"/>
      <c r="MFV73" s="609"/>
      <c r="MFW73" s="609"/>
      <c r="MFX73" s="609"/>
      <c r="MFY73" s="609"/>
      <c r="MFZ73" s="609"/>
      <c r="MGA73" s="609"/>
      <c r="MGB73" s="609"/>
      <c r="MGC73" s="609"/>
      <c r="MGD73" s="609"/>
      <c r="MGE73" s="609"/>
      <c r="MGF73" s="609"/>
      <c r="MGG73" s="609"/>
      <c r="MGH73" s="609"/>
      <c r="MGI73" s="609"/>
      <c r="MGJ73" s="609"/>
      <c r="MGK73" s="609"/>
      <c r="MGL73" s="609"/>
      <c r="MGM73" s="609"/>
      <c r="MGN73" s="609"/>
      <c r="MGO73" s="609"/>
      <c r="MGP73" s="609"/>
      <c r="MGQ73" s="609"/>
      <c r="MGR73" s="609"/>
      <c r="MGS73" s="609"/>
      <c r="MGT73" s="609"/>
      <c r="MGU73" s="609"/>
      <c r="MGV73" s="609"/>
      <c r="MGW73" s="609"/>
      <c r="MGX73" s="609"/>
      <c r="MGY73" s="609"/>
      <c r="MGZ73" s="609"/>
      <c r="MHA73" s="609"/>
      <c r="MHB73" s="609"/>
      <c r="MHC73" s="609"/>
      <c r="MHD73" s="609"/>
      <c r="MHE73" s="609"/>
      <c r="MHF73" s="609"/>
      <c r="MHG73" s="609"/>
      <c r="MHH73" s="609"/>
      <c r="MHI73" s="609"/>
      <c r="MHJ73" s="609"/>
      <c r="MHK73" s="609"/>
      <c r="MHL73" s="609"/>
      <c r="MHM73" s="609"/>
      <c r="MHN73" s="609"/>
      <c r="MHO73" s="609"/>
      <c r="MHP73" s="609"/>
      <c r="MHQ73" s="609"/>
      <c r="MHR73" s="609"/>
      <c r="MHS73" s="609"/>
      <c r="MHT73" s="609"/>
      <c r="MHU73" s="609"/>
      <c r="MHV73" s="609"/>
      <c r="MHW73" s="609"/>
      <c r="MHX73" s="609"/>
      <c r="MHY73" s="609"/>
      <c r="MHZ73" s="609"/>
      <c r="MIA73" s="609"/>
      <c r="MIB73" s="609"/>
      <c r="MIC73" s="609"/>
      <c r="MID73" s="609"/>
      <c r="MIE73" s="609"/>
      <c r="MIF73" s="609"/>
      <c r="MIG73" s="609"/>
      <c r="MIH73" s="609"/>
      <c r="MII73" s="609"/>
      <c r="MIJ73" s="609"/>
      <c r="MIK73" s="609"/>
      <c r="MIL73" s="609"/>
      <c r="MIM73" s="609"/>
      <c r="MIN73" s="609"/>
      <c r="MIO73" s="609"/>
      <c r="MIP73" s="609"/>
      <c r="MIQ73" s="609"/>
      <c r="MIR73" s="609"/>
      <c r="MIS73" s="609"/>
      <c r="MIT73" s="609"/>
      <c r="MIU73" s="609"/>
      <c r="MIV73" s="609"/>
      <c r="MIW73" s="609"/>
      <c r="MIX73" s="609"/>
      <c r="MIY73" s="609"/>
      <c r="MIZ73" s="609"/>
      <c r="MJA73" s="609"/>
      <c r="MJB73" s="609"/>
      <c r="MJC73" s="609"/>
      <c r="MJD73" s="609"/>
      <c r="MJE73" s="609"/>
      <c r="MJF73" s="609"/>
      <c r="MJG73" s="609"/>
      <c r="MJH73" s="609"/>
      <c r="MJI73" s="609"/>
      <c r="MJJ73" s="609"/>
      <c r="MJK73" s="609"/>
      <c r="MJL73" s="609"/>
      <c r="MJM73" s="609"/>
      <c r="MJN73" s="609"/>
      <c r="MJO73" s="609"/>
      <c r="MJP73" s="609"/>
      <c r="MJQ73" s="609"/>
      <c r="MJR73" s="609"/>
      <c r="MJS73" s="609"/>
      <c r="MJT73" s="609"/>
      <c r="MJU73" s="609"/>
      <c r="MJV73" s="609"/>
      <c r="MJW73" s="609"/>
      <c r="MJX73" s="609"/>
      <c r="MJY73" s="609"/>
      <c r="MJZ73" s="609"/>
      <c r="MKA73" s="609"/>
      <c r="MKB73" s="609"/>
      <c r="MKC73" s="609"/>
      <c r="MKD73" s="609"/>
      <c r="MKE73" s="609"/>
      <c r="MKF73" s="609"/>
      <c r="MKG73" s="609"/>
      <c r="MKH73" s="609"/>
      <c r="MKI73" s="609"/>
      <c r="MKJ73" s="609"/>
      <c r="MKK73" s="609"/>
      <c r="MKL73" s="609"/>
      <c r="MKM73" s="609"/>
      <c r="MKN73" s="609"/>
      <c r="MKO73" s="609"/>
      <c r="MKP73" s="609"/>
      <c r="MKQ73" s="609"/>
      <c r="MKR73" s="609"/>
      <c r="MKS73" s="609"/>
      <c r="MKT73" s="609"/>
      <c r="MKU73" s="609"/>
      <c r="MKV73" s="609"/>
      <c r="MKW73" s="609"/>
      <c r="MKX73" s="609"/>
      <c r="MKY73" s="609"/>
      <c r="MKZ73" s="609"/>
      <c r="MLA73" s="609"/>
      <c r="MLB73" s="609"/>
      <c r="MLC73" s="609"/>
      <c r="MLD73" s="609"/>
      <c r="MLE73" s="609"/>
      <c r="MLF73" s="609"/>
      <c r="MLG73" s="609"/>
      <c r="MLH73" s="609"/>
      <c r="MLI73" s="609"/>
      <c r="MLJ73" s="609"/>
      <c r="MLK73" s="609"/>
      <c r="MLL73" s="609"/>
      <c r="MLM73" s="609"/>
      <c r="MLN73" s="609"/>
      <c r="MLO73" s="609"/>
      <c r="MLP73" s="609"/>
      <c r="MLQ73" s="609"/>
      <c r="MLR73" s="609"/>
      <c r="MLS73" s="609"/>
      <c r="MLT73" s="609"/>
      <c r="MLU73" s="609"/>
      <c r="MLV73" s="609"/>
      <c r="MLW73" s="609"/>
      <c r="MLX73" s="609"/>
      <c r="MLY73" s="609"/>
      <c r="MLZ73" s="609"/>
      <c r="MMA73" s="609"/>
      <c r="MMB73" s="609"/>
      <c r="MMC73" s="609"/>
      <c r="MMD73" s="609"/>
      <c r="MME73" s="609"/>
      <c r="MMF73" s="609"/>
      <c r="MMG73" s="609"/>
      <c r="MMH73" s="609"/>
      <c r="MMI73" s="609"/>
      <c r="MMJ73" s="609"/>
      <c r="MMK73" s="609"/>
      <c r="MML73" s="609"/>
      <c r="MMM73" s="609"/>
      <c r="MMN73" s="609"/>
      <c r="MMO73" s="609"/>
      <c r="MMP73" s="609"/>
      <c r="MMQ73" s="609"/>
      <c r="MMR73" s="609"/>
      <c r="MMS73" s="609"/>
      <c r="MMT73" s="609"/>
      <c r="MMU73" s="609"/>
      <c r="MMV73" s="609"/>
      <c r="MMW73" s="609"/>
      <c r="MMX73" s="609"/>
      <c r="MMY73" s="609"/>
      <c r="MMZ73" s="609"/>
      <c r="MNA73" s="609"/>
      <c r="MNB73" s="609"/>
      <c r="MNC73" s="609"/>
      <c r="MND73" s="609"/>
      <c r="MNE73" s="609"/>
      <c r="MNF73" s="609"/>
      <c r="MNG73" s="609"/>
      <c r="MNH73" s="609"/>
      <c r="MNI73" s="609"/>
      <c r="MNJ73" s="609"/>
      <c r="MNK73" s="609"/>
      <c r="MNL73" s="609"/>
      <c r="MNM73" s="609"/>
      <c r="MNN73" s="609"/>
      <c r="MNO73" s="609"/>
      <c r="MNP73" s="609"/>
      <c r="MNQ73" s="609"/>
      <c r="MNR73" s="609"/>
      <c r="MNS73" s="609"/>
      <c r="MNT73" s="609"/>
      <c r="MNU73" s="609"/>
      <c r="MNV73" s="609"/>
      <c r="MNW73" s="609"/>
      <c r="MNX73" s="609"/>
      <c r="MNY73" s="609"/>
      <c r="MNZ73" s="609"/>
      <c r="MOA73" s="609"/>
      <c r="MOB73" s="609"/>
      <c r="MOC73" s="609"/>
      <c r="MOD73" s="609"/>
      <c r="MOE73" s="609"/>
      <c r="MOF73" s="609"/>
      <c r="MOG73" s="609"/>
      <c r="MOH73" s="609"/>
      <c r="MOI73" s="609"/>
      <c r="MOJ73" s="609"/>
      <c r="MOK73" s="609"/>
      <c r="MOL73" s="609"/>
      <c r="MOM73" s="609"/>
      <c r="MON73" s="609"/>
      <c r="MOO73" s="609"/>
      <c r="MOP73" s="609"/>
      <c r="MOQ73" s="609"/>
      <c r="MOR73" s="609"/>
      <c r="MOS73" s="609"/>
      <c r="MOT73" s="609"/>
      <c r="MOU73" s="609"/>
      <c r="MOV73" s="609"/>
      <c r="MOW73" s="609"/>
      <c r="MOX73" s="609"/>
      <c r="MOY73" s="609"/>
      <c r="MOZ73" s="609"/>
      <c r="MPA73" s="609"/>
      <c r="MPB73" s="609"/>
      <c r="MPC73" s="609"/>
      <c r="MPD73" s="609"/>
      <c r="MPE73" s="609"/>
      <c r="MPF73" s="609"/>
      <c r="MPG73" s="609"/>
      <c r="MPH73" s="609"/>
      <c r="MPI73" s="609"/>
      <c r="MPJ73" s="609"/>
      <c r="MPK73" s="609"/>
      <c r="MPL73" s="609"/>
      <c r="MPM73" s="609"/>
      <c r="MPN73" s="609"/>
      <c r="MPO73" s="609"/>
      <c r="MPP73" s="609"/>
      <c r="MPQ73" s="609"/>
      <c r="MPR73" s="609"/>
      <c r="MPS73" s="609"/>
      <c r="MPT73" s="609"/>
      <c r="MPU73" s="609"/>
      <c r="MPV73" s="609"/>
      <c r="MPW73" s="609"/>
      <c r="MPX73" s="609"/>
      <c r="MPY73" s="609"/>
      <c r="MPZ73" s="609"/>
      <c r="MQA73" s="609"/>
      <c r="MQB73" s="609"/>
      <c r="MQC73" s="609"/>
      <c r="MQD73" s="609"/>
      <c r="MQE73" s="609"/>
      <c r="MQF73" s="609"/>
      <c r="MQG73" s="609"/>
      <c r="MQH73" s="609"/>
      <c r="MQI73" s="609"/>
      <c r="MQJ73" s="609"/>
      <c r="MQK73" s="609"/>
      <c r="MQL73" s="609"/>
      <c r="MQM73" s="609"/>
      <c r="MQN73" s="609"/>
      <c r="MQO73" s="609"/>
      <c r="MQP73" s="609"/>
      <c r="MQQ73" s="609"/>
      <c r="MQR73" s="609"/>
      <c r="MQS73" s="609"/>
      <c r="MQT73" s="609"/>
      <c r="MQU73" s="609"/>
      <c r="MQV73" s="609"/>
      <c r="MQW73" s="609"/>
      <c r="MQX73" s="609"/>
      <c r="MQY73" s="609"/>
      <c r="MQZ73" s="609"/>
      <c r="MRA73" s="609"/>
      <c r="MRB73" s="609"/>
      <c r="MRC73" s="609"/>
      <c r="MRD73" s="609"/>
      <c r="MRE73" s="609"/>
      <c r="MRF73" s="609"/>
      <c r="MRG73" s="609"/>
      <c r="MRH73" s="609"/>
      <c r="MRI73" s="609"/>
      <c r="MRJ73" s="609"/>
      <c r="MRK73" s="609"/>
      <c r="MRL73" s="609"/>
      <c r="MRM73" s="609"/>
      <c r="MRN73" s="609"/>
      <c r="MRO73" s="609"/>
      <c r="MRP73" s="609"/>
      <c r="MRQ73" s="609"/>
      <c r="MRR73" s="609"/>
      <c r="MRS73" s="609"/>
      <c r="MRT73" s="609"/>
      <c r="MRU73" s="609"/>
      <c r="MRV73" s="609"/>
      <c r="MRW73" s="609"/>
      <c r="MRX73" s="609"/>
      <c r="MRY73" s="609"/>
      <c r="MRZ73" s="609"/>
      <c r="MSA73" s="609"/>
      <c r="MSB73" s="609"/>
      <c r="MSC73" s="609"/>
      <c r="MSD73" s="609"/>
      <c r="MSE73" s="609"/>
      <c r="MSF73" s="609"/>
      <c r="MSG73" s="609"/>
      <c r="MSH73" s="609"/>
      <c r="MSI73" s="609"/>
      <c r="MSJ73" s="609"/>
      <c r="MSK73" s="609"/>
      <c r="MSL73" s="609"/>
      <c r="MSM73" s="609"/>
      <c r="MSN73" s="609"/>
      <c r="MSO73" s="609"/>
      <c r="MSP73" s="609"/>
      <c r="MSQ73" s="609"/>
      <c r="MSR73" s="609"/>
      <c r="MSS73" s="609"/>
      <c r="MST73" s="609"/>
      <c r="MSU73" s="609"/>
      <c r="MSV73" s="609"/>
      <c r="MSW73" s="609"/>
      <c r="MSX73" s="609"/>
      <c r="MSY73" s="609"/>
      <c r="MSZ73" s="609"/>
      <c r="MTA73" s="609"/>
      <c r="MTB73" s="609"/>
      <c r="MTC73" s="609"/>
      <c r="MTD73" s="609"/>
      <c r="MTE73" s="609"/>
      <c r="MTF73" s="609"/>
      <c r="MTG73" s="609"/>
      <c r="MTH73" s="609"/>
      <c r="MTI73" s="609"/>
      <c r="MTJ73" s="609"/>
      <c r="MTK73" s="609"/>
      <c r="MTL73" s="609"/>
      <c r="MTM73" s="609"/>
      <c r="MTN73" s="609"/>
      <c r="MTO73" s="609"/>
      <c r="MTP73" s="609"/>
      <c r="MTQ73" s="609"/>
      <c r="MTR73" s="609"/>
      <c r="MTS73" s="609"/>
      <c r="MTT73" s="609"/>
      <c r="MTU73" s="609"/>
      <c r="MTV73" s="609"/>
      <c r="MTW73" s="609"/>
      <c r="MTX73" s="609"/>
      <c r="MTY73" s="609"/>
      <c r="MTZ73" s="609"/>
      <c r="MUA73" s="609"/>
      <c r="MUB73" s="609"/>
      <c r="MUC73" s="609"/>
      <c r="MUD73" s="609"/>
      <c r="MUE73" s="609"/>
      <c r="MUF73" s="609"/>
      <c r="MUG73" s="609"/>
      <c r="MUH73" s="609"/>
      <c r="MUI73" s="609"/>
      <c r="MUJ73" s="609"/>
      <c r="MUK73" s="609"/>
      <c r="MUL73" s="609"/>
      <c r="MUM73" s="609"/>
      <c r="MUN73" s="609"/>
      <c r="MUO73" s="609"/>
      <c r="MUP73" s="609"/>
      <c r="MUQ73" s="609"/>
      <c r="MUR73" s="609"/>
      <c r="MUS73" s="609"/>
      <c r="MUT73" s="609"/>
      <c r="MUU73" s="609"/>
      <c r="MUV73" s="609"/>
      <c r="MUW73" s="609"/>
      <c r="MUX73" s="609"/>
      <c r="MUY73" s="609"/>
      <c r="MUZ73" s="609"/>
      <c r="MVA73" s="609"/>
      <c r="MVB73" s="609"/>
      <c r="MVC73" s="609"/>
      <c r="MVD73" s="609"/>
      <c r="MVE73" s="609"/>
      <c r="MVF73" s="609"/>
      <c r="MVG73" s="609"/>
      <c r="MVH73" s="609"/>
      <c r="MVI73" s="609"/>
      <c r="MVJ73" s="609"/>
      <c r="MVK73" s="609"/>
      <c r="MVL73" s="609"/>
      <c r="MVM73" s="609"/>
      <c r="MVN73" s="609"/>
      <c r="MVO73" s="609"/>
      <c r="MVP73" s="609"/>
      <c r="MVQ73" s="609"/>
      <c r="MVR73" s="609"/>
      <c r="MVS73" s="609"/>
      <c r="MVT73" s="609"/>
      <c r="MVU73" s="609"/>
      <c r="MVV73" s="609"/>
      <c r="MVW73" s="609"/>
      <c r="MVX73" s="609"/>
      <c r="MVY73" s="609"/>
      <c r="MVZ73" s="609"/>
      <c r="MWA73" s="609"/>
      <c r="MWB73" s="609"/>
      <c r="MWC73" s="609"/>
      <c r="MWD73" s="609"/>
      <c r="MWE73" s="609"/>
      <c r="MWF73" s="609"/>
      <c r="MWG73" s="609"/>
      <c r="MWH73" s="609"/>
      <c r="MWI73" s="609"/>
      <c r="MWJ73" s="609"/>
      <c r="MWK73" s="609"/>
      <c r="MWL73" s="609"/>
      <c r="MWM73" s="609"/>
      <c r="MWN73" s="609"/>
      <c r="MWO73" s="609"/>
      <c r="MWP73" s="609"/>
      <c r="MWQ73" s="609"/>
      <c r="MWR73" s="609"/>
      <c r="MWS73" s="609"/>
      <c r="MWT73" s="609"/>
      <c r="MWU73" s="609"/>
      <c r="MWV73" s="609"/>
      <c r="MWW73" s="609"/>
      <c r="MWX73" s="609"/>
      <c r="MWY73" s="609"/>
      <c r="MWZ73" s="609"/>
      <c r="MXA73" s="609"/>
      <c r="MXB73" s="609"/>
      <c r="MXC73" s="609"/>
      <c r="MXD73" s="609"/>
      <c r="MXE73" s="609"/>
      <c r="MXF73" s="609"/>
      <c r="MXG73" s="609"/>
      <c r="MXH73" s="609"/>
      <c r="MXI73" s="609"/>
      <c r="MXJ73" s="609"/>
      <c r="MXK73" s="609"/>
      <c r="MXL73" s="609"/>
      <c r="MXM73" s="609"/>
      <c r="MXN73" s="609"/>
      <c r="MXO73" s="609"/>
      <c r="MXP73" s="609"/>
      <c r="MXQ73" s="609"/>
      <c r="MXR73" s="609"/>
      <c r="MXS73" s="609"/>
      <c r="MXT73" s="609"/>
      <c r="MXU73" s="609"/>
      <c r="MXV73" s="609"/>
      <c r="MXW73" s="609"/>
      <c r="MXX73" s="609"/>
      <c r="MXY73" s="609"/>
      <c r="MXZ73" s="609"/>
      <c r="MYA73" s="609"/>
      <c r="MYB73" s="609"/>
      <c r="MYC73" s="609"/>
      <c r="MYD73" s="609"/>
      <c r="MYE73" s="609"/>
      <c r="MYF73" s="609"/>
      <c r="MYG73" s="609"/>
      <c r="MYH73" s="609"/>
      <c r="MYI73" s="609"/>
      <c r="MYJ73" s="609"/>
      <c r="MYK73" s="609"/>
      <c r="MYL73" s="609"/>
      <c r="MYM73" s="609"/>
      <c r="MYN73" s="609"/>
      <c r="MYO73" s="609"/>
      <c r="MYP73" s="609"/>
      <c r="MYQ73" s="609"/>
      <c r="MYR73" s="609"/>
      <c r="MYS73" s="609"/>
      <c r="MYT73" s="609"/>
      <c r="MYU73" s="609"/>
      <c r="MYV73" s="609"/>
      <c r="MYW73" s="609"/>
      <c r="MYX73" s="609"/>
      <c r="MYY73" s="609"/>
      <c r="MYZ73" s="609"/>
      <c r="MZA73" s="609"/>
      <c r="MZB73" s="609"/>
      <c r="MZC73" s="609"/>
      <c r="MZD73" s="609"/>
      <c r="MZE73" s="609"/>
      <c r="MZF73" s="609"/>
      <c r="MZG73" s="609"/>
      <c r="MZH73" s="609"/>
      <c r="MZI73" s="609"/>
      <c r="MZJ73" s="609"/>
      <c r="MZK73" s="609"/>
      <c r="MZL73" s="609"/>
      <c r="MZM73" s="609"/>
      <c r="MZN73" s="609"/>
      <c r="MZO73" s="609"/>
      <c r="MZP73" s="609"/>
      <c r="MZQ73" s="609"/>
      <c r="MZR73" s="609"/>
      <c r="MZS73" s="609"/>
      <c r="MZT73" s="609"/>
      <c r="MZU73" s="609"/>
      <c r="MZV73" s="609"/>
      <c r="MZW73" s="609"/>
      <c r="MZX73" s="609"/>
      <c r="MZY73" s="609"/>
      <c r="MZZ73" s="609"/>
      <c r="NAA73" s="609"/>
      <c r="NAB73" s="609"/>
      <c r="NAC73" s="609"/>
      <c r="NAD73" s="609"/>
      <c r="NAE73" s="609"/>
      <c r="NAF73" s="609"/>
      <c r="NAG73" s="609"/>
      <c r="NAH73" s="609"/>
      <c r="NAI73" s="609"/>
      <c r="NAJ73" s="609"/>
      <c r="NAK73" s="609"/>
      <c r="NAL73" s="609"/>
      <c r="NAM73" s="609"/>
      <c r="NAN73" s="609"/>
      <c r="NAO73" s="609"/>
      <c r="NAP73" s="609"/>
      <c r="NAQ73" s="609"/>
      <c r="NAR73" s="609"/>
      <c r="NAS73" s="609"/>
      <c r="NAT73" s="609"/>
      <c r="NAU73" s="609"/>
      <c r="NAV73" s="609"/>
      <c r="NAW73" s="609"/>
      <c r="NAX73" s="609"/>
      <c r="NAY73" s="609"/>
      <c r="NAZ73" s="609"/>
      <c r="NBA73" s="609"/>
      <c r="NBB73" s="609"/>
      <c r="NBC73" s="609"/>
      <c r="NBD73" s="609"/>
      <c r="NBE73" s="609"/>
      <c r="NBF73" s="609"/>
      <c r="NBG73" s="609"/>
      <c r="NBH73" s="609"/>
      <c r="NBI73" s="609"/>
      <c r="NBJ73" s="609"/>
      <c r="NBK73" s="609"/>
      <c r="NBL73" s="609"/>
      <c r="NBM73" s="609"/>
      <c r="NBN73" s="609"/>
      <c r="NBO73" s="609"/>
      <c r="NBP73" s="609"/>
      <c r="NBQ73" s="609"/>
      <c r="NBR73" s="609"/>
      <c r="NBS73" s="609"/>
      <c r="NBT73" s="609"/>
      <c r="NBU73" s="609"/>
      <c r="NBV73" s="609"/>
      <c r="NBW73" s="609"/>
      <c r="NBX73" s="609"/>
      <c r="NBY73" s="609"/>
      <c r="NBZ73" s="609"/>
      <c r="NCA73" s="609"/>
      <c r="NCB73" s="609"/>
      <c r="NCC73" s="609"/>
      <c r="NCD73" s="609"/>
      <c r="NCE73" s="609"/>
      <c r="NCF73" s="609"/>
      <c r="NCG73" s="609"/>
      <c r="NCH73" s="609"/>
      <c r="NCI73" s="609"/>
      <c r="NCJ73" s="609"/>
      <c r="NCK73" s="609"/>
      <c r="NCL73" s="609"/>
      <c r="NCM73" s="609"/>
      <c r="NCN73" s="609"/>
      <c r="NCO73" s="609"/>
      <c r="NCP73" s="609"/>
      <c r="NCQ73" s="609"/>
      <c r="NCR73" s="609"/>
      <c r="NCS73" s="609"/>
      <c r="NCT73" s="609"/>
      <c r="NCU73" s="609"/>
      <c r="NCV73" s="609"/>
      <c r="NCW73" s="609"/>
      <c r="NCX73" s="609"/>
      <c r="NCY73" s="609"/>
      <c r="NCZ73" s="609"/>
      <c r="NDA73" s="609"/>
      <c r="NDB73" s="609"/>
      <c r="NDC73" s="609"/>
      <c r="NDD73" s="609"/>
      <c r="NDE73" s="609"/>
      <c r="NDF73" s="609"/>
      <c r="NDG73" s="609"/>
      <c r="NDH73" s="609"/>
      <c r="NDI73" s="609"/>
      <c r="NDJ73" s="609"/>
      <c r="NDK73" s="609"/>
      <c r="NDL73" s="609"/>
      <c r="NDM73" s="609"/>
      <c r="NDN73" s="609"/>
      <c r="NDO73" s="609"/>
      <c r="NDP73" s="609"/>
      <c r="NDQ73" s="609"/>
      <c r="NDR73" s="609"/>
      <c r="NDS73" s="609"/>
      <c r="NDT73" s="609"/>
      <c r="NDU73" s="609"/>
      <c r="NDV73" s="609"/>
      <c r="NDW73" s="609"/>
      <c r="NDX73" s="609"/>
      <c r="NDY73" s="609"/>
      <c r="NDZ73" s="609"/>
      <c r="NEA73" s="609"/>
      <c r="NEB73" s="609"/>
      <c r="NEC73" s="609"/>
      <c r="NED73" s="609"/>
      <c r="NEE73" s="609"/>
      <c r="NEF73" s="609"/>
      <c r="NEG73" s="609"/>
      <c r="NEH73" s="609"/>
      <c r="NEI73" s="609"/>
      <c r="NEJ73" s="609"/>
      <c r="NEK73" s="609"/>
      <c r="NEL73" s="609"/>
      <c r="NEM73" s="609"/>
      <c r="NEN73" s="609"/>
      <c r="NEO73" s="609"/>
      <c r="NEP73" s="609"/>
      <c r="NEQ73" s="609"/>
      <c r="NER73" s="609"/>
      <c r="NES73" s="609"/>
      <c r="NET73" s="609"/>
      <c r="NEU73" s="609"/>
      <c r="NEV73" s="609"/>
      <c r="NEW73" s="609"/>
      <c r="NEX73" s="609"/>
      <c r="NEY73" s="609"/>
      <c r="NEZ73" s="609"/>
      <c r="NFA73" s="609"/>
      <c r="NFB73" s="609"/>
      <c r="NFC73" s="609"/>
      <c r="NFD73" s="609"/>
      <c r="NFE73" s="609"/>
      <c r="NFF73" s="609"/>
      <c r="NFG73" s="609"/>
      <c r="NFH73" s="609"/>
      <c r="NFI73" s="609"/>
      <c r="NFJ73" s="609"/>
      <c r="NFK73" s="609"/>
      <c r="NFL73" s="609"/>
      <c r="NFM73" s="609"/>
      <c r="NFN73" s="609"/>
      <c r="NFO73" s="609"/>
      <c r="NFP73" s="609"/>
      <c r="NFQ73" s="609"/>
      <c r="NFR73" s="609"/>
      <c r="NFS73" s="609"/>
      <c r="NFT73" s="609"/>
      <c r="NFU73" s="609"/>
      <c r="NFV73" s="609"/>
      <c r="NFW73" s="609"/>
      <c r="NFX73" s="609"/>
      <c r="NFY73" s="609"/>
      <c r="NFZ73" s="609"/>
      <c r="NGA73" s="609"/>
      <c r="NGB73" s="609"/>
      <c r="NGC73" s="609"/>
      <c r="NGD73" s="609"/>
      <c r="NGE73" s="609"/>
      <c r="NGF73" s="609"/>
      <c r="NGG73" s="609"/>
      <c r="NGH73" s="609"/>
      <c r="NGI73" s="609"/>
      <c r="NGJ73" s="609"/>
      <c r="NGK73" s="609"/>
      <c r="NGL73" s="609"/>
      <c r="NGM73" s="609"/>
      <c r="NGN73" s="609"/>
      <c r="NGO73" s="609"/>
      <c r="NGP73" s="609"/>
      <c r="NGQ73" s="609"/>
      <c r="NGR73" s="609"/>
      <c r="NGS73" s="609"/>
      <c r="NGT73" s="609"/>
      <c r="NGU73" s="609"/>
      <c r="NGV73" s="609"/>
      <c r="NGW73" s="609"/>
      <c r="NGX73" s="609"/>
      <c r="NGY73" s="609"/>
      <c r="NGZ73" s="609"/>
      <c r="NHA73" s="609"/>
      <c r="NHB73" s="609"/>
      <c r="NHC73" s="609"/>
      <c r="NHD73" s="609"/>
      <c r="NHE73" s="609"/>
      <c r="NHF73" s="609"/>
      <c r="NHG73" s="609"/>
      <c r="NHH73" s="609"/>
      <c r="NHI73" s="609"/>
      <c r="NHJ73" s="609"/>
      <c r="NHK73" s="609"/>
      <c r="NHL73" s="609"/>
      <c r="NHM73" s="609"/>
      <c r="NHN73" s="609"/>
      <c r="NHO73" s="609"/>
      <c r="NHP73" s="609"/>
      <c r="NHQ73" s="609"/>
      <c r="NHR73" s="609"/>
      <c r="NHS73" s="609"/>
      <c r="NHT73" s="609"/>
      <c r="NHU73" s="609"/>
      <c r="NHV73" s="609"/>
      <c r="NHW73" s="609"/>
      <c r="NHX73" s="609"/>
      <c r="NHY73" s="609"/>
      <c r="NHZ73" s="609"/>
      <c r="NIA73" s="609"/>
      <c r="NIB73" s="609"/>
      <c r="NIC73" s="609"/>
      <c r="NID73" s="609"/>
      <c r="NIE73" s="609"/>
      <c r="NIF73" s="609"/>
      <c r="NIG73" s="609"/>
      <c r="NIH73" s="609"/>
      <c r="NII73" s="609"/>
      <c r="NIJ73" s="609"/>
      <c r="NIK73" s="609"/>
      <c r="NIL73" s="609"/>
      <c r="NIM73" s="609"/>
      <c r="NIN73" s="609"/>
      <c r="NIO73" s="609"/>
      <c r="NIP73" s="609"/>
      <c r="NIQ73" s="609"/>
      <c r="NIR73" s="609"/>
      <c r="NIS73" s="609"/>
      <c r="NIT73" s="609"/>
      <c r="NIU73" s="609"/>
      <c r="NIV73" s="609"/>
      <c r="NIW73" s="609"/>
      <c r="NIX73" s="609"/>
      <c r="NIY73" s="609"/>
      <c r="NIZ73" s="609"/>
      <c r="NJA73" s="609"/>
      <c r="NJB73" s="609"/>
      <c r="NJC73" s="609"/>
      <c r="NJD73" s="609"/>
      <c r="NJE73" s="609"/>
      <c r="NJF73" s="609"/>
      <c r="NJG73" s="609"/>
      <c r="NJH73" s="609"/>
      <c r="NJI73" s="609"/>
      <c r="NJJ73" s="609"/>
      <c r="NJK73" s="609"/>
      <c r="NJL73" s="609"/>
      <c r="NJM73" s="609"/>
      <c r="NJN73" s="609"/>
      <c r="NJO73" s="609"/>
      <c r="NJP73" s="609"/>
      <c r="NJQ73" s="609"/>
      <c r="NJR73" s="609"/>
      <c r="NJS73" s="609"/>
      <c r="NJT73" s="609"/>
      <c r="NJU73" s="609"/>
      <c r="NJV73" s="609"/>
      <c r="NJW73" s="609"/>
      <c r="NJX73" s="609"/>
      <c r="NJY73" s="609"/>
      <c r="NJZ73" s="609"/>
      <c r="NKA73" s="609"/>
      <c r="NKB73" s="609"/>
      <c r="NKC73" s="609"/>
      <c r="NKD73" s="609"/>
      <c r="NKE73" s="609"/>
      <c r="NKF73" s="609"/>
      <c r="NKG73" s="609"/>
      <c r="NKH73" s="609"/>
      <c r="NKI73" s="609"/>
      <c r="NKJ73" s="609"/>
      <c r="NKK73" s="609"/>
      <c r="NKL73" s="609"/>
      <c r="NKM73" s="609"/>
      <c r="NKN73" s="609"/>
      <c r="NKO73" s="609"/>
      <c r="NKP73" s="609"/>
      <c r="NKQ73" s="609"/>
      <c r="NKR73" s="609"/>
      <c r="NKS73" s="609"/>
      <c r="NKT73" s="609"/>
      <c r="NKU73" s="609"/>
      <c r="NKV73" s="609"/>
      <c r="NKW73" s="609"/>
      <c r="NKX73" s="609"/>
      <c r="NKY73" s="609"/>
      <c r="NKZ73" s="609"/>
      <c r="NLA73" s="609"/>
      <c r="NLB73" s="609"/>
      <c r="NLC73" s="609"/>
      <c r="NLD73" s="609"/>
      <c r="NLE73" s="609"/>
      <c r="NLF73" s="609"/>
      <c r="NLG73" s="609"/>
      <c r="NLH73" s="609"/>
      <c r="NLI73" s="609"/>
      <c r="NLJ73" s="609"/>
      <c r="NLK73" s="609"/>
      <c r="NLL73" s="609"/>
      <c r="NLM73" s="609"/>
      <c r="NLN73" s="609"/>
      <c r="NLO73" s="609"/>
      <c r="NLP73" s="609"/>
      <c r="NLQ73" s="609"/>
      <c r="NLR73" s="609"/>
      <c r="NLS73" s="609"/>
      <c r="NLT73" s="609"/>
      <c r="NLU73" s="609"/>
      <c r="NLV73" s="609"/>
      <c r="NLW73" s="609"/>
      <c r="NLX73" s="609"/>
      <c r="NLY73" s="609"/>
      <c r="NLZ73" s="609"/>
      <c r="NMA73" s="609"/>
      <c r="NMB73" s="609"/>
      <c r="NMC73" s="609"/>
      <c r="NMD73" s="609"/>
      <c r="NME73" s="609"/>
      <c r="NMF73" s="609"/>
      <c r="NMG73" s="609"/>
      <c r="NMH73" s="609"/>
      <c r="NMI73" s="609"/>
      <c r="NMJ73" s="609"/>
      <c r="NMK73" s="609"/>
      <c r="NML73" s="609"/>
      <c r="NMM73" s="609"/>
      <c r="NMN73" s="609"/>
      <c r="NMO73" s="609"/>
      <c r="NMP73" s="609"/>
      <c r="NMQ73" s="609"/>
      <c r="NMR73" s="609"/>
      <c r="NMS73" s="609"/>
      <c r="NMT73" s="609"/>
      <c r="NMU73" s="609"/>
      <c r="NMV73" s="609"/>
      <c r="NMW73" s="609"/>
      <c r="NMX73" s="609"/>
      <c r="NMY73" s="609"/>
      <c r="NMZ73" s="609"/>
      <c r="NNA73" s="609"/>
      <c r="NNB73" s="609"/>
      <c r="NNC73" s="609"/>
      <c r="NND73" s="609"/>
      <c r="NNE73" s="609"/>
      <c r="NNF73" s="609"/>
      <c r="NNG73" s="609"/>
      <c r="NNH73" s="609"/>
      <c r="NNI73" s="609"/>
      <c r="NNJ73" s="609"/>
      <c r="NNK73" s="609"/>
      <c r="NNL73" s="609"/>
      <c r="NNM73" s="609"/>
      <c r="NNN73" s="609"/>
      <c r="NNO73" s="609"/>
      <c r="NNP73" s="609"/>
      <c r="NNQ73" s="609"/>
      <c r="NNR73" s="609"/>
      <c r="NNS73" s="609"/>
      <c r="NNT73" s="609"/>
      <c r="NNU73" s="609"/>
      <c r="NNV73" s="609"/>
      <c r="NNW73" s="609"/>
      <c r="NNX73" s="609"/>
      <c r="NNY73" s="609"/>
      <c r="NNZ73" s="609"/>
      <c r="NOA73" s="609"/>
      <c r="NOB73" s="609"/>
      <c r="NOC73" s="609"/>
      <c r="NOD73" s="609"/>
      <c r="NOE73" s="609"/>
      <c r="NOF73" s="609"/>
      <c r="NOG73" s="609"/>
      <c r="NOH73" s="609"/>
      <c r="NOI73" s="609"/>
      <c r="NOJ73" s="609"/>
      <c r="NOK73" s="609"/>
      <c r="NOL73" s="609"/>
      <c r="NOM73" s="609"/>
      <c r="NON73" s="609"/>
      <c r="NOO73" s="609"/>
      <c r="NOP73" s="609"/>
      <c r="NOQ73" s="609"/>
      <c r="NOR73" s="609"/>
      <c r="NOS73" s="609"/>
      <c r="NOT73" s="609"/>
      <c r="NOU73" s="609"/>
      <c r="NOV73" s="609"/>
      <c r="NOW73" s="609"/>
      <c r="NOX73" s="609"/>
      <c r="NOY73" s="609"/>
      <c r="NOZ73" s="609"/>
      <c r="NPA73" s="609"/>
      <c r="NPB73" s="609"/>
      <c r="NPC73" s="609"/>
      <c r="NPD73" s="609"/>
      <c r="NPE73" s="609"/>
      <c r="NPF73" s="609"/>
      <c r="NPG73" s="609"/>
      <c r="NPH73" s="609"/>
      <c r="NPI73" s="609"/>
      <c r="NPJ73" s="609"/>
      <c r="NPK73" s="609"/>
      <c r="NPL73" s="609"/>
      <c r="NPM73" s="609"/>
      <c r="NPN73" s="609"/>
      <c r="NPO73" s="609"/>
      <c r="NPP73" s="609"/>
      <c r="NPQ73" s="609"/>
      <c r="NPR73" s="609"/>
      <c r="NPS73" s="609"/>
      <c r="NPT73" s="609"/>
      <c r="NPU73" s="609"/>
      <c r="NPV73" s="609"/>
      <c r="NPW73" s="609"/>
      <c r="NPX73" s="609"/>
      <c r="NPY73" s="609"/>
      <c r="NPZ73" s="609"/>
      <c r="NQA73" s="609"/>
      <c r="NQB73" s="609"/>
      <c r="NQC73" s="609"/>
      <c r="NQD73" s="609"/>
      <c r="NQE73" s="609"/>
      <c r="NQF73" s="609"/>
      <c r="NQG73" s="609"/>
      <c r="NQH73" s="609"/>
      <c r="NQI73" s="609"/>
      <c r="NQJ73" s="609"/>
      <c r="NQK73" s="609"/>
      <c r="NQL73" s="609"/>
      <c r="NQM73" s="609"/>
      <c r="NQN73" s="609"/>
      <c r="NQO73" s="609"/>
      <c r="NQP73" s="609"/>
      <c r="NQQ73" s="609"/>
      <c r="NQR73" s="609"/>
      <c r="NQS73" s="609"/>
      <c r="NQT73" s="609"/>
      <c r="NQU73" s="609"/>
      <c r="NQV73" s="609"/>
      <c r="NQW73" s="609"/>
      <c r="NQX73" s="609"/>
      <c r="NQY73" s="609"/>
      <c r="NQZ73" s="609"/>
      <c r="NRA73" s="609"/>
      <c r="NRB73" s="609"/>
      <c r="NRC73" s="609"/>
      <c r="NRD73" s="609"/>
      <c r="NRE73" s="609"/>
      <c r="NRF73" s="609"/>
      <c r="NRG73" s="609"/>
      <c r="NRH73" s="609"/>
      <c r="NRI73" s="609"/>
      <c r="NRJ73" s="609"/>
      <c r="NRK73" s="609"/>
      <c r="NRL73" s="609"/>
      <c r="NRM73" s="609"/>
      <c r="NRN73" s="609"/>
      <c r="NRO73" s="609"/>
      <c r="NRP73" s="609"/>
      <c r="NRQ73" s="609"/>
      <c r="NRR73" s="609"/>
      <c r="NRS73" s="609"/>
      <c r="NRT73" s="609"/>
      <c r="NRU73" s="609"/>
      <c r="NRV73" s="609"/>
      <c r="NRW73" s="609"/>
      <c r="NRX73" s="609"/>
      <c r="NRY73" s="609"/>
      <c r="NRZ73" s="609"/>
      <c r="NSA73" s="609"/>
      <c r="NSB73" s="609"/>
      <c r="NSC73" s="609"/>
      <c r="NSD73" s="609"/>
      <c r="NSE73" s="609"/>
      <c r="NSF73" s="609"/>
      <c r="NSG73" s="609"/>
      <c r="NSH73" s="609"/>
      <c r="NSI73" s="609"/>
      <c r="NSJ73" s="609"/>
      <c r="NSK73" s="609"/>
      <c r="NSL73" s="609"/>
      <c r="NSM73" s="609"/>
      <c r="NSN73" s="609"/>
      <c r="NSO73" s="609"/>
      <c r="NSP73" s="609"/>
      <c r="NSQ73" s="609"/>
      <c r="NSR73" s="609"/>
      <c r="NSS73" s="609"/>
      <c r="NST73" s="609"/>
      <c r="NSU73" s="609"/>
      <c r="NSV73" s="609"/>
      <c r="NSW73" s="609"/>
      <c r="NSX73" s="609"/>
      <c r="NSY73" s="609"/>
      <c r="NSZ73" s="609"/>
      <c r="NTA73" s="609"/>
      <c r="NTB73" s="609"/>
      <c r="NTC73" s="609"/>
      <c r="NTD73" s="609"/>
      <c r="NTE73" s="609"/>
      <c r="NTF73" s="609"/>
      <c r="NTG73" s="609"/>
      <c r="NTH73" s="609"/>
      <c r="NTI73" s="609"/>
      <c r="NTJ73" s="609"/>
      <c r="NTK73" s="609"/>
      <c r="NTL73" s="609"/>
      <c r="NTM73" s="609"/>
      <c r="NTN73" s="609"/>
      <c r="NTO73" s="609"/>
      <c r="NTP73" s="609"/>
      <c r="NTQ73" s="609"/>
      <c r="NTR73" s="609"/>
      <c r="NTS73" s="609"/>
      <c r="NTT73" s="609"/>
      <c r="NTU73" s="609"/>
      <c r="NTV73" s="609"/>
      <c r="NTW73" s="609"/>
      <c r="NTX73" s="609"/>
      <c r="NTY73" s="609"/>
      <c r="NTZ73" s="609"/>
      <c r="NUA73" s="609"/>
      <c r="NUB73" s="609"/>
      <c r="NUC73" s="609"/>
      <c r="NUD73" s="609"/>
      <c r="NUE73" s="609"/>
      <c r="NUF73" s="609"/>
      <c r="NUG73" s="609"/>
      <c r="NUH73" s="609"/>
      <c r="NUI73" s="609"/>
      <c r="NUJ73" s="609"/>
      <c r="NUK73" s="609"/>
      <c r="NUL73" s="609"/>
      <c r="NUM73" s="609"/>
      <c r="NUN73" s="609"/>
      <c r="NUO73" s="609"/>
      <c r="NUP73" s="609"/>
      <c r="NUQ73" s="609"/>
      <c r="NUR73" s="609"/>
      <c r="NUS73" s="609"/>
      <c r="NUT73" s="609"/>
      <c r="NUU73" s="609"/>
      <c r="NUV73" s="609"/>
      <c r="NUW73" s="609"/>
      <c r="NUX73" s="609"/>
      <c r="NUY73" s="609"/>
      <c r="NUZ73" s="609"/>
      <c r="NVA73" s="609"/>
      <c r="NVB73" s="609"/>
      <c r="NVC73" s="609"/>
      <c r="NVD73" s="609"/>
      <c r="NVE73" s="609"/>
      <c r="NVF73" s="609"/>
      <c r="NVG73" s="609"/>
      <c r="NVH73" s="609"/>
      <c r="NVI73" s="609"/>
      <c r="NVJ73" s="609"/>
      <c r="NVK73" s="609"/>
      <c r="NVL73" s="609"/>
      <c r="NVM73" s="609"/>
      <c r="NVN73" s="609"/>
      <c r="NVO73" s="609"/>
      <c r="NVP73" s="609"/>
      <c r="NVQ73" s="609"/>
      <c r="NVR73" s="609"/>
      <c r="NVS73" s="609"/>
      <c r="NVT73" s="609"/>
      <c r="NVU73" s="609"/>
      <c r="NVV73" s="609"/>
      <c r="NVW73" s="609"/>
      <c r="NVX73" s="609"/>
      <c r="NVY73" s="609"/>
      <c r="NVZ73" s="609"/>
      <c r="NWA73" s="609"/>
      <c r="NWB73" s="609"/>
      <c r="NWC73" s="609"/>
      <c r="NWD73" s="609"/>
      <c r="NWE73" s="609"/>
      <c r="NWF73" s="609"/>
      <c r="NWG73" s="609"/>
      <c r="NWH73" s="609"/>
      <c r="NWI73" s="609"/>
      <c r="NWJ73" s="609"/>
      <c r="NWK73" s="609"/>
      <c r="NWL73" s="609"/>
      <c r="NWM73" s="609"/>
      <c r="NWN73" s="609"/>
      <c r="NWO73" s="609"/>
      <c r="NWP73" s="609"/>
      <c r="NWQ73" s="609"/>
      <c r="NWR73" s="609"/>
      <c r="NWS73" s="609"/>
      <c r="NWT73" s="609"/>
      <c r="NWU73" s="609"/>
      <c r="NWV73" s="609"/>
      <c r="NWW73" s="609"/>
      <c r="NWX73" s="609"/>
      <c r="NWY73" s="609"/>
      <c r="NWZ73" s="609"/>
      <c r="NXA73" s="609"/>
      <c r="NXB73" s="609"/>
      <c r="NXC73" s="609"/>
      <c r="NXD73" s="609"/>
      <c r="NXE73" s="609"/>
      <c r="NXF73" s="609"/>
      <c r="NXG73" s="609"/>
      <c r="NXH73" s="609"/>
      <c r="NXI73" s="609"/>
      <c r="NXJ73" s="609"/>
      <c r="NXK73" s="609"/>
      <c r="NXL73" s="609"/>
      <c r="NXM73" s="609"/>
      <c r="NXN73" s="609"/>
      <c r="NXO73" s="609"/>
      <c r="NXP73" s="609"/>
      <c r="NXQ73" s="609"/>
      <c r="NXR73" s="609"/>
      <c r="NXS73" s="609"/>
      <c r="NXT73" s="609"/>
      <c r="NXU73" s="609"/>
      <c r="NXV73" s="609"/>
      <c r="NXW73" s="609"/>
      <c r="NXX73" s="609"/>
      <c r="NXY73" s="609"/>
      <c r="NXZ73" s="609"/>
      <c r="NYA73" s="609"/>
      <c r="NYB73" s="609"/>
      <c r="NYC73" s="609"/>
      <c r="NYD73" s="609"/>
      <c r="NYE73" s="609"/>
      <c r="NYF73" s="609"/>
      <c r="NYG73" s="609"/>
      <c r="NYH73" s="609"/>
      <c r="NYI73" s="609"/>
      <c r="NYJ73" s="609"/>
      <c r="NYK73" s="609"/>
      <c r="NYL73" s="609"/>
      <c r="NYM73" s="609"/>
      <c r="NYN73" s="609"/>
      <c r="NYO73" s="609"/>
      <c r="NYP73" s="609"/>
      <c r="NYQ73" s="609"/>
      <c r="NYR73" s="609"/>
      <c r="NYS73" s="609"/>
      <c r="NYT73" s="609"/>
      <c r="NYU73" s="609"/>
      <c r="NYV73" s="609"/>
      <c r="NYW73" s="609"/>
      <c r="NYX73" s="609"/>
      <c r="NYY73" s="609"/>
      <c r="NYZ73" s="609"/>
      <c r="NZA73" s="609"/>
      <c r="NZB73" s="609"/>
      <c r="NZC73" s="609"/>
      <c r="NZD73" s="609"/>
      <c r="NZE73" s="609"/>
      <c r="NZF73" s="609"/>
      <c r="NZG73" s="609"/>
      <c r="NZH73" s="609"/>
      <c r="NZI73" s="609"/>
      <c r="NZJ73" s="609"/>
      <c r="NZK73" s="609"/>
      <c r="NZL73" s="609"/>
      <c r="NZM73" s="609"/>
      <c r="NZN73" s="609"/>
      <c r="NZO73" s="609"/>
      <c r="NZP73" s="609"/>
      <c r="NZQ73" s="609"/>
      <c r="NZR73" s="609"/>
      <c r="NZS73" s="609"/>
      <c r="NZT73" s="609"/>
      <c r="NZU73" s="609"/>
      <c r="NZV73" s="609"/>
      <c r="NZW73" s="609"/>
      <c r="NZX73" s="609"/>
      <c r="NZY73" s="609"/>
      <c r="NZZ73" s="609"/>
      <c r="OAA73" s="609"/>
      <c r="OAB73" s="609"/>
      <c r="OAC73" s="609"/>
      <c r="OAD73" s="609"/>
      <c r="OAE73" s="609"/>
      <c r="OAF73" s="609"/>
      <c r="OAG73" s="609"/>
      <c r="OAH73" s="609"/>
      <c r="OAI73" s="609"/>
      <c r="OAJ73" s="609"/>
      <c r="OAK73" s="609"/>
      <c r="OAL73" s="609"/>
      <c r="OAM73" s="609"/>
      <c r="OAN73" s="609"/>
      <c r="OAO73" s="609"/>
      <c r="OAP73" s="609"/>
      <c r="OAQ73" s="609"/>
      <c r="OAR73" s="609"/>
      <c r="OAS73" s="609"/>
      <c r="OAT73" s="609"/>
      <c r="OAU73" s="609"/>
      <c r="OAV73" s="609"/>
      <c r="OAW73" s="609"/>
      <c r="OAX73" s="609"/>
      <c r="OAY73" s="609"/>
      <c r="OAZ73" s="609"/>
      <c r="OBA73" s="609"/>
      <c r="OBB73" s="609"/>
      <c r="OBC73" s="609"/>
      <c r="OBD73" s="609"/>
      <c r="OBE73" s="609"/>
      <c r="OBF73" s="609"/>
      <c r="OBG73" s="609"/>
      <c r="OBH73" s="609"/>
      <c r="OBI73" s="609"/>
      <c r="OBJ73" s="609"/>
      <c r="OBK73" s="609"/>
      <c r="OBL73" s="609"/>
      <c r="OBM73" s="609"/>
      <c r="OBN73" s="609"/>
      <c r="OBO73" s="609"/>
      <c r="OBP73" s="609"/>
      <c r="OBQ73" s="609"/>
      <c r="OBR73" s="609"/>
      <c r="OBS73" s="609"/>
      <c r="OBT73" s="609"/>
      <c r="OBU73" s="609"/>
      <c r="OBV73" s="609"/>
      <c r="OBW73" s="609"/>
      <c r="OBX73" s="609"/>
      <c r="OBY73" s="609"/>
      <c r="OBZ73" s="609"/>
      <c r="OCA73" s="609"/>
      <c r="OCB73" s="609"/>
      <c r="OCC73" s="609"/>
      <c r="OCD73" s="609"/>
      <c r="OCE73" s="609"/>
      <c r="OCF73" s="609"/>
      <c r="OCG73" s="609"/>
      <c r="OCH73" s="609"/>
      <c r="OCI73" s="609"/>
      <c r="OCJ73" s="609"/>
      <c r="OCK73" s="609"/>
      <c r="OCL73" s="609"/>
      <c r="OCM73" s="609"/>
      <c r="OCN73" s="609"/>
      <c r="OCO73" s="609"/>
      <c r="OCP73" s="609"/>
      <c r="OCQ73" s="609"/>
      <c r="OCR73" s="609"/>
      <c r="OCS73" s="609"/>
      <c r="OCT73" s="609"/>
      <c r="OCU73" s="609"/>
      <c r="OCV73" s="609"/>
      <c r="OCW73" s="609"/>
      <c r="OCX73" s="609"/>
      <c r="OCY73" s="609"/>
      <c r="OCZ73" s="609"/>
      <c r="ODA73" s="609"/>
      <c r="ODB73" s="609"/>
      <c r="ODC73" s="609"/>
      <c r="ODD73" s="609"/>
      <c r="ODE73" s="609"/>
      <c r="ODF73" s="609"/>
      <c r="ODG73" s="609"/>
      <c r="ODH73" s="609"/>
      <c r="ODI73" s="609"/>
      <c r="ODJ73" s="609"/>
      <c r="ODK73" s="609"/>
      <c r="ODL73" s="609"/>
      <c r="ODM73" s="609"/>
      <c r="ODN73" s="609"/>
      <c r="ODO73" s="609"/>
      <c r="ODP73" s="609"/>
      <c r="ODQ73" s="609"/>
      <c r="ODR73" s="609"/>
      <c r="ODS73" s="609"/>
      <c r="ODT73" s="609"/>
      <c r="ODU73" s="609"/>
      <c r="ODV73" s="609"/>
      <c r="ODW73" s="609"/>
      <c r="ODX73" s="609"/>
      <c r="ODY73" s="609"/>
      <c r="ODZ73" s="609"/>
      <c r="OEA73" s="609"/>
      <c r="OEB73" s="609"/>
      <c r="OEC73" s="609"/>
      <c r="OED73" s="609"/>
      <c r="OEE73" s="609"/>
      <c r="OEF73" s="609"/>
      <c r="OEG73" s="609"/>
      <c r="OEH73" s="609"/>
      <c r="OEI73" s="609"/>
      <c r="OEJ73" s="609"/>
      <c r="OEK73" s="609"/>
      <c r="OEL73" s="609"/>
      <c r="OEM73" s="609"/>
      <c r="OEN73" s="609"/>
      <c r="OEO73" s="609"/>
      <c r="OEP73" s="609"/>
      <c r="OEQ73" s="609"/>
      <c r="OER73" s="609"/>
      <c r="OES73" s="609"/>
      <c r="OET73" s="609"/>
      <c r="OEU73" s="609"/>
      <c r="OEV73" s="609"/>
      <c r="OEW73" s="609"/>
      <c r="OEX73" s="609"/>
      <c r="OEY73" s="609"/>
      <c r="OEZ73" s="609"/>
      <c r="OFA73" s="609"/>
      <c r="OFB73" s="609"/>
      <c r="OFC73" s="609"/>
      <c r="OFD73" s="609"/>
      <c r="OFE73" s="609"/>
      <c r="OFF73" s="609"/>
      <c r="OFG73" s="609"/>
      <c r="OFH73" s="609"/>
      <c r="OFI73" s="609"/>
      <c r="OFJ73" s="609"/>
      <c r="OFK73" s="609"/>
      <c r="OFL73" s="609"/>
      <c r="OFM73" s="609"/>
      <c r="OFN73" s="609"/>
      <c r="OFO73" s="609"/>
      <c r="OFP73" s="609"/>
      <c r="OFQ73" s="609"/>
      <c r="OFR73" s="609"/>
      <c r="OFS73" s="609"/>
      <c r="OFT73" s="609"/>
      <c r="OFU73" s="609"/>
      <c r="OFV73" s="609"/>
      <c r="OFW73" s="609"/>
      <c r="OFX73" s="609"/>
      <c r="OFY73" s="609"/>
      <c r="OFZ73" s="609"/>
      <c r="OGA73" s="609"/>
      <c r="OGB73" s="609"/>
      <c r="OGC73" s="609"/>
      <c r="OGD73" s="609"/>
      <c r="OGE73" s="609"/>
      <c r="OGF73" s="609"/>
      <c r="OGG73" s="609"/>
      <c r="OGH73" s="609"/>
      <c r="OGI73" s="609"/>
      <c r="OGJ73" s="609"/>
      <c r="OGK73" s="609"/>
      <c r="OGL73" s="609"/>
      <c r="OGM73" s="609"/>
      <c r="OGN73" s="609"/>
      <c r="OGO73" s="609"/>
      <c r="OGP73" s="609"/>
      <c r="OGQ73" s="609"/>
      <c r="OGR73" s="609"/>
      <c r="OGS73" s="609"/>
      <c r="OGT73" s="609"/>
      <c r="OGU73" s="609"/>
      <c r="OGV73" s="609"/>
      <c r="OGW73" s="609"/>
      <c r="OGX73" s="609"/>
      <c r="OGY73" s="609"/>
      <c r="OGZ73" s="609"/>
      <c r="OHA73" s="609"/>
      <c r="OHB73" s="609"/>
      <c r="OHC73" s="609"/>
      <c r="OHD73" s="609"/>
      <c r="OHE73" s="609"/>
      <c r="OHF73" s="609"/>
      <c r="OHG73" s="609"/>
      <c r="OHH73" s="609"/>
      <c r="OHI73" s="609"/>
      <c r="OHJ73" s="609"/>
      <c r="OHK73" s="609"/>
      <c r="OHL73" s="609"/>
      <c r="OHM73" s="609"/>
      <c r="OHN73" s="609"/>
      <c r="OHO73" s="609"/>
      <c r="OHP73" s="609"/>
      <c r="OHQ73" s="609"/>
      <c r="OHR73" s="609"/>
      <c r="OHS73" s="609"/>
      <c r="OHT73" s="609"/>
      <c r="OHU73" s="609"/>
      <c r="OHV73" s="609"/>
      <c r="OHW73" s="609"/>
      <c r="OHX73" s="609"/>
      <c r="OHY73" s="609"/>
      <c r="OHZ73" s="609"/>
      <c r="OIA73" s="609"/>
      <c r="OIB73" s="609"/>
      <c r="OIC73" s="609"/>
      <c r="OID73" s="609"/>
      <c r="OIE73" s="609"/>
      <c r="OIF73" s="609"/>
      <c r="OIG73" s="609"/>
      <c r="OIH73" s="609"/>
      <c r="OII73" s="609"/>
      <c r="OIJ73" s="609"/>
      <c r="OIK73" s="609"/>
      <c r="OIL73" s="609"/>
      <c r="OIM73" s="609"/>
      <c r="OIN73" s="609"/>
      <c r="OIO73" s="609"/>
      <c r="OIP73" s="609"/>
      <c r="OIQ73" s="609"/>
      <c r="OIR73" s="609"/>
      <c r="OIS73" s="609"/>
      <c r="OIT73" s="609"/>
      <c r="OIU73" s="609"/>
      <c r="OIV73" s="609"/>
      <c r="OIW73" s="609"/>
      <c r="OIX73" s="609"/>
      <c r="OIY73" s="609"/>
      <c r="OIZ73" s="609"/>
      <c r="OJA73" s="609"/>
      <c r="OJB73" s="609"/>
      <c r="OJC73" s="609"/>
      <c r="OJD73" s="609"/>
      <c r="OJE73" s="609"/>
      <c r="OJF73" s="609"/>
      <c r="OJG73" s="609"/>
      <c r="OJH73" s="609"/>
      <c r="OJI73" s="609"/>
      <c r="OJJ73" s="609"/>
      <c r="OJK73" s="609"/>
      <c r="OJL73" s="609"/>
      <c r="OJM73" s="609"/>
      <c r="OJN73" s="609"/>
      <c r="OJO73" s="609"/>
      <c r="OJP73" s="609"/>
      <c r="OJQ73" s="609"/>
      <c r="OJR73" s="609"/>
      <c r="OJS73" s="609"/>
      <c r="OJT73" s="609"/>
      <c r="OJU73" s="609"/>
      <c r="OJV73" s="609"/>
      <c r="OJW73" s="609"/>
      <c r="OJX73" s="609"/>
      <c r="OJY73" s="609"/>
      <c r="OJZ73" s="609"/>
      <c r="OKA73" s="609"/>
      <c r="OKB73" s="609"/>
      <c r="OKC73" s="609"/>
      <c r="OKD73" s="609"/>
      <c r="OKE73" s="609"/>
      <c r="OKF73" s="609"/>
      <c r="OKG73" s="609"/>
      <c r="OKH73" s="609"/>
      <c r="OKI73" s="609"/>
      <c r="OKJ73" s="609"/>
      <c r="OKK73" s="609"/>
      <c r="OKL73" s="609"/>
      <c r="OKM73" s="609"/>
      <c r="OKN73" s="609"/>
      <c r="OKO73" s="609"/>
      <c r="OKP73" s="609"/>
      <c r="OKQ73" s="609"/>
      <c r="OKR73" s="609"/>
      <c r="OKS73" s="609"/>
      <c r="OKT73" s="609"/>
      <c r="OKU73" s="609"/>
      <c r="OKV73" s="609"/>
      <c r="OKW73" s="609"/>
      <c r="OKX73" s="609"/>
      <c r="OKY73" s="609"/>
      <c r="OKZ73" s="609"/>
      <c r="OLA73" s="609"/>
      <c r="OLB73" s="609"/>
      <c r="OLC73" s="609"/>
      <c r="OLD73" s="609"/>
      <c r="OLE73" s="609"/>
      <c r="OLF73" s="609"/>
      <c r="OLG73" s="609"/>
      <c r="OLH73" s="609"/>
      <c r="OLI73" s="609"/>
      <c r="OLJ73" s="609"/>
      <c r="OLK73" s="609"/>
      <c r="OLL73" s="609"/>
      <c r="OLM73" s="609"/>
      <c r="OLN73" s="609"/>
      <c r="OLO73" s="609"/>
      <c r="OLP73" s="609"/>
      <c r="OLQ73" s="609"/>
      <c r="OLR73" s="609"/>
      <c r="OLS73" s="609"/>
      <c r="OLT73" s="609"/>
      <c r="OLU73" s="609"/>
      <c r="OLV73" s="609"/>
      <c r="OLW73" s="609"/>
      <c r="OLX73" s="609"/>
      <c r="OLY73" s="609"/>
      <c r="OLZ73" s="609"/>
      <c r="OMA73" s="609"/>
      <c r="OMB73" s="609"/>
      <c r="OMC73" s="609"/>
      <c r="OMD73" s="609"/>
      <c r="OME73" s="609"/>
      <c r="OMF73" s="609"/>
      <c r="OMG73" s="609"/>
      <c r="OMH73" s="609"/>
      <c r="OMI73" s="609"/>
      <c r="OMJ73" s="609"/>
      <c r="OMK73" s="609"/>
      <c r="OML73" s="609"/>
      <c r="OMM73" s="609"/>
      <c r="OMN73" s="609"/>
      <c r="OMO73" s="609"/>
      <c r="OMP73" s="609"/>
      <c r="OMQ73" s="609"/>
      <c r="OMR73" s="609"/>
      <c r="OMS73" s="609"/>
      <c r="OMT73" s="609"/>
      <c r="OMU73" s="609"/>
      <c r="OMV73" s="609"/>
      <c r="OMW73" s="609"/>
      <c r="OMX73" s="609"/>
      <c r="OMY73" s="609"/>
      <c r="OMZ73" s="609"/>
      <c r="ONA73" s="609"/>
      <c r="ONB73" s="609"/>
      <c r="ONC73" s="609"/>
      <c r="OND73" s="609"/>
      <c r="ONE73" s="609"/>
      <c r="ONF73" s="609"/>
      <c r="ONG73" s="609"/>
      <c r="ONH73" s="609"/>
      <c r="ONI73" s="609"/>
      <c r="ONJ73" s="609"/>
      <c r="ONK73" s="609"/>
      <c r="ONL73" s="609"/>
      <c r="ONM73" s="609"/>
      <c r="ONN73" s="609"/>
      <c r="ONO73" s="609"/>
      <c r="ONP73" s="609"/>
      <c r="ONQ73" s="609"/>
      <c r="ONR73" s="609"/>
      <c r="ONS73" s="609"/>
      <c r="ONT73" s="609"/>
      <c r="ONU73" s="609"/>
      <c r="ONV73" s="609"/>
      <c r="ONW73" s="609"/>
      <c r="ONX73" s="609"/>
      <c r="ONY73" s="609"/>
      <c r="ONZ73" s="609"/>
      <c r="OOA73" s="609"/>
      <c r="OOB73" s="609"/>
      <c r="OOC73" s="609"/>
      <c r="OOD73" s="609"/>
      <c r="OOE73" s="609"/>
      <c r="OOF73" s="609"/>
      <c r="OOG73" s="609"/>
      <c r="OOH73" s="609"/>
      <c r="OOI73" s="609"/>
      <c r="OOJ73" s="609"/>
      <c r="OOK73" s="609"/>
      <c r="OOL73" s="609"/>
      <c r="OOM73" s="609"/>
      <c r="OON73" s="609"/>
      <c r="OOO73" s="609"/>
      <c r="OOP73" s="609"/>
      <c r="OOQ73" s="609"/>
      <c r="OOR73" s="609"/>
      <c r="OOS73" s="609"/>
      <c r="OOT73" s="609"/>
      <c r="OOU73" s="609"/>
      <c r="OOV73" s="609"/>
      <c r="OOW73" s="609"/>
      <c r="OOX73" s="609"/>
      <c r="OOY73" s="609"/>
      <c r="OOZ73" s="609"/>
      <c r="OPA73" s="609"/>
      <c r="OPB73" s="609"/>
      <c r="OPC73" s="609"/>
      <c r="OPD73" s="609"/>
      <c r="OPE73" s="609"/>
      <c r="OPF73" s="609"/>
      <c r="OPG73" s="609"/>
      <c r="OPH73" s="609"/>
      <c r="OPI73" s="609"/>
      <c r="OPJ73" s="609"/>
      <c r="OPK73" s="609"/>
      <c r="OPL73" s="609"/>
      <c r="OPM73" s="609"/>
      <c r="OPN73" s="609"/>
      <c r="OPO73" s="609"/>
      <c r="OPP73" s="609"/>
      <c r="OPQ73" s="609"/>
      <c r="OPR73" s="609"/>
      <c r="OPS73" s="609"/>
      <c r="OPT73" s="609"/>
      <c r="OPU73" s="609"/>
      <c r="OPV73" s="609"/>
      <c r="OPW73" s="609"/>
      <c r="OPX73" s="609"/>
      <c r="OPY73" s="609"/>
      <c r="OPZ73" s="609"/>
      <c r="OQA73" s="609"/>
      <c r="OQB73" s="609"/>
      <c r="OQC73" s="609"/>
      <c r="OQD73" s="609"/>
      <c r="OQE73" s="609"/>
      <c r="OQF73" s="609"/>
      <c r="OQG73" s="609"/>
      <c r="OQH73" s="609"/>
      <c r="OQI73" s="609"/>
      <c r="OQJ73" s="609"/>
      <c r="OQK73" s="609"/>
      <c r="OQL73" s="609"/>
      <c r="OQM73" s="609"/>
      <c r="OQN73" s="609"/>
      <c r="OQO73" s="609"/>
      <c r="OQP73" s="609"/>
      <c r="OQQ73" s="609"/>
      <c r="OQR73" s="609"/>
      <c r="OQS73" s="609"/>
      <c r="OQT73" s="609"/>
      <c r="OQU73" s="609"/>
      <c r="OQV73" s="609"/>
      <c r="OQW73" s="609"/>
      <c r="OQX73" s="609"/>
      <c r="OQY73" s="609"/>
      <c r="OQZ73" s="609"/>
      <c r="ORA73" s="609"/>
      <c r="ORB73" s="609"/>
      <c r="ORC73" s="609"/>
      <c r="ORD73" s="609"/>
      <c r="ORE73" s="609"/>
      <c r="ORF73" s="609"/>
      <c r="ORG73" s="609"/>
      <c r="ORH73" s="609"/>
      <c r="ORI73" s="609"/>
      <c r="ORJ73" s="609"/>
      <c r="ORK73" s="609"/>
      <c r="ORL73" s="609"/>
      <c r="ORM73" s="609"/>
      <c r="ORN73" s="609"/>
      <c r="ORO73" s="609"/>
      <c r="ORP73" s="609"/>
      <c r="ORQ73" s="609"/>
      <c r="ORR73" s="609"/>
      <c r="ORS73" s="609"/>
      <c r="ORT73" s="609"/>
      <c r="ORU73" s="609"/>
      <c r="ORV73" s="609"/>
      <c r="ORW73" s="609"/>
      <c r="ORX73" s="609"/>
      <c r="ORY73" s="609"/>
      <c r="ORZ73" s="609"/>
      <c r="OSA73" s="609"/>
      <c r="OSB73" s="609"/>
      <c r="OSC73" s="609"/>
      <c r="OSD73" s="609"/>
      <c r="OSE73" s="609"/>
      <c r="OSF73" s="609"/>
      <c r="OSG73" s="609"/>
      <c r="OSH73" s="609"/>
      <c r="OSI73" s="609"/>
      <c r="OSJ73" s="609"/>
      <c r="OSK73" s="609"/>
      <c r="OSL73" s="609"/>
      <c r="OSM73" s="609"/>
      <c r="OSN73" s="609"/>
      <c r="OSO73" s="609"/>
      <c r="OSP73" s="609"/>
      <c r="OSQ73" s="609"/>
      <c r="OSR73" s="609"/>
      <c r="OSS73" s="609"/>
      <c r="OST73" s="609"/>
      <c r="OSU73" s="609"/>
      <c r="OSV73" s="609"/>
      <c r="OSW73" s="609"/>
      <c r="OSX73" s="609"/>
      <c r="OSY73" s="609"/>
      <c r="OSZ73" s="609"/>
      <c r="OTA73" s="609"/>
      <c r="OTB73" s="609"/>
      <c r="OTC73" s="609"/>
      <c r="OTD73" s="609"/>
      <c r="OTE73" s="609"/>
      <c r="OTF73" s="609"/>
      <c r="OTG73" s="609"/>
      <c r="OTH73" s="609"/>
      <c r="OTI73" s="609"/>
      <c r="OTJ73" s="609"/>
      <c r="OTK73" s="609"/>
      <c r="OTL73" s="609"/>
      <c r="OTM73" s="609"/>
      <c r="OTN73" s="609"/>
      <c r="OTO73" s="609"/>
      <c r="OTP73" s="609"/>
      <c r="OTQ73" s="609"/>
      <c r="OTR73" s="609"/>
      <c r="OTS73" s="609"/>
      <c r="OTT73" s="609"/>
      <c r="OTU73" s="609"/>
      <c r="OTV73" s="609"/>
      <c r="OTW73" s="609"/>
      <c r="OTX73" s="609"/>
      <c r="OTY73" s="609"/>
      <c r="OTZ73" s="609"/>
      <c r="OUA73" s="609"/>
      <c r="OUB73" s="609"/>
      <c r="OUC73" s="609"/>
      <c r="OUD73" s="609"/>
      <c r="OUE73" s="609"/>
      <c r="OUF73" s="609"/>
      <c r="OUG73" s="609"/>
      <c r="OUH73" s="609"/>
      <c r="OUI73" s="609"/>
      <c r="OUJ73" s="609"/>
      <c r="OUK73" s="609"/>
      <c r="OUL73" s="609"/>
      <c r="OUM73" s="609"/>
      <c r="OUN73" s="609"/>
      <c r="OUO73" s="609"/>
      <c r="OUP73" s="609"/>
      <c r="OUQ73" s="609"/>
      <c r="OUR73" s="609"/>
      <c r="OUS73" s="609"/>
      <c r="OUT73" s="609"/>
      <c r="OUU73" s="609"/>
      <c r="OUV73" s="609"/>
      <c r="OUW73" s="609"/>
      <c r="OUX73" s="609"/>
      <c r="OUY73" s="609"/>
      <c r="OUZ73" s="609"/>
      <c r="OVA73" s="609"/>
      <c r="OVB73" s="609"/>
      <c r="OVC73" s="609"/>
      <c r="OVD73" s="609"/>
      <c r="OVE73" s="609"/>
      <c r="OVF73" s="609"/>
      <c r="OVG73" s="609"/>
      <c r="OVH73" s="609"/>
      <c r="OVI73" s="609"/>
      <c r="OVJ73" s="609"/>
      <c r="OVK73" s="609"/>
      <c r="OVL73" s="609"/>
      <c r="OVM73" s="609"/>
      <c r="OVN73" s="609"/>
      <c r="OVO73" s="609"/>
      <c r="OVP73" s="609"/>
      <c r="OVQ73" s="609"/>
      <c r="OVR73" s="609"/>
      <c r="OVS73" s="609"/>
      <c r="OVT73" s="609"/>
      <c r="OVU73" s="609"/>
      <c r="OVV73" s="609"/>
      <c r="OVW73" s="609"/>
      <c r="OVX73" s="609"/>
      <c r="OVY73" s="609"/>
      <c r="OVZ73" s="609"/>
      <c r="OWA73" s="609"/>
      <c r="OWB73" s="609"/>
      <c r="OWC73" s="609"/>
      <c r="OWD73" s="609"/>
      <c r="OWE73" s="609"/>
      <c r="OWF73" s="609"/>
      <c r="OWG73" s="609"/>
      <c r="OWH73" s="609"/>
      <c r="OWI73" s="609"/>
      <c r="OWJ73" s="609"/>
      <c r="OWK73" s="609"/>
      <c r="OWL73" s="609"/>
      <c r="OWM73" s="609"/>
      <c r="OWN73" s="609"/>
      <c r="OWO73" s="609"/>
      <c r="OWP73" s="609"/>
      <c r="OWQ73" s="609"/>
      <c r="OWR73" s="609"/>
      <c r="OWS73" s="609"/>
      <c r="OWT73" s="609"/>
      <c r="OWU73" s="609"/>
      <c r="OWV73" s="609"/>
      <c r="OWW73" s="609"/>
      <c r="OWX73" s="609"/>
      <c r="OWY73" s="609"/>
      <c r="OWZ73" s="609"/>
      <c r="OXA73" s="609"/>
      <c r="OXB73" s="609"/>
      <c r="OXC73" s="609"/>
      <c r="OXD73" s="609"/>
      <c r="OXE73" s="609"/>
      <c r="OXF73" s="609"/>
      <c r="OXG73" s="609"/>
      <c r="OXH73" s="609"/>
      <c r="OXI73" s="609"/>
      <c r="OXJ73" s="609"/>
      <c r="OXK73" s="609"/>
      <c r="OXL73" s="609"/>
      <c r="OXM73" s="609"/>
      <c r="OXN73" s="609"/>
      <c r="OXO73" s="609"/>
      <c r="OXP73" s="609"/>
      <c r="OXQ73" s="609"/>
      <c r="OXR73" s="609"/>
      <c r="OXS73" s="609"/>
      <c r="OXT73" s="609"/>
      <c r="OXU73" s="609"/>
      <c r="OXV73" s="609"/>
      <c r="OXW73" s="609"/>
      <c r="OXX73" s="609"/>
      <c r="OXY73" s="609"/>
      <c r="OXZ73" s="609"/>
      <c r="OYA73" s="609"/>
      <c r="OYB73" s="609"/>
      <c r="OYC73" s="609"/>
      <c r="OYD73" s="609"/>
      <c r="OYE73" s="609"/>
      <c r="OYF73" s="609"/>
      <c r="OYG73" s="609"/>
      <c r="OYH73" s="609"/>
      <c r="OYI73" s="609"/>
      <c r="OYJ73" s="609"/>
      <c r="OYK73" s="609"/>
      <c r="OYL73" s="609"/>
      <c r="OYM73" s="609"/>
      <c r="OYN73" s="609"/>
      <c r="OYO73" s="609"/>
      <c r="OYP73" s="609"/>
      <c r="OYQ73" s="609"/>
      <c r="OYR73" s="609"/>
      <c r="OYS73" s="609"/>
      <c r="OYT73" s="609"/>
      <c r="OYU73" s="609"/>
      <c r="OYV73" s="609"/>
      <c r="OYW73" s="609"/>
      <c r="OYX73" s="609"/>
      <c r="OYY73" s="609"/>
      <c r="OYZ73" s="609"/>
      <c r="OZA73" s="609"/>
      <c r="OZB73" s="609"/>
      <c r="OZC73" s="609"/>
      <c r="OZD73" s="609"/>
      <c r="OZE73" s="609"/>
      <c r="OZF73" s="609"/>
      <c r="OZG73" s="609"/>
      <c r="OZH73" s="609"/>
      <c r="OZI73" s="609"/>
      <c r="OZJ73" s="609"/>
      <c r="OZK73" s="609"/>
      <c r="OZL73" s="609"/>
      <c r="OZM73" s="609"/>
      <c r="OZN73" s="609"/>
      <c r="OZO73" s="609"/>
      <c r="OZP73" s="609"/>
      <c r="OZQ73" s="609"/>
      <c r="OZR73" s="609"/>
      <c r="OZS73" s="609"/>
      <c r="OZT73" s="609"/>
      <c r="OZU73" s="609"/>
      <c r="OZV73" s="609"/>
      <c r="OZW73" s="609"/>
      <c r="OZX73" s="609"/>
      <c r="OZY73" s="609"/>
      <c r="OZZ73" s="609"/>
      <c r="PAA73" s="609"/>
      <c r="PAB73" s="609"/>
      <c r="PAC73" s="609"/>
      <c r="PAD73" s="609"/>
      <c r="PAE73" s="609"/>
      <c r="PAF73" s="609"/>
      <c r="PAG73" s="609"/>
      <c r="PAH73" s="609"/>
      <c r="PAI73" s="609"/>
      <c r="PAJ73" s="609"/>
      <c r="PAK73" s="609"/>
      <c r="PAL73" s="609"/>
      <c r="PAM73" s="609"/>
      <c r="PAN73" s="609"/>
      <c r="PAO73" s="609"/>
      <c r="PAP73" s="609"/>
      <c r="PAQ73" s="609"/>
      <c r="PAR73" s="609"/>
      <c r="PAS73" s="609"/>
      <c r="PAT73" s="609"/>
      <c r="PAU73" s="609"/>
      <c r="PAV73" s="609"/>
      <c r="PAW73" s="609"/>
      <c r="PAX73" s="609"/>
      <c r="PAY73" s="609"/>
      <c r="PAZ73" s="609"/>
      <c r="PBA73" s="609"/>
      <c r="PBB73" s="609"/>
      <c r="PBC73" s="609"/>
      <c r="PBD73" s="609"/>
      <c r="PBE73" s="609"/>
      <c r="PBF73" s="609"/>
      <c r="PBG73" s="609"/>
      <c r="PBH73" s="609"/>
      <c r="PBI73" s="609"/>
      <c r="PBJ73" s="609"/>
      <c r="PBK73" s="609"/>
      <c r="PBL73" s="609"/>
      <c r="PBM73" s="609"/>
      <c r="PBN73" s="609"/>
      <c r="PBO73" s="609"/>
      <c r="PBP73" s="609"/>
      <c r="PBQ73" s="609"/>
      <c r="PBR73" s="609"/>
      <c r="PBS73" s="609"/>
      <c r="PBT73" s="609"/>
      <c r="PBU73" s="609"/>
      <c r="PBV73" s="609"/>
      <c r="PBW73" s="609"/>
      <c r="PBX73" s="609"/>
      <c r="PBY73" s="609"/>
      <c r="PBZ73" s="609"/>
      <c r="PCA73" s="609"/>
      <c r="PCB73" s="609"/>
      <c r="PCC73" s="609"/>
      <c r="PCD73" s="609"/>
      <c r="PCE73" s="609"/>
      <c r="PCF73" s="609"/>
      <c r="PCG73" s="609"/>
      <c r="PCH73" s="609"/>
      <c r="PCI73" s="609"/>
      <c r="PCJ73" s="609"/>
      <c r="PCK73" s="609"/>
      <c r="PCL73" s="609"/>
      <c r="PCM73" s="609"/>
      <c r="PCN73" s="609"/>
      <c r="PCO73" s="609"/>
      <c r="PCP73" s="609"/>
      <c r="PCQ73" s="609"/>
      <c r="PCR73" s="609"/>
      <c r="PCS73" s="609"/>
      <c r="PCT73" s="609"/>
      <c r="PCU73" s="609"/>
      <c r="PCV73" s="609"/>
      <c r="PCW73" s="609"/>
      <c r="PCX73" s="609"/>
      <c r="PCY73" s="609"/>
      <c r="PCZ73" s="609"/>
      <c r="PDA73" s="609"/>
      <c r="PDB73" s="609"/>
      <c r="PDC73" s="609"/>
      <c r="PDD73" s="609"/>
      <c r="PDE73" s="609"/>
      <c r="PDF73" s="609"/>
      <c r="PDG73" s="609"/>
      <c r="PDH73" s="609"/>
      <c r="PDI73" s="609"/>
      <c r="PDJ73" s="609"/>
      <c r="PDK73" s="609"/>
      <c r="PDL73" s="609"/>
      <c r="PDM73" s="609"/>
      <c r="PDN73" s="609"/>
      <c r="PDO73" s="609"/>
      <c r="PDP73" s="609"/>
      <c r="PDQ73" s="609"/>
      <c r="PDR73" s="609"/>
      <c r="PDS73" s="609"/>
      <c r="PDT73" s="609"/>
      <c r="PDU73" s="609"/>
      <c r="PDV73" s="609"/>
      <c r="PDW73" s="609"/>
      <c r="PDX73" s="609"/>
      <c r="PDY73" s="609"/>
      <c r="PDZ73" s="609"/>
      <c r="PEA73" s="609"/>
      <c r="PEB73" s="609"/>
      <c r="PEC73" s="609"/>
      <c r="PED73" s="609"/>
      <c r="PEE73" s="609"/>
      <c r="PEF73" s="609"/>
      <c r="PEG73" s="609"/>
      <c r="PEH73" s="609"/>
      <c r="PEI73" s="609"/>
      <c r="PEJ73" s="609"/>
      <c r="PEK73" s="609"/>
      <c r="PEL73" s="609"/>
      <c r="PEM73" s="609"/>
      <c r="PEN73" s="609"/>
      <c r="PEO73" s="609"/>
      <c r="PEP73" s="609"/>
      <c r="PEQ73" s="609"/>
      <c r="PER73" s="609"/>
      <c r="PES73" s="609"/>
      <c r="PET73" s="609"/>
      <c r="PEU73" s="609"/>
      <c r="PEV73" s="609"/>
      <c r="PEW73" s="609"/>
      <c r="PEX73" s="609"/>
      <c r="PEY73" s="609"/>
      <c r="PEZ73" s="609"/>
      <c r="PFA73" s="609"/>
      <c r="PFB73" s="609"/>
      <c r="PFC73" s="609"/>
      <c r="PFD73" s="609"/>
      <c r="PFE73" s="609"/>
      <c r="PFF73" s="609"/>
      <c r="PFG73" s="609"/>
      <c r="PFH73" s="609"/>
      <c r="PFI73" s="609"/>
      <c r="PFJ73" s="609"/>
      <c r="PFK73" s="609"/>
      <c r="PFL73" s="609"/>
      <c r="PFM73" s="609"/>
      <c r="PFN73" s="609"/>
      <c r="PFO73" s="609"/>
      <c r="PFP73" s="609"/>
      <c r="PFQ73" s="609"/>
      <c r="PFR73" s="609"/>
      <c r="PFS73" s="609"/>
      <c r="PFT73" s="609"/>
      <c r="PFU73" s="609"/>
      <c r="PFV73" s="609"/>
      <c r="PFW73" s="609"/>
      <c r="PFX73" s="609"/>
      <c r="PFY73" s="609"/>
      <c r="PFZ73" s="609"/>
      <c r="PGA73" s="609"/>
      <c r="PGB73" s="609"/>
      <c r="PGC73" s="609"/>
      <c r="PGD73" s="609"/>
      <c r="PGE73" s="609"/>
      <c r="PGF73" s="609"/>
      <c r="PGG73" s="609"/>
      <c r="PGH73" s="609"/>
      <c r="PGI73" s="609"/>
      <c r="PGJ73" s="609"/>
      <c r="PGK73" s="609"/>
      <c r="PGL73" s="609"/>
      <c r="PGM73" s="609"/>
      <c r="PGN73" s="609"/>
      <c r="PGO73" s="609"/>
      <c r="PGP73" s="609"/>
      <c r="PGQ73" s="609"/>
      <c r="PGR73" s="609"/>
      <c r="PGS73" s="609"/>
      <c r="PGT73" s="609"/>
      <c r="PGU73" s="609"/>
      <c r="PGV73" s="609"/>
      <c r="PGW73" s="609"/>
      <c r="PGX73" s="609"/>
      <c r="PGY73" s="609"/>
      <c r="PGZ73" s="609"/>
      <c r="PHA73" s="609"/>
      <c r="PHB73" s="609"/>
      <c r="PHC73" s="609"/>
      <c r="PHD73" s="609"/>
      <c r="PHE73" s="609"/>
      <c r="PHF73" s="609"/>
      <c r="PHG73" s="609"/>
      <c r="PHH73" s="609"/>
      <c r="PHI73" s="609"/>
      <c r="PHJ73" s="609"/>
      <c r="PHK73" s="609"/>
      <c r="PHL73" s="609"/>
      <c r="PHM73" s="609"/>
      <c r="PHN73" s="609"/>
      <c r="PHO73" s="609"/>
      <c r="PHP73" s="609"/>
      <c r="PHQ73" s="609"/>
      <c r="PHR73" s="609"/>
      <c r="PHS73" s="609"/>
      <c r="PHT73" s="609"/>
      <c r="PHU73" s="609"/>
      <c r="PHV73" s="609"/>
      <c r="PHW73" s="609"/>
      <c r="PHX73" s="609"/>
      <c r="PHY73" s="609"/>
      <c r="PHZ73" s="609"/>
      <c r="PIA73" s="609"/>
      <c r="PIB73" s="609"/>
      <c r="PIC73" s="609"/>
      <c r="PID73" s="609"/>
      <c r="PIE73" s="609"/>
      <c r="PIF73" s="609"/>
      <c r="PIG73" s="609"/>
      <c r="PIH73" s="609"/>
      <c r="PII73" s="609"/>
      <c r="PIJ73" s="609"/>
      <c r="PIK73" s="609"/>
      <c r="PIL73" s="609"/>
      <c r="PIM73" s="609"/>
      <c r="PIN73" s="609"/>
      <c r="PIO73" s="609"/>
      <c r="PIP73" s="609"/>
      <c r="PIQ73" s="609"/>
      <c r="PIR73" s="609"/>
      <c r="PIS73" s="609"/>
      <c r="PIT73" s="609"/>
      <c r="PIU73" s="609"/>
      <c r="PIV73" s="609"/>
      <c r="PIW73" s="609"/>
      <c r="PIX73" s="609"/>
      <c r="PIY73" s="609"/>
      <c r="PIZ73" s="609"/>
      <c r="PJA73" s="609"/>
      <c r="PJB73" s="609"/>
      <c r="PJC73" s="609"/>
      <c r="PJD73" s="609"/>
      <c r="PJE73" s="609"/>
      <c r="PJF73" s="609"/>
      <c r="PJG73" s="609"/>
      <c r="PJH73" s="609"/>
      <c r="PJI73" s="609"/>
      <c r="PJJ73" s="609"/>
      <c r="PJK73" s="609"/>
      <c r="PJL73" s="609"/>
      <c r="PJM73" s="609"/>
      <c r="PJN73" s="609"/>
      <c r="PJO73" s="609"/>
      <c r="PJP73" s="609"/>
      <c r="PJQ73" s="609"/>
      <c r="PJR73" s="609"/>
      <c r="PJS73" s="609"/>
      <c r="PJT73" s="609"/>
      <c r="PJU73" s="609"/>
      <c r="PJV73" s="609"/>
      <c r="PJW73" s="609"/>
      <c r="PJX73" s="609"/>
      <c r="PJY73" s="609"/>
      <c r="PJZ73" s="609"/>
      <c r="PKA73" s="609"/>
      <c r="PKB73" s="609"/>
      <c r="PKC73" s="609"/>
      <c r="PKD73" s="609"/>
      <c r="PKE73" s="609"/>
      <c r="PKF73" s="609"/>
      <c r="PKG73" s="609"/>
      <c r="PKH73" s="609"/>
      <c r="PKI73" s="609"/>
      <c r="PKJ73" s="609"/>
      <c r="PKK73" s="609"/>
      <c r="PKL73" s="609"/>
      <c r="PKM73" s="609"/>
      <c r="PKN73" s="609"/>
      <c r="PKO73" s="609"/>
      <c r="PKP73" s="609"/>
      <c r="PKQ73" s="609"/>
      <c r="PKR73" s="609"/>
      <c r="PKS73" s="609"/>
      <c r="PKT73" s="609"/>
      <c r="PKU73" s="609"/>
      <c r="PKV73" s="609"/>
      <c r="PKW73" s="609"/>
      <c r="PKX73" s="609"/>
      <c r="PKY73" s="609"/>
      <c r="PKZ73" s="609"/>
      <c r="PLA73" s="609"/>
      <c r="PLB73" s="609"/>
      <c r="PLC73" s="609"/>
      <c r="PLD73" s="609"/>
      <c r="PLE73" s="609"/>
      <c r="PLF73" s="609"/>
      <c r="PLG73" s="609"/>
      <c r="PLH73" s="609"/>
      <c r="PLI73" s="609"/>
      <c r="PLJ73" s="609"/>
      <c r="PLK73" s="609"/>
      <c r="PLL73" s="609"/>
      <c r="PLM73" s="609"/>
      <c r="PLN73" s="609"/>
      <c r="PLO73" s="609"/>
      <c r="PLP73" s="609"/>
      <c r="PLQ73" s="609"/>
      <c r="PLR73" s="609"/>
      <c r="PLS73" s="609"/>
      <c r="PLT73" s="609"/>
      <c r="PLU73" s="609"/>
      <c r="PLV73" s="609"/>
      <c r="PLW73" s="609"/>
      <c r="PLX73" s="609"/>
      <c r="PLY73" s="609"/>
      <c r="PLZ73" s="609"/>
      <c r="PMA73" s="609"/>
      <c r="PMB73" s="609"/>
      <c r="PMC73" s="609"/>
      <c r="PMD73" s="609"/>
      <c r="PME73" s="609"/>
      <c r="PMF73" s="609"/>
      <c r="PMG73" s="609"/>
      <c r="PMH73" s="609"/>
      <c r="PMI73" s="609"/>
      <c r="PMJ73" s="609"/>
      <c r="PMK73" s="609"/>
      <c r="PML73" s="609"/>
      <c r="PMM73" s="609"/>
      <c r="PMN73" s="609"/>
      <c r="PMO73" s="609"/>
      <c r="PMP73" s="609"/>
      <c r="PMQ73" s="609"/>
      <c r="PMR73" s="609"/>
      <c r="PMS73" s="609"/>
      <c r="PMT73" s="609"/>
      <c r="PMU73" s="609"/>
      <c r="PMV73" s="609"/>
      <c r="PMW73" s="609"/>
      <c r="PMX73" s="609"/>
      <c r="PMY73" s="609"/>
      <c r="PMZ73" s="609"/>
      <c r="PNA73" s="609"/>
      <c r="PNB73" s="609"/>
      <c r="PNC73" s="609"/>
      <c r="PND73" s="609"/>
      <c r="PNE73" s="609"/>
      <c r="PNF73" s="609"/>
      <c r="PNG73" s="609"/>
      <c r="PNH73" s="609"/>
      <c r="PNI73" s="609"/>
      <c r="PNJ73" s="609"/>
      <c r="PNK73" s="609"/>
      <c r="PNL73" s="609"/>
      <c r="PNM73" s="609"/>
      <c r="PNN73" s="609"/>
      <c r="PNO73" s="609"/>
      <c r="PNP73" s="609"/>
      <c r="PNQ73" s="609"/>
      <c r="PNR73" s="609"/>
      <c r="PNS73" s="609"/>
      <c r="PNT73" s="609"/>
      <c r="PNU73" s="609"/>
      <c r="PNV73" s="609"/>
      <c r="PNW73" s="609"/>
      <c r="PNX73" s="609"/>
      <c r="PNY73" s="609"/>
      <c r="PNZ73" s="609"/>
      <c r="POA73" s="609"/>
      <c r="POB73" s="609"/>
      <c r="POC73" s="609"/>
      <c r="POD73" s="609"/>
      <c r="POE73" s="609"/>
      <c r="POF73" s="609"/>
      <c r="POG73" s="609"/>
      <c r="POH73" s="609"/>
      <c r="POI73" s="609"/>
      <c r="POJ73" s="609"/>
      <c r="POK73" s="609"/>
      <c r="POL73" s="609"/>
      <c r="POM73" s="609"/>
      <c r="PON73" s="609"/>
      <c r="POO73" s="609"/>
      <c r="POP73" s="609"/>
      <c r="POQ73" s="609"/>
      <c r="POR73" s="609"/>
      <c r="POS73" s="609"/>
      <c r="POT73" s="609"/>
      <c r="POU73" s="609"/>
      <c r="POV73" s="609"/>
      <c r="POW73" s="609"/>
      <c r="POX73" s="609"/>
      <c r="POY73" s="609"/>
      <c r="POZ73" s="609"/>
      <c r="PPA73" s="609"/>
      <c r="PPB73" s="609"/>
      <c r="PPC73" s="609"/>
      <c r="PPD73" s="609"/>
      <c r="PPE73" s="609"/>
      <c r="PPF73" s="609"/>
      <c r="PPG73" s="609"/>
      <c r="PPH73" s="609"/>
      <c r="PPI73" s="609"/>
      <c r="PPJ73" s="609"/>
      <c r="PPK73" s="609"/>
      <c r="PPL73" s="609"/>
      <c r="PPM73" s="609"/>
      <c r="PPN73" s="609"/>
      <c r="PPO73" s="609"/>
      <c r="PPP73" s="609"/>
      <c r="PPQ73" s="609"/>
      <c r="PPR73" s="609"/>
      <c r="PPS73" s="609"/>
      <c r="PPT73" s="609"/>
      <c r="PPU73" s="609"/>
      <c r="PPV73" s="609"/>
      <c r="PPW73" s="609"/>
      <c r="PPX73" s="609"/>
      <c r="PPY73" s="609"/>
      <c r="PPZ73" s="609"/>
      <c r="PQA73" s="609"/>
      <c r="PQB73" s="609"/>
      <c r="PQC73" s="609"/>
      <c r="PQD73" s="609"/>
      <c r="PQE73" s="609"/>
      <c r="PQF73" s="609"/>
      <c r="PQG73" s="609"/>
      <c r="PQH73" s="609"/>
      <c r="PQI73" s="609"/>
      <c r="PQJ73" s="609"/>
      <c r="PQK73" s="609"/>
      <c r="PQL73" s="609"/>
      <c r="PQM73" s="609"/>
      <c r="PQN73" s="609"/>
      <c r="PQO73" s="609"/>
      <c r="PQP73" s="609"/>
      <c r="PQQ73" s="609"/>
      <c r="PQR73" s="609"/>
      <c r="PQS73" s="609"/>
      <c r="PQT73" s="609"/>
      <c r="PQU73" s="609"/>
      <c r="PQV73" s="609"/>
      <c r="PQW73" s="609"/>
      <c r="PQX73" s="609"/>
      <c r="PQY73" s="609"/>
      <c r="PQZ73" s="609"/>
      <c r="PRA73" s="609"/>
      <c r="PRB73" s="609"/>
      <c r="PRC73" s="609"/>
      <c r="PRD73" s="609"/>
      <c r="PRE73" s="609"/>
      <c r="PRF73" s="609"/>
      <c r="PRG73" s="609"/>
      <c r="PRH73" s="609"/>
      <c r="PRI73" s="609"/>
      <c r="PRJ73" s="609"/>
      <c r="PRK73" s="609"/>
      <c r="PRL73" s="609"/>
      <c r="PRM73" s="609"/>
      <c r="PRN73" s="609"/>
      <c r="PRO73" s="609"/>
      <c r="PRP73" s="609"/>
      <c r="PRQ73" s="609"/>
      <c r="PRR73" s="609"/>
      <c r="PRS73" s="609"/>
      <c r="PRT73" s="609"/>
      <c r="PRU73" s="609"/>
      <c r="PRV73" s="609"/>
      <c r="PRW73" s="609"/>
      <c r="PRX73" s="609"/>
      <c r="PRY73" s="609"/>
      <c r="PRZ73" s="609"/>
      <c r="PSA73" s="609"/>
      <c r="PSB73" s="609"/>
      <c r="PSC73" s="609"/>
      <c r="PSD73" s="609"/>
      <c r="PSE73" s="609"/>
      <c r="PSF73" s="609"/>
      <c r="PSG73" s="609"/>
      <c r="PSH73" s="609"/>
      <c r="PSI73" s="609"/>
      <c r="PSJ73" s="609"/>
      <c r="PSK73" s="609"/>
      <c r="PSL73" s="609"/>
      <c r="PSM73" s="609"/>
      <c r="PSN73" s="609"/>
      <c r="PSO73" s="609"/>
      <c r="PSP73" s="609"/>
      <c r="PSQ73" s="609"/>
      <c r="PSR73" s="609"/>
      <c r="PSS73" s="609"/>
      <c r="PST73" s="609"/>
      <c r="PSU73" s="609"/>
      <c r="PSV73" s="609"/>
      <c r="PSW73" s="609"/>
      <c r="PSX73" s="609"/>
      <c r="PSY73" s="609"/>
      <c r="PSZ73" s="609"/>
      <c r="PTA73" s="609"/>
      <c r="PTB73" s="609"/>
      <c r="PTC73" s="609"/>
      <c r="PTD73" s="609"/>
      <c r="PTE73" s="609"/>
      <c r="PTF73" s="609"/>
      <c r="PTG73" s="609"/>
      <c r="PTH73" s="609"/>
      <c r="PTI73" s="609"/>
      <c r="PTJ73" s="609"/>
      <c r="PTK73" s="609"/>
      <c r="PTL73" s="609"/>
      <c r="PTM73" s="609"/>
      <c r="PTN73" s="609"/>
      <c r="PTO73" s="609"/>
      <c r="PTP73" s="609"/>
      <c r="PTQ73" s="609"/>
      <c r="PTR73" s="609"/>
      <c r="PTS73" s="609"/>
      <c r="PTT73" s="609"/>
      <c r="PTU73" s="609"/>
      <c r="PTV73" s="609"/>
      <c r="PTW73" s="609"/>
      <c r="PTX73" s="609"/>
      <c r="PTY73" s="609"/>
      <c r="PTZ73" s="609"/>
      <c r="PUA73" s="609"/>
      <c r="PUB73" s="609"/>
      <c r="PUC73" s="609"/>
      <c r="PUD73" s="609"/>
      <c r="PUE73" s="609"/>
      <c r="PUF73" s="609"/>
      <c r="PUG73" s="609"/>
      <c r="PUH73" s="609"/>
      <c r="PUI73" s="609"/>
      <c r="PUJ73" s="609"/>
      <c r="PUK73" s="609"/>
      <c r="PUL73" s="609"/>
      <c r="PUM73" s="609"/>
      <c r="PUN73" s="609"/>
      <c r="PUO73" s="609"/>
      <c r="PUP73" s="609"/>
      <c r="PUQ73" s="609"/>
      <c r="PUR73" s="609"/>
      <c r="PUS73" s="609"/>
      <c r="PUT73" s="609"/>
      <c r="PUU73" s="609"/>
      <c r="PUV73" s="609"/>
      <c r="PUW73" s="609"/>
      <c r="PUX73" s="609"/>
      <c r="PUY73" s="609"/>
      <c r="PUZ73" s="609"/>
      <c r="PVA73" s="609"/>
      <c r="PVB73" s="609"/>
      <c r="PVC73" s="609"/>
      <c r="PVD73" s="609"/>
      <c r="PVE73" s="609"/>
      <c r="PVF73" s="609"/>
      <c r="PVG73" s="609"/>
      <c r="PVH73" s="609"/>
      <c r="PVI73" s="609"/>
      <c r="PVJ73" s="609"/>
      <c r="PVK73" s="609"/>
      <c r="PVL73" s="609"/>
      <c r="PVM73" s="609"/>
      <c r="PVN73" s="609"/>
      <c r="PVO73" s="609"/>
      <c r="PVP73" s="609"/>
      <c r="PVQ73" s="609"/>
      <c r="PVR73" s="609"/>
      <c r="PVS73" s="609"/>
      <c r="PVT73" s="609"/>
      <c r="PVU73" s="609"/>
      <c r="PVV73" s="609"/>
      <c r="PVW73" s="609"/>
      <c r="PVX73" s="609"/>
      <c r="PVY73" s="609"/>
      <c r="PVZ73" s="609"/>
      <c r="PWA73" s="609"/>
      <c r="PWB73" s="609"/>
      <c r="PWC73" s="609"/>
      <c r="PWD73" s="609"/>
      <c r="PWE73" s="609"/>
      <c r="PWF73" s="609"/>
      <c r="PWG73" s="609"/>
      <c r="PWH73" s="609"/>
      <c r="PWI73" s="609"/>
      <c r="PWJ73" s="609"/>
      <c r="PWK73" s="609"/>
      <c r="PWL73" s="609"/>
      <c r="PWM73" s="609"/>
      <c r="PWN73" s="609"/>
      <c r="PWO73" s="609"/>
      <c r="PWP73" s="609"/>
      <c r="PWQ73" s="609"/>
      <c r="PWR73" s="609"/>
      <c r="PWS73" s="609"/>
      <c r="PWT73" s="609"/>
      <c r="PWU73" s="609"/>
      <c r="PWV73" s="609"/>
      <c r="PWW73" s="609"/>
      <c r="PWX73" s="609"/>
      <c r="PWY73" s="609"/>
      <c r="PWZ73" s="609"/>
      <c r="PXA73" s="609"/>
      <c r="PXB73" s="609"/>
      <c r="PXC73" s="609"/>
      <c r="PXD73" s="609"/>
      <c r="PXE73" s="609"/>
      <c r="PXF73" s="609"/>
      <c r="PXG73" s="609"/>
      <c r="PXH73" s="609"/>
      <c r="PXI73" s="609"/>
      <c r="PXJ73" s="609"/>
      <c r="PXK73" s="609"/>
      <c r="PXL73" s="609"/>
      <c r="PXM73" s="609"/>
      <c r="PXN73" s="609"/>
      <c r="PXO73" s="609"/>
      <c r="PXP73" s="609"/>
      <c r="PXQ73" s="609"/>
      <c r="PXR73" s="609"/>
      <c r="PXS73" s="609"/>
      <c r="PXT73" s="609"/>
      <c r="PXU73" s="609"/>
      <c r="PXV73" s="609"/>
      <c r="PXW73" s="609"/>
      <c r="PXX73" s="609"/>
      <c r="PXY73" s="609"/>
      <c r="PXZ73" s="609"/>
      <c r="PYA73" s="609"/>
      <c r="PYB73" s="609"/>
      <c r="PYC73" s="609"/>
      <c r="PYD73" s="609"/>
      <c r="PYE73" s="609"/>
      <c r="PYF73" s="609"/>
      <c r="PYG73" s="609"/>
      <c r="PYH73" s="609"/>
      <c r="PYI73" s="609"/>
      <c r="PYJ73" s="609"/>
      <c r="PYK73" s="609"/>
      <c r="PYL73" s="609"/>
      <c r="PYM73" s="609"/>
      <c r="PYN73" s="609"/>
      <c r="PYO73" s="609"/>
      <c r="PYP73" s="609"/>
      <c r="PYQ73" s="609"/>
      <c r="PYR73" s="609"/>
      <c r="PYS73" s="609"/>
      <c r="PYT73" s="609"/>
      <c r="PYU73" s="609"/>
      <c r="PYV73" s="609"/>
      <c r="PYW73" s="609"/>
      <c r="PYX73" s="609"/>
      <c r="PYY73" s="609"/>
      <c r="PYZ73" s="609"/>
      <c r="PZA73" s="609"/>
      <c r="PZB73" s="609"/>
      <c r="PZC73" s="609"/>
      <c r="PZD73" s="609"/>
      <c r="PZE73" s="609"/>
      <c r="PZF73" s="609"/>
      <c r="PZG73" s="609"/>
      <c r="PZH73" s="609"/>
      <c r="PZI73" s="609"/>
      <c r="PZJ73" s="609"/>
      <c r="PZK73" s="609"/>
      <c r="PZL73" s="609"/>
      <c r="PZM73" s="609"/>
      <c r="PZN73" s="609"/>
      <c r="PZO73" s="609"/>
      <c r="PZP73" s="609"/>
      <c r="PZQ73" s="609"/>
      <c r="PZR73" s="609"/>
      <c r="PZS73" s="609"/>
      <c r="PZT73" s="609"/>
      <c r="PZU73" s="609"/>
      <c r="PZV73" s="609"/>
      <c r="PZW73" s="609"/>
      <c r="PZX73" s="609"/>
      <c r="PZY73" s="609"/>
      <c r="PZZ73" s="609"/>
      <c r="QAA73" s="609"/>
      <c r="QAB73" s="609"/>
      <c r="QAC73" s="609"/>
      <c r="QAD73" s="609"/>
      <c r="QAE73" s="609"/>
      <c r="QAF73" s="609"/>
      <c r="QAG73" s="609"/>
      <c r="QAH73" s="609"/>
      <c r="QAI73" s="609"/>
      <c r="QAJ73" s="609"/>
      <c r="QAK73" s="609"/>
      <c r="QAL73" s="609"/>
      <c r="QAM73" s="609"/>
      <c r="QAN73" s="609"/>
      <c r="QAO73" s="609"/>
      <c r="QAP73" s="609"/>
      <c r="QAQ73" s="609"/>
      <c r="QAR73" s="609"/>
      <c r="QAS73" s="609"/>
      <c r="QAT73" s="609"/>
      <c r="QAU73" s="609"/>
      <c r="QAV73" s="609"/>
      <c r="QAW73" s="609"/>
      <c r="QAX73" s="609"/>
      <c r="QAY73" s="609"/>
      <c r="QAZ73" s="609"/>
      <c r="QBA73" s="609"/>
      <c r="QBB73" s="609"/>
      <c r="QBC73" s="609"/>
      <c r="QBD73" s="609"/>
      <c r="QBE73" s="609"/>
      <c r="QBF73" s="609"/>
      <c r="QBG73" s="609"/>
      <c r="QBH73" s="609"/>
      <c r="QBI73" s="609"/>
      <c r="QBJ73" s="609"/>
      <c r="QBK73" s="609"/>
      <c r="QBL73" s="609"/>
      <c r="QBM73" s="609"/>
      <c r="QBN73" s="609"/>
      <c r="QBO73" s="609"/>
      <c r="QBP73" s="609"/>
      <c r="QBQ73" s="609"/>
      <c r="QBR73" s="609"/>
      <c r="QBS73" s="609"/>
      <c r="QBT73" s="609"/>
      <c r="QBU73" s="609"/>
      <c r="QBV73" s="609"/>
      <c r="QBW73" s="609"/>
      <c r="QBX73" s="609"/>
      <c r="QBY73" s="609"/>
      <c r="QBZ73" s="609"/>
      <c r="QCA73" s="609"/>
      <c r="QCB73" s="609"/>
      <c r="QCC73" s="609"/>
      <c r="QCD73" s="609"/>
      <c r="QCE73" s="609"/>
      <c r="QCF73" s="609"/>
      <c r="QCG73" s="609"/>
      <c r="QCH73" s="609"/>
      <c r="QCI73" s="609"/>
      <c r="QCJ73" s="609"/>
      <c r="QCK73" s="609"/>
      <c r="QCL73" s="609"/>
      <c r="QCM73" s="609"/>
      <c r="QCN73" s="609"/>
      <c r="QCO73" s="609"/>
      <c r="QCP73" s="609"/>
      <c r="QCQ73" s="609"/>
      <c r="QCR73" s="609"/>
      <c r="QCS73" s="609"/>
      <c r="QCT73" s="609"/>
      <c r="QCU73" s="609"/>
      <c r="QCV73" s="609"/>
      <c r="QCW73" s="609"/>
      <c r="QCX73" s="609"/>
      <c r="QCY73" s="609"/>
      <c r="QCZ73" s="609"/>
      <c r="QDA73" s="609"/>
      <c r="QDB73" s="609"/>
      <c r="QDC73" s="609"/>
      <c r="QDD73" s="609"/>
      <c r="QDE73" s="609"/>
      <c r="QDF73" s="609"/>
      <c r="QDG73" s="609"/>
      <c r="QDH73" s="609"/>
      <c r="QDI73" s="609"/>
      <c r="QDJ73" s="609"/>
      <c r="QDK73" s="609"/>
      <c r="QDL73" s="609"/>
      <c r="QDM73" s="609"/>
      <c r="QDN73" s="609"/>
      <c r="QDO73" s="609"/>
      <c r="QDP73" s="609"/>
      <c r="QDQ73" s="609"/>
      <c r="QDR73" s="609"/>
      <c r="QDS73" s="609"/>
      <c r="QDT73" s="609"/>
      <c r="QDU73" s="609"/>
      <c r="QDV73" s="609"/>
      <c r="QDW73" s="609"/>
      <c r="QDX73" s="609"/>
      <c r="QDY73" s="609"/>
      <c r="QDZ73" s="609"/>
      <c r="QEA73" s="609"/>
      <c r="QEB73" s="609"/>
      <c r="QEC73" s="609"/>
      <c r="QED73" s="609"/>
      <c r="QEE73" s="609"/>
      <c r="QEF73" s="609"/>
      <c r="QEG73" s="609"/>
      <c r="QEH73" s="609"/>
      <c r="QEI73" s="609"/>
      <c r="QEJ73" s="609"/>
      <c r="QEK73" s="609"/>
      <c r="QEL73" s="609"/>
      <c r="QEM73" s="609"/>
      <c r="QEN73" s="609"/>
      <c r="QEO73" s="609"/>
      <c r="QEP73" s="609"/>
      <c r="QEQ73" s="609"/>
      <c r="QER73" s="609"/>
      <c r="QES73" s="609"/>
      <c r="QET73" s="609"/>
      <c r="QEU73" s="609"/>
      <c r="QEV73" s="609"/>
      <c r="QEW73" s="609"/>
      <c r="QEX73" s="609"/>
      <c r="QEY73" s="609"/>
      <c r="QEZ73" s="609"/>
      <c r="QFA73" s="609"/>
      <c r="QFB73" s="609"/>
      <c r="QFC73" s="609"/>
      <c r="QFD73" s="609"/>
      <c r="QFE73" s="609"/>
      <c r="QFF73" s="609"/>
      <c r="QFG73" s="609"/>
      <c r="QFH73" s="609"/>
      <c r="QFI73" s="609"/>
      <c r="QFJ73" s="609"/>
      <c r="QFK73" s="609"/>
      <c r="QFL73" s="609"/>
      <c r="QFM73" s="609"/>
      <c r="QFN73" s="609"/>
      <c r="QFO73" s="609"/>
      <c r="QFP73" s="609"/>
      <c r="QFQ73" s="609"/>
      <c r="QFR73" s="609"/>
      <c r="QFS73" s="609"/>
      <c r="QFT73" s="609"/>
      <c r="QFU73" s="609"/>
      <c r="QFV73" s="609"/>
      <c r="QFW73" s="609"/>
      <c r="QFX73" s="609"/>
      <c r="QFY73" s="609"/>
      <c r="QFZ73" s="609"/>
      <c r="QGA73" s="609"/>
      <c r="QGB73" s="609"/>
      <c r="QGC73" s="609"/>
      <c r="QGD73" s="609"/>
      <c r="QGE73" s="609"/>
      <c r="QGF73" s="609"/>
      <c r="QGG73" s="609"/>
      <c r="QGH73" s="609"/>
      <c r="QGI73" s="609"/>
      <c r="QGJ73" s="609"/>
      <c r="QGK73" s="609"/>
      <c r="QGL73" s="609"/>
      <c r="QGM73" s="609"/>
      <c r="QGN73" s="609"/>
      <c r="QGO73" s="609"/>
      <c r="QGP73" s="609"/>
      <c r="QGQ73" s="609"/>
      <c r="QGR73" s="609"/>
      <c r="QGS73" s="609"/>
      <c r="QGT73" s="609"/>
      <c r="QGU73" s="609"/>
      <c r="QGV73" s="609"/>
      <c r="QGW73" s="609"/>
      <c r="QGX73" s="609"/>
      <c r="QGY73" s="609"/>
      <c r="QGZ73" s="609"/>
      <c r="QHA73" s="609"/>
      <c r="QHB73" s="609"/>
      <c r="QHC73" s="609"/>
      <c r="QHD73" s="609"/>
      <c r="QHE73" s="609"/>
      <c r="QHF73" s="609"/>
      <c r="QHG73" s="609"/>
      <c r="QHH73" s="609"/>
      <c r="QHI73" s="609"/>
      <c r="QHJ73" s="609"/>
      <c r="QHK73" s="609"/>
      <c r="QHL73" s="609"/>
      <c r="QHM73" s="609"/>
      <c r="QHN73" s="609"/>
      <c r="QHO73" s="609"/>
      <c r="QHP73" s="609"/>
      <c r="QHQ73" s="609"/>
      <c r="QHR73" s="609"/>
      <c r="QHS73" s="609"/>
      <c r="QHT73" s="609"/>
      <c r="QHU73" s="609"/>
      <c r="QHV73" s="609"/>
      <c r="QHW73" s="609"/>
      <c r="QHX73" s="609"/>
      <c r="QHY73" s="609"/>
      <c r="QHZ73" s="609"/>
      <c r="QIA73" s="609"/>
      <c r="QIB73" s="609"/>
      <c r="QIC73" s="609"/>
      <c r="QID73" s="609"/>
      <c r="QIE73" s="609"/>
      <c r="QIF73" s="609"/>
      <c r="QIG73" s="609"/>
      <c r="QIH73" s="609"/>
      <c r="QII73" s="609"/>
      <c r="QIJ73" s="609"/>
      <c r="QIK73" s="609"/>
      <c r="QIL73" s="609"/>
      <c r="QIM73" s="609"/>
      <c r="QIN73" s="609"/>
      <c r="QIO73" s="609"/>
      <c r="QIP73" s="609"/>
      <c r="QIQ73" s="609"/>
      <c r="QIR73" s="609"/>
      <c r="QIS73" s="609"/>
      <c r="QIT73" s="609"/>
      <c r="QIU73" s="609"/>
      <c r="QIV73" s="609"/>
      <c r="QIW73" s="609"/>
      <c r="QIX73" s="609"/>
      <c r="QIY73" s="609"/>
      <c r="QIZ73" s="609"/>
      <c r="QJA73" s="609"/>
      <c r="QJB73" s="609"/>
      <c r="QJC73" s="609"/>
      <c r="QJD73" s="609"/>
      <c r="QJE73" s="609"/>
      <c r="QJF73" s="609"/>
      <c r="QJG73" s="609"/>
      <c r="QJH73" s="609"/>
      <c r="QJI73" s="609"/>
      <c r="QJJ73" s="609"/>
      <c r="QJK73" s="609"/>
      <c r="QJL73" s="609"/>
      <c r="QJM73" s="609"/>
      <c r="QJN73" s="609"/>
      <c r="QJO73" s="609"/>
      <c r="QJP73" s="609"/>
      <c r="QJQ73" s="609"/>
      <c r="QJR73" s="609"/>
      <c r="QJS73" s="609"/>
      <c r="QJT73" s="609"/>
      <c r="QJU73" s="609"/>
      <c r="QJV73" s="609"/>
      <c r="QJW73" s="609"/>
      <c r="QJX73" s="609"/>
      <c r="QJY73" s="609"/>
      <c r="QJZ73" s="609"/>
      <c r="QKA73" s="609"/>
      <c r="QKB73" s="609"/>
      <c r="QKC73" s="609"/>
      <c r="QKD73" s="609"/>
      <c r="QKE73" s="609"/>
      <c r="QKF73" s="609"/>
      <c r="QKG73" s="609"/>
      <c r="QKH73" s="609"/>
      <c r="QKI73" s="609"/>
      <c r="QKJ73" s="609"/>
      <c r="QKK73" s="609"/>
      <c r="QKL73" s="609"/>
      <c r="QKM73" s="609"/>
      <c r="QKN73" s="609"/>
      <c r="QKO73" s="609"/>
      <c r="QKP73" s="609"/>
      <c r="QKQ73" s="609"/>
      <c r="QKR73" s="609"/>
      <c r="QKS73" s="609"/>
      <c r="QKT73" s="609"/>
      <c r="QKU73" s="609"/>
      <c r="QKV73" s="609"/>
      <c r="QKW73" s="609"/>
      <c r="QKX73" s="609"/>
      <c r="QKY73" s="609"/>
      <c r="QKZ73" s="609"/>
      <c r="QLA73" s="609"/>
      <c r="QLB73" s="609"/>
      <c r="QLC73" s="609"/>
      <c r="QLD73" s="609"/>
      <c r="QLE73" s="609"/>
      <c r="QLF73" s="609"/>
      <c r="QLG73" s="609"/>
      <c r="QLH73" s="609"/>
      <c r="QLI73" s="609"/>
      <c r="QLJ73" s="609"/>
      <c r="QLK73" s="609"/>
      <c r="QLL73" s="609"/>
      <c r="QLM73" s="609"/>
      <c r="QLN73" s="609"/>
      <c r="QLO73" s="609"/>
      <c r="QLP73" s="609"/>
      <c r="QLQ73" s="609"/>
      <c r="QLR73" s="609"/>
      <c r="QLS73" s="609"/>
      <c r="QLT73" s="609"/>
      <c r="QLU73" s="609"/>
      <c r="QLV73" s="609"/>
      <c r="QLW73" s="609"/>
      <c r="QLX73" s="609"/>
      <c r="QLY73" s="609"/>
      <c r="QLZ73" s="609"/>
      <c r="QMA73" s="609"/>
      <c r="QMB73" s="609"/>
      <c r="QMC73" s="609"/>
      <c r="QMD73" s="609"/>
      <c r="QME73" s="609"/>
      <c r="QMF73" s="609"/>
      <c r="QMG73" s="609"/>
      <c r="QMH73" s="609"/>
      <c r="QMI73" s="609"/>
      <c r="QMJ73" s="609"/>
      <c r="QMK73" s="609"/>
      <c r="QML73" s="609"/>
      <c r="QMM73" s="609"/>
      <c r="QMN73" s="609"/>
      <c r="QMO73" s="609"/>
      <c r="QMP73" s="609"/>
      <c r="QMQ73" s="609"/>
      <c r="QMR73" s="609"/>
      <c r="QMS73" s="609"/>
      <c r="QMT73" s="609"/>
      <c r="QMU73" s="609"/>
      <c r="QMV73" s="609"/>
      <c r="QMW73" s="609"/>
      <c r="QMX73" s="609"/>
      <c r="QMY73" s="609"/>
      <c r="QMZ73" s="609"/>
      <c r="QNA73" s="609"/>
      <c r="QNB73" s="609"/>
      <c r="QNC73" s="609"/>
      <c r="QND73" s="609"/>
      <c r="QNE73" s="609"/>
      <c r="QNF73" s="609"/>
      <c r="QNG73" s="609"/>
      <c r="QNH73" s="609"/>
      <c r="QNI73" s="609"/>
      <c r="QNJ73" s="609"/>
      <c r="QNK73" s="609"/>
      <c r="QNL73" s="609"/>
      <c r="QNM73" s="609"/>
      <c r="QNN73" s="609"/>
      <c r="QNO73" s="609"/>
      <c r="QNP73" s="609"/>
      <c r="QNQ73" s="609"/>
      <c r="QNR73" s="609"/>
      <c r="QNS73" s="609"/>
      <c r="QNT73" s="609"/>
      <c r="QNU73" s="609"/>
      <c r="QNV73" s="609"/>
      <c r="QNW73" s="609"/>
      <c r="QNX73" s="609"/>
      <c r="QNY73" s="609"/>
      <c r="QNZ73" s="609"/>
      <c r="QOA73" s="609"/>
      <c r="QOB73" s="609"/>
      <c r="QOC73" s="609"/>
      <c r="QOD73" s="609"/>
      <c r="QOE73" s="609"/>
      <c r="QOF73" s="609"/>
      <c r="QOG73" s="609"/>
      <c r="QOH73" s="609"/>
      <c r="QOI73" s="609"/>
      <c r="QOJ73" s="609"/>
      <c r="QOK73" s="609"/>
      <c r="QOL73" s="609"/>
      <c r="QOM73" s="609"/>
      <c r="QON73" s="609"/>
      <c r="QOO73" s="609"/>
      <c r="QOP73" s="609"/>
      <c r="QOQ73" s="609"/>
      <c r="QOR73" s="609"/>
      <c r="QOS73" s="609"/>
      <c r="QOT73" s="609"/>
      <c r="QOU73" s="609"/>
      <c r="QOV73" s="609"/>
      <c r="QOW73" s="609"/>
      <c r="QOX73" s="609"/>
      <c r="QOY73" s="609"/>
      <c r="QOZ73" s="609"/>
      <c r="QPA73" s="609"/>
      <c r="QPB73" s="609"/>
      <c r="QPC73" s="609"/>
      <c r="QPD73" s="609"/>
      <c r="QPE73" s="609"/>
      <c r="QPF73" s="609"/>
      <c r="QPG73" s="609"/>
      <c r="QPH73" s="609"/>
      <c r="QPI73" s="609"/>
      <c r="QPJ73" s="609"/>
      <c r="QPK73" s="609"/>
      <c r="QPL73" s="609"/>
      <c r="QPM73" s="609"/>
      <c r="QPN73" s="609"/>
      <c r="QPO73" s="609"/>
      <c r="QPP73" s="609"/>
      <c r="QPQ73" s="609"/>
      <c r="QPR73" s="609"/>
      <c r="QPS73" s="609"/>
      <c r="QPT73" s="609"/>
      <c r="QPU73" s="609"/>
      <c r="QPV73" s="609"/>
      <c r="QPW73" s="609"/>
      <c r="QPX73" s="609"/>
      <c r="QPY73" s="609"/>
      <c r="QPZ73" s="609"/>
      <c r="QQA73" s="609"/>
      <c r="QQB73" s="609"/>
      <c r="QQC73" s="609"/>
      <c r="QQD73" s="609"/>
      <c r="QQE73" s="609"/>
      <c r="QQF73" s="609"/>
      <c r="QQG73" s="609"/>
      <c r="QQH73" s="609"/>
      <c r="QQI73" s="609"/>
      <c r="QQJ73" s="609"/>
      <c r="QQK73" s="609"/>
      <c r="QQL73" s="609"/>
      <c r="QQM73" s="609"/>
      <c r="QQN73" s="609"/>
      <c r="QQO73" s="609"/>
      <c r="QQP73" s="609"/>
      <c r="QQQ73" s="609"/>
      <c r="QQR73" s="609"/>
      <c r="QQS73" s="609"/>
      <c r="QQT73" s="609"/>
      <c r="QQU73" s="609"/>
      <c r="QQV73" s="609"/>
      <c r="QQW73" s="609"/>
      <c r="QQX73" s="609"/>
      <c r="QQY73" s="609"/>
      <c r="QQZ73" s="609"/>
      <c r="QRA73" s="609"/>
      <c r="QRB73" s="609"/>
      <c r="QRC73" s="609"/>
      <c r="QRD73" s="609"/>
      <c r="QRE73" s="609"/>
      <c r="QRF73" s="609"/>
      <c r="QRG73" s="609"/>
      <c r="QRH73" s="609"/>
      <c r="QRI73" s="609"/>
      <c r="QRJ73" s="609"/>
      <c r="QRK73" s="609"/>
      <c r="QRL73" s="609"/>
      <c r="QRM73" s="609"/>
      <c r="QRN73" s="609"/>
      <c r="QRO73" s="609"/>
      <c r="QRP73" s="609"/>
      <c r="QRQ73" s="609"/>
      <c r="QRR73" s="609"/>
      <c r="QRS73" s="609"/>
      <c r="QRT73" s="609"/>
      <c r="QRU73" s="609"/>
      <c r="QRV73" s="609"/>
      <c r="QRW73" s="609"/>
      <c r="QRX73" s="609"/>
      <c r="QRY73" s="609"/>
      <c r="QRZ73" s="609"/>
      <c r="QSA73" s="609"/>
      <c r="QSB73" s="609"/>
      <c r="QSC73" s="609"/>
      <c r="QSD73" s="609"/>
      <c r="QSE73" s="609"/>
      <c r="QSF73" s="609"/>
      <c r="QSG73" s="609"/>
      <c r="QSH73" s="609"/>
      <c r="QSI73" s="609"/>
      <c r="QSJ73" s="609"/>
      <c r="QSK73" s="609"/>
      <c r="QSL73" s="609"/>
      <c r="QSM73" s="609"/>
      <c r="QSN73" s="609"/>
      <c r="QSO73" s="609"/>
      <c r="QSP73" s="609"/>
      <c r="QSQ73" s="609"/>
      <c r="QSR73" s="609"/>
      <c r="QSS73" s="609"/>
      <c r="QST73" s="609"/>
      <c r="QSU73" s="609"/>
      <c r="QSV73" s="609"/>
      <c r="QSW73" s="609"/>
      <c r="QSX73" s="609"/>
      <c r="QSY73" s="609"/>
      <c r="QSZ73" s="609"/>
      <c r="QTA73" s="609"/>
      <c r="QTB73" s="609"/>
      <c r="QTC73" s="609"/>
      <c r="QTD73" s="609"/>
      <c r="QTE73" s="609"/>
      <c r="QTF73" s="609"/>
      <c r="QTG73" s="609"/>
      <c r="QTH73" s="609"/>
      <c r="QTI73" s="609"/>
      <c r="QTJ73" s="609"/>
      <c r="QTK73" s="609"/>
      <c r="QTL73" s="609"/>
      <c r="QTM73" s="609"/>
      <c r="QTN73" s="609"/>
      <c r="QTO73" s="609"/>
      <c r="QTP73" s="609"/>
      <c r="QTQ73" s="609"/>
      <c r="QTR73" s="609"/>
      <c r="QTS73" s="609"/>
      <c r="QTT73" s="609"/>
      <c r="QTU73" s="609"/>
      <c r="QTV73" s="609"/>
      <c r="QTW73" s="609"/>
      <c r="QTX73" s="609"/>
      <c r="QTY73" s="609"/>
      <c r="QTZ73" s="609"/>
      <c r="QUA73" s="609"/>
      <c r="QUB73" s="609"/>
      <c r="QUC73" s="609"/>
      <c r="QUD73" s="609"/>
      <c r="QUE73" s="609"/>
      <c r="QUF73" s="609"/>
      <c r="QUG73" s="609"/>
      <c r="QUH73" s="609"/>
      <c r="QUI73" s="609"/>
      <c r="QUJ73" s="609"/>
      <c r="QUK73" s="609"/>
      <c r="QUL73" s="609"/>
      <c r="QUM73" s="609"/>
      <c r="QUN73" s="609"/>
      <c r="QUO73" s="609"/>
      <c r="QUP73" s="609"/>
      <c r="QUQ73" s="609"/>
      <c r="QUR73" s="609"/>
      <c r="QUS73" s="609"/>
      <c r="QUT73" s="609"/>
      <c r="QUU73" s="609"/>
      <c r="QUV73" s="609"/>
      <c r="QUW73" s="609"/>
      <c r="QUX73" s="609"/>
      <c r="QUY73" s="609"/>
      <c r="QUZ73" s="609"/>
      <c r="QVA73" s="609"/>
      <c r="QVB73" s="609"/>
      <c r="QVC73" s="609"/>
      <c r="QVD73" s="609"/>
      <c r="QVE73" s="609"/>
      <c r="QVF73" s="609"/>
      <c r="QVG73" s="609"/>
      <c r="QVH73" s="609"/>
      <c r="QVI73" s="609"/>
      <c r="QVJ73" s="609"/>
      <c r="QVK73" s="609"/>
      <c r="QVL73" s="609"/>
      <c r="QVM73" s="609"/>
      <c r="QVN73" s="609"/>
      <c r="QVO73" s="609"/>
      <c r="QVP73" s="609"/>
      <c r="QVQ73" s="609"/>
      <c r="QVR73" s="609"/>
      <c r="QVS73" s="609"/>
      <c r="QVT73" s="609"/>
      <c r="QVU73" s="609"/>
      <c r="QVV73" s="609"/>
      <c r="QVW73" s="609"/>
      <c r="QVX73" s="609"/>
      <c r="QVY73" s="609"/>
      <c r="QVZ73" s="609"/>
      <c r="QWA73" s="609"/>
      <c r="QWB73" s="609"/>
      <c r="QWC73" s="609"/>
      <c r="QWD73" s="609"/>
      <c r="QWE73" s="609"/>
      <c r="QWF73" s="609"/>
      <c r="QWG73" s="609"/>
      <c r="QWH73" s="609"/>
      <c r="QWI73" s="609"/>
      <c r="QWJ73" s="609"/>
      <c r="QWK73" s="609"/>
      <c r="QWL73" s="609"/>
      <c r="QWM73" s="609"/>
      <c r="QWN73" s="609"/>
      <c r="QWO73" s="609"/>
      <c r="QWP73" s="609"/>
      <c r="QWQ73" s="609"/>
      <c r="QWR73" s="609"/>
      <c r="QWS73" s="609"/>
      <c r="QWT73" s="609"/>
      <c r="QWU73" s="609"/>
      <c r="QWV73" s="609"/>
      <c r="QWW73" s="609"/>
      <c r="QWX73" s="609"/>
      <c r="QWY73" s="609"/>
      <c r="QWZ73" s="609"/>
      <c r="QXA73" s="609"/>
      <c r="QXB73" s="609"/>
      <c r="QXC73" s="609"/>
      <c r="QXD73" s="609"/>
      <c r="QXE73" s="609"/>
      <c r="QXF73" s="609"/>
      <c r="QXG73" s="609"/>
      <c r="QXH73" s="609"/>
      <c r="QXI73" s="609"/>
      <c r="QXJ73" s="609"/>
      <c r="QXK73" s="609"/>
      <c r="QXL73" s="609"/>
      <c r="QXM73" s="609"/>
      <c r="QXN73" s="609"/>
      <c r="QXO73" s="609"/>
      <c r="QXP73" s="609"/>
      <c r="QXQ73" s="609"/>
      <c r="QXR73" s="609"/>
      <c r="QXS73" s="609"/>
      <c r="QXT73" s="609"/>
      <c r="QXU73" s="609"/>
      <c r="QXV73" s="609"/>
      <c r="QXW73" s="609"/>
      <c r="QXX73" s="609"/>
      <c r="QXY73" s="609"/>
      <c r="QXZ73" s="609"/>
      <c r="QYA73" s="609"/>
      <c r="QYB73" s="609"/>
      <c r="QYC73" s="609"/>
      <c r="QYD73" s="609"/>
      <c r="QYE73" s="609"/>
      <c r="QYF73" s="609"/>
      <c r="QYG73" s="609"/>
      <c r="QYH73" s="609"/>
      <c r="QYI73" s="609"/>
      <c r="QYJ73" s="609"/>
      <c r="QYK73" s="609"/>
      <c r="QYL73" s="609"/>
      <c r="QYM73" s="609"/>
      <c r="QYN73" s="609"/>
      <c r="QYO73" s="609"/>
      <c r="QYP73" s="609"/>
      <c r="QYQ73" s="609"/>
      <c r="QYR73" s="609"/>
      <c r="QYS73" s="609"/>
      <c r="QYT73" s="609"/>
      <c r="QYU73" s="609"/>
      <c r="QYV73" s="609"/>
      <c r="QYW73" s="609"/>
      <c r="QYX73" s="609"/>
      <c r="QYY73" s="609"/>
      <c r="QYZ73" s="609"/>
      <c r="QZA73" s="609"/>
      <c r="QZB73" s="609"/>
      <c r="QZC73" s="609"/>
      <c r="QZD73" s="609"/>
      <c r="QZE73" s="609"/>
      <c r="QZF73" s="609"/>
      <c r="QZG73" s="609"/>
      <c r="QZH73" s="609"/>
      <c r="QZI73" s="609"/>
      <c r="QZJ73" s="609"/>
      <c r="QZK73" s="609"/>
      <c r="QZL73" s="609"/>
      <c r="QZM73" s="609"/>
      <c r="QZN73" s="609"/>
      <c r="QZO73" s="609"/>
      <c r="QZP73" s="609"/>
      <c r="QZQ73" s="609"/>
      <c r="QZR73" s="609"/>
      <c r="QZS73" s="609"/>
      <c r="QZT73" s="609"/>
      <c r="QZU73" s="609"/>
      <c r="QZV73" s="609"/>
      <c r="QZW73" s="609"/>
      <c r="QZX73" s="609"/>
      <c r="QZY73" s="609"/>
      <c r="QZZ73" s="609"/>
      <c r="RAA73" s="609"/>
      <c r="RAB73" s="609"/>
      <c r="RAC73" s="609"/>
      <c r="RAD73" s="609"/>
      <c r="RAE73" s="609"/>
      <c r="RAF73" s="609"/>
      <c r="RAG73" s="609"/>
      <c r="RAH73" s="609"/>
      <c r="RAI73" s="609"/>
      <c r="RAJ73" s="609"/>
      <c r="RAK73" s="609"/>
      <c r="RAL73" s="609"/>
      <c r="RAM73" s="609"/>
      <c r="RAN73" s="609"/>
      <c r="RAO73" s="609"/>
      <c r="RAP73" s="609"/>
      <c r="RAQ73" s="609"/>
      <c r="RAR73" s="609"/>
      <c r="RAS73" s="609"/>
      <c r="RAT73" s="609"/>
      <c r="RAU73" s="609"/>
      <c r="RAV73" s="609"/>
      <c r="RAW73" s="609"/>
      <c r="RAX73" s="609"/>
      <c r="RAY73" s="609"/>
      <c r="RAZ73" s="609"/>
      <c r="RBA73" s="609"/>
      <c r="RBB73" s="609"/>
      <c r="RBC73" s="609"/>
      <c r="RBD73" s="609"/>
      <c r="RBE73" s="609"/>
      <c r="RBF73" s="609"/>
      <c r="RBG73" s="609"/>
      <c r="RBH73" s="609"/>
      <c r="RBI73" s="609"/>
      <c r="RBJ73" s="609"/>
      <c r="RBK73" s="609"/>
      <c r="RBL73" s="609"/>
      <c r="RBM73" s="609"/>
      <c r="RBN73" s="609"/>
      <c r="RBO73" s="609"/>
      <c r="RBP73" s="609"/>
      <c r="RBQ73" s="609"/>
      <c r="RBR73" s="609"/>
      <c r="RBS73" s="609"/>
      <c r="RBT73" s="609"/>
      <c r="RBU73" s="609"/>
      <c r="RBV73" s="609"/>
      <c r="RBW73" s="609"/>
      <c r="RBX73" s="609"/>
      <c r="RBY73" s="609"/>
      <c r="RBZ73" s="609"/>
      <c r="RCA73" s="609"/>
      <c r="RCB73" s="609"/>
      <c r="RCC73" s="609"/>
      <c r="RCD73" s="609"/>
      <c r="RCE73" s="609"/>
      <c r="RCF73" s="609"/>
      <c r="RCG73" s="609"/>
      <c r="RCH73" s="609"/>
      <c r="RCI73" s="609"/>
      <c r="RCJ73" s="609"/>
      <c r="RCK73" s="609"/>
      <c r="RCL73" s="609"/>
      <c r="RCM73" s="609"/>
      <c r="RCN73" s="609"/>
      <c r="RCO73" s="609"/>
      <c r="RCP73" s="609"/>
      <c r="RCQ73" s="609"/>
      <c r="RCR73" s="609"/>
      <c r="RCS73" s="609"/>
      <c r="RCT73" s="609"/>
      <c r="RCU73" s="609"/>
      <c r="RCV73" s="609"/>
      <c r="RCW73" s="609"/>
      <c r="RCX73" s="609"/>
      <c r="RCY73" s="609"/>
      <c r="RCZ73" s="609"/>
      <c r="RDA73" s="609"/>
      <c r="RDB73" s="609"/>
      <c r="RDC73" s="609"/>
      <c r="RDD73" s="609"/>
      <c r="RDE73" s="609"/>
      <c r="RDF73" s="609"/>
      <c r="RDG73" s="609"/>
      <c r="RDH73" s="609"/>
      <c r="RDI73" s="609"/>
      <c r="RDJ73" s="609"/>
      <c r="RDK73" s="609"/>
      <c r="RDL73" s="609"/>
      <c r="RDM73" s="609"/>
      <c r="RDN73" s="609"/>
      <c r="RDO73" s="609"/>
      <c r="RDP73" s="609"/>
      <c r="RDQ73" s="609"/>
      <c r="RDR73" s="609"/>
      <c r="RDS73" s="609"/>
      <c r="RDT73" s="609"/>
      <c r="RDU73" s="609"/>
      <c r="RDV73" s="609"/>
      <c r="RDW73" s="609"/>
      <c r="RDX73" s="609"/>
      <c r="RDY73" s="609"/>
      <c r="RDZ73" s="609"/>
      <c r="REA73" s="609"/>
      <c r="REB73" s="609"/>
      <c r="REC73" s="609"/>
      <c r="RED73" s="609"/>
      <c r="REE73" s="609"/>
      <c r="REF73" s="609"/>
      <c r="REG73" s="609"/>
      <c r="REH73" s="609"/>
      <c r="REI73" s="609"/>
      <c r="REJ73" s="609"/>
      <c r="REK73" s="609"/>
      <c r="REL73" s="609"/>
      <c r="REM73" s="609"/>
      <c r="REN73" s="609"/>
      <c r="REO73" s="609"/>
      <c r="REP73" s="609"/>
      <c r="REQ73" s="609"/>
      <c r="RER73" s="609"/>
      <c r="RES73" s="609"/>
      <c r="RET73" s="609"/>
      <c r="REU73" s="609"/>
      <c r="REV73" s="609"/>
      <c r="REW73" s="609"/>
      <c r="REX73" s="609"/>
      <c r="REY73" s="609"/>
      <c r="REZ73" s="609"/>
      <c r="RFA73" s="609"/>
      <c r="RFB73" s="609"/>
      <c r="RFC73" s="609"/>
      <c r="RFD73" s="609"/>
      <c r="RFE73" s="609"/>
      <c r="RFF73" s="609"/>
      <c r="RFG73" s="609"/>
      <c r="RFH73" s="609"/>
      <c r="RFI73" s="609"/>
      <c r="RFJ73" s="609"/>
      <c r="RFK73" s="609"/>
      <c r="RFL73" s="609"/>
      <c r="RFM73" s="609"/>
      <c r="RFN73" s="609"/>
      <c r="RFO73" s="609"/>
      <c r="RFP73" s="609"/>
      <c r="RFQ73" s="609"/>
      <c r="RFR73" s="609"/>
      <c r="RFS73" s="609"/>
      <c r="RFT73" s="609"/>
      <c r="RFU73" s="609"/>
      <c r="RFV73" s="609"/>
      <c r="RFW73" s="609"/>
      <c r="RFX73" s="609"/>
      <c r="RFY73" s="609"/>
      <c r="RFZ73" s="609"/>
      <c r="RGA73" s="609"/>
      <c r="RGB73" s="609"/>
      <c r="RGC73" s="609"/>
      <c r="RGD73" s="609"/>
      <c r="RGE73" s="609"/>
      <c r="RGF73" s="609"/>
      <c r="RGG73" s="609"/>
      <c r="RGH73" s="609"/>
      <c r="RGI73" s="609"/>
      <c r="RGJ73" s="609"/>
      <c r="RGK73" s="609"/>
      <c r="RGL73" s="609"/>
      <c r="RGM73" s="609"/>
      <c r="RGN73" s="609"/>
      <c r="RGO73" s="609"/>
      <c r="RGP73" s="609"/>
      <c r="RGQ73" s="609"/>
      <c r="RGR73" s="609"/>
      <c r="RGS73" s="609"/>
      <c r="RGT73" s="609"/>
      <c r="RGU73" s="609"/>
      <c r="RGV73" s="609"/>
      <c r="RGW73" s="609"/>
      <c r="RGX73" s="609"/>
      <c r="RGY73" s="609"/>
      <c r="RGZ73" s="609"/>
      <c r="RHA73" s="609"/>
      <c r="RHB73" s="609"/>
      <c r="RHC73" s="609"/>
      <c r="RHD73" s="609"/>
      <c r="RHE73" s="609"/>
      <c r="RHF73" s="609"/>
      <c r="RHG73" s="609"/>
      <c r="RHH73" s="609"/>
      <c r="RHI73" s="609"/>
      <c r="RHJ73" s="609"/>
      <c r="RHK73" s="609"/>
      <c r="RHL73" s="609"/>
      <c r="RHM73" s="609"/>
      <c r="RHN73" s="609"/>
      <c r="RHO73" s="609"/>
      <c r="RHP73" s="609"/>
      <c r="RHQ73" s="609"/>
      <c r="RHR73" s="609"/>
      <c r="RHS73" s="609"/>
      <c r="RHT73" s="609"/>
      <c r="RHU73" s="609"/>
      <c r="RHV73" s="609"/>
      <c r="RHW73" s="609"/>
      <c r="RHX73" s="609"/>
      <c r="RHY73" s="609"/>
      <c r="RHZ73" s="609"/>
      <c r="RIA73" s="609"/>
      <c r="RIB73" s="609"/>
      <c r="RIC73" s="609"/>
      <c r="RID73" s="609"/>
      <c r="RIE73" s="609"/>
      <c r="RIF73" s="609"/>
      <c r="RIG73" s="609"/>
      <c r="RIH73" s="609"/>
      <c r="RII73" s="609"/>
      <c r="RIJ73" s="609"/>
      <c r="RIK73" s="609"/>
      <c r="RIL73" s="609"/>
      <c r="RIM73" s="609"/>
      <c r="RIN73" s="609"/>
      <c r="RIO73" s="609"/>
      <c r="RIP73" s="609"/>
      <c r="RIQ73" s="609"/>
      <c r="RIR73" s="609"/>
      <c r="RIS73" s="609"/>
      <c r="RIT73" s="609"/>
      <c r="RIU73" s="609"/>
      <c r="RIV73" s="609"/>
      <c r="RIW73" s="609"/>
      <c r="RIX73" s="609"/>
      <c r="RIY73" s="609"/>
      <c r="RIZ73" s="609"/>
      <c r="RJA73" s="609"/>
      <c r="RJB73" s="609"/>
      <c r="RJC73" s="609"/>
      <c r="RJD73" s="609"/>
      <c r="RJE73" s="609"/>
      <c r="RJF73" s="609"/>
      <c r="RJG73" s="609"/>
      <c r="RJH73" s="609"/>
      <c r="RJI73" s="609"/>
      <c r="RJJ73" s="609"/>
      <c r="RJK73" s="609"/>
      <c r="RJL73" s="609"/>
      <c r="RJM73" s="609"/>
      <c r="RJN73" s="609"/>
      <c r="RJO73" s="609"/>
      <c r="RJP73" s="609"/>
      <c r="RJQ73" s="609"/>
      <c r="RJR73" s="609"/>
      <c r="RJS73" s="609"/>
      <c r="RJT73" s="609"/>
      <c r="RJU73" s="609"/>
      <c r="RJV73" s="609"/>
      <c r="RJW73" s="609"/>
      <c r="RJX73" s="609"/>
      <c r="RJY73" s="609"/>
      <c r="RJZ73" s="609"/>
      <c r="RKA73" s="609"/>
      <c r="RKB73" s="609"/>
      <c r="RKC73" s="609"/>
      <c r="RKD73" s="609"/>
      <c r="RKE73" s="609"/>
      <c r="RKF73" s="609"/>
      <c r="RKG73" s="609"/>
      <c r="RKH73" s="609"/>
      <c r="RKI73" s="609"/>
      <c r="RKJ73" s="609"/>
      <c r="RKK73" s="609"/>
      <c r="RKL73" s="609"/>
      <c r="RKM73" s="609"/>
      <c r="RKN73" s="609"/>
      <c r="RKO73" s="609"/>
      <c r="RKP73" s="609"/>
      <c r="RKQ73" s="609"/>
      <c r="RKR73" s="609"/>
      <c r="RKS73" s="609"/>
      <c r="RKT73" s="609"/>
      <c r="RKU73" s="609"/>
      <c r="RKV73" s="609"/>
      <c r="RKW73" s="609"/>
      <c r="RKX73" s="609"/>
      <c r="RKY73" s="609"/>
      <c r="RKZ73" s="609"/>
      <c r="RLA73" s="609"/>
      <c r="RLB73" s="609"/>
      <c r="RLC73" s="609"/>
      <c r="RLD73" s="609"/>
      <c r="RLE73" s="609"/>
      <c r="RLF73" s="609"/>
      <c r="RLG73" s="609"/>
      <c r="RLH73" s="609"/>
      <c r="RLI73" s="609"/>
      <c r="RLJ73" s="609"/>
      <c r="RLK73" s="609"/>
      <c r="RLL73" s="609"/>
      <c r="RLM73" s="609"/>
      <c r="RLN73" s="609"/>
      <c r="RLO73" s="609"/>
      <c r="RLP73" s="609"/>
      <c r="RLQ73" s="609"/>
      <c r="RLR73" s="609"/>
      <c r="RLS73" s="609"/>
      <c r="RLT73" s="609"/>
      <c r="RLU73" s="609"/>
      <c r="RLV73" s="609"/>
      <c r="RLW73" s="609"/>
      <c r="RLX73" s="609"/>
      <c r="RLY73" s="609"/>
      <c r="RLZ73" s="609"/>
      <c r="RMA73" s="609"/>
      <c r="RMB73" s="609"/>
      <c r="RMC73" s="609"/>
      <c r="RMD73" s="609"/>
      <c r="RME73" s="609"/>
      <c r="RMF73" s="609"/>
      <c r="RMG73" s="609"/>
      <c r="RMH73" s="609"/>
      <c r="RMI73" s="609"/>
      <c r="RMJ73" s="609"/>
      <c r="RMK73" s="609"/>
      <c r="RML73" s="609"/>
      <c r="RMM73" s="609"/>
      <c r="RMN73" s="609"/>
      <c r="RMO73" s="609"/>
      <c r="RMP73" s="609"/>
      <c r="RMQ73" s="609"/>
      <c r="RMR73" s="609"/>
      <c r="RMS73" s="609"/>
      <c r="RMT73" s="609"/>
      <c r="RMU73" s="609"/>
      <c r="RMV73" s="609"/>
      <c r="RMW73" s="609"/>
      <c r="RMX73" s="609"/>
      <c r="RMY73" s="609"/>
      <c r="RMZ73" s="609"/>
      <c r="RNA73" s="609"/>
      <c r="RNB73" s="609"/>
      <c r="RNC73" s="609"/>
      <c r="RND73" s="609"/>
      <c r="RNE73" s="609"/>
      <c r="RNF73" s="609"/>
      <c r="RNG73" s="609"/>
      <c r="RNH73" s="609"/>
      <c r="RNI73" s="609"/>
      <c r="RNJ73" s="609"/>
      <c r="RNK73" s="609"/>
      <c r="RNL73" s="609"/>
      <c r="RNM73" s="609"/>
      <c r="RNN73" s="609"/>
      <c r="RNO73" s="609"/>
      <c r="RNP73" s="609"/>
      <c r="RNQ73" s="609"/>
      <c r="RNR73" s="609"/>
      <c r="RNS73" s="609"/>
      <c r="RNT73" s="609"/>
      <c r="RNU73" s="609"/>
      <c r="RNV73" s="609"/>
      <c r="RNW73" s="609"/>
      <c r="RNX73" s="609"/>
      <c r="RNY73" s="609"/>
      <c r="RNZ73" s="609"/>
      <c r="ROA73" s="609"/>
      <c r="ROB73" s="609"/>
      <c r="ROC73" s="609"/>
      <c r="ROD73" s="609"/>
      <c r="ROE73" s="609"/>
      <c r="ROF73" s="609"/>
      <c r="ROG73" s="609"/>
      <c r="ROH73" s="609"/>
      <c r="ROI73" s="609"/>
      <c r="ROJ73" s="609"/>
      <c r="ROK73" s="609"/>
      <c r="ROL73" s="609"/>
      <c r="ROM73" s="609"/>
      <c r="RON73" s="609"/>
      <c r="ROO73" s="609"/>
      <c r="ROP73" s="609"/>
      <c r="ROQ73" s="609"/>
      <c r="ROR73" s="609"/>
      <c r="ROS73" s="609"/>
      <c r="ROT73" s="609"/>
      <c r="ROU73" s="609"/>
      <c r="ROV73" s="609"/>
      <c r="ROW73" s="609"/>
      <c r="ROX73" s="609"/>
      <c r="ROY73" s="609"/>
      <c r="ROZ73" s="609"/>
      <c r="RPA73" s="609"/>
      <c r="RPB73" s="609"/>
      <c r="RPC73" s="609"/>
      <c r="RPD73" s="609"/>
      <c r="RPE73" s="609"/>
      <c r="RPF73" s="609"/>
      <c r="RPG73" s="609"/>
      <c r="RPH73" s="609"/>
      <c r="RPI73" s="609"/>
      <c r="RPJ73" s="609"/>
      <c r="RPK73" s="609"/>
      <c r="RPL73" s="609"/>
      <c r="RPM73" s="609"/>
      <c r="RPN73" s="609"/>
      <c r="RPO73" s="609"/>
      <c r="RPP73" s="609"/>
      <c r="RPQ73" s="609"/>
      <c r="RPR73" s="609"/>
      <c r="RPS73" s="609"/>
      <c r="RPT73" s="609"/>
      <c r="RPU73" s="609"/>
      <c r="RPV73" s="609"/>
      <c r="RPW73" s="609"/>
      <c r="RPX73" s="609"/>
      <c r="RPY73" s="609"/>
      <c r="RPZ73" s="609"/>
      <c r="RQA73" s="609"/>
      <c r="RQB73" s="609"/>
      <c r="RQC73" s="609"/>
      <c r="RQD73" s="609"/>
      <c r="RQE73" s="609"/>
      <c r="RQF73" s="609"/>
      <c r="RQG73" s="609"/>
      <c r="RQH73" s="609"/>
      <c r="RQI73" s="609"/>
      <c r="RQJ73" s="609"/>
      <c r="RQK73" s="609"/>
      <c r="RQL73" s="609"/>
      <c r="RQM73" s="609"/>
      <c r="RQN73" s="609"/>
      <c r="RQO73" s="609"/>
      <c r="RQP73" s="609"/>
      <c r="RQQ73" s="609"/>
      <c r="RQR73" s="609"/>
      <c r="RQS73" s="609"/>
      <c r="RQT73" s="609"/>
      <c r="RQU73" s="609"/>
      <c r="RQV73" s="609"/>
      <c r="RQW73" s="609"/>
      <c r="RQX73" s="609"/>
      <c r="RQY73" s="609"/>
      <c r="RQZ73" s="609"/>
      <c r="RRA73" s="609"/>
      <c r="RRB73" s="609"/>
      <c r="RRC73" s="609"/>
      <c r="RRD73" s="609"/>
      <c r="RRE73" s="609"/>
      <c r="RRF73" s="609"/>
      <c r="RRG73" s="609"/>
      <c r="RRH73" s="609"/>
      <c r="RRI73" s="609"/>
      <c r="RRJ73" s="609"/>
      <c r="RRK73" s="609"/>
      <c r="RRL73" s="609"/>
      <c r="RRM73" s="609"/>
      <c r="RRN73" s="609"/>
      <c r="RRO73" s="609"/>
      <c r="RRP73" s="609"/>
      <c r="RRQ73" s="609"/>
      <c r="RRR73" s="609"/>
      <c r="RRS73" s="609"/>
      <c r="RRT73" s="609"/>
      <c r="RRU73" s="609"/>
      <c r="RRV73" s="609"/>
      <c r="RRW73" s="609"/>
      <c r="RRX73" s="609"/>
      <c r="RRY73" s="609"/>
      <c r="RRZ73" s="609"/>
      <c r="RSA73" s="609"/>
      <c r="RSB73" s="609"/>
      <c r="RSC73" s="609"/>
      <c r="RSD73" s="609"/>
      <c r="RSE73" s="609"/>
      <c r="RSF73" s="609"/>
      <c r="RSG73" s="609"/>
      <c r="RSH73" s="609"/>
      <c r="RSI73" s="609"/>
      <c r="RSJ73" s="609"/>
      <c r="RSK73" s="609"/>
      <c r="RSL73" s="609"/>
      <c r="RSM73" s="609"/>
      <c r="RSN73" s="609"/>
      <c r="RSO73" s="609"/>
      <c r="RSP73" s="609"/>
      <c r="RSQ73" s="609"/>
      <c r="RSR73" s="609"/>
      <c r="RSS73" s="609"/>
      <c r="RST73" s="609"/>
      <c r="RSU73" s="609"/>
      <c r="RSV73" s="609"/>
      <c r="RSW73" s="609"/>
      <c r="RSX73" s="609"/>
      <c r="RSY73" s="609"/>
      <c r="RSZ73" s="609"/>
      <c r="RTA73" s="609"/>
      <c r="RTB73" s="609"/>
      <c r="RTC73" s="609"/>
      <c r="RTD73" s="609"/>
      <c r="RTE73" s="609"/>
      <c r="RTF73" s="609"/>
      <c r="RTG73" s="609"/>
      <c r="RTH73" s="609"/>
      <c r="RTI73" s="609"/>
      <c r="RTJ73" s="609"/>
      <c r="RTK73" s="609"/>
      <c r="RTL73" s="609"/>
      <c r="RTM73" s="609"/>
      <c r="RTN73" s="609"/>
      <c r="RTO73" s="609"/>
      <c r="RTP73" s="609"/>
      <c r="RTQ73" s="609"/>
      <c r="RTR73" s="609"/>
      <c r="RTS73" s="609"/>
      <c r="RTT73" s="609"/>
      <c r="RTU73" s="609"/>
      <c r="RTV73" s="609"/>
      <c r="RTW73" s="609"/>
      <c r="RTX73" s="609"/>
      <c r="RTY73" s="609"/>
      <c r="RTZ73" s="609"/>
      <c r="RUA73" s="609"/>
      <c r="RUB73" s="609"/>
      <c r="RUC73" s="609"/>
      <c r="RUD73" s="609"/>
      <c r="RUE73" s="609"/>
      <c r="RUF73" s="609"/>
      <c r="RUG73" s="609"/>
      <c r="RUH73" s="609"/>
      <c r="RUI73" s="609"/>
      <c r="RUJ73" s="609"/>
      <c r="RUK73" s="609"/>
      <c r="RUL73" s="609"/>
      <c r="RUM73" s="609"/>
      <c r="RUN73" s="609"/>
      <c r="RUO73" s="609"/>
      <c r="RUP73" s="609"/>
      <c r="RUQ73" s="609"/>
      <c r="RUR73" s="609"/>
      <c r="RUS73" s="609"/>
      <c r="RUT73" s="609"/>
      <c r="RUU73" s="609"/>
      <c r="RUV73" s="609"/>
      <c r="RUW73" s="609"/>
      <c r="RUX73" s="609"/>
      <c r="RUY73" s="609"/>
      <c r="RUZ73" s="609"/>
      <c r="RVA73" s="609"/>
      <c r="RVB73" s="609"/>
      <c r="RVC73" s="609"/>
      <c r="RVD73" s="609"/>
      <c r="RVE73" s="609"/>
      <c r="RVF73" s="609"/>
      <c r="RVG73" s="609"/>
      <c r="RVH73" s="609"/>
      <c r="RVI73" s="609"/>
      <c r="RVJ73" s="609"/>
      <c r="RVK73" s="609"/>
      <c r="RVL73" s="609"/>
      <c r="RVM73" s="609"/>
      <c r="RVN73" s="609"/>
      <c r="RVO73" s="609"/>
      <c r="RVP73" s="609"/>
      <c r="RVQ73" s="609"/>
      <c r="RVR73" s="609"/>
      <c r="RVS73" s="609"/>
      <c r="RVT73" s="609"/>
      <c r="RVU73" s="609"/>
      <c r="RVV73" s="609"/>
      <c r="RVW73" s="609"/>
      <c r="RVX73" s="609"/>
      <c r="RVY73" s="609"/>
      <c r="RVZ73" s="609"/>
      <c r="RWA73" s="609"/>
      <c r="RWB73" s="609"/>
      <c r="RWC73" s="609"/>
      <c r="RWD73" s="609"/>
      <c r="RWE73" s="609"/>
      <c r="RWF73" s="609"/>
      <c r="RWG73" s="609"/>
      <c r="RWH73" s="609"/>
      <c r="RWI73" s="609"/>
      <c r="RWJ73" s="609"/>
      <c r="RWK73" s="609"/>
      <c r="RWL73" s="609"/>
      <c r="RWM73" s="609"/>
      <c r="RWN73" s="609"/>
      <c r="RWO73" s="609"/>
      <c r="RWP73" s="609"/>
      <c r="RWQ73" s="609"/>
      <c r="RWR73" s="609"/>
      <c r="RWS73" s="609"/>
      <c r="RWT73" s="609"/>
      <c r="RWU73" s="609"/>
      <c r="RWV73" s="609"/>
      <c r="RWW73" s="609"/>
      <c r="RWX73" s="609"/>
      <c r="RWY73" s="609"/>
      <c r="RWZ73" s="609"/>
      <c r="RXA73" s="609"/>
      <c r="RXB73" s="609"/>
      <c r="RXC73" s="609"/>
      <c r="RXD73" s="609"/>
      <c r="RXE73" s="609"/>
      <c r="RXF73" s="609"/>
      <c r="RXG73" s="609"/>
      <c r="RXH73" s="609"/>
      <c r="RXI73" s="609"/>
      <c r="RXJ73" s="609"/>
      <c r="RXK73" s="609"/>
      <c r="RXL73" s="609"/>
      <c r="RXM73" s="609"/>
      <c r="RXN73" s="609"/>
      <c r="RXO73" s="609"/>
      <c r="RXP73" s="609"/>
      <c r="RXQ73" s="609"/>
      <c r="RXR73" s="609"/>
      <c r="RXS73" s="609"/>
      <c r="RXT73" s="609"/>
      <c r="RXU73" s="609"/>
      <c r="RXV73" s="609"/>
      <c r="RXW73" s="609"/>
      <c r="RXX73" s="609"/>
      <c r="RXY73" s="609"/>
      <c r="RXZ73" s="609"/>
      <c r="RYA73" s="609"/>
      <c r="RYB73" s="609"/>
      <c r="RYC73" s="609"/>
      <c r="RYD73" s="609"/>
      <c r="RYE73" s="609"/>
      <c r="RYF73" s="609"/>
      <c r="RYG73" s="609"/>
      <c r="RYH73" s="609"/>
      <c r="RYI73" s="609"/>
      <c r="RYJ73" s="609"/>
      <c r="RYK73" s="609"/>
      <c r="RYL73" s="609"/>
      <c r="RYM73" s="609"/>
      <c r="RYN73" s="609"/>
      <c r="RYO73" s="609"/>
      <c r="RYP73" s="609"/>
      <c r="RYQ73" s="609"/>
      <c r="RYR73" s="609"/>
      <c r="RYS73" s="609"/>
      <c r="RYT73" s="609"/>
      <c r="RYU73" s="609"/>
      <c r="RYV73" s="609"/>
      <c r="RYW73" s="609"/>
      <c r="RYX73" s="609"/>
      <c r="RYY73" s="609"/>
      <c r="RYZ73" s="609"/>
      <c r="RZA73" s="609"/>
      <c r="RZB73" s="609"/>
      <c r="RZC73" s="609"/>
      <c r="RZD73" s="609"/>
      <c r="RZE73" s="609"/>
      <c r="RZF73" s="609"/>
      <c r="RZG73" s="609"/>
      <c r="RZH73" s="609"/>
      <c r="RZI73" s="609"/>
      <c r="RZJ73" s="609"/>
      <c r="RZK73" s="609"/>
      <c r="RZL73" s="609"/>
      <c r="RZM73" s="609"/>
      <c r="RZN73" s="609"/>
      <c r="RZO73" s="609"/>
      <c r="RZP73" s="609"/>
      <c r="RZQ73" s="609"/>
      <c r="RZR73" s="609"/>
      <c r="RZS73" s="609"/>
      <c r="RZT73" s="609"/>
      <c r="RZU73" s="609"/>
      <c r="RZV73" s="609"/>
      <c r="RZW73" s="609"/>
      <c r="RZX73" s="609"/>
      <c r="RZY73" s="609"/>
      <c r="RZZ73" s="609"/>
      <c r="SAA73" s="609"/>
      <c r="SAB73" s="609"/>
      <c r="SAC73" s="609"/>
      <c r="SAD73" s="609"/>
      <c r="SAE73" s="609"/>
      <c r="SAF73" s="609"/>
      <c r="SAG73" s="609"/>
      <c r="SAH73" s="609"/>
      <c r="SAI73" s="609"/>
      <c r="SAJ73" s="609"/>
      <c r="SAK73" s="609"/>
      <c r="SAL73" s="609"/>
      <c r="SAM73" s="609"/>
      <c r="SAN73" s="609"/>
      <c r="SAO73" s="609"/>
      <c r="SAP73" s="609"/>
      <c r="SAQ73" s="609"/>
      <c r="SAR73" s="609"/>
      <c r="SAS73" s="609"/>
      <c r="SAT73" s="609"/>
      <c r="SAU73" s="609"/>
      <c r="SAV73" s="609"/>
      <c r="SAW73" s="609"/>
      <c r="SAX73" s="609"/>
      <c r="SAY73" s="609"/>
      <c r="SAZ73" s="609"/>
      <c r="SBA73" s="609"/>
      <c r="SBB73" s="609"/>
      <c r="SBC73" s="609"/>
      <c r="SBD73" s="609"/>
      <c r="SBE73" s="609"/>
      <c r="SBF73" s="609"/>
      <c r="SBG73" s="609"/>
      <c r="SBH73" s="609"/>
      <c r="SBI73" s="609"/>
      <c r="SBJ73" s="609"/>
      <c r="SBK73" s="609"/>
      <c r="SBL73" s="609"/>
      <c r="SBM73" s="609"/>
      <c r="SBN73" s="609"/>
      <c r="SBO73" s="609"/>
      <c r="SBP73" s="609"/>
      <c r="SBQ73" s="609"/>
      <c r="SBR73" s="609"/>
      <c r="SBS73" s="609"/>
      <c r="SBT73" s="609"/>
      <c r="SBU73" s="609"/>
      <c r="SBV73" s="609"/>
      <c r="SBW73" s="609"/>
      <c r="SBX73" s="609"/>
      <c r="SBY73" s="609"/>
      <c r="SBZ73" s="609"/>
      <c r="SCA73" s="609"/>
      <c r="SCB73" s="609"/>
      <c r="SCC73" s="609"/>
      <c r="SCD73" s="609"/>
      <c r="SCE73" s="609"/>
      <c r="SCF73" s="609"/>
      <c r="SCG73" s="609"/>
      <c r="SCH73" s="609"/>
      <c r="SCI73" s="609"/>
      <c r="SCJ73" s="609"/>
      <c r="SCK73" s="609"/>
      <c r="SCL73" s="609"/>
      <c r="SCM73" s="609"/>
      <c r="SCN73" s="609"/>
      <c r="SCO73" s="609"/>
      <c r="SCP73" s="609"/>
      <c r="SCQ73" s="609"/>
      <c r="SCR73" s="609"/>
      <c r="SCS73" s="609"/>
      <c r="SCT73" s="609"/>
      <c r="SCU73" s="609"/>
      <c r="SCV73" s="609"/>
      <c r="SCW73" s="609"/>
      <c r="SCX73" s="609"/>
      <c r="SCY73" s="609"/>
      <c r="SCZ73" s="609"/>
      <c r="SDA73" s="609"/>
      <c r="SDB73" s="609"/>
      <c r="SDC73" s="609"/>
      <c r="SDD73" s="609"/>
      <c r="SDE73" s="609"/>
      <c r="SDF73" s="609"/>
      <c r="SDG73" s="609"/>
      <c r="SDH73" s="609"/>
      <c r="SDI73" s="609"/>
      <c r="SDJ73" s="609"/>
      <c r="SDK73" s="609"/>
      <c r="SDL73" s="609"/>
      <c r="SDM73" s="609"/>
      <c r="SDN73" s="609"/>
      <c r="SDO73" s="609"/>
      <c r="SDP73" s="609"/>
      <c r="SDQ73" s="609"/>
      <c r="SDR73" s="609"/>
      <c r="SDS73" s="609"/>
      <c r="SDT73" s="609"/>
      <c r="SDU73" s="609"/>
      <c r="SDV73" s="609"/>
      <c r="SDW73" s="609"/>
      <c r="SDX73" s="609"/>
      <c r="SDY73" s="609"/>
      <c r="SDZ73" s="609"/>
      <c r="SEA73" s="609"/>
      <c r="SEB73" s="609"/>
      <c r="SEC73" s="609"/>
      <c r="SED73" s="609"/>
      <c r="SEE73" s="609"/>
      <c r="SEF73" s="609"/>
      <c r="SEG73" s="609"/>
      <c r="SEH73" s="609"/>
      <c r="SEI73" s="609"/>
      <c r="SEJ73" s="609"/>
      <c r="SEK73" s="609"/>
      <c r="SEL73" s="609"/>
      <c r="SEM73" s="609"/>
      <c r="SEN73" s="609"/>
      <c r="SEO73" s="609"/>
      <c r="SEP73" s="609"/>
      <c r="SEQ73" s="609"/>
      <c r="SER73" s="609"/>
      <c r="SES73" s="609"/>
      <c r="SET73" s="609"/>
      <c r="SEU73" s="609"/>
      <c r="SEV73" s="609"/>
      <c r="SEW73" s="609"/>
      <c r="SEX73" s="609"/>
      <c r="SEY73" s="609"/>
      <c r="SEZ73" s="609"/>
      <c r="SFA73" s="609"/>
      <c r="SFB73" s="609"/>
      <c r="SFC73" s="609"/>
      <c r="SFD73" s="609"/>
      <c r="SFE73" s="609"/>
      <c r="SFF73" s="609"/>
      <c r="SFG73" s="609"/>
      <c r="SFH73" s="609"/>
      <c r="SFI73" s="609"/>
      <c r="SFJ73" s="609"/>
      <c r="SFK73" s="609"/>
      <c r="SFL73" s="609"/>
      <c r="SFM73" s="609"/>
      <c r="SFN73" s="609"/>
      <c r="SFO73" s="609"/>
      <c r="SFP73" s="609"/>
      <c r="SFQ73" s="609"/>
      <c r="SFR73" s="609"/>
      <c r="SFS73" s="609"/>
      <c r="SFT73" s="609"/>
      <c r="SFU73" s="609"/>
      <c r="SFV73" s="609"/>
      <c r="SFW73" s="609"/>
      <c r="SFX73" s="609"/>
      <c r="SFY73" s="609"/>
      <c r="SFZ73" s="609"/>
      <c r="SGA73" s="609"/>
      <c r="SGB73" s="609"/>
      <c r="SGC73" s="609"/>
      <c r="SGD73" s="609"/>
      <c r="SGE73" s="609"/>
      <c r="SGF73" s="609"/>
      <c r="SGG73" s="609"/>
      <c r="SGH73" s="609"/>
      <c r="SGI73" s="609"/>
      <c r="SGJ73" s="609"/>
      <c r="SGK73" s="609"/>
      <c r="SGL73" s="609"/>
      <c r="SGM73" s="609"/>
      <c r="SGN73" s="609"/>
      <c r="SGO73" s="609"/>
      <c r="SGP73" s="609"/>
      <c r="SGQ73" s="609"/>
      <c r="SGR73" s="609"/>
      <c r="SGS73" s="609"/>
      <c r="SGT73" s="609"/>
      <c r="SGU73" s="609"/>
      <c r="SGV73" s="609"/>
      <c r="SGW73" s="609"/>
      <c r="SGX73" s="609"/>
      <c r="SGY73" s="609"/>
      <c r="SGZ73" s="609"/>
      <c r="SHA73" s="609"/>
      <c r="SHB73" s="609"/>
      <c r="SHC73" s="609"/>
      <c r="SHD73" s="609"/>
      <c r="SHE73" s="609"/>
      <c r="SHF73" s="609"/>
      <c r="SHG73" s="609"/>
      <c r="SHH73" s="609"/>
      <c r="SHI73" s="609"/>
      <c r="SHJ73" s="609"/>
      <c r="SHK73" s="609"/>
      <c r="SHL73" s="609"/>
      <c r="SHM73" s="609"/>
      <c r="SHN73" s="609"/>
      <c r="SHO73" s="609"/>
      <c r="SHP73" s="609"/>
      <c r="SHQ73" s="609"/>
      <c r="SHR73" s="609"/>
      <c r="SHS73" s="609"/>
      <c r="SHT73" s="609"/>
      <c r="SHU73" s="609"/>
      <c r="SHV73" s="609"/>
      <c r="SHW73" s="609"/>
      <c r="SHX73" s="609"/>
      <c r="SHY73" s="609"/>
      <c r="SHZ73" s="609"/>
      <c r="SIA73" s="609"/>
      <c r="SIB73" s="609"/>
      <c r="SIC73" s="609"/>
      <c r="SID73" s="609"/>
      <c r="SIE73" s="609"/>
      <c r="SIF73" s="609"/>
      <c r="SIG73" s="609"/>
      <c r="SIH73" s="609"/>
      <c r="SII73" s="609"/>
      <c r="SIJ73" s="609"/>
      <c r="SIK73" s="609"/>
      <c r="SIL73" s="609"/>
      <c r="SIM73" s="609"/>
      <c r="SIN73" s="609"/>
      <c r="SIO73" s="609"/>
      <c r="SIP73" s="609"/>
      <c r="SIQ73" s="609"/>
      <c r="SIR73" s="609"/>
      <c r="SIS73" s="609"/>
      <c r="SIT73" s="609"/>
      <c r="SIU73" s="609"/>
      <c r="SIV73" s="609"/>
      <c r="SIW73" s="609"/>
      <c r="SIX73" s="609"/>
      <c r="SIY73" s="609"/>
      <c r="SIZ73" s="609"/>
      <c r="SJA73" s="609"/>
      <c r="SJB73" s="609"/>
      <c r="SJC73" s="609"/>
      <c r="SJD73" s="609"/>
      <c r="SJE73" s="609"/>
      <c r="SJF73" s="609"/>
      <c r="SJG73" s="609"/>
      <c r="SJH73" s="609"/>
      <c r="SJI73" s="609"/>
      <c r="SJJ73" s="609"/>
      <c r="SJK73" s="609"/>
      <c r="SJL73" s="609"/>
      <c r="SJM73" s="609"/>
      <c r="SJN73" s="609"/>
      <c r="SJO73" s="609"/>
      <c r="SJP73" s="609"/>
      <c r="SJQ73" s="609"/>
      <c r="SJR73" s="609"/>
      <c r="SJS73" s="609"/>
      <c r="SJT73" s="609"/>
      <c r="SJU73" s="609"/>
      <c r="SJV73" s="609"/>
      <c r="SJW73" s="609"/>
      <c r="SJX73" s="609"/>
      <c r="SJY73" s="609"/>
      <c r="SJZ73" s="609"/>
      <c r="SKA73" s="609"/>
      <c r="SKB73" s="609"/>
      <c r="SKC73" s="609"/>
      <c r="SKD73" s="609"/>
      <c r="SKE73" s="609"/>
      <c r="SKF73" s="609"/>
      <c r="SKG73" s="609"/>
      <c r="SKH73" s="609"/>
      <c r="SKI73" s="609"/>
      <c r="SKJ73" s="609"/>
      <c r="SKK73" s="609"/>
      <c r="SKL73" s="609"/>
      <c r="SKM73" s="609"/>
      <c r="SKN73" s="609"/>
      <c r="SKO73" s="609"/>
      <c r="SKP73" s="609"/>
      <c r="SKQ73" s="609"/>
      <c r="SKR73" s="609"/>
      <c r="SKS73" s="609"/>
      <c r="SKT73" s="609"/>
      <c r="SKU73" s="609"/>
      <c r="SKV73" s="609"/>
      <c r="SKW73" s="609"/>
      <c r="SKX73" s="609"/>
      <c r="SKY73" s="609"/>
      <c r="SKZ73" s="609"/>
      <c r="SLA73" s="609"/>
      <c r="SLB73" s="609"/>
      <c r="SLC73" s="609"/>
      <c r="SLD73" s="609"/>
      <c r="SLE73" s="609"/>
      <c r="SLF73" s="609"/>
      <c r="SLG73" s="609"/>
      <c r="SLH73" s="609"/>
      <c r="SLI73" s="609"/>
      <c r="SLJ73" s="609"/>
      <c r="SLK73" s="609"/>
      <c r="SLL73" s="609"/>
      <c r="SLM73" s="609"/>
      <c r="SLN73" s="609"/>
      <c r="SLO73" s="609"/>
      <c r="SLP73" s="609"/>
      <c r="SLQ73" s="609"/>
      <c r="SLR73" s="609"/>
      <c r="SLS73" s="609"/>
      <c r="SLT73" s="609"/>
      <c r="SLU73" s="609"/>
      <c r="SLV73" s="609"/>
      <c r="SLW73" s="609"/>
      <c r="SLX73" s="609"/>
      <c r="SLY73" s="609"/>
      <c r="SLZ73" s="609"/>
      <c r="SMA73" s="609"/>
      <c r="SMB73" s="609"/>
      <c r="SMC73" s="609"/>
      <c r="SMD73" s="609"/>
      <c r="SME73" s="609"/>
      <c r="SMF73" s="609"/>
      <c r="SMG73" s="609"/>
      <c r="SMH73" s="609"/>
      <c r="SMI73" s="609"/>
      <c r="SMJ73" s="609"/>
      <c r="SMK73" s="609"/>
      <c r="SML73" s="609"/>
      <c r="SMM73" s="609"/>
      <c r="SMN73" s="609"/>
      <c r="SMO73" s="609"/>
      <c r="SMP73" s="609"/>
      <c r="SMQ73" s="609"/>
      <c r="SMR73" s="609"/>
      <c r="SMS73" s="609"/>
      <c r="SMT73" s="609"/>
      <c r="SMU73" s="609"/>
      <c r="SMV73" s="609"/>
      <c r="SMW73" s="609"/>
      <c r="SMX73" s="609"/>
      <c r="SMY73" s="609"/>
      <c r="SMZ73" s="609"/>
      <c r="SNA73" s="609"/>
      <c r="SNB73" s="609"/>
      <c r="SNC73" s="609"/>
      <c r="SND73" s="609"/>
      <c r="SNE73" s="609"/>
      <c r="SNF73" s="609"/>
      <c r="SNG73" s="609"/>
      <c r="SNH73" s="609"/>
      <c r="SNI73" s="609"/>
      <c r="SNJ73" s="609"/>
      <c r="SNK73" s="609"/>
      <c r="SNL73" s="609"/>
      <c r="SNM73" s="609"/>
      <c r="SNN73" s="609"/>
      <c r="SNO73" s="609"/>
      <c r="SNP73" s="609"/>
      <c r="SNQ73" s="609"/>
      <c r="SNR73" s="609"/>
      <c r="SNS73" s="609"/>
      <c r="SNT73" s="609"/>
      <c r="SNU73" s="609"/>
      <c r="SNV73" s="609"/>
      <c r="SNW73" s="609"/>
      <c r="SNX73" s="609"/>
      <c r="SNY73" s="609"/>
      <c r="SNZ73" s="609"/>
      <c r="SOA73" s="609"/>
      <c r="SOB73" s="609"/>
      <c r="SOC73" s="609"/>
      <c r="SOD73" s="609"/>
      <c r="SOE73" s="609"/>
      <c r="SOF73" s="609"/>
      <c r="SOG73" s="609"/>
      <c r="SOH73" s="609"/>
      <c r="SOI73" s="609"/>
      <c r="SOJ73" s="609"/>
      <c r="SOK73" s="609"/>
      <c r="SOL73" s="609"/>
      <c r="SOM73" s="609"/>
      <c r="SON73" s="609"/>
      <c r="SOO73" s="609"/>
      <c r="SOP73" s="609"/>
      <c r="SOQ73" s="609"/>
      <c r="SOR73" s="609"/>
      <c r="SOS73" s="609"/>
      <c r="SOT73" s="609"/>
      <c r="SOU73" s="609"/>
      <c r="SOV73" s="609"/>
      <c r="SOW73" s="609"/>
      <c r="SOX73" s="609"/>
      <c r="SOY73" s="609"/>
      <c r="SOZ73" s="609"/>
      <c r="SPA73" s="609"/>
      <c r="SPB73" s="609"/>
      <c r="SPC73" s="609"/>
      <c r="SPD73" s="609"/>
      <c r="SPE73" s="609"/>
      <c r="SPF73" s="609"/>
      <c r="SPG73" s="609"/>
      <c r="SPH73" s="609"/>
      <c r="SPI73" s="609"/>
      <c r="SPJ73" s="609"/>
      <c r="SPK73" s="609"/>
      <c r="SPL73" s="609"/>
      <c r="SPM73" s="609"/>
      <c r="SPN73" s="609"/>
      <c r="SPO73" s="609"/>
      <c r="SPP73" s="609"/>
      <c r="SPQ73" s="609"/>
      <c r="SPR73" s="609"/>
      <c r="SPS73" s="609"/>
      <c r="SPT73" s="609"/>
      <c r="SPU73" s="609"/>
      <c r="SPV73" s="609"/>
      <c r="SPW73" s="609"/>
      <c r="SPX73" s="609"/>
      <c r="SPY73" s="609"/>
      <c r="SPZ73" s="609"/>
      <c r="SQA73" s="609"/>
      <c r="SQB73" s="609"/>
      <c r="SQC73" s="609"/>
      <c r="SQD73" s="609"/>
      <c r="SQE73" s="609"/>
      <c r="SQF73" s="609"/>
      <c r="SQG73" s="609"/>
      <c r="SQH73" s="609"/>
      <c r="SQI73" s="609"/>
      <c r="SQJ73" s="609"/>
      <c r="SQK73" s="609"/>
      <c r="SQL73" s="609"/>
      <c r="SQM73" s="609"/>
      <c r="SQN73" s="609"/>
      <c r="SQO73" s="609"/>
      <c r="SQP73" s="609"/>
      <c r="SQQ73" s="609"/>
      <c r="SQR73" s="609"/>
      <c r="SQS73" s="609"/>
      <c r="SQT73" s="609"/>
      <c r="SQU73" s="609"/>
      <c r="SQV73" s="609"/>
      <c r="SQW73" s="609"/>
      <c r="SQX73" s="609"/>
      <c r="SQY73" s="609"/>
      <c r="SQZ73" s="609"/>
      <c r="SRA73" s="609"/>
      <c r="SRB73" s="609"/>
      <c r="SRC73" s="609"/>
      <c r="SRD73" s="609"/>
      <c r="SRE73" s="609"/>
      <c r="SRF73" s="609"/>
      <c r="SRG73" s="609"/>
      <c r="SRH73" s="609"/>
      <c r="SRI73" s="609"/>
      <c r="SRJ73" s="609"/>
      <c r="SRK73" s="609"/>
      <c r="SRL73" s="609"/>
      <c r="SRM73" s="609"/>
      <c r="SRN73" s="609"/>
      <c r="SRO73" s="609"/>
      <c r="SRP73" s="609"/>
      <c r="SRQ73" s="609"/>
      <c r="SRR73" s="609"/>
      <c r="SRS73" s="609"/>
      <c r="SRT73" s="609"/>
      <c r="SRU73" s="609"/>
      <c r="SRV73" s="609"/>
      <c r="SRW73" s="609"/>
      <c r="SRX73" s="609"/>
      <c r="SRY73" s="609"/>
      <c r="SRZ73" s="609"/>
      <c r="SSA73" s="609"/>
      <c r="SSB73" s="609"/>
      <c r="SSC73" s="609"/>
      <c r="SSD73" s="609"/>
      <c r="SSE73" s="609"/>
      <c r="SSF73" s="609"/>
      <c r="SSG73" s="609"/>
      <c r="SSH73" s="609"/>
      <c r="SSI73" s="609"/>
      <c r="SSJ73" s="609"/>
      <c r="SSK73" s="609"/>
      <c r="SSL73" s="609"/>
      <c r="SSM73" s="609"/>
      <c r="SSN73" s="609"/>
      <c r="SSO73" s="609"/>
      <c r="SSP73" s="609"/>
      <c r="SSQ73" s="609"/>
      <c r="SSR73" s="609"/>
      <c r="SSS73" s="609"/>
      <c r="SST73" s="609"/>
      <c r="SSU73" s="609"/>
      <c r="SSV73" s="609"/>
      <c r="SSW73" s="609"/>
      <c r="SSX73" s="609"/>
      <c r="SSY73" s="609"/>
      <c r="SSZ73" s="609"/>
      <c r="STA73" s="609"/>
      <c r="STB73" s="609"/>
      <c r="STC73" s="609"/>
      <c r="STD73" s="609"/>
      <c r="STE73" s="609"/>
      <c r="STF73" s="609"/>
      <c r="STG73" s="609"/>
      <c r="STH73" s="609"/>
      <c r="STI73" s="609"/>
      <c r="STJ73" s="609"/>
      <c r="STK73" s="609"/>
      <c r="STL73" s="609"/>
      <c r="STM73" s="609"/>
      <c r="STN73" s="609"/>
      <c r="STO73" s="609"/>
      <c r="STP73" s="609"/>
      <c r="STQ73" s="609"/>
      <c r="STR73" s="609"/>
      <c r="STS73" s="609"/>
      <c r="STT73" s="609"/>
      <c r="STU73" s="609"/>
      <c r="STV73" s="609"/>
      <c r="STW73" s="609"/>
      <c r="STX73" s="609"/>
      <c r="STY73" s="609"/>
      <c r="STZ73" s="609"/>
      <c r="SUA73" s="609"/>
      <c r="SUB73" s="609"/>
      <c r="SUC73" s="609"/>
      <c r="SUD73" s="609"/>
      <c r="SUE73" s="609"/>
      <c r="SUF73" s="609"/>
      <c r="SUG73" s="609"/>
      <c r="SUH73" s="609"/>
      <c r="SUI73" s="609"/>
      <c r="SUJ73" s="609"/>
      <c r="SUK73" s="609"/>
      <c r="SUL73" s="609"/>
      <c r="SUM73" s="609"/>
      <c r="SUN73" s="609"/>
      <c r="SUO73" s="609"/>
      <c r="SUP73" s="609"/>
      <c r="SUQ73" s="609"/>
      <c r="SUR73" s="609"/>
      <c r="SUS73" s="609"/>
      <c r="SUT73" s="609"/>
      <c r="SUU73" s="609"/>
      <c r="SUV73" s="609"/>
      <c r="SUW73" s="609"/>
      <c r="SUX73" s="609"/>
      <c r="SUY73" s="609"/>
      <c r="SUZ73" s="609"/>
      <c r="SVA73" s="609"/>
      <c r="SVB73" s="609"/>
      <c r="SVC73" s="609"/>
      <c r="SVD73" s="609"/>
      <c r="SVE73" s="609"/>
      <c r="SVF73" s="609"/>
      <c r="SVG73" s="609"/>
      <c r="SVH73" s="609"/>
      <c r="SVI73" s="609"/>
      <c r="SVJ73" s="609"/>
      <c r="SVK73" s="609"/>
      <c r="SVL73" s="609"/>
      <c r="SVM73" s="609"/>
      <c r="SVN73" s="609"/>
      <c r="SVO73" s="609"/>
      <c r="SVP73" s="609"/>
      <c r="SVQ73" s="609"/>
      <c r="SVR73" s="609"/>
      <c r="SVS73" s="609"/>
      <c r="SVT73" s="609"/>
      <c r="SVU73" s="609"/>
      <c r="SVV73" s="609"/>
      <c r="SVW73" s="609"/>
      <c r="SVX73" s="609"/>
      <c r="SVY73" s="609"/>
      <c r="SVZ73" s="609"/>
      <c r="SWA73" s="609"/>
      <c r="SWB73" s="609"/>
      <c r="SWC73" s="609"/>
      <c r="SWD73" s="609"/>
      <c r="SWE73" s="609"/>
      <c r="SWF73" s="609"/>
      <c r="SWG73" s="609"/>
      <c r="SWH73" s="609"/>
      <c r="SWI73" s="609"/>
      <c r="SWJ73" s="609"/>
      <c r="SWK73" s="609"/>
      <c r="SWL73" s="609"/>
      <c r="SWM73" s="609"/>
      <c r="SWN73" s="609"/>
      <c r="SWO73" s="609"/>
      <c r="SWP73" s="609"/>
      <c r="SWQ73" s="609"/>
      <c r="SWR73" s="609"/>
      <c r="SWS73" s="609"/>
      <c r="SWT73" s="609"/>
      <c r="SWU73" s="609"/>
      <c r="SWV73" s="609"/>
      <c r="SWW73" s="609"/>
      <c r="SWX73" s="609"/>
      <c r="SWY73" s="609"/>
      <c r="SWZ73" s="609"/>
      <c r="SXA73" s="609"/>
      <c r="SXB73" s="609"/>
      <c r="SXC73" s="609"/>
      <c r="SXD73" s="609"/>
      <c r="SXE73" s="609"/>
      <c r="SXF73" s="609"/>
      <c r="SXG73" s="609"/>
      <c r="SXH73" s="609"/>
      <c r="SXI73" s="609"/>
      <c r="SXJ73" s="609"/>
      <c r="SXK73" s="609"/>
      <c r="SXL73" s="609"/>
      <c r="SXM73" s="609"/>
      <c r="SXN73" s="609"/>
      <c r="SXO73" s="609"/>
      <c r="SXP73" s="609"/>
      <c r="SXQ73" s="609"/>
      <c r="SXR73" s="609"/>
      <c r="SXS73" s="609"/>
      <c r="SXT73" s="609"/>
      <c r="SXU73" s="609"/>
      <c r="SXV73" s="609"/>
      <c r="SXW73" s="609"/>
      <c r="SXX73" s="609"/>
      <c r="SXY73" s="609"/>
      <c r="SXZ73" s="609"/>
      <c r="SYA73" s="609"/>
      <c r="SYB73" s="609"/>
      <c r="SYC73" s="609"/>
      <c r="SYD73" s="609"/>
      <c r="SYE73" s="609"/>
      <c r="SYF73" s="609"/>
      <c r="SYG73" s="609"/>
      <c r="SYH73" s="609"/>
      <c r="SYI73" s="609"/>
      <c r="SYJ73" s="609"/>
      <c r="SYK73" s="609"/>
      <c r="SYL73" s="609"/>
      <c r="SYM73" s="609"/>
      <c r="SYN73" s="609"/>
      <c r="SYO73" s="609"/>
      <c r="SYP73" s="609"/>
      <c r="SYQ73" s="609"/>
      <c r="SYR73" s="609"/>
      <c r="SYS73" s="609"/>
      <c r="SYT73" s="609"/>
      <c r="SYU73" s="609"/>
      <c r="SYV73" s="609"/>
      <c r="SYW73" s="609"/>
      <c r="SYX73" s="609"/>
      <c r="SYY73" s="609"/>
      <c r="SYZ73" s="609"/>
      <c r="SZA73" s="609"/>
      <c r="SZB73" s="609"/>
      <c r="SZC73" s="609"/>
      <c r="SZD73" s="609"/>
      <c r="SZE73" s="609"/>
      <c r="SZF73" s="609"/>
      <c r="SZG73" s="609"/>
      <c r="SZH73" s="609"/>
      <c r="SZI73" s="609"/>
      <c r="SZJ73" s="609"/>
      <c r="SZK73" s="609"/>
      <c r="SZL73" s="609"/>
      <c r="SZM73" s="609"/>
      <c r="SZN73" s="609"/>
      <c r="SZO73" s="609"/>
      <c r="SZP73" s="609"/>
      <c r="SZQ73" s="609"/>
      <c r="SZR73" s="609"/>
      <c r="SZS73" s="609"/>
      <c r="SZT73" s="609"/>
      <c r="SZU73" s="609"/>
      <c r="SZV73" s="609"/>
      <c r="SZW73" s="609"/>
      <c r="SZX73" s="609"/>
      <c r="SZY73" s="609"/>
      <c r="SZZ73" s="609"/>
      <c r="TAA73" s="609"/>
      <c r="TAB73" s="609"/>
      <c r="TAC73" s="609"/>
      <c r="TAD73" s="609"/>
      <c r="TAE73" s="609"/>
      <c r="TAF73" s="609"/>
      <c r="TAG73" s="609"/>
      <c r="TAH73" s="609"/>
      <c r="TAI73" s="609"/>
      <c r="TAJ73" s="609"/>
      <c r="TAK73" s="609"/>
      <c r="TAL73" s="609"/>
      <c r="TAM73" s="609"/>
      <c r="TAN73" s="609"/>
      <c r="TAO73" s="609"/>
      <c r="TAP73" s="609"/>
      <c r="TAQ73" s="609"/>
      <c r="TAR73" s="609"/>
      <c r="TAS73" s="609"/>
      <c r="TAT73" s="609"/>
      <c r="TAU73" s="609"/>
      <c r="TAV73" s="609"/>
      <c r="TAW73" s="609"/>
      <c r="TAX73" s="609"/>
      <c r="TAY73" s="609"/>
      <c r="TAZ73" s="609"/>
      <c r="TBA73" s="609"/>
      <c r="TBB73" s="609"/>
      <c r="TBC73" s="609"/>
      <c r="TBD73" s="609"/>
      <c r="TBE73" s="609"/>
      <c r="TBF73" s="609"/>
      <c r="TBG73" s="609"/>
      <c r="TBH73" s="609"/>
      <c r="TBI73" s="609"/>
      <c r="TBJ73" s="609"/>
      <c r="TBK73" s="609"/>
      <c r="TBL73" s="609"/>
      <c r="TBM73" s="609"/>
      <c r="TBN73" s="609"/>
      <c r="TBO73" s="609"/>
      <c r="TBP73" s="609"/>
      <c r="TBQ73" s="609"/>
      <c r="TBR73" s="609"/>
      <c r="TBS73" s="609"/>
      <c r="TBT73" s="609"/>
      <c r="TBU73" s="609"/>
      <c r="TBV73" s="609"/>
      <c r="TBW73" s="609"/>
      <c r="TBX73" s="609"/>
      <c r="TBY73" s="609"/>
      <c r="TBZ73" s="609"/>
      <c r="TCA73" s="609"/>
      <c r="TCB73" s="609"/>
      <c r="TCC73" s="609"/>
      <c r="TCD73" s="609"/>
      <c r="TCE73" s="609"/>
      <c r="TCF73" s="609"/>
      <c r="TCG73" s="609"/>
      <c r="TCH73" s="609"/>
      <c r="TCI73" s="609"/>
      <c r="TCJ73" s="609"/>
      <c r="TCK73" s="609"/>
      <c r="TCL73" s="609"/>
      <c r="TCM73" s="609"/>
      <c r="TCN73" s="609"/>
      <c r="TCO73" s="609"/>
      <c r="TCP73" s="609"/>
      <c r="TCQ73" s="609"/>
      <c r="TCR73" s="609"/>
      <c r="TCS73" s="609"/>
      <c r="TCT73" s="609"/>
      <c r="TCU73" s="609"/>
      <c r="TCV73" s="609"/>
      <c r="TCW73" s="609"/>
      <c r="TCX73" s="609"/>
      <c r="TCY73" s="609"/>
      <c r="TCZ73" s="609"/>
      <c r="TDA73" s="609"/>
      <c r="TDB73" s="609"/>
      <c r="TDC73" s="609"/>
      <c r="TDD73" s="609"/>
      <c r="TDE73" s="609"/>
      <c r="TDF73" s="609"/>
      <c r="TDG73" s="609"/>
      <c r="TDH73" s="609"/>
      <c r="TDI73" s="609"/>
      <c r="TDJ73" s="609"/>
      <c r="TDK73" s="609"/>
      <c r="TDL73" s="609"/>
      <c r="TDM73" s="609"/>
      <c r="TDN73" s="609"/>
      <c r="TDO73" s="609"/>
      <c r="TDP73" s="609"/>
      <c r="TDQ73" s="609"/>
      <c r="TDR73" s="609"/>
      <c r="TDS73" s="609"/>
      <c r="TDT73" s="609"/>
      <c r="TDU73" s="609"/>
      <c r="TDV73" s="609"/>
      <c r="TDW73" s="609"/>
      <c r="TDX73" s="609"/>
      <c r="TDY73" s="609"/>
      <c r="TDZ73" s="609"/>
      <c r="TEA73" s="609"/>
      <c r="TEB73" s="609"/>
      <c r="TEC73" s="609"/>
      <c r="TED73" s="609"/>
      <c r="TEE73" s="609"/>
      <c r="TEF73" s="609"/>
      <c r="TEG73" s="609"/>
      <c r="TEH73" s="609"/>
      <c r="TEI73" s="609"/>
      <c r="TEJ73" s="609"/>
      <c r="TEK73" s="609"/>
      <c r="TEL73" s="609"/>
      <c r="TEM73" s="609"/>
      <c r="TEN73" s="609"/>
      <c r="TEO73" s="609"/>
      <c r="TEP73" s="609"/>
      <c r="TEQ73" s="609"/>
      <c r="TER73" s="609"/>
      <c r="TES73" s="609"/>
      <c r="TET73" s="609"/>
      <c r="TEU73" s="609"/>
      <c r="TEV73" s="609"/>
      <c r="TEW73" s="609"/>
      <c r="TEX73" s="609"/>
      <c r="TEY73" s="609"/>
      <c r="TEZ73" s="609"/>
      <c r="TFA73" s="609"/>
      <c r="TFB73" s="609"/>
      <c r="TFC73" s="609"/>
      <c r="TFD73" s="609"/>
      <c r="TFE73" s="609"/>
      <c r="TFF73" s="609"/>
      <c r="TFG73" s="609"/>
      <c r="TFH73" s="609"/>
      <c r="TFI73" s="609"/>
      <c r="TFJ73" s="609"/>
      <c r="TFK73" s="609"/>
      <c r="TFL73" s="609"/>
      <c r="TFM73" s="609"/>
      <c r="TFN73" s="609"/>
      <c r="TFO73" s="609"/>
      <c r="TFP73" s="609"/>
      <c r="TFQ73" s="609"/>
      <c r="TFR73" s="609"/>
      <c r="TFS73" s="609"/>
      <c r="TFT73" s="609"/>
      <c r="TFU73" s="609"/>
      <c r="TFV73" s="609"/>
      <c r="TFW73" s="609"/>
      <c r="TFX73" s="609"/>
      <c r="TFY73" s="609"/>
      <c r="TFZ73" s="609"/>
      <c r="TGA73" s="609"/>
      <c r="TGB73" s="609"/>
      <c r="TGC73" s="609"/>
      <c r="TGD73" s="609"/>
      <c r="TGE73" s="609"/>
      <c r="TGF73" s="609"/>
      <c r="TGG73" s="609"/>
      <c r="TGH73" s="609"/>
      <c r="TGI73" s="609"/>
      <c r="TGJ73" s="609"/>
      <c r="TGK73" s="609"/>
      <c r="TGL73" s="609"/>
      <c r="TGM73" s="609"/>
      <c r="TGN73" s="609"/>
      <c r="TGO73" s="609"/>
      <c r="TGP73" s="609"/>
      <c r="TGQ73" s="609"/>
      <c r="TGR73" s="609"/>
      <c r="TGS73" s="609"/>
      <c r="TGT73" s="609"/>
      <c r="TGU73" s="609"/>
      <c r="TGV73" s="609"/>
      <c r="TGW73" s="609"/>
      <c r="TGX73" s="609"/>
      <c r="TGY73" s="609"/>
      <c r="TGZ73" s="609"/>
      <c r="THA73" s="609"/>
      <c r="THB73" s="609"/>
      <c r="THC73" s="609"/>
      <c r="THD73" s="609"/>
      <c r="THE73" s="609"/>
      <c r="THF73" s="609"/>
      <c r="THG73" s="609"/>
      <c r="THH73" s="609"/>
      <c r="THI73" s="609"/>
      <c r="THJ73" s="609"/>
      <c r="THK73" s="609"/>
      <c r="THL73" s="609"/>
      <c r="THM73" s="609"/>
      <c r="THN73" s="609"/>
      <c r="THO73" s="609"/>
      <c r="THP73" s="609"/>
      <c r="THQ73" s="609"/>
      <c r="THR73" s="609"/>
      <c r="THS73" s="609"/>
      <c r="THT73" s="609"/>
      <c r="THU73" s="609"/>
      <c r="THV73" s="609"/>
      <c r="THW73" s="609"/>
      <c r="THX73" s="609"/>
      <c r="THY73" s="609"/>
      <c r="THZ73" s="609"/>
      <c r="TIA73" s="609"/>
      <c r="TIB73" s="609"/>
      <c r="TIC73" s="609"/>
      <c r="TID73" s="609"/>
      <c r="TIE73" s="609"/>
      <c r="TIF73" s="609"/>
      <c r="TIG73" s="609"/>
      <c r="TIH73" s="609"/>
      <c r="TII73" s="609"/>
      <c r="TIJ73" s="609"/>
      <c r="TIK73" s="609"/>
      <c r="TIL73" s="609"/>
      <c r="TIM73" s="609"/>
      <c r="TIN73" s="609"/>
      <c r="TIO73" s="609"/>
      <c r="TIP73" s="609"/>
      <c r="TIQ73" s="609"/>
      <c r="TIR73" s="609"/>
      <c r="TIS73" s="609"/>
      <c r="TIT73" s="609"/>
      <c r="TIU73" s="609"/>
      <c r="TIV73" s="609"/>
      <c r="TIW73" s="609"/>
      <c r="TIX73" s="609"/>
      <c r="TIY73" s="609"/>
      <c r="TIZ73" s="609"/>
      <c r="TJA73" s="609"/>
      <c r="TJB73" s="609"/>
      <c r="TJC73" s="609"/>
      <c r="TJD73" s="609"/>
      <c r="TJE73" s="609"/>
      <c r="TJF73" s="609"/>
      <c r="TJG73" s="609"/>
      <c r="TJH73" s="609"/>
      <c r="TJI73" s="609"/>
      <c r="TJJ73" s="609"/>
      <c r="TJK73" s="609"/>
      <c r="TJL73" s="609"/>
      <c r="TJM73" s="609"/>
      <c r="TJN73" s="609"/>
      <c r="TJO73" s="609"/>
      <c r="TJP73" s="609"/>
      <c r="TJQ73" s="609"/>
      <c r="TJR73" s="609"/>
      <c r="TJS73" s="609"/>
      <c r="TJT73" s="609"/>
      <c r="TJU73" s="609"/>
      <c r="TJV73" s="609"/>
      <c r="TJW73" s="609"/>
      <c r="TJX73" s="609"/>
      <c r="TJY73" s="609"/>
      <c r="TJZ73" s="609"/>
      <c r="TKA73" s="609"/>
      <c r="TKB73" s="609"/>
      <c r="TKC73" s="609"/>
      <c r="TKD73" s="609"/>
      <c r="TKE73" s="609"/>
      <c r="TKF73" s="609"/>
      <c r="TKG73" s="609"/>
      <c r="TKH73" s="609"/>
      <c r="TKI73" s="609"/>
      <c r="TKJ73" s="609"/>
      <c r="TKK73" s="609"/>
      <c r="TKL73" s="609"/>
      <c r="TKM73" s="609"/>
      <c r="TKN73" s="609"/>
      <c r="TKO73" s="609"/>
      <c r="TKP73" s="609"/>
      <c r="TKQ73" s="609"/>
      <c r="TKR73" s="609"/>
      <c r="TKS73" s="609"/>
      <c r="TKT73" s="609"/>
      <c r="TKU73" s="609"/>
      <c r="TKV73" s="609"/>
      <c r="TKW73" s="609"/>
      <c r="TKX73" s="609"/>
      <c r="TKY73" s="609"/>
      <c r="TKZ73" s="609"/>
      <c r="TLA73" s="609"/>
      <c r="TLB73" s="609"/>
      <c r="TLC73" s="609"/>
      <c r="TLD73" s="609"/>
      <c r="TLE73" s="609"/>
      <c r="TLF73" s="609"/>
      <c r="TLG73" s="609"/>
      <c r="TLH73" s="609"/>
      <c r="TLI73" s="609"/>
      <c r="TLJ73" s="609"/>
      <c r="TLK73" s="609"/>
      <c r="TLL73" s="609"/>
      <c r="TLM73" s="609"/>
      <c r="TLN73" s="609"/>
      <c r="TLO73" s="609"/>
      <c r="TLP73" s="609"/>
      <c r="TLQ73" s="609"/>
      <c r="TLR73" s="609"/>
      <c r="TLS73" s="609"/>
      <c r="TLT73" s="609"/>
      <c r="TLU73" s="609"/>
      <c r="TLV73" s="609"/>
      <c r="TLW73" s="609"/>
      <c r="TLX73" s="609"/>
      <c r="TLY73" s="609"/>
      <c r="TLZ73" s="609"/>
      <c r="TMA73" s="609"/>
      <c r="TMB73" s="609"/>
      <c r="TMC73" s="609"/>
      <c r="TMD73" s="609"/>
      <c r="TME73" s="609"/>
      <c r="TMF73" s="609"/>
      <c r="TMG73" s="609"/>
      <c r="TMH73" s="609"/>
      <c r="TMI73" s="609"/>
      <c r="TMJ73" s="609"/>
      <c r="TMK73" s="609"/>
      <c r="TML73" s="609"/>
      <c r="TMM73" s="609"/>
      <c r="TMN73" s="609"/>
      <c r="TMO73" s="609"/>
      <c r="TMP73" s="609"/>
      <c r="TMQ73" s="609"/>
      <c r="TMR73" s="609"/>
      <c r="TMS73" s="609"/>
      <c r="TMT73" s="609"/>
      <c r="TMU73" s="609"/>
      <c r="TMV73" s="609"/>
      <c r="TMW73" s="609"/>
      <c r="TMX73" s="609"/>
      <c r="TMY73" s="609"/>
      <c r="TMZ73" s="609"/>
      <c r="TNA73" s="609"/>
      <c r="TNB73" s="609"/>
      <c r="TNC73" s="609"/>
      <c r="TND73" s="609"/>
      <c r="TNE73" s="609"/>
      <c r="TNF73" s="609"/>
      <c r="TNG73" s="609"/>
      <c r="TNH73" s="609"/>
      <c r="TNI73" s="609"/>
      <c r="TNJ73" s="609"/>
      <c r="TNK73" s="609"/>
      <c r="TNL73" s="609"/>
      <c r="TNM73" s="609"/>
      <c r="TNN73" s="609"/>
      <c r="TNO73" s="609"/>
      <c r="TNP73" s="609"/>
      <c r="TNQ73" s="609"/>
      <c r="TNR73" s="609"/>
      <c r="TNS73" s="609"/>
      <c r="TNT73" s="609"/>
      <c r="TNU73" s="609"/>
      <c r="TNV73" s="609"/>
      <c r="TNW73" s="609"/>
      <c r="TNX73" s="609"/>
      <c r="TNY73" s="609"/>
      <c r="TNZ73" s="609"/>
      <c r="TOA73" s="609"/>
      <c r="TOB73" s="609"/>
      <c r="TOC73" s="609"/>
      <c r="TOD73" s="609"/>
      <c r="TOE73" s="609"/>
      <c r="TOF73" s="609"/>
      <c r="TOG73" s="609"/>
      <c r="TOH73" s="609"/>
      <c r="TOI73" s="609"/>
      <c r="TOJ73" s="609"/>
      <c r="TOK73" s="609"/>
      <c r="TOL73" s="609"/>
      <c r="TOM73" s="609"/>
      <c r="TON73" s="609"/>
      <c r="TOO73" s="609"/>
      <c r="TOP73" s="609"/>
      <c r="TOQ73" s="609"/>
      <c r="TOR73" s="609"/>
      <c r="TOS73" s="609"/>
      <c r="TOT73" s="609"/>
      <c r="TOU73" s="609"/>
      <c r="TOV73" s="609"/>
      <c r="TOW73" s="609"/>
      <c r="TOX73" s="609"/>
      <c r="TOY73" s="609"/>
      <c r="TOZ73" s="609"/>
      <c r="TPA73" s="609"/>
      <c r="TPB73" s="609"/>
      <c r="TPC73" s="609"/>
      <c r="TPD73" s="609"/>
      <c r="TPE73" s="609"/>
      <c r="TPF73" s="609"/>
      <c r="TPG73" s="609"/>
      <c r="TPH73" s="609"/>
      <c r="TPI73" s="609"/>
      <c r="TPJ73" s="609"/>
      <c r="TPK73" s="609"/>
      <c r="TPL73" s="609"/>
      <c r="TPM73" s="609"/>
      <c r="TPN73" s="609"/>
      <c r="TPO73" s="609"/>
      <c r="TPP73" s="609"/>
      <c r="TPQ73" s="609"/>
      <c r="TPR73" s="609"/>
      <c r="TPS73" s="609"/>
      <c r="TPT73" s="609"/>
      <c r="TPU73" s="609"/>
      <c r="TPV73" s="609"/>
      <c r="TPW73" s="609"/>
      <c r="TPX73" s="609"/>
      <c r="TPY73" s="609"/>
      <c r="TPZ73" s="609"/>
      <c r="TQA73" s="609"/>
      <c r="TQB73" s="609"/>
      <c r="TQC73" s="609"/>
      <c r="TQD73" s="609"/>
      <c r="TQE73" s="609"/>
      <c r="TQF73" s="609"/>
      <c r="TQG73" s="609"/>
      <c r="TQH73" s="609"/>
      <c r="TQI73" s="609"/>
      <c r="TQJ73" s="609"/>
      <c r="TQK73" s="609"/>
      <c r="TQL73" s="609"/>
      <c r="TQM73" s="609"/>
      <c r="TQN73" s="609"/>
      <c r="TQO73" s="609"/>
      <c r="TQP73" s="609"/>
      <c r="TQQ73" s="609"/>
      <c r="TQR73" s="609"/>
      <c r="TQS73" s="609"/>
      <c r="TQT73" s="609"/>
      <c r="TQU73" s="609"/>
      <c r="TQV73" s="609"/>
      <c r="TQW73" s="609"/>
      <c r="TQX73" s="609"/>
      <c r="TQY73" s="609"/>
      <c r="TQZ73" s="609"/>
      <c r="TRA73" s="609"/>
      <c r="TRB73" s="609"/>
      <c r="TRC73" s="609"/>
      <c r="TRD73" s="609"/>
      <c r="TRE73" s="609"/>
      <c r="TRF73" s="609"/>
      <c r="TRG73" s="609"/>
      <c r="TRH73" s="609"/>
      <c r="TRI73" s="609"/>
      <c r="TRJ73" s="609"/>
      <c r="TRK73" s="609"/>
      <c r="TRL73" s="609"/>
      <c r="TRM73" s="609"/>
      <c r="TRN73" s="609"/>
      <c r="TRO73" s="609"/>
      <c r="TRP73" s="609"/>
      <c r="TRQ73" s="609"/>
      <c r="TRR73" s="609"/>
      <c r="TRS73" s="609"/>
      <c r="TRT73" s="609"/>
      <c r="TRU73" s="609"/>
      <c r="TRV73" s="609"/>
      <c r="TRW73" s="609"/>
      <c r="TRX73" s="609"/>
      <c r="TRY73" s="609"/>
      <c r="TRZ73" s="609"/>
      <c r="TSA73" s="609"/>
      <c r="TSB73" s="609"/>
      <c r="TSC73" s="609"/>
      <c r="TSD73" s="609"/>
      <c r="TSE73" s="609"/>
      <c r="TSF73" s="609"/>
      <c r="TSG73" s="609"/>
      <c r="TSH73" s="609"/>
      <c r="TSI73" s="609"/>
      <c r="TSJ73" s="609"/>
      <c r="TSK73" s="609"/>
      <c r="TSL73" s="609"/>
      <c r="TSM73" s="609"/>
      <c r="TSN73" s="609"/>
      <c r="TSO73" s="609"/>
      <c r="TSP73" s="609"/>
      <c r="TSQ73" s="609"/>
      <c r="TSR73" s="609"/>
      <c r="TSS73" s="609"/>
      <c r="TST73" s="609"/>
      <c r="TSU73" s="609"/>
      <c r="TSV73" s="609"/>
      <c r="TSW73" s="609"/>
      <c r="TSX73" s="609"/>
      <c r="TSY73" s="609"/>
      <c r="TSZ73" s="609"/>
      <c r="TTA73" s="609"/>
      <c r="TTB73" s="609"/>
      <c r="TTC73" s="609"/>
      <c r="TTD73" s="609"/>
      <c r="TTE73" s="609"/>
      <c r="TTF73" s="609"/>
      <c r="TTG73" s="609"/>
      <c r="TTH73" s="609"/>
      <c r="TTI73" s="609"/>
      <c r="TTJ73" s="609"/>
      <c r="TTK73" s="609"/>
      <c r="TTL73" s="609"/>
      <c r="TTM73" s="609"/>
      <c r="TTN73" s="609"/>
      <c r="TTO73" s="609"/>
      <c r="TTP73" s="609"/>
      <c r="TTQ73" s="609"/>
      <c r="TTR73" s="609"/>
      <c r="TTS73" s="609"/>
      <c r="TTT73" s="609"/>
      <c r="TTU73" s="609"/>
      <c r="TTV73" s="609"/>
      <c r="TTW73" s="609"/>
      <c r="TTX73" s="609"/>
      <c r="TTY73" s="609"/>
      <c r="TTZ73" s="609"/>
      <c r="TUA73" s="609"/>
      <c r="TUB73" s="609"/>
      <c r="TUC73" s="609"/>
      <c r="TUD73" s="609"/>
      <c r="TUE73" s="609"/>
      <c r="TUF73" s="609"/>
      <c r="TUG73" s="609"/>
      <c r="TUH73" s="609"/>
      <c r="TUI73" s="609"/>
      <c r="TUJ73" s="609"/>
      <c r="TUK73" s="609"/>
      <c r="TUL73" s="609"/>
      <c r="TUM73" s="609"/>
      <c r="TUN73" s="609"/>
      <c r="TUO73" s="609"/>
      <c r="TUP73" s="609"/>
      <c r="TUQ73" s="609"/>
      <c r="TUR73" s="609"/>
      <c r="TUS73" s="609"/>
      <c r="TUT73" s="609"/>
      <c r="TUU73" s="609"/>
      <c r="TUV73" s="609"/>
      <c r="TUW73" s="609"/>
      <c r="TUX73" s="609"/>
      <c r="TUY73" s="609"/>
      <c r="TUZ73" s="609"/>
      <c r="TVA73" s="609"/>
      <c r="TVB73" s="609"/>
      <c r="TVC73" s="609"/>
      <c r="TVD73" s="609"/>
      <c r="TVE73" s="609"/>
      <c r="TVF73" s="609"/>
      <c r="TVG73" s="609"/>
      <c r="TVH73" s="609"/>
      <c r="TVI73" s="609"/>
      <c r="TVJ73" s="609"/>
      <c r="TVK73" s="609"/>
      <c r="TVL73" s="609"/>
      <c r="TVM73" s="609"/>
      <c r="TVN73" s="609"/>
      <c r="TVO73" s="609"/>
      <c r="TVP73" s="609"/>
      <c r="TVQ73" s="609"/>
      <c r="TVR73" s="609"/>
      <c r="TVS73" s="609"/>
      <c r="TVT73" s="609"/>
      <c r="TVU73" s="609"/>
      <c r="TVV73" s="609"/>
      <c r="TVW73" s="609"/>
      <c r="TVX73" s="609"/>
      <c r="TVY73" s="609"/>
      <c r="TVZ73" s="609"/>
      <c r="TWA73" s="609"/>
      <c r="TWB73" s="609"/>
      <c r="TWC73" s="609"/>
      <c r="TWD73" s="609"/>
      <c r="TWE73" s="609"/>
      <c r="TWF73" s="609"/>
      <c r="TWG73" s="609"/>
      <c r="TWH73" s="609"/>
      <c r="TWI73" s="609"/>
      <c r="TWJ73" s="609"/>
      <c r="TWK73" s="609"/>
      <c r="TWL73" s="609"/>
      <c r="TWM73" s="609"/>
      <c r="TWN73" s="609"/>
      <c r="TWO73" s="609"/>
      <c r="TWP73" s="609"/>
      <c r="TWQ73" s="609"/>
      <c r="TWR73" s="609"/>
      <c r="TWS73" s="609"/>
      <c r="TWT73" s="609"/>
      <c r="TWU73" s="609"/>
      <c r="TWV73" s="609"/>
      <c r="TWW73" s="609"/>
      <c r="TWX73" s="609"/>
      <c r="TWY73" s="609"/>
      <c r="TWZ73" s="609"/>
      <c r="TXA73" s="609"/>
      <c r="TXB73" s="609"/>
      <c r="TXC73" s="609"/>
      <c r="TXD73" s="609"/>
      <c r="TXE73" s="609"/>
      <c r="TXF73" s="609"/>
      <c r="TXG73" s="609"/>
      <c r="TXH73" s="609"/>
      <c r="TXI73" s="609"/>
      <c r="TXJ73" s="609"/>
      <c r="TXK73" s="609"/>
      <c r="TXL73" s="609"/>
      <c r="TXM73" s="609"/>
      <c r="TXN73" s="609"/>
      <c r="TXO73" s="609"/>
      <c r="TXP73" s="609"/>
      <c r="TXQ73" s="609"/>
      <c r="TXR73" s="609"/>
      <c r="TXS73" s="609"/>
      <c r="TXT73" s="609"/>
      <c r="TXU73" s="609"/>
      <c r="TXV73" s="609"/>
      <c r="TXW73" s="609"/>
      <c r="TXX73" s="609"/>
      <c r="TXY73" s="609"/>
      <c r="TXZ73" s="609"/>
      <c r="TYA73" s="609"/>
      <c r="TYB73" s="609"/>
      <c r="TYC73" s="609"/>
      <c r="TYD73" s="609"/>
      <c r="TYE73" s="609"/>
      <c r="TYF73" s="609"/>
      <c r="TYG73" s="609"/>
      <c r="TYH73" s="609"/>
      <c r="TYI73" s="609"/>
      <c r="TYJ73" s="609"/>
      <c r="TYK73" s="609"/>
      <c r="TYL73" s="609"/>
      <c r="TYM73" s="609"/>
      <c r="TYN73" s="609"/>
      <c r="TYO73" s="609"/>
      <c r="TYP73" s="609"/>
      <c r="TYQ73" s="609"/>
      <c r="TYR73" s="609"/>
      <c r="TYS73" s="609"/>
      <c r="TYT73" s="609"/>
      <c r="TYU73" s="609"/>
      <c r="TYV73" s="609"/>
      <c r="TYW73" s="609"/>
      <c r="TYX73" s="609"/>
      <c r="TYY73" s="609"/>
      <c r="TYZ73" s="609"/>
      <c r="TZA73" s="609"/>
      <c r="TZB73" s="609"/>
      <c r="TZC73" s="609"/>
      <c r="TZD73" s="609"/>
      <c r="TZE73" s="609"/>
      <c r="TZF73" s="609"/>
      <c r="TZG73" s="609"/>
      <c r="TZH73" s="609"/>
      <c r="TZI73" s="609"/>
      <c r="TZJ73" s="609"/>
      <c r="TZK73" s="609"/>
      <c r="TZL73" s="609"/>
      <c r="TZM73" s="609"/>
      <c r="TZN73" s="609"/>
      <c r="TZO73" s="609"/>
      <c r="TZP73" s="609"/>
      <c r="TZQ73" s="609"/>
      <c r="TZR73" s="609"/>
      <c r="TZS73" s="609"/>
      <c r="TZT73" s="609"/>
      <c r="TZU73" s="609"/>
      <c r="TZV73" s="609"/>
      <c r="TZW73" s="609"/>
      <c r="TZX73" s="609"/>
      <c r="TZY73" s="609"/>
      <c r="TZZ73" s="609"/>
      <c r="UAA73" s="609"/>
      <c r="UAB73" s="609"/>
      <c r="UAC73" s="609"/>
      <c r="UAD73" s="609"/>
      <c r="UAE73" s="609"/>
      <c r="UAF73" s="609"/>
      <c r="UAG73" s="609"/>
      <c r="UAH73" s="609"/>
      <c r="UAI73" s="609"/>
      <c r="UAJ73" s="609"/>
      <c r="UAK73" s="609"/>
      <c r="UAL73" s="609"/>
      <c r="UAM73" s="609"/>
      <c r="UAN73" s="609"/>
      <c r="UAO73" s="609"/>
      <c r="UAP73" s="609"/>
      <c r="UAQ73" s="609"/>
      <c r="UAR73" s="609"/>
      <c r="UAS73" s="609"/>
      <c r="UAT73" s="609"/>
      <c r="UAU73" s="609"/>
      <c r="UAV73" s="609"/>
      <c r="UAW73" s="609"/>
      <c r="UAX73" s="609"/>
      <c r="UAY73" s="609"/>
      <c r="UAZ73" s="609"/>
      <c r="UBA73" s="609"/>
      <c r="UBB73" s="609"/>
      <c r="UBC73" s="609"/>
      <c r="UBD73" s="609"/>
      <c r="UBE73" s="609"/>
      <c r="UBF73" s="609"/>
      <c r="UBG73" s="609"/>
      <c r="UBH73" s="609"/>
      <c r="UBI73" s="609"/>
      <c r="UBJ73" s="609"/>
      <c r="UBK73" s="609"/>
      <c r="UBL73" s="609"/>
      <c r="UBM73" s="609"/>
      <c r="UBN73" s="609"/>
      <c r="UBO73" s="609"/>
      <c r="UBP73" s="609"/>
      <c r="UBQ73" s="609"/>
      <c r="UBR73" s="609"/>
      <c r="UBS73" s="609"/>
      <c r="UBT73" s="609"/>
      <c r="UBU73" s="609"/>
      <c r="UBV73" s="609"/>
      <c r="UBW73" s="609"/>
      <c r="UBX73" s="609"/>
      <c r="UBY73" s="609"/>
      <c r="UBZ73" s="609"/>
      <c r="UCA73" s="609"/>
      <c r="UCB73" s="609"/>
      <c r="UCC73" s="609"/>
      <c r="UCD73" s="609"/>
      <c r="UCE73" s="609"/>
      <c r="UCF73" s="609"/>
      <c r="UCG73" s="609"/>
      <c r="UCH73" s="609"/>
      <c r="UCI73" s="609"/>
      <c r="UCJ73" s="609"/>
      <c r="UCK73" s="609"/>
      <c r="UCL73" s="609"/>
      <c r="UCM73" s="609"/>
      <c r="UCN73" s="609"/>
      <c r="UCO73" s="609"/>
      <c r="UCP73" s="609"/>
      <c r="UCQ73" s="609"/>
      <c r="UCR73" s="609"/>
      <c r="UCS73" s="609"/>
      <c r="UCT73" s="609"/>
      <c r="UCU73" s="609"/>
      <c r="UCV73" s="609"/>
      <c r="UCW73" s="609"/>
      <c r="UCX73" s="609"/>
      <c r="UCY73" s="609"/>
      <c r="UCZ73" s="609"/>
      <c r="UDA73" s="609"/>
      <c r="UDB73" s="609"/>
      <c r="UDC73" s="609"/>
      <c r="UDD73" s="609"/>
      <c r="UDE73" s="609"/>
      <c r="UDF73" s="609"/>
      <c r="UDG73" s="609"/>
      <c r="UDH73" s="609"/>
      <c r="UDI73" s="609"/>
      <c r="UDJ73" s="609"/>
      <c r="UDK73" s="609"/>
      <c r="UDL73" s="609"/>
      <c r="UDM73" s="609"/>
      <c r="UDN73" s="609"/>
      <c r="UDO73" s="609"/>
      <c r="UDP73" s="609"/>
      <c r="UDQ73" s="609"/>
      <c r="UDR73" s="609"/>
      <c r="UDS73" s="609"/>
      <c r="UDT73" s="609"/>
      <c r="UDU73" s="609"/>
      <c r="UDV73" s="609"/>
      <c r="UDW73" s="609"/>
      <c r="UDX73" s="609"/>
      <c r="UDY73" s="609"/>
      <c r="UDZ73" s="609"/>
      <c r="UEA73" s="609"/>
      <c r="UEB73" s="609"/>
      <c r="UEC73" s="609"/>
      <c r="UED73" s="609"/>
      <c r="UEE73" s="609"/>
      <c r="UEF73" s="609"/>
      <c r="UEG73" s="609"/>
      <c r="UEH73" s="609"/>
      <c r="UEI73" s="609"/>
      <c r="UEJ73" s="609"/>
      <c r="UEK73" s="609"/>
      <c r="UEL73" s="609"/>
      <c r="UEM73" s="609"/>
      <c r="UEN73" s="609"/>
      <c r="UEO73" s="609"/>
      <c r="UEP73" s="609"/>
      <c r="UEQ73" s="609"/>
      <c r="UER73" s="609"/>
      <c r="UES73" s="609"/>
      <c r="UET73" s="609"/>
      <c r="UEU73" s="609"/>
      <c r="UEV73" s="609"/>
      <c r="UEW73" s="609"/>
      <c r="UEX73" s="609"/>
      <c r="UEY73" s="609"/>
      <c r="UEZ73" s="609"/>
      <c r="UFA73" s="609"/>
      <c r="UFB73" s="609"/>
      <c r="UFC73" s="609"/>
      <c r="UFD73" s="609"/>
      <c r="UFE73" s="609"/>
      <c r="UFF73" s="609"/>
      <c r="UFG73" s="609"/>
      <c r="UFH73" s="609"/>
      <c r="UFI73" s="609"/>
      <c r="UFJ73" s="609"/>
      <c r="UFK73" s="609"/>
      <c r="UFL73" s="609"/>
      <c r="UFM73" s="609"/>
      <c r="UFN73" s="609"/>
      <c r="UFO73" s="609"/>
      <c r="UFP73" s="609"/>
      <c r="UFQ73" s="609"/>
      <c r="UFR73" s="609"/>
      <c r="UFS73" s="609"/>
      <c r="UFT73" s="609"/>
      <c r="UFU73" s="609"/>
      <c r="UFV73" s="609"/>
      <c r="UFW73" s="609"/>
      <c r="UFX73" s="609"/>
      <c r="UFY73" s="609"/>
      <c r="UFZ73" s="609"/>
      <c r="UGA73" s="609"/>
      <c r="UGB73" s="609"/>
      <c r="UGC73" s="609"/>
      <c r="UGD73" s="609"/>
      <c r="UGE73" s="609"/>
      <c r="UGF73" s="609"/>
      <c r="UGG73" s="609"/>
      <c r="UGH73" s="609"/>
      <c r="UGI73" s="609"/>
      <c r="UGJ73" s="609"/>
      <c r="UGK73" s="609"/>
      <c r="UGL73" s="609"/>
      <c r="UGM73" s="609"/>
      <c r="UGN73" s="609"/>
      <c r="UGO73" s="609"/>
      <c r="UGP73" s="609"/>
      <c r="UGQ73" s="609"/>
      <c r="UGR73" s="609"/>
      <c r="UGS73" s="609"/>
      <c r="UGT73" s="609"/>
      <c r="UGU73" s="609"/>
      <c r="UGV73" s="609"/>
      <c r="UGW73" s="609"/>
      <c r="UGX73" s="609"/>
      <c r="UGY73" s="609"/>
      <c r="UGZ73" s="609"/>
      <c r="UHA73" s="609"/>
      <c r="UHB73" s="609"/>
      <c r="UHC73" s="609"/>
      <c r="UHD73" s="609"/>
      <c r="UHE73" s="609"/>
      <c r="UHF73" s="609"/>
      <c r="UHG73" s="609"/>
      <c r="UHH73" s="609"/>
      <c r="UHI73" s="609"/>
      <c r="UHJ73" s="609"/>
      <c r="UHK73" s="609"/>
      <c r="UHL73" s="609"/>
      <c r="UHM73" s="609"/>
      <c r="UHN73" s="609"/>
      <c r="UHO73" s="609"/>
      <c r="UHP73" s="609"/>
      <c r="UHQ73" s="609"/>
      <c r="UHR73" s="609"/>
      <c r="UHS73" s="609"/>
      <c r="UHT73" s="609"/>
      <c r="UHU73" s="609"/>
      <c r="UHV73" s="609"/>
      <c r="UHW73" s="609"/>
      <c r="UHX73" s="609"/>
      <c r="UHY73" s="609"/>
      <c r="UHZ73" s="609"/>
      <c r="UIA73" s="609"/>
      <c r="UIB73" s="609"/>
      <c r="UIC73" s="609"/>
      <c r="UID73" s="609"/>
      <c r="UIE73" s="609"/>
      <c r="UIF73" s="609"/>
      <c r="UIG73" s="609"/>
      <c r="UIH73" s="609"/>
      <c r="UII73" s="609"/>
      <c r="UIJ73" s="609"/>
      <c r="UIK73" s="609"/>
      <c r="UIL73" s="609"/>
      <c r="UIM73" s="609"/>
      <c r="UIN73" s="609"/>
      <c r="UIO73" s="609"/>
      <c r="UIP73" s="609"/>
      <c r="UIQ73" s="609"/>
      <c r="UIR73" s="609"/>
      <c r="UIS73" s="609"/>
      <c r="UIT73" s="609"/>
      <c r="UIU73" s="609"/>
      <c r="UIV73" s="609"/>
      <c r="UIW73" s="609"/>
      <c r="UIX73" s="609"/>
      <c r="UIY73" s="609"/>
      <c r="UIZ73" s="609"/>
      <c r="UJA73" s="609"/>
      <c r="UJB73" s="609"/>
      <c r="UJC73" s="609"/>
      <c r="UJD73" s="609"/>
      <c r="UJE73" s="609"/>
      <c r="UJF73" s="609"/>
      <c r="UJG73" s="609"/>
      <c r="UJH73" s="609"/>
      <c r="UJI73" s="609"/>
      <c r="UJJ73" s="609"/>
      <c r="UJK73" s="609"/>
      <c r="UJL73" s="609"/>
      <c r="UJM73" s="609"/>
      <c r="UJN73" s="609"/>
      <c r="UJO73" s="609"/>
      <c r="UJP73" s="609"/>
      <c r="UJQ73" s="609"/>
      <c r="UJR73" s="609"/>
      <c r="UJS73" s="609"/>
      <c r="UJT73" s="609"/>
      <c r="UJU73" s="609"/>
      <c r="UJV73" s="609"/>
      <c r="UJW73" s="609"/>
      <c r="UJX73" s="609"/>
      <c r="UJY73" s="609"/>
      <c r="UJZ73" s="609"/>
      <c r="UKA73" s="609"/>
      <c r="UKB73" s="609"/>
      <c r="UKC73" s="609"/>
      <c r="UKD73" s="609"/>
      <c r="UKE73" s="609"/>
      <c r="UKF73" s="609"/>
      <c r="UKG73" s="609"/>
      <c r="UKH73" s="609"/>
      <c r="UKI73" s="609"/>
      <c r="UKJ73" s="609"/>
      <c r="UKK73" s="609"/>
      <c r="UKL73" s="609"/>
      <c r="UKM73" s="609"/>
      <c r="UKN73" s="609"/>
      <c r="UKO73" s="609"/>
      <c r="UKP73" s="609"/>
      <c r="UKQ73" s="609"/>
      <c r="UKR73" s="609"/>
      <c r="UKS73" s="609"/>
      <c r="UKT73" s="609"/>
      <c r="UKU73" s="609"/>
      <c r="UKV73" s="609"/>
      <c r="UKW73" s="609"/>
      <c r="UKX73" s="609"/>
      <c r="UKY73" s="609"/>
      <c r="UKZ73" s="609"/>
      <c r="ULA73" s="609"/>
      <c r="ULB73" s="609"/>
      <c r="ULC73" s="609"/>
      <c r="ULD73" s="609"/>
      <c r="ULE73" s="609"/>
      <c r="ULF73" s="609"/>
      <c r="ULG73" s="609"/>
      <c r="ULH73" s="609"/>
      <c r="ULI73" s="609"/>
      <c r="ULJ73" s="609"/>
      <c r="ULK73" s="609"/>
      <c r="ULL73" s="609"/>
      <c r="ULM73" s="609"/>
      <c r="ULN73" s="609"/>
      <c r="ULO73" s="609"/>
      <c r="ULP73" s="609"/>
      <c r="ULQ73" s="609"/>
      <c r="ULR73" s="609"/>
      <c r="ULS73" s="609"/>
      <c r="ULT73" s="609"/>
      <c r="ULU73" s="609"/>
      <c r="ULV73" s="609"/>
      <c r="ULW73" s="609"/>
      <c r="ULX73" s="609"/>
      <c r="ULY73" s="609"/>
      <c r="ULZ73" s="609"/>
      <c r="UMA73" s="609"/>
      <c r="UMB73" s="609"/>
      <c r="UMC73" s="609"/>
      <c r="UMD73" s="609"/>
      <c r="UME73" s="609"/>
      <c r="UMF73" s="609"/>
      <c r="UMG73" s="609"/>
      <c r="UMH73" s="609"/>
      <c r="UMI73" s="609"/>
      <c r="UMJ73" s="609"/>
      <c r="UMK73" s="609"/>
      <c r="UML73" s="609"/>
      <c r="UMM73" s="609"/>
      <c r="UMN73" s="609"/>
      <c r="UMO73" s="609"/>
      <c r="UMP73" s="609"/>
      <c r="UMQ73" s="609"/>
      <c r="UMR73" s="609"/>
      <c r="UMS73" s="609"/>
      <c r="UMT73" s="609"/>
      <c r="UMU73" s="609"/>
      <c r="UMV73" s="609"/>
      <c r="UMW73" s="609"/>
      <c r="UMX73" s="609"/>
      <c r="UMY73" s="609"/>
      <c r="UMZ73" s="609"/>
      <c r="UNA73" s="609"/>
      <c r="UNB73" s="609"/>
      <c r="UNC73" s="609"/>
      <c r="UND73" s="609"/>
      <c r="UNE73" s="609"/>
      <c r="UNF73" s="609"/>
      <c r="UNG73" s="609"/>
      <c r="UNH73" s="609"/>
      <c r="UNI73" s="609"/>
      <c r="UNJ73" s="609"/>
      <c r="UNK73" s="609"/>
      <c r="UNL73" s="609"/>
      <c r="UNM73" s="609"/>
      <c r="UNN73" s="609"/>
      <c r="UNO73" s="609"/>
      <c r="UNP73" s="609"/>
      <c r="UNQ73" s="609"/>
      <c r="UNR73" s="609"/>
      <c r="UNS73" s="609"/>
      <c r="UNT73" s="609"/>
      <c r="UNU73" s="609"/>
      <c r="UNV73" s="609"/>
      <c r="UNW73" s="609"/>
      <c r="UNX73" s="609"/>
      <c r="UNY73" s="609"/>
      <c r="UNZ73" s="609"/>
      <c r="UOA73" s="609"/>
      <c r="UOB73" s="609"/>
      <c r="UOC73" s="609"/>
      <c r="UOD73" s="609"/>
      <c r="UOE73" s="609"/>
      <c r="UOF73" s="609"/>
      <c r="UOG73" s="609"/>
      <c r="UOH73" s="609"/>
      <c r="UOI73" s="609"/>
      <c r="UOJ73" s="609"/>
      <c r="UOK73" s="609"/>
      <c r="UOL73" s="609"/>
      <c r="UOM73" s="609"/>
      <c r="UON73" s="609"/>
      <c r="UOO73" s="609"/>
      <c r="UOP73" s="609"/>
      <c r="UOQ73" s="609"/>
      <c r="UOR73" s="609"/>
      <c r="UOS73" s="609"/>
      <c r="UOT73" s="609"/>
      <c r="UOU73" s="609"/>
      <c r="UOV73" s="609"/>
      <c r="UOW73" s="609"/>
      <c r="UOX73" s="609"/>
      <c r="UOY73" s="609"/>
      <c r="UOZ73" s="609"/>
      <c r="UPA73" s="609"/>
      <c r="UPB73" s="609"/>
      <c r="UPC73" s="609"/>
      <c r="UPD73" s="609"/>
      <c r="UPE73" s="609"/>
      <c r="UPF73" s="609"/>
      <c r="UPG73" s="609"/>
      <c r="UPH73" s="609"/>
      <c r="UPI73" s="609"/>
      <c r="UPJ73" s="609"/>
      <c r="UPK73" s="609"/>
      <c r="UPL73" s="609"/>
      <c r="UPM73" s="609"/>
      <c r="UPN73" s="609"/>
      <c r="UPO73" s="609"/>
      <c r="UPP73" s="609"/>
      <c r="UPQ73" s="609"/>
      <c r="UPR73" s="609"/>
      <c r="UPS73" s="609"/>
      <c r="UPT73" s="609"/>
      <c r="UPU73" s="609"/>
      <c r="UPV73" s="609"/>
      <c r="UPW73" s="609"/>
      <c r="UPX73" s="609"/>
      <c r="UPY73" s="609"/>
      <c r="UPZ73" s="609"/>
      <c r="UQA73" s="609"/>
      <c r="UQB73" s="609"/>
      <c r="UQC73" s="609"/>
      <c r="UQD73" s="609"/>
      <c r="UQE73" s="609"/>
      <c r="UQF73" s="609"/>
      <c r="UQG73" s="609"/>
      <c r="UQH73" s="609"/>
      <c r="UQI73" s="609"/>
      <c r="UQJ73" s="609"/>
      <c r="UQK73" s="609"/>
      <c r="UQL73" s="609"/>
      <c r="UQM73" s="609"/>
      <c r="UQN73" s="609"/>
      <c r="UQO73" s="609"/>
      <c r="UQP73" s="609"/>
      <c r="UQQ73" s="609"/>
      <c r="UQR73" s="609"/>
      <c r="UQS73" s="609"/>
      <c r="UQT73" s="609"/>
      <c r="UQU73" s="609"/>
      <c r="UQV73" s="609"/>
      <c r="UQW73" s="609"/>
      <c r="UQX73" s="609"/>
      <c r="UQY73" s="609"/>
      <c r="UQZ73" s="609"/>
      <c r="URA73" s="609"/>
      <c r="URB73" s="609"/>
      <c r="URC73" s="609"/>
      <c r="URD73" s="609"/>
      <c r="URE73" s="609"/>
      <c r="URF73" s="609"/>
      <c r="URG73" s="609"/>
      <c r="URH73" s="609"/>
      <c r="URI73" s="609"/>
      <c r="URJ73" s="609"/>
      <c r="URK73" s="609"/>
      <c r="URL73" s="609"/>
      <c r="URM73" s="609"/>
      <c r="URN73" s="609"/>
      <c r="URO73" s="609"/>
      <c r="URP73" s="609"/>
      <c r="URQ73" s="609"/>
      <c r="URR73" s="609"/>
      <c r="URS73" s="609"/>
      <c r="URT73" s="609"/>
      <c r="URU73" s="609"/>
      <c r="URV73" s="609"/>
      <c r="URW73" s="609"/>
      <c r="URX73" s="609"/>
      <c r="URY73" s="609"/>
      <c r="URZ73" s="609"/>
      <c r="USA73" s="609"/>
      <c r="USB73" s="609"/>
      <c r="USC73" s="609"/>
      <c r="USD73" s="609"/>
      <c r="USE73" s="609"/>
      <c r="USF73" s="609"/>
      <c r="USG73" s="609"/>
      <c r="USH73" s="609"/>
      <c r="USI73" s="609"/>
      <c r="USJ73" s="609"/>
      <c r="USK73" s="609"/>
      <c r="USL73" s="609"/>
      <c r="USM73" s="609"/>
      <c r="USN73" s="609"/>
      <c r="USO73" s="609"/>
      <c r="USP73" s="609"/>
      <c r="USQ73" s="609"/>
      <c r="USR73" s="609"/>
      <c r="USS73" s="609"/>
      <c r="UST73" s="609"/>
      <c r="USU73" s="609"/>
      <c r="USV73" s="609"/>
      <c r="USW73" s="609"/>
      <c r="USX73" s="609"/>
      <c r="USY73" s="609"/>
      <c r="USZ73" s="609"/>
      <c r="UTA73" s="609"/>
      <c r="UTB73" s="609"/>
      <c r="UTC73" s="609"/>
      <c r="UTD73" s="609"/>
      <c r="UTE73" s="609"/>
      <c r="UTF73" s="609"/>
      <c r="UTG73" s="609"/>
      <c r="UTH73" s="609"/>
      <c r="UTI73" s="609"/>
      <c r="UTJ73" s="609"/>
      <c r="UTK73" s="609"/>
      <c r="UTL73" s="609"/>
      <c r="UTM73" s="609"/>
      <c r="UTN73" s="609"/>
      <c r="UTO73" s="609"/>
      <c r="UTP73" s="609"/>
      <c r="UTQ73" s="609"/>
      <c r="UTR73" s="609"/>
      <c r="UTS73" s="609"/>
      <c r="UTT73" s="609"/>
      <c r="UTU73" s="609"/>
      <c r="UTV73" s="609"/>
      <c r="UTW73" s="609"/>
      <c r="UTX73" s="609"/>
      <c r="UTY73" s="609"/>
      <c r="UTZ73" s="609"/>
      <c r="UUA73" s="609"/>
      <c r="UUB73" s="609"/>
      <c r="UUC73" s="609"/>
      <c r="UUD73" s="609"/>
      <c r="UUE73" s="609"/>
      <c r="UUF73" s="609"/>
      <c r="UUG73" s="609"/>
      <c r="UUH73" s="609"/>
      <c r="UUI73" s="609"/>
      <c r="UUJ73" s="609"/>
      <c r="UUK73" s="609"/>
      <c r="UUL73" s="609"/>
      <c r="UUM73" s="609"/>
      <c r="UUN73" s="609"/>
      <c r="UUO73" s="609"/>
      <c r="UUP73" s="609"/>
      <c r="UUQ73" s="609"/>
      <c r="UUR73" s="609"/>
      <c r="UUS73" s="609"/>
      <c r="UUT73" s="609"/>
      <c r="UUU73" s="609"/>
      <c r="UUV73" s="609"/>
      <c r="UUW73" s="609"/>
      <c r="UUX73" s="609"/>
      <c r="UUY73" s="609"/>
      <c r="UUZ73" s="609"/>
      <c r="UVA73" s="609"/>
      <c r="UVB73" s="609"/>
      <c r="UVC73" s="609"/>
      <c r="UVD73" s="609"/>
      <c r="UVE73" s="609"/>
      <c r="UVF73" s="609"/>
      <c r="UVG73" s="609"/>
      <c r="UVH73" s="609"/>
      <c r="UVI73" s="609"/>
      <c r="UVJ73" s="609"/>
      <c r="UVK73" s="609"/>
      <c r="UVL73" s="609"/>
      <c r="UVM73" s="609"/>
      <c r="UVN73" s="609"/>
      <c r="UVO73" s="609"/>
      <c r="UVP73" s="609"/>
      <c r="UVQ73" s="609"/>
      <c r="UVR73" s="609"/>
      <c r="UVS73" s="609"/>
      <c r="UVT73" s="609"/>
      <c r="UVU73" s="609"/>
      <c r="UVV73" s="609"/>
      <c r="UVW73" s="609"/>
      <c r="UVX73" s="609"/>
      <c r="UVY73" s="609"/>
      <c r="UVZ73" s="609"/>
      <c r="UWA73" s="609"/>
      <c r="UWB73" s="609"/>
      <c r="UWC73" s="609"/>
      <c r="UWD73" s="609"/>
      <c r="UWE73" s="609"/>
      <c r="UWF73" s="609"/>
      <c r="UWG73" s="609"/>
      <c r="UWH73" s="609"/>
      <c r="UWI73" s="609"/>
      <c r="UWJ73" s="609"/>
      <c r="UWK73" s="609"/>
      <c r="UWL73" s="609"/>
      <c r="UWM73" s="609"/>
      <c r="UWN73" s="609"/>
      <c r="UWO73" s="609"/>
      <c r="UWP73" s="609"/>
      <c r="UWQ73" s="609"/>
      <c r="UWR73" s="609"/>
      <c r="UWS73" s="609"/>
      <c r="UWT73" s="609"/>
      <c r="UWU73" s="609"/>
      <c r="UWV73" s="609"/>
      <c r="UWW73" s="609"/>
      <c r="UWX73" s="609"/>
      <c r="UWY73" s="609"/>
      <c r="UWZ73" s="609"/>
      <c r="UXA73" s="609"/>
      <c r="UXB73" s="609"/>
      <c r="UXC73" s="609"/>
      <c r="UXD73" s="609"/>
      <c r="UXE73" s="609"/>
      <c r="UXF73" s="609"/>
      <c r="UXG73" s="609"/>
      <c r="UXH73" s="609"/>
      <c r="UXI73" s="609"/>
      <c r="UXJ73" s="609"/>
      <c r="UXK73" s="609"/>
      <c r="UXL73" s="609"/>
      <c r="UXM73" s="609"/>
      <c r="UXN73" s="609"/>
      <c r="UXO73" s="609"/>
      <c r="UXP73" s="609"/>
      <c r="UXQ73" s="609"/>
      <c r="UXR73" s="609"/>
      <c r="UXS73" s="609"/>
      <c r="UXT73" s="609"/>
      <c r="UXU73" s="609"/>
      <c r="UXV73" s="609"/>
      <c r="UXW73" s="609"/>
      <c r="UXX73" s="609"/>
      <c r="UXY73" s="609"/>
      <c r="UXZ73" s="609"/>
      <c r="UYA73" s="609"/>
      <c r="UYB73" s="609"/>
      <c r="UYC73" s="609"/>
      <c r="UYD73" s="609"/>
      <c r="UYE73" s="609"/>
      <c r="UYF73" s="609"/>
      <c r="UYG73" s="609"/>
      <c r="UYH73" s="609"/>
      <c r="UYI73" s="609"/>
      <c r="UYJ73" s="609"/>
      <c r="UYK73" s="609"/>
      <c r="UYL73" s="609"/>
      <c r="UYM73" s="609"/>
      <c r="UYN73" s="609"/>
      <c r="UYO73" s="609"/>
      <c r="UYP73" s="609"/>
      <c r="UYQ73" s="609"/>
      <c r="UYR73" s="609"/>
      <c r="UYS73" s="609"/>
      <c r="UYT73" s="609"/>
      <c r="UYU73" s="609"/>
      <c r="UYV73" s="609"/>
      <c r="UYW73" s="609"/>
      <c r="UYX73" s="609"/>
      <c r="UYY73" s="609"/>
      <c r="UYZ73" s="609"/>
      <c r="UZA73" s="609"/>
      <c r="UZB73" s="609"/>
      <c r="UZC73" s="609"/>
      <c r="UZD73" s="609"/>
      <c r="UZE73" s="609"/>
      <c r="UZF73" s="609"/>
      <c r="UZG73" s="609"/>
      <c r="UZH73" s="609"/>
      <c r="UZI73" s="609"/>
      <c r="UZJ73" s="609"/>
      <c r="UZK73" s="609"/>
      <c r="UZL73" s="609"/>
      <c r="UZM73" s="609"/>
      <c r="UZN73" s="609"/>
      <c r="UZO73" s="609"/>
      <c r="UZP73" s="609"/>
      <c r="UZQ73" s="609"/>
      <c r="UZR73" s="609"/>
      <c r="UZS73" s="609"/>
      <c r="UZT73" s="609"/>
      <c r="UZU73" s="609"/>
      <c r="UZV73" s="609"/>
      <c r="UZW73" s="609"/>
      <c r="UZX73" s="609"/>
      <c r="UZY73" s="609"/>
      <c r="UZZ73" s="609"/>
      <c r="VAA73" s="609"/>
      <c r="VAB73" s="609"/>
      <c r="VAC73" s="609"/>
      <c r="VAD73" s="609"/>
      <c r="VAE73" s="609"/>
      <c r="VAF73" s="609"/>
      <c r="VAG73" s="609"/>
      <c r="VAH73" s="609"/>
      <c r="VAI73" s="609"/>
      <c r="VAJ73" s="609"/>
      <c r="VAK73" s="609"/>
      <c r="VAL73" s="609"/>
      <c r="VAM73" s="609"/>
      <c r="VAN73" s="609"/>
      <c r="VAO73" s="609"/>
      <c r="VAP73" s="609"/>
      <c r="VAQ73" s="609"/>
      <c r="VAR73" s="609"/>
      <c r="VAS73" s="609"/>
      <c r="VAT73" s="609"/>
      <c r="VAU73" s="609"/>
      <c r="VAV73" s="609"/>
      <c r="VAW73" s="609"/>
      <c r="VAX73" s="609"/>
      <c r="VAY73" s="609"/>
      <c r="VAZ73" s="609"/>
      <c r="VBA73" s="609"/>
      <c r="VBB73" s="609"/>
      <c r="VBC73" s="609"/>
      <c r="VBD73" s="609"/>
      <c r="VBE73" s="609"/>
      <c r="VBF73" s="609"/>
      <c r="VBG73" s="609"/>
      <c r="VBH73" s="609"/>
      <c r="VBI73" s="609"/>
      <c r="VBJ73" s="609"/>
      <c r="VBK73" s="609"/>
      <c r="VBL73" s="609"/>
      <c r="VBM73" s="609"/>
      <c r="VBN73" s="609"/>
      <c r="VBO73" s="609"/>
      <c r="VBP73" s="609"/>
      <c r="VBQ73" s="609"/>
      <c r="VBR73" s="609"/>
      <c r="VBS73" s="609"/>
      <c r="VBT73" s="609"/>
      <c r="VBU73" s="609"/>
      <c r="VBV73" s="609"/>
      <c r="VBW73" s="609"/>
      <c r="VBX73" s="609"/>
      <c r="VBY73" s="609"/>
      <c r="VBZ73" s="609"/>
      <c r="VCA73" s="609"/>
      <c r="VCB73" s="609"/>
      <c r="VCC73" s="609"/>
      <c r="VCD73" s="609"/>
      <c r="VCE73" s="609"/>
      <c r="VCF73" s="609"/>
      <c r="VCG73" s="609"/>
      <c r="VCH73" s="609"/>
      <c r="VCI73" s="609"/>
      <c r="VCJ73" s="609"/>
      <c r="VCK73" s="609"/>
      <c r="VCL73" s="609"/>
      <c r="VCM73" s="609"/>
      <c r="VCN73" s="609"/>
      <c r="VCO73" s="609"/>
      <c r="VCP73" s="609"/>
      <c r="VCQ73" s="609"/>
      <c r="VCR73" s="609"/>
      <c r="VCS73" s="609"/>
      <c r="VCT73" s="609"/>
      <c r="VCU73" s="609"/>
      <c r="VCV73" s="609"/>
      <c r="VCW73" s="609"/>
      <c r="VCX73" s="609"/>
      <c r="VCY73" s="609"/>
      <c r="VCZ73" s="609"/>
      <c r="VDA73" s="609"/>
      <c r="VDB73" s="609"/>
      <c r="VDC73" s="609"/>
      <c r="VDD73" s="609"/>
      <c r="VDE73" s="609"/>
      <c r="VDF73" s="609"/>
      <c r="VDG73" s="609"/>
      <c r="VDH73" s="609"/>
      <c r="VDI73" s="609"/>
      <c r="VDJ73" s="609"/>
      <c r="VDK73" s="609"/>
      <c r="VDL73" s="609"/>
      <c r="VDM73" s="609"/>
      <c r="VDN73" s="609"/>
      <c r="VDO73" s="609"/>
      <c r="VDP73" s="609"/>
      <c r="VDQ73" s="609"/>
      <c r="VDR73" s="609"/>
      <c r="VDS73" s="609"/>
      <c r="VDT73" s="609"/>
      <c r="VDU73" s="609"/>
      <c r="VDV73" s="609"/>
      <c r="VDW73" s="609"/>
      <c r="VDX73" s="609"/>
      <c r="VDY73" s="609"/>
      <c r="VDZ73" s="609"/>
      <c r="VEA73" s="609"/>
      <c r="VEB73" s="609"/>
      <c r="VEC73" s="609"/>
      <c r="VED73" s="609"/>
      <c r="VEE73" s="609"/>
      <c r="VEF73" s="609"/>
      <c r="VEG73" s="609"/>
      <c r="VEH73" s="609"/>
      <c r="VEI73" s="609"/>
      <c r="VEJ73" s="609"/>
      <c r="VEK73" s="609"/>
      <c r="VEL73" s="609"/>
      <c r="VEM73" s="609"/>
      <c r="VEN73" s="609"/>
      <c r="VEO73" s="609"/>
      <c r="VEP73" s="609"/>
      <c r="VEQ73" s="609"/>
      <c r="VER73" s="609"/>
      <c r="VES73" s="609"/>
      <c r="VET73" s="609"/>
      <c r="VEU73" s="609"/>
      <c r="VEV73" s="609"/>
      <c r="VEW73" s="609"/>
      <c r="VEX73" s="609"/>
      <c r="VEY73" s="609"/>
      <c r="VEZ73" s="609"/>
      <c r="VFA73" s="609"/>
      <c r="VFB73" s="609"/>
      <c r="VFC73" s="609"/>
      <c r="VFD73" s="609"/>
      <c r="VFE73" s="609"/>
      <c r="VFF73" s="609"/>
      <c r="VFG73" s="609"/>
      <c r="VFH73" s="609"/>
      <c r="VFI73" s="609"/>
      <c r="VFJ73" s="609"/>
      <c r="VFK73" s="609"/>
      <c r="VFL73" s="609"/>
      <c r="VFM73" s="609"/>
      <c r="VFN73" s="609"/>
      <c r="VFO73" s="609"/>
      <c r="VFP73" s="609"/>
      <c r="VFQ73" s="609"/>
      <c r="VFR73" s="609"/>
      <c r="VFS73" s="609"/>
      <c r="VFT73" s="609"/>
      <c r="VFU73" s="609"/>
      <c r="VFV73" s="609"/>
      <c r="VFW73" s="609"/>
      <c r="VFX73" s="609"/>
      <c r="VFY73" s="609"/>
      <c r="VFZ73" s="609"/>
      <c r="VGA73" s="609"/>
      <c r="VGB73" s="609"/>
      <c r="VGC73" s="609"/>
      <c r="VGD73" s="609"/>
      <c r="VGE73" s="609"/>
      <c r="VGF73" s="609"/>
      <c r="VGG73" s="609"/>
      <c r="VGH73" s="609"/>
      <c r="VGI73" s="609"/>
      <c r="VGJ73" s="609"/>
      <c r="VGK73" s="609"/>
      <c r="VGL73" s="609"/>
      <c r="VGM73" s="609"/>
      <c r="VGN73" s="609"/>
      <c r="VGO73" s="609"/>
      <c r="VGP73" s="609"/>
      <c r="VGQ73" s="609"/>
      <c r="VGR73" s="609"/>
      <c r="VGS73" s="609"/>
      <c r="VGT73" s="609"/>
      <c r="VGU73" s="609"/>
      <c r="VGV73" s="609"/>
      <c r="VGW73" s="609"/>
      <c r="VGX73" s="609"/>
      <c r="VGY73" s="609"/>
      <c r="VGZ73" s="609"/>
      <c r="VHA73" s="609"/>
      <c r="VHB73" s="609"/>
      <c r="VHC73" s="609"/>
      <c r="VHD73" s="609"/>
      <c r="VHE73" s="609"/>
      <c r="VHF73" s="609"/>
      <c r="VHG73" s="609"/>
      <c r="VHH73" s="609"/>
      <c r="VHI73" s="609"/>
      <c r="VHJ73" s="609"/>
      <c r="VHK73" s="609"/>
      <c r="VHL73" s="609"/>
      <c r="VHM73" s="609"/>
      <c r="VHN73" s="609"/>
      <c r="VHO73" s="609"/>
      <c r="VHP73" s="609"/>
      <c r="VHQ73" s="609"/>
      <c r="VHR73" s="609"/>
      <c r="VHS73" s="609"/>
      <c r="VHT73" s="609"/>
      <c r="VHU73" s="609"/>
      <c r="VHV73" s="609"/>
      <c r="VHW73" s="609"/>
      <c r="VHX73" s="609"/>
      <c r="VHY73" s="609"/>
      <c r="VHZ73" s="609"/>
      <c r="VIA73" s="609"/>
      <c r="VIB73" s="609"/>
      <c r="VIC73" s="609"/>
      <c r="VID73" s="609"/>
      <c r="VIE73" s="609"/>
      <c r="VIF73" s="609"/>
      <c r="VIG73" s="609"/>
      <c r="VIH73" s="609"/>
      <c r="VII73" s="609"/>
      <c r="VIJ73" s="609"/>
      <c r="VIK73" s="609"/>
      <c r="VIL73" s="609"/>
      <c r="VIM73" s="609"/>
      <c r="VIN73" s="609"/>
      <c r="VIO73" s="609"/>
      <c r="VIP73" s="609"/>
      <c r="VIQ73" s="609"/>
      <c r="VIR73" s="609"/>
      <c r="VIS73" s="609"/>
      <c r="VIT73" s="609"/>
      <c r="VIU73" s="609"/>
      <c r="VIV73" s="609"/>
      <c r="VIW73" s="609"/>
      <c r="VIX73" s="609"/>
      <c r="VIY73" s="609"/>
      <c r="VIZ73" s="609"/>
      <c r="VJA73" s="609"/>
      <c r="VJB73" s="609"/>
      <c r="VJC73" s="609"/>
      <c r="VJD73" s="609"/>
      <c r="VJE73" s="609"/>
      <c r="VJF73" s="609"/>
      <c r="VJG73" s="609"/>
      <c r="VJH73" s="609"/>
      <c r="VJI73" s="609"/>
      <c r="VJJ73" s="609"/>
      <c r="VJK73" s="609"/>
      <c r="VJL73" s="609"/>
      <c r="VJM73" s="609"/>
      <c r="VJN73" s="609"/>
      <c r="VJO73" s="609"/>
      <c r="VJP73" s="609"/>
      <c r="VJQ73" s="609"/>
      <c r="VJR73" s="609"/>
      <c r="VJS73" s="609"/>
      <c r="VJT73" s="609"/>
      <c r="VJU73" s="609"/>
      <c r="VJV73" s="609"/>
      <c r="VJW73" s="609"/>
      <c r="VJX73" s="609"/>
      <c r="VJY73" s="609"/>
      <c r="VJZ73" s="609"/>
      <c r="VKA73" s="609"/>
      <c r="VKB73" s="609"/>
      <c r="VKC73" s="609"/>
      <c r="VKD73" s="609"/>
      <c r="VKE73" s="609"/>
      <c r="VKF73" s="609"/>
      <c r="VKG73" s="609"/>
      <c r="VKH73" s="609"/>
      <c r="VKI73" s="609"/>
      <c r="VKJ73" s="609"/>
      <c r="VKK73" s="609"/>
      <c r="VKL73" s="609"/>
      <c r="VKM73" s="609"/>
      <c r="VKN73" s="609"/>
      <c r="VKO73" s="609"/>
      <c r="VKP73" s="609"/>
      <c r="VKQ73" s="609"/>
      <c r="VKR73" s="609"/>
      <c r="VKS73" s="609"/>
      <c r="VKT73" s="609"/>
      <c r="VKU73" s="609"/>
      <c r="VKV73" s="609"/>
      <c r="VKW73" s="609"/>
      <c r="VKX73" s="609"/>
      <c r="VKY73" s="609"/>
      <c r="VKZ73" s="609"/>
      <c r="VLA73" s="609"/>
      <c r="VLB73" s="609"/>
      <c r="VLC73" s="609"/>
      <c r="VLD73" s="609"/>
      <c r="VLE73" s="609"/>
      <c r="VLF73" s="609"/>
      <c r="VLG73" s="609"/>
      <c r="VLH73" s="609"/>
      <c r="VLI73" s="609"/>
      <c r="VLJ73" s="609"/>
      <c r="VLK73" s="609"/>
      <c r="VLL73" s="609"/>
      <c r="VLM73" s="609"/>
      <c r="VLN73" s="609"/>
      <c r="VLO73" s="609"/>
      <c r="VLP73" s="609"/>
      <c r="VLQ73" s="609"/>
      <c r="VLR73" s="609"/>
      <c r="VLS73" s="609"/>
      <c r="VLT73" s="609"/>
      <c r="VLU73" s="609"/>
      <c r="VLV73" s="609"/>
      <c r="VLW73" s="609"/>
      <c r="VLX73" s="609"/>
      <c r="VLY73" s="609"/>
      <c r="VLZ73" s="609"/>
      <c r="VMA73" s="609"/>
      <c r="VMB73" s="609"/>
      <c r="VMC73" s="609"/>
      <c r="VMD73" s="609"/>
      <c r="VME73" s="609"/>
      <c r="VMF73" s="609"/>
      <c r="VMG73" s="609"/>
      <c r="VMH73" s="609"/>
      <c r="VMI73" s="609"/>
      <c r="VMJ73" s="609"/>
      <c r="VMK73" s="609"/>
      <c r="VML73" s="609"/>
      <c r="VMM73" s="609"/>
      <c r="VMN73" s="609"/>
      <c r="VMO73" s="609"/>
      <c r="VMP73" s="609"/>
      <c r="VMQ73" s="609"/>
      <c r="VMR73" s="609"/>
      <c r="VMS73" s="609"/>
      <c r="VMT73" s="609"/>
      <c r="VMU73" s="609"/>
      <c r="VMV73" s="609"/>
      <c r="VMW73" s="609"/>
      <c r="VMX73" s="609"/>
      <c r="VMY73" s="609"/>
      <c r="VMZ73" s="609"/>
      <c r="VNA73" s="609"/>
      <c r="VNB73" s="609"/>
      <c r="VNC73" s="609"/>
      <c r="VND73" s="609"/>
      <c r="VNE73" s="609"/>
      <c r="VNF73" s="609"/>
      <c r="VNG73" s="609"/>
      <c r="VNH73" s="609"/>
      <c r="VNI73" s="609"/>
      <c r="VNJ73" s="609"/>
      <c r="VNK73" s="609"/>
      <c r="VNL73" s="609"/>
      <c r="VNM73" s="609"/>
      <c r="VNN73" s="609"/>
      <c r="VNO73" s="609"/>
      <c r="VNP73" s="609"/>
      <c r="VNQ73" s="609"/>
      <c r="VNR73" s="609"/>
      <c r="VNS73" s="609"/>
      <c r="VNT73" s="609"/>
      <c r="VNU73" s="609"/>
      <c r="VNV73" s="609"/>
      <c r="VNW73" s="609"/>
      <c r="VNX73" s="609"/>
      <c r="VNY73" s="609"/>
      <c r="VNZ73" s="609"/>
      <c r="VOA73" s="609"/>
      <c r="VOB73" s="609"/>
      <c r="VOC73" s="609"/>
      <c r="VOD73" s="609"/>
      <c r="VOE73" s="609"/>
      <c r="VOF73" s="609"/>
      <c r="VOG73" s="609"/>
      <c r="VOH73" s="609"/>
      <c r="VOI73" s="609"/>
      <c r="VOJ73" s="609"/>
      <c r="VOK73" s="609"/>
      <c r="VOL73" s="609"/>
      <c r="VOM73" s="609"/>
      <c r="VON73" s="609"/>
      <c r="VOO73" s="609"/>
      <c r="VOP73" s="609"/>
      <c r="VOQ73" s="609"/>
      <c r="VOR73" s="609"/>
      <c r="VOS73" s="609"/>
      <c r="VOT73" s="609"/>
      <c r="VOU73" s="609"/>
      <c r="VOV73" s="609"/>
      <c r="VOW73" s="609"/>
      <c r="VOX73" s="609"/>
      <c r="VOY73" s="609"/>
      <c r="VOZ73" s="609"/>
      <c r="VPA73" s="609"/>
      <c r="VPB73" s="609"/>
      <c r="VPC73" s="609"/>
      <c r="VPD73" s="609"/>
      <c r="VPE73" s="609"/>
      <c r="VPF73" s="609"/>
      <c r="VPG73" s="609"/>
      <c r="VPH73" s="609"/>
      <c r="VPI73" s="609"/>
      <c r="VPJ73" s="609"/>
      <c r="VPK73" s="609"/>
      <c r="VPL73" s="609"/>
      <c r="VPM73" s="609"/>
      <c r="VPN73" s="609"/>
      <c r="VPO73" s="609"/>
      <c r="VPP73" s="609"/>
      <c r="VPQ73" s="609"/>
      <c r="VPR73" s="609"/>
      <c r="VPS73" s="609"/>
      <c r="VPT73" s="609"/>
      <c r="VPU73" s="609"/>
      <c r="VPV73" s="609"/>
      <c r="VPW73" s="609"/>
      <c r="VPX73" s="609"/>
      <c r="VPY73" s="609"/>
      <c r="VPZ73" s="609"/>
      <c r="VQA73" s="609"/>
      <c r="VQB73" s="609"/>
      <c r="VQC73" s="609"/>
      <c r="VQD73" s="609"/>
      <c r="VQE73" s="609"/>
      <c r="VQF73" s="609"/>
      <c r="VQG73" s="609"/>
      <c r="VQH73" s="609"/>
      <c r="VQI73" s="609"/>
      <c r="VQJ73" s="609"/>
      <c r="VQK73" s="609"/>
      <c r="VQL73" s="609"/>
      <c r="VQM73" s="609"/>
      <c r="VQN73" s="609"/>
      <c r="VQO73" s="609"/>
      <c r="VQP73" s="609"/>
      <c r="VQQ73" s="609"/>
      <c r="VQR73" s="609"/>
      <c r="VQS73" s="609"/>
      <c r="VQT73" s="609"/>
      <c r="VQU73" s="609"/>
      <c r="VQV73" s="609"/>
      <c r="VQW73" s="609"/>
      <c r="VQX73" s="609"/>
      <c r="VQY73" s="609"/>
      <c r="VQZ73" s="609"/>
      <c r="VRA73" s="609"/>
      <c r="VRB73" s="609"/>
      <c r="VRC73" s="609"/>
      <c r="VRD73" s="609"/>
      <c r="VRE73" s="609"/>
      <c r="VRF73" s="609"/>
      <c r="VRG73" s="609"/>
      <c r="VRH73" s="609"/>
      <c r="VRI73" s="609"/>
      <c r="VRJ73" s="609"/>
      <c r="VRK73" s="609"/>
      <c r="VRL73" s="609"/>
      <c r="VRM73" s="609"/>
      <c r="VRN73" s="609"/>
      <c r="VRO73" s="609"/>
      <c r="VRP73" s="609"/>
      <c r="VRQ73" s="609"/>
      <c r="VRR73" s="609"/>
      <c r="VRS73" s="609"/>
      <c r="VRT73" s="609"/>
      <c r="VRU73" s="609"/>
      <c r="VRV73" s="609"/>
      <c r="VRW73" s="609"/>
      <c r="VRX73" s="609"/>
      <c r="VRY73" s="609"/>
      <c r="VRZ73" s="609"/>
      <c r="VSA73" s="609"/>
      <c r="VSB73" s="609"/>
      <c r="VSC73" s="609"/>
      <c r="VSD73" s="609"/>
      <c r="VSE73" s="609"/>
      <c r="VSF73" s="609"/>
      <c r="VSG73" s="609"/>
      <c r="VSH73" s="609"/>
      <c r="VSI73" s="609"/>
      <c r="VSJ73" s="609"/>
      <c r="VSK73" s="609"/>
      <c r="VSL73" s="609"/>
      <c r="VSM73" s="609"/>
      <c r="VSN73" s="609"/>
      <c r="VSO73" s="609"/>
      <c r="VSP73" s="609"/>
      <c r="VSQ73" s="609"/>
      <c r="VSR73" s="609"/>
      <c r="VSS73" s="609"/>
      <c r="VST73" s="609"/>
      <c r="VSU73" s="609"/>
      <c r="VSV73" s="609"/>
      <c r="VSW73" s="609"/>
      <c r="VSX73" s="609"/>
      <c r="VSY73" s="609"/>
      <c r="VSZ73" s="609"/>
      <c r="VTA73" s="609"/>
      <c r="VTB73" s="609"/>
      <c r="VTC73" s="609"/>
      <c r="VTD73" s="609"/>
      <c r="VTE73" s="609"/>
      <c r="VTF73" s="609"/>
      <c r="VTG73" s="609"/>
      <c r="VTH73" s="609"/>
      <c r="VTI73" s="609"/>
      <c r="VTJ73" s="609"/>
      <c r="VTK73" s="609"/>
      <c r="VTL73" s="609"/>
      <c r="VTM73" s="609"/>
      <c r="VTN73" s="609"/>
      <c r="VTO73" s="609"/>
      <c r="VTP73" s="609"/>
      <c r="VTQ73" s="609"/>
      <c r="VTR73" s="609"/>
      <c r="VTS73" s="609"/>
      <c r="VTT73" s="609"/>
      <c r="VTU73" s="609"/>
      <c r="VTV73" s="609"/>
      <c r="VTW73" s="609"/>
      <c r="VTX73" s="609"/>
      <c r="VTY73" s="609"/>
      <c r="VTZ73" s="609"/>
      <c r="VUA73" s="609"/>
      <c r="VUB73" s="609"/>
      <c r="VUC73" s="609"/>
      <c r="VUD73" s="609"/>
      <c r="VUE73" s="609"/>
      <c r="VUF73" s="609"/>
      <c r="VUG73" s="609"/>
      <c r="VUH73" s="609"/>
      <c r="VUI73" s="609"/>
      <c r="VUJ73" s="609"/>
      <c r="VUK73" s="609"/>
      <c r="VUL73" s="609"/>
      <c r="VUM73" s="609"/>
      <c r="VUN73" s="609"/>
      <c r="VUO73" s="609"/>
      <c r="VUP73" s="609"/>
      <c r="VUQ73" s="609"/>
      <c r="VUR73" s="609"/>
      <c r="VUS73" s="609"/>
      <c r="VUT73" s="609"/>
      <c r="VUU73" s="609"/>
      <c r="VUV73" s="609"/>
      <c r="VUW73" s="609"/>
      <c r="VUX73" s="609"/>
      <c r="VUY73" s="609"/>
      <c r="VUZ73" s="609"/>
      <c r="VVA73" s="609"/>
      <c r="VVB73" s="609"/>
      <c r="VVC73" s="609"/>
      <c r="VVD73" s="609"/>
      <c r="VVE73" s="609"/>
      <c r="VVF73" s="609"/>
      <c r="VVG73" s="609"/>
      <c r="VVH73" s="609"/>
      <c r="VVI73" s="609"/>
      <c r="VVJ73" s="609"/>
      <c r="VVK73" s="609"/>
      <c r="VVL73" s="609"/>
      <c r="VVM73" s="609"/>
      <c r="VVN73" s="609"/>
      <c r="VVO73" s="609"/>
      <c r="VVP73" s="609"/>
      <c r="VVQ73" s="609"/>
      <c r="VVR73" s="609"/>
      <c r="VVS73" s="609"/>
      <c r="VVT73" s="609"/>
      <c r="VVU73" s="609"/>
      <c r="VVV73" s="609"/>
      <c r="VVW73" s="609"/>
      <c r="VVX73" s="609"/>
      <c r="VVY73" s="609"/>
      <c r="VVZ73" s="609"/>
      <c r="VWA73" s="609"/>
      <c r="VWB73" s="609"/>
      <c r="VWC73" s="609"/>
      <c r="VWD73" s="609"/>
      <c r="VWE73" s="609"/>
      <c r="VWF73" s="609"/>
      <c r="VWG73" s="609"/>
      <c r="VWH73" s="609"/>
      <c r="VWI73" s="609"/>
      <c r="VWJ73" s="609"/>
      <c r="VWK73" s="609"/>
      <c r="VWL73" s="609"/>
      <c r="VWM73" s="609"/>
      <c r="VWN73" s="609"/>
      <c r="VWO73" s="609"/>
      <c r="VWP73" s="609"/>
      <c r="VWQ73" s="609"/>
      <c r="VWR73" s="609"/>
      <c r="VWS73" s="609"/>
      <c r="VWT73" s="609"/>
      <c r="VWU73" s="609"/>
      <c r="VWV73" s="609"/>
      <c r="VWW73" s="609"/>
      <c r="VWX73" s="609"/>
      <c r="VWY73" s="609"/>
      <c r="VWZ73" s="609"/>
      <c r="VXA73" s="609"/>
      <c r="VXB73" s="609"/>
      <c r="VXC73" s="609"/>
      <c r="VXD73" s="609"/>
      <c r="VXE73" s="609"/>
      <c r="VXF73" s="609"/>
      <c r="VXG73" s="609"/>
      <c r="VXH73" s="609"/>
      <c r="VXI73" s="609"/>
      <c r="VXJ73" s="609"/>
      <c r="VXK73" s="609"/>
      <c r="VXL73" s="609"/>
      <c r="VXM73" s="609"/>
      <c r="VXN73" s="609"/>
      <c r="VXO73" s="609"/>
      <c r="VXP73" s="609"/>
      <c r="VXQ73" s="609"/>
      <c r="VXR73" s="609"/>
      <c r="VXS73" s="609"/>
      <c r="VXT73" s="609"/>
      <c r="VXU73" s="609"/>
      <c r="VXV73" s="609"/>
      <c r="VXW73" s="609"/>
      <c r="VXX73" s="609"/>
      <c r="VXY73" s="609"/>
      <c r="VXZ73" s="609"/>
      <c r="VYA73" s="609"/>
      <c r="VYB73" s="609"/>
      <c r="VYC73" s="609"/>
      <c r="VYD73" s="609"/>
      <c r="VYE73" s="609"/>
      <c r="VYF73" s="609"/>
      <c r="VYG73" s="609"/>
      <c r="VYH73" s="609"/>
      <c r="VYI73" s="609"/>
      <c r="VYJ73" s="609"/>
      <c r="VYK73" s="609"/>
      <c r="VYL73" s="609"/>
      <c r="VYM73" s="609"/>
      <c r="VYN73" s="609"/>
      <c r="VYO73" s="609"/>
      <c r="VYP73" s="609"/>
      <c r="VYQ73" s="609"/>
      <c r="VYR73" s="609"/>
      <c r="VYS73" s="609"/>
      <c r="VYT73" s="609"/>
      <c r="VYU73" s="609"/>
      <c r="VYV73" s="609"/>
      <c r="VYW73" s="609"/>
      <c r="VYX73" s="609"/>
      <c r="VYY73" s="609"/>
      <c r="VYZ73" s="609"/>
      <c r="VZA73" s="609"/>
      <c r="VZB73" s="609"/>
      <c r="VZC73" s="609"/>
      <c r="VZD73" s="609"/>
      <c r="VZE73" s="609"/>
      <c r="VZF73" s="609"/>
      <c r="VZG73" s="609"/>
      <c r="VZH73" s="609"/>
      <c r="VZI73" s="609"/>
      <c r="VZJ73" s="609"/>
      <c r="VZK73" s="609"/>
      <c r="VZL73" s="609"/>
      <c r="VZM73" s="609"/>
      <c r="VZN73" s="609"/>
      <c r="VZO73" s="609"/>
      <c r="VZP73" s="609"/>
      <c r="VZQ73" s="609"/>
      <c r="VZR73" s="609"/>
      <c r="VZS73" s="609"/>
      <c r="VZT73" s="609"/>
      <c r="VZU73" s="609"/>
      <c r="VZV73" s="609"/>
      <c r="VZW73" s="609"/>
      <c r="VZX73" s="609"/>
      <c r="VZY73" s="609"/>
      <c r="VZZ73" s="609"/>
      <c r="WAA73" s="609"/>
      <c r="WAB73" s="609"/>
      <c r="WAC73" s="609"/>
      <c r="WAD73" s="609"/>
      <c r="WAE73" s="609"/>
      <c r="WAF73" s="609"/>
      <c r="WAG73" s="609"/>
      <c r="WAH73" s="609"/>
      <c r="WAI73" s="609"/>
      <c r="WAJ73" s="609"/>
      <c r="WAK73" s="609"/>
      <c r="WAL73" s="609"/>
      <c r="WAM73" s="609"/>
      <c r="WAN73" s="609"/>
      <c r="WAO73" s="609"/>
      <c r="WAP73" s="609"/>
      <c r="WAQ73" s="609"/>
      <c r="WAR73" s="609"/>
      <c r="WAS73" s="609"/>
      <c r="WAT73" s="609"/>
      <c r="WAU73" s="609"/>
      <c r="WAV73" s="609"/>
      <c r="WAW73" s="609"/>
      <c r="WAX73" s="609"/>
      <c r="WAY73" s="609"/>
      <c r="WAZ73" s="609"/>
      <c r="WBA73" s="609"/>
      <c r="WBB73" s="609"/>
      <c r="WBC73" s="609"/>
      <c r="WBD73" s="609"/>
      <c r="WBE73" s="609"/>
      <c r="WBF73" s="609"/>
      <c r="WBG73" s="609"/>
      <c r="WBH73" s="609"/>
      <c r="WBI73" s="609"/>
      <c r="WBJ73" s="609"/>
      <c r="WBK73" s="609"/>
      <c r="WBL73" s="609"/>
      <c r="WBM73" s="609"/>
      <c r="WBN73" s="609"/>
      <c r="WBO73" s="609"/>
      <c r="WBP73" s="609"/>
      <c r="WBQ73" s="609"/>
      <c r="WBR73" s="609"/>
      <c r="WBS73" s="609"/>
      <c r="WBT73" s="609"/>
      <c r="WBU73" s="609"/>
      <c r="WBV73" s="609"/>
      <c r="WBW73" s="609"/>
      <c r="WBX73" s="609"/>
      <c r="WBY73" s="609"/>
      <c r="WBZ73" s="609"/>
      <c r="WCA73" s="609"/>
      <c r="WCB73" s="609"/>
      <c r="WCC73" s="609"/>
      <c r="WCD73" s="609"/>
      <c r="WCE73" s="609"/>
      <c r="WCF73" s="609"/>
      <c r="WCG73" s="609"/>
      <c r="WCH73" s="609"/>
      <c r="WCI73" s="609"/>
      <c r="WCJ73" s="609"/>
      <c r="WCK73" s="609"/>
      <c r="WCL73" s="609"/>
      <c r="WCM73" s="609"/>
      <c r="WCN73" s="609"/>
      <c r="WCO73" s="609"/>
      <c r="WCP73" s="609"/>
      <c r="WCQ73" s="609"/>
      <c r="WCR73" s="609"/>
      <c r="WCS73" s="609"/>
      <c r="WCT73" s="609"/>
      <c r="WCU73" s="609"/>
      <c r="WCV73" s="609"/>
      <c r="WCW73" s="609"/>
      <c r="WCX73" s="609"/>
      <c r="WCY73" s="609"/>
      <c r="WCZ73" s="609"/>
      <c r="WDA73" s="609"/>
      <c r="WDB73" s="609"/>
      <c r="WDC73" s="609"/>
      <c r="WDD73" s="609"/>
      <c r="WDE73" s="609"/>
      <c r="WDF73" s="609"/>
      <c r="WDG73" s="609"/>
      <c r="WDH73" s="609"/>
      <c r="WDI73" s="609"/>
      <c r="WDJ73" s="609"/>
      <c r="WDK73" s="609"/>
      <c r="WDL73" s="609"/>
      <c r="WDM73" s="609"/>
      <c r="WDN73" s="609"/>
      <c r="WDO73" s="609"/>
      <c r="WDP73" s="609"/>
      <c r="WDQ73" s="609"/>
      <c r="WDR73" s="609"/>
      <c r="WDS73" s="609"/>
      <c r="WDT73" s="609"/>
      <c r="WDU73" s="609"/>
      <c r="WDV73" s="609"/>
      <c r="WDW73" s="609"/>
      <c r="WDX73" s="609"/>
      <c r="WDY73" s="609"/>
      <c r="WDZ73" s="609"/>
      <c r="WEA73" s="609"/>
      <c r="WEB73" s="609"/>
      <c r="WEC73" s="609"/>
      <c r="WED73" s="609"/>
      <c r="WEE73" s="609"/>
      <c r="WEF73" s="609"/>
      <c r="WEG73" s="609"/>
      <c r="WEH73" s="609"/>
      <c r="WEI73" s="609"/>
      <c r="WEJ73" s="609"/>
      <c r="WEK73" s="609"/>
      <c r="WEL73" s="609"/>
      <c r="WEM73" s="609"/>
      <c r="WEN73" s="609"/>
      <c r="WEO73" s="609"/>
      <c r="WEP73" s="609"/>
      <c r="WEQ73" s="609"/>
      <c r="WER73" s="609"/>
      <c r="WES73" s="609"/>
      <c r="WET73" s="609"/>
      <c r="WEU73" s="609"/>
      <c r="WEV73" s="609"/>
      <c r="WEW73" s="609"/>
      <c r="WEX73" s="609"/>
      <c r="WEY73" s="609"/>
      <c r="WEZ73" s="609"/>
      <c r="WFA73" s="609"/>
      <c r="WFB73" s="609"/>
      <c r="WFC73" s="609"/>
      <c r="WFD73" s="609"/>
      <c r="WFE73" s="609"/>
      <c r="WFF73" s="609"/>
      <c r="WFG73" s="609"/>
      <c r="WFH73" s="609"/>
      <c r="WFI73" s="609"/>
      <c r="WFJ73" s="609"/>
      <c r="WFK73" s="609"/>
      <c r="WFL73" s="609"/>
      <c r="WFM73" s="609"/>
      <c r="WFN73" s="609"/>
      <c r="WFO73" s="609"/>
      <c r="WFP73" s="609"/>
      <c r="WFQ73" s="609"/>
      <c r="WFR73" s="609"/>
      <c r="WFS73" s="609"/>
      <c r="WFT73" s="609"/>
      <c r="WFU73" s="609"/>
      <c r="WFV73" s="609"/>
      <c r="WFW73" s="609"/>
      <c r="WFX73" s="609"/>
      <c r="WFY73" s="609"/>
      <c r="WFZ73" s="609"/>
      <c r="WGA73" s="609"/>
      <c r="WGB73" s="609"/>
      <c r="WGC73" s="609"/>
      <c r="WGD73" s="609"/>
      <c r="WGE73" s="609"/>
      <c r="WGF73" s="609"/>
      <c r="WGG73" s="609"/>
      <c r="WGH73" s="609"/>
      <c r="WGI73" s="609"/>
      <c r="WGJ73" s="609"/>
      <c r="WGK73" s="609"/>
      <c r="WGL73" s="609"/>
      <c r="WGM73" s="609"/>
      <c r="WGN73" s="609"/>
      <c r="WGO73" s="609"/>
      <c r="WGP73" s="609"/>
      <c r="WGQ73" s="609"/>
      <c r="WGR73" s="609"/>
      <c r="WGS73" s="609"/>
      <c r="WGT73" s="609"/>
      <c r="WGU73" s="609"/>
      <c r="WGV73" s="609"/>
      <c r="WGW73" s="609"/>
      <c r="WGX73" s="609"/>
      <c r="WGY73" s="609"/>
      <c r="WGZ73" s="609"/>
      <c r="WHA73" s="609"/>
      <c r="WHB73" s="609"/>
      <c r="WHC73" s="609"/>
      <c r="WHD73" s="609"/>
      <c r="WHE73" s="609"/>
      <c r="WHF73" s="609"/>
      <c r="WHG73" s="609"/>
      <c r="WHH73" s="609"/>
      <c r="WHI73" s="609"/>
      <c r="WHJ73" s="609"/>
      <c r="WHK73" s="609"/>
      <c r="WHL73" s="609"/>
      <c r="WHM73" s="609"/>
      <c r="WHN73" s="609"/>
      <c r="WHO73" s="609"/>
      <c r="WHP73" s="609"/>
      <c r="WHQ73" s="609"/>
      <c r="WHR73" s="609"/>
      <c r="WHS73" s="609"/>
      <c r="WHT73" s="609"/>
      <c r="WHU73" s="609"/>
      <c r="WHV73" s="609"/>
      <c r="WHW73" s="609"/>
      <c r="WHX73" s="609"/>
      <c r="WHY73" s="609"/>
      <c r="WHZ73" s="609"/>
      <c r="WIA73" s="609"/>
      <c r="WIB73" s="609"/>
      <c r="WIC73" s="609"/>
      <c r="WID73" s="609"/>
      <c r="WIE73" s="609"/>
      <c r="WIF73" s="609"/>
      <c r="WIG73" s="609"/>
      <c r="WIH73" s="609"/>
      <c r="WII73" s="609"/>
      <c r="WIJ73" s="609"/>
      <c r="WIK73" s="609"/>
      <c r="WIL73" s="609"/>
      <c r="WIM73" s="609"/>
      <c r="WIN73" s="609"/>
      <c r="WIO73" s="609"/>
      <c r="WIP73" s="609"/>
      <c r="WIQ73" s="609"/>
      <c r="WIR73" s="609"/>
      <c r="WIS73" s="609"/>
      <c r="WIT73" s="609"/>
      <c r="WIU73" s="609"/>
      <c r="WIV73" s="609"/>
      <c r="WIW73" s="609"/>
      <c r="WIX73" s="609"/>
      <c r="WIY73" s="609"/>
      <c r="WIZ73" s="609"/>
      <c r="WJA73" s="609"/>
      <c r="WJB73" s="609"/>
      <c r="WJC73" s="609"/>
      <c r="WJD73" s="609"/>
      <c r="WJE73" s="609"/>
      <c r="WJF73" s="609"/>
      <c r="WJG73" s="609"/>
      <c r="WJH73" s="609"/>
      <c r="WJI73" s="609"/>
      <c r="WJJ73" s="609"/>
      <c r="WJK73" s="609"/>
      <c r="WJL73" s="609"/>
      <c r="WJM73" s="609"/>
      <c r="WJN73" s="609"/>
      <c r="WJO73" s="609"/>
      <c r="WJP73" s="609"/>
      <c r="WJQ73" s="609"/>
      <c r="WJR73" s="609"/>
      <c r="WJS73" s="609"/>
      <c r="WJT73" s="609"/>
      <c r="WJU73" s="609"/>
      <c r="WJV73" s="609"/>
      <c r="WJW73" s="609"/>
      <c r="WJX73" s="609"/>
      <c r="WJY73" s="609"/>
      <c r="WJZ73" s="609"/>
      <c r="WKA73" s="609"/>
      <c r="WKB73" s="609"/>
      <c r="WKC73" s="609"/>
      <c r="WKD73" s="609"/>
      <c r="WKE73" s="609"/>
      <c r="WKF73" s="609"/>
      <c r="WKG73" s="609"/>
      <c r="WKH73" s="609"/>
      <c r="WKI73" s="609"/>
      <c r="WKJ73" s="609"/>
      <c r="WKK73" s="609"/>
      <c r="WKL73" s="609"/>
      <c r="WKM73" s="609"/>
      <c r="WKN73" s="609"/>
      <c r="WKO73" s="609"/>
      <c r="WKP73" s="609"/>
      <c r="WKQ73" s="609"/>
      <c r="WKR73" s="609"/>
      <c r="WKS73" s="609"/>
      <c r="WKT73" s="609"/>
      <c r="WKU73" s="609"/>
      <c r="WKV73" s="609"/>
      <c r="WKW73" s="609"/>
      <c r="WKX73" s="609"/>
      <c r="WKY73" s="609"/>
      <c r="WKZ73" s="609"/>
      <c r="WLA73" s="609"/>
      <c r="WLB73" s="609"/>
      <c r="WLC73" s="609"/>
      <c r="WLD73" s="609"/>
      <c r="WLE73" s="609"/>
      <c r="WLF73" s="609"/>
      <c r="WLG73" s="609"/>
      <c r="WLH73" s="609"/>
      <c r="WLI73" s="609"/>
      <c r="WLJ73" s="609"/>
      <c r="WLK73" s="609"/>
      <c r="WLL73" s="609"/>
      <c r="WLM73" s="609"/>
      <c r="WLN73" s="609"/>
      <c r="WLO73" s="609"/>
      <c r="WLP73" s="609"/>
      <c r="WLQ73" s="609"/>
      <c r="WLR73" s="609"/>
      <c r="WLS73" s="609"/>
      <c r="WLT73" s="609"/>
      <c r="WLU73" s="609"/>
      <c r="WLV73" s="609"/>
      <c r="WLW73" s="609"/>
      <c r="WLX73" s="609"/>
      <c r="WLY73" s="609"/>
      <c r="WLZ73" s="609"/>
      <c r="WMA73" s="609"/>
      <c r="WMB73" s="609"/>
      <c r="WMC73" s="609"/>
      <c r="WMD73" s="609"/>
      <c r="WME73" s="609"/>
      <c r="WMF73" s="609"/>
      <c r="WMG73" s="609"/>
      <c r="WMH73" s="609"/>
      <c r="WMI73" s="609"/>
      <c r="WMJ73" s="609"/>
      <c r="WMK73" s="609"/>
      <c r="WML73" s="609"/>
      <c r="WMM73" s="609"/>
      <c r="WMN73" s="609"/>
      <c r="WMO73" s="609"/>
      <c r="WMP73" s="609"/>
      <c r="WMQ73" s="609"/>
      <c r="WMR73" s="609"/>
      <c r="WMS73" s="609"/>
      <c r="WMT73" s="609"/>
      <c r="WMU73" s="609"/>
      <c r="WMV73" s="609"/>
      <c r="WMW73" s="609"/>
      <c r="WMX73" s="609"/>
      <c r="WMY73" s="609"/>
      <c r="WMZ73" s="609"/>
      <c r="WNA73" s="609"/>
      <c r="WNB73" s="609"/>
      <c r="WNC73" s="609"/>
      <c r="WND73" s="609"/>
      <c r="WNE73" s="609"/>
      <c r="WNF73" s="609"/>
      <c r="WNG73" s="609"/>
      <c r="WNH73" s="609"/>
      <c r="WNI73" s="609"/>
      <c r="WNJ73" s="609"/>
      <c r="WNK73" s="609"/>
      <c r="WNL73" s="609"/>
      <c r="WNM73" s="609"/>
      <c r="WNN73" s="609"/>
      <c r="WNO73" s="609"/>
      <c r="WNP73" s="609"/>
      <c r="WNQ73" s="609"/>
      <c r="WNR73" s="609"/>
      <c r="WNS73" s="609"/>
      <c r="WNT73" s="609"/>
      <c r="WNU73" s="609"/>
      <c r="WNV73" s="609"/>
      <c r="WNW73" s="609"/>
      <c r="WNX73" s="609"/>
      <c r="WNY73" s="609"/>
      <c r="WNZ73" s="609"/>
      <c r="WOA73" s="609"/>
      <c r="WOB73" s="609"/>
      <c r="WOC73" s="609"/>
      <c r="WOD73" s="609"/>
      <c r="WOE73" s="609"/>
      <c r="WOF73" s="609"/>
      <c r="WOG73" s="609"/>
      <c r="WOH73" s="609"/>
      <c r="WOI73" s="609"/>
      <c r="WOJ73" s="609"/>
      <c r="WOK73" s="609"/>
      <c r="WOL73" s="609"/>
      <c r="WOM73" s="609"/>
      <c r="WON73" s="609"/>
      <c r="WOO73" s="609"/>
      <c r="WOP73" s="609"/>
      <c r="WOQ73" s="609"/>
      <c r="WOR73" s="609"/>
      <c r="WOS73" s="609"/>
      <c r="WOT73" s="609"/>
      <c r="WOU73" s="609"/>
      <c r="WOV73" s="609"/>
      <c r="WOW73" s="609"/>
      <c r="WOX73" s="609"/>
      <c r="WOY73" s="609"/>
      <c r="WOZ73" s="609"/>
      <c r="WPA73" s="609"/>
      <c r="WPB73" s="609"/>
      <c r="WPC73" s="609"/>
      <c r="WPD73" s="609"/>
      <c r="WPE73" s="609"/>
      <c r="WPF73" s="609"/>
      <c r="WPG73" s="609"/>
      <c r="WPH73" s="609"/>
      <c r="WPI73" s="609"/>
      <c r="WPJ73" s="609"/>
      <c r="WPK73" s="609"/>
      <c r="WPL73" s="609"/>
      <c r="WPM73" s="609"/>
      <c r="WPN73" s="609"/>
      <c r="WPO73" s="609"/>
      <c r="WPP73" s="609"/>
      <c r="WPQ73" s="609"/>
      <c r="WPR73" s="609"/>
      <c r="WPS73" s="609"/>
      <c r="WPT73" s="609"/>
      <c r="WPU73" s="609"/>
      <c r="WPV73" s="609"/>
      <c r="WPW73" s="609"/>
      <c r="WPX73" s="609"/>
      <c r="WPY73" s="609"/>
      <c r="WPZ73" s="609"/>
      <c r="WQA73" s="609"/>
      <c r="WQB73" s="609"/>
      <c r="WQC73" s="609"/>
      <c r="WQD73" s="609"/>
      <c r="WQE73" s="609"/>
      <c r="WQF73" s="609"/>
      <c r="WQG73" s="609"/>
      <c r="WQH73" s="609"/>
      <c r="WQI73" s="609"/>
      <c r="WQJ73" s="609"/>
      <c r="WQK73" s="609"/>
      <c r="WQL73" s="609"/>
      <c r="WQM73" s="609"/>
      <c r="WQN73" s="609"/>
      <c r="WQO73" s="609"/>
      <c r="WQP73" s="609"/>
      <c r="WQQ73" s="609"/>
      <c r="WQR73" s="609"/>
      <c r="WQS73" s="609"/>
      <c r="WQT73" s="609"/>
      <c r="WQU73" s="609"/>
      <c r="WQV73" s="609"/>
      <c r="WQW73" s="609"/>
      <c r="WQX73" s="609"/>
      <c r="WQY73" s="609"/>
      <c r="WQZ73" s="609"/>
      <c r="WRA73" s="609"/>
      <c r="WRB73" s="609"/>
      <c r="WRC73" s="609"/>
      <c r="WRD73" s="609"/>
      <c r="WRE73" s="609"/>
      <c r="WRF73" s="609"/>
      <c r="WRG73" s="609"/>
      <c r="WRH73" s="609"/>
      <c r="WRI73" s="609"/>
      <c r="WRJ73" s="609"/>
      <c r="WRK73" s="609"/>
      <c r="WRL73" s="609"/>
      <c r="WRM73" s="609"/>
      <c r="WRN73" s="609"/>
      <c r="WRO73" s="609"/>
      <c r="WRP73" s="609"/>
      <c r="WRQ73" s="609"/>
      <c r="WRR73" s="609"/>
      <c r="WRS73" s="609"/>
      <c r="WRT73" s="609"/>
      <c r="WRU73" s="609"/>
      <c r="WRV73" s="609"/>
      <c r="WRW73" s="609"/>
      <c r="WRX73" s="609"/>
      <c r="WRY73" s="609"/>
      <c r="WRZ73" s="609"/>
      <c r="WSA73" s="609"/>
      <c r="WSB73" s="609"/>
      <c r="WSC73" s="609"/>
      <c r="WSD73" s="609"/>
      <c r="WSE73" s="609"/>
      <c r="WSF73" s="609"/>
      <c r="WSG73" s="609"/>
      <c r="WSH73" s="609"/>
      <c r="WSI73" s="609"/>
      <c r="WSJ73" s="609"/>
      <c r="WSK73" s="609"/>
      <c r="WSL73" s="609"/>
      <c r="WSM73" s="609"/>
      <c r="WSN73" s="609"/>
      <c r="WSO73" s="609"/>
      <c r="WSP73" s="609"/>
      <c r="WSQ73" s="609"/>
      <c r="WSR73" s="609"/>
      <c r="WSS73" s="609"/>
      <c r="WST73" s="609"/>
      <c r="WSU73" s="609"/>
      <c r="WSV73" s="609"/>
      <c r="WSW73" s="609"/>
      <c r="WSX73" s="609"/>
      <c r="WSY73" s="609"/>
      <c r="WSZ73" s="609"/>
      <c r="WTA73" s="609"/>
      <c r="WTB73" s="609"/>
      <c r="WTC73" s="609"/>
      <c r="WTD73" s="609"/>
      <c r="WTE73" s="609"/>
      <c r="WTF73" s="609"/>
      <c r="WTG73" s="609"/>
      <c r="WTH73" s="609"/>
      <c r="WTI73" s="609"/>
      <c r="WTJ73" s="609"/>
      <c r="WTK73" s="609"/>
      <c r="WTL73" s="609"/>
      <c r="WTM73" s="609"/>
      <c r="WTN73" s="609"/>
      <c r="WTO73" s="609"/>
      <c r="WTP73" s="609"/>
      <c r="WTQ73" s="609"/>
      <c r="WTR73" s="609"/>
      <c r="WTS73" s="609"/>
      <c r="WTT73" s="609"/>
      <c r="WTU73" s="609"/>
      <c r="WTV73" s="609"/>
      <c r="WTW73" s="609"/>
      <c r="WTX73" s="609"/>
      <c r="WTY73" s="609"/>
      <c r="WTZ73" s="609"/>
      <c r="WUA73" s="609"/>
      <c r="WUB73" s="609"/>
      <c r="WUC73" s="609"/>
      <c r="WUD73" s="609"/>
      <c r="WUE73" s="609"/>
      <c r="WUF73" s="609"/>
      <c r="WUG73" s="609"/>
      <c r="WUH73" s="609"/>
      <c r="WUI73" s="609"/>
      <c r="WUJ73" s="609"/>
      <c r="WUK73" s="609"/>
      <c r="WUL73" s="609"/>
      <c r="WUM73" s="609"/>
      <c r="WUN73" s="609"/>
      <c r="WUO73" s="609"/>
      <c r="WUP73" s="609"/>
      <c r="WUQ73" s="609"/>
      <c r="WUR73" s="609"/>
      <c r="WUS73" s="609"/>
      <c r="WUT73" s="609"/>
      <c r="WUU73" s="609"/>
      <c r="WUV73" s="609"/>
      <c r="WUW73" s="609"/>
      <c r="WUX73" s="609"/>
      <c r="WUY73" s="609"/>
      <c r="WUZ73" s="609"/>
      <c r="WVA73" s="609"/>
      <c r="WVB73" s="609"/>
      <c r="WVC73" s="609"/>
      <c r="WVD73" s="609"/>
      <c r="WVE73" s="609"/>
      <c r="WVF73" s="609"/>
      <c r="WVG73" s="609"/>
      <c r="WVH73" s="609"/>
      <c r="WVI73" s="609"/>
      <c r="WVJ73" s="609"/>
      <c r="WVK73" s="609"/>
      <c r="WVL73" s="609"/>
      <c r="WVM73" s="609"/>
      <c r="WVN73" s="609"/>
      <c r="WVO73" s="609"/>
      <c r="WVP73" s="609"/>
      <c r="WVQ73" s="609"/>
      <c r="WVR73" s="609"/>
      <c r="WVS73" s="609"/>
      <c r="WVT73" s="609"/>
      <c r="WVU73" s="609"/>
      <c r="WVV73" s="609"/>
      <c r="WVW73" s="609"/>
      <c r="WVX73" s="609"/>
      <c r="WVY73" s="609"/>
      <c r="WVZ73" s="609"/>
      <c r="WWA73" s="609"/>
      <c r="WWB73" s="609"/>
      <c r="WWC73" s="609"/>
      <c r="WWD73" s="609"/>
      <c r="WWE73" s="609"/>
      <c r="WWF73" s="609"/>
      <c r="WWG73" s="609"/>
      <c r="WWH73" s="609"/>
      <c r="WWI73" s="609"/>
      <c r="WWJ73" s="609"/>
      <c r="WWK73" s="609"/>
      <c r="WWL73" s="609"/>
      <c r="WWM73" s="609"/>
      <c r="WWN73" s="609"/>
      <c r="WWO73" s="609"/>
      <c r="WWP73" s="609"/>
      <c r="WWQ73" s="609"/>
      <c r="WWR73" s="609"/>
      <c r="WWS73" s="609"/>
      <c r="WWT73" s="609"/>
      <c r="WWU73" s="609"/>
      <c r="WWV73" s="609"/>
      <c r="WWW73" s="609"/>
      <c r="WWX73" s="609"/>
      <c r="WWY73" s="609"/>
      <c r="WWZ73" s="609"/>
      <c r="WXA73" s="609"/>
      <c r="WXB73" s="609"/>
      <c r="WXC73" s="609"/>
      <c r="WXD73" s="609"/>
      <c r="WXE73" s="609"/>
      <c r="WXF73" s="609"/>
      <c r="WXG73" s="609"/>
      <c r="WXH73" s="609"/>
      <c r="WXI73" s="609"/>
      <c r="WXJ73" s="609"/>
      <c r="WXK73" s="609"/>
      <c r="WXL73" s="609"/>
      <c r="WXM73" s="609"/>
      <c r="WXN73" s="609"/>
      <c r="WXO73" s="609"/>
      <c r="WXP73" s="609"/>
      <c r="WXQ73" s="609"/>
      <c r="WXR73" s="609"/>
      <c r="WXS73" s="609"/>
      <c r="WXT73" s="609"/>
      <c r="WXU73" s="609"/>
      <c r="WXV73" s="609"/>
      <c r="WXW73" s="609"/>
      <c r="WXX73" s="609"/>
      <c r="WXY73" s="609"/>
      <c r="WXZ73" s="609"/>
      <c r="WYA73" s="609"/>
      <c r="WYB73" s="609"/>
      <c r="WYC73" s="609"/>
      <c r="WYD73" s="609"/>
      <c r="WYE73" s="609"/>
      <c r="WYF73" s="609"/>
      <c r="WYG73" s="609"/>
      <c r="WYH73" s="609"/>
      <c r="WYI73" s="609"/>
      <c r="WYJ73" s="609"/>
      <c r="WYK73" s="609"/>
      <c r="WYL73" s="609"/>
      <c r="WYM73" s="609"/>
      <c r="WYN73" s="609"/>
      <c r="WYO73" s="609"/>
      <c r="WYP73" s="609"/>
      <c r="WYQ73" s="609"/>
      <c r="WYR73" s="609"/>
      <c r="WYS73" s="609"/>
      <c r="WYT73" s="609"/>
      <c r="WYU73" s="609"/>
      <c r="WYV73" s="609"/>
      <c r="WYW73" s="609"/>
      <c r="WYX73" s="609"/>
      <c r="WYY73" s="609"/>
      <c r="WYZ73" s="609"/>
      <c r="WZA73" s="609"/>
      <c r="WZB73" s="609"/>
      <c r="WZC73" s="609"/>
      <c r="WZD73" s="609"/>
      <c r="WZE73" s="609"/>
      <c r="WZF73" s="609"/>
      <c r="WZG73" s="609"/>
      <c r="WZH73" s="609"/>
      <c r="WZI73" s="609"/>
      <c r="WZJ73" s="609"/>
      <c r="WZK73" s="609"/>
      <c r="WZL73" s="609"/>
      <c r="WZM73" s="609"/>
      <c r="WZN73" s="609"/>
      <c r="WZO73" s="609"/>
      <c r="WZP73" s="609"/>
      <c r="WZQ73" s="609"/>
      <c r="WZR73" s="609"/>
      <c r="WZS73" s="609"/>
      <c r="WZT73" s="609"/>
      <c r="WZU73" s="609"/>
      <c r="WZV73" s="609"/>
      <c r="WZW73" s="609"/>
      <c r="WZX73" s="609"/>
      <c r="WZY73" s="609"/>
      <c r="WZZ73" s="609"/>
      <c r="XAA73" s="609"/>
      <c r="XAB73" s="609"/>
      <c r="XAC73" s="609"/>
      <c r="XAD73" s="609"/>
      <c r="XAE73" s="609"/>
      <c r="XAF73" s="609"/>
      <c r="XAG73" s="609"/>
      <c r="XAH73" s="609"/>
      <c r="XAI73" s="609"/>
      <c r="XAJ73" s="609"/>
      <c r="XAK73" s="609"/>
      <c r="XAL73" s="609"/>
      <c r="XAM73" s="609"/>
      <c r="XAN73" s="609"/>
      <c r="XAO73" s="609"/>
      <c r="XAP73" s="609"/>
      <c r="XAQ73" s="609"/>
      <c r="XAR73" s="609"/>
      <c r="XAS73" s="609"/>
      <c r="XAT73" s="609"/>
      <c r="XAU73" s="609"/>
      <c r="XAV73" s="609"/>
      <c r="XAW73" s="609"/>
      <c r="XAX73" s="609"/>
      <c r="XAY73" s="609"/>
      <c r="XAZ73" s="609"/>
      <c r="XBA73" s="609"/>
      <c r="XBB73" s="609"/>
      <c r="XBC73" s="609"/>
      <c r="XBD73" s="609"/>
      <c r="XBE73" s="609"/>
      <c r="XBF73" s="609"/>
      <c r="XBG73" s="609"/>
      <c r="XBH73" s="609"/>
      <c r="XBI73" s="609"/>
      <c r="XBJ73" s="609"/>
      <c r="XBK73" s="609"/>
      <c r="XBL73" s="609"/>
      <c r="XBM73" s="609"/>
      <c r="XBN73" s="609"/>
      <c r="XBO73" s="609"/>
      <c r="XBP73" s="609"/>
      <c r="XBQ73" s="609"/>
      <c r="XBR73" s="609"/>
      <c r="XBS73" s="609"/>
      <c r="XBT73" s="609"/>
      <c r="XBU73" s="609"/>
      <c r="XBV73" s="609"/>
      <c r="XBW73" s="609"/>
      <c r="XBX73" s="609"/>
      <c r="XBY73" s="609"/>
      <c r="XBZ73" s="609"/>
      <c r="XCA73" s="609"/>
      <c r="XCB73" s="609"/>
      <c r="XCC73" s="609"/>
      <c r="XCD73" s="609"/>
      <c r="XCE73" s="609"/>
      <c r="XCF73" s="609"/>
      <c r="XCG73" s="609"/>
      <c r="XCH73" s="609"/>
      <c r="XCI73" s="609"/>
      <c r="XCJ73" s="609"/>
      <c r="XCK73" s="609"/>
      <c r="XCL73" s="609"/>
      <c r="XCM73" s="609"/>
      <c r="XCN73" s="609"/>
      <c r="XCO73" s="609"/>
      <c r="XCP73" s="609"/>
      <c r="XCQ73" s="609"/>
      <c r="XCR73" s="609"/>
      <c r="XCS73" s="609"/>
      <c r="XCT73" s="609"/>
      <c r="XCU73" s="609"/>
      <c r="XCV73" s="609"/>
      <c r="XCW73" s="609"/>
      <c r="XCX73" s="609"/>
      <c r="XCY73" s="609"/>
      <c r="XCZ73" s="609"/>
      <c r="XDA73" s="609"/>
      <c r="XDB73" s="609"/>
      <c r="XDC73" s="609"/>
      <c r="XDD73" s="609"/>
      <c r="XDE73" s="609"/>
      <c r="XDF73" s="609"/>
      <c r="XDG73" s="609"/>
      <c r="XDH73" s="609"/>
      <c r="XDI73" s="609"/>
      <c r="XDJ73" s="609"/>
      <c r="XDK73" s="609"/>
      <c r="XDL73" s="609"/>
      <c r="XDM73" s="609"/>
      <c r="XDN73" s="609"/>
      <c r="XDO73" s="609"/>
      <c r="XDP73" s="609"/>
      <c r="XDQ73" s="609"/>
      <c r="XDR73" s="609"/>
      <c r="XDS73" s="609"/>
      <c r="XDT73" s="609"/>
      <c r="XDU73" s="609"/>
      <c r="XDV73" s="609"/>
      <c r="XDW73" s="609"/>
      <c r="XDX73" s="609"/>
      <c r="XDY73" s="609"/>
      <c r="XDZ73" s="609"/>
      <c r="XEA73" s="609"/>
      <c r="XEB73" s="609"/>
      <c r="XEC73" s="609"/>
      <c r="XED73" s="609"/>
      <c r="XEE73" s="609"/>
      <c r="XEF73" s="609"/>
      <c r="XEG73" s="609"/>
      <c r="XEH73" s="609"/>
      <c r="XEI73" s="609"/>
      <c r="XEJ73" s="609"/>
      <c r="XEK73" s="609"/>
      <c r="XEL73" s="609"/>
      <c r="XEM73" s="609"/>
      <c r="XEN73" s="609"/>
      <c r="XEO73" s="609"/>
      <c r="XEP73" s="609"/>
      <c r="XEQ73" s="609"/>
      <c r="XER73" s="609"/>
      <c r="XES73" s="609"/>
      <c r="XET73" s="609"/>
      <c r="XEU73" s="609"/>
      <c r="XEV73" s="609"/>
      <c r="XEW73" s="609"/>
      <c r="XEX73" s="609"/>
      <c r="XEY73" s="609"/>
      <c r="XEZ73" s="609"/>
      <c r="XFA73" s="609"/>
    </row>
    <row r="74" spans="1:16381" ht="22.5">
      <c r="A74" s="609" t="str">
        <f t="shared" si="0"/>
        <v>Deka-ZukunftsPlan</v>
      </c>
      <c r="B74" s="609">
        <f>ROW()</f>
        <v>74</v>
      </c>
      <c r="C74" s="635" t="s">
        <v>1045</v>
      </c>
      <c r="E74" s="636" t="s">
        <v>660</v>
      </c>
      <c r="F74" s="637" t="str">
        <f t="shared" si="5"/>
        <v>Ja</v>
      </c>
      <c r="G74" s="634" t="str">
        <f t="shared" si="2"/>
        <v>TO ermöglicht: Tarifwechel; doppelten Kostenabzug;  Verzinsung zwischen EzE und RK geltend machen</v>
      </c>
      <c r="J74" s="788"/>
      <c r="K74" s="1199">
        <v>1</v>
      </c>
      <c r="L74" s="1199">
        <v>2</v>
      </c>
      <c r="M74" s="1199"/>
      <c r="N74" s="1199">
        <v>4</v>
      </c>
      <c r="O74" s="960" t="s">
        <v>1047</v>
      </c>
      <c r="P74" s="144">
        <f t="shared" si="6"/>
        <v>7</v>
      </c>
      <c r="Q74" s="609"/>
      <c r="R74" s="609"/>
      <c r="S74" s="609"/>
      <c r="T74" s="609"/>
      <c r="U74" s="609"/>
      <c r="V74" s="609"/>
      <c r="W74" s="609"/>
      <c r="X74" s="609"/>
      <c r="Y74" s="609"/>
      <c r="Z74" s="609"/>
      <c r="AA74" s="609"/>
      <c r="AB74" s="609"/>
      <c r="AC74" s="609"/>
      <c r="AD74" s="609"/>
      <c r="AE74" s="609"/>
      <c r="AF74" s="609"/>
      <c r="AG74" s="609"/>
      <c r="AH74" s="609"/>
      <c r="AI74" s="609"/>
      <c r="AJ74" s="609"/>
      <c r="AK74" s="609"/>
      <c r="AL74" s="609"/>
      <c r="AM74" s="609"/>
      <c r="AN74" s="609"/>
      <c r="AO74" s="609"/>
      <c r="AP74" s="609"/>
      <c r="AQ74" s="609"/>
      <c r="AR74" s="609"/>
      <c r="AS74" s="609"/>
      <c r="AT74" s="609"/>
      <c r="AU74" s="609"/>
      <c r="AV74" s="609"/>
      <c r="AW74" s="609"/>
      <c r="AX74" s="609"/>
      <c r="AY74" s="609"/>
      <c r="AZ74" s="609"/>
      <c r="BA74" s="609"/>
      <c r="BB74" s="609"/>
      <c r="BC74" s="609"/>
      <c r="BD74" s="609"/>
      <c r="BE74" s="609"/>
      <c r="BF74" s="609"/>
      <c r="BG74" s="609"/>
      <c r="BH74" s="609"/>
      <c r="BI74" s="609"/>
      <c r="BJ74" s="609"/>
      <c r="BK74" s="609"/>
      <c r="BL74" s="609"/>
      <c r="BM74" s="609"/>
      <c r="BN74" s="609"/>
      <c r="BO74" s="609"/>
      <c r="BP74" s="609"/>
      <c r="BQ74" s="609"/>
      <c r="BR74" s="609"/>
      <c r="BS74" s="609"/>
      <c r="BT74" s="609"/>
      <c r="BU74" s="609"/>
      <c r="BV74" s="609"/>
      <c r="BW74" s="609"/>
      <c r="BX74" s="609"/>
      <c r="BY74" s="609"/>
      <c r="BZ74" s="609"/>
      <c r="CA74" s="609"/>
      <c r="CB74" s="609"/>
      <c r="CC74" s="609"/>
      <c r="CD74" s="609"/>
      <c r="CE74" s="609"/>
      <c r="CF74" s="609"/>
      <c r="CG74" s="609"/>
      <c r="CH74" s="609"/>
      <c r="CI74" s="609"/>
      <c r="CJ74" s="609"/>
      <c r="CK74" s="609"/>
      <c r="CL74" s="609"/>
      <c r="CM74" s="609"/>
      <c r="CN74" s="609"/>
      <c r="CO74" s="609"/>
      <c r="CP74" s="609"/>
      <c r="CQ74" s="609"/>
      <c r="CR74" s="609"/>
      <c r="CS74" s="609"/>
      <c r="CT74" s="609"/>
      <c r="CU74" s="609"/>
      <c r="CV74" s="609"/>
      <c r="CW74" s="609"/>
      <c r="CX74" s="609"/>
      <c r="CY74" s="609"/>
      <c r="CZ74" s="609"/>
      <c r="DA74" s="609"/>
      <c r="DB74" s="609"/>
      <c r="DC74" s="609"/>
      <c r="DD74" s="609"/>
      <c r="DE74" s="609"/>
      <c r="DF74" s="609"/>
      <c r="DG74" s="609"/>
      <c r="DH74" s="609"/>
      <c r="DI74" s="609"/>
      <c r="DJ74" s="609"/>
      <c r="DK74" s="609"/>
      <c r="DL74" s="609"/>
      <c r="DM74" s="609"/>
      <c r="DN74" s="609"/>
      <c r="DO74" s="609"/>
      <c r="DP74" s="609"/>
      <c r="DQ74" s="609"/>
      <c r="DR74" s="609"/>
      <c r="DS74" s="609"/>
      <c r="DT74" s="609"/>
      <c r="DU74" s="609"/>
      <c r="DV74" s="609"/>
      <c r="DW74" s="609"/>
      <c r="DX74" s="609"/>
      <c r="DY74" s="609"/>
      <c r="DZ74" s="609"/>
      <c r="EA74" s="609"/>
      <c r="EB74" s="609"/>
      <c r="EC74" s="609"/>
      <c r="ED74" s="609"/>
      <c r="EE74" s="609"/>
      <c r="EF74" s="609"/>
      <c r="EG74" s="609"/>
      <c r="EH74" s="609"/>
      <c r="EI74" s="609"/>
      <c r="EJ74" s="609"/>
      <c r="EK74" s="609"/>
      <c r="EL74" s="609"/>
      <c r="EM74" s="609"/>
      <c r="EN74" s="609"/>
      <c r="EO74" s="609"/>
      <c r="EP74" s="609"/>
      <c r="EQ74" s="609"/>
      <c r="ER74" s="609"/>
      <c r="ES74" s="609"/>
      <c r="ET74" s="609"/>
      <c r="EU74" s="609"/>
      <c r="EV74" s="609"/>
      <c r="EW74" s="609"/>
      <c r="EX74" s="609"/>
      <c r="EY74" s="609"/>
      <c r="EZ74" s="609"/>
      <c r="FA74" s="609"/>
      <c r="FB74" s="609"/>
      <c r="FC74" s="609"/>
      <c r="FD74" s="609"/>
      <c r="FE74" s="609"/>
      <c r="FF74" s="609"/>
      <c r="FG74" s="609"/>
      <c r="FH74" s="609"/>
      <c r="FI74" s="609"/>
      <c r="FJ74" s="609"/>
      <c r="FK74" s="609"/>
      <c r="FL74" s="609"/>
      <c r="FM74" s="609"/>
      <c r="FN74" s="609"/>
      <c r="FO74" s="609"/>
      <c r="FP74" s="609"/>
      <c r="FQ74" s="609"/>
      <c r="FR74" s="609"/>
      <c r="FS74" s="609"/>
      <c r="FT74" s="609"/>
      <c r="FU74" s="609"/>
      <c r="FV74" s="609"/>
      <c r="FW74" s="609"/>
      <c r="FX74" s="609"/>
      <c r="FY74" s="609"/>
      <c r="FZ74" s="609"/>
      <c r="GA74" s="609"/>
      <c r="GB74" s="609"/>
      <c r="GC74" s="609"/>
      <c r="GD74" s="609"/>
      <c r="GE74" s="609"/>
      <c r="GF74" s="609"/>
      <c r="GG74" s="609"/>
      <c r="GH74" s="609"/>
      <c r="GI74" s="609"/>
      <c r="GJ74" s="609"/>
      <c r="GK74" s="609"/>
      <c r="GL74" s="609"/>
      <c r="GM74" s="609"/>
      <c r="GN74" s="609"/>
      <c r="GO74" s="609"/>
      <c r="GP74" s="609"/>
      <c r="GQ74" s="609"/>
      <c r="GR74" s="609"/>
      <c r="GS74" s="609"/>
      <c r="GT74" s="609"/>
      <c r="GU74" s="609"/>
      <c r="GV74" s="609"/>
      <c r="GW74" s="609"/>
      <c r="GX74" s="609"/>
      <c r="GY74" s="609"/>
      <c r="GZ74" s="609"/>
      <c r="HA74" s="609"/>
      <c r="HB74" s="609"/>
      <c r="HC74" s="609"/>
      <c r="HD74" s="609"/>
      <c r="HE74" s="609"/>
      <c r="HF74" s="609"/>
      <c r="HG74" s="609"/>
      <c r="HH74" s="609"/>
      <c r="HI74" s="609"/>
      <c r="HJ74" s="609"/>
      <c r="HK74" s="609"/>
      <c r="HL74" s="609"/>
      <c r="HM74" s="609"/>
      <c r="HN74" s="609"/>
      <c r="HO74" s="609"/>
      <c r="HP74" s="609"/>
      <c r="HQ74" s="609"/>
      <c r="HR74" s="609"/>
      <c r="HS74" s="609"/>
      <c r="HT74" s="609"/>
      <c r="HU74" s="609"/>
      <c r="HV74" s="609"/>
      <c r="HW74" s="609"/>
      <c r="HX74" s="609"/>
      <c r="HY74" s="609"/>
      <c r="HZ74" s="609"/>
      <c r="IA74" s="609"/>
      <c r="IB74" s="609"/>
      <c r="IC74" s="609"/>
      <c r="ID74" s="609"/>
      <c r="IE74" s="609"/>
      <c r="IF74" s="609"/>
      <c r="IG74" s="609"/>
      <c r="IH74" s="609"/>
      <c r="II74" s="609"/>
      <c r="IJ74" s="609"/>
      <c r="IK74" s="609"/>
      <c r="IL74" s="609"/>
      <c r="IM74" s="609"/>
      <c r="IN74" s="609"/>
      <c r="IO74" s="609"/>
      <c r="IP74" s="609"/>
      <c r="IQ74" s="609"/>
      <c r="IR74" s="609"/>
      <c r="IS74" s="609"/>
      <c r="IT74" s="609"/>
      <c r="IU74" s="609"/>
      <c r="IV74" s="609"/>
      <c r="IW74" s="609"/>
      <c r="IX74" s="609"/>
      <c r="IY74" s="609"/>
      <c r="IZ74" s="609"/>
      <c r="JA74" s="609"/>
      <c r="JB74" s="609"/>
      <c r="JC74" s="609"/>
      <c r="JD74" s="609"/>
      <c r="JE74" s="609"/>
      <c r="JF74" s="609"/>
      <c r="JG74" s="609"/>
      <c r="JH74" s="609"/>
      <c r="JI74" s="609"/>
      <c r="JJ74" s="609"/>
      <c r="JK74" s="609"/>
      <c r="JL74" s="609"/>
      <c r="JM74" s="609"/>
      <c r="JN74" s="609"/>
      <c r="JO74" s="609"/>
      <c r="JP74" s="609"/>
      <c r="JQ74" s="609"/>
      <c r="JR74" s="609"/>
      <c r="JS74" s="609"/>
      <c r="JT74" s="609"/>
      <c r="JU74" s="609"/>
      <c r="JV74" s="609"/>
      <c r="JW74" s="609"/>
      <c r="JX74" s="609"/>
      <c r="JY74" s="609"/>
      <c r="JZ74" s="609"/>
      <c r="KA74" s="609"/>
      <c r="KB74" s="609"/>
      <c r="KC74" s="609"/>
      <c r="KD74" s="609"/>
      <c r="KE74" s="609"/>
      <c r="KF74" s="609"/>
      <c r="KG74" s="609"/>
      <c r="KH74" s="609"/>
      <c r="KI74" s="609"/>
      <c r="KJ74" s="609"/>
      <c r="KK74" s="609"/>
      <c r="KL74" s="609"/>
      <c r="KM74" s="609"/>
      <c r="KN74" s="609"/>
      <c r="KO74" s="609"/>
      <c r="KP74" s="609"/>
      <c r="KQ74" s="609"/>
      <c r="KR74" s="609"/>
      <c r="KS74" s="609"/>
      <c r="KT74" s="609"/>
      <c r="KU74" s="609"/>
      <c r="KV74" s="609"/>
      <c r="KW74" s="609"/>
      <c r="KX74" s="609"/>
      <c r="KY74" s="609"/>
      <c r="KZ74" s="609"/>
      <c r="LA74" s="609"/>
      <c r="LB74" s="609"/>
      <c r="LC74" s="609"/>
      <c r="LD74" s="609"/>
      <c r="LE74" s="609"/>
      <c r="LF74" s="609"/>
      <c r="LG74" s="609"/>
      <c r="LH74" s="609"/>
      <c r="LI74" s="609"/>
      <c r="LJ74" s="609"/>
      <c r="LK74" s="609"/>
      <c r="LL74" s="609"/>
      <c r="LM74" s="609"/>
      <c r="LN74" s="609"/>
      <c r="LO74" s="609"/>
      <c r="LP74" s="609"/>
      <c r="LQ74" s="609"/>
      <c r="LR74" s="609"/>
      <c r="LS74" s="609"/>
      <c r="LT74" s="609"/>
      <c r="LU74" s="609"/>
      <c r="LV74" s="609"/>
      <c r="LW74" s="609"/>
      <c r="LX74" s="609"/>
      <c r="LY74" s="609"/>
      <c r="LZ74" s="609"/>
      <c r="MA74" s="609"/>
      <c r="MB74" s="609"/>
      <c r="MC74" s="609"/>
      <c r="MD74" s="609"/>
      <c r="ME74" s="609"/>
      <c r="MF74" s="609"/>
      <c r="MG74" s="609"/>
      <c r="MH74" s="609"/>
      <c r="MI74" s="609"/>
      <c r="MJ74" s="609"/>
      <c r="MK74" s="609"/>
      <c r="ML74" s="609"/>
      <c r="MM74" s="609"/>
      <c r="MN74" s="609"/>
      <c r="MO74" s="609"/>
      <c r="MP74" s="609"/>
      <c r="MQ74" s="609"/>
      <c r="MR74" s="609"/>
      <c r="MS74" s="609"/>
      <c r="MT74" s="609"/>
      <c r="MU74" s="609"/>
      <c r="MV74" s="609"/>
      <c r="MW74" s="609"/>
      <c r="MX74" s="609"/>
      <c r="MY74" s="609"/>
      <c r="MZ74" s="609"/>
      <c r="NA74" s="609"/>
      <c r="NB74" s="609"/>
      <c r="NC74" s="609"/>
      <c r="ND74" s="609"/>
      <c r="NE74" s="609"/>
      <c r="NF74" s="609"/>
      <c r="NG74" s="609"/>
      <c r="NH74" s="609"/>
      <c r="NI74" s="609"/>
      <c r="NJ74" s="609"/>
      <c r="NK74" s="609"/>
      <c r="NL74" s="609"/>
      <c r="NM74" s="609"/>
      <c r="NN74" s="609"/>
      <c r="NO74" s="609"/>
      <c r="NP74" s="609"/>
      <c r="NQ74" s="609"/>
      <c r="NR74" s="609"/>
      <c r="NS74" s="609"/>
      <c r="NT74" s="609"/>
      <c r="NU74" s="609"/>
      <c r="NV74" s="609"/>
      <c r="NW74" s="609"/>
      <c r="NX74" s="609"/>
      <c r="NY74" s="609"/>
      <c r="NZ74" s="609"/>
      <c r="OA74" s="609"/>
      <c r="OB74" s="609"/>
      <c r="OC74" s="609"/>
      <c r="OD74" s="609"/>
      <c r="OE74" s="609"/>
      <c r="OF74" s="609"/>
      <c r="OG74" s="609"/>
      <c r="OH74" s="609"/>
      <c r="OI74" s="609"/>
      <c r="OJ74" s="609"/>
      <c r="OK74" s="609"/>
      <c r="OL74" s="609"/>
      <c r="OM74" s="609"/>
      <c r="ON74" s="609"/>
      <c r="OO74" s="609"/>
      <c r="OP74" s="609"/>
      <c r="OQ74" s="609"/>
      <c r="OR74" s="609"/>
      <c r="OS74" s="609"/>
      <c r="OT74" s="609"/>
      <c r="OU74" s="609"/>
      <c r="OV74" s="609"/>
      <c r="OW74" s="609"/>
      <c r="OX74" s="609"/>
      <c r="OY74" s="609"/>
      <c r="OZ74" s="609"/>
      <c r="PA74" s="609"/>
      <c r="PB74" s="609"/>
      <c r="PC74" s="609"/>
      <c r="PD74" s="609"/>
      <c r="PE74" s="609"/>
      <c r="PF74" s="609"/>
      <c r="PG74" s="609"/>
      <c r="PH74" s="609"/>
      <c r="PI74" s="609"/>
      <c r="PJ74" s="609"/>
      <c r="PK74" s="609"/>
      <c r="PL74" s="609"/>
      <c r="PM74" s="609"/>
      <c r="PN74" s="609"/>
      <c r="PO74" s="609"/>
      <c r="PP74" s="609"/>
      <c r="PQ74" s="609"/>
      <c r="PR74" s="609"/>
      <c r="PS74" s="609"/>
      <c r="PT74" s="609"/>
      <c r="PU74" s="609"/>
      <c r="PV74" s="609"/>
      <c r="PW74" s="609"/>
      <c r="PX74" s="609"/>
      <c r="PY74" s="609"/>
      <c r="PZ74" s="609"/>
      <c r="QA74" s="609"/>
      <c r="QB74" s="609"/>
      <c r="QC74" s="609"/>
      <c r="QD74" s="609"/>
      <c r="QE74" s="609"/>
      <c r="QF74" s="609"/>
      <c r="QG74" s="609"/>
      <c r="QH74" s="609"/>
      <c r="QI74" s="609"/>
      <c r="QJ74" s="609"/>
      <c r="QK74" s="609"/>
      <c r="QL74" s="609"/>
      <c r="QM74" s="609"/>
      <c r="QN74" s="609"/>
      <c r="QO74" s="609"/>
      <c r="QP74" s="609"/>
      <c r="QQ74" s="609"/>
      <c r="QR74" s="609"/>
      <c r="QS74" s="609"/>
      <c r="QT74" s="609"/>
      <c r="QU74" s="609"/>
      <c r="QV74" s="609"/>
      <c r="QW74" s="609"/>
      <c r="QX74" s="609"/>
      <c r="QY74" s="609"/>
      <c r="QZ74" s="609"/>
      <c r="RA74" s="609"/>
      <c r="RB74" s="609"/>
      <c r="RC74" s="609"/>
      <c r="RD74" s="609"/>
      <c r="RE74" s="609"/>
      <c r="RF74" s="609"/>
      <c r="RG74" s="609"/>
      <c r="RH74" s="609"/>
      <c r="RI74" s="609"/>
      <c r="RJ74" s="609"/>
      <c r="RK74" s="609"/>
      <c r="RL74" s="609"/>
      <c r="RM74" s="609"/>
      <c r="RN74" s="609"/>
      <c r="RO74" s="609"/>
      <c r="RP74" s="609"/>
      <c r="RQ74" s="609"/>
      <c r="RR74" s="609"/>
      <c r="RS74" s="609"/>
      <c r="RT74" s="609"/>
      <c r="RU74" s="609"/>
      <c r="RV74" s="609"/>
      <c r="RW74" s="609"/>
      <c r="RX74" s="609"/>
      <c r="RY74" s="609"/>
      <c r="RZ74" s="609"/>
      <c r="SA74" s="609"/>
      <c r="SB74" s="609"/>
      <c r="SC74" s="609"/>
      <c r="SD74" s="609"/>
      <c r="SE74" s="609"/>
      <c r="SF74" s="609"/>
      <c r="SG74" s="609"/>
      <c r="SH74" s="609"/>
      <c r="SI74" s="609"/>
      <c r="SJ74" s="609"/>
      <c r="SK74" s="609"/>
      <c r="SL74" s="609"/>
      <c r="SM74" s="609"/>
      <c r="SN74" s="609"/>
      <c r="SO74" s="609"/>
      <c r="SP74" s="609"/>
      <c r="SQ74" s="609"/>
      <c r="SR74" s="609"/>
      <c r="SS74" s="609"/>
      <c r="ST74" s="609"/>
      <c r="SU74" s="609"/>
      <c r="SV74" s="609"/>
      <c r="SW74" s="609"/>
      <c r="SX74" s="609"/>
      <c r="SY74" s="609"/>
      <c r="SZ74" s="609"/>
      <c r="TA74" s="609"/>
      <c r="TB74" s="609"/>
      <c r="TC74" s="609"/>
      <c r="TD74" s="609"/>
      <c r="TE74" s="609"/>
      <c r="TF74" s="609"/>
      <c r="TG74" s="609"/>
      <c r="TH74" s="609"/>
      <c r="TI74" s="609"/>
      <c r="TJ74" s="609"/>
      <c r="TK74" s="609"/>
      <c r="TL74" s="609"/>
      <c r="TM74" s="609"/>
      <c r="TN74" s="609"/>
      <c r="TO74" s="609"/>
      <c r="TP74" s="609"/>
      <c r="TQ74" s="609"/>
      <c r="TR74" s="609"/>
      <c r="TS74" s="609"/>
      <c r="TT74" s="609"/>
      <c r="TU74" s="609"/>
      <c r="TV74" s="609"/>
      <c r="TW74" s="609"/>
      <c r="TX74" s="609"/>
      <c r="TY74" s="609"/>
      <c r="TZ74" s="609"/>
      <c r="UA74" s="609"/>
      <c r="UB74" s="609"/>
      <c r="UC74" s="609"/>
      <c r="UD74" s="609"/>
      <c r="UE74" s="609"/>
      <c r="UF74" s="609"/>
      <c r="UG74" s="609"/>
      <c r="UH74" s="609"/>
      <c r="UI74" s="609"/>
      <c r="UJ74" s="609"/>
      <c r="UK74" s="609"/>
      <c r="UL74" s="609"/>
      <c r="UM74" s="609"/>
      <c r="UN74" s="609"/>
      <c r="UO74" s="609"/>
      <c r="UP74" s="609"/>
      <c r="UQ74" s="609"/>
      <c r="UR74" s="609"/>
      <c r="US74" s="609"/>
      <c r="UT74" s="609"/>
      <c r="UU74" s="609"/>
      <c r="UV74" s="609"/>
      <c r="UW74" s="609"/>
      <c r="UX74" s="609"/>
      <c r="UY74" s="609"/>
      <c r="UZ74" s="609"/>
      <c r="VA74" s="609"/>
      <c r="VB74" s="609"/>
      <c r="VC74" s="609"/>
      <c r="VD74" s="609"/>
      <c r="VE74" s="609"/>
      <c r="VF74" s="609"/>
      <c r="VG74" s="609"/>
      <c r="VH74" s="609"/>
      <c r="VI74" s="609"/>
      <c r="VJ74" s="609"/>
      <c r="VK74" s="609"/>
      <c r="VL74" s="609"/>
      <c r="VM74" s="609"/>
      <c r="VN74" s="609"/>
      <c r="VO74" s="609"/>
      <c r="VP74" s="609"/>
      <c r="VQ74" s="609"/>
      <c r="VR74" s="609"/>
      <c r="VS74" s="609"/>
      <c r="VT74" s="609"/>
      <c r="VU74" s="609"/>
      <c r="VV74" s="609"/>
      <c r="VW74" s="609"/>
      <c r="VX74" s="609"/>
      <c r="VY74" s="609"/>
      <c r="VZ74" s="609"/>
      <c r="WA74" s="609"/>
      <c r="WB74" s="609"/>
      <c r="WC74" s="609"/>
      <c r="WD74" s="609"/>
      <c r="WE74" s="609"/>
      <c r="WF74" s="609"/>
      <c r="WG74" s="609"/>
      <c r="WH74" s="609"/>
      <c r="WI74" s="609"/>
      <c r="WJ74" s="609"/>
      <c r="WK74" s="609"/>
      <c r="WL74" s="609"/>
      <c r="WM74" s="609"/>
      <c r="WN74" s="609"/>
      <c r="WO74" s="609"/>
      <c r="WP74" s="609"/>
      <c r="WQ74" s="609"/>
      <c r="WR74" s="609"/>
      <c r="WS74" s="609"/>
      <c r="WT74" s="609"/>
      <c r="WU74" s="609"/>
      <c r="WV74" s="609"/>
      <c r="WW74" s="609"/>
      <c r="WX74" s="609"/>
      <c r="WY74" s="609"/>
      <c r="WZ74" s="609"/>
      <c r="XA74" s="609"/>
      <c r="XB74" s="609"/>
      <c r="XC74" s="609"/>
      <c r="XD74" s="609"/>
      <c r="XE74" s="609"/>
      <c r="XF74" s="609"/>
      <c r="XG74" s="609"/>
      <c r="XH74" s="609"/>
      <c r="XI74" s="609"/>
      <c r="XJ74" s="609"/>
      <c r="XK74" s="609"/>
      <c r="XL74" s="609"/>
      <c r="XM74" s="609"/>
      <c r="XN74" s="609"/>
      <c r="XO74" s="609"/>
      <c r="XP74" s="609"/>
      <c r="XQ74" s="609"/>
      <c r="XR74" s="609"/>
      <c r="XS74" s="609"/>
      <c r="XT74" s="609"/>
      <c r="XU74" s="609"/>
      <c r="XV74" s="609"/>
      <c r="XW74" s="609"/>
      <c r="XX74" s="609"/>
      <c r="XY74" s="609"/>
      <c r="XZ74" s="609"/>
      <c r="YA74" s="609"/>
      <c r="YB74" s="609"/>
      <c r="YC74" s="609"/>
      <c r="YD74" s="609"/>
      <c r="YE74" s="609"/>
      <c r="YF74" s="609"/>
      <c r="YG74" s="609"/>
      <c r="YH74" s="609"/>
      <c r="YI74" s="609"/>
      <c r="YJ74" s="609"/>
      <c r="YK74" s="609"/>
      <c r="YL74" s="609"/>
      <c r="YM74" s="609"/>
      <c r="YN74" s="609"/>
      <c r="YO74" s="609"/>
      <c r="YP74" s="609"/>
      <c r="YQ74" s="609"/>
      <c r="YR74" s="609"/>
      <c r="YS74" s="609"/>
      <c r="YT74" s="609"/>
      <c r="YU74" s="609"/>
      <c r="YV74" s="609"/>
      <c r="YW74" s="609"/>
      <c r="YX74" s="609"/>
      <c r="YY74" s="609"/>
      <c r="YZ74" s="609"/>
      <c r="ZA74" s="609"/>
      <c r="ZB74" s="609"/>
      <c r="ZC74" s="609"/>
      <c r="ZD74" s="609"/>
      <c r="ZE74" s="609"/>
      <c r="ZF74" s="609"/>
      <c r="ZG74" s="609"/>
      <c r="ZH74" s="609"/>
      <c r="ZI74" s="609"/>
      <c r="ZJ74" s="609"/>
      <c r="ZK74" s="609"/>
      <c r="ZL74" s="609"/>
      <c r="ZM74" s="609"/>
      <c r="ZN74" s="609"/>
      <c r="ZO74" s="609"/>
      <c r="ZP74" s="609"/>
      <c r="ZQ74" s="609"/>
      <c r="ZR74" s="609"/>
      <c r="ZS74" s="609"/>
      <c r="ZT74" s="609"/>
      <c r="ZU74" s="609"/>
      <c r="ZV74" s="609"/>
      <c r="ZW74" s="609"/>
      <c r="ZX74" s="609"/>
      <c r="ZY74" s="609"/>
      <c r="ZZ74" s="609"/>
      <c r="AAA74" s="609"/>
      <c r="AAB74" s="609"/>
      <c r="AAC74" s="609"/>
      <c r="AAD74" s="609"/>
      <c r="AAE74" s="609"/>
      <c r="AAF74" s="609"/>
      <c r="AAG74" s="609"/>
      <c r="AAH74" s="609"/>
      <c r="AAI74" s="609"/>
      <c r="AAJ74" s="609"/>
      <c r="AAK74" s="609"/>
      <c r="AAL74" s="609"/>
      <c r="AAM74" s="609"/>
      <c r="AAN74" s="609"/>
      <c r="AAO74" s="609"/>
      <c r="AAP74" s="609"/>
      <c r="AAQ74" s="609"/>
      <c r="AAR74" s="609"/>
      <c r="AAS74" s="609"/>
      <c r="AAT74" s="609"/>
      <c r="AAU74" s="609"/>
      <c r="AAV74" s="609"/>
      <c r="AAW74" s="609"/>
      <c r="AAX74" s="609"/>
      <c r="AAY74" s="609"/>
      <c r="AAZ74" s="609"/>
      <c r="ABA74" s="609"/>
      <c r="ABB74" s="609"/>
      <c r="ABC74" s="609"/>
      <c r="ABD74" s="609"/>
      <c r="ABE74" s="609"/>
      <c r="ABF74" s="609"/>
      <c r="ABG74" s="609"/>
      <c r="ABH74" s="609"/>
      <c r="ABI74" s="609"/>
      <c r="ABJ74" s="609"/>
      <c r="ABK74" s="609"/>
      <c r="ABL74" s="609"/>
      <c r="ABM74" s="609"/>
      <c r="ABN74" s="609"/>
      <c r="ABO74" s="609"/>
      <c r="ABP74" s="609"/>
      <c r="ABQ74" s="609"/>
      <c r="ABR74" s="609"/>
      <c r="ABS74" s="609"/>
      <c r="ABT74" s="609"/>
      <c r="ABU74" s="609"/>
      <c r="ABV74" s="609"/>
      <c r="ABW74" s="609"/>
      <c r="ABX74" s="609"/>
      <c r="ABY74" s="609"/>
      <c r="ABZ74" s="609"/>
      <c r="ACA74" s="609"/>
      <c r="ACB74" s="609"/>
      <c r="ACC74" s="609"/>
      <c r="ACD74" s="609"/>
      <c r="ACE74" s="609"/>
      <c r="ACF74" s="609"/>
      <c r="ACG74" s="609"/>
      <c r="ACH74" s="609"/>
      <c r="ACI74" s="609"/>
      <c r="ACJ74" s="609"/>
      <c r="ACK74" s="609"/>
      <c r="ACL74" s="609"/>
      <c r="ACM74" s="609"/>
      <c r="ACN74" s="609"/>
      <c r="ACO74" s="609"/>
      <c r="ACP74" s="609"/>
      <c r="ACQ74" s="609"/>
      <c r="ACR74" s="609"/>
      <c r="ACS74" s="609"/>
      <c r="ACT74" s="609"/>
      <c r="ACU74" s="609"/>
      <c r="ACV74" s="609"/>
      <c r="ACW74" s="609"/>
      <c r="ACX74" s="609"/>
      <c r="ACY74" s="609"/>
      <c r="ACZ74" s="609"/>
      <c r="ADA74" s="609"/>
      <c r="ADB74" s="609"/>
      <c r="ADC74" s="609"/>
      <c r="ADD74" s="609"/>
      <c r="ADE74" s="609"/>
      <c r="ADF74" s="609"/>
      <c r="ADG74" s="609"/>
      <c r="ADH74" s="609"/>
      <c r="ADI74" s="609"/>
      <c r="ADJ74" s="609"/>
      <c r="ADK74" s="609"/>
      <c r="ADL74" s="609"/>
      <c r="ADM74" s="609"/>
      <c r="ADN74" s="609"/>
      <c r="ADO74" s="609"/>
      <c r="ADP74" s="609"/>
      <c r="ADQ74" s="609"/>
      <c r="ADR74" s="609"/>
      <c r="ADS74" s="609"/>
      <c r="ADT74" s="609"/>
      <c r="ADU74" s="609"/>
      <c r="ADV74" s="609"/>
      <c r="ADW74" s="609"/>
      <c r="ADX74" s="609"/>
      <c r="ADY74" s="609"/>
      <c r="ADZ74" s="609"/>
      <c r="AEA74" s="609"/>
      <c r="AEB74" s="609"/>
      <c r="AEC74" s="609"/>
      <c r="AED74" s="609"/>
      <c r="AEE74" s="609"/>
      <c r="AEF74" s="609"/>
      <c r="AEG74" s="609"/>
      <c r="AEH74" s="609"/>
      <c r="AEI74" s="609"/>
      <c r="AEJ74" s="609"/>
      <c r="AEK74" s="609"/>
      <c r="AEL74" s="609"/>
      <c r="AEM74" s="609"/>
      <c r="AEN74" s="609"/>
      <c r="AEO74" s="609"/>
      <c r="AEP74" s="609"/>
      <c r="AEQ74" s="609"/>
      <c r="AER74" s="609"/>
      <c r="AES74" s="609"/>
      <c r="AET74" s="609"/>
      <c r="AEU74" s="609"/>
      <c r="AEV74" s="609"/>
      <c r="AEW74" s="609"/>
      <c r="AEX74" s="609"/>
      <c r="AEY74" s="609"/>
      <c r="AEZ74" s="609"/>
      <c r="AFA74" s="609"/>
      <c r="AFB74" s="609"/>
      <c r="AFC74" s="609"/>
      <c r="AFD74" s="609"/>
      <c r="AFE74" s="609"/>
      <c r="AFF74" s="609"/>
      <c r="AFG74" s="609"/>
      <c r="AFH74" s="609"/>
      <c r="AFI74" s="609"/>
      <c r="AFJ74" s="609"/>
      <c r="AFK74" s="609"/>
      <c r="AFL74" s="609"/>
      <c r="AFM74" s="609"/>
      <c r="AFN74" s="609"/>
      <c r="AFO74" s="609"/>
      <c r="AFP74" s="609"/>
      <c r="AFQ74" s="609"/>
      <c r="AFR74" s="609"/>
      <c r="AFS74" s="609"/>
      <c r="AFT74" s="609"/>
      <c r="AFU74" s="609"/>
      <c r="AFV74" s="609"/>
      <c r="AFW74" s="609"/>
      <c r="AFX74" s="609"/>
      <c r="AFY74" s="609"/>
      <c r="AFZ74" s="609"/>
      <c r="AGA74" s="609"/>
      <c r="AGB74" s="609"/>
      <c r="AGC74" s="609"/>
      <c r="AGD74" s="609"/>
      <c r="AGE74" s="609"/>
      <c r="AGF74" s="609"/>
      <c r="AGG74" s="609"/>
      <c r="AGH74" s="609"/>
      <c r="AGI74" s="609"/>
      <c r="AGJ74" s="609"/>
      <c r="AGK74" s="609"/>
      <c r="AGL74" s="609"/>
      <c r="AGM74" s="609"/>
      <c r="AGN74" s="609"/>
      <c r="AGO74" s="609"/>
      <c r="AGP74" s="609"/>
      <c r="AGQ74" s="609"/>
      <c r="AGR74" s="609"/>
      <c r="AGS74" s="609"/>
      <c r="AGT74" s="609"/>
      <c r="AGU74" s="609"/>
      <c r="AGV74" s="609"/>
      <c r="AGW74" s="609"/>
      <c r="AGX74" s="609"/>
      <c r="AGY74" s="609"/>
      <c r="AGZ74" s="609"/>
      <c r="AHA74" s="609"/>
      <c r="AHB74" s="609"/>
      <c r="AHC74" s="609"/>
      <c r="AHD74" s="609"/>
      <c r="AHE74" s="609"/>
      <c r="AHF74" s="609"/>
      <c r="AHG74" s="609"/>
      <c r="AHH74" s="609"/>
      <c r="AHI74" s="609"/>
      <c r="AHJ74" s="609"/>
      <c r="AHK74" s="609"/>
      <c r="AHL74" s="609"/>
      <c r="AHM74" s="609"/>
      <c r="AHN74" s="609"/>
      <c r="AHO74" s="609"/>
      <c r="AHP74" s="609"/>
      <c r="AHQ74" s="609"/>
      <c r="AHR74" s="609"/>
      <c r="AHS74" s="609"/>
      <c r="AHT74" s="609"/>
      <c r="AHU74" s="609"/>
      <c r="AHV74" s="609"/>
      <c r="AHW74" s="609"/>
      <c r="AHX74" s="609"/>
      <c r="AHY74" s="609"/>
      <c r="AHZ74" s="609"/>
      <c r="AIA74" s="609"/>
      <c r="AIB74" s="609"/>
      <c r="AIC74" s="609"/>
      <c r="AID74" s="609"/>
      <c r="AIE74" s="609"/>
      <c r="AIF74" s="609"/>
      <c r="AIG74" s="609"/>
      <c r="AIH74" s="609"/>
      <c r="AII74" s="609"/>
      <c r="AIJ74" s="609"/>
      <c r="AIK74" s="609"/>
      <c r="AIL74" s="609"/>
      <c r="AIM74" s="609"/>
      <c r="AIN74" s="609"/>
      <c r="AIO74" s="609"/>
      <c r="AIP74" s="609"/>
      <c r="AIQ74" s="609"/>
      <c r="AIR74" s="609"/>
      <c r="AIS74" s="609"/>
      <c r="AIT74" s="609"/>
      <c r="AIU74" s="609"/>
      <c r="AIV74" s="609"/>
      <c r="AIW74" s="609"/>
      <c r="AIX74" s="609"/>
      <c r="AIY74" s="609"/>
      <c r="AIZ74" s="609"/>
      <c r="AJA74" s="609"/>
      <c r="AJB74" s="609"/>
      <c r="AJC74" s="609"/>
      <c r="AJD74" s="609"/>
      <c r="AJE74" s="609"/>
      <c r="AJF74" s="609"/>
      <c r="AJG74" s="609"/>
      <c r="AJH74" s="609"/>
      <c r="AJI74" s="609"/>
      <c r="AJJ74" s="609"/>
      <c r="AJK74" s="609"/>
      <c r="AJL74" s="609"/>
      <c r="AJM74" s="609"/>
      <c r="AJN74" s="609"/>
      <c r="AJO74" s="609"/>
      <c r="AJP74" s="609"/>
      <c r="AJQ74" s="609"/>
      <c r="AJR74" s="609"/>
      <c r="AJS74" s="609"/>
      <c r="AJT74" s="609"/>
      <c r="AJU74" s="609"/>
      <c r="AJV74" s="609"/>
      <c r="AJW74" s="609"/>
      <c r="AJX74" s="609"/>
      <c r="AJY74" s="609"/>
      <c r="AJZ74" s="609"/>
      <c r="AKA74" s="609"/>
      <c r="AKB74" s="609"/>
      <c r="AKC74" s="609"/>
      <c r="AKD74" s="609"/>
      <c r="AKE74" s="609"/>
      <c r="AKF74" s="609"/>
      <c r="AKG74" s="609"/>
      <c r="AKH74" s="609"/>
      <c r="AKI74" s="609"/>
      <c r="AKJ74" s="609"/>
      <c r="AKK74" s="609"/>
      <c r="AKL74" s="609"/>
      <c r="AKM74" s="609"/>
      <c r="AKN74" s="609"/>
      <c r="AKO74" s="609"/>
      <c r="AKP74" s="609"/>
      <c r="AKQ74" s="609"/>
      <c r="AKR74" s="609"/>
      <c r="AKS74" s="609"/>
      <c r="AKT74" s="609"/>
      <c r="AKU74" s="609"/>
      <c r="AKV74" s="609"/>
      <c r="AKW74" s="609"/>
      <c r="AKX74" s="609"/>
      <c r="AKY74" s="609"/>
      <c r="AKZ74" s="609"/>
      <c r="ALA74" s="609"/>
      <c r="ALB74" s="609"/>
      <c r="ALC74" s="609"/>
      <c r="ALD74" s="609"/>
      <c r="ALE74" s="609"/>
      <c r="ALF74" s="609"/>
      <c r="ALG74" s="609"/>
      <c r="ALH74" s="609"/>
      <c r="ALI74" s="609"/>
      <c r="ALJ74" s="609"/>
      <c r="ALK74" s="609"/>
      <c r="ALL74" s="609"/>
      <c r="ALM74" s="609"/>
      <c r="ALN74" s="609"/>
      <c r="ALO74" s="609"/>
      <c r="ALP74" s="609"/>
      <c r="ALQ74" s="609"/>
      <c r="ALR74" s="609"/>
      <c r="ALS74" s="609"/>
      <c r="ALT74" s="609"/>
      <c r="ALU74" s="609"/>
      <c r="ALV74" s="609"/>
      <c r="ALW74" s="609"/>
      <c r="ALX74" s="609"/>
      <c r="ALY74" s="609"/>
      <c r="ALZ74" s="609"/>
      <c r="AMA74" s="609"/>
      <c r="AMB74" s="609"/>
      <c r="AMC74" s="609"/>
      <c r="AMD74" s="609"/>
      <c r="AME74" s="609"/>
      <c r="AMF74" s="609"/>
      <c r="AMG74" s="609"/>
      <c r="AMH74" s="609"/>
      <c r="AMI74" s="609"/>
      <c r="AMJ74" s="609"/>
      <c r="AMK74" s="609"/>
      <c r="AML74" s="609"/>
      <c r="AMM74" s="609"/>
      <c r="AMN74" s="609"/>
      <c r="AMO74" s="609"/>
      <c r="AMP74" s="609"/>
      <c r="AMQ74" s="609"/>
      <c r="AMR74" s="609"/>
      <c r="AMS74" s="609"/>
      <c r="AMT74" s="609"/>
      <c r="AMU74" s="609"/>
      <c r="AMV74" s="609"/>
      <c r="AMW74" s="609"/>
      <c r="AMX74" s="609"/>
      <c r="AMY74" s="609"/>
      <c r="AMZ74" s="609"/>
      <c r="ANA74" s="609"/>
      <c r="ANB74" s="609"/>
      <c r="ANC74" s="609"/>
      <c r="AND74" s="609"/>
      <c r="ANE74" s="609"/>
      <c r="ANF74" s="609"/>
      <c r="ANG74" s="609"/>
      <c r="ANH74" s="609"/>
      <c r="ANI74" s="609"/>
      <c r="ANJ74" s="609"/>
      <c r="ANK74" s="609"/>
      <c r="ANL74" s="609"/>
      <c r="ANM74" s="609"/>
      <c r="ANN74" s="609"/>
      <c r="ANO74" s="609"/>
      <c r="ANP74" s="609"/>
      <c r="ANQ74" s="609"/>
      <c r="ANR74" s="609"/>
      <c r="ANS74" s="609"/>
      <c r="ANT74" s="609"/>
      <c r="ANU74" s="609"/>
      <c r="ANV74" s="609"/>
      <c r="ANW74" s="609"/>
      <c r="ANX74" s="609"/>
      <c r="ANY74" s="609"/>
      <c r="ANZ74" s="609"/>
      <c r="AOA74" s="609"/>
      <c r="AOB74" s="609"/>
      <c r="AOC74" s="609"/>
      <c r="AOD74" s="609"/>
      <c r="AOE74" s="609"/>
      <c r="AOF74" s="609"/>
      <c r="AOG74" s="609"/>
      <c r="AOH74" s="609"/>
      <c r="AOI74" s="609"/>
      <c r="AOJ74" s="609"/>
      <c r="AOK74" s="609"/>
      <c r="AOL74" s="609"/>
      <c r="AOM74" s="609"/>
      <c r="AON74" s="609"/>
      <c r="AOO74" s="609"/>
      <c r="AOP74" s="609"/>
      <c r="AOQ74" s="609"/>
      <c r="AOR74" s="609"/>
      <c r="AOS74" s="609"/>
      <c r="AOT74" s="609"/>
      <c r="AOU74" s="609"/>
      <c r="AOV74" s="609"/>
      <c r="AOW74" s="609"/>
      <c r="AOX74" s="609"/>
      <c r="AOY74" s="609"/>
      <c r="AOZ74" s="609"/>
      <c r="APA74" s="609"/>
      <c r="APB74" s="609"/>
      <c r="APC74" s="609"/>
      <c r="APD74" s="609"/>
      <c r="APE74" s="609"/>
      <c r="APF74" s="609"/>
      <c r="APG74" s="609"/>
      <c r="APH74" s="609"/>
      <c r="API74" s="609"/>
      <c r="APJ74" s="609"/>
      <c r="APK74" s="609"/>
      <c r="APL74" s="609"/>
      <c r="APM74" s="609"/>
      <c r="APN74" s="609"/>
      <c r="APO74" s="609"/>
      <c r="APP74" s="609"/>
      <c r="APQ74" s="609"/>
      <c r="APR74" s="609"/>
      <c r="APS74" s="609"/>
      <c r="APT74" s="609"/>
      <c r="APU74" s="609"/>
      <c r="APV74" s="609"/>
      <c r="APW74" s="609"/>
      <c r="APX74" s="609"/>
      <c r="APY74" s="609"/>
      <c r="APZ74" s="609"/>
      <c r="AQA74" s="609"/>
      <c r="AQB74" s="609"/>
      <c r="AQC74" s="609"/>
      <c r="AQD74" s="609"/>
      <c r="AQE74" s="609"/>
      <c r="AQF74" s="609"/>
      <c r="AQG74" s="609"/>
      <c r="AQH74" s="609"/>
      <c r="AQI74" s="609"/>
      <c r="AQJ74" s="609"/>
      <c r="AQK74" s="609"/>
      <c r="AQL74" s="609"/>
      <c r="AQM74" s="609"/>
      <c r="AQN74" s="609"/>
      <c r="AQO74" s="609"/>
      <c r="AQP74" s="609"/>
      <c r="AQQ74" s="609"/>
      <c r="AQR74" s="609"/>
      <c r="AQS74" s="609"/>
      <c r="AQT74" s="609"/>
      <c r="AQU74" s="609"/>
      <c r="AQV74" s="609"/>
      <c r="AQW74" s="609"/>
      <c r="AQX74" s="609"/>
      <c r="AQY74" s="609"/>
      <c r="AQZ74" s="609"/>
      <c r="ARA74" s="609"/>
      <c r="ARB74" s="609"/>
      <c r="ARC74" s="609"/>
      <c r="ARD74" s="609"/>
      <c r="ARE74" s="609"/>
      <c r="ARF74" s="609"/>
      <c r="ARG74" s="609"/>
      <c r="ARH74" s="609"/>
      <c r="ARI74" s="609"/>
      <c r="ARJ74" s="609"/>
      <c r="ARK74" s="609"/>
      <c r="ARL74" s="609"/>
      <c r="ARM74" s="609"/>
      <c r="ARN74" s="609"/>
      <c r="ARO74" s="609"/>
      <c r="ARP74" s="609"/>
      <c r="ARQ74" s="609"/>
      <c r="ARR74" s="609"/>
      <c r="ARS74" s="609"/>
      <c r="ART74" s="609"/>
      <c r="ARU74" s="609"/>
      <c r="ARV74" s="609"/>
      <c r="ARW74" s="609"/>
      <c r="ARX74" s="609"/>
      <c r="ARY74" s="609"/>
      <c r="ARZ74" s="609"/>
      <c r="ASA74" s="609"/>
      <c r="ASB74" s="609"/>
      <c r="ASC74" s="609"/>
      <c r="ASD74" s="609"/>
      <c r="ASE74" s="609"/>
      <c r="ASF74" s="609"/>
      <c r="ASG74" s="609"/>
      <c r="ASH74" s="609"/>
      <c r="ASI74" s="609"/>
      <c r="ASJ74" s="609"/>
      <c r="ASK74" s="609"/>
      <c r="ASL74" s="609"/>
      <c r="ASM74" s="609"/>
      <c r="ASN74" s="609"/>
      <c r="ASO74" s="609"/>
      <c r="ASP74" s="609"/>
      <c r="ASQ74" s="609"/>
      <c r="ASR74" s="609"/>
      <c r="ASS74" s="609"/>
      <c r="AST74" s="609"/>
      <c r="ASU74" s="609"/>
      <c r="ASV74" s="609"/>
      <c r="ASW74" s="609"/>
      <c r="ASX74" s="609"/>
      <c r="ASY74" s="609"/>
      <c r="ASZ74" s="609"/>
      <c r="ATA74" s="609"/>
      <c r="ATB74" s="609"/>
      <c r="ATC74" s="609"/>
      <c r="ATD74" s="609"/>
      <c r="ATE74" s="609"/>
      <c r="ATF74" s="609"/>
      <c r="ATG74" s="609"/>
      <c r="ATH74" s="609"/>
      <c r="ATI74" s="609"/>
      <c r="ATJ74" s="609"/>
      <c r="ATK74" s="609"/>
      <c r="ATL74" s="609"/>
      <c r="ATM74" s="609"/>
      <c r="ATN74" s="609"/>
      <c r="ATO74" s="609"/>
      <c r="ATP74" s="609"/>
      <c r="ATQ74" s="609"/>
      <c r="ATR74" s="609"/>
      <c r="ATS74" s="609"/>
      <c r="ATT74" s="609"/>
      <c r="ATU74" s="609"/>
      <c r="ATV74" s="609"/>
      <c r="ATW74" s="609"/>
      <c r="ATX74" s="609"/>
      <c r="ATY74" s="609"/>
      <c r="ATZ74" s="609"/>
      <c r="AUA74" s="609"/>
      <c r="AUB74" s="609"/>
      <c r="AUC74" s="609"/>
      <c r="AUD74" s="609"/>
      <c r="AUE74" s="609"/>
      <c r="AUF74" s="609"/>
      <c r="AUG74" s="609"/>
      <c r="AUH74" s="609"/>
      <c r="AUI74" s="609"/>
      <c r="AUJ74" s="609"/>
      <c r="AUK74" s="609"/>
      <c r="AUL74" s="609"/>
      <c r="AUM74" s="609"/>
      <c r="AUN74" s="609"/>
      <c r="AUO74" s="609"/>
      <c r="AUP74" s="609"/>
      <c r="AUQ74" s="609"/>
      <c r="AUR74" s="609"/>
      <c r="AUS74" s="609"/>
      <c r="AUT74" s="609"/>
      <c r="AUU74" s="609"/>
      <c r="AUV74" s="609"/>
      <c r="AUW74" s="609"/>
      <c r="AUX74" s="609"/>
      <c r="AUY74" s="609"/>
      <c r="AUZ74" s="609"/>
      <c r="AVA74" s="609"/>
      <c r="AVB74" s="609"/>
      <c r="AVC74" s="609"/>
      <c r="AVD74" s="609"/>
      <c r="AVE74" s="609"/>
      <c r="AVF74" s="609"/>
      <c r="AVG74" s="609"/>
      <c r="AVH74" s="609"/>
      <c r="AVI74" s="609"/>
      <c r="AVJ74" s="609"/>
      <c r="AVK74" s="609"/>
      <c r="AVL74" s="609"/>
      <c r="AVM74" s="609"/>
      <c r="AVN74" s="609"/>
      <c r="AVO74" s="609"/>
      <c r="AVP74" s="609"/>
      <c r="AVQ74" s="609"/>
      <c r="AVR74" s="609"/>
      <c r="AVS74" s="609"/>
      <c r="AVT74" s="609"/>
      <c r="AVU74" s="609"/>
      <c r="AVV74" s="609"/>
      <c r="AVW74" s="609"/>
      <c r="AVX74" s="609"/>
      <c r="AVY74" s="609"/>
      <c r="AVZ74" s="609"/>
      <c r="AWA74" s="609"/>
      <c r="AWB74" s="609"/>
      <c r="AWC74" s="609"/>
      <c r="AWD74" s="609"/>
      <c r="AWE74" s="609"/>
      <c r="AWF74" s="609"/>
      <c r="AWG74" s="609"/>
      <c r="AWH74" s="609"/>
      <c r="AWI74" s="609"/>
      <c r="AWJ74" s="609"/>
      <c r="AWK74" s="609"/>
      <c r="AWL74" s="609"/>
      <c r="AWM74" s="609"/>
      <c r="AWN74" s="609"/>
      <c r="AWO74" s="609"/>
      <c r="AWP74" s="609"/>
      <c r="AWQ74" s="609"/>
      <c r="AWR74" s="609"/>
      <c r="AWS74" s="609"/>
      <c r="AWT74" s="609"/>
      <c r="AWU74" s="609"/>
      <c r="AWV74" s="609"/>
      <c r="AWW74" s="609"/>
      <c r="AWX74" s="609"/>
      <c r="AWY74" s="609"/>
      <c r="AWZ74" s="609"/>
      <c r="AXA74" s="609"/>
      <c r="AXB74" s="609"/>
      <c r="AXC74" s="609"/>
      <c r="AXD74" s="609"/>
      <c r="AXE74" s="609"/>
      <c r="AXF74" s="609"/>
      <c r="AXG74" s="609"/>
      <c r="AXH74" s="609"/>
      <c r="AXI74" s="609"/>
      <c r="AXJ74" s="609"/>
      <c r="AXK74" s="609"/>
      <c r="AXL74" s="609"/>
      <c r="AXM74" s="609"/>
      <c r="AXN74" s="609"/>
      <c r="AXO74" s="609"/>
      <c r="AXP74" s="609"/>
      <c r="AXQ74" s="609"/>
      <c r="AXR74" s="609"/>
      <c r="AXS74" s="609"/>
      <c r="AXT74" s="609"/>
      <c r="AXU74" s="609"/>
      <c r="AXV74" s="609"/>
      <c r="AXW74" s="609"/>
      <c r="AXX74" s="609"/>
      <c r="AXY74" s="609"/>
      <c r="AXZ74" s="609"/>
      <c r="AYA74" s="609"/>
      <c r="AYB74" s="609"/>
      <c r="AYC74" s="609"/>
      <c r="AYD74" s="609"/>
      <c r="AYE74" s="609"/>
      <c r="AYF74" s="609"/>
      <c r="AYG74" s="609"/>
      <c r="AYH74" s="609"/>
      <c r="AYI74" s="609"/>
      <c r="AYJ74" s="609"/>
      <c r="AYK74" s="609"/>
      <c r="AYL74" s="609"/>
      <c r="AYM74" s="609"/>
      <c r="AYN74" s="609"/>
      <c r="AYO74" s="609"/>
      <c r="AYP74" s="609"/>
      <c r="AYQ74" s="609"/>
      <c r="AYR74" s="609"/>
      <c r="AYS74" s="609"/>
      <c r="AYT74" s="609"/>
      <c r="AYU74" s="609"/>
      <c r="AYV74" s="609"/>
      <c r="AYW74" s="609"/>
      <c r="AYX74" s="609"/>
      <c r="AYY74" s="609"/>
      <c r="AYZ74" s="609"/>
      <c r="AZA74" s="609"/>
      <c r="AZB74" s="609"/>
      <c r="AZC74" s="609"/>
      <c r="AZD74" s="609"/>
      <c r="AZE74" s="609"/>
      <c r="AZF74" s="609"/>
      <c r="AZG74" s="609"/>
      <c r="AZH74" s="609"/>
      <c r="AZI74" s="609"/>
      <c r="AZJ74" s="609"/>
      <c r="AZK74" s="609"/>
      <c r="AZL74" s="609"/>
      <c r="AZM74" s="609"/>
      <c r="AZN74" s="609"/>
      <c r="AZO74" s="609"/>
      <c r="AZP74" s="609"/>
      <c r="AZQ74" s="609"/>
      <c r="AZR74" s="609"/>
      <c r="AZS74" s="609"/>
      <c r="AZT74" s="609"/>
      <c r="AZU74" s="609"/>
      <c r="AZV74" s="609"/>
      <c r="AZW74" s="609"/>
      <c r="AZX74" s="609"/>
      <c r="AZY74" s="609"/>
      <c r="AZZ74" s="609"/>
      <c r="BAA74" s="609"/>
      <c r="BAB74" s="609"/>
      <c r="BAC74" s="609"/>
      <c r="BAD74" s="609"/>
      <c r="BAE74" s="609"/>
      <c r="BAF74" s="609"/>
      <c r="BAG74" s="609"/>
      <c r="BAH74" s="609"/>
      <c r="BAI74" s="609"/>
      <c r="BAJ74" s="609"/>
      <c r="BAK74" s="609"/>
      <c r="BAL74" s="609"/>
      <c r="BAM74" s="609"/>
      <c r="BAN74" s="609"/>
      <c r="BAO74" s="609"/>
      <c r="BAP74" s="609"/>
      <c r="BAQ74" s="609"/>
      <c r="BAR74" s="609"/>
      <c r="BAS74" s="609"/>
      <c r="BAT74" s="609"/>
      <c r="BAU74" s="609"/>
      <c r="BAV74" s="609"/>
      <c r="BAW74" s="609"/>
      <c r="BAX74" s="609"/>
      <c r="BAY74" s="609"/>
      <c r="BAZ74" s="609"/>
      <c r="BBA74" s="609"/>
      <c r="BBB74" s="609"/>
      <c r="BBC74" s="609"/>
      <c r="BBD74" s="609"/>
      <c r="BBE74" s="609"/>
      <c r="BBF74" s="609"/>
      <c r="BBG74" s="609"/>
      <c r="BBH74" s="609"/>
      <c r="BBI74" s="609"/>
      <c r="BBJ74" s="609"/>
      <c r="BBK74" s="609"/>
      <c r="BBL74" s="609"/>
      <c r="BBM74" s="609"/>
      <c r="BBN74" s="609"/>
      <c r="BBO74" s="609"/>
      <c r="BBP74" s="609"/>
      <c r="BBQ74" s="609"/>
      <c r="BBR74" s="609"/>
      <c r="BBS74" s="609"/>
      <c r="BBT74" s="609"/>
      <c r="BBU74" s="609"/>
      <c r="BBV74" s="609"/>
      <c r="BBW74" s="609"/>
      <c r="BBX74" s="609"/>
      <c r="BBY74" s="609"/>
      <c r="BBZ74" s="609"/>
      <c r="BCA74" s="609"/>
      <c r="BCB74" s="609"/>
      <c r="BCC74" s="609"/>
      <c r="BCD74" s="609"/>
      <c r="BCE74" s="609"/>
      <c r="BCF74" s="609"/>
      <c r="BCG74" s="609"/>
      <c r="BCH74" s="609"/>
      <c r="BCI74" s="609"/>
      <c r="BCJ74" s="609"/>
      <c r="BCK74" s="609"/>
      <c r="BCL74" s="609"/>
      <c r="BCM74" s="609"/>
      <c r="BCN74" s="609"/>
      <c r="BCO74" s="609"/>
      <c r="BCP74" s="609"/>
      <c r="BCQ74" s="609"/>
      <c r="BCR74" s="609"/>
      <c r="BCS74" s="609"/>
      <c r="BCT74" s="609"/>
      <c r="BCU74" s="609"/>
      <c r="BCV74" s="609"/>
      <c r="BCW74" s="609"/>
      <c r="BCX74" s="609"/>
      <c r="BCY74" s="609"/>
      <c r="BCZ74" s="609"/>
      <c r="BDA74" s="609"/>
      <c r="BDB74" s="609"/>
      <c r="BDC74" s="609"/>
      <c r="BDD74" s="609"/>
      <c r="BDE74" s="609"/>
      <c r="BDF74" s="609"/>
      <c r="BDG74" s="609"/>
      <c r="BDH74" s="609"/>
      <c r="BDI74" s="609"/>
      <c r="BDJ74" s="609"/>
      <c r="BDK74" s="609"/>
      <c r="BDL74" s="609"/>
      <c r="BDM74" s="609"/>
      <c r="BDN74" s="609"/>
      <c r="BDO74" s="609"/>
      <c r="BDP74" s="609"/>
      <c r="BDQ74" s="609"/>
      <c r="BDR74" s="609"/>
      <c r="BDS74" s="609"/>
      <c r="BDT74" s="609"/>
      <c r="BDU74" s="609"/>
      <c r="BDV74" s="609"/>
      <c r="BDW74" s="609"/>
      <c r="BDX74" s="609"/>
      <c r="BDY74" s="609"/>
      <c r="BDZ74" s="609"/>
      <c r="BEA74" s="609"/>
      <c r="BEB74" s="609"/>
      <c r="BEC74" s="609"/>
      <c r="BED74" s="609"/>
      <c r="BEE74" s="609"/>
      <c r="BEF74" s="609"/>
      <c r="BEG74" s="609"/>
      <c r="BEH74" s="609"/>
      <c r="BEI74" s="609"/>
      <c r="BEJ74" s="609"/>
      <c r="BEK74" s="609"/>
      <c r="BEL74" s="609"/>
      <c r="BEM74" s="609"/>
      <c r="BEN74" s="609"/>
      <c r="BEO74" s="609"/>
      <c r="BEP74" s="609"/>
      <c r="BEQ74" s="609"/>
      <c r="BER74" s="609"/>
      <c r="BES74" s="609"/>
      <c r="BET74" s="609"/>
      <c r="BEU74" s="609"/>
      <c r="BEV74" s="609"/>
      <c r="BEW74" s="609"/>
      <c r="BEX74" s="609"/>
      <c r="BEY74" s="609"/>
      <c r="BEZ74" s="609"/>
      <c r="BFA74" s="609"/>
      <c r="BFB74" s="609"/>
      <c r="BFC74" s="609"/>
      <c r="BFD74" s="609"/>
      <c r="BFE74" s="609"/>
      <c r="BFF74" s="609"/>
      <c r="BFG74" s="609"/>
      <c r="BFH74" s="609"/>
      <c r="BFI74" s="609"/>
      <c r="BFJ74" s="609"/>
      <c r="BFK74" s="609"/>
      <c r="BFL74" s="609"/>
      <c r="BFM74" s="609"/>
      <c r="BFN74" s="609"/>
      <c r="BFO74" s="609"/>
      <c r="BFP74" s="609"/>
      <c r="BFQ74" s="609"/>
      <c r="BFR74" s="609"/>
      <c r="BFS74" s="609"/>
      <c r="BFT74" s="609"/>
      <c r="BFU74" s="609"/>
      <c r="BFV74" s="609"/>
      <c r="BFW74" s="609"/>
      <c r="BFX74" s="609"/>
      <c r="BFY74" s="609"/>
      <c r="BFZ74" s="609"/>
      <c r="BGA74" s="609"/>
      <c r="BGB74" s="609"/>
      <c r="BGC74" s="609"/>
      <c r="BGD74" s="609"/>
      <c r="BGE74" s="609"/>
      <c r="BGF74" s="609"/>
      <c r="BGG74" s="609"/>
      <c r="BGH74" s="609"/>
      <c r="BGI74" s="609"/>
      <c r="BGJ74" s="609"/>
      <c r="BGK74" s="609"/>
      <c r="BGL74" s="609"/>
      <c r="BGM74" s="609"/>
      <c r="BGN74" s="609"/>
      <c r="BGO74" s="609"/>
      <c r="BGP74" s="609"/>
      <c r="BGQ74" s="609"/>
      <c r="BGR74" s="609"/>
      <c r="BGS74" s="609"/>
      <c r="BGT74" s="609"/>
      <c r="BGU74" s="609"/>
      <c r="BGV74" s="609"/>
      <c r="BGW74" s="609"/>
      <c r="BGX74" s="609"/>
      <c r="BGY74" s="609"/>
      <c r="BGZ74" s="609"/>
      <c r="BHA74" s="609"/>
      <c r="BHB74" s="609"/>
      <c r="BHC74" s="609"/>
      <c r="BHD74" s="609"/>
      <c r="BHE74" s="609"/>
      <c r="BHF74" s="609"/>
      <c r="BHG74" s="609"/>
      <c r="BHH74" s="609"/>
      <c r="BHI74" s="609"/>
      <c r="BHJ74" s="609"/>
      <c r="BHK74" s="609"/>
      <c r="BHL74" s="609"/>
      <c r="BHM74" s="609"/>
      <c r="BHN74" s="609"/>
      <c r="BHO74" s="609"/>
      <c r="BHP74" s="609"/>
      <c r="BHQ74" s="609"/>
      <c r="BHR74" s="609"/>
      <c r="BHS74" s="609"/>
      <c r="BHT74" s="609"/>
      <c r="BHU74" s="609"/>
      <c r="BHV74" s="609"/>
      <c r="BHW74" s="609"/>
      <c r="BHX74" s="609"/>
      <c r="BHY74" s="609"/>
      <c r="BHZ74" s="609"/>
      <c r="BIA74" s="609"/>
      <c r="BIB74" s="609"/>
      <c r="BIC74" s="609"/>
      <c r="BID74" s="609"/>
      <c r="BIE74" s="609"/>
      <c r="BIF74" s="609"/>
      <c r="BIG74" s="609"/>
      <c r="BIH74" s="609"/>
      <c r="BII74" s="609"/>
      <c r="BIJ74" s="609"/>
      <c r="BIK74" s="609"/>
      <c r="BIL74" s="609"/>
      <c r="BIM74" s="609"/>
      <c r="BIN74" s="609"/>
      <c r="BIO74" s="609"/>
      <c r="BIP74" s="609"/>
      <c r="BIQ74" s="609"/>
      <c r="BIR74" s="609"/>
      <c r="BIS74" s="609"/>
      <c r="BIT74" s="609"/>
      <c r="BIU74" s="609"/>
      <c r="BIV74" s="609"/>
      <c r="BIW74" s="609"/>
      <c r="BIX74" s="609"/>
      <c r="BIY74" s="609"/>
      <c r="BIZ74" s="609"/>
      <c r="BJA74" s="609"/>
      <c r="BJB74" s="609"/>
      <c r="BJC74" s="609"/>
      <c r="BJD74" s="609"/>
      <c r="BJE74" s="609"/>
      <c r="BJF74" s="609"/>
      <c r="BJG74" s="609"/>
      <c r="BJH74" s="609"/>
      <c r="BJI74" s="609"/>
      <c r="BJJ74" s="609"/>
      <c r="BJK74" s="609"/>
      <c r="BJL74" s="609"/>
      <c r="BJM74" s="609"/>
      <c r="BJN74" s="609"/>
      <c r="BJO74" s="609"/>
      <c r="BJP74" s="609"/>
      <c r="BJQ74" s="609"/>
      <c r="BJR74" s="609"/>
      <c r="BJS74" s="609"/>
      <c r="BJT74" s="609"/>
      <c r="BJU74" s="609"/>
      <c r="BJV74" s="609"/>
      <c r="BJW74" s="609"/>
      <c r="BJX74" s="609"/>
      <c r="BJY74" s="609"/>
      <c r="BJZ74" s="609"/>
      <c r="BKA74" s="609"/>
      <c r="BKB74" s="609"/>
      <c r="BKC74" s="609"/>
      <c r="BKD74" s="609"/>
      <c r="BKE74" s="609"/>
      <c r="BKF74" s="609"/>
      <c r="BKG74" s="609"/>
      <c r="BKH74" s="609"/>
      <c r="BKI74" s="609"/>
      <c r="BKJ74" s="609"/>
      <c r="BKK74" s="609"/>
      <c r="BKL74" s="609"/>
      <c r="BKM74" s="609"/>
      <c r="BKN74" s="609"/>
      <c r="BKO74" s="609"/>
      <c r="BKP74" s="609"/>
      <c r="BKQ74" s="609"/>
      <c r="BKR74" s="609"/>
      <c r="BKS74" s="609"/>
      <c r="BKT74" s="609"/>
      <c r="BKU74" s="609"/>
      <c r="BKV74" s="609"/>
      <c r="BKW74" s="609"/>
      <c r="BKX74" s="609"/>
      <c r="BKY74" s="609"/>
      <c r="BKZ74" s="609"/>
      <c r="BLA74" s="609"/>
      <c r="BLB74" s="609"/>
      <c r="BLC74" s="609"/>
      <c r="BLD74" s="609"/>
      <c r="BLE74" s="609"/>
      <c r="BLF74" s="609"/>
      <c r="BLG74" s="609"/>
      <c r="BLH74" s="609"/>
      <c r="BLI74" s="609"/>
      <c r="BLJ74" s="609"/>
      <c r="BLK74" s="609"/>
      <c r="BLL74" s="609"/>
      <c r="BLM74" s="609"/>
      <c r="BLN74" s="609"/>
      <c r="BLO74" s="609"/>
      <c r="BLP74" s="609"/>
      <c r="BLQ74" s="609"/>
      <c r="BLR74" s="609"/>
      <c r="BLS74" s="609"/>
      <c r="BLT74" s="609"/>
      <c r="BLU74" s="609"/>
      <c r="BLV74" s="609"/>
      <c r="BLW74" s="609"/>
      <c r="BLX74" s="609"/>
      <c r="BLY74" s="609"/>
      <c r="BLZ74" s="609"/>
      <c r="BMA74" s="609"/>
      <c r="BMB74" s="609"/>
      <c r="BMC74" s="609"/>
      <c r="BMD74" s="609"/>
      <c r="BME74" s="609"/>
      <c r="BMF74" s="609"/>
      <c r="BMG74" s="609"/>
      <c r="BMH74" s="609"/>
      <c r="BMI74" s="609"/>
      <c r="BMJ74" s="609"/>
      <c r="BMK74" s="609"/>
      <c r="BML74" s="609"/>
      <c r="BMM74" s="609"/>
      <c r="BMN74" s="609"/>
      <c r="BMO74" s="609"/>
      <c r="BMP74" s="609"/>
      <c r="BMQ74" s="609"/>
      <c r="BMR74" s="609"/>
      <c r="BMS74" s="609"/>
      <c r="BMT74" s="609"/>
      <c r="BMU74" s="609"/>
      <c r="BMV74" s="609"/>
      <c r="BMW74" s="609"/>
      <c r="BMX74" s="609"/>
      <c r="BMY74" s="609"/>
      <c r="BMZ74" s="609"/>
      <c r="BNA74" s="609"/>
      <c r="BNB74" s="609"/>
      <c r="BNC74" s="609"/>
      <c r="BND74" s="609"/>
      <c r="BNE74" s="609"/>
      <c r="BNF74" s="609"/>
      <c r="BNG74" s="609"/>
      <c r="BNH74" s="609"/>
      <c r="BNI74" s="609"/>
      <c r="BNJ74" s="609"/>
      <c r="BNK74" s="609"/>
      <c r="BNL74" s="609"/>
      <c r="BNM74" s="609"/>
      <c r="BNN74" s="609"/>
      <c r="BNO74" s="609"/>
      <c r="BNP74" s="609"/>
      <c r="BNQ74" s="609"/>
      <c r="BNR74" s="609"/>
      <c r="BNS74" s="609"/>
      <c r="BNT74" s="609"/>
      <c r="BNU74" s="609"/>
      <c r="BNV74" s="609"/>
      <c r="BNW74" s="609"/>
      <c r="BNX74" s="609"/>
      <c r="BNY74" s="609"/>
      <c r="BNZ74" s="609"/>
      <c r="BOA74" s="609"/>
      <c r="BOB74" s="609"/>
      <c r="BOC74" s="609"/>
      <c r="BOD74" s="609"/>
      <c r="BOE74" s="609"/>
      <c r="BOF74" s="609"/>
      <c r="BOG74" s="609"/>
      <c r="BOH74" s="609"/>
      <c r="BOI74" s="609"/>
      <c r="BOJ74" s="609"/>
      <c r="BOK74" s="609"/>
      <c r="BOL74" s="609"/>
      <c r="BOM74" s="609"/>
      <c r="BON74" s="609"/>
      <c r="BOO74" s="609"/>
      <c r="BOP74" s="609"/>
      <c r="BOQ74" s="609"/>
      <c r="BOR74" s="609"/>
      <c r="BOS74" s="609"/>
      <c r="BOT74" s="609"/>
      <c r="BOU74" s="609"/>
      <c r="BOV74" s="609"/>
      <c r="BOW74" s="609"/>
      <c r="BOX74" s="609"/>
      <c r="BOY74" s="609"/>
      <c r="BOZ74" s="609"/>
      <c r="BPA74" s="609"/>
      <c r="BPB74" s="609"/>
      <c r="BPC74" s="609"/>
      <c r="BPD74" s="609"/>
      <c r="BPE74" s="609"/>
      <c r="BPF74" s="609"/>
      <c r="BPG74" s="609"/>
      <c r="BPH74" s="609"/>
      <c r="BPI74" s="609"/>
      <c r="BPJ74" s="609"/>
      <c r="BPK74" s="609"/>
      <c r="BPL74" s="609"/>
      <c r="BPM74" s="609"/>
      <c r="BPN74" s="609"/>
      <c r="BPO74" s="609"/>
      <c r="BPP74" s="609"/>
      <c r="BPQ74" s="609"/>
      <c r="BPR74" s="609"/>
      <c r="BPS74" s="609"/>
      <c r="BPT74" s="609"/>
      <c r="BPU74" s="609"/>
      <c r="BPV74" s="609"/>
      <c r="BPW74" s="609"/>
      <c r="BPX74" s="609"/>
      <c r="BPY74" s="609"/>
      <c r="BPZ74" s="609"/>
      <c r="BQA74" s="609"/>
      <c r="BQB74" s="609"/>
      <c r="BQC74" s="609"/>
      <c r="BQD74" s="609"/>
      <c r="BQE74" s="609"/>
      <c r="BQF74" s="609"/>
      <c r="BQG74" s="609"/>
      <c r="BQH74" s="609"/>
      <c r="BQI74" s="609"/>
      <c r="BQJ74" s="609"/>
      <c r="BQK74" s="609"/>
      <c r="BQL74" s="609"/>
      <c r="BQM74" s="609"/>
      <c r="BQN74" s="609"/>
      <c r="BQO74" s="609"/>
      <c r="BQP74" s="609"/>
      <c r="BQQ74" s="609"/>
      <c r="BQR74" s="609"/>
      <c r="BQS74" s="609"/>
      <c r="BQT74" s="609"/>
      <c r="BQU74" s="609"/>
      <c r="BQV74" s="609"/>
      <c r="BQW74" s="609"/>
      <c r="BQX74" s="609"/>
      <c r="BQY74" s="609"/>
      <c r="BQZ74" s="609"/>
      <c r="BRA74" s="609"/>
      <c r="BRB74" s="609"/>
      <c r="BRC74" s="609"/>
      <c r="BRD74" s="609"/>
      <c r="BRE74" s="609"/>
      <c r="BRF74" s="609"/>
      <c r="BRG74" s="609"/>
      <c r="BRH74" s="609"/>
      <c r="BRI74" s="609"/>
      <c r="BRJ74" s="609"/>
      <c r="BRK74" s="609"/>
      <c r="BRL74" s="609"/>
      <c r="BRM74" s="609"/>
      <c r="BRN74" s="609"/>
      <c r="BRO74" s="609"/>
      <c r="BRP74" s="609"/>
      <c r="BRQ74" s="609"/>
      <c r="BRR74" s="609"/>
      <c r="BRS74" s="609"/>
      <c r="BRT74" s="609"/>
      <c r="BRU74" s="609"/>
      <c r="BRV74" s="609"/>
      <c r="BRW74" s="609"/>
      <c r="BRX74" s="609"/>
      <c r="BRY74" s="609"/>
      <c r="BRZ74" s="609"/>
      <c r="BSA74" s="609"/>
      <c r="BSB74" s="609"/>
      <c r="BSC74" s="609"/>
      <c r="BSD74" s="609"/>
      <c r="BSE74" s="609"/>
      <c r="BSF74" s="609"/>
      <c r="BSG74" s="609"/>
      <c r="BSH74" s="609"/>
      <c r="BSI74" s="609"/>
      <c r="BSJ74" s="609"/>
      <c r="BSK74" s="609"/>
      <c r="BSL74" s="609"/>
      <c r="BSM74" s="609"/>
      <c r="BSN74" s="609"/>
      <c r="BSO74" s="609"/>
      <c r="BSP74" s="609"/>
      <c r="BSQ74" s="609"/>
      <c r="BSR74" s="609"/>
      <c r="BSS74" s="609"/>
      <c r="BST74" s="609"/>
      <c r="BSU74" s="609"/>
      <c r="BSV74" s="609"/>
      <c r="BSW74" s="609"/>
      <c r="BSX74" s="609"/>
      <c r="BSY74" s="609"/>
      <c r="BSZ74" s="609"/>
      <c r="BTA74" s="609"/>
      <c r="BTB74" s="609"/>
      <c r="BTC74" s="609"/>
      <c r="BTD74" s="609"/>
      <c r="BTE74" s="609"/>
      <c r="BTF74" s="609"/>
      <c r="BTG74" s="609"/>
      <c r="BTH74" s="609"/>
      <c r="BTI74" s="609"/>
      <c r="BTJ74" s="609"/>
      <c r="BTK74" s="609"/>
      <c r="BTL74" s="609"/>
      <c r="BTM74" s="609"/>
      <c r="BTN74" s="609"/>
      <c r="BTO74" s="609"/>
      <c r="BTP74" s="609"/>
      <c r="BTQ74" s="609"/>
      <c r="BTR74" s="609"/>
      <c r="BTS74" s="609"/>
      <c r="BTT74" s="609"/>
      <c r="BTU74" s="609"/>
      <c r="BTV74" s="609"/>
      <c r="BTW74" s="609"/>
      <c r="BTX74" s="609"/>
      <c r="BTY74" s="609"/>
      <c r="BTZ74" s="609"/>
      <c r="BUA74" s="609"/>
      <c r="BUB74" s="609"/>
      <c r="BUC74" s="609"/>
      <c r="BUD74" s="609"/>
      <c r="BUE74" s="609"/>
      <c r="BUF74" s="609"/>
      <c r="BUG74" s="609"/>
      <c r="BUH74" s="609"/>
      <c r="BUI74" s="609"/>
      <c r="BUJ74" s="609"/>
      <c r="BUK74" s="609"/>
      <c r="BUL74" s="609"/>
      <c r="BUM74" s="609"/>
      <c r="BUN74" s="609"/>
      <c r="BUO74" s="609"/>
      <c r="BUP74" s="609"/>
      <c r="BUQ74" s="609"/>
      <c r="BUR74" s="609"/>
      <c r="BUS74" s="609"/>
      <c r="BUT74" s="609"/>
      <c r="BUU74" s="609"/>
      <c r="BUV74" s="609"/>
      <c r="BUW74" s="609"/>
      <c r="BUX74" s="609"/>
      <c r="BUY74" s="609"/>
      <c r="BUZ74" s="609"/>
      <c r="BVA74" s="609"/>
      <c r="BVB74" s="609"/>
      <c r="BVC74" s="609"/>
      <c r="BVD74" s="609"/>
      <c r="BVE74" s="609"/>
      <c r="BVF74" s="609"/>
      <c r="BVG74" s="609"/>
      <c r="BVH74" s="609"/>
      <c r="BVI74" s="609"/>
      <c r="BVJ74" s="609"/>
      <c r="BVK74" s="609"/>
      <c r="BVL74" s="609"/>
      <c r="BVM74" s="609"/>
      <c r="BVN74" s="609"/>
      <c r="BVO74" s="609"/>
      <c r="BVP74" s="609"/>
      <c r="BVQ74" s="609"/>
      <c r="BVR74" s="609"/>
      <c r="BVS74" s="609"/>
      <c r="BVT74" s="609"/>
      <c r="BVU74" s="609"/>
      <c r="BVV74" s="609"/>
      <c r="BVW74" s="609"/>
      <c r="BVX74" s="609"/>
      <c r="BVY74" s="609"/>
      <c r="BVZ74" s="609"/>
      <c r="BWA74" s="609"/>
      <c r="BWB74" s="609"/>
      <c r="BWC74" s="609"/>
      <c r="BWD74" s="609"/>
      <c r="BWE74" s="609"/>
      <c r="BWF74" s="609"/>
      <c r="BWG74" s="609"/>
      <c r="BWH74" s="609"/>
      <c r="BWI74" s="609"/>
      <c r="BWJ74" s="609"/>
      <c r="BWK74" s="609"/>
      <c r="BWL74" s="609"/>
      <c r="BWM74" s="609"/>
      <c r="BWN74" s="609"/>
      <c r="BWO74" s="609"/>
      <c r="BWP74" s="609"/>
      <c r="BWQ74" s="609"/>
      <c r="BWR74" s="609"/>
      <c r="BWS74" s="609"/>
      <c r="BWT74" s="609"/>
      <c r="BWU74" s="609"/>
      <c r="BWV74" s="609"/>
      <c r="BWW74" s="609"/>
      <c r="BWX74" s="609"/>
      <c r="BWY74" s="609"/>
      <c r="BWZ74" s="609"/>
      <c r="BXA74" s="609"/>
      <c r="BXB74" s="609"/>
      <c r="BXC74" s="609"/>
      <c r="BXD74" s="609"/>
      <c r="BXE74" s="609"/>
      <c r="BXF74" s="609"/>
      <c r="BXG74" s="609"/>
      <c r="BXH74" s="609"/>
      <c r="BXI74" s="609"/>
      <c r="BXJ74" s="609"/>
      <c r="BXK74" s="609"/>
      <c r="BXL74" s="609"/>
      <c r="BXM74" s="609"/>
      <c r="BXN74" s="609"/>
      <c r="BXO74" s="609"/>
      <c r="BXP74" s="609"/>
      <c r="BXQ74" s="609"/>
      <c r="BXR74" s="609"/>
      <c r="BXS74" s="609"/>
      <c r="BXT74" s="609"/>
      <c r="BXU74" s="609"/>
      <c r="BXV74" s="609"/>
      <c r="BXW74" s="609"/>
      <c r="BXX74" s="609"/>
      <c r="BXY74" s="609"/>
      <c r="BXZ74" s="609"/>
      <c r="BYA74" s="609"/>
      <c r="BYB74" s="609"/>
      <c r="BYC74" s="609"/>
      <c r="BYD74" s="609"/>
      <c r="BYE74" s="609"/>
      <c r="BYF74" s="609"/>
      <c r="BYG74" s="609"/>
      <c r="BYH74" s="609"/>
      <c r="BYI74" s="609"/>
      <c r="BYJ74" s="609"/>
      <c r="BYK74" s="609"/>
      <c r="BYL74" s="609"/>
      <c r="BYM74" s="609"/>
      <c r="BYN74" s="609"/>
      <c r="BYO74" s="609"/>
      <c r="BYP74" s="609"/>
      <c r="BYQ74" s="609"/>
      <c r="BYR74" s="609"/>
      <c r="BYS74" s="609"/>
      <c r="BYT74" s="609"/>
      <c r="BYU74" s="609"/>
      <c r="BYV74" s="609"/>
      <c r="BYW74" s="609"/>
      <c r="BYX74" s="609"/>
      <c r="BYY74" s="609"/>
      <c r="BYZ74" s="609"/>
      <c r="BZA74" s="609"/>
      <c r="BZB74" s="609"/>
      <c r="BZC74" s="609"/>
      <c r="BZD74" s="609"/>
      <c r="BZE74" s="609"/>
      <c r="BZF74" s="609"/>
      <c r="BZG74" s="609"/>
      <c r="BZH74" s="609"/>
      <c r="BZI74" s="609"/>
      <c r="BZJ74" s="609"/>
      <c r="BZK74" s="609"/>
      <c r="BZL74" s="609"/>
      <c r="BZM74" s="609"/>
      <c r="BZN74" s="609"/>
      <c r="BZO74" s="609"/>
      <c r="BZP74" s="609"/>
      <c r="BZQ74" s="609"/>
      <c r="BZR74" s="609"/>
      <c r="BZS74" s="609"/>
      <c r="BZT74" s="609"/>
      <c r="BZU74" s="609"/>
      <c r="BZV74" s="609"/>
      <c r="BZW74" s="609"/>
      <c r="BZX74" s="609"/>
      <c r="BZY74" s="609"/>
      <c r="BZZ74" s="609"/>
      <c r="CAA74" s="609"/>
      <c r="CAB74" s="609"/>
      <c r="CAC74" s="609"/>
      <c r="CAD74" s="609"/>
      <c r="CAE74" s="609"/>
      <c r="CAF74" s="609"/>
      <c r="CAG74" s="609"/>
      <c r="CAH74" s="609"/>
      <c r="CAI74" s="609"/>
      <c r="CAJ74" s="609"/>
      <c r="CAK74" s="609"/>
      <c r="CAL74" s="609"/>
      <c r="CAM74" s="609"/>
      <c r="CAN74" s="609"/>
      <c r="CAO74" s="609"/>
      <c r="CAP74" s="609"/>
      <c r="CAQ74" s="609"/>
      <c r="CAR74" s="609"/>
      <c r="CAS74" s="609"/>
      <c r="CAT74" s="609"/>
      <c r="CAU74" s="609"/>
      <c r="CAV74" s="609"/>
      <c r="CAW74" s="609"/>
      <c r="CAX74" s="609"/>
      <c r="CAY74" s="609"/>
      <c r="CAZ74" s="609"/>
      <c r="CBA74" s="609"/>
      <c r="CBB74" s="609"/>
      <c r="CBC74" s="609"/>
      <c r="CBD74" s="609"/>
      <c r="CBE74" s="609"/>
      <c r="CBF74" s="609"/>
      <c r="CBG74" s="609"/>
      <c r="CBH74" s="609"/>
      <c r="CBI74" s="609"/>
      <c r="CBJ74" s="609"/>
      <c r="CBK74" s="609"/>
      <c r="CBL74" s="609"/>
      <c r="CBM74" s="609"/>
      <c r="CBN74" s="609"/>
      <c r="CBO74" s="609"/>
      <c r="CBP74" s="609"/>
      <c r="CBQ74" s="609"/>
      <c r="CBR74" s="609"/>
      <c r="CBS74" s="609"/>
      <c r="CBT74" s="609"/>
      <c r="CBU74" s="609"/>
      <c r="CBV74" s="609"/>
      <c r="CBW74" s="609"/>
      <c r="CBX74" s="609"/>
      <c r="CBY74" s="609"/>
      <c r="CBZ74" s="609"/>
      <c r="CCA74" s="609"/>
      <c r="CCB74" s="609"/>
      <c r="CCC74" s="609"/>
      <c r="CCD74" s="609"/>
      <c r="CCE74" s="609"/>
      <c r="CCF74" s="609"/>
      <c r="CCG74" s="609"/>
      <c r="CCH74" s="609"/>
      <c r="CCI74" s="609"/>
      <c r="CCJ74" s="609"/>
      <c r="CCK74" s="609"/>
      <c r="CCL74" s="609"/>
      <c r="CCM74" s="609"/>
      <c r="CCN74" s="609"/>
      <c r="CCO74" s="609"/>
      <c r="CCP74" s="609"/>
      <c r="CCQ74" s="609"/>
      <c r="CCR74" s="609"/>
      <c r="CCS74" s="609"/>
      <c r="CCT74" s="609"/>
      <c r="CCU74" s="609"/>
      <c r="CCV74" s="609"/>
      <c r="CCW74" s="609"/>
      <c r="CCX74" s="609"/>
      <c r="CCY74" s="609"/>
      <c r="CCZ74" s="609"/>
      <c r="CDA74" s="609"/>
      <c r="CDB74" s="609"/>
      <c r="CDC74" s="609"/>
      <c r="CDD74" s="609"/>
      <c r="CDE74" s="609"/>
      <c r="CDF74" s="609"/>
      <c r="CDG74" s="609"/>
      <c r="CDH74" s="609"/>
      <c r="CDI74" s="609"/>
      <c r="CDJ74" s="609"/>
      <c r="CDK74" s="609"/>
      <c r="CDL74" s="609"/>
      <c r="CDM74" s="609"/>
      <c r="CDN74" s="609"/>
      <c r="CDO74" s="609"/>
      <c r="CDP74" s="609"/>
      <c r="CDQ74" s="609"/>
      <c r="CDR74" s="609"/>
      <c r="CDS74" s="609"/>
      <c r="CDT74" s="609"/>
      <c r="CDU74" s="609"/>
      <c r="CDV74" s="609"/>
      <c r="CDW74" s="609"/>
      <c r="CDX74" s="609"/>
      <c r="CDY74" s="609"/>
      <c r="CDZ74" s="609"/>
      <c r="CEA74" s="609"/>
      <c r="CEB74" s="609"/>
      <c r="CEC74" s="609"/>
      <c r="CED74" s="609"/>
      <c r="CEE74" s="609"/>
      <c r="CEF74" s="609"/>
      <c r="CEG74" s="609"/>
      <c r="CEH74" s="609"/>
      <c r="CEI74" s="609"/>
      <c r="CEJ74" s="609"/>
      <c r="CEK74" s="609"/>
      <c r="CEL74" s="609"/>
      <c r="CEM74" s="609"/>
      <c r="CEN74" s="609"/>
      <c r="CEO74" s="609"/>
      <c r="CEP74" s="609"/>
      <c r="CEQ74" s="609"/>
      <c r="CER74" s="609"/>
      <c r="CES74" s="609"/>
      <c r="CET74" s="609"/>
      <c r="CEU74" s="609"/>
      <c r="CEV74" s="609"/>
      <c r="CEW74" s="609"/>
      <c r="CEX74" s="609"/>
      <c r="CEY74" s="609"/>
      <c r="CEZ74" s="609"/>
      <c r="CFA74" s="609"/>
      <c r="CFB74" s="609"/>
      <c r="CFC74" s="609"/>
      <c r="CFD74" s="609"/>
      <c r="CFE74" s="609"/>
      <c r="CFF74" s="609"/>
      <c r="CFG74" s="609"/>
      <c r="CFH74" s="609"/>
      <c r="CFI74" s="609"/>
      <c r="CFJ74" s="609"/>
      <c r="CFK74" s="609"/>
      <c r="CFL74" s="609"/>
      <c r="CFM74" s="609"/>
      <c r="CFN74" s="609"/>
      <c r="CFO74" s="609"/>
      <c r="CFP74" s="609"/>
      <c r="CFQ74" s="609"/>
      <c r="CFR74" s="609"/>
      <c r="CFS74" s="609"/>
      <c r="CFT74" s="609"/>
      <c r="CFU74" s="609"/>
      <c r="CFV74" s="609"/>
      <c r="CFW74" s="609"/>
      <c r="CFX74" s="609"/>
      <c r="CFY74" s="609"/>
      <c r="CFZ74" s="609"/>
      <c r="CGA74" s="609"/>
      <c r="CGB74" s="609"/>
      <c r="CGC74" s="609"/>
      <c r="CGD74" s="609"/>
      <c r="CGE74" s="609"/>
      <c r="CGF74" s="609"/>
      <c r="CGG74" s="609"/>
      <c r="CGH74" s="609"/>
      <c r="CGI74" s="609"/>
      <c r="CGJ74" s="609"/>
      <c r="CGK74" s="609"/>
      <c r="CGL74" s="609"/>
      <c r="CGM74" s="609"/>
      <c r="CGN74" s="609"/>
      <c r="CGO74" s="609"/>
      <c r="CGP74" s="609"/>
      <c r="CGQ74" s="609"/>
      <c r="CGR74" s="609"/>
      <c r="CGS74" s="609"/>
      <c r="CGT74" s="609"/>
      <c r="CGU74" s="609"/>
      <c r="CGV74" s="609"/>
      <c r="CGW74" s="609"/>
      <c r="CGX74" s="609"/>
      <c r="CGY74" s="609"/>
      <c r="CGZ74" s="609"/>
      <c r="CHA74" s="609"/>
      <c r="CHB74" s="609"/>
      <c r="CHC74" s="609"/>
      <c r="CHD74" s="609"/>
      <c r="CHE74" s="609"/>
      <c r="CHF74" s="609"/>
      <c r="CHG74" s="609"/>
      <c r="CHH74" s="609"/>
      <c r="CHI74" s="609"/>
      <c r="CHJ74" s="609"/>
      <c r="CHK74" s="609"/>
      <c r="CHL74" s="609"/>
      <c r="CHM74" s="609"/>
      <c r="CHN74" s="609"/>
      <c r="CHO74" s="609"/>
      <c r="CHP74" s="609"/>
      <c r="CHQ74" s="609"/>
      <c r="CHR74" s="609"/>
      <c r="CHS74" s="609"/>
      <c r="CHT74" s="609"/>
      <c r="CHU74" s="609"/>
      <c r="CHV74" s="609"/>
      <c r="CHW74" s="609"/>
      <c r="CHX74" s="609"/>
      <c r="CHY74" s="609"/>
      <c r="CHZ74" s="609"/>
      <c r="CIA74" s="609"/>
      <c r="CIB74" s="609"/>
      <c r="CIC74" s="609"/>
      <c r="CID74" s="609"/>
      <c r="CIE74" s="609"/>
      <c r="CIF74" s="609"/>
      <c r="CIG74" s="609"/>
      <c r="CIH74" s="609"/>
      <c r="CII74" s="609"/>
      <c r="CIJ74" s="609"/>
      <c r="CIK74" s="609"/>
      <c r="CIL74" s="609"/>
      <c r="CIM74" s="609"/>
      <c r="CIN74" s="609"/>
      <c r="CIO74" s="609"/>
      <c r="CIP74" s="609"/>
      <c r="CIQ74" s="609"/>
      <c r="CIR74" s="609"/>
      <c r="CIS74" s="609"/>
      <c r="CIT74" s="609"/>
      <c r="CIU74" s="609"/>
      <c r="CIV74" s="609"/>
      <c r="CIW74" s="609"/>
      <c r="CIX74" s="609"/>
      <c r="CIY74" s="609"/>
      <c r="CIZ74" s="609"/>
      <c r="CJA74" s="609"/>
      <c r="CJB74" s="609"/>
      <c r="CJC74" s="609"/>
      <c r="CJD74" s="609"/>
      <c r="CJE74" s="609"/>
      <c r="CJF74" s="609"/>
      <c r="CJG74" s="609"/>
      <c r="CJH74" s="609"/>
      <c r="CJI74" s="609"/>
      <c r="CJJ74" s="609"/>
      <c r="CJK74" s="609"/>
      <c r="CJL74" s="609"/>
      <c r="CJM74" s="609"/>
      <c r="CJN74" s="609"/>
      <c r="CJO74" s="609"/>
      <c r="CJP74" s="609"/>
      <c r="CJQ74" s="609"/>
      <c r="CJR74" s="609"/>
      <c r="CJS74" s="609"/>
      <c r="CJT74" s="609"/>
      <c r="CJU74" s="609"/>
      <c r="CJV74" s="609"/>
      <c r="CJW74" s="609"/>
      <c r="CJX74" s="609"/>
      <c r="CJY74" s="609"/>
      <c r="CJZ74" s="609"/>
      <c r="CKA74" s="609"/>
      <c r="CKB74" s="609"/>
      <c r="CKC74" s="609"/>
      <c r="CKD74" s="609"/>
      <c r="CKE74" s="609"/>
      <c r="CKF74" s="609"/>
      <c r="CKG74" s="609"/>
      <c r="CKH74" s="609"/>
      <c r="CKI74" s="609"/>
      <c r="CKJ74" s="609"/>
      <c r="CKK74" s="609"/>
      <c r="CKL74" s="609"/>
      <c r="CKM74" s="609"/>
      <c r="CKN74" s="609"/>
      <c r="CKO74" s="609"/>
      <c r="CKP74" s="609"/>
      <c r="CKQ74" s="609"/>
      <c r="CKR74" s="609"/>
      <c r="CKS74" s="609"/>
      <c r="CKT74" s="609"/>
      <c r="CKU74" s="609"/>
      <c r="CKV74" s="609"/>
      <c r="CKW74" s="609"/>
      <c r="CKX74" s="609"/>
      <c r="CKY74" s="609"/>
      <c r="CKZ74" s="609"/>
      <c r="CLA74" s="609"/>
      <c r="CLB74" s="609"/>
      <c r="CLC74" s="609"/>
      <c r="CLD74" s="609"/>
      <c r="CLE74" s="609"/>
      <c r="CLF74" s="609"/>
      <c r="CLG74" s="609"/>
      <c r="CLH74" s="609"/>
      <c r="CLI74" s="609"/>
      <c r="CLJ74" s="609"/>
      <c r="CLK74" s="609"/>
      <c r="CLL74" s="609"/>
      <c r="CLM74" s="609"/>
      <c r="CLN74" s="609"/>
      <c r="CLO74" s="609"/>
      <c r="CLP74" s="609"/>
      <c r="CLQ74" s="609"/>
      <c r="CLR74" s="609"/>
      <c r="CLS74" s="609"/>
      <c r="CLT74" s="609"/>
      <c r="CLU74" s="609"/>
      <c r="CLV74" s="609"/>
      <c r="CLW74" s="609"/>
      <c r="CLX74" s="609"/>
      <c r="CLY74" s="609"/>
      <c r="CLZ74" s="609"/>
      <c r="CMA74" s="609"/>
      <c r="CMB74" s="609"/>
      <c r="CMC74" s="609"/>
      <c r="CMD74" s="609"/>
      <c r="CME74" s="609"/>
      <c r="CMF74" s="609"/>
      <c r="CMG74" s="609"/>
      <c r="CMH74" s="609"/>
      <c r="CMI74" s="609"/>
      <c r="CMJ74" s="609"/>
      <c r="CMK74" s="609"/>
      <c r="CML74" s="609"/>
      <c r="CMM74" s="609"/>
      <c r="CMN74" s="609"/>
      <c r="CMO74" s="609"/>
      <c r="CMP74" s="609"/>
      <c r="CMQ74" s="609"/>
      <c r="CMR74" s="609"/>
      <c r="CMS74" s="609"/>
      <c r="CMT74" s="609"/>
      <c r="CMU74" s="609"/>
      <c r="CMV74" s="609"/>
      <c r="CMW74" s="609"/>
      <c r="CMX74" s="609"/>
      <c r="CMY74" s="609"/>
      <c r="CMZ74" s="609"/>
      <c r="CNA74" s="609"/>
      <c r="CNB74" s="609"/>
      <c r="CNC74" s="609"/>
      <c r="CND74" s="609"/>
      <c r="CNE74" s="609"/>
      <c r="CNF74" s="609"/>
      <c r="CNG74" s="609"/>
      <c r="CNH74" s="609"/>
      <c r="CNI74" s="609"/>
      <c r="CNJ74" s="609"/>
      <c r="CNK74" s="609"/>
      <c r="CNL74" s="609"/>
      <c r="CNM74" s="609"/>
      <c r="CNN74" s="609"/>
      <c r="CNO74" s="609"/>
      <c r="CNP74" s="609"/>
      <c r="CNQ74" s="609"/>
      <c r="CNR74" s="609"/>
      <c r="CNS74" s="609"/>
      <c r="CNT74" s="609"/>
      <c r="CNU74" s="609"/>
      <c r="CNV74" s="609"/>
      <c r="CNW74" s="609"/>
      <c r="CNX74" s="609"/>
      <c r="CNY74" s="609"/>
      <c r="CNZ74" s="609"/>
      <c r="COA74" s="609"/>
      <c r="COB74" s="609"/>
      <c r="COC74" s="609"/>
      <c r="COD74" s="609"/>
      <c r="COE74" s="609"/>
      <c r="COF74" s="609"/>
      <c r="COG74" s="609"/>
      <c r="COH74" s="609"/>
      <c r="COI74" s="609"/>
      <c r="COJ74" s="609"/>
      <c r="COK74" s="609"/>
      <c r="COL74" s="609"/>
      <c r="COM74" s="609"/>
      <c r="CON74" s="609"/>
      <c r="COO74" s="609"/>
      <c r="COP74" s="609"/>
      <c r="COQ74" s="609"/>
      <c r="COR74" s="609"/>
      <c r="COS74" s="609"/>
      <c r="COT74" s="609"/>
      <c r="COU74" s="609"/>
      <c r="COV74" s="609"/>
      <c r="COW74" s="609"/>
      <c r="COX74" s="609"/>
      <c r="COY74" s="609"/>
      <c r="COZ74" s="609"/>
      <c r="CPA74" s="609"/>
      <c r="CPB74" s="609"/>
      <c r="CPC74" s="609"/>
      <c r="CPD74" s="609"/>
      <c r="CPE74" s="609"/>
      <c r="CPF74" s="609"/>
      <c r="CPG74" s="609"/>
      <c r="CPH74" s="609"/>
      <c r="CPI74" s="609"/>
      <c r="CPJ74" s="609"/>
      <c r="CPK74" s="609"/>
      <c r="CPL74" s="609"/>
      <c r="CPM74" s="609"/>
      <c r="CPN74" s="609"/>
      <c r="CPO74" s="609"/>
      <c r="CPP74" s="609"/>
      <c r="CPQ74" s="609"/>
      <c r="CPR74" s="609"/>
      <c r="CPS74" s="609"/>
      <c r="CPT74" s="609"/>
      <c r="CPU74" s="609"/>
      <c r="CPV74" s="609"/>
      <c r="CPW74" s="609"/>
      <c r="CPX74" s="609"/>
      <c r="CPY74" s="609"/>
      <c r="CPZ74" s="609"/>
      <c r="CQA74" s="609"/>
      <c r="CQB74" s="609"/>
      <c r="CQC74" s="609"/>
      <c r="CQD74" s="609"/>
      <c r="CQE74" s="609"/>
      <c r="CQF74" s="609"/>
      <c r="CQG74" s="609"/>
      <c r="CQH74" s="609"/>
      <c r="CQI74" s="609"/>
      <c r="CQJ74" s="609"/>
      <c r="CQK74" s="609"/>
      <c r="CQL74" s="609"/>
      <c r="CQM74" s="609"/>
      <c r="CQN74" s="609"/>
      <c r="CQO74" s="609"/>
      <c r="CQP74" s="609"/>
      <c r="CQQ74" s="609"/>
      <c r="CQR74" s="609"/>
      <c r="CQS74" s="609"/>
      <c r="CQT74" s="609"/>
      <c r="CQU74" s="609"/>
      <c r="CQV74" s="609"/>
      <c r="CQW74" s="609"/>
      <c r="CQX74" s="609"/>
      <c r="CQY74" s="609"/>
      <c r="CQZ74" s="609"/>
      <c r="CRA74" s="609"/>
      <c r="CRB74" s="609"/>
      <c r="CRC74" s="609"/>
      <c r="CRD74" s="609"/>
      <c r="CRE74" s="609"/>
      <c r="CRF74" s="609"/>
      <c r="CRG74" s="609"/>
      <c r="CRH74" s="609"/>
      <c r="CRI74" s="609"/>
      <c r="CRJ74" s="609"/>
      <c r="CRK74" s="609"/>
      <c r="CRL74" s="609"/>
      <c r="CRM74" s="609"/>
      <c r="CRN74" s="609"/>
      <c r="CRO74" s="609"/>
      <c r="CRP74" s="609"/>
      <c r="CRQ74" s="609"/>
      <c r="CRR74" s="609"/>
      <c r="CRS74" s="609"/>
      <c r="CRT74" s="609"/>
      <c r="CRU74" s="609"/>
      <c r="CRV74" s="609"/>
      <c r="CRW74" s="609"/>
      <c r="CRX74" s="609"/>
      <c r="CRY74" s="609"/>
      <c r="CRZ74" s="609"/>
      <c r="CSA74" s="609"/>
      <c r="CSB74" s="609"/>
      <c r="CSC74" s="609"/>
      <c r="CSD74" s="609"/>
      <c r="CSE74" s="609"/>
      <c r="CSF74" s="609"/>
      <c r="CSG74" s="609"/>
      <c r="CSH74" s="609"/>
      <c r="CSI74" s="609"/>
      <c r="CSJ74" s="609"/>
      <c r="CSK74" s="609"/>
      <c r="CSL74" s="609"/>
      <c r="CSM74" s="609"/>
      <c r="CSN74" s="609"/>
      <c r="CSO74" s="609"/>
      <c r="CSP74" s="609"/>
      <c r="CSQ74" s="609"/>
      <c r="CSR74" s="609"/>
      <c r="CSS74" s="609"/>
      <c r="CST74" s="609"/>
      <c r="CSU74" s="609"/>
      <c r="CSV74" s="609"/>
      <c r="CSW74" s="609"/>
      <c r="CSX74" s="609"/>
      <c r="CSY74" s="609"/>
      <c r="CSZ74" s="609"/>
      <c r="CTA74" s="609"/>
      <c r="CTB74" s="609"/>
      <c r="CTC74" s="609"/>
      <c r="CTD74" s="609"/>
      <c r="CTE74" s="609"/>
      <c r="CTF74" s="609"/>
      <c r="CTG74" s="609"/>
      <c r="CTH74" s="609"/>
      <c r="CTI74" s="609"/>
      <c r="CTJ74" s="609"/>
      <c r="CTK74" s="609"/>
      <c r="CTL74" s="609"/>
      <c r="CTM74" s="609"/>
      <c r="CTN74" s="609"/>
      <c r="CTO74" s="609"/>
      <c r="CTP74" s="609"/>
      <c r="CTQ74" s="609"/>
      <c r="CTR74" s="609"/>
      <c r="CTS74" s="609"/>
      <c r="CTT74" s="609"/>
      <c r="CTU74" s="609"/>
      <c r="CTV74" s="609"/>
      <c r="CTW74" s="609"/>
      <c r="CTX74" s="609"/>
      <c r="CTY74" s="609"/>
      <c r="CTZ74" s="609"/>
      <c r="CUA74" s="609"/>
      <c r="CUB74" s="609"/>
      <c r="CUC74" s="609"/>
      <c r="CUD74" s="609"/>
      <c r="CUE74" s="609"/>
      <c r="CUF74" s="609"/>
      <c r="CUG74" s="609"/>
      <c r="CUH74" s="609"/>
      <c r="CUI74" s="609"/>
      <c r="CUJ74" s="609"/>
      <c r="CUK74" s="609"/>
      <c r="CUL74" s="609"/>
      <c r="CUM74" s="609"/>
      <c r="CUN74" s="609"/>
      <c r="CUO74" s="609"/>
      <c r="CUP74" s="609"/>
      <c r="CUQ74" s="609"/>
      <c r="CUR74" s="609"/>
      <c r="CUS74" s="609"/>
      <c r="CUT74" s="609"/>
      <c r="CUU74" s="609"/>
      <c r="CUV74" s="609"/>
      <c r="CUW74" s="609"/>
      <c r="CUX74" s="609"/>
      <c r="CUY74" s="609"/>
      <c r="CUZ74" s="609"/>
      <c r="CVA74" s="609"/>
      <c r="CVB74" s="609"/>
      <c r="CVC74" s="609"/>
      <c r="CVD74" s="609"/>
      <c r="CVE74" s="609"/>
      <c r="CVF74" s="609"/>
      <c r="CVG74" s="609"/>
      <c r="CVH74" s="609"/>
      <c r="CVI74" s="609"/>
      <c r="CVJ74" s="609"/>
      <c r="CVK74" s="609"/>
      <c r="CVL74" s="609"/>
      <c r="CVM74" s="609"/>
      <c r="CVN74" s="609"/>
      <c r="CVO74" s="609"/>
      <c r="CVP74" s="609"/>
      <c r="CVQ74" s="609"/>
      <c r="CVR74" s="609"/>
      <c r="CVS74" s="609"/>
      <c r="CVT74" s="609"/>
      <c r="CVU74" s="609"/>
      <c r="CVV74" s="609"/>
      <c r="CVW74" s="609"/>
      <c r="CVX74" s="609"/>
      <c r="CVY74" s="609"/>
      <c r="CVZ74" s="609"/>
      <c r="CWA74" s="609"/>
      <c r="CWB74" s="609"/>
      <c r="CWC74" s="609"/>
      <c r="CWD74" s="609"/>
      <c r="CWE74" s="609"/>
      <c r="CWF74" s="609"/>
      <c r="CWG74" s="609"/>
      <c r="CWH74" s="609"/>
      <c r="CWI74" s="609"/>
      <c r="CWJ74" s="609"/>
      <c r="CWK74" s="609"/>
      <c r="CWL74" s="609"/>
      <c r="CWM74" s="609"/>
      <c r="CWN74" s="609"/>
      <c r="CWO74" s="609"/>
      <c r="CWP74" s="609"/>
      <c r="CWQ74" s="609"/>
      <c r="CWR74" s="609"/>
      <c r="CWS74" s="609"/>
      <c r="CWT74" s="609"/>
      <c r="CWU74" s="609"/>
      <c r="CWV74" s="609"/>
      <c r="CWW74" s="609"/>
      <c r="CWX74" s="609"/>
      <c r="CWY74" s="609"/>
      <c r="CWZ74" s="609"/>
      <c r="CXA74" s="609"/>
      <c r="CXB74" s="609"/>
      <c r="CXC74" s="609"/>
      <c r="CXD74" s="609"/>
      <c r="CXE74" s="609"/>
      <c r="CXF74" s="609"/>
      <c r="CXG74" s="609"/>
      <c r="CXH74" s="609"/>
      <c r="CXI74" s="609"/>
      <c r="CXJ74" s="609"/>
      <c r="CXK74" s="609"/>
      <c r="CXL74" s="609"/>
      <c r="CXM74" s="609"/>
      <c r="CXN74" s="609"/>
      <c r="CXO74" s="609"/>
      <c r="CXP74" s="609"/>
      <c r="CXQ74" s="609"/>
      <c r="CXR74" s="609"/>
      <c r="CXS74" s="609"/>
      <c r="CXT74" s="609"/>
      <c r="CXU74" s="609"/>
      <c r="CXV74" s="609"/>
      <c r="CXW74" s="609"/>
      <c r="CXX74" s="609"/>
      <c r="CXY74" s="609"/>
      <c r="CXZ74" s="609"/>
      <c r="CYA74" s="609"/>
      <c r="CYB74" s="609"/>
      <c r="CYC74" s="609"/>
      <c r="CYD74" s="609"/>
      <c r="CYE74" s="609"/>
      <c r="CYF74" s="609"/>
      <c r="CYG74" s="609"/>
      <c r="CYH74" s="609"/>
      <c r="CYI74" s="609"/>
      <c r="CYJ74" s="609"/>
      <c r="CYK74" s="609"/>
      <c r="CYL74" s="609"/>
      <c r="CYM74" s="609"/>
      <c r="CYN74" s="609"/>
      <c r="CYO74" s="609"/>
      <c r="CYP74" s="609"/>
      <c r="CYQ74" s="609"/>
      <c r="CYR74" s="609"/>
      <c r="CYS74" s="609"/>
      <c r="CYT74" s="609"/>
      <c r="CYU74" s="609"/>
      <c r="CYV74" s="609"/>
      <c r="CYW74" s="609"/>
      <c r="CYX74" s="609"/>
      <c r="CYY74" s="609"/>
      <c r="CYZ74" s="609"/>
      <c r="CZA74" s="609"/>
      <c r="CZB74" s="609"/>
      <c r="CZC74" s="609"/>
      <c r="CZD74" s="609"/>
      <c r="CZE74" s="609"/>
      <c r="CZF74" s="609"/>
      <c r="CZG74" s="609"/>
      <c r="CZH74" s="609"/>
      <c r="CZI74" s="609"/>
      <c r="CZJ74" s="609"/>
      <c r="CZK74" s="609"/>
      <c r="CZL74" s="609"/>
      <c r="CZM74" s="609"/>
      <c r="CZN74" s="609"/>
      <c r="CZO74" s="609"/>
      <c r="CZP74" s="609"/>
      <c r="CZQ74" s="609"/>
      <c r="CZR74" s="609"/>
      <c r="CZS74" s="609"/>
      <c r="CZT74" s="609"/>
      <c r="CZU74" s="609"/>
      <c r="CZV74" s="609"/>
      <c r="CZW74" s="609"/>
      <c r="CZX74" s="609"/>
      <c r="CZY74" s="609"/>
      <c r="CZZ74" s="609"/>
      <c r="DAA74" s="609"/>
      <c r="DAB74" s="609"/>
      <c r="DAC74" s="609"/>
      <c r="DAD74" s="609"/>
      <c r="DAE74" s="609"/>
      <c r="DAF74" s="609"/>
      <c r="DAG74" s="609"/>
      <c r="DAH74" s="609"/>
      <c r="DAI74" s="609"/>
      <c r="DAJ74" s="609"/>
      <c r="DAK74" s="609"/>
      <c r="DAL74" s="609"/>
      <c r="DAM74" s="609"/>
      <c r="DAN74" s="609"/>
      <c r="DAO74" s="609"/>
      <c r="DAP74" s="609"/>
      <c r="DAQ74" s="609"/>
      <c r="DAR74" s="609"/>
      <c r="DAS74" s="609"/>
      <c r="DAT74" s="609"/>
      <c r="DAU74" s="609"/>
      <c r="DAV74" s="609"/>
      <c r="DAW74" s="609"/>
      <c r="DAX74" s="609"/>
      <c r="DAY74" s="609"/>
      <c r="DAZ74" s="609"/>
      <c r="DBA74" s="609"/>
      <c r="DBB74" s="609"/>
      <c r="DBC74" s="609"/>
      <c r="DBD74" s="609"/>
      <c r="DBE74" s="609"/>
      <c r="DBF74" s="609"/>
      <c r="DBG74" s="609"/>
      <c r="DBH74" s="609"/>
      <c r="DBI74" s="609"/>
      <c r="DBJ74" s="609"/>
      <c r="DBK74" s="609"/>
      <c r="DBL74" s="609"/>
      <c r="DBM74" s="609"/>
      <c r="DBN74" s="609"/>
      <c r="DBO74" s="609"/>
      <c r="DBP74" s="609"/>
      <c r="DBQ74" s="609"/>
      <c r="DBR74" s="609"/>
      <c r="DBS74" s="609"/>
      <c r="DBT74" s="609"/>
      <c r="DBU74" s="609"/>
      <c r="DBV74" s="609"/>
      <c r="DBW74" s="609"/>
      <c r="DBX74" s="609"/>
      <c r="DBY74" s="609"/>
      <c r="DBZ74" s="609"/>
      <c r="DCA74" s="609"/>
      <c r="DCB74" s="609"/>
      <c r="DCC74" s="609"/>
      <c r="DCD74" s="609"/>
      <c r="DCE74" s="609"/>
      <c r="DCF74" s="609"/>
      <c r="DCG74" s="609"/>
      <c r="DCH74" s="609"/>
      <c r="DCI74" s="609"/>
      <c r="DCJ74" s="609"/>
      <c r="DCK74" s="609"/>
      <c r="DCL74" s="609"/>
      <c r="DCM74" s="609"/>
      <c r="DCN74" s="609"/>
      <c r="DCO74" s="609"/>
      <c r="DCP74" s="609"/>
      <c r="DCQ74" s="609"/>
      <c r="DCR74" s="609"/>
      <c r="DCS74" s="609"/>
      <c r="DCT74" s="609"/>
      <c r="DCU74" s="609"/>
      <c r="DCV74" s="609"/>
      <c r="DCW74" s="609"/>
      <c r="DCX74" s="609"/>
      <c r="DCY74" s="609"/>
      <c r="DCZ74" s="609"/>
      <c r="DDA74" s="609"/>
      <c r="DDB74" s="609"/>
      <c r="DDC74" s="609"/>
      <c r="DDD74" s="609"/>
      <c r="DDE74" s="609"/>
      <c r="DDF74" s="609"/>
      <c r="DDG74" s="609"/>
      <c r="DDH74" s="609"/>
      <c r="DDI74" s="609"/>
      <c r="DDJ74" s="609"/>
      <c r="DDK74" s="609"/>
      <c r="DDL74" s="609"/>
      <c r="DDM74" s="609"/>
      <c r="DDN74" s="609"/>
      <c r="DDO74" s="609"/>
      <c r="DDP74" s="609"/>
      <c r="DDQ74" s="609"/>
      <c r="DDR74" s="609"/>
      <c r="DDS74" s="609"/>
      <c r="DDT74" s="609"/>
      <c r="DDU74" s="609"/>
      <c r="DDV74" s="609"/>
      <c r="DDW74" s="609"/>
      <c r="DDX74" s="609"/>
      <c r="DDY74" s="609"/>
      <c r="DDZ74" s="609"/>
      <c r="DEA74" s="609"/>
      <c r="DEB74" s="609"/>
      <c r="DEC74" s="609"/>
      <c r="DED74" s="609"/>
      <c r="DEE74" s="609"/>
      <c r="DEF74" s="609"/>
      <c r="DEG74" s="609"/>
      <c r="DEH74" s="609"/>
      <c r="DEI74" s="609"/>
      <c r="DEJ74" s="609"/>
      <c r="DEK74" s="609"/>
      <c r="DEL74" s="609"/>
      <c r="DEM74" s="609"/>
      <c r="DEN74" s="609"/>
      <c r="DEO74" s="609"/>
      <c r="DEP74" s="609"/>
      <c r="DEQ74" s="609"/>
      <c r="DER74" s="609"/>
      <c r="DES74" s="609"/>
      <c r="DET74" s="609"/>
      <c r="DEU74" s="609"/>
      <c r="DEV74" s="609"/>
      <c r="DEW74" s="609"/>
      <c r="DEX74" s="609"/>
      <c r="DEY74" s="609"/>
      <c r="DEZ74" s="609"/>
      <c r="DFA74" s="609"/>
      <c r="DFB74" s="609"/>
      <c r="DFC74" s="609"/>
      <c r="DFD74" s="609"/>
      <c r="DFE74" s="609"/>
      <c r="DFF74" s="609"/>
      <c r="DFG74" s="609"/>
      <c r="DFH74" s="609"/>
      <c r="DFI74" s="609"/>
      <c r="DFJ74" s="609"/>
      <c r="DFK74" s="609"/>
      <c r="DFL74" s="609"/>
      <c r="DFM74" s="609"/>
      <c r="DFN74" s="609"/>
      <c r="DFO74" s="609"/>
      <c r="DFP74" s="609"/>
      <c r="DFQ74" s="609"/>
      <c r="DFR74" s="609"/>
      <c r="DFS74" s="609"/>
      <c r="DFT74" s="609"/>
      <c r="DFU74" s="609"/>
      <c r="DFV74" s="609"/>
      <c r="DFW74" s="609"/>
      <c r="DFX74" s="609"/>
      <c r="DFY74" s="609"/>
      <c r="DFZ74" s="609"/>
      <c r="DGA74" s="609"/>
      <c r="DGB74" s="609"/>
      <c r="DGC74" s="609"/>
      <c r="DGD74" s="609"/>
      <c r="DGE74" s="609"/>
      <c r="DGF74" s="609"/>
      <c r="DGG74" s="609"/>
      <c r="DGH74" s="609"/>
      <c r="DGI74" s="609"/>
      <c r="DGJ74" s="609"/>
      <c r="DGK74" s="609"/>
      <c r="DGL74" s="609"/>
      <c r="DGM74" s="609"/>
      <c r="DGN74" s="609"/>
      <c r="DGO74" s="609"/>
      <c r="DGP74" s="609"/>
      <c r="DGQ74" s="609"/>
      <c r="DGR74" s="609"/>
      <c r="DGS74" s="609"/>
      <c r="DGT74" s="609"/>
      <c r="DGU74" s="609"/>
      <c r="DGV74" s="609"/>
      <c r="DGW74" s="609"/>
      <c r="DGX74" s="609"/>
      <c r="DGY74" s="609"/>
      <c r="DGZ74" s="609"/>
      <c r="DHA74" s="609"/>
      <c r="DHB74" s="609"/>
      <c r="DHC74" s="609"/>
      <c r="DHD74" s="609"/>
      <c r="DHE74" s="609"/>
      <c r="DHF74" s="609"/>
      <c r="DHG74" s="609"/>
      <c r="DHH74" s="609"/>
      <c r="DHI74" s="609"/>
      <c r="DHJ74" s="609"/>
      <c r="DHK74" s="609"/>
      <c r="DHL74" s="609"/>
      <c r="DHM74" s="609"/>
      <c r="DHN74" s="609"/>
      <c r="DHO74" s="609"/>
      <c r="DHP74" s="609"/>
      <c r="DHQ74" s="609"/>
      <c r="DHR74" s="609"/>
      <c r="DHS74" s="609"/>
      <c r="DHT74" s="609"/>
      <c r="DHU74" s="609"/>
      <c r="DHV74" s="609"/>
      <c r="DHW74" s="609"/>
      <c r="DHX74" s="609"/>
      <c r="DHY74" s="609"/>
      <c r="DHZ74" s="609"/>
      <c r="DIA74" s="609"/>
      <c r="DIB74" s="609"/>
      <c r="DIC74" s="609"/>
      <c r="DID74" s="609"/>
      <c r="DIE74" s="609"/>
      <c r="DIF74" s="609"/>
      <c r="DIG74" s="609"/>
      <c r="DIH74" s="609"/>
      <c r="DII74" s="609"/>
      <c r="DIJ74" s="609"/>
      <c r="DIK74" s="609"/>
      <c r="DIL74" s="609"/>
      <c r="DIM74" s="609"/>
      <c r="DIN74" s="609"/>
      <c r="DIO74" s="609"/>
      <c r="DIP74" s="609"/>
      <c r="DIQ74" s="609"/>
      <c r="DIR74" s="609"/>
      <c r="DIS74" s="609"/>
      <c r="DIT74" s="609"/>
      <c r="DIU74" s="609"/>
      <c r="DIV74" s="609"/>
      <c r="DIW74" s="609"/>
      <c r="DIX74" s="609"/>
      <c r="DIY74" s="609"/>
      <c r="DIZ74" s="609"/>
      <c r="DJA74" s="609"/>
      <c r="DJB74" s="609"/>
      <c r="DJC74" s="609"/>
      <c r="DJD74" s="609"/>
      <c r="DJE74" s="609"/>
      <c r="DJF74" s="609"/>
      <c r="DJG74" s="609"/>
      <c r="DJH74" s="609"/>
      <c r="DJI74" s="609"/>
      <c r="DJJ74" s="609"/>
      <c r="DJK74" s="609"/>
      <c r="DJL74" s="609"/>
      <c r="DJM74" s="609"/>
      <c r="DJN74" s="609"/>
      <c r="DJO74" s="609"/>
      <c r="DJP74" s="609"/>
      <c r="DJQ74" s="609"/>
      <c r="DJR74" s="609"/>
      <c r="DJS74" s="609"/>
      <c r="DJT74" s="609"/>
      <c r="DJU74" s="609"/>
      <c r="DJV74" s="609"/>
      <c r="DJW74" s="609"/>
      <c r="DJX74" s="609"/>
      <c r="DJY74" s="609"/>
      <c r="DJZ74" s="609"/>
      <c r="DKA74" s="609"/>
      <c r="DKB74" s="609"/>
      <c r="DKC74" s="609"/>
      <c r="DKD74" s="609"/>
      <c r="DKE74" s="609"/>
      <c r="DKF74" s="609"/>
      <c r="DKG74" s="609"/>
      <c r="DKH74" s="609"/>
      <c r="DKI74" s="609"/>
      <c r="DKJ74" s="609"/>
      <c r="DKK74" s="609"/>
      <c r="DKL74" s="609"/>
      <c r="DKM74" s="609"/>
      <c r="DKN74" s="609"/>
      <c r="DKO74" s="609"/>
      <c r="DKP74" s="609"/>
      <c r="DKQ74" s="609"/>
      <c r="DKR74" s="609"/>
      <c r="DKS74" s="609"/>
      <c r="DKT74" s="609"/>
      <c r="DKU74" s="609"/>
      <c r="DKV74" s="609"/>
      <c r="DKW74" s="609"/>
      <c r="DKX74" s="609"/>
      <c r="DKY74" s="609"/>
      <c r="DKZ74" s="609"/>
      <c r="DLA74" s="609"/>
      <c r="DLB74" s="609"/>
      <c r="DLC74" s="609"/>
      <c r="DLD74" s="609"/>
      <c r="DLE74" s="609"/>
      <c r="DLF74" s="609"/>
      <c r="DLG74" s="609"/>
      <c r="DLH74" s="609"/>
      <c r="DLI74" s="609"/>
      <c r="DLJ74" s="609"/>
      <c r="DLK74" s="609"/>
      <c r="DLL74" s="609"/>
      <c r="DLM74" s="609"/>
      <c r="DLN74" s="609"/>
      <c r="DLO74" s="609"/>
      <c r="DLP74" s="609"/>
      <c r="DLQ74" s="609"/>
      <c r="DLR74" s="609"/>
      <c r="DLS74" s="609"/>
      <c r="DLT74" s="609"/>
      <c r="DLU74" s="609"/>
      <c r="DLV74" s="609"/>
      <c r="DLW74" s="609"/>
      <c r="DLX74" s="609"/>
      <c r="DLY74" s="609"/>
      <c r="DLZ74" s="609"/>
      <c r="DMA74" s="609"/>
      <c r="DMB74" s="609"/>
      <c r="DMC74" s="609"/>
      <c r="DMD74" s="609"/>
      <c r="DME74" s="609"/>
      <c r="DMF74" s="609"/>
      <c r="DMG74" s="609"/>
      <c r="DMH74" s="609"/>
      <c r="DMI74" s="609"/>
      <c r="DMJ74" s="609"/>
      <c r="DMK74" s="609"/>
      <c r="DML74" s="609"/>
      <c r="DMM74" s="609"/>
      <c r="DMN74" s="609"/>
      <c r="DMO74" s="609"/>
      <c r="DMP74" s="609"/>
      <c r="DMQ74" s="609"/>
      <c r="DMR74" s="609"/>
      <c r="DMS74" s="609"/>
      <c r="DMT74" s="609"/>
      <c r="DMU74" s="609"/>
      <c r="DMV74" s="609"/>
      <c r="DMW74" s="609"/>
      <c r="DMX74" s="609"/>
      <c r="DMY74" s="609"/>
      <c r="DMZ74" s="609"/>
      <c r="DNA74" s="609"/>
      <c r="DNB74" s="609"/>
      <c r="DNC74" s="609"/>
      <c r="DND74" s="609"/>
      <c r="DNE74" s="609"/>
      <c r="DNF74" s="609"/>
      <c r="DNG74" s="609"/>
      <c r="DNH74" s="609"/>
      <c r="DNI74" s="609"/>
      <c r="DNJ74" s="609"/>
      <c r="DNK74" s="609"/>
      <c r="DNL74" s="609"/>
      <c r="DNM74" s="609"/>
      <c r="DNN74" s="609"/>
      <c r="DNO74" s="609"/>
      <c r="DNP74" s="609"/>
      <c r="DNQ74" s="609"/>
      <c r="DNR74" s="609"/>
      <c r="DNS74" s="609"/>
      <c r="DNT74" s="609"/>
      <c r="DNU74" s="609"/>
      <c r="DNV74" s="609"/>
      <c r="DNW74" s="609"/>
      <c r="DNX74" s="609"/>
      <c r="DNY74" s="609"/>
      <c r="DNZ74" s="609"/>
      <c r="DOA74" s="609"/>
      <c r="DOB74" s="609"/>
      <c r="DOC74" s="609"/>
      <c r="DOD74" s="609"/>
      <c r="DOE74" s="609"/>
      <c r="DOF74" s="609"/>
      <c r="DOG74" s="609"/>
      <c r="DOH74" s="609"/>
      <c r="DOI74" s="609"/>
      <c r="DOJ74" s="609"/>
      <c r="DOK74" s="609"/>
      <c r="DOL74" s="609"/>
      <c r="DOM74" s="609"/>
      <c r="DON74" s="609"/>
      <c r="DOO74" s="609"/>
      <c r="DOP74" s="609"/>
      <c r="DOQ74" s="609"/>
      <c r="DOR74" s="609"/>
      <c r="DOS74" s="609"/>
      <c r="DOT74" s="609"/>
      <c r="DOU74" s="609"/>
      <c r="DOV74" s="609"/>
      <c r="DOW74" s="609"/>
      <c r="DOX74" s="609"/>
      <c r="DOY74" s="609"/>
      <c r="DOZ74" s="609"/>
      <c r="DPA74" s="609"/>
      <c r="DPB74" s="609"/>
      <c r="DPC74" s="609"/>
      <c r="DPD74" s="609"/>
      <c r="DPE74" s="609"/>
      <c r="DPF74" s="609"/>
      <c r="DPG74" s="609"/>
      <c r="DPH74" s="609"/>
      <c r="DPI74" s="609"/>
      <c r="DPJ74" s="609"/>
      <c r="DPK74" s="609"/>
      <c r="DPL74" s="609"/>
      <c r="DPM74" s="609"/>
      <c r="DPN74" s="609"/>
      <c r="DPO74" s="609"/>
      <c r="DPP74" s="609"/>
      <c r="DPQ74" s="609"/>
      <c r="DPR74" s="609"/>
      <c r="DPS74" s="609"/>
      <c r="DPT74" s="609"/>
      <c r="DPU74" s="609"/>
      <c r="DPV74" s="609"/>
      <c r="DPW74" s="609"/>
      <c r="DPX74" s="609"/>
      <c r="DPY74" s="609"/>
      <c r="DPZ74" s="609"/>
      <c r="DQA74" s="609"/>
      <c r="DQB74" s="609"/>
      <c r="DQC74" s="609"/>
      <c r="DQD74" s="609"/>
      <c r="DQE74" s="609"/>
      <c r="DQF74" s="609"/>
      <c r="DQG74" s="609"/>
      <c r="DQH74" s="609"/>
      <c r="DQI74" s="609"/>
      <c r="DQJ74" s="609"/>
      <c r="DQK74" s="609"/>
      <c r="DQL74" s="609"/>
      <c r="DQM74" s="609"/>
      <c r="DQN74" s="609"/>
      <c r="DQO74" s="609"/>
      <c r="DQP74" s="609"/>
      <c r="DQQ74" s="609"/>
      <c r="DQR74" s="609"/>
      <c r="DQS74" s="609"/>
      <c r="DQT74" s="609"/>
      <c r="DQU74" s="609"/>
      <c r="DQV74" s="609"/>
      <c r="DQW74" s="609"/>
      <c r="DQX74" s="609"/>
      <c r="DQY74" s="609"/>
      <c r="DQZ74" s="609"/>
      <c r="DRA74" s="609"/>
      <c r="DRB74" s="609"/>
      <c r="DRC74" s="609"/>
      <c r="DRD74" s="609"/>
      <c r="DRE74" s="609"/>
      <c r="DRF74" s="609"/>
      <c r="DRG74" s="609"/>
      <c r="DRH74" s="609"/>
      <c r="DRI74" s="609"/>
      <c r="DRJ74" s="609"/>
      <c r="DRK74" s="609"/>
      <c r="DRL74" s="609"/>
      <c r="DRM74" s="609"/>
      <c r="DRN74" s="609"/>
      <c r="DRO74" s="609"/>
      <c r="DRP74" s="609"/>
      <c r="DRQ74" s="609"/>
      <c r="DRR74" s="609"/>
      <c r="DRS74" s="609"/>
      <c r="DRT74" s="609"/>
      <c r="DRU74" s="609"/>
      <c r="DRV74" s="609"/>
      <c r="DRW74" s="609"/>
      <c r="DRX74" s="609"/>
      <c r="DRY74" s="609"/>
      <c r="DRZ74" s="609"/>
      <c r="DSA74" s="609"/>
      <c r="DSB74" s="609"/>
      <c r="DSC74" s="609"/>
      <c r="DSD74" s="609"/>
      <c r="DSE74" s="609"/>
      <c r="DSF74" s="609"/>
      <c r="DSG74" s="609"/>
      <c r="DSH74" s="609"/>
      <c r="DSI74" s="609"/>
      <c r="DSJ74" s="609"/>
      <c r="DSK74" s="609"/>
      <c r="DSL74" s="609"/>
      <c r="DSM74" s="609"/>
      <c r="DSN74" s="609"/>
      <c r="DSO74" s="609"/>
      <c r="DSP74" s="609"/>
      <c r="DSQ74" s="609"/>
      <c r="DSR74" s="609"/>
      <c r="DSS74" s="609"/>
      <c r="DST74" s="609"/>
      <c r="DSU74" s="609"/>
      <c r="DSV74" s="609"/>
      <c r="DSW74" s="609"/>
      <c r="DSX74" s="609"/>
      <c r="DSY74" s="609"/>
      <c r="DSZ74" s="609"/>
      <c r="DTA74" s="609"/>
      <c r="DTB74" s="609"/>
      <c r="DTC74" s="609"/>
      <c r="DTD74" s="609"/>
      <c r="DTE74" s="609"/>
      <c r="DTF74" s="609"/>
      <c r="DTG74" s="609"/>
      <c r="DTH74" s="609"/>
      <c r="DTI74" s="609"/>
      <c r="DTJ74" s="609"/>
      <c r="DTK74" s="609"/>
      <c r="DTL74" s="609"/>
      <c r="DTM74" s="609"/>
      <c r="DTN74" s="609"/>
      <c r="DTO74" s="609"/>
      <c r="DTP74" s="609"/>
      <c r="DTQ74" s="609"/>
      <c r="DTR74" s="609"/>
      <c r="DTS74" s="609"/>
      <c r="DTT74" s="609"/>
      <c r="DTU74" s="609"/>
      <c r="DTV74" s="609"/>
      <c r="DTW74" s="609"/>
      <c r="DTX74" s="609"/>
      <c r="DTY74" s="609"/>
      <c r="DTZ74" s="609"/>
      <c r="DUA74" s="609"/>
      <c r="DUB74" s="609"/>
      <c r="DUC74" s="609"/>
      <c r="DUD74" s="609"/>
      <c r="DUE74" s="609"/>
      <c r="DUF74" s="609"/>
      <c r="DUG74" s="609"/>
      <c r="DUH74" s="609"/>
      <c r="DUI74" s="609"/>
      <c r="DUJ74" s="609"/>
      <c r="DUK74" s="609"/>
      <c r="DUL74" s="609"/>
      <c r="DUM74" s="609"/>
      <c r="DUN74" s="609"/>
      <c r="DUO74" s="609"/>
      <c r="DUP74" s="609"/>
      <c r="DUQ74" s="609"/>
      <c r="DUR74" s="609"/>
      <c r="DUS74" s="609"/>
      <c r="DUT74" s="609"/>
      <c r="DUU74" s="609"/>
      <c r="DUV74" s="609"/>
      <c r="DUW74" s="609"/>
      <c r="DUX74" s="609"/>
      <c r="DUY74" s="609"/>
      <c r="DUZ74" s="609"/>
      <c r="DVA74" s="609"/>
      <c r="DVB74" s="609"/>
      <c r="DVC74" s="609"/>
      <c r="DVD74" s="609"/>
      <c r="DVE74" s="609"/>
      <c r="DVF74" s="609"/>
      <c r="DVG74" s="609"/>
      <c r="DVH74" s="609"/>
      <c r="DVI74" s="609"/>
      <c r="DVJ74" s="609"/>
      <c r="DVK74" s="609"/>
      <c r="DVL74" s="609"/>
      <c r="DVM74" s="609"/>
      <c r="DVN74" s="609"/>
      <c r="DVO74" s="609"/>
      <c r="DVP74" s="609"/>
      <c r="DVQ74" s="609"/>
      <c r="DVR74" s="609"/>
      <c r="DVS74" s="609"/>
      <c r="DVT74" s="609"/>
      <c r="DVU74" s="609"/>
      <c r="DVV74" s="609"/>
      <c r="DVW74" s="609"/>
      <c r="DVX74" s="609"/>
      <c r="DVY74" s="609"/>
      <c r="DVZ74" s="609"/>
      <c r="DWA74" s="609"/>
      <c r="DWB74" s="609"/>
      <c r="DWC74" s="609"/>
      <c r="DWD74" s="609"/>
      <c r="DWE74" s="609"/>
      <c r="DWF74" s="609"/>
      <c r="DWG74" s="609"/>
      <c r="DWH74" s="609"/>
      <c r="DWI74" s="609"/>
      <c r="DWJ74" s="609"/>
      <c r="DWK74" s="609"/>
      <c r="DWL74" s="609"/>
      <c r="DWM74" s="609"/>
      <c r="DWN74" s="609"/>
      <c r="DWO74" s="609"/>
      <c r="DWP74" s="609"/>
      <c r="DWQ74" s="609"/>
      <c r="DWR74" s="609"/>
      <c r="DWS74" s="609"/>
      <c r="DWT74" s="609"/>
      <c r="DWU74" s="609"/>
      <c r="DWV74" s="609"/>
      <c r="DWW74" s="609"/>
      <c r="DWX74" s="609"/>
      <c r="DWY74" s="609"/>
      <c r="DWZ74" s="609"/>
      <c r="DXA74" s="609"/>
      <c r="DXB74" s="609"/>
      <c r="DXC74" s="609"/>
      <c r="DXD74" s="609"/>
      <c r="DXE74" s="609"/>
      <c r="DXF74" s="609"/>
      <c r="DXG74" s="609"/>
      <c r="DXH74" s="609"/>
      <c r="DXI74" s="609"/>
      <c r="DXJ74" s="609"/>
      <c r="DXK74" s="609"/>
      <c r="DXL74" s="609"/>
      <c r="DXM74" s="609"/>
      <c r="DXN74" s="609"/>
      <c r="DXO74" s="609"/>
      <c r="DXP74" s="609"/>
      <c r="DXQ74" s="609"/>
      <c r="DXR74" s="609"/>
      <c r="DXS74" s="609"/>
      <c r="DXT74" s="609"/>
      <c r="DXU74" s="609"/>
      <c r="DXV74" s="609"/>
      <c r="DXW74" s="609"/>
      <c r="DXX74" s="609"/>
      <c r="DXY74" s="609"/>
      <c r="DXZ74" s="609"/>
      <c r="DYA74" s="609"/>
      <c r="DYB74" s="609"/>
      <c r="DYC74" s="609"/>
      <c r="DYD74" s="609"/>
      <c r="DYE74" s="609"/>
      <c r="DYF74" s="609"/>
      <c r="DYG74" s="609"/>
      <c r="DYH74" s="609"/>
      <c r="DYI74" s="609"/>
      <c r="DYJ74" s="609"/>
      <c r="DYK74" s="609"/>
      <c r="DYL74" s="609"/>
      <c r="DYM74" s="609"/>
      <c r="DYN74" s="609"/>
      <c r="DYO74" s="609"/>
      <c r="DYP74" s="609"/>
      <c r="DYQ74" s="609"/>
      <c r="DYR74" s="609"/>
      <c r="DYS74" s="609"/>
      <c r="DYT74" s="609"/>
      <c r="DYU74" s="609"/>
      <c r="DYV74" s="609"/>
      <c r="DYW74" s="609"/>
      <c r="DYX74" s="609"/>
      <c r="DYY74" s="609"/>
      <c r="DYZ74" s="609"/>
      <c r="DZA74" s="609"/>
      <c r="DZB74" s="609"/>
      <c r="DZC74" s="609"/>
      <c r="DZD74" s="609"/>
      <c r="DZE74" s="609"/>
      <c r="DZF74" s="609"/>
      <c r="DZG74" s="609"/>
      <c r="DZH74" s="609"/>
      <c r="DZI74" s="609"/>
      <c r="DZJ74" s="609"/>
      <c r="DZK74" s="609"/>
      <c r="DZL74" s="609"/>
      <c r="DZM74" s="609"/>
      <c r="DZN74" s="609"/>
      <c r="DZO74" s="609"/>
      <c r="DZP74" s="609"/>
      <c r="DZQ74" s="609"/>
      <c r="DZR74" s="609"/>
      <c r="DZS74" s="609"/>
      <c r="DZT74" s="609"/>
      <c r="DZU74" s="609"/>
      <c r="DZV74" s="609"/>
      <c r="DZW74" s="609"/>
      <c r="DZX74" s="609"/>
      <c r="DZY74" s="609"/>
      <c r="DZZ74" s="609"/>
      <c r="EAA74" s="609"/>
      <c r="EAB74" s="609"/>
      <c r="EAC74" s="609"/>
      <c r="EAD74" s="609"/>
      <c r="EAE74" s="609"/>
      <c r="EAF74" s="609"/>
      <c r="EAG74" s="609"/>
      <c r="EAH74" s="609"/>
      <c r="EAI74" s="609"/>
      <c r="EAJ74" s="609"/>
      <c r="EAK74" s="609"/>
      <c r="EAL74" s="609"/>
      <c r="EAM74" s="609"/>
      <c r="EAN74" s="609"/>
      <c r="EAO74" s="609"/>
      <c r="EAP74" s="609"/>
      <c r="EAQ74" s="609"/>
      <c r="EAR74" s="609"/>
      <c r="EAS74" s="609"/>
      <c r="EAT74" s="609"/>
      <c r="EAU74" s="609"/>
      <c r="EAV74" s="609"/>
      <c r="EAW74" s="609"/>
      <c r="EAX74" s="609"/>
      <c r="EAY74" s="609"/>
      <c r="EAZ74" s="609"/>
      <c r="EBA74" s="609"/>
      <c r="EBB74" s="609"/>
      <c r="EBC74" s="609"/>
      <c r="EBD74" s="609"/>
      <c r="EBE74" s="609"/>
      <c r="EBF74" s="609"/>
      <c r="EBG74" s="609"/>
      <c r="EBH74" s="609"/>
      <c r="EBI74" s="609"/>
      <c r="EBJ74" s="609"/>
      <c r="EBK74" s="609"/>
      <c r="EBL74" s="609"/>
      <c r="EBM74" s="609"/>
      <c r="EBN74" s="609"/>
      <c r="EBO74" s="609"/>
      <c r="EBP74" s="609"/>
      <c r="EBQ74" s="609"/>
      <c r="EBR74" s="609"/>
      <c r="EBS74" s="609"/>
      <c r="EBT74" s="609"/>
      <c r="EBU74" s="609"/>
      <c r="EBV74" s="609"/>
      <c r="EBW74" s="609"/>
      <c r="EBX74" s="609"/>
      <c r="EBY74" s="609"/>
      <c r="EBZ74" s="609"/>
      <c r="ECA74" s="609"/>
      <c r="ECB74" s="609"/>
      <c r="ECC74" s="609"/>
      <c r="ECD74" s="609"/>
      <c r="ECE74" s="609"/>
      <c r="ECF74" s="609"/>
      <c r="ECG74" s="609"/>
      <c r="ECH74" s="609"/>
      <c r="ECI74" s="609"/>
      <c r="ECJ74" s="609"/>
      <c r="ECK74" s="609"/>
      <c r="ECL74" s="609"/>
      <c r="ECM74" s="609"/>
      <c r="ECN74" s="609"/>
      <c r="ECO74" s="609"/>
      <c r="ECP74" s="609"/>
      <c r="ECQ74" s="609"/>
      <c r="ECR74" s="609"/>
      <c r="ECS74" s="609"/>
      <c r="ECT74" s="609"/>
      <c r="ECU74" s="609"/>
      <c r="ECV74" s="609"/>
      <c r="ECW74" s="609"/>
      <c r="ECX74" s="609"/>
      <c r="ECY74" s="609"/>
      <c r="ECZ74" s="609"/>
      <c r="EDA74" s="609"/>
      <c r="EDB74" s="609"/>
      <c r="EDC74" s="609"/>
      <c r="EDD74" s="609"/>
      <c r="EDE74" s="609"/>
      <c r="EDF74" s="609"/>
      <c r="EDG74" s="609"/>
      <c r="EDH74" s="609"/>
      <c r="EDI74" s="609"/>
      <c r="EDJ74" s="609"/>
      <c r="EDK74" s="609"/>
      <c r="EDL74" s="609"/>
      <c r="EDM74" s="609"/>
      <c r="EDN74" s="609"/>
      <c r="EDO74" s="609"/>
      <c r="EDP74" s="609"/>
      <c r="EDQ74" s="609"/>
      <c r="EDR74" s="609"/>
      <c r="EDS74" s="609"/>
      <c r="EDT74" s="609"/>
      <c r="EDU74" s="609"/>
      <c r="EDV74" s="609"/>
      <c r="EDW74" s="609"/>
      <c r="EDX74" s="609"/>
      <c r="EDY74" s="609"/>
      <c r="EDZ74" s="609"/>
      <c r="EEA74" s="609"/>
      <c r="EEB74" s="609"/>
      <c r="EEC74" s="609"/>
      <c r="EED74" s="609"/>
      <c r="EEE74" s="609"/>
      <c r="EEF74" s="609"/>
      <c r="EEG74" s="609"/>
      <c r="EEH74" s="609"/>
      <c r="EEI74" s="609"/>
      <c r="EEJ74" s="609"/>
      <c r="EEK74" s="609"/>
      <c r="EEL74" s="609"/>
      <c r="EEM74" s="609"/>
      <c r="EEN74" s="609"/>
      <c r="EEO74" s="609"/>
      <c r="EEP74" s="609"/>
      <c r="EEQ74" s="609"/>
      <c r="EER74" s="609"/>
      <c r="EES74" s="609"/>
      <c r="EET74" s="609"/>
      <c r="EEU74" s="609"/>
      <c r="EEV74" s="609"/>
      <c r="EEW74" s="609"/>
      <c r="EEX74" s="609"/>
      <c r="EEY74" s="609"/>
      <c r="EEZ74" s="609"/>
      <c r="EFA74" s="609"/>
      <c r="EFB74" s="609"/>
      <c r="EFC74" s="609"/>
      <c r="EFD74" s="609"/>
      <c r="EFE74" s="609"/>
      <c r="EFF74" s="609"/>
      <c r="EFG74" s="609"/>
      <c r="EFH74" s="609"/>
      <c r="EFI74" s="609"/>
      <c r="EFJ74" s="609"/>
      <c r="EFK74" s="609"/>
      <c r="EFL74" s="609"/>
      <c r="EFM74" s="609"/>
      <c r="EFN74" s="609"/>
      <c r="EFO74" s="609"/>
      <c r="EFP74" s="609"/>
      <c r="EFQ74" s="609"/>
      <c r="EFR74" s="609"/>
      <c r="EFS74" s="609"/>
      <c r="EFT74" s="609"/>
      <c r="EFU74" s="609"/>
      <c r="EFV74" s="609"/>
      <c r="EFW74" s="609"/>
      <c r="EFX74" s="609"/>
      <c r="EFY74" s="609"/>
      <c r="EFZ74" s="609"/>
      <c r="EGA74" s="609"/>
      <c r="EGB74" s="609"/>
      <c r="EGC74" s="609"/>
      <c r="EGD74" s="609"/>
      <c r="EGE74" s="609"/>
      <c r="EGF74" s="609"/>
      <c r="EGG74" s="609"/>
      <c r="EGH74" s="609"/>
      <c r="EGI74" s="609"/>
      <c r="EGJ74" s="609"/>
      <c r="EGK74" s="609"/>
      <c r="EGL74" s="609"/>
      <c r="EGM74" s="609"/>
      <c r="EGN74" s="609"/>
      <c r="EGO74" s="609"/>
      <c r="EGP74" s="609"/>
      <c r="EGQ74" s="609"/>
      <c r="EGR74" s="609"/>
      <c r="EGS74" s="609"/>
      <c r="EGT74" s="609"/>
      <c r="EGU74" s="609"/>
      <c r="EGV74" s="609"/>
      <c r="EGW74" s="609"/>
      <c r="EGX74" s="609"/>
      <c r="EGY74" s="609"/>
      <c r="EGZ74" s="609"/>
      <c r="EHA74" s="609"/>
      <c r="EHB74" s="609"/>
      <c r="EHC74" s="609"/>
      <c r="EHD74" s="609"/>
      <c r="EHE74" s="609"/>
      <c r="EHF74" s="609"/>
      <c r="EHG74" s="609"/>
      <c r="EHH74" s="609"/>
      <c r="EHI74" s="609"/>
      <c r="EHJ74" s="609"/>
      <c r="EHK74" s="609"/>
      <c r="EHL74" s="609"/>
      <c r="EHM74" s="609"/>
      <c r="EHN74" s="609"/>
      <c r="EHO74" s="609"/>
      <c r="EHP74" s="609"/>
      <c r="EHQ74" s="609"/>
      <c r="EHR74" s="609"/>
      <c r="EHS74" s="609"/>
      <c r="EHT74" s="609"/>
      <c r="EHU74" s="609"/>
      <c r="EHV74" s="609"/>
      <c r="EHW74" s="609"/>
      <c r="EHX74" s="609"/>
      <c r="EHY74" s="609"/>
      <c r="EHZ74" s="609"/>
      <c r="EIA74" s="609"/>
      <c r="EIB74" s="609"/>
      <c r="EIC74" s="609"/>
      <c r="EID74" s="609"/>
      <c r="EIE74" s="609"/>
      <c r="EIF74" s="609"/>
      <c r="EIG74" s="609"/>
      <c r="EIH74" s="609"/>
      <c r="EII74" s="609"/>
      <c r="EIJ74" s="609"/>
      <c r="EIK74" s="609"/>
      <c r="EIL74" s="609"/>
      <c r="EIM74" s="609"/>
      <c r="EIN74" s="609"/>
      <c r="EIO74" s="609"/>
      <c r="EIP74" s="609"/>
      <c r="EIQ74" s="609"/>
      <c r="EIR74" s="609"/>
      <c r="EIS74" s="609"/>
      <c r="EIT74" s="609"/>
      <c r="EIU74" s="609"/>
      <c r="EIV74" s="609"/>
      <c r="EIW74" s="609"/>
      <c r="EIX74" s="609"/>
      <c r="EIY74" s="609"/>
      <c r="EIZ74" s="609"/>
      <c r="EJA74" s="609"/>
      <c r="EJB74" s="609"/>
      <c r="EJC74" s="609"/>
      <c r="EJD74" s="609"/>
      <c r="EJE74" s="609"/>
      <c r="EJF74" s="609"/>
      <c r="EJG74" s="609"/>
      <c r="EJH74" s="609"/>
      <c r="EJI74" s="609"/>
      <c r="EJJ74" s="609"/>
      <c r="EJK74" s="609"/>
      <c r="EJL74" s="609"/>
      <c r="EJM74" s="609"/>
      <c r="EJN74" s="609"/>
      <c r="EJO74" s="609"/>
      <c r="EJP74" s="609"/>
      <c r="EJQ74" s="609"/>
      <c r="EJR74" s="609"/>
      <c r="EJS74" s="609"/>
      <c r="EJT74" s="609"/>
      <c r="EJU74" s="609"/>
      <c r="EJV74" s="609"/>
      <c r="EJW74" s="609"/>
      <c r="EJX74" s="609"/>
      <c r="EJY74" s="609"/>
      <c r="EJZ74" s="609"/>
      <c r="EKA74" s="609"/>
      <c r="EKB74" s="609"/>
      <c r="EKC74" s="609"/>
      <c r="EKD74" s="609"/>
      <c r="EKE74" s="609"/>
      <c r="EKF74" s="609"/>
      <c r="EKG74" s="609"/>
      <c r="EKH74" s="609"/>
      <c r="EKI74" s="609"/>
      <c r="EKJ74" s="609"/>
      <c r="EKK74" s="609"/>
      <c r="EKL74" s="609"/>
      <c r="EKM74" s="609"/>
      <c r="EKN74" s="609"/>
      <c r="EKO74" s="609"/>
      <c r="EKP74" s="609"/>
      <c r="EKQ74" s="609"/>
      <c r="EKR74" s="609"/>
      <c r="EKS74" s="609"/>
      <c r="EKT74" s="609"/>
      <c r="EKU74" s="609"/>
      <c r="EKV74" s="609"/>
      <c r="EKW74" s="609"/>
      <c r="EKX74" s="609"/>
      <c r="EKY74" s="609"/>
      <c r="EKZ74" s="609"/>
      <c r="ELA74" s="609"/>
      <c r="ELB74" s="609"/>
      <c r="ELC74" s="609"/>
      <c r="ELD74" s="609"/>
      <c r="ELE74" s="609"/>
      <c r="ELF74" s="609"/>
      <c r="ELG74" s="609"/>
      <c r="ELH74" s="609"/>
      <c r="ELI74" s="609"/>
      <c r="ELJ74" s="609"/>
      <c r="ELK74" s="609"/>
      <c r="ELL74" s="609"/>
      <c r="ELM74" s="609"/>
      <c r="ELN74" s="609"/>
      <c r="ELO74" s="609"/>
      <c r="ELP74" s="609"/>
      <c r="ELQ74" s="609"/>
      <c r="ELR74" s="609"/>
      <c r="ELS74" s="609"/>
      <c r="ELT74" s="609"/>
      <c r="ELU74" s="609"/>
      <c r="ELV74" s="609"/>
      <c r="ELW74" s="609"/>
      <c r="ELX74" s="609"/>
      <c r="ELY74" s="609"/>
      <c r="ELZ74" s="609"/>
      <c r="EMA74" s="609"/>
      <c r="EMB74" s="609"/>
      <c r="EMC74" s="609"/>
      <c r="EMD74" s="609"/>
      <c r="EME74" s="609"/>
      <c r="EMF74" s="609"/>
      <c r="EMG74" s="609"/>
      <c r="EMH74" s="609"/>
      <c r="EMI74" s="609"/>
      <c r="EMJ74" s="609"/>
      <c r="EMK74" s="609"/>
      <c r="EML74" s="609"/>
      <c r="EMM74" s="609"/>
      <c r="EMN74" s="609"/>
      <c r="EMO74" s="609"/>
      <c r="EMP74" s="609"/>
      <c r="EMQ74" s="609"/>
      <c r="EMR74" s="609"/>
      <c r="EMS74" s="609"/>
      <c r="EMT74" s="609"/>
      <c r="EMU74" s="609"/>
      <c r="EMV74" s="609"/>
      <c r="EMW74" s="609"/>
      <c r="EMX74" s="609"/>
      <c r="EMY74" s="609"/>
      <c r="EMZ74" s="609"/>
      <c r="ENA74" s="609"/>
      <c r="ENB74" s="609"/>
      <c r="ENC74" s="609"/>
      <c r="END74" s="609"/>
      <c r="ENE74" s="609"/>
      <c r="ENF74" s="609"/>
      <c r="ENG74" s="609"/>
      <c r="ENH74" s="609"/>
      <c r="ENI74" s="609"/>
      <c r="ENJ74" s="609"/>
      <c r="ENK74" s="609"/>
      <c r="ENL74" s="609"/>
      <c r="ENM74" s="609"/>
      <c r="ENN74" s="609"/>
      <c r="ENO74" s="609"/>
      <c r="ENP74" s="609"/>
      <c r="ENQ74" s="609"/>
      <c r="ENR74" s="609"/>
      <c r="ENS74" s="609"/>
      <c r="ENT74" s="609"/>
      <c r="ENU74" s="609"/>
      <c r="ENV74" s="609"/>
      <c r="ENW74" s="609"/>
      <c r="ENX74" s="609"/>
      <c r="ENY74" s="609"/>
      <c r="ENZ74" s="609"/>
      <c r="EOA74" s="609"/>
      <c r="EOB74" s="609"/>
      <c r="EOC74" s="609"/>
      <c r="EOD74" s="609"/>
      <c r="EOE74" s="609"/>
      <c r="EOF74" s="609"/>
      <c r="EOG74" s="609"/>
      <c r="EOH74" s="609"/>
      <c r="EOI74" s="609"/>
      <c r="EOJ74" s="609"/>
      <c r="EOK74" s="609"/>
      <c r="EOL74" s="609"/>
      <c r="EOM74" s="609"/>
      <c r="EON74" s="609"/>
      <c r="EOO74" s="609"/>
      <c r="EOP74" s="609"/>
      <c r="EOQ74" s="609"/>
      <c r="EOR74" s="609"/>
      <c r="EOS74" s="609"/>
      <c r="EOT74" s="609"/>
      <c r="EOU74" s="609"/>
      <c r="EOV74" s="609"/>
      <c r="EOW74" s="609"/>
      <c r="EOX74" s="609"/>
      <c r="EOY74" s="609"/>
      <c r="EOZ74" s="609"/>
      <c r="EPA74" s="609"/>
      <c r="EPB74" s="609"/>
      <c r="EPC74" s="609"/>
      <c r="EPD74" s="609"/>
      <c r="EPE74" s="609"/>
      <c r="EPF74" s="609"/>
      <c r="EPG74" s="609"/>
      <c r="EPH74" s="609"/>
      <c r="EPI74" s="609"/>
      <c r="EPJ74" s="609"/>
      <c r="EPK74" s="609"/>
      <c r="EPL74" s="609"/>
      <c r="EPM74" s="609"/>
      <c r="EPN74" s="609"/>
      <c r="EPO74" s="609"/>
      <c r="EPP74" s="609"/>
      <c r="EPQ74" s="609"/>
      <c r="EPR74" s="609"/>
      <c r="EPS74" s="609"/>
      <c r="EPT74" s="609"/>
      <c r="EPU74" s="609"/>
      <c r="EPV74" s="609"/>
      <c r="EPW74" s="609"/>
      <c r="EPX74" s="609"/>
      <c r="EPY74" s="609"/>
      <c r="EPZ74" s="609"/>
      <c r="EQA74" s="609"/>
      <c r="EQB74" s="609"/>
      <c r="EQC74" s="609"/>
      <c r="EQD74" s="609"/>
      <c r="EQE74" s="609"/>
      <c r="EQF74" s="609"/>
      <c r="EQG74" s="609"/>
      <c r="EQH74" s="609"/>
      <c r="EQI74" s="609"/>
      <c r="EQJ74" s="609"/>
      <c r="EQK74" s="609"/>
      <c r="EQL74" s="609"/>
      <c r="EQM74" s="609"/>
      <c r="EQN74" s="609"/>
      <c r="EQO74" s="609"/>
      <c r="EQP74" s="609"/>
      <c r="EQQ74" s="609"/>
      <c r="EQR74" s="609"/>
      <c r="EQS74" s="609"/>
      <c r="EQT74" s="609"/>
      <c r="EQU74" s="609"/>
      <c r="EQV74" s="609"/>
      <c r="EQW74" s="609"/>
      <c r="EQX74" s="609"/>
      <c r="EQY74" s="609"/>
      <c r="EQZ74" s="609"/>
      <c r="ERA74" s="609"/>
      <c r="ERB74" s="609"/>
      <c r="ERC74" s="609"/>
      <c r="ERD74" s="609"/>
      <c r="ERE74" s="609"/>
      <c r="ERF74" s="609"/>
      <c r="ERG74" s="609"/>
      <c r="ERH74" s="609"/>
      <c r="ERI74" s="609"/>
      <c r="ERJ74" s="609"/>
      <c r="ERK74" s="609"/>
      <c r="ERL74" s="609"/>
      <c r="ERM74" s="609"/>
      <c r="ERN74" s="609"/>
      <c r="ERO74" s="609"/>
      <c r="ERP74" s="609"/>
      <c r="ERQ74" s="609"/>
      <c r="ERR74" s="609"/>
      <c r="ERS74" s="609"/>
      <c r="ERT74" s="609"/>
      <c r="ERU74" s="609"/>
      <c r="ERV74" s="609"/>
      <c r="ERW74" s="609"/>
      <c r="ERX74" s="609"/>
      <c r="ERY74" s="609"/>
      <c r="ERZ74" s="609"/>
      <c r="ESA74" s="609"/>
      <c r="ESB74" s="609"/>
      <c r="ESC74" s="609"/>
      <c r="ESD74" s="609"/>
      <c r="ESE74" s="609"/>
      <c r="ESF74" s="609"/>
      <c r="ESG74" s="609"/>
      <c r="ESH74" s="609"/>
      <c r="ESI74" s="609"/>
      <c r="ESJ74" s="609"/>
      <c r="ESK74" s="609"/>
      <c r="ESL74" s="609"/>
      <c r="ESM74" s="609"/>
      <c r="ESN74" s="609"/>
      <c r="ESO74" s="609"/>
      <c r="ESP74" s="609"/>
      <c r="ESQ74" s="609"/>
      <c r="ESR74" s="609"/>
      <c r="ESS74" s="609"/>
      <c r="EST74" s="609"/>
      <c r="ESU74" s="609"/>
      <c r="ESV74" s="609"/>
      <c r="ESW74" s="609"/>
      <c r="ESX74" s="609"/>
      <c r="ESY74" s="609"/>
      <c r="ESZ74" s="609"/>
      <c r="ETA74" s="609"/>
      <c r="ETB74" s="609"/>
      <c r="ETC74" s="609"/>
      <c r="ETD74" s="609"/>
      <c r="ETE74" s="609"/>
      <c r="ETF74" s="609"/>
      <c r="ETG74" s="609"/>
      <c r="ETH74" s="609"/>
      <c r="ETI74" s="609"/>
      <c r="ETJ74" s="609"/>
      <c r="ETK74" s="609"/>
      <c r="ETL74" s="609"/>
      <c r="ETM74" s="609"/>
      <c r="ETN74" s="609"/>
      <c r="ETO74" s="609"/>
      <c r="ETP74" s="609"/>
      <c r="ETQ74" s="609"/>
      <c r="ETR74" s="609"/>
      <c r="ETS74" s="609"/>
      <c r="ETT74" s="609"/>
      <c r="ETU74" s="609"/>
      <c r="ETV74" s="609"/>
      <c r="ETW74" s="609"/>
      <c r="ETX74" s="609"/>
      <c r="ETY74" s="609"/>
      <c r="ETZ74" s="609"/>
      <c r="EUA74" s="609"/>
      <c r="EUB74" s="609"/>
      <c r="EUC74" s="609"/>
      <c r="EUD74" s="609"/>
      <c r="EUE74" s="609"/>
      <c r="EUF74" s="609"/>
      <c r="EUG74" s="609"/>
      <c r="EUH74" s="609"/>
      <c r="EUI74" s="609"/>
      <c r="EUJ74" s="609"/>
      <c r="EUK74" s="609"/>
      <c r="EUL74" s="609"/>
      <c r="EUM74" s="609"/>
      <c r="EUN74" s="609"/>
      <c r="EUO74" s="609"/>
      <c r="EUP74" s="609"/>
      <c r="EUQ74" s="609"/>
      <c r="EUR74" s="609"/>
      <c r="EUS74" s="609"/>
      <c r="EUT74" s="609"/>
      <c r="EUU74" s="609"/>
      <c r="EUV74" s="609"/>
      <c r="EUW74" s="609"/>
      <c r="EUX74" s="609"/>
      <c r="EUY74" s="609"/>
      <c r="EUZ74" s="609"/>
      <c r="EVA74" s="609"/>
      <c r="EVB74" s="609"/>
      <c r="EVC74" s="609"/>
      <c r="EVD74" s="609"/>
      <c r="EVE74" s="609"/>
      <c r="EVF74" s="609"/>
      <c r="EVG74" s="609"/>
      <c r="EVH74" s="609"/>
      <c r="EVI74" s="609"/>
      <c r="EVJ74" s="609"/>
      <c r="EVK74" s="609"/>
      <c r="EVL74" s="609"/>
      <c r="EVM74" s="609"/>
      <c r="EVN74" s="609"/>
      <c r="EVO74" s="609"/>
      <c r="EVP74" s="609"/>
      <c r="EVQ74" s="609"/>
      <c r="EVR74" s="609"/>
      <c r="EVS74" s="609"/>
      <c r="EVT74" s="609"/>
      <c r="EVU74" s="609"/>
      <c r="EVV74" s="609"/>
      <c r="EVW74" s="609"/>
      <c r="EVX74" s="609"/>
      <c r="EVY74" s="609"/>
      <c r="EVZ74" s="609"/>
      <c r="EWA74" s="609"/>
      <c r="EWB74" s="609"/>
      <c r="EWC74" s="609"/>
      <c r="EWD74" s="609"/>
      <c r="EWE74" s="609"/>
      <c r="EWF74" s="609"/>
      <c r="EWG74" s="609"/>
      <c r="EWH74" s="609"/>
      <c r="EWI74" s="609"/>
      <c r="EWJ74" s="609"/>
      <c r="EWK74" s="609"/>
      <c r="EWL74" s="609"/>
      <c r="EWM74" s="609"/>
      <c r="EWN74" s="609"/>
      <c r="EWO74" s="609"/>
      <c r="EWP74" s="609"/>
      <c r="EWQ74" s="609"/>
      <c r="EWR74" s="609"/>
      <c r="EWS74" s="609"/>
      <c r="EWT74" s="609"/>
      <c r="EWU74" s="609"/>
      <c r="EWV74" s="609"/>
      <c r="EWW74" s="609"/>
      <c r="EWX74" s="609"/>
      <c r="EWY74" s="609"/>
      <c r="EWZ74" s="609"/>
      <c r="EXA74" s="609"/>
      <c r="EXB74" s="609"/>
      <c r="EXC74" s="609"/>
      <c r="EXD74" s="609"/>
      <c r="EXE74" s="609"/>
      <c r="EXF74" s="609"/>
      <c r="EXG74" s="609"/>
      <c r="EXH74" s="609"/>
      <c r="EXI74" s="609"/>
      <c r="EXJ74" s="609"/>
      <c r="EXK74" s="609"/>
      <c r="EXL74" s="609"/>
      <c r="EXM74" s="609"/>
      <c r="EXN74" s="609"/>
      <c r="EXO74" s="609"/>
      <c r="EXP74" s="609"/>
      <c r="EXQ74" s="609"/>
      <c r="EXR74" s="609"/>
      <c r="EXS74" s="609"/>
      <c r="EXT74" s="609"/>
      <c r="EXU74" s="609"/>
      <c r="EXV74" s="609"/>
      <c r="EXW74" s="609"/>
      <c r="EXX74" s="609"/>
      <c r="EXY74" s="609"/>
      <c r="EXZ74" s="609"/>
      <c r="EYA74" s="609"/>
      <c r="EYB74" s="609"/>
      <c r="EYC74" s="609"/>
      <c r="EYD74" s="609"/>
      <c r="EYE74" s="609"/>
      <c r="EYF74" s="609"/>
      <c r="EYG74" s="609"/>
      <c r="EYH74" s="609"/>
      <c r="EYI74" s="609"/>
      <c r="EYJ74" s="609"/>
      <c r="EYK74" s="609"/>
      <c r="EYL74" s="609"/>
      <c r="EYM74" s="609"/>
      <c r="EYN74" s="609"/>
      <c r="EYO74" s="609"/>
      <c r="EYP74" s="609"/>
      <c r="EYQ74" s="609"/>
      <c r="EYR74" s="609"/>
      <c r="EYS74" s="609"/>
      <c r="EYT74" s="609"/>
      <c r="EYU74" s="609"/>
      <c r="EYV74" s="609"/>
      <c r="EYW74" s="609"/>
      <c r="EYX74" s="609"/>
      <c r="EYY74" s="609"/>
      <c r="EYZ74" s="609"/>
      <c r="EZA74" s="609"/>
      <c r="EZB74" s="609"/>
      <c r="EZC74" s="609"/>
      <c r="EZD74" s="609"/>
      <c r="EZE74" s="609"/>
      <c r="EZF74" s="609"/>
      <c r="EZG74" s="609"/>
      <c r="EZH74" s="609"/>
      <c r="EZI74" s="609"/>
      <c r="EZJ74" s="609"/>
      <c r="EZK74" s="609"/>
      <c r="EZL74" s="609"/>
      <c r="EZM74" s="609"/>
      <c r="EZN74" s="609"/>
      <c r="EZO74" s="609"/>
      <c r="EZP74" s="609"/>
      <c r="EZQ74" s="609"/>
      <c r="EZR74" s="609"/>
      <c r="EZS74" s="609"/>
      <c r="EZT74" s="609"/>
      <c r="EZU74" s="609"/>
      <c r="EZV74" s="609"/>
      <c r="EZW74" s="609"/>
      <c r="EZX74" s="609"/>
      <c r="EZY74" s="609"/>
      <c r="EZZ74" s="609"/>
      <c r="FAA74" s="609"/>
      <c r="FAB74" s="609"/>
      <c r="FAC74" s="609"/>
      <c r="FAD74" s="609"/>
      <c r="FAE74" s="609"/>
      <c r="FAF74" s="609"/>
      <c r="FAG74" s="609"/>
      <c r="FAH74" s="609"/>
      <c r="FAI74" s="609"/>
      <c r="FAJ74" s="609"/>
      <c r="FAK74" s="609"/>
      <c r="FAL74" s="609"/>
      <c r="FAM74" s="609"/>
      <c r="FAN74" s="609"/>
      <c r="FAO74" s="609"/>
      <c r="FAP74" s="609"/>
      <c r="FAQ74" s="609"/>
      <c r="FAR74" s="609"/>
      <c r="FAS74" s="609"/>
      <c r="FAT74" s="609"/>
      <c r="FAU74" s="609"/>
      <c r="FAV74" s="609"/>
      <c r="FAW74" s="609"/>
      <c r="FAX74" s="609"/>
      <c r="FAY74" s="609"/>
      <c r="FAZ74" s="609"/>
      <c r="FBA74" s="609"/>
      <c r="FBB74" s="609"/>
      <c r="FBC74" s="609"/>
      <c r="FBD74" s="609"/>
      <c r="FBE74" s="609"/>
      <c r="FBF74" s="609"/>
      <c r="FBG74" s="609"/>
      <c r="FBH74" s="609"/>
      <c r="FBI74" s="609"/>
      <c r="FBJ74" s="609"/>
      <c r="FBK74" s="609"/>
      <c r="FBL74" s="609"/>
      <c r="FBM74" s="609"/>
      <c r="FBN74" s="609"/>
      <c r="FBO74" s="609"/>
      <c r="FBP74" s="609"/>
      <c r="FBQ74" s="609"/>
      <c r="FBR74" s="609"/>
      <c r="FBS74" s="609"/>
      <c r="FBT74" s="609"/>
      <c r="FBU74" s="609"/>
      <c r="FBV74" s="609"/>
      <c r="FBW74" s="609"/>
      <c r="FBX74" s="609"/>
      <c r="FBY74" s="609"/>
      <c r="FBZ74" s="609"/>
      <c r="FCA74" s="609"/>
      <c r="FCB74" s="609"/>
      <c r="FCC74" s="609"/>
      <c r="FCD74" s="609"/>
      <c r="FCE74" s="609"/>
      <c r="FCF74" s="609"/>
      <c r="FCG74" s="609"/>
      <c r="FCH74" s="609"/>
      <c r="FCI74" s="609"/>
      <c r="FCJ74" s="609"/>
      <c r="FCK74" s="609"/>
      <c r="FCL74" s="609"/>
      <c r="FCM74" s="609"/>
      <c r="FCN74" s="609"/>
      <c r="FCO74" s="609"/>
      <c r="FCP74" s="609"/>
      <c r="FCQ74" s="609"/>
      <c r="FCR74" s="609"/>
      <c r="FCS74" s="609"/>
      <c r="FCT74" s="609"/>
      <c r="FCU74" s="609"/>
      <c r="FCV74" s="609"/>
      <c r="FCW74" s="609"/>
      <c r="FCX74" s="609"/>
      <c r="FCY74" s="609"/>
      <c r="FCZ74" s="609"/>
      <c r="FDA74" s="609"/>
      <c r="FDB74" s="609"/>
      <c r="FDC74" s="609"/>
      <c r="FDD74" s="609"/>
      <c r="FDE74" s="609"/>
      <c r="FDF74" s="609"/>
      <c r="FDG74" s="609"/>
      <c r="FDH74" s="609"/>
      <c r="FDI74" s="609"/>
      <c r="FDJ74" s="609"/>
      <c r="FDK74" s="609"/>
      <c r="FDL74" s="609"/>
      <c r="FDM74" s="609"/>
      <c r="FDN74" s="609"/>
      <c r="FDO74" s="609"/>
      <c r="FDP74" s="609"/>
      <c r="FDQ74" s="609"/>
      <c r="FDR74" s="609"/>
      <c r="FDS74" s="609"/>
      <c r="FDT74" s="609"/>
      <c r="FDU74" s="609"/>
      <c r="FDV74" s="609"/>
      <c r="FDW74" s="609"/>
      <c r="FDX74" s="609"/>
      <c r="FDY74" s="609"/>
      <c r="FDZ74" s="609"/>
      <c r="FEA74" s="609"/>
      <c r="FEB74" s="609"/>
      <c r="FEC74" s="609"/>
      <c r="FED74" s="609"/>
      <c r="FEE74" s="609"/>
      <c r="FEF74" s="609"/>
      <c r="FEG74" s="609"/>
      <c r="FEH74" s="609"/>
      <c r="FEI74" s="609"/>
      <c r="FEJ74" s="609"/>
      <c r="FEK74" s="609"/>
      <c r="FEL74" s="609"/>
      <c r="FEM74" s="609"/>
      <c r="FEN74" s="609"/>
      <c r="FEO74" s="609"/>
      <c r="FEP74" s="609"/>
      <c r="FEQ74" s="609"/>
      <c r="FER74" s="609"/>
      <c r="FES74" s="609"/>
      <c r="FET74" s="609"/>
      <c r="FEU74" s="609"/>
      <c r="FEV74" s="609"/>
      <c r="FEW74" s="609"/>
      <c r="FEX74" s="609"/>
      <c r="FEY74" s="609"/>
      <c r="FEZ74" s="609"/>
      <c r="FFA74" s="609"/>
      <c r="FFB74" s="609"/>
      <c r="FFC74" s="609"/>
      <c r="FFD74" s="609"/>
      <c r="FFE74" s="609"/>
      <c r="FFF74" s="609"/>
      <c r="FFG74" s="609"/>
      <c r="FFH74" s="609"/>
      <c r="FFI74" s="609"/>
      <c r="FFJ74" s="609"/>
      <c r="FFK74" s="609"/>
      <c r="FFL74" s="609"/>
      <c r="FFM74" s="609"/>
      <c r="FFN74" s="609"/>
      <c r="FFO74" s="609"/>
      <c r="FFP74" s="609"/>
      <c r="FFQ74" s="609"/>
      <c r="FFR74" s="609"/>
      <c r="FFS74" s="609"/>
      <c r="FFT74" s="609"/>
      <c r="FFU74" s="609"/>
      <c r="FFV74" s="609"/>
      <c r="FFW74" s="609"/>
      <c r="FFX74" s="609"/>
      <c r="FFY74" s="609"/>
      <c r="FFZ74" s="609"/>
      <c r="FGA74" s="609"/>
      <c r="FGB74" s="609"/>
      <c r="FGC74" s="609"/>
      <c r="FGD74" s="609"/>
      <c r="FGE74" s="609"/>
      <c r="FGF74" s="609"/>
      <c r="FGG74" s="609"/>
      <c r="FGH74" s="609"/>
      <c r="FGI74" s="609"/>
      <c r="FGJ74" s="609"/>
      <c r="FGK74" s="609"/>
      <c r="FGL74" s="609"/>
      <c r="FGM74" s="609"/>
      <c r="FGN74" s="609"/>
      <c r="FGO74" s="609"/>
      <c r="FGP74" s="609"/>
      <c r="FGQ74" s="609"/>
      <c r="FGR74" s="609"/>
      <c r="FGS74" s="609"/>
      <c r="FGT74" s="609"/>
      <c r="FGU74" s="609"/>
      <c r="FGV74" s="609"/>
      <c r="FGW74" s="609"/>
      <c r="FGX74" s="609"/>
      <c r="FGY74" s="609"/>
      <c r="FGZ74" s="609"/>
      <c r="FHA74" s="609"/>
      <c r="FHB74" s="609"/>
      <c r="FHC74" s="609"/>
      <c r="FHD74" s="609"/>
      <c r="FHE74" s="609"/>
      <c r="FHF74" s="609"/>
      <c r="FHG74" s="609"/>
      <c r="FHH74" s="609"/>
      <c r="FHI74" s="609"/>
      <c r="FHJ74" s="609"/>
      <c r="FHK74" s="609"/>
      <c r="FHL74" s="609"/>
      <c r="FHM74" s="609"/>
      <c r="FHN74" s="609"/>
      <c r="FHO74" s="609"/>
      <c r="FHP74" s="609"/>
      <c r="FHQ74" s="609"/>
      <c r="FHR74" s="609"/>
      <c r="FHS74" s="609"/>
      <c r="FHT74" s="609"/>
      <c r="FHU74" s="609"/>
      <c r="FHV74" s="609"/>
      <c r="FHW74" s="609"/>
      <c r="FHX74" s="609"/>
      <c r="FHY74" s="609"/>
      <c r="FHZ74" s="609"/>
      <c r="FIA74" s="609"/>
      <c r="FIB74" s="609"/>
      <c r="FIC74" s="609"/>
      <c r="FID74" s="609"/>
      <c r="FIE74" s="609"/>
      <c r="FIF74" s="609"/>
      <c r="FIG74" s="609"/>
      <c r="FIH74" s="609"/>
      <c r="FII74" s="609"/>
      <c r="FIJ74" s="609"/>
      <c r="FIK74" s="609"/>
      <c r="FIL74" s="609"/>
      <c r="FIM74" s="609"/>
      <c r="FIN74" s="609"/>
      <c r="FIO74" s="609"/>
      <c r="FIP74" s="609"/>
      <c r="FIQ74" s="609"/>
      <c r="FIR74" s="609"/>
      <c r="FIS74" s="609"/>
      <c r="FIT74" s="609"/>
      <c r="FIU74" s="609"/>
      <c r="FIV74" s="609"/>
      <c r="FIW74" s="609"/>
      <c r="FIX74" s="609"/>
      <c r="FIY74" s="609"/>
      <c r="FIZ74" s="609"/>
      <c r="FJA74" s="609"/>
      <c r="FJB74" s="609"/>
      <c r="FJC74" s="609"/>
      <c r="FJD74" s="609"/>
      <c r="FJE74" s="609"/>
      <c r="FJF74" s="609"/>
      <c r="FJG74" s="609"/>
      <c r="FJH74" s="609"/>
      <c r="FJI74" s="609"/>
      <c r="FJJ74" s="609"/>
      <c r="FJK74" s="609"/>
      <c r="FJL74" s="609"/>
      <c r="FJM74" s="609"/>
      <c r="FJN74" s="609"/>
      <c r="FJO74" s="609"/>
      <c r="FJP74" s="609"/>
      <c r="FJQ74" s="609"/>
      <c r="FJR74" s="609"/>
      <c r="FJS74" s="609"/>
      <c r="FJT74" s="609"/>
      <c r="FJU74" s="609"/>
      <c r="FJV74" s="609"/>
      <c r="FJW74" s="609"/>
      <c r="FJX74" s="609"/>
      <c r="FJY74" s="609"/>
      <c r="FJZ74" s="609"/>
      <c r="FKA74" s="609"/>
      <c r="FKB74" s="609"/>
      <c r="FKC74" s="609"/>
      <c r="FKD74" s="609"/>
      <c r="FKE74" s="609"/>
      <c r="FKF74" s="609"/>
      <c r="FKG74" s="609"/>
      <c r="FKH74" s="609"/>
      <c r="FKI74" s="609"/>
      <c r="FKJ74" s="609"/>
      <c r="FKK74" s="609"/>
      <c r="FKL74" s="609"/>
      <c r="FKM74" s="609"/>
      <c r="FKN74" s="609"/>
      <c r="FKO74" s="609"/>
      <c r="FKP74" s="609"/>
      <c r="FKQ74" s="609"/>
      <c r="FKR74" s="609"/>
      <c r="FKS74" s="609"/>
      <c r="FKT74" s="609"/>
      <c r="FKU74" s="609"/>
      <c r="FKV74" s="609"/>
      <c r="FKW74" s="609"/>
      <c r="FKX74" s="609"/>
      <c r="FKY74" s="609"/>
      <c r="FKZ74" s="609"/>
      <c r="FLA74" s="609"/>
      <c r="FLB74" s="609"/>
      <c r="FLC74" s="609"/>
      <c r="FLD74" s="609"/>
      <c r="FLE74" s="609"/>
      <c r="FLF74" s="609"/>
      <c r="FLG74" s="609"/>
      <c r="FLH74" s="609"/>
      <c r="FLI74" s="609"/>
      <c r="FLJ74" s="609"/>
      <c r="FLK74" s="609"/>
      <c r="FLL74" s="609"/>
      <c r="FLM74" s="609"/>
      <c r="FLN74" s="609"/>
      <c r="FLO74" s="609"/>
      <c r="FLP74" s="609"/>
      <c r="FLQ74" s="609"/>
      <c r="FLR74" s="609"/>
      <c r="FLS74" s="609"/>
      <c r="FLT74" s="609"/>
      <c r="FLU74" s="609"/>
      <c r="FLV74" s="609"/>
      <c r="FLW74" s="609"/>
      <c r="FLX74" s="609"/>
      <c r="FLY74" s="609"/>
      <c r="FLZ74" s="609"/>
      <c r="FMA74" s="609"/>
      <c r="FMB74" s="609"/>
      <c r="FMC74" s="609"/>
      <c r="FMD74" s="609"/>
      <c r="FME74" s="609"/>
      <c r="FMF74" s="609"/>
      <c r="FMG74" s="609"/>
      <c r="FMH74" s="609"/>
      <c r="FMI74" s="609"/>
      <c r="FMJ74" s="609"/>
      <c r="FMK74" s="609"/>
      <c r="FML74" s="609"/>
      <c r="FMM74" s="609"/>
      <c r="FMN74" s="609"/>
      <c r="FMO74" s="609"/>
      <c r="FMP74" s="609"/>
      <c r="FMQ74" s="609"/>
      <c r="FMR74" s="609"/>
      <c r="FMS74" s="609"/>
      <c r="FMT74" s="609"/>
      <c r="FMU74" s="609"/>
      <c r="FMV74" s="609"/>
      <c r="FMW74" s="609"/>
      <c r="FMX74" s="609"/>
      <c r="FMY74" s="609"/>
      <c r="FMZ74" s="609"/>
      <c r="FNA74" s="609"/>
      <c r="FNB74" s="609"/>
      <c r="FNC74" s="609"/>
      <c r="FND74" s="609"/>
      <c r="FNE74" s="609"/>
      <c r="FNF74" s="609"/>
      <c r="FNG74" s="609"/>
      <c r="FNH74" s="609"/>
      <c r="FNI74" s="609"/>
      <c r="FNJ74" s="609"/>
      <c r="FNK74" s="609"/>
      <c r="FNL74" s="609"/>
      <c r="FNM74" s="609"/>
      <c r="FNN74" s="609"/>
      <c r="FNO74" s="609"/>
      <c r="FNP74" s="609"/>
      <c r="FNQ74" s="609"/>
      <c r="FNR74" s="609"/>
      <c r="FNS74" s="609"/>
      <c r="FNT74" s="609"/>
      <c r="FNU74" s="609"/>
      <c r="FNV74" s="609"/>
      <c r="FNW74" s="609"/>
      <c r="FNX74" s="609"/>
      <c r="FNY74" s="609"/>
      <c r="FNZ74" s="609"/>
      <c r="FOA74" s="609"/>
      <c r="FOB74" s="609"/>
      <c r="FOC74" s="609"/>
      <c r="FOD74" s="609"/>
      <c r="FOE74" s="609"/>
      <c r="FOF74" s="609"/>
      <c r="FOG74" s="609"/>
      <c r="FOH74" s="609"/>
      <c r="FOI74" s="609"/>
      <c r="FOJ74" s="609"/>
      <c r="FOK74" s="609"/>
      <c r="FOL74" s="609"/>
      <c r="FOM74" s="609"/>
      <c r="FON74" s="609"/>
      <c r="FOO74" s="609"/>
      <c r="FOP74" s="609"/>
      <c r="FOQ74" s="609"/>
      <c r="FOR74" s="609"/>
      <c r="FOS74" s="609"/>
      <c r="FOT74" s="609"/>
      <c r="FOU74" s="609"/>
      <c r="FOV74" s="609"/>
      <c r="FOW74" s="609"/>
      <c r="FOX74" s="609"/>
      <c r="FOY74" s="609"/>
      <c r="FOZ74" s="609"/>
      <c r="FPA74" s="609"/>
      <c r="FPB74" s="609"/>
      <c r="FPC74" s="609"/>
      <c r="FPD74" s="609"/>
      <c r="FPE74" s="609"/>
      <c r="FPF74" s="609"/>
      <c r="FPG74" s="609"/>
      <c r="FPH74" s="609"/>
      <c r="FPI74" s="609"/>
      <c r="FPJ74" s="609"/>
      <c r="FPK74" s="609"/>
      <c r="FPL74" s="609"/>
      <c r="FPM74" s="609"/>
      <c r="FPN74" s="609"/>
      <c r="FPO74" s="609"/>
      <c r="FPP74" s="609"/>
      <c r="FPQ74" s="609"/>
      <c r="FPR74" s="609"/>
      <c r="FPS74" s="609"/>
      <c r="FPT74" s="609"/>
      <c r="FPU74" s="609"/>
      <c r="FPV74" s="609"/>
      <c r="FPW74" s="609"/>
      <c r="FPX74" s="609"/>
      <c r="FPY74" s="609"/>
      <c r="FPZ74" s="609"/>
      <c r="FQA74" s="609"/>
      <c r="FQB74" s="609"/>
      <c r="FQC74" s="609"/>
      <c r="FQD74" s="609"/>
      <c r="FQE74" s="609"/>
      <c r="FQF74" s="609"/>
      <c r="FQG74" s="609"/>
      <c r="FQH74" s="609"/>
      <c r="FQI74" s="609"/>
      <c r="FQJ74" s="609"/>
      <c r="FQK74" s="609"/>
      <c r="FQL74" s="609"/>
      <c r="FQM74" s="609"/>
      <c r="FQN74" s="609"/>
      <c r="FQO74" s="609"/>
      <c r="FQP74" s="609"/>
      <c r="FQQ74" s="609"/>
      <c r="FQR74" s="609"/>
      <c r="FQS74" s="609"/>
      <c r="FQT74" s="609"/>
      <c r="FQU74" s="609"/>
      <c r="FQV74" s="609"/>
      <c r="FQW74" s="609"/>
      <c r="FQX74" s="609"/>
      <c r="FQY74" s="609"/>
      <c r="FQZ74" s="609"/>
      <c r="FRA74" s="609"/>
      <c r="FRB74" s="609"/>
      <c r="FRC74" s="609"/>
      <c r="FRD74" s="609"/>
      <c r="FRE74" s="609"/>
      <c r="FRF74" s="609"/>
      <c r="FRG74" s="609"/>
      <c r="FRH74" s="609"/>
      <c r="FRI74" s="609"/>
      <c r="FRJ74" s="609"/>
      <c r="FRK74" s="609"/>
      <c r="FRL74" s="609"/>
      <c r="FRM74" s="609"/>
      <c r="FRN74" s="609"/>
      <c r="FRO74" s="609"/>
      <c r="FRP74" s="609"/>
      <c r="FRQ74" s="609"/>
      <c r="FRR74" s="609"/>
      <c r="FRS74" s="609"/>
      <c r="FRT74" s="609"/>
      <c r="FRU74" s="609"/>
      <c r="FRV74" s="609"/>
      <c r="FRW74" s="609"/>
      <c r="FRX74" s="609"/>
      <c r="FRY74" s="609"/>
      <c r="FRZ74" s="609"/>
      <c r="FSA74" s="609"/>
      <c r="FSB74" s="609"/>
      <c r="FSC74" s="609"/>
      <c r="FSD74" s="609"/>
      <c r="FSE74" s="609"/>
      <c r="FSF74" s="609"/>
      <c r="FSG74" s="609"/>
      <c r="FSH74" s="609"/>
      <c r="FSI74" s="609"/>
      <c r="FSJ74" s="609"/>
      <c r="FSK74" s="609"/>
      <c r="FSL74" s="609"/>
      <c r="FSM74" s="609"/>
      <c r="FSN74" s="609"/>
      <c r="FSO74" s="609"/>
      <c r="FSP74" s="609"/>
      <c r="FSQ74" s="609"/>
      <c r="FSR74" s="609"/>
      <c r="FSS74" s="609"/>
      <c r="FST74" s="609"/>
      <c r="FSU74" s="609"/>
      <c r="FSV74" s="609"/>
      <c r="FSW74" s="609"/>
      <c r="FSX74" s="609"/>
      <c r="FSY74" s="609"/>
      <c r="FSZ74" s="609"/>
      <c r="FTA74" s="609"/>
      <c r="FTB74" s="609"/>
      <c r="FTC74" s="609"/>
      <c r="FTD74" s="609"/>
      <c r="FTE74" s="609"/>
      <c r="FTF74" s="609"/>
      <c r="FTG74" s="609"/>
      <c r="FTH74" s="609"/>
      <c r="FTI74" s="609"/>
      <c r="FTJ74" s="609"/>
      <c r="FTK74" s="609"/>
      <c r="FTL74" s="609"/>
      <c r="FTM74" s="609"/>
      <c r="FTN74" s="609"/>
      <c r="FTO74" s="609"/>
      <c r="FTP74" s="609"/>
      <c r="FTQ74" s="609"/>
      <c r="FTR74" s="609"/>
      <c r="FTS74" s="609"/>
      <c r="FTT74" s="609"/>
      <c r="FTU74" s="609"/>
      <c r="FTV74" s="609"/>
      <c r="FTW74" s="609"/>
      <c r="FTX74" s="609"/>
      <c r="FTY74" s="609"/>
      <c r="FTZ74" s="609"/>
      <c r="FUA74" s="609"/>
      <c r="FUB74" s="609"/>
      <c r="FUC74" s="609"/>
      <c r="FUD74" s="609"/>
      <c r="FUE74" s="609"/>
      <c r="FUF74" s="609"/>
      <c r="FUG74" s="609"/>
      <c r="FUH74" s="609"/>
      <c r="FUI74" s="609"/>
      <c r="FUJ74" s="609"/>
      <c r="FUK74" s="609"/>
      <c r="FUL74" s="609"/>
      <c r="FUM74" s="609"/>
      <c r="FUN74" s="609"/>
      <c r="FUO74" s="609"/>
      <c r="FUP74" s="609"/>
      <c r="FUQ74" s="609"/>
      <c r="FUR74" s="609"/>
      <c r="FUS74" s="609"/>
      <c r="FUT74" s="609"/>
      <c r="FUU74" s="609"/>
      <c r="FUV74" s="609"/>
      <c r="FUW74" s="609"/>
      <c r="FUX74" s="609"/>
      <c r="FUY74" s="609"/>
      <c r="FUZ74" s="609"/>
      <c r="FVA74" s="609"/>
      <c r="FVB74" s="609"/>
      <c r="FVC74" s="609"/>
      <c r="FVD74" s="609"/>
      <c r="FVE74" s="609"/>
      <c r="FVF74" s="609"/>
      <c r="FVG74" s="609"/>
      <c r="FVH74" s="609"/>
      <c r="FVI74" s="609"/>
      <c r="FVJ74" s="609"/>
      <c r="FVK74" s="609"/>
      <c r="FVL74" s="609"/>
      <c r="FVM74" s="609"/>
      <c r="FVN74" s="609"/>
      <c r="FVO74" s="609"/>
      <c r="FVP74" s="609"/>
      <c r="FVQ74" s="609"/>
      <c r="FVR74" s="609"/>
      <c r="FVS74" s="609"/>
      <c r="FVT74" s="609"/>
      <c r="FVU74" s="609"/>
      <c r="FVV74" s="609"/>
      <c r="FVW74" s="609"/>
      <c r="FVX74" s="609"/>
      <c r="FVY74" s="609"/>
      <c r="FVZ74" s="609"/>
      <c r="FWA74" s="609"/>
      <c r="FWB74" s="609"/>
      <c r="FWC74" s="609"/>
      <c r="FWD74" s="609"/>
      <c r="FWE74" s="609"/>
      <c r="FWF74" s="609"/>
      <c r="FWG74" s="609"/>
      <c r="FWH74" s="609"/>
      <c r="FWI74" s="609"/>
      <c r="FWJ74" s="609"/>
      <c r="FWK74" s="609"/>
      <c r="FWL74" s="609"/>
      <c r="FWM74" s="609"/>
      <c r="FWN74" s="609"/>
      <c r="FWO74" s="609"/>
      <c r="FWP74" s="609"/>
      <c r="FWQ74" s="609"/>
      <c r="FWR74" s="609"/>
      <c r="FWS74" s="609"/>
      <c r="FWT74" s="609"/>
      <c r="FWU74" s="609"/>
      <c r="FWV74" s="609"/>
      <c r="FWW74" s="609"/>
      <c r="FWX74" s="609"/>
      <c r="FWY74" s="609"/>
      <c r="FWZ74" s="609"/>
      <c r="FXA74" s="609"/>
      <c r="FXB74" s="609"/>
      <c r="FXC74" s="609"/>
      <c r="FXD74" s="609"/>
      <c r="FXE74" s="609"/>
      <c r="FXF74" s="609"/>
      <c r="FXG74" s="609"/>
      <c r="FXH74" s="609"/>
      <c r="FXI74" s="609"/>
      <c r="FXJ74" s="609"/>
      <c r="FXK74" s="609"/>
      <c r="FXL74" s="609"/>
      <c r="FXM74" s="609"/>
      <c r="FXN74" s="609"/>
      <c r="FXO74" s="609"/>
      <c r="FXP74" s="609"/>
      <c r="FXQ74" s="609"/>
      <c r="FXR74" s="609"/>
      <c r="FXS74" s="609"/>
      <c r="FXT74" s="609"/>
      <c r="FXU74" s="609"/>
      <c r="FXV74" s="609"/>
      <c r="FXW74" s="609"/>
      <c r="FXX74" s="609"/>
      <c r="FXY74" s="609"/>
      <c r="FXZ74" s="609"/>
      <c r="FYA74" s="609"/>
      <c r="FYB74" s="609"/>
      <c r="FYC74" s="609"/>
      <c r="FYD74" s="609"/>
      <c r="FYE74" s="609"/>
      <c r="FYF74" s="609"/>
      <c r="FYG74" s="609"/>
      <c r="FYH74" s="609"/>
      <c r="FYI74" s="609"/>
      <c r="FYJ74" s="609"/>
      <c r="FYK74" s="609"/>
      <c r="FYL74" s="609"/>
      <c r="FYM74" s="609"/>
      <c r="FYN74" s="609"/>
      <c r="FYO74" s="609"/>
      <c r="FYP74" s="609"/>
      <c r="FYQ74" s="609"/>
      <c r="FYR74" s="609"/>
      <c r="FYS74" s="609"/>
      <c r="FYT74" s="609"/>
      <c r="FYU74" s="609"/>
      <c r="FYV74" s="609"/>
      <c r="FYW74" s="609"/>
      <c r="FYX74" s="609"/>
      <c r="FYY74" s="609"/>
      <c r="FYZ74" s="609"/>
      <c r="FZA74" s="609"/>
      <c r="FZB74" s="609"/>
      <c r="FZC74" s="609"/>
      <c r="FZD74" s="609"/>
      <c r="FZE74" s="609"/>
      <c r="FZF74" s="609"/>
      <c r="FZG74" s="609"/>
      <c r="FZH74" s="609"/>
      <c r="FZI74" s="609"/>
      <c r="FZJ74" s="609"/>
      <c r="FZK74" s="609"/>
      <c r="FZL74" s="609"/>
      <c r="FZM74" s="609"/>
      <c r="FZN74" s="609"/>
      <c r="FZO74" s="609"/>
      <c r="FZP74" s="609"/>
      <c r="FZQ74" s="609"/>
      <c r="FZR74" s="609"/>
      <c r="FZS74" s="609"/>
      <c r="FZT74" s="609"/>
      <c r="FZU74" s="609"/>
      <c r="FZV74" s="609"/>
      <c r="FZW74" s="609"/>
      <c r="FZX74" s="609"/>
      <c r="FZY74" s="609"/>
      <c r="FZZ74" s="609"/>
      <c r="GAA74" s="609"/>
      <c r="GAB74" s="609"/>
      <c r="GAC74" s="609"/>
      <c r="GAD74" s="609"/>
      <c r="GAE74" s="609"/>
      <c r="GAF74" s="609"/>
      <c r="GAG74" s="609"/>
      <c r="GAH74" s="609"/>
      <c r="GAI74" s="609"/>
      <c r="GAJ74" s="609"/>
      <c r="GAK74" s="609"/>
      <c r="GAL74" s="609"/>
      <c r="GAM74" s="609"/>
      <c r="GAN74" s="609"/>
      <c r="GAO74" s="609"/>
      <c r="GAP74" s="609"/>
      <c r="GAQ74" s="609"/>
      <c r="GAR74" s="609"/>
      <c r="GAS74" s="609"/>
      <c r="GAT74" s="609"/>
      <c r="GAU74" s="609"/>
      <c r="GAV74" s="609"/>
      <c r="GAW74" s="609"/>
      <c r="GAX74" s="609"/>
      <c r="GAY74" s="609"/>
      <c r="GAZ74" s="609"/>
      <c r="GBA74" s="609"/>
      <c r="GBB74" s="609"/>
      <c r="GBC74" s="609"/>
      <c r="GBD74" s="609"/>
      <c r="GBE74" s="609"/>
      <c r="GBF74" s="609"/>
      <c r="GBG74" s="609"/>
      <c r="GBH74" s="609"/>
      <c r="GBI74" s="609"/>
      <c r="GBJ74" s="609"/>
      <c r="GBK74" s="609"/>
      <c r="GBL74" s="609"/>
      <c r="GBM74" s="609"/>
      <c r="GBN74" s="609"/>
      <c r="GBO74" s="609"/>
      <c r="GBP74" s="609"/>
      <c r="GBQ74" s="609"/>
      <c r="GBR74" s="609"/>
      <c r="GBS74" s="609"/>
      <c r="GBT74" s="609"/>
      <c r="GBU74" s="609"/>
      <c r="GBV74" s="609"/>
      <c r="GBW74" s="609"/>
      <c r="GBX74" s="609"/>
      <c r="GBY74" s="609"/>
      <c r="GBZ74" s="609"/>
      <c r="GCA74" s="609"/>
      <c r="GCB74" s="609"/>
      <c r="GCC74" s="609"/>
      <c r="GCD74" s="609"/>
      <c r="GCE74" s="609"/>
      <c r="GCF74" s="609"/>
      <c r="GCG74" s="609"/>
      <c r="GCH74" s="609"/>
      <c r="GCI74" s="609"/>
      <c r="GCJ74" s="609"/>
      <c r="GCK74" s="609"/>
      <c r="GCL74" s="609"/>
      <c r="GCM74" s="609"/>
      <c r="GCN74" s="609"/>
      <c r="GCO74" s="609"/>
      <c r="GCP74" s="609"/>
      <c r="GCQ74" s="609"/>
      <c r="GCR74" s="609"/>
      <c r="GCS74" s="609"/>
      <c r="GCT74" s="609"/>
      <c r="GCU74" s="609"/>
      <c r="GCV74" s="609"/>
      <c r="GCW74" s="609"/>
      <c r="GCX74" s="609"/>
      <c r="GCY74" s="609"/>
      <c r="GCZ74" s="609"/>
      <c r="GDA74" s="609"/>
      <c r="GDB74" s="609"/>
      <c r="GDC74" s="609"/>
      <c r="GDD74" s="609"/>
      <c r="GDE74" s="609"/>
      <c r="GDF74" s="609"/>
      <c r="GDG74" s="609"/>
      <c r="GDH74" s="609"/>
      <c r="GDI74" s="609"/>
      <c r="GDJ74" s="609"/>
      <c r="GDK74" s="609"/>
      <c r="GDL74" s="609"/>
      <c r="GDM74" s="609"/>
      <c r="GDN74" s="609"/>
      <c r="GDO74" s="609"/>
      <c r="GDP74" s="609"/>
      <c r="GDQ74" s="609"/>
      <c r="GDR74" s="609"/>
      <c r="GDS74" s="609"/>
      <c r="GDT74" s="609"/>
      <c r="GDU74" s="609"/>
      <c r="GDV74" s="609"/>
      <c r="GDW74" s="609"/>
      <c r="GDX74" s="609"/>
      <c r="GDY74" s="609"/>
      <c r="GDZ74" s="609"/>
      <c r="GEA74" s="609"/>
      <c r="GEB74" s="609"/>
      <c r="GEC74" s="609"/>
      <c r="GED74" s="609"/>
      <c r="GEE74" s="609"/>
      <c r="GEF74" s="609"/>
      <c r="GEG74" s="609"/>
      <c r="GEH74" s="609"/>
      <c r="GEI74" s="609"/>
      <c r="GEJ74" s="609"/>
      <c r="GEK74" s="609"/>
      <c r="GEL74" s="609"/>
      <c r="GEM74" s="609"/>
      <c r="GEN74" s="609"/>
      <c r="GEO74" s="609"/>
      <c r="GEP74" s="609"/>
      <c r="GEQ74" s="609"/>
      <c r="GER74" s="609"/>
      <c r="GES74" s="609"/>
      <c r="GET74" s="609"/>
      <c r="GEU74" s="609"/>
      <c r="GEV74" s="609"/>
      <c r="GEW74" s="609"/>
      <c r="GEX74" s="609"/>
      <c r="GEY74" s="609"/>
      <c r="GEZ74" s="609"/>
      <c r="GFA74" s="609"/>
      <c r="GFB74" s="609"/>
      <c r="GFC74" s="609"/>
      <c r="GFD74" s="609"/>
      <c r="GFE74" s="609"/>
      <c r="GFF74" s="609"/>
      <c r="GFG74" s="609"/>
      <c r="GFH74" s="609"/>
      <c r="GFI74" s="609"/>
      <c r="GFJ74" s="609"/>
      <c r="GFK74" s="609"/>
      <c r="GFL74" s="609"/>
      <c r="GFM74" s="609"/>
      <c r="GFN74" s="609"/>
      <c r="GFO74" s="609"/>
      <c r="GFP74" s="609"/>
      <c r="GFQ74" s="609"/>
      <c r="GFR74" s="609"/>
      <c r="GFS74" s="609"/>
      <c r="GFT74" s="609"/>
      <c r="GFU74" s="609"/>
      <c r="GFV74" s="609"/>
      <c r="GFW74" s="609"/>
      <c r="GFX74" s="609"/>
      <c r="GFY74" s="609"/>
      <c r="GFZ74" s="609"/>
      <c r="GGA74" s="609"/>
      <c r="GGB74" s="609"/>
      <c r="GGC74" s="609"/>
      <c r="GGD74" s="609"/>
      <c r="GGE74" s="609"/>
      <c r="GGF74" s="609"/>
      <c r="GGG74" s="609"/>
      <c r="GGH74" s="609"/>
      <c r="GGI74" s="609"/>
      <c r="GGJ74" s="609"/>
      <c r="GGK74" s="609"/>
      <c r="GGL74" s="609"/>
      <c r="GGM74" s="609"/>
      <c r="GGN74" s="609"/>
      <c r="GGO74" s="609"/>
      <c r="GGP74" s="609"/>
      <c r="GGQ74" s="609"/>
      <c r="GGR74" s="609"/>
      <c r="GGS74" s="609"/>
      <c r="GGT74" s="609"/>
      <c r="GGU74" s="609"/>
      <c r="GGV74" s="609"/>
      <c r="GGW74" s="609"/>
      <c r="GGX74" s="609"/>
      <c r="GGY74" s="609"/>
      <c r="GGZ74" s="609"/>
      <c r="GHA74" s="609"/>
      <c r="GHB74" s="609"/>
      <c r="GHC74" s="609"/>
      <c r="GHD74" s="609"/>
      <c r="GHE74" s="609"/>
      <c r="GHF74" s="609"/>
      <c r="GHG74" s="609"/>
      <c r="GHH74" s="609"/>
      <c r="GHI74" s="609"/>
      <c r="GHJ74" s="609"/>
      <c r="GHK74" s="609"/>
      <c r="GHL74" s="609"/>
      <c r="GHM74" s="609"/>
      <c r="GHN74" s="609"/>
      <c r="GHO74" s="609"/>
      <c r="GHP74" s="609"/>
      <c r="GHQ74" s="609"/>
      <c r="GHR74" s="609"/>
      <c r="GHS74" s="609"/>
      <c r="GHT74" s="609"/>
      <c r="GHU74" s="609"/>
      <c r="GHV74" s="609"/>
      <c r="GHW74" s="609"/>
      <c r="GHX74" s="609"/>
      <c r="GHY74" s="609"/>
      <c r="GHZ74" s="609"/>
      <c r="GIA74" s="609"/>
      <c r="GIB74" s="609"/>
      <c r="GIC74" s="609"/>
      <c r="GID74" s="609"/>
      <c r="GIE74" s="609"/>
      <c r="GIF74" s="609"/>
      <c r="GIG74" s="609"/>
      <c r="GIH74" s="609"/>
      <c r="GII74" s="609"/>
      <c r="GIJ74" s="609"/>
      <c r="GIK74" s="609"/>
      <c r="GIL74" s="609"/>
      <c r="GIM74" s="609"/>
      <c r="GIN74" s="609"/>
      <c r="GIO74" s="609"/>
      <c r="GIP74" s="609"/>
      <c r="GIQ74" s="609"/>
      <c r="GIR74" s="609"/>
      <c r="GIS74" s="609"/>
      <c r="GIT74" s="609"/>
      <c r="GIU74" s="609"/>
      <c r="GIV74" s="609"/>
      <c r="GIW74" s="609"/>
      <c r="GIX74" s="609"/>
      <c r="GIY74" s="609"/>
      <c r="GIZ74" s="609"/>
      <c r="GJA74" s="609"/>
      <c r="GJB74" s="609"/>
      <c r="GJC74" s="609"/>
      <c r="GJD74" s="609"/>
      <c r="GJE74" s="609"/>
      <c r="GJF74" s="609"/>
      <c r="GJG74" s="609"/>
      <c r="GJH74" s="609"/>
      <c r="GJI74" s="609"/>
      <c r="GJJ74" s="609"/>
      <c r="GJK74" s="609"/>
      <c r="GJL74" s="609"/>
      <c r="GJM74" s="609"/>
      <c r="GJN74" s="609"/>
      <c r="GJO74" s="609"/>
      <c r="GJP74" s="609"/>
      <c r="GJQ74" s="609"/>
      <c r="GJR74" s="609"/>
      <c r="GJS74" s="609"/>
      <c r="GJT74" s="609"/>
      <c r="GJU74" s="609"/>
      <c r="GJV74" s="609"/>
      <c r="GJW74" s="609"/>
      <c r="GJX74" s="609"/>
      <c r="GJY74" s="609"/>
      <c r="GJZ74" s="609"/>
      <c r="GKA74" s="609"/>
      <c r="GKB74" s="609"/>
      <c r="GKC74" s="609"/>
      <c r="GKD74" s="609"/>
      <c r="GKE74" s="609"/>
      <c r="GKF74" s="609"/>
      <c r="GKG74" s="609"/>
      <c r="GKH74" s="609"/>
      <c r="GKI74" s="609"/>
      <c r="GKJ74" s="609"/>
      <c r="GKK74" s="609"/>
      <c r="GKL74" s="609"/>
      <c r="GKM74" s="609"/>
      <c r="GKN74" s="609"/>
      <c r="GKO74" s="609"/>
      <c r="GKP74" s="609"/>
      <c r="GKQ74" s="609"/>
      <c r="GKR74" s="609"/>
      <c r="GKS74" s="609"/>
      <c r="GKT74" s="609"/>
      <c r="GKU74" s="609"/>
      <c r="GKV74" s="609"/>
      <c r="GKW74" s="609"/>
      <c r="GKX74" s="609"/>
      <c r="GKY74" s="609"/>
      <c r="GKZ74" s="609"/>
      <c r="GLA74" s="609"/>
      <c r="GLB74" s="609"/>
      <c r="GLC74" s="609"/>
      <c r="GLD74" s="609"/>
      <c r="GLE74" s="609"/>
      <c r="GLF74" s="609"/>
      <c r="GLG74" s="609"/>
      <c r="GLH74" s="609"/>
      <c r="GLI74" s="609"/>
      <c r="GLJ74" s="609"/>
      <c r="GLK74" s="609"/>
      <c r="GLL74" s="609"/>
      <c r="GLM74" s="609"/>
      <c r="GLN74" s="609"/>
      <c r="GLO74" s="609"/>
      <c r="GLP74" s="609"/>
      <c r="GLQ74" s="609"/>
      <c r="GLR74" s="609"/>
      <c r="GLS74" s="609"/>
      <c r="GLT74" s="609"/>
      <c r="GLU74" s="609"/>
      <c r="GLV74" s="609"/>
      <c r="GLW74" s="609"/>
      <c r="GLX74" s="609"/>
      <c r="GLY74" s="609"/>
      <c r="GLZ74" s="609"/>
      <c r="GMA74" s="609"/>
      <c r="GMB74" s="609"/>
      <c r="GMC74" s="609"/>
      <c r="GMD74" s="609"/>
      <c r="GME74" s="609"/>
      <c r="GMF74" s="609"/>
      <c r="GMG74" s="609"/>
      <c r="GMH74" s="609"/>
      <c r="GMI74" s="609"/>
      <c r="GMJ74" s="609"/>
      <c r="GMK74" s="609"/>
      <c r="GML74" s="609"/>
      <c r="GMM74" s="609"/>
      <c r="GMN74" s="609"/>
      <c r="GMO74" s="609"/>
      <c r="GMP74" s="609"/>
      <c r="GMQ74" s="609"/>
      <c r="GMR74" s="609"/>
      <c r="GMS74" s="609"/>
      <c r="GMT74" s="609"/>
      <c r="GMU74" s="609"/>
      <c r="GMV74" s="609"/>
      <c r="GMW74" s="609"/>
      <c r="GMX74" s="609"/>
      <c r="GMY74" s="609"/>
      <c r="GMZ74" s="609"/>
      <c r="GNA74" s="609"/>
      <c r="GNB74" s="609"/>
      <c r="GNC74" s="609"/>
      <c r="GND74" s="609"/>
      <c r="GNE74" s="609"/>
      <c r="GNF74" s="609"/>
      <c r="GNG74" s="609"/>
      <c r="GNH74" s="609"/>
      <c r="GNI74" s="609"/>
      <c r="GNJ74" s="609"/>
      <c r="GNK74" s="609"/>
      <c r="GNL74" s="609"/>
      <c r="GNM74" s="609"/>
      <c r="GNN74" s="609"/>
      <c r="GNO74" s="609"/>
      <c r="GNP74" s="609"/>
      <c r="GNQ74" s="609"/>
      <c r="GNR74" s="609"/>
      <c r="GNS74" s="609"/>
      <c r="GNT74" s="609"/>
      <c r="GNU74" s="609"/>
      <c r="GNV74" s="609"/>
      <c r="GNW74" s="609"/>
      <c r="GNX74" s="609"/>
      <c r="GNY74" s="609"/>
      <c r="GNZ74" s="609"/>
      <c r="GOA74" s="609"/>
      <c r="GOB74" s="609"/>
      <c r="GOC74" s="609"/>
      <c r="GOD74" s="609"/>
      <c r="GOE74" s="609"/>
      <c r="GOF74" s="609"/>
      <c r="GOG74" s="609"/>
      <c r="GOH74" s="609"/>
      <c r="GOI74" s="609"/>
      <c r="GOJ74" s="609"/>
      <c r="GOK74" s="609"/>
      <c r="GOL74" s="609"/>
      <c r="GOM74" s="609"/>
      <c r="GON74" s="609"/>
      <c r="GOO74" s="609"/>
      <c r="GOP74" s="609"/>
      <c r="GOQ74" s="609"/>
      <c r="GOR74" s="609"/>
      <c r="GOS74" s="609"/>
      <c r="GOT74" s="609"/>
      <c r="GOU74" s="609"/>
      <c r="GOV74" s="609"/>
      <c r="GOW74" s="609"/>
      <c r="GOX74" s="609"/>
      <c r="GOY74" s="609"/>
      <c r="GOZ74" s="609"/>
      <c r="GPA74" s="609"/>
      <c r="GPB74" s="609"/>
      <c r="GPC74" s="609"/>
      <c r="GPD74" s="609"/>
      <c r="GPE74" s="609"/>
      <c r="GPF74" s="609"/>
      <c r="GPG74" s="609"/>
      <c r="GPH74" s="609"/>
      <c r="GPI74" s="609"/>
      <c r="GPJ74" s="609"/>
      <c r="GPK74" s="609"/>
      <c r="GPL74" s="609"/>
      <c r="GPM74" s="609"/>
      <c r="GPN74" s="609"/>
      <c r="GPO74" s="609"/>
      <c r="GPP74" s="609"/>
      <c r="GPQ74" s="609"/>
      <c r="GPR74" s="609"/>
      <c r="GPS74" s="609"/>
      <c r="GPT74" s="609"/>
      <c r="GPU74" s="609"/>
      <c r="GPV74" s="609"/>
      <c r="GPW74" s="609"/>
      <c r="GPX74" s="609"/>
      <c r="GPY74" s="609"/>
      <c r="GPZ74" s="609"/>
      <c r="GQA74" s="609"/>
      <c r="GQB74" s="609"/>
      <c r="GQC74" s="609"/>
      <c r="GQD74" s="609"/>
      <c r="GQE74" s="609"/>
      <c r="GQF74" s="609"/>
      <c r="GQG74" s="609"/>
      <c r="GQH74" s="609"/>
      <c r="GQI74" s="609"/>
      <c r="GQJ74" s="609"/>
      <c r="GQK74" s="609"/>
      <c r="GQL74" s="609"/>
      <c r="GQM74" s="609"/>
      <c r="GQN74" s="609"/>
      <c r="GQO74" s="609"/>
      <c r="GQP74" s="609"/>
      <c r="GQQ74" s="609"/>
      <c r="GQR74" s="609"/>
      <c r="GQS74" s="609"/>
      <c r="GQT74" s="609"/>
      <c r="GQU74" s="609"/>
      <c r="GQV74" s="609"/>
      <c r="GQW74" s="609"/>
      <c r="GQX74" s="609"/>
      <c r="GQY74" s="609"/>
      <c r="GQZ74" s="609"/>
      <c r="GRA74" s="609"/>
      <c r="GRB74" s="609"/>
      <c r="GRC74" s="609"/>
      <c r="GRD74" s="609"/>
      <c r="GRE74" s="609"/>
      <c r="GRF74" s="609"/>
      <c r="GRG74" s="609"/>
      <c r="GRH74" s="609"/>
      <c r="GRI74" s="609"/>
      <c r="GRJ74" s="609"/>
      <c r="GRK74" s="609"/>
      <c r="GRL74" s="609"/>
      <c r="GRM74" s="609"/>
      <c r="GRN74" s="609"/>
      <c r="GRO74" s="609"/>
      <c r="GRP74" s="609"/>
      <c r="GRQ74" s="609"/>
      <c r="GRR74" s="609"/>
      <c r="GRS74" s="609"/>
      <c r="GRT74" s="609"/>
      <c r="GRU74" s="609"/>
      <c r="GRV74" s="609"/>
      <c r="GRW74" s="609"/>
      <c r="GRX74" s="609"/>
      <c r="GRY74" s="609"/>
      <c r="GRZ74" s="609"/>
      <c r="GSA74" s="609"/>
      <c r="GSB74" s="609"/>
      <c r="GSC74" s="609"/>
      <c r="GSD74" s="609"/>
      <c r="GSE74" s="609"/>
      <c r="GSF74" s="609"/>
      <c r="GSG74" s="609"/>
      <c r="GSH74" s="609"/>
      <c r="GSI74" s="609"/>
      <c r="GSJ74" s="609"/>
      <c r="GSK74" s="609"/>
      <c r="GSL74" s="609"/>
      <c r="GSM74" s="609"/>
      <c r="GSN74" s="609"/>
      <c r="GSO74" s="609"/>
      <c r="GSP74" s="609"/>
      <c r="GSQ74" s="609"/>
      <c r="GSR74" s="609"/>
      <c r="GSS74" s="609"/>
      <c r="GST74" s="609"/>
      <c r="GSU74" s="609"/>
      <c r="GSV74" s="609"/>
      <c r="GSW74" s="609"/>
      <c r="GSX74" s="609"/>
      <c r="GSY74" s="609"/>
      <c r="GSZ74" s="609"/>
      <c r="GTA74" s="609"/>
      <c r="GTB74" s="609"/>
      <c r="GTC74" s="609"/>
      <c r="GTD74" s="609"/>
      <c r="GTE74" s="609"/>
      <c r="GTF74" s="609"/>
      <c r="GTG74" s="609"/>
      <c r="GTH74" s="609"/>
      <c r="GTI74" s="609"/>
      <c r="GTJ74" s="609"/>
      <c r="GTK74" s="609"/>
      <c r="GTL74" s="609"/>
      <c r="GTM74" s="609"/>
      <c r="GTN74" s="609"/>
      <c r="GTO74" s="609"/>
      <c r="GTP74" s="609"/>
      <c r="GTQ74" s="609"/>
      <c r="GTR74" s="609"/>
      <c r="GTS74" s="609"/>
      <c r="GTT74" s="609"/>
      <c r="GTU74" s="609"/>
      <c r="GTV74" s="609"/>
      <c r="GTW74" s="609"/>
      <c r="GTX74" s="609"/>
      <c r="GTY74" s="609"/>
      <c r="GTZ74" s="609"/>
      <c r="GUA74" s="609"/>
      <c r="GUB74" s="609"/>
      <c r="GUC74" s="609"/>
      <c r="GUD74" s="609"/>
      <c r="GUE74" s="609"/>
      <c r="GUF74" s="609"/>
      <c r="GUG74" s="609"/>
      <c r="GUH74" s="609"/>
      <c r="GUI74" s="609"/>
      <c r="GUJ74" s="609"/>
      <c r="GUK74" s="609"/>
      <c r="GUL74" s="609"/>
      <c r="GUM74" s="609"/>
      <c r="GUN74" s="609"/>
      <c r="GUO74" s="609"/>
      <c r="GUP74" s="609"/>
      <c r="GUQ74" s="609"/>
      <c r="GUR74" s="609"/>
      <c r="GUS74" s="609"/>
      <c r="GUT74" s="609"/>
      <c r="GUU74" s="609"/>
      <c r="GUV74" s="609"/>
      <c r="GUW74" s="609"/>
      <c r="GUX74" s="609"/>
      <c r="GUY74" s="609"/>
      <c r="GUZ74" s="609"/>
      <c r="GVA74" s="609"/>
      <c r="GVB74" s="609"/>
      <c r="GVC74" s="609"/>
      <c r="GVD74" s="609"/>
      <c r="GVE74" s="609"/>
      <c r="GVF74" s="609"/>
      <c r="GVG74" s="609"/>
      <c r="GVH74" s="609"/>
      <c r="GVI74" s="609"/>
      <c r="GVJ74" s="609"/>
      <c r="GVK74" s="609"/>
      <c r="GVL74" s="609"/>
      <c r="GVM74" s="609"/>
      <c r="GVN74" s="609"/>
      <c r="GVO74" s="609"/>
      <c r="GVP74" s="609"/>
      <c r="GVQ74" s="609"/>
      <c r="GVR74" s="609"/>
      <c r="GVS74" s="609"/>
      <c r="GVT74" s="609"/>
      <c r="GVU74" s="609"/>
      <c r="GVV74" s="609"/>
      <c r="GVW74" s="609"/>
      <c r="GVX74" s="609"/>
      <c r="GVY74" s="609"/>
      <c r="GVZ74" s="609"/>
      <c r="GWA74" s="609"/>
      <c r="GWB74" s="609"/>
      <c r="GWC74" s="609"/>
      <c r="GWD74" s="609"/>
      <c r="GWE74" s="609"/>
      <c r="GWF74" s="609"/>
      <c r="GWG74" s="609"/>
      <c r="GWH74" s="609"/>
      <c r="GWI74" s="609"/>
      <c r="GWJ74" s="609"/>
      <c r="GWK74" s="609"/>
      <c r="GWL74" s="609"/>
      <c r="GWM74" s="609"/>
      <c r="GWN74" s="609"/>
      <c r="GWO74" s="609"/>
      <c r="GWP74" s="609"/>
      <c r="GWQ74" s="609"/>
      <c r="GWR74" s="609"/>
      <c r="GWS74" s="609"/>
      <c r="GWT74" s="609"/>
      <c r="GWU74" s="609"/>
      <c r="GWV74" s="609"/>
      <c r="GWW74" s="609"/>
      <c r="GWX74" s="609"/>
      <c r="GWY74" s="609"/>
      <c r="GWZ74" s="609"/>
      <c r="GXA74" s="609"/>
      <c r="GXB74" s="609"/>
      <c r="GXC74" s="609"/>
      <c r="GXD74" s="609"/>
      <c r="GXE74" s="609"/>
      <c r="GXF74" s="609"/>
      <c r="GXG74" s="609"/>
      <c r="GXH74" s="609"/>
      <c r="GXI74" s="609"/>
      <c r="GXJ74" s="609"/>
      <c r="GXK74" s="609"/>
      <c r="GXL74" s="609"/>
      <c r="GXM74" s="609"/>
      <c r="GXN74" s="609"/>
      <c r="GXO74" s="609"/>
      <c r="GXP74" s="609"/>
      <c r="GXQ74" s="609"/>
      <c r="GXR74" s="609"/>
      <c r="GXS74" s="609"/>
      <c r="GXT74" s="609"/>
      <c r="GXU74" s="609"/>
      <c r="GXV74" s="609"/>
      <c r="GXW74" s="609"/>
      <c r="GXX74" s="609"/>
      <c r="GXY74" s="609"/>
      <c r="GXZ74" s="609"/>
      <c r="GYA74" s="609"/>
      <c r="GYB74" s="609"/>
      <c r="GYC74" s="609"/>
      <c r="GYD74" s="609"/>
      <c r="GYE74" s="609"/>
      <c r="GYF74" s="609"/>
      <c r="GYG74" s="609"/>
      <c r="GYH74" s="609"/>
      <c r="GYI74" s="609"/>
      <c r="GYJ74" s="609"/>
      <c r="GYK74" s="609"/>
      <c r="GYL74" s="609"/>
      <c r="GYM74" s="609"/>
      <c r="GYN74" s="609"/>
      <c r="GYO74" s="609"/>
      <c r="GYP74" s="609"/>
      <c r="GYQ74" s="609"/>
      <c r="GYR74" s="609"/>
      <c r="GYS74" s="609"/>
      <c r="GYT74" s="609"/>
      <c r="GYU74" s="609"/>
      <c r="GYV74" s="609"/>
      <c r="GYW74" s="609"/>
      <c r="GYX74" s="609"/>
      <c r="GYY74" s="609"/>
      <c r="GYZ74" s="609"/>
      <c r="GZA74" s="609"/>
      <c r="GZB74" s="609"/>
      <c r="GZC74" s="609"/>
      <c r="GZD74" s="609"/>
      <c r="GZE74" s="609"/>
      <c r="GZF74" s="609"/>
      <c r="GZG74" s="609"/>
      <c r="GZH74" s="609"/>
      <c r="GZI74" s="609"/>
      <c r="GZJ74" s="609"/>
      <c r="GZK74" s="609"/>
      <c r="GZL74" s="609"/>
      <c r="GZM74" s="609"/>
      <c r="GZN74" s="609"/>
      <c r="GZO74" s="609"/>
      <c r="GZP74" s="609"/>
      <c r="GZQ74" s="609"/>
      <c r="GZR74" s="609"/>
      <c r="GZS74" s="609"/>
      <c r="GZT74" s="609"/>
      <c r="GZU74" s="609"/>
      <c r="GZV74" s="609"/>
      <c r="GZW74" s="609"/>
      <c r="GZX74" s="609"/>
      <c r="GZY74" s="609"/>
      <c r="GZZ74" s="609"/>
      <c r="HAA74" s="609"/>
      <c r="HAB74" s="609"/>
      <c r="HAC74" s="609"/>
      <c r="HAD74" s="609"/>
      <c r="HAE74" s="609"/>
      <c r="HAF74" s="609"/>
      <c r="HAG74" s="609"/>
      <c r="HAH74" s="609"/>
      <c r="HAI74" s="609"/>
      <c r="HAJ74" s="609"/>
      <c r="HAK74" s="609"/>
      <c r="HAL74" s="609"/>
      <c r="HAM74" s="609"/>
      <c r="HAN74" s="609"/>
      <c r="HAO74" s="609"/>
      <c r="HAP74" s="609"/>
      <c r="HAQ74" s="609"/>
      <c r="HAR74" s="609"/>
      <c r="HAS74" s="609"/>
      <c r="HAT74" s="609"/>
      <c r="HAU74" s="609"/>
      <c r="HAV74" s="609"/>
      <c r="HAW74" s="609"/>
      <c r="HAX74" s="609"/>
      <c r="HAY74" s="609"/>
      <c r="HAZ74" s="609"/>
      <c r="HBA74" s="609"/>
      <c r="HBB74" s="609"/>
      <c r="HBC74" s="609"/>
      <c r="HBD74" s="609"/>
      <c r="HBE74" s="609"/>
      <c r="HBF74" s="609"/>
      <c r="HBG74" s="609"/>
      <c r="HBH74" s="609"/>
      <c r="HBI74" s="609"/>
      <c r="HBJ74" s="609"/>
      <c r="HBK74" s="609"/>
      <c r="HBL74" s="609"/>
      <c r="HBM74" s="609"/>
      <c r="HBN74" s="609"/>
      <c r="HBO74" s="609"/>
      <c r="HBP74" s="609"/>
      <c r="HBQ74" s="609"/>
      <c r="HBR74" s="609"/>
      <c r="HBS74" s="609"/>
      <c r="HBT74" s="609"/>
      <c r="HBU74" s="609"/>
      <c r="HBV74" s="609"/>
      <c r="HBW74" s="609"/>
      <c r="HBX74" s="609"/>
      <c r="HBY74" s="609"/>
      <c r="HBZ74" s="609"/>
      <c r="HCA74" s="609"/>
      <c r="HCB74" s="609"/>
      <c r="HCC74" s="609"/>
      <c r="HCD74" s="609"/>
      <c r="HCE74" s="609"/>
      <c r="HCF74" s="609"/>
      <c r="HCG74" s="609"/>
      <c r="HCH74" s="609"/>
      <c r="HCI74" s="609"/>
      <c r="HCJ74" s="609"/>
      <c r="HCK74" s="609"/>
      <c r="HCL74" s="609"/>
      <c r="HCM74" s="609"/>
      <c r="HCN74" s="609"/>
      <c r="HCO74" s="609"/>
      <c r="HCP74" s="609"/>
      <c r="HCQ74" s="609"/>
      <c r="HCR74" s="609"/>
      <c r="HCS74" s="609"/>
      <c r="HCT74" s="609"/>
      <c r="HCU74" s="609"/>
      <c r="HCV74" s="609"/>
      <c r="HCW74" s="609"/>
      <c r="HCX74" s="609"/>
      <c r="HCY74" s="609"/>
      <c r="HCZ74" s="609"/>
      <c r="HDA74" s="609"/>
      <c r="HDB74" s="609"/>
      <c r="HDC74" s="609"/>
      <c r="HDD74" s="609"/>
      <c r="HDE74" s="609"/>
      <c r="HDF74" s="609"/>
      <c r="HDG74" s="609"/>
      <c r="HDH74" s="609"/>
      <c r="HDI74" s="609"/>
      <c r="HDJ74" s="609"/>
      <c r="HDK74" s="609"/>
      <c r="HDL74" s="609"/>
      <c r="HDM74" s="609"/>
      <c r="HDN74" s="609"/>
      <c r="HDO74" s="609"/>
      <c r="HDP74" s="609"/>
      <c r="HDQ74" s="609"/>
      <c r="HDR74" s="609"/>
      <c r="HDS74" s="609"/>
      <c r="HDT74" s="609"/>
      <c r="HDU74" s="609"/>
      <c r="HDV74" s="609"/>
      <c r="HDW74" s="609"/>
      <c r="HDX74" s="609"/>
      <c r="HDY74" s="609"/>
      <c r="HDZ74" s="609"/>
      <c r="HEA74" s="609"/>
      <c r="HEB74" s="609"/>
      <c r="HEC74" s="609"/>
      <c r="HED74" s="609"/>
      <c r="HEE74" s="609"/>
      <c r="HEF74" s="609"/>
      <c r="HEG74" s="609"/>
      <c r="HEH74" s="609"/>
      <c r="HEI74" s="609"/>
      <c r="HEJ74" s="609"/>
      <c r="HEK74" s="609"/>
      <c r="HEL74" s="609"/>
      <c r="HEM74" s="609"/>
      <c r="HEN74" s="609"/>
      <c r="HEO74" s="609"/>
      <c r="HEP74" s="609"/>
      <c r="HEQ74" s="609"/>
      <c r="HER74" s="609"/>
      <c r="HES74" s="609"/>
      <c r="HET74" s="609"/>
      <c r="HEU74" s="609"/>
      <c r="HEV74" s="609"/>
      <c r="HEW74" s="609"/>
      <c r="HEX74" s="609"/>
      <c r="HEY74" s="609"/>
      <c r="HEZ74" s="609"/>
      <c r="HFA74" s="609"/>
      <c r="HFB74" s="609"/>
      <c r="HFC74" s="609"/>
      <c r="HFD74" s="609"/>
      <c r="HFE74" s="609"/>
      <c r="HFF74" s="609"/>
      <c r="HFG74" s="609"/>
      <c r="HFH74" s="609"/>
      <c r="HFI74" s="609"/>
      <c r="HFJ74" s="609"/>
      <c r="HFK74" s="609"/>
      <c r="HFL74" s="609"/>
      <c r="HFM74" s="609"/>
      <c r="HFN74" s="609"/>
      <c r="HFO74" s="609"/>
      <c r="HFP74" s="609"/>
      <c r="HFQ74" s="609"/>
      <c r="HFR74" s="609"/>
      <c r="HFS74" s="609"/>
      <c r="HFT74" s="609"/>
      <c r="HFU74" s="609"/>
      <c r="HFV74" s="609"/>
      <c r="HFW74" s="609"/>
      <c r="HFX74" s="609"/>
      <c r="HFY74" s="609"/>
      <c r="HFZ74" s="609"/>
      <c r="HGA74" s="609"/>
      <c r="HGB74" s="609"/>
      <c r="HGC74" s="609"/>
      <c r="HGD74" s="609"/>
      <c r="HGE74" s="609"/>
      <c r="HGF74" s="609"/>
      <c r="HGG74" s="609"/>
      <c r="HGH74" s="609"/>
      <c r="HGI74" s="609"/>
      <c r="HGJ74" s="609"/>
      <c r="HGK74" s="609"/>
      <c r="HGL74" s="609"/>
      <c r="HGM74" s="609"/>
      <c r="HGN74" s="609"/>
      <c r="HGO74" s="609"/>
      <c r="HGP74" s="609"/>
      <c r="HGQ74" s="609"/>
      <c r="HGR74" s="609"/>
      <c r="HGS74" s="609"/>
      <c r="HGT74" s="609"/>
      <c r="HGU74" s="609"/>
      <c r="HGV74" s="609"/>
      <c r="HGW74" s="609"/>
      <c r="HGX74" s="609"/>
      <c r="HGY74" s="609"/>
      <c r="HGZ74" s="609"/>
      <c r="HHA74" s="609"/>
      <c r="HHB74" s="609"/>
      <c r="HHC74" s="609"/>
      <c r="HHD74" s="609"/>
      <c r="HHE74" s="609"/>
      <c r="HHF74" s="609"/>
      <c r="HHG74" s="609"/>
      <c r="HHH74" s="609"/>
      <c r="HHI74" s="609"/>
      <c r="HHJ74" s="609"/>
      <c r="HHK74" s="609"/>
      <c r="HHL74" s="609"/>
      <c r="HHM74" s="609"/>
      <c r="HHN74" s="609"/>
      <c r="HHO74" s="609"/>
      <c r="HHP74" s="609"/>
      <c r="HHQ74" s="609"/>
      <c r="HHR74" s="609"/>
      <c r="HHS74" s="609"/>
      <c r="HHT74" s="609"/>
      <c r="HHU74" s="609"/>
      <c r="HHV74" s="609"/>
      <c r="HHW74" s="609"/>
      <c r="HHX74" s="609"/>
      <c r="HHY74" s="609"/>
      <c r="HHZ74" s="609"/>
      <c r="HIA74" s="609"/>
      <c r="HIB74" s="609"/>
      <c r="HIC74" s="609"/>
      <c r="HID74" s="609"/>
      <c r="HIE74" s="609"/>
      <c r="HIF74" s="609"/>
      <c r="HIG74" s="609"/>
      <c r="HIH74" s="609"/>
      <c r="HII74" s="609"/>
      <c r="HIJ74" s="609"/>
      <c r="HIK74" s="609"/>
      <c r="HIL74" s="609"/>
      <c r="HIM74" s="609"/>
      <c r="HIN74" s="609"/>
      <c r="HIO74" s="609"/>
      <c r="HIP74" s="609"/>
      <c r="HIQ74" s="609"/>
      <c r="HIR74" s="609"/>
      <c r="HIS74" s="609"/>
      <c r="HIT74" s="609"/>
      <c r="HIU74" s="609"/>
      <c r="HIV74" s="609"/>
      <c r="HIW74" s="609"/>
      <c r="HIX74" s="609"/>
      <c r="HIY74" s="609"/>
      <c r="HIZ74" s="609"/>
      <c r="HJA74" s="609"/>
      <c r="HJB74" s="609"/>
      <c r="HJC74" s="609"/>
      <c r="HJD74" s="609"/>
      <c r="HJE74" s="609"/>
      <c r="HJF74" s="609"/>
      <c r="HJG74" s="609"/>
      <c r="HJH74" s="609"/>
      <c r="HJI74" s="609"/>
      <c r="HJJ74" s="609"/>
      <c r="HJK74" s="609"/>
      <c r="HJL74" s="609"/>
      <c r="HJM74" s="609"/>
      <c r="HJN74" s="609"/>
      <c r="HJO74" s="609"/>
      <c r="HJP74" s="609"/>
      <c r="HJQ74" s="609"/>
      <c r="HJR74" s="609"/>
      <c r="HJS74" s="609"/>
      <c r="HJT74" s="609"/>
      <c r="HJU74" s="609"/>
      <c r="HJV74" s="609"/>
      <c r="HJW74" s="609"/>
      <c r="HJX74" s="609"/>
      <c r="HJY74" s="609"/>
      <c r="HJZ74" s="609"/>
      <c r="HKA74" s="609"/>
      <c r="HKB74" s="609"/>
      <c r="HKC74" s="609"/>
      <c r="HKD74" s="609"/>
      <c r="HKE74" s="609"/>
      <c r="HKF74" s="609"/>
      <c r="HKG74" s="609"/>
      <c r="HKH74" s="609"/>
      <c r="HKI74" s="609"/>
      <c r="HKJ74" s="609"/>
      <c r="HKK74" s="609"/>
      <c r="HKL74" s="609"/>
      <c r="HKM74" s="609"/>
      <c r="HKN74" s="609"/>
      <c r="HKO74" s="609"/>
      <c r="HKP74" s="609"/>
      <c r="HKQ74" s="609"/>
      <c r="HKR74" s="609"/>
      <c r="HKS74" s="609"/>
      <c r="HKT74" s="609"/>
      <c r="HKU74" s="609"/>
      <c r="HKV74" s="609"/>
      <c r="HKW74" s="609"/>
      <c r="HKX74" s="609"/>
      <c r="HKY74" s="609"/>
      <c r="HKZ74" s="609"/>
      <c r="HLA74" s="609"/>
      <c r="HLB74" s="609"/>
      <c r="HLC74" s="609"/>
      <c r="HLD74" s="609"/>
      <c r="HLE74" s="609"/>
      <c r="HLF74" s="609"/>
      <c r="HLG74" s="609"/>
      <c r="HLH74" s="609"/>
      <c r="HLI74" s="609"/>
      <c r="HLJ74" s="609"/>
      <c r="HLK74" s="609"/>
      <c r="HLL74" s="609"/>
      <c r="HLM74" s="609"/>
      <c r="HLN74" s="609"/>
      <c r="HLO74" s="609"/>
      <c r="HLP74" s="609"/>
      <c r="HLQ74" s="609"/>
      <c r="HLR74" s="609"/>
      <c r="HLS74" s="609"/>
      <c r="HLT74" s="609"/>
      <c r="HLU74" s="609"/>
      <c r="HLV74" s="609"/>
      <c r="HLW74" s="609"/>
      <c r="HLX74" s="609"/>
      <c r="HLY74" s="609"/>
      <c r="HLZ74" s="609"/>
      <c r="HMA74" s="609"/>
      <c r="HMB74" s="609"/>
      <c r="HMC74" s="609"/>
      <c r="HMD74" s="609"/>
      <c r="HME74" s="609"/>
      <c r="HMF74" s="609"/>
      <c r="HMG74" s="609"/>
      <c r="HMH74" s="609"/>
      <c r="HMI74" s="609"/>
      <c r="HMJ74" s="609"/>
      <c r="HMK74" s="609"/>
      <c r="HML74" s="609"/>
      <c r="HMM74" s="609"/>
      <c r="HMN74" s="609"/>
      <c r="HMO74" s="609"/>
      <c r="HMP74" s="609"/>
      <c r="HMQ74" s="609"/>
      <c r="HMR74" s="609"/>
      <c r="HMS74" s="609"/>
      <c r="HMT74" s="609"/>
      <c r="HMU74" s="609"/>
      <c r="HMV74" s="609"/>
      <c r="HMW74" s="609"/>
      <c r="HMX74" s="609"/>
      <c r="HMY74" s="609"/>
      <c r="HMZ74" s="609"/>
      <c r="HNA74" s="609"/>
      <c r="HNB74" s="609"/>
      <c r="HNC74" s="609"/>
      <c r="HND74" s="609"/>
      <c r="HNE74" s="609"/>
      <c r="HNF74" s="609"/>
      <c r="HNG74" s="609"/>
      <c r="HNH74" s="609"/>
      <c r="HNI74" s="609"/>
      <c r="HNJ74" s="609"/>
      <c r="HNK74" s="609"/>
      <c r="HNL74" s="609"/>
      <c r="HNM74" s="609"/>
      <c r="HNN74" s="609"/>
      <c r="HNO74" s="609"/>
      <c r="HNP74" s="609"/>
      <c r="HNQ74" s="609"/>
      <c r="HNR74" s="609"/>
      <c r="HNS74" s="609"/>
      <c r="HNT74" s="609"/>
      <c r="HNU74" s="609"/>
      <c r="HNV74" s="609"/>
      <c r="HNW74" s="609"/>
      <c r="HNX74" s="609"/>
      <c r="HNY74" s="609"/>
      <c r="HNZ74" s="609"/>
      <c r="HOA74" s="609"/>
      <c r="HOB74" s="609"/>
      <c r="HOC74" s="609"/>
      <c r="HOD74" s="609"/>
      <c r="HOE74" s="609"/>
      <c r="HOF74" s="609"/>
      <c r="HOG74" s="609"/>
      <c r="HOH74" s="609"/>
      <c r="HOI74" s="609"/>
      <c r="HOJ74" s="609"/>
      <c r="HOK74" s="609"/>
      <c r="HOL74" s="609"/>
      <c r="HOM74" s="609"/>
      <c r="HON74" s="609"/>
      <c r="HOO74" s="609"/>
      <c r="HOP74" s="609"/>
      <c r="HOQ74" s="609"/>
      <c r="HOR74" s="609"/>
      <c r="HOS74" s="609"/>
      <c r="HOT74" s="609"/>
      <c r="HOU74" s="609"/>
      <c r="HOV74" s="609"/>
      <c r="HOW74" s="609"/>
      <c r="HOX74" s="609"/>
      <c r="HOY74" s="609"/>
      <c r="HOZ74" s="609"/>
      <c r="HPA74" s="609"/>
      <c r="HPB74" s="609"/>
      <c r="HPC74" s="609"/>
      <c r="HPD74" s="609"/>
      <c r="HPE74" s="609"/>
      <c r="HPF74" s="609"/>
      <c r="HPG74" s="609"/>
      <c r="HPH74" s="609"/>
      <c r="HPI74" s="609"/>
      <c r="HPJ74" s="609"/>
      <c r="HPK74" s="609"/>
      <c r="HPL74" s="609"/>
      <c r="HPM74" s="609"/>
      <c r="HPN74" s="609"/>
      <c r="HPO74" s="609"/>
      <c r="HPP74" s="609"/>
      <c r="HPQ74" s="609"/>
      <c r="HPR74" s="609"/>
      <c r="HPS74" s="609"/>
      <c r="HPT74" s="609"/>
      <c r="HPU74" s="609"/>
      <c r="HPV74" s="609"/>
      <c r="HPW74" s="609"/>
      <c r="HPX74" s="609"/>
      <c r="HPY74" s="609"/>
      <c r="HPZ74" s="609"/>
      <c r="HQA74" s="609"/>
      <c r="HQB74" s="609"/>
      <c r="HQC74" s="609"/>
      <c r="HQD74" s="609"/>
      <c r="HQE74" s="609"/>
      <c r="HQF74" s="609"/>
      <c r="HQG74" s="609"/>
      <c r="HQH74" s="609"/>
      <c r="HQI74" s="609"/>
      <c r="HQJ74" s="609"/>
      <c r="HQK74" s="609"/>
      <c r="HQL74" s="609"/>
      <c r="HQM74" s="609"/>
      <c r="HQN74" s="609"/>
      <c r="HQO74" s="609"/>
      <c r="HQP74" s="609"/>
      <c r="HQQ74" s="609"/>
      <c r="HQR74" s="609"/>
      <c r="HQS74" s="609"/>
      <c r="HQT74" s="609"/>
      <c r="HQU74" s="609"/>
      <c r="HQV74" s="609"/>
      <c r="HQW74" s="609"/>
      <c r="HQX74" s="609"/>
      <c r="HQY74" s="609"/>
      <c r="HQZ74" s="609"/>
      <c r="HRA74" s="609"/>
      <c r="HRB74" s="609"/>
      <c r="HRC74" s="609"/>
      <c r="HRD74" s="609"/>
      <c r="HRE74" s="609"/>
      <c r="HRF74" s="609"/>
      <c r="HRG74" s="609"/>
      <c r="HRH74" s="609"/>
      <c r="HRI74" s="609"/>
      <c r="HRJ74" s="609"/>
      <c r="HRK74" s="609"/>
      <c r="HRL74" s="609"/>
      <c r="HRM74" s="609"/>
      <c r="HRN74" s="609"/>
      <c r="HRO74" s="609"/>
      <c r="HRP74" s="609"/>
      <c r="HRQ74" s="609"/>
      <c r="HRR74" s="609"/>
      <c r="HRS74" s="609"/>
      <c r="HRT74" s="609"/>
      <c r="HRU74" s="609"/>
      <c r="HRV74" s="609"/>
      <c r="HRW74" s="609"/>
      <c r="HRX74" s="609"/>
      <c r="HRY74" s="609"/>
      <c r="HRZ74" s="609"/>
      <c r="HSA74" s="609"/>
      <c r="HSB74" s="609"/>
      <c r="HSC74" s="609"/>
      <c r="HSD74" s="609"/>
      <c r="HSE74" s="609"/>
      <c r="HSF74" s="609"/>
      <c r="HSG74" s="609"/>
      <c r="HSH74" s="609"/>
      <c r="HSI74" s="609"/>
      <c r="HSJ74" s="609"/>
      <c r="HSK74" s="609"/>
      <c r="HSL74" s="609"/>
      <c r="HSM74" s="609"/>
      <c r="HSN74" s="609"/>
      <c r="HSO74" s="609"/>
      <c r="HSP74" s="609"/>
      <c r="HSQ74" s="609"/>
      <c r="HSR74" s="609"/>
      <c r="HSS74" s="609"/>
      <c r="HST74" s="609"/>
      <c r="HSU74" s="609"/>
      <c r="HSV74" s="609"/>
      <c r="HSW74" s="609"/>
      <c r="HSX74" s="609"/>
      <c r="HSY74" s="609"/>
      <c r="HSZ74" s="609"/>
      <c r="HTA74" s="609"/>
      <c r="HTB74" s="609"/>
      <c r="HTC74" s="609"/>
      <c r="HTD74" s="609"/>
      <c r="HTE74" s="609"/>
      <c r="HTF74" s="609"/>
      <c r="HTG74" s="609"/>
      <c r="HTH74" s="609"/>
      <c r="HTI74" s="609"/>
      <c r="HTJ74" s="609"/>
      <c r="HTK74" s="609"/>
      <c r="HTL74" s="609"/>
      <c r="HTM74" s="609"/>
      <c r="HTN74" s="609"/>
      <c r="HTO74" s="609"/>
      <c r="HTP74" s="609"/>
      <c r="HTQ74" s="609"/>
      <c r="HTR74" s="609"/>
      <c r="HTS74" s="609"/>
      <c r="HTT74" s="609"/>
      <c r="HTU74" s="609"/>
      <c r="HTV74" s="609"/>
      <c r="HTW74" s="609"/>
      <c r="HTX74" s="609"/>
      <c r="HTY74" s="609"/>
      <c r="HTZ74" s="609"/>
      <c r="HUA74" s="609"/>
      <c r="HUB74" s="609"/>
      <c r="HUC74" s="609"/>
      <c r="HUD74" s="609"/>
      <c r="HUE74" s="609"/>
      <c r="HUF74" s="609"/>
      <c r="HUG74" s="609"/>
      <c r="HUH74" s="609"/>
      <c r="HUI74" s="609"/>
      <c r="HUJ74" s="609"/>
      <c r="HUK74" s="609"/>
      <c r="HUL74" s="609"/>
      <c r="HUM74" s="609"/>
      <c r="HUN74" s="609"/>
      <c r="HUO74" s="609"/>
      <c r="HUP74" s="609"/>
      <c r="HUQ74" s="609"/>
      <c r="HUR74" s="609"/>
      <c r="HUS74" s="609"/>
      <c r="HUT74" s="609"/>
      <c r="HUU74" s="609"/>
      <c r="HUV74" s="609"/>
      <c r="HUW74" s="609"/>
      <c r="HUX74" s="609"/>
      <c r="HUY74" s="609"/>
      <c r="HUZ74" s="609"/>
      <c r="HVA74" s="609"/>
      <c r="HVB74" s="609"/>
      <c r="HVC74" s="609"/>
      <c r="HVD74" s="609"/>
      <c r="HVE74" s="609"/>
      <c r="HVF74" s="609"/>
      <c r="HVG74" s="609"/>
      <c r="HVH74" s="609"/>
      <c r="HVI74" s="609"/>
      <c r="HVJ74" s="609"/>
      <c r="HVK74" s="609"/>
      <c r="HVL74" s="609"/>
      <c r="HVM74" s="609"/>
      <c r="HVN74" s="609"/>
      <c r="HVO74" s="609"/>
      <c r="HVP74" s="609"/>
      <c r="HVQ74" s="609"/>
      <c r="HVR74" s="609"/>
      <c r="HVS74" s="609"/>
      <c r="HVT74" s="609"/>
      <c r="HVU74" s="609"/>
      <c r="HVV74" s="609"/>
      <c r="HVW74" s="609"/>
      <c r="HVX74" s="609"/>
      <c r="HVY74" s="609"/>
      <c r="HVZ74" s="609"/>
      <c r="HWA74" s="609"/>
      <c r="HWB74" s="609"/>
      <c r="HWC74" s="609"/>
      <c r="HWD74" s="609"/>
      <c r="HWE74" s="609"/>
      <c r="HWF74" s="609"/>
      <c r="HWG74" s="609"/>
      <c r="HWH74" s="609"/>
      <c r="HWI74" s="609"/>
      <c r="HWJ74" s="609"/>
      <c r="HWK74" s="609"/>
      <c r="HWL74" s="609"/>
      <c r="HWM74" s="609"/>
      <c r="HWN74" s="609"/>
      <c r="HWO74" s="609"/>
      <c r="HWP74" s="609"/>
      <c r="HWQ74" s="609"/>
      <c r="HWR74" s="609"/>
      <c r="HWS74" s="609"/>
      <c r="HWT74" s="609"/>
      <c r="HWU74" s="609"/>
      <c r="HWV74" s="609"/>
      <c r="HWW74" s="609"/>
      <c r="HWX74" s="609"/>
      <c r="HWY74" s="609"/>
      <c r="HWZ74" s="609"/>
      <c r="HXA74" s="609"/>
      <c r="HXB74" s="609"/>
      <c r="HXC74" s="609"/>
      <c r="HXD74" s="609"/>
      <c r="HXE74" s="609"/>
      <c r="HXF74" s="609"/>
      <c r="HXG74" s="609"/>
      <c r="HXH74" s="609"/>
      <c r="HXI74" s="609"/>
      <c r="HXJ74" s="609"/>
      <c r="HXK74" s="609"/>
      <c r="HXL74" s="609"/>
      <c r="HXM74" s="609"/>
      <c r="HXN74" s="609"/>
      <c r="HXO74" s="609"/>
      <c r="HXP74" s="609"/>
      <c r="HXQ74" s="609"/>
      <c r="HXR74" s="609"/>
      <c r="HXS74" s="609"/>
      <c r="HXT74" s="609"/>
      <c r="HXU74" s="609"/>
      <c r="HXV74" s="609"/>
      <c r="HXW74" s="609"/>
      <c r="HXX74" s="609"/>
      <c r="HXY74" s="609"/>
      <c r="HXZ74" s="609"/>
      <c r="HYA74" s="609"/>
      <c r="HYB74" s="609"/>
      <c r="HYC74" s="609"/>
      <c r="HYD74" s="609"/>
      <c r="HYE74" s="609"/>
      <c r="HYF74" s="609"/>
      <c r="HYG74" s="609"/>
      <c r="HYH74" s="609"/>
      <c r="HYI74" s="609"/>
      <c r="HYJ74" s="609"/>
      <c r="HYK74" s="609"/>
      <c r="HYL74" s="609"/>
      <c r="HYM74" s="609"/>
      <c r="HYN74" s="609"/>
      <c r="HYO74" s="609"/>
      <c r="HYP74" s="609"/>
      <c r="HYQ74" s="609"/>
      <c r="HYR74" s="609"/>
      <c r="HYS74" s="609"/>
      <c r="HYT74" s="609"/>
      <c r="HYU74" s="609"/>
      <c r="HYV74" s="609"/>
      <c r="HYW74" s="609"/>
      <c r="HYX74" s="609"/>
      <c r="HYY74" s="609"/>
      <c r="HYZ74" s="609"/>
      <c r="HZA74" s="609"/>
      <c r="HZB74" s="609"/>
      <c r="HZC74" s="609"/>
      <c r="HZD74" s="609"/>
      <c r="HZE74" s="609"/>
      <c r="HZF74" s="609"/>
      <c r="HZG74" s="609"/>
      <c r="HZH74" s="609"/>
      <c r="HZI74" s="609"/>
      <c r="HZJ74" s="609"/>
      <c r="HZK74" s="609"/>
      <c r="HZL74" s="609"/>
      <c r="HZM74" s="609"/>
      <c r="HZN74" s="609"/>
      <c r="HZO74" s="609"/>
      <c r="HZP74" s="609"/>
      <c r="HZQ74" s="609"/>
      <c r="HZR74" s="609"/>
      <c r="HZS74" s="609"/>
      <c r="HZT74" s="609"/>
      <c r="HZU74" s="609"/>
      <c r="HZV74" s="609"/>
      <c r="HZW74" s="609"/>
      <c r="HZX74" s="609"/>
      <c r="HZY74" s="609"/>
      <c r="HZZ74" s="609"/>
      <c r="IAA74" s="609"/>
      <c r="IAB74" s="609"/>
      <c r="IAC74" s="609"/>
      <c r="IAD74" s="609"/>
      <c r="IAE74" s="609"/>
      <c r="IAF74" s="609"/>
      <c r="IAG74" s="609"/>
      <c r="IAH74" s="609"/>
      <c r="IAI74" s="609"/>
      <c r="IAJ74" s="609"/>
      <c r="IAK74" s="609"/>
      <c r="IAL74" s="609"/>
      <c r="IAM74" s="609"/>
      <c r="IAN74" s="609"/>
      <c r="IAO74" s="609"/>
      <c r="IAP74" s="609"/>
      <c r="IAQ74" s="609"/>
      <c r="IAR74" s="609"/>
      <c r="IAS74" s="609"/>
      <c r="IAT74" s="609"/>
      <c r="IAU74" s="609"/>
      <c r="IAV74" s="609"/>
      <c r="IAW74" s="609"/>
      <c r="IAX74" s="609"/>
      <c r="IAY74" s="609"/>
      <c r="IAZ74" s="609"/>
      <c r="IBA74" s="609"/>
      <c r="IBB74" s="609"/>
      <c r="IBC74" s="609"/>
      <c r="IBD74" s="609"/>
      <c r="IBE74" s="609"/>
      <c r="IBF74" s="609"/>
      <c r="IBG74" s="609"/>
      <c r="IBH74" s="609"/>
      <c r="IBI74" s="609"/>
      <c r="IBJ74" s="609"/>
      <c r="IBK74" s="609"/>
      <c r="IBL74" s="609"/>
      <c r="IBM74" s="609"/>
      <c r="IBN74" s="609"/>
      <c r="IBO74" s="609"/>
      <c r="IBP74" s="609"/>
      <c r="IBQ74" s="609"/>
      <c r="IBR74" s="609"/>
      <c r="IBS74" s="609"/>
      <c r="IBT74" s="609"/>
      <c r="IBU74" s="609"/>
      <c r="IBV74" s="609"/>
      <c r="IBW74" s="609"/>
      <c r="IBX74" s="609"/>
      <c r="IBY74" s="609"/>
      <c r="IBZ74" s="609"/>
      <c r="ICA74" s="609"/>
      <c r="ICB74" s="609"/>
      <c r="ICC74" s="609"/>
      <c r="ICD74" s="609"/>
      <c r="ICE74" s="609"/>
      <c r="ICF74" s="609"/>
      <c r="ICG74" s="609"/>
      <c r="ICH74" s="609"/>
      <c r="ICI74" s="609"/>
      <c r="ICJ74" s="609"/>
      <c r="ICK74" s="609"/>
      <c r="ICL74" s="609"/>
      <c r="ICM74" s="609"/>
      <c r="ICN74" s="609"/>
      <c r="ICO74" s="609"/>
      <c r="ICP74" s="609"/>
      <c r="ICQ74" s="609"/>
      <c r="ICR74" s="609"/>
      <c r="ICS74" s="609"/>
      <c r="ICT74" s="609"/>
      <c r="ICU74" s="609"/>
      <c r="ICV74" s="609"/>
      <c r="ICW74" s="609"/>
      <c r="ICX74" s="609"/>
      <c r="ICY74" s="609"/>
      <c r="ICZ74" s="609"/>
      <c r="IDA74" s="609"/>
      <c r="IDB74" s="609"/>
      <c r="IDC74" s="609"/>
      <c r="IDD74" s="609"/>
      <c r="IDE74" s="609"/>
      <c r="IDF74" s="609"/>
      <c r="IDG74" s="609"/>
      <c r="IDH74" s="609"/>
      <c r="IDI74" s="609"/>
      <c r="IDJ74" s="609"/>
      <c r="IDK74" s="609"/>
      <c r="IDL74" s="609"/>
      <c r="IDM74" s="609"/>
      <c r="IDN74" s="609"/>
      <c r="IDO74" s="609"/>
      <c r="IDP74" s="609"/>
      <c r="IDQ74" s="609"/>
      <c r="IDR74" s="609"/>
      <c r="IDS74" s="609"/>
      <c r="IDT74" s="609"/>
      <c r="IDU74" s="609"/>
      <c r="IDV74" s="609"/>
      <c r="IDW74" s="609"/>
      <c r="IDX74" s="609"/>
      <c r="IDY74" s="609"/>
      <c r="IDZ74" s="609"/>
      <c r="IEA74" s="609"/>
      <c r="IEB74" s="609"/>
      <c r="IEC74" s="609"/>
      <c r="IED74" s="609"/>
      <c r="IEE74" s="609"/>
      <c r="IEF74" s="609"/>
      <c r="IEG74" s="609"/>
      <c r="IEH74" s="609"/>
      <c r="IEI74" s="609"/>
      <c r="IEJ74" s="609"/>
      <c r="IEK74" s="609"/>
      <c r="IEL74" s="609"/>
      <c r="IEM74" s="609"/>
      <c r="IEN74" s="609"/>
      <c r="IEO74" s="609"/>
      <c r="IEP74" s="609"/>
      <c r="IEQ74" s="609"/>
      <c r="IER74" s="609"/>
      <c r="IES74" s="609"/>
      <c r="IET74" s="609"/>
      <c r="IEU74" s="609"/>
      <c r="IEV74" s="609"/>
      <c r="IEW74" s="609"/>
      <c r="IEX74" s="609"/>
      <c r="IEY74" s="609"/>
      <c r="IEZ74" s="609"/>
      <c r="IFA74" s="609"/>
      <c r="IFB74" s="609"/>
      <c r="IFC74" s="609"/>
      <c r="IFD74" s="609"/>
      <c r="IFE74" s="609"/>
      <c r="IFF74" s="609"/>
      <c r="IFG74" s="609"/>
      <c r="IFH74" s="609"/>
      <c r="IFI74" s="609"/>
      <c r="IFJ74" s="609"/>
      <c r="IFK74" s="609"/>
      <c r="IFL74" s="609"/>
      <c r="IFM74" s="609"/>
      <c r="IFN74" s="609"/>
      <c r="IFO74" s="609"/>
      <c r="IFP74" s="609"/>
      <c r="IFQ74" s="609"/>
      <c r="IFR74" s="609"/>
      <c r="IFS74" s="609"/>
      <c r="IFT74" s="609"/>
      <c r="IFU74" s="609"/>
      <c r="IFV74" s="609"/>
      <c r="IFW74" s="609"/>
      <c r="IFX74" s="609"/>
      <c r="IFY74" s="609"/>
      <c r="IFZ74" s="609"/>
      <c r="IGA74" s="609"/>
      <c r="IGB74" s="609"/>
      <c r="IGC74" s="609"/>
      <c r="IGD74" s="609"/>
      <c r="IGE74" s="609"/>
      <c r="IGF74" s="609"/>
      <c r="IGG74" s="609"/>
      <c r="IGH74" s="609"/>
      <c r="IGI74" s="609"/>
      <c r="IGJ74" s="609"/>
      <c r="IGK74" s="609"/>
      <c r="IGL74" s="609"/>
      <c r="IGM74" s="609"/>
      <c r="IGN74" s="609"/>
      <c r="IGO74" s="609"/>
      <c r="IGP74" s="609"/>
      <c r="IGQ74" s="609"/>
      <c r="IGR74" s="609"/>
      <c r="IGS74" s="609"/>
      <c r="IGT74" s="609"/>
      <c r="IGU74" s="609"/>
      <c r="IGV74" s="609"/>
      <c r="IGW74" s="609"/>
      <c r="IGX74" s="609"/>
      <c r="IGY74" s="609"/>
      <c r="IGZ74" s="609"/>
      <c r="IHA74" s="609"/>
      <c r="IHB74" s="609"/>
      <c r="IHC74" s="609"/>
      <c r="IHD74" s="609"/>
      <c r="IHE74" s="609"/>
      <c r="IHF74" s="609"/>
      <c r="IHG74" s="609"/>
      <c r="IHH74" s="609"/>
      <c r="IHI74" s="609"/>
      <c r="IHJ74" s="609"/>
      <c r="IHK74" s="609"/>
      <c r="IHL74" s="609"/>
      <c r="IHM74" s="609"/>
      <c r="IHN74" s="609"/>
      <c r="IHO74" s="609"/>
      <c r="IHP74" s="609"/>
      <c r="IHQ74" s="609"/>
      <c r="IHR74" s="609"/>
      <c r="IHS74" s="609"/>
      <c r="IHT74" s="609"/>
      <c r="IHU74" s="609"/>
      <c r="IHV74" s="609"/>
      <c r="IHW74" s="609"/>
      <c r="IHX74" s="609"/>
      <c r="IHY74" s="609"/>
      <c r="IHZ74" s="609"/>
      <c r="IIA74" s="609"/>
      <c r="IIB74" s="609"/>
      <c r="IIC74" s="609"/>
      <c r="IID74" s="609"/>
      <c r="IIE74" s="609"/>
      <c r="IIF74" s="609"/>
      <c r="IIG74" s="609"/>
      <c r="IIH74" s="609"/>
      <c r="III74" s="609"/>
      <c r="IIJ74" s="609"/>
      <c r="IIK74" s="609"/>
      <c r="IIL74" s="609"/>
      <c r="IIM74" s="609"/>
      <c r="IIN74" s="609"/>
      <c r="IIO74" s="609"/>
      <c r="IIP74" s="609"/>
      <c r="IIQ74" s="609"/>
      <c r="IIR74" s="609"/>
      <c r="IIS74" s="609"/>
      <c r="IIT74" s="609"/>
      <c r="IIU74" s="609"/>
      <c r="IIV74" s="609"/>
      <c r="IIW74" s="609"/>
      <c r="IIX74" s="609"/>
      <c r="IIY74" s="609"/>
      <c r="IIZ74" s="609"/>
      <c r="IJA74" s="609"/>
      <c r="IJB74" s="609"/>
      <c r="IJC74" s="609"/>
      <c r="IJD74" s="609"/>
      <c r="IJE74" s="609"/>
      <c r="IJF74" s="609"/>
      <c r="IJG74" s="609"/>
      <c r="IJH74" s="609"/>
      <c r="IJI74" s="609"/>
      <c r="IJJ74" s="609"/>
      <c r="IJK74" s="609"/>
      <c r="IJL74" s="609"/>
      <c r="IJM74" s="609"/>
      <c r="IJN74" s="609"/>
      <c r="IJO74" s="609"/>
      <c r="IJP74" s="609"/>
      <c r="IJQ74" s="609"/>
      <c r="IJR74" s="609"/>
      <c r="IJS74" s="609"/>
      <c r="IJT74" s="609"/>
      <c r="IJU74" s="609"/>
      <c r="IJV74" s="609"/>
      <c r="IJW74" s="609"/>
      <c r="IJX74" s="609"/>
      <c r="IJY74" s="609"/>
      <c r="IJZ74" s="609"/>
      <c r="IKA74" s="609"/>
      <c r="IKB74" s="609"/>
      <c r="IKC74" s="609"/>
      <c r="IKD74" s="609"/>
      <c r="IKE74" s="609"/>
      <c r="IKF74" s="609"/>
      <c r="IKG74" s="609"/>
      <c r="IKH74" s="609"/>
      <c r="IKI74" s="609"/>
      <c r="IKJ74" s="609"/>
      <c r="IKK74" s="609"/>
      <c r="IKL74" s="609"/>
      <c r="IKM74" s="609"/>
      <c r="IKN74" s="609"/>
      <c r="IKO74" s="609"/>
      <c r="IKP74" s="609"/>
      <c r="IKQ74" s="609"/>
      <c r="IKR74" s="609"/>
      <c r="IKS74" s="609"/>
      <c r="IKT74" s="609"/>
      <c r="IKU74" s="609"/>
      <c r="IKV74" s="609"/>
      <c r="IKW74" s="609"/>
      <c r="IKX74" s="609"/>
      <c r="IKY74" s="609"/>
      <c r="IKZ74" s="609"/>
      <c r="ILA74" s="609"/>
      <c r="ILB74" s="609"/>
      <c r="ILC74" s="609"/>
      <c r="ILD74" s="609"/>
      <c r="ILE74" s="609"/>
      <c r="ILF74" s="609"/>
      <c r="ILG74" s="609"/>
      <c r="ILH74" s="609"/>
      <c r="ILI74" s="609"/>
      <c r="ILJ74" s="609"/>
      <c r="ILK74" s="609"/>
      <c r="ILL74" s="609"/>
      <c r="ILM74" s="609"/>
      <c r="ILN74" s="609"/>
      <c r="ILO74" s="609"/>
      <c r="ILP74" s="609"/>
      <c r="ILQ74" s="609"/>
      <c r="ILR74" s="609"/>
      <c r="ILS74" s="609"/>
      <c r="ILT74" s="609"/>
      <c r="ILU74" s="609"/>
      <c r="ILV74" s="609"/>
      <c r="ILW74" s="609"/>
      <c r="ILX74" s="609"/>
      <c r="ILY74" s="609"/>
      <c r="ILZ74" s="609"/>
      <c r="IMA74" s="609"/>
      <c r="IMB74" s="609"/>
      <c r="IMC74" s="609"/>
      <c r="IMD74" s="609"/>
      <c r="IME74" s="609"/>
      <c r="IMF74" s="609"/>
      <c r="IMG74" s="609"/>
      <c r="IMH74" s="609"/>
      <c r="IMI74" s="609"/>
      <c r="IMJ74" s="609"/>
      <c r="IMK74" s="609"/>
      <c r="IML74" s="609"/>
      <c r="IMM74" s="609"/>
      <c r="IMN74" s="609"/>
      <c r="IMO74" s="609"/>
      <c r="IMP74" s="609"/>
      <c r="IMQ74" s="609"/>
      <c r="IMR74" s="609"/>
      <c r="IMS74" s="609"/>
      <c r="IMT74" s="609"/>
      <c r="IMU74" s="609"/>
      <c r="IMV74" s="609"/>
      <c r="IMW74" s="609"/>
      <c r="IMX74" s="609"/>
      <c r="IMY74" s="609"/>
      <c r="IMZ74" s="609"/>
      <c r="INA74" s="609"/>
      <c r="INB74" s="609"/>
      <c r="INC74" s="609"/>
      <c r="IND74" s="609"/>
      <c r="INE74" s="609"/>
      <c r="INF74" s="609"/>
      <c r="ING74" s="609"/>
      <c r="INH74" s="609"/>
      <c r="INI74" s="609"/>
      <c r="INJ74" s="609"/>
      <c r="INK74" s="609"/>
      <c r="INL74" s="609"/>
      <c r="INM74" s="609"/>
      <c r="INN74" s="609"/>
      <c r="INO74" s="609"/>
      <c r="INP74" s="609"/>
      <c r="INQ74" s="609"/>
      <c r="INR74" s="609"/>
      <c r="INS74" s="609"/>
      <c r="INT74" s="609"/>
      <c r="INU74" s="609"/>
      <c r="INV74" s="609"/>
      <c r="INW74" s="609"/>
      <c r="INX74" s="609"/>
      <c r="INY74" s="609"/>
      <c r="INZ74" s="609"/>
      <c r="IOA74" s="609"/>
      <c r="IOB74" s="609"/>
      <c r="IOC74" s="609"/>
      <c r="IOD74" s="609"/>
      <c r="IOE74" s="609"/>
      <c r="IOF74" s="609"/>
      <c r="IOG74" s="609"/>
      <c r="IOH74" s="609"/>
      <c r="IOI74" s="609"/>
      <c r="IOJ74" s="609"/>
      <c r="IOK74" s="609"/>
      <c r="IOL74" s="609"/>
      <c r="IOM74" s="609"/>
      <c r="ION74" s="609"/>
      <c r="IOO74" s="609"/>
      <c r="IOP74" s="609"/>
      <c r="IOQ74" s="609"/>
      <c r="IOR74" s="609"/>
      <c r="IOS74" s="609"/>
      <c r="IOT74" s="609"/>
      <c r="IOU74" s="609"/>
      <c r="IOV74" s="609"/>
      <c r="IOW74" s="609"/>
      <c r="IOX74" s="609"/>
      <c r="IOY74" s="609"/>
      <c r="IOZ74" s="609"/>
      <c r="IPA74" s="609"/>
      <c r="IPB74" s="609"/>
      <c r="IPC74" s="609"/>
      <c r="IPD74" s="609"/>
      <c r="IPE74" s="609"/>
      <c r="IPF74" s="609"/>
      <c r="IPG74" s="609"/>
      <c r="IPH74" s="609"/>
      <c r="IPI74" s="609"/>
      <c r="IPJ74" s="609"/>
      <c r="IPK74" s="609"/>
      <c r="IPL74" s="609"/>
      <c r="IPM74" s="609"/>
      <c r="IPN74" s="609"/>
      <c r="IPO74" s="609"/>
      <c r="IPP74" s="609"/>
      <c r="IPQ74" s="609"/>
      <c r="IPR74" s="609"/>
      <c r="IPS74" s="609"/>
      <c r="IPT74" s="609"/>
      <c r="IPU74" s="609"/>
      <c r="IPV74" s="609"/>
      <c r="IPW74" s="609"/>
      <c r="IPX74" s="609"/>
      <c r="IPY74" s="609"/>
      <c r="IPZ74" s="609"/>
      <c r="IQA74" s="609"/>
      <c r="IQB74" s="609"/>
      <c r="IQC74" s="609"/>
      <c r="IQD74" s="609"/>
      <c r="IQE74" s="609"/>
      <c r="IQF74" s="609"/>
      <c r="IQG74" s="609"/>
      <c r="IQH74" s="609"/>
      <c r="IQI74" s="609"/>
      <c r="IQJ74" s="609"/>
      <c r="IQK74" s="609"/>
      <c r="IQL74" s="609"/>
      <c r="IQM74" s="609"/>
      <c r="IQN74" s="609"/>
      <c r="IQO74" s="609"/>
      <c r="IQP74" s="609"/>
      <c r="IQQ74" s="609"/>
      <c r="IQR74" s="609"/>
      <c r="IQS74" s="609"/>
      <c r="IQT74" s="609"/>
      <c r="IQU74" s="609"/>
      <c r="IQV74" s="609"/>
      <c r="IQW74" s="609"/>
      <c r="IQX74" s="609"/>
      <c r="IQY74" s="609"/>
      <c r="IQZ74" s="609"/>
      <c r="IRA74" s="609"/>
      <c r="IRB74" s="609"/>
      <c r="IRC74" s="609"/>
      <c r="IRD74" s="609"/>
      <c r="IRE74" s="609"/>
      <c r="IRF74" s="609"/>
      <c r="IRG74" s="609"/>
      <c r="IRH74" s="609"/>
      <c r="IRI74" s="609"/>
      <c r="IRJ74" s="609"/>
      <c r="IRK74" s="609"/>
      <c r="IRL74" s="609"/>
      <c r="IRM74" s="609"/>
      <c r="IRN74" s="609"/>
      <c r="IRO74" s="609"/>
      <c r="IRP74" s="609"/>
      <c r="IRQ74" s="609"/>
      <c r="IRR74" s="609"/>
      <c r="IRS74" s="609"/>
      <c r="IRT74" s="609"/>
      <c r="IRU74" s="609"/>
      <c r="IRV74" s="609"/>
      <c r="IRW74" s="609"/>
      <c r="IRX74" s="609"/>
      <c r="IRY74" s="609"/>
      <c r="IRZ74" s="609"/>
      <c r="ISA74" s="609"/>
      <c r="ISB74" s="609"/>
      <c r="ISC74" s="609"/>
      <c r="ISD74" s="609"/>
      <c r="ISE74" s="609"/>
      <c r="ISF74" s="609"/>
      <c r="ISG74" s="609"/>
      <c r="ISH74" s="609"/>
      <c r="ISI74" s="609"/>
      <c r="ISJ74" s="609"/>
      <c r="ISK74" s="609"/>
      <c r="ISL74" s="609"/>
      <c r="ISM74" s="609"/>
      <c r="ISN74" s="609"/>
      <c r="ISO74" s="609"/>
      <c r="ISP74" s="609"/>
      <c r="ISQ74" s="609"/>
      <c r="ISR74" s="609"/>
      <c r="ISS74" s="609"/>
      <c r="IST74" s="609"/>
      <c r="ISU74" s="609"/>
      <c r="ISV74" s="609"/>
      <c r="ISW74" s="609"/>
      <c r="ISX74" s="609"/>
      <c r="ISY74" s="609"/>
      <c r="ISZ74" s="609"/>
      <c r="ITA74" s="609"/>
      <c r="ITB74" s="609"/>
      <c r="ITC74" s="609"/>
      <c r="ITD74" s="609"/>
      <c r="ITE74" s="609"/>
      <c r="ITF74" s="609"/>
      <c r="ITG74" s="609"/>
      <c r="ITH74" s="609"/>
      <c r="ITI74" s="609"/>
      <c r="ITJ74" s="609"/>
      <c r="ITK74" s="609"/>
      <c r="ITL74" s="609"/>
      <c r="ITM74" s="609"/>
      <c r="ITN74" s="609"/>
      <c r="ITO74" s="609"/>
      <c r="ITP74" s="609"/>
      <c r="ITQ74" s="609"/>
      <c r="ITR74" s="609"/>
      <c r="ITS74" s="609"/>
      <c r="ITT74" s="609"/>
      <c r="ITU74" s="609"/>
      <c r="ITV74" s="609"/>
      <c r="ITW74" s="609"/>
      <c r="ITX74" s="609"/>
      <c r="ITY74" s="609"/>
      <c r="ITZ74" s="609"/>
      <c r="IUA74" s="609"/>
      <c r="IUB74" s="609"/>
      <c r="IUC74" s="609"/>
      <c r="IUD74" s="609"/>
      <c r="IUE74" s="609"/>
      <c r="IUF74" s="609"/>
      <c r="IUG74" s="609"/>
      <c r="IUH74" s="609"/>
      <c r="IUI74" s="609"/>
      <c r="IUJ74" s="609"/>
      <c r="IUK74" s="609"/>
      <c r="IUL74" s="609"/>
      <c r="IUM74" s="609"/>
      <c r="IUN74" s="609"/>
      <c r="IUO74" s="609"/>
      <c r="IUP74" s="609"/>
      <c r="IUQ74" s="609"/>
      <c r="IUR74" s="609"/>
      <c r="IUS74" s="609"/>
      <c r="IUT74" s="609"/>
      <c r="IUU74" s="609"/>
      <c r="IUV74" s="609"/>
      <c r="IUW74" s="609"/>
      <c r="IUX74" s="609"/>
      <c r="IUY74" s="609"/>
      <c r="IUZ74" s="609"/>
      <c r="IVA74" s="609"/>
      <c r="IVB74" s="609"/>
      <c r="IVC74" s="609"/>
      <c r="IVD74" s="609"/>
      <c r="IVE74" s="609"/>
      <c r="IVF74" s="609"/>
      <c r="IVG74" s="609"/>
      <c r="IVH74" s="609"/>
      <c r="IVI74" s="609"/>
      <c r="IVJ74" s="609"/>
      <c r="IVK74" s="609"/>
      <c r="IVL74" s="609"/>
      <c r="IVM74" s="609"/>
      <c r="IVN74" s="609"/>
      <c r="IVO74" s="609"/>
      <c r="IVP74" s="609"/>
      <c r="IVQ74" s="609"/>
      <c r="IVR74" s="609"/>
      <c r="IVS74" s="609"/>
      <c r="IVT74" s="609"/>
      <c r="IVU74" s="609"/>
      <c r="IVV74" s="609"/>
      <c r="IVW74" s="609"/>
      <c r="IVX74" s="609"/>
      <c r="IVY74" s="609"/>
      <c r="IVZ74" s="609"/>
      <c r="IWA74" s="609"/>
      <c r="IWB74" s="609"/>
      <c r="IWC74" s="609"/>
      <c r="IWD74" s="609"/>
      <c r="IWE74" s="609"/>
      <c r="IWF74" s="609"/>
      <c r="IWG74" s="609"/>
      <c r="IWH74" s="609"/>
      <c r="IWI74" s="609"/>
      <c r="IWJ74" s="609"/>
      <c r="IWK74" s="609"/>
      <c r="IWL74" s="609"/>
      <c r="IWM74" s="609"/>
      <c r="IWN74" s="609"/>
      <c r="IWO74" s="609"/>
      <c r="IWP74" s="609"/>
      <c r="IWQ74" s="609"/>
      <c r="IWR74" s="609"/>
      <c r="IWS74" s="609"/>
      <c r="IWT74" s="609"/>
      <c r="IWU74" s="609"/>
      <c r="IWV74" s="609"/>
      <c r="IWW74" s="609"/>
      <c r="IWX74" s="609"/>
      <c r="IWY74" s="609"/>
      <c r="IWZ74" s="609"/>
      <c r="IXA74" s="609"/>
      <c r="IXB74" s="609"/>
      <c r="IXC74" s="609"/>
      <c r="IXD74" s="609"/>
      <c r="IXE74" s="609"/>
      <c r="IXF74" s="609"/>
      <c r="IXG74" s="609"/>
      <c r="IXH74" s="609"/>
      <c r="IXI74" s="609"/>
      <c r="IXJ74" s="609"/>
      <c r="IXK74" s="609"/>
      <c r="IXL74" s="609"/>
      <c r="IXM74" s="609"/>
      <c r="IXN74" s="609"/>
      <c r="IXO74" s="609"/>
      <c r="IXP74" s="609"/>
      <c r="IXQ74" s="609"/>
      <c r="IXR74" s="609"/>
      <c r="IXS74" s="609"/>
      <c r="IXT74" s="609"/>
      <c r="IXU74" s="609"/>
      <c r="IXV74" s="609"/>
      <c r="IXW74" s="609"/>
      <c r="IXX74" s="609"/>
      <c r="IXY74" s="609"/>
      <c r="IXZ74" s="609"/>
      <c r="IYA74" s="609"/>
      <c r="IYB74" s="609"/>
      <c r="IYC74" s="609"/>
      <c r="IYD74" s="609"/>
      <c r="IYE74" s="609"/>
      <c r="IYF74" s="609"/>
      <c r="IYG74" s="609"/>
      <c r="IYH74" s="609"/>
      <c r="IYI74" s="609"/>
      <c r="IYJ74" s="609"/>
      <c r="IYK74" s="609"/>
      <c r="IYL74" s="609"/>
      <c r="IYM74" s="609"/>
      <c r="IYN74" s="609"/>
      <c r="IYO74" s="609"/>
      <c r="IYP74" s="609"/>
      <c r="IYQ74" s="609"/>
      <c r="IYR74" s="609"/>
      <c r="IYS74" s="609"/>
      <c r="IYT74" s="609"/>
      <c r="IYU74" s="609"/>
      <c r="IYV74" s="609"/>
      <c r="IYW74" s="609"/>
      <c r="IYX74" s="609"/>
      <c r="IYY74" s="609"/>
      <c r="IYZ74" s="609"/>
      <c r="IZA74" s="609"/>
      <c r="IZB74" s="609"/>
      <c r="IZC74" s="609"/>
      <c r="IZD74" s="609"/>
      <c r="IZE74" s="609"/>
      <c r="IZF74" s="609"/>
      <c r="IZG74" s="609"/>
      <c r="IZH74" s="609"/>
      <c r="IZI74" s="609"/>
      <c r="IZJ74" s="609"/>
      <c r="IZK74" s="609"/>
      <c r="IZL74" s="609"/>
      <c r="IZM74" s="609"/>
      <c r="IZN74" s="609"/>
      <c r="IZO74" s="609"/>
      <c r="IZP74" s="609"/>
      <c r="IZQ74" s="609"/>
      <c r="IZR74" s="609"/>
      <c r="IZS74" s="609"/>
      <c r="IZT74" s="609"/>
      <c r="IZU74" s="609"/>
      <c r="IZV74" s="609"/>
      <c r="IZW74" s="609"/>
      <c r="IZX74" s="609"/>
      <c r="IZY74" s="609"/>
      <c r="IZZ74" s="609"/>
      <c r="JAA74" s="609"/>
      <c r="JAB74" s="609"/>
      <c r="JAC74" s="609"/>
      <c r="JAD74" s="609"/>
      <c r="JAE74" s="609"/>
      <c r="JAF74" s="609"/>
      <c r="JAG74" s="609"/>
      <c r="JAH74" s="609"/>
      <c r="JAI74" s="609"/>
      <c r="JAJ74" s="609"/>
      <c r="JAK74" s="609"/>
      <c r="JAL74" s="609"/>
      <c r="JAM74" s="609"/>
      <c r="JAN74" s="609"/>
      <c r="JAO74" s="609"/>
      <c r="JAP74" s="609"/>
      <c r="JAQ74" s="609"/>
      <c r="JAR74" s="609"/>
      <c r="JAS74" s="609"/>
      <c r="JAT74" s="609"/>
      <c r="JAU74" s="609"/>
      <c r="JAV74" s="609"/>
      <c r="JAW74" s="609"/>
      <c r="JAX74" s="609"/>
      <c r="JAY74" s="609"/>
      <c r="JAZ74" s="609"/>
      <c r="JBA74" s="609"/>
      <c r="JBB74" s="609"/>
      <c r="JBC74" s="609"/>
      <c r="JBD74" s="609"/>
      <c r="JBE74" s="609"/>
      <c r="JBF74" s="609"/>
      <c r="JBG74" s="609"/>
      <c r="JBH74" s="609"/>
      <c r="JBI74" s="609"/>
      <c r="JBJ74" s="609"/>
      <c r="JBK74" s="609"/>
      <c r="JBL74" s="609"/>
      <c r="JBM74" s="609"/>
      <c r="JBN74" s="609"/>
      <c r="JBO74" s="609"/>
      <c r="JBP74" s="609"/>
      <c r="JBQ74" s="609"/>
      <c r="JBR74" s="609"/>
      <c r="JBS74" s="609"/>
      <c r="JBT74" s="609"/>
      <c r="JBU74" s="609"/>
      <c r="JBV74" s="609"/>
      <c r="JBW74" s="609"/>
      <c r="JBX74" s="609"/>
      <c r="JBY74" s="609"/>
      <c r="JBZ74" s="609"/>
      <c r="JCA74" s="609"/>
      <c r="JCB74" s="609"/>
      <c r="JCC74" s="609"/>
      <c r="JCD74" s="609"/>
      <c r="JCE74" s="609"/>
      <c r="JCF74" s="609"/>
      <c r="JCG74" s="609"/>
      <c r="JCH74" s="609"/>
      <c r="JCI74" s="609"/>
      <c r="JCJ74" s="609"/>
      <c r="JCK74" s="609"/>
      <c r="JCL74" s="609"/>
      <c r="JCM74" s="609"/>
      <c r="JCN74" s="609"/>
      <c r="JCO74" s="609"/>
      <c r="JCP74" s="609"/>
      <c r="JCQ74" s="609"/>
      <c r="JCR74" s="609"/>
      <c r="JCS74" s="609"/>
      <c r="JCT74" s="609"/>
      <c r="JCU74" s="609"/>
      <c r="JCV74" s="609"/>
      <c r="JCW74" s="609"/>
      <c r="JCX74" s="609"/>
      <c r="JCY74" s="609"/>
      <c r="JCZ74" s="609"/>
      <c r="JDA74" s="609"/>
      <c r="JDB74" s="609"/>
      <c r="JDC74" s="609"/>
      <c r="JDD74" s="609"/>
      <c r="JDE74" s="609"/>
      <c r="JDF74" s="609"/>
      <c r="JDG74" s="609"/>
      <c r="JDH74" s="609"/>
      <c r="JDI74" s="609"/>
      <c r="JDJ74" s="609"/>
      <c r="JDK74" s="609"/>
      <c r="JDL74" s="609"/>
      <c r="JDM74" s="609"/>
      <c r="JDN74" s="609"/>
      <c r="JDO74" s="609"/>
      <c r="JDP74" s="609"/>
      <c r="JDQ74" s="609"/>
      <c r="JDR74" s="609"/>
      <c r="JDS74" s="609"/>
      <c r="JDT74" s="609"/>
      <c r="JDU74" s="609"/>
      <c r="JDV74" s="609"/>
      <c r="JDW74" s="609"/>
      <c r="JDX74" s="609"/>
      <c r="JDY74" s="609"/>
      <c r="JDZ74" s="609"/>
      <c r="JEA74" s="609"/>
      <c r="JEB74" s="609"/>
      <c r="JEC74" s="609"/>
      <c r="JED74" s="609"/>
      <c r="JEE74" s="609"/>
      <c r="JEF74" s="609"/>
      <c r="JEG74" s="609"/>
      <c r="JEH74" s="609"/>
      <c r="JEI74" s="609"/>
      <c r="JEJ74" s="609"/>
      <c r="JEK74" s="609"/>
      <c r="JEL74" s="609"/>
      <c r="JEM74" s="609"/>
      <c r="JEN74" s="609"/>
      <c r="JEO74" s="609"/>
      <c r="JEP74" s="609"/>
      <c r="JEQ74" s="609"/>
      <c r="JER74" s="609"/>
      <c r="JES74" s="609"/>
      <c r="JET74" s="609"/>
      <c r="JEU74" s="609"/>
      <c r="JEV74" s="609"/>
      <c r="JEW74" s="609"/>
      <c r="JEX74" s="609"/>
      <c r="JEY74" s="609"/>
      <c r="JEZ74" s="609"/>
      <c r="JFA74" s="609"/>
      <c r="JFB74" s="609"/>
      <c r="JFC74" s="609"/>
      <c r="JFD74" s="609"/>
      <c r="JFE74" s="609"/>
      <c r="JFF74" s="609"/>
      <c r="JFG74" s="609"/>
      <c r="JFH74" s="609"/>
      <c r="JFI74" s="609"/>
      <c r="JFJ74" s="609"/>
      <c r="JFK74" s="609"/>
      <c r="JFL74" s="609"/>
      <c r="JFM74" s="609"/>
      <c r="JFN74" s="609"/>
      <c r="JFO74" s="609"/>
      <c r="JFP74" s="609"/>
      <c r="JFQ74" s="609"/>
      <c r="JFR74" s="609"/>
      <c r="JFS74" s="609"/>
      <c r="JFT74" s="609"/>
      <c r="JFU74" s="609"/>
      <c r="JFV74" s="609"/>
      <c r="JFW74" s="609"/>
      <c r="JFX74" s="609"/>
      <c r="JFY74" s="609"/>
      <c r="JFZ74" s="609"/>
      <c r="JGA74" s="609"/>
      <c r="JGB74" s="609"/>
      <c r="JGC74" s="609"/>
      <c r="JGD74" s="609"/>
      <c r="JGE74" s="609"/>
      <c r="JGF74" s="609"/>
      <c r="JGG74" s="609"/>
      <c r="JGH74" s="609"/>
      <c r="JGI74" s="609"/>
      <c r="JGJ74" s="609"/>
      <c r="JGK74" s="609"/>
      <c r="JGL74" s="609"/>
      <c r="JGM74" s="609"/>
      <c r="JGN74" s="609"/>
      <c r="JGO74" s="609"/>
      <c r="JGP74" s="609"/>
      <c r="JGQ74" s="609"/>
      <c r="JGR74" s="609"/>
      <c r="JGS74" s="609"/>
      <c r="JGT74" s="609"/>
      <c r="JGU74" s="609"/>
      <c r="JGV74" s="609"/>
      <c r="JGW74" s="609"/>
      <c r="JGX74" s="609"/>
      <c r="JGY74" s="609"/>
      <c r="JGZ74" s="609"/>
      <c r="JHA74" s="609"/>
      <c r="JHB74" s="609"/>
      <c r="JHC74" s="609"/>
      <c r="JHD74" s="609"/>
      <c r="JHE74" s="609"/>
      <c r="JHF74" s="609"/>
      <c r="JHG74" s="609"/>
      <c r="JHH74" s="609"/>
      <c r="JHI74" s="609"/>
      <c r="JHJ74" s="609"/>
      <c r="JHK74" s="609"/>
      <c r="JHL74" s="609"/>
      <c r="JHM74" s="609"/>
      <c r="JHN74" s="609"/>
      <c r="JHO74" s="609"/>
      <c r="JHP74" s="609"/>
      <c r="JHQ74" s="609"/>
      <c r="JHR74" s="609"/>
      <c r="JHS74" s="609"/>
      <c r="JHT74" s="609"/>
      <c r="JHU74" s="609"/>
      <c r="JHV74" s="609"/>
      <c r="JHW74" s="609"/>
      <c r="JHX74" s="609"/>
      <c r="JHY74" s="609"/>
      <c r="JHZ74" s="609"/>
      <c r="JIA74" s="609"/>
      <c r="JIB74" s="609"/>
      <c r="JIC74" s="609"/>
      <c r="JID74" s="609"/>
      <c r="JIE74" s="609"/>
      <c r="JIF74" s="609"/>
      <c r="JIG74" s="609"/>
      <c r="JIH74" s="609"/>
      <c r="JII74" s="609"/>
      <c r="JIJ74" s="609"/>
      <c r="JIK74" s="609"/>
      <c r="JIL74" s="609"/>
      <c r="JIM74" s="609"/>
      <c r="JIN74" s="609"/>
      <c r="JIO74" s="609"/>
      <c r="JIP74" s="609"/>
      <c r="JIQ74" s="609"/>
      <c r="JIR74" s="609"/>
      <c r="JIS74" s="609"/>
      <c r="JIT74" s="609"/>
      <c r="JIU74" s="609"/>
      <c r="JIV74" s="609"/>
      <c r="JIW74" s="609"/>
      <c r="JIX74" s="609"/>
      <c r="JIY74" s="609"/>
      <c r="JIZ74" s="609"/>
      <c r="JJA74" s="609"/>
      <c r="JJB74" s="609"/>
      <c r="JJC74" s="609"/>
      <c r="JJD74" s="609"/>
      <c r="JJE74" s="609"/>
      <c r="JJF74" s="609"/>
      <c r="JJG74" s="609"/>
      <c r="JJH74" s="609"/>
      <c r="JJI74" s="609"/>
      <c r="JJJ74" s="609"/>
      <c r="JJK74" s="609"/>
      <c r="JJL74" s="609"/>
      <c r="JJM74" s="609"/>
      <c r="JJN74" s="609"/>
      <c r="JJO74" s="609"/>
      <c r="JJP74" s="609"/>
      <c r="JJQ74" s="609"/>
      <c r="JJR74" s="609"/>
      <c r="JJS74" s="609"/>
      <c r="JJT74" s="609"/>
      <c r="JJU74" s="609"/>
      <c r="JJV74" s="609"/>
      <c r="JJW74" s="609"/>
      <c r="JJX74" s="609"/>
      <c r="JJY74" s="609"/>
      <c r="JJZ74" s="609"/>
      <c r="JKA74" s="609"/>
      <c r="JKB74" s="609"/>
      <c r="JKC74" s="609"/>
      <c r="JKD74" s="609"/>
      <c r="JKE74" s="609"/>
      <c r="JKF74" s="609"/>
      <c r="JKG74" s="609"/>
      <c r="JKH74" s="609"/>
      <c r="JKI74" s="609"/>
      <c r="JKJ74" s="609"/>
      <c r="JKK74" s="609"/>
      <c r="JKL74" s="609"/>
      <c r="JKM74" s="609"/>
      <c r="JKN74" s="609"/>
      <c r="JKO74" s="609"/>
      <c r="JKP74" s="609"/>
      <c r="JKQ74" s="609"/>
      <c r="JKR74" s="609"/>
      <c r="JKS74" s="609"/>
      <c r="JKT74" s="609"/>
      <c r="JKU74" s="609"/>
      <c r="JKV74" s="609"/>
      <c r="JKW74" s="609"/>
      <c r="JKX74" s="609"/>
      <c r="JKY74" s="609"/>
      <c r="JKZ74" s="609"/>
      <c r="JLA74" s="609"/>
      <c r="JLB74" s="609"/>
      <c r="JLC74" s="609"/>
      <c r="JLD74" s="609"/>
      <c r="JLE74" s="609"/>
      <c r="JLF74" s="609"/>
      <c r="JLG74" s="609"/>
      <c r="JLH74" s="609"/>
      <c r="JLI74" s="609"/>
      <c r="JLJ74" s="609"/>
      <c r="JLK74" s="609"/>
      <c r="JLL74" s="609"/>
      <c r="JLM74" s="609"/>
      <c r="JLN74" s="609"/>
      <c r="JLO74" s="609"/>
      <c r="JLP74" s="609"/>
      <c r="JLQ74" s="609"/>
      <c r="JLR74" s="609"/>
      <c r="JLS74" s="609"/>
      <c r="JLT74" s="609"/>
      <c r="JLU74" s="609"/>
      <c r="JLV74" s="609"/>
      <c r="JLW74" s="609"/>
      <c r="JLX74" s="609"/>
      <c r="JLY74" s="609"/>
      <c r="JLZ74" s="609"/>
      <c r="JMA74" s="609"/>
      <c r="JMB74" s="609"/>
      <c r="JMC74" s="609"/>
      <c r="JMD74" s="609"/>
      <c r="JME74" s="609"/>
      <c r="JMF74" s="609"/>
      <c r="JMG74" s="609"/>
      <c r="JMH74" s="609"/>
      <c r="JMI74" s="609"/>
      <c r="JMJ74" s="609"/>
      <c r="JMK74" s="609"/>
      <c r="JML74" s="609"/>
      <c r="JMM74" s="609"/>
      <c r="JMN74" s="609"/>
      <c r="JMO74" s="609"/>
      <c r="JMP74" s="609"/>
      <c r="JMQ74" s="609"/>
      <c r="JMR74" s="609"/>
      <c r="JMS74" s="609"/>
      <c r="JMT74" s="609"/>
      <c r="JMU74" s="609"/>
      <c r="JMV74" s="609"/>
      <c r="JMW74" s="609"/>
      <c r="JMX74" s="609"/>
      <c r="JMY74" s="609"/>
      <c r="JMZ74" s="609"/>
      <c r="JNA74" s="609"/>
      <c r="JNB74" s="609"/>
      <c r="JNC74" s="609"/>
      <c r="JND74" s="609"/>
      <c r="JNE74" s="609"/>
      <c r="JNF74" s="609"/>
      <c r="JNG74" s="609"/>
      <c r="JNH74" s="609"/>
      <c r="JNI74" s="609"/>
      <c r="JNJ74" s="609"/>
      <c r="JNK74" s="609"/>
      <c r="JNL74" s="609"/>
      <c r="JNM74" s="609"/>
      <c r="JNN74" s="609"/>
      <c r="JNO74" s="609"/>
      <c r="JNP74" s="609"/>
      <c r="JNQ74" s="609"/>
      <c r="JNR74" s="609"/>
      <c r="JNS74" s="609"/>
      <c r="JNT74" s="609"/>
      <c r="JNU74" s="609"/>
      <c r="JNV74" s="609"/>
      <c r="JNW74" s="609"/>
      <c r="JNX74" s="609"/>
      <c r="JNY74" s="609"/>
      <c r="JNZ74" s="609"/>
      <c r="JOA74" s="609"/>
      <c r="JOB74" s="609"/>
      <c r="JOC74" s="609"/>
      <c r="JOD74" s="609"/>
      <c r="JOE74" s="609"/>
      <c r="JOF74" s="609"/>
      <c r="JOG74" s="609"/>
      <c r="JOH74" s="609"/>
      <c r="JOI74" s="609"/>
      <c r="JOJ74" s="609"/>
      <c r="JOK74" s="609"/>
      <c r="JOL74" s="609"/>
      <c r="JOM74" s="609"/>
      <c r="JON74" s="609"/>
      <c r="JOO74" s="609"/>
      <c r="JOP74" s="609"/>
      <c r="JOQ74" s="609"/>
      <c r="JOR74" s="609"/>
      <c r="JOS74" s="609"/>
      <c r="JOT74" s="609"/>
      <c r="JOU74" s="609"/>
      <c r="JOV74" s="609"/>
      <c r="JOW74" s="609"/>
      <c r="JOX74" s="609"/>
      <c r="JOY74" s="609"/>
      <c r="JOZ74" s="609"/>
      <c r="JPA74" s="609"/>
      <c r="JPB74" s="609"/>
      <c r="JPC74" s="609"/>
      <c r="JPD74" s="609"/>
      <c r="JPE74" s="609"/>
      <c r="JPF74" s="609"/>
      <c r="JPG74" s="609"/>
      <c r="JPH74" s="609"/>
      <c r="JPI74" s="609"/>
      <c r="JPJ74" s="609"/>
      <c r="JPK74" s="609"/>
      <c r="JPL74" s="609"/>
      <c r="JPM74" s="609"/>
      <c r="JPN74" s="609"/>
      <c r="JPO74" s="609"/>
      <c r="JPP74" s="609"/>
      <c r="JPQ74" s="609"/>
      <c r="JPR74" s="609"/>
      <c r="JPS74" s="609"/>
      <c r="JPT74" s="609"/>
      <c r="JPU74" s="609"/>
      <c r="JPV74" s="609"/>
      <c r="JPW74" s="609"/>
      <c r="JPX74" s="609"/>
      <c r="JPY74" s="609"/>
      <c r="JPZ74" s="609"/>
      <c r="JQA74" s="609"/>
      <c r="JQB74" s="609"/>
      <c r="JQC74" s="609"/>
      <c r="JQD74" s="609"/>
      <c r="JQE74" s="609"/>
      <c r="JQF74" s="609"/>
      <c r="JQG74" s="609"/>
      <c r="JQH74" s="609"/>
      <c r="JQI74" s="609"/>
      <c r="JQJ74" s="609"/>
      <c r="JQK74" s="609"/>
      <c r="JQL74" s="609"/>
      <c r="JQM74" s="609"/>
      <c r="JQN74" s="609"/>
      <c r="JQO74" s="609"/>
      <c r="JQP74" s="609"/>
      <c r="JQQ74" s="609"/>
      <c r="JQR74" s="609"/>
      <c r="JQS74" s="609"/>
      <c r="JQT74" s="609"/>
      <c r="JQU74" s="609"/>
      <c r="JQV74" s="609"/>
      <c r="JQW74" s="609"/>
      <c r="JQX74" s="609"/>
      <c r="JQY74" s="609"/>
      <c r="JQZ74" s="609"/>
      <c r="JRA74" s="609"/>
      <c r="JRB74" s="609"/>
      <c r="JRC74" s="609"/>
      <c r="JRD74" s="609"/>
      <c r="JRE74" s="609"/>
      <c r="JRF74" s="609"/>
      <c r="JRG74" s="609"/>
      <c r="JRH74" s="609"/>
      <c r="JRI74" s="609"/>
      <c r="JRJ74" s="609"/>
      <c r="JRK74" s="609"/>
      <c r="JRL74" s="609"/>
      <c r="JRM74" s="609"/>
      <c r="JRN74" s="609"/>
      <c r="JRO74" s="609"/>
      <c r="JRP74" s="609"/>
      <c r="JRQ74" s="609"/>
      <c r="JRR74" s="609"/>
      <c r="JRS74" s="609"/>
      <c r="JRT74" s="609"/>
      <c r="JRU74" s="609"/>
      <c r="JRV74" s="609"/>
      <c r="JRW74" s="609"/>
      <c r="JRX74" s="609"/>
      <c r="JRY74" s="609"/>
      <c r="JRZ74" s="609"/>
      <c r="JSA74" s="609"/>
      <c r="JSB74" s="609"/>
      <c r="JSC74" s="609"/>
      <c r="JSD74" s="609"/>
      <c r="JSE74" s="609"/>
      <c r="JSF74" s="609"/>
      <c r="JSG74" s="609"/>
      <c r="JSH74" s="609"/>
      <c r="JSI74" s="609"/>
      <c r="JSJ74" s="609"/>
      <c r="JSK74" s="609"/>
      <c r="JSL74" s="609"/>
      <c r="JSM74" s="609"/>
      <c r="JSN74" s="609"/>
      <c r="JSO74" s="609"/>
      <c r="JSP74" s="609"/>
      <c r="JSQ74" s="609"/>
      <c r="JSR74" s="609"/>
      <c r="JSS74" s="609"/>
      <c r="JST74" s="609"/>
      <c r="JSU74" s="609"/>
      <c r="JSV74" s="609"/>
      <c r="JSW74" s="609"/>
      <c r="JSX74" s="609"/>
      <c r="JSY74" s="609"/>
      <c r="JSZ74" s="609"/>
      <c r="JTA74" s="609"/>
      <c r="JTB74" s="609"/>
      <c r="JTC74" s="609"/>
      <c r="JTD74" s="609"/>
      <c r="JTE74" s="609"/>
      <c r="JTF74" s="609"/>
      <c r="JTG74" s="609"/>
      <c r="JTH74" s="609"/>
      <c r="JTI74" s="609"/>
      <c r="JTJ74" s="609"/>
      <c r="JTK74" s="609"/>
      <c r="JTL74" s="609"/>
      <c r="JTM74" s="609"/>
      <c r="JTN74" s="609"/>
      <c r="JTO74" s="609"/>
      <c r="JTP74" s="609"/>
      <c r="JTQ74" s="609"/>
      <c r="JTR74" s="609"/>
      <c r="JTS74" s="609"/>
      <c r="JTT74" s="609"/>
      <c r="JTU74" s="609"/>
      <c r="JTV74" s="609"/>
      <c r="JTW74" s="609"/>
      <c r="JTX74" s="609"/>
      <c r="JTY74" s="609"/>
      <c r="JTZ74" s="609"/>
      <c r="JUA74" s="609"/>
      <c r="JUB74" s="609"/>
      <c r="JUC74" s="609"/>
      <c r="JUD74" s="609"/>
      <c r="JUE74" s="609"/>
      <c r="JUF74" s="609"/>
      <c r="JUG74" s="609"/>
      <c r="JUH74" s="609"/>
      <c r="JUI74" s="609"/>
      <c r="JUJ74" s="609"/>
      <c r="JUK74" s="609"/>
      <c r="JUL74" s="609"/>
      <c r="JUM74" s="609"/>
      <c r="JUN74" s="609"/>
      <c r="JUO74" s="609"/>
      <c r="JUP74" s="609"/>
      <c r="JUQ74" s="609"/>
      <c r="JUR74" s="609"/>
      <c r="JUS74" s="609"/>
      <c r="JUT74" s="609"/>
      <c r="JUU74" s="609"/>
      <c r="JUV74" s="609"/>
      <c r="JUW74" s="609"/>
      <c r="JUX74" s="609"/>
      <c r="JUY74" s="609"/>
      <c r="JUZ74" s="609"/>
      <c r="JVA74" s="609"/>
      <c r="JVB74" s="609"/>
      <c r="JVC74" s="609"/>
      <c r="JVD74" s="609"/>
      <c r="JVE74" s="609"/>
      <c r="JVF74" s="609"/>
      <c r="JVG74" s="609"/>
      <c r="JVH74" s="609"/>
      <c r="JVI74" s="609"/>
      <c r="JVJ74" s="609"/>
      <c r="JVK74" s="609"/>
      <c r="JVL74" s="609"/>
      <c r="JVM74" s="609"/>
      <c r="JVN74" s="609"/>
      <c r="JVO74" s="609"/>
      <c r="JVP74" s="609"/>
      <c r="JVQ74" s="609"/>
      <c r="JVR74" s="609"/>
      <c r="JVS74" s="609"/>
      <c r="JVT74" s="609"/>
      <c r="JVU74" s="609"/>
      <c r="JVV74" s="609"/>
      <c r="JVW74" s="609"/>
      <c r="JVX74" s="609"/>
      <c r="JVY74" s="609"/>
      <c r="JVZ74" s="609"/>
      <c r="JWA74" s="609"/>
      <c r="JWB74" s="609"/>
      <c r="JWC74" s="609"/>
      <c r="JWD74" s="609"/>
      <c r="JWE74" s="609"/>
      <c r="JWF74" s="609"/>
      <c r="JWG74" s="609"/>
      <c r="JWH74" s="609"/>
      <c r="JWI74" s="609"/>
      <c r="JWJ74" s="609"/>
      <c r="JWK74" s="609"/>
      <c r="JWL74" s="609"/>
      <c r="JWM74" s="609"/>
      <c r="JWN74" s="609"/>
      <c r="JWO74" s="609"/>
      <c r="JWP74" s="609"/>
      <c r="JWQ74" s="609"/>
      <c r="JWR74" s="609"/>
      <c r="JWS74" s="609"/>
      <c r="JWT74" s="609"/>
      <c r="JWU74" s="609"/>
      <c r="JWV74" s="609"/>
      <c r="JWW74" s="609"/>
      <c r="JWX74" s="609"/>
      <c r="JWY74" s="609"/>
      <c r="JWZ74" s="609"/>
      <c r="JXA74" s="609"/>
      <c r="JXB74" s="609"/>
      <c r="JXC74" s="609"/>
      <c r="JXD74" s="609"/>
      <c r="JXE74" s="609"/>
      <c r="JXF74" s="609"/>
      <c r="JXG74" s="609"/>
      <c r="JXH74" s="609"/>
      <c r="JXI74" s="609"/>
      <c r="JXJ74" s="609"/>
      <c r="JXK74" s="609"/>
      <c r="JXL74" s="609"/>
      <c r="JXM74" s="609"/>
      <c r="JXN74" s="609"/>
      <c r="JXO74" s="609"/>
      <c r="JXP74" s="609"/>
      <c r="JXQ74" s="609"/>
      <c r="JXR74" s="609"/>
      <c r="JXS74" s="609"/>
      <c r="JXT74" s="609"/>
      <c r="JXU74" s="609"/>
      <c r="JXV74" s="609"/>
      <c r="JXW74" s="609"/>
      <c r="JXX74" s="609"/>
      <c r="JXY74" s="609"/>
      <c r="JXZ74" s="609"/>
      <c r="JYA74" s="609"/>
      <c r="JYB74" s="609"/>
      <c r="JYC74" s="609"/>
      <c r="JYD74" s="609"/>
      <c r="JYE74" s="609"/>
      <c r="JYF74" s="609"/>
      <c r="JYG74" s="609"/>
      <c r="JYH74" s="609"/>
      <c r="JYI74" s="609"/>
      <c r="JYJ74" s="609"/>
      <c r="JYK74" s="609"/>
      <c r="JYL74" s="609"/>
      <c r="JYM74" s="609"/>
      <c r="JYN74" s="609"/>
      <c r="JYO74" s="609"/>
      <c r="JYP74" s="609"/>
      <c r="JYQ74" s="609"/>
      <c r="JYR74" s="609"/>
      <c r="JYS74" s="609"/>
      <c r="JYT74" s="609"/>
      <c r="JYU74" s="609"/>
      <c r="JYV74" s="609"/>
      <c r="JYW74" s="609"/>
      <c r="JYX74" s="609"/>
      <c r="JYY74" s="609"/>
      <c r="JYZ74" s="609"/>
      <c r="JZA74" s="609"/>
      <c r="JZB74" s="609"/>
      <c r="JZC74" s="609"/>
      <c r="JZD74" s="609"/>
      <c r="JZE74" s="609"/>
      <c r="JZF74" s="609"/>
      <c r="JZG74" s="609"/>
      <c r="JZH74" s="609"/>
      <c r="JZI74" s="609"/>
      <c r="JZJ74" s="609"/>
      <c r="JZK74" s="609"/>
      <c r="JZL74" s="609"/>
      <c r="JZM74" s="609"/>
      <c r="JZN74" s="609"/>
      <c r="JZO74" s="609"/>
      <c r="JZP74" s="609"/>
      <c r="JZQ74" s="609"/>
      <c r="JZR74" s="609"/>
      <c r="JZS74" s="609"/>
      <c r="JZT74" s="609"/>
      <c r="JZU74" s="609"/>
      <c r="JZV74" s="609"/>
      <c r="JZW74" s="609"/>
      <c r="JZX74" s="609"/>
      <c r="JZY74" s="609"/>
      <c r="JZZ74" s="609"/>
      <c r="KAA74" s="609"/>
      <c r="KAB74" s="609"/>
      <c r="KAC74" s="609"/>
      <c r="KAD74" s="609"/>
      <c r="KAE74" s="609"/>
      <c r="KAF74" s="609"/>
      <c r="KAG74" s="609"/>
      <c r="KAH74" s="609"/>
      <c r="KAI74" s="609"/>
      <c r="KAJ74" s="609"/>
      <c r="KAK74" s="609"/>
      <c r="KAL74" s="609"/>
      <c r="KAM74" s="609"/>
      <c r="KAN74" s="609"/>
      <c r="KAO74" s="609"/>
      <c r="KAP74" s="609"/>
      <c r="KAQ74" s="609"/>
      <c r="KAR74" s="609"/>
      <c r="KAS74" s="609"/>
      <c r="KAT74" s="609"/>
      <c r="KAU74" s="609"/>
      <c r="KAV74" s="609"/>
      <c r="KAW74" s="609"/>
      <c r="KAX74" s="609"/>
      <c r="KAY74" s="609"/>
      <c r="KAZ74" s="609"/>
      <c r="KBA74" s="609"/>
      <c r="KBB74" s="609"/>
      <c r="KBC74" s="609"/>
      <c r="KBD74" s="609"/>
      <c r="KBE74" s="609"/>
      <c r="KBF74" s="609"/>
      <c r="KBG74" s="609"/>
      <c r="KBH74" s="609"/>
      <c r="KBI74" s="609"/>
      <c r="KBJ74" s="609"/>
      <c r="KBK74" s="609"/>
      <c r="KBL74" s="609"/>
      <c r="KBM74" s="609"/>
      <c r="KBN74" s="609"/>
      <c r="KBO74" s="609"/>
      <c r="KBP74" s="609"/>
      <c r="KBQ74" s="609"/>
      <c r="KBR74" s="609"/>
      <c r="KBS74" s="609"/>
      <c r="KBT74" s="609"/>
      <c r="KBU74" s="609"/>
      <c r="KBV74" s="609"/>
      <c r="KBW74" s="609"/>
      <c r="KBX74" s="609"/>
      <c r="KBY74" s="609"/>
      <c r="KBZ74" s="609"/>
      <c r="KCA74" s="609"/>
      <c r="KCB74" s="609"/>
      <c r="KCC74" s="609"/>
      <c r="KCD74" s="609"/>
      <c r="KCE74" s="609"/>
      <c r="KCF74" s="609"/>
      <c r="KCG74" s="609"/>
      <c r="KCH74" s="609"/>
      <c r="KCI74" s="609"/>
      <c r="KCJ74" s="609"/>
      <c r="KCK74" s="609"/>
      <c r="KCL74" s="609"/>
      <c r="KCM74" s="609"/>
      <c r="KCN74" s="609"/>
      <c r="KCO74" s="609"/>
      <c r="KCP74" s="609"/>
      <c r="KCQ74" s="609"/>
      <c r="KCR74" s="609"/>
      <c r="KCS74" s="609"/>
      <c r="KCT74" s="609"/>
      <c r="KCU74" s="609"/>
      <c r="KCV74" s="609"/>
      <c r="KCW74" s="609"/>
      <c r="KCX74" s="609"/>
      <c r="KCY74" s="609"/>
      <c r="KCZ74" s="609"/>
      <c r="KDA74" s="609"/>
      <c r="KDB74" s="609"/>
      <c r="KDC74" s="609"/>
      <c r="KDD74" s="609"/>
      <c r="KDE74" s="609"/>
      <c r="KDF74" s="609"/>
      <c r="KDG74" s="609"/>
      <c r="KDH74" s="609"/>
      <c r="KDI74" s="609"/>
      <c r="KDJ74" s="609"/>
      <c r="KDK74" s="609"/>
      <c r="KDL74" s="609"/>
      <c r="KDM74" s="609"/>
      <c r="KDN74" s="609"/>
      <c r="KDO74" s="609"/>
      <c r="KDP74" s="609"/>
      <c r="KDQ74" s="609"/>
      <c r="KDR74" s="609"/>
      <c r="KDS74" s="609"/>
      <c r="KDT74" s="609"/>
      <c r="KDU74" s="609"/>
      <c r="KDV74" s="609"/>
      <c r="KDW74" s="609"/>
      <c r="KDX74" s="609"/>
      <c r="KDY74" s="609"/>
      <c r="KDZ74" s="609"/>
      <c r="KEA74" s="609"/>
      <c r="KEB74" s="609"/>
      <c r="KEC74" s="609"/>
      <c r="KED74" s="609"/>
      <c r="KEE74" s="609"/>
      <c r="KEF74" s="609"/>
      <c r="KEG74" s="609"/>
      <c r="KEH74" s="609"/>
      <c r="KEI74" s="609"/>
      <c r="KEJ74" s="609"/>
      <c r="KEK74" s="609"/>
      <c r="KEL74" s="609"/>
      <c r="KEM74" s="609"/>
      <c r="KEN74" s="609"/>
      <c r="KEO74" s="609"/>
      <c r="KEP74" s="609"/>
      <c r="KEQ74" s="609"/>
      <c r="KER74" s="609"/>
      <c r="KES74" s="609"/>
      <c r="KET74" s="609"/>
      <c r="KEU74" s="609"/>
      <c r="KEV74" s="609"/>
      <c r="KEW74" s="609"/>
      <c r="KEX74" s="609"/>
      <c r="KEY74" s="609"/>
      <c r="KEZ74" s="609"/>
      <c r="KFA74" s="609"/>
      <c r="KFB74" s="609"/>
      <c r="KFC74" s="609"/>
      <c r="KFD74" s="609"/>
      <c r="KFE74" s="609"/>
      <c r="KFF74" s="609"/>
      <c r="KFG74" s="609"/>
      <c r="KFH74" s="609"/>
      <c r="KFI74" s="609"/>
      <c r="KFJ74" s="609"/>
      <c r="KFK74" s="609"/>
      <c r="KFL74" s="609"/>
      <c r="KFM74" s="609"/>
      <c r="KFN74" s="609"/>
      <c r="KFO74" s="609"/>
      <c r="KFP74" s="609"/>
      <c r="KFQ74" s="609"/>
      <c r="KFR74" s="609"/>
      <c r="KFS74" s="609"/>
      <c r="KFT74" s="609"/>
      <c r="KFU74" s="609"/>
      <c r="KFV74" s="609"/>
      <c r="KFW74" s="609"/>
      <c r="KFX74" s="609"/>
      <c r="KFY74" s="609"/>
      <c r="KFZ74" s="609"/>
      <c r="KGA74" s="609"/>
      <c r="KGB74" s="609"/>
      <c r="KGC74" s="609"/>
      <c r="KGD74" s="609"/>
      <c r="KGE74" s="609"/>
      <c r="KGF74" s="609"/>
      <c r="KGG74" s="609"/>
      <c r="KGH74" s="609"/>
      <c r="KGI74" s="609"/>
      <c r="KGJ74" s="609"/>
      <c r="KGK74" s="609"/>
      <c r="KGL74" s="609"/>
      <c r="KGM74" s="609"/>
      <c r="KGN74" s="609"/>
      <c r="KGO74" s="609"/>
      <c r="KGP74" s="609"/>
      <c r="KGQ74" s="609"/>
      <c r="KGR74" s="609"/>
      <c r="KGS74" s="609"/>
      <c r="KGT74" s="609"/>
      <c r="KGU74" s="609"/>
      <c r="KGV74" s="609"/>
      <c r="KGW74" s="609"/>
      <c r="KGX74" s="609"/>
      <c r="KGY74" s="609"/>
      <c r="KGZ74" s="609"/>
      <c r="KHA74" s="609"/>
      <c r="KHB74" s="609"/>
      <c r="KHC74" s="609"/>
      <c r="KHD74" s="609"/>
      <c r="KHE74" s="609"/>
      <c r="KHF74" s="609"/>
      <c r="KHG74" s="609"/>
      <c r="KHH74" s="609"/>
      <c r="KHI74" s="609"/>
      <c r="KHJ74" s="609"/>
      <c r="KHK74" s="609"/>
      <c r="KHL74" s="609"/>
      <c r="KHM74" s="609"/>
      <c r="KHN74" s="609"/>
      <c r="KHO74" s="609"/>
      <c r="KHP74" s="609"/>
      <c r="KHQ74" s="609"/>
      <c r="KHR74" s="609"/>
      <c r="KHS74" s="609"/>
      <c r="KHT74" s="609"/>
      <c r="KHU74" s="609"/>
      <c r="KHV74" s="609"/>
      <c r="KHW74" s="609"/>
      <c r="KHX74" s="609"/>
      <c r="KHY74" s="609"/>
      <c r="KHZ74" s="609"/>
      <c r="KIA74" s="609"/>
      <c r="KIB74" s="609"/>
      <c r="KIC74" s="609"/>
      <c r="KID74" s="609"/>
      <c r="KIE74" s="609"/>
      <c r="KIF74" s="609"/>
      <c r="KIG74" s="609"/>
      <c r="KIH74" s="609"/>
      <c r="KII74" s="609"/>
      <c r="KIJ74" s="609"/>
      <c r="KIK74" s="609"/>
      <c r="KIL74" s="609"/>
      <c r="KIM74" s="609"/>
      <c r="KIN74" s="609"/>
      <c r="KIO74" s="609"/>
      <c r="KIP74" s="609"/>
      <c r="KIQ74" s="609"/>
      <c r="KIR74" s="609"/>
      <c r="KIS74" s="609"/>
      <c r="KIT74" s="609"/>
      <c r="KIU74" s="609"/>
      <c r="KIV74" s="609"/>
      <c r="KIW74" s="609"/>
      <c r="KIX74" s="609"/>
      <c r="KIY74" s="609"/>
      <c r="KIZ74" s="609"/>
      <c r="KJA74" s="609"/>
      <c r="KJB74" s="609"/>
      <c r="KJC74" s="609"/>
      <c r="KJD74" s="609"/>
      <c r="KJE74" s="609"/>
      <c r="KJF74" s="609"/>
      <c r="KJG74" s="609"/>
      <c r="KJH74" s="609"/>
      <c r="KJI74" s="609"/>
      <c r="KJJ74" s="609"/>
      <c r="KJK74" s="609"/>
      <c r="KJL74" s="609"/>
      <c r="KJM74" s="609"/>
      <c r="KJN74" s="609"/>
      <c r="KJO74" s="609"/>
      <c r="KJP74" s="609"/>
      <c r="KJQ74" s="609"/>
      <c r="KJR74" s="609"/>
      <c r="KJS74" s="609"/>
      <c r="KJT74" s="609"/>
      <c r="KJU74" s="609"/>
      <c r="KJV74" s="609"/>
      <c r="KJW74" s="609"/>
      <c r="KJX74" s="609"/>
      <c r="KJY74" s="609"/>
      <c r="KJZ74" s="609"/>
      <c r="KKA74" s="609"/>
      <c r="KKB74" s="609"/>
      <c r="KKC74" s="609"/>
      <c r="KKD74" s="609"/>
      <c r="KKE74" s="609"/>
      <c r="KKF74" s="609"/>
      <c r="KKG74" s="609"/>
      <c r="KKH74" s="609"/>
      <c r="KKI74" s="609"/>
      <c r="KKJ74" s="609"/>
      <c r="KKK74" s="609"/>
      <c r="KKL74" s="609"/>
      <c r="KKM74" s="609"/>
      <c r="KKN74" s="609"/>
      <c r="KKO74" s="609"/>
      <c r="KKP74" s="609"/>
      <c r="KKQ74" s="609"/>
      <c r="KKR74" s="609"/>
      <c r="KKS74" s="609"/>
      <c r="KKT74" s="609"/>
      <c r="KKU74" s="609"/>
      <c r="KKV74" s="609"/>
      <c r="KKW74" s="609"/>
      <c r="KKX74" s="609"/>
      <c r="KKY74" s="609"/>
      <c r="KKZ74" s="609"/>
      <c r="KLA74" s="609"/>
      <c r="KLB74" s="609"/>
      <c r="KLC74" s="609"/>
      <c r="KLD74" s="609"/>
      <c r="KLE74" s="609"/>
      <c r="KLF74" s="609"/>
      <c r="KLG74" s="609"/>
      <c r="KLH74" s="609"/>
      <c r="KLI74" s="609"/>
      <c r="KLJ74" s="609"/>
      <c r="KLK74" s="609"/>
      <c r="KLL74" s="609"/>
      <c r="KLM74" s="609"/>
      <c r="KLN74" s="609"/>
      <c r="KLO74" s="609"/>
      <c r="KLP74" s="609"/>
      <c r="KLQ74" s="609"/>
      <c r="KLR74" s="609"/>
      <c r="KLS74" s="609"/>
      <c r="KLT74" s="609"/>
      <c r="KLU74" s="609"/>
      <c r="KLV74" s="609"/>
      <c r="KLW74" s="609"/>
      <c r="KLX74" s="609"/>
      <c r="KLY74" s="609"/>
      <c r="KLZ74" s="609"/>
      <c r="KMA74" s="609"/>
      <c r="KMB74" s="609"/>
      <c r="KMC74" s="609"/>
      <c r="KMD74" s="609"/>
      <c r="KME74" s="609"/>
      <c r="KMF74" s="609"/>
      <c r="KMG74" s="609"/>
      <c r="KMH74" s="609"/>
      <c r="KMI74" s="609"/>
      <c r="KMJ74" s="609"/>
      <c r="KMK74" s="609"/>
      <c r="KML74" s="609"/>
      <c r="KMM74" s="609"/>
      <c r="KMN74" s="609"/>
      <c r="KMO74" s="609"/>
      <c r="KMP74" s="609"/>
      <c r="KMQ74" s="609"/>
      <c r="KMR74" s="609"/>
      <c r="KMS74" s="609"/>
      <c r="KMT74" s="609"/>
      <c r="KMU74" s="609"/>
      <c r="KMV74" s="609"/>
      <c r="KMW74" s="609"/>
      <c r="KMX74" s="609"/>
      <c r="KMY74" s="609"/>
      <c r="KMZ74" s="609"/>
      <c r="KNA74" s="609"/>
      <c r="KNB74" s="609"/>
      <c r="KNC74" s="609"/>
      <c r="KND74" s="609"/>
      <c r="KNE74" s="609"/>
      <c r="KNF74" s="609"/>
      <c r="KNG74" s="609"/>
      <c r="KNH74" s="609"/>
      <c r="KNI74" s="609"/>
      <c r="KNJ74" s="609"/>
      <c r="KNK74" s="609"/>
      <c r="KNL74" s="609"/>
      <c r="KNM74" s="609"/>
      <c r="KNN74" s="609"/>
      <c r="KNO74" s="609"/>
      <c r="KNP74" s="609"/>
      <c r="KNQ74" s="609"/>
      <c r="KNR74" s="609"/>
      <c r="KNS74" s="609"/>
      <c r="KNT74" s="609"/>
      <c r="KNU74" s="609"/>
      <c r="KNV74" s="609"/>
      <c r="KNW74" s="609"/>
      <c r="KNX74" s="609"/>
      <c r="KNY74" s="609"/>
      <c r="KNZ74" s="609"/>
      <c r="KOA74" s="609"/>
      <c r="KOB74" s="609"/>
      <c r="KOC74" s="609"/>
      <c r="KOD74" s="609"/>
      <c r="KOE74" s="609"/>
      <c r="KOF74" s="609"/>
      <c r="KOG74" s="609"/>
      <c r="KOH74" s="609"/>
      <c r="KOI74" s="609"/>
      <c r="KOJ74" s="609"/>
      <c r="KOK74" s="609"/>
      <c r="KOL74" s="609"/>
      <c r="KOM74" s="609"/>
      <c r="KON74" s="609"/>
      <c r="KOO74" s="609"/>
      <c r="KOP74" s="609"/>
      <c r="KOQ74" s="609"/>
      <c r="KOR74" s="609"/>
      <c r="KOS74" s="609"/>
      <c r="KOT74" s="609"/>
      <c r="KOU74" s="609"/>
      <c r="KOV74" s="609"/>
      <c r="KOW74" s="609"/>
      <c r="KOX74" s="609"/>
      <c r="KOY74" s="609"/>
      <c r="KOZ74" s="609"/>
      <c r="KPA74" s="609"/>
      <c r="KPB74" s="609"/>
      <c r="KPC74" s="609"/>
      <c r="KPD74" s="609"/>
      <c r="KPE74" s="609"/>
      <c r="KPF74" s="609"/>
      <c r="KPG74" s="609"/>
      <c r="KPH74" s="609"/>
      <c r="KPI74" s="609"/>
      <c r="KPJ74" s="609"/>
      <c r="KPK74" s="609"/>
      <c r="KPL74" s="609"/>
      <c r="KPM74" s="609"/>
      <c r="KPN74" s="609"/>
      <c r="KPO74" s="609"/>
      <c r="KPP74" s="609"/>
      <c r="KPQ74" s="609"/>
      <c r="KPR74" s="609"/>
      <c r="KPS74" s="609"/>
      <c r="KPT74" s="609"/>
      <c r="KPU74" s="609"/>
      <c r="KPV74" s="609"/>
      <c r="KPW74" s="609"/>
      <c r="KPX74" s="609"/>
      <c r="KPY74" s="609"/>
      <c r="KPZ74" s="609"/>
      <c r="KQA74" s="609"/>
      <c r="KQB74" s="609"/>
      <c r="KQC74" s="609"/>
      <c r="KQD74" s="609"/>
      <c r="KQE74" s="609"/>
      <c r="KQF74" s="609"/>
      <c r="KQG74" s="609"/>
      <c r="KQH74" s="609"/>
      <c r="KQI74" s="609"/>
      <c r="KQJ74" s="609"/>
      <c r="KQK74" s="609"/>
      <c r="KQL74" s="609"/>
      <c r="KQM74" s="609"/>
      <c r="KQN74" s="609"/>
      <c r="KQO74" s="609"/>
      <c r="KQP74" s="609"/>
      <c r="KQQ74" s="609"/>
      <c r="KQR74" s="609"/>
      <c r="KQS74" s="609"/>
      <c r="KQT74" s="609"/>
      <c r="KQU74" s="609"/>
      <c r="KQV74" s="609"/>
      <c r="KQW74" s="609"/>
      <c r="KQX74" s="609"/>
      <c r="KQY74" s="609"/>
      <c r="KQZ74" s="609"/>
      <c r="KRA74" s="609"/>
      <c r="KRB74" s="609"/>
      <c r="KRC74" s="609"/>
      <c r="KRD74" s="609"/>
      <c r="KRE74" s="609"/>
      <c r="KRF74" s="609"/>
      <c r="KRG74" s="609"/>
      <c r="KRH74" s="609"/>
      <c r="KRI74" s="609"/>
      <c r="KRJ74" s="609"/>
      <c r="KRK74" s="609"/>
      <c r="KRL74" s="609"/>
      <c r="KRM74" s="609"/>
      <c r="KRN74" s="609"/>
      <c r="KRO74" s="609"/>
      <c r="KRP74" s="609"/>
      <c r="KRQ74" s="609"/>
      <c r="KRR74" s="609"/>
      <c r="KRS74" s="609"/>
      <c r="KRT74" s="609"/>
      <c r="KRU74" s="609"/>
      <c r="KRV74" s="609"/>
      <c r="KRW74" s="609"/>
      <c r="KRX74" s="609"/>
      <c r="KRY74" s="609"/>
      <c r="KRZ74" s="609"/>
      <c r="KSA74" s="609"/>
      <c r="KSB74" s="609"/>
      <c r="KSC74" s="609"/>
      <c r="KSD74" s="609"/>
      <c r="KSE74" s="609"/>
      <c r="KSF74" s="609"/>
      <c r="KSG74" s="609"/>
      <c r="KSH74" s="609"/>
      <c r="KSI74" s="609"/>
      <c r="KSJ74" s="609"/>
      <c r="KSK74" s="609"/>
      <c r="KSL74" s="609"/>
      <c r="KSM74" s="609"/>
      <c r="KSN74" s="609"/>
      <c r="KSO74" s="609"/>
      <c r="KSP74" s="609"/>
      <c r="KSQ74" s="609"/>
      <c r="KSR74" s="609"/>
      <c r="KSS74" s="609"/>
      <c r="KST74" s="609"/>
      <c r="KSU74" s="609"/>
      <c r="KSV74" s="609"/>
      <c r="KSW74" s="609"/>
      <c r="KSX74" s="609"/>
      <c r="KSY74" s="609"/>
      <c r="KSZ74" s="609"/>
      <c r="KTA74" s="609"/>
      <c r="KTB74" s="609"/>
      <c r="KTC74" s="609"/>
      <c r="KTD74" s="609"/>
      <c r="KTE74" s="609"/>
      <c r="KTF74" s="609"/>
      <c r="KTG74" s="609"/>
      <c r="KTH74" s="609"/>
      <c r="KTI74" s="609"/>
      <c r="KTJ74" s="609"/>
      <c r="KTK74" s="609"/>
      <c r="KTL74" s="609"/>
      <c r="KTM74" s="609"/>
      <c r="KTN74" s="609"/>
      <c r="KTO74" s="609"/>
      <c r="KTP74" s="609"/>
      <c r="KTQ74" s="609"/>
      <c r="KTR74" s="609"/>
      <c r="KTS74" s="609"/>
      <c r="KTT74" s="609"/>
      <c r="KTU74" s="609"/>
      <c r="KTV74" s="609"/>
      <c r="KTW74" s="609"/>
      <c r="KTX74" s="609"/>
      <c r="KTY74" s="609"/>
      <c r="KTZ74" s="609"/>
      <c r="KUA74" s="609"/>
      <c r="KUB74" s="609"/>
      <c r="KUC74" s="609"/>
      <c r="KUD74" s="609"/>
      <c r="KUE74" s="609"/>
      <c r="KUF74" s="609"/>
      <c r="KUG74" s="609"/>
      <c r="KUH74" s="609"/>
      <c r="KUI74" s="609"/>
      <c r="KUJ74" s="609"/>
      <c r="KUK74" s="609"/>
      <c r="KUL74" s="609"/>
      <c r="KUM74" s="609"/>
      <c r="KUN74" s="609"/>
      <c r="KUO74" s="609"/>
      <c r="KUP74" s="609"/>
      <c r="KUQ74" s="609"/>
      <c r="KUR74" s="609"/>
      <c r="KUS74" s="609"/>
      <c r="KUT74" s="609"/>
      <c r="KUU74" s="609"/>
      <c r="KUV74" s="609"/>
      <c r="KUW74" s="609"/>
      <c r="KUX74" s="609"/>
      <c r="KUY74" s="609"/>
      <c r="KUZ74" s="609"/>
      <c r="KVA74" s="609"/>
      <c r="KVB74" s="609"/>
      <c r="KVC74" s="609"/>
      <c r="KVD74" s="609"/>
      <c r="KVE74" s="609"/>
      <c r="KVF74" s="609"/>
      <c r="KVG74" s="609"/>
      <c r="KVH74" s="609"/>
      <c r="KVI74" s="609"/>
      <c r="KVJ74" s="609"/>
      <c r="KVK74" s="609"/>
      <c r="KVL74" s="609"/>
      <c r="KVM74" s="609"/>
      <c r="KVN74" s="609"/>
      <c r="KVO74" s="609"/>
      <c r="KVP74" s="609"/>
      <c r="KVQ74" s="609"/>
      <c r="KVR74" s="609"/>
      <c r="KVS74" s="609"/>
      <c r="KVT74" s="609"/>
      <c r="KVU74" s="609"/>
      <c r="KVV74" s="609"/>
      <c r="KVW74" s="609"/>
      <c r="KVX74" s="609"/>
      <c r="KVY74" s="609"/>
      <c r="KVZ74" s="609"/>
      <c r="KWA74" s="609"/>
      <c r="KWB74" s="609"/>
      <c r="KWC74" s="609"/>
      <c r="KWD74" s="609"/>
      <c r="KWE74" s="609"/>
      <c r="KWF74" s="609"/>
      <c r="KWG74" s="609"/>
      <c r="KWH74" s="609"/>
      <c r="KWI74" s="609"/>
      <c r="KWJ74" s="609"/>
      <c r="KWK74" s="609"/>
      <c r="KWL74" s="609"/>
      <c r="KWM74" s="609"/>
      <c r="KWN74" s="609"/>
      <c r="KWO74" s="609"/>
      <c r="KWP74" s="609"/>
      <c r="KWQ74" s="609"/>
      <c r="KWR74" s="609"/>
      <c r="KWS74" s="609"/>
      <c r="KWT74" s="609"/>
      <c r="KWU74" s="609"/>
      <c r="KWV74" s="609"/>
      <c r="KWW74" s="609"/>
      <c r="KWX74" s="609"/>
      <c r="KWY74" s="609"/>
      <c r="KWZ74" s="609"/>
      <c r="KXA74" s="609"/>
      <c r="KXB74" s="609"/>
      <c r="KXC74" s="609"/>
      <c r="KXD74" s="609"/>
      <c r="KXE74" s="609"/>
      <c r="KXF74" s="609"/>
      <c r="KXG74" s="609"/>
      <c r="KXH74" s="609"/>
      <c r="KXI74" s="609"/>
      <c r="KXJ74" s="609"/>
      <c r="KXK74" s="609"/>
      <c r="KXL74" s="609"/>
      <c r="KXM74" s="609"/>
      <c r="KXN74" s="609"/>
      <c r="KXO74" s="609"/>
      <c r="KXP74" s="609"/>
      <c r="KXQ74" s="609"/>
      <c r="KXR74" s="609"/>
      <c r="KXS74" s="609"/>
      <c r="KXT74" s="609"/>
      <c r="KXU74" s="609"/>
      <c r="KXV74" s="609"/>
      <c r="KXW74" s="609"/>
      <c r="KXX74" s="609"/>
      <c r="KXY74" s="609"/>
      <c r="KXZ74" s="609"/>
      <c r="KYA74" s="609"/>
      <c r="KYB74" s="609"/>
      <c r="KYC74" s="609"/>
      <c r="KYD74" s="609"/>
      <c r="KYE74" s="609"/>
      <c r="KYF74" s="609"/>
      <c r="KYG74" s="609"/>
      <c r="KYH74" s="609"/>
      <c r="KYI74" s="609"/>
      <c r="KYJ74" s="609"/>
      <c r="KYK74" s="609"/>
      <c r="KYL74" s="609"/>
      <c r="KYM74" s="609"/>
      <c r="KYN74" s="609"/>
      <c r="KYO74" s="609"/>
      <c r="KYP74" s="609"/>
      <c r="KYQ74" s="609"/>
      <c r="KYR74" s="609"/>
      <c r="KYS74" s="609"/>
      <c r="KYT74" s="609"/>
      <c r="KYU74" s="609"/>
      <c r="KYV74" s="609"/>
      <c r="KYW74" s="609"/>
      <c r="KYX74" s="609"/>
      <c r="KYY74" s="609"/>
      <c r="KYZ74" s="609"/>
      <c r="KZA74" s="609"/>
      <c r="KZB74" s="609"/>
      <c r="KZC74" s="609"/>
      <c r="KZD74" s="609"/>
      <c r="KZE74" s="609"/>
      <c r="KZF74" s="609"/>
      <c r="KZG74" s="609"/>
      <c r="KZH74" s="609"/>
      <c r="KZI74" s="609"/>
      <c r="KZJ74" s="609"/>
      <c r="KZK74" s="609"/>
      <c r="KZL74" s="609"/>
      <c r="KZM74" s="609"/>
      <c r="KZN74" s="609"/>
      <c r="KZO74" s="609"/>
      <c r="KZP74" s="609"/>
      <c r="KZQ74" s="609"/>
      <c r="KZR74" s="609"/>
      <c r="KZS74" s="609"/>
      <c r="KZT74" s="609"/>
      <c r="KZU74" s="609"/>
      <c r="KZV74" s="609"/>
      <c r="KZW74" s="609"/>
      <c r="KZX74" s="609"/>
      <c r="KZY74" s="609"/>
      <c r="KZZ74" s="609"/>
      <c r="LAA74" s="609"/>
      <c r="LAB74" s="609"/>
      <c r="LAC74" s="609"/>
      <c r="LAD74" s="609"/>
      <c r="LAE74" s="609"/>
      <c r="LAF74" s="609"/>
      <c r="LAG74" s="609"/>
      <c r="LAH74" s="609"/>
      <c r="LAI74" s="609"/>
      <c r="LAJ74" s="609"/>
      <c r="LAK74" s="609"/>
      <c r="LAL74" s="609"/>
      <c r="LAM74" s="609"/>
      <c r="LAN74" s="609"/>
      <c r="LAO74" s="609"/>
      <c r="LAP74" s="609"/>
      <c r="LAQ74" s="609"/>
      <c r="LAR74" s="609"/>
      <c r="LAS74" s="609"/>
      <c r="LAT74" s="609"/>
      <c r="LAU74" s="609"/>
      <c r="LAV74" s="609"/>
      <c r="LAW74" s="609"/>
      <c r="LAX74" s="609"/>
      <c r="LAY74" s="609"/>
      <c r="LAZ74" s="609"/>
      <c r="LBA74" s="609"/>
      <c r="LBB74" s="609"/>
      <c r="LBC74" s="609"/>
      <c r="LBD74" s="609"/>
      <c r="LBE74" s="609"/>
      <c r="LBF74" s="609"/>
      <c r="LBG74" s="609"/>
      <c r="LBH74" s="609"/>
      <c r="LBI74" s="609"/>
      <c r="LBJ74" s="609"/>
      <c r="LBK74" s="609"/>
      <c r="LBL74" s="609"/>
      <c r="LBM74" s="609"/>
      <c r="LBN74" s="609"/>
      <c r="LBO74" s="609"/>
      <c r="LBP74" s="609"/>
      <c r="LBQ74" s="609"/>
      <c r="LBR74" s="609"/>
      <c r="LBS74" s="609"/>
      <c r="LBT74" s="609"/>
      <c r="LBU74" s="609"/>
      <c r="LBV74" s="609"/>
      <c r="LBW74" s="609"/>
      <c r="LBX74" s="609"/>
      <c r="LBY74" s="609"/>
      <c r="LBZ74" s="609"/>
      <c r="LCA74" s="609"/>
      <c r="LCB74" s="609"/>
      <c r="LCC74" s="609"/>
      <c r="LCD74" s="609"/>
      <c r="LCE74" s="609"/>
      <c r="LCF74" s="609"/>
      <c r="LCG74" s="609"/>
      <c r="LCH74" s="609"/>
      <c r="LCI74" s="609"/>
      <c r="LCJ74" s="609"/>
      <c r="LCK74" s="609"/>
      <c r="LCL74" s="609"/>
      <c r="LCM74" s="609"/>
      <c r="LCN74" s="609"/>
      <c r="LCO74" s="609"/>
      <c r="LCP74" s="609"/>
      <c r="LCQ74" s="609"/>
      <c r="LCR74" s="609"/>
      <c r="LCS74" s="609"/>
      <c r="LCT74" s="609"/>
      <c r="LCU74" s="609"/>
      <c r="LCV74" s="609"/>
      <c r="LCW74" s="609"/>
      <c r="LCX74" s="609"/>
      <c r="LCY74" s="609"/>
      <c r="LCZ74" s="609"/>
      <c r="LDA74" s="609"/>
      <c r="LDB74" s="609"/>
      <c r="LDC74" s="609"/>
      <c r="LDD74" s="609"/>
      <c r="LDE74" s="609"/>
      <c r="LDF74" s="609"/>
      <c r="LDG74" s="609"/>
      <c r="LDH74" s="609"/>
      <c r="LDI74" s="609"/>
      <c r="LDJ74" s="609"/>
      <c r="LDK74" s="609"/>
      <c r="LDL74" s="609"/>
      <c r="LDM74" s="609"/>
      <c r="LDN74" s="609"/>
      <c r="LDO74" s="609"/>
      <c r="LDP74" s="609"/>
      <c r="LDQ74" s="609"/>
      <c r="LDR74" s="609"/>
      <c r="LDS74" s="609"/>
      <c r="LDT74" s="609"/>
      <c r="LDU74" s="609"/>
      <c r="LDV74" s="609"/>
      <c r="LDW74" s="609"/>
      <c r="LDX74" s="609"/>
      <c r="LDY74" s="609"/>
      <c r="LDZ74" s="609"/>
      <c r="LEA74" s="609"/>
      <c r="LEB74" s="609"/>
      <c r="LEC74" s="609"/>
      <c r="LED74" s="609"/>
      <c r="LEE74" s="609"/>
      <c r="LEF74" s="609"/>
      <c r="LEG74" s="609"/>
      <c r="LEH74" s="609"/>
      <c r="LEI74" s="609"/>
      <c r="LEJ74" s="609"/>
      <c r="LEK74" s="609"/>
      <c r="LEL74" s="609"/>
      <c r="LEM74" s="609"/>
      <c r="LEN74" s="609"/>
      <c r="LEO74" s="609"/>
      <c r="LEP74" s="609"/>
      <c r="LEQ74" s="609"/>
      <c r="LER74" s="609"/>
      <c r="LES74" s="609"/>
      <c r="LET74" s="609"/>
      <c r="LEU74" s="609"/>
      <c r="LEV74" s="609"/>
      <c r="LEW74" s="609"/>
      <c r="LEX74" s="609"/>
      <c r="LEY74" s="609"/>
      <c r="LEZ74" s="609"/>
      <c r="LFA74" s="609"/>
      <c r="LFB74" s="609"/>
      <c r="LFC74" s="609"/>
      <c r="LFD74" s="609"/>
      <c r="LFE74" s="609"/>
      <c r="LFF74" s="609"/>
      <c r="LFG74" s="609"/>
      <c r="LFH74" s="609"/>
      <c r="LFI74" s="609"/>
      <c r="LFJ74" s="609"/>
      <c r="LFK74" s="609"/>
      <c r="LFL74" s="609"/>
      <c r="LFM74" s="609"/>
      <c r="LFN74" s="609"/>
      <c r="LFO74" s="609"/>
      <c r="LFP74" s="609"/>
      <c r="LFQ74" s="609"/>
      <c r="LFR74" s="609"/>
      <c r="LFS74" s="609"/>
      <c r="LFT74" s="609"/>
      <c r="LFU74" s="609"/>
      <c r="LFV74" s="609"/>
      <c r="LFW74" s="609"/>
      <c r="LFX74" s="609"/>
      <c r="LFY74" s="609"/>
      <c r="LFZ74" s="609"/>
      <c r="LGA74" s="609"/>
      <c r="LGB74" s="609"/>
      <c r="LGC74" s="609"/>
      <c r="LGD74" s="609"/>
      <c r="LGE74" s="609"/>
      <c r="LGF74" s="609"/>
      <c r="LGG74" s="609"/>
      <c r="LGH74" s="609"/>
      <c r="LGI74" s="609"/>
      <c r="LGJ74" s="609"/>
      <c r="LGK74" s="609"/>
      <c r="LGL74" s="609"/>
      <c r="LGM74" s="609"/>
      <c r="LGN74" s="609"/>
      <c r="LGO74" s="609"/>
      <c r="LGP74" s="609"/>
      <c r="LGQ74" s="609"/>
      <c r="LGR74" s="609"/>
      <c r="LGS74" s="609"/>
      <c r="LGT74" s="609"/>
      <c r="LGU74" s="609"/>
      <c r="LGV74" s="609"/>
      <c r="LGW74" s="609"/>
      <c r="LGX74" s="609"/>
      <c r="LGY74" s="609"/>
      <c r="LGZ74" s="609"/>
      <c r="LHA74" s="609"/>
      <c r="LHB74" s="609"/>
      <c r="LHC74" s="609"/>
      <c r="LHD74" s="609"/>
      <c r="LHE74" s="609"/>
      <c r="LHF74" s="609"/>
      <c r="LHG74" s="609"/>
      <c r="LHH74" s="609"/>
      <c r="LHI74" s="609"/>
      <c r="LHJ74" s="609"/>
      <c r="LHK74" s="609"/>
      <c r="LHL74" s="609"/>
      <c r="LHM74" s="609"/>
      <c r="LHN74" s="609"/>
      <c r="LHO74" s="609"/>
      <c r="LHP74" s="609"/>
      <c r="LHQ74" s="609"/>
      <c r="LHR74" s="609"/>
      <c r="LHS74" s="609"/>
      <c r="LHT74" s="609"/>
      <c r="LHU74" s="609"/>
      <c r="LHV74" s="609"/>
      <c r="LHW74" s="609"/>
      <c r="LHX74" s="609"/>
      <c r="LHY74" s="609"/>
      <c r="LHZ74" s="609"/>
      <c r="LIA74" s="609"/>
      <c r="LIB74" s="609"/>
      <c r="LIC74" s="609"/>
      <c r="LID74" s="609"/>
      <c r="LIE74" s="609"/>
      <c r="LIF74" s="609"/>
      <c r="LIG74" s="609"/>
      <c r="LIH74" s="609"/>
      <c r="LII74" s="609"/>
      <c r="LIJ74" s="609"/>
      <c r="LIK74" s="609"/>
      <c r="LIL74" s="609"/>
      <c r="LIM74" s="609"/>
      <c r="LIN74" s="609"/>
      <c r="LIO74" s="609"/>
      <c r="LIP74" s="609"/>
      <c r="LIQ74" s="609"/>
      <c r="LIR74" s="609"/>
      <c r="LIS74" s="609"/>
      <c r="LIT74" s="609"/>
      <c r="LIU74" s="609"/>
      <c r="LIV74" s="609"/>
      <c r="LIW74" s="609"/>
      <c r="LIX74" s="609"/>
      <c r="LIY74" s="609"/>
      <c r="LIZ74" s="609"/>
      <c r="LJA74" s="609"/>
      <c r="LJB74" s="609"/>
      <c r="LJC74" s="609"/>
      <c r="LJD74" s="609"/>
      <c r="LJE74" s="609"/>
      <c r="LJF74" s="609"/>
      <c r="LJG74" s="609"/>
      <c r="LJH74" s="609"/>
      <c r="LJI74" s="609"/>
      <c r="LJJ74" s="609"/>
      <c r="LJK74" s="609"/>
      <c r="LJL74" s="609"/>
      <c r="LJM74" s="609"/>
      <c r="LJN74" s="609"/>
      <c r="LJO74" s="609"/>
      <c r="LJP74" s="609"/>
      <c r="LJQ74" s="609"/>
      <c r="LJR74" s="609"/>
      <c r="LJS74" s="609"/>
      <c r="LJT74" s="609"/>
      <c r="LJU74" s="609"/>
      <c r="LJV74" s="609"/>
      <c r="LJW74" s="609"/>
      <c r="LJX74" s="609"/>
      <c r="LJY74" s="609"/>
      <c r="LJZ74" s="609"/>
      <c r="LKA74" s="609"/>
      <c r="LKB74" s="609"/>
      <c r="LKC74" s="609"/>
      <c r="LKD74" s="609"/>
      <c r="LKE74" s="609"/>
      <c r="LKF74" s="609"/>
      <c r="LKG74" s="609"/>
      <c r="LKH74" s="609"/>
      <c r="LKI74" s="609"/>
      <c r="LKJ74" s="609"/>
      <c r="LKK74" s="609"/>
      <c r="LKL74" s="609"/>
      <c r="LKM74" s="609"/>
      <c r="LKN74" s="609"/>
      <c r="LKO74" s="609"/>
      <c r="LKP74" s="609"/>
      <c r="LKQ74" s="609"/>
      <c r="LKR74" s="609"/>
      <c r="LKS74" s="609"/>
      <c r="LKT74" s="609"/>
      <c r="LKU74" s="609"/>
      <c r="LKV74" s="609"/>
      <c r="LKW74" s="609"/>
      <c r="LKX74" s="609"/>
      <c r="LKY74" s="609"/>
      <c r="LKZ74" s="609"/>
      <c r="LLA74" s="609"/>
      <c r="LLB74" s="609"/>
      <c r="LLC74" s="609"/>
      <c r="LLD74" s="609"/>
      <c r="LLE74" s="609"/>
      <c r="LLF74" s="609"/>
      <c r="LLG74" s="609"/>
      <c r="LLH74" s="609"/>
      <c r="LLI74" s="609"/>
      <c r="LLJ74" s="609"/>
      <c r="LLK74" s="609"/>
      <c r="LLL74" s="609"/>
      <c r="LLM74" s="609"/>
      <c r="LLN74" s="609"/>
      <c r="LLO74" s="609"/>
      <c r="LLP74" s="609"/>
      <c r="LLQ74" s="609"/>
      <c r="LLR74" s="609"/>
      <c r="LLS74" s="609"/>
      <c r="LLT74" s="609"/>
      <c r="LLU74" s="609"/>
      <c r="LLV74" s="609"/>
      <c r="LLW74" s="609"/>
      <c r="LLX74" s="609"/>
      <c r="LLY74" s="609"/>
      <c r="LLZ74" s="609"/>
      <c r="LMA74" s="609"/>
      <c r="LMB74" s="609"/>
      <c r="LMC74" s="609"/>
      <c r="LMD74" s="609"/>
      <c r="LME74" s="609"/>
      <c r="LMF74" s="609"/>
      <c r="LMG74" s="609"/>
      <c r="LMH74" s="609"/>
      <c r="LMI74" s="609"/>
      <c r="LMJ74" s="609"/>
      <c r="LMK74" s="609"/>
      <c r="LML74" s="609"/>
      <c r="LMM74" s="609"/>
      <c r="LMN74" s="609"/>
      <c r="LMO74" s="609"/>
      <c r="LMP74" s="609"/>
      <c r="LMQ74" s="609"/>
      <c r="LMR74" s="609"/>
      <c r="LMS74" s="609"/>
      <c r="LMT74" s="609"/>
      <c r="LMU74" s="609"/>
      <c r="LMV74" s="609"/>
      <c r="LMW74" s="609"/>
      <c r="LMX74" s="609"/>
      <c r="LMY74" s="609"/>
      <c r="LMZ74" s="609"/>
      <c r="LNA74" s="609"/>
      <c r="LNB74" s="609"/>
      <c r="LNC74" s="609"/>
      <c r="LND74" s="609"/>
      <c r="LNE74" s="609"/>
      <c r="LNF74" s="609"/>
      <c r="LNG74" s="609"/>
      <c r="LNH74" s="609"/>
      <c r="LNI74" s="609"/>
      <c r="LNJ74" s="609"/>
      <c r="LNK74" s="609"/>
      <c r="LNL74" s="609"/>
      <c r="LNM74" s="609"/>
      <c r="LNN74" s="609"/>
      <c r="LNO74" s="609"/>
      <c r="LNP74" s="609"/>
      <c r="LNQ74" s="609"/>
      <c r="LNR74" s="609"/>
      <c r="LNS74" s="609"/>
      <c r="LNT74" s="609"/>
      <c r="LNU74" s="609"/>
      <c r="LNV74" s="609"/>
      <c r="LNW74" s="609"/>
      <c r="LNX74" s="609"/>
      <c r="LNY74" s="609"/>
      <c r="LNZ74" s="609"/>
      <c r="LOA74" s="609"/>
      <c r="LOB74" s="609"/>
      <c r="LOC74" s="609"/>
      <c r="LOD74" s="609"/>
      <c r="LOE74" s="609"/>
      <c r="LOF74" s="609"/>
      <c r="LOG74" s="609"/>
      <c r="LOH74" s="609"/>
      <c r="LOI74" s="609"/>
      <c r="LOJ74" s="609"/>
      <c r="LOK74" s="609"/>
      <c r="LOL74" s="609"/>
      <c r="LOM74" s="609"/>
      <c r="LON74" s="609"/>
      <c r="LOO74" s="609"/>
      <c r="LOP74" s="609"/>
      <c r="LOQ74" s="609"/>
      <c r="LOR74" s="609"/>
      <c r="LOS74" s="609"/>
      <c r="LOT74" s="609"/>
      <c r="LOU74" s="609"/>
      <c r="LOV74" s="609"/>
      <c r="LOW74" s="609"/>
      <c r="LOX74" s="609"/>
      <c r="LOY74" s="609"/>
      <c r="LOZ74" s="609"/>
      <c r="LPA74" s="609"/>
      <c r="LPB74" s="609"/>
      <c r="LPC74" s="609"/>
      <c r="LPD74" s="609"/>
      <c r="LPE74" s="609"/>
      <c r="LPF74" s="609"/>
      <c r="LPG74" s="609"/>
      <c r="LPH74" s="609"/>
      <c r="LPI74" s="609"/>
      <c r="LPJ74" s="609"/>
      <c r="LPK74" s="609"/>
      <c r="LPL74" s="609"/>
      <c r="LPM74" s="609"/>
      <c r="LPN74" s="609"/>
      <c r="LPO74" s="609"/>
      <c r="LPP74" s="609"/>
      <c r="LPQ74" s="609"/>
      <c r="LPR74" s="609"/>
      <c r="LPS74" s="609"/>
      <c r="LPT74" s="609"/>
      <c r="LPU74" s="609"/>
      <c r="LPV74" s="609"/>
      <c r="LPW74" s="609"/>
      <c r="LPX74" s="609"/>
      <c r="LPY74" s="609"/>
      <c r="LPZ74" s="609"/>
      <c r="LQA74" s="609"/>
      <c r="LQB74" s="609"/>
      <c r="LQC74" s="609"/>
      <c r="LQD74" s="609"/>
      <c r="LQE74" s="609"/>
      <c r="LQF74" s="609"/>
      <c r="LQG74" s="609"/>
      <c r="LQH74" s="609"/>
      <c r="LQI74" s="609"/>
      <c r="LQJ74" s="609"/>
      <c r="LQK74" s="609"/>
      <c r="LQL74" s="609"/>
      <c r="LQM74" s="609"/>
      <c r="LQN74" s="609"/>
      <c r="LQO74" s="609"/>
      <c r="LQP74" s="609"/>
      <c r="LQQ74" s="609"/>
      <c r="LQR74" s="609"/>
      <c r="LQS74" s="609"/>
      <c r="LQT74" s="609"/>
      <c r="LQU74" s="609"/>
      <c r="LQV74" s="609"/>
      <c r="LQW74" s="609"/>
      <c r="LQX74" s="609"/>
      <c r="LQY74" s="609"/>
      <c r="LQZ74" s="609"/>
      <c r="LRA74" s="609"/>
      <c r="LRB74" s="609"/>
      <c r="LRC74" s="609"/>
      <c r="LRD74" s="609"/>
      <c r="LRE74" s="609"/>
      <c r="LRF74" s="609"/>
      <c r="LRG74" s="609"/>
      <c r="LRH74" s="609"/>
      <c r="LRI74" s="609"/>
      <c r="LRJ74" s="609"/>
      <c r="LRK74" s="609"/>
      <c r="LRL74" s="609"/>
      <c r="LRM74" s="609"/>
      <c r="LRN74" s="609"/>
      <c r="LRO74" s="609"/>
      <c r="LRP74" s="609"/>
      <c r="LRQ74" s="609"/>
      <c r="LRR74" s="609"/>
      <c r="LRS74" s="609"/>
      <c r="LRT74" s="609"/>
      <c r="LRU74" s="609"/>
      <c r="LRV74" s="609"/>
      <c r="LRW74" s="609"/>
      <c r="LRX74" s="609"/>
      <c r="LRY74" s="609"/>
      <c r="LRZ74" s="609"/>
      <c r="LSA74" s="609"/>
      <c r="LSB74" s="609"/>
      <c r="LSC74" s="609"/>
      <c r="LSD74" s="609"/>
      <c r="LSE74" s="609"/>
      <c r="LSF74" s="609"/>
      <c r="LSG74" s="609"/>
      <c r="LSH74" s="609"/>
      <c r="LSI74" s="609"/>
      <c r="LSJ74" s="609"/>
      <c r="LSK74" s="609"/>
      <c r="LSL74" s="609"/>
      <c r="LSM74" s="609"/>
      <c r="LSN74" s="609"/>
      <c r="LSO74" s="609"/>
      <c r="LSP74" s="609"/>
      <c r="LSQ74" s="609"/>
      <c r="LSR74" s="609"/>
      <c r="LSS74" s="609"/>
      <c r="LST74" s="609"/>
      <c r="LSU74" s="609"/>
      <c r="LSV74" s="609"/>
      <c r="LSW74" s="609"/>
      <c r="LSX74" s="609"/>
      <c r="LSY74" s="609"/>
      <c r="LSZ74" s="609"/>
      <c r="LTA74" s="609"/>
      <c r="LTB74" s="609"/>
      <c r="LTC74" s="609"/>
      <c r="LTD74" s="609"/>
      <c r="LTE74" s="609"/>
      <c r="LTF74" s="609"/>
      <c r="LTG74" s="609"/>
      <c r="LTH74" s="609"/>
      <c r="LTI74" s="609"/>
      <c r="LTJ74" s="609"/>
      <c r="LTK74" s="609"/>
      <c r="LTL74" s="609"/>
      <c r="LTM74" s="609"/>
      <c r="LTN74" s="609"/>
      <c r="LTO74" s="609"/>
      <c r="LTP74" s="609"/>
      <c r="LTQ74" s="609"/>
      <c r="LTR74" s="609"/>
      <c r="LTS74" s="609"/>
      <c r="LTT74" s="609"/>
      <c r="LTU74" s="609"/>
      <c r="LTV74" s="609"/>
      <c r="LTW74" s="609"/>
      <c r="LTX74" s="609"/>
      <c r="LTY74" s="609"/>
      <c r="LTZ74" s="609"/>
      <c r="LUA74" s="609"/>
      <c r="LUB74" s="609"/>
      <c r="LUC74" s="609"/>
      <c r="LUD74" s="609"/>
      <c r="LUE74" s="609"/>
      <c r="LUF74" s="609"/>
      <c r="LUG74" s="609"/>
      <c r="LUH74" s="609"/>
      <c r="LUI74" s="609"/>
      <c r="LUJ74" s="609"/>
      <c r="LUK74" s="609"/>
      <c r="LUL74" s="609"/>
      <c r="LUM74" s="609"/>
      <c r="LUN74" s="609"/>
      <c r="LUO74" s="609"/>
      <c r="LUP74" s="609"/>
      <c r="LUQ74" s="609"/>
      <c r="LUR74" s="609"/>
      <c r="LUS74" s="609"/>
      <c r="LUT74" s="609"/>
      <c r="LUU74" s="609"/>
      <c r="LUV74" s="609"/>
      <c r="LUW74" s="609"/>
      <c r="LUX74" s="609"/>
      <c r="LUY74" s="609"/>
      <c r="LUZ74" s="609"/>
      <c r="LVA74" s="609"/>
      <c r="LVB74" s="609"/>
      <c r="LVC74" s="609"/>
      <c r="LVD74" s="609"/>
      <c r="LVE74" s="609"/>
      <c r="LVF74" s="609"/>
      <c r="LVG74" s="609"/>
      <c r="LVH74" s="609"/>
      <c r="LVI74" s="609"/>
      <c r="LVJ74" s="609"/>
      <c r="LVK74" s="609"/>
      <c r="LVL74" s="609"/>
      <c r="LVM74" s="609"/>
      <c r="LVN74" s="609"/>
      <c r="LVO74" s="609"/>
      <c r="LVP74" s="609"/>
      <c r="LVQ74" s="609"/>
      <c r="LVR74" s="609"/>
      <c r="LVS74" s="609"/>
      <c r="LVT74" s="609"/>
      <c r="LVU74" s="609"/>
      <c r="LVV74" s="609"/>
      <c r="LVW74" s="609"/>
      <c r="LVX74" s="609"/>
      <c r="LVY74" s="609"/>
      <c r="LVZ74" s="609"/>
      <c r="LWA74" s="609"/>
      <c r="LWB74" s="609"/>
      <c r="LWC74" s="609"/>
      <c r="LWD74" s="609"/>
      <c r="LWE74" s="609"/>
      <c r="LWF74" s="609"/>
      <c r="LWG74" s="609"/>
      <c r="LWH74" s="609"/>
      <c r="LWI74" s="609"/>
      <c r="LWJ74" s="609"/>
      <c r="LWK74" s="609"/>
      <c r="LWL74" s="609"/>
      <c r="LWM74" s="609"/>
      <c r="LWN74" s="609"/>
      <c r="LWO74" s="609"/>
      <c r="LWP74" s="609"/>
      <c r="LWQ74" s="609"/>
      <c r="LWR74" s="609"/>
      <c r="LWS74" s="609"/>
      <c r="LWT74" s="609"/>
      <c r="LWU74" s="609"/>
      <c r="LWV74" s="609"/>
      <c r="LWW74" s="609"/>
      <c r="LWX74" s="609"/>
      <c r="LWY74" s="609"/>
      <c r="LWZ74" s="609"/>
      <c r="LXA74" s="609"/>
      <c r="LXB74" s="609"/>
      <c r="LXC74" s="609"/>
      <c r="LXD74" s="609"/>
      <c r="LXE74" s="609"/>
      <c r="LXF74" s="609"/>
      <c r="LXG74" s="609"/>
      <c r="LXH74" s="609"/>
      <c r="LXI74" s="609"/>
      <c r="LXJ74" s="609"/>
      <c r="LXK74" s="609"/>
      <c r="LXL74" s="609"/>
      <c r="LXM74" s="609"/>
      <c r="LXN74" s="609"/>
      <c r="LXO74" s="609"/>
      <c r="LXP74" s="609"/>
      <c r="LXQ74" s="609"/>
      <c r="LXR74" s="609"/>
      <c r="LXS74" s="609"/>
      <c r="LXT74" s="609"/>
      <c r="LXU74" s="609"/>
      <c r="LXV74" s="609"/>
      <c r="LXW74" s="609"/>
      <c r="LXX74" s="609"/>
      <c r="LXY74" s="609"/>
      <c r="LXZ74" s="609"/>
      <c r="LYA74" s="609"/>
      <c r="LYB74" s="609"/>
      <c r="LYC74" s="609"/>
      <c r="LYD74" s="609"/>
      <c r="LYE74" s="609"/>
      <c r="LYF74" s="609"/>
      <c r="LYG74" s="609"/>
      <c r="LYH74" s="609"/>
      <c r="LYI74" s="609"/>
      <c r="LYJ74" s="609"/>
      <c r="LYK74" s="609"/>
      <c r="LYL74" s="609"/>
      <c r="LYM74" s="609"/>
      <c r="LYN74" s="609"/>
      <c r="LYO74" s="609"/>
      <c r="LYP74" s="609"/>
      <c r="LYQ74" s="609"/>
      <c r="LYR74" s="609"/>
      <c r="LYS74" s="609"/>
      <c r="LYT74" s="609"/>
      <c r="LYU74" s="609"/>
      <c r="LYV74" s="609"/>
      <c r="LYW74" s="609"/>
      <c r="LYX74" s="609"/>
      <c r="LYY74" s="609"/>
      <c r="LYZ74" s="609"/>
      <c r="LZA74" s="609"/>
      <c r="LZB74" s="609"/>
      <c r="LZC74" s="609"/>
      <c r="LZD74" s="609"/>
      <c r="LZE74" s="609"/>
      <c r="LZF74" s="609"/>
      <c r="LZG74" s="609"/>
      <c r="LZH74" s="609"/>
      <c r="LZI74" s="609"/>
      <c r="LZJ74" s="609"/>
      <c r="LZK74" s="609"/>
      <c r="LZL74" s="609"/>
      <c r="LZM74" s="609"/>
      <c r="LZN74" s="609"/>
      <c r="LZO74" s="609"/>
      <c r="LZP74" s="609"/>
      <c r="LZQ74" s="609"/>
      <c r="LZR74" s="609"/>
      <c r="LZS74" s="609"/>
      <c r="LZT74" s="609"/>
      <c r="LZU74" s="609"/>
      <c r="LZV74" s="609"/>
      <c r="LZW74" s="609"/>
      <c r="LZX74" s="609"/>
      <c r="LZY74" s="609"/>
      <c r="LZZ74" s="609"/>
      <c r="MAA74" s="609"/>
      <c r="MAB74" s="609"/>
      <c r="MAC74" s="609"/>
      <c r="MAD74" s="609"/>
      <c r="MAE74" s="609"/>
      <c r="MAF74" s="609"/>
      <c r="MAG74" s="609"/>
      <c r="MAH74" s="609"/>
      <c r="MAI74" s="609"/>
      <c r="MAJ74" s="609"/>
      <c r="MAK74" s="609"/>
      <c r="MAL74" s="609"/>
      <c r="MAM74" s="609"/>
      <c r="MAN74" s="609"/>
      <c r="MAO74" s="609"/>
      <c r="MAP74" s="609"/>
      <c r="MAQ74" s="609"/>
      <c r="MAR74" s="609"/>
      <c r="MAS74" s="609"/>
      <c r="MAT74" s="609"/>
      <c r="MAU74" s="609"/>
      <c r="MAV74" s="609"/>
      <c r="MAW74" s="609"/>
      <c r="MAX74" s="609"/>
      <c r="MAY74" s="609"/>
      <c r="MAZ74" s="609"/>
      <c r="MBA74" s="609"/>
      <c r="MBB74" s="609"/>
      <c r="MBC74" s="609"/>
      <c r="MBD74" s="609"/>
      <c r="MBE74" s="609"/>
      <c r="MBF74" s="609"/>
      <c r="MBG74" s="609"/>
      <c r="MBH74" s="609"/>
      <c r="MBI74" s="609"/>
      <c r="MBJ74" s="609"/>
      <c r="MBK74" s="609"/>
      <c r="MBL74" s="609"/>
      <c r="MBM74" s="609"/>
      <c r="MBN74" s="609"/>
      <c r="MBO74" s="609"/>
      <c r="MBP74" s="609"/>
      <c r="MBQ74" s="609"/>
      <c r="MBR74" s="609"/>
      <c r="MBS74" s="609"/>
      <c r="MBT74" s="609"/>
      <c r="MBU74" s="609"/>
      <c r="MBV74" s="609"/>
      <c r="MBW74" s="609"/>
      <c r="MBX74" s="609"/>
      <c r="MBY74" s="609"/>
      <c r="MBZ74" s="609"/>
      <c r="MCA74" s="609"/>
      <c r="MCB74" s="609"/>
      <c r="MCC74" s="609"/>
      <c r="MCD74" s="609"/>
      <c r="MCE74" s="609"/>
      <c r="MCF74" s="609"/>
      <c r="MCG74" s="609"/>
      <c r="MCH74" s="609"/>
      <c r="MCI74" s="609"/>
      <c r="MCJ74" s="609"/>
      <c r="MCK74" s="609"/>
      <c r="MCL74" s="609"/>
      <c r="MCM74" s="609"/>
      <c r="MCN74" s="609"/>
      <c r="MCO74" s="609"/>
      <c r="MCP74" s="609"/>
      <c r="MCQ74" s="609"/>
      <c r="MCR74" s="609"/>
      <c r="MCS74" s="609"/>
      <c r="MCT74" s="609"/>
      <c r="MCU74" s="609"/>
      <c r="MCV74" s="609"/>
      <c r="MCW74" s="609"/>
      <c r="MCX74" s="609"/>
      <c r="MCY74" s="609"/>
      <c r="MCZ74" s="609"/>
      <c r="MDA74" s="609"/>
      <c r="MDB74" s="609"/>
      <c r="MDC74" s="609"/>
      <c r="MDD74" s="609"/>
      <c r="MDE74" s="609"/>
      <c r="MDF74" s="609"/>
      <c r="MDG74" s="609"/>
      <c r="MDH74" s="609"/>
      <c r="MDI74" s="609"/>
      <c r="MDJ74" s="609"/>
      <c r="MDK74" s="609"/>
      <c r="MDL74" s="609"/>
      <c r="MDM74" s="609"/>
      <c r="MDN74" s="609"/>
      <c r="MDO74" s="609"/>
      <c r="MDP74" s="609"/>
      <c r="MDQ74" s="609"/>
      <c r="MDR74" s="609"/>
      <c r="MDS74" s="609"/>
      <c r="MDT74" s="609"/>
      <c r="MDU74" s="609"/>
      <c r="MDV74" s="609"/>
      <c r="MDW74" s="609"/>
      <c r="MDX74" s="609"/>
      <c r="MDY74" s="609"/>
      <c r="MDZ74" s="609"/>
      <c r="MEA74" s="609"/>
      <c r="MEB74" s="609"/>
      <c r="MEC74" s="609"/>
      <c r="MED74" s="609"/>
      <c r="MEE74" s="609"/>
      <c r="MEF74" s="609"/>
      <c r="MEG74" s="609"/>
      <c r="MEH74" s="609"/>
      <c r="MEI74" s="609"/>
      <c r="MEJ74" s="609"/>
      <c r="MEK74" s="609"/>
      <c r="MEL74" s="609"/>
      <c r="MEM74" s="609"/>
      <c r="MEN74" s="609"/>
      <c r="MEO74" s="609"/>
      <c r="MEP74" s="609"/>
      <c r="MEQ74" s="609"/>
      <c r="MER74" s="609"/>
      <c r="MES74" s="609"/>
      <c r="MET74" s="609"/>
      <c r="MEU74" s="609"/>
      <c r="MEV74" s="609"/>
      <c r="MEW74" s="609"/>
      <c r="MEX74" s="609"/>
      <c r="MEY74" s="609"/>
      <c r="MEZ74" s="609"/>
      <c r="MFA74" s="609"/>
      <c r="MFB74" s="609"/>
      <c r="MFC74" s="609"/>
      <c r="MFD74" s="609"/>
      <c r="MFE74" s="609"/>
      <c r="MFF74" s="609"/>
      <c r="MFG74" s="609"/>
      <c r="MFH74" s="609"/>
      <c r="MFI74" s="609"/>
      <c r="MFJ74" s="609"/>
      <c r="MFK74" s="609"/>
      <c r="MFL74" s="609"/>
      <c r="MFM74" s="609"/>
      <c r="MFN74" s="609"/>
      <c r="MFO74" s="609"/>
      <c r="MFP74" s="609"/>
      <c r="MFQ74" s="609"/>
      <c r="MFR74" s="609"/>
      <c r="MFS74" s="609"/>
      <c r="MFT74" s="609"/>
      <c r="MFU74" s="609"/>
      <c r="MFV74" s="609"/>
      <c r="MFW74" s="609"/>
      <c r="MFX74" s="609"/>
      <c r="MFY74" s="609"/>
      <c r="MFZ74" s="609"/>
      <c r="MGA74" s="609"/>
      <c r="MGB74" s="609"/>
      <c r="MGC74" s="609"/>
      <c r="MGD74" s="609"/>
      <c r="MGE74" s="609"/>
      <c r="MGF74" s="609"/>
      <c r="MGG74" s="609"/>
      <c r="MGH74" s="609"/>
      <c r="MGI74" s="609"/>
      <c r="MGJ74" s="609"/>
      <c r="MGK74" s="609"/>
      <c r="MGL74" s="609"/>
      <c r="MGM74" s="609"/>
      <c r="MGN74" s="609"/>
      <c r="MGO74" s="609"/>
      <c r="MGP74" s="609"/>
      <c r="MGQ74" s="609"/>
      <c r="MGR74" s="609"/>
      <c r="MGS74" s="609"/>
      <c r="MGT74" s="609"/>
      <c r="MGU74" s="609"/>
      <c r="MGV74" s="609"/>
      <c r="MGW74" s="609"/>
      <c r="MGX74" s="609"/>
      <c r="MGY74" s="609"/>
      <c r="MGZ74" s="609"/>
      <c r="MHA74" s="609"/>
      <c r="MHB74" s="609"/>
      <c r="MHC74" s="609"/>
      <c r="MHD74" s="609"/>
      <c r="MHE74" s="609"/>
      <c r="MHF74" s="609"/>
      <c r="MHG74" s="609"/>
      <c r="MHH74" s="609"/>
      <c r="MHI74" s="609"/>
      <c r="MHJ74" s="609"/>
      <c r="MHK74" s="609"/>
      <c r="MHL74" s="609"/>
      <c r="MHM74" s="609"/>
      <c r="MHN74" s="609"/>
      <c r="MHO74" s="609"/>
      <c r="MHP74" s="609"/>
      <c r="MHQ74" s="609"/>
      <c r="MHR74" s="609"/>
      <c r="MHS74" s="609"/>
      <c r="MHT74" s="609"/>
      <c r="MHU74" s="609"/>
      <c r="MHV74" s="609"/>
      <c r="MHW74" s="609"/>
      <c r="MHX74" s="609"/>
      <c r="MHY74" s="609"/>
      <c r="MHZ74" s="609"/>
      <c r="MIA74" s="609"/>
      <c r="MIB74" s="609"/>
      <c r="MIC74" s="609"/>
      <c r="MID74" s="609"/>
      <c r="MIE74" s="609"/>
      <c r="MIF74" s="609"/>
      <c r="MIG74" s="609"/>
      <c r="MIH74" s="609"/>
      <c r="MII74" s="609"/>
      <c r="MIJ74" s="609"/>
      <c r="MIK74" s="609"/>
      <c r="MIL74" s="609"/>
      <c r="MIM74" s="609"/>
      <c r="MIN74" s="609"/>
      <c r="MIO74" s="609"/>
      <c r="MIP74" s="609"/>
      <c r="MIQ74" s="609"/>
      <c r="MIR74" s="609"/>
      <c r="MIS74" s="609"/>
      <c r="MIT74" s="609"/>
      <c r="MIU74" s="609"/>
      <c r="MIV74" s="609"/>
      <c r="MIW74" s="609"/>
      <c r="MIX74" s="609"/>
      <c r="MIY74" s="609"/>
      <c r="MIZ74" s="609"/>
      <c r="MJA74" s="609"/>
      <c r="MJB74" s="609"/>
      <c r="MJC74" s="609"/>
      <c r="MJD74" s="609"/>
      <c r="MJE74" s="609"/>
      <c r="MJF74" s="609"/>
      <c r="MJG74" s="609"/>
      <c r="MJH74" s="609"/>
      <c r="MJI74" s="609"/>
      <c r="MJJ74" s="609"/>
      <c r="MJK74" s="609"/>
      <c r="MJL74" s="609"/>
      <c r="MJM74" s="609"/>
      <c r="MJN74" s="609"/>
      <c r="MJO74" s="609"/>
      <c r="MJP74" s="609"/>
      <c r="MJQ74" s="609"/>
      <c r="MJR74" s="609"/>
      <c r="MJS74" s="609"/>
      <c r="MJT74" s="609"/>
      <c r="MJU74" s="609"/>
      <c r="MJV74" s="609"/>
      <c r="MJW74" s="609"/>
      <c r="MJX74" s="609"/>
      <c r="MJY74" s="609"/>
      <c r="MJZ74" s="609"/>
      <c r="MKA74" s="609"/>
      <c r="MKB74" s="609"/>
      <c r="MKC74" s="609"/>
      <c r="MKD74" s="609"/>
      <c r="MKE74" s="609"/>
      <c r="MKF74" s="609"/>
      <c r="MKG74" s="609"/>
      <c r="MKH74" s="609"/>
      <c r="MKI74" s="609"/>
      <c r="MKJ74" s="609"/>
      <c r="MKK74" s="609"/>
      <c r="MKL74" s="609"/>
      <c r="MKM74" s="609"/>
      <c r="MKN74" s="609"/>
      <c r="MKO74" s="609"/>
      <c r="MKP74" s="609"/>
      <c r="MKQ74" s="609"/>
      <c r="MKR74" s="609"/>
      <c r="MKS74" s="609"/>
      <c r="MKT74" s="609"/>
      <c r="MKU74" s="609"/>
      <c r="MKV74" s="609"/>
      <c r="MKW74" s="609"/>
      <c r="MKX74" s="609"/>
      <c r="MKY74" s="609"/>
      <c r="MKZ74" s="609"/>
      <c r="MLA74" s="609"/>
      <c r="MLB74" s="609"/>
      <c r="MLC74" s="609"/>
      <c r="MLD74" s="609"/>
      <c r="MLE74" s="609"/>
      <c r="MLF74" s="609"/>
      <c r="MLG74" s="609"/>
      <c r="MLH74" s="609"/>
      <c r="MLI74" s="609"/>
      <c r="MLJ74" s="609"/>
      <c r="MLK74" s="609"/>
      <c r="MLL74" s="609"/>
      <c r="MLM74" s="609"/>
      <c r="MLN74" s="609"/>
      <c r="MLO74" s="609"/>
      <c r="MLP74" s="609"/>
      <c r="MLQ74" s="609"/>
      <c r="MLR74" s="609"/>
      <c r="MLS74" s="609"/>
      <c r="MLT74" s="609"/>
      <c r="MLU74" s="609"/>
      <c r="MLV74" s="609"/>
      <c r="MLW74" s="609"/>
      <c r="MLX74" s="609"/>
      <c r="MLY74" s="609"/>
      <c r="MLZ74" s="609"/>
      <c r="MMA74" s="609"/>
      <c r="MMB74" s="609"/>
      <c r="MMC74" s="609"/>
      <c r="MMD74" s="609"/>
      <c r="MME74" s="609"/>
      <c r="MMF74" s="609"/>
      <c r="MMG74" s="609"/>
      <c r="MMH74" s="609"/>
      <c r="MMI74" s="609"/>
      <c r="MMJ74" s="609"/>
      <c r="MMK74" s="609"/>
      <c r="MML74" s="609"/>
      <c r="MMM74" s="609"/>
      <c r="MMN74" s="609"/>
      <c r="MMO74" s="609"/>
      <c r="MMP74" s="609"/>
      <c r="MMQ74" s="609"/>
      <c r="MMR74" s="609"/>
      <c r="MMS74" s="609"/>
      <c r="MMT74" s="609"/>
      <c r="MMU74" s="609"/>
      <c r="MMV74" s="609"/>
      <c r="MMW74" s="609"/>
      <c r="MMX74" s="609"/>
      <c r="MMY74" s="609"/>
      <c r="MMZ74" s="609"/>
      <c r="MNA74" s="609"/>
      <c r="MNB74" s="609"/>
      <c r="MNC74" s="609"/>
      <c r="MND74" s="609"/>
      <c r="MNE74" s="609"/>
      <c r="MNF74" s="609"/>
      <c r="MNG74" s="609"/>
      <c r="MNH74" s="609"/>
      <c r="MNI74" s="609"/>
      <c r="MNJ74" s="609"/>
      <c r="MNK74" s="609"/>
      <c r="MNL74" s="609"/>
      <c r="MNM74" s="609"/>
      <c r="MNN74" s="609"/>
      <c r="MNO74" s="609"/>
      <c r="MNP74" s="609"/>
      <c r="MNQ74" s="609"/>
      <c r="MNR74" s="609"/>
      <c r="MNS74" s="609"/>
      <c r="MNT74" s="609"/>
      <c r="MNU74" s="609"/>
      <c r="MNV74" s="609"/>
      <c r="MNW74" s="609"/>
      <c r="MNX74" s="609"/>
      <c r="MNY74" s="609"/>
      <c r="MNZ74" s="609"/>
      <c r="MOA74" s="609"/>
      <c r="MOB74" s="609"/>
      <c r="MOC74" s="609"/>
      <c r="MOD74" s="609"/>
      <c r="MOE74" s="609"/>
      <c r="MOF74" s="609"/>
      <c r="MOG74" s="609"/>
      <c r="MOH74" s="609"/>
      <c r="MOI74" s="609"/>
      <c r="MOJ74" s="609"/>
      <c r="MOK74" s="609"/>
      <c r="MOL74" s="609"/>
      <c r="MOM74" s="609"/>
      <c r="MON74" s="609"/>
      <c r="MOO74" s="609"/>
      <c r="MOP74" s="609"/>
      <c r="MOQ74" s="609"/>
      <c r="MOR74" s="609"/>
      <c r="MOS74" s="609"/>
      <c r="MOT74" s="609"/>
      <c r="MOU74" s="609"/>
      <c r="MOV74" s="609"/>
      <c r="MOW74" s="609"/>
      <c r="MOX74" s="609"/>
      <c r="MOY74" s="609"/>
      <c r="MOZ74" s="609"/>
      <c r="MPA74" s="609"/>
      <c r="MPB74" s="609"/>
      <c r="MPC74" s="609"/>
      <c r="MPD74" s="609"/>
      <c r="MPE74" s="609"/>
      <c r="MPF74" s="609"/>
      <c r="MPG74" s="609"/>
      <c r="MPH74" s="609"/>
      <c r="MPI74" s="609"/>
      <c r="MPJ74" s="609"/>
      <c r="MPK74" s="609"/>
      <c r="MPL74" s="609"/>
      <c r="MPM74" s="609"/>
      <c r="MPN74" s="609"/>
      <c r="MPO74" s="609"/>
      <c r="MPP74" s="609"/>
      <c r="MPQ74" s="609"/>
      <c r="MPR74" s="609"/>
      <c r="MPS74" s="609"/>
      <c r="MPT74" s="609"/>
      <c r="MPU74" s="609"/>
      <c r="MPV74" s="609"/>
      <c r="MPW74" s="609"/>
      <c r="MPX74" s="609"/>
      <c r="MPY74" s="609"/>
      <c r="MPZ74" s="609"/>
      <c r="MQA74" s="609"/>
      <c r="MQB74" s="609"/>
      <c r="MQC74" s="609"/>
      <c r="MQD74" s="609"/>
      <c r="MQE74" s="609"/>
      <c r="MQF74" s="609"/>
      <c r="MQG74" s="609"/>
      <c r="MQH74" s="609"/>
      <c r="MQI74" s="609"/>
      <c r="MQJ74" s="609"/>
      <c r="MQK74" s="609"/>
      <c r="MQL74" s="609"/>
      <c r="MQM74" s="609"/>
      <c r="MQN74" s="609"/>
      <c r="MQO74" s="609"/>
      <c r="MQP74" s="609"/>
      <c r="MQQ74" s="609"/>
      <c r="MQR74" s="609"/>
      <c r="MQS74" s="609"/>
      <c r="MQT74" s="609"/>
      <c r="MQU74" s="609"/>
      <c r="MQV74" s="609"/>
      <c r="MQW74" s="609"/>
      <c r="MQX74" s="609"/>
      <c r="MQY74" s="609"/>
      <c r="MQZ74" s="609"/>
      <c r="MRA74" s="609"/>
      <c r="MRB74" s="609"/>
      <c r="MRC74" s="609"/>
      <c r="MRD74" s="609"/>
      <c r="MRE74" s="609"/>
      <c r="MRF74" s="609"/>
      <c r="MRG74" s="609"/>
      <c r="MRH74" s="609"/>
      <c r="MRI74" s="609"/>
      <c r="MRJ74" s="609"/>
      <c r="MRK74" s="609"/>
      <c r="MRL74" s="609"/>
      <c r="MRM74" s="609"/>
      <c r="MRN74" s="609"/>
      <c r="MRO74" s="609"/>
      <c r="MRP74" s="609"/>
      <c r="MRQ74" s="609"/>
      <c r="MRR74" s="609"/>
      <c r="MRS74" s="609"/>
      <c r="MRT74" s="609"/>
      <c r="MRU74" s="609"/>
      <c r="MRV74" s="609"/>
      <c r="MRW74" s="609"/>
      <c r="MRX74" s="609"/>
      <c r="MRY74" s="609"/>
      <c r="MRZ74" s="609"/>
      <c r="MSA74" s="609"/>
      <c r="MSB74" s="609"/>
      <c r="MSC74" s="609"/>
      <c r="MSD74" s="609"/>
      <c r="MSE74" s="609"/>
      <c r="MSF74" s="609"/>
      <c r="MSG74" s="609"/>
      <c r="MSH74" s="609"/>
      <c r="MSI74" s="609"/>
      <c r="MSJ74" s="609"/>
      <c r="MSK74" s="609"/>
      <c r="MSL74" s="609"/>
      <c r="MSM74" s="609"/>
      <c r="MSN74" s="609"/>
      <c r="MSO74" s="609"/>
      <c r="MSP74" s="609"/>
      <c r="MSQ74" s="609"/>
      <c r="MSR74" s="609"/>
      <c r="MSS74" s="609"/>
      <c r="MST74" s="609"/>
      <c r="MSU74" s="609"/>
      <c r="MSV74" s="609"/>
      <c r="MSW74" s="609"/>
      <c r="MSX74" s="609"/>
      <c r="MSY74" s="609"/>
      <c r="MSZ74" s="609"/>
      <c r="MTA74" s="609"/>
      <c r="MTB74" s="609"/>
      <c r="MTC74" s="609"/>
      <c r="MTD74" s="609"/>
      <c r="MTE74" s="609"/>
      <c r="MTF74" s="609"/>
      <c r="MTG74" s="609"/>
      <c r="MTH74" s="609"/>
      <c r="MTI74" s="609"/>
      <c r="MTJ74" s="609"/>
      <c r="MTK74" s="609"/>
      <c r="MTL74" s="609"/>
      <c r="MTM74" s="609"/>
      <c r="MTN74" s="609"/>
      <c r="MTO74" s="609"/>
      <c r="MTP74" s="609"/>
      <c r="MTQ74" s="609"/>
      <c r="MTR74" s="609"/>
      <c r="MTS74" s="609"/>
      <c r="MTT74" s="609"/>
      <c r="MTU74" s="609"/>
      <c r="MTV74" s="609"/>
      <c r="MTW74" s="609"/>
      <c r="MTX74" s="609"/>
      <c r="MTY74" s="609"/>
      <c r="MTZ74" s="609"/>
      <c r="MUA74" s="609"/>
      <c r="MUB74" s="609"/>
      <c r="MUC74" s="609"/>
      <c r="MUD74" s="609"/>
      <c r="MUE74" s="609"/>
      <c r="MUF74" s="609"/>
      <c r="MUG74" s="609"/>
      <c r="MUH74" s="609"/>
      <c r="MUI74" s="609"/>
      <c r="MUJ74" s="609"/>
      <c r="MUK74" s="609"/>
      <c r="MUL74" s="609"/>
      <c r="MUM74" s="609"/>
      <c r="MUN74" s="609"/>
      <c r="MUO74" s="609"/>
      <c r="MUP74" s="609"/>
      <c r="MUQ74" s="609"/>
      <c r="MUR74" s="609"/>
      <c r="MUS74" s="609"/>
      <c r="MUT74" s="609"/>
      <c r="MUU74" s="609"/>
      <c r="MUV74" s="609"/>
      <c r="MUW74" s="609"/>
      <c r="MUX74" s="609"/>
      <c r="MUY74" s="609"/>
      <c r="MUZ74" s="609"/>
      <c r="MVA74" s="609"/>
      <c r="MVB74" s="609"/>
      <c r="MVC74" s="609"/>
      <c r="MVD74" s="609"/>
      <c r="MVE74" s="609"/>
      <c r="MVF74" s="609"/>
      <c r="MVG74" s="609"/>
      <c r="MVH74" s="609"/>
      <c r="MVI74" s="609"/>
      <c r="MVJ74" s="609"/>
      <c r="MVK74" s="609"/>
      <c r="MVL74" s="609"/>
      <c r="MVM74" s="609"/>
      <c r="MVN74" s="609"/>
      <c r="MVO74" s="609"/>
      <c r="MVP74" s="609"/>
      <c r="MVQ74" s="609"/>
      <c r="MVR74" s="609"/>
      <c r="MVS74" s="609"/>
      <c r="MVT74" s="609"/>
      <c r="MVU74" s="609"/>
      <c r="MVV74" s="609"/>
      <c r="MVW74" s="609"/>
      <c r="MVX74" s="609"/>
      <c r="MVY74" s="609"/>
      <c r="MVZ74" s="609"/>
      <c r="MWA74" s="609"/>
      <c r="MWB74" s="609"/>
      <c r="MWC74" s="609"/>
      <c r="MWD74" s="609"/>
      <c r="MWE74" s="609"/>
      <c r="MWF74" s="609"/>
      <c r="MWG74" s="609"/>
      <c r="MWH74" s="609"/>
      <c r="MWI74" s="609"/>
      <c r="MWJ74" s="609"/>
      <c r="MWK74" s="609"/>
      <c r="MWL74" s="609"/>
      <c r="MWM74" s="609"/>
      <c r="MWN74" s="609"/>
      <c r="MWO74" s="609"/>
      <c r="MWP74" s="609"/>
      <c r="MWQ74" s="609"/>
      <c r="MWR74" s="609"/>
      <c r="MWS74" s="609"/>
      <c r="MWT74" s="609"/>
      <c r="MWU74" s="609"/>
      <c r="MWV74" s="609"/>
      <c r="MWW74" s="609"/>
      <c r="MWX74" s="609"/>
      <c r="MWY74" s="609"/>
      <c r="MWZ74" s="609"/>
      <c r="MXA74" s="609"/>
      <c r="MXB74" s="609"/>
      <c r="MXC74" s="609"/>
      <c r="MXD74" s="609"/>
      <c r="MXE74" s="609"/>
      <c r="MXF74" s="609"/>
      <c r="MXG74" s="609"/>
      <c r="MXH74" s="609"/>
      <c r="MXI74" s="609"/>
      <c r="MXJ74" s="609"/>
      <c r="MXK74" s="609"/>
      <c r="MXL74" s="609"/>
      <c r="MXM74" s="609"/>
      <c r="MXN74" s="609"/>
      <c r="MXO74" s="609"/>
      <c r="MXP74" s="609"/>
      <c r="MXQ74" s="609"/>
      <c r="MXR74" s="609"/>
      <c r="MXS74" s="609"/>
      <c r="MXT74" s="609"/>
      <c r="MXU74" s="609"/>
      <c r="MXV74" s="609"/>
      <c r="MXW74" s="609"/>
      <c r="MXX74" s="609"/>
      <c r="MXY74" s="609"/>
      <c r="MXZ74" s="609"/>
      <c r="MYA74" s="609"/>
      <c r="MYB74" s="609"/>
      <c r="MYC74" s="609"/>
      <c r="MYD74" s="609"/>
      <c r="MYE74" s="609"/>
      <c r="MYF74" s="609"/>
      <c r="MYG74" s="609"/>
      <c r="MYH74" s="609"/>
      <c r="MYI74" s="609"/>
      <c r="MYJ74" s="609"/>
      <c r="MYK74" s="609"/>
      <c r="MYL74" s="609"/>
      <c r="MYM74" s="609"/>
      <c r="MYN74" s="609"/>
      <c r="MYO74" s="609"/>
      <c r="MYP74" s="609"/>
      <c r="MYQ74" s="609"/>
      <c r="MYR74" s="609"/>
      <c r="MYS74" s="609"/>
      <c r="MYT74" s="609"/>
      <c r="MYU74" s="609"/>
      <c r="MYV74" s="609"/>
      <c r="MYW74" s="609"/>
      <c r="MYX74" s="609"/>
      <c r="MYY74" s="609"/>
      <c r="MYZ74" s="609"/>
      <c r="MZA74" s="609"/>
      <c r="MZB74" s="609"/>
      <c r="MZC74" s="609"/>
      <c r="MZD74" s="609"/>
      <c r="MZE74" s="609"/>
      <c r="MZF74" s="609"/>
      <c r="MZG74" s="609"/>
      <c r="MZH74" s="609"/>
      <c r="MZI74" s="609"/>
      <c r="MZJ74" s="609"/>
      <c r="MZK74" s="609"/>
      <c r="MZL74" s="609"/>
      <c r="MZM74" s="609"/>
      <c r="MZN74" s="609"/>
      <c r="MZO74" s="609"/>
      <c r="MZP74" s="609"/>
      <c r="MZQ74" s="609"/>
      <c r="MZR74" s="609"/>
      <c r="MZS74" s="609"/>
      <c r="MZT74" s="609"/>
      <c r="MZU74" s="609"/>
      <c r="MZV74" s="609"/>
      <c r="MZW74" s="609"/>
      <c r="MZX74" s="609"/>
      <c r="MZY74" s="609"/>
      <c r="MZZ74" s="609"/>
      <c r="NAA74" s="609"/>
      <c r="NAB74" s="609"/>
      <c r="NAC74" s="609"/>
      <c r="NAD74" s="609"/>
      <c r="NAE74" s="609"/>
      <c r="NAF74" s="609"/>
      <c r="NAG74" s="609"/>
      <c r="NAH74" s="609"/>
      <c r="NAI74" s="609"/>
      <c r="NAJ74" s="609"/>
      <c r="NAK74" s="609"/>
      <c r="NAL74" s="609"/>
      <c r="NAM74" s="609"/>
      <c r="NAN74" s="609"/>
      <c r="NAO74" s="609"/>
      <c r="NAP74" s="609"/>
      <c r="NAQ74" s="609"/>
      <c r="NAR74" s="609"/>
      <c r="NAS74" s="609"/>
      <c r="NAT74" s="609"/>
      <c r="NAU74" s="609"/>
      <c r="NAV74" s="609"/>
      <c r="NAW74" s="609"/>
      <c r="NAX74" s="609"/>
      <c r="NAY74" s="609"/>
      <c r="NAZ74" s="609"/>
      <c r="NBA74" s="609"/>
      <c r="NBB74" s="609"/>
      <c r="NBC74" s="609"/>
      <c r="NBD74" s="609"/>
      <c r="NBE74" s="609"/>
      <c r="NBF74" s="609"/>
      <c r="NBG74" s="609"/>
      <c r="NBH74" s="609"/>
      <c r="NBI74" s="609"/>
      <c r="NBJ74" s="609"/>
      <c r="NBK74" s="609"/>
      <c r="NBL74" s="609"/>
      <c r="NBM74" s="609"/>
      <c r="NBN74" s="609"/>
      <c r="NBO74" s="609"/>
      <c r="NBP74" s="609"/>
      <c r="NBQ74" s="609"/>
      <c r="NBR74" s="609"/>
      <c r="NBS74" s="609"/>
      <c r="NBT74" s="609"/>
      <c r="NBU74" s="609"/>
      <c r="NBV74" s="609"/>
      <c r="NBW74" s="609"/>
      <c r="NBX74" s="609"/>
      <c r="NBY74" s="609"/>
      <c r="NBZ74" s="609"/>
      <c r="NCA74" s="609"/>
      <c r="NCB74" s="609"/>
      <c r="NCC74" s="609"/>
      <c r="NCD74" s="609"/>
      <c r="NCE74" s="609"/>
      <c r="NCF74" s="609"/>
      <c r="NCG74" s="609"/>
      <c r="NCH74" s="609"/>
      <c r="NCI74" s="609"/>
      <c r="NCJ74" s="609"/>
      <c r="NCK74" s="609"/>
      <c r="NCL74" s="609"/>
      <c r="NCM74" s="609"/>
      <c r="NCN74" s="609"/>
      <c r="NCO74" s="609"/>
      <c r="NCP74" s="609"/>
      <c r="NCQ74" s="609"/>
      <c r="NCR74" s="609"/>
      <c r="NCS74" s="609"/>
      <c r="NCT74" s="609"/>
      <c r="NCU74" s="609"/>
      <c r="NCV74" s="609"/>
      <c r="NCW74" s="609"/>
      <c r="NCX74" s="609"/>
      <c r="NCY74" s="609"/>
      <c r="NCZ74" s="609"/>
      <c r="NDA74" s="609"/>
      <c r="NDB74" s="609"/>
      <c r="NDC74" s="609"/>
      <c r="NDD74" s="609"/>
      <c r="NDE74" s="609"/>
      <c r="NDF74" s="609"/>
      <c r="NDG74" s="609"/>
      <c r="NDH74" s="609"/>
      <c r="NDI74" s="609"/>
      <c r="NDJ74" s="609"/>
      <c r="NDK74" s="609"/>
      <c r="NDL74" s="609"/>
      <c r="NDM74" s="609"/>
      <c r="NDN74" s="609"/>
      <c r="NDO74" s="609"/>
      <c r="NDP74" s="609"/>
      <c r="NDQ74" s="609"/>
      <c r="NDR74" s="609"/>
      <c r="NDS74" s="609"/>
      <c r="NDT74" s="609"/>
      <c r="NDU74" s="609"/>
      <c r="NDV74" s="609"/>
      <c r="NDW74" s="609"/>
      <c r="NDX74" s="609"/>
      <c r="NDY74" s="609"/>
      <c r="NDZ74" s="609"/>
      <c r="NEA74" s="609"/>
      <c r="NEB74" s="609"/>
      <c r="NEC74" s="609"/>
      <c r="NED74" s="609"/>
      <c r="NEE74" s="609"/>
      <c r="NEF74" s="609"/>
      <c r="NEG74" s="609"/>
      <c r="NEH74" s="609"/>
      <c r="NEI74" s="609"/>
      <c r="NEJ74" s="609"/>
      <c r="NEK74" s="609"/>
      <c r="NEL74" s="609"/>
      <c r="NEM74" s="609"/>
      <c r="NEN74" s="609"/>
      <c r="NEO74" s="609"/>
      <c r="NEP74" s="609"/>
      <c r="NEQ74" s="609"/>
      <c r="NER74" s="609"/>
      <c r="NES74" s="609"/>
      <c r="NET74" s="609"/>
      <c r="NEU74" s="609"/>
      <c r="NEV74" s="609"/>
      <c r="NEW74" s="609"/>
      <c r="NEX74" s="609"/>
      <c r="NEY74" s="609"/>
      <c r="NEZ74" s="609"/>
      <c r="NFA74" s="609"/>
      <c r="NFB74" s="609"/>
      <c r="NFC74" s="609"/>
      <c r="NFD74" s="609"/>
      <c r="NFE74" s="609"/>
      <c r="NFF74" s="609"/>
      <c r="NFG74" s="609"/>
      <c r="NFH74" s="609"/>
      <c r="NFI74" s="609"/>
      <c r="NFJ74" s="609"/>
      <c r="NFK74" s="609"/>
      <c r="NFL74" s="609"/>
      <c r="NFM74" s="609"/>
      <c r="NFN74" s="609"/>
      <c r="NFO74" s="609"/>
      <c r="NFP74" s="609"/>
      <c r="NFQ74" s="609"/>
      <c r="NFR74" s="609"/>
      <c r="NFS74" s="609"/>
      <c r="NFT74" s="609"/>
      <c r="NFU74" s="609"/>
      <c r="NFV74" s="609"/>
      <c r="NFW74" s="609"/>
      <c r="NFX74" s="609"/>
      <c r="NFY74" s="609"/>
      <c r="NFZ74" s="609"/>
      <c r="NGA74" s="609"/>
      <c r="NGB74" s="609"/>
      <c r="NGC74" s="609"/>
      <c r="NGD74" s="609"/>
      <c r="NGE74" s="609"/>
      <c r="NGF74" s="609"/>
      <c r="NGG74" s="609"/>
      <c r="NGH74" s="609"/>
      <c r="NGI74" s="609"/>
      <c r="NGJ74" s="609"/>
      <c r="NGK74" s="609"/>
      <c r="NGL74" s="609"/>
      <c r="NGM74" s="609"/>
      <c r="NGN74" s="609"/>
      <c r="NGO74" s="609"/>
      <c r="NGP74" s="609"/>
      <c r="NGQ74" s="609"/>
      <c r="NGR74" s="609"/>
      <c r="NGS74" s="609"/>
      <c r="NGT74" s="609"/>
      <c r="NGU74" s="609"/>
      <c r="NGV74" s="609"/>
      <c r="NGW74" s="609"/>
      <c r="NGX74" s="609"/>
      <c r="NGY74" s="609"/>
      <c r="NGZ74" s="609"/>
      <c r="NHA74" s="609"/>
      <c r="NHB74" s="609"/>
      <c r="NHC74" s="609"/>
      <c r="NHD74" s="609"/>
      <c r="NHE74" s="609"/>
      <c r="NHF74" s="609"/>
      <c r="NHG74" s="609"/>
      <c r="NHH74" s="609"/>
      <c r="NHI74" s="609"/>
      <c r="NHJ74" s="609"/>
      <c r="NHK74" s="609"/>
      <c r="NHL74" s="609"/>
      <c r="NHM74" s="609"/>
      <c r="NHN74" s="609"/>
      <c r="NHO74" s="609"/>
      <c r="NHP74" s="609"/>
      <c r="NHQ74" s="609"/>
      <c r="NHR74" s="609"/>
      <c r="NHS74" s="609"/>
      <c r="NHT74" s="609"/>
      <c r="NHU74" s="609"/>
      <c r="NHV74" s="609"/>
      <c r="NHW74" s="609"/>
      <c r="NHX74" s="609"/>
      <c r="NHY74" s="609"/>
      <c r="NHZ74" s="609"/>
      <c r="NIA74" s="609"/>
      <c r="NIB74" s="609"/>
      <c r="NIC74" s="609"/>
      <c r="NID74" s="609"/>
      <c r="NIE74" s="609"/>
      <c r="NIF74" s="609"/>
      <c r="NIG74" s="609"/>
      <c r="NIH74" s="609"/>
      <c r="NII74" s="609"/>
      <c r="NIJ74" s="609"/>
      <c r="NIK74" s="609"/>
      <c r="NIL74" s="609"/>
      <c r="NIM74" s="609"/>
      <c r="NIN74" s="609"/>
      <c r="NIO74" s="609"/>
      <c r="NIP74" s="609"/>
      <c r="NIQ74" s="609"/>
      <c r="NIR74" s="609"/>
      <c r="NIS74" s="609"/>
      <c r="NIT74" s="609"/>
      <c r="NIU74" s="609"/>
      <c r="NIV74" s="609"/>
      <c r="NIW74" s="609"/>
      <c r="NIX74" s="609"/>
      <c r="NIY74" s="609"/>
      <c r="NIZ74" s="609"/>
      <c r="NJA74" s="609"/>
      <c r="NJB74" s="609"/>
      <c r="NJC74" s="609"/>
      <c r="NJD74" s="609"/>
      <c r="NJE74" s="609"/>
      <c r="NJF74" s="609"/>
      <c r="NJG74" s="609"/>
      <c r="NJH74" s="609"/>
      <c r="NJI74" s="609"/>
      <c r="NJJ74" s="609"/>
      <c r="NJK74" s="609"/>
      <c r="NJL74" s="609"/>
      <c r="NJM74" s="609"/>
      <c r="NJN74" s="609"/>
      <c r="NJO74" s="609"/>
      <c r="NJP74" s="609"/>
      <c r="NJQ74" s="609"/>
      <c r="NJR74" s="609"/>
      <c r="NJS74" s="609"/>
      <c r="NJT74" s="609"/>
      <c r="NJU74" s="609"/>
      <c r="NJV74" s="609"/>
      <c r="NJW74" s="609"/>
      <c r="NJX74" s="609"/>
      <c r="NJY74" s="609"/>
      <c r="NJZ74" s="609"/>
      <c r="NKA74" s="609"/>
      <c r="NKB74" s="609"/>
      <c r="NKC74" s="609"/>
      <c r="NKD74" s="609"/>
      <c r="NKE74" s="609"/>
      <c r="NKF74" s="609"/>
      <c r="NKG74" s="609"/>
      <c r="NKH74" s="609"/>
      <c r="NKI74" s="609"/>
      <c r="NKJ74" s="609"/>
      <c r="NKK74" s="609"/>
      <c r="NKL74" s="609"/>
      <c r="NKM74" s="609"/>
      <c r="NKN74" s="609"/>
      <c r="NKO74" s="609"/>
      <c r="NKP74" s="609"/>
      <c r="NKQ74" s="609"/>
      <c r="NKR74" s="609"/>
      <c r="NKS74" s="609"/>
      <c r="NKT74" s="609"/>
      <c r="NKU74" s="609"/>
      <c r="NKV74" s="609"/>
      <c r="NKW74" s="609"/>
      <c r="NKX74" s="609"/>
      <c r="NKY74" s="609"/>
      <c r="NKZ74" s="609"/>
      <c r="NLA74" s="609"/>
      <c r="NLB74" s="609"/>
      <c r="NLC74" s="609"/>
      <c r="NLD74" s="609"/>
      <c r="NLE74" s="609"/>
      <c r="NLF74" s="609"/>
      <c r="NLG74" s="609"/>
      <c r="NLH74" s="609"/>
      <c r="NLI74" s="609"/>
      <c r="NLJ74" s="609"/>
      <c r="NLK74" s="609"/>
      <c r="NLL74" s="609"/>
      <c r="NLM74" s="609"/>
      <c r="NLN74" s="609"/>
      <c r="NLO74" s="609"/>
      <c r="NLP74" s="609"/>
      <c r="NLQ74" s="609"/>
      <c r="NLR74" s="609"/>
      <c r="NLS74" s="609"/>
      <c r="NLT74" s="609"/>
      <c r="NLU74" s="609"/>
      <c r="NLV74" s="609"/>
      <c r="NLW74" s="609"/>
      <c r="NLX74" s="609"/>
      <c r="NLY74" s="609"/>
      <c r="NLZ74" s="609"/>
      <c r="NMA74" s="609"/>
      <c r="NMB74" s="609"/>
      <c r="NMC74" s="609"/>
      <c r="NMD74" s="609"/>
      <c r="NME74" s="609"/>
      <c r="NMF74" s="609"/>
      <c r="NMG74" s="609"/>
      <c r="NMH74" s="609"/>
      <c r="NMI74" s="609"/>
      <c r="NMJ74" s="609"/>
      <c r="NMK74" s="609"/>
      <c r="NML74" s="609"/>
      <c r="NMM74" s="609"/>
      <c r="NMN74" s="609"/>
      <c r="NMO74" s="609"/>
      <c r="NMP74" s="609"/>
      <c r="NMQ74" s="609"/>
      <c r="NMR74" s="609"/>
      <c r="NMS74" s="609"/>
      <c r="NMT74" s="609"/>
      <c r="NMU74" s="609"/>
      <c r="NMV74" s="609"/>
      <c r="NMW74" s="609"/>
      <c r="NMX74" s="609"/>
      <c r="NMY74" s="609"/>
      <c r="NMZ74" s="609"/>
      <c r="NNA74" s="609"/>
      <c r="NNB74" s="609"/>
      <c r="NNC74" s="609"/>
      <c r="NND74" s="609"/>
      <c r="NNE74" s="609"/>
      <c r="NNF74" s="609"/>
      <c r="NNG74" s="609"/>
      <c r="NNH74" s="609"/>
      <c r="NNI74" s="609"/>
      <c r="NNJ74" s="609"/>
      <c r="NNK74" s="609"/>
      <c r="NNL74" s="609"/>
      <c r="NNM74" s="609"/>
      <c r="NNN74" s="609"/>
      <c r="NNO74" s="609"/>
      <c r="NNP74" s="609"/>
      <c r="NNQ74" s="609"/>
      <c r="NNR74" s="609"/>
      <c r="NNS74" s="609"/>
      <c r="NNT74" s="609"/>
      <c r="NNU74" s="609"/>
      <c r="NNV74" s="609"/>
      <c r="NNW74" s="609"/>
      <c r="NNX74" s="609"/>
      <c r="NNY74" s="609"/>
      <c r="NNZ74" s="609"/>
      <c r="NOA74" s="609"/>
      <c r="NOB74" s="609"/>
      <c r="NOC74" s="609"/>
      <c r="NOD74" s="609"/>
      <c r="NOE74" s="609"/>
      <c r="NOF74" s="609"/>
      <c r="NOG74" s="609"/>
      <c r="NOH74" s="609"/>
      <c r="NOI74" s="609"/>
      <c r="NOJ74" s="609"/>
      <c r="NOK74" s="609"/>
      <c r="NOL74" s="609"/>
      <c r="NOM74" s="609"/>
      <c r="NON74" s="609"/>
      <c r="NOO74" s="609"/>
      <c r="NOP74" s="609"/>
      <c r="NOQ74" s="609"/>
      <c r="NOR74" s="609"/>
      <c r="NOS74" s="609"/>
      <c r="NOT74" s="609"/>
      <c r="NOU74" s="609"/>
      <c r="NOV74" s="609"/>
      <c r="NOW74" s="609"/>
      <c r="NOX74" s="609"/>
      <c r="NOY74" s="609"/>
      <c r="NOZ74" s="609"/>
      <c r="NPA74" s="609"/>
      <c r="NPB74" s="609"/>
      <c r="NPC74" s="609"/>
      <c r="NPD74" s="609"/>
      <c r="NPE74" s="609"/>
      <c r="NPF74" s="609"/>
      <c r="NPG74" s="609"/>
      <c r="NPH74" s="609"/>
      <c r="NPI74" s="609"/>
      <c r="NPJ74" s="609"/>
      <c r="NPK74" s="609"/>
      <c r="NPL74" s="609"/>
      <c r="NPM74" s="609"/>
      <c r="NPN74" s="609"/>
      <c r="NPO74" s="609"/>
      <c r="NPP74" s="609"/>
      <c r="NPQ74" s="609"/>
      <c r="NPR74" s="609"/>
      <c r="NPS74" s="609"/>
      <c r="NPT74" s="609"/>
      <c r="NPU74" s="609"/>
      <c r="NPV74" s="609"/>
      <c r="NPW74" s="609"/>
      <c r="NPX74" s="609"/>
      <c r="NPY74" s="609"/>
      <c r="NPZ74" s="609"/>
      <c r="NQA74" s="609"/>
      <c r="NQB74" s="609"/>
      <c r="NQC74" s="609"/>
      <c r="NQD74" s="609"/>
      <c r="NQE74" s="609"/>
      <c r="NQF74" s="609"/>
      <c r="NQG74" s="609"/>
      <c r="NQH74" s="609"/>
      <c r="NQI74" s="609"/>
      <c r="NQJ74" s="609"/>
      <c r="NQK74" s="609"/>
      <c r="NQL74" s="609"/>
      <c r="NQM74" s="609"/>
      <c r="NQN74" s="609"/>
      <c r="NQO74" s="609"/>
      <c r="NQP74" s="609"/>
      <c r="NQQ74" s="609"/>
      <c r="NQR74" s="609"/>
      <c r="NQS74" s="609"/>
      <c r="NQT74" s="609"/>
      <c r="NQU74" s="609"/>
      <c r="NQV74" s="609"/>
      <c r="NQW74" s="609"/>
      <c r="NQX74" s="609"/>
      <c r="NQY74" s="609"/>
      <c r="NQZ74" s="609"/>
      <c r="NRA74" s="609"/>
      <c r="NRB74" s="609"/>
      <c r="NRC74" s="609"/>
      <c r="NRD74" s="609"/>
      <c r="NRE74" s="609"/>
      <c r="NRF74" s="609"/>
      <c r="NRG74" s="609"/>
      <c r="NRH74" s="609"/>
      <c r="NRI74" s="609"/>
      <c r="NRJ74" s="609"/>
      <c r="NRK74" s="609"/>
      <c r="NRL74" s="609"/>
      <c r="NRM74" s="609"/>
      <c r="NRN74" s="609"/>
      <c r="NRO74" s="609"/>
      <c r="NRP74" s="609"/>
      <c r="NRQ74" s="609"/>
      <c r="NRR74" s="609"/>
      <c r="NRS74" s="609"/>
      <c r="NRT74" s="609"/>
      <c r="NRU74" s="609"/>
      <c r="NRV74" s="609"/>
      <c r="NRW74" s="609"/>
      <c r="NRX74" s="609"/>
      <c r="NRY74" s="609"/>
      <c r="NRZ74" s="609"/>
      <c r="NSA74" s="609"/>
      <c r="NSB74" s="609"/>
      <c r="NSC74" s="609"/>
      <c r="NSD74" s="609"/>
      <c r="NSE74" s="609"/>
      <c r="NSF74" s="609"/>
      <c r="NSG74" s="609"/>
      <c r="NSH74" s="609"/>
      <c r="NSI74" s="609"/>
      <c r="NSJ74" s="609"/>
      <c r="NSK74" s="609"/>
      <c r="NSL74" s="609"/>
      <c r="NSM74" s="609"/>
      <c r="NSN74" s="609"/>
      <c r="NSO74" s="609"/>
      <c r="NSP74" s="609"/>
      <c r="NSQ74" s="609"/>
      <c r="NSR74" s="609"/>
      <c r="NSS74" s="609"/>
      <c r="NST74" s="609"/>
      <c r="NSU74" s="609"/>
      <c r="NSV74" s="609"/>
      <c r="NSW74" s="609"/>
      <c r="NSX74" s="609"/>
      <c r="NSY74" s="609"/>
      <c r="NSZ74" s="609"/>
      <c r="NTA74" s="609"/>
      <c r="NTB74" s="609"/>
      <c r="NTC74" s="609"/>
      <c r="NTD74" s="609"/>
      <c r="NTE74" s="609"/>
      <c r="NTF74" s="609"/>
      <c r="NTG74" s="609"/>
      <c r="NTH74" s="609"/>
      <c r="NTI74" s="609"/>
      <c r="NTJ74" s="609"/>
      <c r="NTK74" s="609"/>
      <c r="NTL74" s="609"/>
      <c r="NTM74" s="609"/>
      <c r="NTN74" s="609"/>
      <c r="NTO74" s="609"/>
      <c r="NTP74" s="609"/>
      <c r="NTQ74" s="609"/>
      <c r="NTR74" s="609"/>
      <c r="NTS74" s="609"/>
      <c r="NTT74" s="609"/>
      <c r="NTU74" s="609"/>
      <c r="NTV74" s="609"/>
      <c r="NTW74" s="609"/>
      <c r="NTX74" s="609"/>
      <c r="NTY74" s="609"/>
      <c r="NTZ74" s="609"/>
      <c r="NUA74" s="609"/>
      <c r="NUB74" s="609"/>
      <c r="NUC74" s="609"/>
      <c r="NUD74" s="609"/>
      <c r="NUE74" s="609"/>
      <c r="NUF74" s="609"/>
      <c r="NUG74" s="609"/>
      <c r="NUH74" s="609"/>
      <c r="NUI74" s="609"/>
      <c r="NUJ74" s="609"/>
      <c r="NUK74" s="609"/>
      <c r="NUL74" s="609"/>
      <c r="NUM74" s="609"/>
      <c r="NUN74" s="609"/>
      <c r="NUO74" s="609"/>
      <c r="NUP74" s="609"/>
      <c r="NUQ74" s="609"/>
      <c r="NUR74" s="609"/>
      <c r="NUS74" s="609"/>
      <c r="NUT74" s="609"/>
      <c r="NUU74" s="609"/>
      <c r="NUV74" s="609"/>
      <c r="NUW74" s="609"/>
      <c r="NUX74" s="609"/>
      <c r="NUY74" s="609"/>
      <c r="NUZ74" s="609"/>
      <c r="NVA74" s="609"/>
      <c r="NVB74" s="609"/>
      <c r="NVC74" s="609"/>
      <c r="NVD74" s="609"/>
      <c r="NVE74" s="609"/>
      <c r="NVF74" s="609"/>
      <c r="NVG74" s="609"/>
      <c r="NVH74" s="609"/>
      <c r="NVI74" s="609"/>
      <c r="NVJ74" s="609"/>
      <c r="NVK74" s="609"/>
      <c r="NVL74" s="609"/>
      <c r="NVM74" s="609"/>
      <c r="NVN74" s="609"/>
      <c r="NVO74" s="609"/>
      <c r="NVP74" s="609"/>
      <c r="NVQ74" s="609"/>
      <c r="NVR74" s="609"/>
      <c r="NVS74" s="609"/>
      <c r="NVT74" s="609"/>
      <c r="NVU74" s="609"/>
      <c r="NVV74" s="609"/>
      <c r="NVW74" s="609"/>
      <c r="NVX74" s="609"/>
      <c r="NVY74" s="609"/>
      <c r="NVZ74" s="609"/>
      <c r="NWA74" s="609"/>
      <c r="NWB74" s="609"/>
      <c r="NWC74" s="609"/>
      <c r="NWD74" s="609"/>
      <c r="NWE74" s="609"/>
      <c r="NWF74" s="609"/>
      <c r="NWG74" s="609"/>
      <c r="NWH74" s="609"/>
      <c r="NWI74" s="609"/>
      <c r="NWJ74" s="609"/>
      <c r="NWK74" s="609"/>
      <c r="NWL74" s="609"/>
      <c r="NWM74" s="609"/>
      <c r="NWN74" s="609"/>
      <c r="NWO74" s="609"/>
      <c r="NWP74" s="609"/>
      <c r="NWQ74" s="609"/>
      <c r="NWR74" s="609"/>
      <c r="NWS74" s="609"/>
      <c r="NWT74" s="609"/>
      <c r="NWU74" s="609"/>
      <c r="NWV74" s="609"/>
      <c r="NWW74" s="609"/>
      <c r="NWX74" s="609"/>
      <c r="NWY74" s="609"/>
      <c r="NWZ74" s="609"/>
      <c r="NXA74" s="609"/>
      <c r="NXB74" s="609"/>
      <c r="NXC74" s="609"/>
      <c r="NXD74" s="609"/>
      <c r="NXE74" s="609"/>
      <c r="NXF74" s="609"/>
      <c r="NXG74" s="609"/>
      <c r="NXH74" s="609"/>
      <c r="NXI74" s="609"/>
      <c r="NXJ74" s="609"/>
      <c r="NXK74" s="609"/>
      <c r="NXL74" s="609"/>
      <c r="NXM74" s="609"/>
      <c r="NXN74" s="609"/>
      <c r="NXO74" s="609"/>
      <c r="NXP74" s="609"/>
      <c r="NXQ74" s="609"/>
      <c r="NXR74" s="609"/>
      <c r="NXS74" s="609"/>
      <c r="NXT74" s="609"/>
      <c r="NXU74" s="609"/>
      <c r="NXV74" s="609"/>
      <c r="NXW74" s="609"/>
      <c r="NXX74" s="609"/>
      <c r="NXY74" s="609"/>
      <c r="NXZ74" s="609"/>
      <c r="NYA74" s="609"/>
      <c r="NYB74" s="609"/>
      <c r="NYC74" s="609"/>
      <c r="NYD74" s="609"/>
      <c r="NYE74" s="609"/>
      <c r="NYF74" s="609"/>
      <c r="NYG74" s="609"/>
      <c r="NYH74" s="609"/>
      <c r="NYI74" s="609"/>
      <c r="NYJ74" s="609"/>
      <c r="NYK74" s="609"/>
      <c r="NYL74" s="609"/>
      <c r="NYM74" s="609"/>
      <c r="NYN74" s="609"/>
      <c r="NYO74" s="609"/>
      <c r="NYP74" s="609"/>
      <c r="NYQ74" s="609"/>
      <c r="NYR74" s="609"/>
      <c r="NYS74" s="609"/>
      <c r="NYT74" s="609"/>
      <c r="NYU74" s="609"/>
      <c r="NYV74" s="609"/>
      <c r="NYW74" s="609"/>
      <c r="NYX74" s="609"/>
      <c r="NYY74" s="609"/>
      <c r="NYZ74" s="609"/>
      <c r="NZA74" s="609"/>
      <c r="NZB74" s="609"/>
      <c r="NZC74" s="609"/>
      <c r="NZD74" s="609"/>
      <c r="NZE74" s="609"/>
      <c r="NZF74" s="609"/>
      <c r="NZG74" s="609"/>
      <c r="NZH74" s="609"/>
      <c r="NZI74" s="609"/>
      <c r="NZJ74" s="609"/>
      <c r="NZK74" s="609"/>
      <c r="NZL74" s="609"/>
      <c r="NZM74" s="609"/>
      <c r="NZN74" s="609"/>
      <c r="NZO74" s="609"/>
      <c r="NZP74" s="609"/>
      <c r="NZQ74" s="609"/>
      <c r="NZR74" s="609"/>
      <c r="NZS74" s="609"/>
      <c r="NZT74" s="609"/>
      <c r="NZU74" s="609"/>
      <c r="NZV74" s="609"/>
      <c r="NZW74" s="609"/>
      <c r="NZX74" s="609"/>
      <c r="NZY74" s="609"/>
      <c r="NZZ74" s="609"/>
      <c r="OAA74" s="609"/>
      <c r="OAB74" s="609"/>
      <c r="OAC74" s="609"/>
      <c r="OAD74" s="609"/>
      <c r="OAE74" s="609"/>
      <c r="OAF74" s="609"/>
      <c r="OAG74" s="609"/>
      <c r="OAH74" s="609"/>
      <c r="OAI74" s="609"/>
      <c r="OAJ74" s="609"/>
      <c r="OAK74" s="609"/>
      <c r="OAL74" s="609"/>
      <c r="OAM74" s="609"/>
      <c r="OAN74" s="609"/>
      <c r="OAO74" s="609"/>
      <c r="OAP74" s="609"/>
      <c r="OAQ74" s="609"/>
      <c r="OAR74" s="609"/>
      <c r="OAS74" s="609"/>
      <c r="OAT74" s="609"/>
      <c r="OAU74" s="609"/>
      <c r="OAV74" s="609"/>
      <c r="OAW74" s="609"/>
      <c r="OAX74" s="609"/>
      <c r="OAY74" s="609"/>
      <c r="OAZ74" s="609"/>
      <c r="OBA74" s="609"/>
      <c r="OBB74" s="609"/>
      <c r="OBC74" s="609"/>
      <c r="OBD74" s="609"/>
      <c r="OBE74" s="609"/>
      <c r="OBF74" s="609"/>
      <c r="OBG74" s="609"/>
      <c r="OBH74" s="609"/>
      <c r="OBI74" s="609"/>
      <c r="OBJ74" s="609"/>
      <c r="OBK74" s="609"/>
      <c r="OBL74" s="609"/>
      <c r="OBM74" s="609"/>
      <c r="OBN74" s="609"/>
      <c r="OBO74" s="609"/>
      <c r="OBP74" s="609"/>
      <c r="OBQ74" s="609"/>
      <c r="OBR74" s="609"/>
      <c r="OBS74" s="609"/>
      <c r="OBT74" s="609"/>
      <c r="OBU74" s="609"/>
      <c r="OBV74" s="609"/>
      <c r="OBW74" s="609"/>
      <c r="OBX74" s="609"/>
      <c r="OBY74" s="609"/>
      <c r="OBZ74" s="609"/>
      <c r="OCA74" s="609"/>
      <c r="OCB74" s="609"/>
      <c r="OCC74" s="609"/>
      <c r="OCD74" s="609"/>
      <c r="OCE74" s="609"/>
      <c r="OCF74" s="609"/>
      <c r="OCG74" s="609"/>
      <c r="OCH74" s="609"/>
      <c r="OCI74" s="609"/>
      <c r="OCJ74" s="609"/>
      <c r="OCK74" s="609"/>
      <c r="OCL74" s="609"/>
      <c r="OCM74" s="609"/>
      <c r="OCN74" s="609"/>
      <c r="OCO74" s="609"/>
      <c r="OCP74" s="609"/>
      <c r="OCQ74" s="609"/>
      <c r="OCR74" s="609"/>
      <c r="OCS74" s="609"/>
      <c r="OCT74" s="609"/>
      <c r="OCU74" s="609"/>
      <c r="OCV74" s="609"/>
      <c r="OCW74" s="609"/>
      <c r="OCX74" s="609"/>
      <c r="OCY74" s="609"/>
      <c r="OCZ74" s="609"/>
      <c r="ODA74" s="609"/>
      <c r="ODB74" s="609"/>
      <c r="ODC74" s="609"/>
      <c r="ODD74" s="609"/>
      <c r="ODE74" s="609"/>
      <c r="ODF74" s="609"/>
      <c r="ODG74" s="609"/>
      <c r="ODH74" s="609"/>
      <c r="ODI74" s="609"/>
      <c r="ODJ74" s="609"/>
      <c r="ODK74" s="609"/>
      <c r="ODL74" s="609"/>
      <c r="ODM74" s="609"/>
      <c r="ODN74" s="609"/>
      <c r="ODO74" s="609"/>
      <c r="ODP74" s="609"/>
      <c r="ODQ74" s="609"/>
      <c r="ODR74" s="609"/>
      <c r="ODS74" s="609"/>
      <c r="ODT74" s="609"/>
      <c r="ODU74" s="609"/>
      <c r="ODV74" s="609"/>
      <c r="ODW74" s="609"/>
      <c r="ODX74" s="609"/>
      <c r="ODY74" s="609"/>
      <c r="ODZ74" s="609"/>
      <c r="OEA74" s="609"/>
      <c r="OEB74" s="609"/>
      <c r="OEC74" s="609"/>
      <c r="OED74" s="609"/>
      <c r="OEE74" s="609"/>
      <c r="OEF74" s="609"/>
      <c r="OEG74" s="609"/>
      <c r="OEH74" s="609"/>
      <c r="OEI74" s="609"/>
      <c r="OEJ74" s="609"/>
      <c r="OEK74" s="609"/>
      <c r="OEL74" s="609"/>
      <c r="OEM74" s="609"/>
      <c r="OEN74" s="609"/>
      <c r="OEO74" s="609"/>
      <c r="OEP74" s="609"/>
      <c r="OEQ74" s="609"/>
      <c r="OER74" s="609"/>
      <c r="OES74" s="609"/>
      <c r="OET74" s="609"/>
      <c r="OEU74" s="609"/>
      <c r="OEV74" s="609"/>
      <c r="OEW74" s="609"/>
      <c r="OEX74" s="609"/>
      <c r="OEY74" s="609"/>
      <c r="OEZ74" s="609"/>
      <c r="OFA74" s="609"/>
      <c r="OFB74" s="609"/>
      <c r="OFC74" s="609"/>
      <c r="OFD74" s="609"/>
      <c r="OFE74" s="609"/>
      <c r="OFF74" s="609"/>
      <c r="OFG74" s="609"/>
      <c r="OFH74" s="609"/>
      <c r="OFI74" s="609"/>
      <c r="OFJ74" s="609"/>
      <c r="OFK74" s="609"/>
      <c r="OFL74" s="609"/>
      <c r="OFM74" s="609"/>
      <c r="OFN74" s="609"/>
      <c r="OFO74" s="609"/>
      <c r="OFP74" s="609"/>
      <c r="OFQ74" s="609"/>
      <c r="OFR74" s="609"/>
      <c r="OFS74" s="609"/>
      <c r="OFT74" s="609"/>
      <c r="OFU74" s="609"/>
      <c r="OFV74" s="609"/>
      <c r="OFW74" s="609"/>
      <c r="OFX74" s="609"/>
      <c r="OFY74" s="609"/>
      <c r="OFZ74" s="609"/>
      <c r="OGA74" s="609"/>
      <c r="OGB74" s="609"/>
      <c r="OGC74" s="609"/>
      <c r="OGD74" s="609"/>
      <c r="OGE74" s="609"/>
      <c r="OGF74" s="609"/>
      <c r="OGG74" s="609"/>
      <c r="OGH74" s="609"/>
      <c r="OGI74" s="609"/>
      <c r="OGJ74" s="609"/>
      <c r="OGK74" s="609"/>
      <c r="OGL74" s="609"/>
      <c r="OGM74" s="609"/>
      <c r="OGN74" s="609"/>
      <c r="OGO74" s="609"/>
      <c r="OGP74" s="609"/>
      <c r="OGQ74" s="609"/>
      <c r="OGR74" s="609"/>
      <c r="OGS74" s="609"/>
      <c r="OGT74" s="609"/>
      <c r="OGU74" s="609"/>
      <c r="OGV74" s="609"/>
      <c r="OGW74" s="609"/>
      <c r="OGX74" s="609"/>
      <c r="OGY74" s="609"/>
      <c r="OGZ74" s="609"/>
      <c r="OHA74" s="609"/>
      <c r="OHB74" s="609"/>
      <c r="OHC74" s="609"/>
      <c r="OHD74" s="609"/>
      <c r="OHE74" s="609"/>
      <c r="OHF74" s="609"/>
      <c r="OHG74" s="609"/>
      <c r="OHH74" s="609"/>
      <c r="OHI74" s="609"/>
      <c r="OHJ74" s="609"/>
      <c r="OHK74" s="609"/>
      <c r="OHL74" s="609"/>
      <c r="OHM74" s="609"/>
      <c r="OHN74" s="609"/>
      <c r="OHO74" s="609"/>
      <c r="OHP74" s="609"/>
      <c r="OHQ74" s="609"/>
      <c r="OHR74" s="609"/>
      <c r="OHS74" s="609"/>
      <c r="OHT74" s="609"/>
      <c r="OHU74" s="609"/>
      <c r="OHV74" s="609"/>
      <c r="OHW74" s="609"/>
      <c r="OHX74" s="609"/>
      <c r="OHY74" s="609"/>
      <c r="OHZ74" s="609"/>
      <c r="OIA74" s="609"/>
      <c r="OIB74" s="609"/>
      <c r="OIC74" s="609"/>
      <c r="OID74" s="609"/>
      <c r="OIE74" s="609"/>
      <c r="OIF74" s="609"/>
      <c r="OIG74" s="609"/>
      <c r="OIH74" s="609"/>
      <c r="OII74" s="609"/>
      <c r="OIJ74" s="609"/>
      <c r="OIK74" s="609"/>
      <c r="OIL74" s="609"/>
      <c r="OIM74" s="609"/>
      <c r="OIN74" s="609"/>
      <c r="OIO74" s="609"/>
      <c r="OIP74" s="609"/>
      <c r="OIQ74" s="609"/>
      <c r="OIR74" s="609"/>
      <c r="OIS74" s="609"/>
      <c r="OIT74" s="609"/>
      <c r="OIU74" s="609"/>
      <c r="OIV74" s="609"/>
      <c r="OIW74" s="609"/>
      <c r="OIX74" s="609"/>
      <c r="OIY74" s="609"/>
      <c r="OIZ74" s="609"/>
      <c r="OJA74" s="609"/>
      <c r="OJB74" s="609"/>
      <c r="OJC74" s="609"/>
      <c r="OJD74" s="609"/>
      <c r="OJE74" s="609"/>
      <c r="OJF74" s="609"/>
      <c r="OJG74" s="609"/>
      <c r="OJH74" s="609"/>
      <c r="OJI74" s="609"/>
      <c r="OJJ74" s="609"/>
      <c r="OJK74" s="609"/>
      <c r="OJL74" s="609"/>
      <c r="OJM74" s="609"/>
      <c r="OJN74" s="609"/>
      <c r="OJO74" s="609"/>
      <c r="OJP74" s="609"/>
      <c r="OJQ74" s="609"/>
      <c r="OJR74" s="609"/>
      <c r="OJS74" s="609"/>
      <c r="OJT74" s="609"/>
      <c r="OJU74" s="609"/>
      <c r="OJV74" s="609"/>
      <c r="OJW74" s="609"/>
      <c r="OJX74" s="609"/>
      <c r="OJY74" s="609"/>
      <c r="OJZ74" s="609"/>
      <c r="OKA74" s="609"/>
      <c r="OKB74" s="609"/>
      <c r="OKC74" s="609"/>
      <c r="OKD74" s="609"/>
      <c r="OKE74" s="609"/>
      <c r="OKF74" s="609"/>
      <c r="OKG74" s="609"/>
      <c r="OKH74" s="609"/>
      <c r="OKI74" s="609"/>
      <c r="OKJ74" s="609"/>
      <c r="OKK74" s="609"/>
      <c r="OKL74" s="609"/>
      <c r="OKM74" s="609"/>
      <c r="OKN74" s="609"/>
      <c r="OKO74" s="609"/>
      <c r="OKP74" s="609"/>
      <c r="OKQ74" s="609"/>
      <c r="OKR74" s="609"/>
      <c r="OKS74" s="609"/>
      <c r="OKT74" s="609"/>
      <c r="OKU74" s="609"/>
      <c r="OKV74" s="609"/>
      <c r="OKW74" s="609"/>
      <c r="OKX74" s="609"/>
      <c r="OKY74" s="609"/>
      <c r="OKZ74" s="609"/>
      <c r="OLA74" s="609"/>
      <c r="OLB74" s="609"/>
      <c r="OLC74" s="609"/>
      <c r="OLD74" s="609"/>
      <c r="OLE74" s="609"/>
      <c r="OLF74" s="609"/>
      <c r="OLG74" s="609"/>
      <c r="OLH74" s="609"/>
      <c r="OLI74" s="609"/>
      <c r="OLJ74" s="609"/>
      <c r="OLK74" s="609"/>
      <c r="OLL74" s="609"/>
      <c r="OLM74" s="609"/>
      <c r="OLN74" s="609"/>
      <c r="OLO74" s="609"/>
      <c r="OLP74" s="609"/>
      <c r="OLQ74" s="609"/>
      <c r="OLR74" s="609"/>
      <c r="OLS74" s="609"/>
      <c r="OLT74" s="609"/>
      <c r="OLU74" s="609"/>
      <c r="OLV74" s="609"/>
      <c r="OLW74" s="609"/>
      <c r="OLX74" s="609"/>
      <c r="OLY74" s="609"/>
      <c r="OLZ74" s="609"/>
      <c r="OMA74" s="609"/>
      <c r="OMB74" s="609"/>
      <c r="OMC74" s="609"/>
      <c r="OMD74" s="609"/>
      <c r="OME74" s="609"/>
      <c r="OMF74" s="609"/>
      <c r="OMG74" s="609"/>
      <c r="OMH74" s="609"/>
      <c r="OMI74" s="609"/>
      <c r="OMJ74" s="609"/>
      <c r="OMK74" s="609"/>
      <c r="OML74" s="609"/>
      <c r="OMM74" s="609"/>
      <c r="OMN74" s="609"/>
      <c r="OMO74" s="609"/>
      <c r="OMP74" s="609"/>
      <c r="OMQ74" s="609"/>
      <c r="OMR74" s="609"/>
      <c r="OMS74" s="609"/>
      <c r="OMT74" s="609"/>
      <c r="OMU74" s="609"/>
      <c r="OMV74" s="609"/>
      <c r="OMW74" s="609"/>
      <c r="OMX74" s="609"/>
      <c r="OMY74" s="609"/>
      <c r="OMZ74" s="609"/>
      <c r="ONA74" s="609"/>
      <c r="ONB74" s="609"/>
      <c r="ONC74" s="609"/>
      <c r="OND74" s="609"/>
      <c r="ONE74" s="609"/>
      <c r="ONF74" s="609"/>
      <c r="ONG74" s="609"/>
      <c r="ONH74" s="609"/>
      <c r="ONI74" s="609"/>
      <c r="ONJ74" s="609"/>
      <c r="ONK74" s="609"/>
      <c r="ONL74" s="609"/>
      <c r="ONM74" s="609"/>
      <c r="ONN74" s="609"/>
      <c r="ONO74" s="609"/>
      <c r="ONP74" s="609"/>
      <c r="ONQ74" s="609"/>
      <c r="ONR74" s="609"/>
      <c r="ONS74" s="609"/>
      <c r="ONT74" s="609"/>
      <c r="ONU74" s="609"/>
      <c r="ONV74" s="609"/>
      <c r="ONW74" s="609"/>
      <c r="ONX74" s="609"/>
      <c r="ONY74" s="609"/>
      <c r="ONZ74" s="609"/>
      <c r="OOA74" s="609"/>
      <c r="OOB74" s="609"/>
      <c r="OOC74" s="609"/>
      <c r="OOD74" s="609"/>
      <c r="OOE74" s="609"/>
      <c r="OOF74" s="609"/>
      <c r="OOG74" s="609"/>
      <c r="OOH74" s="609"/>
      <c r="OOI74" s="609"/>
      <c r="OOJ74" s="609"/>
      <c r="OOK74" s="609"/>
      <c r="OOL74" s="609"/>
      <c r="OOM74" s="609"/>
      <c r="OON74" s="609"/>
      <c r="OOO74" s="609"/>
      <c r="OOP74" s="609"/>
      <c r="OOQ74" s="609"/>
      <c r="OOR74" s="609"/>
      <c r="OOS74" s="609"/>
      <c r="OOT74" s="609"/>
      <c r="OOU74" s="609"/>
      <c r="OOV74" s="609"/>
      <c r="OOW74" s="609"/>
      <c r="OOX74" s="609"/>
      <c r="OOY74" s="609"/>
      <c r="OOZ74" s="609"/>
      <c r="OPA74" s="609"/>
      <c r="OPB74" s="609"/>
      <c r="OPC74" s="609"/>
      <c r="OPD74" s="609"/>
      <c r="OPE74" s="609"/>
      <c r="OPF74" s="609"/>
      <c r="OPG74" s="609"/>
      <c r="OPH74" s="609"/>
      <c r="OPI74" s="609"/>
      <c r="OPJ74" s="609"/>
      <c r="OPK74" s="609"/>
      <c r="OPL74" s="609"/>
      <c r="OPM74" s="609"/>
      <c r="OPN74" s="609"/>
      <c r="OPO74" s="609"/>
      <c r="OPP74" s="609"/>
      <c r="OPQ74" s="609"/>
      <c r="OPR74" s="609"/>
      <c r="OPS74" s="609"/>
      <c r="OPT74" s="609"/>
      <c r="OPU74" s="609"/>
      <c r="OPV74" s="609"/>
      <c r="OPW74" s="609"/>
      <c r="OPX74" s="609"/>
      <c r="OPY74" s="609"/>
      <c r="OPZ74" s="609"/>
      <c r="OQA74" s="609"/>
      <c r="OQB74" s="609"/>
      <c r="OQC74" s="609"/>
      <c r="OQD74" s="609"/>
      <c r="OQE74" s="609"/>
      <c r="OQF74" s="609"/>
      <c r="OQG74" s="609"/>
      <c r="OQH74" s="609"/>
      <c r="OQI74" s="609"/>
      <c r="OQJ74" s="609"/>
      <c r="OQK74" s="609"/>
      <c r="OQL74" s="609"/>
      <c r="OQM74" s="609"/>
      <c r="OQN74" s="609"/>
      <c r="OQO74" s="609"/>
      <c r="OQP74" s="609"/>
      <c r="OQQ74" s="609"/>
      <c r="OQR74" s="609"/>
      <c r="OQS74" s="609"/>
      <c r="OQT74" s="609"/>
      <c r="OQU74" s="609"/>
      <c r="OQV74" s="609"/>
      <c r="OQW74" s="609"/>
      <c r="OQX74" s="609"/>
      <c r="OQY74" s="609"/>
      <c r="OQZ74" s="609"/>
      <c r="ORA74" s="609"/>
      <c r="ORB74" s="609"/>
      <c r="ORC74" s="609"/>
      <c r="ORD74" s="609"/>
      <c r="ORE74" s="609"/>
      <c r="ORF74" s="609"/>
      <c r="ORG74" s="609"/>
      <c r="ORH74" s="609"/>
      <c r="ORI74" s="609"/>
      <c r="ORJ74" s="609"/>
      <c r="ORK74" s="609"/>
      <c r="ORL74" s="609"/>
      <c r="ORM74" s="609"/>
      <c r="ORN74" s="609"/>
      <c r="ORO74" s="609"/>
      <c r="ORP74" s="609"/>
      <c r="ORQ74" s="609"/>
      <c r="ORR74" s="609"/>
      <c r="ORS74" s="609"/>
      <c r="ORT74" s="609"/>
      <c r="ORU74" s="609"/>
      <c r="ORV74" s="609"/>
      <c r="ORW74" s="609"/>
      <c r="ORX74" s="609"/>
      <c r="ORY74" s="609"/>
      <c r="ORZ74" s="609"/>
      <c r="OSA74" s="609"/>
      <c r="OSB74" s="609"/>
      <c r="OSC74" s="609"/>
      <c r="OSD74" s="609"/>
      <c r="OSE74" s="609"/>
      <c r="OSF74" s="609"/>
      <c r="OSG74" s="609"/>
      <c r="OSH74" s="609"/>
      <c r="OSI74" s="609"/>
      <c r="OSJ74" s="609"/>
      <c r="OSK74" s="609"/>
      <c r="OSL74" s="609"/>
      <c r="OSM74" s="609"/>
      <c r="OSN74" s="609"/>
      <c r="OSO74" s="609"/>
      <c r="OSP74" s="609"/>
      <c r="OSQ74" s="609"/>
      <c r="OSR74" s="609"/>
      <c r="OSS74" s="609"/>
      <c r="OST74" s="609"/>
      <c r="OSU74" s="609"/>
      <c r="OSV74" s="609"/>
      <c r="OSW74" s="609"/>
      <c r="OSX74" s="609"/>
      <c r="OSY74" s="609"/>
      <c r="OSZ74" s="609"/>
      <c r="OTA74" s="609"/>
      <c r="OTB74" s="609"/>
      <c r="OTC74" s="609"/>
      <c r="OTD74" s="609"/>
      <c r="OTE74" s="609"/>
      <c r="OTF74" s="609"/>
      <c r="OTG74" s="609"/>
      <c r="OTH74" s="609"/>
      <c r="OTI74" s="609"/>
      <c r="OTJ74" s="609"/>
      <c r="OTK74" s="609"/>
      <c r="OTL74" s="609"/>
      <c r="OTM74" s="609"/>
      <c r="OTN74" s="609"/>
      <c r="OTO74" s="609"/>
      <c r="OTP74" s="609"/>
      <c r="OTQ74" s="609"/>
      <c r="OTR74" s="609"/>
      <c r="OTS74" s="609"/>
      <c r="OTT74" s="609"/>
      <c r="OTU74" s="609"/>
      <c r="OTV74" s="609"/>
      <c r="OTW74" s="609"/>
      <c r="OTX74" s="609"/>
      <c r="OTY74" s="609"/>
      <c r="OTZ74" s="609"/>
      <c r="OUA74" s="609"/>
      <c r="OUB74" s="609"/>
      <c r="OUC74" s="609"/>
      <c r="OUD74" s="609"/>
      <c r="OUE74" s="609"/>
      <c r="OUF74" s="609"/>
      <c r="OUG74" s="609"/>
      <c r="OUH74" s="609"/>
      <c r="OUI74" s="609"/>
      <c r="OUJ74" s="609"/>
      <c r="OUK74" s="609"/>
      <c r="OUL74" s="609"/>
      <c r="OUM74" s="609"/>
      <c r="OUN74" s="609"/>
      <c r="OUO74" s="609"/>
      <c r="OUP74" s="609"/>
      <c r="OUQ74" s="609"/>
      <c r="OUR74" s="609"/>
      <c r="OUS74" s="609"/>
      <c r="OUT74" s="609"/>
      <c r="OUU74" s="609"/>
      <c r="OUV74" s="609"/>
      <c r="OUW74" s="609"/>
      <c r="OUX74" s="609"/>
      <c r="OUY74" s="609"/>
      <c r="OUZ74" s="609"/>
      <c r="OVA74" s="609"/>
      <c r="OVB74" s="609"/>
      <c r="OVC74" s="609"/>
      <c r="OVD74" s="609"/>
      <c r="OVE74" s="609"/>
      <c r="OVF74" s="609"/>
      <c r="OVG74" s="609"/>
      <c r="OVH74" s="609"/>
      <c r="OVI74" s="609"/>
      <c r="OVJ74" s="609"/>
      <c r="OVK74" s="609"/>
      <c r="OVL74" s="609"/>
      <c r="OVM74" s="609"/>
      <c r="OVN74" s="609"/>
      <c r="OVO74" s="609"/>
      <c r="OVP74" s="609"/>
      <c r="OVQ74" s="609"/>
      <c r="OVR74" s="609"/>
      <c r="OVS74" s="609"/>
      <c r="OVT74" s="609"/>
      <c r="OVU74" s="609"/>
      <c r="OVV74" s="609"/>
      <c r="OVW74" s="609"/>
      <c r="OVX74" s="609"/>
      <c r="OVY74" s="609"/>
      <c r="OVZ74" s="609"/>
      <c r="OWA74" s="609"/>
      <c r="OWB74" s="609"/>
      <c r="OWC74" s="609"/>
      <c r="OWD74" s="609"/>
      <c r="OWE74" s="609"/>
      <c r="OWF74" s="609"/>
      <c r="OWG74" s="609"/>
      <c r="OWH74" s="609"/>
      <c r="OWI74" s="609"/>
      <c r="OWJ74" s="609"/>
      <c r="OWK74" s="609"/>
      <c r="OWL74" s="609"/>
      <c r="OWM74" s="609"/>
      <c r="OWN74" s="609"/>
      <c r="OWO74" s="609"/>
      <c r="OWP74" s="609"/>
      <c r="OWQ74" s="609"/>
      <c r="OWR74" s="609"/>
      <c r="OWS74" s="609"/>
      <c r="OWT74" s="609"/>
      <c r="OWU74" s="609"/>
      <c r="OWV74" s="609"/>
      <c r="OWW74" s="609"/>
      <c r="OWX74" s="609"/>
      <c r="OWY74" s="609"/>
      <c r="OWZ74" s="609"/>
      <c r="OXA74" s="609"/>
      <c r="OXB74" s="609"/>
      <c r="OXC74" s="609"/>
      <c r="OXD74" s="609"/>
      <c r="OXE74" s="609"/>
      <c r="OXF74" s="609"/>
      <c r="OXG74" s="609"/>
      <c r="OXH74" s="609"/>
      <c r="OXI74" s="609"/>
      <c r="OXJ74" s="609"/>
      <c r="OXK74" s="609"/>
      <c r="OXL74" s="609"/>
      <c r="OXM74" s="609"/>
      <c r="OXN74" s="609"/>
      <c r="OXO74" s="609"/>
      <c r="OXP74" s="609"/>
      <c r="OXQ74" s="609"/>
      <c r="OXR74" s="609"/>
      <c r="OXS74" s="609"/>
      <c r="OXT74" s="609"/>
      <c r="OXU74" s="609"/>
      <c r="OXV74" s="609"/>
      <c r="OXW74" s="609"/>
      <c r="OXX74" s="609"/>
      <c r="OXY74" s="609"/>
      <c r="OXZ74" s="609"/>
      <c r="OYA74" s="609"/>
      <c r="OYB74" s="609"/>
      <c r="OYC74" s="609"/>
      <c r="OYD74" s="609"/>
      <c r="OYE74" s="609"/>
      <c r="OYF74" s="609"/>
      <c r="OYG74" s="609"/>
      <c r="OYH74" s="609"/>
      <c r="OYI74" s="609"/>
      <c r="OYJ74" s="609"/>
      <c r="OYK74" s="609"/>
      <c r="OYL74" s="609"/>
      <c r="OYM74" s="609"/>
      <c r="OYN74" s="609"/>
      <c r="OYO74" s="609"/>
      <c r="OYP74" s="609"/>
      <c r="OYQ74" s="609"/>
      <c r="OYR74" s="609"/>
      <c r="OYS74" s="609"/>
      <c r="OYT74" s="609"/>
      <c r="OYU74" s="609"/>
      <c r="OYV74" s="609"/>
      <c r="OYW74" s="609"/>
      <c r="OYX74" s="609"/>
      <c r="OYY74" s="609"/>
      <c r="OYZ74" s="609"/>
      <c r="OZA74" s="609"/>
      <c r="OZB74" s="609"/>
      <c r="OZC74" s="609"/>
      <c r="OZD74" s="609"/>
      <c r="OZE74" s="609"/>
      <c r="OZF74" s="609"/>
      <c r="OZG74" s="609"/>
      <c r="OZH74" s="609"/>
      <c r="OZI74" s="609"/>
      <c r="OZJ74" s="609"/>
      <c r="OZK74" s="609"/>
      <c r="OZL74" s="609"/>
      <c r="OZM74" s="609"/>
      <c r="OZN74" s="609"/>
      <c r="OZO74" s="609"/>
      <c r="OZP74" s="609"/>
      <c r="OZQ74" s="609"/>
      <c r="OZR74" s="609"/>
      <c r="OZS74" s="609"/>
      <c r="OZT74" s="609"/>
      <c r="OZU74" s="609"/>
      <c r="OZV74" s="609"/>
      <c r="OZW74" s="609"/>
      <c r="OZX74" s="609"/>
      <c r="OZY74" s="609"/>
      <c r="OZZ74" s="609"/>
      <c r="PAA74" s="609"/>
      <c r="PAB74" s="609"/>
      <c r="PAC74" s="609"/>
      <c r="PAD74" s="609"/>
      <c r="PAE74" s="609"/>
      <c r="PAF74" s="609"/>
      <c r="PAG74" s="609"/>
      <c r="PAH74" s="609"/>
      <c r="PAI74" s="609"/>
      <c r="PAJ74" s="609"/>
      <c r="PAK74" s="609"/>
      <c r="PAL74" s="609"/>
      <c r="PAM74" s="609"/>
      <c r="PAN74" s="609"/>
      <c r="PAO74" s="609"/>
      <c r="PAP74" s="609"/>
      <c r="PAQ74" s="609"/>
      <c r="PAR74" s="609"/>
      <c r="PAS74" s="609"/>
      <c r="PAT74" s="609"/>
      <c r="PAU74" s="609"/>
      <c r="PAV74" s="609"/>
      <c r="PAW74" s="609"/>
      <c r="PAX74" s="609"/>
      <c r="PAY74" s="609"/>
      <c r="PAZ74" s="609"/>
      <c r="PBA74" s="609"/>
      <c r="PBB74" s="609"/>
      <c r="PBC74" s="609"/>
      <c r="PBD74" s="609"/>
      <c r="PBE74" s="609"/>
      <c r="PBF74" s="609"/>
      <c r="PBG74" s="609"/>
      <c r="PBH74" s="609"/>
      <c r="PBI74" s="609"/>
      <c r="PBJ74" s="609"/>
      <c r="PBK74" s="609"/>
      <c r="PBL74" s="609"/>
      <c r="PBM74" s="609"/>
      <c r="PBN74" s="609"/>
      <c r="PBO74" s="609"/>
      <c r="PBP74" s="609"/>
      <c r="PBQ74" s="609"/>
      <c r="PBR74" s="609"/>
      <c r="PBS74" s="609"/>
      <c r="PBT74" s="609"/>
      <c r="PBU74" s="609"/>
      <c r="PBV74" s="609"/>
      <c r="PBW74" s="609"/>
      <c r="PBX74" s="609"/>
      <c r="PBY74" s="609"/>
      <c r="PBZ74" s="609"/>
      <c r="PCA74" s="609"/>
      <c r="PCB74" s="609"/>
      <c r="PCC74" s="609"/>
      <c r="PCD74" s="609"/>
      <c r="PCE74" s="609"/>
      <c r="PCF74" s="609"/>
      <c r="PCG74" s="609"/>
      <c r="PCH74" s="609"/>
      <c r="PCI74" s="609"/>
      <c r="PCJ74" s="609"/>
      <c r="PCK74" s="609"/>
      <c r="PCL74" s="609"/>
      <c r="PCM74" s="609"/>
      <c r="PCN74" s="609"/>
      <c r="PCO74" s="609"/>
      <c r="PCP74" s="609"/>
      <c r="PCQ74" s="609"/>
      <c r="PCR74" s="609"/>
      <c r="PCS74" s="609"/>
      <c r="PCT74" s="609"/>
      <c r="PCU74" s="609"/>
      <c r="PCV74" s="609"/>
      <c r="PCW74" s="609"/>
      <c r="PCX74" s="609"/>
      <c r="PCY74" s="609"/>
      <c r="PCZ74" s="609"/>
      <c r="PDA74" s="609"/>
      <c r="PDB74" s="609"/>
      <c r="PDC74" s="609"/>
      <c r="PDD74" s="609"/>
      <c r="PDE74" s="609"/>
      <c r="PDF74" s="609"/>
      <c r="PDG74" s="609"/>
      <c r="PDH74" s="609"/>
      <c r="PDI74" s="609"/>
      <c r="PDJ74" s="609"/>
      <c r="PDK74" s="609"/>
      <c r="PDL74" s="609"/>
      <c r="PDM74" s="609"/>
      <c r="PDN74" s="609"/>
      <c r="PDO74" s="609"/>
      <c r="PDP74" s="609"/>
      <c r="PDQ74" s="609"/>
      <c r="PDR74" s="609"/>
      <c r="PDS74" s="609"/>
      <c r="PDT74" s="609"/>
      <c r="PDU74" s="609"/>
      <c r="PDV74" s="609"/>
      <c r="PDW74" s="609"/>
      <c r="PDX74" s="609"/>
      <c r="PDY74" s="609"/>
      <c r="PDZ74" s="609"/>
      <c r="PEA74" s="609"/>
      <c r="PEB74" s="609"/>
      <c r="PEC74" s="609"/>
      <c r="PED74" s="609"/>
      <c r="PEE74" s="609"/>
      <c r="PEF74" s="609"/>
      <c r="PEG74" s="609"/>
      <c r="PEH74" s="609"/>
      <c r="PEI74" s="609"/>
      <c r="PEJ74" s="609"/>
      <c r="PEK74" s="609"/>
      <c r="PEL74" s="609"/>
      <c r="PEM74" s="609"/>
      <c r="PEN74" s="609"/>
      <c r="PEO74" s="609"/>
      <c r="PEP74" s="609"/>
      <c r="PEQ74" s="609"/>
      <c r="PER74" s="609"/>
      <c r="PES74" s="609"/>
      <c r="PET74" s="609"/>
      <c r="PEU74" s="609"/>
      <c r="PEV74" s="609"/>
      <c r="PEW74" s="609"/>
      <c r="PEX74" s="609"/>
      <c r="PEY74" s="609"/>
      <c r="PEZ74" s="609"/>
      <c r="PFA74" s="609"/>
      <c r="PFB74" s="609"/>
      <c r="PFC74" s="609"/>
      <c r="PFD74" s="609"/>
      <c r="PFE74" s="609"/>
      <c r="PFF74" s="609"/>
      <c r="PFG74" s="609"/>
      <c r="PFH74" s="609"/>
      <c r="PFI74" s="609"/>
      <c r="PFJ74" s="609"/>
      <c r="PFK74" s="609"/>
      <c r="PFL74" s="609"/>
      <c r="PFM74" s="609"/>
      <c r="PFN74" s="609"/>
      <c r="PFO74" s="609"/>
      <c r="PFP74" s="609"/>
      <c r="PFQ74" s="609"/>
      <c r="PFR74" s="609"/>
      <c r="PFS74" s="609"/>
      <c r="PFT74" s="609"/>
      <c r="PFU74" s="609"/>
      <c r="PFV74" s="609"/>
      <c r="PFW74" s="609"/>
      <c r="PFX74" s="609"/>
      <c r="PFY74" s="609"/>
      <c r="PFZ74" s="609"/>
      <c r="PGA74" s="609"/>
      <c r="PGB74" s="609"/>
      <c r="PGC74" s="609"/>
      <c r="PGD74" s="609"/>
      <c r="PGE74" s="609"/>
      <c r="PGF74" s="609"/>
      <c r="PGG74" s="609"/>
      <c r="PGH74" s="609"/>
      <c r="PGI74" s="609"/>
      <c r="PGJ74" s="609"/>
      <c r="PGK74" s="609"/>
      <c r="PGL74" s="609"/>
      <c r="PGM74" s="609"/>
      <c r="PGN74" s="609"/>
      <c r="PGO74" s="609"/>
      <c r="PGP74" s="609"/>
      <c r="PGQ74" s="609"/>
      <c r="PGR74" s="609"/>
      <c r="PGS74" s="609"/>
      <c r="PGT74" s="609"/>
      <c r="PGU74" s="609"/>
      <c r="PGV74" s="609"/>
      <c r="PGW74" s="609"/>
      <c r="PGX74" s="609"/>
      <c r="PGY74" s="609"/>
      <c r="PGZ74" s="609"/>
      <c r="PHA74" s="609"/>
      <c r="PHB74" s="609"/>
      <c r="PHC74" s="609"/>
      <c r="PHD74" s="609"/>
      <c r="PHE74" s="609"/>
      <c r="PHF74" s="609"/>
      <c r="PHG74" s="609"/>
      <c r="PHH74" s="609"/>
      <c r="PHI74" s="609"/>
      <c r="PHJ74" s="609"/>
      <c r="PHK74" s="609"/>
      <c r="PHL74" s="609"/>
      <c r="PHM74" s="609"/>
      <c r="PHN74" s="609"/>
      <c r="PHO74" s="609"/>
      <c r="PHP74" s="609"/>
      <c r="PHQ74" s="609"/>
      <c r="PHR74" s="609"/>
      <c r="PHS74" s="609"/>
      <c r="PHT74" s="609"/>
      <c r="PHU74" s="609"/>
      <c r="PHV74" s="609"/>
      <c r="PHW74" s="609"/>
      <c r="PHX74" s="609"/>
      <c r="PHY74" s="609"/>
      <c r="PHZ74" s="609"/>
      <c r="PIA74" s="609"/>
      <c r="PIB74" s="609"/>
      <c r="PIC74" s="609"/>
      <c r="PID74" s="609"/>
      <c r="PIE74" s="609"/>
      <c r="PIF74" s="609"/>
      <c r="PIG74" s="609"/>
      <c r="PIH74" s="609"/>
      <c r="PII74" s="609"/>
      <c r="PIJ74" s="609"/>
      <c r="PIK74" s="609"/>
      <c r="PIL74" s="609"/>
      <c r="PIM74" s="609"/>
      <c r="PIN74" s="609"/>
      <c r="PIO74" s="609"/>
      <c r="PIP74" s="609"/>
      <c r="PIQ74" s="609"/>
      <c r="PIR74" s="609"/>
      <c r="PIS74" s="609"/>
      <c r="PIT74" s="609"/>
      <c r="PIU74" s="609"/>
      <c r="PIV74" s="609"/>
      <c r="PIW74" s="609"/>
      <c r="PIX74" s="609"/>
      <c r="PIY74" s="609"/>
      <c r="PIZ74" s="609"/>
      <c r="PJA74" s="609"/>
      <c r="PJB74" s="609"/>
      <c r="PJC74" s="609"/>
      <c r="PJD74" s="609"/>
      <c r="PJE74" s="609"/>
      <c r="PJF74" s="609"/>
      <c r="PJG74" s="609"/>
      <c r="PJH74" s="609"/>
      <c r="PJI74" s="609"/>
      <c r="PJJ74" s="609"/>
      <c r="PJK74" s="609"/>
      <c r="PJL74" s="609"/>
      <c r="PJM74" s="609"/>
      <c r="PJN74" s="609"/>
      <c r="PJO74" s="609"/>
      <c r="PJP74" s="609"/>
      <c r="PJQ74" s="609"/>
      <c r="PJR74" s="609"/>
      <c r="PJS74" s="609"/>
      <c r="PJT74" s="609"/>
      <c r="PJU74" s="609"/>
      <c r="PJV74" s="609"/>
      <c r="PJW74" s="609"/>
      <c r="PJX74" s="609"/>
      <c r="PJY74" s="609"/>
      <c r="PJZ74" s="609"/>
      <c r="PKA74" s="609"/>
      <c r="PKB74" s="609"/>
      <c r="PKC74" s="609"/>
      <c r="PKD74" s="609"/>
      <c r="PKE74" s="609"/>
      <c r="PKF74" s="609"/>
      <c r="PKG74" s="609"/>
      <c r="PKH74" s="609"/>
      <c r="PKI74" s="609"/>
      <c r="PKJ74" s="609"/>
      <c r="PKK74" s="609"/>
      <c r="PKL74" s="609"/>
      <c r="PKM74" s="609"/>
      <c r="PKN74" s="609"/>
      <c r="PKO74" s="609"/>
      <c r="PKP74" s="609"/>
      <c r="PKQ74" s="609"/>
      <c r="PKR74" s="609"/>
      <c r="PKS74" s="609"/>
      <c r="PKT74" s="609"/>
      <c r="PKU74" s="609"/>
      <c r="PKV74" s="609"/>
      <c r="PKW74" s="609"/>
      <c r="PKX74" s="609"/>
      <c r="PKY74" s="609"/>
      <c r="PKZ74" s="609"/>
      <c r="PLA74" s="609"/>
      <c r="PLB74" s="609"/>
      <c r="PLC74" s="609"/>
      <c r="PLD74" s="609"/>
      <c r="PLE74" s="609"/>
      <c r="PLF74" s="609"/>
      <c r="PLG74" s="609"/>
      <c r="PLH74" s="609"/>
      <c r="PLI74" s="609"/>
      <c r="PLJ74" s="609"/>
      <c r="PLK74" s="609"/>
      <c r="PLL74" s="609"/>
      <c r="PLM74" s="609"/>
      <c r="PLN74" s="609"/>
      <c r="PLO74" s="609"/>
      <c r="PLP74" s="609"/>
      <c r="PLQ74" s="609"/>
      <c r="PLR74" s="609"/>
      <c r="PLS74" s="609"/>
      <c r="PLT74" s="609"/>
      <c r="PLU74" s="609"/>
      <c r="PLV74" s="609"/>
      <c r="PLW74" s="609"/>
      <c r="PLX74" s="609"/>
      <c r="PLY74" s="609"/>
      <c r="PLZ74" s="609"/>
      <c r="PMA74" s="609"/>
      <c r="PMB74" s="609"/>
      <c r="PMC74" s="609"/>
      <c r="PMD74" s="609"/>
      <c r="PME74" s="609"/>
      <c r="PMF74" s="609"/>
      <c r="PMG74" s="609"/>
      <c r="PMH74" s="609"/>
      <c r="PMI74" s="609"/>
      <c r="PMJ74" s="609"/>
      <c r="PMK74" s="609"/>
      <c r="PML74" s="609"/>
      <c r="PMM74" s="609"/>
      <c r="PMN74" s="609"/>
      <c r="PMO74" s="609"/>
      <c r="PMP74" s="609"/>
      <c r="PMQ74" s="609"/>
      <c r="PMR74" s="609"/>
      <c r="PMS74" s="609"/>
      <c r="PMT74" s="609"/>
      <c r="PMU74" s="609"/>
      <c r="PMV74" s="609"/>
      <c r="PMW74" s="609"/>
      <c r="PMX74" s="609"/>
      <c r="PMY74" s="609"/>
      <c r="PMZ74" s="609"/>
      <c r="PNA74" s="609"/>
      <c r="PNB74" s="609"/>
      <c r="PNC74" s="609"/>
      <c r="PND74" s="609"/>
      <c r="PNE74" s="609"/>
      <c r="PNF74" s="609"/>
      <c r="PNG74" s="609"/>
      <c r="PNH74" s="609"/>
      <c r="PNI74" s="609"/>
      <c r="PNJ74" s="609"/>
      <c r="PNK74" s="609"/>
      <c r="PNL74" s="609"/>
      <c r="PNM74" s="609"/>
      <c r="PNN74" s="609"/>
      <c r="PNO74" s="609"/>
      <c r="PNP74" s="609"/>
      <c r="PNQ74" s="609"/>
      <c r="PNR74" s="609"/>
      <c r="PNS74" s="609"/>
      <c r="PNT74" s="609"/>
      <c r="PNU74" s="609"/>
      <c r="PNV74" s="609"/>
      <c r="PNW74" s="609"/>
      <c r="PNX74" s="609"/>
      <c r="PNY74" s="609"/>
      <c r="PNZ74" s="609"/>
      <c r="POA74" s="609"/>
      <c r="POB74" s="609"/>
      <c r="POC74" s="609"/>
      <c r="POD74" s="609"/>
      <c r="POE74" s="609"/>
      <c r="POF74" s="609"/>
      <c r="POG74" s="609"/>
      <c r="POH74" s="609"/>
      <c r="POI74" s="609"/>
      <c r="POJ74" s="609"/>
      <c r="POK74" s="609"/>
      <c r="POL74" s="609"/>
      <c r="POM74" s="609"/>
      <c r="PON74" s="609"/>
      <c r="POO74" s="609"/>
      <c r="POP74" s="609"/>
      <c r="POQ74" s="609"/>
      <c r="POR74" s="609"/>
      <c r="POS74" s="609"/>
      <c r="POT74" s="609"/>
      <c r="POU74" s="609"/>
      <c r="POV74" s="609"/>
      <c r="POW74" s="609"/>
      <c r="POX74" s="609"/>
      <c r="POY74" s="609"/>
      <c r="POZ74" s="609"/>
      <c r="PPA74" s="609"/>
      <c r="PPB74" s="609"/>
      <c r="PPC74" s="609"/>
      <c r="PPD74" s="609"/>
      <c r="PPE74" s="609"/>
      <c r="PPF74" s="609"/>
      <c r="PPG74" s="609"/>
      <c r="PPH74" s="609"/>
      <c r="PPI74" s="609"/>
      <c r="PPJ74" s="609"/>
      <c r="PPK74" s="609"/>
      <c r="PPL74" s="609"/>
      <c r="PPM74" s="609"/>
      <c r="PPN74" s="609"/>
      <c r="PPO74" s="609"/>
      <c r="PPP74" s="609"/>
      <c r="PPQ74" s="609"/>
      <c r="PPR74" s="609"/>
      <c r="PPS74" s="609"/>
      <c r="PPT74" s="609"/>
      <c r="PPU74" s="609"/>
      <c r="PPV74" s="609"/>
      <c r="PPW74" s="609"/>
      <c r="PPX74" s="609"/>
      <c r="PPY74" s="609"/>
      <c r="PPZ74" s="609"/>
      <c r="PQA74" s="609"/>
      <c r="PQB74" s="609"/>
      <c r="PQC74" s="609"/>
      <c r="PQD74" s="609"/>
      <c r="PQE74" s="609"/>
      <c r="PQF74" s="609"/>
      <c r="PQG74" s="609"/>
      <c r="PQH74" s="609"/>
      <c r="PQI74" s="609"/>
      <c r="PQJ74" s="609"/>
      <c r="PQK74" s="609"/>
      <c r="PQL74" s="609"/>
      <c r="PQM74" s="609"/>
      <c r="PQN74" s="609"/>
      <c r="PQO74" s="609"/>
      <c r="PQP74" s="609"/>
      <c r="PQQ74" s="609"/>
      <c r="PQR74" s="609"/>
      <c r="PQS74" s="609"/>
      <c r="PQT74" s="609"/>
      <c r="PQU74" s="609"/>
      <c r="PQV74" s="609"/>
      <c r="PQW74" s="609"/>
      <c r="PQX74" s="609"/>
      <c r="PQY74" s="609"/>
      <c r="PQZ74" s="609"/>
      <c r="PRA74" s="609"/>
      <c r="PRB74" s="609"/>
      <c r="PRC74" s="609"/>
      <c r="PRD74" s="609"/>
      <c r="PRE74" s="609"/>
      <c r="PRF74" s="609"/>
      <c r="PRG74" s="609"/>
      <c r="PRH74" s="609"/>
      <c r="PRI74" s="609"/>
      <c r="PRJ74" s="609"/>
      <c r="PRK74" s="609"/>
      <c r="PRL74" s="609"/>
      <c r="PRM74" s="609"/>
      <c r="PRN74" s="609"/>
      <c r="PRO74" s="609"/>
      <c r="PRP74" s="609"/>
      <c r="PRQ74" s="609"/>
      <c r="PRR74" s="609"/>
      <c r="PRS74" s="609"/>
      <c r="PRT74" s="609"/>
      <c r="PRU74" s="609"/>
      <c r="PRV74" s="609"/>
      <c r="PRW74" s="609"/>
      <c r="PRX74" s="609"/>
      <c r="PRY74" s="609"/>
      <c r="PRZ74" s="609"/>
      <c r="PSA74" s="609"/>
      <c r="PSB74" s="609"/>
      <c r="PSC74" s="609"/>
      <c r="PSD74" s="609"/>
      <c r="PSE74" s="609"/>
      <c r="PSF74" s="609"/>
      <c r="PSG74" s="609"/>
      <c r="PSH74" s="609"/>
      <c r="PSI74" s="609"/>
      <c r="PSJ74" s="609"/>
      <c r="PSK74" s="609"/>
      <c r="PSL74" s="609"/>
      <c r="PSM74" s="609"/>
      <c r="PSN74" s="609"/>
      <c r="PSO74" s="609"/>
      <c r="PSP74" s="609"/>
      <c r="PSQ74" s="609"/>
      <c r="PSR74" s="609"/>
      <c r="PSS74" s="609"/>
      <c r="PST74" s="609"/>
      <c r="PSU74" s="609"/>
      <c r="PSV74" s="609"/>
      <c r="PSW74" s="609"/>
      <c r="PSX74" s="609"/>
      <c r="PSY74" s="609"/>
      <c r="PSZ74" s="609"/>
      <c r="PTA74" s="609"/>
      <c r="PTB74" s="609"/>
      <c r="PTC74" s="609"/>
      <c r="PTD74" s="609"/>
      <c r="PTE74" s="609"/>
      <c r="PTF74" s="609"/>
      <c r="PTG74" s="609"/>
      <c r="PTH74" s="609"/>
      <c r="PTI74" s="609"/>
      <c r="PTJ74" s="609"/>
      <c r="PTK74" s="609"/>
      <c r="PTL74" s="609"/>
      <c r="PTM74" s="609"/>
      <c r="PTN74" s="609"/>
      <c r="PTO74" s="609"/>
      <c r="PTP74" s="609"/>
      <c r="PTQ74" s="609"/>
      <c r="PTR74" s="609"/>
      <c r="PTS74" s="609"/>
      <c r="PTT74" s="609"/>
      <c r="PTU74" s="609"/>
      <c r="PTV74" s="609"/>
      <c r="PTW74" s="609"/>
      <c r="PTX74" s="609"/>
      <c r="PTY74" s="609"/>
      <c r="PTZ74" s="609"/>
      <c r="PUA74" s="609"/>
      <c r="PUB74" s="609"/>
      <c r="PUC74" s="609"/>
      <c r="PUD74" s="609"/>
      <c r="PUE74" s="609"/>
      <c r="PUF74" s="609"/>
      <c r="PUG74" s="609"/>
      <c r="PUH74" s="609"/>
      <c r="PUI74" s="609"/>
      <c r="PUJ74" s="609"/>
      <c r="PUK74" s="609"/>
      <c r="PUL74" s="609"/>
      <c r="PUM74" s="609"/>
      <c r="PUN74" s="609"/>
      <c r="PUO74" s="609"/>
      <c r="PUP74" s="609"/>
      <c r="PUQ74" s="609"/>
      <c r="PUR74" s="609"/>
      <c r="PUS74" s="609"/>
      <c r="PUT74" s="609"/>
      <c r="PUU74" s="609"/>
      <c r="PUV74" s="609"/>
      <c r="PUW74" s="609"/>
      <c r="PUX74" s="609"/>
      <c r="PUY74" s="609"/>
      <c r="PUZ74" s="609"/>
      <c r="PVA74" s="609"/>
      <c r="PVB74" s="609"/>
      <c r="PVC74" s="609"/>
      <c r="PVD74" s="609"/>
      <c r="PVE74" s="609"/>
      <c r="PVF74" s="609"/>
      <c r="PVG74" s="609"/>
      <c r="PVH74" s="609"/>
      <c r="PVI74" s="609"/>
      <c r="PVJ74" s="609"/>
      <c r="PVK74" s="609"/>
      <c r="PVL74" s="609"/>
      <c r="PVM74" s="609"/>
      <c r="PVN74" s="609"/>
      <c r="PVO74" s="609"/>
      <c r="PVP74" s="609"/>
      <c r="PVQ74" s="609"/>
      <c r="PVR74" s="609"/>
      <c r="PVS74" s="609"/>
      <c r="PVT74" s="609"/>
      <c r="PVU74" s="609"/>
      <c r="PVV74" s="609"/>
      <c r="PVW74" s="609"/>
      <c r="PVX74" s="609"/>
      <c r="PVY74" s="609"/>
      <c r="PVZ74" s="609"/>
      <c r="PWA74" s="609"/>
      <c r="PWB74" s="609"/>
      <c r="PWC74" s="609"/>
      <c r="PWD74" s="609"/>
      <c r="PWE74" s="609"/>
      <c r="PWF74" s="609"/>
      <c r="PWG74" s="609"/>
      <c r="PWH74" s="609"/>
      <c r="PWI74" s="609"/>
      <c r="PWJ74" s="609"/>
      <c r="PWK74" s="609"/>
      <c r="PWL74" s="609"/>
      <c r="PWM74" s="609"/>
      <c r="PWN74" s="609"/>
      <c r="PWO74" s="609"/>
      <c r="PWP74" s="609"/>
      <c r="PWQ74" s="609"/>
      <c r="PWR74" s="609"/>
      <c r="PWS74" s="609"/>
      <c r="PWT74" s="609"/>
      <c r="PWU74" s="609"/>
      <c r="PWV74" s="609"/>
      <c r="PWW74" s="609"/>
      <c r="PWX74" s="609"/>
      <c r="PWY74" s="609"/>
      <c r="PWZ74" s="609"/>
      <c r="PXA74" s="609"/>
      <c r="PXB74" s="609"/>
      <c r="PXC74" s="609"/>
      <c r="PXD74" s="609"/>
      <c r="PXE74" s="609"/>
      <c r="PXF74" s="609"/>
      <c r="PXG74" s="609"/>
      <c r="PXH74" s="609"/>
      <c r="PXI74" s="609"/>
      <c r="PXJ74" s="609"/>
      <c r="PXK74" s="609"/>
      <c r="PXL74" s="609"/>
      <c r="PXM74" s="609"/>
      <c r="PXN74" s="609"/>
      <c r="PXO74" s="609"/>
      <c r="PXP74" s="609"/>
      <c r="PXQ74" s="609"/>
      <c r="PXR74" s="609"/>
      <c r="PXS74" s="609"/>
      <c r="PXT74" s="609"/>
      <c r="PXU74" s="609"/>
      <c r="PXV74" s="609"/>
      <c r="PXW74" s="609"/>
      <c r="PXX74" s="609"/>
      <c r="PXY74" s="609"/>
      <c r="PXZ74" s="609"/>
      <c r="PYA74" s="609"/>
      <c r="PYB74" s="609"/>
      <c r="PYC74" s="609"/>
      <c r="PYD74" s="609"/>
      <c r="PYE74" s="609"/>
      <c r="PYF74" s="609"/>
      <c r="PYG74" s="609"/>
      <c r="PYH74" s="609"/>
      <c r="PYI74" s="609"/>
      <c r="PYJ74" s="609"/>
      <c r="PYK74" s="609"/>
      <c r="PYL74" s="609"/>
      <c r="PYM74" s="609"/>
      <c r="PYN74" s="609"/>
      <c r="PYO74" s="609"/>
      <c r="PYP74" s="609"/>
      <c r="PYQ74" s="609"/>
      <c r="PYR74" s="609"/>
      <c r="PYS74" s="609"/>
      <c r="PYT74" s="609"/>
      <c r="PYU74" s="609"/>
      <c r="PYV74" s="609"/>
      <c r="PYW74" s="609"/>
      <c r="PYX74" s="609"/>
      <c r="PYY74" s="609"/>
      <c r="PYZ74" s="609"/>
      <c r="PZA74" s="609"/>
      <c r="PZB74" s="609"/>
      <c r="PZC74" s="609"/>
      <c r="PZD74" s="609"/>
      <c r="PZE74" s="609"/>
      <c r="PZF74" s="609"/>
      <c r="PZG74" s="609"/>
      <c r="PZH74" s="609"/>
      <c r="PZI74" s="609"/>
      <c r="PZJ74" s="609"/>
      <c r="PZK74" s="609"/>
      <c r="PZL74" s="609"/>
      <c r="PZM74" s="609"/>
      <c r="PZN74" s="609"/>
      <c r="PZO74" s="609"/>
      <c r="PZP74" s="609"/>
      <c r="PZQ74" s="609"/>
      <c r="PZR74" s="609"/>
      <c r="PZS74" s="609"/>
      <c r="PZT74" s="609"/>
      <c r="PZU74" s="609"/>
      <c r="PZV74" s="609"/>
      <c r="PZW74" s="609"/>
      <c r="PZX74" s="609"/>
      <c r="PZY74" s="609"/>
      <c r="PZZ74" s="609"/>
      <c r="QAA74" s="609"/>
      <c r="QAB74" s="609"/>
      <c r="QAC74" s="609"/>
      <c r="QAD74" s="609"/>
      <c r="QAE74" s="609"/>
      <c r="QAF74" s="609"/>
      <c r="QAG74" s="609"/>
      <c r="QAH74" s="609"/>
      <c r="QAI74" s="609"/>
      <c r="QAJ74" s="609"/>
      <c r="QAK74" s="609"/>
      <c r="QAL74" s="609"/>
      <c r="QAM74" s="609"/>
      <c r="QAN74" s="609"/>
      <c r="QAO74" s="609"/>
      <c r="QAP74" s="609"/>
      <c r="QAQ74" s="609"/>
      <c r="QAR74" s="609"/>
      <c r="QAS74" s="609"/>
      <c r="QAT74" s="609"/>
      <c r="QAU74" s="609"/>
      <c r="QAV74" s="609"/>
      <c r="QAW74" s="609"/>
      <c r="QAX74" s="609"/>
      <c r="QAY74" s="609"/>
      <c r="QAZ74" s="609"/>
      <c r="QBA74" s="609"/>
      <c r="QBB74" s="609"/>
      <c r="QBC74" s="609"/>
      <c r="QBD74" s="609"/>
      <c r="QBE74" s="609"/>
      <c r="QBF74" s="609"/>
      <c r="QBG74" s="609"/>
      <c r="QBH74" s="609"/>
      <c r="QBI74" s="609"/>
      <c r="QBJ74" s="609"/>
      <c r="QBK74" s="609"/>
      <c r="QBL74" s="609"/>
      <c r="QBM74" s="609"/>
      <c r="QBN74" s="609"/>
      <c r="QBO74" s="609"/>
      <c r="QBP74" s="609"/>
      <c r="QBQ74" s="609"/>
      <c r="QBR74" s="609"/>
      <c r="QBS74" s="609"/>
      <c r="QBT74" s="609"/>
      <c r="QBU74" s="609"/>
      <c r="QBV74" s="609"/>
      <c r="QBW74" s="609"/>
      <c r="QBX74" s="609"/>
      <c r="QBY74" s="609"/>
      <c r="QBZ74" s="609"/>
      <c r="QCA74" s="609"/>
      <c r="QCB74" s="609"/>
      <c r="QCC74" s="609"/>
      <c r="QCD74" s="609"/>
      <c r="QCE74" s="609"/>
      <c r="QCF74" s="609"/>
      <c r="QCG74" s="609"/>
      <c r="QCH74" s="609"/>
      <c r="QCI74" s="609"/>
      <c r="QCJ74" s="609"/>
      <c r="QCK74" s="609"/>
      <c r="QCL74" s="609"/>
      <c r="QCM74" s="609"/>
      <c r="QCN74" s="609"/>
      <c r="QCO74" s="609"/>
      <c r="QCP74" s="609"/>
      <c r="QCQ74" s="609"/>
      <c r="QCR74" s="609"/>
      <c r="QCS74" s="609"/>
      <c r="QCT74" s="609"/>
      <c r="QCU74" s="609"/>
      <c r="QCV74" s="609"/>
      <c r="QCW74" s="609"/>
      <c r="QCX74" s="609"/>
      <c r="QCY74" s="609"/>
      <c r="QCZ74" s="609"/>
      <c r="QDA74" s="609"/>
      <c r="QDB74" s="609"/>
      <c r="QDC74" s="609"/>
      <c r="QDD74" s="609"/>
      <c r="QDE74" s="609"/>
      <c r="QDF74" s="609"/>
      <c r="QDG74" s="609"/>
      <c r="QDH74" s="609"/>
      <c r="QDI74" s="609"/>
      <c r="QDJ74" s="609"/>
      <c r="QDK74" s="609"/>
      <c r="QDL74" s="609"/>
      <c r="QDM74" s="609"/>
      <c r="QDN74" s="609"/>
      <c r="QDO74" s="609"/>
      <c r="QDP74" s="609"/>
      <c r="QDQ74" s="609"/>
      <c r="QDR74" s="609"/>
      <c r="QDS74" s="609"/>
      <c r="QDT74" s="609"/>
      <c r="QDU74" s="609"/>
      <c r="QDV74" s="609"/>
      <c r="QDW74" s="609"/>
      <c r="QDX74" s="609"/>
      <c r="QDY74" s="609"/>
      <c r="QDZ74" s="609"/>
      <c r="QEA74" s="609"/>
      <c r="QEB74" s="609"/>
      <c r="QEC74" s="609"/>
      <c r="QED74" s="609"/>
      <c r="QEE74" s="609"/>
      <c r="QEF74" s="609"/>
      <c r="QEG74" s="609"/>
      <c r="QEH74" s="609"/>
      <c r="QEI74" s="609"/>
      <c r="QEJ74" s="609"/>
      <c r="QEK74" s="609"/>
      <c r="QEL74" s="609"/>
      <c r="QEM74" s="609"/>
      <c r="QEN74" s="609"/>
      <c r="QEO74" s="609"/>
      <c r="QEP74" s="609"/>
      <c r="QEQ74" s="609"/>
      <c r="QER74" s="609"/>
      <c r="QES74" s="609"/>
      <c r="QET74" s="609"/>
      <c r="QEU74" s="609"/>
      <c r="QEV74" s="609"/>
      <c r="QEW74" s="609"/>
      <c r="QEX74" s="609"/>
      <c r="QEY74" s="609"/>
      <c r="QEZ74" s="609"/>
      <c r="QFA74" s="609"/>
      <c r="QFB74" s="609"/>
      <c r="QFC74" s="609"/>
      <c r="QFD74" s="609"/>
      <c r="QFE74" s="609"/>
      <c r="QFF74" s="609"/>
      <c r="QFG74" s="609"/>
      <c r="QFH74" s="609"/>
      <c r="QFI74" s="609"/>
      <c r="QFJ74" s="609"/>
      <c r="QFK74" s="609"/>
      <c r="QFL74" s="609"/>
      <c r="QFM74" s="609"/>
      <c r="QFN74" s="609"/>
      <c r="QFO74" s="609"/>
      <c r="QFP74" s="609"/>
      <c r="QFQ74" s="609"/>
      <c r="QFR74" s="609"/>
      <c r="QFS74" s="609"/>
      <c r="QFT74" s="609"/>
      <c r="QFU74" s="609"/>
      <c r="QFV74" s="609"/>
      <c r="QFW74" s="609"/>
      <c r="QFX74" s="609"/>
      <c r="QFY74" s="609"/>
      <c r="QFZ74" s="609"/>
      <c r="QGA74" s="609"/>
      <c r="QGB74" s="609"/>
      <c r="QGC74" s="609"/>
      <c r="QGD74" s="609"/>
      <c r="QGE74" s="609"/>
      <c r="QGF74" s="609"/>
      <c r="QGG74" s="609"/>
      <c r="QGH74" s="609"/>
      <c r="QGI74" s="609"/>
      <c r="QGJ74" s="609"/>
      <c r="QGK74" s="609"/>
      <c r="QGL74" s="609"/>
      <c r="QGM74" s="609"/>
      <c r="QGN74" s="609"/>
      <c r="QGO74" s="609"/>
      <c r="QGP74" s="609"/>
      <c r="QGQ74" s="609"/>
      <c r="QGR74" s="609"/>
      <c r="QGS74" s="609"/>
      <c r="QGT74" s="609"/>
      <c r="QGU74" s="609"/>
      <c r="QGV74" s="609"/>
      <c r="QGW74" s="609"/>
      <c r="QGX74" s="609"/>
      <c r="QGY74" s="609"/>
      <c r="QGZ74" s="609"/>
      <c r="QHA74" s="609"/>
      <c r="QHB74" s="609"/>
      <c r="QHC74" s="609"/>
      <c r="QHD74" s="609"/>
      <c r="QHE74" s="609"/>
      <c r="QHF74" s="609"/>
      <c r="QHG74" s="609"/>
      <c r="QHH74" s="609"/>
      <c r="QHI74" s="609"/>
      <c r="QHJ74" s="609"/>
      <c r="QHK74" s="609"/>
      <c r="QHL74" s="609"/>
      <c r="QHM74" s="609"/>
      <c r="QHN74" s="609"/>
      <c r="QHO74" s="609"/>
      <c r="QHP74" s="609"/>
      <c r="QHQ74" s="609"/>
      <c r="QHR74" s="609"/>
      <c r="QHS74" s="609"/>
      <c r="QHT74" s="609"/>
      <c r="QHU74" s="609"/>
      <c r="QHV74" s="609"/>
      <c r="QHW74" s="609"/>
      <c r="QHX74" s="609"/>
      <c r="QHY74" s="609"/>
      <c r="QHZ74" s="609"/>
      <c r="QIA74" s="609"/>
      <c r="QIB74" s="609"/>
      <c r="QIC74" s="609"/>
      <c r="QID74" s="609"/>
      <c r="QIE74" s="609"/>
      <c r="QIF74" s="609"/>
      <c r="QIG74" s="609"/>
      <c r="QIH74" s="609"/>
      <c r="QII74" s="609"/>
      <c r="QIJ74" s="609"/>
      <c r="QIK74" s="609"/>
      <c r="QIL74" s="609"/>
      <c r="QIM74" s="609"/>
      <c r="QIN74" s="609"/>
      <c r="QIO74" s="609"/>
      <c r="QIP74" s="609"/>
      <c r="QIQ74" s="609"/>
      <c r="QIR74" s="609"/>
      <c r="QIS74" s="609"/>
      <c r="QIT74" s="609"/>
      <c r="QIU74" s="609"/>
      <c r="QIV74" s="609"/>
      <c r="QIW74" s="609"/>
      <c r="QIX74" s="609"/>
      <c r="QIY74" s="609"/>
      <c r="QIZ74" s="609"/>
      <c r="QJA74" s="609"/>
      <c r="QJB74" s="609"/>
      <c r="QJC74" s="609"/>
      <c r="QJD74" s="609"/>
      <c r="QJE74" s="609"/>
      <c r="QJF74" s="609"/>
      <c r="QJG74" s="609"/>
      <c r="QJH74" s="609"/>
      <c r="QJI74" s="609"/>
      <c r="QJJ74" s="609"/>
      <c r="QJK74" s="609"/>
      <c r="QJL74" s="609"/>
      <c r="QJM74" s="609"/>
      <c r="QJN74" s="609"/>
      <c r="QJO74" s="609"/>
      <c r="QJP74" s="609"/>
      <c r="QJQ74" s="609"/>
      <c r="QJR74" s="609"/>
      <c r="QJS74" s="609"/>
      <c r="QJT74" s="609"/>
      <c r="QJU74" s="609"/>
      <c r="QJV74" s="609"/>
      <c r="QJW74" s="609"/>
      <c r="QJX74" s="609"/>
      <c r="QJY74" s="609"/>
      <c r="QJZ74" s="609"/>
      <c r="QKA74" s="609"/>
      <c r="QKB74" s="609"/>
      <c r="QKC74" s="609"/>
      <c r="QKD74" s="609"/>
      <c r="QKE74" s="609"/>
      <c r="QKF74" s="609"/>
      <c r="QKG74" s="609"/>
      <c r="QKH74" s="609"/>
      <c r="QKI74" s="609"/>
      <c r="QKJ74" s="609"/>
      <c r="QKK74" s="609"/>
      <c r="QKL74" s="609"/>
      <c r="QKM74" s="609"/>
      <c r="QKN74" s="609"/>
      <c r="QKO74" s="609"/>
      <c r="QKP74" s="609"/>
      <c r="QKQ74" s="609"/>
      <c r="QKR74" s="609"/>
      <c r="QKS74" s="609"/>
      <c r="QKT74" s="609"/>
      <c r="QKU74" s="609"/>
      <c r="QKV74" s="609"/>
      <c r="QKW74" s="609"/>
      <c r="QKX74" s="609"/>
      <c r="QKY74" s="609"/>
      <c r="QKZ74" s="609"/>
      <c r="QLA74" s="609"/>
      <c r="QLB74" s="609"/>
      <c r="QLC74" s="609"/>
      <c r="QLD74" s="609"/>
      <c r="QLE74" s="609"/>
      <c r="QLF74" s="609"/>
      <c r="QLG74" s="609"/>
      <c r="QLH74" s="609"/>
      <c r="QLI74" s="609"/>
      <c r="QLJ74" s="609"/>
      <c r="QLK74" s="609"/>
      <c r="QLL74" s="609"/>
      <c r="QLM74" s="609"/>
      <c r="QLN74" s="609"/>
      <c r="QLO74" s="609"/>
      <c r="QLP74" s="609"/>
      <c r="QLQ74" s="609"/>
      <c r="QLR74" s="609"/>
      <c r="QLS74" s="609"/>
      <c r="QLT74" s="609"/>
      <c r="QLU74" s="609"/>
      <c r="QLV74" s="609"/>
      <c r="QLW74" s="609"/>
      <c r="QLX74" s="609"/>
      <c r="QLY74" s="609"/>
      <c r="QLZ74" s="609"/>
      <c r="QMA74" s="609"/>
      <c r="QMB74" s="609"/>
      <c r="QMC74" s="609"/>
      <c r="QMD74" s="609"/>
      <c r="QME74" s="609"/>
      <c r="QMF74" s="609"/>
      <c r="QMG74" s="609"/>
      <c r="QMH74" s="609"/>
      <c r="QMI74" s="609"/>
      <c r="QMJ74" s="609"/>
      <c r="QMK74" s="609"/>
      <c r="QML74" s="609"/>
      <c r="QMM74" s="609"/>
      <c r="QMN74" s="609"/>
      <c r="QMO74" s="609"/>
      <c r="QMP74" s="609"/>
      <c r="QMQ74" s="609"/>
      <c r="QMR74" s="609"/>
      <c r="QMS74" s="609"/>
      <c r="QMT74" s="609"/>
      <c r="QMU74" s="609"/>
      <c r="QMV74" s="609"/>
      <c r="QMW74" s="609"/>
      <c r="QMX74" s="609"/>
      <c r="QMY74" s="609"/>
      <c r="QMZ74" s="609"/>
      <c r="QNA74" s="609"/>
      <c r="QNB74" s="609"/>
      <c r="QNC74" s="609"/>
      <c r="QND74" s="609"/>
      <c r="QNE74" s="609"/>
      <c r="QNF74" s="609"/>
      <c r="QNG74" s="609"/>
      <c r="QNH74" s="609"/>
      <c r="QNI74" s="609"/>
      <c r="QNJ74" s="609"/>
      <c r="QNK74" s="609"/>
      <c r="QNL74" s="609"/>
      <c r="QNM74" s="609"/>
      <c r="QNN74" s="609"/>
      <c r="QNO74" s="609"/>
      <c r="QNP74" s="609"/>
      <c r="QNQ74" s="609"/>
      <c r="QNR74" s="609"/>
      <c r="QNS74" s="609"/>
      <c r="QNT74" s="609"/>
      <c r="QNU74" s="609"/>
      <c r="QNV74" s="609"/>
      <c r="QNW74" s="609"/>
      <c r="QNX74" s="609"/>
      <c r="QNY74" s="609"/>
      <c r="QNZ74" s="609"/>
      <c r="QOA74" s="609"/>
      <c r="QOB74" s="609"/>
      <c r="QOC74" s="609"/>
      <c r="QOD74" s="609"/>
      <c r="QOE74" s="609"/>
      <c r="QOF74" s="609"/>
      <c r="QOG74" s="609"/>
      <c r="QOH74" s="609"/>
      <c r="QOI74" s="609"/>
      <c r="QOJ74" s="609"/>
      <c r="QOK74" s="609"/>
      <c r="QOL74" s="609"/>
      <c r="QOM74" s="609"/>
      <c r="QON74" s="609"/>
      <c r="QOO74" s="609"/>
      <c r="QOP74" s="609"/>
      <c r="QOQ74" s="609"/>
      <c r="QOR74" s="609"/>
      <c r="QOS74" s="609"/>
      <c r="QOT74" s="609"/>
      <c r="QOU74" s="609"/>
      <c r="QOV74" s="609"/>
      <c r="QOW74" s="609"/>
      <c r="QOX74" s="609"/>
      <c r="QOY74" s="609"/>
      <c r="QOZ74" s="609"/>
      <c r="QPA74" s="609"/>
      <c r="QPB74" s="609"/>
      <c r="QPC74" s="609"/>
      <c r="QPD74" s="609"/>
      <c r="QPE74" s="609"/>
      <c r="QPF74" s="609"/>
      <c r="QPG74" s="609"/>
      <c r="QPH74" s="609"/>
      <c r="QPI74" s="609"/>
      <c r="QPJ74" s="609"/>
      <c r="QPK74" s="609"/>
      <c r="QPL74" s="609"/>
      <c r="QPM74" s="609"/>
      <c r="QPN74" s="609"/>
      <c r="QPO74" s="609"/>
      <c r="QPP74" s="609"/>
      <c r="QPQ74" s="609"/>
      <c r="QPR74" s="609"/>
      <c r="QPS74" s="609"/>
      <c r="QPT74" s="609"/>
      <c r="QPU74" s="609"/>
      <c r="QPV74" s="609"/>
      <c r="QPW74" s="609"/>
      <c r="QPX74" s="609"/>
      <c r="QPY74" s="609"/>
      <c r="QPZ74" s="609"/>
      <c r="QQA74" s="609"/>
      <c r="QQB74" s="609"/>
      <c r="QQC74" s="609"/>
      <c r="QQD74" s="609"/>
      <c r="QQE74" s="609"/>
      <c r="QQF74" s="609"/>
      <c r="QQG74" s="609"/>
      <c r="QQH74" s="609"/>
      <c r="QQI74" s="609"/>
      <c r="QQJ74" s="609"/>
      <c r="QQK74" s="609"/>
      <c r="QQL74" s="609"/>
      <c r="QQM74" s="609"/>
      <c r="QQN74" s="609"/>
      <c r="QQO74" s="609"/>
      <c r="QQP74" s="609"/>
      <c r="QQQ74" s="609"/>
      <c r="QQR74" s="609"/>
      <c r="QQS74" s="609"/>
      <c r="QQT74" s="609"/>
      <c r="QQU74" s="609"/>
      <c r="QQV74" s="609"/>
      <c r="QQW74" s="609"/>
      <c r="QQX74" s="609"/>
      <c r="QQY74" s="609"/>
      <c r="QQZ74" s="609"/>
      <c r="QRA74" s="609"/>
      <c r="QRB74" s="609"/>
      <c r="QRC74" s="609"/>
      <c r="QRD74" s="609"/>
      <c r="QRE74" s="609"/>
      <c r="QRF74" s="609"/>
      <c r="QRG74" s="609"/>
      <c r="QRH74" s="609"/>
      <c r="QRI74" s="609"/>
      <c r="QRJ74" s="609"/>
      <c r="QRK74" s="609"/>
      <c r="QRL74" s="609"/>
      <c r="QRM74" s="609"/>
      <c r="QRN74" s="609"/>
      <c r="QRO74" s="609"/>
      <c r="QRP74" s="609"/>
      <c r="QRQ74" s="609"/>
      <c r="QRR74" s="609"/>
      <c r="QRS74" s="609"/>
      <c r="QRT74" s="609"/>
      <c r="QRU74" s="609"/>
      <c r="QRV74" s="609"/>
      <c r="QRW74" s="609"/>
      <c r="QRX74" s="609"/>
      <c r="QRY74" s="609"/>
      <c r="QRZ74" s="609"/>
      <c r="QSA74" s="609"/>
      <c r="QSB74" s="609"/>
      <c r="QSC74" s="609"/>
      <c r="QSD74" s="609"/>
      <c r="QSE74" s="609"/>
      <c r="QSF74" s="609"/>
      <c r="QSG74" s="609"/>
      <c r="QSH74" s="609"/>
      <c r="QSI74" s="609"/>
      <c r="QSJ74" s="609"/>
      <c r="QSK74" s="609"/>
      <c r="QSL74" s="609"/>
      <c r="QSM74" s="609"/>
      <c r="QSN74" s="609"/>
      <c r="QSO74" s="609"/>
      <c r="QSP74" s="609"/>
      <c r="QSQ74" s="609"/>
      <c r="QSR74" s="609"/>
      <c r="QSS74" s="609"/>
      <c r="QST74" s="609"/>
      <c r="QSU74" s="609"/>
      <c r="QSV74" s="609"/>
      <c r="QSW74" s="609"/>
      <c r="QSX74" s="609"/>
      <c r="QSY74" s="609"/>
      <c r="QSZ74" s="609"/>
      <c r="QTA74" s="609"/>
      <c r="QTB74" s="609"/>
      <c r="QTC74" s="609"/>
      <c r="QTD74" s="609"/>
      <c r="QTE74" s="609"/>
      <c r="QTF74" s="609"/>
      <c r="QTG74" s="609"/>
      <c r="QTH74" s="609"/>
      <c r="QTI74" s="609"/>
      <c r="QTJ74" s="609"/>
      <c r="QTK74" s="609"/>
      <c r="QTL74" s="609"/>
      <c r="QTM74" s="609"/>
      <c r="QTN74" s="609"/>
      <c r="QTO74" s="609"/>
      <c r="QTP74" s="609"/>
      <c r="QTQ74" s="609"/>
      <c r="QTR74" s="609"/>
      <c r="QTS74" s="609"/>
      <c r="QTT74" s="609"/>
      <c r="QTU74" s="609"/>
      <c r="QTV74" s="609"/>
      <c r="QTW74" s="609"/>
      <c r="QTX74" s="609"/>
      <c r="QTY74" s="609"/>
      <c r="QTZ74" s="609"/>
      <c r="QUA74" s="609"/>
      <c r="QUB74" s="609"/>
      <c r="QUC74" s="609"/>
      <c r="QUD74" s="609"/>
      <c r="QUE74" s="609"/>
      <c r="QUF74" s="609"/>
      <c r="QUG74" s="609"/>
      <c r="QUH74" s="609"/>
      <c r="QUI74" s="609"/>
      <c r="QUJ74" s="609"/>
      <c r="QUK74" s="609"/>
      <c r="QUL74" s="609"/>
      <c r="QUM74" s="609"/>
      <c r="QUN74" s="609"/>
      <c r="QUO74" s="609"/>
      <c r="QUP74" s="609"/>
      <c r="QUQ74" s="609"/>
      <c r="QUR74" s="609"/>
      <c r="QUS74" s="609"/>
      <c r="QUT74" s="609"/>
      <c r="QUU74" s="609"/>
      <c r="QUV74" s="609"/>
      <c r="QUW74" s="609"/>
      <c r="QUX74" s="609"/>
      <c r="QUY74" s="609"/>
      <c r="QUZ74" s="609"/>
      <c r="QVA74" s="609"/>
      <c r="QVB74" s="609"/>
      <c r="QVC74" s="609"/>
      <c r="QVD74" s="609"/>
      <c r="QVE74" s="609"/>
      <c r="QVF74" s="609"/>
      <c r="QVG74" s="609"/>
      <c r="QVH74" s="609"/>
      <c r="QVI74" s="609"/>
      <c r="QVJ74" s="609"/>
      <c r="QVK74" s="609"/>
      <c r="QVL74" s="609"/>
      <c r="QVM74" s="609"/>
      <c r="QVN74" s="609"/>
      <c r="QVO74" s="609"/>
      <c r="QVP74" s="609"/>
      <c r="QVQ74" s="609"/>
      <c r="QVR74" s="609"/>
      <c r="QVS74" s="609"/>
      <c r="QVT74" s="609"/>
      <c r="QVU74" s="609"/>
      <c r="QVV74" s="609"/>
      <c r="QVW74" s="609"/>
      <c r="QVX74" s="609"/>
      <c r="QVY74" s="609"/>
      <c r="QVZ74" s="609"/>
      <c r="QWA74" s="609"/>
      <c r="QWB74" s="609"/>
      <c r="QWC74" s="609"/>
      <c r="QWD74" s="609"/>
      <c r="QWE74" s="609"/>
      <c r="QWF74" s="609"/>
      <c r="QWG74" s="609"/>
      <c r="QWH74" s="609"/>
      <c r="QWI74" s="609"/>
      <c r="QWJ74" s="609"/>
      <c r="QWK74" s="609"/>
      <c r="QWL74" s="609"/>
      <c r="QWM74" s="609"/>
      <c r="QWN74" s="609"/>
      <c r="QWO74" s="609"/>
      <c r="QWP74" s="609"/>
      <c r="QWQ74" s="609"/>
      <c r="QWR74" s="609"/>
      <c r="QWS74" s="609"/>
      <c r="QWT74" s="609"/>
      <c r="QWU74" s="609"/>
      <c r="QWV74" s="609"/>
      <c r="QWW74" s="609"/>
      <c r="QWX74" s="609"/>
      <c r="QWY74" s="609"/>
      <c r="QWZ74" s="609"/>
      <c r="QXA74" s="609"/>
      <c r="QXB74" s="609"/>
      <c r="QXC74" s="609"/>
      <c r="QXD74" s="609"/>
      <c r="QXE74" s="609"/>
      <c r="QXF74" s="609"/>
      <c r="QXG74" s="609"/>
      <c r="QXH74" s="609"/>
      <c r="QXI74" s="609"/>
      <c r="QXJ74" s="609"/>
      <c r="QXK74" s="609"/>
      <c r="QXL74" s="609"/>
      <c r="QXM74" s="609"/>
      <c r="QXN74" s="609"/>
      <c r="QXO74" s="609"/>
      <c r="QXP74" s="609"/>
      <c r="QXQ74" s="609"/>
      <c r="QXR74" s="609"/>
      <c r="QXS74" s="609"/>
      <c r="QXT74" s="609"/>
      <c r="QXU74" s="609"/>
      <c r="QXV74" s="609"/>
      <c r="QXW74" s="609"/>
      <c r="QXX74" s="609"/>
      <c r="QXY74" s="609"/>
      <c r="QXZ74" s="609"/>
      <c r="QYA74" s="609"/>
      <c r="QYB74" s="609"/>
      <c r="QYC74" s="609"/>
      <c r="QYD74" s="609"/>
      <c r="QYE74" s="609"/>
      <c r="QYF74" s="609"/>
      <c r="QYG74" s="609"/>
      <c r="QYH74" s="609"/>
      <c r="QYI74" s="609"/>
      <c r="QYJ74" s="609"/>
      <c r="QYK74" s="609"/>
      <c r="QYL74" s="609"/>
      <c r="QYM74" s="609"/>
      <c r="QYN74" s="609"/>
      <c r="QYO74" s="609"/>
      <c r="QYP74" s="609"/>
      <c r="QYQ74" s="609"/>
      <c r="QYR74" s="609"/>
      <c r="QYS74" s="609"/>
      <c r="QYT74" s="609"/>
      <c r="QYU74" s="609"/>
      <c r="QYV74" s="609"/>
      <c r="QYW74" s="609"/>
      <c r="QYX74" s="609"/>
      <c r="QYY74" s="609"/>
      <c r="QYZ74" s="609"/>
      <c r="QZA74" s="609"/>
      <c r="QZB74" s="609"/>
      <c r="QZC74" s="609"/>
      <c r="QZD74" s="609"/>
      <c r="QZE74" s="609"/>
      <c r="QZF74" s="609"/>
      <c r="QZG74" s="609"/>
      <c r="QZH74" s="609"/>
      <c r="QZI74" s="609"/>
      <c r="QZJ74" s="609"/>
      <c r="QZK74" s="609"/>
      <c r="QZL74" s="609"/>
      <c r="QZM74" s="609"/>
      <c r="QZN74" s="609"/>
      <c r="QZO74" s="609"/>
      <c r="QZP74" s="609"/>
      <c r="QZQ74" s="609"/>
      <c r="QZR74" s="609"/>
      <c r="QZS74" s="609"/>
      <c r="QZT74" s="609"/>
      <c r="QZU74" s="609"/>
      <c r="QZV74" s="609"/>
      <c r="QZW74" s="609"/>
      <c r="QZX74" s="609"/>
      <c r="QZY74" s="609"/>
      <c r="QZZ74" s="609"/>
      <c r="RAA74" s="609"/>
      <c r="RAB74" s="609"/>
      <c r="RAC74" s="609"/>
      <c r="RAD74" s="609"/>
      <c r="RAE74" s="609"/>
      <c r="RAF74" s="609"/>
      <c r="RAG74" s="609"/>
      <c r="RAH74" s="609"/>
      <c r="RAI74" s="609"/>
      <c r="RAJ74" s="609"/>
      <c r="RAK74" s="609"/>
      <c r="RAL74" s="609"/>
      <c r="RAM74" s="609"/>
      <c r="RAN74" s="609"/>
      <c r="RAO74" s="609"/>
      <c r="RAP74" s="609"/>
      <c r="RAQ74" s="609"/>
      <c r="RAR74" s="609"/>
      <c r="RAS74" s="609"/>
      <c r="RAT74" s="609"/>
      <c r="RAU74" s="609"/>
      <c r="RAV74" s="609"/>
      <c r="RAW74" s="609"/>
      <c r="RAX74" s="609"/>
      <c r="RAY74" s="609"/>
      <c r="RAZ74" s="609"/>
      <c r="RBA74" s="609"/>
      <c r="RBB74" s="609"/>
      <c r="RBC74" s="609"/>
      <c r="RBD74" s="609"/>
      <c r="RBE74" s="609"/>
      <c r="RBF74" s="609"/>
      <c r="RBG74" s="609"/>
      <c r="RBH74" s="609"/>
      <c r="RBI74" s="609"/>
      <c r="RBJ74" s="609"/>
      <c r="RBK74" s="609"/>
      <c r="RBL74" s="609"/>
      <c r="RBM74" s="609"/>
      <c r="RBN74" s="609"/>
      <c r="RBO74" s="609"/>
      <c r="RBP74" s="609"/>
      <c r="RBQ74" s="609"/>
      <c r="RBR74" s="609"/>
      <c r="RBS74" s="609"/>
      <c r="RBT74" s="609"/>
      <c r="RBU74" s="609"/>
      <c r="RBV74" s="609"/>
      <c r="RBW74" s="609"/>
      <c r="RBX74" s="609"/>
      <c r="RBY74" s="609"/>
      <c r="RBZ74" s="609"/>
      <c r="RCA74" s="609"/>
      <c r="RCB74" s="609"/>
      <c r="RCC74" s="609"/>
      <c r="RCD74" s="609"/>
      <c r="RCE74" s="609"/>
      <c r="RCF74" s="609"/>
      <c r="RCG74" s="609"/>
      <c r="RCH74" s="609"/>
      <c r="RCI74" s="609"/>
      <c r="RCJ74" s="609"/>
      <c r="RCK74" s="609"/>
      <c r="RCL74" s="609"/>
      <c r="RCM74" s="609"/>
      <c r="RCN74" s="609"/>
      <c r="RCO74" s="609"/>
      <c r="RCP74" s="609"/>
      <c r="RCQ74" s="609"/>
      <c r="RCR74" s="609"/>
      <c r="RCS74" s="609"/>
      <c r="RCT74" s="609"/>
      <c r="RCU74" s="609"/>
      <c r="RCV74" s="609"/>
      <c r="RCW74" s="609"/>
      <c r="RCX74" s="609"/>
      <c r="RCY74" s="609"/>
      <c r="RCZ74" s="609"/>
      <c r="RDA74" s="609"/>
      <c r="RDB74" s="609"/>
      <c r="RDC74" s="609"/>
      <c r="RDD74" s="609"/>
      <c r="RDE74" s="609"/>
      <c r="RDF74" s="609"/>
      <c r="RDG74" s="609"/>
      <c r="RDH74" s="609"/>
      <c r="RDI74" s="609"/>
      <c r="RDJ74" s="609"/>
      <c r="RDK74" s="609"/>
      <c r="RDL74" s="609"/>
      <c r="RDM74" s="609"/>
      <c r="RDN74" s="609"/>
      <c r="RDO74" s="609"/>
      <c r="RDP74" s="609"/>
      <c r="RDQ74" s="609"/>
      <c r="RDR74" s="609"/>
      <c r="RDS74" s="609"/>
      <c r="RDT74" s="609"/>
      <c r="RDU74" s="609"/>
      <c r="RDV74" s="609"/>
      <c r="RDW74" s="609"/>
      <c r="RDX74" s="609"/>
      <c r="RDY74" s="609"/>
      <c r="RDZ74" s="609"/>
      <c r="REA74" s="609"/>
      <c r="REB74" s="609"/>
      <c r="REC74" s="609"/>
      <c r="RED74" s="609"/>
      <c r="REE74" s="609"/>
      <c r="REF74" s="609"/>
      <c r="REG74" s="609"/>
      <c r="REH74" s="609"/>
      <c r="REI74" s="609"/>
      <c r="REJ74" s="609"/>
      <c r="REK74" s="609"/>
      <c r="REL74" s="609"/>
      <c r="REM74" s="609"/>
      <c r="REN74" s="609"/>
      <c r="REO74" s="609"/>
      <c r="REP74" s="609"/>
      <c r="REQ74" s="609"/>
      <c r="RER74" s="609"/>
      <c r="RES74" s="609"/>
      <c r="RET74" s="609"/>
      <c r="REU74" s="609"/>
      <c r="REV74" s="609"/>
      <c r="REW74" s="609"/>
      <c r="REX74" s="609"/>
      <c r="REY74" s="609"/>
      <c r="REZ74" s="609"/>
      <c r="RFA74" s="609"/>
      <c r="RFB74" s="609"/>
      <c r="RFC74" s="609"/>
      <c r="RFD74" s="609"/>
      <c r="RFE74" s="609"/>
      <c r="RFF74" s="609"/>
      <c r="RFG74" s="609"/>
      <c r="RFH74" s="609"/>
      <c r="RFI74" s="609"/>
      <c r="RFJ74" s="609"/>
      <c r="RFK74" s="609"/>
      <c r="RFL74" s="609"/>
      <c r="RFM74" s="609"/>
      <c r="RFN74" s="609"/>
      <c r="RFO74" s="609"/>
      <c r="RFP74" s="609"/>
      <c r="RFQ74" s="609"/>
      <c r="RFR74" s="609"/>
      <c r="RFS74" s="609"/>
      <c r="RFT74" s="609"/>
      <c r="RFU74" s="609"/>
      <c r="RFV74" s="609"/>
      <c r="RFW74" s="609"/>
      <c r="RFX74" s="609"/>
      <c r="RFY74" s="609"/>
      <c r="RFZ74" s="609"/>
      <c r="RGA74" s="609"/>
      <c r="RGB74" s="609"/>
      <c r="RGC74" s="609"/>
      <c r="RGD74" s="609"/>
      <c r="RGE74" s="609"/>
      <c r="RGF74" s="609"/>
      <c r="RGG74" s="609"/>
      <c r="RGH74" s="609"/>
      <c r="RGI74" s="609"/>
      <c r="RGJ74" s="609"/>
      <c r="RGK74" s="609"/>
      <c r="RGL74" s="609"/>
      <c r="RGM74" s="609"/>
      <c r="RGN74" s="609"/>
      <c r="RGO74" s="609"/>
      <c r="RGP74" s="609"/>
      <c r="RGQ74" s="609"/>
      <c r="RGR74" s="609"/>
      <c r="RGS74" s="609"/>
      <c r="RGT74" s="609"/>
      <c r="RGU74" s="609"/>
      <c r="RGV74" s="609"/>
      <c r="RGW74" s="609"/>
      <c r="RGX74" s="609"/>
      <c r="RGY74" s="609"/>
      <c r="RGZ74" s="609"/>
      <c r="RHA74" s="609"/>
      <c r="RHB74" s="609"/>
      <c r="RHC74" s="609"/>
      <c r="RHD74" s="609"/>
      <c r="RHE74" s="609"/>
      <c r="RHF74" s="609"/>
      <c r="RHG74" s="609"/>
      <c r="RHH74" s="609"/>
      <c r="RHI74" s="609"/>
      <c r="RHJ74" s="609"/>
      <c r="RHK74" s="609"/>
      <c r="RHL74" s="609"/>
      <c r="RHM74" s="609"/>
      <c r="RHN74" s="609"/>
      <c r="RHO74" s="609"/>
      <c r="RHP74" s="609"/>
      <c r="RHQ74" s="609"/>
      <c r="RHR74" s="609"/>
      <c r="RHS74" s="609"/>
      <c r="RHT74" s="609"/>
      <c r="RHU74" s="609"/>
      <c r="RHV74" s="609"/>
      <c r="RHW74" s="609"/>
      <c r="RHX74" s="609"/>
      <c r="RHY74" s="609"/>
      <c r="RHZ74" s="609"/>
      <c r="RIA74" s="609"/>
      <c r="RIB74" s="609"/>
      <c r="RIC74" s="609"/>
      <c r="RID74" s="609"/>
      <c r="RIE74" s="609"/>
      <c r="RIF74" s="609"/>
      <c r="RIG74" s="609"/>
      <c r="RIH74" s="609"/>
      <c r="RII74" s="609"/>
      <c r="RIJ74" s="609"/>
      <c r="RIK74" s="609"/>
      <c r="RIL74" s="609"/>
      <c r="RIM74" s="609"/>
      <c r="RIN74" s="609"/>
      <c r="RIO74" s="609"/>
      <c r="RIP74" s="609"/>
      <c r="RIQ74" s="609"/>
      <c r="RIR74" s="609"/>
      <c r="RIS74" s="609"/>
      <c r="RIT74" s="609"/>
      <c r="RIU74" s="609"/>
      <c r="RIV74" s="609"/>
      <c r="RIW74" s="609"/>
      <c r="RIX74" s="609"/>
      <c r="RIY74" s="609"/>
      <c r="RIZ74" s="609"/>
      <c r="RJA74" s="609"/>
      <c r="RJB74" s="609"/>
      <c r="RJC74" s="609"/>
      <c r="RJD74" s="609"/>
      <c r="RJE74" s="609"/>
      <c r="RJF74" s="609"/>
      <c r="RJG74" s="609"/>
      <c r="RJH74" s="609"/>
      <c r="RJI74" s="609"/>
      <c r="RJJ74" s="609"/>
      <c r="RJK74" s="609"/>
      <c r="RJL74" s="609"/>
      <c r="RJM74" s="609"/>
      <c r="RJN74" s="609"/>
      <c r="RJO74" s="609"/>
      <c r="RJP74" s="609"/>
      <c r="RJQ74" s="609"/>
      <c r="RJR74" s="609"/>
      <c r="RJS74" s="609"/>
      <c r="RJT74" s="609"/>
      <c r="RJU74" s="609"/>
      <c r="RJV74" s="609"/>
      <c r="RJW74" s="609"/>
      <c r="RJX74" s="609"/>
      <c r="RJY74" s="609"/>
      <c r="RJZ74" s="609"/>
      <c r="RKA74" s="609"/>
      <c r="RKB74" s="609"/>
      <c r="RKC74" s="609"/>
      <c r="RKD74" s="609"/>
      <c r="RKE74" s="609"/>
      <c r="RKF74" s="609"/>
      <c r="RKG74" s="609"/>
      <c r="RKH74" s="609"/>
      <c r="RKI74" s="609"/>
      <c r="RKJ74" s="609"/>
      <c r="RKK74" s="609"/>
      <c r="RKL74" s="609"/>
      <c r="RKM74" s="609"/>
      <c r="RKN74" s="609"/>
      <c r="RKO74" s="609"/>
      <c r="RKP74" s="609"/>
      <c r="RKQ74" s="609"/>
      <c r="RKR74" s="609"/>
      <c r="RKS74" s="609"/>
      <c r="RKT74" s="609"/>
      <c r="RKU74" s="609"/>
      <c r="RKV74" s="609"/>
      <c r="RKW74" s="609"/>
      <c r="RKX74" s="609"/>
      <c r="RKY74" s="609"/>
      <c r="RKZ74" s="609"/>
      <c r="RLA74" s="609"/>
      <c r="RLB74" s="609"/>
      <c r="RLC74" s="609"/>
      <c r="RLD74" s="609"/>
      <c r="RLE74" s="609"/>
      <c r="RLF74" s="609"/>
      <c r="RLG74" s="609"/>
      <c r="RLH74" s="609"/>
      <c r="RLI74" s="609"/>
      <c r="RLJ74" s="609"/>
      <c r="RLK74" s="609"/>
      <c r="RLL74" s="609"/>
      <c r="RLM74" s="609"/>
      <c r="RLN74" s="609"/>
      <c r="RLO74" s="609"/>
      <c r="RLP74" s="609"/>
      <c r="RLQ74" s="609"/>
      <c r="RLR74" s="609"/>
      <c r="RLS74" s="609"/>
      <c r="RLT74" s="609"/>
      <c r="RLU74" s="609"/>
      <c r="RLV74" s="609"/>
      <c r="RLW74" s="609"/>
      <c r="RLX74" s="609"/>
      <c r="RLY74" s="609"/>
      <c r="RLZ74" s="609"/>
      <c r="RMA74" s="609"/>
      <c r="RMB74" s="609"/>
      <c r="RMC74" s="609"/>
      <c r="RMD74" s="609"/>
      <c r="RME74" s="609"/>
      <c r="RMF74" s="609"/>
      <c r="RMG74" s="609"/>
      <c r="RMH74" s="609"/>
      <c r="RMI74" s="609"/>
      <c r="RMJ74" s="609"/>
      <c r="RMK74" s="609"/>
      <c r="RML74" s="609"/>
      <c r="RMM74" s="609"/>
      <c r="RMN74" s="609"/>
      <c r="RMO74" s="609"/>
      <c r="RMP74" s="609"/>
      <c r="RMQ74" s="609"/>
      <c r="RMR74" s="609"/>
      <c r="RMS74" s="609"/>
      <c r="RMT74" s="609"/>
      <c r="RMU74" s="609"/>
      <c r="RMV74" s="609"/>
      <c r="RMW74" s="609"/>
      <c r="RMX74" s="609"/>
      <c r="RMY74" s="609"/>
      <c r="RMZ74" s="609"/>
      <c r="RNA74" s="609"/>
      <c r="RNB74" s="609"/>
      <c r="RNC74" s="609"/>
      <c r="RND74" s="609"/>
      <c r="RNE74" s="609"/>
      <c r="RNF74" s="609"/>
      <c r="RNG74" s="609"/>
      <c r="RNH74" s="609"/>
      <c r="RNI74" s="609"/>
      <c r="RNJ74" s="609"/>
      <c r="RNK74" s="609"/>
      <c r="RNL74" s="609"/>
      <c r="RNM74" s="609"/>
      <c r="RNN74" s="609"/>
      <c r="RNO74" s="609"/>
      <c r="RNP74" s="609"/>
      <c r="RNQ74" s="609"/>
      <c r="RNR74" s="609"/>
      <c r="RNS74" s="609"/>
      <c r="RNT74" s="609"/>
      <c r="RNU74" s="609"/>
      <c r="RNV74" s="609"/>
      <c r="RNW74" s="609"/>
      <c r="RNX74" s="609"/>
      <c r="RNY74" s="609"/>
      <c r="RNZ74" s="609"/>
      <c r="ROA74" s="609"/>
      <c r="ROB74" s="609"/>
      <c r="ROC74" s="609"/>
      <c r="ROD74" s="609"/>
      <c r="ROE74" s="609"/>
      <c r="ROF74" s="609"/>
      <c r="ROG74" s="609"/>
      <c r="ROH74" s="609"/>
      <c r="ROI74" s="609"/>
      <c r="ROJ74" s="609"/>
      <c r="ROK74" s="609"/>
      <c r="ROL74" s="609"/>
      <c r="ROM74" s="609"/>
      <c r="RON74" s="609"/>
      <c r="ROO74" s="609"/>
      <c r="ROP74" s="609"/>
      <c r="ROQ74" s="609"/>
      <c r="ROR74" s="609"/>
      <c r="ROS74" s="609"/>
      <c r="ROT74" s="609"/>
      <c r="ROU74" s="609"/>
      <c r="ROV74" s="609"/>
      <c r="ROW74" s="609"/>
      <c r="ROX74" s="609"/>
      <c r="ROY74" s="609"/>
      <c r="ROZ74" s="609"/>
      <c r="RPA74" s="609"/>
      <c r="RPB74" s="609"/>
      <c r="RPC74" s="609"/>
      <c r="RPD74" s="609"/>
      <c r="RPE74" s="609"/>
      <c r="RPF74" s="609"/>
      <c r="RPG74" s="609"/>
      <c r="RPH74" s="609"/>
      <c r="RPI74" s="609"/>
      <c r="RPJ74" s="609"/>
      <c r="RPK74" s="609"/>
      <c r="RPL74" s="609"/>
      <c r="RPM74" s="609"/>
      <c r="RPN74" s="609"/>
      <c r="RPO74" s="609"/>
      <c r="RPP74" s="609"/>
      <c r="RPQ74" s="609"/>
      <c r="RPR74" s="609"/>
      <c r="RPS74" s="609"/>
      <c r="RPT74" s="609"/>
      <c r="RPU74" s="609"/>
      <c r="RPV74" s="609"/>
      <c r="RPW74" s="609"/>
      <c r="RPX74" s="609"/>
      <c r="RPY74" s="609"/>
      <c r="RPZ74" s="609"/>
      <c r="RQA74" s="609"/>
      <c r="RQB74" s="609"/>
      <c r="RQC74" s="609"/>
      <c r="RQD74" s="609"/>
      <c r="RQE74" s="609"/>
      <c r="RQF74" s="609"/>
      <c r="RQG74" s="609"/>
      <c r="RQH74" s="609"/>
      <c r="RQI74" s="609"/>
      <c r="RQJ74" s="609"/>
      <c r="RQK74" s="609"/>
      <c r="RQL74" s="609"/>
      <c r="RQM74" s="609"/>
      <c r="RQN74" s="609"/>
      <c r="RQO74" s="609"/>
      <c r="RQP74" s="609"/>
      <c r="RQQ74" s="609"/>
      <c r="RQR74" s="609"/>
      <c r="RQS74" s="609"/>
      <c r="RQT74" s="609"/>
      <c r="RQU74" s="609"/>
      <c r="RQV74" s="609"/>
      <c r="RQW74" s="609"/>
      <c r="RQX74" s="609"/>
      <c r="RQY74" s="609"/>
      <c r="RQZ74" s="609"/>
      <c r="RRA74" s="609"/>
      <c r="RRB74" s="609"/>
      <c r="RRC74" s="609"/>
      <c r="RRD74" s="609"/>
      <c r="RRE74" s="609"/>
      <c r="RRF74" s="609"/>
      <c r="RRG74" s="609"/>
      <c r="RRH74" s="609"/>
      <c r="RRI74" s="609"/>
      <c r="RRJ74" s="609"/>
      <c r="RRK74" s="609"/>
      <c r="RRL74" s="609"/>
      <c r="RRM74" s="609"/>
      <c r="RRN74" s="609"/>
      <c r="RRO74" s="609"/>
      <c r="RRP74" s="609"/>
      <c r="RRQ74" s="609"/>
      <c r="RRR74" s="609"/>
      <c r="RRS74" s="609"/>
      <c r="RRT74" s="609"/>
      <c r="RRU74" s="609"/>
      <c r="RRV74" s="609"/>
      <c r="RRW74" s="609"/>
      <c r="RRX74" s="609"/>
      <c r="RRY74" s="609"/>
      <c r="RRZ74" s="609"/>
      <c r="RSA74" s="609"/>
      <c r="RSB74" s="609"/>
      <c r="RSC74" s="609"/>
      <c r="RSD74" s="609"/>
      <c r="RSE74" s="609"/>
      <c r="RSF74" s="609"/>
      <c r="RSG74" s="609"/>
      <c r="RSH74" s="609"/>
      <c r="RSI74" s="609"/>
      <c r="RSJ74" s="609"/>
      <c r="RSK74" s="609"/>
      <c r="RSL74" s="609"/>
      <c r="RSM74" s="609"/>
      <c r="RSN74" s="609"/>
      <c r="RSO74" s="609"/>
      <c r="RSP74" s="609"/>
      <c r="RSQ74" s="609"/>
      <c r="RSR74" s="609"/>
      <c r="RSS74" s="609"/>
      <c r="RST74" s="609"/>
      <c r="RSU74" s="609"/>
      <c r="RSV74" s="609"/>
      <c r="RSW74" s="609"/>
      <c r="RSX74" s="609"/>
      <c r="RSY74" s="609"/>
      <c r="RSZ74" s="609"/>
      <c r="RTA74" s="609"/>
      <c r="RTB74" s="609"/>
      <c r="RTC74" s="609"/>
      <c r="RTD74" s="609"/>
      <c r="RTE74" s="609"/>
      <c r="RTF74" s="609"/>
      <c r="RTG74" s="609"/>
      <c r="RTH74" s="609"/>
      <c r="RTI74" s="609"/>
      <c r="RTJ74" s="609"/>
      <c r="RTK74" s="609"/>
      <c r="RTL74" s="609"/>
      <c r="RTM74" s="609"/>
      <c r="RTN74" s="609"/>
      <c r="RTO74" s="609"/>
      <c r="RTP74" s="609"/>
      <c r="RTQ74" s="609"/>
      <c r="RTR74" s="609"/>
      <c r="RTS74" s="609"/>
      <c r="RTT74" s="609"/>
      <c r="RTU74" s="609"/>
      <c r="RTV74" s="609"/>
      <c r="RTW74" s="609"/>
      <c r="RTX74" s="609"/>
      <c r="RTY74" s="609"/>
      <c r="RTZ74" s="609"/>
      <c r="RUA74" s="609"/>
      <c r="RUB74" s="609"/>
      <c r="RUC74" s="609"/>
      <c r="RUD74" s="609"/>
      <c r="RUE74" s="609"/>
      <c r="RUF74" s="609"/>
      <c r="RUG74" s="609"/>
      <c r="RUH74" s="609"/>
      <c r="RUI74" s="609"/>
      <c r="RUJ74" s="609"/>
      <c r="RUK74" s="609"/>
      <c r="RUL74" s="609"/>
      <c r="RUM74" s="609"/>
      <c r="RUN74" s="609"/>
      <c r="RUO74" s="609"/>
      <c r="RUP74" s="609"/>
      <c r="RUQ74" s="609"/>
      <c r="RUR74" s="609"/>
      <c r="RUS74" s="609"/>
      <c r="RUT74" s="609"/>
      <c r="RUU74" s="609"/>
      <c r="RUV74" s="609"/>
      <c r="RUW74" s="609"/>
      <c r="RUX74" s="609"/>
      <c r="RUY74" s="609"/>
      <c r="RUZ74" s="609"/>
      <c r="RVA74" s="609"/>
      <c r="RVB74" s="609"/>
      <c r="RVC74" s="609"/>
      <c r="RVD74" s="609"/>
      <c r="RVE74" s="609"/>
      <c r="RVF74" s="609"/>
      <c r="RVG74" s="609"/>
      <c r="RVH74" s="609"/>
      <c r="RVI74" s="609"/>
      <c r="RVJ74" s="609"/>
      <c r="RVK74" s="609"/>
      <c r="RVL74" s="609"/>
      <c r="RVM74" s="609"/>
      <c r="RVN74" s="609"/>
      <c r="RVO74" s="609"/>
      <c r="RVP74" s="609"/>
      <c r="RVQ74" s="609"/>
      <c r="RVR74" s="609"/>
      <c r="RVS74" s="609"/>
      <c r="RVT74" s="609"/>
      <c r="RVU74" s="609"/>
      <c r="RVV74" s="609"/>
      <c r="RVW74" s="609"/>
      <c r="RVX74" s="609"/>
      <c r="RVY74" s="609"/>
      <c r="RVZ74" s="609"/>
      <c r="RWA74" s="609"/>
      <c r="RWB74" s="609"/>
      <c r="RWC74" s="609"/>
      <c r="RWD74" s="609"/>
      <c r="RWE74" s="609"/>
      <c r="RWF74" s="609"/>
      <c r="RWG74" s="609"/>
      <c r="RWH74" s="609"/>
      <c r="RWI74" s="609"/>
      <c r="RWJ74" s="609"/>
      <c r="RWK74" s="609"/>
      <c r="RWL74" s="609"/>
      <c r="RWM74" s="609"/>
      <c r="RWN74" s="609"/>
      <c r="RWO74" s="609"/>
      <c r="RWP74" s="609"/>
      <c r="RWQ74" s="609"/>
      <c r="RWR74" s="609"/>
      <c r="RWS74" s="609"/>
      <c r="RWT74" s="609"/>
      <c r="RWU74" s="609"/>
      <c r="RWV74" s="609"/>
      <c r="RWW74" s="609"/>
      <c r="RWX74" s="609"/>
      <c r="RWY74" s="609"/>
      <c r="RWZ74" s="609"/>
      <c r="RXA74" s="609"/>
      <c r="RXB74" s="609"/>
      <c r="RXC74" s="609"/>
      <c r="RXD74" s="609"/>
      <c r="RXE74" s="609"/>
      <c r="RXF74" s="609"/>
      <c r="RXG74" s="609"/>
      <c r="RXH74" s="609"/>
      <c r="RXI74" s="609"/>
      <c r="RXJ74" s="609"/>
      <c r="RXK74" s="609"/>
      <c r="RXL74" s="609"/>
      <c r="RXM74" s="609"/>
      <c r="RXN74" s="609"/>
      <c r="RXO74" s="609"/>
      <c r="RXP74" s="609"/>
      <c r="RXQ74" s="609"/>
      <c r="RXR74" s="609"/>
      <c r="RXS74" s="609"/>
      <c r="RXT74" s="609"/>
      <c r="RXU74" s="609"/>
      <c r="RXV74" s="609"/>
      <c r="RXW74" s="609"/>
      <c r="RXX74" s="609"/>
      <c r="RXY74" s="609"/>
      <c r="RXZ74" s="609"/>
      <c r="RYA74" s="609"/>
      <c r="RYB74" s="609"/>
      <c r="RYC74" s="609"/>
      <c r="RYD74" s="609"/>
      <c r="RYE74" s="609"/>
      <c r="RYF74" s="609"/>
      <c r="RYG74" s="609"/>
      <c r="RYH74" s="609"/>
      <c r="RYI74" s="609"/>
      <c r="RYJ74" s="609"/>
      <c r="RYK74" s="609"/>
      <c r="RYL74" s="609"/>
      <c r="RYM74" s="609"/>
      <c r="RYN74" s="609"/>
      <c r="RYO74" s="609"/>
      <c r="RYP74" s="609"/>
      <c r="RYQ74" s="609"/>
      <c r="RYR74" s="609"/>
      <c r="RYS74" s="609"/>
      <c r="RYT74" s="609"/>
      <c r="RYU74" s="609"/>
      <c r="RYV74" s="609"/>
      <c r="RYW74" s="609"/>
      <c r="RYX74" s="609"/>
      <c r="RYY74" s="609"/>
      <c r="RYZ74" s="609"/>
      <c r="RZA74" s="609"/>
      <c r="RZB74" s="609"/>
      <c r="RZC74" s="609"/>
      <c r="RZD74" s="609"/>
      <c r="RZE74" s="609"/>
      <c r="RZF74" s="609"/>
      <c r="RZG74" s="609"/>
      <c r="RZH74" s="609"/>
      <c r="RZI74" s="609"/>
      <c r="RZJ74" s="609"/>
      <c r="RZK74" s="609"/>
      <c r="RZL74" s="609"/>
      <c r="RZM74" s="609"/>
      <c r="RZN74" s="609"/>
      <c r="RZO74" s="609"/>
      <c r="RZP74" s="609"/>
      <c r="RZQ74" s="609"/>
      <c r="RZR74" s="609"/>
      <c r="RZS74" s="609"/>
      <c r="RZT74" s="609"/>
      <c r="RZU74" s="609"/>
      <c r="RZV74" s="609"/>
      <c r="RZW74" s="609"/>
      <c r="RZX74" s="609"/>
      <c r="RZY74" s="609"/>
      <c r="RZZ74" s="609"/>
      <c r="SAA74" s="609"/>
      <c r="SAB74" s="609"/>
      <c r="SAC74" s="609"/>
      <c r="SAD74" s="609"/>
      <c r="SAE74" s="609"/>
      <c r="SAF74" s="609"/>
      <c r="SAG74" s="609"/>
      <c r="SAH74" s="609"/>
      <c r="SAI74" s="609"/>
      <c r="SAJ74" s="609"/>
      <c r="SAK74" s="609"/>
      <c r="SAL74" s="609"/>
      <c r="SAM74" s="609"/>
      <c r="SAN74" s="609"/>
      <c r="SAO74" s="609"/>
      <c r="SAP74" s="609"/>
      <c r="SAQ74" s="609"/>
      <c r="SAR74" s="609"/>
      <c r="SAS74" s="609"/>
      <c r="SAT74" s="609"/>
      <c r="SAU74" s="609"/>
      <c r="SAV74" s="609"/>
      <c r="SAW74" s="609"/>
      <c r="SAX74" s="609"/>
      <c r="SAY74" s="609"/>
      <c r="SAZ74" s="609"/>
      <c r="SBA74" s="609"/>
      <c r="SBB74" s="609"/>
      <c r="SBC74" s="609"/>
      <c r="SBD74" s="609"/>
      <c r="SBE74" s="609"/>
      <c r="SBF74" s="609"/>
      <c r="SBG74" s="609"/>
      <c r="SBH74" s="609"/>
      <c r="SBI74" s="609"/>
      <c r="SBJ74" s="609"/>
      <c r="SBK74" s="609"/>
      <c r="SBL74" s="609"/>
      <c r="SBM74" s="609"/>
      <c r="SBN74" s="609"/>
      <c r="SBO74" s="609"/>
      <c r="SBP74" s="609"/>
      <c r="SBQ74" s="609"/>
      <c r="SBR74" s="609"/>
      <c r="SBS74" s="609"/>
      <c r="SBT74" s="609"/>
      <c r="SBU74" s="609"/>
      <c r="SBV74" s="609"/>
      <c r="SBW74" s="609"/>
      <c r="SBX74" s="609"/>
      <c r="SBY74" s="609"/>
      <c r="SBZ74" s="609"/>
      <c r="SCA74" s="609"/>
      <c r="SCB74" s="609"/>
      <c r="SCC74" s="609"/>
      <c r="SCD74" s="609"/>
      <c r="SCE74" s="609"/>
      <c r="SCF74" s="609"/>
      <c r="SCG74" s="609"/>
      <c r="SCH74" s="609"/>
      <c r="SCI74" s="609"/>
      <c r="SCJ74" s="609"/>
      <c r="SCK74" s="609"/>
      <c r="SCL74" s="609"/>
      <c r="SCM74" s="609"/>
      <c r="SCN74" s="609"/>
      <c r="SCO74" s="609"/>
      <c r="SCP74" s="609"/>
      <c r="SCQ74" s="609"/>
      <c r="SCR74" s="609"/>
      <c r="SCS74" s="609"/>
      <c r="SCT74" s="609"/>
      <c r="SCU74" s="609"/>
      <c r="SCV74" s="609"/>
      <c r="SCW74" s="609"/>
      <c r="SCX74" s="609"/>
      <c r="SCY74" s="609"/>
      <c r="SCZ74" s="609"/>
      <c r="SDA74" s="609"/>
      <c r="SDB74" s="609"/>
      <c r="SDC74" s="609"/>
      <c r="SDD74" s="609"/>
      <c r="SDE74" s="609"/>
      <c r="SDF74" s="609"/>
      <c r="SDG74" s="609"/>
      <c r="SDH74" s="609"/>
      <c r="SDI74" s="609"/>
      <c r="SDJ74" s="609"/>
      <c r="SDK74" s="609"/>
      <c r="SDL74" s="609"/>
      <c r="SDM74" s="609"/>
      <c r="SDN74" s="609"/>
      <c r="SDO74" s="609"/>
      <c r="SDP74" s="609"/>
      <c r="SDQ74" s="609"/>
      <c r="SDR74" s="609"/>
      <c r="SDS74" s="609"/>
      <c r="SDT74" s="609"/>
      <c r="SDU74" s="609"/>
      <c r="SDV74" s="609"/>
      <c r="SDW74" s="609"/>
      <c r="SDX74" s="609"/>
      <c r="SDY74" s="609"/>
      <c r="SDZ74" s="609"/>
      <c r="SEA74" s="609"/>
      <c r="SEB74" s="609"/>
      <c r="SEC74" s="609"/>
      <c r="SED74" s="609"/>
      <c r="SEE74" s="609"/>
      <c r="SEF74" s="609"/>
      <c r="SEG74" s="609"/>
      <c r="SEH74" s="609"/>
      <c r="SEI74" s="609"/>
      <c r="SEJ74" s="609"/>
      <c r="SEK74" s="609"/>
      <c r="SEL74" s="609"/>
      <c r="SEM74" s="609"/>
      <c r="SEN74" s="609"/>
      <c r="SEO74" s="609"/>
      <c r="SEP74" s="609"/>
      <c r="SEQ74" s="609"/>
      <c r="SER74" s="609"/>
      <c r="SES74" s="609"/>
      <c r="SET74" s="609"/>
      <c r="SEU74" s="609"/>
      <c r="SEV74" s="609"/>
      <c r="SEW74" s="609"/>
      <c r="SEX74" s="609"/>
      <c r="SEY74" s="609"/>
      <c r="SEZ74" s="609"/>
      <c r="SFA74" s="609"/>
      <c r="SFB74" s="609"/>
      <c r="SFC74" s="609"/>
      <c r="SFD74" s="609"/>
      <c r="SFE74" s="609"/>
      <c r="SFF74" s="609"/>
      <c r="SFG74" s="609"/>
      <c r="SFH74" s="609"/>
      <c r="SFI74" s="609"/>
      <c r="SFJ74" s="609"/>
      <c r="SFK74" s="609"/>
      <c r="SFL74" s="609"/>
      <c r="SFM74" s="609"/>
      <c r="SFN74" s="609"/>
      <c r="SFO74" s="609"/>
      <c r="SFP74" s="609"/>
      <c r="SFQ74" s="609"/>
      <c r="SFR74" s="609"/>
      <c r="SFS74" s="609"/>
      <c r="SFT74" s="609"/>
      <c r="SFU74" s="609"/>
      <c r="SFV74" s="609"/>
      <c r="SFW74" s="609"/>
      <c r="SFX74" s="609"/>
      <c r="SFY74" s="609"/>
      <c r="SFZ74" s="609"/>
      <c r="SGA74" s="609"/>
      <c r="SGB74" s="609"/>
      <c r="SGC74" s="609"/>
      <c r="SGD74" s="609"/>
      <c r="SGE74" s="609"/>
      <c r="SGF74" s="609"/>
      <c r="SGG74" s="609"/>
      <c r="SGH74" s="609"/>
      <c r="SGI74" s="609"/>
      <c r="SGJ74" s="609"/>
      <c r="SGK74" s="609"/>
      <c r="SGL74" s="609"/>
      <c r="SGM74" s="609"/>
      <c r="SGN74" s="609"/>
      <c r="SGO74" s="609"/>
      <c r="SGP74" s="609"/>
      <c r="SGQ74" s="609"/>
      <c r="SGR74" s="609"/>
      <c r="SGS74" s="609"/>
      <c r="SGT74" s="609"/>
      <c r="SGU74" s="609"/>
      <c r="SGV74" s="609"/>
      <c r="SGW74" s="609"/>
      <c r="SGX74" s="609"/>
      <c r="SGY74" s="609"/>
      <c r="SGZ74" s="609"/>
      <c r="SHA74" s="609"/>
      <c r="SHB74" s="609"/>
      <c r="SHC74" s="609"/>
      <c r="SHD74" s="609"/>
      <c r="SHE74" s="609"/>
      <c r="SHF74" s="609"/>
      <c r="SHG74" s="609"/>
      <c r="SHH74" s="609"/>
      <c r="SHI74" s="609"/>
      <c r="SHJ74" s="609"/>
      <c r="SHK74" s="609"/>
      <c r="SHL74" s="609"/>
      <c r="SHM74" s="609"/>
      <c r="SHN74" s="609"/>
      <c r="SHO74" s="609"/>
      <c r="SHP74" s="609"/>
      <c r="SHQ74" s="609"/>
      <c r="SHR74" s="609"/>
      <c r="SHS74" s="609"/>
      <c r="SHT74" s="609"/>
      <c r="SHU74" s="609"/>
      <c r="SHV74" s="609"/>
      <c r="SHW74" s="609"/>
      <c r="SHX74" s="609"/>
      <c r="SHY74" s="609"/>
      <c r="SHZ74" s="609"/>
      <c r="SIA74" s="609"/>
      <c r="SIB74" s="609"/>
      <c r="SIC74" s="609"/>
      <c r="SID74" s="609"/>
      <c r="SIE74" s="609"/>
      <c r="SIF74" s="609"/>
      <c r="SIG74" s="609"/>
      <c r="SIH74" s="609"/>
      <c r="SII74" s="609"/>
      <c r="SIJ74" s="609"/>
      <c r="SIK74" s="609"/>
      <c r="SIL74" s="609"/>
      <c r="SIM74" s="609"/>
      <c r="SIN74" s="609"/>
      <c r="SIO74" s="609"/>
      <c r="SIP74" s="609"/>
      <c r="SIQ74" s="609"/>
      <c r="SIR74" s="609"/>
      <c r="SIS74" s="609"/>
      <c r="SIT74" s="609"/>
      <c r="SIU74" s="609"/>
      <c r="SIV74" s="609"/>
      <c r="SIW74" s="609"/>
      <c r="SIX74" s="609"/>
      <c r="SIY74" s="609"/>
      <c r="SIZ74" s="609"/>
      <c r="SJA74" s="609"/>
      <c r="SJB74" s="609"/>
      <c r="SJC74" s="609"/>
      <c r="SJD74" s="609"/>
      <c r="SJE74" s="609"/>
      <c r="SJF74" s="609"/>
      <c r="SJG74" s="609"/>
      <c r="SJH74" s="609"/>
      <c r="SJI74" s="609"/>
      <c r="SJJ74" s="609"/>
      <c r="SJK74" s="609"/>
      <c r="SJL74" s="609"/>
      <c r="SJM74" s="609"/>
      <c r="SJN74" s="609"/>
      <c r="SJO74" s="609"/>
      <c r="SJP74" s="609"/>
      <c r="SJQ74" s="609"/>
      <c r="SJR74" s="609"/>
      <c r="SJS74" s="609"/>
      <c r="SJT74" s="609"/>
      <c r="SJU74" s="609"/>
      <c r="SJV74" s="609"/>
      <c r="SJW74" s="609"/>
      <c r="SJX74" s="609"/>
      <c r="SJY74" s="609"/>
      <c r="SJZ74" s="609"/>
      <c r="SKA74" s="609"/>
      <c r="SKB74" s="609"/>
      <c r="SKC74" s="609"/>
      <c r="SKD74" s="609"/>
      <c r="SKE74" s="609"/>
      <c r="SKF74" s="609"/>
      <c r="SKG74" s="609"/>
      <c r="SKH74" s="609"/>
      <c r="SKI74" s="609"/>
      <c r="SKJ74" s="609"/>
      <c r="SKK74" s="609"/>
      <c r="SKL74" s="609"/>
      <c r="SKM74" s="609"/>
      <c r="SKN74" s="609"/>
      <c r="SKO74" s="609"/>
      <c r="SKP74" s="609"/>
      <c r="SKQ74" s="609"/>
      <c r="SKR74" s="609"/>
      <c r="SKS74" s="609"/>
      <c r="SKT74" s="609"/>
      <c r="SKU74" s="609"/>
      <c r="SKV74" s="609"/>
      <c r="SKW74" s="609"/>
      <c r="SKX74" s="609"/>
      <c r="SKY74" s="609"/>
      <c r="SKZ74" s="609"/>
      <c r="SLA74" s="609"/>
      <c r="SLB74" s="609"/>
      <c r="SLC74" s="609"/>
      <c r="SLD74" s="609"/>
      <c r="SLE74" s="609"/>
      <c r="SLF74" s="609"/>
      <c r="SLG74" s="609"/>
      <c r="SLH74" s="609"/>
      <c r="SLI74" s="609"/>
      <c r="SLJ74" s="609"/>
      <c r="SLK74" s="609"/>
      <c r="SLL74" s="609"/>
      <c r="SLM74" s="609"/>
      <c r="SLN74" s="609"/>
      <c r="SLO74" s="609"/>
      <c r="SLP74" s="609"/>
      <c r="SLQ74" s="609"/>
      <c r="SLR74" s="609"/>
      <c r="SLS74" s="609"/>
      <c r="SLT74" s="609"/>
      <c r="SLU74" s="609"/>
      <c r="SLV74" s="609"/>
      <c r="SLW74" s="609"/>
      <c r="SLX74" s="609"/>
      <c r="SLY74" s="609"/>
      <c r="SLZ74" s="609"/>
      <c r="SMA74" s="609"/>
      <c r="SMB74" s="609"/>
      <c r="SMC74" s="609"/>
      <c r="SMD74" s="609"/>
      <c r="SME74" s="609"/>
      <c r="SMF74" s="609"/>
      <c r="SMG74" s="609"/>
      <c r="SMH74" s="609"/>
      <c r="SMI74" s="609"/>
      <c r="SMJ74" s="609"/>
      <c r="SMK74" s="609"/>
      <c r="SML74" s="609"/>
      <c r="SMM74" s="609"/>
      <c r="SMN74" s="609"/>
      <c r="SMO74" s="609"/>
      <c r="SMP74" s="609"/>
      <c r="SMQ74" s="609"/>
      <c r="SMR74" s="609"/>
      <c r="SMS74" s="609"/>
      <c r="SMT74" s="609"/>
      <c r="SMU74" s="609"/>
      <c r="SMV74" s="609"/>
      <c r="SMW74" s="609"/>
      <c r="SMX74" s="609"/>
      <c r="SMY74" s="609"/>
      <c r="SMZ74" s="609"/>
      <c r="SNA74" s="609"/>
      <c r="SNB74" s="609"/>
      <c r="SNC74" s="609"/>
      <c r="SND74" s="609"/>
      <c r="SNE74" s="609"/>
      <c r="SNF74" s="609"/>
      <c r="SNG74" s="609"/>
      <c r="SNH74" s="609"/>
      <c r="SNI74" s="609"/>
      <c r="SNJ74" s="609"/>
      <c r="SNK74" s="609"/>
      <c r="SNL74" s="609"/>
      <c r="SNM74" s="609"/>
      <c r="SNN74" s="609"/>
      <c r="SNO74" s="609"/>
      <c r="SNP74" s="609"/>
      <c r="SNQ74" s="609"/>
      <c r="SNR74" s="609"/>
      <c r="SNS74" s="609"/>
      <c r="SNT74" s="609"/>
      <c r="SNU74" s="609"/>
      <c r="SNV74" s="609"/>
      <c r="SNW74" s="609"/>
      <c r="SNX74" s="609"/>
      <c r="SNY74" s="609"/>
      <c r="SNZ74" s="609"/>
      <c r="SOA74" s="609"/>
      <c r="SOB74" s="609"/>
      <c r="SOC74" s="609"/>
      <c r="SOD74" s="609"/>
      <c r="SOE74" s="609"/>
      <c r="SOF74" s="609"/>
      <c r="SOG74" s="609"/>
      <c r="SOH74" s="609"/>
      <c r="SOI74" s="609"/>
      <c r="SOJ74" s="609"/>
      <c r="SOK74" s="609"/>
      <c r="SOL74" s="609"/>
      <c r="SOM74" s="609"/>
      <c r="SON74" s="609"/>
      <c r="SOO74" s="609"/>
      <c r="SOP74" s="609"/>
      <c r="SOQ74" s="609"/>
      <c r="SOR74" s="609"/>
      <c r="SOS74" s="609"/>
      <c r="SOT74" s="609"/>
      <c r="SOU74" s="609"/>
      <c r="SOV74" s="609"/>
      <c r="SOW74" s="609"/>
      <c r="SOX74" s="609"/>
      <c r="SOY74" s="609"/>
      <c r="SOZ74" s="609"/>
      <c r="SPA74" s="609"/>
      <c r="SPB74" s="609"/>
      <c r="SPC74" s="609"/>
      <c r="SPD74" s="609"/>
      <c r="SPE74" s="609"/>
      <c r="SPF74" s="609"/>
      <c r="SPG74" s="609"/>
      <c r="SPH74" s="609"/>
      <c r="SPI74" s="609"/>
      <c r="SPJ74" s="609"/>
      <c r="SPK74" s="609"/>
      <c r="SPL74" s="609"/>
      <c r="SPM74" s="609"/>
      <c r="SPN74" s="609"/>
      <c r="SPO74" s="609"/>
      <c r="SPP74" s="609"/>
      <c r="SPQ74" s="609"/>
      <c r="SPR74" s="609"/>
      <c r="SPS74" s="609"/>
      <c r="SPT74" s="609"/>
      <c r="SPU74" s="609"/>
      <c r="SPV74" s="609"/>
      <c r="SPW74" s="609"/>
      <c r="SPX74" s="609"/>
      <c r="SPY74" s="609"/>
      <c r="SPZ74" s="609"/>
      <c r="SQA74" s="609"/>
      <c r="SQB74" s="609"/>
      <c r="SQC74" s="609"/>
      <c r="SQD74" s="609"/>
      <c r="SQE74" s="609"/>
      <c r="SQF74" s="609"/>
      <c r="SQG74" s="609"/>
      <c r="SQH74" s="609"/>
      <c r="SQI74" s="609"/>
      <c r="SQJ74" s="609"/>
      <c r="SQK74" s="609"/>
      <c r="SQL74" s="609"/>
      <c r="SQM74" s="609"/>
      <c r="SQN74" s="609"/>
      <c r="SQO74" s="609"/>
      <c r="SQP74" s="609"/>
      <c r="SQQ74" s="609"/>
      <c r="SQR74" s="609"/>
      <c r="SQS74" s="609"/>
      <c r="SQT74" s="609"/>
      <c r="SQU74" s="609"/>
      <c r="SQV74" s="609"/>
      <c r="SQW74" s="609"/>
      <c r="SQX74" s="609"/>
      <c r="SQY74" s="609"/>
      <c r="SQZ74" s="609"/>
      <c r="SRA74" s="609"/>
      <c r="SRB74" s="609"/>
      <c r="SRC74" s="609"/>
      <c r="SRD74" s="609"/>
      <c r="SRE74" s="609"/>
      <c r="SRF74" s="609"/>
      <c r="SRG74" s="609"/>
      <c r="SRH74" s="609"/>
      <c r="SRI74" s="609"/>
      <c r="SRJ74" s="609"/>
      <c r="SRK74" s="609"/>
      <c r="SRL74" s="609"/>
      <c r="SRM74" s="609"/>
      <c r="SRN74" s="609"/>
      <c r="SRO74" s="609"/>
      <c r="SRP74" s="609"/>
      <c r="SRQ74" s="609"/>
      <c r="SRR74" s="609"/>
      <c r="SRS74" s="609"/>
      <c r="SRT74" s="609"/>
      <c r="SRU74" s="609"/>
      <c r="SRV74" s="609"/>
      <c r="SRW74" s="609"/>
      <c r="SRX74" s="609"/>
      <c r="SRY74" s="609"/>
      <c r="SRZ74" s="609"/>
      <c r="SSA74" s="609"/>
      <c r="SSB74" s="609"/>
      <c r="SSC74" s="609"/>
      <c r="SSD74" s="609"/>
      <c r="SSE74" s="609"/>
      <c r="SSF74" s="609"/>
      <c r="SSG74" s="609"/>
      <c r="SSH74" s="609"/>
      <c r="SSI74" s="609"/>
      <c r="SSJ74" s="609"/>
      <c r="SSK74" s="609"/>
      <c r="SSL74" s="609"/>
      <c r="SSM74" s="609"/>
      <c r="SSN74" s="609"/>
      <c r="SSO74" s="609"/>
      <c r="SSP74" s="609"/>
      <c r="SSQ74" s="609"/>
      <c r="SSR74" s="609"/>
      <c r="SSS74" s="609"/>
      <c r="SST74" s="609"/>
      <c r="SSU74" s="609"/>
      <c r="SSV74" s="609"/>
      <c r="SSW74" s="609"/>
      <c r="SSX74" s="609"/>
      <c r="SSY74" s="609"/>
      <c r="SSZ74" s="609"/>
      <c r="STA74" s="609"/>
      <c r="STB74" s="609"/>
      <c r="STC74" s="609"/>
      <c r="STD74" s="609"/>
      <c r="STE74" s="609"/>
      <c r="STF74" s="609"/>
      <c r="STG74" s="609"/>
      <c r="STH74" s="609"/>
      <c r="STI74" s="609"/>
      <c r="STJ74" s="609"/>
      <c r="STK74" s="609"/>
      <c r="STL74" s="609"/>
      <c r="STM74" s="609"/>
      <c r="STN74" s="609"/>
      <c r="STO74" s="609"/>
      <c r="STP74" s="609"/>
      <c r="STQ74" s="609"/>
      <c r="STR74" s="609"/>
      <c r="STS74" s="609"/>
      <c r="STT74" s="609"/>
      <c r="STU74" s="609"/>
      <c r="STV74" s="609"/>
      <c r="STW74" s="609"/>
      <c r="STX74" s="609"/>
      <c r="STY74" s="609"/>
      <c r="STZ74" s="609"/>
      <c r="SUA74" s="609"/>
      <c r="SUB74" s="609"/>
      <c r="SUC74" s="609"/>
      <c r="SUD74" s="609"/>
      <c r="SUE74" s="609"/>
      <c r="SUF74" s="609"/>
      <c r="SUG74" s="609"/>
      <c r="SUH74" s="609"/>
      <c r="SUI74" s="609"/>
      <c r="SUJ74" s="609"/>
      <c r="SUK74" s="609"/>
      <c r="SUL74" s="609"/>
      <c r="SUM74" s="609"/>
      <c r="SUN74" s="609"/>
      <c r="SUO74" s="609"/>
      <c r="SUP74" s="609"/>
      <c r="SUQ74" s="609"/>
      <c r="SUR74" s="609"/>
      <c r="SUS74" s="609"/>
      <c r="SUT74" s="609"/>
      <c r="SUU74" s="609"/>
      <c r="SUV74" s="609"/>
      <c r="SUW74" s="609"/>
      <c r="SUX74" s="609"/>
      <c r="SUY74" s="609"/>
      <c r="SUZ74" s="609"/>
      <c r="SVA74" s="609"/>
      <c r="SVB74" s="609"/>
      <c r="SVC74" s="609"/>
      <c r="SVD74" s="609"/>
      <c r="SVE74" s="609"/>
      <c r="SVF74" s="609"/>
      <c r="SVG74" s="609"/>
      <c r="SVH74" s="609"/>
      <c r="SVI74" s="609"/>
      <c r="SVJ74" s="609"/>
      <c r="SVK74" s="609"/>
      <c r="SVL74" s="609"/>
      <c r="SVM74" s="609"/>
      <c r="SVN74" s="609"/>
      <c r="SVO74" s="609"/>
      <c r="SVP74" s="609"/>
      <c r="SVQ74" s="609"/>
      <c r="SVR74" s="609"/>
      <c r="SVS74" s="609"/>
      <c r="SVT74" s="609"/>
      <c r="SVU74" s="609"/>
      <c r="SVV74" s="609"/>
      <c r="SVW74" s="609"/>
      <c r="SVX74" s="609"/>
      <c r="SVY74" s="609"/>
      <c r="SVZ74" s="609"/>
      <c r="SWA74" s="609"/>
      <c r="SWB74" s="609"/>
      <c r="SWC74" s="609"/>
      <c r="SWD74" s="609"/>
      <c r="SWE74" s="609"/>
      <c r="SWF74" s="609"/>
      <c r="SWG74" s="609"/>
      <c r="SWH74" s="609"/>
      <c r="SWI74" s="609"/>
      <c r="SWJ74" s="609"/>
      <c r="SWK74" s="609"/>
      <c r="SWL74" s="609"/>
      <c r="SWM74" s="609"/>
      <c r="SWN74" s="609"/>
      <c r="SWO74" s="609"/>
      <c r="SWP74" s="609"/>
      <c r="SWQ74" s="609"/>
      <c r="SWR74" s="609"/>
      <c r="SWS74" s="609"/>
      <c r="SWT74" s="609"/>
      <c r="SWU74" s="609"/>
      <c r="SWV74" s="609"/>
      <c r="SWW74" s="609"/>
      <c r="SWX74" s="609"/>
      <c r="SWY74" s="609"/>
      <c r="SWZ74" s="609"/>
      <c r="SXA74" s="609"/>
      <c r="SXB74" s="609"/>
      <c r="SXC74" s="609"/>
      <c r="SXD74" s="609"/>
      <c r="SXE74" s="609"/>
      <c r="SXF74" s="609"/>
      <c r="SXG74" s="609"/>
      <c r="SXH74" s="609"/>
      <c r="SXI74" s="609"/>
      <c r="SXJ74" s="609"/>
      <c r="SXK74" s="609"/>
      <c r="SXL74" s="609"/>
      <c r="SXM74" s="609"/>
      <c r="SXN74" s="609"/>
      <c r="SXO74" s="609"/>
      <c r="SXP74" s="609"/>
      <c r="SXQ74" s="609"/>
      <c r="SXR74" s="609"/>
      <c r="SXS74" s="609"/>
      <c r="SXT74" s="609"/>
      <c r="SXU74" s="609"/>
      <c r="SXV74" s="609"/>
      <c r="SXW74" s="609"/>
      <c r="SXX74" s="609"/>
      <c r="SXY74" s="609"/>
      <c r="SXZ74" s="609"/>
      <c r="SYA74" s="609"/>
      <c r="SYB74" s="609"/>
      <c r="SYC74" s="609"/>
      <c r="SYD74" s="609"/>
      <c r="SYE74" s="609"/>
      <c r="SYF74" s="609"/>
      <c r="SYG74" s="609"/>
      <c r="SYH74" s="609"/>
      <c r="SYI74" s="609"/>
      <c r="SYJ74" s="609"/>
      <c r="SYK74" s="609"/>
      <c r="SYL74" s="609"/>
      <c r="SYM74" s="609"/>
      <c r="SYN74" s="609"/>
      <c r="SYO74" s="609"/>
      <c r="SYP74" s="609"/>
      <c r="SYQ74" s="609"/>
      <c r="SYR74" s="609"/>
      <c r="SYS74" s="609"/>
      <c r="SYT74" s="609"/>
      <c r="SYU74" s="609"/>
      <c r="SYV74" s="609"/>
      <c r="SYW74" s="609"/>
      <c r="SYX74" s="609"/>
      <c r="SYY74" s="609"/>
      <c r="SYZ74" s="609"/>
      <c r="SZA74" s="609"/>
      <c r="SZB74" s="609"/>
      <c r="SZC74" s="609"/>
      <c r="SZD74" s="609"/>
      <c r="SZE74" s="609"/>
      <c r="SZF74" s="609"/>
      <c r="SZG74" s="609"/>
      <c r="SZH74" s="609"/>
      <c r="SZI74" s="609"/>
      <c r="SZJ74" s="609"/>
      <c r="SZK74" s="609"/>
      <c r="SZL74" s="609"/>
      <c r="SZM74" s="609"/>
      <c r="SZN74" s="609"/>
      <c r="SZO74" s="609"/>
      <c r="SZP74" s="609"/>
      <c r="SZQ74" s="609"/>
      <c r="SZR74" s="609"/>
      <c r="SZS74" s="609"/>
      <c r="SZT74" s="609"/>
      <c r="SZU74" s="609"/>
      <c r="SZV74" s="609"/>
      <c r="SZW74" s="609"/>
      <c r="SZX74" s="609"/>
      <c r="SZY74" s="609"/>
      <c r="SZZ74" s="609"/>
      <c r="TAA74" s="609"/>
      <c r="TAB74" s="609"/>
      <c r="TAC74" s="609"/>
      <c r="TAD74" s="609"/>
      <c r="TAE74" s="609"/>
      <c r="TAF74" s="609"/>
      <c r="TAG74" s="609"/>
      <c r="TAH74" s="609"/>
      <c r="TAI74" s="609"/>
      <c r="TAJ74" s="609"/>
      <c r="TAK74" s="609"/>
      <c r="TAL74" s="609"/>
      <c r="TAM74" s="609"/>
      <c r="TAN74" s="609"/>
      <c r="TAO74" s="609"/>
      <c r="TAP74" s="609"/>
      <c r="TAQ74" s="609"/>
      <c r="TAR74" s="609"/>
      <c r="TAS74" s="609"/>
      <c r="TAT74" s="609"/>
      <c r="TAU74" s="609"/>
      <c r="TAV74" s="609"/>
      <c r="TAW74" s="609"/>
      <c r="TAX74" s="609"/>
      <c r="TAY74" s="609"/>
      <c r="TAZ74" s="609"/>
      <c r="TBA74" s="609"/>
      <c r="TBB74" s="609"/>
      <c r="TBC74" s="609"/>
      <c r="TBD74" s="609"/>
      <c r="TBE74" s="609"/>
      <c r="TBF74" s="609"/>
      <c r="TBG74" s="609"/>
      <c r="TBH74" s="609"/>
      <c r="TBI74" s="609"/>
      <c r="TBJ74" s="609"/>
      <c r="TBK74" s="609"/>
      <c r="TBL74" s="609"/>
      <c r="TBM74" s="609"/>
      <c r="TBN74" s="609"/>
      <c r="TBO74" s="609"/>
      <c r="TBP74" s="609"/>
      <c r="TBQ74" s="609"/>
      <c r="TBR74" s="609"/>
      <c r="TBS74" s="609"/>
      <c r="TBT74" s="609"/>
      <c r="TBU74" s="609"/>
      <c r="TBV74" s="609"/>
      <c r="TBW74" s="609"/>
      <c r="TBX74" s="609"/>
      <c r="TBY74" s="609"/>
      <c r="TBZ74" s="609"/>
      <c r="TCA74" s="609"/>
      <c r="TCB74" s="609"/>
      <c r="TCC74" s="609"/>
      <c r="TCD74" s="609"/>
      <c r="TCE74" s="609"/>
      <c r="TCF74" s="609"/>
      <c r="TCG74" s="609"/>
      <c r="TCH74" s="609"/>
      <c r="TCI74" s="609"/>
      <c r="TCJ74" s="609"/>
      <c r="TCK74" s="609"/>
      <c r="TCL74" s="609"/>
      <c r="TCM74" s="609"/>
      <c r="TCN74" s="609"/>
      <c r="TCO74" s="609"/>
      <c r="TCP74" s="609"/>
      <c r="TCQ74" s="609"/>
      <c r="TCR74" s="609"/>
      <c r="TCS74" s="609"/>
      <c r="TCT74" s="609"/>
      <c r="TCU74" s="609"/>
      <c r="TCV74" s="609"/>
      <c r="TCW74" s="609"/>
      <c r="TCX74" s="609"/>
      <c r="TCY74" s="609"/>
      <c r="TCZ74" s="609"/>
      <c r="TDA74" s="609"/>
      <c r="TDB74" s="609"/>
      <c r="TDC74" s="609"/>
      <c r="TDD74" s="609"/>
      <c r="TDE74" s="609"/>
      <c r="TDF74" s="609"/>
      <c r="TDG74" s="609"/>
      <c r="TDH74" s="609"/>
      <c r="TDI74" s="609"/>
      <c r="TDJ74" s="609"/>
      <c r="TDK74" s="609"/>
      <c r="TDL74" s="609"/>
      <c r="TDM74" s="609"/>
      <c r="TDN74" s="609"/>
      <c r="TDO74" s="609"/>
      <c r="TDP74" s="609"/>
      <c r="TDQ74" s="609"/>
      <c r="TDR74" s="609"/>
      <c r="TDS74" s="609"/>
      <c r="TDT74" s="609"/>
      <c r="TDU74" s="609"/>
      <c r="TDV74" s="609"/>
      <c r="TDW74" s="609"/>
      <c r="TDX74" s="609"/>
      <c r="TDY74" s="609"/>
      <c r="TDZ74" s="609"/>
      <c r="TEA74" s="609"/>
      <c r="TEB74" s="609"/>
      <c r="TEC74" s="609"/>
      <c r="TED74" s="609"/>
      <c r="TEE74" s="609"/>
      <c r="TEF74" s="609"/>
      <c r="TEG74" s="609"/>
      <c r="TEH74" s="609"/>
      <c r="TEI74" s="609"/>
      <c r="TEJ74" s="609"/>
      <c r="TEK74" s="609"/>
      <c r="TEL74" s="609"/>
      <c r="TEM74" s="609"/>
      <c r="TEN74" s="609"/>
      <c r="TEO74" s="609"/>
      <c r="TEP74" s="609"/>
      <c r="TEQ74" s="609"/>
      <c r="TER74" s="609"/>
      <c r="TES74" s="609"/>
      <c r="TET74" s="609"/>
      <c r="TEU74" s="609"/>
      <c r="TEV74" s="609"/>
      <c r="TEW74" s="609"/>
      <c r="TEX74" s="609"/>
      <c r="TEY74" s="609"/>
      <c r="TEZ74" s="609"/>
      <c r="TFA74" s="609"/>
      <c r="TFB74" s="609"/>
      <c r="TFC74" s="609"/>
      <c r="TFD74" s="609"/>
      <c r="TFE74" s="609"/>
      <c r="TFF74" s="609"/>
      <c r="TFG74" s="609"/>
      <c r="TFH74" s="609"/>
      <c r="TFI74" s="609"/>
      <c r="TFJ74" s="609"/>
      <c r="TFK74" s="609"/>
      <c r="TFL74" s="609"/>
      <c r="TFM74" s="609"/>
      <c r="TFN74" s="609"/>
      <c r="TFO74" s="609"/>
      <c r="TFP74" s="609"/>
      <c r="TFQ74" s="609"/>
      <c r="TFR74" s="609"/>
      <c r="TFS74" s="609"/>
      <c r="TFT74" s="609"/>
      <c r="TFU74" s="609"/>
      <c r="TFV74" s="609"/>
      <c r="TFW74" s="609"/>
      <c r="TFX74" s="609"/>
      <c r="TFY74" s="609"/>
      <c r="TFZ74" s="609"/>
      <c r="TGA74" s="609"/>
      <c r="TGB74" s="609"/>
      <c r="TGC74" s="609"/>
      <c r="TGD74" s="609"/>
      <c r="TGE74" s="609"/>
      <c r="TGF74" s="609"/>
      <c r="TGG74" s="609"/>
      <c r="TGH74" s="609"/>
      <c r="TGI74" s="609"/>
      <c r="TGJ74" s="609"/>
      <c r="TGK74" s="609"/>
      <c r="TGL74" s="609"/>
      <c r="TGM74" s="609"/>
      <c r="TGN74" s="609"/>
      <c r="TGO74" s="609"/>
      <c r="TGP74" s="609"/>
      <c r="TGQ74" s="609"/>
      <c r="TGR74" s="609"/>
      <c r="TGS74" s="609"/>
      <c r="TGT74" s="609"/>
      <c r="TGU74" s="609"/>
      <c r="TGV74" s="609"/>
      <c r="TGW74" s="609"/>
      <c r="TGX74" s="609"/>
      <c r="TGY74" s="609"/>
      <c r="TGZ74" s="609"/>
      <c r="THA74" s="609"/>
      <c r="THB74" s="609"/>
      <c r="THC74" s="609"/>
      <c r="THD74" s="609"/>
      <c r="THE74" s="609"/>
      <c r="THF74" s="609"/>
      <c r="THG74" s="609"/>
      <c r="THH74" s="609"/>
      <c r="THI74" s="609"/>
      <c r="THJ74" s="609"/>
      <c r="THK74" s="609"/>
      <c r="THL74" s="609"/>
      <c r="THM74" s="609"/>
      <c r="THN74" s="609"/>
      <c r="THO74" s="609"/>
      <c r="THP74" s="609"/>
      <c r="THQ74" s="609"/>
      <c r="THR74" s="609"/>
      <c r="THS74" s="609"/>
      <c r="THT74" s="609"/>
      <c r="THU74" s="609"/>
      <c r="THV74" s="609"/>
      <c r="THW74" s="609"/>
      <c r="THX74" s="609"/>
      <c r="THY74" s="609"/>
      <c r="THZ74" s="609"/>
      <c r="TIA74" s="609"/>
      <c r="TIB74" s="609"/>
      <c r="TIC74" s="609"/>
      <c r="TID74" s="609"/>
      <c r="TIE74" s="609"/>
      <c r="TIF74" s="609"/>
      <c r="TIG74" s="609"/>
      <c r="TIH74" s="609"/>
      <c r="TII74" s="609"/>
      <c r="TIJ74" s="609"/>
      <c r="TIK74" s="609"/>
      <c r="TIL74" s="609"/>
      <c r="TIM74" s="609"/>
      <c r="TIN74" s="609"/>
      <c r="TIO74" s="609"/>
      <c r="TIP74" s="609"/>
      <c r="TIQ74" s="609"/>
      <c r="TIR74" s="609"/>
      <c r="TIS74" s="609"/>
      <c r="TIT74" s="609"/>
      <c r="TIU74" s="609"/>
      <c r="TIV74" s="609"/>
      <c r="TIW74" s="609"/>
      <c r="TIX74" s="609"/>
      <c r="TIY74" s="609"/>
      <c r="TIZ74" s="609"/>
      <c r="TJA74" s="609"/>
      <c r="TJB74" s="609"/>
      <c r="TJC74" s="609"/>
      <c r="TJD74" s="609"/>
      <c r="TJE74" s="609"/>
      <c r="TJF74" s="609"/>
      <c r="TJG74" s="609"/>
      <c r="TJH74" s="609"/>
      <c r="TJI74" s="609"/>
      <c r="TJJ74" s="609"/>
      <c r="TJK74" s="609"/>
      <c r="TJL74" s="609"/>
      <c r="TJM74" s="609"/>
      <c r="TJN74" s="609"/>
      <c r="TJO74" s="609"/>
      <c r="TJP74" s="609"/>
      <c r="TJQ74" s="609"/>
      <c r="TJR74" s="609"/>
      <c r="TJS74" s="609"/>
      <c r="TJT74" s="609"/>
      <c r="TJU74" s="609"/>
      <c r="TJV74" s="609"/>
      <c r="TJW74" s="609"/>
      <c r="TJX74" s="609"/>
      <c r="TJY74" s="609"/>
      <c r="TJZ74" s="609"/>
      <c r="TKA74" s="609"/>
      <c r="TKB74" s="609"/>
      <c r="TKC74" s="609"/>
      <c r="TKD74" s="609"/>
      <c r="TKE74" s="609"/>
      <c r="TKF74" s="609"/>
      <c r="TKG74" s="609"/>
      <c r="TKH74" s="609"/>
      <c r="TKI74" s="609"/>
      <c r="TKJ74" s="609"/>
      <c r="TKK74" s="609"/>
      <c r="TKL74" s="609"/>
      <c r="TKM74" s="609"/>
      <c r="TKN74" s="609"/>
      <c r="TKO74" s="609"/>
      <c r="TKP74" s="609"/>
      <c r="TKQ74" s="609"/>
      <c r="TKR74" s="609"/>
      <c r="TKS74" s="609"/>
      <c r="TKT74" s="609"/>
      <c r="TKU74" s="609"/>
      <c r="TKV74" s="609"/>
      <c r="TKW74" s="609"/>
      <c r="TKX74" s="609"/>
      <c r="TKY74" s="609"/>
      <c r="TKZ74" s="609"/>
      <c r="TLA74" s="609"/>
      <c r="TLB74" s="609"/>
      <c r="TLC74" s="609"/>
      <c r="TLD74" s="609"/>
      <c r="TLE74" s="609"/>
      <c r="TLF74" s="609"/>
      <c r="TLG74" s="609"/>
      <c r="TLH74" s="609"/>
      <c r="TLI74" s="609"/>
      <c r="TLJ74" s="609"/>
      <c r="TLK74" s="609"/>
      <c r="TLL74" s="609"/>
      <c r="TLM74" s="609"/>
      <c r="TLN74" s="609"/>
      <c r="TLO74" s="609"/>
      <c r="TLP74" s="609"/>
      <c r="TLQ74" s="609"/>
      <c r="TLR74" s="609"/>
      <c r="TLS74" s="609"/>
      <c r="TLT74" s="609"/>
      <c r="TLU74" s="609"/>
      <c r="TLV74" s="609"/>
      <c r="TLW74" s="609"/>
      <c r="TLX74" s="609"/>
      <c r="TLY74" s="609"/>
      <c r="TLZ74" s="609"/>
      <c r="TMA74" s="609"/>
      <c r="TMB74" s="609"/>
      <c r="TMC74" s="609"/>
      <c r="TMD74" s="609"/>
      <c r="TME74" s="609"/>
      <c r="TMF74" s="609"/>
      <c r="TMG74" s="609"/>
      <c r="TMH74" s="609"/>
      <c r="TMI74" s="609"/>
      <c r="TMJ74" s="609"/>
      <c r="TMK74" s="609"/>
      <c r="TML74" s="609"/>
      <c r="TMM74" s="609"/>
      <c r="TMN74" s="609"/>
      <c r="TMO74" s="609"/>
      <c r="TMP74" s="609"/>
      <c r="TMQ74" s="609"/>
      <c r="TMR74" s="609"/>
      <c r="TMS74" s="609"/>
      <c r="TMT74" s="609"/>
      <c r="TMU74" s="609"/>
      <c r="TMV74" s="609"/>
      <c r="TMW74" s="609"/>
      <c r="TMX74" s="609"/>
      <c r="TMY74" s="609"/>
      <c r="TMZ74" s="609"/>
      <c r="TNA74" s="609"/>
      <c r="TNB74" s="609"/>
      <c r="TNC74" s="609"/>
      <c r="TND74" s="609"/>
      <c r="TNE74" s="609"/>
      <c r="TNF74" s="609"/>
      <c r="TNG74" s="609"/>
      <c r="TNH74" s="609"/>
      <c r="TNI74" s="609"/>
      <c r="TNJ74" s="609"/>
      <c r="TNK74" s="609"/>
      <c r="TNL74" s="609"/>
      <c r="TNM74" s="609"/>
      <c r="TNN74" s="609"/>
      <c r="TNO74" s="609"/>
      <c r="TNP74" s="609"/>
      <c r="TNQ74" s="609"/>
      <c r="TNR74" s="609"/>
      <c r="TNS74" s="609"/>
      <c r="TNT74" s="609"/>
      <c r="TNU74" s="609"/>
      <c r="TNV74" s="609"/>
      <c r="TNW74" s="609"/>
      <c r="TNX74" s="609"/>
      <c r="TNY74" s="609"/>
      <c r="TNZ74" s="609"/>
      <c r="TOA74" s="609"/>
      <c r="TOB74" s="609"/>
      <c r="TOC74" s="609"/>
      <c r="TOD74" s="609"/>
      <c r="TOE74" s="609"/>
      <c r="TOF74" s="609"/>
      <c r="TOG74" s="609"/>
      <c r="TOH74" s="609"/>
      <c r="TOI74" s="609"/>
      <c r="TOJ74" s="609"/>
      <c r="TOK74" s="609"/>
      <c r="TOL74" s="609"/>
      <c r="TOM74" s="609"/>
      <c r="TON74" s="609"/>
      <c r="TOO74" s="609"/>
      <c r="TOP74" s="609"/>
      <c r="TOQ74" s="609"/>
      <c r="TOR74" s="609"/>
      <c r="TOS74" s="609"/>
      <c r="TOT74" s="609"/>
      <c r="TOU74" s="609"/>
      <c r="TOV74" s="609"/>
      <c r="TOW74" s="609"/>
      <c r="TOX74" s="609"/>
      <c r="TOY74" s="609"/>
      <c r="TOZ74" s="609"/>
      <c r="TPA74" s="609"/>
      <c r="TPB74" s="609"/>
      <c r="TPC74" s="609"/>
      <c r="TPD74" s="609"/>
      <c r="TPE74" s="609"/>
      <c r="TPF74" s="609"/>
      <c r="TPG74" s="609"/>
      <c r="TPH74" s="609"/>
      <c r="TPI74" s="609"/>
      <c r="TPJ74" s="609"/>
      <c r="TPK74" s="609"/>
      <c r="TPL74" s="609"/>
      <c r="TPM74" s="609"/>
      <c r="TPN74" s="609"/>
      <c r="TPO74" s="609"/>
      <c r="TPP74" s="609"/>
      <c r="TPQ74" s="609"/>
      <c r="TPR74" s="609"/>
      <c r="TPS74" s="609"/>
      <c r="TPT74" s="609"/>
      <c r="TPU74" s="609"/>
      <c r="TPV74" s="609"/>
      <c r="TPW74" s="609"/>
      <c r="TPX74" s="609"/>
      <c r="TPY74" s="609"/>
      <c r="TPZ74" s="609"/>
      <c r="TQA74" s="609"/>
      <c r="TQB74" s="609"/>
      <c r="TQC74" s="609"/>
      <c r="TQD74" s="609"/>
      <c r="TQE74" s="609"/>
      <c r="TQF74" s="609"/>
      <c r="TQG74" s="609"/>
      <c r="TQH74" s="609"/>
      <c r="TQI74" s="609"/>
      <c r="TQJ74" s="609"/>
      <c r="TQK74" s="609"/>
      <c r="TQL74" s="609"/>
      <c r="TQM74" s="609"/>
      <c r="TQN74" s="609"/>
      <c r="TQO74" s="609"/>
      <c r="TQP74" s="609"/>
      <c r="TQQ74" s="609"/>
      <c r="TQR74" s="609"/>
      <c r="TQS74" s="609"/>
      <c r="TQT74" s="609"/>
      <c r="TQU74" s="609"/>
      <c r="TQV74" s="609"/>
      <c r="TQW74" s="609"/>
      <c r="TQX74" s="609"/>
      <c r="TQY74" s="609"/>
      <c r="TQZ74" s="609"/>
      <c r="TRA74" s="609"/>
      <c r="TRB74" s="609"/>
      <c r="TRC74" s="609"/>
      <c r="TRD74" s="609"/>
      <c r="TRE74" s="609"/>
      <c r="TRF74" s="609"/>
      <c r="TRG74" s="609"/>
      <c r="TRH74" s="609"/>
      <c r="TRI74" s="609"/>
      <c r="TRJ74" s="609"/>
      <c r="TRK74" s="609"/>
      <c r="TRL74" s="609"/>
      <c r="TRM74" s="609"/>
      <c r="TRN74" s="609"/>
      <c r="TRO74" s="609"/>
      <c r="TRP74" s="609"/>
      <c r="TRQ74" s="609"/>
      <c r="TRR74" s="609"/>
      <c r="TRS74" s="609"/>
      <c r="TRT74" s="609"/>
      <c r="TRU74" s="609"/>
      <c r="TRV74" s="609"/>
      <c r="TRW74" s="609"/>
      <c r="TRX74" s="609"/>
      <c r="TRY74" s="609"/>
      <c r="TRZ74" s="609"/>
      <c r="TSA74" s="609"/>
      <c r="TSB74" s="609"/>
      <c r="TSC74" s="609"/>
      <c r="TSD74" s="609"/>
      <c r="TSE74" s="609"/>
      <c r="TSF74" s="609"/>
      <c r="TSG74" s="609"/>
      <c r="TSH74" s="609"/>
      <c r="TSI74" s="609"/>
      <c r="TSJ74" s="609"/>
      <c r="TSK74" s="609"/>
      <c r="TSL74" s="609"/>
      <c r="TSM74" s="609"/>
      <c r="TSN74" s="609"/>
      <c r="TSO74" s="609"/>
      <c r="TSP74" s="609"/>
      <c r="TSQ74" s="609"/>
      <c r="TSR74" s="609"/>
      <c r="TSS74" s="609"/>
      <c r="TST74" s="609"/>
      <c r="TSU74" s="609"/>
      <c r="TSV74" s="609"/>
      <c r="TSW74" s="609"/>
      <c r="TSX74" s="609"/>
      <c r="TSY74" s="609"/>
      <c r="TSZ74" s="609"/>
      <c r="TTA74" s="609"/>
      <c r="TTB74" s="609"/>
      <c r="TTC74" s="609"/>
      <c r="TTD74" s="609"/>
      <c r="TTE74" s="609"/>
      <c r="TTF74" s="609"/>
      <c r="TTG74" s="609"/>
      <c r="TTH74" s="609"/>
      <c r="TTI74" s="609"/>
      <c r="TTJ74" s="609"/>
      <c r="TTK74" s="609"/>
      <c r="TTL74" s="609"/>
      <c r="TTM74" s="609"/>
      <c r="TTN74" s="609"/>
      <c r="TTO74" s="609"/>
      <c r="TTP74" s="609"/>
      <c r="TTQ74" s="609"/>
      <c r="TTR74" s="609"/>
      <c r="TTS74" s="609"/>
      <c r="TTT74" s="609"/>
      <c r="TTU74" s="609"/>
      <c r="TTV74" s="609"/>
      <c r="TTW74" s="609"/>
      <c r="TTX74" s="609"/>
      <c r="TTY74" s="609"/>
      <c r="TTZ74" s="609"/>
      <c r="TUA74" s="609"/>
      <c r="TUB74" s="609"/>
      <c r="TUC74" s="609"/>
      <c r="TUD74" s="609"/>
      <c r="TUE74" s="609"/>
      <c r="TUF74" s="609"/>
      <c r="TUG74" s="609"/>
      <c r="TUH74" s="609"/>
      <c r="TUI74" s="609"/>
      <c r="TUJ74" s="609"/>
      <c r="TUK74" s="609"/>
      <c r="TUL74" s="609"/>
      <c r="TUM74" s="609"/>
      <c r="TUN74" s="609"/>
      <c r="TUO74" s="609"/>
      <c r="TUP74" s="609"/>
      <c r="TUQ74" s="609"/>
      <c r="TUR74" s="609"/>
      <c r="TUS74" s="609"/>
      <c r="TUT74" s="609"/>
      <c r="TUU74" s="609"/>
      <c r="TUV74" s="609"/>
      <c r="TUW74" s="609"/>
      <c r="TUX74" s="609"/>
      <c r="TUY74" s="609"/>
      <c r="TUZ74" s="609"/>
      <c r="TVA74" s="609"/>
      <c r="TVB74" s="609"/>
      <c r="TVC74" s="609"/>
      <c r="TVD74" s="609"/>
      <c r="TVE74" s="609"/>
      <c r="TVF74" s="609"/>
      <c r="TVG74" s="609"/>
      <c r="TVH74" s="609"/>
      <c r="TVI74" s="609"/>
      <c r="TVJ74" s="609"/>
      <c r="TVK74" s="609"/>
      <c r="TVL74" s="609"/>
      <c r="TVM74" s="609"/>
      <c r="TVN74" s="609"/>
      <c r="TVO74" s="609"/>
      <c r="TVP74" s="609"/>
      <c r="TVQ74" s="609"/>
      <c r="TVR74" s="609"/>
      <c r="TVS74" s="609"/>
      <c r="TVT74" s="609"/>
      <c r="TVU74" s="609"/>
      <c r="TVV74" s="609"/>
      <c r="TVW74" s="609"/>
      <c r="TVX74" s="609"/>
      <c r="TVY74" s="609"/>
      <c r="TVZ74" s="609"/>
      <c r="TWA74" s="609"/>
      <c r="TWB74" s="609"/>
      <c r="TWC74" s="609"/>
      <c r="TWD74" s="609"/>
      <c r="TWE74" s="609"/>
      <c r="TWF74" s="609"/>
      <c r="TWG74" s="609"/>
      <c r="TWH74" s="609"/>
      <c r="TWI74" s="609"/>
      <c r="TWJ74" s="609"/>
      <c r="TWK74" s="609"/>
      <c r="TWL74" s="609"/>
      <c r="TWM74" s="609"/>
      <c r="TWN74" s="609"/>
      <c r="TWO74" s="609"/>
      <c r="TWP74" s="609"/>
      <c r="TWQ74" s="609"/>
      <c r="TWR74" s="609"/>
      <c r="TWS74" s="609"/>
      <c r="TWT74" s="609"/>
      <c r="TWU74" s="609"/>
      <c r="TWV74" s="609"/>
      <c r="TWW74" s="609"/>
      <c r="TWX74" s="609"/>
      <c r="TWY74" s="609"/>
      <c r="TWZ74" s="609"/>
      <c r="TXA74" s="609"/>
      <c r="TXB74" s="609"/>
      <c r="TXC74" s="609"/>
      <c r="TXD74" s="609"/>
      <c r="TXE74" s="609"/>
      <c r="TXF74" s="609"/>
      <c r="TXG74" s="609"/>
      <c r="TXH74" s="609"/>
      <c r="TXI74" s="609"/>
      <c r="TXJ74" s="609"/>
      <c r="TXK74" s="609"/>
      <c r="TXL74" s="609"/>
      <c r="TXM74" s="609"/>
      <c r="TXN74" s="609"/>
      <c r="TXO74" s="609"/>
      <c r="TXP74" s="609"/>
      <c r="TXQ74" s="609"/>
      <c r="TXR74" s="609"/>
      <c r="TXS74" s="609"/>
      <c r="TXT74" s="609"/>
      <c r="TXU74" s="609"/>
      <c r="TXV74" s="609"/>
      <c r="TXW74" s="609"/>
      <c r="TXX74" s="609"/>
      <c r="TXY74" s="609"/>
      <c r="TXZ74" s="609"/>
      <c r="TYA74" s="609"/>
      <c r="TYB74" s="609"/>
      <c r="TYC74" s="609"/>
      <c r="TYD74" s="609"/>
      <c r="TYE74" s="609"/>
      <c r="TYF74" s="609"/>
      <c r="TYG74" s="609"/>
      <c r="TYH74" s="609"/>
      <c r="TYI74" s="609"/>
      <c r="TYJ74" s="609"/>
      <c r="TYK74" s="609"/>
      <c r="TYL74" s="609"/>
      <c r="TYM74" s="609"/>
      <c r="TYN74" s="609"/>
      <c r="TYO74" s="609"/>
      <c r="TYP74" s="609"/>
      <c r="TYQ74" s="609"/>
      <c r="TYR74" s="609"/>
      <c r="TYS74" s="609"/>
      <c r="TYT74" s="609"/>
      <c r="TYU74" s="609"/>
      <c r="TYV74" s="609"/>
      <c r="TYW74" s="609"/>
      <c r="TYX74" s="609"/>
      <c r="TYY74" s="609"/>
      <c r="TYZ74" s="609"/>
      <c r="TZA74" s="609"/>
      <c r="TZB74" s="609"/>
      <c r="TZC74" s="609"/>
      <c r="TZD74" s="609"/>
      <c r="TZE74" s="609"/>
      <c r="TZF74" s="609"/>
      <c r="TZG74" s="609"/>
      <c r="TZH74" s="609"/>
      <c r="TZI74" s="609"/>
      <c r="TZJ74" s="609"/>
      <c r="TZK74" s="609"/>
      <c r="TZL74" s="609"/>
      <c r="TZM74" s="609"/>
      <c r="TZN74" s="609"/>
      <c r="TZO74" s="609"/>
      <c r="TZP74" s="609"/>
      <c r="TZQ74" s="609"/>
      <c r="TZR74" s="609"/>
      <c r="TZS74" s="609"/>
      <c r="TZT74" s="609"/>
      <c r="TZU74" s="609"/>
      <c r="TZV74" s="609"/>
      <c r="TZW74" s="609"/>
      <c r="TZX74" s="609"/>
      <c r="TZY74" s="609"/>
      <c r="TZZ74" s="609"/>
      <c r="UAA74" s="609"/>
      <c r="UAB74" s="609"/>
      <c r="UAC74" s="609"/>
      <c r="UAD74" s="609"/>
      <c r="UAE74" s="609"/>
      <c r="UAF74" s="609"/>
      <c r="UAG74" s="609"/>
      <c r="UAH74" s="609"/>
      <c r="UAI74" s="609"/>
      <c r="UAJ74" s="609"/>
      <c r="UAK74" s="609"/>
      <c r="UAL74" s="609"/>
      <c r="UAM74" s="609"/>
      <c r="UAN74" s="609"/>
      <c r="UAO74" s="609"/>
      <c r="UAP74" s="609"/>
      <c r="UAQ74" s="609"/>
      <c r="UAR74" s="609"/>
      <c r="UAS74" s="609"/>
      <c r="UAT74" s="609"/>
      <c r="UAU74" s="609"/>
      <c r="UAV74" s="609"/>
      <c r="UAW74" s="609"/>
      <c r="UAX74" s="609"/>
      <c r="UAY74" s="609"/>
      <c r="UAZ74" s="609"/>
      <c r="UBA74" s="609"/>
      <c r="UBB74" s="609"/>
      <c r="UBC74" s="609"/>
      <c r="UBD74" s="609"/>
      <c r="UBE74" s="609"/>
      <c r="UBF74" s="609"/>
      <c r="UBG74" s="609"/>
      <c r="UBH74" s="609"/>
      <c r="UBI74" s="609"/>
      <c r="UBJ74" s="609"/>
      <c r="UBK74" s="609"/>
      <c r="UBL74" s="609"/>
      <c r="UBM74" s="609"/>
      <c r="UBN74" s="609"/>
      <c r="UBO74" s="609"/>
      <c r="UBP74" s="609"/>
      <c r="UBQ74" s="609"/>
      <c r="UBR74" s="609"/>
      <c r="UBS74" s="609"/>
      <c r="UBT74" s="609"/>
      <c r="UBU74" s="609"/>
      <c r="UBV74" s="609"/>
      <c r="UBW74" s="609"/>
      <c r="UBX74" s="609"/>
      <c r="UBY74" s="609"/>
      <c r="UBZ74" s="609"/>
      <c r="UCA74" s="609"/>
      <c r="UCB74" s="609"/>
      <c r="UCC74" s="609"/>
      <c r="UCD74" s="609"/>
      <c r="UCE74" s="609"/>
      <c r="UCF74" s="609"/>
      <c r="UCG74" s="609"/>
      <c r="UCH74" s="609"/>
      <c r="UCI74" s="609"/>
      <c r="UCJ74" s="609"/>
      <c r="UCK74" s="609"/>
      <c r="UCL74" s="609"/>
      <c r="UCM74" s="609"/>
      <c r="UCN74" s="609"/>
      <c r="UCO74" s="609"/>
      <c r="UCP74" s="609"/>
      <c r="UCQ74" s="609"/>
      <c r="UCR74" s="609"/>
      <c r="UCS74" s="609"/>
      <c r="UCT74" s="609"/>
      <c r="UCU74" s="609"/>
      <c r="UCV74" s="609"/>
      <c r="UCW74" s="609"/>
      <c r="UCX74" s="609"/>
      <c r="UCY74" s="609"/>
      <c r="UCZ74" s="609"/>
      <c r="UDA74" s="609"/>
      <c r="UDB74" s="609"/>
      <c r="UDC74" s="609"/>
      <c r="UDD74" s="609"/>
      <c r="UDE74" s="609"/>
      <c r="UDF74" s="609"/>
      <c r="UDG74" s="609"/>
      <c r="UDH74" s="609"/>
      <c r="UDI74" s="609"/>
      <c r="UDJ74" s="609"/>
      <c r="UDK74" s="609"/>
      <c r="UDL74" s="609"/>
      <c r="UDM74" s="609"/>
      <c r="UDN74" s="609"/>
      <c r="UDO74" s="609"/>
      <c r="UDP74" s="609"/>
      <c r="UDQ74" s="609"/>
      <c r="UDR74" s="609"/>
      <c r="UDS74" s="609"/>
      <c r="UDT74" s="609"/>
      <c r="UDU74" s="609"/>
      <c r="UDV74" s="609"/>
      <c r="UDW74" s="609"/>
      <c r="UDX74" s="609"/>
      <c r="UDY74" s="609"/>
      <c r="UDZ74" s="609"/>
      <c r="UEA74" s="609"/>
      <c r="UEB74" s="609"/>
      <c r="UEC74" s="609"/>
      <c r="UED74" s="609"/>
      <c r="UEE74" s="609"/>
      <c r="UEF74" s="609"/>
      <c r="UEG74" s="609"/>
      <c r="UEH74" s="609"/>
      <c r="UEI74" s="609"/>
      <c r="UEJ74" s="609"/>
      <c r="UEK74" s="609"/>
      <c r="UEL74" s="609"/>
      <c r="UEM74" s="609"/>
      <c r="UEN74" s="609"/>
      <c r="UEO74" s="609"/>
      <c r="UEP74" s="609"/>
      <c r="UEQ74" s="609"/>
      <c r="UER74" s="609"/>
      <c r="UES74" s="609"/>
      <c r="UET74" s="609"/>
      <c r="UEU74" s="609"/>
      <c r="UEV74" s="609"/>
      <c r="UEW74" s="609"/>
      <c r="UEX74" s="609"/>
      <c r="UEY74" s="609"/>
      <c r="UEZ74" s="609"/>
      <c r="UFA74" s="609"/>
      <c r="UFB74" s="609"/>
      <c r="UFC74" s="609"/>
      <c r="UFD74" s="609"/>
      <c r="UFE74" s="609"/>
      <c r="UFF74" s="609"/>
      <c r="UFG74" s="609"/>
      <c r="UFH74" s="609"/>
      <c r="UFI74" s="609"/>
      <c r="UFJ74" s="609"/>
      <c r="UFK74" s="609"/>
      <c r="UFL74" s="609"/>
      <c r="UFM74" s="609"/>
      <c r="UFN74" s="609"/>
      <c r="UFO74" s="609"/>
      <c r="UFP74" s="609"/>
      <c r="UFQ74" s="609"/>
      <c r="UFR74" s="609"/>
      <c r="UFS74" s="609"/>
      <c r="UFT74" s="609"/>
      <c r="UFU74" s="609"/>
      <c r="UFV74" s="609"/>
      <c r="UFW74" s="609"/>
      <c r="UFX74" s="609"/>
      <c r="UFY74" s="609"/>
      <c r="UFZ74" s="609"/>
      <c r="UGA74" s="609"/>
      <c r="UGB74" s="609"/>
      <c r="UGC74" s="609"/>
      <c r="UGD74" s="609"/>
      <c r="UGE74" s="609"/>
      <c r="UGF74" s="609"/>
      <c r="UGG74" s="609"/>
      <c r="UGH74" s="609"/>
      <c r="UGI74" s="609"/>
      <c r="UGJ74" s="609"/>
      <c r="UGK74" s="609"/>
      <c r="UGL74" s="609"/>
      <c r="UGM74" s="609"/>
      <c r="UGN74" s="609"/>
      <c r="UGO74" s="609"/>
      <c r="UGP74" s="609"/>
      <c r="UGQ74" s="609"/>
      <c r="UGR74" s="609"/>
      <c r="UGS74" s="609"/>
      <c r="UGT74" s="609"/>
      <c r="UGU74" s="609"/>
      <c r="UGV74" s="609"/>
      <c r="UGW74" s="609"/>
      <c r="UGX74" s="609"/>
      <c r="UGY74" s="609"/>
      <c r="UGZ74" s="609"/>
      <c r="UHA74" s="609"/>
      <c r="UHB74" s="609"/>
      <c r="UHC74" s="609"/>
      <c r="UHD74" s="609"/>
      <c r="UHE74" s="609"/>
      <c r="UHF74" s="609"/>
      <c r="UHG74" s="609"/>
      <c r="UHH74" s="609"/>
      <c r="UHI74" s="609"/>
      <c r="UHJ74" s="609"/>
      <c r="UHK74" s="609"/>
      <c r="UHL74" s="609"/>
      <c r="UHM74" s="609"/>
      <c r="UHN74" s="609"/>
      <c r="UHO74" s="609"/>
      <c r="UHP74" s="609"/>
      <c r="UHQ74" s="609"/>
      <c r="UHR74" s="609"/>
      <c r="UHS74" s="609"/>
      <c r="UHT74" s="609"/>
      <c r="UHU74" s="609"/>
      <c r="UHV74" s="609"/>
      <c r="UHW74" s="609"/>
      <c r="UHX74" s="609"/>
      <c r="UHY74" s="609"/>
      <c r="UHZ74" s="609"/>
      <c r="UIA74" s="609"/>
      <c r="UIB74" s="609"/>
      <c r="UIC74" s="609"/>
      <c r="UID74" s="609"/>
      <c r="UIE74" s="609"/>
      <c r="UIF74" s="609"/>
      <c r="UIG74" s="609"/>
      <c r="UIH74" s="609"/>
      <c r="UII74" s="609"/>
      <c r="UIJ74" s="609"/>
      <c r="UIK74" s="609"/>
      <c r="UIL74" s="609"/>
      <c r="UIM74" s="609"/>
      <c r="UIN74" s="609"/>
      <c r="UIO74" s="609"/>
      <c r="UIP74" s="609"/>
      <c r="UIQ74" s="609"/>
      <c r="UIR74" s="609"/>
      <c r="UIS74" s="609"/>
      <c r="UIT74" s="609"/>
      <c r="UIU74" s="609"/>
      <c r="UIV74" s="609"/>
      <c r="UIW74" s="609"/>
      <c r="UIX74" s="609"/>
      <c r="UIY74" s="609"/>
      <c r="UIZ74" s="609"/>
      <c r="UJA74" s="609"/>
      <c r="UJB74" s="609"/>
      <c r="UJC74" s="609"/>
      <c r="UJD74" s="609"/>
      <c r="UJE74" s="609"/>
      <c r="UJF74" s="609"/>
      <c r="UJG74" s="609"/>
      <c r="UJH74" s="609"/>
      <c r="UJI74" s="609"/>
      <c r="UJJ74" s="609"/>
      <c r="UJK74" s="609"/>
      <c r="UJL74" s="609"/>
      <c r="UJM74" s="609"/>
      <c r="UJN74" s="609"/>
      <c r="UJO74" s="609"/>
      <c r="UJP74" s="609"/>
      <c r="UJQ74" s="609"/>
      <c r="UJR74" s="609"/>
      <c r="UJS74" s="609"/>
      <c r="UJT74" s="609"/>
      <c r="UJU74" s="609"/>
      <c r="UJV74" s="609"/>
      <c r="UJW74" s="609"/>
      <c r="UJX74" s="609"/>
      <c r="UJY74" s="609"/>
      <c r="UJZ74" s="609"/>
      <c r="UKA74" s="609"/>
      <c r="UKB74" s="609"/>
      <c r="UKC74" s="609"/>
      <c r="UKD74" s="609"/>
      <c r="UKE74" s="609"/>
      <c r="UKF74" s="609"/>
      <c r="UKG74" s="609"/>
      <c r="UKH74" s="609"/>
      <c r="UKI74" s="609"/>
      <c r="UKJ74" s="609"/>
      <c r="UKK74" s="609"/>
      <c r="UKL74" s="609"/>
      <c r="UKM74" s="609"/>
      <c r="UKN74" s="609"/>
      <c r="UKO74" s="609"/>
      <c r="UKP74" s="609"/>
      <c r="UKQ74" s="609"/>
      <c r="UKR74" s="609"/>
      <c r="UKS74" s="609"/>
      <c r="UKT74" s="609"/>
      <c r="UKU74" s="609"/>
      <c r="UKV74" s="609"/>
      <c r="UKW74" s="609"/>
      <c r="UKX74" s="609"/>
      <c r="UKY74" s="609"/>
      <c r="UKZ74" s="609"/>
      <c r="ULA74" s="609"/>
      <c r="ULB74" s="609"/>
      <c r="ULC74" s="609"/>
      <c r="ULD74" s="609"/>
      <c r="ULE74" s="609"/>
      <c r="ULF74" s="609"/>
      <c r="ULG74" s="609"/>
      <c r="ULH74" s="609"/>
      <c r="ULI74" s="609"/>
      <c r="ULJ74" s="609"/>
      <c r="ULK74" s="609"/>
      <c r="ULL74" s="609"/>
      <c r="ULM74" s="609"/>
      <c r="ULN74" s="609"/>
      <c r="ULO74" s="609"/>
      <c r="ULP74" s="609"/>
      <c r="ULQ74" s="609"/>
      <c r="ULR74" s="609"/>
      <c r="ULS74" s="609"/>
      <c r="ULT74" s="609"/>
      <c r="ULU74" s="609"/>
      <c r="ULV74" s="609"/>
      <c r="ULW74" s="609"/>
      <c r="ULX74" s="609"/>
      <c r="ULY74" s="609"/>
      <c r="ULZ74" s="609"/>
      <c r="UMA74" s="609"/>
      <c r="UMB74" s="609"/>
      <c r="UMC74" s="609"/>
      <c r="UMD74" s="609"/>
      <c r="UME74" s="609"/>
      <c r="UMF74" s="609"/>
      <c r="UMG74" s="609"/>
      <c r="UMH74" s="609"/>
      <c r="UMI74" s="609"/>
      <c r="UMJ74" s="609"/>
      <c r="UMK74" s="609"/>
      <c r="UML74" s="609"/>
      <c r="UMM74" s="609"/>
      <c r="UMN74" s="609"/>
      <c r="UMO74" s="609"/>
      <c r="UMP74" s="609"/>
      <c r="UMQ74" s="609"/>
      <c r="UMR74" s="609"/>
      <c r="UMS74" s="609"/>
      <c r="UMT74" s="609"/>
      <c r="UMU74" s="609"/>
      <c r="UMV74" s="609"/>
      <c r="UMW74" s="609"/>
      <c r="UMX74" s="609"/>
      <c r="UMY74" s="609"/>
      <c r="UMZ74" s="609"/>
      <c r="UNA74" s="609"/>
      <c r="UNB74" s="609"/>
      <c r="UNC74" s="609"/>
      <c r="UND74" s="609"/>
      <c r="UNE74" s="609"/>
      <c r="UNF74" s="609"/>
      <c r="UNG74" s="609"/>
      <c r="UNH74" s="609"/>
      <c r="UNI74" s="609"/>
      <c r="UNJ74" s="609"/>
      <c r="UNK74" s="609"/>
      <c r="UNL74" s="609"/>
      <c r="UNM74" s="609"/>
      <c r="UNN74" s="609"/>
      <c r="UNO74" s="609"/>
      <c r="UNP74" s="609"/>
      <c r="UNQ74" s="609"/>
      <c r="UNR74" s="609"/>
      <c r="UNS74" s="609"/>
      <c r="UNT74" s="609"/>
      <c r="UNU74" s="609"/>
      <c r="UNV74" s="609"/>
      <c r="UNW74" s="609"/>
      <c r="UNX74" s="609"/>
      <c r="UNY74" s="609"/>
      <c r="UNZ74" s="609"/>
      <c r="UOA74" s="609"/>
      <c r="UOB74" s="609"/>
      <c r="UOC74" s="609"/>
      <c r="UOD74" s="609"/>
      <c r="UOE74" s="609"/>
      <c r="UOF74" s="609"/>
      <c r="UOG74" s="609"/>
      <c r="UOH74" s="609"/>
      <c r="UOI74" s="609"/>
      <c r="UOJ74" s="609"/>
      <c r="UOK74" s="609"/>
      <c r="UOL74" s="609"/>
      <c r="UOM74" s="609"/>
      <c r="UON74" s="609"/>
      <c r="UOO74" s="609"/>
      <c r="UOP74" s="609"/>
      <c r="UOQ74" s="609"/>
      <c r="UOR74" s="609"/>
      <c r="UOS74" s="609"/>
      <c r="UOT74" s="609"/>
      <c r="UOU74" s="609"/>
      <c r="UOV74" s="609"/>
      <c r="UOW74" s="609"/>
      <c r="UOX74" s="609"/>
      <c r="UOY74" s="609"/>
      <c r="UOZ74" s="609"/>
      <c r="UPA74" s="609"/>
      <c r="UPB74" s="609"/>
      <c r="UPC74" s="609"/>
      <c r="UPD74" s="609"/>
      <c r="UPE74" s="609"/>
      <c r="UPF74" s="609"/>
      <c r="UPG74" s="609"/>
      <c r="UPH74" s="609"/>
      <c r="UPI74" s="609"/>
      <c r="UPJ74" s="609"/>
      <c r="UPK74" s="609"/>
      <c r="UPL74" s="609"/>
      <c r="UPM74" s="609"/>
      <c r="UPN74" s="609"/>
      <c r="UPO74" s="609"/>
      <c r="UPP74" s="609"/>
      <c r="UPQ74" s="609"/>
      <c r="UPR74" s="609"/>
      <c r="UPS74" s="609"/>
      <c r="UPT74" s="609"/>
      <c r="UPU74" s="609"/>
      <c r="UPV74" s="609"/>
      <c r="UPW74" s="609"/>
      <c r="UPX74" s="609"/>
      <c r="UPY74" s="609"/>
      <c r="UPZ74" s="609"/>
      <c r="UQA74" s="609"/>
      <c r="UQB74" s="609"/>
      <c r="UQC74" s="609"/>
      <c r="UQD74" s="609"/>
      <c r="UQE74" s="609"/>
      <c r="UQF74" s="609"/>
      <c r="UQG74" s="609"/>
      <c r="UQH74" s="609"/>
      <c r="UQI74" s="609"/>
      <c r="UQJ74" s="609"/>
      <c r="UQK74" s="609"/>
      <c r="UQL74" s="609"/>
      <c r="UQM74" s="609"/>
      <c r="UQN74" s="609"/>
      <c r="UQO74" s="609"/>
      <c r="UQP74" s="609"/>
      <c r="UQQ74" s="609"/>
      <c r="UQR74" s="609"/>
      <c r="UQS74" s="609"/>
      <c r="UQT74" s="609"/>
      <c r="UQU74" s="609"/>
      <c r="UQV74" s="609"/>
      <c r="UQW74" s="609"/>
      <c r="UQX74" s="609"/>
      <c r="UQY74" s="609"/>
      <c r="UQZ74" s="609"/>
      <c r="URA74" s="609"/>
      <c r="URB74" s="609"/>
      <c r="URC74" s="609"/>
      <c r="URD74" s="609"/>
      <c r="URE74" s="609"/>
      <c r="URF74" s="609"/>
      <c r="URG74" s="609"/>
      <c r="URH74" s="609"/>
      <c r="URI74" s="609"/>
      <c r="URJ74" s="609"/>
      <c r="URK74" s="609"/>
      <c r="URL74" s="609"/>
      <c r="URM74" s="609"/>
      <c r="URN74" s="609"/>
      <c r="URO74" s="609"/>
      <c r="URP74" s="609"/>
      <c r="URQ74" s="609"/>
      <c r="URR74" s="609"/>
      <c r="URS74" s="609"/>
      <c r="URT74" s="609"/>
      <c r="URU74" s="609"/>
      <c r="URV74" s="609"/>
      <c r="URW74" s="609"/>
      <c r="URX74" s="609"/>
      <c r="URY74" s="609"/>
      <c r="URZ74" s="609"/>
      <c r="USA74" s="609"/>
      <c r="USB74" s="609"/>
      <c r="USC74" s="609"/>
      <c r="USD74" s="609"/>
      <c r="USE74" s="609"/>
      <c r="USF74" s="609"/>
      <c r="USG74" s="609"/>
      <c r="USH74" s="609"/>
      <c r="USI74" s="609"/>
      <c r="USJ74" s="609"/>
      <c r="USK74" s="609"/>
      <c r="USL74" s="609"/>
      <c r="USM74" s="609"/>
      <c r="USN74" s="609"/>
      <c r="USO74" s="609"/>
      <c r="USP74" s="609"/>
      <c r="USQ74" s="609"/>
      <c r="USR74" s="609"/>
      <c r="USS74" s="609"/>
      <c r="UST74" s="609"/>
      <c r="USU74" s="609"/>
      <c r="USV74" s="609"/>
      <c r="USW74" s="609"/>
      <c r="USX74" s="609"/>
      <c r="USY74" s="609"/>
      <c r="USZ74" s="609"/>
      <c r="UTA74" s="609"/>
      <c r="UTB74" s="609"/>
      <c r="UTC74" s="609"/>
      <c r="UTD74" s="609"/>
      <c r="UTE74" s="609"/>
      <c r="UTF74" s="609"/>
      <c r="UTG74" s="609"/>
      <c r="UTH74" s="609"/>
      <c r="UTI74" s="609"/>
      <c r="UTJ74" s="609"/>
      <c r="UTK74" s="609"/>
      <c r="UTL74" s="609"/>
      <c r="UTM74" s="609"/>
      <c r="UTN74" s="609"/>
      <c r="UTO74" s="609"/>
      <c r="UTP74" s="609"/>
      <c r="UTQ74" s="609"/>
      <c r="UTR74" s="609"/>
      <c r="UTS74" s="609"/>
      <c r="UTT74" s="609"/>
      <c r="UTU74" s="609"/>
      <c r="UTV74" s="609"/>
      <c r="UTW74" s="609"/>
      <c r="UTX74" s="609"/>
      <c r="UTY74" s="609"/>
      <c r="UTZ74" s="609"/>
      <c r="UUA74" s="609"/>
      <c r="UUB74" s="609"/>
      <c r="UUC74" s="609"/>
      <c r="UUD74" s="609"/>
      <c r="UUE74" s="609"/>
      <c r="UUF74" s="609"/>
      <c r="UUG74" s="609"/>
      <c r="UUH74" s="609"/>
      <c r="UUI74" s="609"/>
      <c r="UUJ74" s="609"/>
      <c r="UUK74" s="609"/>
      <c r="UUL74" s="609"/>
      <c r="UUM74" s="609"/>
      <c r="UUN74" s="609"/>
      <c r="UUO74" s="609"/>
      <c r="UUP74" s="609"/>
      <c r="UUQ74" s="609"/>
      <c r="UUR74" s="609"/>
      <c r="UUS74" s="609"/>
      <c r="UUT74" s="609"/>
      <c r="UUU74" s="609"/>
      <c r="UUV74" s="609"/>
      <c r="UUW74" s="609"/>
      <c r="UUX74" s="609"/>
      <c r="UUY74" s="609"/>
      <c r="UUZ74" s="609"/>
      <c r="UVA74" s="609"/>
      <c r="UVB74" s="609"/>
      <c r="UVC74" s="609"/>
      <c r="UVD74" s="609"/>
      <c r="UVE74" s="609"/>
      <c r="UVF74" s="609"/>
      <c r="UVG74" s="609"/>
      <c r="UVH74" s="609"/>
      <c r="UVI74" s="609"/>
      <c r="UVJ74" s="609"/>
      <c r="UVK74" s="609"/>
      <c r="UVL74" s="609"/>
      <c r="UVM74" s="609"/>
      <c r="UVN74" s="609"/>
      <c r="UVO74" s="609"/>
      <c r="UVP74" s="609"/>
      <c r="UVQ74" s="609"/>
      <c r="UVR74" s="609"/>
      <c r="UVS74" s="609"/>
      <c r="UVT74" s="609"/>
      <c r="UVU74" s="609"/>
      <c r="UVV74" s="609"/>
      <c r="UVW74" s="609"/>
      <c r="UVX74" s="609"/>
      <c r="UVY74" s="609"/>
      <c r="UVZ74" s="609"/>
      <c r="UWA74" s="609"/>
      <c r="UWB74" s="609"/>
      <c r="UWC74" s="609"/>
      <c r="UWD74" s="609"/>
      <c r="UWE74" s="609"/>
      <c r="UWF74" s="609"/>
      <c r="UWG74" s="609"/>
      <c r="UWH74" s="609"/>
      <c r="UWI74" s="609"/>
      <c r="UWJ74" s="609"/>
      <c r="UWK74" s="609"/>
      <c r="UWL74" s="609"/>
      <c r="UWM74" s="609"/>
      <c r="UWN74" s="609"/>
      <c r="UWO74" s="609"/>
      <c r="UWP74" s="609"/>
      <c r="UWQ74" s="609"/>
      <c r="UWR74" s="609"/>
      <c r="UWS74" s="609"/>
      <c r="UWT74" s="609"/>
      <c r="UWU74" s="609"/>
      <c r="UWV74" s="609"/>
      <c r="UWW74" s="609"/>
      <c r="UWX74" s="609"/>
      <c r="UWY74" s="609"/>
      <c r="UWZ74" s="609"/>
      <c r="UXA74" s="609"/>
      <c r="UXB74" s="609"/>
      <c r="UXC74" s="609"/>
      <c r="UXD74" s="609"/>
      <c r="UXE74" s="609"/>
      <c r="UXF74" s="609"/>
      <c r="UXG74" s="609"/>
      <c r="UXH74" s="609"/>
      <c r="UXI74" s="609"/>
      <c r="UXJ74" s="609"/>
      <c r="UXK74" s="609"/>
      <c r="UXL74" s="609"/>
      <c r="UXM74" s="609"/>
      <c r="UXN74" s="609"/>
      <c r="UXO74" s="609"/>
      <c r="UXP74" s="609"/>
      <c r="UXQ74" s="609"/>
      <c r="UXR74" s="609"/>
      <c r="UXS74" s="609"/>
      <c r="UXT74" s="609"/>
      <c r="UXU74" s="609"/>
      <c r="UXV74" s="609"/>
      <c r="UXW74" s="609"/>
      <c r="UXX74" s="609"/>
      <c r="UXY74" s="609"/>
      <c r="UXZ74" s="609"/>
      <c r="UYA74" s="609"/>
      <c r="UYB74" s="609"/>
      <c r="UYC74" s="609"/>
      <c r="UYD74" s="609"/>
      <c r="UYE74" s="609"/>
      <c r="UYF74" s="609"/>
      <c r="UYG74" s="609"/>
      <c r="UYH74" s="609"/>
      <c r="UYI74" s="609"/>
      <c r="UYJ74" s="609"/>
      <c r="UYK74" s="609"/>
      <c r="UYL74" s="609"/>
      <c r="UYM74" s="609"/>
      <c r="UYN74" s="609"/>
      <c r="UYO74" s="609"/>
      <c r="UYP74" s="609"/>
      <c r="UYQ74" s="609"/>
      <c r="UYR74" s="609"/>
      <c r="UYS74" s="609"/>
      <c r="UYT74" s="609"/>
      <c r="UYU74" s="609"/>
      <c r="UYV74" s="609"/>
      <c r="UYW74" s="609"/>
      <c r="UYX74" s="609"/>
      <c r="UYY74" s="609"/>
      <c r="UYZ74" s="609"/>
      <c r="UZA74" s="609"/>
      <c r="UZB74" s="609"/>
      <c r="UZC74" s="609"/>
      <c r="UZD74" s="609"/>
      <c r="UZE74" s="609"/>
      <c r="UZF74" s="609"/>
      <c r="UZG74" s="609"/>
      <c r="UZH74" s="609"/>
      <c r="UZI74" s="609"/>
      <c r="UZJ74" s="609"/>
      <c r="UZK74" s="609"/>
      <c r="UZL74" s="609"/>
      <c r="UZM74" s="609"/>
      <c r="UZN74" s="609"/>
      <c r="UZO74" s="609"/>
      <c r="UZP74" s="609"/>
      <c r="UZQ74" s="609"/>
      <c r="UZR74" s="609"/>
      <c r="UZS74" s="609"/>
      <c r="UZT74" s="609"/>
      <c r="UZU74" s="609"/>
      <c r="UZV74" s="609"/>
      <c r="UZW74" s="609"/>
      <c r="UZX74" s="609"/>
      <c r="UZY74" s="609"/>
      <c r="UZZ74" s="609"/>
      <c r="VAA74" s="609"/>
      <c r="VAB74" s="609"/>
      <c r="VAC74" s="609"/>
      <c r="VAD74" s="609"/>
      <c r="VAE74" s="609"/>
      <c r="VAF74" s="609"/>
      <c r="VAG74" s="609"/>
      <c r="VAH74" s="609"/>
      <c r="VAI74" s="609"/>
      <c r="VAJ74" s="609"/>
      <c r="VAK74" s="609"/>
      <c r="VAL74" s="609"/>
      <c r="VAM74" s="609"/>
      <c r="VAN74" s="609"/>
      <c r="VAO74" s="609"/>
      <c r="VAP74" s="609"/>
      <c r="VAQ74" s="609"/>
      <c r="VAR74" s="609"/>
      <c r="VAS74" s="609"/>
      <c r="VAT74" s="609"/>
      <c r="VAU74" s="609"/>
      <c r="VAV74" s="609"/>
      <c r="VAW74" s="609"/>
      <c r="VAX74" s="609"/>
      <c r="VAY74" s="609"/>
      <c r="VAZ74" s="609"/>
      <c r="VBA74" s="609"/>
      <c r="VBB74" s="609"/>
      <c r="VBC74" s="609"/>
      <c r="VBD74" s="609"/>
      <c r="VBE74" s="609"/>
      <c r="VBF74" s="609"/>
      <c r="VBG74" s="609"/>
      <c r="VBH74" s="609"/>
      <c r="VBI74" s="609"/>
      <c r="VBJ74" s="609"/>
      <c r="VBK74" s="609"/>
      <c r="VBL74" s="609"/>
      <c r="VBM74" s="609"/>
      <c r="VBN74" s="609"/>
      <c r="VBO74" s="609"/>
      <c r="VBP74" s="609"/>
      <c r="VBQ74" s="609"/>
      <c r="VBR74" s="609"/>
      <c r="VBS74" s="609"/>
      <c r="VBT74" s="609"/>
      <c r="VBU74" s="609"/>
      <c r="VBV74" s="609"/>
      <c r="VBW74" s="609"/>
      <c r="VBX74" s="609"/>
      <c r="VBY74" s="609"/>
      <c r="VBZ74" s="609"/>
      <c r="VCA74" s="609"/>
      <c r="VCB74" s="609"/>
      <c r="VCC74" s="609"/>
      <c r="VCD74" s="609"/>
      <c r="VCE74" s="609"/>
      <c r="VCF74" s="609"/>
      <c r="VCG74" s="609"/>
      <c r="VCH74" s="609"/>
      <c r="VCI74" s="609"/>
      <c r="VCJ74" s="609"/>
      <c r="VCK74" s="609"/>
      <c r="VCL74" s="609"/>
      <c r="VCM74" s="609"/>
      <c r="VCN74" s="609"/>
      <c r="VCO74" s="609"/>
      <c r="VCP74" s="609"/>
      <c r="VCQ74" s="609"/>
      <c r="VCR74" s="609"/>
      <c r="VCS74" s="609"/>
      <c r="VCT74" s="609"/>
      <c r="VCU74" s="609"/>
      <c r="VCV74" s="609"/>
      <c r="VCW74" s="609"/>
      <c r="VCX74" s="609"/>
      <c r="VCY74" s="609"/>
      <c r="VCZ74" s="609"/>
      <c r="VDA74" s="609"/>
      <c r="VDB74" s="609"/>
      <c r="VDC74" s="609"/>
      <c r="VDD74" s="609"/>
      <c r="VDE74" s="609"/>
      <c r="VDF74" s="609"/>
      <c r="VDG74" s="609"/>
      <c r="VDH74" s="609"/>
      <c r="VDI74" s="609"/>
      <c r="VDJ74" s="609"/>
      <c r="VDK74" s="609"/>
      <c r="VDL74" s="609"/>
      <c r="VDM74" s="609"/>
      <c r="VDN74" s="609"/>
      <c r="VDO74" s="609"/>
      <c r="VDP74" s="609"/>
      <c r="VDQ74" s="609"/>
      <c r="VDR74" s="609"/>
      <c r="VDS74" s="609"/>
      <c r="VDT74" s="609"/>
      <c r="VDU74" s="609"/>
      <c r="VDV74" s="609"/>
      <c r="VDW74" s="609"/>
      <c r="VDX74" s="609"/>
      <c r="VDY74" s="609"/>
      <c r="VDZ74" s="609"/>
      <c r="VEA74" s="609"/>
      <c r="VEB74" s="609"/>
      <c r="VEC74" s="609"/>
      <c r="VED74" s="609"/>
      <c r="VEE74" s="609"/>
      <c r="VEF74" s="609"/>
      <c r="VEG74" s="609"/>
      <c r="VEH74" s="609"/>
      <c r="VEI74" s="609"/>
      <c r="VEJ74" s="609"/>
      <c r="VEK74" s="609"/>
      <c r="VEL74" s="609"/>
      <c r="VEM74" s="609"/>
      <c r="VEN74" s="609"/>
      <c r="VEO74" s="609"/>
      <c r="VEP74" s="609"/>
      <c r="VEQ74" s="609"/>
      <c r="VER74" s="609"/>
      <c r="VES74" s="609"/>
      <c r="VET74" s="609"/>
      <c r="VEU74" s="609"/>
      <c r="VEV74" s="609"/>
      <c r="VEW74" s="609"/>
      <c r="VEX74" s="609"/>
      <c r="VEY74" s="609"/>
      <c r="VEZ74" s="609"/>
      <c r="VFA74" s="609"/>
      <c r="VFB74" s="609"/>
      <c r="VFC74" s="609"/>
      <c r="VFD74" s="609"/>
      <c r="VFE74" s="609"/>
      <c r="VFF74" s="609"/>
      <c r="VFG74" s="609"/>
      <c r="VFH74" s="609"/>
      <c r="VFI74" s="609"/>
      <c r="VFJ74" s="609"/>
      <c r="VFK74" s="609"/>
      <c r="VFL74" s="609"/>
      <c r="VFM74" s="609"/>
      <c r="VFN74" s="609"/>
      <c r="VFO74" s="609"/>
      <c r="VFP74" s="609"/>
      <c r="VFQ74" s="609"/>
      <c r="VFR74" s="609"/>
      <c r="VFS74" s="609"/>
      <c r="VFT74" s="609"/>
      <c r="VFU74" s="609"/>
      <c r="VFV74" s="609"/>
      <c r="VFW74" s="609"/>
      <c r="VFX74" s="609"/>
      <c r="VFY74" s="609"/>
      <c r="VFZ74" s="609"/>
      <c r="VGA74" s="609"/>
      <c r="VGB74" s="609"/>
      <c r="VGC74" s="609"/>
      <c r="VGD74" s="609"/>
      <c r="VGE74" s="609"/>
      <c r="VGF74" s="609"/>
      <c r="VGG74" s="609"/>
      <c r="VGH74" s="609"/>
      <c r="VGI74" s="609"/>
      <c r="VGJ74" s="609"/>
      <c r="VGK74" s="609"/>
      <c r="VGL74" s="609"/>
      <c r="VGM74" s="609"/>
      <c r="VGN74" s="609"/>
      <c r="VGO74" s="609"/>
      <c r="VGP74" s="609"/>
      <c r="VGQ74" s="609"/>
      <c r="VGR74" s="609"/>
      <c r="VGS74" s="609"/>
      <c r="VGT74" s="609"/>
      <c r="VGU74" s="609"/>
      <c r="VGV74" s="609"/>
      <c r="VGW74" s="609"/>
      <c r="VGX74" s="609"/>
      <c r="VGY74" s="609"/>
      <c r="VGZ74" s="609"/>
      <c r="VHA74" s="609"/>
      <c r="VHB74" s="609"/>
      <c r="VHC74" s="609"/>
      <c r="VHD74" s="609"/>
      <c r="VHE74" s="609"/>
      <c r="VHF74" s="609"/>
      <c r="VHG74" s="609"/>
      <c r="VHH74" s="609"/>
      <c r="VHI74" s="609"/>
      <c r="VHJ74" s="609"/>
      <c r="VHK74" s="609"/>
      <c r="VHL74" s="609"/>
      <c r="VHM74" s="609"/>
      <c r="VHN74" s="609"/>
      <c r="VHO74" s="609"/>
      <c r="VHP74" s="609"/>
      <c r="VHQ74" s="609"/>
      <c r="VHR74" s="609"/>
      <c r="VHS74" s="609"/>
      <c r="VHT74" s="609"/>
      <c r="VHU74" s="609"/>
      <c r="VHV74" s="609"/>
      <c r="VHW74" s="609"/>
      <c r="VHX74" s="609"/>
      <c r="VHY74" s="609"/>
      <c r="VHZ74" s="609"/>
      <c r="VIA74" s="609"/>
      <c r="VIB74" s="609"/>
      <c r="VIC74" s="609"/>
      <c r="VID74" s="609"/>
      <c r="VIE74" s="609"/>
      <c r="VIF74" s="609"/>
      <c r="VIG74" s="609"/>
      <c r="VIH74" s="609"/>
      <c r="VII74" s="609"/>
      <c r="VIJ74" s="609"/>
      <c r="VIK74" s="609"/>
      <c r="VIL74" s="609"/>
      <c r="VIM74" s="609"/>
      <c r="VIN74" s="609"/>
      <c r="VIO74" s="609"/>
      <c r="VIP74" s="609"/>
      <c r="VIQ74" s="609"/>
      <c r="VIR74" s="609"/>
      <c r="VIS74" s="609"/>
      <c r="VIT74" s="609"/>
      <c r="VIU74" s="609"/>
      <c r="VIV74" s="609"/>
      <c r="VIW74" s="609"/>
      <c r="VIX74" s="609"/>
      <c r="VIY74" s="609"/>
      <c r="VIZ74" s="609"/>
      <c r="VJA74" s="609"/>
      <c r="VJB74" s="609"/>
      <c r="VJC74" s="609"/>
      <c r="VJD74" s="609"/>
      <c r="VJE74" s="609"/>
      <c r="VJF74" s="609"/>
      <c r="VJG74" s="609"/>
      <c r="VJH74" s="609"/>
      <c r="VJI74" s="609"/>
      <c r="VJJ74" s="609"/>
      <c r="VJK74" s="609"/>
      <c r="VJL74" s="609"/>
      <c r="VJM74" s="609"/>
      <c r="VJN74" s="609"/>
      <c r="VJO74" s="609"/>
      <c r="VJP74" s="609"/>
      <c r="VJQ74" s="609"/>
      <c r="VJR74" s="609"/>
      <c r="VJS74" s="609"/>
      <c r="VJT74" s="609"/>
      <c r="VJU74" s="609"/>
      <c r="VJV74" s="609"/>
      <c r="VJW74" s="609"/>
      <c r="VJX74" s="609"/>
      <c r="VJY74" s="609"/>
      <c r="VJZ74" s="609"/>
      <c r="VKA74" s="609"/>
      <c r="VKB74" s="609"/>
      <c r="VKC74" s="609"/>
      <c r="VKD74" s="609"/>
      <c r="VKE74" s="609"/>
      <c r="VKF74" s="609"/>
      <c r="VKG74" s="609"/>
      <c r="VKH74" s="609"/>
      <c r="VKI74" s="609"/>
      <c r="VKJ74" s="609"/>
      <c r="VKK74" s="609"/>
      <c r="VKL74" s="609"/>
      <c r="VKM74" s="609"/>
      <c r="VKN74" s="609"/>
      <c r="VKO74" s="609"/>
      <c r="VKP74" s="609"/>
      <c r="VKQ74" s="609"/>
      <c r="VKR74" s="609"/>
      <c r="VKS74" s="609"/>
      <c r="VKT74" s="609"/>
      <c r="VKU74" s="609"/>
      <c r="VKV74" s="609"/>
      <c r="VKW74" s="609"/>
      <c r="VKX74" s="609"/>
      <c r="VKY74" s="609"/>
      <c r="VKZ74" s="609"/>
      <c r="VLA74" s="609"/>
      <c r="VLB74" s="609"/>
      <c r="VLC74" s="609"/>
      <c r="VLD74" s="609"/>
      <c r="VLE74" s="609"/>
      <c r="VLF74" s="609"/>
      <c r="VLG74" s="609"/>
      <c r="VLH74" s="609"/>
      <c r="VLI74" s="609"/>
      <c r="VLJ74" s="609"/>
      <c r="VLK74" s="609"/>
      <c r="VLL74" s="609"/>
      <c r="VLM74" s="609"/>
      <c r="VLN74" s="609"/>
      <c r="VLO74" s="609"/>
      <c r="VLP74" s="609"/>
      <c r="VLQ74" s="609"/>
      <c r="VLR74" s="609"/>
      <c r="VLS74" s="609"/>
      <c r="VLT74" s="609"/>
      <c r="VLU74" s="609"/>
      <c r="VLV74" s="609"/>
      <c r="VLW74" s="609"/>
      <c r="VLX74" s="609"/>
      <c r="VLY74" s="609"/>
      <c r="VLZ74" s="609"/>
      <c r="VMA74" s="609"/>
      <c r="VMB74" s="609"/>
      <c r="VMC74" s="609"/>
      <c r="VMD74" s="609"/>
      <c r="VME74" s="609"/>
      <c r="VMF74" s="609"/>
      <c r="VMG74" s="609"/>
      <c r="VMH74" s="609"/>
      <c r="VMI74" s="609"/>
      <c r="VMJ74" s="609"/>
      <c r="VMK74" s="609"/>
      <c r="VML74" s="609"/>
      <c r="VMM74" s="609"/>
      <c r="VMN74" s="609"/>
      <c r="VMO74" s="609"/>
      <c r="VMP74" s="609"/>
      <c r="VMQ74" s="609"/>
      <c r="VMR74" s="609"/>
      <c r="VMS74" s="609"/>
      <c r="VMT74" s="609"/>
      <c r="VMU74" s="609"/>
      <c r="VMV74" s="609"/>
      <c r="VMW74" s="609"/>
      <c r="VMX74" s="609"/>
      <c r="VMY74" s="609"/>
      <c r="VMZ74" s="609"/>
      <c r="VNA74" s="609"/>
      <c r="VNB74" s="609"/>
      <c r="VNC74" s="609"/>
      <c r="VND74" s="609"/>
      <c r="VNE74" s="609"/>
      <c r="VNF74" s="609"/>
      <c r="VNG74" s="609"/>
      <c r="VNH74" s="609"/>
      <c r="VNI74" s="609"/>
      <c r="VNJ74" s="609"/>
      <c r="VNK74" s="609"/>
      <c r="VNL74" s="609"/>
      <c r="VNM74" s="609"/>
      <c r="VNN74" s="609"/>
      <c r="VNO74" s="609"/>
      <c r="VNP74" s="609"/>
      <c r="VNQ74" s="609"/>
      <c r="VNR74" s="609"/>
      <c r="VNS74" s="609"/>
      <c r="VNT74" s="609"/>
      <c r="VNU74" s="609"/>
      <c r="VNV74" s="609"/>
      <c r="VNW74" s="609"/>
      <c r="VNX74" s="609"/>
      <c r="VNY74" s="609"/>
      <c r="VNZ74" s="609"/>
      <c r="VOA74" s="609"/>
      <c r="VOB74" s="609"/>
      <c r="VOC74" s="609"/>
      <c r="VOD74" s="609"/>
      <c r="VOE74" s="609"/>
      <c r="VOF74" s="609"/>
      <c r="VOG74" s="609"/>
      <c r="VOH74" s="609"/>
      <c r="VOI74" s="609"/>
      <c r="VOJ74" s="609"/>
      <c r="VOK74" s="609"/>
      <c r="VOL74" s="609"/>
      <c r="VOM74" s="609"/>
      <c r="VON74" s="609"/>
      <c r="VOO74" s="609"/>
      <c r="VOP74" s="609"/>
      <c r="VOQ74" s="609"/>
      <c r="VOR74" s="609"/>
      <c r="VOS74" s="609"/>
      <c r="VOT74" s="609"/>
      <c r="VOU74" s="609"/>
      <c r="VOV74" s="609"/>
      <c r="VOW74" s="609"/>
      <c r="VOX74" s="609"/>
      <c r="VOY74" s="609"/>
      <c r="VOZ74" s="609"/>
      <c r="VPA74" s="609"/>
      <c r="VPB74" s="609"/>
      <c r="VPC74" s="609"/>
      <c r="VPD74" s="609"/>
      <c r="VPE74" s="609"/>
      <c r="VPF74" s="609"/>
      <c r="VPG74" s="609"/>
      <c r="VPH74" s="609"/>
      <c r="VPI74" s="609"/>
      <c r="VPJ74" s="609"/>
      <c r="VPK74" s="609"/>
      <c r="VPL74" s="609"/>
      <c r="VPM74" s="609"/>
      <c r="VPN74" s="609"/>
      <c r="VPO74" s="609"/>
      <c r="VPP74" s="609"/>
      <c r="VPQ74" s="609"/>
      <c r="VPR74" s="609"/>
      <c r="VPS74" s="609"/>
      <c r="VPT74" s="609"/>
      <c r="VPU74" s="609"/>
      <c r="VPV74" s="609"/>
      <c r="VPW74" s="609"/>
      <c r="VPX74" s="609"/>
      <c r="VPY74" s="609"/>
      <c r="VPZ74" s="609"/>
      <c r="VQA74" s="609"/>
      <c r="VQB74" s="609"/>
      <c r="VQC74" s="609"/>
      <c r="VQD74" s="609"/>
      <c r="VQE74" s="609"/>
      <c r="VQF74" s="609"/>
      <c r="VQG74" s="609"/>
      <c r="VQH74" s="609"/>
      <c r="VQI74" s="609"/>
      <c r="VQJ74" s="609"/>
      <c r="VQK74" s="609"/>
      <c r="VQL74" s="609"/>
      <c r="VQM74" s="609"/>
      <c r="VQN74" s="609"/>
      <c r="VQO74" s="609"/>
      <c r="VQP74" s="609"/>
      <c r="VQQ74" s="609"/>
      <c r="VQR74" s="609"/>
      <c r="VQS74" s="609"/>
      <c r="VQT74" s="609"/>
      <c r="VQU74" s="609"/>
      <c r="VQV74" s="609"/>
      <c r="VQW74" s="609"/>
      <c r="VQX74" s="609"/>
      <c r="VQY74" s="609"/>
      <c r="VQZ74" s="609"/>
      <c r="VRA74" s="609"/>
      <c r="VRB74" s="609"/>
      <c r="VRC74" s="609"/>
      <c r="VRD74" s="609"/>
      <c r="VRE74" s="609"/>
      <c r="VRF74" s="609"/>
      <c r="VRG74" s="609"/>
      <c r="VRH74" s="609"/>
      <c r="VRI74" s="609"/>
      <c r="VRJ74" s="609"/>
      <c r="VRK74" s="609"/>
      <c r="VRL74" s="609"/>
      <c r="VRM74" s="609"/>
      <c r="VRN74" s="609"/>
      <c r="VRO74" s="609"/>
      <c r="VRP74" s="609"/>
      <c r="VRQ74" s="609"/>
      <c r="VRR74" s="609"/>
      <c r="VRS74" s="609"/>
      <c r="VRT74" s="609"/>
      <c r="VRU74" s="609"/>
      <c r="VRV74" s="609"/>
      <c r="VRW74" s="609"/>
      <c r="VRX74" s="609"/>
      <c r="VRY74" s="609"/>
      <c r="VRZ74" s="609"/>
      <c r="VSA74" s="609"/>
      <c r="VSB74" s="609"/>
      <c r="VSC74" s="609"/>
      <c r="VSD74" s="609"/>
      <c r="VSE74" s="609"/>
      <c r="VSF74" s="609"/>
      <c r="VSG74" s="609"/>
      <c r="VSH74" s="609"/>
      <c r="VSI74" s="609"/>
      <c r="VSJ74" s="609"/>
      <c r="VSK74" s="609"/>
      <c r="VSL74" s="609"/>
      <c r="VSM74" s="609"/>
      <c r="VSN74" s="609"/>
      <c r="VSO74" s="609"/>
      <c r="VSP74" s="609"/>
      <c r="VSQ74" s="609"/>
      <c r="VSR74" s="609"/>
      <c r="VSS74" s="609"/>
      <c r="VST74" s="609"/>
      <c r="VSU74" s="609"/>
      <c r="VSV74" s="609"/>
      <c r="VSW74" s="609"/>
      <c r="VSX74" s="609"/>
      <c r="VSY74" s="609"/>
      <c r="VSZ74" s="609"/>
      <c r="VTA74" s="609"/>
      <c r="VTB74" s="609"/>
      <c r="VTC74" s="609"/>
      <c r="VTD74" s="609"/>
      <c r="VTE74" s="609"/>
      <c r="VTF74" s="609"/>
      <c r="VTG74" s="609"/>
      <c r="VTH74" s="609"/>
      <c r="VTI74" s="609"/>
      <c r="VTJ74" s="609"/>
      <c r="VTK74" s="609"/>
      <c r="VTL74" s="609"/>
      <c r="VTM74" s="609"/>
      <c r="VTN74" s="609"/>
      <c r="VTO74" s="609"/>
      <c r="VTP74" s="609"/>
      <c r="VTQ74" s="609"/>
      <c r="VTR74" s="609"/>
      <c r="VTS74" s="609"/>
      <c r="VTT74" s="609"/>
      <c r="VTU74" s="609"/>
      <c r="VTV74" s="609"/>
      <c r="VTW74" s="609"/>
      <c r="VTX74" s="609"/>
      <c r="VTY74" s="609"/>
      <c r="VTZ74" s="609"/>
      <c r="VUA74" s="609"/>
      <c r="VUB74" s="609"/>
      <c r="VUC74" s="609"/>
      <c r="VUD74" s="609"/>
      <c r="VUE74" s="609"/>
      <c r="VUF74" s="609"/>
      <c r="VUG74" s="609"/>
      <c r="VUH74" s="609"/>
      <c r="VUI74" s="609"/>
      <c r="VUJ74" s="609"/>
      <c r="VUK74" s="609"/>
      <c r="VUL74" s="609"/>
      <c r="VUM74" s="609"/>
      <c r="VUN74" s="609"/>
      <c r="VUO74" s="609"/>
      <c r="VUP74" s="609"/>
      <c r="VUQ74" s="609"/>
      <c r="VUR74" s="609"/>
      <c r="VUS74" s="609"/>
      <c r="VUT74" s="609"/>
      <c r="VUU74" s="609"/>
      <c r="VUV74" s="609"/>
      <c r="VUW74" s="609"/>
      <c r="VUX74" s="609"/>
      <c r="VUY74" s="609"/>
      <c r="VUZ74" s="609"/>
      <c r="VVA74" s="609"/>
      <c r="VVB74" s="609"/>
      <c r="VVC74" s="609"/>
      <c r="VVD74" s="609"/>
      <c r="VVE74" s="609"/>
      <c r="VVF74" s="609"/>
      <c r="VVG74" s="609"/>
      <c r="VVH74" s="609"/>
      <c r="VVI74" s="609"/>
      <c r="VVJ74" s="609"/>
      <c r="VVK74" s="609"/>
      <c r="VVL74" s="609"/>
      <c r="VVM74" s="609"/>
      <c r="VVN74" s="609"/>
      <c r="VVO74" s="609"/>
      <c r="VVP74" s="609"/>
      <c r="VVQ74" s="609"/>
      <c r="VVR74" s="609"/>
      <c r="VVS74" s="609"/>
      <c r="VVT74" s="609"/>
      <c r="VVU74" s="609"/>
      <c r="VVV74" s="609"/>
      <c r="VVW74" s="609"/>
      <c r="VVX74" s="609"/>
      <c r="VVY74" s="609"/>
      <c r="VVZ74" s="609"/>
      <c r="VWA74" s="609"/>
      <c r="VWB74" s="609"/>
      <c r="VWC74" s="609"/>
      <c r="VWD74" s="609"/>
      <c r="VWE74" s="609"/>
      <c r="VWF74" s="609"/>
      <c r="VWG74" s="609"/>
      <c r="VWH74" s="609"/>
      <c r="VWI74" s="609"/>
      <c r="VWJ74" s="609"/>
      <c r="VWK74" s="609"/>
      <c r="VWL74" s="609"/>
      <c r="VWM74" s="609"/>
      <c r="VWN74" s="609"/>
      <c r="VWO74" s="609"/>
      <c r="VWP74" s="609"/>
      <c r="VWQ74" s="609"/>
      <c r="VWR74" s="609"/>
      <c r="VWS74" s="609"/>
      <c r="VWT74" s="609"/>
      <c r="VWU74" s="609"/>
      <c r="VWV74" s="609"/>
      <c r="VWW74" s="609"/>
      <c r="VWX74" s="609"/>
      <c r="VWY74" s="609"/>
      <c r="VWZ74" s="609"/>
      <c r="VXA74" s="609"/>
      <c r="VXB74" s="609"/>
      <c r="VXC74" s="609"/>
      <c r="VXD74" s="609"/>
      <c r="VXE74" s="609"/>
      <c r="VXF74" s="609"/>
      <c r="VXG74" s="609"/>
      <c r="VXH74" s="609"/>
      <c r="VXI74" s="609"/>
      <c r="VXJ74" s="609"/>
      <c r="VXK74" s="609"/>
      <c r="VXL74" s="609"/>
      <c r="VXM74" s="609"/>
      <c r="VXN74" s="609"/>
      <c r="VXO74" s="609"/>
      <c r="VXP74" s="609"/>
      <c r="VXQ74" s="609"/>
      <c r="VXR74" s="609"/>
      <c r="VXS74" s="609"/>
      <c r="VXT74" s="609"/>
      <c r="VXU74" s="609"/>
      <c r="VXV74" s="609"/>
      <c r="VXW74" s="609"/>
      <c r="VXX74" s="609"/>
      <c r="VXY74" s="609"/>
      <c r="VXZ74" s="609"/>
      <c r="VYA74" s="609"/>
      <c r="VYB74" s="609"/>
      <c r="VYC74" s="609"/>
      <c r="VYD74" s="609"/>
      <c r="VYE74" s="609"/>
      <c r="VYF74" s="609"/>
      <c r="VYG74" s="609"/>
      <c r="VYH74" s="609"/>
      <c r="VYI74" s="609"/>
      <c r="VYJ74" s="609"/>
      <c r="VYK74" s="609"/>
      <c r="VYL74" s="609"/>
      <c r="VYM74" s="609"/>
      <c r="VYN74" s="609"/>
      <c r="VYO74" s="609"/>
      <c r="VYP74" s="609"/>
      <c r="VYQ74" s="609"/>
      <c r="VYR74" s="609"/>
      <c r="VYS74" s="609"/>
      <c r="VYT74" s="609"/>
      <c r="VYU74" s="609"/>
      <c r="VYV74" s="609"/>
      <c r="VYW74" s="609"/>
      <c r="VYX74" s="609"/>
      <c r="VYY74" s="609"/>
      <c r="VYZ74" s="609"/>
      <c r="VZA74" s="609"/>
      <c r="VZB74" s="609"/>
      <c r="VZC74" s="609"/>
      <c r="VZD74" s="609"/>
      <c r="VZE74" s="609"/>
      <c r="VZF74" s="609"/>
      <c r="VZG74" s="609"/>
      <c r="VZH74" s="609"/>
      <c r="VZI74" s="609"/>
      <c r="VZJ74" s="609"/>
      <c r="VZK74" s="609"/>
      <c r="VZL74" s="609"/>
      <c r="VZM74" s="609"/>
      <c r="VZN74" s="609"/>
      <c r="VZO74" s="609"/>
      <c r="VZP74" s="609"/>
      <c r="VZQ74" s="609"/>
      <c r="VZR74" s="609"/>
      <c r="VZS74" s="609"/>
      <c r="VZT74" s="609"/>
      <c r="VZU74" s="609"/>
      <c r="VZV74" s="609"/>
      <c r="VZW74" s="609"/>
      <c r="VZX74" s="609"/>
      <c r="VZY74" s="609"/>
      <c r="VZZ74" s="609"/>
      <c r="WAA74" s="609"/>
      <c r="WAB74" s="609"/>
      <c r="WAC74" s="609"/>
      <c r="WAD74" s="609"/>
      <c r="WAE74" s="609"/>
      <c r="WAF74" s="609"/>
      <c r="WAG74" s="609"/>
      <c r="WAH74" s="609"/>
      <c r="WAI74" s="609"/>
      <c r="WAJ74" s="609"/>
      <c r="WAK74" s="609"/>
      <c r="WAL74" s="609"/>
      <c r="WAM74" s="609"/>
      <c r="WAN74" s="609"/>
      <c r="WAO74" s="609"/>
      <c r="WAP74" s="609"/>
      <c r="WAQ74" s="609"/>
      <c r="WAR74" s="609"/>
      <c r="WAS74" s="609"/>
      <c r="WAT74" s="609"/>
      <c r="WAU74" s="609"/>
      <c r="WAV74" s="609"/>
      <c r="WAW74" s="609"/>
      <c r="WAX74" s="609"/>
      <c r="WAY74" s="609"/>
      <c r="WAZ74" s="609"/>
      <c r="WBA74" s="609"/>
      <c r="WBB74" s="609"/>
      <c r="WBC74" s="609"/>
      <c r="WBD74" s="609"/>
      <c r="WBE74" s="609"/>
      <c r="WBF74" s="609"/>
      <c r="WBG74" s="609"/>
      <c r="WBH74" s="609"/>
      <c r="WBI74" s="609"/>
      <c r="WBJ74" s="609"/>
      <c r="WBK74" s="609"/>
      <c r="WBL74" s="609"/>
      <c r="WBM74" s="609"/>
      <c r="WBN74" s="609"/>
      <c r="WBO74" s="609"/>
      <c r="WBP74" s="609"/>
      <c r="WBQ74" s="609"/>
      <c r="WBR74" s="609"/>
      <c r="WBS74" s="609"/>
      <c r="WBT74" s="609"/>
      <c r="WBU74" s="609"/>
      <c r="WBV74" s="609"/>
      <c r="WBW74" s="609"/>
      <c r="WBX74" s="609"/>
      <c r="WBY74" s="609"/>
      <c r="WBZ74" s="609"/>
      <c r="WCA74" s="609"/>
      <c r="WCB74" s="609"/>
      <c r="WCC74" s="609"/>
      <c r="WCD74" s="609"/>
      <c r="WCE74" s="609"/>
      <c r="WCF74" s="609"/>
      <c r="WCG74" s="609"/>
      <c r="WCH74" s="609"/>
      <c r="WCI74" s="609"/>
      <c r="WCJ74" s="609"/>
      <c r="WCK74" s="609"/>
      <c r="WCL74" s="609"/>
      <c r="WCM74" s="609"/>
      <c r="WCN74" s="609"/>
      <c r="WCO74" s="609"/>
      <c r="WCP74" s="609"/>
      <c r="WCQ74" s="609"/>
      <c r="WCR74" s="609"/>
      <c r="WCS74" s="609"/>
      <c r="WCT74" s="609"/>
      <c r="WCU74" s="609"/>
      <c r="WCV74" s="609"/>
      <c r="WCW74" s="609"/>
      <c r="WCX74" s="609"/>
      <c r="WCY74" s="609"/>
      <c r="WCZ74" s="609"/>
      <c r="WDA74" s="609"/>
      <c r="WDB74" s="609"/>
      <c r="WDC74" s="609"/>
      <c r="WDD74" s="609"/>
      <c r="WDE74" s="609"/>
      <c r="WDF74" s="609"/>
      <c r="WDG74" s="609"/>
      <c r="WDH74" s="609"/>
      <c r="WDI74" s="609"/>
      <c r="WDJ74" s="609"/>
      <c r="WDK74" s="609"/>
      <c r="WDL74" s="609"/>
      <c r="WDM74" s="609"/>
      <c r="WDN74" s="609"/>
      <c r="WDO74" s="609"/>
      <c r="WDP74" s="609"/>
      <c r="WDQ74" s="609"/>
      <c r="WDR74" s="609"/>
      <c r="WDS74" s="609"/>
      <c r="WDT74" s="609"/>
      <c r="WDU74" s="609"/>
      <c r="WDV74" s="609"/>
      <c r="WDW74" s="609"/>
      <c r="WDX74" s="609"/>
      <c r="WDY74" s="609"/>
      <c r="WDZ74" s="609"/>
      <c r="WEA74" s="609"/>
      <c r="WEB74" s="609"/>
      <c r="WEC74" s="609"/>
      <c r="WED74" s="609"/>
      <c r="WEE74" s="609"/>
      <c r="WEF74" s="609"/>
      <c r="WEG74" s="609"/>
      <c r="WEH74" s="609"/>
      <c r="WEI74" s="609"/>
      <c r="WEJ74" s="609"/>
      <c r="WEK74" s="609"/>
      <c r="WEL74" s="609"/>
      <c r="WEM74" s="609"/>
      <c r="WEN74" s="609"/>
      <c r="WEO74" s="609"/>
      <c r="WEP74" s="609"/>
      <c r="WEQ74" s="609"/>
      <c r="WER74" s="609"/>
      <c r="WES74" s="609"/>
      <c r="WET74" s="609"/>
      <c r="WEU74" s="609"/>
      <c r="WEV74" s="609"/>
      <c r="WEW74" s="609"/>
      <c r="WEX74" s="609"/>
      <c r="WEY74" s="609"/>
      <c r="WEZ74" s="609"/>
      <c r="WFA74" s="609"/>
      <c r="WFB74" s="609"/>
      <c r="WFC74" s="609"/>
      <c r="WFD74" s="609"/>
      <c r="WFE74" s="609"/>
      <c r="WFF74" s="609"/>
      <c r="WFG74" s="609"/>
      <c r="WFH74" s="609"/>
      <c r="WFI74" s="609"/>
      <c r="WFJ74" s="609"/>
      <c r="WFK74" s="609"/>
      <c r="WFL74" s="609"/>
      <c r="WFM74" s="609"/>
      <c r="WFN74" s="609"/>
      <c r="WFO74" s="609"/>
      <c r="WFP74" s="609"/>
      <c r="WFQ74" s="609"/>
      <c r="WFR74" s="609"/>
      <c r="WFS74" s="609"/>
      <c r="WFT74" s="609"/>
      <c r="WFU74" s="609"/>
      <c r="WFV74" s="609"/>
      <c r="WFW74" s="609"/>
      <c r="WFX74" s="609"/>
      <c r="WFY74" s="609"/>
      <c r="WFZ74" s="609"/>
      <c r="WGA74" s="609"/>
      <c r="WGB74" s="609"/>
      <c r="WGC74" s="609"/>
      <c r="WGD74" s="609"/>
      <c r="WGE74" s="609"/>
      <c r="WGF74" s="609"/>
      <c r="WGG74" s="609"/>
      <c r="WGH74" s="609"/>
      <c r="WGI74" s="609"/>
      <c r="WGJ74" s="609"/>
      <c r="WGK74" s="609"/>
      <c r="WGL74" s="609"/>
      <c r="WGM74" s="609"/>
      <c r="WGN74" s="609"/>
      <c r="WGO74" s="609"/>
      <c r="WGP74" s="609"/>
      <c r="WGQ74" s="609"/>
      <c r="WGR74" s="609"/>
      <c r="WGS74" s="609"/>
      <c r="WGT74" s="609"/>
      <c r="WGU74" s="609"/>
      <c r="WGV74" s="609"/>
      <c r="WGW74" s="609"/>
      <c r="WGX74" s="609"/>
      <c r="WGY74" s="609"/>
      <c r="WGZ74" s="609"/>
      <c r="WHA74" s="609"/>
      <c r="WHB74" s="609"/>
      <c r="WHC74" s="609"/>
      <c r="WHD74" s="609"/>
      <c r="WHE74" s="609"/>
      <c r="WHF74" s="609"/>
      <c r="WHG74" s="609"/>
      <c r="WHH74" s="609"/>
      <c r="WHI74" s="609"/>
      <c r="WHJ74" s="609"/>
      <c r="WHK74" s="609"/>
      <c r="WHL74" s="609"/>
      <c r="WHM74" s="609"/>
      <c r="WHN74" s="609"/>
      <c r="WHO74" s="609"/>
      <c r="WHP74" s="609"/>
      <c r="WHQ74" s="609"/>
      <c r="WHR74" s="609"/>
      <c r="WHS74" s="609"/>
      <c r="WHT74" s="609"/>
      <c r="WHU74" s="609"/>
      <c r="WHV74" s="609"/>
      <c r="WHW74" s="609"/>
      <c r="WHX74" s="609"/>
      <c r="WHY74" s="609"/>
      <c r="WHZ74" s="609"/>
      <c r="WIA74" s="609"/>
      <c r="WIB74" s="609"/>
      <c r="WIC74" s="609"/>
      <c r="WID74" s="609"/>
      <c r="WIE74" s="609"/>
      <c r="WIF74" s="609"/>
      <c r="WIG74" s="609"/>
      <c r="WIH74" s="609"/>
      <c r="WII74" s="609"/>
      <c r="WIJ74" s="609"/>
      <c r="WIK74" s="609"/>
      <c r="WIL74" s="609"/>
      <c r="WIM74" s="609"/>
      <c r="WIN74" s="609"/>
      <c r="WIO74" s="609"/>
      <c r="WIP74" s="609"/>
      <c r="WIQ74" s="609"/>
      <c r="WIR74" s="609"/>
      <c r="WIS74" s="609"/>
      <c r="WIT74" s="609"/>
      <c r="WIU74" s="609"/>
      <c r="WIV74" s="609"/>
      <c r="WIW74" s="609"/>
      <c r="WIX74" s="609"/>
      <c r="WIY74" s="609"/>
      <c r="WIZ74" s="609"/>
      <c r="WJA74" s="609"/>
      <c r="WJB74" s="609"/>
      <c r="WJC74" s="609"/>
      <c r="WJD74" s="609"/>
      <c r="WJE74" s="609"/>
      <c r="WJF74" s="609"/>
      <c r="WJG74" s="609"/>
      <c r="WJH74" s="609"/>
      <c r="WJI74" s="609"/>
      <c r="WJJ74" s="609"/>
      <c r="WJK74" s="609"/>
      <c r="WJL74" s="609"/>
      <c r="WJM74" s="609"/>
      <c r="WJN74" s="609"/>
      <c r="WJO74" s="609"/>
      <c r="WJP74" s="609"/>
      <c r="WJQ74" s="609"/>
      <c r="WJR74" s="609"/>
      <c r="WJS74" s="609"/>
      <c r="WJT74" s="609"/>
      <c r="WJU74" s="609"/>
      <c r="WJV74" s="609"/>
      <c r="WJW74" s="609"/>
      <c r="WJX74" s="609"/>
      <c r="WJY74" s="609"/>
      <c r="WJZ74" s="609"/>
      <c r="WKA74" s="609"/>
      <c r="WKB74" s="609"/>
      <c r="WKC74" s="609"/>
      <c r="WKD74" s="609"/>
      <c r="WKE74" s="609"/>
      <c r="WKF74" s="609"/>
      <c r="WKG74" s="609"/>
      <c r="WKH74" s="609"/>
      <c r="WKI74" s="609"/>
      <c r="WKJ74" s="609"/>
      <c r="WKK74" s="609"/>
      <c r="WKL74" s="609"/>
      <c r="WKM74" s="609"/>
      <c r="WKN74" s="609"/>
      <c r="WKO74" s="609"/>
      <c r="WKP74" s="609"/>
      <c r="WKQ74" s="609"/>
      <c r="WKR74" s="609"/>
      <c r="WKS74" s="609"/>
      <c r="WKT74" s="609"/>
      <c r="WKU74" s="609"/>
      <c r="WKV74" s="609"/>
      <c r="WKW74" s="609"/>
      <c r="WKX74" s="609"/>
      <c r="WKY74" s="609"/>
      <c r="WKZ74" s="609"/>
      <c r="WLA74" s="609"/>
      <c r="WLB74" s="609"/>
      <c r="WLC74" s="609"/>
      <c r="WLD74" s="609"/>
      <c r="WLE74" s="609"/>
      <c r="WLF74" s="609"/>
      <c r="WLG74" s="609"/>
      <c r="WLH74" s="609"/>
      <c r="WLI74" s="609"/>
      <c r="WLJ74" s="609"/>
      <c r="WLK74" s="609"/>
      <c r="WLL74" s="609"/>
      <c r="WLM74" s="609"/>
      <c r="WLN74" s="609"/>
      <c r="WLO74" s="609"/>
      <c r="WLP74" s="609"/>
      <c r="WLQ74" s="609"/>
      <c r="WLR74" s="609"/>
      <c r="WLS74" s="609"/>
      <c r="WLT74" s="609"/>
      <c r="WLU74" s="609"/>
      <c r="WLV74" s="609"/>
      <c r="WLW74" s="609"/>
      <c r="WLX74" s="609"/>
      <c r="WLY74" s="609"/>
      <c r="WLZ74" s="609"/>
      <c r="WMA74" s="609"/>
      <c r="WMB74" s="609"/>
      <c r="WMC74" s="609"/>
      <c r="WMD74" s="609"/>
      <c r="WME74" s="609"/>
      <c r="WMF74" s="609"/>
      <c r="WMG74" s="609"/>
      <c r="WMH74" s="609"/>
      <c r="WMI74" s="609"/>
      <c r="WMJ74" s="609"/>
      <c r="WMK74" s="609"/>
      <c r="WML74" s="609"/>
      <c r="WMM74" s="609"/>
      <c r="WMN74" s="609"/>
      <c r="WMO74" s="609"/>
      <c r="WMP74" s="609"/>
      <c r="WMQ74" s="609"/>
      <c r="WMR74" s="609"/>
      <c r="WMS74" s="609"/>
      <c r="WMT74" s="609"/>
      <c r="WMU74" s="609"/>
      <c r="WMV74" s="609"/>
      <c r="WMW74" s="609"/>
      <c r="WMX74" s="609"/>
      <c r="WMY74" s="609"/>
      <c r="WMZ74" s="609"/>
      <c r="WNA74" s="609"/>
      <c r="WNB74" s="609"/>
      <c r="WNC74" s="609"/>
      <c r="WND74" s="609"/>
      <c r="WNE74" s="609"/>
      <c r="WNF74" s="609"/>
      <c r="WNG74" s="609"/>
      <c r="WNH74" s="609"/>
      <c r="WNI74" s="609"/>
      <c r="WNJ74" s="609"/>
      <c r="WNK74" s="609"/>
      <c r="WNL74" s="609"/>
      <c r="WNM74" s="609"/>
      <c r="WNN74" s="609"/>
      <c r="WNO74" s="609"/>
      <c r="WNP74" s="609"/>
      <c r="WNQ74" s="609"/>
      <c r="WNR74" s="609"/>
      <c r="WNS74" s="609"/>
      <c r="WNT74" s="609"/>
      <c r="WNU74" s="609"/>
      <c r="WNV74" s="609"/>
      <c r="WNW74" s="609"/>
      <c r="WNX74" s="609"/>
      <c r="WNY74" s="609"/>
      <c r="WNZ74" s="609"/>
      <c r="WOA74" s="609"/>
      <c r="WOB74" s="609"/>
      <c r="WOC74" s="609"/>
      <c r="WOD74" s="609"/>
      <c r="WOE74" s="609"/>
      <c r="WOF74" s="609"/>
      <c r="WOG74" s="609"/>
      <c r="WOH74" s="609"/>
      <c r="WOI74" s="609"/>
      <c r="WOJ74" s="609"/>
      <c r="WOK74" s="609"/>
      <c r="WOL74" s="609"/>
      <c r="WOM74" s="609"/>
      <c r="WON74" s="609"/>
      <c r="WOO74" s="609"/>
      <c r="WOP74" s="609"/>
      <c r="WOQ74" s="609"/>
      <c r="WOR74" s="609"/>
      <c r="WOS74" s="609"/>
      <c r="WOT74" s="609"/>
      <c r="WOU74" s="609"/>
      <c r="WOV74" s="609"/>
      <c r="WOW74" s="609"/>
      <c r="WOX74" s="609"/>
      <c r="WOY74" s="609"/>
      <c r="WOZ74" s="609"/>
      <c r="WPA74" s="609"/>
      <c r="WPB74" s="609"/>
      <c r="WPC74" s="609"/>
      <c r="WPD74" s="609"/>
      <c r="WPE74" s="609"/>
      <c r="WPF74" s="609"/>
      <c r="WPG74" s="609"/>
      <c r="WPH74" s="609"/>
      <c r="WPI74" s="609"/>
      <c r="WPJ74" s="609"/>
      <c r="WPK74" s="609"/>
      <c r="WPL74" s="609"/>
      <c r="WPM74" s="609"/>
      <c r="WPN74" s="609"/>
      <c r="WPO74" s="609"/>
      <c r="WPP74" s="609"/>
      <c r="WPQ74" s="609"/>
      <c r="WPR74" s="609"/>
      <c r="WPS74" s="609"/>
      <c r="WPT74" s="609"/>
      <c r="WPU74" s="609"/>
      <c r="WPV74" s="609"/>
      <c r="WPW74" s="609"/>
      <c r="WPX74" s="609"/>
      <c r="WPY74" s="609"/>
      <c r="WPZ74" s="609"/>
      <c r="WQA74" s="609"/>
      <c r="WQB74" s="609"/>
      <c r="WQC74" s="609"/>
      <c r="WQD74" s="609"/>
      <c r="WQE74" s="609"/>
      <c r="WQF74" s="609"/>
      <c r="WQG74" s="609"/>
      <c r="WQH74" s="609"/>
      <c r="WQI74" s="609"/>
      <c r="WQJ74" s="609"/>
      <c r="WQK74" s="609"/>
      <c r="WQL74" s="609"/>
      <c r="WQM74" s="609"/>
      <c r="WQN74" s="609"/>
      <c r="WQO74" s="609"/>
      <c r="WQP74" s="609"/>
      <c r="WQQ74" s="609"/>
      <c r="WQR74" s="609"/>
      <c r="WQS74" s="609"/>
      <c r="WQT74" s="609"/>
      <c r="WQU74" s="609"/>
      <c r="WQV74" s="609"/>
      <c r="WQW74" s="609"/>
      <c r="WQX74" s="609"/>
      <c r="WQY74" s="609"/>
      <c r="WQZ74" s="609"/>
      <c r="WRA74" s="609"/>
      <c r="WRB74" s="609"/>
      <c r="WRC74" s="609"/>
      <c r="WRD74" s="609"/>
      <c r="WRE74" s="609"/>
      <c r="WRF74" s="609"/>
      <c r="WRG74" s="609"/>
      <c r="WRH74" s="609"/>
      <c r="WRI74" s="609"/>
      <c r="WRJ74" s="609"/>
      <c r="WRK74" s="609"/>
      <c r="WRL74" s="609"/>
      <c r="WRM74" s="609"/>
      <c r="WRN74" s="609"/>
      <c r="WRO74" s="609"/>
      <c r="WRP74" s="609"/>
      <c r="WRQ74" s="609"/>
      <c r="WRR74" s="609"/>
      <c r="WRS74" s="609"/>
      <c r="WRT74" s="609"/>
      <c r="WRU74" s="609"/>
      <c r="WRV74" s="609"/>
      <c r="WRW74" s="609"/>
      <c r="WRX74" s="609"/>
      <c r="WRY74" s="609"/>
      <c r="WRZ74" s="609"/>
      <c r="WSA74" s="609"/>
      <c r="WSB74" s="609"/>
      <c r="WSC74" s="609"/>
      <c r="WSD74" s="609"/>
      <c r="WSE74" s="609"/>
      <c r="WSF74" s="609"/>
      <c r="WSG74" s="609"/>
      <c r="WSH74" s="609"/>
      <c r="WSI74" s="609"/>
      <c r="WSJ74" s="609"/>
      <c r="WSK74" s="609"/>
      <c r="WSL74" s="609"/>
      <c r="WSM74" s="609"/>
      <c r="WSN74" s="609"/>
      <c r="WSO74" s="609"/>
      <c r="WSP74" s="609"/>
      <c r="WSQ74" s="609"/>
      <c r="WSR74" s="609"/>
      <c r="WSS74" s="609"/>
      <c r="WST74" s="609"/>
      <c r="WSU74" s="609"/>
      <c r="WSV74" s="609"/>
      <c r="WSW74" s="609"/>
      <c r="WSX74" s="609"/>
      <c r="WSY74" s="609"/>
      <c r="WSZ74" s="609"/>
      <c r="WTA74" s="609"/>
      <c r="WTB74" s="609"/>
      <c r="WTC74" s="609"/>
      <c r="WTD74" s="609"/>
      <c r="WTE74" s="609"/>
      <c r="WTF74" s="609"/>
      <c r="WTG74" s="609"/>
      <c r="WTH74" s="609"/>
      <c r="WTI74" s="609"/>
      <c r="WTJ74" s="609"/>
      <c r="WTK74" s="609"/>
      <c r="WTL74" s="609"/>
      <c r="WTM74" s="609"/>
      <c r="WTN74" s="609"/>
      <c r="WTO74" s="609"/>
      <c r="WTP74" s="609"/>
      <c r="WTQ74" s="609"/>
      <c r="WTR74" s="609"/>
      <c r="WTS74" s="609"/>
      <c r="WTT74" s="609"/>
      <c r="WTU74" s="609"/>
      <c r="WTV74" s="609"/>
      <c r="WTW74" s="609"/>
      <c r="WTX74" s="609"/>
      <c r="WTY74" s="609"/>
      <c r="WTZ74" s="609"/>
      <c r="WUA74" s="609"/>
      <c r="WUB74" s="609"/>
      <c r="WUC74" s="609"/>
      <c r="WUD74" s="609"/>
      <c r="WUE74" s="609"/>
      <c r="WUF74" s="609"/>
      <c r="WUG74" s="609"/>
      <c r="WUH74" s="609"/>
      <c r="WUI74" s="609"/>
      <c r="WUJ74" s="609"/>
      <c r="WUK74" s="609"/>
      <c r="WUL74" s="609"/>
      <c r="WUM74" s="609"/>
      <c r="WUN74" s="609"/>
      <c r="WUO74" s="609"/>
      <c r="WUP74" s="609"/>
      <c r="WUQ74" s="609"/>
      <c r="WUR74" s="609"/>
      <c r="WUS74" s="609"/>
      <c r="WUT74" s="609"/>
      <c r="WUU74" s="609"/>
      <c r="WUV74" s="609"/>
      <c r="WUW74" s="609"/>
      <c r="WUX74" s="609"/>
      <c r="WUY74" s="609"/>
      <c r="WUZ74" s="609"/>
      <c r="WVA74" s="609"/>
      <c r="WVB74" s="609"/>
      <c r="WVC74" s="609"/>
      <c r="WVD74" s="609"/>
      <c r="WVE74" s="609"/>
      <c r="WVF74" s="609"/>
      <c r="WVG74" s="609"/>
      <c r="WVH74" s="609"/>
      <c r="WVI74" s="609"/>
      <c r="WVJ74" s="609"/>
      <c r="WVK74" s="609"/>
      <c r="WVL74" s="609"/>
      <c r="WVM74" s="609"/>
      <c r="WVN74" s="609"/>
      <c r="WVO74" s="609"/>
      <c r="WVP74" s="609"/>
      <c r="WVQ74" s="609"/>
      <c r="WVR74" s="609"/>
      <c r="WVS74" s="609"/>
      <c r="WVT74" s="609"/>
      <c r="WVU74" s="609"/>
      <c r="WVV74" s="609"/>
      <c r="WVW74" s="609"/>
      <c r="WVX74" s="609"/>
      <c r="WVY74" s="609"/>
      <c r="WVZ74" s="609"/>
      <c r="WWA74" s="609"/>
      <c r="WWB74" s="609"/>
      <c r="WWC74" s="609"/>
      <c r="WWD74" s="609"/>
      <c r="WWE74" s="609"/>
      <c r="WWF74" s="609"/>
      <c r="WWG74" s="609"/>
      <c r="WWH74" s="609"/>
      <c r="WWI74" s="609"/>
      <c r="WWJ74" s="609"/>
      <c r="WWK74" s="609"/>
      <c r="WWL74" s="609"/>
      <c r="WWM74" s="609"/>
      <c r="WWN74" s="609"/>
      <c r="WWO74" s="609"/>
      <c r="WWP74" s="609"/>
      <c r="WWQ74" s="609"/>
      <c r="WWR74" s="609"/>
      <c r="WWS74" s="609"/>
      <c r="WWT74" s="609"/>
      <c r="WWU74" s="609"/>
      <c r="WWV74" s="609"/>
      <c r="WWW74" s="609"/>
      <c r="WWX74" s="609"/>
      <c r="WWY74" s="609"/>
      <c r="WWZ74" s="609"/>
      <c r="WXA74" s="609"/>
      <c r="WXB74" s="609"/>
      <c r="WXC74" s="609"/>
      <c r="WXD74" s="609"/>
      <c r="WXE74" s="609"/>
      <c r="WXF74" s="609"/>
      <c r="WXG74" s="609"/>
      <c r="WXH74" s="609"/>
      <c r="WXI74" s="609"/>
      <c r="WXJ74" s="609"/>
      <c r="WXK74" s="609"/>
      <c r="WXL74" s="609"/>
      <c r="WXM74" s="609"/>
      <c r="WXN74" s="609"/>
      <c r="WXO74" s="609"/>
      <c r="WXP74" s="609"/>
      <c r="WXQ74" s="609"/>
      <c r="WXR74" s="609"/>
      <c r="WXS74" s="609"/>
      <c r="WXT74" s="609"/>
      <c r="WXU74" s="609"/>
      <c r="WXV74" s="609"/>
      <c r="WXW74" s="609"/>
      <c r="WXX74" s="609"/>
      <c r="WXY74" s="609"/>
      <c r="WXZ74" s="609"/>
      <c r="WYA74" s="609"/>
      <c r="WYB74" s="609"/>
      <c r="WYC74" s="609"/>
      <c r="WYD74" s="609"/>
      <c r="WYE74" s="609"/>
      <c r="WYF74" s="609"/>
      <c r="WYG74" s="609"/>
      <c r="WYH74" s="609"/>
      <c r="WYI74" s="609"/>
      <c r="WYJ74" s="609"/>
      <c r="WYK74" s="609"/>
      <c r="WYL74" s="609"/>
      <c r="WYM74" s="609"/>
      <c r="WYN74" s="609"/>
      <c r="WYO74" s="609"/>
      <c r="WYP74" s="609"/>
      <c r="WYQ74" s="609"/>
      <c r="WYR74" s="609"/>
      <c r="WYS74" s="609"/>
      <c r="WYT74" s="609"/>
      <c r="WYU74" s="609"/>
      <c r="WYV74" s="609"/>
      <c r="WYW74" s="609"/>
      <c r="WYX74" s="609"/>
      <c r="WYY74" s="609"/>
      <c r="WYZ74" s="609"/>
      <c r="WZA74" s="609"/>
      <c r="WZB74" s="609"/>
      <c r="WZC74" s="609"/>
      <c r="WZD74" s="609"/>
      <c r="WZE74" s="609"/>
      <c r="WZF74" s="609"/>
      <c r="WZG74" s="609"/>
      <c r="WZH74" s="609"/>
      <c r="WZI74" s="609"/>
      <c r="WZJ74" s="609"/>
      <c r="WZK74" s="609"/>
      <c r="WZL74" s="609"/>
      <c r="WZM74" s="609"/>
      <c r="WZN74" s="609"/>
      <c r="WZO74" s="609"/>
      <c r="WZP74" s="609"/>
      <c r="WZQ74" s="609"/>
      <c r="WZR74" s="609"/>
      <c r="WZS74" s="609"/>
      <c r="WZT74" s="609"/>
      <c r="WZU74" s="609"/>
      <c r="WZV74" s="609"/>
      <c r="WZW74" s="609"/>
      <c r="WZX74" s="609"/>
      <c r="WZY74" s="609"/>
      <c r="WZZ74" s="609"/>
      <c r="XAA74" s="609"/>
      <c r="XAB74" s="609"/>
      <c r="XAC74" s="609"/>
      <c r="XAD74" s="609"/>
      <c r="XAE74" s="609"/>
      <c r="XAF74" s="609"/>
      <c r="XAG74" s="609"/>
      <c r="XAH74" s="609"/>
      <c r="XAI74" s="609"/>
      <c r="XAJ74" s="609"/>
      <c r="XAK74" s="609"/>
      <c r="XAL74" s="609"/>
      <c r="XAM74" s="609"/>
      <c r="XAN74" s="609"/>
      <c r="XAO74" s="609"/>
      <c r="XAP74" s="609"/>
      <c r="XAQ74" s="609"/>
      <c r="XAR74" s="609"/>
      <c r="XAS74" s="609"/>
      <c r="XAT74" s="609"/>
      <c r="XAU74" s="609"/>
      <c r="XAV74" s="609"/>
      <c r="XAW74" s="609"/>
      <c r="XAX74" s="609"/>
      <c r="XAY74" s="609"/>
      <c r="XAZ74" s="609"/>
      <c r="XBA74" s="609"/>
      <c r="XBB74" s="609"/>
      <c r="XBC74" s="609"/>
      <c r="XBD74" s="609"/>
      <c r="XBE74" s="609"/>
      <c r="XBF74" s="609"/>
      <c r="XBG74" s="609"/>
      <c r="XBH74" s="609"/>
      <c r="XBI74" s="609"/>
      <c r="XBJ74" s="609"/>
      <c r="XBK74" s="609"/>
      <c r="XBL74" s="609"/>
      <c r="XBM74" s="609"/>
      <c r="XBN74" s="609"/>
      <c r="XBO74" s="609"/>
      <c r="XBP74" s="609"/>
      <c r="XBQ74" s="609"/>
      <c r="XBR74" s="609"/>
      <c r="XBS74" s="609"/>
      <c r="XBT74" s="609"/>
      <c r="XBU74" s="609"/>
      <c r="XBV74" s="609"/>
      <c r="XBW74" s="609"/>
      <c r="XBX74" s="609"/>
      <c r="XBY74" s="609"/>
      <c r="XBZ74" s="609"/>
      <c r="XCA74" s="609"/>
      <c r="XCB74" s="609"/>
      <c r="XCC74" s="609"/>
      <c r="XCD74" s="609"/>
      <c r="XCE74" s="609"/>
      <c r="XCF74" s="609"/>
      <c r="XCG74" s="609"/>
      <c r="XCH74" s="609"/>
      <c r="XCI74" s="609"/>
      <c r="XCJ74" s="609"/>
      <c r="XCK74" s="609"/>
      <c r="XCL74" s="609"/>
      <c r="XCM74" s="609"/>
      <c r="XCN74" s="609"/>
      <c r="XCO74" s="609"/>
      <c r="XCP74" s="609"/>
      <c r="XCQ74" s="609"/>
      <c r="XCR74" s="609"/>
      <c r="XCS74" s="609"/>
      <c r="XCT74" s="609"/>
      <c r="XCU74" s="609"/>
      <c r="XCV74" s="609"/>
      <c r="XCW74" s="609"/>
      <c r="XCX74" s="609"/>
      <c r="XCY74" s="609"/>
      <c r="XCZ74" s="609"/>
      <c r="XDA74" s="609"/>
      <c r="XDB74" s="609"/>
      <c r="XDC74" s="609"/>
      <c r="XDD74" s="609"/>
      <c r="XDE74" s="609"/>
      <c r="XDF74" s="609"/>
      <c r="XDG74" s="609"/>
      <c r="XDH74" s="609"/>
      <c r="XDI74" s="609"/>
      <c r="XDJ74" s="609"/>
      <c r="XDK74" s="609"/>
      <c r="XDL74" s="609"/>
      <c r="XDM74" s="609"/>
      <c r="XDN74" s="609"/>
      <c r="XDO74" s="609"/>
      <c r="XDP74" s="609"/>
      <c r="XDQ74" s="609"/>
      <c r="XDR74" s="609"/>
      <c r="XDS74" s="609"/>
      <c r="XDT74" s="609"/>
      <c r="XDU74" s="609"/>
      <c r="XDV74" s="609"/>
      <c r="XDW74" s="609"/>
      <c r="XDX74" s="609"/>
      <c r="XDY74" s="609"/>
      <c r="XDZ74" s="609"/>
      <c r="XEA74" s="609"/>
      <c r="XEB74" s="609"/>
      <c r="XEC74" s="609"/>
      <c r="XED74" s="609"/>
      <c r="XEE74" s="609"/>
      <c r="XEF74" s="609"/>
      <c r="XEG74" s="609"/>
      <c r="XEH74" s="609"/>
      <c r="XEI74" s="609"/>
      <c r="XEJ74" s="609"/>
      <c r="XEK74" s="609"/>
      <c r="XEL74" s="609"/>
      <c r="XEM74" s="609"/>
      <c r="XEN74" s="609"/>
      <c r="XEO74" s="609"/>
      <c r="XEP74" s="609"/>
      <c r="XEQ74" s="609"/>
      <c r="XER74" s="609"/>
      <c r="XES74" s="609"/>
      <c r="XET74" s="609"/>
      <c r="XEU74" s="609"/>
      <c r="XEV74" s="609"/>
      <c r="XEW74" s="609"/>
      <c r="XEX74" s="609"/>
      <c r="XEY74" s="609"/>
      <c r="XEZ74" s="609"/>
      <c r="XFA74" s="609"/>
    </row>
    <row r="75" spans="1:16381" ht="45">
      <c r="A75" s="609" t="str">
        <f t="shared" si="0"/>
        <v>Deka-Zukunftsplan und BonusRente v. 01.01.2019</v>
      </c>
      <c r="B75" s="609">
        <f>ROW()</f>
        <v>75</v>
      </c>
      <c r="C75" s="635" t="s">
        <v>1488</v>
      </c>
      <c r="D75" s="1201">
        <v>43466</v>
      </c>
      <c r="E75" s="636" t="s">
        <v>660</v>
      </c>
      <c r="F75" s="637" t="s">
        <v>472</v>
      </c>
      <c r="G75" s="634" t="str">
        <f t="shared" si="2"/>
        <v>TO ermöglicht: Tarifwechel; doppelten Kostenabzug;  Verzinsung zwischen EzE und RK geltend machen</v>
      </c>
      <c r="I75" s="634" t="s">
        <v>1489</v>
      </c>
      <c r="J75" s="788"/>
      <c r="K75" s="1199">
        <v>1</v>
      </c>
      <c r="L75" s="1199">
        <v>2</v>
      </c>
      <c r="M75" s="1199"/>
      <c r="N75" s="1199">
        <v>4</v>
      </c>
      <c r="O75" s="960"/>
      <c r="P75" s="144">
        <f t="shared" si="6"/>
        <v>7</v>
      </c>
    </row>
    <row r="76" spans="1:16381" ht="33.75">
      <c r="A76" s="609" t="str">
        <f t="shared" si="0"/>
        <v>Delta Lloyd Lebensversicherung</v>
      </c>
      <c r="B76" s="609">
        <f>ROW()</f>
        <v>76</v>
      </c>
      <c r="C76" s="635" t="s">
        <v>720</v>
      </c>
      <c r="E76" s="636" t="s">
        <v>722</v>
      </c>
      <c r="F76" s="637" t="str">
        <f>IF(K76=1,"Ja","")</f>
        <v>Ja</v>
      </c>
      <c r="G76" s="634" t="str">
        <f t="shared" si="2"/>
        <v xml:space="preserve">TO ermöglicht: Tarifwechel; </v>
      </c>
      <c r="K76" s="1199">
        <v>1</v>
      </c>
      <c r="L76" s="1199"/>
      <c r="M76" s="1199"/>
      <c r="N76" s="1199"/>
      <c r="O76" s="793" t="s">
        <v>723</v>
      </c>
      <c r="P76" s="144">
        <f t="shared" si="6"/>
        <v>1</v>
      </c>
    </row>
    <row r="77" spans="1:16381" ht="33.75">
      <c r="A77" s="609" t="str">
        <f t="shared" ref="A77:A145" si="7">C77&amp;IF(D77=0,""," v. "&amp;TEXT(D77,"TT.MM.JJJ"))</f>
        <v>Delta Lloyd Pensionskasse</v>
      </c>
      <c r="B77" s="609">
        <f>ROW()</f>
        <v>77</v>
      </c>
      <c r="C77" s="635" t="s">
        <v>719</v>
      </c>
      <c r="E77" s="636" t="s">
        <v>722</v>
      </c>
      <c r="F77" s="637" t="str">
        <f>IF(K77=1,"Ja","")</f>
        <v>Ja</v>
      </c>
      <c r="G77" s="634" t="str">
        <f t="shared" ref="G77:G145" si="8">IF(SUM(K77:N77)=0,"","TO ermöglicht: "&amp;IF(K77&gt;0,"Tarifwechel; ","")&amp;IF(L77&gt;0,"doppelten Kostenabzug; ","")&amp;IF(M77&gt;0," Abweichungen vom gerichtl. festgelegten Ausgleichswert; ","")&amp;IF(N77&gt;0," Verzinsung zwischen EzE und RK geltend machen",""))</f>
        <v xml:space="preserve">TO ermöglicht: Tarifwechel; </v>
      </c>
      <c r="K77" s="1199">
        <v>1</v>
      </c>
      <c r="L77" s="1199"/>
      <c r="M77" s="1199"/>
      <c r="N77" s="1199"/>
      <c r="O77" s="793" t="s">
        <v>723</v>
      </c>
      <c r="P77" s="144">
        <f t="shared" si="6"/>
        <v>1</v>
      </c>
    </row>
    <row r="78" spans="1:16381" ht="22.5">
      <c r="A78" s="609" t="str">
        <f t="shared" si="7"/>
        <v>Deutsche Ärzteversicherung AG v. 01.05.2020</v>
      </c>
      <c r="B78" s="609">
        <f>ROW()</f>
        <v>78</v>
      </c>
      <c r="C78" s="635" t="s">
        <v>1486</v>
      </c>
      <c r="D78" s="1201">
        <v>43952</v>
      </c>
      <c r="E78" s="636">
        <v>5</v>
      </c>
      <c r="F78" s="637" t="s">
        <v>472</v>
      </c>
      <c r="G78" s="634" t="str">
        <f t="shared" si="8"/>
        <v>TO ermöglicht: Tarifwechel; doppelten Kostenabzug;  Verzinsung zwischen EzE und RK geltend machen</v>
      </c>
      <c r="K78" s="1199">
        <v>1</v>
      </c>
      <c r="L78" s="1199">
        <v>2</v>
      </c>
      <c r="M78" s="1199"/>
      <c r="N78" s="1199">
        <v>4</v>
      </c>
      <c r="O78" s="793"/>
      <c r="P78" s="144">
        <f t="shared" si="6"/>
        <v>7</v>
      </c>
    </row>
    <row r="79" spans="1:16381">
      <c r="A79" s="609" t="str">
        <f t="shared" si="7"/>
        <v>Deutsche Bank v. 01.04.2016</v>
      </c>
      <c r="B79" s="609">
        <f>ROW()</f>
        <v>79</v>
      </c>
      <c r="C79" s="635" t="s">
        <v>665</v>
      </c>
      <c r="D79" s="1201">
        <v>42461</v>
      </c>
      <c r="E79" s="636" t="s">
        <v>666</v>
      </c>
      <c r="F79" s="637" t="str">
        <f t="shared" ref="F79:F147" si="9">IF(K79=1,"Ja","")</f>
        <v/>
      </c>
      <c r="G79" s="634" t="str">
        <f t="shared" si="8"/>
        <v/>
      </c>
      <c r="K79" s="1199"/>
      <c r="L79" s="1199"/>
      <c r="M79" s="1199"/>
      <c r="N79" s="1199"/>
      <c r="O79" s="634"/>
      <c r="P79" s="144">
        <f t="shared" si="6"/>
        <v>0</v>
      </c>
    </row>
    <row r="80" spans="1:16381">
      <c r="A80" s="609" t="str">
        <f t="shared" si="7"/>
        <v>Deutsche Bank v. 01.07.2021</v>
      </c>
      <c r="B80" s="609">
        <f>ROW()</f>
        <v>80</v>
      </c>
      <c r="C80" s="635" t="s">
        <v>665</v>
      </c>
      <c r="D80" s="1201">
        <v>44378</v>
      </c>
      <c r="F80" s="637" t="str">
        <f t="shared" si="9"/>
        <v/>
      </c>
      <c r="G80" s="634" t="str">
        <f t="shared" si="8"/>
        <v xml:space="preserve">TO ermöglicht: doppelten Kostenabzug; </v>
      </c>
      <c r="K80" s="1199"/>
      <c r="L80" s="1199">
        <v>2</v>
      </c>
      <c r="M80" s="1199"/>
      <c r="N80" s="1199"/>
      <c r="P80" s="144">
        <f t="shared" si="6"/>
        <v>2</v>
      </c>
      <c r="Q80" s="609"/>
      <c r="R80" s="609"/>
      <c r="S80" s="609"/>
      <c r="T80" s="609"/>
      <c r="U80" s="609"/>
      <c r="V80" s="609"/>
      <c r="W80" s="609"/>
      <c r="X80" s="609"/>
      <c r="Y80" s="609"/>
      <c r="Z80" s="609"/>
      <c r="AA80" s="609"/>
      <c r="AB80" s="609"/>
      <c r="AC80" s="609"/>
      <c r="AD80" s="609"/>
      <c r="AE80" s="609"/>
      <c r="AF80" s="609"/>
      <c r="AG80" s="609"/>
      <c r="AH80" s="609"/>
      <c r="AI80" s="609"/>
      <c r="AJ80" s="609"/>
      <c r="AK80" s="609"/>
      <c r="AL80" s="609"/>
      <c r="AM80" s="609"/>
      <c r="AN80" s="609"/>
      <c r="AO80" s="609"/>
      <c r="AP80" s="609"/>
      <c r="AQ80" s="609"/>
      <c r="AR80" s="609"/>
      <c r="AS80" s="609"/>
      <c r="AT80" s="609"/>
      <c r="AU80" s="609"/>
      <c r="AV80" s="609"/>
      <c r="AW80" s="609"/>
      <c r="AX80" s="609"/>
      <c r="AY80" s="609"/>
      <c r="AZ80" s="609"/>
      <c r="BA80" s="609"/>
      <c r="BB80" s="609"/>
      <c r="BC80" s="609"/>
      <c r="BD80" s="609"/>
      <c r="BE80" s="609"/>
      <c r="BF80" s="609"/>
      <c r="BG80" s="609"/>
      <c r="BH80" s="609"/>
      <c r="BI80" s="609"/>
      <c r="BJ80" s="609"/>
      <c r="BK80" s="609"/>
      <c r="BL80" s="609"/>
      <c r="BM80" s="609"/>
      <c r="BN80" s="609"/>
      <c r="BO80" s="609"/>
      <c r="BP80" s="609"/>
      <c r="BQ80" s="609"/>
      <c r="BR80" s="609"/>
      <c r="BS80" s="609"/>
      <c r="BT80" s="609"/>
      <c r="BU80" s="609"/>
      <c r="BV80" s="609"/>
      <c r="BW80" s="609"/>
      <c r="BX80" s="609"/>
      <c r="BY80" s="609"/>
      <c r="BZ80" s="609"/>
      <c r="CA80" s="609"/>
      <c r="CB80" s="609"/>
      <c r="CC80" s="609"/>
      <c r="CD80" s="609"/>
      <c r="CE80" s="609"/>
      <c r="CF80" s="609"/>
      <c r="CG80" s="609"/>
      <c r="CH80" s="609"/>
      <c r="CI80" s="609"/>
      <c r="CJ80" s="609"/>
      <c r="CK80" s="609"/>
      <c r="CL80" s="609"/>
      <c r="CM80" s="609"/>
      <c r="CN80" s="609"/>
      <c r="CO80" s="609"/>
      <c r="CP80" s="609"/>
      <c r="CQ80" s="609"/>
      <c r="CR80" s="609"/>
      <c r="CS80" s="609"/>
      <c r="CT80" s="609"/>
      <c r="CU80" s="609"/>
      <c r="CV80" s="609"/>
      <c r="CW80" s="609"/>
      <c r="CX80" s="609"/>
      <c r="CY80" s="609"/>
      <c r="CZ80" s="609"/>
      <c r="DA80" s="609"/>
      <c r="DB80" s="609"/>
      <c r="DC80" s="609"/>
      <c r="DD80" s="609"/>
      <c r="DE80" s="609"/>
      <c r="DF80" s="609"/>
      <c r="DG80" s="609"/>
      <c r="DH80" s="609"/>
      <c r="DI80" s="609"/>
      <c r="DJ80" s="609"/>
      <c r="DK80" s="609"/>
      <c r="DL80" s="609"/>
      <c r="DM80" s="609"/>
      <c r="DN80" s="609"/>
      <c r="DO80" s="609"/>
      <c r="DP80" s="609"/>
      <c r="DQ80" s="609"/>
      <c r="DR80" s="609"/>
      <c r="DS80" s="609"/>
      <c r="DT80" s="609"/>
      <c r="DU80" s="609"/>
      <c r="DV80" s="609"/>
      <c r="DW80" s="609"/>
      <c r="DX80" s="609"/>
      <c r="DY80" s="609"/>
      <c r="DZ80" s="609"/>
      <c r="EA80" s="609"/>
      <c r="EB80" s="609"/>
      <c r="EC80" s="609"/>
      <c r="ED80" s="609"/>
      <c r="EE80" s="609"/>
      <c r="EF80" s="609"/>
      <c r="EG80" s="609"/>
      <c r="EH80" s="609"/>
      <c r="EI80" s="609"/>
      <c r="EJ80" s="609"/>
      <c r="EK80" s="609"/>
      <c r="EL80" s="609"/>
      <c r="EM80" s="609"/>
      <c r="EN80" s="609"/>
      <c r="EO80" s="609"/>
      <c r="EP80" s="609"/>
      <c r="EQ80" s="609"/>
      <c r="ER80" s="609"/>
      <c r="ES80" s="609"/>
      <c r="ET80" s="609"/>
      <c r="EU80" s="609"/>
      <c r="EV80" s="609"/>
      <c r="EW80" s="609"/>
      <c r="EX80" s="609"/>
      <c r="EY80" s="609"/>
      <c r="EZ80" s="609"/>
      <c r="FA80" s="609"/>
      <c r="FB80" s="609"/>
      <c r="FC80" s="609"/>
      <c r="FD80" s="609"/>
      <c r="FE80" s="609"/>
      <c r="FF80" s="609"/>
      <c r="FG80" s="609"/>
      <c r="FH80" s="609"/>
      <c r="FI80" s="609"/>
      <c r="FJ80" s="609"/>
      <c r="FK80" s="609"/>
      <c r="FL80" s="609"/>
      <c r="FM80" s="609"/>
      <c r="FN80" s="609"/>
      <c r="FO80" s="609"/>
      <c r="FP80" s="609"/>
      <c r="FQ80" s="609"/>
      <c r="FR80" s="609"/>
      <c r="FS80" s="609"/>
      <c r="FT80" s="609"/>
      <c r="FU80" s="609"/>
      <c r="FV80" s="609"/>
      <c r="FW80" s="609"/>
      <c r="FX80" s="609"/>
      <c r="FY80" s="609"/>
      <c r="FZ80" s="609"/>
      <c r="GA80" s="609"/>
      <c r="GB80" s="609"/>
      <c r="GC80" s="609"/>
      <c r="GD80" s="609"/>
      <c r="GE80" s="609"/>
      <c r="GF80" s="609"/>
      <c r="GG80" s="609"/>
      <c r="GH80" s="609"/>
      <c r="GI80" s="609"/>
      <c r="GJ80" s="609"/>
      <c r="GK80" s="609"/>
      <c r="GL80" s="609"/>
      <c r="GM80" s="609"/>
      <c r="GN80" s="609"/>
      <c r="GO80" s="609"/>
      <c r="GP80" s="609"/>
      <c r="GQ80" s="609"/>
      <c r="GR80" s="609"/>
      <c r="GS80" s="609"/>
      <c r="GT80" s="609"/>
      <c r="GU80" s="609"/>
      <c r="GV80" s="609"/>
      <c r="GW80" s="609"/>
      <c r="GX80" s="609"/>
      <c r="GY80" s="609"/>
      <c r="GZ80" s="609"/>
      <c r="HA80" s="609"/>
      <c r="HB80" s="609"/>
      <c r="HC80" s="609"/>
      <c r="HD80" s="609"/>
      <c r="HE80" s="609"/>
      <c r="HF80" s="609"/>
      <c r="HG80" s="609"/>
      <c r="HH80" s="609"/>
      <c r="HI80" s="609"/>
      <c r="HJ80" s="609"/>
      <c r="HK80" s="609"/>
      <c r="HL80" s="609"/>
      <c r="HM80" s="609"/>
      <c r="HN80" s="609"/>
      <c r="HO80" s="609"/>
      <c r="HP80" s="609"/>
      <c r="HQ80" s="609"/>
      <c r="HR80" s="609"/>
      <c r="HS80" s="609"/>
      <c r="HT80" s="609"/>
      <c r="HU80" s="609"/>
      <c r="HV80" s="609"/>
      <c r="HW80" s="609"/>
      <c r="HX80" s="609"/>
      <c r="HY80" s="609"/>
      <c r="HZ80" s="609"/>
      <c r="IA80" s="609"/>
      <c r="IB80" s="609"/>
      <c r="IC80" s="609"/>
      <c r="ID80" s="609"/>
      <c r="IE80" s="609"/>
      <c r="IF80" s="609"/>
      <c r="IG80" s="609"/>
      <c r="IH80" s="609"/>
      <c r="II80" s="609"/>
      <c r="IJ80" s="609"/>
      <c r="IK80" s="609"/>
      <c r="IL80" s="609"/>
      <c r="IM80" s="609"/>
      <c r="IN80" s="609"/>
      <c r="IO80" s="609"/>
      <c r="IP80" s="609"/>
      <c r="IQ80" s="609"/>
      <c r="IR80" s="609"/>
      <c r="IS80" s="609"/>
      <c r="IT80" s="609"/>
      <c r="IU80" s="609"/>
      <c r="IV80" s="609"/>
      <c r="IW80" s="609"/>
      <c r="IX80" s="609"/>
      <c r="IY80" s="609"/>
      <c r="IZ80" s="609"/>
      <c r="JA80" s="609"/>
      <c r="JB80" s="609"/>
      <c r="JC80" s="609"/>
      <c r="JD80" s="609"/>
      <c r="JE80" s="609"/>
      <c r="JF80" s="609"/>
      <c r="JG80" s="609"/>
      <c r="JH80" s="609"/>
      <c r="JI80" s="609"/>
      <c r="JJ80" s="609"/>
      <c r="JK80" s="609"/>
      <c r="JL80" s="609"/>
      <c r="JM80" s="609"/>
      <c r="JN80" s="609"/>
      <c r="JO80" s="609"/>
      <c r="JP80" s="609"/>
      <c r="JQ80" s="609"/>
      <c r="JR80" s="609"/>
      <c r="JS80" s="609"/>
      <c r="JT80" s="609"/>
      <c r="JU80" s="609"/>
      <c r="JV80" s="609"/>
      <c r="JW80" s="609"/>
      <c r="JX80" s="609"/>
      <c r="JY80" s="609"/>
      <c r="JZ80" s="609"/>
      <c r="KA80" s="609"/>
      <c r="KB80" s="609"/>
      <c r="KC80" s="609"/>
      <c r="KD80" s="609"/>
      <c r="KE80" s="609"/>
      <c r="KF80" s="609"/>
      <c r="KG80" s="609"/>
      <c r="KH80" s="609"/>
      <c r="KI80" s="609"/>
      <c r="KJ80" s="609"/>
      <c r="KK80" s="609"/>
      <c r="KL80" s="609"/>
      <c r="KM80" s="609"/>
      <c r="KN80" s="609"/>
      <c r="KO80" s="609"/>
      <c r="KP80" s="609"/>
      <c r="KQ80" s="609"/>
      <c r="KR80" s="609"/>
      <c r="KS80" s="609"/>
      <c r="KT80" s="609"/>
      <c r="KU80" s="609"/>
      <c r="KV80" s="609"/>
      <c r="KW80" s="609"/>
      <c r="KX80" s="609"/>
      <c r="KY80" s="609"/>
      <c r="KZ80" s="609"/>
      <c r="LA80" s="609"/>
      <c r="LB80" s="609"/>
      <c r="LC80" s="609"/>
      <c r="LD80" s="609"/>
      <c r="LE80" s="609"/>
      <c r="LF80" s="609"/>
      <c r="LG80" s="609"/>
      <c r="LH80" s="609"/>
      <c r="LI80" s="609"/>
      <c r="LJ80" s="609"/>
      <c r="LK80" s="609"/>
      <c r="LL80" s="609"/>
      <c r="LM80" s="609"/>
      <c r="LN80" s="609"/>
      <c r="LO80" s="609"/>
      <c r="LP80" s="609"/>
      <c r="LQ80" s="609"/>
      <c r="LR80" s="609"/>
      <c r="LS80" s="609"/>
      <c r="LT80" s="609"/>
      <c r="LU80" s="609"/>
      <c r="LV80" s="609"/>
      <c r="LW80" s="609"/>
      <c r="LX80" s="609"/>
      <c r="LY80" s="609"/>
      <c r="LZ80" s="609"/>
      <c r="MA80" s="609"/>
      <c r="MB80" s="609"/>
      <c r="MC80" s="609"/>
      <c r="MD80" s="609"/>
      <c r="ME80" s="609"/>
      <c r="MF80" s="609"/>
      <c r="MG80" s="609"/>
      <c r="MH80" s="609"/>
      <c r="MI80" s="609"/>
      <c r="MJ80" s="609"/>
      <c r="MK80" s="609"/>
      <c r="ML80" s="609"/>
      <c r="MM80" s="609"/>
      <c r="MN80" s="609"/>
      <c r="MO80" s="609"/>
      <c r="MP80" s="609"/>
      <c r="MQ80" s="609"/>
      <c r="MR80" s="609"/>
      <c r="MS80" s="609"/>
      <c r="MT80" s="609"/>
      <c r="MU80" s="609"/>
      <c r="MV80" s="609"/>
      <c r="MW80" s="609"/>
      <c r="MX80" s="609"/>
      <c r="MY80" s="609"/>
      <c r="MZ80" s="609"/>
      <c r="NA80" s="609"/>
      <c r="NB80" s="609"/>
      <c r="NC80" s="609"/>
      <c r="ND80" s="609"/>
      <c r="NE80" s="609"/>
      <c r="NF80" s="609"/>
      <c r="NG80" s="609"/>
      <c r="NH80" s="609"/>
      <c r="NI80" s="609"/>
      <c r="NJ80" s="609"/>
      <c r="NK80" s="609"/>
      <c r="NL80" s="609"/>
      <c r="NM80" s="609"/>
      <c r="NN80" s="609"/>
      <c r="NO80" s="609"/>
      <c r="NP80" s="609"/>
      <c r="NQ80" s="609"/>
      <c r="NR80" s="609"/>
      <c r="NS80" s="609"/>
      <c r="NT80" s="609"/>
      <c r="NU80" s="609"/>
      <c r="NV80" s="609"/>
      <c r="NW80" s="609"/>
      <c r="NX80" s="609"/>
      <c r="NY80" s="609"/>
      <c r="NZ80" s="609"/>
      <c r="OA80" s="609"/>
      <c r="OB80" s="609"/>
      <c r="OC80" s="609"/>
      <c r="OD80" s="609"/>
      <c r="OE80" s="609"/>
      <c r="OF80" s="609"/>
      <c r="OG80" s="609"/>
      <c r="OH80" s="609"/>
      <c r="OI80" s="609"/>
      <c r="OJ80" s="609"/>
      <c r="OK80" s="609"/>
      <c r="OL80" s="609"/>
      <c r="OM80" s="609"/>
      <c r="ON80" s="609"/>
      <c r="OO80" s="609"/>
      <c r="OP80" s="609"/>
      <c r="OQ80" s="609"/>
      <c r="OR80" s="609"/>
      <c r="OS80" s="609"/>
      <c r="OT80" s="609"/>
      <c r="OU80" s="609"/>
      <c r="OV80" s="609"/>
      <c r="OW80" s="609"/>
      <c r="OX80" s="609"/>
      <c r="OY80" s="609"/>
      <c r="OZ80" s="609"/>
      <c r="PA80" s="609"/>
      <c r="PB80" s="609"/>
      <c r="PC80" s="609"/>
      <c r="PD80" s="609"/>
      <c r="PE80" s="609"/>
      <c r="PF80" s="609"/>
      <c r="PG80" s="609"/>
      <c r="PH80" s="609"/>
      <c r="PI80" s="609"/>
      <c r="PJ80" s="609"/>
      <c r="PK80" s="609"/>
      <c r="PL80" s="609"/>
      <c r="PM80" s="609"/>
      <c r="PN80" s="609"/>
      <c r="PO80" s="609"/>
      <c r="PP80" s="609"/>
      <c r="PQ80" s="609"/>
      <c r="PR80" s="609"/>
      <c r="PS80" s="609"/>
      <c r="PT80" s="609"/>
      <c r="PU80" s="609"/>
      <c r="PV80" s="609"/>
      <c r="PW80" s="609"/>
      <c r="PX80" s="609"/>
      <c r="PY80" s="609"/>
      <c r="PZ80" s="609"/>
      <c r="QA80" s="609"/>
      <c r="QB80" s="609"/>
      <c r="QC80" s="609"/>
      <c r="QD80" s="609"/>
      <c r="QE80" s="609"/>
      <c r="QF80" s="609"/>
      <c r="QG80" s="609"/>
      <c r="QH80" s="609"/>
      <c r="QI80" s="609"/>
      <c r="QJ80" s="609"/>
      <c r="QK80" s="609"/>
      <c r="QL80" s="609"/>
      <c r="QM80" s="609"/>
      <c r="QN80" s="609"/>
      <c r="QO80" s="609"/>
      <c r="QP80" s="609"/>
      <c r="QQ80" s="609"/>
      <c r="QR80" s="609"/>
      <c r="QS80" s="609"/>
      <c r="QT80" s="609"/>
      <c r="QU80" s="609"/>
      <c r="QV80" s="609"/>
      <c r="QW80" s="609"/>
      <c r="QX80" s="609"/>
      <c r="QY80" s="609"/>
      <c r="QZ80" s="609"/>
      <c r="RA80" s="609"/>
      <c r="RB80" s="609"/>
      <c r="RC80" s="609"/>
      <c r="RD80" s="609"/>
      <c r="RE80" s="609"/>
      <c r="RF80" s="609"/>
      <c r="RG80" s="609"/>
      <c r="RH80" s="609"/>
      <c r="RI80" s="609"/>
      <c r="RJ80" s="609"/>
      <c r="RK80" s="609"/>
      <c r="RL80" s="609"/>
      <c r="RM80" s="609"/>
      <c r="RN80" s="609"/>
      <c r="RO80" s="609"/>
      <c r="RP80" s="609"/>
      <c r="RQ80" s="609"/>
      <c r="RR80" s="609"/>
      <c r="RS80" s="609"/>
      <c r="RT80" s="609"/>
      <c r="RU80" s="609"/>
      <c r="RV80" s="609"/>
      <c r="RW80" s="609"/>
      <c r="RX80" s="609"/>
      <c r="RY80" s="609"/>
      <c r="RZ80" s="609"/>
      <c r="SA80" s="609"/>
      <c r="SB80" s="609"/>
      <c r="SC80" s="609"/>
      <c r="SD80" s="609"/>
      <c r="SE80" s="609"/>
      <c r="SF80" s="609"/>
      <c r="SG80" s="609"/>
      <c r="SH80" s="609"/>
      <c r="SI80" s="609"/>
      <c r="SJ80" s="609"/>
      <c r="SK80" s="609"/>
      <c r="SL80" s="609"/>
      <c r="SM80" s="609"/>
      <c r="SN80" s="609"/>
      <c r="SO80" s="609"/>
      <c r="SP80" s="609"/>
      <c r="SQ80" s="609"/>
      <c r="SR80" s="609"/>
      <c r="SS80" s="609"/>
      <c r="ST80" s="609"/>
      <c r="SU80" s="609"/>
      <c r="SV80" s="609"/>
      <c r="SW80" s="609"/>
      <c r="SX80" s="609"/>
      <c r="SY80" s="609"/>
      <c r="SZ80" s="609"/>
      <c r="TA80" s="609"/>
      <c r="TB80" s="609"/>
      <c r="TC80" s="609"/>
      <c r="TD80" s="609"/>
      <c r="TE80" s="609"/>
      <c r="TF80" s="609"/>
      <c r="TG80" s="609"/>
      <c r="TH80" s="609"/>
      <c r="TI80" s="609"/>
      <c r="TJ80" s="609"/>
      <c r="TK80" s="609"/>
      <c r="TL80" s="609"/>
      <c r="TM80" s="609"/>
      <c r="TN80" s="609"/>
      <c r="TO80" s="609"/>
      <c r="TP80" s="609"/>
      <c r="TQ80" s="609"/>
      <c r="TR80" s="609"/>
      <c r="TS80" s="609"/>
      <c r="TT80" s="609"/>
      <c r="TU80" s="609"/>
      <c r="TV80" s="609"/>
      <c r="TW80" s="609"/>
      <c r="TX80" s="609"/>
      <c r="TY80" s="609"/>
      <c r="TZ80" s="609"/>
      <c r="UA80" s="609"/>
      <c r="UB80" s="609"/>
      <c r="UC80" s="609"/>
      <c r="UD80" s="609"/>
      <c r="UE80" s="609"/>
      <c r="UF80" s="609"/>
      <c r="UG80" s="609"/>
      <c r="UH80" s="609"/>
      <c r="UI80" s="609"/>
      <c r="UJ80" s="609"/>
      <c r="UK80" s="609"/>
      <c r="UL80" s="609"/>
      <c r="UM80" s="609"/>
      <c r="UN80" s="609"/>
      <c r="UO80" s="609"/>
      <c r="UP80" s="609"/>
      <c r="UQ80" s="609"/>
      <c r="UR80" s="609"/>
      <c r="US80" s="609"/>
      <c r="UT80" s="609"/>
      <c r="UU80" s="609"/>
      <c r="UV80" s="609"/>
      <c r="UW80" s="609"/>
      <c r="UX80" s="609"/>
      <c r="UY80" s="609"/>
      <c r="UZ80" s="609"/>
      <c r="VA80" s="609"/>
      <c r="VB80" s="609"/>
      <c r="VC80" s="609"/>
      <c r="VD80" s="609"/>
      <c r="VE80" s="609"/>
      <c r="VF80" s="609"/>
      <c r="VG80" s="609"/>
      <c r="VH80" s="609"/>
      <c r="VI80" s="609"/>
      <c r="VJ80" s="609"/>
      <c r="VK80" s="609"/>
      <c r="VL80" s="609"/>
      <c r="VM80" s="609"/>
      <c r="VN80" s="609"/>
      <c r="VO80" s="609"/>
      <c r="VP80" s="609"/>
      <c r="VQ80" s="609"/>
      <c r="VR80" s="609"/>
      <c r="VS80" s="609"/>
      <c r="VT80" s="609"/>
      <c r="VU80" s="609"/>
      <c r="VV80" s="609"/>
      <c r="VW80" s="609"/>
      <c r="VX80" s="609"/>
      <c r="VY80" s="609"/>
      <c r="VZ80" s="609"/>
      <c r="WA80" s="609"/>
      <c r="WB80" s="609"/>
      <c r="WC80" s="609"/>
      <c r="WD80" s="609"/>
      <c r="WE80" s="609"/>
      <c r="WF80" s="609"/>
      <c r="WG80" s="609"/>
      <c r="WH80" s="609"/>
      <c r="WI80" s="609"/>
      <c r="WJ80" s="609"/>
      <c r="WK80" s="609"/>
      <c r="WL80" s="609"/>
      <c r="WM80" s="609"/>
      <c r="WN80" s="609"/>
      <c r="WO80" s="609"/>
      <c r="WP80" s="609"/>
      <c r="WQ80" s="609"/>
      <c r="WR80" s="609"/>
      <c r="WS80" s="609"/>
      <c r="WT80" s="609"/>
      <c r="WU80" s="609"/>
      <c r="WV80" s="609"/>
      <c r="WW80" s="609"/>
      <c r="WX80" s="609"/>
      <c r="WY80" s="609"/>
      <c r="WZ80" s="609"/>
      <c r="XA80" s="609"/>
      <c r="XB80" s="609"/>
      <c r="XC80" s="609"/>
      <c r="XD80" s="609"/>
      <c r="XE80" s="609"/>
      <c r="XF80" s="609"/>
      <c r="XG80" s="609"/>
      <c r="XH80" s="609"/>
      <c r="XI80" s="609"/>
      <c r="XJ80" s="609"/>
      <c r="XK80" s="609"/>
      <c r="XL80" s="609"/>
      <c r="XM80" s="609"/>
      <c r="XN80" s="609"/>
      <c r="XO80" s="609"/>
      <c r="XP80" s="609"/>
      <c r="XQ80" s="609"/>
      <c r="XR80" s="609"/>
      <c r="XS80" s="609"/>
      <c r="XT80" s="609"/>
      <c r="XU80" s="609"/>
      <c r="XV80" s="609"/>
      <c r="XW80" s="609"/>
      <c r="XX80" s="609"/>
      <c r="XY80" s="609"/>
      <c r="XZ80" s="609"/>
      <c r="YA80" s="609"/>
      <c r="YB80" s="609"/>
      <c r="YC80" s="609"/>
      <c r="YD80" s="609"/>
      <c r="YE80" s="609"/>
      <c r="YF80" s="609"/>
      <c r="YG80" s="609"/>
      <c r="YH80" s="609"/>
      <c r="YI80" s="609"/>
      <c r="YJ80" s="609"/>
      <c r="YK80" s="609"/>
      <c r="YL80" s="609"/>
      <c r="YM80" s="609"/>
      <c r="YN80" s="609"/>
      <c r="YO80" s="609"/>
      <c r="YP80" s="609"/>
      <c r="YQ80" s="609"/>
      <c r="YR80" s="609"/>
      <c r="YS80" s="609"/>
      <c r="YT80" s="609"/>
      <c r="YU80" s="609"/>
      <c r="YV80" s="609"/>
      <c r="YW80" s="609"/>
      <c r="YX80" s="609"/>
      <c r="YY80" s="609"/>
      <c r="YZ80" s="609"/>
      <c r="ZA80" s="609"/>
      <c r="ZB80" s="609"/>
      <c r="ZC80" s="609"/>
      <c r="ZD80" s="609"/>
      <c r="ZE80" s="609"/>
      <c r="ZF80" s="609"/>
      <c r="ZG80" s="609"/>
      <c r="ZH80" s="609"/>
      <c r="ZI80" s="609"/>
      <c r="ZJ80" s="609"/>
      <c r="ZK80" s="609"/>
      <c r="ZL80" s="609"/>
      <c r="ZM80" s="609"/>
      <c r="ZN80" s="609"/>
      <c r="ZO80" s="609"/>
      <c r="ZP80" s="609"/>
      <c r="ZQ80" s="609"/>
      <c r="ZR80" s="609"/>
      <c r="ZS80" s="609"/>
      <c r="ZT80" s="609"/>
      <c r="ZU80" s="609"/>
      <c r="ZV80" s="609"/>
      <c r="ZW80" s="609"/>
      <c r="ZX80" s="609"/>
      <c r="ZY80" s="609"/>
      <c r="ZZ80" s="609"/>
      <c r="AAA80" s="609"/>
      <c r="AAB80" s="609"/>
      <c r="AAC80" s="609"/>
      <c r="AAD80" s="609"/>
      <c r="AAE80" s="609"/>
      <c r="AAF80" s="609"/>
      <c r="AAG80" s="609"/>
      <c r="AAH80" s="609"/>
      <c r="AAI80" s="609"/>
      <c r="AAJ80" s="609"/>
      <c r="AAK80" s="609"/>
      <c r="AAL80" s="609"/>
      <c r="AAM80" s="609"/>
      <c r="AAN80" s="609"/>
      <c r="AAO80" s="609"/>
      <c r="AAP80" s="609"/>
      <c r="AAQ80" s="609"/>
      <c r="AAR80" s="609"/>
      <c r="AAS80" s="609"/>
      <c r="AAT80" s="609"/>
      <c r="AAU80" s="609"/>
      <c r="AAV80" s="609"/>
      <c r="AAW80" s="609"/>
      <c r="AAX80" s="609"/>
      <c r="AAY80" s="609"/>
      <c r="AAZ80" s="609"/>
      <c r="ABA80" s="609"/>
      <c r="ABB80" s="609"/>
      <c r="ABC80" s="609"/>
      <c r="ABD80" s="609"/>
      <c r="ABE80" s="609"/>
      <c r="ABF80" s="609"/>
      <c r="ABG80" s="609"/>
      <c r="ABH80" s="609"/>
      <c r="ABI80" s="609"/>
      <c r="ABJ80" s="609"/>
      <c r="ABK80" s="609"/>
      <c r="ABL80" s="609"/>
      <c r="ABM80" s="609"/>
      <c r="ABN80" s="609"/>
      <c r="ABO80" s="609"/>
      <c r="ABP80" s="609"/>
      <c r="ABQ80" s="609"/>
      <c r="ABR80" s="609"/>
      <c r="ABS80" s="609"/>
      <c r="ABT80" s="609"/>
      <c r="ABU80" s="609"/>
      <c r="ABV80" s="609"/>
      <c r="ABW80" s="609"/>
      <c r="ABX80" s="609"/>
      <c r="ABY80" s="609"/>
      <c r="ABZ80" s="609"/>
      <c r="ACA80" s="609"/>
      <c r="ACB80" s="609"/>
      <c r="ACC80" s="609"/>
      <c r="ACD80" s="609"/>
      <c r="ACE80" s="609"/>
      <c r="ACF80" s="609"/>
      <c r="ACG80" s="609"/>
      <c r="ACH80" s="609"/>
      <c r="ACI80" s="609"/>
      <c r="ACJ80" s="609"/>
      <c r="ACK80" s="609"/>
      <c r="ACL80" s="609"/>
      <c r="ACM80" s="609"/>
      <c r="ACN80" s="609"/>
      <c r="ACO80" s="609"/>
      <c r="ACP80" s="609"/>
      <c r="ACQ80" s="609"/>
      <c r="ACR80" s="609"/>
      <c r="ACS80" s="609"/>
      <c r="ACT80" s="609"/>
      <c r="ACU80" s="609"/>
      <c r="ACV80" s="609"/>
      <c r="ACW80" s="609"/>
      <c r="ACX80" s="609"/>
      <c r="ACY80" s="609"/>
      <c r="ACZ80" s="609"/>
      <c r="ADA80" s="609"/>
      <c r="ADB80" s="609"/>
      <c r="ADC80" s="609"/>
      <c r="ADD80" s="609"/>
      <c r="ADE80" s="609"/>
      <c r="ADF80" s="609"/>
      <c r="ADG80" s="609"/>
      <c r="ADH80" s="609"/>
      <c r="ADI80" s="609"/>
      <c r="ADJ80" s="609"/>
      <c r="ADK80" s="609"/>
      <c r="ADL80" s="609"/>
      <c r="ADM80" s="609"/>
      <c r="ADN80" s="609"/>
      <c r="ADO80" s="609"/>
      <c r="ADP80" s="609"/>
      <c r="ADQ80" s="609"/>
      <c r="ADR80" s="609"/>
      <c r="ADS80" s="609"/>
      <c r="ADT80" s="609"/>
      <c r="ADU80" s="609"/>
      <c r="ADV80" s="609"/>
      <c r="ADW80" s="609"/>
      <c r="ADX80" s="609"/>
      <c r="ADY80" s="609"/>
      <c r="ADZ80" s="609"/>
      <c r="AEA80" s="609"/>
      <c r="AEB80" s="609"/>
      <c r="AEC80" s="609"/>
      <c r="AED80" s="609"/>
      <c r="AEE80" s="609"/>
      <c r="AEF80" s="609"/>
      <c r="AEG80" s="609"/>
      <c r="AEH80" s="609"/>
      <c r="AEI80" s="609"/>
      <c r="AEJ80" s="609"/>
      <c r="AEK80" s="609"/>
      <c r="AEL80" s="609"/>
      <c r="AEM80" s="609"/>
      <c r="AEN80" s="609"/>
      <c r="AEO80" s="609"/>
      <c r="AEP80" s="609"/>
      <c r="AEQ80" s="609"/>
      <c r="AER80" s="609"/>
      <c r="AES80" s="609"/>
      <c r="AET80" s="609"/>
      <c r="AEU80" s="609"/>
      <c r="AEV80" s="609"/>
      <c r="AEW80" s="609"/>
      <c r="AEX80" s="609"/>
      <c r="AEY80" s="609"/>
      <c r="AEZ80" s="609"/>
      <c r="AFA80" s="609"/>
      <c r="AFB80" s="609"/>
      <c r="AFC80" s="609"/>
      <c r="AFD80" s="609"/>
      <c r="AFE80" s="609"/>
      <c r="AFF80" s="609"/>
      <c r="AFG80" s="609"/>
      <c r="AFH80" s="609"/>
      <c r="AFI80" s="609"/>
      <c r="AFJ80" s="609"/>
      <c r="AFK80" s="609"/>
      <c r="AFL80" s="609"/>
      <c r="AFM80" s="609"/>
      <c r="AFN80" s="609"/>
      <c r="AFO80" s="609"/>
      <c r="AFP80" s="609"/>
      <c r="AFQ80" s="609"/>
      <c r="AFR80" s="609"/>
      <c r="AFS80" s="609"/>
      <c r="AFT80" s="609"/>
      <c r="AFU80" s="609"/>
      <c r="AFV80" s="609"/>
      <c r="AFW80" s="609"/>
      <c r="AFX80" s="609"/>
      <c r="AFY80" s="609"/>
      <c r="AFZ80" s="609"/>
      <c r="AGA80" s="609"/>
      <c r="AGB80" s="609"/>
      <c r="AGC80" s="609"/>
      <c r="AGD80" s="609"/>
      <c r="AGE80" s="609"/>
      <c r="AGF80" s="609"/>
      <c r="AGG80" s="609"/>
      <c r="AGH80" s="609"/>
      <c r="AGI80" s="609"/>
      <c r="AGJ80" s="609"/>
      <c r="AGK80" s="609"/>
      <c r="AGL80" s="609"/>
      <c r="AGM80" s="609"/>
      <c r="AGN80" s="609"/>
      <c r="AGO80" s="609"/>
      <c r="AGP80" s="609"/>
      <c r="AGQ80" s="609"/>
      <c r="AGR80" s="609"/>
      <c r="AGS80" s="609"/>
      <c r="AGT80" s="609"/>
      <c r="AGU80" s="609"/>
      <c r="AGV80" s="609"/>
      <c r="AGW80" s="609"/>
      <c r="AGX80" s="609"/>
      <c r="AGY80" s="609"/>
      <c r="AGZ80" s="609"/>
      <c r="AHA80" s="609"/>
      <c r="AHB80" s="609"/>
      <c r="AHC80" s="609"/>
      <c r="AHD80" s="609"/>
      <c r="AHE80" s="609"/>
      <c r="AHF80" s="609"/>
      <c r="AHG80" s="609"/>
      <c r="AHH80" s="609"/>
      <c r="AHI80" s="609"/>
      <c r="AHJ80" s="609"/>
      <c r="AHK80" s="609"/>
      <c r="AHL80" s="609"/>
      <c r="AHM80" s="609"/>
      <c r="AHN80" s="609"/>
      <c r="AHO80" s="609"/>
      <c r="AHP80" s="609"/>
      <c r="AHQ80" s="609"/>
      <c r="AHR80" s="609"/>
      <c r="AHS80" s="609"/>
      <c r="AHT80" s="609"/>
      <c r="AHU80" s="609"/>
      <c r="AHV80" s="609"/>
      <c r="AHW80" s="609"/>
      <c r="AHX80" s="609"/>
      <c r="AHY80" s="609"/>
      <c r="AHZ80" s="609"/>
      <c r="AIA80" s="609"/>
      <c r="AIB80" s="609"/>
      <c r="AIC80" s="609"/>
      <c r="AID80" s="609"/>
      <c r="AIE80" s="609"/>
      <c r="AIF80" s="609"/>
      <c r="AIG80" s="609"/>
      <c r="AIH80" s="609"/>
      <c r="AII80" s="609"/>
      <c r="AIJ80" s="609"/>
      <c r="AIK80" s="609"/>
      <c r="AIL80" s="609"/>
      <c r="AIM80" s="609"/>
      <c r="AIN80" s="609"/>
      <c r="AIO80" s="609"/>
      <c r="AIP80" s="609"/>
      <c r="AIQ80" s="609"/>
      <c r="AIR80" s="609"/>
      <c r="AIS80" s="609"/>
      <c r="AIT80" s="609"/>
      <c r="AIU80" s="609"/>
      <c r="AIV80" s="609"/>
      <c r="AIW80" s="609"/>
      <c r="AIX80" s="609"/>
      <c r="AIY80" s="609"/>
      <c r="AIZ80" s="609"/>
      <c r="AJA80" s="609"/>
      <c r="AJB80" s="609"/>
      <c r="AJC80" s="609"/>
      <c r="AJD80" s="609"/>
      <c r="AJE80" s="609"/>
      <c r="AJF80" s="609"/>
      <c r="AJG80" s="609"/>
      <c r="AJH80" s="609"/>
      <c r="AJI80" s="609"/>
      <c r="AJJ80" s="609"/>
      <c r="AJK80" s="609"/>
      <c r="AJL80" s="609"/>
      <c r="AJM80" s="609"/>
      <c r="AJN80" s="609"/>
      <c r="AJO80" s="609"/>
      <c r="AJP80" s="609"/>
      <c r="AJQ80" s="609"/>
      <c r="AJR80" s="609"/>
      <c r="AJS80" s="609"/>
      <c r="AJT80" s="609"/>
      <c r="AJU80" s="609"/>
      <c r="AJV80" s="609"/>
      <c r="AJW80" s="609"/>
      <c r="AJX80" s="609"/>
      <c r="AJY80" s="609"/>
      <c r="AJZ80" s="609"/>
      <c r="AKA80" s="609"/>
      <c r="AKB80" s="609"/>
      <c r="AKC80" s="609"/>
      <c r="AKD80" s="609"/>
      <c r="AKE80" s="609"/>
      <c r="AKF80" s="609"/>
      <c r="AKG80" s="609"/>
      <c r="AKH80" s="609"/>
      <c r="AKI80" s="609"/>
      <c r="AKJ80" s="609"/>
      <c r="AKK80" s="609"/>
      <c r="AKL80" s="609"/>
      <c r="AKM80" s="609"/>
      <c r="AKN80" s="609"/>
      <c r="AKO80" s="609"/>
      <c r="AKP80" s="609"/>
      <c r="AKQ80" s="609"/>
      <c r="AKR80" s="609"/>
      <c r="AKS80" s="609"/>
      <c r="AKT80" s="609"/>
      <c r="AKU80" s="609"/>
      <c r="AKV80" s="609"/>
      <c r="AKW80" s="609"/>
      <c r="AKX80" s="609"/>
      <c r="AKY80" s="609"/>
      <c r="AKZ80" s="609"/>
      <c r="ALA80" s="609"/>
      <c r="ALB80" s="609"/>
      <c r="ALC80" s="609"/>
      <c r="ALD80" s="609"/>
      <c r="ALE80" s="609"/>
      <c r="ALF80" s="609"/>
      <c r="ALG80" s="609"/>
      <c r="ALH80" s="609"/>
      <c r="ALI80" s="609"/>
      <c r="ALJ80" s="609"/>
      <c r="ALK80" s="609"/>
      <c r="ALL80" s="609"/>
      <c r="ALM80" s="609"/>
      <c r="ALN80" s="609"/>
      <c r="ALO80" s="609"/>
      <c r="ALP80" s="609"/>
      <c r="ALQ80" s="609"/>
      <c r="ALR80" s="609"/>
      <c r="ALS80" s="609"/>
      <c r="ALT80" s="609"/>
      <c r="ALU80" s="609"/>
      <c r="ALV80" s="609"/>
      <c r="ALW80" s="609"/>
      <c r="ALX80" s="609"/>
      <c r="ALY80" s="609"/>
      <c r="ALZ80" s="609"/>
      <c r="AMA80" s="609"/>
      <c r="AMB80" s="609"/>
      <c r="AMC80" s="609"/>
      <c r="AMD80" s="609"/>
      <c r="AME80" s="609"/>
      <c r="AMF80" s="609"/>
      <c r="AMG80" s="609"/>
      <c r="AMH80" s="609"/>
      <c r="AMI80" s="609"/>
      <c r="AMJ80" s="609"/>
      <c r="AMK80" s="609"/>
      <c r="AML80" s="609"/>
      <c r="AMM80" s="609"/>
      <c r="AMN80" s="609"/>
      <c r="AMO80" s="609"/>
      <c r="AMP80" s="609"/>
      <c r="AMQ80" s="609"/>
      <c r="AMR80" s="609"/>
      <c r="AMS80" s="609"/>
      <c r="AMT80" s="609"/>
      <c r="AMU80" s="609"/>
      <c r="AMV80" s="609"/>
      <c r="AMW80" s="609"/>
      <c r="AMX80" s="609"/>
      <c r="AMY80" s="609"/>
      <c r="AMZ80" s="609"/>
      <c r="ANA80" s="609"/>
      <c r="ANB80" s="609"/>
      <c r="ANC80" s="609"/>
      <c r="AND80" s="609"/>
      <c r="ANE80" s="609"/>
      <c r="ANF80" s="609"/>
      <c r="ANG80" s="609"/>
      <c r="ANH80" s="609"/>
      <c r="ANI80" s="609"/>
      <c r="ANJ80" s="609"/>
      <c r="ANK80" s="609"/>
      <c r="ANL80" s="609"/>
      <c r="ANM80" s="609"/>
      <c r="ANN80" s="609"/>
      <c r="ANO80" s="609"/>
      <c r="ANP80" s="609"/>
      <c r="ANQ80" s="609"/>
      <c r="ANR80" s="609"/>
      <c r="ANS80" s="609"/>
      <c r="ANT80" s="609"/>
      <c r="ANU80" s="609"/>
      <c r="ANV80" s="609"/>
      <c r="ANW80" s="609"/>
      <c r="ANX80" s="609"/>
      <c r="ANY80" s="609"/>
      <c r="ANZ80" s="609"/>
      <c r="AOA80" s="609"/>
      <c r="AOB80" s="609"/>
      <c r="AOC80" s="609"/>
      <c r="AOD80" s="609"/>
      <c r="AOE80" s="609"/>
      <c r="AOF80" s="609"/>
      <c r="AOG80" s="609"/>
      <c r="AOH80" s="609"/>
      <c r="AOI80" s="609"/>
      <c r="AOJ80" s="609"/>
      <c r="AOK80" s="609"/>
      <c r="AOL80" s="609"/>
      <c r="AOM80" s="609"/>
      <c r="AON80" s="609"/>
      <c r="AOO80" s="609"/>
      <c r="AOP80" s="609"/>
      <c r="AOQ80" s="609"/>
      <c r="AOR80" s="609"/>
      <c r="AOS80" s="609"/>
      <c r="AOT80" s="609"/>
      <c r="AOU80" s="609"/>
      <c r="AOV80" s="609"/>
      <c r="AOW80" s="609"/>
      <c r="AOX80" s="609"/>
      <c r="AOY80" s="609"/>
      <c r="AOZ80" s="609"/>
      <c r="APA80" s="609"/>
      <c r="APB80" s="609"/>
      <c r="APC80" s="609"/>
      <c r="APD80" s="609"/>
      <c r="APE80" s="609"/>
      <c r="APF80" s="609"/>
      <c r="APG80" s="609"/>
      <c r="APH80" s="609"/>
      <c r="API80" s="609"/>
      <c r="APJ80" s="609"/>
      <c r="APK80" s="609"/>
      <c r="APL80" s="609"/>
      <c r="APM80" s="609"/>
      <c r="APN80" s="609"/>
      <c r="APO80" s="609"/>
      <c r="APP80" s="609"/>
      <c r="APQ80" s="609"/>
      <c r="APR80" s="609"/>
      <c r="APS80" s="609"/>
      <c r="APT80" s="609"/>
      <c r="APU80" s="609"/>
      <c r="APV80" s="609"/>
      <c r="APW80" s="609"/>
      <c r="APX80" s="609"/>
      <c r="APY80" s="609"/>
      <c r="APZ80" s="609"/>
      <c r="AQA80" s="609"/>
      <c r="AQB80" s="609"/>
      <c r="AQC80" s="609"/>
      <c r="AQD80" s="609"/>
      <c r="AQE80" s="609"/>
      <c r="AQF80" s="609"/>
      <c r="AQG80" s="609"/>
      <c r="AQH80" s="609"/>
      <c r="AQI80" s="609"/>
      <c r="AQJ80" s="609"/>
      <c r="AQK80" s="609"/>
      <c r="AQL80" s="609"/>
      <c r="AQM80" s="609"/>
      <c r="AQN80" s="609"/>
      <c r="AQO80" s="609"/>
      <c r="AQP80" s="609"/>
      <c r="AQQ80" s="609"/>
      <c r="AQR80" s="609"/>
      <c r="AQS80" s="609"/>
      <c r="AQT80" s="609"/>
      <c r="AQU80" s="609"/>
      <c r="AQV80" s="609"/>
      <c r="AQW80" s="609"/>
      <c r="AQX80" s="609"/>
      <c r="AQY80" s="609"/>
      <c r="AQZ80" s="609"/>
      <c r="ARA80" s="609"/>
      <c r="ARB80" s="609"/>
      <c r="ARC80" s="609"/>
      <c r="ARD80" s="609"/>
      <c r="ARE80" s="609"/>
      <c r="ARF80" s="609"/>
      <c r="ARG80" s="609"/>
      <c r="ARH80" s="609"/>
      <c r="ARI80" s="609"/>
      <c r="ARJ80" s="609"/>
      <c r="ARK80" s="609"/>
      <c r="ARL80" s="609"/>
      <c r="ARM80" s="609"/>
      <c r="ARN80" s="609"/>
      <c r="ARO80" s="609"/>
      <c r="ARP80" s="609"/>
      <c r="ARQ80" s="609"/>
      <c r="ARR80" s="609"/>
      <c r="ARS80" s="609"/>
      <c r="ART80" s="609"/>
      <c r="ARU80" s="609"/>
      <c r="ARV80" s="609"/>
      <c r="ARW80" s="609"/>
      <c r="ARX80" s="609"/>
      <c r="ARY80" s="609"/>
      <c r="ARZ80" s="609"/>
      <c r="ASA80" s="609"/>
      <c r="ASB80" s="609"/>
      <c r="ASC80" s="609"/>
      <c r="ASD80" s="609"/>
      <c r="ASE80" s="609"/>
      <c r="ASF80" s="609"/>
      <c r="ASG80" s="609"/>
      <c r="ASH80" s="609"/>
      <c r="ASI80" s="609"/>
      <c r="ASJ80" s="609"/>
      <c r="ASK80" s="609"/>
      <c r="ASL80" s="609"/>
      <c r="ASM80" s="609"/>
      <c r="ASN80" s="609"/>
      <c r="ASO80" s="609"/>
      <c r="ASP80" s="609"/>
      <c r="ASQ80" s="609"/>
      <c r="ASR80" s="609"/>
      <c r="ASS80" s="609"/>
      <c r="AST80" s="609"/>
      <c r="ASU80" s="609"/>
      <c r="ASV80" s="609"/>
      <c r="ASW80" s="609"/>
      <c r="ASX80" s="609"/>
      <c r="ASY80" s="609"/>
      <c r="ASZ80" s="609"/>
      <c r="ATA80" s="609"/>
      <c r="ATB80" s="609"/>
      <c r="ATC80" s="609"/>
      <c r="ATD80" s="609"/>
      <c r="ATE80" s="609"/>
      <c r="ATF80" s="609"/>
      <c r="ATG80" s="609"/>
      <c r="ATH80" s="609"/>
      <c r="ATI80" s="609"/>
      <c r="ATJ80" s="609"/>
      <c r="ATK80" s="609"/>
      <c r="ATL80" s="609"/>
      <c r="ATM80" s="609"/>
      <c r="ATN80" s="609"/>
      <c r="ATO80" s="609"/>
      <c r="ATP80" s="609"/>
      <c r="ATQ80" s="609"/>
      <c r="ATR80" s="609"/>
      <c r="ATS80" s="609"/>
      <c r="ATT80" s="609"/>
      <c r="ATU80" s="609"/>
      <c r="ATV80" s="609"/>
      <c r="ATW80" s="609"/>
      <c r="ATX80" s="609"/>
      <c r="ATY80" s="609"/>
      <c r="ATZ80" s="609"/>
      <c r="AUA80" s="609"/>
      <c r="AUB80" s="609"/>
      <c r="AUC80" s="609"/>
      <c r="AUD80" s="609"/>
      <c r="AUE80" s="609"/>
      <c r="AUF80" s="609"/>
      <c r="AUG80" s="609"/>
      <c r="AUH80" s="609"/>
      <c r="AUI80" s="609"/>
      <c r="AUJ80" s="609"/>
      <c r="AUK80" s="609"/>
      <c r="AUL80" s="609"/>
      <c r="AUM80" s="609"/>
      <c r="AUN80" s="609"/>
      <c r="AUO80" s="609"/>
      <c r="AUP80" s="609"/>
      <c r="AUQ80" s="609"/>
      <c r="AUR80" s="609"/>
      <c r="AUS80" s="609"/>
      <c r="AUT80" s="609"/>
      <c r="AUU80" s="609"/>
      <c r="AUV80" s="609"/>
      <c r="AUW80" s="609"/>
      <c r="AUX80" s="609"/>
      <c r="AUY80" s="609"/>
      <c r="AUZ80" s="609"/>
      <c r="AVA80" s="609"/>
      <c r="AVB80" s="609"/>
      <c r="AVC80" s="609"/>
      <c r="AVD80" s="609"/>
      <c r="AVE80" s="609"/>
      <c r="AVF80" s="609"/>
      <c r="AVG80" s="609"/>
      <c r="AVH80" s="609"/>
      <c r="AVI80" s="609"/>
      <c r="AVJ80" s="609"/>
      <c r="AVK80" s="609"/>
      <c r="AVL80" s="609"/>
      <c r="AVM80" s="609"/>
      <c r="AVN80" s="609"/>
      <c r="AVO80" s="609"/>
      <c r="AVP80" s="609"/>
      <c r="AVQ80" s="609"/>
      <c r="AVR80" s="609"/>
      <c r="AVS80" s="609"/>
      <c r="AVT80" s="609"/>
      <c r="AVU80" s="609"/>
      <c r="AVV80" s="609"/>
      <c r="AVW80" s="609"/>
      <c r="AVX80" s="609"/>
      <c r="AVY80" s="609"/>
      <c r="AVZ80" s="609"/>
      <c r="AWA80" s="609"/>
      <c r="AWB80" s="609"/>
      <c r="AWC80" s="609"/>
      <c r="AWD80" s="609"/>
      <c r="AWE80" s="609"/>
      <c r="AWF80" s="609"/>
      <c r="AWG80" s="609"/>
      <c r="AWH80" s="609"/>
      <c r="AWI80" s="609"/>
      <c r="AWJ80" s="609"/>
      <c r="AWK80" s="609"/>
      <c r="AWL80" s="609"/>
      <c r="AWM80" s="609"/>
      <c r="AWN80" s="609"/>
      <c r="AWO80" s="609"/>
      <c r="AWP80" s="609"/>
      <c r="AWQ80" s="609"/>
      <c r="AWR80" s="609"/>
      <c r="AWS80" s="609"/>
      <c r="AWT80" s="609"/>
      <c r="AWU80" s="609"/>
      <c r="AWV80" s="609"/>
      <c r="AWW80" s="609"/>
      <c r="AWX80" s="609"/>
      <c r="AWY80" s="609"/>
      <c r="AWZ80" s="609"/>
      <c r="AXA80" s="609"/>
      <c r="AXB80" s="609"/>
      <c r="AXC80" s="609"/>
      <c r="AXD80" s="609"/>
      <c r="AXE80" s="609"/>
      <c r="AXF80" s="609"/>
      <c r="AXG80" s="609"/>
      <c r="AXH80" s="609"/>
      <c r="AXI80" s="609"/>
      <c r="AXJ80" s="609"/>
      <c r="AXK80" s="609"/>
      <c r="AXL80" s="609"/>
      <c r="AXM80" s="609"/>
      <c r="AXN80" s="609"/>
      <c r="AXO80" s="609"/>
      <c r="AXP80" s="609"/>
      <c r="AXQ80" s="609"/>
      <c r="AXR80" s="609"/>
      <c r="AXS80" s="609"/>
      <c r="AXT80" s="609"/>
      <c r="AXU80" s="609"/>
      <c r="AXV80" s="609"/>
      <c r="AXW80" s="609"/>
      <c r="AXX80" s="609"/>
      <c r="AXY80" s="609"/>
      <c r="AXZ80" s="609"/>
      <c r="AYA80" s="609"/>
      <c r="AYB80" s="609"/>
      <c r="AYC80" s="609"/>
      <c r="AYD80" s="609"/>
      <c r="AYE80" s="609"/>
      <c r="AYF80" s="609"/>
      <c r="AYG80" s="609"/>
      <c r="AYH80" s="609"/>
      <c r="AYI80" s="609"/>
      <c r="AYJ80" s="609"/>
      <c r="AYK80" s="609"/>
      <c r="AYL80" s="609"/>
      <c r="AYM80" s="609"/>
      <c r="AYN80" s="609"/>
      <c r="AYO80" s="609"/>
      <c r="AYP80" s="609"/>
      <c r="AYQ80" s="609"/>
      <c r="AYR80" s="609"/>
      <c r="AYS80" s="609"/>
      <c r="AYT80" s="609"/>
      <c r="AYU80" s="609"/>
      <c r="AYV80" s="609"/>
      <c r="AYW80" s="609"/>
      <c r="AYX80" s="609"/>
      <c r="AYY80" s="609"/>
      <c r="AYZ80" s="609"/>
      <c r="AZA80" s="609"/>
      <c r="AZB80" s="609"/>
      <c r="AZC80" s="609"/>
      <c r="AZD80" s="609"/>
      <c r="AZE80" s="609"/>
      <c r="AZF80" s="609"/>
      <c r="AZG80" s="609"/>
      <c r="AZH80" s="609"/>
      <c r="AZI80" s="609"/>
      <c r="AZJ80" s="609"/>
      <c r="AZK80" s="609"/>
      <c r="AZL80" s="609"/>
      <c r="AZM80" s="609"/>
      <c r="AZN80" s="609"/>
      <c r="AZO80" s="609"/>
      <c r="AZP80" s="609"/>
      <c r="AZQ80" s="609"/>
      <c r="AZR80" s="609"/>
      <c r="AZS80" s="609"/>
      <c r="AZT80" s="609"/>
      <c r="AZU80" s="609"/>
      <c r="AZV80" s="609"/>
      <c r="AZW80" s="609"/>
      <c r="AZX80" s="609"/>
      <c r="AZY80" s="609"/>
      <c r="AZZ80" s="609"/>
      <c r="BAA80" s="609"/>
      <c r="BAB80" s="609"/>
      <c r="BAC80" s="609"/>
      <c r="BAD80" s="609"/>
      <c r="BAE80" s="609"/>
      <c r="BAF80" s="609"/>
      <c r="BAG80" s="609"/>
      <c r="BAH80" s="609"/>
      <c r="BAI80" s="609"/>
      <c r="BAJ80" s="609"/>
      <c r="BAK80" s="609"/>
      <c r="BAL80" s="609"/>
      <c r="BAM80" s="609"/>
      <c r="BAN80" s="609"/>
      <c r="BAO80" s="609"/>
      <c r="BAP80" s="609"/>
      <c r="BAQ80" s="609"/>
      <c r="BAR80" s="609"/>
      <c r="BAS80" s="609"/>
      <c r="BAT80" s="609"/>
      <c r="BAU80" s="609"/>
      <c r="BAV80" s="609"/>
      <c r="BAW80" s="609"/>
      <c r="BAX80" s="609"/>
      <c r="BAY80" s="609"/>
      <c r="BAZ80" s="609"/>
      <c r="BBA80" s="609"/>
      <c r="BBB80" s="609"/>
      <c r="BBC80" s="609"/>
      <c r="BBD80" s="609"/>
      <c r="BBE80" s="609"/>
      <c r="BBF80" s="609"/>
      <c r="BBG80" s="609"/>
      <c r="BBH80" s="609"/>
      <c r="BBI80" s="609"/>
      <c r="BBJ80" s="609"/>
      <c r="BBK80" s="609"/>
      <c r="BBL80" s="609"/>
      <c r="BBM80" s="609"/>
      <c r="BBN80" s="609"/>
      <c r="BBO80" s="609"/>
      <c r="BBP80" s="609"/>
      <c r="BBQ80" s="609"/>
      <c r="BBR80" s="609"/>
      <c r="BBS80" s="609"/>
      <c r="BBT80" s="609"/>
      <c r="BBU80" s="609"/>
      <c r="BBV80" s="609"/>
      <c r="BBW80" s="609"/>
      <c r="BBX80" s="609"/>
      <c r="BBY80" s="609"/>
      <c r="BBZ80" s="609"/>
      <c r="BCA80" s="609"/>
      <c r="BCB80" s="609"/>
      <c r="BCC80" s="609"/>
      <c r="BCD80" s="609"/>
      <c r="BCE80" s="609"/>
      <c r="BCF80" s="609"/>
      <c r="BCG80" s="609"/>
      <c r="BCH80" s="609"/>
      <c r="BCI80" s="609"/>
      <c r="BCJ80" s="609"/>
      <c r="BCK80" s="609"/>
      <c r="BCL80" s="609"/>
      <c r="BCM80" s="609"/>
      <c r="BCN80" s="609"/>
      <c r="BCO80" s="609"/>
      <c r="BCP80" s="609"/>
      <c r="BCQ80" s="609"/>
      <c r="BCR80" s="609"/>
      <c r="BCS80" s="609"/>
      <c r="BCT80" s="609"/>
      <c r="BCU80" s="609"/>
      <c r="BCV80" s="609"/>
      <c r="BCW80" s="609"/>
      <c r="BCX80" s="609"/>
      <c r="BCY80" s="609"/>
      <c r="BCZ80" s="609"/>
      <c r="BDA80" s="609"/>
      <c r="BDB80" s="609"/>
      <c r="BDC80" s="609"/>
      <c r="BDD80" s="609"/>
      <c r="BDE80" s="609"/>
      <c r="BDF80" s="609"/>
      <c r="BDG80" s="609"/>
      <c r="BDH80" s="609"/>
      <c r="BDI80" s="609"/>
      <c r="BDJ80" s="609"/>
      <c r="BDK80" s="609"/>
      <c r="BDL80" s="609"/>
      <c r="BDM80" s="609"/>
      <c r="BDN80" s="609"/>
      <c r="BDO80" s="609"/>
      <c r="BDP80" s="609"/>
      <c r="BDQ80" s="609"/>
      <c r="BDR80" s="609"/>
      <c r="BDS80" s="609"/>
      <c r="BDT80" s="609"/>
      <c r="BDU80" s="609"/>
      <c r="BDV80" s="609"/>
      <c r="BDW80" s="609"/>
      <c r="BDX80" s="609"/>
      <c r="BDY80" s="609"/>
      <c r="BDZ80" s="609"/>
      <c r="BEA80" s="609"/>
      <c r="BEB80" s="609"/>
      <c r="BEC80" s="609"/>
      <c r="BED80" s="609"/>
      <c r="BEE80" s="609"/>
      <c r="BEF80" s="609"/>
      <c r="BEG80" s="609"/>
      <c r="BEH80" s="609"/>
      <c r="BEI80" s="609"/>
      <c r="BEJ80" s="609"/>
      <c r="BEK80" s="609"/>
      <c r="BEL80" s="609"/>
      <c r="BEM80" s="609"/>
      <c r="BEN80" s="609"/>
      <c r="BEO80" s="609"/>
      <c r="BEP80" s="609"/>
      <c r="BEQ80" s="609"/>
      <c r="BER80" s="609"/>
      <c r="BES80" s="609"/>
      <c r="BET80" s="609"/>
      <c r="BEU80" s="609"/>
      <c r="BEV80" s="609"/>
      <c r="BEW80" s="609"/>
      <c r="BEX80" s="609"/>
      <c r="BEY80" s="609"/>
      <c r="BEZ80" s="609"/>
      <c r="BFA80" s="609"/>
      <c r="BFB80" s="609"/>
      <c r="BFC80" s="609"/>
      <c r="BFD80" s="609"/>
      <c r="BFE80" s="609"/>
      <c r="BFF80" s="609"/>
      <c r="BFG80" s="609"/>
      <c r="BFH80" s="609"/>
      <c r="BFI80" s="609"/>
      <c r="BFJ80" s="609"/>
      <c r="BFK80" s="609"/>
      <c r="BFL80" s="609"/>
      <c r="BFM80" s="609"/>
      <c r="BFN80" s="609"/>
      <c r="BFO80" s="609"/>
      <c r="BFP80" s="609"/>
      <c r="BFQ80" s="609"/>
      <c r="BFR80" s="609"/>
      <c r="BFS80" s="609"/>
      <c r="BFT80" s="609"/>
      <c r="BFU80" s="609"/>
      <c r="BFV80" s="609"/>
      <c r="BFW80" s="609"/>
      <c r="BFX80" s="609"/>
      <c r="BFY80" s="609"/>
      <c r="BFZ80" s="609"/>
      <c r="BGA80" s="609"/>
      <c r="BGB80" s="609"/>
      <c r="BGC80" s="609"/>
      <c r="BGD80" s="609"/>
      <c r="BGE80" s="609"/>
      <c r="BGF80" s="609"/>
      <c r="BGG80" s="609"/>
      <c r="BGH80" s="609"/>
      <c r="BGI80" s="609"/>
      <c r="BGJ80" s="609"/>
      <c r="BGK80" s="609"/>
      <c r="BGL80" s="609"/>
      <c r="BGM80" s="609"/>
      <c r="BGN80" s="609"/>
      <c r="BGO80" s="609"/>
      <c r="BGP80" s="609"/>
      <c r="BGQ80" s="609"/>
      <c r="BGR80" s="609"/>
      <c r="BGS80" s="609"/>
      <c r="BGT80" s="609"/>
      <c r="BGU80" s="609"/>
      <c r="BGV80" s="609"/>
      <c r="BGW80" s="609"/>
      <c r="BGX80" s="609"/>
      <c r="BGY80" s="609"/>
      <c r="BGZ80" s="609"/>
      <c r="BHA80" s="609"/>
      <c r="BHB80" s="609"/>
      <c r="BHC80" s="609"/>
      <c r="BHD80" s="609"/>
      <c r="BHE80" s="609"/>
      <c r="BHF80" s="609"/>
      <c r="BHG80" s="609"/>
      <c r="BHH80" s="609"/>
      <c r="BHI80" s="609"/>
      <c r="BHJ80" s="609"/>
      <c r="BHK80" s="609"/>
      <c r="BHL80" s="609"/>
      <c r="BHM80" s="609"/>
      <c r="BHN80" s="609"/>
      <c r="BHO80" s="609"/>
      <c r="BHP80" s="609"/>
      <c r="BHQ80" s="609"/>
      <c r="BHR80" s="609"/>
      <c r="BHS80" s="609"/>
      <c r="BHT80" s="609"/>
      <c r="BHU80" s="609"/>
      <c r="BHV80" s="609"/>
      <c r="BHW80" s="609"/>
      <c r="BHX80" s="609"/>
      <c r="BHY80" s="609"/>
      <c r="BHZ80" s="609"/>
      <c r="BIA80" s="609"/>
      <c r="BIB80" s="609"/>
      <c r="BIC80" s="609"/>
      <c r="BID80" s="609"/>
      <c r="BIE80" s="609"/>
      <c r="BIF80" s="609"/>
      <c r="BIG80" s="609"/>
      <c r="BIH80" s="609"/>
      <c r="BII80" s="609"/>
      <c r="BIJ80" s="609"/>
      <c r="BIK80" s="609"/>
      <c r="BIL80" s="609"/>
      <c r="BIM80" s="609"/>
      <c r="BIN80" s="609"/>
      <c r="BIO80" s="609"/>
      <c r="BIP80" s="609"/>
      <c r="BIQ80" s="609"/>
      <c r="BIR80" s="609"/>
      <c r="BIS80" s="609"/>
      <c r="BIT80" s="609"/>
      <c r="BIU80" s="609"/>
      <c r="BIV80" s="609"/>
      <c r="BIW80" s="609"/>
      <c r="BIX80" s="609"/>
      <c r="BIY80" s="609"/>
      <c r="BIZ80" s="609"/>
      <c r="BJA80" s="609"/>
      <c r="BJB80" s="609"/>
      <c r="BJC80" s="609"/>
      <c r="BJD80" s="609"/>
      <c r="BJE80" s="609"/>
      <c r="BJF80" s="609"/>
      <c r="BJG80" s="609"/>
      <c r="BJH80" s="609"/>
      <c r="BJI80" s="609"/>
      <c r="BJJ80" s="609"/>
      <c r="BJK80" s="609"/>
      <c r="BJL80" s="609"/>
      <c r="BJM80" s="609"/>
      <c r="BJN80" s="609"/>
      <c r="BJO80" s="609"/>
      <c r="BJP80" s="609"/>
      <c r="BJQ80" s="609"/>
      <c r="BJR80" s="609"/>
      <c r="BJS80" s="609"/>
      <c r="BJT80" s="609"/>
      <c r="BJU80" s="609"/>
      <c r="BJV80" s="609"/>
      <c r="BJW80" s="609"/>
      <c r="BJX80" s="609"/>
      <c r="BJY80" s="609"/>
      <c r="BJZ80" s="609"/>
      <c r="BKA80" s="609"/>
      <c r="BKB80" s="609"/>
      <c r="BKC80" s="609"/>
      <c r="BKD80" s="609"/>
      <c r="BKE80" s="609"/>
      <c r="BKF80" s="609"/>
      <c r="BKG80" s="609"/>
      <c r="BKH80" s="609"/>
      <c r="BKI80" s="609"/>
      <c r="BKJ80" s="609"/>
      <c r="BKK80" s="609"/>
      <c r="BKL80" s="609"/>
      <c r="BKM80" s="609"/>
      <c r="BKN80" s="609"/>
      <c r="BKO80" s="609"/>
      <c r="BKP80" s="609"/>
      <c r="BKQ80" s="609"/>
      <c r="BKR80" s="609"/>
      <c r="BKS80" s="609"/>
      <c r="BKT80" s="609"/>
      <c r="BKU80" s="609"/>
      <c r="BKV80" s="609"/>
      <c r="BKW80" s="609"/>
      <c r="BKX80" s="609"/>
      <c r="BKY80" s="609"/>
      <c r="BKZ80" s="609"/>
      <c r="BLA80" s="609"/>
      <c r="BLB80" s="609"/>
      <c r="BLC80" s="609"/>
      <c r="BLD80" s="609"/>
      <c r="BLE80" s="609"/>
      <c r="BLF80" s="609"/>
      <c r="BLG80" s="609"/>
      <c r="BLH80" s="609"/>
      <c r="BLI80" s="609"/>
      <c r="BLJ80" s="609"/>
      <c r="BLK80" s="609"/>
      <c r="BLL80" s="609"/>
      <c r="BLM80" s="609"/>
      <c r="BLN80" s="609"/>
      <c r="BLO80" s="609"/>
      <c r="BLP80" s="609"/>
      <c r="BLQ80" s="609"/>
      <c r="BLR80" s="609"/>
      <c r="BLS80" s="609"/>
      <c r="BLT80" s="609"/>
      <c r="BLU80" s="609"/>
      <c r="BLV80" s="609"/>
      <c r="BLW80" s="609"/>
      <c r="BLX80" s="609"/>
      <c r="BLY80" s="609"/>
      <c r="BLZ80" s="609"/>
      <c r="BMA80" s="609"/>
      <c r="BMB80" s="609"/>
      <c r="BMC80" s="609"/>
      <c r="BMD80" s="609"/>
      <c r="BME80" s="609"/>
      <c r="BMF80" s="609"/>
      <c r="BMG80" s="609"/>
      <c r="BMH80" s="609"/>
      <c r="BMI80" s="609"/>
      <c r="BMJ80" s="609"/>
      <c r="BMK80" s="609"/>
      <c r="BML80" s="609"/>
      <c r="BMM80" s="609"/>
      <c r="BMN80" s="609"/>
      <c r="BMO80" s="609"/>
      <c r="BMP80" s="609"/>
      <c r="BMQ80" s="609"/>
      <c r="BMR80" s="609"/>
      <c r="BMS80" s="609"/>
      <c r="BMT80" s="609"/>
      <c r="BMU80" s="609"/>
      <c r="BMV80" s="609"/>
      <c r="BMW80" s="609"/>
      <c r="BMX80" s="609"/>
      <c r="BMY80" s="609"/>
      <c r="BMZ80" s="609"/>
      <c r="BNA80" s="609"/>
      <c r="BNB80" s="609"/>
      <c r="BNC80" s="609"/>
      <c r="BND80" s="609"/>
      <c r="BNE80" s="609"/>
      <c r="BNF80" s="609"/>
      <c r="BNG80" s="609"/>
      <c r="BNH80" s="609"/>
      <c r="BNI80" s="609"/>
      <c r="BNJ80" s="609"/>
      <c r="BNK80" s="609"/>
      <c r="BNL80" s="609"/>
      <c r="BNM80" s="609"/>
      <c r="BNN80" s="609"/>
      <c r="BNO80" s="609"/>
      <c r="BNP80" s="609"/>
      <c r="BNQ80" s="609"/>
      <c r="BNR80" s="609"/>
      <c r="BNS80" s="609"/>
      <c r="BNT80" s="609"/>
      <c r="BNU80" s="609"/>
      <c r="BNV80" s="609"/>
      <c r="BNW80" s="609"/>
      <c r="BNX80" s="609"/>
      <c r="BNY80" s="609"/>
      <c r="BNZ80" s="609"/>
      <c r="BOA80" s="609"/>
      <c r="BOB80" s="609"/>
      <c r="BOC80" s="609"/>
      <c r="BOD80" s="609"/>
      <c r="BOE80" s="609"/>
      <c r="BOF80" s="609"/>
      <c r="BOG80" s="609"/>
      <c r="BOH80" s="609"/>
      <c r="BOI80" s="609"/>
      <c r="BOJ80" s="609"/>
      <c r="BOK80" s="609"/>
      <c r="BOL80" s="609"/>
      <c r="BOM80" s="609"/>
      <c r="BON80" s="609"/>
      <c r="BOO80" s="609"/>
      <c r="BOP80" s="609"/>
      <c r="BOQ80" s="609"/>
      <c r="BOR80" s="609"/>
      <c r="BOS80" s="609"/>
      <c r="BOT80" s="609"/>
      <c r="BOU80" s="609"/>
      <c r="BOV80" s="609"/>
      <c r="BOW80" s="609"/>
      <c r="BOX80" s="609"/>
      <c r="BOY80" s="609"/>
      <c r="BOZ80" s="609"/>
      <c r="BPA80" s="609"/>
      <c r="BPB80" s="609"/>
      <c r="BPC80" s="609"/>
      <c r="BPD80" s="609"/>
      <c r="BPE80" s="609"/>
      <c r="BPF80" s="609"/>
      <c r="BPG80" s="609"/>
      <c r="BPH80" s="609"/>
      <c r="BPI80" s="609"/>
      <c r="BPJ80" s="609"/>
      <c r="BPK80" s="609"/>
      <c r="BPL80" s="609"/>
      <c r="BPM80" s="609"/>
      <c r="BPN80" s="609"/>
      <c r="BPO80" s="609"/>
      <c r="BPP80" s="609"/>
      <c r="BPQ80" s="609"/>
      <c r="BPR80" s="609"/>
      <c r="BPS80" s="609"/>
      <c r="BPT80" s="609"/>
      <c r="BPU80" s="609"/>
      <c r="BPV80" s="609"/>
      <c r="BPW80" s="609"/>
      <c r="BPX80" s="609"/>
      <c r="BPY80" s="609"/>
      <c r="BPZ80" s="609"/>
      <c r="BQA80" s="609"/>
      <c r="BQB80" s="609"/>
      <c r="BQC80" s="609"/>
      <c r="BQD80" s="609"/>
      <c r="BQE80" s="609"/>
      <c r="BQF80" s="609"/>
      <c r="BQG80" s="609"/>
      <c r="BQH80" s="609"/>
      <c r="BQI80" s="609"/>
      <c r="BQJ80" s="609"/>
      <c r="BQK80" s="609"/>
      <c r="BQL80" s="609"/>
      <c r="BQM80" s="609"/>
      <c r="BQN80" s="609"/>
      <c r="BQO80" s="609"/>
      <c r="BQP80" s="609"/>
      <c r="BQQ80" s="609"/>
      <c r="BQR80" s="609"/>
      <c r="BQS80" s="609"/>
      <c r="BQT80" s="609"/>
      <c r="BQU80" s="609"/>
      <c r="BQV80" s="609"/>
      <c r="BQW80" s="609"/>
      <c r="BQX80" s="609"/>
      <c r="BQY80" s="609"/>
      <c r="BQZ80" s="609"/>
      <c r="BRA80" s="609"/>
      <c r="BRB80" s="609"/>
      <c r="BRC80" s="609"/>
      <c r="BRD80" s="609"/>
      <c r="BRE80" s="609"/>
      <c r="BRF80" s="609"/>
      <c r="BRG80" s="609"/>
      <c r="BRH80" s="609"/>
      <c r="BRI80" s="609"/>
      <c r="BRJ80" s="609"/>
      <c r="BRK80" s="609"/>
      <c r="BRL80" s="609"/>
      <c r="BRM80" s="609"/>
      <c r="BRN80" s="609"/>
      <c r="BRO80" s="609"/>
      <c r="BRP80" s="609"/>
      <c r="BRQ80" s="609"/>
      <c r="BRR80" s="609"/>
      <c r="BRS80" s="609"/>
      <c r="BRT80" s="609"/>
      <c r="BRU80" s="609"/>
      <c r="BRV80" s="609"/>
      <c r="BRW80" s="609"/>
      <c r="BRX80" s="609"/>
      <c r="BRY80" s="609"/>
      <c r="BRZ80" s="609"/>
      <c r="BSA80" s="609"/>
      <c r="BSB80" s="609"/>
      <c r="BSC80" s="609"/>
      <c r="BSD80" s="609"/>
      <c r="BSE80" s="609"/>
      <c r="BSF80" s="609"/>
      <c r="BSG80" s="609"/>
      <c r="BSH80" s="609"/>
      <c r="BSI80" s="609"/>
      <c r="BSJ80" s="609"/>
      <c r="BSK80" s="609"/>
      <c r="BSL80" s="609"/>
      <c r="BSM80" s="609"/>
      <c r="BSN80" s="609"/>
      <c r="BSO80" s="609"/>
      <c r="BSP80" s="609"/>
      <c r="BSQ80" s="609"/>
      <c r="BSR80" s="609"/>
      <c r="BSS80" s="609"/>
      <c r="BST80" s="609"/>
      <c r="BSU80" s="609"/>
      <c r="BSV80" s="609"/>
      <c r="BSW80" s="609"/>
      <c r="BSX80" s="609"/>
      <c r="BSY80" s="609"/>
      <c r="BSZ80" s="609"/>
      <c r="BTA80" s="609"/>
      <c r="BTB80" s="609"/>
      <c r="BTC80" s="609"/>
      <c r="BTD80" s="609"/>
      <c r="BTE80" s="609"/>
      <c r="BTF80" s="609"/>
      <c r="BTG80" s="609"/>
      <c r="BTH80" s="609"/>
      <c r="BTI80" s="609"/>
      <c r="BTJ80" s="609"/>
      <c r="BTK80" s="609"/>
      <c r="BTL80" s="609"/>
      <c r="BTM80" s="609"/>
      <c r="BTN80" s="609"/>
      <c r="BTO80" s="609"/>
      <c r="BTP80" s="609"/>
      <c r="BTQ80" s="609"/>
      <c r="BTR80" s="609"/>
      <c r="BTS80" s="609"/>
      <c r="BTT80" s="609"/>
      <c r="BTU80" s="609"/>
      <c r="BTV80" s="609"/>
      <c r="BTW80" s="609"/>
      <c r="BTX80" s="609"/>
      <c r="BTY80" s="609"/>
      <c r="BTZ80" s="609"/>
      <c r="BUA80" s="609"/>
      <c r="BUB80" s="609"/>
      <c r="BUC80" s="609"/>
      <c r="BUD80" s="609"/>
      <c r="BUE80" s="609"/>
      <c r="BUF80" s="609"/>
      <c r="BUG80" s="609"/>
      <c r="BUH80" s="609"/>
      <c r="BUI80" s="609"/>
      <c r="BUJ80" s="609"/>
      <c r="BUK80" s="609"/>
      <c r="BUL80" s="609"/>
      <c r="BUM80" s="609"/>
      <c r="BUN80" s="609"/>
      <c r="BUO80" s="609"/>
      <c r="BUP80" s="609"/>
      <c r="BUQ80" s="609"/>
      <c r="BUR80" s="609"/>
      <c r="BUS80" s="609"/>
      <c r="BUT80" s="609"/>
      <c r="BUU80" s="609"/>
      <c r="BUV80" s="609"/>
      <c r="BUW80" s="609"/>
      <c r="BUX80" s="609"/>
      <c r="BUY80" s="609"/>
      <c r="BUZ80" s="609"/>
      <c r="BVA80" s="609"/>
      <c r="BVB80" s="609"/>
      <c r="BVC80" s="609"/>
      <c r="BVD80" s="609"/>
      <c r="BVE80" s="609"/>
      <c r="BVF80" s="609"/>
      <c r="BVG80" s="609"/>
      <c r="BVH80" s="609"/>
      <c r="BVI80" s="609"/>
      <c r="BVJ80" s="609"/>
      <c r="BVK80" s="609"/>
      <c r="BVL80" s="609"/>
      <c r="BVM80" s="609"/>
      <c r="BVN80" s="609"/>
      <c r="BVO80" s="609"/>
      <c r="BVP80" s="609"/>
      <c r="BVQ80" s="609"/>
      <c r="BVR80" s="609"/>
      <c r="BVS80" s="609"/>
      <c r="BVT80" s="609"/>
      <c r="BVU80" s="609"/>
      <c r="BVV80" s="609"/>
      <c r="BVW80" s="609"/>
      <c r="BVX80" s="609"/>
      <c r="BVY80" s="609"/>
      <c r="BVZ80" s="609"/>
      <c r="BWA80" s="609"/>
      <c r="BWB80" s="609"/>
      <c r="BWC80" s="609"/>
      <c r="BWD80" s="609"/>
      <c r="BWE80" s="609"/>
      <c r="BWF80" s="609"/>
      <c r="BWG80" s="609"/>
      <c r="BWH80" s="609"/>
      <c r="BWI80" s="609"/>
      <c r="BWJ80" s="609"/>
      <c r="BWK80" s="609"/>
      <c r="BWL80" s="609"/>
      <c r="BWM80" s="609"/>
      <c r="BWN80" s="609"/>
      <c r="BWO80" s="609"/>
      <c r="BWP80" s="609"/>
      <c r="BWQ80" s="609"/>
      <c r="BWR80" s="609"/>
      <c r="BWS80" s="609"/>
      <c r="BWT80" s="609"/>
      <c r="BWU80" s="609"/>
      <c r="BWV80" s="609"/>
      <c r="BWW80" s="609"/>
      <c r="BWX80" s="609"/>
      <c r="BWY80" s="609"/>
      <c r="BWZ80" s="609"/>
      <c r="BXA80" s="609"/>
      <c r="BXB80" s="609"/>
      <c r="BXC80" s="609"/>
      <c r="BXD80" s="609"/>
      <c r="BXE80" s="609"/>
      <c r="BXF80" s="609"/>
      <c r="BXG80" s="609"/>
      <c r="BXH80" s="609"/>
      <c r="BXI80" s="609"/>
      <c r="BXJ80" s="609"/>
      <c r="BXK80" s="609"/>
      <c r="BXL80" s="609"/>
      <c r="BXM80" s="609"/>
      <c r="BXN80" s="609"/>
      <c r="BXO80" s="609"/>
      <c r="BXP80" s="609"/>
      <c r="BXQ80" s="609"/>
      <c r="BXR80" s="609"/>
      <c r="BXS80" s="609"/>
      <c r="BXT80" s="609"/>
      <c r="BXU80" s="609"/>
      <c r="BXV80" s="609"/>
      <c r="BXW80" s="609"/>
      <c r="BXX80" s="609"/>
      <c r="BXY80" s="609"/>
      <c r="BXZ80" s="609"/>
      <c r="BYA80" s="609"/>
      <c r="BYB80" s="609"/>
      <c r="BYC80" s="609"/>
      <c r="BYD80" s="609"/>
      <c r="BYE80" s="609"/>
      <c r="BYF80" s="609"/>
      <c r="BYG80" s="609"/>
      <c r="BYH80" s="609"/>
      <c r="BYI80" s="609"/>
      <c r="BYJ80" s="609"/>
      <c r="BYK80" s="609"/>
      <c r="BYL80" s="609"/>
      <c r="BYM80" s="609"/>
      <c r="BYN80" s="609"/>
      <c r="BYO80" s="609"/>
      <c r="BYP80" s="609"/>
      <c r="BYQ80" s="609"/>
      <c r="BYR80" s="609"/>
      <c r="BYS80" s="609"/>
      <c r="BYT80" s="609"/>
      <c r="BYU80" s="609"/>
      <c r="BYV80" s="609"/>
      <c r="BYW80" s="609"/>
      <c r="BYX80" s="609"/>
      <c r="BYY80" s="609"/>
      <c r="BYZ80" s="609"/>
      <c r="BZA80" s="609"/>
      <c r="BZB80" s="609"/>
      <c r="BZC80" s="609"/>
      <c r="BZD80" s="609"/>
      <c r="BZE80" s="609"/>
      <c r="BZF80" s="609"/>
      <c r="BZG80" s="609"/>
      <c r="BZH80" s="609"/>
      <c r="BZI80" s="609"/>
      <c r="BZJ80" s="609"/>
      <c r="BZK80" s="609"/>
      <c r="BZL80" s="609"/>
      <c r="BZM80" s="609"/>
      <c r="BZN80" s="609"/>
      <c r="BZO80" s="609"/>
      <c r="BZP80" s="609"/>
      <c r="BZQ80" s="609"/>
      <c r="BZR80" s="609"/>
      <c r="BZS80" s="609"/>
      <c r="BZT80" s="609"/>
      <c r="BZU80" s="609"/>
      <c r="BZV80" s="609"/>
      <c r="BZW80" s="609"/>
      <c r="BZX80" s="609"/>
      <c r="BZY80" s="609"/>
      <c r="BZZ80" s="609"/>
      <c r="CAA80" s="609"/>
      <c r="CAB80" s="609"/>
      <c r="CAC80" s="609"/>
      <c r="CAD80" s="609"/>
      <c r="CAE80" s="609"/>
      <c r="CAF80" s="609"/>
      <c r="CAG80" s="609"/>
      <c r="CAH80" s="609"/>
      <c r="CAI80" s="609"/>
      <c r="CAJ80" s="609"/>
      <c r="CAK80" s="609"/>
      <c r="CAL80" s="609"/>
      <c r="CAM80" s="609"/>
      <c r="CAN80" s="609"/>
      <c r="CAO80" s="609"/>
      <c r="CAP80" s="609"/>
      <c r="CAQ80" s="609"/>
      <c r="CAR80" s="609"/>
      <c r="CAS80" s="609"/>
      <c r="CAT80" s="609"/>
      <c r="CAU80" s="609"/>
      <c r="CAV80" s="609"/>
      <c r="CAW80" s="609"/>
      <c r="CAX80" s="609"/>
      <c r="CAY80" s="609"/>
      <c r="CAZ80" s="609"/>
      <c r="CBA80" s="609"/>
      <c r="CBB80" s="609"/>
      <c r="CBC80" s="609"/>
      <c r="CBD80" s="609"/>
      <c r="CBE80" s="609"/>
      <c r="CBF80" s="609"/>
      <c r="CBG80" s="609"/>
      <c r="CBH80" s="609"/>
      <c r="CBI80" s="609"/>
      <c r="CBJ80" s="609"/>
      <c r="CBK80" s="609"/>
      <c r="CBL80" s="609"/>
      <c r="CBM80" s="609"/>
      <c r="CBN80" s="609"/>
      <c r="CBO80" s="609"/>
      <c r="CBP80" s="609"/>
      <c r="CBQ80" s="609"/>
      <c r="CBR80" s="609"/>
      <c r="CBS80" s="609"/>
      <c r="CBT80" s="609"/>
      <c r="CBU80" s="609"/>
      <c r="CBV80" s="609"/>
      <c r="CBW80" s="609"/>
      <c r="CBX80" s="609"/>
      <c r="CBY80" s="609"/>
      <c r="CBZ80" s="609"/>
      <c r="CCA80" s="609"/>
      <c r="CCB80" s="609"/>
      <c r="CCC80" s="609"/>
      <c r="CCD80" s="609"/>
      <c r="CCE80" s="609"/>
      <c r="CCF80" s="609"/>
      <c r="CCG80" s="609"/>
      <c r="CCH80" s="609"/>
      <c r="CCI80" s="609"/>
      <c r="CCJ80" s="609"/>
      <c r="CCK80" s="609"/>
      <c r="CCL80" s="609"/>
      <c r="CCM80" s="609"/>
      <c r="CCN80" s="609"/>
      <c r="CCO80" s="609"/>
      <c r="CCP80" s="609"/>
      <c r="CCQ80" s="609"/>
      <c r="CCR80" s="609"/>
      <c r="CCS80" s="609"/>
      <c r="CCT80" s="609"/>
      <c r="CCU80" s="609"/>
      <c r="CCV80" s="609"/>
      <c r="CCW80" s="609"/>
      <c r="CCX80" s="609"/>
      <c r="CCY80" s="609"/>
      <c r="CCZ80" s="609"/>
      <c r="CDA80" s="609"/>
      <c r="CDB80" s="609"/>
      <c r="CDC80" s="609"/>
      <c r="CDD80" s="609"/>
      <c r="CDE80" s="609"/>
      <c r="CDF80" s="609"/>
      <c r="CDG80" s="609"/>
      <c r="CDH80" s="609"/>
      <c r="CDI80" s="609"/>
      <c r="CDJ80" s="609"/>
      <c r="CDK80" s="609"/>
      <c r="CDL80" s="609"/>
      <c r="CDM80" s="609"/>
      <c r="CDN80" s="609"/>
      <c r="CDO80" s="609"/>
      <c r="CDP80" s="609"/>
      <c r="CDQ80" s="609"/>
      <c r="CDR80" s="609"/>
      <c r="CDS80" s="609"/>
      <c r="CDT80" s="609"/>
      <c r="CDU80" s="609"/>
      <c r="CDV80" s="609"/>
      <c r="CDW80" s="609"/>
      <c r="CDX80" s="609"/>
      <c r="CDY80" s="609"/>
      <c r="CDZ80" s="609"/>
      <c r="CEA80" s="609"/>
      <c r="CEB80" s="609"/>
      <c r="CEC80" s="609"/>
      <c r="CED80" s="609"/>
      <c r="CEE80" s="609"/>
      <c r="CEF80" s="609"/>
      <c r="CEG80" s="609"/>
      <c r="CEH80" s="609"/>
      <c r="CEI80" s="609"/>
      <c r="CEJ80" s="609"/>
      <c r="CEK80" s="609"/>
      <c r="CEL80" s="609"/>
      <c r="CEM80" s="609"/>
      <c r="CEN80" s="609"/>
      <c r="CEO80" s="609"/>
      <c r="CEP80" s="609"/>
      <c r="CEQ80" s="609"/>
      <c r="CER80" s="609"/>
      <c r="CES80" s="609"/>
      <c r="CET80" s="609"/>
      <c r="CEU80" s="609"/>
      <c r="CEV80" s="609"/>
      <c r="CEW80" s="609"/>
      <c r="CEX80" s="609"/>
      <c r="CEY80" s="609"/>
      <c r="CEZ80" s="609"/>
      <c r="CFA80" s="609"/>
      <c r="CFB80" s="609"/>
      <c r="CFC80" s="609"/>
      <c r="CFD80" s="609"/>
      <c r="CFE80" s="609"/>
      <c r="CFF80" s="609"/>
      <c r="CFG80" s="609"/>
      <c r="CFH80" s="609"/>
      <c r="CFI80" s="609"/>
      <c r="CFJ80" s="609"/>
      <c r="CFK80" s="609"/>
      <c r="CFL80" s="609"/>
      <c r="CFM80" s="609"/>
      <c r="CFN80" s="609"/>
      <c r="CFO80" s="609"/>
      <c r="CFP80" s="609"/>
      <c r="CFQ80" s="609"/>
      <c r="CFR80" s="609"/>
      <c r="CFS80" s="609"/>
      <c r="CFT80" s="609"/>
      <c r="CFU80" s="609"/>
      <c r="CFV80" s="609"/>
      <c r="CFW80" s="609"/>
      <c r="CFX80" s="609"/>
      <c r="CFY80" s="609"/>
      <c r="CFZ80" s="609"/>
      <c r="CGA80" s="609"/>
      <c r="CGB80" s="609"/>
      <c r="CGC80" s="609"/>
      <c r="CGD80" s="609"/>
      <c r="CGE80" s="609"/>
      <c r="CGF80" s="609"/>
      <c r="CGG80" s="609"/>
      <c r="CGH80" s="609"/>
      <c r="CGI80" s="609"/>
      <c r="CGJ80" s="609"/>
      <c r="CGK80" s="609"/>
      <c r="CGL80" s="609"/>
      <c r="CGM80" s="609"/>
      <c r="CGN80" s="609"/>
      <c r="CGO80" s="609"/>
      <c r="CGP80" s="609"/>
      <c r="CGQ80" s="609"/>
      <c r="CGR80" s="609"/>
      <c r="CGS80" s="609"/>
      <c r="CGT80" s="609"/>
      <c r="CGU80" s="609"/>
      <c r="CGV80" s="609"/>
      <c r="CGW80" s="609"/>
      <c r="CGX80" s="609"/>
      <c r="CGY80" s="609"/>
      <c r="CGZ80" s="609"/>
      <c r="CHA80" s="609"/>
      <c r="CHB80" s="609"/>
      <c r="CHC80" s="609"/>
      <c r="CHD80" s="609"/>
      <c r="CHE80" s="609"/>
      <c r="CHF80" s="609"/>
      <c r="CHG80" s="609"/>
      <c r="CHH80" s="609"/>
      <c r="CHI80" s="609"/>
      <c r="CHJ80" s="609"/>
      <c r="CHK80" s="609"/>
      <c r="CHL80" s="609"/>
      <c r="CHM80" s="609"/>
      <c r="CHN80" s="609"/>
      <c r="CHO80" s="609"/>
      <c r="CHP80" s="609"/>
      <c r="CHQ80" s="609"/>
      <c r="CHR80" s="609"/>
      <c r="CHS80" s="609"/>
      <c r="CHT80" s="609"/>
      <c r="CHU80" s="609"/>
      <c r="CHV80" s="609"/>
      <c r="CHW80" s="609"/>
      <c r="CHX80" s="609"/>
      <c r="CHY80" s="609"/>
      <c r="CHZ80" s="609"/>
      <c r="CIA80" s="609"/>
      <c r="CIB80" s="609"/>
      <c r="CIC80" s="609"/>
      <c r="CID80" s="609"/>
      <c r="CIE80" s="609"/>
      <c r="CIF80" s="609"/>
      <c r="CIG80" s="609"/>
      <c r="CIH80" s="609"/>
      <c r="CII80" s="609"/>
      <c r="CIJ80" s="609"/>
      <c r="CIK80" s="609"/>
      <c r="CIL80" s="609"/>
      <c r="CIM80" s="609"/>
      <c r="CIN80" s="609"/>
      <c r="CIO80" s="609"/>
      <c r="CIP80" s="609"/>
      <c r="CIQ80" s="609"/>
      <c r="CIR80" s="609"/>
      <c r="CIS80" s="609"/>
      <c r="CIT80" s="609"/>
      <c r="CIU80" s="609"/>
      <c r="CIV80" s="609"/>
      <c r="CIW80" s="609"/>
      <c r="CIX80" s="609"/>
      <c r="CIY80" s="609"/>
      <c r="CIZ80" s="609"/>
      <c r="CJA80" s="609"/>
      <c r="CJB80" s="609"/>
      <c r="CJC80" s="609"/>
      <c r="CJD80" s="609"/>
      <c r="CJE80" s="609"/>
      <c r="CJF80" s="609"/>
      <c r="CJG80" s="609"/>
      <c r="CJH80" s="609"/>
      <c r="CJI80" s="609"/>
      <c r="CJJ80" s="609"/>
      <c r="CJK80" s="609"/>
      <c r="CJL80" s="609"/>
      <c r="CJM80" s="609"/>
      <c r="CJN80" s="609"/>
      <c r="CJO80" s="609"/>
      <c r="CJP80" s="609"/>
      <c r="CJQ80" s="609"/>
      <c r="CJR80" s="609"/>
      <c r="CJS80" s="609"/>
      <c r="CJT80" s="609"/>
      <c r="CJU80" s="609"/>
      <c r="CJV80" s="609"/>
      <c r="CJW80" s="609"/>
      <c r="CJX80" s="609"/>
      <c r="CJY80" s="609"/>
      <c r="CJZ80" s="609"/>
      <c r="CKA80" s="609"/>
      <c r="CKB80" s="609"/>
      <c r="CKC80" s="609"/>
      <c r="CKD80" s="609"/>
      <c r="CKE80" s="609"/>
      <c r="CKF80" s="609"/>
      <c r="CKG80" s="609"/>
      <c r="CKH80" s="609"/>
      <c r="CKI80" s="609"/>
      <c r="CKJ80" s="609"/>
      <c r="CKK80" s="609"/>
      <c r="CKL80" s="609"/>
      <c r="CKM80" s="609"/>
      <c r="CKN80" s="609"/>
      <c r="CKO80" s="609"/>
      <c r="CKP80" s="609"/>
      <c r="CKQ80" s="609"/>
      <c r="CKR80" s="609"/>
      <c r="CKS80" s="609"/>
      <c r="CKT80" s="609"/>
      <c r="CKU80" s="609"/>
      <c r="CKV80" s="609"/>
      <c r="CKW80" s="609"/>
      <c r="CKX80" s="609"/>
      <c r="CKY80" s="609"/>
      <c r="CKZ80" s="609"/>
      <c r="CLA80" s="609"/>
      <c r="CLB80" s="609"/>
      <c r="CLC80" s="609"/>
      <c r="CLD80" s="609"/>
      <c r="CLE80" s="609"/>
      <c r="CLF80" s="609"/>
      <c r="CLG80" s="609"/>
      <c r="CLH80" s="609"/>
      <c r="CLI80" s="609"/>
      <c r="CLJ80" s="609"/>
      <c r="CLK80" s="609"/>
      <c r="CLL80" s="609"/>
      <c r="CLM80" s="609"/>
      <c r="CLN80" s="609"/>
      <c r="CLO80" s="609"/>
      <c r="CLP80" s="609"/>
      <c r="CLQ80" s="609"/>
      <c r="CLR80" s="609"/>
      <c r="CLS80" s="609"/>
      <c r="CLT80" s="609"/>
      <c r="CLU80" s="609"/>
      <c r="CLV80" s="609"/>
      <c r="CLW80" s="609"/>
      <c r="CLX80" s="609"/>
      <c r="CLY80" s="609"/>
      <c r="CLZ80" s="609"/>
      <c r="CMA80" s="609"/>
      <c r="CMB80" s="609"/>
      <c r="CMC80" s="609"/>
      <c r="CMD80" s="609"/>
      <c r="CME80" s="609"/>
      <c r="CMF80" s="609"/>
      <c r="CMG80" s="609"/>
      <c r="CMH80" s="609"/>
      <c r="CMI80" s="609"/>
      <c r="CMJ80" s="609"/>
      <c r="CMK80" s="609"/>
      <c r="CML80" s="609"/>
      <c r="CMM80" s="609"/>
      <c r="CMN80" s="609"/>
      <c r="CMO80" s="609"/>
      <c r="CMP80" s="609"/>
      <c r="CMQ80" s="609"/>
      <c r="CMR80" s="609"/>
      <c r="CMS80" s="609"/>
      <c r="CMT80" s="609"/>
      <c r="CMU80" s="609"/>
      <c r="CMV80" s="609"/>
      <c r="CMW80" s="609"/>
      <c r="CMX80" s="609"/>
      <c r="CMY80" s="609"/>
      <c r="CMZ80" s="609"/>
      <c r="CNA80" s="609"/>
      <c r="CNB80" s="609"/>
      <c r="CNC80" s="609"/>
      <c r="CND80" s="609"/>
      <c r="CNE80" s="609"/>
      <c r="CNF80" s="609"/>
      <c r="CNG80" s="609"/>
      <c r="CNH80" s="609"/>
      <c r="CNI80" s="609"/>
      <c r="CNJ80" s="609"/>
      <c r="CNK80" s="609"/>
      <c r="CNL80" s="609"/>
      <c r="CNM80" s="609"/>
      <c r="CNN80" s="609"/>
      <c r="CNO80" s="609"/>
      <c r="CNP80" s="609"/>
      <c r="CNQ80" s="609"/>
      <c r="CNR80" s="609"/>
      <c r="CNS80" s="609"/>
      <c r="CNT80" s="609"/>
      <c r="CNU80" s="609"/>
      <c r="CNV80" s="609"/>
      <c r="CNW80" s="609"/>
      <c r="CNX80" s="609"/>
      <c r="CNY80" s="609"/>
      <c r="CNZ80" s="609"/>
      <c r="COA80" s="609"/>
      <c r="COB80" s="609"/>
      <c r="COC80" s="609"/>
      <c r="COD80" s="609"/>
      <c r="COE80" s="609"/>
      <c r="COF80" s="609"/>
      <c r="COG80" s="609"/>
      <c r="COH80" s="609"/>
      <c r="COI80" s="609"/>
      <c r="COJ80" s="609"/>
      <c r="COK80" s="609"/>
      <c r="COL80" s="609"/>
      <c r="COM80" s="609"/>
      <c r="CON80" s="609"/>
      <c r="COO80" s="609"/>
      <c r="COP80" s="609"/>
      <c r="COQ80" s="609"/>
      <c r="COR80" s="609"/>
      <c r="COS80" s="609"/>
      <c r="COT80" s="609"/>
      <c r="COU80" s="609"/>
      <c r="COV80" s="609"/>
      <c r="COW80" s="609"/>
      <c r="COX80" s="609"/>
      <c r="COY80" s="609"/>
      <c r="COZ80" s="609"/>
      <c r="CPA80" s="609"/>
      <c r="CPB80" s="609"/>
      <c r="CPC80" s="609"/>
      <c r="CPD80" s="609"/>
      <c r="CPE80" s="609"/>
      <c r="CPF80" s="609"/>
      <c r="CPG80" s="609"/>
      <c r="CPH80" s="609"/>
      <c r="CPI80" s="609"/>
      <c r="CPJ80" s="609"/>
      <c r="CPK80" s="609"/>
      <c r="CPL80" s="609"/>
      <c r="CPM80" s="609"/>
      <c r="CPN80" s="609"/>
      <c r="CPO80" s="609"/>
      <c r="CPP80" s="609"/>
      <c r="CPQ80" s="609"/>
      <c r="CPR80" s="609"/>
      <c r="CPS80" s="609"/>
      <c r="CPT80" s="609"/>
      <c r="CPU80" s="609"/>
      <c r="CPV80" s="609"/>
      <c r="CPW80" s="609"/>
      <c r="CPX80" s="609"/>
      <c r="CPY80" s="609"/>
      <c r="CPZ80" s="609"/>
      <c r="CQA80" s="609"/>
      <c r="CQB80" s="609"/>
      <c r="CQC80" s="609"/>
      <c r="CQD80" s="609"/>
      <c r="CQE80" s="609"/>
      <c r="CQF80" s="609"/>
      <c r="CQG80" s="609"/>
      <c r="CQH80" s="609"/>
      <c r="CQI80" s="609"/>
      <c r="CQJ80" s="609"/>
      <c r="CQK80" s="609"/>
      <c r="CQL80" s="609"/>
      <c r="CQM80" s="609"/>
      <c r="CQN80" s="609"/>
      <c r="CQO80" s="609"/>
      <c r="CQP80" s="609"/>
      <c r="CQQ80" s="609"/>
      <c r="CQR80" s="609"/>
      <c r="CQS80" s="609"/>
      <c r="CQT80" s="609"/>
      <c r="CQU80" s="609"/>
      <c r="CQV80" s="609"/>
      <c r="CQW80" s="609"/>
      <c r="CQX80" s="609"/>
      <c r="CQY80" s="609"/>
      <c r="CQZ80" s="609"/>
      <c r="CRA80" s="609"/>
      <c r="CRB80" s="609"/>
      <c r="CRC80" s="609"/>
      <c r="CRD80" s="609"/>
      <c r="CRE80" s="609"/>
      <c r="CRF80" s="609"/>
      <c r="CRG80" s="609"/>
      <c r="CRH80" s="609"/>
      <c r="CRI80" s="609"/>
      <c r="CRJ80" s="609"/>
      <c r="CRK80" s="609"/>
      <c r="CRL80" s="609"/>
      <c r="CRM80" s="609"/>
      <c r="CRN80" s="609"/>
      <c r="CRO80" s="609"/>
      <c r="CRP80" s="609"/>
      <c r="CRQ80" s="609"/>
      <c r="CRR80" s="609"/>
      <c r="CRS80" s="609"/>
      <c r="CRT80" s="609"/>
      <c r="CRU80" s="609"/>
      <c r="CRV80" s="609"/>
      <c r="CRW80" s="609"/>
      <c r="CRX80" s="609"/>
      <c r="CRY80" s="609"/>
      <c r="CRZ80" s="609"/>
      <c r="CSA80" s="609"/>
      <c r="CSB80" s="609"/>
      <c r="CSC80" s="609"/>
      <c r="CSD80" s="609"/>
      <c r="CSE80" s="609"/>
      <c r="CSF80" s="609"/>
      <c r="CSG80" s="609"/>
      <c r="CSH80" s="609"/>
      <c r="CSI80" s="609"/>
      <c r="CSJ80" s="609"/>
      <c r="CSK80" s="609"/>
      <c r="CSL80" s="609"/>
      <c r="CSM80" s="609"/>
      <c r="CSN80" s="609"/>
      <c r="CSO80" s="609"/>
      <c r="CSP80" s="609"/>
      <c r="CSQ80" s="609"/>
      <c r="CSR80" s="609"/>
      <c r="CSS80" s="609"/>
      <c r="CST80" s="609"/>
      <c r="CSU80" s="609"/>
      <c r="CSV80" s="609"/>
      <c r="CSW80" s="609"/>
      <c r="CSX80" s="609"/>
      <c r="CSY80" s="609"/>
      <c r="CSZ80" s="609"/>
      <c r="CTA80" s="609"/>
      <c r="CTB80" s="609"/>
      <c r="CTC80" s="609"/>
      <c r="CTD80" s="609"/>
      <c r="CTE80" s="609"/>
      <c r="CTF80" s="609"/>
      <c r="CTG80" s="609"/>
      <c r="CTH80" s="609"/>
      <c r="CTI80" s="609"/>
      <c r="CTJ80" s="609"/>
      <c r="CTK80" s="609"/>
      <c r="CTL80" s="609"/>
      <c r="CTM80" s="609"/>
      <c r="CTN80" s="609"/>
      <c r="CTO80" s="609"/>
      <c r="CTP80" s="609"/>
      <c r="CTQ80" s="609"/>
      <c r="CTR80" s="609"/>
      <c r="CTS80" s="609"/>
      <c r="CTT80" s="609"/>
      <c r="CTU80" s="609"/>
      <c r="CTV80" s="609"/>
      <c r="CTW80" s="609"/>
      <c r="CTX80" s="609"/>
      <c r="CTY80" s="609"/>
      <c r="CTZ80" s="609"/>
      <c r="CUA80" s="609"/>
      <c r="CUB80" s="609"/>
      <c r="CUC80" s="609"/>
      <c r="CUD80" s="609"/>
      <c r="CUE80" s="609"/>
      <c r="CUF80" s="609"/>
      <c r="CUG80" s="609"/>
      <c r="CUH80" s="609"/>
      <c r="CUI80" s="609"/>
      <c r="CUJ80" s="609"/>
      <c r="CUK80" s="609"/>
      <c r="CUL80" s="609"/>
      <c r="CUM80" s="609"/>
      <c r="CUN80" s="609"/>
      <c r="CUO80" s="609"/>
      <c r="CUP80" s="609"/>
      <c r="CUQ80" s="609"/>
      <c r="CUR80" s="609"/>
      <c r="CUS80" s="609"/>
      <c r="CUT80" s="609"/>
      <c r="CUU80" s="609"/>
      <c r="CUV80" s="609"/>
      <c r="CUW80" s="609"/>
      <c r="CUX80" s="609"/>
      <c r="CUY80" s="609"/>
      <c r="CUZ80" s="609"/>
      <c r="CVA80" s="609"/>
      <c r="CVB80" s="609"/>
      <c r="CVC80" s="609"/>
      <c r="CVD80" s="609"/>
      <c r="CVE80" s="609"/>
      <c r="CVF80" s="609"/>
      <c r="CVG80" s="609"/>
      <c r="CVH80" s="609"/>
      <c r="CVI80" s="609"/>
      <c r="CVJ80" s="609"/>
      <c r="CVK80" s="609"/>
      <c r="CVL80" s="609"/>
      <c r="CVM80" s="609"/>
      <c r="CVN80" s="609"/>
      <c r="CVO80" s="609"/>
      <c r="CVP80" s="609"/>
      <c r="CVQ80" s="609"/>
      <c r="CVR80" s="609"/>
      <c r="CVS80" s="609"/>
      <c r="CVT80" s="609"/>
      <c r="CVU80" s="609"/>
      <c r="CVV80" s="609"/>
      <c r="CVW80" s="609"/>
      <c r="CVX80" s="609"/>
      <c r="CVY80" s="609"/>
      <c r="CVZ80" s="609"/>
      <c r="CWA80" s="609"/>
      <c r="CWB80" s="609"/>
      <c r="CWC80" s="609"/>
      <c r="CWD80" s="609"/>
      <c r="CWE80" s="609"/>
      <c r="CWF80" s="609"/>
      <c r="CWG80" s="609"/>
      <c r="CWH80" s="609"/>
      <c r="CWI80" s="609"/>
      <c r="CWJ80" s="609"/>
      <c r="CWK80" s="609"/>
      <c r="CWL80" s="609"/>
      <c r="CWM80" s="609"/>
      <c r="CWN80" s="609"/>
      <c r="CWO80" s="609"/>
      <c r="CWP80" s="609"/>
      <c r="CWQ80" s="609"/>
      <c r="CWR80" s="609"/>
      <c r="CWS80" s="609"/>
      <c r="CWT80" s="609"/>
      <c r="CWU80" s="609"/>
      <c r="CWV80" s="609"/>
      <c r="CWW80" s="609"/>
      <c r="CWX80" s="609"/>
      <c r="CWY80" s="609"/>
      <c r="CWZ80" s="609"/>
      <c r="CXA80" s="609"/>
      <c r="CXB80" s="609"/>
      <c r="CXC80" s="609"/>
      <c r="CXD80" s="609"/>
      <c r="CXE80" s="609"/>
      <c r="CXF80" s="609"/>
      <c r="CXG80" s="609"/>
      <c r="CXH80" s="609"/>
      <c r="CXI80" s="609"/>
      <c r="CXJ80" s="609"/>
      <c r="CXK80" s="609"/>
      <c r="CXL80" s="609"/>
      <c r="CXM80" s="609"/>
      <c r="CXN80" s="609"/>
      <c r="CXO80" s="609"/>
      <c r="CXP80" s="609"/>
      <c r="CXQ80" s="609"/>
      <c r="CXR80" s="609"/>
      <c r="CXS80" s="609"/>
      <c r="CXT80" s="609"/>
      <c r="CXU80" s="609"/>
      <c r="CXV80" s="609"/>
      <c r="CXW80" s="609"/>
      <c r="CXX80" s="609"/>
      <c r="CXY80" s="609"/>
      <c r="CXZ80" s="609"/>
      <c r="CYA80" s="609"/>
      <c r="CYB80" s="609"/>
      <c r="CYC80" s="609"/>
      <c r="CYD80" s="609"/>
      <c r="CYE80" s="609"/>
      <c r="CYF80" s="609"/>
      <c r="CYG80" s="609"/>
      <c r="CYH80" s="609"/>
      <c r="CYI80" s="609"/>
      <c r="CYJ80" s="609"/>
      <c r="CYK80" s="609"/>
      <c r="CYL80" s="609"/>
      <c r="CYM80" s="609"/>
      <c r="CYN80" s="609"/>
      <c r="CYO80" s="609"/>
      <c r="CYP80" s="609"/>
      <c r="CYQ80" s="609"/>
      <c r="CYR80" s="609"/>
      <c r="CYS80" s="609"/>
      <c r="CYT80" s="609"/>
      <c r="CYU80" s="609"/>
      <c r="CYV80" s="609"/>
      <c r="CYW80" s="609"/>
      <c r="CYX80" s="609"/>
      <c r="CYY80" s="609"/>
      <c r="CYZ80" s="609"/>
      <c r="CZA80" s="609"/>
      <c r="CZB80" s="609"/>
      <c r="CZC80" s="609"/>
      <c r="CZD80" s="609"/>
      <c r="CZE80" s="609"/>
      <c r="CZF80" s="609"/>
      <c r="CZG80" s="609"/>
      <c r="CZH80" s="609"/>
      <c r="CZI80" s="609"/>
      <c r="CZJ80" s="609"/>
      <c r="CZK80" s="609"/>
      <c r="CZL80" s="609"/>
      <c r="CZM80" s="609"/>
      <c r="CZN80" s="609"/>
      <c r="CZO80" s="609"/>
      <c r="CZP80" s="609"/>
      <c r="CZQ80" s="609"/>
      <c r="CZR80" s="609"/>
      <c r="CZS80" s="609"/>
      <c r="CZT80" s="609"/>
      <c r="CZU80" s="609"/>
      <c r="CZV80" s="609"/>
      <c r="CZW80" s="609"/>
      <c r="CZX80" s="609"/>
      <c r="CZY80" s="609"/>
      <c r="CZZ80" s="609"/>
      <c r="DAA80" s="609"/>
      <c r="DAB80" s="609"/>
      <c r="DAC80" s="609"/>
      <c r="DAD80" s="609"/>
      <c r="DAE80" s="609"/>
      <c r="DAF80" s="609"/>
      <c r="DAG80" s="609"/>
      <c r="DAH80" s="609"/>
      <c r="DAI80" s="609"/>
      <c r="DAJ80" s="609"/>
      <c r="DAK80" s="609"/>
      <c r="DAL80" s="609"/>
      <c r="DAM80" s="609"/>
      <c r="DAN80" s="609"/>
      <c r="DAO80" s="609"/>
      <c r="DAP80" s="609"/>
      <c r="DAQ80" s="609"/>
      <c r="DAR80" s="609"/>
      <c r="DAS80" s="609"/>
      <c r="DAT80" s="609"/>
      <c r="DAU80" s="609"/>
      <c r="DAV80" s="609"/>
      <c r="DAW80" s="609"/>
      <c r="DAX80" s="609"/>
      <c r="DAY80" s="609"/>
      <c r="DAZ80" s="609"/>
      <c r="DBA80" s="609"/>
      <c r="DBB80" s="609"/>
      <c r="DBC80" s="609"/>
      <c r="DBD80" s="609"/>
      <c r="DBE80" s="609"/>
      <c r="DBF80" s="609"/>
      <c r="DBG80" s="609"/>
      <c r="DBH80" s="609"/>
      <c r="DBI80" s="609"/>
      <c r="DBJ80" s="609"/>
      <c r="DBK80" s="609"/>
      <c r="DBL80" s="609"/>
      <c r="DBM80" s="609"/>
      <c r="DBN80" s="609"/>
      <c r="DBO80" s="609"/>
      <c r="DBP80" s="609"/>
      <c r="DBQ80" s="609"/>
      <c r="DBR80" s="609"/>
      <c r="DBS80" s="609"/>
      <c r="DBT80" s="609"/>
      <c r="DBU80" s="609"/>
      <c r="DBV80" s="609"/>
      <c r="DBW80" s="609"/>
      <c r="DBX80" s="609"/>
      <c r="DBY80" s="609"/>
      <c r="DBZ80" s="609"/>
      <c r="DCA80" s="609"/>
      <c r="DCB80" s="609"/>
      <c r="DCC80" s="609"/>
      <c r="DCD80" s="609"/>
      <c r="DCE80" s="609"/>
      <c r="DCF80" s="609"/>
      <c r="DCG80" s="609"/>
      <c r="DCH80" s="609"/>
      <c r="DCI80" s="609"/>
      <c r="DCJ80" s="609"/>
      <c r="DCK80" s="609"/>
      <c r="DCL80" s="609"/>
      <c r="DCM80" s="609"/>
      <c r="DCN80" s="609"/>
      <c r="DCO80" s="609"/>
      <c r="DCP80" s="609"/>
      <c r="DCQ80" s="609"/>
      <c r="DCR80" s="609"/>
      <c r="DCS80" s="609"/>
      <c r="DCT80" s="609"/>
      <c r="DCU80" s="609"/>
      <c r="DCV80" s="609"/>
      <c r="DCW80" s="609"/>
      <c r="DCX80" s="609"/>
      <c r="DCY80" s="609"/>
      <c r="DCZ80" s="609"/>
      <c r="DDA80" s="609"/>
      <c r="DDB80" s="609"/>
      <c r="DDC80" s="609"/>
      <c r="DDD80" s="609"/>
      <c r="DDE80" s="609"/>
      <c r="DDF80" s="609"/>
      <c r="DDG80" s="609"/>
      <c r="DDH80" s="609"/>
      <c r="DDI80" s="609"/>
      <c r="DDJ80" s="609"/>
      <c r="DDK80" s="609"/>
      <c r="DDL80" s="609"/>
      <c r="DDM80" s="609"/>
      <c r="DDN80" s="609"/>
      <c r="DDO80" s="609"/>
      <c r="DDP80" s="609"/>
      <c r="DDQ80" s="609"/>
      <c r="DDR80" s="609"/>
      <c r="DDS80" s="609"/>
      <c r="DDT80" s="609"/>
      <c r="DDU80" s="609"/>
      <c r="DDV80" s="609"/>
      <c r="DDW80" s="609"/>
      <c r="DDX80" s="609"/>
      <c r="DDY80" s="609"/>
      <c r="DDZ80" s="609"/>
      <c r="DEA80" s="609"/>
      <c r="DEB80" s="609"/>
      <c r="DEC80" s="609"/>
      <c r="DED80" s="609"/>
      <c r="DEE80" s="609"/>
      <c r="DEF80" s="609"/>
      <c r="DEG80" s="609"/>
      <c r="DEH80" s="609"/>
      <c r="DEI80" s="609"/>
      <c r="DEJ80" s="609"/>
      <c r="DEK80" s="609"/>
      <c r="DEL80" s="609"/>
      <c r="DEM80" s="609"/>
      <c r="DEN80" s="609"/>
      <c r="DEO80" s="609"/>
      <c r="DEP80" s="609"/>
      <c r="DEQ80" s="609"/>
      <c r="DER80" s="609"/>
      <c r="DES80" s="609"/>
      <c r="DET80" s="609"/>
      <c r="DEU80" s="609"/>
      <c r="DEV80" s="609"/>
      <c r="DEW80" s="609"/>
      <c r="DEX80" s="609"/>
      <c r="DEY80" s="609"/>
      <c r="DEZ80" s="609"/>
      <c r="DFA80" s="609"/>
      <c r="DFB80" s="609"/>
      <c r="DFC80" s="609"/>
      <c r="DFD80" s="609"/>
      <c r="DFE80" s="609"/>
      <c r="DFF80" s="609"/>
      <c r="DFG80" s="609"/>
      <c r="DFH80" s="609"/>
      <c r="DFI80" s="609"/>
      <c r="DFJ80" s="609"/>
      <c r="DFK80" s="609"/>
      <c r="DFL80" s="609"/>
      <c r="DFM80" s="609"/>
      <c r="DFN80" s="609"/>
      <c r="DFO80" s="609"/>
      <c r="DFP80" s="609"/>
      <c r="DFQ80" s="609"/>
      <c r="DFR80" s="609"/>
      <c r="DFS80" s="609"/>
      <c r="DFT80" s="609"/>
      <c r="DFU80" s="609"/>
      <c r="DFV80" s="609"/>
      <c r="DFW80" s="609"/>
      <c r="DFX80" s="609"/>
      <c r="DFY80" s="609"/>
      <c r="DFZ80" s="609"/>
      <c r="DGA80" s="609"/>
      <c r="DGB80" s="609"/>
      <c r="DGC80" s="609"/>
      <c r="DGD80" s="609"/>
      <c r="DGE80" s="609"/>
      <c r="DGF80" s="609"/>
      <c r="DGG80" s="609"/>
      <c r="DGH80" s="609"/>
      <c r="DGI80" s="609"/>
      <c r="DGJ80" s="609"/>
      <c r="DGK80" s="609"/>
      <c r="DGL80" s="609"/>
      <c r="DGM80" s="609"/>
      <c r="DGN80" s="609"/>
      <c r="DGO80" s="609"/>
      <c r="DGP80" s="609"/>
      <c r="DGQ80" s="609"/>
      <c r="DGR80" s="609"/>
      <c r="DGS80" s="609"/>
      <c r="DGT80" s="609"/>
      <c r="DGU80" s="609"/>
      <c r="DGV80" s="609"/>
      <c r="DGW80" s="609"/>
      <c r="DGX80" s="609"/>
      <c r="DGY80" s="609"/>
      <c r="DGZ80" s="609"/>
      <c r="DHA80" s="609"/>
      <c r="DHB80" s="609"/>
      <c r="DHC80" s="609"/>
      <c r="DHD80" s="609"/>
      <c r="DHE80" s="609"/>
      <c r="DHF80" s="609"/>
      <c r="DHG80" s="609"/>
      <c r="DHH80" s="609"/>
      <c r="DHI80" s="609"/>
      <c r="DHJ80" s="609"/>
      <c r="DHK80" s="609"/>
      <c r="DHL80" s="609"/>
      <c r="DHM80" s="609"/>
      <c r="DHN80" s="609"/>
      <c r="DHO80" s="609"/>
      <c r="DHP80" s="609"/>
      <c r="DHQ80" s="609"/>
      <c r="DHR80" s="609"/>
      <c r="DHS80" s="609"/>
      <c r="DHT80" s="609"/>
      <c r="DHU80" s="609"/>
      <c r="DHV80" s="609"/>
      <c r="DHW80" s="609"/>
      <c r="DHX80" s="609"/>
      <c r="DHY80" s="609"/>
      <c r="DHZ80" s="609"/>
      <c r="DIA80" s="609"/>
      <c r="DIB80" s="609"/>
      <c r="DIC80" s="609"/>
      <c r="DID80" s="609"/>
      <c r="DIE80" s="609"/>
      <c r="DIF80" s="609"/>
      <c r="DIG80" s="609"/>
      <c r="DIH80" s="609"/>
      <c r="DII80" s="609"/>
      <c r="DIJ80" s="609"/>
      <c r="DIK80" s="609"/>
      <c r="DIL80" s="609"/>
      <c r="DIM80" s="609"/>
      <c r="DIN80" s="609"/>
      <c r="DIO80" s="609"/>
      <c r="DIP80" s="609"/>
      <c r="DIQ80" s="609"/>
      <c r="DIR80" s="609"/>
      <c r="DIS80" s="609"/>
      <c r="DIT80" s="609"/>
      <c r="DIU80" s="609"/>
      <c r="DIV80" s="609"/>
      <c r="DIW80" s="609"/>
      <c r="DIX80" s="609"/>
      <c r="DIY80" s="609"/>
      <c r="DIZ80" s="609"/>
      <c r="DJA80" s="609"/>
      <c r="DJB80" s="609"/>
      <c r="DJC80" s="609"/>
      <c r="DJD80" s="609"/>
      <c r="DJE80" s="609"/>
      <c r="DJF80" s="609"/>
      <c r="DJG80" s="609"/>
      <c r="DJH80" s="609"/>
      <c r="DJI80" s="609"/>
      <c r="DJJ80" s="609"/>
      <c r="DJK80" s="609"/>
      <c r="DJL80" s="609"/>
      <c r="DJM80" s="609"/>
      <c r="DJN80" s="609"/>
      <c r="DJO80" s="609"/>
      <c r="DJP80" s="609"/>
      <c r="DJQ80" s="609"/>
      <c r="DJR80" s="609"/>
      <c r="DJS80" s="609"/>
      <c r="DJT80" s="609"/>
      <c r="DJU80" s="609"/>
      <c r="DJV80" s="609"/>
      <c r="DJW80" s="609"/>
      <c r="DJX80" s="609"/>
      <c r="DJY80" s="609"/>
      <c r="DJZ80" s="609"/>
      <c r="DKA80" s="609"/>
      <c r="DKB80" s="609"/>
      <c r="DKC80" s="609"/>
      <c r="DKD80" s="609"/>
      <c r="DKE80" s="609"/>
      <c r="DKF80" s="609"/>
      <c r="DKG80" s="609"/>
      <c r="DKH80" s="609"/>
      <c r="DKI80" s="609"/>
      <c r="DKJ80" s="609"/>
      <c r="DKK80" s="609"/>
      <c r="DKL80" s="609"/>
      <c r="DKM80" s="609"/>
      <c r="DKN80" s="609"/>
      <c r="DKO80" s="609"/>
      <c r="DKP80" s="609"/>
      <c r="DKQ80" s="609"/>
      <c r="DKR80" s="609"/>
      <c r="DKS80" s="609"/>
      <c r="DKT80" s="609"/>
      <c r="DKU80" s="609"/>
      <c r="DKV80" s="609"/>
      <c r="DKW80" s="609"/>
      <c r="DKX80" s="609"/>
      <c r="DKY80" s="609"/>
      <c r="DKZ80" s="609"/>
      <c r="DLA80" s="609"/>
      <c r="DLB80" s="609"/>
      <c r="DLC80" s="609"/>
      <c r="DLD80" s="609"/>
      <c r="DLE80" s="609"/>
      <c r="DLF80" s="609"/>
      <c r="DLG80" s="609"/>
      <c r="DLH80" s="609"/>
      <c r="DLI80" s="609"/>
      <c r="DLJ80" s="609"/>
      <c r="DLK80" s="609"/>
      <c r="DLL80" s="609"/>
      <c r="DLM80" s="609"/>
      <c r="DLN80" s="609"/>
      <c r="DLO80" s="609"/>
      <c r="DLP80" s="609"/>
      <c r="DLQ80" s="609"/>
      <c r="DLR80" s="609"/>
      <c r="DLS80" s="609"/>
      <c r="DLT80" s="609"/>
      <c r="DLU80" s="609"/>
      <c r="DLV80" s="609"/>
      <c r="DLW80" s="609"/>
      <c r="DLX80" s="609"/>
      <c r="DLY80" s="609"/>
      <c r="DLZ80" s="609"/>
      <c r="DMA80" s="609"/>
      <c r="DMB80" s="609"/>
      <c r="DMC80" s="609"/>
      <c r="DMD80" s="609"/>
      <c r="DME80" s="609"/>
      <c r="DMF80" s="609"/>
      <c r="DMG80" s="609"/>
      <c r="DMH80" s="609"/>
      <c r="DMI80" s="609"/>
      <c r="DMJ80" s="609"/>
      <c r="DMK80" s="609"/>
      <c r="DML80" s="609"/>
      <c r="DMM80" s="609"/>
      <c r="DMN80" s="609"/>
      <c r="DMO80" s="609"/>
      <c r="DMP80" s="609"/>
      <c r="DMQ80" s="609"/>
      <c r="DMR80" s="609"/>
      <c r="DMS80" s="609"/>
      <c r="DMT80" s="609"/>
      <c r="DMU80" s="609"/>
      <c r="DMV80" s="609"/>
      <c r="DMW80" s="609"/>
      <c r="DMX80" s="609"/>
      <c r="DMY80" s="609"/>
      <c r="DMZ80" s="609"/>
      <c r="DNA80" s="609"/>
      <c r="DNB80" s="609"/>
      <c r="DNC80" s="609"/>
      <c r="DND80" s="609"/>
      <c r="DNE80" s="609"/>
      <c r="DNF80" s="609"/>
      <c r="DNG80" s="609"/>
      <c r="DNH80" s="609"/>
      <c r="DNI80" s="609"/>
      <c r="DNJ80" s="609"/>
      <c r="DNK80" s="609"/>
      <c r="DNL80" s="609"/>
      <c r="DNM80" s="609"/>
      <c r="DNN80" s="609"/>
      <c r="DNO80" s="609"/>
      <c r="DNP80" s="609"/>
      <c r="DNQ80" s="609"/>
      <c r="DNR80" s="609"/>
      <c r="DNS80" s="609"/>
      <c r="DNT80" s="609"/>
      <c r="DNU80" s="609"/>
      <c r="DNV80" s="609"/>
      <c r="DNW80" s="609"/>
      <c r="DNX80" s="609"/>
      <c r="DNY80" s="609"/>
      <c r="DNZ80" s="609"/>
      <c r="DOA80" s="609"/>
      <c r="DOB80" s="609"/>
      <c r="DOC80" s="609"/>
      <c r="DOD80" s="609"/>
      <c r="DOE80" s="609"/>
      <c r="DOF80" s="609"/>
      <c r="DOG80" s="609"/>
      <c r="DOH80" s="609"/>
      <c r="DOI80" s="609"/>
      <c r="DOJ80" s="609"/>
      <c r="DOK80" s="609"/>
      <c r="DOL80" s="609"/>
      <c r="DOM80" s="609"/>
      <c r="DON80" s="609"/>
      <c r="DOO80" s="609"/>
      <c r="DOP80" s="609"/>
      <c r="DOQ80" s="609"/>
      <c r="DOR80" s="609"/>
      <c r="DOS80" s="609"/>
      <c r="DOT80" s="609"/>
      <c r="DOU80" s="609"/>
      <c r="DOV80" s="609"/>
      <c r="DOW80" s="609"/>
      <c r="DOX80" s="609"/>
      <c r="DOY80" s="609"/>
      <c r="DOZ80" s="609"/>
      <c r="DPA80" s="609"/>
      <c r="DPB80" s="609"/>
      <c r="DPC80" s="609"/>
      <c r="DPD80" s="609"/>
      <c r="DPE80" s="609"/>
      <c r="DPF80" s="609"/>
      <c r="DPG80" s="609"/>
      <c r="DPH80" s="609"/>
      <c r="DPI80" s="609"/>
      <c r="DPJ80" s="609"/>
      <c r="DPK80" s="609"/>
      <c r="DPL80" s="609"/>
      <c r="DPM80" s="609"/>
      <c r="DPN80" s="609"/>
      <c r="DPO80" s="609"/>
      <c r="DPP80" s="609"/>
      <c r="DPQ80" s="609"/>
      <c r="DPR80" s="609"/>
      <c r="DPS80" s="609"/>
      <c r="DPT80" s="609"/>
      <c r="DPU80" s="609"/>
      <c r="DPV80" s="609"/>
      <c r="DPW80" s="609"/>
      <c r="DPX80" s="609"/>
      <c r="DPY80" s="609"/>
      <c r="DPZ80" s="609"/>
      <c r="DQA80" s="609"/>
      <c r="DQB80" s="609"/>
      <c r="DQC80" s="609"/>
      <c r="DQD80" s="609"/>
      <c r="DQE80" s="609"/>
      <c r="DQF80" s="609"/>
      <c r="DQG80" s="609"/>
      <c r="DQH80" s="609"/>
      <c r="DQI80" s="609"/>
      <c r="DQJ80" s="609"/>
      <c r="DQK80" s="609"/>
      <c r="DQL80" s="609"/>
      <c r="DQM80" s="609"/>
      <c r="DQN80" s="609"/>
      <c r="DQO80" s="609"/>
      <c r="DQP80" s="609"/>
      <c r="DQQ80" s="609"/>
      <c r="DQR80" s="609"/>
      <c r="DQS80" s="609"/>
      <c r="DQT80" s="609"/>
      <c r="DQU80" s="609"/>
      <c r="DQV80" s="609"/>
      <c r="DQW80" s="609"/>
      <c r="DQX80" s="609"/>
      <c r="DQY80" s="609"/>
      <c r="DQZ80" s="609"/>
      <c r="DRA80" s="609"/>
      <c r="DRB80" s="609"/>
      <c r="DRC80" s="609"/>
      <c r="DRD80" s="609"/>
      <c r="DRE80" s="609"/>
      <c r="DRF80" s="609"/>
      <c r="DRG80" s="609"/>
      <c r="DRH80" s="609"/>
      <c r="DRI80" s="609"/>
      <c r="DRJ80" s="609"/>
      <c r="DRK80" s="609"/>
      <c r="DRL80" s="609"/>
      <c r="DRM80" s="609"/>
      <c r="DRN80" s="609"/>
      <c r="DRO80" s="609"/>
      <c r="DRP80" s="609"/>
      <c r="DRQ80" s="609"/>
      <c r="DRR80" s="609"/>
      <c r="DRS80" s="609"/>
      <c r="DRT80" s="609"/>
      <c r="DRU80" s="609"/>
      <c r="DRV80" s="609"/>
      <c r="DRW80" s="609"/>
      <c r="DRX80" s="609"/>
      <c r="DRY80" s="609"/>
      <c r="DRZ80" s="609"/>
      <c r="DSA80" s="609"/>
      <c r="DSB80" s="609"/>
      <c r="DSC80" s="609"/>
      <c r="DSD80" s="609"/>
      <c r="DSE80" s="609"/>
      <c r="DSF80" s="609"/>
      <c r="DSG80" s="609"/>
      <c r="DSH80" s="609"/>
      <c r="DSI80" s="609"/>
      <c r="DSJ80" s="609"/>
      <c r="DSK80" s="609"/>
      <c r="DSL80" s="609"/>
      <c r="DSM80" s="609"/>
      <c r="DSN80" s="609"/>
      <c r="DSO80" s="609"/>
      <c r="DSP80" s="609"/>
      <c r="DSQ80" s="609"/>
      <c r="DSR80" s="609"/>
      <c r="DSS80" s="609"/>
      <c r="DST80" s="609"/>
      <c r="DSU80" s="609"/>
      <c r="DSV80" s="609"/>
      <c r="DSW80" s="609"/>
      <c r="DSX80" s="609"/>
      <c r="DSY80" s="609"/>
      <c r="DSZ80" s="609"/>
      <c r="DTA80" s="609"/>
      <c r="DTB80" s="609"/>
      <c r="DTC80" s="609"/>
      <c r="DTD80" s="609"/>
      <c r="DTE80" s="609"/>
      <c r="DTF80" s="609"/>
      <c r="DTG80" s="609"/>
      <c r="DTH80" s="609"/>
      <c r="DTI80" s="609"/>
      <c r="DTJ80" s="609"/>
      <c r="DTK80" s="609"/>
      <c r="DTL80" s="609"/>
      <c r="DTM80" s="609"/>
      <c r="DTN80" s="609"/>
      <c r="DTO80" s="609"/>
      <c r="DTP80" s="609"/>
      <c r="DTQ80" s="609"/>
      <c r="DTR80" s="609"/>
      <c r="DTS80" s="609"/>
      <c r="DTT80" s="609"/>
      <c r="DTU80" s="609"/>
      <c r="DTV80" s="609"/>
      <c r="DTW80" s="609"/>
      <c r="DTX80" s="609"/>
      <c r="DTY80" s="609"/>
      <c r="DTZ80" s="609"/>
      <c r="DUA80" s="609"/>
      <c r="DUB80" s="609"/>
      <c r="DUC80" s="609"/>
      <c r="DUD80" s="609"/>
      <c r="DUE80" s="609"/>
      <c r="DUF80" s="609"/>
      <c r="DUG80" s="609"/>
      <c r="DUH80" s="609"/>
      <c r="DUI80" s="609"/>
      <c r="DUJ80" s="609"/>
      <c r="DUK80" s="609"/>
      <c r="DUL80" s="609"/>
      <c r="DUM80" s="609"/>
      <c r="DUN80" s="609"/>
      <c r="DUO80" s="609"/>
      <c r="DUP80" s="609"/>
      <c r="DUQ80" s="609"/>
      <c r="DUR80" s="609"/>
      <c r="DUS80" s="609"/>
      <c r="DUT80" s="609"/>
      <c r="DUU80" s="609"/>
      <c r="DUV80" s="609"/>
      <c r="DUW80" s="609"/>
      <c r="DUX80" s="609"/>
      <c r="DUY80" s="609"/>
      <c r="DUZ80" s="609"/>
      <c r="DVA80" s="609"/>
      <c r="DVB80" s="609"/>
      <c r="DVC80" s="609"/>
      <c r="DVD80" s="609"/>
      <c r="DVE80" s="609"/>
      <c r="DVF80" s="609"/>
      <c r="DVG80" s="609"/>
      <c r="DVH80" s="609"/>
      <c r="DVI80" s="609"/>
      <c r="DVJ80" s="609"/>
      <c r="DVK80" s="609"/>
      <c r="DVL80" s="609"/>
      <c r="DVM80" s="609"/>
      <c r="DVN80" s="609"/>
      <c r="DVO80" s="609"/>
      <c r="DVP80" s="609"/>
      <c r="DVQ80" s="609"/>
      <c r="DVR80" s="609"/>
      <c r="DVS80" s="609"/>
      <c r="DVT80" s="609"/>
      <c r="DVU80" s="609"/>
      <c r="DVV80" s="609"/>
      <c r="DVW80" s="609"/>
      <c r="DVX80" s="609"/>
      <c r="DVY80" s="609"/>
      <c r="DVZ80" s="609"/>
      <c r="DWA80" s="609"/>
      <c r="DWB80" s="609"/>
      <c r="DWC80" s="609"/>
      <c r="DWD80" s="609"/>
      <c r="DWE80" s="609"/>
      <c r="DWF80" s="609"/>
      <c r="DWG80" s="609"/>
      <c r="DWH80" s="609"/>
      <c r="DWI80" s="609"/>
      <c r="DWJ80" s="609"/>
      <c r="DWK80" s="609"/>
      <c r="DWL80" s="609"/>
      <c r="DWM80" s="609"/>
      <c r="DWN80" s="609"/>
      <c r="DWO80" s="609"/>
      <c r="DWP80" s="609"/>
      <c r="DWQ80" s="609"/>
      <c r="DWR80" s="609"/>
      <c r="DWS80" s="609"/>
      <c r="DWT80" s="609"/>
      <c r="DWU80" s="609"/>
      <c r="DWV80" s="609"/>
      <c r="DWW80" s="609"/>
      <c r="DWX80" s="609"/>
      <c r="DWY80" s="609"/>
      <c r="DWZ80" s="609"/>
      <c r="DXA80" s="609"/>
      <c r="DXB80" s="609"/>
      <c r="DXC80" s="609"/>
      <c r="DXD80" s="609"/>
      <c r="DXE80" s="609"/>
      <c r="DXF80" s="609"/>
      <c r="DXG80" s="609"/>
      <c r="DXH80" s="609"/>
      <c r="DXI80" s="609"/>
      <c r="DXJ80" s="609"/>
      <c r="DXK80" s="609"/>
      <c r="DXL80" s="609"/>
      <c r="DXM80" s="609"/>
      <c r="DXN80" s="609"/>
      <c r="DXO80" s="609"/>
      <c r="DXP80" s="609"/>
      <c r="DXQ80" s="609"/>
      <c r="DXR80" s="609"/>
      <c r="DXS80" s="609"/>
      <c r="DXT80" s="609"/>
      <c r="DXU80" s="609"/>
      <c r="DXV80" s="609"/>
      <c r="DXW80" s="609"/>
      <c r="DXX80" s="609"/>
      <c r="DXY80" s="609"/>
      <c r="DXZ80" s="609"/>
      <c r="DYA80" s="609"/>
      <c r="DYB80" s="609"/>
      <c r="DYC80" s="609"/>
      <c r="DYD80" s="609"/>
      <c r="DYE80" s="609"/>
      <c r="DYF80" s="609"/>
      <c r="DYG80" s="609"/>
      <c r="DYH80" s="609"/>
      <c r="DYI80" s="609"/>
      <c r="DYJ80" s="609"/>
      <c r="DYK80" s="609"/>
      <c r="DYL80" s="609"/>
      <c r="DYM80" s="609"/>
      <c r="DYN80" s="609"/>
      <c r="DYO80" s="609"/>
      <c r="DYP80" s="609"/>
      <c r="DYQ80" s="609"/>
      <c r="DYR80" s="609"/>
      <c r="DYS80" s="609"/>
      <c r="DYT80" s="609"/>
      <c r="DYU80" s="609"/>
      <c r="DYV80" s="609"/>
      <c r="DYW80" s="609"/>
      <c r="DYX80" s="609"/>
      <c r="DYY80" s="609"/>
      <c r="DYZ80" s="609"/>
      <c r="DZA80" s="609"/>
      <c r="DZB80" s="609"/>
      <c r="DZC80" s="609"/>
      <c r="DZD80" s="609"/>
      <c r="DZE80" s="609"/>
      <c r="DZF80" s="609"/>
      <c r="DZG80" s="609"/>
      <c r="DZH80" s="609"/>
      <c r="DZI80" s="609"/>
      <c r="DZJ80" s="609"/>
      <c r="DZK80" s="609"/>
      <c r="DZL80" s="609"/>
      <c r="DZM80" s="609"/>
      <c r="DZN80" s="609"/>
      <c r="DZO80" s="609"/>
      <c r="DZP80" s="609"/>
      <c r="DZQ80" s="609"/>
      <c r="DZR80" s="609"/>
      <c r="DZS80" s="609"/>
      <c r="DZT80" s="609"/>
      <c r="DZU80" s="609"/>
      <c r="DZV80" s="609"/>
      <c r="DZW80" s="609"/>
      <c r="DZX80" s="609"/>
      <c r="DZY80" s="609"/>
      <c r="DZZ80" s="609"/>
      <c r="EAA80" s="609"/>
      <c r="EAB80" s="609"/>
      <c r="EAC80" s="609"/>
      <c r="EAD80" s="609"/>
      <c r="EAE80" s="609"/>
      <c r="EAF80" s="609"/>
      <c r="EAG80" s="609"/>
      <c r="EAH80" s="609"/>
      <c r="EAI80" s="609"/>
      <c r="EAJ80" s="609"/>
      <c r="EAK80" s="609"/>
      <c r="EAL80" s="609"/>
      <c r="EAM80" s="609"/>
      <c r="EAN80" s="609"/>
      <c r="EAO80" s="609"/>
      <c r="EAP80" s="609"/>
      <c r="EAQ80" s="609"/>
      <c r="EAR80" s="609"/>
      <c r="EAS80" s="609"/>
      <c r="EAT80" s="609"/>
      <c r="EAU80" s="609"/>
      <c r="EAV80" s="609"/>
      <c r="EAW80" s="609"/>
      <c r="EAX80" s="609"/>
      <c r="EAY80" s="609"/>
      <c r="EAZ80" s="609"/>
      <c r="EBA80" s="609"/>
      <c r="EBB80" s="609"/>
      <c r="EBC80" s="609"/>
      <c r="EBD80" s="609"/>
      <c r="EBE80" s="609"/>
      <c r="EBF80" s="609"/>
      <c r="EBG80" s="609"/>
      <c r="EBH80" s="609"/>
      <c r="EBI80" s="609"/>
      <c r="EBJ80" s="609"/>
      <c r="EBK80" s="609"/>
      <c r="EBL80" s="609"/>
      <c r="EBM80" s="609"/>
      <c r="EBN80" s="609"/>
      <c r="EBO80" s="609"/>
      <c r="EBP80" s="609"/>
      <c r="EBQ80" s="609"/>
      <c r="EBR80" s="609"/>
      <c r="EBS80" s="609"/>
      <c r="EBT80" s="609"/>
      <c r="EBU80" s="609"/>
      <c r="EBV80" s="609"/>
      <c r="EBW80" s="609"/>
      <c r="EBX80" s="609"/>
      <c r="EBY80" s="609"/>
      <c r="EBZ80" s="609"/>
      <c r="ECA80" s="609"/>
      <c r="ECB80" s="609"/>
      <c r="ECC80" s="609"/>
      <c r="ECD80" s="609"/>
      <c r="ECE80" s="609"/>
      <c r="ECF80" s="609"/>
      <c r="ECG80" s="609"/>
      <c r="ECH80" s="609"/>
      <c r="ECI80" s="609"/>
      <c r="ECJ80" s="609"/>
      <c r="ECK80" s="609"/>
      <c r="ECL80" s="609"/>
      <c r="ECM80" s="609"/>
      <c r="ECN80" s="609"/>
      <c r="ECO80" s="609"/>
      <c r="ECP80" s="609"/>
      <c r="ECQ80" s="609"/>
      <c r="ECR80" s="609"/>
      <c r="ECS80" s="609"/>
      <c r="ECT80" s="609"/>
      <c r="ECU80" s="609"/>
      <c r="ECV80" s="609"/>
      <c r="ECW80" s="609"/>
      <c r="ECX80" s="609"/>
      <c r="ECY80" s="609"/>
      <c r="ECZ80" s="609"/>
      <c r="EDA80" s="609"/>
      <c r="EDB80" s="609"/>
      <c r="EDC80" s="609"/>
      <c r="EDD80" s="609"/>
      <c r="EDE80" s="609"/>
      <c r="EDF80" s="609"/>
      <c r="EDG80" s="609"/>
      <c r="EDH80" s="609"/>
      <c r="EDI80" s="609"/>
      <c r="EDJ80" s="609"/>
      <c r="EDK80" s="609"/>
      <c r="EDL80" s="609"/>
      <c r="EDM80" s="609"/>
      <c r="EDN80" s="609"/>
      <c r="EDO80" s="609"/>
      <c r="EDP80" s="609"/>
      <c r="EDQ80" s="609"/>
      <c r="EDR80" s="609"/>
      <c r="EDS80" s="609"/>
      <c r="EDT80" s="609"/>
      <c r="EDU80" s="609"/>
      <c r="EDV80" s="609"/>
      <c r="EDW80" s="609"/>
      <c r="EDX80" s="609"/>
      <c r="EDY80" s="609"/>
      <c r="EDZ80" s="609"/>
      <c r="EEA80" s="609"/>
      <c r="EEB80" s="609"/>
      <c r="EEC80" s="609"/>
      <c r="EED80" s="609"/>
      <c r="EEE80" s="609"/>
      <c r="EEF80" s="609"/>
      <c r="EEG80" s="609"/>
      <c r="EEH80" s="609"/>
      <c r="EEI80" s="609"/>
      <c r="EEJ80" s="609"/>
      <c r="EEK80" s="609"/>
      <c r="EEL80" s="609"/>
      <c r="EEM80" s="609"/>
      <c r="EEN80" s="609"/>
      <c r="EEO80" s="609"/>
      <c r="EEP80" s="609"/>
      <c r="EEQ80" s="609"/>
      <c r="EER80" s="609"/>
      <c r="EES80" s="609"/>
      <c r="EET80" s="609"/>
      <c r="EEU80" s="609"/>
      <c r="EEV80" s="609"/>
      <c r="EEW80" s="609"/>
      <c r="EEX80" s="609"/>
      <c r="EEY80" s="609"/>
      <c r="EEZ80" s="609"/>
      <c r="EFA80" s="609"/>
      <c r="EFB80" s="609"/>
      <c r="EFC80" s="609"/>
      <c r="EFD80" s="609"/>
      <c r="EFE80" s="609"/>
      <c r="EFF80" s="609"/>
      <c r="EFG80" s="609"/>
      <c r="EFH80" s="609"/>
      <c r="EFI80" s="609"/>
      <c r="EFJ80" s="609"/>
      <c r="EFK80" s="609"/>
      <c r="EFL80" s="609"/>
      <c r="EFM80" s="609"/>
      <c r="EFN80" s="609"/>
      <c r="EFO80" s="609"/>
      <c r="EFP80" s="609"/>
      <c r="EFQ80" s="609"/>
      <c r="EFR80" s="609"/>
      <c r="EFS80" s="609"/>
      <c r="EFT80" s="609"/>
      <c r="EFU80" s="609"/>
      <c r="EFV80" s="609"/>
      <c r="EFW80" s="609"/>
      <c r="EFX80" s="609"/>
      <c r="EFY80" s="609"/>
      <c r="EFZ80" s="609"/>
      <c r="EGA80" s="609"/>
      <c r="EGB80" s="609"/>
      <c r="EGC80" s="609"/>
      <c r="EGD80" s="609"/>
      <c r="EGE80" s="609"/>
      <c r="EGF80" s="609"/>
      <c r="EGG80" s="609"/>
      <c r="EGH80" s="609"/>
      <c r="EGI80" s="609"/>
      <c r="EGJ80" s="609"/>
      <c r="EGK80" s="609"/>
      <c r="EGL80" s="609"/>
      <c r="EGM80" s="609"/>
      <c r="EGN80" s="609"/>
      <c r="EGO80" s="609"/>
      <c r="EGP80" s="609"/>
      <c r="EGQ80" s="609"/>
      <c r="EGR80" s="609"/>
      <c r="EGS80" s="609"/>
      <c r="EGT80" s="609"/>
      <c r="EGU80" s="609"/>
      <c r="EGV80" s="609"/>
      <c r="EGW80" s="609"/>
      <c r="EGX80" s="609"/>
      <c r="EGY80" s="609"/>
      <c r="EGZ80" s="609"/>
      <c r="EHA80" s="609"/>
      <c r="EHB80" s="609"/>
      <c r="EHC80" s="609"/>
      <c r="EHD80" s="609"/>
      <c r="EHE80" s="609"/>
      <c r="EHF80" s="609"/>
      <c r="EHG80" s="609"/>
      <c r="EHH80" s="609"/>
      <c r="EHI80" s="609"/>
      <c r="EHJ80" s="609"/>
      <c r="EHK80" s="609"/>
      <c r="EHL80" s="609"/>
      <c r="EHM80" s="609"/>
      <c r="EHN80" s="609"/>
      <c r="EHO80" s="609"/>
      <c r="EHP80" s="609"/>
      <c r="EHQ80" s="609"/>
      <c r="EHR80" s="609"/>
      <c r="EHS80" s="609"/>
      <c r="EHT80" s="609"/>
      <c r="EHU80" s="609"/>
      <c r="EHV80" s="609"/>
      <c r="EHW80" s="609"/>
      <c r="EHX80" s="609"/>
      <c r="EHY80" s="609"/>
      <c r="EHZ80" s="609"/>
      <c r="EIA80" s="609"/>
      <c r="EIB80" s="609"/>
      <c r="EIC80" s="609"/>
      <c r="EID80" s="609"/>
      <c r="EIE80" s="609"/>
      <c r="EIF80" s="609"/>
      <c r="EIG80" s="609"/>
      <c r="EIH80" s="609"/>
      <c r="EII80" s="609"/>
      <c r="EIJ80" s="609"/>
      <c r="EIK80" s="609"/>
      <c r="EIL80" s="609"/>
      <c r="EIM80" s="609"/>
      <c r="EIN80" s="609"/>
      <c r="EIO80" s="609"/>
      <c r="EIP80" s="609"/>
      <c r="EIQ80" s="609"/>
      <c r="EIR80" s="609"/>
      <c r="EIS80" s="609"/>
      <c r="EIT80" s="609"/>
      <c r="EIU80" s="609"/>
      <c r="EIV80" s="609"/>
      <c r="EIW80" s="609"/>
      <c r="EIX80" s="609"/>
      <c r="EIY80" s="609"/>
      <c r="EIZ80" s="609"/>
      <c r="EJA80" s="609"/>
      <c r="EJB80" s="609"/>
      <c r="EJC80" s="609"/>
      <c r="EJD80" s="609"/>
      <c r="EJE80" s="609"/>
      <c r="EJF80" s="609"/>
      <c r="EJG80" s="609"/>
      <c r="EJH80" s="609"/>
      <c r="EJI80" s="609"/>
      <c r="EJJ80" s="609"/>
      <c r="EJK80" s="609"/>
      <c r="EJL80" s="609"/>
      <c r="EJM80" s="609"/>
      <c r="EJN80" s="609"/>
      <c r="EJO80" s="609"/>
      <c r="EJP80" s="609"/>
      <c r="EJQ80" s="609"/>
      <c r="EJR80" s="609"/>
      <c r="EJS80" s="609"/>
      <c r="EJT80" s="609"/>
      <c r="EJU80" s="609"/>
      <c r="EJV80" s="609"/>
      <c r="EJW80" s="609"/>
      <c r="EJX80" s="609"/>
      <c r="EJY80" s="609"/>
      <c r="EJZ80" s="609"/>
      <c r="EKA80" s="609"/>
      <c r="EKB80" s="609"/>
      <c r="EKC80" s="609"/>
      <c r="EKD80" s="609"/>
      <c r="EKE80" s="609"/>
      <c r="EKF80" s="609"/>
      <c r="EKG80" s="609"/>
      <c r="EKH80" s="609"/>
      <c r="EKI80" s="609"/>
      <c r="EKJ80" s="609"/>
      <c r="EKK80" s="609"/>
      <c r="EKL80" s="609"/>
      <c r="EKM80" s="609"/>
      <c r="EKN80" s="609"/>
      <c r="EKO80" s="609"/>
      <c r="EKP80" s="609"/>
      <c r="EKQ80" s="609"/>
      <c r="EKR80" s="609"/>
      <c r="EKS80" s="609"/>
      <c r="EKT80" s="609"/>
      <c r="EKU80" s="609"/>
      <c r="EKV80" s="609"/>
      <c r="EKW80" s="609"/>
      <c r="EKX80" s="609"/>
      <c r="EKY80" s="609"/>
      <c r="EKZ80" s="609"/>
      <c r="ELA80" s="609"/>
      <c r="ELB80" s="609"/>
      <c r="ELC80" s="609"/>
      <c r="ELD80" s="609"/>
      <c r="ELE80" s="609"/>
      <c r="ELF80" s="609"/>
      <c r="ELG80" s="609"/>
      <c r="ELH80" s="609"/>
      <c r="ELI80" s="609"/>
      <c r="ELJ80" s="609"/>
      <c r="ELK80" s="609"/>
      <c r="ELL80" s="609"/>
      <c r="ELM80" s="609"/>
      <c r="ELN80" s="609"/>
      <c r="ELO80" s="609"/>
      <c r="ELP80" s="609"/>
      <c r="ELQ80" s="609"/>
      <c r="ELR80" s="609"/>
      <c r="ELS80" s="609"/>
      <c r="ELT80" s="609"/>
      <c r="ELU80" s="609"/>
      <c r="ELV80" s="609"/>
      <c r="ELW80" s="609"/>
      <c r="ELX80" s="609"/>
      <c r="ELY80" s="609"/>
      <c r="ELZ80" s="609"/>
      <c r="EMA80" s="609"/>
      <c r="EMB80" s="609"/>
      <c r="EMC80" s="609"/>
      <c r="EMD80" s="609"/>
      <c r="EME80" s="609"/>
      <c r="EMF80" s="609"/>
      <c r="EMG80" s="609"/>
      <c r="EMH80" s="609"/>
      <c r="EMI80" s="609"/>
      <c r="EMJ80" s="609"/>
      <c r="EMK80" s="609"/>
      <c r="EML80" s="609"/>
      <c r="EMM80" s="609"/>
      <c r="EMN80" s="609"/>
      <c r="EMO80" s="609"/>
      <c r="EMP80" s="609"/>
      <c r="EMQ80" s="609"/>
      <c r="EMR80" s="609"/>
      <c r="EMS80" s="609"/>
      <c r="EMT80" s="609"/>
      <c r="EMU80" s="609"/>
      <c r="EMV80" s="609"/>
      <c r="EMW80" s="609"/>
      <c r="EMX80" s="609"/>
      <c r="EMY80" s="609"/>
      <c r="EMZ80" s="609"/>
      <c r="ENA80" s="609"/>
      <c r="ENB80" s="609"/>
      <c r="ENC80" s="609"/>
      <c r="END80" s="609"/>
      <c r="ENE80" s="609"/>
      <c r="ENF80" s="609"/>
      <c r="ENG80" s="609"/>
      <c r="ENH80" s="609"/>
      <c r="ENI80" s="609"/>
      <c r="ENJ80" s="609"/>
      <c r="ENK80" s="609"/>
      <c r="ENL80" s="609"/>
      <c r="ENM80" s="609"/>
      <c r="ENN80" s="609"/>
      <c r="ENO80" s="609"/>
      <c r="ENP80" s="609"/>
      <c r="ENQ80" s="609"/>
      <c r="ENR80" s="609"/>
      <c r="ENS80" s="609"/>
      <c r="ENT80" s="609"/>
      <c r="ENU80" s="609"/>
      <c r="ENV80" s="609"/>
      <c r="ENW80" s="609"/>
      <c r="ENX80" s="609"/>
      <c r="ENY80" s="609"/>
      <c r="ENZ80" s="609"/>
      <c r="EOA80" s="609"/>
      <c r="EOB80" s="609"/>
      <c r="EOC80" s="609"/>
      <c r="EOD80" s="609"/>
      <c r="EOE80" s="609"/>
      <c r="EOF80" s="609"/>
      <c r="EOG80" s="609"/>
      <c r="EOH80" s="609"/>
      <c r="EOI80" s="609"/>
      <c r="EOJ80" s="609"/>
      <c r="EOK80" s="609"/>
      <c r="EOL80" s="609"/>
      <c r="EOM80" s="609"/>
      <c r="EON80" s="609"/>
      <c r="EOO80" s="609"/>
      <c r="EOP80" s="609"/>
      <c r="EOQ80" s="609"/>
      <c r="EOR80" s="609"/>
      <c r="EOS80" s="609"/>
      <c r="EOT80" s="609"/>
      <c r="EOU80" s="609"/>
      <c r="EOV80" s="609"/>
      <c r="EOW80" s="609"/>
      <c r="EOX80" s="609"/>
      <c r="EOY80" s="609"/>
      <c r="EOZ80" s="609"/>
      <c r="EPA80" s="609"/>
      <c r="EPB80" s="609"/>
      <c r="EPC80" s="609"/>
      <c r="EPD80" s="609"/>
      <c r="EPE80" s="609"/>
      <c r="EPF80" s="609"/>
      <c r="EPG80" s="609"/>
      <c r="EPH80" s="609"/>
      <c r="EPI80" s="609"/>
      <c r="EPJ80" s="609"/>
      <c r="EPK80" s="609"/>
      <c r="EPL80" s="609"/>
      <c r="EPM80" s="609"/>
      <c r="EPN80" s="609"/>
      <c r="EPO80" s="609"/>
      <c r="EPP80" s="609"/>
      <c r="EPQ80" s="609"/>
      <c r="EPR80" s="609"/>
      <c r="EPS80" s="609"/>
      <c r="EPT80" s="609"/>
      <c r="EPU80" s="609"/>
      <c r="EPV80" s="609"/>
      <c r="EPW80" s="609"/>
      <c r="EPX80" s="609"/>
      <c r="EPY80" s="609"/>
      <c r="EPZ80" s="609"/>
      <c r="EQA80" s="609"/>
      <c r="EQB80" s="609"/>
      <c r="EQC80" s="609"/>
      <c r="EQD80" s="609"/>
      <c r="EQE80" s="609"/>
      <c r="EQF80" s="609"/>
      <c r="EQG80" s="609"/>
      <c r="EQH80" s="609"/>
      <c r="EQI80" s="609"/>
      <c r="EQJ80" s="609"/>
      <c r="EQK80" s="609"/>
      <c r="EQL80" s="609"/>
      <c r="EQM80" s="609"/>
      <c r="EQN80" s="609"/>
      <c r="EQO80" s="609"/>
      <c r="EQP80" s="609"/>
      <c r="EQQ80" s="609"/>
      <c r="EQR80" s="609"/>
      <c r="EQS80" s="609"/>
      <c r="EQT80" s="609"/>
      <c r="EQU80" s="609"/>
      <c r="EQV80" s="609"/>
      <c r="EQW80" s="609"/>
      <c r="EQX80" s="609"/>
      <c r="EQY80" s="609"/>
      <c r="EQZ80" s="609"/>
      <c r="ERA80" s="609"/>
      <c r="ERB80" s="609"/>
      <c r="ERC80" s="609"/>
      <c r="ERD80" s="609"/>
      <c r="ERE80" s="609"/>
      <c r="ERF80" s="609"/>
      <c r="ERG80" s="609"/>
      <c r="ERH80" s="609"/>
      <c r="ERI80" s="609"/>
      <c r="ERJ80" s="609"/>
      <c r="ERK80" s="609"/>
      <c r="ERL80" s="609"/>
      <c r="ERM80" s="609"/>
      <c r="ERN80" s="609"/>
      <c r="ERO80" s="609"/>
      <c r="ERP80" s="609"/>
      <c r="ERQ80" s="609"/>
      <c r="ERR80" s="609"/>
      <c r="ERS80" s="609"/>
      <c r="ERT80" s="609"/>
      <c r="ERU80" s="609"/>
      <c r="ERV80" s="609"/>
      <c r="ERW80" s="609"/>
      <c r="ERX80" s="609"/>
      <c r="ERY80" s="609"/>
      <c r="ERZ80" s="609"/>
      <c r="ESA80" s="609"/>
      <c r="ESB80" s="609"/>
      <c r="ESC80" s="609"/>
      <c r="ESD80" s="609"/>
      <c r="ESE80" s="609"/>
      <c r="ESF80" s="609"/>
      <c r="ESG80" s="609"/>
      <c r="ESH80" s="609"/>
      <c r="ESI80" s="609"/>
      <c r="ESJ80" s="609"/>
      <c r="ESK80" s="609"/>
      <c r="ESL80" s="609"/>
      <c r="ESM80" s="609"/>
      <c r="ESN80" s="609"/>
      <c r="ESO80" s="609"/>
      <c r="ESP80" s="609"/>
      <c r="ESQ80" s="609"/>
      <c r="ESR80" s="609"/>
      <c r="ESS80" s="609"/>
      <c r="EST80" s="609"/>
      <c r="ESU80" s="609"/>
      <c r="ESV80" s="609"/>
      <c r="ESW80" s="609"/>
      <c r="ESX80" s="609"/>
      <c r="ESY80" s="609"/>
      <c r="ESZ80" s="609"/>
      <c r="ETA80" s="609"/>
      <c r="ETB80" s="609"/>
      <c r="ETC80" s="609"/>
      <c r="ETD80" s="609"/>
      <c r="ETE80" s="609"/>
      <c r="ETF80" s="609"/>
      <c r="ETG80" s="609"/>
      <c r="ETH80" s="609"/>
      <c r="ETI80" s="609"/>
      <c r="ETJ80" s="609"/>
      <c r="ETK80" s="609"/>
      <c r="ETL80" s="609"/>
      <c r="ETM80" s="609"/>
      <c r="ETN80" s="609"/>
      <c r="ETO80" s="609"/>
      <c r="ETP80" s="609"/>
      <c r="ETQ80" s="609"/>
      <c r="ETR80" s="609"/>
      <c r="ETS80" s="609"/>
      <c r="ETT80" s="609"/>
      <c r="ETU80" s="609"/>
      <c r="ETV80" s="609"/>
      <c r="ETW80" s="609"/>
      <c r="ETX80" s="609"/>
      <c r="ETY80" s="609"/>
      <c r="ETZ80" s="609"/>
      <c r="EUA80" s="609"/>
      <c r="EUB80" s="609"/>
      <c r="EUC80" s="609"/>
      <c r="EUD80" s="609"/>
      <c r="EUE80" s="609"/>
      <c r="EUF80" s="609"/>
      <c r="EUG80" s="609"/>
      <c r="EUH80" s="609"/>
      <c r="EUI80" s="609"/>
      <c r="EUJ80" s="609"/>
      <c r="EUK80" s="609"/>
      <c r="EUL80" s="609"/>
      <c r="EUM80" s="609"/>
      <c r="EUN80" s="609"/>
      <c r="EUO80" s="609"/>
      <c r="EUP80" s="609"/>
      <c r="EUQ80" s="609"/>
      <c r="EUR80" s="609"/>
      <c r="EUS80" s="609"/>
      <c r="EUT80" s="609"/>
      <c r="EUU80" s="609"/>
      <c r="EUV80" s="609"/>
      <c r="EUW80" s="609"/>
      <c r="EUX80" s="609"/>
      <c r="EUY80" s="609"/>
      <c r="EUZ80" s="609"/>
      <c r="EVA80" s="609"/>
      <c r="EVB80" s="609"/>
      <c r="EVC80" s="609"/>
      <c r="EVD80" s="609"/>
      <c r="EVE80" s="609"/>
      <c r="EVF80" s="609"/>
      <c r="EVG80" s="609"/>
      <c r="EVH80" s="609"/>
      <c r="EVI80" s="609"/>
      <c r="EVJ80" s="609"/>
      <c r="EVK80" s="609"/>
      <c r="EVL80" s="609"/>
      <c r="EVM80" s="609"/>
      <c r="EVN80" s="609"/>
      <c r="EVO80" s="609"/>
      <c r="EVP80" s="609"/>
      <c r="EVQ80" s="609"/>
      <c r="EVR80" s="609"/>
      <c r="EVS80" s="609"/>
      <c r="EVT80" s="609"/>
      <c r="EVU80" s="609"/>
      <c r="EVV80" s="609"/>
      <c r="EVW80" s="609"/>
      <c r="EVX80" s="609"/>
      <c r="EVY80" s="609"/>
      <c r="EVZ80" s="609"/>
      <c r="EWA80" s="609"/>
      <c r="EWB80" s="609"/>
      <c r="EWC80" s="609"/>
      <c r="EWD80" s="609"/>
      <c r="EWE80" s="609"/>
      <c r="EWF80" s="609"/>
      <c r="EWG80" s="609"/>
      <c r="EWH80" s="609"/>
      <c r="EWI80" s="609"/>
      <c r="EWJ80" s="609"/>
      <c r="EWK80" s="609"/>
      <c r="EWL80" s="609"/>
      <c r="EWM80" s="609"/>
      <c r="EWN80" s="609"/>
      <c r="EWO80" s="609"/>
      <c r="EWP80" s="609"/>
      <c r="EWQ80" s="609"/>
      <c r="EWR80" s="609"/>
      <c r="EWS80" s="609"/>
      <c r="EWT80" s="609"/>
      <c r="EWU80" s="609"/>
      <c r="EWV80" s="609"/>
      <c r="EWW80" s="609"/>
      <c r="EWX80" s="609"/>
      <c r="EWY80" s="609"/>
      <c r="EWZ80" s="609"/>
      <c r="EXA80" s="609"/>
      <c r="EXB80" s="609"/>
      <c r="EXC80" s="609"/>
      <c r="EXD80" s="609"/>
      <c r="EXE80" s="609"/>
      <c r="EXF80" s="609"/>
      <c r="EXG80" s="609"/>
      <c r="EXH80" s="609"/>
      <c r="EXI80" s="609"/>
      <c r="EXJ80" s="609"/>
      <c r="EXK80" s="609"/>
      <c r="EXL80" s="609"/>
      <c r="EXM80" s="609"/>
      <c r="EXN80" s="609"/>
      <c r="EXO80" s="609"/>
      <c r="EXP80" s="609"/>
      <c r="EXQ80" s="609"/>
      <c r="EXR80" s="609"/>
      <c r="EXS80" s="609"/>
      <c r="EXT80" s="609"/>
      <c r="EXU80" s="609"/>
      <c r="EXV80" s="609"/>
      <c r="EXW80" s="609"/>
      <c r="EXX80" s="609"/>
      <c r="EXY80" s="609"/>
      <c r="EXZ80" s="609"/>
      <c r="EYA80" s="609"/>
      <c r="EYB80" s="609"/>
      <c r="EYC80" s="609"/>
      <c r="EYD80" s="609"/>
      <c r="EYE80" s="609"/>
      <c r="EYF80" s="609"/>
      <c r="EYG80" s="609"/>
      <c r="EYH80" s="609"/>
      <c r="EYI80" s="609"/>
      <c r="EYJ80" s="609"/>
      <c r="EYK80" s="609"/>
      <c r="EYL80" s="609"/>
      <c r="EYM80" s="609"/>
      <c r="EYN80" s="609"/>
      <c r="EYO80" s="609"/>
      <c r="EYP80" s="609"/>
      <c r="EYQ80" s="609"/>
      <c r="EYR80" s="609"/>
      <c r="EYS80" s="609"/>
      <c r="EYT80" s="609"/>
      <c r="EYU80" s="609"/>
      <c r="EYV80" s="609"/>
      <c r="EYW80" s="609"/>
      <c r="EYX80" s="609"/>
      <c r="EYY80" s="609"/>
      <c r="EYZ80" s="609"/>
      <c r="EZA80" s="609"/>
      <c r="EZB80" s="609"/>
      <c r="EZC80" s="609"/>
      <c r="EZD80" s="609"/>
      <c r="EZE80" s="609"/>
      <c r="EZF80" s="609"/>
      <c r="EZG80" s="609"/>
      <c r="EZH80" s="609"/>
      <c r="EZI80" s="609"/>
      <c r="EZJ80" s="609"/>
      <c r="EZK80" s="609"/>
      <c r="EZL80" s="609"/>
      <c r="EZM80" s="609"/>
      <c r="EZN80" s="609"/>
      <c r="EZO80" s="609"/>
      <c r="EZP80" s="609"/>
      <c r="EZQ80" s="609"/>
      <c r="EZR80" s="609"/>
      <c r="EZS80" s="609"/>
      <c r="EZT80" s="609"/>
      <c r="EZU80" s="609"/>
      <c r="EZV80" s="609"/>
      <c r="EZW80" s="609"/>
      <c r="EZX80" s="609"/>
      <c r="EZY80" s="609"/>
      <c r="EZZ80" s="609"/>
      <c r="FAA80" s="609"/>
      <c r="FAB80" s="609"/>
      <c r="FAC80" s="609"/>
      <c r="FAD80" s="609"/>
      <c r="FAE80" s="609"/>
      <c r="FAF80" s="609"/>
      <c r="FAG80" s="609"/>
      <c r="FAH80" s="609"/>
      <c r="FAI80" s="609"/>
      <c r="FAJ80" s="609"/>
      <c r="FAK80" s="609"/>
      <c r="FAL80" s="609"/>
      <c r="FAM80" s="609"/>
      <c r="FAN80" s="609"/>
      <c r="FAO80" s="609"/>
      <c r="FAP80" s="609"/>
      <c r="FAQ80" s="609"/>
      <c r="FAR80" s="609"/>
      <c r="FAS80" s="609"/>
      <c r="FAT80" s="609"/>
      <c r="FAU80" s="609"/>
      <c r="FAV80" s="609"/>
      <c r="FAW80" s="609"/>
      <c r="FAX80" s="609"/>
      <c r="FAY80" s="609"/>
      <c r="FAZ80" s="609"/>
      <c r="FBA80" s="609"/>
      <c r="FBB80" s="609"/>
      <c r="FBC80" s="609"/>
      <c r="FBD80" s="609"/>
      <c r="FBE80" s="609"/>
      <c r="FBF80" s="609"/>
      <c r="FBG80" s="609"/>
      <c r="FBH80" s="609"/>
      <c r="FBI80" s="609"/>
      <c r="FBJ80" s="609"/>
      <c r="FBK80" s="609"/>
      <c r="FBL80" s="609"/>
      <c r="FBM80" s="609"/>
      <c r="FBN80" s="609"/>
      <c r="FBO80" s="609"/>
      <c r="FBP80" s="609"/>
      <c r="FBQ80" s="609"/>
      <c r="FBR80" s="609"/>
      <c r="FBS80" s="609"/>
      <c r="FBT80" s="609"/>
      <c r="FBU80" s="609"/>
      <c r="FBV80" s="609"/>
      <c r="FBW80" s="609"/>
      <c r="FBX80" s="609"/>
      <c r="FBY80" s="609"/>
      <c r="FBZ80" s="609"/>
      <c r="FCA80" s="609"/>
      <c r="FCB80" s="609"/>
      <c r="FCC80" s="609"/>
      <c r="FCD80" s="609"/>
      <c r="FCE80" s="609"/>
      <c r="FCF80" s="609"/>
      <c r="FCG80" s="609"/>
      <c r="FCH80" s="609"/>
      <c r="FCI80" s="609"/>
      <c r="FCJ80" s="609"/>
      <c r="FCK80" s="609"/>
      <c r="FCL80" s="609"/>
      <c r="FCM80" s="609"/>
      <c r="FCN80" s="609"/>
      <c r="FCO80" s="609"/>
      <c r="FCP80" s="609"/>
      <c r="FCQ80" s="609"/>
      <c r="FCR80" s="609"/>
      <c r="FCS80" s="609"/>
      <c r="FCT80" s="609"/>
      <c r="FCU80" s="609"/>
      <c r="FCV80" s="609"/>
      <c r="FCW80" s="609"/>
      <c r="FCX80" s="609"/>
      <c r="FCY80" s="609"/>
      <c r="FCZ80" s="609"/>
      <c r="FDA80" s="609"/>
      <c r="FDB80" s="609"/>
      <c r="FDC80" s="609"/>
      <c r="FDD80" s="609"/>
      <c r="FDE80" s="609"/>
      <c r="FDF80" s="609"/>
      <c r="FDG80" s="609"/>
      <c r="FDH80" s="609"/>
      <c r="FDI80" s="609"/>
      <c r="FDJ80" s="609"/>
      <c r="FDK80" s="609"/>
      <c r="FDL80" s="609"/>
      <c r="FDM80" s="609"/>
      <c r="FDN80" s="609"/>
      <c r="FDO80" s="609"/>
      <c r="FDP80" s="609"/>
      <c r="FDQ80" s="609"/>
      <c r="FDR80" s="609"/>
      <c r="FDS80" s="609"/>
      <c r="FDT80" s="609"/>
      <c r="FDU80" s="609"/>
      <c r="FDV80" s="609"/>
      <c r="FDW80" s="609"/>
      <c r="FDX80" s="609"/>
      <c r="FDY80" s="609"/>
      <c r="FDZ80" s="609"/>
      <c r="FEA80" s="609"/>
      <c r="FEB80" s="609"/>
      <c r="FEC80" s="609"/>
      <c r="FED80" s="609"/>
      <c r="FEE80" s="609"/>
      <c r="FEF80" s="609"/>
      <c r="FEG80" s="609"/>
      <c r="FEH80" s="609"/>
      <c r="FEI80" s="609"/>
      <c r="FEJ80" s="609"/>
      <c r="FEK80" s="609"/>
      <c r="FEL80" s="609"/>
      <c r="FEM80" s="609"/>
      <c r="FEN80" s="609"/>
      <c r="FEO80" s="609"/>
      <c r="FEP80" s="609"/>
      <c r="FEQ80" s="609"/>
      <c r="FER80" s="609"/>
      <c r="FES80" s="609"/>
      <c r="FET80" s="609"/>
      <c r="FEU80" s="609"/>
      <c r="FEV80" s="609"/>
      <c r="FEW80" s="609"/>
      <c r="FEX80" s="609"/>
      <c r="FEY80" s="609"/>
      <c r="FEZ80" s="609"/>
      <c r="FFA80" s="609"/>
      <c r="FFB80" s="609"/>
      <c r="FFC80" s="609"/>
      <c r="FFD80" s="609"/>
      <c r="FFE80" s="609"/>
      <c r="FFF80" s="609"/>
      <c r="FFG80" s="609"/>
      <c r="FFH80" s="609"/>
      <c r="FFI80" s="609"/>
      <c r="FFJ80" s="609"/>
      <c r="FFK80" s="609"/>
      <c r="FFL80" s="609"/>
      <c r="FFM80" s="609"/>
      <c r="FFN80" s="609"/>
      <c r="FFO80" s="609"/>
      <c r="FFP80" s="609"/>
      <c r="FFQ80" s="609"/>
      <c r="FFR80" s="609"/>
      <c r="FFS80" s="609"/>
      <c r="FFT80" s="609"/>
      <c r="FFU80" s="609"/>
      <c r="FFV80" s="609"/>
      <c r="FFW80" s="609"/>
      <c r="FFX80" s="609"/>
      <c r="FFY80" s="609"/>
      <c r="FFZ80" s="609"/>
      <c r="FGA80" s="609"/>
      <c r="FGB80" s="609"/>
      <c r="FGC80" s="609"/>
      <c r="FGD80" s="609"/>
      <c r="FGE80" s="609"/>
      <c r="FGF80" s="609"/>
      <c r="FGG80" s="609"/>
      <c r="FGH80" s="609"/>
      <c r="FGI80" s="609"/>
      <c r="FGJ80" s="609"/>
      <c r="FGK80" s="609"/>
      <c r="FGL80" s="609"/>
      <c r="FGM80" s="609"/>
      <c r="FGN80" s="609"/>
      <c r="FGO80" s="609"/>
      <c r="FGP80" s="609"/>
      <c r="FGQ80" s="609"/>
      <c r="FGR80" s="609"/>
      <c r="FGS80" s="609"/>
      <c r="FGT80" s="609"/>
      <c r="FGU80" s="609"/>
      <c r="FGV80" s="609"/>
      <c r="FGW80" s="609"/>
      <c r="FGX80" s="609"/>
      <c r="FGY80" s="609"/>
      <c r="FGZ80" s="609"/>
      <c r="FHA80" s="609"/>
      <c r="FHB80" s="609"/>
      <c r="FHC80" s="609"/>
      <c r="FHD80" s="609"/>
      <c r="FHE80" s="609"/>
      <c r="FHF80" s="609"/>
      <c r="FHG80" s="609"/>
      <c r="FHH80" s="609"/>
      <c r="FHI80" s="609"/>
      <c r="FHJ80" s="609"/>
      <c r="FHK80" s="609"/>
      <c r="FHL80" s="609"/>
      <c r="FHM80" s="609"/>
      <c r="FHN80" s="609"/>
      <c r="FHO80" s="609"/>
      <c r="FHP80" s="609"/>
      <c r="FHQ80" s="609"/>
      <c r="FHR80" s="609"/>
      <c r="FHS80" s="609"/>
      <c r="FHT80" s="609"/>
      <c r="FHU80" s="609"/>
      <c r="FHV80" s="609"/>
      <c r="FHW80" s="609"/>
      <c r="FHX80" s="609"/>
      <c r="FHY80" s="609"/>
      <c r="FHZ80" s="609"/>
      <c r="FIA80" s="609"/>
      <c r="FIB80" s="609"/>
      <c r="FIC80" s="609"/>
      <c r="FID80" s="609"/>
      <c r="FIE80" s="609"/>
      <c r="FIF80" s="609"/>
      <c r="FIG80" s="609"/>
      <c r="FIH80" s="609"/>
      <c r="FII80" s="609"/>
      <c r="FIJ80" s="609"/>
      <c r="FIK80" s="609"/>
      <c r="FIL80" s="609"/>
      <c r="FIM80" s="609"/>
      <c r="FIN80" s="609"/>
      <c r="FIO80" s="609"/>
      <c r="FIP80" s="609"/>
      <c r="FIQ80" s="609"/>
      <c r="FIR80" s="609"/>
      <c r="FIS80" s="609"/>
      <c r="FIT80" s="609"/>
      <c r="FIU80" s="609"/>
      <c r="FIV80" s="609"/>
      <c r="FIW80" s="609"/>
      <c r="FIX80" s="609"/>
      <c r="FIY80" s="609"/>
      <c r="FIZ80" s="609"/>
      <c r="FJA80" s="609"/>
      <c r="FJB80" s="609"/>
      <c r="FJC80" s="609"/>
      <c r="FJD80" s="609"/>
      <c r="FJE80" s="609"/>
      <c r="FJF80" s="609"/>
      <c r="FJG80" s="609"/>
      <c r="FJH80" s="609"/>
      <c r="FJI80" s="609"/>
      <c r="FJJ80" s="609"/>
      <c r="FJK80" s="609"/>
      <c r="FJL80" s="609"/>
      <c r="FJM80" s="609"/>
      <c r="FJN80" s="609"/>
      <c r="FJO80" s="609"/>
      <c r="FJP80" s="609"/>
      <c r="FJQ80" s="609"/>
      <c r="FJR80" s="609"/>
      <c r="FJS80" s="609"/>
      <c r="FJT80" s="609"/>
      <c r="FJU80" s="609"/>
      <c r="FJV80" s="609"/>
      <c r="FJW80" s="609"/>
      <c r="FJX80" s="609"/>
      <c r="FJY80" s="609"/>
      <c r="FJZ80" s="609"/>
      <c r="FKA80" s="609"/>
      <c r="FKB80" s="609"/>
      <c r="FKC80" s="609"/>
      <c r="FKD80" s="609"/>
      <c r="FKE80" s="609"/>
      <c r="FKF80" s="609"/>
      <c r="FKG80" s="609"/>
      <c r="FKH80" s="609"/>
      <c r="FKI80" s="609"/>
      <c r="FKJ80" s="609"/>
      <c r="FKK80" s="609"/>
      <c r="FKL80" s="609"/>
      <c r="FKM80" s="609"/>
      <c r="FKN80" s="609"/>
      <c r="FKO80" s="609"/>
      <c r="FKP80" s="609"/>
      <c r="FKQ80" s="609"/>
      <c r="FKR80" s="609"/>
      <c r="FKS80" s="609"/>
      <c r="FKT80" s="609"/>
      <c r="FKU80" s="609"/>
      <c r="FKV80" s="609"/>
      <c r="FKW80" s="609"/>
      <c r="FKX80" s="609"/>
      <c r="FKY80" s="609"/>
      <c r="FKZ80" s="609"/>
      <c r="FLA80" s="609"/>
      <c r="FLB80" s="609"/>
      <c r="FLC80" s="609"/>
      <c r="FLD80" s="609"/>
      <c r="FLE80" s="609"/>
      <c r="FLF80" s="609"/>
      <c r="FLG80" s="609"/>
      <c r="FLH80" s="609"/>
      <c r="FLI80" s="609"/>
      <c r="FLJ80" s="609"/>
      <c r="FLK80" s="609"/>
      <c r="FLL80" s="609"/>
      <c r="FLM80" s="609"/>
      <c r="FLN80" s="609"/>
      <c r="FLO80" s="609"/>
      <c r="FLP80" s="609"/>
      <c r="FLQ80" s="609"/>
      <c r="FLR80" s="609"/>
      <c r="FLS80" s="609"/>
      <c r="FLT80" s="609"/>
      <c r="FLU80" s="609"/>
      <c r="FLV80" s="609"/>
      <c r="FLW80" s="609"/>
      <c r="FLX80" s="609"/>
      <c r="FLY80" s="609"/>
      <c r="FLZ80" s="609"/>
      <c r="FMA80" s="609"/>
      <c r="FMB80" s="609"/>
      <c r="FMC80" s="609"/>
      <c r="FMD80" s="609"/>
      <c r="FME80" s="609"/>
      <c r="FMF80" s="609"/>
      <c r="FMG80" s="609"/>
      <c r="FMH80" s="609"/>
      <c r="FMI80" s="609"/>
      <c r="FMJ80" s="609"/>
      <c r="FMK80" s="609"/>
      <c r="FML80" s="609"/>
      <c r="FMM80" s="609"/>
      <c r="FMN80" s="609"/>
      <c r="FMO80" s="609"/>
      <c r="FMP80" s="609"/>
      <c r="FMQ80" s="609"/>
      <c r="FMR80" s="609"/>
      <c r="FMS80" s="609"/>
      <c r="FMT80" s="609"/>
      <c r="FMU80" s="609"/>
      <c r="FMV80" s="609"/>
      <c r="FMW80" s="609"/>
      <c r="FMX80" s="609"/>
      <c r="FMY80" s="609"/>
      <c r="FMZ80" s="609"/>
      <c r="FNA80" s="609"/>
      <c r="FNB80" s="609"/>
      <c r="FNC80" s="609"/>
      <c r="FND80" s="609"/>
      <c r="FNE80" s="609"/>
      <c r="FNF80" s="609"/>
      <c r="FNG80" s="609"/>
      <c r="FNH80" s="609"/>
      <c r="FNI80" s="609"/>
      <c r="FNJ80" s="609"/>
      <c r="FNK80" s="609"/>
      <c r="FNL80" s="609"/>
      <c r="FNM80" s="609"/>
      <c r="FNN80" s="609"/>
      <c r="FNO80" s="609"/>
      <c r="FNP80" s="609"/>
      <c r="FNQ80" s="609"/>
      <c r="FNR80" s="609"/>
      <c r="FNS80" s="609"/>
      <c r="FNT80" s="609"/>
      <c r="FNU80" s="609"/>
      <c r="FNV80" s="609"/>
      <c r="FNW80" s="609"/>
      <c r="FNX80" s="609"/>
      <c r="FNY80" s="609"/>
      <c r="FNZ80" s="609"/>
      <c r="FOA80" s="609"/>
      <c r="FOB80" s="609"/>
      <c r="FOC80" s="609"/>
      <c r="FOD80" s="609"/>
      <c r="FOE80" s="609"/>
      <c r="FOF80" s="609"/>
      <c r="FOG80" s="609"/>
      <c r="FOH80" s="609"/>
      <c r="FOI80" s="609"/>
      <c r="FOJ80" s="609"/>
      <c r="FOK80" s="609"/>
      <c r="FOL80" s="609"/>
      <c r="FOM80" s="609"/>
      <c r="FON80" s="609"/>
      <c r="FOO80" s="609"/>
      <c r="FOP80" s="609"/>
      <c r="FOQ80" s="609"/>
      <c r="FOR80" s="609"/>
      <c r="FOS80" s="609"/>
      <c r="FOT80" s="609"/>
      <c r="FOU80" s="609"/>
      <c r="FOV80" s="609"/>
      <c r="FOW80" s="609"/>
      <c r="FOX80" s="609"/>
      <c r="FOY80" s="609"/>
      <c r="FOZ80" s="609"/>
      <c r="FPA80" s="609"/>
      <c r="FPB80" s="609"/>
      <c r="FPC80" s="609"/>
      <c r="FPD80" s="609"/>
      <c r="FPE80" s="609"/>
      <c r="FPF80" s="609"/>
      <c r="FPG80" s="609"/>
      <c r="FPH80" s="609"/>
      <c r="FPI80" s="609"/>
      <c r="FPJ80" s="609"/>
      <c r="FPK80" s="609"/>
      <c r="FPL80" s="609"/>
      <c r="FPM80" s="609"/>
      <c r="FPN80" s="609"/>
      <c r="FPO80" s="609"/>
      <c r="FPP80" s="609"/>
      <c r="FPQ80" s="609"/>
      <c r="FPR80" s="609"/>
      <c r="FPS80" s="609"/>
      <c r="FPT80" s="609"/>
      <c r="FPU80" s="609"/>
      <c r="FPV80" s="609"/>
      <c r="FPW80" s="609"/>
      <c r="FPX80" s="609"/>
      <c r="FPY80" s="609"/>
      <c r="FPZ80" s="609"/>
      <c r="FQA80" s="609"/>
      <c r="FQB80" s="609"/>
      <c r="FQC80" s="609"/>
      <c r="FQD80" s="609"/>
      <c r="FQE80" s="609"/>
      <c r="FQF80" s="609"/>
      <c r="FQG80" s="609"/>
      <c r="FQH80" s="609"/>
      <c r="FQI80" s="609"/>
      <c r="FQJ80" s="609"/>
      <c r="FQK80" s="609"/>
      <c r="FQL80" s="609"/>
      <c r="FQM80" s="609"/>
      <c r="FQN80" s="609"/>
      <c r="FQO80" s="609"/>
      <c r="FQP80" s="609"/>
      <c r="FQQ80" s="609"/>
      <c r="FQR80" s="609"/>
      <c r="FQS80" s="609"/>
      <c r="FQT80" s="609"/>
      <c r="FQU80" s="609"/>
      <c r="FQV80" s="609"/>
      <c r="FQW80" s="609"/>
      <c r="FQX80" s="609"/>
      <c r="FQY80" s="609"/>
      <c r="FQZ80" s="609"/>
      <c r="FRA80" s="609"/>
      <c r="FRB80" s="609"/>
      <c r="FRC80" s="609"/>
      <c r="FRD80" s="609"/>
      <c r="FRE80" s="609"/>
      <c r="FRF80" s="609"/>
      <c r="FRG80" s="609"/>
      <c r="FRH80" s="609"/>
      <c r="FRI80" s="609"/>
      <c r="FRJ80" s="609"/>
      <c r="FRK80" s="609"/>
      <c r="FRL80" s="609"/>
      <c r="FRM80" s="609"/>
      <c r="FRN80" s="609"/>
      <c r="FRO80" s="609"/>
      <c r="FRP80" s="609"/>
      <c r="FRQ80" s="609"/>
      <c r="FRR80" s="609"/>
      <c r="FRS80" s="609"/>
      <c r="FRT80" s="609"/>
      <c r="FRU80" s="609"/>
      <c r="FRV80" s="609"/>
      <c r="FRW80" s="609"/>
      <c r="FRX80" s="609"/>
      <c r="FRY80" s="609"/>
      <c r="FRZ80" s="609"/>
      <c r="FSA80" s="609"/>
      <c r="FSB80" s="609"/>
      <c r="FSC80" s="609"/>
      <c r="FSD80" s="609"/>
      <c r="FSE80" s="609"/>
      <c r="FSF80" s="609"/>
      <c r="FSG80" s="609"/>
      <c r="FSH80" s="609"/>
      <c r="FSI80" s="609"/>
      <c r="FSJ80" s="609"/>
      <c r="FSK80" s="609"/>
      <c r="FSL80" s="609"/>
      <c r="FSM80" s="609"/>
      <c r="FSN80" s="609"/>
      <c r="FSO80" s="609"/>
      <c r="FSP80" s="609"/>
      <c r="FSQ80" s="609"/>
      <c r="FSR80" s="609"/>
      <c r="FSS80" s="609"/>
      <c r="FST80" s="609"/>
      <c r="FSU80" s="609"/>
      <c r="FSV80" s="609"/>
      <c r="FSW80" s="609"/>
      <c r="FSX80" s="609"/>
      <c r="FSY80" s="609"/>
      <c r="FSZ80" s="609"/>
      <c r="FTA80" s="609"/>
      <c r="FTB80" s="609"/>
      <c r="FTC80" s="609"/>
      <c r="FTD80" s="609"/>
      <c r="FTE80" s="609"/>
      <c r="FTF80" s="609"/>
      <c r="FTG80" s="609"/>
      <c r="FTH80" s="609"/>
      <c r="FTI80" s="609"/>
      <c r="FTJ80" s="609"/>
      <c r="FTK80" s="609"/>
      <c r="FTL80" s="609"/>
      <c r="FTM80" s="609"/>
      <c r="FTN80" s="609"/>
      <c r="FTO80" s="609"/>
      <c r="FTP80" s="609"/>
      <c r="FTQ80" s="609"/>
      <c r="FTR80" s="609"/>
      <c r="FTS80" s="609"/>
      <c r="FTT80" s="609"/>
      <c r="FTU80" s="609"/>
      <c r="FTV80" s="609"/>
      <c r="FTW80" s="609"/>
      <c r="FTX80" s="609"/>
      <c r="FTY80" s="609"/>
      <c r="FTZ80" s="609"/>
      <c r="FUA80" s="609"/>
      <c r="FUB80" s="609"/>
      <c r="FUC80" s="609"/>
      <c r="FUD80" s="609"/>
      <c r="FUE80" s="609"/>
      <c r="FUF80" s="609"/>
      <c r="FUG80" s="609"/>
      <c r="FUH80" s="609"/>
      <c r="FUI80" s="609"/>
      <c r="FUJ80" s="609"/>
      <c r="FUK80" s="609"/>
      <c r="FUL80" s="609"/>
      <c r="FUM80" s="609"/>
      <c r="FUN80" s="609"/>
      <c r="FUO80" s="609"/>
      <c r="FUP80" s="609"/>
      <c r="FUQ80" s="609"/>
      <c r="FUR80" s="609"/>
      <c r="FUS80" s="609"/>
      <c r="FUT80" s="609"/>
      <c r="FUU80" s="609"/>
      <c r="FUV80" s="609"/>
      <c r="FUW80" s="609"/>
      <c r="FUX80" s="609"/>
      <c r="FUY80" s="609"/>
      <c r="FUZ80" s="609"/>
      <c r="FVA80" s="609"/>
      <c r="FVB80" s="609"/>
      <c r="FVC80" s="609"/>
      <c r="FVD80" s="609"/>
      <c r="FVE80" s="609"/>
      <c r="FVF80" s="609"/>
      <c r="FVG80" s="609"/>
      <c r="FVH80" s="609"/>
      <c r="FVI80" s="609"/>
      <c r="FVJ80" s="609"/>
      <c r="FVK80" s="609"/>
      <c r="FVL80" s="609"/>
      <c r="FVM80" s="609"/>
      <c r="FVN80" s="609"/>
      <c r="FVO80" s="609"/>
      <c r="FVP80" s="609"/>
      <c r="FVQ80" s="609"/>
      <c r="FVR80" s="609"/>
      <c r="FVS80" s="609"/>
      <c r="FVT80" s="609"/>
      <c r="FVU80" s="609"/>
      <c r="FVV80" s="609"/>
      <c r="FVW80" s="609"/>
      <c r="FVX80" s="609"/>
      <c r="FVY80" s="609"/>
      <c r="FVZ80" s="609"/>
      <c r="FWA80" s="609"/>
      <c r="FWB80" s="609"/>
      <c r="FWC80" s="609"/>
      <c r="FWD80" s="609"/>
      <c r="FWE80" s="609"/>
      <c r="FWF80" s="609"/>
      <c r="FWG80" s="609"/>
      <c r="FWH80" s="609"/>
      <c r="FWI80" s="609"/>
      <c r="FWJ80" s="609"/>
      <c r="FWK80" s="609"/>
      <c r="FWL80" s="609"/>
      <c r="FWM80" s="609"/>
      <c r="FWN80" s="609"/>
      <c r="FWO80" s="609"/>
      <c r="FWP80" s="609"/>
      <c r="FWQ80" s="609"/>
      <c r="FWR80" s="609"/>
      <c r="FWS80" s="609"/>
      <c r="FWT80" s="609"/>
      <c r="FWU80" s="609"/>
      <c r="FWV80" s="609"/>
      <c r="FWW80" s="609"/>
      <c r="FWX80" s="609"/>
      <c r="FWY80" s="609"/>
      <c r="FWZ80" s="609"/>
      <c r="FXA80" s="609"/>
      <c r="FXB80" s="609"/>
      <c r="FXC80" s="609"/>
      <c r="FXD80" s="609"/>
      <c r="FXE80" s="609"/>
      <c r="FXF80" s="609"/>
      <c r="FXG80" s="609"/>
      <c r="FXH80" s="609"/>
      <c r="FXI80" s="609"/>
      <c r="FXJ80" s="609"/>
      <c r="FXK80" s="609"/>
      <c r="FXL80" s="609"/>
      <c r="FXM80" s="609"/>
      <c r="FXN80" s="609"/>
      <c r="FXO80" s="609"/>
      <c r="FXP80" s="609"/>
      <c r="FXQ80" s="609"/>
      <c r="FXR80" s="609"/>
      <c r="FXS80" s="609"/>
      <c r="FXT80" s="609"/>
      <c r="FXU80" s="609"/>
      <c r="FXV80" s="609"/>
      <c r="FXW80" s="609"/>
      <c r="FXX80" s="609"/>
      <c r="FXY80" s="609"/>
      <c r="FXZ80" s="609"/>
      <c r="FYA80" s="609"/>
      <c r="FYB80" s="609"/>
      <c r="FYC80" s="609"/>
      <c r="FYD80" s="609"/>
      <c r="FYE80" s="609"/>
      <c r="FYF80" s="609"/>
      <c r="FYG80" s="609"/>
      <c r="FYH80" s="609"/>
      <c r="FYI80" s="609"/>
      <c r="FYJ80" s="609"/>
      <c r="FYK80" s="609"/>
      <c r="FYL80" s="609"/>
      <c r="FYM80" s="609"/>
      <c r="FYN80" s="609"/>
      <c r="FYO80" s="609"/>
      <c r="FYP80" s="609"/>
      <c r="FYQ80" s="609"/>
      <c r="FYR80" s="609"/>
      <c r="FYS80" s="609"/>
      <c r="FYT80" s="609"/>
      <c r="FYU80" s="609"/>
      <c r="FYV80" s="609"/>
      <c r="FYW80" s="609"/>
      <c r="FYX80" s="609"/>
      <c r="FYY80" s="609"/>
      <c r="FYZ80" s="609"/>
      <c r="FZA80" s="609"/>
      <c r="FZB80" s="609"/>
      <c r="FZC80" s="609"/>
      <c r="FZD80" s="609"/>
      <c r="FZE80" s="609"/>
      <c r="FZF80" s="609"/>
      <c r="FZG80" s="609"/>
      <c r="FZH80" s="609"/>
      <c r="FZI80" s="609"/>
      <c r="FZJ80" s="609"/>
      <c r="FZK80" s="609"/>
      <c r="FZL80" s="609"/>
      <c r="FZM80" s="609"/>
      <c r="FZN80" s="609"/>
      <c r="FZO80" s="609"/>
      <c r="FZP80" s="609"/>
      <c r="FZQ80" s="609"/>
      <c r="FZR80" s="609"/>
      <c r="FZS80" s="609"/>
      <c r="FZT80" s="609"/>
      <c r="FZU80" s="609"/>
      <c r="FZV80" s="609"/>
      <c r="FZW80" s="609"/>
      <c r="FZX80" s="609"/>
      <c r="FZY80" s="609"/>
      <c r="FZZ80" s="609"/>
      <c r="GAA80" s="609"/>
      <c r="GAB80" s="609"/>
      <c r="GAC80" s="609"/>
      <c r="GAD80" s="609"/>
      <c r="GAE80" s="609"/>
      <c r="GAF80" s="609"/>
      <c r="GAG80" s="609"/>
      <c r="GAH80" s="609"/>
      <c r="GAI80" s="609"/>
      <c r="GAJ80" s="609"/>
      <c r="GAK80" s="609"/>
      <c r="GAL80" s="609"/>
      <c r="GAM80" s="609"/>
      <c r="GAN80" s="609"/>
      <c r="GAO80" s="609"/>
      <c r="GAP80" s="609"/>
      <c r="GAQ80" s="609"/>
      <c r="GAR80" s="609"/>
      <c r="GAS80" s="609"/>
      <c r="GAT80" s="609"/>
      <c r="GAU80" s="609"/>
      <c r="GAV80" s="609"/>
      <c r="GAW80" s="609"/>
      <c r="GAX80" s="609"/>
      <c r="GAY80" s="609"/>
      <c r="GAZ80" s="609"/>
      <c r="GBA80" s="609"/>
      <c r="GBB80" s="609"/>
      <c r="GBC80" s="609"/>
      <c r="GBD80" s="609"/>
      <c r="GBE80" s="609"/>
      <c r="GBF80" s="609"/>
      <c r="GBG80" s="609"/>
      <c r="GBH80" s="609"/>
      <c r="GBI80" s="609"/>
      <c r="GBJ80" s="609"/>
      <c r="GBK80" s="609"/>
      <c r="GBL80" s="609"/>
      <c r="GBM80" s="609"/>
      <c r="GBN80" s="609"/>
      <c r="GBO80" s="609"/>
      <c r="GBP80" s="609"/>
      <c r="GBQ80" s="609"/>
      <c r="GBR80" s="609"/>
      <c r="GBS80" s="609"/>
      <c r="GBT80" s="609"/>
      <c r="GBU80" s="609"/>
      <c r="GBV80" s="609"/>
      <c r="GBW80" s="609"/>
      <c r="GBX80" s="609"/>
      <c r="GBY80" s="609"/>
      <c r="GBZ80" s="609"/>
      <c r="GCA80" s="609"/>
      <c r="GCB80" s="609"/>
      <c r="GCC80" s="609"/>
      <c r="GCD80" s="609"/>
      <c r="GCE80" s="609"/>
      <c r="GCF80" s="609"/>
      <c r="GCG80" s="609"/>
      <c r="GCH80" s="609"/>
      <c r="GCI80" s="609"/>
      <c r="GCJ80" s="609"/>
      <c r="GCK80" s="609"/>
      <c r="GCL80" s="609"/>
      <c r="GCM80" s="609"/>
      <c r="GCN80" s="609"/>
      <c r="GCO80" s="609"/>
      <c r="GCP80" s="609"/>
      <c r="GCQ80" s="609"/>
      <c r="GCR80" s="609"/>
      <c r="GCS80" s="609"/>
      <c r="GCT80" s="609"/>
      <c r="GCU80" s="609"/>
      <c r="GCV80" s="609"/>
      <c r="GCW80" s="609"/>
      <c r="GCX80" s="609"/>
      <c r="GCY80" s="609"/>
      <c r="GCZ80" s="609"/>
      <c r="GDA80" s="609"/>
      <c r="GDB80" s="609"/>
      <c r="GDC80" s="609"/>
      <c r="GDD80" s="609"/>
      <c r="GDE80" s="609"/>
      <c r="GDF80" s="609"/>
      <c r="GDG80" s="609"/>
      <c r="GDH80" s="609"/>
      <c r="GDI80" s="609"/>
      <c r="GDJ80" s="609"/>
      <c r="GDK80" s="609"/>
      <c r="GDL80" s="609"/>
      <c r="GDM80" s="609"/>
      <c r="GDN80" s="609"/>
      <c r="GDO80" s="609"/>
      <c r="GDP80" s="609"/>
      <c r="GDQ80" s="609"/>
      <c r="GDR80" s="609"/>
      <c r="GDS80" s="609"/>
      <c r="GDT80" s="609"/>
      <c r="GDU80" s="609"/>
      <c r="GDV80" s="609"/>
      <c r="GDW80" s="609"/>
      <c r="GDX80" s="609"/>
      <c r="GDY80" s="609"/>
      <c r="GDZ80" s="609"/>
      <c r="GEA80" s="609"/>
      <c r="GEB80" s="609"/>
      <c r="GEC80" s="609"/>
      <c r="GED80" s="609"/>
      <c r="GEE80" s="609"/>
      <c r="GEF80" s="609"/>
      <c r="GEG80" s="609"/>
      <c r="GEH80" s="609"/>
      <c r="GEI80" s="609"/>
      <c r="GEJ80" s="609"/>
      <c r="GEK80" s="609"/>
      <c r="GEL80" s="609"/>
      <c r="GEM80" s="609"/>
      <c r="GEN80" s="609"/>
      <c r="GEO80" s="609"/>
      <c r="GEP80" s="609"/>
      <c r="GEQ80" s="609"/>
      <c r="GER80" s="609"/>
      <c r="GES80" s="609"/>
      <c r="GET80" s="609"/>
      <c r="GEU80" s="609"/>
      <c r="GEV80" s="609"/>
      <c r="GEW80" s="609"/>
      <c r="GEX80" s="609"/>
      <c r="GEY80" s="609"/>
      <c r="GEZ80" s="609"/>
      <c r="GFA80" s="609"/>
      <c r="GFB80" s="609"/>
      <c r="GFC80" s="609"/>
      <c r="GFD80" s="609"/>
      <c r="GFE80" s="609"/>
      <c r="GFF80" s="609"/>
      <c r="GFG80" s="609"/>
      <c r="GFH80" s="609"/>
      <c r="GFI80" s="609"/>
      <c r="GFJ80" s="609"/>
      <c r="GFK80" s="609"/>
      <c r="GFL80" s="609"/>
      <c r="GFM80" s="609"/>
      <c r="GFN80" s="609"/>
      <c r="GFO80" s="609"/>
      <c r="GFP80" s="609"/>
      <c r="GFQ80" s="609"/>
      <c r="GFR80" s="609"/>
      <c r="GFS80" s="609"/>
      <c r="GFT80" s="609"/>
      <c r="GFU80" s="609"/>
      <c r="GFV80" s="609"/>
      <c r="GFW80" s="609"/>
      <c r="GFX80" s="609"/>
      <c r="GFY80" s="609"/>
      <c r="GFZ80" s="609"/>
      <c r="GGA80" s="609"/>
      <c r="GGB80" s="609"/>
      <c r="GGC80" s="609"/>
      <c r="GGD80" s="609"/>
      <c r="GGE80" s="609"/>
      <c r="GGF80" s="609"/>
      <c r="GGG80" s="609"/>
      <c r="GGH80" s="609"/>
      <c r="GGI80" s="609"/>
      <c r="GGJ80" s="609"/>
      <c r="GGK80" s="609"/>
      <c r="GGL80" s="609"/>
      <c r="GGM80" s="609"/>
      <c r="GGN80" s="609"/>
      <c r="GGO80" s="609"/>
      <c r="GGP80" s="609"/>
      <c r="GGQ80" s="609"/>
      <c r="GGR80" s="609"/>
      <c r="GGS80" s="609"/>
      <c r="GGT80" s="609"/>
      <c r="GGU80" s="609"/>
      <c r="GGV80" s="609"/>
      <c r="GGW80" s="609"/>
      <c r="GGX80" s="609"/>
      <c r="GGY80" s="609"/>
      <c r="GGZ80" s="609"/>
      <c r="GHA80" s="609"/>
      <c r="GHB80" s="609"/>
      <c r="GHC80" s="609"/>
      <c r="GHD80" s="609"/>
      <c r="GHE80" s="609"/>
      <c r="GHF80" s="609"/>
      <c r="GHG80" s="609"/>
      <c r="GHH80" s="609"/>
      <c r="GHI80" s="609"/>
      <c r="GHJ80" s="609"/>
      <c r="GHK80" s="609"/>
      <c r="GHL80" s="609"/>
      <c r="GHM80" s="609"/>
      <c r="GHN80" s="609"/>
      <c r="GHO80" s="609"/>
      <c r="GHP80" s="609"/>
      <c r="GHQ80" s="609"/>
      <c r="GHR80" s="609"/>
      <c r="GHS80" s="609"/>
      <c r="GHT80" s="609"/>
      <c r="GHU80" s="609"/>
      <c r="GHV80" s="609"/>
      <c r="GHW80" s="609"/>
      <c r="GHX80" s="609"/>
      <c r="GHY80" s="609"/>
      <c r="GHZ80" s="609"/>
      <c r="GIA80" s="609"/>
      <c r="GIB80" s="609"/>
      <c r="GIC80" s="609"/>
      <c r="GID80" s="609"/>
      <c r="GIE80" s="609"/>
      <c r="GIF80" s="609"/>
      <c r="GIG80" s="609"/>
      <c r="GIH80" s="609"/>
      <c r="GII80" s="609"/>
      <c r="GIJ80" s="609"/>
      <c r="GIK80" s="609"/>
      <c r="GIL80" s="609"/>
      <c r="GIM80" s="609"/>
      <c r="GIN80" s="609"/>
      <c r="GIO80" s="609"/>
      <c r="GIP80" s="609"/>
      <c r="GIQ80" s="609"/>
      <c r="GIR80" s="609"/>
      <c r="GIS80" s="609"/>
      <c r="GIT80" s="609"/>
      <c r="GIU80" s="609"/>
      <c r="GIV80" s="609"/>
      <c r="GIW80" s="609"/>
      <c r="GIX80" s="609"/>
      <c r="GIY80" s="609"/>
      <c r="GIZ80" s="609"/>
      <c r="GJA80" s="609"/>
      <c r="GJB80" s="609"/>
      <c r="GJC80" s="609"/>
      <c r="GJD80" s="609"/>
      <c r="GJE80" s="609"/>
      <c r="GJF80" s="609"/>
      <c r="GJG80" s="609"/>
      <c r="GJH80" s="609"/>
      <c r="GJI80" s="609"/>
      <c r="GJJ80" s="609"/>
      <c r="GJK80" s="609"/>
      <c r="GJL80" s="609"/>
      <c r="GJM80" s="609"/>
      <c r="GJN80" s="609"/>
      <c r="GJO80" s="609"/>
      <c r="GJP80" s="609"/>
      <c r="GJQ80" s="609"/>
      <c r="GJR80" s="609"/>
      <c r="GJS80" s="609"/>
      <c r="GJT80" s="609"/>
      <c r="GJU80" s="609"/>
      <c r="GJV80" s="609"/>
      <c r="GJW80" s="609"/>
      <c r="GJX80" s="609"/>
      <c r="GJY80" s="609"/>
      <c r="GJZ80" s="609"/>
      <c r="GKA80" s="609"/>
      <c r="GKB80" s="609"/>
      <c r="GKC80" s="609"/>
      <c r="GKD80" s="609"/>
      <c r="GKE80" s="609"/>
      <c r="GKF80" s="609"/>
      <c r="GKG80" s="609"/>
      <c r="GKH80" s="609"/>
      <c r="GKI80" s="609"/>
      <c r="GKJ80" s="609"/>
      <c r="GKK80" s="609"/>
      <c r="GKL80" s="609"/>
      <c r="GKM80" s="609"/>
      <c r="GKN80" s="609"/>
      <c r="GKO80" s="609"/>
      <c r="GKP80" s="609"/>
      <c r="GKQ80" s="609"/>
      <c r="GKR80" s="609"/>
      <c r="GKS80" s="609"/>
      <c r="GKT80" s="609"/>
      <c r="GKU80" s="609"/>
      <c r="GKV80" s="609"/>
      <c r="GKW80" s="609"/>
      <c r="GKX80" s="609"/>
      <c r="GKY80" s="609"/>
      <c r="GKZ80" s="609"/>
      <c r="GLA80" s="609"/>
      <c r="GLB80" s="609"/>
      <c r="GLC80" s="609"/>
      <c r="GLD80" s="609"/>
      <c r="GLE80" s="609"/>
      <c r="GLF80" s="609"/>
      <c r="GLG80" s="609"/>
      <c r="GLH80" s="609"/>
      <c r="GLI80" s="609"/>
      <c r="GLJ80" s="609"/>
      <c r="GLK80" s="609"/>
      <c r="GLL80" s="609"/>
      <c r="GLM80" s="609"/>
      <c r="GLN80" s="609"/>
      <c r="GLO80" s="609"/>
      <c r="GLP80" s="609"/>
      <c r="GLQ80" s="609"/>
      <c r="GLR80" s="609"/>
      <c r="GLS80" s="609"/>
      <c r="GLT80" s="609"/>
      <c r="GLU80" s="609"/>
      <c r="GLV80" s="609"/>
      <c r="GLW80" s="609"/>
      <c r="GLX80" s="609"/>
      <c r="GLY80" s="609"/>
      <c r="GLZ80" s="609"/>
      <c r="GMA80" s="609"/>
      <c r="GMB80" s="609"/>
      <c r="GMC80" s="609"/>
      <c r="GMD80" s="609"/>
      <c r="GME80" s="609"/>
      <c r="GMF80" s="609"/>
      <c r="GMG80" s="609"/>
      <c r="GMH80" s="609"/>
      <c r="GMI80" s="609"/>
      <c r="GMJ80" s="609"/>
      <c r="GMK80" s="609"/>
      <c r="GML80" s="609"/>
      <c r="GMM80" s="609"/>
      <c r="GMN80" s="609"/>
      <c r="GMO80" s="609"/>
      <c r="GMP80" s="609"/>
      <c r="GMQ80" s="609"/>
      <c r="GMR80" s="609"/>
      <c r="GMS80" s="609"/>
      <c r="GMT80" s="609"/>
      <c r="GMU80" s="609"/>
      <c r="GMV80" s="609"/>
      <c r="GMW80" s="609"/>
      <c r="GMX80" s="609"/>
      <c r="GMY80" s="609"/>
      <c r="GMZ80" s="609"/>
      <c r="GNA80" s="609"/>
      <c r="GNB80" s="609"/>
      <c r="GNC80" s="609"/>
      <c r="GND80" s="609"/>
      <c r="GNE80" s="609"/>
      <c r="GNF80" s="609"/>
      <c r="GNG80" s="609"/>
      <c r="GNH80" s="609"/>
      <c r="GNI80" s="609"/>
      <c r="GNJ80" s="609"/>
      <c r="GNK80" s="609"/>
      <c r="GNL80" s="609"/>
      <c r="GNM80" s="609"/>
      <c r="GNN80" s="609"/>
      <c r="GNO80" s="609"/>
      <c r="GNP80" s="609"/>
      <c r="GNQ80" s="609"/>
      <c r="GNR80" s="609"/>
      <c r="GNS80" s="609"/>
      <c r="GNT80" s="609"/>
      <c r="GNU80" s="609"/>
      <c r="GNV80" s="609"/>
      <c r="GNW80" s="609"/>
      <c r="GNX80" s="609"/>
      <c r="GNY80" s="609"/>
      <c r="GNZ80" s="609"/>
      <c r="GOA80" s="609"/>
      <c r="GOB80" s="609"/>
      <c r="GOC80" s="609"/>
      <c r="GOD80" s="609"/>
      <c r="GOE80" s="609"/>
      <c r="GOF80" s="609"/>
      <c r="GOG80" s="609"/>
      <c r="GOH80" s="609"/>
      <c r="GOI80" s="609"/>
      <c r="GOJ80" s="609"/>
      <c r="GOK80" s="609"/>
      <c r="GOL80" s="609"/>
      <c r="GOM80" s="609"/>
      <c r="GON80" s="609"/>
      <c r="GOO80" s="609"/>
      <c r="GOP80" s="609"/>
      <c r="GOQ80" s="609"/>
      <c r="GOR80" s="609"/>
      <c r="GOS80" s="609"/>
      <c r="GOT80" s="609"/>
      <c r="GOU80" s="609"/>
      <c r="GOV80" s="609"/>
      <c r="GOW80" s="609"/>
      <c r="GOX80" s="609"/>
      <c r="GOY80" s="609"/>
      <c r="GOZ80" s="609"/>
      <c r="GPA80" s="609"/>
      <c r="GPB80" s="609"/>
      <c r="GPC80" s="609"/>
      <c r="GPD80" s="609"/>
      <c r="GPE80" s="609"/>
      <c r="GPF80" s="609"/>
      <c r="GPG80" s="609"/>
      <c r="GPH80" s="609"/>
      <c r="GPI80" s="609"/>
      <c r="GPJ80" s="609"/>
      <c r="GPK80" s="609"/>
      <c r="GPL80" s="609"/>
      <c r="GPM80" s="609"/>
      <c r="GPN80" s="609"/>
      <c r="GPO80" s="609"/>
      <c r="GPP80" s="609"/>
      <c r="GPQ80" s="609"/>
      <c r="GPR80" s="609"/>
      <c r="GPS80" s="609"/>
      <c r="GPT80" s="609"/>
      <c r="GPU80" s="609"/>
      <c r="GPV80" s="609"/>
      <c r="GPW80" s="609"/>
      <c r="GPX80" s="609"/>
      <c r="GPY80" s="609"/>
      <c r="GPZ80" s="609"/>
      <c r="GQA80" s="609"/>
      <c r="GQB80" s="609"/>
      <c r="GQC80" s="609"/>
      <c r="GQD80" s="609"/>
      <c r="GQE80" s="609"/>
      <c r="GQF80" s="609"/>
      <c r="GQG80" s="609"/>
      <c r="GQH80" s="609"/>
      <c r="GQI80" s="609"/>
      <c r="GQJ80" s="609"/>
      <c r="GQK80" s="609"/>
      <c r="GQL80" s="609"/>
      <c r="GQM80" s="609"/>
      <c r="GQN80" s="609"/>
      <c r="GQO80" s="609"/>
      <c r="GQP80" s="609"/>
      <c r="GQQ80" s="609"/>
      <c r="GQR80" s="609"/>
      <c r="GQS80" s="609"/>
      <c r="GQT80" s="609"/>
      <c r="GQU80" s="609"/>
      <c r="GQV80" s="609"/>
      <c r="GQW80" s="609"/>
      <c r="GQX80" s="609"/>
      <c r="GQY80" s="609"/>
      <c r="GQZ80" s="609"/>
      <c r="GRA80" s="609"/>
      <c r="GRB80" s="609"/>
      <c r="GRC80" s="609"/>
      <c r="GRD80" s="609"/>
      <c r="GRE80" s="609"/>
      <c r="GRF80" s="609"/>
      <c r="GRG80" s="609"/>
      <c r="GRH80" s="609"/>
      <c r="GRI80" s="609"/>
      <c r="GRJ80" s="609"/>
      <c r="GRK80" s="609"/>
      <c r="GRL80" s="609"/>
      <c r="GRM80" s="609"/>
      <c r="GRN80" s="609"/>
      <c r="GRO80" s="609"/>
      <c r="GRP80" s="609"/>
      <c r="GRQ80" s="609"/>
      <c r="GRR80" s="609"/>
      <c r="GRS80" s="609"/>
      <c r="GRT80" s="609"/>
      <c r="GRU80" s="609"/>
      <c r="GRV80" s="609"/>
      <c r="GRW80" s="609"/>
      <c r="GRX80" s="609"/>
      <c r="GRY80" s="609"/>
      <c r="GRZ80" s="609"/>
      <c r="GSA80" s="609"/>
      <c r="GSB80" s="609"/>
      <c r="GSC80" s="609"/>
      <c r="GSD80" s="609"/>
      <c r="GSE80" s="609"/>
      <c r="GSF80" s="609"/>
      <c r="GSG80" s="609"/>
      <c r="GSH80" s="609"/>
      <c r="GSI80" s="609"/>
      <c r="GSJ80" s="609"/>
      <c r="GSK80" s="609"/>
      <c r="GSL80" s="609"/>
      <c r="GSM80" s="609"/>
      <c r="GSN80" s="609"/>
      <c r="GSO80" s="609"/>
      <c r="GSP80" s="609"/>
      <c r="GSQ80" s="609"/>
      <c r="GSR80" s="609"/>
      <c r="GSS80" s="609"/>
      <c r="GST80" s="609"/>
      <c r="GSU80" s="609"/>
      <c r="GSV80" s="609"/>
      <c r="GSW80" s="609"/>
      <c r="GSX80" s="609"/>
      <c r="GSY80" s="609"/>
      <c r="GSZ80" s="609"/>
      <c r="GTA80" s="609"/>
      <c r="GTB80" s="609"/>
      <c r="GTC80" s="609"/>
      <c r="GTD80" s="609"/>
      <c r="GTE80" s="609"/>
      <c r="GTF80" s="609"/>
      <c r="GTG80" s="609"/>
      <c r="GTH80" s="609"/>
      <c r="GTI80" s="609"/>
      <c r="GTJ80" s="609"/>
      <c r="GTK80" s="609"/>
      <c r="GTL80" s="609"/>
      <c r="GTM80" s="609"/>
      <c r="GTN80" s="609"/>
      <c r="GTO80" s="609"/>
      <c r="GTP80" s="609"/>
      <c r="GTQ80" s="609"/>
      <c r="GTR80" s="609"/>
      <c r="GTS80" s="609"/>
      <c r="GTT80" s="609"/>
      <c r="GTU80" s="609"/>
      <c r="GTV80" s="609"/>
      <c r="GTW80" s="609"/>
      <c r="GTX80" s="609"/>
      <c r="GTY80" s="609"/>
      <c r="GTZ80" s="609"/>
      <c r="GUA80" s="609"/>
      <c r="GUB80" s="609"/>
      <c r="GUC80" s="609"/>
      <c r="GUD80" s="609"/>
      <c r="GUE80" s="609"/>
      <c r="GUF80" s="609"/>
      <c r="GUG80" s="609"/>
      <c r="GUH80" s="609"/>
      <c r="GUI80" s="609"/>
      <c r="GUJ80" s="609"/>
      <c r="GUK80" s="609"/>
      <c r="GUL80" s="609"/>
      <c r="GUM80" s="609"/>
      <c r="GUN80" s="609"/>
      <c r="GUO80" s="609"/>
      <c r="GUP80" s="609"/>
      <c r="GUQ80" s="609"/>
      <c r="GUR80" s="609"/>
      <c r="GUS80" s="609"/>
      <c r="GUT80" s="609"/>
      <c r="GUU80" s="609"/>
      <c r="GUV80" s="609"/>
      <c r="GUW80" s="609"/>
      <c r="GUX80" s="609"/>
      <c r="GUY80" s="609"/>
      <c r="GUZ80" s="609"/>
      <c r="GVA80" s="609"/>
      <c r="GVB80" s="609"/>
      <c r="GVC80" s="609"/>
      <c r="GVD80" s="609"/>
      <c r="GVE80" s="609"/>
      <c r="GVF80" s="609"/>
      <c r="GVG80" s="609"/>
      <c r="GVH80" s="609"/>
      <c r="GVI80" s="609"/>
      <c r="GVJ80" s="609"/>
      <c r="GVK80" s="609"/>
      <c r="GVL80" s="609"/>
      <c r="GVM80" s="609"/>
      <c r="GVN80" s="609"/>
      <c r="GVO80" s="609"/>
      <c r="GVP80" s="609"/>
      <c r="GVQ80" s="609"/>
      <c r="GVR80" s="609"/>
      <c r="GVS80" s="609"/>
      <c r="GVT80" s="609"/>
      <c r="GVU80" s="609"/>
      <c r="GVV80" s="609"/>
      <c r="GVW80" s="609"/>
      <c r="GVX80" s="609"/>
      <c r="GVY80" s="609"/>
      <c r="GVZ80" s="609"/>
      <c r="GWA80" s="609"/>
      <c r="GWB80" s="609"/>
      <c r="GWC80" s="609"/>
      <c r="GWD80" s="609"/>
      <c r="GWE80" s="609"/>
      <c r="GWF80" s="609"/>
      <c r="GWG80" s="609"/>
      <c r="GWH80" s="609"/>
      <c r="GWI80" s="609"/>
      <c r="GWJ80" s="609"/>
      <c r="GWK80" s="609"/>
      <c r="GWL80" s="609"/>
      <c r="GWM80" s="609"/>
      <c r="GWN80" s="609"/>
      <c r="GWO80" s="609"/>
      <c r="GWP80" s="609"/>
      <c r="GWQ80" s="609"/>
      <c r="GWR80" s="609"/>
      <c r="GWS80" s="609"/>
      <c r="GWT80" s="609"/>
      <c r="GWU80" s="609"/>
      <c r="GWV80" s="609"/>
      <c r="GWW80" s="609"/>
      <c r="GWX80" s="609"/>
      <c r="GWY80" s="609"/>
      <c r="GWZ80" s="609"/>
      <c r="GXA80" s="609"/>
      <c r="GXB80" s="609"/>
      <c r="GXC80" s="609"/>
      <c r="GXD80" s="609"/>
      <c r="GXE80" s="609"/>
      <c r="GXF80" s="609"/>
      <c r="GXG80" s="609"/>
      <c r="GXH80" s="609"/>
      <c r="GXI80" s="609"/>
      <c r="GXJ80" s="609"/>
      <c r="GXK80" s="609"/>
      <c r="GXL80" s="609"/>
      <c r="GXM80" s="609"/>
      <c r="GXN80" s="609"/>
      <c r="GXO80" s="609"/>
      <c r="GXP80" s="609"/>
      <c r="GXQ80" s="609"/>
      <c r="GXR80" s="609"/>
      <c r="GXS80" s="609"/>
      <c r="GXT80" s="609"/>
      <c r="GXU80" s="609"/>
      <c r="GXV80" s="609"/>
      <c r="GXW80" s="609"/>
      <c r="GXX80" s="609"/>
      <c r="GXY80" s="609"/>
      <c r="GXZ80" s="609"/>
      <c r="GYA80" s="609"/>
      <c r="GYB80" s="609"/>
      <c r="GYC80" s="609"/>
      <c r="GYD80" s="609"/>
      <c r="GYE80" s="609"/>
      <c r="GYF80" s="609"/>
      <c r="GYG80" s="609"/>
      <c r="GYH80" s="609"/>
      <c r="GYI80" s="609"/>
      <c r="GYJ80" s="609"/>
      <c r="GYK80" s="609"/>
      <c r="GYL80" s="609"/>
      <c r="GYM80" s="609"/>
      <c r="GYN80" s="609"/>
      <c r="GYO80" s="609"/>
      <c r="GYP80" s="609"/>
      <c r="GYQ80" s="609"/>
      <c r="GYR80" s="609"/>
      <c r="GYS80" s="609"/>
      <c r="GYT80" s="609"/>
      <c r="GYU80" s="609"/>
      <c r="GYV80" s="609"/>
      <c r="GYW80" s="609"/>
      <c r="GYX80" s="609"/>
      <c r="GYY80" s="609"/>
      <c r="GYZ80" s="609"/>
      <c r="GZA80" s="609"/>
      <c r="GZB80" s="609"/>
      <c r="GZC80" s="609"/>
      <c r="GZD80" s="609"/>
      <c r="GZE80" s="609"/>
      <c r="GZF80" s="609"/>
      <c r="GZG80" s="609"/>
      <c r="GZH80" s="609"/>
      <c r="GZI80" s="609"/>
      <c r="GZJ80" s="609"/>
      <c r="GZK80" s="609"/>
      <c r="GZL80" s="609"/>
      <c r="GZM80" s="609"/>
      <c r="GZN80" s="609"/>
      <c r="GZO80" s="609"/>
      <c r="GZP80" s="609"/>
      <c r="GZQ80" s="609"/>
      <c r="GZR80" s="609"/>
      <c r="GZS80" s="609"/>
      <c r="GZT80" s="609"/>
      <c r="GZU80" s="609"/>
      <c r="GZV80" s="609"/>
      <c r="GZW80" s="609"/>
      <c r="GZX80" s="609"/>
      <c r="GZY80" s="609"/>
      <c r="GZZ80" s="609"/>
      <c r="HAA80" s="609"/>
      <c r="HAB80" s="609"/>
      <c r="HAC80" s="609"/>
      <c r="HAD80" s="609"/>
      <c r="HAE80" s="609"/>
      <c r="HAF80" s="609"/>
      <c r="HAG80" s="609"/>
      <c r="HAH80" s="609"/>
      <c r="HAI80" s="609"/>
      <c r="HAJ80" s="609"/>
      <c r="HAK80" s="609"/>
      <c r="HAL80" s="609"/>
      <c r="HAM80" s="609"/>
      <c r="HAN80" s="609"/>
      <c r="HAO80" s="609"/>
      <c r="HAP80" s="609"/>
      <c r="HAQ80" s="609"/>
      <c r="HAR80" s="609"/>
      <c r="HAS80" s="609"/>
      <c r="HAT80" s="609"/>
      <c r="HAU80" s="609"/>
      <c r="HAV80" s="609"/>
      <c r="HAW80" s="609"/>
      <c r="HAX80" s="609"/>
      <c r="HAY80" s="609"/>
      <c r="HAZ80" s="609"/>
      <c r="HBA80" s="609"/>
      <c r="HBB80" s="609"/>
      <c r="HBC80" s="609"/>
      <c r="HBD80" s="609"/>
      <c r="HBE80" s="609"/>
      <c r="HBF80" s="609"/>
      <c r="HBG80" s="609"/>
      <c r="HBH80" s="609"/>
      <c r="HBI80" s="609"/>
      <c r="HBJ80" s="609"/>
      <c r="HBK80" s="609"/>
      <c r="HBL80" s="609"/>
      <c r="HBM80" s="609"/>
      <c r="HBN80" s="609"/>
      <c r="HBO80" s="609"/>
      <c r="HBP80" s="609"/>
      <c r="HBQ80" s="609"/>
      <c r="HBR80" s="609"/>
      <c r="HBS80" s="609"/>
      <c r="HBT80" s="609"/>
      <c r="HBU80" s="609"/>
      <c r="HBV80" s="609"/>
      <c r="HBW80" s="609"/>
      <c r="HBX80" s="609"/>
      <c r="HBY80" s="609"/>
      <c r="HBZ80" s="609"/>
      <c r="HCA80" s="609"/>
      <c r="HCB80" s="609"/>
      <c r="HCC80" s="609"/>
      <c r="HCD80" s="609"/>
      <c r="HCE80" s="609"/>
      <c r="HCF80" s="609"/>
      <c r="HCG80" s="609"/>
      <c r="HCH80" s="609"/>
      <c r="HCI80" s="609"/>
      <c r="HCJ80" s="609"/>
      <c r="HCK80" s="609"/>
      <c r="HCL80" s="609"/>
      <c r="HCM80" s="609"/>
      <c r="HCN80" s="609"/>
      <c r="HCO80" s="609"/>
      <c r="HCP80" s="609"/>
      <c r="HCQ80" s="609"/>
      <c r="HCR80" s="609"/>
      <c r="HCS80" s="609"/>
      <c r="HCT80" s="609"/>
      <c r="HCU80" s="609"/>
      <c r="HCV80" s="609"/>
      <c r="HCW80" s="609"/>
      <c r="HCX80" s="609"/>
      <c r="HCY80" s="609"/>
      <c r="HCZ80" s="609"/>
      <c r="HDA80" s="609"/>
      <c r="HDB80" s="609"/>
      <c r="HDC80" s="609"/>
      <c r="HDD80" s="609"/>
      <c r="HDE80" s="609"/>
      <c r="HDF80" s="609"/>
      <c r="HDG80" s="609"/>
      <c r="HDH80" s="609"/>
      <c r="HDI80" s="609"/>
      <c r="HDJ80" s="609"/>
      <c r="HDK80" s="609"/>
      <c r="HDL80" s="609"/>
      <c r="HDM80" s="609"/>
      <c r="HDN80" s="609"/>
      <c r="HDO80" s="609"/>
      <c r="HDP80" s="609"/>
      <c r="HDQ80" s="609"/>
      <c r="HDR80" s="609"/>
      <c r="HDS80" s="609"/>
      <c r="HDT80" s="609"/>
      <c r="HDU80" s="609"/>
      <c r="HDV80" s="609"/>
      <c r="HDW80" s="609"/>
      <c r="HDX80" s="609"/>
      <c r="HDY80" s="609"/>
      <c r="HDZ80" s="609"/>
      <c r="HEA80" s="609"/>
      <c r="HEB80" s="609"/>
      <c r="HEC80" s="609"/>
      <c r="HED80" s="609"/>
      <c r="HEE80" s="609"/>
      <c r="HEF80" s="609"/>
      <c r="HEG80" s="609"/>
      <c r="HEH80" s="609"/>
      <c r="HEI80" s="609"/>
      <c r="HEJ80" s="609"/>
      <c r="HEK80" s="609"/>
      <c r="HEL80" s="609"/>
      <c r="HEM80" s="609"/>
      <c r="HEN80" s="609"/>
      <c r="HEO80" s="609"/>
      <c r="HEP80" s="609"/>
      <c r="HEQ80" s="609"/>
      <c r="HER80" s="609"/>
      <c r="HES80" s="609"/>
      <c r="HET80" s="609"/>
      <c r="HEU80" s="609"/>
      <c r="HEV80" s="609"/>
      <c r="HEW80" s="609"/>
      <c r="HEX80" s="609"/>
      <c r="HEY80" s="609"/>
      <c r="HEZ80" s="609"/>
      <c r="HFA80" s="609"/>
      <c r="HFB80" s="609"/>
      <c r="HFC80" s="609"/>
      <c r="HFD80" s="609"/>
      <c r="HFE80" s="609"/>
      <c r="HFF80" s="609"/>
      <c r="HFG80" s="609"/>
      <c r="HFH80" s="609"/>
      <c r="HFI80" s="609"/>
      <c r="HFJ80" s="609"/>
      <c r="HFK80" s="609"/>
      <c r="HFL80" s="609"/>
      <c r="HFM80" s="609"/>
      <c r="HFN80" s="609"/>
      <c r="HFO80" s="609"/>
      <c r="HFP80" s="609"/>
      <c r="HFQ80" s="609"/>
      <c r="HFR80" s="609"/>
      <c r="HFS80" s="609"/>
      <c r="HFT80" s="609"/>
      <c r="HFU80" s="609"/>
      <c r="HFV80" s="609"/>
      <c r="HFW80" s="609"/>
      <c r="HFX80" s="609"/>
      <c r="HFY80" s="609"/>
      <c r="HFZ80" s="609"/>
      <c r="HGA80" s="609"/>
      <c r="HGB80" s="609"/>
      <c r="HGC80" s="609"/>
      <c r="HGD80" s="609"/>
      <c r="HGE80" s="609"/>
      <c r="HGF80" s="609"/>
      <c r="HGG80" s="609"/>
      <c r="HGH80" s="609"/>
      <c r="HGI80" s="609"/>
      <c r="HGJ80" s="609"/>
      <c r="HGK80" s="609"/>
      <c r="HGL80" s="609"/>
      <c r="HGM80" s="609"/>
      <c r="HGN80" s="609"/>
      <c r="HGO80" s="609"/>
      <c r="HGP80" s="609"/>
      <c r="HGQ80" s="609"/>
      <c r="HGR80" s="609"/>
      <c r="HGS80" s="609"/>
      <c r="HGT80" s="609"/>
      <c r="HGU80" s="609"/>
      <c r="HGV80" s="609"/>
      <c r="HGW80" s="609"/>
      <c r="HGX80" s="609"/>
      <c r="HGY80" s="609"/>
      <c r="HGZ80" s="609"/>
      <c r="HHA80" s="609"/>
      <c r="HHB80" s="609"/>
      <c r="HHC80" s="609"/>
      <c r="HHD80" s="609"/>
      <c r="HHE80" s="609"/>
      <c r="HHF80" s="609"/>
      <c r="HHG80" s="609"/>
      <c r="HHH80" s="609"/>
      <c r="HHI80" s="609"/>
      <c r="HHJ80" s="609"/>
      <c r="HHK80" s="609"/>
      <c r="HHL80" s="609"/>
      <c r="HHM80" s="609"/>
      <c r="HHN80" s="609"/>
      <c r="HHO80" s="609"/>
      <c r="HHP80" s="609"/>
      <c r="HHQ80" s="609"/>
      <c r="HHR80" s="609"/>
      <c r="HHS80" s="609"/>
      <c r="HHT80" s="609"/>
      <c r="HHU80" s="609"/>
      <c r="HHV80" s="609"/>
      <c r="HHW80" s="609"/>
      <c r="HHX80" s="609"/>
      <c r="HHY80" s="609"/>
      <c r="HHZ80" s="609"/>
      <c r="HIA80" s="609"/>
      <c r="HIB80" s="609"/>
      <c r="HIC80" s="609"/>
      <c r="HID80" s="609"/>
      <c r="HIE80" s="609"/>
      <c r="HIF80" s="609"/>
      <c r="HIG80" s="609"/>
      <c r="HIH80" s="609"/>
      <c r="HII80" s="609"/>
      <c r="HIJ80" s="609"/>
      <c r="HIK80" s="609"/>
      <c r="HIL80" s="609"/>
      <c r="HIM80" s="609"/>
      <c r="HIN80" s="609"/>
      <c r="HIO80" s="609"/>
      <c r="HIP80" s="609"/>
      <c r="HIQ80" s="609"/>
      <c r="HIR80" s="609"/>
      <c r="HIS80" s="609"/>
      <c r="HIT80" s="609"/>
      <c r="HIU80" s="609"/>
      <c r="HIV80" s="609"/>
      <c r="HIW80" s="609"/>
      <c r="HIX80" s="609"/>
      <c r="HIY80" s="609"/>
      <c r="HIZ80" s="609"/>
      <c r="HJA80" s="609"/>
      <c r="HJB80" s="609"/>
      <c r="HJC80" s="609"/>
      <c r="HJD80" s="609"/>
      <c r="HJE80" s="609"/>
      <c r="HJF80" s="609"/>
      <c r="HJG80" s="609"/>
      <c r="HJH80" s="609"/>
      <c r="HJI80" s="609"/>
      <c r="HJJ80" s="609"/>
      <c r="HJK80" s="609"/>
      <c r="HJL80" s="609"/>
      <c r="HJM80" s="609"/>
      <c r="HJN80" s="609"/>
      <c r="HJO80" s="609"/>
      <c r="HJP80" s="609"/>
      <c r="HJQ80" s="609"/>
      <c r="HJR80" s="609"/>
      <c r="HJS80" s="609"/>
      <c r="HJT80" s="609"/>
      <c r="HJU80" s="609"/>
      <c r="HJV80" s="609"/>
      <c r="HJW80" s="609"/>
      <c r="HJX80" s="609"/>
      <c r="HJY80" s="609"/>
      <c r="HJZ80" s="609"/>
      <c r="HKA80" s="609"/>
      <c r="HKB80" s="609"/>
      <c r="HKC80" s="609"/>
      <c r="HKD80" s="609"/>
      <c r="HKE80" s="609"/>
      <c r="HKF80" s="609"/>
      <c r="HKG80" s="609"/>
      <c r="HKH80" s="609"/>
      <c r="HKI80" s="609"/>
      <c r="HKJ80" s="609"/>
      <c r="HKK80" s="609"/>
      <c r="HKL80" s="609"/>
      <c r="HKM80" s="609"/>
      <c r="HKN80" s="609"/>
      <c r="HKO80" s="609"/>
      <c r="HKP80" s="609"/>
      <c r="HKQ80" s="609"/>
      <c r="HKR80" s="609"/>
      <c r="HKS80" s="609"/>
      <c r="HKT80" s="609"/>
      <c r="HKU80" s="609"/>
      <c r="HKV80" s="609"/>
      <c r="HKW80" s="609"/>
      <c r="HKX80" s="609"/>
      <c r="HKY80" s="609"/>
      <c r="HKZ80" s="609"/>
      <c r="HLA80" s="609"/>
      <c r="HLB80" s="609"/>
      <c r="HLC80" s="609"/>
      <c r="HLD80" s="609"/>
      <c r="HLE80" s="609"/>
      <c r="HLF80" s="609"/>
      <c r="HLG80" s="609"/>
      <c r="HLH80" s="609"/>
      <c r="HLI80" s="609"/>
      <c r="HLJ80" s="609"/>
      <c r="HLK80" s="609"/>
      <c r="HLL80" s="609"/>
      <c r="HLM80" s="609"/>
      <c r="HLN80" s="609"/>
      <c r="HLO80" s="609"/>
      <c r="HLP80" s="609"/>
      <c r="HLQ80" s="609"/>
      <c r="HLR80" s="609"/>
      <c r="HLS80" s="609"/>
      <c r="HLT80" s="609"/>
      <c r="HLU80" s="609"/>
      <c r="HLV80" s="609"/>
      <c r="HLW80" s="609"/>
      <c r="HLX80" s="609"/>
      <c r="HLY80" s="609"/>
      <c r="HLZ80" s="609"/>
      <c r="HMA80" s="609"/>
      <c r="HMB80" s="609"/>
      <c r="HMC80" s="609"/>
      <c r="HMD80" s="609"/>
      <c r="HME80" s="609"/>
      <c r="HMF80" s="609"/>
      <c r="HMG80" s="609"/>
      <c r="HMH80" s="609"/>
      <c r="HMI80" s="609"/>
      <c r="HMJ80" s="609"/>
      <c r="HMK80" s="609"/>
      <c r="HML80" s="609"/>
      <c r="HMM80" s="609"/>
      <c r="HMN80" s="609"/>
      <c r="HMO80" s="609"/>
      <c r="HMP80" s="609"/>
      <c r="HMQ80" s="609"/>
      <c r="HMR80" s="609"/>
      <c r="HMS80" s="609"/>
      <c r="HMT80" s="609"/>
      <c r="HMU80" s="609"/>
      <c r="HMV80" s="609"/>
      <c r="HMW80" s="609"/>
      <c r="HMX80" s="609"/>
      <c r="HMY80" s="609"/>
      <c r="HMZ80" s="609"/>
      <c r="HNA80" s="609"/>
      <c r="HNB80" s="609"/>
      <c r="HNC80" s="609"/>
      <c r="HND80" s="609"/>
      <c r="HNE80" s="609"/>
      <c r="HNF80" s="609"/>
      <c r="HNG80" s="609"/>
      <c r="HNH80" s="609"/>
      <c r="HNI80" s="609"/>
      <c r="HNJ80" s="609"/>
      <c r="HNK80" s="609"/>
      <c r="HNL80" s="609"/>
      <c r="HNM80" s="609"/>
      <c r="HNN80" s="609"/>
      <c r="HNO80" s="609"/>
      <c r="HNP80" s="609"/>
      <c r="HNQ80" s="609"/>
      <c r="HNR80" s="609"/>
      <c r="HNS80" s="609"/>
      <c r="HNT80" s="609"/>
      <c r="HNU80" s="609"/>
      <c r="HNV80" s="609"/>
      <c r="HNW80" s="609"/>
      <c r="HNX80" s="609"/>
      <c r="HNY80" s="609"/>
      <c r="HNZ80" s="609"/>
      <c r="HOA80" s="609"/>
      <c r="HOB80" s="609"/>
      <c r="HOC80" s="609"/>
      <c r="HOD80" s="609"/>
      <c r="HOE80" s="609"/>
      <c r="HOF80" s="609"/>
      <c r="HOG80" s="609"/>
      <c r="HOH80" s="609"/>
      <c r="HOI80" s="609"/>
      <c r="HOJ80" s="609"/>
      <c r="HOK80" s="609"/>
      <c r="HOL80" s="609"/>
      <c r="HOM80" s="609"/>
      <c r="HON80" s="609"/>
      <c r="HOO80" s="609"/>
      <c r="HOP80" s="609"/>
      <c r="HOQ80" s="609"/>
      <c r="HOR80" s="609"/>
      <c r="HOS80" s="609"/>
      <c r="HOT80" s="609"/>
      <c r="HOU80" s="609"/>
      <c r="HOV80" s="609"/>
      <c r="HOW80" s="609"/>
      <c r="HOX80" s="609"/>
      <c r="HOY80" s="609"/>
      <c r="HOZ80" s="609"/>
      <c r="HPA80" s="609"/>
      <c r="HPB80" s="609"/>
      <c r="HPC80" s="609"/>
      <c r="HPD80" s="609"/>
      <c r="HPE80" s="609"/>
      <c r="HPF80" s="609"/>
      <c r="HPG80" s="609"/>
      <c r="HPH80" s="609"/>
      <c r="HPI80" s="609"/>
      <c r="HPJ80" s="609"/>
      <c r="HPK80" s="609"/>
      <c r="HPL80" s="609"/>
      <c r="HPM80" s="609"/>
      <c r="HPN80" s="609"/>
      <c r="HPO80" s="609"/>
      <c r="HPP80" s="609"/>
      <c r="HPQ80" s="609"/>
      <c r="HPR80" s="609"/>
      <c r="HPS80" s="609"/>
      <c r="HPT80" s="609"/>
      <c r="HPU80" s="609"/>
      <c r="HPV80" s="609"/>
      <c r="HPW80" s="609"/>
      <c r="HPX80" s="609"/>
      <c r="HPY80" s="609"/>
      <c r="HPZ80" s="609"/>
      <c r="HQA80" s="609"/>
      <c r="HQB80" s="609"/>
      <c r="HQC80" s="609"/>
      <c r="HQD80" s="609"/>
      <c r="HQE80" s="609"/>
      <c r="HQF80" s="609"/>
      <c r="HQG80" s="609"/>
      <c r="HQH80" s="609"/>
      <c r="HQI80" s="609"/>
      <c r="HQJ80" s="609"/>
      <c r="HQK80" s="609"/>
      <c r="HQL80" s="609"/>
      <c r="HQM80" s="609"/>
      <c r="HQN80" s="609"/>
      <c r="HQO80" s="609"/>
      <c r="HQP80" s="609"/>
      <c r="HQQ80" s="609"/>
      <c r="HQR80" s="609"/>
      <c r="HQS80" s="609"/>
      <c r="HQT80" s="609"/>
      <c r="HQU80" s="609"/>
      <c r="HQV80" s="609"/>
      <c r="HQW80" s="609"/>
      <c r="HQX80" s="609"/>
      <c r="HQY80" s="609"/>
      <c r="HQZ80" s="609"/>
      <c r="HRA80" s="609"/>
      <c r="HRB80" s="609"/>
      <c r="HRC80" s="609"/>
      <c r="HRD80" s="609"/>
      <c r="HRE80" s="609"/>
      <c r="HRF80" s="609"/>
      <c r="HRG80" s="609"/>
      <c r="HRH80" s="609"/>
      <c r="HRI80" s="609"/>
      <c r="HRJ80" s="609"/>
      <c r="HRK80" s="609"/>
      <c r="HRL80" s="609"/>
      <c r="HRM80" s="609"/>
      <c r="HRN80" s="609"/>
      <c r="HRO80" s="609"/>
      <c r="HRP80" s="609"/>
      <c r="HRQ80" s="609"/>
      <c r="HRR80" s="609"/>
      <c r="HRS80" s="609"/>
      <c r="HRT80" s="609"/>
      <c r="HRU80" s="609"/>
      <c r="HRV80" s="609"/>
      <c r="HRW80" s="609"/>
      <c r="HRX80" s="609"/>
      <c r="HRY80" s="609"/>
      <c r="HRZ80" s="609"/>
      <c r="HSA80" s="609"/>
      <c r="HSB80" s="609"/>
      <c r="HSC80" s="609"/>
      <c r="HSD80" s="609"/>
      <c r="HSE80" s="609"/>
      <c r="HSF80" s="609"/>
      <c r="HSG80" s="609"/>
      <c r="HSH80" s="609"/>
      <c r="HSI80" s="609"/>
      <c r="HSJ80" s="609"/>
      <c r="HSK80" s="609"/>
      <c r="HSL80" s="609"/>
      <c r="HSM80" s="609"/>
      <c r="HSN80" s="609"/>
      <c r="HSO80" s="609"/>
      <c r="HSP80" s="609"/>
      <c r="HSQ80" s="609"/>
      <c r="HSR80" s="609"/>
      <c r="HSS80" s="609"/>
      <c r="HST80" s="609"/>
      <c r="HSU80" s="609"/>
      <c r="HSV80" s="609"/>
      <c r="HSW80" s="609"/>
      <c r="HSX80" s="609"/>
      <c r="HSY80" s="609"/>
      <c r="HSZ80" s="609"/>
      <c r="HTA80" s="609"/>
      <c r="HTB80" s="609"/>
      <c r="HTC80" s="609"/>
      <c r="HTD80" s="609"/>
      <c r="HTE80" s="609"/>
      <c r="HTF80" s="609"/>
      <c r="HTG80" s="609"/>
      <c r="HTH80" s="609"/>
      <c r="HTI80" s="609"/>
      <c r="HTJ80" s="609"/>
      <c r="HTK80" s="609"/>
      <c r="HTL80" s="609"/>
      <c r="HTM80" s="609"/>
      <c r="HTN80" s="609"/>
      <c r="HTO80" s="609"/>
      <c r="HTP80" s="609"/>
      <c r="HTQ80" s="609"/>
      <c r="HTR80" s="609"/>
      <c r="HTS80" s="609"/>
      <c r="HTT80" s="609"/>
      <c r="HTU80" s="609"/>
      <c r="HTV80" s="609"/>
      <c r="HTW80" s="609"/>
      <c r="HTX80" s="609"/>
      <c r="HTY80" s="609"/>
      <c r="HTZ80" s="609"/>
      <c r="HUA80" s="609"/>
      <c r="HUB80" s="609"/>
      <c r="HUC80" s="609"/>
      <c r="HUD80" s="609"/>
      <c r="HUE80" s="609"/>
      <c r="HUF80" s="609"/>
      <c r="HUG80" s="609"/>
      <c r="HUH80" s="609"/>
      <c r="HUI80" s="609"/>
      <c r="HUJ80" s="609"/>
      <c r="HUK80" s="609"/>
      <c r="HUL80" s="609"/>
      <c r="HUM80" s="609"/>
      <c r="HUN80" s="609"/>
      <c r="HUO80" s="609"/>
      <c r="HUP80" s="609"/>
      <c r="HUQ80" s="609"/>
      <c r="HUR80" s="609"/>
      <c r="HUS80" s="609"/>
      <c r="HUT80" s="609"/>
      <c r="HUU80" s="609"/>
      <c r="HUV80" s="609"/>
      <c r="HUW80" s="609"/>
      <c r="HUX80" s="609"/>
      <c r="HUY80" s="609"/>
      <c r="HUZ80" s="609"/>
      <c r="HVA80" s="609"/>
      <c r="HVB80" s="609"/>
      <c r="HVC80" s="609"/>
      <c r="HVD80" s="609"/>
      <c r="HVE80" s="609"/>
      <c r="HVF80" s="609"/>
      <c r="HVG80" s="609"/>
      <c r="HVH80" s="609"/>
      <c r="HVI80" s="609"/>
      <c r="HVJ80" s="609"/>
      <c r="HVK80" s="609"/>
      <c r="HVL80" s="609"/>
      <c r="HVM80" s="609"/>
      <c r="HVN80" s="609"/>
      <c r="HVO80" s="609"/>
      <c r="HVP80" s="609"/>
      <c r="HVQ80" s="609"/>
      <c r="HVR80" s="609"/>
      <c r="HVS80" s="609"/>
      <c r="HVT80" s="609"/>
      <c r="HVU80" s="609"/>
      <c r="HVV80" s="609"/>
      <c r="HVW80" s="609"/>
      <c r="HVX80" s="609"/>
      <c r="HVY80" s="609"/>
      <c r="HVZ80" s="609"/>
      <c r="HWA80" s="609"/>
      <c r="HWB80" s="609"/>
      <c r="HWC80" s="609"/>
      <c r="HWD80" s="609"/>
      <c r="HWE80" s="609"/>
      <c r="HWF80" s="609"/>
      <c r="HWG80" s="609"/>
      <c r="HWH80" s="609"/>
      <c r="HWI80" s="609"/>
      <c r="HWJ80" s="609"/>
      <c r="HWK80" s="609"/>
      <c r="HWL80" s="609"/>
      <c r="HWM80" s="609"/>
      <c r="HWN80" s="609"/>
      <c r="HWO80" s="609"/>
      <c r="HWP80" s="609"/>
      <c r="HWQ80" s="609"/>
      <c r="HWR80" s="609"/>
      <c r="HWS80" s="609"/>
      <c r="HWT80" s="609"/>
      <c r="HWU80" s="609"/>
      <c r="HWV80" s="609"/>
      <c r="HWW80" s="609"/>
      <c r="HWX80" s="609"/>
      <c r="HWY80" s="609"/>
      <c r="HWZ80" s="609"/>
      <c r="HXA80" s="609"/>
      <c r="HXB80" s="609"/>
      <c r="HXC80" s="609"/>
      <c r="HXD80" s="609"/>
      <c r="HXE80" s="609"/>
      <c r="HXF80" s="609"/>
      <c r="HXG80" s="609"/>
      <c r="HXH80" s="609"/>
      <c r="HXI80" s="609"/>
      <c r="HXJ80" s="609"/>
      <c r="HXK80" s="609"/>
      <c r="HXL80" s="609"/>
      <c r="HXM80" s="609"/>
      <c r="HXN80" s="609"/>
      <c r="HXO80" s="609"/>
      <c r="HXP80" s="609"/>
      <c r="HXQ80" s="609"/>
      <c r="HXR80" s="609"/>
      <c r="HXS80" s="609"/>
      <c r="HXT80" s="609"/>
      <c r="HXU80" s="609"/>
      <c r="HXV80" s="609"/>
      <c r="HXW80" s="609"/>
      <c r="HXX80" s="609"/>
      <c r="HXY80" s="609"/>
      <c r="HXZ80" s="609"/>
      <c r="HYA80" s="609"/>
      <c r="HYB80" s="609"/>
      <c r="HYC80" s="609"/>
      <c r="HYD80" s="609"/>
      <c r="HYE80" s="609"/>
      <c r="HYF80" s="609"/>
      <c r="HYG80" s="609"/>
      <c r="HYH80" s="609"/>
      <c r="HYI80" s="609"/>
      <c r="HYJ80" s="609"/>
      <c r="HYK80" s="609"/>
      <c r="HYL80" s="609"/>
      <c r="HYM80" s="609"/>
      <c r="HYN80" s="609"/>
      <c r="HYO80" s="609"/>
      <c r="HYP80" s="609"/>
      <c r="HYQ80" s="609"/>
      <c r="HYR80" s="609"/>
      <c r="HYS80" s="609"/>
      <c r="HYT80" s="609"/>
      <c r="HYU80" s="609"/>
      <c r="HYV80" s="609"/>
      <c r="HYW80" s="609"/>
      <c r="HYX80" s="609"/>
      <c r="HYY80" s="609"/>
      <c r="HYZ80" s="609"/>
      <c r="HZA80" s="609"/>
      <c r="HZB80" s="609"/>
      <c r="HZC80" s="609"/>
      <c r="HZD80" s="609"/>
      <c r="HZE80" s="609"/>
      <c r="HZF80" s="609"/>
      <c r="HZG80" s="609"/>
      <c r="HZH80" s="609"/>
      <c r="HZI80" s="609"/>
      <c r="HZJ80" s="609"/>
      <c r="HZK80" s="609"/>
      <c r="HZL80" s="609"/>
      <c r="HZM80" s="609"/>
      <c r="HZN80" s="609"/>
      <c r="HZO80" s="609"/>
      <c r="HZP80" s="609"/>
      <c r="HZQ80" s="609"/>
      <c r="HZR80" s="609"/>
      <c r="HZS80" s="609"/>
      <c r="HZT80" s="609"/>
      <c r="HZU80" s="609"/>
      <c r="HZV80" s="609"/>
      <c r="HZW80" s="609"/>
      <c r="HZX80" s="609"/>
      <c r="HZY80" s="609"/>
      <c r="HZZ80" s="609"/>
      <c r="IAA80" s="609"/>
      <c r="IAB80" s="609"/>
      <c r="IAC80" s="609"/>
      <c r="IAD80" s="609"/>
      <c r="IAE80" s="609"/>
      <c r="IAF80" s="609"/>
      <c r="IAG80" s="609"/>
      <c r="IAH80" s="609"/>
      <c r="IAI80" s="609"/>
      <c r="IAJ80" s="609"/>
      <c r="IAK80" s="609"/>
      <c r="IAL80" s="609"/>
      <c r="IAM80" s="609"/>
      <c r="IAN80" s="609"/>
      <c r="IAO80" s="609"/>
      <c r="IAP80" s="609"/>
      <c r="IAQ80" s="609"/>
      <c r="IAR80" s="609"/>
      <c r="IAS80" s="609"/>
      <c r="IAT80" s="609"/>
      <c r="IAU80" s="609"/>
      <c r="IAV80" s="609"/>
      <c r="IAW80" s="609"/>
      <c r="IAX80" s="609"/>
      <c r="IAY80" s="609"/>
      <c r="IAZ80" s="609"/>
      <c r="IBA80" s="609"/>
      <c r="IBB80" s="609"/>
      <c r="IBC80" s="609"/>
      <c r="IBD80" s="609"/>
      <c r="IBE80" s="609"/>
      <c r="IBF80" s="609"/>
      <c r="IBG80" s="609"/>
      <c r="IBH80" s="609"/>
      <c r="IBI80" s="609"/>
      <c r="IBJ80" s="609"/>
      <c r="IBK80" s="609"/>
      <c r="IBL80" s="609"/>
      <c r="IBM80" s="609"/>
      <c r="IBN80" s="609"/>
      <c r="IBO80" s="609"/>
      <c r="IBP80" s="609"/>
      <c r="IBQ80" s="609"/>
      <c r="IBR80" s="609"/>
      <c r="IBS80" s="609"/>
      <c r="IBT80" s="609"/>
      <c r="IBU80" s="609"/>
      <c r="IBV80" s="609"/>
      <c r="IBW80" s="609"/>
      <c r="IBX80" s="609"/>
      <c r="IBY80" s="609"/>
      <c r="IBZ80" s="609"/>
      <c r="ICA80" s="609"/>
      <c r="ICB80" s="609"/>
      <c r="ICC80" s="609"/>
      <c r="ICD80" s="609"/>
      <c r="ICE80" s="609"/>
      <c r="ICF80" s="609"/>
      <c r="ICG80" s="609"/>
      <c r="ICH80" s="609"/>
      <c r="ICI80" s="609"/>
      <c r="ICJ80" s="609"/>
      <c r="ICK80" s="609"/>
      <c r="ICL80" s="609"/>
      <c r="ICM80" s="609"/>
      <c r="ICN80" s="609"/>
      <c r="ICO80" s="609"/>
      <c r="ICP80" s="609"/>
      <c r="ICQ80" s="609"/>
      <c r="ICR80" s="609"/>
      <c r="ICS80" s="609"/>
      <c r="ICT80" s="609"/>
      <c r="ICU80" s="609"/>
      <c r="ICV80" s="609"/>
      <c r="ICW80" s="609"/>
      <c r="ICX80" s="609"/>
      <c r="ICY80" s="609"/>
      <c r="ICZ80" s="609"/>
      <c r="IDA80" s="609"/>
      <c r="IDB80" s="609"/>
      <c r="IDC80" s="609"/>
      <c r="IDD80" s="609"/>
      <c r="IDE80" s="609"/>
      <c r="IDF80" s="609"/>
      <c r="IDG80" s="609"/>
      <c r="IDH80" s="609"/>
      <c r="IDI80" s="609"/>
      <c r="IDJ80" s="609"/>
      <c r="IDK80" s="609"/>
      <c r="IDL80" s="609"/>
      <c r="IDM80" s="609"/>
      <c r="IDN80" s="609"/>
      <c r="IDO80" s="609"/>
      <c r="IDP80" s="609"/>
      <c r="IDQ80" s="609"/>
      <c r="IDR80" s="609"/>
      <c r="IDS80" s="609"/>
      <c r="IDT80" s="609"/>
      <c r="IDU80" s="609"/>
      <c r="IDV80" s="609"/>
      <c r="IDW80" s="609"/>
      <c r="IDX80" s="609"/>
      <c r="IDY80" s="609"/>
      <c r="IDZ80" s="609"/>
      <c r="IEA80" s="609"/>
      <c r="IEB80" s="609"/>
      <c r="IEC80" s="609"/>
      <c r="IED80" s="609"/>
      <c r="IEE80" s="609"/>
      <c r="IEF80" s="609"/>
      <c r="IEG80" s="609"/>
      <c r="IEH80" s="609"/>
      <c r="IEI80" s="609"/>
      <c r="IEJ80" s="609"/>
      <c r="IEK80" s="609"/>
      <c r="IEL80" s="609"/>
      <c r="IEM80" s="609"/>
      <c r="IEN80" s="609"/>
      <c r="IEO80" s="609"/>
      <c r="IEP80" s="609"/>
      <c r="IEQ80" s="609"/>
      <c r="IER80" s="609"/>
      <c r="IES80" s="609"/>
      <c r="IET80" s="609"/>
      <c r="IEU80" s="609"/>
      <c r="IEV80" s="609"/>
      <c r="IEW80" s="609"/>
      <c r="IEX80" s="609"/>
      <c r="IEY80" s="609"/>
      <c r="IEZ80" s="609"/>
      <c r="IFA80" s="609"/>
      <c r="IFB80" s="609"/>
      <c r="IFC80" s="609"/>
      <c r="IFD80" s="609"/>
      <c r="IFE80" s="609"/>
      <c r="IFF80" s="609"/>
      <c r="IFG80" s="609"/>
      <c r="IFH80" s="609"/>
      <c r="IFI80" s="609"/>
      <c r="IFJ80" s="609"/>
      <c r="IFK80" s="609"/>
      <c r="IFL80" s="609"/>
      <c r="IFM80" s="609"/>
      <c r="IFN80" s="609"/>
      <c r="IFO80" s="609"/>
      <c r="IFP80" s="609"/>
      <c r="IFQ80" s="609"/>
      <c r="IFR80" s="609"/>
      <c r="IFS80" s="609"/>
      <c r="IFT80" s="609"/>
      <c r="IFU80" s="609"/>
      <c r="IFV80" s="609"/>
      <c r="IFW80" s="609"/>
      <c r="IFX80" s="609"/>
      <c r="IFY80" s="609"/>
      <c r="IFZ80" s="609"/>
      <c r="IGA80" s="609"/>
      <c r="IGB80" s="609"/>
      <c r="IGC80" s="609"/>
      <c r="IGD80" s="609"/>
      <c r="IGE80" s="609"/>
      <c r="IGF80" s="609"/>
      <c r="IGG80" s="609"/>
      <c r="IGH80" s="609"/>
      <c r="IGI80" s="609"/>
      <c r="IGJ80" s="609"/>
      <c r="IGK80" s="609"/>
      <c r="IGL80" s="609"/>
      <c r="IGM80" s="609"/>
      <c r="IGN80" s="609"/>
      <c r="IGO80" s="609"/>
      <c r="IGP80" s="609"/>
      <c r="IGQ80" s="609"/>
      <c r="IGR80" s="609"/>
      <c r="IGS80" s="609"/>
      <c r="IGT80" s="609"/>
      <c r="IGU80" s="609"/>
      <c r="IGV80" s="609"/>
      <c r="IGW80" s="609"/>
      <c r="IGX80" s="609"/>
      <c r="IGY80" s="609"/>
      <c r="IGZ80" s="609"/>
      <c r="IHA80" s="609"/>
      <c r="IHB80" s="609"/>
      <c r="IHC80" s="609"/>
      <c r="IHD80" s="609"/>
      <c r="IHE80" s="609"/>
      <c r="IHF80" s="609"/>
      <c r="IHG80" s="609"/>
      <c r="IHH80" s="609"/>
      <c r="IHI80" s="609"/>
      <c r="IHJ80" s="609"/>
      <c r="IHK80" s="609"/>
      <c r="IHL80" s="609"/>
      <c r="IHM80" s="609"/>
      <c r="IHN80" s="609"/>
      <c r="IHO80" s="609"/>
      <c r="IHP80" s="609"/>
      <c r="IHQ80" s="609"/>
      <c r="IHR80" s="609"/>
      <c r="IHS80" s="609"/>
      <c r="IHT80" s="609"/>
      <c r="IHU80" s="609"/>
      <c r="IHV80" s="609"/>
      <c r="IHW80" s="609"/>
      <c r="IHX80" s="609"/>
      <c r="IHY80" s="609"/>
      <c r="IHZ80" s="609"/>
      <c r="IIA80" s="609"/>
      <c r="IIB80" s="609"/>
      <c r="IIC80" s="609"/>
      <c r="IID80" s="609"/>
      <c r="IIE80" s="609"/>
      <c r="IIF80" s="609"/>
      <c r="IIG80" s="609"/>
      <c r="IIH80" s="609"/>
      <c r="III80" s="609"/>
      <c r="IIJ80" s="609"/>
      <c r="IIK80" s="609"/>
      <c r="IIL80" s="609"/>
      <c r="IIM80" s="609"/>
      <c r="IIN80" s="609"/>
      <c r="IIO80" s="609"/>
      <c r="IIP80" s="609"/>
      <c r="IIQ80" s="609"/>
      <c r="IIR80" s="609"/>
      <c r="IIS80" s="609"/>
      <c r="IIT80" s="609"/>
      <c r="IIU80" s="609"/>
      <c r="IIV80" s="609"/>
      <c r="IIW80" s="609"/>
      <c r="IIX80" s="609"/>
      <c r="IIY80" s="609"/>
      <c r="IIZ80" s="609"/>
      <c r="IJA80" s="609"/>
      <c r="IJB80" s="609"/>
      <c r="IJC80" s="609"/>
      <c r="IJD80" s="609"/>
      <c r="IJE80" s="609"/>
      <c r="IJF80" s="609"/>
      <c r="IJG80" s="609"/>
      <c r="IJH80" s="609"/>
      <c r="IJI80" s="609"/>
      <c r="IJJ80" s="609"/>
      <c r="IJK80" s="609"/>
      <c r="IJL80" s="609"/>
      <c r="IJM80" s="609"/>
      <c r="IJN80" s="609"/>
      <c r="IJO80" s="609"/>
      <c r="IJP80" s="609"/>
      <c r="IJQ80" s="609"/>
      <c r="IJR80" s="609"/>
      <c r="IJS80" s="609"/>
      <c r="IJT80" s="609"/>
      <c r="IJU80" s="609"/>
      <c r="IJV80" s="609"/>
      <c r="IJW80" s="609"/>
      <c r="IJX80" s="609"/>
      <c r="IJY80" s="609"/>
      <c r="IJZ80" s="609"/>
      <c r="IKA80" s="609"/>
      <c r="IKB80" s="609"/>
      <c r="IKC80" s="609"/>
      <c r="IKD80" s="609"/>
      <c r="IKE80" s="609"/>
      <c r="IKF80" s="609"/>
      <c r="IKG80" s="609"/>
      <c r="IKH80" s="609"/>
      <c r="IKI80" s="609"/>
      <c r="IKJ80" s="609"/>
      <c r="IKK80" s="609"/>
      <c r="IKL80" s="609"/>
      <c r="IKM80" s="609"/>
      <c r="IKN80" s="609"/>
      <c r="IKO80" s="609"/>
      <c r="IKP80" s="609"/>
      <c r="IKQ80" s="609"/>
      <c r="IKR80" s="609"/>
      <c r="IKS80" s="609"/>
      <c r="IKT80" s="609"/>
      <c r="IKU80" s="609"/>
      <c r="IKV80" s="609"/>
      <c r="IKW80" s="609"/>
      <c r="IKX80" s="609"/>
      <c r="IKY80" s="609"/>
      <c r="IKZ80" s="609"/>
      <c r="ILA80" s="609"/>
      <c r="ILB80" s="609"/>
      <c r="ILC80" s="609"/>
      <c r="ILD80" s="609"/>
      <c r="ILE80" s="609"/>
      <c r="ILF80" s="609"/>
      <c r="ILG80" s="609"/>
      <c r="ILH80" s="609"/>
      <c r="ILI80" s="609"/>
      <c r="ILJ80" s="609"/>
      <c r="ILK80" s="609"/>
      <c r="ILL80" s="609"/>
      <c r="ILM80" s="609"/>
      <c r="ILN80" s="609"/>
      <c r="ILO80" s="609"/>
      <c r="ILP80" s="609"/>
      <c r="ILQ80" s="609"/>
      <c r="ILR80" s="609"/>
      <c r="ILS80" s="609"/>
      <c r="ILT80" s="609"/>
      <c r="ILU80" s="609"/>
      <c r="ILV80" s="609"/>
      <c r="ILW80" s="609"/>
      <c r="ILX80" s="609"/>
      <c r="ILY80" s="609"/>
      <c r="ILZ80" s="609"/>
      <c r="IMA80" s="609"/>
      <c r="IMB80" s="609"/>
      <c r="IMC80" s="609"/>
      <c r="IMD80" s="609"/>
      <c r="IME80" s="609"/>
      <c r="IMF80" s="609"/>
      <c r="IMG80" s="609"/>
      <c r="IMH80" s="609"/>
      <c r="IMI80" s="609"/>
      <c r="IMJ80" s="609"/>
      <c r="IMK80" s="609"/>
      <c r="IML80" s="609"/>
      <c r="IMM80" s="609"/>
      <c r="IMN80" s="609"/>
      <c r="IMO80" s="609"/>
      <c r="IMP80" s="609"/>
      <c r="IMQ80" s="609"/>
      <c r="IMR80" s="609"/>
      <c r="IMS80" s="609"/>
      <c r="IMT80" s="609"/>
      <c r="IMU80" s="609"/>
      <c r="IMV80" s="609"/>
      <c r="IMW80" s="609"/>
      <c r="IMX80" s="609"/>
      <c r="IMY80" s="609"/>
      <c r="IMZ80" s="609"/>
      <c r="INA80" s="609"/>
      <c r="INB80" s="609"/>
      <c r="INC80" s="609"/>
      <c r="IND80" s="609"/>
      <c r="INE80" s="609"/>
      <c r="INF80" s="609"/>
      <c r="ING80" s="609"/>
      <c r="INH80" s="609"/>
      <c r="INI80" s="609"/>
      <c r="INJ80" s="609"/>
      <c r="INK80" s="609"/>
      <c r="INL80" s="609"/>
      <c r="INM80" s="609"/>
      <c r="INN80" s="609"/>
      <c r="INO80" s="609"/>
      <c r="INP80" s="609"/>
      <c r="INQ80" s="609"/>
      <c r="INR80" s="609"/>
      <c r="INS80" s="609"/>
      <c r="INT80" s="609"/>
      <c r="INU80" s="609"/>
      <c r="INV80" s="609"/>
      <c r="INW80" s="609"/>
      <c r="INX80" s="609"/>
      <c r="INY80" s="609"/>
      <c r="INZ80" s="609"/>
      <c r="IOA80" s="609"/>
      <c r="IOB80" s="609"/>
      <c r="IOC80" s="609"/>
      <c r="IOD80" s="609"/>
      <c r="IOE80" s="609"/>
      <c r="IOF80" s="609"/>
      <c r="IOG80" s="609"/>
      <c r="IOH80" s="609"/>
      <c r="IOI80" s="609"/>
      <c r="IOJ80" s="609"/>
      <c r="IOK80" s="609"/>
      <c r="IOL80" s="609"/>
      <c r="IOM80" s="609"/>
      <c r="ION80" s="609"/>
      <c r="IOO80" s="609"/>
      <c r="IOP80" s="609"/>
      <c r="IOQ80" s="609"/>
      <c r="IOR80" s="609"/>
      <c r="IOS80" s="609"/>
      <c r="IOT80" s="609"/>
      <c r="IOU80" s="609"/>
      <c r="IOV80" s="609"/>
      <c r="IOW80" s="609"/>
      <c r="IOX80" s="609"/>
      <c r="IOY80" s="609"/>
      <c r="IOZ80" s="609"/>
      <c r="IPA80" s="609"/>
      <c r="IPB80" s="609"/>
      <c r="IPC80" s="609"/>
      <c r="IPD80" s="609"/>
      <c r="IPE80" s="609"/>
      <c r="IPF80" s="609"/>
      <c r="IPG80" s="609"/>
      <c r="IPH80" s="609"/>
      <c r="IPI80" s="609"/>
      <c r="IPJ80" s="609"/>
      <c r="IPK80" s="609"/>
      <c r="IPL80" s="609"/>
      <c r="IPM80" s="609"/>
      <c r="IPN80" s="609"/>
      <c r="IPO80" s="609"/>
      <c r="IPP80" s="609"/>
      <c r="IPQ80" s="609"/>
      <c r="IPR80" s="609"/>
      <c r="IPS80" s="609"/>
      <c r="IPT80" s="609"/>
      <c r="IPU80" s="609"/>
      <c r="IPV80" s="609"/>
      <c r="IPW80" s="609"/>
      <c r="IPX80" s="609"/>
      <c r="IPY80" s="609"/>
      <c r="IPZ80" s="609"/>
      <c r="IQA80" s="609"/>
      <c r="IQB80" s="609"/>
      <c r="IQC80" s="609"/>
      <c r="IQD80" s="609"/>
      <c r="IQE80" s="609"/>
      <c r="IQF80" s="609"/>
      <c r="IQG80" s="609"/>
      <c r="IQH80" s="609"/>
      <c r="IQI80" s="609"/>
      <c r="IQJ80" s="609"/>
      <c r="IQK80" s="609"/>
      <c r="IQL80" s="609"/>
      <c r="IQM80" s="609"/>
      <c r="IQN80" s="609"/>
      <c r="IQO80" s="609"/>
      <c r="IQP80" s="609"/>
      <c r="IQQ80" s="609"/>
      <c r="IQR80" s="609"/>
      <c r="IQS80" s="609"/>
      <c r="IQT80" s="609"/>
      <c r="IQU80" s="609"/>
      <c r="IQV80" s="609"/>
      <c r="IQW80" s="609"/>
      <c r="IQX80" s="609"/>
      <c r="IQY80" s="609"/>
      <c r="IQZ80" s="609"/>
      <c r="IRA80" s="609"/>
      <c r="IRB80" s="609"/>
      <c r="IRC80" s="609"/>
      <c r="IRD80" s="609"/>
      <c r="IRE80" s="609"/>
      <c r="IRF80" s="609"/>
      <c r="IRG80" s="609"/>
      <c r="IRH80" s="609"/>
      <c r="IRI80" s="609"/>
      <c r="IRJ80" s="609"/>
      <c r="IRK80" s="609"/>
      <c r="IRL80" s="609"/>
      <c r="IRM80" s="609"/>
      <c r="IRN80" s="609"/>
      <c r="IRO80" s="609"/>
      <c r="IRP80" s="609"/>
      <c r="IRQ80" s="609"/>
      <c r="IRR80" s="609"/>
      <c r="IRS80" s="609"/>
      <c r="IRT80" s="609"/>
      <c r="IRU80" s="609"/>
      <c r="IRV80" s="609"/>
      <c r="IRW80" s="609"/>
      <c r="IRX80" s="609"/>
      <c r="IRY80" s="609"/>
      <c r="IRZ80" s="609"/>
      <c r="ISA80" s="609"/>
      <c r="ISB80" s="609"/>
      <c r="ISC80" s="609"/>
      <c r="ISD80" s="609"/>
      <c r="ISE80" s="609"/>
      <c r="ISF80" s="609"/>
      <c r="ISG80" s="609"/>
      <c r="ISH80" s="609"/>
      <c r="ISI80" s="609"/>
      <c r="ISJ80" s="609"/>
      <c r="ISK80" s="609"/>
      <c r="ISL80" s="609"/>
      <c r="ISM80" s="609"/>
      <c r="ISN80" s="609"/>
      <c r="ISO80" s="609"/>
      <c r="ISP80" s="609"/>
      <c r="ISQ80" s="609"/>
      <c r="ISR80" s="609"/>
      <c r="ISS80" s="609"/>
      <c r="IST80" s="609"/>
      <c r="ISU80" s="609"/>
      <c r="ISV80" s="609"/>
      <c r="ISW80" s="609"/>
      <c r="ISX80" s="609"/>
      <c r="ISY80" s="609"/>
      <c r="ISZ80" s="609"/>
      <c r="ITA80" s="609"/>
      <c r="ITB80" s="609"/>
      <c r="ITC80" s="609"/>
      <c r="ITD80" s="609"/>
      <c r="ITE80" s="609"/>
      <c r="ITF80" s="609"/>
      <c r="ITG80" s="609"/>
      <c r="ITH80" s="609"/>
      <c r="ITI80" s="609"/>
      <c r="ITJ80" s="609"/>
      <c r="ITK80" s="609"/>
      <c r="ITL80" s="609"/>
      <c r="ITM80" s="609"/>
      <c r="ITN80" s="609"/>
      <c r="ITO80" s="609"/>
      <c r="ITP80" s="609"/>
      <c r="ITQ80" s="609"/>
      <c r="ITR80" s="609"/>
      <c r="ITS80" s="609"/>
      <c r="ITT80" s="609"/>
      <c r="ITU80" s="609"/>
      <c r="ITV80" s="609"/>
      <c r="ITW80" s="609"/>
      <c r="ITX80" s="609"/>
      <c r="ITY80" s="609"/>
      <c r="ITZ80" s="609"/>
      <c r="IUA80" s="609"/>
      <c r="IUB80" s="609"/>
      <c r="IUC80" s="609"/>
      <c r="IUD80" s="609"/>
      <c r="IUE80" s="609"/>
      <c r="IUF80" s="609"/>
      <c r="IUG80" s="609"/>
      <c r="IUH80" s="609"/>
      <c r="IUI80" s="609"/>
      <c r="IUJ80" s="609"/>
      <c r="IUK80" s="609"/>
      <c r="IUL80" s="609"/>
      <c r="IUM80" s="609"/>
      <c r="IUN80" s="609"/>
      <c r="IUO80" s="609"/>
      <c r="IUP80" s="609"/>
      <c r="IUQ80" s="609"/>
      <c r="IUR80" s="609"/>
      <c r="IUS80" s="609"/>
      <c r="IUT80" s="609"/>
      <c r="IUU80" s="609"/>
      <c r="IUV80" s="609"/>
      <c r="IUW80" s="609"/>
      <c r="IUX80" s="609"/>
      <c r="IUY80" s="609"/>
      <c r="IUZ80" s="609"/>
      <c r="IVA80" s="609"/>
      <c r="IVB80" s="609"/>
      <c r="IVC80" s="609"/>
      <c r="IVD80" s="609"/>
      <c r="IVE80" s="609"/>
      <c r="IVF80" s="609"/>
      <c r="IVG80" s="609"/>
      <c r="IVH80" s="609"/>
      <c r="IVI80" s="609"/>
      <c r="IVJ80" s="609"/>
      <c r="IVK80" s="609"/>
      <c r="IVL80" s="609"/>
      <c r="IVM80" s="609"/>
      <c r="IVN80" s="609"/>
      <c r="IVO80" s="609"/>
      <c r="IVP80" s="609"/>
      <c r="IVQ80" s="609"/>
      <c r="IVR80" s="609"/>
      <c r="IVS80" s="609"/>
      <c r="IVT80" s="609"/>
      <c r="IVU80" s="609"/>
      <c r="IVV80" s="609"/>
      <c r="IVW80" s="609"/>
      <c r="IVX80" s="609"/>
      <c r="IVY80" s="609"/>
      <c r="IVZ80" s="609"/>
      <c r="IWA80" s="609"/>
      <c r="IWB80" s="609"/>
      <c r="IWC80" s="609"/>
      <c r="IWD80" s="609"/>
      <c r="IWE80" s="609"/>
      <c r="IWF80" s="609"/>
      <c r="IWG80" s="609"/>
      <c r="IWH80" s="609"/>
      <c r="IWI80" s="609"/>
      <c r="IWJ80" s="609"/>
      <c r="IWK80" s="609"/>
      <c r="IWL80" s="609"/>
      <c r="IWM80" s="609"/>
      <c r="IWN80" s="609"/>
      <c r="IWO80" s="609"/>
      <c r="IWP80" s="609"/>
      <c r="IWQ80" s="609"/>
      <c r="IWR80" s="609"/>
      <c r="IWS80" s="609"/>
      <c r="IWT80" s="609"/>
      <c r="IWU80" s="609"/>
      <c r="IWV80" s="609"/>
      <c r="IWW80" s="609"/>
      <c r="IWX80" s="609"/>
      <c r="IWY80" s="609"/>
      <c r="IWZ80" s="609"/>
      <c r="IXA80" s="609"/>
      <c r="IXB80" s="609"/>
      <c r="IXC80" s="609"/>
      <c r="IXD80" s="609"/>
      <c r="IXE80" s="609"/>
      <c r="IXF80" s="609"/>
      <c r="IXG80" s="609"/>
      <c r="IXH80" s="609"/>
      <c r="IXI80" s="609"/>
      <c r="IXJ80" s="609"/>
      <c r="IXK80" s="609"/>
      <c r="IXL80" s="609"/>
      <c r="IXM80" s="609"/>
      <c r="IXN80" s="609"/>
      <c r="IXO80" s="609"/>
      <c r="IXP80" s="609"/>
      <c r="IXQ80" s="609"/>
      <c r="IXR80" s="609"/>
      <c r="IXS80" s="609"/>
      <c r="IXT80" s="609"/>
      <c r="IXU80" s="609"/>
      <c r="IXV80" s="609"/>
      <c r="IXW80" s="609"/>
      <c r="IXX80" s="609"/>
      <c r="IXY80" s="609"/>
      <c r="IXZ80" s="609"/>
      <c r="IYA80" s="609"/>
      <c r="IYB80" s="609"/>
      <c r="IYC80" s="609"/>
      <c r="IYD80" s="609"/>
      <c r="IYE80" s="609"/>
      <c r="IYF80" s="609"/>
      <c r="IYG80" s="609"/>
      <c r="IYH80" s="609"/>
      <c r="IYI80" s="609"/>
      <c r="IYJ80" s="609"/>
      <c r="IYK80" s="609"/>
      <c r="IYL80" s="609"/>
      <c r="IYM80" s="609"/>
      <c r="IYN80" s="609"/>
      <c r="IYO80" s="609"/>
      <c r="IYP80" s="609"/>
      <c r="IYQ80" s="609"/>
      <c r="IYR80" s="609"/>
      <c r="IYS80" s="609"/>
      <c r="IYT80" s="609"/>
      <c r="IYU80" s="609"/>
      <c r="IYV80" s="609"/>
      <c r="IYW80" s="609"/>
      <c r="IYX80" s="609"/>
      <c r="IYY80" s="609"/>
      <c r="IYZ80" s="609"/>
      <c r="IZA80" s="609"/>
      <c r="IZB80" s="609"/>
      <c r="IZC80" s="609"/>
      <c r="IZD80" s="609"/>
      <c r="IZE80" s="609"/>
      <c r="IZF80" s="609"/>
      <c r="IZG80" s="609"/>
      <c r="IZH80" s="609"/>
      <c r="IZI80" s="609"/>
      <c r="IZJ80" s="609"/>
      <c r="IZK80" s="609"/>
      <c r="IZL80" s="609"/>
      <c r="IZM80" s="609"/>
      <c r="IZN80" s="609"/>
      <c r="IZO80" s="609"/>
      <c r="IZP80" s="609"/>
      <c r="IZQ80" s="609"/>
      <c r="IZR80" s="609"/>
      <c r="IZS80" s="609"/>
      <c r="IZT80" s="609"/>
      <c r="IZU80" s="609"/>
      <c r="IZV80" s="609"/>
      <c r="IZW80" s="609"/>
      <c r="IZX80" s="609"/>
      <c r="IZY80" s="609"/>
      <c r="IZZ80" s="609"/>
      <c r="JAA80" s="609"/>
      <c r="JAB80" s="609"/>
      <c r="JAC80" s="609"/>
      <c r="JAD80" s="609"/>
      <c r="JAE80" s="609"/>
      <c r="JAF80" s="609"/>
      <c r="JAG80" s="609"/>
      <c r="JAH80" s="609"/>
      <c r="JAI80" s="609"/>
      <c r="JAJ80" s="609"/>
      <c r="JAK80" s="609"/>
      <c r="JAL80" s="609"/>
      <c r="JAM80" s="609"/>
      <c r="JAN80" s="609"/>
      <c r="JAO80" s="609"/>
      <c r="JAP80" s="609"/>
      <c r="JAQ80" s="609"/>
      <c r="JAR80" s="609"/>
      <c r="JAS80" s="609"/>
      <c r="JAT80" s="609"/>
      <c r="JAU80" s="609"/>
      <c r="JAV80" s="609"/>
      <c r="JAW80" s="609"/>
      <c r="JAX80" s="609"/>
      <c r="JAY80" s="609"/>
      <c r="JAZ80" s="609"/>
      <c r="JBA80" s="609"/>
      <c r="JBB80" s="609"/>
      <c r="JBC80" s="609"/>
      <c r="JBD80" s="609"/>
      <c r="JBE80" s="609"/>
      <c r="JBF80" s="609"/>
      <c r="JBG80" s="609"/>
      <c r="JBH80" s="609"/>
      <c r="JBI80" s="609"/>
      <c r="JBJ80" s="609"/>
      <c r="JBK80" s="609"/>
      <c r="JBL80" s="609"/>
      <c r="JBM80" s="609"/>
      <c r="JBN80" s="609"/>
      <c r="JBO80" s="609"/>
      <c r="JBP80" s="609"/>
      <c r="JBQ80" s="609"/>
      <c r="JBR80" s="609"/>
      <c r="JBS80" s="609"/>
      <c r="JBT80" s="609"/>
      <c r="JBU80" s="609"/>
      <c r="JBV80" s="609"/>
      <c r="JBW80" s="609"/>
      <c r="JBX80" s="609"/>
      <c r="JBY80" s="609"/>
      <c r="JBZ80" s="609"/>
      <c r="JCA80" s="609"/>
      <c r="JCB80" s="609"/>
      <c r="JCC80" s="609"/>
      <c r="JCD80" s="609"/>
      <c r="JCE80" s="609"/>
      <c r="JCF80" s="609"/>
      <c r="JCG80" s="609"/>
      <c r="JCH80" s="609"/>
      <c r="JCI80" s="609"/>
      <c r="JCJ80" s="609"/>
      <c r="JCK80" s="609"/>
      <c r="JCL80" s="609"/>
      <c r="JCM80" s="609"/>
      <c r="JCN80" s="609"/>
      <c r="JCO80" s="609"/>
      <c r="JCP80" s="609"/>
      <c r="JCQ80" s="609"/>
      <c r="JCR80" s="609"/>
      <c r="JCS80" s="609"/>
      <c r="JCT80" s="609"/>
      <c r="JCU80" s="609"/>
      <c r="JCV80" s="609"/>
      <c r="JCW80" s="609"/>
      <c r="JCX80" s="609"/>
      <c r="JCY80" s="609"/>
      <c r="JCZ80" s="609"/>
      <c r="JDA80" s="609"/>
      <c r="JDB80" s="609"/>
      <c r="JDC80" s="609"/>
      <c r="JDD80" s="609"/>
      <c r="JDE80" s="609"/>
      <c r="JDF80" s="609"/>
      <c r="JDG80" s="609"/>
      <c r="JDH80" s="609"/>
      <c r="JDI80" s="609"/>
      <c r="JDJ80" s="609"/>
      <c r="JDK80" s="609"/>
      <c r="JDL80" s="609"/>
      <c r="JDM80" s="609"/>
      <c r="JDN80" s="609"/>
      <c r="JDO80" s="609"/>
      <c r="JDP80" s="609"/>
      <c r="JDQ80" s="609"/>
      <c r="JDR80" s="609"/>
      <c r="JDS80" s="609"/>
      <c r="JDT80" s="609"/>
      <c r="JDU80" s="609"/>
      <c r="JDV80" s="609"/>
      <c r="JDW80" s="609"/>
      <c r="JDX80" s="609"/>
      <c r="JDY80" s="609"/>
      <c r="JDZ80" s="609"/>
      <c r="JEA80" s="609"/>
      <c r="JEB80" s="609"/>
      <c r="JEC80" s="609"/>
      <c r="JED80" s="609"/>
      <c r="JEE80" s="609"/>
      <c r="JEF80" s="609"/>
      <c r="JEG80" s="609"/>
      <c r="JEH80" s="609"/>
      <c r="JEI80" s="609"/>
      <c r="JEJ80" s="609"/>
      <c r="JEK80" s="609"/>
      <c r="JEL80" s="609"/>
      <c r="JEM80" s="609"/>
      <c r="JEN80" s="609"/>
      <c r="JEO80" s="609"/>
      <c r="JEP80" s="609"/>
      <c r="JEQ80" s="609"/>
      <c r="JER80" s="609"/>
      <c r="JES80" s="609"/>
      <c r="JET80" s="609"/>
      <c r="JEU80" s="609"/>
      <c r="JEV80" s="609"/>
      <c r="JEW80" s="609"/>
      <c r="JEX80" s="609"/>
      <c r="JEY80" s="609"/>
      <c r="JEZ80" s="609"/>
      <c r="JFA80" s="609"/>
      <c r="JFB80" s="609"/>
      <c r="JFC80" s="609"/>
      <c r="JFD80" s="609"/>
      <c r="JFE80" s="609"/>
      <c r="JFF80" s="609"/>
      <c r="JFG80" s="609"/>
      <c r="JFH80" s="609"/>
      <c r="JFI80" s="609"/>
      <c r="JFJ80" s="609"/>
      <c r="JFK80" s="609"/>
      <c r="JFL80" s="609"/>
      <c r="JFM80" s="609"/>
      <c r="JFN80" s="609"/>
      <c r="JFO80" s="609"/>
      <c r="JFP80" s="609"/>
      <c r="JFQ80" s="609"/>
      <c r="JFR80" s="609"/>
      <c r="JFS80" s="609"/>
      <c r="JFT80" s="609"/>
      <c r="JFU80" s="609"/>
      <c r="JFV80" s="609"/>
      <c r="JFW80" s="609"/>
      <c r="JFX80" s="609"/>
      <c r="JFY80" s="609"/>
      <c r="JFZ80" s="609"/>
      <c r="JGA80" s="609"/>
      <c r="JGB80" s="609"/>
      <c r="JGC80" s="609"/>
      <c r="JGD80" s="609"/>
      <c r="JGE80" s="609"/>
      <c r="JGF80" s="609"/>
      <c r="JGG80" s="609"/>
      <c r="JGH80" s="609"/>
      <c r="JGI80" s="609"/>
      <c r="JGJ80" s="609"/>
      <c r="JGK80" s="609"/>
      <c r="JGL80" s="609"/>
      <c r="JGM80" s="609"/>
      <c r="JGN80" s="609"/>
      <c r="JGO80" s="609"/>
      <c r="JGP80" s="609"/>
      <c r="JGQ80" s="609"/>
      <c r="JGR80" s="609"/>
      <c r="JGS80" s="609"/>
      <c r="JGT80" s="609"/>
      <c r="JGU80" s="609"/>
      <c r="JGV80" s="609"/>
      <c r="JGW80" s="609"/>
      <c r="JGX80" s="609"/>
      <c r="JGY80" s="609"/>
      <c r="JGZ80" s="609"/>
      <c r="JHA80" s="609"/>
      <c r="JHB80" s="609"/>
      <c r="JHC80" s="609"/>
      <c r="JHD80" s="609"/>
      <c r="JHE80" s="609"/>
      <c r="JHF80" s="609"/>
      <c r="JHG80" s="609"/>
      <c r="JHH80" s="609"/>
      <c r="JHI80" s="609"/>
      <c r="JHJ80" s="609"/>
      <c r="JHK80" s="609"/>
      <c r="JHL80" s="609"/>
      <c r="JHM80" s="609"/>
      <c r="JHN80" s="609"/>
      <c r="JHO80" s="609"/>
      <c r="JHP80" s="609"/>
      <c r="JHQ80" s="609"/>
      <c r="JHR80" s="609"/>
      <c r="JHS80" s="609"/>
      <c r="JHT80" s="609"/>
      <c r="JHU80" s="609"/>
      <c r="JHV80" s="609"/>
      <c r="JHW80" s="609"/>
      <c r="JHX80" s="609"/>
      <c r="JHY80" s="609"/>
      <c r="JHZ80" s="609"/>
      <c r="JIA80" s="609"/>
      <c r="JIB80" s="609"/>
      <c r="JIC80" s="609"/>
      <c r="JID80" s="609"/>
      <c r="JIE80" s="609"/>
      <c r="JIF80" s="609"/>
      <c r="JIG80" s="609"/>
      <c r="JIH80" s="609"/>
      <c r="JII80" s="609"/>
      <c r="JIJ80" s="609"/>
      <c r="JIK80" s="609"/>
      <c r="JIL80" s="609"/>
      <c r="JIM80" s="609"/>
      <c r="JIN80" s="609"/>
      <c r="JIO80" s="609"/>
      <c r="JIP80" s="609"/>
      <c r="JIQ80" s="609"/>
      <c r="JIR80" s="609"/>
      <c r="JIS80" s="609"/>
      <c r="JIT80" s="609"/>
      <c r="JIU80" s="609"/>
      <c r="JIV80" s="609"/>
      <c r="JIW80" s="609"/>
      <c r="JIX80" s="609"/>
      <c r="JIY80" s="609"/>
      <c r="JIZ80" s="609"/>
      <c r="JJA80" s="609"/>
      <c r="JJB80" s="609"/>
      <c r="JJC80" s="609"/>
      <c r="JJD80" s="609"/>
      <c r="JJE80" s="609"/>
      <c r="JJF80" s="609"/>
      <c r="JJG80" s="609"/>
      <c r="JJH80" s="609"/>
      <c r="JJI80" s="609"/>
      <c r="JJJ80" s="609"/>
      <c r="JJK80" s="609"/>
      <c r="JJL80" s="609"/>
      <c r="JJM80" s="609"/>
      <c r="JJN80" s="609"/>
      <c r="JJO80" s="609"/>
      <c r="JJP80" s="609"/>
      <c r="JJQ80" s="609"/>
      <c r="JJR80" s="609"/>
      <c r="JJS80" s="609"/>
      <c r="JJT80" s="609"/>
      <c r="JJU80" s="609"/>
      <c r="JJV80" s="609"/>
      <c r="JJW80" s="609"/>
      <c r="JJX80" s="609"/>
      <c r="JJY80" s="609"/>
      <c r="JJZ80" s="609"/>
      <c r="JKA80" s="609"/>
      <c r="JKB80" s="609"/>
      <c r="JKC80" s="609"/>
      <c r="JKD80" s="609"/>
      <c r="JKE80" s="609"/>
      <c r="JKF80" s="609"/>
      <c r="JKG80" s="609"/>
      <c r="JKH80" s="609"/>
      <c r="JKI80" s="609"/>
      <c r="JKJ80" s="609"/>
      <c r="JKK80" s="609"/>
      <c r="JKL80" s="609"/>
      <c r="JKM80" s="609"/>
      <c r="JKN80" s="609"/>
      <c r="JKO80" s="609"/>
      <c r="JKP80" s="609"/>
      <c r="JKQ80" s="609"/>
      <c r="JKR80" s="609"/>
      <c r="JKS80" s="609"/>
      <c r="JKT80" s="609"/>
      <c r="JKU80" s="609"/>
      <c r="JKV80" s="609"/>
      <c r="JKW80" s="609"/>
      <c r="JKX80" s="609"/>
      <c r="JKY80" s="609"/>
      <c r="JKZ80" s="609"/>
      <c r="JLA80" s="609"/>
      <c r="JLB80" s="609"/>
      <c r="JLC80" s="609"/>
      <c r="JLD80" s="609"/>
      <c r="JLE80" s="609"/>
      <c r="JLF80" s="609"/>
      <c r="JLG80" s="609"/>
      <c r="JLH80" s="609"/>
      <c r="JLI80" s="609"/>
      <c r="JLJ80" s="609"/>
      <c r="JLK80" s="609"/>
      <c r="JLL80" s="609"/>
      <c r="JLM80" s="609"/>
      <c r="JLN80" s="609"/>
      <c r="JLO80" s="609"/>
      <c r="JLP80" s="609"/>
      <c r="JLQ80" s="609"/>
      <c r="JLR80" s="609"/>
      <c r="JLS80" s="609"/>
      <c r="JLT80" s="609"/>
      <c r="JLU80" s="609"/>
      <c r="JLV80" s="609"/>
      <c r="JLW80" s="609"/>
      <c r="JLX80" s="609"/>
      <c r="JLY80" s="609"/>
      <c r="JLZ80" s="609"/>
      <c r="JMA80" s="609"/>
      <c r="JMB80" s="609"/>
      <c r="JMC80" s="609"/>
      <c r="JMD80" s="609"/>
      <c r="JME80" s="609"/>
      <c r="JMF80" s="609"/>
      <c r="JMG80" s="609"/>
      <c r="JMH80" s="609"/>
      <c r="JMI80" s="609"/>
      <c r="JMJ80" s="609"/>
      <c r="JMK80" s="609"/>
      <c r="JML80" s="609"/>
      <c r="JMM80" s="609"/>
      <c r="JMN80" s="609"/>
      <c r="JMO80" s="609"/>
      <c r="JMP80" s="609"/>
      <c r="JMQ80" s="609"/>
      <c r="JMR80" s="609"/>
      <c r="JMS80" s="609"/>
      <c r="JMT80" s="609"/>
      <c r="JMU80" s="609"/>
      <c r="JMV80" s="609"/>
      <c r="JMW80" s="609"/>
      <c r="JMX80" s="609"/>
      <c r="JMY80" s="609"/>
      <c r="JMZ80" s="609"/>
      <c r="JNA80" s="609"/>
      <c r="JNB80" s="609"/>
      <c r="JNC80" s="609"/>
      <c r="JND80" s="609"/>
      <c r="JNE80" s="609"/>
      <c r="JNF80" s="609"/>
      <c r="JNG80" s="609"/>
      <c r="JNH80" s="609"/>
      <c r="JNI80" s="609"/>
      <c r="JNJ80" s="609"/>
      <c r="JNK80" s="609"/>
      <c r="JNL80" s="609"/>
      <c r="JNM80" s="609"/>
      <c r="JNN80" s="609"/>
      <c r="JNO80" s="609"/>
      <c r="JNP80" s="609"/>
      <c r="JNQ80" s="609"/>
      <c r="JNR80" s="609"/>
      <c r="JNS80" s="609"/>
      <c r="JNT80" s="609"/>
      <c r="JNU80" s="609"/>
      <c r="JNV80" s="609"/>
      <c r="JNW80" s="609"/>
      <c r="JNX80" s="609"/>
      <c r="JNY80" s="609"/>
      <c r="JNZ80" s="609"/>
      <c r="JOA80" s="609"/>
      <c r="JOB80" s="609"/>
      <c r="JOC80" s="609"/>
      <c r="JOD80" s="609"/>
      <c r="JOE80" s="609"/>
      <c r="JOF80" s="609"/>
      <c r="JOG80" s="609"/>
      <c r="JOH80" s="609"/>
      <c r="JOI80" s="609"/>
      <c r="JOJ80" s="609"/>
      <c r="JOK80" s="609"/>
      <c r="JOL80" s="609"/>
      <c r="JOM80" s="609"/>
      <c r="JON80" s="609"/>
      <c r="JOO80" s="609"/>
      <c r="JOP80" s="609"/>
      <c r="JOQ80" s="609"/>
      <c r="JOR80" s="609"/>
      <c r="JOS80" s="609"/>
      <c r="JOT80" s="609"/>
      <c r="JOU80" s="609"/>
      <c r="JOV80" s="609"/>
      <c r="JOW80" s="609"/>
      <c r="JOX80" s="609"/>
      <c r="JOY80" s="609"/>
      <c r="JOZ80" s="609"/>
      <c r="JPA80" s="609"/>
      <c r="JPB80" s="609"/>
      <c r="JPC80" s="609"/>
      <c r="JPD80" s="609"/>
      <c r="JPE80" s="609"/>
      <c r="JPF80" s="609"/>
      <c r="JPG80" s="609"/>
      <c r="JPH80" s="609"/>
      <c r="JPI80" s="609"/>
      <c r="JPJ80" s="609"/>
      <c r="JPK80" s="609"/>
      <c r="JPL80" s="609"/>
      <c r="JPM80" s="609"/>
      <c r="JPN80" s="609"/>
      <c r="JPO80" s="609"/>
      <c r="JPP80" s="609"/>
      <c r="JPQ80" s="609"/>
      <c r="JPR80" s="609"/>
      <c r="JPS80" s="609"/>
      <c r="JPT80" s="609"/>
      <c r="JPU80" s="609"/>
      <c r="JPV80" s="609"/>
      <c r="JPW80" s="609"/>
      <c r="JPX80" s="609"/>
      <c r="JPY80" s="609"/>
      <c r="JPZ80" s="609"/>
      <c r="JQA80" s="609"/>
      <c r="JQB80" s="609"/>
      <c r="JQC80" s="609"/>
      <c r="JQD80" s="609"/>
      <c r="JQE80" s="609"/>
      <c r="JQF80" s="609"/>
      <c r="JQG80" s="609"/>
      <c r="JQH80" s="609"/>
      <c r="JQI80" s="609"/>
      <c r="JQJ80" s="609"/>
      <c r="JQK80" s="609"/>
      <c r="JQL80" s="609"/>
      <c r="JQM80" s="609"/>
      <c r="JQN80" s="609"/>
      <c r="JQO80" s="609"/>
      <c r="JQP80" s="609"/>
      <c r="JQQ80" s="609"/>
      <c r="JQR80" s="609"/>
      <c r="JQS80" s="609"/>
      <c r="JQT80" s="609"/>
      <c r="JQU80" s="609"/>
      <c r="JQV80" s="609"/>
      <c r="JQW80" s="609"/>
      <c r="JQX80" s="609"/>
      <c r="JQY80" s="609"/>
      <c r="JQZ80" s="609"/>
      <c r="JRA80" s="609"/>
      <c r="JRB80" s="609"/>
      <c r="JRC80" s="609"/>
      <c r="JRD80" s="609"/>
      <c r="JRE80" s="609"/>
      <c r="JRF80" s="609"/>
      <c r="JRG80" s="609"/>
      <c r="JRH80" s="609"/>
      <c r="JRI80" s="609"/>
      <c r="JRJ80" s="609"/>
      <c r="JRK80" s="609"/>
      <c r="JRL80" s="609"/>
      <c r="JRM80" s="609"/>
      <c r="JRN80" s="609"/>
      <c r="JRO80" s="609"/>
      <c r="JRP80" s="609"/>
      <c r="JRQ80" s="609"/>
      <c r="JRR80" s="609"/>
      <c r="JRS80" s="609"/>
      <c r="JRT80" s="609"/>
      <c r="JRU80" s="609"/>
      <c r="JRV80" s="609"/>
      <c r="JRW80" s="609"/>
      <c r="JRX80" s="609"/>
      <c r="JRY80" s="609"/>
      <c r="JRZ80" s="609"/>
      <c r="JSA80" s="609"/>
      <c r="JSB80" s="609"/>
      <c r="JSC80" s="609"/>
      <c r="JSD80" s="609"/>
      <c r="JSE80" s="609"/>
      <c r="JSF80" s="609"/>
      <c r="JSG80" s="609"/>
      <c r="JSH80" s="609"/>
      <c r="JSI80" s="609"/>
      <c r="JSJ80" s="609"/>
      <c r="JSK80" s="609"/>
      <c r="JSL80" s="609"/>
      <c r="JSM80" s="609"/>
      <c r="JSN80" s="609"/>
      <c r="JSO80" s="609"/>
      <c r="JSP80" s="609"/>
      <c r="JSQ80" s="609"/>
      <c r="JSR80" s="609"/>
      <c r="JSS80" s="609"/>
      <c r="JST80" s="609"/>
      <c r="JSU80" s="609"/>
      <c r="JSV80" s="609"/>
      <c r="JSW80" s="609"/>
      <c r="JSX80" s="609"/>
      <c r="JSY80" s="609"/>
      <c r="JSZ80" s="609"/>
      <c r="JTA80" s="609"/>
      <c r="JTB80" s="609"/>
      <c r="JTC80" s="609"/>
      <c r="JTD80" s="609"/>
      <c r="JTE80" s="609"/>
      <c r="JTF80" s="609"/>
      <c r="JTG80" s="609"/>
      <c r="JTH80" s="609"/>
      <c r="JTI80" s="609"/>
      <c r="JTJ80" s="609"/>
      <c r="JTK80" s="609"/>
      <c r="JTL80" s="609"/>
      <c r="JTM80" s="609"/>
      <c r="JTN80" s="609"/>
      <c r="JTO80" s="609"/>
      <c r="JTP80" s="609"/>
      <c r="JTQ80" s="609"/>
      <c r="JTR80" s="609"/>
      <c r="JTS80" s="609"/>
      <c r="JTT80" s="609"/>
      <c r="JTU80" s="609"/>
      <c r="JTV80" s="609"/>
      <c r="JTW80" s="609"/>
      <c r="JTX80" s="609"/>
      <c r="JTY80" s="609"/>
      <c r="JTZ80" s="609"/>
      <c r="JUA80" s="609"/>
      <c r="JUB80" s="609"/>
      <c r="JUC80" s="609"/>
      <c r="JUD80" s="609"/>
      <c r="JUE80" s="609"/>
      <c r="JUF80" s="609"/>
      <c r="JUG80" s="609"/>
      <c r="JUH80" s="609"/>
      <c r="JUI80" s="609"/>
      <c r="JUJ80" s="609"/>
      <c r="JUK80" s="609"/>
      <c r="JUL80" s="609"/>
      <c r="JUM80" s="609"/>
      <c r="JUN80" s="609"/>
      <c r="JUO80" s="609"/>
      <c r="JUP80" s="609"/>
      <c r="JUQ80" s="609"/>
      <c r="JUR80" s="609"/>
      <c r="JUS80" s="609"/>
      <c r="JUT80" s="609"/>
      <c r="JUU80" s="609"/>
      <c r="JUV80" s="609"/>
      <c r="JUW80" s="609"/>
      <c r="JUX80" s="609"/>
      <c r="JUY80" s="609"/>
      <c r="JUZ80" s="609"/>
      <c r="JVA80" s="609"/>
      <c r="JVB80" s="609"/>
      <c r="JVC80" s="609"/>
      <c r="JVD80" s="609"/>
      <c r="JVE80" s="609"/>
      <c r="JVF80" s="609"/>
      <c r="JVG80" s="609"/>
      <c r="JVH80" s="609"/>
      <c r="JVI80" s="609"/>
      <c r="JVJ80" s="609"/>
      <c r="JVK80" s="609"/>
      <c r="JVL80" s="609"/>
      <c r="JVM80" s="609"/>
      <c r="JVN80" s="609"/>
      <c r="JVO80" s="609"/>
      <c r="JVP80" s="609"/>
      <c r="JVQ80" s="609"/>
      <c r="JVR80" s="609"/>
      <c r="JVS80" s="609"/>
      <c r="JVT80" s="609"/>
      <c r="JVU80" s="609"/>
      <c r="JVV80" s="609"/>
      <c r="JVW80" s="609"/>
      <c r="JVX80" s="609"/>
      <c r="JVY80" s="609"/>
      <c r="JVZ80" s="609"/>
      <c r="JWA80" s="609"/>
      <c r="JWB80" s="609"/>
      <c r="JWC80" s="609"/>
      <c r="JWD80" s="609"/>
      <c r="JWE80" s="609"/>
      <c r="JWF80" s="609"/>
      <c r="JWG80" s="609"/>
      <c r="JWH80" s="609"/>
      <c r="JWI80" s="609"/>
      <c r="JWJ80" s="609"/>
      <c r="JWK80" s="609"/>
      <c r="JWL80" s="609"/>
      <c r="JWM80" s="609"/>
      <c r="JWN80" s="609"/>
      <c r="JWO80" s="609"/>
      <c r="JWP80" s="609"/>
      <c r="JWQ80" s="609"/>
      <c r="JWR80" s="609"/>
      <c r="JWS80" s="609"/>
      <c r="JWT80" s="609"/>
      <c r="JWU80" s="609"/>
      <c r="JWV80" s="609"/>
      <c r="JWW80" s="609"/>
      <c r="JWX80" s="609"/>
      <c r="JWY80" s="609"/>
      <c r="JWZ80" s="609"/>
      <c r="JXA80" s="609"/>
      <c r="JXB80" s="609"/>
      <c r="JXC80" s="609"/>
      <c r="JXD80" s="609"/>
      <c r="JXE80" s="609"/>
      <c r="JXF80" s="609"/>
      <c r="JXG80" s="609"/>
      <c r="JXH80" s="609"/>
      <c r="JXI80" s="609"/>
      <c r="JXJ80" s="609"/>
      <c r="JXK80" s="609"/>
      <c r="JXL80" s="609"/>
      <c r="JXM80" s="609"/>
      <c r="JXN80" s="609"/>
      <c r="JXO80" s="609"/>
      <c r="JXP80" s="609"/>
      <c r="JXQ80" s="609"/>
      <c r="JXR80" s="609"/>
      <c r="JXS80" s="609"/>
      <c r="JXT80" s="609"/>
      <c r="JXU80" s="609"/>
      <c r="JXV80" s="609"/>
      <c r="JXW80" s="609"/>
      <c r="JXX80" s="609"/>
      <c r="JXY80" s="609"/>
      <c r="JXZ80" s="609"/>
      <c r="JYA80" s="609"/>
      <c r="JYB80" s="609"/>
      <c r="JYC80" s="609"/>
      <c r="JYD80" s="609"/>
      <c r="JYE80" s="609"/>
      <c r="JYF80" s="609"/>
      <c r="JYG80" s="609"/>
      <c r="JYH80" s="609"/>
      <c r="JYI80" s="609"/>
      <c r="JYJ80" s="609"/>
      <c r="JYK80" s="609"/>
      <c r="JYL80" s="609"/>
      <c r="JYM80" s="609"/>
      <c r="JYN80" s="609"/>
      <c r="JYO80" s="609"/>
      <c r="JYP80" s="609"/>
      <c r="JYQ80" s="609"/>
      <c r="JYR80" s="609"/>
      <c r="JYS80" s="609"/>
      <c r="JYT80" s="609"/>
      <c r="JYU80" s="609"/>
      <c r="JYV80" s="609"/>
      <c r="JYW80" s="609"/>
      <c r="JYX80" s="609"/>
      <c r="JYY80" s="609"/>
      <c r="JYZ80" s="609"/>
      <c r="JZA80" s="609"/>
      <c r="JZB80" s="609"/>
      <c r="JZC80" s="609"/>
      <c r="JZD80" s="609"/>
      <c r="JZE80" s="609"/>
      <c r="JZF80" s="609"/>
      <c r="JZG80" s="609"/>
      <c r="JZH80" s="609"/>
      <c r="JZI80" s="609"/>
      <c r="JZJ80" s="609"/>
      <c r="JZK80" s="609"/>
      <c r="JZL80" s="609"/>
      <c r="JZM80" s="609"/>
      <c r="JZN80" s="609"/>
      <c r="JZO80" s="609"/>
      <c r="JZP80" s="609"/>
      <c r="JZQ80" s="609"/>
      <c r="JZR80" s="609"/>
      <c r="JZS80" s="609"/>
      <c r="JZT80" s="609"/>
      <c r="JZU80" s="609"/>
      <c r="JZV80" s="609"/>
      <c r="JZW80" s="609"/>
      <c r="JZX80" s="609"/>
      <c r="JZY80" s="609"/>
      <c r="JZZ80" s="609"/>
      <c r="KAA80" s="609"/>
      <c r="KAB80" s="609"/>
      <c r="KAC80" s="609"/>
      <c r="KAD80" s="609"/>
      <c r="KAE80" s="609"/>
      <c r="KAF80" s="609"/>
      <c r="KAG80" s="609"/>
      <c r="KAH80" s="609"/>
      <c r="KAI80" s="609"/>
      <c r="KAJ80" s="609"/>
      <c r="KAK80" s="609"/>
      <c r="KAL80" s="609"/>
      <c r="KAM80" s="609"/>
      <c r="KAN80" s="609"/>
      <c r="KAO80" s="609"/>
      <c r="KAP80" s="609"/>
      <c r="KAQ80" s="609"/>
      <c r="KAR80" s="609"/>
      <c r="KAS80" s="609"/>
      <c r="KAT80" s="609"/>
      <c r="KAU80" s="609"/>
      <c r="KAV80" s="609"/>
      <c r="KAW80" s="609"/>
      <c r="KAX80" s="609"/>
      <c r="KAY80" s="609"/>
      <c r="KAZ80" s="609"/>
      <c r="KBA80" s="609"/>
      <c r="KBB80" s="609"/>
      <c r="KBC80" s="609"/>
      <c r="KBD80" s="609"/>
      <c r="KBE80" s="609"/>
      <c r="KBF80" s="609"/>
      <c r="KBG80" s="609"/>
      <c r="KBH80" s="609"/>
      <c r="KBI80" s="609"/>
      <c r="KBJ80" s="609"/>
      <c r="KBK80" s="609"/>
      <c r="KBL80" s="609"/>
      <c r="KBM80" s="609"/>
      <c r="KBN80" s="609"/>
      <c r="KBO80" s="609"/>
      <c r="KBP80" s="609"/>
      <c r="KBQ80" s="609"/>
      <c r="KBR80" s="609"/>
      <c r="KBS80" s="609"/>
      <c r="KBT80" s="609"/>
      <c r="KBU80" s="609"/>
      <c r="KBV80" s="609"/>
      <c r="KBW80" s="609"/>
      <c r="KBX80" s="609"/>
      <c r="KBY80" s="609"/>
      <c r="KBZ80" s="609"/>
      <c r="KCA80" s="609"/>
      <c r="KCB80" s="609"/>
      <c r="KCC80" s="609"/>
      <c r="KCD80" s="609"/>
      <c r="KCE80" s="609"/>
      <c r="KCF80" s="609"/>
      <c r="KCG80" s="609"/>
      <c r="KCH80" s="609"/>
      <c r="KCI80" s="609"/>
      <c r="KCJ80" s="609"/>
      <c r="KCK80" s="609"/>
      <c r="KCL80" s="609"/>
      <c r="KCM80" s="609"/>
      <c r="KCN80" s="609"/>
      <c r="KCO80" s="609"/>
      <c r="KCP80" s="609"/>
      <c r="KCQ80" s="609"/>
      <c r="KCR80" s="609"/>
      <c r="KCS80" s="609"/>
      <c r="KCT80" s="609"/>
      <c r="KCU80" s="609"/>
      <c r="KCV80" s="609"/>
      <c r="KCW80" s="609"/>
      <c r="KCX80" s="609"/>
      <c r="KCY80" s="609"/>
      <c r="KCZ80" s="609"/>
      <c r="KDA80" s="609"/>
      <c r="KDB80" s="609"/>
      <c r="KDC80" s="609"/>
      <c r="KDD80" s="609"/>
      <c r="KDE80" s="609"/>
      <c r="KDF80" s="609"/>
      <c r="KDG80" s="609"/>
      <c r="KDH80" s="609"/>
      <c r="KDI80" s="609"/>
      <c r="KDJ80" s="609"/>
      <c r="KDK80" s="609"/>
      <c r="KDL80" s="609"/>
      <c r="KDM80" s="609"/>
      <c r="KDN80" s="609"/>
      <c r="KDO80" s="609"/>
      <c r="KDP80" s="609"/>
      <c r="KDQ80" s="609"/>
      <c r="KDR80" s="609"/>
      <c r="KDS80" s="609"/>
      <c r="KDT80" s="609"/>
      <c r="KDU80" s="609"/>
      <c r="KDV80" s="609"/>
      <c r="KDW80" s="609"/>
      <c r="KDX80" s="609"/>
      <c r="KDY80" s="609"/>
      <c r="KDZ80" s="609"/>
      <c r="KEA80" s="609"/>
      <c r="KEB80" s="609"/>
      <c r="KEC80" s="609"/>
      <c r="KED80" s="609"/>
      <c r="KEE80" s="609"/>
      <c r="KEF80" s="609"/>
      <c r="KEG80" s="609"/>
      <c r="KEH80" s="609"/>
      <c r="KEI80" s="609"/>
      <c r="KEJ80" s="609"/>
      <c r="KEK80" s="609"/>
      <c r="KEL80" s="609"/>
      <c r="KEM80" s="609"/>
      <c r="KEN80" s="609"/>
      <c r="KEO80" s="609"/>
      <c r="KEP80" s="609"/>
      <c r="KEQ80" s="609"/>
      <c r="KER80" s="609"/>
      <c r="KES80" s="609"/>
      <c r="KET80" s="609"/>
      <c r="KEU80" s="609"/>
      <c r="KEV80" s="609"/>
      <c r="KEW80" s="609"/>
      <c r="KEX80" s="609"/>
      <c r="KEY80" s="609"/>
      <c r="KEZ80" s="609"/>
      <c r="KFA80" s="609"/>
      <c r="KFB80" s="609"/>
      <c r="KFC80" s="609"/>
      <c r="KFD80" s="609"/>
      <c r="KFE80" s="609"/>
      <c r="KFF80" s="609"/>
      <c r="KFG80" s="609"/>
      <c r="KFH80" s="609"/>
      <c r="KFI80" s="609"/>
      <c r="KFJ80" s="609"/>
      <c r="KFK80" s="609"/>
      <c r="KFL80" s="609"/>
      <c r="KFM80" s="609"/>
      <c r="KFN80" s="609"/>
      <c r="KFO80" s="609"/>
      <c r="KFP80" s="609"/>
      <c r="KFQ80" s="609"/>
      <c r="KFR80" s="609"/>
      <c r="KFS80" s="609"/>
      <c r="KFT80" s="609"/>
      <c r="KFU80" s="609"/>
      <c r="KFV80" s="609"/>
      <c r="KFW80" s="609"/>
      <c r="KFX80" s="609"/>
      <c r="KFY80" s="609"/>
      <c r="KFZ80" s="609"/>
      <c r="KGA80" s="609"/>
      <c r="KGB80" s="609"/>
      <c r="KGC80" s="609"/>
      <c r="KGD80" s="609"/>
      <c r="KGE80" s="609"/>
      <c r="KGF80" s="609"/>
      <c r="KGG80" s="609"/>
      <c r="KGH80" s="609"/>
      <c r="KGI80" s="609"/>
      <c r="KGJ80" s="609"/>
      <c r="KGK80" s="609"/>
      <c r="KGL80" s="609"/>
      <c r="KGM80" s="609"/>
      <c r="KGN80" s="609"/>
      <c r="KGO80" s="609"/>
      <c r="KGP80" s="609"/>
      <c r="KGQ80" s="609"/>
      <c r="KGR80" s="609"/>
      <c r="KGS80" s="609"/>
      <c r="KGT80" s="609"/>
      <c r="KGU80" s="609"/>
      <c r="KGV80" s="609"/>
      <c r="KGW80" s="609"/>
      <c r="KGX80" s="609"/>
      <c r="KGY80" s="609"/>
      <c r="KGZ80" s="609"/>
      <c r="KHA80" s="609"/>
      <c r="KHB80" s="609"/>
      <c r="KHC80" s="609"/>
      <c r="KHD80" s="609"/>
      <c r="KHE80" s="609"/>
      <c r="KHF80" s="609"/>
      <c r="KHG80" s="609"/>
      <c r="KHH80" s="609"/>
      <c r="KHI80" s="609"/>
      <c r="KHJ80" s="609"/>
      <c r="KHK80" s="609"/>
      <c r="KHL80" s="609"/>
      <c r="KHM80" s="609"/>
      <c r="KHN80" s="609"/>
      <c r="KHO80" s="609"/>
      <c r="KHP80" s="609"/>
      <c r="KHQ80" s="609"/>
      <c r="KHR80" s="609"/>
      <c r="KHS80" s="609"/>
      <c r="KHT80" s="609"/>
      <c r="KHU80" s="609"/>
      <c r="KHV80" s="609"/>
      <c r="KHW80" s="609"/>
      <c r="KHX80" s="609"/>
      <c r="KHY80" s="609"/>
      <c r="KHZ80" s="609"/>
      <c r="KIA80" s="609"/>
      <c r="KIB80" s="609"/>
      <c r="KIC80" s="609"/>
      <c r="KID80" s="609"/>
      <c r="KIE80" s="609"/>
      <c r="KIF80" s="609"/>
      <c r="KIG80" s="609"/>
      <c r="KIH80" s="609"/>
      <c r="KII80" s="609"/>
      <c r="KIJ80" s="609"/>
      <c r="KIK80" s="609"/>
      <c r="KIL80" s="609"/>
      <c r="KIM80" s="609"/>
      <c r="KIN80" s="609"/>
      <c r="KIO80" s="609"/>
      <c r="KIP80" s="609"/>
      <c r="KIQ80" s="609"/>
      <c r="KIR80" s="609"/>
      <c r="KIS80" s="609"/>
      <c r="KIT80" s="609"/>
      <c r="KIU80" s="609"/>
      <c r="KIV80" s="609"/>
      <c r="KIW80" s="609"/>
      <c r="KIX80" s="609"/>
      <c r="KIY80" s="609"/>
      <c r="KIZ80" s="609"/>
      <c r="KJA80" s="609"/>
      <c r="KJB80" s="609"/>
      <c r="KJC80" s="609"/>
      <c r="KJD80" s="609"/>
      <c r="KJE80" s="609"/>
      <c r="KJF80" s="609"/>
      <c r="KJG80" s="609"/>
      <c r="KJH80" s="609"/>
      <c r="KJI80" s="609"/>
      <c r="KJJ80" s="609"/>
      <c r="KJK80" s="609"/>
      <c r="KJL80" s="609"/>
      <c r="KJM80" s="609"/>
      <c r="KJN80" s="609"/>
      <c r="KJO80" s="609"/>
      <c r="KJP80" s="609"/>
      <c r="KJQ80" s="609"/>
      <c r="KJR80" s="609"/>
      <c r="KJS80" s="609"/>
      <c r="KJT80" s="609"/>
      <c r="KJU80" s="609"/>
      <c r="KJV80" s="609"/>
      <c r="KJW80" s="609"/>
      <c r="KJX80" s="609"/>
      <c r="KJY80" s="609"/>
      <c r="KJZ80" s="609"/>
      <c r="KKA80" s="609"/>
      <c r="KKB80" s="609"/>
      <c r="KKC80" s="609"/>
      <c r="KKD80" s="609"/>
      <c r="KKE80" s="609"/>
      <c r="KKF80" s="609"/>
      <c r="KKG80" s="609"/>
      <c r="KKH80" s="609"/>
      <c r="KKI80" s="609"/>
      <c r="KKJ80" s="609"/>
      <c r="KKK80" s="609"/>
      <c r="KKL80" s="609"/>
      <c r="KKM80" s="609"/>
      <c r="KKN80" s="609"/>
      <c r="KKO80" s="609"/>
      <c r="KKP80" s="609"/>
      <c r="KKQ80" s="609"/>
      <c r="KKR80" s="609"/>
      <c r="KKS80" s="609"/>
      <c r="KKT80" s="609"/>
      <c r="KKU80" s="609"/>
      <c r="KKV80" s="609"/>
      <c r="KKW80" s="609"/>
      <c r="KKX80" s="609"/>
      <c r="KKY80" s="609"/>
      <c r="KKZ80" s="609"/>
      <c r="KLA80" s="609"/>
      <c r="KLB80" s="609"/>
      <c r="KLC80" s="609"/>
      <c r="KLD80" s="609"/>
      <c r="KLE80" s="609"/>
      <c r="KLF80" s="609"/>
      <c r="KLG80" s="609"/>
      <c r="KLH80" s="609"/>
      <c r="KLI80" s="609"/>
      <c r="KLJ80" s="609"/>
      <c r="KLK80" s="609"/>
      <c r="KLL80" s="609"/>
      <c r="KLM80" s="609"/>
      <c r="KLN80" s="609"/>
      <c r="KLO80" s="609"/>
      <c r="KLP80" s="609"/>
      <c r="KLQ80" s="609"/>
      <c r="KLR80" s="609"/>
      <c r="KLS80" s="609"/>
      <c r="KLT80" s="609"/>
      <c r="KLU80" s="609"/>
      <c r="KLV80" s="609"/>
      <c r="KLW80" s="609"/>
      <c r="KLX80" s="609"/>
      <c r="KLY80" s="609"/>
      <c r="KLZ80" s="609"/>
      <c r="KMA80" s="609"/>
      <c r="KMB80" s="609"/>
      <c r="KMC80" s="609"/>
      <c r="KMD80" s="609"/>
      <c r="KME80" s="609"/>
      <c r="KMF80" s="609"/>
      <c r="KMG80" s="609"/>
      <c r="KMH80" s="609"/>
      <c r="KMI80" s="609"/>
      <c r="KMJ80" s="609"/>
      <c r="KMK80" s="609"/>
      <c r="KML80" s="609"/>
      <c r="KMM80" s="609"/>
      <c r="KMN80" s="609"/>
      <c r="KMO80" s="609"/>
      <c r="KMP80" s="609"/>
      <c r="KMQ80" s="609"/>
      <c r="KMR80" s="609"/>
      <c r="KMS80" s="609"/>
      <c r="KMT80" s="609"/>
      <c r="KMU80" s="609"/>
      <c r="KMV80" s="609"/>
      <c r="KMW80" s="609"/>
      <c r="KMX80" s="609"/>
      <c r="KMY80" s="609"/>
      <c r="KMZ80" s="609"/>
      <c r="KNA80" s="609"/>
      <c r="KNB80" s="609"/>
      <c r="KNC80" s="609"/>
      <c r="KND80" s="609"/>
      <c r="KNE80" s="609"/>
      <c r="KNF80" s="609"/>
      <c r="KNG80" s="609"/>
      <c r="KNH80" s="609"/>
      <c r="KNI80" s="609"/>
      <c r="KNJ80" s="609"/>
      <c r="KNK80" s="609"/>
      <c r="KNL80" s="609"/>
      <c r="KNM80" s="609"/>
      <c r="KNN80" s="609"/>
      <c r="KNO80" s="609"/>
      <c r="KNP80" s="609"/>
      <c r="KNQ80" s="609"/>
      <c r="KNR80" s="609"/>
      <c r="KNS80" s="609"/>
      <c r="KNT80" s="609"/>
      <c r="KNU80" s="609"/>
      <c r="KNV80" s="609"/>
      <c r="KNW80" s="609"/>
      <c r="KNX80" s="609"/>
      <c r="KNY80" s="609"/>
      <c r="KNZ80" s="609"/>
      <c r="KOA80" s="609"/>
      <c r="KOB80" s="609"/>
      <c r="KOC80" s="609"/>
      <c r="KOD80" s="609"/>
      <c r="KOE80" s="609"/>
      <c r="KOF80" s="609"/>
      <c r="KOG80" s="609"/>
      <c r="KOH80" s="609"/>
      <c r="KOI80" s="609"/>
      <c r="KOJ80" s="609"/>
      <c r="KOK80" s="609"/>
      <c r="KOL80" s="609"/>
      <c r="KOM80" s="609"/>
      <c r="KON80" s="609"/>
      <c r="KOO80" s="609"/>
      <c r="KOP80" s="609"/>
      <c r="KOQ80" s="609"/>
      <c r="KOR80" s="609"/>
      <c r="KOS80" s="609"/>
      <c r="KOT80" s="609"/>
      <c r="KOU80" s="609"/>
      <c r="KOV80" s="609"/>
      <c r="KOW80" s="609"/>
      <c r="KOX80" s="609"/>
      <c r="KOY80" s="609"/>
      <c r="KOZ80" s="609"/>
      <c r="KPA80" s="609"/>
      <c r="KPB80" s="609"/>
      <c r="KPC80" s="609"/>
      <c r="KPD80" s="609"/>
      <c r="KPE80" s="609"/>
      <c r="KPF80" s="609"/>
      <c r="KPG80" s="609"/>
      <c r="KPH80" s="609"/>
      <c r="KPI80" s="609"/>
      <c r="KPJ80" s="609"/>
      <c r="KPK80" s="609"/>
      <c r="KPL80" s="609"/>
      <c r="KPM80" s="609"/>
      <c r="KPN80" s="609"/>
      <c r="KPO80" s="609"/>
      <c r="KPP80" s="609"/>
      <c r="KPQ80" s="609"/>
      <c r="KPR80" s="609"/>
      <c r="KPS80" s="609"/>
      <c r="KPT80" s="609"/>
      <c r="KPU80" s="609"/>
      <c r="KPV80" s="609"/>
      <c r="KPW80" s="609"/>
      <c r="KPX80" s="609"/>
      <c r="KPY80" s="609"/>
      <c r="KPZ80" s="609"/>
      <c r="KQA80" s="609"/>
      <c r="KQB80" s="609"/>
      <c r="KQC80" s="609"/>
      <c r="KQD80" s="609"/>
      <c r="KQE80" s="609"/>
      <c r="KQF80" s="609"/>
      <c r="KQG80" s="609"/>
      <c r="KQH80" s="609"/>
      <c r="KQI80" s="609"/>
      <c r="KQJ80" s="609"/>
      <c r="KQK80" s="609"/>
      <c r="KQL80" s="609"/>
      <c r="KQM80" s="609"/>
      <c r="KQN80" s="609"/>
      <c r="KQO80" s="609"/>
      <c r="KQP80" s="609"/>
      <c r="KQQ80" s="609"/>
      <c r="KQR80" s="609"/>
      <c r="KQS80" s="609"/>
      <c r="KQT80" s="609"/>
      <c r="KQU80" s="609"/>
      <c r="KQV80" s="609"/>
      <c r="KQW80" s="609"/>
      <c r="KQX80" s="609"/>
      <c r="KQY80" s="609"/>
      <c r="KQZ80" s="609"/>
      <c r="KRA80" s="609"/>
      <c r="KRB80" s="609"/>
      <c r="KRC80" s="609"/>
      <c r="KRD80" s="609"/>
      <c r="KRE80" s="609"/>
      <c r="KRF80" s="609"/>
      <c r="KRG80" s="609"/>
      <c r="KRH80" s="609"/>
      <c r="KRI80" s="609"/>
      <c r="KRJ80" s="609"/>
      <c r="KRK80" s="609"/>
      <c r="KRL80" s="609"/>
      <c r="KRM80" s="609"/>
      <c r="KRN80" s="609"/>
      <c r="KRO80" s="609"/>
      <c r="KRP80" s="609"/>
      <c r="KRQ80" s="609"/>
      <c r="KRR80" s="609"/>
      <c r="KRS80" s="609"/>
      <c r="KRT80" s="609"/>
      <c r="KRU80" s="609"/>
      <c r="KRV80" s="609"/>
      <c r="KRW80" s="609"/>
      <c r="KRX80" s="609"/>
      <c r="KRY80" s="609"/>
      <c r="KRZ80" s="609"/>
      <c r="KSA80" s="609"/>
      <c r="KSB80" s="609"/>
      <c r="KSC80" s="609"/>
      <c r="KSD80" s="609"/>
      <c r="KSE80" s="609"/>
      <c r="KSF80" s="609"/>
      <c r="KSG80" s="609"/>
      <c r="KSH80" s="609"/>
      <c r="KSI80" s="609"/>
      <c r="KSJ80" s="609"/>
      <c r="KSK80" s="609"/>
      <c r="KSL80" s="609"/>
      <c r="KSM80" s="609"/>
      <c r="KSN80" s="609"/>
      <c r="KSO80" s="609"/>
      <c r="KSP80" s="609"/>
      <c r="KSQ80" s="609"/>
      <c r="KSR80" s="609"/>
      <c r="KSS80" s="609"/>
      <c r="KST80" s="609"/>
      <c r="KSU80" s="609"/>
      <c r="KSV80" s="609"/>
      <c r="KSW80" s="609"/>
      <c r="KSX80" s="609"/>
      <c r="KSY80" s="609"/>
      <c r="KSZ80" s="609"/>
      <c r="KTA80" s="609"/>
      <c r="KTB80" s="609"/>
      <c r="KTC80" s="609"/>
      <c r="KTD80" s="609"/>
      <c r="KTE80" s="609"/>
      <c r="KTF80" s="609"/>
      <c r="KTG80" s="609"/>
      <c r="KTH80" s="609"/>
      <c r="KTI80" s="609"/>
      <c r="KTJ80" s="609"/>
      <c r="KTK80" s="609"/>
      <c r="KTL80" s="609"/>
      <c r="KTM80" s="609"/>
      <c r="KTN80" s="609"/>
      <c r="KTO80" s="609"/>
      <c r="KTP80" s="609"/>
      <c r="KTQ80" s="609"/>
      <c r="KTR80" s="609"/>
      <c r="KTS80" s="609"/>
      <c r="KTT80" s="609"/>
      <c r="KTU80" s="609"/>
      <c r="KTV80" s="609"/>
      <c r="KTW80" s="609"/>
      <c r="KTX80" s="609"/>
      <c r="KTY80" s="609"/>
      <c r="KTZ80" s="609"/>
      <c r="KUA80" s="609"/>
      <c r="KUB80" s="609"/>
      <c r="KUC80" s="609"/>
      <c r="KUD80" s="609"/>
      <c r="KUE80" s="609"/>
      <c r="KUF80" s="609"/>
      <c r="KUG80" s="609"/>
      <c r="KUH80" s="609"/>
      <c r="KUI80" s="609"/>
      <c r="KUJ80" s="609"/>
      <c r="KUK80" s="609"/>
      <c r="KUL80" s="609"/>
      <c r="KUM80" s="609"/>
      <c r="KUN80" s="609"/>
      <c r="KUO80" s="609"/>
      <c r="KUP80" s="609"/>
      <c r="KUQ80" s="609"/>
      <c r="KUR80" s="609"/>
      <c r="KUS80" s="609"/>
      <c r="KUT80" s="609"/>
      <c r="KUU80" s="609"/>
      <c r="KUV80" s="609"/>
      <c r="KUW80" s="609"/>
      <c r="KUX80" s="609"/>
      <c r="KUY80" s="609"/>
      <c r="KUZ80" s="609"/>
      <c r="KVA80" s="609"/>
      <c r="KVB80" s="609"/>
      <c r="KVC80" s="609"/>
      <c r="KVD80" s="609"/>
      <c r="KVE80" s="609"/>
      <c r="KVF80" s="609"/>
      <c r="KVG80" s="609"/>
      <c r="KVH80" s="609"/>
      <c r="KVI80" s="609"/>
      <c r="KVJ80" s="609"/>
      <c r="KVK80" s="609"/>
      <c r="KVL80" s="609"/>
      <c r="KVM80" s="609"/>
      <c r="KVN80" s="609"/>
      <c r="KVO80" s="609"/>
      <c r="KVP80" s="609"/>
      <c r="KVQ80" s="609"/>
      <c r="KVR80" s="609"/>
      <c r="KVS80" s="609"/>
      <c r="KVT80" s="609"/>
      <c r="KVU80" s="609"/>
      <c r="KVV80" s="609"/>
      <c r="KVW80" s="609"/>
      <c r="KVX80" s="609"/>
      <c r="KVY80" s="609"/>
      <c r="KVZ80" s="609"/>
      <c r="KWA80" s="609"/>
      <c r="KWB80" s="609"/>
      <c r="KWC80" s="609"/>
      <c r="KWD80" s="609"/>
      <c r="KWE80" s="609"/>
      <c r="KWF80" s="609"/>
      <c r="KWG80" s="609"/>
      <c r="KWH80" s="609"/>
      <c r="KWI80" s="609"/>
      <c r="KWJ80" s="609"/>
      <c r="KWK80" s="609"/>
      <c r="KWL80" s="609"/>
      <c r="KWM80" s="609"/>
      <c r="KWN80" s="609"/>
      <c r="KWO80" s="609"/>
      <c r="KWP80" s="609"/>
      <c r="KWQ80" s="609"/>
      <c r="KWR80" s="609"/>
      <c r="KWS80" s="609"/>
      <c r="KWT80" s="609"/>
      <c r="KWU80" s="609"/>
      <c r="KWV80" s="609"/>
      <c r="KWW80" s="609"/>
      <c r="KWX80" s="609"/>
      <c r="KWY80" s="609"/>
      <c r="KWZ80" s="609"/>
      <c r="KXA80" s="609"/>
      <c r="KXB80" s="609"/>
      <c r="KXC80" s="609"/>
      <c r="KXD80" s="609"/>
      <c r="KXE80" s="609"/>
      <c r="KXF80" s="609"/>
      <c r="KXG80" s="609"/>
      <c r="KXH80" s="609"/>
      <c r="KXI80" s="609"/>
      <c r="KXJ80" s="609"/>
      <c r="KXK80" s="609"/>
      <c r="KXL80" s="609"/>
      <c r="KXM80" s="609"/>
      <c r="KXN80" s="609"/>
      <c r="KXO80" s="609"/>
      <c r="KXP80" s="609"/>
      <c r="KXQ80" s="609"/>
      <c r="KXR80" s="609"/>
      <c r="KXS80" s="609"/>
      <c r="KXT80" s="609"/>
      <c r="KXU80" s="609"/>
      <c r="KXV80" s="609"/>
      <c r="KXW80" s="609"/>
      <c r="KXX80" s="609"/>
      <c r="KXY80" s="609"/>
      <c r="KXZ80" s="609"/>
      <c r="KYA80" s="609"/>
      <c r="KYB80" s="609"/>
      <c r="KYC80" s="609"/>
      <c r="KYD80" s="609"/>
      <c r="KYE80" s="609"/>
      <c r="KYF80" s="609"/>
      <c r="KYG80" s="609"/>
      <c r="KYH80" s="609"/>
      <c r="KYI80" s="609"/>
      <c r="KYJ80" s="609"/>
      <c r="KYK80" s="609"/>
      <c r="KYL80" s="609"/>
      <c r="KYM80" s="609"/>
      <c r="KYN80" s="609"/>
      <c r="KYO80" s="609"/>
      <c r="KYP80" s="609"/>
      <c r="KYQ80" s="609"/>
      <c r="KYR80" s="609"/>
      <c r="KYS80" s="609"/>
      <c r="KYT80" s="609"/>
      <c r="KYU80" s="609"/>
      <c r="KYV80" s="609"/>
      <c r="KYW80" s="609"/>
      <c r="KYX80" s="609"/>
      <c r="KYY80" s="609"/>
      <c r="KYZ80" s="609"/>
      <c r="KZA80" s="609"/>
      <c r="KZB80" s="609"/>
      <c r="KZC80" s="609"/>
      <c r="KZD80" s="609"/>
      <c r="KZE80" s="609"/>
      <c r="KZF80" s="609"/>
      <c r="KZG80" s="609"/>
      <c r="KZH80" s="609"/>
      <c r="KZI80" s="609"/>
      <c r="KZJ80" s="609"/>
      <c r="KZK80" s="609"/>
      <c r="KZL80" s="609"/>
      <c r="KZM80" s="609"/>
      <c r="KZN80" s="609"/>
      <c r="KZO80" s="609"/>
      <c r="KZP80" s="609"/>
      <c r="KZQ80" s="609"/>
      <c r="KZR80" s="609"/>
      <c r="KZS80" s="609"/>
      <c r="KZT80" s="609"/>
      <c r="KZU80" s="609"/>
      <c r="KZV80" s="609"/>
      <c r="KZW80" s="609"/>
      <c r="KZX80" s="609"/>
      <c r="KZY80" s="609"/>
      <c r="KZZ80" s="609"/>
      <c r="LAA80" s="609"/>
      <c r="LAB80" s="609"/>
      <c r="LAC80" s="609"/>
      <c r="LAD80" s="609"/>
      <c r="LAE80" s="609"/>
      <c r="LAF80" s="609"/>
      <c r="LAG80" s="609"/>
      <c r="LAH80" s="609"/>
      <c r="LAI80" s="609"/>
      <c r="LAJ80" s="609"/>
      <c r="LAK80" s="609"/>
      <c r="LAL80" s="609"/>
      <c r="LAM80" s="609"/>
      <c r="LAN80" s="609"/>
      <c r="LAO80" s="609"/>
      <c r="LAP80" s="609"/>
      <c r="LAQ80" s="609"/>
      <c r="LAR80" s="609"/>
      <c r="LAS80" s="609"/>
      <c r="LAT80" s="609"/>
      <c r="LAU80" s="609"/>
      <c r="LAV80" s="609"/>
      <c r="LAW80" s="609"/>
      <c r="LAX80" s="609"/>
      <c r="LAY80" s="609"/>
      <c r="LAZ80" s="609"/>
      <c r="LBA80" s="609"/>
      <c r="LBB80" s="609"/>
      <c r="LBC80" s="609"/>
      <c r="LBD80" s="609"/>
      <c r="LBE80" s="609"/>
      <c r="LBF80" s="609"/>
      <c r="LBG80" s="609"/>
      <c r="LBH80" s="609"/>
      <c r="LBI80" s="609"/>
      <c r="LBJ80" s="609"/>
      <c r="LBK80" s="609"/>
      <c r="LBL80" s="609"/>
      <c r="LBM80" s="609"/>
      <c r="LBN80" s="609"/>
      <c r="LBO80" s="609"/>
      <c r="LBP80" s="609"/>
      <c r="LBQ80" s="609"/>
      <c r="LBR80" s="609"/>
      <c r="LBS80" s="609"/>
      <c r="LBT80" s="609"/>
      <c r="LBU80" s="609"/>
      <c r="LBV80" s="609"/>
      <c r="LBW80" s="609"/>
      <c r="LBX80" s="609"/>
      <c r="LBY80" s="609"/>
      <c r="LBZ80" s="609"/>
      <c r="LCA80" s="609"/>
      <c r="LCB80" s="609"/>
      <c r="LCC80" s="609"/>
      <c r="LCD80" s="609"/>
      <c r="LCE80" s="609"/>
      <c r="LCF80" s="609"/>
      <c r="LCG80" s="609"/>
      <c r="LCH80" s="609"/>
      <c r="LCI80" s="609"/>
      <c r="LCJ80" s="609"/>
      <c r="LCK80" s="609"/>
      <c r="LCL80" s="609"/>
      <c r="LCM80" s="609"/>
      <c r="LCN80" s="609"/>
      <c r="LCO80" s="609"/>
      <c r="LCP80" s="609"/>
      <c r="LCQ80" s="609"/>
      <c r="LCR80" s="609"/>
      <c r="LCS80" s="609"/>
      <c r="LCT80" s="609"/>
      <c r="LCU80" s="609"/>
      <c r="LCV80" s="609"/>
      <c r="LCW80" s="609"/>
      <c r="LCX80" s="609"/>
      <c r="LCY80" s="609"/>
      <c r="LCZ80" s="609"/>
      <c r="LDA80" s="609"/>
      <c r="LDB80" s="609"/>
      <c r="LDC80" s="609"/>
      <c r="LDD80" s="609"/>
      <c r="LDE80" s="609"/>
      <c r="LDF80" s="609"/>
      <c r="LDG80" s="609"/>
      <c r="LDH80" s="609"/>
      <c r="LDI80" s="609"/>
      <c r="LDJ80" s="609"/>
      <c r="LDK80" s="609"/>
      <c r="LDL80" s="609"/>
      <c r="LDM80" s="609"/>
      <c r="LDN80" s="609"/>
      <c r="LDO80" s="609"/>
      <c r="LDP80" s="609"/>
      <c r="LDQ80" s="609"/>
      <c r="LDR80" s="609"/>
      <c r="LDS80" s="609"/>
      <c r="LDT80" s="609"/>
      <c r="LDU80" s="609"/>
      <c r="LDV80" s="609"/>
      <c r="LDW80" s="609"/>
      <c r="LDX80" s="609"/>
      <c r="LDY80" s="609"/>
      <c r="LDZ80" s="609"/>
      <c r="LEA80" s="609"/>
      <c r="LEB80" s="609"/>
      <c r="LEC80" s="609"/>
      <c r="LED80" s="609"/>
      <c r="LEE80" s="609"/>
      <c r="LEF80" s="609"/>
      <c r="LEG80" s="609"/>
      <c r="LEH80" s="609"/>
      <c r="LEI80" s="609"/>
      <c r="LEJ80" s="609"/>
      <c r="LEK80" s="609"/>
      <c r="LEL80" s="609"/>
      <c r="LEM80" s="609"/>
      <c r="LEN80" s="609"/>
      <c r="LEO80" s="609"/>
      <c r="LEP80" s="609"/>
      <c r="LEQ80" s="609"/>
      <c r="LER80" s="609"/>
      <c r="LES80" s="609"/>
      <c r="LET80" s="609"/>
      <c r="LEU80" s="609"/>
      <c r="LEV80" s="609"/>
      <c r="LEW80" s="609"/>
      <c r="LEX80" s="609"/>
      <c r="LEY80" s="609"/>
      <c r="LEZ80" s="609"/>
      <c r="LFA80" s="609"/>
      <c r="LFB80" s="609"/>
      <c r="LFC80" s="609"/>
      <c r="LFD80" s="609"/>
      <c r="LFE80" s="609"/>
      <c r="LFF80" s="609"/>
      <c r="LFG80" s="609"/>
      <c r="LFH80" s="609"/>
      <c r="LFI80" s="609"/>
      <c r="LFJ80" s="609"/>
      <c r="LFK80" s="609"/>
      <c r="LFL80" s="609"/>
      <c r="LFM80" s="609"/>
      <c r="LFN80" s="609"/>
      <c r="LFO80" s="609"/>
      <c r="LFP80" s="609"/>
      <c r="LFQ80" s="609"/>
      <c r="LFR80" s="609"/>
      <c r="LFS80" s="609"/>
      <c r="LFT80" s="609"/>
      <c r="LFU80" s="609"/>
      <c r="LFV80" s="609"/>
      <c r="LFW80" s="609"/>
      <c r="LFX80" s="609"/>
      <c r="LFY80" s="609"/>
      <c r="LFZ80" s="609"/>
      <c r="LGA80" s="609"/>
      <c r="LGB80" s="609"/>
      <c r="LGC80" s="609"/>
      <c r="LGD80" s="609"/>
      <c r="LGE80" s="609"/>
      <c r="LGF80" s="609"/>
      <c r="LGG80" s="609"/>
      <c r="LGH80" s="609"/>
      <c r="LGI80" s="609"/>
      <c r="LGJ80" s="609"/>
      <c r="LGK80" s="609"/>
      <c r="LGL80" s="609"/>
      <c r="LGM80" s="609"/>
      <c r="LGN80" s="609"/>
      <c r="LGO80" s="609"/>
      <c r="LGP80" s="609"/>
      <c r="LGQ80" s="609"/>
      <c r="LGR80" s="609"/>
      <c r="LGS80" s="609"/>
      <c r="LGT80" s="609"/>
      <c r="LGU80" s="609"/>
      <c r="LGV80" s="609"/>
      <c r="LGW80" s="609"/>
      <c r="LGX80" s="609"/>
      <c r="LGY80" s="609"/>
      <c r="LGZ80" s="609"/>
      <c r="LHA80" s="609"/>
      <c r="LHB80" s="609"/>
      <c r="LHC80" s="609"/>
      <c r="LHD80" s="609"/>
      <c r="LHE80" s="609"/>
      <c r="LHF80" s="609"/>
      <c r="LHG80" s="609"/>
      <c r="LHH80" s="609"/>
      <c r="LHI80" s="609"/>
      <c r="LHJ80" s="609"/>
      <c r="LHK80" s="609"/>
      <c r="LHL80" s="609"/>
      <c r="LHM80" s="609"/>
      <c r="LHN80" s="609"/>
      <c r="LHO80" s="609"/>
      <c r="LHP80" s="609"/>
      <c r="LHQ80" s="609"/>
      <c r="LHR80" s="609"/>
      <c r="LHS80" s="609"/>
      <c r="LHT80" s="609"/>
      <c r="LHU80" s="609"/>
      <c r="LHV80" s="609"/>
      <c r="LHW80" s="609"/>
      <c r="LHX80" s="609"/>
      <c r="LHY80" s="609"/>
      <c r="LHZ80" s="609"/>
      <c r="LIA80" s="609"/>
      <c r="LIB80" s="609"/>
      <c r="LIC80" s="609"/>
      <c r="LID80" s="609"/>
      <c r="LIE80" s="609"/>
      <c r="LIF80" s="609"/>
      <c r="LIG80" s="609"/>
      <c r="LIH80" s="609"/>
      <c r="LII80" s="609"/>
      <c r="LIJ80" s="609"/>
      <c r="LIK80" s="609"/>
      <c r="LIL80" s="609"/>
      <c r="LIM80" s="609"/>
      <c r="LIN80" s="609"/>
      <c r="LIO80" s="609"/>
      <c r="LIP80" s="609"/>
      <c r="LIQ80" s="609"/>
      <c r="LIR80" s="609"/>
      <c r="LIS80" s="609"/>
      <c r="LIT80" s="609"/>
      <c r="LIU80" s="609"/>
      <c r="LIV80" s="609"/>
      <c r="LIW80" s="609"/>
      <c r="LIX80" s="609"/>
      <c r="LIY80" s="609"/>
      <c r="LIZ80" s="609"/>
      <c r="LJA80" s="609"/>
      <c r="LJB80" s="609"/>
      <c r="LJC80" s="609"/>
      <c r="LJD80" s="609"/>
      <c r="LJE80" s="609"/>
      <c r="LJF80" s="609"/>
      <c r="LJG80" s="609"/>
      <c r="LJH80" s="609"/>
      <c r="LJI80" s="609"/>
      <c r="LJJ80" s="609"/>
      <c r="LJK80" s="609"/>
      <c r="LJL80" s="609"/>
      <c r="LJM80" s="609"/>
      <c r="LJN80" s="609"/>
      <c r="LJO80" s="609"/>
      <c r="LJP80" s="609"/>
      <c r="LJQ80" s="609"/>
      <c r="LJR80" s="609"/>
      <c r="LJS80" s="609"/>
      <c r="LJT80" s="609"/>
      <c r="LJU80" s="609"/>
      <c r="LJV80" s="609"/>
      <c r="LJW80" s="609"/>
      <c r="LJX80" s="609"/>
      <c r="LJY80" s="609"/>
      <c r="LJZ80" s="609"/>
      <c r="LKA80" s="609"/>
      <c r="LKB80" s="609"/>
      <c r="LKC80" s="609"/>
      <c r="LKD80" s="609"/>
      <c r="LKE80" s="609"/>
      <c r="LKF80" s="609"/>
      <c r="LKG80" s="609"/>
      <c r="LKH80" s="609"/>
      <c r="LKI80" s="609"/>
      <c r="LKJ80" s="609"/>
      <c r="LKK80" s="609"/>
      <c r="LKL80" s="609"/>
      <c r="LKM80" s="609"/>
      <c r="LKN80" s="609"/>
      <c r="LKO80" s="609"/>
      <c r="LKP80" s="609"/>
      <c r="LKQ80" s="609"/>
      <c r="LKR80" s="609"/>
      <c r="LKS80" s="609"/>
      <c r="LKT80" s="609"/>
      <c r="LKU80" s="609"/>
      <c r="LKV80" s="609"/>
      <c r="LKW80" s="609"/>
      <c r="LKX80" s="609"/>
      <c r="LKY80" s="609"/>
      <c r="LKZ80" s="609"/>
      <c r="LLA80" s="609"/>
      <c r="LLB80" s="609"/>
      <c r="LLC80" s="609"/>
      <c r="LLD80" s="609"/>
      <c r="LLE80" s="609"/>
      <c r="LLF80" s="609"/>
      <c r="LLG80" s="609"/>
      <c r="LLH80" s="609"/>
      <c r="LLI80" s="609"/>
      <c r="LLJ80" s="609"/>
      <c r="LLK80" s="609"/>
      <c r="LLL80" s="609"/>
      <c r="LLM80" s="609"/>
      <c r="LLN80" s="609"/>
      <c r="LLO80" s="609"/>
      <c r="LLP80" s="609"/>
      <c r="LLQ80" s="609"/>
      <c r="LLR80" s="609"/>
      <c r="LLS80" s="609"/>
      <c r="LLT80" s="609"/>
      <c r="LLU80" s="609"/>
      <c r="LLV80" s="609"/>
      <c r="LLW80" s="609"/>
      <c r="LLX80" s="609"/>
      <c r="LLY80" s="609"/>
      <c r="LLZ80" s="609"/>
      <c r="LMA80" s="609"/>
      <c r="LMB80" s="609"/>
      <c r="LMC80" s="609"/>
      <c r="LMD80" s="609"/>
      <c r="LME80" s="609"/>
      <c r="LMF80" s="609"/>
      <c r="LMG80" s="609"/>
      <c r="LMH80" s="609"/>
      <c r="LMI80" s="609"/>
      <c r="LMJ80" s="609"/>
      <c r="LMK80" s="609"/>
      <c r="LML80" s="609"/>
      <c r="LMM80" s="609"/>
      <c r="LMN80" s="609"/>
      <c r="LMO80" s="609"/>
      <c r="LMP80" s="609"/>
      <c r="LMQ80" s="609"/>
      <c r="LMR80" s="609"/>
      <c r="LMS80" s="609"/>
      <c r="LMT80" s="609"/>
      <c r="LMU80" s="609"/>
      <c r="LMV80" s="609"/>
      <c r="LMW80" s="609"/>
      <c r="LMX80" s="609"/>
      <c r="LMY80" s="609"/>
      <c r="LMZ80" s="609"/>
      <c r="LNA80" s="609"/>
      <c r="LNB80" s="609"/>
      <c r="LNC80" s="609"/>
      <c r="LND80" s="609"/>
      <c r="LNE80" s="609"/>
      <c r="LNF80" s="609"/>
      <c r="LNG80" s="609"/>
      <c r="LNH80" s="609"/>
      <c r="LNI80" s="609"/>
      <c r="LNJ80" s="609"/>
      <c r="LNK80" s="609"/>
      <c r="LNL80" s="609"/>
      <c r="LNM80" s="609"/>
      <c r="LNN80" s="609"/>
      <c r="LNO80" s="609"/>
      <c r="LNP80" s="609"/>
      <c r="LNQ80" s="609"/>
      <c r="LNR80" s="609"/>
      <c r="LNS80" s="609"/>
      <c r="LNT80" s="609"/>
      <c r="LNU80" s="609"/>
      <c r="LNV80" s="609"/>
      <c r="LNW80" s="609"/>
      <c r="LNX80" s="609"/>
      <c r="LNY80" s="609"/>
      <c r="LNZ80" s="609"/>
      <c r="LOA80" s="609"/>
      <c r="LOB80" s="609"/>
      <c r="LOC80" s="609"/>
      <c r="LOD80" s="609"/>
      <c r="LOE80" s="609"/>
      <c r="LOF80" s="609"/>
      <c r="LOG80" s="609"/>
      <c r="LOH80" s="609"/>
      <c r="LOI80" s="609"/>
      <c r="LOJ80" s="609"/>
      <c r="LOK80" s="609"/>
      <c r="LOL80" s="609"/>
      <c r="LOM80" s="609"/>
      <c r="LON80" s="609"/>
      <c r="LOO80" s="609"/>
      <c r="LOP80" s="609"/>
      <c r="LOQ80" s="609"/>
      <c r="LOR80" s="609"/>
      <c r="LOS80" s="609"/>
      <c r="LOT80" s="609"/>
      <c r="LOU80" s="609"/>
      <c r="LOV80" s="609"/>
      <c r="LOW80" s="609"/>
      <c r="LOX80" s="609"/>
      <c r="LOY80" s="609"/>
      <c r="LOZ80" s="609"/>
      <c r="LPA80" s="609"/>
      <c r="LPB80" s="609"/>
      <c r="LPC80" s="609"/>
      <c r="LPD80" s="609"/>
      <c r="LPE80" s="609"/>
      <c r="LPF80" s="609"/>
      <c r="LPG80" s="609"/>
      <c r="LPH80" s="609"/>
      <c r="LPI80" s="609"/>
      <c r="LPJ80" s="609"/>
      <c r="LPK80" s="609"/>
      <c r="LPL80" s="609"/>
      <c r="LPM80" s="609"/>
      <c r="LPN80" s="609"/>
      <c r="LPO80" s="609"/>
      <c r="LPP80" s="609"/>
      <c r="LPQ80" s="609"/>
      <c r="LPR80" s="609"/>
      <c r="LPS80" s="609"/>
      <c r="LPT80" s="609"/>
      <c r="LPU80" s="609"/>
      <c r="LPV80" s="609"/>
      <c r="LPW80" s="609"/>
      <c r="LPX80" s="609"/>
      <c r="LPY80" s="609"/>
      <c r="LPZ80" s="609"/>
      <c r="LQA80" s="609"/>
      <c r="LQB80" s="609"/>
      <c r="LQC80" s="609"/>
      <c r="LQD80" s="609"/>
      <c r="LQE80" s="609"/>
      <c r="LQF80" s="609"/>
      <c r="LQG80" s="609"/>
      <c r="LQH80" s="609"/>
      <c r="LQI80" s="609"/>
      <c r="LQJ80" s="609"/>
      <c r="LQK80" s="609"/>
      <c r="LQL80" s="609"/>
      <c r="LQM80" s="609"/>
      <c r="LQN80" s="609"/>
      <c r="LQO80" s="609"/>
      <c r="LQP80" s="609"/>
      <c r="LQQ80" s="609"/>
      <c r="LQR80" s="609"/>
      <c r="LQS80" s="609"/>
      <c r="LQT80" s="609"/>
      <c r="LQU80" s="609"/>
      <c r="LQV80" s="609"/>
      <c r="LQW80" s="609"/>
      <c r="LQX80" s="609"/>
      <c r="LQY80" s="609"/>
      <c r="LQZ80" s="609"/>
      <c r="LRA80" s="609"/>
      <c r="LRB80" s="609"/>
      <c r="LRC80" s="609"/>
      <c r="LRD80" s="609"/>
      <c r="LRE80" s="609"/>
      <c r="LRF80" s="609"/>
      <c r="LRG80" s="609"/>
      <c r="LRH80" s="609"/>
      <c r="LRI80" s="609"/>
      <c r="LRJ80" s="609"/>
      <c r="LRK80" s="609"/>
      <c r="LRL80" s="609"/>
      <c r="LRM80" s="609"/>
      <c r="LRN80" s="609"/>
      <c r="LRO80" s="609"/>
      <c r="LRP80" s="609"/>
      <c r="LRQ80" s="609"/>
      <c r="LRR80" s="609"/>
      <c r="LRS80" s="609"/>
      <c r="LRT80" s="609"/>
      <c r="LRU80" s="609"/>
      <c r="LRV80" s="609"/>
      <c r="LRW80" s="609"/>
      <c r="LRX80" s="609"/>
      <c r="LRY80" s="609"/>
      <c r="LRZ80" s="609"/>
      <c r="LSA80" s="609"/>
      <c r="LSB80" s="609"/>
      <c r="LSC80" s="609"/>
      <c r="LSD80" s="609"/>
      <c r="LSE80" s="609"/>
      <c r="LSF80" s="609"/>
      <c r="LSG80" s="609"/>
      <c r="LSH80" s="609"/>
      <c r="LSI80" s="609"/>
      <c r="LSJ80" s="609"/>
      <c r="LSK80" s="609"/>
      <c r="LSL80" s="609"/>
      <c r="LSM80" s="609"/>
      <c r="LSN80" s="609"/>
      <c r="LSO80" s="609"/>
      <c r="LSP80" s="609"/>
      <c r="LSQ80" s="609"/>
      <c r="LSR80" s="609"/>
      <c r="LSS80" s="609"/>
      <c r="LST80" s="609"/>
      <c r="LSU80" s="609"/>
      <c r="LSV80" s="609"/>
      <c r="LSW80" s="609"/>
      <c r="LSX80" s="609"/>
      <c r="LSY80" s="609"/>
      <c r="LSZ80" s="609"/>
      <c r="LTA80" s="609"/>
      <c r="LTB80" s="609"/>
      <c r="LTC80" s="609"/>
      <c r="LTD80" s="609"/>
      <c r="LTE80" s="609"/>
      <c r="LTF80" s="609"/>
      <c r="LTG80" s="609"/>
      <c r="LTH80" s="609"/>
      <c r="LTI80" s="609"/>
      <c r="LTJ80" s="609"/>
      <c r="LTK80" s="609"/>
      <c r="LTL80" s="609"/>
      <c r="LTM80" s="609"/>
      <c r="LTN80" s="609"/>
      <c r="LTO80" s="609"/>
      <c r="LTP80" s="609"/>
      <c r="LTQ80" s="609"/>
      <c r="LTR80" s="609"/>
      <c r="LTS80" s="609"/>
      <c r="LTT80" s="609"/>
      <c r="LTU80" s="609"/>
      <c r="LTV80" s="609"/>
      <c r="LTW80" s="609"/>
      <c r="LTX80" s="609"/>
      <c r="LTY80" s="609"/>
      <c r="LTZ80" s="609"/>
      <c r="LUA80" s="609"/>
      <c r="LUB80" s="609"/>
      <c r="LUC80" s="609"/>
      <c r="LUD80" s="609"/>
      <c r="LUE80" s="609"/>
      <c r="LUF80" s="609"/>
      <c r="LUG80" s="609"/>
      <c r="LUH80" s="609"/>
      <c r="LUI80" s="609"/>
      <c r="LUJ80" s="609"/>
      <c r="LUK80" s="609"/>
      <c r="LUL80" s="609"/>
      <c r="LUM80" s="609"/>
      <c r="LUN80" s="609"/>
      <c r="LUO80" s="609"/>
      <c r="LUP80" s="609"/>
      <c r="LUQ80" s="609"/>
      <c r="LUR80" s="609"/>
      <c r="LUS80" s="609"/>
      <c r="LUT80" s="609"/>
      <c r="LUU80" s="609"/>
      <c r="LUV80" s="609"/>
      <c r="LUW80" s="609"/>
      <c r="LUX80" s="609"/>
      <c r="LUY80" s="609"/>
      <c r="LUZ80" s="609"/>
      <c r="LVA80" s="609"/>
      <c r="LVB80" s="609"/>
      <c r="LVC80" s="609"/>
      <c r="LVD80" s="609"/>
      <c r="LVE80" s="609"/>
      <c r="LVF80" s="609"/>
      <c r="LVG80" s="609"/>
      <c r="LVH80" s="609"/>
      <c r="LVI80" s="609"/>
      <c r="LVJ80" s="609"/>
      <c r="LVK80" s="609"/>
      <c r="LVL80" s="609"/>
      <c r="LVM80" s="609"/>
      <c r="LVN80" s="609"/>
      <c r="LVO80" s="609"/>
      <c r="LVP80" s="609"/>
      <c r="LVQ80" s="609"/>
      <c r="LVR80" s="609"/>
      <c r="LVS80" s="609"/>
      <c r="LVT80" s="609"/>
      <c r="LVU80" s="609"/>
      <c r="LVV80" s="609"/>
      <c r="LVW80" s="609"/>
      <c r="LVX80" s="609"/>
      <c r="LVY80" s="609"/>
      <c r="LVZ80" s="609"/>
      <c r="LWA80" s="609"/>
      <c r="LWB80" s="609"/>
      <c r="LWC80" s="609"/>
      <c r="LWD80" s="609"/>
      <c r="LWE80" s="609"/>
      <c r="LWF80" s="609"/>
      <c r="LWG80" s="609"/>
      <c r="LWH80" s="609"/>
      <c r="LWI80" s="609"/>
      <c r="LWJ80" s="609"/>
      <c r="LWK80" s="609"/>
      <c r="LWL80" s="609"/>
      <c r="LWM80" s="609"/>
      <c r="LWN80" s="609"/>
      <c r="LWO80" s="609"/>
      <c r="LWP80" s="609"/>
      <c r="LWQ80" s="609"/>
      <c r="LWR80" s="609"/>
      <c r="LWS80" s="609"/>
      <c r="LWT80" s="609"/>
      <c r="LWU80" s="609"/>
      <c r="LWV80" s="609"/>
      <c r="LWW80" s="609"/>
      <c r="LWX80" s="609"/>
      <c r="LWY80" s="609"/>
      <c r="LWZ80" s="609"/>
      <c r="LXA80" s="609"/>
      <c r="LXB80" s="609"/>
      <c r="LXC80" s="609"/>
      <c r="LXD80" s="609"/>
      <c r="LXE80" s="609"/>
      <c r="LXF80" s="609"/>
      <c r="LXG80" s="609"/>
      <c r="LXH80" s="609"/>
      <c r="LXI80" s="609"/>
      <c r="LXJ80" s="609"/>
      <c r="LXK80" s="609"/>
      <c r="LXL80" s="609"/>
      <c r="LXM80" s="609"/>
      <c r="LXN80" s="609"/>
      <c r="LXO80" s="609"/>
      <c r="LXP80" s="609"/>
      <c r="LXQ80" s="609"/>
      <c r="LXR80" s="609"/>
      <c r="LXS80" s="609"/>
      <c r="LXT80" s="609"/>
      <c r="LXU80" s="609"/>
      <c r="LXV80" s="609"/>
      <c r="LXW80" s="609"/>
      <c r="LXX80" s="609"/>
      <c r="LXY80" s="609"/>
      <c r="LXZ80" s="609"/>
      <c r="LYA80" s="609"/>
      <c r="LYB80" s="609"/>
      <c r="LYC80" s="609"/>
      <c r="LYD80" s="609"/>
      <c r="LYE80" s="609"/>
      <c r="LYF80" s="609"/>
      <c r="LYG80" s="609"/>
      <c r="LYH80" s="609"/>
      <c r="LYI80" s="609"/>
      <c r="LYJ80" s="609"/>
      <c r="LYK80" s="609"/>
      <c r="LYL80" s="609"/>
      <c r="LYM80" s="609"/>
      <c r="LYN80" s="609"/>
      <c r="LYO80" s="609"/>
      <c r="LYP80" s="609"/>
      <c r="LYQ80" s="609"/>
      <c r="LYR80" s="609"/>
      <c r="LYS80" s="609"/>
      <c r="LYT80" s="609"/>
      <c r="LYU80" s="609"/>
      <c r="LYV80" s="609"/>
      <c r="LYW80" s="609"/>
      <c r="LYX80" s="609"/>
      <c r="LYY80" s="609"/>
      <c r="LYZ80" s="609"/>
      <c r="LZA80" s="609"/>
      <c r="LZB80" s="609"/>
      <c r="LZC80" s="609"/>
      <c r="LZD80" s="609"/>
      <c r="LZE80" s="609"/>
      <c r="LZF80" s="609"/>
      <c r="LZG80" s="609"/>
      <c r="LZH80" s="609"/>
      <c r="LZI80" s="609"/>
      <c r="LZJ80" s="609"/>
      <c r="LZK80" s="609"/>
      <c r="LZL80" s="609"/>
      <c r="LZM80" s="609"/>
      <c r="LZN80" s="609"/>
      <c r="LZO80" s="609"/>
      <c r="LZP80" s="609"/>
      <c r="LZQ80" s="609"/>
      <c r="LZR80" s="609"/>
      <c r="LZS80" s="609"/>
      <c r="LZT80" s="609"/>
      <c r="LZU80" s="609"/>
      <c r="LZV80" s="609"/>
      <c r="LZW80" s="609"/>
      <c r="LZX80" s="609"/>
      <c r="LZY80" s="609"/>
      <c r="LZZ80" s="609"/>
      <c r="MAA80" s="609"/>
      <c r="MAB80" s="609"/>
      <c r="MAC80" s="609"/>
      <c r="MAD80" s="609"/>
      <c r="MAE80" s="609"/>
      <c r="MAF80" s="609"/>
      <c r="MAG80" s="609"/>
      <c r="MAH80" s="609"/>
      <c r="MAI80" s="609"/>
      <c r="MAJ80" s="609"/>
      <c r="MAK80" s="609"/>
      <c r="MAL80" s="609"/>
      <c r="MAM80" s="609"/>
      <c r="MAN80" s="609"/>
      <c r="MAO80" s="609"/>
      <c r="MAP80" s="609"/>
      <c r="MAQ80" s="609"/>
      <c r="MAR80" s="609"/>
      <c r="MAS80" s="609"/>
      <c r="MAT80" s="609"/>
      <c r="MAU80" s="609"/>
      <c r="MAV80" s="609"/>
      <c r="MAW80" s="609"/>
      <c r="MAX80" s="609"/>
      <c r="MAY80" s="609"/>
      <c r="MAZ80" s="609"/>
      <c r="MBA80" s="609"/>
      <c r="MBB80" s="609"/>
      <c r="MBC80" s="609"/>
      <c r="MBD80" s="609"/>
      <c r="MBE80" s="609"/>
      <c r="MBF80" s="609"/>
      <c r="MBG80" s="609"/>
      <c r="MBH80" s="609"/>
      <c r="MBI80" s="609"/>
      <c r="MBJ80" s="609"/>
      <c r="MBK80" s="609"/>
      <c r="MBL80" s="609"/>
      <c r="MBM80" s="609"/>
      <c r="MBN80" s="609"/>
      <c r="MBO80" s="609"/>
      <c r="MBP80" s="609"/>
      <c r="MBQ80" s="609"/>
      <c r="MBR80" s="609"/>
      <c r="MBS80" s="609"/>
      <c r="MBT80" s="609"/>
      <c r="MBU80" s="609"/>
      <c r="MBV80" s="609"/>
      <c r="MBW80" s="609"/>
      <c r="MBX80" s="609"/>
      <c r="MBY80" s="609"/>
      <c r="MBZ80" s="609"/>
      <c r="MCA80" s="609"/>
      <c r="MCB80" s="609"/>
      <c r="MCC80" s="609"/>
      <c r="MCD80" s="609"/>
      <c r="MCE80" s="609"/>
      <c r="MCF80" s="609"/>
      <c r="MCG80" s="609"/>
      <c r="MCH80" s="609"/>
      <c r="MCI80" s="609"/>
      <c r="MCJ80" s="609"/>
      <c r="MCK80" s="609"/>
      <c r="MCL80" s="609"/>
      <c r="MCM80" s="609"/>
      <c r="MCN80" s="609"/>
      <c r="MCO80" s="609"/>
      <c r="MCP80" s="609"/>
      <c r="MCQ80" s="609"/>
      <c r="MCR80" s="609"/>
      <c r="MCS80" s="609"/>
      <c r="MCT80" s="609"/>
      <c r="MCU80" s="609"/>
      <c r="MCV80" s="609"/>
      <c r="MCW80" s="609"/>
      <c r="MCX80" s="609"/>
      <c r="MCY80" s="609"/>
      <c r="MCZ80" s="609"/>
      <c r="MDA80" s="609"/>
      <c r="MDB80" s="609"/>
      <c r="MDC80" s="609"/>
      <c r="MDD80" s="609"/>
      <c r="MDE80" s="609"/>
      <c r="MDF80" s="609"/>
      <c r="MDG80" s="609"/>
      <c r="MDH80" s="609"/>
      <c r="MDI80" s="609"/>
      <c r="MDJ80" s="609"/>
      <c r="MDK80" s="609"/>
      <c r="MDL80" s="609"/>
      <c r="MDM80" s="609"/>
      <c r="MDN80" s="609"/>
      <c r="MDO80" s="609"/>
      <c r="MDP80" s="609"/>
      <c r="MDQ80" s="609"/>
      <c r="MDR80" s="609"/>
      <c r="MDS80" s="609"/>
      <c r="MDT80" s="609"/>
      <c r="MDU80" s="609"/>
      <c r="MDV80" s="609"/>
      <c r="MDW80" s="609"/>
      <c r="MDX80" s="609"/>
      <c r="MDY80" s="609"/>
      <c r="MDZ80" s="609"/>
      <c r="MEA80" s="609"/>
      <c r="MEB80" s="609"/>
      <c r="MEC80" s="609"/>
      <c r="MED80" s="609"/>
      <c r="MEE80" s="609"/>
      <c r="MEF80" s="609"/>
      <c r="MEG80" s="609"/>
      <c r="MEH80" s="609"/>
      <c r="MEI80" s="609"/>
      <c r="MEJ80" s="609"/>
      <c r="MEK80" s="609"/>
      <c r="MEL80" s="609"/>
      <c r="MEM80" s="609"/>
      <c r="MEN80" s="609"/>
      <c r="MEO80" s="609"/>
      <c r="MEP80" s="609"/>
      <c r="MEQ80" s="609"/>
      <c r="MER80" s="609"/>
      <c r="MES80" s="609"/>
      <c r="MET80" s="609"/>
      <c r="MEU80" s="609"/>
      <c r="MEV80" s="609"/>
      <c r="MEW80" s="609"/>
      <c r="MEX80" s="609"/>
      <c r="MEY80" s="609"/>
      <c r="MEZ80" s="609"/>
      <c r="MFA80" s="609"/>
      <c r="MFB80" s="609"/>
      <c r="MFC80" s="609"/>
      <c r="MFD80" s="609"/>
      <c r="MFE80" s="609"/>
      <c r="MFF80" s="609"/>
      <c r="MFG80" s="609"/>
      <c r="MFH80" s="609"/>
      <c r="MFI80" s="609"/>
      <c r="MFJ80" s="609"/>
      <c r="MFK80" s="609"/>
      <c r="MFL80" s="609"/>
      <c r="MFM80" s="609"/>
      <c r="MFN80" s="609"/>
      <c r="MFO80" s="609"/>
      <c r="MFP80" s="609"/>
      <c r="MFQ80" s="609"/>
      <c r="MFR80" s="609"/>
      <c r="MFS80" s="609"/>
      <c r="MFT80" s="609"/>
      <c r="MFU80" s="609"/>
      <c r="MFV80" s="609"/>
      <c r="MFW80" s="609"/>
      <c r="MFX80" s="609"/>
      <c r="MFY80" s="609"/>
      <c r="MFZ80" s="609"/>
      <c r="MGA80" s="609"/>
      <c r="MGB80" s="609"/>
      <c r="MGC80" s="609"/>
      <c r="MGD80" s="609"/>
      <c r="MGE80" s="609"/>
      <c r="MGF80" s="609"/>
      <c r="MGG80" s="609"/>
      <c r="MGH80" s="609"/>
      <c r="MGI80" s="609"/>
      <c r="MGJ80" s="609"/>
      <c r="MGK80" s="609"/>
      <c r="MGL80" s="609"/>
      <c r="MGM80" s="609"/>
      <c r="MGN80" s="609"/>
      <c r="MGO80" s="609"/>
      <c r="MGP80" s="609"/>
      <c r="MGQ80" s="609"/>
      <c r="MGR80" s="609"/>
      <c r="MGS80" s="609"/>
      <c r="MGT80" s="609"/>
      <c r="MGU80" s="609"/>
      <c r="MGV80" s="609"/>
      <c r="MGW80" s="609"/>
      <c r="MGX80" s="609"/>
      <c r="MGY80" s="609"/>
      <c r="MGZ80" s="609"/>
      <c r="MHA80" s="609"/>
      <c r="MHB80" s="609"/>
      <c r="MHC80" s="609"/>
      <c r="MHD80" s="609"/>
      <c r="MHE80" s="609"/>
      <c r="MHF80" s="609"/>
      <c r="MHG80" s="609"/>
      <c r="MHH80" s="609"/>
      <c r="MHI80" s="609"/>
      <c r="MHJ80" s="609"/>
      <c r="MHK80" s="609"/>
      <c r="MHL80" s="609"/>
      <c r="MHM80" s="609"/>
      <c r="MHN80" s="609"/>
      <c r="MHO80" s="609"/>
      <c r="MHP80" s="609"/>
      <c r="MHQ80" s="609"/>
      <c r="MHR80" s="609"/>
      <c r="MHS80" s="609"/>
      <c r="MHT80" s="609"/>
      <c r="MHU80" s="609"/>
      <c r="MHV80" s="609"/>
      <c r="MHW80" s="609"/>
      <c r="MHX80" s="609"/>
      <c r="MHY80" s="609"/>
      <c r="MHZ80" s="609"/>
      <c r="MIA80" s="609"/>
      <c r="MIB80" s="609"/>
      <c r="MIC80" s="609"/>
      <c r="MID80" s="609"/>
      <c r="MIE80" s="609"/>
      <c r="MIF80" s="609"/>
      <c r="MIG80" s="609"/>
      <c r="MIH80" s="609"/>
      <c r="MII80" s="609"/>
      <c r="MIJ80" s="609"/>
      <c r="MIK80" s="609"/>
      <c r="MIL80" s="609"/>
      <c r="MIM80" s="609"/>
      <c r="MIN80" s="609"/>
      <c r="MIO80" s="609"/>
      <c r="MIP80" s="609"/>
      <c r="MIQ80" s="609"/>
      <c r="MIR80" s="609"/>
      <c r="MIS80" s="609"/>
      <c r="MIT80" s="609"/>
      <c r="MIU80" s="609"/>
      <c r="MIV80" s="609"/>
      <c r="MIW80" s="609"/>
      <c r="MIX80" s="609"/>
      <c r="MIY80" s="609"/>
      <c r="MIZ80" s="609"/>
      <c r="MJA80" s="609"/>
      <c r="MJB80" s="609"/>
      <c r="MJC80" s="609"/>
      <c r="MJD80" s="609"/>
      <c r="MJE80" s="609"/>
      <c r="MJF80" s="609"/>
      <c r="MJG80" s="609"/>
      <c r="MJH80" s="609"/>
      <c r="MJI80" s="609"/>
      <c r="MJJ80" s="609"/>
      <c r="MJK80" s="609"/>
      <c r="MJL80" s="609"/>
      <c r="MJM80" s="609"/>
      <c r="MJN80" s="609"/>
      <c r="MJO80" s="609"/>
      <c r="MJP80" s="609"/>
      <c r="MJQ80" s="609"/>
      <c r="MJR80" s="609"/>
      <c r="MJS80" s="609"/>
      <c r="MJT80" s="609"/>
      <c r="MJU80" s="609"/>
      <c r="MJV80" s="609"/>
      <c r="MJW80" s="609"/>
      <c r="MJX80" s="609"/>
      <c r="MJY80" s="609"/>
      <c r="MJZ80" s="609"/>
      <c r="MKA80" s="609"/>
      <c r="MKB80" s="609"/>
      <c r="MKC80" s="609"/>
      <c r="MKD80" s="609"/>
      <c r="MKE80" s="609"/>
      <c r="MKF80" s="609"/>
      <c r="MKG80" s="609"/>
      <c r="MKH80" s="609"/>
      <c r="MKI80" s="609"/>
      <c r="MKJ80" s="609"/>
      <c r="MKK80" s="609"/>
      <c r="MKL80" s="609"/>
      <c r="MKM80" s="609"/>
      <c r="MKN80" s="609"/>
      <c r="MKO80" s="609"/>
      <c r="MKP80" s="609"/>
      <c r="MKQ80" s="609"/>
      <c r="MKR80" s="609"/>
      <c r="MKS80" s="609"/>
      <c r="MKT80" s="609"/>
      <c r="MKU80" s="609"/>
      <c r="MKV80" s="609"/>
      <c r="MKW80" s="609"/>
      <c r="MKX80" s="609"/>
      <c r="MKY80" s="609"/>
      <c r="MKZ80" s="609"/>
      <c r="MLA80" s="609"/>
      <c r="MLB80" s="609"/>
      <c r="MLC80" s="609"/>
      <c r="MLD80" s="609"/>
      <c r="MLE80" s="609"/>
      <c r="MLF80" s="609"/>
      <c r="MLG80" s="609"/>
      <c r="MLH80" s="609"/>
      <c r="MLI80" s="609"/>
      <c r="MLJ80" s="609"/>
      <c r="MLK80" s="609"/>
      <c r="MLL80" s="609"/>
      <c r="MLM80" s="609"/>
      <c r="MLN80" s="609"/>
      <c r="MLO80" s="609"/>
      <c r="MLP80" s="609"/>
      <c r="MLQ80" s="609"/>
      <c r="MLR80" s="609"/>
      <c r="MLS80" s="609"/>
      <c r="MLT80" s="609"/>
      <c r="MLU80" s="609"/>
      <c r="MLV80" s="609"/>
      <c r="MLW80" s="609"/>
      <c r="MLX80" s="609"/>
      <c r="MLY80" s="609"/>
      <c r="MLZ80" s="609"/>
      <c r="MMA80" s="609"/>
      <c r="MMB80" s="609"/>
      <c r="MMC80" s="609"/>
      <c r="MMD80" s="609"/>
      <c r="MME80" s="609"/>
      <c r="MMF80" s="609"/>
      <c r="MMG80" s="609"/>
      <c r="MMH80" s="609"/>
      <c r="MMI80" s="609"/>
      <c r="MMJ80" s="609"/>
      <c r="MMK80" s="609"/>
      <c r="MML80" s="609"/>
      <c r="MMM80" s="609"/>
      <c r="MMN80" s="609"/>
      <c r="MMO80" s="609"/>
      <c r="MMP80" s="609"/>
      <c r="MMQ80" s="609"/>
      <c r="MMR80" s="609"/>
      <c r="MMS80" s="609"/>
      <c r="MMT80" s="609"/>
      <c r="MMU80" s="609"/>
      <c r="MMV80" s="609"/>
      <c r="MMW80" s="609"/>
      <c r="MMX80" s="609"/>
      <c r="MMY80" s="609"/>
      <c r="MMZ80" s="609"/>
      <c r="MNA80" s="609"/>
      <c r="MNB80" s="609"/>
      <c r="MNC80" s="609"/>
      <c r="MND80" s="609"/>
      <c r="MNE80" s="609"/>
      <c r="MNF80" s="609"/>
      <c r="MNG80" s="609"/>
      <c r="MNH80" s="609"/>
      <c r="MNI80" s="609"/>
      <c r="MNJ80" s="609"/>
      <c r="MNK80" s="609"/>
      <c r="MNL80" s="609"/>
      <c r="MNM80" s="609"/>
      <c r="MNN80" s="609"/>
      <c r="MNO80" s="609"/>
      <c r="MNP80" s="609"/>
      <c r="MNQ80" s="609"/>
      <c r="MNR80" s="609"/>
      <c r="MNS80" s="609"/>
      <c r="MNT80" s="609"/>
      <c r="MNU80" s="609"/>
      <c r="MNV80" s="609"/>
      <c r="MNW80" s="609"/>
      <c r="MNX80" s="609"/>
      <c r="MNY80" s="609"/>
      <c r="MNZ80" s="609"/>
      <c r="MOA80" s="609"/>
      <c r="MOB80" s="609"/>
      <c r="MOC80" s="609"/>
      <c r="MOD80" s="609"/>
      <c r="MOE80" s="609"/>
      <c r="MOF80" s="609"/>
      <c r="MOG80" s="609"/>
      <c r="MOH80" s="609"/>
      <c r="MOI80" s="609"/>
      <c r="MOJ80" s="609"/>
      <c r="MOK80" s="609"/>
      <c r="MOL80" s="609"/>
      <c r="MOM80" s="609"/>
      <c r="MON80" s="609"/>
      <c r="MOO80" s="609"/>
      <c r="MOP80" s="609"/>
      <c r="MOQ80" s="609"/>
      <c r="MOR80" s="609"/>
      <c r="MOS80" s="609"/>
      <c r="MOT80" s="609"/>
      <c r="MOU80" s="609"/>
      <c r="MOV80" s="609"/>
      <c r="MOW80" s="609"/>
      <c r="MOX80" s="609"/>
      <c r="MOY80" s="609"/>
      <c r="MOZ80" s="609"/>
      <c r="MPA80" s="609"/>
      <c r="MPB80" s="609"/>
      <c r="MPC80" s="609"/>
      <c r="MPD80" s="609"/>
      <c r="MPE80" s="609"/>
      <c r="MPF80" s="609"/>
      <c r="MPG80" s="609"/>
      <c r="MPH80" s="609"/>
      <c r="MPI80" s="609"/>
      <c r="MPJ80" s="609"/>
      <c r="MPK80" s="609"/>
      <c r="MPL80" s="609"/>
      <c r="MPM80" s="609"/>
      <c r="MPN80" s="609"/>
      <c r="MPO80" s="609"/>
      <c r="MPP80" s="609"/>
      <c r="MPQ80" s="609"/>
      <c r="MPR80" s="609"/>
      <c r="MPS80" s="609"/>
      <c r="MPT80" s="609"/>
      <c r="MPU80" s="609"/>
      <c r="MPV80" s="609"/>
      <c r="MPW80" s="609"/>
      <c r="MPX80" s="609"/>
      <c r="MPY80" s="609"/>
      <c r="MPZ80" s="609"/>
      <c r="MQA80" s="609"/>
      <c r="MQB80" s="609"/>
      <c r="MQC80" s="609"/>
      <c r="MQD80" s="609"/>
      <c r="MQE80" s="609"/>
      <c r="MQF80" s="609"/>
      <c r="MQG80" s="609"/>
      <c r="MQH80" s="609"/>
      <c r="MQI80" s="609"/>
      <c r="MQJ80" s="609"/>
      <c r="MQK80" s="609"/>
      <c r="MQL80" s="609"/>
      <c r="MQM80" s="609"/>
      <c r="MQN80" s="609"/>
      <c r="MQO80" s="609"/>
      <c r="MQP80" s="609"/>
      <c r="MQQ80" s="609"/>
      <c r="MQR80" s="609"/>
      <c r="MQS80" s="609"/>
      <c r="MQT80" s="609"/>
      <c r="MQU80" s="609"/>
      <c r="MQV80" s="609"/>
      <c r="MQW80" s="609"/>
      <c r="MQX80" s="609"/>
      <c r="MQY80" s="609"/>
      <c r="MQZ80" s="609"/>
      <c r="MRA80" s="609"/>
      <c r="MRB80" s="609"/>
      <c r="MRC80" s="609"/>
      <c r="MRD80" s="609"/>
      <c r="MRE80" s="609"/>
      <c r="MRF80" s="609"/>
      <c r="MRG80" s="609"/>
      <c r="MRH80" s="609"/>
      <c r="MRI80" s="609"/>
      <c r="MRJ80" s="609"/>
      <c r="MRK80" s="609"/>
      <c r="MRL80" s="609"/>
      <c r="MRM80" s="609"/>
      <c r="MRN80" s="609"/>
      <c r="MRO80" s="609"/>
      <c r="MRP80" s="609"/>
      <c r="MRQ80" s="609"/>
      <c r="MRR80" s="609"/>
      <c r="MRS80" s="609"/>
      <c r="MRT80" s="609"/>
      <c r="MRU80" s="609"/>
      <c r="MRV80" s="609"/>
      <c r="MRW80" s="609"/>
      <c r="MRX80" s="609"/>
      <c r="MRY80" s="609"/>
      <c r="MRZ80" s="609"/>
      <c r="MSA80" s="609"/>
      <c r="MSB80" s="609"/>
      <c r="MSC80" s="609"/>
      <c r="MSD80" s="609"/>
      <c r="MSE80" s="609"/>
      <c r="MSF80" s="609"/>
      <c r="MSG80" s="609"/>
      <c r="MSH80" s="609"/>
      <c r="MSI80" s="609"/>
      <c r="MSJ80" s="609"/>
      <c r="MSK80" s="609"/>
      <c r="MSL80" s="609"/>
      <c r="MSM80" s="609"/>
      <c r="MSN80" s="609"/>
      <c r="MSO80" s="609"/>
      <c r="MSP80" s="609"/>
      <c r="MSQ80" s="609"/>
      <c r="MSR80" s="609"/>
      <c r="MSS80" s="609"/>
      <c r="MST80" s="609"/>
      <c r="MSU80" s="609"/>
      <c r="MSV80" s="609"/>
      <c r="MSW80" s="609"/>
      <c r="MSX80" s="609"/>
      <c r="MSY80" s="609"/>
      <c r="MSZ80" s="609"/>
      <c r="MTA80" s="609"/>
      <c r="MTB80" s="609"/>
      <c r="MTC80" s="609"/>
      <c r="MTD80" s="609"/>
      <c r="MTE80" s="609"/>
      <c r="MTF80" s="609"/>
      <c r="MTG80" s="609"/>
      <c r="MTH80" s="609"/>
      <c r="MTI80" s="609"/>
      <c r="MTJ80" s="609"/>
      <c r="MTK80" s="609"/>
      <c r="MTL80" s="609"/>
      <c r="MTM80" s="609"/>
      <c r="MTN80" s="609"/>
      <c r="MTO80" s="609"/>
      <c r="MTP80" s="609"/>
      <c r="MTQ80" s="609"/>
      <c r="MTR80" s="609"/>
      <c r="MTS80" s="609"/>
      <c r="MTT80" s="609"/>
      <c r="MTU80" s="609"/>
      <c r="MTV80" s="609"/>
      <c r="MTW80" s="609"/>
      <c r="MTX80" s="609"/>
      <c r="MTY80" s="609"/>
      <c r="MTZ80" s="609"/>
      <c r="MUA80" s="609"/>
      <c r="MUB80" s="609"/>
      <c r="MUC80" s="609"/>
      <c r="MUD80" s="609"/>
      <c r="MUE80" s="609"/>
      <c r="MUF80" s="609"/>
      <c r="MUG80" s="609"/>
      <c r="MUH80" s="609"/>
      <c r="MUI80" s="609"/>
      <c r="MUJ80" s="609"/>
      <c r="MUK80" s="609"/>
      <c r="MUL80" s="609"/>
      <c r="MUM80" s="609"/>
      <c r="MUN80" s="609"/>
      <c r="MUO80" s="609"/>
      <c r="MUP80" s="609"/>
      <c r="MUQ80" s="609"/>
      <c r="MUR80" s="609"/>
      <c r="MUS80" s="609"/>
      <c r="MUT80" s="609"/>
      <c r="MUU80" s="609"/>
      <c r="MUV80" s="609"/>
      <c r="MUW80" s="609"/>
      <c r="MUX80" s="609"/>
      <c r="MUY80" s="609"/>
      <c r="MUZ80" s="609"/>
      <c r="MVA80" s="609"/>
      <c r="MVB80" s="609"/>
      <c r="MVC80" s="609"/>
      <c r="MVD80" s="609"/>
      <c r="MVE80" s="609"/>
      <c r="MVF80" s="609"/>
      <c r="MVG80" s="609"/>
      <c r="MVH80" s="609"/>
      <c r="MVI80" s="609"/>
      <c r="MVJ80" s="609"/>
      <c r="MVK80" s="609"/>
      <c r="MVL80" s="609"/>
      <c r="MVM80" s="609"/>
      <c r="MVN80" s="609"/>
      <c r="MVO80" s="609"/>
      <c r="MVP80" s="609"/>
      <c r="MVQ80" s="609"/>
      <c r="MVR80" s="609"/>
      <c r="MVS80" s="609"/>
      <c r="MVT80" s="609"/>
      <c r="MVU80" s="609"/>
      <c r="MVV80" s="609"/>
      <c r="MVW80" s="609"/>
      <c r="MVX80" s="609"/>
      <c r="MVY80" s="609"/>
      <c r="MVZ80" s="609"/>
      <c r="MWA80" s="609"/>
      <c r="MWB80" s="609"/>
      <c r="MWC80" s="609"/>
      <c r="MWD80" s="609"/>
      <c r="MWE80" s="609"/>
      <c r="MWF80" s="609"/>
      <c r="MWG80" s="609"/>
      <c r="MWH80" s="609"/>
      <c r="MWI80" s="609"/>
      <c r="MWJ80" s="609"/>
      <c r="MWK80" s="609"/>
      <c r="MWL80" s="609"/>
      <c r="MWM80" s="609"/>
      <c r="MWN80" s="609"/>
      <c r="MWO80" s="609"/>
      <c r="MWP80" s="609"/>
      <c r="MWQ80" s="609"/>
      <c r="MWR80" s="609"/>
      <c r="MWS80" s="609"/>
      <c r="MWT80" s="609"/>
      <c r="MWU80" s="609"/>
      <c r="MWV80" s="609"/>
      <c r="MWW80" s="609"/>
      <c r="MWX80" s="609"/>
      <c r="MWY80" s="609"/>
      <c r="MWZ80" s="609"/>
      <c r="MXA80" s="609"/>
      <c r="MXB80" s="609"/>
      <c r="MXC80" s="609"/>
      <c r="MXD80" s="609"/>
      <c r="MXE80" s="609"/>
      <c r="MXF80" s="609"/>
      <c r="MXG80" s="609"/>
      <c r="MXH80" s="609"/>
      <c r="MXI80" s="609"/>
      <c r="MXJ80" s="609"/>
      <c r="MXK80" s="609"/>
      <c r="MXL80" s="609"/>
      <c r="MXM80" s="609"/>
      <c r="MXN80" s="609"/>
      <c r="MXO80" s="609"/>
      <c r="MXP80" s="609"/>
      <c r="MXQ80" s="609"/>
      <c r="MXR80" s="609"/>
      <c r="MXS80" s="609"/>
      <c r="MXT80" s="609"/>
      <c r="MXU80" s="609"/>
      <c r="MXV80" s="609"/>
      <c r="MXW80" s="609"/>
      <c r="MXX80" s="609"/>
      <c r="MXY80" s="609"/>
      <c r="MXZ80" s="609"/>
      <c r="MYA80" s="609"/>
      <c r="MYB80" s="609"/>
      <c r="MYC80" s="609"/>
      <c r="MYD80" s="609"/>
      <c r="MYE80" s="609"/>
      <c r="MYF80" s="609"/>
      <c r="MYG80" s="609"/>
      <c r="MYH80" s="609"/>
      <c r="MYI80" s="609"/>
      <c r="MYJ80" s="609"/>
      <c r="MYK80" s="609"/>
      <c r="MYL80" s="609"/>
      <c r="MYM80" s="609"/>
      <c r="MYN80" s="609"/>
      <c r="MYO80" s="609"/>
      <c r="MYP80" s="609"/>
      <c r="MYQ80" s="609"/>
      <c r="MYR80" s="609"/>
      <c r="MYS80" s="609"/>
      <c r="MYT80" s="609"/>
      <c r="MYU80" s="609"/>
      <c r="MYV80" s="609"/>
      <c r="MYW80" s="609"/>
      <c r="MYX80" s="609"/>
      <c r="MYY80" s="609"/>
      <c r="MYZ80" s="609"/>
      <c r="MZA80" s="609"/>
      <c r="MZB80" s="609"/>
      <c r="MZC80" s="609"/>
      <c r="MZD80" s="609"/>
      <c r="MZE80" s="609"/>
      <c r="MZF80" s="609"/>
      <c r="MZG80" s="609"/>
      <c r="MZH80" s="609"/>
      <c r="MZI80" s="609"/>
      <c r="MZJ80" s="609"/>
      <c r="MZK80" s="609"/>
      <c r="MZL80" s="609"/>
      <c r="MZM80" s="609"/>
      <c r="MZN80" s="609"/>
      <c r="MZO80" s="609"/>
      <c r="MZP80" s="609"/>
      <c r="MZQ80" s="609"/>
      <c r="MZR80" s="609"/>
      <c r="MZS80" s="609"/>
      <c r="MZT80" s="609"/>
      <c r="MZU80" s="609"/>
      <c r="MZV80" s="609"/>
      <c r="MZW80" s="609"/>
      <c r="MZX80" s="609"/>
      <c r="MZY80" s="609"/>
      <c r="MZZ80" s="609"/>
      <c r="NAA80" s="609"/>
      <c r="NAB80" s="609"/>
      <c r="NAC80" s="609"/>
      <c r="NAD80" s="609"/>
      <c r="NAE80" s="609"/>
      <c r="NAF80" s="609"/>
      <c r="NAG80" s="609"/>
      <c r="NAH80" s="609"/>
      <c r="NAI80" s="609"/>
      <c r="NAJ80" s="609"/>
      <c r="NAK80" s="609"/>
      <c r="NAL80" s="609"/>
      <c r="NAM80" s="609"/>
      <c r="NAN80" s="609"/>
      <c r="NAO80" s="609"/>
      <c r="NAP80" s="609"/>
      <c r="NAQ80" s="609"/>
      <c r="NAR80" s="609"/>
      <c r="NAS80" s="609"/>
      <c r="NAT80" s="609"/>
      <c r="NAU80" s="609"/>
      <c r="NAV80" s="609"/>
      <c r="NAW80" s="609"/>
      <c r="NAX80" s="609"/>
      <c r="NAY80" s="609"/>
      <c r="NAZ80" s="609"/>
      <c r="NBA80" s="609"/>
      <c r="NBB80" s="609"/>
      <c r="NBC80" s="609"/>
      <c r="NBD80" s="609"/>
      <c r="NBE80" s="609"/>
      <c r="NBF80" s="609"/>
      <c r="NBG80" s="609"/>
      <c r="NBH80" s="609"/>
      <c r="NBI80" s="609"/>
      <c r="NBJ80" s="609"/>
      <c r="NBK80" s="609"/>
      <c r="NBL80" s="609"/>
      <c r="NBM80" s="609"/>
      <c r="NBN80" s="609"/>
      <c r="NBO80" s="609"/>
      <c r="NBP80" s="609"/>
      <c r="NBQ80" s="609"/>
      <c r="NBR80" s="609"/>
      <c r="NBS80" s="609"/>
      <c r="NBT80" s="609"/>
      <c r="NBU80" s="609"/>
      <c r="NBV80" s="609"/>
      <c r="NBW80" s="609"/>
      <c r="NBX80" s="609"/>
      <c r="NBY80" s="609"/>
      <c r="NBZ80" s="609"/>
      <c r="NCA80" s="609"/>
      <c r="NCB80" s="609"/>
      <c r="NCC80" s="609"/>
      <c r="NCD80" s="609"/>
      <c r="NCE80" s="609"/>
      <c r="NCF80" s="609"/>
      <c r="NCG80" s="609"/>
      <c r="NCH80" s="609"/>
      <c r="NCI80" s="609"/>
      <c r="NCJ80" s="609"/>
      <c r="NCK80" s="609"/>
      <c r="NCL80" s="609"/>
      <c r="NCM80" s="609"/>
      <c r="NCN80" s="609"/>
      <c r="NCO80" s="609"/>
      <c r="NCP80" s="609"/>
      <c r="NCQ80" s="609"/>
      <c r="NCR80" s="609"/>
      <c r="NCS80" s="609"/>
      <c r="NCT80" s="609"/>
      <c r="NCU80" s="609"/>
      <c r="NCV80" s="609"/>
      <c r="NCW80" s="609"/>
      <c r="NCX80" s="609"/>
      <c r="NCY80" s="609"/>
      <c r="NCZ80" s="609"/>
      <c r="NDA80" s="609"/>
      <c r="NDB80" s="609"/>
      <c r="NDC80" s="609"/>
      <c r="NDD80" s="609"/>
      <c r="NDE80" s="609"/>
      <c r="NDF80" s="609"/>
      <c r="NDG80" s="609"/>
      <c r="NDH80" s="609"/>
      <c r="NDI80" s="609"/>
      <c r="NDJ80" s="609"/>
      <c r="NDK80" s="609"/>
      <c r="NDL80" s="609"/>
      <c r="NDM80" s="609"/>
      <c r="NDN80" s="609"/>
      <c r="NDO80" s="609"/>
      <c r="NDP80" s="609"/>
      <c r="NDQ80" s="609"/>
      <c r="NDR80" s="609"/>
      <c r="NDS80" s="609"/>
      <c r="NDT80" s="609"/>
      <c r="NDU80" s="609"/>
      <c r="NDV80" s="609"/>
      <c r="NDW80" s="609"/>
      <c r="NDX80" s="609"/>
      <c r="NDY80" s="609"/>
      <c r="NDZ80" s="609"/>
      <c r="NEA80" s="609"/>
      <c r="NEB80" s="609"/>
      <c r="NEC80" s="609"/>
      <c r="NED80" s="609"/>
      <c r="NEE80" s="609"/>
      <c r="NEF80" s="609"/>
      <c r="NEG80" s="609"/>
      <c r="NEH80" s="609"/>
      <c r="NEI80" s="609"/>
      <c r="NEJ80" s="609"/>
      <c r="NEK80" s="609"/>
      <c r="NEL80" s="609"/>
      <c r="NEM80" s="609"/>
      <c r="NEN80" s="609"/>
      <c r="NEO80" s="609"/>
      <c r="NEP80" s="609"/>
      <c r="NEQ80" s="609"/>
      <c r="NER80" s="609"/>
      <c r="NES80" s="609"/>
      <c r="NET80" s="609"/>
      <c r="NEU80" s="609"/>
      <c r="NEV80" s="609"/>
      <c r="NEW80" s="609"/>
      <c r="NEX80" s="609"/>
      <c r="NEY80" s="609"/>
      <c r="NEZ80" s="609"/>
      <c r="NFA80" s="609"/>
      <c r="NFB80" s="609"/>
      <c r="NFC80" s="609"/>
      <c r="NFD80" s="609"/>
      <c r="NFE80" s="609"/>
      <c r="NFF80" s="609"/>
      <c r="NFG80" s="609"/>
      <c r="NFH80" s="609"/>
      <c r="NFI80" s="609"/>
      <c r="NFJ80" s="609"/>
      <c r="NFK80" s="609"/>
      <c r="NFL80" s="609"/>
      <c r="NFM80" s="609"/>
      <c r="NFN80" s="609"/>
      <c r="NFO80" s="609"/>
      <c r="NFP80" s="609"/>
      <c r="NFQ80" s="609"/>
      <c r="NFR80" s="609"/>
      <c r="NFS80" s="609"/>
      <c r="NFT80" s="609"/>
      <c r="NFU80" s="609"/>
      <c r="NFV80" s="609"/>
      <c r="NFW80" s="609"/>
      <c r="NFX80" s="609"/>
      <c r="NFY80" s="609"/>
      <c r="NFZ80" s="609"/>
      <c r="NGA80" s="609"/>
      <c r="NGB80" s="609"/>
      <c r="NGC80" s="609"/>
      <c r="NGD80" s="609"/>
      <c r="NGE80" s="609"/>
      <c r="NGF80" s="609"/>
      <c r="NGG80" s="609"/>
      <c r="NGH80" s="609"/>
      <c r="NGI80" s="609"/>
      <c r="NGJ80" s="609"/>
      <c r="NGK80" s="609"/>
      <c r="NGL80" s="609"/>
      <c r="NGM80" s="609"/>
      <c r="NGN80" s="609"/>
      <c r="NGO80" s="609"/>
      <c r="NGP80" s="609"/>
      <c r="NGQ80" s="609"/>
      <c r="NGR80" s="609"/>
      <c r="NGS80" s="609"/>
      <c r="NGT80" s="609"/>
      <c r="NGU80" s="609"/>
      <c r="NGV80" s="609"/>
      <c r="NGW80" s="609"/>
      <c r="NGX80" s="609"/>
      <c r="NGY80" s="609"/>
      <c r="NGZ80" s="609"/>
      <c r="NHA80" s="609"/>
      <c r="NHB80" s="609"/>
      <c r="NHC80" s="609"/>
      <c r="NHD80" s="609"/>
      <c r="NHE80" s="609"/>
      <c r="NHF80" s="609"/>
      <c r="NHG80" s="609"/>
      <c r="NHH80" s="609"/>
      <c r="NHI80" s="609"/>
      <c r="NHJ80" s="609"/>
      <c r="NHK80" s="609"/>
      <c r="NHL80" s="609"/>
      <c r="NHM80" s="609"/>
      <c r="NHN80" s="609"/>
      <c r="NHO80" s="609"/>
      <c r="NHP80" s="609"/>
      <c r="NHQ80" s="609"/>
      <c r="NHR80" s="609"/>
      <c r="NHS80" s="609"/>
      <c r="NHT80" s="609"/>
      <c r="NHU80" s="609"/>
      <c r="NHV80" s="609"/>
      <c r="NHW80" s="609"/>
      <c r="NHX80" s="609"/>
      <c r="NHY80" s="609"/>
      <c r="NHZ80" s="609"/>
      <c r="NIA80" s="609"/>
      <c r="NIB80" s="609"/>
      <c r="NIC80" s="609"/>
      <c r="NID80" s="609"/>
      <c r="NIE80" s="609"/>
      <c r="NIF80" s="609"/>
      <c r="NIG80" s="609"/>
      <c r="NIH80" s="609"/>
      <c r="NII80" s="609"/>
      <c r="NIJ80" s="609"/>
      <c r="NIK80" s="609"/>
      <c r="NIL80" s="609"/>
      <c r="NIM80" s="609"/>
      <c r="NIN80" s="609"/>
      <c r="NIO80" s="609"/>
      <c r="NIP80" s="609"/>
      <c r="NIQ80" s="609"/>
      <c r="NIR80" s="609"/>
      <c r="NIS80" s="609"/>
      <c r="NIT80" s="609"/>
      <c r="NIU80" s="609"/>
      <c r="NIV80" s="609"/>
      <c r="NIW80" s="609"/>
      <c r="NIX80" s="609"/>
      <c r="NIY80" s="609"/>
      <c r="NIZ80" s="609"/>
      <c r="NJA80" s="609"/>
      <c r="NJB80" s="609"/>
      <c r="NJC80" s="609"/>
      <c r="NJD80" s="609"/>
      <c r="NJE80" s="609"/>
      <c r="NJF80" s="609"/>
      <c r="NJG80" s="609"/>
      <c r="NJH80" s="609"/>
      <c r="NJI80" s="609"/>
      <c r="NJJ80" s="609"/>
      <c r="NJK80" s="609"/>
      <c r="NJL80" s="609"/>
      <c r="NJM80" s="609"/>
      <c r="NJN80" s="609"/>
      <c r="NJO80" s="609"/>
      <c r="NJP80" s="609"/>
      <c r="NJQ80" s="609"/>
      <c r="NJR80" s="609"/>
      <c r="NJS80" s="609"/>
      <c r="NJT80" s="609"/>
      <c r="NJU80" s="609"/>
      <c r="NJV80" s="609"/>
      <c r="NJW80" s="609"/>
      <c r="NJX80" s="609"/>
      <c r="NJY80" s="609"/>
      <c r="NJZ80" s="609"/>
      <c r="NKA80" s="609"/>
      <c r="NKB80" s="609"/>
      <c r="NKC80" s="609"/>
      <c r="NKD80" s="609"/>
      <c r="NKE80" s="609"/>
      <c r="NKF80" s="609"/>
      <c r="NKG80" s="609"/>
      <c r="NKH80" s="609"/>
      <c r="NKI80" s="609"/>
      <c r="NKJ80" s="609"/>
      <c r="NKK80" s="609"/>
      <c r="NKL80" s="609"/>
      <c r="NKM80" s="609"/>
      <c r="NKN80" s="609"/>
      <c r="NKO80" s="609"/>
      <c r="NKP80" s="609"/>
      <c r="NKQ80" s="609"/>
      <c r="NKR80" s="609"/>
      <c r="NKS80" s="609"/>
      <c r="NKT80" s="609"/>
      <c r="NKU80" s="609"/>
      <c r="NKV80" s="609"/>
      <c r="NKW80" s="609"/>
      <c r="NKX80" s="609"/>
      <c r="NKY80" s="609"/>
      <c r="NKZ80" s="609"/>
      <c r="NLA80" s="609"/>
      <c r="NLB80" s="609"/>
      <c r="NLC80" s="609"/>
      <c r="NLD80" s="609"/>
      <c r="NLE80" s="609"/>
      <c r="NLF80" s="609"/>
      <c r="NLG80" s="609"/>
      <c r="NLH80" s="609"/>
      <c r="NLI80" s="609"/>
      <c r="NLJ80" s="609"/>
      <c r="NLK80" s="609"/>
      <c r="NLL80" s="609"/>
      <c r="NLM80" s="609"/>
      <c r="NLN80" s="609"/>
      <c r="NLO80" s="609"/>
      <c r="NLP80" s="609"/>
      <c r="NLQ80" s="609"/>
      <c r="NLR80" s="609"/>
      <c r="NLS80" s="609"/>
      <c r="NLT80" s="609"/>
      <c r="NLU80" s="609"/>
      <c r="NLV80" s="609"/>
      <c r="NLW80" s="609"/>
      <c r="NLX80" s="609"/>
      <c r="NLY80" s="609"/>
      <c r="NLZ80" s="609"/>
      <c r="NMA80" s="609"/>
      <c r="NMB80" s="609"/>
      <c r="NMC80" s="609"/>
      <c r="NMD80" s="609"/>
      <c r="NME80" s="609"/>
      <c r="NMF80" s="609"/>
      <c r="NMG80" s="609"/>
      <c r="NMH80" s="609"/>
      <c r="NMI80" s="609"/>
      <c r="NMJ80" s="609"/>
      <c r="NMK80" s="609"/>
      <c r="NML80" s="609"/>
      <c r="NMM80" s="609"/>
      <c r="NMN80" s="609"/>
      <c r="NMO80" s="609"/>
      <c r="NMP80" s="609"/>
      <c r="NMQ80" s="609"/>
      <c r="NMR80" s="609"/>
      <c r="NMS80" s="609"/>
      <c r="NMT80" s="609"/>
      <c r="NMU80" s="609"/>
      <c r="NMV80" s="609"/>
      <c r="NMW80" s="609"/>
      <c r="NMX80" s="609"/>
      <c r="NMY80" s="609"/>
      <c r="NMZ80" s="609"/>
      <c r="NNA80" s="609"/>
      <c r="NNB80" s="609"/>
      <c r="NNC80" s="609"/>
      <c r="NND80" s="609"/>
      <c r="NNE80" s="609"/>
      <c r="NNF80" s="609"/>
      <c r="NNG80" s="609"/>
      <c r="NNH80" s="609"/>
      <c r="NNI80" s="609"/>
      <c r="NNJ80" s="609"/>
      <c r="NNK80" s="609"/>
      <c r="NNL80" s="609"/>
      <c r="NNM80" s="609"/>
      <c r="NNN80" s="609"/>
      <c r="NNO80" s="609"/>
      <c r="NNP80" s="609"/>
      <c r="NNQ80" s="609"/>
      <c r="NNR80" s="609"/>
      <c r="NNS80" s="609"/>
      <c r="NNT80" s="609"/>
      <c r="NNU80" s="609"/>
      <c r="NNV80" s="609"/>
      <c r="NNW80" s="609"/>
      <c r="NNX80" s="609"/>
      <c r="NNY80" s="609"/>
      <c r="NNZ80" s="609"/>
      <c r="NOA80" s="609"/>
      <c r="NOB80" s="609"/>
      <c r="NOC80" s="609"/>
      <c r="NOD80" s="609"/>
      <c r="NOE80" s="609"/>
      <c r="NOF80" s="609"/>
      <c r="NOG80" s="609"/>
      <c r="NOH80" s="609"/>
      <c r="NOI80" s="609"/>
      <c r="NOJ80" s="609"/>
      <c r="NOK80" s="609"/>
      <c r="NOL80" s="609"/>
      <c r="NOM80" s="609"/>
      <c r="NON80" s="609"/>
      <c r="NOO80" s="609"/>
      <c r="NOP80" s="609"/>
      <c r="NOQ80" s="609"/>
      <c r="NOR80" s="609"/>
      <c r="NOS80" s="609"/>
      <c r="NOT80" s="609"/>
      <c r="NOU80" s="609"/>
      <c r="NOV80" s="609"/>
      <c r="NOW80" s="609"/>
      <c r="NOX80" s="609"/>
      <c r="NOY80" s="609"/>
      <c r="NOZ80" s="609"/>
      <c r="NPA80" s="609"/>
      <c r="NPB80" s="609"/>
      <c r="NPC80" s="609"/>
      <c r="NPD80" s="609"/>
      <c r="NPE80" s="609"/>
      <c r="NPF80" s="609"/>
      <c r="NPG80" s="609"/>
      <c r="NPH80" s="609"/>
      <c r="NPI80" s="609"/>
      <c r="NPJ80" s="609"/>
      <c r="NPK80" s="609"/>
      <c r="NPL80" s="609"/>
      <c r="NPM80" s="609"/>
      <c r="NPN80" s="609"/>
      <c r="NPO80" s="609"/>
      <c r="NPP80" s="609"/>
      <c r="NPQ80" s="609"/>
      <c r="NPR80" s="609"/>
      <c r="NPS80" s="609"/>
      <c r="NPT80" s="609"/>
      <c r="NPU80" s="609"/>
      <c r="NPV80" s="609"/>
      <c r="NPW80" s="609"/>
      <c r="NPX80" s="609"/>
      <c r="NPY80" s="609"/>
      <c r="NPZ80" s="609"/>
      <c r="NQA80" s="609"/>
      <c r="NQB80" s="609"/>
      <c r="NQC80" s="609"/>
      <c r="NQD80" s="609"/>
      <c r="NQE80" s="609"/>
      <c r="NQF80" s="609"/>
      <c r="NQG80" s="609"/>
      <c r="NQH80" s="609"/>
      <c r="NQI80" s="609"/>
      <c r="NQJ80" s="609"/>
      <c r="NQK80" s="609"/>
      <c r="NQL80" s="609"/>
      <c r="NQM80" s="609"/>
      <c r="NQN80" s="609"/>
      <c r="NQO80" s="609"/>
      <c r="NQP80" s="609"/>
      <c r="NQQ80" s="609"/>
      <c r="NQR80" s="609"/>
      <c r="NQS80" s="609"/>
      <c r="NQT80" s="609"/>
      <c r="NQU80" s="609"/>
      <c r="NQV80" s="609"/>
      <c r="NQW80" s="609"/>
      <c r="NQX80" s="609"/>
      <c r="NQY80" s="609"/>
      <c r="NQZ80" s="609"/>
      <c r="NRA80" s="609"/>
      <c r="NRB80" s="609"/>
      <c r="NRC80" s="609"/>
      <c r="NRD80" s="609"/>
      <c r="NRE80" s="609"/>
      <c r="NRF80" s="609"/>
      <c r="NRG80" s="609"/>
      <c r="NRH80" s="609"/>
      <c r="NRI80" s="609"/>
      <c r="NRJ80" s="609"/>
      <c r="NRK80" s="609"/>
      <c r="NRL80" s="609"/>
      <c r="NRM80" s="609"/>
      <c r="NRN80" s="609"/>
      <c r="NRO80" s="609"/>
      <c r="NRP80" s="609"/>
      <c r="NRQ80" s="609"/>
      <c r="NRR80" s="609"/>
      <c r="NRS80" s="609"/>
      <c r="NRT80" s="609"/>
      <c r="NRU80" s="609"/>
      <c r="NRV80" s="609"/>
      <c r="NRW80" s="609"/>
      <c r="NRX80" s="609"/>
      <c r="NRY80" s="609"/>
      <c r="NRZ80" s="609"/>
      <c r="NSA80" s="609"/>
      <c r="NSB80" s="609"/>
      <c r="NSC80" s="609"/>
      <c r="NSD80" s="609"/>
      <c r="NSE80" s="609"/>
      <c r="NSF80" s="609"/>
      <c r="NSG80" s="609"/>
      <c r="NSH80" s="609"/>
      <c r="NSI80" s="609"/>
      <c r="NSJ80" s="609"/>
      <c r="NSK80" s="609"/>
      <c r="NSL80" s="609"/>
      <c r="NSM80" s="609"/>
      <c r="NSN80" s="609"/>
      <c r="NSO80" s="609"/>
      <c r="NSP80" s="609"/>
      <c r="NSQ80" s="609"/>
      <c r="NSR80" s="609"/>
      <c r="NSS80" s="609"/>
      <c r="NST80" s="609"/>
      <c r="NSU80" s="609"/>
      <c r="NSV80" s="609"/>
      <c r="NSW80" s="609"/>
      <c r="NSX80" s="609"/>
      <c r="NSY80" s="609"/>
      <c r="NSZ80" s="609"/>
      <c r="NTA80" s="609"/>
      <c r="NTB80" s="609"/>
      <c r="NTC80" s="609"/>
      <c r="NTD80" s="609"/>
      <c r="NTE80" s="609"/>
      <c r="NTF80" s="609"/>
      <c r="NTG80" s="609"/>
      <c r="NTH80" s="609"/>
      <c r="NTI80" s="609"/>
      <c r="NTJ80" s="609"/>
      <c r="NTK80" s="609"/>
      <c r="NTL80" s="609"/>
      <c r="NTM80" s="609"/>
      <c r="NTN80" s="609"/>
      <c r="NTO80" s="609"/>
      <c r="NTP80" s="609"/>
      <c r="NTQ80" s="609"/>
      <c r="NTR80" s="609"/>
      <c r="NTS80" s="609"/>
      <c r="NTT80" s="609"/>
      <c r="NTU80" s="609"/>
      <c r="NTV80" s="609"/>
      <c r="NTW80" s="609"/>
      <c r="NTX80" s="609"/>
      <c r="NTY80" s="609"/>
      <c r="NTZ80" s="609"/>
      <c r="NUA80" s="609"/>
      <c r="NUB80" s="609"/>
      <c r="NUC80" s="609"/>
      <c r="NUD80" s="609"/>
      <c r="NUE80" s="609"/>
      <c r="NUF80" s="609"/>
      <c r="NUG80" s="609"/>
      <c r="NUH80" s="609"/>
      <c r="NUI80" s="609"/>
      <c r="NUJ80" s="609"/>
      <c r="NUK80" s="609"/>
      <c r="NUL80" s="609"/>
      <c r="NUM80" s="609"/>
      <c r="NUN80" s="609"/>
      <c r="NUO80" s="609"/>
      <c r="NUP80" s="609"/>
      <c r="NUQ80" s="609"/>
      <c r="NUR80" s="609"/>
      <c r="NUS80" s="609"/>
      <c r="NUT80" s="609"/>
      <c r="NUU80" s="609"/>
      <c r="NUV80" s="609"/>
      <c r="NUW80" s="609"/>
      <c r="NUX80" s="609"/>
      <c r="NUY80" s="609"/>
      <c r="NUZ80" s="609"/>
      <c r="NVA80" s="609"/>
      <c r="NVB80" s="609"/>
      <c r="NVC80" s="609"/>
      <c r="NVD80" s="609"/>
      <c r="NVE80" s="609"/>
      <c r="NVF80" s="609"/>
      <c r="NVG80" s="609"/>
      <c r="NVH80" s="609"/>
      <c r="NVI80" s="609"/>
      <c r="NVJ80" s="609"/>
      <c r="NVK80" s="609"/>
      <c r="NVL80" s="609"/>
      <c r="NVM80" s="609"/>
      <c r="NVN80" s="609"/>
      <c r="NVO80" s="609"/>
      <c r="NVP80" s="609"/>
      <c r="NVQ80" s="609"/>
      <c r="NVR80" s="609"/>
      <c r="NVS80" s="609"/>
      <c r="NVT80" s="609"/>
      <c r="NVU80" s="609"/>
      <c r="NVV80" s="609"/>
      <c r="NVW80" s="609"/>
      <c r="NVX80" s="609"/>
      <c r="NVY80" s="609"/>
      <c r="NVZ80" s="609"/>
      <c r="NWA80" s="609"/>
      <c r="NWB80" s="609"/>
      <c r="NWC80" s="609"/>
      <c r="NWD80" s="609"/>
      <c r="NWE80" s="609"/>
      <c r="NWF80" s="609"/>
      <c r="NWG80" s="609"/>
      <c r="NWH80" s="609"/>
      <c r="NWI80" s="609"/>
      <c r="NWJ80" s="609"/>
      <c r="NWK80" s="609"/>
      <c r="NWL80" s="609"/>
      <c r="NWM80" s="609"/>
      <c r="NWN80" s="609"/>
      <c r="NWO80" s="609"/>
      <c r="NWP80" s="609"/>
      <c r="NWQ80" s="609"/>
      <c r="NWR80" s="609"/>
      <c r="NWS80" s="609"/>
      <c r="NWT80" s="609"/>
      <c r="NWU80" s="609"/>
      <c r="NWV80" s="609"/>
      <c r="NWW80" s="609"/>
      <c r="NWX80" s="609"/>
      <c r="NWY80" s="609"/>
      <c r="NWZ80" s="609"/>
      <c r="NXA80" s="609"/>
      <c r="NXB80" s="609"/>
      <c r="NXC80" s="609"/>
      <c r="NXD80" s="609"/>
      <c r="NXE80" s="609"/>
      <c r="NXF80" s="609"/>
      <c r="NXG80" s="609"/>
      <c r="NXH80" s="609"/>
      <c r="NXI80" s="609"/>
      <c r="NXJ80" s="609"/>
      <c r="NXK80" s="609"/>
      <c r="NXL80" s="609"/>
      <c r="NXM80" s="609"/>
      <c r="NXN80" s="609"/>
      <c r="NXO80" s="609"/>
      <c r="NXP80" s="609"/>
      <c r="NXQ80" s="609"/>
      <c r="NXR80" s="609"/>
      <c r="NXS80" s="609"/>
      <c r="NXT80" s="609"/>
      <c r="NXU80" s="609"/>
      <c r="NXV80" s="609"/>
      <c r="NXW80" s="609"/>
      <c r="NXX80" s="609"/>
      <c r="NXY80" s="609"/>
      <c r="NXZ80" s="609"/>
      <c r="NYA80" s="609"/>
      <c r="NYB80" s="609"/>
      <c r="NYC80" s="609"/>
      <c r="NYD80" s="609"/>
      <c r="NYE80" s="609"/>
      <c r="NYF80" s="609"/>
      <c r="NYG80" s="609"/>
      <c r="NYH80" s="609"/>
      <c r="NYI80" s="609"/>
      <c r="NYJ80" s="609"/>
      <c r="NYK80" s="609"/>
      <c r="NYL80" s="609"/>
      <c r="NYM80" s="609"/>
      <c r="NYN80" s="609"/>
      <c r="NYO80" s="609"/>
      <c r="NYP80" s="609"/>
      <c r="NYQ80" s="609"/>
      <c r="NYR80" s="609"/>
      <c r="NYS80" s="609"/>
      <c r="NYT80" s="609"/>
      <c r="NYU80" s="609"/>
      <c r="NYV80" s="609"/>
      <c r="NYW80" s="609"/>
      <c r="NYX80" s="609"/>
      <c r="NYY80" s="609"/>
      <c r="NYZ80" s="609"/>
      <c r="NZA80" s="609"/>
      <c r="NZB80" s="609"/>
      <c r="NZC80" s="609"/>
      <c r="NZD80" s="609"/>
      <c r="NZE80" s="609"/>
      <c r="NZF80" s="609"/>
      <c r="NZG80" s="609"/>
      <c r="NZH80" s="609"/>
      <c r="NZI80" s="609"/>
      <c r="NZJ80" s="609"/>
      <c r="NZK80" s="609"/>
      <c r="NZL80" s="609"/>
      <c r="NZM80" s="609"/>
      <c r="NZN80" s="609"/>
      <c r="NZO80" s="609"/>
      <c r="NZP80" s="609"/>
      <c r="NZQ80" s="609"/>
      <c r="NZR80" s="609"/>
      <c r="NZS80" s="609"/>
      <c r="NZT80" s="609"/>
      <c r="NZU80" s="609"/>
      <c r="NZV80" s="609"/>
      <c r="NZW80" s="609"/>
      <c r="NZX80" s="609"/>
      <c r="NZY80" s="609"/>
      <c r="NZZ80" s="609"/>
      <c r="OAA80" s="609"/>
      <c r="OAB80" s="609"/>
      <c r="OAC80" s="609"/>
      <c r="OAD80" s="609"/>
      <c r="OAE80" s="609"/>
      <c r="OAF80" s="609"/>
      <c r="OAG80" s="609"/>
      <c r="OAH80" s="609"/>
      <c r="OAI80" s="609"/>
      <c r="OAJ80" s="609"/>
      <c r="OAK80" s="609"/>
      <c r="OAL80" s="609"/>
      <c r="OAM80" s="609"/>
      <c r="OAN80" s="609"/>
      <c r="OAO80" s="609"/>
      <c r="OAP80" s="609"/>
      <c r="OAQ80" s="609"/>
      <c r="OAR80" s="609"/>
      <c r="OAS80" s="609"/>
      <c r="OAT80" s="609"/>
      <c r="OAU80" s="609"/>
      <c r="OAV80" s="609"/>
      <c r="OAW80" s="609"/>
      <c r="OAX80" s="609"/>
      <c r="OAY80" s="609"/>
      <c r="OAZ80" s="609"/>
      <c r="OBA80" s="609"/>
      <c r="OBB80" s="609"/>
      <c r="OBC80" s="609"/>
      <c r="OBD80" s="609"/>
      <c r="OBE80" s="609"/>
      <c r="OBF80" s="609"/>
      <c r="OBG80" s="609"/>
      <c r="OBH80" s="609"/>
      <c r="OBI80" s="609"/>
      <c r="OBJ80" s="609"/>
      <c r="OBK80" s="609"/>
      <c r="OBL80" s="609"/>
      <c r="OBM80" s="609"/>
      <c r="OBN80" s="609"/>
      <c r="OBO80" s="609"/>
      <c r="OBP80" s="609"/>
      <c r="OBQ80" s="609"/>
      <c r="OBR80" s="609"/>
      <c r="OBS80" s="609"/>
      <c r="OBT80" s="609"/>
      <c r="OBU80" s="609"/>
      <c r="OBV80" s="609"/>
      <c r="OBW80" s="609"/>
      <c r="OBX80" s="609"/>
      <c r="OBY80" s="609"/>
      <c r="OBZ80" s="609"/>
      <c r="OCA80" s="609"/>
      <c r="OCB80" s="609"/>
      <c r="OCC80" s="609"/>
      <c r="OCD80" s="609"/>
      <c r="OCE80" s="609"/>
      <c r="OCF80" s="609"/>
      <c r="OCG80" s="609"/>
      <c r="OCH80" s="609"/>
      <c r="OCI80" s="609"/>
      <c r="OCJ80" s="609"/>
      <c r="OCK80" s="609"/>
      <c r="OCL80" s="609"/>
      <c r="OCM80" s="609"/>
      <c r="OCN80" s="609"/>
      <c r="OCO80" s="609"/>
      <c r="OCP80" s="609"/>
      <c r="OCQ80" s="609"/>
      <c r="OCR80" s="609"/>
      <c r="OCS80" s="609"/>
      <c r="OCT80" s="609"/>
      <c r="OCU80" s="609"/>
      <c r="OCV80" s="609"/>
      <c r="OCW80" s="609"/>
      <c r="OCX80" s="609"/>
      <c r="OCY80" s="609"/>
      <c r="OCZ80" s="609"/>
      <c r="ODA80" s="609"/>
      <c r="ODB80" s="609"/>
      <c r="ODC80" s="609"/>
      <c r="ODD80" s="609"/>
      <c r="ODE80" s="609"/>
      <c r="ODF80" s="609"/>
      <c r="ODG80" s="609"/>
      <c r="ODH80" s="609"/>
      <c r="ODI80" s="609"/>
      <c r="ODJ80" s="609"/>
      <c r="ODK80" s="609"/>
      <c r="ODL80" s="609"/>
      <c r="ODM80" s="609"/>
      <c r="ODN80" s="609"/>
      <c r="ODO80" s="609"/>
      <c r="ODP80" s="609"/>
      <c r="ODQ80" s="609"/>
      <c r="ODR80" s="609"/>
      <c r="ODS80" s="609"/>
      <c r="ODT80" s="609"/>
      <c r="ODU80" s="609"/>
      <c r="ODV80" s="609"/>
      <c r="ODW80" s="609"/>
      <c r="ODX80" s="609"/>
      <c r="ODY80" s="609"/>
      <c r="ODZ80" s="609"/>
      <c r="OEA80" s="609"/>
      <c r="OEB80" s="609"/>
      <c r="OEC80" s="609"/>
      <c r="OED80" s="609"/>
      <c r="OEE80" s="609"/>
      <c r="OEF80" s="609"/>
      <c r="OEG80" s="609"/>
      <c r="OEH80" s="609"/>
      <c r="OEI80" s="609"/>
      <c r="OEJ80" s="609"/>
      <c r="OEK80" s="609"/>
      <c r="OEL80" s="609"/>
      <c r="OEM80" s="609"/>
      <c r="OEN80" s="609"/>
      <c r="OEO80" s="609"/>
      <c r="OEP80" s="609"/>
      <c r="OEQ80" s="609"/>
      <c r="OER80" s="609"/>
      <c r="OES80" s="609"/>
      <c r="OET80" s="609"/>
      <c r="OEU80" s="609"/>
      <c r="OEV80" s="609"/>
      <c r="OEW80" s="609"/>
      <c r="OEX80" s="609"/>
      <c r="OEY80" s="609"/>
      <c r="OEZ80" s="609"/>
      <c r="OFA80" s="609"/>
      <c r="OFB80" s="609"/>
      <c r="OFC80" s="609"/>
      <c r="OFD80" s="609"/>
      <c r="OFE80" s="609"/>
      <c r="OFF80" s="609"/>
      <c r="OFG80" s="609"/>
      <c r="OFH80" s="609"/>
      <c r="OFI80" s="609"/>
      <c r="OFJ80" s="609"/>
      <c r="OFK80" s="609"/>
      <c r="OFL80" s="609"/>
      <c r="OFM80" s="609"/>
      <c r="OFN80" s="609"/>
      <c r="OFO80" s="609"/>
      <c r="OFP80" s="609"/>
      <c r="OFQ80" s="609"/>
      <c r="OFR80" s="609"/>
      <c r="OFS80" s="609"/>
      <c r="OFT80" s="609"/>
      <c r="OFU80" s="609"/>
      <c r="OFV80" s="609"/>
      <c r="OFW80" s="609"/>
      <c r="OFX80" s="609"/>
      <c r="OFY80" s="609"/>
      <c r="OFZ80" s="609"/>
      <c r="OGA80" s="609"/>
      <c r="OGB80" s="609"/>
      <c r="OGC80" s="609"/>
      <c r="OGD80" s="609"/>
      <c r="OGE80" s="609"/>
      <c r="OGF80" s="609"/>
      <c r="OGG80" s="609"/>
      <c r="OGH80" s="609"/>
      <c r="OGI80" s="609"/>
      <c r="OGJ80" s="609"/>
      <c r="OGK80" s="609"/>
      <c r="OGL80" s="609"/>
      <c r="OGM80" s="609"/>
      <c r="OGN80" s="609"/>
      <c r="OGO80" s="609"/>
      <c r="OGP80" s="609"/>
      <c r="OGQ80" s="609"/>
      <c r="OGR80" s="609"/>
      <c r="OGS80" s="609"/>
      <c r="OGT80" s="609"/>
      <c r="OGU80" s="609"/>
      <c r="OGV80" s="609"/>
      <c r="OGW80" s="609"/>
      <c r="OGX80" s="609"/>
      <c r="OGY80" s="609"/>
      <c r="OGZ80" s="609"/>
      <c r="OHA80" s="609"/>
      <c r="OHB80" s="609"/>
      <c r="OHC80" s="609"/>
      <c r="OHD80" s="609"/>
      <c r="OHE80" s="609"/>
      <c r="OHF80" s="609"/>
      <c r="OHG80" s="609"/>
      <c r="OHH80" s="609"/>
      <c r="OHI80" s="609"/>
      <c r="OHJ80" s="609"/>
      <c r="OHK80" s="609"/>
      <c r="OHL80" s="609"/>
      <c r="OHM80" s="609"/>
      <c r="OHN80" s="609"/>
      <c r="OHO80" s="609"/>
      <c r="OHP80" s="609"/>
      <c r="OHQ80" s="609"/>
      <c r="OHR80" s="609"/>
      <c r="OHS80" s="609"/>
      <c r="OHT80" s="609"/>
      <c r="OHU80" s="609"/>
      <c r="OHV80" s="609"/>
      <c r="OHW80" s="609"/>
      <c r="OHX80" s="609"/>
      <c r="OHY80" s="609"/>
      <c r="OHZ80" s="609"/>
      <c r="OIA80" s="609"/>
      <c r="OIB80" s="609"/>
      <c r="OIC80" s="609"/>
      <c r="OID80" s="609"/>
      <c r="OIE80" s="609"/>
      <c r="OIF80" s="609"/>
      <c r="OIG80" s="609"/>
      <c r="OIH80" s="609"/>
      <c r="OII80" s="609"/>
      <c r="OIJ80" s="609"/>
      <c r="OIK80" s="609"/>
      <c r="OIL80" s="609"/>
      <c r="OIM80" s="609"/>
      <c r="OIN80" s="609"/>
      <c r="OIO80" s="609"/>
      <c r="OIP80" s="609"/>
      <c r="OIQ80" s="609"/>
      <c r="OIR80" s="609"/>
      <c r="OIS80" s="609"/>
      <c r="OIT80" s="609"/>
      <c r="OIU80" s="609"/>
      <c r="OIV80" s="609"/>
      <c r="OIW80" s="609"/>
      <c r="OIX80" s="609"/>
      <c r="OIY80" s="609"/>
      <c r="OIZ80" s="609"/>
      <c r="OJA80" s="609"/>
      <c r="OJB80" s="609"/>
      <c r="OJC80" s="609"/>
      <c r="OJD80" s="609"/>
      <c r="OJE80" s="609"/>
      <c r="OJF80" s="609"/>
      <c r="OJG80" s="609"/>
      <c r="OJH80" s="609"/>
      <c r="OJI80" s="609"/>
      <c r="OJJ80" s="609"/>
      <c r="OJK80" s="609"/>
      <c r="OJL80" s="609"/>
      <c r="OJM80" s="609"/>
      <c r="OJN80" s="609"/>
      <c r="OJO80" s="609"/>
      <c r="OJP80" s="609"/>
      <c r="OJQ80" s="609"/>
      <c r="OJR80" s="609"/>
      <c r="OJS80" s="609"/>
      <c r="OJT80" s="609"/>
      <c r="OJU80" s="609"/>
      <c r="OJV80" s="609"/>
      <c r="OJW80" s="609"/>
      <c r="OJX80" s="609"/>
      <c r="OJY80" s="609"/>
      <c r="OJZ80" s="609"/>
      <c r="OKA80" s="609"/>
      <c r="OKB80" s="609"/>
      <c r="OKC80" s="609"/>
      <c r="OKD80" s="609"/>
      <c r="OKE80" s="609"/>
      <c r="OKF80" s="609"/>
      <c r="OKG80" s="609"/>
      <c r="OKH80" s="609"/>
      <c r="OKI80" s="609"/>
      <c r="OKJ80" s="609"/>
      <c r="OKK80" s="609"/>
      <c r="OKL80" s="609"/>
      <c r="OKM80" s="609"/>
      <c r="OKN80" s="609"/>
      <c r="OKO80" s="609"/>
      <c r="OKP80" s="609"/>
      <c r="OKQ80" s="609"/>
      <c r="OKR80" s="609"/>
      <c r="OKS80" s="609"/>
      <c r="OKT80" s="609"/>
      <c r="OKU80" s="609"/>
      <c r="OKV80" s="609"/>
      <c r="OKW80" s="609"/>
      <c r="OKX80" s="609"/>
      <c r="OKY80" s="609"/>
      <c r="OKZ80" s="609"/>
      <c r="OLA80" s="609"/>
      <c r="OLB80" s="609"/>
      <c r="OLC80" s="609"/>
      <c r="OLD80" s="609"/>
      <c r="OLE80" s="609"/>
      <c r="OLF80" s="609"/>
      <c r="OLG80" s="609"/>
      <c r="OLH80" s="609"/>
      <c r="OLI80" s="609"/>
      <c r="OLJ80" s="609"/>
      <c r="OLK80" s="609"/>
      <c r="OLL80" s="609"/>
      <c r="OLM80" s="609"/>
      <c r="OLN80" s="609"/>
      <c r="OLO80" s="609"/>
      <c r="OLP80" s="609"/>
      <c r="OLQ80" s="609"/>
      <c r="OLR80" s="609"/>
      <c r="OLS80" s="609"/>
      <c r="OLT80" s="609"/>
      <c r="OLU80" s="609"/>
      <c r="OLV80" s="609"/>
      <c r="OLW80" s="609"/>
      <c r="OLX80" s="609"/>
      <c r="OLY80" s="609"/>
      <c r="OLZ80" s="609"/>
      <c r="OMA80" s="609"/>
      <c r="OMB80" s="609"/>
      <c r="OMC80" s="609"/>
      <c r="OMD80" s="609"/>
      <c r="OME80" s="609"/>
      <c r="OMF80" s="609"/>
      <c r="OMG80" s="609"/>
      <c r="OMH80" s="609"/>
      <c r="OMI80" s="609"/>
      <c r="OMJ80" s="609"/>
      <c r="OMK80" s="609"/>
      <c r="OML80" s="609"/>
      <c r="OMM80" s="609"/>
      <c r="OMN80" s="609"/>
      <c r="OMO80" s="609"/>
      <c r="OMP80" s="609"/>
      <c r="OMQ80" s="609"/>
      <c r="OMR80" s="609"/>
      <c r="OMS80" s="609"/>
      <c r="OMT80" s="609"/>
      <c r="OMU80" s="609"/>
      <c r="OMV80" s="609"/>
      <c r="OMW80" s="609"/>
      <c r="OMX80" s="609"/>
      <c r="OMY80" s="609"/>
      <c r="OMZ80" s="609"/>
      <c r="ONA80" s="609"/>
      <c r="ONB80" s="609"/>
      <c r="ONC80" s="609"/>
      <c r="OND80" s="609"/>
      <c r="ONE80" s="609"/>
      <c r="ONF80" s="609"/>
      <c r="ONG80" s="609"/>
      <c r="ONH80" s="609"/>
      <c r="ONI80" s="609"/>
      <c r="ONJ80" s="609"/>
      <c r="ONK80" s="609"/>
      <c r="ONL80" s="609"/>
      <c r="ONM80" s="609"/>
      <c r="ONN80" s="609"/>
      <c r="ONO80" s="609"/>
      <c r="ONP80" s="609"/>
      <c r="ONQ80" s="609"/>
      <c r="ONR80" s="609"/>
      <c r="ONS80" s="609"/>
      <c r="ONT80" s="609"/>
      <c r="ONU80" s="609"/>
      <c r="ONV80" s="609"/>
      <c r="ONW80" s="609"/>
      <c r="ONX80" s="609"/>
      <c r="ONY80" s="609"/>
      <c r="ONZ80" s="609"/>
      <c r="OOA80" s="609"/>
      <c r="OOB80" s="609"/>
      <c r="OOC80" s="609"/>
      <c r="OOD80" s="609"/>
      <c r="OOE80" s="609"/>
      <c r="OOF80" s="609"/>
      <c r="OOG80" s="609"/>
      <c r="OOH80" s="609"/>
      <c r="OOI80" s="609"/>
      <c r="OOJ80" s="609"/>
      <c r="OOK80" s="609"/>
      <c r="OOL80" s="609"/>
      <c r="OOM80" s="609"/>
      <c r="OON80" s="609"/>
      <c r="OOO80" s="609"/>
      <c r="OOP80" s="609"/>
      <c r="OOQ80" s="609"/>
      <c r="OOR80" s="609"/>
      <c r="OOS80" s="609"/>
      <c r="OOT80" s="609"/>
      <c r="OOU80" s="609"/>
      <c r="OOV80" s="609"/>
      <c r="OOW80" s="609"/>
      <c r="OOX80" s="609"/>
      <c r="OOY80" s="609"/>
      <c r="OOZ80" s="609"/>
      <c r="OPA80" s="609"/>
      <c r="OPB80" s="609"/>
      <c r="OPC80" s="609"/>
      <c r="OPD80" s="609"/>
      <c r="OPE80" s="609"/>
      <c r="OPF80" s="609"/>
      <c r="OPG80" s="609"/>
      <c r="OPH80" s="609"/>
      <c r="OPI80" s="609"/>
      <c r="OPJ80" s="609"/>
      <c r="OPK80" s="609"/>
      <c r="OPL80" s="609"/>
      <c r="OPM80" s="609"/>
      <c r="OPN80" s="609"/>
      <c r="OPO80" s="609"/>
      <c r="OPP80" s="609"/>
      <c r="OPQ80" s="609"/>
      <c r="OPR80" s="609"/>
      <c r="OPS80" s="609"/>
      <c r="OPT80" s="609"/>
      <c r="OPU80" s="609"/>
      <c r="OPV80" s="609"/>
      <c r="OPW80" s="609"/>
      <c r="OPX80" s="609"/>
      <c r="OPY80" s="609"/>
      <c r="OPZ80" s="609"/>
      <c r="OQA80" s="609"/>
      <c r="OQB80" s="609"/>
      <c r="OQC80" s="609"/>
      <c r="OQD80" s="609"/>
      <c r="OQE80" s="609"/>
      <c r="OQF80" s="609"/>
      <c r="OQG80" s="609"/>
      <c r="OQH80" s="609"/>
      <c r="OQI80" s="609"/>
      <c r="OQJ80" s="609"/>
      <c r="OQK80" s="609"/>
      <c r="OQL80" s="609"/>
      <c r="OQM80" s="609"/>
      <c r="OQN80" s="609"/>
      <c r="OQO80" s="609"/>
      <c r="OQP80" s="609"/>
      <c r="OQQ80" s="609"/>
      <c r="OQR80" s="609"/>
      <c r="OQS80" s="609"/>
      <c r="OQT80" s="609"/>
      <c r="OQU80" s="609"/>
      <c r="OQV80" s="609"/>
      <c r="OQW80" s="609"/>
      <c r="OQX80" s="609"/>
      <c r="OQY80" s="609"/>
      <c r="OQZ80" s="609"/>
      <c r="ORA80" s="609"/>
      <c r="ORB80" s="609"/>
      <c r="ORC80" s="609"/>
      <c r="ORD80" s="609"/>
      <c r="ORE80" s="609"/>
      <c r="ORF80" s="609"/>
      <c r="ORG80" s="609"/>
      <c r="ORH80" s="609"/>
      <c r="ORI80" s="609"/>
      <c r="ORJ80" s="609"/>
      <c r="ORK80" s="609"/>
      <c r="ORL80" s="609"/>
      <c r="ORM80" s="609"/>
      <c r="ORN80" s="609"/>
      <c r="ORO80" s="609"/>
      <c r="ORP80" s="609"/>
      <c r="ORQ80" s="609"/>
      <c r="ORR80" s="609"/>
      <c r="ORS80" s="609"/>
      <c r="ORT80" s="609"/>
      <c r="ORU80" s="609"/>
      <c r="ORV80" s="609"/>
      <c r="ORW80" s="609"/>
      <c r="ORX80" s="609"/>
      <c r="ORY80" s="609"/>
      <c r="ORZ80" s="609"/>
      <c r="OSA80" s="609"/>
      <c r="OSB80" s="609"/>
      <c r="OSC80" s="609"/>
      <c r="OSD80" s="609"/>
      <c r="OSE80" s="609"/>
      <c r="OSF80" s="609"/>
      <c r="OSG80" s="609"/>
      <c r="OSH80" s="609"/>
      <c r="OSI80" s="609"/>
      <c r="OSJ80" s="609"/>
      <c r="OSK80" s="609"/>
      <c r="OSL80" s="609"/>
      <c r="OSM80" s="609"/>
      <c r="OSN80" s="609"/>
      <c r="OSO80" s="609"/>
      <c r="OSP80" s="609"/>
      <c r="OSQ80" s="609"/>
      <c r="OSR80" s="609"/>
      <c r="OSS80" s="609"/>
      <c r="OST80" s="609"/>
      <c r="OSU80" s="609"/>
      <c r="OSV80" s="609"/>
      <c r="OSW80" s="609"/>
      <c r="OSX80" s="609"/>
      <c r="OSY80" s="609"/>
      <c r="OSZ80" s="609"/>
      <c r="OTA80" s="609"/>
      <c r="OTB80" s="609"/>
      <c r="OTC80" s="609"/>
      <c r="OTD80" s="609"/>
      <c r="OTE80" s="609"/>
      <c r="OTF80" s="609"/>
      <c r="OTG80" s="609"/>
      <c r="OTH80" s="609"/>
      <c r="OTI80" s="609"/>
      <c r="OTJ80" s="609"/>
      <c r="OTK80" s="609"/>
      <c r="OTL80" s="609"/>
      <c r="OTM80" s="609"/>
      <c r="OTN80" s="609"/>
      <c r="OTO80" s="609"/>
      <c r="OTP80" s="609"/>
      <c r="OTQ80" s="609"/>
      <c r="OTR80" s="609"/>
      <c r="OTS80" s="609"/>
      <c r="OTT80" s="609"/>
      <c r="OTU80" s="609"/>
      <c r="OTV80" s="609"/>
      <c r="OTW80" s="609"/>
      <c r="OTX80" s="609"/>
      <c r="OTY80" s="609"/>
      <c r="OTZ80" s="609"/>
      <c r="OUA80" s="609"/>
      <c r="OUB80" s="609"/>
      <c r="OUC80" s="609"/>
      <c r="OUD80" s="609"/>
      <c r="OUE80" s="609"/>
      <c r="OUF80" s="609"/>
      <c r="OUG80" s="609"/>
      <c r="OUH80" s="609"/>
      <c r="OUI80" s="609"/>
      <c r="OUJ80" s="609"/>
      <c r="OUK80" s="609"/>
      <c r="OUL80" s="609"/>
      <c r="OUM80" s="609"/>
      <c r="OUN80" s="609"/>
      <c r="OUO80" s="609"/>
      <c r="OUP80" s="609"/>
      <c r="OUQ80" s="609"/>
      <c r="OUR80" s="609"/>
      <c r="OUS80" s="609"/>
      <c r="OUT80" s="609"/>
      <c r="OUU80" s="609"/>
      <c r="OUV80" s="609"/>
      <c r="OUW80" s="609"/>
      <c r="OUX80" s="609"/>
      <c r="OUY80" s="609"/>
      <c r="OUZ80" s="609"/>
      <c r="OVA80" s="609"/>
      <c r="OVB80" s="609"/>
      <c r="OVC80" s="609"/>
      <c r="OVD80" s="609"/>
      <c r="OVE80" s="609"/>
      <c r="OVF80" s="609"/>
      <c r="OVG80" s="609"/>
      <c r="OVH80" s="609"/>
      <c r="OVI80" s="609"/>
      <c r="OVJ80" s="609"/>
      <c r="OVK80" s="609"/>
      <c r="OVL80" s="609"/>
      <c r="OVM80" s="609"/>
      <c r="OVN80" s="609"/>
      <c r="OVO80" s="609"/>
      <c r="OVP80" s="609"/>
      <c r="OVQ80" s="609"/>
      <c r="OVR80" s="609"/>
      <c r="OVS80" s="609"/>
      <c r="OVT80" s="609"/>
      <c r="OVU80" s="609"/>
      <c r="OVV80" s="609"/>
      <c r="OVW80" s="609"/>
      <c r="OVX80" s="609"/>
      <c r="OVY80" s="609"/>
      <c r="OVZ80" s="609"/>
      <c r="OWA80" s="609"/>
      <c r="OWB80" s="609"/>
      <c r="OWC80" s="609"/>
      <c r="OWD80" s="609"/>
      <c r="OWE80" s="609"/>
      <c r="OWF80" s="609"/>
      <c r="OWG80" s="609"/>
      <c r="OWH80" s="609"/>
      <c r="OWI80" s="609"/>
      <c r="OWJ80" s="609"/>
      <c r="OWK80" s="609"/>
      <c r="OWL80" s="609"/>
      <c r="OWM80" s="609"/>
      <c r="OWN80" s="609"/>
      <c r="OWO80" s="609"/>
      <c r="OWP80" s="609"/>
      <c r="OWQ80" s="609"/>
      <c r="OWR80" s="609"/>
      <c r="OWS80" s="609"/>
      <c r="OWT80" s="609"/>
      <c r="OWU80" s="609"/>
      <c r="OWV80" s="609"/>
      <c r="OWW80" s="609"/>
      <c r="OWX80" s="609"/>
      <c r="OWY80" s="609"/>
      <c r="OWZ80" s="609"/>
      <c r="OXA80" s="609"/>
      <c r="OXB80" s="609"/>
      <c r="OXC80" s="609"/>
      <c r="OXD80" s="609"/>
      <c r="OXE80" s="609"/>
      <c r="OXF80" s="609"/>
      <c r="OXG80" s="609"/>
      <c r="OXH80" s="609"/>
      <c r="OXI80" s="609"/>
      <c r="OXJ80" s="609"/>
      <c r="OXK80" s="609"/>
      <c r="OXL80" s="609"/>
      <c r="OXM80" s="609"/>
      <c r="OXN80" s="609"/>
      <c r="OXO80" s="609"/>
      <c r="OXP80" s="609"/>
      <c r="OXQ80" s="609"/>
      <c r="OXR80" s="609"/>
      <c r="OXS80" s="609"/>
      <c r="OXT80" s="609"/>
      <c r="OXU80" s="609"/>
      <c r="OXV80" s="609"/>
      <c r="OXW80" s="609"/>
      <c r="OXX80" s="609"/>
      <c r="OXY80" s="609"/>
      <c r="OXZ80" s="609"/>
      <c r="OYA80" s="609"/>
      <c r="OYB80" s="609"/>
      <c r="OYC80" s="609"/>
      <c r="OYD80" s="609"/>
      <c r="OYE80" s="609"/>
      <c r="OYF80" s="609"/>
      <c r="OYG80" s="609"/>
      <c r="OYH80" s="609"/>
      <c r="OYI80" s="609"/>
      <c r="OYJ80" s="609"/>
      <c r="OYK80" s="609"/>
      <c r="OYL80" s="609"/>
      <c r="OYM80" s="609"/>
      <c r="OYN80" s="609"/>
      <c r="OYO80" s="609"/>
      <c r="OYP80" s="609"/>
      <c r="OYQ80" s="609"/>
      <c r="OYR80" s="609"/>
      <c r="OYS80" s="609"/>
      <c r="OYT80" s="609"/>
      <c r="OYU80" s="609"/>
      <c r="OYV80" s="609"/>
      <c r="OYW80" s="609"/>
      <c r="OYX80" s="609"/>
      <c r="OYY80" s="609"/>
      <c r="OYZ80" s="609"/>
      <c r="OZA80" s="609"/>
      <c r="OZB80" s="609"/>
      <c r="OZC80" s="609"/>
      <c r="OZD80" s="609"/>
      <c r="OZE80" s="609"/>
      <c r="OZF80" s="609"/>
      <c r="OZG80" s="609"/>
      <c r="OZH80" s="609"/>
      <c r="OZI80" s="609"/>
      <c r="OZJ80" s="609"/>
      <c r="OZK80" s="609"/>
      <c r="OZL80" s="609"/>
      <c r="OZM80" s="609"/>
      <c r="OZN80" s="609"/>
      <c r="OZO80" s="609"/>
      <c r="OZP80" s="609"/>
      <c r="OZQ80" s="609"/>
      <c r="OZR80" s="609"/>
      <c r="OZS80" s="609"/>
      <c r="OZT80" s="609"/>
      <c r="OZU80" s="609"/>
      <c r="OZV80" s="609"/>
      <c r="OZW80" s="609"/>
      <c r="OZX80" s="609"/>
      <c r="OZY80" s="609"/>
      <c r="OZZ80" s="609"/>
      <c r="PAA80" s="609"/>
      <c r="PAB80" s="609"/>
      <c r="PAC80" s="609"/>
      <c r="PAD80" s="609"/>
      <c r="PAE80" s="609"/>
      <c r="PAF80" s="609"/>
      <c r="PAG80" s="609"/>
      <c r="PAH80" s="609"/>
      <c r="PAI80" s="609"/>
      <c r="PAJ80" s="609"/>
      <c r="PAK80" s="609"/>
      <c r="PAL80" s="609"/>
      <c r="PAM80" s="609"/>
      <c r="PAN80" s="609"/>
      <c r="PAO80" s="609"/>
      <c r="PAP80" s="609"/>
      <c r="PAQ80" s="609"/>
      <c r="PAR80" s="609"/>
      <c r="PAS80" s="609"/>
      <c r="PAT80" s="609"/>
      <c r="PAU80" s="609"/>
      <c r="PAV80" s="609"/>
      <c r="PAW80" s="609"/>
      <c r="PAX80" s="609"/>
      <c r="PAY80" s="609"/>
      <c r="PAZ80" s="609"/>
      <c r="PBA80" s="609"/>
      <c r="PBB80" s="609"/>
      <c r="PBC80" s="609"/>
      <c r="PBD80" s="609"/>
      <c r="PBE80" s="609"/>
      <c r="PBF80" s="609"/>
      <c r="PBG80" s="609"/>
      <c r="PBH80" s="609"/>
      <c r="PBI80" s="609"/>
      <c r="PBJ80" s="609"/>
      <c r="PBK80" s="609"/>
      <c r="PBL80" s="609"/>
      <c r="PBM80" s="609"/>
      <c r="PBN80" s="609"/>
      <c r="PBO80" s="609"/>
      <c r="PBP80" s="609"/>
      <c r="PBQ80" s="609"/>
      <c r="PBR80" s="609"/>
      <c r="PBS80" s="609"/>
      <c r="PBT80" s="609"/>
      <c r="PBU80" s="609"/>
      <c r="PBV80" s="609"/>
      <c r="PBW80" s="609"/>
      <c r="PBX80" s="609"/>
      <c r="PBY80" s="609"/>
      <c r="PBZ80" s="609"/>
      <c r="PCA80" s="609"/>
      <c r="PCB80" s="609"/>
      <c r="PCC80" s="609"/>
      <c r="PCD80" s="609"/>
      <c r="PCE80" s="609"/>
      <c r="PCF80" s="609"/>
      <c r="PCG80" s="609"/>
      <c r="PCH80" s="609"/>
      <c r="PCI80" s="609"/>
      <c r="PCJ80" s="609"/>
      <c r="PCK80" s="609"/>
      <c r="PCL80" s="609"/>
      <c r="PCM80" s="609"/>
      <c r="PCN80" s="609"/>
      <c r="PCO80" s="609"/>
      <c r="PCP80" s="609"/>
      <c r="PCQ80" s="609"/>
      <c r="PCR80" s="609"/>
      <c r="PCS80" s="609"/>
      <c r="PCT80" s="609"/>
      <c r="PCU80" s="609"/>
      <c r="PCV80" s="609"/>
      <c r="PCW80" s="609"/>
      <c r="PCX80" s="609"/>
      <c r="PCY80" s="609"/>
      <c r="PCZ80" s="609"/>
      <c r="PDA80" s="609"/>
      <c r="PDB80" s="609"/>
      <c r="PDC80" s="609"/>
      <c r="PDD80" s="609"/>
      <c r="PDE80" s="609"/>
      <c r="PDF80" s="609"/>
      <c r="PDG80" s="609"/>
      <c r="PDH80" s="609"/>
      <c r="PDI80" s="609"/>
      <c r="PDJ80" s="609"/>
      <c r="PDK80" s="609"/>
      <c r="PDL80" s="609"/>
      <c r="PDM80" s="609"/>
      <c r="PDN80" s="609"/>
      <c r="PDO80" s="609"/>
      <c r="PDP80" s="609"/>
      <c r="PDQ80" s="609"/>
      <c r="PDR80" s="609"/>
      <c r="PDS80" s="609"/>
      <c r="PDT80" s="609"/>
      <c r="PDU80" s="609"/>
      <c r="PDV80" s="609"/>
      <c r="PDW80" s="609"/>
      <c r="PDX80" s="609"/>
      <c r="PDY80" s="609"/>
      <c r="PDZ80" s="609"/>
      <c r="PEA80" s="609"/>
      <c r="PEB80" s="609"/>
      <c r="PEC80" s="609"/>
      <c r="PED80" s="609"/>
      <c r="PEE80" s="609"/>
      <c r="PEF80" s="609"/>
      <c r="PEG80" s="609"/>
      <c r="PEH80" s="609"/>
      <c r="PEI80" s="609"/>
      <c r="PEJ80" s="609"/>
      <c r="PEK80" s="609"/>
      <c r="PEL80" s="609"/>
      <c r="PEM80" s="609"/>
      <c r="PEN80" s="609"/>
      <c r="PEO80" s="609"/>
      <c r="PEP80" s="609"/>
      <c r="PEQ80" s="609"/>
      <c r="PER80" s="609"/>
      <c r="PES80" s="609"/>
      <c r="PET80" s="609"/>
      <c r="PEU80" s="609"/>
      <c r="PEV80" s="609"/>
      <c r="PEW80" s="609"/>
      <c r="PEX80" s="609"/>
      <c r="PEY80" s="609"/>
      <c r="PEZ80" s="609"/>
      <c r="PFA80" s="609"/>
      <c r="PFB80" s="609"/>
      <c r="PFC80" s="609"/>
      <c r="PFD80" s="609"/>
      <c r="PFE80" s="609"/>
      <c r="PFF80" s="609"/>
      <c r="PFG80" s="609"/>
      <c r="PFH80" s="609"/>
      <c r="PFI80" s="609"/>
      <c r="PFJ80" s="609"/>
      <c r="PFK80" s="609"/>
      <c r="PFL80" s="609"/>
      <c r="PFM80" s="609"/>
      <c r="PFN80" s="609"/>
      <c r="PFO80" s="609"/>
      <c r="PFP80" s="609"/>
      <c r="PFQ80" s="609"/>
      <c r="PFR80" s="609"/>
      <c r="PFS80" s="609"/>
      <c r="PFT80" s="609"/>
      <c r="PFU80" s="609"/>
      <c r="PFV80" s="609"/>
      <c r="PFW80" s="609"/>
      <c r="PFX80" s="609"/>
      <c r="PFY80" s="609"/>
      <c r="PFZ80" s="609"/>
      <c r="PGA80" s="609"/>
      <c r="PGB80" s="609"/>
      <c r="PGC80" s="609"/>
      <c r="PGD80" s="609"/>
      <c r="PGE80" s="609"/>
      <c r="PGF80" s="609"/>
      <c r="PGG80" s="609"/>
      <c r="PGH80" s="609"/>
      <c r="PGI80" s="609"/>
      <c r="PGJ80" s="609"/>
      <c r="PGK80" s="609"/>
      <c r="PGL80" s="609"/>
      <c r="PGM80" s="609"/>
      <c r="PGN80" s="609"/>
      <c r="PGO80" s="609"/>
      <c r="PGP80" s="609"/>
      <c r="PGQ80" s="609"/>
      <c r="PGR80" s="609"/>
      <c r="PGS80" s="609"/>
      <c r="PGT80" s="609"/>
      <c r="PGU80" s="609"/>
      <c r="PGV80" s="609"/>
      <c r="PGW80" s="609"/>
      <c r="PGX80" s="609"/>
      <c r="PGY80" s="609"/>
      <c r="PGZ80" s="609"/>
      <c r="PHA80" s="609"/>
      <c r="PHB80" s="609"/>
      <c r="PHC80" s="609"/>
      <c r="PHD80" s="609"/>
      <c r="PHE80" s="609"/>
      <c r="PHF80" s="609"/>
      <c r="PHG80" s="609"/>
      <c r="PHH80" s="609"/>
      <c r="PHI80" s="609"/>
      <c r="PHJ80" s="609"/>
      <c r="PHK80" s="609"/>
      <c r="PHL80" s="609"/>
      <c r="PHM80" s="609"/>
      <c r="PHN80" s="609"/>
      <c r="PHO80" s="609"/>
      <c r="PHP80" s="609"/>
      <c r="PHQ80" s="609"/>
      <c r="PHR80" s="609"/>
      <c r="PHS80" s="609"/>
      <c r="PHT80" s="609"/>
      <c r="PHU80" s="609"/>
      <c r="PHV80" s="609"/>
      <c r="PHW80" s="609"/>
      <c r="PHX80" s="609"/>
      <c r="PHY80" s="609"/>
      <c r="PHZ80" s="609"/>
      <c r="PIA80" s="609"/>
      <c r="PIB80" s="609"/>
      <c r="PIC80" s="609"/>
      <c r="PID80" s="609"/>
      <c r="PIE80" s="609"/>
      <c r="PIF80" s="609"/>
      <c r="PIG80" s="609"/>
      <c r="PIH80" s="609"/>
      <c r="PII80" s="609"/>
      <c r="PIJ80" s="609"/>
      <c r="PIK80" s="609"/>
      <c r="PIL80" s="609"/>
      <c r="PIM80" s="609"/>
      <c r="PIN80" s="609"/>
      <c r="PIO80" s="609"/>
      <c r="PIP80" s="609"/>
      <c r="PIQ80" s="609"/>
      <c r="PIR80" s="609"/>
      <c r="PIS80" s="609"/>
      <c r="PIT80" s="609"/>
      <c r="PIU80" s="609"/>
      <c r="PIV80" s="609"/>
      <c r="PIW80" s="609"/>
      <c r="PIX80" s="609"/>
      <c r="PIY80" s="609"/>
      <c r="PIZ80" s="609"/>
      <c r="PJA80" s="609"/>
      <c r="PJB80" s="609"/>
      <c r="PJC80" s="609"/>
      <c r="PJD80" s="609"/>
      <c r="PJE80" s="609"/>
      <c r="PJF80" s="609"/>
      <c r="PJG80" s="609"/>
      <c r="PJH80" s="609"/>
      <c r="PJI80" s="609"/>
      <c r="PJJ80" s="609"/>
      <c r="PJK80" s="609"/>
      <c r="PJL80" s="609"/>
      <c r="PJM80" s="609"/>
      <c r="PJN80" s="609"/>
      <c r="PJO80" s="609"/>
      <c r="PJP80" s="609"/>
      <c r="PJQ80" s="609"/>
      <c r="PJR80" s="609"/>
      <c r="PJS80" s="609"/>
      <c r="PJT80" s="609"/>
      <c r="PJU80" s="609"/>
      <c r="PJV80" s="609"/>
      <c r="PJW80" s="609"/>
      <c r="PJX80" s="609"/>
      <c r="PJY80" s="609"/>
      <c r="PJZ80" s="609"/>
      <c r="PKA80" s="609"/>
      <c r="PKB80" s="609"/>
      <c r="PKC80" s="609"/>
      <c r="PKD80" s="609"/>
      <c r="PKE80" s="609"/>
      <c r="PKF80" s="609"/>
      <c r="PKG80" s="609"/>
      <c r="PKH80" s="609"/>
      <c r="PKI80" s="609"/>
      <c r="PKJ80" s="609"/>
      <c r="PKK80" s="609"/>
      <c r="PKL80" s="609"/>
      <c r="PKM80" s="609"/>
      <c r="PKN80" s="609"/>
      <c r="PKO80" s="609"/>
      <c r="PKP80" s="609"/>
      <c r="PKQ80" s="609"/>
      <c r="PKR80" s="609"/>
      <c r="PKS80" s="609"/>
      <c r="PKT80" s="609"/>
      <c r="PKU80" s="609"/>
      <c r="PKV80" s="609"/>
      <c r="PKW80" s="609"/>
      <c r="PKX80" s="609"/>
      <c r="PKY80" s="609"/>
      <c r="PKZ80" s="609"/>
      <c r="PLA80" s="609"/>
      <c r="PLB80" s="609"/>
      <c r="PLC80" s="609"/>
      <c r="PLD80" s="609"/>
      <c r="PLE80" s="609"/>
      <c r="PLF80" s="609"/>
      <c r="PLG80" s="609"/>
      <c r="PLH80" s="609"/>
      <c r="PLI80" s="609"/>
      <c r="PLJ80" s="609"/>
      <c r="PLK80" s="609"/>
      <c r="PLL80" s="609"/>
      <c r="PLM80" s="609"/>
      <c r="PLN80" s="609"/>
      <c r="PLO80" s="609"/>
      <c r="PLP80" s="609"/>
      <c r="PLQ80" s="609"/>
      <c r="PLR80" s="609"/>
      <c r="PLS80" s="609"/>
      <c r="PLT80" s="609"/>
      <c r="PLU80" s="609"/>
      <c r="PLV80" s="609"/>
      <c r="PLW80" s="609"/>
      <c r="PLX80" s="609"/>
      <c r="PLY80" s="609"/>
      <c r="PLZ80" s="609"/>
      <c r="PMA80" s="609"/>
      <c r="PMB80" s="609"/>
      <c r="PMC80" s="609"/>
      <c r="PMD80" s="609"/>
      <c r="PME80" s="609"/>
      <c r="PMF80" s="609"/>
      <c r="PMG80" s="609"/>
      <c r="PMH80" s="609"/>
      <c r="PMI80" s="609"/>
      <c r="PMJ80" s="609"/>
      <c r="PMK80" s="609"/>
      <c r="PML80" s="609"/>
      <c r="PMM80" s="609"/>
      <c r="PMN80" s="609"/>
      <c r="PMO80" s="609"/>
      <c r="PMP80" s="609"/>
      <c r="PMQ80" s="609"/>
      <c r="PMR80" s="609"/>
      <c r="PMS80" s="609"/>
      <c r="PMT80" s="609"/>
      <c r="PMU80" s="609"/>
      <c r="PMV80" s="609"/>
      <c r="PMW80" s="609"/>
      <c r="PMX80" s="609"/>
      <c r="PMY80" s="609"/>
      <c r="PMZ80" s="609"/>
      <c r="PNA80" s="609"/>
      <c r="PNB80" s="609"/>
      <c r="PNC80" s="609"/>
      <c r="PND80" s="609"/>
      <c r="PNE80" s="609"/>
      <c r="PNF80" s="609"/>
      <c r="PNG80" s="609"/>
      <c r="PNH80" s="609"/>
      <c r="PNI80" s="609"/>
      <c r="PNJ80" s="609"/>
      <c r="PNK80" s="609"/>
      <c r="PNL80" s="609"/>
      <c r="PNM80" s="609"/>
      <c r="PNN80" s="609"/>
      <c r="PNO80" s="609"/>
      <c r="PNP80" s="609"/>
      <c r="PNQ80" s="609"/>
      <c r="PNR80" s="609"/>
      <c r="PNS80" s="609"/>
      <c r="PNT80" s="609"/>
      <c r="PNU80" s="609"/>
      <c r="PNV80" s="609"/>
      <c r="PNW80" s="609"/>
      <c r="PNX80" s="609"/>
      <c r="PNY80" s="609"/>
      <c r="PNZ80" s="609"/>
      <c r="POA80" s="609"/>
      <c r="POB80" s="609"/>
      <c r="POC80" s="609"/>
      <c r="POD80" s="609"/>
      <c r="POE80" s="609"/>
      <c r="POF80" s="609"/>
      <c r="POG80" s="609"/>
      <c r="POH80" s="609"/>
      <c r="POI80" s="609"/>
      <c r="POJ80" s="609"/>
      <c r="POK80" s="609"/>
      <c r="POL80" s="609"/>
      <c r="POM80" s="609"/>
      <c r="PON80" s="609"/>
      <c r="POO80" s="609"/>
      <c r="POP80" s="609"/>
      <c r="POQ80" s="609"/>
      <c r="POR80" s="609"/>
      <c r="POS80" s="609"/>
      <c r="POT80" s="609"/>
      <c r="POU80" s="609"/>
      <c r="POV80" s="609"/>
      <c r="POW80" s="609"/>
      <c r="POX80" s="609"/>
      <c r="POY80" s="609"/>
      <c r="POZ80" s="609"/>
      <c r="PPA80" s="609"/>
      <c r="PPB80" s="609"/>
      <c r="PPC80" s="609"/>
      <c r="PPD80" s="609"/>
      <c r="PPE80" s="609"/>
      <c r="PPF80" s="609"/>
      <c r="PPG80" s="609"/>
      <c r="PPH80" s="609"/>
      <c r="PPI80" s="609"/>
      <c r="PPJ80" s="609"/>
      <c r="PPK80" s="609"/>
      <c r="PPL80" s="609"/>
      <c r="PPM80" s="609"/>
      <c r="PPN80" s="609"/>
      <c r="PPO80" s="609"/>
      <c r="PPP80" s="609"/>
      <c r="PPQ80" s="609"/>
      <c r="PPR80" s="609"/>
      <c r="PPS80" s="609"/>
      <c r="PPT80" s="609"/>
      <c r="PPU80" s="609"/>
      <c r="PPV80" s="609"/>
      <c r="PPW80" s="609"/>
      <c r="PPX80" s="609"/>
      <c r="PPY80" s="609"/>
      <c r="PPZ80" s="609"/>
      <c r="PQA80" s="609"/>
      <c r="PQB80" s="609"/>
      <c r="PQC80" s="609"/>
      <c r="PQD80" s="609"/>
      <c r="PQE80" s="609"/>
      <c r="PQF80" s="609"/>
      <c r="PQG80" s="609"/>
      <c r="PQH80" s="609"/>
      <c r="PQI80" s="609"/>
      <c r="PQJ80" s="609"/>
      <c r="PQK80" s="609"/>
      <c r="PQL80" s="609"/>
      <c r="PQM80" s="609"/>
      <c r="PQN80" s="609"/>
      <c r="PQO80" s="609"/>
      <c r="PQP80" s="609"/>
      <c r="PQQ80" s="609"/>
      <c r="PQR80" s="609"/>
      <c r="PQS80" s="609"/>
      <c r="PQT80" s="609"/>
      <c r="PQU80" s="609"/>
      <c r="PQV80" s="609"/>
      <c r="PQW80" s="609"/>
      <c r="PQX80" s="609"/>
      <c r="PQY80" s="609"/>
      <c r="PQZ80" s="609"/>
      <c r="PRA80" s="609"/>
      <c r="PRB80" s="609"/>
      <c r="PRC80" s="609"/>
      <c r="PRD80" s="609"/>
      <c r="PRE80" s="609"/>
      <c r="PRF80" s="609"/>
      <c r="PRG80" s="609"/>
      <c r="PRH80" s="609"/>
      <c r="PRI80" s="609"/>
      <c r="PRJ80" s="609"/>
      <c r="PRK80" s="609"/>
      <c r="PRL80" s="609"/>
      <c r="PRM80" s="609"/>
      <c r="PRN80" s="609"/>
      <c r="PRO80" s="609"/>
      <c r="PRP80" s="609"/>
      <c r="PRQ80" s="609"/>
      <c r="PRR80" s="609"/>
      <c r="PRS80" s="609"/>
      <c r="PRT80" s="609"/>
      <c r="PRU80" s="609"/>
      <c r="PRV80" s="609"/>
      <c r="PRW80" s="609"/>
      <c r="PRX80" s="609"/>
      <c r="PRY80" s="609"/>
      <c r="PRZ80" s="609"/>
      <c r="PSA80" s="609"/>
      <c r="PSB80" s="609"/>
      <c r="PSC80" s="609"/>
      <c r="PSD80" s="609"/>
      <c r="PSE80" s="609"/>
      <c r="PSF80" s="609"/>
      <c r="PSG80" s="609"/>
      <c r="PSH80" s="609"/>
      <c r="PSI80" s="609"/>
      <c r="PSJ80" s="609"/>
      <c r="PSK80" s="609"/>
      <c r="PSL80" s="609"/>
      <c r="PSM80" s="609"/>
      <c r="PSN80" s="609"/>
      <c r="PSO80" s="609"/>
      <c r="PSP80" s="609"/>
      <c r="PSQ80" s="609"/>
      <c r="PSR80" s="609"/>
      <c r="PSS80" s="609"/>
      <c r="PST80" s="609"/>
      <c r="PSU80" s="609"/>
      <c r="PSV80" s="609"/>
      <c r="PSW80" s="609"/>
      <c r="PSX80" s="609"/>
      <c r="PSY80" s="609"/>
      <c r="PSZ80" s="609"/>
      <c r="PTA80" s="609"/>
      <c r="PTB80" s="609"/>
      <c r="PTC80" s="609"/>
      <c r="PTD80" s="609"/>
      <c r="PTE80" s="609"/>
      <c r="PTF80" s="609"/>
      <c r="PTG80" s="609"/>
      <c r="PTH80" s="609"/>
      <c r="PTI80" s="609"/>
      <c r="PTJ80" s="609"/>
      <c r="PTK80" s="609"/>
      <c r="PTL80" s="609"/>
      <c r="PTM80" s="609"/>
      <c r="PTN80" s="609"/>
      <c r="PTO80" s="609"/>
      <c r="PTP80" s="609"/>
      <c r="PTQ80" s="609"/>
      <c r="PTR80" s="609"/>
      <c r="PTS80" s="609"/>
      <c r="PTT80" s="609"/>
      <c r="PTU80" s="609"/>
      <c r="PTV80" s="609"/>
      <c r="PTW80" s="609"/>
      <c r="PTX80" s="609"/>
      <c r="PTY80" s="609"/>
      <c r="PTZ80" s="609"/>
      <c r="PUA80" s="609"/>
      <c r="PUB80" s="609"/>
      <c r="PUC80" s="609"/>
      <c r="PUD80" s="609"/>
      <c r="PUE80" s="609"/>
      <c r="PUF80" s="609"/>
      <c r="PUG80" s="609"/>
      <c r="PUH80" s="609"/>
      <c r="PUI80" s="609"/>
      <c r="PUJ80" s="609"/>
      <c r="PUK80" s="609"/>
      <c r="PUL80" s="609"/>
      <c r="PUM80" s="609"/>
      <c r="PUN80" s="609"/>
      <c r="PUO80" s="609"/>
      <c r="PUP80" s="609"/>
      <c r="PUQ80" s="609"/>
      <c r="PUR80" s="609"/>
      <c r="PUS80" s="609"/>
      <c r="PUT80" s="609"/>
      <c r="PUU80" s="609"/>
      <c r="PUV80" s="609"/>
      <c r="PUW80" s="609"/>
      <c r="PUX80" s="609"/>
      <c r="PUY80" s="609"/>
      <c r="PUZ80" s="609"/>
      <c r="PVA80" s="609"/>
      <c r="PVB80" s="609"/>
      <c r="PVC80" s="609"/>
      <c r="PVD80" s="609"/>
      <c r="PVE80" s="609"/>
      <c r="PVF80" s="609"/>
      <c r="PVG80" s="609"/>
      <c r="PVH80" s="609"/>
      <c r="PVI80" s="609"/>
      <c r="PVJ80" s="609"/>
      <c r="PVK80" s="609"/>
      <c r="PVL80" s="609"/>
      <c r="PVM80" s="609"/>
      <c r="PVN80" s="609"/>
      <c r="PVO80" s="609"/>
      <c r="PVP80" s="609"/>
      <c r="PVQ80" s="609"/>
      <c r="PVR80" s="609"/>
      <c r="PVS80" s="609"/>
      <c r="PVT80" s="609"/>
      <c r="PVU80" s="609"/>
      <c r="PVV80" s="609"/>
      <c r="PVW80" s="609"/>
      <c r="PVX80" s="609"/>
      <c r="PVY80" s="609"/>
      <c r="PVZ80" s="609"/>
      <c r="PWA80" s="609"/>
      <c r="PWB80" s="609"/>
      <c r="PWC80" s="609"/>
      <c r="PWD80" s="609"/>
      <c r="PWE80" s="609"/>
      <c r="PWF80" s="609"/>
      <c r="PWG80" s="609"/>
      <c r="PWH80" s="609"/>
      <c r="PWI80" s="609"/>
      <c r="PWJ80" s="609"/>
      <c r="PWK80" s="609"/>
      <c r="PWL80" s="609"/>
      <c r="PWM80" s="609"/>
      <c r="PWN80" s="609"/>
      <c r="PWO80" s="609"/>
      <c r="PWP80" s="609"/>
      <c r="PWQ80" s="609"/>
      <c r="PWR80" s="609"/>
      <c r="PWS80" s="609"/>
      <c r="PWT80" s="609"/>
      <c r="PWU80" s="609"/>
      <c r="PWV80" s="609"/>
      <c r="PWW80" s="609"/>
      <c r="PWX80" s="609"/>
      <c r="PWY80" s="609"/>
      <c r="PWZ80" s="609"/>
      <c r="PXA80" s="609"/>
      <c r="PXB80" s="609"/>
      <c r="PXC80" s="609"/>
      <c r="PXD80" s="609"/>
      <c r="PXE80" s="609"/>
      <c r="PXF80" s="609"/>
      <c r="PXG80" s="609"/>
      <c r="PXH80" s="609"/>
      <c r="PXI80" s="609"/>
      <c r="PXJ80" s="609"/>
      <c r="PXK80" s="609"/>
      <c r="PXL80" s="609"/>
      <c r="PXM80" s="609"/>
      <c r="PXN80" s="609"/>
      <c r="PXO80" s="609"/>
      <c r="PXP80" s="609"/>
      <c r="PXQ80" s="609"/>
      <c r="PXR80" s="609"/>
      <c r="PXS80" s="609"/>
      <c r="PXT80" s="609"/>
      <c r="PXU80" s="609"/>
      <c r="PXV80" s="609"/>
      <c r="PXW80" s="609"/>
      <c r="PXX80" s="609"/>
      <c r="PXY80" s="609"/>
      <c r="PXZ80" s="609"/>
      <c r="PYA80" s="609"/>
      <c r="PYB80" s="609"/>
      <c r="PYC80" s="609"/>
      <c r="PYD80" s="609"/>
      <c r="PYE80" s="609"/>
      <c r="PYF80" s="609"/>
      <c r="PYG80" s="609"/>
      <c r="PYH80" s="609"/>
      <c r="PYI80" s="609"/>
      <c r="PYJ80" s="609"/>
      <c r="PYK80" s="609"/>
      <c r="PYL80" s="609"/>
      <c r="PYM80" s="609"/>
      <c r="PYN80" s="609"/>
      <c r="PYO80" s="609"/>
      <c r="PYP80" s="609"/>
      <c r="PYQ80" s="609"/>
      <c r="PYR80" s="609"/>
      <c r="PYS80" s="609"/>
      <c r="PYT80" s="609"/>
      <c r="PYU80" s="609"/>
      <c r="PYV80" s="609"/>
      <c r="PYW80" s="609"/>
      <c r="PYX80" s="609"/>
      <c r="PYY80" s="609"/>
      <c r="PYZ80" s="609"/>
      <c r="PZA80" s="609"/>
      <c r="PZB80" s="609"/>
      <c r="PZC80" s="609"/>
      <c r="PZD80" s="609"/>
      <c r="PZE80" s="609"/>
      <c r="PZF80" s="609"/>
      <c r="PZG80" s="609"/>
      <c r="PZH80" s="609"/>
      <c r="PZI80" s="609"/>
      <c r="PZJ80" s="609"/>
      <c r="PZK80" s="609"/>
      <c r="PZL80" s="609"/>
      <c r="PZM80" s="609"/>
      <c r="PZN80" s="609"/>
      <c r="PZO80" s="609"/>
      <c r="PZP80" s="609"/>
      <c r="PZQ80" s="609"/>
      <c r="PZR80" s="609"/>
      <c r="PZS80" s="609"/>
      <c r="PZT80" s="609"/>
      <c r="PZU80" s="609"/>
      <c r="PZV80" s="609"/>
      <c r="PZW80" s="609"/>
      <c r="PZX80" s="609"/>
      <c r="PZY80" s="609"/>
      <c r="PZZ80" s="609"/>
      <c r="QAA80" s="609"/>
      <c r="QAB80" s="609"/>
      <c r="QAC80" s="609"/>
      <c r="QAD80" s="609"/>
      <c r="QAE80" s="609"/>
      <c r="QAF80" s="609"/>
      <c r="QAG80" s="609"/>
      <c r="QAH80" s="609"/>
      <c r="QAI80" s="609"/>
      <c r="QAJ80" s="609"/>
      <c r="QAK80" s="609"/>
      <c r="QAL80" s="609"/>
      <c r="QAM80" s="609"/>
      <c r="QAN80" s="609"/>
      <c r="QAO80" s="609"/>
      <c r="QAP80" s="609"/>
      <c r="QAQ80" s="609"/>
      <c r="QAR80" s="609"/>
      <c r="QAS80" s="609"/>
      <c r="QAT80" s="609"/>
      <c r="QAU80" s="609"/>
      <c r="QAV80" s="609"/>
      <c r="QAW80" s="609"/>
      <c r="QAX80" s="609"/>
      <c r="QAY80" s="609"/>
      <c r="QAZ80" s="609"/>
      <c r="QBA80" s="609"/>
      <c r="QBB80" s="609"/>
      <c r="QBC80" s="609"/>
      <c r="QBD80" s="609"/>
      <c r="QBE80" s="609"/>
      <c r="QBF80" s="609"/>
      <c r="QBG80" s="609"/>
      <c r="QBH80" s="609"/>
      <c r="QBI80" s="609"/>
      <c r="QBJ80" s="609"/>
      <c r="QBK80" s="609"/>
      <c r="QBL80" s="609"/>
      <c r="QBM80" s="609"/>
      <c r="QBN80" s="609"/>
      <c r="QBO80" s="609"/>
      <c r="QBP80" s="609"/>
      <c r="QBQ80" s="609"/>
      <c r="QBR80" s="609"/>
      <c r="QBS80" s="609"/>
      <c r="QBT80" s="609"/>
      <c r="QBU80" s="609"/>
      <c r="QBV80" s="609"/>
      <c r="QBW80" s="609"/>
      <c r="QBX80" s="609"/>
      <c r="QBY80" s="609"/>
      <c r="QBZ80" s="609"/>
      <c r="QCA80" s="609"/>
      <c r="QCB80" s="609"/>
      <c r="QCC80" s="609"/>
      <c r="QCD80" s="609"/>
      <c r="QCE80" s="609"/>
      <c r="QCF80" s="609"/>
      <c r="QCG80" s="609"/>
      <c r="QCH80" s="609"/>
      <c r="QCI80" s="609"/>
      <c r="QCJ80" s="609"/>
      <c r="QCK80" s="609"/>
      <c r="QCL80" s="609"/>
      <c r="QCM80" s="609"/>
      <c r="QCN80" s="609"/>
      <c r="QCO80" s="609"/>
      <c r="QCP80" s="609"/>
      <c r="QCQ80" s="609"/>
      <c r="QCR80" s="609"/>
      <c r="QCS80" s="609"/>
      <c r="QCT80" s="609"/>
      <c r="QCU80" s="609"/>
      <c r="QCV80" s="609"/>
      <c r="QCW80" s="609"/>
      <c r="QCX80" s="609"/>
      <c r="QCY80" s="609"/>
      <c r="QCZ80" s="609"/>
      <c r="QDA80" s="609"/>
      <c r="QDB80" s="609"/>
      <c r="QDC80" s="609"/>
      <c r="QDD80" s="609"/>
      <c r="QDE80" s="609"/>
      <c r="QDF80" s="609"/>
      <c r="QDG80" s="609"/>
      <c r="QDH80" s="609"/>
      <c r="QDI80" s="609"/>
      <c r="QDJ80" s="609"/>
      <c r="QDK80" s="609"/>
      <c r="QDL80" s="609"/>
      <c r="QDM80" s="609"/>
      <c r="QDN80" s="609"/>
      <c r="QDO80" s="609"/>
      <c r="QDP80" s="609"/>
      <c r="QDQ80" s="609"/>
      <c r="QDR80" s="609"/>
      <c r="QDS80" s="609"/>
      <c r="QDT80" s="609"/>
      <c r="QDU80" s="609"/>
      <c r="QDV80" s="609"/>
      <c r="QDW80" s="609"/>
      <c r="QDX80" s="609"/>
      <c r="QDY80" s="609"/>
      <c r="QDZ80" s="609"/>
      <c r="QEA80" s="609"/>
      <c r="QEB80" s="609"/>
      <c r="QEC80" s="609"/>
      <c r="QED80" s="609"/>
      <c r="QEE80" s="609"/>
      <c r="QEF80" s="609"/>
      <c r="QEG80" s="609"/>
      <c r="QEH80" s="609"/>
      <c r="QEI80" s="609"/>
      <c r="QEJ80" s="609"/>
      <c r="QEK80" s="609"/>
      <c r="QEL80" s="609"/>
      <c r="QEM80" s="609"/>
      <c r="QEN80" s="609"/>
      <c r="QEO80" s="609"/>
      <c r="QEP80" s="609"/>
      <c r="QEQ80" s="609"/>
      <c r="QER80" s="609"/>
      <c r="QES80" s="609"/>
      <c r="QET80" s="609"/>
      <c r="QEU80" s="609"/>
      <c r="QEV80" s="609"/>
      <c r="QEW80" s="609"/>
      <c r="QEX80" s="609"/>
      <c r="QEY80" s="609"/>
      <c r="QEZ80" s="609"/>
      <c r="QFA80" s="609"/>
      <c r="QFB80" s="609"/>
      <c r="QFC80" s="609"/>
      <c r="QFD80" s="609"/>
      <c r="QFE80" s="609"/>
      <c r="QFF80" s="609"/>
      <c r="QFG80" s="609"/>
      <c r="QFH80" s="609"/>
      <c r="QFI80" s="609"/>
      <c r="QFJ80" s="609"/>
      <c r="QFK80" s="609"/>
      <c r="QFL80" s="609"/>
      <c r="QFM80" s="609"/>
      <c r="QFN80" s="609"/>
      <c r="QFO80" s="609"/>
      <c r="QFP80" s="609"/>
      <c r="QFQ80" s="609"/>
      <c r="QFR80" s="609"/>
      <c r="QFS80" s="609"/>
      <c r="QFT80" s="609"/>
      <c r="QFU80" s="609"/>
      <c r="QFV80" s="609"/>
      <c r="QFW80" s="609"/>
      <c r="QFX80" s="609"/>
      <c r="QFY80" s="609"/>
      <c r="QFZ80" s="609"/>
      <c r="QGA80" s="609"/>
      <c r="QGB80" s="609"/>
      <c r="QGC80" s="609"/>
      <c r="QGD80" s="609"/>
      <c r="QGE80" s="609"/>
      <c r="QGF80" s="609"/>
      <c r="QGG80" s="609"/>
      <c r="QGH80" s="609"/>
      <c r="QGI80" s="609"/>
      <c r="QGJ80" s="609"/>
      <c r="QGK80" s="609"/>
      <c r="QGL80" s="609"/>
      <c r="QGM80" s="609"/>
      <c r="QGN80" s="609"/>
      <c r="QGO80" s="609"/>
      <c r="QGP80" s="609"/>
      <c r="QGQ80" s="609"/>
      <c r="QGR80" s="609"/>
      <c r="QGS80" s="609"/>
      <c r="QGT80" s="609"/>
      <c r="QGU80" s="609"/>
      <c r="QGV80" s="609"/>
      <c r="QGW80" s="609"/>
      <c r="QGX80" s="609"/>
      <c r="QGY80" s="609"/>
      <c r="QGZ80" s="609"/>
      <c r="QHA80" s="609"/>
      <c r="QHB80" s="609"/>
      <c r="QHC80" s="609"/>
      <c r="QHD80" s="609"/>
      <c r="QHE80" s="609"/>
      <c r="QHF80" s="609"/>
      <c r="QHG80" s="609"/>
      <c r="QHH80" s="609"/>
      <c r="QHI80" s="609"/>
      <c r="QHJ80" s="609"/>
      <c r="QHK80" s="609"/>
      <c r="QHL80" s="609"/>
      <c r="QHM80" s="609"/>
      <c r="QHN80" s="609"/>
      <c r="QHO80" s="609"/>
      <c r="QHP80" s="609"/>
      <c r="QHQ80" s="609"/>
      <c r="QHR80" s="609"/>
      <c r="QHS80" s="609"/>
      <c r="QHT80" s="609"/>
      <c r="QHU80" s="609"/>
      <c r="QHV80" s="609"/>
      <c r="QHW80" s="609"/>
      <c r="QHX80" s="609"/>
      <c r="QHY80" s="609"/>
      <c r="QHZ80" s="609"/>
      <c r="QIA80" s="609"/>
      <c r="QIB80" s="609"/>
      <c r="QIC80" s="609"/>
      <c r="QID80" s="609"/>
      <c r="QIE80" s="609"/>
      <c r="QIF80" s="609"/>
      <c r="QIG80" s="609"/>
      <c r="QIH80" s="609"/>
      <c r="QII80" s="609"/>
      <c r="QIJ80" s="609"/>
      <c r="QIK80" s="609"/>
      <c r="QIL80" s="609"/>
      <c r="QIM80" s="609"/>
      <c r="QIN80" s="609"/>
      <c r="QIO80" s="609"/>
      <c r="QIP80" s="609"/>
      <c r="QIQ80" s="609"/>
      <c r="QIR80" s="609"/>
      <c r="QIS80" s="609"/>
      <c r="QIT80" s="609"/>
      <c r="QIU80" s="609"/>
      <c r="QIV80" s="609"/>
      <c r="QIW80" s="609"/>
      <c r="QIX80" s="609"/>
      <c r="QIY80" s="609"/>
      <c r="QIZ80" s="609"/>
      <c r="QJA80" s="609"/>
      <c r="QJB80" s="609"/>
      <c r="QJC80" s="609"/>
      <c r="QJD80" s="609"/>
      <c r="QJE80" s="609"/>
      <c r="QJF80" s="609"/>
      <c r="QJG80" s="609"/>
      <c r="QJH80" s="609"/>
      <c r="QJI80" s="609"/>
      <c r="QJJ80" s="609"/>
      <c r="QJK80" s="609"/>
      <c r="QJL80" s="609"/>
      <c r="QJM80" s="609"/>
      <c r="QJN80" s="609"/>
      <c r="QJO80" s="609"/>
      <c r="QJP80" s="609"/>
      <c r="QJQ80" s="609"/>
      <c r="QJR80" s="609"/>
      <c r="QJS80" s="609"/>
      <c r="QJT80" s="609"/>
      <c r="QJU80" s="609"/>
      <c r="QJV80" s="609"/>
      <c r="QJW80" s="609"/>
      <c r="QJX80" s="609"/>
      <c r="QJY80" s="609"/>
      <c r="QJZ80" s="609"/>
      <c r="QKA80" s="609"/>
      <c r="QKB80" s="609"/>
      <c r="QKC80" s="609"/>
      <c r="QKD80" s="609"/>
      <c r="QKE80" s="609"/>
      <c r="QKF80" s="609"/>
      <c r="QKG80" s="609"/>
      <c r="QKH80" s="609"/>
      <c r="QKI80" s="609"/>
      <c r="QKJ80" s="609"/>
      <c r="QKK80" s="609"/>
      <c r="QKL80" s="609"/>
      <c r="QKM80" s="609"/>
      <c r="QKN80" s="609"/>
      <c r="QKO80" s="609"/>
      <c r="QKP80" s="609"/>
      <c r="QKQ80" s="609"/>
      <c r="QKR80" s="609"/>
      <c r="QKS80" s="609"/>
      <c r="QKT80" s="609"/>
      <c r="QKU80" s="609"/>
      <c r="QKV80" s="609"/>
      <c r="QKW80" s="609"/>
      <c r="QKX80" s="609"/>
      <c r="QKY80" s="609"/>
      <c r="QKZ80" s="609"/>
      <c r="QLA80" s="609"/>
      <c r="QLB80" s="609"/>
      <c r="QLC80" s="609"/>
      <c r="QLD80" s="609"/>
      <c r="QLE80" s="609"/>
      <c r="QLF80" s="609"/>
      <c r="QLG80" s="609"/>
      <c r="QLH80" s="609"/>
      <c r="QLI80" s="609"/>
      <c r="QLJ80" s="609"/>
      <c r="QLK80" s="609"/>
      <c r="QLL80" s="609"/>
      <c r="QLM80" s="609"/>
      <c r="QLN80" s="609"/>
      <c r="QLO80" s="609"/>
      <c r="QLP80" s="609"/>
      <c r="QLQ80" s="609"/>
      <c r="QLR80" s="609"/>
      <c r="QLS80" s="609"/>
      <c r="QLT80" s="609"/>
      <c r="QLU80" s="609"/>
      <c r="QLV80" s="609"/>
      <c r="QLW80" s="609"/>
      <c r="QLX80" s="609"/>
      <c r="QLY80" s="609"/>
      <c r="QLZ80" s="609"/>
      <c r="QMA80" s="609"/>
      <c r="QMB80" s="609"/>
      <c r="QMC80" s="609"/>
      <c r="QMD80" s="609"/>
      <c r="QME80" s="609"/>
      <c r="QMF80" s="609"/>
      <c r="QMG80" s="609"/>
      <c r="QMH80" s="609"/>
      <c r="QMI80" s="609"/>
      <c r="QMJ80" s="609"/>
      <c r="QMK80" s="609"/>
      <c r="QML80" s="609"/>
      <c r="QMM80" s="609"/>
      <c r="QMN80" s="609"/>
      <c r="QMO80" s="609"/>
      <c r="QMP80" s="609"/>
      <c r="QMQ80" s="609"/>
      <c r="QMR80" s="609"/>
      <c r="QMS80" s="609"/>
      <c r="QMT80" s="609"/>
      <c r="QMU80" s="609"/>
      <c r="QMV80" s="609"/>
      <c r="QMW80" s="609"/>
      <c r="QMX80" s="609"/>
      <c r="QMY80" s="609"/>
      <c r="QMZ80" s="609"/>
      <c r="QNA80" s="609"/>
      <c r="QNB80" s="609"/>
      <c r="QNC80" s="609"/>
      <c r="QND80" s="609"/>
      <c r="QNE80" s="609"/>
      <c r="QNF80" s="609"/>
      <c r="QNG80" s="609"/>
      <c r="QNH80" s="609"/>
      <c r="QNI80" s="609"/>
      <c r="QNJ80" s="609"/>
      <c r="QNK80" s="609"/>
      <c r="QNL80" s="609"/>
      <c r="QNM80" s="609"/>
      <c r="QNN80" s="609"/>
      <c r="QNO80" s="609"/>
      <c r="QNP80" s="609"/>
      <c r="QNQ80" s="609"/>
      <c r="QNR80" s="609"/>
      <c r="QNS80" s="609"/>
      <c r="QNT80" s="609"/>
      <c r="QNU80" s="609"/>
      <c r="QNV80" s="609"/>
      <c r="QNW80" s="609"/>
      <c r="QNX80" s="609"/>
      <c r="QNY80" s="609"/>
      <c r="QNZ80" s="609"/>
      <c r="QOA80" s="609"/>
      <c r="QOB80" s="609"/>
      <c r="QOC80" s="609"/>
      <c r="QOD80" s="609"/>
      <c r="QOE80" s="609"/>
      <c r="QOF80" s="609"/>
      <c r="QOG80" s="609"/>
      <c r="QOH80" s="609"/>
      <c r="QOI80" s="609"/>
      <c r="QOJ80" s="609"/>
      <c r="QOK80" s="609"/>
      <c r="QOL80" s="609"/>
      <c r="QOM80" s="609"/>
      <c r="QON80" s="609"/>
      <c r="QOO80" s="609"/>
      <c r="QOP80" s="609"/>
      <c r="QOQ80" s="609"/>
      <c r="QOR80" s="609"/>
      <c r="QOS80" s="609"/>
      <c r="QOT80" s="609"/>
      <c r="QOU80" s="609"/>
      <c r="QOV80" s="609"/>
      <c r="QOW80" s="609"/>
      <c r="QOX80" s="609"/>
      <c r="QOY80" s="609"/>
      <c r="QOZ80" s="609"/>
      <c r="QPA80" s="609"/>
      <c r="QPB80" s="609"/>
      <c r="QPC80" s="609"/>
      <c r="QPD80" s="609"/>
      <c r="QPE80" s="609"/>
      <c r="QPF80" s="609"/>
      <c r="QPG80" s="609"/>
      <c r="QPH80" s="609"/>
      <c r="QPI80" s="609"/>
      <c r="QPJ80" s="609"/>
      <c r="QPK80" s="609"/>
      <c r="QPL80" s="609"/>
      <c r="QPM80" s="609"/>
      <c r="QPN80" s="609"/>
      <c r="QPO80" s="609"/>
      <c r="QPP80" s="609"/>
      <c r="QPQ80" s="609"/>
      <c r="QPR80" s="609"/>
      <c r="QPS80" s="609"/>
      <c r="QPT80" s="609"/>
      <c r="QPU80" s="609"/>
      <c r="QPV80" s="609"/>
      <c r="QPW80" s="609"/>
      <c r="QPX80" s="609"/>
      <c r="QPY80" s="609"/>
      <c r="QPZ80" s="609"/>
      <c r="QQA80" s="609"/>
      <c r="QQB80" s="609"/>
      <c r="QQC80" s="609"/>
      <c r="QQD80" s="609"/>
      <c r="QQE80" s="609"/>
      <c r="QQF80" s="609"/>
      <c r="QQG80" s="609"/>
      <c r="QQH80" s="609"/>
      <c r="QQI80" s="609"/>
      <c r="QQJ80" s="609"/>
      <c r="QQK80" s="609"/>
      <c r="QQL80" s="609"/>
      <c r="QQM80" s="609"/>
      <c r="QQN80" s="609"/>
      <c r="QQO80" s="609"/>
      <c r="QQP80" s="609"/>
      <c r="QQQ80" s="609"/>
      <c r="QQR80" s="609"/>
      <c r="QQS80" s="609"/>
      <c r="QQT80" s="609"/>
      <c r="QQU80" s="609"/>
      <c r="QQV80" s="609"/>
      <c r="QQW80" s="609"/>
      <c r="QQX80" s="609"/>
      <c r="QQY80" s="609"/>
      <c r="QQZ80" s="609"/>
      <c r="QRA80" s="609"/>
      <c r="QRB80" s="609"/>
      <c r="QRC80" s="609"/>
      <c r="QRD80" s="609"/>
      <c r="QRE80" s="609"/>
      <c r="QRF80" s="609"/>
      <c r="QRG80" s="609"/>
      <c r="QRH80" s="609"/>
      <c r="QRI80" s="609"/>
      <c r="QRJ80" s="609"/>
      <c r="QRK80" s="609"/>
      <c r="QRL80" s="609"/>
      <c r="QRM80" s="609"/>
      <c r="QRN80" s="609"/>
      <c r="QRO80" s="609"/>
      <c r="QRP80" s="609"/>
      <c r="QRQ80" s="609"/>
      <c r="QRR80" s="609"/>
      <c r="QRS80" s="609"/>
      <c r="QRT80" s="609"/>
      <c r="QRU80" s="609"/>
      <c r="QRV80" s="609"/>
      <c r="QRW80" s="609"/>
      <c r="QRX80" s="609"/>
      <c r="QRY80" s="609"/>
      <c r="QRZ80" s="609"/>
      <c r="QSA80" s="609"/>
      <c r="QSB80" s="609"/>
      <c r="QSC80" s="609"/>
      <c r="QSD80" s="609"/>
      <c r="QSE80" s="609"/>
      <c r="QSF80" s="609"/>
      <c r="QSG80" s="609"/>
      <c r="QSH80" s="609"/>
      <c r="QSI80" s="609"/>
      <c r="QSJ80" s="609"/>
      <c r="QSK80" s="609"/>
      <c r="QSL80" s="609"/>
      <c r="QSM80" s="609"/>
      <c r="QSN80" s="609"/>
      <c r="QSO80" s="609"/>
      <c r="QSP80" s="609"/>
      <c r="QSQ80" s="609"/>
      <c r="QSR80" s="609"/>
      <c r="QSS80" s="609"/>
      <c r="QST80" s="609"/>
      <c r="QSU80" s="609"/>
      <c r="QSV80" s="609"/>
      <c r="QSW80" s="609"/>
      <c r="QSX80" s="609"/>
      <c r="QSY80" s="609"/>
      <c r="QSZ80" s="609"/>
      <c r="QTA80" s="609"/>
      <c r="QTB80" s="609"/>
      <c r="QTC80" s="609"/>
      <c r="QTD80" s="609"/>
      <c r="QTE80" s="609"/>
      <c r="QTF80" s="609"/>
      <c r="QTG80" s="609"/>
      <c r="QTH80" s="609"/>
      <c r="QTI80" s="609"/>
      <c r="QTJ80" s="609"/>
      <c r="QTK80" s="609"/>
      <c r="QTL80" s="609"/>
      <c r="QTM80" s="609"/>
      <c r="QTN80" s="609"/>
      <c r="QTO80" s="609"/>
      <c r="QTP80" s="609"/>
      <c r="QTQ80" s="609"/>
      <c r="QTR80" s="609"/>
      <c r="QTS80" s="609"/>
      <c r="QTT80" s="609"/>
      <c r="QTU80" s="609"/>
      <c r="QTV80" s="609"/>
      <c r="QTW80" s="609"/>
      <c r="QTX80" s="609"/>
      <c r="QTY80" s="609"/>
      <c r="QTZ80" s="609"/>
      <c r="QUA80" s="609"/>
      <c r="QUB80" s="609"/>
      <c r="QUC80" s="609"/>
      <c r="QUD80" s="609"/>
      <c r="QUE80" s="609"/>
      <c r="QUF80" s="609"/>
      <c r="QUG80" s="609"/>
      <c r="QUH80" s="609"/>
      <c r="QUI80" s="609"/>
      <c r="QUJ80" s="609"/>
      <c r="QUK80" s="609"/>
      <c r="QUL80" s="609"/>
      <c r="QUM80" s="609"/>
      <c r="QUN80" s="609"/>
      <c r="QUO80" s="609"/>
      <c r="QUP80" s="609"/>
      <c r="QUQ80" s="609"/>
      <c r="QUR80" s="609"/>
      <c r="QUS80" s="609"/>
      <c r="QUT80" s="609"/>
      <c r="QUU80" s="609"/>
      <c r="QUV80" s="609"/>
      <c r="QUW80" s="609"/>
      <c r="QUX80" s="609"/>
      <c r="QUY80" s="609"/>
      <c r="QUZ80" s="609"/>
      <c r="QVA80" s="609"/>
      <c r="QVB80" s="609"/>
      <c r="QVC80" s="609"/>
      <c r="QVD80" s="609"/>
      <c r="QVE80" s="609"/>
      <c r="QVF80" s="609"/>
      <c r="QVG80" s="609"/>
      <c r="QVH80" s="609"/>
      <c r="QVI80" s="609"/>
      <c r="QVJ80" s="609"/>
      <c r="QVK80" s="609"/>
      <c r="QVL80" s="609"/>
      <c r="QVM80" s="609"/>
      <c r="QVN80" s="609"/>
      <c r="QVO80" s="609"/>
      <c r="QVP80" s="609"/>
      <c r="QVQ80" s="609"/>
      <c r="QVR80" s="609"/>
      <c r="QVS80" s="609"/>
      <c r="QVT80" s="609"/>
      <c r="QVU80" s="609"/>
      <c r="QVV80" s="609"/>
      <c r="QVW80" s="609"/>
      <c r="QVX80" s="609"/>
      <c r="QVY80" s="609"/>
      <c r="QVZ80" s="609"/>
      <c r="QWA80" s="609"/>
      <c r="QWB80" s="609"/>
      <c r="QWC80" s="609"/>
      <c r="QWD80" s="609"/>
      <c r="QWE80" s="609"/>
      <c r="QWF80" s="609"/>
      <c r="QWG80" s="609"/>
      <c r="QWH80" s="609"/>
      <c r="QWI80" s="609"/>
      <c r="QWJ80" s="609"/>
      <c r="QWK80" s="609"/>
      <c r="QWL80" s="609"/>
      <c r="QWM80" s="609"/>
      <c r="QWN80" s="609"/>
      <c r="QWO80" s="609"/>
      <c r="QWP80" s="609"/>
      <c r="QWQ80" s="609"/>
      <c r="QWR80" s="609"/>
      <c r="QWS80" s="609"/>
      <c r="QWT80" s="609"/>
      <c r="QWU80" s="609"/>
      <c r="QWV80" s="609"/>
      <c r="QWW80" s="609"/>
      <c r="QWX80" s="609"/>
      <c r="QWY80" s="609"/>
      <c r="QWZ80" s="609"/>
      <c r="QXA80" s="609"/>
      <c r="QXB80" s="609"/>
      <c r="QXC80" s="609"/>
      <c r="QXD80" s="609"/>
      <c r="QXE80" s="609"/>
      <c r="QXF80" s="609"/>
      <c r="QXG80" s="609"/>
      <c r="QXH80" s="609"/>
      <c r="QXI80" s="609"/>
      <c r="QXJ80" s="609"/>
      <c r="QXK80" s="609"/>
      <c r="QXL80" s="609"/>
      <c r="QXM80" s="609"/>
      <c r="QXN80" s="609"/>
      <c r="QXO80" s="609"/>
      <c r="QXP80" s="609"/>
      <c r="QXQ80" s="609"/>
      <c r="QXR80" s="609"/>
      <c r="QXS80" s="609"/>
      <c r="QXT80" s="609"/>
      <c r="QXU80" s="609"/>
      <c r="QXV80" s="609"/>
      <c r="QXW80" s="609"/>
      <c r="QXX80" s="609"/>
      <c r="QXY80" s="609"/>
      <c r="QXZ80" s="609"/>
      <c r="QYA80" s="609"/>
      <c r="QYB80" s="609"/>
      <c r="QYC80" s="609"/>
      <c r="QYD80" s="609"/>
      <c r="QYE80" s="609"/>
      <c r="QYF80" s="609"/>
      <c r="QYG80" s="609"/>
      <c r="QYH80" s="609"/>
      <c r="QYI80" s="609"/>
      <c r="QYJ80" s="609"/>
      <c r="QYK80" s="609"/>
      <c r="QYL80" s="609"/>
      <c r="QYM80" s="609"/>
      <c r="QYN80" s="609"/>
      <c r="QYO80" s="609"/>
      <c r="QYP80" s="609"/>
      <c r="QYQ80" s="609"/>
      <c r="QYR80" s="609"/>
      <c r="QYS80" s="609"/>
      <c r="QYT80" s="609"/>
      <c r="QYU80" s="609"/>
      <c r="QYV80" s="609"/>
      <c r="QYW80" s="609"/>
      <c r="QYX80" s="609"/>
      <c r="QYY80" s="609"/>
      <c r="QYZ80" s="609"/>
      <c r="QZA80" s="609"/>
      <c r="QZB80" s="609"/>
      <c r="QZC80" s="609"/>
      <c r="QZD80" s="609"/>
      <c r="QZE80" s="609"/>
      <c r="QZF80" s="609"/>
      <c r="QZG80" s="609"/>
      <c r="QZH80" s="609"/>
      <c r="QZI80" s="609"/>
      <c r="QZJ80" s="609"/>
      <c r="QZK80" s="609"/>
      <c r="QZL80" s="609"/>
      <c r="QZM80" s="609"/>
      <c r="QZN80" s="609"/>
      <c r="QZO80" s="609"/>
      <c r="QZP80" s="609"/>
      <c r="QZQ80" s="609"/>
      <c r="QZR80" s="609"/>
      <c r="QZS80" s="609"/>
      <c r="QZT80" s="609"/>
      <c r="QZU80" s="609"/>
      <c r="QZV80" s="609"/>
      <c r="QZW80" s="609"/>
      <c r="QZX80" s="609"/>
      <c r="QZY80" s="609"/>
      <c r="QZZ80" s="609"/>
      <c r="RAA80" s="609"/>
      <c r="RAB80" s="609"/>
      <c r="RAC80" s="609"/>
      <c r="RAD80" s="609"/>
      <c r="RAE80" s="609"/>
      <c r="RAF80" s="609"/>
      <c r="RAG80" s="609"/>
      <c r="RAH80" s="609"/>
      <c r="RAI80" s="609"/>
      <c r="RAJ80" s="609"/>
      <c r="RAK80" s="609"/>
      <c r="RAL80" s="609"/>
      <c r="RAM80" s="609"/>
      <c r="RAN80" s="609"/>
      <c r="RAO80" s="609"/>
      <c r="RAP80" s="609"/>
      <c r="RAQ80" s="609"/>
      <c r="RAR80" s="609"/>
      <c r="RAS80" s="609"/>
      <c r="RAT80" s="609"/>
      <c r="RAU80" s="609"/>
      <c r="RAV80" s="609"/>
      <c r="RAW80" s="609"/>
      <c r="RAX80" s="609"/>
      <c r="RAY80" s="609"/>
      <c r="RAZ80" s="609"/>
      <c r="RBA80" s="609"/>
      <c r="RBB80" s="609"/>
      <c r="RBC80" s="609"/>
      <c r="RBD80" s="609"/>
      <c r="RBE80" s="609"/>
      <c r="RBF80" s="609"/>
      <c r="RBG80" s="609"/>
      <c r="RBH80" s="609"/>
      <c r="RBI80" s="609"/>
      <c r="RBJ80" s="609"/>
      <c r="RBK80" s="609"/>
      <c r="RBL80" s="609"/>
      <c r="RBM80" s="609"/>
      <c r="RBN80" s="609"/>
      <c r="RBO80" s="609"/>
      <c r="RBP80" s="609"/>
      <c r="RBQ80" s="609"/>
      <c r="RBR80" s="609"/>
      <c r="RBS80" s="609"/>
      <c r="RBT80" s="609"/>
      <c r="RBU80" s="609"/>
      <c r="RBV80" s="609"/>
      <c r="RBW80" s="609"/>
      <c r="RBX80" s="609"/>
      <c r="RBY80" s="609"/>
      <c r="RBZ80" s="609"/>
      <c r="RCA80" s="609"/>
      <c r="RCB80" s="609"/>
      <c r="RCC80" s="609"/>
      <c r="RCD80" s="609"/>
      <c r="RCE80" s="609"/>
      <c r="RCF80" s="609"/>
      <c r="RCG80" s="609"/>
      <c r="RCH80" s="609"/>
      <c r="RCI80" s="609"/>
      <c r="RCJ80" s="609"/>
      <c r="RCK80" s="609"/>
      <c r="RCL80" s="609"/>
      <c r="RCM80" s="609"/>
      <c r="RCN80" s="609"/>
      <c r="RCO80" s="609"/>
      <c r="RCP80" s="609"/>
      <c r="RCQ80" s="609"/>
      <c r="RCR80" s="609"/>
      <c r="RCS80" s="609"/>
      <c r="RCT80" s="609"/>
      <c r="RCU80" s="609"/>
      <c r="RCV80" s="609"/>
      <c r="RCW80" s="609"/>
      <c r="RCX80" s="609"/>
      <c r="RCY80" s="609"/>
      <c r="RCZ80" s="609"/>
      <c r="RDA80" s="609"/>
      <c r="RDB80" s="609"/>
      <c r="RDC80" s="609"/>
      <c r="RDD80" s="609"/>
      <c r="RDE80" s="609"/>
      <c r="RDF80" s="609"/>
      <c r="RDG80" s="609"/>
      <c r="RDH80" s="609"/>
      <c r="RDI80" s="609"/>
      <c r="RDJ80" s="609"/>
      <c r="RDK80" s="609"/>
      <c r="RDL80" s="609"/>
      <c r="RDM80" s="609"/>
      <c r="RDN80" s="609"/>
      <c r="RDO80" s="609"/>
      <c r="RDP80" s="609"/>
      <c r="RDQ80" s="609"/>
      <c r="RDR80" s="609"/>
      <c r="RDS80" s="609"/>
      <c r="RDT80" s="609"/>
      <c r="RDU80" s="609"/>
      <c r="RDV80" s="609"/>
      <c r="RDW80" s="609"/>
      <c r="RDX80" s="609"/>
      <c r="RDY80" s="609"/>
      <c r="RDZ80" s="609"/>
      <c r="REA80" s="609"/>
      <c r="REB80" s="609"/>
      <c r="REC80" s="609"/>
      <c r="RED80" s="609"/>
      <c r="REE80" s="609"/>
      <c r="REF80" s="609"/>
      <c r="REG80" s="609"/>
      <c r="REH80" s="609"/>
      <c r="REI80" s="609"/>
      <c r="REJ80" s="609"/>
      <c r="REK80" s="609"/>
      <c r="REL80" s="609"/>
      <c r="REM80" s="609"/>
      <c r="REN80" s="609"/>
      <c r="REO80" s="609"/>
      <c r="REP80" s="609"/>
      <c r="REQ80" s="609"/>
      <c r="RER80" s="609"/>
      <c r="RES80" s="609"/>
      <c r="RET80" s="609"/>
      <c r="REU80" s="609"/>
      <c r="REV80" s="609"/>
      <c r="REW80" s="609"/>
      <c r="REX80" s="609"/>
      <c r="REY80" s="609"/>
      <c r="REZ80" s="609"/>
      <c r="RFA80" s="609"/>
      <c r="RFB80" s="609"/>
      <c r="RFC80" s="609"/>
      <c r="RFD80" s="609"/>
      <c r="RFE80" s="609"/>
      <c r="RFF80" s="609"/>
      <c r="RFG80" s="609"/>
      <c r="RFH80" s="609"/>
      <c r="RFI80" s="609"/>
      <c r="RFJ80" s="609"/>
      <c r="RFK80" s="609"/>
      <c r="RFL80" s="609"/>
      <c r="RFM80" s="609"/>
      <c r="RFN80" s="609"/>
      <c r="RFO80" s="609"/>
      <c r="RFP80" s="609"/>
      <c r="RFQ80" s="609"/>
      <c r="RFR80" s="609"/>
      <c r="RFS80" s="609"/>
      <c r="RFT80" s="609"/>
      <c r="RFU80" s="609"/>
      <c r="RFV80" s="609"/>
      <c r="RFW80" s="609"/>
      <c r="RFX80" s="609"/>
      <c r="RFY80" s="609"/>
      <c r="RFZ80" s="609"/>
      <c r="RGA80" s="609"/>
      <c r="RGB80" s="609"/>
      <c r="RGC80" s="609"/>
      <c r="RGD80" s="609"/>
      <c r="RGE80" s="609"/>
      <c r="RGF80" s="609"/>
      <c r="RGG80" s="609"/>
      <c r="RGH80" s="609"/>
      <c r="RGI80" s="609"/>
      <c r="RGJ80" s="609"/>
      <c r="RGK80" s="609"/>
      <c r="RGL80" s="609"/>
      <c r="RGM80" s="609"/>
      <c r="RGN80" s="609"/>
      <c r="RGO80" s="609"/>
      <c r="RGP80" s="609"/>
      <c r="RGQ80" s="609"/>
      <c r="RGR80" s="609"/>
      <c r="RGS80" s="609"/>
      <c r="RGT80" s="609"/>
      <c r="RGU80" s="609"/>
      <c r="RGV80" s="609"/>
      <c r="RGW80" s="609"/>
      <c r="RGX80" s="609"/>
      <c r="RGY80" s="609"/>
      <c r="RGZ80" s="609"/>
      <c r="RHA80" s="609"/>
      <c r="RHB80" s="609"/>
      <c r="RHC80" s="609"/>
      <c r="RHD80" s="609"/>
      <c r="RHE80" s="609"/>
      <c r="RHF80" s="609"/>
      <c r="RHG80" s="609"/>
      <c r="RHH80" s="609"/>
      <c r="RHI80" s="609"/>
      <c r="RHJ80" s="609"/>
      <c r="RHK80" s="609"/>
      <c r="RHL80" s="609"/>
      <c r="RHM80" s="609"/>
      <c r="RHN80" s="609"/>
      <c r="RHO80" s="609"/>
      <c r="RHP80" s="609"/>
      <c r="RHQ80" s="609"/>
      <c r="RHR80" s="609"/>
      <c r="RHS80" s="609"/>
      <c r="RHT80" s="609"/>
      <c r="RHU80" s="609"/>
      <c r="RHV80" s="609"/>
      <c r="RHW80" s="609"/>
      <c r="RHX80" s="609"/>
      <c r="RHY80" s="609"/>
      <c r="RHZ80" s="609"/>
      <c r="RIA80" s="609"/>
      <c r="RIB80" s="609"/>
      <c r="RIC80" s="609"/>
      <c r="RID80" s="609"/>
      <c r="RIE80" s="609"/>
      <c r="RIF80" s="609"/>
      <c r="RIG80" s="609"/>
      <c r="RIH80" s="609"/>
      <c r="RII80" s="609"/>
      <c r="RIJ80" s="609"/>
      <c r="RIK80" s="609"/>
      <c r="RIL80" s="609"/>
      <c r="RIM80" s="609"/>
      <c r="RIN80" s="609"/>
      <c r="RIO80" s="609"/>
      <c r="RIP80" s="609"/>
      <c r="RIQ80" s="609"/>
      <c r="RIR80" s="609"/>
      <c r="RIS80" s="609"/>
      <c r="RIT80" s="609"/>
      <c r="RIU80" s="609"/>
      <c r="RIV80" s="609"/>
      <c r="RIW80" s="609"/>
      <c r="RIX80" s="609"/>
      <c r="RIY80" s="609"/>
      <c r="RIZ80" s="609"/>
      <c r="RJA80" s="609"/>
      <c r="RJB80" s="609"/>
      <c r="RJC80" s="609"/>
      <c r="RJD80" s="609"/>
      <c r="RJE80" s="609"/>
      <c r="RJF80" s="609"/>
      <c r="RJG80" s="609"/>
      <c r="RJH80" s="609"/>
      <c r="RJI80" s="609"/>
      <c r="RJJ80" s="609"/>
      <c r="RJK80" s="609"/>
      <c r="RJL80" s="609"/>
      <c r="RJM80" s="609"/>
      <c r="RJN80" s="609"/>
      <c r="RJO80" s="609"/>
      <c r="RJP80" s="609"/>
      <c r="RJQ80" s="609"/>
      <c r="RJR80" s="609"/>
      <c r="RJS80" s="609"/>
      <c r="RJT80" s="609"/>
      <c r="RJU80" s="609"/>
      <c r="RJV80" s="609"/>
      <c r="RJW80" s="609"/>
      <c r="RJX80" s="609"/>
      <c r="RJY80" s="609"/>
      <c r="RJZ80" s="609"/>
      <c r="RKA80" s="609"/>
      <c r="RKB80" s="609"/>
      <c r="RKC80" s="609"/>
      <c r="RKD80" s="609"/>
      <c r="RKE80" s="609"/>
      <c r="RKF80" s="609"/>
      <c r="RKG80" s="609"/>
      <c r="RKH80" s="609"/>
      <c r="RKI80" s="609"/>
      <c r="RKJ80" s="609"/>
      <c r="RKK80" s="609"/>
      <c r="RKL80" s="609"/>
      <c r="RKM80" s="609"/>
      <c r="RKN80" s="609"/>
      <c r="RKO80" s="609"/>
      <c r="RKP80" s="609"/>
      <c r="RKQ80" s="609"/>
      <c r="RKR80" s="609"/>
      <c r="RKS80" s="609"/>
      <c r="RKT80" s="609"/>
      <c r="RKU80" s="609"/>
      <c r="RKV80" s="609"/>
      <c r="RKW80" s="609"/>
      <c r="RKX80" s="609"/>
      <c r="RKY80" s="609"/>
      <c r="RKZ80" s="609"/>
      <c r="RLA80" s="609"/>
      <c r="RLB80" s="609"/>
      <c r="RLC80" s="609"/>
      <c r="RLD80" s="609"/>
      <c r="RLE80" s="609"/>
      <c r="RLF80" s="609"/>
      <c r="RLG80" s="609"/>
      <c r="RLH80" s="609"/>
      <c r="RLI80" s="609"/>
      <c r="RLJ80" s="609"/>
      <c r="RLK80" s="609"/>
      <c r="RLL80" s="609"/>
      <c r="RLM80" s="609"/>
      <c r="RLN80" s="609"/>
      <c r="RLO80" s="609"/>
      <c r="RLP80" s="609"/>
      <c r="RLQ80" s="609"/>
      <c r="RLR80" s="609"/>
      <c r="RLS80" s="609"/>
      <c r="RLT80" s="609"/>
      <c r="RLU80" s="609"/>
      <c r="RLV80" s="609"/>
      <c r="RLW80" s="609"/>
      <c r="RLX80" s="609"/>
      <c r="RLY80" s="609"/>
      <c r="RLZ80" s="609"/>
      <c r="RMA80" s="609"/>
      <c r="RMB80" s="609"/>
      <c r="RMC80" s="609"/>
      <c r="RMD80" s="609"/>
      <c r="RME80" s="609"/>
      <c r="RMF80" s="609"/>
      <c r="RMG80" s="609"/>
      <c r="RMH80" s="609"/>
      <c r="RMI80" s="609"/>
      <c r="RMJ80" s="609"/>
      <c r="RMK80" s="609"/>
      <c r="RML80" s="609"/>
      <c r="RMM80" s="609"/>
      <c r="RMN80" s="609"/>
      <c r="RMO80" s="609"/>
      <c r="RMP80" s="609"/>
      <c r="RMQ80" s="609"/>
      <c r="RMR80" s="609"/>
      <c r="RMS80" s="609"/>
      <c r="RMT80" s="609"/>
      <c r="RMU80" s="609"/>
      <c r="RMV80" s="609"/>
      <c r="RMW80" s="609"/>
      <c r="RMX80" s="609"/>
      <c r="RMY80" s="609"/>
      <c r="RMZ80" s="609"/>
      <c r="RNA80" s="609"/>
      <c r="RNB80" s="609"/>
      <c r="RNC80" s="609"/>
      <c r="RND80" s="609"/>
      <c r="RNE80" s="609"/>
      <c r="RNF80" s="609"/>
      <c r="RNG80" s="609"/>
      <c r="RNH80" s="609"/>
      <c r="RNI80" s="609"/>
      <c r="RNJ80" s="609"/>
      <c r="RNK80" s="609"/>
      <c r="RNL80" s="609"/>
      <c r="RNM80" s="609"/>
      <c r="RNN80" s="609"/>
      <c r="RNO80" s="609"/>
      <c r="RNP80" s="609"/>
      <c r="RNQ80" s="609"/>
      <c r="RNR80" s="609"/>
      <c r="RNS80" s="609"/>
      <c r="RNT80" s="609"/>
      <c r="RNU80" s="609"/>
      <c r="RNV80" s="609"/>
      <c r="RNW80" s="609"/>
      <c r="RNX80" s="609"/>
      <c r="RNY80" s="609"/>
      <c r="RNZ80" s="609"/>
      <c r="ROA80" s="609"/>
      <c r="ROB80" s="609"/>
      <c r="ROC80" s="609"/>
      <c r="ROD80" s="609"/>
      <c r="ROE80" s="609"/>
      <c r="ROF80" s="609"/>
      <c r="ROG80" s="609"/>
      <c r="ROH80" s="609"/>
      <c r="ROI80" s="609"/>
      <c r="ROJ80" s="609"/>
      <c r="ROK80" s="609"/>
      <c r="ROL80" s="609"/>
      <c r="ROM80" s="609"/>
      <c r="RON80" s="609"/>
      <c r="ROO80" s="609"/>
      <c r="ROP80" s="609"/>
      <c r="ROQ80" s="609"/>
      <c r="ROR80" s="609"/>
      <c r="ROS80" s="609"/>
      <c r="ROT80" s="609"/>
      <c r="ROU80" s="609"/>
      <c r="ROV80" s="609"/>
      <c r="ROW80" s="609"/>
      <c r="ROX80" s="609"/>
      <c r="ROY80" s="609"/>
      <c r="ROZ80" s="609"/>
      <c r="RPA80" s="609"/>
      <c r="RPB80" s="609"/>
      <c r="RPC80" s="609"/>
      <c r="RPD80" s="609"/>
      <c r="RPE80" s="609"/>
      <c r="RPF80" s="609"/>
      <c r="RPG80" s="609"/>
      <c r="RPH80" s="609"/>
      <c r="RPI80" s="609"/>
      <c r="RPJ80" s="609"/>
      <c r="RPK80" s="609"/>
      <c r="RPL80" s="609"/>
      <c r="RPM80" s="609"/>
      <c r="RPN80" s="609"/>
      <c r="RPO80" s="609"/>
      <c r="RPP80" s="609"/>
      <c r="RPQ80" s="609"/>
      <c r="RPR80" s="609"/>
      <c r="RPS80" s="609"/>
      <c r="RPT80" s="609"/>
      <c r="RPU80" s="609"/>
      <c r="RPV80" s="609"/>
      <c r="RPW80" s="609"/>
      <c r="RPX80" s="609"/>
      <c r="RPY80" s="609"/>
      <c r="RPZ80" s="609"/>
      <c r="RQA80" s="609"/>
      <c r="RQB80" s="609"/>
      <c r="RQC80" s="609"/>
      <c r="RQD80" s="609"/>
      <c r="RQE80" s="609"/>
      <c r="RQF80" s="609"/>
      <c r="RQG80" s="609"/>
      <c r="RQH80" s="609"/>
      <c r="RQI80" s="609"/>
      <c r="RQJ80" s="609"/>
      <c r="RQK80" s="609"/>
      <c r="RQL80" s="609"/>
      <c r="RQM80" s="609"/>
      <c r="RQN80" s="609"/>
      <c r="RQO80" s="609"/>
      <c r="RQP80" s="609"/>
      <c r="RQQ80" s="609"/>
      <c r="RQR80" s="609"/>
      <c r="RQS80" s="609"/>
      <c r="RQT80" s="609"/>
      <c r="RQU80" s="609"/>
      <c r="RQV80" s="609"/>
      <c r="RQW80" s="609"/>
      <c r="RQX80" s="609"/>
      <c r="RQY80" s="609"/>
      <c r="RQZ80" s="609"/>
      <c r="RRA80" s="609"/>
      <c r="RRB80" s="609"/>
      <c r="RRC80" s="609"/>
      <c r="RRD80" s="609"/>
      <c r="RRE80" s="609"/>
      <c r="RRF80" s="609"/>
      <c r="RRG80" s="609"/>
      <c r="RRH80" s="609"/>
      <c r="RRI80" s="609"/>
      <c r="RRJ80" s="609"/>
      <c r="RRK80" s="609"/>
      <c r="RRL80" s="609"/>
      <c r="RRM80" s="609"/>
      <c r="RRN80" s="609"/>
      <c r="RRO80" s="609"/>
      <c r="RRP80" s="609"/>
      <c r="RRQ80" s="609"/>
      <c r="RRR80" s="609"/>
      <c r="RRS80" s="609"/>
      <c r="RRT80" s="609"/>
      <c r="RRU80" s="609"/>
      <c r="RRV80" s="609"/>
      <c r="RRW80" s="609"/>
      <c r="RRX80" s="609"/>
      <c r="RRY80" s="609"/>
      <c r="RRZ80" s="609"/>
      <c r="RSA80" s="609"/>
      <c r="RSB80" s="609"/>
      <c r="RSC80" s="609"/>
      <c r="RSD80" s="609"/>
      <c r="RSE80" s="609"/>
      <c r="RSF80" s="609"/>
      <c r="RSG80" s="609"/>
      <c r="RSH80" s="609"/>
      <c r="RSI80" s="609"/>
      <c r="RSJ80" s="609"/>
      <c r="RSK80" s="609"/>
      <c r="RSL80" s="609"/>
      <c r="RSM80" s="609"/>
      <c r="RSN80" s="609"/>
      <c r="RSO80" s="609"/>
      <c r="RSP80" s="609"/>
      <c r="RSQ80" s="609"/>
      <c r="RSR80" s="609"/>
      <c r="RSS80" s="609"/>
      <c r="RST80" s="609"/>
      <c r="RSU80" s="609"/>
      <c r="RSV80" s="609"/>
      <c r="RSW80" s="609"/>
      <c r="RSX80" s="609"/>
      <c r="RSY80" s="609"/>
      <c r="RSZ80" s="609"/>
      <c r="RTA80" s="609"/>
      <c r="RTB80" s="609"/>
      <c r="RTC80" s="609"/>
      <c r="RTD80" s="609"/>
      <c r="RTE80" s="609"/>
      <c r="RTF80" s="609"/>
      <c r="RTG80" s="609"/>
      <c r="RTH80" s="609"/>
      <c r="RTI80" s="609"/>
      <c r="RTJ80" s="609"/>
      <c r="RTK80" s="609"/>
      <c r="RTL80" s="609"/>
      <c r="RTM80" s="609"/>
      <c r="RTN80" s="609"/>
      <c r="RTO80" s="609"/>
      <c r="RTP80" s="609"/>
      <c r="RTQ80" s="609"/>
      <c r="RTR80" s="609"/>
      <c r="RTS80" s="609"/>
      <c r="RTT80" s="609"/>
      <c r="RTU80" s="609"/>
      <c r="RTV80" s="609"/>
      <c r="RTW80" s="609"/>
      <c r="RTX80" s="609"/>
      <c r="RTY80" s="609"/>
      <c r="RTZ80" s="609"/>
      <c r="RUA80" s="609"/>
      <c r="RUB80" s="609"/>
      <c r="RUC80" s="609"/>
      <c r="RUD80" s="609"/>
      <c r="RUE80" s="609"/>
      <c r="RUF80" s="609"/>
      <c r="RUG80" s="609"/>
      <c r="RUH80" s="609"/>
      <c r="RUI80" s="609"/>
      <c r="RUJ80" s="609"/>
      <c r="RUK80" s="609"/>
      <c r="RUL80" s="609"/>
      <c r="RUM80" s="609"/>
      <c r="RUN80" s="609"/>
      <c r="RUO80" s="609"/>
      <c r="RUP80" s="609"/>
      <c r="RUQ80" s="609"/>
      <c r="RUR80" s="609"/>
      <c r="RUS80" s="609"/>
      <c r="RUT80" s="609"/>
      <c r="RUU80" s="609"/>
      <c r="RUV80" s="609"/>
      <c r="RUW80" s="609"/>
      <c r="RUX80" s="609"/>
      <c r="RUY80" s="609"/>
      <c r="RUZ80" s="609"/>
      <c r="RVA80" s="609"/>
      <c r="RVB80" s="609"/>
      <c r="RVC80" s="609"/>
      <c r="RVD80" s="609"/>
      <c r="RVE80" s="609"/>
      <c r="RVF80" s="609"/>
      <c r="RVG80" s="609"/>
      <c r="RVH80" s="609"/>
      <c r="RVI80" s="609"/>
      <c r="RVJ80" s="609"/>
      <c r="RVK80" s="609"/>
      <c r="RVL80" s="609"/>
      <c r="RVM80" s="609"/>
      <c r="RVN80" s="609"/>
      <c r="RVO80" s="609"/>
      <c r="RVP80" s="609"/>
      <c r="RVQ80" s="609"/>
      <c r="RVR80" s="609"/>
      <c r="RVS80" s="609"/>
      <c r="RVT80" s="609"/>
      <c r="RVU80" s="609"/>
      <c r="RVV80" s="609"/>
      <c r="RVW80" s="609"/>
      <c r="RVX80" s="609"/>
      <c r="RVY80" s="609"/>
      <c r="RVZ80" s="609"/>
      <c r="RWA80" s="609"/>
      <c r="RWB80" s="609"/>
      <c r="RWC80" s="609"/>
      <c r="RWD80" s="609"/>
      <c r="RWE80" s="609"/>
      <c r="RWF80" s="609"/>
      <c r="RWG80" s="609"/>
      <c r="RWH80" s="609"/>
      <c r="RWI80" s="609"/>
      <c r="RWJ80" s="609"/>
      <c r="RWK80" s="609"/>
      <c r="RWL80" s="609"/>
      <c r="RWM80" s="609"/>
      <c r="RWN80" s="609"/>
      <c r="RWO80" s="609"/>
      <c r="RWP80" s="609"/>
      <c r="RWQ80" s="609"/>
      <c r="RWR80" s="609"/>
      <c r="RWS80" s="609"/>
      <c r="RWT80" s="609"/>
      <c r="RWU80" s="609"/>
      <c r="RWV80" s="609"/>
      <c r="RWW80" s="609"/>
      <c r="RWX80" s="609"/>
      <c r="RWY80" s="609"/>
      <c r="RWZ80" s="609"/>
      <c r="RXA80" s="609"/>
      <c r="RXB80" s="609"/>
      <c r="RXC80" s="609"/>
      <c r="RXD80" s="609"/>
      <c r="RXE80" s="609"/>
      <c r="RXF80" s="609"/>
      <c r="RXG80" s="609"/>
      <c r="RXH80" s="609"/>
      <c r="RXI80" s="609"/>
      <c r="RXJ80" s="609"/>
      <c r="RXK80" s="609"/>
      <c r="RXL80" s="609"/>
      <c r="RXM80" s="609"/>
      <c r="RXN80" s="609"/>
      <c r="RXO80" s="609"/>
      <c r="RXP80" s="609"/>
      <c r="RXQ80" s="609"/>
      <c r="RXR80" s="609"/>
      <c r="RXS80" s="609"/>
      <c r="RXT80" s="609"/>
      <c r="RXU80" s="609"/>
      <c r="RXV80" s="609"/>
      <c r="RXW80" s="609"/>
      <c r="RXX80" s="609"/>
      <c r="RXY80" s="609"/>
      <c r="RXZ80" s="609"/>
      <c r="RYA80" s="609"/>
      <c r="RYB80" s="609"/>
      <c r="RYC80" s="609"/>
      <c r="RYD80" s="609"/>
      <c r="RYE80" s="609"/>
      <c r="RYF80" s="609"/>
      <c r="RYG80" s="609"/>
      <c r="RYH80" s="609"/>
      <c r="RYI80" s="609"/>
      <c r="RYJ80" s="609"/>
      <c r="RYK80" s="609"/>
      <c r="RYL80" s="609"/>
      <c r="RYM80" s="609"/>
      <c r="RYN80" s="609"/>
      <c r="RYO80" s="609"/>
      <c r="RYP80" s="609"/>
      <c r="RYQ80" s="609"/>
      <c r="RYR80" s="609"/>
      <c r="RYS80" s="609"/>
      <c r="RYT80" s="609"/>
      <c r="RYU80" s="609"/>
      <c r="RYV80" s="609"/>
      <c r="RYW80" s="609"/>
      <c r="RYX80" s="609"/>
      <c r="RYY80" s="609"/>
      <c r="RYZ80" s="609"/>
      <c r="RZA80" s="609"/>
      <c r="RZB80" s="609"/>
      <c r="RZC80" s="609"/>
      <c r="RZD80" s="609"/>
      <c r="RZE80" s="609"/>
      <c r="RZF80" s="609"/>
      <c r="RZG80" s="609"/>
      <c r="RZH80" s="609"/>
      <c r="RZI80" s="609"/>
      <c r="RZJ80" s="609"/>
      <c r="RZK80" s="609"/>
      <c r="RZL80" s="609"/>
      <c r="RZM80" s="609"/>
      <c r="RZN80" s="609"/>
      <c r="RZO80" s="609"/>
      <c r="RZP80" s="609"/>
      <c r="RZQ80" s="609"/>
      <c r="RZR80" s="609"/>
      <c r="RZS80" s="609"/>
      <c r="RZT80" s="609"/>
      <c r="RZU80" s="609"/>
      <c r="RZV80" s="609"/>
      <c r="RZW80" s="609"/>
      <c r="RZX80" s="609"/>
      <c r="RZY80" s="609"/>
      <c r="RZZ80" s="609"/>
      <c r="SAA80" s="609"/>
      <c r="SAB80" s="609"/>
      <c r="SAC80" s="609"/>
      <c r="SAD80" s="609"/>
      <c r="SAE80" s="609"/>
      <c r="SAF80" s="609"/>
      <c r="SAG80" s="609"/>
      <c r="SAH80" s="609"/>
      <c r="SAI80" s="609"/>
      <c r="SAJ80" s="609"/>
      <c r="SAK80" s="609"/>
      <c r="SAL80" s="609"/>
      <c r="SAM80" s="609"/>
      <c r="SAN80" s="609"/>
      <c r="SAO80" s="609"/>
      <c r="SAP80" s="609"/>
      <c r="SAQ80" s="609"/>
      <c r="SAR80" s="609"/>
      <c r="SAS80" s="609"/>
      <c r="SAT80" s="609"/>
      <c r="SAU80" s="609"/>
      <c r="SAV80" s="609"/>
      <c r="SAW80" s="609"/>
      <c r="SAX80" s="609"/>
      <c r="SAY80" s="609"/>
      <c r="SAZ80" s="609"/>
      <c r="SBA80" s="609"/>
      <c r="SBB80" s="609"/>
      <c r="SBC80" s="609"/>
      <c r="SBD80" s="609"/>
      <c r="SBE80" s="609"/>
      <c r="SBF80" s="609"/>
      <c r="SBG80" s="609"/>
      <c r="SBH80" s="609"/>
      <c r="SBI80" s="609"/>
      <c r="SBJ80" s="609"/>
      <c r="SBK80" s="609"/>
      <c r="SBL80" s="609"/>
      <c r="SBM80" s="609"/>
      <c r="SBN80" s="609"/>
      <c r="SBO80" s="609"/>
      <c r="SBP80" s="609"/>
      <c r="SBQ80" s="609"/>
      <c r="SBR80" s="609"/>
      <c r="SBS80" s="609"/>
      <c r="SBT80" s="609"/>
      <c r="SBU80" s="609"/>
      <c r="SBV80" s="609"/>
      <c r="SBW80" s="609"/>
      <c r="SBX80" s="609"/>
      <c r="SBY80" s="609"/>
      <c r="SBZ80" s="609"/>
      <c r="SCA80" s="609"/>
      <c r="SCB80" s="609"/>
      <c r="SCC80" s="609"/>
      <c r="SCD80" s="609"/>
      <c r="SCE80" s="609"/>
      <c r="SCF80" s="609"/>
      <c r="SCG80" s="609"/>
      <c r="SCH80" s="609"/>
      <c r="SCI80" s="609"/>
      <c r="SCJ80" s="609"/>
      <c r="SCK80" s="609"/>
      <c r="SCL80" s="609"/>
      <c r="SCM80" s="609"/>
      <c r="SCN80" s="609"/>
      <c r="SCO80" s="609"/>
      <c r="SCP80" s="609"/>
      <c r="SCQ80" s="609"/>
      <c r="SCR80" s="609"/>
      <c r="SCS80" s="609"/>
      <c r="SCT80" s="609"/>
      <c r="SCU80" s="609"/>
      <c r="SCV80" s="609"/>
      <c r="SCW80" s="609"/>
      <c r="SCX80" s="609"/>
      <c r="SCY80" s="609"/>
      <c r="SCZ80" s="609"/>
      <c r="SDA80" s="609"/>
      <c r="SDB80" s="609"/>
      <c r="SDC80" s="609"/>
      <c r="SDD80" s="609"/>
      <c r="SDE80" s="609"/>
      <c r="SDF80" s="609"/>
      <c r="SDG80" s="609"/>
      <c r="SDH80" s="609"/>
      <c r="SDI80" s="609"/>
      <c r="SDJ80" s="609"/>
      <c r="SDK80" s="609"/>
      <c r="SDL80" s="609"/>
      <c r="SDM80" s="609"/>
      <c r="SDN80" s="609"/>
      <c r="SDO80" s="609"/>
      <c r="SDP80" s="609"/>
      <c r="SDQ80" s="609"/>
      <c r="SDR80" s="609"/>
      <c r="SDS80" s="609"/>
      <c r="SDT80" s="609"/>
      <c r="SDU80" s="609"/>
      <c r="SDV80" s="609"/>
      <c r="SDW80" s="609"/>
      <c r="SDX80" s="609"/>
      <c r="SDY80" s="609"/>
      <c r="SDZ80" s="609"/>
      <c r="SEA80" s="609"/>
      <c r="SEB80" s="609"/>
      <c r="SEC80" s="609"/>
      <c r="SED80" s="609"/>
      <c r="SEE80" s="609"/>
      <c r="SEF80" s="609"/>
      <c r="SEG80" s="609"/>
      <c r="SEH80" s="609"/>
      <c r="SEI80" s="609"/>
      <c r="SEJ80" s="609"/>
      <c r="SEK80" s="609"/>
      <c r="SEL80" s="609"/>
      <c r="SEM80" s="609"/>
      <c r="SEN80" s="609"/>
      <c r="SEO80" s="609"/>
      <c r="SEP80" s="609"/>
      <c r="SEQ80" s="609"/>
      <c r="SER80" s="609"/>
      <c r="SES80" s="609"/>
      <c r="SET80" s="609"/>
      <c r="SEU80" s="609"/>
      <c r="SEV80" s="609"/>
      <c r="SEW80" s="609"/>
      <c r="SEX80" s="609"/>
      <c r="SEY80" s="609"/>
      <c r="SEZ80" s="609"/>
      <c r="SFA80" s="609"/>
      <c r="SFB80" s="609"/>
      <c r="SFC80" s="609"/>
      <c r="SFD80" s="609"/>
      <c r="SFE80" s="609"/>
      <c r="SFF80" s="609"/>
      <c r="SFG80" s="609"/>
      <c r="SFH80" s="609"/>
      <c r="SFI80" s="609"/>
      <c r="SFJ80" s="609"/>
      <c r="SFK80" s="609"/>
      <c r="SFL80" s="609"/>
      <c r="SFM80" s="609"/>
      <c r="SFN80" s="609"/>
      <c r="SFO80" s="609"/>
      <c r="SFP80" s="609"/>
      <c r="SFQ80" s="609"/>
      <c r="SFR80" s="609"/>
      <c r="SFS80" s="609"/>
      <c r="SFT80" s="609"/>
      <c r="SFU80" s="609"/>
      <c r="SFV80" s="609"/>
      <c r="SFW80" s="609"/>
      <c r="SFX80" s="609"/>
      <c r="SFY80" s="609"/>
      <c r="SFZ80" s="609"/>
      <c r="SGA80" s="609"/>
      <c r="SGB80" s="609"/>
      <c r="SGC80" s="609"/>
      <c r="SGD80" s="609"/>
      <c r="SGE80" s="609"/>
      <c r="SGF80" s="609"/>
      <c r="SGG80" s="609"/>
      <c r="SGH80" s="609"/>
      <c r="SGI80" s="609"/>
      <c r="SGJ80" s="609"/>
      <c r="SGK80" s="609"/>
      <c r="SGL80" s="609"/>
      <c r="SGM80" s="609"/>
      <c r="SGN80" s="609"/>
      <c r="SGO80" s="609"/>
      <c r="SGP80" s="609"/>
      <c r="SGQ80" s="609"/>
      <c r="SGR80" s="609"/>
      <c r="SGS80" s="609"/>
      <c r="SGT80" s="609"/>
      <c r="SGU80" s="609"/>
      <c r="SGV80" s="609"/>
      <c r="SGW80" s="609"/>
      <c r="SGX80" s="609"/>
      <c r="SGY80" s="609"/>
      <c r="SGZ80" s="609"/>
      <c r="SHA80" s="609"/>
      <c r="SHB80" s="609"/>
      <c r="SHC80" s="609"/>
      <c r="SHD80" s="609"/>
      <c r="SHE80" s="609"/>
      <c r="SHF80" s="609"/>
      <c r="SHG80" s="609"/>
      <c r="SHH80" s="609"/>
      <c r="SHI80" s="609"/>
      <c r="SHJ80" s="609"/>
      <c r="SHK80" s="609"/>
      <c r="SHL80" s="609"/>
      <c r="SHM80" s="609"/>
      <c r="SHN80" s="609"/>
      <c r="SHO80" s="609"/>
      <c r="SHP80" s="609"/>
      <c r="SHQ80" s="609"/>
      <c r="SHR80" s="609"/>
      <c r="SHS80" s="609"/>
      <c r="SHT80" s="609"/>
      <c r="SHU80" s="609"/>
      <c r="SHV80" s="609"/>
      <c r="SHW80" s="609"/>
      <c r="SHX80" s="609"/>
      <c r="SHY80" s="609"/>
      <c r="SHZ80" s="609"/>
      <c r="SIA80" s="609"/>
      <c r="SIB80" s="609"/>
      <c r="SIC80" s="609"/>
      <c r="SID80" s="609"/>
      <c r="SIE80" s="609"/>
      <c r="SIF80" s="609"/>
      <c r="SIG80" s="609"/>
      <c r="SIH80" s="609"/>
      <c r="SII80" s="609"/>
      <c r="SIJ80" s="609"/>
      <c r="SIK80" s="609"/>
      <c r="SIL80" s="609"/>
      <c r="SIM80" s="609"/>
      <c r="SIN80" s="609"/>
      <c r="SIO80" s="609"/>
      <c r="SIP80" s="609"/>
      <c r="SIQ80" s="609"/>
      <c r="SIR80" s="609"/>
      <c r="SIS80" s="609"/>
      <c r="SIT80" s="609"/>
      <c r="SIU80" s="609"/>
      <c r="SIV80" s="609"/>
      <c r="SIW80" s="609"/>
      <c r="SIX80" s="609"/>
      <c r="SIY80" s="609"/>
      <c r="SIZ80" s="609"/>
      <c r="SJA80" s="609"/>
      <c r="SJB80" s="609"/>
      <c r="SJC80" s="609"/>
      <c r="SJD80" s="609"/>
      <c r="SJE80" s="609"/>
      <c r="SJF80" s="609"/>
      <c r="SJG80" s="609"/>
      <c r="SJH80" s="609"/>
      <c r="SJI80" s="609"/>
      <c r="SJJ80" s="609"/>
      <c r="SJK80" s="609"/>
      <c r="SJL80" s="609"/>
      <c r="SJM80" s="609"/>
      <c r="SJN80" s="609"/>
      <c r="SJO80" s="609"/>
      <c r="SJP80" s="609"/>
      <c r="SJQ80" s="609"/>
      <c r="SJR80" s="609"/>
      <c r="SJS80" s="609"/>
      <c r="SJT80" s="609"/>
      <c r="SJU80" s="609"/>
      <c r="SJV80" s="609"/>
      <c r="SJW80" s="609"/>
      <c r="SJX80" s="609"/>
      <c r="SJY80" s="609"/>
      <c r="SJZ80" s="609"/>
      <c r="SKA80" s="609"/>
      <c r="SKB80" s="609"/>
      <c r="SKC80" s="609"/>
      <c r="SKD80" s="609"/>
      <c r="SKE80" s="609"/>
      <c r="SKF80" s="609"/>
      <c r="SKG80" s="609"/>
      <c r="SKH80" s="609"/>
      <c r="SKI80" s="609"/>
      <c r="SKJ80" s="609"/>
      <c r="SKK80" s="609"/>
      <c r="SKL80" s="609"/>
      <c r="SKM80" s="609"/>
      <c r="SKN80" s="609"/>
      <c r="SKO80" s="609"/>
      <c r="SKP80" s="609"/>
      <c r="SKQ80" s="609"/>
      <c r="SKR80" s="609"/>
      <c r="SKS80" s="609"/>
      <c r="SKT80" s="609"/>
      <c r="SKU80" s="609"/>
      <c r="SKV80" s="609"/>
      <c r="SKW80" s="609"/>
      <c r="SKX80" s="609"/>
      <c r="SKY80" s="609"/>
      <c r="SKZ80" s="609"/>
      <c r="SLA80" s="609"/>
      <c r="SLB80" s="609"/>
      <c r="SLC80" s="609"/>
      <c r="SLD80" s="609"/>
      <c r="SLE80" s="609"/>
      <c r="SLF80" s="609"/>
      <c r="SLG80" s="609"/>
      <c r="SLH80" s="609"/>
      <c r="SLI80" s="609"/>
      <c r="SLJ80" s="609"/>
      <c r="SLK80" s="609"/>
      <c r="SLL80" s="609"/>
      <c r="SLM80" s="609"/>
      <c r="SLN80" s="609"/>
      <c r="SLO80" s="609"/>
      <c r="SLP80" s="609"/>
      <c r="SLQ80" s="609"/>
      <c r="SLR80" s="609"/>
      <c r="SLS80" s="609"/>
      <c r="SLT80" s="609"/>
      <c r="SLU80" s="609"/>
      <c r="SLV80" s="609"/>
      <c r="SLW80" s="609"/>
      <c r="SLX80" s="609"/>
      <c r="SLY80" s="609"/>
      <c r="SLZ80" s="609"/>
      <c r="SMA80" s="609"/>
      <c r="SMB80" s="609"/>
      <c r="SMC80" s="609"/>
      <c r="SMD80" s="609"/>
      <c r="SME80" s="609"/>
      <c r="SMF80" s="609"/>
      <c r="SMG80" s="609"/>
      <c r="SMH80" s="609"/>
      <c r="SMI80" s="609"/>
      <c r="SMJ80" s="609"/>
      <c r="SMK80" s="609"/>
      <c r="SML80" s="609"/>
      <c r="SMM80" s="609"/>
      <c r="SMN80" s="609"/>
      <c r="SMO80" s="609"/>
      <c r="SMP80" s="609"/>
      <c r="SMQ80" s="609"/>
      <c r="SMR80" s="609"/>
      <c r="SMS80" s="609"/>
      <c r="SMT80" s="609"/>
      <c r="SMU80" s="609"/>
      <c r="SMV80" s="609"/>
      <c r="SMW80" s="609"/>
      <c r="SMX80" s="609"/>
      <c r="SMY80" s="609"/>
      <c r="SMZ80" s="609"/>
      <c r="SNA80" s="609"/>
      <c r="SNB80" s="609"/>
      <c r="SNC80" s="609"/>
      <c r="SND80" s="609"/>
      <c r="SNE80" s="609"/>
      <c r="SNF80" s="609"/>
      <c r="SNG80" s="609"/>
      <c r="SNH80" s="609"/>
      <c r="SNI80" s="609"/>
      <c r="SNJ80" s="609"/>
      <c r="SNK80" s="609"/>
      <c r="SNL80" s="609"/>
      <c r="SNM80" s="609"/>
      <c r="SNN80" s="609"/>
      <c r="SNO80" s="609"/>
      <c r="SNP80" s="609"/>
      <c r="SNQ80" s="609"/>
      <c r="SNR80" s="609"/>
      <c r="SNS80" s="609"/>
      <c r="SNT80" s="609"/>
      <c r="SNU80" s="609"/>
      <c r="SNV80" s="609"/>
      <c r="SNW80" s="609"/>
      <c r="SNX80" s="609"/>
      <c r="SNY80" s="609"/>
      <c r="SNZ80" s="609"/>
      <c r="SOA80" s="609"/>
      <c r="SOB80" s="609"/>
      <c r="SOC80" s="609"/>
      <c r="SOD80" s="609"/>
      <c r="SOE80" s="609"/>
      <c r="SOF80" s="609"/>
      <c r="SOG80" s="609"/>
      <c r="SOH80" s="609"/>
      <c r="SOI80" s="609"/>
      <c r="SOJ80" s="609"/>
      <c r="SOK80" s="609"/>
      <c r="SOL80" s="609"/>
      <c r="SOM80" s="609"/>
      <c r="SON80" s="609"/>
      <c r="SOO80" s="609"/>
      <c r="SOP80" s="609"/>
      <c r="SOQ80" s="609"/>
      <c r="SOR80" s="609"/>
      <c r="SOS80" s="609"/>
      <c r="SOT80" s="609"/>
      <c r="SOU80" s="609"/>
      <c r="SOV80" s="609"/>
      <c r="SOW80" s="609"/>
      <c r="SOX80" s="609"/>
      <c r="SOY80" s="609"/>
      <c r="SOZ80" s="609"/>
      <c r="SPA80" s="609"/>
      <c r="SPB80" s="609"/>
      <c r="SPC80" s="609"/>
      <c r="SPD80" s="609"/>
      <c r="SPE80" s="609"/>
      <c r="SPF80" s="609"/>
      <c r="SPG80" s="609"/>
      <c r="SPH80" s="609"/>
      <c r="SPI80" s="609"/>
      <c r="SPJ80" s="609"/>
      <c r="SPK80" s="609"/>
      <c r="SPL80" s="609"/>
      <c r="SPM80" s="609"/>
      <c r="SPN80" s="609"/>
      <c r="SPO80" s="609"/>
      <c r="SPP80" s="609"/>
      <c r="SPQ80" s="609"/>
      <c r="SPR80" s="609"/>
      <c r="SPS80" s="609"/>
      <c r="SPT80" s="609"/>
      <c r="SPU80" s="609"/>
      <c r="SPV80" s="609"/>
      <c r="SPW80" s="609"/>
      <c r="SPX80" s="609"/>
      <c r="SPY80" s="609"/>
      <c r="SPZ80" s="609"/>
      <c r="SQA80" s="609"/>
      <c r="SQB80" s="609"/>
      <c r="SQC80" s="609"/>
      <c r="SQD80" s="609"/>
      <c r="SQE80" s="609"/>
      <c r="SQF80" s="609"/>
      <c r="SQG80" s="609"/>
      <c r="SQH80" s="609"/>
      <c r="SQI80" s="609"/>
      <c r="SQJ80" s="609"/>
      <c r="SQK80" s="609"/>
      <c r="SQL80" s="609"/>
      <c r="SQM80" s="609"/>
      <c r="SQN80" s="609"/>
      <c r="SQO80" s="609"/>
      <c r="SQP80" s="609"/>
      <c r="SQQ80" s="609"/>
      <c r="SQR80" s="609"/>
      <c r="SQS80" s="609"/>
      <c r="SQT80" s="609"/>
      <c r="SQU80" s="609"/>
      <c r="SQV80" s="609"/>
      <c r="SQW80" s="609"/>
      <c r="SQX80" s="609"/>
      <c r="SQY80" s="609"/>
      <c r="SQZ80" s="609"/>
      <c r="SRA80" s="609"/>
      <c r="SRB80" s="609"/>
      <c r="SRC80" s="609"/>
      <c r="SRD80" s="609"/>
      <c r="SRE80" s="609"/>
      <c r="SRF80" s="609"/>
      <c r="SRG80" s="609"/>
      <c r="SRH80" s="609"/>
      <c r="SRI80" s="609"/>
      <c r="SRJ80" s="609"/>
      <c r="SRK80" s="609"/>
      <c r="SRL80" s="609"/>
      <c r="SRM80" s="609"/>
      <c r="SRN80" s="609"/>
      <c r="SRO80" s="609"/>
      <c r="SRP80" s="609"/>
      <c r="SRQ80" s="609"/>
      <c r="SRR80" s="609"/>
      <c r="SRS80" s="609"/>
      <c r="SRT80" s="609"/>
      <c r="SRU80" s="609"/>
      <c r="SRV80" s="609"/>
      <c r="SRW80" s="609"/>
      <c r="SRX80" s="609"/>
      <c r="SRY80" s="609"/>
      <c r="SRZ80" s="609"/>
      <c r="SSA80" s="609"/>
      <c r="SSB80" s="609"/>
      <c r="SSC80" s="609"/>
      <c r="SSD80" s="609"/>
      <c r="SSE80" s="609"/>
      <c r="SSF80" s="609"/>
      <c r="SSG80" s="609"/>
      <c r="SSH80" s="609"/>
      <c r="SSI80" s="609"/>
      <c r="SSJ80" s="609"/>
      <c r="SSK80" s="609"/>
      <c r="SSL80" s="609"/>
      <c r="SSM80" s="609"/>
      <c r="SSN80" s="609"/>
      <c r="SSO80" s="609"/>
      <c r="SSP80" s="609"/>
      <c r="SSQ80" s="609"/>
      <c r="SSR80" s="609"/>
      <c r="SSS80" s="609"/>
      <c r="SST80" s="609"/>
      <c r="SSU80" s="609"/>
      <c r="SSV80" s="609"/>
      <c r="SSW80" s="609"/>
      <c r="SSX80" s="609"/>
      <c r="SSY80" s="609"/>
      <c r="SSZ80" s="609"/>
      <c r="STA80" s="609"/>
      <c r="STB80" s="609"/>
      <c r="STC80" s="609"/>
      <c r="STD80" s="609"/>
      <c r="STE80" s="609"/>
      <c r="STF80" s="609"/>
      <c r="STG80" s="609"/>
      <c r="STH80" s="609"/>
      <c r="STI80" s="609"/>
      <c r="STJ80" s="609"/>
      <c r="STK80" s="609"/>
      <c r="STL80" s="609"/>
      <c r="STM80" s="609"/>
      <c r="STN80" s="609"/>
      <c r="STO80" s="609"/>
      <c r="STP80" s="609"/>
      <c r="STQ80" s="609"/>
      <c r="STR80" s="609"/>
      <c r="STS80" s="609"/>
      <c r="STT80" s="609"/>
      <c r="STU80" s="609"/>
      <c r="STV80" s="609"/>
      <c r="STW80" s="609"/>
      <c r="STX80" s="609"/>
      <c r="STY80" s="609"/>
      <c r="STZ80" s="609"/>
      <c r="SUA80" s="609"/>
      <c r="SUB80" s="609"/>
      <c r="SUC80" s="609"/>
      <c r="SUD80" s="609"/>
      <c r="SUE80" s="609"/>
      <c r="SUF80" s="609"/>
      <c r="SUG80" s="609"/>
      <c r="SUH80" s="609"/>
      <c r="SUI80" s="609"/>
      <c r="SUJ80" s="609"/>
      <c r="SUK80" s="609"/>
      <c r="SUL80" s="609"/>
      <c r="SUM80" s="609"/>
      <c r="SUN80" s="609"/>
      <c r="SUO80" s="609"/>
      <c r="SUP80" s="609"/>
      <c r="SUQ80" s="609"/>
      <c r="SUR80" s="609"/>
      <c r="SUS80" s="609"/>
      <c r="SUT80" s="609"/>
      <c r="SUU80" s="609"/>
      <c r="SUV80" s="609"/>
      <c r="SUW80" s="609"/>
      <c r="SUX80" s="609"/>
      <c r="SUY80" s="609"/>
      <c r="SUZ80" s="609"/>
      <c r="SVA80" s="609"/>
      <c r="SVB80" s="609"/>
      <c r="SVC80" s="609"/>
      <c r="SVD80" s="609"/>
      <c r="SVE80" s="609"/>
      <c r="SVF80" s="609"/>
      <c r="SVG80" s="609"/>
      <c r="SVH80" s="609"/>
      <c r="SVI80" s="609"/>
      <c r="SVJ80" s="609"/>
      <c r="SVK80" s="609"/>
      <c r="SVL80" s="609"/>
      <c r="SVM80" s="609"/>
      <c r="SVN80" s="609"/>
      <c r="SVO80" s="609"/>
      <c r="SVP80" s="609"/>
      <c r="SVQ80" s="609"/>
      <c r="SVR80" s="609"/>
      <c r="SVS80" s="609"/>
      <c r="SVT80" s="609"/>
      <c r="SVU80" s="609"/>
      <c r="SVV80" s="609"/>
      <c r="SVW80" s="609"/>
      <c r="SVX80" s="609"/>
      <c r="SVY80" s="609"/>
      <c r="SVZ80" s="609"/>
      <c r="SWA80" s="609"/>
      <c r="SWB80" s="609"/>
      <c r="SWC80" s="609"/>
      <c r="SWD80" s="609"/>
      <c r="SWE80" s="609"/>
      <c r="SWF80" s="609"/>
      <c r="SWG80" s="609"/>
      <c r="SWH80" s="609"/>
      <c r="SWI80" s="609"/>
      <c r="SWJ80" s="609"/>
      <c r="SWK80" s="609"/>
      <c r="SWL80" s="609"/>
      <c r="SWM80" s="609"/>
      <c r="SWN80" s="609"/>
      <c r="SWO80" s="609"/>
      <c r="SWP80" s="609"/>
      <c r="SWQ80" s="609"/>
      <c r="SWR80" s="609"/>
      <c r="SWS80" s="609"/>
      <c r="SWT80" s="609"/>
      <c r="SWU80" s="609"/>
      <c r="SWV80" s="609"/>
      <c r="SWW80" s="609"/>
      <c r="SWX80" s="609"/>
      <c r="SWY80" s="609"/>
      <c r="SWZ80" s="609"/>
      <c r="SXA80" s="609"/>
      <c r="SXB80" s="609"/>
      <c r="SXC80" s="609"/>
      <c r="SXD80" s="609"/>
      <c r="SXE80" s="609"/>
      <c r="SXF80" s="609"/>
      <c r="SXG80" s="609"/>
      <c r="SXH80" s="609"/>
      <c r="SXI80" s="609"/>
      <c r="SXJ80" s="609"/>
      <c r="SXK80" s="609"/>
      <c r="SXL80" s="609"/>
      <c r="SXM80" s="609"/>
      <c r="SXN80" s="609"/>
      <c r="SXO80" s="609"/>
      <c r="SXP80" s="609"/>
      <c r="SXQ80" s="609"/>
      <c r="SXR80" s="609"/>
      <c r="SXS80" s="609"/>
      <c r="SXT80" s="609"/>
      <c r="SXU80" s="609"/>
      <c r="SXV80" s="609"/>
      <c r="SXW80" s="609"/>
      <c r="SXX80" s="609"/>
      <c r="SXY80" s="609"/>
      <c r="SXZ80" s="609"/>
      <c r="SYA80" s="609"/>
      <c r="SYB80" s="609"/>
      <c r="SYC80" s="609"/>
      <c r="SYD80" s="609"/>
      <c r="SYE80" s="609"/>
      <c r="SYF80" s="609"/>
      <c r="SYG80" s="609"/>
      <c r="SYH80" s="609"/>
      <c r="SYI80" s="609"/>
      <c r="SYJ80" s="609"/>
      <c r="SYK80" s="609"/>
      <c r="SYL80" s="609"/>
      <c r="SYM80" s="609"/>
      <c r="SYN80" s="609"/>
      <c r="SYO80" s="609"/>
      <c r="SYP80" s="609"/>
      <c r="SYQ80" s="609"/>
      <c r="SYR80" s="609"/>
      <c r="SYS80" s="609"/>
      <c r="SYT80" s="609"/>
      <c r="SYU80" s="609"/>
      <c r="SYV80" s="609"/>
      <c r="SYW80" s="609"/>
      <c r="SYX80" s="609"/>
      <c r="SYY80" s="609"/>
      <c r="SYZ80" s="609"/>
      <c r="SZA80" s="609"/>
      <c r="SZB80" s="609"/>
      <c r="SZC80" s="609"/>
      <c r="SZD80" s="609"/>
      <c r="SZE80" s="609"/>
      <c r="SZF80" s="609"/>
      <c r="SZG80" s="609"/>
      <c r="SZH80" s="609"/>
      <c r="SZI80" s="609"/>
      <c r="SZJ80" s="609"/>
      <c r="SZK80" s="609"/>
      <c r="SZL80" s="609"/>
      <c r="SZM80" s="609"/>
      <c r="SZN80" s="609"/>
      <c r="SZO80" s="609"/>
      <c r="SZP80" s="609"/>
      <c r="SZQ80" s="609"/>
      <c r="SZR80" s="609"/>
      <c r="SZS80" s="609"/>
      <c r="SZT80" s="609"/>
      <c r="SZU80" s="609"/>
      <c r="SZV80" s="609"/>
      <c r="SZW80" s="609"/>
      <c r="SZX80" s="609"/>
      <c r="SZY80" s="609"/>
      <c r="SZZ80" s="609"/>
      <c r="TAA80" s="609"/>
      <c r="TAB80" s="609"/>
      <c r="TAC80" s="609"/>
      <c r="TAD80" s="609"/>
      <c r="TAE80" s="609"/>
      <c r="TAF80" s="609"/>
      <c r="TAG80" s="609"/>
      <c r="TAH80" s="609"/>
      <c r="TAI80" s="609"/>
      <c r="TAJ80" s="609"/>
      <c r="TAK80" s="609"/>
      <c r="TAL80" s="609"/>
      <c r="TAM80" s="609"/>
      <c r="TAN80" s="609"/>
      <c r="TAO80" s="609"/>
      <c r="TAP80" s="609"/>
      <c r="TAQ80" s="609"/>
      <c r="TAR80" s="609"/>
      <c r="TAS80" s="609"/>
      <c r="TAT80" s="609"/>
      <c r="TAU80" s="609"/>
      <c r="TAV80" s="609"/>
      <c r="TAW80" s="609"/>
      <c r="TAX80" s="609"/>
      <c r="TAY80" s="609"/>
      <c r="TAZ80" s="609"/>
      <c r="TBA80" s="609"/>
      <c r="TBB80" s="609"/>
      <c r="TBC80" s="609"/>
      <c r="TBD80" s="609"/>
      <c r="TBE80" s="609"/>
      <c r="TBF80" s="609"/>
      <c r="TBG80" s="609"/>
      <c r="TBH80" s="609"/>
      <c r="TBI80" s="609"/>
      <c r="TBJ80" s="609"/>
      <c r="TBK80" s="609"/>
      <c r="TBL80" s="609"/>
      <c r="TBM80" s="609"/>
      <c r="TBN80" s="609"/>
      <c r="TBO80" s="609"/>
      <c r="TBP80" s="609"/>
      <c r="TBQ80" s="609"/>
      <c r="TBR80" s="609"/>
      <c r="TBS80" s="609"/>
      <c r="TBT80" s="609"/>
      <c r="TBU80" s="609"/>
      <c r="TBV80" s="609"/>
      <c r="TBW80" s="609"/>
      <c r="TBX80" s="609"/>
      <c r="TBY80" s="609"/>
      <c r="TBZ80" s="609"/>
      <c r="TCA80" s="609"/>
      <c r="TCB80" s="609"/>
      <c r="TCC80" s="609"/>
      <c r="TCD80" s="609"/>
      <c r="TCE80" s="609"/>
      <c r="TCF80" s="609"/>
      <c r="TCG80" s="609"/>
      <c r="TCH80" s="609"/>
      <c r="TCI80" s="609"/>
      <c r="TCJ80" s="609"/>
      <c r="TCK80" s="609"/>
      <c r="TCL80" s="609"/>
      <c r="TCM80" s="609"/>
      <c r="TCN80" s="609"/>
      <c r="TCO80" s="609"/>
      <c r="TCP80" s="609"/>
      <c r="TCQ80" s="609"/>
      <c r="TCR80" s="609"/>
      <c r="TCS80" s="609"/>
      <c r="TCT80" s="609"/>
      <c r="TCU80" s="609"/>
      <c r="TCV80" s="609"/>
      <c r="TCW80" s="609"/>
      <c r="TCX80" s="609"/>
      <c r="TCY80" s="609"/>
      <c r="TCZ80" s="609"/>
      <c r="TDA80" s="609"/>
      <c r="TDB80" s="609"/>
      <c r="TDC80" s="609"/>
      <c r="TDD80" s="609"/>
      <c r="TDE80" s="609"/>
      <c r="TDF80" s="609"/>
      <c r="TDG80" s="609"/>
      <c r="TDH80" s="609"/>
      <c r="TDI80" s="609"/>
      <c r="TDJ80" s="609"/>
      <c r="TDK80" s="609"/>
      <c r="TDL80" s="609"/>
      <c r="TDM80" s="609"/>
      <c r="TDN80" s="609"/>
      <c r="TDO80" s="609"/>
      <c r="TDP80" s="609"/>
      <c r="TDQ80" s="609"/>
      <c r="TDR80" s="609"/>
      <c r="TDS80" s="609"/>
      <c r="TDT80" s="609"/>
      <c r="TDU80" s="609"/>
      <c r="TDV80" s="609"/>
      <c r="TDW80" s="609"/>
      <c r="TDX80" s="609"/>
      <c r="TDY80" s="609"/>
      <c r="TDZ80" s="609"/>
      <c r="TEA80" s="609"/>
      <c r="TEB80" s="609"/>
      <c r="TEC80" s="609"/>
      <c r="TED80" s="609"/>
      <c r="TEE80" s="609"/>
      <c r="TEF80" s="609"/>
      <c r="TEG80" s="609"/>
      <c r="TEH80" s="609"/>
      <c r="TEI80" s="609"/>
      <c r="TEJ80" s="609"/>
      <c r="TEK80" s="609"/>
      <c r="TEL80" s="609"/>
      <c r="TEM80" s="609"/>
      <c r="TEN80" s="609"/>
      <c r="TEO80" s="609"/>
      <c r="TEP80" s="609"/>
      <c r="TEQ80" s="609"/>
      <c r="TER80" s="609"/>
      <c r="TES80" s="609"/>
      <c r="TET80" s="609"/>
      <c r="TEU80" s="609"/>
      <c r="TEV80" s="609"/>
      <c r="TEW80" s="609"/>
      <c r="TEX80" s="609"/>
      <c r="TEY80" s="609"/>
      <c r="TEZ80" s="609"/>
      <c r="TFA80" s="609"/>
      <c r="TFB80" s="609"/>
      <c r="TFC80" s="609"/>
      <c r="TFD80" s="609"/>
      <c r="TFE80" s="609"/>
      <c r="TFF80" s="609"/>
      <c r="TFG80" s="609"/>
      <c r="TFH80" s="609"/>
      <c r="TFI80" s="609"/>
      <c r="TFJ80" s="609"/>
      <c r="TFK80" s="609"/>
      <c r="TFL80" s="609"/>
      <c r="TFM80" s="609"/>
      <c r="TFN80" s="609"/>
      <c r="TFO80" s="609"/>
      <c r="TFP80" s="609"/>
      <c r="TFQ80" s="609"/>
      <c r="TFR80" s="609"/>
      <c r="TFS80" s="609"/>
      <c r="TFT80" s="609"/>
      <c r="TFU80" s="609"/>
      <c r="TFV80" s="609"/>
      <c r="TFW80" s="609"/>
      <c r="TFX80" s="609"/>
      <c r="TFY80" s="609"/>
      <c r="TFZ80" s="609"/>
      <c r="TGA80" s="609"/>
      <c r="TGB80" s="609"/>
      <c r="TGC80" s="609"/>
      <c r="TGD80" s="609"/>
      <c r="TGE80" s="609"/>
      <c r="TGF80" s="609"/>
      <c r="TGG80" s="609"/>
      <c r="TGH80" s="609"/>
      <c r="TGI80" s="609"/>
      <c r="TGJ80" s="609"/>
      <c r="TGK80" s="609"/>
      <c r="TGL80" s="609"/>
      <c r="TGM80" s="609"/>
      <c r="TGN80" s="609"/>
      <c r="TGO80" s="609"/>
      <c r="TGP80" s="609"/>
      <c r="TGQ80" s="609"/>
      <c r="TGR80" s="609"/>
      <c r="TGS80" s="609"/>
      <c r="TGT80" s="609"/>
      <c r="TGU80" s="609"/>
      <c r="TGV80" s="609"/>
      <c r="TGW80" s="609"/>
      <c r="TGX80" s="609"/>
      <c r="TGY80" s="609"/>
      <c r="TGZ80" s="609"/>
      <c r="THA80" s="609"/>
      <c r="THB80" s="609"/>
      <c r="THC80" s="609"/>
      <c r="THD80" s="609"/>
      <c r="THE80" s="609"/>
      <c r="THF80" s="609"/>
      <c r="THG80" s="609"/>
      <c r="THH80" s="609"/>
      <c r="THI80" s="609"/>
      <c r="THJ80" s="609"/>
      <c r="THK80" s="609"/>
      <c r="THL80" s="609"/>
      <c r="THM80" s="609"/>
      <c r="THN80" s="609"/>
      <c r="THO80" s="609"/>
      <c r="THP80" s="609"/>
      <c r="THQ80" s="609"/>
      <c r="THR80" s="609"/>
      <c r="THS80" s="609"/>
      <c r="THT80" s="609"/>
      <c r="THU80" s="609"/>
      <c r="THV80" s="609"/>
      <c r="THW80" s="609"/>
      <c r="THX80" s="609"/>
      <c r="THY80" s="609"/>
      <c r="THZ80" s="609"/>
      <c r="TIA80" s="609"/>
      <c r="TIB80" s="609"/>
      <c r="TIC80" s="609"/>
      <c r="TID80" s="609"/>
      <c r="TIE80" s="609"/>
      <c r="TIF80" s="609"/>
      <c r="TIG80" s="609"/>
      <c r="TIH80" s="609"/>
      <c r="TII80" s="609"/>
      <c r="TIJ80" s="609"/>
      <c r="TIK80" s="609"/>
      <c r="TIL80" s="609"/>
      <c r="TIM80" s="609"/>
      <c r="TIN80" s="609"/>
      <c r="TIO80" s="609"/>
      <c r="TIP80" s="609"/>
      <c r="TIQ80" s="609"/>
      <c r="TIR80" s="609"/>
      <c r="TIS80" s="609"/>
      <c r="TIT80" s="609"/>
      <c r="TIU80" s="609"/>
      <c r="TIV80" s="609"/>
      <c r="TIW80" s="609"/>
      <c r="TIX80" s="609"/>
      <c r="TIY80" s="609"/>
      <c r="TIZ80" s="609"/>
      <c r="TJA80" s="609"/>
      <c r="TJB80" s="609"/>
      <c r="TJC80" s="609"/>
      <c r="TJD80" s="609"/>
      <c r="TJE80" s="609"/>
      <c r="TJF80" s="609"/>
      <c r="TJG80" s="609"/>
      <c r="TJH80" s="609"/>
      <c r="TJI80" s="609"/>
      <c r="TJJ80" s="609"/>
      <c r="TJK80" s="609"/>
      <c r="TJL80" s="609"/>
      <c r="TJM80" s="609"/>
      <c r="TJN80" s="609"/>
      <c r="TJO80" s="609"/>
      <c r="TJP80" s="609"/>
      <c r="TJQ80" s="609"/>
      <c r="TJR80" s="609"/>
      <c r="TJS80" s="609"/>
      <c r="TJT80" s="609"/>
      <c r="TJU80" s="609"/>
      <c r="TJV80" s="609"/>
      <c r="TJW80" s="609"/>
      <c r="TJX80" s="609"/>
      <c r="TJY80" s="609"/>
      <c r="TJZ80" s="609"/>
      <c r="TKA80" s="609"/>
      <c r="TKB80" s="609"/>
      <c r="TKC80" s="609"/>
      <c r="TKD80" s="609"/>
      <c r="TKE80" s="609"/>
      <c r="TKF80" s="609"/>
      <c r="TKG80" s="609"/>
      <c r="TKH80" s="609"/>
      <c r="TKI80" s="609"/>
      <c r="TKJ80" s="609"/>
      <c r="TKK80" s="609"/>
      <c r="TKL80" s="609"/>
      <c r="TKM80" s="609"/>
      <c r="TKN80" s="609"/>
      <c r="TKO80" s="609"/>
      <c r="TKP80" s="609"/>
      <c r="TKQ80" s="609"/>
      <c r="TKR80" s="609"/>
      <c r="TKS80" s="609"/>
      <c r="TKT80" s="609"/>
      <c r="TKU80" s="609"/>
      <c r="TKV80" s="609"/>
      <c r="TKW80" s="609"/>
      <c r="TKX80" s="609"/>
      <c r="TKY80" s="609"/>
      <c r="TKZ80" s="609"/>
      <c r="TLA80" s="609"/>
      <c r="TLB80" s="609"/>
      <c r="TLC80" s="609"/>
      <c r="TLD80" s="609"/>
      <c r="TLE80" s="609"/>
      <c r="TLF80" s="609"/>
      <c r="TLG80" s="609"/>
      <c r="TLH80" s="609"/>
      <c r="TLI80" s="609"/>
      <c r="TLJ80" s="609"/>
      <c r="TLK80" s="609"/>
      <c r="TLL80" s="609"/>
      <c r="TLM80" s="609"/>
      <c r="TLN80" s="609"/>
      <c r="TLO80" s="609"/>
      <c r="TLP80" s="609"/>
      <c r="TLQ80" s="609"/>
      <c r="TLR80" s="609"/>
      <c r="TLS80" s="609"/>
      <c r="TLT80" s="609"/>
      <c r="TLU80" s="609"/>
      <c r="TLV80" s="609"/>
      <c r="TLW80" s="609"/>
      <c r="TLX80" s="609"/>
      <c r="TLY80" s="609"/>
      <c r="TLZ80" s="609"/>
      <c r="TMA80" s="609"/>
      <c r="TMB80" s="609"/>
      <c r="TMC80" s="609"/>
      <c r="TMD80" s="609"/>
      <c r="TME80" s="609"/>
      <c r="TMF80" s="609"/>
      <c r="TMG80" s="609"/>
      <c r="TMH80" s="609"/>
      <c r="TMI80" s="609"/>
      <c r="TMJ80" s="609"/>
      <c r="TMK80" s="609"/>
      <c r="TML80" s="609"/>
      <c r="TMM80" s="609"/>
      <c r="TMN80" s="609"/>
      <c r="TMO80" s="609"/>
      <c r="TMP80" s="609"/>
      <c r="TMQ80" s="609"/>
      <c r="TMR80" s="609"/>
      <c r="TMS80" s="609"/>
      <c r="TMT80" s="609"/>
      <c r="TMU80" s="609"/>
      <c r="TMV80" s="609"/>
      <c r="TMW80" s="609"/>
      <c r="TMX80" s="609"/>
      <c r="TMY80" s="609"/>
      <c r="TMZ80" s="609"/>
      <c r="TNA80" s="609"/>
      <c r="TNB80" s="609"/>
      <c r="TNC80" s="609"/>
      <c r="TND80" s="609"/>
      <c r="TNE80" s="609"/>
      <c r="TNF80" s="609"/>
      <c r="TNG80" s="609"/>
      <c r="TNH80" s="609"/>
      <c r="TNI80" s="609"/>
      <c r="TNJ80" s="609"/>
      <c r="TNK80" s="609"/>
      <c r="TNL80" s="609"/>
      <c r="TNM80" s="609"/>
      <c r="TNN80" s="609"/>
      <c r="TNO80" s="609"/>
      <c r="TNP80" s="609"/>
      <c r="TNQ80" s="609"/>
      <c r="TNR80" s="609"/>
      <c r="TNS80" s="609"/>
      <c r="TNT80" s="609"/>
      <c r="TNU80" s="609"/>
      <c r="TNV80" s="609"/>
      <c r="TNW80" s="609"/>
      <c r="TNX80" s="609"/>
      <c r="TNY80" s="609"/>
      <c r="TNZ80" s="609"/>
      <c r="TOA80" s="609"/>
      <c r="TOB80" s="609"/>
      <c r="TOC80" s="609"/>
      <c r="TOD80" s="609"/>
      <c r="TOE80" s="609"/>
      <c r="TOF80" s="609"/>
      <c r="TOG80" s="609"/>
      <c r="TOH80" s="609"/>
      <c r="TOI80" s="609"/>
      <c r="TOJ80" s="609"/>
      <c r="TOK80" s="609"/>
      <c r="TOL80" s="609"/>
      <c r="TOM80" s="609"/>
      <c r="TON80" s="609"/>
      <c r="TOO80" s="609"/>
      <c r="TOP80" s="609"/>
      <c r="TOQ80" s="609"/>
      <c r="TOR80" s="609"/>
      <c r="TOS80" s="609"/>
      <c r="TOT80" s="609"/>
      <c r="TOU80" s="609"/>
      <c r="TOV80" s="609"/>
      <c r="TOW80" s="609"/>
      <c r="TOX80" s="609"/>
      <c r="TOY80" s="609"/>
      <c r="TOZ80" s="609"/>
      <c r="TPA80" s="609"/>
      <c r="TPB80" s="609"/>
      <c r="TPC80" s="609"/>
      <c r="TPD80" s="609"/>
      <c r="TPE80" s="609"/>
      <c r="TPF80" s="609"/>
      <c r="TPG80" s="609"/>
      <c r="TPH80" s="609"/>
      <c r="TPI80" s="609"/>
      <c r="TPJ80" s="609"/>
      <c r="TPK80" s="609"/>
      <c r="TPL80" s="609"/>
      <c r="TPM80" s="609"/>
      <c r="TPN80" s="609"/>
      <c r="TPO80" s="609"/>
      <c r="TPP80" s="609"/>
      <c r="TPQ80" s="609"/>
      <c r="TPR80" s="609"/>
      <c r="TPS80" s="609"/>
      <c r="TPT80" s="609"/>
      <c r="TPU80" s="609"/>
      <c r="TPV80" s="609"/>
      <c r="TPW80" s="609"/>
      <c r="TPX80" s="609"/>
      <c r="TPY80" s="609"/>
      <c r="TPZ80" s="609"/>
      <c r="TQA80" s="609"/>
      <c r="TQB80" s="609"/>
      <c r="TQC80" s="609"/>
      <c r="TQD80" s="609"/>
      <c r="TQE80" s="609"/>
      <c r="TQF80" s="609"/>
      <c r="TQG80" s="609"/>
      <c r="TQH80" s="609"/>
      <c r="TQI80" s="609"/>
      <c r="TQJ80" s="609"/>
      <c r="TQK80" s="609"/>
      <c r="TQL80" s="609"/>
      <c r="TQM80" s="609"/>
      <c r="TQN80" s="609"/>
      <c r="TQO80" s="609"/>
      <c r="TQP80" s="609"/>
      <c r="TQQ80" s="609"/>
      <c r="TQR80" s="609"/>
      <c r="TQS80" s="609"/>
      <c r="TQT80" s="609"/>
      <c r="TQU80" s="609"/>
      <c r="TQV80" s="609"/>
      <c r="TQW80" s="609"/>
      <c r="TQX80" s="609"/>
      <c r="TQY80" s="609"/>
      <c r="TQZ80" s="609"/>
      <c r="TRA80" s="609"/>
      <c r="TRB80" s="609"/>
      <c r="TRC80" s="609"/>
      <c r="TRD80" s="609"/>
      <c r="TRE80" s="609"/>
      <c r="TRF80" s="609"/>
      <c r="TRG80" s="609"/>
      <c r="TRH80" s="609"/>
      <c r="TRI80" s="609"/>
      <c r="TRJ80" s="609"/>
      <c r="TRK80" s="609"/>
      <c r="TRL80" s="609"/>
      <c r="TRM80" s="609"/>
      <c r="TRN80" s="609"/>
      <c r="TRO80" s="609"/>
      <c r="TRP80" s="609"/>
      <c r="TRQ80" s="609"/>
      <c r="TRR80" s="609"/>
      <c r="TRS80" s="609"/>
      <c r="TRT80" s="609"/>
      <c r="TRU80" s="609"/>
      <c r="TRV80" s="609"/>
      <c r="TRW80" s="609"/>
      <c r="TRX80" s="609"/>
      <c r="TRY80" s="609"/>
      <c r="TRZ80" s="609"/>
      <c r="TSA80" s="609"/>
      <c r="TSB80" s="609"/>
      <c r="TSC80" s="609"/>
      <c r="TSD80" s="609"/>
      <c r="TSE80" s="609"/>
      <c r="TSF80" s="609"/>
      <c r="TSG80" s="609"/>
      <c r="TSH80" s="609"/>
      <c r="TSI80" s="609"/>
      <c r="TSJ80" s="609"/>
      <c r="TSK80" s="609"/>
      <c r="TSL80" s="609"/>
      <c r="TSM80" s="609"/>
      <c r="TSN80" s="609"/>
      <c r="TSO80" s="609"/>
      <c r="TSP80" s="609"/>
      <c r="TSQ80" s="609"/>
      <c r="TSR80" s="609"/>
      <c r="TSS80" s="609"/>
      <c r="TST80" s="609"/>
      <c r="TSU80" s="609"/>
      <c r="TSV80" s="609"/>
      <c r="TSW80" s="609"/>
      <c r="TSX80" s="609"/>
      <c r="TSY80" s="609"/>
      <c r="TSZ80" s="609"/>
      <c r="TTA80" s="609"/>
      <c r="TTB80" s="609"/>
      <c r="TTC80" s="609"/>
      <c r="TTD80" s="609"/>
      <c r="TTE80" s="609"/>
      <c r="TTF80" s="609"/>
      <c r="TTG80" s="609"/>
      <c r="TTH80" s="609"/>
      <c r="TTI80" s="609"/>
      <c r="TTJ80" s="609"/>
      <c r="TTK80" s="609"/>
      <c r="TTL80" s="609"/>
      <c r="TTM80" s="609"/>
      <c r="TTN80" s="609"/>
      <c r="TTO80" s="609"/>
      <c r="TTP80" s="609"/>
      <c r="TTQ80" s="609"/>
      <c r="TTR80" s="609"/>
      <c r="TTS80" s="609"/>
      <c r="TTT80" s="609"/>
      <c r="TTU80" s="609"/>
      <c r="TTV80" s="609"/>
      <c r="TTW80" s="609"/>
      <c r="TTX80" s="609"/>
      <c r="TTY80" s="609"/>
      <c r="TTZ80" s="609"/>
      <c r="TUA80" s="609"/>
      <c r="TUB80" s="609"/>
      <c r="TUC80" s="609"/>
      <c r="TUD80" s="609"/>
      <c r="TUE80" s="609"/>
      <c r="TUF80" s="609"/>
      <c r="TUG80" s="609"/>
      <c r="TUH80" s="609"/>
      <c r="TUI80" s="609"/>
      <c r="TUJ80" s="609"/>
      <c r="TUK80" s="609"/>
      <c r="TUL80" s="609"/>
      <c r="TUM80" s="609"/>
      <c r="TUN80" s="609"/>
      <c r="TUO80" s="609"/>
      <c r="TUP80" s="609"/>
      <c r="TUQ80" s="609"/>
      <c r="TUR80" s="609"/>
      <c r="TUS80" s="609"/>
      <c r="TUT80" s="609"/>
      <c r="TUU80" s="609"/>
      <c r="TUV80" s="609"/>
      <c r="TUW80" s="609"/>
      <c r="TUX80" s="609"/>
      <c r="TUY80" s="609"/>
      <c r="TUZ80" s="609"/>
      <c r="TVA80" s="609"/>
      <c r="TVB80" s="609"/>
      <c r="TVC80" s="609"/>
      <c r="TVD80" s="609"/>
      <c r="TVE80" s="609"/>
      <c r="TVF80" s="609"/>
      <c r="TVG80" s="609"/>
      <c r="TVH80" s="609"/>
      <c r="TVI80" s="609"/>
      <c r="TVJ80" s="609"/>
      <c r="TVK80" s="609"/>
      <c r="TVL80" s="609"/>
      <c r="TVM80" s="609"/>
      <c r="TVN80" s="609"/>
      <c r="TVO80" s="609"/>
      <c r="TVP80" s="609"/>
      <c r="TVQ80" s="609"/>
      <c r="TVR80" s="609"/>
      <c r="TVS80" s="609"/>
      <c r="TVT80" s="609"/>
      <c r="TVU80" s="609"/>
      <c r="TVV80" s="609"/>
      <c r="TVW80" s="609"/>
      <c r="TVX80" s="609"/>
      <c r="TVY80" s="609"/>
      <c r="TVZ80" s="609"/>
      <c r="TWA80" s="609"/>
      <c r="TWB80" s="609"/>
      <c r="TWC80" s="609"/>
      <c r="TWD80" s="609"/>
      <c r="TWE80" s="609"/>
      <c r="TWF80" s="609"/>
      <c r="TWG80" s="609"/>
      <c r="TWH80" s="609"/>
      <c r="TWI80" s="609"/>
      <c r="TWJ80" s="609"/>
      <c r="TWK80" s="609"/>
      <c r="TWL80" s="609"/>
      <c r="TWM80" s="609"/>
      <c r="TWN80" s="609"/>
      <c r="TWO80" s="609"/>
      <c r="TWP80" s="609"/>
      <c r="TWQ80" s="609"/>
      <c r="TWR80" s="609"/>
      <c r="TWS80" s="609"/>
      <c r="TWT80" s="609"/>
      <c r="TWU80" s="609"/>
      <c r="TWV80" s="609"/>
      <c r="TWW80" s="609"/>
      <c r="TWX80" s="609"/>
      <c r="TWY80" s="609"/>
      <c r="TWZ80" s="609"/>
      <c r="TXA80" s="609"/>
      <c r="TXB80" s="609"/>
      <c r="TXC80" s="609"/>
      <c r="TXD80" s="609"/>
      <c r="TXE80" s="609"/>
      <c r="TXF80" s="609"/>
      <c r="TXG80" s="609"/>
      <c r="TXH80" s="609"/>
      <c r="TXI80" s="609"/>
      <c r="TXJ80" s="609"/>
      <c r="TXK80" s="609"/>
      <c r="TXL80" s="609"/>
      <c r="TXM80" s="609"/>
      <c r="TXN80" s="609"/>
      <c r="TXO80" s="609"/>
      <c r="TXP80" s="609"/>
      <c r="TXQ80" s="609"/>
      <c r="TXR80" s="609"/>
      <c r="TXS80" s="609"/>
      <c r="TXT80" s="609"/>
      <c r="TXU80" s="609"/>
      <c r="TXV80" s="609"/>
      <c r="TXW80" s="609"/>
      <c r="TXX80" s="609"/>
      <c r="TXY80" s="609"/>
      <c r="TXZ80" s="609"/>
      <c r="TYA80" s="609"/>
      <c r="TYB80" s="609"/>
      <c r="TYC80" s="609"/>
      <c r="TYD80" s="609"/>
      <c r="TYE80" s="609"/>
      <c r="TYF80" s="609"/>
      <c r="TYG80" s="609"/>
      <c r="TYH80" s="609"/>
      <c r="TYI80" s="609"/>
      <c r="TYJ80" s="609"/>
      <c r="TYK80" s="609"/>
      <c r="TYL80" s="609"/>
      <c r="TYM80" s="609"/>
      <c r="TYN80" s="609"/>
      <c r="TYO80" s="609"/>
      <c r="TYP80" s="609"/>
      <c r="TYQ80" s="609"/>
      <c r="TYR80" s="609"/>
      <c r="TYS80" s="609"/>
      <c r="TYT80" s="609"/>
      <c r="TYU80" s="609"/>
      <c r="TYV80" s="609"/>
      <c r="TYW80" s="609"/>
      <c r="TYX80" s="609"/>
      <c r="TYY80" s="609"/>
      <c r="TYZ80" s="609"/>
      <c r="TZA80" s="609"/>
      <c r="TZB80" s="609"/>
      <c r="TZC80" s="609"/>
      <c r="TZD80" s="609"/>
      <c r="TZE80" s="609"/>
      <c r="TZF80" s="609"/>
      <c r="TZG80" s="609"/>
      <c r="TZH80" s="609"/>
      <c r="TZI80" s="609"/>
      <c r="TZJ80" s="609"/>
      <c r="TZK80" s="609"/>
      <c r="TZL80" s="609"/>
      <c r="TZM80" s="609"/>
      <c r="TZN80" s="609"/>
      <c r="TZO80" s="609"/>
      <c r="TZP80" s="609"/>
      <c r="TZQ80" s="609"/>
      <c r="TZR80" s="609"/>
      <c r="TZS80" s="609"/>
      <c r="TZT80" s="609"/>
      <c r="TZU80" s="609"/>
      <c r="TZV80" s="609"/>
      <c r="TZW80" s="609"/>
      <c r="TZX80" s="609"/>
      <c r="TZY80" s="609"/>
      <c r="TZZ80" s="609"/>
      <c r="UAA80" s="609"/>
      <c r="UAB80" s="609"/>
      <c r="UAC80" s="609"/>
      <c r="UAD80" s="609"/>
      <c r="UAE80" s="609"/>
      <c r="UAF80" s="609"/>
      <c r="UAG80" s="609"/>
      <c r="UAH80" s="609"/>
      <c r="UAI80" s="609"/>
      <c r="UAJ80" s="609"/>
      <c r="UAK80" s="609"/>
      <c r="UAL80" s="609"/>
      <c r="UAM80" s="609"/>
      <c r="UAN80" s="609"/>
      <c r="UAO80" s="609"/>
      <c r="UAP80" s="609"/>
      <c r="UAQ80" s="609"/>
      <c r="UAR80" s="609"/>
      <c r="UAS80" s="609"/>
      <c r="UAT80" s="609"/>
      <c r="UAU80" s="609"/>
      <c r="UAV80" s="609"/>
      <c r="UAW80" s="609"/>
      <c r="UAX80" s="609"/>
      <c r="UAY80" s="609"/>
      <c r="UAZ80" s="609"/>
      <c r="UBA80" s="609"/>
      <c r="UBB80" s="609"/>
      <c r="UBC80" s="609"/>
      <c r="UBD80" s="609"/>
      <c r="UBE80" s="609"/>
      <c r="UBF80" s="609"/>
      <c r="UBG80" s="609"/>
      <c r="UBH80" s="609"/>
      <c r="UBI80" s="609"/>
      <c r="UBJ80" s="609"/>
      <c r="UBK80" s="609"/>
      <c r="UBL80" s="609"/>
      <c r="UBM80" s="609"/>
      <c r="UBN80" s="609"/>
      <c r="UBO80" s="609"/>
      <c r="UBP80" s="609"/>
      <c r="UBQ80" s="609"/>
      <c r="UBR80" s="609"/>
      <c r="UBS80" s="609"/>
      <c r="UBT80" s="609"/>
      <c r="UBU80" s="609"/>
      <c r="UBV80" s="609"/>
      <c r="UBW80" s="609"/>
      <c r="UBX80" s="609"/>
      <c r="UBY80" s="609"/>
      <c r="UBZ80" s="609"/>
      <c r="UCA80" s="609"/>
      <c r="UCB80" s="609"/>
      <c r="UCC80" s="609"/>
      <c r="UCD80" s="609"/>
      <c r="UCE80" s="609"/>
      <c r="UCF80" s="609"/>
      <c r="UCG80" s="609"/>
      <c r="UCH80" s="609"/>
      <c r="UCI80" s="609"/>
      <c r="UCJ80" s="609"/>
      <c r="UCK80" s="609"/>
      <c r="UCL80" s="609"/>
      <c r="UCM80" s="609"/>
      <c r="UCN80" s="609"/>
      <c r="UCO80" s="609"/>
      <c r="UCP80" s="609"/>
      <c r="UCQ80" s="609"/>
      <c r="UCR80" s="609"/>
      <c r="UCS80" s="609"/>
      <c r="UCT80" s="609"/>
      <c r="UCU80" s="609"/>
      <c r="UCV80" s="609"/>
      <c r="UCW80" s="609"/>
      <c r="UCX80" s="609"/>
      <c r="UCY80" s="609"/>
      <c r="UCZ80" s="609"/>
      <c r="UDA80" s="609"/>
      <c r="UDB80" s="609"/>
      <c r="UDC80" s="609"/>
      <c r="UDD80" s="609"/>
      <c r="UDE80" s="609"/>
      <c r="UDF80" s="609"/>
      <c r="UDG80" s="609"/>
      <c r="UDH80" s="609"/>
      <c r="UDI80" s="609"/>
      <c r="UDJ80" s="609"/>
      <c r="UDK80" s="609"/>
      <c r="UDL80" s="609"/>
      <c r="UDM80" s="609"/>
      <c r="UDN80" s="609"/>
      <c r="UDO80" s="609"/>
      <c r="UDP80" s="609"/>
      <c r="UDQ80" s="609"/>
      <c r="UDR80" s="609"/>
      <c r="UDS80" s="609"/>
      <c r="UDT80" s="609"/>
      <c r="UDU80" s="609"/>
      <c r="UDV80" s="609"/>
      <c r="UDW80" s="609"/>
      <c r="UDX80" s="609"/>
      <c r="UDY80" s="609"/>
      <c r="UDZ80" s="609"/>
      <c r="UEA80" s="609"/>
      <c r="UEB80" s="609"/>
      <c r="UEC80" s="609"/>
      <c r="UED80" s="609"/>
      <c r="UEE80" s="609"/>
      <c r="UEF80" s="609"/>
      <c r="UEG80" s="609"/>
      <c r="UEH80" s="609"/>
      <c r="UEI80" s="609"/>
      <c r="UEJ80" s="609"/>
      <c r="UEK80" s="609"/>
      <c r="UEL80" s="609"/>
      <c r="UEM80" s="609"/>
      <c r="UEN80" s="609"/>
      <c r="UEO80" s="609"/>
      <c r="UEP80" s="609"/>
      <c r="UEQ80" s="609"/>
      <c r="UER80" s="609"/>
      <c r="UES80" s="609"/>
      <c r="UET80" s="609"/>
      <c r="UEU80" s="609"/>
      <c r="UEV80" s="609"/>
      <c r="UEW80" s="609"/>
      <c r="UEX80" s="609"/>
      <c r="UEY80" s="609"/>
      <c r="UEZ80" s="609"/>
      <c r="UFA80" s="609"/>
      <c r="UFB80" s="609"/>
      <c r="UFC80" s="609"/>
      <c r="UFD80" s="609"/>
      <c r="UFE80" s="609"/>
      <c r="UFF80" s="609"/>
      <c r="UFG80" s="609"/>
      <c r="UFH80" s="609"/>
      <c r="UFI80" s="609"/>
      <c r="UFJ80" s="609"/>
      <c r="UFK80" s="609"/>
      <c r="UFL80" s="609"/>
      <c r="UFM80" s="609"/>
      <c r="UFN80" s="609"/>
      <c r="UFO80" s="609"/>
      <c r="UFP80" s="609"/>
      <c r="UFQ80" s="609"/>
      <c r="UFR80" s="609"/>
      <c r="UFS80" s="609"/>
      <c r="UFT80" s="609"/>
      <c r="UFU80" s="609"/>
      <c r="UFV80" s="609"/>
      <c r="UFW80" s="609"/>
      <c r="UFX80" s="609"/>
      <c r="UFY80" s="609"/>
      <c r="UFZ80" s="609"/>
      <c r="UGA80" s="609"/>
      <c r="UGB80" s="609"/>
      <c r="UGC80" s="609"/>
      <c r="UGD80" s="609"/>
      <c r="UGE80" s="609"/>
      <c r="UGF80" s="609"/>
      <c r="UGG80" s="609"/>
      <c r="UGH80" s="609"/>
      <c r="UGI80" s="609"/>
      <c r="UGJ80" s="609"/>
      <c r="UGK80" s="609"/>
      <c r="UGL80" s="609"/>
      <c r="UGM80" s="609"/>
      <c r="UGN80" s="609"/>
      <c r="UGO80" s="609"/>
      <c r="UGP80" s="609"/>
      <c r="UGQ80" s="609"/>
      <c r="UGR80" s="609"/>
      <c r="UGS80" s="609"/>
      <c r="UGT80" s="609"/>
      <c r="UGU80" s="609"/>
      <c r="UGV80" s="609"/>
      <c r="UGW80" s="609"/>
      <c r="UGX80" s="609"/>
      <c r="UGY80" s="609"/>
      <c r="UGZ80" s="609"/>
      <c r="UHA80" s="609"/>
      <c r="UHB80" s="609"/>
      <c r="UHC80" s="609"/>
      <c r="UHD80" s="609"/>
      <c r="UHE80" s="609"/>
      <c r="UHF80" s="609"/>
      <c r="UHG80" s="609"/>
      <c r="UHH80" s="609"/>
      <c r="UHI80" s="609"/>
      <c r="UHJ80" s="609"/>
      <c r="UHK80" s="609"/>
      <c r="UHL80" s="609"/>
      <c r="UHM80" s="609"/>
      <c r="UHN80" s="609"/>
      <c r="UHO80" s="609"/>
      <c r="UHP80" s="609"/>
      <c r="UHQ80" s="609"/>
      <c r="UHR80" s="609"/>
      <c r="UHS80" s="609"/>
      <c r="UHT80" s="609"/>
      <c r="UHU80" s="609"/>
      <c r="UHV80" s="609"/>
      <c r="UHW80" s="609"/>
      <c r="UHX80" s="609"/>
      <c r="UHY80" s="609"/>
      <c r="UHZ80" s="609"/>
      <c r="UIA80" s="609"/>
      <c r="UIB80" s="609"/>
      <c r="UIC80" s="609"/>
      <c r="UID80" s="609"/>
      <c r="UIE80" s="609"/>
      <c r="UIF80" s="609"/>
      <c r="UIG80" s="609"/>
      <c r="UIH80" s="609"/>
      <c r="UII80" s="609"/>
      <c r="UIJ80" s="609"/>
      <c r="UIK80" s="609"/>
      <c r="UIL80" s="609"/>
      <c r="UIM80" s="609"/>
      <c r="UIN80" s="609"/>
      <c r="UIO80" s="609"/>
      <c r="UIP80" s="609"/>
      <c r="UIQ80" s="609"/>
      <c r="UIR80" s="609"/>
      <c r="UIS80" s="609"/>
      <c r="UIT80" s="609"/>
      <c r="UIU80" s="609"/>
      <c r="UIV80" s="609"/>
      <c r="UIW80" s="609"/>
      <c r="UIX80" s="609"/>
      <c r="UIY80" s="609"/>
      <c r="UIZ80" s="609"/>
      <c r="UJA80" s="609"/>
      <c r="UJB80" s="609"/>
      <c r="UJC80" s="609"/>
      <c r="UJD80" s="609"/>
      <c r="UJE80" s="609"/>
      <c r="UJF80" s="609"/>
      <c r="UJG80" s="609"/>
      <c r="UJH80" s="609"/>
      <c r="UJI80" s="609"/>
      <c r="UJJ80" s="609"/>
      <c r="UJK80" s="609"/>
      <c r="UJL80" s="609"/>
      <c r="UJM80" s="609"/>
      <c r="UJN80" s="609"/>
      <c r="UJO80" s="609"/>
      <c r="UJP80" s="609"/>
      <c r="UJQ80" s="609"/>
      <c r="UJR80" s="609"/>
      <c r="UJS80" s="609"/>
      <c r="UJT80" s="609"/>
      <c r="UJU80" s="609"/>
      <c r="UJV80" s="609"/>
      <c r="UJW80" s="609"/>
      <c r="UJX80" s="609"/>
      <c r="UJY80" s="609"/>
      <c r="UJZ80" s="609"/>
      <c r="UKA80" s="609"/>
      <c r="UKB80" s="609"/>
      <c r="UKC80" s="609"/>
      <c r="UKD80" s="609"/>
      <c r="UKE80" s="609"/>
      <c r="UKF80" s="609"/>
      <c r="UKG80" s="609"/>
      <c r="UKH80" s="609"/>
      <c r="UKI80" s="609"/>
      <c r="UKJ80" s="609"/>
      <c r="UKK80" s="609"/>
      <c r="UKL80" s="609"/>
      <c r="UKM80" s="609"/>
      <c r="UKN80" s="609"/>
      <c r="UKO80" s="609"/>
      <c r="UKP80" s="609"/>
      <c r="UKQ80" s="609"/>
      <c r="UKR80" s="609"/>
      <c r="UKS80" s="609"/>
      <c r="UKT80" s="609"/>
      <c r="UKU80" s="609"/>
      <c r="UKV80" s="609"/>
      <c r="UKW80" s="609"/>
      <c r="UKX80" s="609"/>
      <c r="UKY80" s="609"/>
      <c r="UKZ80" s="609"/>
      <c r="ULA80" s="609"/>
      <c r="ULB80" s="609"/>
      <c r="ULC80" s="609"/>
      <c r="ULD80" s="609"/>
      <c r="ULE80" s="609"/>
      <c r="ULF80" s="609"/>
      <c r="ULG80" s="609"/>
      <c r="ULH80" s="609"/>
      <c r="ULI80" s="609"/>
      <c r="ULJ80" s="609"/>
      <c r="ULK80" s="609"/>
      <c r="ULL80" s="609"/>
      <c r="ULM80" s="609"/>
      <c r="ULN80" s="609"/>
      <c r="ULO80" s="609"/>
      <c r="ULP80" s="609"/>
      <c r="ULQ80" s="609"/>
      <c r="ULR80" s="609"/>
      <c r="ULS80" s="609"/>
      <c r="ULT80" s="609"/>
      <c r="ULU80" s="609"/>
      <c r="ULV80" s="609"/>
      <c r="ULW80" s="609"/>
      <c r="ULX80" s="609"/>
      <c r="ULY80" s="609"/>
      <c r="ULZ80" s="609"/>
      <c r="UMA80" s="609"/>
      <c r="UMB80" s="609"/>
      <c r="UMC80" s="609"/>
      <c r="UMD80" s="609"/>
      <c r="UME80" s="609"/>
      <c r="UMF80" s="609"/>
      <c r="UMG80" s="609"/>
      <c r="UMH80" s="609"/>
      <c r="UMI80" s="609"/>
      <c r="UMJ80" s="609"/>
      <c r="UMK80" s="609"/>
      <c r="UML80" s="609"/>
      <c r="UMM80" s="609"/>
      <c r="UMN80" s="609"/>
      <c r="UMO80" s="609"/>
      <c r="UMP80" s="609"/>
      <c r="UMQ80" s="609"/>
      <c r="UMR80" s="609"/>
      <c r="UMS80" s="609"/>
      <c r="UMT80" s="609"/>
      <c r="UMU80" s="609"/>
      <c r="UMV80" s="609"/>
      <c r="UMW80" s="609"/>
      <c r="UMX80" s="609"/>
      <c r="UMY80" s="609"/>
      <c r="UMZ80" s="609"/>
      <c r="UNA80" s="609"/>
      <c r="UNB80" s="609"/>
      <c r="UNC80" s="609"/>
      <c r="UND80" s="609"/>
      <c r="UNE80" s="609"/>
      <c r="UNF80" s="609"/>
      <c r="UNG80" s="609"/>
      <c r="UNH80" s="609"/>
      <c r="UNI80" s="609"/>
      <c r="UNJ80" s="609"/>
      <c r="UNK80" s="609"/>
      <c r="UNL80" s="609"/>
      <c r="UNM80" s="609"/>
      <c r="UNN80" s="609"/>
      <c r="UNO80" s="609"/>
      <c r="UNP80" s="609"/>
      <c r="UNQ80" s="609"/>
      <c r="UNR80" s="609"/>
      <c r="UNS80" s="609"/>
      <c r="UNT80" s="609"/>
      <c r="UNU80" s="609"/>
      <c r="UNV80" s="609"/>
      <c r="UNW80" s="609"/>
      <c r="UNX80" s="609"/>
      <c r="UNY80" s="609"/>
      <c r="UNZ80" s="609"/>
      <c r="UOA80" s="609"/>
      <c r="UOB80" s="609"/>
      <c r="UOC80" s="609"/>
      <c r="UOD80" s="609"/>
      <c r="UOE80" s="609"/>
      <c r="UOF80" s="609"/>
      <c r="UOG80" s="609"/>
      <c r="UOH80" s="609"/>
      <c r="UOI80" s="609"/>
      <c r="UOJ80" s="609"/>
      <c r="UOK80" s="609"/>
      <c r="UOL80" s="609"/>
      <c r="UOM80" s="609"/>
      <c r="UON80" s="609"/>
      <c r="UOO80" s="609"/>
      <c r="UOP80" s="609"/>
      <c r="UOQ80" s="609"/>
      <c r="UOR80" s="609"/>
      <c r="UOS80" s="609"/>
      <c r="UOT80" s="609"/>
      <c r="UOU80" s="609"/>
      <c r="UOV80" s="609"/>
      <c r="UOW80" s="609"/>
      <c r="UOX80" s="609"/>
      <c r="UOY80" s="609"/>
      <c r="UOZ80" s="609"/>
      <c r="UPA80" s="609"/>
      <c r="UPB80" s="609"/>
      <c r="UPC80" s="609"/>
      <c r="UPD80" s="609"/>
      <c r="UPE80" s="609"/>
      <c r="UPF80" s="609"/>
      <c r="UPG80" s="609"/>
      <c r="UPH80" s="609"/>
      <c r="UPI80" s="609"/>
      <c r="UPJ80" s="609"/>
      <c r="UPK80" s="609"/>
      <c r="UPL80" s="609"/>
      <c r="UPM80" s="609"/>
      <c r="UPN80" s="609"/>
      <c r="UPO80" s="609"/>
      <c r="UPP80" s="609"/>
      <c r="UPQ80" s="609"/>
      <c r="UPR80" s="609"/>
      <c r="UPS80" s="609"/>
      <c r="UPT80" s="609"/>
      <c r="UPU80" s="609"/>
      <c r="UPV80" s="609"/>
      <c r="UPW80" s="609"/>
      <c r="UPX80" s="609"/>
      <c r="UPY80" s="609"/>
      <c r="UPZ80" s="609"/>
      <c r="UQA80" s="609"/>
      <c r="UQB80" s="609"/>
      <c r="UQC80" s="609"/>
      <c r="UQD80" s="609"/>
      <c r="UQE80" s="609"/>
      <c r="UQF80" s="609"/>
      <c r="UQG80" s="609"/>
      <c r="UQH80" s="609"/>
      <c r="UQI80" s="609"/>
      <c r="UQJ80" s="609"/>
      <c r="UQK80" s="609"/>
      <c r="UQL80" s="609"/>
      <c r="UQM80" s="609"/>
      <c r="UQN80" s="609"/>
      <c r="UQO80" s="609"/>
      <c r="UQP80" s="609"/>
      <c r="UQQ80" s="609"/>
      <c r="UQR80" s="609"/>
      <c r="UQS80" s="609"/>
      <c r="UQT80" s="609"/>
      <c r="UQU80" s="609"/>
      <c r="UQV80" s="609"/>
      <c r="UQW80" s="609"/>
      <c r="UQX80" s="609"/>
      <c r="UQY80" s="609"/>
      <c r="UQZ80" s="609"/>
      <c r="URA80" s="609"/>
      <c r="URB80" s="609"/>
      <c r="URC80" s="609"/>
      <c r="URD80" s="609"/>
      <c r="URE80" s="609"/>
      <c r="URF80" s="609"/>
      <c r="URG80" s="609"/>
      <c r="URH80" s="609"/>
      <c r="URI80" s="609"/>
      <c r="URJ80" s="609"/>
      <c r="URK80" s="609"/>
      <c r="URL80" s="609"/>
      <c r="URM80" s="609"/>
      <c r="URN80" s="609"/>
      <c r="URO80" s="609"/>
      <c r="URP80" s="609"/>
      <c r="URQ80" s="609"/>
      <c r="URR80" s="609"/>
      <c r="URS80" s="609"/>
      <c r="URT80" s="609"/>
      <c r="URU80" s="609"/>
      <c r="URV80" s="609"/>
      <c r="URW80" s="609"/>
      <c r="URX80" s="609"/>
      <c r="URY80" s="609"/>
      <c r="URZ80" s="609"/>
      <c r="USA80" s="609"/>
      <c r="USB80" s="609"/>
      <c r="USC80" s="609"/>
      <c r="USD80" s="609"/>
      <c r="USE80" s="609"/>
      <c r="USF80" s="609"/>
      <c r="USG80" s="609"/>
      <c r="USH80" s="609"/>
      <c r="USI80" s="609"/>
      <c r="USJ80" s="609"/>
      <c r="USK80" s="609"/>
      <c r="USL80" s="609"/>
      <c r="USM80" s="609"/>
      <c r="USN80" s="609"/>
      <c r="USO80" s="609"/>
      <c r="USP80" s="609"/>
      <c r="USQ80" s="609"/>
      <c r="USR80" s="609"/>
      <c r="USS80" s="609"/>
      <c r="UST80" s="609"/>
      <c r="USU80" s="609"/>
      <c r="USV80" s="609"/>
      <c r="USW80" s="609"/>
      <c r="USX80" s="609"/>
      <c r="USY80" s="609"/>
      <c r="USZ80" s="609"/>
      <c r="UTA80" s="609"/>
      <c r="UTB80" s="609"/>
      <c r="UTC80" s="609"/>
      <c r="UTD80" s="609"/>
      <c r="UTE80" s="609"/>
      <c r="UTF80" s="609"/>
      <c r="UTG80" s="609"/>
      <c r="UTH80" s="609"/>
      <c r="UTI80" s="609"/>
      <c r="UTJ80" s="609"/>
      <c r="UTK80" s="609"/>
      <c r="UTL80" s="609"/>
      <c r="UTM80" s="609"/>
      <c r="UTN80" s="609"/>
      <c r="UTO80" s="609"/>
      <c r="UTP80" s="609"/>
      <c r="UTQ80" s="609"/>
      <c r="UTR80" s="609"/>
      <c r="UTS80" s="609"/>
      <c r="UTT80" s="609"/>
      <c r="UTU80" s="609"/>
      <c r="UTV80" s="609"/>
      <c r="UTW80" s="609"/>
      <c r="UTX80" s="609"/>
      <c r="UTY80" s="609"/>
      <c r="UTZ80" s="609"/>
      <c r="UUA80" s="609"/>
      <c r="UUB80" s="609"/>
      <c r="UUC80" s="609"/>
      <c r="UUD80" s="609"/>
      <c r="UUE80" s="609"/>
      <c r="UUF80" s="609"/>
      <c r="UUG80" s="609"/>
      <c r="UUH80" s="609"/>
      <c r="UUI80" s="609"/>
      <c r="UUJ80" s="609"/>
      <c r="UUK80" s="609"/>
      <c r="UUL80" s="609"/>
      <c r="UUM80" s="609"/>
      <c r="UUN80" s="609"/>
      <c r="UUO80" s="609"/>
      <c r="UUP80" s="609"/>
      <c r="UUQ80" s="609"/>
      <c r="UUR80" s="609"/>
      <c r="UUS80" s="609"/>
      <c r="UUT80" s="609"/>
      <c r="UUU80" s="609"/>
      <c r="UUV80" s="609"/>
      <c r="UUW80" s="609"/>
      <c r="UUX80" s="609"/>
      <c r="UUY80" s="609"/>
      <c r="UUZ80" s="609"/>
      <c r="UVA80" s="609"/>
      <c r="UVB80" s="609"/>
      <c r="UVC80" s="609"/>
      <c r="UVD80" s="609"/>
      <c r="UVE80" s="609"/>
      <c r="UVF80" s="609"/>
      <c r="UVG80" s="609"/>
      <c r="UVH80" s="609"/>
      <c r="UVI80" s="609"/>
      <c r="UVJ80" s="609"/>
      <c r="UVK80" s="609"/>
      <c r="UVL80" s="609"/>
      <c r="UVM80" s="609"/>
      <c r="UVN80" s="609"/>
      <c r="UVO80" s="609"/>
      <c r="UVP80" s="609"/>
      <c r="UVQ80" s="609"/>
      <c r="UVR80" s="609"/>
      <c r="UVS80" s="609"/>
      <c r="UVT80" s="609"/>
      <c r="UVU80" s="609"/>
      <c r="UVV80" s="609"/>
      <c r="UVW80" s="609"/>
      <c r="UVX80" s="609"/>
      <c r="UVY80" s="609"/>
      <c r="UVZ80" s="609"/>
      <c r="UWA80" s="609"/>
      <c r="UWB80" s="609"/>
      <c r="UWC80" s="609"/>
      <c r="UWD80" s="609"/>
      <c r="UWE80" s="609"/>
      <c r="UWF80" s="609"/>
      <c r="UWG80" s="609"/>
      <c r="UWH80" s="609"/>
      <c r="UWI80" s="609"/>
      <c r="UWJ80" s="609"/>
      <c r="UWK80" s="609"/>
      <c r="UWL80" s="609"/>
      <c r="UWM80" s="609"/>
      <c r="UWN80" s="609"/>
      <c r="UWO80" s="609"/>
      <c r="UWP80" s="609"/>
      <c r="UWQ80" s="609"/>
      <c r="UWR80" s="609"/>
      <c r="UWS80" s="609"/>
      <c r="UWT80" s="609"/>
      <c r="UWU80" s="609"/>
      <c r="UWV80" s="609"/>
      <c r="UWW80" s="609"/>
      <c r="UWX80" s="609"/>
      <c r="UWY80" s="609"/>
      <c r="UWZ80" s="609"/>
      <c r="UXA80" s="609"/>
      <c r="UXB80" s="609"/>
      <c r="UXC80" s="609"/>
      <c r="UXD80" s="609"/>
      <c r="UXE80" s="609"/>
      <c r="UXF80" s="609"/>
      <c r="UXG80" s="609"/>
      <c r="UXH80" s="609"/>
      <c r="UXI80" s="609"/>
      <c r="UXJ80" s="609"/>
      <c r="UXK80" s="609"/>
      <c r="UXL80" s="609"/>
      <c r="UXM80" s="609"/>
      <c r="UXN80" s="609"/>
      <c r="UXO80" s="609"/>
      <c r="UXP80" s="609"/>
      <c r="UXQ80" s="609"/>
      <c r="UXR80" s="609"/>
      <c r="UXS80" s="609"/>
      <c r="UXT80" s="609"/>
      <c r="UXU80" s="609"/>
      <c r="UXV80" s="609"/>
      <c r="UXW80" s="609"/>
      <c r="UXX80" s="609"/>
      <c r="UXY80" s="609"/>
      <c r="UXZ80" s="609"/>
      <c r="UYA80" s="609"/>
      <c r="UYB80" s="609"/>
      <c r="UYC80" s="609"/>
      <c r="UYD80" s="609"/>
      <c r="UYE80" s="609"/>
      <c r="UYF80" s="609"/>
      <c r="UYG80" s="609"/>
      <c r="UYH80" s="609"/>
      <c r="UYI80" s="609"/>
      <c r="UYJ80" s="609"/>
      <c r="UYK80" s="609"/>
      <c r="UYL80" s="609"/>
      <c r="UYM80" s="609"/>
      <c r="UYN80" s="609"/>
      <c r="UYO80" s="609"/>
      <c r="UYP80" s="609"/>
      <c r="UYQ80" s="609"/>
      <c r="UYR80" s="609"/>
      <c r="UYS80" s="609"/>
      <c r="UYT80" s="609"/>
      <c r="UYU80" s="609"/>
      <c r="UYV80" s="609"/>
      <c r="UYW80" s="609"/>
      <c r="UYX80" s="609"/>
      <c r="UYY80" s="609"/>
      <c r="UYZ80" s="609"/>
      <c r="UZA80" s="609"/>
      <c r="UZB80" s="609"/>
      <c r="UZC80" s="609"/>
      <c r="UZD80" s="609"/>
      <c r="UZE80" s="609"/>
      <c r="UZF80" s="609"/>
      <c r="UZG80" s="609"/>
      <c r="UZH80" s="609"/>
      <c r="UZI80" s="609"/>
      <c r="UZJ80" s="609"/>
      <c r="UZK80" s="609"/>
      <c r="UZL80" s="609"/>
      <c r="UZM80" s="609"/>
      <c r="UZN80" s="609"/>
      <c r="UZO80" s="609"/>
      <c r="UZP80" s="609"/>
      <c r="UZQ80" s="609"/>
      <c r="UZR80" s="609"/>
      <c r="UZS80" s="609"/>
      <c r="UZT80" s="609"/>
      <c r="UZU80" s="609"/>
      <c r="UZV80" s="609"/>
      <c r="UZW80" s="609"/>
      <c r="UZX80" s="609"/>
      <c r="UZY80" s="609"/>
      <c r="UZZ80" s="609"/>
      <c r="VAA80" s="609"/>
      <c r="VAB80" s="609"/>
      <c r="VAC80" s="609"/>
      <c r="VAD80" s="609"/>
      <c r="VAE80" s="609"/>
      <c r="VAF80" s="609"/>
      <c r="VAG80" s="609"/>
      <c r="VAH80" s="609"/>
      <c r="VAI80" s="609"/>
      <c r="VAJ80" s="609"/>
      <c r="VAK80" s="609"/>
      <c r="VAL80" s="609"/>
      <c r="VAM80" s="609"/>
      <c r="VAN80" s="609"/>
      <c r="VAO80" s="609"/>
      <c r="VAP80" s="609"/>
      <c r="VAQ80" s="609"/>
      <c r="VAR80" s="609"/>
      <c r="VAS80" s="609"/>
      <c r="VAT80" s="609"/>
      <c r="VAU80" s="609"/>
      <c r="VAV80" s="609"/>
      <c r="VAW80" s="609"/>
      <c r="VAX80" s="609"/>
      <c r="VAY80" s="609"/>
      <c r="VAZ80" s="609"/>
      <c r="VBA80" s="609"/>
      <c r="VBB80" s="609"/>
      <c r="VBC80" s="609"/>
      <c r="VBD80" s="609"/>
      <c r="VBE80" s="609"/>
      <c r="VBF80" s="609"/>
      <c r="VBG80" s="609"/>
      <c r="VBH80" s="609"/>
      <c r="VBI80" s="609"/>
      <c r="VBJ80" s="609"/>
      <c r="VBK80" s="609"/>
      <c r="VBL80" s="609"/>
      <c r="VBM80" s="609"/>
      <c r="VBN80" s="609"/>
      <c r="VBO80" s="609"/>
      <c r="VBP80" s="609"/>
      <c r="VBQ80" s="609"/>
      <c r="VBR80" s="609"/>
      <c r="VBS80" s="609"/>
      <c r="VBT80" s="609"/>
      <c r="VBU80" s="609"/>
      <c r="VBV80" s="609"/>
      <c r="VBW80" s="609"/>
      <c r="VBX80" s="609"/>
      <c r="VBY80" s="609"/>
      <c r="VBZ80" s="609"/>
      <c r="VCA80" s="609"/>
      <c r="VCB80" s="609"/>
      <c r="VCC80" s="609"/>
      <c r="VCD80" s="609"/>
      <c r="VCE80" s="609"/>
      <c r="VCF80" s="609"/>
      <c r="VCG80" s="609"/>
      <c r="VCH80" s="609"/>
      <c r="VCI80" s="609"/>
      <c r="VCJ80" s="609"/>
      <c r="VCK80" s="609"/>
      <c r="VCL80" s="609"/>
      <c r="VCM80" s="609"/>
      <c r="VCN80" s="609"/>
      <c r="VCO80" s="609"/>
      <c r="VCP80" s="609"/>
      <c r="VCQ80" s="609"/>
      <c r="VCR80" s="609"/>
      <c r="VCS80" s="609"/>
      <c r="VCT80" s="609"/>
      <c r="VCU80" s="609"/>
      <c r="VCV80" s="609"/>
      <c r="VCW80" s="609"/>
      <c r="VCX80" s="609"/>
      <c r="VCY80" s="609"/>
      <c r="VCZ80" s="609"/>
      <c r="VDA80" s="609"/>
      <c r="VDB80" s="609"/>
      <c r="VDC80" s="609"/>
      <c r="VDD80" s="609"/>
      <c r="VDE80" s="609"/>
      <c r="VDF80" s="609"/>
      <c r="VDG80" s="609"/>
      <c r="VDH80" s="609"/>
      <c r="VDI80" s="609"/>
      <c r="VDJ80" s="609"/>
      <c r="VDK80" s="609"/>
      <c r="VDL80" s="609"/>
      <c r="VDM80" s="609"/>
      <c r="VDN80" s="609"/>
      <c r="VDO80" s="609"/>
      <c r="VDP80" s="609"/>
      <c r="VDQ80" s="609"/>
      <c r="VDR80" s="609"/>
      <c r="VDS80" s="609"/>
      <c r="VDT80" s="609"/>
      <c r="VDU80" s="609"/>
      <c r="VDV80" s="609"/>
      <c r="VDW80" s="609"/>
      <c r="VDX80" s="609"/>
      <c r="VDY80" s="609"/>
      <c r="VDZ80" s="609"/>
      <c r="VEA80" s="609"/>
      <c r="VEB80" s="609"/>
      <c r="VEC80" s="609"/>
      <c r="VED80" s="609"/>
      <c r="VEE80" s="609"/>
      <c r="VEF80" s="609"/>
      <c r="VEG80" s="609"/>
      <c r="VEH80" s="609"/>
      <c r="VEI80" s="609"/>
      <c r="VEJ80" s="609"/>
      <c r="VEK80" s="609"/>
      <c r="VEL80" s="609"/>
      <c r="VEM80" s="609"/>
      <c r="VEN80" s="609"/>
      <c r="VEO80" s="609"/>
      <c r="VEP80" s="609"/>
      <c r="VEQ80" s="609"/>
      <c r="VER80" s="609"/>
      <c r="VES80" s="609"/>
      <c r="VET80" s="609"/>
      <c r="VEU80" s="609"/>
      <c r="VEV80" s="609"/>
      <c r="VEW80" s="609"/>
      <c r="VEX80" s="609"/>
      <c r="VEY80" s="609"/>
      <c r="VEZ80" s="609"/>
      <c r="VFA80" s="609"/>
      <c r="VFB80" s="609"/>
      <c r="VFC80" s="609"/>
      <c r="VFD80" s="609"/>
      <c r="VFE80" s="609"/>
      <c r="VFF80" s="609"/>
      <c r="VFG80" s="609"/>
      <c r="VFH80" s="609"/>
      <c r="VFI80" s="609"/>
      <c r="VFJ80" s="609"/>
      <c r="VFK80" s="609"/>
      <c r="VFL80" s="609"/>
      <c r="VFM80" s="609"/>
      <c r="VFN80" s="609"/>
      <c r="VFO80" s="609"/>
      <c r="VFP80" s="609"/>
      <c r="VFQ80" s="609"/>
      <c r="VFR80" s="609"/>
      <c r="VFS80" s="609"/>
      <c r="VFT80" s="609"/>
      <c r="VFU80" s="609"/>
      <c r="VFV80" s="609"/>
      <c r="VFW80" s="609"/>
      <c r="VFX80" s="609"/>
      <c r="VFY80" s="609"/>
      <c r="VFZ80" s="609"/>
      <c r="VGA80" s="609"/>
      <c r="VGB80" s="609"/>
      <c r="VGC80" s="609"/>
      <c r="VGD80" s="609"/>
      <c r="VGE80" s="609"/>
      <c r="VGF80" s="609"/>
      <c r="VGG80" s="609"/>
      <c r="VGH80" s="609"/>
      <c r="VGI80" s="609"/>
      <c r="VGJ80" s="609"/>
      <c r="VGK80" s="609"/>
      <c r="VGL80" s="609"/>
      <c r="VGM80" s="609"/>
      <c r="VGN80" s="609"/>
      <c r="VGO80" s="609"/>
      <c r="VGP80" s="609"/>
      <c r="VGQ80" s="609"/>
      <c r="VGR80" s="609"/>
      <c r="VGS80" s="609"/>
      <c r="VGT80" s="609"/>
      <c r="VGU80" s="609"/>
      <c r="VGV80" s="609"/>
      <c r="VGW80" s="609"/>
      <c r="VGX80" s="609"/>
      <c r="VGY80" s="609"/>
      <c r="VGZ80" s="609"/>
      <c r="VHA80" s="609"/>
      <c r="VHB80" s="609"/>
      <c r="VHC80" s="609"/>
      <c r="VHD80" s="609"/>
      <c r="VHE80" s="609"/>
      <c r="VHF80" s="609"/>
      <c r="VHG80" s="609"/>
      <c r="VHH80" s="609"/>
      <c r="VHI80" s="609"/>
      <c r="VHJ80" s="609"/>
      <c r="VHK80" s="609"/>
      <c r="VHL80" s="609"/>
      <c r="VHM80" s="609"/>
      <c r="VHN80" s="609"/>
      <c r="VHO80" s="609"/>
      <c r="VHP80" s="609"/>
      <c r="VHQ80" s="609"/>
      <c r="VHR80" s="609"/>
      <c r="VHS80" s="609"/>
      <c r="VHT80" s="609"/>
      <c r="VHU80" s="609"/>
      <c r="VHV80" s="609"/>
      <c r="VHW80" s="609"/>
      <c r="VHX80" s="609"/>
      <c r="VHY80" s="609"/>
      <c r="VHZ80" s="609"/>
      <c r="VIA80" s="609"/>
      <c r="VIB80" s="609"/>
      <c r="VIC80" s="609"/>
      <c r="VID80" s="609"/>
      <c r="VIE80" s="609"/>
      <c r="VIF80" s="609"/>
      <c r="VIG80" s="609"/>
      <c r="VIH80" s="609"/>
      <c r="VII80" s="609"/>
      <c r="VIJ80" s="609"/>
      <c r="VIK80" s="609"/>
      <c r="VIL80" s="609"/>
      <c r="VIM80" s="609"/>
      <c r="VIN80" s="609"/>
      <c r="VIO80" s="609"/>
      <c r="VIP80" s="609"/>
      <c r="VIQ80" s="609"/>
      <c r="VIR80" s="609"/>
      <c r="VIS80" s="609"/>
      <c r="VIT80" s="609"/>
      <c r="VIU80" s="609"/>
      <c r="VIV80" s="609"/>
      <c r="VIW80" s="609"/>
      <c r="VIX80" s="609"/>
      <c r="VIY80" s="609"/>
      <c r="VIZ80" s="609"/>
      <c r="VJA80" s="609"/>
      <c r="VJB80" s="609"/>
      <c r="VJC80" s="609"/>
      <c r="VJD80" s="609"/>
      <c r="VJE80" s="609"/>
      <c r="VJF80" s="609"/>
      <c r="VJG80" s="609"/>
      <c r="VJH80" s="609"/>
      <c r="VJI80" s="609"/>
      <c r="VJJ80" s="609"/>
      <c r="VJK80" s="609"/>
      <c r="VJL80" s="609"/>
      <c r="VJM80" s="609"/>
      <c r="VJN80" s="609"/>
      <c r="VJO80" s="609"/>
      <c r="VJP80" s="609"/>
      <c r="VJQ80" s="609"/>
      <c r="VJR80" s="609"/>
      <c r="VJS80" s="609"/>
      <c r="VJT80" s="609"/>
      <c r="VJU80" s="609"/>
      <c r="VJV80" s="609"/>
      <c r="VJW80" s="609"/>
      <c r="VJX80" s="609"/>
      <c r="VJY80" s="609"/>
      <c r="VJZ80" s="609"/>
      <c r="VKA80" s="609"/>
      <c r="VKB80" s="609"/>
      <c r="VKC80" s="609"/>
      <c r="VKD80" s="609"/>
      <c r="VKE80" s="609"/>
      <c r="VKF80" s="609"/>
      <c r="VKG80" s="609"/>
      <c r="VKH80" s="609"/>
      <c r="VKI80" s="609"/>
      <c r="VKJ80" s="609"/>
      <c r="VKK80" s="609"/>
      <c r="VKL80" s="609"/>
      <c r="VKM80" s="609"/>
      <c r="VKN80" s="609"/>
      <c r="VKO80" s="609"/>
      <c r="VKP80" s="609"/>
      <c r="VKQ80" s="609"/>
      <c r="VKR80" s="609"/>
      <c r="VKS80" s="609"/>
      <c r="VKT80" s="609"/>
      <c r="VKU80" s="609"/>
      <c r="VKV80" s="609"/>
      <c r="VKW80" s="609"/>
      <c r="VKX80" s="609"/>
      <c r="VKY80" s="609"/>
      <c r="VKZ80" s="609"/>
      <c r="VLA80" s="609"/>
      <c r="VLB80" s="609"/>
      <c r="VLC80" s="609"/>
      <c r="VLD80" s="609"/>
      <c r="VLE80" s="609"/>
      <c r="VLF80" s="609"/>
      <c r="VLG80" s="609"/>
      <c r="VLH80" s="609"/>
      <c r="VLI80" s="609"/>
      <c r="VLJ80" s="609"/>
      <c r="VLK80" s="609"/>
      <c r="VLL80" s="609"/>
      <c r="VLM80" s="609"/>
      <c r="VLN80" s="609"/>
      <c r="VLO80" s="609"/>
      <c r="VLP80" s="609"/>
      <c r="VLQ80" s="609"/>
      <c r="VLR80" s="609"/>
      <c r="VLS80" s="609"/>
      <c r="VLT80" s="609"/>
      <c r="VLU80" s="609"/>
      <c r="VLV80" s="609"/>
      <c r="VLW80" s="609"/>
      <c r="VLX80" s="609"/>
      <c r="VLY80" s="609"/>
      <c r="VLZ80" s="609"/>
      <c r="VMA80" s="609"/>
      <c r="VMB80" s="609"/>
      <c r="VMC80" s="609"/>
      <c r="VMD80" s="609"/>
      <c r="VME80" s="609"/>
      <c r="VMF80" s="609"/>
      <c r="VMG80" s="609"/>
      <c r="VMH80" s="609"/>
      <c r="VMI80" s="609"/>
      <c r="VMJ80" s="609"/>
      <c r="VMK80" s="609"/>
      <c r="VML80" s="609"/>
      <c r="VMM80" s="609"/>
      <c r="VMN80" s="609"/>
      <c r="VMO80" s="609"/>
      <c r="VMP80" s="609"/>
      <c r="VMQ80" s="609"/>
      <c r="VMR80" s="609"/>
      <c r="VMS80" s="609"/>
      <c r="VMT80" s="609"/>
      <c r="VMU80" s="609"/>
      <c r="VMV80" s="609"/>
      <c r="VMW80" s="609"/>
      <c r="VMX80" s="609"/>
      <c r="VMY80" s="609"/>
      <c r="VMZ80" s="609"/>
      <c r="VNA80" s="609"/>
      <c r="VNB80" s="609"/>
      <c r="VNC80" s="609"/>
      <c r="VND80" s="609"/>
      <c r="VNE80" s="609"/>
      <c r="VNF80" s="609"/>
      <c r="VNG80" s="609"/>
      <c r="VNH80" s="609"/>
      <c r="VNI80" s="609"/>
      <c r="VNJ80" s="609"/>
      <c r="VNK80" s="609"/>
      <c r="VNL80" s="609"/>
      <c r="VNM80" s="609"/>
      <c r="VNN80" s="609"/>
      <c r="VNO80" s="609"/>
      <c r="VNP80" s="609"/>
      <c r="VNQ80" s="609"/>
      <c r="VNR80" s="609"/>
      <c r="VNS80" s="609"/>
      <c r="VNT80" s="609"/>
      <c r="VNU80" s="609"/>
      <c r="VNV80" s="609"/>
      <c r="VNW80" s="609"/>
      <c r="VNX80" s="609"/>
      <c r="VNY80" s="609"/>
      <c r="VNZ80" s="609"/>
      <c r="VOA80" s="609"/>
      <c r="VOB80" s="609"/>
      <c r="VOC80" s="609"/>
      <c r="VOD80" s="609"/>
      <c r="VOE80" s="609"/>
      <c r="VOF80" s="609"/>
      <c r="VOG80" s="609"/>
      <c r="VOH80" s="609"/>
      <c r="VOI80" s="609"/>
      <c r="VOJ80" s="609"/>
      <c r="VOK80" s="609"/>
      <c r="VOL80" s="609"/>
      <c r="VOM80" s="609"/>
      <c r="VON80" s="609"/>
      <c r="VOO80" s="609"/>
      <c r="VOP80" s="609"/>
      <c r="VOQ80" s="609"/>
      <c r="VOR80" s="609"/>
      <c r="VOS80" s="609"/>
      <c r="VOT80" s="609"/>
      <c r="VOU80" s="609"/>
      <c r="VOV80" s="609"/>
      <c r="VOW80" s="609"/>
      <c r="VOX80" s="609"/>
      <c r="VOY80" s="609"/>
      <c r="VOZ80" s="609"/>
      <c r="VPA80" s="609"/>
      <c r="VPB80" s="609"/>
      <c r="VPC80" s="609"/>
      <c r="VPD80" s="609"/>
      <c r="VPE80" s="609"/>
      <c r="VPF80" s="609"/>
      <c r="VPG80" s="609"/>
      <c r="VPH80" s="609"/>
      <c r="VPI80" s="609"/>
      <c r="VPJ80" s="609"/>
      <c r="VPK80" s="609"/>
      <c r="VPL80" s="609"/>
      <c r="VPM80" s="609"/>
      <c r="VPN80" s="609"/>
      <c r="VPO80" s="609"/>
      <c r="VPP80" s="609"/>
      <c r="VPQ80" s="609"/>
      <c r="VPR80" s="609"/>
      <c r="VPS80" s="609"/>
      <c r="VPT80" s="609"/>
      <c r="VPU80" s="609"/>
      <c r="VPV80" s="609"/>
      <c r="VPW80" s="609"/>
      <c r="VPX80" s="609"/>
      <c r="VPY80" s="609"/>
      <c r="VPZ80" s="609"/>
      <c r="VQA80" s="609"/>
      <c r="VQB80" s="609"/>
      <c r="VQC80" s="609"/>
      <c r="VQD80" s="609"/>
      <c r="VQE80" s="609"/>
      <c r="VQF80" s="609"/>
      <c r="VQG80" s="609"/>
      <c r="VQH80" s="609"/>
      <c r="VQI80" s="609"/>
      <c r="VQJ80" s="609"/>
      <c r="VQK80" s="609"/>
      <c r="VQL80" s="609"/>
      <c r="VQM80" s="609"/>
      <c r="VQN80" s="609"/>
      <c r="VQO80" s="609"/>
      <c r="VQP80" s="609"/>
      <c r="VQQ80" s="609"/>
      <c r="VQR80" s="609"/>
      <c r="VQS80" s="609"/>
      <c r="VQT80" s="609"/>
      <c r="VQU80" s="609"/>
      <c r="VQV80" s="609"/>
      <c r="VQW80" s="609"/>
      <c r="VQX80" s="609"/>
      <c r="VQY80" s="609"/>
      <c r="VQZ80" s="609"/>
      <c r="VRA80" s="609"/>
      <c r="VRB80" s="609"/>
      <c r="VRC80" s="609"/>
      <c r="VRD80" s="609"/>
      <c r="VRE80" s="609"/>
      <c r="VRF80" s="609"/>
      <c r="VRG80" s="609"/>
      <c r="VRH80" s="609"/>
      <c r="VRI80" s="609"/>
      <c r="VRJ80" s="609"/>
      <c r="VRK80" s="609"/>
      <c r="VRL80" s="609"/>
      <c r="VRM80" s="609"/>
      <c r="VRN80" s="609"/>
      <c r="VRO80" s="609"/>
      <c r="VRP80" s="609"/>
      <c r="VRQ80" s="609"/>
      <c r="VRR80" s="609"/>
      <c r="VRS80" s="609"/>
      <c r="VRT80" s="609"/>
      <c r="VRU80" s="609"/>
      <c r="VRV80" s="609"/>
      <c r="VRW80" s="609"/>
      <c r="VRX80" s="609"/>
      <c r="VRY80" s="609"/>
      <c r="VRZ80" s="609"/>
      <c r="VSA80" s="609"/>
      <c r="VSB80" s="609"/>
      <c r="VSC80" s="609"/>
      <c r="VSD80" s="609"/>
      <c r="VSE80" s="609"/>
      <c r="VSF80" s="609"/>
      <c r="VSG80" s="609"/>
      <c r="VSH80" s="609"/>
      <c r="VSI80" s="609"/>
      <c r="VSJ80" s="609"/>
      <c r="VSK80" s="609"/>
      <c r="VSL80" s="609"/>
      <c r="VSM80" s="609"/>
      <c r="VSN80" s="609"/>
      <c r="VSO80" s="609"/>
      <c r="VSP80" s="609"/>
      <c r="VSQ80" s="609"/>
      <c r="VSR80" s="609"/>
      <c r="VSS80" s="609"/>
      <c r="VST80" s="609"/>
      <c r="VSU80" s="609"/>
      <c r="VSV80" s="609"/>
      <c r="VSW80" s="609"/>
      <c r="VSX80" s="609"/>
      <c r="VSY80" s="609"/>
      <c r="VSZ80" s="609"/>
      <c r="VTA80" s="609"/>
      <c r="VTB80" s="609"/>
      <c r="VTC80" s="609"/>
      <c r="VTD80" s="609"/>
      <c r="VTE80" s="609"/>
      <c r="VTF80" s="609"/>
      <c r="VTG80" s="609"/>
      <c r="VTH80" s="609"/>
      <c r="VTI80" s="609"/>
      <c r="VTJ80" s="609"/>
      <c r="VTK80" s="609"/>
      <c r="VTL80" s="609"/>
      <c r="VTM80" s="609"/>
      <c r="VTN80" s="609"/>
      <c r="VTO80" s="609"/>
      <c r="VTP80" s="609"/>
      <c r="VTQ80" s="609"/>
      <c r="VTR80" s="609"/>
      <c r="VTS80" s="609"/>
      <c r="VTT80" s="609"/>
      <c r="VTU80" s="609"/>
      <c r="VTV80" s="609"/>
      <c r="VTW80" s="609"/>
      <c r="VTX80" s="609"/>
      <c r="VTY80" s="609"/>
      <c r="VTZ80" s="609"/>
      <c r="VUA80" s="609"/>
      <c r="VUB80" s="609"/>
      <c r="VUC80" s="609"/>
      <c r="VUD80" s="609"/>
      <c r="VUE80" s="609"/>
      <c r="VUF80" s="609"/>
      <c r="VUG80" s="609"/>
      <c r="VUH80" s="609"/>
      <c r="VUI80" s="609"/>
      <c r="VUJ80" s="609"/>
      <c r="VUK80" s="609"/>
      <c r="VUL80" s="609"/>
      <c r="VUM80" s="609"/>
      <c r="VUN80" s="609"/>
      <c r="VUO80" s="609"/>
      <c r="VUP80" s="609"/>
      <c r="VUQ80" s="609"/>
      <c r="VUR80" s="609"/>
      <c r="VUS80" s="609"/>
      <c r="VUT80" s="609"/>
      <c r="VUU80" s="609"/>
      <c r="VUV80" s="609"/>
      <c r="VUW80" s="609"/>
      <c r="VUX80" s="609"/>
      <c r="VUY80" s="609"/>
      <c r="VUZ80" s="609"/>
      <c r="VVA80" s="609"/>
      <c r="VVB80" s="609"/>
      <c r="VVC80" s="609"/>
      <c r="VVD80" s="609"/>
      <c r="VVE80" s="609"/>
      <c r="VVF80" s="609"/>
      <c r="VVG80" s="609"/>
      <c r="VVH80" s="609"/>
      <c r="VVI80" s="609"/>
      <c r="VVJ80" s="609"/>
      <c r="VVK80" s="609"/>
      <c r="VVL80" s="609"/>
      <c r="VVM80" s="609"/>
      <c r="VVN80" s="609"/>
      <c r="VVO80" s="609"/>
      <c r="VVP80" s="609"/>
      <c r="VVQ80" s="609"/>
      <c r="VVR80" s="609"/>
      <c r="VVS80" s="609"/>
      <c r="VVT80" s="609"/>
      <c r="VVU80" s="609"/>
      <c r="VVV80" s="609"/>
      <c r="VVW80" s="609"/>
      <c r="VVX80" s="609"/>
      <c r="VVY80" s="609"/>
      <c r="VVZ80" s="609"/>
      <c r="VWA80" s="609"/>
      <c r="VWB80" s="609"/>
      <c r="VWC80" s="609"/>
      <c r="VWD80" s="609"/>
      <c r="VWE80" s="609"/>
      <c r="VWF80" s="609"/>
      <c r="VWG80" s="609"/>
      <c r="VWH80" s="609"/>
      <c r="VWI80" s="609"/>
      <c r="VWJ80" s="609"/>
      <c r="VWK80" s="609"/>
      <c r="VWL80" s="609"/>
      <c r="VWM80" s="609"/>
      <c r="VWN80" s="609"/>
      <c r="VWO80" s="609"/>
      <c r="VWP80" s="609"/>
      <c r="VWQ80" s="609"/>
      <c r="VWR80" s="609"/>
      <c r="VWS80" s="609"/>
      <c r="VWT80" s="609"/>
      <c r="VWU80" s="609"/>
      <c r="VWV80" s="609"/>
      <c r="VWW80" s="609"/>
      <c r="VWX80" s="609"/>
      <c r="VWY80" s="609"/>
      <c r="VWZ80" s="609"/>
      <c r="VXA80" s="609"/>
      <c r="VXB80" s="609"/>
      <c r="VXC80" s="609"/>
      <c r="VXD80" s="609"/>
      <c r="VXE80" s="609"/>
      <c r="VXF80" s="609"/>
      <c r="VXG80" s="609"/>
      <c r="VXH80" s="609"/>
      <c r="VXI80" s="609"/>
      <c r="VXJ80" s="609"/>
      <c r="VXK80" s="609"/>
      <c r="VXL80" s="609"/>
      <c r="VXM80" s="609"/>
      <c r="VXN80" s="609"/>
      <c r="VXO80" s="609"/>
      <c r="VXP80" s="609"/>
      <c r="VXQ80" s="609"/>
      <c r="VXR80" s="609"/>
      <c r="VXS80" s="609"/>
      <c r="VXT80" s="609"/>
      <c r="VXU80" s="609"/>
      <c r="VXV80" s="609"/>
      <c r="VXW80" s="609"/>
      <c r="VXX80" s="609"/>
      <c r="VXY80" s="609"/>
      <c r="VXZ80" s="609"/>
      <c r="VYA80" s="609"/>
      <c r="VYB80" s="609"/>
      <c r="VYC80" s="609"/>
      <c r="VYD80" s="609"/>
      <c r="VYE80" s="609"/>
      <c r="VYF80" s="609"/>
      <c r="VYG80" s="609"/>
      <c r="VYH80" s="609"/>
      <c r="VYI80" s="609"/>
      <c r="VYJ80" s="609"/>
      <c r="VYK80" s="609"/>
      <c r="VYL80" s="609"/>
      <c r="VYM80" s="609"/>
      <c r="VYN80" s="609"/>
      <c r="VYO80" s="609"/>
      <c r="VYP80" s="609"/>
      <c r="VYQ80" s="609"/>
      <c r="VYR80" s="609"/>
      <c r="VYS80" s="609"/>
      <c r="VYT80" s="609"/>
      <c r="VYU80" s="609"/>
      <c r="VYV80" s="609"/>
      <c r="VYW80" s="609"/>
      <c r="VYX80" s="609"/>
      <c r="VYY80" s="609"/>
      <c r="VYZ80" s="609"/>
      <c r="VZA80" s="609"/>
      <c r="VZB80" s="609"/>
      <c r="VZC80" s="609"/>
      <c r="VZD80" s="609"/>
      <c r="VZE80" s="609"/>
      <c r="VZF80" s="609"/>
      <c r="VZG80" s="609"/>
      <c r="VZH80" s="609"/>
      <c r="VZI80" s="609"/>
      <c r="VZJ80" s="609"/>
      <c r="VZK80" s="609"/>
      <c r="VZL80" s="609"/>
      <c r="VZM80" s="609"/>
      <c r="VZN80" s="609"/>
      <c r="VZO80" s="609"/>
      <c r="VZP80" s="609"/>
      <c r="VZQ80" s="609"/>
      <c r="VZR80" s="609"/>
      <c r="VZS80" s="609"/>
      <c r="VZT80" s="609"/>
      <c r="VZU80" s="609"/>
      <c r="VZV80" s="609"/>
      <c r="VZW80" s="609"/>
      <c r="VZX80" s="609"/>
      <c r="VZY80" s="609"/>
      <c r="VZZ80" s="609"/>
      <c r="WAA80" s="609"/>
      <c r="WAB80" s="609"/>
      <c r="WAC80" s="609"/>
      <c r="WAD80" s="609"/>
      <c r="WAE80" s="609"/>
      <c r="WAF80" s="609"/>
      <c r="WAG80" s="609"/>
      <c r="WAH80" s="609"/>
      <c r="WAI80" s="609"/>
      <c r="WAJ80" s="609"/>
      <c r="WAK80" s="609"/>
      <c r="WAL80" s="609"/>
      <c r="WAM80" s="609"/>
      <c r="WAN80" s="609"/>
      <c r="WAO80" s="609"/>
      <c r="WAP80" s="609"/>
      <c r="WAQ80" s="609"/>
      <c r="WAR80" s="609"/>
      <c r="WAS80" s="609"/>
      <c r="WAT80" s="609"/>
      <c r="WAU80" s="609"/>
      <c r="WAV80" s="609"/>
      <c r="WAW80" s="609"/>
      <c r="WAX80" s="609"/>
      <c r="WAY80" s="609"/>
      <c r="WAZ80" s="609"/>
      <c r="WBA80" s="609"/>
      <c r="WBB80" s="609"/>
      <c r="WBC80" s="609"/>
      <c r="WBD80" s="609"/>
      <c r="WBE80" s="609"/>
      <c r="WBF80" s="609"/>
      <c r="WBG80" s="609"/>
      <c r="WBH80" s="609"/>
      <c r="WBI80" s="609"/>
      <c r="WBJ80" s="609"/>
      <c r="WBK80" s="609"/>
      <c r="WBL80" s="609"/>
      <c r="WBM80" s="609"/>
      <c r="WBN80" s="609"/>
      <c r="WBO80" s="609"/>
      <c r="WBP80" s="609"/>
      <c r="WBQ80" s="609"/>
      <c r="WBR80" s="609"/>
      <c r="WBS80" s="609"/>
      <c r="WBT80" s="609"/>
      <c r="WBU80" s="609"/>
      <c r="WBV80" s="609"/>
      <c r="WBW80" s="609"/>
      <c r="WBX80" s="609"/>
      <c r="WBY80" s="609"/>
      <c r="WBZ80" s="609"/>
      <c r="WCA80" s="609"/>
      <c r="WCB80" s="609"/>
      <c r="WCC80" s="609"/>
      <c r="WCD80" s="609"/>
      <c r="WCE80" s="609"/>
      <c r="WCF80" s="609"/>
      <c r="WCG80" s="609"/>
      <c r="WCH80" s="609"/>
      <c r="WCI80" s="609"/>
      <c r="WCJ80" s="609"/>
      <c r="WCK80" s="609"/>
      <c r="WCL80" s="609"/>
      <c r="WCM80" s="609"/>
      <c r="WCN80" s="609"/>
      <c r="WCO80" s="609"/>
      <c r="WCP80" s="609"/>
      <c r="WCQ80" s="609"/>
      <c r="WCR80" s="609"/>
      <c r="WCS80" s="609"/>
      <c r="WCT80" s="609"/>
      <c r="WCU80" s="609"/>
      <c r="WCV80" s="609"/>
      <c r="WCW80" s="609"/>
      <c r="WCX80" s="609"/>
      <c r="WCY80" s="609"/>
      <c r="WCZ80" s="609"/>
      <c r="WDA80" s="609"/>
      <c r="WDB80" s="609"/>
      <c r="WDC80" s="609"/>
      <c r="WDD80" s="609"/>
      <c r="WDE80" s="609"/>
      <c r="WDF80" s="609"/>
      <c r="WDG80" s="609"/>
      <c r="WDH80" s="609"/>
      <c r="WDI80" s="609"/>
      <c r="WDJ80" s="609"/>
      <c r="WDK80" s="609"/>
      <c r="WDL80" s="609"/>
      <c r="WDM80" s="609"/>
      <c r="WDN80" s="609"/>
      <c r="WDO80" s="609"/>
      <c r="WDP80" s="609"/>
      <c r="WDQ80" s="609"/>
      <c r="WDR80" s="609"/>
      <c r="WDS80" s="609"/>
      <c r="WDT80" s="609"/>
      <c r="WDU80" s="609"/>
      <c r="WDV80" s="609"/>
      <c r="WDW80" s="609"/>
      <c r="WDX80" s="609"/>
      <c r="WDY80" s="609"/>
      <c r="WDZ80" s="609"/>
      <c r="WEA80" s="609"/>
      <c r="WEB80" s="609"/>
      <c r="WEC80" s="609"/>
      <c r="WED80" s="609"/>
      <c r="WEE80" s="609"/>
      <c r="WEF80" s="609"/>
      <c r="WEG80" s="609"/>
      <c r="WEH80" s="609"/>
      <c r="WEI80" s="609"/>
      <c r="WEJ80" s="609"/>
      <c r="WEK80" s="609"/>
      <c r="WEL80" s="609"/>
      <c r="WEM80" s="609"/>
      <c r="WEN80" s="609"/>
      <c r="WEO80" s="609"/>
      <c r="WEP80" s="609"/>
      <c r="WEQ80" s="609"/>
      <c r="WER80" s="609"/>
      <c r="WES80" s="609"/>
      <c r="WET80" s="609"/>
      <c r="WEU80" s="609"/>
      <c r="WEV80" s="609"/>
      <c r="WEW80" s="609"/>
      <c r="WEX80" s="609"/>
      <c r="WEY80" s="609"/>
      <c r="WEZ80" s="609"/>
      <c r="WFA80" s="609"/>
      <c r="WFB80" s="609"/>
      <c r="WFC80" s="609"/>
      <c r="WFD80" s="609"/>
      <c r="WFE80" s="609"/>
      <c r="WFF80" s="609"/>
      <c r="WFG80" s="609"/>
      <c r="WFH80" s="609"/>
      <c r="WFI80" s="609"/>
      <c r="WFJ80" s="609"/>
      <c r="WFK80" s="609"/>
      <c r="WFL80" s="609"/>
      <c r="WFM80" s="609"/>
      <c r="WFN80" s="609"/>
      <c r="WFO80" s="609"/>
      <c r="WFP80" s="609"/>
      <c r="WFQ80" s="609"/>
      <c r="WFR80" s="609"/>
      <c r="WFS80" s="609"/>
      <c r="WFT80" s="609"/>
      <c r="WFU80" s="609"/>
      <c r="WFV80" s="609"/>
      <c r="WFW80" s="609"/>
      <c r="WFX80" s="609"/>
      <c r="WFY80" s="609"/>
      <c r="WFZ80" s="609"/>
      <c r="WGA80" s="609"/>
      <c r="WGB80" s="609"/>
      <c r="WGC80" s="609"/>
      <c r="WGD80" s="609"/>
      <c r="WGE80" s="609"/>
      <c r="WGF80" s="609"/>
      <c r="WGG80" s="609"/>
      <c r="WGH80" s="609"/>
      <c r="WGI80" s="609"/>
      <c r="WGJ80" s="609"/>
      <c r="WGK80" s="609"/>
      <c r="WGL80" s="609"/>
      <c r="WGM80" s="609"/>
      <c r="WGN80" s="609"/>
      <c r="WGO80" s="609"/>
      <c r="WGP80" s="609"/>
      <c r="WGQ80" s="609"/>
      <c r="WGR80" s="609"/>
      <c r="WGS80" s="609"/>
      <c r="WGT80" s="609"/>
      <c r="WGU80" s="609"/>
      <c r="WGV80" s="609"/>
      <c r="WGW80" s="609"/>
      <c r="WGX80" s="609"/>
      <c r="WGY80" s="609"/>
      <c r="WGZ80" s="609"/>
      <c r="WHA80" s="609"/>
      <c r="WHB80" s="609"/>
      <c r="WHC80" s="609"/>
      <c r="WHD80" s="609"/>
      <c r="WHE80" s="609"/>
      <c r="WHF80" s="609"/>
      <c r="WHG80" s="609"/>
      <c r="WHH80" s="609"/>
      <c r="WHI80" s="609"/>
      <c r="WHJ80" s="609"/>
      <c r="WHK80" s="609"/>
      <c r="WHL80" s="609"/>
      <c r="WHM80" s="609"/>
      <c r="WHN80" s="609"/>
      <c r="WHO80" s="609"/>
      <c r="WHP80" s="609"/>
      <c r="WHQ80" s="609"/>
      <c r="WHR80" s="609"/>
      <c r="WHS80" s="609"/>
      <c r="WHT80" s="609"/>
      <c r="WHU80" s="609"/>
      <c r="WHV80" s="609"/>
      <c r="WHW80" s="609"/>
      <c r="WHX80" s="609"/>
      <c r="WHY80" s="609"/>
      <c r="WHZ80" s="609"/>
      <c r="WIA80" s="609"/>
      <c r="WIB80" s="609"/>
      <c r="WIC80" s="609"/>
      <c r="WID80" s="609"/>
      <c r="WIE80" s="609"/>
      <c r="WIF80" s="609"/>
      <c r="WIG80" s="609"/>
      <c r="WIH80" s="609"/>
      <c r="WII80" s="609"/>
      <c r="WIJ80" s="609"/>
      <c r="WIK80" s="609"/>
      <c r="WIL80" s="609"/>
      <c r="WIM80" s="609"/>
      <c r="WIN80" s="609"/>
      <c r="WIO80" s="609"/>
      <c r="WIP80" s="609"/>
      <c r="WIQ80" s="609"/>
      <c r="WIR80" s="609"/>
      <c r="WIS80" s="609"/>
      <c r="WIT80" s="609"/>
      <c r="WIU80" s="609"/>
      <c r="WIV80" s="609"/>
      <c r="WIW80" s="609"/>
      <c r="WIX80" s="609"/>
      <c r="WIY80" s="609"/>
      <c r="WIZ80" s="609"/>
      <c r="WJA80" s="609"/>
      <c r="WJB80" s="609"/>
      <c r="WJC80" s="609"/>
      <c r="WJD80" s="609"/>
      <c r="WJE80" s="609"/>
      <c r="WJF80" s="609"/>
      <c r="WJG80" s="609"/>
      <c r="WJH80" s="609"/>
      <c r="WJI80" s="609"/>
      <c r="WJJ80" s="609"/>
      <c r="WJK80" s="609"/>
      <c r="WJL80" s="609"/>
      <c r="WJM80" s="609"/>
      <c r="WJN80" s="609"/>
      <c r="WJO80" s="609"/>
      <c r="WJP80" s="609"/>
      <c r="WJQ80" s="609"/>
      <c r="WJR80" s="609"/>
      <c r="WJS80" s="609"/>
      <c r="WJT80" s="609"/>
      <c r="WJU80" s="609"/>
      <c r="WJV80" s="609"/>
      <c r="WJW80" s="609"/>
      <c r="WJX80" s="609"/>
      <c r="WJY80" s="609"/>
      <c r="WJZ80" s="609"/>
      <c r="WKA80" s="609"/>
      <c r="WKB80" s="609"/>
      <c r="WKC80" s="609"/>
      <c r="WKD80" s="609"/>
      <c r="WKE80" s="609"/>
      <c r="WKF80" s="609"/>
      <c r="WKG80" s="609"/>
      <c r="WKH80" s="609"/>
      <c r="WKI80" s="609"/>
      <c r="WKJ80" s="609"/>
      <c r="WKK80" s="609"/>
      <c r="WKL80" s="609"/>
      <c r="WKM80" s="609"/>
      <c r="WKN80" s="609"/>
      <c r="WKO80" s="609"/>
      <c r="WKP80" s="609"/>
      <c r="WKQ80" s="609"/>
      <c r="WKR80" s="609"/>
      <c r="WKS80" s="609"/>
      <c r="WKT80" s="609"/>
      <c r="WKU80" s="609"/>
      <c r="WKV80" s="609"/>
      <c r="WKW80" s="609"/>
      <c r="WKX80" s="609"/>
      <c r="WKY80" s="609"/>
      <c r="WKZ80" s="609"/>
      <c r="WLA80" s="609"/>
      <c r="WLB80" s="609"/>
      <c r="WLC80" s="609"/>
      <c r="WLD80" s="609"/>
      <c r="WLE80" s="609"/>
      <c r="WLF80" s="609"/>
      <c r="WLG80" s="609"/>
      <c r="WLH80" s="609"/>
      <c r="WLI80" s="609"/>
      <c r="WLJ80" s="609"/>
      <c r="WLK80" s="609"/>
      <c r="WLL80" s="609"/>
      <c r="WLM80" s="609"/>
      <c r="WLN80" s="609"/>
      <c r="WLO80" s="609"/>
      <c r="WLP80" s="609"/>
      <c r="WLQ80" s="609"/>
      <c r="WLR80" s="609"/>
      <c r="WLS80" s="609"/>
      <c r="WLT80" s="609"/>
      <c r="WLU80" s="609"/>
      <c r="WLV80" s="609"/>
      <c r="WLW80" s="609"/>
      <c r="WLX80" s="609"/>
      <c r="WLY80" s="609"/>
      <c r="WLZ80" s="609"/>
      <c r="WMA80" s="609"/>
      <c r="WMB80" s="609"/>
      <c r="WMC80" s="609"/>
      <c r="WMD80" s="609"/>
      <c r="WME80" s="609"/>
      <c r="WMF80" s="609"/>
      <c r="WMG80" s="609"/>
      <c r="WMH80" s="609"/>
      <c r="WMI80" s="609"/>
      <c r="WMJ80" s="609"/>
      <c r="WMK80" s="609"/>
      <c r="WML80" s="609"/>
      <c r="WMM80" s="609"/>
      <c r="WMN80" s="609"/>
      <c r="WMO80" s="609"/>
      <c r="WMP80" s="609"/>
      <c r="WMQ80" s="609"/>
      <c r="WMR80" s="609"/>
      <c r="WMS80" s="609"/>
      <c r="WMT80" s="609"/>
      <c r="WMU80" s="609"/>
      <c r="WMV80" s="609"/>
      <c r="WMW80" s="609"/>
      <c r="WMX80" s="609"/>
      <c r="WMY80" s="609"/>
      <c r="WMZ80" s="609"/>
      <c r="WNA80" s="609"/>
      <c r="WNB80" s="609"/>
      <c r="WNC80" s="609"/>
      <c r="WND80" s="609"/>
      <c r="WNE80" s="609"/>
      <c r="WNF80" s="609"/>
      <c r="WNG80" s="609"/>
      <c r="WNH80" s="609"/>
      <c r="WNI80" s="609"/>
      <c r="WNJ80" s="609"/>
      <c r="WNK80" s="609"/>
      <c r="WNL80" s="609"/>
      <c r="WNM80" s="609"/>
      <c r="WNN80" s="609"/>
      <c r="WNO80" s="609"/>
      <c r="WNP80" s="609"/>
      <c r="WNQ80" s="609"/>
      <c r="WNR80" s="609"/>
      <c r="WNS80" s="609"/>
      <c r="WNT80" s="609"/>
      <c r="WNU80" s="609"/>
      <c r="WNV80" s="609"/>
      <c r="WNW80" s="609"/>
      <c r="WNX80" s="609"/>
      <c r="WNY80" s="609"/>
      <c r="WNZ80" s="609"/>
      <c r="WOA80" s="609"/>
      <c r="WOB80" s="609"/>
      <c r="WOC80" s="609"/>
      <c r="WOD80" s="609"/>
      <c r="WOE80" s="609"/>
      <c r="WOF80" s="609"/>
      <c r="WOG80" s="609"/>
      <c r="WOH80" s="609"/>
      <c r="WOI80" s="609"/>
      <c r="WOJ80" s="609"/>
      <c r="WOK80" s="609"/>
      <c r="WOL80" s="609"/>
      <c r="WOM80" s="609"/>
      <c r="WON80" s="609"/>
      <c r="WOO80" s="609"/>
      <c r="WOP80" s="609"/>
      <c r="WOQ80" s="609"/>
      <c r="WOR80" s="609"/>
      <c r="WOS80" s="609"/>
      <c r="WOT80" s="609"/>
      <c r="WOU80" s="609"/>
      <c r="WOV80" s="609"/>
      <c r="WOW80" s="609"/>
      <c r="WOX80" s="609"/>
      <c r="WOY80" s="609"/>
      <c r="WOZ80" s="609"/>
      <c r="WPA80" s="609"/>
      <c r="WPB80" s="609"/>
      <c r="WPC80" s="609"/>
      <c r="WPD80" s="609"/>
      <c r="WPE80" s="609"/>
      <c r="WPF80" s="609"/>
      <c r="WPG80" s="609"/>
      <c r="WPH80" s="609"/>
      <c r="WPI80" s="609"/>
      <c r="WPJ80" s="609"/>
      <c r="WPK80" s="609"/>
      <c r="WPL80" s="609"/>
      <c r="WPM80" s="609"/>
      <c r="WPN80" s="609"/>
      <c r="WPO80" s="609"/>
      <c r="WPP80" s="609"/>
      <c r="WPQ80" s="609"/>
      <c r="WPR80" s="609"/>
      <c r="WPS80" s="609"/>
      <c r="WPT80" s="609"/>
      <c r="WPU80" s="609"/>
      <c r="WPV80" s="609"/>
      <c r="WPW80" s="609"/>
      <c r="WPX80" s="609"/>
      <c r="WPY80" s="609"/>
      <c r="WPZ80" s="609"/>
      <c r="WQA80" s="609"/>
      <c r="WQB80" s="609"/>
      <c r="WQC80" s="609"/>
      <c r="WQD80" s="609"/>
      <c r="WQE80" s="609"/>
      <c r="WQF80" s="609"/>
      <c r="WQG80" s="609"/>
      <c r="WQH80" s="609"/>
      <c r="WQI80" s="609"/>
      <c r="WQJ80" s="609"/>
      <c r="WQK80" s="609"/>
      <c r="WQL80" s="609"/>
      <c r="WQM80" s="609"/>
      <c r="WQN80" s="609"/>
      <c r="WQO80" s="609"/>
      <c r="WQP80" s="609"/>
      <c r="WQQ80" s="609"/>
      <c r="WQR80" s="609"/>
      <c r="WQS80" s="609"/>
      <c r="WQT80" s="609"/>
      <c r="WQU80" s="609"/>
      <c r="WQV80" s="609"/>
      <c r="WQW80" s="609"/>
      <c r="WQX80" s="609"/>
      <c r="WQY80" s="609"/>
      <c r="WQZ80" s="609"/>
      <c r="WRA80" s="609"/>
      <c r="WRB80" s="609"/>
      <c r="WRC80" s="609"/>
      <c r="WRD80" s="609"/>
      <c r="WRE80" s="609"/>
      <c r="WRF80" s="609"/>
      <c r="WRG80" s="609"/>
      <c r="WRH80" s="609"/>
      <c r="WRI80" s="609"/>
      <c r="WRJ80" s="609"/>
      <c r="WRK80" s="609"/>
      <c r="WRL80" s="609"/>
      <c r="WRM80" s="609"/>
      <c r="WRN80" s="609"/>
      <c r="WRO80" s="609"/>
      <c r="WRP80" s="609"/>
      <c r="WRQ80" s="609"/>
      <c r="WRR80" s="609"/>
      <c r="WRS80" s="609"/>
      <c r="WRT80" s="609"/>
      <c r="WRU80" s="609"/>
      <c r="WRV80" s="609"/>
      <c r="WRW80" s="609"/>
      <c r="WRX80" s="609"/>
      <c r="WRY80" s="609"/>
      <c r="WRZ80" s="609"/>
      <c r="WSA80" s="609"/>
      <c r="WSB80" s="609"/>
      <c r="WSC80" s="609"/>
      <c r="WSD80" s="609"/>
      <c r="WSE80" s="609"/>
      <c r="WSF80" s="609"/>
      <c r="WSG80" s="609"/>
      <c r="WSH80" s="609"/>
      <c r="WSI80" s="609"/>
      <c r="WSJ80" s="609"/>
      <c r="WSK80" s="609"/>
      <c r="WSL80" s="609"/>
      <c r="WSM80" s="609"/>
      <c r="WSN80" s="609"/>
      <c r="WSO80" s="609"/>
      <c r="WSP80" s="609"/>
      <c r="WSQ80" s="609"/>
      <c r="WSR80" s="609"/>
      <c r="WSS80" s="609"/>
      <c r="WST80" s="609"/>
      <c r="WSU80" s="609"/>
      <c r="WSV80" s="609"/>
      <c r="WSW80" s="609"/>
      <c r="WSX80" s="609"/>
      <c r="WSY80" s="609"/>
      <c r="WSZ80" s="609"/>
      <c r="WTA80" s="609"/>
      <c r="WTB80" s="609"/>
      <c r="WTC80" s="609"/>
      <c r="WTD80" s="609"/>
      <c r="WTE80" s="609"/>
      <c r="WTF80" s="609"/>
      <c r="WTG80" s="609"/>
      <c r="WTH80" s="609"/>
      <c r="WTI80" s="609"/>
      <c r="WTJ80" s="609"/>
      <c r="WTK80" s="609"/>
      <c r="WTL80" s="609"/>
      <c r="WTM80" s="609"/>
      <c r="WTN80" s="609"/>
      <c r="WTO80" s="609"/>
      <c r="WTP80" s="609"/>
      <c r="WTQ80" s="609"/>
      <c r="WTR80" s="609"/>
      <c r="WTS80" s="609"/>
      <c r="WTT80" s="609"/>
      <c r="WTU80" s="609"/>
      <c r="WTV80" s="609"/>
      <c r="WTW80" s="609"/>
      <c r="WTX80" s="609"/>
      <c r="WTY80" s="609"/>
      <c r="WTZ80" s="609"/>
      <c r="WUA80" s="609"/>
      <c r="WUB80" s="609"/>
      <c r="WUC80" s="609"/>
      <c r="WUD80" s="609"/>
      <c r="WUE80" s="609"/>
      <c r="WUF80" s="609"/>
      <c r="WUG80" s="609"/>
      <c r="WUH80" s="609"/>
      <c r="WUI80" s="609"/>
      <c r="WUJ80" s="609"/>
      <c r="WUK80" s="609"/>
      <c r="WUL80" s="609"/>
      <c r="WUM80" s="609"/>
      <c r="WUN80" s="609"/>
      <c r="WUO80" s="609"/>
      <c r="WUP80" s="609"/>
      <c r="WUQ80" s="609"/>
      <c r="WUR80" s="609"/>
      <c r="WUS80" s="609"/>
      <c r="WUT80" s="609"/>
      <c r="WUU80" s="609"/>
      <c r="WUV80" s="609"/>
      <c r="WUW80" s="609"/>
      <c r="WUX80" s="609"/>
      <c r="WUY80" s="609"/>
      <c r="WUZ80" s="609"/>
      <c r="WVA80" s="609"/>
      <c r="WVB80" s="609"/>
      <c r="WVC80" s="609"/>
      <c r="WVD80" s="609"/>
      <c r="WVE80" s="609"/>
      <c r="WVF80" s="609"/>
      <c r="WVG80" s="609"/>
      <c r="WVH80" s="609"/>
      <c r="WVI80" s="609"/>
      <c r="WVJ80" s="609"/>
      <c r="WVK80" s="609"/>
      <c r="WVL80" s="609"/>
      <c r="WVM80" s="609"/>
      <c r="WVN80" s="609"/>
      <c r="WVO80" s="609"/>
      <c r="WVP80" s="609"/>
      <c r="WVQ80" s="609"/>
      <c r="WVR80" s="609"/>
      <c r="WVS80" s="609"/>
      <c r="WVT80" s="609"/>
      <c r="WVU80" s="609"/>
      <c r="WVV80" s="609"/>
      <c r="WVW80" s="609"/>
      <c r="WVX80" s="609"/>
      <c r="WVY80" s="609"/>
      <c r="WVZ80" s="609"/>
      <c r="WWA80" s="609"/>
      <c r="WWB80" s="609"/>
      <c r="WWC80" s="609"/>
      <c r="WWD80" s="609"/>
      <c r="WWE80" s="609"/>
      <c r="WWF80" s="609"/>
      <c r="WWG80" s="609"/>
      <c r="WWH80" s="609"/>
      <c r="WWI80" s="609"/>
      <c r="WWJ80" s="609"/>
      <c r="WWK80" s="609"/>
      <c r="WWL80" s="609"/>
      <c r="WWM80" s="609"/>
      <c r="WWN80" s="609"/>
      <c r="WWO80" s="609"/>
      <c r="WWP80" s="609"/>
      <c r="WWQ80" s="609"/>
      <c r="WWR80" s="609"/>
      <c r="WWS80" s="609"/>
      <c r="WWT80" s="609"/>
      <c r="WWU80" s="609"/>
      <c r="WWV80" s="609"/>
      <c r="WWW80" s="609"/>
      <c r="WWX80" s="609"/>
      <c r="WWY80" s="609"/>
      <c r="WWZ80" s="609"/>
      <c r="WXA80" s="609"/>
      <c r="WXB80" s="609"/>
      <c r="WXC80" s="609"/>
      <c r="WXD80" s="609"/>
      <c r="WXE80" s="609"/>
      <c r="WXF80" s="609"/>
      <c r="WXG80" s="609"/>
      <c r="WXH80" s="609"/>
      <c r="WXI80" s="609"/>
      <c r="WXJ80" s="609"/>
      <c r="WXK80" s="609"/>
      <c r="WXL80" s="609"/>
      <c r="WXM80" s="609"/>
      <c r="WXN80" s="609"/>
      <c r="WXO80" s="609"/>
      <c r="WXP80" s="609"/>
      <c r="WXQ80" s="609"/>
      <c r="WXR80" s="609"/>
      <c r="WXS80" s="609"/>
      <c r="WXT80" s="609"/>
      <c r="WXU80" s="609"/>
      <c r="WXV80" s="609"/>
      <c r="WXW80" s="609"/>
      <c r="WXX80" s="609"/>
      <c r="WXY80" s="609"/>
      <c r="WXZ80" s="609"/>
      <c r="WYA80" s="609"/>
      <c r="WYB80" s="609"/>
      <c r="WYC80" s="609"/>
      <c r="WYD80" s="609"/>
      <c r="WYE80" s="609"/>
      <c r="WYF80" s="609"/>
      <c r="WYG80" s="609"/>
      <c r="WYH80" s="609"/>
      <c r="WYI80" s="609"/>
      <c r="WYJ80" s="609"/>
      <c r="WYK80" s="609"/>
      <c r="WYL80" s="609"/>
      <c r="WYM80" s="609"/>
      <c r="WYN80" s="609"/>
      <c r="WYO80" s="609"/>
      <c r="WYP80" s="609"/>
      <c r="WYQ80" s="609"/>
      <c r="WYR80" s="609"/>
      <c r="WYS80" s="609"/>
      <c r="WYT80" s="609"/>
      <c r="WYU80" s="609"/>
      <c r="WYV80" s="609"/>
      <c r="WYW80" s="609"/>
      <c r="WYX80" s="609"/>
      <c r="WYY80" s="609"/>
      <c r="WYZ80" s="609"/>
      <c r="WZA80" s="609"/>
      <c r="WZB80" s="609"/>
      <c r="WZC80" s="609"/>
      <c r="WZD80" s="609"/>
      <c r="WZE80" s="609"/>
      <c r="WZF80" s="609"/>
      <c r="WZG80" s="609"/>
      <c r="WZH80" s="609"/>
      <c r="WZI80" s="609"/>
      <c r="WZJ80" s="609"/>
      <c r="WZK80" s="609"/>
      <c r="WZL80" s="609"/>
      <c r="WZM80" s="609"/>
      <c r="WZN80" s="609"/>
      <c r="WZO80" s="609"/>
      <c r="WZP80" s="609"/>
      <c r="WZQ80" s="609"/>
      <c r="WZR80" s="609"/>
      <c r="WZS80" s="609"/>
      <c r="WZT80" s="609"/>
      <c r="WZU80" s="609"/>
      <c r="WZV80" s="609"/>
      <c r="WZW80" s="609"/>
      <c r="WZX80" s="609"/>
      <c r="WZY80" s="609"/>
      <c r="WZZ80" s="609"/>
      <c r="XAA80" s="609"/>
      <c r="XAB80" s="609"/>
      <c r="XAC80" s="609"/>
      <c r="XAD80" s="609"/>
      <c r="XAE80" s="609"/>
      <c r="XAF80" s="609"/>
      <c r="XAG80" s="609"/>
      <c r="XAH80" s="609"/>
      <c r="XAI80" s="609"/>
      <c r="XAJ80" s="609"/>
      <c r="XAK80" s="609"/>
      <c r="XAL80" s="609"/>
      <c r="XAM80" s="609"/>
      <c r="XAN80" s="609"/>
      <c r="XAO80" s="609"/>
      <c r="XAP80" s="609"/>
      <c r="XAQ80" s="609"/>
      <c r="XAR80" s="609"/>
      <c r="XAS80" s="609"/>
      <c r="XAT80" s="609"/>
      <c r="XAU80" s="609"/>
      <c r="XAV80" s="609"/>
      <c r="XAW80" s="609"/>
      <c r="XAX80" s="609"/>
      <c r="XAY80" s="609"/>
      <c r="XAZ80" s="609"/>
      <c r="XBA80" s="609"/>
      <c r="XBB80" s="609"/>
      <c r="XBC80" s="609"/>
      <c r="XBD80" s="609"/>
      <c r="XBE80" s="609"/>
      <c r="XBF80" s="609"/>
      <c r="XBG80" s="609"/>
      <c r="XBH80" s="609"/>
      <c r="XBI80" s="609"/>
      <c r="XBJ80" s="609"/>
      <c r="XBK80" s="609"/>
      <c r="XBL80" s="609"/>
      <c r="XBM80" s="609"/>
      <c r="XBN80" s="609"/>
      <c r="XBO80" s="609"/>
      <c r="XBP80" s="609"/>
      <c r="XBQ80" s="609"/>
      <c r="XBR80" s="609"/>
      <c r="XBS80" s="609"/>
      <c r="XBT80" s="609"/>
      <c r="XBU80" s="609"/>
      <c r="XBV80" s="609"/>
      <c r="XBW80" s="609"/>
      <c r="XBX80" s="609"/>
      <c r="XBY80" s="609"/>
      <c r="XBZ80" s="609"/>
      <c r="XCA80" s="609"/>
      <c r="XCB80" s="609"/>
      <c r="XCC80" s="609"/>
      <c r="XCD80" s="609"/>
      <c r="XCE80" s="609"/>
      <c r="XCF80" s="609"/>
      <c r="XCG80" s="609"/>
      <c r="XCH80" s="609"/>
      <c r="XCI80" s="609"/>
      <c r="XCJ80" s="609"/>
      <c r="XCK80" s="609"/>
      <c r="XCL80" s="609"/>
      <c r="XCM80" s="609"/>
      <c r="XCN80" s="609"/>
      <c r="XCO80" s="609"/>
      <c r="XCP80" s="609"/>
      <c r="XCQ80" s="609"/>
      <c r="XCR80" s="609"/>
      <c r="XCS80" s="609"/>
      <c r="XCT80" s="609"/>
      <c r="XCU80" s="609"/>
      <c r="XCV80" s="609"/>
      <c r="XCW80" s="609"/>
      <c r="XCX80" s="609"/>
      <c r="XCY80" s="609"/>
      <c r="XCZ80" s="609"/>
      <c r="XDA80" s="609"/>
      <c r="XDB80" s="609"/>
      <c r="XDC80" s="609"/>
      <c r="XDD80" s="609"/>
      <c r="XDE80" s="609"/>
      <c r="XDF80" s="609"/>
      <c r="XDG80" s="609"/>
      <c r="XDH80" s="609"/>
      <c r="XDI80" s="609"/>
      <c r="XDJ80" s="609"/>
      <c r="XDK80" s="609"/>
      <c r="XDL80" s="609"/>
      <c r="XDM80" s="609"/>
      <c r="XDN80" s="609"/>
      <c r="XDO80" s="609"/>
      <c r="XDP80" s="609"/>
      <c r="XDQ80" s="609"/>
      <c r="XDR80" s="609"/>
      <c r="XDS80" s="609"/>
      <c r="XDT80" s="609"/>
      <c r="XDU80" s="609"/>
      <c r="XDV80" s="609"/>
      <c r="XDW80" s="609"/>
      <c r="XDX80" s="609"/>
      <c r="XDY80" s="609"/>
      <c r="XDZ80" s="609"/>
      <c r="XEA80" s="609"/>
      <c r="XEB80" s="609"/>
      <c r="XEC80" s="609"/>
      <c r="XED80" s="609"/>
      <c r="XEE80" s="609"/>
      <c r="XEF80" s="609"/>
      <c r="XEG80" s="609"/>
      <c r="XEH80" s="609"/>
      <c r="XEI80" s="609"/>
      <c r="XEJ80" s="609"/>
      <c r="XEK80" s="609"/>
      <c r="XEL80" s="609"/>
      <c r="XEM80" s="609"/>
      <c r="XEN80" s="609"/>
      <c r="XEO80" s="609"/>
      <c r="XEP80" s="609"/>
      <c r="XEQ80" s="609"/>
      <c r="XER80" s="609"/>
      <c r="XES80" s="609"/>
      <c r="XET80" s="609"/>
      <c r="XEU80" s="609"/>
      <c r="XEV80" s="609"/>
      <c r="XEW80" s="609"/>
      <c r="XEX80" s="609"/>
      <c r="XEY80" s="609"/>
      <c r="XEZ80" s="609"/>
      <c r="XFA80" s="609"/>
    </row>
    <row r="81" spans="1:16381" ht="25.5">
      <c r="A81" s="609" t="str">
        <f t="shared" si="7"/>
        <v>Deutsche Fertighaus Holding UK DFH v. 01.09.2009</v>
      </c>
      <c r="B81" s="609">
        <f>ROW()</f>
        <v>81</v>
      </c>
      <c r="C81" s="635" t="s">
        <v>783</v>
      </c>
      <c r="D81" s="1201">
        <v>40057</v>
      </c>
      <c r="E81" s="636" t="s">
        <v>776</v>
      </c>
      <c r="F81" s="637" t="str">
        <f t="shared" si="9"/>
        <v/>
      </c>
      <c r="G81" s="634" t="str">
        <f t="shared" si="8"/>
        <v xml:space="preserve">TO ermöglicht: doppelten Kostenabzug; </v>
      </c>
      <c r="K81" s="1199"/>
      <c r="L81" s="1199">
        <v>2</v>
      </c>
      <c r="M81" s="1199"/>
      <c r="N81" s="1199"/>
      <c r="O81" s="789" t="s">
        <v>812</v>
      </c>
      <c r="P81" s="144">
        <f t="shared" si="6"/>
        <v>2</v>
      </c>
      <c r="Q81" s="609"/>
      <c r="R81" s="609"/>
      <c r="S81" s="609"/>
      <c r="T81" s="609"/>
      <c r="U81" s="609"/>
      <c r="V81" s="609"/>
      <c r="W81" s="609"/>
      <c r="X81" s="609"/>
      <c r="Y81" s="609"/>
      <c r="Z81" s="609"/>
      <c r="AA81" s="609"/>
      <c r="AB81" s="609"/>
      <c r="AC81" s="609"/>
      <c r="AD81" s="609"/>
      <c r="AE81" s="609"/>
      <c r="AF81" s="609"/>
      <c r="AG81" s="609"/>
      <c r="AH81" s="609"/>
      <c r="AI81" s="609"/>
      <c r="AJ81" s="609"/>
      <c r="AK81" s="609"/>
      <c r="AL81" s="609"/>
      <c r="AM81" s="609"/>
      <c r="AN81" s="609"/>
      <c r="AO81" s="609"/>
      <c r="AP81" s="609"/>
      <c r="AQ81" s="609"/>
      <c r="AR81" s="609"/>
      <c r="AS81" s="609"/>
      <c r="AT81" s="609"/>
      <c r="AU81" s="609"/>
      <c r="AV81" s="609"/>
      <c r="AW81" s="609"/>
      <c r="AX81" s="609"/>
      <c r="AY81" s="609"/>
      <c r="AZ81" s="609"/>
      <c r="BA81" s="609"/>
      <c r="BB81" s="609"/>
      <c r="BC81" s="609"/>
      <c r="BD81" s="609"/>
      <c r="BE81" s="609"/>
      <c r="BF81" s="609"/>
      <c r="BG81" s="609"/>
      <c r="BH81" s="609"/>
      <c r="BI81" s="609"/>
      <c r="BJ81" s="609"/>
      <c r="BK81" s="609"/>
      <c r="BL81" s="609"/>
      <c r="BM81" s="609"/>
      <c r="BN81" s="609"/>
      <c r="BO81" s="609"/>
      <c r="BP81" s="609"/>
      <c r="BQ81" s="609"/>
      <c r="BR81" s="609"/>
      <c r="BS81" s="609"/>
      <c r="BT81" s="609"/>
      <c r="BU81" s="609"/>
      <c r="BV81" s="609"/>
      <c r="BW81" s="609"/>
      <c r="BX81" s="609"/>
      <c r="BY81" s="609"/>
      <c r="BZ81" s="609"/>
      <c r="CA81" s="609"/>
      <c r="CB81" s="609"/>
      <c r="CC81" s="609"/>
      <c r="CD81" s="609"/>
      <c r="CE81" s="609"/>
      <c r="CF81" s="609"/>
      <c r="CG81" s="609"/>
      <c r="CH81" s="609"/>
      <c r="CI81" s="609"/>
      <c r="CJ81" s="609"/>
      <c r="CK81" s="609"/>
      <c r="CL81" s="609"/>
      <c r="CM81" s="609"/>
      <c r="CN81" s="609"/>
      <c r="CO81" s="609"/>
      <c r="CP81" s="609"/>
      <c r="CQ81" s="609"/>
      <c r="CR81" s="609"/>
      <c r="CS81" s="609"/>
      <c r="CT81" s="609"/>
      <c r="CU81" s="609"/>
      <c r="CV81" s="609"/>
      <c r="CW81" s="609"/>
      <c r="CX81" s="609"/>
      <c r="CY81" s="609"/>
      <c r="CZ81" s="609"/>
      <c r="DA81" s="609"/>
      <c r="DB81" s="609"/>
      <c r="DC81" s="609"/>
      <c r="DD81" s="609"/>
      <c r="DE81" s="609"/>
      <c r="DF81" s="609"/>
      <c r="DG81" s="609"/>
      <c r="DH81" s="609"/>
      <c r="DI81" s="609"/>
      <c r="DJ81" s="609"/>
      <c r="DK81" s="609"/>
      <c r="DL81" s="609"/>
      <c r="DM81" s="609"/>
      <c r="DN81" s="609"/>
      <c r="DO81" s="609"/>
      <c r="DP81" s="609"/>
      <c r="DQ81" s="609"/>
      <c r="DR81" s="609"/>
      <c r="DS81" s="609"/>
      <c r="DT81" s="609"/>
      <c r="DU81" s="609"/>
      <c r="DV81" s="609"/>
      <c r="DW81" s="609"/>
      <c r="DX81" s="609"/>
      <c r="DY81" s="609"/>
      <c r="DZ81" s="609"/>
      <c r="EA81" s="609"/>
      <c r="EB81" s="609"/>
      <c r="EC81" s="609"/>
      <c r="ED81" s="609"/>
      <c r="EE81" s="609"/>
      <c r="EF81" s="609"/>
      <c r="EG81" s="609"/>
      <c r="EH81" s="609"/>
      <c r="EI81" s="609"/>
      <c r="EJ81" s="609"/>
      <c r="EK81" s="609"/>
      <c r="EL81" s="609"/>
      <c r="EM81" s="609"/>
      <c r="EN81" s="609"/>
      <c r="EO81" s="609"/>
      <c r="EP81" s="609"/>
      <c r="EQ81" s="609"/>
      <c r="ER81" s="609"/>
      <c r="ES81" s="609"/>
      <c r="ET81" s="609"/>
      <c r="EU81" s="609"/>
      <c r="EV81" s="609"/>
      <c r="EW81" s="609"/>
      <c r="EX81" s="609"/>
      <c r="EY81" s="609"/>
      <c r="EZ81" s="609"/>
      <c r="FA81" s="609"/>
      <c r="FB81" s="609"/>
      <c r="FC81" s="609"/>
      <c r="FD81" s="609"/>
      <c r="FE81" s="609"/>
      <c r="FF81" s="609"/>
      <c r="FG81" s="609"/>
      <c r="FH81" s="609"/>
      <c r="FI81" s="609"/>
      <c r="FJ81" s="609"/>
      <c r="FK81" s="609"/>
      <c r="FL81" s="609"/>
      <c r="FM81" s="609"/>
      <c r="FN81" s="609"/>
      <c r="FO81" s="609"/>
      <c r="FP81" s="609"/>
      <c r="FQ81" s="609"/>
      <c r="FR81" s="609"/>
      <c r="FS81" s="609"/>
      <c r="FT81" s="609"/>
      <c r="FU81" s="609"/>
      <c r="FV81" s="609"/>
      <c r="FW81" s="609"/>
      <c r="FX81" s="609"/>
      <c r="FY81" s="609"/>
      <c r="FZ81" s="609"/>
      <c r="GA81" s="609"/>
      <c r="GB81" s="609"/>
      <c r="GC81" s="609"/>
      <c r="GD81" s="609"/>
      <c r="GE81" s="609"/>
      <c r="GF81" s="609"/>
      <c r="GG81" s="609"/>
      <c r="GH81" s="609"/>
      <c r="GI81" s="609"/>
      <c r="GJ81" s="609"/>
      <c r="GK81" s="609"/>
      <c r="GL81" s="609"/>
      <c r="GM81" s="609"/>
      <c r="GN81" s="609"/>
      <c r="GO81" s="609"/>
      <c r="GP81" s="609"/>
      <c r="GQ81" s="609"/>
      <c r="GR81" s="609"/>
      <c r="GS81" s="609"/>
      <c r="GT81" s="609"/>
      <c r="GU81" s="609"/>
      <c r="GV81" s="609"/>
      <c r="GW81" s="609"/>
      <c r="GX81" s="609"/>
      <c r="GY81" s="609"/>
      <c r="GZ81" s="609"/>
      <c r="HA81" s="609"/>
      <c r="HB81" s="609"/>
      <c r="HC81" s="609"/>
      <c r="HD81" s="609"/>
      <c r="HE81" s="609"/>
      <c r="HF81" s="609"/>
      <c r="HG81" s="609"/>
      <c r="HH81" s="609"/>
      <c r="HI81" s="609"/>
      <c r="HJ81" s="609"/>
      <c r="HK81" s="609"/>
      <c r="HL81" s="609"/>
      <c r="HM81" s="609"/>
      <c r="HN81" s="609"/>
      <c r="HO81" s="609"/>
      <c r="HP81" s="609"/>
      <c r="HQ81" s="609"/>
      <c r="HR81" s="609"/>
      <c r="HS81" s="609"/>
      <c r="HT81" s="609"/>
      <c r="HU81" s="609"/>
      <c r="HV81" s="609"/>
      <c r="HW81" s="609"/>
      <c r="HX81" s="609"/>
      <c r="HY81" s="609"/>
      <c r="HZ81" s="609"/>
      <c r="IA81" s="609"/>
      <c r="IB81" s="609"/>
      <c r="IC81" s="609"/>
      <c r="ID81" s="609"/>
      <c r="IE81" s="609"/>
      <c r="IF81" s="609"/>
      <c r="IG81" s="609"/>
      <c r="IH81" s="609"/>
      <c r="II81" s="609"/>
      <c r="IJ81" s="609"/>
      <c r="IK81" s="609"/>
      <c r="IL81" s="609"/>
      <c r="IM81" s="609"/>
      <c r="IN81" s="609"/>
      <c r="IO81" s="609"/>
      <c r="IP81" s="609"/>
      <c r="IQ81" s="609"/>
      <c r="IR81" s="609"/>
      <c r="IS81" s="609"/>
      <c r="IT81" s="609"/>
      <c r="IU81" s="609"/>
      <c r="IV81" s="609"/>
      <c r="IW81" s="609"/>
      <c r="IX81" s="609"/>
      <c r="IY81" s="609"/>
      <c r="IZ81" s="609"/>
      <c r="JA81" s="609"/>
      <c r="JB81" s="609"/>
      <c r="JC81" s="609"/>
      <c r="JD81" s="609"/>
      <c r="JE81" s="609"/>
      <c r="JF81" s="609"/>
      <c r="JG81" s="609"/>
      <c r="JH81" s="609"/>
      <c r="JI81" s="609"/>
      <c r="JJ81" s="609"/>
      <c r="JK81" s="609"/>
      <c r="JL81" s="609"/>
      <c r="JM81" s="609"/>
      <c r="JN81" s="609"/>
      <c r="JO81" s="609"/>
      <c r="JP81" s="609"/>
      <c r="JQ81" s="609"/>
      <c r="JR81" s="609"/>
      <c r="JS81" s="609"/>
      <c r="JT81" s="609"/>
      <c r="JU81" s="609"/>
      <c r="JV81" s="609"/>
      <c r="JW81" s="609"/>
      <c r="JX81" s="609"/>
      <c r="JY81" s="609"/>
      <c r="JZ81" s="609"/>
      <c r="KA81" s="609"/>
      <c r="KB81" s="609"/>
      <c r="KC81" s="609"/>
      <c r="KD81" s="609"/>
      <c r="KE81" s="609"/>
      <c r="KF81" s="609"/>
      <c r="KG81" s="609"/>
      <c r="KH81" s="609"/>
      <c r="KI81" s="609"/>
      <c r="KJ81" s="609"/>
      <c r="KK81" s="609"/>
      <c r="KL81" s="609"/>
      <c r="KM81" s="609"/>
      <c r="KN81" s="609"/>
      <c r="KO81" s="609"/>
      <c r="KP81" s="609"/>
      <c r="KQ81" s="609"/>
      <c r="KR81" s="609"/>
      <c r="KS81" s="609"/>
      <c r="KT81" s="609"/>
      <c r="KU81" s="609"/>
      <c r="KV81" s="609"/>
      <c r="KW81" s="609"/>
      <c r="KX81" s="609"/>
      <c r="KY81" s="609"/>
      <c r="KZ81" s="609"/>
      <c r="LA81" s="609"/>
      <c r="LB81" s="609"/>
      <c r="LC81" s="609"/>
      <c r="LD81" s="609"/>
      <c r="LE81" s="609"/>
      <c r="LF81" s="609"/>
      <c r="LG81" s="609"/>
      <c r="LH81" s="609"/>
      <c r="LI81" s="609"/>
      <c r="LJ81" s="609"/>
      <c r="LK81" s="609"/>
      <c r="LL81" s="609"/>
      <c r="LM81" s="609"/>
      <c r="LN81" s="609"/>
      <c r="LO81" s="609"/>
      <c r="LP81" s="609"/>
      <c r="LQ81" s="609"/>
      <c r="LR81" s="609"/>
      <c r="LS81" s="609"/>
      <c r="LT81" s="609"/>
      <c r="LU81" s="609"/>
      <c r="LV81" s="609"/>
      <c r="LW81" s="609"/>
      <c r="LX81" s="609"/>
      <c r="LY81" s="609"/>
      <c r="LZ81" s="609"/>
      <c r="MA81" s="609"/>
      <c r="MB81" s="609"/>
      <c r="MC81" s="609"/>
      <c r="MD81" s="609"/>
      <c r="ME81" s="609"/>
      <c r="MF81" s="609"/>
      <c r="MG81" s="609"/>
      <c r="MH81" s="609"/>
      <c r="MI81" s="609"/>
      <c r="MJ81" s="609"/>
      <c r="MK81" s="609"/>
      <c r="ML81" s="609"/>
      <c r="MM81" s="609"/>
      <c r="MN81" s="609"/>
      <c r="MO81" s="609"/>
      <c r="MP81" s="609"/>
      <c r="MQ81" s="609"/>
      <c r="MR81" s="609"/>
      <c r="MS81" s="609"/>
      <c r="MT81" s="609"/>
      <c r="MU81" s="609"/>
      <c r="MV81" s="609"/>
      <c r="MW81" s="609"/>
      <c r="MX81" s="609"/>
      <c r="MY81" s="609"/>
      <c r="MZ81" s="609"/>
      <c r="NA81" s="609"/>
      <c r="NB81" s="609"/>
      <c r="NC81" s="609"/>
      <c r="ND81" s="609"/>
      <c r="NE81" s="609"/>
      <c r="NF81" s="609"/>
      <c r="NG81" s="609"/>
      <c r="NH81" s="609"/>
      <c r="NI81" s="609"/>
      <c r="NJ81" s="609"/>
      <c r="NK81" s="609"/>
      <c r="NL81" s="609"/>
      <c r="NM81" s="609"/>
      <c r="NN81" s="609"/>
      <c r="NO81" s="609"/>
      <c r="NP81" s="609"/>
      <c r="NQ81" s="609"/>
      <c r="NR81" s="609"/>
      <c r="NS81" s="609"/>
      <c r="NT81" s="609"/>
      <c r="NU81" s="609"/>
      <c r="NV81" s="609"/>
      <c r="NW81" s="609"/>
      <c r="NX81" s="609"/>
      <c r="NY81" s="609"/>
      <c r="NZ81" s="609"/>
      <c r="OA81" s="609"/>
      <c r="OB81" s="609"/>
      <c r="OC81" s="609"/>
      <c r="OD81" s="609"/>
      <c r="OE81" s="609"/>
      <c r="OF81" s="609"/>
      <c r="OG81" s="609"/>
      <c r="OH81" s="609"/>
      <c r="OI81" s="609"/>
      <c r="OJ81" s="609"/>
      <c r="OK81" s="609"/>
      <c r="OL81" s="609"/>
      <c r="OM81" s="609"/>
      <c r="ON81" s="609"/>
      <c r="OO81" s="609"/>
      <c r="OP81" s="609"/>
      <c r="OQ81" s="609"/>
      <c r="OR81" s="609"/>
      <c r="OS81" s="609"/>
      <c r="OT81" s="609"/>
      <c r="OU81" s="609"/>
      <c r="OV81" s="609"/>
      <c r="OW81" s="609"/>
      <c r="OX81" s="609"/>
      <c r="OY81" s="609"/>
      <c r="OZ81" s="609"/>
      <c r="PA81" s="609"/>
      <c r="PB81" s="609"/>
      <c r="PC81" s="609"/>
      <c r="PD81" s="609"/>
      <c r="PE81" s="609"/>
      <c r="PF81" s="609"/>
      <c r="PG81" s="609"/>
      <c r="PH81" s="609"/>
      <c r="PI81" s="609"/>
      <c r="PJ81" s="609"/>
      <c r="PK81" s="609"/>
      <c r="PL81" s="609"/>
      <c r="PM81" s="609"/>
      <c r="PN81" s="609"/>
      <c r="PO81" s="609"/>
      <c r="PP81" s="609"/>
      <c r="PQ81" s="609"/>
      <c r="PR81" s="609"/>
      <c r="PS81" s="609"/>
      <c r="PT81" s="609"/>
      <c r="PU81" s="609"/>
      <c r="PV81" s="609"/>
      <c r="PW81" s="609"/>
      <c r="PX81" s="609"/>
      <c r="PY81" s="609"/>
      <c r="PZ81" s="609"/>
      <c r="QA81" s="609"/>
      <c r="QB81" s="609"/>
      <c r="QC81" s="609"/>
      <c r="QD81" s="609"/>
      <c r="QE81" s="609"/>
      <c r="QF81" s="609"/>
      <c r="QG81" s="609"/>
      <c r="QH81" s="609"/>
      <c r="QI81" s="609"/>
      <c r="QJ81" s="609"/>
      <c r="QK81" s="609"/>
      <c r="QL81" s="609"/>
      <c r="QM81" s="609"/>
      <c r="QN81" s="609"/>
      <c r="QO81" s="609"/>
      <c r="QP81" s="609"/>
      <c r="QQ81" s="609"/>
      <c r="QR81" s="609"/>
      <c r="QS81" s="609"/>
      <c r="QT81" s="609"/>
      <c r="QU81" s="609"/>
      <c r="QV81" s="609"/>
      <c r="QW81" s="609"/>
      <c r="QX81" s="609"/>
      <c r="QY81" s="609"/>
      <c r="QZ81" s="609"/>
      <c r="RA81" s="609"/>
      <c r="RB81" s="609"/>
      <c r="RC81" s="609"/>
      <c r="RD81" s="609"/>
      <c r="RE81" s="609"/>
      <c r="RF81" s="609"/>
      <c r="RG81" s="609"/>
      <c r="RH81" s="609"/>
      <c r="RI81" s="609"/>
      <c r="RJ81" s="609"/>
      <c r="RK81" s="609"/>
      <c r="RL81" s="609"/>
      <c r="RM81" s="609"/>
      <c r="RN81" s="609"/>
      <c r="RO81" s="609"/>
      <c r="RP81" s="609"/>
      <c r="RQ81" s="609"/>
      <c r="RR81" s="609"/>
      <c r="RS81" s="609"/>
      <c r="RT81" s="609"/>
      <c r="RU81" s="609"/>
      <c r="RV81" s="609"/>
      <c r="RW81" s="609"/>
      <c r="RX81" s="609"/>
      <c r="RY81" s="609"/>
      <c r="RZ81" s="609"/>
      <c r="SA81" s="609"/>
      <c r="SB81" s="609"/>
      <c r="SC81" s="609"/>
      <c r="SD81" s="609"/>
      <c r="SE81" s="609"/>
      <c r="SF81" s="609"/>
      <c r="SG81" s="609"/>
      <c r="SH81" s="609"/>
      <c r="SI81" s="609"/>
      <c r="SJ81" s="609"/>
      <c r="SK81" s="609"/>
      <c r="SL81" s="609"/>
      <c r="SM81" s="609"/>
      <c r="SN81" s="609"/>
      <c r="SO81" s="609"/>
      <c r="SP81" s="609"/>
      <c r="SQ81" s="609"/>
      <c r="SR81" s="609"/>
      <c r="SS81" s="609"/>
      <c r="ST81" s="609"/>
      <c r="SU81" s="609"/>
      <c r="SV81" s="609"/>
      <c r="SW81" s="609"/>
      <c r="SX81" s="609"/>
      <c r="SY81" s="609"/>
      <c r="SZ81" s="609"/>
      <c r="TA81" s="609"/>
      <c r="TB81" s="609"/>
      <c r="TC81" s="609"/>
      <c r="TD81" s="609"/>
      <c r="TE81" s="609"/>
      <c r="TF81" s="609"/>
      <c r="TG81" s="609"/>
      <c r="TH81" s="609"/>
      <c r="TI81" s="609"/>
      <c r="TJ81" s="609"/>
      <c r="TK81" s="609"/>
      <c r="TL81" s="609"/>
      <c r="TM81" s="609"/>
      <c r="TN81" s="609"/>
      <c r="TO81" s="609"/>
      <c r="TP81" s="609"/>
      <c r="TQ81" s="609"/>
      <c r="TR81" s="609"/>
      <c r="TS81" s="609"/>
      <c r="TT81" s="609"/>
      <c r="TU81" s="609"/>
      <c r="TV81" s="609"/>
      <c r="TW81" s="609"/>
      <c r="TX81" s="609"/>
      <c r="TY81" s="609"/>
      <c r="TZ81" s="609"/>
      <c r="UA81" s="609"/>
      <c r="UB81" s="609"/>
      <c r="UC81" s="609"/>
      <c r="UD81" s="609"/>
      <c r="UE81" s="609"/>
      <c r="UF81" s="609"/>
      <c r="UG81" s="609"/>
      <c r="UH81" s="609"/>
      <c r="UI81" s="609"/>
      <c r="UJ81" s="609"/>
      <c r="UK81" s="609"/>
      <c r="UL81" s="609"/>
      <c r="UM81" s="609"/>
      <c r="UN81" s="609"/>
      <c r="UO81" s="609"/>
      <c r="UP81" s="609"/>
      <c r="UQ81" s="609"/>
      <c r="UR81" s="609"/>
      <c r="US81" s="609"/>
      <c r="UT81" s="609"/>
      <c r="UU81" s="609"/>
      <c r="UV81" s="609"/>
      <c r="UW81" s="609"/>
      <c r="UX81" s="609"/>
      <c r="UY81" s="609"/>
      <c r="UZ81" s="609"/>
      <c r="VA81" s="609"/>
      <c r="VB81" s="609"/>
      <c r="VC81" s="609"/>
      <c r="VD81" s="609"/>
      <c r="VE81" s="609"/>
      <c r="VF81" s="609"/>
      <c r="VG81" s="609"/>
      <c r="VH81" s="609"/>
      <c r="VI81" s="609"/>
      <c r="VJ81" s="609"/>
      <c r="VK81" s="609"/>
      <c r="VL81" s="609"/>
      <c r="VM81" s="609"/>
      <c r="VN81" s="609"/>
      <c r="VO81" s="609"/>
      <c r="VP81" s="609"/>
      <c r="VQ81" s="609"/>
      <c r="VR81" s="609"/>
      <c r="VS81" s="609"/>
      <c r="VT81" s="609"/>
      <c r="VU81" s="609"/>
      <c r="VV81" s="609"/>
      <c r="VW81" s="609"/>
      <c r="VX81" s="609"/>
      <c r="VY81" s="609"/>
      <c r="VZ81" s="609"/>
      <c r="WA81" s="609"/>
      <c r="WB81" s="609"/>
      <c r="WC81" s="609"/>
      <c r="WD81" s="609"/>
      <c r="WE81" s="609"/>
      <c r="WF81" s="609"/>
      <c r="WG81" s="609"/>
      <c r="WH81" s="609"/>
      <c r="WI81" s="609"/>
      <c r="WJ81" s="609"/>
      <c r="WK81" s="609"/>
      <c r="WL81" s="609"/>
      <c r="WM81" s="609"/>
      <c r="WN81" s="609"/>
      <c r="WO81" s="609"/>
      <c r="WP81" s="609"/>
      <c r="WQ81" s="609"/>
      <c r="WR81" s="609"/>
      <c r="WS81" s="609"/>
      <c r="WT81" s="609"/>
      <c r="WU81" s="609"/>
      <c r="WV81" s="609"/>
      <c r="WW81" s="609"/>
      <c r="WX81" s="609"/>
      <c r="WY81" s="609"/>
      <c r="WZ81" s="609"/>
      <c r="XA81" s="609"/>
      <c r="XB81" s="609"/>
      <c r="XC81" s="609"/>
      <c r="XD81" s="609"/>
      <c r="XE81" s="609"/>
      <c r="XF81" s="609"/>
      <c r="XG81" s="609"/>
      <c r="XH81" s="609"/>
      <c r="XI81" s="609"/>
      <c r="XJ81" s="609"/>
      <c r="XK81" s="609"/>
      <c r="XL81" s="609"/>
      <c r="XM81" s="609"/>
      <c r="XN81" s="609"/>
      <c r="XO81" s="609"/>
      <c r="XP81" s="609"/>
      <c r="XQ81" s="609"/>
      <c r="XR81" s="609"/>
      <c r="XS81" s="609"/>
      <c r="XT81" s="609"/>
      <c r="XU81" s="609"/>
      <c r="XV81" s="609"/>
      <c r="XW81" s="609"/>
      <c r="XX81" s="609"/>
      <c r="XY81" s="609"/>
      <c r="XZ81" s="609"/>
      <c r="YA81" s="609"/>
      <c r="YB81" s="609"/>
      <c r="YC81" s="609"/>
      <c r="YD81" s="609"/>
      <c r="YE81" s="609"/>
      <c r="YF81" s="609"/>
      <c r="YG81" s="609"/>
      <c r="YH81" s="609"/>
      <c r="YI81" s="609"/>
      <c r="YJ81" s="609"/>
      <c r="YK81" s="609"/>
      <c r="YL81" s="609"/>
      <c r="YM81" s="609"/>
      <c r="YN81" s="609"/>
      <c r="YO81" s="609"/>
      <c r="YP81" s="609"/>
      <c r="YQ81" s="609"/>
      <c r="YR81" s="609"/>
      <c r="YS81" s="609"/>
      <c r="YT81" s="609"/>
      <c r="YU81" s="609"/>
      <c r="YV81" s="609"/>
      <c r="YW81" s="609"/>
      <c r="YX81" s="609"/>
      <c r="YY81" s="609"/>
      <c r="YZ81" s="609"/>
      <c r="ZA81" s="609"/>
      <c r="ZB81" s="609"/>
      <c r="ZC81" s="609"/>
      <c r="ZD81" s="609"/>
      <c r="ZE81" s="609"/>
      <c r="ZF81" s="609"/>
      <c r="ZG81" s="609"/>
      <c r="ZH81" s="609"/>
      <c r="ZI81" s="609"/>
      <c r="ZJ81" s="609"/>
      <c r="ZK81" s="609"/>
      <c r="ZL81" s="609"/>
      <c r="ZM81" s="609"/>
      <c r="ZN81" s="609"/>
      <c r="ZO81" s="609"/>
      <c r="ZP81" s="609"/>
      <c r="ZQ81" s="609"/>
      <c r="ZR81" s="609"/>
      <c r="ZS81" s="609"/>
      <c r="ZT81" s="609"/>
      <c r="ZU81" s="609"/>
      <c r="ZV81" s="609"/>
      <c r="ZW81" s="609"/>
      <c r="ZX81" s="609"/>
      <c r="ZY81" s="609"/>
      <c r="ZZ81" s="609"/>
      <c r="AAA81" s="609"/>
      <c r="AAB81" s="609"/>
      <c r="AAC81" s="609"/>
      <c r="AAD81" s="609"/>
      <c r="AAE81" s="609"/>
      <c r="AAF81" s="609"/>
      <c r="AAG81" s="609"/>
      <c r="AAH81" s="609"/>
      <c r="AAI81" s="609"/>
      <c r="AAJ81" s="609"/>
      <c r="AAK81" s="609"/>
      <c r="AAL81" s="609"/>
      <c r="AAM81" s="609"/>
      <c r="AAN81" s="609"/>
      <c r="AAO81" s="609"/>
      <c r="AAP81" s="609"/>
      <c r="AAQ81" s="609"/>
      <c r="AAR81" s="609"/>
      <c r="AAS81" s="609"/>
      <c r="AAT81" s="609"/>
      <c r="AAU81" s="609"/>
      <c r="AAV81" s="609"/>
      <c r="AAW81" s="609"/>
      <c r="AAX81" s="609"/>
      <c r="AAY81" s="609"/>
      <c r="AAZ81" s="609"/>
      <c r="ABA81" s="609"/>
      <c r="ABB81" s="609"/>
      <c r="ABC81" s="609"/>
      <c r="ABD81" s="609"/>
      <c r="ABE81" s="609"/>
      <c r="ABF81" s="609"/>
      <c r="ABG81" s="609"/>
      <c r="ABH81" s="609"/>
      <c r="ABI81" s="609"/>
      <c r="ABJ81" s="609"/>
      <c r="ABK81" s="609"/>
      <c r="ABL81" s="609"/>
      <c r="ABM81" s="609"/>
      <c r="ABN81" s="609"/>
      <c r="ABO81" s="609"/>
      <c r="ABP81" s="609"/>
      <c r="ABQ81" s="609"/>
      <c r="ABR81" s="609"/>
      <c r="ABS81" s="609"/>
      <c r="ABT81" s="609"/>
      <c r="ABU81" s="609"/>
      <c r="ABV81" s="609"/>
      <c r="ABW81" s="609"/>
      <c r="ABX81" s="609"/>
      <c r="ABY81" s="609"/>
      <c r="ABZ81" s="609"/>
      <c r="ACA81" s="609"/>
      <c r="ACB81" s="609"/>
      <c r="ACC81" s="609"/>
      <c r="ACD81" s="609"/>
      <c r="ACE81" s="609"/>
      <c r="ACF81" s="609"/>
      <c r="ACG81" s="609"/>
      <c r="ACH81" s="609"/>
      <c r="ACI81" s="609"/>
      <c r="ACJ81" s="609"/>
      <c r="ACK81" s="609"/>
      <c r="ACL81" s="609"/>
      <c r="ACM81" s="609"/>
      <c r="ACN81" s="609"/>
      <c r="ACO81" s="609"/>
      <c r="ACP81" s="609"/>
      <c r="ACQ81" s="609"/>
      <c r="ACR81" s="609"/>
      <c r="ACS81" s="609"/>
      <c r="ACT81" s="609"/>
      <c r="ACU81" s="609"/>
      <c r="ACV81" s="609"/>
      <c r="ACW81" s="609"/>
      <c r="ACX81" s="609"/>
      <c r="ACY81" s="609"/>
      <c r="ACZ81" s="609"/>
      <c r="ADA81" s="609"/>
      <c r="ADB81" s="609"/>
      <c r="ADC81" s="609"/>
      <c r="ADD81" s="609"/>
      <c r="ADE81" s="609"/>
      <c r="ADF81" s="609"/>
      <c r="ADG81" s="609"/>
      <c r="ADH81" s="609"/>
      <c r="ADI81" s="609"/>
      <c r="ADJ81" s="609"/>
      <c r="ADK81" s="609"/>
      <c r="ADL81" s="609"/>
      <c r="ADM81" s="609"/>
      <c r="ADN81" s="609"/>
      <c r="ADO81" s="609"/>
      <c r="ADP81" s="609"/>
      <c r="ADQ81" s="609"/>
      <c r="ADR81" s="609"/>
      <c r="ADS81" s="609"/>
      <c r="ADT81" s="609"/>
      <c r="ADU81" s="609"/>
      <c r="ADV81" s="609"/>
      <c r="ADW81" s="609"/>
      <c r="ADX81" s="609"/>
      <c r="ADY81" s="609"/>
      <c r="ADZ81" s="609"/>
      <c r="AEA81" s="609"/>
      <c r="AEB81" s="609"/>
      <c r="AEC81" s="609"/>
      <c r="AED81" s="609"/>
      <c r="AEE81" s="609"/>
      <c r="AEF81" s="609"/>
      <c r="AEG81" s="609"/>
      <c r="AEH81" s="609"/>
      <c r="AEI81" s="609"/>
      <c r="AEJ81" s="609"/>
      <c r="AEK81" s="609"/>
      <c r="AEL81" s="609"/>
      <c r="AEM81" s="609"/>
      <c r="AEN81" s="609"/>
      <c r="AEO81" s="609"/>
      <c r="AEP81" s="609"/>
      <c r="AEQ81" s="609"/>
      <c r="AER81" s="609"/>
      <c r="AES81" s="609"/>
      <c r="AET81" s="609"/>
      <c r="AEU81" s="609"/>
      <c r="AEV81" s="609"/>
      <c r="AEW81" s="609"/>
      <c r="AEX81" s="609"/>
      <c r="AEY81" s="609"/>
      <c r="AEZ81" s="609"/>
      <c r="AFA81" s="609"/>
      <c r="AFB81" s="609"/>
      <c r="AFC81" s="609"/>
      <c r="AFD81" s="609"/>
      <c r="AFE81" s="609"/>
      <c r="AFF81" s="609"/>
      <c r="AFG81" s="609"/>
      <c r="AFH81" s="609"/>
      <c r="AFI81" s="609"/>
      <c r="AFJ81" s="609"/>
      <c r="AFK81" s="609"/>
      <c r="AFL81" s="609"/>
      <c r="AFM81" s="609"/>
      <c r="AFN81" s="609"/>
      <c r="AFO81" s="609"/>
      <c r="AFP81" s="609"/>
      <c r="AFQ81" s="609"/>
      <c r="AFR81" s="609"/>
      <c r="AFS81" s="609"/>
      <c r="AFT81" s="609"/>
      <c r="AFU81" s="609"/>
      <c r="AFV81" s="609"/>
      <c r="AFW81" s="609"/>
      <c r="AFX81" s="609"/>
      <c r="AFY81" s="609"/>
      <c r="AFZ81" s="609"/>
      <c r="AGA81" s="609"/>
      <c r="AGB81" s="609"/>
      <c r="AGC81" s="609"/>
      <c r="AGD81" s="609"/>
      <c r="AGE81" s="609"/>
      <c r="AGF81" s="609"/>
      <c r="AGG81" s="609"/>
      <c r="AGH81" s="609"/>
      <c r="AGI81" s="609"/>
      <c r="AGJ81" s="609"/>
      <c r="AGK81" s="609"/>
      <c r="AGL81" s="609"/>
      <c r="AGM81" s="609"/>
      <c r="AGN81" s="609"/>
      <c r="AGO81" s="609"/>
      <c r="AGP81" s="609"/>
      <c r="AGQ81" s="609"/>
      <c r="AGR81" s="609"/>
      <c r="AGS81" s="609"/>
      <c r="AGT81" s="609"/>
      <c r="AGU81" s="609"/>
      <c r="AGV81" s="609"/>
      <c r="AGW81" s="609"/>
      <c r="AGX81" s="609"/>
      <c r="AGY81" s="609"/>
      <c r="AGZ81" s="609"/>
      <c r="AHA81" s="609"/>
      <c r="AHB81" s="609"/>
      <c r="AHC81" s="609"/>
      <c r="AHD81" s="609"/>
      <c r="AHE81" s="609"/>
      <c r="AHF81" s="609"/>
      <c r="AHG81" s="609"/>
      <c r="AHH81" s="609"/>
      <c r="AHI81" s="609"/>
      <c r="AHJ81" s="609"/>
      <c r="AHK81" s="609"/>
      <c r="AHL81" s="609"/>
      <c r="AHM81" s="609"/>
      <c r="AHN81" s="609"/>
      <c r="AHO81" s="609"/>
      <c r="AHP81" s="609"/>
      <c r="AHQ81" s="609"/>
      <c r="AHR81" s="609"/>
      <c r="AHS81" s="609"/>
      <c r="AHT81" s="609"/>
      <c r="AHU81" s="609"/>
      <c r="AHV81" s="609"/>
      <c r="AHW81" s="609"/>
      <c r="AHX81" s="609"/>
      <c r="AHY81" s="609"/>
      <c r="AHZ81" s="609"/>
      <c r="AIA81" s="609"/>
      <c r="AIB81" s="609"/>
      <c r="AIC81" s="609"/>
      <c r="AID81" s="609"/>
      <c r="AIE81" s="609"/>
      <c r="AIF81" s="609"/>
      <c r="AIG81" s="609"/>
      <c r="AIH81" s="609"/>
      <c r="AII81" s="609"/>
      <c r="AIJ81" s="609"/>
      <c r="AIK81" s="609"/>
      <c r="AIL81" s="609"/>
      <c r="AIM81" s="609"/>
      <c r="AIN81" s="609"/>
      <c r="AIO81" s="609"/>
      <c r="AIP81" s="609"/>
      <c r="AIQ81" s="609"/>
      <c r="AIR81" s="609"/>
      <c r="AIS81" s="609"/>
      <c r="AIT81" s="609"/>
      <c r="AIU81" s="609"/>
      <c r="AIV81" s="609"/>
      <c r="AIW81" s="609"/>
      <c r="AIX81" s="609"/>
      <c r="AIY81" s="609"/>
      <c r="AIZ81" s="609"/>
      <c r="AJA81" s="609"/>
      <c r="AJB81" s="609"/>
      <c r="AJC81" s="609"/>
      <c r="AJD81" s="609"/>
      <c r="AJE81" s="609"/>
      <c r="AJF81" s="609"/>
      <c r="AJG81" s="609"/>
      <c r="AJH81" s="609"/>
      <c r="AJI81" s="609"/>
      <c r="AJJ81" s="609"/>
      <c r="AJK81" s="609"/>
      <c r="AJL81" s="609"/>
      <c r="AJM81" s="609"/>
      <c r="AJN81" s="609"/>
      <c r="AJO81" s="609"/>
      <c r="AJP81" s="609"/>
      <c r="AJQ81" s="609"/>
      <c r="AJR81" s="609"/>
      <c r="AJS81" s="609"/>
      <c r="AJT81" s="609"/>
      <c r="AJU81" s="609"/>
      <c r="AJV81" s="609"/>
      <c r="AJW81" s="609"/>
      <c r="AJX81" s="609"/>
      <c r="AJY81" s="609"/>
      <c r="AJZ81" s="609"/>
      <c r="AKA81" s="609"/>
      <c r="AKB81" s="609"/>
      <c r="AKC81" s="609"/>
      <c r="AKD81" s="609"/>
      <c r="AKE81" s="609"/>
      <c r="AKF81" s="609"/>
      <c r="AKG81" s="609"/>
      <c r="AKH81" s="609"/>
      <c r="AKI81" s="609"/>
      <c r="AKJ81" s="609"/>
      <c r="AKK81" s="609"/>
      <c r="AKL81" s="609"/>
      <c r="AKM81" s="609"/>
      <c r="AKN81" s="609"/>
      <c r="AKO81" s="609"/>
      <c r="AKP81" s="609"/>
      <c r="AKQ81" s="609"/>
      <c r="AKR81" s="609"/>
      <c r="AKS81" s="609"/>
      <c r="AKT81" s="609"/>
      <c r="AKU81" s="609"/>
      <c r="AKV81" s="609"/>
      <c r="AKW81" s="609"/>
      <c r="AKX81" s="609"/>
      <c r="AKY81" s="609"/>
      <c r="AKZ81" s="609"/>
      <c r="ALA81" s="609"/>
      <c r="ALB81" s="609"/>
      <c r="ALC81" s="609"/>
      <c r="ALD81" s="609"/>
      <c r="ALE81" s="609"/>
      <c r="ALF81" s="609"/>
      <c r="ALG81" s="609"/>
      <c r="ALH81" s="609"/>
      <c r="ALI81" s="609"/>
      <c r="ALJ81" s="609"/>
      <c r="ALK81" s="609"/>
      <c r="ALL81" s="609"/>
      <c r="ALM81" s="609"/>
      <c r="ALN81" s="609"/>
      <c r="ALO81" s="609"/>
      <c r="ALP81" s="609"/>
      <c r="ALQ81" s="609"/>
      <c r="ALR81" s="609"/>
      <c r="ALS81" s="609"/>
      <c r="ALT81" s="609"/>
      <c r="ALU81" s="609"/>
      <c r="ALV81" s="609"/>
      <c r="ALW81" s="609"/>
      <c r="ALX81" s="609"/>
      <c r="ALY81" s="609"/>
      <c r="ALZ81" s="609"/>
      <c r="AMA81" s="609"/>
      <c r="AMB81" s="609"/>
      <c r="AMC81" s="609"/>
      <c r="AMD81" s="609"/>
      <c r="AME81" s="609"/>
      <c r="AMF81" s="609"/>
      <c r="AMG81" s="609"/>
      <c r="AMH81" s="609"/>
      <c r="AMI81" s="609"/>
      <c r="AMJ81" s="609"/>
      <c r="AMK81" s="609"/>
      <c r="AML81" s="609"/>
      <c r="AMM81" s="609"/>
      <c r="AMN81" s="609"/>
      <c r="AMO81" s="609"/>
      <c r="AMP81" s="609"/>
      <c r="AMQ81" s="609"/>
      <c r="AMR81" s="609"/>
      <c r="AMS81" s="609"/>
      <c r="AMT81" s="609"/>
      <c r="AMU81" s="609"/>
      <c r="AMV81" s="609"/>
      <c r="AMW81" s="609"/>
      <c r="AMX81" s="609"/>
      <c r="AMY81" s="609"/>
      <c r="AMZ81" s="609"/>
      <c r="ANA81" s="609"/>
      <c r="ANB81" s="609"/>
      <c r="ANC81" s="609"/>
      <c r="AND81" s="609"/>
      <c r="ANE81" s="609"/>
      <c r="ANF81" s="609"/>
      <c r="ANG81" s="609"/>
      <c r="ANH81" s="609"/>
      <c r="ANI81" s="609"/>
      <c r="ANJ81" s="609"/>
      <c r="ANK81" s="609"/>
      <c r="ANL81" s="609"/>
      <c r="ANM81" s="609"/>
      <c r="ANN81" s="609"/>
      <c r="ANO81" s="609"/>
      <c r="ANP81" s="609"/>
      <c r="ANQ81" s="609"/>
      <c r="ANR81" s="609"/>
      <c r="ANS81" s="609"/>
      <c r="ANT81" s="609"/>
      <c r="ANU81" s="609"/>
      <c r="ANV81" s="609"/>
      <c r="ANW81" s="609"/>
      <c r="ANX81" s="609"/>
      <c r="ANY81" s="609"/>
      <c r="ANZ81" s="609"/>
      <c r="AOA81" s="609"/>
      <c r="AOB81" s="609"/>
      <c r="AOC81" s="609"/>
      <c r="AOD81" s="609"/>
      <c r="AOE81" s="609"/>
      <c r="AOF81" s="609"/>
      <c r="AOG81" s="609"/>
      <c r="AOH81" s="609"/>
      <c r="AOI81" s="609"/>
      <c r="AOJ81" s="609"/>
      <c r="AOK81" s="609"/>
      <c r="AOL81" s="609"/>
      <c r="AOM81" s="609"/>
      <c r="AON81" s="609"/>
      <c r="AOO81" s="609"/>
      <c r="AOP81" s="609"/>
      <c r="AOQ81" s="609"/>
      <c r="AOR81" s="609"/>
      <c r="AOS81" s="609"/>
      <c r="AOT81" s="609"/>
      <c r="AOU81" s="609"/>
      <c r="AOV81" s="609"/>
      <c r="AOW81" s="609"/>
      <c r="AOX81" s="609"/>
      <c r="AOY81" s="609"/>
      <c r="AOZ81" s="609"/>
      <c r="APA81" s="609"/>
      <c r="APB81" s="609"/>
      <c r="APC81" s="609"/>
      <c r="APD81" s="609"/>
      <c r="APE81" s="609"/>
      <c r="APF81" s="609"/>
      <c r="APG81" s="609"/>
      <c r="APH81" s="609"/>
      <c r="API81" s="609"/>
      <c r="APJ81" s="609"/>
      <c r="APK81" s="609"/>
      <c r="APL81" s="609"/>
      <c r="APM81" s="609"/>
      <c r="APN81" s="609"/>
      <c r="APO81" s="609"/>
      <c r="APP81" s="609"/>
      <c r="APQ81" s="609"/>
      <c r="APR81" s="609"/>
      <c r="APS81" s="609"/>
      <c r="APT81" s="609"/>
      <c r="APU81" s="609"/>
      <c r="APV81" s="609"/>
      <c r="APW81" s="609"/>
      <c r="APX81" s="609"/>
      <c r="APY81" s="609"/>
      <c r="APZ81" s="609"/>
      <c r="AQA81" s="609"/>
      <c r="AQB81" s="609"/>
      <c r="AQC81" s="609"/>
      <c r="AQD81" s="609"/>
      <c r="AQE81" s="609"/>
      <c r="AQF81" s="609"/>
      <c r="AQG81" s="609"/>
      <c r="AQH81" s="609"/>
      <c r="AQI81" s="609"/>
      <c r="AQJ81" s="609"/>
      <c r="AQK81" s="609"/>
      <c r="AQL81" s="609"/>
      <c r="AQM81" s="609"/>
      <c r="AQN81" s="609"/>
      <c r="AQO81" s="609"/>
      <c r="AQP81" s="609"/>
      <c r="AQQ81" s="609"/>
      <c r="AQR81" s="609"/>
      <c r="AQS81" s="609"/>
      <c r="AQT81" s="609"/>
      <c r="AQU81" s="609"/>
      <c r="AQV81" s="609"/>
      <c r="AQW81" s="609"/>
      <c r="AQX81" s="609"/>
      <c r="AQY81" s="609"/>
      <c r="AQZ81" s="609"/>
      <c r="ARA81" s="609"/>
      <c r="ARB81" s="609"/>
      <c r="ARC81" s="609"/>
      <c r="ARD81" s="609"/>
      <c r="ARE81" s="609"/>
      <c r="ARF81" s="609"/>
      <c r="ARG81" s="609"/>
      <c r="ARH81" s="609"/>
      <c r="ARI81" s="609"/>
      <c r="ARJ81" s="609"/>
      <c r="ARK81" s="609"/>
      <c r="ARL81" s="609"/>
      <c r="ARM81" s="609"/>
      <c r="ARN81" s="609"/>
      <c r="ARO81" s="609"/>
      <c r="ARP81" s="609"/>
      <c r="ARQ81" s="609"/>
      <c r="ARR81" s="609"/>
      <c r="ARS81" s="609"/>
      <c r="ART81" s="609"/>
      <c r="ARU81" s="609"/>
      <c r="ARV81" s="609"/>
      <c r="ARW81" s="609"/>
      <c r="ARX81" s="609"/>
      <c r="ARY81" s="609"/>
      <c r="ARZ81" s="609"/>
      <c r="ASA81" s="609"/>
      <c r="ASB81" s="609"/>
      <c r="ASC81" s="609"/>
      <c r="ASD81" s="609"/>
      <c r="ASE81" s="609"/>
      <c r="ASF81" s="609"/>
      <c r="ASG81" s="609"/>
      <c r="ASH81" s="609"/>
      <c r="ASI81" s="609"/>
      <c r="ASJ81" s="609"/>
      <c r="ASK81" s="609"/>
      <c r="ASL81" s="609"/>
      <c r="ASM81" s="609"/>
      <c r="ASN81" s="609"/>
      <c r="ASO81" s="609"/>
      <c r="ASP81" s="609"/>
      <c r="ASQ81" s="609"/>
      <c r="ASR81" s="609"/>
      <c r="ASS81" s="609"/>
      <c r="AST81" s="609"/>
      <c r="ASU81" s="609"/>
      <c r="ASV81" s="609"/>
      <c r="ASW81" s="609"/>
      <c r="ASX81" s="609"/>
      <c r="ASY81" s="609"/>
      <c r="ASZ81" s="609"/>
      <c r="ATA81" s="609"/>
      <c r="ATB81" s="609"/>
      <c r="ATC81" s="609"/>
      <c r="ATD81" s="609"/>
      <c r="ATE81" s="609"/>
      <c r="ATF81" s="609"/>
      <c r="ATG81" s="609"/>
      <c r="ATH81" s="609"/>
      <c r="ATI81" s="609"/>
      <c r="ATJ81" s="609"/>
      <c r="ATK81" s="609"/>
      <c r="ATL81" s="609"/>
      <c r="ATM81" s="609"/>
      <c r="ATN81" s="609"/>
      <c r="ATO81" s="609"/>
      <c r="ATP81" s="609"/>
      <c r="ATQ81" s="609"/>
      <c r="ATR81" s="609"/>
      <c r="ATS81" s="609"/>
      <c r="ATT81" s="609"/>
      <c r="ATU81" s="609"/>
      <c r="ATV81" s="609"/>
      <c r="ATW81" s="609"/>
      <c r="ATX81" s="609"/>
      <c r="ATY81" s="609"/>
      <c r="ATZ81" s="609"/>
      <c r="AUA81" s="609"/>
      <c r="AUB81" s="609"/>
      <c r="AUC81" s="609"/>
      <c r="AUD81" s="609"/>
      <c r="AUE81" s="609"/>
      <c r="AUF81" s="609"/>
      <c r="AUG81" s="609"/>
      <c r="AUH81" s="609"/>
      <c r="AUI81" s="609"/>
      <c r="AUJ81" s="609"/>
      <c r="AUK81" s="609"/>
      <c r="AUL81" s="609"/>
      <c r="AUM81" s="609"/>
      <c r="AUN81" s="609"/>
      <c r="AUO81" s="609"/>
      <c r="AUP81" s="609"/>
      <c r="AUQ81" s="609"/>
      <c r="AUR81" s="609"/>
      <c r="AUS81" s="609"/>
      <c r="AUT81" s="609"/>
      <c r="AUU81" s="609"/>
      <c r="AUV81" s="609"/>
      <c r="AUW81" s="609"/>
      <c r="AUX81" s="609"/>
      <c r="AUY81" s="609"/>
      <c r="AUZ81" s="609"/>
      <c r="AVA81" s="609"/>
      <c r="AVB81" s="609"/>
      <c r="AVC81" s="609"/>
      <c r="AVD81" s="609"/>
      <c r="AVE81" s="609"/>
      <c r="AVF81" s="609"/>
      <c r="AVG81" s="609"/>
      <c r="AVH81" s="609"/>
      <c r="AVI81" s="609"/>
      <c r="AVJ81" s="609"/>
      <c r="AVK81" s="609"/>
      <c r="AVL81" s="609"/>
      <c r="AVM81" s="609"/>
      <c r="AVN81" s="609"/>
      <c r="AVO81" s="609"/>
      <c r="AVP81" s="609"/>
      <c r="AVQ81" s="609"/>
      <c r="AVR81" s="609"/>
      <c r="AVS81" s="609"/>
      <c r="AVT81" s="609"/>
      <c r="AVU81" s="609"/>
      <c r="AVV81" s="609"/>
      <c r="AVW81" s="609"/>
      <c r="AVX81" s="609"/>
      <c r="AVY81" s="609"/>
      <c r="AVZ81" s="609"/>
      <c r="AWA81" s="609"/>
      <c r="AWB81" s="609"/>
      <c r="AWC81" s="609"/>
      <c r="AWD81" s="609"/>
      <c r="AWE81" s="609"/>
      <c r="AWF81" s="609"/>
      <c r="AWG81" s="609"/>
      <c r="AWH81" s="609"/>
      <c r="AWI81" s="609"/>
      <c r="AWJ81" s="609"/>
      <c r="AWK81" s="609"/>
      <c r="AWL81" s="609"/>
      <c r="AWM81" s="609"/>
      <c r="AWN81" s="609"/>
      <c r="AWO81" s="609"/>
      <c r="AWP81" s="609"/>
      <c r="AWQ81" s="609"/>
      <c r="AWR81" s="609"/>
      <c r="AWS81" s="609"/>
      <c r="AWT81" s="609"/>
      <c r="AWU81" s="609"/>
      <c r="AWV81" s="609"/>
      <c r="AWW81" s="609"/>
      <c r="AWX81" s="609"/>
      <c r="AWY81" s="609"/>
      <c r="AWZ81" s="609"/>
      <c r="AXA81" s="609"/>
      <c r="AXB81" s="609"/>
      <c r="AXC81" s="609"/>
      <c r="AXD81" s="609"/>
      <c r="AXE81" s="609"/>
      <c r="AXF81" s="609"/>
      <c r="AXG81" s="609"/>
      <c r="AXH81" s="609"/>
      <c r="AXI81" s="609"/>
      <c r="AXJ81" s="609"/>
      <c r="AXK81" s="609"/>
      <c r="AXL81" s="609"/>
      <c r="AXM81" s="609"/>
      <c r="AXN81" s="609"/>
      <c r="AXO81" s="609"/>
      <c r="AXP81" s="609"/>
      <c r="AXQ81" s="609"/>
      <c r="AXR81" s="609"/>
      <c r="AXS81" s="609"/>
      <c r="AXT81" s="609"/>
      <c r="AXU81" s="609"/>
      <c r="AXV81" s="609"/>
      <c r="AXW81" s="609"/>
      <c r="AXX81" s="609"/>
      <c r="AXY81" s="609"/>
      <c r="AXZ81" s="609"/>
      <c r="AYA81" s="609"/>
      <c r="AYB81" s="609"/>
      <c r="AYC81" s="609"/>
      <c r="AYD81" s="609"/>
      <c r="AYE81" s="609"/>
      <c r="AYF81" s="609"/>
      <c r="AYG81" s="609"/>
      <c r="AYH81" s="609"/>
      <c r="AYI81" s="609"/>
      <c r="AYJ81" s="609"/>
      <c r="AYK81" s="609"/>
      <c r="AYL81" s="609"/>
      <c r="AYM81" s="609"/>
      <c r="AYN81" s="609"/>
      <c r="AYO81" s="609"/>
      <c r="AYP81" s="609"/>
      <c r="AYQ81" s="609"/>
      <c r="AYR81" s="609"/>
      <c r="AYS81" s="609"/>
      <c r="AYT81" s="609"/>
      <c r="AYU81" s="609"/>
      <c r="AYV81" s="609"/>
      <c r="AYW81" s="609"/>
      <c r="AYX81" s="609"/>
      <c r="AYY81" s="609"/>
      <c r="AYZ81" s="609"/>
      <c r="AZA81" s="609"/>
      <c r="AZB81" s="609"/>
      <c r="AZC81" s="609"/>
      <c r="AZD81" s="609"/>
      <c r="AZE81" s="609"/>
      <c r="AZF81" s="609"/>
      <c r="AZG81" s="609"/>
      <c r="AZH81" s="609"/>
      <c r="AZI81" s="609"/>
      <c r="AZJ81" s="609"/>
      <c r="AZK81" s="609"/>
      <c r="AZL81" s="609"/>
      <c r="AZM81" s="609"/>
      <c r="AZN81" s="609"/>
      <c r="AZO81" s="609"/>
      <c r="AZP81" s="609"/>
      <c r="AZQ81" s="609"/>
      <c r="AZR81" s="609"/>
      <c r="AZS81" s="609"/>
      <c r="AZT81" s="609"/>
      <c r="AZU81" s="609"/>
      <c r="AZV81" s="609"/>
      <c r="AZW81" s="609"/>
      <c r="AZX81" s="609"/>
      <c r="AZY81" s="609"/>
      <c r="AZZ81" s="609"/>
      <c r="BAA81" s="609"/>
      <c r="BAB81" s="609"/>
      <c r="BAC81" s="609"/>
      <c r="BAD81" s="609"/>
      <c r="BAE81" s="609"/>
      <c r="BAF81" s="609"/>
      <c r="BAG81" s="609"/>
      <c r="BAH81" s="609"/>
      <c r="BAI81" s="609"/>
      <c r="BAJ81" s="609"/>
      <c r="BAK81" s="609"/>
      <c r="BAL81" s="609"/>
      <c r="BAM81" s="609"/>
      <c r="BAN81" s="609"/>
      <c r="BAO81" s="609"/>
      <c r="BAP81" s="609"/>
      <c r="BAQ81" s="609"/>
      <c r="BAR81" s="609"/>
      <c r="BAS81" s="609"/>
      <c r="BAT81" s="609"/>
      <c r="BAU81" s="609"/>
      <c r="BAV81" s="609"/>
      <c r="BAW81" s="609"/>
      <c r="BAX81" s="609"/>
      <c r="BAY81" s="609"/>
      <c r="BAZ81" s="609"/>
      <c r="BBA81" s="609"/>
      <c r="BBB81" s="609"/>
      <c r="BBC81" s="609"/>
      <c r="BBD81" s="609"/>
      <c r="BBE81" s="609"/>
      <c r="BBF81" s="609"/>
      <c r="BBG81" s="609"/>
      <c r="BBH81" s="609"/>
      <c r="BBI81" s="609"/>
      <c r="BBJ81" s="609"/>
      <c r="BBK81" s="609"/>
      <c r="BBL81" s="609"/>
      <c r="BBM81" s="609"/>
      <c r="BBN81" s="609"/>
      <c r="BBO81" s="609"/>
      <c r="BBP81" s="609"/>
      <c r="BBQ81" s="609"/>
      <c r="BBR81" s="609"/>
      <c r="BBS81" s="609"/>
      <c r="BBT81" s="609"/>
      <c r="BBU81" s="609"/>
      <c r="BBV81" s="609"/>
      <c r="BBW81" s="609"/>
      <c r="BBX81" s="609"/>
      <c r="BBY81" s="609"/>
      <c r="BBZ81" s="609"/>
      <c r="BCA81" s="609"/>
      <c r="BCB81" s="609"/>
      <c r="BCC81" s="609"/>
      <c r="BCD81" s="609"/>
      <c r="BCE81" s="609"/>
      <c r="BCF81" s="609"/>
      <c r="BCG81" s="609"/>
      <c r="BCH81" s="609"/>
      <c r="BCI81" s="609"/>
      <c r="BCJ81" s="609"/>
      <c r="BCK81" s="609"/>
      <c r="BCL81" s="609"/>
      <c r="BCM81" s="609"/>
      <c r="BCN81" s="609"/>
      <c r="BCO81" s="609"/>
      <c r="BCP81" s="609"/>
      <c r="BCQ81" s="609"/>
      <c r="BCR81" s="609"/>
      <c r="BCS81" s="609"/>
      <c r="BCT81" s="609"/>
      <c r="BCU81" s="609"/>
      <c r="BCV81" s="609"/>
      <c r="BCW81" s="609"/>
      <c r="BCX81" s="609"/>
      <c r="BCY81" s="609"/>
      <c r="BCZ81" s="609"/>
      <c r="BDA81" s="609"/>
      <c r="BDB81" s="609"/>
      <c r="BDC81" s="609"/>
      <c r="BDD81" s="609"/>
      <c r="BDE81" s="609"/>
      <c r="BDF81" s="609"/>
      <c r="BDG81" s="609"/>
      <c r="BDH81" s="609"/>
      <c r="BDI81" s="609"/>
      <c r="BDJ81" s="609"/>
      <c r="BDK81" s="609"/>
      <c r="BDL81" s="609"/>
      <c r="BDM81" s="609"/>
      <c r="BDN81" s="609"/>
      <c r="BDO81" s="609"/>
      <c r="BDP81" s="609"/>
      <c r="BDQ81" s="609"/>
      <c r="BDR81" s="609"/>
      <c r="BDS81" s="609"/>
      <c r="BDT81" s="609"/>
      <c r="BDU81" s="609"/>
      <c r="BDV81" s="609"/>
      <c r="BDW81" s="609"/>
      <c r="BDX81" s="609"/>
      <c r="BDY81" s="609"/>
      <c r="BDZ81" s="609"/>
      <c r="BEA81" s="609"/>
      <c r="BEB81" s="609"/>
      <c r="BEC81" s="609"/>
      <c r="BED81" s="609"/>
      <c r="BEE81" s="609"/>
      <c r="BEF81" s="609"/>
      <c r="BEG81" s="609"/>
      <c r="BEH81" s="609"/>
      <c r="BEI81" s="609"/>
      <c r="BEJ81" s="609"/>
      <c r="BEK81" s="609"/>
      <c r="BEL81" s="609"/>
      <c r="BEM81" s="609"/>
      <c r="BEN81" s="609"/>
      <c r="BEO81" s="609"/>
      <c r="BEP81" s="609"/>
      <c r="BEQ81" s="609"/>
      <c r="BER81" s="609"/>
      <c r="BES81" s="609"/>
      <c r="BET81" s="609"/>
      <c r="BEU81" s="609"/>
      <c r="BEV81" s="609"/>
      <c r="BEW81" s="609"/>
      <c r="BEX81" s="609"/>
      <c r="BEY81" s="609"/>
      <c r="BEZ81" s="609"/>
      <c r="BFA81" s="609"/>
      <c r="BFB81" s="609"/>
      <c r="BFC81" s="609"/>
      <c r="BFD81" s="609"/>
      <c r="BFE81" s="609"/>
      <c r="BFF81" s="609"/>
      <c r="BFG81" s="609"/>
      <c r="BFH81" s="609"/>
      <c r="BFI81" s="609"/>
      <c r="BFJ81" s="609"/>
      <c r="BFK81" s="609"/>
      <c r="BFL81" s="609"/>
      <c r="BFM81" s="609"/>
      <c r="BFN81" s="609"/>
      <c r="BFO81" s="609"/>
      <c r="BFP81" s="609"/>
      <c r="BFQ81" s="609"/>
      <c r="BFR81" s="609"/>
      <c r="BFS81" s="609"/>
      <c r="BFT81" s="609"/>
      <c r="BFU81" s="609"/>
      <c r="BFV81" s="609"/>
      <c r="BFW81" s="609"/>
      <c r="BFX81" s="609"/>
      <c r="BFY81" s="609"/>
      <c r="BFZ81" s="609"/>
      <c r="BGA81" s="609"/>
      <c r="BGB81" s="609"/>
      <c r="BGC81" s="609"/>
      <c r="BGD81" s="609"/>
      <c r="BGE81" s="609"/>
      <c r="BGF81" s="609"/>
      <c r="BGG81" s="609"/>
      <c r="BGH81" s="609"/>
      <c r="BGI81" s="609"/>
      <c r="BGJ81" s="609"/>
      <c r="BGK81" s="609"/>
      <c r="BGL81" s="609"/>
      <c r="BGM81" s="609"/>
      <c r="BGN81" s="609"/>
      <c r="BGO81" s="609"/>
      <c r="BGP81" s="609"/>
      <c r="BGQ81" s="609"/>
      <c r="BGR81" s="609"/>
      <c r="BGS81" s="609"/>
      <c r="BGT81" s="609"/>
      <c r="BGU81" s="609"/>
      <c r="BGV81" s="609"/>
      <c r="BGW81" s="609"/>
      <c r="BGX81" s="609"/>
      <c r="BGY81" s="609"/>
      <c r="BGZ81" s="609"/>
      <c r="BHA81" s="609"/>
      <c r="BHB81" s="609"/>
      <c r="BHC81" s="609"/>
      <c r="BHD81" s="609"/>
      <c r="BHE81" s="609"/>
      <c r="BHF81" s="609"/>
      <c r="BHG81" s="609"/>
      <c r="BHH81" s="609"/>
      <c r="BHI81" s="609"/>
      <c r="BHJ81" s="609"/>
      <c r="BHK81" s="609"/>
      <c r="BHL81" s="609"/>
      <c r="BHM81" s="609"/>
      <c r="BHN81" s="609"/>
      <c r="BHO81" s="609"/>
      <c r="BHP81" s="609"/>
      <c r="BHQ81" s="609"/>
      <c r="BHR81" s="609"/>
      <c r="BHS81" s="609"/>
      <c r="BHT81" s="609"/>
      <c r="BHU81" s="609"/>
      <c r="BHV81" s="609"/>
      <c r="BHW81" s="609"/>
      <c r="BHX81" s="609"/>
      <c r="BHY81" s="609"/>
      <c r="BHZ81" s="609"/>
      <c r="BIA81" s="609"/>
      <c r="BIB81" s="609"/>
      <c r="BIC81" s="609"/>
      <c r="BID81" s="609"/>
      <c r="BIE81" s="609"/>
      <c r="BIF81" s="609"/>
      <c r="BIG81" s="609"/>
      <c r="BIH81" s="609"/>
      <c r="BII81" s="609"/>
      <c r="BIJ81" s="609"/>
      <c r="BIK81" s="609"/>
      <c r="BIL81" s="609"/>
      <c r="BIM81" s="609"/>
      <c r="BIN81" s="609"/>
      <c r="BIO81" s="609"/>
      <c r="BIP81" s="609"/>
      <c r="BIQ81" s="609"/>
      <c r="BIR81" s="609"/>
      <c r="BIS81" s="609"/>
      <c r="BIT81" s="609"/>
      <c r="BIU81" s="609"/>
      <c r="BIV81" s="609"/>
      <c r="BIW81" s="609"/>
      <c r="BIX81" s="609"/>
      <c r="BIY81" s="609"/>
      <c r="BIZ81" s="609"/>
      <c r="BJA81" s="609"/>
      <c r="BJB81" s="609"/>
      <c r="BJC81" s="609"/>
      <c r="BJD81" s="609"/>
      <c r="BJE81" s="609"/>
      <c r="BJF81" s="609"/>
      <c r="BJG81" s="609"/>
      <c r="BJH81" s="609"/>
      <c r="BJI81" s="609"/>
      <c r="BJJ81" s="609"/>
      <c r="BJK81" s="609"/>
      <c r="BJL81" s="609"/>
      <c r="BJM81" s="609"/>
      <c r="BJN81" s="609"/>
      <c r="BJO81" s="609"/>
      <c r="BJP81" s="609"/>
      <c r="BJQ81" s="609"/>
      <c r="BJR81" s="609"/>
      <c r="BJS81" s="609"/>
      <c r="BJT81" s="609"/>
      <c r="BJU81" s="609"/>
      <c r="BJV81" s="609"/>
      <c r="BJW81" s="609"/>
      <c r="BJX81" s="609"/>
      <c r="BJY81" s="609"/>
      <c r="BJZ81" s="609"/>
      <c r="BKA81" s="609"/>
      <c r="BKB81" s="609"/>
      <c r="BKC81" s="609"/>
      <c r="BKD81" s="609"/>
      <c r="BKE81" s="609"/>
      <c r="BKF81" s="609"/>
      <c r="BKG81" s="609"/>
      <c r="BKH81" s="609"/>
      <c r="BKI81" s="609"/>
      <c r="BKJ81" s="609"/>
      <c r="BKK81" s="609"/>
      <c r="BKL81" s="609"/>
      <c r="BKM81" s="609"/>
      <c r="BKN81" s="609"/>
      <c r="BKO81" s="609"/>
      <c r="BKP81" s="609"/>
      <c r="BKQ81" s="609"/>
      <c r="BKR81" s="609"/>
      <c r="BKS81" s="609"/>
      <c r="BKT81" s="609"/>
      <c r="BKU81" s="609"/>
      <c r="BKV81" s="609"/>
      <c r="BKW81" s="609"/>
      <c r="BKX81" s="609"/>
      <c r="BKY81" s="609"/>
      <c r="BKZ81" s="609"/>
      <c r="BLA81" s="609"/>
      <c r="BLB81" s="609"/>
      <c r="BLC81" s="609"/>
      <c r="BLD81" s="609"/>
      <c r="BLE81" s="609"/>
      <c r="BLF81" s="609"/>
      <c r="BLG81" s="609"/>
      <c r="BLH81" s="609"/>
      <c r="BLI81" s="609"/>
      <c r="BLJ81" s="609"/>
      <c r="BLK81" s="609"/>
      <c r="BLL81" s="609"/>
      <c r="BLM81" s="609"/>
      <c r="BLN81" s="609"/>
      <c r="BLO81" s="609"/>
      <c r="BLP81" s="609"/>
      <c r="BLQ81" s="609"/>
      <c r="BLR81" s="609"/>
      <c r="BLS81" s="609"/>
      <c r="BLT81" s="609"/>
      <c r="BLU81" s="609"/>
      <c r="BLV81" s="609"/>
      <c r="BLW81" s="609"/>
      <c r="BLX81" s="609"/>
      <c r="BLY81" s="609"/>
      <c r="BLZ81" s="609"/>
      <c r="BMA81" s="609"/>
      <c r="BMB81" s="609"/>
      <c r="BMC81" s="609"/>
      <c r="BMD81" s="609"/>
      <c r="BME81" s="609"/>
      <c r="BMF81" s="609"/>
      <c r="BMG81" s="609"/>
      <c r="BMH81" s="609"/>
      <c r="BMI81" s="609"/>
      <c r="BMJ81" s="609"/>
      <c r="BMK81" s="609"/>
      <c r="BML81" s="609"/>
      <c r="BMM81" s="609"/>
      <c r="BMN81" s="609"/>
      <c r="BMO81" s="609"/>
      <c r="BMP81" s="609"/>
      <c r="BMQ81" s="609"/>
      <c r="BMR81" s="609"/>
      <c r="BMS81" s="609"/>
      <c r="BMT81" s="609"/>
      <c r="BMU81" s="609"/>
      <c r="BMV81" s="609"/>
      <c r="BMW81" s="609"/>
      <c r="BMX81" s="609"/>
      <c r="BMY81" s="609"/>
      <c r="BMZ81" s="609"/>
      <c r="BNA81" s="609"/>
      <c r="BNB81" s="609"/>
      <c r="BNC81" s="609"/>
      <c r="BND81" s="609"/>
      <c r="BNE81" s="609"/>
      <c r="BNF81" s="609"/>
      <c r="BNG81" s="609"/>
      <c r="BNH81" s="609"/>
      <c r="BNI81" s="609"/>
      <c r="BNJ81" s="609"/>
      <c r="BNK81" s="609"/>
      <c r="BNL81" s="609"/>
      <c r="BNM81" s="609"/>
      <c r="BNN81" s="609"/>
      <c r="BNO81" s="609"/>
      <c r="BNP81" s="609"/>
      <c r="BNQ81" s="609"/>
      <c r="BNR81" s="609"/>
      <c r="BNS81" s="609"/>
      <c r="BNT81" s="609"/>
      <c r="BNU81" s="609"/>
      <c r="BNV81" s="609"/>
      <c r="BNW81" s="609"/>
      <c r="BNX81" s="609"/>
      <c r="BNY81" s="609"/>
      <c r="BNZ81" s="609"/>
      <c r="BOA81" s="609"/>
      <c r="BOB81" s="609"/>
      <c r="BOC81" s="609"/>
      <c r="BOD81" s="609"/>
      <c r="BOE81" s="609"/>
      <c r="BOF81" s="609"/>
      <c r="BOG81" s="609"/>
      <c r="BOH81" s="609"/>
      <c r="BOI81" s="609"/>
      <c r="BOJ81" s="609"/>
      <c r="BOK81" s="609"/>
      <c r="BOL81" s="609"/>
      <c r="BOM81" s="609"/>
      <c r="BON81" s="609"/>
      <c r="BOO81" s="609"/>
      <c r="BOP81" s="609"/>
      <c r="BOQ81" s="609"/>
      <c r="BOR81" s="609"/>
      <c r="BOS81" s="609"/>
      <c r="BOT81" s="609"/>
      <c r="BOU81" s="609"/>
      <c r="BOV81" s="609"/>
      <c r="BOW81" s="609"/>
      <c r="BOX81" s="609"/>
      <c r="BOY81" s="609"/>
      <c r="BOZ81" s="609"/>
      <c r="BPA81" s="609"/>
      <c r="BPB81" s="609"/>
      <c r="BPC81" s="609"/>
      <c r="BPD81" s="609"/>
      <c r="BPE81" s="609"/>
      <c r="BPF81" s="609"/>
      <c r="BPG81" s="609"/>
      <c r="BPH81" s="609"/>
      <c r="BPI81" s="609"/>
      <c r="BPJ81" s="609"/>
      <c r="BPK81" s="609"/>
      <c r="BPL81" s="609"/>
      <c r="BPM81" s="609"/>
      <c r="BPN81" s="609"/>
      <c r="BPO81" s="609"/>
      <c r="BPP81" s="609"/>
      <c r="BPQ81" s="609"/>
      <c r="BPR81" s="609"/>
      <c r="BPS81" s="609"/>
      <c r="BPT81" s="609"/>
      <c r="BPU81" s="609"/>
      <c r="BPV81" s="609"/>
      <c r="BPW81" s="609"/>
      <c r="BPX81" s="609"/>
      <c r="BPY81" s="609"/>
      <c r="BPZ81" s="609"/>
      <c r="BQA81" s="609"/>
      <c r="BQB81" s="609"/>
      <c r="BQC81" s="609"/>
      <c r="BQD81" s="609"/>
      <c r="BQE81" s="609"/>
      <c r="BQF81" s="609"/>
      <c r="BQG81" s="609"/>
      <c r="BQH81" s="609"/>
      <c r="BQI81" s="609"/>
      <c r="BQJ81" s="609"/>
      <c r="BQK81" s="609"/>
      <c r="BQL81" s="609"/>
      <c r="BQM81" s="609"/>
      <c r="BQN81" s="609"/>
      <c r="BQO81" s="609"/>
      <c r="BQP81" s="609"/>
      <c r="BQQ81" s="609"/>
      <c r="BQR81" s="609"/>
      <c r="BQS81" s="609"/>
      <c r="BQT81" s="609"/>
      <c r="BQU81" s="609"/>
      <c r="BQV81" s="609"/>
      <c r="BQW81" s="609"/>
      <c r="BQX81" s="609"/>
      <c r="BQY81" s="609"/>
      <c r="BQZ81" s="609"/>
      <c r="BRA81" s="609"/>
      <c r="BRB81" s="609"/>
      <c r="BRC81" s="609"/>
      <c r="BRD81" s="609"/>
      <c r="BRE81" s="609"/>
      <c r="BRF81" s="609"/>
      <c r="BRG81" s="609"/>
      <c r="BRH81" s="609"/>
      <c r="BRI81" s="609"/>
      <c r="BRJ81" s="609"/>
      <c r="BRK81" s="609"/>
      <c r="BRL81" s="609"/>
      <c r="BRM81" s="609"/>
      <c r="BRN81" s="609"/>
      <c r="BRO81" s="609"/>
      <c r="BRP81" s="609"/>
      <c r="BRQ81" s="609"/>
      <c r="BRR81" s="609"/>
      <c r="BRS81" s="609"/>
      <c r="BRT81" s="609"/>
      <c r="BRU81" s="609"/>
      <c r="BRV81" s="609"/>
      <c r="BRW81" s="609"/>
      <c r="BRX81" s="609"/>
      <c r="BRY81" s="609"/>
      <c r="BRZ81" s="609"/>
      <c r="BSA81" s="609"/>
      <c r="BSB81" s="609"/>
      <c r="BSC81" s="609"/>
      <c r="BSD81" s="609"/>
      <c r="BSE81" s="609"/>
      <c r="BSF81" s="609"/>
      <c r="BSG81" s="609"/>
      <c r="BSH81" s="609"/>
      <c r="BSI81" s="609"/>
      <c r="BSJ81" s="609"/>
      <c r="BSK81" s="609"/>
      <c r="BSL81" s="609"/>
      <c r="BSM81" s="609"/>
      <c r="BSN81" s="609"/>
      <c r="BSO81" s="609"/>
      <c r="BSP81" s="609"/>
      <c r="BSQ81" s="609"/>
      <c r="BSR81" s="609"/>
      <c r="BSS81" s="609"/>
      <c r="BST81" s="609"/>
      <c r="BSU81" s="609"/>
      <c r="BSV81" s="609"/>
      <c r="BSW81" s="609"/>
      <c r="BSX81" s="609"/>
      <c r="BSY81" s="609"/>
      <c r="BSZ81" s="609"/>
      <c r="BTA81" s="609"/>
      <c r="BTB81" s="609"/>
      <c r="BTC81" s="609"/>
      <c r="BTD81" s="609"/>
      <c r="BTE81" s="609"/>
      <c r="BTF81" s="609"/>
      <c r="BTG81" s="609"/>
      <c r="BTH81" s="609"/>
      <c r="BTI81" s="609"/>
      <c r="BTJ81" s="609"/>
      <c r="BTK81" s="609"/>
      <c r="BTL81" s="609"/>
      <c r="BTM81" s="609"/>
      <c r="BTN81" s="609"/>
      <c r="BTO81" s="609"/>
      <c r="BTP81" s="609"/>
      <c r="BTQ81" s="609"/>
      <c r="BTR81" s="609"/>
      <c r="BTS81" s="609"/>
      <c r="BTT81" s="609"/>
      <c r="BTU81" s="609"/>
      <c r="BTV81" s="609"/>
      <c r="BTW81" s="609"/>
      <c r="BTX81" s="609"/>
      <c r="BTY81" s="609"/>
      <c r="BTZ81" s="609"/>
      <c r="BUA81" s="609"/>
      <c r="BUB81" s="609"/>
      <c r="BUC81" s="609"/>
      <c r="BUD81" s="609"/>
      <c r="BUE81" s="609"/>
      <c r="BUF81" s="609"/>
      <c r="BUG81" s="609"/>
      <c r="BUH81" s="609"/>
      <c r="BUI81" s="609"/>
      <c r="BUJ81" s="609"/>
      <c r="BUK81" s="609"/>
      <c r="BUL81" s="609"/>
      <c r="BUM81" s="609"/>
      <c r="BUN81" s="609"/>
      <c r="BUO81" s="609"/>
      <c r="BUP81" s="609"/>
      <c r="BUQ81" s="609"/>
      <c r="BUR81" s="609"/>
      <c r="BUS81" s="609"/>
      <c r="BUT81" s="609"/>
      <c r="BUU81" s="609"/>
      <c r="BUV81" s="609"/>
      <c r="BUW81" s="609"/>
      <c r="BUX81" s="609"/>
      <c r="BUY81" s="609"/>
      <c r="BUZ81" s="609"/>
      <c r="BVA81" s="609"/>
      <c r="BVB81" s="609"/>
      <c r="BVC81" s="609"/>
      <c r="BVD81" s="609"/>
      <c r="BVE81" s="609"/>
      <c r="BVF81" s="609"/>
      <c r="BVG81" s="609"/>
      <c r="BVH81" s="609"/>
      <c r="BVI81" s="609"/>
      <c r="BVJ81" s="609"/>
      <c r="BVK81" s="609"/>
      <c r="BVL81" s="609"/>
      <c r="BVM81" s="609"/>
      <c r="BVN81" s="609"/>
      <c r="BVO81" s="609"/>
      <c r="BVP81" s="609"/>
      <c r="BVQ81" s="609"/>
      <c r="BVR81" s="609"/>
      <c r="BVS81" s="609"/>
      <c r="BVT81" s="609"/>
      <c r="BVU81" s="609"/>
      <c r="BVV81" s="609"/>
      <c r="BVW81" s="609"/>
      <c r="BVX81" s="609"/>
      <c r="BVY81" s="609"/>
      <c r="BVZ81" s="609"/>
      <c r="BWA81" s="609"/>
      <c r="BWB81" s="609"/>
      <c r="BWC81" s="609"/>
      <c r="BWD81" s="609"/>
      <c r="BWE81" s="609"/>
      <c r="BWF81" s="609"/>
      <c r="BWG81" s="609"/>
      <c r="BWH81" s="609"/>
      <c r="BWI81" s="609"/>
      <c r="BWJ81" s="609"/>
      <c r="BWK81" s="609"/>
      <c r="BWL81" s="609"/>
      <c r="BWM81" s="609"/>
      <c r="BWN81" s="609"/>
      <c r="BWO81" s="609"/>
      <c r="BWP81" s="609"/>
      <c r="BWQ81" s="609"/>
      <c r="BWR81" s="609"/>
      <c r="BWS81" s="609"/>
      <c r="BWT81" s="609"/>
      <c r="BWU81" s="609"/>
      <c r="BWV81" s="609"/>
      <c r="BWW81" s="609"/>
      <c r="BWX81" s="609"/>
      <c r="BWY81" s="609"/>
      <c r="BWZ81" s="609"/>
      <c r="BXA81" s="609"/>
      <c r="BXB81" s="609"/>
      <c r="BXC81" s="609"/>
      <c r="BXD81" s="609"/>
      <c r="BXE81" s="609"/>
      <c r="BXF81" s="609"/>
      <c r="BXG81" s="609"/>
      <c r="BXH81" s="609"/>
      <c r="BXI81" s="609"/>
      <c r="BXJ81" s="609"/>
      <c r="BXK81" s="609"/>
      <c r="BXL81" s="609"/>
      <c r="BXM81" s="609"/>
      <c r="BXN81" s="609"/>
      <c r="BXO81" s="609"/>
      <c r="BXP81" s="609"/>
      <c r="BXQ81" s="609"/>
      <c r="BXR81" s="609"/>
      <c r="BXS81" s="609"/>
      <c r="BXT81" s="609"/>
      <c r="BXU81" s="609"/>
      <c r="BXV81" s="609"/>
      <c r="BXW81" s="609"/>
      <c r="BXX81" s="609"/>
      <c r="BXY81" s="609"/>
      <c r="BXZ81" s="609"/>
      <c r="BYA81" s="609"/>
      <c r="BYB81" s="609"/>
      <c r="BYC81" s="609"/>
      <c r="BYD81" s="609"/>
      <c r="BYE81" s="609"/>
      <c r="BYF81" s="609"/>
      <c r="BYG81" s="609"/>
      <c r="BYH81" s="609"/>
      <c r="BYI81" s="609"/>
      <c r="BYJ81" s="609"/>
      <c r="BYK81" s="609"/>
      <c r="BYL81" s="609"/>
      <c r="BYM81" s="609"/>
      <c r="BYN81" s="609"/>
      <c r="BYO81" s="609"/>
      <c r="BYP81" s="609"/>
      <c r="BYQ81" s="609"/>
      <c r="BYR81" s="609"/>
      <c r="BYS81" s="609"/>
      <c r="BYT81" s="609"/>
      <c r="BYU81" s="609"/>
      <c r="BYV81" s="609"/>
      <c r="BYW81" s="609"/>
      <c r="BYX81" s="609"/>
      <c r="BYY81" s="609"/>
      <c r="BYZ81" s="609"/>
      <c r="BZA81" s="609"/>
      <c r="BZB81" s="609"/>
      <c r="BZC81" s="609"/>
      <c r="BZD81" s="609"/>
      <c r="BZE81" s="609"/>
      <c r="BZF81" s="609"/>
      <c r="BZG81" s="609"/>
      <c r="BZH81" s="609"/>
      <c r="BZI81" s="609"/>
      <c r="BZJ81" s="609"/>
      <c r="BZK81" s="609"/>
      <c r="BZL81" s="609"/>
      <c r="BZM81" s="609"/>
      <c r="BZN81" s="609"/>
      <c r="BZO81" s="609"/>
      <c r="BZP81" s="609"/>
      <c r="BZQ81" s="609"/>
      <c r="BZR81" s="609"/>
      <c r="BZS81" s="609"/>
      <c r="BZT81" s="609"/>
      <c r="BZU81" s="609"/>
      <c r="BZV81" s="609"/>
      <c r="BZW81" s="609"/>
      <c r="BZX81" s="609"/>
      <c r="BZY81" s="609"/>
      <c r="BZZ81" s="609"/>
      <c r="CAA81" s="609"/>
      <c r="CAB81" s="609"/>
      <c r="CAC81" s="609"/>
      <c r="CAD81" s="609"/>
      <c r="CAE81" s="609"/>
      <c r="CAF81" s="609"/>
      <c r="CAG81" s="609"/>
      <c r="CAH81" s="609"/>
      <c r="CAI81" s="609"/>
      <c r="CAJ81" s="609"/>
      <c r="CAK81" s="609"/>
      <c r="CAL81" s="609"/>
      <c r="CAM81" s="609"/>
      <c r="CAN81" s="609"/>
      <c r="CAO81" s="609"/>
      <c r="CAP81" s="609"/>
      <c r="CAQ81" s="609"/>
      <c r="CAR81" s="609"/>
      <c r="CAS81" s="609"/>
      <c r="CAT81" s="609"/>
      <c r="CAU81" s="609"/>
      <c r="CAV81" s="609"/>
      <c r="CAW81" s="609"/>
      <c r="CAX81" s="609"/>
      <c r="CAY81" s="609"/>
      <c r="CAZ81" s="609"/>
      <c r="CBA81" s="609"/>
      <c r="CBB81" s="609"/>
      <c r="CBC81" s="609"/>
      <c r="CBD81" s="609"/>
      <c r="CBE81" s="609"/>
      <c r="CBF81" s="609"/>
      <c r="CBG81" s="609"/>
      <c r="CBH81" s="609"/>
      <c r="CBI81" s="609"/>
      <c r="CBJ81" s="609"/>
      <c r="CBK81" s="609"/>
      <c r="CBL81" s="609"/>
      <c r="CBM81" s="609"/>
      <c r="CBN81" s="609"/>
      <c r="CBO81" s="609"/>
      <c r="CBP81" s="609"/>
      <c r="CBQ81" s="609"/>
      <c r="CBR81" s="609"/>
      <c r="CBS81" s="609"/>
      <c r="CBT81" s="609"/>
      <c r="CBU81" s="609"/>
      <c r="CBV81" s="609"/>
      <c r="CBW81" s="609"/>
      <c r="CBX81" s="609"/>
      <c r="CBY81" s="609"/>
      <c r="CBZ81" s="609"/>
      <c r="CCA81" s="609"/>
      <c r="CCB81" s="609"/>
      <c r="CCC81" s="609"/>
      <c r="CCD81" s="609"/>
      <c r="CCE81" s="609"/>
      <c r="CCF81" s="609"/>
      <c r="CCG81" s="609"/>
      <c r="CCH81" s="609"/>
      <c r="CCI81" s="609"/>
      <c r="CCJ81" s="609"/>
      <c r="CCK81" s="609"/>
      <c r="CCL81" s="609"/>
      <c r="CCM81" s="609"/>
      <c r="CCN81" s="609"/>
      <c r="CCO81" s="609"/>
      <c r="CCP81" s="609"/>
      <c r="CCQ81" s="609"/>
      <c r="CCR81" s="609"/>
      <c r="CCS81" s="609"/>
      <c r="CCT81" s="609"/>
      <c r="CCU81" s="609"/>
      <c r="CCV81" s="609"/>
      <c r="CCW81" s="609"/>
      <c r="CCX81" s="609"/>
      <c r="CCY81" s="609"/>
      <c r="CCZ81" s="609"/>
      <c r="CDA81" s="609"/>
      <c r="CDB81" s="609"/>
      <c r="CDC81" s="609"/>
      <c r="CDD81" s="609"/>
      <c r="CDE81" s="609"/>
      <c r="CDF81" s="609"/>
      <c r="CDG81" s="609"/>
      <c r="CDH81" s="609"/>
      <c r="CDI81" s="609"/>
      <c r="CDJ81" s="609"/>
      <c r="CDK81" s="609"/>
      <c r="CDL81" s="609"/>
      <c r="CDM81" s="609"/>
      <c r="CDN81" s="609"/>
      <c r="CDO81" s="609"/>
      <c r="CDP81" s="609"/>
      <c r="CDQ81" s="609"/>
      <c r="CDR81" s="609"/>
      <c r="CDS81" s="609"/>
      <c r="CDT81" s="609"/>
      <c r="CDU81" s="609"/>
      <c r="CDV81" s="609"/>
      <c r="CDW81" s="609"/>
      <c r="CDX81" s="609"/>
      <c r="CDY81" s="609"/>
      <c r="CDZ81" s="609"/>
      <c r="CEA81" s="609"/>
      <c r="CEB81" s="609"/>
      <c r="CEC81" s="609"/>
      <c r="CED81" s="609"/>
      <c r="CEE81" s="609"/>
      <c r="CEF81" s="609"/>
      <c r="CEG81" s="609"/>
      <c r="CEH81" s="609"/>
      <c r="CEI81" s="609"/>
      <c r="CEJ81" s="609"/>
      <c r="CEK81" s="609"/>
      <c r="CEL81" s="609"/>
      <c r="CEM81" s="609"/>
      <c r="CEN81" s="609"/>
      <c r="CEO81" s="609"/>
      <c r="CEP81" s="609"/>
      <c r="CEQ81" s="609"/>
      <c r="CER81" s="609"/>
      <c r="CES81" s="609"/>
      <c r="CET81" s="609"/>
      <c r="CEU81" s="609"/>
      <c r="CEV81" s="609"/>
      <c r="CEW81" s="609"/>
      <c r="CEX81" s="609"/>
      <c r="CEY81" s="609"/>
      <c r="CEZ81" s="609"/>
      <c r="CFA81" s="609"/>
      <c r="CFB81" s="609"/>
      <c r="CFC81" s="609"/>
      <c r="CFD81" s="609"/>
      <c r="CFE81" s="609"/>
      <c r="CFF81" s="609"/>
      <c r="CFG81" s="609"/>
      <c r="CFH81" s="609"/>
      <c r="CFI81" s="609"/>
      <c r="CFJ81" s="609"/>
      <c r="CFK81" s="609"/>
      <c r="CFL81" s="609"/>
      <c r="CFM81" s="609"/>
      <c r="CFN81" s="609"/>
      <c r="CFO81" s="609"/>
      <c r="CFP81" s="609"/>
      <c r="CFQ81" s="609"/>
      <c r="CFR81" s="609"/>
      <c r="CFS81" s="609"/>
      <c r="CFT81" s="609"/>
      <c r="CFU81" s="609"/>
      <c r="CFV81" s="609"/>
      <c r="CFW81" s="609"/>
      <c r="CFX81" s="609"/>
      <c r="CFY81" s="609"/>
      <c r="CFZ81" s="609"/>
      <c r="CGA81" s="609"/>
      <c r="CGB81" s="609"/>
      <c r="CGC81" s="609"/>
      <c r="CGD81" s="609"/>
      <c r="CGE81" s="609"/>
      <c r="CGF81" s="609"/>
      <c r="CGG81" s="609"/>
      <c r="CGH81" s="609"/>
      <c r="CGI81" s="609"/>
      <c r="CGJ81" s="609"/>
      <c r="CGK81" s="609"/>
      <c r="CGL81" s="609"/>
      <c r="CGM81" s="609"/>
      <c r="CGN81" s="609"/>
      <c r="CGO81" s="609"/>
      <c r="CGP81" s="609"/>
      <c r="CGQ81" s="609"/>
      <c r="CGR81" s="609"/>
      <c r="CGS81" s="609"/>
      <c r="CGT81" s="609"/>
      <c r="CGU81" s="609"/>
      <c r="CGV81" s="609"/>
      <c r="CGW81" s="609"/>
      <c r="CGX81" s="609"/>
      <c r="CGY81" s="609"/>
      <c r="CGZ81" s="609"/>
      <c r="CHA81" s="609"/>
      <c r="CHB81" s="609"/>
      <c r="CHC81" s="609"/>
      <c r="CHD81" s="609"/>
      <c r="CHE81" s="609"/>
      <c r="CHF81" s="609"/>
      <c r="CHG81" s="609"/>
      <c r="CHH81" s="609"/>
      <c r="CHI81" s="609"/>
      <c r="CHJ81" s="609"/>
      <c r="CHK81" s="609"/>
      <c r="CHL81" s="609"/>
      <c r="CHM81" s="609"/>
      <c r="CHN81" s="609"/>
      <c r="CHO81" s="609"/>
      <c r="CHP81" s="609"/>
      <c r="CHQ81" s="609"/>
      <c r="CHR81" s="609"/>
      <c r="CHS81" s="609"/>
      <c r="CHT81" s="609"/>
      <c r="CHU81" s="609"/>
      <c r="CHV81" s="609"/>
      <c r="CHW81" s="609"/>
      <c r="CHX81" s="609"/>
      <c r="CHY81" s="609"/>
      <c r="CHZ81" s="609"/>
      <c r="CIA81" s="609"/>
      <c r="CIB81" s="609"/>
      <c r="CIC81" s="609"/>
      <c r="CID81" s="609"/>
      <c r="CIE81" s="609"/>
      <c r="CIF81" s="609"/>
      <c r="CIG81" s="609"/>
      <c r="CIH81" s="609"/>
      <c r="CII81" s="609"/>
      <c r="CIJ81" s="609"/>
      <c r="CIK81" s="609"/>
      <c r="CIL81" s="609"/>
      <c r="CIM81" s="609"/>
      <c r="CIN81" s="609"/>
      <c r="CIO81" s="609"/>
      <c r="CIP81" s="609"/>
      <c r="CIQ81" s="609"/>
      <c r="CIR81" s="609"/>
      <c r="CIS81" s="609"/>
      <c r="CIT81" s="609"/>
      <c r="CIU81" s="609"/>
      <c r="CIV81" s="609"/>
      <c r="CIW81" s="609"/>
      <c r="CIX81" s="609"/>
      <c r="CIY81" s="609"/>
      <c r="CIZ81" s="609"/>
      <c r="CJA81" s="609"/>
      <c r="CJB81" s="609"/>
      <c r="CJC81" s="609"/>
      <c r="CJD81" s="609"/>
      <c r="CJE81" s="609"/>
      <c r="CJF81" s="609"/>
      <c r="CJG81" s="609"/>
      <c r="CJH81" s="609"/>
      <c r="CJI81" s="609"/>
      <c r="CJJ81" s="609"/>
      <c r="CJK81" s="609"/>
      <c r="CJL81" s="609"/>
      <c r="CJM81" s="609"/>
      <c r="CJN81" s="609"/>
      <c r="CJO81" s="609"/>
      <c r="CJP81" s="609"/>
      <c r="CJQ81" s="609"/>
      <c r="CJR81" s="609"/>
      <c r="CJS81" s="609"/>
      <c r="CJT81" s="609"/>
      <c r="CJU81" s="609"/>
      <c r="CJV81" s="609"/>
      <c r="CJW81" s="609"/>
      <c r="CJX81" s="609"/>
      <c r="CJY81" s="609"/>
      <c r="CJZ81" s="609"/>
      <c r="CKA81" s="609"/>
      <c r="CKB81" s="609"/>
      <c r="CKC81" s="609"/>
      <c r="CKD81" s="609"/>
      <c r="CKE81" s="609"/>
      <c r="CKF81" s="609"/>
      <c r="CKG81" s="609"/>
      <c r="CKH81" s="609"/>
      <c r="CKI81" s="609"/>
      <c r="CKJ81" s="609"/>
      <c r="CKK81" s="609"/>
      <c r="CKL81" s="609"/>
      <c r="CKM81" s="609"/>
      <c r="CKN81" s="609"/>
      <c r="CKO81" s="609"/>
      <c r="CKP81" s="609"/>
      <c r="CKQ81" s="609"/>
      <c r="CKR81" s="609"/>
      <c r="CKS81" s="609"/>
      <c r="CKT81" s="609"/>
      <c r="CKU81" s="609"/>
      <c r="CKV81" s="609"/>
      <c r="CKW81" s="609"/>
      <c r="CKX81" s="609"/>
      <c r="CKY81" s="609"/>
      <c r="CKZ81" s="609"/>
      <c r="CLA81" s="609"/>
      <c r="CLB81" s="609"/>
      <c r="CLC81" s="609"/>
      <c r="CLD81" s="609"/>
      <c r="CLE81" s="609"/>
      <c r="CLF81" s="609"/>
      <c r="CLG81" s="609"/>
      <c r="CLH81" s="609"/>
      <c r="CLI81" s="609"/>
      <c r="CLJ81" s="609"/>
      <c r="CLK81" s="609"/>
      <c r="CLL81" s="609"/>
      <c r="CLM81" s="609"/>
      <c r="CLN81" s="609"/>
      <c r="CLO81" s="609"/>
      <c r="CLP81" s="609"/>
      <c r="CLQ81" s="609"/>
      <c r="CLR81" s="609"/>
      <c r="CLS81" s="609"/>
      <c r="CLT81" s="609"/>
      <c r="CLU81" s="609"/>
      <c r="CLV81" s="609"/>
      <c r="CLW81" s="609"/>
      <c r="CLX81" s="609"/>
      <c r="CLY81" s="609"/>
      <c r="CLZ81" s="609"/>
      <c r="CMA81" s="609"/>
      <c r="CMB81" s="609"/>
      <c r="CMC81" s="609"/>
      <c r="CMD81" s="609"/>
      <c r="CME81" s="609"/>
      <c r="CMF81" s="609"/>
      <c r="CMG81" s="609"/>
      <c r="CMH81" s="609"/>
      <c r="CMI81" s="609"/>
      <c r="CMJ81" s="609"/>
      <c r="CMK81" s="609"/>
      <c r="CML81" s="609"/>
      <c r="CMM81" s="609"/>
      <c r="CMN81" s="609"/>
      <c r="CMO81" s="609"/>
      <c r="CMP81" s="609"/>
      <c r="CMQ81" s="609"/>
      <c r="CMR81" s="609"/>
      <c r="CMS81" s="609"/>
      <c r="CMT81" s="609"/>
      <c r="CMU81" s="609"/>
      <c r="CMV81" s="609"/>
      <c r="CMW81" s="609"/>
      <c r="CMX81" s="609"/>
      <c r="CMY81" s="609"/>
      <c r="CMZ81" s="609"/>
      <c r="CNA81" s="609"/>
      <c r="CNB81" s="609"/>
      <c r="CNC81" s="609"/>
      <c r="CND81" s="609"/>
      <c r="CNE81" s="609"/>
      <c r="CNF81" s="609"/>
      <c r="CNG81" s="609"/>
      <c r="CNH81" s="609"/>
      <c r="CNI81" s="609"/>
      <c r="CNJ81" s="609"/>
      <c r="CNK81" s="609"/>
      <c r="CNL81" s="609"/>
      <c r="CNM81" s="609"/>
      <c r="CNN81" s="609"/>
      <c r="CNO81" s="609"/>
      <c r="CNP81" s="609"/>
      <c r="CNQ81" s="609"/>
      <c r="CNR81" s="609"/>
      <c r="CNS81" s="609"/>
      <c r="CNT81" s="609"/>
      <c r="CNU81" s="609"/>
      <c r="CNV81" s="609"/>
      <c r="CNW81" s="609"/>
      <c r="CNX81" s="609"/>
      <c r="CNY81" s="609"/>
      <c r="CNZ81" s="609"/>
      <c r="COA81" s="609"/>
      <c r="COB81" s="609"/>
      <c r="COC81" s="609"/>
      <c r="COD81" s="609"/>
      <c r="COE81" s="609"/>
      <c r="COF81" s="609"/>
      <c r="COG81" s="609"/>
      <c r="COH81" s="609"/>
      <c r="COI81" s="609"/>
      <c r="COJ81" s="609"/>
      <c r="COK81" s="609"/>
      <c r="COL81" s="609"/>
      <c r="COM81" s="609"/>
      <c r="CON81" s="609"/>
      <c r="COO81" s="609"/>
      <c r="COP81" s="609"/>
      <c r="COQ81" s="609"/>
      <c r="COR81" s="609"/>
      <c r="COS81" s="609"/>
      <c r="COT81" s="609"/>
      <c r="COU81" s="609"/>
      <c r="COV81" s="609"/>
      <c r="COW81" s="609"/>
      <c r="COX81" s="609"/>
      <c r="COY81" s="609"/>
      <c r="COZ81" s="609"/>
      <c r="CPA81" s="609"/>
      <c r="CPB81" s="609"/>
      <c r="CPC81" s="609"/>
      <c r="CPD81" s="609"/>
      <c r="CPE81" s="609"/>
      <c r="CPF81" s="609"/>
      <c r="CPG81" s="609"/>
      <c r="CPH81" s="609"/>
      <c r="CPI81" s="609"/>
      <c r="CPJ81" s="609"/>
      <c r="CPK81" s="609"/>
      <c r="CPL81" s="609"/>
      <c r="CPM81" s="609"/>
      <c r="CPN81" s="609"/>
      <c r="CPO81" s="609"/>
      <c r="CPP81" s="609"/>
      <c r="CPQ81" s="609"/>
      <c r="CPR81" s="609"/>
      <c r="CPS81" s="609"/>
      <c r="CPT81" s="609"/>
      <c r="CPU81" s="609"/>
      <c r="CPV81" s="609"/>
      <c r="CPW81" s="609"/>
      <c r="CPX81" s="609"/>
      <c r="CPY81" s="609"/>
      <c r="CPZ81" s="609"/>
      <c r="CQA81" s="609"/>
      <c r="CQB81" s="609"/>
      <c r="CQC81" s="609"/>
      <c r="CQD81" s="609"/>
      <c r="CQE81" s="609"/>
      <c r="CQF81" s="609"/>
      <c r="CQG81" s="609"/>
      <c r="CQH81" s="609"/>
      <c r="CQI81" s="609"/>
      <c r="CQJ81" s="609"/>
      <c r="CQK81" s="609"/>
      <c r="CQL81" s="609"/>
      <c r="CQM81" s="609"/>
      <c r="CQN81" s="609"/>
      <c r="CQO81" s="609"/>
      <c r="CQP81" s="609"/>
      <c r="CQQ81" s="609"/>
      <c r="CQR81" s="609"/>
      <c r="CQS81" s="609"/>
      <c r="CQT81" s="609"/>
      <c r="CQU81" s="609"/>
      <c r="CQV81" s="609"/>
      <c r="CQW81" s="609"/>
      <c r="CQX81" s="609"/>
      <c r="CQY81" s="609"/>
      <c r="CQZ81" s="609"/>
      <c r="CRA81" s="609"/>
      <c r="CRB81" s="609"/>
      <c r="CRC81" s="609"/>
      <c r="CRD81" s="609"/>
      <c r="CRE81" s="609"/>
      <c r="CRF81" s="609"/>
      <c r="CRG81" s="609"/>
      <c r="CRH81" s="609"/>
      <c r="CRI81" s="609"/>
      <c r="CRJ81" s="609"/>
      <c r="CRK81" s="609"/>
      <c r="CRL81" s="609"/>
      <c r="CRM81" s="609"/>
      <c r="CRN81" s="609"/>
      <c r="CRO81" s="609"/>
      <c r="CRP81" s="609"/>
      <c r="CRQ81" s="609"/>
      <c r="CRR81" s="609"/>
      <c r="CRS81" s="609"/>
      <c r="CRT81" s="609"/>
      <c r="CRU81" s="609"/>
      <c r="CRV81" s="609"/>
      <c r="CRW81" s="609"/>
      <c r="CRX81" s="609"/>
      <c r="CRY81" s="609"/>
      <c r="CRZ81" s="609"/>
      <c r="CSA81" s="609"/>
      <c r="CSB81" s="609"/>
      <c r="CSC81" s="609"/>
      <c r="CSD81" s="609"/>
      <c r="CSE81" s="609"/>
      <c r="CSF81" s="609"/>
      <c r="CSG81" s="609"/>
      <c r="CSH81" s="609"/>
      <c r="CSI81" s="609"/>
      <c r="CSJ81" s="609"/>
      <c r="CSK81" s="609"/>
      <c r="CSL81" s="609"/>
      <c r="CSM81" s="609"/>
      <c r="CSN81" s="609"/>
      <c r="CSO81" s="609"/>
      <c r="CSP81" s="609"/>
      <c r="CSQ81" s="609"/>
      <c r="CSR81" s="609"/>
      <c r="CSS81" s="609"/>
      <c r="CST81" s="609"/>
      <c r="CSU81" s="609"/>
      <c r="CSV81" s="609"/>
      <c r="CSW81" s="609"/>
      <c r="CSX81" s="609"/>
      <c r="CSY81" s="609"/>
      <c r="CSZ81" s="609"/>
      <c r="CTA81" s="609"/>
      <c r="CTB81" s="609"/>
      <c r="CTC81" s="609"/>
      <c r="CTD81" s="609"/>
      <c r="CTE81" s="609"/>
      <c r="CTF81" s="609"/>
      <c r="CTG81" s="609"/>
      <c r="CTH81" s="609"/>
      <c r="CTI81" s="609"/>
      <c r="CTJ81" s="609"/>
      <c r="CTK81" s="609"/>
      <c r="CTL81" s="609"/>
      <c r="CTM81" s="609"/>
      <c r="CTN81" s="609"/>
      <c r="CTO81" s="609"/>
      <c r="CTP81" s="609"/>
      <c r="CTQ81" s="609"/>
      <c r="CTR81" s="609"/>
      <c r="CTS81" s="609"/>
      <c r="CTT81" s="609"/>
      <c r="CTU81" s="609"/>
      <c r="CTV81" s="609"/>
      <c r="CTW81" s="609"/>
      <c r="CTX81" s="609"/>
      <c r="CTY81" s="609"/>
      <c r="CTZ81" s="609"/>
      <c r="CUA81" s="609"/>
      <c r="CUB81" s="609"/>
      <c r="CUC81" s="609"/>
      <c r="CUD81" s="609"/>
      <c r="CUE81" s="609"/>
      <c r="CUF81" s="609"/>
      <c r="CUG81" s="609"/>
      <c r="CUH81" s="609"/>
      <c r="CUI81" s="609"/>
      <c r="CUJ81" s="609"/>
      <c r="CUK81" s="609"/>
      <c r="CUL81" s="609"/>
      <c r="CUM81" s="609"/>
      <c r="CUN81" s="609"/>
      <c r="CUO81" s="609"/>
      <c r="CUP81" s="609"/>
      <c r="CUQ81" s="609"/>
      <c r="CUR81" s="609"/>
      <c r="CUS81" s="609"/>
      <c r="CUT81" s="609"/>
      <c r="CUU81" s="609"/>
      <c r="CUV81" s="609"/>
      <c r="CUW81" s="609"/>
      <c r="CUX81" s="609"/>
      <c r="CUY81" s="609"/>
      <c r="CUZ81" s="609"/>
      <c r="CVA81" s="609"/>
      <c r="CVB81" s="609"/>
      <c r="CVC81" s="609"/>
      <c r="CVD81" s="609"/>
      <c r="CVE81" s="609"/>
      <c r="CVF81" s="609"/>
      <c r="CVG81" s="609"/>
      <c r="CVH81" s="609"/>
      <c r="CVI81" s="609"/>
      <c r="CVJ81" s="609"/>
      <c r="CVK81" s="609"/>
      <c r="CVL81" s="609"/>
      <c r="CVM81" s="609"/>
      <c r="CVN81" s="609"/>
      <c r="CVO81" s="609"/>
      <c r="CVP81" s="609"/>
      <c r="CVQ81" s="609"/>
      <c r="CVR81" s="609"/>
      <c r="CVS81" s="609"/>
      <c r="CVT81" s="609"/>
      <c r="CVU81" s="609"/>
      <c r="CVV81" s="609"/>
      <c r="CVW81" s="609"/>
      <c r="CVX81" s="609"/>
      <c r="CVY81" s="609"/>
      <c r="CVZ81" s="609"/>
      <c r="CWA81" s="609"/>
      <c r="CWB81" s="609"/>
      <c r="CWC81" s="609"/>
      <c r="CWD81" s="609"/>
      <c r="CWE81" s="609"/>
      <c r="CWF81" s="609"/>
      <c r="CWG81" s="609"/>
      <c r="CWH81" s="609"/>
      <c r="CWI81" s="609"/>
      <c r="CWJ81" s="609"/>
      <c r="CWK81" s="609"/>
      <c r="CWL81" s="609"/>
      <c r="CWM81" s="609"/>
      <c r="CWN81" s="609"/>
      <c r="CWO81" s="609"/>
      <c r="CWP81" s="609"/>
      <c r="CWQ81" s="609"/>
      <c r="CWR81" s="609"/>
      <c r="CWS81" s="609"/>
      <c r="CWT81" s="609"/>
      <c r="CWU81" s="609"/>
      <c r="CWV81" s="609"/>
      <c r="CWW81" s="609"/>
      <c r="CWX81" s="609"/>
      <c r="CWY81" s="609"/>
      <c r="CWZ81" s="609"/>
      <c r="CXA81" s="609"/>
      <c r="CXB81" s="609"/>
      <c r="CXC81" s="609"/>
      <c r="CXD81" s="609"/>
      <c r="CXE81" s="609"/>
      <c r="CXF81" s="609"/>
      <c r="CXG81" s="609"/>
      <c r="CXH81" s="609"/>
      <c r="CXI81" s="609"/>
      <c r="CXJ81" s="609"/>
      <c r="CXK81" s="609"/>
      <c r="CXL81" s="609"/>
      <c r="CXM81" s="609"/>
      <c r="CXN81" s="609"/>
      <c r="CXO81" s="609"/>
      <c r="CXP81" s="609"/>
      <c r="CXQ81" s="609"/>
      <c r="CXR81" s="609"/>
      <c r="CXS81" s="609"/>
      <c r="CXT81" s="609"/>
      <c r="CXU81" s="609"/>
      <c r="CXV81" s="609"/>
      <c r="CXW81" s="609"/>
      <c r="CXX81" s="609"/>
      <c r="CXY81" s="609"/>
      <c r="CXZ81" s="609"/>
      <c r="CYA81" s="609"/>
      <c r="CYB81" s="609"/>
      <c r="CYC81" s="609"/>
      <c r="CYD81" s="609"/>
      <c r="CYE81" s="609"/>
      <c r="CYF81" s="609"/>
      <c r="CYG81" s="609"/>
      <c r="CYH81" s="609"/>
      <c r="CYI81" s="609"/>
      <c r="CYJ81" s="609"/>
      <c r="CYK81" s="609"/>
      <c r="CYL81" s="609"/>
      <c r="CYM81" s="609"/>
      <c r="CYN81" s="609"/>
      <c r="CYO81" s="609"/>
      <c r="CYP81" s="609"/>
      <c r="CYQ81" s="609"/>
      <c r="CYR81" s="609"/>
      <c r="CYS81" s="609"/>
      <c r="CYT81" s="609"/>
      <c r="CYU81" s="609"/>
      <c r="CYV81" s="609"/>
      <c r="CYW81" s="609"/>
      <c r="CYX81" s="609"/>
      <c r="CYY81" s="609"/>
      <c r="CYZ81" s="609"/>
      <c r="CZA81" s="609"/>
      <c r="CZB81" s="609"/>
      <c r="CZC81" s="609"/>
      <c r="CZD81" s="609"/>
      <c r="CZE81" s="609"/>
      <c r="CZF81" s="609"/>
      <c r="CZG81" s="609"/>
      <c r="CZH81" s="609"/>
      <c r="CZI81" s="609"/>
      <c r="CZJ81" s="609"/>
      <c r="CZK81" s="609"/>
      <c r="CZL81" s="609"/>
      <c r="CZM81" s="609"/>
      <c r="CZN81" s="609"/>
      <c r="CZO81" s="609"/>
      <c r="CZP81" s="609"/>
      <c r="CZQ81" s="609"/>
      <c r="CZR81" s="609"/>
      <c r="CZS81" s="609"/>
      <c r="CZT81" s="609"/>
      <c r="CZU81" s="609"/>
      <c r="CZV81" s="609"/>
      <c r="CZW81" s="609"/>
      <c r="CZX81" s="609"/>
      <c r="CZY81" s="609"/>
      <c r="CZZ81" s="609"/>
      <c r="DAA81" s="609"/>
      <c r="DAB81" s="609"/>
      <c r="DAC81" s="609"/>
      <c r="DAD81" s="609"/>
      <c r="DAE81" s="609"/>
      <c r="DAF81" s="609"/>
      <c r="DAG81" s="609"/>
      <c r="DAH81" s="609"/>
      <c r="DAI81" s="609"/>
      <c r="DAJ81" s="609"/>
      <c r="DAK81" s="609"/>
      <c r="DAL81" s="609"/>
      <c r="DAM81" s="609"/>
      <c r="DAN81" s="609"/>
      <c r="DAO81" s="609"/>
      <c r="DAP81" s="609"/>
      <c r="DAQ81" s="609"/>
      <c r="DAR81" s="609"/>
      <c r="DAS81" s="609"/>
      <c r="DAT81" s="609"/>
      <c r="DAU81" s="609"/>
      <c r="DAV81" s="609"/>
      <c r="DAW81" s="609"/>
      <c r="DAX81" s="609"/>
      <c r="DAY81" s="609"/>
      <c r="DAZ81" s="609"/>
      <c r="DBA81" s="609"/>
      <c r="DBB81" s="609"/>
      <c r="DBC81" s="609"/>
      <c r="DBD81" s="609"/>
      <c r="DBE81" s="609"/>
      <c r="DBF81" s="609"/>
      <c r="DBG81" s="609"/>
      <c r="DBH81" s="609"/>
      <c r="DBI81" s="609"/>
      <c r="DBJ81" s="609"/>
      <c r="DBK81" s="609"/>
      <c r="DBL81" s="609"/>
      <c r="DBM81" s="609"/>
      <c r="DBN81" s="609"/>
      <c r="DBO81" s="609"/>
      <c r="DBP81" s="609"/>
      <c r="DBQ81" s="609"/>
      <c r="DBR81" s="609"/>
      <c r="DBS81" s="609"/>
      <c r="DBT81" s="609"/>
      <c r="DBU81" s="609"/>
      <c r="DBV81" s="609"/>
      <c r="DBW81" s="609"/>
      <c r="DBX81" s="609"/>
      <c r="DBY81" s="609"/>
      <c r="DBZ81" s="609"/>
      <c r="DCA81" s="609"/>
      <c r="DCB81" s="609"/>
      <c r="DCC81" s="609"/>
      <c r="DCD81" s="609"/>
      <c r="DCE81" s="609"/>
      <c r="DCF81" s="609"/>
      <c r="DCG81" s="609"/>
      <c r="DCH81" s="609"/>
      <c r="DCI81" s="609"/>
      <c r="DCJ81" s="609"/>
      <c r="DCK81" s="609"/>
      <c r="DCL81" s="609"/>
      <c r="DCM81" s="609"/>
      <c r="DCN81" s="609"/>
      <c r="DCO81" s="609"/>
      <c r="DCP81" s="609"/>
      <c r="DCQ81" s="609"/>
      <c r="DCR81" s="609"/>
      <c r="DCS81" s="609"/>
      <c r="DCT81" s="609"/>
      <c r="DCU81" s="609"/>
      <c r="DCV81" s="609"/>
      <c r="DCW81" s="609"/>
      <c r="DCX81" s="609"/>
      <c r="DCY81" s="609"/>
      <c r="DCZ81" s="609"/>
      <c r="DDA81" s="609"/>
      <c r="DDB81" s="609"/>
      <c r="DDC81" s="609"/>
      <c r="DDD81" s="609"/>
      <c r="DDE81" s="609"/>
      <c r="DDF81" s="609"/>
      <c r="DDG81" s="609"/>
      <c r="DDH81" s="609"/>
      <c r="DDI81" s="609"/>
      <c r="DDJ81" s="609"/>
      <c r="DDK81" s="609"/>
      <c r="DDL81" s="609"/>
      <c r="DDM81" s="609"/>
      <c r="DDN81" s="609"/>
      <c r="DDO81" s="609"/>
      <c r="DDP81" s="609"/>
      <c r="DDQ81" s="609"/>
      <c r="DDR81" s="609"/>
      <c r="DDS81" s="609"/>
      <c r="DDT81" s="609"/>
      <c r="DDU81" s="609"/>
      <c r="DDV81" s="609"/>
      <c r="DDW81" s="609"/>
      <c r="DDX81" s="609"/>
      <c r="DDY81" s="609"/>
      <c r="DDZ81" s="609"/>
      <c r="DEA81" s="609"/>
      <c r="DEB81" s="609"/>
      <c r="DEC81" s="609"/>
      <c r="DED81" s="609"/>
      <c r="DEE81" s="609"/>
      <c r="DEF81" s="609"/>
      <c r="DEG81" s="609"/>
      <c r="DEH81" s="609"/>
      <c r="DEI81" s="609"/>
      <c r="DEJ81" s="609"/>
      <c r="DEK81" s="609"/>
      <c r="DEL81" s="609"/>
      <c r="DEM81" s="609"/>
      <c r="DEN81" s="609"/>
      <c r="DEO81" s="609"/>
      <c r="DEP81" s="609"/>
      <c r="DEQ81" s="609"/>
      <c r="DER81" s="609"/>
      <c r="DES81" s="609"/>
      <c r="DET81" s="609"/>
      <c r="DEU81" s="609"/>
      <c r="DEV81" s="609"/>
      <c r="DEW81" s="609"/>
      <c r="DEX81" s="609"/>
      <c r="DEY81" s="609"/>
      <c r="DEZ81" s="609"/>
      <c r="DFA81" s="609"/>
      <c r="DFB81" s="609"/>
      <c r="DFC81" s="609"/>
      <c r="DFD81" s="609"/>
      <c r="DFE81" s="609"/>
      <c r="DFF81" s="609"/>
      <c r="DFG81" s="609"/>
      <c r="DFH81" s="609"/>
      <c r="DFI81" s="609"/>
      <c r="DFJ81" s="609"/>
      <c r="DFK81" s="609"/>
      <c r="DFL81" s="609"/>
      <c r="DFM81" s="609"/>
      <c r="DFN81" s="609"/>
      <c r="DFO81" s="609"/>
      <c r="DFP81" s="609"/>
      <c r="DFQ81" s="609"/>
      <c r="DFR81" s="609"/>
      <c r="DFS81" s="609"/>
      <c r="DFT81" s="609"/>
      <c r="DFU81" s="609"/>
      <c r="DFV81" s="609"/>
      <c r="DFW81" s="609"/>
      <c r="DFX81" s="609"/>
      <c r="DFY81" s="609"/>
      <c r="DFZ81" s="609"/>
      <c r="DGA81" s="609"/>
      <c r="DGB81" s="609"/>
      <c r="DGC81" s="609"/>
      <c r="DGD81" s="609"/>
      <c r="DGE81" s="609"/>
      <c r="DGF81" s="609"/>
      <c r="DGG81" s="609"/>
      <c r="DGH81" s="609"/>
      <c r="DGI81" s="609"/>
      <c r="DGJ81" s="609"/>
      <c r="DGK81" s="609"/>
      <c r="DGL81" s="609"/>
      <c r="DGM81" s="609"/>
      <c r="DGN81" s="609"/>
      <c r="DGO81" s="609"/>
      <c r="DGP81" s="609"/>
      <c r="DGQ81" s="609"/>
      <c r="DGR81" s="609"/>
      <c r="DGS81" s="609"/>
      <c r="DGT81" s="609"/>
      <c r="DGU81" s="609"/>
      <c r="DGV81" s="609"/>
      <c r="DGW81" s="609"/>
      <c r="DGX81" s="609"/>
      <c r="DGY81" s="609"/>
      <c r="DGZ81" s="609"/>
      <c r="DHA81" s="609"/>
      <c r="DHB81" s="609"/>
      <c r="DHC81" s="609"/>
      <c r="DHD81" s="609"/>
      <c r="DHE81" s="609"/>
      <c r="DHF81" s="609"/>
      <c r="DHG81" s="609"/>
      <c r="DHH81" s="609"/>
      <c r="DHI81" s="609"/>
      <c r="DHJ81" s="609"/>
      <c r="DHK81" s="609"/>
      <c r="DHL81" s="609"/>
      <c r="DHM81" s="609"/>
      <c r="DHN81" s="609"/>
      <c r="DHO81" s="609"/>
      <c r="DHP81" s="609"/>
      <c r="DHQ81" s="609"/>
      <c r="DHR81" s="609"/>
      <c r="DHS81" s="609"/>
      <c r="DHT81" s="609"/>
      <c r="DHU81" s="609"/>
      <c r="DHV81" s="609"/>
      <c r="DHW81" s="609"/>
      <c r="DHX81" s="609"/>
      <c r="DHY81" s="609"/>
      <c r="DHZ81" s="609"/>
      <c r="DIA81" s="609"/>
      <c r="DIB81" s="609"/>
      <c r="DIC81" s="609"/>
      <c r="DID81" s="609"/>
      <c r="DIE81" s="609"/>
      <c r="DIF81" s="609"/>
      <c r="DIG81" s="609"/>
      <c r="DIH81" s="609"/>
      <c r="DII81" s="609"/>
      <c r="DIJ81" s="609"/>
      <c r="DIK81" s="609"/>
      <c r="DIL81" s="609"/>
      <c r="DIM81" s="609"/>
      <c r="DIN81" s="609"/>
      <c r="DIO81" s="609"/>
      <c r="DIP81" s="609"/>
      <c r="DIQ81" s="609"/>
      <c r="DIR81" s="609"/>
      <c r="DIS81" s="609"/>
      <c r="DIT81" s="609"/>
      <c r="DIU81" s="609"/>
      <c r="DIV81" s="609"/>
      <c r="DIW81" s="609"/>
      <c r="DIX81" s="609"/>
      <c r="DIY81" s="609"/>
      <c r="DIZ81" s="609"/>
      <c r="DJA81" s="609"/>
      <c r="DJB81" s="609"/>
      <c r="DJC81" s="609"/>
      <c r="DJD81" s="609"/>
      <c r="DJE81" s="609"/>
      <c r="DJF81" s="609"/>
      <c r="DJG81" s="609"/>
      <c r="DJH81" s="609"/>
      <c r="DJI81" s="609"/>
      <c r="DJJ81" s="609"/>
      <c r="DJK81" s="609"/>
      <c r="DJL81" s="609"/>
      <c r="DJM81" s="609"/>
      <c r="DJN81" s="609"/>
      <c r="DJO81" s="609"/>
      <c r="DJP81" s="609"/>
      <c r="DJQ81" s="609"/>
      <c r="DJR81" s="609"/>
      <c r="DJS81" s="609"/>
      <c r="DJT81" s="609"/>
      <c r="DJU81" s="609"/>
      <c r="DJV81" s="609"/>
      <c r="DJW81" s="609"/>
      <c r="DJX81" s="609"/>
      <c r="DJY81" s="609"/>
      <c r="DJZ81" s="609"/>
      <c r="DKA81" s="609"/>
      <c r="DKB81" s="609"/>
      <c r="DKC81" s="609"/>
      <c r="DKD81" s="609"/>
      <c r="DKE81" s="609"/>
      <c r="DKF81" s="609"/>
      <c r="DKG81" s="609"/>
      <c r="DKH81" s="609"/>
      <c r="DKI81" s="609"/>
      <c r="DKJ81" s="609"/>
      <c r="DKK81" s="609"/>
      <c r="DKL81" s="609"/>
      <c r="DKM81" s="609"/>
      <c r="DKN81" s="609"/>
      <c r="DKO81" s="609"/>
      <c r="DKP81" s="609"/>
      <c r="DKQ81" s="609"/>
      <c r="DKR81" s="609"/>
      <c r="DKS81" s="609"/>
      <c r="DKT81" s="609"/>
      <c r="DKU81" s="609"/>
      <c r="DKV81" s="609"/>
      <c r="DKW81" s="609"/>
      <c r="DKX81" s="609"/>
      <c r="DKY81" s="609"/>
      <c r="DKZ81" s="609"/>
      <c r="DLA81" s="609"/>
      <c r="DLB81" s="609"/>
      <c r="DLC81" s="609"/>
      <c r="DLD81" s="609"/>
      <c r="DLE81" s="609"/>
      <c r="DLF81" s="609"/>
      <c r="DLG81" s="609"/>
      <c r="DLH81" s="609"/>
      <c r="DLI81" s="609"/>
      <c r="DLJ81" s="609"/>
      <c r="DLK81" s="609"/>
      <c r="DLL81" s="609"/>
      <c r="DLM81" s="609"/>
      <c r="DLN81" s="609"/>
      <c r="DLO81" s="609"/>
      <c r="DLP81" s="609"/>
      <c r="DLQ81" s="609"/>
      <c r="DLR81" s="609"/>
      <c r="DLS81" s="609"/>
      <c r="DLT81" s="609"/>
      <c r="DLU81" s="609"/>
      <c r="DLV81" s="609"/>
      <c r="DLW81" s="609"/>
      <c r="DLX81" s="609"/>
      <c r="DLY81" s="609"/>
      <c r="DLZ81" s="609"/>
      <c r="DMA81" s="609"/>
      <c r="DMB81" s="609"/>
      <c r="DMC81" s="609"/>
      <c r="DMD81" s="609"/>
      <c r="DME81" s="609"/>
      <c r="DMF81" s="609"/>
      <c r="DMG81" s="609"/>
      <c r="DMH81" s="609"/>
      <c r="DMI81" s="609"/>
      <c r="DMJ81" s="609"/>
      <c r="DMK81" s="609"/>
      <c r="DML81" s="609"/>
      <c r="DMM81" s="609"/>
      <c r="DMN81" s="609"/>
      <c r="DMO81" s="609"/>
      <c r="DMP81" s="609"/>
      <c r="DMQ81" s="609"/>
      <c r="DMR81" s="609"/>
      <c r="DMS81" s="609"/>
      <c r="DMT81" s="609"/>
      <c r="DMU81" s="609"/>
      <c r="DMV81" s="609"/>
      <c r="DMW81" s="609"/>
      <c r="DMX81" s="609"/>
      <c r="DMY81" s="609"/>
      <c r="DMZ81" s="609"/>
      <c r="DNA81" s="609"/>
      <c r="DNB81" s="609"/>
      <c r="DNC81" s="609"/>
      <c r="DND81" s="609"/>
      <c r="DNE81" s="609"/>
      <c r="DNF81" s="609"/>
      <c r="DNG81" s="609"/>
      <c r="DNH81" s="609"/>
      <c r="DNI81" s="609"/>
      <c r="DNJ81" s="609"/>
      <c r="DNK81" s="609"/>
      <c r="DNL81" s="609"/>
      <c r="DNM81" s="609"/>
      <c r="DNN81" s="609"/>
      <c r="DNO81" s="609"/>
      <c r="DNP81" s="609"/>
      <c r="DNQ81" s="609"/>
      <c r="DNR81" s="609"/>
      <c r="DNS81" s="609"/>
      <c r="DNT81" s="609"/>
      <c r="DNU81" s="609"/>
      <c r="DNV81" s="609"/>
      <c r="DNW81" s="609"/>
      <c r="DNX81" s="609"/>
      <c r="DNY81" s="609"/>
      <c r="DNZ81" s="609"/>
      <c r="DOA81" s="609"/>
      <c r="DOB81" s="609"/>
      <c r="DOC81" s="609"/>
      <c r="DOD81" s="609"/>
      <c r="DOE81" s="609"/>
      <c r="DOF81" s="609"/>
      <c r="DOG81" s="609"/>
      <c r="DOH81" s="609"/>
      <c r="DOI81" s="609"/>
      <c r="DOJ81" s="609"/>
      <c r="DOK81" s="609"/>
      <c r="DOL81" s="609"/>
      <c r="DOM81" s="609"/>
      <c r="DON81" s="609"/>
      <c r="DOO81" s="609"/>
      <c r="DOP81" s="609"/>
      <c r="DOQ81" s="609"/>
      <c r="DOR81" s="609"/>
      <c r="DOS81" s="609"/>
      <c r="DOT81" s="609"/>
      <c r="DOU81" s="609"/>
      <c r="DOV81" s="609"/>
      <c r="DOW81" s="609"/>
      <c r="DOX81" s="609"/>
      <c r="DOY81" s="609"/>
      <c r="DOZ81" s="609"/>
      <c r="DPA81" s="609"/>
      <c r="DPB81" s="609"/>
      <c r="DPC81" s="609"/>
      <c r="DPD81" s="609"/>
      <c r="DPE81" s="609"/>
      <c r="DPF81" s="609"/>
      <c r="DPG81" s="609"/>
      <c r="DPH81" s="609"/>
      <c r="DPI81" s="609"/>
      <c r="DPJ81" s="609"/>
      <c r="DPK81" s="609"/>
      <c r="DPL81" s="609"/>
      <c r="DPM81" s="609"/>
      <c r="DPN81" s="609"/>
      <c r="DPO81" s="609"/>
      <c r="DPP81" s="609"/>
      <c r="DPQ81" s="609"/>
      <c r="DPR81" s="609"/>
      <c r="DPS81" s="609"/>
      <c r="DPT81" s="609"/>
      <c r="DPU81" s="609"/>
      <c r="DPV81" s="609"/>
      <c r="DPW81" s="609"/>
      <c r="DPX81" s="609"/>
      <c r="DPY81" s="609"/>
      <c r="DPZ81" s="609"/>
      <c r="DQA81" s="609"/>
      <c r="DQB81" s="609"/>
      <c r="DQC81" s="609"/>
      <c r="DQD81" s="609"/>
      <c r="DQE81" s="609"/>
      <c r="DQF81" s="609"/>
      <c r="DQG81" s="609"/>
      <c r="DQH81" s="609"/>
      <c r="DQI81" s="609"/>
      <c r="DQJ81" s="609"/>
      <c r="DQK81" s="609"/>
      <c r="DQL81" s="609"/>
      <c r="DQM81" s="609"/>
      <c r="DQN81" s="609"/>
      <c r="DQO81" s="609"/>
      <c r="DQP81" s="609"/>
      <c r="DQQ81" s="609"/>
      <c r="DQR81" s="609"/>
      <c r="DQS81" s="609"/>
      <c r="DQT81" s="609"/>
      <c r="DQU81" s="609"/>
      <c r="DQV81" s="609"/>
      <c r="DQW81" s="609"/>
      <c r="DQX81" s="609"/>
      <c r="DQY81" s="609"/>
      <c r="DQZ81" s="609"/>
      <c r="DRA81" s="609"/>
      <c r="DRB81" s="609"/>
      <c r="DRC81" s="609"/>
      <c r="DRD81" s="609"/>
      <c r="DRE81" s="609"/>
      <c r="DRF81" s="609"/>
      <c r="DRG81" s="609"/>
      <c r="DRH81" s="609"/>
      <c r="DRI81" s="609"/>
      <c r="DRJ81" s="609"/>
      <c r="DRK81" s="609"/>
      <c r="DRL81" s="609"/>
      <c r="DRM81" s="609"/>
      <c r="DRN81" s="609"/>
      <c r="DRO81" s="609"/>
      <c r="DRP81" s="609"/>
      <c r="DRQ81" s="609"/>
      <c r="DRR81" s="609"/>
      <c r="DRS81" s="609"/>
      <c r="DRT81" s="609"/>
      <c r="DRU81" s="609"/>
      <c r="DRV81" s="609"/>
      <c r="DRW81" s="609"/>
      <c r="DRX81" s="609"/>
      <c r="DRY81" s="609"/>
      <c r="DRZ81" s="609"/>
      <c r="DSA81" s="609"/>
      <c r="DSB81" s="609"/>
      <c r="DSC81" s="609"/>
      <c r="DSD81" s="609"/>
      <c r="DSE81" s="609"/>
      <c r="DSF81" s="609"/>
      <c r="DSG81" s="609"/>
      <c r="DSH81" s="609"/>
      <c r="DSI81" s="609"/>
      <c r="DSJ81" s="609"/>
      <c r="DSK81" s="609"/>
      <c r="DSL81" s="609"/>
      <c r="DSM81" s="609"/>
      <c r="DSN81" s="609"/>
      <c r="DSO81" s="609"/>
      <c r="DSP81" s="609"/>
      <c r="DSQ81" s="609"/>
      <c r="DSR81" s="609"/>
      <c r="DSS81" s="609"/>
      <c r="DST81" s="609"/>
      <c r="DSU81" s="609"/>
      <c r="DSV81" s="609"/>
      <c r="DSW81" s="609"/>
      <c r="DSX81" s="609"/>
      <c r="DSY81" s="609"/>
      <c r="DSZ81" s="609"/>
      <c r="DTA81" s="609"/>
      <c r="DTB81" s="609"/>
      <c r="DTC81" s="609"/>
      <c r="DTD81" s="609"/>
      <c r="DTE81" s="609"/>
      <c r="DTF81" s="609"/>
      <c r="DTG81" s="609"/>
      <c r="DTH81" s="609"/>
      <c r="DTI81" s="609"/>
      <c r="DTJ81" s="609"/>
      <c r="DTK81" s="609"/>
      <c r="DTL81" s="609"/>
      <c r="DTM81" s="609"/>
      <c r="DTN81" s="609"/>
      <c r="DTO81" s="609"/>
      <c r="DTP81" s="609"/>
      <c r="DTQ81" s="609"/>
      <c r="DTR81" s="609"/>
      <c r="DTS81" s="609"/>
      <c r="DTT81" s="609"/>
      <c r="DTU81" s="609"/>
      <c r="DTV81" s="609"/>
      <c r="DTW81" s="609"/>
      <c r="DTX81" s="609"/>
      <c r="DTY81" s="609"/>
      <c r="DTZ81" s="609"/>
      <c r="DUA81" s="609"/>
      <c r="DUB81" s="609"/>
      <c r="DUC81" s="609"/>
      <c r="DUD81" s="609"/>
      <c r="DUE81" s="609"/>
      <c r="DUF81" s="609"/>
      <c r="DUG81" s="609"/>
      <c r="DUH81" s="609"/>
      <c r="DUI81" s="609"/>
      <c r="DUJ81" s="609"/>
      <c r="DUK81" s="609"/>
      <c r="DUL81" s="609"/>
      <c r="DUM81" s="609"/>
      <c r="DUN81" s="609"/>
      <c r="DUO81" s="609"/>
      <c r="DUP81" s="609"/>
      <c r="DUQ81" s="609"/>
      <c r="DUR81" s="609"/>
      <c r="DUS81" s="609"/>
      <c r="DUT81" s="609"/>
      <c r="DUU81" s="609"/>
      <c r="DUV81" s="609"/>
      <c r="DUW81" s="609"/>
      <c r="DUX81" s="609"/>
      <c r="DUY81" s="609"/>
      <c r="DUZ81" s="609"/>
      <c r="DVA81" s="609"/>
      <c r="DVB81" s="609"/>
      <c r="DVC81" s="609"/>
      <c r="DVD81" s="609"/>
      <c r="DVE81" s="609"/>
      <c r="DVF81" s="609"/>
      <c r="DVG81" s="609"/>
      <c r="DVH81" s="609"/>
      <c r="DVI81" s="609"/>
      <c r="DVJ81" s="609"/>
      <c r="DVK81" s="609"/>
      <c r="DVL81" s="609"/>
      <c r="DVM81" s="609"/>
      <c r="DVN81" s="609"/>
      <c r="DVO81" s="609"/>
      <c r="DVP81" s="609"/>
      <c r="DVQ81" s="609"/>
      <c r="DVR81" s="609"/>
      <c r="DVS81" s="609"/>
      <c r="DVT81" s="609"/>
      <c r="DVU81" s="609"/>
      <c r="DVV81" s="609"/>
      <c r="DVW81" s="609"/>
      <c r="DVX81" s="609"/>
      <c r="DVY81" s="609"/>
      <c r="DVZ81" s="609"/>
      <c r="DWA81" s="609"/>
      <c r="DWB81" s="609"/>
      <c r="DWC81" s="609"/>
      <c r="DWD81" s="609"/>
      <c r="DWE81" s="609"/>
      <c r="DWF81" s="609"/>
      <c r="DWG81" s="609"/>
      <c r="DWH81" s="609"/>
      <c r="DWI81" s="609"/>
      <c r="DWJ81" s="609"/>
      <c r="DWK81" s="609"/>
      <c r="DWL81" s="609"/>
      <c r="DWM81" s="609"/>
      <c r="DWN81" s="609"/>
      <c r="DWO81" s="609"/>
      <c r="DWP81" s="609"/>
      <c r="DWQ81" s="609"/>
      <c r="DWR81" s="609"/>
      <c r="DWS81" s="609"/>
      <c r="DWT81" s="609"/>
      <c r="DWU81" s="609"/>
      <c r="DWV81" s="609"/>
      <c r="DWW81" s="609"/>
      <c r="DWX81" s="609"/>
      <c r="DWY81" s="609"/>
      <c r="DWZ81" s="609"/>
      <c r="DXA81" s="609"/>
      <c r="DXB81" s="609"/>
      <c r="DXC81" s="609"/>
      <c r="DXD81" s="609"/>
      <c r="DXE81" s="609"/>
      <c r="DXF81" s="609"/>
      <c r="DXG81" s="609"/>
      <c r="DXH81" s="609"/>
      <c r="DXI81" s="609"/>
      <c r="DXJ81" s="609"/>
      <c r="DXK81" s="609"/>
      <c r="DXL81" s="609"/>
      <c r="DXM81" s="609"/>
      <c r="DXN81" s="609"/>
      <c r="DXO81" s="609"/>
      <c r="DXP81" s="609"/>
      <c r="DXQ81" s="609"/>
      <c r="DXR81" s="609"/>
      <c r="DXS81" s="609"/>
      <c r="DXT81" s="609"/>
      <c r="DXU81" s="609"/>
      <c r="DXV81" s="609"/>
      <c r="DXW81" s="609"/>
      <c r="DXX81" s="609"/>
      <c r="DXY81" s="609"/>
      <c r="DXZ81" s="609"/>
      <c r="DYA81" s="609"/>
      <c r="DYB81" s="609"/>
      <c r="DYC81" s="609"/>
      <c r="DYD81" s="609"/>
      <c r="DYE81" s="609"/>
      <c r="DYF81" s="609"/>
      <c r="DYG81" s="609"/>
      <c r="DYH81" s="609"/>
      <c r="DYI81" s="609"/>
      <c r="DYJ81" s="609"/>
      <c r="DYK81" s="609"/>
      <c r="DYL81" s="609"/>
      <c r="DYM81" s="609"/>
      <c r="DYN81" s="609"/>
      <c r="DYO81" s="609"/>
      <c r="DYP81" s="609"/>
      <c r="DYQ81" s="609"/>
      <c r="DYR81" s="609"/>
      <c r="DYS81" s="609"/>
      <c r="DYT81" s="609"/>
      <c r="DYU81" s="609"/>
      <c r="DYV81" s="609"/>
      <c r="DYW81" s="609"/>
      <c r="DYX81" s="609"/>
      <c r="DYY81" s="609"/>
      <c r="DYZ81" s="609"/>
      <c r="DZA81" s="609"/>
      <c r="DZB81" s="609"/>
      <c r="DZC81" s="609"/>
      <c r="DZD81" s="609"/>
      <c r="DZE81" s="609"/>
      <c r="DZF81" s="609"/>
      <c r="DZG81" s="609"/>
      <c r="DZH81" s="609"/>
      <c r="DZI81" s="609"/>
      <c r="DZJ81" s="609"/>
      <c r="DZK81" s="609"/>
      <c r="DZL81" s="609"/>
      <c r="DZM81" s="609"/>
      <c r="DZN81" s="609"/>
      <c r="DZO81" s="609"/>
      <c r="DZP81" s="609"/>
      <c r="DZQ81" s="609"/>
      <c r="DZR81" s="609"/>
      <c r="DZS81" s="609"/>
      <c r="DZT81" s="609"/>
      <c r="DZU81" s="609"/>
      <c r="DZV81" s="609"/>
      <c r="DZW81" s="609"/>
      <c r="DZX81" s="609"/>
      <c r="DZY81" s="609"/>
      <c r="DZZ81" s="609"/>
      <c r="EAA81" s="609"/>
      <c r="EAB81" s="609"/>
      <c r="EAC81" s="609"/>
      <c r="EAD81" s="609"/>
      <c r="EAE81" s="609"/>
      <c r="EAF81" s="609"/>
      <c r="EAG81" s="609"/>
      <c r="EAH81" s="609"/>
      <c r="EAI81" s="609"/>
      <c r="EAJ81" s="609"/>
      <c r="EAK81" s="609"/>
      <c r="EAL81" s="609"/>
      <c r="EAM81" s="609"/>
      <c r="EAN81" s="609"/>
      <c r="EAO81" s="609"/>
      <c r="EAP81" s="609"/>
      <c r="EAQ81" s="609"/>
      <c r="EAR81" s="609"/>
      <c r="EAS81" s="609"/>
      <c r="EAT81" s="609"/>
      <c r="EAU81" s="609"/>
      <c r="EAV81" s="609"/>
      <c r="EAW81" s="609"/>
      <c r="EAX81" s="609"/>
      <c r="EAY81" s="609"/>
      <c r="EAZ81" s="609"/>
      <c r="EBA81" s="609"/>
      <c r="EBB81" s="609"/>
      <c r="EBC81" s="609"/>
      <c r="EBD81" s="609"/>
      <c r="EBE81" s="609"/>
      <c r="EBF81" s="609"/>
      <c r="EBG81" s="609"/>
      <c r="EBH81" s="609"/>
      <c r="EBI81" s="609"/>
      <c r="EBJ81" s="609"/>
      <c r="EBK81" s="609"/>
      <c r="EBL81" s="609"/>
      <c r="EBM81" s="609"/>
      <c r="EBN81" s="609"/>
      <c r="EBO81" s="609"/>
      <c r="EBP81" s="609"/>
      <c r="EBQ81" s="609"/>
      <c r="EBR81" s="609"/>
      <c r="EBS81" s="609"/>
      <c r="EBT81" s="609"/>
      <c r="EBU81" s="609"/>
      <c r="EBV81" s="609"/>
      <c r="EBW81" s="609"/>
      <c r="EBX81" s="609"/>
      <c r="EBY81" s="609"/>
      <c r="EBZ81" s="609"/>
      <c r="ECA81" s="609"/>
      <c r="ECB81" s="609"/>
      <c r="ECC81" s="609"/>
      <c r="ECD81" s="609"/>
      <c r="ECE81" s="609"/>
      <c r="ECF81" s="609"/>
      <c r="ECG81" s="609"/>
      <c r="ECH81" s="609"/>
      <c r="ECI81" s="609"/>
      <c r="ECJ81" s="609"/>
      <c r="ECK81" s="609"/>
      <c r="ECL81" s="609"/>
      <c r="ECM81" s="609"/>
      <c r="ECN81" s="609"/>
      <c r="ECO81" s="609"/>
      <c r="ECP81" s="609"/>
      <c r="ECQ81" s="609"/>
      <c r="ECR81" s="609"/>
      <c r="ECS81" s="609"/>
      <c r="ECT81" s="609"/>
      <c r="ECU81" s="609"/>
      <c r="ECV81" s="609"/>
      <c r="ECW81" s="609"/>
      <c r="ECX81" s="609"/>
      <c r="ECY81" s="609"/>
      <c r="ECZ81" s="609"/>
      <c r="EDA81" s="609"/>
      <c r="EDB81" s="609"/>
      <c r="EDC81" s="609"/>
      <c r="EDD81" s="609"/>
      <c r="EDE81" s="609"/>
      <c r="EDF81" s="609"/>
      <c r="EDG81" s="609"/>
      <c r="EDH81" s="609"/>
      <c r="EDI81" s="609"/>
      <c r="EDJ81" s="609"/>
      <c r="EDK81" s="609"/>
      <c r="EDL81" s="609"/>
      <c r="EDM81" s="609"/>
      <c r="EDN81" s="609"/>
      <c r="EDO81" s="609"/>
      <c r="EDP81" s="609"/>
      <c r="EDQ81" s="609"/>
      <c r="EDR81" s="609"/>
      <c r="EDS81" s="609"/>
      <c r="EDT81" s="609"/>
      <c r="EDU81" s="609"/>
      <c r="EDV81" s="609"/>
      <c r="EDW81" s="609"/>
      <c r="EDX81" s="609"/>
      <c r="EDY81" s="609"/>
      <c r="EDZ81" s="609"/>
      <c r="EEA81" s="609"/>
      <c r="EEB81" s="609"/>
      <c r="EEC81" s="609"/>
      <c r="EED81" s="609"/>
      <c r="EEE81" s="609"/>
      <c r="EEF81" s="609"/>
      <c r="EEG81" s="609"/>
      <c r="EEH81" s="609"/>
      <c r="EEI81" s="609"/>
      <c r="EEJ81" s="609"/>
      <c r="EEK81" s="609"/>
      <c r="EEL81" s="609"/>
      <c r="EEM81" s="609"/>
      <c r="EEN81" s="609"/>
      <c r="EEO81" s="609"/>
      <c r="EEP81" s="609"/>
      <c r="EEQ81" s="609"/>
      <c r="EER81" s="609"/>
      <c r="EES81" s="609"/>
      <c r="EET81" s="609"/>
      <c r="EEU81" s="609"/>
      <c r="EEV81" s="609"/>
      <c r="EEW81" s="609"/>
      <c r="EEX81" s="609"/>
      <c r="EEY81" s="609"/>
      <c r="EEZ81" s="609"/>
      <c r="EFA81" s="609"/>
      <c r="EFB81" s="609"/>
      <c r="EFC81" s="609"/>
      <c r="EFD81" s="609"/>
      <c r="EFE81" s="609"/>
      <c r="EFF81" s="609"/>
      <c r="EFG81" s="609"/>
      <c r="EFH81" s="609"/>
      <c r="EFI81" s="609"/>
      <c r="EFJ81" s="609"/>
      <c r="EFK81" s="609"/>
      <c r="EFL81" s="609"/>
      <c r="EFM81" s="609"/>
      <c r="EFN81" s="609"/>
      <c r="EFO81" s="609"/>
      <c r="EFP81" s="609"/>
      <c r="EFQ81" s="609"/>
      <c r="EFR81" s="609"/>
      <c r="EFS81" s="609"/>
      <c r="EFT81" s="609"/>
      <c r="EFU81" s="609"/>
      <c r="EFV81" s="609"/>
      <c r="EFW81" s="609"/>
      <c r="EFX81" s="609"/>
      <c r="EFY81" s="609"/>
      <c r="EFZ81" s="609"/>
      <c r="EGA81" s="609"/>
      <c r="EGB81" s="609"/>
      <c r="EGC81" s="609"/>
      <c r="EGD81" s="609"/>
      <c r="EGE81" s="609"/>
      <c r="EGF81" s="609"/>
      <c r="EGG81" s="609"/>
      <c r="EGH81" s="609"/>
      <c r="EGI81" s="609"/>
      <c r="EGJ81" s="609"/>
      <c r="EGK81" s="609"/>
      <c r="EGL81" s="609"/>
      <c r="EGM81" s="609"/>
      <c r="EGN81" s="609"/>
      <c r="EGO81" s="609"/>
      <c r="EGP81" s="609"/>
      <c r="EGQ81" s="609"/>
      <c r="EGR81" s="609"/>
      <c r="EGS81" s="609"/>
      <c r="EGT81" s="609"/>
      <c r="EGU81" s="609"/>
      <c r="EGV81" s="609"/>
      <c r="EGW81" s="609"/>
      <c r="EGX81" s="609"/>
      <c r="EGY81" s="609"/>
      <c r="EGZ81" s="609"/>
      <c r="EHA81" s="609"/>
      <c r="EHB81" s="609"/>
      <c r="EHC81" s="609"/>
      <c r="EHD81" s="609"/>
      <c r="EHE81" s="609"/>
      <c r="EHF81" s="609"/>
      <c r="EHG81" s="609"/>
      <c r="EHH81" s="609"/>
      <c r="EHI81" s="609"/>
      <c r="EHJ81" s="609"/>
      <c r="EHK81" s="609"/>
      <c r="EHL81" s="609"/>
      <c r="EHM81" s="609"/>
      <c r="EHN81" s="609"/>
      <c r="EHO81" s="609"/>
      <c r="EHP81" s="609"/>
      <c r="EHQ81" s="609"/>
      <c r="EHR81" s="609"/>
      <c r="EHS81" s="609"/>
      <c r="EHT81" s="609"/>
      <c r="EHU81" s="609"/>
      <c r="EHV81" s="609"/>
      <c r="EHW81" s="609"/>
      <c r="EHX81" s="609"/>
      <c r="EHY81" s="609"/>
      <c r="EHZ81" s="609"/>
      <c r="EIA81" s="609"/>
      <c r="EIB81" s="609"/>
      <c r="EIC81" s="609"/>
      <c r="EID81" s="609"/>
      <c r="EIE81" s="609"/>
      <c r="EIF81" s="609"/>
      <c r="EIG81" s="609"/>
      <c r="EIH81" s="609"/>
      <c r="EII81" s="609"/>
      <c r="EIJ81" s="609"/>
      <c r="EIK81" s="609"/>
      <c r="EIL81" s="609"/>
      <c r="EIM81" s="609"/>
      <c r="EIN81" s="609"/>
      <c r="EIO81" s="609"/>
      <c r="EIP81" s="609"/>
      <c r="EIQ81" s="609"/>
      <c r="EIR81" s="609"/>
      <c r="EIS81" s="609"/>
      <c r="EIT81" s="609"/>
      <c r="EIU81" s="609"/>
      <c r="EIV81" s="609"/>
      <c r="EIW81" s="609"/>
      <c r="EIX81" s="609"/>
      <c r="EIY81" s="609"/>
      <c r="EIZ81" s="609"/>
      <c r="EJA81" s="609"/>
      <c r="EJB81" s="609"/>
      <c r="EJC81" s="609"/>
      <c r="EJD81" s="609"/>
      <c r="EJE81" s="609"/>
      <c r="EJF81" s="609"/>
      <c r="EJG81" s="609"/>
      <c r="EJH81" s="609"/>
      <c r="EJI81" s="609"/>
      <c r="EJJ81" s="609"/>
      <c r="EJK81" s="609"/>
      <c r="EJL81" s="609"/>
      <c r="EJM81" s="609"/>
      <c r="EJN81" s="609"/>
      <c r="EJO81" s="609"/>
      <c r="EJP81" s="609"/>
      <c r="EJQ81" s="609"/>
      <c r="EJR81" s="609"/>
      <c r="EJS81" s="609"/>
      <c r="EJT81" s="609"/>
      <c r="EJU81" s="609"/>
      <c r="EJV81" s="609"/>
      <c r="EJW81" s="609"/>
      <c r="EJX81" s="609"/>
      <c r="EJY81" s="609"/>
      <c r="EJZ81" s="609"/>
      <c r="EKA81" s="609"/>
      <c r="EKB81" s="609"/>
      <c r="EKC81" s="609"/>
      <c r="EKD81" s="609"/>
      <c r="EKE81" s="609"/>
      <c r="EKF81" s="609"/>
      <c r="EKG81" s="609"/>
      <c r="EKH81" s="609"/>
      <c r="EKI81" s="609"/>
      <c r="EKJ81" s="609"/>
      <c r="EKK81" s="609"/>
      <c r="EKL81" s="609"/>
      <c r="EKM81" s="609"/>
      <c r="EKN81" s="609"/>
      <c r="EKO81" s="609"/>
      <c r="EKP81" s="609"/>
      <c r="EKQ81" s="609"/>
      <c r="EKR81" s="609"/>
      <c r="EKS81" s="609"/>
      <c r="EKT81" s="609"/>
      <c r="EKU81" s="609"/>
      <c r="EKV81" s="609"/>
      <c r="EKW81" s="609"/>
      <c r="EKX81" s="609"/>
      <c r="EKY81" s="609"/>
      <c r="EKZ81" s="609"/>
      <c r="ELA81" s="609"/>
      <c r="ELB81" s="609"/>
      <c r="ELC81" s="609"/>
      <c r="ELD81" s="609"/>
      <c r="ELE81" s="609"/>
      <c r="ELF81" s="609"/>
      <c r="ELG81" s="609"/>
      <c r="ELH81" s="609"/>
      <c r="ELI81" s="609"/>
      <c r="ELJ81" s="609"/>
      <c r="ELK81" s="609"/>
      <c r="ELL81" s="609"/>
      <c r="ELM81" s="609"/>
      <c r="ELN81" s="609"/>
      <c r="ELO81" s="609"/>
      <c r="ELP81" s="609"/>
      <c r="ELQ81" s="609"/>
      <c r="ELR81" s="609"/>
      <c r="ELS81" s="609"/>
      <c r="ELT81" s="609"/>
      <c r="ELU81" s="609"/>
      <c r="ELV81" s="609"/>
      <c r="ELW81" s="609"/>
      <c r="ELX81" s="609"/>
      <c r="ELY81" s="609"/>
      <c r="ELZ81" s="609"/>
      <c r="EMA81" s="609"/>
      <c r="EMB81" s="609"/>
      <c r="EMC81" s="609"/>
      <c r="EMD81" s="609"/>
      <c r="EME81" s="609"/>
      <c r="EMF81" s="609"/>
      <c r="EMG81" s="609"/>
      <c r="EMH81" s="609"/>
      <c r="EMI81" s="609"/>
      <c r="EMJ81" s="609"/>
      <c r="EMK81" s="609"/>
      <c r="EML81" s="609"/>
      <c r="EMM81" s="609"/>
      <c r="EMN81" s="609"/>
      <c r="EMO81" s="609"/>
      <c r="EMP81" s="609"/>
      <c r="EMQ81" s="609"/>
      <c r="EMR81" s="609"/>
      <c r="EMS81" s="609"/>
      <c r="EMT81" s="609"/>
      <c r="EMU81" s="609"/>
      <c r="EMV81" s="609"/>
      <c r="EMW81" s="609"/>
      <c r="EMX81" s="609"/>
      <c r="EMY81" s="609"/>
      <c r="EMZ81" s="609"/>
      <c r="ENA81" s="609"/>
      <c r="ENB81" s="609"/>
      <c r="ENC81" s="609"/>
      <c r="END81" s="609"/>
      <c r="ENE81" s="609"/>
      <c r="ENF81" s="609"/>
      <c r="ENG81" s="609"/>
      <c r="ENH81" s="609"/>
      <c r="ENI81" s="609"/>
      <c r="ENJ81" s="609"/>
      <c r="ENK81" s="609"/>
      <c r="ENL81" s="609"/>
      <c r="ENM81" s="609"/>
      <c r="ENN81" s="609"/>
      <c r="ENO81" s="609"/>
      <c r="ENP81" s="609"/>
      <c r="ENQ81" s="609"/>
      <c r="ENR81" s="609"/>
      <c r="ENS81" s="609"/>
      <c r="ENT81" s="609"/>
      <c r="ENU81" s="609"/>
      <c r="ENV81" s="609"/>
      <c r="ENW81" s="609"/>
      <c r="ENX81" s="609"/>
      <c r="ENY81" s="609"/>
      <c r="ENZ81" s="609"/>
      <c r="EOA81" s="609"/>
      <c r="EOB81" s="609"/>
      <c r="EOC81" s="609"/>
      <c r="EOD81" s="609"/>
      <c r="EOE81" s="609"/>
      <c r="EOF81" s="609"/>
      <c r="EOG81" s="609"/>
      <c r="EOH81" s="609"/>
      <c r="EOI81" s="609"/>
      <c r="EOJ81" s="609"/>
      <c r="EOK81" s="609"/>
      <c r="EOL81" s="609"/>
      <c r="EOM81" s="609"/>
      <c r="EON81" s="609"/>
      <c r="EOO81" s="609"/>
      <c r="EOP81" s="609"/>
      <c r="EOQ81" s="609"/>
      <c r="EOR81" s="609"/>
      <c r="EOS81" s="609"/>
      <c r="EOT81" s="609"/>
      <c r="EOU81" s="609"/>
      <c r="EOV81" s="609"/>
      <c r="EOW81" s="609"/>
      <c r="EOX81" s="609"/>
      <c r="EOY81" s="609"/>
      <c r="EOZ81" s="609"/>
      <c r="EPA81" s="609"/>
      <c r="EPB81" s="609"/>
      <c r="EPC81" s="609"/>
      <c r="EPD81" s="609"/>
      <c r="EPE81" s="609"/>
      <c r="EPF81" s="609"/>
      <c r="EPG81" s="609"/>
      <c r="EPH81" s="609"/>
      <c r="EPI81" s="609"/>
      <c r="EPJ81" s="609"/>
      <c r="EPK81" s="609"/>
      <c r="EPL81" s="609"/>
      <c r="EPM81" s="609"/>
      <c r="EPN81" s="609"/>
      <c r="EPO81" s="609"/>
      <c r="EPP81" s="609"/>
      <c r="EPQ81" s="609"/>
      <c r="EPR81" s="609"/>
      <c r="EPS81" s="609"/>
      <c r="EPT81" s="609"/>
      <c r="EPU81" s="609"/>
      <c r="EPV81" s="609"/>
      <c r="EPW81" s="609"/>
      <c r="EPX81" s="609"/>
      <c r="EPY81" s="609"/>
      <c r="EPZ81" s="609"/>
      <c r="EQA81" s="609"/>
      <c r="EQB81" s="609"/>
      <c r="EQC81" s="609"/>
      <c r="EQD81" s="609"/>
      <c r="EQE81" s="609"/>
      <c r="EQF81" s="609"/>
      <c r="EQG81" s="609"/>
      <c r="EQH81" s="609"/>
      <c r="EQI81" s="609"/>
      <c r="EQJ81" s="609"/>
      <c r="EQK81" s="609"/>
      <c r="EQL81" s="609"/>
      <c r="EQM81" s="609"/>
      <c r="EQN81" s="609"/>
      <c r="EQO81" s="609"/>
      <c r="EQP81" s="609"/>
      <c r="EQQ81" s="609"/>
      <c r="EQR81" s="609"/>
      <c r="EQS81" s="609"/>
      <c r="EQT81" s="609"/>
      <c r="EQU81" s="609"/>
      <c r="EQV81" s="609"/>
      <c r="EQW81" s="609"/>
      <c r="EQX81" s="609"/>
      <c r="EQY81" s="609"/>
      <c r="EQZ81" s="609"/>
      <c r="ERA81" s="609"/>
      <c r="ERB81" s="609"/>
      <c r="ERC81" s="609"/>
      <c r="ERD81" s="609"/>
      <c r="ERE81" s="609"/>
      <c r="ERF81" s="609"/>
      <c r="ERG81" s="609"/>
      <c r="ERH81" s="609"/>
      <c r="ERI81" s="609"/>
      <c r="ERJ81" s="609"/>
      <c r="ERK81" s="609"/>
      <c r="ERL81" s="609"/>
      <c r="ERM81" s="609"/>
      <c r="ERN81" s="609"/>
      <c r="ERO81" s="609"/>
      <c r="ERP81" s="609"/>
      <c r="ERQ81" s="609"/>
      <c r="ERR81" s="609"/>
      <c r="ERS81" s="609"/>
      <c r="ERT81" s="609"/>
      <c r="ERU81" s="609"/>
      <c r="ERV81" s="609"/>
      <c r="ERW81" s="609"/>
      <c r="ERX81" s="609"/>
      <c r="ERY81" s="609"/>
      <c r="ERZ81" s="609"/>
      <c r="ESA81" s="609"/>
      <c r="ESB81" s="609"/>
      <c r="ESC81" s="609"/>
      <c r="ESD81" s="609"/>
      <c r="ESE81" s="609"/>
      <c r="ESF81" s="609"/>
      <c r="ESG81" s="609"/>
      <c r="ESH81" s="609"/>
      <c r="ESI81" s="609"/>
      <c r="ESJ81" s="609"/>
      <c r="ESK81" s="609"/>
      <c r="ESL81" s="609"/>
      <c r="ESM81" s="609"/>
      <c r="ESN81" s="609"/>
      <c r="ESO81" s="609"/>
      <c r="ESP81" s="609"/>
      <c r="ESQ81" s="609"/>
      <c r="ESR81" s="609"/>
      <c r="ESS81" s="609"/>
      <c r="EST81" s="609"/>
      <c r="ESU81" s="609"/>
      <c r="ESV81" s="609"/>
      <c r="ESW81" s="609"/>
      <c r="ESX81" s="609"/>
      <c r="ESY81" s="609"/>
      <c r="ESZ81" s="609"/>
      <c r="ETA81" s="609"/>
      <c r="ETB81" s="609"/>
      <c r="ETC81" s="609"/>
      <c r="ETD81" s="609"/>
      <c r="ETE81" s="609"/>
      <c r="ETF81" s="609"/>
      <c r="ETG81" s="609"/>
      <c r="ETH81" s="609"/>
      <c r="ETI81" s="609"/>
      <c r="ETJ81" s="609"/>
      <c r="ETK81" s="609"/>
      <c r="ETL81" s="609"/>
      <c r="ETM81" s="609"/>
      <c r="ETN81" s="609"/>
      <c r="ETO81" s="609"/>
      <c r="ETP81" s="609"/>
      <c r="ETQ81" s="609"/>
      <c r="ETR81" s="609"/>
      <c r="ETS81" s="609"/>
      <c r="ETT81" s="609"/>
      <c r="ETU81" s="609"/>
      <c r="ETV81" s="609"/>
      <c r="ETW81" s="609"/>
      <c r="ETX81" s="609"/>
      <c r="ETY81" s="609"/>
      <c r="ETZ81" s="609"/>
      <c r="EUA81" s="609"/>
      <c r="EUB81" s="609"/>
      <c r="EUC81" s="609"/>
      <c r="EUD81" s="609"/>
      <c r="EUE81" s="609"/>
      <c r="EUF81" s="609"/>
      <c r="EUG81" s="609"/>
      <c r="EUH81" s="609"/>
      <c r="EUI81" s="609"/>
      <c r="EUJ81" s="609"/>
      <c r="EUK81" s="609"/>
      <c r="EUL81" s="609"/>
      <c r="EUM81" s="609"/>
      <c r="EUN81" s="609"/>
      <c r="EUO81" s="609"/>
      <c r="EUP81" s="609"/>
      <c r="EUQ81" s="609"/>
      <c r="EUR81" s="609"/>
      <c r="EUS81" s="609"/>
      <c r="EUT81" s="609"/>
      <c r="EUU81" s="609"/>
      <c r="EUV81" s="609"/>
      <c r="EUW81" s="609"/>
      <c r="EUX81" s="609"/>
      <c r="EUY81" s="609"/>
      <c r="EUZ81" s="609"/>
      <c r="EVA81" s="609"/>
      <c r="EVB81" s="609"/>
      <c r="EVC81" s="609"/>
      <c r="EVD81" s="609"/>
      <c r="EVE81" s="609"/>
      <c r="EVF81" s="609"/>
      <c r="EVG81" s="609"/>
      <c r="EVH81" s="609"/>
      <c r="EVI81" s="609"/>
      <c r="EVJ81" s="609"/>
      <c r="EVK81" s="609"/>
      <c r="EVL81" s="609"/>
      <c r="EVM81" s="609"/>
      <c r="EVN81" s="609"/>
      <c r="EVO81" s="609"/>
      <c r="EVP81" s="609"/>
      <c r="EVQ81" s="609"/>
      <c r="EVR81" s="609"/>
      <c r="EVS81" s="609"/>
      <c r="EVT81" s="609"/>
      <c r="EVU81" s="609"/>
      <c r="EVV81" s="609"/>
      <c r="EVW81" s="609"/>
      <c r="EVX81" s="609"/>
      <c r="EVY81" s="609"/>
      <c r="EVZ81" s="609"/>
      <c r="EWA81" s="609"/>
      <c r="EWB81" s="609"/>
      <c r="EWC81" s="609"/>
      <c r="EWD81" s="609"/>
      <c r="EWE81" s="609"/>
      <c r="EWF81" s="609"/>
      <c r="EWG81" s="609"/>
      <c r="EWH81" s="609"/>
      <c r="EWI81" s="609"/>
      <c r="EWJ81" s="609"/>
      <c r="EWK81" s="609"/>
      <c r="EWL81" s="609"/>
      <c r="EWM81" s="609"/>
      <c r="EWN81" s="609"/>
      <c r="EWO81" s="609"/>
      <c r="EWP81" s="609"/>
      <c r="EWQ81" s="609"/>
      <c r="EWR81" s="609"/>
      <c r="EWS81" s="609"/>
      <c r="EWT81" s="609"/>
      <c r="EWU81" s="609"/>
      <c r="EWV81" s="609"/>
      <c r="EWW81" s="609"/>
      <c r="EWX81" s="609"/>
      <c r="EWY81" s="609"/>
      <c r="EWZ81" s="609"/>
      <c r="EXA81" s="609"/>
      <c r="EXB81" s="609"/>
      <c r="EXC81" s="609"/>
      <c r="EXD81" s="609"/>
      <c r="EXE81" s="609"/>
      <c r="EXF81" s="609"/>
      <c r="EXG81" s="609"/>
      <c r="EXH81" s="609"/>
      <c r="EXI81" s="609"/>
      <c r="EXJ81" s="609"/>
      <c r="EXK81" s="609"/>
      <c r="EXL81" s="609"/>
      <c r="EXM81" s="609"/>
      <c r="EXN81" s="609"/>
      <c r="EXO81" s="609"/>
      <c r="EXP81" s="609"/>
      <c r="EXQ81" s="609"/>
      <c r="EXR81" s="609"/>
      <c r="EXS81" s="609"/>
      <c r="EXT81" s="609"/>
      <c r="EXU81" s="609"/>
      <c r="EXV81" s="609"/>
      <c r="EXW81" s="609"/>
      <c r="EXX81" s="609"/>
      <c r="EXY81" s="609"/>
      <c r="EXZ81" s="609"/>
      <c r="EYA81" s="609"/>
      <c r="EYB81" s="609"/>
      <c r="EYC81" s="609"/>
      <c r="EYD81" s="609"/>
      <c r="EYE81" s="609"/>
      <c r="EYF81" s="609"/>
      <c r="EYG81" s="609"/>
      <c r="EYH81" s="609"/>
      <c r="EYI81" s="609"/>
      <c r="EYJ81" s="609"/>
      <c r="EYK81" s="609"/>
      <c r="EYL81" s="609"/>
      <c r="EYM81" s="609"/>
      <c r="EYN81" s="609"/>
      <c r="EYO81" s="609"/>
      <c r="EYP81" s="609"/>
      <c r="EYQ81" s="609"/>
      <c r="EYR81" s="609"/>
      <c r="EYS81" s="609"/>
      <c r="EYT81" s="609"/>
      <c r="EYU81" s="609"/>
      <c r="EYV81" s="609"/>
      <c r="EYW81" s="609"/>
      <c r="EYX81" s="609"/>
      <c r="EYY81" s="609"/>
      <c r="EYZ81" s="609"/>
      <c r="EZA81" s="609"/>
      <c r="EZB81" s="609"/>
      <c r="EZC81" s="609"/>
      <c r="EZD81" s="609"/>
      <c r="EZE81" s="609"/>
      <c r="EZF81" s="609"/>
      <c r="EZG81" s="609"/>
      <c r="EZH81" s="609"/>
      <c r="EZI81" s="609"/>
      <c r="EZJ81" s="609"/>
      <c r="EZK81" s="609"/>
      <c r="EZL81" s="609"/>
      <c r="EZM81" s="609"/>
      <c r="EZN81" s="609"/>
      <c r="EZO81" s="609"/>
      <c r="EZP81" s="609"/>
      <c r="EZQ81" s="609"/>
      <c r="EZR81" s="609"/>
      <c r="EZS81" s="609"/>
      <c r="EZT81" s="609"/>
      <c r="EZU81" s="609"/>
      <c r="EZV81" s="609"/>
      <c r="EZW81" s="609"/>
      <c r="EZX81" s="609"/>
      <c r="EZY81" s="609"/>
      <c r="EZZ81" s="609"/>
      <c r="FAA81" s="609"/>
      <c r="FAB81" s="609"/>
      <c r="FAC81" s="609"/>
      <c r="FAD81" s="609"/>
      <c r="FAE81" s="609"/>
      <c r="FAF81" s="609"/>
      <c r="FAG81" s="609"/>
      <c r="FAH81" s="609"/>
      <c r="FAI81" s="609"/>
      <c r="FAJ81" s="609"/>
      <c r="FAK81" s="609"/>
      <c r="FAL81" s="609"/>
      <c r="FAM81" s="609"/>
      <c r="FAN81" s="609"/>
      <c r="FAO81" s="609"/>
      <c r="FAP81" s="609"/>
      <c r="FAQ81" s="609"/>
      <c r="FAR81" s="609"/>
      <c r="FAS81" s="609"/>
      <c r="FAT81" s="609"/>
      <c r="FAU81" s="609"/>
      <c r="FAV81" s="609"/>
      <c r="FAW81" s="609"/>
      <c r="FAX81" s="609"/>
      <c r="FAY81" s="609"/>
      <c r="FAZ81" s="609"/>
      <c r="FBA81" s="609"/>
      <c r="FBB81" s="609"/>
      <c r="FBC81" s="609"/>
      <c r="FBD81" s="609"/>
      <c r="FBE81" s="609"/>
      <c r="FBF81" s="609"/>
      <c r="FBG81" s="609"/>
      <c r="FBH81" s="609"/>
      <c r="FBI81" s="609"/>
      <c r="FBJ81" s="609"/>
      <c r="FBK81" s="609"/>
      <c r="FBL81" s="609"/>
      <c r="FBM81" s="609"/>
      <c r="FBN81" s="609"/>
      <c r="FBO81" s="609"/>
      <c r="FBP81" s="609"/>
      <c r="FBQ81" s="609"/>
      <c r="FBR81" s="609"/>
      <c r="FBS81" s="609"/>
      <c r="FBT81" s="609"/>
      <c r="FBU81" s="609"/>
      <c r="FBV81" s="609"/>
      <c r="FBW81" s="609"/>
      <c r="FBX81" s="609"/>
      <c r="FBY81" s="609"/>
      <c r="FBZ81" s="609"/>
      <c r="FCA81" s="609"/>
      <c r="FCB81" s="609"/>
      <c r="FCC81" s="609"/>
      <c r="FCD81" s="609"/>
      <c r="FCE81" s="609"/>
      <c r="FCF81" s="609"/>
      <c r="FCG81" s="609"/>
      <c r="FCH81" s="609"/>
      <c r="FCI81" s="609"/>
      <c r="FCJ81" s="609"/>
      <c r="FCK81" s="609"/>
      <c r="FCL81" s="609"/>
      <c r="FCM81" s="609"/>
      <c r="FCN81" s="609"/>
      <c r="FCO81" s="609"/>
      <c r="FCP81" s="609"/>
      <c r="FCQ81" s="609"/>
      <c r="FCR81" s="609"/>
      <c r="FCS81" s="609"/>
      <c r="FCT81" s="609"/>
      <c r="FCU81" s="609"/>
      <c r="FCV81" s="609"/>
      <c r="FCW81" s="609"/>
      <c r="FCX81" s="609"/>
      <c r="FCY81" s="609"/>
      <c r="FCZ81" s="609"/>
      <c r="FDA81" s="609"/>
      <c r="FDB81" s="609"/>
      <c r="FDC81" s="609"/>
      <c r="FDD81" s="609"/>
      <c r="FDE81" s="609"/>
      <c r="FDF81" s="609"/>
      <c r="FDG81" s="609"/>
      <c r="FDH81" s="609"/>
      <c r="FDI81" s="609"/>
      <c r="FDJ81" s="609"/>
      <c r="FDK81" s="609"/>
      <c r="FDL81" s="609"/>
      <c r="FDM81" s="609"/>
      <c r="FDN81" s="609"/>
      <c r="FDO81" s="609"/>
      <c r="FDP81" s="609"/>
      <c r="FDQ81" s="609"/>
      <c r="FDR81" s="609"/>
      <c r="FDS81" s="609"/>
      <c r="FDT81" s="609"/>
      <c r="FDU81" s="609"/>
      <c r="FDV81" s="609"/>
      <c r="FDW81" s="609"/>
      <c r="FDX81" s="609"/>
      <c r="FDY81" s="609"/>
      <c r="FDZ81" s="609"/>
      <c r="FEA81" s="609"/>
      <c r="FEB81" s="609"/>
      <c r="FEC81" s="609"/>
      <c r="FED81" s="609"/>
      <c r="FEE81" s="609"/>
      <c r="FEF81" s="609"/>
      <c r="FEG81" s="609"/>
      <c r="FEH81" s="609"/>
      <c r="FEI81" s="609"/>
      <c r="FEJ81" s="609"/>
      <c r="FEK81" s="609"/>
      <c r="FEL81" s="609"/>
      <c r="FEM81" s="609"/>
      <c r="FEN81" s="609"/>
      <c r="FEO81" s="609"/>
      <c r="FEP81" s="609"/>
      <c r="FEQ81" s="609"/>
      <c r="FER81" s="609"/>
      <c r="FES81" s="609"/>
      <c r="FET81" s="609"/>
      <c r="FEU81" s="609"/>
      <c r="FEV81" s="609"/>
      <c r="FEW81" s="609"/>
      <c r="FEX81" s="609"/>
      <c r="FEY81" s="609"/>
      <c r="FEZ81" s="609"/>
      <c r="FFA81" s="609"/>
      <c r="FFB81" s="609"/>
      <c r="FFC81" s="609"/>
      <c r="FFD81" s="609"/>
      <c r="FFE81" s="609"/>
      <c r="FFF81" s="609"/>
      <c r="FFG81" s="609"/>
      <c r="FFH81" s="609"/>
      <c r="FFI81" s="609"/>
      <c r="FFJ81" s="609"/>
      <c r="FFK81" s="609"/>
      <c r="FFL81" s="609"/>
      <c r="FFM81" s="609"/>
      <c r="FFN81" s="609"/>
      <c r="FFO81" s="609"/>
      <c r="FFP81" s="609"/>
      <c r="FFQ81" s="609"/>
      <c r="FFR81" s="609"/>
      <c r="FFS81" s="609"/>
      <c r="FFT81" s="609"/>
      <c r="FFU81" s="609"/>
      <c r="FFV81" s="609"/>
      <c r="FFW81" s="609"/>
      <c r="FFX81" s="609"/>
      <c r="FFY81" s="609"/>
      <c r="FFZ81" s="609"/>
      <c r="FGA81" s="609"/>
      <c r="FGB81" s="609"/>
      <c r="FGC81" s="609"/>
      <c r="FGD81" s="609"/>
      <c r="FGE81" s="609"/>
      <c r="FGF81" s="609"/>
      <c r="FGG81" s="609"/>
      <c r="FGH81" s="609"/>
      <c r="FGI81" s="609"/>
      <c r="FGJ81" s="609"/>
      <c r="FGK81" s="609"/>
      <c r="FGL81" s="609"/>
      <c r="FGM81" s="609"/>
      <c r="FGN81" s="609"/>
      <c r="FGO81" s="609"/>
      <c r="FGP81" s="609"/>
      <c r="FGQ81" s="609"/>
      <c r="FGR81" s="609"/>
      <c r="FGS81" s="609"/>
      <c r="FGT81" s="609"/>
      <c r="FGU81" s="609"/>
      <c r="FGV81" s="609"/>
      <c r="FGW81" s="609"/>
      <c r="FGX81" s="609"/>
      <c r="FGY81" s="609"/>
      <c r="FGZ81" s="609"/>
      <c r="FHA81" s="609"/>
      <c r="FHB81" s="609"/>
      <c r="FHC81" s="609"/>
      <c r="FHD81" s="609"/>
      <c r="FHE81" s="609"/>
      <c r="FHF81" s="609"/>
      <c r="FHG81" s="609"/>
      <c r="FHH81" s="609"/>
      <c r="FHI81" s="609"/>
      <c r="FHJ81" s="609"/>
      <c r="FHK81" s="609"/>
      <c r="FHL81" s="609"/>
      <c r="FHM81" s="609"/>
      <c r="FHN81" s="609"/>
      <c r="FHO81" s="609"/>
      <c r="FHP81" s="609"/>
      <c r="FHQ81" s="609"/>
      <c r="FHR81" s="609"/>
      <c r="FHS81" s="609"/>
      <c r="FHT81" s="609"/>
      <c r="FHU81" s="609"/>
      <c r="FHV81" s="609"/>
      <c r="FHW81" s="609"/>
      <c r="FHX81" s="609"/>
      <c r="FHY81" s="609"/>
      <c r="FHZ81" s="609"/>
      <c r="FIA81" s="609"/>
      <c r="FIB81" s="609"/>
      <c r="FIC81" s="609"/>
      <c r="FID81" s="609"/>
      <c r="FIE81" s="609"/>
      <c r="FIF81" s="609"/>
      <c r="FIG81" s="609"/>
      <c r="FIH81" s="609"/>
      <c r="FII81" s="609"/>
      <c r="FIJ81" s="609"/>
      <c r="FIK81" s="609"/>
      <c r="FIL81" s="609"/>
      <c r="FIM81" s="609"/>
      <c r="FIN81" s="609"/>
      <c r="FIO81" s="609"/>
      <c r="FIP81" s="609"/>
      <c r="FIQ81" s="609"/>
      <c r="FIR81" s="609"/>
      <c r="FIS81" s="609"/>
      <c r="FIT81" s="609"/>
      <c r="FIU81" s="609"/>
      <c r="FIV81" s="609"/>
      <c r="FIW81" s="609"/>
      <c r="FIX81" s="609"/>
      <c r="FIY81" s="609"/>
      <c r="FIZ81" s="609"/>
      <c r="FJA81" s="609"/>
      <c r="FJB81" s="609"/>
      <c r="FJC81" s="609"/>
      <c r="FJD81" s="609"/>
      <c r="FJE81" s="609"/>
      <c r="FJF81" s="609"/>
      <c r="FJG81" s="609"/>
      <c r="FJH81" s="609"/>
      <c r="FJI81" s="609"/>
      <c r="FJJ81" s="609"/>
      <c r="FJK81" s="609"/>
      <c r="FJL81" s="609"/>
      <c r="FJM81" s="609"/>
      <c r="FJN81" s="609"/>
      <c r="FJO81" s="609"/>
      <c r="FJP81" s="609"/>
      <c r="FJQ81" s="609"/>
      <c r="FJR81" s="609"/>
      <c r="FJS81" s="609"/>
      <c r="FJT81" s="609"/>
      <c r="FJU81" s="609"/>
      <c r="FJV81" s="609"/>
      <c r="FJW81" s="609"/>
      <c r="FJX81" s="609"/>
      <c r="FJY81" s="609"/>
      <c r="FJZ81" s="609"/>
      <c r="FKA81" s="609"/>
      <c r="FKB81" s="609"/>
      <c r="FKC81" s="609"/>
      <c r="FKD81" s="609"/>
      <c r="FKE81" s="609"/>
      <c r="FKF81" s="609"/>
      <c r="FKG81" s="609"/>
      <c r="FKH81" s="609"/>
      <c r="FKI81" s="609"/>
      <c r="FKJ81" s="609"/>
      <c r="FKK81" s="609"/>
      <c r="FKL81" s="609"/>
      <c r="FKM81" s="609"/>
      <c r="FKN81" s="609"/>
      <c r="FKO81" s="609"/>
      <c r="FKP81" s="609"/>
      <c r="FKQ81" s="609"/>
      <c r="FKR81" s="609"/>
      <c r="FKS81" s="609"/>
      <c r="FKT81" s="609"/>
      <c r="FKU81" s="609"/>
      <c r="FKV81" s="609"/>
      <c r="FKW81" s="609"/>
      <c r="FKX81" s="609"/>
      <c r="FKY81" s="609"/>
      <c r="FKZ81" s="609"/>
      <c r="FLA81" s="609"/>
      <c r="FLB81" s="609"/>
      <c r="FLC81" s="609"/>
      <c r="FLD81" s="609"/>
      <c r="FLE81" s="609"/>
      <c r="FLF81" s="609"/>
      <c r="FLG81" s="609"/>
      <c r="FLH81" s="609"/>
      <c r="FLI81" s="609"/>
      <c r="FLJ81" s="609"/>
      <c r="FLK81" s="609"/>
      <c r="FLL81" s="609"/>
      <c r="FLM81" s="609"/>
      <c r="FLN81" s="609"/>
      <c r="FLO81" s="609"/>
      <c r="FLP81" s="609"/>
      <c r="FLQ81" s="609"/>
      <c r="FLR81" s="609"/>
      <c r="FLS81" s="609"/>
      <c r="FLT81" s="609"/>
      <c r="FLU81" s="609"/>
      <c r="FLV81" s="609"/>
      <c r="FLW81" s="609"/>
      <c r="FLX81" s="609"/>
      <c r="FLY81" s="609"/>
      <c r="FLZ81" s="609"/>
      <c r="FMA81" s="609"/>
      <c r="FMB81" s="609"/>
      <c r="FMC81" s="609"/>
      <c r="FMD81" s="609"/>
      <c r="FME81" s="609"/>
      <c r="FMF81" s="609"/>
      <c r="FMG81" s="609"/>
      <c r="FMH81" s="609"/>
      <c r="FMI81" s="609"/>
      <c r="FMJ81" s="609"/>
      <c r="FMK81" s="609"/>
      <c r="FML81" s="609"/>
      <c r="FMM81" s="609"/>
      <c r="FMN81" s="609"/>
      <c r="FMO81" s="609"/>
      <c r="FMP81" s="609"/>
      <c r="FMQ81" s="609"/>
      <c r="FMR81" s="609"/>
      <c r="FMS81" s="609"/>
      <c r="FMT81" s="609"/>
      <c r="FMU81" s="609"/>
      <c r="FMV81" s="609"/>
      <c r="FMW81" s="609"/>
      <c r="FMX81" s="609"/>
      <c r="FMY81" s="609"/>
      <c r="FMZ81" s="609"/>
      <c r="FNA81" s="609"/>
      <c r="FNB81" s="609"/>
      <c r="FNC81" s="609"/>
      <c r="FND81" s="609"/>
      <c r="FNE81" s="609"/>
      <c r="FNF81" s="609"/>
      <c r="FNG81" s="609"/>
      <c r="FNH81" s="609"/>
      <c r="FNI81" s="609"/>
      <c r="FNJ81" s="609"/>
      <c r="FNK81" s="609"/>
      <c r="FNL81" s="609"/>
      <c r="FNM81" s="609"/>
      <c r="FNN81" s="609"/>
      <c r="FNO81" s="609"/>
      <c r="FNP81" s="609"/>
      <c r="FNQ81" s="609"/>
      <c r="FNR81" s="609"/>
      <c r="FNS81" s="609"/>
      <c r="FNT81" s="609"/>
      <c r="FNU81" s="609"/>
      <c r="FNV81" s="609"/>
      <c r="FNW81" s="609"/>
      <c r="FNX81" s="609"/>
      <c r="FNY81" s="609"/>
      <c r="FNZ81" s="609"/>
      <c r="FOA81" s="609"/>
      <c r="FOB81" s="609"/>
      <c r="FOC81" s="609"/>
      <c r="FOD81" s="609"/>
      <c r="FOE81" s="609"/>
      <c r="FOF81" s="609"/>
      <c r="FOG81" s="609"/>
      <c r="FOH81" s="609"/>
      <c r="FOI81" s="609"/>
      <c r="FOJ81" s="609"/>
      <c r="FOK81" s="609"/>
      <c r="FOL81" s="609"/>
      <c r="FOM81" s="609"/>
      <c r="FON81" s="609"/>
      <c r="FOO81" s="609"/>
      <c r="FOP81" s="609"/>
      <c r="FOQ81" s="609"/>
      <c r="FOR81" s="609"/>
      <c r="FOS81" s="609"/>
      <c r="FOT81" s="609"/>
      <c r="FOU81" s="609"/>
      <c r="FOV81" s="609"/>
      <c r="FOW81" s="609"/>
      <c r="FOX81" s="609"/>
      <c r="FOY81" s="609"/>
      <c r="FOZ81" s="609"/>
      <c r="FPA81" s="609"/>
      <c r="FPB81" s="609"/>
      <c r="FPC81" s="609"/>
      <c r="FPD81" s="609"/>
      <c r="FPE81" s="609"/>
      <c r="FPF81" s="609"/>
      <c r="FPG81" s="609"/>
      <c r="FPH81" s="609"/>
      <c r="FPI81" s="609"/>
      <c r="FPJ81" s="609"/>
      <c r="FPK81" s="609"/>
      <c r="FPL81" s="609"/>
      <c r="FPM81" s="609"/>
      <c r="FPN81" s="609"/>
      <c r="FPO81" s="609"/>
      <c r="FPP81" s="609"/>
      <c r="FPQ81" s="609"/>
      <c r="FPR81" s="609"/>
      <c r="FPS81" s="609"/>
      <c r="FPT81" s="609"/>
      <c r="FPU81" s="609"/>
      <c r="FPV81" s="609"/>
      <c r="FPW81" s="609"/>
      <c r="FPX81" s="609"/>
      <c r="FPY81" s="609"/>
      <c r="FPZ81" s="609"/>
      <c r="FQA81" s="609"/>
      <c r="FQB81" s="609"/>
      <c r="FQC81" s="609"/>
      <c r="FQD81" s="609"/>
      <c r="FQE81" s="609"/>
      <c r="FQF81" s="609"/>
      <c r="FQG81" s="609"/>
      <c r="FQH81" s="609"/>
      <c r="FQI81" s="609"/>
      <c r="FQJ81" s="609"/>
      <c r="FQK81" s="609"/>
      <c r="FQL81" s="609"/>
      <c r="FQM81" s="609"/>
      <c r="FQN81" s="609"/>
      <c r="FQO81" s="609"/>
      <c r="FQP81" s="609"/>
      <c r="FQQ81" s="609"/>
      <c r="FQR81" s="609"/>
      <c r="FQS81" s="609"/>
      <c r="FQT81" s="609"/>
      <c r="FQU81" s="609"/>
      <c r="FQV81" s="609"/>
      <c r="FQW81" s="609"/>
      <c r="FQX81" s="609"/>
      <c r="FQY81" s="609"/>
      <c r="FQZ81" s="609"/>
      <c r="FRA81" s="609"/>
      <c r="FRB81" s="609"/>
      <c r="FRC81" s="609"/>
      <c r="FRD81" s="609"/>
      <c r="FRE81" s="609"/>
      <c r="FRF81" s="609"/>
      <c r="FRG81" s="609"/>
      <c r="FRH81" s="609"/>
      <c r="FRI81" s="609"/>
      <c r="FRJ81" s="609"/>
      <c r="FRK81" s="609"/>
      <c r="FRL81" s="609"/>
      <c r="FRM81" s="609"/>
      <c r="FRN81" s="609"/>
      <c r="FRO81" s="609"/>
      <c r="FRP81" s="609"/>
      <c r="FRQ81" s="609"/>
      <c r="FRR81" s="609"/>
      <c r="FRS81" s="609"/>
      <c r="FRT81" s="609"/>
      <c r="FRU81" s="609"/>
      <c r="FRV81" s="609"/>
      <c r="FRW81" s="609"/>
      <c r="FRX81" s="609"/>
      <c r="FRY81" s="609"/>
      <c r="FRZ81" s="609"/>
      <c r="FSA81" s="609"/>
      <c r="FSB81" s="609"/>
      <c r="FSC81" s="609"/>
      <c r="FSD81" s="609"/>
      <c r="FSE81" s="609"/>
      <c r="FSF81" s="609"/>
      <c r="FSG81" s="609"/>
      <c r="FSH81" s="609"/>
      <c r="FSI81" s="609"/>
      <c r="FSJ81" s="609"/>
      <c r="FSK81" s="609"/>
      <c r="FSL81" s="609"/>
      <c r="FSM81" s="609"/>
      <c r="FSN81" s="609"/>
      <c r="FSO81" s="609"/>
      <c r="FSP81" s="609"/>
      <c r="FSQ81" s="609"/>
      <c r="FSR81" s="609"/>
      <c r="FSS81" s="609"/>
      <c r="FST81" s="609"/>
      <c r="FSU81" s="609"/>
      <c r="FSV81" s="609"/>
      <c r="FSW81" s="609"/>
      <c r="FSX81" s="609"/>
      <c r="FSY81" s="609"/>
      <c r="FSZ81" s="609"/>
      <c r="FTA81" s="609"/>
      <c r="FTB81" s="609"/>
      <c r="FTC81" s="609"/>
      <c r="FTD81" s="609"/>
      <c r="FTE81" s="609"/>
      <c r="FTF81" s="609"/>
      <c r="FTG81" s="609"/>
      <c r="FTH81" s="609"/>
      <c r="FTI81" s="609"/>
      <c r="FTJ81" s="609"/>
      <c r="FTK81" s="609"/>
      <c r="FTL81" s="609"/>
      <c r="FTM81" s="609"/>
      <c r="FTN81" s="609"/>
      <c r="FTO81" s="609"/>
      <c r="FTP81" s="609"/>
      <c r="FTQ81" s="609"/>
      <c r="FTR81" s="609"/>
      <c r="FTS81" s="609"/>
      <c r="FTT81" s="609"/>
      <c r="FTU81" s="609"/>
      <c r="FTV81" s="609"/>
      <c r="FTW81" s="609"/>
      <c r="FTX81" s="609"/>
      <c r="FTY81" s="609"/>
      <c r="FTZ81" s="609"/>
      <c r="FUA81" s="609"/>
      <c r="FUB81" s="609"/>
      <c r="FUC81" s="609"/>
      <c r="FUD81" s="609"/>
      <c r="FUE81" s="609"/>
      <c r="FUF81" s="609"/>
      <c r="FUG81" s="609"/>
      <c r="FUH81" s="609"/>
      <c r="FUI81" s="609"/>
      <c r="FUJ81" s="609"/>
      <c r="FUK81" s="609"/>
      <c r="FUL81" s="609"/>
      <c r="FUM81" s="609"/>
      <c r="FUN81" s="609"/>
      <c r="FUO81" s="609"/>
      <c r="FUP81" s="609"/>
      <c r="FUQ81" s="609"/>
      <c r="FUR81" s="609"/>
      <c r="FUS81" s="609"/>
      <c r="FUT81" s="609"/>
      <c r="FUU81" s="609"/>
      <c r="FUV81" s="609"/>
      <c r="FUW81" s="609"/>
      <c r="FUX81" s="609"/>
      <c r="FUY81" s="609"/>
      <c r="FUZ81" s="609"/>
      <c r="FVA81" s="609"/>
      <c r="FVB81" s="609"/>
      <c r="FVC81" s="609"/>
      <c r="FVD81" s="609"/>
      <c r="FVE81" s="609"/>
      <c r="FVF81" s="609"/>
      <c r="FVG81" s="609"/>
      <c r="FVH81" s="609"/>
      <c r="FVI81" s="609"/>
      <c r="FVJ81" s="609"/>
      <c r="FVK81" s="609"/>
      <c r="FVL81" s="609"/>
      <c r="FVM81" s="609"/>
      <c r="FVN81" s="609"/>
      <c r="FVO81" s="609"/>
      <c r="FVP81" s="609"/>
      <c r="FVQ81" s="609"/>
      <c r="FVR81" s="609"/>
      <c r="FVS81" s="609"/>
      <c r="FVT81" s="609"/>
      <c r="FVU81" s="609"/>
      <c r="FVV81" s="609"/>
      <c r="FVW81" s="609"/>
      <c r="FVX81" s="609"/>
      <c r="FVY81" s="609"/>
      <c r="FVZ81" s="609"/>
      <c r="FWA81" s="609"/>
      <c r="FWB81" s="609"/>
      <c r="FWC81" s="609"/>
      <c r="FWD81" s="609"/>
      <c r="FWE81" s="609"/>
      <c r="FWF81" s="609"/>
      <c r="FWG81" s="609"/>
      <c r="FWH81" s="609"/>
      <c r="FWI81" s="609"/>
      <c r="FWJ81" s="609"/>
      <c r="FWK81" s="609"/>
      <c r="FWL81" s="609"/>
      <c r="FWM81" s="609"/>
      <c r="FWN81" s="609"/>
      <c r="FWO81" s="609"/>
      <c r="FWP81" s="609"/>
      <c r="FWQ81" s="609"/>
      <c r="FWR81" s="609"/>
      <c r="FWS81" s="609"/>
      <c r="FWT81" s="609"/>
      <c r="FWU81" s="609"/>
      <c r="FWV81" s="609"/>
      <c r="FWW81" s="609"/>
      <c r="FWX81" s="609"/>
      <c r="FWY81" s="609"/>
      <c r="FWZ81" s="609"/>
      <c r="FXA81" s="609"/>
      <c r="FXB81" s="609"/>
      <c r="FXC81" s="609"/>
      <c r="FXD81" s="609"/>
      <c r="FXE81" s="609"/>
      <c r="FXF81" s="609"/>
      <c r="FXG81" s="609"/>
      <c r="FXH81" s="609"/>
      <c r="FXI81" s="609"/>
      <c r="FXJ81" s="609"/>
      <c r="FXK81" s="609"/>
      <c r="FXL81" s="609"/>
      <c r="FXM81" s="609"/>
      <c r="FXN81" s="609"/>
      <c r="FXO81" s="609"/>
      <c r="FXP81" s="609"/>
      <c r="FXQ81" s="609"/>
      <c r="FXR81" s="609"/>
      <c r="FXS81" s="609"/>
      <c r="FXT81" s="609"/>
      <c r="FXU81" s="609"/>
      <c r="FXV81" s="609"/>
      <c r="FXW81" s="609"/>
      <c r="FXX81" s="609"/>
      <c r="FXY81" s="609"/>
      <c r="FXZ81" s="609"/>
      <c r="FYA81" s="609"/>
      <c r="FYB81" s="609"/>
      <c r="FYC81" s="609"/>
      <c r="FYD81" s="609"/>
      <c r="FYE81" s="609"/>
      <c r="FYF81" s="609"/>
      <c r="FYG81" s="609"/>
      <c r="FYH81" s="609"/>
      <c r="FYI81" s="609"/>
      <c r="FYJ81" s="609"/>
      <c r="FYK81" s="609"/>
      <c r="FYL81" s="609"/>
      <c r="FYM81" s="609"/>
      <c r="FYN81" s="609"/>
      <c r="FYO81" s="609"/>
      <c r="FYP81" s="609"/>
      <c r="FYQ81" s="609"/>
      <c r="FYR81" s="609"/>
      <c r="FYS81" s="609"/>
      <c r="FYT81" s="609"/>
      <c r="FYU81" s="609"/>
      <c r="FYV81" s="609"/>
      <c r="FYW81" s="609"/>
      <c r="FYX81" s="609"/>
      <c r="FYY81" s="609"/>
      <c r="FYZ81" s="609"/>
      <c r="FZA81" s="609"/>
      <c r="FZB81" s="609"/>
      <c r="FZC81" s="609"/>
      <c r="FZD81" s="609"/>
      <c r="FZE81" s="609"/>
      <c r="FZF81" s="609"/>
      <c r="FZG81" s="609"/>
      <c r="FZH81" s="609"/>
      <c r="FZI81" s="609"/>
      <c r="FZJ81" s="609"/>
      <c r="FZK81" s="609"/>
      <c r="FZL81" s="609"/>
      <c r="FZM81" s="609"/>
      <c r="FZN81" s="609"/>
      <c r="FZO81" s="609"/>
      <c r="FZP81" s="609"/>
      <c r="FZQ81" s="609"/>
      <c r="FZR81" s="609"/>
      <c r="FZS81" s="609"/>
      <c r="FZT81" s="609"/>
      <c r="FZU81" s="609"/>
      <c r="FZV81" s="609"/>
      <c r="FZW81" s="609"/>
      <c r="FZX81" s="609"/>
      <c r="FZY81" s="609"/>
      <c r="FZZ81" s="609"/>
      <c r="GAA81" s="609"/>
      <c r="GAB81" s="609"/>
      <c r="GAC81" s="609"/>
      <c r="GAD81" s="609"/>
      <c r="GAE81" s="609"/>
      <c r="GAF81" s="609"/>
      <c r="GAG81" s="609"/>
      <c r="GAH81" s="609"/>
      <c r="GAI81" s="609"/>
      <c r="GAJ81" s="609"/>
      <c r="GAK81" s="609"/>
      <c r="GAL81" s="609"/>
      <c r="GAM81" s="609"/>
      <c r="GAN81" s="609"/>
      <c r="GAO81" s="609"/>
      <c r="GAP81" s="609"/>
      <c r="GAQ81" s="609"/>
      <c r="GAR81" s="609"/>
      <c r="GAS81" s="609"/>
      <c r="GAT81" s="609"/>
      <c r="GAU81" s="609"/>
      <c r="GAV81" s="609"/>
      <c r="GAW81" s="609"/>
      <c r="GAX81" s="609"/>
      <c r="GAY81" s="609"/>
      <c r="GAZ81" s="609"/>
      <c r="GBA81" s="609"/>
      <c r="GBB81" s="609"/>
      <c r="GBC81" s="609"/>
      <c r="GBD81" s="609"/>
      <c r="GBE81" s="609"/>
      <c r="GBF81" s="609"/>
      <c r="GBG81" s="609"/>
      <c r="GBH81" s="609"/>
      <c r="GBI81" s="609"/>
      <c r="GBJ81" s="609"/>
      <c r="GBK81" s="609"/>
      <c r="GBL81" s="609"/>
      <c r="GBM81" s="609"/>
      <c r="GBN81" s="609"/>
      <c r="GBO81" s="609"/>
      <c r="GBP81" s="609"/>
      <c r="GBQ81" s="609"/>
      <c r="GBR81" s="609"/>
      <c r="GBS81" s="609"/>
      <c r="GBT81" s="609"/>
      <c r="GBU81" s="609"/>
      <c r="GBV81" s="609"/>
      <c r="GBW81" s="609"/>
      <c r="GBX81" s="609"/>
      <c r="GBY81" s="609"/>
      <c r="GBZ81" s="609"/>
      <c r="GCA81" s="609"/>
      <c r="GCB81" s="609"/>
      <c r="GCC81" s="609"/>
      <c r="GCD81" s="609"/>
      <c r="GCE81" s="609"/>
      <c r="GCF81" s="609"/>
      <c r="GCG81" s="609"/>
      <c r="GCH81" s="609"/>
      <c r="GCI81" s="609"/>
      <c r="GCJ81" s="609"/>
      <c r="GCK81" s="609"/>
      <c r="GCL81" s="609"/>
      <c r="GCM81" s="609"/>
      <c r="GCN81" s="609"/>
      <c r="GCO81" s="609"/>
      <c r="GCP81" s="609"/>
      <c r="GCQ81" s="609"/>
      <c r="GCR81" s="609"/>
      <c r="GCS81" s="609"/>
      <c r="GCT81" s="609"/>
      <c r="GCU81" s="609"/>
      <c r="GCV81" s="609"/>
      <c r="GCW81" s="609"/>
      <c r="GCX81" s="609"/>
      <c r="GCY81" s="609"/>
      <c r="GCZ81" s="609"/>
      <c r="GDA81" s="609"/>
      <c r="GDB81" s="609"/>
      <c r="GDC81" s="609"/>
      <c r="GDD81" s="609"/>
      <c r="GDE81" s="609"/>
      <c r="GDF81" s="609"/>
      <c r="GDG81" s="609"/>
      <c r="GDH81" s="609"/>
      <c r="GDI81" s="609"/>
      <c r="GDJ81" s="609"/>
      <c r="GDK81" s="609"/>
      <c r="GDL81" s="609"/>
      <c r="GDM81" s="609"/>
      <c r="GDN81" s="609"/>
      <c r="GDO81" s="609"/>
      <c r="GDP81" s="609"/>
      <c r="GDQ81" s="609"/>
      <c r="GDR81" s="609"/>
      <c r="GDS81" s="609"/>
      <c r="GDT81" s="609"/>
      <c r="GDU81" s="609"/>
      <c r="GDV81" s="609"/>
      <c r="GDW81" s="609"/>
      <c r="GDX81" s="609"/>
      <c r="GDY81" s="609"/>
      <c r="GDZ81" s="609"/>
      <c r="GEA81" s="609"/>
      <c r="GEB81" s="609"/>
      <c r="GEC81" s="609"/>
      <c r="GED81" s="609"/>
      <c r="GEE81" s="609"/>
      <c r="GEF81" s="609"/>
      <c r="GEG81" s="609"/>
      <c r="GEH81" s="609"/>
      <c r="GEI81" s="609"/>
      <c r="GEJ81" s="609"/>
      <c r="GEK81" s="609"/>
      <c r="GEL81" s="609"/>
      <c r="GEM81" s="609"/>
      <c r="GEN81" s="609"/>
      <c r="GEO81" s="609"/>
      <c r="GEP81" s="609"/>
      <c r="GEQ81" s="609"/>
      <c r="GER81" s="609"/>
      <c r="GES81" s="609"/>
      <c r="GET81" s="609"/>
      <c r="GEU81" s="609"/>
      <c r="GEV81" s="609"/>
      <c r="GEW81" s="609"/>
      <c r="GEX81" s="609"/>
      <c r="GEY81" s="609"/>
      <c r="GEZ81" s="609"/>
      <c r="GFA81" s="609"/>
      <c r="GFB81" s="609"/>
      <c r="GFC81" s="609"/>
      <c r="GFD81" s="609"/>
      <c r="GFE81" s="609"/>
      <c r="GFF81" s="609"/>
      <c r="GFG81" s="609"/>
      <c r="GFH81" s="609"/>
      <c r="GFI81" s="609"/>
      <c r="GFJ81" s="609"/>
      <c r="GFK81" s="609"/>
      <c r="GFL81" s="609"/>
      <c r="GFM81" s="609"/>
      <c r="GFN81" s="609"/>
      <c r="GFO81" s="609"/>
      <c r="GFP81" s="609"/>
      <c r="GFQ81" s="609"/>
      <c r="GFR81" s="609"/>
      <c r="GFS81" s="609"/>
      <c r="GFT81" s="609"/>
      <c r="GFU81" s="609"/>
      <c r="GFV81" s="609"/>
      <c r="GFW81" s="609"/>
      <c r="GFX81" s="609"/>
      <c r="GFY81" s="609"/>
      <c r="GFZ81" s="609"/>
      <c r="GGA81" s="609"/>
      <c r="GGB81" s="609"/>
      <c r="GGC81" s="609"/>
      <c r="GGD81" s="609"/>
      <c r="GGE81" s="609"/>
      <c r="GGF81" s="609"/>
      <c r="GGG81" s="609"/>
      <c r="GGH81" s="609"/>
      <c r="GGI81" s="609"/>
      <c r="GGJ81" s="609"/>
      <c r="GGK81" s="609"/>
      <c r="GGL81" s="609"/>
      <c r="GGM81" s="609"/>
      <c r="GGN81" s="609"/>
      <c r="GGO81" s="609"/>
      <c r="GGP81" s="609"/>
      <c r="GGQ81" s="609"/>
      <c r="GGR81" s="609"/>
      <c r="GGS81" s="609"/>
      <c r="GGT81" s="609"/>
      <c r="GGU81" s="609"/>
      <c r="GGV81" s="609"/>
      <c r="GGW81" s="609"/>
      <c r="GGX81" s="609"/>
      <c r="GGY81" s="609"/>
      <c r="GGZ81" s="609"/>
      <c r="GHA81" s="609"/>
      <c r="GHB81" s="609"/>
      <c r="GHC81" s="609"/>
      <c r="GHD81" s="609"/>
      <c r="GHE81" s="609"/>
      <c r="GHF81" s="609"/>
      <c r="GHG81" s="609"/>
      <c r="GHH81" s="609"/>
      <c r="GHI81" s="609"/>
      <c r="GHJ81" s="609"/>
      <c r="GHK81" s="609"/>
      <c r="GHL81" s="609"/>
      <c r="GHM81" s="609"/>
      <c r="GHN81" s="609"/>
      <c r="GHO81" s="609"/>
      <c r="GHP81" s="609"/>
      <c r="GHQ81" s="609"/>
      <c r="GHR81" s="609"/>
      <c r="GHS81" s="609"/>
      <c r="GHT81" s="609"/>
      <c r="GHU81" s="609"/>
      <c r="GHV81" s="609"/>
      <c r="GHW81" s="609"/>
      <c r="GHX81" s="609"/>
      <c r="GHY81" s="609"/>
      <c r="GHZ81" s="609"/>
      <c r="GIA81" s="609"/>
      <c r="GIB81" s="609"/>
      <c r="GIC81" s="609"/>
      <c r="GID81" s="609"/>
      <c r="GIE81" s="609"/>
      <c r="GIF81" s="609"/>
      <c r="GIG81" s="609"/>
      <c r="GIH81" s="609"/>
      <c r="GII81" s="609"/>
      <c r="GIJ81" s="609"/>
      <c r="GIK81" s="609"/>
      <c r="GIL81" s="609"/>
      <c r="GIM81" s="609"/>
      <c r="GIN81" s="609"/>
      <c r="GIO81" s="609"/>
      <c r="GIP81" s="609"/>
      <c r="GIQ81" s="609"/>
      <c r="GIR81" s="609"/>
      <c r="GIS81" s="609"/>
      <c r="GIT81" s="609"/>
      <c r="GIU81" s="609"/>
      <c r="GIV81" s="609"/>
      <c r="GIW81" s="609"/>
      <c r="GIX81" s="609"/>
      <c r="GIY81" s="609"/>
      <c r="GIZ81" s="609"/>
      <c r="GJA81" s="609"/>
      <c r="GJB81" s="609"/>
      <c r="GJC81" s="609"/>
      <c r="GJD81" s="609"/>
      <c r="GJE81" s="609"/>
      <c r="GJF81" s="609"/>
      <c r="GJG81" s="609"/>
      <c r="GJH81" s="609"/>
      <c r="GJI81" s="609"/>
      <c r="GJJ81" s="609"/>
      <c r="GJK81" s="609"/>
      <c r="GJL81" s="609"/>
      <c r="GJM81" s="609"/>
      <c r="GJN81" s="609"/>
      <c r="GJO81" s="609"/>
      <c r="GJP81" s="609"/>
      <c r="GJQ81" s="609"/>
      <c r="GJR81" s="609"/>
      <c r="GJS81" s="609"/>
      <c r="GJT81" s="609"/>
      <c r="GJU81" s="609"/>
      <c r="GJV81" s="609"/>
      <c r="GJW81" s="609"/>
      <c r="GJX81" s="609"/>
      <c r="GJY81" s="609"/>
      <c r="GJZ81" s="609"/>
      <c r="GKA81" s="609"/>
      <c r="GKB81" s="609"/>
      <c r="GKC81" s="609"/>
      <c r="GKD81" s="609"/>
      <c r="GKE81" s="609"/>
      <c r="GKF81" s="609"/>
      <c r="GKG81" s="609"/>
      <c r="GKH81" s="609"/>
      <c r="GKI81" s="609"/>
      <c r="GKJ81" s="609"/>
      <c r="GKK81" s="609"/>
      <c r="GKL81" s="609"/>
      <c r="GKM81" s="609"/>
      <c r="GKN81" s="609"/>
      <c r="GKO81" s="609"/>
      <c r="GKP81" s="609"/>
      <c r="GKQ81" s="609"/>
      <c r="GKR81" s="609"/>
      <c r="GKS81" s="609"/>
      <c r="GKT81" s="609"/>
      <c r="GKU81" s="609"/>
      <c r="GKV81" s="609"/>
      <c r="GKW81" s="609"/>
      <c r="GKX81" s="609"/>
      <c r="GKY81" s="609"/>
      <c r="GKZ81" s="609"/>
      <c r="GLA81" s="609"/>
      <c r="GLB81" s="609"/>
      <c r="GLC81" s="609"/>
      <c r="GLD81" s="609"/>
      <c r="GLE81" s="609"/>
      <c r="GLF81" s="609"/>
      <c r="GLG81" s="609"/>
      <c r="GLH81" s="609"/>
      <c r="GLI81" s="609"/>
      <c r="GLJ81" s="609"/>
      <c r="GLK81" s="609"/>
      <c r="GLL81" s="609"/>
      <c r="GLM81" s="609"/>
      <c r="GLN81" s="609"/>
      <c r="GLO81" s="609"/>
      <c r="GLP81" s="609"/>
      <c r="GLQ81" s="609"/>
      <c r="GLR81" s="609"/>
      <c r="GLS81" s="609"/>
      <c r="GLT81" s="609"/>
      <c r="GLU81" s="609"/>
      <c r="GLV81" s="609"/>
      <c r="GLW81" s="609"/>
      <c r="GLX81" s="609"/>
      <c r="GLY81" s="609"/>
      <c r="GLZ81" s="609"/>
      <c r="GMA81" s="609"/>
      <c r="GMB81" s="609"/>
      <c r="GMC81" s="609"/>
      <c r="GMD81" s="609"/>
      <c r="GME81" s="609"/>
      <c r="GMF81" s="609"/>
      <c r="GMG81" s="609"/>
      <c r="GMH81" s="609"/>
      <c r="GMI81" s="609"/>
      <c r="GMJ81" s="609"/>
      <c r="GMK81" s="609"/>
      <c r="GML81" s="609"/>
      <c r="GMM81" s="609"/>
      <c r="GMN81" s="609"/>
      <c r="GMO81" s="609"/>
      <c r="GMP81" s="609"/>
      <c r="GMQ81" s="609"/>
      <c r="GMR81" s="609"/>
      <c r="GMS81" s="609"/>
      <c r="GMT81" s="609"/>
      <c r="GMU81" s="609"/>
      <c r="GMV81" s="609"/>
      <c r="GMW81" s="609"/>
      <c r="GMX81" s="609"/>
      <c r="GMY81" s="609"/>
      <c r="GMZ81" s="609"/>
      <c r="GNA81" s="609"/>
      <c r="GNB81" s="609"/>
      <c r="GNC81" s="609"/>
      <c r="GND81" s="609"/>
      <c r="GNE81" s="609"/>
      <c r="GNF81" s="609"/>
      <c r="GNG81" s="609"/>
      <c r="GNH81" s="609"/>
      <c r="GNI81" s="609"/>
      <c r="GNJ81" s="609"/>
      <c r="GNK81" s="609"/>
      <c r="GNL81" s="609"/>
      <c r="GNM81" s="609"/>
      <c r="GNN81" s="609"/>
      <c r="GNO81" s="609"/>
      <c r="GNP81" s="609"/>
      <c r="GNQ81" s="609"/>
      <c r="GNR81" s="609"/>
      <c r="GNS81" s="609"/>
      <c r="GNT81" s="609"/>
      <c r="GNU81" s="609"/>
      <c r="GNV81" s="609"/>
      <c r="GNW81" s="609"/>
      <c r="GNX81" s="609"/>
      <c r="GNY81" s="609"/>
      <c r="GNZ81" s="609"/>
      <c r="GOA81" s="609"/>
      <c r="GOB81" s="609"/>
      <c r="GOC81" s="609"/>
      <c r="GOD81" s="609"/>
      <c r="GOE81" s="609"/>
      <c r="GOF81" s="609"/>
      <c r="GOG81" s="609"/>
      <c r="GOH81" s="609"/>
      <c r="GOI81" s="609"/>
      <c r="GOJ81" s="609"/>
      <c r="GOK81" s="609"/>
      <c r="GOL81" s="609"/>
      <c r="GOM81" s="609"/>
      <c r="GON81" s="609"/>
      <c r="GOO81" s="609"/>
      <c r="GOP81" s="609"/>
      <c r="GOQ81" s="609"/>
      <c r="GOR81" s="609"/>
      <c r="GOS81" s="609"/>
      <c r="GOT81" s="609"/>
      <c r="GOU81" s="609"/>
      <c r="GOV81" s="609"/>
      <c r="GOW81" s="609"/>
      <c r="GOX81" s="609"/>
      <c r="GOY81" s="609"/>
      <c r="GOZ81" s="609"/>
      <c r="GPA81" s="609"/>
      <c r="GPB81" s="609"/>
      <c r="GPC81" s="609"/>
      <c r="GPD81" s="609"/>
      <c r="GPE81" s="609"/>
      <c r="GPF81" s="609"/>
      <c r="GPG81" s="609"/>
      <c r="GPH81" s="609"/>
      <c r="GPI81" s="609"/>
      <c r="GPJ81" s="609"/>
      <c r="GPK81" s="609"/>
      <c r="GPL81" s="609"/>
      <c r="GPM81" s="609"/>
      <c r="GPN81" s="609"/>
      <c r="GPO81" s="609"/>
      <c r="GPP81" s="609"/>
      <c r="GPQ81" s="609"/>
      <c r="GPR81" s="609"/>
      <c r="GPS81" s="609"/>
      <c r="GPT81" s="609"/>
      <c r="GPU81" s="609"/>
      <c r="GPV81" s="609"/>
      <c r="GPW81" s="609"/>
      <c r="GPX81" s="609"/>
      <c r="GPY81" s="609"/>
      <c r="GPZ81" s="609"/>
      <c r="GQA81" s="609"/>
      <c r="GQB81" s="609"/>
      <c r="GQC81" s="609"/>
      <c r="GQD81" s="609"/>
      <c r="GQE81" s="609"/>
      <c r="GQF81" s="609"/>
      <c r="GQG81" s="609"/>
      <c r="GQH81" s="609"/>
      <c r="GQI81" s="609"/>
      <c r="GQJ81" s="609"/>
      <c r="GQK81" s="609"/>
      <c r="GQL81" s="609"/>
      <c r="GQM81" s="609"/>
      <c r="GQN81" s="609"/>
      <c r="GQO81" s="609"/>
      <c r="GQP81" s="609"/>
      <c r="GQQ81" s="609"/>
      <c r="GQR81" s="609"/>
      <c r="GQS81" s="609"/>
      <c r="GQT81" s="609"/>
      <c r="GQU81" s="609"/>
      <c r="GQV81" s="609"/>
      <c r="GQW81" s="609"/>
      <c r="GQX81" s="609"/>
      <c r="GQY81" s="609"/>
      <c r="GQZ81" s="609"/>
      <c r="GRA81" s="609"/>
      <c r="GRB81" s="609"/>
      <c r="GRC81" s="609"/>
      <c r="GRD81" s="609"/>
      <c r="GRE81" s="609"/>
      <c r="GRF81" s="609"/>
      <c r="GRG81" s="609"/>
      <c r="GRH81" s="609"/>
      <c r="GRI81" s="609"/>
      <c r="GRJ81" s="609"/>
      <c r="GRK81" s="609"/>
      <c r="GRL81" s="609"/>
      <c r="GRM81" s="609"/>
      <c r="GRN81" s="609"/>
      <c r="GRO81" s="609"/>
      <c r="GRP81" s="609"/>
      <c r="GRQ81" s="609"/>
      <c r="GRR81" s="609"/>
      <c r="GRS81" s="609"/>
      <c r="GRT81" s="609"/>
      <c r="GRU81" s="609"/>
      <c r="GRV81" s="609"/>
      <c r="GRW81" s="609"/>
      <c r="GRX81" s="609"/>
      <c r="GRY81" s="609"/>
      <c r="GRZ81" s="609"/>
      <c r="GSA81" s="609"/>
      <c r="GSB81" s="609"/>
      <c r="GSC81" s="609"/>
      <c r="GSD81" s="609"/>
      <c r="GSE81" s="609"/>
      <c r="GSF81" s="609"/>
      <c r="GSG81" s="609"/>
      <c r="GSH81" s="609"/>
      <c r="GSI81" s="609"/>
      <c r="GSJ81" s="609"/>
      <c r="GSK81" s="609"/>
      <c r="GSL81" s="609"/>
      <c r="GSM81" s="609"/>
      <c r="GSN81" s="609"/>
      <c r="GSO81" s="609"/>
      <c r="GSP81" s="609"/>
      <c r="GSQ81" s="609"/>
      <c r="GSR81" s="609"/>
      <c r="GSS81" s="609"/>
      <c r="GST81" s="609"/>
      <c r="GSU81" s="609"/>
      <c r="GSV81" s="609"/>
      <c r="GSW81" s="609"/>
      <c r="GSX81" s="609"/>
      <c r="GSY81" s="609"/>
      <c r="GSZ81" s="609"/>
      <c r="GTA81" s="609"/>
      <c r="GTB81" s="609"/>
      <c r="GTC81" s="609"/>
      <c r="GTD81" s="609"/>
      <c r="GTE81" s="609"/>
      <c r="GTF81" s="609"/>
      <c r="GTG81" s="609"/>
      <c r="GTH81" s="609"/>
      <c r="GTI81" s="609"/>
      <c r="GTJ81" s="609"/>
      <c r="GTK81" s="609"/>
      <c r="GTL81" s="609"/>
      <c r="GTM81" s="609"/>
      <c r="GTN81" s="609"/>
      <c r="GTO81" s="609"/>
      <c r="GTP81" s="609"/>
      <c r="GTQ81" s="609"/>
      <c r="GTR81" s="609"/>
      <c r="GTS81" s="609"/>
      <c r="GTT81" s="609"/>
      <c r="GTU81" s="609"/>
      <c r="GTV81" s="609"/>
      <c r="GTW81" s="609"/>
      <c r="GTX81" s="609"/>
      <c r="GTY81" s="609"/>
      <c r="GTZ81" s="609"/>
      <c r="GUA81" s="609"/>
      <c r="GUB81" s="609"/>
      <c r="GUC81" s="609"/>
      <c r="GUD81" s="609"/>
      <c r="GUE81" s="609"/>
      <c r="GUF81" s="609"/>
      <c r="GUG81" s="609"/>
      <c r="GUH81" s="609"/>
      <c r="GUI81" s="609"/>
      <c r="GUJ81" s="609"/>
      <c r="GUK81" s="609"/>
      <c r="GUL81" s="609"/>
      <c r="GUM81" s="609"/>
      <c r="GUN81" s="609"/>
      <c r="GUO81" s="609"/>
      <c r="GUP81" s="609"/>
      <c r="GUQ81" s="609"/>
      <c r="GUR81" s="609"/>
      <c r="GUS81" s="609"/>
      <c r="GUT81" s="609"/>
      <c r="GUU81" s="609"/>
      <c r="GUV81" s="609"/>
      <c r="GUW81" s="609"/>
      <c r="GUX81" s="609"/>
      <c r="GUY81" s="609"/>
      <c r="GUZ81" s="609"/>
      <c r="GVA81" s="609"/>
      <c r="GVB81" s="609"/>
      <c r="GVC81" s="609"/>
      <c r="GVD81" s="609"/>
      <c r="GVE81" s="609"/>
      <c r="GVF81" s="609"/>
      <c r="GVG81" s="609"/>
      <c r="GVH81" s="609"/>
      <c r="GVI81" s="609"/>
      <c r="GVJ81" s="609"/>
      <c r="GVK81" s="609"/>
      <c r="GVL81" s="609"/>
      <c r="GVM81" s="609"/>
      <c r="GVN81" s="609"/>
      <c r="GVO81" s="609"/>
      <c r="GVP81" s="609"/>
      <c r="GVQ81" s="609"/>
      <c r="GVR81" s="609"/>
      <c r="GVS81" s="609"/>
      <c r="GVT81" s="609"/>
      <c r="GVU81" s="609"/>
      <c r="GVV81" s="609"/>
      <c r="GVW81" s="609"/>
      <c r="GVX81" s="609"/>
      <c r="GVY81" s="609"/>
      <c r="GVZ81" s="609"/>
      <c r="GWA81" s="609"/>
      <c r="GWB81" s="609"/>
      <c r="GWC81" s="609"/>
      <c r="GWD81" s="609"/>
      <c r="GWE81" s="609"/>
      <c r="GWF81" s="609"/>
      <c r="GWG81" s="609"/>
      <c r="GWH81" s="609"/>
      <c r="GWI81" s="609"/>
      <c r="GWJ81" s="609"/>
      <c r="GWK81" s="609"/>
      <c r="GWL81" s="609"/>
      <c r="GWM81" s="609"/>
      <c r="GWN81" s="609"/>
      <c r="GWO81" s="609"/>
      <c r="GWP81" s="609"/>
      <c r="GWQ81" s="609"/>
      <c r="GWR81" s="609"/>
      <c r="GWS81" s="609"/>
      <c r="GWT81" s="609"/>
      <c r="GWU81" s="609"/>
      <c r="GWV81" s="609"/>
      <c r="GWW81" s="609"/>
      <c r="GWX81" s="609"/>
      <c r="GWY81" s="609"/>
      <c r="GWZ81" s="609"/>
      <c r="GXA81" s="609"/>
      <c r="GXB81" s="609"/>
      <c r="GXC81" s="609"/>
      <c r="GXD81" s="609"/>
      <c r="GXE81" s="609"/>
      <c r="GXF81" s="609"/>
      <c r="GXG81" s="609"/>
      <c r="GXH81" s="609"/>
      <c r="GXI81" s="609"/>
      <c r="GXJ81" s="609"/>
      <c r="GXK81" s="609"/>
      <c r="GXL81" s="609"/>
      <c r="GXM81" s="609"/>
      <c r="GXN81" s="609"/>
      <c r="GXO81" s="609"/>
      <c r="GXP81" s="609"/>
      <c r="GXQ81" s="609"/>
      <c r="GXR81" s="609"/>
      <c r="GXS81" s="609"/>
      <c r="GXT81" s="609"/>
      <c r="GXU81" s="609"/>
      <c r="GXV81" s="609"/>
      <c r="GXW81" s="609"/>
      <c r="GXX81" s="609"/>
      <c r="GXY81" s="609"/>
      <c r="GXZ81" s="609"/>
      <c r="GYA81" s="609"/>
      <c r="GYB81" s="609"/>
      <c r="GYC81" s="609"/>
      <c r="GYD81" s="609"/>
      <c r="GYE81" s="609"/>
      <c r="GYF81" s="609"/>
      <c r="GYG81" s="609"/>
      <c r="GYH81" s="609"/>
      <c r="GYI81" s="609"/>
      <c r="GYJ81" s="609"/>
      <c r="GYK81" s="609"/>
      <c r="GYL81" s="609"/>
      <c r="GYM81" s="609"/>
      <c r="GYN81" s="609"/>
      <c r="GYO81" s="609"/>
      <c r="GYP81" s="609"/>
      <c r="GYQ81" s="609"/>
      <c r="GYR81" s="609"/>
      <c r="GYS81" s="609"/>
      <c r="GYT81" s="609"/>
      <c r="GYU81" s="609"/>
      <c r="GYV81" s="609"/>
      <c r="GYW81" s="609"/>
      <c r="GYX81" s="609"/>
      <c r="GYY81" s="609"/>
      <c r="GYZ81" s="609"/>
      <c r="GZA81" s="609"/>
      <c r="GZB81" s="609"/>
      <c r="GZC81" s="609"/>
      <c r="GZD81" s="609"/>
      <c r="GZE81" s="609"/>
      <c r="GZF81" s="609"/>
      <c r="GZG81" s="609"/>
      <c r="GZH81" s="609"/>
      <c r="GZI81" s="609"/>
      <c r="GZJ81" s="609"/>
      <c r="GZK81" s="609"/>
      <c r="GZL81" s="609"/>
      <c r="GZM81" s="609"/>
      <c r="GZN81" s="609"/>
      <c r="GZO81" s="609"/>
      <c r="GZP81" s="609"/>
      <c r="GZQ81" s="609"/>
      <c r="GZR81" s="609"/>
      <c r="GZS81" s="609"/>
      <c r="GZT81" s="609"/>
      <c r="GZU81" s="609"/>
      <c r="GZV81" s="609"/>
      <c r="GZW81" s="609"/>
      <c r="GZX81" s="609"/>
      <c r="GZY81" s="609"/>
      <c r="GZZ81" s="609"/>
      <c r="HAA81" s="609"/>
      <c r="HAB81" s="609"/>
      <c r="HAC81" s="609"/>
      <c r="HAD81" s="609"/>
      <c r="HAE81" s="609"/>
      <c r="HAF81" s="609"/>
      <c r="HAG81" s="609"/>
      <c r="HAH81" s="609"/>
      <c r="HAI81" s="609"/>
      <c r="HAJ81" s="609"/>
      <c r="HAK81" s="609"/>
      <c r="HAL81" s="609"/>
      <c r="HAM81" s="609"/>
      <c r="HAN81" s="609"/>
      <c r="HAO81" s="609"/>
      <c r="HAP81" s="609"/>
      <c r="HAQ81" s="609"/>
      <c r="HAR81" s="609"/>
      <c r="HAS81" s="609"/>
      <c r="HAT81" s="609"/>
      <c r="HAU81" s="609"/>
      <c r="HAV81" s="609"/>
      <c r="HAW81" s="609"/>
      <c r="HAX81" s="609"/>
      <c r="HAY81" s="609"/>
      <c r="HAZ81" s="609"/>
      <c r="HBA81" s="609"/>
      <c r="HBB81" s="609"/>
      <c r="HBC81" s="609"/>
      <c r="HBD81" s="609"/>
      <c r="HBE81" s="609"/>
      <c r="HBF81" s="609"/>
      <c r="HBG81" s="609"/>
      <c r="HBH81" s="609"/>
      <c r="HBI81" s="609"/>
      <c r="HBJ81" s="609"/>
      <c r="HBK81" s="609"/>
      <c r="HBL81" s="609"/>
      <c r="HBM81" s="609"/>
      <c r="HBN81" s="609"/>
      <c r="HBO81" s="609"/>
      <c r="HBP81" s="609"/>
      <c r="HBQ81" s="609"/>
      <c r="HBR81" s="609"/>
      <c r="HBS81" s="609"/>
      <c r="HBT81" s="609"/>
      <c r="HBU81" s="609"/>
      <c r="HBV81" s="609"/>
      <c r="HBW81" s="609"/>
      <c r="HBX81" s="609"/>
      <c r="HBY81" s="609"/>
      <c r="HBZ81" s="609"/>
      <c r="HCA81" s="609"/>
      <c r="HCB81" s="609"/>
      <c r="HCC81" s="609"/>
      <c r="HCD81" s="609"/>
      <c r="HCE81" s="609"/>
      <c r="HCF81" s="609"/>
      <c r="HCG81" s="609"/>
      <c r="HCH81" s="609"/>
      <c r="HCI81" s="609"/>
      <c r="HCJ81" s="609"/>
      <c r="HCK81" s="609"/>
      <c r="HCL81" s="609"/>
      <c r="HCM81" s="609"/>
      <c r="HCN81" s="609"/>
      <c r="HCO81" s="609"/>
      <c r="HCP81" s="609"/>
      <c r="HCQ81" s="609"/>
      <c r="HCR81" s="609"/>
      <c r="HCS81" s="609"/>
      <c r="HCT81" s="609"/>
      <c r="HCU81" s="609"/>
      <c r="HCV81" s="609"/>
      <c r="HCW81" s="609"/>
      <c r="HCX81" s="609"/>
      <c r="HCY81" s="609"/>
      <c r="HCZ81" s="609"/>
      <c r="HDA81" s="609"/>
      <c r="HDB81" s="609"/>
      <c r="HDC81" s="609"/>
      <c r="HDD81" s="609"/>
      <c r="HDE81" s="609"/>
      <c r="HDF81" s="609"/>
      <c r="HDG81" s="609"/>
      <c r="HDH81" s="609"/>
      <c r="HDI81" s="609"/>
      <c r="HDJ81" s="609"/>
      <c r="HDK81" s="609"/>
      <c r="HDL81" s="609"/>
      <c r="HDM81" s="609"/>
      <c r="HDN81" s="609"/>
      <c r="HDO81" s="609"/>
      <c r="HDP81" s="609"/>
      <c r="HDQ81" s="609"/>
      <c r="HDR81" s="609"/>
      <c r="HDS81" s="609"/>
      <c r="HDT81" s="609"/>
      <c r="HDU81" s="609"/>
      <c r="HDV81" s="609"/>
      <c r="HDW81" s="609"/>
      <c r="HDX81" s="609"/>
      <c r="HDY81" s="609"/>
      <c r="HDZ81" s="609"/>
      <c r="HEA81" s="609"/>
      <c r="HEB81" s="609"/>
      <c r="HEC81" s="609"/>
      <c r="HED81" s="609"/>
      <c r="HEE81" s="609"/>
      <c r="HEF81" s="609"/>
      <c r="HEG81" s="609"/>
      <c r="HEH81" s="609"/>
      <c r="HEI81" s="609"/>
      <c r="HEJ81" s="609"/>
      <c r="HEK81" s="609"/>
      <c r="HEL81" s="609"/>
      <c r="HEM81" s="609"/>
      <c r="HEN81" s="609"/>
      <c r="HEO81" s="609"/>
      <c r="HEP81" s="609"/>
      <c r="HEQ81" s="609"/>
      <c r="HER81" s="609"/>
      <c r="HES81" s="609"/>
      <c r="HET81" s="609"/>
      <c r="HEU81" s="609"/>
      <c r="HEV81" s="609"/>
      <c r="HEW81" s="609"/>
      <c r="HEX81" s="609"/>
      <c r="HEY81" s="609"/>
      <c r="HEZ81" s="609"/>
      <c r="HFA81" s="609"/>
      <c r="HFB81" s="609"/>
      <c r="HFC81" s="609"/>
      <c r="HFD81" s="609"/>
      <c r="HFE81" s="609"/>
      <c r="HFF81" s="609"/>
      <c r="HFG81" s="609"/>
      <c r="HFH81" s="609"/>
      <c r="HFI81" s="609"/>
      <c r="HFJ81" s="609"/>
      <c r="HFK81" s="609"/>
      <c r="HFL81" s="609"/>
      <c r="HFM81" s="609"/>
      <c r="HFN81" s="609"/>
      <c r="HFO81" s="609"/>
      <c r="HFP81" s="609"/>
      <c r="HFQ81" s="609"/>
      <c r="HFR81" s="609"/>
      <c r="HFS81" s="609"/>
      <c r="HFT81" s="609"/>
      <c r="HFU81" s="609"/>
      <c r="HFV81" s="609"/>
      <c r="HFW81" s="609"/>
      <c r="HFX81" s="609"/>
      <c r="HFY81" s="609"/>
      <c r="HFZ81" s="609"/>
      <c r="HGA81" s="609"/>
      <c r="HGB81" s="609"/>
      <c r="HGC81" s="609"/>
      <c r="HGD81" s="609"/>
      <c r="HGE81" s="609"/>
      <c r="HGF81" s="609"/>
      <c r="HGG81" s="609"/>
      <c r="HGH81" s="609"/>
      <c r="HGI81" s="609"/>
      <c r="HGJ81" s="609"/>
      <c r="HGK81" s="609"/>
      <c r="HGL81" s="609"/>
      <c r="HGM81" s="609"/>
      <c r="HGN81" s="609"/>
      <c r="HGO81" s="609"/>
      <c r="HGP81" s="609"/>
      <c r="HGQ81" s="609"/>
      <c r="HGR81" s="609"/>
      <c r="HGS81" s="609"/>
      <c r="HGT81" s="609"/>
      <c r="HGU81" s="609"/>
      <c r="HGV81" s="609"/>
      <c r="HGW81" s="609"/>
      <c r="HGX81" s="609"/>
      <c r="HGY81" s="609"/>
      <c r="HGZ81" s="609"/>
      <c r="HHA81" s="609"/>
      <c r="HHB81" s="609"/>
      <c r="HHC81" s="609"/>
      <c r="HHD81" s="609"/>
      <c r="HHE81" s="609"/>
      <c r="HHF81" s="609"/>
      <c r="HHG81" s="609"/>
      <c r="HHH81" s="609"/>
      <c r="HHI81" s="609"/>
      <c r="HHJ81" s="609"/>
      <c r="HHK81" s="609"/>
      <c r="HHL81" s="609"/>
      <c r="HHM81" s="609"/>
      <c r="HHN81" s="609"/>
      <c r="HHO81" s="609"/>
      <c r="HHP81" s="609"/>
      <c r="HHQ81" s="609"/>
      <c r="HHR81" s="609"/>
      <c r="HHS81" s="609"/>
      <c r="HHT81" s="609"/>
      <c r="HHU81" s="609"/>
      <c r="HHV81" s="609"/>
      <c r="HHW81" s="609"/>
      <c r="HHX81" s="609"/>
      <c r="HHY81" s="609"/>
      <c r="HHZ81" s="609"/>
      <c r="HIA81" s="609"/>
      <c r="HIB81" s="609"/>
      <c r="HIC81" s="609"/>
      <c r="HID81" s="609"/>
      <c r="HIE81" s="609"/>
      <c r="HIF81" s="609"/>
      <c r="HIG81" s="609"/>
      <c r="HIH81" s="609"/>
      <c r="HII81" s="609"/>
      <c r="HIJ81" s="609"/>
      <c r="HIK81" s="609"/>
      <c r="HIL81" s="609"/>
      <c r="HIM81" s="609"/>
      <c r="HIN81" s="609"/>
      <c r="HIO81" s="609"/>
      <c r="HIP81" s="609"/>
      <c r="HIQ81" s="609"/>
      <c r="HIR81" s="609"/>
      <c r="HIS81" s="609"/>
      <c r="HIT81" s="609"/>
      <c r="HIU81" s="609"/>
      <c r="HIV81" s="609"/>
      <c r="HIW81" s="609"/>
      <c r="HIX81" s="609"/>
      <c r="HIY81" s="609"/>
      <c r="HIZ81" s="609"/>
      <c r="HJA81" s="609"/>
      <c r="HJB81" s="609"/>
      <c r="HJC81" s="609"/>
      <c r="HJD81" s="609"/>
      <c r="HJE81" s="609"/>
      <c r="HJF81" s="609"/>
      <c r="HJG81" s="609"/>
      <c r="HJH81" s="609"/>
      <c r="HJI81" s="609"/>
      <c r="HJJ81" s="609"/>
      <c r="HJK81" s="609"/>
      <c r="HJL81" s="609"/>
      <c r="HJM81" s="609"/>
      <c r="HJN81" s="609"/>
      <c r="HJO81" s="609"/>
      <c r="HJP81" s="609"/>
      <c r="HJQ81" s="609"/>
      <c r="HJR81" s="609"/>
      <c r="HJS81" s="609"/>
      <c r="HJT81" s="609"/>
      <c r="HJU81" s="609"/>
      <c r="HJV81" s="609"/>
      <c r="HJW81" s="609"/>
      <c r="HJX81" s="609"/>
      <c r="HJY81" s="609"/>
      <c r="HJZ81" s="609"/>
      <c r="HKA81" s="609"/>
      <c r="HKB81" s="609"/>
      <c r="HKC81" s="609"/>
      <c r="HKD81" s="609"/>
      <c r="HKE81" s="609"/>
      <c r="HKF81" s="609"/>
      <c r="HKG81" s="609"/>
      <c r="HKH81" s="609"/>
      <c r="HKI81" s="609"/>
      <c r="HKJ81" s="609"/>
      <c r="HKK81" s="609"/>
      <c r="HKL81" s="609"/>
      <c r="HKM81" s="609"/>
      <c r="HKN81" s="609"/>
      <c r="HKO81" s="609"/>
      <c r="HKP81" s="609"/>
      <c r="HKQ81" s="609"/>
      <c r="HKR81" s="609"/>
      <c r="HKS81" s="609"/>
      <c r="HKT81" s="609"/>
      <c r="HKU81" s="609"/>
      <c r="HKV81" s="609"/>
      <c r="HKW81" s="609"/>
      <c r="HKX81" s="609"/>
      <c r="HKY81" s="609"/>
      <c r="HKZ81" s="609"/>
      <c r="HLA81" s="609"/>
      <c r="HLB81" s="609"/>
      <c r="HLC81" s="609"/>
      <c r="HLD81" s="609"/>
      <c r="HLE81" s="609"/>
      <c r="HLF81" s="609"/>
      <c r="HLG81" s="609"/>
      <c r="HLH81" s="609"/>
      <c r="HLI81" s="609"/>
      <c r="HLJ81" s="609"/>
      <c r="HLK81" s="609"/>
      <c r="HLL81" s="609"/>
      <c r="HLM81" s="609"/>
      <c r="HLN81" s="609"/>
      <c r="HLO81" s="609"/>
      <c r="HLP81" s="609"/>
      <c r="HLQ81" s="609"/>
      <c r="HLR81" s="609"/>
      <c r="HLS81" s="609"/>
      <c r="HLT81" s="609"/>
      <c r="HLU81" s="609"/>
      <c r="HLV81" s="609"/>
      <c r="HLW81" s="609"/>
      <c r="HLX81" s="609"/>
      <c r="HLY81" s="609"/>
      <c r="HLZ81" s="609"/>
      <c r="HMA81" s="609"/>
      <c r="HMB81" s="609"/>
      <c r="HMC81" s="609"/>
      <c r="HMD81" s="609"/>
      <c r="HME81" s="609"/>
      <c r="HMF81" s="609"/>
      <c r="HMG81" s="609"/>
      <c r="HMH81" s="609"/>
      <c r="HMI81" s="609"/>
      <c r="HMJ81" s="609"/>
      <c r="HMK81" s="609"/>
      <c r="HML81" s="609"/>
      <c r="HMM81" s="609"/>
      <c r="HMN81" s="609"/>
      <c r="HMO81" s="609"/>
      <c r="HMP81" s="609"/>
      <c r="HMQ81" s="609"/>
      <c r="HMR81" s="609"/>
      <c r="HMS81" s="609"/>
      <c r="HMT81" s="609"/>
      <c r="HMU81" s="609"/>
      <c r="HMV81" s="609"/>
      <c r="HMW81" s="609"/>
      <c r="HMX81" s="609"/>
      <c r="HMY81" s="609"/>
      <c r="HMZ81" s="609"/>
      <c r="HNA81" s="609"/>
      <c r="HNB81" s="609"/>
      <c r="HNC81" s="609"/>
      <c r="HND81" s="609"/>
      <c r="HNE81" s="609"/>
      <c r="HNF81" s="609"/>
      <c r="HNG81" s="609"/>
      <c r="HNH81" s="609"/>
      <c r="HNI81" s="609"/>
      <c r="HNJ81" s="609"/>
      <c r="HNK81" s="609"/>
      <c r="HNL81" s="609"/>
      <c r="HNM81" s="609"/>
      <c r="HNN81" s="609"/>
      <c r="HNO81" s="609"/>
      <c r="HNP81" s="609"/>
      <c r="HNQ81" s="609"/>
      <c r="HNR81" s="609"/>
      <c r="HNS81" s="609"/>
      <c r="HNT81" s="609"/>
      <c r="HNU81" s="609"/>
      <c r="HNV81" s="609"/>
      <c r="HNW81" s="609"/>
      <c r="HNX81" s="609"/>
      <c r="HNY81" s="609"/>
      <c r="HNZ81" s="609"/>
      <c r="HOA81" s="609"/>
      <c r="HOB81" s="609"/>
      <c r="HOC81" s="609"/>
      <c r="HOD81" s="609"/>
      <c r="HOE81" s="609"/>
      <c r="HOF81" s="609"/>
      <c r="HOG81" s="609"/>
      <c r="HOH81" s="609"/>
      <c r="HOI81" s="609"/>
      <c r="HOJ81" s="609"/>
      <c r="HOK81" s="609"/>
      <c r="HOL81" s="609"/>
      <c r="HOM81" s="609"/>
      <c r="HON81" s="609"/>
      <c r="HOO81" s="609"/>
      <c r="HOP81" s="609"/>
      <c r="HOQ81" s="609"/>
      <c r="HOR81" s="609"/>
      <c r="HOS81" s="609"/>
      <c r="HOT81" s="609"/>
      <c r="HOU81" s="609"/>
      <c r="HOV81" s="609"/>
      <c r="HOW81" s="609"/>
      <c r="HOX81" s="609"/>
      <c r="HOY81" s="609"/>
      <c r="HOZ81" s="609"/>
      <c r="HPA81" s="609"/>
      <c r="HPB81" s="609"/>
      <c r="HPC81" s="609"/>
      <c r="HPD81" s="609"/>
      <c r="HPE81" s="609"/>
      <c r="HPF81" s="609"/>
      <c r="HPG81" s="609"/>
      <c r="HPH81" s="609"/>
      <c r="HPI81" s="609"/>
      <c r="HPJ81" s="609"/>
      <c r="HPK81" s="609"/>
      <c r="HPL81" s="609"/>
      <c r="HPM81" s="609"/>
      <c r="HPN81" s="609"/>
      <c r="HPO81" s="609"/>
      <c r="HPP81" s="609"/>
      <c r="HPQ81" s="609"/>
      <c r="HPR81" s="609"/>
      <c r="HPS81" s="609"/>
      <c r="HPT81" s="609"/>
      <c r="HPU81" s="609"/>
      <c r="HPV81" s="609"/>
      <c r="HPW81" s="609"/>
      <c r="HPX81" s="609"/>
      <c r="HPY81" s="609"/>
      <c r="HPZ81" s="609"/>
      <c r="HQA81" s="609"/>
      <c r="HQB81" s="609"/>
      <c r="HQC81" s="609"/>
      <c r="HQD81" s="609"/>
      <c r="HQE81" s="609"/>
      <c r="HQF81" s="609"/>
      <c r="HQG81" s="609"/>
      <c r="HQH81" s="609"/>
      <c r="HQI81" s="609"/>
      <c r="HQJ81" s="609"/>
      <c r="HQK81" s="609"/>
      <c r="HQL81" s="609"/>
      <c r="HQM81" s="609"/>
      <c r="HQN81" s="609"/>
      <c r="HQO81" s="609"/>
      <c r="HQP81" s="609"/>
      <c r="HQQ81" s="609"/>
      <c r="HQR81" s="609"/>
      <c r="HQS81" s="609"/>
      <c r="HQT81" s="609"/>
      <c r="HQU81" s="609"/>
      <c r="HQV81" s="609"/>
      <c r="HQW81" s="609"/>
      <c r="HQX81" s="609"/>
      <c r="HQY81" s="609"/>
      <c r="HQZ81" s="609"/>
      <c r="HRA81" s="609"/>
      <c r="HRB81" s="609"/>
      <c r="HRC81" s="609"/>
      <c r="HRD81" s="609"/>
      <c r="HRE81" s="609"/>
      <c r="HRF81" s="609"/>
      <c r="HRG81" s="609"/>
      <c r="HRH81" s="609"/>
      <c r="HRI81" s="609"/>
      <c r="HRJ81" s="609"/>
      <c r="HRK81" s="609"/>
      <c r="HRL81" s="609"/>
      <c r="HRM81" s="609"/>
      <c r="HRN81" s="609"/>
      <c r="HRO81" s="609"/>
      <c r="HRP81" s="609"/>
      <c r="HRQ81" s="609"/>
      <c r="HRR81" s="609"/>
      <c r="HRS81" s="609"/>
      <c r="HRT81" s="609"/>
      <c r="HRU81" s="609"/>
      <c r="HRV81" s="609"/>
      <c r="HRW81" s="609"/>
      <c r="HRX81" s="609"/>
      <c r="HRY81" s="609"/>
      <c r="HRZ81" s="609"/>
      <c r="HSA81" s="609"/>
      <c r="HSB81" s="609"/>
      <c r="HSC81" s="609"/>
      <c r="HSD81" s="609"/>
      <c r="HSE81" s="609"/>
      <c r="HSF81" s="609"/>
      <c r="HSG81" s="609"/>
      <c r="HSH81" s="609"/>
      <c r="HSI81" s="609"/>
      <c r="HSJ81" s="609"/>
      <c r="HSK81" s="609"/>
      <c r="HSL81" s="609"/>
      <c r="HSM81" s="609"/>
      <c r="HSN81" s="609"/>
      <c r="HSO81" s="609"/>
      <c r="HSP81" s="609"/>
      <c r="HSQ81" s="609"/>
      <c r="HSR81" s="609"/>
      <c r="HSS81" s="609"/>
      <c r="HST81" s="609"/>
      <c r="HSU81" s="609"/>
      <c r="HSV81" s="609"/>
      <c r="HSW81" s="609"/>
      <c r="HSX81" s="609"/>
      <c r="HSY81" s="609"/>
      <c r="HSZ81" s="609"/>
      <c r="HTA81" s="609"/>
      <c r="HTB81" s="609"/>
      <c r="HTC81" s="609"/>
      <c r="HTD81" s="609"/>
      <c r="HTE81" s="609"/>
      <c r="HTF81" s="609"/>
      <c r="HTG81" s="609"/>
      <c r="HTH81" s="609"/>
      <c r="HTI81" s="609"/>
      <c r="HTJ81" s="609"/>
      <c r="HTK81" s="609"/>
      <c r="HTL81" s="609"/>
      <c r="HTM81" s="609"/>
      <c r="HTN81" s="609"/>
      <c r="HTO81" s="609"/>
      <c r="HTP81" s="609"/>
      <c r="HTQ81" s="609"/>
      <c r="HTR81" s="609"/>
      <c r="HTS81" s="609"/>
      <c r="HTT81" s="609"/>
      <c r="HTU81" s="609"/>
      <c r="HTV81" s="609"/>
      <c r="HTW81" s="609"/>
      <c r="HTX81" s="609"/>
      <c r="HTY81" s="609"/>
      <c r="HTZ81" s="609"/>
      <c r="HUA81" s="609"/>
      <c r="HUB81" s="609"/>
      <c r="HUC81" s="609"/>
      <c r="HUD81" s="609"/>
      <c r="HUE81" s="609"/>
      <c r="HUF81" s="609"/>
      <c r="HUG81" s="609"/>
      <c r="HUH81" s="609"/>
      <c r="HUI81" s="609"/>
      <c r="HUJ81" s="609"/>
      <c r="HUK81" s="609"/>
      <c r="HUL81" s="609"/>
      <c r="HUM81" s="609"/>
      <c r="HUN81" s="609"/>
      <c r="HUO81" s="609"/>
      <c r="HUP81" s="609"/>
      <c r="HUQ81" s="609"/>
      <c r="HUR81" s="609"/>
      <c r="HUS81" s="609"/>
      <c r="HUT81" s="609"/>
      <c r="HUU81" s="609"/>
      <c r="HUV81" s="609"/>
      <c r="HUW81" s="609"/>
      <c r="HUX81" s="609"/>
      <c r="HUY81" s="609"/>
      <c r="HUZ81" s="609"/>
      <c r="HVA81" s="609"/>
      <c r="HVB81" s="609"/>
      <c r="HVC81" s="609"/>
      <c r="HVD81" s="609"/>
      <c r="HVE81" s="609"/>
      <c r="HVF81" s="609"/>
      <c r="HVG81" s="609"/>
      <c r="HVH81" s="609"/>
      <c r="HVI81" s="609"/>
      <c r="HVJ81" s="609"/>
      <c r="HVK81" s="609"/>
      <c r="HVL81" s="609"/>
      <c r="HVM81" s="609"/>
      <c r="HVN81" s="609"/>
      <c r="HVO81" s="609"/>
      <c r="HVP81" s="609"/>
      <c r="HVQ81" s="609"/>
      <c r="HVR81" s="609"/>
      <c r="HVS81" s="609"/>
      <c r="HVT81" s="609"/>
      <c r="HVU81" s="609"/>
      <c r="HVV81" s="609"/>
      <c r="HVW81" s="609"/>
      <c r="HVX81" s="609"/>
      <c r="HVY81" s="609"/>
      <c r="HVZ81" s="609"/>
      <c r="HWA81" s="609"/>
      <c r="HWB81" s="609"/>
      <c r="HWC81" s="609"/>
      <c r="HWD81" s="609"/>
      <c r="HWE81" s="609"/>
      <c r="HWF81" s="609"/>
      <c r="HWG81" s="609"/>
      <c r="HWH81" s="609"/>
      <c r="HWI81" s="609"/>
      <c r="HWJ81" s="609"/>
      <c r="HWK81" s="609"/>
      <c r="HWL81" s="609"/>
      <c r="HWM81" s="609"/>
      <c r="HWN81" s="609"/>
      <c r="HWO81" s="609"/>
      <c r="HWP81" s="609"/>
      <c r="HWQ81" s="609"/>
      <c r="HWR81" s="609"/>
      <c r="HWS81" s="609"/>
      <c r="HWT81" s="609"/>
      <c r="HWU81" s="609"/>
      <c r="HWV81" s="609"/>
      <c r="HWW81" s="609"/>
      <c r="HWX81" s="609"/>
      <c r="HWY81" s="609"/>
      <c r="HWZ81" s="609"/>
      <c r="HXA81" s="609"/>
      <c r="HXB81" s="609"/>
      <c r="HXC81" s="609"/>
      <c r="HXD81" s="609"/>
      <c r="HXE81" s="609"/>
      <c r="HXF81" s="609"/>
      <c r="HXG81" s="609"/>
      <c r="HXH81" s="609"/>
      <c r="HXI81" s="609"/>
      <c r="HXJ81" s="609"/>
      <c r="HXK81" s="609"/>
      <c r="HXL81" s="609"/>
      <c r="HXM81" s="609"/>
      <c r="HXN81" s="609"/>
      <c r="HXO81" s="609"/>
      <c r="HXP81" s="609"/>
      <c r="HXQ81" s="609"/>
      <c r="HXR81" s="609"/>
      <c r="HXS81" s="609"/>
      <c r="HXT81" s="609"/>
      <c r="HXU81" s="609"/>
      <c r="HXV81" s="609"/>
      <c r="HXW81" s="609"/>
      <c r="HXX81" s="609"/>
      <c r="HXY81" s="609"/>
      <c r="HXZ81" s="609"/>
      <c r="HYA81" s="609"/>
      <c r="HYB81" s="609"/>
      <c r="HYC81" s="609"/>
      <c r="HYD81" s="609"/>
      <c r="HYE81" s="609"/>
      <c r="HYF81" s="609"/>
      <c r="HYG81" s="609"/>
      <c r="HYH81" s="609"/>
      <c r="HYI81" s="609"/>
      <c r="HYJ81" s="609"/>
      <c r="HYK81" s="609"/>
      <c r="HYL81" s="609"/>
      <c r="HYM81" s="609"/>
      <c r="HYN81" s="609"/>
      <c r="HYO81" s="609"/>
      <c r="HYP81" s="609"/>
      <c r="HYQ81" s="609"/>
      <c r="HYR81" s="609"/>
      <c r="HYS81" s="609"/>
      <c r="HYT81" s="609"/>
      <c r="HYU81" s="609"/>
      <c r="HYV81" s="609"/>
      <c r="HYW81" s="609"/>
      <c r="HYX81" s="609"/>
      <c r="HYY81" s="609"/>
      <c r="HYZ81" s="609"/>
      <c r="HZA81" s="609"/>
      <c r="HZB81" s="609"/>
      <c r="HZC81" s="609"/>
      <c r="HZD81" s="609"/>
      <c r="HZE81" s="609"/>
      <c r="HZF81" s="609"/>
      <c r="HZG81" s="609"/>
      <c r="HZH81" s="609"/>
      <c r="HZI81" s="609"/>
      <c r="HZJ81" s="609"/>
      <c r="HZK81" s="609"/>
      <c r="HZL81" s="609"/>
      <c r="HZM81" s="609"/>
      <c r="HZN81" s="609"/>
      <c r="HZO81" s="609"/>
      <c r="HZP81" s="609"/>
      <c r="HZQ81" s="609"/>
      <c r="HZR81" s="609"/>
      <c r="HZS81" s="609"/>
      <c r="HZT81" s="609"/>
      <c r="HZU81" s="609"/>
      <c r="HZV81" s="609"/>
      <c r="HZW81" s="609"/>
      <c r="HZX81" s="609"/>
      <c r="HZY81" s="609"/>
      <c r="HZZ81" s="609"/>
      <c r="IAA81" s="609"/>
      <c r="IAB81" s="609"/>
      <c r="IAC81" s="609"/>
      <c r="IAD81" s="609"/>
      <c r="IAE81" s="609"/>
      <c r="IAF81" s="609"/>
      <c r="IAG81" s="609"/>
      <c r="IAH81" s="609"/>
      <c r="IAI81" s="609"/>
      <c r="IAJ81" s="609"/>
      <c r="IAK81" s="609"/>
      <c r="IAL81" s="609"/>
      <c r="IAM81" s="609"/>
      <c r="IAN81" s="609"/>
      <c r="IAO81" s="609"/>
      <c r="IAP81" s="609"/>
      <c r="IAQ81" s="609"/>
      <c r="IAR81" s="609"/>
      <c r="IAS81" s="609"/>
      <c r="IAT81" s="609"/>
      <c r="IAU81" s="609"/>
      <c r="IAV81" s="609"/>
      <c r="IAW81" s="609"/>
      <c r="IAX81" s="609"/>
      <c r="IAY81" s="609"/>
      <c r="IAZ81" s="609"/>
      <c r="IBA81" s="609"/>
      <c r="IBB81" s="609"/>
      <c r="IBC81" s="609"/>
      <c r="IBD81" s="609"/>
      <c r="IBE81" s="609"/>
      <c r="IBF81" s="609"/>
      <c r="IBG81" s="609"/>
      <c r="IBH81" s="609"/>
      <c r="IBI81" s="609"/>
      <c r="IBJ81" s="609"/>
      <c r="IBK81" s="609"/>
      <c r="IBL81" s="609"/>
      <c r="IBM81" s="609"/>
      <c r="IBN81" s="609"/>
      <c r="IBO81" s="609"/>
      <c r="IBP81" s="609"/>
      <c r="IBQ81" s="609"/>
      <c r="IBR81" s="609"/>
      <c r="IBS81" s="609"/>
      <c r="IBT81" s="609"/>
      <c r="IBU81" s="609"/>
      <c r="IBV81" s="609"/>
      <c r="IBW81" s="609"/>
      <c r="IBX81" s="609"/>
      <c r="IBY81" s="609"/>
      <c r="IBZ81" s="609"/>
      <c r="ICA81" s="609"/>
      <c r="ICB81" s="609"/>
      <c r="ICC81" s="609"/>
      <c r="ICD81" s="609"/>
      <c r="ICE81" s="609"/>
      <c r="ICF81" s="609"/>
      <c r="ICG81" s="609"/>
      <c r="ICH81" s="609"/>
      <c r="ICI81" s="609"/>
      <c r="ICJ81" s="609"/>
      <c r="ICK81" s="609"/>
      <c r="ICL81" s="609"/>
      <c r="ICM81" s="609"/>
      <c r="ICN81" s="609"/>
      <c r="ICO81" s="609"/>
      <c r="ICP81" s="609"/>
      <c r="ICQ81" s="609"/>
      <c r="ICR81" s="609"/>
      <c r="ICS81" s="609"/>
      <c r="ICT81" s="609"/>
      <c r="ICU81" s="609"/>
      <c r="ICV81" s="609"/>
      <c r="ICW81" s="609"/>
      <c r="ICX81" s="609"/>
      <c r="ICY81" s="609"/>
      <c r="ICZ81" s="609"/>
      <c r="IDA81" s="609"/>
      <c r="IDB81" s="609"/>
      <c r="IDC81" s="609"/>
      <c r="IDD81" s="609"/>
      <c r="IDE81" s="609"/>
      <c r="IDF81" s="609"/>
      <c r="IDG81" s="609"/>
      <c r="IDH81" s="609"/>
      <c r="IDI81" s="609"/>
      <c r="IDJ81" s="609"/>
      <c r="IDK81" s="609"/>
      <c r="IDL81" s="609"/>
      <c r="IDM81" s="609"/>
      <c r="IDN81" s="609"/>
      <c r="IDO81" s="609"/>
      <c r="IDP81" s="609"/>
      <c r="IDQ81" s="609"/>
      <c r="IDR81" s="609"/>
      <c r="IDS81" s="609"/>
      <c r="IDT81" s="609"/>
      <c r="IDU81" s="609"/>
      <c r="IDV81" s="609"/>
      <c r="IDW81" s="609"/>
      <c r="IDX81" s="609"/>
      <c r="IDY81" s="609"/>
      <c r="IDZ81" s="609"/>
      <c r="IEA81" s="609"/>
      <c r="IEB81" s="609"/>
      <c r="IEC81" s="609"/>
      <c r="IED81" s="609"/>
      <c r="IEE81" s="609"/>
      <c r="IEF81" s="609"/>
      <c r="IEG81" s="609"/>
      <c r="IEH81" s="609"/>
      <c r="IEI81" s="609"/>
      <c r="IEJ81" s="609"/>
      <c r="IEK81" s="609"/>
      <c r="IEL81" s="609"/>
      <c r="IEM81" s="609"/>
      <c r="IEN81" s="609"/>
      <c r="IEO81" s="609"/>
      <c r="IEP81" s="609"/>
      <c r="IEQ81" s="609"/>
      <c r="IER81" s="609"/>
      <c r="IES81" s="609"/>
      <c r="IET81" s="609"/>
      <c r="IEU81" s="609"/>
      <c r="IEV81" s="609"/>
      <c r="IEW81" s="609"/>
      <c r="IEX81" s="609"/>
      <c r="IEY81" s="609"/>
      <c r="IEZ81" s="609"/>
      <c r="IFA81" s="609"/>
      <c r="IFB81" s="609"/>
      <c r="IFC81" s="609"/>
      <c r="IFD81" s="609"/>
      <c r="IFE81" s="609"/>
      <c r="IFF81" s="609"/>
      <c r="IFG81" s="609"/>
      <c r="IFH81" s="609"/>
      <c r="IFI81" s="609"/>
      <c r="IFJ81" s="609"/>
      <c r="IFK81" s="609"/>
      <c r="IFL81" s="609"/>
      <c r="IFM81" s="609"/>
      <c r="IFN81" s="609"/>
      <c r="IFO81" s="609"/>
      <c r="IFP81" s="609"/>
      <c r="IFQ81" s="609"/>
      <c r="IFR81" s="609"/>
      <c r="IFS81" s="609"/>
      <c r="IFT81" s="609"/>
      <c r="IFU81" s="609"/>
      <c r="IFV81" s="609"/>
      <c r="IFW81" s="609"/>
      <c r="IFX81" s="609"/>
      <c r="IFY81" s="609"/>
      <c r="IFZ81" s="609"/>
      <c r="IGA81" s="609"/>
      <c r="IGB81" s="609"/>
      <c r="IGC81" s="609"/>
      <c r="IGD81" s="609"/>
      <c r="IGE81" s="609"/>
      <c r="IGF81" s="609"/>
      <c r="IGG81" s="609"/>
      <c r="IGH81" s="609"/>
      <c r="IGI81" s="609"/>
      <c r="IGJ81" s="609"/>
      <c r="IGK81" s="609"/>
      <c r="IGL81" s="609"/>
      <c r="IGM81" s="609"/>
      <c r="IGN81" s="609"/>
      <c r="IGO81" s="609"/>
      <c r="IGP81" s="609"/>
      <c r="IGQ81" s="609"/>
      <c r="IGR81" s="609"/>
      <c r="IGS81" s="609"/>
      <c r="IGT81" s="609"/>
      <c r="IGU81" s="609"/>
      <c r="IGV81" s="609"/>
      <c r="IGW81" s="609"/>
      <c r="IGX81" s="609"/>
      <c r="IGY81" s="609"/>
      <c r="IGZ81" s="609"/>
      <c r="IHA81" s="609"/>
      <c r="IHB81" s="609"/>
      <c r="IHC81" s="609"/>
      <c r="IHD81" s="609"/>
      <c r="IHE81" s="609"/>
      <c r="IHF81" s="609"/>
      <c r="IHG81" s="609"/>
      <c r="IHH81" s="609"/>
      <c r="IHI81" s="609"/>
      <c r="IHJ81" s="609"/>
      <c r="IHK81" s="609"/>
      <c r="IHL81" s="609"/>
      <c r="IHM81" s="609"/>
      <c r="IHN81" s="609"/>
      <c r="IHO81" s="609"/>
      <c r="IHP81" s="609"/>
      <c r="IHQ81" s="609"/>
      <c r="IHR81" s="609"/>
      <c r="IHS81" s="609"/>
      <c r="IHT81" s="609"/>
      <c r="IHU81" s="609"/>
      <c r="IHV81" s="609"/>
      <c r="IHW81" s="609"/>
      <c r="IHX81" s="609"/>
      <c r="IHY81" s="609"/>
      <c r="IHZ81" s="609"/>
      <c r="IIA81" s="609"/>
      <c r="IIB81" s="609"/>
      <c r="IIC81" s="609"/>
      <c r="IID81" s="609"/>
      <c r="IIE81" s="609"/>
      <c r="IIF81" s="609"/>
      <c r="IIG81" s="609"/>
      <c r="IIH81" s="609"/>
      <c r="III81" s="609"/>
      <c r="IIJ81" s="609"/>
      <c r="IIK81" s="609"/>
      <c r="IIL81" s="609"/>
      <c r="IIM81" s="609"/>
      <c r="IIN81" s="609"/>
      <c r="IIO81" s="609"/>
      <c r="IIP81" s="609"/>
      <c r="IIQ81" s="609"/>
      <c r="IIR81" s="609"/>
      <c r="IIS81" s="609"/>
      <c r="IIT81" s="609"/>
      <c r="IIU81" s="609"/>
      <c r="IIV81" s="609"/>
      <c r="IIW81" s="609"/>
      <c r="IIX81" s="609"/>
      <c r="IIY81" s="609"/>
      <c r="IIZ81" s="609"/>
      <c r="IJA81" s="609"/>
      <c r="IJB81" s="609"/>
      <c r="IJC81" s="609"/>
      <c r="IJD81" s="609"/>
      <c r="IJE81" s="609"/>
      <c r="IJF81" s="609"/>
      <c r="IJG81" s="609"/>
      <c r="IJH81" s="609"/>
      <c r="IJI81" s="609"/>
      <c r="IJJ81" s="609"/>
      <c r="IJK81" s="609"/>
      <c r="IJL81" s="609"/>
      <c r="IJM81" s="609"/>
      <c r="IJN81" s="609"/>
      <c r="IJO81" s="609"/>
      <c r="IJP81" s="609"/>
      <c r="IJQ81" s="609"/>
      <c r="IJR81" s="609"/>
      <c r="IJS81" s="609"/>
      <c r="IJT81" s="609"/>
      <c r="IJU81" s="609"/>
      <c r="IJV81" s="609"/>
      <c r="IJW81" s="609"/>
      <c r="IJX81" s="609"/>
      <c r="IJY81" s="609"/>
      <c r="IJZ81" s="609"/>
      <c r="IKA81" s="609"/>
      <c r="IKB81" s="609"/>
      <c r="IKC81" s="609"/>
      <c r="IKD81" s="609"/>
      <c r="IKE81" s="609"/>
      <c r="IKF81" s="609"/>
      <c r="IKG81" s="609"/>
      <c r="IKH81" s="609"/>
      <c r="IKI81" s="609"/>
      <c r="IKJ81" s="609"/>
      <c r="IKK81" s="609"/>
      <c r="IKL81" s="609"/>
      <c r="IKM81" s="609"/>
      <c r="IKN81" s="609"/>
      <c r="IKO81" s="609"/>
      <c r="IKP81" s="609"/>
      <c r="IKQ81" s="609"/>
      <c r="IKR81" s="609"/>
      <c r="IKS81" s="609"/>
      <c r="IKT81" s="609"/>
      <c r="IKU81" s="609"/>
      <c r="IKV81" s="609"/>
      <c r="IKW81" s="609"/>
      <c r="IKX81" s="609"/>
      <c r="IKY81" s="609"/>
      <c r="IKZ81" s="609"/>
      <c r="ILA81" s="609"/>
      <c r="ILB81" s="609"/>
      <c r="ILC81" s="609"/>
      <c r="ILD81" s="609"/>
      <c r="ILE81" s="609"/>
      <c r="ILF81" s="609"/>
      <c r="ILG81" s="609"/>
      <c r="ILH81" s="609"/>
      <c r="ILI81" s="609"/>
      <c r="ILJ81" s="609"/>
      <c r="ILK81" s="609"/>
      <c r="ILL81" s="609"/>
      <c r="ILM81" s="609"/>
      <c r="ILN81" s="609"/>
      <c r="ILO81" s="609"/>
      <c r="ILP81" s="609"/>
      <c r="ILQ81" s="609"/>
      <c r="ILR81" s="609"/>
      <c r="ILS81" s="609"/>
      <c r="ILT81" s="609"/>
      <c r="ILU81" s="609"/>
      <c r="ILV81" s="609"/>
      <c r="ILW81" s="609"/>
      <c r="ILX81" s="609"/>
      <c r="ILY81" s="609"/>
      <c r="ILZ81" s="609"/>
      <c r="IMA81" s="609"/>
      <c r="IMB81" s="609"/>
      <c r="IMC81" s="609"/>
      <c r="IMD81" s="609"/>
      <c r="IME81" s="609"/>
      <c r="IMF81" s="609"/>
      <c r="IMG81" s="609"/>
      <c r="IMH81" s="609"/>
      <c r="IMI81" s="609"/>
      <c r="IMJ81" s="609"/>
      <c r="IMK81" s="609"/>
      <c r="IML81" s="609"/>
      <c r="IMM81" s="609"/>
      <c r="IMN81" s="609"/>
      <c r="IMO81" s="609"/>
      <c r="IMP81" s="609"/>
      <c r="IMQ81" s="609"/>
      <c r="IMR81" s="609"/>
      <c r="IMS81" s="609"/>
      <c r="IMT81" s="609"/>
      <c r="IMU81" s="609"/>
      <c r="IMV81" s="609"/>
      <c r="IMW81" s="609"/>
      <c r="IMX81" s="609"/>
      <c r="IMY81" s="609"/>
      <c r="IMZ81" s="609"/>
      <c r="INA81" s="609"/>
      <c r="INB81" s="609"/>
      <c r="INC81" s="609"/>
      <c r="IND81" s="609"/>
      <c r="INE81" s="609"/>
      <c r="INF81" s="609"/>
      <c r="ING81" s="609"/>
      <c r="INH81" s="609"/>
      <c r="INI81" s="609"/>
      <c r="INJ81" s="609"/>
      <c r="INK81" s="609"/>
      <c r="INL81" s="609"/>
      <c r="INM81" s="609"/>
      <c r="INN81" s="609"/>
      <c r="INO81" s="609"/>
      <c r="INP81" s="609"/>
      <c r="INQ81" s="609"/>
      <c r="INR81" s="609"/>
      <c r="INS81" s="609"/>
      <c r="INT81" s="609"/>
      <c r="INU81" s="609"/>
      <c r="INV81" s="609"/>
      <c r="INW81" s="609"/>
      <c r="INX81" s="609"/>
      <c r="INY81" s="609"/>
      <c r="INZ81" s="609"/>
      <c r="IOA81" s="609"/>
      <c r="IOB81" s="609"/>
      <c r="IOC81" s="609"/>
      <c r="IOD81" s="609"/>
      <c r="IOE81" s="609"/>
      <c r="IOF81" s="609"/>
      <c r="IOG81" s="609"/>
      <c r="IOH81" s="609"/>
      <c r="IOI81" s="609"/>
      <c r="IOJ81" s="609"/>
      <c r="IOK81" s="609"/>
      <c r="IOL81" s="609"/>
      <c r="IOM81" s="609"/>
      <c r="ION81" s="609"/>
      <c r="IOO81" s="609"/>
      <c r="IOP81" s="609"/>
      <c r="IOQ81" s="609"/>
      <c r="IOR81" s="609"/>
      <c r="IOS81" s="609"/>
      <c r="IOT81" s="609"/>
      <c r="IOU81" s="609"/>
      <c r="IOV81" s="609"/>
      <c r="IOW81" s="609"/>
      <c r="IOX81" s="609"/>
      <c r="IOY81" s="609"/>
      <c r="IOZ81" s="609"/>
      <c r="IPA81" s="609"/>
      <c r="IPB81" s="609"/>
      <c r="IPC81" s="609"/>
      <c r="IPD81" s="609"/>
      <c r="IPE81" s="609"/>
      <c r="IPF81" s="609"/>
      <c r="IPG81" s="609"/>
      <c r="IPH81" s="609"/>
      <c r="IPI81" s="609"/>
      <c r="IPJ81" s="609"/>
      <c r="IPK81" s="609"/>
      <c r="IPL81" s="609"/>
      <c r="IPM81" s="609"/>
      <c r="IPN81" s="609"/>
      <c r="IPO81" s="609"/>
      <c r="IPP81" s="609"/>
      <c r="IPQ81" s="609"/>
      <c r="IPR81" s="609"/>
      <c r="IPS81" s="609"/>
      <c r="IPT81" s="609"/>
      <c r="IPU81" s="609"/>
      <c r="IPV81" s="609"/>
      <c r="IPW81" s="609"/>
      <c r="IPX81" s="609"/>
      <c r="IPY81" s="609"/>
      <c r="IPZ81" s="609"/>
      <c r="IQA81" s="609"/>
      <c r="IQB81" s="609"/>
      <c r="IQC81" s="609"/>
      <c r="IQD81" s="609"/>
      <c r="IQE81" s="609"/>
      <c r="IQF81" s="609"/>
      <c r="IQG81" s="609"/>
      <c r="IQH81" s="609"/>
      <c r="IQI81" s="609"/>
      <c r="IQJ81" s="609"/>
      <c r="IQK81" s="609"/>
      <c r="IQL81" s="609"/>
      <c r="IQM81" s="609"/>
      <c r="IQN81" s="609"/>
      <c r="IQO81" s="609"/>
      <c r="IQP81" s="609"/>
      <c r="IQQ81" s="609"/>
      <c r="IQR81" s="609"/>
      <c r="IQS81" s="609"/>
      <c r="IQT81" s="609"/>
      <c r="IQU81" s="609"/>
      <c r="IQV81" s="609"/>
      <c r="IQW81" s="609"/>
      <c r="IQX81" s="609"/>
      <c r="IQY81" s="609"/>
      <c r="IQZ81" s="609"/>
      <c r="IRA81" s="609"/>
      <c r="IRB81" s="609"/>
      <c r="IRC81" s="609"/>
      <c r="IRD81" s="609"/>
      <c r="IRE81" s="609"/>
      <c r="IRF81" s="609"/>
      <c r="IRG81" s="609"/>
      <c r="IRH81" s="609"/>
      <c r="IRI81" s="609"/>
      <c r="IRJ81" s="609"/>
      <c r="IRK81" s="609"/>
      <c r="IRL81" s="609"/>
      <c r="IRM81" s="609"/>
      <c r="IRN81" s="609"/>
      <c r="IRO81" s="609"/>
      <c r="IRP81" s="609"/>
      <c r="IRQ81" s="609"/>
      <c r="IRR81" s="609"/>
      <c r="IRS81" s="609"/>
      <c r="IRT81" s="609"/>
      <c r="IRU81" s="609"/>
      <c r="IRV81" s="609"/>
      <c r="IRW81" s="609"/>
      <c r="IRX81" s="609"/>
      <c r="IRY81" s="609"/>
      <c r="IRZ81" s="609"/>
      <c r="ISA81" s="609"/>
      <c r="ISB81" s="609"/>
      <c r="ISC81" s="609"/>
      <c r="ISD81" s="609"/>
      <c r="ISE81" s="609"/>
      <c r="ISF81" s="609"/>
      <c r="ISG81" s="609"/>
      <c r="ISH81" s="609"/>
      <c r="ISI81" s="609"/>
      <c r="ISJ81" s="609"/>
      <c r="ISK81" s="609"/>
      <c r="ISL81" s="609"/>
      <c r="ISM81" s="609"/>
      <c r="ISN81" s="609"/>
      <c r="ISO81" s="609"/>
      <c r="ISP81" s="609"/>
      <c r="ISQ81" s="609"/>
      <c r="ISR81" s="609"/>
      <c r="ISS81" s="609"/>
      <c r="IST81" s="609"/>
      <c r="ISU81" s="609"/>
      <c r="ISV81" s="609"/>
      <c r="ISW81" s="609"/>
      <c r="ISX81" s="609"/>
      <c r="ISY81" s="609"/>
      <c r="ISZ81" s="609"/>
      <c r="ITA81" s="609"/>
      <c r="ITB81" s="609"/>
      <c r="ITC81" s="609"/>
      <c r="ITD81" s="609"/>
      <c r="ITE81" s="609"/>
      <c r="ITF81" s="609"/>
      <c r="ITG81" s="609"/>
      <c r="ITH81" s="609"/>
      <c r="ITI81" s="609"/>
      <c r="ITJ81" s="609"/>
      <c r="ITK81" s="609"/>
      <c r="ITL81" s="609"/>
      <c r="ITM81" s="609"/>
      <c r="ITN81" s="609"/>
      <c r="ITO81" s="609"/>
      <c r="ITP81" s="609"/>
      <c r="ITQ81" s="609"/>
      <c r="ITR81" s="609"/>
      <c r="ITS81" s="609"/>
      <c r="ITT81" s="609"/>
      <c r="ITU81" s="609"/>
      <c r="ITV81" s="609"/>
      <c r="ITW81" s="609"/>
      <c r="ITX81" s="609"/>
      <c r="ITY81" s="609"/>
      <c r="ITZ81" s="609"/>
      <c r="IUA81" s="609"/>
      <c r="IUB81" s="609"/>
      <c r="IUC81" s="609"/>
      <c r="IUD81" s="609"/>
      <c r="IUE81" s="609"/>
      <c r="IUF81" s="609"/>
      <c r="IUG81" s="609"/>
      <c r="IUH81" s="609"/>
      <c r="IUI81" s="609"/>
      <c r="IUJ81" s="609"/>
      <c r="IUK81" s="609"/>
      <c r="IUL81" s="609"/>
      <c r="IUM81" s="609"/>
      <c r="IUN81" s="609"/>
      <c r="IUO81" s="609"/>
      <c r="IUP81" s="609"/>
      <c r="IUQ81" s="609"/>
      <c r="IUR81" s="609"/>
      <c r="IUS81" s="609"/>
      <c r="IUT81" s="609"/>
      <c r="IUU81" s="609"/>
      <c r="IUV81" s="609"/>
      <c r="IUW81" s="609"/>
      <c r="IUX81" s="609"/>
      <c r="IUY81" s="609"/>
      <c r="IUZ81" s="609"/>
      <c r="IVA81" s="609"/>
      <c r="IVB81" s="609"/>
      <c r="IVC81" s="609"/>
      <c r="IVD81" s="609"/>
      <c r="IVE81" s="609"/>
      <c r="IVF81" s="609"/>
      <c r="IVG81" s="609"/>
      <c r="IVH81" s="609"/>
      <c r="IVI81" s="609"/>
      <c r="IVJ81" s="609"/>
      <c r="IVK81" s="609"/>
      <c r="IVL81" s="609"/>
      <c r="IVM81" s="609"/>
      <c r="IVN81" s="609"/>
      <c r="IVO81" s="609"/>
      <c r="IVP81" s="609"/>
      <c r="IVQ81" s="609"/>
      <c r="IVR81" s="609"/>
      <c r="IVS81" s="609"/>
      <c r="IVT81" s="609"/>
      <c r="IVU81" s="609"/>
      <c r="IVV81" s="609"/>
      <c r="IVW81" s="609"/>
      <c r="IVX81" s="609"/>
      <c r="IVY81" s="609"/>
      <c r="IVZ81" s="609"/>
      <c r="IWA81" s="609"/>
      <c r="IWB81" s="609"/>
      <c r="IWC81" s="609"/>
      <c r="IWD81" s="609"/>
      <c r="IWE81" s="609"/>
      <c r="IWF81" s="609"/>
      <c r="IWG81" s="609"/>
      <c r="IWH81" s="609"/>
      <c r="IWI81" s="609"/>
      <c r="IWJ81" s="609"/>
      <c r="IWK81" s="609"/>
      <c r="IWL81" s="609"/>
      <c r="IWM81" s="609"/>
      <c r="IWN81" s="609"/>
      <c r="IWO81" s="609"/>
      <c r="IWP81" s="609"/>
      <c r="IWQ81" s="609"/>
      <c r="IWR81" s="609"/>
      <c r="IWS81" s="609"/>
      <c r="IWT81" s="609"/>
      <c r="IWU81" s="609"/>
      <c r="IWV81" s="609"/>
      <c r="IWW81" s="609"/>
      <c r="IWX81" s="609"/>
      <c r="IWY81" s="609"/>
      <c r="IWZ81" s="609"/>
      <c r="IXA81" s="609"/>
      <c r="IXB81" s="609"/>
      <c r="IXC81" s="609"/>
      <c r="IXD81" s="609"/>
      <c r="IXE81" s="609"/>
      <c r="IXF81" s="609"/>
      <c r="IXG81" s="609"/>
      <c r="IXH81" s="609"/>
      <c r="IXI81" s="609"/>
      <c r="IXJ81" s="609"/>
      <c r="IXK81" s="609"/>
      <c r="IXL81" s="609"/>
      <c r="IXM81" s="609"/>
      <c r="IXN81" s="609"/>
      <c r="IXO81" s="609"/>
      <c r="IXP81" s="609"/>
      <c r="IXQ81" s="609"/>
      <c r="IXR81" s="609"/>
      <c r="IXS81" s="609"/>
      <c r="IXT81" s="609"/>
      <c r="IXU81" s="609"/>
      <c r="IXV81" s="609"/>
      <c r="IXW81" s="609"/>
      <c r="IXX81" s="609"/>
      <c r="IXY81" s="609"/>
      <c r="IXZ81" s="609"/>
      <c r="IYA81" s="609"/>
      <c r="IYB81" s="609"/>
      <c r="IYC81" s="609"/>
      <c r="IYD81" s="609"/>
      <c r="IYE81" s="609"/>
      <c r="IYF81" s="609"/>
      <c r="IYG81" s="609"/>
      <c r="IYH81" s="609"/>
      <c r="IYI81" s="609"/>
      <c r="IYJ81" s="609"/>
      <c r="IYK81" s="609"/>
      <c r="IYL81" s="609"/>
      <c r="IYM81" s="609"/>
      <c r="IYN81" s="609"/>
      <c r="IYO81" s="609"/>
      <c r="IYP81" s="609"/>
      <c r="IYQ81" s="609"/>
      <c r="IYR81" s="609"/>
      <c r="IYS81" s="609"/>
      <c r="IYT81" s="609"/>
      <c r="IYU81" s="609"/>
      <c r="IYV81" s="609"/>
      <c r="IYW81" s="609"/>
      <c r="IYX81" s="609"/>
      <c r="IYY81" s="609"/>
      <c r="IYZ81" s="609"/>
      <c r="IZA81" s="609"/>
      <c r="IZB81" s="609"/>
      <c r="IZC81" s="609"/>
      <c r="IZD81" s="609"/>
      <c r="IZE81" s="609"/>
      <c r="IZF81" s="609"/>
      <c r="IZG81" s="609"/>
      <c r="IZH81" s="609"/>
      <c r="IZI81" s="609"/>
      <c r="IZJ81" s="609"/>
      <c r="IZK81" s="609"/>
      <c r="IZL81" s="609"/>
      <c r="IZM81" s="609"/>
      <c r="IZN81" s="609"/>
      <c r="IZO81" s="609"/>
      <c r="IZP81" s="609"/>
      <c r="IZQ81" s="609"/>
      <c r="IZR81" s="609"/>
      <c r="IZS81" s="609"/>
      <c r="IZT81" s="609"/>
      <c r="IZU81" s="609"/>
      <c r="IZV81" s="609"/>
      <c r="IZW81" s="609"/>
      <c r="IZX81" s="609"/>
      <c r="IZY81" s="609"/>
      <c r="IZZ81" s="609"/>
      <c r="JAA81" s="609"/>
      <c r="JAB81" s="609"/>
      <c r="JAC81" s="609"/>
      <c r="JAD81" s="609"/>
      <c r="JAE81" s="609"/>
      <c r="JAF81" s="609"/>
      <c r="JAG81" s="609"/>
      <c r="JAH81" s="609"/>
      <c r="JAI81" s="609"/>
      <c r="JAJ81" s="609"/>
      <c r="JAK81" s="609"/>
      <c r="JAL81" s="609"/>
      <c r="JAM81" s="609"/>
      <c r="JAN81" s="609"/>
      <c r="JAO81" s="609"/>
      <c r="JAP81" s="609"/>
      <c r="JAQ81" s="609"/>
      <c r="JAR81" s="609"/>
      <c r="JAS81" s="609"/>
      <c r="JAT81" s="609"/>
      <c r="JAU81" s="609"/>
      <c r="JAV81" s="609"/>
      <c r="JAW81" s="609"/>
      <c r="JAX81" s="609"/>
      <c r="JAY81" s="609"/>
      <c r="JAZ81" s="609"/>
      <c r="JBA81" s="609"/>
      <c r="JBB81" s="609"/>
      <c r="JBC81" s="609"/>
      <c r="JBD81" s="609"/>
      <c r="JBE81" s="609"/>
      <c r="JBF81" s="609"/>
      <c r="JBG81" s="609"/>
      <c r="JBH81" s="609"/>
      <c r="JBI81" s="609"/>
      <c r="JBJ81" s="609"/>
      <c r="JBK81" s="609"/>
      <c r="JBL81" s="609"/>
      <c r="JBM81" s="609"/>
      <c r="JBN81" s="609"/>
      <c r="JBO81" s="609"/>
      <c r="JBP81" s="609"/>
      <c r="JBQ81" s="609"/>
      <c r="JBR81" s="609"/>
      <c r="JBS81" s="609"/>
      <c r="JBT81" s="609"/>
      <c r="JBU81" s="609"/>
      <c r="JBV81" s="609"/>
      <c r="JBW81" s="609"/>
      <c r="JBX81" s="609"/>
      <c r="JBY81" s="609"/>
      <c r="JBZ81" s="609"/>
      <c r="JCA81" s="609"/>
      <c r="JCB81" s="609"/>
      <c r="JCC81" s="609"/>
      <c r="JCD81" s="609"/>
      <c r="JCE81" s="609"/>
      <c r="JCF81" s="609"/>
      <c r="JCG81" s="609"/>
      <c r="JCH81" s="609"/>
      <c r="JCI81" s="609"/>
      <c r="JCJ81" s="609"/>
      <c r="JCK81" s="609"/>
      <c r="JCL81" s="609"/>
      <c r="JCM81" s="609"/>
      <c r="JCN81" s="609"/>
      <c r="JCO81" s="609"/>
      <c r="JCP81" s="609"/>
      <c r="JCQ81" s="609"/>
      <c r="JCR81" s="609"/>
      <c r="JCS81" s="609"/>
      <c r="JCT81" s="609"/>
      <c r="JCU81" s="609"/>
      <c r="JCV81" s="609"/>
      <c r="JCW81" s="609"/>
      <c r="JCX81" s="609"/>
      <c r="JCY81" s="609"/>
      <c r="JCZ81" s="609"/>
      <c r="JDA81" s="609"/>
      <c r="JDB81" s="609"/>
      <c r="JDC81" s="609"/>
      <c r="JDD81" s="609"/>
      <c r="JDE81" s="609"/>
      <c r="JDF81" s="609"/>
      <c r="JDG81" s="609"/>
      <c r="JDH81" s="609"/>
      <c r="JDI81" s="609"/>
      <c r="JDJ81" s="609"/>
      <c r="JDK81" s="609"/>
      <c r="JDL81" s="609"/>
      <c r="JDM81" s="609"/>
      <c r="JDN81" s="609"/>
      <c r="JDO81" s="609"/>
      <c r="JDP81" s="609"/>
      <c r="JDQ81" s="609"/>
      <c r="JDR81" s="609"/>
      <c r="JDS81" s="609"/>
      <c r="JDT81" s="609"/>
      <c r="JDU81" s="609"/>
      <c r="JDV81" s="609"/>
      <c r="JDW81" s="609"/>
      <c r="JDX81" s="609"/>
      <c r="JDY81" s="609"/>
      <c r="JDZ81" s="609"/>
      <c r="JEA81" s="609"/>
      <c r="JEB81" s="609"/>
      <c r="JEC81" s="609"/>
      <c r="JED81" s="609"/>
      <c r="JEE81" s="609"/>
      <c r="JEF81" s="609"/>
      <c r="JEG81" s="609"/>
      <c r="JEH81" s="609"/>
      <c r="JEI81" s="609"/>
      <c r="JEJ81" s="609"/>
      <c r="JEK81" s="609"/>
      <c r="JEL81" s="609"/>
      <c r="JEM81" s="609"/>
      <c r="JEN81" s="609"/>
      <c r="JEO81" s="609"/>
      <c r="JEP81" s="609"/>
      <c r="JEQ81" s="609"/>
      <c r="JER81" s="609"/>
      <c r="JES81" s="609"/>
      <c r="JET81" s="609"/>
      <c r="JEU81" s="609"/>
      <c r="JEV81" s="609"/>
      <c r="JEW81" s="609"/>
      <c r="JEX81" s="609"/>
      <c r="JEY81" s="609"/>
      <c r="JEZ81" s="609"/>
      <c r="JFA81" s="609"/>
      <c r="JFB81" s="609"/>
      <c r="JFC81" s="609"/>
      <c r="JFD81" s="609"/>
      <c r="JFE81" s="609"/>
      <c r="JFF81" s="609"/>
      <c r="JFG81" s="609"/>
      <c r="JFH81" s="609"/>
      <c r="JFI81" s="609"/>
      <c r="JFJ81" s="609"/>
      <c r="JFK81" s="609"/>
      <c r="JFL81" s="609"/>
      <c r="JFM81" s="609"/>
      <c r="JFN81" s="609"/>
      <c r="JFO81" s="609"/>
      <c r="JFP81" s="609"/>
      <c r="JFQ81" s="609"/>
      <c r="JFR81" s="609"/>
      <c r="JFS81" s="609"/>
      <c r="JFT81" s="609"/>
      <c r="JFU81" s="609"/>
      <c r="JFV81" s="609"/>
      <c r="JFW81" s="609"/>
      <c r="JFX81" s="609"/>
      <c r="JFY81" s="609"/>
      <c r="JFZ81" s="609"/>
      <c r="JGA81" s="609"/>
      <c r="JGB81" s="609"/>
      <c r="JGC81" s="609"/>
      <c r="JGD81" s="609"/>
      <c r="JGE81" s="609"/>
      <c r="JGF81" s="609"/>
      <c r="JGG81" s="609"/>
      <c r="JGH81" s="609"/>
      <c r="JGI81" s="609"/>
      <c r="JGJ81" s="609"/>
      <c r="JGK81" s="609"/>
      <c r="JGL81" s="609"/>
      <c r="JGM81" s="609"/>
      <c r="JGN81" s="609"/>
      <c r="JGO81" s="609"/>
      <c r="JGP81" s="609"/>
      <c r="JGQ81" s="609"/>
      <c r="JGR81" s="609"/>
      <c r="JGS81" s="609"/>
      <c r="JGT81" s="609"/>
      <c r="JGU81" s="609"/>
      <c r="JGV81" s="609"/>
      <c r="JGW81" s="609"/>
      <c r="JGX81" s="609"/>
      <c r="JGY81" s="609"/>
      <c r="JGZ81" s="609"/>
      <c r="JHA81" s="609"/>
      <c r="JHB81" s="609"/>
      <c r="JHC81" s="609"/>
      <c r="JHD81" s="609"/>
      <c r="JHE81" s="609"/>
      <c r="JHF81" s="609"/>
      <c r="JHG81" s="609"/>
      <c r="JHH81" s="609"/>
      <c r="JHI81" s="609"/>
      <c r="JHJ81" s="609"/>
      <c r="JHK81" s="609"/>
      <c r="JHL81" s="609"/>
      <c r="JHM81" s="609"/>
      <c r="JHN81" s="609"/>
      <c r="JHO81" s="609"/>
      <c r="JHP81" s="609"/>
      <c r="JHQ81" s="609"/>
      <c r="JHR81" s="609"/>
      <c r="JHS81" s="609"/>
      <c r="JHT81" s="609"/>
      <c r="JHU81" s="609"/>
      <c r="JHV81" s="609"/>
      <c r="JHW81" s="609"/>
      <c r="JHX81" s="609"/>
      <c r="JHY81" s="609"/>
      <c r="JHZ81" s="609"/>
      <c r="JIA81" s="609"/>
      <c r="JIB81" s="609"/>
      <c r="JIC81" s="609"/>
      <c r="JID81" s="609"/>
      <c r="JIE81" s="609"/>
      <c r="JIF81" s="609"/>
      <c r="JIG81" s="609"/>
      <c r="JIH81" s="609"/>
      <c r="JII81" s="609"/>
      <c r="JIJ81" s="609"/>
      <c r="JIK81" s="609"/>
      <c r="JIL81" s="609"/>
      <c r="JIM81" s="609"/>
      <c r="JIN81" s="609"/>
      <c r="JIO81" s="609"/>
      <c r="JIP81" s="609"/>
      <c r="JIQ81" s="609"/>
      <c r="JIR81" s="609"/>
      <c r="JIS81" s="609"/>
      <c r="JIT81" s="609"/>
      <c r="JIU81" s="609"/>
      <c r="JIV81" s="609"/>
      <c r="JIW81" s="609"/>
      <c r="JIX81" s="609"/>
      <c r="JIY81" s="609"/>
      <c r="JIZ81" s="609"/>
      <c r="JJA81" s="609"/>
      <c r="JJB81" s="609"/>
      <c r="JJC81" s="609"/>
      <c r="JJD81" s="609"/>
      <c r="JJE81" s="609"/>
      <c r="JJF81" s="609"/>
      <c r="JJG81" s="609"/>
      <c r="JJH81" s="609"/>
      <c r="JJI81" s="609"/>
      <c r="JJJ81" s="609"/>
      <c r="JJK81" s="609"/>
      <c r="JJL81" s="609"/>
      <c r="JJM81" s="609"/>
      <c r="JJN81" s="609"/>
      <c r="JJO81" s="609"/>
      <c r="JJP81" s="609"/>
      <c r="JJQ81" s="609"/>
      <c r="JJR81" s="609"/>
      <c r="JJS81" s="609"/>
      <c r="JJT81" s="609"/>
      <c r="JJU81" s="609"/>
      <c r="JJV81" s="609"/>
      <c r="JJW81" s="609"/>
      <c r="JJX81" s="609"/>
      <c r="JJY81" s="609"/>
      <c r="JJZ81" s="609"/>
      <c r="JKA81" s="609"/>
      <c r="JKB81" s="609"/>
      <c r="JKC81" s="609"/>
      <c r="JKD81" s="609"/>
      <c r="JKE81" s="609"/>
      <c r="JKF81" s="609"/>
      <c r="JKG81" s="609"/>
      <c r="JKH81" s="609"/>
      <c r="JKI81" s="609"/>
      <c r="JKJ81" s="609"/>
      <c r="JKK81" s="609"/>
      <c r="JKL81" s="609"/>
      <c r="JKM81" s="609"/>
      <c r="JKN81" s="609"/>
      <c r="JKO81" s="609"/>
      <c r="JKP81" s="609"/>
      <c r="JKQ81" s="609"/>
      <c r="JKR81" s="609"/>
      <c r="JKS81" s="609"/>
      <c r="JKT81" s="609"/>
      <c r="JKU81" s="609"/>
      <c r="JKV81" s="609"/>
      <c r="JKW81" s="609"/>
      <c r="JKX81" s="609"/>
      <c r="JKY81" s="609"/>
      <c r="JKZ81" s="609"/>
      <c r="JLA81" s="609"/>
      <c r="JLB81" s="609"/>
      <c r="JLC81" s="609"/>
      <c r="JLD81" s="609"/>
      <c r="JLE81" s="609"/>
      <c r="JLF81" s="609"/>
      <c r="JLG81" s="609"/>
      <c r="JLH81" s="609"/>
      <c r="JLI81" s="609"/>
      <c r="JLJ81" s="609"/>
      <c r="JLK81" s="609"/>
      <c r="JLL81" s="609"/>
      <c r="JLM81" s="609"/>
      <c r="JLN81" s="609"/>
      <c r="JLO81" s="609"/>
      <c r="JLP81" s="609"/>
      <c r="JLQ81" s="609"/>
      <c r="JLR81" s="609"/>
      <c r="JLS81" s="609"/>
      <c r="JLT81" s="609"/>
      <c r="JLU81" s="609"/>
      <c r="JLV81" s="609"/>
      <c r="JLW81" s="609"/>
      <c r="JLX81" s="609"/>
      <c r="JLY81" s="609"/>
      <c r="JLZ81" s="609"/>
      <c r="JMA81" s="609"/>
      <c r="JMB81" s="609"/>
      <c r="JMC81" s="609"/>
      <c r="JMD81" s="609"/>
      <c r="JME81" s="609"/>
      <c r="JMF81" s="609"/>
      <c r="JMG81" s="609"/>
      <c r="JMH81" s="609"/>
      <c r="JMI81" s="609"/>
      <c r="JMJ81" s="609"/>
      <c r="JMK81" s="609"/>
      <c r="JML81" s="609"/>
      <c r="JMM81" s="609"/>
      <c r="JMN81" s="609"/>
      <c r="JMO81" s="609"/>
      <c r="JMP81" s="609"/>
      <c r="JMQ81" s="609"/>
      <c r="JMR81" s="609"/>
      <c r="JMS81" s="609"/>
      <c r="JMT81" s="609"/>
      <c r="JMU81" s="609"/>
      <c r="JMV81" s="609"/>
      <c r="JMW81" s="609"/>
      <c r="JMX81" s="609"/>
      <c r="JMY81" s="609"/>
      <c r="JMZ81" s="609"/>
      <c r="JNA81" s="609"/>
      <c r="JNB81" s="609"/>
      <c r="JNC81" s="609"/>
      <c r="JND81" s="609"/>
      <c r="JNE81" s="609"/>
      <c r="JNF81" s="609"/>
      <c r="JNG81" s="609"/>
      <c r="JNH81" s="609"/>
      <c r="JNI81" s="609"/>
      <c r="JNJ81" s="609"/>
      <c r="JNK81" s="609"/>
      <c r="JNL81" s="609"/>
      <c r="JNM81" s="609"/>
      <c r="JNN81" s="609"/>
      <c r="JNO81" s="609"/>
      <c r="JNP81" s="609"/>
      <c r="JNQ81" s="609"/>
      <c r="JNR81" s="609"/>
      <c r="JNS81" s="609"/>
      <c r="JNT81" s="609"/>
      <c r="JNU81" s="609"/>
      <c r="JNV81" s="609"/>
      <c r="JNW81" s="609"/>
      <c r="JNX81" s="609"/>
      <c r="JNY81" s="609"/>
      <c r="JNZ81" s="609"/>
      <c r="JOA81" s="609"/>
      <c r="JOB81" s="609"/>
      <c r="JOC81" s="609"/>
      <c r="JOD81" s="609"/>
      <c r="JOE81" s="609"/>
      <c r="JOF81" s="609"/>
      <c r="JOG81" s="609"/>
      <c r="JOH81" s="609"/>
      <c r="JOI81" s="609"/>
      <c r="JOJ81" s="609"/>
      <c r="JOK81" s="609"/>
      <c r="JOL81" s="609"/>
      <c r="JOM81" s="609"/>
      <c r="JON81" s="609"/>
      <c r="JOO81" s="609"/>
      <c r="JOP81" s="609"/>
      <c r="JOQ81" s="609"/>
      <c r="JOR81" s="609"/>
      <c r="JOS81" s="609"/>
      <c r="JOT81" s="609"/>
      <c r="JOU81" s="609"/>
      <c r="JOV81" s="609"/>
      <c r="JOW81" s="609"/>
      <c r="JOX81" s="609"/>
      <c r="JOY81" s="609"/>
      <c r="JOZ81" s="609"/>
      <c r="JPA81" s="609"/>
      <c r="JPB81" s="609"/>
      <c r="JPC81" s="609"/>
      <c r="JPD81" s="609"/>
      <c r="JPE81" s="609"/>
      <c r="JPF81" s="609"/>
      <c r="JPG81" s="609"/>
      <c r="JPH81" s="609"/>
      <c r="JPI81" s="609"/>
      <c r="JPJ81" s="609"/>
      <c r="JPK81" s="609"/>
      <c r="JPL81" s="609"/>
      <c r="JPM81" s="609"/>
      <c r="JPN81" s="609"/>
      <c r="JPO81" s="609"/>
      <c r="JPP81" s="609"/>
      <c r="JPQ81" s="609"/>
      <c r="JPR81" s="609"/>
      <c r="JPS81" s="609"/>
      <c r="JPT81" s="609"/>
      <c r="JPU81" s="609"/>
      <c r="JPV81" s="609"/>
      <c r="JPW81" s="609"/>
      <c r="JPX81" s="609"/>
      <c r="JPY81" s="609"/>
      <c r="JPZ81" s="609"/>
      <c r="JQA81" s="609"/>
      <c r="JQB81" s="609"/>
      <c r="JQC81" s="609"/>
      <c r="JQD81" s="609"/>
      <c r="JQE81" s="609"/>
      <c r="JQF81" s="609"/>
      <c r="JQG81" s="609"/>
      <c r="JQH81" s="609"/>
      <c r="JQI81" s="609"/>
      <c r="JQJ81" s="609"/>
      <c r="JQK81" s="609"/>
      <c r="JQL81" s="609"/>
      <c r="JQM81" s="609"/>
      <c r="JQN81" s="609"/>
      <c r="JQO81" s="609"/>
      <c r="JQP81" s="609"/>
      <c r="JQQ81" s="609"/>
      <c r="JQR81" s="609"/>
      <c r="JQS81" s="609"/>
      <c r="JQT81" s="609"/>
      <c r="JQU81" s="609"/>
      <c r="JQV81" s="609"/>
      <c r="JQW81" s="609"/>
      <c r="JQX81" s="609"/>
      <c r="JQY81" s="609"/>
      <c r="JQZ81" s="609"/>
      <c r="JRA81" s="609"/>
      <c r="JRB81" s="609"/>
      <c r="JRC81" s="609"/>
      <c r="JRD81" s="609"/>
      <c r="JRE81" s="609"/>
      <c r="JRF81" s="609"/>
      <c r="JRG81" s="609"/>
      <c r="JRH81" s="609"/>
      <c r="JRI81" s="609"/>
      <c r="JRJ81" s="609"/>
      <c r="JRK81" s="609"/>
      <c r="JRL81" s="609"/>
      <c r="JRM81" s="609"/>
      <c r="JRN81" s="609"/>
      <c r="JRO81" s="609"/>
      <c r="JRP81" s="609"/>
      <c r="JRQ81" s="609"/>
      <c r="JRR81" s="609"/>
      <c r="JRS81" s="609"/>
      <c r="JRT81" s="609"/>
      <c r="JRU81" s="609"/>
      <c r="JRV81" s="609"/>
      <c r="JRW81" s="609"/>
      <c r="JRX81" s="609"/>
      <c r="JRY81" s="609"/>
      <c r="JRZ81" s="609"/>
      <c r="JSA81" s="609"/>
      <c r="JSB81" s="609"/>
      <c r="JSC81" s="609"/>
      <c r="JSD81" s="609"/>
      <c r="JSE81" s="609"/>
      <c r="JSF81" s="609"/>
      <c r="JSG81" s="609"/>
      <c r="JSH81" s="609"/>
      <c r="JSI81" s="609"/>
      <c r="JSJ81" s="609"/>
      <c r="JSK81" s="609"/>
      <c r="JSL81" s="609"/>
      <c r="JSM81" s="609"/>
      <c r="JSN81" s="609"/>
      <c r="JSO81" s="609"/>
      <c r="JSP81" s="609"/>
      <c r="JSQ81" s="609"/>
      <c r="JSR81" s="609"/>
      <c r="JSS81" s="609"/>
      <c r="JST81" s="609"/>
      <c r="JSU81" s="609"/>
      <c r="JSV81" s="609"/>
      <c r="JSW81" s="609"/>
      <c r="JSX81" s="609"/>
      <c r="JSY81" s="609"/>
      <c r="JSZ81" s="609"/>
      <c r="JTA81" s="609"/>
      <c r="JTB81" s="609"/>
      <c r="JTC81" s="609"/>
      <c r="JTD81" s="609"/>
      <c r="JTE81" s="609"/>
      <c r="JTF81" s="609"/>
      <c r="JTG81" s="609"/>
      <c r="JTH81" s="609"/>
      <c r="JTI81" s="609"/>
      <c r="JTJ81" s="609"/>
      <c r="JTK81" s="609"/>
      <c r="JTL81" s="609"/>
      <c r="JTM81" s="609"/>
      <c r="JTN81" s="609"/>
      <c r="JTO81" s="609"/>
      <c r="JTP81" s="609"/>
      <c r="JTQ81" s="609"/>
      <c r="JTR81" s="609"/>
      <c r="JTS81" s="609"/>
      <c r="JTT81" s="609"/>
      <c r="JTU81" s="609"/>
      <c r="JTV81" s="609"/>
      <c r="JTW81" s="609"/>
      <c r="JTX81" s="609"/>
      <c r="JTY81" s="609"/>
      <c r="JTZ81" s="609"/>
      <c r="JUA81" s="609"/>
      <c r="JUB81" s="609"/>
      <c r="JUC81" s="609"/>
      <c r="JUD81" s="609"/>
      <c r="JUE81" s="609"/>
      <c r="JUF81" s="609"/>
      <c r="JUG81" s="609"/>
      <c r="JUH81" s="609"/>
      <c r="JUI81" s="609"/>
      <c r="JUJ81" s="609"/>
      <c r="JUK81" s="609"/>
      <c r="JUL81" s="609"/>
      <c r="JUM81" s="609"/>
      <c r="JUN81" s="609"/>
      <c r="JUO81" s="609"/>
      <c r="JUP81" s="609"/>
      <c r="JUQ81" s="609"/>
      <c r="JUR81" s="609"/>
      <c r="JUS81" s="609"/>
      <c r="JUT81" s="609"/>
      <c r="JUU81" s="609"/>
      <c r="JUV81" s="609"/>
      <c r="JUW81" s="609"/>
      <c r="JUX81" s="609"/>
      <c r="JUY81" s="609"/>
      <c r="JUZ81" s="609"/>
      <c r="JVA81" s="609"/>
      <c r="JVB81" s="609"/>
      <c r="JVC81" s="609"/>
      <c r="JVD81" s="609"/>
      <c r="JVE81" s="609"/>
      <c r="JVF81" s="609"/>
      <c r="JVG81" s="609"/>
      <c r="JVH81" s="609"/>
      <c r="JVI81" s="609"/>
      <c r="JVJ81" s="609"/>
      <c r="JVK81" s="609"/>
      <c r="JVL81" s="609"/>
      <c r="JVM81" s="609"/>
      <c r="JVN81" s="609"/>
      <c r="JVO81" s="609"/>
      <c r="JVP81" s="609"/>
      <c r="JVQ81" s="609"/>
      <c r="JVR81" s="609"/>
      <c r="JVS81" s="609"/>
      <c r="JVT81" s="609"/>
      <c r="JVU81" s="609"/>
      <c r="JVV81" s="609"/>
      <c r="JVW81" s="609"/>
      <c r="JVX81" s="609"/>
      <c r="JVY81" s="609"/>
      <c r="JVZ81" s="609"/>
      <c r="JWA81" s="609"/>
      <c r="JWB81" s="609"/>
      <c r="JWC81" s="609"/>
      <c r="JWD81" s="609"/>
      <c r="JWE81" s="609"/>
      <c r="JWF81" s="609"/>
      <c r="JWG81" s="609"/>
      <c r="JWH81" s="609"/>
      <c r="JWI81" s="609"/>
      <c r="JWJ81" s="609"/>
      <c r="JWK81" s="609"/>
      <c r="JWL81" s="609"/>
      <c r="JWM81" s="609"/>
      <c r="JWN81" s="609"/>
      <c r="JWO81" s="609"/>
      <c r="JWP81" s="609"/>
      <c r="JWQ81" s="609"/>
      <c r="JWR81" s="609"/>
      <c r="JWS81" s="609"/>
      <c r="JWT81" s="609"/>
      <c r="JWU81" s="609"/>
      <c r="JWV81" s="609"/>
      <c r="JWW81" s="609"/>
      <c r="JWX81" s="609"/>
      <c r="JWY81" s="609"/>
      <c r="JWZ81" s="609"/>
      <c r="JXA81" s="609"/>
      <c r="JXB81" s="609"/>
      <c r="JXC81" s="609"/>
      <c r="JXD81" s="609"/>
      <c r="JXE81" s="609"/>
      <c r="JXF81" s="609"/>
      <c r="JXG81" s="609"/>
      <c r="JXH81" s="609"/>
      <c r="JXI81" s="609"/>
      <c r="JXJ81" s="609"/>
      <c r="JXK81" s="609"/>
      <c r="JXL81" s="609"/>
      <c r="JXM81" s="609"/>
      <c r="JXN81" s="609"/>
      <c r="JXO81" s="609"/>
      <c r="JXP81" s="609"/>
      <c r="JXQ81" s="609"/>
      <c r="JXR81" s="609"/>
      <c r="JXS81" s="609"/>
      <c r="JXT81" s="609"/>
      <c r="JXU81" s="609"/>
      <c r="JXV81" s="609"/>
      <c r="JXW81" s="609"/>
      <c r="JXX81" s="609"/>
      <c r="JXY81" s="609"/>
      <c r="JXZ81" s="609"/>
      <c r="JYA81" s="609"/>
      <c r="JYB81" s="609"/>
      <c r="JYC81" s="609"/>
      <c r="JYD81" s="609"/>
      <c r="JYE81" s="609"/>
      <c r="JYF81" s="609"/>
      <c r="JYG81" s="609"/>
      <c r="JYH81" s="609"/>
      <c r="JYI81" s="609"/>
      <c r="JYJ81" s="609"/>
      <c r="JYK81" s="609"/>
      <c r="JYL81" s="609"/>
      <c r="JYM81" s="609"/>
      <c r="JYN81" s="609"/>
      <c r="JYO81" s="609"/>
      <c r="JYP81" s="609"/>
      <c r="JYQ81" s="609"/>
      <c r="JYR81" s="609"/>
      <c r="JYS81" s="609"/>
      <c r="JYT81" s="609"/>
      <c r="JYU81" s="609"/>
      <c r="JYV81" s="609"/>
      <c r="JYW81" s="609"/>
      <c r="JYX81" s="609"/>
      <c r="JYY81" s="609"/>
      <c r="JYZ81" s="609"/>
      <c r="JZA81" s="609"/>
      <c r="JZB81" s="609"/>
      <c r="JZC81" s="609"/>
      <c r="JZD81" s="609"/>
      <c r="JZE81" s="609"/>
      <c r="JZF81" s="609"/>
      <c r="JZG81" s="609"/>
      <c r="JZH81" s="609"/>
      <c r="JZI81" s="609"/>
      <c r="JZJ81" s="609"/>
      <c r="JZK81" s="609"/>
      <c r="JZL81" s="609"/>
      <c r="JZM81" s="609"/>
      <c r="JZN81" s="609"/>
      <c r="JZO81" s="609"/>
      <c r="JZP81" s="609"/>
      <c r="JZQ81" s="609"/>
      <c r="JZR81" s="609"/>
      <c r="JZS81" s="609"/>
      <c r="JZT81" s="609"/>
      <c r="JZU81" s="609"/>
      <c r="JZV81" s="609"/>
      <c r="JZW81" s="609"/>
      <c r="JZX81" s="609"/>
      <c r="JZY81" s="609"/>
      <c r="JZZ81" s="609"/>
      <c r="KAA81" s="609"/>
      <c r="KAB81" s="609"/>
      <c r="KAC81" s="609"/>
      <c r="KAD81" s="609"/>
      <c r="KAE81" s="609"/>
      <c r="KAF81" s="609"/>
      <c r="KAG81" s="609"/>
      <c r="KAH81" s="609"/>
      <c r="KAI81" s="609"/>
      <c r="KAJ81" s="609"/>
      <c r="KAK81" s="609"/>
      <c r="KAL81" s="609"/>
      <c r="KAM81" s="609"/>
      <c r="KAN81" s="609"/>
      <c r="KAO81" s="609"/>
      <c r="KAP81" s="609"/>
      <c r="KAQ81" s="609"/>
      <c r="KAR81" s="609"/>
      <c r="KAS81" s="609"/>
      <c r="KAT81" s="609"/>
      <c r="KAU81" s="609"/>
      <c r="KAV81" s="609"/>
      <c r="KAW81" s="609"/>
      <c r="KAX81" s="609"/>
      <c r="KAY81" s="609"/>
      <c r="KAZ81" s="609"/>
      <c r="KBA81" s="609"/>
      <c r="KBB81" s="609"/>
      <c r="KBC81" s="609"/>
      <c r="KBD81" s="609"/>
      <c r="KBE81" s="609"/>
      <c r="KBF81" s="609"/>
      <c r="KBG81" s="609"/>
      <c r="KBH81" s="609"/>
      <c r="KBI81" s="609"/>
      <c r="KBJ81" s="609"/>
      <c r="KBK81" s="609"/>
      <c r="KBL81" s="609"/>
      <c r="KBM81" s="609"/>
      <c r="KBN81" s="609"/>
      <c r="KBO81" s="609"/>
      <c r="KBP81" s="609"/>
      <c r="KBQ81" s="609"/>
      <c r="KBR81" s="609"/>
      <c r="KBS81" s="609"/>
      <c r="KBT81" s="609"/>
      <c r="KBU81" s="609"/>
      <c r="KBV81" s="609"/>
      <c r="KBW81" s="609"/>
      <c r="KBX81" s="609"/>
      <c r="KBY81" s="609"/>
      <c r="KBZ81" s="609"/>
      <c r="KCA81" s="609"/>
      <c r="KCB81" s="609"/>
      <c r="KCC81" s="609"/>
      <c r="KCD81" s="609"/>
      <c r="KCE81" s="609"/>
      <c r="KCF81" s="609"/>
      <c r="KCG81" s="609"/>
      <c r="KCH81" s="609"/>
      <c r="KCI81" s="609"/>
      <c r="KCJ81" s="609"/>
      <c r="KCK81" s="609"/>
      <c r="KCL81" s="609"/>
      <c r="KCM81" s="609"/>
      <c r="KCN81" s="609"/>
      <c r="KCO81" s="609"/>
      <c r="KCP81" s="609"/>
      <c r="KCQ81" s="609"/>
      <c r="KCR81" s="609"/>
      <c r="KCS81" s="609"/>
      <c r="KCT81" s="609"/>
      <c r="KCU81" s="609"/>
      <c r="KCV81" s="609"/>
      <c r="KCW81" s="609"/>
      <c r="KCX81" s="609"/>
      <c r="KCY81" s="609"/>
      <c r="KCZ81" s="609"/>
      <c r="KDA81" s="609"/>
      <c r="KDB81" s="609"/>
      <c r="KDC81" s="609"/>
      <c r="KDD81" s="609"/>
      <c r="KDE81" s="609"/>
      <c r="KDF81" s="609"/>
      <c r="KDG81" s="609"/>
      <c r="KDH81" s="609"/>
      <c r="KDI81" s="609"/>
      <c r="KDJ81" s="609"/>
      <c r="KDK81" s="609"/>
      <c r="KDL81" s="609"/>
      <c r="KDM81" s="609"/>
      <c r="KDN81" s="609"/>
      <c r="KDO81" s="609"/>
      <c r="KDP81" s="609"/>
      <c r="KDQ81" s="609"/>
      <c r="KDR81" s="609"/>
      <c r="KDS81" s="609"/>
      <c r="KDT81" s="609"/>
      <c r="KDU81" s="609"/>
      <c r="KDV81" s="609"/>
      <c r="KDW81" s="609"/>
      <c r="KDX81" s="609"/>
      <c r="KDY81" s="609"/>
      <c r="KDZ81" s="609"/>
      <c r="KEA81" s="609"/>
      <c r="KEB81" s="609"/>
      <c r="KEC81" s="609"/>
      <c r="KED81" s="609"/>
      <c r="KEE81" s="609"/>
      <c r="KEF81" s="609"/>
      <c r="KEG81" s="609"/>
      <c r="KEH81" s="609"/>
      <c r="KEI81" s="609"/>
      <c r="KEJ81" s="609"/>
      <c r="KEK81" s="609"/>
      <c r="KEL81" s="609"/>
      <c r="KEM81" s="609"/>
      <c r="KEN81" s="609"/>
      <c r="KEO81" s="609"/>
      <c r="KEP81" s="609"/>
      <c r="KEQ81" s="609"/>
      <c r="KER81" s="609"/>
      <c r="KES81" s="609"/>
      <c r="KET81" s="609"/>
      <c r="KEU81" s="609"/>
      <c r="KEV81" s="609"/>
      <c r="KEW81" s="609"/>
      <c r="KEX81" s="609"/>
      <c r="KEY81" s="609"/>
      <c r="KEZ81" s="609"/>
      <c r="KFA81" s="609"/>
      <c r="KFB81" s="609"/>
      <c r="KFC81" s="609"/>
      <c r="KFD81" s="609"/>
      <c r="KFE81" s="609"/>
      <c r="KFF81" s="609"/>
      <c r="KFG81" s="609"/>
      <c r="KFH81" s="609"/>
      <c r="KFI81" s="609"/>
      <c r="KFJ81" s="609"/>
      <c r="KFK81" s="609"/>
      <c r="KFL81" s="609"/>
      <c r="KFM81" s="609"/>
      <c r="KFN81" s="609"/>
      <c r="KFO81" s="609"/>
      <c r="KFP81" s="609"/>
      <c r="KFQ81" s="609"/>
      <c r="KFR81" s="609"/>
      <c r="KFS81" s="609"/>
      <c r="KFT81" s="609"/>
      <c r="KFU81" s="609"/>
      <c r="KFV81" s="609"/>
      <c r="KFW81" s="609"/>
      <c r="KFX81" s="609"/>
      <c r="KFY81" s="609"/>
      <c r="KFZ81" s="609"/>
      <c r="KGA81" s="609"/>
      <c r="KGB81" s="609"/>
      <c r="KGC81" s="609"/>
      <c r="KGD81" s="609"/>
      <c r="KGE81" s="609"/>
      <c r="KGF81" s="609"/>
      <c r="KGG81" s="609"/>
      <c r="KGH81" s="609"/>
      <c r="KGI81" s="609"/>
      <c r="KGJ81" s="609"/>
      <c r="KGK81" s="609"/>
      <c r="KGL81" s="609"/>
      <c r="KGM81" s="609"/>
      <c r="KGN81" s="609"/>
      <c r="KGO81" s="609"/>
      <c r="KGP81" s="609"/>
      <c r="KGQ81" s="609"/>
      <c r="KGR81" s="609"/>
      <c r="KGS81" s="609"/>
      <c r="KGT81" s="609"/>
      <c r="KGU81" s="609"/>
      <c r="KGV81" s="609"/>
      <c r="KGW81" s="609"/>
      <c r="KGX81" s="609"/>
      <c r="KGY81" s="609"/>
      <c r="KGZ81" s="609"/>
      <c r="KHA81" s="609"/>
      <c r="KHB81" s="609"/>
      <c r="KHC81" s="609"/>
      <c r="KHD81" s="609"/>
      <c r="KHE81" s="609"/>
      <c r="KHF81" s="609"/>
      <c r="KHG81" s="609"/>
      <c r="KHH81" s="609"/>
      <c r="KHI81" s="609"/>
      <c r="KHJ81" s="609"/>
      <c r="KHK81" s="609"/>
      <c r="KHL81" s="609"/>
      <c r="KHM81" s="609"/>
      <c r="KHN81" s="609"/>
      <c r="KHO81" s="609"/>
      <c r="KHP81" s="609"/>
      <c r="KHQ81" s="609"/>
      <c r="KHR81" s="609"/>
      <c r="KHS81" s="609"/>
      <c r="KHT81" s="609"/>
      <c r="KHU81" s="609"/>
      <c r="KHV81" s="609"/>
      <c r="KHW81" s="609"/>
      <c r="KHX81" s="609"/>
      <c r="KHY81" s="609"/>
      <c r="KHZ81" s="609"/>
      <c r="KIA81" s="609"/>
      <c r="KIB81" s="609"/>
      <c r="KIC81" s="609"/>
      <c r="KID81" s="609"/>
      <c r="KIE81" s="609"/>
      <c r="KIF81" s="609"/>
      <c r="KIG81" s="609"/>
      <c r="KIH81" s="609"/>
      <c r="KII81" s="609"/>
      <c r="KIJ81" s="609"/>
      <c r="KIK81" s="609"/>
      <c r="KIL81" s="609"/>
      <c r="KIM81" s="609"/>
      <c r="KIN81" s="609"/>
      <c r="KIO81" s="609"/>
      <c r="KIP81" s="609"/>
      <c r="KIQ81" s="609"/>
      <c r="KIR81" s="609"/>
      <c r="KIS81" s="609"/>
      <c r="KIT81" s="609"/>
      <c r="KIU81" s="609"/>
      <c r="KIV81" s="609"/>
      <c r="KIW81" s="609"/>
      <c r="KIX81" s="609"/>
      <c r="KIY81" s="609"/>
      <c r="KIZ81" s="609"/>
      <c r="KJA81" s="609"/>
      <c r="KJB81" s="609"/>
      <c r="KJC81" s="609"/>
      <c r="KJD81" s="609"/>
      <c r="KJE81" s="609"/>
      <c r="KJF81" s="609"/>
      <c r="KJG81" s="609"/>
      <c r="KJH81" s="609"/>
      <c r="KJI81" s="609"/>
      <c r="KJJ81" s="609"/>
      <c r="KJK81" s="609"/>
      <c r="KJL81" s="609"/>
      <c r="KJM81" s="609"/>
      <c r="KJN81" s="609"/>
      <c r="KJO81" s="609"/>
      <c r="KJP81" s="609"/>
      <c r="KJQ81" s="609"/>
      <c r="KJR81" s="609"/>
      <c r="KJS81" s="609"/>
      <c r="KJT81" s="609"/>
      <c r="KJU81" s="609"/>
      <c r="KJV81" s="609"/>
      <c r="KJW81" s="609"/>
      <c r="KJX81" s="609"/>
      <c r="KJY81" s="609"/>
      <c r="KJZ81" s="609"/>
      <c r="KKA81" s="609"/>
      <c r="KKB81" s="609"/>
      <c r="KKC81" s="609"/>
      <c r="KKD81" s="609"/>
      <c r="KKE81" s="609"/>
      <c r="KKF81" s="609"/>
      <c r="KKG81" s="609"/>
      <c r="KKH81" s="609"/>
      <c r="KKI81" s="609"/>
      <c r="KKJ81" s="609"/>
      <c r="KKK81" s="609"/>
      <c r="KKL81" s="609"/>
      <c r="KKM81" s="609"/>
      <c r="KKN81" s="609"/>
      <c r="KKO81" s="609"/>
      <c r="KKP81" s="609"/>
      <c r="KKQ81" s="609"/>
      <c r="KKR81" s="609"/>
      <c r="KKS81" s="609"/>
      <c r="KKT81" s="609"/>
      <c r="KKU81" s="609"/>
      <c r="KKV81" s="609"/>
      <c r="KKW81" s="609"/>
      <c r="KKX81" s="609"/>
      <c r="KKY81" s="609"/>
      <c r="KKZ81" s="609"/>
      <c r="KLA81" s="609"/>
      <c r="KLB81" s="609"/>
      <c r="KLC81" s="609"/>
      <c r="KLD81" s="609"/>
      <c r="KLE81" s="609"/>
      <c r="KLF81" s="609"/>
      <c r="KLG81" s="609"/>
      <c r="KLH81" s="609"/>
      <c r="KLI81" s="609"/>
      <c r="KLJ81" s="609"/>
      <c r="KLK81" s="609"/>
      <c r="KLL81" s="609"/>
      <c r="KLM81" s="609"/>
      <c r="KLN81" s="609"/>
      <c r="KLO81" s="609"/>
      <c r="KLP81" s="609"/>
      <c r="KLQ81" s="609"/>
      <c r="KLR81" s="609"/>
      <c r="KLS81" s="609"/>
      <c r="KLT81" s="609"/>
      <c r="KLU81" s="609"/>
      <c r="KLV81" s="609"/>
      <c r="KLW81" s="609"/>
      <c r="KLX81" s="609"/>
      <c r="KLY81" s="609"/>
      <c r="KLZ81" s="609"/>
      <c r="KMA81" s="609"/>
      <c r="KMB81" s="609"/>
      <c r="KMC81" s="609"/>
      <c r="KMD81" s="609"/>
      <c r="KME81" s="609"/>
      <c r="KMF81" s="609"/>
      <c r="KMG81" s="609"/>
      <c r="KMH81" s="609"/>
      <c r="KMI81" s="609"/>
      <c r="KMJ81" s="609"/>
      <c r="KMK81" s="609"/>
      <c r="KML81" s="609"/>
      <c r="KMM81" s="609"/>
      <c r="KMN81" s="609"/>
      <c r="KMO81" s="609"/>
      <c r="KMP81" s="609"/>
      <c r="KMQ81" s="609"/>
      <c r="KMR81" s="609"/>
      <c r="KMS81" s="609"/>
      <c r="KMT81" s="609"/>
      <c r="KMU81" s="609"/>
      <c r="KMV81" s="609"/>
      <c r="KMW81" s="609"/>
      <c r="KMX81" s="609"/>
      <c r="KMY81" s="609"/>
      <c r="KMZ81" s="609"/>
      <c r="KNA81" s="609"/>
      <c r="KNB81" s="609"/>
      <c r="KNC81" s="609"/>
      <c r="KND81" s="609"/>
      <c r="KNE81" s="609"/>
      <c r="KNF81" s="609"/>
      <c r="KNG81" s="609"/>
      <c r="KNH81" s="609"/>
      <c r="KNI81" s="609"/>
      <c r="KNJ81" s="609"/>
      <c r="KNK81" s="609"/>
      <c r="KNL81" s="609"/>
      <c r="KNM81" s="609"/>
      <c r="KNN81" s="609"/>
      <c r="KNO81" s="609"/>
      <c r="KNP81" s="609"/>
      <c r="KNQ81" s="609"/>
      <c r="KNR81" s="609"/>
      <c r="KNS81" s="609"/>
      <c r="KNT81" s="609"/>
      <c r="KNU81" s="609"/>
      <c r="KNV81" s="609"/>
      <c r="KNW81" s="609"/>
      <c r="KNX81" s="609"/>
      <c r="KNY81" s="609"/>
      <c r="KNZ81" s="609"/>
      <c r="KOA81" s="609"/>
      <c r="KOB81" s="609"/>
      <c r="KOC81" s="609"/>
      <c r="KOD81" s="609"/>
      <c r="KOE81" s="609"/>
      <c r="KOF81" s="609"/>
      <c r="KOG81" s="609"/>
      <c r="KOH81" s="609"/>
      <c r="KOI81" s="609"/>
      <c r="KOJ81" s="609"/>
      <c r="KOK81" s="609"/>
      <c r="KOL81" s="609"/>
      <c r="KOM81" s="609"/>
      <c r="KON81" s="609"/>
      <c r="KOO81" s="609"/>
      <c r="KOP81" s="609"/>
      <c r="KOQ81" s="609"/>
      <c r="KOR81" s="609"/>
      <c r="KOS81" s="609"/>
      <c r="KOT81" s="609"/>
      <c r="KOU81" s="609"/>
      <c r="KOV81" s="609"/>
      <c r="KOW81" s="609"/>
      <c r="KOX81" s="609"/>
      <c r="KOY81" s="609"/>
      <c r="KOZ81" s="609"/>
      <c r="KPA81" s="609"/>
      <c r="KPB81" s="609"/>
      <c r="KPC81" s="609"/>
      <c r="KPD81" s="609"/>
      <c r="KPE81" s="609"/>
      <c r="KPF81" s="609"/>
      <c r="KPG81" s="609"/>
      <c r="KPH81" s="609"/>
      <c r="KPI81" s="609"/>
      <c r="KPJ81" s="609"/>
      <c r="KPK81" s="609"/>
      <c r="KPL81" s="609"/>
      <c r="KPM81" s="609"/>
      <c r="KPN81" s="609"/>
      <c r="KPO81" s="609"/>
      <c r="KPP81" s="609"/>
      <c r="KPQ81" s="609"/>
      <c r="KPR81" s="609"/>
      <c r="KPS81" s="609"/>
      <c r="KPT81" s="609"/>
      <c r="KPU81" s="609"/>
      <c r="KPV81" s="609"/>
      <c r="KPW81" s="609"/>
      <c r="KPX81" s="609"/>
      <c r="KPY81" s="609"/>
      <c r="KPZ81" s="609"/>
      <c r="KQA81" s="609"/>
      <c r="KQB81" s="609"/>
      <c r="KQC81" s="609"/>
      <c r="KQD81" s="609"/>
      <c r="KQE81" s="609"/>
      <c r="KQF81" s="609"/>
      <c r="KQG81" s="609"/>
      <c r="KQH81" s="609"/>
      <c r="KQI81" s="609"/>
      <c r="KQJ81" s="609"/>
      <c r="KQK81" s="609"/>
      <c r="KQL81" s="609"/>
      <c r="KQM81" s="609"/>
      <c r="KQN81" s="609"/>
      <c r="KQO81" s="609"/>
      <c r="KQP81" s="609"/>
      <c r="KQQ81" s="609"/>
      <c r="KQR81" s="609"/>
      <c r="KQS81" s="609"/>
      <c r="KQT81" s="609"/>
      <c r="KQU81" s="609"/>
      <c r="KQV81" s="609"/>
      <c r="KQW81" s="609"/>
      <c r="KQX81" s="609"/>
      <c r="KQY81" s="609"/>
      <c r="KQZ81" s="609"/>
      <c r="KRA81" s="609"/>
      <c r="KRB81" s="609"/>
      <c r="KRC81" s="609"/>
      <c r="KRD81" s="609"/>
      <c r="KRE81" s="609"/>
      <c r="KRF81" s="609"/>
      <c r="KRG81" s="609"/>
      <c r="KRH81" s="609"/>
      <c r="KRI81" s="609"/>
      <c r="KRJ81" s="609"/>
      <c r="KRK81" s="609"/>
      <c r="KRL81" s="609"/>
      <c r="KRM81" s="609"/>
      <c r="KRN81" s="609"/>
      <c r="KRO81" s="609"/>
      <c r="KRP81" s="609"/>
      <c r="KRQ81" s="609"/>
      <c r="KRR81" s="609"/>
      <c r="KRS81" s="609"/>
      <c r="KRT81" s="609"/>
      <c r="KRU81" s="609"/>
      <c r="KRV81" s="609"/>
      <c r="KRW81" s="609"/>
      <c r="KRX81" s="609"/>
      <c r="KRY81" s="609"/>
      <c r="KRZ81" s="609"/>
      <c r="KSA81" s="609"/>
      <c r="KSB81" s="609"/>
      <c r="KSC81" s="609"/>
      <c r="KSD81" s="609"/>
      <c r="KSE81" s="609"/>
      <c r="KSF81" s="609"/>
      <c r="KSG81" s="609"/>
      <c r="KSH81" s="609"/>
      <c r="KSI81" s="609"/>
      <c r="KSJ81" s="609"/>
      <c r="KSK81" s="609"/>
      <c r="KSL81" s="609"/>
      <c r="KSM81" s="609"/>
      <c r="KSN81" s="609"/>
      <c r="KSO81" s="609"/>
      <c r="KSP81" s="609"/>
      <c r="KSQ81" s="609"/>
      <c r="KSR81" s="609"/>
      <c r="KSS81" s="609"/>
      <c r="KST81" s="609"/>
      <c r="KSU81" s="609"/>
      <c r="KSV81" s="609"/>
      <c r="KSW81" s="609"/>
      <c r="KSX81" s="609"/>
      <c r="KSY81" s="609"/>
      <c r="KSZ81" s="609"/>
      <c r="KTA81" s="609"/>
      <c r="KTB81" s="609"/>
      <c r="KTC81" s="609"/>
      <c r="KTD81" s="609"/>
      <c r="KTE81" s="609"/>
      <c r="KTF81" s="609"/>
      <c r="KTG81" s="609"/>
      <c r="KTH81" s="609"/>
      <c r="KTI81" s="609"/>
      <c r="KTJ81" s="609"/>
      <c r="KTK81" s="609"/>
      <c r="KTL81" s="609"/>
      <c r="KTM81" s="609"/>
      <c r="KTN81" s="609"/>
      <c r="KTO81" s="609"/>
      <c r="KTP81" s="609"/>
      <c r="KTQ81" s="609"/>
      <c r="KTR81" s="609"/>
      <c r="KTS81" s="609"/>
      <c r="KTT81" s="609"/>
      <c r="KTU81" s="609"/>
      <c r="KTV81" s="609"/>
      <c r="KTW81" s="609"/>
      <c r="KTX81" s="609"/>
      <c r="KTY81" s="609"/>
      <c r="KTZ81" s="609"/>
      <c r="KUA81" s="609"/>
      <c r="KUB81" s="609"/>
      <c r="KUC81" s="609"/>
      <c r="KUD81" s="609"/>
      <c r="KUE81" s="609"/>
      <c r="KUF81" s="609"/>
      <c r="KUG81" s="609"/>
      <c r="KUH81" s="609"/>
      <c r="KUI81" s="609"/>
      <c r="KUJ81" s="609"/>
      <c r="KUK81" s="609"/>
      <c r="KUL81" s="609"/>
      <c r="KUM81" s="609"/>
      <c r="KUN81" s="609"/>
      <c r="KUO81" s="609"/>
      <c r="KUP81" s="609"/>
      <c r="KUQ81" s="609"/>
      <c r="KUR81" s="609"/>
      <c r="KUS81" s="609"/>
      <c r="KUT81" s="609"/>
      <c r="KUU81" s="609"/>
      <c r="KUV81" s="609"/>
      <c r="KUW81" s="609"/>
      <c r="KUX81" s="609"/>
      <c r="KUY81" s="609"/>
      <c r="KUZ81" s="609"/>
      <c r="KVA81" s="609"/>
      <c r="KVB81" s="609"/>
      <c r="KVC81" s="609"/>
      <c r="KVD81" s="609"/>
      <c r="KVE81" s="609"/>
      <c r="KVF81" s="609"/>
      <c r="KVG81" s="609"/>
      <c r="KVH81" s="609"/>
      <c r="KVI81" s="609"/>
      <c r="KVJ81" s="609"/>
      <c r="KVK81" s="609"/>
      <c r="KVL81" s="609"/>
      <c r="KVM81" s="609"/>
      <c r="KVN81" s="609"/>
      <c r="KVO81" s="609"/>
      <c r="KVP81" s="609"/>
      <c r="KVQ81" s="609"/>
      <c r="KVR81" s="609"/>
      <c r="KVS81" s="609"/>
      <c r="KVT81" s="609"/>
      <c r="KVU81" s="609"/>
      <c r="KVV81" s="609"/>
      <c r="KVW81" s="609"/>
      <c r="KVX81" s="609"/>
      <c r="KVY81" s="609"/>
      <c r="KVZ81" s="609"/>
      <c r="KWA81" s="609"/>
      <c r="KWB81" s="609"/>
      <c r="KWC81" s="609"/>
      <c r="KWD81" s="609"/>
      <c r="KWE81" s="609"/>
      <c r="KWF81" s="609"/>
      <c r="KWG81" s="609"/>
      <c r="KWH81" s="609"/>
      <c r="KWI81" s="609"/>
      <c r="KWJ81" s="609"/>
      <c r="KWK81" s="609"/>
      <c r="KWL81" s="609"/>
      <c r="KWM81" s="609"/>
      <c r="KWN81" s="609"/>
      <c r="KWO81" s="609"/>
      <c r="KWP81" s="609"/>
      <c r="KWQ81" s="609"/>
      <c r="KWR81" s="609"/>
      <c r="KWS81" s="609"/>
      <c r="KWT81" s="609"/>
      <c r="KWU81" s="609"/>
      <c r="KWV81" s="609"/>
      <c r="KWW81" s="609"/>
      <c r="KWX81" s="609"/>
      <c r="KWY81" s="609"/>
      <c r="KWZ81" s="609"/>
      <c r="KXA81" s="609"/>
      <c r="KXB81" s="609"/>
      <c r="KXC81" s="609"/>
      <c r="KXD81" s="609"/>
      <c r="KXE81" s="609"/>
      <c r="KXF81" s="609"/>
      <c r="KXG81" s="609"/>
      <c r="KXH81" s="609"/>
      <c r="KXI81" s="609"/>
      <c r="KXJ81" s="609"/>
      <c r="KXK81" s="609"/>
      <c r="KXL81" s="609"/>
      <c r="KXM81" s="609"/>
      <c r="KXN81" s="609"/>
      <c r="KXO81" s="609"/>
      <c r="KXP81" s="609"/>
      <c r="KXQ81" s="609"/>
      <c r="KXR81" s="609"/>
      <c r="KXS81" s="609"/>
      <c r="KXT81" s="609"/>
      <c r="KXU81" s="609"/>
      <c r="KXV81" s="609"/>
      <c r="KXW81" s="609"/>
      <c r="KXX81" s="609"/>
      <c r="KXY81" s="609"/>
      <c r="KXZ81" s="609"/>
      <c r="KYA81" s="609"/>
      <c r="KYB81" s="609"/>
      <c r="KYC81" s="609"/>
      <c r="KYD81" s="609"/>
      <c r="KYE81" s="609"/>
      <c r="KYF81" s="609"/>
      <c r="KYG81" s="609"/>
      <c r="KYH81" s="609"/>
      <c r="KYI81" s="609"/>
      <c r="KYJ81" s="609"/>
      <c r="KYK81" s="609"/>
      <c r="KYL81" s="609"/>
      <c r="KYM81" s="609"/>
      <c r="KYN81" s="609"/>
      <c r="KYO81" s="609"/>
      <c r="KYP81" s="609"/>
      <c r="KYQ81" s="609"/>
      <c r="KYR81" s="609"/>
      <c r="KYS81" s="609"/>
      <c r="KYT81" s="609"/>
      <c r="KYU81" s="609"/>
      <c r="KYV81" s="609"/>
      <c r="KYW81" s="609"/>
      <c r="KYX81" s="609"/>
      <c r="KYY81" s="609"/>
      <c r="KYZ81" s="609"/>
      <c r="KZA81" s="609"/>
      <c r="KZB81" s="609"/>
      <c r="KZC81" s="609"/>
      <c r="KZD81" s="609"/>
      <c r="KZE81" s="609"/>
      <c r="KZF81" s="609"/>
      <c r="KZG81" s="609"/>
      <c r="KZH81" s="609"/>
      <c r="KZI81" s="609"/>
      <c r="KZJ81" s="609"/>
      <c r="KZK81" s="609"/>
      <c r="KZL81" s="609"/>
      <c r="KZM81" s="609"/>
      <c r="KZN81" s="609"/>
      <c r="KZO81" s="609"/>
      <c r="KZP81" s="609"/>
      <c r="KZQ81" s="609"/>
      <c r="KZR81" s="609"/>
      <c r="KZS81" s="609"/>
      <c r="KZT81" s="609"/>
      <c r="KZU81" s="609"/>
      <c r="KZV81" s="609"/>
      <c r="KZW81" s="609"/>
      <c r="KZX81" s="609"/>
      <c r="KZY81" s="609"/>
      <c r="KZZ81" s="609"/>
      <c r="LAA81" s="609"/>
      <c r="LAB81" s="609"/>
      <c r="LAC81" s="609"/>
      <c r="LAD81" s="609"/>
      <c r="LAE81" s="609"/>
      <c r="LAF81" s="609"/>
      <c r="LAG81" s="609"/>
      <c r="LAH81" s="609"/>
      <c r="LAI81" s="609"/>
      <c r="LAJ81" s="609"/>
      <c r="LAK81" s="609"/>
      <c r="LAL81" s="609"/>
      <c r="LAM81" s="609"/>
      <c r="LAN81" s="609"/>
      <c r="LAO81" s="609"/>
      <c r="LAP81" s="609"/>
      <c r="LAQ81" s="609"/>
      <c r="LAR81" s="609"/>
      <c r="LAS81" s="609"/>
      <c r="LAT81" s="609"/>
      <c r="LAU81" s="609"/>
      <c r="LAV81" s="609"/>
      <c r="LAW81" s="609"/>
      <c r="LAX81" s="609"/>
      <c r="LAY81" s="609"/>
      <c r="LAZ81" s="609"/>
      <c r="LBA81" s="609"/>
      <c r="LBB81" s="609"/>
      <c r="LBC81" s="609"/>
      <c r="LBD81" s="609"/>
      <c r="LBE81" s="609"/>
      <c r="LBF81" s="609"/>
      <c r="LBG81" s="609"/>
      <c r="LBH81" s="609"/>
      <c r="LBI81" s="609"/>
      <c r="LBJ81" s="609"/>
      <c r="LBK81" s="609"/>
      <c r="LBL81" s="609"/>
      <c r="LBM81" s="609"/>
      <c r="LBN81" s="609"/>
      <c r="LBO81" s="609"/>
      <c r="LBP81" s="609"/>
      <c r="LBQ81" s="609"/>
      <c r="LBR81" s="609"/>
      <c r="LBS81" s="609"/>
      <c r="LBT81" s="609"/>
      <c r="LBU81" s="609"/>
      <c r="LBV81" s="609"/>
      <c r="LBW81" s="609"/>
      <c r="LBX81" s="609"/>
      <c r="LBY81" s="609"/>
      <c r="LBZ81" s="609"/>
      <c r="LCA81" s="609"/>
      <c r="LCB81" s="609"/>
      <c r="LCC81" s="609"/>
      <c r="LCD81" s="609"/>
      <c r="LCE81" s="609"/>
      <c r="LCF81" s="609"/>
      <c r="LCG81" s="609"/>
      <c r="LCH81" s="609"/>
      <c r="LCI81" s="609"/>
      <c r="LCJ81" s="609"/>
      <c r="LCK81" s="609"/>
      <c r="LCL81" s="609"/>
      <c r="LCM81" s="609"/>
      <c r="LCN81" s="609"/>
      <c r="LCO81" s="609"/>
      <c r="LCP81" s="609"/>
      <c r="LCQ81" s="609"/>
      <c r="LCR81" s="609"/>
      <c r="LCS81" s="609"/>
      <c r="LCT81" s="609"/>
      <c r="LCU81" s="609"/>
      <c r="LCV81" s="609"/>
      <c r="LCW81" s="609"/>
      <c r="LCX81" s="609"/>
      <c r="LCY81" s="609"/>
      <c r="LCZ81" s="609"/>
      <c r="LDA81" s="609"/>
      <c r="LDB81" s="609"/>
      <c r="LDC81" s="609"/>
      <c r="LDD81" s="609"/>
      <c r="LDE81" s="609"/>
      <c r="LDF81" s="609"/>
      <c r="LDG81" s="609"/>
      <c r="LDH81" s="609"/>
      <c r="LDI81" s="609"/>
      <c r="LDJ81" s="609"/>
      <c r="LDK81" s="609"/>
      <c r="LDL81" s="609"/>
      <c r="LDM81" s="609"/>
      <c r="LDN81" s="609"/>
      <c r="LDO81" s="609"/>
      <c r="LDP81" s="609"/>
      <c r="LDQ81" s="609"/>
      <c r="LDR81" s="609"/>
      <c r="LDS81" s="609"/>
      <c r="LDT81" s="609"/>
      <c r="LDU81" s="609"/>
      <c r="LDV81" s="609"/>
      <c r="LDW81" s="609"/>
      <c r="LDX81" s="609"/>
      <c r="LDY81" s="609"/>
      <c r="LDZ81" s="609"/>
      <c r="LEA81" s="609"/>
      <c r="LEB81" s="609"/>
      <c r="LEC81" s="609"/>
      <c r="LED81" s="609"/>
      <c r="LEE81" s="609"/>
      <c r="LEF81" s="609"/>
      <c r="LEG81" s="609"/>
      <c r="LEH81" s="609"/>
      <c r="LEI81" s="609"/>
      <c r="LEJ81" s="609"/>
      <c r="LEK81" s="609"/>
      <c r="LEL81" s="609"/>
      <c r="LEM81" s="609"/>
      <c r="LEN81" s="609"/>
      <c r="LEO81" s="609"/>
      <c r="LEP81" s="609"/>
      <c r="LEQ81" s="609"/>
      <c r="LER81" s="609"/>
      <c r="LES81" s="609"/>
      <c r="LET81" s="609"/>
      <c r="LEU81" s="609"/>
      <c r="LEV81" s="609"/>
      <c r="LEW81" s="609"/>
      <c r="LEX81" s="609"/>
      <c r="LEY81" s="609"/>
      <c r="LEZ81" s="609"/>
      <c r="LFA81" s="609"/>
      <c r="LFB81" s="609"/>
      <c r="LFC81" s="609"/>
      <c r="LFD81" s="609"/>
      <c r="LFE81" s="609"/>
      <c r="LFF81" s="609"/>
      <c r="LFG81" s="609"/>
      <c r="LFH81" s="609"/>
      <c r="LFI81" s="609"/>
      <c r="LFJ81" s="609"/>
      <c r="LFK81" s="609"/>
      <c r="LFL81" s="609"/>
      <c r="LFM81" s="609"/>
      <c r="LFN81" s="609"/>
      <c r="LFO81" s="609"/>
      <c r="LFP81" s="609"/>
      <c r="LFQ81" s="609"/>
      <c r="LFR81" s="609"/>
      <c r="LFS81" s="609"/>
      <c r="LFT81" s="609"/>
      <c r="LFU81" s="609"/>
      <c r="LFV81" s="609"/>
      <c r="LFW81" s="609"/>
      <c r="LFX81" s="609"/>
      <c r="LFY81" s="609"/>
      <c r="LFZ81" s="609"/>
      <c r="LGA81" s="609"/>
      <c r="LGB81" s="609"/>
      <c r="LGC81" s="609"/>
      <c r="LGD81" s="609"/>
      <c r="LGE81" s="609"/>
      <c r="LGF81" s="609"/>
      <c r="LGG81" s="609"/>
      <c r="LGH81" s="609"/>
      <c r="LGI81" s="609"/>
      <c r="LGJ81" s="609"/>
      <c r="LGK81" s="609"/>
      <c r="LGL81" s="609"/>
      <c r="LGM81" s="609"/>
      <c r="LGN81" s="609"/>
      <c r="LGO81" s="609"/>
      <c r="LGP81" s="609"/>
      <c r="LGQ81" s="609"/>
      <c r="LGR81" s="609"/>
      <c r="LGS81" s="609"/>
      <c r="LGT81" s="609"/>
      <c r="LGU81" s="609"/>
      <c r="LGV81" s="609"/>
      <c r="LGW81" s="609"/>
      <c r="LGX81" s="609"/>
      <c r="LGY81" s="609"/>
      <c r="LGZ81" s="609"/>
      <c r="LHA81" s="609"/>
      <c r="LHB81" s="609"/>
      <c r="LHC81" s="609"/>
      <c r="LHD81" s="609"/>
      <c r="LHE81" s="609"/>
      <c r="LHF81" s="609"/>
      <c r="LHG81" s="609"/>
      <c r="LHH81" s="609"/>
      <c r="LHI81" s="609"/>
      <c r="LHJ81" s="609"/>
      <c r="LHK81" s="609"/>
      <c r="LHL81" s="609"/>
      <c r="LHM81" s="609"/>
      <c r="LHN81" s="609"/>
      <c r="LHO81" s="609"/>
      <c r="LHP81" s="609"/>
      <c r="LHQ81" s="609"/>
      <c r="LHR81" s="609"/>
      <c r="LHS81" s="609"/>
      <c r="LHT81" s="609"/>
      <c r="LHU81" s="609"/>
      <c r="LHV81" s="609"/>
      <c r="LHW81" s="609"/>
      <c r="LHX81" s="609"/>
      <c r="LHY81" s="609"/>
      <c r="LHZ81" s="609"/>
      <c r="LIA81" s="609"/>
      <c r="LIB81" s="609"/>
      <c r="LIC81" s="609"/>
      <c r="LID81" s="609"/>
      <c r="LIE81" s="609"/>
      <c r="LIF81" s="609"/>
      <c r="LIG81" s="609"/>
      <c r="LIH81" s="609"/>
      <c r="LII81" s="609"/>
      <c r="LIJ81" s="609"/>
      <c r="LIK81" s="609"/>
      <c r="LIL81" s="609"/>
      <c r="LIM81" s="609"/>
      <c r="LIN81" s="609"/>
      <c r="LIO81" s="609"/>
      <c r="LIP81" s="609"/>
      <c r="LIQ81" s="609"/>
      <c r="LIR81" s="609"/>
      <c r="LIS81" s="609"/>
      <c r="LIT81" s="609"/>
      <c r="LIU81" s="609"/>
      <c r="LIV81" s="609"/>
      <c r="LIW81" s="609"/>
      <c r="LIX81" s="609"/>
      <c r="LIY81" s="609"/>
      <c r="LIZ81" s="609"/>
      <c r="LJA81" s="609"/>
      <c r="LJB81" s="609"/>
      <c r="LJC81" s="609"/>
      <c r="LJD81" s="609"/>
      <c r="LJE81" s="609"/>
      <c r="LJF81" s="609"/>
      <c r="LJG81" s="609"/>
      <c r="LJH81" s="609"/>
      <c r="LJI81" s="609"/>
      <c r="LJJ81" s="609"/>
      <c r="LJK81" s="609"/>
      <c r="LJL81" s="609"/>
      <c r="LJM81" s="609"/>
      <c r="LJN81" s="609"/>
      <c r="LJO81" s="609"/>
      <c r="LJP81" s="609"/>
      <c r="LJQ81" s="609"/>
      <c r="LJR81" s="609"/>
      <c r="LJS81" s="609"/>
      <c r="LJT81" s="609"/>
      <c r="LJU81" s="609"/>
      <c r="LJV81" s="609"/>
      <c r="LJW81" s="609"/>
      <c r="LJX81" s="609"/>
      <c r="LJY81" s="609"/>
      <c r="LJZ81" s="609"/>
      <c r="LKA81" s="609"/>
      <c r="LKB81" s="609"/>
      <c r="LKC81" s="609"/>
      <c r="LKD81" s="609"/>
      <c r="LKE81" s="609"/>
      <c r="LKF81" s="609"/>
      <c r="LKG81" s="609"/>
      <c r="LKH81" s="609"/>
      <c r="LKI81" s="609"/>
      <c r="LKJ81" s="609"/>
      <c r="LKK81" s="609"/>
      <c r="LKL81" s="609"/>
      <c r="LKM81" s="609"/>
      <c r="LKN81" s="609"/>
      <c r="LKO81" s="609"/>
      <c r="LKP81" s="609"/>
      <c r="LKQ81" s="609"/>
      <c r="LKR81" s="609"/>
      <c r="LKS81" s="609"/>
      <c r="LKT81" s="609"/>
      <c r="LKU81" s="609"/>
      <c r="LKV81" s="609"/>
      <c r="LKW81" s="609"/>
      <c r="LKX81" s="609"/>
      <c r="LKY81" s="609"/>
      <c r="LKZ81" s="609"/>
      <c r="LLA81" s="609"/>
      <c r="LLB81" s="609"/>
      <c r="LLC81" s="609"/>
      <c r="LLD81" s="609"/>
      <c r="LLE81" s="609"/>
      <c r="LLF81" s="609"/>
      <c r="LLG81" s="609"/>
      <c r="LLH81" s="609"/>
      <c r="LLI81" s="609"/>
      <c r="LLJ81" s="609"/>
      <c r="LLK81" s="609"/>
      <c r="LLL81" s="609"/>
      <c r="LLM81" s="609"/>
      <c r="LLN81" s="609"/>
      <c r="LLO81" s="609"/>
      <c r="LLP81" s="609"/>
      <c r="LLQ81" s="609"/>
      <c r="LLR81" s="609"/>
      <c r="LLS81" s="609"/>
      <c r="LLT81" s="609"/>
      <c r="LLU81" s="609"/>
      <c r="LLV81" s="609"/>
      <c r="LLW81" s="609"/>
      <c r="LLX81" s="609"/>
      <c r="LLY81" s="609"/>
      <c r="LLZ81" s="609"/>
      <c r="LMA81" s="609"/>
      <c r="LMB81" s="609"/>
      <c r="LMC81" s="609"/>
      <c r="LMD81" s="609"/>
      <c r="LME81" s="609"/>
      <c r="LMF81" s="609"/>
      <c r="LMG81" s="609"/>
      <c r="LMH81" s="609"/>
      <c r="LMI81" s="609"/>
      <c r="LMJ81" s="609"/>
      <c r="LMK81" s="609"/>
      <c r="LML81" s="609"/>
      <c r="LMM81" s="609"/>
      <c r="LMN81" s="609"/>
      <c r="LMO81" s="609"/>
      <c r="LMP81" s="609"/>
      <c r="LMQ81" s="609"/>
      <c r="LMR81" s="609"/>
      <c r="LMS81" s="609"/>
      <c r="LMT81" s="609"/>
      <c r="LMU81" s="609"/>
      <c r="LMV81" s="609"/>
      <c r="LMW81" s="609"/>
      <c r="LMX81" s="609"/>
      <c r="LMY81" s="609"/>
      <c r="LMZ81" s="609"/>
      <c r="LNA81" s="609"/>
      <c r="LNB81" s="609"/>
      <c r="LNC81" s="609"/>
      <c r="LND81" s="609"/>
      <c r="LNE81" s="609"/>
      <c r="LNF81" s="609"/>
      <c r="LNG81" s="609"/>
      <c r="LNH81" s="609"/>
      <c r="LNI81" s="609"/>
      <c r="LNJ81" s="609"/>
      <c r="LNK81" s="609"/>
      <c r="LNL81" s="609"/>
      <c r="LNM81" s="609"/>
      <c r="LNN81" s="609"/>
      <c r="LNO81" s="609"/>
      <c r="LNP81" s="609"/>
      <c r="LNQ81" s="609"/>
      <c r="LNR81" s="609"/>
      <c r="LNS81" s="609"/>
      <c r="LNT81" s="609"/>
      <c r="LNU81" s="609"/>
      <c r="LNV81" s="609"/>
      <c r="LNW81" s="609"/>
      <c r="LNX81" s="609"/>
      <c r="LNY81" s="609"/>
      <c r="LNZ81" s="609"/>
      <c r="LOA81" s="609"/>
      <c r="LOB81" s="609"/>
      <c r="LOC81" s="609"/>
      <c r="LOD81" s="609"/>
      <c r="LOE81" s="609"/>
      <c r="LOF81" s="609"/>
      <c r="LOG81" s="609"/>
      <c r="LOH81" s="609"/>
      <c r="LOI81" s="609"/>
      <c r="LOJ81" s="609"/>
      <c r="LOK81" s="609"/>
      <c r="LOL81" s="609"/>
      <c r="LOM81" s="609"/>
      <c r="LON81" s="609"/>
      <c r="LOO81" s="609"/>
      <c r="LOP81" s="609"/>
      <c r="LOQ81" s="609"/>
      <c r="LOR81" s="609"/>
      <c r="LOS81" s="609"/>
      <c r="LOT81" s="609"/>
      <c r="LOU81" s="609"/>
      <c r="LOV81" s="609"/>
      <c r="LOW81" s="609"/>
      <c r="LOX81" s="609"/>
      <c r="LOY81" s="609"/>
      <c r="LOZ81" s="609"/>
      <c r="LPA81" s="609"/>
      <c r="LPB81" s="609"/>
      <c r="LPC81" s="609"/>
      <c r="LPD81" s="609"/>
      <c r="LPE81" s="609"/>
      <c r="LPF81" s="609"/>
      <c r="LPG81" s="609"/>
      <c r="LPH81" s="609"/>
      <c r="LPI81" s="609"/>
      <c r="LPJ81" s="609"/>
      <c r="LPK81" s="609"/>
      <c r="LPL81" s="609"/>
      <c r="LPM81" s="609"/>
      <c r="LPN81" s="609"/>
      <c r="LPO81" s="609"/>
      <c r="LPP81" s="609"/>
      <c r="LPQ81" s="609"/>
      <c r="LPR81" s="609"/>
      <c r="LPS81" s="609"/>
      <c r="LPT81" s="609"/>
      <c r="LPU81" s="609"/>
      <c r="LPV81" s="609"/>
      <c r="LPW81" s="609"/>
      <c r="LPX81" s="609"/>
      <c r="LPY81" s="609"/>
      <c r="LPZ81" s="609"/>
      <c r="LQA81" s="609"/>
      <c r="LQB81" s="609"/>
      <c r="LQC81" s="609"/>
      <c r="LQD81" s="609"/>
      <c r="LQE81" s="609"/>
      <c r="LQF81" s="609"/>
      <c r="LQG81" s="609"/>
      <c r="LQH81" s="609"/>
      <c r="LQI81" s="609"/>
      <c r="LQJ81" s="609"/>
      <c r="LQK81" s="609"/>
      <c r="LQL81" s="609"/>
      <c r="LQM81" s="609"/>
      <c r="LQN81" s="609"/>
      <c r="LQO81" s="609"/>
      <c r="LQP81" s="609"/>
      <c r="LQQ81" s="609"/>
      <c r="LQR81" s="609"/>
      <c r="LQS81" s="609"/>
      <c r="LQT81" s="609"/>
      <c r="LQU81" s="609"/>
      <c r="LQV81" s="609"/>
      <c r="LQW81" s="609"/>
      <c r="LQX81" s="609"/>
      <c r="LQY81" s="609"/>
      <c r="LQZ81" s="609"/>
      <c r="LRA81" s="609"/>
      <c r="LRB81" s="609"/>
      <c r="LRC81" s="609"/>
      <c r="LRD81" s="609"/>
      <c r="LRE81" s="609"/>
      <c r="LRF81" s="609"/>
      <c r="LRG81" s="609"/>
      <c r="LRH81" s="609"/>
      <c r="LRI81" s="609"/>
      <c r="LRJ81" s="609"/>
      <c r="LRK81" s="609"/>
      <c r="LRL81" s="609"/>
      <c r="LRM81" s="609"/>
      <c r="LRN81" s="609"/>
      <c r="LRO81" s="609"/>
      <c r="LRP81" s="609"/>
      <c r="LRQ81" s="609"/>
      <c r="LRR81" s="609"/>
      <c r="LRS81" s="609"/>
      <c r="LRT81" s="609"/>
      <c r="LRU81" s="609"/>
      <c r="LRV81" s="609"/>
      <c r="LRW81" s="609"/>
      <c r="LRX81" s="609"/>
      <c r="LRY81" s="609"/>
      <c r="LRZ81" s="609"/>
      <c r="LSA81" s="609"/>
      <c r="LSB81" s="609"/>
      <c r="LSC81" s="609"/>
      <c r="LSD81" s="609"/>
      <c r="LSE81" s="609"/>
      <c r="LSF81" s="609"/>
      <c r="LSG81" s="609"/>
      <c r="LSH81" s="609"/>
      <c r="LSI81" s="609"/>
      <c r="LSJ81" s="609"/>
      <c r="LSK81" s="609"/>
      <c r="LSL81" s="609"/>
      <c r="LSM81" s="609"/>
      <c r="LSN81" s="609"/>
      <c r="LSO81" s="609"/>
      <c r="LSP81" s="609"/>
      <c r="LSQ81" s="609"/>
      <c r="LSR81" s="609"/>
      <c r="LSS81" s="609"/>
      <c r="LST81" s="609"/>
      <c r="LSU81" s="609"/>
      <c r="LSV81" s="609"/>
      <c r="LSW81" s="609"/>
      <c r="LSX81" s="609"/>
      <c r="LSY81" s="609"/>
      <c r="LSZ81" s="609"/>
      <c r="LTA81" s="609"/>
      <c r="LTB81" s="609"/>
      <c r="LTC81" s="609"/>
      <c r="LTD81" s="609"/>
      <c r="LTE81" s="609"/>
      <c r="LTF81" s="609"/>
      <c r="LTG81" s="609"/>
      <c r="LTH81" s="609"/>
      <c r="LTI81" s="609"/>
      <c r="LTJ81" s="609"/>
      <c r="LTK81" s="609"/>
      <c r="LTL81" s="609"/>
      <c r="LTM81" s="609"/>
      <c r="LTN81" s="609"/>
      <c r="LTO81" s="609"/>
      <c r="LTP81" s="609"/>
      <c r="LTQ81" s="609"/>
      <c r="LTR81" s="609"/>
      <c r="LTS81" s="609"/>
      <c r="LTT81" s="609"/>
      <c r="LTU81" s="609"/>
      <c r="LTV81" s="609"/>
      <c r="LTW81" s="609"/>
      <c r="LTX81" s="609"/>
      <c r="LTY81" s="609"/>
      <c r="LTZ81" s="609"/>
      <c r="LUA81" s="609"/>
      <c r="LUB81" s="609"/>
      <c r="LUC81" s="609"/>
      <c r="LUD81" s="609"/>
      <c r="LUE81" s="609"/>
      <c r="LUF81" s="609"/>
      <c r="LUG81" s="609"/>
      <c r="LUH81" s="609"/>
      <c r="LUI81" s="609"/>
      <c r="LUJ81" s="609"/>
      <c r="LUK81" s="609"/>
      <c r="LUL81" s="609"/>
      <c r="LUM81" s="609"/>
      <c r="LUN81" s="609"/>
      <c r="LUO81" s="609"/>
      <c r="LUP81" s="609"/>
      <c r="LUQ81" s="609"/>
      <c r="LUR81" s="609"/>
      <c r="LUS81" s="609"/>
      <c r="LUT81" s="609"/>
      <c r="LUU81" s="609"/>
      <c r="LUV81" s="609"/>
      <c r="LUW81" s="609"/>
      <c r="LUX81" s="609"/>
      <c r="LUY81" s="609"/>
      <c r="LUZ81" s="609"/>
      <c r="LVA81" s="609"/>
      <c r="LVB81" s="609"/>
      <c r="LVC81" s="609"/>
      <c r="LVD81" s="609"/>
      <c r="LVE81" s="609"/>
      <c r="LVF81" s="609"/>
      <c r="LVG81" s="609"/>
      <c r="LVH81" s="609"/>
      <c r="LVI81" s="609"/>
      <c r="LVJ81" s="609"/>
      <c r="LVK81" s="609"/>
      <c r="LVL81" s="609"/>
      <c r="LVM81" s="609"/>
      <c r="LVN81" s="609"/>
      <c r="LVO81" s="609"/>
      <c r="LVP81" s="609"/>
      <c r="LVQ81" s="609"/>
      <c r="LVR81" s="609"/>
      <c r="LVS81" s="609"/>
      <c r="LVT81" s="609"/>
      <c r="LVU81" s="609"/>
      <c r="LVV81" s="609"/>
      <c r="LVW81" s="609"/>
      <c r="LVX81" s="609"/>
      <c r="LVY81" s="609"/>
      <c r="LVZ81" s="609"/>
      <c r="LWA81" s="609"/>
      <c r="LWB81" s="609"/>
      <c r="LWC81" s="609"/>
      <c r="LWD81" s="609"/>
      <c r="LWE81" s="609"/>
      <c r="LWF81" s="609"/>
      <c r="LWG81" s="609"/>
      <c r="LWH81" s="609"/>
      <c r="LWI81" s="609"/>
      <c r="LWJ81" s="609"/>
      <c r="LWK81" s="609"/>
      <c r="LWL81" s="609"/>
      <c r="LWM81" s="609"/>
      <c r="LWN81" s="609"/>
      <c r="LWO81" s="609"/>
      <c r="LWP81" s="609"/>
      <c r="LWQ81" s="609"/>
      <c r="LWR81" s="609"/>
      <c r="LWS81" s="609"/>
      <c r="LWT81" s="609"/>
      <c r="LWU81" s="609"/>
      <c r="LWV81" s="609"/>
      <c r="LWW81" s="609"/>
      <c r="LWX81" s="609"/>
      <c r="LWY81" s="609"/>
      <c r="LWZ81" s="609"/>
      <c r="LXA81" s="609"/>
      <c r="LXB81" s="609"/>
      <c r="LXC81" s="609"/>
      <c r="LXD81" s="609"/>
      <c r="LXE81" s="609"/>
      <c r="LXF81" s="609"/>
      <c r="LXG81" s="609"/>
      <c r="LXH81" s="609"/>
      <c r="LXI81" s="609"/>
      <c r="LXJ81" s="609"/>
      <c r="LXK81" s="609"/>
      <c r="LXL81" s="609"/>
      <c r="LXM81" s="609"/>
      <c r="LXN81" s="609"/>
      <c r="LXO81" s="609"/>
      <c r="LXP81" s="609"/>
      <c r="LXQ81" s="609"/>
      <c r="LXR81" s="609"/>
      <c r="LXS81" s="609"/>
      <c r="LXT81" s="609"/>
      <c r="LXU81" s="609"/>
      <c r="LXV81" s="609"/>
      <c r="LXW81" s="609"/>
      <c r="LXX81" s="609"/>
      <c r="LXY81" s="609"/>
      <c r="LXZ81" s="609"/>
      <c r="LYA81" s="609"/>
      <c r="LYB81" s="609"/>
      <c r="LYC81" s="609"/>
      <c r="LYD81" s="609"/>
      <c r="LYE81" s="609"/>
      <c r="LYF81" s="609"/>
      <c r="LYG81" s="609"/>
      <c r="LYH81" s="609"/>
      <c r="LYI81" s="609"/>
      <c r="LYJ81" s="609"/>
      <c r="LYK81" s="609"/>
      <c r="LYL81" s="609"/>
      <c r="LYM81" s="609"/>
      <c r="LYN81" s="609"/>
      <c r="LYO81" s="609"/>
      <c r="LYP81" s="609"/>
      <c r="LYQ81" s="609"/>
      <c r="LYR81" s="609"/>
      <c r="LYS81" s="609"/>
      <c r="LYT81" s="609"/>
      <c r="LYU81" s="609"/>
      <c r="LYV81" s="609"/>
      <c r="LYW81" s="609"/>
      <c r="LYX81" s="609"/>
      <c r="LYY81" s="609"/>
      <c r="LYZ81" s="609"/>
      <c r="LZA81" s="609"/>
      <c r="LZB81" s="609"/>
      <c r="LZC81" s="609"/>
      <c r="LZD81" s="609"/>
      <c r="LZE81" s="609"/>
      <c r="LZF81" s="609"/>
      <c r="LZG81" s="609"/>
      <c r="LZH81" s="609"/>
      <c r="LZI81" s="609"/>
      <c r="LZJ81" s="609"/>
      <c r="LZK81" s="609"/>
      <c r="LZL81" s="609"/>
      <c r="LZM81" s="609"/>
      <c r="LZN81" s="609"/>
      <c r="LZO81" s="609"/>
      <c r="LZP81" s="609"/>
      <c r="LZQ81" s="609"/>
      <c r="LZR81" s="609"/>
      <c r="LZS81" s="609"/>
      <c r="LZT81" s="609"/>
      <c r="LZU81" s="609"/>
      <c r="LZV81" s="609"/>
      <c r="LZW81" s="609"/>
      <c r="LZX81" s="609"/>
      <c r="LZY81" s="609"/>
      <c r="LZZ81" s="609"/>
      <c r="MAA81" s="609"/>
      <c r="MAB81" s="609"/>
      <c r="MAC81" s="609"/>
      <c r="MAD81" s="609"/>
      <c r="MAE81" s="609"/>
      <c r="MAF81" s="609"/>
      <c r="MAG81" s="609"/>
      <c r="MAH81" s="609"/>
      <c r="MAI81" s="609"/>
      <c r="MAJ81" s="609"/>
      <c r="MAK81" s="609"/>
      <c r="MAL81" s="609"/>
      <c r="MAM81" s="609"/>
      <c r="MAN81" s="609"/>
      <c r="MAO81" s="609"/>
      <c r="MAP81" s="609"/>
      <c r="MAQ81" s="609"/>
      <c r="MAR81" s="609"/>
      <c r="MAS81" s="609"/>
      <c r="MAT81" s="609"/>
      <c r="MAU81" s="609"/>
      <c r="MAV81" s="609"/>
      <c r="MAW81" s="609"/>
      <c r="MAX81" s="609"/>
      <c r="MAY81" s="609"/>
      <c r="MAZ81" s="609"/>
      <c r="MBA81" s="609"/>
      <c r="MBB81" s="609"/>
      <c r="MBC81" s="609"/>
      <c r="MBD81" s="609"/>
      <c r="MBE81" s="609"/>
      <c r="MBF81" s="609"/>
      <c r="MBG81" s="609"/>
      <c r="MBH81" s="609"/>
      <c r="MBI81" s="609"/>
      <c r="MBJ81" s="609"/>
      <c r="MBK81" s="609"/>
      <c r="MBL81" s="609"/>
      <c r="MBM81" s="609"/>
      <c r="MBN81" s="609"/>
      <c r="MBO81" s="609"/>
      <c r="MBP81" s="609"/>
      <c r="MBQ81" s="609"/>
      <c r="MBR81" s="609"/>
      <c r="MBS81" s="609"/>
      <c r="MBT81" s="609"/>
      <c r="MBU81" s="609"/>
      <c r="MBV81" s="609"/>
      <c r="MBW81" s="609"/>
      <c r="MBX81" s="609"/>
      <c r="MBY81" s="609"/>
      <c r="MBZ81" s="609"/>
      <c r="MCA81" s="609"/>
      <c r="MCB81" s="609"/>
      <c r="MCC81" s="609"/>
      <c r="MCD81" s="609"/>
      <c r="MCE81" s="609"/>
      <c r="MCF81" s="609"/>
      <c r="MCG81" s="609"/>
      <c r="MCH81" s="609"/>
      <c r="MCI81" s="609"/>
      <c r="MCJ81" s="609"/>
      <c r="MCK81" s="609"/>
      <c r="MCL81" s="609"/>
      <c r="MCM81" s="609"/>
      <c r="MCN81" s="609"/>
      <c r="MCO81" s="609"/>
      <c r="MCP81" s="609"/>
      <c r="MCQ81" s="609"/>
      <c r="MCR81" s="609"/>
      <c r="MCS81" s="609"/>
      <c r="MCT81" s="609"/>
      <c r="MCU81" s="609"/>
      <c r="MCV81" s="609"/>
      <c r="MCW81" s="609"/>
      <c r="MCX81" s="609"/>
      <c r="MCY81" s="609"/>
      <c r="MCZ81" s="609"/>
      <c r="MDA81" s="609"/>
      <c r="MDB81" s="609"/>
      <c r="MDC81" s="609"/>
      <c r="MDD81" s="609"/>
      <c r="MDE81" s="609"/>
      <c r="MDF81" s="609"/>
      <c r="MDG81" s="609"/>
      <c r="MDH81" s="609"/>
      <c r="MDI81" s="609"/>
      <c r="MDJ81" s="609"/>
      <c r="MDK81" s="609"/>
      <c r="MDL81" s="609"/>
      <c r="MDM81" s="609"/>
      <c r="MDN81" s="609"/>
      <c r="MDO81" s="609"/>
      <c r="MDP81" s="609"/>
      <c r="MDQ81" s="609"/>
      <c r="MDR81" s="609"/>
      <c r="MDS81" s="609"/>
      <c r="MDT81" s="609"/>
      <c r="MDU81" s="609"/>
      <c r="MDV81" s="609"/>
      <c r="MDW81" s="609"/>
      <c r="MDX81" s="609"/>
      <c r="MDY81" s="609"/>
      <c r="MDZ81" s="609"/>
      <c r="MEA81" s="609"/>
      <c r="MEB81" s="609"/>
      <c r="MEC81" s="609"/>
      <c r="MED81" s="609"/>
      <c r="MEE81" s="609"/>
      <c r="MEF81" s="609"/>
      <c r="MEG81" s="609"/>
      <c r="MEH81" s="609"/>
      <c r="MEI81" s="609"/>
      <c r="MEJ81" s="609"/>
      <c r="MEK81" s="609"/>
      <c r="MEL81" s="609"/>
      <c r="MEM81" s="609"/>
      <c r="MEN81" s="609"/>
      <c r="MEO81" s="609"/>
      <c r="MEP81" s="609"/>
      <c r="MEQ81" s="609"/>
      <c r="MER81" s="609"/>
      <c r="MES81" s="609"/>
      <c r="MET81" s="609"/>
      <c r="MEU81" s="609"/>
      <c r="MEV81" s="609"/>
      <c r="MEW81" s="609"/>
      <c r="MEX81" s="609"/>
      <c r="MEY81" s="609"/>
      <c r="MEZ81" s="609"/>
      <c r="MFA81" s="609"/>
      <c r="MFB81" s="609"/>
      <c r="MFC81" s="609"/>
      <c r="MFD81" s="609"/>
      <c r="MFE81" s="609"/>
      <c r="MFF81" s="609"/>
      <c r="MFG81" s="609"/>
      <c r="MFH81" s="609"/>
      <c r="MFI81" s="609"/>
      <c r="MFJ81" s="609"/>
      <c r="MFK81" s="609"/>
      <c r="MFL81" s="609"/>
      <c r="MFM81" s="609"/>
      <c r="MFN81" s="609"/>
      <c r="MFO81" s="609"/>
      <c r="MFP81" s="609"/>
      <c r="MFQ81" s="609"/>
      <c r="MFR81" s="609"/>
      <c r="MFS81" s="609"/>
      <c r="MFT81" s="609"/>
      <c r="MFU81" s="609"/>
      <c r="MFV81" s="609"/>
      <c r="MFW81" s="609"/>
      <c r="MFX81" s="609"/>
      <c r="MFY81" s="609"/>
      <c r="MFZ81" s="609"/>
      <c r="MGA81" s="609"/>
      <c r="MGB81" s="609"/>
      <c r="MGC81" s="609"/>
      <c r="MGD81" s="609"/>
      <c r="MGE81" s="609"/>
      <c r="MGF81" s="609"/>
      <c r="MGG81" s="609"/>
      <c r="MGH81" s="609"/>
      <c r="MGI81" s="609"/>
      <c r="MGJ81" s="609"/>
      <c r="MGK81" s="609"/>
      <c r="MGL81" s="609"/>
      <c r="MGM81" s="609"/>
      <c r="MGN81" s="609"/>
      <c r="MGO81" s="609"/>
      <c r="MGP81" s="609"/>
      <c r="MGQ81" s="609"/>
      <c r="MGR81" s="609"/>
      <c r="MGS81" s="609"/>
      <c r="MGT81" s="609"/>
      <c r="MGU81" s="609"/>
      <c r="MGV81" s="609"/>
      <c r="MGW81" s="609"/>
      <c r="MGX81" s="609"/>
      <c r="MGY81" s="609"/>
      <c r="MGZ81" s="609"/>
      <c r="MHA81" s="609"/>
      <c r="MHB81" s="609"/>
      <c r="MHC81" s="609"/>
      <c r="MHD81" s="609"/>
      <c r="MHE81" s="609"/>
      <c r="MHF81" s="609"/>
      <c r="MHG81" s="609"/>
      <c r="MHH81" s="609"/>
      <c r="MHI81" s="609"/>
      <c r="MHJ81" s="609"/>
      <c r="MHK81" s="609"/>
      <c r="MHL81" s="609"/>
      <c r="MHM81" s="609"/>
      <c r="MHN81" s="609"/>
      <c r="MHO81" s="609"/>
      <c r="MHP81" s="609"/>
      <c r="MHQ81" s="609"/>
      <c r="MHR81" s="609"/>
      <c r="MHS81" s="609"/>
      <c r="MHT81" s="609"/>
      <c r="MHU81" s="609"/>
      <c r="MHV81" s="609"/>
      <c r="MHW81" s="609"/>
      <c r="MHX81" s="609"/>
      <c r="MHY81" s="609"/>
      <c r="MHZ81" s="609"/>
      <c r="MIA81" s="609"/>
      <c r="MIB81" s="609"/>
      <c r="MIC81" s="609"/>
      <c r="MID81" s="609"/>
      <c r="MIE81" s="609"/>
      <c r="MIF81" s="609"/>
      <c r="MIG81" s="609"/>
      <c r="MIH81" s="609"/>
      <c r="MII81" s="609"/>
      <c r="MIJ81" s="609"/>
      <c r="MIK81" s="609"/>
      <c r="MIL81" s="609"/>
      <c r="MIM81" s="609"/>
      <c r="MIN81" s="609"/>
      <c r="MIO81" s="609"/>
      <c r="MIP81" s="609"/>
      <c r="MIQ81" s="609"/>
      <c r="MIR81" s="609"/>
      <c r="MIS81" s="609"/>
      <c r="MIT81" s="609"/>
      <c r="MIU81" s="609"/>
      <c r="MIV81" s="609"/>
      <c r="MIW81" s="609"/>
      <c r="MIX81" s="609"/>
      <c r="MIY81" s="609"/>
      <c r="MIZ81" s="609"/>
      <c r="MJA81" s="609"/>
      <c r="MJB81" s="609"/>
      <c r="MJC81" s="609"/>
      <c r="MJD81" s="609"/>
      <c r="MJE81" s="609"/>
      <c r="MJF81" s="609"/>
      <c r="MJG81" s="609"/>
      <c r="MJH81" s="609"/>
      <c r="MJI81" s="609"/>
      <c r="MJJ81" s="609"/>
      <c r="MJK81" s="609"/>
      <c r="MJL81" s="609"/>
      <c r="MJM81" s="609"/>
      <c r="MJN81" s="609"/>
      <c r="MJO81" s="609"/>
      <c r="MJP81" s="609"/>
      <c r="MJQ81" s="609"/>
      <c r="MJR81" s="609"/>
      <c r="MJS81" s="609"/>
      <c r="MJT81" s="609"/>
      <c r="MJU81" s="609"/>
      <c r="MJV81" s="609"/>
      <c r="MJW81" s="609"/>
      <c r="MJX81" s="609"/>
      <c r="MJY81" s="609"/>
      <c r="MJZ81" s="609"/>
      <c r="MKA81" s="609"/>
      <c r="MKB81" s="609"/>
      <c r="MKC81" s="609"/>
      <c r="MKD81" s="609"/>
      <c r="MKE81" s="609"/>
      <c r="MKF81" s="609"/>
      <c r="MKG81" s="609"/>
      <c r="MKH81" s="609"/>
      <c r="MKI81" s="609"/>
      <c r="MKJ81" s="609"/>
      <c r="MKK81" s="609"/>
      <c r="MKL81" s="609"/>
      <c r="MKM81" s="609"/>
      <c r="MKN81" s="609"/>
      <c r="MKO81" s="609"/>
      <c r="MKP81" s="609"/>
      <c r="MKQ81" s="609"/>
      <c r="MKR81" s="609"/>
      <c r="MKS81" s="609"/>
      <c r="MKT81" s="609"/>
      <c r="MKU81" s="609"/>
      <c r="MKV81" s="609"/>
      <c r="MKW81" s="609"/>
      <c r="MKX81" s="609"/>
      <c r="MKY81" s="609"/>
      <c r="MKZ81" s="609"/>
      <c r="MLA81" s="609"/>
      <c r="MLB81" s="609"/>
      <c r="MLC81" s="609"/>
      <c r="MLD81" s="609"/>
      <c r="MLE81" s="609"/>
      <c r="MLF81" s="609"/>
      <c r="MLG81" s="609"/>
      <c r="MLH81" s="609"/>
      <c r="MLI81" s="609"/>
      <c r="MLJ81" s="609"/>
      <c r="MLK81" s="609"/>
      <c r="MLL81" s="609"/>
      <c r="MLM81" s="609"/>
      <c r="MLN81" s="609"/>
      <c r="MLO81" s="609"/>
      <c r="MLP81" s="609"/>
      <c r="MLQ81" s="609"/>
      <c r="MLR81" s="609"/>
      <c r="MLS81" s="609"/>
      <c r="MLT81" s="609"/>
      <c r="MLU81" s="609"/>
      <c r="MLV81" s="609"/>
      <c r="MLW81" s="609"/>
      <c r="MLX81" s="609"/>
      <c r="MLY81" s="609"/>
      <c r="MLZ81" s="609"/>
      <c r="MMA81" s="609"/>
      <c r="MMB81" s="609"/>
      <c r="MMC81" s="609"/>
      <c r="MMD81" s="609"/>
      <c r="MME81" s="609"/>
      <c r="MMF81" s="609"/>
      <c r="MMG81" s="609"/>
      <c r="MMH81" s="609"/>
      <c r="MMI81" s="609"/>
      <c r="MMJ81" s="609"/>
      <c r="MMK81" s="609"/>
      <c r="MML81" s="609"/>
      <c r="MMM81" s="609"/>
      <c r="MMN81" s="609"/>
      <c r="MMO81" s="609"/>
      <c r="MMP81" s="609"/>
      <c r="MMQ81" s="609"/>
      <c r="MMR81" s="609"/>
      <c r="MMS81" s="609"/>
      <c r="MMT81" s="609"/>
      <c r="MMU81" s="609"/>
      <c r="MMV81" s="609"/>
      <c r="MMW81" s="609"/>
      <c r="MMX81" s="609"/>
      <c r="MMY81" s="609"/>
      <c r="MMZ81" s="609"/>
      <c r="MNA81" s="609"/>
      <c r="MNB81" s="609"/>
      <c r="MNC81" s="609"/>
      <c r="MND81" s="609"/>
      <c r="MNE81" s="609"/>
      <c r="MNF81" s="609"/>
      <c r="MNG81" s="609"/>
      <c r="MNH81" s="609"/>
      <c r="MNI81" s="609"/>
      <c r="MNJ81" s="609"/>
      <c r="MNK81" s="609"/>
      <c r="MNL81" s="609"/>
      <c r="MNM81" s="609"/>
      <c r="MNN81" s="609"/>
      <c r="MNO81" s="609"/>
      <c r="MNP81" s="609"/>
      <c r="MNQ81" s="609"/>
      <c r="MNR81" s="609"/>
      <c r="MNS81" s="609"/>
      <c r="MNT81" s="609"/>
      <c r="MNU81" s="609"/>
      <c r="MNV81" s="609"/>
      <c r="MNW81" s="609"/>
      <c r="MNX81" s="609"/>
      <c r="MNY81" s="609"/>
      <c r="MNZ81" s="609"/>
      <c r="MOA81" s="609"/>
      <c r="MOB81" s="609"/>
      <c r="MOC81" s="609"/>
      <c r="MOD81" s="609"/>
      <c r="MOE81" s="609"/>
      <c r="MOF81" s="609"/>
      <c r="MOG81" s="609"/>
      <c r="MOH81" s="609"/>
      <c r="MOI81" s="609"/>
      <c r="MOJ81" s="609"/>
      <c r="MOK81" s="609"/>
      <c r="MOL81" s="609"/>
      <c r="MOM81" s="609"/>
      <c r="MON81" s="609"/>
      <c r="MOO81" s="609"/>
      <c r="MOP81" s="609"/>
      <c r="MOQ81" s="609"/>
      <c r="MOR81" s="609"/>
      <c r="MOS81" s="609"/>
      <c r="MOT81" s="609"/>
      <c r="MOU81" s="609"/>
      <c r="MOV81" s="609"/>
      <c r="MOW81" s="609"/>
      <c r="MOX81" s="609"/>
      <c r="MOY81" s="609"/>
      <c r="MOZ81" s="609"/>
      <c r="MPA81" s="609"/>
      <c r="MPB81" s="609"/>
      <c r="MPC81" s="609"/>
      <c r="MPD81" s="609"/>
      <c r="MPE81" s="609"/>
      <c r="MPF81" s="609"/>
      <c r="MPG81" s="609"/>
      <c r="MPH81" s="609"/>
      <c r="MPI81" s="609"/>
      <c r="MPJ81" s="609"/>
      <c r="MPK81" s="609"/>
      <c r="MPL81" s="609"/>
      <c r="MPM81" s="609"/>
      <c r="MPN81" s="609"/>
      <c r="MPO81" s="609"/>
      <c r="MPP81" s="609"/>
      <c r="MPQ81" s="609"/>
      <c r="MPR81" s="609"/>
      <c r="MPS81" s="609"/>
      <c r="MPT81" s="609"/>
      <c r="MPU81" s="609"/>
      <c r="MPV81" s="609"/>
      <c r="MPW81" s="609"/>
      <c r="MPX81" s="609"/>
      <c r="MPY81" s="609"/>
      <c r="MPZ81" s="609"/>
      <c r="MQA81" s="609"/>
      <c r="MQB81" s="609"/>
      <c r="MQC81" s="609"/>
      <c r="MQD81" s="609"/>
      <c r="MQE81" s="609"/>
      <c r="MQF81" s="609"/>
      <c r="MQG81" s="609"/>
      <c r="MQH81" s="609"/>
      <c r="MQI81" s="609"/>
      <c r="MQJ81" s="609"/>
      <c r="MQK81" s="609"/>
      <c r="MQL81" s="609"/>
      <c r="MQM81" s="609"/>
      <c r="MQN81" s="609"/>
      <c r="MQO81" s="609"/>
      <c r="MQP81" s="609"/>
      <c r="MQQ81" s="609"/>
      <c r="MQR81" s="609"/>
      <c r="MQS81" s="609"/>
      <c r="MQT81" s="609"/>
      <c r="MQU81" s="609"/>
      <c r="MQV81" s="609"/>
      <c r="MQW81" s="609"/>
      <c r="MQX81" s="609"/>
      <c r="MQY81" s="609"/>
      <c r="MQZ81" s="609"/>
      <c r="MRA81" s="609"/>
      <c r="MRB81" s="609"/>
      <c r="MRC81" s="609"/>
      <c r="MRD81" s="609"/>
      <c r="MRE81" s="609"/>
      <c r="MRF81" s="609"/>
      <c r="MRG81" s="609"/>
      <c r="MRH81" s="609"/>
      <c r="MRI81" s="609"/>
      <c r="MRJ81" s="609"/>
      <c r="MRK81" s="609"/>
      <c r="MRL81" s="609"/>
      <c r="MRM81" s="609"/>
      <c r="MRN81" s="609"/>
      <c r="MRO81" s="609"/>
      <c r="MRP81" s="609"/>
      <c r="MRQ81" s="609"/>
      <c r="MRR81" s="609"/>
      <c r="MRS81" s="609"/>
      <c r="MRT81" s="609"/>
      <c r="MRU81" s="609"/>
      <c r="MRV81" s="609"/>
      <c r="MRW81" s="609"/>
      <c r="MRX81" s="609"/>
      <c r="MRY81" s="609"/>
      <c r="MRZ81" s="609"/>
      <c r="MSA81" s="609"/>
      <c r="MSB81" s="609"/>
      <c r="MSC81" s="609"/>
      <c r="MSD81" s="609"/>
      <c r="MSE81" s="609"/>
      <c r="MSF81" s="609"/>
      <c r="MSG81" s="609"/>
      <c r="MSH81" s="609"/>
      <c r="MSI81" s="609"/>
      <c r="MSJ81" s="609"/>
      <c r="MSK81" s="609"/>
      <c r="MSL81" s="609"/>
      <c r="MSM81" s="609"/>
      <c r="MSN81" s="609"/>
      <c r="MSO81" s="609"/>
      <c r="MSP81" s="609"/>
      <c r="MSQ81" s="609"/>
      <c r="MSR81" s="609"/>
      <c r="MSS81" s="609"/>
      <c r="MST81" s="609"/>
      <c r="MSU81" s="609"/>
      <c r="MSV81" s="609"/>
      <c r="MSW81" s="609"/>
      <c r="MSX81" s="609"/>
      <c r="MSY81" s="609"/>
      <c r="MSZ81" s="609"/>
      <c r="MTA81" s="609"/>
      <c r="MTB81" s="609"/>
      <c r="MTC81" s="609"/>
      <c r="MTD81" s="609"/>
      <c r="MTE81" s="609"/>
      <c r="MTF81" s="609"/>
      <c r="MTG81" s="609"/>
      <c r="MTH81" s="609"/>
      <c r="MTI81" s="609"/>
      <c r="MTJ81" s="609"/>
      <c r="MTK81" s="609"/>
      <c r="MTL81" s="609"/>
      <c r="MTM81" s="609"/>
      <c r="MTN81" s="609"/>
      <c r="MTO81" s="609"/>
      <c r="MTP81" s="609"/>
      <c r="MTQ81" s="609"/>
      <c r="MTR81" s="609"/>
      <c r="MTS81" s="609"/>
      <c r="MTT81" s="609"/>
      <c r="MTU81" s="609"/>
      <c r="MTV81" s="609"/>
      <c r="MTW81" s="609"/>
      <c r="MTX81" s="609"/>
      <c r="MTY81" s="609"/>
      <c r="MTZ81" s="609"/>
      <c r="MUA81" s="609"/>
      <c r="MUB81" s="609"/>
      <c r="MUC81" s="609"/>
      <c r="MUD81" s="609"/>
      <c r="MUE81" s="609"/>
      <c r="MUF81" s="609"/>
      <c r="MUG81" s="609"/>
      <c r="MUH81" s="609"/>
      <c r="MUI81" s="609"/>
      <c r="MUJ81" s="609"/>
      <c r="MUK81" s="609"/>
      <c r="MUL81" s="609"/>
      <c r="MUM81" s="609"/>
      <c r="MUN81" s="609"/>
      <c r="MUO81" s="609"/>
      <c r="MUP81" s="609"/>
      <c r="MUQ81" s="609"/>
      <c r="MUR81" s="609"/>
      <c r="MUS81" s="609"/>
      <c r="MUT81" s="609"/>
      <c r="MUU81" s="609"/>
      <c r="MUV81" s="609"/>
      <c r="MUW81" s="609"/>
      <c r="MUX81" s="609"/>
      <c r="MUY81" s="609"/>
      <c r="MUZ81" s="609"/>
      <c r="MVA81" s="609"/>
      <c r="MVB81" s="609"/>
      <c r="MVC81" s="609"/>
      <c r="MVD81" s="609"/>
      <c r="MVE81" s="609"/>
      <c r="MVF81" s="609"/>
      <c r="MVG81" s="609"/>
      <c r="MVH81" s="609"/>
      <c r="MVI81" s="609"/>
      <c r="MVJ81" s="609"/>
      <c r="MVK81" s="609"/>
      <c r="MVL81" s="609"/>
      <c r="MVM81" s="609"/>
      <c r="MVN81" s="609"/>
      <c r="MVO81" s="609"/>
      <c r="MVP81" s="609"/>
      <c r="MVQ81" s="609"/>
      <c r="MVR81" s="609"/>
      <c r="MVS81" s="609"/>
      <c r="MVT81" s="609"/>
      <c r="MVU81" s="609"/>
      <c r="MVV81" s="609"/>
      <c r="MVW81" s="609"/>
      <c r="MVX81" s="609"/>
      <c r="MVY81" s="609"/>
      <c r="MVZ81" s="609"/>
      <c r="MWA81" s="609"/>
      <c r="MWB81" s="609"/>
      <c r="MWC81" s="609"/>
      <c r="MWD81" s="609"/>
      <c r="MWE81" s="609"/>
      <c r="MWF81" s="609"/>
      <c r="MWG81" s="609"/>
      <c r="MWH81" s="609"/>
      <c r="MWI81" s="609"/>
      <c r="MWJ81" s="609"/>
      <c r="MWK81" s="609"/>
      <c r="MWL81" s="609"/>
      <c r="MWM81" s="609"/>
      <c r="MWN81" s="609"/>
      <c r="MWO81" s="609"/>
      <c r="MWP81" s="609"/>
      <c r="MWQ81" s="609"/>
      <c r="MWR81" s="609"/>
      <c r="MWS81" s="609"/>
      <c r="MWT81" s="609"/>
      <c r="MWU81" s="609"/>
      <c r="MWV81" s="609"/>
      <c r="MWW81" s="609"/>
      <c r="MWX81" s="609"/>
      <c r="MWY81" s="609"/>
      <c r="MWZ81" s="609"/>
      <c r="MXA81" s="609"/>
      <c r="MXB81" s="609"/>
      <c r="MXC81" s="609"/>
      <c r="MXD81" s="609"/>
      <c r="MXE81" s="609"/>
      <c r="MXF81" s="609"/>
      <c r="MXG81" s="609"/>
      <c r="MXH81" s="609"/>
      <c r="MXI81" s="609"/>
      <c r="MXJ81" s="609"/>
      <c r="MXK81" s="609"/>
      <c r="MXL81" s="609"/>
      <c r="MXM81" s="609"/>
      <c r="MXN81" s="609"/>
      <c r="MXO81" s="609"/>
      <c r="MXP81" s="609"/>
      <c r="MXQ81" s="609"/>
      <c r="MXR81" s="609"/>
      <c r="MXS81" s="609"/>
      <c r="MXT81" s="609"/>
      <c r="MXU81" s="609"/>
      <c r="MXV81" s="609"/>
      <c r="MXW81" s="609"/>
      <c r="MXX81" s="609"/>
      <c r="MXY81" s="609"/>
      <c r="MXZ81" s="609"/>
      <c r="MYA81" s="609"/>
      <c r="MYB81" s="609"/>
      <c r="MYC81" s="609"/>
      <c r="MYD81" s="609"/>
      <c r="MYE81" s="609"/>
      <c r="MYF81" s="609"/>
      <c r="MYG81" s="609"/>
      <c r="MYH81" s="609"/>
      <c r="MYI81" s="609"/>
      <c r="MYJ81" s="609"/>
      <c r="MYK81" s="609"/>
      <c r="MYL81" s="609"/>
      <c r="MYM81" s="609"/>
      <c r="MYN81" s="609"/>
      <c r="MYO81" s="609"/>
      <c r="MYP81" s="609"/>
      <c r="MYQ81" s="609"/>
      <c r="MYR81" s="609"/>
      <c r="MYS81" s="609"/>
      <c r="MYT81" s="609"/>
      <c r="MYU81" s="609"/>
      <c r="MYV81" s="609"/>
      <c r="MYW81" s="609"/>
      <c r="MYX81" s="609"/>
      <c r="MYY81" s="609"/>
      <c r="MYZ81" s="609"/>
      <c r="MZA81" s="609"/>
      <c r="MZB81" s="609"/>
      <c r="MZC81" s="609"/>
      <c r="MZD81" s="609"/>
      <c r="MZE81" s="609"/>
      <c r="MZF81" s="609"/>
      <c r="MZG81" s="609"/>
      <c r="MZH81" s="609"/>
      <c r="MZI81" s="609"/>
      <c r="MZJ81" s="609"/>
      <c r="MZK81" s="609"/>
      <c r="MZL81" s="609"/>
      <c r="MZM81" s="609"/>
      <c r="MZN81" s="609"/>
      <c r="MZO81" s="609"/>
      <c r="MZP81" s="609"/>
      <c r="MZQ81" s="609"/>
      <c r="MZR81" s="609"/>
      <c r="MZS81" s="609"/>
      <c r="MZT81" s="609"/>
      <c r="MZU81" s="609"/>
      <c r="MZV81" s="609"/>
      <c r="MZW81" s="609"/>
      <c r="MZX81" s="609"/>
      <c r="MZY81" s="609"/>
      <c r="MZZ81" s="609"/>
      <c r="NAA81" s="609"/>
      <c r="NAB81" s="609"/>
      <c r="NAC81" s="609"/>
      <c r="NAD81" s="609"/>
      <c r="NAE81" s="609"/>
      <c r="NAF81" s="609"/>
      <c r="NAG81" s="609"/>
      <c r="NAH81" s="609"/>
      <c r="NAI81" s="609"/>
      <c r="NAJ81" s="609"/>
      <c r="NAK81" s="609"/>
      <c r="NAL81" s="609"/>
      <c r="NAM81" s="609"/>
      <c r="NAN81" s="609"/>
      <c r="NAO81" s="609"/>
      <c r="NAP81" s="609"/>
      <c r="NAQ81" s="609"/>
      <c r="NAR81" s="609"/>
      <c r="NAS81" s="609"/>
      <c r="NAT81" s="609"/>
      <c r="NAU81" s="609"/>
      <c r="NAV81" s="609"/>
      <c r="NAW81" s="609"/>
      <c r="NAX81" s="609"/>
      <c r="NAY81" s="609"/>
      <c r="NAZ81" s="609"/>
      <c r="NBA81" s="609"/>
      <c r="NBB81" s="609"/>
      <c r="NBC81" s="609"/>
      <c r="NBD81" s="609"/>
      <c r="NBE81" s="609"/>
      <c r="NBF81" s="609"/>
      <c r="NBG81" s="609"/>
      <c r="NBH81" s="609"/>
      <c r="NBI81" s="609"/>
      <c r="NBJ81" s="609"/>
      <c r="NBK81" s="609"/>
      <c r="NBL81" s="609"/>
      <c r="NBM81" s="609"/>
      <c r="NBN81" s="609"/>
      <c r="NBO81" s="609"/>
      <c r="NBP81" s="609"/>
      <c r="NBQ81" s="609"/>
      <c r="NBR81" s="609"/>
      <c r="NBS81" s="609"/>
      <c r="NBT81" s="609"/>
      <c r="NBU81" s="609"/>
      <c r="NBV81" s="609"/>
      <c r="NBW81" s="609"/>
      <c r="NBX81" s="609"/>
      <c r="NBY81" s="609"/>
      <c r="NBZ81" s="609"/>
      <c r="NCA81" s="609"/>
      <c r="NCB81" s="609"/>
      <c r="NCC81" s="609"/>
      <c r="NCD81" s="609"/>
      <c r="NCE81" s="609"/>
      <c r="NCF81" s="609"/>
      <c r="NCG81" s="609"/>
      <c r="NCH81" s="609"/>
      <c r="NCI81" s="609"/>
      <c r="NCJ81" s="609"/>
      <c r="NCK81" s="609"/>
      <c r="NCL81" s="609"/>
      <c r="NCM81" s="609"/>
      <c r="NCN81" s="609"/>
      <c r="NCO81" s="609"/>
      <c r="NCP81" s="609"/>
      <c r="NCQ81" s="609"/>
      <c r="NCR81" s="609"/>
      <c r="NCS81" s="609"/>
      <c r="NCT81" s="609"/>
      <c r="NCU81" s="609"/>
      <c r="NCV81" s="609"/>
      <c r="NCW81" s="609"/>
      <c r="NCX81" s="609"/>
      <c r="NCY81" s="609"/>
      <c r="NCZ81" s="609"/>
      <c r="NDA81" s="609"/>
      <c r="NDB81" s="609"/>
      <c r="NDC81" s="609"/>
      <c r="NDD81" s="609"/>
      <c r="NDE81" s="609"/>
      <c r="NDF81" s="609"/>
      <c r="NDG81" s="609"/>
      <c r="NDH81" s="609"/>
      <c r="NDI81" s="609"/>
      <c r="NDJ81" s="609"/>
      <c r="NDK81" s="609"/>
      <c r="NDL81" s="609"/>
      <c r="NDM81" s="609"/>
      <c r="NDN81" s="609"/>
      <c r="NDO81" s="609"/>
      <c r="NDP81" s="609"/>
      <c r="NDQ81" s="609"/>
      <c r="NDR81" s="609"/>
      <c r="NDS81" s="609"/>
      <c r="NDT81" s="609"/>
      <c r="NDU81" s="609"/>
      <c r="NDV81" s="609"/>
      <c r="NDW81" s="609"/>
      <c r="NDX81" s="609"/>
      <c r="NDY81" s="609"/>
      <c r="NDZ81" s="609"/>
      <c r="NEA81" s="609"/>
      <c r="NEB81" s="609"/>
      <c r="NEC81" s="609"/>
      <c r="NED81" s="609"/>
      <c r="NEE81" s="609"/>
      <c r="NEF81" s="609"/>
      <c r="NEG81" s="609"/>
      <c r="NEH81" s="609"/>
      <c r="NEI81" s="609"/>
      <c r="NEJ81" s="609"/>
      <c r="NEK81" s="609"/>
      <c r="NEL81" s="609"/>
      <c r="NEM81" s="609"/>
      <c r="NEN81" s="609"/>
      <c r="NEO81" s="609"/>
      <c r="NEP81" s="609"/>
      <c r="NEQ81" s="609"/>
      <c r="NER81" s="609"/>
      <c r="NES81" s="609"/>
      <c r="NET81" s="609"/>
      <c r="NEU81" s="609"/>
      <c r="NEV81" s="609"/>
      <c r="NEW81" s="609"/>
      <c r="NEX81" s="609"/>
      <c r="NEY81" s="609"/>
      <c r="NEZ81" s="609"/>
      <c r="NFA81" s="609"/>
      <c r="NFB81" s="609"/>
      <c r="NFC81" s="609"/>
      <c r="NFD81" s="609"/>
      <c r="NFE81" s="609"/>
      <c r="NFF81" s="609"/>
      <c r="NFG81" s="609"/>
      <c r="NFH81" s="609"/>
      <c r="NFI81" s="609"/>
      <c r="NFJ81" s="609"/>
      <c r="NFK81" s="609"/>
      <c r="NFL81" s="609"/>
      <c r="NFM81" s="609"/>
      <c r="NFN81" s="609"/>
      <c r="NFO81" s="609"/>
      <c r="NFP81" s="609"/>
      <c r="NFQ81" s="609"/>
      <c r="NFR81" s="609"/>
      <c r="NFS81" s="609"/>
      <c r="NFT81" s="609"/>
      <c r="NFU81" s="609"/>
      <c r="NFV81" s="609"/>
      <c r="NFW81" s="609"/>
      <c r="NFX81" s="609"/>
      <c r="NFY81" s="609"/>
      <c r="NFZ81" s="609"/>
      <c r="NGA81" s="609"/>
      <c r="NGB81" s="609"/>
      <c r="NGC81" s="609"/>
      <c r="NGD81" s="609"/>
      <c r="NGE81" s="609"/>
      <c r="NGF81" s="609"/>
      <c r="NGG81" s="609"/>
      <c r="NGH81" s="609"/>
      <c r="NGI81" s="609"/>
      <c r="NGJ81" s="609"/>
      <c r="NGK81" s="609"/>
      <c r="NGL81" s="609"/>
      <c r="NGM81" s="609"/>
      <c r="NGN81" s="609"/>
      <c r="NGO81" s="609"/>
      <c r="NGP81" s="609"/>
      <c r="NGQ81" s="609"/>
      <c r="NGR81" s="609"/>
      <c r="NGS81" s="609"/>
      <c r="NGT81" s="609"/>
      <c r="NGU81" s="609"/>
      <c r="NGV81" s="609"/>
      <c r="NGW81" s="609"/>
      <c r="NGX81" s="609"/>
      <c r="NGY81" s="609"/>
      <c r="NGZ81" s="609"/>
      <c r="NHA81" s="609"/>
      <c r="NHB81" s="609"/>
      <c r="NHC81" s="609"/>
      <c r="NHD81" s="609"/>
      <c r="NHE81" s="609"/>
      <c r="NHF81" s="609"/>
      <c r="NHG81" s="609"/>
      <c r="NHH81" s="609"/>
      <c r="NHI81" s="609"/>
      <c r="NHJ81" s="609"/>
      <c r="NHK81" s="609"/>
      <c r="NHL81" s="609"/>
      <c r="NHM81" s="609"/>
      <c r="NHN81" s="609"/>
      <c r="NHO81" s="609"/>
      <c r="NHP81" s="609"/>
      <c r="NHQ81" s="609"/>
      <c r="NHR81" s="609"/>
      <c r="NHS81" s="609"/>
      <c r="NHT81" s="609"/>
      <c r="NHU81" s="609"/>
      <c r="NHV81" s="609"/>
      <c r="NHW81" s="609"/>
      <c r="NHX81" s="609"/>
      <c r="NHY81" s="609"/>
      <c r="NHZ81" s="609"/>
      <c r="NIA81" s="609"/>
      <c r="NIB81" s="609"/>
      <c r="NIC81" s="609"/>
      <c r="NID81" s="609"/>
      <c r="NIE81" s="609"/>
      <c r="NIF81" s="609"/>
      <c r="NIG81" s="609"/>
      <c r="NIH81" s="609"/>
      <c r="NII81" s="609"/>
      <c r="NIJ81" s="609"/>
      <c r="NIK81" s="609"/>
      <c r="NIL81" s="609"/>
      <c r="NIM81" s="609"/>
      <c r="NIN81" s="609"/>
      <c r="NIO81" s="609"/>
      <c r="NIP81" s="609"/>
      <c r="NIQ81" s="609"/>
      <c r="NIR81" s="609"/>
      <c r="NIS81" s="609"/>
      <c r="NIT81" s="609"/>
      <c r="NIU81" s="609"/>
      <c r="NIV81" s="609"/>
      <c r="NIW81" s="609"/>
      <c r="NIX81" s="609"/>
      <c r="NIY81" s="609"/>
      <c r="NIZ81" s="609"/>
      <c r="NJA81" s="609"/>
      <c r="NJB81" s="609"/>
      <c r="NJC81" s="609"/>
      <c r="NJD81" s="609"/>
      <c r="NJE81" s="609"/>
      <c r="NJF81" s="609"/>
      <c r="NJG81" s="609"/>
      <c r="NJH81" s="609"/>
      <c r="NJI81" s="609"/>
      <c r="NJJ81" s="609"/>
      <c r="NJK81" s="609"/>
      <c r="NJL81" s="609"/>
      <c r="NJM81" s="609"/>
      <c r="NJN81" s="609"/>
      <c r="NJO81" s="609"/>
      <c r="NJP81" s="609"/>
      <c r="NJQ81" s="609"/>
      <c r="NJR81" s="609"/>
      <c r="NJS81" s="609"/>
      <c r="NJT81" s="609"/>
      <c r="NJU81" s="609"/>
      <c r="NJV81" s="609"/>
      <c r="NJW81" s="609"/>
      <c r="NJX81" s="609"/>
      <c r="NJY81" s="609"/>
      <c r="NJZ81" s="609"/>
      <c r="NKA81" s="609"/>
      <c r="NKB81" s="609"/>
      <c r="NKC81" s="609"/>
      <c r="NKD81" s="609"/>
      <c r="NKE81" s="609"/>
      <c r="NKF81" s="609"/>
      <c r="NKG81" s="609"/>
      <c r="NKH81" s="609"/>
      <c r="NKI81" s="609"/>
      <c r="NKJ81" s="609"/>
      <c r="NKK81" s="609"/>
      <c r="NKL81" s="609"/>
      <c r="NKM81" s="609"/>
      <c r="NKN81" s="609"/>
      <c r="NKO81" s="609"/>
      <c r="NKP81" s="609"/>
      <c r="NKQ81" s="609"/>
      <c r="NKR81" s="609"/>
      <c r="NKS81" s="609"/>
      <c r="NKT81" s="609"/>
      <c r="NKU81" s="609"/>
      <c r="NKV81" s="609"/>
      <c r="NKW81" s="609"/>
      <c r="NKX81" s="609"/>
      <c r="NKY81" s="609"/>
      <c r="NKZ81" s="609"/>
      <c r="NLA81" s="609"/>
      <c r="NLB81" s="609"/>
      <c r="NLC81" s="609"/>
      <c r="NLD81" s="609"/>
      <c r="NLE81" s="609"/>
      <c r="NLF81" s="609"/>
      <c r="NLG81" s="609"/>
      <c r="NLH81" s="609"/>
      <c r="NLI81" s="609"/>
      <c r="NLJ81" s="609"/>
      <c r="NLK81" s="609"/>
      <c r="NLL81" s="609"/>
      <c r="NLM81" s="609"/>
      <c r="NLN81" s="609"/>
      <c r="NLO81" s="609"/>
      <c r="NLP81" s="609"/>
      <c r="NLQ81" s="609"/>
      <c r="NLR81" s="609"/>
      <c r="NLS81" s="609"/>
      <c r="NLT81" s="609"/>
      <c r="NLU81" s="609"/>
      <c r="NLV81" s="609"/>
      <c r="NLW81" s="609"/>
      <c r="NLX81" s="609"/>
      <c r="NLY81" s="609"/>
      <c r="NLZ81" s="609"/>
      <c r="NMA81" s="609"/>
      <c r="NMB81" s="609"/>
      <c r="NMC81" s="609"/>
      <c r="NMD81" s="609"/>
      <c r="NME81" s="609"/>
      <c r="NMF81" s="609"/>
      <c r="NMG81" s="609"/>
      <c r="NMH81" s="609"/>
      <c r="NMI81" s="609"/>
      <c r="NMJ81" s="609"/>
      <c r="NMK81" s="609"/>
      <c r="NML81" s="609"/>
      <c r="NMM81" s="609"/>
      <c r="NMN81" s="609"/>
      <c r="NMO81" s="609"/>
      <c r="NMP81" s="609"/>
      <c r="NMQ81" s="609"/>
      <c r="NMR81" s="609"/>
      <c r="NMS81" s="609"/>
      <c r="NMT81" s="609"/>
      <c r="NMU81" s="609"/>
      <c r="NMV81" s="609"/>
      <c r="NMW81" s="609"/>
      <c r="NMX81" s="609"/>
      <c r="NMY81" s="609"/>
      <c r="NMZ81" s="609"/>
      <c r="NNA81" s="609"/>
      <c r="NNB81" s="609"/>
      <c r="NNC81" s="609"/>
      <c r="NND81" s="609"/>
      <c r="NNE81" s="609"/>
      <c r="NNF81" s="609"/>
      <c r="NNG81" s="609"/>
      <c r="NNH81" s="609"/>
      <c r="NNI81" s="609"/>
      <c r="NNJ81" s="609"/>
      <c r="NNK81" s="609"/>
      <c r="NNL81" s="609"/>
      <c r="NNM81" s="609"/>
      <c r="NNN81" s="609"/>
      <c r="NNO81" s="609"/>
      <c r="NNP81" s="609"/>
      <c r="NNQ81" s="609"/>
      <c r="NNR81" s="609"/>
      <c r="NNS81" s="609"/>
      <c r="NNT81" s="609"/>
      <c r="NNU81" s="609"/>
      <c r="NNV81" s="609"/>
      <c r="NNW81" s="609"/>
      <c r="NNX81" s="609"/>
      <c r="NNY81" s="609"/>
      <c r="NNZ81" s="609"/>
      <c r="NOA81" s="609"/>
      <c r="NOB81" s="609"/>
      <c r="NOC81" s="609"/>
      <c r="NOD81" s="609"/>
      <c r="NOE81" s="609"/>
      <c r="NOF81" s="609"/>
      <c r="NOG81" s="609"/>
      <c r="NOH81" s="609"/>
      <c r="NOI81" s="609"/>
      <c r="NOJ81" s="609"/>
      <c r="NOK81" s="609"/>
      <c r="NOL81" s="609"/>
      <c r="NOM81" s="609"/>
      <c r="NON81" s="609"/>
      <c r="NOO81" s="609"/>
      <c r="NOP81" s="609"/>
      <c r="NOQ81" s="609"/>
      <c r="NOR81" s="609"/>
      <c r="NOS81" s="609"/>
      <c r="NOT81" s="609"/>
      <c r="NOU81" s="609"/>
      <c r="NOV81" s="609"/>
      <c r="NOW81" s="609"/>
      <c r="NOX81" s="609"/>
      <c r="NOY81" s="609"/>
      <c r="NOZ81" s="609"/>
      <c r="NPA81" s="609"/>
      <c r="NPB81" s="609"/>
      <c r="NPC81" s="609"/>
      <c r="NPD81" s="609"/>
      <c r="NPE81" s="609"/>
      <c r="NPF81" s="609"/>
      <c r="NPG81" s="609"/>
      <c r="NPH81" s="609"/>
      <c r="NPI81" s="609"/>
      <c r="NPJ81" s="609"/>
      <c r="NPK81" s="609"/>
      <c r="NPL81" s="609"/>
      <c r="NPM81" s="609"/>
      <c r="NPN81" s="609"/>
      <c r="NPO81" s="609"/>
      <c r="NPP81" s="609"/>
      <c r="NPQ81" s="609"/>
      <c r="NPR81" s="609"/>
      <c r="NPS81" s="609"/>
      <c r="NPT81" s="609"/>
      <c r="NPU81" s="609"/>
      <c r="NPV81" s="609"/>
      <c r="NPW81" s="609"/>
      <c r="NPX81" s="609"/>
      <c r="NPY81" s="609"/>
      <c r="NPZ81" s="609"/>
      <c r="NQA81" s="609"/>
      <c r="NQB81" s="609"/>
      <c r="NQC81" s="609"/>
      <c r="NQD81" s="609"/>
      <c r="NQE81" s="609"/>
      <c r="NQF81" s="609"/>
      <c r="NQG81" s="609"/>
      <c r="NQH81" s="609"/>
      <c r="NQI81" s="609"/>
      <c r="NQJ81" s="609"/>
      <c r="NQK81" s="609"/>
      <c r="NQL81" s="609"/>
      <c r="NQM81" s="609"/>
      <c r="NQN81" s="609"/>
      <c r="NQO81" s="609"/>
      <c r="NQP81" s="609"/>
      <c r="NQQ81" s="609"/>
      <c r="NQR81" s="609"/>
      <c r="NQS81" s="609"/>
      <c r="NQT81" s="609"/>
      <c r="NQU81" s="609"/>
      <c r="NQV81" s="609"/>
      <c r="NQW81" s="609"/>
      <c r="NQX81" s="609"/>
      <c r="NQY81" s="609"/>
      <c r="NQZ81" s="609"/>
      <c r="NRA81" s="609"/>
      <c r="NRB81" s="609"/>
      <c r="NRC81" s="609"/>
      <c r="NRD81" s="609"/>
      <c r="NRE81" s="609"/>
      <c r="NRF81" s="609"/>
      <c r="NRG81" s="609"/>
      <c r="NRH81" s="609"/>
      <c r="NRI81" s="609"/>
      <c r="NRJ81" s="609"/>
      <c r="NRK81" s="609"/>
      <c r="NRL81" s="609"/>
      <c r="NRM81" s="609"/>
      <c r="NRN81" s="609"/>
      <c r="NRO81" s="609"/>
      <c r="NRP81" s="609"/>
      <c r="NRQ81" s="609"/>
      <c r="NRR81" s="609"/>
      <c r="NRS81" s="609"/>
      <c r="NRT81" s="609"/>
      <c r="NRU81" s="609"/>
      <c r="NRV81" s="609"/>
      <c r="NRW81" s="609"/>
      <c r="NRX81" s="609"/>
      <c r="NRY81" s="609"/>
      <c r="NRZ81" s="609"/>
      <c r="NSA81" s="609"/>
      <c r="NSB81" s="609"/>
      <c r="NSC81" s="609"/>
      <c r="NSD81" s="609"/>
      <c r="NSE81" s="609"/>
      <c r="NSF81" s="609"/>
      <c r="NSG81" s="609"/>
      <c r="NSH81" s="609"/>
      <c r="NSI81" s="609"/>
      <c r="NSJ81" s="609"/>
      <c r="NSK81" s="609"/>
      <c r="NSL81" s="609"/>
      <c r="NSM81" s="609"/>
      <c r="NSN81" s="609"/>
      <c r="NSO81" s="609"/>
      <c r="NSP81" s="609"/>
      <c r="NSQ81" s="609"/>
      <c r="NSR81" s="609"/>
      <c r="NSS81" s="609"/>
      <c r="NST81" s="609"/>
      <c r="NSU81" s="609"/>
      <c r="NSV81" s="609"/>
      <c r="NSW81" s="609"/>
      <c r="NSX81" s="609"/>
      <c r="NSY81" s="609"/>
      <c r="NSZ81" s="609"/>
      <c r="NTA81" s="609"/>
      <c r="NTB81" s="609"/>
      <c r="NTC81" s="609"/>
      <c r="NTD81" s="609"/>
      <c r="NTE81" s="609"/>
      <c r="NTF81" s="609"/>
      <c r="NTG81" s="609"/>
      <c r="NTH81" s="609"/>
      <c r="NTI81" s="609"/>
      <c r="NTJ81" s="609"/>
      <c r="NTK81" s="609"/>
      <c r="NTL81" s="609"/>
      <c r="NTM81" s="609"/>
      <c r="NTN81" s="609"/>
      <c r="NTO81" s="609"/>
      <c r="NTP81" s="609"/>
      <c r="NTQ81" s="609"/>
      <c r="NTR81" s="609"/>
      <c r="NTS81" s="609"/>
      <c r="NTT81" s="609"/>
      <c r="NTU81" s="609"/>
      <c r="NTV81" s="609"/>
      <c r="NTW81" s="609"/>
      <c r="NTX81" s="609"/>
      <c r="NTY81" s="609"/>
      <c r="NTZ81" s="609"/>
      <c r="NUA81" s="609"/>
      <c r="NUB81" s="609"/>
      <c r="NUC81" s="609"/>
      <c r="NUD81" s="609"/>
      <c r="NUE81" s="609"/>
      <c r="NUF81" s="609"/>
      <c r="NUG81" s="609"/>
      <c r="NUH81" s="609"/>
      <c r="NUI81" s="609"/>
      <c r="NUJ81" s="609"/>
      <c r="NUK81" s="609"/>
      <c r="NUL81" s="609"/>
      <c r="NUM81" s="609"/>
      <c r="NUN81" s="609"/>
      <c r="NUO81" s="609"/>
      <c r="NUP81" s="609"/>
      <c r="NUQ81" s="609"/>
      <c r="NUR81" s="609"/>
      <c r="NUS81" s="609"/>
      <c r="NUT81" s="609"/>
      <c r="NUU81" s="609"/>
      <c r="NUV81" s="609"/>
      <c r="NUW81" s="609"/>
      <c r="NUX81" s="609"/>
      <c r="NUY81" s="609"/>
      <c r="NUZ81" s="609"/>
      <c r="NVA81" s="609"/>
      <c r="NVB81" s="609"/>
      <c r="NVC81" s="609"/>
      <c r="NVD81" s="609"/>
      <c r="NVE81" s="609"/>
      <c r="NVF81" s="609"/>
      <c r="NVG81" s="609"/>
      <c r="NVH81" s="609"/>
      <c r="NVI81" s="609"/>
      <c r="NVJ81" s="609"/>
      <c r="NVK81" s="609"/>
      <c r="NVL81" s="609"/>
      <c r="NVM81" s="609"/>
      <c r="NVN81" s="609"/>
      <c r="NVO81" s="609"/>
      <c r="NVP81" s="609"/>
      <c r="NVQ81" s="609"/>
      <c r="NVR81" s="609"/>
      <c r="NVS81" s="609"/>
      <c r="NVT81" s="609"/>
      <c r="NVU81" s="609"/>
      <c r="NVV81" s="609"/>
      <c r="NVW81" s="609"/>
      <c r="NVX81" s="609"/>
      <c r="NVY81" s="609"/>
      <c r="NVZ81" s="609"/>
      <c r="NWA81" s="609"/>
      <c r="NWB81" s="609"/>
      <c r="NWC81" s="609"/>
      <c r="NWD81" s="609"/>
      <c r="NWE81" s="609"/>
      <c r="NWF81" s="609"/>
      <c r="NWG81" s="609"/>
      <c r="NWH81" s="609"/>
      <c r="NWI81" s="609"/>
      <c r="NWJ81" s="609"/>
      <c r="NWK81" s="609"/>
      <c r="NWL81" s="609"/>
      <c r="NWM81" s="609"/>
      <c r="NWN81" s="609"/>
      <c r="NWO81" s="609"/>
      <c r="NWP81" s="609"/>
      <c r="NWQ81" s="609"/>
      <c r="NWR81" s="609"/>
      <c r="NWS81" s="609"/>
      <c r="NWT81" s="609"/>
      <c r="NWU81" s="609"/>
      <c r="NWV81" s="609"/>
      <c r="NWW81" s="609"/>
      <c r="NWX81" s="609"/>
      <c r="NWY81" s="609"/>
      <c r="NWZ81" s="609"/>
      <c r="NXA81" s="609"/>
      <c r="NXB81" s="609"/>
      <c r="NXC81" s="609"/>
      <c r="NXD81" s="609"/>
      <c r="NXE81" s="609"/>
      <c r="NXF81" s="609"/>
      <c r="NXG81" s="609"/>
      <c r="NXH81" s="609"/>
      <c r="NXI81" s="609"/>
      <c r="NXJ81" s="609"/>
      <c r="NXK81" s="609"/>
      <c r="NXL81" s="609"/>
      <c r="NXM81" s="609"/>
      <c r="NXN81" s="609"/>
      <c r="NXO81" s="609"/>
      <c r="NXP81" s="609"/>
      <c r="NXQ81" s="609"/>
      <c r="NXR81" s="609"/>
      <c r="NXS81" s="609"/>
      <c r="NXT81" s="609"/>
      <c r="NXU81" s="609"/>
      <c r="NXV81" s="609"/>
      <c r="NXW81" s="609"/>
      <c r="NXX81" s="609"/>
      <c r="NXY81" s="609"/>
      <c r="NXZ81" s="609"/>
      <c r="NYA81" s="609"/>
      <c r="NYB81" s="609"/>
      <c r="NYC81" s="609"/>
      <c r="NYD81" s="609"/>
      <c r="NYE81" s="609"/>
      <c r="NYF81" s="609"/>
      <c r="NYG81" s="609"/>
      <c r="NYH81" s="609"/>
      <c r="NYI81" s="609"/>
      <c r="NYJ81" s="609"/>
      <c r="NYK81" s="609"/>
      <c r="NYL81" s="609"/>
      <c r="NYM81" s="609"/>
      <c r="NYN81" s="609"/>
      <c r="NYO81" s="609"/>
      <c r="NYP81" s="609"/>
      <c r="NYQ81" s="609"/>
      <c r="NYR81" s="609"/>
      <c r="NYS81" s="609"/>
      <c r="NYT81" s="609"/>
      <c r="NYU81" s="609"/>
      <c r="NYV81" s="609"/>
      <c r="NYW81" s="609"/>
      <c r="NYX81" s="609"/>
      <c r="NYY81" s="609"/>
      <c r="NYZ81" s="609"/>
      <c r="NZA81" s="609"/>
      <c r="NZB81" s="609"/>
      <c r="NZC81" s="609"/>
      <c r="NZD81" s="609"/>
      <c r="NZE81" s="609"/>
      <c r="NZF81" s="609"/>
      <c r="NZG81" s="609"/>
      <c r="NZH81" s="609"/>
      <c r="NZI81" s="609"/>
      <c r="NZJ81" s="609"/>
      <c r="NZK81" s="609"/>
      <c r="NZL81" s="609"/>
      <c r="NZM81" s="609"/>
      <c r="NZN81" s="609"/>
      <c r="NZO81" s="609"/>
      <c r="NZP81" s="609"/>
      <c r="NZQ81" s="609"/>
      <c r="NZR81" s="609"/>
      <c r="NZS81" s="609"/>
      <c r="NZT81" s="609"/>
      <c r="NZU81" s="609"/>
      <c r="NZV81" s="609"/>
      <c r="NZW81" s="609"/>
      <c r="NZX81" s="609"/>
      <c r="NZY81" s="609"/>
      <c r="NZZ81" s="609"/>
      <c r="OAA81" s="609"/>
      <c r="OAB81" s="609"/>
      <c r="OAC81" s="609"/>
      <c r="OAD81" s="609"/>
      <c r="OAE81" s="609"/>
      <c r="OAF81" s="609"/>
      <c r="OAG81" s="609"/>
      <c r="OAH81" s="609"/>
      <c r="OAI81" s="609"/>
      <c r="OAJ81" s="609"/>
      <c r="OAK81" s="609"/>
      <c r="OAL81" s="609"/>
      <c r="OAM81" s="609"/>
      <c r="OAN81" s="609"/>
      <c r="OAO81" s="609"/>
      <c r="OAP81" s="609"/>
      <c r="OAQ81" s="609"/>
      <c r="OAR81" s="609"/>
      <c r="OAS81" s="609"/>
      <c r="OAT81" s="609"/>
      <c r="OAU81" s="609"/>
      <c r="OAV81" s="609"/>
      <c r="OAW81" s="609"/>
      <c r="OAX81" s="609"/>
      <c r="OAY81" s="609"/>
      <c r="OAZ81" s="609"/>
      <c r="OBA81" s="609"/>
      <c r="OBB81" s="609"/>
      <c r="OBC81" s="609"/>
      <c r="OBD81" s="609"/>
      <c r="OBE81" s="609"/>
      <c r="OBF81" s="609"/>
      <c r="OBG81" s="609"/>
      <c r="OBH81" s="609"/>
      <c r="OBI81" s="609"/>
      <c r="OBJ81" s="609"/>
      <c r="OBK81" s="609"/>
      <c r="OBL81" s="609"/>
      <c r="OBM81" s="609"/>
      <c r="OBN81" s="609"/>
      <c r="OBO81" s="609"/>
      <c r="OBP81" s="609"/>
      <c r="OBQ81" s="609"/>
      <c r="OBR81" s="609"/>
      <c r="OBS81" s="609"/>
      <c r="OBT81" s="609"/>
      <c r="OBU81" s="609"/>
      <c r="OBV81" s="609"/>
      <c r="OBW81" s="609"/>
      <c r="OBX81" s="609"/>
      <c r="OBY81" s="609"/>
      <c r="OBZ81" s="609"/>
      <c r="OCA81" s="609"/>
      <c r="OCB81" s="609"/>
      <c r="OCC81" s="609"/>
      <c r="OCD81" s="609"/>
      <c r="OCE81" s="609"/>
      <c r="OCF81" s="609"/>
      <c r="OCG81" s="609"/>
      <c r="OCH81" s="609"/>
      <c r="OCI81" s="609"/>
      <c r="OCJ81" s="609"/>
      <c r="OCK81" s="609"/>
      <c r="OCL81" s="609"/>
      <c r="OCM81" s="609"/>
      <c r="OCN81" s="609"/>
      <c r="OCO81" s="609"/>
      <c r="OCP81" s="609"/>
      <c r="OCQ81" s="609"/>
      <c r="OCR81" s="609"/>
      <c r="OCS81" s="609"/>
      <c r="OCT81" s="609"/>
      <c r="OCU81" s="609"/>
      <c r="OCV81" s="609"/>
      <c r="OCW81" s="609"/>
      <c r="OCX81" s="609"/>
      <c r="OCY81" s="609"/>
      <c r="OCZ81" s="609"/>
      <c r="ODA81" s="609"/>
      <c r="ODB81" s="609"/>
      <c r="ODC81" s="609"/>
      <c r="ODD81" s="609"/>
      <c r="ODE81" s="609"/>
      <c r="ODF81" s="609"/>
      <c r="ODG81" s="609"/>
      <c r="ODH81" s="609"/>
      <c r="ODI81" s="609"/>
      <c r="ODJ81" s="609"/>
      <c r="ODK81" s="609"/>
      <c r="ODL81" s="609"/>
      <c r="ODM81" s="609"/>
      <c r="ODN81" s="609"/>
      <c r="ODO81" s="609"/>
      <c r="ODP81" s="609"/>
      <c r="ODQ81" s="609"/>
      <c r="ODR81" s="609"/>
      <c r="ODS81" s="609"/>
      <c r="ODT81" s="609"/>
      <c r="ODU81" s="609"/>
      <c r="ODV81" s="609"/>
      <c r="ODW81" s="609"/>
      <c r="ODX81" s="609"/>
      <c r="ODY81" s="609"/>
      <c r="ODZ81" s="609"/>
      <c r="OEA81" s="609"/>
      <c r="OEB81" s="609"/>
      <c r="OEC81" s="609"/>
      <c r="OED81" s="609"/>
      <c r="OEE81" s="609"/>
      <c r="OEF81" s="609"/>
      <c r="OEG81" s="609"/>
      <c r="OEH81" s="609"/>
      <c r="OEI81" s="609"/>
      <c r="OEJ81" s="609"/>
      <c r="OEK81" s="609"/>
      <c r="OEL81" s="609"/>
      <c r="OEM81" s="609"/>
      <c r="OEN81" s="609"/>
      <c r="OEO81" s="609"/>
      <c r="OEP81" s="609"/>
      <c r="OEQ81" s="609"/>
      <c r="OER81" s="609"/>
      <c r="OES81" s="609"/>
      <c r="OET81" s="609"/>
      <c r="OEU81" s="609"/>
      <c r="OEV81" s="609"/>
      <c r="OEW81" s="609"/>
      <c r="OEX81" s="609"/>
      <c r="OEY81" s="609"/>
      <c r="OEZ81" s="609"/>
      <c r="OFA81" s="609"/>
      <c r="OFB81" s="609"/>
      <c r="OFC81" s="609"/>
      <c r="OFD81" s="609"/>
      <c r="OFE81" s="609"/>
      <c r="OFF81" s="609"/>
      <c r="OFG81" s="609"/>
      <c r="OFH81" s="609"/>
      <c r="OFI81" s="609"/>
      <c r="OFJ81" s="609"/>
      <c r="OFK81" s="609"/>
      <c r="OFL81" s="609"/>
      <c r="OFM81" s="609"/>
      <c r="OFN81" s="609"/>
      <c r="OFO81" s="609"/>
      <c r="OFP81" s="609"/>
      <c r="OFQ81" s="609"/>
      <c r="OFR81" s="609"/>
      <c r="OFS81" s="609"/>
      <c r="OFT81" s="609"/>
      <c r="OFU81" s="609"/>
      <c r="OFV81" s="609"/>
      <c r="OFW81" s="609"/>
      <c r="OFX81" s="609"/>
      <c r="OFY81" s="609"/>
      <c r="OFZ81" s="609"/>
      <c r="OGA81" s="609"/>
      <c r="OGB81" s="609"/>
      <c r="OGC81" s="609"/>
      <c r="OGD81" s="609"/>
      <c r="OGE81" s="609"/>
      <c r="OGF81" s="609"/>
      <c r="OGG81" s="609"/>
      <c r="OGH81" s="609"/>
      <c r="OGI81" s="609"/>
      <c r="OGJ81" s="609"/>
      <c r="OGK81" s="609"/>
      <c r="OGL81" s="609"/>
      <c r="OGM81" s="609"/>
      <c r="OGN81" s="609"/>
      <c r="OGO81" s="609"/>
      <c r="OGP81" s="609"/>
      <c r="OGQ81" s="609"/>
      <c r="OGR81" s="609"/>
      <c r="OGS81" s="609"/>
      <c r="OGT81" s="609"/>
      <c r="OGU81" s="609"/>
      <c r="OGV81" s="609"/>
      <c r="OGW81" s="609"/>
      <c r="OGX81" s="609"/>
      <c r="OGY81" s="609"/>
      <c r="OGZ81" s="609"/>
      <c r="OHA81" s="609"/>
      <c r="OHB81" s="609"/>
      <c r="OHC81" s="609"/>
      <c r="OHD81" s="609"/>
      <c r="OHE81" s="609"/>
      <c r="OHF81" s="609"/>
      <c r="OHG81" s="609"/>
      <c r="OHH81" s="609"/>
      <c r="OHI81" s="609"/>
      <c r="OHJ81" s="609"/>
      <c r="OHK81" s="609"/>
      <c r="OHL81" s="609"/>
      <c r="OHM81" s="609"/>
      <c r="OHN81" s="609"/>
      <c r="OHO81" s="609"/>
      <c r="OHP81" s="609"/>
      <c r="OHQ81" s="609"/>
      <c r="OHR81" s="609"/>
      <c r="OHS81" s="609"/>
      <c r="OHT81" s="609"/>
      <c r="OHU81" s="609"/>
      <c r="OHV81" s="609"/>
      <c r="OHW81" s="609"/>
      <c r="OHX81" s="609"/>
      <c r="OHY81" s="609"/>
      <c r="OHZ81" s="609"/>
      <c r="OIA81" s="609"/>
      <c r="OIB81" s="609"/>
      <c r="OIC81" s="609"/>
      <c r="OID81" s="609"/>
      <c r="OIE81" s="609"/>
      <c r="OIF81" s="609"/>
      <c r="OIG81" s="609"/>
      <c r="OIH81" s="609"/>
      <c r="OII81" s="609"/>
      <c r="OIJ81" s="609"/>
      <c r="OIK81" s="609"/>
      <c r="OIL81" s="609"/>
      <c r="OIM81" s="609"/>
      <c r="OIN81" s="609"/>
      <c r="OIO81" s="609"/>
      <c r="OIP81" s="609"/>
      <c r="OIQ81" s="609"/>
      <c r="OIR81" s="609"/>
      <c r="OIS81" s="609"/>
      <c r="OIT81" s="609"/>
      <c r="OIU81" s="609"/>
      <c r="OIV81" s="609"/>
      <c r="OIW81" s="609"/>
      <c r="OIX81" s="609"/>
      <c r="OIY81" s="609"/>
      <c r="OIZ81" s="609"/>
      <c r="OJA81" s="609"/>
      <c r="OJB81" s="609"/>
      <c r="OJC81" s="609"/>
      <c r="OJD81" s="609"/>
      <c r="OJE81" s="609"/>
      <c r="OJF81" s="609"/>
      <c r="OJG81" s="609"/>
      <c r="OJH81" s="609"/>
      <c r="OJI81" s="609"/>
      <c r="OJJ81" s="609"/>
      <c r="OJK81" s="609"/>
      <c r="OJL81" s="609"/>
      <c r="OJM81" s="609"/>
      <c r="OJN81" s="609"/>
      <c r="OJO81" s="609"/>
      <c r="OJP81" s="609"/>
      <c r="OJQ81" s="609"/>
      <c r="OJR81" s="609"/>
      <c r="OJS81" s="609"/>
      <c r="OJT81" s="609"/>
      <c r="OJU81" s="609"/>
      <c r="OJV81" s="609"/>
      <c r="OJW81" s="609"/>
      <c r="OJX81" s="609"/>
      <c r="OJY81" s="609"/>
      <c r="OJZ81" s="609"/>
      <c r="OKA81" s="609"/>
      <c r="OKB81" s="609"/>
      <c r="OKC81" s="609"/>
      <c r="OKD81" s="609"/>
      <c r="OKE81" s="609"/>
      <c r="OKF81" s="609"/>
      <c r="OKG81" s="609"/>
      <c r="OKH81" s="609"/>
      <c r="OKI81" s="609"/>
      <c r="OKJ81" s="609"/>
      <c r="OKK81" s="609"/>
      <c r="OKL81" s="609"/>
      <c r="OKM81" s="609"/>
      <c r="OKN81" s="609"/>
      <c r="OKO81" s="609"/>
      <c r="OKP81" s="609"/>
      <c r="OKQ81" s="609"/>
      <c r="OKR81" s="609"/>
      <c r="OKS81" s="609"/>
      <c r="OKT81" s="609"/>
      <c r="OKU81" s="609"/>
      <c r="OKV81" s="609"/>
      <c r="OKW81" s="609"/>
      <c r="OKX81" s="609"/>
      <c r="OKY81" s="609"/>
      <c r="OKZ81" s="609"/>
      <c r="OLA81" s="609"/>
      <c r="OLB81" s="609"/>
      <c r="OLC81" s="609"/>
      <c r="OLD81" s="609"/>
      <c r="OLE81" s="609"/>
      <c r="OLF81" s="609"/>
      <c r="OLG81" s="609"/>
      <c r="OLH81" s="609"/>
      <c r="OLI81" s="609"/>
      <c r="OLJ81" s="609"/>
      <c r="OLK81" s="609"/>
      <c r="OLL81" s="609"/>
      <c r="OLM81" s="609"/>
      <c r="OLN81" s="609"/>
      <c r="OLO81" s="609"/>
      <c r="OLP81" s="609"/>
      <c r="OLQ81" s="609"/>
      <c r="OLR81" s="609"/>
      <c r="OLS81" s="609"/>
      <c r="OLT81" s="609"/>
      <c r="OLU81" s="609"/>
      <c r="OLV81" s="609"/>
      <c r="OLW81" s="609"/>
      <c r="OLX81" s="609"/>
      <c r="OLY81" s="609"/>
      <c r="OLZ81" s="609"/>
      <c r="OMA81" s="609"/>
      <c r="OMB81" s="609"/>
      <c r="OMC81" s="609"/>
      <c r="OMD81" s="609"/>
      <c r="OME81" s="609"/>
      <c r="OMF81" s="609"/>
      <c r="OMG81" s="609"/>
      <c r="OMH81" s="609"/>
      <c r="OMI81" s="609"/>
      <c r="OMJ81" s="609"/>
      <c r="OMK81" s="609"/>
      <c r="OML81" s="609"/>
      <c r="OMM81" s="609"/>
      <c r="OMN81" s="609"/>
      <c r="OMO81" s="609"/>
      <c r="OMP81" s="609"/>
      <c r="OMQ81" s="609"/>
      <c r="OMR81" s="609"/>
      <c r="OMS81" s="609"/>
      <c r="OMT81" s="609"/>
      <c r="OMU81" s="609"/>
      <c r="OMV81" s="609"/>
      <c r="OMW81" s="609"/>
      <c r="OMX81" s="609"/>
      <c r="OMY81" s="609"/>
      <c r="OMZ81" s="609"/>
      <c r="ONA81" s="609"/>
      <c r="ONB81" s="609"/>
      <c r="ONC81" s="609"/>
      <c r="OND81" s="609"/>
      <c r="ONE81" s="609"/>
      <c r="ONF81" s="609"/>
      <c r="ONG81" s="609"/>
      <c r="ONH81" s="609"/>
      <c r="ONI81" s="609"/>
      <c r="ONJ81" s="609"/>
      <c r="ONK81" s="609"/>
      <c r="ONL81" s="609"/>
      <c r="ONM81" s="609"/>
      <c r="ONN81" s="609"/>
      <c r="ONO81" s="609"/>
      <c r="ONP81" s="609"/>
      <c r="ONQ81" s="609"/>
      <c r="ONR81" s="609"/>
      <c r="ONS81" s="609"/>
      <c r="ONT81" s="609"/>
      <c r="ONU81" s="609"/>
      <c r="ONV81" s="609"/>
      <c r="ONW81" s="609"/>
      <c r="ONX81" s="609"/>
      <c r="ONY81" s="609"/>
      <c r="ONZ81" s="609"/>
      <c r="OOA81" s="609"/>
      <c r="OOB81" s="609"/>
      <c r="OOC81" s="609"/>
      <c r="OOD81" s="609"/>
      <c r="OOE81" s="609"/>
      <c r="OOF81" s="609"/>
      <c r="OOG81" s="609"/>
      <c r="OOH81" s="609"/>
      <c r="OOI81" s="609"/>
      <c r="OOJ81" s="609"/>
      <c r="OOK81" s="609"/>
      <c r="OOL81" s="609"/>
      <c r="OOM81" s="609"/>
      <c r="OON81" s="609"/>
      <c r="OOO81" s="609"/>
      <c r="OOP81" s="609"/>
      <c r="OOQ81" s="609"/>
      <c r="OOR81" s="609"/>
      <c r="OOS81" s="609"/>
      <c r="OOT81" s="609"/>
      <c r="OOU81" s="609"/>
      <c r="OOV81" s="609"/>
      <c r="OOW81" s="609"/>
      <c r="OOX81" s="609"/>
      <c r="OOY81" s="609"/>
      <c r="OOZ81" s="609"/>
      <c r="OPA81" s="609"/>
      <c r="OPB81" s="609"/>
      <c r="OPC81" s="609"/>
      <c r="OPD81" s="609"/>
      <c r="OPE81" s="609"/>
      <c r="OPF81" s="609"/>
      <c r="OPG81" s="609"/>
      <c r="OPH81" s="609"/>
      <c r="OPI81" s="609"/>
      <c r="OPJ81" s="609"/>
      <c r="OPK81" s="609"/>
      <c r="OPL81" s="609"/>
      <c r="OPM81" s="609"/>
      <c r="OPN81" s="609"/>
      <c r="OPO81" s="609"/>
      <c r="OPP81" s="609"/>
      <c r="OPQ81" s="609"/>
      <c r="OPR81" s="609"/>
      <c r="OPS81" s="609"/>
      <c r="OPT81" s="609"/>
      <c r="OPU81" s="609"/>
      <c r="OPV81" s="609"/>
      <c r="OPW81" s="609"/>
      <c r="OPX81" s="609"/>
      <c r="OPY81" s="609"/>
      <c r="OPZ81" s="609"/>
      <c r="OQA81" s="609"/>
      <c r="OQB81" s="609"/>
      <c r="OQC81" s="609"/>
      <c r="OQD81" s="609"/>
      <c r="OQE81" s="609"/>
      <c r="OQF81" s="609"/>
      <c r="OQG81" s="609"/>
      <c r="OQH81" s="609"/>
      <c r="OQI81" s="609"/>
      <c r="OQJ81" s="609"/>
      <c r="OQK81" s="609"/>
      <c r="OQL81" s="609"/>
      <c r="OQM81" s="609"/>
      <c r="OQN81" s="609"/>
      <c r="OQO81" s="609"/>
      <c r="OQP81" s="609"/>
      <c r="OQQ81" s="609"/>
      <c r="OQR81" s="609"/>
      <c r="OQS81" s="609"/>
      <c r="OQT81" s="609"/>
      <c r="OQU81" s="609"/>
      <c r="OQV81" s="609"/>
      <c r="OQW81" s="609"/>
      <c r="OQX81" s="609"/>
      <c r="OQY81" s="609"/>
      <c r="OQZ81" s="609"/>
      <c r="ORA81" s="609"/>
      <c r="ORB81" s="609"/>
      <c r="ORC81" s="609"/>
      <c r="ORD81" s="609"/>
      <c r="ORE81" s="609"/>
      <c r="ORF81" s="609"/>
      <c r="ORG81" s="609"/>
      <c r="ORH81" s="609"/>
      <c r="ORI81" s="609"/>
      <c r="ORJ81" s="609"/>
      <c r="ORK81" s="609"/>
      <c r="ORL81" s="609"/>
      <c r="ORM81" s="609"/>
      <c r="ORN81" s="609"/>
      <c r="ORO81" s="609"/>
      <c r="ORP81" s="609"/>
      <c r="ORQ81" s="609"/>
      <c r="ORR81" s="609"/>
      <c r="ORS81" s="609"/>
      <c r="ORT81" s="609"/>
      <c r="ORU81" s="609"/>
      <c r="ORV81" s="609"/>
      <c r="ORW81" s="609"/>
      <c r="ORX81" s="609"/>
      <c r="ORY81" s="609"/>
      <c r="ORZ81" s="609"/>
      <c r="OSA81" s="609"/>
      <c r="OSB81" s="609"/>
      <c r="OSC81" s="609"/>
      <c r="OSD81" s="609"/>
      <c r="OSE81" s="609"/>
      <c r="OSF81" s="609"/>
      <c r="OSG81" s="609"/>
      <c r="OSH81" s="609"/>
      <c r="OSI81" s="609"/>
      <c r="OSJ81" s="609"/>
      <c r="OSK81" s="609"/>
      <c r="OSL81" s="609"/>
      <c r="OSM81" s="609"/>
      <c r="OSN81" s="609"/>
      <c r="OSO81" s="609"/>
      <c r="OSP81" s="609"/>
      <c r="OSQ81" s="609"/>
      <c r="OSR81" s="609"/>
      <c r="OSS81" s="609"/>
      <c r="OST81" s="609"/>
      <c r="OSU81" s="609"/>
      <c r="OSV81" s="609"/>
      <c r="OSW81" s="609"/>
      <c r="OSX81" s="609"/>
      <c r="OSY81" s="609"/>
      <c r="OSZ81" s="609"/>
      <c r="OTA81" s="609"/>
      <c r="OTB81" s="609"/>
      <c r="OTC81" s="609"/>
      <c r="OTD81" s="609"/>
      <c r="OTE81" s="609"/>
      <c r="OTF81" s="609"/>
      <c r="OTG81" s="609"/>
      <c r="OTH81" s="609"/>
      <c r="OTI81" s="609"/>
      <c r="OTJ81" s="609"/>
      <c r="OTK81" s="609"/>
      <c r="OTL81" s="609"/>
      <c r="OTM81" s="609"/>
      <c r="OTN81" s="609"/>
      <c r="OTO81" s="609"/>
      <c r="OTP81" s="609"/>
      <c r="OTQ81" s="609"/>
      <c r="OTR81" s="609"/>
      <c r="OTS81" s="609"/>
      <c r="OTT81" s="609"/>
      <c r="OTU81" s="609"/>
      <c r="OTV81" s="609"/>
      <c r="OTW81" s="609"/>
      <c r="OTX81" s="609"/>
      <c r="OTY81" s="609"/>
      <c r="OTZ81" s="609"/>
      <c r="OUA81" s="609"/>
      <c r="OUB81" s="609"/>
      <c r="OUC81" s="609"/>
      <c r="OUD81" s="609"/>
      <c r="OUE81" s="609"/>
      <c r="OUF81" s="609"/>
      <c r="OUG81" s="609"/>
      <c r="OUH81" s="609"/>
      <c r="OUI81" s="609"/>
      <c r="OUJ81" s="609"/>
      <c r="OUK81" s="609"/>
      <c r="OUL81" s="609"/>
      <c r="OUM81" s="609"/>
      <c r="OUN81" s="609"/>
      <c r="OUO81" s="609"/>
      <c r="OUP81" s="609"/>
      <c r="OUQ81" s="609"/>
      <c r="OUR81" s="609"/>
      <c r="OUS81" s="609"/>
      <c r="OUT81" s="609"/>
      <c r="OUU81" s="609"/>
      <c r="OUV81" s="609"/>
      <c r="OUW81" s="609"/>
      <c r="OUX81" s="609"/>
      <c r="OUY81" s="609"/>
      <c r="OUZ81" s="609"/>
      <c r="OVA81" s="609"/>
      <c r="OVB81" s="609"/>
      <c r="OVC81" s="609"/>
      <c r="OVD81" s="609"/>
      <c r="OVE81" s="609"/>
      <c r="OVF81" s="609"/>
      <c r="OVG81" s="609"/>
      <c r="OVH81" s="609"/>
      <c r="OVI81" s="609"/>
      <c r="OVJ81" s="609"/>
      <c r="OVK81" s="609"/>
      <c r="OVL81" s="609"/>
      <c r="OVM81" s="609"/>
      <c r="OVN81" s="609"/>
      <c r="OVO81" s="609"/>
      <c r="OVP81" s="609"/>
      <c r="OVQ81" s="609"/>
      <c r="OVR81" s="609"/>
      <c r="OVS81" s="609"/>
      <c r="OVT81" s="609"/>
      <c r="OVU81" s="609"/>
      <c r="OVV81" s="609"/>
      <c r="OVW81" s="609"/>
      <c r="OVX81" s="609"/>
      <c r="OVY81" s="609"/>
      <c r="OVZ81" s="609"/>
      <c r="OWA81" s="609"/>
      <c r="OWB81" s="609"/>
      <c r="OWC81" s="609"/>
      <c r="OWD81" s="609"/>
      <c r="OWE81" s="609"/>
      <c r="OWF81" s="609"/>
      <c r="OWG81" s="609"/>
      <c r="OWH81" s="609"/>
      <c r="OWI81" s="609"/>
      <c r="OWJ81" s="609"/>
      <c r="OWK81" s="609"/>
      <c r="OWL81" s="609"/>
      <c r="OWM81" s="609"/>
      <c r="OWN81" s="609"/>
      <c r="OWO81" s="609"/>
      <c r="OWP81" s="609"/>
      <c r="OWQ81" s="609"/>
      <c r="OWR81" s="609"/>
      <c r="OWS81" s="609"/>
      <c r="OWT81" s="609"/>
      <c r="OWU81" s="609"/>
      <c r="OWV81" s="609"/>
      <c r="OWW81" s="609"/>
      <c r="OWX81" s="609"/>
      <c r="OWY81" s="609"/>
      <c r="OWZ81" s="609"/>
      <c r="OXA81" s="609"/>
      <c r="OXB81" s="609"/>
      <c r="OXC81" s="609"/>
      <c r="OXD81" s="609"/>
      <c r="OXE81" s="609"/>
      <c r="OXF81" s="609"/>
      <c r="OXG81" s="609"/>
      <c r="OXH81" s="609"/>
      <c r="OXI81" s="609"/>
      <c r="OXJ81" s="609"/>
      <c r="OXK81" s="609"/>
      <c r="OXL81" s="609"/>
      <c r="OXM81" s="609"/>
      <c r="OXN81" s="609"/>
      <c r="OXO81" s="609"/>
      <c r="OXP81" s="609"/>
      <c r="OXQ81" s="609"/>
      <c r="OXR81" s="609"/>
      <c r="OXS81" s="609"/>
      <c r="OXT81" s="609"/>
      <c r="OXU81" s="609"/>
      <c r="OXV81" s="609"/>
      <c r="OXW81" s="609"/>
      <c r="OXX81" s="609"/>
      <c r="OXY81" s="609"/>
      <c r="OXZ81" s="609"/>
      <c r="OYA81" s="609"/>
      <c r="OYB81" s="609"/>
      <c r="OYC81" s="609"/>
      <c r="OYD81" s="609"/>
      <c r="OYE81" s="609"/>
      <c r="OYF81" s="609"/>
      <c r="OYG81" s="609"/>
      <c r="OYH81" s="609"/>
      <c r="OYI81" s="609"/>
      <c r="OYJ81" s="609"/>
      <c r="OYK81" s="609"/>
      <c r="OYL81" s="609"/>
      <c r="OYM81" s="609"/>
      <c r="OYN81" s="609"/>
      <c r="OYO81" s="609"/>
      <c r="OYP81" s="609"/>
      <c r="OYQ81" s="609"/>
      <c r="OYR81" s="609"/>
      <c r="OYS81" s="609"/>
      <c r="OYT81" s="609"/>
      <c r="OYU81" s="609"/>
      <c r="OYV81" s="609"/>
      <c r="OYW81" s="609"/>
      <c r="OYX81" s="609"/>
      <c r="OYY81" s="609"/>
      <c r="OYZ81" s="609"/>
      <c r="OZA81" s="609"/>
      <c r="OZB81" s="609"/>
      <c r="OZC81" s="609"/>
      <c r="OZD81" s="609"/>
      <c r="OZE81" s="609"/>
      <c r="OZF81" s="609"/>
      <c r="OZG81" s="609"/>
      <c r="OZH81" s="609"/>
      <c r="OZI81" s="609"/>
      <c r="OZJ81" s="609"/>
      <c r="OZK81" s="609"/>
      <c r="OZL81" s="609"/>
      <c r="OZM81" s="609"/>
      <c r="OZN81" s="609"/>
      <c r="OZO81" s="609"/>
      <c r="OZP81" s="609"/>
      <c r="OZQ81" s="609"/>
      <c r="OZR81" s="609"/>
      <c r="OZS81" s="609"/>
      <c r="OZT81" s="609"/>
      <c r="OZU81" s="609"/>
      <c r="OZV81" s="609"/>
      <c r="OZW81" s="609"/>
      <c r="OZX81" s="609"/>
      <c r="OZY81" s="609"/>
      <c r="OZZ81" s="609"/>
      <c r="PAA81" s="609"/>
      <c r="PAB81" s="609"/>
      <c r="PAC81" s="609"/>
      <c r="PAD81" s="609"/>
      <c r="PAE81" s="609"/>
      <c r="PAF81" s="609"/>
      <c r="PAG81" s="609"/>
      <c r="PAH81" s="609"/>
      <c r="PAI81" s="609"/>
      <c r="PAJ81" s="609"/>
      <c r="PAK81" s="609"/>
      <c r="PAL81" s="609"/>
      <c r="PAM81" s="609"/>
      <c r="PAN81" s="609"/>
      <c r="PAO81" s="609"/>
      <c r="PAP81" s="609"/>
      <c r="PAQ81" s="609"/>
      <c r="PAR81" s="609"/>
      <c r="PAS81" s="609"/>
      <c r="PAT81" s="609"/>
      <c r="PAU81" s="609"/>
      <c r="PAV81" s="609"/>
      <c r="PAW81" s="609"/>
      <c r="PAX81" s="609"/>
      <c r="PAY81" s="609"/>
      <c r="PAZ81" s="609"/>
      <c r="PBA81" s="609"/>
      <c r="PBB81" s="609"/>
      <c r="PBC81" s="609"/>
      <c r="PBD81" s="609"/>
      <c r="PBE81" s="609"/>
      <c r="PBF81" s="609"/>
      <c r="PBG81" s="609"/>
      <c r="PBH81" s="609"/>
      <c r="PBI81" s="609"/>
      <c r="PBJ81" s="609"/>
      <c r="PBK81" s="609"/>
      <c r="PBL81" s="609"/>
      <c r="PBM81" s="609"/>
      <c r="PBN81" s="609"/>
      <c r="PBO81" s="609"/>
      <c r="PBP81" s="609"/>
      <c r="PBQ81" s="609"/>
      <c r="PBR81" s="609"/>
      <c r="PBS81" s="609"/>
      <c r="PBT81" s="609"/>
      <c r="PBU81" s="609"/>
      <c r="PBV81" s="609"/>
      <c r="PBW81" s="609"/>
      <c r="PBX81" s="609"/>
      <c r="PBY81" s="609"/>
      <c r="PBZ81" s="609"/>
      <c r="PCA81" s="609"/>
      <c r="PCB81" s="609"/>
      <c r="PCC81" s="609"/>
      <c r="PCD81" s="609"/>
      <c r="PCE81" s="609"/>
      <c r="PCF81" s="609"/>
      <c r="PCG81" s="609"/>
      <c r="PCH81" s="609"/>
      <c r="PCI81" s="609"/>
      <c r="PCJ81" s="609"/>
      <c r="PCK81" s="609"/>
      <c r="PCL81" s="609"/>
      <c r="PCM81" s="609"/>
      <c r="PCN81" s="609"/>
      <c r="PCO81" s="609"/>
      <c r="PCP81" s="609"/>
      <c r="PCQ81" s="609"/>
      <c r="PCR81" s="609"/>
      <c r="PCS81" s="609"/>
      <c r="PCT81" s="609"/>
      <c r="PCU81" s="609"/>
      <c r="PCV81" s="609"/>
      <c r="PCW81" s="609"/>
      <c r="PCX81" s="609"/>
      <c r="PCY81" s="609"/>
      <c r="PCZ81" s="609"/>
      <c r="PDA81" s="609"/>
      <c r="PDB81" s="609"/>
      <c r="PDC81" s="609"/>
      <c r="PDD81" s="609"/>
      <c r="PDE81" s="609"/>
      <c r="PDF81" s="609"/>
      <c r="PDG81" s="609"/>
      <c r="PDH81" s="609"/>
      <c r="PDI81" s="609"/>
      <c r="PDJ81" s="609"/>
      <c r="PDK81" s="609"/>
      <c r="PDL81" s="609"/>
      <c r="PDM81" s="609"/>
      <c r="PDN81" s="609"/>
      <c r="PDO81" s="609"/>
      <c r="PDP81" s="609"/>
      <c r="PDQ81" s="609"/>
      <c r="PDR81" s="609"/>
      <c r="PDS81" s="609"/>
      <c r="PDT81" s="609"/>
      <c r="PDU81" s="609"/>
      <c r="PDV81" s="609"/>
      <c r="PDW81" s="609"/>
      <c r="PDX81" s="609"/>
      <c r="PDY81" s="609"/>
      <c r="PDZ81" s="609"/>
      <c r="PEA81" s="609"/>
      <c r="PEB81" s="609"/>
      <c r="PEC81" s="609"/>
      <c r="PED81" s="609"/>
      <c r="PEE81" s="609"/>
      <c r="PEF81" s="609"/>
      <c r="PEG81" s="609"/>
      <c r="PEH81" s="609"/>
      <c r="PEI81" s="609"/>
      <c r="PEJ81" s="609"/>
      <c r="PEK81" s="609"/>
      <c r="PEL81" s="609"/>
      <c r="PEM81" s="609"/>
      <c r="PEN81" s="609"/>
      <c r="PEO81" s="609"/>
      <c r="PEP81" s="609"/>
      <c r="PEQ81" s="609"/>
      <c r="PER81" s="609"/>
      <c r="PES81" s="609"/>
      <c r="PET81" s="609"/>
      <c r="PEU81" s="609"/>
      <c r="PEV81" s="609"/>
      <c r="PEW81" s="609"/>
      <c r="PEX81" s="609"/>
      <c r="PEY81" s="609"/>
      <c r="PEZ81" s="609"/>
      <c r="PFA81" s="609"/>
      <c r="PFB81" s="609"/>
      <c r="PFC81" s="609"/>
      <c r="PFD81" s="609"/>
      <c r="PFE81" s="609"/>
      <c r="PFF81" s="609"/>
      <c r="PFG81" s="609"/>
      <c r="PFH81" s="609"/>
      <c r="PFI81" s="609"/>
      <c r="PFJ81" s="609"/>
      <c r="PFK81" s="609"/>
      <c r="PFL81" s="609"/>
      <c r="PFM81" s="609"/>
      <c r="PFN81" s="609"/>
      <c r="PFO81" s="609"/>
      <c r="PFP81" s="609"/>
      <c r="PFQ81" s="609"/>
      <c r="PFR81" s="609"/>
      <c r="PFS81" s="609"/>
      <c r="PFT81" s="609"/>
      <c r="PFU81" s="609"/>
      <c r="PFV81" s="609"/>
      <c r="PFW81" s="609"/>
      <c r="PFX81" s="609"/>
      <c r="PFY81" s="609"/>
      <c r="PFZ81" s="609"/>
      <c r="PGA81" s="609"/>
      <c r="PGB81" s="609"/>
      <c r="PGC81" s="609"/>
      <c r="PGD81" s="609"/>
      <c r="PGE81" s="609"/>
      <c r="PGF81" s="609"/>
      <c r="PGG81" s="609"/>
      <c r="PGH81" s="609"/>
      <c r="PGI81" s="609"/>
      <c r="PGJ81" s="609"/>
      <c r="PGK81" s="609"/>
      <c r="PGL81" s="609"/>
      <c r="PGM81" s="609"/>
      <c r="PGN81" s="609"/>
      <c r="PGO81" s="609"/>
      <c r="PGP81" s="609"/>
      <c r="PGQ81" s="609"/>
      <c r="PGR81" s="609"/>
      <c r="PGS81" s="609"/>
      <c r="PGT81" s="609"/>
      <c r="PGU81" s="609"/>
      <c r="PGV81" s="609"/>
      <c r="PGW81" s="609"/>
      <c r="PGX81" s="609"/>
      <c r="PGY81" s="609"/>
      <c r="PGZ81" s="609"/>
      <c r="PHA81" s="609"/>
      <c r="PHB81" s="609"/>
      <c r="PHC81" s="609"/>
      <c r="PHD81" s="609"/>
      <c r="PHE81" s="609"/>
      <c r="PHF81" s="609"/>
      <c r="PHG81" s="609"/>
      <c r="PHH81" s="609"/>
      <c r="PHI81" s="609"/>
      <c r="PHJ81" s="609"/>
      <c r="PHK81" s="609"/>
      <c r="PHL81" s="609"/>
      <c r="PHM81" s="609"/>
      <c r="PHN81" s="609"/>
      <c r="PHO81" s="609"/>
      <c r="PHP81" s="609"/>
      <c r="PHQ81" s="609"/>
      <c r="PHR81" s="609"/>
      <c r="PHS81" s="609"/>
      <c r="PHT81" s="609"/>
      <c r="PHU81" s="609"/>
      <c r="PHV81" s="609"/>
      <c r="PHW81" s="609"/>
      <c r="PHX81" s="609"/>
      <c r="PHY81" s="609"/>
      <c r="PHZ81" s="609"/>
      <c r="PIA81" s="609"/>
      <c r="PIB81" s="609"/>
      <c r="PIC81" s="609"/>
      <c r="PID81" s="609"/>
      <c r="PIE81" s="609"/>
      <c r="PIF81" s="609"/>
      <c r="PIG81" s="609"/>
      <c r="PIH81" s="609"/>
      <c r="PII81" s="609"/>
      <c r="PIJ81" s="609"/>
      <c r="PIK81" s="609"/>
      <c r="PIL81" s="609"/>
      <c r="PIM81" s="609"/>
      <c r="PIN81" s="609"/>
      <c r="PIO81" s="609"/>
      <c r="PIP81" s="609"/>
      <c r="PIQ81" s="609"/>
      <c r="PIR81" s="609"/>
      <c r="PIS81" s="609"/>
      <c r="PIT81" s="609"/>
      <c r="PIU81" s="609"/>
      <c r="PIV81" s="609"/>
      <c r="PIW81" s="609"/>
      <c r="PIX81" s="609"/>
      <c r="PIY81" s="609"/>
      <c r="PIZ81" s="609"/>
      <c r="PJA81" s="609"/>
      <c r="PJB81" s="609"/>
      <c r="PJC81" s="609"/>
      <c r="PJD81" s="609"/>
      <c r="PJE81" s="609"/>
      <c r="PJF81" s="609"/>
      <c r="PJG81" s="609"/>
      <c r="PJH81" s="609"/>
      <c r="PJI81" s="609"/>
      <c r="PJJ81" s="609"/>
      <c r="PJK81" s="609"/>
      <c r="PJL81" s="609"/>
      <c r="PJM81" s="609"/>
      <c r="PJN81" s="609"/>
      <c r="PJO81" s="609"/>
      <c r="PJP81" s="609"/>
      <c r="PJQ81" s="609"/>
      <c r="PJR81" s="609"/>
      <c r="PJS81" s="609"/>
      <c r="PJT81" s="609"/>
      <c r="PJU81" s="609"/>
      <c r="PJV81" s="609"/>
      <c r="PJW81" s="609"/>
      <c r="PJX81" s="609"/>
      <c r="PJY81" s="609"/>
      <c r="PJZ81" s="609"/>
      <c r="PKA81" s="609"/>
      <c r="PKB81" s="609"/>
      <c r="PKC81" s="609"/>
      <c r="PKD81" s="609"/>
      <c r="PKE81" s="609"/>
      <c r="PKF81" s="609"/>
      <c r="PKG81" s="609"/>
      <c r="PKH81" s="609"/>
      <c r="PKI81" s="609"/>
      <c r="PKJ81" s="609"/>
      <c r="PKK81" s="609"/>
      <c r="PKL81" s="609"/>
      <c r="PKM81" s="609"/>
      <c r="PKN81" s="609"/>
      <c r="PKO81" s="609"/>
      <c r="PKP81" s="609"/>
      <c r="PKQ81" s="609"/>
      <c r="PKR81" s="609"/>
      <c r="PKS81" s="609"/>
      <c r="PKT81" s="609"/>
      <c r="PKU81" s="609"/>
      <c r="PKV81" s="609"/>
      <c r="PKW81" s="609"/>
      <c r="PKX81" s="609"/>
      <c r="PKY81" s="609"/>
      <c r="PKZ81" s="609"/>
      <c r="PLA81" s="609"/>
      <c r="PLB81" s="609"/>
      <c r="PLC81" s="609"/>
      <c r="PLD81" s="609"/>
      <c r="PLE81" s="609"/>
      <c r="PLF81" s="609"/>
      <c r="PLG81" s="609"/>
      <c r="PLH81" s="609"/>
      <c r="PLI81" s="609"/>
      <c r="PLJ81" s="609"/>
      <c r="PLK81" s="609"/>
      <c r="PLL81" s="609"/>
      <c r="PLM81" s="609"/>
      <c r="PLN81" s="609"/>
      <c r="PLO81" s="609"/>
      <c r="PLP81" s="609"/>
      <c r="PLQ81" s="609"/>
      <c r="PLR81" s="609"/>
      <c r="PLS81" s="609"/>
      <c r="PLT81" s="609"/>
      <c r="PLU81" s="609"/>
      <c r="PLV81" s="609"/>
      <c r="PLW81" s="609"/>
      <c r="PLX81" s="609"/>
      <c r="PLY81" s="609"/>
      <c r="PLZ81" s="609"/>
      <c r="PMA81" s="609"/>
      <c r="PMB81" s="609"/>
      <c r="PMC81" s="609"/>
      <c r="PMD81" s="609"/>
      <c r="PME81" s="609"/>
      <c r="PMF81" s="609"/>
      <c r="PMG81" s="609"/>
      <c r="PMH81" s="609"/>
      <c r="PMI81" s="609"/>
      <c r="PMJ81" s="609"/>
      <c r="PMK81" s="609"/>
      <c r="PML81" s="609"/>
      <c r="PMM81" s="609"/>
      <c r="PMN81" s="609"/>
      <c r="PMO81" s="609"/>
      <c r="PMP81" s="609"/>
      <c r="PMQ81" s="609"/>
      <c r="PMR81" s="609"/>
      <c r="PMS81" s="609"/>
      <c r="PMT81" s="609"/>
      <c r="PMU81" s="609"/>
      <c r="PMV81" s="609"/>
      <c r="PMW81" s="609"/>
      <c r="PMX81" s="609"/>
      <c r="PMY81" s="609"/>
      <c r="PMZ81" s="609"/>
      <c r="PNA81" s="609"/>
      <c r="PNB81" s="609"/>
      <c r="PNC81" s="609"/>
      <c r="PND81" s="609"/>
      <c r="PNE81" s="609"/>
      <c r="PNF81" s="609"/>
      <c r="PNG81" s="609"/>
      <c r="PNH81" s="609"/>
      <c r="PNI81" s="609"/>
      <c r="PNJ81" s="609"/>
      <c r="PNK81" s="609"/>
      <c r="PNL81" s="609"/>
      <c r="PNM81" s="609"/>
      <c r="PNN81" s="609"/>
      <c r="PNO81" s="609"/>
      <c r="PNP81" s="609"/>
      <c r="PNQ81" s="609"/>
      <c r="PNR81" s="609"/>
      <c r="PNS81" s="609"/>
      <c r="PNT81" s="609"/>
      <c r="PNU81" s="609"/>
      <c r="PNV81" s="609"/>
      <c r="PNW81" s="609"/>
      <c r="PNX81" s="609"/>
      <c r="PNY81" s="609"/>
      <c r="PNZ81" s="609"/>
      <c r="POA81" s="609"/>
      <c r="POB81" s="609"/>
      <c r="POC81" s="609"/>
      <c r="POD81" s="609"/>
      <c r="POE81" s="609"/>
      <c r="POF81" s="609"/>
      <c r="POG81" s="609"/>
      <c r="POH81" s="609"/>
      <c r="POI81" s="609"/>
      <c r="POJ81" s="609"/>
      <c r="POK81" s="609"/>
      <c r="POL81" s="609"/>
      <c r="POM81" s="609"/>
      <c r="PON81" s="609"/>
      <c r="POO81" s="609"/>
      <c r="POP81" s="609"/>
      <c r="POQ81" s="609"/>
      <c r="POR81" s="609"/>
      <c r="POS81" s="609"/>
      <c r="POT81" s="609"/>
      <c r="POU81" s="609"/>
      <c r="POV81" s="609"/>
      <c r="POW81" s="609"/>
      <c r="POX81" s="609"/>
      <c r="POY81" s="609"/>
      <c r="POZ81" s="609"/>
      <c r="PPA81" s="609"/>
      <c r="PPB81" s="609"/>
      <c r="PPC81" s="609"/>
      <c r="PPD81" s="609"/>
      <c r="PPE81" s="609"/>
      <c r="PPF81" s="609"/>
      <c r="PPG81" s="609"/>
      <c r="PPH81" s="609"/>
      <c r="PPI81" s="609"/>
      <c r="PPJ81" s="609"/>
      <c r="PPK81" s="609"/>
      <c r="PPL81" s="609"/>
      <c r="PPM81" s="609"/>
      <c r="PPN81" s="609"/>
      <c r="PPO81" s="609"/>
      <c r="PPP81" s="609"/>
      <c r="PPQ81" s="609"/>
      <c r="PPR81" s="609"/>
      <c r="PPS81" s="609"/>
      <c r="PPT81" s="609"/>
      <c r="PPU81" s="609"/>
      <c r="PPV81" s="609"/>
      <c r="PPW81" s="609"/>
      <c r="PPX81" s="609"/>
      <c r="PPY81" s="609"/>
      <c r="PPZ81" s="609"/>
      <c r="PQA81" s="609"/>
      <c r="PQB81" s="609"/>
      <c r="PQC81" s="609"/>
      <c r="PQD81" s="609"/>
      <c r="PQE81" s="609"/>
      <c r="PQF81" s="609"/>
      <c r="PQG81" s="609"/>
      <c r="PQH81" s="609"/>
      <c r="PQI81" s="609"/>
      <c r="PQJ81" s="609"/>
      <c r="PQK81" s="609"/>
      <c r="PQL81" s="609"/>
      <c r="PQM81" s="609"/>
      <c r="PQN81" s="609"/>
      <c r="PQO81" s="609"/>
      <c r="PQP81" s="609"/>
      <c r="PQQ81" s="609"/>
      <c r="PQR81" s="609"/>
      <c r="PQS81" s="609"/>
      <c r="PQT81" s="609"/>
      <c r="PQU81" s="609"/>
      <c r="PQV81" s="609"/>
      <c r="PQW81" s="609"/>
      <c r="PQX81" s="609"/>
      <c r="PQY81" s="609"/>
      <c r="PQZ81" s="609"/>
      <c r="PRA81" s="609"/>
      <c r="PRB81" s="609"/>
      <c r="PRC81" s="609"/>
      <c r="PRD81" s="609"/>
      <c r="PRE81" s="609"/>
      <c r="PRF81" s="609"/>
      <c r="PRG81" s="609"/>
      <c r="PRH81" s="609"/>
      <c r="PRI81" s="609"/>
      <c r="PRJ81" s="609"/>
      <c r="PRK81" s="609"/>
      <c r="PRL81" s="609"/>
      <c r="PRM81" s="609"/>
      <c r="PRN81" s="609"/>
      <c r="PRO81" s="609"/>
      <c r="PRP81" s="609"/>
      <c r="PRQ81" s="609"/>
      <c r="PRR81" s="609"/>
      <c r="PRS81" s="609"/>
      <c r="PRT81" s="609"/>
      <c r="PRU81" s="609"/>
      <c r="PRV81" s="609"/>
      <c r="PRW81" s="609"/>
      <c r="PRX81" s="609"/>
      <c r="PRY81" s="609"/>
      <c r="PRZ81" s="609"/>
      <c r="PSA81" s="609"/>
      <c r="PSB81" s="609"/>
      <c r="PSC81" s="609"/>
      <c r="PSD81" s="609"/>
      <c r="PSE81" s="609"/>
      <c r="PSF81" s="609"/>
      <c r="PSG81" s="609"/>
      <c r="PSH81" s="609"/>
      <c r="PSI81" s="609"/>
      <c r="PSJ81" s="609"/>
      <c r="PSK81" s="609"/>
      <c r="PSL81" s="609"/>
      <c r="PSM81" s="609"/>
      <c r="PSN81" s="609"/>
      <c r="PSO81" s="609"/>
      <c r="PSP81" s="609"/>
      <c r="PSQ81" s="609"/>
      <c r="PSR81" s="609"/>
      <c r="PSS81" s="609"/>
      <c r="PST81" s="609"/>
      <c r="PSU81" s="609"/>
      <c r="PSV81" s="609"/>
      <c r="PSW81" s="609"/>
      <c r="PSX81" s="609"/>
      <c r="PSY81" s="609"/>
      <c r="PSZ81" s="609"/>
      <c r="PTA81" s="609"/>
      <c r="PTB81" s="609"/>
      <c r="PTC81" s="609"/>
      <c r="PTD81" s="609"/>
      <c r="PTE81" s="609"/>
      <c r="PTF81" s="609"/>
      <c r="PTG81" s="609"/>
      <c r="PTH81" s="609"/>
      <c r="PTI81" s="609"/>
      <c r="PTJ81" s="609"/>
      <c r="PTK81" s="609"/>
      <c r="PTL81" s="609"/>
      <c r="PTM81" s="609"/>
      <c r="PTN81" s="609"/>
      <c r="PTO81" s="609"/>
      <c r="PTP81" s="609"/>
      <c r="PTQ81" s="609"/>
      <c r="PTR81" s="609"/>
      <c r="PTS81" s="609"/>
      <c r="PTT81" s="609"/>
      <c r="PTU81" s="609"/>
      <c r="PTV81" s="609"/>
      <c r="PTW81" s="609"/>
      <c r="PTX81" s="609"/>
      <c r="PTY81" s="609"/>
      <c r="PTZ81" s="609"/>
      <c r="PUA81" s="609"/>
      <c r="PUB81" s="609"/>
      <c r="PUC81" s="609"/>
      <c r="PUD81" s="609"/>
      <c r="PUE81" s="609"/>
      <c r="PUF81" s="609"/>
      <c r="PUG81" s="609"/>
      <c r="PUH81" s="609"/>
      <c r="PUI81" s="609"/>
      <c r="PUJ81" s="609"/>
      <c r="PUK81" s="609"/>
      <c r="PUL81" s="609"/>
      <c r="PUM81" s="609"/>
      <c r="PUN81" s="609"/>
      <c r="PUO81" s="609"/>
      <c r="PUP81" s="609"/>
      <c r="PUQ81" s="609"/>
      <c r="PUR81" s="609"/>
      <c r="PUS81" s="609"/>
      <c r="PUT81" s="609"/>
      <c r="PUU81" s="609"/>
      <c r="PUV81" s="609"/>
      <c r="PUW81" s="609"/>
      <c r="PUX81" s="609"/>
      <c r="PUY81" s="609"/>
      <c r="PUZ81" s="609"/>
      <c r="PVA81" s="609"/>
      <c r="PVB81" s="609"/>
      <c r="PVC81" s="609"/>
      <c r="PVD81" s="609"/>
      <c r="PVE81" s="609"/>
      <c r="PVF81" s="609"/>
      <c r="PVG81" s="609"/>
      <c r="PVH81" s="609"/>
      <c r="PVI81" s="609"/>
      <c r="PVJ81" s="609"/>
      <c r="PVK81" s="609"/>
      <c r="PVL81" s="609"/>
      <c r="PVM81" s="609"/>
      <c r="PVN81" s="609"/>
      <c r="PVO81" s="609"/>
      <c r="PVP81" s="609"/>
      <c r="PVQ81" s="609"/>
      <c r="PVR81" s="609"/>
      <c r="PVS81" s="609"/>
      <c r="PVT81" s="609"/>
      <c r="PVU81" s="609"/>
      <c r="PVV81" s="609"/>
      <c r="PVW81" s="609"/>
      <c r="PVX81" s="609"/>
      <c r="PVY81" s="609"/>
      <c r="PVZ81" s="609"/>
      <c r="PWA81" s="609"/>
      <c r="PWB81" s="609"/>
      <c r="PWC81" s="609"/>
      <c r="PWD81" s="609"/>
      <c r="PWE81" s="609"/>
      <c r="PWF81" s="609"/>
      <c r="PWG81" s="609"/>
      <c r="PWH81" s="609"/>
      <c r="PWI81" s="609"/>
      <c r="PWJ81" s="609"/>
      <c r="PWK81" s="609"/>
      <c r="PWL81" s="609"/>
      <c r="PWM81" s="609"/>
      <c r="PWN81" s="609"/>
      <c r="PWO81" s="609"/>
      <c r="PWP81" s="609"/>
      <c r="PWQ81" s="609"/>
      <c r="PWR81" s="609"/>
      <c r="PWS81" s="609"/>
      <c r="PWT81" s="609"/>
      <c r="PWU81" s="609"/>
      <c r="PWV81" s="609"/>
      <c r="PWW81" s="609"/>
      <c r="PWX81" s="609"/>
      <c r="PWY81" s="609"/>
      <c r="PWZ81" s="609"/>
      <c r="PXA81" s="609"/>
      <c r="PXB81" s="609"/>
      <c r="PXC81" s="609"/>
      <c r="PXD81" s="609"/>
      <c r="PXE81" s="609"/>
      <c r="PXF81" s="609"/>
      <c r="PXG81" s="609"/>
      <c r="PXH81" s="609"/>
      <c r="PXI81" s="609"/>
      <c r="PXJ81" s="609"/>
      <c r="PXK81" s="609"/>
      <c r="PXL81" s="609"/>
      <c r="PXM81" s="609"/>
      <c r="PXN81" s="609"/>
      <c r="PXO81" s="609"/>
      <c r="PXP81" s="609"/>
      <c r="PXQ81" s="609"/>
      <c r="PXR81" s="609"/>
      <c r="PXS81" s="609"/>
      <c r="PXT81" s="609"/>
      <c r="PXU81" s="609"/>
      <c r="PXV81" s="609"/>
      <c r="PXW81" s="609"/>
      <c r="PXX81" s="609"/>
      <c r="PXY81" s="609"/>
      <c r="PXZ81" s="609"/>
      <c r="PYA81" s="609"/>
      <c r="PYB81" s="609"/>
      <c r="PYC81" s="609"/>
      <c r="PYD81" s="609"/>
      <c r="PYE81" s="609"/>
      <c r="PYF81" s="609"/>
      <c r="PYG81" s="609"/>
      <c r="PYH81" s="609"/>
      <c r="PYI81" s="609"/>
      <c r="PYJ81" s="609"/>
      <c r="PYK81" s="609"/>
      <c r="PYL81" s="609"/>
      <c r="PYM81" s="609"/>
      <c r="PYN81" s="609"/>
      <c r="PYO81" s="609"/>
      <c r="PYP81" s="609"/>
      <c r="PYQ81" s="609"/>
      <c r="PYR81" s="609"/>
      <c r="PYS81" s="609"/>
      <c r="PYT81" s="609"/>
      <c r="PYU81" s="609"/>
      <c r="PYV81" s="609"/>
      <c r="PYW81" s="609"/>
      <c r="PYX81" s="609"/>
      <c r="PYY81" s="609"/>
      <c r="PYZ81" s="609"/>
      <c r="PZA81" s="609"/>
      <c r="PZB81" s="609"/>
      <c r="PZC81" s="609"/>
      <c r="PZD81" s="609"/>
      <c r="PZE81" s="609"/>
      <c r="PZF81" s="609"/>
      <c r="PZG81" s="609"/>
      <c r="PZH81" s="609"/>
      <c r="PZI81" s="609"/>
      <c r="PZJ81" s="609"/>
      <c r="PZK81" s="609"/>
      <c r="PZL81" s="609"/>
      <c r="PZM81" s="609"/>
      <c r="PZN81" s="609"/>
      <c r="PZO81" s="609"/>
      <c r="PZP81" s="609"/>
      <c r="PZQ81" s="609"/>
      <c r="PZR81" s="609"/>
      <c r="PZS81" s="609"/>
      <c r="PZT81" s="609"/>
      <c r="PZU81" s="609"/>
      <c r="PZV81" s="609"/>
      <c r="PZW81" s="609"/>
      <c r="PZX81" s="609"/>
      <c r="PZY81" s="609"/>
      <c r="PZZ81" s="609"/>
      <c r="QAA81" s="609"/>
      <c r="QAB81" s="609"/>
      <c r="QAC81" s="609"/>
      <c r="QAD81" s="609"/>
      <c r="QAE81" s="609"/>
      <c r="QAF81" s="609"/>
      <c r="QAG81" s="609"/>
      <c r="QAH81" s="609"/>
      <c r="QAI81" s="609"/>
      <c r="QAJ81" s="609"/>
      <c r="QAK81" s="609"/>
      <c r="QAL81" s="609"/>
      <c r="QAM81" s="609"/>
      <c r="QAN81" s="609"/>
      <c r="QAO81" s="609"/>
      <c r="QAP81" s="609"/>
      <c r="QAQ81" s="609"/>
      <c r="QAR81" s="609"/>
      <c r="QAS81" s="609"/>
      <c r="QAT81" s="609"/>
      <c r="QAU81" s="609"/>
      <c r="QAV81" s="609"/>
      <c r="QAW81" s="609"/>
      <c r="QAX81" s="609"/>
      <c r="QAY81" s="609"/>
      <c r="QAZ81" s="609"/>
      <c r="QBA81" s="609"/>
      <c r="QBB81" s="609"/>
      <c r="QBC81" s="609"/>
      <c r="QBD81" s="609"/>
      <c r="QBE81" s="609"/>
      <c r="QBF81" s="609"/>
      <c r="QBG81" s="609"/>
      <c r="QBH81" s="609"/>
      <c r="QBI81" s="609"/>
      <c r="QBJ81" s="609"/>
      <c r="QBK81" s="609"/>
      <c r="QBL81" s="609"/>
      <c r="QBM81" s="609"/>
      <c r="QBN81" s="609"/>
      <c r="QBO81" s="609"/>
      <c r="QBP81" s="609"/>
      <c r="QBQ81" s="609"/>
      <c r="QBR81" s="609"/>
      <c r="QBS81" s="609"/>
      <c r="QBT81" s="609"/>
      <c r="QBU81" s="609"/>
      <c r="QBV81" s="609"/>
      <c r="QBW81" s="609"/>
      <c r="QBX81" s="609"/>
      <c r="QBY81" s="609"/>
      <c r="QBZ81" s="609"/>
      <c r="QCA81" s="609"/>
      <c r="QCB81" s="609"/>
      <c r="QCC81" s="609"/>
      <c r="QCD81" s="609"/>
      <c r="QCE81" s="609"/>
      <c r="QCF81" s="609"/>
      <c r="QCG81" s="609"/>
      <c r="QCH81" s="609"/>
      <c r="QCI81" s="609"/>
      <c r="QCJ81" s="609"/>
      <c r="QCK81" s="609"/>
      <c r="QCL81" s="609"/>
      <c r="QCM81" s="609"/>
      <c r="QCN81" s="609"/>
      <c r="QCO81" s="609"/>
      <c r="QCP81" s="609"/>
      <c r="QCQ81" s="609"/>
      <c r="QCR81" s="609"/>
      <c r="QCS81" s="609"/>
      <c r="QCT81" s="609"/>
      <c r="QCU81" s="609"/>
      <c r="QCV81" s="609"/>
      <c r="QCW81" s="609"/>
      <c r="QCX81" s="609"/>
      <c r="QCY81" s="609"/>
      <c r="QCZ81" s="609"/>
      <c r="QDA81" s="609"/>
      <c r="QDB81" s="609"/>
      <c r="QDC81" s="609"/>
      <c r="QDD81" s="609"/>
      <c r="QDE81" s="609"/>
      <c r="QDF81" s="609"/>
      <c r="QDG81" s="609"/>
      <c r="QDH81" s="609"/>
      <c r="QDI81" s="609"/>
      <c r="QDJ81" s="609"/>
      <c r="QDK81" s="609"/>
      <c r="QDL81" s="609"/>
      <c r="QDM81" s="609"/>
      <c r="QDN81" s="609"/>
      <c r="QDO81" s="609"/>
      <c r="QDP81" s="609"/>
      <c r="QDQ81" s="609"/>
      <c r="QDR81" s="609"/>
      <c r="QDS81" s="609"/>
      <c r="QDT81" s="609"/>
      <c r="QDU81" s="609"/>
      <c r="QDV81" s="609"/>
      <c r="QDW81" s="609"/>
      <c r="QDX81" s="609"/>
      <c r="QDY81" s="609"/>
      <c r="QDZ81" s="609"/>
      <c r="QEA81" s="609"/>
      <c r="QEB81" s="609"/>
      <c r="QEC81" s="609"/>
      <c r="QED81" s="609"/>
      <c r="QEE81" s="609"/>
      <c r="QEF81" s="609"/>
      <c r="QEG81" s="609"/>
      <c r="QEH81" s="609"/>
      <c r="QEI81" s="609"/>
      <c r="QEJ81" s="609"/>
      <c r="QEK81" s="609"/>
      <c r="QEL81" s="609"/>
      <c r="QEM81" s="609"/>
      <c r="QEN81" s="609"/>
      <c r="QEO81" s="609"/>
      <c r="QEP81" s="609"/>
      <c r="QEQ81" s="609"/>
      <c r="QER81" s="609"/>
      <c r="QES81" s="609"/>
      <c r="QET81" s="609"/>
      <c r="QEU81" s="609"/>
      <c r="QEV81" s="609"/>
      <c r="QEW81" s="609"/>
      <c r="QEX81" s="609"/>
      <c r="QEY81" s="609"/>
      <c r="QEZ81" s="609"/>
      <c r="QFA81" s="609"/>
      <c r="QFB81" s="609"/>
      <c r="QFC81" s="609"/>
      <c r="QFD81" s="609"/>
      <c r="QFE81" s="609"/>
      <c r="QFF81" s="609"/>
      <c r="QFG81" s="609"/>
      <c r="QFH81" s="609"/>
      <c r="QFI81" s="609"/>
      <c r="QFJ81" s="609"/>
      <c r="QFK81" s="609"/>
      <c r="QFL81" s="609"/>
      <c r="QFM81" s="609"/>
      <c r="QFN81" s="609"/>
      <c r="QFO81" s="609"/>
      <c r="QFP81" s="609"/>
      <c r="QFQ81" s="609"/>
      <c r="QFR81" s="609"/>
      <c r="QFS81" s="609"/>
      <c r="QFT81" s="609"/>
      <c r="QFU81" s="609"/>
      <c r="QFV81" s="609"/>
      <c r="QFW81" s="609"/>
      <c r="QFX81" s="609"/>
      <c r="QFY81" s="609"/>
      <c r="QFZ81" s="609"/>
      <c r="QGA81" s="609"/>
      <c r="QGB81" s="609"/>
      <c r="QGC81" s="609"/>
      <c r="QGD81" s="609"/>
      <c r="QGE81" s="609"/>
      <c r="QGF81" s="609"/>
      <c r="QGG81" s="609"/>
      <c r="QGH81" s="609"/>
      <c r="QGI81" s="609"/>
      <c r="QGJ81" s="609"/>
      <c r="QGK81" s="609"/>
      <c r="QGL81" s="609"/>
      <c r="QGM81" s="609"/>
      <c r="QGN81" s="609"/>
      <c r="QGO81" s="609"/>
      <c r="QGP81" s="609"/>
      <c r="QGQ81" s="609"/>
      <c r="QGR81" s="609"/>
      <c r="QGS81" s="609"/>
      <c r="QGT81" s="609"/>
      <c r="QGU81" s="609"/>
      <c r="QGV81" s="609"/>
      <c r="QGW81" s="609"/>
      <c r="QGX81" s="609"/>
      <c r="QGY81" s="609"/>
      <c r="QGZ81" s="609"/>
      <c r="QHA81" s="609"/>
      <c r="QHB81" s="609"/>
      <c r="QHC81" s="609"/>
      <c r="QHD81" s="609"/>
      <c r="QHE81" s="609"/>
      <c r="QHF81" s="609"/>
      <c r="QHG81" s="609"/>
      <c r="QHH81" s="609"/>
      <c r="QHI81" s="609"/>
      <c r="QHJ81" s="609"/>
      <c r="QHK81" s="609"/>
      <c r="QHL81" s="609"/>
      <c r="QHM81" s="609"/>
      <c r="QHN81" s="609"/>
      <c r="QHO81" s="609"/>
      <c r="QHP81" s="609"/>
      <c r="QHQ81" s="609"/>
      <c r="QHR81" s="609"/>
      <c r="QHS81" s="609"/>
      <c r="QHT81" s="609"/>
      <c r="QHU81" s="609"/>
      <c r="QHV81" s="609"/>
      <c r="QHW81" s="609"/>
      <c r="QHX81" s="609"/>
      <c r="QHY81" s="609"/>
      <c r="QHZ81" s="609"/>
      <c r="QIA81" s="609"/>
      <c r="QIB81" s="609"/>
      <c r="QIC81" s="609"/>
      <c r="QID81" s="609"/>
      <c r="QIE81" s="609"/>
      <c r="QIF81" s="609"/>
      <c r="QIG81" s="609"/>
      <c r="QIH81" s="609"/>
      <c r="QII81" s="609"/>
      <c r="QIJ81" s="609"/>
      <c r="QIK81" s="609"/>
      <c r="QIL81" s="609"/>
      <c r="QIM81" s="609"/>
      <c r="QIN81" s="609"/>
      <c r="QIO81" s="609"/>
      <c r="QIP81" s="609"/>
      <c r="QIQ81" s="609"/>
      <c r="QIR81" s="609"/>
      <c r="QIS81" s="609"/>
      <c r="QIT81" s="609"/>
      <c r="QIU81" s="609"/>
      <c r="QIV81" s="609"/>
      <c r="QIW81" s="609"/>
      <c r="QIX81" s="609"/>
      <c r="QIY81" s="609"/>
      <c r="QIZ81" s="609"/>
      <c r="QJA81" s="609"/>
      <c r="QJB81" s="609"/>
      <c r="QJC81" s="609"/>
      <c r="QJD81" s="609"/>
      <c r="QJE81" s="609"/>
      <c r="QJF81" s="609"/>
      <c r="QJG81" s="609"/>
      <c r="QJH81" s="609"/>
      <c r="QJI81" s="609"/>
      <c r="QJJ81" s="609"/>
      <c r="QJK81" s="609"/>
      <c r="QJL81" s="609"/>
      <c r="QJM81" s="609"/>
      <c r="QJN81" s="609"/>
      <c r="QJO81" s="609"/>
      <c r="QJP81" s="609"/>
      <c r="QJQ81" s="609"/>
      <c r="QJR81" s="609"/>
      <c r="QJS81" s="609"/>
      <c r="QJT81" s="609"/>
      <c r="QJU81" s="609"/>
      <c r="QJV81" s="609"/>
      <c r="QJW81" s="609"/>
      <c r="QJX81" s="609"/>
      <c r="QJY81" s="609"/>
      <c r="QJZ81" s="609"/>
      <c r="QKA81" s="609"/>
      <c r="QKB81" s="609"/>
      <c r="QKC81" s="609"/>
      <c r="QKD81" s="609"/>
      <c r="QKE81" s="609"/>
      <c r="QKF81" s="609"/>
      <c r="QKG81" s="609"/>
      <c r="QKH81" s="609"/>
      <c r="QKI81" s="609"/>
      <c r="QKJ81" s="609"/>
      <c r="QKK81" s="609"/>
      <c r="QKL81" s="609"/>
      <c r="QKM81" s="609"/>
      <c r="QKN81" s="609"/>
      <c r="QKO81" s="609"/>
      <c r="QKP81" s="609"/>
      <c r="QKQ81" s="609"/>
      <c r="QKR81" s="609"/>
      <c r="QKS81" s="609"/>
      <c r="QKT81" s="609"/>
      <c r="QKU81" s="609"/>
      <c r="QKV81" s="609"/>
      <c r="QKW81" s="609"/>
      <c r="QKX81" s="609"/>
      <c r="QKY81" s="609"/>
      <c r="QKZ81" s="609"/>
      <c r="QLA81" s="609"/>
      <c r="QLB81" s="609"/>
      <c r="QLC81" s="609"/>
      <c r="QLD81" s="609"/>
      <c r="QLE81" s="609"/>
      <c r="QLF81" s="609"/>
      <c r="QLG81" s="609"/>
      <c r="QLH81" s="609"/>
      <c r="QLI81" s="609"/>
      <c r="QLJ81" s="609"/>
      <c r="QLK81" s="609"/>
      <c r="QLL81" s="609"/>
      <c r="QLM81" s="609"/>
      <c r="QLN81" s="609"/>
      <c r="QLO81" s="609"/>
      <c r="QLP81" s="609"/>
      <c r="QLQ81" s="609"/>
      <c r="QLR81" s="609"/>
      <c r="QLS81" s="609"/>
      <c r="QLT81" s="609"/>
      <c r="QLU81" s="609"/>
      <c r="QLV81" s="609"/>
      <c r="QLW81" s="609"/>
      <c r="QLX81" s="609"/>
      <c r="QLY81" s="609"/>
      <c r="QLZ81" s="609"/>
      <c r="QMA81" s="609"/>
      <c r="QMB81" s="609"/>
      <c r="QMC81" s="609"/>
      <c r="QMD81" s="609"/>
      <c r="QME81" s="609"/>
      <c r="QMF81" s="609"/>
      <c r="QMG81" s="609"/>
      <c r="QMH81" s="609"/>
      <c r="QMI81" s="609"/>
      <c r="QMJ81" s="609"/>
      <c r="QMK81" s="609"/>
      <c r="QML81" s="609"/>
      <c r="QMM81" s="609"/>
      <c r="QMN81" s="609"/>
      <c r="QMO81" s="609"/>
      <c r="QMP81" s="609"/>
      <c r="QMQ81" s="609"/>
      <c r="QMR81" s="609"/>
      <c r="QMS81" s="609"/>
      <c r="QMT81" s="609"/>
      <c r="QMU81" s="609"/>
      <c r="QMV81" s="609"/>
      <c r="QMW81" s="609"/>
      <c r="QMX81" s="609"/>
      <c r="QMY81" s="609"/>
      <c r="QMZ81" s="609"/>
      <c r="QNA81" s="609"/>
      <c r="QNB81" s="609"/>
      <c r="QNC81" s="609"/>
      <c r="QND81" s="609"/>
      <c r="QNE81" s="609"/>
      <c r="QNF81" s="609"/>
      <c r="QNG81" s="609"/>
      <c r="QNH81" s="609"/>
      <c r="QNI81" s="609"/>
      <c r="QNJ81" s="609"/>
      <c r="QNK81" s="609"/>
      <c r="QNL81" s="609"/>
      <c r="QNM81" s="609"/>
      <c r="QNN81" s="609"/>
      <c r="QNO81" s="609"/>
      <c r="QNP81" s="609"/>
      <c r="QNQ81" s="609"/>
      <c r="QNR81" s="609"/>
      <c r="QNS81" s="609"/>
      <c r="QNT81" s="609"/>
      <c r="QNU81" s="609"/>
      <c r="QNV81" s="609"/>
      <c r="QNW81" s="609"/>
      <c r="QNX81" s="609"/>
      <c r="QNY81" s="609"/>
      <c r="QNZ81" s="609"/>
      <c r="QOA81" s="609"/>
      <c r="QOB81" s="609"/>
      <c r="QOC81" s="609"/>
      <c r="QOD81" s="609"/>
      <c r="QOE81" s="609"/>
      <c r="QOF81" s="609"/>
      <c r="QOG81" s="609"/>
      <c r="QOH81" s="609"/>
      <c r="QOI81" s="609"/>
      <c r="QOJ81" s="609"/>
      <c r="QOK81" s="609"/>
      <c r="QOL81" s="609"/>
      <c r="QOM81" s="609"/>
      <c r="QON81" s="609"/>
      <c r="QOO81" s="609"/>
      <c r="QOP81" s="609"/>
      <c r="QOQ81" s="609"/>
      <c r="QOR81" s="609"/>
      <c r="QOS81" s="609"/>
      <c r="QOT81" s="609"/>
      <c r="QOU81" s="609"/>
      <c r="QOV81" s="609"/>
      <c r="QOW81" s="609"/>
      <c r="QOX81" s="609"/>
      <c r="QOY81" s="609"/>
      <c r="QOZ81" s="609"/>
      <c r="QPA81" s="609"/>
      <c r="QPB81" s="609"/>
      <c r="QPC81" s="609"/>
      <c r="QPD81" s="609"/>
      <c r="QPE81" s="609"/>
      <c r="QPF81" s="609"/>
      <c r="QPG81" s="609"/>
      <c r="QPH81" s="609"/>
      <c r="QPI81" s="609"/>
      <c r="QPJ81" s="609"/>
      <c r="QPK81" s="609"/>
      <c r="QPL81" s="609"/>
      <c r="QPM81" s="609"/>
      <c r="QPN81" s="609"/>
      <c r="QPO81" s="609"/>
      <c r="QPP81" s="609"/>
      <c r="QPQ81" s="609"/>
      <c r="QPR81" s="609"/>
      <c r="QPS81" s="609"/>
      <c r="QPT81" s="609"/>
      <c r="QPU81" s="609"/>
      <c r="QPV81" s="609"/>
      <c r="QPW81" s="609"/>
      <c r="QPX81" s="609"/>
      <c r="QPY81" s="609"/>
      <c r="QPZ81" s="609"/>
      <c r="QQA81" s="609"/>
      <c r="QQB81" s="609"/>
      <c r="QQC81" s="609"/>
      <c r="QQD81" s="609"/>
      <c r="QQE81" s="609"/>
      <c r="QQF81" s="609"/>
      <c r="QQG81" s="609"/>
      <c r="QQH81" s="609"/>
      <c r="QQI81" s="609"/>
      <c r="QQJ81" s="609"/>
      <c r="QQK81" s="609"/>
      <c r="QQL81" s="609"/>
      <c r="QQM81" s="609"/>
      <c r="QQN81" s="609"/>
      <c r="QQO81" s="609"/>
      <c r="QQP81" s="609"/>
      <c r="QQQ81" s="609"/>
      <c r="QQR81" s="609"/>
      <c r="QQS81" s="609"/>
      <c r="QQT81" s="609"/>
      <c r="QQU81" s="609"/>
      <c r="QQV81" s="609"/>
      <c r="QQW81" s="609"/>
      <c r="QQX81" s="609"/>
      <c r="QQY81" s="609"/>
      <c r="QQZ81" s="609"/>
      <c r="QRA81" s="609"/>
      <c r="QRB81" s="609"/>
      <c r="QRC81" s="609"/>
      <c r="QRD81" s="609"/>
      <c r="QRE81" s="609"/>
      <c r="QRF81" s="609"/>
      <c r="QRG81" s="609"/>
      <c r="QRH81" s="609"/>
      <c r="QRI81" s="609"/>
      <c r="QRJ81" s="609"/>
      <c r="QRK81" s="609"/>
      <c r="QRL81" s="609"/>
      <c r="QRM81" s="609"/>
      <c r="QRN81" s="609"/>
      <c r="QRO81" s="609"/>
      <c r="QRP81" s="609"/>
      <c r="QRQ81" s="609"/>
      <c r="QRR81" s="609"/>
      <c r="QRS81" s="609"/>
      <c r="QRT81" s="609"/>
      <c r="QRU81" s="609"/>
      <c r="QRV81" s="609"/>
      <c r="QRW81" s="609"/>
      <c r="QRX81" s="609"/>
      <c r="QRY81" s="609"/>
      <c r="QRZ81" s="609"/>
      <c r="QSA81" s="609"/>
      <c r="QSB81" s="609"/>
      <c r="QSC81" s="609"/>
      <c r="QSD81" s="609"/>
      <c r="QSE81" s="609"/>
      <c r="QSF81" s="609"/>
      <c r="QSG81" s="609"/>
      <c r="QSH81" s="609"/>
      <c r="QSI81" s="609"/>
      <c r="QSJ81" s="609"/>
      <c r="QSK81" s="609"/>
      <c r="QSL81" s="609"/>
      <c r="QSM81" s="609"/>
      <c r="QSN81" s="609"/>
      <c r="QSO81" s="609"/>
      <c r="QSP81" s="609"/>
      <c r="QSQ81" s="609"/>
      <c r="QSR81" s="609"/>
      <c r="QSS81" s="609"/>
      <c r="QST81" s="609"/>
      <c r="QSU81" s="609"/>
      <c r="QSV81" s="609"/>
      <c r="QSW81" s="609"/>
      <c r="QSX81" s="609"/>
      <c r="QSY81" s="609"/>
      <c r="QSZ81" s="609"/>
      <c r="QTA81" s="609"/>
      <c r="QTB81" s="609"/>
      <c r="QTC81" s="609"/>
      <c r="QTD81" s="609"/>
      <c r="QTE81" s="609"/>
      <c r="QTF81" s="609"/>
      <c r="QTG81" s="609"/>
      <c r="QTH81" s="609"/>
      <c r="QTI81" s="609"/>
      <c r="QTJ81" s="609"/>
      <c r="QTK81" s="609"/>
      <c r="QTL81" s="609"/>
      <c r="QTM81" s="609"/>
      <c r="QTN81" s="609"/>
      <c r="QTO81" s="609"/>
      <c r="QTP81" s="609"/>
      <c r="QTQ81" s="609"/>
      <c r="QTR81" s="609"/>
      <c r="QTS81" s="609"/>
      <c r="QTT81" s="609"/>
      <c r="QTU81" s="609"/>
      <c r="QTV81" s="609"/>
      <c r="QTW81" s="609"/>
      <c r="QTX81" s="609"/>
      <c r="QTY81" s="609"/>
      <c r="QTZ81" s="609"/>
      <c r="QUA81" s="609"/>
      <c r="QUB81" s="609"/>
      <c r="QUC81" s="609"/>
      <c r="QUD81" s="609"/>
      <c r="QUE81" s="609"/>
      <c r="QUF81" s="609"/>
      <c r="QUG81" s="609"/>
      <c r="QUH81" s="609"/>
      <c r="QUI81" s="609"/>
      <c r="QUJ81" s="609"/>
      <c r="QUK81" s="609"/>
      <c r="QUL81" s="609"/>
      <c r="QUM81" s="609"/>
      <c r="QUN81" s="609"/>
      <c r="QUO81" s="609"/>
      <c r="QUP81" s="609"/>
      <c r="QUQ81" s="609"/>
      <c r="QUR81" s="609"/>
      <c r="QUS81" s="609"/>
      <c r="QUT81" s="609"/>
      <c r="QUU81" s="609"/>
      <c r="QUV81" s="609"/>
      <c r="QUW81" s="609"/>
      <c r="QUX81" s="609"/>
      <c r="QUY81" s="609"/>
      <c r="QUZ81" s="609"/>
      <c r="QVA81" s="609"/>
      <c r="QVB81" s="609"/>
      <c r="QVC81" s="609"/>
      <c r="QVD81" s="609"/>
      <c r="QVE81" s="609"/>
      <c r="QVF81" s="609"/>
      <c r="QVG81" s="609"/>
      <c r="QVH81" s="609"/>
      <c r="QVI81" s="609"/>
      <c r="QVJ81" s="609"/>
      <c r="QVK81" s="609"/>
      <c r="QVL81" s="609"/>
      <c r="QVM81" s="609"/>
      <c r="QVN81" s="609"/>
      <c r="QVO81" s="609"/>
      <c r="QVP81" s="609"/>
      <c r="QVQ81" s="609"/>
      <c r="QVR81" s="609"/>
      <c r="QVS81" s="609"/>
      <c r="QVT81" s="609"/>
      <c r="QVU81" s="609"/>
      <c r="QVV81" s="609"/>
      <c r="QVW81" s="609"/>
      <c r="QVX81" s="609"/>
      <c r="QVY81" s="609"/>
      <c r="QVZ81" s="609"/>
      <c r="QWA81" s="609"/>
      <c r="QWB81" s="609"/>
      <c r="QWC81" s="609"/>
      <c r="QWD81" s="609"/>
      <c r="QWE81" s="609"/>
      <c r="QWF81" s="609"/>
      <c r="QWG81" s="609"/>
      <c r="QWH81" s="609"/>
      <c r="QWI81" s="609"/>
      <c r="QWJ81" s="609"/>
      <c r="QWK81" s="609"/>
      <c r="QWL81" s="609"/>
      <c r="QWM81" s="609"/>
      <c r="QWN81" s="609"/>
      <c r="QWO81" s="609"/>
      <c r="QWP81" s="609"/>
      <c r="QWQ81" s="609"/>
      <c r="QWR81" s="609"/>
      <c r="QWS81" s="609"/>
      <c r="QWT81" s="609"/>
      <c r="QWU81" s="609"/>
      <c r="QWV81" s="609"/>
      <c r="QWW81" s="609"/>
      <c r="QWX81" s="609"/>
      <c r="QWY81" s="609"/>
      <c r="QWZ81" s="609"/>
      <c r="QXA81" s="609"/>
      <c r="QXB81" s="609"/>
      <c r="QXC81" s="609"/>
      <c r="QXD81" s="609"/>
      <c r="QXE81" s="609"/>
      <c r="QXF81" s="609"/>
      <c r="QXG81" s="609"/>
      <c r="QXH81" s="609"/>
      <c r="QXI81" s="609"/>
      <c r="QXJ81" s="609"/>
      <c r="QXK81" s="609"/>
      <c r="QXL81" s="609"/>
      <c r="QXM81" s="609"/>
      <c r="QXN81" s="609"/>
      <c r="QXO81" s="609"/>
      <c r="QXP81" s="609"/>
      <c r="QXQ81" s="609"/>
      <c r="QXR81" s="609"/>
      <c r="QXS81" s="609"/>
      <c r="QXT81" s="609"/>
      <c r="QXU81" s="609"/>
      <c r="QXV81" s="609"/>
      <c r="QXW81" s="609"/>
      <c r="QXX81" s="609"/>
      <c r="QXY81" s="609"/>
      <c r="QXZ81" s="609"/>
      <c r="QYA81" s="609"/>
      <c r="QYB81" s="609"/>
      <c r="QYC81" s="609"/>
      <c r="QYD81" s="609"/>
      <c r="QYE81" s="609"/>
      <c r="QYF81" s="609"/>
      <c r="QYG81" s="609"/>
      <c r="QYH81" s="609"/>
      <c r="QYI81" s="609"/>
      <c r="QYJ81" s="609"/>
      <c r="QYK81" s="609"/>
      <c r="QYL81" s="609"/>
      <c r="QYM81" s="609"/>
      <c r="QYN81" s="609"/>
      <c r="QYO81" s="609"/>
      <c r="QYP81" s="609"/>
      <c r="QYQ81" s="609"/>
      <c r="QYR81" s="609"/>
      <c r="QYS81" s="609"/>
      <c r="QYT81" s="609"/>
      <c r="QYU81" s="609"/>
      <c r="QYV81" s="609"/>
      <c r="QYW81" s="609"/>
      <c r="QYX81" s="609"/>
      <c r="QYY81" s="609"/>
      <c r="QYZ81" s="609"/>
      <c r="QZA81" s="609"/>
      <c r="QZB81" s="609"/>
      <c r="QZC81" s="609"/>
      <c r="QZD81" s="609"/>
      <c r="QZE81" s="609"/>
      <c r="QZF81" s="609"/>
      <c r="QZG81" s="609"/>
      <c r="QZH81" s="609"/>
      <c r="QZI81" s="609"/>
      <c r="QZJ81" s="609"/>
      <c r="QZK81" s="609"/>
      <c r="QZL81" s="609"/>
      <c r="QZM81" s="609"/>
      <c r="QZN81" s="609"/>
      <c r="QZO81" s="609"/>
      <c r="QZP81" s="609"/>
      <c r="QZQ81" s="609"/>
      <c r="QZR81" s="609"/>
      <c r="QZS81" s="609"/>
      <c r="QZT81" s="609"/>
      <c r="QZU81" s="609"/>
      <c r="QZV81" s="609"/>
      <c r="QZW81" s="609"/>
      <c r="QZX81" s="609"/>
      <c r="QZY81" s="609"/>
      <c r="QZZ81" s="609"/>
      <c r="RAA81" s="609"/>
      <c r="RAB81" s="609"/>
      <c r="RAC81" s="609"/>
      <c r="RAD81" s="609"/>
      <c r="RAE81" s="609"/>
      <c r="RAF81" s="609"/>
      <c r="RAG81" s="609"/>
      <c r="RAH81" s="609"/>
      <c r="RAI81" s="609"/>
      <c r="RAJ81" s="609"/>
      <c r="RAK81" s="609"/>
      <c r="RAL81" s="609"/>
      <c r="RAM81" s="609"/>
      <c r="RAN81" s="609"/>
      <c r="RAO81" s="609"/>
      <c r="RAP81" s="609"/>
      <c r="RAQ81" s="609"/>
      <c r="RAR81" s="609"/>
      <c r="RAS81" s="609"/>
      <c r="RAT81" s="609"/>
      <c r="RAU81" s="609"/>
      <c r="RAV81" s="609"/>
      <c r="RAW81" s="609"/>
      <c r="RAX81" s="609"/>
      <c r="RAY81" s="609"/>
      <c r="RAZ81" s="609"/>
      <c r="RBA81" s="609"/>
      <c r="RBB81" s="609"/>
      <c r="RBC81" s="609"/>
      <c r="RBD81" s="609"/>
      <c r="RBE81" s="609"/>
      <c r="RBF81" s="609"/>
      <c r="RBG81" s="609"/>
      <c r="RBH81" s="609"/>
      <c r="RBI81" s="609"/>
      <c r="RBJ81" s="609"/>
      <c r="RBK81" s="609"/>
      <c r="RBL81" s="609"/>
      <c r="RBM81" s="609"/>
      <c r="RBN81" s="609"/>
      <c r="RBO81" s="609"/>
      <c r="RBP81" s="609"/>
      <c r="RBQ81" s="609"/>
      <c r="RBR81" s="609"/>
      <c r="RBS81" s="609"/>
      <c r="RBT81" s="609"/>
      <c r="RBU81" s="609"/>
      <c r="RBV81" s="609"/>
      <c r="RBW81" s="609"/>
      <c r="RBX81" s="609"/>
      <c r="RBY81" s="609"/>
      <c r="RBZ81" s="609"/>
      <c r="RCA81" s="609"/>
      <c r="RCB81" s="609"/>
      <c r="RCC81" s="609"/>
      <c r="RCD81" s="609"/>
      <c r="RCE81" s="609"/>
      <c r="RCF81" s="609"/>
      <c r="RCG81" s="609"/>
      <c r="RCH81" s="609"/>
      <c r="RCI81" s="609"/>
      <c r="RCJ81" s="609"/>
      <c r="RCK81" s="609"/>
      <c r="RCL81" s="609"/>
      <c r="RCM81" s="609"/>
      <c r="RCN81" s="609"/>
      <c r="RCO81" s="609"/>
      <c r="RCP81" s="609"/>
      <c r="RCQ81" s="609"/>
      <c r="RCR81" s="609"/>
      <c r="RCS81" s="609"/>
      <c r="RCT81" s="609"/>
      <c r="RCU81" s="609"/>
      <c r="RCV81" s="609"/>
      <c r="RCW81" s="609"/>
      <c r="RCX81" s="609"/>
      <c r="RCY81" s="609"/>
      <c r="RCZ81" s="609"/>
      <c r="RDA81" s="609"/>
      <c r="RDB81" s="609"/>
      <c r="RDC81" s="609"/>
      <c r="RDD81" s="609"/>
      <c r="RDE81" s="609"/>
      <c r="RDF81" s="609"/>
      <c r="RDG81" s="609"/>
      <c r="RDH81" s="609"/>
      <c r="RDI81" s="609"/>
      <c r="RDJ81" s="609"/>
      <c r="RDK81" s="609"/>
      <c r="RDL81" s="609"/>
      <c r="RDM81" s="609"/>
      <c r="RDN81" s="609"/>
      <c r="RDO81" s="609"/>
      <c r="RDP81" s="609"/>
      <c r="RDQ81" s="609"/>
      <c r="RDR81" s="609"/>
      <c r="RDS81" s="609"/>
      <c r="RDT81" s="609"/>
      <c r="RDU81" s="609"/>
      <c r="RDV81" s="609"/>
      <c r="RDW81" s="609"/>
      <c r="RDX81" s="609"/>
      <c r="RDY81" s="609"/>
      <c r="RDZ81" s="609"/>
      <c r="REA81" s="609"/>
      <c r="REB81" s="609"/>
      <c r="REC81" s="609"/>
      <c r="RED81" s="609"/>
      <c r="REE81" s="609"/>
      <c r="REF81" s="609"/>
      <c r="REG81" s="609"/>
      <c r="REH81" s="609"/>
      <c r="REI81" s="609"/>
      <c r="REJ81" s="609"/>
      <c r="REK81" s="609"/>
      <c r="REL81" s="609"/>
      <c r="REM81" s="609"/>
      <c r="REN81" s="609"/>
      <c r="REO81" s="609"/>
      <c r="REP81" s="609"/>
      <c r="REQ81" s="609"/>
      <c r="RER81" s="609"/>
      <c r="RES81" s="609"/>
      <c r="RET81" s="609"/>
      <c r="REU81" s="609"/>
      <c r="REV81" s="609"/>
      <c r="REW81" s="609"/>
      <c r="REX81" s="609"/>
      <c r="REY81" s="609"/>
      <c r="REZ81" s="609"/>
      <c r="RFA81" s="609"/>
      <c r="RFB81" s="609"/>
      <c r="RFC81" s="609"/>
      <c r="RFD81" s="609"/>
      <c r="RFE81" s="609"/>
      <c r="RFF81" s="609"/>
      <c r="RFG81" s="609"/>
      <c r="RFH81" s="609"/>
      <c r="RFI81" s="609"/>
      <c r="RFJ81" s="609"/>
      <c r="RFK81" s="609"/>
      <c r="RFL81" s="609"/>
      <c r="RFM81" s="609"/>
      <c r="RFN81" s="609"/>
      <c r="RFO81" s="609"/>
      <c r="RFP81" s="609"/>
      <c r="RFQ81" s="609"/>
      <c r="RFR81" s="609"/>
      <c r="RFS81" s="609"/>
      <c r="RFT81" s="609"/>
      <c r="RFU81" s="609"/>
      <c r="RFV81" s="609"/>
      <c r="RFW81" s="609"/>
      <c r="RFX81" s="609"/>
      <c r="RFY81" s="609"/>
      <c r="RFZ81" s="609"/>
      <c r="RGA81" s="609"/>
      <c r="RGB81" s="609"/>
      <c r="RGC81" s="609"/>
      <c r="RGD81" s="609"/>
      <c r="RGE81" s="609"/>
      <c r="RGF81" s="609"/>
      <c r="RGG81" s="609"/>
      <c r="RGH81" s="609"/>
      <c r="RGI81" s="609"/>
      <c r="RGJ81" s="609"/>
      <c r="RGK81" s="609"/>
      <c r="RGL81" s="609"/>
      <c r="RGM81" s="609"/>
      <c r="RGN81" s="609"/>
      <c r="RGO81" s="609"/>
      <c r="RGP81" s="609"/>
      <c r="RGQ81" s="609"/>
      <c r="RGR81" s="609"/>
      <c r="RGS81" s="609"/>
      <c r="RGT81" s="609"/>
      <c r="RGU81" s="609"/>
      <c r="RGV81" s="609"/>
      <c r="RGW81" s="609"/>
      <c r="RGX81" s="609"/>
      <c r="RGY81" s="609"/>
      <c r="RGZ81" s="609"/>
      <c r="RHA81" s="609"/>
      <c r="RHB81" s="609"/>
      <c r="RHC81" s="609"/>
      <c r="RHD81" s="609"/>
      <c r="RHE81" s="609"/>
      <c r="RHF81" s="609"/>
      <c r="RHG81" s="609"/>
      <c r="RHH81" s="609"/>
      <c r="RHI81" s="609"/>
      <c r="RHJ81" s="609"/>
      <c r="RHK81" s="609"/>
      <c r="RHL81" s="609"/>
      <c r="RHM81" s="609"/>
      <c r="RHN81" s="609"/>
      <c r="RHO81" s="609"/>
      <c r="RHP81" s="609"/>
      <c r="RHQ81" s="609"/>
      <c r="RHR81" s="609"/>
      <c r="RHS81" s="609"/>
      <c r="RHT81" s="609"/>
      <c r="RHU81" s="609"/>
      <c r="RHV81" s="609"/>
      <c r="RHW81" s="609"/>
      <c r="RHX81" s="609"/>
      <c r="RHY81" s="609"/>
      <c r="RHZ81" s="609"/>
      <c r="RIA81" s="609"/>
      <c r="RIB81" s="609"/>
      <c r="RIC81" s="609"/>
      <c r="RID81" s="609"/>
      <c r="RIE81" s="609"/>
      <c r="RIF81" s="609"/>
      <c r="RIG81" s="609"/>
      <c r="RIH81" s="609"/>
      <c r="RII81" s="609"/>
      <c r="RIJ81" s="609"/>
      <c r="RIK81" s="609"/>
      <c r="RIL81" s="609"/>
      <c r="RIM81" s="609"/>
      <c r="RIN81" s="609"/>
      <c r="RIO81" s="609"/>
      <c r="RIP81" s="609"/>
      <c r="RIQ81" s="609"/>
      <c r="RIR81" s="609"/>
      <c r="RIS81" s="609"/>
      <c r="RIT81" s="609"/>
      <c r="RIU81" s="609"/>
      <c r="RIV81" s="609"/>
      <c r="RIW81" s="609"/>
      <c r="RIX81" s="609"/>
      <c r="RIY81" s="609"/>
      <c r="RIZ81" s="609"/>
      <c r="RJA81" s="609"/>
      <c r="RJB81" s="609"/>
      <c r="RJC81" s="609"/>
      <c r="RJD81" s="609"/>
      <c r="RJE81" s="609"/>
      <c r="RJF81" s="609"/>
      <c r="RJG81" s="609"/>
      <c r="RJH81" s="609"/>
      <c r="RJI81" s="609"/>
      <c r="RJJ81" s="609"/>
      <c r="RJK81" s="609"/>
      <c r="RJL81" s="609"/>
      <c r="RJM81" s="609"/>
      <c r="RJN81" s="609"/>
      <c r="RJO81" s="609"/>
      <c r="RJP81" s="609"/>
      <c r="RJQ81" s="609"/>
      <c r="RJR81" s="609"/>
      <c r="RJS81" s="609"/>
      <c r="RJT81" s="609"/>
      <c r="RJU81" s="609"/>
      <c r="RJV81" s="609"/>
      <c r="RJW81" s="609"/>
      <c r="RJX81" s="609"/>
      <c r="RJY81" s="609"/>
      <c r="RJZ81" s="609"/>
      <c r="RKA81" s="609"/>
      <c r="RKB81" s="609"/>
      <c r="RKC81" s="609"/>
      <c r="RKD81" s="609"/>
      <c r="RKE81" s="609"/>
      <c r="RKF81" s="609"/>
      <c r="RKG81" s="609"/>
      <c r="RKH81" s="609"/>
      <c r="RKI81" s="609"/>
      <c r="RKJ81" s="609"/>
      <c r="RKK81" s="609"/>
      <c r="RKL81" s="609"/>
      <c r="RKM81" s="609"/>
      <c r="RKN81" s="609"/>
      <c r="RKO81" s="609"/>
      <c r="RKP81" s="609"/>
      <c r="RKQ81" s="609"/>
      <c r="RKR81" s="609"/>
      <c r="RKS81" s="609"/>
      <c r="RKT81" s="609"/>
      <c r="RKU81" s="609"/>
      <c r="RKV81" s="609"/>
      <c r="RKW81" s="609"/>
      <c r="RKX81" s="609"/>
      <c r="RKY81" s="609"/>
      <c r="RKZ81" s="609"/>
      <c r="RLA81" s="609"/>
      <c r="RLB81" s="609"/>
      <c r="RLC81" s="609"/>
      <c r="RLD81" s="609"/>
      <c r="RLE81" s="609"/>
      <c r="RLF81" s="609"/>
      <c r="RLG81" s="609"/>
      <c r="RLH81" s="609"/>
      <c r="RLI81" s="609"/>
      <c r="RLJ81" s="609"/>
      <c r="RLK81" s="609"/>
      <c r="RLL81" s="609"/>
      <c r="RLM81" s="609"/>
      <c r="RLN81" s="609"/>
      <c r="RLO81" s="609"/>
      <c r="RLP81" s="609"/>
      <c r="RLQ81" s="609"/>
      <c r="RLR81" s="609"/>
      <c r="RLS81" s="609"/>
      <c r="RLT81" s="609"/>
      <c r="RLU81" s="609"/>
      <c r="RLV81" s="609"/>
      <c r="RLW81" s="609"/>
      <c r="RLX81" s="609"/>
      <c r="RLY81" s="609"/>
      <c r="RLZ81" s="609"/>
      <c r="RMA81" s="609"/>
      <c r="RMB81" s="609"/>
      <c r="RMC81" s="609"/>
      <c r="RMD81" s="609"/>
      <c r="RME81" s="609"/>
      <c r="RMF81" s="609"/>
      <c r="RMG81" s="609"/>
      <c r="RMH81" s="609"/>
      <c r="RMI81" s="609"/>
      <c r="RMJ81" s="609"/>
      <c r="RMK81" s="609"/>
      <c r="RML81" s="609"/>
      <c r="RMM81" s="609"/>
      <c r="RMN81" s="609"/>
      <c r="RMO81" s="609"/>
      <c r="RMP81" s="609"/>
      <c r="RMQ81" s="609"/>
      <c r="RMR81" s="609"/>
      <c r="RMS81" s="609"/>
      <c r="RMT81" s="609"/>
      <c r="RMU81" s="609"/>
      <c r="RMV81" s="609"/>
      <c r="RMW81" s="609"/>
      <c r="RMX81" s="609"/>
      <c r="RMY81" s="609"/>
      <c r="RMZ81" s="609"/>
      <c r="RNA81" s="609"/>
      <c r="RNB81" s="609"/>
      <c r="RNC81" s="609"/>
      <c r="RND81" s="609"/>
      <c r="RNE81" s="609"/>
      <c r="RNF81" s="609"/>
      <c r="RNG81" s="609"/>
      <c r="RNH81" s="609"/>
      <c r="RNI81" s="609"/>
      <c r="RNJ81" s="609"/>
      <c r="RNK81" s="609"/>
      <c r="RNL81" s="609"/>
      <c r="RNM81" s="609"/>
      <c r="RNN81" s="609"/>
      <c r="RNO81" s="609"/>
      <c r="RNP81" s="609"/>
      <c r="RNQ81" s="609"/>
      <c r="RNR81" s="609"/>
      <c r="RNS81" s="609"/>
      <c r="RNT81" s="609"/>
      <c r="RNU81" s="609"/>
      <c r="RNV81" s="609"/>
      <c r="RNW81" s="609"/>
      <c r="RNX81" s="609"/>
      <c r="RNY81" s="609"/>
      <c r="RNZ81" s="609"/>
      <c r="ROA81" s="609"/>
      <c r="ROB81" s="609"/>
      <c r="ROC81" s="609"/>
      <c r="ROD81" s="609"/>
      <c r="ROE81" s="609"/>
      <c r="ROF81" s="609"/>
      <c r="ROG81" s="609"/>
      <c r="ROH81" s="609"/>
      <c r="ROI81" s="609"/>
      <c r="ROJ81" s="609"/>
      <c r="ROK81" s="609"/>
      <c r="ROL81" s="609"/>
      <c r="ROM81" s="609"/>
      <c r="RON81" s="609"/>
      <c r="ROO81" s="609"/>
      <c r="ROP81" s="609"/>
      <c r="ROQ81" s="609"/>
      <c r="ROR81" s="609"/>
      <c r="ROS81" s="609"/>
      <c r="ROT81" s="609"/>
      <c r="ROU81" s="609"/>
      <c r="ROV81" s="609"/>
      <c r="ROW81" s="609"/>
      <c r="ROX81" s="609"/>
      <c r="ROY81" s="609"/>
      <c r="ROZ81" s="609"/>
      <c r="RPA81" s="609"/>
      <c r="RPB81" s="609"/>
      <c r="RPC81" s="609"/>
      <c r="RPD81" s="609"/>
      <c r="RPE81" s="609"/>
      <c r="RPF81" s="609"/>
      <c r="RPG81" s="609"/>
      <c r="RPH81" s="609"/>
      <c r="RPI81" s="609"/>
      <c r="RPJ81" s="609"/>
      <c r="RPK81" s="609"/>
      <c r="RPL81" s="609"/>
      <c r="RPM81" s="609"/>
      <c r="RPN81" s="609"/>
      <c r="RPO81" s="609"/>
      <c r="RPP81" s="609"/>
      <c r="RPQ81" s="609"/>
      <c r="RPR81" s="609"/>
      <c r="RPS81" s="609"/>
      <c r="RPT81" s="609"/>
      <c r="RPU81" s="609"/>
      <c r="RPV81" s="609"/>
      <c r="RPW81" s="609"/>
      <c r="RPX81" s="609"/>
      <c r="RPY81" s="609"/>
      <c r="RPZ81" s="609"/>
      <c r="RQA81" s="609"/>
      <c r="RQB81" s="609"/>
      <c r="RQC81" s="609"/>
      <c r="RQD81" s="609"/>
      <c r="RQE81" s="609"/>
      <c r="RQF81" s="609"/>
      <c r="RQG81" s="609"/>
      <c r="RQH81" s="609"/>
      <c r="RQI81" s="609"/>
      <c r="RQJ81" s="609"/>
      <c r="RQK81" s="609"/>
      <c r="RQL81" s="609"/>
      <c r="RQM81" s="609"/>
      <c r="RQN81" s="609"/>
      <c r="RQO81" s="609"/>
      <c r="RQP81" s="609"/>
      <c r="RQQ81" s="609"/>
      <c r="RQR81" s="609"/>
      <c r="RQS81" s="609"/>
      <c r="RQT81" s="609"/>
      <c r="RQU81" s="609"/>
      <c r="RQV81" s="609"/>
      <c r="RQW81" s="609"/>
      <c r="RQX81" s="609"/>
      <c r="RQY81" s="609"/>
      <c r="RQZ81" s="609"/>
      <c r="RRA81" s="609"/>
      <c r="RRB81" s="609"/>
      <c r="RRC81" s="609"/>
      <c r="RRD81" s="609"/>
      <c r="RRE81" s="609"/>
      <c r="RRF81" s="609"/>
      <c r="RRG81" s="609"/>
      <c r="RRH81" s="609"/>
      <c r="RRI81" s="609"/>
      <c r="RRJ81" s="609"/>
      <c r="RRK81" s="609"/>
      <c r="RRL81" s="609"/>
      <c r="RRM81" s="609"/>
      <c r="RRN81" s="609"/>
      <c r="RRO81" s="609"/>
      <c r="RRP81" s="609"/>
      <c r="RRQ81" s="609"/>
      <c r="RRR81" s="609"/>
      <c r="RRS81" s="609"/>
      <c r="RRT81" s="609"/>
      <c r="RRU81" s="609"/>
      <c r="RRV81" s="609"/>
      <c r="RRW81" s="609"/>
      <c r="RRX81" s="609"/>
      <c r="RRY81" s="609"/>
      <c r="RRZ81" s="609"/>
      <c r="RSA81" s="609"/>
      <c r="RSB81" s="609"/>
      <c r="RSC81" s="609"/>
      <c r="RSD81" s="609"/>
      <c r="RSE81" s="609"/>
      <c r="RSF81" s="609"/>
      <c r="RSG81" s="609"/>
      <c r="RSH81" s="609"/>
      <c r="RSI81" s="609"/>
      <c r="RSJ81" s="609"/>
      <c r="RSK81" s="609"/>
      <c r="RSL81" s="609"/>
      <c r="RSM81" s="609"/>
      <c r="RSN81" s="609"/>
      <c r="RSO81" s="609"/>
      <c r="RSP81" s="609"/>
      <c r="RSQ81" s="609"/>
      <c r="RSR81" s="609"/>
      <c r="RSS81" s="609"/>
      <c r="RST81" s="609"/>
      <c r="RSU81" s="609"/>
      <c r="RSV81" s="609"/>
      <c r="RSW81" s="609"/>
      <c r="RSX81" s="609"/>
      <c r="RSY81" s="609"/>
      <c r="RSZ81" s="609"/>
      <c r="RTA81" s="609"/>
      <c r="RTB81" s="609"/>
      <c r="RTC81" s="609"/>
      <c r="RTD81" s="609"/>
      <c r="RTE81" s="609"/>
      <c r="RTF81" s="609"/>
      <c r="RTG81" s="609"/>
      <c r="RTH81" s="609"/>
      <c r="RTI81" s="609"/>
      <c r="RTJ81" s="609"/>
      <c r="RTK81" s="609"/>
      <c r="RTL81" s="609"/>
      <c r="RTM81" s="609"/>
      <c r="RTN81" s="609"/>
      <c r="RTO81" s="609"/>
      <c r="RTP81" s="609"/>
      <c r="RTQ81" s="609"/>
      <c r="RTR81" s="609"/>
      <c r="RTS81" s="609"/>
      <c r="RTT81" s="609"/>
      <c r="RTU81" s="609"/>
      <c r="RTV81" s="609"/>
      <c r="RTW81" s="609"/>
      <c r="RTX81" s="609"/>
      <c r="RTY81" s="609"/>
      <c r="RTZ81" s="609"/>
      <c r="RUA81" s="609"/>
      <c r="RUB81" s="609"/>
      <c r="RUC81" s="609"/>
      <c r="RUD81" s="609"/>
      <c r="RUE81" s="609"/>
      <c r="RUF81" s="609"/>
      <c r="RUG81" s="609"/>
      <c r="RUH81" s="609"/>
      <c r="RUI81" s="609"/>
      <c r="RUJ81" s="609"/>
      <c r="RUK81" s="609"/>
      <c r="RUL81" s="609"/>
      <c r="RUM81" s="609"/>
      <c r="RUN81" s="609"/>
      <c r="RUO81" s="609"/>
      <c r="RUP81" s="609"/>
      <c r="RUQ81" s="609"/>
      <c r="RUR81" s="609"/>
      <c r="RUS81" s="609"/>
      <c r="RUT81" s="609"/>
      <c r="RUU81" s="609"/>
      <c r="RUV81" s="609"/>
      <c r="RUW81" s="609"/>
      <c r="RUX81" s="609"/>
      <c r="RUY81" s="609"/>
      <c r="RUZ81" s="609"/>
      <c r="RVA81" s="609"/>
      <c r="RVB81" s="609"/>
      <c r="RVC81" s="609"/>
      <c r="RVD81" s="609"/>
      <c r="RVE81" s="609"/>
      <c r="RVF81" s="609"/>
      <c r="RVG81" s="609"/>
      <c r="RVH81" s="609"/>
      <c r="RVI81" s="609"/>
      <c r="RVJ81" s="609"/>
      <c r="RVK81" s="609"/>
      <c r="RVL81" s="609"/>
      <c r="RVM81" s="609"/>
      <c r="RVN81" s="609"/>
      <c r="RVO81" s="609"/>
      <c r="RVP81" s="609"/>
      <c r="RVQ81" s="609"/>
      <c r="RVR81" s="609"/>
      <c r="RVS81" s="609"/>
      <c r="RVT81" s="609"/>
      <c r="RVU81" s="609"/>
      <c r="RVV81" s="609"/>
      <c r="RVW81" s="609"/>
      <c r="RVX81" s="609"/>
      <c r="RVY81" s="609"/>
      <c r="RVZ81" s="609"/>
      <c r="RWA81" s="609"/>
      <c r="RWB81" s="609"/>
      <c r="RWC81" s="609"/>
      <c r="RWD81" s="609"/>
      <c r="RWE81" s="609"/>
      <c r="RWF81" s="609"/>
      <c r="RWG81" s="609"/>
      <c r="RWH81" s="609"/>
      <c r="RWI81" s="609"/>
      <c r="RWJ81" s="609"/>
      <c r="RWK81" s="609"/>
      <c r="RWL81" s="609"/>
      <c r="RWM81" s="609"/>
      <c r="RWN81" s="609"/>
      <c r="RWO81" s="609"/>
      <c r="RWP81" s="609"/>
      <c r="RWQ81" s="609"/>
      <c r="RWR81" s="609"/>
      <c r="RWS81" s="609"/>
      <c r="RWT81" s="609"/>
      <c r="RWU81" s="609"/>
      <c r="RWV81" s="609"/>
      <c r="RWW81" s="609"/>
      <c r="RWX81" s="609"/>
      <c r="RWY81" s="609"/>
      <c r="RWZ81" s="609"/>
      <c r="RXA81" s="609"/>
      <c r="RXB81" s="609"/>
      <c r="RXC81" s="609"/>
      <c r="RXD81" s="609"/>
      <c r="RXE81" s="609"/>
      <c r="RXF81" s="609"/>
      <c r="RXG81" s="609"/>
      <c r="RXH81" s="609"/>
      <c r="RXI81" s="609"/>
      <c r="RXJ81" s="609"/>
      <c r="RXK81" s="609"/>
      <c r="RXL81" s="609"/>
      <c r="RXM81" s="609"/>
      <c r="RXN81" s="609"/>
      <c r="RXO81" s="609"/>
      <c r="RXP81" s="609"/>
      <c r="RXQ81" s="609"/>
      <c r="RXR81" s="609"/>
      <c r="RXS81" s="609"/>
      <c r="RXT81" s="609"/>
      <c r="RXU81" s="609"/>
      <c r="RXV81" s="609"/>
      <c r="RXW81" s="609"/>
      <c r="RXX81" s="609"/>
      <c r="RXY81" s="609"/>
      <c r="RXZ81" s="609"/>
      <c r="RYA81" s="609"/>
      <c r="RYB81" s="609"/>
      <c r="RYC81" s="609"/>
      <c r="RYD81" s="609"/>
      <c r="RYE81" s="609"/>
      <c r="RYF81" s="609"/>
      <c r="RYG81" s="609"/>
      <c r="RYH81" s="609"/>
      <c r="RYI81" s="609"/>
      <c r="RYJ81" s="609"/>
      <c r="RYK81" s="609"/>
      <c r="RYL81" s="609"/>
      <c r="RYM81" s="609"/>
      <c r="RYN81" s="609"/>
      <c r="RYO81" s="609"/>
      <c r="RYP81" s="609"/>
      <c r="RYQ81" s="609"/>
      <c r="RYR81" s="609"/>
      <c r="RYS81" s="609"/>
      <c r="RYT81" s="609"/>
      <c r="RYU81" s="609"/>
      <c r="RYV81" s="609"/>
      <c r="RYW81" s="609"/>
      <c r="RYX81" s="609"/>
      <c r="RYY81" s="609"/>
      <c r="RYZ81" s="609"/>
      <c r="RZA81" s="609"/>
      <c r="RZB81" s="609"/>
      <c r="RZC81" s="609"/>
      <c r="RZD81" s="609"/>
      <c r="RZE81" s="609"/>
      <c r="RZF81" s="609"/>
      <c r="RZG81" s="609"/>
      <c r="RZH81" s="609"/>
      <c r="RZI81" s="609"/>
      <c r="RZJ81" s="609"/>
      <c r="RZK81" s="609"/>
      <c r="RZL81" s="609"/>
      <c r="RZM81" s="609"/>
      <c r="RZN81" s="609"/>
      <c r="RZO81" s="609"/>
      <c r="RZP81" s="609"/>
      <c r="RZQ81" s="609"/>
      <c r="RZR81" s="609"/>
      <c r="RZS81" s="609"/>
      <c r="RZT81" s="609"/>
      <c r="RZU81" s="609"/>
      <c r="RZV81" s="609"/>
      <c r="RZW81" s="609"/>
      <c r="RZX81" s="609"/>
      <c r="RZY81" s="609"/>
      <c r="RZZ81" s="609"/>
      <c r="SAA81" s="609"/>
      <c r="SAB81" s="609"/>
      <c r="SAC81" s="609"/>
      <c r="SAD81" s="609"/>
      <c r="SAE81" s="609"/>
      <c r="SAF81" s="609"/>
      <c r="SAG81" s="609"/>
      <c r="SAH81" s="609"/>
      <c r="SAI81" s="609"/>
      <c r="SAJ81" s="609"/>
      <c r="SAK81" s="609"/>
      <c r="SAL81" s="609"/>
      <c r="SAM81" s="609"/>
      <c r="SAN81" s="609"/>
      <c r="SAO81" s="609"/>
      <c r="SAP81" s="609"/>
      <c r="SAQ81" s="609"/>
      <c r="SAR81" s="609"/>
      <c r="SAS81" s="609"/>
      <c r="SAT81" s="609"/>
      <c r="SAU81" s="609"/>
      <c r="SAV81" s="609"/>
      <c r="SAW81" s="609"/>
      <c r="SAX81" s="609"/>
      <c r="SAY81" s="609"/>
      <c r="SAZ81" s="609"/>
      <c r="SBA81" s="609"/>
      <c r="SBB81" s="609"/>
      <c r="SBC81" s="609"/>
      <c r="SBD81" s="609"/>
      <c r="SBE81" s="609"/>
      <c r="SBF81" s="609"/>
      <c r="SBG81" s="609"/>
      <c r="SBH81" s="609"/>
      <c r="SBI81" s="609"/>
      <c r="SBJ81" s="609"/>
      <c r="SBK81" s="609"/>
      <c r="SBL81" s="609"/>
      <c r="SBM81" s="609"/>
      <c r="SBN81" s="609"/>
      <c r="SBO81" s="609"/>
      <c r="SBP81" s="609"/>
      <c r="SBQ81" s="609"/>
      <c r="SBR81" s="609"/>
      <c r="SBS81" s="609"/>
      <c r="SBT81" s="609"/>
      <c r="SBU81" s="609"/>
      <c r="SBV81" s="609"/>
      <c r="SBW81" s="609"/>
      <c r="SBX81" s="609"/>
      <c r="SBY81" s="609"/>
      <c r="SBZ81" s="609"/>
      <c r="SCA81" s="609"/>
      <c r="SCB81" s="609"/>
      <c r="SCC81" s="609"/>
      <c r="SCD81" s="609"/>
      <c r="SCE81" s="609"/>
      <c r="SCF81" s="609"/>
      <c r="SCG81" s="609"/>
      <c r="SCH81" s="609"/>
      <c r="SCI81" s="609"/>
      <c r="SCJ81" s="609"/>
      <c r="SCK81" s="609"/>
      <c r="SCL81" s="609"/>
      <c r="SCM81" s="609"/>
      <c r="SCN81" s="609"/>
      <c r="SCO81" s="609"/>
      <c r="SCP81" s="609"/>
      <c r="SCQ81" s="609"/>
      <c r="SCR81" s="609"/>
      <c r="SCS81" s="609"/>
      <c r="SCT81" s="609"/>
      <c r="SCU81" s="609"/>
      <c r="SCV81" s="609"/>
      <c r="SCW81" s="609"/>
      <c r="SCX81" s="609"/>
      <c r="SCY81" s="609"/>
      <c r="SCZ81" s="609"/>
      <c r="SDA81" s="609"/>
      <c r="SDB81" s="609"/>
      <c r="SDC81" s="609"/>
      <c r="SDD81" s="609"/>
      <c r="SDE81" s="609"/>
      <c r="SDF81" s="609"/>
      <c r="SDG81" s="609"/>
      <c r="SDH81" s="609"/>
      <c r="SDI81" s="609"/>
      <c r="SDJ81" s="609"/>
      <c r="SDK81" s="609"/>
      <c r="SDL81" s="609"/>
      <c r="SDM81" s="609"/>
      <c r="SDN81" s="609"/>
      <c r="SDO81" s="609"/>
      <c r="SDP81" s="609"/>
      <c r="SDQ81" s="609"/>
      <c r="SDR81" s="609"/>
      <c r="SDS81" s="609"/>
      <c r="SDT81" s="609"/>
      <c r="SDU81" s="609"/>
      <c r="SDV81" s="609"/>
      <c r="SDW81" s="609"/>
      <c r="SDX81" s="609"/>
      <c r="SDY81" s="609"/>
      <c r="SDZ81" s="609"/>
      <c r="SEA81" s="609"/>
      <c r="SEB81" s="609"/>
      <c r="SEC81" s="609"/>
      <c r="SED81" s="609"/>
      <c r="SEE81" s="609"/>
      <c r="SEF81" s="609"/>
      <c r="SEG81" s="609"/>
      <c r="SEH81" s="609"/>
      <c r="SEI81" s="609"/>
      <c r="SEJ81" s="609"/>
      <c r="SEK81" s="609"/>
      <c r="SEL81" s="609"/>
      <c r="SEM81" s="609"/>
      <c r="SEN81" s="609"/>
      <c r="SEO81" s="609"/>
      <c r="SEP81" s="609"/>
      <c r="SEQ81" s="609"/>
      <c r="SER81" s="609"/>
      <c r="SES81" s="609"/>
      <c r="SET81" s="609"/>
      <c r="SEU81" s="609"/>
      <c r="SEV81" s="609"/>
      <c r="SEW81" s="609"/>
      <c r="SEX81" s="609"/>
      <c r="SEY81" s="609"/>
      <c r="SEZ81" s="609"/>
      <c r="SFA81" s="609"/>
      <c r="SFB81" s="609"/>
      <c r="SFC81" s="609"/>
      <c r="SFD81" s="609"/>
      <c r="SFE81" s="609"/>
      <c r="SFF81" s="609"/>
      <c r="SFG81" s="609"/>
      <c r="SFH81" s="609"/>
      <c r="SFI81" s="609"/>
      <c r="SFJ81" s="609"/>
      <c r="SFK81" s="609"/>
      <c r="SFL81" s="609"/>
      <c r="SFM81" s="609"/>
      <c r="SFN81" s="609"/>
      <c r="SFO81" s="609"/>
      <c r="SFP81" s="609"/>
      <c r="SFQ81" s="609"/>
      <c r="SFR81" s="609"/>
      <c r="SFS81" s="609"/>
      <c r="SFT81" s="609"/>
      <c r="SFU81" s="609"/>
      <c r="SFV81" s="609"/>
      <c r="SFW81" s="609"/>
      <c r="SFX81" s="609"/>
      <c r="SFY81" s="609"/>
      <c r="SFZ81" s="609"/>
      <c r="SGA81" s="609"/>
      <c r="SGB81" s="609"/>
      <c r="SGC81" s="609"/>
      <c r="SGD81" s="609"/>
      <c r="SGE81" s="609"/>
      <c r="SGF81" s="609"/>
      <c r="SGG81" s="609"/>
      <c r="SGH81" s="609"/>
      <c r="SGI81" s="609"/>
      <c r="SGJ81" s="609"/>
      <c r="SGK81" s="609"/>
      <c r="SGL81" s="609"/>
      <c r="SGM81" s="609"/>
      <c r="SGN81" s="609"/>
      <c r="SGO81" s="609"/>
      <c r="SGP81" s="609"/>
      <c r="SGQ81" s="609"/>
      <c r="SGR81" s="609"/>
      <c r="SGS81" s="609"/>
      <c r="SGT81" s="609"/>
      <c r="SGU81" s="609"/>
      <c r="SGV81" s="609"/>
      <c r="SGW81" s="609"/>
      <c r="SGX81" s="609"/>
      <c r="SGY81" s="609"/>
      <c r="SGZ81" s="609"/>
      <c r="SHA81" s="609"/>
      <c r="SHB81" s="609"/>
      <c r="SHC81" s="609"/>
      <c r="SHD81" s="609"/>
      <c r="SHE81" s="609"/>
      <c r="SHF81" s="609"/>
      <c r="SHG81" s="609"/>
      <c r="SHH81" s="609"/>
      <c r="SHI81" s="609"/>
      <c r="SHJ81" s="609"/>
      <c r="SHK81" s="609"/>
      <c r="SHL81" s="609"/>
      <c r="SHM81" s="609"/>
      <c r="SHN81" s="609"/>
      <c r="SHO81" s="609"/>
      <c r="SHP81" s="609"/>
      <c r="SHQ81" s="609"/>
      <c r="SHR81" s="609"/>
      <c r="SHS81" s="609"/>
      <c r="SHT81" s="609"/>
      <c r="SHU81" s="609"/>
      <c r="SHV81" s="609"/>
      <c r="SHW81" s="609"/>
      <c r="SHX81" s="609"/>
      <c r="SHY81" s="609"/>
      <c r="SHZ81" s="609"/>
      <c r="SIA81" s="609"/>
      <c r="SIB81" s="609"/>
      <c r="SIC81" s="609"/>
      <c r="SID81" s="609"/>
      <c r="SIE81" s="609"/>
      <c r="SIF81" s="609"/>
      <c r="SIG81" s="609"/>
      <c r="SIH81" s="609"/>
      <c r="SII81" s="609"/>
      <c r="SIJ81" s="609"/>
      <c r="SIK81" s="609"/>
      <c r="SIL81" s="609"/>
      <c r="SIM81" s="609"/>
      <c r="SIN81" s="609"/>
      <c r="SIO81" s="609"/>
      <c r="SIP81" s="609"/>
      <c r="SIQ81" s="609"/>
      <c r="SIR81" s="609"/>
      <c r="SIS81" s="609"/>
      <c r="SIT81" s="609"/>
      <c r="SIU81" s="609"/>
      <c r="SIV81" s="609"/>
      <c r="SIW81" s="609"/>
      <c r="SIX81" s="609"/>
      <c r="SIY81" s="609"/>
      <c r="SIZ81" s="609"/>
      <c r="SJA81" s="609"/>
      <c r="SJB81" s="609"/>
      <c r="SJC81" s="609"/>
      <c r="SJD81" s="609"/>
      <c r="SJE81" s="609"/>
      <c r="SJF81" s="609"/>
      <c r="SJG81" s="609"/>
      <c r="SJH81" s="609"/>
      <c r="SJI81" s="609"/>
      <c r="SJJ81" s="609"/>
      <c r="SJK81" s="609"/>
      <c r="SJL81" s="609"/>
      <c r="SJM81" s="609"/>
      <c r="SJN81" s="609"/>
      <c r="SJO81" s="609"/>
      <c r="SJP81" s="609"/>
      <c r="SJQ81" s="609"/>
      <c r="SJR81" s="609"/>
      <c r="SJS81" s="609"/>
      <c r="SJT81" s="609"/>
      <c r="SJU81" s="609"/>
      <c r="SJV81" s="609"/>
      <c r="SJW81" s="609"/>
      <c r="SJX81" s="609"/>
      <c r="SJY81" s="609"/>
      <c r="SJZ81" s="609"/>
      <c r="SKA81" s="609"/>
      <c r="SKB81" s="609"/>
      <c r="SKC81" s="609"/>
      <c r="SKD81" s="609"/>
      <c r="SKE81" s="609"/>
      <c r="SKF81" s="609"/>
      <c r="SKG81" s="609"/>
      <c r="SKH81" s="609"/>
      <c r="SKI81" s="609"/>
      <c r="SKJ81" s="609"/>
      <c r="SKK81" s="609"/>
      <c r="SKL81" s="609"/>
      <c r="SKM81" s="609"/>
      <c r="SKN81" s="609"/>
      <c r="SKO81" s="609"/>
      <c r="SKP81" s="609"/>
      <c r="SKQ81" s="609"/>
      <c r="SKR81" s="609"/>
      <c r="SKS81" s="609"/>
      <c r="SKT81" s="609"/>
      <c r="SKU81" s="609"/>
      <c r="SKV81" s="609"/>
      <c r="SKW81" s="609"/>
      <c r="SKX81" s="609"/>
      <c r="SKY81" s="609"/>
      <c r="SKZ81" s="609"/>
      <c r="SLA81" s="609"/>
      <c r="SLB81" s="609"/>
      <c r="SLC81" s="609"/>
      <c r="SLD81" s="609"/>
      <c r="SLE81" s="609"/>
      <c r="SLF81" s="609"/>
      <c r="SLG81" s="609"/>
      <c r="SLH81" s="609"/>
      <c r="SLI81" s="609"/>
      <c r="SLJ81" s="609"/>
      <c r="SLK81" s="609"/>
      <c r="SLL81" s="609"/>
      <c r="SLM81" s="609"/>
      <c r="SLN81" s="609"/>
      <c r="SLO81" s="609"/>
      <c r="SLP81" s="609"/>
      <c r="SLQ81" s="609"/>
      <c r="SLR81" s="609"/>
      <c r="SLS81" s="609"/>
      <c r="SLT81" s="609"/>
      <c r="SLU81" s="609"/>
      <c r="SLV81" s="609"/>
      <c r="SLW81" s="609"/>
      <c r="SLX81" s="609"/>
      <c r="SLY81" s="609"/>
      <c r="SLZ81" s="609"/>
      <c r="SMA81" s="609"/>
      <c r="SMB81" s="609"/>
      <c r="SMC81" s="609"/>
      <c r="SMD81" s="609"/>
      <c r="SME81" s="609"/>
      <c r="SMF81" s="609"/>
      <c r="SMG81" s="609"/>
      <c r="SMH81" s="609"/>
      <c r="SMI81" s="609"/>
      <c r="SMJ81" s="609"/>
      <c r="SMK81" s="609"/>
      <c r="SML81" s="609"/>
      <c r="SMM81" s="609"/>
      <c r="SMN81" s="609"/>
      <c r="SMO81" s="609"/>
      <c r="SMP81" s="609"/>
      <c r="SMQ81" s="609"/>
      <c r="SMR81" s="609"/>
      <c r="SMS81" s="609"/>
      <c r="SMT81" s="609"/>
      <c r="SMU81" s="609"/>
      <c r="SMV81" s="609"/>
      <c r="SMW81" s="609"/>
      <c r="SMX81" s="609"/>
      <c r="SMY81" s="609"/>
      <c r="SMZ81" s="609"/>
      <c r="SNA81" s="609"/>
      <c r="SNB81" s="609"/>
      <c r="SNC81" s="609"/>
      <c r="SND81" s="609"/>
      <c r="SNE81" s="609"/>
      <c r="SNF81" s="609"/>
      <c r="SNG81" s="609"/>
      <c r="SNH81" s="609"/>
      <c r="SNI81" s="609"/>
      <c r="SNJ81" s="609"/>
      <c r="SNK81" s="609"/>
      <c r="SNL81" s="609"/>
      <c r="SNM81" s="609"/>
      <c r="SNN81" s="609"/>
      <c r="SNO81" s="609"/>
      <c r="SNP81" s="609"/>
      <c r="SNQ81" s="609"/>
      <c r="SNR81" s="609"/>
      <c r="SNS81" s="609"/>
      <c r="SNT81" s="609"/>
      <c r="SNU81" s="609"/>
      <c r="SNV81" s="609"/>
      <c r="SNW81" s="609"/>
      <c r="SNX81" s="609"/>
      <c r="SNY81" s="609"/>
      <c r="SNZ81" s="609"/>
      <c r="SOA81" s="609"/>
      <c r="SOB81" s="609"/>
      <c r="SOC81" s="609"/>
      <c r="SOD81" s="609"/>
      <c r="SOE81" s="609"/>
      <c r="SOF81" s="609"/>
      <c r="SOG81" s="609"/>
      <c r="SOH81" s="609"/>
      <c r="SOI81" s="609"/>
      <c r="SOJ81" s="609"/>
      <c r="SOK81" s="609"/>
      <c r="SOL81" s="609"/>
      <c r="SOM81" s="609"/>
      <c r="SON81" s="609"/>
      <c r="SOO81" s="609"/>
      <c r="SOP81" s="609"/>
      <c r="SOQ81" s="609"/>
      <c r="SOR81" s="609"/>
      <c r="SOS81" s="609"/>
      <c r="SOT81" s="609"/>
      <c r="SOU81" s="609"/>
      <c r="SOV81" s="609"/>
      <c r="SOW81" s="609"/>
      <c r="SOX81" s="609"/>
      <c r="SOY81" s="609"/>
      <c r="SOZ81" s="609"/>
      <c r="SPA81" s="609"/>
      <c r="SPB81" s="609"/>
      <c r="SPC81" s="609"/>
      <c r="SPD81" s="609"/>
      <c r="SPE81" s="609"/>
      <c r="SPF81" s="609"/>
      <c r="SPG81" s="609"/>
      <c r="SPH81" s="609"/>
      <c r="SPI81" s="609"/>
      <c r="SPJ81" s="609"/>
      <c r="SPK81" s="609"/>
      <c r="SPL81" s="609"/>
      <c r="SPM81" s="609"/>
      <c r="SPN81" s="609"/>
      <c r="SPO81" s="609"/>
      <c r="SPP81" s="609"/>
      <c r="SPQ81" s="609"/>
      <c r="SPR81" s="609"/>
      <c r="SPS81" s="609"/>
      <c r="SPT81" s="609"/>
      <c r="SPU81" s="609"/>
      <c r="SPV81" s="609"/>
      <c r="SPW81" s="609"/>
      <c r="SPX81" s="609"/>
      <c r="SPY81" s="609"/>
      <c r="SPZ81" s="609"/>
      <c r="SQA81" s="609"/>
      <c r="SQB81" s="609"/>
      <c r="SQC81" s="609"/>
      <c r="SQD81" s="609"/>
      <c r="SQE81" s="609"/>
      <c r="SQF81" s="609"/>
      <c r="SQG81" s="609"/>
      <c r="SQH81" s="609"/>
      <c r="SQI81" s="609"/>
      <c r="SQJ81" s="609"/>
      <c r="SQK81" s="609"/>
      <c r="SQL81" s="609"/>
      <c r="SQM81" s="609"/>
      <c r="SQN81" s="609"/>
      <c r="SQO81" s="609"/>
      <c r="SQP81" s="609"/>
      <c r="SQQ81" s="609"/>
      <c r="SQR81" s="609"/>
      <c r="SQS81" s="609"/>
      <c r="SQT81" s="609"/>
      <c r="SQU81" s="609"/>
      <c r="SQV81" s="609"/>
      <c r="SQW81" s="609"/>
      <c r="SQX81" s="609"/>
      <c r="SQY81" s="609"/>
      <c r="SQZ81" s="609"/>
      <c r="SRA81" s="609"/>
      <c r="SRB81" s="609"/>
      <c r="SRC81" s="609"/>
      <c r="SRD81" s="609"/>
      <c r="SRE81" s="609"/>
      <c r="SRF81" s="609"/>
      <c r="SRG81" s="609"/>
      <c r="SRH81" s="609"/>
      <c r="SRI81" s="609"/>
      <c r="SRJ81" s="609"/>
      <c r="SRK81" s="609"/>
      <c r="SRL81" s="609"/>
      <c r="SRM81" s="609"/>
      <c r="SRN81" s="609"/>
      <c r="SRO81" s="609"/>
      <c r="SRP81" s="609"/>
      <c r="SRQ81" s="609"/>
      <c r="SRR81" s="609"/>
      <c r="SRS81" s="609"/>
      <c r="SRT81" s="609"/>
      <c r="SRU81" s="609"/>
      <c r="SRV81" s="609"/>
      <c r="SRW81" s="609"/>
      <c r="SRX81" s="609"/>
      <c r="SRY81" s="609"/>
      <c r="SRZ81" s="609"/>
      <c r="SSA81" s="609"/>
      <c r="SSB81" s="609"/>
      <c r="SSC81" s="609"/>
      <c r="SSD81" s="609"/>
      <c r="SSE81" s="609"/>
      <c r="SSF81" s="609"/>
      <c r="SSG81" s="609"/>
      <c r="SSH81" s="609"/>
      <c r="SSI81" s="609"/>
      <c r="SSJ81" s="609"/>
      <c r="SSK81" s="609"/>
      <c r="SSL81" s="609"/>
      <c r="SSM81" s="609"/>
      <c r="SSN81" s="609"/>
      <c r="SSO81" s="609"/>
      <c r="SSP81" s="609"/>
      <c r="SSQ81" s="609"/>
      <c r="SSR81" s="609"/>
      <c r="SSS81" s="609"/>
      <c r="SST81" s="609"/>
      <c r="SSU81" s="609"/>
      <c r="SSV81" s="609"/>
      <c r="SSW81" s="609"/>
      <c r="SSX81" s="609"/>
      <c r="SSY81" s="609"/>
      <c r="SSZ81" s="609"/>
      <c r="STA81" s="609"/>
      <c r="STB81" s="609"/>
      <c r="STC81" s="609"/>
      <c r="STD81" s="609"/>
      <c r="STE81" s="609"/>
      <c r="STF81" s="609"/>
      <c r="STG81" s="609"/>
      <c r="STH81" s="609"/>
      <c r="STI81" s="609"/>
      <c r="STJ81" s="609"/>
      <c r="STK81" s="609"/>
      <c r="STL81" s="609"/>
      <c r="STM81" s="609"/>
      <c r="STN81" s="609"/>
      <c r="STO81" s="609"/>
      <c r="STP81" s="609"/>
      <c r="STQ81" s="609"/>
      <c r="STR81" s="609"/>
      <c r="STS81" s="609"/>
      <c r="STT81" s="609"/>
      <c r="STU81" s="609"/>
      <c r="STV81" s="609"/>
      <c r="STW81" s="609"/>
      <c r="STX81" s="609"/>
      <c r="STY81" s="609"/>
      <c r="STZ81" s="609"/>
      <c r="SUA81" s="609"/>
      <c r="SUB81" s="609"/>
      <c r="SUC81" s="609"/>
      <c r="SUD81" s="609"/>
      <c r="SUE81" s="609"/>
      <c r="SUF81" s="609"/>
      <c r="SUG81" s="609"/>
      <c r="SUH81" s="609"/>
      <c r="SUI81" s="609"/>
      <c r="SUJ81" s="609"/>
      <c r="SUK81" s="609"/>
      <c r="SUL81" s="609"/>
      <c r="SUM81" s="609"/>
      <c r="SUN81" s="609"/>
      <c r="SUO81" s="609"/>
      <c r="SUP81" s="609"/>
      <c r="SUQ81" s="609"/>
      <c r="SUR81" s="609"/>
      <c r="SUS81" s="609"/>
      <c r="SUT81" s="609"/>
      <c r="SUU81" s="609"/>
      <c r="SUV81" s="609"/>
      <c r="SUW81" s="609"/>
      <c r="SUX81" s="609"/>
      <c r="SUY81" s="609"/>
      <c r="SUZ81" s="609"/>
      <c r="SVA81" s="609"/>
      <c r="SVB81" s="609"/>
      <c r="SVC81" s="609"/>
      <c r="SVD81" s="609"/>
      <c r="SVE81" s="609"/>
      <c r="SVF81" s="609"/>
      <c r="SVG81" s="609"/>
      <c r="SVH81" s="609"/>
      <c r="SVI81" s="609"/>
      <c r="SVJ81" s="609"/>
      <c r="SVK81" s="609"/>
      <c r="SVL81" s="609"/>
      <c r="SVM81" s="609"/>
      <c r="SVN81" s="609"/>
      <c r="SVO81" s="609"/>
      <c r="SVP81" s="609"/>
      <c r="SVQ81" s="609"/>
      <c r="SVR81" s="609"/>
      <c r="SVS81" s="609"/>
      <c r="SVT81" s="609"/>
      <c r="SVU81" s="609"/>
      <c r="SVV81" s="609"/>
      <c r="SVW81" s="609"/>
      <c r="SVX81" s="609"/>
      <c r="SVY81" s="609"/>
      <c r="SVZ81" s="609"/>
      <c r="SWA81" s="609"/>
      <c r="SWB81" s="609"/>
      <c r="SWC81" s="609"/>
      <c r="SWD81" s="609"/>
      <c r="SWE81" s="609"/>
      <c r="SWF81" s="609"/>
      <c r="SWG81" s="609"/>
      <c r="SWH81" s="609"/>
      <c r="SWI81" s="609"/>
      <c r="SWJ81" s="609"/>
      <c r="SWK81" s="609"/>
      <c r="SWL81" s="609"/>
      <c r="SWM81" s="609"/>
      <c r="SWN81" s="609"/>
      <c r="SWO81" s="609"/>
      <c r="SWP81" s="609"/>
      <c r="SWQ81" s="609"/>
      <c r="SWR81" s="609"/>
      <c r="SWS81" s="609"/>
      <c r="SWT81" s="609"/>
      <c r="SWU81" s="609"/>
      <c r="SWV81" s="609"/>
      <c r="SWW81" s="609"/>
      <c r="SWX81" s="609"/>
      <c r="SWY81" s="609"/>
      <c r="SWZ81" s="609"/>
      <c r="SXA81" s="609"/>
      <c r="SXB81" s="609"/>
      <c r="SXC81" s="609"/>
      <c r="SXD81" s="609"/>
      <c r="SXE81" s="609"/>
      <c r="SXF81" s="609"/>
      <c r="SXG81" s="609"/>
      <c r="SXH81" s="609"/>
      <c r="SXI81" s="609"/>
      <c r="SXJ81" s="609"/>
      <c r="SXK81" s="609"/>
      <c r="SXL81" s="609"/>
      <c r="SXM81" s="609"/>
      <c r="SXN81" s="609"/>
      <c r="SXO81" s="609"/>
      <c r="SXP81" s="609"/>
      <c r="SXQ81" s="609"/>
      <c r="SXR81" s="609"/>
      <c r="SXS81" s="609"/>
      <c r="SXT81" s="609"/>
      <c r="SXU81" s="609"/>
      <c r="SXV81" s="609"/>
      <c r="SXW81" s="609"/>
      <c r="SXX81" s="609"/>
      <c r="SXY81" s="609"/>
      <c r="SXZ81" s="609"/>
      <c r="SYA81" s="609"/>
      <c r="SYB81" s="609"/>
      <c r="SYC81" s="609"/>
      <c r="SYD81" s="609"/>
      <c r="SYE81" s="609"/>
      <c r="SYF81" s="609"/>
      <c r="SYG81" s="609"/>
      <c r="SYH81" s="609"/>
      <c r="SYI81" s="609"/>
      <c r="SYJ81" s="609"/>
      <c r="SYK81" s="609"/>
      <c r="SYL81" s="609"/>
      <c r="SYM81" s="609"/>
      <c r="SYN81" s="609"/>
      <c r="SYO81" s="609"/>
      <c r="SYP81" s="609"/>
      <c r="SYQ81" s="609"/>
      <c r="SYR81" s="609"/>
      <c r="SYS81" s="609"/>
      <c r="SYT81" s="609"/>
      <c r="SYU81" s="609"/>
      <c r="SYV81" s="609"/>
      <c r="SYW81" s="609"/>
      <c r="SYX81" s="609"/>
      <c r="SYY81" s="609"/>
      <c r="SYZ81" s="609"/>
      <c r="SZA81" s="609"/>
      <c r="SZB81" s="609"/>
      <c r="SZC81" s="609"/>
      <c r="SZD81" s="609"/>
      <c r="SZE81" s="609"/>
      <c r="SZF81" s="609"/>
      <c r="SZG81" s="609"/>
      <c r="SZH81" s="609"/>
      <c r="SZI81" s="609"/>
      <c r="SZJ81" s="609"/>
      <c r="SZK81" s="609"/>
      <c r="SZL81" s="609"/>
      <c r="SZM81" s="609"/>
      <c r="SZN81" s="609"/>
      <c r="SZO81" s="609"/>
      <c r="SZP81" s="609"/>
      <c r="SZQ81" s="609"/>
      <c r="SZR81" s="609"/>
      <c r="SZS81" s="609"/>
      <c r="SZT81" s="609"/>
      <c r="SZU81" s="609"/>
      <c r="SZV81" s="609"/>
      <c r="SZW81" s="609"/>
      <c r="SZX81" s="609"/>
      <c r="SZY81" s="609"/>
      <c r="SZZ81" s="609"/>
      <c r="TAA81" s="609"/>
      <c r="TAB81" s="609"/>
      <c r="TAC81" s="609"/>
      <c r="TAD81" s="609"/>
      <c r="TAE81" s="609"/>
      <c r="TAF81" s="609"/>
      <c r="TAG81" s="609"/>
      <c r="TAH81" s="609"/>
      <c r="TAI81" s="609"/>
      <c r="TAJ81" s="609"/>
      <c r="TAK81" s="609"/>
      <c r="TAL81" s="609"/>
      <c r="TAM81" s="609"/>
      <c r="TAN81" s="609"/>
      <c r="TAO81" s="609"/>
      <c r="TAP81" s="609"/>
      <c r="TAQ81" s="609"/>
      <c r="TAR81" s="609"/>
      <c r="TAS81" s="609"/>
      <c r="TAT81" s="609"/>
      <c r="TAU81" s="609"/>
      <c r="TAV81" s="609"/>
      <c r="TAW81" s="609"/>
      <c r="TAX81" s="609"/>
      <c r="TAY81" s="609"/>
      <c r="TAZ81" s="609"/>
      <c r="TBA81" s="609"/>
      <c r="TBB81" s="609"/>
      <c r="TBC81" s="609"/>
      <c r="TBD81" s="609"/>
      <c r="TBE81" s="609"/>
      <c r="TBF81" s="609"/>
      <c r="TBG81" s="609"/>
      <c r="TBH81" s="609"/>
      <c r="TBI81" s="609"/>
      <c r="TBJ81" s="609"/>
      <c r="TBK81" s="609"/>
      <c r="TBL81" s="609"/>
      <c r="TBM81" s="609"/>
      <c r="TBN81" s="609"/>
      <c r="TBO81" s="609"/>
      <c r="TBP81" s="609"/>
      <c r="TBQ81" s="609"/>
      <c r="TBR81" s="609"/>
      <c r="TBS81" s="609"/>
      <c r="TBT81" s="609"/>
      <c r="TBU81" s="609"/>
      <c r="TBV81" s="609"/>
      <c r="TBW81" s="609"/>
      <c r="TBX81" s="609"/>
      <c r="TBY81" s="609"/>
      <c r="TBZ81" s="609"/>
      <c r="TCA81" s="609"/>
      <c r="TCB81" s="609"/>
      <c r="TCC81" s="609"/>
      <c r="TCD81" s="609"/>
      <c r="TCE81" s="609"/>
      <c r="TCF81" s="609"/>
      <c r="TCG81" s="609"/>
      <c r="TCH81" s="609"/>
      <c r="TCI81" s="609"/>
      <c r="TCJ81" s="609"/>
      <c r="TCK81" s="609"/>
      <c r="TCL81" s="609"/>
      <c r="TCM81" s="609"/>
      <c r="TCN81" s="609"/>
      <c r="TCO81" s="609"/>
      <c r="TCP81" s="609"/>
      <c r="TCQ81" s="609"/>
      <c r="TCR81" s="609"/>
      <c r="TCS81" s="609"/>
      <c r="TCT81" s="609"/>
      <c r="TCU81" s="609"/>
      <c r="TCV81" s="609"/>
      <c r="TCW81" s="609"/>
      <c r="TCX81" s="609"/>
      <c r="TCY81" s="609"/>
      <c r="TCZ81" s="609"/>
      <c r="TDA81" s="609"/>
      <c r="TDB81" s="609"/>
      <c r="TDC81" s="609"/>
      <c r="TDD81" s="609"/>
      <c r="TDE81" s="609"/>
      <c r="TDF81" s="609"/>
      <c r="TDG81" s="609"/>
      <c r="TDH81" s="609"/>
      <c r="TDI81" s="609"/>
      <c r="TDJ81" s="609"/>
      <c r="TDK81" s="609"/>
      <c r="TDL81" s="609"/>
      <c r="TDM81" s="609"/>
      <c r="TDN81" s="609"/>
      <c r="TDO81" s="609"/>
      <c r="TDP81" s="609"/>
      <c r="TDQ81" s="609"/>
      <c r="TDR81" s="609"/>
      <c r="TDS81" s="609"/>
      <c r="TDT81" s="609"/>
      <c r="TDU81" s="609"/>
      <c r="TDV81" s="609"/>
      <c r="TDW81" s="609"/>
      <c r="TDX81" s="609"/>
      <c r="TDY81" s="609"/>
      <c r="TDZ81" s="609"/>
      <c r="TEA81" s="609"/>
      <c r="TEB81" s="609"/>
      <c r="TEC81" s="609"/>
      <c r="TED81" s="609"/>
      <c r="TEE81" s="609"/>
      <c r="TEF81" s="609"/>
      <c r="TEG81" s="609"/>
      <c r="TEH81" s="609"/>
      <c r="TEI81" s="609"/>
      <c r="TEJ81" s="609"/>
      <c r="TEK81" s="609"/>
      <c r="TEL81" s="609"/>
      <c r="TEM81" s="609"/>
      <c r="TEN81" s="609"/>
      <c r="TEO81" s="609"/>
      <c r="TEP81" s="609"/>
      <c r="TEQ81" s="609"/>
      <c r="TER81" s="609"/>
      <c r="TES81" s="609"/>
      <c r="TET81" s="609"/>
      <c r="TEU81" s="609"/>
      <c r="TEV81" s="609"/>
      <c r="TEW81" s="609"/>
      <c r="TEX81" s="609"/>
      <c r="TEY81" s="609"/>
      <c r="TEZ81" s="609"/>
      <c r="TFA81" s="609"/>
      <c r="TFB81" s="609"/>
      <c r="TFC81" s="609"/>
      <c r="TFD81" s="609"/>
      <c r="TFE81" s="609"/>
      <c r="TFF81" s="609"/>
      <c r="TFG81" s="609"/>
      <c r="TFH81" s="609"/>
      <c r="TFI81" s="609"/>
      <c r="TFJ81" s="609"/>
      <c r="TFK81" s="609"/>
      <c r="TFL81" s="609"/>
      <c r="TFM81" s="609"/>
      <c r="TFN81" s="609"/>
      <c r="TFO81" s="609"/>
      <c r="TFP81" s="609"/>
      <c r="TFQ81" s="609"/>
      <c r="TFR81" s="609"/>
      <c r="TFS81" s="609"/>
      <c r="TFT81" s="609"/>
      <c r="TFU81" s="609"/>
      <c r="TFV81" s="609"/>
      <c r="TFW81" s="609"/>
      <c r="TFX81" s="609"/>
      <c r="TFY81" s="609"/>
      <c r="TFZ81" s="609"/>
      <c r="TGA81" s="609"/>
      <c r="TGB81" s="609"/>
      <c r="TGC81" s="609"/>
      <c r="TGD81" s="609"/>
      <c r="TGE81" s="609"/>
      <c r="TGF81" s="609"/>
      <c r="TGG81" s="609"/>
      <c r="TGH81" s="609"/>
      <c r="TGI81" s="609"/>
      <c r="TGJ81" s="609"/>
      <c r="TGK81" s="609"/>
      <c r="TGL81" s="609"/>
      <c r="TGM81" s="609"/>
      <c r="TGN81" s="609"/>
      <c r="TGO81" s="609"/>
      <c r="TGP81" s="609"/>
      <c r="TGQ81" s="609"/>
      <c r="TGR81" s="609"/>
      <c r="TGS81" s="609"/>
      <c r="TGT81" s="609"/>
      <c r="TGU81" s="609"/>
      <c r="TGV81" s="609"/>
      <c r="TGW81" s="609"/>
      <c r="TGX81" s="609"/>
      <c r="TGY81" s="609"/>
      <c r="TGZ81" s="609"/>
      <c r="THA81" s="609"/>
      <c r="THB81" s="609"/>
      <c r="THC81" s="609"/>
      <c r="THD81" s="609"/>
      <c r="THE81" s="609"/>
      <c r="THF81" s="609"/>
      <c r="THG81" s="609"/>
      <c r="THH81" s="609"/>
      <c r="THI81" s="609"/>
      <c r="THJ81" s="609"/>
      <c r="THK81" s="609"/>
      <c r="THL81" s="609"/>
      <c r="THM81" s="609"/>
      <c r="THN81" s="609"/>
      <c r="THO81" s="609"/>
      <c r="THP81" s="609"/>
      <c r="THQ81" s="609"/>
      <c r="THR81" s="609"/>
      <c r="THS81" s="609"/>
      <c r="THT81" s="609"/>
      <c r="THU81" s="609"/>
      <c r="THV81" s="609"/>
      <c r="THW81" s="609"/>
      <c r="THX81" s="609"/>
      <c r="THY81" s="609"/>
      <c r="THZ81" s="609"/>
      <c r="TIA81" s="609"/>
      <c r="TIB81" s="609"/>
      <c r="TIC81" s="609"/>
      <c r="TID81" s="609"/>
      <c r="TIE81" s="609"/>
      <c r="TIF81" s="609"/>
      <c r="TIG81" s="609"/>
      <c r="TIH81" s="609"/>
      <c r="TII81" s="609"/>
      <c r="TIJ81" s="609"/>
      <c r="TIK81" s="609"/>
      <c r="TIL81" s="609"/>
      <c r="TIM81" s="609"/>
      <c r="TIN81" s="609"/>
      <c r="TIO81" s="609"/>
      <c r="TIP81" s="609"/>
      <c r="TIQ81" s="609"/>
      <c r="TIR81" s="609"/>
      <c r="TIS81" s="609"/>
      <c r="TIT81" s="609"/>
      <c r="TIU81" s="609"/>
      <c r="TIV81" s="609"/>
      <c r="TIW81" s="609"/>
      <c r="TIX81" s="609"/>
      <c r="TIY81" s="609"/>
      <c r="TIZ81" s="609"/>
      <c r="TJA81" s="609"/>
      <c r="TJB81" s="609"/>
      <c r="TJC81" s="609"/>
      <c r="TJD81" s="609"/>
      <c r="TJE81" s="609"/>
      <c r="TJF81" s="609"/>
      <c r="TJG81" s="609"/>
      <c r="TJH81" s="609"/>
      <c r="TJI81" s="609"/>
      <c r="TJJ81" s="609"/>
      <c r="TJK81" s="609"/>
      <c r="TJL81" s="609"/>
      <c r="TJM81" s="609"/>
      <c r="TJN81" s="609"/>
      <c r="TJO81" s="609"/>
      <c r="TJP81" s="609"/>
      <c r="TJQ81" s="609"/>
      <c r="TJR81" s="609"/>
      <c r="TJS81" s="609"/>
      <c r="TJT81" s="609"/>
      <c r="TJU81" s="609"/>
      <c r="TJV81" s="609"/>
      <c r="TJW81" s="609"/>
      <c r="TJX81" s="609"/>
      <c r="TJY81" s="609"/>
      <c r="TJZ81" s="609"/>
      <c r="TKA81" s="609"/>
      <c r="TKB81" s="609"/>
      <c r="TKC81" s="609"/>
      <c r="TKD81" s="609"/>
      <c r="TKE81" s="609"/>
      <c r="TKF81" s="609"/>
      <c r="TKG81" s="609"/>
      <c r="TKH81" s="609"/>
      <c r="TKI81" s="609"/>
      <c r="TKJ81" s="609"/>
      <c r="TKK81" s="609"/>
      <c r="TKL81" s="609"/>
      <c r="TKM81" s="609"/>
      <c r="TKN81" s="609"/>
      <c r="TKO81" s="609"/>
      <c r="TKP81" s="609"/>
      <c r="TKQ81" s="609"/>
      <c r="TKR81" s="609"/>
      <c r="TKS81" s="609"/>
      <c r="TKT81" s="609"/>
      <c r="TKU81" s="609"/>
      <c r="TKV81" s="609"/>
      <c r="TKW81" s="609"/>
      <c r="TKX81" s="609"/>
      <c r="TKY81" s="609"/>
      <c r="TKZ81" s="609"/>
      <c r="TLA81" s="609"/>
      <c r="TLB81" s="609"/>
      <c r="TLC81" s="609"/>
      <c r="TLD81" s="609"/>
      <c r="TLE81" s="609"/>
      <c r="TLF81" s="609"/>
      <c r="TLG81" s="609"/>
      <c r="TLH81" s="609"/>
      <c r="TLI81" s="609"/>
      <c r="TLJ81" s="609"/>
      <c r="TLK81" s="609"/>
      <c r="TLL81" s="609"/>
      <c r="TLM81" s="609"/>
      <c r="TLN81" s="609"/>
      <c r="TLO81" s="609"/>
      <c r="TLP81" s="609"/>
      <c r="TLQ81" s="609"/>
      <c r="TLR81" s="609"/>
      <c r="TLS81" s="609"/>
      <c r="TLT81" s="609"/>
      <c r="TLU81" s="609"/>
      <c r="TLV81" s="609"/>
      <c r="TLW81" s="609"/>
      <c r="TLX81" s="609"/>
      <c r="TLY81" s="609"/>
      <c r="TLZ81" s="609"/>
      <c r="TMA81" s="609"/>
      <c r="TMB81" s="609"/>
      <c r="TMC81" s="609"/>
      <c r="TMD81" s="609"/>
      <c r="TME81" s="609"/>
      <c r="TMF81" s="609"/>
      <c r="TMG81" s="609"/>
      <c r="TMH81" s="609"/>
      <c r="TMI81" s="609"/>
      <c r="TMJ81" s="609"/>
      <c r="TMK81" s="609"/>
      <c r="TML81" s="609"/>
      <c r="TMM81" s="609"/>
      <c r="TMN81" s="609"/>
      <c r="TMO81" s="609"/>
      <c r="TMP81" s="609"/>
      <c r="TMQ81" s="609"/>
      <c r="TMR81" s="609"/>
      <c r="TMS81" s="609"/>
      <c r="TMT81" s="609"/>
      <c r="TMU81" s="609"/>
      <c r="TMV81" s="609"/>
      <c r="TMW81" s="609"/>
      <c r="TMX81" s="609"/>
      <c r="TMY81" s="609"/>
      <c r="TMZ81" s="609"/>
      <c r="TNA81" s="609"/>
      <c r="TNB81" s="609"/>
      <c r="TNC81" s="609"/>
      <c r="TND81" s="609"/>
      <c r="TNE81" s="609"/>
      <c r="TNF81" s="609"/>
      <c r="TNG81" s="609"/>
      <c r="TNH81" s="609"/>
      <c r="TNI81" s="609"/>
      <c r="TNJ81" s="609"/>
      <c r="TNK81" s="609"/>
      <c r="TNL81" s="609"/>
      <c r="TNM81" s="609"/>
      <c r="TNN81" s="609"/>
      <c r="TNO81" s="609"/>
      <c r="TNP81" s="609"/>
      <c r="TNQ81" s="609"/>
      <c r="TNR81" s="609"/>
      <c r="TNS81" s="609"/>
      <c r="TNT81" s="609"/>
      <c r="TNU81" s="609"/>
      <c r="TNV81" s="609"/>
      <c r="TNW81" s="609"/>
      <c r="TNX81" s="609"/>
      <c r="TNY81" s="609"/>
      <c r="TNZ81" s="609"/>
      <c r="TOA81" s="609"/>
      <c r="TOB81" s="609"/>
      <c r="TOC81" s="609"/>
      <c r="TOD81" s="609"/>
      <c r="TOE81" s="609"/>
      <c r="TOF81" s="609"/>
      <c r="TOG81" s="609"/>
      <c r="TOH81" s="609"/>
      <c r="TOI81" s="609"/>
      <c r="TOJ81" s="609"/>
      <c r="TOK81" s="609"/>
      <c r="TOL81" s="609"/>
      <c r="TOM81" s="609"/>
      <c r="TON81" s="609"/>
      <c r="TOO81" s="609"/>
      <c r="TOP81" s="609"/>
      <c r="TOQ81" s="609"/>
      <c r="TOR81" s="609"/>
      <c r="TOS81" s="609"/>
      <c r="TOT81" s="609"/>
      <c r="TOU81" s="609"/>
      <c r="TOV81" s="609"/>
      <c r="TOW81" s="609"/>
      <c r="TOX81" s="609"/>
      <c r="TOY81" s="609"/>
      <c r="TOZ81" s="609"/>
      <c r="TPA81" s="609"/>
      <c r="TPB81" s="609"/>
      <c r="TPC81" s="609"/>
      <c r="TPD81" s="609"/>
      <c r="TPE81" s="609"/>
      <c r="TPF81" s="609"/>
      <c r="TPG81" s="609"/>
      <c r="TPH81" s="609"/>
      <c r="TPI81" s="609"/>
      <c r="TPJ81" s="609"/>
      <c r="TPK81" s="609"/>
      <c r="TPL81" s="609"/>
      <c r="TPM81" s="609"/>
      <c r="TPN81" s="609"/>
      <c r="TPO81" s="609"/>
      <c r="TPP81" s="609"/>
      <c r="TPQ81" s="609"/>
      <c r="TPR81" s="609"/>
      <c r="TPS81" s="609"/>
      <c r="TPT81" s="609"/>
      <c r="TPU81" s="609"/>
      <c r="TPV81" s="609"/>
      <c r="TPW81" s="609"/>
      <c r="TPX81" s="609"/>
      <c r="TPY81" s="609"/>
      <c r="TPZ81" s="609"/>
      <c r="TQA81" s="609"/>
      <c r="TQB81" s="609"/>
      <c r="TQC81" s="609"/>
      <c r="TQD81" s="609"/>
      <c r="TQE81" s="609"/>
      <c r="TQF81" s="609"/>
      <c r="TQG81" s="609"/>
      <c r="TQH81" s="609"/>
      <c r="TQI81" s="609"/>
      <c r="TQJ81" s="609"/>
      <c r="TQK81" s="609"/>
      <c r="TQL81" s="609"/>
      <c r="TQM81" s="609"/>
      <c r="TQN81" s="609"/>
      <c r="TQO81" s="609"/>
      <c r="TQP81" s="609"/>
      <c r="TQQ81" s="609"/>
      <c r="TQR81" s="609"/>
      <c r="TQS81" s="609"/>
      <c r="TQT81" s="609"/>
      <c r="TQU81" s="609"/>
      <c r="TQV81" s="609"/>
      <c r="TQW81" s="609"/>
      <c r="TQX81" s="609"/>
      <c r="TQY81" s="609"/>
      <c r="TQZ81" s="609"/>
      <c r="TRA81" s="609"/>
      <c r="TRB81" s="609"/>
      <c r="TRC81" s="609"/>
      <c r="TRD81" s="609"/>
      <c r="TRE81" s="609"/>
      <c r="TRF81" s="609"/>
      <c r="TRG81" s="609"/>
      <c r="TRH81" s="609"/>
      <c r="TRI81" s="609"/>
      <c r="TRJ81" s="609"/>
      <c r="TRK81" s="609"/>
      <c r="TRL81" s="609"/>
      <c r="TRM81" s="609"/>
      <c r="TRN81" s="609"/>
      <c r="TRO81" s="609"/>
      <c r="TRP81" s="609"/>
      <c r="TRQ81" s="609"/>
      <c r="TRR81" s="609"/>
      <c r="TRS81" s="609"/>
      <c r="TRT81" s="609"/>
      <c r="TRU81" s="609"/>
      <c r="TRV81" s="609"/>
      <c r="TRW81" s="609"/>
      <c r="TRX81" s="609"/>
      <c r="TRY81" s="609"/>
      <c r="TRZ81" s="609"/>
      <c r="TSA81" s="609"/>
      <c r="TSB81" s="609"/>
      <c r="TSC81" s="609"/>
      <c r="TSD81" s="609"/>
      <c r="TSE81" s="609"/>
      <c r="TSF81" s="609"/>
      <c r="TSG81" s="609"/>
      <c r="TSH81" s="609"/>
      <c r="TSI81" s="609"/>
      <c r="TSJ81" s="609"/>
      <c r="TSK81" s="609"/>
      <c r="TSL81" s="609"/>
      <c r="TSM81" s="609"/>
      <c r="TSN81" s="609"/>
      <c r="TSO81" s="609"/>
      <c r="TSP81" s="609"/>
      <c r="TSQ81" s="609"/>
      <c r="TSR81" s="609"/>
      <c r="TSS81" s="609"/>
      <c r="TST81" s="609"/>
      <c r="TSU81" s="609"/>
      <c r="TSV81" s="609"/>
      <c r="TSW81" s="609"/>
      <c r="TSX81" s="609"/>
      <c r="TSY81" s="609"/>
      <c r="TSZ81" s="609"/>
      <c r="TTA81" s="609"/>
      <c r="TTB81" s="609"/>
      <c r="TTC81" s="609"/>
      <c r="TTD81" s="609"/>
      <c r="TTE81" s="609"/>
      <c r="TTF81" s="609"/>
      <c r="TTG81" s="609"/>
      <c r="TTH81" s="609"/>
      <c r="TTI81" s="609"/>
      <c r="TTJ81" s="609"/>
      <c r="TTK81" s="609"/>
      <c r="TTL81" s="609"/>
      <c r="TTM81" s="609"/>
      <c r="TTN81" s="609"/>
      <c r="TTO81" s="609"/>
      <c r="TTP81" s="609"/>
      <c r="TTQ81" s="609"/>
      <c r="TTR81" s="609"/>
      <c r="TTS81" s="609"/>
      <c r="TTT81" s="609"/>
      <c r="TTU81" s="609"/>
      <c r="TTV81" s="609"/>
      <c r="TTW81" s="609"/>
      <c r="TTX81" s="609"/>
      <c r="TTY81" s="609"/>
      <c r="TTZ81" s="609"/>
      <c r="TUA81" s="609"/>
      <c r="TUB81" s="609"/>
      <c r="TUC81" s="609"/>
      <c r="TUD81" s="609"/>
      <c r="TUE81" s="609"/>
      <c r="TUF81" s="609"/>
      <c r="TUG81" s="609"/>
      <c r="TUH81" s="609"/>
      <c r="TUI81" s="609"/>
      <c r="TUJ81" s="609"/>
      <c r="TUK81" s="609"/>
      <c r="TUL81" s="609"/>
      <c r="TUM81" s="609"/>
      <c r="TUN81" s="609"/>
      <c r="TUO81" s="609"/>
      <c r="TUP81" s="609"/>
      <c r="TUQ81" s="609"/>
      <c r="TUR81" s="609"/>
      <c r="TUS81" s="609"/>
      <c r="TUT81" s="609"/>
      <c r="TUU81" s="609"/>
      <c r="TUV81" s="609"/>
      <c r="TUW81" s="609"/>
      <c r="TUX81" s="609"/>
      <c r="TUY81" s="609"/>
      <c r="TUZ81" s="609"/>
      <c r="TVA81" s="609"/>
      <c r="TVB81" s="609"/>
      <c r="TVC81" s="609"/>
      <c r="TVD81" s="609"/>
      <c r="TVE81" s="609"/>
      <c r="TVF81" s="609"/>
      <c r="TVG81" s="609"/>
      <c r="TVH81" s="609"/>
      <c r="TVI81" s="609"/>
      <c r="TVJ81" s="609"/>
      <c r="TVK81" s="609"/>
      <c r="TVL81" s="609"/>
      <c r="TVM81" s="609"/>
      <c r="TVN81" s="609"/>
      <c r="TVO81" s="609"/>
      <c r="TVP81" s="609"/>
      <c r="TVQ81" s="609"/>
      <c r="TVR81" s="609"/>
      <c r="TVS81" s="609"/>
      <c r="TVT81" s="609"/>
      <c r="TVU81" s="609"/>
      <c r="TVV81" s="609"/>
      <c r="TVW81" s="609"/>
      <c r="TVX81" s="609"/>
      <c r="TVY81" s="609"/>
      <c r="TVZ81" s="609"/>
      <c r="TWA81" s="609"/>
      <c r="TWB81" s="609"/>
      <c r="TWC81" s="609"/>
      <c r="TWD81" s="609"/>
      <c r="TWE81" s="609"/>
      <c r="TWF81" s="609"/>
      <c r="TWG81" s="609"/>
      <c r="TWH81" s="609"/>
      <c r="TWI81" s="609"/>
      <c r="TWJ81" s="609"/>
      <c r="TWK81" s="609"/>
      <c r="TWL81" s="609"/>
      <c r="TWM81" s="609"/>
      <c r="TWN81" s="609"/>
      <c r="TWO81" s="609"/>
      <c r="TWP81" s="609"/>
      <c r="TWQ81" s="609"/>
      <c r="TWR81" s="609"/>
      <c r="TWS81" s="609"/>
      <c r="TWT81" s="609"/>
      <c r="TWU81" s="609"/>
      <c r="TWV81" s="609"/>
      <c r="TWW81" s="609"/>
      <c r="TWX81" s="609"/>
      <c r="TWY81" s="609"/>
      <c r="TWZ81" s="609"/>
      <c r="TXA81" s="609"/>
      <c r="TXB81" s="609"/>
      <c r="TXC81" s="609"/>
      <c r="TXD81" s="609"/>
      <c r="TXE81" s="609"/>
      <c r="TXF81" s="609"/>
      <c r="TXG81" s="609"/>
      <c r="TXH81" s="609"/>
      <c r="TXI81" s="609"/>
      <c r="TXJ81" s="609"/>
      <c r="TXK81" s="609"/>
      <c r="TXL81" s="609"/>
      <c r="TXM81" s="609"/>
      <c r="TXN81" s="609"/>
      <c r="TXO81" s="609"/>
      <c r="TXP81" s="609"/>
      <c r="TXQ81" s="609"/>
      <c r="TXR81" s="609"/>
      <c r="TXS81" s="609"/>
      <c r="TXT81" s="609"/>
      <c r="TXU81" s="609"/>
      <c r="TXV81" s="609"/>
      <c r="TXW81" s="609"/>
      <c r="TXX81" s="609"/>
      <c r="TXY81" s="609"/>
      <c r="TXZ81" s="609"/>
      <c r="TYA81" s="609"/>
      <c r="TYB81" s="609"/>
      <c r="TYC81" s="609"/>
      <c r="TYD81" s="609"/>
      <c r="TYE81" s="609"/>
      <c r="TYF81" s="609"/>
      <c r="TYG81" s="609"/>
      <c r="TYH81" s="609"/>
      <c r="TYI81" s="609"/>
      <c r="TYJ81" s="609"/>
      <c r="TYK81" s="609"/>
      <c r="TYL81" s="609"/>
      <c r="TYM81" s="609"/>
      <c r="TYN81" s="609"/>
      <c r="TYO81" s="609"/>
      <c r="TYP81" s="609"/>
      <c r="TYQ81" s="609"/>
      <c r="TYR81" s="609"/>
      <c r="TYS81" s="609"/>
      <c r="TYT81" s="609"/>
      <c r="TYU81" s="609"/>
      <c r="TYV81" s="609"/>
      <c r="TYW81" s="609"/>
      <c r="TYX81" s="609"/>
      <c r="TYY81" s="609"/>
      <c r="TYZ81" s="609"/>
      <c r="TZA81" s="609"/>
      <c r="TZB81" s="609"/>
      <c r="TZC81" s="609"/>
      <c r="TZD81" s="609"/>
      <c r="TZE81" s="609"/>
      <c r="TZF81" s="609"/>
      <c r="TZG81" s="609"/>
      <c r="TZH81" s="609"/>
      <c r="TZI81" s="609"/>
      <c r="TZJ81" s="609"/>
      <c r="TZK81" s="609"/>
      <c r="TZL81" s="609"/>
      <c r="TZM81" s="609"/>
      <c r="TZN81" s="609"/>
      <c r="TZO81" s="609"/>
      <c r="TZP81" s="609"/>
      <c r="TZQ81" s="609"/>
      <c r="TZR81" s="609"/>
      <c r="TZS81" s="609"/>
      <c r="TZT81" s="609"/>
      <c r="TZU81" s="609"/>
      <c r="TZV81" s="609"/>
      <c r="TZW81" s="609"/>
      <c r="TZX81" s="609"/>
      <c r="TZY81" s="609"/>
      <c r="TZZ81" s="609"/>
      <c r="UAA81" s="609"/>
      <c r="UAB81" s="609"/>
      <c r="UAC81" s="609"/>
      <c r="UAD81" s="609"/>
      <c r="UAE81" s="609"/>
      <c r="UAF81" s="609"/>
      <c r="UAG81" s="609"/>
      <c r="UAH81" s="609"/>
      <c r="UAI81" s="609"/>
      <c r="UAJ81" s="609"/>
      <c r="UAK81" s="609"/>
      <c r="UAL81" s="609"/>
      <c r="UAM81" s="609"/>
      <c r="UAN81" s="609"/>
      <c r="UAO81" s="609"/>
      <c r="UAP81" s="609"/>
      <c r="UAQ81" s="609"/>
      <c r="UAR81" s="609"/>
      <c r="UAS81" s="609"/>
      <c r="UAT81" s="609"/>
      <c r="UAU81" s="609"/>
      <c r="UAV81" s="609"/>
      <c r="UAW81" s="609"/>
      <c r="UAX81" s="609"/>
      <c r="UAY81" s="609"/>
      <c r="UAZ81" s="609"/>
      <c r="UBA81" s="609"/>
      <c r="UBB81" s="609"/>
      <c r="UBC81" s="609"/>
      <c r="UBD81" s="609"/>
      <c r="UBE81" s="609"/>
      <c r="UBF81" s="609"/>
      <c r="UBG81" s="609"/>
      <c r="UBH81" s="609"/>
      <c r="UBI81" s="609"/>
      <c r="UBJ81" s="609"/>
      <c r="UBK81" s="609"/>
      <c r="UBL81" s="609"/>
      <c r="UBM81" s="609"/>
      <c r="UBN81" s="609"/>
      <c r="UBO81" s="609"/>
      <c r="UBP81" s="609"/>
      <c r="UBQ81" s="609"/>
      <c r="UBR81" s="609"/>
      <c r="UBS81" s="609"/>
      <c r="UBT81" s="609"/>
      <c r="UBU81" s="609"/>
      <c r="UBV81" s="609"/>
      <c r="UBW81" s="609"/>
      <c r="UBX81" s="609"/>
      <c r="UBY81" s="609"/>
      <c r="UBZ81" s="609"/>
      <c r="UCA81" s="609"/>
      <c r="UCB81" s="609"/>
      <c r="UCC81" s="609"/>
      <c r="UCD81" s="609"/>
      <c r="UCE81" s="609"/>
      <c r="UCF81" s="609"/>
      <c r="UCG81" s="609"/>
      <c r="UCH81" s="609"/>
      <c r="UCI81" s="609"/>
      <c r="UCJ81" s="609"/>
      <c r="UCK81" s="609"/>
      <c r="UCL81" s="609"/>
      <c r="UCM81" s="609"/>
      <c r="UCN81" s="609"/>
      <c r="UCO81" s="609"/>
      <c r="UCP81" s="609"/>
      <c r="UCQ81" s="609"/>
      <c r="UCR81" s="609"/>
      <c r="UCS81" s="609"/>
      <c r="UCT81" s="609"/>
      <c r="UCU81" s="609"/>
      <c r="UCV81" s="609"/>
      <c r="UCW81" s="609"/>
      <c r="UCX81" s="609"/>
      <c r="UCY81" s="609"/>
      <c r="UCZ81" s="609"/>
      <c r="UDA81" s="609"/>
      <c r="UDB81" s="609"/>
      <c r="UDC81" s="609"/>
      <c r="UDD81" s="609"/>
      <c r="UDE81" s="609"/>
      <c r="UDF81" s="609"/>
      <c r="UDG81" s="609"/>
      <c r="UDH81" s="609"/>
      <c r="UDI81" s="609"/>
      <c r="UDJ81" s="609"/>
      <c r="UDK81" s="609"/>
      <c r="UDL81" s="609"/>
      <c r="UDM81" s="609"/>
      <c r="UDN81" s="609"/>
      <c r="UDO81" s="609"/>
      <c r="UDP81" s="609"/>
      <c r="UDQ81" s="609"/>
      <c r="UDR81" s="609"/>
      <c r="UDS81" s="609"/>
      <c r="UDT81" s="609"/>
      <c r="UDU81" s="609"/>
      <c r="UDV81" s="609"/>
      <c r="UDW81" s="609"/>
      <c r="UDX81" s="609"/>
      <c r="UDY81" s="609"/>
      <c r="UDZ81" s="609"/>
      <c r="UEA81" s="609"/>
      <c r="UEB81" s="609"/>
      <c r="UEC81" s="609"/>
      <c r="UED81" s="609"/>
      <c r="UEE81" s="609"/>
      <c r="UEF81" s="609"/>
      <c r="UEG81" s="609"/>
      <c r="UEH81" s="609"/>
      <c r="UEI81" s="609"/>
      <c r="UEJ81" s="609"/>
      <c r="UEK81" s="609"/>
      <c r="UEL81" s="609"/>
      <c r="UEM81" s="609"/>
      <c r="UEN81" s="609"/>
      <c r="UEO81" s="609"/>
      <c r="UEP81" s="609"/>
      <c r="UEQ81" s="609"/>
      <c r="UER81" s="609"/>
      <c r="UES81" s="609"/>
      <c r="UET81" s="609"/>
      <c r="UEU81" s="609"/>
      <c r="UEV81" s="609"/>
      <c r="UEW81" s="609"/>
      <c r="UEX81" s="609"/>
      <c r="UEY81" s="609"/>
      <c r="UEZ81" s="609"/>
      <c r="UFA81" s="609"/>
      <c r="UFB81" s="609"/>
      <c r="UFC81" s="609"/>
      <c r="UFD81" s="609"/>
      <c r="UFE81" s="609"/>
      <c r="UFF81" s="609"/>
      <c r="UFG81" s="609"/>
      <c r="UFH81" s="609"/>
      <c r="UFI81" s="609"/>
      <c r="UFJ81" s="609"/>
      <c r="UFK81" s="609"/>
      <c r="UFL81" s="609"/>
      <c r="UFM81" s="609"/>
      <c r="UFN81" s="609"/>
      <c r="UFO81" s="609"/>
      <c r="UFP81" s="609"/>
      <c r="UFQ81" s="609"/>
      <c r="UFR81" s="609"/>
      <c r="UFS81" s="609"/>
      <c r="UFT81" s="609"/>
      <c r="UFU81" s="609"/>
      <c r="UFV81" s="609"/>
      <c r="UFW81" s="609"/>
      <c r="UFX81" s="609"/>
      <c r="UFY81" s="609"/>
      <c r="UFZ81" s="609"/>
      <c r="UGA81" s="609"/>
      <c r="UGB81" s="609"/>
      <c r="UGC81" s="609"/>
      <c r="UGD81" s="609"/>
      <c r="UGE81" s="609"/>
      <c r="UGF81" s="609"/>
      <c r="UGG81" s="609"/>
      <c r="UGH81" s="609"/>
      <c r="UGI81" s="609"/>
      <c r="UGJ81" s="609"/>
      <c r="UGK81" s="609"/>
      <c r="UGL81" s="609"/>
      <c r="UGM81" s="609"/>
      <c r="UGN81" s="609"/>
      <c r="UGO81" s="609"/>
      <c r="UGP81" s="609"/>
      <c r="UGQ81" s="609"/>
      <c r="UGR81" s="609"/>
      <c r="UGS81" s="609"/>
      <c r="UGT81" s="609"/>
      <c r="UGU81" s="609"/>
      <c r="UGV81" s="609"/>
      <c r="UGW81" s="609"/>
      <c r="UGX81" s="609"/>
      <c r="UGY81" s="609"/>
      <c r="UGZ81" s="609"/>
      <c r="UHA81" s="609"/>
      <c r="UHB81" s="609"/>
      <c r="UHC81" s="609"/>
      <c r="UHD81" s="609"/>
      <c r="UHE81" s="609"/>
      <c r="UHF81" s="609"/>
      <c r="UHG81" s="609"/>
      <c r="UHH81" s="609"/>
      <c r="UHI81" s="609"/>
      <c r="UHJ81" s="609"/>
      <c r="UHK81" s="609"/>
      <c r="UHL81" s="609"/>
      <c r="UHM81" s="609"/>
      <c r="UHN81" s="609"/>
      <c r="UHO81" s="609"/>
      <c r="UHP81" s="609"/>
      <c r="UHQ81" s="609"/>
      <c r="UHR81" s="609"/>
      <c r="UHS81" s="609"/>
      <c r="UHT81" s="609"/>
      <c r="UHU81" s="609"/>
      <c r="UHV81" s="609"/>
      <c r="UHW81" s="609"/>
      <c r="UHX81" s="609"/>
      <c r="UHY81" s="609"/>
      <c r="UHZ81" s="609"/>
      <c r="UIA81" s="609"/>
      <c r="UIB81" s="609"/>
      <c r="UIC81" s="609"/>
      <c r="UID81" s="609"/>
      <c r="UIE81" s="609"/>
      <c r="UIF81" s="609"/>
      <c r="UIG81" s="609"/>
      <c r="UIH81" s="609"/>
      <c r="UII81" s="609"/>
      <c r="UIJ81" s="609"/>
      <c r="UIK81" s="609"/>
      <c r="UIL81" s="609"/>
      <c r="UIM81" s="609"/>
      <c r="UIN81" s="609"/>
      <c r="UIO81" s="609"/>
      <c r="UIP81" s="609"/>
      <c r="UIQ81" s="609"/>
      <c r="UIR81" s="609"/>
      <c r="UIS81" s="609"/>
      <c r="UIT81" s="609"/>
      <c r="UIU81" s="609"/>
      <c r="UIV81" s="609"/>
      <c r="UIW81" s="609"/>
      <c r="UIX81" s="609"/>
      <c r="UIY81" s="609"/>
      <c r="UIZ81" s="609"/>
      <c r="UJA81" s="609"/>
      <c r="UJB81" s="609"/>
      <c r="UJC81" s="609"/>
      <c r="UJD81" s="609"/>
      <c r="UJE81" s="609"/>
      <c r="UJF81" s="609"/>
      <c r="UJG81" s="609"/>
      <c r="UJH81" s="609"/>
      <c r="UJI81" s="609"/>
      <c r="UJJ81" s="609"/>
      <c r="UJK81" s="609"/>
      <c r="UJL81" s="609"/>
      <c r="UJM81" s="609"/>
      <c r="UJN81" s="609"/>
      <c r="UJO81" s="609"/>
      <c r="UJP81" s="609"/>
      <c r="UJQ81" s="609"/>
      <c r="UJR81" s="609"/>
      <c r="UJS81" s="609"/>
      <c r="UJT81" s="609"/>
      <c r="UJU81" s="609"/>
      <c r="UJV81" s="609"/>
      <c r="UJW81" s="609"/>
      <c r="UJX81" s="609"/>
      <c r="UJY81" s="609"/>
      <c r="UJZ81" s="609"/>
      <c r="UKA81" s="609"/>
      <c r="UKB81" s="609"/>
      <c r="UKC81" s="609"/>
      <c r="UKD81" s="609"/>
      <c r="UKE81" s="609"/>
      <c r="UKF81" s="609"/>
      <c r="UKG81" s="609"/>
      <c r="UKH81" s="609"/>
      <c r="UKI81" s="609"/>
      <c r="UKJ81" s="609"/>
      <c r="UKK81" s="609"/>
      <c r="UKL81" s="609"/>
      <c r="UKM81" s="609"/>
      <c r="UKN81" s="609"/>
      <c r="UKO81" s="609"/>
      <c r="UKP81" s="609"/>
      <c r="UKQ81" s="609"/>
      <c r="UKR81" s="609"/>
      <c r="UKS81" s="609"/>
      <c r="UKT81" s="609"/>
      <c r="UKU81" s="609"/>
      <c r="UKV81" s="609"/>
      <c r="UKW81" s="609"/>
      <c r="UKX81" s="609"/>
      <c r="UKY81" s="609"/>
      <c r="UKZ81" s="609"/>
      <c r="ULA81" s="609"/>
      <c r="ULB81" s="609"/>
      <c r="ULC81" s="609"/>
      <c r="ULD81" s="609"/>
      <c r="ULE81" s="609"/>
      <c r="ULF81" s="609"/>
      <c r="ULG81" s="609"/>
      <c r="ULH81" s="609"/>
      <c r="ULI81" s="609"/>
      <c r="ULJ81" s="609"/>
      <c r="ULK81" s="609"/>
      <c r="ULL81" s="609"/>
      <c r="ULM81" s="609"/>
      <c r="ULN81" s="609"/>
      <c r="ULO81" s="609"/>
      <c r="ULP81" s="609"/>
      <c r="ULQ81" s="609"/>
      <c r="ULR81" s="609"/>
      <c r="ULS81" s="609"/>
      <c r="ULT81" s="609"/>
      <c r="ULU81" s="609"/>
      <c r="ULV81" s="609"/>
      <c r="ULW81" s="609"/>
      <c r="ULX81" s="609"/>
      <c r="ULY81" s="609"/>
      <c r="ULZ81" s="609"/>
      <c r="UMA81" s="609"/>
      <c r="UMB81" s="609"/>
      <c r="UMC81" s="609"/>
      <c r="UMD81" s="609"/>
      <c r="UME81" s="609"/>
      <c r="UMF81" s="609"/>
      <c r="UMG81" s="609"/>
      <c r="UMH81" s="609"/>
      <c r="UMI81" s="609"/>
      <c r="UMJ81" s="609"/>
      <c r="UMK81" s="609"/>
      <c r="UML81" s="609"/>
      <c r="UMM81" s="609"/>
      <c r="UMN81" s="609"/>
      <c r="UMO81" s="609"/>
      <c r="UMP81" s="609"/>
      <c r="UMQ81" s="609"/>
      <c r="UMR81" s="609"/>
      <c r="UMS81" s="609"/>
      <c r="UMT81" s="609"/>
      <c r="UMU81" s="609"/>
      <c r="UMV81" s="609"/>
      <c r="UMW81" s="609"/>
      <c r="UMX81" s="609"/>
      <c r="UMY81" s="609"/>
      <c r="UMZ81" s="609"/>
      <c r="UNA81" s="609"/>
      <c r="UNB81" s="609"/>
      <c r="UNC81" s="609"/>
      <c r="UND81" s="609"/>
      <c r="UNE81" s="609"/>
      <c r="UNF81" s="609"/>
      <c r="UNG81" s="609"/>
      <c r="UNH81" s="609"/>
      <c r="UNI81" s="609"/>
      <c r="UNJ81" s="609"/>
      <c r="UNK81" s="609"/>
      <c r="UNL81" s="609"/>
      <c r="UNM81" s="609"/>
      <c r="UNN81" s="609"/>
      <c r="UNO81" s="609"/>
      <c r="UNP81" s="609"/>
      <c r="UNQ81" s="609"/>
      <c r="UNR81" s="609"/>
      <c r="UNS81" s="609"/>
      <c r="UNT81" s="609"/>
      <c r="UNU81" s="609"/>
      <c r="UNV81" s="609"/>
      <c r="UNW81" s="609"/>
      <c r="UNX81" s="609"/>
      <c r="UNY81" s="609"/>
      <c r="UNZ81" s="609"/>
      <c r="UOA81" s="609"/>
      <c r="UOB81" s="609"/>
      <c r="UOC81" s="609"/>
      <c r="UOD81" s="609"/>
      <c r="UOE81" s="609"/>
      <c r="UOF81" s="609"/>
      <c r="UOG81" s="609"/>
      <c r="UOH81" s="609"/>
      <c r="UOI81" s="609"/>
      <c r="UOJ81" s="609"/>
      <c r="UOK81" s="609"/>
      <c r="UOL81" s="609"/>
      <c r="UOM81" s="609"/>
      <c r="UON81" s="609"/>
      <c r="UOO81" s="609"/>
      <c r="UOP81" s="609"/>
      <c r="UOQ81" s="609"/>
      <c r="UOR81" s="609"/>
      <c r="UOS81" s="609"/>
      <c r="UOT81" s="609"/>
      <c r="UOU81" s="609"/>
      <c r="UOV81" s="609"/>
      <c r="UOW81" s="609"/>
      <c r="UOX81" s="609"/>
      <c r="UOY81" s="609"/>
      <c r="UOZ81" s="609"/>
      <c r="UPA81" s="609"/>
      <c r="UPB81" s="609"/>
      <c r="UPC81" s="609"/>
      <c r="UPD81" s="609"/>
      <c r="UPE81" s="609"/>
      <c r="UPF81" s="609"/>
      <c r="UPG81" s="609"/>
      <c r="UPH81" s="609"/>
      <c r="UPI81" s="609"/>
      <c r="UPJ81" s="609"/>
      <c r="UPK81" s="609"/>
      <c r="UPL81" s="609"/>
      <c r="UPM81" s="609"/>
      <c r="UPN81" s="609"/>
      <c r="UPO81" s="609"/>
      <c r="UPP81" s="609"/>
      <c r="UPQ81" s="609"/>
      <c r="UPR81" s="609"/>
      <c r="UPS81" s="609"/>
      <c r="UPT81" s="609"/>
      <c r="UPU81" s="609"/>
      <c r="UPV81" s="609"/>
      <c r="UPW81" s="609"/>
      <c r="UPX81" s="609"/>
      <c r="UPY81" s="609"/>
      <c r="UPZ81" s="609"/>
      <c r="UQA81" s="609"/>
      <c r="UQB81" s="609"/>
      <c r="UQC81" s="609"/>
      <c r="UQD81" s="609"/>
      <c r="UQE81" s="609"/>
      <c r="UQF81" s="609"/>
      <c r="UQG81" s="609"/>
      <c r="UQH81" s="609"/>
      <c r="UQI81" s="609"/>
      <c r="UQJ81" s="609"/>
      <c r="UQK81" s="609"/>
      <c r="UQL81" s="609"/>
      <c r="UQM81" s="609"/>
      <c r="UQN81" s="609"/>
      <c r="UQO81" s="609"/>
      <c r="UQP81" s="609"/>
      <c r="UQQ81" s="609"/>
      <c r="UQR81" s="609"/>
      <c r="UQS81" s="609"/>
      <c r="UQT81" s="609"/>
      <c r="UQU81" s="609"/>
      <c r="UQV81" s="609"/>
      <c r="UQW81" s="609"/>
      <c r="UQX81" s="609"/>
      <c r="UQY81" s="609"/>
      <c r="UQZ81" s="609"/>
      <c r="URA81" s="609"/>
      <c r="URB81" s="609"/>
      <c r="URC81" s="609"/>
      <c r="URD81" s="609"/>
      <c r="URE81" s="609"/>
      <c r="URF81" s="609"/>
      <c r="URG81" s="609"/>
      <c r="URH81" s="609"/>
      <c r="URI81" s="609"/>
      <c r="URJ81" s="609"/>
      <c r="URK81" s="609"/>
      <c r="URL81" s="609"/>
      <c r="URM81" s="609"/>
      <c r="URN81" s="609"/>
      <c r="URO81" s="609"/>
      <c r="URP81" s="609"/>
      <c r="URQ81" s="609"/>
      <c r="URR81" s="609"/>
      <c r="URS81" s="609"/>
      <c r="URT81" s="609"/>
      <c r="URU81" s="609"/>
      <c r="URV81" s="609"/>
      <c r="URW81" s="609"/>
      <c r="URX81" s="609"/>
      <c r="URY81" s="609"/>
      <c r="URZ81" s="609"/>
      <c r="USA81" s="609"/>
      <c r="USB81" s="609"/>
      <c r="USC81" s="609"/>
      <c r="USD81" s="609"/>
      <c r="USE81" s="609"/>
      <c r="USF81" s="609"/>
      <c r="USG81" s="609"/>
      <c r="USH81" s="609"/>
      <c r="USI81" s="609"/>
      <c r="USJ81" s="609"/>
      <c r="USK81" s="609"/>
      <c r="USL81" s="609"/>
      <c r="USM81" s="609"/>
      <c r="USN81" s="609"/>
      <c r="USO81" s="609"/>
      <c r="USP81" s="609"/>
      <c r="USQ81" s="609"/>
      <c r="USR81" s="609"/>
      <c r="USS81" s="609"/>
      <c r="UST81" s="609"/>
      <c r="USU81" s="609"/>
      <c r="USV81" s="609"/>
      <c r="USW81" s="609"/>
      <c r="USX81" s="609"/>
      <c r="USY81" s="609"/>
      <c r="USZ81" s="609"/>
      <c r="UTA81" s="609"/>
      <c r="UTB81" s="609"/>
      <c r="UTC81" s="609"/>
      <c r="UTD81" s="609"/>
      <c r="UTE81" s="609"/>
      <c r="UTF81" s="609"/>
      <c r="UTG81" s="609"/>
      <c r="UTH81" s="609"/>
      <c r="UTI81" s="609"/>
      <c r="UTJ81" s="609"/>
      <c r="UTK81" s="609"/>
      <c r="UTL81" s="609"/>
      <c r="UTM81" s="609"/>
      <c r="UTN81" s="609"/>
      <c r="UTO81" s="609"/>
      <c r="UTP81" s="609"/>
      <c r="UTQ81" s="609"/>
      <c r="UTR81" s="609"/>
      <c r="UTS81" s="609"/>
      <c r="UTT81" s="609"/>
      <c r="UTU81" s="609"/>
      <c r="UTV81" s="609"/>
      <c r="UTW81" s="609"/>
      <c r="UTX81" s="609"/>
      <c r="UTY81" s="609"/>
      <c r="UTZ81" s="609"/>
      <c r="UUA81" s="609"/>
      <c r="UUB81" s="609"/>
      <c r="UUC81" s="609"/>
      <c r="UUD81" s="609"/>
      <c r="UUE81" s="609"/>
      <c r="UUF81" s="609"/>
      <c r="UUG81" s="609"/>
      <c r="UUH81" s="609"/>
      <c r="UUI81" s="609"/>
      <c r="UUJ81" s="609"/>
      <c r="UUK81" s="609"/>
      <c r="UUL81" s="609"/>
      <c r="UUM81" s="609"/>
      <c r="UUN81" s="609"/>
      <c r="UUO81" s="609"/>
      <c r="UUP81" s="609"/>
      <c r="UUQ81" s="609"/>
      <c r="UUR81" s="609"/>
      <c r="UUS81" s="609"/>
      <c r="UUT81" s="609"/>
      <c r="UUU81" s="609"/>
      <c r="UUV81" s="609"/>
      <c r="UUW81" s="609"/>
      <c r="UUX81" s="609"/>
      <c r="UUY81" s="609"/>
      <c r="UUZ81" s="609"/>
      <c r="UVA81" s="609"/>
      <c r="UVB81" s="609"/>
      <c r="UVC81" s="609"/>
      <c r="UVD81" s="609"/>
      <c r="UVE81" s="609"/>
      <c r="UVF81" s="609"/>
      <c r="UVG81" s="609"/>
      <c r="UVH81" s="609"/>
      <c r="UVI81" s="609"/>
      <c r="UVJ81" s="609"/>
      <c r="UVK81" s="609"/>
      <c r="UVL81" s="609"/>
      <c r="UVM81" s="609"/>
      <c r="UVN81" s="609"/>
      <c r="UVO81" s="609"/>
      <c r="UVP81" s="609"/>
      <c r="UVQ81" s="609"/>
      <c r="UVR81" s="609"/>
      <c r="UVS81" s="609"/>
      <c r="UVT81" s="609"/>
      <c r="UVU81" s="609"/>
      <c r="UVV81" s="609"/>
      <c r="UVW81" s="609"/>
      <c r="UVX81" s="609"/>
      <c r="UVY81" s="609"/>
      <c r="UVZ81" s="609"/>
      <c r="UWA81" s="609"/>
      <c r="UWB81" s="609"/>
      <c r="UWC81" s="609"/>
      <c r="UWD81" s="609"/>
      <c r="UWE81" s="609"/>
      <c r="UWF81" s="609"/>
      <c r="UWG81" s="609"/>
      <c r="UWH81" s="609"/>
      <c r="UWI81" s="609"/>
      <c r="UWJ81" s="609"/>
      <c r="UWK81" s="609"/>
      <c r="UWL81" s="609"/>
      <c r="UWM81" s="609"/>
      <c r="UWN81" s="609"/>
      <c r="UWO81" s="609"/>
      <c r="UWP81" s="609"/>
      <c r="UWQ81" s="609"/>
      <c r="UWR81" s="609"/>
      <c r="UWS81" s="609"/>
      <c r="UWT81" s="609"/>
      <c r="UWU81" s="609"/>
      <c r="UWV81" s="609"/>
      <c r="UWW81" s="609"/>
      <c r="UWX81" s="609"/>
      <c r="UWY81" s="609"/>
      <c r="UWZ81" s="609"/>
      <c r="UXA81" s="609"/>
      <c r="UXB81" s="609"/>
      <c r="UXC81" s="609"/>
      <c r="UXD81" s="609"/>
      <c r="UXE81" s="609"/>
      <c r="UXF81" s="609"/>
      <c r="UXG81" s="609"/>
      <c r="UXH81" s="609"/>
      <c r="UXI81" s="609"/>
      <c r="UXJ81" s="609"/>
      <c r="UXK81" s="609"/>
      <c r="UXL81" s="609"/>
      <c r="UXM81" s="609"/>
      <c r="UXN81" s="609"/>
      <c r="UXO81" s="609"/>
      <c r="UXP81" s="609"/>
      <c r="UXQ81" s="609"/>
      <c r="UXR81" s="609"/>
      <c r="UXS81" s="609"/>
      <c r="UXT81" s="609"/>
      <c r="UXU81" s="609"/>
      <c r="UXV81" s="609"/>
      <c r="UXW81" s="609"/>
      <c r="UXX81" s="609"/>
      <c r="UXY81" s="609"/>
      <c r="UXZ81" s="609"/>
      <c r="UYA81" s="609"/>
      <c r="UYB81" s="609"/>
      <c r="UYC81" s="609"/>
      <c r="UYD81" s="609"/>
      <c r="UYE81" s="609"/>
      <c r="UYF81" s="609"/>
      <c r="UYG81" s="609"/>
      <c r="UYH81" s="609"/>
      <c r="UYI81" s="609"/>
      <c r="UYJ81" s="609"/>
      <c r="UYK81" s="609"/>
      <c r="UYL81" s="609"/>
      <c r="UYM81" s="609"/>
      <c r="UYN81" s="609"/>
      <c r="UYO81" s="609"/>
      <c r="UYP81" s="609"/>
      <c r="UYQ81" s="609"/>
      <c r="UYR81" s="609"/>
      <c r="UYS81" s="609"/>
      <c r="UYT81" s="609"/>
      <c r="UYU81" s="609"/>
      <c r="UYV81" s="609"/>
      <c r="UYW81" s="609"/>
      <c r="UYX81" s="609"/>
      <c r="UYY81" s="609"/>
      <c r="UYZ81" s="609"/>
      <c r="UZA81" s="609"/>
      <c r="UZB81" s="609"/>
      <c r="UZC81" s="609"/>
      <c r="UZD81" s="609"/>
      <c r="UZE81" s="609"/>
      <c r="UZF81" s="609"/>
      <c r="UZG81" s="609"/>
      <c r="UZH81" s="609"/>
      <c r="UZI81" s="609"/>
      <c r="UZJ81" s="609"/>
      <c r="UZK81" s="609"/>
      <c r="UZL81" s="609"/>
      <c r="UZM81" s="609"/>
      <c r="UZN81" s="609"/>
      <c r="UZO81" s="609"/>
      <c r="UZP81" s="609"/>
      <c r="UZQ81" s="609"/>
      <c r="UZR81" s="609"/>
      <c r="UZS81" s="609"/>
      <c r="UZT81" s="609"/>
      <c r="UZU81" s="609"/>
      <c r="UZV81" s="609"/>
      <c r="UZW81" s="609"/>
      <c r="UZX81" s="609"/>
      <c r="UZY81" s="609"/>
      <c r="UZZ81" s="609"/>
      <c r="VAA81" s="609"/>
      <c r="VAB81" s="609"/>
      <c r="VAC81" s="609"/>
      <c r="VAD81" s="609"/>
      <c r="VAE81" s="609"/>
      <c r="VAF81" s="609"/>
      <c r="VAG81" s="609"/>
      <c r="VAH81" s="609"/>
      <c r="VAI81" s="609"/>
      <c r="VAJ81" s="609"/>
      <c r="VAK81" s="609"/>
      <c r="VAL81" s="609"/>
      <c r="VAM81" s="609"/>
      <c r="VAN81" s="609"/>
      <c r="VAO81" s="609"/>
      <c r="VAP81" s="609"/>
      <c r="VAQ81" s="609"/>
      <c r="VAR81" s="609"/>
      <c r="VAS81" s="609"/>
      <c r="VAT81" s="609"/>
      <c r="VAU81" s="609"/>
      <c r="VAV81" s="609"/>
      <c r="VAW81" s="609"/>
      <c r="VAX81" s="609"/>
      <c r="VAY81" s="609"/>
      <c r="VAZ81" s="609"/>
      <c r="VBA81" s="609"/>
      <c r="VBB81" s="609"/>
      <c r="VBC81" s="609"/>
      <c r="VBD81" s="609"/>
      <c r="VBE81" s="609"/>
      <c r="VBF81" s="609"/>
      <c r="VBG81" s="609"/>
      <c r="VBH81" s="609"/>
      <c r="VBI81" s="609"/>
      <c r="VBJ81" s="609"/>
      <c r="VBK81" s="609"/>
      <c r="VBL81" s="609"/>
      <c r="VBM81" s="609"/>
      <c r="VBN81" s="609"/>
      <c r="VBO81" s="609"/>
      <c r="VBP81" s="609"/>
      <c r="VBQ81" s="609"/>
      <c r="VBR81" s="609"/>
      <c r="VBS81" s="609"/>
      <c r="VBT81" s="609"/>
      <c r="VBU81" s="609"/>
      <c r="VBV81" s="609"/>
      <c r="VBW81" s="609"/>
      <c r="VBX81" s="609"/>
      <c r="VBY81" s="609"/>
      <c r="VBZ81" s="609"/>
      <c r="VCA81" s="609"/>
      <c r="VCB81" s="609"/>
      <c r="VCC81" s="609"/>
      <c r="VCD81" s="609"/>
      <c r="VCE81" s="609"/>
      <c r="VCF81" s="609"/>
      <c r="VCG81" s="609"/>
      <c r="VCH81" s="609"/>
      <c r="VCI81" s="609"/>
      <c r="VCJ81" s="609"/>
      <c r="VCK81" s="609"/>
      <c r="VCL81" s="609"/>
      <c r="VCM81" s="609"/>
      <c r="VCN81" s="609"/>
      <c r="VCO81" s="609"/>
      <c r="VCP81" s="609"/>
      <c r="VCQ81" s="609"/>
      <c r="VCR81" s="609"/>
      <c r="VCS81" s="609"/>
      <c r="VCT81" s="609"/>
      <c r="VCU81" s="609"/>
      <c r="VCV81" s="609"/>
      <c r="VCW81" s="609"/>
      <c r="VCX81" s="609"/>
      <c r="VCY81" s="609"/>
      <c r="VCZ81" s="609"/>
      <c r="VDA81" s="609"/>
      <c r="VDB81" s="609"/>
      <c r="VDC81" s="609"/>
      <c r="VDD81" s="609"/>
      <c r="VDE81" s="609"/>
      <c r="VDF81" s="609"/>
      <c r="VDG81" s="609"/>
      <c r="VDH81" s="609"/>
      <c r="VDI81" s="609"/>
      <c r="VDJ81" s="609"/>
      <c r="VDK81" s="609"/>
      <c r="VDL81" s="609"/>
      <c r="VDM81" s="609"/>
      <c r="VDN81" s="609"/>
      <c r="VDO81" s="609"/>
      <c r="VDP81" s="609"/>
      <c r="VDQ81" s="609"/>
      <c r="VDR81" s="609"/>
      <c r="VDS81" s="609"/>
      <c r="VDT81" s="609"/>
      <c r="VDU81" s="609"/>
      <c r="VDV81" s="609"/>
      <c r="VDW81" s="609"/>
      <c r="VDX81" s="609"/>
      <c r="VDY81" s="609"/>
      <c r="VDZ81" s="609"/>
      <c r="VEA81" s="609"/>
      <c r="VEB81" s="609"/>
      <c r="VEC81" s="609"/>
      <c r="VED81" s="609"/>
      <c r="VEE81" s="609"/>
      <c r="VEF81" s="609"/>
      <c r="VEG81" s="609"/>
      <c r="VEH81" s="609"/>
      <c r="VEI81" s="609"/>
      <c r="VEJ81" s="609"/>
      <c r="VEK81" s="609"/>
      <c r="VEL81" s="609"/>
      <c r="VEM81" s="609"/>
      <c r="VEN81" s="609"/>
      <c r="VEO81" s="609"/>
      <c r="VEP81" s="609"/>
      <c r="VEQ81" s="609"/>
      <c r="VER81" s="609"/>
      <c r="VES81" s="609"/>
      <c r="VET81" s="609"/>
      <c r="VEU81" s="609"/>
      <c r="VEV81" s="609"/>
      <c r="VEW81" s="609"/>
      <c r="VEX81" s="609"/>
      <c r="VEY81" s="609"/>
      <c r="VEZ81" s="609"/>
      <c r="VFA81" s="609"/>
      <c r="VFB81" s="609"/>
      <c r="VFC81" s="609"/>
      <c r="VFD81" s="609"/>
      <c r="VFE81" s="609"/>
      <c r="VFF81" s="609"/>
      <c r="VFG81" s="609"/>
      <c r="VFH81" s="609"/>
      <c r="VFI81" s="609"/>
      <c r="VFJ81" s="609"/>
      <c r="VFK81" s="609"/>
      <c r="VFL81" s="609"/>
      <c r="VFM81" s="609"/>
      <c r="VFN81" s="609"/>
      <c r="VFO81" s="609"/>
      <c r="VFP81" s="609"/>
      <c r="VFQ81" s="609"/>
      <c r="VFR81" s="609"/>
      <c r="VFS81" s="609"/>
      <c r="VFT81" s="609"/>
      <c r="VFU81" s="609"/>
      <c r="VFV81" s="609"/>
      <c r="VFW81" s="609"/>
      <c r="VFX81" s="609"/>
      <c r="VFY81" s="609"/>
      <c r="VFZ81" s="609"/>
      <c r="VGA81" s="609"/>
      <c r="VGB81" s="609"/>
      <c r="VGC81" s="609"/>
      <c r="VGD81" s="609"/>
      <c r="VGE81" s="609"/>
      <c r="VGF81" s="609"/>
      <c r="VGG81" s="609"/>
      <c r="VGH81" s="609"/>
      <c r="VGI81" s="609"/>
      <c r="VGJ81" s="609"/>
      <c r="VGK81" s="609"/>
      <c r="VGL81" s="609"/>
      <c r="VGM81" s="609"/>
      <c r="VGN81" s="609"/>
      <c r="VGO81" s="609"/>
      <c r="VGP81" s="609"/>
      <c r="VGQ81" s="609"/>
      <c r="VGR81" s="609"/>
      <c r="VGS81" s="609"/>
      <c r="VGT81" s="609"/>
      <c r="VGU81" s="609"/>
      <c r="VGV81" s="609"/>
      <c r="VGW81" s="609"/>
      <c r="VGX81" s="609"/>
      <c r="VGY81" s="609"/>
      <c r="VGZ81" s="609"/>
      <c r="VHA81" s="609"/>
      <c r="VHB81" s="609"/>
      <c r="VHC81" s="609"/>
      <c r="VHD81" s="609"/>
      <c r="VHE81" s="609"/>
      <c r="VHF81" s="609"/>
      <c r="VHG81" s="609"/>
      <c r="VHH81" s="609"/>
      <c r="VHI81" s="609"/>
      <c r="VHJ81" s="609"/>
      <c r="VHK81" s="609"/>
      <c r="VHL81" s="609"/>
      <c r="VHM81" s="609"/>
      <c r="VHN81" s="609"/>
      <c r="VHO81" s="609"/>
      <c r="VHP81" s="609"/>
      <c r="VHQ81" s="609"/>
      <c r="VHR81" s="609"/>
      <c r="VHS81" s="609"/>
      <c r="VHT81" s="609"/>
      <c r="VHU81" s="609"/>
      <c r="VHV81" s="609"/>
      <c r="VHW81" s="609"/>
      <c r="VHX81" s="609"/>
      <c r="VHY81" s="609"/>
      <c r="VHZ81" s="609"/>
      <c r="VIA81" s="609"/>
      <c r="VIB81" s="609"/>
      <c r="VIC81" s="609"/>
      <c r="VID81" s="609"/>
      <c r="VIE81" s="609"/>
      <c r="VIF81" s="609"/>
      <c r="VIG81" s="609"/>
      <c r="VIH81" s="609"/>
      <c r="VII81" s="609"/>
      <c r="VIJ81" s="609"/>
      <c r="VIK81" s="609"/>
      <c r="VIL81" s="609"/>
      <c r="VIM81" s="609"/>
      <c r="VIN81" s="609"/>
      <c r="VIO81" s="609"/>
      <c r="VIP81" s="609"/>
      <c r="VIQ81" s="609"/>
      <c r="VIR81" s="609"/>
      <c r="VIS81" s="609"/>
      <c r="VIT81" s="609"/>
      <c r="VIU81" s="609"/>
      <c r="VIV81" s="609"/>
      <c r="VIW81" s="609"/>
      <c r="VIX81" s="609"/>
      <c r="VIY81" s="609"/>
      <c r="VIZ81" s="609"/>
      <c r="VJA81" s="609"/>
      <c r="VJB81" s="609"/>
      <c r="VJC81" s="609"/>
      <c r="VJD81" s="609"/>
      <c r="VJE81" s="609"/>
      <c r="VJF81" s="609"/>
      <c r="VJG81" s="609"/>
      <c r="VJH81" s="609"/>
      <c r="VJI81" s="609"/>
      <c r="VJJ81" s="609"/>
      <c r="VJK81" s="609"/>
      <c r="VJL81" s="609"/>
      <c r="VJM81" s="609"/>
      <c r="VJN81" s="609"/>
      <c r="VJO81" s="609"/>
      <c r="VJP81" s="609"/>
      <c r="VJQ81" s="609"/>
      <c r="VJR81" s="609"/>
      <c r="VJS81" s="609"/>
      <c r="VJT81" s="609"/>
      <c r="VJU81" s="609"/>
      <c r="VJV81" s="609"/>
      <c r="VJW81" s="609"/>
      <c r="VJX81" s="609"/>
      <c r="VJY81" s="609"/>
      <c r="VJZ81" s="609"/>
      <c r="VKA81" s="609"/>
      <c r="VKB81" s="609"/>
      <c r="VKC81" s="609"/>
      <c r="VKD81" s="609"/>
      <c r="VKE81" s="609"/>
      <c r="VKF81" s="609"/>
      <c r="VKG81" s="609"/>
      <c r="VKH81" s="609"/>
      <c r="VKI81" s="609"/>
      <c r="VKJ81" s="609"/>
      <c r="VKK81" s="609"/>
      <c r="VKL81" s="609"/>
      <c r="VKM81" s="609"/>
      <c r="VKN81" s="609"/>
      <c r="VKO81" s="609"/>
      <c r="VKP81" s="609"/>
      <c r="VKQ81" s="609"/>
      <c r="VKR81" s="609"/>
      <c r="VKS81" s="609"/>
      <c r="VKT81" s="609"/>
      <c r="VKU81" s="609"/>
      <c r="VKV81" s="609"/>
      <c r="VKW81" s="609"/>
      <c r="VKX81" s="609"/>
      <c r="VKY81" s="609"/>
      <c r="VKZ81" s="609"/>
      <c r="VLA81" s="609"/>
      <c r="VLB81" s="609"/>
      <c r="VLC81" s="609"/>
      <c r="VLD81" s="609"/>
      <c r="VLE81" s="609"/>
      <c r="VLF81" s="609"/>
      <c r="VLG81" s="609"/>
      <c r="VLH81" s="609"/>
      <c r="VLI81" s="609"/>
      <c r="VLJ81" s="609"/>
      <c r="VLK81" s="609"/>
      <c r="VLL81" s="609"/>
      <c r="VLM81" s="609"/>
      <c r="VLN81" s="609"/>
      <c r="VLO81" s="609"/>
      <c r="VLP81" s="609"/>
      <c r="VLQ81" s="609"/>
      <c r="VLR81" s="609"/>
      <c r="VLS81" s="609"/>
      <c r="VLT81" s="609"/>
      <c r="VLU81" s="609"/>
      <c r="VLV81" s="609"/>
      <c r="VLW81" s="609"/>
      <c r="VLX81" s="609"/>
      <c r="VLY81" s="609"/>
      <c r="VLZ81" s="609"/>
      <c r="VMA81" s="609"/>
      <c r="VMB81" s="609"/>
      <c r="VMC81" s="609"/>
      <c r="VMD81" s="609"/>
      <c r="VME81" s="609"/>
      <c r="VMF81" s="609"/>
      <c r="VMG81" s="609"/>
      <c r="VMH81" s="609"/>
      <c r="VMI81" s="609"/>
      <c r="VMJ81" s="609"/>
      <c r="VMK81" s="609"/>
      <c r="VML81" s="609"/>
      <c r="VMM81" s="609"/>
      <c r="VMN81" s="609"/>
      <c r="VMO81" s="609"/>
      <c r="VMP81" s="609"/>
      <c r="VMQ81" s="609"/>
      <c r="VMR81" s="609"/>
      <c r="VMS81" s="609"/>
      <c r="VMT81" s="609"/>
      <c r="VMU81" s="609"/>
      <c r="VMV81" s="609"/>
      <c r="VMW81" s="609"/>
      <c r="VMX81" s="609"/>
      <c r="VMY81" s="609"/>
      <c r="VMZ81" s="609"/>
      <c r="VNA81" s="609"/>
      <c r="VNB81" s="609"/>
      <c r="VNC81" s="609"/>
      <c r="VND81" s="609"/>
      <c r="VNE81" s="609"/>
      <c r="VNF81" s="609"/>
      <c r="VNG81" s="609"/>
      <c r="VNH81" s="609"/>
      <c r="VNI81" s="609"/>
      <c r="VNJ81" s="609"/>
      <c r="VNK81" s="609"/>
      <c r="VNL81" s="609"/>
      <c r="VNM81" s="609"/>
      <c r="VNN81" s="609"/>
      <c r="VNO81" s="609"/>
      <c r="VNP81" s="609"/>
      <c r="VNQ81" s="609"/>
      <c r="VNR81" s="609"/>
      <c r="VNS81" s="609"/>
      <c r="VNT81" s="609"/>
      <c r="VNU81" s="609"/>
      <c r="VNV81" s="609"/>
      <c r="VNW81" s="609"/>
      <c r="VNX81" s="609"/>
      <c r="VNY81" s="609"/>
      <c r="VNZ81" s="609"/>
      <c r="VOA81" s="609"/>
      <c r="VOB81" s="609"/>
      <c r="VOC81" s="609"/>
      <c r="VOD81" s="609"/>
      <c r="VOE81" s="609"/>
      <c r="VOF81" s="609"/>
      <c r="VOG81" s="609"/>
      <c r="VOH81" s="609"/>
      <c r="VOI81" s="609"/>
      <c r="VOJ81" s="609"/>
      <c r="VOK81" s="609"/>
      <c r="VOL81" s="609"/>
      <c r="VOM81" s="609"/>
      <c r="VON81" s="609"/>
      <c r="VOO81" s="609"/>
      <c r="VOP81" s="609"/>
      <c r="VOQ81" s="609"/>
      <c r="VOR81" s="609"/>
      <c r="VOS81" s="609"/>
      <c r="VOT81" s="609"/>
      <c r="VOU81" s="609"/>
      <c r="VOV81" s="609"/>
      <c r="VOW81" s="609"/>
      <c r="VOX81" s="609"/>
      <c r="VOY81" s="609"/>
      <c r="VOZ81" s="609"/>
      <c r="VPA81" s="609"/>
      <c r="VPB81" s="609"/>
      <c r="VPC81" s="609"/>
      <c r="VPD81" s="609"/>
      <c r="VPE81" s="609"/>
      <c r="VPF81" s="609"/>
      <c r="VPG81" s="609"/>
      <c r="VPH81" s="609"/>
      <c r="VPI81" s="609"/>
      <c r="VPJ81" s="609"/>
      <c r="VPK81" s="609"/>
      <c r="VPL81" s="609"/>
      <c r="VPM81" s="609"/>
      <c r="VPN81" s="609"/>
      <c r="VPO81" s="609"/>
      <c r="VPP81" s="609"/>
      <c r="VPQ81" s="609"/>
      <c r="VPR81" s="609"/>
      <c r="VPS81" s="609"/>
      <c r="VPT81" s="609"/>
      <c r="VPU81" s="609"/>
      <c r="VPV81" s="609"/>
      <c r="VPW81" s="609"/>
      <c r="VPX81" s="609"/>
      <c r="VPY81" s="609"/>
      <c r="VPZ81" s="609"/>
      <c r="VQA81" s="609"/>
      <c r="VQB81" s="609"/>
      <c r="VQC81" s="609"/>
      <c r="VQD81" s="609"/>
      <c r="VQE81" s="609"/>
      <c r="VQF81" s="609"/>
      <c r="VQG81" s="609"/>
      <c r="VQH81" s="609"/>
      <c r="VQI81" s="609"/>
      <c r="VQJ81" s="609"/>
      <c r="VQK81" s="609"/>
      <c r="VQL81" s="609"/>
      <c r="VQM81" s="609"/>
      <c r="VQN81" s="609"/>
      <c r="VQO81" s="609"/>
      <c r="VQP81" s="609"/>
      <c r="VQQ81" s="609"/>
      <c r="VQR81" s="609"/>
      <c r="VQS81" s="609"/>
      <c r="VQT81" s="609"/>
      <c r="VQU81" s="609"/>
      <c r="VQV81" s="609"/>
      <c r="VQW81" s="609"/>
      <c r="VQX81" s="609"/>
      <c r="VQY81" s="609"/>
      <c r="VQZ81" s="609"/>
      <c r="VRA81" s="609"/>
      <c r="VRB81" s="609"/>
      <c r="VRC81" s="609"/>
      <c r="VRD81" s="609"/>
      <c r="VRE81" s="609"/>
      <c r="VRF81" s="609"/>
      <c r="VRG81" s="609"/>
      <c r="VRH81" s="609"/>
      <c r="VRI81" s="609"/>
      <c r="VRJ81" s="609"/>
      <c r="VRK81" s="609"/>
      <c r="VRL81" s="609"/>
      <c r="VRM81" s="609"/>
      <c r="VRN81" s="609"/>
      <c r="VRO81" s="609"/>
      <c r="VRP81" s="609"/>
      <c r="VRQ81" s="609"/>
      <c r="VRR81" s="609"/>
      <c r="VRS81" s="609"/>
      <c r="VRT81" s="609"/>
      <c r="VRU81" s="609"/>
      <c r="VRV81" s="609"/>
      <c r="VRW81" s="609"/>
      <c r="VRX81" s="609"/>
      <c r="VRY81" s="609"/>
      <c r="VRZ81" s="609"/>
      <c r="VSA81" s="609"/>
      <c r="VSB81" s="609"/>
      <c r="VSC81" s="609"/>
      <c r="VSD81" s="609"/>
      <c r="VSE81" s="609"/>
      <c r="VSF81" s="609"/>
      <c r="VSG81" s="609"/>
      <c r="VSH81" s="609"/>
      <c r="VSI81" s="609"/>
      <c r="VSJ81" s="609"/>
      <c r="VSK81" s="609"/>
      <c r="VSL81" s="609"/>
      <c r="VSM81" s="609"/>
      <c r="VSN81" s="609"/>
      <c r="VSO81" s="609"/>
      <c r="VSP81" s="609"/>
      <c r="VSQ81" s="609"/>
      <c r="VSR81" s="609"/>
      <c r="VSS81" s="609"/>
      <c r="VST81" s="609"/>
      <c r="VSU81" s="609"/>
      <c r="VSV81" s="609"/>
      <c r="VSW81" s="609"/>
      <c r="VSX81" s="609"/>
      <c r="VSY81" s="609"/>
      <c r="VSZ81" s="609"/>
      <c r="VTA81" s="609"/>
      <c r="VTB81" s="609"/>
      <c r="VTC81" s="609"/>
      <c r="VTD81" s="609"/>
      <c r="VTE81" s="609"/>
      <c r="VTF81" s="609"/>
      <c r="VTG81" s="609"/>
      <c r="VTH81" s="609"/>
      <c r="VTI81" s="609"/>
      <c r="VTJ81" s="609"/>
      <c r="VTK81" s="609"/>
      <c r="VTL81" s="609"/>
      <c r="VTM81" s="609"/>
      <c r="VTN81" s="609"/>
      <c r="VTO81" s="609"/>
      <c r="VTP81" s="609"/>
      <c r="VTQ81" s="609"/>
      <c r="VTR81" s="609"/>
      <c r="VTS81" s="609"/>
      <c r="VTT81" s="609"/>
      <c r="VTU81" s="609"/>
      <c r="VTV81" s="609"/>
      <c r="VTW81" s="609"/>
      <c r="VTX81" s="609"/>
      <c r="VTY81" s="609"/>
      <c r="VTZ81" s="609"/>
      <c r="VUA81" s="609"/>
      <c r="VUB81" s="609"/>
      <c r="VUC81" s="609"/>
      <c r="VUD81" s="609"/>
      <c r="VUE81" s="609"/>
      <c r="VUF81" s="609"/>
      <c r="VUG81" s="609"/>
      <c r="VUH81" s="609"/>
      <c r="VUI81" s="609"/>
      <c r="VUJ81" s="609"/>
      <c r="VUK81" s="609"/>
      <c r="VUL81" s="609"/>
      <c r="VUM81" s="609"/>
      <c r="VUN81" s="609"/>
      <c r="VUO81" s="609"/>
      <c r="VUP81" s="609"/>
      <c r="VUQ81" s="609"/>
      <c r="VUR81" s="609"/>
      <c r="VUS81" s="609"/>
      <c r="VUT81" s="609"/>
      <c r="VUU81" s="609"/>
      <c r="VUV81" s="609"/>
      <c r="VUW81" s="609"/>
      <c r="VUX81" s="609"/>
      <c r="VUY81" s="609"/>
      <c r="VUZ81" s="609"/>
      <c r="VVA81" s="609"/>
      <c r="VVB81" s="609"/>
      <c r="VVC81" s="609"/>
      <c r="VVD81" s="609"/>
      <c r="VVE81" s="609"/>
      <c r="VVF81" s="609"/>
      <c r="VVG81" s="609"/>
      <c r="VVH81" s="609"/>
      <c r="VVI81" s="609"/>
      <c r="VVJ81" s="609"/>
      <c r="VVK81" s="609"/>
      <c r="VVL81" s="609"/>
      <c r="VVM81" s="609"/>
      <c r="VVN81" s="609"/>
      <c r="VVO81" s="609"/>
      <c r="VVP81" s="609"/>
      <c r="VVQ81" s="609"/>
      <c r="VVR81" s="609"/>
      <c r="VVS81" s="609"/>
      <c r="VVT81" s="609"/>
      <c r="VVU81" s="609"/>
      <c r="VVV81" s="609"/>
      <c r="VVW81" s="609"/>
      <c r="VVX81" s="609"/>
      <c r="VVY81" s="609"/>
      <c r="VVZ81" s="609"/>
      <c r="VWA81" s="609"/>
      <c r="VWB81" s="609"/>
      <c r="VWC81" s="609"/>
      <c r="VWD81" s="609"/>
      <c r="VWE81" s="609"/>
      <c r="VWF81" s="609"/>
      <c r="VWG81" s="609"/>
      <c r="VWH81" s="609"/>
      <c r="VWI81" s="609"/>
      <c r="VWJ81" s="609"/>
      <c r="VWK81" s="609"/>
      <c r="VWL81" s="609"/>
      <c r="VWM81" s="609"/>
      <c r="VWN81" s="609"/>
      <c r="VWO81" s="609"/>
      <c r="VWP81" s="609"/>
      <c r="VWQ81" s="609"/>
      <c r="VWR81" s="609"/>
      <c r="VWS81" s="609"/>
      <c r="VWT81" s="609"/>
      <c r="VWU81" s="609"/>
      <c r="VWV81" s="609"/>
      <c r="VWW81" s="609"/>
      <c r="VWX81" s="609"/>
      <c r="VWY81" s="609"/>
      <c r="VWZ81" s="609"/>
      <c r="VXA81" s="609"/>
      <c r="VXB81" s="609"/>
      <c r="VXC81" s="609"/>
      <c r="VXD81" s="609"/>
      <c r="VXE81" s="609"/>
      <c r="VXF81" s="609"/>
      <c r="VXG81" s="609"/>
      <c r="VXH81" s="609"/>
      <c r="VXI81" s="609"/>
      <c r="VXJ81" s="609"/>
      <c r="VXK81" s="609"/>
      <c r="VXL81" s="609"/>
      <c r="VXM81" s="609"/>
      <c r="VXN81" s="609"/>
      <c r="VXO81" s="609"/>
      <c r="VXP81" s="609"/>
      <c r="VXQ81" s="609"/>
      <c r="VXR81" s="609"/>
      <c r="VXS81" s="609"/>
      <c r="VXT81" s="609"/>
      <c r="VXU81" s="609"/>
      <c r="VXV81" s="609"/>
      <c r="VXW81" s="609"/>
      <c r="VXX81" s="609"/>
      <c r="VXY81" s="609"/>
      <c r="VXZ81" s="609"/>
      <c r="VYA81" s="609"/>
      <c r="VYB81" s="609"/>
      <c r="VYC81" s="609"/>
      <c r="VYD81" s="609"/>
      <c r="VYE81" s="609"/>
      <c r="VYF81" s="609"/>
      <c r="VYG81" s="609"/>
      <c r="VYH81" s="609"/>
      <c r="VYI81" s="609"/>
      <c r="VYJ81" s="609"/>
      <c r="VYK81" s="609"/>
      <c r="VYL81" s="609"/>
      <c r="VYM81" s="609"/>
      <c r="VYN81" s="609"/>
      <c r="VYO81" s="609"/>
      <c r="VYP81" s="609"/>
      <c r="VYQ81" s="609"/>
      <c r="VYR81" s="609"/>
      <c r="VYS81" s="609"/>
      <c r="VYT81" s="609"/>
      <c r="VYU81" s="609"/>
      <c r="VYV81" s="609"/>
      <c r="VYW81" s="609"/>
      <c r="VYX81" s="609"/>
      <c r="VYY81" s="609"/>
      <c r="VYZ81" s="609"/>
      <c r="VZA81" s="609"/>
      <c r="VZB81" s="609"/>
      <c r="VZC81" s="609"/>
      <c r="VZD81" s="609"/>
      <c r="VZE81" s="609"/>
      <c r="VZF81" s="609"/>
      <c r="VZG81" s="609"/>
      <c r="VZH81" s="609"/>
      <c r="VZI81" s="609"/>
      <c r="VZJ81" s="609"/>
      <c r="VZK81" s="609"/>
      <c r="VZL81" s="609"/>
      <c r="VZM81" s="609"/>
      <c r="VZN81" s="609"/>
      <c r="VZO81" s="609"/>
      <c r="VZP81" s="609"/>
      <c r="VZQ81" s="609"/>
      <c r="VZR81" s="609"/>
      <c r="VZS81" s="609"/>
      <c r="VZT81" s="609"/>
      <c r="VZU81" s="609"/>
      <c r="VZV81" s="609"/>
      <c r="VZW81" s="609"/>
      <c r="VZX81" s="609"/>
      <c r="VZY81" s="609"/>
      <c r="VZZ81" s="609"/>
      <c r="WAA81" s="609"/>
      <c r="WAB81" s="609"/>
      <c r="WAC81" s="609"/>
      <c r="WAD81" s="609"/>
      <c r="WAE81" s="609"/>
      <c r="WAF81" s="609"/>
      <c r="WAG81" s="609"/>
      <c r="WAH81" s="609"/>
      <c r="WAI81" s="609"/>
      <c r="WAJ81" s="609"/>
      <c r="WAK81" s="609"/>
      <c r="WAL81" s="609"/>
      <c r="WAM81" s="609"/>
      <c r="WAN81" s="609"/>
      <c r="WAO81" s="609"/>
      <c r="WAP81" s="609"/>
      <c r="WAQ81" s="609"/>
      <c r="WAR81" s="609"/>
      <c r="WAS81" s="609"/>
      <c r="WAT81" s="609"/>
      <c r="WAU81" s="609"/>
      <c r="WAV81" s="609"/>
      <c r="WAW81" s="609"/>
      <c r="WAX81" s="609"/>
      <c r="WAY81" s="609"/>
      <c r="WAZ81" s="609"/>
      <c r="WBA81" s="609"/>
      <c r="WBB81" s="609"/>
      <c r="WBC81" s="609"/>
      <c r="WBD81" s="609"/>
      <c r="WBE81" s="609"/>
      <c r="WBF81" s="609"/>
      <c r="WBG81" s="609"/>
      <c r="WBH81" s="609"/>
      <c r="WBI81" s="609"/>
      <c r="WBJ81" s="609"/>
      <c r="WBK81" s="609"/>
      <c r="WBL81" s="609"/>
      <c r="WBM81" s="609"/>
      <c r="WBN81" s="609"/>
      <c r="WBO81" s="609"/>
      <c r="WBP81" s="609"/>
      <c r="WBQ81" s="609"/>
      <c r="WBR81" s="609"/>
      <c r="WBS81" s="609"/>
      <c r="WBT81" s="609"/>
      <c r="WBU81" s="609"/>
      <c r="WBV81" s="609"/>
      <c r="WBW81" s="609"/>
      <c r="WBX81" s="609"/>
      <c r="WBY81" s="609"/>
      <c r="WBZ81" s="609"/>
      <c r="WCA81" s="609"/>
      <c r="WCB81" s="609"/>
      <c r="WCC81" s="609"/>
      <c r="WCD81" s="609"/>
      <c r="WCE81" s="609"/>
      <c r="WCF81" s="609"/>
      <c r="WCG81" s="609"/>
      <c r="WCH81" s="609"/>
      <c r="WCI81" s="609"/>
      <c r="WCJ81" s="609"/>
      <c r="WCK81" s="609"/>
      <c r="WCL81" s="609"/>
      <c r="WCM81" s="609"/>
      <c r="WCN81" s="609"/>
      <c r="WCO81" s="609"/>
      <c r="WCP81" s="609"/>
      <c r="WCQ81" s="609"/>
      <c r="WCR81" s="609"/>
      <c r="WCS81" s="609"/>
      <c r="WCT81" s="609"/>
      <c r="WCU81" s="609"/>
      <c r="WCV81" s="609"/>
      <c r="WCW81" s="609"/>
      <c r="WCX81" s="609"/>
      <c r="WCY81" s="609"/>
      <c r="WCZ81" s="609"/>
      <c r="WDA81" s="609"/>
      <c r="WDB81" s="609"/>
      <c r="WDC81" s="609"/>
      <c r="WDD81" s="609"/>
      <c r="WDE81" s="609"/>
      <c r="WDF81" s="609"/>
      <c r="WDG81" s="609"/>
      <c r="WDH81" s="609"/>
      <c r="WDI81" s="609"/>
      <c r="WDJ81" s="609"/>
      <c r="WDK81" s="609"/>
      <c r="WDL81" s="609"/>
      <c r="WDM81" s="609"/>
      <c r="WDN81" s="609"/>
      <c r="WDO81" s="609"/>
      <c r="WDP81" s="609"/>
      <c r="WDQ81" s="609"/>
      <c r="WDR81" s="609"/>
      <c r="WDS81" s="609"/>
      <c r="WDT81" s="609"/>
      <c r="WDU81" s="609"/>
      <c r="WDV81" s="609"/>
      <c r="WDW81" s="609"/>
      <c r="WDX81" s="609"/>
      <c r="WDY81" s="609"/>
      <c r="WDZ81" s="609"/>
      <c r="WEA81" s="609"/>
      <c r="WEB81" s="609"/>
      <c r="WEC81" s="609"/>
      <c r="WED81" s="609"/>
      <c r="WEE81" s="609"/>
      <c r="WEF81" s="609"/>
      <c r="WEG81" s="609"/>
      <c r="WEH81" s="609"/>
      <c r="WEI81" s="609"/>
      <c r="WEJ81" s="609"/>
      <c r="WEK81" s="609"/>
      <c r="WEL81" s="609"/>
      <c r="WEM81" s="609"/>
      <c r="WEN81" s="609"/>
      <c r="WEO81" s="609"/>
      <c r="WEP81" s="609"/>
      <c r="WEQ81" s="609"/>
      <c r="WER81" s="609"/>
      <c r="WES81" s="609"/>
      <c r="WET81" s="609"/>
      <c r="WEU81" s="609"/>
      <c r="WEV81" s="609"/>
      <c r="WEW81" s="609"/>
      <c r="WEX81" s="609"/>
      <c r="WEY81" s="609"/>
      <c r="WEZ81" s="609"/>
      <c r="WFA81" s="609"/>
      <c r="WFB81" s="609"/>
      <c r="WFC81" s="609"/>
      <c r="WFD81" s="609"/>
      <c r="WFE81" s="609"/>
      <c r="WFF81" s="609"/>
      <c r="WFG81" s="609"/>
      <c r="WFH81" s="609"/>
      <c r="WFI81" s="609"/>
      <c r="WFJ81" s="609"/>
      <c r="WFK81" s="609"/>
      <c r="WFL81" s="609"/>
      <c r="WFM81" s="609"/>
      <c r="WFN81" s="609"/>
      <c r="WFO81" s="609"/>
      <c r="WFP81" s="609"/>
      <c r="WFQ81" s="609"/>
      <c r="WFR81" s="609"/>
      <c r="WFS81" s="609"/>
      <c r="WFT81" s="609"/>
      <c r="WFU81" s="609"/>
      <c r="WFV81" s="609"/>
      <c r="WFW81" s="609"/>
      <c r="WFX81" s="609"/>
      <c r="WFY81" s="609"/>
      <c r="WFZ81" s="609"/>
      <c r="WGA81" s="609"/>
      <c r="WGB81" s="609"/>
      <c r="WGC81" s="609"/>
      <c r="WGD81" s="609"/>
      <c r="WGE81" s="609"/>
      <c r="WGF81" s="609"/>
      <c r="WGG81" s="609"/>
      <c r="WGH81" s="609"/>
      <c r="WGI81" s="609"/>
      <c r="WGJ81" s="609"/>
      <c r="WGK81" s="609"/>
      <c r="WGL81" s="609"/>
      <c r="WGM81" s="609"/>
      <c r="WGN81" s="609"/>
      <c r="WGO81" s="609"/>
      <c r="WGP81" s="609"/>
      <c r="WGQ81" s="609"/>
      <c r="WGR81" s="609"/>
      <c r="WGS81" s="609"/>
      <c r="WGT81" s="609"/>
      <c r="WGU81" s="609"/>
      <c r="WGV81" s="609"/>
      <c r="WGW81" s="609"/>
      <c r="WGX81" s="609"/>
      <c r="WGY81" s="609"/>
      <c r="WGZ81" s="609"/>
      <c r="WHA81" s="609"/>
      <c r="WHB81" s="609"/>
      <c r="WHC81" s="609"/>
      <c r="WHD81" s="609"/>
      <c r="WHE81" s="609"/>
      <c r="WHF81" s="609"/>
      <c r="WHG81" s="609"/>
      <c r="WHH81" s="609"/>
      <c r="WHI81" s="609"/>
      <c r="WHJ81" s="609"/>
      <c r="WHK81" s="609"/>
      <c r="WHL81" s="609"/>
      <c r="WHM81" s="609"/>
      <c r="WHN81" s="609"/>
      <c r="WHO81" s="609"/>
      <c r="WHP81" s="609"/>
      <c r="WHQ81" s="609"/>
      <c r="WHR81" s="609"/>
      <c r="WHS81" s="609"/>
      <c r="WHT81" s="609"/>
      <c r="WHU81" s="609"/>
      <c r="WHV81" s="609"/>
      <c r="WHW81" s="609"/>
      <c r="WHX81" s="609"/>
      <c r="WHY81" s="609"/>
      <c r="WHZ81" s="609"/>
      <c r="WIA81" s="609"/>
      <c r="WIB81" s="609"/>
      <c r="WIC81" s="609"/>
      <c r="WID81" s="609"/>
      <c r="WIE81" s="609"/>
      <c r="WIF81" s="609"/>
      <c r="WIG81" s="609"/>
      <c r="WIH81" s="609"/>
      <c r="WII81" s="609"/>
      <c r="WIJ81" s="609"/>
      <c r="WIK81" s="609"/>
      <c r="WIL81" s="609"/>
      <c r="WIM81" s="609"/>
      <c r="WIN81" s="609"/>
      <c r="WIO81" s="609"/>
      <c r="WIP81" s="609"/>
      <c r="WIQ81" s="609"/>
      <c r="WIR81" s="609"/>
      <c r="WIS81" s="609"/>
      <c r="WIT81" s="609"/>
      <c r="WIU81" s="609"/>
      <c r="WIV81" s="609"/>
      <c r="WIW81" s="609"/>
      <c r="WIX81" s="609"/>
      <c r="WIY81" s="609"/>
      <c r="WIZ81" s="609"/>
      <c r="WJA81" s="609"/>
      <c r="WJB81" s="609"/>
      <c r="WJC81" s="609"/>
      <c r="WJD81" s="609"/>
      <c r="WJE81" s="609"/>
      <c r="WJF81" s="609"/>
      <c r="WJG81" s="609"/>
      <c r="WJH81" s="609"/>
      <c r="WJI81" s="609"/>
      <c r="WJJ81" s="609"/>
      <c r="WJK81" s="609"/>
      <c r="WJL81" s="609"/>
      <c r="WJM81" s="609"/>
      <c r="WJN81" s="609"/>
      <c r="WJO81" s="609"/>
      <c r="WJP81" s="609"/>
      <c r="WJQ81" s="609"/>
      <c r="WJR81" s="609"/>
      <c r="WJS81" s="609"/>
      <c r="WJT81" s="609"/>
      <c r="WJU81" s="609"/>
      <c r="WJV81" s="609"/>
      <c r="WJW81" s="609"/>
      <c r="WJX81" s="609"/>
      <c r="WJY81" s="609"/>
      <c r="WJZ81" s="609"/>
      <c r="WKA81" s="609"/>
      <c r="WKB81" s="609"/>
      <c r="WKC81" s="609"/>
      <c r="WKD81" s="609"/>
      <c r="WKE81" s="609"/>
      <c r="WKF81" s="609"/>
      <c r="WKG81" s="609"/>
      <c r="WKH81" s="609"/>
      <c r="WKI81" s="609"/>
      <c r="WKJ81" s="609"/>
      <c r="WKK81" s="609"/>
      <c r="WKL81" s="609"/>
      <c r="WKM81" s="609"/>
      <c r="WKN81" s="609"/>
      <c r="WKO81" s="609"/>
      <c r="WKP81" s="609"/>
      <c r="WKQ81" s="609"/>
      <c r="WKR81" s="609"/>
      <c r="WKS81" s="609"/>
      <c r="WKT81" s="609"/>
      <c r="WKU81" s="609"/>
      <c r="WKV81" s="609"/>
      <c r="WKW81" s="609"/>
      <c r="WKX81" s="609"/>
      <c r="WKY81" s="609"/>
      <c r="WKZ81" s="609"/>
      <c r="WLA81" s="609"/>
      <c r="WLB81" s="609"/>
      <c r="WLC81" s="609"/>
      <c r="WLD81" s="609"/>
      <c r="WLE81" s="609"/>
      <c r="WLF81" s="609"/>
      <c r="WLG81" s="609"/>
      <c r="WLH81" s="609"/>
      <c r="WLI81" s="609"/>
      <c r="WLJ81" s="609"/>
      <c r="WLK81" s="609"/>
      <c r="WLL81" s="609"/>
      <c r="WLM81" s="609"/>
      <c r="WLN81" s="609"/>
      <c r="WLO81" s="609"/>
      <c r="WLP81" s="609"/>
      <c r="WLQ81" s="609"/>
      <c r="WLR81" s="609"/>
      <c r="WLS81" s="609"/>
      <c r="WLT81" s="609"/>
      <c r="WLU81" s="609"/>
      <c r="WLV81" s="609"/>
      <c r="WLW81" s="609"/>
      <c r="WLX81" s="609"/>
      <c r="WLY81" s="609"/>
      <c r="WLZ81" s="609"/>
      <c r="WMA81" s="609"/>
      <c r="WMB81" s="609"/>
      <c r="WMC81" s="609"/>
      <c r="WMD81" s="609"/>
      <c r="WME81" s="609"/>
      <c r="WMF81" s="609"/>
      <c r="WMG81" s="609"/>
      <c r="WMH81" s="609"/>
      <c r="WMI81" s="609"/>
      <c r="WMJ81" s="609"/>
      <c r="WMK81" s="609"/>
      <c r="WML81" s="609"/>
      <c r="WMM81" s="609"/>
      <c r="WMN81" s="609"/>
      <c r="WMO81" s="609"/>
      <c r="WMP81" s="609"/>
      <c r="WMQ81" s="609"/>
      <c r="WMR81" s="609"/>
      <c r="WMS81" s="609"/>
      <c r="WMT81" s="609"/>
      <c r="WMU81" s="609"/>
      <c r="WMV81" s="609"/>
      <c r="WMW81" s="609"/>
      <c r="WMX81" s="609"/>
      <c r="WMY81" s="609"/>
      <c r="WMZ81" s="609"/>
      <c r="WNA81" s="609"/>
      <c r="WNB81" s="609"/>
      <c r="WNC81" s="609"/>
      <c r="WND81" s="609"/>
      <c r="WNE81" s="609"/>
      <c r="WNF81" s="609"/>
      <c r="WNG81" s="609"/>
      <c r="WNH81" s="609"/>
      <c r="WNI81" s="609"/>
      <c r="WNJ81" s="609"/>
      <c r="WNK81" s="609"/>
      <c r="WNL81" s="609"/>
      <c r="WNM81" s="609"/>
      <c r="WNN81" s="609"/>
      <c r="WNO81" s="609"/>
      <c r="WNP81" s="609"/>
      <c r="WNQ81" s="609"/>
      <c r="WNR81" s="609"/>
      <c r="WNS81" s="609"/>
      <c r="WNT81" s="609"/>
      <c r="WNU81" s="609"/>
      <c r="WNV81" s="609"/>
      <c r="WNW81" s="609"/>
      <c r="WNX81" s="609"/>
      <c r="WNY81" s="609"/>
      <c r="WNZ81" s="609"/>
      <c r="WOA81" s="609"/>
      <c r="WOB81" s="609"/>
      <c r="WOC81" s="609"/>
      <c r="WOD81" s="609"/>
      <c r="WOE81" s="609"/>
      <c r="WOF81" s="609"/>
      <c r="WOG81" s="609"/>
      <c r="WOH81" s="609"/>
      <c r="WOI81" s="609"/>
      <c r="WOJ81" s="609"/>
      <c r="WOK81" s="609"/>
      <c r="WOL81" s="609"/>
      <c r="WOM81" s="609"/>
      <c r="WON81" s="609"/>
      <c r="WOO81" s="609"/>
      <c r="WOP81" s="609"/>
      <c r="WOQ81" s="609"/>
      <c r="WOR81" s="609"/>
      <c r="WOS81" s="609"/>
      <c r="WOT81" s="609"/>
      <c r="WOU81" s="609"/>
      <c r="WOV81" s="609"/>
      <c r="WOW81" s="609"/>
      <c r="WOX81" s="609"/>
      <c r="WOY81" s="609"/>
      <c r="WOZ81" s="609"/>
      <c r="WPA81" s="609"/>
      <c r="WPB81" s="609"/>
      <c r="WPC81" s="609"/>
      <c r="WPD81" s="609"/>
      <c r="WPE81" s="609"/>
      <c r="WPF81" s="609"/>
      <c r="WPG81" s="609"/>
      <c r="WPH81" s="609"/>
      <c r="WPI81" s="609"/>
      <c r="WPJ81" s="609"/>
      <c r="WPK81" s="609"/>
      <c r="WPL81" s="609"/>
      <c r="WPM81" s="609"/>
      <c r="WPN81" s="609"/>
      <c r="WPO81" s="609"/>
      <c r="WPP81" s="609"/>
      <c r="WPQ81" s="609"/>
      <c r="WPR81" s="609"/>
      <c r="WPS81" s="609"/>
      <c r="WPT81" s="609"/>
      <c r="WPU81" s="609"/>
      <c r="WPV81" s="609"/>
      <c r="WPW81" s="609"/>
      <c r="WPX81" s="609"/>
      <c r="WPY81" s="609"/>
      <c r="WPZ81" s="609"/>
      <c r="WQA81" s="609"/>
      <c r="WQB81" s="609"/>
      <c r="WQC81" s="609"/>
      <c r="WQD81" s="609"/>
      <c r="WQE81" s="609"/>
      <c r="WQF81" s="609"/>
      <c r="WQG81" s="609"/>
      <c r="WQH81" s="609"/>
      <c r="WQI81" s="609"/>
      <c r="WQJ81" s="609"/>
      <c r="WQK81" s="609"/>
      <c r="WQL81" s="609"/>
      <c r="WQM81" s="609"/>
      <c r="WQN81" s="609"/>
      <c r="WQO81" s="609"/>
      <c r="WQP81" s="609"/>
      <c r="WQQ81" s="609"/>
      <c r="WQR81" s="609"/>
      <c r="WQS81" s="609"/>
      <c r="WQT81" s="609"/>
      <c r="WQU81" s="609"/>
      <c r="WQV81" s="609"/>
      <c r="WQW81" s="609"/>
      <c r="WQX81" s="609"/>
      <c r="WQY81" s="609"/>
      <c r="WQZ81" s="609"/>
      <c r="WRA81" s="609"/>
      <c r="WRB81" s="609"/>
      <c r="WRC81" s="609"/>
      <c r="WRD81" s="609"/>
      <c r="WRE81" s="609"/>
      <c r="WRF81" s="609"/>
      <c r="WRG81" s="609"/>
      <c r="WRH81" s="609"/>
      <c r="WRI81" s="609"/>
      <c r="WRJ81" s="609"/>
      <c r="WRK81" s="609"/>
      <c r="WRL81" s="609"/>
      <c r="WRM81" s="609"/>
      <c r="WRN81" s="609"/>
      <c r="WRO81" s="609"/>
      <c r="WRP81" s="609"/>
      <c r="WRQ81" s="609"/>
      <c r="WRR81" s="609"/>
      <c r="WRS81" s="609"/>
      <c r="WRT81" s="609"/>
      <c r="WRU81" s="609"/>
      <c r="WRV81" s="609"/>
      <c r="WRW81" s="609"/>
      <c r="WRX81" s="609"/>
      <c r="WRY81" s="609"/>
      <c r="WRZ81" s="609"/>
      <c r="WSA81" s="609"/>
      <c r="WSB81" s="609"/>
      <c r="WSC81" s="609"/>
      <c r="WSD81" s="609"/>
      <c r="WSE81" s="609"/>
      <c r="WSF81" s="609"/>
      <c r="WSG81" s="609"/>
      <c r="WSH81" s="609"/>
      <c r="WSI81" s="609"/>
      <c r="WSJ81" s="609"/>
      <c r="WSK81" s="609"/>
      <c r="WSL81" s="609"/>
      <c r="WSM81" s="609"/>
      <c r="WSN81" s="609"/>
      <c r="WSO81" s="609"/>
      <c r="WSP81" s="609"/>
      <c r="WSQ81" s="609"/>
      <c r="WSR81" s="609"/>
      <c r="WSS81" s="609"/>
      <c r="WST81" s="609"/>
      <c r="WSU81" s="609"/>
      <c r="WSV81" s="609"/>
      <c r="WSW81" s="609"/>
      <c r="WSX81" s="609"/>
      <c r="WSY81" s="609"/>
      <c r="WSZ81" s="609"/>
      <c r="WTA81" s="609"/>
      <c r="WTB81" s="609"/>
      <c r="WTC81" s="609"/>
      <c r="WTD81" s="609"/>
      <c r="WTE81" s="609"/>
      <c r="WTF81" s="609"/>
      <c r="WTG81" s="609"/>
      <c r="WTH81" s="609"/>
      <c r="WTI81" s="609"/>
      <c r="WTJ81" s="609"/>
      <c r="WTK81" s="609"/>
      <c r="WTL81" s="609"/>
      <c r="WTM81" s="609"/>
      <c r="WTN81" s="609"/>
      <c r="WTO81" s="609"/>
      <c r="WTP81" s="609"/>
      <c r="WTQ81" s="609"/>
      <c r="WTR81" s="609"/>
      <c r="WTS81" s="609"/>
      <c r="WTT81" s="609"/>
      <c r="WTU81" s="609"/>
      <c r="WTV81" s="609"/>
      <c r="WTW81" s="609"/>
      <c r="WTX81" s="609"/>
      <c r="WTY81" s="609"/>
      <c r="WTZ81" s="609"/>
      <c r="WUA81" s="609"/>
      <c r="WUB81" s="609"/>
      <c r="WUC81" s="609"/>
      <c r="WUD81" s="609"/>
      <c r="WUE81" s="609"/>
      <c r="WUF81" s="609"/>
      <c r="WUG81" s="609"/>
      <c r="WUH81" s="609"/>
      <c r="WUI81" s="609"/>
      <c r="WUJ81" s="609"/>
      <c r="WUK81" s="609"/>
      <c r="WUL81" s="609"/>
      <c r="WUM81" s="609"/>
      <c r="WUN81" s="609"/>
      <c r="WUO81" s="609"/>
      <c r="WUP81" s="609"/>
      <c r="WUQ81" s="609"/>
      <c r="WUR81" s="609"/>
      <c r="WUS81" s="609"/>
      <c r="WUT81" s="609"/>
      <c r="WUU81" s="609"/>
      <c r="WUV81" s="609"/>
      <c r="WUW81" s="609"/>
      <c r="WUX81" s="609"/>
      <c r="WUY81" s="609"/>
      <c r="WUZ81" s="609"/>
      <c r="WVA81" s="609"/>
      <c r="WVB81" s="609"/>
      <c r="WVC81" s="609"/>
      <c r="WVD81" s="609"/>
      <c r="WVE81" s="609"/>
      <c r="WVF81" s="609"/>
      <c r="WVG81" s="609"/>
      <c r="WVH81" s="609"/>
      <c r="WVI81" s="609"/>
      <c r="WVJ81" s="609"/>
      <c r="WVK81" s="609"/>
      <c r="WVL81" s="609"/>
      <c r="WVM81" s="609"/>
      <c r="WVN81" s="609"/>
      <c r="WVO81" s="609"/>
      <c r="WVP81" s="609"/>
      <c r="WVQ81" s="609"/>
      <c r="WVR81" s="609"/>
      <c r="WVS81" s="609"/>
      <c r="WVT81" s="609"/>
      <c r="WVU81" s="609"/>
      <c r="WVV81" s="609"/>
      <c r="WVW81" s="609"/>
      <c r="WVX81" s="609"/>
      <c r="WVY81" s="609"/>
      <c r="WVZ81" s="609"/>
      <c r="WWA81" s="609"/>
      <c r="WWB81" s="609"/>
      <c r="WWC81" s="609"/>
      <c r="WWD81" s="609"/>
      <c r="WWE81" s="609"/>
      <c r="WWF81" s="609"/>
      <c r="WWG81" s="609"/>
      <c r="WWH81" s="609"/>
      <c r="WWI81" s="609"/>
      <c r="WWJ81" s="609"/>
      <c r="WWK81" s="609"/>
      <c r="WWL81" s="609"/>
      <c r="WWM81" s="609"/>
      <c r="WWN81" s="609"/>
      <c r="WWO81" s="609"/>
      <c r="WWP81" s="609"/>
      <c r="WWQ81" s="609"/>
      <c r="WWR81" s="609"/>
      <c r="WWS81" s="609"/>
      <c r="WWT81" s="609"/>
      <c r="WWU81" s="609"/>
      <c r="WWV81" s="609"/>
      <c r="WWW81" s="609"/>
      <c r="WWX81" s="609"/>
      <c r="WWY81" s="609"/>
      <c r="WWZ81" s="609"/>
      <c r="WXA81" s="609"/>
      <c r="WXB81" s="609"/>
      <c r="WXC81" s="609"/>
      <c r="WXD81" s="609"/>
      <c r="WXE81" s="609"/>
      <c r="WXF81" s="609"/>
      <c r="WXG81" s="609"/>
      <c r="WXH81" s="609"/>
      <c r="WXI81" s="609"/>
      <c r="WXJ81" s="609"/>
      <c r="WXK81" s="609"/>
      <c r="WXL81" s="609"/>
      <c r="WXM81" s="609"/>
      <c r="WXN81" s="609"/>
      <c r="WXO81" s="609"/>
      <c r="WXP81" s="609"/>
      <c r="WXQ81" s="609"/>
      <c r="WXR81" s="609"/>
      <c r="WXS81" s="609"/>
      <c r="WXT81" s="609"/>
      <c r="WXU81" s="609"/>
      <c r="WXV81" s="609"/>
      <c r="WXW81" s="609"/>
      <c r="WXX81" s="609"/>
      <c r="WXY81" s="609"/>
      <c r="WXZ81" s="609"/>
      <c r="WYA81" s="609"/>
      <c r="WYB81" s="609"/>
      <c r="WYC81" s="609"/>
      <c r="WYD81" s="609"/>
      <c r="WYE81" s="609"/>
      <c r="WYF81" s="609"/>
      <c r="WYG81" s="609"/>
      <c r="WYH81" s="609"/>
      <c r="WYI81" s="609"/>
      <c r="WYJ81" s="609"/>
      <c r="WYK81" s="609"/>
      <c r="WYL81" s="609"/>
      <c r="WYM81" s="609"/>
      <c r="WYN81" s="609"/>
      <c r="WYO81" s="609"/>
      <c r="WYP81" s="609"/>
      <c r="WYQ81" s="609"/>
      <c r="WYR81" s="609"/>
      <c r="WYS81" s="609"/>
      <c r="WYT81" s="609"/>
      <c r="WYU81" s="609"/>
      <c r="WYV81" s="609"/>
      <c r="WYW81" s="609"/>
      <c r="WYX81" s="609"/>
      <c r="WYY81" s="609"/>
      <c r="WYZ81" s="609"/>
      <c r="WZA81" s="609"/>
      <c r="WZB81" s="609"/>
      <c r="WZC81" s="609"/>
      <c r="WZD81" s="609"/>
      <c r="WZE81" s="609"/>
      <c r="WZF81" s="609"/>
      <c r="WZG81" s="609"/>
      <c r="WZH81" s="609"/>
      <c r="WZI81" s="609"/>
      <c r="WZJ81" s="609"/>
      <c r="WZK81" s="609"/>
      <c r="WZL81" s="609"/>
      <c r="WZM81" s="609"/>
      <c r="WZN81" s="609"/>
      <c r="WZO81" s="609"/>
      <c r="WZP81" s="609"/>
      <c r="WZQ81" s="609"/>
      <c r="WZR81" s="609"/>
      <c r="WZS81" s="609"/>
      <c r="WZT81" s="609"/>
      <c r="WZU81" s="609"/>
      <c r="WZV81" s="609"/>
      <c r="WZW81" s="609"/>
      <c r="WZX81" s="609"/>
      <c r="WZY81" s="609"/>
      <c r="WZZ81" s="609"/>
      <c r="XAA81" s="609"/>
      <c r="XAB81" s="609"/>
      <c r="XAC81" s="609"/>
      <c r="XAD81" s="609"/>
      <c r="XAE81" s="609"/>
      <c r="XAF81" s="609"/>
      <c r="XAG81" s="609"/>
      <c r="XAH81" s="609"/>
      <c r="XAI81" s="609"/>
      <c r="XAJ81" s="609"/>
      <c r="XAK81" s="609"/>
      <c r="XAL81" s="609"/>
      <c r="XAM81" s="609"/>
      <c r="XAN81" s="609"/>
      <c r="XAO81" s="609"/>
      <c r="XAP81" s="609"/>
      <c r="XAQ81" s="609"/>
      <c r="XAR81" s="609"/>
      <c r="XAS81" s="609"/>
      <c r="XAT81" s="609"/>
      <c r="XAU81" s="609"/>
      <c r="XAV81" s="609"/>
      <c r="XAW81" s="609"/>
      <c r="XAX81" s="609"/>
      <c r="XAY81" s="609"/>
      <c r="XAZ81" s="609"/>
      <c r="XBA81" s="609"/>
      <c r="XBB81" s="609"/>
      <c r="XBC81" s="609"/>
      <c r="XBD81" s="609"/>
      <c r="XBE81" s="609"/>
      <c r="XBF81" s="609"/>
      <c r="XBG81" s="609"/>
      <c r="XBH81" s="609"/>
      <c r="XBI81" s="609"/>
      <c r="XBJ81" s="609"/>
      <c r="XBK81" s="609"/>
      <c r="XBL81" s="609"/>
      <c r="XBM81" s="609"/>
      <c r="XBN81" s="609"/>
      <c r="XBO81" s="609"/>
      <c r="XBP81" s="609"/>
      <c r="XBQ81" s="609"/>
      <c r="XBR81" s="609"/>
      <c r="XBS81" s="609"/>
      <c r="XBT81" s="609"/>
      <c r="XBU81" s="609"/>
      <c r="XBV81" s="609"/>
      <c r="XBW81" s="609"/>
      <c r="XBX81" s="609"/>
      <c r="XBY81" s="609"/>
      <c r="XBZ81" s="609"/>
      <c r="XCA81" s="609"/>
      <c r="XCB81" s="609"/>
      <c r="XCC81" s="609"/>
      <c r="XCD81" s="609"/>
      <c r="XCE81" s="609"/>
      <c r="XCF81" s="609"/>
      <c r="XCG81" s="609"/>
      <c r="XCH81" s="609"/>
      <c r="XCI81" s="609"/>
      <c r="XCJ81" s="609"/>
      <c r="XCK81" s="609"/>
      <c r="XCL81" s="609"/>
      <c r="XCM81" s="609"/>
      <c r="XCN81" s="609"/>
      <c r="XCO81" s="609"/>
      <c r="XCP81" s="609"/>
      <c r="XCQ81" s="609"/>
      <c r="XCR81" s="609"/>
      <c r="XCS81" s="609"/>
      <c r="XCT81" s="609"/>
      <c r="XCU81" s="609"/>
      <c r="XCV81" s="609"/>
      <c r="XCW81" s="609"/>
      <c r="XCX81" s="609"/>
      <c r="XCY81" s="609"/>
      <c r="XCZ81" s="609"/>
      <c r="XDA81" s="609"/>
      <c r="XDB81" s="609"/>
      <c r="XDC81" s="609"/>
      <c r="XDD81" s="609"/>
      <c r="XDE81" s="609"/>
      <c r="XDF81" s="609"/>
      <c r="XDG81" s="609"/>
      <c r="XDH81" s="609"/>
      <c r="XDI81" s="609"/>
      <c r="XDJ81" s="609"/>
      <c r="XDK81" s="609"/>
      <c r="XDL81" s="609"/>
      <c r="XDM81" s="609"/>
      <c r="XDN81" s="609"/>
      <c r="XDO81" s="609"/>
      <c r="XDP81" s="609"/>
      <c r="XDQ81" s="609"/>
      <c r="XDR81" s="609"/>
      <c r="XDS81" s="609"/>
      <c r="XDT81" s="609"/>
      <c r="XDU81" s="609"/>
      <c r="XDV81" s="609"/>
      <c r="XDW81" s="609"/>
      <c r="XDX81" s="609"/>
      <c r="XDY81" s="609"/>
      <c r="XDZ81" s="609"/>
      <c r="XEA81" s="609"/>
      <c r="XEB81" s="609"/>
      <c r="XEC81" s="609"/>
      <c r="XED81" s="609"/>
      <c r="XEE81" s="609"/>
      <c r="XEF81" s="609"/>
      <c r="XEG81" s="609"/>
      <c r="XEH81" s="609"/>
      <c r="XEI81" s="609"/>
      <c r="XEJ81" s="609"/>
      <c r="XEK81" s="609"/>
      <c r="XEL81" s="609"/>
      <c r="XEM81" s="609"/>
      <c r="XEN81" s="609"/>
      <c r="XEO81" s="609"/>
      <c r="XEP81" s="609"/>
      <c r="XEQ81" s="609"/>
      <c r="XER81" s="609"/>
      <c r="XES81" s="609"/>
      <c r="XET81" s="609"/>
      <c r="XEU81" s="609"/>
      <c r="XEV81" s="609"/>
      <c r="XEW81" s="609"/>
      <c r="XEX81" s="609"/>
      <c r="XEY81" s="609"/>
      <c r="XEZ81" s="609"/>
      <c r="XFA81" s="609"/>
    </row>
    <row r="82" spans="1:16381">
      <c r="A82" s="609" t="str">
        <f t="shared" si="7"/>
        <v>Deutsche Flugsicherung v. 09.12.2016</v>
      </c>
      <c r="B82" s="609">
        <f>ROW()</f>
        <v>82</v>
      </c>
      <c r="C82" s="635" t="s">
        <v>1277</v>
      </c>
      <c r="D82" s="1201">
        <v>42713</v>
      </c>
      <c r="E82" s="636" t="s">
        <v>202</v>
      </c>
      <c r="F82" s="637" t="str">
        <f t="shared" si="9"/>
        <v/>
      </c>
      <c r="G82" s="634" t="str">
        <f t="shared" si="8"/>
        <v xml:space="preserve">TO ermöglicht:  Abweichungen vom gerichtl. festgelegten Ausgleichswert; </v>
      </c>
      <c r="K82" s="1199"/>
      <c r="L82" s="1199"/>
      <c r="M82" s="1199">
        <v>3</v>
      </c>
      <c r="N82" s="1199"/>
      <c r="O82" s="789"/>
      <c r="P82" s="144">
        <f t="shared" si="6"/>
        <v>3</v>
      </c>
    </row>
    <row r="83" spans="1:16381" ht="25.5">
      <c r="A83" s="609" t="str">
        <f t="shared" si="7"/>
        <v>Deutsche See v. 01.09.2009</v>
      </c>
      <c r="B83" s="609">
        <f>ROW()</f>
        <v>83</v>
      </c>
      <c r="C83" s="635" t="s">
        <v>804</v>
      </c>
      <c r="D83" s="1201">
        <v>40057</v>
      </c>
      <c r="E83" s="636" t="s">
        <v>776</v>
      </c>
      <c r="F83" s="637" t="str">
        <f t="shared" si="9"/>
        <v/>
      </c>
      <c r="G83" s="634" t="str">
        <f t="shared" si="8"/>
        <v xml:space="preserve">TO ermöglicht: doppelten Kostenabzug; </v>
      </c>
      <c r="K83" s="1199"/>
      <c r="L83" s="1199">
        <v>2</v>
      </c>
      <c r="M83" s="1199"/>
      <c r="N83" s="1199"/>
      <c r="O83" s="789" t="s">
        <v>812</v>
      </c>
      <c r="P83" s="144">
        <f t="shared" si="6"/>
        <v>2</v>
      </c>
    </row>
    <row r="84" spans="1:16381" ht="22.5">
      <c r="A84" s="609" t="str">
        <f t="shared" si="7"/>
        <v>Deutsche Telekom AG v. 01.07.2022</v>
      </c>
      <c r="B84" s="609">
        <f>ROW()</f>
        <v>84</v>
      </c>
      <c r="C84" s="635" t="s">
        <v>1278</v>
      </c>
      <c r="D84" s="1201">
        <v>44743</v>
      </c>
      <c r="F84" s="637" t="str">
        <f t="shared" si="9"/>
        <v/>
      </c>
      <c r="G84" s="634" t="str">
        <f t="shared" si="8"/>
        <v xml:space="preserve">TO ermöglicht: doppelten Kostenabzug;  Abweichungen vom gerichtl. festgelegten Ausgleichswert; </v>
      </c>
      <c r="K84" s="1199"/>
      <c r="L84" s="1199">
        <v>2</v>
      </c>
      <c r="M84" s="1199">
        <v>3</v>
      </c>
      <c r="N84" s="1199"/>
      <c r="P84" s="144">
        <f t="shared" si="6"/>
        <v>5</v>
      </c>
    </row>
    <row r="85" spans="1:16381" ht="22.5">
      <c r="A85" s="609" t="str">
        <f t="shared" si="7"/>
        <v>Deutsche Telekom KBV bAV AT v. 19.03.2021</v>
      </c>
      <c r="B85" s="609">
        <f>ROW()</f>
        <v>85</v>
      </c>
      <c r="C85" s="635" t="s">
        <v>1043</v>
      </c>
      <c r="D85" s="1201">
        <v>44274</v>
      </c>
      <c r="F85" s="637" t="str">
        <f t="shared" si="9"/>
        <v/>
      </c>
      <c r="G85" s="634" t="str">
        <f t="shared" si="8"/>
        <v>TO ermöglicht: doppelten Kostenabzug;  Verzinsung zwischen EzE und RK geltend machen</v>
      </c>
      <c r="K85" s="1199"/>
      <c r="L85" s="1199">
        <v>2</v>
      </c>
      <c r="M85" s="1199"/>
      <c r="N85" s="1199">
        <v>4</v>
      </c>
      <c r="P85" s="144">
        <f t="shared" si="6"/>
        <v>6</v>
      </c>
    </row>
    <row r="86" spans="1:16381" ht="45">
      <c r="A86" s="609" t="str">
        <f t="shared" si="7"/>
        <v>Deutsche Telekom TV Kapitalkontenplan v. 01.02.2022</v>
      </c>
      <c r="B86" s="609">
        <f>ROW()</f>
        <v>86</v>
      </c>
      <c r="C86" s="635" t="s">
        <v>1042</v>
      </c>
      <c r="D86" s="1201">
        <v>44593</v>
      </c>
      <c r="F86" s="637" t="str">
        <f t="shared" si="9"/>
        <v/>
      </c>
      <c r="G86" s="634" t="str">
        <f t="shared" si="8"/>
        <v/>
      </c>
      <c r="I86" s="634" t="s">
        <v>1044</v>
      </c>
      <c r="K86" s="1199"/>
      <c r="L86" s="1199"/>
      <c r="M86" s="1199"/>
      <c r="N86" s="1199"/>
      <c r="P86" s="144">
        <f t="shared" si="6"/>
        <v>0</v>
      </c>
    </row>
    <row r="87" spans="1:16381">
      <c r="A87" s="609" t="str">
        <f t="shared" si="7"/>
        <v>Deutsche Welle Tarifvertrag v. 06.12.2009</v>
      </c>
      <c r="B87" s="609">
        <f>ROW()</f>
        <v>87</v>
      </c>
      <c r="C87" s="635" t="s">
        <v>951</v>
      </c>
      <c r="D87" s="1201">
        <v>40153</v>
      </c>
      <c r="F87" s="637" t="str">
        <f t="shared" si="9"/>
        <v/>
      </c>
      <c r="G87" s="634" t="str">
        <f t="shared" si="8"/>
        <v/>
      </c>
      <c r="K87" s="1199"/>
      <c r="L87" s="1199"/>
      <c r="M87" s="1199"/>
      <c r="N87" s="1199"/>
      <c r="P87" s="144">
        <f t="shared" si="6"/>
        <v>0</v>
      </c>
    </row>
    <row r="88" spans="1:16381" ht="22.5">
      <c r="A88" s="609" t="str">
        <f t="shared" si="7"/>
        <v>Deutscher Pensionsfonds AG v. 01.01.2013</v>
      </c>
      <c r="B88" s="609">
        <f>ROW()</f>
        <v>88</v>
      </c>
      <c r="C88" s="635" t="s">
        <v>895</v>
      </c>
      <c r="D88" s="1201">
        <v>41275</v>
      </c>
      <c r="F88" s="637" t="str">
        <f t="shared" si="9"/>
        <v>Ja</v>
      </c>
      <c r="G88" s="634" t="str">
        <f t="shared" si="8"/>
        <v>TO ermöglicht: Tarifwechel;  Verzinsung zwischen EzE und RK geltend machen</v>
      </c>
      <c r="K88" s="1199">
        <v>1</v>
      </c>
      <c r="L88" s="1199"/>
      <c r="M88" s="1199"/>
      <c r="N88" s="1199">
        <v>4</v>
      </c>
      <c r="P88" s="144">
        <f t="shared" si="6"/>
        <v>5</v>
      </c>
    </row>
    <row r="89" spans="1:16381" ht="33.75">
      <c r="A89" s="609" t="str">
        <f t="shared" si="7"/>
        <v>Deutscher Pensionsfonds AG v. 06.12.2020</v>
      </c>
      <c r="B89" s="609">
        <f>ROW()</f>
        <v>89</v>
      </c>
      <c r="C89" s="635" t="s">
        <v>895</v>
      </c>
      <c r="D89" s="1201">
        <v>44171</v>
      </c>
      <c r="E89" s="636" t="s">
        <v>1350</v>
      </c>
      <c r="F89" s="637" t="str">
        <f t="shared" si="9"/>
        <v/>
      </c>
      <c r="G89" s="634" t="str">
        <f t="shared" si="8"/>
        <v>TO ermöglicht: doppelten Kostenabzug;  Abweichungen vom gerichtl. festgelegten Ausgleichswert;  Verzinsung zwischen EzE und RK geltend machen</v>
      </c>
      <c r="I89" s="634" t="s">
        <v>1349</v>
      </c>
      <c r="J89" s="788"/>
      <c r="K89" s="1199"/>
      <c r="L89" s="1199">
        <v>2</v>
      </c>
      <c r="M89" s="1199">
        <v>3</v>
      </c>
      <c r="N89" s="1199">
        <v>4</v>
      </c>
      <c r="O89" s="853" t="s">
        <v>896</v>
      </c>
      <c r="P89" s="144">
        <f t="shared" si="6"/>
        <v>9</v>
      </c>
    </row>
    <row r="90" spans="1:16381">
      <c r="A90" s="609" t="str">
        <f t="shared" si="7"/>
        <v>Deutschlandradio Tarifvertrag v. 10.12.2009</v>
      </c>
      <c r="B90" s="609">
        <f>ROW()</f>
        <v>90</v>
      </c>
      <c r="C90" s="635" t="s">
        <v>955</v>
      </c>
      <c r="D90" s="1201">
        <v>40157</v>
      </c>
      <c r="F90" s="637" t="str">
        <f t="shared" si="9"/>
        <v/>
      </c>
      <c r="G90" s="634" t="str">
        <f t="shared" si="8"/>
        <v/>
      </c>
      <c r="K90" s="1199"/>
      <c r="L90" s="1199"/>
      <c r="M90" s="1199"/>
      <c r="N90" s="1199"/>
      <c r="P90" s="144">
        <f t="shared" si="6"/>
        <v>0</v>
      </c>
    </row>
    <row r="91" spans="1:16381">
      <c r="A91" s="609" t="str">
        <f t="shared" si="7"/>
        <v>DFS Deutsche Flugsicherung v. 09.12.2016</v>
      </c>
      <c r="B91" s="609">
        <f>ROW()</f>
        <v>91</v>
      </c>
      <c r="C91" s="635" t="s">
        <v>959</v>
      </c>
      <c r="D91" s="1201">
        <v>42713</v>
      </c>
      <c r="E91" s="852" t="s">
        <v>961</v>
      </c>
      <c r="F91" s="637" t="str">
        <f t="shared" si="9"/>
        <v/>
      </c>
      <c r="G91" s="634" t="str">
        <f t="shared" si="8"/>
        <v xml:space="preserve">TO ermöglicht:  Abweichungen vom gerichtl. festgelegten Ausgleichswert; </v>
      </c>
      <c r="J91" s="788"/>
      <c r="K91" s="1199"/>
      <c r="L91" s="1199"/>
      <c r="M91" s="1199">
        <v>3</v>
      </c>
      <c r="N91" s="1199"/>
      <c r="P91" s="144">
        <f t="shared" si="6"/>
        <v>3</v>
      </c>
      <c r="Q91" s="609"/>
      <c r="R91" s="609"/>
      <c r="S91" s="609"/>
      <c r="T91" s="609"/>
      <c r="U91" s="609"/>
      <c r="V91" s="609"/>
      <c r="W91" s="609"/>
      <c r="X91" s="609"/>
      <c r="Y91" s="609"/>
      <c r="Z91" s="609"/>
      <c r="AA91" s="609"/>
      <c r="AB91" s="609"/>
      <c r="AC91" s="609"/>
      <c r="AD91" s="609"/>
      <c r="AE91" s="609"/>
      <c r="AF91" s="609"/>
      <c r="AG91" s="609"/>
      <c r="AH91" s="609"/>
      <c r="AI91" s="609"/>
      <c r="AJ91" s="609"/>
      <c r="AK91" s="609"/>
      <c r="AL91" s="609"/>
      <c r="AM91" s="609"/>
      <c r="AN91" s="609"/>
      <c r="AO91" s="609"/>
      <c r="AP91" s="609"/>
      <c r="AQ91" s="609"/>
      <c r="AR91" s="609"/>
      <c r="AS91" s="609"/>
      <c r="AT91" s="609"/>
      <c r="AU91" s="609"/>
      <c r="AV91" s="609"/>
      <c r="AW91" s="609"/>
      <c r="AX91" s="609"/>
      <c r="AY91" s="609"/>
      <c r="AZ91" s="609"/>
      <c r="BA91" s="609"/>
      <c r="BB91" s="609"/>
      <c r="BC91" s="609"/>
      <c r="BD91" s="609"/>
      <c r="BE91" s="609"/>
      <c r="BF91" s="609"/>
      <c r="BG91" s="609"/>
      <c r="BH91" s="609"/>
      <c r="BI91" s="609"/>
      <c r="BJ91" s="609"/>
      <c r="BK91" s="609"/>
      <c r="BL91" s="609"/>
      <c r="BM91" s="609"/>
      <c r="BN91" s="609"/>
      <c r="BO91" s="609"/>
      <c r="BP91" s="609"/>
      <c r="BQ91" s="609"/>
      <c r="BR91" s="609"/>
      <c r="BS91" s="609"/>
      <c r="BT91" s="609"/>
      <c r="BU91" s="609"/>
      <c r="BV91" s="609"/>
      <c r="BW91" s="609"/>
      <c r="BX91" s="609"/>
      <c r="BY91" s="609"/>
      <c r="BZ91" s="609"/>
      <c r="CA91" s="609"/>
      <c r="CB91" s="609"/>
      <c r="CC91" s="609"/>
      <c r="CD91" s="609"/>
      <c r="CE91" s="609"/>
      <c r="CF91" s="609"/>
      <c r="CG91" s="609"/>
      <c r="CH91" s="609"/>
      <c r="CI91" s="609"/>
      <c r="CJ91" s="609"/>
      <c r="CK91" s="609"/>
      <c r="CL91" s="609"/>
      <c r="CM91" s="609"/>
      <c r="CN91" s="609"/>
      <c r="CO91" s="609"/>
      <c r="CP91" s="609"/>
      <c r="CQ91" s="609"/>
      <c r="CR91" s="609"/>
      <c r="CS91" s="609"/>
      <c r="CT91" s="609"/>
      <c r="CU91" s="609"/>
      <c r="CV91" s="609"/>
      <c r="CW91" s="609"/>
      <c r="CX91" s="609"/>
      <c r="CY91" s="609"/>
      <c r="CZ91" s="609"/>
      <c r="DA91" s="609"/>
      <c r="DB91" s="609"/>
      <c r="DC91" s="609"/>
      <c r="DD91" s="609"/>
      <c r="DE91" s="609"/>
      <c r="DF91" s="609"/>
      <c r="DG91" s="609"/>
      <c r="DH91" s="609"/>
      <c r="DI91" s="609"/>
      <c r="DJ91" s="609"/>
      <c r="DK91" s="609"/>
      <c r="DL91" s="609"/>
      <c r="DM91" s="609"/>
      <c r="DN91" s="609"/>
      <c r="DO91" s="609"/>
      <c r="DP91" s="609"/>
      <c r="DQ91" s="609"/>
      <c r="DR91" s="609"/>
      <c r="DS91" s="609"/>
      <c r="DT91" s="609"/>
      <c r="DU91" s="609"/>
      <c r="DV91" s="609"/>
      <c r="DW91" s="609"/>
      <c r="DX91" s="609"/>
      <c r="DY91" s="609"/>
      <c r="DZ91" s="609"/>
      <c r="EA91" s="609"/>
      <c r="EB91" s="609"/>
      <c r="EC91" s="609"/>
      <c r="ED91" s="609"/>
      <c r="EE91" s="609"/>
      <c r="EF91" s="609"/>
      <c r="EG91" s="609"/>
      <c r="EH91" s="609"/>
      <c r="EI91" s="609"/>
      <c r="EJ91" s="609"/>
      <c r="EK91" s="609"/>
      <c r="EL91" s="609"/>
      <c r="EM91" s="609"/>
      <c r="EN91" s="609"/>
      <c r="EO91" s="609"/>
      <c r="EP91" s="609"/>
      <c r="EQ91" s="609"/>
      <c r="ER91" s="609"/>
      <c r="ES91" s="609"/>
      <c r="ET91" s="609"/>
      <c r="EU91" s="609"/>
      <c r="EV91" s="609"/>
      <c r="EW91" s="609"/>
      <c r="EX91" s="609"/>
      <c r="EY91" s="609"/>
      <c r="EZ91" s="609"/>
      <c r="FA91" s="609"/>
      <c r="FB91" s="609"/>
      <c r="FC91" s="609"/>
      <c r="FD91" s="609"/>
      <c r="FE91" s="609"/>
      <c r="FF91" s="609"/>
      <c r="FG91" s="609"/>
      <c r="FH91" s="609"/>
      <c r="FI91" s="609"/>
      <c r="FJ91" s="609"/>
      <c r="FK91" s="609"/>
      <c r="FL91" s="609"/>
      <c r="FM91" s="609"/>
      <c r="FN91" s="609"/>
      <c r="FO91" s="609"/>
      <c r="FP91" s="609"/>
      <c r="FQ91" s="609"/>
      <c r="FR91" s="609"/>
      <c r="FS91" s="609"/>
      <c r="FT91" s="609"/>
      <c r="FU91" s="609"/>
      <c r="FV91" s="609"/>
      <c r="FW91" s="609"/>
      <c r="FX91" s="609"/>
      <c r="FY91" s="609"/>
      <c r="FZ91" s="609"/>
      <c r="GA91" s="609"/>
      <c r="GB91" s="609"/>
      <c r="GC91" s="609"/>
      <c r="GD91" s="609"/>
      <c r="GE91" s="609"/>
      <c r="GF91" s="609"/>
      <c r="GG91" s="609"/>
      <c r="GH91" s="609"/>
      <c r="GI91" s="609"/>
      <c r="GJ91" s="609"/>
      <c r="GK91" s="609"/>
      <c r="GL91" s="609"/>
      <c r="GM91" s="609"/>
      <c r="GN91" s="609"/>
      <c r="GO91" s="609"/>
      <c r="GP91" s="609"/>
      <c r="GQ91" s="609"/>
      <c r="GR91" s="609"/>
      <c r="GS91" s="609"/>
      <c r="GT91" s="609"/>
      <c r="GU91" s="609"/>
      <c r="GV91" s="609"/>
      <c r="GW91" s="609"/>
      <c r="GX91" s="609"/>
      <c r="GY91" s="609"/>
      <c r="GZ91" s="609"/>
      <c r="HA91" s="609"/>
      <c r="HB91" s="609"/>
      <c r="HC91" s="609"/>
      <c r="HD91" s="609"/>
      <c r="HE91" s="609"/>
      <c r="HF91" s="609"/>
      <c r="HG91" s="609"/>
      <c r="HH91" s="609"/>
      <c r="HI91" s="609"/>
      <c r="HJ91" s="609"/>
      <c r="HK91" s="609"/>
      <c r="HL91" s="609"/>
      <c r="HM91" s="609"/>
      <c r="HN91" s="609"/>
      <c r="HO91" s="609"/>
      <c r="HP91" s="609"/>
      <c r="HQ91" s="609"/>
      <c r="HR91" s="609"/>
      <c r="HS91" s="609"/>
      <c r="HT91" s="609"/>
      <c r="HU91" s="609"/>
      <c r="HV91" s="609"/>
      <c r="HW91" s="609"/>
      <c r="HX91" s="609"/>
      <c r="HY91" s="609"/>
      <c r="HZ91" s="609"/>
      <c r="IA91" s="609"/>
      <c r="IB91" s="609"/>
      <c r="IC91" s="609"/>
      <c r="ID91" s="609"/>
      <c r="IE91" s="609"/>
      <c r="IF91" s="609"/>
      <c r="IG91" s="609"/>
      <c r="IH91" s="609"/>
      <c r="II91" s="609"/>
      <c r="IJ91" s="609"/>
      <c r="IK91" s="609"/>
      <c r="IL91" s="609"/>
      <c r="IM91" s="609"/>
      <c r="IN91" s="609"/>
      <c r="IO91" s="609"/>
      <c r="IP91" s="609"/>
      <c r="IQ91" s="609"/>
      <c r="IR91" s="609"/>
      <c r="IS91" s="609"/>
      <c r="IT91" s="609"/>
      <c r="IU91" s="609"/>
      <c r="IV91" s="609"/>
      <c r="IW91" s="609"/>
      <c r="IX91" s="609"/>
      <c r="IY91" s="609"/>
      <c r="IZ91" s="609"/>
      <c r="JA91" s="609"/>
      <c r="JB91" s="609"/>
      <c r="JC91" s="609"/>
      <c r="JD91" s="609"/>
      <c r="JE91" s="609"/>
      <c r="JF91" s="609"/>
      <c r="JG91" s="609"/>
      <c r="JH91" s="609"/>
      <c r="JI91" s="609"/>
      <c r="JJ91" s="609"/>
      <c r="JK91" s="609"/>
      <c r="JL91" s="609"/>
      <c r="JM91" s="609"/>
      <c r="JN91" s="609"/>
      <c r="JO91" s="609"/>
      <c r="JP91" s="609"/>
      <c r="JQ91" s="609"/>
      <c r="JR91" s="609"/>
      <c r="JS91" s="609"/>
      <c r="JT91" s="609"/>
      <c r="JU91" s="609"/>
      <c r="JV91" s="609"/>
      <c r="JW91" s="609"/>
      <c r="JX91" s="609"/>
      <c r="JY91" s="609"/>
      <c r="JZ91" s="609"/>
      <c r="KA91" s="609"/>
      <c r="KB91" s="609"/>
      <c r="KC91" s="609"/>
      <c r="KD91" s="609"/>
      <c r="KE91" s="609"/>
      <c r="KF91" s="609"/>
      <c r="KG91" s="609"/>
      <c r="KH91" s="609"/>
      <c r="KI91" s="609"/>
      <c r="KJ91" s="609"/>
      <c r="KK91" s="609"/>
      <c r="KL91" s="609"/>
      <c r="KM91" s="609"/>
      <c r="KN91" s="609"/>
      <c r="KO91" s="609"/>
      <c r="KP91" s="609"/>
      <c r="KQ91" s="609"/>
      <c r="KR91" s="609"/>
      <c r="KS91" s="609"/>
      <c r="KT91" s="609"/>
      <c r="KU91" s="609"/>
      <c r="KV91" s="609"/>
      <c r="KW91" s="609"/>
      <c r="KX91" s="609"/>
      <c r="KY91" s="609"/>
      <c r="KZ91" s="609"/>
      <c r="LA91" s="609"/>
      <c r="LB91" s="609"/>
      <c r="LC91" s="609"/>
      <c r="LD91" s="609"/>
      <c r="LE91" s="609"/>
      <c r="LF91" s="609"/>
      <c r="LG91" s="609"/>
      <c r="LH91" s="609"/>
      <c r="LI91" s="609"/>
      <c r="LJ91" s="609"/>
      <c r="LK91" s="609"/>
      <c r="LL91" s="609"/>
      <c r="LM91" s="609"/>
      <c r="LN91" s="609"/>
      <c r="LO91" s="609"/>
      <c r="LP91" s="609"/>
      <c r="LQ91" s="609"/>
      <c r="LR91" s="609"/>
      <c r="LS91" s="609"/>
      <c r="LT91" s="609"/>
      <c r="LU91" s="609"/>
      <c r="LV91" s="609"/>
      <c r="LW91" s="609"/>
      <c r="LX91" s="609"/>
      <c r="LY91" s="609"/>
      <c r="LZ91" s="609"/>
      <c r="MA91" s="609"/>
      <c r="MB91" s="609"/>
      <c r="MC91" s="609"/>
      <c r="MD91" s="609"/>
      <c r="ME91" s="609"/>
      <c r="MF91" s="609"/>
      <c r="MG91" s="609"/>
      <c r="MH91" s="609"/>
      <c r="MI91" s="609"/>
      <c r="MJ91" s="609"/>
      <c r="MK91" s="609"/>
      <c r="ML91" s="609"/>
      <c r="MM91" s="609"/>
      <c r="MN91" s="609"/>
      <c r="MO91" s="609"/>
      <c r="MP91" s="609"/>
      <c r="MQ91" s="609"/>
      <c r="MR91" s="609"/>
      <c r="MS91" s="609"/>
      <c r="MT91" s="609"/>
      <c r="MU91" s="609"/>
      <c r="MV91" s="609"/>
      <c r="MW91" s="609"/>
      <c r="MX91" s="609"/>
      <c r="MY91" s="609"/>
      <c r="MZ91" s="609"/>
      <c r="NA91" s="609"/>
      <c r="NB91" s="609"/>
      <c r="NC91" s="609"/>
      <c r="ND91" s="609"/>
      <c r="NE91" s="609"/>
      <c r="NF91" s="609"/>
      <c r="NG91" s="609"/>
      <c r="NH91" s="609"/>
      <c r="NI91" s="609"/>
      <c r="NJ91" s="609"/>
      <c r="NK91" s="609"/>
      <c r="NL91" s="609"/>
      <c r="NM91" s="609"/>
      <c r="NN91" s="609"/>
      <c r="NO91" s="609"/>
      <c r="NP91" s="609"/>
      <c r="NQ91" s="609"/>
      <c r="NR91" s="609"/>
      <c r="NS91" s="609"/>
      <c r="NT91" s="609"/>
      <c r="NU91" s="609"/>
      <c r="NV91" s="609"/>
      <c r="NW91" s="609"/>
      <c r="NX91" s="609"/>
      <c r="NY91" s="609"/>
      <c r="NZ91" s="609"/>
      <c r="OA91" s="609"/>
      <c r="OB91" s="609"/>
      <c r="OC91" s="609"/>
      <c r="OD91" s="609"/>
      <c r="OE91" s="609"/>
      <c r="OF91" s="609"/>
      <c r="OG91" s="609"/>
      <c r="OH91" s="609"/>
      <c r="OI91" s="609"/>
      <c r="OJ91" s="609"/>
      <c r="OK91" s="609"/>
      <c r="OL91" s="609"/>
      <c r="OM91" s="609"/>
      <c r="ON91" s="609"/>
      <c r="OO91" s="609"/>
      <c r="OP91" s="609"/>
      <c r="OQ91" s="609"/>
      <c r="OR91" s="609"/>
      <c r="OS91" s="609"/>
      <c r="OT91" s="609"/>
      <c r="OU91" s="609"/>
      <c r="OV91" s="609"/>
      <c r="OW91" s="609"/>
      <c r="OX91" s="609"/>
      <c r="OY91" s="609"/>
      <c r="OZ91" s="609"/>
      <c r="PA91" s="609"/>
      <c r="PB91" s="609"/>
      <c r="PC91" s="609"/>
      <c r="PD91" s="609"/>
      <c r="PE91" s="609"/>
      <c r="PF91" s="609"/>
      <c r="PG91" s="609"/>
      <c r="PH91" s="609"/>
      <c r="PI91" s="609"/>
      <c r="PJ91" s="609"/>
      <c r="PK91" s="609"/>
      <c r="PL91" s="609"/>
      <c r="PM91" s="609"/>
      <c r="PN91" s="609"/>
      <c r="PO91" s="609"/>
      <c r="PP91" s="609"/>
      <c r="PQ91" s="609"/>
      <c r="PR91" s="609"/>
      <c r="PS91" s="609"/>
      <c r="PT91" s="609"/>
      <c r="PU91" s="609"/>
      <c r="PV91" s="609"/>
      <c r="PW91" s="609"/>
      <c r="PX91" s="609"/>
      <c r="PY91" s="609"/>
      <c r="PZ91" s="609"/>
      <c r="QA91" s="609"/>
      <c r="QB91" s="609"/>
      <c r="QC91" s="609"/>
      <c r="QD91" s="609"/>
      <c r="QE91" s="609"/>
      <c r="QF91" s="609"/>
      <c r="QG91" s="609"/>
      <c r="QH91" s="609"/>
      <c r="QI91" s="609"/>
      <c r="QJ91" s="609"/>
      <c r="QK91" s="609"/>
      <c r="QL91" s="609"/>
      <c r="QM91" s="609"/>
      <c r="QN91" s="609"/>
      <c r="QO91" s="609"/>
      <c r="QP91" s="609"/>
      <c r="QQ91" s="609"/>
      <c r="QR91" s="609"/>
      <c r="QS91" s="609"/>
      <c r="QT91" s="609"/>
      <c r="QU91" s="609"/>
      <c r="QV91" s="609"/>
      <c r="QW91" s="609"/>
      <c r="QX91" s="609"/>
      <c r="QY91" s="609"/>
      <c r="QZ91" s="609"/>
      <c r="RA91" s="609"/>
      <c r="RB91" s="609"/>
      <c r="RC91" s="609"/>
      <c r="RD91" s="609"/>
      <c r="RE91" s="609"/>
      <c r="RF91" s="609"/>
      <c r="RG91" s="609"/>
      <c r="RH91" s="609"/>
      <c r="RI91" s="609"/>
      <c r="RJ91" s="609"/>
      <c r="RK91" s="609"/>
      <c r="RL91" s="609"/>
      <c r="RM91" s="609"/>
      <c r="RN91" s="609"/>
      <c r="RO91" s="609"/>
      <c r="RP91" s="609"/>
      <c r="RQ91" s="609"/>
      <c r="RR91" s="609"/>
      <c r="RS91" s="609"/>
      <c r="RT91" s="609"/>
      <c r="RU91" s="609"/>
      <c r="RV91" s="609"/>
      <c r="RW91" s="609"/>
      <c r="RX91" s="609"/>
      <c r="RY91" s="609"/>
      <c r="RZ91" s="609"/>
      <c r="SA91" s="609"/>
      <c r="SB91" s="609"/>
      <c r="SC91" s="609"/>
      <c r="SD91" s="609"/>
      <c r="SE91" s="609"/>
      <c r="SF91" s="609"/>
      <c r="SG91" s="609"/>
      <c r="SH91" s="609"/>
      <c r="SI91" s="609"/>
      <c r="SJ91" s="609"/>
      <c r="SK91" s="609"/>
      <c r="SL91" s="609"/>
      <c r="SM91" s="609"/>
      <c r="SN91" s="609"/>
      <c r="SO91" s="609"/>
      <c r="SP91" s="609"/>
      <c r="SQ91" s="609"/>
      <c r="SR91" s="609"/>
      <c r="SS91" s="609"/>
      <c r="ST91" s="609"/>
      <c r="SU91" s="609"/>
      <c r="SV91" s="609"/>
      <c r="SW91" s="609"/>
      <c r="SX91" s="609"/>
      <c r="SY91" s="609"/>
      <c r="SZ91" s="609"/>
      <c r="TA91" s="609"/>
      <c r="TB91" s="609"/>
      <c r="TC91" s="609"/>
      <c r="TD91" s="609"/>
      <c r="TE91" s="609"/>
      <c r="TF91" s="609"/>
      <c r="TG91" s="609"/>
      <c r="TH91" s="609"/>
      <c r="TI91" s="609"/>
      <c r="TJ91" s="609"/>
      <c r="TK91" s="609"/>
      <c r="TL91" s="609"/>
      <c r="TM91" s="609"/>
      <c r="TN91" s="609"/>
      <c r="TO91" s="609"/>
      <c r="TP91" s="609"/>
      <c r="TQ91" s="609"/>
      <c r="TR91" s="609"/>
      <c r="TS91" s="609"/>
      <c r="TT91" s="609"/>
      <c r="TU91" s="609"/>
      <c r="TV91" s="609"/>
      <c r="TW91" s="609"/>
      <c r="TX91" s="609"/>
      <c r="TY91" s="609"/>
      <c r="TZ91" s="609"/>
      <c r="UA91" s="609"/>
      <c r="UB91" s="609"/>
      <c r="UC91" s="609"/>
      <c r="UD91" s="609"/>
      <c r="UE91" s="609"/>
      <c r="UF91" s="609"/>
      <c r="UG91" s="609"/>
      <c r="UH91" s="609"/>
      <c r="UI91" s="609"/>
      <c r="UJ91" s="609"/>
      <c r="UK91" s="609"/>
      <c r="UL91" s="609"/>
      <c r="UM91" s="609"/>
      <c r="UN91" s="609"/>
      <c r="UO91" s="609"/>
      <c r="UP91" s="609"/>
      <c r="UQ91" s="609"/>
      <c r="UR91" s="609"/>
      <c r="US91" s="609"/>
      <c r="UT91" s="609"/>
      <c r="UU91" s="609"/>
      <c r="UV91" s="609"/>
      <c r="UW91" s="609"/>
      <c r="UX91" s="609"/>
      <c r="UY91" s="609"/>
      <c r="UZ91" s="609"/>
      <c r="VA91" s="609"/>
      <c r="VB91" s="609"/>
      <c r="VC91" s="609"/>
      <c r="VD91" s="609"/>
      <c r="VE91" s="609"/>
      <c r="VF91" s="609"/>
      <c r="VG91" s="609"/>
      <c r="VH91" s="609"/>
      <c r="VI91" s="609"/>
      <c r="VJ91" s="609"/>
      <c r="VK91" s="609"/>
      <c r="VL91" s="609"/>
      <c r="VM91" s="609"/>
      <c r="VN91" s="609"/>
      <c r="VO91" s="609"/>
      <c r="VP91" s="609"/>
      <c r="VQ91" s="609"/>
      <c r="VR91" s="609"/>
      <c r="VS91" s="609"/>
      <c r="VT91" s="609"/>
      <c r="VU91" s="609"/>
      <c r="VV91" s="609"/>
      <c r="VW91" s="609"/>
      <c r="VX91" s="609"/>
      <c r="VY91" s="609"/>
      <c r="VZ91" s="609"/>
      <c r="WA91" s="609"/>
      <c r="WB91" s="609"/>
      <c r="WC91" s="609"/>
      <c r="WD91" s="609"/>
      <c r="WE91" s="609"/>
      <c r="WF91" s="609"/>
      <c r="WG91" s="609"/>
      <c r="WH91" s="609"/>
      <c r="WI91" s="609"/>
      <c r="WJ91" s="609"/>
      <c r="WK91" s="609"/>
      <c r="WL91" s="609"/>
      <c r="WM91" s="609"/>
      <c r="WN91" s="609"/>
      <c r="WO91" s="609"/>
      <c r="WP91" s="609"/>
      <c r="WQ91" s="609"/>
      <c r="WR91" s="609"/>
      <c r="WS91" s="609"/>
      <c r="WT91" s="609"/>
      <c r="WU91" s="609"/>
      <c r="WV91" s="609"/>
      <c r="WW91" s="609"/>
      <c r="WX91" s="609"/>
      <c r="WY91" s="609"/>
      <c r="WZ91" s="609"/>
      <c r="XA91" s="609"/>
      <c r="XB91" s="609"/>
      <c r="XC91" s="609"/>
      <c r="XD91" s="609"/>
      <c r="XE91" s="609"/>
      <c r="XF91" s="609"/>
      <c r="XG91" s="609"/>
      <c r="XH91" s="609"/>
      <c r="XI91" s="609"/>
      <c r="XJ91" s="609"/>
      <c r="XK91" s="609"/>
      <c r="XL91" s="609"/>
      <c r="XM91" s="609"/>
      <c r="XN91" s="609"/>
      <c r="XO91" s="609"/>
      <c r="XP91" s="609"/>
      <c r="XQ91" s="609"/>
      <c r="XR91" s="609"/>
      <c r="XS91" s="609"/>
      <c r="XT91" s="609"/>
      <c r="XU91" s="609"/>
      <c r="XV91" s="609"/>
      <c r="XW91" s="609"/>
      <c r="XX91" s="609"/>
      <c r="XY91" s="609"/>
      <c r="XZ91" s="609"/>
      <c r="YA91" s="609"/>
      <c r="YB91" s="609"/>
      <c r="YC91" s="609"/>
      <c r="YD91" s="609"/>
      <c r="YE91" s="609"/>
      <c r="YF91" s="609"/>
      <c r="YG91" s="609"/>
      <c r="YH91" s="609"/>
      <c r="YI91" s="609"/>
      <c r="YJ91" s="609"/>
      <c r="YK91" s="609"/>
      <c r="YL91" s="609"/>
      <c r="YM91" s="609"/>
      <c r="YN91" s="609"/>
      <c r="YO91" s="609"/>
      <c r="YP91" s="609"/>
      <c r="YQ91" s="609"/>
      <c r="YR91" s="609"/>
      <c r="YS91" s="609"/>
      <c r="YT91" s="609"/>
      <c r="YU91" s="609"/>
      <c r="YV91" s="609"/>
      <c r="YW91" s="609"/>
      <c r="YX91" s="609"/>
      <c r="YY91" s="609"/>
      <c r="YZ91" s="609"/>
      <c r="ZA91" s="609"/>
      <c r="ZB91" s="609"/>
      <c r="ZC91" s="609"/>
      <c r="ZD91" s="609"/>
      <c r="ZE91" s="609"/>
      <c r="ZF91" s="609"/>
      <c r="ZG91" s="609"/>
      <c r="ZH91" s="609"/>
      <c r="ZI91" s="609"/>
      <c r="ZJ91" s="609"/>
      <c r="ZK91" s="609"/>
      <c r="ZL91" s="609"/>
      <c r="ZM91" s="609"/>
      <c r="ZN91" s="609"/>
      <c r="ZO91" s="609"/>
      <c r="ZP91" s="609"/>
      <c r="ZQ91" s="609"/>
      <c r="ZR91" s="609"/>
      <c r="ZS91" s="609"/>
      <c r="ZT91" s="609"/>
      <c r="ZU91" s="609"/>
      <c r="ZV91" s="609"/>
      <c r="ZW91" s="609"/>
      <c r="ZX91" s="609"/>
      <c r="ZY91" s="609"/>
      <c r="ZZ91" s="609"/>
      <c r="AAA91" s="609"/>
      <c r="AAB91" s="609"/>
      <c r="AAC91" s="609"/>
      <c r="AAD91" s="609"/>
      <c r="AAE91" s="609"/>
      <c r="AAF91" s="609"/>
      <c r="AAG91" s="609"/>
      <c r="AAH91" s="609"/>
      <c r="AAI91" s="609"/>
      <c r="AAJ91" s="609"/>
      <c r="AAK91" s="609"/>
      <c r="AAL91" s="609"/>
      <c r="AAM91" s="609"/>
      <c r="AAN91" s="609"/>
      <c r="AAO91" s="609"/>
      <c r="AAP91" s="609"/>
      <c r="AAQ91" s="609"/>
      <c r="AAR91" s="609"/>
      <c r="AAS91" s="609"/>
      <c r="AAT91" s="609"/>
      <c r="AAU91" s="609"/>
      <c r="AAV91" s="609"/>
      <c r="AAW91" s="609"/>
      <c r="AAX91" s="609"/>
      <c r="AAY91" s="609"/>
      <c r="AAZ91" s="609"/>
      <c r="ABA91" s="609"/>
      <c r="ABB91" s="609"/>
      <c r="ABC91" s="609"/>
      <c r="ABD91" s="609"/>
      <c r="ABE91" s="609"/>
      <c r="ABF91" s="609"/>
      <c r="ABG91" s="609"/>
      <c r="ABH91" s="609"/>
      <c r="ABI91" s="609"/>
      <c r="ABJ91" s="609"/>
      <c r="ABK91" s="609"/>
      <c r="ABL91" s="609"/>
      <c r="ABM91" s="609"/>
      <c r="ABN91" s="609"/>
      <c r="ABO91" s="609"/>
      <c r="ABP91" s="609"/>
      <c r="ABQ91" s="609"/>
      <c r="ABR91" s="609"/>
      <c r="ABS91" s="609"/>
      <c r="ABT91" s="609"/>
      <c r="ABU91" s="609"/>
      <c r="ABV91" s="609"/>
      <c r="ABW91" s="609"/>
      <c r="ABX91" s="609"/>
      <c r="ABY91" s="609"/>
      <c r="ABZ91" s="609"/>
      <c r="ACA91" s="609"/>
      <c r="ACB91" s="609"/>
      <c r="ACC91" s="609"/>
      <c r="ACD91" s="609"/>
      <c r="ACE91" s="609"/>
      <c r="ACF91" s="609"/>
      <c r="ACG91" s="609"/>
      <c r="ACH91" s="609"/>
      <c r="ACI91" s="609"/>
      <c r="ACJ91" s="609"/>
      <c r="ACK91" s="609"/>
      <c r="ACL91" s="609"/>
      <c r="ACM91" s="609"/>
      <c r="ACN91" s="609"/>
      <c r="ACO91" s="609"/>
      <c r="ACP91" s="609"/>
      <c r="ACQ91" s="609"/>
      <c r="ACR91" s="609"/>
      <c r="ACS91" s="609"/>
      <c r="ACT91" s="609"/>
      <c r="ACU91" s="609"/>
      <c r="ACV91" s="609"/>
      <c r="ACW91" s="609"/>
      <c r="ACX91" s="609"/>
      <c r="ACY91" s="609"/>
      <c r="ACZ91" s="609"/>
      <c r="ADA91" s="609"/>
      <c r="ADB91" s="609"/>
      <c r="ADC91" s="609"/>
      <c r="ADD91" s="609"/>
      <c r="ADE91" s="609"/>
      <c r="ADF91" s="609"/>
      <c r="ADG91" s="609"/>
      <c r="ADH91" s="609"/>
      <c r="ADI91" s="609"/>
      <c r="ADJ91" s="609"/>
      <c r="ADK91" s="609"/>
      <c r="ADL91" s="609"/>
      <c r="ADM91" s="609"/>
      <c r="ADN91" s="609"/>
      <c r="ADO91" s="609"/>
      <c r="ADP91" s="609"/>
      <c r="ADQ91" s="609"/>
      <c r="ADR91" s="609"/>
      <c r="ADS91" s="609"/>
      <c r="ADT91" s="609"/>
      <c r="ADU91" s="609"/>
      <c r="ADV91" s="609"/>
      <c r="ADW91" s="609"/>
      <c r="ADX91" s="609"/>
      <c r="ADY91" s="609"/>
      <c r="ADZ91" s="609"/>
      <c r="AEA91" s="609"/>
      <c r="AEB91" s="609"/>
      <c r="AEC91" s="609"/>
      <c r="AED91" s="609"/>
      <c r="AEE91" s="609"/>
      <c r="AEF91" s="609"/>
      <c r="AEG91" s="609"/>
      <c r="AEH91" s="609"/>
      <c r="AEI91" s="609"/>
      <c r="AEJ91" s="609"/>
      <c r="AEK91" s="609"/>
      <c r="AEL91" s="609"/>
      <c r="AEM91" s="609"/>
      <c r="AEN91" s="609"/>
      <c r="AEO91" s="609"/>
      <c r="AEP91" s="609"/>
      <c r="AEQ91" s="609"/>
      <c r="AER91" s="609"/>
      <c r="AES91" s="609"/>
      <c r="AET91" s="609"/>
      <c r="AEU91" s="609"/>
      <c r="AEV91" s="609"/>
      <c r="AEW91" s="609"/>
      <c r="AEX91" s="609"/>
      <c r="AEY91" s="609"/>
      <c r="AEZ91" s="609"/>
      <c r="AFA91" s="609"/>
      <c r="AFB91" s="609"/>
      <c r="AFC91" s="609"/>
      <c r="AFD91" s="609"/>
      <c r="AFE91" s="609"/>
      <c r="AFF91" s="609"/>
      <c r="AFG91" s="609"/>
      <c r="AFH91" s="609"/>
      <c r="AFI91" s="609"/>
      <c r="AFJ91" s="609"/>
      <c r="AFK91" s="609"/>
      <c r="AFL91" s="609"/>
      <c r="AFM91" s="609"/>
      <c r="AFN91" s="609"/>
      <c r="AFO91" s="609"/>
      <c r="AFP91" s="609"/>
      <c r="AFQ91" s="609"/>
      <c r="AFR91" s="609"/>
      <c r="AFS91" s="609"/>
      <c r="AFT91" s="609"/>
      <c r="AFU91" s="609"/>
      <c r="AFV91" s="609"/>
      <c r="AFW91" s="609"/>
      <c r="AFX91" s="609"/>
      <c r="AFY91" s="609"/>
      <c r="AFZ91" s="609"/>
      <c r="AGA91" s="609"/>
      <c r="AGB91" s="609"/>
      <c r="AGC91" s="609"/>
      <c r="AGD91" s="609"/>
      <c r="AGE91" s="609"/>
      <c r="AGF91" s="609"/>
      <c r="AGG91" s="609"/>
      <c r="AGH91" s="609"/>
      <c r="AGI91" s="609"/>
      <c r="AGJ91" s="609"/>
      <c r="AGK91" s="609"/>
      <c r="AGL91" s="609"/>
      <c r="AGM91" s="609"/>
      <c r="AGN91" s="609"/>
      <c r="AGO91" s="609"/>
      <c r="AGP91" s="609"/>
      <c r="AGQ91" s="609"/>
      <c r="AGR91" s="609"/>
      <c r="AGS91" s="609"/>
      <c r="AGT91" s="609"/>
      <c r="AGU91" s="609"/>
      <c r="AGV91" s="609"/>
      <c r="AGW91" s="609"/>
      <c r="AGX91" s="609"/>
      <c r="AGY91" s="609"/>
      <c r="AGZ91" s="609"/>
      <c r="AHA91" s="609"/>
      <c r="AHB91" s="609"/>
      <c r="AHC91" s="609"/>
      <c r="AHD91" s="609"/>
      <c r="AHE91" s="609"/>
      <c r="AHF91" s="609"/>
      <c r="AHG91" s="609"/>
      <c r="AHH91" s="609"/>
      <c r="AHI91" s="609"/>
      <c r="AHJ91" s="609"/>
      <c r="AHK91" s="609"/>
      <c r="AHL91" s="609"/>
      <c r="AHM91" s="609"/>
      <c r="AHN91" s="609"/>
      <c r="AHO91" s="609"/>
      <c r="AHP91" s="609"/>
      <c r="AHQ91" s="609"/>
      <c r="AHR91" s="609"/>
      <c r="AHS91" s="609"/>
      <c r="AHT91" s="609"/>
      <c r="AHU91" s="609"/>
      <c r="AHV91" s="609"/>
      <c r="AHW91" s="609"/>
      <c r="AHX91" s="609"/>
      <c r="AHY91" s="609"/>
      <c r="AHZ91" s="609"/>
      <c r="AIA91" s="609"/>
      <c r="AIB91" s="609"/>
      <c r="AIC91" s="609"/>
      <c r="AID91" s="609"/>
      <c r="AIE91" s="609"/>
      <c r="AIF91" s="609"/>
      <c r="AIG91" s="609"/>
      <c r="AIH91" s="609"/>
      <c r="AII91" s="609"/>
      <c r="AIJ91" s="609"/>
      <c r="AIK91" s="609"/>
      <c r="AIL91" s="609"/>
      <c r="AIM91" s="609"/>
      <c r="AIN91" s="609"/>
      <c r="AIO91" s="609"/>
      <c r="AIP91" s="609"/>
      <c r="AIQ91" s="609"/>
      <c r="AIR91" s="609"/>
      <c r="AIS91" s="609"/>
      <c r="AIT91" s="609"/>
      <c r="AIU91" s="609"/>
      <c r="AIV91" s="609"/>
      <c r="AIW91" s="609"/>
      <c r="AIX91" s="609"/>
      <c r="AIY91" s="609"/>
      <c r="AIZ91" s="609"/>
      <c r="AJA91" s="609"/>
      <c r="AJB91" s="609"/>
      <c r="AJC91" s="609"/>
      <c r="AJD91" s="609"/>
      <c r="AJE91" s="609"/>
      <c r="AJF91" s="609"/>
      <c r="AJG91" s="609"/>
      <c r="AJH91" s="609"/>
      <c r="AJI91" s="609"/>
      <c r="AJJ91" s="609"/>
      <c r="AJK91" s="609"/>
      <c r="AJL91" s="609"/>
      <c r="AJM91" s="609"/>
      <c r="AJN91" s="609"/>
      <c r="AJO91" s="609"/>
      <c r="AJP91" s="609"/>
      <c r="AJQ91" s="609"/>
      <c r="AJR91" s="609"/>
      <c r="AJS91" s="609"/>
      <c r="AJT91" s="609"/>
      <c r="AJU91" s="609"/>
      <c r="AJV91" s="609"/>
      <c r="AJW91" s="609"/>
      <c r="AJX91" s="609"/>
      <c r="AJY91" s="609"/>
      <c r="AJZ91" s="609"/>
      <c r="AKA91" s="609"/>
      <c r="AKB91" s="609"/>
      <c r="AKC91" s="609"/>
      <c r="AKD91" s="609"/>
      <c r="AKE91" s="609"/>
      <c r="AKF91" s="609"/>
      <c r="AKG91" s="609"/>
      <c r="AKH91" s="609"/>
      <c r="AKI91" s="609"/>
      <c r="AKJ91" s="609"/>
      <c r="AKK91" s="609"/>
      <c r="AKL91" s="609"/>
      <c r="AKM91" s="609"/>
      <c r="AKN91" s="609"/>
      <c r="AKO91" s="609"/>
      <c r="AKP91" s="609"/>
      <c r="AKQ91" s="609"/>
      <c r="AKR91" s="609"/>
      <c r="AKS91" s="609"/>
      <c r="AKT91" s="609"/>
      <c r="AKU91" s="609"/>
      <c r="AKV91" s="609"/>
      <c r="AKW91" s="609"/>
      <c r="AKX91" s="609"/>
      <c r="AKY91" s="609"/>
      <c r="AKZ91" s="609"/>
      <c r="ALA91" s="609"/>
      <c r="ALB91" s="609"/>
      <c r="ALC91" s="609"/>
      <c r="ALD91" s="609"/>
      <c r="ALE91" s="609"/>
      <c r="ALF91" s="609"/>
      <c r="ALG91" s="609"/>
      <c r="ALH91" s="609"/>
      <c r="ALI91" s="609"/>
      <c r="ALJ91" s="609"/>
      <c r="ALK91" s="609"/>
      <c r="ALL91" s="609"/>
      <c r="ALM91" s="609"/>
      <c r="ALN91" s="609"/>
      <c r="ALO91" s="609"/>
      <c r="ALP91" s="609"/>
      <c r="ALQ91" s="609"/>
      <c r="ALR91" s="609"/>
      <c r="ALS91" s="609"/>
      <c r="ALT91" s="609"/>
      <c r="ALU91" s="609"/>
      <c r="ALV91" s="609"/>
      <c r="ALW91" s="609"/>
      <c r="ALX91" s="609"/>
      <c r="ALY91" s="609"/>
      <c r="ALZ91" s="609"/>
      <c r="AMA91" s="609"/>
      <c r="AMB91" s="609"/>
      <c r="AMC91" s="609"/>
      <c r="AMD91" s="609"/>
      <c r="AME91" s="609"/>
      <c r="AMF91" s="609"/>
      <c r="AMG91" s="609"/>
      <c r="AMH91" s="609"/>
      <c r="AMI91" s="609"/>
      <c r="AMJ91" s="609"/>
      <c r="AMK91" s="609"/>
      <c r="AML91" s="609"/>
      <c r="AMM91" s="609"/>
      <c r="AMN91" s="609"/>
      <c r="AMO91" s="609"/>
      <c r="AMP91" s="609"/>
      <c r="AMQ91" s="609"/>
      <c r="AMR91" s="609"/>
      <c r="AMS91" s="609"/>
      <c r="AMT91" s="609"/>
      <c r="AMU91" s="609"/>
      <c r="AMV91" s="609"/>
      <c r="AMW91" s="609"/>
      <c r="AMX91" s="609"/>
      <c r="AMY91" s="609"/>
      <c r="AMZ91" s="609"/>
      <c r="ANA91" s="609"/>
      <c r="ANB91" s="609"/>
      <c r="ANC91" s="609"/>
      <c r="AND91" s="609"/>
      <c r="ANE91" s="609"/>
      <c r="ANF91" s="609"/>
      <c r="ANG91" s="609"/>
      <c r="ANH91" s="609"/>
      <c r="ANI91" s="609"/>
      <c r="ANJ91" s="609"/>
      <c r="ANK91" s="609"/>
      <c r="ANL91" s="609"/>
      <c r="ANM91" s="609"/>
      <c r="ANN91" s="609"/>
      <c r="ANO91" s="609"/>
      <c r="ANP91" s="609"/>
      <c r="ANQ91" s="609"/>
      <c r="ANR91" s="609"/>
      <c r="ANS91" s="609"/>
      <c r="ANT91" s="609"/>
      <c r="ANU91" s="609"/>
      <c r="ANV91" s="609"/>
      <c r="ANW91" s="609"/>
      <c r="ANX91" s="609"/>
      <c r="ANY91" s="609"/>
      <c r="ANZ91" s="609"/>
      <c r="AOA91" s="609"/>
      <c r="AOB91" s="609"/>
      <c r="AOC91" s="609"/>
      <c r="AOD91" s="609"/>
      <c r="AOE91" s="609"/>
      <c r="AOF91" s="609"/>
      <c r="AOG91" s="609"/>
      <c r="AOH91" s="609"/>
      <c r="AOI91" s="609"/>
      <c r="AOJ91" s="609"/>
      <c r="AOK91" s="609"/>
      <c r="AOL91" s="609"/>
      <c r="AOM91" s="609"/>
      <c r="AON91" s="609"/>
      <c r="AOO91" s="609"/>
      <c r="AOP91" s="609"/>
      <c r="AOQ91" s="609"/>
      <c r="AOR91" s="609"/>
      <c r="AOS91" s="609"/>
      <c r="AOT91" s="609"/>
      <c r="AOU91" s="609"/>
      <c r="AOV91" s="609"/>
      <c r="AOW91" s="609"/>
      <c r="AOX91" s="609"/>
      <c r="AOY91" s="609"/>
      <c r="AOZ91" s="609"/>
      <c r="APA91" s="609"/>
      <c r="APB91" s="609"/>
      <c r="APC91" s="609"/>
      <c r="APD91" s="609"/>
      <c r="APE91" s="609"/>
      <c r="APF91" s="609"/>
      <c r="APG91" s="609"/>
      <c r="APH91" s="609"/>
      <c r="API91" s="609"/>
      <c r="APJ91" s="609"/>
      <c r="APK91" s="609"/>
      <c r="APL91" s="609"/>
      <c r="APM91" s="609"/>
      <c r="APN91" s="609"/>
      <c r="APO91" s="609"/>
      <c r="APP91" s="609"/>
      <c r="APQ91" s="609"/>
      <c r="APR91" s="609"/>
      <c r="APS91" s="609"/>
      <c r="APT91" s="609"/>
      <c r="APU91" s="609"/>
      <c r="APV91" s="609"/>
      <c r="APW91" s="609"/>
      <c r="APX91" s="609"/>
      <c r="APY91" s="609"/>
      <c r="APZ91" s="609"/>
      <c r="AQA91" s="609"/>
      <c r="AQB91" s="609"/>
      <c r="AQC91" s="609"/>
      <c r="AQD91" s="609"/>
      <c r="AQE91" s="609"/>
      <c r="AQF91" s="609"/>
      <c r="AQG91" s="609"/>
      <c r="AQH91" s="609"/>
      <c r="AQI91" s="609"/>
      <c r="AQJ91" s="609"/>
      <c r="AQK91" s="609"/>
      <c r="AQL91" s="609"/>
      <c r="AQM91" s="609"/>
      <c r="AQN91" s="609"/>
      <c r="AQO91" s="609"/>
      <c r="AQP91" s="609"/>
      <c r="AQQ91" s="609"/>
      <c r="AQR91" s="609"/>
      <c r="AQS91" s="609"/>
      <c r="AQT91" s="609"/>
      <c r="AQU91" s="609"/>
      <c r="AQV91" s="609"/>
      <c r="AQW91" s="609"/>
      <c r="AQX91" s="609"/>
      <c r="AQY91" s="609"/>
      <c r="AQZ91" s="609"/>
      <c r="ARA91" s="609"/>
      <c r="ARB91" s="609"/>
      <c r="ARC91" s="609"/>
      <c r="ARD91" s="609"/>
      <c r="ARE91" s="609"/>
      <c r="ARF91" s="609"/>
      <c r="ARG91" s="609"/>
      <c r="ARH91" s="609"/>
      <c r="ARI91" s="609"/>
      <c r="ARJ91" s="609"/>
      <c r="ARK91" s="609"/>
      <c r="ARL91" s="609"/>
      <c r="ARM91" s="609"/>
      <c r="ARN91" s="609"/>
      <c r="ARO91" s="609"/>
      <c r="ARP91" s="609"/>
      <c r="ARQ91" s="609"/>
      <c r="ARR91" s="609"/>
      <c r="ARS91" s="609"/>
      <c r="ART91" s="609"/>
      <c r="ARU91" s="609"/>
      <c r="ARV91" s="609"/>
      <c r="ARW91" s="609"/>
      <c r="ARX91" s="609"/>
      <c r="ARY91" s="609"/>
      <c r="ARZ91" s="609"/>
      <c r="ASA91" s="609"/>
      <c r="ASB91" s="609"/>
      <c r="ASC91" s="609"/>
      <c r="ASD91" s="609"/>
      <c r="ASE91" s="609"/>
      <c r="ASF91" s="609"/>
      <c r="ASG91" s="609"/>
      <c r="ASH91" s="609"/>
      <c r="ASI91" s="609"/>
      <c r="ASJ91" s="609"/>
      <c r="ASK91" s="609"/>
      <c r="ASL91" s="609"/>
      <c r="ASM91" s="609"/>
      <c r="ASN91" s="609"/>
      <c r="ASO91" s="609"/>
      <c r="ASP91" s="609"/>
      <c r="ASQ91" s="609"/>
      <c r="ASR91" s="609"/>
      <c r="ASS91" s="609"/>
      <c r="AST91" s="609"/>
      <c r="ASU91" s="609"/>
      <c r="ASV91" s="609"/>
      <c r="ASW91" s="609"/>
      <c r="ASX91" s="609"/>
      <c r="ASY91" s="609"/>
      <c r="ASZ91" s="609"/>
      <c r="ATA91" s="609"/>
      <c r="ATB91" s="609"/>
      <c r="ATC91" s="609"/>
      <c r="ATD91" s="609"/>
      <c r="ATE91" s="609"/>
      <c r="ATF91" s="609"/>
      <c r="ATG91" s="609"/>
      <c r="ATH91" s="609"/>
      <c r="ATI91" s="609"/>
      <c r="ATJ91" s="609"/>
      <c r="ATK91" s="609"/>
      <c r="ATL91" s="609"/>
      <c r="ATM91" s="609"/>
      <c r="ATN91" s="609"/>
      <c r="ATO91" s="609"/>
      <c r="ATP91" s="609"/>
      <c r="ATQ91" s="609"/>
      <c r="ATR91" s="609"/>
      <c r="ATS91" s="609"/>
      <c r="ATT91" s="609"/>
      <c r="ATU91" s="609"/>
      <c r="ATV91" s="609"/>
      <c r="ATW91" s="609"/>
      <c r="ATX91" s="609"/>
      <c r="ATY91" s="609"/>
      <c r="ATZ91" s="609"/>
      <c r="AUA91" s="609"/>
      <c r="AUB91" s="609"/>
      <c r="AUC91" s="609"/>
      <c r="AUD91" s="609"/>
      <c r="AUE91" s="609"/>
      <c r="AUF91" s="609"/>
      <c r="AUG91" s="609"/>
      <c r="AUH91" s="609"/>
      <c r="AUI91" s="609"/>
      <c r="AUJ91" s="609"/>
      <c r="AUK91" s="609"/>
      <c r="AUL91" s="609"/>
      <c r="AUM91" s="609"/>
      <c r="AUN91" s="609"/>
      <c r="AUO91" s="609"/>
      <c r="AUP91" s="609"/>
      <c r="AUQ91" s="609"/>
      <c r="AUR91" s="609"/>
      <c r="AUS91" s="609"/>
      <c r="AUT91" s="609"/>
      <c r="AUU91" s="609"/>
      <c r="AUV91" s="609"/>
      <c r="AUW91" s="609"/>
      <c r="AUX91" s="609"/>
      <c r="AUY91" s="609"/>
      <c r="AUZ91" s="609"/>
      <c r="AVA91" s="609"/>
      <c r="AVB91" s="609"/>
      <c r="AVC91" s="609"/>
      <c r="AVD91" s="609"/>
      <c r="AVE91" s="609"/>
      <c r="AVF91" s="609"/>
      <c r="AVG91" s="609"/>
      <c r="AVH91" s="609"/>
      <c r="AVI91" s="609"/>
      <c r="AVJ91" s="609"/>
      <c r="AVK91" s="609"/>
      <c r="AVL91" s="609"/>
      <c r="AVM91" s="609"/>
      <c r="AVN91" s="609"/>
      <c r="AVO91" s="609"/>
      <c r="AVP91" s="609"/>
      <c r="AVQ91" s="609"/>
      <c r="AVR91" s="609"/>
      <c r="AVS91" s="609"/>
      <c r="AVT91" s="609"/>
      <c r="AVU91" s="609"/>
      <c r="AVV91" s="609"/>
      <c r="AVW91" s="609"/>
      <c r="AVX91" s="609"/>
      <c r="AVY91" s="609"/>
      <c r="AVZ91" s="609"/>
      <c r="AWA91" s="609"/>
      <c r="AWB91" s="609"/>
      <c r="AWC91" s="609"/>
      <c r="AWD91" s="609"/>
      <c r="AWE91" s="609"/>
      <c r="AWF91" s="609"/>
      <c r="AWG91" s="609"/>
      <c r="AWH91" s="609"/>
      <c r="AWI91" s="609"/>
      <c r="AWJ91" s="609"/>
      <c r="AWK91" s="609"/>
      <c r="AWL91" s="609"/>
      <c r="AWM91" s="609"/>
      <c r="AWN91" s="609"/>
      <c r="AWO91" s="609"/>
      <c r="AWP91" s="609"/>
      <c r="AWQ91" s="609"/>
      <c r="AWR91" s="609"/>
      <c r="AWS91" s="609"/>
      <c r="AWT91" s="609"/>
      <c r="AWU91" s="609"/>
      <c r="AWV91" s="609"/>
      <c r="AWW91" s="609"/>
      <c r="AWX91" s="609"/>
      <c r="AWY91" s="609"/>
      <c r="AWZ91" s="609"/>
      <c r="AXA91" s="609"/>
      <c r="AXB91" s="609"/>
      <c r="AXC91" s="609"/>
      <c r="AXD91" s="609"/>
      <c r="AXE91" s="609"/>
      <c r="AXF91" s="609"/>
      <c r="AXG91" s="609"/>
      <c r="AXH91" s="609"/>
      <c r="AXI91" s="609"/>
      <c r="AXJ91" s="609"/>
      <c r="AXK91" s="609"/>
      <c r="AXL91" s="609"/>
      <c r="AXM91" s="609"/>
      <c r="AXN91" s="609"/>
      <c r="AXO91" s="609"/>
      <c r="AXP91" s="609"/>
      <c r="AXQ91" s="609"/>
      <c r="AXR91" s="609"/>
      <c r="AXS91" s="609"/>
      <c r="AXT91" s="609"/>
      <c r="AXU91" s="609"/>
      <c r="AXV91" s="609"/>
      <c r="AXW91" s="609"/>
      <c r="AXX91" s="609"/>
      <c r="AXY91" s="609"/>
      <c r="AXZ91" s="609"/>
      <c r="AYA91" s="609"/>
      <c r="AYB91" s="609"/>
      <c r="AYC91" s="609"/>
      <c r="AYD91" s="609"/>
      <c r="AYE91" s="609"/>
      <c r="AYF91" s="609"/>
      <c r="AYG91" s="609"/>
      <c r="AYH91" s="609"/>
      <c r="AYI91" s="609"/>
      <c r="AYJ91" s="609"/>
      <c r="AYK91" s="609"/>
      <c r="AYL91" s="609"/>
      <c r="AYM91" s="609"/>
      <c r="AYN91" s="609"/>
      <c r="AYO91" s="609"/>
      <c r="AYP91" s="609"/>
      <c r="AYQ91" s="609"/>
      <c r="AYR91" s="609"/>
      <c r="AYS91" s="609"/>
      <c r="AYT91" s="609"/>
      <c r="AYU91" s="609"/>
      <c r="AYV91" s="609"/>
      <c r="AYW91" s="609"/>
      <c r="AYX91" s="609"/>
      <c r="AYY91" s="609"/>
      <c r="AYZ91" s="609"/>
      <c r="AZA91" s="609"/>
      <c r="AZB91" s="609"/>
      <c r="AZC91" s="609"/>
      <c r="AZD91" s="609"/>
      <c r="AZE91" s="609"/>
      <c r="AZF91" s="609"/>
      <c r="AZG91" s="609"/>
      <c r="AZH91" s="609"/>
      <c r="AZI91" s="609"/>
      <c r="AZJ91" s="609"/>
      <c r="AZK91" s="609"/>
      <c r="AZL91" s="609"/>
      <c r="AZM91" s="609"/>
      <c r="AZN91" s="609"/>
      <c r="AZO91" s="609"/>
      <c r="AZP91" s="609"/>
      <c r="AZQ91" s="609"/>
      <c r="AZR91" s="609"/>
      <c r="AZS91" s="609"/>
      <c r="AZT91" s="609"/>
      <c r="AZU91" s="609"/>
      <c r="AZV91" s="609"/>
      <c r="AZW91" s="609"/>
      <c r="AZX91" s="609"/>
      <c r="AZY91" s="609"/>
      <c r="AZZ91" s="609"/>
      <c r="BAA91" s="609"/>
      <c r="BAB91" s="609"/>
      <c r="BAC91" s="609"/>
      <c r="BAD91" s="609"/>
      <c r="BAE91" s="609"/>
      <c r="BAF91" s="609"/>
      <c r="BAG91" s="609"/>
      <c r="BAH91" s="609"/>
      <c r="BAI91" s="609"/>
      <c r="BAJ91" s="609"/>
      <c r="BAK91" s="609"/>
      <c r="BAL91" s="609"/>
      <c r="BAM91" s="609"/>
      <c r="BAN91" s="609"/>
      <c r="BAO91" s="609"/>
      <c r="BAP91" s="609"/>
      <c r="BAQ91" s="609"/>
      <c r="BAR91" s="609"/>
      <c r="BAS91" s="609"/>
      <c r="BAT91" s="609"/>
      <c r="BAU91" s="609"/>
      <c r="BAV91" s="609"/>
      <c r="BAW91" s="609"/>
      <c r="BAX91" s="609"/>
      <c r="BAY91" s="609"/>
      <c r="BAZ91" s="609"/>
      <c r="BBA91" s="609"/>
      <c r="BBB91" s="609"/>
      <c r="BBC91" s="609"/>
      <c r="BBD91" s="609"/>
      <c r="BBE91" s="609"/>
      <c r="BBF91" s="609"/>
      <c r="BBG91" s="609"/>
      <c r="BBH91" s="609"/>
      <c r="BBI91" s="609"/>
      <c r="BBJ91" s="609"/>
      <c r="BBK91" s="609"/>
      <c r="BBL91" s="609"/>
      <c r="BBM91" s="609"/>
      <c r="BBN91" s="609"/>
      <c r="BBO91" s="609"/>
      <c r="BBP91" s="609"/>
      <c r="BBQ91" s="609"/>
      <c r="BBR91" s="609"/>
      <c r="BBS91" s="609"/>
      <c r="BBT91" s="609"/>
      <c r="BBU91" s="609"/>
      <c r="BBV91" s="609"/>
      <c r="BBW91" s="609"/>
      <c r="BBX91" s="609"/>
      <c r="BBY91" s="609"/>
      <c r="BBZ91" s="609"/>
      <c r="BCA91" s="609"/>
      <c r="BCB91" s="609"/>
      <c r="BCC91" s="609"/>
      <c r="BCD91" s="609"/>
      <c r="BCE91" s="609"/>
      <c r="BCF91" s="609"/>
      <c r="BCG91" s="609"/>
      <c r="BCH91" s="609"/>
      <c r="BCI91" s="609"/>
      <c r="BCJ91" s="609"/>
      <c r="BCK91" s="609"/>
      <c r="BCL91" s="609"/>
      <c r="BCM91" s="609"/>
      <c r="BCN91" s="609"/>
      <c r="BCO91" s="609"/>
      <c r="BCP91" s="609"/>
      <c r="BCQ91" s="609"/>
      <c r="BCR91" s="609"/>
      <c r="BCS91" s="609"/>
      <c r="BCT91" s="609"/>
      <c r="BCU91" s="609"/>
      <c r="BCV91" s="609"/>
      <c r="BCW91" s="609"/>
      <c r="BCX91" s="609"/>
      <c r="BCY91" s="609"/>
      <c r="BCZ91" s="609"/>
      <c r="BDA91" s="609"/>
      <c r="BDB91" s="609"/>
      <c r="BDC91" s="609"/>
      <c r="BDD91" s="609"/>
      <c r="BDE91" s="609"/>
      <c r="BDF91" s="609"/>
      <c r="BDG91" s="609"/>
      <c r="BDH91" s="609"/>
      <c r="BDI91" s="609"/>
      <c r="BDJ91" s="609"/>
      <c r="BDK91" s="609"/>
      <c r="BDL91" s="609"/>
      <c r="BDM91" s="609"/>
      <c r="BDN91" s="609"/>
      <c r="BDO91" s="609"/>
      <c r="BDP91" s="609"/>
      <c r="BDQ91" s="609"/>
      <c r="BDR91" s="609"/>
      <c r="BDS91" s="609"/>
      <c r="BDT91" s="609"/>
      <c r="BDU91" s="609"/>
      <c r="BDV91" s="609"/>
      <c r="BDW91" s="609"/>
      <c r="BDX91" s="609"/>
      <c r="BDY91" s="609"/>
      <c r="BDZ91" s="609"/>
      <c r="BEA91" s="609"/>
      <c r="BEB91" s="609"/>
      <c r="BEC91" s="609"/>
      <c r="BED91" s="609"/>
      <c r="BEE91" s="609"/>
      <c r="BEF91" s="609"/>
      <c r="BEG91" s="609"/>
      <c r="BEH91" s="609"/>
      <c r="BEI91" s="609"/>
      <c r="BEJ91" s="609"/>
      <c r="BEK91" s="609"/>
      <c r="BEL91" s="609"/>
      <c r="BEM91" s="609"/>
      <c r="BEN91" s="609"/>
      <c r="BEO91" s="609"/>
      <c r="BEP91" s="609"/>
      <c r="BEQ91" s="609"/>
      <c r="BER91" s="609"/>
      <c r="BES91" s="609"/>
      <c r="BET91" s="609"/>
      <c r="BEU91" s="609"/>
      <c r="BEV91" s="609"/>
      <c r="BEW91" s="609"/>
      <c r="BEX91" s="609"/>
      <c r="BEY91" s="609"/>
      <c r="BEZ91" s="609"/>
      <c r="BFA91" s="609"/>
      <c r="BFB91" s="609"/>
      <c r="BFC91" s="609"/>
      <c r="BFD91" s="609"/>
      <c r="BFE91" s="609"/>
      <c r="BFF91" s="609"/>
      <c r="BFG91" s="609"/>
      <c r="BFH91" s="609"/>
      <c r="BFI91" s="609"/>
      <c r="BFJ91" s="609"/>
      <c r="BFK91" s="609"/>
      <c r="BFL91" s="609"/>
      <c r="BFM91" s="609"/>
      <c r="BFN91" s="609"/>
      <c r="BFO91" s="609"/>
      <c r="BFP91" s="609"/>
      <c r="BFQ91" s="609"/>
      <c r="BFR91" s="609"/>
      <c r="BFS91" s="609"/>
      <c r="BFT91" s="609"/>
      <c r="BFU91" s="609"/>
      <c r="BFV91" s="609"/>
      <c r="BFW91" s="609"/>
      <c r="BFX91" s="609"/>
      <c r="BFY91" s="609"/>
      <c r="BFZ91" s="609"/>
      <c r="BGA91" s="609"/>
      <c r="BGB91" s="609"/>
      <c r="BGC91" s="609"/>
      <c r="BGD91" s="609"/>
      <c r="BGE91" s="609"/>
      <c r="BGF91" s="609"/>
      <c r="BGG91" s="609"/>
      <c r="BGH91" s="609"/>
      <c r="BGI91" s="609"/>
      <c r="BGJ91" s="609"/>
      <c r="BGK91" s="609"/>
      <c r="BGL91" s="609"/>
      <c r="BGM91" s="609"/>
      <c r="BGN91" s="609"/>
      <c r="BGO91" s="609"/>
      <c r="BGP91" s="609"/>
      <c r="BGQ91" s="609"/>
      <c r="BGR91" s="609"/>
      <c r="BGS91" s="609"/>
      <c r="BGT91" s="609"/>
      <c r="BGU91" s="609"/>
      <c r="BGV91" s="609"/>
      <c r="BGW91" s="609"/>
      <c r="BGX91" s="609"/>
      <c r="BGY91" s="609"/>
      <c r="BGZ91" s="609"/>
      <c r="BHA91" s="609"/>
      <c r="BHB91" s="609"/>
      <c r="BHC91" s="609"/>
      <c r="BHD91" s="609"/>
      <c r="BHE91" s="609"/>
      <c r="BHF91" s="609"/>
      <c r="BHG91" s="609"/>
      <c r="BHH91" s="609"/>
      <c r="BHI91" s="609"/>
      <c r="BHJ91" s="609"/>
      <c r="BHK91" s="609"/>
      <c r="BHL91" s="609"/>
      <c r="BHM91" s="609"/>
      <c r="BHN91" s="609"/>
      <c r="BHO91" s="609"/>
      <c r="BHP91" s="609"/>
      <c r="BHQ91" s="609"/>
      <c r="BHR91" s="609"/>
      <c r="BHS91" s="609"/>
      <c r="BHT91" s="609"/>
      <c r="BHU91" s="609"/>
      <c r="BHV91" s="609"/>
      <c r="BHW91" s="609"/>
      <c r="BHX91" s="609"/>
      <c r="BHY91" s="609"/>
      <c r="BHZ91" s="609"/>
      <c r="BIA91" s="609"/>
      <c r="BIB91" s="609"/>
      <c r="BIC91" s="609"/>
      <c r="BID91" s="609"/>
      <c r="BIE91" s="609"/>
      <c r="BIF91" s="609"/>
      <c r="BIG91" s="609"/>
      <c r="BIH91" s="609"/>
      <c r="BII91" s="609"/>
      <c r="BIJ91" s="609"/>
      <c r="BIK91" s="609"/>
      <c r="BIL91" s="609"/>
      <c r="BIM91" s="609"/>
      <c r="BIN91" s="609"/>
      <c r="BIO91" s="609"/>
      <c r="BIP91" s="609"/>
      <c r="BIQ91" s="609"/>
      <c r="BIR91" s="609"/>
      <c r="BIS91" s="609"/>
      <c r="BIT91" s="609"/>
      <c r="BIU91" s="609"/>
      <c r="BIV91" s="609"/>
      <c r="BIW91" s="609"/>
      <c r="BIX91" s="609"/>
      <c r="BIY91" s="609"/>
      <c r="BIZ91" s="609"/>
      <c r="BJA91" s="609"/>
      <c r="BJB91" s="609"/>
      <c r="BJC91" s="609"/>
      <c r="BJD91" s="609"/>
      <c r="BJE91" s="609"/>
      <c r="BJF91" s="609"/>
      <c r="BJG91" s="609"/>
      <c r="BJH91" s="609"/>
      <c r="BJI91" s="609"/>
      <c r="BJJ91" s="609"/>
      <c r="BJK91" s="609"/>
      <c r="BJL91" s="609"/>
      <c r="BJM91" s="609"/>
      <c r="BJN91" s="609"/>
      <c r="BJO91" s="609"/>
      <c r="BJP91" s="609"/>
      <c r="BJQ91" s="609"/>
      <c r="BJR91" s="609"/>
      <c r="BJS91" s="609"/>
      <c r="BJT91" s="609"/>
      <c r="BJU91" s="609"/>
      <c r="BJV91" s="609"/>
      <c r="BJW91" s="609"/>
      <c r="BJX91" s="609"/>
      <c r="BJY91" s="609"/>
      <c r="BJZ91" s="609"/>
      <c r="BKA91" s="609"/>
      <c r="BKB91" s="609"/>
      <c r="BKC91" s="609"/>
      <c r="BKD91" s="609"/>
      <c r="BKE91" s="609"/>
      <c r="BKF91" s="609"/>
      <c r="BKG91" s="609"/>
      <c r="BKH91" s="609"/>
      <c r="BKI91" s="609"/>
      <c r="BKJ91" s="609"/>
      <c r="BKK91" s="609"/>
      <c r="BKL91" s="609"/>
      <c r="BKM91" s="609"/>
      <c r="BKN91" s="609"/>
      <c r="BKO91" s="609"/>
      <c r="BKP91" s="609"/>
      <c r="BKQ91" s="609"/>
      <c r="BKR91" s="609"/>
      <c r="BKS91" s="609"/>
      <c r="BKT91" s="609"/>
      <c r="BKU91" s="609"/>
      <c r="BKV91" s="609"/>
      <c r="BKW91" s="609"/>
      <c r="BKX91" s="609"/>
      <c r="BKY91" s="609"/>
      <c r="BKZ91" s="609"/>
      <c r="BLA91" s="609"/>
      <c r="BLB91" s="609"/>
      <c r="BLC91" s="609"/>
      <c r="BLD91" s="609"/>
      <c r="BLE91" s="609"/>
      <c r="BLF91" s="609"/>
      <c r="BLG91" s="609"/>
      <c r="BLH91" s="609"/>
      <c r="BLI91" s="609"/>
      <c r="BLJ91" s="609"/>
      <c r="BLK91" s="609"/>
      <c r="BLL91" s="609"/>
      <c r="BLM91" s="609"/>
      <c r="BLN91" s="609"/>
      <c r="BLO91" s="609"/>
      <c r="BLP91" s="609"/>
      <c r="BLQ91" s="609"/>
      <c r="BLR91" s="609"/>
      <c r="BLS91" s="609"/>
      <c r="BLT91" s="609"/>
      <c r="BLU91" s="609"/>
      <c r="BLV91" s="609"/>
      <c r="BLW91" s="609"/>
      <c r="BLX91" s="609"/>
      <c r="BLY91" s="609"/>
      <c r="BLZ91" s="609"/>
      <c r="BMA91" s="609"/>
      <c r="BMB91" s="609"/>
      <c r="BMC91" s="609"/>
      <c r="BMD91" s="609"/>
      <c r="BME91" s="609"/>
      <c r="BMF91" s="609"/>
      <c r="BMG91" s="609"/>
      <c r="BMH91" s="609"/>
      <c r="BMI91" s="609"/>
      <c r="BMJ91" s="609"/>
      <c r="BMK91" s="609"/>
      <c r="BML91" s="609"/>
      <c r="BMM91" s="609"/>
      <c r="BMN91" s="609"/>
      <c r="BMO91" s="609"/>
      <c r="BMP91" s="609"/>
      <c r="BMQ91" s="609"/>
      <c r="BMR91" s="609"/>
      <c r="BMS91" s="609"/>
      <c r="BMT91" s="609"/>
      <c r="BMU91" s="609"/>
      <c r="BMV91" s="609"/>
      <c r="BMW91" s="609"/>
      <c r="BMX91" s="609"/>
      <c r="BMY91" s="609"/>
      <c r="BMZ91" s="609"/>
      <c r="BNA91" s="609"/>
      <c r="BNB91" s="609"/>
      <c r="BNC91" s="609"/>
      <c r="BND91" s="609"/>
      <c r="BNE91" s="609"/>
      <c r="BNF91" s="609"/>
      <c r="BNG91" s="609"/>
      <c r="BNH91" s="609"/>
      <c r="BNI91" s="609"/>
      <c r="BNJ91" s="609"/>
      <c r="BNK91" s="609"/>
      <c r="BNL91" s="609"/>
      <c r="BNM91" s="609"/>
      <c r="BNN91" s="609"/>
      <c r="BNO91" s="609"/>
      <c r="BNP91" s="609"/>
      <c r="BNQ91" s="609"/>
      <c r="BNR91" s="609"/>
      <c r="BNS91" s="609"/>
      <c r="BNT91" s="609"/>
      <c r="BNU91" s="609"/>
      <c r="BNV91" s="609"/>
      <c r="BNW91" s="609"/>
      <c r="BNX91" s="609"/>
      <c r="BNY91" s="609"/>
      <c r="BNZ91" s="609"/>
      <c r="BOA91" s="609"/>
      <c r="BOB91" s="609"/>
      <c r="BOC91" s="609"/>
      <c r="BOD91" s="609"/>
      <c r="BOE91" s="609"/>
      <c r="BOF91" s="609"/>
      <c r="BOG91" s="609"/>
      <c r="BOH91" s="609"/>
      <c r="BOI91" s="609"/>
      <c r="BOJ91" s="609"/>
      <c r="BOK91" s="609"/>
      <c r="BOL91" s="609"/>
      <c r="BOM91" s="609"/>
      <c r="BON91" s="609"/>
      <c r="BOO91" s="609"/>
      <c r="BOP91" s="609"/>
      <c r="BOQ91" s="609"/>
      <c r="BOR91" s="609"/>
      <c r="BOS91" s="609"/>
      <c r="BOT91" s="609"/>
      <c r="BOU91" s="609"/>
      <c r="BOV91" s="609"/>
      <c r="BOW91" s="609"/>
      <c r="BOX91" s="609"/>
      <c r="BOY91" s="609"/>
      <c r="BOZ91" s="609"/>
      <c r="BPA91" s="609"/>
      <c r="BPB91" s="609"/>
      <c r="BPC91" s="609"/>
      <c r="BPD91" s="609"/>
      <c r="BPE91" s="609"/>
      <c r="BPF91" s="609"/>
      <c r="BPG91" s="609"/>
      <c r="BPH91" s="609"/>
      <c r="BPI91" s="609"/>
      <c r="BPJ91" s="609"/>
      <c r="BPK91" s="609"/>
      <c r="BPL91" s="609"/>
      <c r="BPM91" s="609"/>
      <c r="BPN91" s="609"/>
      <c r="BPO91" s="609"/>
      <c r="BPP91" s="609"/>
      <c r="BPQ91" s="609"/>
      <c r="BPR91" s="609"/>
      <c r="BPS91" s="609"/>
      <c r="BPT91" s="609"/>
      <c r="BPU91" s="609"/>
      <c r="BPV91" s="609"/>
      <c r="BPW91" s="609"/>
      <c r="BPX91" s="609"/>
      <c r="BPY91" s="609"/>
      <c r="BPZ91" s="609"/>
      <c r="BQA91" s="609"/>
      <c r="BQB91" s="609"/>
      <c r="BQC91" s="609"/>
      <c r="BQD91" s="609"/>
      <c r="BQE91" s="609"/>
      <c r="BQF91" s="609"/>
      <c r="BQG91" s="609"/>
      <c r="BQH91" s="609"/>
      <c r="BQI91" s="609"/>
      <c r="BQJ91" s="609"/>
      <c r="BQK91" s="609"/>
      <c r="BQL91" s="609"/>
      <c r="BQM91" s="609"/>
      <c r="BQN91" s="609"/>
      <c r="BQO91" s="609"/>
      <c r="BQP91" s="609"/>
      <c r="BQQ91" s="609"/>
      <c r="BQR91" s="609"/>
      <c r="BQS91" s="609"/>
      <c r="BQT91" s="609"/>
      <c r="BQU91" s="609"/>
      <c r="BQV91" s="609"/>
      <c r="BQW91" s="609"/>
      <c r="BQX91" s="609"/>
      <c r="BQY91" s="609"/>
      <c r="BQZ91" s="609"/>
      <c r="BRA91" s="609"/>
      <c r="BRB91" s="609"/>
      <c r="BRC91" s="609"/>
      <c r="BRD91" s="609"/>
      <c r="BRE91" s="609"/>
      <c r="BRF91" s="609"/>
      <c r="BRG91" s="609"/>
      <c r="BRH91" s="609"/>
      <c r="BRI91" s="609"/>
      <c r="BRJ91" s="609"/>
      <c r="BRK91" s="609"/>
      <c r="BRL91" s="609"/>
      <c r="BRM91" s="609"/>
      <c r="BRN91" s="609"/>
      <c r="BRO91" s="609"/>
      <c r="BRP91" s="609"/>
      <c r="BRQ91" s="609"/>
      <c r="BRR91" s="609"/>
      <c r="BRS91" s="609"/>
      <c r="BRT91" s="609"/>
      <c r="BRU91" s="609"/>
      <c r="BRV91" s="609"/>
      <c r="BRW91" s="609"/>
      <c r="BRX91" s="609"/>
      <c r="BRY91" s="609"/>
      <c r="BRZ91" s="609"/>
      <c r="BSA91" s="609"/>
      <c r="BSB91" s="609"/>
      <c r="BSC91" s="609"/>
      <c r="BSD91" s="609"/>
      <c r="BSE91" s="609"/>
      <c r="BSF91" s="609"/>
      <c r="BSG91" s="609"/>
      <c r="BSH91" s="609"/>
      <c r="BSI91" s="609"/>
      <c r="BSJ91" s="609"/>
      <c r="BSK91" s="609"/>
      <c r="BSL91" s="609"/>
      <c r="BSM91" s="609"/>
      <c r="BSN91" s="609"/>
      <c r="BSO91" s="609"/>
      <c r="BSP91" s="609"/>
      <c r="BSQ91" s="609"/>
      <c r="BSR91" s="609"/>
      <c r="BSS91" s="609"/>
      <c r="BST91" s="609"/>
      <c r="BSU91" s="609"/>
      <c r="BSV91" s="609"/>
      <c r="BSW91" s="609"/>
      <c r="BSX91" s="609"/>
      <c r="BSY91" s="609"/>
      <c r="BSZ91" s="609"/>
      <c r="BTA91" s="609"/>
      <c r="BTB91" s="609"/>
      <c r="BTC91" s="609"/>
      <c r="BTD91" s="609"/>
      <c r="BTE91" s="609"/>
      <c r="BTF91" s="609"/>
      <c r="BTG91" s="609"/>
      <c r="BTH91" s="609"/>
      <c r="BTI91" s="609"/>
      <c r="BTJ91" s="609"/>
      <c r="BTK91" s="609"/>
      <c r="BTL91" s="609"/>
      <c r="BTM91" s="609"/>
      <c r="BTN91" s="609"/>
      <c r="BTO91" s="609"/>
      <c r="BTP91" s="609"/>
      <c r="BTQ91" s="609"/>
      <c r="BTR91" s="609"/>
      <c r="BTS91" s="609"/>
      <c r="BTT91" s="609"/>
      <c r="BTU91" s="609"/>
      <c r="BTV91" s="609"/>
      <c r="BTW91" s="609"/>
      <c r="BTX91" s="609"/>
      <c r="BTY91" s="609"/>
      <c r="BTZ91" s="609"/>
      <c r="BUA91" s="609"/>
      <c r="BUB91" s="609"/>
      <c r="BUC91" s="609"/>
      <c r="BUD91" s="609"/>
      <c r="BUE91" s="609"/>
      <c r="BUF91" s="609"/>
      <c r="BUG91" s="609"/>
      <c r="BUH91" s="609"/>
      <c r="BUI91" s="609"/>
      <c r="BUJ91" s="609"/>
      <c r="BUK91" s="609"/>
      <c r="BUL91" s="609"/>
      <c r="BUM91" s="609"/>
      <c r="BUN91" s="609"/>
      <c r="BUO91" s="609"/>
      <c r="BUP91" s="609"/>
      <c r="BUQ91" s="609"/>
      <c r="BUR91" s="609"/>
      <c r="BUS91" s="609"/>
      <c r="BUT91" s="609"/>
      <c r="BUU91" s="609"/>
      <c r="BUV91" s="609"/>
      <c r="BUW91" s="609"/>
      <c r="BUX91" s="609"/>
      <c r="BUY91" s="609"/>
      <c r="BUZ91" s="609"/>
      <c r="BVA91" s="609"/>
      <c r="BVB91" s="609"/>
      <c r="BVC91" s="609"/>
      <c r="BVD91" s="609"/>
      <c r="BVE91" s="609"/>
      <c r="BVF91" s="609"/>
      <c r="BVG91" s="609"/>
      <c r="BVH91" s="609"/>
      <c r="BVI91" s="609"/>
      <c r="BVJ91" s="609"/>
      <c r="BVK91" s="609"/>
      <c r="BVL91" s="609"/>
      <c r="BVM91" s="609"/>
      <c r="BVN91" s="609"/>
      <c r="BVO91" s="609"/>
      <c r="BVP91" s="609"/>
      <c r="BVQ91" s="609"/>
      <c r="BVR91" s="609"/>
      <c r="BVS91" s="609"/>
      <c r="BVT91" s="609"/>
      <c r="BVU91" s="609"/>
      <c r="BVV91" s="609"/>
      <c r="BVW91" s="609"/>
      <c r="BVX91" s="609"/>
      <c r="BVY91" s="609"/>
      <c r="BVZ91" s="609"/>
      <c r="BWA91" s="609"/>
      <c r="BWB91" s="609"/>
      <c r="BWC91" s="609"/>
      <c r="BWD91" s="609"/>
      <c r="BWE91" s="609"/>
      <c r="BWF91" s="609"/>
      <c r="BWG91" s="609"/>
      <c r="BWH91" s="609"/>
      <c r="BWI91" s="609"/>
      <c r="BWJ91" s="609"/>
      <c r="BWK91" s="609"/>
      <c r="BWL91" s="609"/>
      <c r="BWM91" s="609"/>
      <c r="BWN91" s="609"/>
      <c r="BWO91" s="609"/>
      <c r="BWP91" s="609"/>
      <c r="BWQ91" s="609"/>
      <c r="BWR91" s="609"/>
      <c r="BWS91" s="609"/>
      <c r="BWT91" s="609"/>
      <c r="BWU91" s="609"/>
      <c r="BWV91" s="609"/>
      <c r="BWW91" s="609"/>
      <c r="BWX91" s="609"/>
      <c r="BWY91" s="609"/>
      <c r="BWZ91" s="609"/>
      <c r="BXA91" s="609"/>
      <c r="BXB91" s="609"/>
      <c r="BXC91" s="609"/>
      <c r="BXD91" s="609"/>
      <c r="BXE91" s="609"/>
      <c r="BXF91" s="609"/>
      <c r="BXG91" s="609"/>
      <c r="BXH91" s="609"/>
      <c r="BXI91" s="609"/>
      <c r="BXJ91" s="609"/>
      <c r="BXK91" s="609"/>
      <c r="BXL91" s="609"/>
      <c r="BXM91" s="609"/>
      <c r="BXN91" s="609"/>
      <c r="BXO91" s="609"/>
      <c r="BXP91" s="609"/>
      <c r="BXQ91" s="609"/>
      <c r="BXR91" s="609"/>
      <c r="BXS91" s="609"/>
      <c r="BXT91" s="609"/>
      <c r="BXU91" s="609"/>
      <c r="BXV91" s="609"/>
      <c r="BXW91" s="609"/>
      <c r="BXX91" s="609"/>
      <c r="BXY91" s="609"/>
      <c r="BXZ91" s="609"/>
      <c r="BYA91" s="609"/>
      <c r="BYB91" s="609"/>
      <c r="BYC91" s="609"/>
      <c r="BYD91" s="609"/>
      <c r="BYE91" s="609"/>
      <c r="BYF91" s="609"/>
      <c r="BYG91" s="609"/>
      <c r="BYH91" s="609"/>
      <c r="BYI91" s="609"/>
      <c r="BYJ91" s="609"/>
      <c r="BYK91" s="609"/>
      <c r="BYL91" s="609"/>
      <c r="BYM91" s="609"/>
      <c r="BYN91" s="609"/>
      <c r="BYO91" s="609"/>
      <c r="BYP91" s="609"/>
      <c r="BYQ91" s="609"/>
      <c r="BYR91" s="609"/>
      <c r="BYS91" s="609"/>
      <c r="BYT91" s="609"/>
      <c r="BYU91" s="609"/>
      <c r="BYV91" s="609"/>
      <c r="BYW91" s="609"/>
      <c r="BYX91" s="609"/>
      <c r="BYY91" s="609"/>
      <c r="BYZ91" s="609"/>
      <c r="BZA91" s="609"/>
      <c r="BZB91" s="609"/>
      <c r="BZC91" s="609"/>
      <c r="BZD91" s="609"/>
      <c r="BZE91" s="609"/>
      <c r="BZF91" s="609"/>
      <c r="BZG91" s="609"/>
      <c r="BZH91" s="609"/>
      <c r="BZI91" s="609"/>
      <c r="BZJ91" s="609"/>
      <c r="BZK91" s="609"/>
      <c r="BZL91" s="609"/>
      <c r="BZM91" s="609"/>
      <c r="BZN91" s="609"/>
      <c r="BZO91" s="609"/>
      <c r="BZP91" s="609"/>
      <c r="BZQ91" s="609"/>
      <c r="BZR91" s="609"/>
      <c r="BZS91" s="609"/>
      <c r="BZT91" s="609"/>
      <c r="BZU91" s="609"/>
      <c r="BZV91" s="609"/>
      <c r="BZW91" s="609"/>
      <c r="BZX91" s="609"/>
      <c r="BZY91" s="609"/>
      <c r="BZZ91" s="609"/>
      <c r="CAA91" s="609"/>
      <c r="CAB91" s="609"/>
      <c r="CAC91" s="609"/>
      <c r="CAD91" s="609"/>
      <c r="CAE91" s="609"/>
      <c r="CAF91" s="609"/>
      <c r="CAG91" s="609"/>
      <c r="CAH91" s="609"/>
      <c r="CAI91" s="609"/>
      <c r="CAJ91" s="609"/>
      <c r="CAK91" s="609"/>
      <c r="CAL91" s="609"/>
      <c r="CAM91" s="609"/>
      <c r="CAN91" s="609"/>
      <c r="CAO91" s="609"/>
      <c r="CAP91" s="609"/>
      <c r="CAQ91" s="609"/>
      <c r="CAR91" s="609"/>
      <c r="CAS91" s="609"/>
      <c r="CAT91" s="609"/>
      <c r="CAU91" s="609"/>
      <c r="CAV91" s="609"/>
      <c r="CAW91" s="609"/>
      <c r="CAX91" s="609"/>
      <c r="CAY91" s="609"/>
      <c r="CAZ91" s="609"/>
      <c r="CBA91" s="609"/>
      <c r="CBB91" s="609"/>
      <c r="CBC91" s="609"/>
      <c r="CBD91" s="609"/>
      <c r="CBE91" s="609"/>
      <c r="CBF91" s="609"/>
      <c r="CBG91" s="609"/>
      <c r="CBH91" s="609"/>
      <c r="CBI91" s="609"/>
      <c r="CBJ91" s="609"/>
      <c r="CBK91" s="609"/>
      <c r="CBL91" s="609"/>
      <c r="CBM91" s="609"/>
      <c r="CBN91" s="609"/>
      <c r="CBO91" s="609"/>
      <c r="CBP91" s="609"/>
      <c r="CBQ91" s="609"/>
      <c r="CBR91" s="609"/>
      <c r="CBS91" s="609"/>
      <c r="CBT91" s="609"/>
      <c r="CBU91" s="609"/>
      <c r="CBV91" s="609"/>
      <c r="CBW91" s="609"/>
      <c r="CBX91" s="609"/>
      <c r="CBY91" s="609"/>
      <c r="CBZ91" s="609"/>
      <c r="CCA91" s="609"/>
      <c r="CCB91" s="609"/>
      <c r="CCC91" s="609"/>
      <c r="CCD91" s="609"/>
      <c r="CCE91" s="609"/>
      <c r="CCF91" s="609"/>
      <c r="CCG91" s="609"/>
      <c r="CCH91" s="609"/>
      <c r="CCI91" s="609"/>
      <c r="CCJ91" s="609"/>
      <c r="CCK91" s="609"/>
      <c r="CCL91" s="609"/>
      <c r="CCM91" s="609"/>
      <c r="CCN91" s="609"/>
      <c r="CCO91" s="609"/>
      <c r="CCP91" s="609"/>
      <c r="CCQ91" s="609"/>
      <c r="CCR91" s="609"/>
      <c r="CCS91" s="609"/>
      <c r="CCT91" s="609"/>
      <c r="CCU91" s="609"/>
      <c r="CCV91" s="609"/>
      <c r="CCW91" s="609"/>
      <c r="CCX91" s="609"/>
      <c r="CCY91" s="609"/>
      <c r="CCZ91" s="609"/>
      <c r="CDA91" s="609"/>
      <c r="CDB91" s="609"/>
      <c r="CDC91" s="609"/>
      <c r="CDD91" s="609"/>
      <c r="CDE91" s="609"/>
      <c r="CDF91" s="609"/>
      <c r="CDG91" s="609"/>
      <c r="CDH91" s="609"/>
      <c r="CDI91" s="609"/>
      <c r="CDJ91" s="609"/>
      <c r="CDK91" s="609"/>
      <c r="CDL91" s="609"/>
      <c r="CDM91" s="609"/>
      <c r="CDN91" s="609"/>
      <c r="CDO91" s="609"/>
      <c r="CDP91" s="609"/>
      <c r="CDQ91" s="609"/>
      <c r="CDR91" s="609"/>
      <c r="CDS91" s="609"/>
      <c r="CDT91" s="609"/>
      <c r="CDU91" s="609"/>
      <c r="CDV91" s="609"/>
      <c r="CDW91" s="609"/>
      <c r="CDX91" s="609"/>
      <c r="CDY91" s="609"/>
      <c r="CDZ91" s="609"/>
      <c r="CEA91" s="609"/>
      <c r="CEB91" s="609"/>
      <c r="CEC91" s="609"/>
      <c r="CED91" s="609"/>
      <c r="CEE91" s="609"/>
      <c r="CEF91" s="609"/>
      <c r="CEG91" s="609"/>
      <c r="CEH91" s="609"/>
      <c r="CEI91" s="609"/>
      <c r="CEJ91" s="609"/>
      <c r="CEK91" s="609"/>
      <c r="CEL91" s="609"/>
      <c r="CEM91" s="609"/>
      <c r="CEN91" s="609"/>
      <c r="CEO91" s="609"/>
      <c r="CEP91" s="609"/>
      <c r="CEQ91" s="609"/>
      <c r="CER91" s="609"/>
      <c r="CES91" s="609"/>
      <c r="CET91" s="609"/>
      <c r="CEU91" s="609"/>
      <c r="CEV91" s="609"/>
      <c r="CEW91" s="609"/>
      <c r="CEX91" s="609"/>
      <c r="CEY91" s="609"/>
      <c r="CEZ91" s="609"/>
      <c r="CFA91" s="609"/>
      <c r="CFB91" s="609"/>
      <c r="CFC91" s="609"/>
      <c r="CFD91" s="609"/>
      <c r="CFE91" s="609"/>
      <c r="CFF91" s="609"/>
      <c r="CFG91" s="609"/>
      <c r="CFH91" s="609"/>
      <c r="CFI91" s="609"/>
      <c r="CFJ91" s="609"/>
      <c r="CFK91" s="609"/>
      <c r="CFL91" s="609"/>
      <c r="CFM91" s="609"/>
      <c r="CFN91" s="609"/>
      <c r="CFO91" s="609"/>
      <c r="CFP91" s="609"/>
      <c r="CFQ91" s="609"/>
      <c r="CFR91" s="609"/>
      <c r="CFS91" s="609"/>
      <c r="CFT91" s="609"/>
      <c r="CFU91" s="609"/>
      <c r="CFV91" s="609"/>
      <c r="CFW91" s="609"/>
      <c r="CFX91" s="609"/>
      <c r="CFY91" s="609"/>
      <c r="CFZ91" s="609"/>
      <c r="CGA91" s="609"/>
      <c r="CGB91" s="609"/>
      <c r="CGC91" s="609"/>
      <c r="CGD91" s="609"/>
      <c r="CGE91" s="609"/>
      <c r="CGF91" s="609"/>
      <c r="CGG91" s="609"/>
      <c r="CGH91" s="609"/>
      <c r="CGI91" s="609"/>
      <c r="CGJ91" s="609"/>
      <c r="CGK91" s="609"/>
      <c r="CGL91" s="609"/>
      <c r="CGM91" s="609"/>
      <c r="CGN91" s="609"/>
      <c r="CGO91" s="609"/>
      <c r="CGP91" s="609"/>
      <c r="CGQ91" s="609"/>
      <c r="CGR91" s="609"/>
      <c r="CGS91" s="609"/>
      <c r="CGT91" s="609"/>
      <c r="CGU91" s="609"/>
      <c r="CGV91" s="609"/>
      <c r="CGW91" s="609"/>
      <c r="CGX91" s="609"/>
      <c r="CGY91" s="609"/>
      <c r="CGZ91" s="609"/>
      <c r="CHA91" s="609"/>
      <c r="CHB91" s="609"/>
      <c r="CHC91" s="609"/>
      <c r="CHD91" s="609"/>
      <c r="CHE91" s="609"/>
      <c r="CHF91" s="609"/>
      <c r="CHG91" s="609"/>
      <c r="CHH91" s="609"/>
      <c r="CHI91" s="609"/>
      <c r="CHJ91" s="609"/>
      <c r="CHK91" s="609"/>
      <c r="CHL91" s="609"/>
      <c r="CHM91" s="609"/>
      <c r="CHN91" s="609"/>
      <c r="CHO91" s="609"/>
      <c r="CHP91" s="609"/>
      <c r="CHQ91" s="609"/>
      <c r="CHR91" s="609"/>
      <c r="CHS91" s="609"/>
      <c r="CHT91" s="609"/>
      <c r="CHU91" s="609"/>
      <c r="CHV91" s="609"/>
      <c r="CHW91" s="609"/>
      <c r="CHX91" s="609"/>
      <c r="CHY91" s="609"/>
      <c r="CHZ91" s="609"/>
      <c r="CIA91" s="609"/>
      <c r="CIB91" s="609"/>
      <c r="CIC91" s="609"/>
      <c r="CID91" s="609"/>
      <c r="CIE91" s="609"/>
      <c r="CIF91" s="609"/>
      <c r="CIG91" s="609"/>
      <c r="CIH91" s="609"/>
      <c r="CII91" s="609"/>
      <c r="CIJ91" s="609"/>
      <c r="CIK91" s="609"/>
      <c r="CIL91" s="609"/>
      <c r="CIM91" s="609"/>
      <c r="CIN91" s="609"/>
      <c r="CIO91" s="609"/>
      <c r="CIP91" s="609"/>
      <c r="CIQ91" s="609"/>
      <c r="CIR91" s="609"/>
      <c r="CIS91" s="609"/>
      <c r="CIT91" s="609"/>
      <c r="CIU91" s="609"/>
      <c r="CIV91" s="609"/>
      <c r="CIW91" s="609"/>
      <c r="CIX91" s="609"/>
      <c r="CIY91" s="609"/>
      <c r="CIZ91" s="609"/>
      <c r="CJA91" s="609"/>
      <c r="CJB91" s="609"/>
      <c r="CJC91" s="609"/>
      <c r="CJD91" s="609"/>
      <c r="CJE91" s="609"/>
      <c r="CJF91" s="609"/>
      <c r="CJG91" s="609"/>
      <c r="CJH91" s="609"/>
      <c r="CJI91" s="609"/>
      <c r="CJJ91" s="609"/>
      <c r="CJK91" s="609"/>
      <c r="CJL91" s="609"/>
      <c r="CJM91" s="609"/>
      <c r="CJN91" s="609"/>
      <c r="CJO91" s="609"/>
      <c r="CJP91" s="609"/>
      <c r="CJQ91" s="609"/>
      <c r="CJR91" s="609"/>
      <c r="CJS91" s="609"/>
      <c r="CJT91" s="609"/>
      <c r="CJU91" s="609"/>
      <c r="CJV91" s="609"/>
      <c r="CJW91" s="609"/>
      <c r="CJX91" s="609"/>
      <c r="CJY91" s="609"/>
      <c r="CJZ91" s="609"/>
      <c r="CKA91" s="609"/>
      <c r="CKB91" s="609"/>
      <c r="CKC91" s="609"/>
      <c r="CKD91" s="609"/>
      <c r="CKE91" s="609"/>
      <c r="CKF91" s="609"/>
      <c r="CKG91" s="609"/>
      <c r="CKH91" s="609"/>
      <c r="CKI91" s="609"/>
      <c r="CKJ91" s="609"/>
      <c r="CKK91" s="609"/>
      <c r="CKL91" s="609"/>
      <c r="CKM91" s="609"/>
      <c r="CKN91" s="609"/>
      <c r="CKO91" s="609"/>
      <c r="CKP91" s="609"/>
      <c r="CKQ91" s="609"/>
      <c r="CKR91" s="609"/>
      <c r="CKS91" s="609"/>
      <c r="CKT91" s="609"/>
      <c r="CKU91" s="609"/>
      <c r="CKV91" s="609"/>
      <c r="CKW91" s="609"/>
      <c r="CKX91" s="609"/>
      <c r="CKY91" s="609"/>
      <c r="CKZ91" s="609"/>
      <c r="CLA91" s="609"/>
      <c r="CLB91" s="609"/>
      <c r="CLC91" s="609"/>
      <c r="CLD91" s="609"/>
      <c r="CLE91" s="609"/>
      <c r="CLF91" s="609"/>
      <c r="CLG91" s="609"/>
      <c r="CLH91" s="609"/>
      <c r="CLI91" s="609"/>
      <c r="CLJ91" s="609"/>
      <c r="CLK91" s="609"/>
      <c r="CLL91" s="609"/>
      <c r="CLM91" s="609"/>
      <c r="CLN91" s="609"/>
      <c r="CLO91" s="609"/>
      <c r="CLP91" s="609"/>
      <c r="CLQ91" s="609"/>
      <c r="CLR91" s="609"/>
      <c r="CLS91" s="609"/>
      <c r="CLT91" s="609"/>
      <c r="CLU91" s="609"/>
      <c r="CLV91" s="609"/>
      <c r="CLW91" s="609"/>
      <c r="CLX91" s="609"/>
      <c r="CLY91" s="609"/>
      <c r="CLZ91" s="609"/>
      <c r="CMA91" s="609"/>
      <c r="CMB91" s="609"/>
      <c r="CMC91" s="609"/>
      <c r="CMD91" s="609"/>
      <c r="CME91" s="609"/>
      <c r="CMF91" s="609"/>
      <c r="CMG91" s="609"/>
      <c r="CMH91" s="609"/>
      <c r="CMI91" s="609"/>
      <c r="CMJ91" s="609"/>
      <c r="CMK91" s="609"/>
      <c r="CML91" s="609"/>
      <c r="CMM91" s="609"/>
      <c r="CMN91" s="609"/>
      <c r="CMO91" s="609"/>
      <c r="CMP91" s="609"/>
      <c r="CMQ91" s="609"/>
      <c r="CMR91" s="609"/>
      <c r="CMS91" s="609"/>
      <c r="CMT91" s="609"/>
      <c r="CMU91" s="609"/>
      <c r="CMV91" s="609"/>
      <c r="CMW91" s="609"/>
      <c r="CMX91" s="609"/>
      <c r="CMY91" s="609"/>
      <c r="CMZ91" s="609"/>
      <c r="CNA91" s="609"/>
      <c r="CNB91" s="609"/>
      <c r="CNC91" s="609"/>
      <c r="CND91" s="609"/>
      <c r="CNE91" s="609"/>
      <c r="CNF91" s="609"/>
      <c r="CNG91" s="609"/>
      <c r="CNH91" s="609"/>
      <c r="CNI91" s="609"/>
      <c r="CNJ91" s="609"/>
      <c r="CNK91" s="609"/>
      <c r="CNL91" s="609"/>
      <c r="CNM91" s="609"/>
      <c r="CNN91" s="609"/>
      <c r="CNO91" s="609"/>
      <c r="CNP91" s="609"/>
      <c r="CNQ91" s="609"/>
      <c r="CNR91" s="609"/>
      <c r="CNS91" s="609"/>
      <c r="CNT91" s="609"/>
      <c r="CNU91" s="609"/>
      <c r="CNV91" s="609"/>
      <c r="CNW91" s="609"/>
      <c r="CNX91" s="609"/>
      <c r="CNY91" s="609"/>
      <c r="CNZ91" s="609"/>
      <c r="COA91" s="609"/>
      <c r="COB91" s="609"/>
      <c r="COC91" s="609"/>
      <c r="COD91" s="609"/>
      <c r="COE91" s="609"/>
      <c r="COF91" s="609"/>
      <c r="COG91" s="609"/>
      <c r="COH91" s="609"/>
      <c r="COI91" s="609"/>
      <c r="COJ91" s="609"/>
      <c r="COK91" s="609"/>
      <c r="COL91" s="609"/>
      <c r="COM91" s="609"/>
      <c r="CON91" s="609"/>
      <c r="COO91" s="609"/>
      <c r="COP91" s="609"/>
      <c r="COQ91" s="609"/>
      <c r="COR91" s="609"/>
      <c r="COS91" s="609"/>
      <c r="COT91" s="609"/>
      <c r="COU91" s="609"/>
      <c r="COV91" s="609"/>
      <c r="COW91" s="609"/>
      <c r="COX91" s="609"/>
      <c r="COY91" s="609"/>
      <c r="COZ91" s="609"/>
      <c r="CPA91" s="609"/>
      <c r="CPB91" s="609"/>
      <c r="CPC91" s="609"/>
      <c r="CPD91" s="609"/>
      <c r="CPE91" s="609"/>
      <c r="CPF91" s="609"/>
      <c r="CPG91" s="609"/>
      <c r="CPH91" s="609"/>
      <c r="CPI91" s="609"/>
      <c r="CPJ91" s="609"/>
      <c r="CPK91" s="609"/>
      <c r="CPL91" s="609"/>
      <c r="CPM91" s="609"/>
      <c r="CPN91" s="609"/>
      <c r="CPO91" s="609"/>
      <c r="CPP91" s="609"/>
      <c r="CPQ91" s="609"/>
      <c r="CPR91" s="609"/>
      <c r="CPS91" s="609"/>
      <c r="CPT91" s="609"/>
      <c r="CPU91" s="609"/>
      <c r="CPV91" s="609"/>
      <c r="CPW91" s="609"/>
      <c r="CPX91" s="609"/>
      <c r="CPY91" s="609"/>
      <c r="CPZ91" s="609"/>
      <c r="CQA91" s="609"/>
      <c r="CQB91" s="609"/>
      <c r="CQC91" s="609"/>
      <c r="CQD91" s="609"/>
      <c r="CQE91" s="609"/>
      <c r="CQF91" s="609"/>
      <c r="CQG91" s="609"/>
      <c r="CQH91" s="609"/>
      <c r="CQI91" s="609"/>
      <c r="CQJ91" s="609"/>
      <c r="CQK91" s="609"/>
      <c r="CQL91" s="609"/>
      <c r="CQM91" s="609"/>
      <c r="CQN91" s="609"/>
      <c r="CQO91" s="609"/>
      <c r="CQP91" s="609"/>
      <c r="CQQ91" s="609"/>
      <c r="CQR91" s="609"/>
      <c r="CQS91" s="609"/>
      <c r="CQT91" s="609"/>
      <c r="CQU91" s="609"/>
      <c r="CQV91" s="609"/>
      <c r="CQW91" s="609"/>
      <c r="CQX91" s="609"/>
      <c r="CQY91" s="609"/>
      <c r="CQZ91" s="609"/>
      <c r="CRA91" s="609"/>
      <c r="CRB91" s="609"/>
      <c r="CRC91" s="609"/>
      <c r="CRD91" s="609"/>
      <c r="CRE91" s="609"/>
      <c r="CRF91" s="609"/>
      <c r="CRG91" s="609"/>
      <c r="CRH91" s="609"/>
      <c r="CRI91" s="609"/>
      <c r="CRJ91" s="609"/>
      <c r="CRK91" s="609"/>
      <c r="CRL91" s="609"/>
      <c r="CRM91" s="609"/>
      <c r="CRN91" s="609"/>
      <c r="CRO91" s="609"/>
      <c r="CRP91" s="609"/>
      <c r="CRQ91" s="609"/>
      <c r="CRR91" s="609"/>
      <c r="CRS91" s="609"/>
      <c r="CRT91" s="609"/>
      <c r="CRU91" s="609"/>
      <c r="CRV91" s="609"/>
      <c r="CRW91" s="609"/>
      <c r="CRX91" s="609"/>
      <c r="CRY91" s="609"/>
      <c r="CRZ91" s="609"/>
      <c r="CSA91" s="609"/>
      <c r="CSB91" s="609"/>
      <c r="CSC91" s="609"/>
      <c r="CSD91" s="609"/>
      <c r="CSE91" s="609"/>
      <c r="CSF91" s="609"/>
      <c r="CSG91" s="609"/>
      <c r="CSH91" s="609"/>
      <c r="CSI91" s="609"/>
      <c r="CSJ91" s="609"/>
      <c r="CSK91" s="609"/>
      <c r="CSL91" s="609"/>
      <c r="CSM91" s="609"/>
      <c r="CSN91" s="609"/>
      <c r="CSO91" s="609"/>
      <c r="CSP91" s="609"/>
      <c r="CSQ91" s="609"/>
      <c r="CSR91" s="609"/>
      <c r="CSS91" s="609"/>
      <c r="CST91" s="609"/>
      <c r="CSU91" s="609"/>
      <c r="CSV91" s="609"/>
      <c r="CSW91" s="609"/>
      <c r="CSX91" s="609"/>
      <c r="CSY91" s="609"/>
      <c r="CSZ91" s="609"/>
      <c r="CTA91" s="609"/>
      <c r="CTB91" s="609"/>
      <c r="CTC91" s="609"/>
      <c r="CTD91" s="609"/>
      <c r="CTE91" s="609"/>
      <c r="CTF91" s="609"/>
      <c r="CTG91" s="609"/>
      <c r="CTH91" s="609"/>
      <c r="CTI91" s="609"/>
      <c r="CTJ91" s="609"/>
      <c r="CTK91" s="609"/>
      <c r="CTL91" s="609"/>
      <c r="CTM91" s="609"/>
      <c r="CTN91" s="609"/>
      <c r="CTO91" s="609"/>
      <c r="CTP91" s="609"/>
      <c r="CTQ91" s="609"/>
      <c r="CTR91" s="609"/>
      <c r="CTS91" s="609"/>
      <c r="CTT91" s="609"/>
      <c r="CTU91" s="609"/>
      <c r="CTV91" s="609"/>
      <c r="CTW91" s="609"/>
      <c r="CTX91" s="609"/>
      <c r="CTY91" s="609"/>
      <c r="CTZ91" s="609"/>
      <c r="CUA91" s="609"/>
      <c r="CUB91" s="609"/>
      <c r="CUC91" s="609"/>
      <c r="CUD91" s="609"/>
      <c r="CUE91" s="609"/>
      <c r="CUF91" s="609"/>
      <c r="CUG91" s="609"/>
      <c r="CUH91" s="609"/>
      <c r="CUI91" s="609"/>
      <c r="CUJ91" s="609"/>
      <c r="CUK91" s="609"/>
      <c r="CUL91" s="609"/>
      <c r="CUM91" s="609"/>
      <c r="CUN91" s="609"/>
      <c r="CUO91" s="609"/>
      <c r="CUP91" s="609"/>
      <c r="CUQ91" s="609"/>
      <c r="CUR91" s="609"/>
      <c r="CUS91" s="609"/>
      <c r="CUT91" s="609"/>
      <c r="CUU91" s="609"/>
      <c r="CUV91" s="609"/>
      <c r="CUW91" s="609"/>
      <c r="CUX91" s="609"/>
      <c r="CUY91" s="609"/>
      <c r="CUZ91" s="609"/>
      <c r="CVA91" s="609"/>
      <c r="CVB91" s="609"/>
      <c r="CVC91" s="609"/>
      <c r="CVD91" s="609"/>
      <c r="CVE91" s="609"/>
      <c r="CVF91" s="609"/>
      <c r="CVG91" s="609"/>
      <c r="CVH91" s="609"/>
      <c r="CVI91" s="609"/>
      <c r="CVJ91" s="609"/>
      <c r="CVK91" s="609"/>
      <c r="CVL91" s="609"/>
      <c r="CVM91" s="609"/>
      <c r="CVN91" s="609"/>
      <c r="CVO91" s="609"/>
      <c r="CVP91" s="609"/>
      <c r="CVQ91" s="609"/>
      <c r="CVR91" s="609"/>
      <c r="CVS91" s="609"/>
      <c r="CVT91" s="609"/>
      <c r="CVU91" s="609"/>
      <c r="CVV91" s="609"/>
      <c r="CVW91" s="609"/>
      <c r="CVX91" s="609"/>
      <c r="CVY91" s="609"/>
      <c r="CVZ91" s="609"/>
      <c r="CWA91" s="609"/>
      <c r="CWB91" s="609"/>
      <c r="CWC91" s="609"/>
      <c r="CWD91" s="609"/>
      <c r="CWE91" s="609"/>
      <c r="CWF91" s="609"/>
      <c r="CWG91" s="609"/>
      <c r="CWH91" s="609"/>
      <c r="CWI91" s="609"/>
      <c r="CWJ91" s="609"/>
      <c r="CWK91" s="609"/>
      <c r="CWL91" s="609"/>
      <c r="CWM91" s="609"/>
      <c r="CWN91" s="609"/>
      <c r="CWO91" s="609"/>
      <c r="CWP91" s="609"/>
      <c r="CWQ91" s="609"/>
      <c r="CWR91" s="609"/>
      <c r="CWS91" s="609"/>
      <c r="CWT91" s="609"/>
      <c r="CWU91" s="609"/>
      <c r="CWV91" s="609"/>
      <c r="CWW91" s="609"/>
      <c r="CWX91" s="609"/>
      <c r="CWY91" s="609"/>
      <c r="CWZ91" s="609"/>
      <c r="CXA91" s="609"/>
      <c r="CXB91" s="609"/>
      <c r="CXC91" s="609"/>
      <c r="CXD91" s="609"/>
      <c r="CXE91" s="609"/>
      <c r="CXF91" s="609"/>
      <c r="CXG91" s="609"/>
      <c r="CXH91" s="609"/>
      <c r="CXI91" s="609"/>
      <c r="CXJ91" s="609"/>
      <c r="CXK91" s="609"/>
      <c r="CXL91" s="609"/>
      <c r="CXM91" s="609"/>
      <c r="CXN91" s="609"/>
      <c r="CXO91" s="609"/>
      <c r="CXP91" s="609"/>
      <c r="CXQ91" s="609"/>
      <c r="CXR91" s="609"/>
      <c r="CXS91" s="609"/>
      <c r="CXT91" s="609"/>
      <c r="CXU91" s="609"/>
      <c r="CXV91" s="609"/>
      <c r="CXW91" s="609"/>
      <c r="CXX91" s="609"/>
      <c r="CXY91" s="609"/>
      <c r="CXZ91" s="609"/>
      <c r="CYA91" s="609"/>
      <c r="CYB91" s="609"/>
      <c r="CYC91" s="609"/>
      <c r="CYD91" s="609"/>
      <c r="CYE91" s="609"/>
      <c r="CYF91" s="609"/>
      <c r="CYG91" s="609"/>
      <c r="CYH91" s="609"/>
      <c r="CYI91" s="609"/>
      <c r="CYJ91" s="609"/>
      <c r="CYK91" s="609"/>
      <c r="CYL91" s="609"/>
      <c r="CYM91" s="609"/>
      <c r="CYN91" s="609"/>
      <c r="CYO91" s="609"/>
      <c r="CYP91" s="609"/>
      <c r="CYQ91" s="609"/>
      <c r="CYR91" s="609"/>
      <c r="CYS91" s="609"/>
      <c r="CYT91" s="609"/>
      <c r="CYU91" s="609"/>
      <c r="CYV91" s="609"/>
      <c r="CYW91" s="609"/>
      <c r="CYX91" s="609"/>
      <c r="CYY91" s="609"/>
      <c r="CYZ91" s="609"/>
      <c r="CZA91" s="609"/>
      <c r="CZB91" s="609"/>
      <c r="CZC91" s="609"/>
      <c r="CZD91" s="609"/>
      <c r="CZE91" s="609"/>
      <c r="CZF91" s="609"/>
      <c r="CZG91" s="609"/>
      <c r="CZH91" s="609"/>
      <c r="CZI91" s="609"/>
      <c r="CZJ91" s="609"/>
      <c r="CZK91" s="609"/>
      <c r="CZL91" s="609"/>
      <c r="CZM91" s="609"/>
      <c r="CZN91" s="609"/>
      <c r="CZO91" s="609"/>
      <c r="CZP91" s="609"/>
      <c r="CZQ91" s="609"/>
      <c r="CZR91" s="609"/>
      <c r="CZS91" s="609"/>
      <c r="CZT91" s="609"/>
      <c r="CZU91" s="609"/>
      <c r="CZV91" s="609"/>
      <c r="CZW91" s="609"/>
      <c r="CZX91" s="609"/>
      <c r="CZY91" s="609"/>
      <c r="CZZ91" s="609"/>
      <c r="DAA91" s="609"/>
      <c r="DAB91" s="609"/>
      <c r="DAC91" s="609"/>
      <c r="DAD91" s="609"/>
      <c r="DAE91" s="609"/>
      <c r="DAF91" s="609"/>
      <c r="DAG91" s="609"/>
      <c r="DAH91" s="609"/>
      <c r="DAI91" s="609"/>
      <c r="DAJ91" s="609"/>
      <c r="DAK91" s="609"/>
      <c r="DAL91" s="609"/>
      <c r="DAM91" s="609"/>
      <c r="DAN91" s="609"/>
      <c r="DAO91" s="609"/>
      <c r="DAP91" s="609"/>
      <c r="DAQ91" s="609"/>
      <c r="DAR91" s="609"/>
      <c r="DAS91" s="609"/>
      <c r="DAT91" s="609"/>
      <c r="DAU91" s="609"/>
      <c r="DAV91" s="609"/>
      <c r="DAW91" s="609"/>
      <c r="DAX91" s="609"/>
      <c r="DAY91" s="609"/>
      <c r="DAZ91" s="609"/>
      <c r="DBA91" s="609"/>
      <c r="DBB91" s="609"/>
      <c r="DBC91" s="609"/>
      <c r="DBD91" s="609"/>
      <c r="DBE91" s="609"/>
      <c r="DBF91" s="609"/>
      <c r="DBG91" s="609"/>
      <c r="DBH91" s="609"/>
      <c r="DBI91" s="609"/>
      <c r="DBJ91" s="609"/>
      <c r="DBK91" s="609"/>
      <c r="DBL91" s="609"/>
      <c r="DBM91" s="609"/>
      <c r="DBN91" s="609"/>
      <c r="DBO91" s="609"/>
      <c r="DBP91" s="609"/>
      <c r="DBQ91" s="609"/>
      <c r="DBR91" s="609"/>
      <c r="DBS91" s="609"/>
      <c r="DBT91" s="609"/>
      <c r="DBU91" s="609"/>
      <c r="DBV91" s="609"/>
      <c r="DBW91" s="609"/>
      <c r="DBX91" s="609"/>
      <c r="DBY91" s="609"/>
      <c r="DBZ91" s="609"/>
      <c r="DCA91" s="609"/>
      <c r="DCB91" s="609"/>
      <c r="DCC91" s="609"/>
      <c r="DCD91" s="609"/>
      <c r="DCE91" s="609"/>
      <c r="DCF91" s="609"/>
      <c r="DCG91" s="609"/>
      <c r="DCH91" s="609"/>
      <c r="DCI91" s="609"/>
      <c r="DCJ91" s="609"/>
      <c r="DCK91" s="609"/>
      <c r="DCL91" s="609"/>
      <c r="DCM91" s="609"/>
      <c r="DCN91" s="609"/>
      <c r="DCO91" s="609"/>
      <c r="DCP91" s="609"/>
      <c r="DCQ91" s="609"/>
      <c r="DCR91" s="609"/>
      <c r="DCS91" s="609"/>
      <c r="DCT91" s="609"/>
      <c r="DCU91" s="609"/>
      <c r="DCV91" s="609"/>
      <c r="DCW91" s="609"/>
      <c r="DCX91" s="609"/>
      <c r="DCY91" s="609"/>
      <c r="DCZ91" s="609"/>
      <c r="DDA91" s="609"/>
      <c r="DDB91" s="609"/>
      <c r="DDC91" s="609"/>
      <c r="DDD91" s="609"/>
      <c r="DDE91" s="609"/>
      <c r="DDF91" s="609"/>
      <c r="DDG91" s="609"/>
      <c r="DDH91" s="609"/>
      <c r="DDI91" s="609"/>
      <c r="DDJ91" s="609"/>
      <c r="DDK91" s="609"/>
      <c r="DDL91" s="609"/>
      <c r="DDM91" s="609"/>
      <c r="DDN91" s="609"/>
      <c r="DDO91" s="609"/>
      <c r="DDP91" s="609"/>
      <c r="DDQ91" s="609"/>
      <c r="DDR91" s="609"/>
      <c r="DDS91" s="609"/>
      <c r="DDT91" s="609"/>
      <c r="DDU91" s="609"/>
      <c r="DDV91" s="609"/>
      <c r="DDW91" s="609"/>
      <c r="DDX91" s="609"/>
      <c r="DDY91" s="609"/>
      <c r="DDZ91" s="609"/>
      <c r="DEA91" s="609"/>
      <c r="DEB91" s="609"/>
      <c r="DEC91" s="609"/>
      <c r="DED91" s="609"/>
      <c r="DEE91" s="609"/>
      <c r="DEF91" s="609"/>
      <c r="DEG91" s="609"/>
      <c r="DEH91" s="609"/>
      <c r="DEI91" s="609"/>
      <c r="DEJ91" s="609"/>
      <c r="DEK91" s="609"/>
      <c r="DEL91" s="609"/>
      <c r="DEM91" s="609"/>
      <c r="DEN91" s="609"/>
      <c r="DEO91" s="609"/>
      <c r="DEP91" s="609"/>
      <c r="DEQ91" s="609"/>
      <c r="DER91" s="609"/>
      <c r="DES91" s="609"/>
      <c r="DET91" s="609"/>
      <c r="DEU91" s="609"/>
      <c r="DEV91" s="609"/>
      <c r="DEW91" s="609"/>
      <c r="DEX91" s="609"/>
      <c r="DEY91" s="609"/>
      <c r="DEZ91" s="609"/>
      <c r="DFA91" s="609"/>
      <c r="DFB91" s="609"/>
      <c r="DFC91" s="609"/>
      <c r="DFD91" s="609"/>
      <c r="DFE91" s="609"/>
      <c r="DFF91" s="609"/>
      <c r="DFG91" s="609"/>
      <c r="DFH91" s="609"/>
      <c r="DFI91" s="609"/>
      <c r="DFJ91" s="609"/>
      <c r="DFK91" s="609"/>
      <c r="DFL91" s="609"/>
      <c r="DFM91" s="609"/>
      <c r="DFN91" s="609"/>
      <c r="DFO91" s="609"/>
      <c r="DFP91" s="609"/>
      <c r="DFQ91" s="609"/>
      <c r="DFR91" s="609"/>
      <c r="DFS91" s="609"/>
      <c r="DFT91" s="609"/>
      <c r="DFU91" s="609"/>
      <c r="DFV91" s="609"/>
      <c r="DFW91" s="609"/>
      <c r="DFX91" s="609"/>
      <c r="DFY91" s="609"/>
      <c r="DFZ91" s="609"/>
      <c r="DGA91" s="609"/>
      <c r="DGB91" s="609"/>
      <c r="DGC91" s="609"/>
      <c r="DGD91" s="609"/>
      <c r="DGE91" s="609"/>
      <c r="DGF91" s="609"/>
      <c r="DGG91" s="609"/>
      <c r="DGH91" s="609"/>
      <c r="DGI91" s="609"/>
      <c r="DGJ91" s="609"/>
      <c r="DGK91" s="609"/>
      <c r="DGL91" s="609"/>
      <c r="DGM91" s="609"/>
      <c r="DGN91" s="609"/>
      <c r="DGO91" s="609"/>
      <c r="DGP91" s="609"/>
      <c r="DGQ91" s="609"/>
      <c r="DGR91" s="609"/>
      <c r="DGS91" s="609"/>
      <c r="DGT91" s="609"/>
      <c r="DGU91" s="609"/>
      <c r="DGV91" s="609"/>
      <c r="DGW91" s="609"/>
      <c r="DGX91" s="609"/>
      <c r="DGY91" s="609"/>
      <c r="DGZ91" s="609"/>
      <c r="DHA91" s="609"/>
      <c r="DHB91" s="609"/>
      <c r="DHC91" s="609"/>
      <c r="DHD91" s="609"/>
      <c r="DHE91" s="609"/>
      <c r="DHF91" s="609"/>
      <c r="DHG91" s="609"/>
      <c r="DHH91" s="609"/>
      <c r="DHI91" s="609"/>
      <c r="DHJ91" s="609"/>
      <c r="DHK91" s="609"/>
      <c r="DHL91" s="609"/>
      <c r="DHM91" s="609"/>
      <c r="DHN91" s="609"/>
      <c r="DHO91" s="609"/>
      <c r="DHP91" s="609"/>
      <c r="DHQ91" s="609"/>
      <c r="DHR91" s="609"/>
      <c r="DHS91" s="609"/>
      <c r="DHT91" s="609"/>
      <c r="DHU91" s="609"/>
      <c r="DHV91" s="609"/>
      <c r="DHW91" s="609"/>
      <c r="DHX91" s="609"/>
      <c r="DHY91" s="609"/>
      <c r="DHZ91" s="609"/>
      <c r="DIA91" s="609"/>
      <c r="DIB91" s="609"/>
      <c r="DIC91" s="609"/>
      <c r="DID91" s="609"/>
      <c r="DIE91" s="609"/>
      <c r="DIF91" s="609"/>
      <c r="DIG91" s="609"/>
      <c r="DIH91" s="609"/>
      <c r="DII91" s="609"/>
      <c r="DIJ91" s="609"/>
      <c r="DIK91" s="609"/>
      <c r="DIL91" s="609"/>
      <c r="DIM91" s="609"/>
      <c r="DIN91" s="609"/>
      <c r="DIO91" s="609"/>
      <c r="DIP91" s="609"/>
      <c r="DIQ91" s="609"/>
      <c r="DIR91" s="609"/>
      <c r="DIS91" s="609"/>
      <c r="DIT91" s="609"/>
      <c r="DIU91" s="609"/>
      <c r="DIV91" s="609"/>
      <c r="DIW91" s="609"/>
      <c r="DIX91" s="609"/>
      <c r="DIY91" s="609"/>
      <c r="DIZ91" s="609"/>
      <c r="DJA91" s="609"/>
      <c r="DJB91" s="609"/>
      <c r="DJC91" s="609"/>
      <c r="DJD91" s="609"/>
      <c r="DJE91" s="609"/>
      <c r="DJF91" s="609"/>
      <c r="DJG91" s="609"/>
      <c r="DJH91" s="609"/>
      <c r="DJI91" s="609"/>
      <c r="DJJ91" s="609"/>
      <c r="DJK91" s="609"/>
      <c r="DJL91" s="609"/>
      <c r="DJM91" s="609"/>
      <c r="DJN91" s="609"/>
      <c r="DJO91" s="609"/>
      <c r="DJP91" s="609"/>
      <c r="DJQ91" s="609"/>
      <c r="DJR91" s="609"/>
      <c r="DJS91" s="609"/>
      <c r="DJT91" s="609"/>
      <c r="DJU91" s="609"/>
      <c r="DJV91" s="609"/>
      <c r="DJW91" s="609"/>
      <c r="DJX91" s="609"/>
      <c r="DJY91" s="609"/>
      <c r="DJZ91" s="609"/>
      <c r="DKA91" s="609"/>
      <c r="DKB91" s="609"/>
      <c r="DKC91" s="609"/>
      <c r="DKD91" s="609"/>
      <c r="DKE91" s="609"/>
      <c r="DKF91" s="609"/>
      <c r="DKG91" s="609"/>
      <c r="DKH91" s="609"/>
      <c r="DKI91" s="609"/>
      <c r="DKJ91" s="609"/>
      <c r="DKK91" s="609"/>
      <c r="DKL91" s="609"/>
      <c r="DKM91" s="609"/>
      <c r="DKN91" s="609"/>
      <c r="DKO91" s="609"/>
      <c r="DKP91" s="609"/>
      <c r="DKQ91" s="609"/>
      <c r="DKR91" s="609"/>
      <c r="DKS91" s="609"/>
      <c r="DKT91" s="609"/>
      <c r="DKU91" s="609"/>
      <c r="DKV91" s="609"/>
      <c r="DKW91" s="609"/>
      <c r="DKX91" s="609"/>
      <c r="DKY91" s="609"/>
      <c r="DKZ91" s="609"/>
      <c r="DLA91" s="609"/>
      <c r="DLB91" s="609"/>
      <c r="DLC91" s="609"/>
      <c r="DLD91" s="609"/>
      <c r="DLE91" s="609"/>
      <c r="DLF91" s="609"/>
      <c r="DLG91" s="609"/>
      <c r="DLH91" s="609"/>
      <c r="DLI91" s="609"/>
      <c r="DLJ91" s="609"/>
      <c r="DLK91" s="609"/>
      <c r="DLL91" s="609"/>
      <c r="DLM91" s="609"/>
      <c r="DLN91" s="609"/>
      <c r="DLO91" s="609"/>
      <c r="DLP91" s="609"/>
      <c r="DLQ91" s="609"/>
      <c r="DLR91" s="609"/>
      <c r="DLS91" s="609"/>
      <c r="DLT91" s="609"/>
      <c r="DLU91" s="609"/>
      <c r="DLV91" s="609"/>
      <c r="DLW91" s="609"/>
      <c r="DLX91" s="609"/>
      <c r="DLY91" s="609"/>
      <c r="DLZ91" s="609"/>
      <c r="DMA91" s="609"/>
      <c r="DMB91" s="609"/>
      <c r="DMC91" s="609"/>
      <c r="DMD91" s="609"/>
      <c r="DME91" s="609"/>
      <c r="DMF91" s="609"/>
      <c r="DMG91" s="609"/>
      <c r="DMH91" s="609"/>
      <c r="DMI91" s="609"/>
      <c r="DMJ91" s="609"/>
      <c r="DMK91" s="609"/>
      <c r="DML91" s="609"/>
      <c r="DMM91" s="609"/>
      <c r="DMN91" s="609"/>
      <c r="DMO91" s="609"/>
      <c r="DMP91" s="609"/>
      <c r="DMQ91" s="609"/>
      <c r="DMR91" s="609"/>
      <c r="DMS91" s="609"/>
      <c r="DMT91" s="609"/>
      <c r="DMU91" s="609"/>
      <c r="DMV91" s="609"/>
      <c r="DMW91" s="609"/>
      <c r="DMX91" s="609"/>
      <c r="DMY91" s="609"/>
      <c r="DMZ91" s="609"/>
      <c r="DNA91" s="609"/>
      <c r="DNB91" s="609"/>
      <c r="DNC91" s="609"/>
      <c r="DND91" s="609"/>
      <c r="DNE91" s="609"/>
      <c r="DNF91" s="609"/>
      <c r="DNG91" s="609"/>
      <c r="DNH91" s="609"/>
      <c r="DNI91" s="609"/>
      <c r="DNJ91" s="609"/>
      <c r="DNK91" s="609"/>
      <c r="DNL91" s="609"/>
      <c r="DNM91" s="609"/>
      <c r="DNN91" s="609"/>
      <c r="DNO91" s="609"/>
      <c r="DNP91" s="609"/>
      <c r="DNQ91" s="609"/>
      <c r="DNR91" s="609"/>
      <c r="DNS91" s="609"/>
      <c r="DNT91" s="609"/>
      <c r="DNU91" s="609"/>
      <c r="DNV91" s="609"/>
      <c r="DNW91" s="609"/>
      <c r="DNX91" s="609"/>
      <c r="DNY91" s="609"/>
      <c r="DNZ91" s="609"/>
      <c r="DOA91" s="609"/>
      <c r="DOB91" s="609"/>
      <c r="DOC91" s="609"/>
      <c r="DOD91" s="609"/>
      <c r="DOE91" s="609"/>
      <c r="DOF91" s="609"/>
      <c r="DOG91" s="609"/>
      <c r="DOH91" s="609"/>
      <c r="DOI91" s="609"/>
      <c r="DOJ91" s="609"/>
      <c r="DOK91" s="609"/>
      <c r="DOL91" s="609"/>
      <c r="DOM91" s="609"/>
      <c r="DON91" s="609"/>
      <c r="DOO91" s="609"/>
      <c r="DOP91" s="609"/>
      <c r="DOQ91" s="609"/>
      <c r="DOR91" s="609"/>
      <c r="DOS91" s="609"/>
      <c r="DOT91" s="609"/>
      <c r="DOU91" s="609"/>
      <c r="DOV91" s="609"/>
      <c r="DOW91" s="609"/>
      <c r="DOX91" s="609"/>
      <c r="DOY91" s="609"/>
      <c r="DOZ91" s="609"/>
      <c r="DPA91" s="609"/>
      <c r="DPB91" s="609"/>
      <c r="DPC91" s="609"/>
      <c r="DPD91" s="609"/>
      <c r="DPE91" s="609"/>
      <c r="DPF91" s="609"/>
      <c r="DPG91" s="609"/>
      <c r="DPH91" s="609"/>
      <c r="DPI91" s="609"/>
      <c r="DPJ91" s="609"/>
      <c r="DPK91" s="609"/>
      <c r="DPL91" s="609"/>
      <c r="DPM91" s="609"/>
      <c r="DPN91" s="609"/>
      <c r="DPO91" s="609"/>
      <c r="DPP91" s="609"/>
      <c r="DPQ91" s="609"/>
      <c r="DPR91" s="609"/>
      <c r="DPS91" s="609"/>
      <c r="DPT91" s="609"/>
      <c r="DPU91" s="609"/>
      <c r="DPV91" s="609"/>
      <c r="DPW91" s="609"/>
      <c r="DPX91" s="609"/>
      <c r="DPY91" s="609"/>
      <c r="DPZ91" s="609"/>
      <c r="DQA91" s="609"/>
      <c r="DQB91" s="609"/>
      <c r="DQC91" s="609"/>
      <c r="DQD91" s="609"/>
      <c r="DQE91" s="609"/>
      <c r="DQF91" s="609"/>
      <c r="DQG91" s="609"/>
      <c r="DQH91" s="609"/>
      <c r="DQI91" s="609"/>
      <c r="DQJ91" s="609"/>
      <c r="DQK91" s="609"/>
      <c r="DQL91" s="609"/>
      <c r="DQM91" s="609"/>
      <c r="DQN91" s="609"/>
      <c r="DQO91" s="609"/>
      <c r="DQP91" s="609"/>
      <c r="DQQ91" s="609"/>
      <c r="DQR91" s="609"/>
      <c r="DQS91" s="609"/>
      <c r="DQT91" s="609"/>
      <c r="DQU91" s="609"/>
      <c r="DQV91" s="609"/>
      <c r="DQW91" s="609"/>
      <c r="DQX91" s="609"/>
      <c r="DQY91" s="609"/>
      <c r="DQZ91" s="609"/>
      <c r="DRA91" s="609"/>
      <c r="DRB91" s="609"/>
      <c r="DRC91" s="609"/>
      <c r="DRD91" s="609"/>
      <c r="DRE91" s="609"/>
      <c r="DRF91" s="609"/>
      <c r="DRG91" s="609"/>
      <c r="DRH91" s="609"/>
      <c r="DRI91" s="609"/>
      <c r="DRJ91" s="609"/>
      <c r="DRK91" s="609"/>
      <c r="DRL91" s="609"/>
      <c r="DRM91" s="609"/>
      <c r="DRN91" s="609"/>
      <c r="DRO91" s="609"/>
      <c r="DRP91" s="609"/>
      <c r="DRQ91" s="609"/>
      <c r="DRR91" s="609"/>
      <c r="DRS91" s="609"/>
      <c r="DRT91" s="609"/>
      <c r="DRU91" s="609"/>
      <c r="DRV91" s="609"/>
      <c r="DRW91" s="609"/>
      <c r="DRX91" s="609"/>
      <c r="DRY91" s="609"/>
      <c r="DRZ91" s="609"/>
      <c r="DSA91" s="609"/>
      <c r="DSB91" s="609"/>
      <c r="DSC91" s="609"/>
      <c r="DSD91" s="609"/>
      <c r="DSE91" s="609"/>
      <c r="DSF91" s="609"/>
      <c r="DSG91" s="609"/>
      <c r="DSH91" s="609"/>
      <c r="DSI91" s="609"/>
      <c r="DSJ91" s="609"/>
      <c r="DSK91" s="609"/>
      <c r="DSL91" s="609"/>
      <c r="DSM91" s="609"/>
      <c r="DSN91" s="609"/>
      <c r="DSO91" s="609"/>
      <c r="DSP91" s="609"/>
      <c r="DSQ91" s="609"/>
      <c r="DSR91" s="609"/>
      <c r="DSS91" s="609"/>
      <c r="DST91" s="609"/>
      <c r="DSU91" s="609"/>
      <c r="DSV91" s="609"/>
      <c r="DSW91" s="609"/>
      <c r="DSX91" s="609"/>
      <c r="DSY91" s="609"/>
      <c r="DSZ91" s="609"/>
      <c r="DTA91" s="609"/>
      <c r="DTB91" s="609"/>
      <c r="DTC91" s="609"/>
      <c r="DTD91" s="609"/>
      <c r="DTE91" s="609"/>
      <c r="DTF91" s="609"/>
      <c r="DTG91" s="609"/>
      <c r="DTH91" s="609"/>
      <c r="DTI91" s="609"/>
      <c r="DTJ91" s="609"/>
      <c r="DTK91" s="609"/>
      <c r="DTL91" s="609"/>
      <c r="DTM91" s="609"/>
      <c r="DTN91" s="609"/>
      <c r="DTO91" s="609"/>
      <c r="DTP91" s="609"/>
      <c r="DTQ91" s="609"/>
      <c r="DTR91" s="609"/>
      <c r="DTS91" s="609"/>
      <c r="DTT91" s="609"/>
      <c r="DTU91" s="609"/>
      <c r="DTV91" s="609"/>
      <c r="DTW91" s="609"/>
      <c r="DTX91" s="609"/>
      <c r="DTY91" s="609"/>
      <c r="DTZ91" s="609"/>
      <c r="DUA91" s="609"/>
      <c r="DUB91" s="609"/>
      <c r="DUC91" s="609"/>
      <c r="DUD91" s="609"/>
      <c r="DUE91" s="609"/>
      <c r="DUF91" s="609"/>
      <c r="DUG91" s="609"/>
      <c r="DUH91" s="609"/>
      <c r="DUI91" s="609"/>
      <c r="DUJ91" s="609"/>
      <c r="DUK91" s="609"/>
      <c r="DUL91" s="609"/>
      <c r="DUM91" s="609"/>
      <c r="DUN91" s="609"/>
      <c r="DUO91" s="609"/>
      <c r="DUP91" s="609"/>
      <c r="DUQ91" s="609"/>
      <c r="DUR91" s="609"/>
      <c r="DUS91" s="609"/>
      <c r="DUT91" s="609"/>
      <c r="DUU91" s="609"/>
      <c r="DUV91" s="609"/>
      <c r="DUW91" s="609"/>
      <c r="DUX91" s="609"/>
      <c r="DUY91" s="609"/>
      <c r="DUZ91" s="609"/>
      <c r="DVA91" s="609"/>
      <c r="DVB91" s="609"/>
      <c r="DVC91" s="609"/>
      <c r="DVD91" s="609"/>
      <c r="DVE91" s="609"/>
      <c r="DVF91" s="609"/>
      <c r="DVG91" s="609"/>
      <c r="DVH91" s="609"/>
      <c r="DVI91" s="609"/>
      <c r="DVJ91" s="609"/>
      <c r="DVK91" s="609"/>
      <c r="DVL91" s="609"/>
      <c r="DVM91" s="609"/>
      <c r="DVN91" s="609"/>
      <c r="DVO91" s="609"/>
      <c r="DVP91" s="609"/>
      <c r="DVQ91" s="609"/>
      <c r="DVR91" s="609"/>
      <c r="DVS91" s="609"/>
      <c r="DVT91" s="609"/>
      <c r="DVU91" s="609"/>
      <c r="DVV91" s="609"/>
      <c r="DVW91" s="609"/>
      <c r="DVX91" s="609"/>
      <c r="DVY91" s="609"/>
      <c r="DVZ91" s="609"/>
      <c r="DWA91" s="609"/>
      <c r="DWB91" s="609"/>
      <c r="DWC91" s="609"/>
      <c r="DWD91" s="609"/>
      <c r="DWE91" s="609"/>
      <c r="DWF91" s="609"/>
      <c r="DWG91" s="609"/>
      <c r="DWH91" s="609"/>
      <c r="DWI91" s="609"/>
      <c r="DWJ91" s="609"/>
      <c r="DWK91" s="609"/>
      <c r="DWL91" s="609"/>
      <c r="DWM91" s="609"/>
      <c r="DWN91" s="609"/>
      <c r="DWO91" s="609"/>
      <c r="DWP91" s="609"/>
      <c r="DWQ91" s="609"/>
      <c r="DWR91" s="609"/>
      <c r="DWS91" s="609"/>
      <c r="DWT91" s="609"/>
      <c r="DWU91" s="609"/>
      <c r="DWV91" s="609"/>
      <c r="DWW91" s="609"/>
      <c r="DWX91" s="609"/>
      <c r="DWY91" s="609"/>
      <c r="DWZ91" s="609"/>
      <c r="DXA91" s="609"/>
      <c r="DXB91" s="609"/>
      <c r="DXC91" s="609"/>
      <c r="DXD91" s="609"/>
      <c r="DXE91" s="609"/>
      <c r="DXF91" s="609"/>
      <c r="DXG91" s="609"/>
      <c r="DXH91" s="609"/>
      <c r="DXI91" s="609"/>
      <c r="DXJ91" s="609"/>
      <c r="DXK91" s="609"/>
      <c r="DXL91" s="609"/>
      <c r="DXM91" s="609"/>
      <c r="DXN91" s="609"/>
      <c r="DXO91" s="609"/>
      <c r="DXP91" s="609"/>
      <c r="DXQ91" s="609"/>
      <c r="DXR91" s="609"/>
      <c r="DXS91" s="609"/>
      <c r="DXT91" s="609"/>
      <c r="DXU91" s="609"/>
      <c r="DXV91" s="609"/>
      <c r="DXW91" s="609"/>
      <c r="DXX91" s="609"/>
      <c r="DXY91" s="609"/>
      <c r="DXZ91" s="609"/>
      <c r="DYA91" s="609"/>
      <c r="DYB91" s="609"/>
      <c r="DYC91" s="609"/>
      <c r="DYD91" s="609"/>
      <c r="DYE91" s="609"/>
      <c r="DYF91" s="609"/>
      <c r="DYG91" s="609"/>
      <c r="DYH91" s="609"/>
      <c r="DYI91" s="609"/>
      <c r="DYJ91" s="609"/>
      <c r="DYK91" s="609"/>
      <c r="DYL91" s="609"/>
      <c r="DYM91" s="609"/>
      <c r="DYN91" s="609"/>
      <c r="DYO91" s="609"/>
      <c r="DYP91" s="609"/>
      <c r="DYQ91" s="609"/>
      <c r="DYR91" s="609"/>
      <c r="DYS91" s="609"/>
      <c r="DYT91" s="609"/>
      <c r="DYU91" s="609"/>
      <c r="DYV91" s="609"/>
      <c r="DYW91" s="609"/>
      <c r="DYX91" s="609"/>
      <c r="DYY91" s="609"/>
      <c r="DYZ91" s="609"/>
      <c r="DZA91" s="609"/>
      <c r="DZB91" s="609"/>
      <c r="DZC91" s="609"/>
      <c r="DZD91" s="609"/>
      <c r="DZE91" s="609"/>
      <c r="DZF91" s="609"/>
      <c r="DZG91" s="609"/>
      <c r="DZH91" s="609"/>
      <c r="DZI91" s="609"/>
      <c r="DZJ91" s="609"/>
      <c r="DZK91" s="609"/>
      <c r="DZL91" s="609"/>
      <c r="DZM91" s="609"/>
      <c r="DZN91" s="609"/>
      <c r="DZO91" s="609"/>
      <c r="DZP91" s="609"/>
      <c r="DZQ91" s="609"/>
      <c r="DZR91" s="609"/>
      <c r="DZS91" s="609"/>
      <c r="DZT91" s="609"/>
      <c r="DZU91" s="609"/>
      <c r="DZV91" s="609"/>
      <c r="DZW91" s="609"/>
      <c r="DZX91" s="609"/>
      <c r="DZY91" s="609"/>
      <c r="DZZ91" s="609"/>
      <c r="EAA91" s="609"/>
      <c r="EAB91" s="609"/>
      <c r="EAC91" s="609"/>
      <c r="EAD91" s="609"/>
      <c r="EAE91" s="609"/>
      <c r="EAF91" s="609"/>
      <c r="EAG91" s="609"/>
      <c r="EAH91" s="609"/>
      <c r="EAI91" s="609"/>
      <c r="EAJ91" s="609"/>
      <c r="EAK91" s="609"/>
      <c r="EAL91" s="609"/>
      <c r="EAM91" s="609"/>
      <c r="EAN91" s="609"/>
      <c r="EAO91" s="609"/>
      <c r="EAP91" s="609"/>
      <c r="EAQ91" s="609"/>
      <c r="EAR91" s="609"/>
      <c r="EAS91" s="609"/>
      <c r="EAT91" s="609"/>
      <c r="EAU91" s="609"/>
      <c r="EAV91" s="609"/>
      <c r="EAW91" s="609"/>
      <c r="EAX91" s="609"/>
      <c r="EAY91" s="609"/>
      <c r="EAZ91" s="609"/>
      <c r="EBA91" s="609"/>
      <c r="EBB91" s="609"/>
      <c r="EBC91" s="609"/>
      <c r="EBD91" s="609"/>
      <c r="EBE91" s="609"/>
      <c r="EBF91" s="609"/>
      <c r="EBG91" s="609"/>
      <c r="EBH91" s="609"/>
      <c r="EBI91" s="609"/>
      <c r="EBJ91" s="609"/>
      <c r="EBK91" s="609"/>
      <c r="EBL91" s="609"/>
      <c r="EBM91" s="609"/>
      <c r="EBN91" s="609"/>
      <c r="EBO91" s="609"/>
      <c r="EBP91" s="609"/>
      <c r="EBQ91" s="609"/>
      <c r="EBR91" s="609"/>
      <c r="EBS91" s="609"/>
      <c r="EBT91" s="609"/>
      <c r="EBU91" s="609"/>
      <c r="EBV91" s="609"/>
      <c r="EBW91" s="609"/>
      <c r="EBX91" s="609"/>
      <c r="EBY91" s="609"/>
      <c r="EBZ91" s="609"/>
      <c r="ECA91" s="609"/>
      <c r="ECB91" s="609"/>
      <c r="ECC91" s="609"/>
      <c r="ECD91" s="609"/>
      <c r="ECE91" s="609"/>
      <c r="ECF91" s="609"/>
      <c r="ECG91" s="609"/>
      <c r="ECH91" s="609"/>
      <c r="ECI91" s="609"/>
      <c r="ECJ91" s="609"/>
      <c r="ECK91" s="609"/>
      <c r="ECL91" s="609"/>
      <c r="ECM91" s="609"/>
      <c r="ECN91" s="609"/>
      <c r="ECO91" s="609"/>
      <c r="ECP91" s="609"/>
      <c r="ECQ91" s="609"/>
      <c r="ECR91" s="609"/>
      <c r="ECS91" s="609"/>
      <c r="ECT91" s="609"/>
      <c r="ECU91" s="609"/>
      <c r="ECV91" s="609"/>
      <c r="ECW91" s="609"/>
      <c r="ECX91" s="609"/>
      <c r="ECY91" s="609"/>
      <c r="ECZ91" s="609"/>
      <c r="EDA91" s="609"/>
      <c r="EDB91" s="609"/>
      <c r="EDC91" s="609"/>
      <c r="EDD91" s="609"/>
      <c r="EDE91" s="609"/>
      <c r="EDF91" s="609"/>
      <c r="EDG91" s="609"/>
      <c r="EDH91" s="609"/>
      <c r="EDI91" s="609"/>
      <c r="EDJ91" s="609"/>
      <c r="EDK91" s="609"/>
      <c r="EDL91" s="609"/>
      <c r="EDM91" s="609"/>
      <c r="EDN91" s="609"/>
      <c r="EDO91" s="609"/>
      <c r="EDP91" s="609"/>
      <c r="EDQ91" s="609"/>
      <c r="EDR91" s="609"/>
      <c r="EDS91" s="609"/>
      <c r="EDT91" s="609"/>
      <c r="EDU91" s="609"/>
      <c r="EDV91" s="609"/>
      <c r="EDW91" s="609"/>
      <c r="EDX91" s="609"/>
      <c r="EDY91" s="609"/>
      <c r="EDZ91" s="609"/>
      <c r="EEA91" s="609"/>
      <c r="EEB91" s="609"/>
      <c r="EEC91" s="609"/>
      <c r="EED91" s="609"/>
      <c r="EEE91" s="609"/>
      <c r="EEF91" s="609"/>
      <c r="EEG91" s="609"/>
      <c r="EEH91" s="609"/>
      <c r="EEI91" s="609"/>
      <c r="EEJ91" s="609"/>
      <c r="EEK91" s="609"/>
      <c r="EEL91" s="609"/>
      <c r="EEM91" s="609"/>
      <c r="EEN91" s="609"/>
      <c r="EEO91" s="609"/>
      <c r="EEP91" s="609"/>
      <c r="EEQ91" s="609"/>
      <c r="EER91" s="609"/>
      <c r="EES91" s="609"/>
      <c r="EET91" s="609"/>
      <c r="EEU91" s="609"/>
      <c r="EEV91" s="609"/>
      <c r="EEW91" s="609"/>
      <c r="EEX91" s="609"/>
      <c r="EEY91" s="609"/>
      <c r="EEZ91" s="609"/>
      <c r="EFA91" s="609"/>
      <c r="EFB91" s="609"/>
      <c r="EFC91" s="609"/>
      <c r="EFD91" s="609"/>
      <c r="EFE91" s="609"/>
      <c r="EFF91" s="609"/>
      <c r="EFG91" s="609"/>
      <c r="EFH91" s="609"/>
      <c r="EFI91" s="609"/>
      <c r="EFJ91" s="609"/>
      <c r="EFK91" s="609"/>
      <c r="EFL91" s="609"/>
      <c r="EFM91" s="609"/>
      <c r="EFN91" s="609"/>
      <c r="EFO91" s="609"/>
      <c r="EFP91" s="609"/>
      <c r="EFQ91" s="609"/>
      <c r="EFR91" s="609"/>
      <c r="EFS91" s="609"/>
      <c r="EFT91" s="609"/>
      <c r="EFU91" s="609"/>
      <c r="EFV91" s="609"/>
      <c r="EFW91" s="609"/>
      <c r="EFX91" s="609"/>
      <c r="EFY91" s="609"/>
      <c r="EFZ91" s="609"/>
      <c r="EGA91" s="609"/>
      <c r="EGB91" s="609"/>
      <c r="EGC91" s="609"/>
      <c r="EGD91" s="609"/>
      <c r="EGE91" s="609"/>
      <c r="EGF91" s="609"/>
      <c r="EGG91" s="609"/>
      <c r="EGH91" s="609"/>
      <c r="EGI91" s="609"/>
      <c r="EGJ91" s="609"/>
      <c r="EGK91" s="609"/>
      <c r="EGL91" s="609"/>
      <c r="EGM91" s="609"/>
      <c r="EGN91" s="609"/>
      <c r="EGO91" s="609"/>
      <c r="EGP91" s="609"/>
      <c r="EGQ91" s="609"/>
      <c r="EGR91" s="609"/>
      <c r="EGS91" s="609"/>
      <c r="EGT91" s="609"/>
      <c r="EGU91" s="609"/>
      <c r="EGV91" s="609"/>
      <c r="EGW91" s="609"/>
      <c r="EGX91" s="609"/>
      <c r="EGY91" s="609"/>
      <c r="EGZ91" s="609"/>
      <c r="EHA91" s="609"/>
      <c r="EHB91" s="609"/>
      <c r="EHC91" s="609"/>
      <c r="EHD91" s="609"/>
      <c r="EHE91" s="609"/>
      <c r="EHF91" s="609"/>
      <c r="EHG91" s="609"/>
      <c r="EHH91" s="609"/>
      <c r="EHI91" s="609"/>
      <c r="EHJ91" s="609"/>
      <c r="EHK91" s="609"/>
      <c r="EHL91" s="609"/>
      <c r="EHM91" s="609"/>
      <c r="EHN91" s="609"/>
      <c r="EHO91" s="609"/>
      <c r="EHP91" s="609"/>
      <c r="EHQ91" s="609"/>
      <c r="EHR91" s="609"/>
      <c r="EHS91" s="609"/>
      <c r="EHT91" s="609"/>
      <c r="EHU91" s="609"/>
      <c r="EHV91" s="609"/>
      <c r="EHW91" s="609"/>
      <c r="EHX91" s="609"/>
      <c r="EHY91" s="609"/>
      <c r="EHZ91" s="609"/>
      <c r="EIA91" s="609"/>
      <c r="EIB91" s="609"/>
      <c r="EIC91" s="609"/>
      <c r="EID91" s="609"/>
      <c r="EIE91" s="609"/>
      <c r="EIF91" s="609"/>
      <c r="EIG91" s="609"/>
      <c r="EIH91" s="609"/>
      <c r="EII91" s="609"/>
      <c r="EIJ91" s="609"/>
      <c r="EIK91" s="609"/>
      <c r="EIL91" s="609"/>
      <c r="EIM91" s="609"/>
      <c r="EIN91" s="609"/>
      <c r="EIO91" s="609"/>
      <c r="EIP91" s="609"/>
      <c r="EIQ91" s="609"/>
      <c r="EIR91" s="609"/>
      <c r="EIS91" s="609"/>
      <c r="EIT91" s="609"/>
      <c r="EIU91" s="609"/>
      <c r="EIV91" s="609"/>
      <c r="EIW91" s="609"/>
      <c r="EIX91" s="609"/>
      <c r="EIY91" s="609"/>
      <c r="EIZ91" s="609"/>
      <c r="EJA91" s="609"/>
      <c r="EJB91" s="609"/>
      <c r="EJC91" s="609"/>
      <c r="EJD91" s="609"/>
      <c r="EJE91" s="609"/>
      <c r="EJF91" s="609"/>
      <c r="EJG91" s="609"/>
      <c r="EJH91" s="609"/>
      <c r="EJI91" s="609"/>
      <c r="EJJ91" s="609"/>
      <c r="EJK91" s="609"/>
      <c r="EJL91" s="609"/>
      <c r="EJM91" s="609"/>
      <c r="EJN91" s="609"/>
      <c r="EJO91" s="609"/>
      <c r="EJP91" s="609"/>
      <c r="EJQ91" s="609"/>
      <c r="EJR91" s="609"/>
      <c r="EJS91" s="609"/>
      <c r="EJT91" s="609"/>
      <c r="EJU91" s="609"/>
      <c r="EJV91" s="609"/>
      <c r="EJW91" s="609"/>
      <c r="EJX91" s="609"/>
      <c r="EJY91" s="609"/>
      <c r="EJZ91" s="609"/>
      <c r="EKA91" s="609"/>
      <c r="EKB91" s="609"/>
      <c r="EKC91" s="609"/>
      <c r="EKD91" s="609"/>
      <c r="EKE91" s="609"/>
      <c r="EKF91" s="609"/>
      <c r="EKG91" s="609"/>
      <c r="EKH91" s="609"/>
      <c r="EKI91" s="609"/>
      <c r="EKJ91" s="609"/>
      <c r="EKK91" s="609"/>
      <c r="EKL91" s="609"/>
      <c r="EKM91" s="609"/>
      <c r="EKN91" s="609"/>
      <c r="EKO91" s="609"/>
      <c r="EKP91" s="609"/>
      <c r="EKQ91" s="609"/>
      <c r="EKR91" s="609"/>
      <c r="EKS91" s="609"/>
      <c r="EKT91" s="609"/>
      <c r="EKU91" s="609"/>
      <c r="EKV91" s="609"/>
      <c r="EKW91" s="609"/>
      <c r="EKX91" s="609"/>
      <c r="EKY91" s="609"/>
      <c r="EKZ91" s="609"/>
      <c r="ELA91" s="609"/>
      <c r="ELB91" s="609"/>
      <c r="ELC91" s="609"/>
      <c r="ELD91" s="609"/>
      <c r="ELE91" s="609"/>
      <c r="ELF91" s="609"/>
      <c r="ELG91" s="609"/>
      <c r="ELH91" s="609"/>
      <c r="ELI91" s="609"/>
      <c r="ELJ91" s="609"/>
      <c r="ELK91" s="609"/>
      <c r="ELL91" s="609"/>
      <c r="ELM91" s="609"/>
      <c r="ELN91" s="609"/>
      <c r="ELO91" s="609"/>
      <c r="ELP91" s="609"/>
      <c r="ELQ91" s="609"/>
      <c r="ELR91" s="609"/>
      <c r="ELS91" s="609"/>
      <c r="ELT91" s="609"/>
      <c r="ELU91" s="609"/>
      <c r="ELV91" s="609"/>
      <c r="ELW91" s="609"/>
      <c r="ELX91" s="609"/>
      <c r="ELY91" s="609"/>
      <c r="ELZ91" s="609"/>
      <c r="EMA91" s="609"/>
      <c r="EMB91" s="609"/>
      <c r="EMC91" s="609"/>
      <c r="EMD91" s="609"/>
      <c r="EME91" s="609"/>
      <c r="EMF91" s="609"/>
      <c r="EMG91" s="609"/>
      <c r="EMH91" s="609"/>
      <c r="EMI91" s="609"/>
      <c r="EMJ91" s="609"/>
      <c r="EMK91" s="609"/>
      <c r="EML91" s="609"/>
      <c r="EMM91" s="609"/>
      <c r="EMN91" s="609"/>
      <c r="EMO91" s="609"/>
      <c r="EMP91" s="609"/>
      <c r="EMQ91" s="609"/>
      <c r="EMR91" s="609"/>
      <c r="EMS91" s="609"/>
      <c r="EMT91" s="609"/>
      <c r="EMU91" s="609"/>
      <c r="EMV91" s="609"/>
      <c r="EMW91" s="609"/>
      <c r="EMX91" s="609"/>
      <c r="EMY91" s="609"/>
      <c r="EMZ91" s="609"/>
      <c r="ENA91" s="609"/>
      <c r="ENB91" s="609"/>
      <c r="ENC91" s="609"/>
      <c r="END91" s="609"/>
      <c r="ENE91" s="609"/>
      <c r="ENF91" s="609"/>
      <c r="ENG91" s="609"/>
      <c r="ENH91" s="609"/>
      <c r="ENI91" s="609"/>
      <c r="ENJ91" s="609"/>
      <c r="ENK91" s="609"/>
      <c r="ENL91" s="609"/>
      <c r="ENM91" s="609"/>
      <c r="ENN91" s="609"/>
      <c r="ENO91" s="609"/>
      <c r="ENP91" s="609"/>
      <c r="ENQ91" s="609"/>
      <c r="ENR91" s="609"/>
      <c r="ENS91" s="609"/>
      <c r="ENT91" s="609"/>
      <c r="ENU91" s="609"/>
      <c r="ENV91" s="609"/>
      <c r="ENW91" s="609"/>
      <c r="ENX91" s="609"/>
      <c r="ENY91" s="609"/>
      <c r="ENZ91" s="609"/>
      <c r="EOA91" s="609"/>
      <c r="EOB91" s="609"/>
      <c r="EOC91" s="609"/>
      <c r="EOD91" s="609"/>
      <c r="EOE91" s="609"/>
      <c r="EOF91" s="609"/>
      <c r="EOG91" s="609"/>
      <c r="EOH91" s="609"/>
      <c r="EOI91" s="609"/>
      <c r="EOJ91" s="609"/>
      <c r="EOK91" s="609"/>
      <c r="EOL91" s="609"/>
      <c r="EOM91" s="609"/>
      <c r="EON91" s="609"/>
      <c r="EOO91" s="609"/>
      <c r="EOP91" s="609"/>
      <c r="EOQ91" s="609"/>
      <c r="EOR91" s="609"/>
      <c r="EOS91" s="609"/>
      <c r="EOT91" s="609"/>
      <c r="EOU91" s="609"/>
      <c r="EOV91" s="609"/>
      <c r="EOW91" s="609"/>
      <c r="EOX91" s="609"/>
      <c r="EOY91" s="609"/>
      <c r="EOZ91" s="609"/>
      <c r="EPA91" s="609"/>
      <c r="EPB91" s="609"/>
      <c r="EPC91" s="609"/>
      <c r="EPD91" s="609"/>
      <c r="EPE91" s="609"/>
      <c r="EPF91" s="609"/>
      <c r="EPG91" s="609"/>
      <c r="EPH91" s="609"/>
      <c r="EPI91" s="609"/>
      <c r="EPJ91" s="609"/>
      <c r="EPK91" s="609"/>
      <c r="EPL91" s="609"/>
      <c r="EPM91" s="609"/>
      <c r="EPN91" s="609"/>
      <c r="EPO91" s="609"/>
      <c r="EPP91" s="609"/>
      <c r="EPQ91" s="609"/>
      <c r="EPR91" s="609"/>
      <c r="EPS91" s="609"/>
      <c r="EPT91" s="609"/>
      <c r="EPU91" s="609"/>
      <c r="EPV91" s="609"/>
      <c r="EPW91" s="609"/>
      <c r="EPX91" s="609"/>
      <c r="EPY91" s="609"/>
      <c r="EPZ91" s="609"/>
      <c r="EQA91" s="609"/>
      <c r="EQB91" s="609"/>
      <c r="EQC91" s="609"/>
      <c r="EQD91" s="609"/>
      <c r="EQE91" s="609"/>
      <c r="EQF91" s="609"/>
      <c r="EQG91" s="609"/>
      <c r="EQH91" s="609"/>
      <c r="EQI91" s="609"/>
      <c r="EQJ91" s="609"/>
      <c r="EQK91" s="609"/>
      <c r="EQL91" s="609"/>
      <c r="EQM91" s="609"/>
      <c r="EQN91" s="609"/>
      <c r="EQO91" s="609"/>
      <c r="EQP91" s="609"/>
      <c r="EQQ91" s="609"/>
      <c r="EQR91" s="609"/>
      <c r="EQS91" s="609"/>
      <c r="EQT91" s="609"/>
      <c r="EQU91" s="609"/>
      <c r="EQV91" s="609"/>
      <c r="EQW91" s="609"/>
      <c r="EQX91" s="609"/>
      <c r="EQY91" s="609"/>
      <c r="EQZ91" s="609"/>
      <c r="ERA91" s="609"/>
      <c r="ERB91" s="609"/>
      <c r="ERC91" s="609"/>
      <c r="ERD91" s="609"/>
      <c r="ERE91" s="609"/>
      <c r="ERF91" s="609"/>
      <c r="ERG91" s="609"/>
      <c r="ERH91" s="609"/>
      <c r="ERI91" s="609"/>
      <c r="ERJ91" s="609"/>
      <c r="ERK91" s="609"/>
      <c r="ERL91" s="609"/>
      <c r="ERM91" s="609"/>
      <c r="ERN91" s="609"/>
      <c r="ERO91" s="609"/>
      <c r="ERP91" s="609"/>
      <c r="ERQ91" s="609"/>
      <c r="ERR91" s="609"/>
      <c r="ERS91" s="609"/>
      <c r="ERT91" s="609"/>
      <c r="ERU91" s="609"/>
      <c r="ERV91" s="609"/>
      <c r="ERW91" s="609"/>
      <c r="ERX91" s="609"/>
      <c r="ERY91" s="609"/>
      <c r="ERZ91" s="609"/>
      <c r="ESA91" s="609"/>
      <c r="ESB91" s="609"/>
      <c r="ESC91" s="609"/>
      <c r="ESD91" s="609"/>
      <c r="ESE91" s="609"/>
      <c r="ESF91" s="609"/>
      <c r="ESG91" s="609"/>
      <c r="ESH91" s="609"/>
      <c r="ESI91" s="609"/>
      <c r="ESJ91" s="609"/>
      <c r="ESK91" s="609"/>
      <c r="ESL91" s="609"/>
      <c r="ESM91" s="609"/>
      <c r="ESN91" s="609"/>
      <c r="ESO91" s="609"/>
      <c r="ESP91" s="609"/>
      <c r="ESQ91" s="609"/>
      <c r="ESR91" s="609"/>
      <c r="ESS91" s="609"/>
      <c r="EST91" s="609"/>
      <c r="ESU91" s="609"/>
      <c r="ESV91" s="609"/>
      <c r="ESW91" s="609"/>
      <c r="ESX91" s="609"/>
      <c r="ESY91" s="609"/>
      <c r="ESZ91" s="609"/>
      <c r="ETA91" s="609"/>
      <c r="ETB91" s="609"/>
      <c r="ETC91" s="609"/>
      <c r="ETD91" s="609"/>
      <c r="ETE91" s="609"/>
      <c r="ETF91" s="609"/>
      <c r="ETG91" s="609"/>
      <c r="ETH91" s="609"/>
      <c r="ETI91" s="609"/>
      <c r="ETJ91" s="609"/>
      <c r="ETK91" s="609"/>
      <c r="ETL91" s="609"/>
      <c r="ETM91" s="609"/>
      <c r="ETN91" s="609"/>
      <c r="ETO91" s="609"/>
      <c r="ETP91" s="609"/>
      <c r="ETQ91" s="609"/>
      <c r="ETR91" s="609"/>
      <c r="ETS91" s="609"/>
      <c r="ETT91" s="609"/>
      <c r="ETU91" s="609"/>
      <c r="ETV91" s="609"/>
      <c r="ETW91" s="609"/>
      <c r="ETX91" s="609"/>
      <c r="ETY91" s="609"/>
      <c r="ETZ91" s="609"/>
      <c r="EUA91" s="609"/>
      <c r="EUB91" s="609"/>
      <c r="EUC91" s="609"/>
      <c r="EUD91" s="609"/>
      <c r="EUE91" s="609"/>
      <c r="EUF91" s="609"/>
      <c r="EUG91" s="609"/>
      <c r="EUH91" s="609"/>
      <c r="EUI91" s="609"/>
      <c r="EUJ91" s="609"/>
      <c r="EUK91" s="609"/>
      <c r="EUL91" s="609"/>
      <c r="EUM91" s="609"/>
      <c r="EUN91" s="609"/>
      <c r="EUO91" s="609"/>
      <c r="EUP91" s="609"/>
      <c r="EUQ91" s="609"/>
      <c r="EUR91" s="609"/>
      <c r="EUS91" s="609"/>
      <c r="EUT91" s="609"/>
      <c r="EUU91" s="609"/>
      <c r="EUV91" s="609"/>
      <c r="EUW91" s="609"/>
      <c r="EUX91" s="609"/>
      <c r="EUY91" s="609"/>
      <c r="EUZ91" s="609"/>
      <c r="EVA91" s="609"/>
      <c r="EVB91" s="609"/>
      <c r="EVC91" s="609"/>
      <c r="EVD91" s="609"/>
      <c r="EVE91" s="609"/>
      <c r="EVF91" s="609"/>
      <c r="EVG91" s="609"/>
      <c r="EVH91" s="609"/>
      <c r="EVI91" s="609"/>
      <c r="EVJ91" s="609"/>
      <c r="EVK91" s="609"/>
      <c r="EVL91" s="609"/>
      <c r="EVM91" s="609"/>
      <c r="EVN91" s="609"/>
      <c r="EVO91" s="609"/>
      <c r="EVP91" s="609"/>
      <c r="EVQ91" s="609"/>
      <c r="EVR91" s="609"/>
      <c r="EVS91" s="609"/>
      <c r="EVT91" s="609"/>
      <c r="EVU91" s="609"/>
      <c r="EVV91" s="609"/>
      <c r="EVW91" s="609"/>
      <c r="EVX91" s="609"/>
      <c r="EVY91" s="609"/>
      <c r="EVZ91" s="609"/>
      <c r="EWA91" s="609"/>
      <c r="EWB91" s="609"/>
      <c r="EWC91" s="609"/>
      <c r="EWD91" s="609"/>
      <c r="EWE91" s="609"/>
      <c r="EWF91" s="609"/>
      <c r="EWG91" s="609"/>
      <c r="EWH91" s="609"/>
      <c r="EWI91" s="609"/>
      <c r="EWJ91" s="609"/>
      <c r="EWK91" s="609"/>
      <c r="EWL91" s="609"/>
      <c r="EWM91" s="609"/>
      <c r="EWN91" s="609"/>
      <c r="EWO91" s="609"/>
      <c r="EWP91" s="609"/>
      <c r="EWQ91" s="609"/>
      <c r="EWR91" s="609"/>
      <c r="EWS91" s="609"/>
      <c r="EWT91" s="609"/>
      <c r="EWU91" s="609"/>
      <c r="EWV91" s="609"/>
      <c r="EWW91" s="609"/>
      <c r="EWX91" s="609"/>
      <c r="EWY91" s="609"/>
      <c r="EWZ91" s="609"/>
      <c r="EXA91" s="609"/>
      <c r="EXB91" s="609"/>
      <c r="EXC91" s="609"/>
      <c r="EXD91" s="609"/>
      <c r="EXE91" s="609"/>
      <c r="EXF91" s="609"/>
      <c r="EXG91" s="609"/>
      <c r="EXH91" s="609"/>
      <c r="EXI91" s="609"/>
      <c r="EXJ91" s="609"/>
      <c r="EXK91" s="609"/>
      <c r="EXL91" s="609"/>
      <c r="EXM91" s="609"/>
      <c r="EXN91" s="609"/>
      <c r="EXO91" s="609"/>
      <c r="EXP91" s="609"/>
      <c r="EXQ91" s="609"/>
      <c r="EXR91" s="609"/>
      <c r="EXS91" s="609"/>
      <c r="EXT91" s="609"/>
      <c r="EXU91" s="609"/>
      <c r="EXV91" s="609"/>
      <c r="EXW91" s="609"/>
      <c r="EXX91" s="609"/>
      <c r="EXY91" s="609"/>
      <c r="EXZ91" s="609"/>
      <c r="EYA91" s="609"/>
      <c r="EYB91" s="609"/>
      <c r="EYC91" s="609"/>
      <c r="EYD91" s="609"/>
      <c r="EYE91" s="609"/>
      <c r="EYF91" s="609"/>
      <c r="EYG91" s="609"/>
      <c r="EYH91" s="609"/>
      <c r="EYI91" s="609"/>
      <c r="EYJ91" s="609"/>
      <c r="EYK91" s="609"/>
      <c r="EYL91" s="609"/>
      <c r="EYM91" s="609"/>
      <c r="EYN91" s="609"/>
      <c r="EYO91" s="609"/>
      <c r="EYP91" s="609"/>
      <c r="EYQ91" s="609"/>
      <c r="EYR91" s="609"/>
      <c r="EYS91" s="609"/>
      <c r="EYT91" s="609"/>
      <c r="EYU91" s="609"/>
      <c r="EYV91" s="609"/>
      <c r="EYW91" s="609"/>
      <c r="EYX91" s="609"/>
      <c r="EYY91" s="609"/>
      <c r="EYZ91" s="609"/>
      <c r="EZA91" s="609"/>
      <c r="EZB91" s="609"/>
      <c r="EZC91" s="609"/>
      <c r="EZD91" s="609"/>
      <c r="EZE91" s="609"/>
      <c r="EZF91" s="609"/>
      <c r="EZG91" s="609"/>
      <c r="EZH91" s="609"/>
      <c r="EZI91" s="609"/>
      <c r="EZJ91" s="609"/>
      <c r="EZK91" s="609"/>
      <c r="EZL91" s="609"/>
      <c r="EZM91" s="609"/>
      <c r="EZN91" s="609"/>
      <c r="EZO91" s="609"/>
      <c r="EZP91" s="609"/>
      <c r="EZQ91" s="609"/>
      <c r="EZR91" s="609"/>
      <c r="EZS91" s="609"/>
      <c r="EZT91" s="609"/>
      <c r="EZU91" s="609"/>
      <c r="EZV91" s="609"/>
      <c r="EZW91" s="609"/>
      <c r="EZX91" s="609"/>
      <c r="EZY91" s="609"/>
      <c r="EZZ91" s="609"/>
      <c r="FAA91" s="609"/>
      <c r="FAB91" s="609"/>
      <c r="FAC91" s="609"/>
      <c r="FAD91" s="609"/>
      <c r="FAE91" s="609"/>
      <c r="FAF91" s="609"/>
      <c r="FAG91" s="609"/>
      <c r="FAH91" s="609"/>
      <c r="FAI91" s="609"/>
      <c r="FAJ91" s="609"/>
      <c r="FAK91" s="609"/>
      <c r="FAL91" s="609"/>
      <c r="FAM91" s="609"/>
      <c r="FAN91" s="609"/>
      <c r="FAO91" s="609"/>
      <c r="FAP91" s="609"/>
      <c r="FAQ91" s="609"/>
      <c r="FAR91" s="609"/>
      <c r="FAS91" s="609"/>
      <c r="FAT91" s="609"/>
      <c r="FAU91" s="609"/>
      <c r="FAV91" s="609"/>
      <c r="FAW91" s="609"/>
      <c r="FAX91" s="609"/>
      <c r="FAY91" s="609"/>
      <c r="FAZ91" s="609"/>
      <c r="FBA91" s="609"/>
      <c r="FBB91" s="609"/>
      <c r="FBC91" s="609"/>
      <c r="FBD91" s="609"/>
      <c r="FBE91" s="609"/>
      <c r="FBF91" s="609"/>
      <c r="FBG91" s="609"/>
      <c r="FBH91" s="609"/>
      <c r="FBI91" s="609"/>
      <c r="FBJ91" s="609"/>
      <c r="FBK91" s="609"/>
      <c r="FBL91" s="609"/>
      <c r="FBM91" s="609"/>
      <c r="FBN91" s="609"/>
      <c r="FBO91" s="609"/>
      <c r="FBP91" s="609"/>
      <c r="FBQ91" s="609"/>
      <c r="FBR91" s="609"/>
      <c r="FBS91" s="609"/>
      <c r="FBT91" s="609"/>
      <c r="FBU91" s="609"/>
      <c r="FBV91" s="609"/>
      <c r="FBW91" s="609"/>
      <c r="FBX91" s="609"/>
      <c r="FBY91" s="609"/>
      <c r="FBZ91" s="609"/>
      <c r="FCA91" s="609"/>
      <c r="FCB91" s="609"/>
      <c r="FCC91" s="609"/>
      <c r="FCD91" s="609"/>
      <c r="FCE91" s="609"/>
      <c r="FCF91" s="609"/>
      <c r="FCG91" s="609"/>
      <c r="FCH91" s="609"/>
      <c r="FCI91" s="609"/>
      <c r="FCJ91" s="609"/>
      <c r="FCK91" s="609"/>
      <c r="FCL91" s="609"/>
      <c r="FCM91" s="609"/>
      <c r="FCN91" s="609"/>
      <c r="FCO91" s="609"/>
      <c r="FCP91" s="609"/>
      <c r="FCQ91" s="609"/>
      <c r="FCR91" s="609"/>
      <c r="FCS91" s="609"/>
      <c r="FCT91" s="609"/>
      <c r="FCU91" s="609"/>
      <c r="FCV91" s="609"/>
      <c r="FCW91" s="609"/>
      <c r="FCX91" s="609"/>
      <c r="FCY91" s="609"/>
      <c r="FCZ91" s="609"/>
      <c r="FDA91" s="609"/>
      <c r="FDB91" s="609"/>
      <c r="FDC91" s="609"/>
      <c r="FDD91" s="609"/>
      <c r="FDE91" s="609"/>
      <c r="FDF91" s="609"/>
      <c r="FDG91" s="609"/>
      <c r="FDH91" s="609"/>
      <c r="FDI91" s="609"/>
      <c r="FDJ91" s="609"/>
      <c r="FDK91" s="609"/>
      <c r="FDL91" s="609"/>
      <c r="FDM91" s="609"/>
      <c r="FDN91" s="609"/>
      <c r="FDO91" s="609"/>
      <c r="FDP91" s="609"/>
      <c r="FDQ91" s="609"/>
      <c r="FDR91" s="609"/>
      <c r="FDS91" s="609"/>
      <c r="FDT91" s="609"/>
      <c r="FDU91" s="609"/>
      <c r="FDV91" s="609"/>
      <c r="FDW91" s="609"/>
      <c r="FDX91" s="609"/>
      <c r="FDY91" s="609"/>
      <c r="FDZ91" s="609"/>
      <c r="FEA91" s="609"/>
      <c r="FEB91" s="609"/>
      <c r="FEC91" s="609"/>
      <c r="FED91" s="609"/>
      <c r="FEE91" s="609"/>
      <c r="FEF91" s="609"/>
      <c r="FEG91" s="609"/>
      <c r="FEH91" s="609"/>
      <c r="FEI91" s="609"/>
      <c r="FEJ91" s="609"/>
      <c r="FEK91" s="609"/>
      <c r="FEL91" s="609"/>
      <c r="FEM91" s="609"/>
      <c r="FEN91" s="609"/>
      <c r="FEO91" s="609"/>
      <c r="FEP91" s="609"/>
      <c r="FEQ91" s="609"/>
      <c r="FER91" s="609"/>
      <c r="FES91" s="609"/>
      <c r="FET91" s="609"/>
      <c r="FEU91" s="609"/>
      <c r="FEV91" s="609"/>
      <c r="FEW91" s="609"/>
      <c r="FEX91" s="609"/>
      <c r="FEY91" s="609"/>
      <c r="FEZ91" s="609"/>
      <c r="FFA91" s="609"/>
      <c r="FFB91" s="609"/>
      <c r="FFC91" s="609"/>
      <c r="FFD91" s="609"/>
      <c r="FFE91" s="609"/>
      <c r="FFF91" s="609"/>
      <c r="FFG91" s="609"/>
      <c r="FFH91" s="609"/>
      <c r="FFI91" s="609"/>
      <c r="FFJ91" s="609"/>
      <c r="FFK91" s="609"/>
      <c r="FFL91" s="609"/>
      <c r="FFM91" s="609"/>
      <c r="FFN91" s="609"/>
      <c r="FFO91" s="609"/>
      <c r="FFP91" s="609"/>
      <c r="FFQ91" s="609"/>
      <c r="FFR91" s="609"/>
      <c r="FFS91" s="609"/>
      <c r="FFT91" s="609"/>
      <c r="FFU91" s="609"/>
      <c r="FFV91" s="609"/>
      <c r="FFW91" s="609"/>
      <c r="FFX91" s="609"/>
      <c r="FFY91" s="609"/>
      <c r="FFZ91" s="609"/>
      <c r="FGA91" s="609"/>
      <c r="FGB91" s="609"/>
      <c r="FGC91" s="609"/>
      <c r="FGD91" s="609"/>
      <c r="FGE91" s="609"/>
      <c r="FGF91" s="609"/>
      <c r="FGG91" s="609"/>
      <c r="FGH91" s="609"/>
      <c r="FGI91" s="609"/>
      <c r="FGJ91" s="609"/>
      <c r="FGK91" s="609"/>
      <c r="FGL91" s="609"/>
      <c r="FGM91" s="609"/>
      <c r="FGN91" s="609"/>
      <c r="FGO91" s="609"/>
      <c r="FGP91" s="609"/>
      <c r="FGQ91" s="609"/>
      <c r="FGR91" s="609"/>
      <c r="FGS91" s="609"/>
      <c r="FGT91" s="609"/>
      <c r="FGU91" s="609"/>
      <c r="FGV91" s="609"/>
      <c r="FGW91" s="609"/>
      <c r="FGX91" s="609"/>
      <c r="FGY91" s="609"/>
      <c r="FGZ91" s="609"/>
      <c r="FHA91" s="609"/>
      <c r="FHB91" s="609"/>
      <c r="FHC91" s="609"/>
      <c r="FHD91" s="609"/>
      <c r="FHE91" s="609"/>
      <c r="FHF91" s="609"/>
      <c r="FHG91" s="609"/>
      <c r="FHH91" s="609"/>
      <c r="FHI91" s="609"/>
      <c r="FHJ91" s="609"/>
      <c r="FHK91" s="609"/>
      <c r="FHL91" s="609"/>
      <c r="FHM91" s="609"/>
      <c r="FHN91" s="609"/>
      <c r="FHO91" s="609"/>
      <c r="FHP91" s="609"/>
      <c r="FHQ91" s="609"/>
      <c r="FHR91" s="609"/>
      <c r="FHS91" s="609"/>
      <c r="FHT91" s="609"/>
      <c r="FHU91" s="609"/>
      <c r="FHV91" s="609"/>
      <c r="FHW91" s="609"/>
      <c r="FHX91" s="609"/>
      <c r="FHY91" s="609"/>
      <c r="FHZ91" s="609"/>
      <c r="FIA91" s="609"/>
      <c r="FIB91" s="609"/>
      <c r="FIC91" s="609"/>
      <c r="FID91" s="609"/>
      <c r="FIE91" s="609"/>
      <c r="FIF91" s="609"/>
      <c r="FIG91" s="609"/>
      <c r="FIH91" s="609"/>
      <c r="FII91" s="609"/>
      <c r="FIJ91" s="609"/>
      <c r="FIK91" s="609"/>
      <c r="FIL91" s="609"/>
      <c r="FIM91" s="609"/>
      <c r="FIN91" s="609"/>
      <c r="FIO91" s="609"/>
      <c r="FIP91" s="609"/>
      <c r="FIQ91" s="609"/>
      <c r="FIR91" s="609"/>
      <c r="FIS91" s="609"/>
      <c r="FIT91" s="609"/>
      <c r="FIU91" s="609"/>
      <c r="FIV91" s="609"/>
      <c r="FIW91" s="609"/>
      <c r="FIX91" s="609"/>
      <c r="FIY91" s="609"/>
      <c r="FIZ91" s="609"/>
      <c r="FJA91" s="609"/>
      <c r="FJB91" s="609"/>
      <c r="FJC91" s="609"/>
      <c r="FJD91" s="609"/>
      <c r="FJE91" s="609"/>
      <c r="FJF91" s="609"/>
      <c r="FJG91" s="609"/>
      <c r="FJH91" s="609"/>
      <c r="FJI91" s="609"/>
      <c r="FJJ91" s="609"/>
      <c r="FJK91" s="609"/>
      <c r="FJL91" s="609"/>
      <c r="FJM91" s="609"/>
      <c r="FJN91" s="609"/>
      <c r="FJO91" s="609"/>
      <c r="FJP91" s="609"/>
      <c r="FJQ91" s="609"/>
      <c r="FJR91" s="609"/>
      <c r="FJS91" s="609"/>
      <c r="FJT91" s="609"/>
      <c r="FJU91" s="609"/>
      <c r="FJV91" s="609"/>
      <c r="FJW91" s="609"/>
      <c r="FJX91" s="609"/>
      <c r="FJY91" s="609"/>
      <c r="FJZ91" s="609"/>
      <c r="FKA91" s="609"/>
      <c r="FKB91" s="609"/>
      <c r="FKC91" s="609"/>
      <c r="FKD91" s="609"/>
      <c r="FKE91" s="609"/>
      <c r="FKF91" s="609"/>
      <c r="FKG91" s="609"/>
      <c r="FKH91" s="609"/>
      <c r="FKI91" s="609"/>
      <c r="FKJ91" s="609"/>
      <c r="FKK91" s="609"/>
      <c r="FKL91" s="609"/>
      <c r="FKM91" s="609"/>
      <c r="FKN91" s="609"/>
      <c r="FKO91" s="609"/>
      <c r="FKP91" s="609"/>
      <c r="FKQ91" s="609"/>
      <c r="FKR91" s="609"/>
      <c r="FKS91" s="609"/>
      <c r="FKT91" s="609"/>
      <c r="FKU91" s="609"/>
      <c r="FKV91" s="609"/>
      <c r="FKW91" s="609"/>
      <c r="FKX91" s="609"/>
      <c r="FKY91" s="609"/>
      <c r="FKZ91" s="609"/>
      <c r="FLA91" s="609"/>
      <c r="FLB91" s="609"/>
      <c r="FLC91" s="609"/>
      <c r="FLD91" s="609"/>
      <c r="FLE91" s="609"/>
      <c r="FLF91" s="609"/>
      <c r="FLG91" s="609"/>
      <c r="FLH91" s="609"/>
      <c r="FLI91" s="609"/>
      <c r="FLJ91" s="609"/>
      <c r="FLK91" s="609"/>
      <c r="FLL91" s="609"/>
      <c r="FLM91" s="609"/>
      <c r="FLN91" s="609"/>
      <c r="FLO91" s="609"/>
      <c r="FLP91" s="609"/>
      <c r="FLQ91" s="609"/>
      <c r="FLR91" s="609"/>
      <c r="FLS91" s="609"/>
      <c r="FLT91" s="609"/>
      <c r="FLU91" s="609"/>
      <c r="FLV91" s="609"/>
      <c r="FLW91" s="609"/>
      <c r="FLX91" s="609"/>
      <c r="FLY91" s="609"/>
      <c r="FLZ91" s="609"/>
      <c r="FMA91" s="609"/>
      <c r="FMB91" s="609"/>
      <c r="FMC91" s="609"/>
      <c r="FMD91" s="609"/>
      <c r="FME91" s="609"/>
      <c r="FMF91" s="609"/>
      <c r="FMG91" s="609"/>
      <c r="FMH91" s="609"/>
      <c r="FMI91" s="609"/>
      <c r="FMJ91" s="609"/>
      <c r="FMK91" s="609"/>
      <c r="FML91" s="609"/>
      <c r="FMM91" s="609"/>
      <c r="FMN91" s="609"/>
      <c r="FMO91" s="609"/>
      <c r="FMP91" s="609"/>
      <c r="FMQ91" s="609"/>
      <c r="FMR91" s="609"/>
      <c r="FMS91" s="609"/>
      <c r="FMT91" s="609"/>
      <c r="FMU91" s="609"/>
      <c r="FMV91" s="609"/>
      <c r="FMW91" s="609"/>
      <c r="FMX91" s="609"/>
      <c r="FMY91" s="609"/>
      <c r="FMZ91" s="609"/>
      <c r="FNA91" s="609"/>
      <c r="FNB91" s="609"/>
      <c r="FNC91" s="609"/>
      <c r="FND91" s="609"/>
      <c r="FNE91" s="609"/>
      <c r="FNF91" s="609"/>
      <c r="FNG91" s="609"/>
      <c r="FNH91" s="609"/>
      <c r="FNI91" s="609"/>
      <c r="FNJ91" s="609"/>
      <c r="FNK91" s="609"/>
      <c r="FNL91" s="609"/>
      <c r="FNM91" s="609"/>
      <c r="FNN91" s="609"/>
      <c r="FNO91" s="609"/>
      <c r="FNP91" s="609"/>
      <c r="FNQ91" s="609"/>
      <c r="FNR91" s="609"/>
      <c r="FNS91" s="609"/>
      <c r="FNT91" s="609"/>
      <c r="FNU91" s="609"/>
      <c r="FNV91" s="609"/>
      <c r="FNW91" s="609"/>
      <c r="FNX91" s="609"/>
      <c r="FNY91" s="609"/>
      <c r="FNZ91" s="609"/>
      <c r="FOA91" s="609"/>
      <c r="FOB91" s="609"/>
      <c r="FOC91" s="609"/>
      <c r="FOD91" s="609"/>
      <c r="FOE91" s="609"/>
      <c r="FOF91" s="609"/>
      <c r="FOG91" s="609"/>
      <c r="FOH91" s="609"/>
      <c r="FOI91" s="609"/>
      <c r="FOJ91" s="609"/>
      <c r="FOK91" s="609"/>
      <c r="FOL91" s="609"/>
      <c r="FOM91" s="609"/>
      <c r="FON91" s="609"/>
      <c r="FOO91" s="609"/>
      <c r="FOP91" s="609"/>
      <c r="FOQ91" s="609"/>
      <c r="FOR91" s="609"/>
      <c r="FOS91" s="609"/>
      <c r="FOT91" s="609"/>
      <c r="FOU91" s="609"/>
      <c r="FOV91" s="609"/>
      <c r="FOW91" s="609"/>
      <c r="FOX91" s="609"/>
      <c r="FOY91" s="609"/>
      <c r="FOZ91" s="609"/>
      <c r="FPA91" s="609"/>
      <c r="FPB91" s="609"/>
      <c r="FPC91" s="609"/>
      <c r="FPD91" s="609"/>
      <c r="FPE91" s="609"/>
      <c r="FPF91" s="609"/>
      <c r="FPG91" s="609"/>
      <c r="FPH91" s="609"/>
      <c r="FPI91" s="609"/>
      <c r="FPJ91" s="609"/>
      <c r="FPK91" s="609"/>
      <c r="FPL91" s="609"/>
      <c r="FPM91" s="609"/>
      <c r="FPN91" s="609"/>
      <c r="FPO91" s="609"/>
      <c r="FPP91" s="609"/>
      <c r="FPQ91" s="609"/>
      <c r="FPR91" s="609"/>
      <c r="FPS91" s="609"/>
      <c r="FPT91" s="609"/>
      <c r="FPU91" s="609"/>
      <c r="FPV91" s="609"/>
      <c r="FPW91" s="609"/>
      <c r="FPX91" s="609"/>
      <c r="FPY91" s="609"/>
      <c r="FPZ91" s="609"/>
      <c r="FQA91" s="609"/>
      <c r="FQB91" s="609"/>
      <c r="FQC91" s="609"/>
      <c r="FQD91" s="609"/>
      <c r="FQE91" s="609"/>
      <c r="FQF91" s="609"/>
      <c r="FQG91" s="609"/>
      <c r="FQH91" s="609"/>
      <c r="FQI91" s="609"/>
      <c r="FQJ91" s="609"/>
      <c r="FQK91" s="609"/>
      <c r="FQL91" s="609"/>
      <c r="FQM91" s="609"/>
      <c r="FQN91" s="609"/>
      <c r="FQO91" s="609"/>
      <c r="FQP91" s="609"/>
      <c r="FQQ91" s="609"/>
      <c r="FQR91" s="609"/>
      <c r="FQS91" s="609"/>
      <c r="FQT91" s="609"/>
      <c r="FQU91" s="609"/>
      <c r="FQV91" s="609"/>
      <c r="FQW91" s="609"/>
      <c r="FQX91" s="609"/>
      <c r="FQY91" s="609"/>
      <c r="FQZ91" s="609"/>
      <c r="FRA91" s="609"/>
      <c r="FRB91" s="609"/>
      <c r="FRC91" s="609"/>
      <c r="FRD91" s="609"/>
      <c r="FRE91" s="609"/>
      <c r="FRF91" s="609"/>
      <c r="FRG91" s="609"/>
      <c r="FRH91" s="609"/>
      <c r="FRI91" s="609"/>
      <c r="FRJ91" s="609"/>
      <c r="FRK91" s="609"/>
      <c r="FRL91" s="609"/>
      <c r="FRM91" s="609"/>
      <c r="FRN91" s="609"/>
      <c r="FRO91" s="609"/>
      <c r="FRP91" s="609"/>
      <c r="FRQ91" s="609"/>
      <c r="FRR91" s="609"/>
      <c r="FRS91" s="609"/>
      <c r="FRT91" s="609"/>
      <c r="FRU91" s="609"/>
      <c r="FRV91" s="609"/>
      <c r="FRW91" s="609"/>
      <c r="FRX91" s="609"/>
      <c r="FRY91" s="609"/>
      <c r="FRZ91" s="609"/>
      <c r="FSA91" s="609"/>
      <c r="FSB91" s="609"/>
      <c r="FSC91" s="609"/>
      <c r="FSD91" s="609"/>
      <c r="FSE91" s="609"/>
      <c r="FSF91" s="609"/>
      <c r="FSG91" s="609"/>
      <c r="FSH91" s="609"/>
      <c r="FSI91" s="609"/>
      <c r="FSJ91" s="609"/>
      <c r="FSK91" s="609"/>
      <c r="FSL91" s="609"/>
      <c r="FSM91" s="609"/>
      <c r="FSN91" s="609"/>
      <c r="FSO91" s="609"/>
      <c r="FSP91" s="609"/>
      <c r="FSQ91" s="609"/>
      <c r="FSR91" s="609"/>
      <c r="FSS91" s="609"/>
      <c r="FST91" s="609"/>
      <c r="FSU91" s="609"/>
      <c r="FSV91" s="609"/>
      <c r="FSW91" s="609"/>
      <c r="FSX91" s="609"/>
      <c r="FSY91" s="609"/>
      <c r="FSZ91" s="609"/>
      <c r="FTA91" s="609"/>
      <c r="FTB91" s="609"/>
      <c r="FTC91" s="609"/>
      <c r="FTD91" s="609"/>
      <c r="FTE91" s="609"/>
      <c r="FTF91" s="609"/>
      <c r="FTG91" s="609"/>
      <c r="FTH91" s="609"/>
      <c r="FTI91" s="609"/>
      <c r="FTJ91" s="609"/>
      <c r="FTK91" s="609"/>
      <c r="FTL91" s="609"/>
      <c r="FTM91" s="609"/>
      <c r="FTN91" s="609"/>
      <c r="FTO91" s="609"/>
      <c r="FTP91" s="609"/>
      <c r="FTQ91" s="609"/>
      <c r="FTR91" s="609"/>
      <c r="FTS91" s="609"/>
      <c r="FTT91" s="609"/>
      <c r="FTU91" s="609"/>
      <c r="FTV91" s="609"/>
      <c r="FTW91" s="609"/>
      <c r="FTX91" s="609"/>
      <c r="FTY91" s="609"/>
      <c r="FTZ91" s="609"/>
      <c r="FUA91" s="609"/>
      <c r="FUB91" s="609"/>
      <c r="FUC91" s="609"/>
      <c r="FUD91" s="609"/>
      <c r="FUE91" s="609"/>
      <c r="FUF91" s="609"/>
      <c r="FUG91" s="609"/>
      <c r="FUH91" s="609"/>
      <c r="FUI91" s="609"/>
      <c r="FUJ91" s="609"/>
      <c r="FUK91" s="609"/>
      <c r="FUL91" s="609"/>
      <c r="FUM91" s="609"/>
      <c r="FUN91" s="609"/>
      <c r="FUO91" s="609"/>
      <c r="FUP91" s="609"/>
      <c r="FUQ91" s="609"/>
      <c r="FUR91" s="609"/>
      <c r="FUS91" s="609"/>
      <c r="FUT91" s="609"/>
      <c r="FUU91" s="609"/>
      <c r="FUV91" s="609"/>
      <c r="FUW91" s="609"/>
      <c r="FUX91" s="609"/>
      <c r="FUY91" s="609"/>
      <c r="FUZ91" s="609"/>
      <c r="FVA91" s="609"/>
      <c r="FVB91" s="609"/>
      <c r="FVC91" s="609"/>
      <c r="FVD91" s="609"/>
      <c r="FVE91" s="609"/>
      <c r="FVF91" s="609"/>
      <c r="FVG91" s="609"/>
      <c r="FVH91" s="609"/>
      <c r="FVI91" s="609"/>
      <c r="FVJ91" s="609"/>
      <c r="FVK91" s="609"/>
      <c r="FVL91" s="609"/>
      <c r="FVM91" s="609"/>
      <c r="FVN91" s="609"/>
      <c r="FVO91" s="609"/>
      <c r="FVP91" s="609"/>
      <c r="FVQ91" s="609"/>
      <c r="FVR91" s="609"/>
      <c r="FVS91" s="609"/>
      <c r="FVT91" s="609"/>
      <c r="FVU91" s="609"/>
      <c r="FVV91" s="609"/>
      <c r="FVW91" s="609"/>
      <c r="FVX91" s="609"/>
      <c r="FVY91" s="609"/>
      <c r="FVZ91" s="609"/>
      <c r="FWA91" s="609"/>
      <c r="FWB91" s="609"/>
      <c r="FWC91" s="609"/>
      <c r="FWD91" s="609"/>
      <c r="FWE91" s="609"/>
      <c r="FWF91" s="609"/>
      <c r="FWG91" s="609"/>
      <c r="FWH91" s="609"/>
      <c r="FWI91" s="609"/>
      <c r="FWJ91" s="609"/>
      <c r="FWK91" s="609"/>
      <c r="FWL91" s="609"/>
      <c r="FWM91" s="609"/>
      <c r="FWN91" s="609"/>
      <c r="FWO91" s="609"/>
      <c r="FWP91" s="609"/>
      <c r="FWQ91" s="609"/>
      <c r="FWR91" s="609"/>
      <c r="FWS91" s="609"/>
      <c r="FWT91" s="609"/>
      <c r="FWU91" s="609"/>
      <c r="FWV91" s="609"/>
      <c r="FWW91" s="609"/>
      <c r="FWX91" s="609"/>
      <c r="FWY91" s="609"/>
      <c r="FWZ91" s="609"/>
      <c r="FXA91" s="609"/>
      <c r="FXB91" s="609"/>
      <c r="FXC91" s="609"/>
      <c r="FXD91" s="609"/>
      <c r="FXE91" s="609"/>
      <c r="FXF91" s="609"/>
      <c r="FXG91" s="609"/>
      <c r="FXH91" s="609"/>
      <c r="FXI91" s="609"/>
      <c r="FXJ91" s="609"/>
      <c r="FXK91" s="609"/>
      <c r="FXL91" s="609"/>
      <c r="FXM91" s="609"/>
      <c r="FXN91" s="609"/>
      <c r="FXO91" s="609"/>
      <c r="FXP91" s="609"/>
      <c r="FXQ91" s="609"/>
      <c r="FXR91" s="609"/>
      <c r="FXS91" s="609"/>
      <c r="FXT91" s="609"/>
      <c r="FXU91" s="609"/>
      <c r="FXV91" s="609"/>
      <c r="FXW91" s="609"/>
      <c r="FXX91" s="609"/>
      <c r="FXY91" s="609"/>
      <c r="FXZ91" s="609"/>
      <c r="FYA91" s="609"/>
      <c r="FYB91" s="609"/>
      <c r="FYC91" s="609"/>
      <c r="FYD91" s="609"/>
      <c r="FYE91" s="609"/>
      <c r="FYF91" s="609"/>
      <c r="FYG91" s="609"/>
      <c r="FYH91" s="609"/>
      <c r="FYI91" s="609"/>
      <c r="FYJ91" s="609"/>
      <c r="FYK91" s="609"/>
      <c r="FYL91" s="609"/>
      <c r="FYM91" s="609"/>
      <c r="FYN91" s="609"/>
      <c r="FYO91" s="609"/>
      <c r="FYP91" s="609"/>
      <c r="FYQ91" s="609"/>
      <c r="FYR91" s="609"/>
      <c r="FYS91" s="609"/>
      <c r="FYT91" s="609"/>
      <c r="FYU91" s="609"/>
      <c r="FYV91" s="609"/>
      <c r="FYW91" s="609"/>
      <c r="FYX91" s="609"/>
      <c r="FYY91" s="609"/>
      <c r="FYZ91" s="609"/>
      <c r="FZA91" s="609"/>
      <c r="FZB91" s="609"/>
      <c r="FZC91" s="609"/>
      <c r="FZD91" s="609"/>
      <c r="FZE91" s="609"/>
      <c r="FZF91" s="609"/>
      <c r="FZG91" s="609"/>
      <c r="FZH91" s="609"/>
      <c r="FZI91" s="609"/>
      <c r="FZJ91" s="609"/>
      <c r="FZK91" s="609"/>
      <c r="FZL91" s="609"/>
      <c r="FZM91" s="609"/>
      <c r="FZN91" s="609"/>
      <c r="FZO91" s="609"/>
      <c r="FZP91" s="609"/>
      <c r="FZQ91" s="609"/>
      <c r="FZR91" s="609"/>
      <c r="FZS91" s="609"/>
      <c r="FZT91" s="609"/>
      <c r="FZU91" s="609"/>
      <c r="FZV91" s="609"/>
      <c r="FZW91" s="609"/>
      <c r="FZX91" s="609"/>
      <c r="FZY91" s="609"/>
      <c r="FZZ91" s="609"/>
      <c r="GAA91" s="609"/>
      <c r="GAB91" s="609"/>
      <c r="GAC91" s="609"/>
      <c r="GAD91" s="609"/>
      <c r="GAE91" s="609"/>
      <c r="GAF91" s="609"/>
      <c r="GAG91" s="609"/>
      <c r="GAH91" s="609"/>
      <c r="GAI91" s="609"/>
      <c r="GAJ91" s="609"/>
      <c r="GAK91" s="609"/>
      <c r="GAL91" s="609"/>
      <c r="GAM91" s="609"/>
      <c r="GAN91" s="609"/>
      <c r="GAO91" s="609"/>
      <c r="GAP91" s="609"/>
      <c r="GAQ91" s="609"/>
      <c r="GAR91" s="609"/>
      <c r="GAS91" s="609"/>
      <c r="GAT91" s="609"/>
      <c r="GAU91" s="609"/>
      <c r="GAV91" s="609"/>
      <c r="GAW91" s="609"/>
      <c r="GAX91" s="609"/>
      <c r="GAY91" s="609"/>
      <c r="GAZ91" s="609"/>
      <c r="GBA91" s="609"/>
      <c r="GBB91" s="609"/>
      <c r="GBC91" s="609"/>
      <c r="GBD91" s="609"/>
      <c r="GBE91" s="609"/>
      <c r="GBF91" s="609"/>
      <c r="GBG91" s="609"/>
      <c r="GBH91" s="609"/>
      <c r="GBI91" s="609"/>
      <c r="GBJ91" s="609"/>
      <c r="GBK91" s="609"/>
      <c r="GBL91" s="609"/>
      <c r="GBM91" s="609"/>
      <c r="GBN91" s="609"/>
      <c r="GBO91" s="609"/>
      <c r="GBP91" s="609"/>
      <c r="GBQ91" s="609"/>
      <c r="GBR91" s="609"/>
      <c r="GBS91" s="609"/>
      <c r="GBT91" s="609"/>
      <c r="GBU91" s="609"/>
      <c r="GBV91" s="609"/>
      <c r="GBW91" s="609"/>
      <c r="GBX91" s="609"/>
      <c r="GBY91" s="609"/>
      <c r="GBZ91" s="609"/>
      <c r="GCA91" s="609"/>
      <c r="GCB91" s="609"/>
      <c r="GCC91" s="609"/>
      <c r="GCD91" s="609"/>
      <c r="GCE91" s="609"/>
      <c r="GCF91" s="609"/>
      <c r="GCG91" s="609"/>
      <c r="GCH91" s="609"/>
      <c r="GCI91" s="609"/>
      <c r="GCJ91" s="609"/>
      <c r="GCK91" s="609"/>
      <c r="GCL91" s="609"/>
      <c r="GCM91" s="609"/>
      <c r="GCN91" s="609"/>
      <c r="GCO91" s="609"/>
      <c r="GCP91" s="609"/>
      <c r="GCQ91" s="609"/>
      <c r="GCR91" s="609"/>
      <c r="GCS91" s="609"/>
      <c r="GCT91" s="609"/>
      <c r="GCU91" s="609"/>
      <c r="GCV91" s="609"/>
      <c r="GCW91" s="609"/>
      <c r="GCX91" s="609"/>
      <c r="GCY91" s="609"/>
      <c r="GCZ91" s="609"/>
      <c r="GDA91" s="609"/>
      <c r="GDB91" s="609"/>
      <c r="GDC91" s="609"/>
      <c r="GDD91" s="609"/>
      <c r="GDE91" s="609"/>
      <c r="GDF91" s="609"/>
      <c r="GDG91" s="609"/>
      <c r="GDH91" s="609"/>
      <c r="GDI91" s="609"/>
      <c r="GDJ91" s="609"/>
      <c r="GDK91" s="609"/>
      <c r="GDL91" s="609"/>
      <c r="GDM91" s="609"/>
      <c r="GDN91" s="609"/>
      <c r="GDO91" s="609"/>
      <c r="GDP91" s="609"/>
      <c r="GDQ91" s="609"/>
      <c r="GDR91" s="609"/>
      <c r="GDS91" s="609"/>
      <c r="GDT91" s="609"/>
      <c r="GDU91" s="609"/>
      <c r="GDV91" s="609"/>
      <c r="GDW91" s="609"/>
      <c r="GDX91" s="609"/>
      <c r="GDY91" s="609"/>
      <c r="GDZ91" s="609"/>
      <c r="GEA91" s="609"/>
      <c r="GEB91" s="609"/>
      <c r="GEC91" s="609"/>
      <c r="GED91" s="609"/>
      <c r="GEE91" s="609"/>
      <c r="GEF91" s="609"/>
      <c r="GEG91" s="609"/>
      <c r="GEH91" s="609"/>
      <c r="GEI91" s="609"/>
      <c r="GEJ91" s="609"/>
      <c r="GEK91" s="609"/>
      <c r="GEL91" s="609"/>
      <c r="GEM91" s="609"/>
      <c r="GEN91" s="609"/>
      <c r="GEO91" s="609"/>
      <c r="GEP91" s="609"/>
      <c r="GEQ91" s="609"/>
      <c r="GER91" s="609"/>
      <c r="GES91" s="609"/>
      <c r="GET91" s="609"/>
      <c r="GEU91" s="609"/>
      <c r="GEV91" s="609"/>
      <c r="GEW91" s="609"/>
      <c r="GEX91" s="609"/>
      <c r="GEY91" s="609"/>
      <c r="GEZ91" s="609"/>
      <c r="GFA91" s="609"/>
      <c r="GFB91" s="609"/>
      <c r="GFC91" s="609"/>
      <c r="GFD91" s="609"/>
      <c r="GFE91" s="609"/>
      <c r="GFF91" s="609"/>
      <c r="GFG91" s="609"/>
      <c r="GFH91" s="609"/>
      <c r="GFI91" s="609"/>
      <c r="GFJ91" s="609"/>
      <c r="GFK91" s="609"/>
      <c r="GFL91" s="609"/>
      <c r="GFM91" s="609"/>
      <c r="GFN91" s="609"/>
      <c r="GFO91" s="609"/>
      <c r="GFP91" s="609"/>
      <c r="GFQ91" s="609"/>
      <c r="GFR91" s="609"/>
      <c r="GFS91" s="609"/>
      <c r="GFT91" s="609"/>
      <c r="GFU91" s="609"/>
      <c r="GFV91" s="609"/>
      <c r="GFW91" s="609"/>
      <c r="GFX91" s="609"/>
      <c r="GFY91" s="609"/>
      <c r="GFZ91" s="609"/>
      <c r="GGA91" s="609"/>
      <c r="GGB91" s="609"/>
      <c r="GGC91" s="609"/>
      <c r="GGD91" s="609"/>
      <c r="GGE91" s="609"/>
      <c r="GGF91" s="609"/>
      <c r="GGG91" s="609"/>
      <c r="GGH91" s="609"/>
      <c r="GGI91" s="609"/>
      <c r="GGJ91" s="609"/>
      <c r="GGK91" s="609"/>
      <c r="GGL91" s="609"/>
      <c r="GGM91" s="609"/>
      <c r="GGN91" s="609"/>
      <c r="GGO91" s="609"/>
      <c r="GGP91" s="609"/>
      <c r="GGQ91" s="609"/>
      <c r="GGR91" s="609"/>
      <c r="GGS91" s="609"/>
      <c r="GGT91" s="609"/>
      <c r="GGU91" s="609"/>
      <c r="GGV91" s="609"/>
      <c r="GGW91" s="609"/>
      <c r="GGX91" s="609"/>
      <c r="GGY91" s="609"/>
      <c r="GGZ91" s="609"/>
      <c r="GHA91" s="609"/>
      <c r="GHB91" s="609"/>
      <c r="GHC91" s="609"/>
      <c r="GHD91" s="609"/>
      <c r="GHE91" s="609"/>
      <c r="GHF91" s="609"/>
      <c r="GHG91" s="609"/>
      <c r="GHH91" s="609"/>
      <c r="GHI91" s="609"/>
      <c r="GHJ91" s="609"/>
      <c r="GHK91" s="609"/>
      <c r="GHL91" s="609"/>
      <c r="GHM91" s="609"/>
      <c r="GHN91" s="609"/>
      <c r="GHO91" s="609"/>
      <c r="GHP91" s="609"/>
      <c r="GHQ91" s="609"/>
      <c r="GHR91" s="609"/>
      <c r="GHS91" s="609"/>
      <c r="GHT91" s="609"/>
      <c r="GHU91" s="609"/>
      <c r="GHV91" s="609"/>
      <c r="GHW91" s="609"/>
      <c r="GHX91" s="609"/>
      <c r="GHY91" s="609"/>
      <c r="GHZ91" s="609"/>
      <c r="GIA91" s="609"/>
      <c r="GIB91" s="609"/>
      <c r="GIC91" s="609"/>
      <c r="GID91" s="609"/>
      <c r="GIE91" s="609"/>
      <c r="GIF91" s="609"/>
      <c r="GIG91" s="609"/>
      <c r="GIH91" s="609"/>
      <c r="GII91" s="609"/>
      <c r="GIJ91" s="609"/>
      <c r="GIK91" s="609"/>
      <c r="GIL91" s="609"/>
      <c r="GIM91" s="609"/>
      <c r="GIN91" s="609"/>
      <c r="GIO91" s="609"/>
      <c r="GIP91" s="609"/>
      <c r="GIQ91" s="609"/>
      <c r="GIR91" s="609"/>
      <c r="GIS91" s="609"/>
      <c r="GIT91" s="609"/>
      <c r="GIU91" s="609"/>
      <c r="GIV91" s="609"/>
      <c r="GIW91" s="609"/>
      <c r="GIX91" s="609"/>
      <c r="GIY91" s="609"/>
      <c r="GIZ91" s="609"/>
      <c r="GJA91" s="609"/>
      <c r="GJB91" s="609"/>
      <c r="GJC91" s="609"/>
      <c r="GJD91" s="609"/>
      <c r="GJE91" s="609"/>
      <c r="GJF91" s="609"/>
      <c r="GJG91" s="609"/>
      <c r="GJH91" s="609"/>
      <c r="GJI91" s="609"/>
      <c r="GJJ91" s="609"/>
      <c r="GJK91" s="609"/>
      <c r="GJL91" s="609"/>
      <c r="GJM91" s="609"/>
      <c r="GJN91" s="609"/>
      <c r="GJO91" s="609"/>
      <c r="GJP91" s="609"/>
      <c r="GJQ91" s="609"/>
      <c r="GJR91" s="609"/>
      <c r="GJS91" s="609"/>
      <c r="GJT91" s="609"/>
      <c r="GJU91" s="609"/>
      <c r="GJV91" s="609"/>
      <c r="GJW91" s="609"/>
      <c r="GJX91" s="609"/>
      <c r="GJY91" s="609"/>
      <c r="GJZ91" s="609"/>
      <c r="GKA91" s="609"/>
      <c r="GKB91" s="609"/>
      <c r="GKC91" s="609"/>
      <c r="GKD91" s="609"/>
      <c r="GKE91" s="609"/>
      <c r="GKF91" s="609"/>
      <c r="GKG91" s="609"/>
      <c r="GKH91" s="609"/>
      <c r="GKI91" s="609"/>
      <c r="GKJ91" s="609"/>
      <c r="GKK91" s="609"/>
      <c r="GKL91" s="609"/>
      <c r="GKM91" s="609"/>
      <c r="GKN91" s="609"/>
      <c r="GKO91" s="609"/>
      <c r="GKP91" s="609"/>
      <c r="GKQ91" s="609"/>
      <c r="GKR91" s="609"/>
      <c r="GKS91" s="609"/>
      <c r="GKT91" s="609"/>
      <c r="GKU91" s="609"/>
      <c r="GKV91" s="609"/>
      <c r="GKW91" s="609"/>
      <c r="GKX91" s="609"/>
      <c r="GKY91" s="609"/>
      <c r="GKZ91" s="609"/>
      <c r="GLA91" s="609"/>
      <c r="GLB91" s="609"/>
      <c r="GLC91" s="609"/>
      <c r="GLD91" s="609"/>
      <c r="GLE91" s="609"/>
      <c r="GLF91" s="609"/>
      <c r="GLG91" s="609"/>
      <c r="GLH91" s="609"/>
      <c r="GLI91" s="609"/>
      <c r="GLJ91" s="609"/>
      <c r="GLK91" s="609"/>
      <c r="GLL91" s="609"/>
      <c r="GLM91" s="609"/>
      <c r="GLN91" s="609"/>
      <c r="GLO91" s="609"/>
      <c r="GLP91" s="609"/>
      <c r="GLQ91" s="609"/>
      <c r="GLR91" s="609"/>
      <c r="GLS91" s="609"/>
      <c r="GLT91" s="609"/>
      <c r="GLU91" s="609"/>
      <c r="GLV91" s="609"/>
      <c r="GLW91" s="609"/>
      <c r="GLX91" s="609"/>
      <c r="GLY91" s="609"/>
      <c r="GLZ91" s="609"/>
      <c r="GMA91" s="609"/>
      <c r="GMB91" s="609"/>
      <c r="GMC91" s="609"/>
      <c r="GMD91" s="609"/>
      <c r="GME91" s="609"/>
      <c r="GMF91" s="609"/>
      <c r="GMG91" s="609"/>
      <c r="GMH91" s="609"/>
      <c r="GMI91" s="609"/>
      <c r="GMJ91" s="609"/>
      <c r="GMK91" s="609"/>
      <c r="GML91" s="609"/>
      <c r="GMM91" s="609"/>
      <c r="GMN91" s="609"/>
      <c r="GMO91" s="609"/>
      <c r="GMP91" s="609"/>
      <c r="GMQ91" s="609"/>
      <c r="GMR91" s="609"/>
      <c r="GMS91" s="609"/>
      <c r="GMT91" s="609"/>
      <c r="GMU91" s="609"/>
      <c r="GMV91" s="609"/>
      <c r="GMW91" s="609"/>
      <c r="GMX91" s="609"/>
      <c r="GMY91" s="609"/>
      <c r="GMZ91" s="609"/>
      <c r="GNA91" s="609"/>
      <c r="GNB91" s="609"/>
      <c r="GNC91" s="609"/>
      <c r="GND91" s="609"/>
      <c r="GNE91" s="609"/>
      <c r="GNF91" s="609"/>
      <c r="GNG91" s="609"/>
      <c r="GNH91" s="609"/>
      <c r="GNI91" s="609"/>
      <c r="GNJ91" s="609"/>
      <c r="GNK91" s="609"/>
      <c r="GNL91" s="609"/>
      <c r="GNM91" s="609"/>
      <c r="GNN91" s="609"/>
      <c r="GNO91" s="609"/>
      <c r="GNP91" s="609"/>
      <c r="GNQ91" s="609"/>
      <c r="GNR91" s="609"/>
      <c r="GNS91" s="609"/>
      <c r="GNT91" s="609"/>
      <c r="GNU91" s="609"/>
      <c r="GNV91" s="609"/>
      <c r="GNW91" s="609"/>
      <c r="GNX91" s="609"/>
      <c r="GNY91" s="609"/>
      <c r="GNZ91" s="609"/>
      <c r="GOA91" s="609"/>
      <c r="GOB91" s="609"/>
      <c r="GOC91" s="609"/>
      <c r="GOD91" s="609"/>
      <c r="GOE91" s="609"/>
      <c r="GOF91" s="609"/>
      <c r="GOG91" s="609"/>
      <c r="GOH91" s="609"/>
      <c r="GOI91" s="609"/>
      <c r="GOJ91" s="609"/>
      <c r="GOK91" s="609"/>
      <c r="GOL91" s="609"/>
      <c r="GOM91" s="609"/>
      <c r="GON91" s="609"/>
      <c r="GOO91" s="609"/>
      <c r="GOP91" s="609"/>
      <c r="GOQ91" s="609"/>
      <c r="GOR91" s="609"/>
      <c r="GOS91" s="609"/>
      <c r="GOT91" s="609"/>
      <c r="GOU91" s="609"/>
      <c r="GOV91" s="609"/>
      <c r="GOW91" s="609"/>
      <c r="GOX91" s="609"/>
      <c r="GOY91" s="609"/>
      <c r="GOZ91" s="609"/>
      <c r="GPA91" s="609"/>
      <c r="GPB91" s="609"/>
      <c r="GPC91" s="609"/>
      <c r="GPD91" s="609"/>
      <c r="GPE91" s="609"/>
      <c r="GPF91" s="609"/>
      <c r="GPG91" s="609"/>
      <c r="GPH91" s="609"/>
      <c r="GPI91" s="609"/>
      <c r="GPJ91" s="609"/>
      <c r="GPK91" s="609"/>
      <c r="GPL91" s="609"/>
      <c r="GPM91" s="609"/>
      <c r="GPN91" s="609"/>
      <c r="GPO91" s="609"/>
      <c r="GPP91" s="609"/>
      <c r="GPQ91" s="609"/>
      <c r="GPR91" s="609"/>
      <c r="GPS91" s="609"/>
      <c r="GPT91" s="609"/>
      <c r="GPU91" s="609"/>
      <c r="GPV91" s="609"/>
      <c r="GPW91" s="609"/>
      <c r="GPX91" s="609"/>
      <c r="GPY91" s="609"/>
      <c r="GPZ91" s="609"/>
      <c r="GQA91" s="609"/>
      <c r="GQB91" s="609"/>
      <c r="GQC91" s="609"/>
      <c r="GQD91" s="609"/>
      <c r="GQE91" s="609"/>
      <c r="GQF91" s="609"/>
      <c r="GQG91" s="609"/>
      <c r="GQH91" s="609"/>
      <c r="GQI91" s="609"/>
      <c r="GQJ91" s="609"/>
      <c r="GQK91" s="609"/>
      <c r="GQL91" s="609"/>
      <c r="GQM91" s="609"/>
      <c r="GQN91" s="609"/>
      <c r="GQO91" s="609"/>
      <c r="GQP91" s="609"/>
      <c r="GQQ91" s="609"/>
      <c r="GQR91" s="609"/>
      <c r="GQS91" s="609"/>
      <c r="GQT91" s="609"/>
      <c r="GQU91" s="609"/>
      <c r="GQV91" s="609"/>
      <c r="GQW91" s="609"/>
      <c r="GQX91" s="609"/>
      <c r="GQY91" s="609"/>
      <c r="GQZ91" s="609"/>
      <c r="GRA91" s="609"/>
      <c r="GRB91" s="609"/>
      <c r="GRC91" s="609"/>
      <c r="GRD91" s="609"/>
      <c r="GRE91" s="609"/>
      <c r="GRF91" s="609"/>
      <c r="GRG91" s="609"/>
      <c r="GRH91" s="609"/>
      <c r="GRI91" s="609"/>
      <c r="GRJ91" s="609"/>
      <c r="GRK91" s="609"/>
      <c r="GRL91" s="609"/>
      <c r="GRM91" s="609"/>
      <c r="GRN91" s="609"/>
      <c r="GRO91" s="609"/>
      <c r="GRP91" s="609"/>
      <c r="GRQ91" s="609"/>
      <c r="GRR91" s="609"/>
      <c r="GRS91" s="609"/>
      <c r="GRT91" s="609"/>
      <c r="GRU91" s="609"/>
      <c r="GRV91" s="609"/>
      <c r="GRW91" s="609"/>
      <c r="GRX91" s="609"/>
      <c r="GRY91" s="609"/>
      <c r="GRZ91" s="609"/>
      <c r="GSA91" s="609"/>
      <c r="GSB91" s="609"/>
      <c r="GSC91" s="609"/>
      <c r="GSD91" s="609"/>
      <c r="GSE91" s="609"/>
      <c r="GSF91" s="609"/>
      <c r="GSG91" s="609"/>
      <c r="GSH91" s="609"/>
      <c r="GSI91" s="609"/>
      <c r="GSJ91" s="609"/>
      <c r="GSK91" s="609"/>
      <c r="GSL91" s="609"/>
      <c r="GSM91" s="609"/>
      <c r="GSN91" s="609"/>
      <c r="GSO91" s="609"/>
      <c r="GSP91" s="609"/>
      <c r="GSQ91" s="609"/>
      <c r="GSR91" s="609"/>
      <c r="GSS91" s="609"/>
      <c r="GST91" s="609"/>
      <c r="GSU91" s="609"/>
      <c r="GSV91" s="609"/>
      <c r="GSW91" s="609"/>
      <c r="GSX91" s="609"/>
      <c r="GSY91" s="609"/>
      <c r="GSZ91" s="609"/>
      <c r="GTA91" s="609"/>
      <c r="GTB91" s="609"/>
      <c r="GTC91" s="609"/>
      <c r="GTD91" s="609"/>
      <c r="GTE91" s="609"/>
      <c r="GTF91" s="609"/>
      <c r="GTG91" s="609"/>
      <c r="GTH91" s="609"/>
      <c r="GTI91" s="609"/>
      <c r="GTJ91" s="609"/>
      <c r="GTK91" s="609"/>
      <c r="GTL91" s="609"/>
      <c r="GTM91" s="609"/>
      <c r="GTN91" s="609"/>
      <c r="GTO91" s="609"/>
      <c r="GTP91" s="609"/>
      <c r="GTQ91" s="609"/>
      <c r="GTR91" s="609"/>
      <c r="GTS91" s="609"/>
      <c r="GTT91" s="609"/>
      <c r="GTU91" s="609"/>
      <c r="GTV91" s="609"/>
      <c r="GTW91" s="609"/>
      <c r="GTX91" s="609"/>
      <c r="GTY91" s="609"/>
      <c r="GTZ91" s="609"/>
      <c r="GUA91" s="609"/>
      <c r="GUB91" s="609"/>
      <c r="GUC91" s="609"/>
      <c r="GUD91" s="609"/>
      <c r="GUE91" s="609"/>
      <c r="GUF91" s="609"/>
      <c r="GUG91" s="609"/>
      <c r="GUH91" s="609"/>
      <c r="GUI91" s="609"/>
      <c r="GUJ91" s="609"/>
      <c r="GUK91" s="609"/>
      <c r="GUL91" s="609"/>
      <c r="GUM91" s="609"/>
      <c r="GUN91" s="609"/>
      <c r="GUO91" s="609"/>
      <c r="GUP91" s="609"/>
      <c r="GUQ91" s="609"/>
      <c r="GUR91" s="609"/>
      <c r="GUS91" s="609"/>
      <c r="GUT91" s="609"/>
      <c r="GUU91" s="609"/>
      <c r="GUV91" s="609"/>
      <c r="GUW91" s="609"/>
      <c r="GUX91" s="609"/>
      <c r="GUY91" s="609"/>
      <c r="GUZ91" s="609"/>
      <c r="GVA91" s="609"/>
      <c r="GVB91" s="609"/>
      <c r="GVC91" s="609"/>
      <c r="GVD91" s="609"/>
      <c r="GVE91" s="609"/>
      <c r="GVF91" s="609"/>
      <c r="GVG91" s="609"/>
      <c r="GVH91" s="609"/>
      <c r="GVI91" s="609"/>
      <c r="GVJ91" s="609"/>
      <c r="GVK91" s="609"/>
      <c r="GVL91" s="609"/>
      <c r="GVM91" s="609"/>
      <c r="GVN91" s="609"/>
      <c r="GVO91" s="609"/>
      <c r="GVP91" s="609"/>
      <c r="GVQ91" s="609"/>
      <c r="GVR91" s="609"/>
      <c r="GVS91" s="609"/>
      <c r="GVT91" s="609"/>
      <c r="GVU91" s="609"/>
      <c r="GVV91" s="609"/>
      <c r="GVW91" s="609"/>
      <c r="GVX91" s="609"/>
      <c r="GVY91" s="609"/>
      <c r="GVZ91" s="609"/>
      <c r="GWA91" s="609"/>
      <c r="GWB91" s="609"/>
      <c r="GWC91" s="609"/>
      <c r="GWD91" s="609"/>
      <c r="GWE91" s="609"/>
      <c r="GWF91" s="609"/>
      <c r="GWG91" s="609"/>
      <c r="GWH91" s="609"/>
      <c r="GWI91" s="609"/>
      <c r="GWJ91" s="609"/>
      <c r="GWK91" s="609"/>
      <c r="GWL91" s="609"/>
      <c r="GWM91" s="609"/>
      <c r="GWN91" s="609"/>
      <c r="GWO91" s="609"/>
      <c r="GWP91" s="609"/>
      <c r="GWQ91" s="609"/>
      <c r="GWR91" s="609"/>
      <c r="GWS91" s="609"/>
      <c r="GWT91" s="609"/>
      <c r="GWU91" s="609"/>
      <c r="GWV91" s="609"/>
      <c r="GWW91" s="609"/>
      <c r="GWX91" s="609"/>
      <c r="GWY91" s="609"/>
      <c r="GWZ91" s="609"/>
      <c r="GXA91" s="609"/>
      <c r="GXB91" s="609"/>
      <c r="GXC91" s="609"/>
      <c r="GXD91" s="609"/>
      <c r="GXE91" s="609"/>
      <c r="GXF91" s="609"/>
      <c r="GXG91" s="609"/>
      <c r="GXH91" s="609"/>
      <c r="GXI91" s="609"/>
      <c r="GXJ91" s="609"/>
      <c r="GXK91" s="609"/>
      <c r="GXL91" s="609"/>
      <c r="GXM91" s="609"/>
      <c r="GXN91" s="609"/>
      <c r="GXO91" s="609"/>
      <c r="GXP91" s="609"/>
      <c r="GXQ91" s="609"/>
      <c r="GXR91" s="609"/>
      <c r="GXS91" s="609"/>
      <c r="GXT91" s="609"/>
      <c r="GXU91" s="609"/>
      <c r="GXV91" s="609"/>
      <c r="GXW91" s="609"/>
      <c r="GXX91" s="609"/>
      <c r="GXY91" s="609"/>
      <c r="GXZ91" s="609"/>
      <c r="GYA91" s="609"/>
      <c r="GYB91" s="609"/>
      <c r="GYC91" s="609"/>
      <c r="GYD91" s="609"/>
      <c r="GYE91" s="609"/>
      <c r="GYF91" s="609"/>
      <c r="GYG91" s="609"/>
      <c r="GYH91" s="609"/>
      <c r="GYI91" s="609"/>
      <c r="GYJ91" s="609"/>
      <c r="GYK91" s="609"/>
      <c r="GYL91" s="609"/>
      <c r="GYM91" s="609"/>
      <c r="GYN91" s="609"/>
      <c r="GYO91" s="609"/>
      <c r="GYP91" s="609"/>
      <c r="GYQ91" s="609"/>
      <c r="GYR91" s="609"/>
      <c r="GYS91" s="609"/>
      <c r="GYT91" s="609"/>
      <c r="GYU91" s="609"/>
      <c r="GYV91" s="609"/>
      <c r="GYW91" s="609"/>
      <c r="GYX91" s="609"/>
      <c r="GYY91" s="609"/>
      <c r="GYZ91" s="609"/>
      <c r="GZA91" s="609"/>
      <c r="GZB91" s="609"/>
      <c r="GZC91" s="609"/>
      <c r="GZD91" s="609"/>
      <c r="GZE91" s="609"/>
      <c r="GZF91" s="609"/>
      <c r="GZG91" s="609"/>
      <c r="GZH91" s="609"/>
      <c r="GZI91" s="609"/>
      <c r="GZJ91" s="609"/>
      <c r="GZK91" s="609"/>
      <c r="GZL91" s="609"/>
      <c r="GZM91" s="609"/>
      <c r="GZN91" s="609"/>
      <c r="GZO91" s="609"/>
      <c r="GZP91" s="609"/>
      <c r="GZQ91" s="609"/>
      <c r="GZR91" s="609"/>
      <c r="GZS91" s="609"/>
      <c r="GZT91" s="609"/>
      <c r="GZU91" s="609"/>
      <c r="GZV91" s="609"/>
      <c r="GZW91" s="609"/>
      <c r="GZX91" s="609"/>
      <c r="GZY91" s="609"/>
      <c r="GZZ91" s="609"/>
      <c r="HAA91" s="609"/>
      <c r="HAB91" s="609"/>
      <c r="HAC91" s="609"/>
      <c r="HAD91" s="609"/>
      <c r="HAE91" s="609"/>
      <c r="HAF91" s="609"/>
      <c r="HAG91" s="609"/>
      <c r="HAH91" s="609"/>
      <c r="HAI91" s="609"/>
      <c r="HAJ91" s="609"/>
      <c r="HAK91" s="609"/>
      <c r="HAL91" s="609"/>
      <c r="HAM91" s="609"/>
      <c r="HAN91" s="609"/>
      <c r="HAO91" s="609"/>
      <c r="HAP91" s="609"/>
      <c r="HAQ91" s="609"/>
      <c r="HAR91" s="609"/>
      <c r="HAS91" s="609"/>
      <c r="HAT91" s="609"/>
      <c r="HAU91" s="609"/>
      <c r="HAV91" s="609"/>
      <c r="HAW91" s="609"/>
      <c r="HAX91" s="609"/>
      <c r="HAY91" s="609"/>
      <c r="HAZ91" s="609"/>
      <c r="HBA91" s="609"/>
      <c r="HBB91" s="609"/>
      <c r="HBC91" s="609"/>
      <c r="HBD91" s="609"/>
      <c r="HBE91" s="609"/>
      <c r="HBF91" s="609"/>
      <c r="HBG91" s="609"/>
      <c r="HBH91" s="609"/>
      <c r="HBI91" s="609"/>
      <c r="HBJ91" s="609"/>
      <c r="HBK91" s="609"/>
      <c r="HBL91" s="609"/>
      <c r="HBM91" s="609"/>
      <c r="HBN91" s="609"/>
      <c r="HBO91" s="609"/>
      <c r="HBP91" s="609"/>
      <c r="HBQ91" s="609"/>
      <c r="HBR91" s="609"/>
      <c r="HBS91" s="609"/>
      <c r="HBT91" s="609"/>
      <c r="HBU91" s="609"/>
      <c r="HBV91" s="609"/>
      <c r="HBW91" s="609"/>
      <c r="HBX91" s="609"/>
      <c r="HBY91" s="609"/>
      <c r="HBZ91" s="609"/>
      <c r="HCA91" s="609"/>
      <c r="HCB91" s="609"/>
      <c r="HCC91" s="609"/>
      <c r="HCD91" s="609"/>
      <c r="HCE91" s="609"/>
      <c r="HCF91" s="609"/>
      <c r="HCG91" s="609"/>
      <c r="HCH91" s="609"/>
      <c r="HCI91" s="609"/>
      <c r="HCJ91" s="609"/>
      <c r="HCK91" s="609"/>
      <c r="HCL91" s="609"/>
      <c r="HCM91" s="609"/>
      <c r="HCN91" s="609"/>
      <c r="HCO91" s="609"/>
      <c r="HCP91" s="609"/>
      <c r="HCQ91" s="609"/>
      <c r="HCR91" s="609"/>
      <c r="HCS91" s="609"/>
      <c r="HCT91" s="609"/>
      <c r="HCU91" s="609"/>
      <c r="HCV91" s="609"/>
      <c r="HCW91" s="609"/>
      <c r="HCX91" s="609"/>
      <c r="HCY91" s="609"/>
      <c r="HCZ91" s="609"/>
      <c r="HDA91" s="609"/>
      <c r="HDB91" s="609"/>
      <c r="HDC91" s="609"/>
      <c r="HDD91" s="609"/>
      <c r="HDE91" s="609"/>
      <c r="HDF91" s="609"/>
      <c r="HDG91" s="609"/>
      <c r="HDH91" s="609"/>
      <c r="HDI91" s="609"/>
      <c r="HDJ91" s="609"/>
      <c r="HDK91" s="609"/>
      <c r="HDL91" s="609"/>
      <c r="HDM91" s="609"/>
      <c r="HDN91" s="609"/>
      <c r="HDO91" s="609"/>
      <c r="HDP91" s="609"/>
      <c r="HDQ91" s="609"/>
      <c r="HDR91" s="609"/>
      <c r="HDS91" s="609"/>
      <c r="HDT91" s="609"/>
      <c r="HDU91" s="609"/>
      <c r="HDV91" s="609"/>
      <c r="HDW91" s="609"/>
      <c r="HDX91" s="609"/>
      <c r="HDY91" s="609"/>
      <c r="HDZ91" s="609"/>
      <c r="HEA91" s="609"/>
      <c r="HEB91" s="609"/>
      <c r="HEC91" s="609"/>
      <c r="HED91" s="609"/>
      <c r="HEE91" s="609"/>
      <c r="HEF91" s="609"/>
      <c r="HEG91" s="609"/>
      <c r="HEH91" s="609"/>
      <c r="HEI91" s="609"/>
      <c r="HEJ91" s="609"/>
      <c r="HEK91" s="609"/>
      <c r="HEL91" s="609"/>
      <c r="HEM91" s="609"/>
      <c r="HEN91" s="609"/>
      <c r="HEO91" s="609"/>
      <c r="HEP91" s="609"/>
      <c r="HEQ91" s="609"/>
      <c r="HER91" s="609"/>
      <c r="HES91" s="609"/>
      <c r="HET91" s="609"/>
      <c r="HEU91" s="609"/>
      <c r="HEV91" s="609"/>
      <c r="HEW91" s="609"/>
      <c r="HEX91" s="609"/>
      <c r="HEY91" s="609"/>
      <c r="HEZ91" s="609"/>
      <c r="HFA91" s="609"/>
      <c r="HFB91" s="609"/>
      <c r="HFC91" s="609"/>
      <c r="HFD91" s="609"/>
      <c r="HFE91" s="609"/>
      <c r="HFF91" s="609"/>
      <c r="HFG91" s="609"/>
      <c r="HFH91" s="609"/>
      <c r="HFI91" s="609"/>
      <c r="HFJ91" s="609"/>
      <c r="HFK91" s="609"/>
      <c r="HFL91" s="609"/>
      <c r="HFM91" s="609"/>
      <c r="HFN91" s="609"/>
      <c r="HFO91" s="609"/>
      <c r="HFP91" s="609"/>
      <c r="HFQ91" s="609"/>
      <c r="HFR91" s="609"/>
      <c r="HFS91" s="609"/>
      <c r="HFT91" s="609"/>
      <c r="HFU91" s="609"/>
      <c r="HFV91" s="609"/>
      <c r="HFW91" s="609"/>
      <c r="HFX91" s="609"/>
      <c r="HFY91" s="609"/>
      <c r="HFZ91" s="609"/>
      <c r="HGA91" s="609"/>
      <c r="HGB91" s="609"/>
      <c r="HGC91" s="609"/>
      <c r="HGD91" s="609"/>
      <c r="HGE91" s="609"/>
      <c r="HGF91" s="609"/>
      <c r="HGG91" s="609"/>
      <c r="HGH91" s="609"/>
      <c r="HGI91" s="609"/>
      <c r="HGJ91" s="609"/>
      <c r="HGK91" s="609"/>
      <c r="HGL91" s="609"/>
      <c r="HGM91" s="609"/>
      <c r="HGN91" s="609"/>
      <c r="HGO91" s="609"/>
      <c r="HGP91" s="609"/>
      <c r="HGQ91" s="609"/>
      <c r="HGR91" s="609"/>
      <c r="HGS91" s="609"/>
      <c r="HGT91" s="609"/>
      <c r="HGU91" s="609"/>
      <c r="HGV91" s="609"/>
      <c r="HGW91" s="609"/>
      <c r="HGX91" s="609"/>
      <c r="HGY91" s="609"/>
      <c r="HGZ91" s="609"/>
      <c r="HHA91" s="609"/>
      <c r="HHB91" s="609"/>
      <c r="HHC91" s="609"/>
      <c r="HHD91" s="609"/>
      <c r="HHE91" s="609"/>
      <c r="HHF91" s="609"/>
      <c r="HHG91" s="609"/>
      <c r="HHH91" s="609"/>
      <c r="HHI91" s="609"/>
      <c r="HHJ91" s="609"/>
      <c r="HHK91" s="609"/>
      <c r="HHL91" s="609"/>
      <c r="HHM91" s="609"/>
      <c r="HHN91" s="609"/>
      <c r="HHO91" s="609"/>
      <c r="HHP91" s="609"/>
      <c r="HHQ91" s="609"/>
      <c r="HHR91" s="609"/>
      <c r="HHS91" s="609"/>
      <c r="HHT91" s="609"/>
      <c r="HHU91" s="609"/>
      <c r="HHV91" s="609"/>
      <c r="HHW91" s="609"/>
      <c r="HHX91" s="609"/>
      <c r="HHY91" s="609"/>
      <c r="HHZ91" s="609"/>
      <c r="HIA91" s="609"/>
      <c r="HIB91" s="609"/>
      <c r="HIC91" s="609"/>
      <c r="HID91" s="609"/>
      <c r="HIE91" s="609"/>
      <c r="HIF91" s="609"/>
      <c r="HIG91" s="609"/>
      <c r="HIH91" s="609"/>
      <c r="HII91" s="609"/>
      <c r="HIJ91" s="609"/>
      <c r="HIK91" s="609"/>
      <c r="HIL91" s="609"/>
      <c r="HIM91" s="609"/>
      <c r="HIN91" s="609"/>
      <c r="HIO91" s="609"/>
      <c r="HIP91" s="609"/>
      <c r="HIQ91" s="609"/>
      <c r="HIR91" s="609"/>
      <c r="HIS91" s="609"/>
      <c r="HIT91" s="609"/>
      <c r="HIU91" s="609"/>
      <c r="HIV91" s="609"/>
      <c r="HIW91" s="609"/>
      <c r="HIX91" s="609"/>
      <c r="HIY91" s="609"/>
      <c r="HIZ91" s="609"/>
      <c r="HJA91" s="609"/>
      <c r="HJB91" s="609"/>
      <c r="HJC91" s="609"/>
      <c r="HJD91" s="609"/>
      <c r="HJE91" s="609"/>
      <c r="HJF91" s="609"/>
      <c r="HJG91" s="609"/>
      <c r="HJH91" s="609"/>
      <c r="HJI91" s="609"/>
      <c r="HJJ91" s="609"/>
      <c r="HJK91" s="609"/>
      <c r="HJL91" s="609"/>
      <c r="HJM91" s="609"/>
      <c r="HJN91" s="609"/>
      <c r="HJO91" s="609"/>
      <c r="HJP91" s="609"/>
      <c r="HJQ91" s="609"/>
      <c r="HJR91" s="609"/>
      <c r="HJS91" s="609"/>
      <c r="HJT91" s="609"/>
      <c r="HJU91" s="609"/>
      <c r="HJV91" s="609"/>
      <c r="HJW91" s="609"/>
      <c r="HJX91" s="609"/>
      <c r="HJY91" s="609"/>
      <c r="HJZ91" s="609"/>
      <c r="HKA91" s="609"/>
      <c r="HKB91" s="609"/>
      <c r="HKC91" s="609"/>
      <c r="HKD91" s="609"/>
      <c r="HKE91" s="609"/>
      <c r="HKF91" s="609"/>
      <c r="HKG91" s="609"/>
      <c r="HKH91" s="609"/>
      <c r="HKI91" s="609"/>
      <c r="HKJ91" s="609"/>
      <c r="HKK91" s="609"/>
      <c r="HKL91" s="609"/>
      <c r="HKM91" s="609"/>
      <c r="HKN91" s="609"/>
      <c r="HKO91" s="609"/>
      <c r="HKP91" s="609"/>
      <c r="HKQ91" s="609"/>
      <c r="HKR91" s="609"/>
      <c r="HKS91" s="609"/>
      <c r="HKT91" s="609"/>
      <c r="HKU91" s="609"/>
      <c r="HKV91" s="609"/>
      <c r="HKW91" s="609"/>
      <c r="HKX91" s="609"/>
      <c r="HKY91" s="609"/>
      <c r="HKZ91" s="609"/>
      <c r="HLA91" s="609"/>
      <c r="HLB91" s="609"/>
      <c r="HLC91" s="609"/>
      <c r="HLD91" s="609"/>
      <c r="HLE91" s="609"/>
      <c r="HLF91" s="609"/>
      <c r="HLG91" s="609"/>
      <c r="HLH91" s="609"/>
      <c r="HLI91" s="609"/>
      <c r="HLJ91" s="609"/>
      <c r="HLK91" s="609"/>
      <c r="HLL91" s="609"/>
      <c r="HLM91" s="609"/>
      <c r="HLN91" s="609"/>
      <c r="HLO91" s="609"/>
      <c r="HLP91" s="609"/>
      <c r="HLQ91" s="609"/>
      <c r="HLR91" s="609"/>
      <c r="HLS91" s="609"/>
      <c r="HLT91" s="609"/>
      <c r="HLU91" s="609"/>
      <c r="HLV91" s="609"/>
      <c r="HLW91" s="609"/>
      <c r="HLX91" s="609"/>
      <c r="HLY91" s="609"/>
      <c r="HLZ91" s="609"/>
      <c r="HMA91" s="609"/>
      <c r="HMB91" s="609"/>
      <c r="HMC91" s="609"/>
      <c r="HMD91" s="609"/>
      <c r="HME91" s="609"/>
      <c r="HMF91" s="609"/>
      <c r="HMG91" s="609"/>
      <c r="HMH91" s="609"/>
      <c r="HMI91" s="609"/>
      <c r="HMJ91" s="609"/>
      <c r="HMK91" s="609"/>
      <c r="HML91" s="609"/>
      <c r="HMM91" s="609"/>
      <c r="HMN91" s="609"/>
      <c r="HMO91" s="609"/>
      <c r="HMP91" s="609"/>
      <c r="HMQ91" s="609"/>
      <c r="HMR91" s="609"/>
      <c r="HMS91" s="609"/>
      <c r="HMT91" s="609"/>
      <c r="HMU91" s="609"/>
      <c r="HMV91" s="609"/>
      <c r="HMW91" s="609"/>
      <c r="HMX91" s="609"/>
      <c r="HMY91" s="609"/>
      <c r="HMZ91" s="609"/>
      <c r="HNA91" s="609"/>
      <c r="HNB91" s="609"/>
      <c r="HNC91" s="609"/>
      <c r="HND91" s="609"/>
      <c r="HNE91" s="609"/>
      <c r="HNF91" s="609"/>
      <c r="HNG91" s="609"/>
      <c r="HNH91" s="609"/>
      <c r="HNI91" s="609"/>
      <c r="HNJ91" s="609"/>
      <c r="HNK91" s="609"/>
      <c r="HNL91" s="609"/>
      <c r="HNM91" s="609"/>
      <c r="HNN91" s="609"/>
      <c r="HNO91" s="609"/>
      <c r="HNP91" s="609"/>
      <c r="HNQ91" s="609"/>
      <c r="HNR91" s="609"/>
      <c r="HNS91" s="609"/>
      <c r="HNT91" s="609"/>
      <c r="HNU91" s="609"/>
      <c r="HNV91" s="609"/>
      <c r="HNW91" s="609"/>
      <c r="HNX91" s="609"/>
      <c r="HNY91" s="609"/>
      <c r="HNZ91" s="609"/>
      <c r="HOA91" s="609"/>
      <c r="HOB91" s="609"/>
      <c r="HOC91" s="609"/>
      <c r="HOD91" s="609"/>
      <c r="HOE91" s="609"/>
      <c r="HOF91" s="609"/>
      <c r="HOG91" s="609"/>
      <c r="HOH91" s="609"/>
      <c r="HOI91" s="609"/>
      <c r="HOJ91" s="609"/>
      <c r="HOK91" s="609"/>
      <c r="HOL91" s="609"/>
      <c r="HOM91" s="609"/>
      <c r="HON91" s="609"/>
      <c r="HOO91" s="609"/>
      <c r="HOP91" s="609"/>
      <c r="HOQ91" s="609"/>
      <c r="HOR91" s="609"/>
      <c r="HOS91" s="609"/>
      <c r="HOT91" s="609"/>
      <c r="HOU91" s="609"/>
      <c r="HOV91" s="609"/>
      <c r="HOW91" s="609"/>
      <c r="HOX91" s="609"/>
      <c r="HOY91" s="609"/>
      <c r="HOZ91" s="609"/>
      <c r="HPA91" s="609"/>
      <c r="HPB91" s="609"/>
      <c r="HPC91" s="609"/>
      <c r="HPD91" s="609"/>
      <c r="HPE91" s="609"/>
      <c r="HPF91" s="609"/>
      <c r="HPG91" s="609"/>
      <c r="HPH91" s="609"/>
      <c r="HPI91" s="609"/>
      <c r="HPJ91" s="609"/>
      <c r="HPK91" s="609"/>
      <c r="HPL91" s="609"/>
      <c r="HPM91" s="609"/>
      <c r="HPN91" s="609"/>
      <c r="HPO91" s="609"/>
      <c r="HPP91" s="609"/>
      <c r="HPQ91" s="609"/>
      <c r="HPR91" s="609"/>
      <c r="HPS91" s="609"/>
      <c r="HPT91" s="609"/>
      <c r="HPU91" s="609"/>
      <c r="HPV91" s="609"/>
      <c r="HPW91" s="609"/>
      <c r="HPX91" s="609"/>
      <c r="HPY91" s="609"/>
      <c r="HPZ91" s="609"/>
      <c r="HQA91" s="609"/>
      <c r="HQB91" s="609"/>
      <c r="HQC91" s="609"/>
      <c r="HQD91" s="609"/>
      <c r="HQE91" s="609"/>
      <c r="HQF91" s="609"/>
      <c r="HQG91" s="609"/>
      <c r="HQH91" s="609"/>
      <c r="HQI91" s="609"/>
      <c r="HQJ91" s="609"/>
      <c r="HQK91" s="609"/>
      <c r="HQL91" s="609"/>
      <c r="HQM91" s="609"/>
      <c r="HQN91" s="609"/>
      <c r="HQO91" s="609"/>
      <c r="HQP91" s="609"/>
      <c r="HQQ91" s="609"/>
      <c r="HQR91" s="609"/>
      <c r="HQS91" s="609"/>
      <c r="HQT91" s="609"/>
      <c r="HQU91" s="609"/>
      <c r="HQV91" s="609"/>
      <c r="HQW91" s="609"/>
      <c r="HQX91" s="609"/>
      <c r="HQY91" s="609"/>
      <c r="HQZ91" s="609"/>
      <c r="HRA91" s="609"/>
      <c r="HRB91" s="609"/>
      <c r="HRC91" s="609"/>
      <c r="HRD91" s="609"/>
      <c r="HRE91" s="609"/>
      <c r="HRF91" s="609"/>
      <c r="HRG91" s="609"/>
      <c r="HRH91" s="609"/>
      <c r="HRI91" s="609"/>
      <c r="HRJ91" s="609"/>
      <c r="HRK91" s="609"/>
      <c r="HRL91" s="609"/>
      <c r="HRM91" s="609"/>
      <c r="HRN91" s="609"/>
      <c r="HRO91" s="609"/>
      <c r="HRP91" s="609"/>
      <c r="HRQ91" s="609"/>
      <c r="HRR91" s="609"/>
      <c r="HRS91" s="609"/>
      <c r="HRT91" s="609"/>
      <c r="HRU91" s="609"/>
      <c r="HRV91" s="609"/>
      <c r="HRW91" s="609"/>
      <c r="HRX91" s="609"/>
      <c r="HRY91" s="609"/>
      <c r="HRZ91" s="609"/>
      <c r="HSA91" s="609"/>
      <c r="HSB91" s="609"/>
      <c r="HSC91" s="609"/>
      <c r="HSD91" s="609"/>
      <c r="HSE91" s="609"/>
      <c r="HSF91" s="609"/>
      <c r="HSG91" s="609"/>
      <c r="HSH91" s="609"/>
      <c r="HSI91" s="609"/>
      <c r="HSJ91" s="609"/>
      <c r="HSK91" s="609"/>
      <c r="HSL91" s="609"/>
      <c r="HSM91" s="609"/>
      <c r="HSN91" s="609"/>
      <c r="HSO91" s="609"/>
      <c r="HSP91" s="609"/>
      <c r="HSQ91" s="609"/>
      <c r="HSR91" s="609"/>
      <c r="HSS91" s="609"/>
      <c r="HST91" s="609"/>
      <c r="HSU91" s="609"/>
      <c r="HSV91" s="609"/>
      <c r="HSW91" s="609"/>
      <c r="HSX91" s="609"/>
      <c r="HSY91" s="609"/>
      <c r="HSZ91" s="609"/>
      <c r="HTA91" s="609"/>
      <c r="HTB91" s="609"/>
      <c r="HTC91" s="609"/>
      <c r="HTD91" s="609"/>
      <c r="HTE91" s="609"/>
      <c r="HTF91" s="609"/>
      <c r="HTG91" s="609"/>
      <c r="HTH91" s="609"/>
      <c r="HTI91" s="609"/>
      <c r="HTJ91" s="609"/>
      <c r="HTK91" s="609"/>
      <c r="HTL91" s="609"/>
      <c r="HTM91" s="609"/>
      <c r="HTN91" s="609"/>
      <c r="HTO91" s="609"/>
      <c r="HTP91" s="609"/>
      <c r="HTQ91" s="609"/>
      <c r="HTR91" s="609"/>
      <c r="HTS91" s="609"/>
      <c r="HTT91" s="609"/>
      <c r="HTU91" s="609"/>
      <c r="HTV91" s="609"/>
      <c r="HTW91" s="609"/>
      <c r="HTX91" s="609"/>
      <c r="HTY91" s="609"/>
      <c r="HTZ91" s="609"/>
      <c r="HUA91" s="609"/>
      <c r="HUB91" s="609"/>
      <c r="HUC91" s="609"/>
      <c r="HUD91" s="609"/>
      <c r="HUE91" s="609"/>
      <c r="HUF91" s="609"/>
      <c r="HUG91" s="609"/>
      <c r="HUH91" s="609"/>
      <c r="HUI91" s="609"/>
      <c r="HUJ91" s="609"/>
      <c r="HUK91" s="609"/>
      <c r="HUL91" s="609"/>
      <c r="HUM91" s="609"/>
      <c r="HUN91" s="609"/>
      <c r="HUO91" s="609"/>
      <c r="HUP91" s="609"/>
      <c r="HUQ91" s="609"/>
      <c r="HUR91" s="609"/>
      <c r="HUS91" s="609"/>
      <c r="HUT91" s="609"/>
      <c r="HUU91" s="609"/>
      <c r="HUV91" s="609"/>
      <c r="HUW91" s="609"/>
      <c r="HUX91" s="609"/>
      <c r="HUY91" s="609"/>
      <c r="HUZ91" s="609"/>
      <c r="HVA91" s="609"/>
      <c r="HVB91" s="609"/>
      <c r="HVC91" s="609"/>
      <c r="HVD91" s="609"/>
      <c r="HVE91" s="609"/>
      <c r="HVF91" s="609"/>
      <c r="HVG91" s="609"/>
      <c r="HVH91" s="609"/>
      <c r="HVI91" s="609"/>
      <c r="HVJ91" s="609"/>
      <c r="HVK91" s="609"/>
      <c r="HVL91" s="609"/>
      <c r="HVM91" s="609"/>
      <c r="HVN91" s="609"/>
      <c r="HVO91" s="609"/>
      <c r="HVP91" s="609"/>
      <c r="HVQ91" s="609"/>
      <c r="HVR91" s="609"/>
      <c r="HVS91" s="609"/>
      <c r="HVT91" s="609"/>
      <c r="HVU91" s="609"/>
      <c r="HVV91" s="609"/>
      <c r="HVW91" s="609"/>
      <c r="HVX91" s="609"/>
      <c r="HVY91" s="609"/>
      <c r="HVZ91" s="609"/>
      <c r="HWA91" s="609"/>
      <c r="HWB91" s="609"/>
      <c r="HWC91" s="609"/>
      <c r="HWD91" s="609"/>
      <c r="HWE91" s="609"/>
      <c r="HWF91" s="609"/>
      <c r="HWG91" s="609"/>
      <c r="HWH91" s="609"/>
      <c r="HWI91" s="609"/>
      <c r="HWJ91" s="609"/>
      <c r="HWK91" s="609"/>
      <c r="HWL91" s="609"/>
      <c r="HWM91" s="609"/>
      <c r="HWN91" s="609"/>
      <c r="HWO91" s="609"/>
      <c r="HWP91" s="609"/>
      <c r="HWQ91" s="609"/>
      <c r="HWR91" s="609"/>
      <c r="HWS91" s="609"/>
      <c r="HWT91" s="609"/>
      <c r="HWU91" s="609"/>
      <c r="HWV91" s="609"/>
      <c r="HWW91" s="609"/>
      <c r="HWX91" s="609"/>
      <c r="HWY91" s="609"/>
      <c r="HWZ91" s="609"/>
      <c r="HXA91" s="609"/>
      <c r="HXB91" s="609"/>
      <c r="HXC91" s="609"/>
      <c r="HXD91" s="609"/>
      <c r="HXE91" s="609"/>
      <c r="HXF91" s="609"/>
      <c r="HXG91" s="609"/>
      <c r="HXH91" s="609"/>
      <c r="HXI91" s="609"/>
      <c r="HXJ91" s="609"/>
      <c r="HXK91" s="609"/>
      <c r="HXL91" s="609"/>
      <c r="HXM91" s="609"/>
      <c r="HXN91" s="609"/>
      <c r="HXO91" s="609"/>
      <c r="HXP91" s="609"/>
      <c r="HXQ91" s="609"/>
      <c r="HXR91" s="609"/>
      <c r="HXS91" s="609"/>
      <c r="HXT91" s="609"/>
      <c r="HXU91" s="609"/>
      <c r="HXV91" s="609"/>
      <c r="HXW91" s="609"/>
      <c r="HXX91" s="609"/>
      <c r="HXY91" s="609"/>
      <c r="HXZ91" s="609"/>
      <c r="HYA91" s="609"/>
      <c r="HYB91" s="609"/>
      <c r="HYC91" s="609"/>
      <c r="HYD91" s="609"/>
      <c r="HYE91" s="609"/>
      <c r="HYF91" s="609"/>
      <c r="HYG91" s="609"/>
      <c r="HYH91" s="609"/>
      <c r="HYI91" s="609"/>
      <c r="HYJ91" s="609"/>
      <c r="HYK91" s="609"/>
      <c r="HYL91" s="609"/>
      <c r="HYM91" s="609"/>
      <c r="HYN91" s="609"/>
      <c r="HYO91" s="609"/>
      <c r="HYP91" s="609"/>
      <c r="HYQ91" s="609"/>
      <c r="HYR91" s="609"/>
      <c r="HYS91" s="609"/>
      <c r="HYT91" s="609"/>
      <c r="HYU91" s="609"/>
      <c r="HYV91" s="609"/>
      <c r="HYW91" s="609"/>
      <c r="HYX91" s="609"/>
      <c r="HYY91" s="609"/>
      <c r="HYZ91" s="609"/>
      <c r="HZA91" s="609"/>
      <c r="HZB91" s="609"/>
      <c r="HZC91" s="609"/>
      <c r="HZD91" s="609"/>
      <c r="HZE91" s="609"/>
      <c r="HZF91" s="609"/>
      <c r="HZG91" s="609"/>
      <c r="HZH91" s="609"/>
      <c r="HZI91" s="609"/>
      <c r="HZJ91" s="609"/>
      <c r="HZK91" s="609"/>
      <c r="HZL91" s="609"/>
      <c r="HZM91" s="609"/>
      <c r="HZN91" s="609"/>
      <c r="HZO91" s="609"/>
      <c r="HZP91" s="609"/>
      <c r="HZQ91" s="609"/>
      <c r="HZR91" s="609"/>
      <c r="HZS91" s="609"/>
      <c r="HZT91" s="609"/>
      <c r="HZU91" s="609"/>
      <c r="HZV91" s="609"/>
      <c r="HZW91" s="609"/>
      <c r="HZX91" s="609"/>
      <c r="HZY91" s="609"/>
      <c r="HZZ91" s="609"/>
      <c r="IAA91" s="609"/>
      <c r="IAB91" s="609"/>
      <c r="IAC91" s="609"/>
      <c r="IAD91" s="609"/>
      <c r="IAE91" s="609"/>
      <c r="IAF91" s="609"/>
      <c r="IAG91" s="609"/>
      <c r="IAH91" s="609"/>
      <c r="IAI91" s="609"/>
      <c r="IAJ91" s="609"/>
      <c r="IAK91" s="609"/>
      <c r="IAL91" s="609"/>
      <c r="IAM91" s="609"/>
      <c r="IAN91" s="609"/>
      <c r="IAO91" s="609"/>
      <c r="IAP91" s="609"/>
      <c r="IAQ91" s="609"/>
      <c r="IAR91" s="609"/>
      <c r="IAS91" s="609"/>
      <c r="IAT91" s="609"/>
      <c r="IAU91" s="609"/>
      <c r="IAV91" s="609"/>
      <c r="IAW91" s="609"/>
      <c r="IAX91" s="609"/>
      <c r="IAY91" s="609"/>
      <c r="IAZ91" s="609"/>
      <c r="IBA91" s="609"/>
      <c r="IBB91" s="609"/>
      <c r="IBC91" s="609"/>
      <c r="IBD91" s="609"/>
      <c r="IBE91" s="609"/>
      <c r="IBF91" s="609"/>
      <c r="IBG91" s="609"/>
      <c r="IBH91" s="609"/>
      <c r="IBI91" s="609"/>
      <c r="IBJ91" s="609"/>
      <c r="IBK91" s="609"/>
      <c r="IBL91" s="609"/>
      <c r="IBM91" s="609"/>
      <c r="IBN91" s="609"/>
      <c r="IBO91" s="609"/>
      <c r="IBP91" s="609"/>
      <c r="IBQ91" s="609"/>
      <c r="IBR91" s="609"/>
      <c r="IBS91" s="609"/>
      <c r="IBT91" s="609"/>
      <c r="IBU91" s="609"/>
      <c r="IBV91" s="609"/>
      <c r="IBW91" s="609"/>
      <c r="IBX91" s="609"/>
      <c r="IBY91" s="609"/>
      <c r="IBZ91" s="609"/>
      <c r="ICA91" s="609"/>
      <c r="ICB91" s="609"/>
      <c r="ICC91" s="609"/>
      <c r="ICD91" s="609"/>
      <c r="ICE91" s="609"/>
      <c r="ICF91" s="609"/>
      <c r="ICG91" s="609"/>
      <c r="ICH91" s="609"/>
      <c r="ICI91" s="609"/>
      <c r="ICJ91" s="609"/>
      <c r="ICK91" s="609"/>
      <c r="ICL91" s="609"/>
      <c r="ICM91" s="609"/>
      <c r="ICN91" s="609"/>
      <c r="ICO91" s="609"/>
      <c r="ICP91" s="609"/>
      <c r="ICQ91" s="609"/>
      <c r="ICR91" s="609"/>
      <c r="ICS91" s="609"/>
      <c r="ICT91" s="609"/>
      <c r="ICU91" s="609"/>
      <c r="ICV91" s="609"/>
      <c r="ICW91" s="609"/>
      <c r="ICX91" s="609"/>
      <c r="ICY91" s="609"/>
      <c r="ICZ91" s="609"/>
      <c r="IDA91" s="609"/>
      <c r="IDB91" s="609"/>
      <c r="IDC91" s="609"/>
      <c r="IDD91" s="609"/>
      <c r="IDE91" s="609"/>
      <c r="IDF91" s="609"/>
      <c r="IDG91" s="609"/>
      <c r="IDH91" s="609"/>
      <c r="IDI91" s="609"/>
      <c r="IDJ91" s="609"/>
      <c r="IDK91" s="609"/>
      <c r="IDL91" s="609"/>
      <c r="IDM91" s="609"/>
      <c r="IDN91" s="609"/>
      <c r="IDO91" s="609"/>
      <c r="IDP91" s="609"/>
      <c r="IDQ91" s="609"/>
      <c r="IDR91" s="609"/>
      <c r="IDS91" s="609"/>
      <c r="IDT91" s="609"/>
      <c r="IDU91" s="609"/>
      <c r="IDV91" s="609"/>
      <c r="IDW91" s="609"/>
      <c r="IDX91" s="609"/>
      <c r="IDY91" s="609"/>
      <c r="IDZ91" s="609"/>
      <c r="IEA91" s="609"/>
      <c r="IEB91" s="609"/>
      <c r="IEC91" s="609"/>
      <c r="IED91" s="609"/>
      <c r="IEE91" s="609"/>
      <c r="IEF91" s="609"/>
      <c r="IEG91" s="609"/>
      <c r="IEH91" s="609"/>
      <c r="IEI91" s="609"/>
      <c r="IEJ91" s="609"/>
      <c r="IEK91" s="609"/>
      <c r="IEL91" s="609"/>
      <c r="IEM91" s="609"/>
      <c r="IEN91" s="609"/>
      <c r="IEO91" s="609"/>
      <c r="IEP91" s="609"/>
      <c r="IEQ91" s="609"/>
      <c r="IER91" s="609"/>
      <c r="IES91" s="609"/>
      <c r="IET91" s="609"/>
      <c r="IEU91" s="609"/>
      <c r="IEV91" s="609"/>
      <c r="IEW91" s="609"/>
      <c r="IEX91" s="609"/>
      <c r="IEY91" s="609"/>
      <c r="IEZ91" s="609"/>
      <c r="IFA91" s="609"/>
      <c r="IFB91" s="609"/>
      <c r="IFC91" s="609"/>
      <c r="IFD91" s="609"/>
      <c r="IFE91" s="609"/>
      <c r="IFF91" s="609"/>
      <c r="IFG91" s="609"/>
      <c r="IFH91" s="609"/>
      <c r="IFI91" s="609"/>
      <c r="IFJ91" s="609"/>
      <c r="IFK91" s="609"/>
      <c r="IFL91" s="609"/>
      <c r="IFM91" s="609"/>
      <c r="IFN91" s="609"/>
      <c r="IFO91" s="609"/>
      <c r="IFP91" s="609"/>
      <c r="IFQ91" s="609"/>
      <c r="IFR91" s="609"/>
      <c r="IFS91" s="609"/>
      <c r="IFT91" s="609"/>
      <c r="IFU91" s="609"/>
      <c r="IFV91" s="609"/>
      <c r="IFW91" s="609"/>
      <c r="IFX91" s="609"/>
      <c r="IFY91" s="609"/>
      <c r="IFZ91" s="609"/>
      <c r="IGA91" s="609"/>
      <c r="IGB91" s="609"/>
      <c r="IGC91" s="609"/>
      <c r="IGD91" s="609"/>
      <c r="IGE91" s="609"/>
      <c r="IGF91" s="609"/>
      <c r="IGG91" s="609"/>
      <c r="IGH91" s="609"/>
      <c r="IGI91" s="609"/>
      <c r="IGJ91" s="609"/>
      <c r="IGK91" s="609"/>
      <c r="IGL91" s="609"/>
      <c r="IGM91" s="609"/>
      <c r="IGN91" s="609"/>
      <c r="IGO91" s="609"/>
      <c r="IGP91" s="609"/>
      <c r="IGQ91" s="609"/>
      <c r="IGR91" s="609"/>
      <c r="IGS91" s="609"/>
      <c r="IGT91" s="609"/>
      <c r="IGU91" s="609"/>
      <c r="IGV91" s="609"/>
      <c r="IGW91" s="609"/>
      <c r="IGX91" s="609"/>
      <c r="IGY91" s="609"/>
      <c r="IGZ91" s="609"/>
      <c r="IHA91" s="609"/>
      <c r="IHB91" s="609"/>
      <c r="IHC91" s="609"/>
      <c r="IHD91" s="609"/>
      <c r="IHE91" s="609"/>
      <c r="IHF91" s="609"/>
      <c r="IHG91" s="609"/>
      <c r="IHH91" s="609"/>
      <c r="IHI91" s="609"/>
      <c r="IHJ91" s="609"/>
      <c r="IHK91" s="609"/>
      <c r="IHL91" s="609"/>
      <c r="IHM91" s="609"/>
      <c r="IHN91" s="609"/>
      <c r="IHO91" s="609"/>
      <c r="IHP91" s="609"/>
      <c r="IHQ91" s="609"/>
      <c r="IHR91" s="609"/>
      <c r="IHS91" s="609"/>
      <c r="IHT91" s="609"/>
      <c r="IHU91" s="609"/>
      <c r="IHV91" s="609"/>
      <c r="IHW91" s="609"/>
      <c r="IHX91" s="609"/>
      <c r="IHY91" s="609"/>
      <c r="IHZ91" s="609"/>
      <c r="IIA91" s="609"/>
      <c r="IIB91" s="609"/>
      <c r="IIC91" s="609"/>
      <c r="IID91" s="609"/>
      <c r="IIE91" s="609"/>
      <c r="IIF91" s="609"/>
      <c r="IIG91" s="609"/>
      <c r="IIH91" s="609"/>
      <c r="III91" s="609"/>
      <c r="IIJ91" s="609"/>
      <c r="IIK91" s="609"/>
      <c r="IIL91" s="609"/>
      <c r="IIM91" s="609"/>
      <c r="IIN91" s="609"/>
      <c r="IIO91" s="609"/>
      <c r="IIP91" s="609"/>
      <c r="IIQ91" s="609"/>
      <c r="IIR91" s="609"/>
      <c r="IIS91" s="609"/>
      <c r="IIT91" s="609"/>
      <c r="IIU91" s="609"/>
      <c r="IIV91" s="609"/>
      <c r="IIW91" s="609"/>
      <c r="IIX91" s="609"/>
      <c r="IIY91" s="609"/>
      <c r="IIZ91" s="609"/>
      <c r="IJA91" s="609"/>
      <c r="IJB91" s="609"/>
      <c r="IJC91" s="609"/>
      <c r="IJD91" s="609"/>
      <c r="IJE91" s="609"/>
      <c r="IJF91" s="609"/>
      <c r="IJG91" s="609"/>
      <c r="IJH91" s="609"/>
      <c r="IJI91" s="609"/>
      <c r="IJJ91" s="609"/>
      <c r="IJK91" s="609"/>
      <c r="IJL91" s="609"/>
      <c r="IJM91" s="609"/>
      <c r="IJN91" s="609"/>
      <c r="IJO91" s="609"/>
      <c r="IJP91" s="609"/>
      <c r="IJQ91" s="609"/>
      <c r="IJR91" s="609"/>
      <c r="IJS91" s="609"/>
      <c r="IJT91" s="609"/>
      <c r="IJU91" s="609"/>
      <c r="IJV91" s="609"/>
      <c r="IJW91" s="609"/>
      <c r="IJX91" s="609"/>
      <c r="IJY91" s="609"/>
      <c r="IJZ91" s="609"/>
      <c r="IKA91" s="609"/>
      <c r="IKB91" s="609"/>
      <c r="IKC91" s="609"/>
      <c r="IKD91" s="609"/>
      <c r="IKE91" s="609"/>
      <c r="IKF91" s="609"/>
      <c r="IKG91" s="609"/>
      <c r="IKH91" s="609"/>
      <c r="IKI91" s="609"/>
      <c r="IKJ91" s="609"/>
      <c r="IKK91" s="609"/>
      <c r="IKL91" s="609"/>
      <c r="IKM91" s="609"/>
      <c r="IKN91" s="609"/>
      <c r="IKO91" s="609"/>
      <c r="IKP91" s="609"/>
      <c r="IKQ91" s="609"/>
      <c r="IKR91" s="609"/>
      <c r="IKS91" s="609"/>
      <c r="IKT91" s="609"/>
      <c r="IKU91" s="609"/>
      <c r="IKV91" s="609"/>
      <c r="IKW91" s="609"/>
      <c r="IKX91" s="609"/>
      <c r="IKY91" s="609"/>
      <c r="IKZ91" s="609"/>
      <c r="ILA91" s="609"/>
      <c r="ILB91" s="609"/>
      <c r="ILC91" s="609"/>
      <c r="ILD91" s="609"/>
      <c r="ILE91" s="609"/>
      <c r="ILF91" s="609"/>
      <c r="ILG91" s="609"/>
      <c r="ILH91" s="609"/>
      <c r="ILI91" s="609"/>
      <c r="ILJ91" s="609"/>
      <c r="ILK91" s="609"/>
      <c r="ILL91" s="609"/>
      <c r="ILM91" s="609"/>
      <c r="ILN91" s="609"/>
      <c r="ILO91" s="609"/>
      <c r="ILP91" s="609"/>
      <c r="ILQ91" s="609"/>
      <c r="ILR91" s="609"/>
      <c r="ILS91" s="609"/>
      <c r="ILT91" s="609"/>
      <c r="ILU91" s="609"/>
      <c r="ILV91" s="609"/>
      <c r="ILW91" s="609"/>
      <c r="ILX91" s="609"/>
      <c r="ILY91" s="609"/>
      <c r="ILZ91" s="609"/>
      <c r="IMA91" s="609"/>
      <c r="IMB91" s="609"/>
      <c r="IMC91" s="609"/>
      <c r="IMD91" s="609"/>
      <c r="IME91" s="609"/>
      <c r="IMF91" s="609"/>
      <c r="IMG91" s="609"/>
      <c r="IMH91" s="609"/>
      <c r="IMI91" s="609"/>
      <c r="IMJ91" s="609"/>
      <c r="IMK91" s="609"/>
      <c r="IML91" s="609"/>
      <c r="IMM91" s="609"/>
      <c r="IMN91" s="609"/>
      <c r="IMO91" s="609"/>
      <c r="IMP91" s="609"/>
      <c r="IMQ91" s="609"/>
      <c r="IMR91" s="609"/>
      <c r="IMS91" s="609"/>
      <c r="IMT91" s="609"/>
      <c r="IMU91" s="609"/>
      <c r="IMV91" s="609"/>
      <c r="IMW91" s="609"/>
      <c r="IMX91" s="609"/>
      <c r="IMY91" s="609"/>
      <c r="IMZ91" s="609"/>
      <c r="INA91" s="609"/>
      <c r="INB91" s="609"/>
      <c r="INC91" s="609"/>
      <c r="IND91" s="609"/>
      <c r="INE91" s="609"/>
      <c r="INF91" s="609"/>
      <c r="ING91" s="609"/>
      <c r="INH91" s="609"/>
      <c r="INI91" s="609"/>
      <c r="INJ91" s="609"/>
      <c r="INK91" s="609"/>
      <c r="INL91" s="609"/>
      <c r="INM91" s="609"/>
      <c r="INN91" s="609"/>
      <c r="INO91" s="609"/>
      <c r="INP91" s="609"/>
      <c r="INQ91" s="609"/>
      <c r="INR91" s="609"/>
      <c r="INS91" s="609"/>
      <c r="INT91" s="609"/>
      <c r="INU91" s="609"/>
      <c r="INV91" s="609"/>
      <c r="INW91" s="609"/>
      <c r="INX91" s="609"/>
      <c r="INY91" s="609"/>
      <c r="INZ91" s="609"/>
      <c r="IOA91" s="609"/>
      <c r="IOB91" s="609"/>
      <c r="IOC91" s="609"/>
      <c r="IOD91" s="609"/>
      <c r="IOE91" s="609"/>
      <c r="IOF91" s="609"/>
      <c r="IOG91" s="609"/>
      <c r="IOH91" s="609"/>
      <c r="IOI91" s="609"/>
      <c r="IOJ91" s="609"/>
      <c r="IOK91" s="609"/>
      <c r="IOL91" s="609"/>
      <c r="IOM91" s="609"/>
      <c r="ION91" s="609"/>
      <c r="IOO91" s="609"/>
      <c r="IOP91" s="609"/>
      <c r="IOQ91" s="609"/>
      <c r="IOR91" s="609"/>
      <c r="IOS91" s="609"/>
      <c r="IOT91" s="609"/>
      <c r="IOU91" s="609"/>
      <c r="IOV91" s="609"/>
      <c r="IOW91" s="609"/>
      <c r="IOX91" s="609"/>
      <c r="IOY91" s="609"/>
      <c r="IOZ91" s="609"/>
      <c r="IPA91" s="609"/>
      <c r="IPB91" s="609"/>
      <c r="IPC91" s="609"/>
      <c r="IPD91" s="609"/>
      <c r="IPE91" s="609"/>
      <c r="IPF91" s="609"/>
      <c r="IPG91" s="609"/>
      <c r="IPH91" s="609"/>
      <c r="IPI91" s="609"/>
      <c r="IPJ91" s="609"/>
      <c r="IPK91" s="609"/>
      <c r="IPL91" s="609"/>
      <c r="IPM91" s="609"/>
      <c r="IPN91" s="609"/>
      <c r="IPO91" s="609"/>
      <c r="IPP91" s="609"/>
      <c r="IPQ91" s="609"/>
      <c r="IPR91" s="609"/>
      <c r="IPS91" s="609"/>
      <c r="IPT91" s="609"/>
      <c r="IPU91" s="609"/>
      <c r="IPV91" s="609"/>
      <c r="IPW91" s="609"/>
      <c r="IPX91" s="609"/>
      <c r="IPY91" s="609"/>
      <c r="IPZ91" s="609"/>
      <c r="IQA91" s="609"/>
      <c r="IQB91" s="609"/>
      <c r="IQC91" s="609"/>
      <c r="IQD91" s="609"/>
      <c r="IQE91" s="609"/>
      <c r="IQF91" s="609"/>
      <c r="IQG91" s="609"/>
      <c r="IQH91" s="609"/>
      <c r="IQI91" s="609"/>
      <c r="IQJ91" s="609"/>
      <c r="IQK91" s="609"/>
      <c r="IQL91" s="609"/>
      <c r="IQM91" s="609"/>
      <c r="IQN91" s="609"/>
      <c r="IQO91" s="609"/>
      <c r="IQP91" s="609"/>
      <c r="IQQ91" s="609"/>
      <c r="IQR91" s="609"/>
      <c r="IQS91" s="609"/>
      <c r="IQT91" s="609"/>
      <c r="IQU91" s="609"/>
      <c r="IQV91" s="609"/>
      <c r="IQW91" s="609"/>
      <c r="IQX91" s="609"/>
      <c r="IQY91" s="609"/>
      <c r="IQZ91" s="609"/>
      <c r="IRA91" s="609"/>
      <c r="IRB91" s="609"/>
      <c r="IRC91" s="609"/>
      <c r="IRD91" s="609"/>
      <c r="IRE91" s="609"/>
      <c r="IRF91" s="609"/>
      <c r="IRG91" s="609"/>
      <c r="IRH91" s="609"/>
      <c r="IRI91" s="609"/>
      <c r="IRJ91" s="609"/>
      <c r="IRK91" s="609"/>
      <c r="IRL91" s="609"/>
      <c r="IRM91" s="609"/>
      <c r="IRN91" s="609"/>
      <c r="IRO91" s="609"/>
      <c r="IRP91" s="609"/>
      <c r="IRQ91" s="609"/>
      <c r="IRR91" s="609"/>
      <c r="IRS91" s="609"/>
      <c r="IRT91" s="609"/>
      <c r="IRU91" s="609"/>
      <c r="IRV91" s="609"/>
      <c r="IRW91" s="609"/>
      <c r="IRX91" s="609"/>
      <c r="IRY91" s="609"/>
      <c r="IRZ91" s="609"/>
      <c r="ISA91" s="609"/>
      <c r="ISB91" s="609"/>
      <c r="ISC91" s="609"/>
      <c r="ISD91" s="609"/>
      <c r="ISE91" s="609"/>
      <c r="ISF91" s="609"/>
      <c r="ISG91" s="609"/>
      <c r="ISH91" s="609"/>
      <c r="ISI91" s="609"/>
      <c r="ISJ91" s="609"/>
      <c r="ISK91" s="609"/>
      <c r="ISL91" s="609"/>
      <c r="ISM91" s="609"/>
      <c r="ISN91" s="609"/>
      <c r="ISO91" s="609"/>
      <c r="ISP91" s="609"/>
      <c r="ISQ91" s="609"/>
      <c r="ISR91" s="609"/>
      <c r="ISS91" s="609"/>
      <c r="IST91" s="609"/>
      <c r="ISU91" s="609"/>
      <c r="ISV91" s="609"/>
      <c r="ISW91" s="609"/>
      <c r="ISX91" s="609"/>
      <c r="ISY91" s="609"/>
      <c r="ISZ91" s="609"/>
      <c r="ITA91" s="609"/>
      <c r="ITB91" s="609"/>
      <c r="ITC91" s="609"/>
      <c r="ITD91" s="609"/>
      <c r="ITE91" s="609"/>
      <c r="ITF91" s="609"/>
      <c r="ITG91" s="609"/>
      <c r="ITH91" s="609"/>
      <c r="ITI91" s="609"/>
      <c r="ITJ91" s="609"/>
      <c r="ITK91" s="609"/>
      <c r="ITL91" s="609"/>
      <c r="ITM91" s="609"/>
      <c r="ITN91" s="609"/>
      <c r="ITO91" s="609"/>
      <c r="ITP91" s="609"/>
      <c r="ITQ91" s="609"/>
      <c r="ITR91" s="609"/>
      <c r="ITS91" s="609"/>
      <c r="ITT91" s="609"/>
      <c r="ITU91" s="609"/>
      <c r="ITV91" s="609"/>
      <c r="ITW91" s="609"/>
      <c r="ITX91" s="609"/>
      <c r="ITY91" s="609"/>
      <c r="ITZ91" s="609"/>
      <c r="IUA91" s="609"/>
      <c r="IUB91" s="609"/>
      <c r="IUC91" s="609"/>
      <c r="IUD91" s="609"/>
      <c r="IUE91" s="609"/>
      <c r="IUF91" s="609"/>
      <c r="IUG91" s="609"/>
      <c r="IUH91" s="609"/>
      <c r="IUI91" s="609"/>
      <c r="IUJ91" s="609"/>
      <c r="IUK91" s="609"/>
      <c r="IUL91" s="609"/>
      <c r="IUM91" s="609"/>
      <c r="IUN91" s="609"/>
      <c r="IUO91" s="609"/>
      <c r="IUP91" s="609"/>
      <c r="IUQ91" s="609"/>
      <c r="IUR91" s="609"/>
      <c r="IUS91" s="609"/>
      <c r="IUT91" s="609"/>
      <c r="IUU91" s="609"/>
      <c r="IUV91" s="609"/>
      <c r="IUW91" s="609"/>
      <c r="IUX91" s="609"/>
      <c r="IUY91" s="609"/>
      <c r="IUZ91" s="609"/>
      <c r="IVA91" s="609"/>
      <c r="IVB91" s="609"/>
      <c r="IVC91" s="609"/>
      <c r="IVD91" s="609"/>
      <c r="IVE91" s="609"/>
      <c r="IVF91" s="609"/>
      <c r="IVG91" s="609"/>
      <c r="IVH91" s="609"/>
      <c r="IVI91" s="609"/>
      <c r="IVJ91" s="609"/>
      <c r="IVK91" s="609"/>
      <c r="IVL91" s="609"/>
      <c r="IVM91" s="609"/>
      <c r="IVN91" s="609"/>
      <c r="IVO91" s="609"/>
      <c r="IVP91" s="609"/>
      <c r="IVQ91" s="609"/>
      <c r="IVR91" s="609"/>
      <c r="IVS91" s="609"/>
      <c r="IVT91" s="609"/>
      <c r="IVU91" s="609"/>
      <c r="IVV91" s="609"/>
      <c r="IVW91" s="609"/>
      <c r="IVX91" s="609"/>
      <c r="IVY91" s="609"/>
      <c r="IVZ91" s="609"/>
      <c r="IWA91" s="609"/>
      <c r="IWB91" s="609"/>
      <c r="IWC91" s="609"/>
      <c r="IWD91" s="609"/>
      <c r="IWE91" s="609"/>
      <c r="IWF91" s="609"/>
      <c r="IWG91" s="609"/>
      <c r="IWH91" s="609"/>
      <c r="IWI91" s="609"/>
      <c r="IWJ91" s="609"/>
      <c r="IWK91" s="609"/>
      <c r="IWL91" s="609"/>
      <c r="IWM91" s="609"/>
      <c r="IWN91" s="609"/>
      <c r="IWO91" s="609"/>
      <c r="IWP91" s="609"/>
      <c r="IWQ91" s="609"/>
      <c r="IWR91" s="609"/>
      <c r="IWS91" s="609"/>
      <c r="IWT91" s="609"/>
      <c r="IWU91" s="609"/>
      <c r="IWV91" s="609"/>
      <c r="IWW91" s="609"/>
      <c r="IWX91" s="609"/>
      <c r="IWY91" s="609"/>
      <c r="IWZ91" s="609"/>
      <c r="IXA91" s="609"/>
      <c r="IXB91" s="609"/>
      <c r="IXC91" s="609"/>
      <c r="IXD91" s="609"/>
      <c r="IXE91" s="609"/>
      <c r="IXF91" s="609"/>
      <c r="IXG91" s="609"/>
      <c r="IXH91" s="609"/>
      <c r="IXI91" s="609"/>
      <c r="IXJ91" s="609"/>
      <c r="IXK91" s="609"/>
      <c r="IXL91" s="609"/>
      <c r="IXM91" s="609"/>
      <c r="IXN91" s="609"/>
      <c r="IXO91" s="609"/>
      <c r="IXP91" s="609"/>
      <c r="IXQ91" s="609"/>
      <c r="IXR91" s="609"/>
      <c r="IXS91" s="609"/>
      <c r="IXT91" s="609"/>
      <c r="IXU91" s="609"/>
      <c r="IXV91" s="609"/>
      <c r="IXW91" s="609"/>
      <c r="IXX91" s="609"/>
      <c r="IXY91" s="609"/>
      <c r="IXZ91" s="609"/>
      <c r="IYA91" s="609"/>
      <c r="IYB91" s="609"/>
      <c r="IYC91" s="609"/>
      <c r="IYD91" s="609"/>
      <c r="IYE91" s="609"/>
      <c r="IYF91" s="609"/>
      <c r="IYG91" s="609"/>
      <c r="IYH91" s="609"/>
      <c r="IYI91" s="609"/>
      <c r="IYJ91" s="609"/>
      <c r="IYK91" s="609"/>
      <c r="IYL91" s="609"/>
      <c r="IYM91" s="609"/>
      <c r="IYN91" s="609"/>
      <c r="IYO91" s="609"/>
      <c r="IYP91" s="609"/>
      <c r="IYQ91" s="609"/>
      <c r="IYR91" s="609"/>
      <c r="IYS91" s="609"/>
      <c r="IYT91" s="609"/>
      <c r="IYU91" s="609"/>
      <c r="IYV91" s="609"/>
      <c r="IYW91" s="609"/>
      <c r="IYX91" s="609"/>
      <c r="IYY91" s="609"/>
      <c r="IYZ91" s="609"/>
      <c r="IZA91" s="609"/>
      <c r="IZB91" s="609"/>
      <c r="IZC91" s="609"/>
      <c r="IZD91" s="609"/>
      <c r="IZE91" s="609"/>
      <c r="IZF91" s="609"/>
      <c r="IZG91" s="609"/>
      <c r="IZH91" s="609"/>
      <c r="IZI91" s="609"/>
      <c r="IZJ91" s="609"/>
      <c r="IZK91" s="609"/>
      <c r="IZL91" s="609"/>
      <c r="IZM91" s="609"/>
      <c r="IZN91" s="609"/>
      <c r="IZO91" s="609"/>
      <c r="IZP91" s="609"/>
      <c r="IZQ91" s="609"/>
      <c r="IZR91" s="609"/>
      <c r="IZS91" s="609"/>
      <c r="IZT91" s="609"/>
      <c r="IZU91" s="609"/>
      <c r="IZV91" s="609"/>
      <c r="IZW91" s="609"/>
      <c r="IZX91" s="609"/>
      <c r="IZY91" s="609"/>
      <c r="IZZ91" s="609"/>
      <c r="JAA91" s="609"/>
      <c r="JAB91" s="609"/>
      <c r="JAC91" s="609"/>
      <c r="JAD91" s="609"/>
      <c r="JAE91" s="609"/>
      <c r="JAF91" s="609"/>
      <c r="JAG91" s="609"/>
      <c r="JAH91" s="609"/>
      <c r="JAI91" s="609"/>
      <c r="JAJ91" s="609"/>
      <c r="JAK91" s="609"/>
      <c r="JAL91" s="609"/>
      <c r="JAM91" s="609"/>
      <c r="JAN91" s="609"/>
      <c r="JAO91" s="609"/>
      <c r="JAP91" s="609"/>
      <c r="JAQ91" s="609"/>
      <c r="JAR91" s="609"/>
      <c r="JAS91" s="609"/>
      <c r="JAT91" s="609"/>
      <c r="JAU91" s="609"/>
      <c r="JAV91" s="609"/>
      <c r="JAW91" s="609"/>
      <c r="JAX91" s="609"/>
      <c r="JAY91" s="609"/>
      <c r="JAZ91" s="609"/>
      <c r="JBA91" s="609"/>
      <c r="JBB91" s="609"/>
      <c r="JBC91" s="609"/>
      <c r="JBD91" s="609"/>
      <c r="JBE91" s="609"/>
      <c r="JBF91" s="609"/>
      <c r="JBG91" s="609"/>
      <c r="JBH91" s="609"/>
      <c r="JBI91" s="609"/>
      <c r="JBJ91" s="609"/>
      <c r="JBK91" s="609"/>
      <c r="JBL91" s="609"/>
      <c r="JBM91" s="609"/>
      <c r="JBN91" s="609"/>
      <c r="JBO91" s="609"/>
      <c r="JBP91" s="609"/>
      <c r="JBQ91" s="609"/>
      <c r="JBR91" s="609"/>
      <c r="JBS91" s="609"/>
      <c r="JBT91" s="609"/>
      <c r="JBU91" s="609"/>
      <c r="JBV91" s="609"/>
      <c r="JBW91" s="609"/>
      <c r="JBX91" s="609"/>
      <c r="JBY91" s="609"/>
      <c r="JBZ91" s="609"/>
      <c r="JCA91" s="609"/>
      <c r="JCB91" s="609"/>
      <c r="JCC91" s="609"/>
      <c r="JCD91" s="609"/>
      <c r="JCE91" s="609"/>
      <c r="JCF91" s="609"/>
      <c r="JCG91" s="609"/>
      <c r="JCH91" s="609"/>
      <c r="JCI91" s="609"/>
      <c r="JCJ91" s="609"/>
      <c r="JCK91" s="609"/>
      <c r="JCL91" s="609"/>
      <c r="JCM91" s="609"/>
      <c r="JCN91" s="609"/>
      <c r="JCO91" s="609"/>
      <c r="JCP91" s="609"/>
      <c r="JCQ91" s="609"/>
      <c r="JCR91" s="609"/>
      <c r="JCS91" s="609"/>
      <c r="JCT91" s="609"/>
      <c r="JCU91" s="609"/>
      <c r="JCV91" s="609"/>
      <c r="JCW91" s="609"/>
      <c r="JCX91" s="609"/>
      <c r="JCY91" s="609"/>
      <c r="JCZ91" s="609"/>
      <c r="JDA91" s="609"/>
      <c r="JDB91" s="609"/>
      <c r="JDC91" s="609"/>
      <c r="JDD91" s="609"/>
      <c r="JDE91" s="609"/>
      <c r="JDF91" s="609"/>
      <c r="JDG91" s="609"/>
      <c r="JDH91" s="609"/>
      <c r="JDI91" s="609"/>
      <c r="JDJ91" s="609"/>
      <c r="JDK91" s="609"/>
      <c r="JDL91" s="609"/>
      <c r="JDM91" s="609"/>
      <c r="JDN91" s="609"/>
      <c r="JDO91" s="609"/>
      <c r="JDP91" s="609"/>
      <c r="JDQ91" s="609"/>
      <c r="JDR91" s="609"/>
      <c r="JDS91" s="609"/>
      <c r="JDT91" s="609"/>
      <c r="JDU91" s="609"/>
      <c r="JDV91" s="609"/>
      <c r="JDW91" s="609"/>
      <c r="JDX91" s="609"/>
      <c r="JDY91" s="609"/>
      <c r="JDZ91" s="609"/>
      <c r="JEA91" s="609"/>
      <c r="JEB91" s="609"/>
      <c r="JEC91" s="609"/>
      <c r="JED91" s="609"/>
      <c r="JEE91" s="609"/>
      <c r="JEF91" s="609"/>
      <c r="JEG91" s="609"/>
      <c r="JEH91" s="609"/>
      <c r="JEI91" s="609"/>
      <c r="JEJ91" s="609"/>
      <c r="JEK91" s="609"/>
      <c r="JEL91" s="609"/>
      <c r="JEM91" s="609"/>
      <c r="JEN91" s="609"/>
      <c r="JEO91" s="609"/>
      <c r="JEP91" s="609"/>
      <c r="JEQ91" s="609"/>
      <c r="JER91" s="609"/>
      <c r="JES91" s="609"/>
      <c r="JET91" s="609"/>
      <c r="JEU91" s="609"/>
      <c r="JEV91" s="609"/>
      <c r="JEW91" s="609"/>
      <c r="JEX91" s="609"/>
      <c r="JEY91" s="609"/>
      <c r="JEZ91" s="609"/>
      <c r="JFA91" s="609"/>
      <c r="JFB91" s="609"/>
      <c r="JFC91" s="609"/>
      <c r="JFD91" s="609"/>
      <c r="JFE91" s="609"/>
      <c r="JFF91" s="609"/>
      <c r="JFG91" s="609"/>
      <c r="JFH91" s="609"/>
      <c r="JFI91" s="609"/>
      <c r="JFJ91" s="609"/>
      <c r="JFK91" s="609"/>
      <c r="JFL91" s="609"/>
      <c r="JFM91" s="609"/>
      <c r="JFN91" s="609"/>
      <c r="JFO91" s="609"/>
      <c r="JFP91" s="609"/>
      <c r="JFQ91" s="609"/>
      <c r="JFR91" s="609"/>
      <c r="JFS91" s="609"/>
      <c r="JFT91" s="609"/>
      <c r="JFU91" s="609"/>
      <c r="JFV91" s="609"/>
      <c r="JFW91" s="609"/>
      <c r="JFX91" s="609"/>
      <c r="JFY91" s="609"/>
      <c r="JFZ91" s="609"/>
      <c r="JGA91" s="609"/>
      <c r="JGB91" s="609"/>
      <c r="JGC91" s="609"/>
      <c r="JGD91" s="609"/>
      <c r="JGE91" s="609"/>
      <c r="JGF91" s="609"/>
      <c r="JGG91" s="609"/>
      <c r="JGH91" s="609"/>
      <c r="JGI91" s="609"/>
      <c r="JGJ91" s="609"/>
      <c r="JGK91" s="609"/>
      <c r="JGL91" s="609"/>
      <c r="JGM91" s="609"/>
      <c r="JGN91" s="609"/>
      <c r="JGO91" s="609"/>
      <c r="JGP91" s="609"/>
      <c r="JGQ91" s="609"/>
      <c r="JGR91" s="609"/>
      <c r="JGS91" s="609"/>
      <c r="JGT91" s="609"/>
      <c r="JGU91" s="609"/>
      <c r="JGV91" s="609"/>
      <c r="JGW91" s="609"/>
      <c r="JGX91" s="609"/>
      <c r="JGY91" s="609"/>
      <c r="JGZ91" s="609"/>
      <c r="JHA91" s="609"/>
      <c r="JHB91" s="609"/>
      <c r="JHC91" s="609"/>
      <c r="JHD91" s="609"/>
      <c r="JHE91" s="609"/>
      <c r="JHF91" s="609"/>
      <c r="JHG91" s="609"/>
      <c r="JHH91" s="609"/>
      <c r="JHI91" s="609"/>
      <c r="JHJ91" s="609"/>
      <c r="JHK91" s="609"/>
      <c r="JHL91" s="609"/>
      <c r="JHM91" s="609"/>
      <c r="JHN91" s="609"/>
      <c r="JHO91" s="609"/>
      <c r="JHP91" s="609"/>
      <c r="JHQ91" s="609"/>
      <c r="JHR91" s="609"/>
      <c r="JHS91" s="609"/>
      <c r="JHT91" s="609"/>
      <c r="JHU91" s="609"/>
      <c r="JHV91" s="609"/>
      <c r="JHW91" s="609"/>
      <c r="JHX91" s="609"/>
      <c r="JHY91" s="609"/>
      <c r="JHZ91" s="609"/>
      <c r="JIA91" s="609"/>
      <c r="JIB91" s="609"/>
      <c r="JIC91" s="609"/>
      <c r="JID91" s="609"/>
      <c r="JIE91" s="609"/>
      <c r="JIF91" s="609"/>
      <c r="JIG91" s="609"/>
      <c r="JIH91" s="609"/>
      <c r="JII91" s="609"/>
      <c r="JIJ91" s="609"/>
      <c r="JIK91" s="609"/>
      <c r="JIL91" s="609"/>
      <c r="JIM91" s="609"/>
      <c r="JIN91" s="609"/>
      <c r="JIO91" s="609"/>
      <c r="JIP91" s="609"/>
      <c r="JIQ91" s="609"/>
      <c r="JIR91" s="609"/>
      <c r="JIS91" s="609"/>
      <c r="JIT91" s="609"/>
      <c r="JIU91" s="609"/>
      <c r="JIV91" s="609"/>
      <c r="JIW91" s="609"/>
      <c r="JIX91" s="609"/>
      <c r="JIY91" s="609"/>
      <c r="JIZ91" s="609"/>
      <c r="JJA91" s="609"/>
      <c r="JJB91" s="609"/>
      <c r="JJC91" s="609"/>
      <c r="JJD91" s="609"/>
      <c r="JJE91" s="609"/>
      <c r="JJF91" s="609"/>
      <c r="JJG91" s="609"/>
      <c r="JJH91" s="609"/>
      <c r="JJI91" s="609"/>
      <c r="JJJ91" s="609"/>
      <c r="JJK91" s="609"/>
      <c r="JJL91" s="609"/>
      <c r="JJM91" s="609"/>
      <c r="JJN91" s="609"/>
      <c r="JJO91" s="609"/>
      <c r="JJP91" s="609"/>
      <c r="JJQ91" s="609"/>
      <c r="JJR91" s="609"/>
      <c r="JJS91" s="609"/>
      <c r="JJT91" s="609"/>
      <c r="JJU91" s="609"/>
      <c r="JJV91" s="609"/>
      <c r="JJW91" s="609"/>
      <c r="JJX91" s="609"/>
      <c r="JJY91" s="609"/>
      <c r="JJZ91" s="609"/>
      <c r="JKA91" s="609"/>
      <c r="JKB91" s="609"/>
      <c r="JKC91" s="609"/>
      <c r="JKD91" s="609"/>
      <c r="JKE91" s="609"/>
      <c r="JKF91" s="609"/>
      <c r="JKG91" s="609"/>
      <c r="JKH91" s="609"/>
      <c r="JKI91" s="609"/>
      <c r="JKJ91" s="609"/>
      <c r="JKK91" s="609"/>
      <c r="JKL91" s="609"/>
      <c r="JKM91" s="609"/>
      <c r="JKN91" s="609"/>
      <c r="JKO91" s="609"/>
      <c r="JKP91" s="609"/>
      <c r="JKQ91" s="609"/>
      <c r="JKR91" s="609"/>
      <c r="JKS91" s="609"/>
      <c r="JKT91" s="609"/>
      <c r="JKU91" s="609"/>
      <c r="JKV91" s="609"/>
      <c r="JKW91" s="609"/>
      <c r="JKX91" s="609"/>
      <c r="JKY91" s="609"/>
      <c r="JKZ91" s="609"/>
      <c r="JLA91" s="609"/>
      <c r="JLB91" s="609"/>
      <c r="JLC91" s="609"/>
      <c r="JLD91" s="609"/>
      <c r="JLE91" s="609"/>
      <c r="JLF91" s="609"/>
      <c r="JLG91" s="609"/>
      <c r="JLH91" s="609"/>
      <c r="JLI91" s="609"/>
      <c r="JLJ91" s="609"/>
      <c r="JLK91" s="609"/>
      <c r="JLL91" s="609"/>
      <c r="JLM91" s="609"/>
      <c r="JLN91" s="609"/>
      <c r="JLO91" s="609"/>
      <c r="JLP91" s="609"/>
      <c r="JLQ91" s="609"/>
      <c r="JLR91" s="609"/>
      <c r="JLS91" s="609"/>
      <c r="JLT91" s="609"/>
      <c r="JLU91" s="609"/>
      <c r="JLV91" s="609"/>
      <c r="JLW91" s="609"/>
      <c r="JLX91" s="609"/>
      <c r="JLY91" s="609"/>
      <c r="JLZ91" s="609"/>
      <c r="JMA91" s="609"/>
      <c r="JMB91" s="609"/>
      <c r="JMC91" s="609"/>
      <c r="JMD91" s="609"/>
      <c r="JME91" s="609"/>
      <c r="JMF91" s="609"/>
      <c r="JMG91" s="609"/>
      <c r="JMH91" s="609"/>
      <c r="JMI91" s="609"/>
      <c r="JMJ91" s="609"/>
      <c r="JMK91" s="609"/>
      <c r="JML91" s="609"/>
      <c r="JMM91" s="609"/>
      <c r="JMN91" s="609"/>
      <c r="JMO91" s="609"/>
      <c r="JMP91" s="609"/>
      <c r="JMQ91" s="609"/>
      <c r="JMR91" s="609"/>
      <c r="JMS91" s="609"/>
      <c r="JMT91" s="609"/>
      <c r="JMU91" s="609"/>
      <c r="JMV91" s="609"/>
      <c r="JMW91" s="609"/>
      <c r="JMX91" s="609"/>
      <c r="JMY91" s="609"/>
      <c r="JMZ91" s="609"/>
      <c r="JNA91" s="609"/>
      <c r="JNB91" s="609"/>
      <c r="JNC91" s="609"/>
      <c r="JND91" s="609"/>
      <c r="JNE91" s="609"/>
      <c r="JNF91" s="609"/>
      <c r="JNG91" s="609"/>
      <c r="JNH91" s="609"/>
      <c r="JNI91" s="609"/>
      <c r="JNJ91" s="609"/>
      <c r="JNK91" s="609"/>
      <c r="JNL91" s="609"/>
      <c r="JNM91" s="609"/>
      <c r="JNN91" s="609"/>
      <c r="JNO91" s="609"/>
      <c r="JNP91" s="609"/>
      <c r="JNQ91" s="609"/>
      <c r="JNR91" s="609"/>
      <c r="JNS91" s="609"/>
      <c r="JNT91" s="609"/>
      <c r="JNU91" s="609"/>
      <c r="JNV91" s="609"/>
      <c r="JNW91" s="609"/>
      <c r="JNX91" s="609"/>
      <c r="JNY91" s="609"/>
      <c r="JNZ91" s="609"/>
      <c r="JOA91" s="609"/>
      <c r="JOB91" s="609"/>
      <c r="JOC91" s="609"/>
      <c r="JOD91" s="609"/>
      <c r="JOE91" s="609"/>
      <c r="JOF91" s="609"/>
      <c r="JOG91" s="609"/>
      <c r="JOH91" s="609"/>
      <c r="JOI91" s="609"/>
      <c r="JOJ91" s="609"/>
      <c r="JOK91" s="609"/>
      <c r="JOL91" s="609"/>
      <c r="JOM91" s="609"/>
      <c r="JON91" s="609"/>
      <c r="JOO91" s="609"/>
      <c r="JOP91" s="609"/>
      <c r="JOQ91" s="609"/>
      <c r="JOR91" s="609"/>
      <c r="JOS91" s="609"/>
      <c r="JOT91" s="609"/>
      <c r="JOU91" s="609"/>
      <c r="JOV91" s="609"/>
      <c r="JOW91" s="609"/>
      <c r="JOX91" s="609"/>
      <c r="JOY91" s="609"/>
      <c r="JOZ91" s="609"/>
      <c r="JPA91" s="609"/>
      <c r="JPB91" s="609"/>
      <c r="JPC91" s="609"/>
      <c r="JPD91" s="609"/>
      <c r="JPE91" s="609"/>
      <c r="JPF91" s="609"/>
      <c r="JPG91" s="609"/>
      <c r="JPH91" s="609"/>
      <c r="JPI91" s="609"/>
      <c r="JPJ91" s="609"/>
      <c r="JPK91" s="609"/>
      <c r="JPL91" s="609"/>
      <c r="JPM91" s="609"/>
      <c r="JPN91" s="609"/>
      <c r="JPO91" s="609"/>
      <c r="JPP91" s="609"/>
      <c r="JPQ91" s="609"/>
      <c r="JPR91" s="609"/>
      <c r="JPS91" s="609"/>
      <c r="JPT91" s="609"/>
      <c r="JPU91" s="609"/>
      <c r="JPV91" s="609"/>
      <c r="JPW91" s="609"/>
      <c r="JPX91" s="609"/>
      <c r="JPY91" s="609"/>
      <c r="JPZ91" s="609"/>
      <c r="JQA91" s="609"/>
      <c r="JQB91" s="609"/>
      <c r="JQC91" s="609"/>
      <c r="JQD91" s="609"/>
      <c r="JQE91" s="609"/>
      <c r="JQF91" s="609"/>
      <c r="JQG91" s="609"/>
      <c r="JQH91" s="609"/>
      <c r="JQI91" s="609"/>
      <c r="JQJ91" s="609"/>
      <c r="JQK91" s="609"/>
      <c r="JQL91" s="609"/>
      <c r="JQM91" s="609"/>
      <c r="JQN91" s="609"/>
      <c r="JQO91" s="609"/>
      <c r="JQP91" s="609"/>
      <c r="JQQ91" s="609"/>
      <c r="JQR91" s="609"/>
      <c r="JQS91" s="609"/>
      <c r="JQT91" s="609"/>
      <c r="JQU91" s="609"/>
      <c r="JQV91" s="609"/>
      <c r="JQW91" s="609"/>
      <c r="JQX91" s="609"/>
      <c r="JQY91" s="609"/>
      <c r="JQZ91" s="609"/>
      <c r="JRA91" s="609"/>
      <c r="JRB91" s="609"/>
      <c r="JRC91" s="609"/>
      <c r="JRD91" s="609"/>
      <c r="JRE91" s="609"/>
      <c r="JRF91" s="609"/>
      <c r="JRG91" s="609"/>
      <c r="JRH91" s="609"/>
      <c r="JRI91" s="609"/>
      <c r="JRJ91" s="609"/>
      <c r="JRK91" s="609"/>
      <c r="JRL91" s="609"/>
      <c r="JRM91" s="609"/>
      <c r="JRN91" s="609"/>
      <c r="JRO91" s="609"/>
      <c r="JRP91" s="609"/>
      <c r="JRQ91" s="609"/>
      <c r="JRR91" s="609"/>
      <c r="JRS91" s="609"/>
      <c r="JRT91" s="609"/>
      <c r="JRU91" s="609"/>
      <c r="JRV91" s="609"/>
      <c r="JRW91" s="609"/>
      <c r="JRX91" s="609"/>
      <c r="JRY91" s="609"/>
      <c r="JRZ91" s="609"/>
      <c r="JSA91" s="609"/>
      <c r="JSB91" s="609"/>
      <c r="JSC91" s="609"/>
      <c r="JSD91" s="609"/>
      <c r="JSE91" s="609"/>
      <c r="JSF91" s="609"/>
      <c r="JSG91" s="609"/>
      <c r="JSH91" s="609"/>
      <c r="JSI91" s="609"/>
      <c r="JSJ91" s="609"/>
      <c r="JSK91" s="609"/>
      <c r="JSL91" s="609"/>
      <c r="JSM91" s="609"/>
      <c r="JSN91" s="609"/>
      <c r="JSO91" s="609"/>
      <c r="JSP91" s="609"/>
      <c r="JSQ91" s="609"/>
      <c r="JSR91" s="609"/>
      <c r="JSS91" s="609"/>
      <c r="JST91" s="609"/>
      <c r="JSU91" s="609"/>
      <c r="JSV91" s="609"/>
      <c r="JSW91" s="609"/>
      <c r="JSX91" s="609"/>
      <c r="JSY91" s="609"/>
      <c r="JSZ91" s="609"/>
      <c r="JTA91" s="609"/>
      <c r="JTB91" s="609"/>
      <c r="JTC91" s="609"/>
      <c r="JTD91" s="609"/>
      <c r="JTE91" s="609"/>
      <c r="JTF91" s="609"/>
      <c r="JTG91" s="609"/>
      <c r="JTH91" s="609"/>
      <c r="JTI91" s="609"/>
      <c r="JTJ91" s="609"/>
      <c r="JTK91" s="609"/>
      <c r="JTL91" s="609"/>
      <c r="JTM91" s="609"/>
      <c r="JTN91" s="609"/>
      <c r="JTO91" s="609"/>
      <c r="JTP91" s="609"/>
      <c r="JTQ91" s="609"/>
      <c r="JTR91" s="609"/>
      <c r="JTS91" s="609"/>
      <c r="JTT91" s="609"/>
      <c r="JTU91" s="609"/>
      <c r="JTV91" s="609"/>
      <c r="JTW91" s="609"/>
      <c r="JTX91" s="609"/>
      <c r="JTY91" s="609"/>
      <c r="JTZ91" s="609"/>
      <c r="JUA91" s="609"/>
      <c r="JUB91" s="609"/>
      <c r="JUC91" s="609"/>
      <c r="JUD91" s="609"/>
      <c r="JUE91" s="609"/>
      <c r="JUF91" s="609"/>
      <c r="JUG91" s="609"/>
      <c r="JUH91" s="609"/>
      <c r="JUI91" s="609"/>
      <c r="JUJ91" s="609"/>
      <c r="JUK91" s="609"/>
      <c r="JUL91" s="609"/>
      <c r="JUM91" s="609"/>
      <c r="JUN91" s="609"/>
      <c r="JUO91" s="609"/>
      <c r="JUP91" s="609"/>
      <c r="JUQ91" s="609"/>
      <c r="JUR91" s="609"/>
      <c r="JUS91" s="609"/>
      <c r="JUT91" s="609"/>
      <c r="JUU91" s="609"/>
      <c r="JUV91" s="609"/>
      <c r="JUW91" s="609"/>
      <c r="JUX91" s="609"/>
      <c r="JUY91" s="609"/>
      <c r="JUZ91" s="609"/>
      <c r="JVA91" s="609"/>
      <c r="JVB91" s="609"/>
      <c r="JVC91" s="609"/>
      <c r="JVD91" s="609"/>
      <c r="JVE91" s="609"/>
      <c r="JVF91" s="609"/>
      <c r="JVG91" s="609"/>
      <c r="JVH91" s="609"/>
      <c r="JVI91" s="609"/>
      <c r="JVJ91" s="609"/>
      <c r="JVK91" s="609"/>
      <c r="JVL91" s="609"/>
      <c r="JVM91" s="609"/>
      <c r="JVN91" s="609"/>
      <c r="JVO91" s="609"/>
      <c r="JVP91" s="609"/>
      <c r="JVQ91" s="609"/>
      <c r="JVR91" s="609"/>
      <c r="JVS91" s="609"/>
      <c r="JVT91" s="609"/>
      <c r="JVU91" s="609"/>
      <c r="JVV91" s="609"/>
      <c r="JVW91" s="609"/>
      <c r="JVX91" s="609"/>
      <c r="JVY91" s="609"/>
      <c r="JVZ91" s="609"/>
      <c r="JWA91" s="609"/>
      <c r="JWB91" s="609"/>
      <c r="JWC91" s="609"/>
      <c r="JWD91" s="609"/>
      <c r="JWE91" s="609"/>
      <c r="JWF91" s="609"/>
      <c r="JWG91" s="609"/>
      <c r="JWH91" s="609"/>
      <c r="JWI91" s="609"/>
      <c r="JWJ91" s="609"/>
      <c r="JWK91" s="609"/>
      <c r="JWL91" s="609"/>
      <c r="JWM91" s="609"/>
      <c r="JWN91" s="609"/>
      <c r="JWO91" s="609"/>
      <c r="JWP91" s="609"/>
      <c r="JWQ91" s="609"/>
      <c r="JWR91" s="609"/>
      <c r="JWS91" s="609"/>
      <c r="JWT91" s="609"/>
      <c r="JWU91" s="609"/>
      <c r="JWV91" s="609"/>
      <c r="JWW91" s="609"/>
      <c r="JWX91" s="609"/>
      <c r="JWY91" s="609"/>
      <c r="JWZ91" s="609"/>
      <c r="JXA91" s="609"/>
      <c r="JXB91" s="609"/>
      <c r="JXC91" s="609"/>
      <c r="JXD91" s="609"/>
      <c r="JXE91" s="609"/>
      <c r="JXF91" s="609"/>
      <c r="JXG91" s="609"/>
      <c r="JXH91" s="609"/>
      <c r="JXI91" s="609"/>
      <c r="JXJ91" s="609"/>
      <c r="JXK91" s="609"/>
      <c r="JXL91" s="609"/>
      <c r="JXM91" s="609"/>
      <c r="JXN91" s="609"/>
      <c r="JXO91" s="609"/>
      <c r="JXP91" s="609"/>
      <c r="JXQ91" s="609"/>
      <c r="JXR91" s="609"/>
      <c r="JXS91" s="609"/>
      <c r="JXT91" s="609"/>
      <c r="JXU91" s="609"/>
      <c r="JXV91" s="609"/>
      <c r="JXW91" s="609"/>
      <c r="JXX91" s="609"/>
      <c r="JXY91" s="609"/>
      <c r="JXZ91" s="609"/>
      <c r="JYA91" s="609"/>
      <c r="JYB91" s="609"/>
      <c r="JYC91" s="609"/>
      <c r="JYD91" s="609"/>
      <c r="JYE91" s="609"/>
      <c r="JYF91" s="609"/>
      <c r="JYG91" s="609"/>
      <c r="JYH91" s="609"/>
      <c r="JYI91" s="609"/>
      <c r="JYJ91" s="609"/>
      <c r="JYK91" s="609"/>
      <c r="JYL91" s="609"/>
      <c r="JYM91" s="609"/>
      <c r="JYN91" s="609"/>
      <c r="JYO91" s="609"/>
      <c r="JYP91" s="609"/>
      <c r="JYQ91" s="609"/>
      <c r="JYR91" s="609"/>
      <c r="JYS91" s="609"/>
      <c r="JYT91" s="609"/>
      <c r="JYU91" s="609"/>
      <c r="JYV91" s="609"/>
      <c r="JYW91" s="609"/>
      <c r="JYX91" s="609"/>
      <c r="JYY91" s="609"/>
      <c r="JYZ91" s="609"/>
      <c r="JZA91" s="609"/>
      <c r="JZB91" s="609"/>
      <c r="JZC91" s="609"/>
      <c r="JZD91" s="609"/>
      <c r="JZE91" s="609"/>
      <c r="JZF91" s="609"/>
      <c r="JZG91" s="609"/>
      <c r="JZH91" s="609"/>
      <c r="JZI91" s="609"/>
      <c r="JZJ91" s="609"/>
      <c r="JZK91" s="609"/>
      <c r="JZL91" s="609"/>
      <c r="JZM91" s="609"/>
      <c r="JZN91" s="609"/>
      <c r="JZO91" s="609"/>
      <c r="JZP91" s="609"/>
      <c r="JZQ91" s="609"/>
      <c r="JZR91" s="609"/>
      <c r="JZS91" s="609"/>
      <c r="JZT91" s="609"/>
      <c r="JZU91" s="609"/>
      <c r="JZV91" s="609"/>
      <c r="JZW91" s="609"/>
      <c r="JZX91" s="609"/>
      <c r="JZY91" s="609"/>
      <c r="JZZ91" s="609"/>
      <c r="KAA91" s="609"/>
      <c r="KAB91" s="609"/>
      <c r="KAC91" s="609"/>
      <c r="KAD91" s="609"/>
      <c r="KAE91" s="609"/>
      <c r="KAF91" s="609"/>
      <c r="KAG91" s="609"/>
      <c r="KAH91" s="609"/>
      <c r="KAI91" s="609"/>
      <c r="KAJ91" s="609"/>
      <c r="KAK91" s="609"/>
      <c r="KAL91" s="609"/>
      <c r="KAM91" s="609"/>
      <c r="KAN91" s="609"/>
      <c r="KAO91" s="609"/>
      <c r="KAP91" s="609"/>
      <c r="KAQ91" s="609"/>
      <c r="KAR91" s="609"/>
      <c r="KAS91" s="609"/>
      <c r="KAT91" s="609"/>
      <c r="KAU91" s="609"/>
      <c r="KAV91" s="609"/>
      <c r="KAW91" s="609"/>
      <c r="KAX91" s="609"/>
      <c r="KAY91" s="609"/>
      <c r="KAZ91" s="609"/>
      <c r="KBA91" s="609"/>
      <c r="KBB91" s="609"/>
      <c r="KBC91" s="609"/>
      <c r="KBD91" s="609"/>
      <c r="KBE91" s="609"/>
      <c r="KBF91" s="609"/>
      <c r="KBG91" s="609"/>
      <c r="KBH91" s="609"/>
      <c r="KBI91" s="609"/>
      <c r="KBJ91" s="609"/>
      <c r="KBK91" s="609"/>
      <c r="KBL91" s="609"/>
      <c r="KBM91" s="609"/>
      <c r="KBN91" s="609"/>
      <c r="KBO91" s="609"/>
      <c r="KBP91" s="609"/>
      <c r="KBQ91" s="609"/>
      <c r="KBR91" s="609"/>
      <c r="KBS91" s="609"/>
      <c r="KBT91" s="609"/>
      <c r="KBU91" s="609"/>
      <c r="KBV91" s="609"/>
      <c r="KBW91" s="609"/>
      <c r="KBX91" s="609"/>
      <c r="KBY91" s="609"/>
      <c r="KBZ91" s="609"/>
      <c r="KCA91" s="609"/>
      <c r="KCB91" s="609"/>
      <c r="KCC91" s="609"/>
      <c r="KCD91" s="609"/>
      <c r="KCE91" s="609"/>
      <c r="KCF91" s="609"/>
      <c r="KCG91" s="609"/>
      <c r="KCH91" s="609"/>
      <c r="KCI91" s="609"/>
      <c r="KCJ91" s="609"/>
      <c r="KCK91" s="609"/>
      <c r="KCL91" s="609"/>
      <c r="KCM91" s="609"/>
      <c r="KCN91" s="609"/>
      <c r="KCO91" s="609"/>
      <c r="KCP91" s="609"/>
      <c r="KCQ91" s="609"/>
      <c r="KCR91" s="609"/>
      <c r="KCS91" s="609"/>
      <c r="KCT91" s="609"/>
      <c r="KCU91" s="609"/>
      <c r="KCV91" s="609"/>
      <c r="KCW91" s="609"/>
      <c r="KCX91" s="609"/>
      <c r="KCY91" s="609"/>
      <c r="KCZ91" s="609"/>
      <c r="KDA91" s="609"/>
      <c r="KDB91" s="609"/>
      <c r="KDC91" s="609"/>
      <c r="KDD91" s="609"/>
      <c r="KDE91" s="609"/>
      <c r="KDF91" s="609"/>
      <c r="KDG91" s="609"/>
      <c r="KDH91" s="609"/>
      <c r="KDI91" s="609"/>
      <c r="KDJ91" s="609"/>
      <c r="KDK91" s="609"/>
      <c r="KDL91" s="609"/>
      <c r="KDM91" s="609"/>
      <c r="KDN91" s="609"/>
      <c r="KDO91" s="609"/>
      <c r="KDP91" s="609"/>
      <c r="KDQ91" s="609"/>
      <c r="KDR91" s="609"/>
      <c r="KDS91" s="609"/>
      <c r="KDT91" s="609"/>
      <c r="KDU91" s="609"/>
      <c r="KDV91" s="609"/>
      <c r="KDW91" s="609"/>
      <c r="KDX91" s="609"/>
      <c r="KDY91" s="609"/>
      <c r="KDZ91" s="609"/>
      <c r="KEA91" s="609"/>
      <c r="KEB91" s="609"/>
      <c r="KEC91" s="609"/>
      <c r="KED91" s="609"/>
      <c r="KEE91" s="609"/>
      <c r="KEF91" s="609"/>
      <c r="KEG91" s="609"/>
      <c r="KEH91" s="609"/>
      <c r="KEI91" s="609"/>
      <c r="KEJ91" s="609"/>
      <c r="KEK91" s="609"/>
      <c r="KEL91" s="609"/>
      <c r="KEM91" s="609"/>
      <c r="KEN91" s="609"/>
      <c r="KEO91" s="609"/>
      <c r="KEP91" s="609"/>
      <c r="KEQ91" s="609"/>
      <c r="KER91" s="609"/>
      <c r="KES91" s="609"/>
      <c r="KET91" s="609"/>
      <c r="KEU91" s="609"/>
      <c r="KEV91" s="609"/>
      <c r="KEW91" s="609"/>
      <c r="KEX91" s="609"/>
      <c r="KEY91" s="609"/>
      <c r="KEZ91" s="609"/>
      <c r="KFA91" s="609"/>
      <c r="KFB91" s="609"/>
      <c r="KFC91" s="609"/>
      <c r="KFD91" s="609"/>
      <c r="KFE91" s="609"/>
      <c r="KFF91" s="609"/>
      <c r="KFG91" s="609"/>
      <c r="KFH91" s="609"/>
      <c r="KFI91" s="609"/>
      <c r="KFJ91" s="609"/>
      <c r="KFK91" s="609"/>
      <c r="KFL91" s="609"/>
      <c r="KFM91" s="609"/>
      <c r="KFN91" s="609"/>
      <c r="KFO91" s="609"/>
      <c r="KFP91" s="609"/>
      <c r="KFQ91" s="609"/>
      <c r="KFR91" s="609"/>
      <c r="KFS91" s="609"/>
      <c r="KFT91" s="609"/>
      <c r="KFU91" s="609"/>
      <c r="KFV91" s="609"/>
      <c r="KFW91" s="609"/>
      <c r="KFX91" s="609"/>
      <c r="KFY91" s="609"/>
      <c r="KFZ91" s="609"/>
      <c r="KGA91" s="609"/>
      <c r="KGB91" s="609"/>
      <c r="KGC91" s="609"/>
      <c r="KGD91" s="609"/>
      <c r="KGE91" s="609"/>
      <c r="KGF91" s="609"/>
      <c r="KGG91" s="609"/>
      <c r="KGH91" s="609"/>
      <c r="KGI91" s="609"/>
      <c r="KGJ91" s="609"/>
      <c r="KGK91" s="609"/>
      <c r="KGL91" s="609"/>
      <c r="KGM91" s="609"/>
      <c r="KGN91" s="609"/>
      <c r="KGO91" s="609"/>
      <c r="KGP91" s="609"/>
      <c r="KGQ91" s="609"/>
      <c r="KGR91" s="609"/>
      <c r="KGS91" s="609"/>
      <c r="KGT91" s="609"/>
      <c r="KGU91" s="609"/>
      <c r="KGV91" s="609"/>
      <c r="KGW91" s="609"/>
      <c r="KGX91" s="609"/>
      <c r="KGY91" s="609"/>
      <c r="KGZ91" s="609"/>
      <c r="KHA91" s="609"/>
      <c r="KHB91" s="609"/>
      <c r="KHC91" s="609"/>
      <c r="KHD91" s="609"/>
      <c r="KHE91" s="609"/>
      <c r="KHF91" s="609"/>
      <c r="KHG91" s="609"/>
      <c r="KHH91" s="609"/>
      <c r="KHI91" s="609"/>
      <c r="KHJ91" s="609"/>
      <c r="KHK91" s="609"/>
      <c r="KHL91" s="609"/>
      <c r="KHM91" s="609"/>
      <c r="KHN91" s="609"/>
      <c r="KHO91" s="609"/>
      <c r="KHP91" s="609"/>
      <c r="KHQ91" s="609"/>
      <c r="KHR91" s="609"/>
      <c r="KHS91" s="609"/>
      <c r="KHT91" s="609"/>
      <c r="KHU91" s="609"/>
      <c r="KHV91" s="609"/>
      <c r="KHW91" s="609"/>
      <c r="KHX91" s="609"/>
      <c r="KHY91" s="609"/>
      <c r="KHZ91" s="609"/>
      <c r="KIA91" s="609"/>
      <c r="KIB91" s="609"/>
      <c r="KIC91" s="609"/>
      <c r="KID91" s="609"/>
      <c r="KIE91" s="609"/>
      <c r="KIF91" s="609"/>
      <c r="KIG91" s="609"/>
      <c r="KIH91" s="609"/>
      <c r="KII91" s="609"/>
      <c r="KIJ91" s="609"/>
      <c r="KIK91" s="609"/>
      <c r="KIL91" s="609"/>
      <c r="KIM91" s="609"/>
      <c r="KIN91" s="609"/>
      <c r="KIO91" s="609"/>
      <c r="KIP91" s="609"/>
      <c r="KIQ91" s="609"/>
      <c r="KIR91" s="609"/>
      <c r="KIS91" s="609"/>
      <c r="KIT91" s="609"/>
      <c r="KIU91" s="609"/>
      <c r="KIV91" s="609"/>
      <c r="KIW91" s="609"/>
      <c r="KIX91" s="609"/>
      <c r="KIY91" s="609"/>
      <c r="KIZ91" s="609"/>
      <c r="KJA91" s="609"/>
      <c r="KJB91" s="609"/>
      <c r="KJC91" s="609"/>
      <c r="KJD91" s="609"/>
      <c r="KJE91" s="609"/>
      <c r="KJF91" s="609"/>
      <c r="KJG91" s="609"/>
      <c r="KJH91" s="609"/>
      <c r="KJI91" s="609"/>
      <c r="KJJ91" s="609"/>
      <c r="KJK91" s="609"/>
      <c r="KJL91" s="609"/>
      <c r="KJM91" s="609"/>
      <c r="KJN91" s="609"/>
      <c r="KJO91" s="609"/>
      <c r="KJP91" s="609"/>
      <c r="KJQ91" s="609"/>
      <c r="KJR91" s="609"/>
      <c r="KJS91" s="609"/>
      <c r="KJT91" s="609"/>
      <c r="KJU91" s="609"/>
      <c r="KJV91" s="609"/>
      <c r="KJW91" s="609"/>
      <c r="KJX91" s="609"/>
      <c r="KJY91" s="609"/>
      <c r="KJZ91" s="609"/>
      <c r="KKA91" s="609"/>
      <c r="KKB91" s="609"/>
      <c r="KKC91" s="609"/>
      <c r="KKD91" s="609"/>
      <c r="KKE91" s="609"/>
      <c r="KKF91" s="609"/>
      <c r="KKG91" s="609"/>
      <c r="KKH91" s="609"/>
      <c r="KKI91" s="609"/>
      <c r="KKJ91" s="609"/>
      <c r="KKK91" s="609"/>
      <c r="KKL91" s="609"/>
      <c r="KKM91" s="609"/>
      <c r="KKN91" s="609"/>
      <c r="KKO91" s="609"/>
      <c r="KKP91" s="609"/>
      <c r="KKQ91" s="609"/>
      <c r="KKR91" s="609"/>
      <c r="KKS91" s="609"/>
      <c r="KKT91" s="609"/>
      <c r="KKU91" s="609"/>
      <c r="KKV91" s="609"/>
      <c r="KKW91" s="609"/>
      <c r="KKX91" s="609"/>
      <c r="KKY91" s="609"/>
      <c r="KKZ91" s="609"/>
      <c r="KLA91" s="609"/>
      <c r="KLB91" s="609"/>
      <c r="KLC91" s="609"/>
      <c r="KLD91" s="609"/>
      <c r="KLE91" s="609"/>
      <c r="KLF91" s="609"/>
      <c r="KLG91" s="609"/>
      <c r="KLH91" s="609"/>
      <c r="KLI91" s="609"/>
      <c r="KLJ91" s="609"/>
      <c r="KLK91" s="609"/>
      <c r="KLL91" s="609"/>
      <c r="KLM91" s="609"/>
      <c r="KLN91" s="609"/>
      <c r="KLO91" s="609"/>
      <c r="KLP91" s="609"/>
      <c r="KLQ91" s="609"/>
      <c r="KLR91" s="609"/>
      <c r="KLS91" s="609"/>
      <c r="KLT91" s="609"/>
      <c r="KLU91" s="609"/>
      <c r="KLV91" s="609"/>
      <c r="KLW91" s="609"/>
      <c r="KLX91" s="609"/>
      <c r="KLY91" s="609"/>
      <c r="KLZ91" s="609"/>
      <c r="KMA91" s="609"/>
      <c r="KMB91" s="609"/>
      <c r="KMC91" s="609"/>
      <c r="KMD91" s="609"/>
      <c r="KME91" s="609"/>
      <c r="KMF91" s="609"/>
      <c r="KMG91" s="609"/>
      <c r="KMH91" s="609"/>
      <c r="KMI91" s="609"/>
      <c r="KMJ91" s="609"/>
      <c r="KMK91" s="609"/>
      <c r="KML91" s="609"/>
      <c r="KMM91" s="609"/>
      <c r="KMN91" s="609"/>
      <c r="KMO91" s="609"/>
      <c r="KMP91" s="609"/>
      <c r="KMQ91" s="609"/>
      <c r="KMR91" s="609"/>
      <c r="KMS91" s="609"/>
      <c r="KMT91" s="609"/>
      <c r="KMU91" s="609"/>
      <c r="KMV91" s="609"/>
      <c r="KMW91" s="609"/>
      <c r="KMX91" s="609"/>
      <c r="KMY91" s="609"/>
      <c r="KMZ91" s="609"/>
      <c r="KNA91" s="609"/>
      <c r="KNB91" s="609"/>
      <c r="KNC91" s="609"/>
      <c r="KND91" s="609"/>
      <c r="KNE91" s="609"/>
      <c r="KNF91" s="609"/>
      <c r="KNG91" s="609"/>
      <c r="KNH91" s="609"/>
      <c r="KNI91" s="609"/>
      <c r="KNJ91" s="609"/>
      <c r="KNK91" s="609"/>
      <c r="KNL91" s="609"/>
      <c r="KNM91" s="609"/>
      <c r="KNN91" s="609"/>
      <c r="KNO91" s="609"/>
      <c r="KNP91" s="609"/>
      <c r="KNQ91" s="609"/>
      <c r="KNR91" s="609"/>
      <c r="KNS91" s="609"/>
      <c r="KNT91" s="609"/>
      <c r="KNU91" s="609"/>
      <c r="KNV91" s="609"/>
      <c r="KNW91" s="609"/>
      <c r="KNX91" s="609"/>
      <c r="KNY91" s="609"/>
      <c r="KNZ91" s="609"/>
      <c r="KOA91" s="609"/>
      <c r="KOB91" s="609"/>
      <c r="KOC91" s="609"/>
      <c r="KOD91" s="609"/>
      <c r="KOE91" s="609"/>
      <c r="KOF91" s="609"/>
      <c r="KOG91" s="609"/>
      <c r="KOH91" s="609"/>
      <c r="KOI91" s="609"/>
      <c r="KOJ91" s="609"/>
      <c r="KOK91" s="609"/>
      <c r="KOL91" s="609"/>
      <c r="KOM91" s="609"/>
      <c r="KON91" s="609"/>
      <c r="KOO91" s="609"/>
      <c r="KOP91" s="609"/>
      <c r="KOQ91" s="609"/>
      <c r="KOR91" s="609"/>
      <c r="KOS91" s="609"/>
      <c r="KOT91" s="609"/>
      <c r="KOU91" s="609"/>
      <c r="KOV91" s="609"/>
      <c r="KOW91" s="609"/>
      <c r="KOX91" s="609"/>
      <c r="KOY91" s="609"/>
      <c r="KOZ91" s="609"/>
      <c r="KPA91" s="609"/>
      <c r="KPB91" s="609"/>
      <c r="KPC91" s="609"/>
      <c r="KPD91" s="609"/>
      <c r="KPE91" s="609"/>
      <c r="KPF91" s="609"/>
      <c r="KPG91" s="609"/>
      <c r="KPH91" s="609"/>
      <c r="KPI91" s="609"/>
      <c r="KPJ91" s="609"/>
      <c r="KPK91" s="609"/>
      <c r="KPL91" s="609"/>
      <c r="KPM91" s="609"/>
      <c r="KPN91" s="609"/>
      <c r="KPO91" s="609"/>
      <c r="KPP91" s="609"/>
      <c r="KPQ91" s="609"/>
      <c r="KPR91" s="609"/>
      <c r="KPS91" s="609"/>
      <c r="KPT91" s="609"/>
      <c r="KPU91" s="609"/>
      <c r="KPV91" s="609"/>
      <c r="KPW91" s="609"/>
      <c r="KPX91" s="609"/>
      <c r="KPY91" s="609"/>
      <c r="KPZ91" s="609"/>
      <c r="KQA91" s="609"/>
      <c r="KQB91" s="609"/>
      <c r="KQC91" s="609"/>
      <c r="KQD91" s="609"/>
      <c r="KQE91" s="609"/>
      <c r="KQF91" s="609"/>
      <c r="KQG91" s="609"/>
      <c r="KQH91" s="609"/>
      <c r="KQI91" s="609"/>
      <c r="KQJ91" s="609"/>
      <c r="KQK91" s="609"/>
      <c r="KQL91" s="609"/>
      <c r="KQM91" s="609"/>
      <c r="KQN91" s="609"/>
      <c r="KQO91" s="609"/>
      <c r="KQP91" s="609"/>
      <c r="KQQ91" s="609"/>
      <c r="KQR91" s="609"/>
      <c r="KQS91" s="609"/>
      <c r="KQT91" s="609"/>
      <c r="KQU91" s="609"/>
      <c r="KQV91" s="609"/>
      <c r="KQW91" s="609"/>
      <c r="KQX91" s="609"/>
      <c r="KQY91" s="609"/>
      <c r="KQZ91" s="609"/>
      <c r="KRA91" s="609"/>
      <c r="KRB91" s="609"/>
      <c r="KRC91" s="609"/>
      <c r="KRD91" s="609"/>
      <c r="KRE91" s="609"/>
      <c r="KRF91" s="609"/>
      <c r="KRG91" s="609"/>
      <c r="KRH91" s="609"/>
      <c r="KRI91" s="609"/>
      <c r="KRJ91" s="609"/>
      <c r="KRK91" s="609"/>
      <c r="KRL91" s="609"/>
      <c r="KRM91" s="609"/>
      <c r="KRN91" s="609"/>
      <c r="KRO91" s="609"/>
      <c r="KRP91" s="609"/>
      <c r="KRQ91" s="609"/>
      <c r="KRR91" s="609"/>
      <c r="KRS91" s="609"/>
      <c r="KRT91" s="609"/>
      <c r="KRU91" s="609"/>
      <c r="KRV91" s="609"/>
      <c r="KRW91" s="609"/>
      <c r="KRX91" s="609"/>
      <c r="KRY91" s="609"/>
      <c r="KRZ91" s="609"/>
      <c r="KSA91" s="609"/>
      <c r="KSB91" s="609"/>
      <c r="KSC91" s="609"/>
      <c r="KSD91" s="609"/>
      <c r="KSE91" s="609"/>
      <c r="KSF91" s="609"/>
      <c r="KSG91" s="609"/>
      <c r="KSH91" s="609"/>
      <c r="KSI91" s="609"/>
      <c r="KSJ91" s="609"/>
      <c r="KSK91" s="609"/>
      <c r="KSL91" s="609"/>
      <c r="KSM91" s="609"/>
      <c r="KSN91" s="609"/>
      <c r="KSO91" s="609"/>
      <c r="KSP91" s="609"/>
      <c r="KSQ91" s="609"/>
      <c r="KSR91" s="609"/>
      <c r="KSS91" s="609"/>
      <c r="KST91" s="609"/>
      <c r="KSU91" s="609"/>
      <c r="KSV91" s="609"/>
      <c r="KSW91" s="609"/>
      <c r="KSX91" s="609"/>
      <c r="KSY91" s="609"/>
      <c r="KSZ91" s="609"/>
      <c r="KTA91" s="609"/>
      <c r="KTB91" s="609"/>
      <c r="KTC91" s="609"/>
      <c r="KTD91" s="609"/>
      <c r="KTE91" s="609"/>
      <c r="KTF91" s="609"/>
      <c r="KTG91" s="609"/>
      <c r="KTH91" s="609"/>
      <c r="KTI91" s="609"/>
      <c r="KTJ91" s="609"/>
      <c r="KTK91" s="609"/>
      <c r="KTL91" s="609"/>
      <c r="KTM91" s="609"/>
      <c r="KTN91" s="609"/>
      <c r="KTO91" s="609"/>
      <c r="KTP91" s="609"/>
      <c r="KTQ91" s="609"/>
      <c r="KTR91" s="609"/>
      <c r="KTS91" s="609"/>
      <c r="KTT91" s="609"/>
      <c r="KTU91" s="609"/>
      <c r="KTV91" s="609"/>
      <c r="KTW91" s="609"/>
      <c r="KTX91" s="609"/>
      <c r="KTY91" s="609"/>
      <c r="KTZ91" s="609"/>
      <c r="KUA91" s="609"/>
      <c r="KUB91" s="609"/>
      <c r="KUC91" s="609"/>
      <c r="KUD91" s="609"/>
      <c r="KUE91" s="609"/>
      <c r="KUF91" s="609"/>
      <c r="KUG91" s="609"/>
      <c r="KUH91" s="609"/>
      <c r="KUI91" s="609"/>
      <c r="KUJ91" s="609"/>
      <c r="KUK91" s="609"/>
      <c r="KUL91" s="609"/>
      <c r="KUM91" s="609"/>
      <c r="KUN91" s="609"/>
      <c r="KUO91" s="609"/>
      <c r="KUP91" s="609"/>
      <c r="KUQ91" s="609"/>
      <c r="KUR91" s="609"/>
      <c r="KUS91" s="609"/>
      <c r="KUT91" s="609"/>
      <c r="KUU91" s="609"/>
      <c r="KUV91" s="609"/>
      <c r="KUW91" s="609"/>
      <c r="KUX91" s="609"/>
      <c r="KUY91" s="609"/>
      <c r="KUZ91" s="609"/>
      <c r="KVA91" s="609"/>
      <c r="KVB91" s="609"/>
      <c r="KVC91" s="609"/>
      <c r="KVD91" s="609"/>
      <c r="KVE91" s="609"/>
      <c r="KVF91" s="609"/>
      <c r="KVG91" s="609"/>
      <c r="KVH91" s="609"/>
      <c r="KVI91" s="609"/>
      <c r="KVJ91" s="609"/>
      <c r="KVK91" s="609"/>
      <c r="KVL91" s="609"/>
      <c r="KVM91" s="609"/>
      <c r="KVN91" s="609"/>
      <c r="KVO91" s="609"/>
      <c r="KVP91" s="609"/>
      <c r="KVQ91" s="609"/>
      <c r="KVR91" s="609"/>
      <c r="KVS91" s="609"/>
      <c r="KVT91" s="609"/>
      <c r="KVU91" s="609"/>
      <c r="KVV91" s="609"/>
      <c r="KVW91" s="609"/>
      <c r="KVX91" s="609"/>
      <c r="KVY91" s="609"/>
      <c r="KVZ91" s="609"/>
      <c r="KWA91" s="609"/>
      <c r="KWB91" s="609"/>
      <c r="KWC91" s="609"/>
      <c r="KWD91" s="609"/>
      <c r="KWE91" s="609"/>
      <c r="KWF91" s="609"/>
      <c r="KWG91" s="609"/>
      <c r="KWH91" s="609"/>
      <c r="KWI91" s="609"/>
      <c r="KWJ91" s="609"/>
      <c r="KWK91" s="609"/>
      <c r="KWL91" s="609"/>
      <c r="KWM91" s="609"/>
      <c r="KWN91" s="609"/>
      <c r="KWO91" s="609"/>
      <c r="KWP91" s="609"/>
      <c r="KWQ91" s="609"/>
      <c r="KWR91" s="609"/>
      <c r="KWS91" s="609"/>
      <c r="KWT91" s="609"/>
      <c r="KWU91" s="609"/>
      <c r="KWV91" s="609"/>
      <c r="KWW91" s="609"/>
      <c r="KWX91" s="609"/>
      <c r="KWY91" s="609"/>
      <c r="KWZ91" s="609"/>
      <c r="KXA91" s="609"/>
      <c r="KXB91" s="609"/>
      <c r="KXC91" s="609"/>
      <c r="KXD91" s="609"/>
      <c r="KXE91" s="609"/>
      <c r="KXF91" s="609"/>
      <c r="KXG91" s="609"/>
      <c r="KXH91" s="609"/>
      <c r="KXI91" s="609"/>
      <c r="KXJ91" s="609"/>
      <c r="KXK91" s="609"/>
      <c r="KXL91" s="609"/>
      <c r="KXM91" s="609"/>
      <c r="KXN91" s="609"/>
      <c r="KXO91" s="609"/>
      <c r="KXP91" s="609"/>
      <c r="KXQ91" s="609"/>
      <c r="KXR91" s="609"/>
      <c r="KXS91" s="609"/>
      <c r="KXT91" s="609"/>
      <c r="KXU91" s="609"/>
      <c r="KXV91" s="609"/>
      <c r="KXW91" s="609"/>
      <c r="KXX91" s="609"/>
      <c r="KXY91" s="609"/>
      <c r="KXZ91" s="609"/>
      <c r="KYA91" s="609"/>
      <c r="KYB91" s="609"/>
      <c r="KYC91" s="609"/>
      <c r="KYD91" s="609"/>
      <c r="KYE91" s="609"/>
      <c r="KYF91" s="609"/>
      <c r="KYG91" s="609"/>
      <c r="KYH91" s="609"/>
      <c r="KYI91" s="609"/>
      <c r="KYJ91" s="609"/>
      <c r="KYK91" s="609"/>
      <c r="KYL91" s="609"/>
      <c r="KYM91" s="609"/>
      <c r="KYN91" s="609"/>
      <c r="KYO91" s="609"/>
      <c r="KYP91" s="609"/>
      <c r="KYQ91" s="609"/>
      <c r="KYR91" s="609"/>
      <c r="KYS91" s="609"/>
      <c r="KYT91" s="609"/>
      <c r="KYU91" s="609"/>
      <c r="KYV91" s="609"/>
      <c r="KYW91" s="609"/>
      <c r="KYX91" s="609"/>
      <c r="KYY91" s="609"/>
      <c r="KYZ91" s="609"/>
      <c r="KZA91" s="609"/>
      <c r="KZB91" s="609"/>
      <c r="KZC91" s="609"/>
      <c r="KZD91" s="609"/>
      <c r="KZE91" s="609"/>
      <c r="KZF91" s="609"/>
      <c r="KZG91" s="609"/>
      <c r="KZH91" s="609"/>
      <c r="KZI91" s="609"/>
      <c r="KZJ91" s="609"/>
      <c r="KZK91" s="609"/>
      <c r="KZL91" s="609"/>
      <c r="KZM91" s="609"/>
      <c r="KZN91" s="609"/>
      <c r="KZO91" s="609"/>
      <c r="KZP91" s="609"/>
      <c r="KZQ91" s="609"/>
      <c r="KZR91" s="609"/>
      <c r="KZS91" s="609"/>
      <c r="KZT91" s="609"/>
      <c r="KZU91" s="609"/>
      <c r="KZV91" s="609"/>
      <c r="KZW91" s="609"/>
      <c r="KZX91" s="609"/>
      <c r="KZY91" s="609"/>
      <c r="KZZ91" s="609"/>
      <c r="LAA91" s="609"/>
      <c r="LAB91" s="609"/>
      <c r="LAC91" s="609"/>
      <c r="LAD91" s="609"/>
      <c r="LAE91" s="609"/>
      <c r="LAF91" s="609"/>
      <c r="LAG91" s="609"/>
      <c r="LAH91" s="609"/>
      <c r="LAI91" s="609"/>
      <c r="LAJ91" s="609"/>
      <c r="LAK91" s="609"/>
      <c r="LAL91" s="609"/>
      <c r="LAM91" s="609"/>
      <c r="LAN91" s="609"/>
      <c r="LAO91" s="609"/>
      <c r="LAP91" s="609"/>
      <c r="LAQ91" s="609"/>
      <c r="LAR91" s="609"/>
      <c r="LAS91" s="609"/>
      <c r="LAT91" s="609"/>
      <c r="LAU91" s="609"/>
      <c r="LAV91" s="609"/>
      <c r="LAW91" s="609"/>
      <c r="LAX91" s="609"/>
      <c r="LAY91" s="609"/>
      <c r="LAZ91" s="609"/>
      <c r="LBA91" s="609"/>
      <c r="LBB91" s="609"/>
      <c r="LBC91" s="609"/>
      <c r="LBD91" s="609"/>
      <c r="LBE91" s="609"/>
      <c r="LBF91" s="609"/>
      <c r="LBG91" s="609"/>
      <c r="LBH91" s="609"/>
      <c r="LBI91" s="609"/>
      <c r="LBJ91" s="609"/>
      <c r="LBK91" s="609"/>
      <c r="LBL91" s="609"/>
      <c r="LBM91" s="609"/>
      <c r="LBN91" s="609"/>
      <c r="LBO91" s="609"/>
      <c r="LBP91" s="609"/>
      <c r="LBQ91" s="609"/>
      <c r="LBR91" s="609"/>
      <c r="LBS91" s="609"/>
      <c r="LBT91" s="609"/>
      <c r="LBU91" s="609"/>
      <c r="LBV91" s="609"/>
      <c r="LBW91" s="609"/>
      <c r="LBX91" s="609"/>
      <c r="LBY91" s="609"/>
      <c r="LBZ91" s="609"/>
      <c r="LCA91" s="609"/>
      <c r="LCB91" s="609"/>
      <c r="LCC91" s="609"/>
      <c r="LCD91" s="609"/>
      <c r="LCE91" s="609"/>
      <c r="LCF91" s="609"/>
      <c r="LCG91" s="609"/>
      <c r="LCH91" s="609"/>
      <c r="LCI91" s="609"/>
      <c r="LCJ91" s="609"/>
      <c r="LCK91" s="609"/>
      <c r="LCL91" s="609"/>
      <c r="LCM91" s="609"/>
      <c r="LCN91" s="609"/>
      <c r="LCO91" s="609"/>
      <c r="LCP91" s="609"/>
      <c r="LCQ91" s="609"/>
      <c r="LCR91" s="609"/>
      <c r="LCS91" s="609"/>
      <c r="LCT91" s="609"/>
      <c r="LCU91" s="609"/>
      <c r="LCV91" s="609"/>
      <c r="LCW91" s="609"/>
      <c r="LCX91" s="609"/>
      <c r="LCY91" s="609"/>
      <c r="LCZ91" s="609"/>
      <c r="LDA91" s="609"/>
      <c r="LDB91" s="609"/>
      <c r="LDC91" s="609"/>
      <c r="LDD91" s="609"/>
      <c r="LDE91" s="609"/>
      <c r="LDF91" s="609"/>
      <c r="LDG91" s="609"/>
      <c r="LDH91" s="609"/>
      <c r="LDI91" s="609"/>
      <c r="LDJ91" s="609"/>
      <c r="LDK91" s="609"/>
      <c r="LDL91" s="609"/>
      <c r="LDM91" s="609"/>
      <c r="LDN91" s="609"/>
      <c r="LDO91" s="609"/>
      <c r="LDP91" s="609"/>
      <c r="LDQ91" s="609"/>
      <c r="LDR91" s="609"/>
      <c r="LDS91" s="609"/>
      <c r="LDT91" s="609"/>
      <c r="LDU91" s="609"/>
      <c r="LDV91" s="609"/>
      <c r="LDW91" s="609"/>
      <c r="LDX91" s="609"/>
      <c r="LDY91" s="609"/>
      <c r="LDZ91" s="609"/>
      <c r="LEA91" s="609"/>
      <c r="LEB91" s="609"/>
      <c r="LEC91" s="609"/>
      <c r="LED91" s="609"/>
      <c r="LEE91" s="609"/>
      <c r="LEF91" s="609"/>
      <c r="LEG91" s="609"/>
      <c r="LEH91" s="609"/>
      <c r="LEI91" s="609"/>
      <c r="LEJ91" s="609"/>
      <c r="LEK91" s="609"/>
      <c r="LEL91" s="609"/>
      <c r="LEM91" s="609"/>
      <c r="LEN91" s="609"/>
      <c r="LEO91" s="609"/>
      <c r="LEP91" s="609"/>
      <c r="LEQ91" s="609"/>
      <c r="LER91" s="609"/>
      <c r="LES91" s="609"/>
      <c r="LET91" s="609"/>
      <c r="LEU91" s="609"/>
      <c r="LEV91" s="609"/>
      <c r="LEW91" s="609"/>
      <c r="LEX91" s="609"/>
      <c r="LEY91" s="609"/>
      <c r="LEZ91" s="609"/>
      <c r="LFA91" s="609"/>
      <c r="LFB91" s="609"/>
      <c r="LFC91" s="609"/>
      <c r="LFD91" s="609"/>
      <c r="LFE91" s="609"/>
      <c r="LFF91" s="609"/>
      <c r="LFG91" s="609"/>
      <c r="LFH91" s="609"/>
      <c r="LFI91" s="609"/>
      <c r="LFJ91" s="609"/>
      <c r="LFK91" s="609"/>
      <c r="LFL91" s="609"/>
      <c r="LFM91" s="609"/>
      <c r="LFN91" s="609"/>
      <c r="LFO91" s="609"/>
      <c r="LFP91" s="609"/>
      <c r="LFQ91" s="609"/>
      <c r="LFR91" s="609"/>
      <c r="LFS91" s="609"/>
      <c r="LFT91" s="609"/>
      <c r="LFU91" s="609"/>
      <c r="LFV91" s="609"/>
      <c r="LFW91" s="609"/>
      <c r="LFX91" s="609"/>
      <c r="LFY91" s="609"/>
      <c r="LFZ91" s="609"/>
      <c r="LGA91" s="609"/>
      <c r="LGB91" s="609"/>
      <c r="LGC91" s="609"/>
      <c r="LGD91" s="609"/>
      <c r="LGE91" s="609"/>
      <c r="LGF91" s="609"/>
      <c r="LGG91" s="609"/>
      <c r="LGH91" s="609"/>
      <c r="LGI91" s="609"/>
      <c r="LGJ91" s="609"/>
      <c r="LGK91" s="609"/>
      <c r="LGL91" s="609"/>
      <c r="LGM91" s="609"/>
      <c r="LGN91" s="609"/>
      <c r="LGO91" s="609"/>
      <c r="LGP91" s="609"/>
      <c r="LGQ91" s="609"/>
      <c r="LGR91" s="609"/>
      <c r="LGS91" s="609"/>
      <c r="LGT91" s="609"/>
      <c r="LGU91" s="609"/>
      <c r="LGV91" s="609"/>
      <c r="LGW91" s="609"/>
      <c r="LGX91" s="609"/>
      <c r="LGY91" s="609"/>
      <c r="LGZ91" s="609"/>
      <c r="LHA91" s="609"/>
      <c r="LHB91" s="609"/>
      <c r="LHC91" s="609"/>
      <c r="LHD91" s="609"/>
      <c r="LHE91" s="609"/>
      <c r="LHF91" s="609"/>
      <c r="LHG91" s="609"/>
      <c r="LHH91" s="609"/>
      <c r="LHI91" s="609"/>
      <c r="LHJ91" s="609"/>
      <c r="LHK91" s="609"/>
      <c r="LHL91" s="609"/>
      <c r="LHM91" s="609"/>
      <c r="LHN91" s="609"/>
      <c r="LHO91" s="609"/>
      <c r="LHP91" s="609"/>
      <c r="LHQ91" s="609"/>
      <c r="LHR91" s="609"/>
      <c r="LHS91" s="609"/>
      <c r="LHT91" s="609"/>
      <c r="LHU91" s="609"/>
      <c r="LHV91" s="609"/>
      <c r="LHW91" s="609"/>
      <c r="LHX91" s="609"/>
      <c r="LHY91" s="609"/>
      <c r="LHZ91" s="609"/>
      <c r="LIA91" s="609"/>
      <c r="LIB91" s="609"/>
      <c r="LIC91" s="609"/>
      <c r="LID91" s="609"/>
      <c r="LIE91" s="609"/>
      <c r="LIF91" s="609"/>
      <c r="LIG91" s="609"/>
      <c r="LIH91" s="609"/>
      <c r="LII91" s="609"/>
      <c r="LIJ91" s="609"/>
      <c r="LIK91" s="609"/>
      <c r="LIL91" s="609"/>
      <c r="LIM91" s="609"/>
      <c r="LIN91" s="609"/>
      <c r="LIO91" s="609"/>
      <c r="LIP91" s="609"/>
      <c r="LIQ91" s="609"/>
      <c r="LIR91" s="609"/>
      <c r="LIS91" s="609"/>
      <c r="LIT91" s="609"/>
      <c r="LIU91" s="609"/>
      <c r="LIV91" s="609"/>
      <c r="LIW91" s="609"/>
      <c r="LIX91" s="609"/>
      <c r="LIY91" s="609"/>
      <c r="LIZ91" s="609"/>
      <c r="LJA91" s="609"/>
      <c r="LJB91" s="609"/>
      <c r="LJC91" s="609"/>
      <c r="LJD91" s="609"/>
      <c r="LJE91" s="609"/>
      <c r="LJF91" s="609"/>
      <c r="LJG91" s="609"/>
      <c r="LJH91" s="609"/>
      <c r="LJI91" s="609"/>
      <c r="LJJ91" s="609"/>
      <c r="LJK91" s="609"/>
      <c r="LJL91" s="609"/>
      <c r="LJM91" s="609"/>
      <c r="LJN91" s="609"/>
      <c r="LJO91" s="609"/>
      <c r="LJP91" s="609"/>
      <c r="LJQ91" s="609"/>
      <c r="LJR91" s="609"/>
      <c r="LJS91" s="609"/>
      <c r="LJT91" s="609"/>
      <c r="LJU91" s="609"/>
      <c r="LJV91" s="609"/>
      <c r="LJW91" s="609"/>
      <c r="LJX91" s="609"/>
      <c r="LJY91" s="609"/>
      <c r="LJZ91" s="609"/>
      <c r="LKA91" s="609"/>
      <c r="LKB91" s="609"/>
      <c r="LKC91" s="609"/>
      <c r="LKD91" s="609"/>
      <c r="LKE91" s="609"/>
      <c r="LKF91" s="609"/>
      <c r="LKG91" s="609"/>
      <c r="LKH91" s="609"/>
      <c r="LKI91" s="609"/>
      <c r="LKJ91" s="609"/>
      <c r="LKK91" s="609"/>
      <c r="LKL91" s="609"/>
      <c r="LKM91" s="609"/>
      <c r="LKN91" s="609"/>
      <c r="LKO91" s="609"/>
      <c r="LKP91" s="609"/>
      <c r="LKQ91" s="609"/>
      <c r="LKR91" s="609"/>
      <c r="LKS91" s="609"/>
      <c r="LKT91" s="609"/>
      <c r="LKU91" s="609"/>
      <c r="LKV91" s="609"/>
      <c r="LKW91" s="609"/>
      <c r="LKX91" s="609"/>
      <c r="LKY91" s="609"/>
      <c r="LKZ91" s="609"/>
      <c r="LLA91" s="609"/>
      <c r="LLB91" s="609"/>
      <c r="LLC91" s="609"/>
      <c r="LLD91" s="609"/>
      <c r="LLE91" s="609"/>
      <c r="LLF91" s="609"/>
      <c r="LLG91" s="609"/>
      <c r="LLH91" s="609"/>
      <c r="LLI91" s="609"/>
      <c r="LLJ91" s="609"/>
      <c r="LLK91" s="609"/>
      <c r="LLL91" s="609"/>
      <c r="LLM91" s="609"/>
      <c r="LLN91" s="609"/>
      <c r="LLO91" s="609"/>
      <c r="LLP91" s="609"/>
      <c r="LLQ91" s="609"/>
      <c r="LLR91" s="609"/>
      <c r="LLS91" s="609"/>
      <c r="LLT91" s="609"/>
      <c r="LLU91" s="609"/>
      <c r="LLV91" s="609"/>
      <c r="LLW91" s="609"/>
      <c r="LLX91" s="609"/>
      <c r="LLY91" s="609"/>
      <c r="LLZ91" s="609"/>
      <c r="LMA91" s="609"/>
      <c r="LMB91" s="609"/>
      <c r="LMC91" s="609"/>
      <c r="LMD91" s="609"/>
      <c r="LME91" s="609"/>
      <c r="LMF91" s="609"/>
      <c r="LMG91" s="609"/>
      <c r="LMH91" s="609"/>
      <c r="LMI91" s="609"/>
      <c r="LMJ91" s="609"/>
      <c r="LMK91" s="609"/>
      <c r="LML91" s="609"/>
      <c r="LMM91" s="609"/>
      <c r="LMN91" s="609"/>
      <c r="LMO91" s="609"/>
      <c r="LMP91" s="609"/>
      <c r="LMQ91" s="609"/>
      <c r="LMR91" s="609"/>
      <c r="LMS91" s="609"/>
      <c r="LMT91" s="609"/>
      <c r="LMU91" s="609"/>
      <c r="LMV91" s="609"/>
      <c r="LMW91" s="609"/>
      <c r="LMX91" s="609"/>
      <c r="LMY91" s="609"/>
      <c r="LMZ91" s="609"/>
      <c r="LNA91" s="609"/>
      <c r="LNB91" s="609"/>
      <c r="LNC91" s="609"/>
      <c r="LND91" s="609"/>
      <c r="LNE91" s="609"/>
      <c r="LNF91" s="609"/>
      <c r="LNG91" s="609"/>
      <c r="LNH91" s="609"/>
      <c r="LNI91" s="609"/>
      <c r="LNJ91" s="609"/>
      <c r="LNK91" s="609"/>
      <c r="LNL91" s="609"/>
      <c r="LNM91" s="609"/>
      <c r="LNN91" s="609"/>
      <c r="LNO91" s="609"/>
      <c r="LNP91" s="609"/>
      <c r="LNQ91" s="609"/>
      <c r="LNR91" s="609"/>
      <c r="LNS91" s="609"/>
      <c r="LNT91" s="609"/>
      <c r="LNU91" s="609"/>
      <c r="LNV91" s="609"/>
      <c r="LNW91" s="609"/>
      <c r="LNX91" s="609"/>
      <c r="LNY91" s="609"/>
      <c r="LNZ91" s="609"/>
      <c r="LOA91" s="609"/>
      <c r="LOB91" s="609"/>
      <c r="LOC91" s="609"/>
      <c r="LOD91" s="609"/>
      <c r="LOE91" s="609"/>
      <c r="LOF91" s="609"/>
      <c r="LOG91" s="609"/>
      <c r="LOH91" s="609"/>
      <c r="LOI91" s="609"/>
      <c r="LOJ91" s="609"/>
      <c r="LOK91" s="609"/>
      <c r="LOL91" s="609"/>
      <c r="LOM91" s="609"/>
      <c r="LON91" s="609"/>
      <c r="LOO91" s="609"/>
      <c r="LOP91" s="609"/>
      <c r="LOQ91" s="609"/>
      <c r="LOR91" s="609"/>
      <c r="LOS91" s="609"/>
      <c r="LOT91" s="609"/>
      <c r="LOU91" s="609"/>
      <c r="LOV91" s="609"/>
      <c r="LOW91" s="609"/>
      <c r="LOX91" s="609"/>
      <c r="LOY91" s="609"/>
      <c r="LOZ91" s="609"/>
      <c r="LPA91" s="609"/>
      <c r="LPB91" s="609"/>
      <c r="LPC91" s="609"/>
      <c r="LPD91" s="609"/>
      <c r="LPE91" s="609"/>
      <c r="LPF91" s="609"/>
      <c r="LPG91" s="609"/>
      <c r="LPH91" s="609"/>
      <c r="LPI91" s="609"/>
      <c r="LPJ91" s="609"/>
      <c r="LPK91" s="609"/>
      <c r="LPL91" s="609"/>
      <c r="LPM91" s="609"/>
      <c r="LPN91" s="609"/>
      <c r="LPO91" s="609"/>
      <c r="LPP91" s="609"/>
      <c r="LPQ91" s="609"/>
      <c r="LPR91" s="609"/>
      <c r="LPS91" s="609"/>
      <c r="LPT91" s="609"/>
      <c r="LPU91" s="609"/>
      <c r="LPV91" s="609"/>
      <c r="LPW91" s="609"/>
      <c r="LPX91" s="609"/>
      <c r="LPY91" s="609"/>
      <c r="LPZ91" s="609"/>
      <c r="LQA91" s="609"/>
      <c r="LQB91" s="609"/>
      <c r="LQC91" s="609"/>
      <c r="LQD91" s="609"/>
      <c r="LQE91" s="609"/>
      <c r="LQF91" s="609"/>
      <c r="LQG91" s="609"/>
      <c r="LQH91" s="609"/>
      <c r="LQI91" s="609"/>
      <c r="LQJ91" s="609"/>
      <c r="LQK91" s="609"/>
      <c r="LQL91" s="609"/>
      <c r="LQM91" s="609"/>
      <c r="LQN91" s="609"/>
      <c r="LQO91" s="609"/>
      <c r="LQP91" s="609"/>
      <c r="LQQ91" s="609"/>
      <c r="LQR91" s="609"/>
      <c r="LQS91" s="609"/>
      <c r="LQT91" s="609"/>
      <c r="LQU91" s="609"/>
      <c r="LQV91" s="609"/>
      <c r="LQW91" s="609"/>
      <c r="LQX91" s="609"/>
      <c r="LQY91" s="609"/>
      <c r="LQZ91" s="609"/>
      <c r="LRA91" s="609"/>
      <c r="LRB91" s="609"/>
      <c r="LRC91" s="609"/>
      <c r="LRD91" s="609"/>
      <c r="LRE91" s="609"/>
      <c r="LRF91" s="609"/>
      <c r="LRG91" s="609"/>
      <c r="LRH91" s="609"/>
      <c r="LRI91" s="609"/>
      <c r="LRJ91" s="609"/>
      <c r="LRK91" s="609"/>
      <c r="LRL91" s="609"/>
      <c r="LRM91" s="609"/>
      <c r="LRN91" s="609"/>
      <c r="LRO91" s="609"/>
      <c r="LRP91" s="609"/>
      <c r="LRQ91" s="609"/>
      <c r="LRR91" s="609"/>
      <c r="LRS91" s="609"/>
      <c r="LRT91" s="609"/>
      <c r="LRU91" s="609"/>
      <c r="LRV91" s="609"/>
      <c r="LRW91" s="609"/>
      <c r="LRX91" s="609"/>
      <c r="LRY91" s="609"/>
      <c r="LRZ91" s="609"/>
      <c r="LSA91" s="609"/>
      <c r="LSB91" s="609"/>
      <c r="LSC91" s="609"/>
      <c r="LSD91" s="609"/>
      <c r="LSE91" s="609"/>
      <c r="LSF91" s="609"/>
      <c r="LSG91" s="609"/>
      <c r="LSH91" s="609"/>
      <c r="LSI91" s="609"/>
      <c r="LSJ91" s="609"/>
      <c r="LSK91" s="609"/>
      <c r="LSL91" s="609"/>
      <c r="LSM91" s="609"/>
      <c r="LSN91" s="609"/>
      <c r="LSO91" s="609"/>
      <c r="LSP91" s="609"/>
      <c r="LSQ91" s="609"/>
      <c r="LSR91" s="609"/>
      <c r="LSS91" s="609"/>
      <c r="LST91" s="609"/>
      <c r="LSU91" s="609"/>
      <c r="LSV91" s="609"/>
      <c r="LSW91" s="609"/>
      <c r="LSX91" s="609"/>
      <c r="LSY91" s="609"/>
      <c r="LSZ91" s="609"/>
      <c r="LTA91" s="609"/>
      <c r="LTB91" s="609"/>
      <c r="LTC91" s="609"/>
      <c r="LTD91" s="609"/>
      <c r="LTE91" s="609"/>
      <c r="LTF91" s="609"/>
      <c r="LTG91" s="609"/>
      <c r="LTH91" s="609"/>
      <c r="LTI91" s="609"/>
      <c r="LTJ91" s="609"/>
      <c r="LTK91" s="609"/>
      <c r="LTL91" s="609"/>
      <c r="LTM91" s="609"/>
      <c r="LTN91" s="609"/>
      <c r="LTO91" s="609"/>
      <c r="LTP91" s="609"/>
      <c r="LTQ91" s="609"/>
      <c r="LTR91" s="609"/>
      <c r="LTS91" s="609"/>
      <c r="LTT91" s="609"/>
      <c r="LTU91" s="609"/>
      <c r="LTV91" s="609"/>
      <c r="LTW91" s="609"/>
      <c r="LTX91" s="609"/>
      <c r="LTY91" s="609"/>
      <c r="LTZ91" s="609"/>
      <c r="LUA91" s="609"/>
      <c r="LUB91" s="609"/>
      <c r="LUC91" s="609"/>
      <c r="LUD91" s="609"/>
      <c r="LUE91" s="609"/>
      <c r="LUF91" s="609"/>
      <c r="LUG91" s="609"/>
      <c r="LUH91" s="609"/>
      <c r="LUI91" s="609"/>
      <c r="LUJ91" s="609"/>
      <c r="LUK91" s="609"/>
      <c r="LUL91" s="609"/>
      <c r="LUM91" s="609"/>
      <c r="LUN91" s="609"/>
      <c r="LUO91" s="609"/>
      <c r="LUP91" s="609"/>
      <c r="LUQ91" s="609"/>
      <c r="LUR91" s="609"/>
      <c r="LUS91" s="609"/>
      <c r="LUT91" s="609"/>
      <c r="LUU91" s="609"/>
      <c r="LUV91" s="609"/>
      <c r="LUW91" s="609"/>
      <c r="LUX91" s="609"/>
      <c r="LUY91" s="609"/>
      <c r="LUZ91" s="609"/>
      <c r="LVA91" s="609"/>
      <c r="LVB91" s="609"/>
      <c r="LVC91" s="609"/>
      <c r="LVD91" s="609"/>
      <c r="LVE91" s="609"/>
      <c r="LVF91" s="609"/>
      <c r="LVG91" s="609"/>
      <c r="LVH91" s="609"/>
      <c r="LVI91" s="609"/>
      <c r="LVJ91" s="609"/>
      <c r="LVK91" s="609"/>
      <c r="LVL91" s="609"/>
      <c r="LVM91" s="609"/>
      <c r="LVN91" s="609"/>
      <c r="LVO91" s="609"/>
      <c r="LVP91" s="609"/>
      <c r="LVQ91" s="609"/>
      <c r="LVR91" s="609"/>
      <c r="LVS91" s="609"/>
      <c r="LVT91" s="609"/>
      <c r="LVU91" s="609"/>
      <c r="LVV91" s="609"/>
      <c r="LVW91" s="609"/>
      <c r="LVX91" s="609"/>
      <c r="LVY91" s="609"/>
      <c r="LVZ91" s="609"/>
      <c r="LWA91" s="609"/>
      <c r="LWB91" s="609"/>
      <c r="LWC91" s="609"/>
      <c r="LWD91" s="609"/>
      <c r="LWE91" s="609"/>
      <c r="LWF91" s="609"/>
      <c r="LWG91" s="609"/>
      <c r="LWH91" s="609"/>
      <c r="LWI91" s="609"/>
      <c r="LWJ91" s="609"/>
      <c r="LWK91" s="609"/>
      <c r="LWL91" s="609"/>
      <c r="LWM91" s="609"/>
      <c r="LWN91" s="609"/>
      <c r="LWO91" s="609"/>
      <c r="LWP91" s="609"/>
      <c r="LWQ91" s="609"/>
      <c r="LWR91" s="609"/>
      <c r="LWS91" s="609"/>
      <c r="LWT91" s="609"/>
      <c r="LWU91" s="609"/>
      <c r="LWV91" s="609"/>
      <c r="LWW91" s="609"/>
      <c r="LWX91" s="609"/>
      <c r="LWY91" s="609"/>
      <c r="LWZ91" s="609"/>
      <c r="LXA91" s="609"/>
      <c r="LXB91" s="609"/>
      <c r="LXC91" s="609"/>
      <c r="LXD91" s="609"/>
      <c r="LXE91" s="609"/>
      <c r="LXF91" s="609"/>
      <c r="LXG91" s="609"/>
      <c r="LXH91" s="609"/>
      <c r="LXI91" s="609"/>
      <c r="LXJ91" s="609"/>
      <c r="LXK91" s="609"/>
      <c r="LXL91" s="609"/>
      <c r="LXM91" s="609"/>
      <c r="LXN91" s="609"/>
      <c r="LXO91" s="609"/>
      <c r="LXP91" s="609"/>
      <c r="LXQ91" s="609"/>
      <c r="LXR91" s="609"/>
      <c r="LXS91" s="609"/>
      <c r="LXT91" s="609"/>
      <c r="LXU91" s="609"/>
      <c r="LXV91" s="609"/>
      <c r="LXW91" s="609"/>
      <c r="LXX91" s="609"/>
      <c r="LXY91" s="609"/>
      <c r="LXZ91" s="609"/>
      <c r="LYA91" s="609"/>
      <c r="LYB91" s="609"/>
      <c r="LYC91" s="609"/>
      <c r="LYD91" s="609"/>
      <c r="LYE91" s="609"/>
      <c r="LYF91" s="609"/>
      <c r="LYG91" s="609"/>
      <c r="LYH91" s="609"/>
      <c r="LYI91" s="609"/>
      <c r="LYJ91" s="609"/>
      <c r="LYK91" s="609"/>
      <c r="LYL91" s="609"/>
      <c r="LYM91" s="609"/>
      <c r="LYN91" s="609"/>
      <c r="LYO91" s="609"/>
      <c r="LYP91" s="609"/>
      <c r="LYQ91" s="609"/>
      <c r="LYR91" s="609"/>
      <c r="LYS91" s="609"/>
      <c r="LYT91" s="609"/>
      <c r="LYU91" s="609"/>
      <c r="LYV91" s="609"/>
      <c r="LYW91" s="609"/>
      <c r="LYX91" s="609"/>
      <c r="LYY91" s="609"/>
      <c r="LYZ91" s="609"/>
      <c r="LZA91" s="609"/>
      <c r="LZB91" s="609"/>
      <c r="LZC91" s="609"/>
      <c r="LZD91" s="609"/>
      <c r="LZE91" s="609"/>
      <c r="LZF91" s="609"/>
      <c r="LZG91" s="609"/>
      <c r="LZH91" s="609"/>
      <c r="LZI91" s="609"/>
      <c r="LZJ91" s="609"/>
      <c r="LZK91" s="609"/>
      <c r="LZL91" s="609"/>
      <c r="LZM91" s="609"/>
      <c r="LZN91" s="609"/>
      <c r="LZO91" s="609"/>
      <c r="LZP91" s="609"/>
      <c r="LZQ91" s="609"/>
      <c r="LZR91" s="609"/>
      <c r="LZS91" s="609"/>
      <c r="LZT91" s="609"/>
      <c r="LZU91" s="609"/>
      <c r="LZV91" s="609"/>
      <c r="LZW91" s="609"/>
      <c r="LZX91" s="609"/>
      <c r="LZY91" s="609"/>
      <c r="LZZ91" s="609"/>
      <c r="MAA91" s="609"/>
      <c r="MAB91" s="609"/>
      <c r="MAC91" s="609"/>
      <c r="MAD91" s="609"/>
      <c r="MAE91" s="609"/>
      <c r="MAF91" s="609"/>
      <c r="MAG91" s="609"/>
      <c r="MAH91" s="609"/>
      <c r="MAI91" s="609"/>
      <c r="MAJ91" s="609"/>
      <c r="MAK91" s="609"/>
      <c r="MAL91" s="609"/>
      <c r="MAM91" s="609"/>
      <c r="MAN91" s="609"/>
      <c r="MAO91" s="609"/>
      <c r="MAP91" s="609"/>
      <c r="MAQ91" s="609"/>
      <c r="MAR91" s="609"/>
      <c r="MAS91" s="609"/>
      <c r="MAT91" s="609"/>
      <c r="MAU91" s="609"/>
      <c r="MAV91" s="609"/>
      <c r="MAW91" s="609"/>
      <c r="MAX91" s="609"/>
      <c r="MAY91" s="609"/>
      <c r="MAZ91" s="609"/>
      <c r="MBA91" s="609"/>
      <c r="MBB91" s="609"/>
      <c r="MBC91" s="609"/>
      <c r="MBD91" s="609"/>
      <c r="MBE91" s="609"/>
      <c r="MBF91" s="609"/>
      <c r="MBG91" s="609"/>
      <c r="MBH91" s="609"/>
      <c r="MBI91" s="609"/>
      <c r="MBJ91" s="609"/>
      <c r="MBK91" s="609"/>
      <c r="MBL91" s="609"/>
      <c r="MBM91" s="609"/>
      <c r="MBN91" s="609"/>
      <c r="MBO91" s="609"/>
      <c r="MBP91" s="609"/>
      <c r="MBQ91" s="609"/>
      <c r="MBR91" s="609"/>
      <c r="MBS91" s="609"/>
      <c r="MBT91" s="609"/>
      <c r="MBU91" s="609"/>
      <c r="MBV91" s="609"/>
      <c r="MBW91" s="609"/>
      <c r="MBX91" s="609"/>
      <c r="MBY91" s="609"/>
      <c r="MBZ91" s="609"/>
      <c r="MCA91" s="609"/>
      <c r="MCB91" s="609"/>
      <c r="MCC91" s="609"/>
      <c r="MCD91" s="609"/>
      <c r="MCE91" s="609"/>
      <c r="MCF91" s="609"/>
      <c r="MCG91" s="609"/>
      <c r="MCH91" s="609"/>
      <c r="MCI91" s="609"/>
      <c r="MCJ91" s="609"/>
      <c r="MCK91" s="609"/>
      <c r="MCL91" s="609"/>
      <c r="MCM91" s="609"/>
      <c r="MCN91" s="609"/>
      <c r="MCO91" s="609"/>
      <c r="MCP91" s="609"/>
      <c r="MCQ91" s="609"/>
      <c r="MCR91" s="609"/>
      <c r="MCS91" s="609"/>
      <c r="MCT91" s="609"/>
      <c r="MCU91" s="609"/>
      <c r="MCV91" s="609"/>
      <c r="MCW91" s="609"/>
      <c r="MCX91" s="609"/>
      <c r="MCY91" s="609"/>
      <c r="MCZ91" s="609"/>
      <c r="MDA91" s="609"/>
      <c r="MDB91" s="609"/>
      <c r="MDC91" s="609"/>
      <c r="MDD91" s="609"/>
      <c r="MDE91" s="609"/>
      <c r="MDF91" s="609"/>
      <c r="MDG91" s="609"/>
      <c r="MDH91" s="609"/>
      <c r="MDI91" s="609"/>
      <c r="MDJ91" s="609"/>
      <c r="MDK91" s="609"/>
      <c r="MDL91" s="609"/>
      <c r="MDM91" s="609"/>
      <c r="MDN91" s="609"/>
      <c r="MDO91" s="609"/>
      <c r="MDP91" s="609"/>
      <c r="MDQ91" s="609"/>
      <c r="MDR91" s="609"/>
      <c r="MDS91" s="609"/>
      <c r="MDT91" s="609"/>
      <c r="MDU91" s="609"/>
      <c r="MDV91" s="609"/>
      <c r="MDW91" s="609"/>
      <c r="MDX91" s="609"/>
      <c r="MDY91" s="609"/>
      <c r="MDZ91" s="609"/>
      <c r="MEA91" s="609"/>
      <c r="MEB91" s="609"/>
      <c r="MEC91" s="609"/>
      <c r="MED91" s="609"/>
      <c r="MEE91" s="609"/>
      <c r="MEF91" s="609"/>
      <c r="MEG91" s="609"/>
      <c r="MEH91" s="609"/>
      <c r="MEI91" s="609"/>
      <c r="MEJ91" s="609"/>
      <c r="MEK91" s="609"/>
      <c r="MEL91" s="609"/>
      <c r="MEM91" s="609"/>
      <c r="MEN91" s="609"/>
      <c r="MEO91" s="609"/>
      <c r="MEP91" s="609"/>
      <c r="MEQ91" s="609"/>
      <c r="MER91" s="609"/>
      <c r="MES91" s="609"/>
      <c r="MET91" s="609"/>
      <c r="MEU91" s="609"/>
      <c r="MEV91" s="609"/>
      <c r="MEW91" s="609"/>
      <c r="MEX91" s="609"/>
      <c r="MEY91" s="609"/>
      <c r="MEZ91" s="609"/>
      <c r="MFA91" s="609"/>
      <c r="MFB91" s="609"/>
      <c r="MFC91" s="609"/>
      <c r="MFD91" s="609"/>
      <c r="MFE91" s="609"/>
      <c r="MFF91" s="609"/>
      <c r="MFG91" s="609"/>
      <c r="MFH91" s="609"/>
      <c r="MFI91" s="609"/>
      <c r="MFJ91" s="609"/>
      <c r="MFK91" s="609"/>
      <c r="MFL91" s="609"/>
      <c r="MFM91" s="609"/>
      <c r="MFN91" s="609"/>
      <c r="MFO91" s="609"/>
      <c r="MFP91" s="609"/>
      <c r="MFQ91" s="609"/>
      <c r="MFR91" s="609"/>
      <c r="MFS91" s="609"/>
      <c r="MFT91" s="609"/>
      <c r="MFU91" s="609"/>
      <c r="MFV91" s="609"/>
      <c r="MFW91" s="609"/>
      <c r="MFX91" s="609"/>
      <c r="MFY91" s="609"/>
      <c r="MFZ91" s="609"/>
      <c r="MGA91" s="609"/>
      <c r="MGB91" s="609"/>
      <c r="MGC91" s="609"/>
      <c r="MGD91" s="609"/>
      <c r="MGE91" s="609"/>
      <c r="MGF91" s="609"/>
      <c r="MGG91" s="609"/>
      <c r="MGH91" s="609"/>
      <c r="MGI91" s="609"/>
      <c r="MGJ91" s="609"/>
      <c r="MGK91" s="609"/>
      <c r="MGL91" s="609"/>
      <c r="MGM91" s="609"/>
      <c r="MGN91" s="609"/>
      <c r="MGO91" s="609"/>
      <c r="MGP91" s="609"/>
      <c r="MGQ91" s="609"/>
      <c r="MGR91" s="609"/>
      <c r="MGS91" s="609"/>
      <c r="MGT91" s="609"/>
      <c r="MGU91" s="609"/>
      <c r="MGV91" s="609"/>
      <c r="MGW91" s="609"/>
      <c r="MGX91" s="609"/>
      <c r="MGY91" s="609"/>
      <c r="MGZ91" s="609"/>
      <c r="MHA91" s="609"/>
      <c r="MHB91" s="609"/>
      <c r="MHC91" s="609"/>
      <c r="MHD91" s="609"/>
      <c r="MHE91" s="609"/>
      <c r="MHF91" s="609"/>
      <c r="MHG91" s="609"/>
      <c r="MHH91" s="609"/>
      <c r="MHI91" s="609"/>
      <c r="MHJ91" s="609"/>
      <c r="MHK91" s="609"/>
      <c r="MHL91" s="609"/>
      <c r="MHM91" s="609"/>
      <c r="MHN91" s="609"/>
      <c r="MHO91" s="609"/>
      <c r="MHP91" s="609"/>
      <c r="MHQ91" s="609"/>
      <c r="MHR91" s="609"/>
      <c r="MHS91" s="609"/>
      <c r="MHT91" s="609"/>
      <c r="MHU91" s="609"/>
      <c r="MHV91" s="609"/>
      <c r="MHW91" s="609"/>
      <c r="MHX91" s="609"/>
      <c r="MHY91" s="609"/>
      <c r="MHZ91" s="609"/>
      <c r="MIA91" s="609"/>
      <c r="MIB91" s="609"/>
      <c r="MIC91" s="609"/>
      <c r="MID91" s="609"/>
      <c r="MIE91" s="609"/>
      <c r="MIF91" s="609"/>
      <c r="MIG91" s="609"/>
      <c r="MIH91" s="609"/>
      <c r="MII91" s="609"/>
      <c r="MIJ91" s="609"/>
      <c r="MIK91" s="609"/>
      <c r="MIL91" s="609"/>
      <c r="MIM91" s="609"/>
      <c r="MIN91" s="609"/>
      <c r="MIO91" s="609"/>
      <c r="MIP91" s="609"/>
      <c r="MIQ91" s="609"/>
      <c r="MIR91" s="609"/>
      <c r="MIS91" s="609"/>
      <c r="MIT91" s="609"/>
      <c r="MIU91" s="609"/>
      <c r="MIV91" s="609"/>
      <c r="MIW91" s="609"/>
      <c r="MIX91" s="609"/>
      <c r="MIY91" s="609"/>
      <c r="MIZ91" s="609"/>
      <c r="MJA91" s="609"/>
      <c r="MJB91" s="609"/>
      <c r="MJC91" s="609"/>
      <c r="MJD91" s="609"/>
      <c r="MJE91" s="609"/>
      <c r="MJF91" s="609"/>
      <c r="MJG91" s="609"/>
      <c r="MJH91" s="609"/>
      <c r="MJI91" s="609"/>
      <c r="MJJ91" s="609"/>
      <c r="MJK91" s="609"/>
      <c r="MJL91" s="609"/>
      <c r="MJM91" s="609"/>
      <c r="MJN91" s="609"/>
      <c r="MJO91" s="609"/>
      <c r="MJP91" s="609"/>
      <c r="MJQ91" s="609"/>
      <c r="MJR91" s="609"/>
      <c r="MJS91" s="609"/>
      <c r="MJT91" s="609"/>
      <c r="MJU91" s="609"/>
      <c r="MJV91" s="609"/>
      <c r="MJW91" s="609"/>
      <c r="MJX91" s="609"/>
      <c r="MJY91" s="609"/>
      <c r="MJZ91" s="609"/>
      <c r="MKA91" s="609"/>
      <c r="MKB91" s="609"/>
      <c r="MKC91" s="609"/>
      <c r="MKD91" s="609"/>
      <c r="MKE91" s="609"/>
      <c r="MKF91" s="609"/>
      <c r="MKG91" s="609"/>
      <c r="MKH91" s="609"/>
      <c r="MKI91" s="609"/>
      <c r="MKJ91" s="609"/>
      <c r="MKK91" s="609"/>
      <c r="MKL91" s="609"/>
      <c r="MKM91" s="609"/>
      <c r="MKN91" s="609"/>
      <c r="MKO91" s="609"/>
      <c r="MKP91" s="609"/>
      <c r="MKQ91" s="609"/>
      <c r="MKR91" s="609"/>
      <c r="MKS91" s="609"/>
      <c r="MKT91" s="609"/>
      <c r="MKU91" s="609"/>
      <c r="MKV91" s="609"/>
      <c r="MKW91" s="609"/>
      <c r="MKX91" s="609"/>
      <c r="MKY91" s="609"/>
      <c r="MKZ91" s="609"/>
      <c r="MLA91" s="609"/>
      <c r="MLB91" s="609"/>
      <c r="MLC91" s="609"/>
      <c r="MLD91" s="609"/>
      <c r="MLE91" s="609"/>
      <c r="MLF91" s="609"/>
      <c r="MLG91" s="609"/>
      <c r="MLH91" s="609"/>
      <c r="MLI91" s="609"/>
      <c r="MLJ91" s="609"/>
      <c r="MLK91" s="609"/>
      <c r="MLL91" s="609"/>
      <c r="MLM91" s="609"/>
      <c r="MLN91" s="609"/>
      <c r="MLO91" s="609"/>
      <c r="MLP91" s="609"/>
      <c r="MLQ91" s="609"/>
      <c r="MLR91" s="609"/>
      <c r="MLS91" s="609"/>
      <c r="MLT91" s="609"/>
      <c r="MLU91" s="609"/>
      <c r="MLV91" s="609"/>
      <c r="MLW91" s="609"/>
      <c r="MLX91" s="609"/>
      <c r="MLY91" s="609"/>
      <c r="MLZ91" s="609"/>
      <c r="MMA91" s="609"/>
      <c r="MMB91" s="609"/>
      <c r="MMC91" s="609"/>
      <c r="MMD91" s="609"/>
      <c r="MME91" s="609"/>
      <c r="MMF91" s="609"/>
      <c r="MMG91" s="609"/>
      <c r="MMH91" s="609"/>
      <c r="MMI91" s="609"/>
      <c r="MMJ91" s="609"/>
      <c r="MMK91" s="609"/>
      <c r="MML91" s="609"/>
      <c r="MMM91" s="609"/>
      <c r="MMN91" s="609"/>
      <c r="MMO91" s="609"/>
      <c r="MMP91" s="609"/>
      <c r="MMQ91" s="609"/>
      <c r="MMR91" s="609"/>
      <c r="MMS91" s="609"/>
      <c r="MMT91" s="609"/>
      <c r="MMU91" s="609"/>
      <c r="MMV91" s="609"/>
      <c r="MMW91" s="609"/>
      <c r="MMX91" s="609"/>
      <c r="MMY91" s="609"/>
      <c r="MMZ91" s="609"/>
      <c r="MNA91" s="609"/>
      <c r="MNB91" s="609"/>
      <c r="MNC91" s="609"/>
      <c r="MND91" s="609"/>
      <c r="MNE91" s="609"/>
      <c r="MNF91" s="609"/>
      <c r="MNG91" s="609"/>
      <c r="MNH91" s="609"/>
      <c r="MNI91" s="609"/>
      <c r="MNJ91" s="609"/>
      <c r="MNK91" s="609"/>
      <c r="MNL91" s="609"/>
      <c r="MNM91" s="609"/>
      <c r="MNN91" s="609"/>
      <c r="MNO91" s="609"/>
      <c r="MNP91" s="609"/>
      <c r="MNQ91" s="609"/>
      <c r="MNR91" s="609"/>
      <c r="MNS91" s="609"/>
      <c r="MNT91" s="609"/>
      <c r="MNU91" s="609"/>
      <c r="MNV91" s="609"/>
      <c r="MNW91" s="609"/>
      <c r="MNX91" s="609"/>
      <c r="MNY91" s="609"/>
      <c r="MNZ91" s="609"/>
      <c r="MOA91" s="609"/>
      <c r="MOB91" s="609"/>
      <c r="MOC91" s="609"/>
      <c r="MOD91" s="609"/>
      <c r="MOE91" s="609"/>
      <c r="MOF91" s="609"/>
      <c r="MOG91" s="609"/>
      <c r="MOH91" s="609"/>
      <c r="MOI91" s="609"/>
      <c r="MOJ91" s="609"/>
      <c r="MOK91" s="609"/>
      <c r="MOL91" s="609"/>
      <c r="MOM91" s="609"/>
      <c r="MON91" s="609"/>
      <c r="MOO91" s="609"/>
      <c r="MOP91" s="609"/>
      <c r="MOQ91" s="609"/>
      <c r="MOR91" s="609"/>
      <c r="MOS91" s="609"/>
      <c r="MOT91" s="609"/>
      <c r="MOU91" s="609"/>
      <c r="MOV91" s="609"/>
      <c r="MOW91" s="609"/>
      <c r="MOX91" s="609"/>
      <c r="MOY91" s="609"/>
      <c r="MOZ91" s="609"/>
      <c r="MPA91" s="609"/>
      <c r="MPB91" s="609"/>
      <c r="MPC91" s="609"/>
      <c r="MPD91" s="609"/>
      <c r="MPE91" s="609"/>
      <c r="MPF91" s="609"/>
      <c r="MPG91" s="609"/>
      <c r="MPH91" s="609"/>
      <c r="MPI91" s="609"/>
      <c r="MPJ91" s="609"/>
      <c r="MPK91" s="609"/>
      <c r="MPL91" s="609"/>
      <c r="MPM91" s="609"/>
      <c r="MPN91" s="609"/>
      <c r="MPO91" s="609"/>
      <c r="MPP91" s="609"/>
      <c r="MPQ91" s="609"/>
      <c r="MPR91" s="609"/>
      <c r="MPS91" s="609"/>
      <c r="MPT91" s="609"/>
      <c r="MPU91" s="609"/>
      <c r="MPV91" s="609"/>
      <c r="MPW91" s="609"/>
      <c r="MPX91" s="609"/>
      <c r="MPY91" s="609"/>
      <c r="MPZ91" s="609"/>
      <c r="MQA91" s="609"/>
      <c r="MQB91" s="609"/>
      <c r="MQC91" s="609"/>
      <c r="MQD91" s="609"/>
      <c r="MQE91" s="609"/>
      <c r="MQF91" s="609"/>
      <c r="MQG91" s="609"/>
      <c r="MQH91" s="609"/>
      <c r="MQI91" s="609"/>
      <c r="MQJ91" s="609"/>
      <c r="MQK91" s="609"/>
      <c r="MQL91" s="609"/>
      <c r="MQM91" s="609"/>
      <c r="MQN91" s="609"/>
      <c r="MQO91" s="609"/>
      <c r="MQP91" s="609"/>
      <c r="MQQ91" s="609"/>
      <c r="MQR91" s="609"/>
      <c r="MQS91" s="609"/>
      <c r="MQT91" s="609"/>
      <c r="MQU91" s="609"/>
      <c r="MQV91" s="609"/>
      <c r="MQW91" s="609"/>
      <c r="MQX91" s="609"/>
      <c r="MQY91" s="609"/>
      <c r="MQZ91" s="609"/>
      <c r="MRA91" s="609"/>
      <c r="MRB91" s="609"/>
      <c r="MRC91" s="609"/>
      <c r="MRD91" s="609"/>
      <c r="MRE91" s="609"/>
      <c r="MRF91" s="609"/>
      <c r="MRG91" s="609"/>
      <c r="MRH91" s="609"/>
      <c r="MRI91" s="609"/>
      <c r="MRJ91" s="609"/>
      <c r="MRK91" s="609"/>
      <c r="MRL91" s="609"/>
      <c r="MRM91" s="609"/>
      <c r="MRN91" s="609"/>
      <c r="MRO91" s="609"/>
      <c r="MRP91" s="609"/>
      <c r="MRQ91" s="609"/>
      <c r="MRR91" s="609"/>
      <c r="MRS91" s="609"/>
      <c r="MRT91" s="609"/>
      <c r="MRU91" s="609"/>
      <c r="MRV91" s="609"/>
      <c r="MRW91" s="609"/>
      <c r="MRX91" s="609"/>
      <c r="MRY91" s="609"/>
      <c r="MRZ91" s="609"/>
      <c r="MSA91" s="609"/>
      <c r="MSB91" s="609"/>
      <c r="MSC91" s="609"/>
      <c r="MSD91" s="609"/>
      <c r="MSE91" s="609"/>
      <c r="MSF91" s="609"/>
      <c r="MSG91" s="609"/>
      <c r="MSH91" s="609"/>
      <c r="MSI91" s="609"/>
      <c r="MSJ91" s="609"/>
      <c r="MSK91" s="609"/>
      <c r="MSL91" s="609"/>
      <c r="MSM91" s="609"/>
      <c r="MSN91" s="609"/>
      <c r="MSO91" s="609"/>
      <c r="MSP91" s="609"/>
      <c r="MSQ91" s="609"/>
      <c r="MSR91" s="609"/>
      <c r="MSS91" s="609"/>
      <c r="MST91" s="609"/>
      <c r="MSU91" s="609"/>
      <c r="MSV91" s="609"/>
      <c r="MSW91" s="609"/>
      <c r="MSX91" s="609"/>
      <c r="MSY91" s="609"/>
      <c r="MSZ91" s="609"/>
      <c r="MTA91" s="609"/>
      <c r="MTB91" s="609"/>
      <c r="MTC91" s="609"/>
      <c r="MTD91" s="609"/>
      <c r="MTE91" s="609"/>
      <c r="MTF91" s="609"/>
      <c r="MTG91" s="609"/>
      <c r="MTH91" s="609"/>
      <c r="MTI91" s="609"/>
      <c r="MTJ91" s="609"/>
      <c r="MTK91" s="609"/>
      <c r="MTL91" s="609"/>
      <c r="MTM91" s="609"/>
      <c r="MTN91" s="609"/>
      <c r="MTO91" s="609"/>
      <c r="MTP91" s="609"/>
      <c r="MTQ91" s="609"/>
      <c r="MTR91" s="609"/>
      <c r="MTS91" s="609"/>
      <c r="MTT91" s="609"/>
      <c r="MTU91" s="609"/>
      <c r="MTV91" s="609"/>
      <c r="MTW91" s="609"/>
      <c r="MTX91" s="609"/>
      <c r="MTY91" s="609"/>
      <c r="MTZ91" s="609"/>
      <c r="MUA91" s="609"/>
      <c r="MUB91" s="609"/>
      <c r="MUC91" s="609"/>
      <c r="MUD91" s="609"/>
      <c r="MUE91" s="609"/>
      <c r="MUF91" s="609"/>
      <c r="MUG91" s="609"/>
      <c r="MUH91" s="609"/>
      <c r="MUI91" s="609"/>
      <c r="MUJ91" s="609"/>
      <c r="MUK91" s="609"/>
      <c r="MUL91" s="609"/>
      <c r="MUM91" s="609"/>
      <c r="MUN91" s="609"/>
      <c r="MUO91" s="609"/>
      <c r="MUP91" s="609"/>
      <c r="MUQ91" s="609"/>
      <c r="MUR91" s="609"/>
      <c r="MUS91" s="609"/>
      <c r="MUT91" s="609"/>
      <c r="MUU91" s="609"/>
      <c r="MUV91" s="609"/>
      <c r="MUW91" s="609"/>
      <c r="MUX91" s="609"/>
      <c r="MUY91" s="609"/>
      <c r="MUZ91" s="609"/>
      <c r="MVA91" s="609"/>
      <c r="MVB91" s="609"/>
      <c r="MVC91" s="609"/>
      <c r="MVD91" s="609"/>
      <c r="MVE91" s="609"/>
      <c r="MVF91" s="609"/>
      <c r="MVG91" s="609"/>
      <c r="MVH91" s="609"/>
      <c r="MVI91" s="609"/>
      <c r="MVJ91" s="609"/>
      <c r="MVK91" s="609"/>
      <c r="MVL91" s="609"/>
      <c r="MVM91" s="609"/>
      <c r="MVN91" s="609"/>
      <c r="MVO91" s="609"/>
      <c r="MVP91" s="609"/>
      <c r="MVQ91" s="609"/>
      <c r="MVR91" s="609"/>
      <c r="MVS91" s="609"/>
      <c r="MVT91" s="609"/>
      <c r="MVU91" s="609"/>
      <c r="MVV91" s="609"/>
      <c r="MVW91" s="609"/>
      <c r="MVX91" s="609"/>
      <c r="MVY91" s="609"/>
      <c r="MVZ91" s="609"/>
      <c r="MWA91" s="609"/>
      <c r="MWB91" s="609"/>
      <c r="MWC91" s="609"/>
      <c r="MWD91" s="609"/>
      <c r="MWE91" s="609"/>
      <c r="MWF91" s="609"/>
      <c r="MWG91" s="609"/>
      <c r="MWH91" s="609"/>
      <c r="MWI91" s="609"/>
      <c r="MWJ91" s="609"/>
      <c r="MWK91" s="609"/>
      <c r="MWL91" s="609"/>
      <c r="MWM91" s="609"/>
      <c r="MWN91" s="609"/>
      <c r="MWO91" s="609"/>
      <c r="MWP91" s="609"/>
      <c r="MWQ91" s="609"/>
      <c r="MWR91" s="609"/>
      <c r="MWS91" s="609"/>
      <c r="MWT91" s="609"/>
      <c r="MWU91" s="609"/>
      <c r="MWV91" s="609"/>
      <c r="MWW91" s="609"/>
      <c r="MWX91" s="609"/>
      <c r="MWY91" s="609"/>
      <c r="MWZ91" s="609"/>
      <c r="MXA91" s="609"/>
      <c r="MXB91" s="609"/>
      <c r="MXC91" s="609"/>
      <c r="MXD91" s="609"/>
      <c r="MXE91" s="609"/>
      <c r="MXF91" s="609"/>
      <c r="MXG91" s="609"/>
      <c r="MXH91" s="609"/>
      <c r="MXI91" s="609"/>
      <c r="MXJ91" s="609"/>
      <c r="MXK91" s="609"/>
      <c r="MXL91" s="609"/>
      <c r="MXM91" s="609"/>
      <c r="MXN91" s="609"/>
      <c r="MXO91" s="609"/>
      <c r="MXP91" s="609"/>
      <c r="MXQ91" s="609"/>
      <c r="MXR91" s="609"/>
      <c r="MXS91" s="609"/>
      <c r="MXT91" s="609"/>
      <c r="MXU91" s="609"/>
      <c r="MXV91" s="609"/>
      <c r="MXW91" s="609"/>
      <c r="MXX91" s="609"/>
      <c r="MXY91" s="609"/>
      <c r="MXZ91" s="609"/>
      <c r="MYA91" s="609"/>
      <c r="MYB91" s="609"/>
      <c r="MYC91" s="609"/>
      <c r="MYD91" s="609"/>
      <c r="MYE91" s="609"/>
      <c r="MYF91" s="609"/>
      <c r="MYG91" s="609"/>
      <c r="MYH91" s="609"/>
      <c r="MYI91" s="609"/>
      <c r="MYJ91" s="609"/>
      <c r="MYK91" s="609"/>
      <c r="MYL91" s="609"/>
      <c r="MYM91" s="609"/>
      <c r="MYN91" s="609"/>
      <c r="MYO91" s="609"/>
      <c r="MYP91" s="609"/>
      <c r="MYQ91" s="609"/>
      <c r="MYR91" s="609"/>
      <c r="MYS91" s="609"/>
      <c r="MYT91" s="609"/>
      <c r="MYU91" s="609"/>
      <c r="MYV91" s="609"/>
      <c r="MYW91" s="609"/>
      <c r="MYX91" s="609"/>
      <c r="MYY91" s="609"/>
      <c r="MYZ91" s="609"/>
      <c r="MZA91" s="609"/>
      <c r="MZB91" s="609"/>
      <c r="MZC91" s="609"/>
      <c r="MZD91" s="609"/>
      <c r="MZE91" s="609"/>
      <c r="MZF91" s="609"/>
      <c r="MZG91" s="609"/>
      <c r="MZH91" s="609"/>
      <c r="MZI91" s="609"/>
      <c r="MZJ91" s="609"/>
      <c r="MZK91" s="609"/>
      <c r="MZL91" s="609"/>
      <c r="MZM91" s="609"/>
      <c r="MZN91" s="609"/>
      <c r="MZO91" s="609"/>
      <c r="MZP91" s="609"/>
      <c r="MZQ91" s="609"/>
      <c r="MZR91" s="609"/>
      <c r="MZS91" s="609"/>
      <c r="MZT91" s="609"/>
      <c r="MZU91" s="609"/>
      <c r="MZV91" s="609"/>
      <c r="MZW91" s="609"/>
      <c r="MZX91" s="609"/>
      <c r="MZY91" s="609"/>
      <c r="MZZ91" s="609"/>
      <c r="NAA91" s="609"/>
      <c r="NAB91" s="609"/>
      <c r="NAC91" s="609"/>
      <c r="NAD91" s="609"/>
      <c r="NAE91" s="609"/>
      <c r="NAF91" s="609"/>
      <c r="NAG91" s="609"/>
      <c r="NAH91" s="609"/>
      <c r="NAI91" s="609"/>
      <c r="NAJ91" s="609"/>
      <c r="NAK91" s="609"/>
      <c r="NAL91" s="609"/>
      <c r="NAM91" s="609"/>
      <c r="NAN91" s="609"/>
      <c r="NAO91" s="609"/>
      <c r="NAP91" s="609"/>
      <c r="NAQ91" s="609"/>
      <c r="NAR91" s="609"/>
      <c r="NAS91" s="609"/>
      <c r="NAT91" s="609"/>
      <c r="NAU91" s="609"/>
      <c r="NAV91" s="609"/>
      <c r="NAW91" s="609"/>
      <c r="NAX91" s="609"/>
      <c r="NAY91" s="609"/>
      <c r="NAZ91" s="609"/>
      <c r="NBA91" s="609"/>
      <c r="NBB91" s="609"/>
      <c r="NBC91" s="609"/>
      <c r="NBD91" s="609"/>
      <c r="NBE91" s="609"/>
      <c r="NBF91" s="609"/>
      <c r="NBG91" s="609"/>
      <c r="NBH91" s="609"/>
      <c r="NBI91" s="609"/>
      <c r="NBJ91" s="609"/>
      <c r="NBK91" s="609"/>
      <c r="NBL91" s="609"/>
      <c r="NBM91" s="609"/>
      <c r="NBN91" s="609"/>
      <c r="NBO91" s="609"/>
      <c r="NBP91" s="609"/>
      <c r="NBQ91" s="609"/>
      <c r="NBR91" s="609"/>
      <c r="NBS91" s="609"/>
      <c r="NBT91" s="609"/>
      <c r="NBU91" s="609"/>
      <c r="NBV91" s="609"/>
      <c r="NBW91" s="609"/>
      <c r="NBX91" s="609"/>
      <c r="NBY91" s="609"/>
      <c r="NBZ91" s="609"/>
      <c r="NCA91" s="609"/>
      <c r="NCB91" s="609"/>
      <c r="NCC91" s="609"/>
      <c r="NCD91" s="609"/>
      <c r="NCE91" s="609"/>
      <c r="NCF91" s="609"/>
      <c r="NCG91" s="609"/>
      <c r="NCH91" s="609"/>
      <c r="NCI91" s="609"/>
      <c r="NCJ91" s="609"/>
      <c r="NCK91" s="609"/>
      <c r="NCL91" s="609"/>
      <c r="NCM91" s="609"/>
      <c r="NCN91" s="609"/>
      <c r="NCO91" s="609"/>
      <c r="NCP91" s="609"/>
      <c r="NCQ91" s="609"/>
      <c r="NCR91" s="609"/>
      <c r="NCS91" s="609"/>
      <c r="NCT91" s="609"/>
      <c r="NCU91" s="609"/>
      <c r="NCV91" s="609"/>
      <c r="NCW91" s="609"/>
      <c r="NCX91" s="609"/>
      <c r="NCY91" s="609"/>
      <c r="NCZ91" s="609"/>
      <c r="NDA91" s="609"/>
      <c r="NDB91" s="609"/>
      <c r="NDC91" s="609"/>
      <c r="NDD91" s="609"/>
      <c r="NDE91" s="609"/>
      <c r="NDF91" s="609"/>
      <c r="NDG91" s="609"/>
      <c r="NDH91" s="609"/>
      <c r="NDI91" s="609"/>
      <c r="NDJ91" s="609"/>
      <c r="NDK91" s="609"/>
      <c r="NDL91" s="609"/>
      <c r="NDM91" s="609"/>
      <c r="NDN91" s="609"/>
      <c r="NDO91" s="609"/>
      <c r="NDP91" s="609"/>
      <c r="NDQ91" s="609"/>
      <c r="NDR91" s="609"/>
      <c r="NDS91" s="609"/>
      <c r="NDT91" s="609"/>
      <c r="NDU91" s="609"/>
      <c r="NDV91" s="609"/>
      <c r="NDW91" s="609"/>
      <c r="NDX91" s="609"/>
      <c r="NDY91" s="609"/>
      <c r="NDZ91" s="609"/>
      <c r="NEA91" s="609"/>
      <c r="NEB91" s="609"/>
      <c r="NEC91" s="609"/>
      <c r="NED91" s="609"/>
      <c r="NEE91" s="609"/>
      <c r="NEF91" s="609"/>
      <c r="NEG91" s="609"/>
      <c r="NEH91" s="609"/>
      <c r="NEI91" s="609"/>
      <c r="NEJ91" s="609"/>
      <c r="NEK91" s="609"/>
      <c r="NEL91" s="609"/>
      <c r="NEM91" s="609"/>
      <c r="NEN91" s="609"/>
      <c r="NEO91" s="609"/>
      <c r="NEP91" s="609"/>
      <c r="NEQ91" s="609"/>
      <c r="NER91" s="609"/>
      <c r="NES91" s="609"/>
      <c r="NET91" s="609"/>
      <c r="NEU91" s="609"/>
      <c r="NEV91" s="609"/>
      <c r="NEW91" s="609"/>
      <c r="NEX91" s="609"/>
      <c r="NEY91" s="609"/>
      <c r="NEZ91" s="609"/>
      <c r="NFA91" s="609"/>
      <c r="NFB91" s="609"/>
      <c r="NFC91" s="609"/>
      <c r="NFD91" s="609"/>
      <c r="NFE91" s="609"/>
      <c r="NFF91" s="609"/>
      <c r="NFG91" s="609"/>
      <c r="NFH91" s="609"/>
      <c r="NFI91" s="609"/>
      <c r="NFJ91" s="609"/>
      <c r="NFK91" s="609"/>
      <c r="NFL91" s="609"/>
      <c r="NFM91" s="609"/>
      <c r="NFN91" s="609"/>
      <c r="NFO91" s="609"/>
      <c r="NFP91" s="609"/>
      <c r="NFQ91" s="609"/>
      <c r="NFR91" s="609"/>
      <c r="NFS91" s="609"/>
      <c r="NFT91" s="609"/>
      <c r="NFU91" s="609"/>
      <c r="NFV91" s="609"/>
      <c r="NFW91" s="609"/>
      <c r="NFX91" s="609"/>
      <c r="NFY91" s="609"/>
      <c r="NFZ91" s="609"/>
      <c r="NGA91" s="609"/>
      <c r="NGB91" s="609"/>
      <c r="NGC91" s="609"/>
      <c r="NGD91" s="609"/>
      <c r="NGE91" s="609"/>
      <c r="NGF91" s="609"/>
      <c r="NGG91" s="609"/>
      <c r="NGH91" s="609"/>
      <c r="NGI91" s="609"/>
      <c r="NGJ91" s="609"/>
      <c r="NGK91" s="609"/>
      <c r="NGL91" s="609"/>
      <c r="NGM91" s="609"/>
      <c r="NGN91" s="609"/>
      <c r="NGO91" s="609"/>
      <c r="NGP91" s="609"/>
      <c r="NGQ91" s="609"/>
      <c r="NGR91" s="609"/>
      <c r="NGS91" s="609"/>
      <c r="NGT91" s="609"/>
      <c r="NGU91" s="609"/>
      <c r="NGV91" s="609"/>
      <c r="NGW91" s="609"/>
      <c r="NGX91" s="609"/>
      <c r="NGY91" s="609"/>
      <c r="NGZ91" s="609"/>
      <c r="NHA91" s="609"/>
      <c r="NHB91" s="609"/>
      <c r="NHC91" s="609"/>
      <c r="NHD91" s="609"/>
      <c r="NHE91" s="609"/>
      <c r="NHF91" s="609"/>
      <c r="NHG91" s="609"/>
      <c r="NHH91" s="609"/>
      <c r="NHI91" s="609"/>
      <c r="NHJ91" s="609"/>
      <c r="NHK91" s="609"/>
      <c r="NHL91" s="609"/>
      <c r="NHM91" s="609"/>
      <c r="NHN91" s="609"/>
      <c r="NHO91" s="609"/>
      <c r="NHP91" s="609"/>
      <c r="NHQ91" s="609"/>
      <c r="NHR91" s="609"/>
      <c r="NHS91" s="609"/>
      <c r="NHT91" s="609"/>
      <c r="NHU91" s="609"/>
      <c r="NHV91" s="609"/>
      <c r="NHW91" s="609"/>
      <c r="NHX91" s="609"/>
      <c r="NHY91" s="609"/>
      <c r="NHZ91" s="609"/>
      <c r="NIA91" s="609"/>
      <c r="NIB91" s="609"/>
      <c r="NIC91" s="609"/>
      <c r="NID91" s="609"/>
      <c r="NIE91" s="609"/>
      <c r="NIF91" s="609"/>
      <c r="NIG91" s="609"/>
      <c r="NIH91" s="609"/>
      <c r="NII91" s="609"/>
      <c r="NIJ91" s="609"/>
      <c r="NIK91" s="609"/>
      <c r="NIL91" s="609"/>
      <c r="NIM91" s="609"/>
      <c r="NIN91" s="609"/>
      <c r="NIO91" s="609"/>
      <c r="NIP91" s="609"/>
      <c r="NIQ91" s="609"/>
      <c r="NIR91" s="609"/>
      <c r="NIS91" s="609"/>
      <c r="NIT91" s="609"/>
      <c r="NIU91" s="609"/>
      <c r="NIV91" s="609"/>
      <c r="NIW91" s="609"/>
      <c r="NIX91" s="609"/>
      <c r="NIY91" s="609"/>
      <c r="NIZ91" s="609"/>
      <c r="NJA91" s="609"/>
      <c r="NJB91" s="609"/>
      <c r="NJC91" s="609"/>
      <c r="NJD91" s="609"/>
      <c r="NJE91" s="609"/>
      <c r="NJF91" s="609"/>
      <c r="NJG91" s="609"/>
      <c r="NJH91" s="609"/>
      <c r="NJI91" s="609"/>
      <c r="NJJ91" s="609"/>
      <c r="NJK91" s="609"/>
      <c r="NJL91" s="609"/>
      <c r="NJM91" s="609"/>
      <c r="NJN91" s="609"/>
      <c r="NJO91" s="609"/>
      <c r="NJP91" s="609"/>
      <c r="NJQ91" s="609"/>
      <c r="NJR91" s="609"/>
      <c r="NJS91" s="609"/>
      <c r="NJT91" s="609"/>
      <c r="NJU91" s="609"/>
      <c r="NJV91" s="609"/>
      <c r="NJW91" s="609"/>
      <c r="NJX91" s="609"/>
      <c r="NJY91" s="609"/>
      <c r="NJZ91" s="609"/>
      <c r="NKA91" s="609"/>
      <c r="NKB91" s="609"/>
      <c r="NKC91" s="609"/>
      <c r="NKD91" s="609"/>
      <c r="NKE91" s="609"/>
      <c r="NKF91" s="609"/>
      <c r="NKG91" s="609"/>
      <c r="NKH91" s="609"/>
      <c r="NKI91" s="609"/>
      <c r="NKJ91" s="609"/>
      <c r="NKK91" s="609"/>
      <c r="NKL91" s="609"/>
      <c r="NKM91" s="609"/>
      <c r="NKN91" s="609"/>
      <c r="NKO91" s="609"/>
      <c r="NKP91" s="609"/>
      <c r="NKQ91" s="609"/>
      <c r="NKR91" s="609"/>
      <c r="NKS91" s="609"/>
      <c r="NKT91" s="609"/>
      <c r="NKU91" s="609"/>
      <c r="NKV91" s="609"/>
      <c r="NKW91" s="609"/>
      <c r="NKX91" s="609"/>
      <c r="NKY91" s="609"/>
      <c r="NKZ91" s="609"/>
      <c r="NLA91" s="609"/>
      <c r="NLB91" s="609"/>
      <c r="NLC91" s="609"/>
      <c r="NLD91" s="609"/>
      <c r="NLE91" s="609"/>
      <c r="NLF91" s="609"/>
      <c r="NLG91" s="609"/>
      <c r="NLH91" s="609"/>
      <c r="NLI91" s="609"/>
      <c r="NLJ91" s="609"/>
      <c r="NLK91" s="609"/>
      <c r="NLL91" s="609"/>
      <c r="NLM91" s="609"/>
      <c r="NLN91" s="609"/>
      <c r="NLO91" s="609"/>
      <c r="NLP91" s="609"/>
      <c r="NLQ91" s="609"/>
      <c r="NLR91" s="609"/>
      <c r="NLS91" s="609"/>
      <c r="NLT91" s="609"/>
      <c r="NLU91" s="609"/>
      <c r="NLV91" s="609"/>
      <c r="NLW91" s="609"/>
      <c r="NLX91" s="609"/>
      <c r="NLY91" s="609"/>
      <c r="NLZ91" s="609"/>
      <c r="NMA91" s="609"/>
      <c r="NMB91" s="609"/>
      <c r="NMC91" s="609"/>
      <c r="NMD91" s="609"/>
      <c r="NME91" s="609"/>
      <c r="NMF91" s="609"/>
      <c r="NMG91" s="609"/>
      <c r="NMH91" s="609"/>
      <c r="NMI91" s="609"/>
      <c r="NMJ91" s="609"/>
      <c r="NMK91" s="609"/>
      <c r="NML91" s="609"/>
      <c r="NMM91" s="609"/>
      <c r="NMN91" s="609"/>
      <c r="NMO91" s="609"/>
      <c r="NMP91" s="609"/>
      <c r="NMQ91" s="609"/>
      <c r="NMR91" s="609"/>
      <c r="NMS91" s="609"/>
      <c r="NMT91" s="609"/>
      <c r="NMU91" s="609"/>
      <c r="NMV91" s="609"/>
      <c r="NMW91" s="609"/>
      <c r="NMX91" s="609"/>
      <c r="NMY91" s="609"/>
      <c r="NMZ91" s="609"/>
      <c r="NNA91" s="609"/>
      <c r="NNB91" s="609"/>
      <c r="NNC91" s="609"/>
      <c r="NND91" s="609"/>
      <c r="NNE91" s="609"/>
      <c r="NNF91" s="609"/>
      <c r="NNG91" s="609"/>
      <c r="NNH91" s="609"/>
      <c r="NNI91" s="609"/>
      <c r="NNJ91" s="609"/>
      <c r="NNK91" s="609"/>
      <c r="NNL91" s="609"/>
      <c r="NNM91" s="609"/>
      <c r="NNN91" s="609"/>
      <c r="NNO91" s="609"/>
      <c r="NNP91" s="609"/>
      <c r="NNQ91" s="609"/>
      <c r="NNR91" s="609"/>
      <c r="NNS91" s="609"/>
      <c r="NNT91" s="609"/>
      <c r="NNU91" s="609"/>
      <c r="NNV91" s="609"/>
      <c r="NNW91" s="609"/>
      <c r="NNX91" s="609"/>
      <c r="NNY91" s="609"/>
      <c r="NNZ91" s="609"/>
      <c r="NOA91" s="609"/>
      <c r="NOB91" s="609"/>
      <c r="NOC91" s="609"/>
      <c r="NOD91" s="609"/>
      <c r="NOE91" s="609"/>
      <c r="NOF91" s="609"/>
      <c r="NOG91" s="609"/>
      <c r="NOH91" s="609"/>
      <c r="NOI91" s="609"/>
      <c r="NOJ91" s="609"/>
      <c r="NOK91" s="609"/>
      <c r="NOL91" s="609"/>
      <c r="NOM91" s="609"/>
      <c r="NON91" s="609"/>
      <c r="NOO91" s="609"/>
      <c r="NOP91" s="609"/>
      <c r="NOQ91" s="609"/>
      <c r="NOR91" s="609"/>
      <c r="NOS91" s="609"/>
      <c r="NOT91" s="609"/>
      <c r="NOU91" s="609"/>
      <c r="NOV91" s="609"/>
      <c r="NOW91" s="609"/>
      <c r="NOX91" s="609"/>
      <c r="NOY91" s="609"/>
      <c r="NOZ91" s="609"/>
      <c r="NPA91" s="609"/>
      <c r="NPB91" s="609"/>
      <c r="NPC91" s="609"/>
      <c r="NPD91" s="609"/>
      <c r="NPE91" s="609"/>
      <c r="NPF91" s="609"/>
      <c r="NPG91" s="609"/>
      <c r="NPH91" s="609"/>
      <c r="NPI91" s="609"/>
      <c r="NPJ91" s="609"/>
      <c r="NPK91" s="609"/>
      <c r="NPL91" s="609"/>
      <c r="NPM91" s="609"/>
      <c r="NPN91" s="609"/>
      <c r="NPO91" s="609"/>
      <c r="NPP91" s="609"/>
      <c r="NPQ91" s="609"/>
      <c r="NPR91" s="609"/>
      <c r="NPS91" s="609"/>
      <c r="NPT91" s="609"/>
      <c r="NPU91" s="609"/>
      <c r="NPV91" s="609"/>
      <c r="NPW91" s="609"/>
      <c r="NPX91" s="609"/>
      <c r="NPY91" s="609"/>
      <c r="NPZ91" s="609"/>
      <c r="NQA91" s="609"/>
      <c r="NQB91" s="609"/>
      <c r="NQC91" s="609"/>
      <c r="NQD91" s="609"/>
      <c r="NQE91" s="609"/>
      <c r="NQF91" s="609"/>
      <c r="NQG91" s="609"/>
      <c r="NQH91" s="609"/>
      <c r="NQI91" s="609"/>
      <c r="NQJ91" s="609"/>
      <c r="NQK91" s="609"/>
      <c r="NQL91" s="609"/>
      <c r="NQM91" s="609"/>
      <c r="NQN91" s="609"/>
      <c r="NQO91" s="609"/>
      <c r="NQP91" s="609"/>
      <c r="NQQ91" s="609"/>
      <c r="NQR91" s="609"/>
      <c r="NQS91" s="609"/>
      <c r="NQT91" s="609"/>
      <c r="NQU91" s="609"/>
      <c r="NQV91" s="609"/>
      <c r="NQW91" s="609"/>
      <c r="NQX91" s="609"/>
      <c r="NQY91" s="609"/>
      <c r="NQZ91" s="609"/>
      <c r="NRA91" s="609"/>
      <c r="NRB91" s="609"/>
      <c r="NRC91" s="609"/>
      <c r="NRD91" s="609"/>
      <c r="NRE91" s="609"/>
      <c r="NRF91" s="609"/>
      <c r="NRG91" s="609"/>
      <c r="NRH91" s="609"/>
      <c r="NRI91" s="609"/>
      <c r="NRJ91" s="609"/>
      <c r="NRK91" s="609"/>
      <c r="NRL91" s="609"/>
      <c r="NRM91" s="609"/>
      <c r="NRN91" s="609"/>
      <c r="NRO91" s="609"/>
      <c r="NRP91" s="609"/>
      <c r="NRQ91" s="609"/>
      <c r="NRR91" s="609"/>
      <c r="NRS91" s="609"/>
      <c r="NRT91" s="609"/>
      <c r="NRU91" s="609"/>
      <c r="NRV91" s="609"/>
      <c r="NRW91" s="609"/>
      <c r="NRX91" s="609"/>
      <c r="NRY91" s="609"/>
      <c r="NRZ91" s="609"/>
      <c r="NSA91" s="609"/>
      <c r="NSB91" s="609"/>
      <c r="NSC91" s="609"/>
      <c r="NSD91" s="609"/>
      <c r="NSE91" s="609"/>
      <c r="NSF91" s="609"/>
      <c r="NSG91" s="609"/>
      <c r="NSH91" s="609"/>
      <c r="NSI91" s="609"/>
      <c r="NSJ91" s="609"/>
      <c r="NSK91" s="609"/>
      <c r="NSL91" s="609"/>
      <c r="NSM91" s="609"/>
      <c r="NSN91" s="609"/>
      <c r="NSO91" s="609"/>
      <c r="NSP91" s="609"/>
      <c r="NSQ91" s="609"/>
      <c r="NSR91" s="609"/>
      <c r="NSS91" s="609"/>
      <c r="NST91" s="609"/>
      <c r="NSU91" s="609"/>
      <c r="NSV91" s="609"/>
      <c r="NSW91" s="609"/>
      <c r="NSX91" s="609"/>
      <c r="NSY91" s="609"/>
      <c r="NSZ91" s="609"/>
      <c r="NTA91" s="609"/>
      <c r="NTB91" s="609"/>
      <c r="NTC91" s="609"/>
      <c r="NTD91" s="609"/>
      <c r="NTE91" s="609"/>
      <c r="NTF91" s="609"/>
      <c r="NTG91" s="609"/>
      <c r="NTH91" s="609"/>
      <c r="NTI91" s="609"/>
      <c r="NTJ91" s="609"/>
      <c r="NTK91" s="609"/>
      <c r="NTL91" s="609"/>
      <c r="NTM91" s="609"/>
      <c r="NTN91" s="609"/>
      <c r="NTO91" s="609"/>
      <c r="NTP91" s="609"/>
      <c r="NTQ91" s="609"/>
      <c r="NTR91" s="609"/>
      <c r="NTS91" s="609"/>
      <c r="NTT91" s="609"/>
      <c r="NTU91" s="609"/>
      <c r="NTV91" s="609"/>
      <c r="NTW91" s="609"/>
      <c r="NTX91" s="609"/>
      <c r="NTY91" s="609"/>
      <c r="NTZ91" s="609"/>
      <c r="NUA91" s="609"/>
      <c r="NUB91" s="609"/>
      <c r="NUC91" s="609"/>
      <c r="NUD91" s="609"/>
      <c r="NUE91" s="609"/>
      <c r="NUF91" s="609"/>
      <c r="NUG91" s="609"/>
      <c r="NUH91" s="609"/>
      <c r="NUI91" s="609"/>
      <c r="NUJ91" s="609"/>
      <c r="NUK91" s="609"/>
      <c r="NUL91" s="609"/>
      <c r="NUM91" s="609"/>
      <c r="NUN91" s="609"/>
      <c r="NUO91" s="609"/>
      <c r="NUP91" s="609"/>
      <c r="NUQ91" s="609"/>
      <c r="NUR91" s="609"/>
      <c r="NUS91" s="609"/>
      <c r="NUT91" s="609"/>
      <c r="NUU91" s="609"/>
      <c r="NUV91" s="609"/>
      <c r="NUW91" s="609"/>
      <c r="NUX91" s="609"/>
      <c r="NUY91" s="609"/>
      <c r="NUZ91" s="609"/>
      <c r="NVA91" s="609"/>
      <c r="NVB91" s="609"/>
      <c r="NVC91" s="609"/>
      <c r="NVD91" s="609"/>
      <c r="NVE91" s="609"/>
      <c r="NVF91" s="609"/>
      <c r="NVG91" s="609"/>
      <c r="NVH91" s="609"/>
      <c r="NVI91" s="609"/>
      <c r="NVJ91" s="609"/>
      <c r="NVK91" s="609"/>
      <c r="NVL91" s="609"/>
      <c r="NVM91" s="609"/>
      <c r="NVN91" s="609"/>
      <c r="NVO91" s="609"/>
      <c r="NVP91" s="609"/>
      <c r="NVQ91" s="609"/>
      <c r="NVR91" s="609"/>
      <c r="NVS91" s="609"/>
      <c r="NVT91" s="609"/>
      <c r="NVU91" s="609"/>
      <c r="NVV91" s="609"/>
      <c r="NVW91" s="609"/>
      <c r="NVX91" s="609"/>
      <c r="NVY91" s="609"/>
      <c r="NVZ91" s="609"/>
      <c r="NWA91" s="609"/>
      <c r="NWB91" s="609"/>
      <c r="NWC91" s="609"/>
      <c r="NWD91" s="609"/>
      <c r="NWE91" s="609"/>
      <c r="NWF91" s="609"/>
      <c r="NWG91" s="609"/>
      <c r="NWH91" s="609"/>
      <c r="NWI91" s="609"/>
      <c r="NWJ91" s="609"/>
      <c r="NWK91" s="609"/>
      <c r="NWL91" s="609"/>
      <c r="NWM91" s="609"/>
      <c r="NWN91" s="609"/>
      <c r="NWO91" s="609"/>
      <c r="NWP91" s="609"/>
      <c r="NWQ91" s="609"/>
      <c r="NWR91" s="609"/>
      <c r="NWS91" s="609"/>
      <c r="NWT91" s="609"/>
      <c r="NWU91" s="609"/>
      <c r="NWV91" s="609"/>
      <c r="NWW91" s="609"/>
      <c r="NWX91" s="609"/>
      <c r="NWY91" s="609"/>
      <c r="NWZ91" s="609"/>
      <c r="NXA91" s="609"/>
      <c r="NXB91" s="609"/>
      <c r="NXC91" s="609"/>
      <c r="NXD91" s="609"/>
      <c r="NXE91" s="609"/>
      <c r="NXF91" s="609"/>
      <c r="NXG91" s="609"/>
      <c r="NXH91" s="609"/>
      <c r="NXI91" s="609"/>
      <c r="NXJ91" s="609"/>
      <c r="NXK91" s="609"/>
      <c r="NXL91" s="609"/>
      <c r="NXM91" s="609"/>
      <c r="NXN91" s="609"/>
      <c r="NXO91" s="609"/>
      <c r="NXP91" s="609"/>
      <c r="NXQ91" s="609"/>
      <c r="NXR91" s="609"/>
      <c r="NXS91" s="609"/>
      <c r="NXT91" s="609"/>
      <c r="NXU91" s="609"/>
      <c r="NXV91" s="609"/>
      <c r="NXW91" s="609"/>
      <c r="NXX91" s="609"/>
      <c r="NXY91" s="609"/>
      <c r="NXZ91" s="609"/>
      <c r="NYA91" s="609"/>
      <c r="NYB91" s="609"/>
      <c r="NYC91" s="609"/>
      <c r="NYD91" s="609"/>
      <c r="NYE91" s="609"/>
      <c r="NYF91" s="609"/>
      <c r="NYG91" s="609"/>
      <c r="NYH91" s="609"/>
      <c r="NYI91" s="609"/>
      <c r="NYJ91" s="609"/>
      <c r="NYK91" s="609"/>
      <c r="NYL91" s="609"/>
      <c r="NYM91" s="609"/>
      <c r="NYN91" s="609"/>
      <c r="NYO91" s="609"/>
      <c r="NYP91" s="609"/>
      <c r="NYQ91" s="609"/>
      <c r="NYR91" s="609"/>
      <c r="NYS91" s="609"/>
      <c r="NYT91" s="609"/>
      <c r="NYU91" s="609"/>
      <c r="NYV91" s="609"/>
      <c r="NYW91" s="609"/>
      <c r="NYX91" s="609"/>
      <c r="NYY91" s="609"/>
      <c r="NYZ91" s="609"/>
      <c r="NZA91" s="609"/>
      <c r="NZB91" s="609"/>
      <c r="NZC91" s="609"/>
      <c r="NZD91" s="609"/>
      <c r="NZE91" s="609"/>
      <c r="NZF91" s="609"/>
      <c r="NZG91" s="609"/>
      <c r="NZH91" s="609"/>
      <c r="NZI91" s="609"/>
      <c r="NZJ91" s="609"/>
      <c r="NZK91" s="609"/>
      <c r="NZL91" s="609"/>
      <c r="NZM91" s="609"/>
      <c r="NZN91" s="609"/>
      <c r="NZO91" s="609"/>
      <c r="NZP91" s="609"/>
      <c r="NZQ91" s="609"/>
      <c r="NZR91" s="609"/>
      <c r="NZS91" s="609"/>
      <c r="NZT91" s="609"/>
      <c r="NZU91" s="609"/>
      <c r="NZV91" s="609"/>
      <c r="NZW91" s="609"/>
      <c r="NZX91" s="609"/>
      <c r="NZY91" s="609"/>
      <c r="NZZ91" s="609"/>
      <c r="OAA91" s="609"/>
      <c r="OAB91" s="609"/>
      <c r="OAC91" s="609"/>
      <c r="OAD91" s="609"/>
      <c r="OAE91" s="609"/>
      <c r="OAF91" s="609"/>
      <c r="OAG91" s="609"/>
      <c r="OAH91" s="609"/>
      <c r="OAI91" s="609"/>
      <c r="OAJ91" s="609"/>
      <c r="OAK91" s="609"/>
      <c r="OAL91" s="609"/>
      <c r="OAM91" s="609"/>
      <c r="OAN91" s="609"/>
      <c r="OAO91" s="609"/>
      <c r="OAP91" s="609"/>
      <c r="OAQ91" s="609"/>
      <c r="OAR91" s="609"/>
      <c r="OAS91" s="609"/>
      <c r="OAT91" s="609"/>
      <c r="OAU91" s="609"/>
      <c r="OAV91" s="609"/>
      <c r="OAW91" s="609"/>
      <c r="OAX91" s="609"/>
      <c r="OAY91" s="609"/>
      <c r="OAZ91" s="609"/>
      <c r="OBA91" s="609"/>
      <c r="OBB91" s="609"/>
      <c r="OBC91" s="609"/>
      <c r="OBD91" s="609"/>
      <c r="OBE91" s="609"/>
      <c r="OBF91" s="609"/>
      <c r="OBG91" s="609"/>
      <c r="OBH91" s="609"/>
      <c r="OBI91" s="609"/>
      <c r="OBJ91" s="609"/>
      <c r="OBK91" s="609"/>
      <c r="OBL91" s="609"/>
      <c r="OBM91" s="609"/>
      <c r="OBN91" s="609"/>
      <c r="OBO91" s="609"/>
      <c r="OBP91" s="609"/>
      <c r="OBQ91" s="609"/>
      <c r="OBR91" s="609"/>
      <c r="OBS91" s="609"/>
      <c r="OBT91" s="609"/>
      <c r="OBU91" s="609"/>
      <c r="OBV91" s="609"/>
      <c r="OBW91" s="609"/>
      <c r="OBX91" s="609"/>
      <c r="OBY91" s="609"/>
      <c r="OBZ91" s="609"/>
      <c r="OCA91" s="609"/>
      <c r="OCB91" s="609"/>
      <c r="OCC91" s="609"/>
      <c r="OCD91" s="609"/>
      <c r="OCE91" s="609"/>
      <c r="OCF91" s="609"/>
      <c r="OCG91" s="609"/>
      <c r="OCH91" s="609"/>
      <c r="OCI91" s="609"/>
      <c r="OCJ91" s="609"/>
      <c r="OCK91" s="609"/>
      <c r="OCL91" s="609"/>
      <c r="OCM91" s="609"/>
      <c r="OCN91" s="609"/>
      <c r="OCO91" s="609"/>
      <c r="OCP91" s="609"/>
      <c r="OCQ91" s="609"/>
      <c r="OCR91" s="609"/>
      <c r="OCS91" s="609"/>
      <c r="OCT91" s="609"/>
      <c r="OCU91" s="609"/>
      <c r="OCV91" s="609"/>
      <c r="OCW91" s="609"/>
      <c r="OCX91" s="609"/>
      <c r="OCY91" s="609"/>
      <c r="OCZ91" s="609"/>
      <c r="ODA91" s="609"/>
      <c r="ODB91" s="609"/>
      <c r="ODC91" s="609"/>
      <c r="ODD91" s="609"/>
      <c r="ODE91" s="609"/>
      <c r="ODF91" s="609"/>
      <c r="ODG91" s="609"/>
      <c r="ODH91" s="609"/>
      <c r="ODI91" s="609"/>
      <c r="ODJ91" s="609"/>
      <c r="ODK91" s="609"/>
      <c r="ODL91" s="609"/>
      <c r="ODM91" s="609"/>
      <c r="ODN91" s="609"/>
      <c r="ODO91" s="609"/>
      <c r="ODP91" s="609"/>
      <c r="ODQ91" s="609"/>
      <c r="ODR91" s="609"/>
      <c r="ODS91" s="609"/>
      <c r="ODT91" s="609"/>
      <c r="ODU91" s="609"/>
      <c r="ODV91" s="609"/>
      <c r="ODW91" s="609"/>
      <c r="ODX91" s="609"/>
      <c r="ODY91" s="609"/>
      <c r="ODZ91" s="609"/>
      <c r="OEA91" s="609"/>
      <c r="OEB91" s="609"/>
      <c r="OEC91" s="609"/>
      <c r="OED91" s="609"/>
      <c r="OEE91" s="609"/>
      <c r="OEF91" s="609"/>
      <c r="OEG91" s="609"/>
      <c r="OEH91" s="609"/>
      <c r="OEI91" s="609"/>
      <c r="OEJ91" s="609"/>
      <c r="OEK91" s="609"/>
      <c r="OEL91" s="609"/>
      <c r="OEM91" s="609"/>
      <c r="OEN91" s="609"/>
      <c r="OEO91" s="609"/>
      <c r="OEP91" s="609"/>
      <c r="OEQ91" s="609"/>
      <c r="OER91" s="609"/>
      <c r="OES91" s="609"/>
      <c r="OET91" s="609"/>
      <c r="OEU91" s="609"/>
      <c r="OEV91" s="609"/>
      <c r="OEW91" s="609"/>
      <c r="OEX91" s="609"/>
      <c r="OEY91" s="609"/>
      <c r="OEZ91" s="609"/>
      <c r="OFA91" s="609"/>
      <c r="OFB91" s="609"/>
      <c r="OFC91" s="609"/>
      <c r="OFD91" s="609"/>
      <c r="OFE91" s="609"/>
      <c r="OFF91" s="609"/>
      <c r="OFG91" s="609"/>
      <c r="OFH91" s="609"/>
      <c r="OFI91" s="609"/>
      <c r="OFJ91" s="609"/>
      <c r="OFK91" s="609"/>
      <c r="OFL91" s="609"/>
      <c r="OFM91" s="609"/>
      <c r="OFN91" s="609"/>
      <c r="OFO91" s="609"/>
      <c r="OFP91" s="609"/>
      <c r="OFQ91" s="609"/>
      <c r="OFR91" s="609"/>
      <c r="OFS91" s="609"/>
      <c r="OFT91" s="609"/>
      <c r="OFU91" s="609"/>
      <c r="OFV91" s="609"/>
      <c r="OFW91" s="609"/>
      <c r="OFX91" s="609"/>
      <c r="OFY91" s="609"/>
      <c r="OFZ91" s="609"/>
      <c r="OGA91" s="609"/>
      <c r="OGB91" s="609"/>
      <c r="OGC91" s="609"/>
      <c r="OGD91" s="609"/>
      <c r="OGE91" s="609"/>
      <c r="OGF91" s="609"/>
      <c r="OGG91" s="609"/>
      <c r="OGH91" s="609"/>
      <c r="OGI91" s="609"/>
      <c r="OGJ91" s="609"/>
      <c r="OGK91" s="609"/>
      <c r="OGL91" s="609"/>
      <c r="OGM91" s="609"/>
      <c r="OGN91" s="609"/>
      <c r="OGO91" s="609"/>
      <c r="OGP91" s="609"/>
      <c r="OGQ91" s="609"/>
      <c r="OGR91" s="609"/>
      <c r="OGS91" s="609"/>
      <c r="OGT91" s="609"/>
      <c r="OGU91" s="609"/>
      <c r="OGV91" s="609"/>
      <c r="OGW91" s="609"/>
      <c r="OGX91" s="609"/>
      <c r="OGY91" s="609"/>
      <c r="OGZ91" s="609"/>
      <c r="OHA91" s="609"/>
      <c r="OHB91" s="609"/>
      <c r="OHC91" s="609"/>
      <c r="OHD91" s="609"/>
      <c r="OHE91" s="609"/>
      <c r="OHF91" s="609"/>
      <c r="OHG91" s="609"/>
      <c r="OHH91" s="609"/>
      <c r="OHI91" s="609"/>
      <c r="OHJ91" s="609"/>
      <c r="OHK91" s="609"/>
      <c r="OHL91" s="609"/>
      <c r="OHM91" s="609"/>
      <c r="OHN91" s="609"/>
      <c r="OHO91" s="609"/>
      <c r="OHP91" s="609"/>
      <c r="OHQ91" s="609"/>
      <c r="OHR91" s="609"/>
      <c r="OHS91" s="609"/>
      <c r="OHT91" s="609"/>
      <c r="OHU91" s="609"/>
      <c r="OHV91" s="609"/>
      <c r="OHW91" s="609"/>
      <c r="OHX91" s="609"/>
      <c r="OHY91" s="609"/>
      <c r="OHZ91" s="609"/>
      <c r="OIA91" s="609"/>
      <c r="OIB91" s="609"/>
      <c r="OIC91" s="609"/>
      <c r="OID91" s="609"/>
      <c r="OIE91" s="609"/>
      <c r="OIF91" s="609"/>
      <c r="OIG91" s="609"/>
      <c r="OIH91" s="609"/>
      <c r="OII91" s="609"/>
      <c r="OIJ91" s="609"/>
      <c r="OIK91" s="609"/>
      <c r="OIL91" s="609"/>
      <c r="OIM91" s="609"/>
      <c r="OIN91" s="609"/>
      <c r="OIO91" s="609"/>
      <c r="OIP91" s="609"/>
      <c r="OIQ91" s="609"/>
      <c r="OIR91" s="609"/>
      <c r="OIS91" s="609"/>
      <c r="OIT91" s="609"/>
      <c r="OIU91" s="609"/>
      <c r="OIV91" s="609"/>
      <c r="OIW91" s="609"/>
      <c r="OIX91" s="609"/>
      <c r="OIY91" s="609"/>
      <c r="OIZ91" s="609"/>
      <c r="OJA91" s="609"/>
      <c r="OJB91" s="609"/>
      <c r="OJC91" s="609"/>
      <c r="OJD91" s="609"/>
      <c r="OJE91" s="609"/>
      <c r="OJF91" s="609"/>
      <c r="OJG91" s="609"/>
      <c r="OJH91" s="609"/>
      <c r="OJI91" s="609"/>
      <c r="OJJ91" s="609"/>
      <c r="OJK91" s="609"/>
      <c r="OJL91" s="609"/>
      <c r="OJM91" s="609"/>
      <c r="OJN91" s="609"/>
      <c r="OJO91" s="609"/>
      <c r="OJP91" s="609"/>
      <c r="OJQ91" s="609"/>
      <c r="OJR91" s="609"/>
      <c r="OJS91" s="609"/>
      <c r="OJT91" s="609"/>
      <c r="OJU91" s="609"/>
      <c r="OJV91" s="609"/>
      <c r="OJW91" s="609"/>
      <c r="OJX91" s="609"/>
      <c r="OJY91" s="609"/>
      <c r="OJZ91" s="609"/>
      <c r="OKA91" s="609"/>
      <c r="OKB91" s="609"/>
      <c r="OKC91" s="609"/>
      <c r="OKD91" s="609"/>
      <c r="OKE91" s="609"/>
      <c r="OKF91" s="609"/>
      <c r="OKG91" s="609"/>
      <c r="OKH91" s="609"/>
      <c r="OKI91" s="609"/>
      <c r="OKJ91" s="609"/>
      <c r="OKK91" s="609"/>
      <c r="OKL91" s="609"/>
      <c r="OKM91" s="609"/>
      <c r="OKN91" s="609"/>
      <c r="OKO91" s="609"/>
      <c r="OKP91" s="609"/>
      <c r="OKQ91" s="609"/>
      <c r="OKR91" s="609"/>
      <c r="OKS91" s="609"/>
      <c r="OKT91" s="609"/>
      <c r="OKU91" s="609"/>
      <c r="OKV91" s="609"/>
      <c r="OKW91" s="609"/>
      <c r="OKX91" s="609"/>
      <c r="OKY91" s="609"/>
      <c r="OKZ91" s="609"/>
      <c r="OLA91" s="609"/>
      <c r="OLB91" s="609"/>
      <c r="OLC91" s="609"/>
      <c r="OLD91" s="609"/>
      <c r="OLE91" s="609"/>
      <c r="OLF91" s="609"/>
      <c r="OLG91" s="609"/>
      <c r="OLH91" s="609"/>
      <c r="OLI91" s="609"/>
      <c r="OLJ91" s="609"/>
      <c r="OLK91" s="609"/>
      <c r="OLL91" s="609"/>
      <c r="OLM91" s="609"/>
      <c r="OLN91" s="609"/>
      <c r="OLO91" s="609"/>
      <c r="OLP91" s="609"/>
      <c r="OLQ91" s="609"/>
      <c r="OLR91" s="609"/>
      <c r="OLS91" s="609"/>
      <c r="OLT91" s="609"/>
      <c r="OLU91" s="609"/>
      <c r="OLV91" s="609"/>
      <c r="OLW91" s="609"/>
      <c r="OLX91" s="609"/>
      <c r="OLY91" s="609"/>
      <c r="OLZ91" s="609"/>
      <c r="OMA91" s="609"/>
      <c r="OMB91" s="609"/>
      <c r="OMC91" s="609"/>
      <c r="OMD91" s="609"/>
      <c r="OME91" s="609"/>
      <c r="OMF91" s="609"/>
      <c r="OMG91" s="609"/>
      <c r="OMH91" s="609"/>
      <c r="OMI91" s="609"/>
      <c r="OMJ91" s="609"/>
      <c r="OMK91" s="609"/>
      <c r="OML91" s="609"/>
      <c r="OMM91" s="609"/>
      <c r="OMN91" s="609"/>
      <c r="OMO91" s="609"/>
      <c r="OMP91" s="609"/>
      <c r="OMQ91" s="609"/>
      <c r="OMR91" s="609"/>
      <c r="OMS91" s="609"/>
      <c r="OMT91" s="609"/>
      <c r="OMU91" s="609"/>
      <c r="OMV91" s="609"/>
      <c r="OMW91" s="609"/>
      <c r="OMX91" s="609"/>
      <c r="OMY91" s="609"/>
      <c r="OMZ91" s="609"/>
      <c r="ONA91" s="609"/>
      <c r="ONB91" s="609"/>
      <c r="ONC91" s="609"/>
      <c r="OND91" s="609"/>
      <c r="ONE91" s="609"/>
      <c r="ONF91" s="609"/>
      <c r="ONG91" s="609"/>
      <c r="ONH91" s="609"/>
      <c r="ONI91" s="609"/>
      <c r="ONJ91" s="609"/>
      <c r="ONK91" s="609"/>
      <c r="ONL91" s="609"/>
      <c r="ONM91" s="609"/>
      <c r="ONN91" s="609"/>
      <c r="ONO91" s="609"/>
      <c r="ONP91" s="609"/>
      <c r="ONQ91" s="609"/>
      <c r="ONR91" s="609"/>
      <c r="ONS91" s="609"/>
      <c r="ONT91" s="609"/>
      <c r="ONU91" s="609"/>
      <c r="ONV91" s="609"/>
      <c r="ONW91" s="609"/>
      <c r="ONX91" s="609"/>
      <c r="ONY91" s="609"/>
      <c r="ONZ91" s="609"/>
      <c r="OOA91" s="609"/>
      <c r="OOB91" s="609"/>
      <c r="OOC91" s="609"/>
      <c r="OOD91" s="609"/>
      <c r="OOE91" s="609"/>
      <c r="OOF91" s="609"/>
      <c r="OOG91" s="609"/>
      <c r="OOH91" s="609"/>
      <c r="OOI91" s="609"/>
      <c r="OOJ91" s="609"/>
      <c r="OOK91" s="609"/>
      <c r="OOL91" s="609"/>
      <c r="OOM91" s="609"/>
      <c r="OON91" s="609"/>
      <c r="OOO91" s="609"/>
      <c r="OOP91" s="609"/>
      <c r="OOQ91" s="609"/>
      <c r="OOR91" s="609"/>
      <c r="OOS91" s="609"/>
      <c r="OOT91" s="609"/>
      <c r="OOU91" s="609"/>
      <c r="OOV91" s="609"/>
      <c r="OOW91" s="609"/>
      <c r="OOX91" s="609"/>
      <c r="OOY91" s="609"/>
      <c r="OOZ91" s="609"/>
      <c r="OPA91" s="609"/>
      <c r="OPB91" s="609"/>
      <c r="OPC91" s="609"/>
      <c r="OPD91" s="609"/>
      <c r="OPE91" s="609"/>
      <c r="OPF91" s="609"/>
      <c r="OPG91" s="609"/>
      <c r="OPH91" s="609"/>
      <c r="OPI91" s="609"/>
      <c r="OPJ91" s="609"/>
      <c r="OPK91" s="609"/>
      <c r="OPL91" s="609"/>
      <c r="OPM91" s="609"/>
      <c r="OPN91" s="609"/>
      <c r="OPO91" s="609"/>
      <c r="OPP91" s="609"/>
      <c r="OPQ91" s="609"/>
      <c r="OPR91" s="609"/>
      <c r="OPS91" s="609"/>
      <c r="OPT91" s="609"/>
      <c r="OPU91" s="609"/>
      <c r="OPV91" s="609"/>
      <c r="OPW91" s="609"/>
      <c r="OPX91" s="609"/>
      <c r="OPY91" s="609"/>
      <c r="OPZ91" s="609"/>
      <c r="OQA91" s="609"/>
      <c r="OQB91" s="609"/>
      <c r="OQC91" s="609"/>
      <c r="OQD91" s="609"/>
      <c r="OQE91" s="609"/>
      <c r="OQF91" s="609"/>
      <c r="OQG91" s="609"/>
      <c r="OQH91" s="609"/>
      <c r="OQI91" s="609"/>
      <c r="OQJ91" s="609"/>
      <c r="OQK91" s="609"/>
      <c r="OQL91" s="609"/>
      <c r="OQM91" s="609"/>
      <c r="OQN91" s="609"/>
      <c r="OQO91" s="609"/>
      <c r="OQP91" s="609"/>
      <c r="OQQ91" s="609"/>
      <c r="OQR91" s="609"/>
      <c r="OQS91" s="609"/>
      <c r="OQT91" s="609"/>
      <c r="OQU91" s="609"/>
      <c r="OQV91" s="609"/>
      <c r="OQW91" s="609"/>
      <c r="OQX91" s="609"/>
      <c r="OQY91" s="609"/>
      <c r="OQZ91" s="609"/>
      <c r="ORA91" s="609"/>
      <c r="ORB91" s="609"/>
      <c r="ORC91" s="609"/>
      <c r="ORD91" s="609"/>
      <c r="ORE91" s="609"/>
      <c r="ORF91" s="609"/>
      <c r="ORG91" s="609"/>
      <c r="ORH91" s="609"/>
      <c r="ORI91" s="609"/>
      <c r="ORJ91" s="609"/>
      <c r="ORK91" s="609"/>
      <c r="ORL91" s="609"/>
      <c r="ORM91" s="609"/>
      <c r="ORN91" s="609"/>
      <c r="ORO91" s="609"/>
      <c r="ORP91" s="609"/>
      <c r="ORQ91" s="609"/>
      <c r="ORR91" s="609"/>
      <c r="ORS91" s="609"/>
      <c r="ORT91" s="609"/>
      <c r="ORU91" s="609"/>
      <c r="ORV91" s="609"/>
      <c r="ORW91" s="609"/>
      <c r="ORX91" s="609"/>
      <c r="ORY91" s="609"/>
      <c r="ORZ91" s="609"/>
      <c r="OSA91" s="609"/>
      <c r="OSB91" s="609"/>
      <c r="OSC91" s="609"/>
      <c r="OSD91" s="609"/>
      <c r="OSE91" s="609"/>
      <c r="OSF91" s="609"/>
      <c r="OSG91" s="609"/>
      <c r="OSH91" s="609"/>
      <c r="OSI91" s="609"/>
      <c r="OSJ91" s="609"/>
      <c r="OSK91" s="609"/>
      <c r="OSL91" s="609"/>
      <c r="OSM91" s="609"/>
      <c r="OSN91" s="609"/>
      <c r="OSO91" s="609"/>
      <c r="OSP91" s="609"/>
      <c r="OSQ91" s="609"/>
      <c r="OSR91" s="609"/>
      <c r="OSS91" s="609"/>
      <c r="OST91" s="609"/>
      <c r="OSU91" s="609"/>
      <c r="OSV91" s="609"/>
      <c r="OSW91" s="609"/>
      <c r="OSX91" s="609"/>
      <c r="OSY91" s="609"/>
      <c r="OSZ91" s="609"/>
      <c r="OTA91" s="609"/>
      <c r="OTB91" s="609"/>
      <c r="OTC91" s="609"/>
      <c r="OTD91" s="609"/>
      <c r="OTE91" s="609"/>
      <c r="OTF91" s="609"/>
      <c r="OTG91" s="609"/>
      <c r="OTH91" s="609"/>
      <c r="OTI91" s="609"/>
      <c r="OTJ91" s="609"/>
      <c r="OTK91" s="609"/>
      <c r="OTL91" s="609"/>
      <c r="OTM91" s="609"/>
      <c r="OTN91" s="609"/>
      <c r="OTO91" s="609"/>
      <c r="OTP91" s="609"/>
      <c r="OTQ91" s="609"/>
      <c r="OTR91" s="609"/>
      <c r="OTS91" s="609"/>
      <c r="OTT91" s="609"/>
      <c r="OTU91" s="609"/>
      <c r="OTV91" s="609"/>
      <c r="OTW91" s="609"/>
      <c r="OTX91" s="609"/>
      <c r="OTY91" s="609"/>
      <c r="OTZ91" s="609"/>
      <c r="OUA91" s="609"/>
      <c r="OUB91" s="609"/>
      <c r="OUC91" s="609"/>
      <c r="OUD91" s="609"/>
      <c r="OUE91" s="609"/>
      <c r="OUF91" s="609"/>
      <c r="OUG91" s="609"/>
      <c r="OUH91" s="609"/>
      <c r="OUI91" s="609"/>
      <c r="OUJ91" s="609"/>
      <c r="OUK91" s="609"/>
      <c r="OUL91" s="609"/>
      <c r="OUM91" s="609"/>
      <c r="OUN91" s="609"/>
      <c r="OUO91" s="609"/>
      <c r="OUP91" s="609"/>
      <c r="OUQ91" s="609"/>
      <c r="OUR91" s="609"/>
      <c r="OUS91" s="609"/>
      <c r="OUT91" s="609"/>
      <c r="OUU91" s="609"/>
      <c r="OUV91" s="609"/>
      <c r="OUW91" s="609"/>
      <c r="OUX91" s="609"/>
      <c r="OUY91" s="609"/>
      <c r="OUZ91" s="609"/>
      <c r="OVA91" s="609"/>
      <c r="OVB91" s="609"/>
      <c r="OVC91" s="609"/>
      <c r="OVD91" s="609"/>
      <c r="OVE91" s="609"/>
      <c r="OVF91" s="609"/>
      <c r="OVG91" s="609"/>
      <c r="OVH91" s="609"/>
      <c r="OVI91" s="609"/>
      <c r="OVJ91" s="609"/>
      <c r="OVK91" s="609"/>
      <c r="OVL91" s="609"/>
      <c r="OVM91" s="609"/>
      <c r="OVN91" s="609"/>
      <c r="OVO91" s="609"/>
      <c r="OVP91" s="609"/>
      <c r="OVQ91" s="609"/>
      <c r="OVR91" s="609"/>
      <c r="OVS91" s="609"/>
      <c r="OVT91" s="609"/>
      <c r="OVU91" s="609"/>
      <c r="OVV91" s="609"/>
      <c r="OVW91" s="609"/>
      <c r="OVX91" s="609"/>
      <c r="OVY91" s="609"/>
      <c r="OVZ91" s="609"/>
      <c r="OWA91" s="609"/>
      <c r="OWB91" s="609"/>
      <c r="OWC91" s="609"/>
      <c r="OWD91" s="609"/>
      <c r="OWE91" s="609"/>
      <c r="OWF91" s="609"/>
      <c r="OWG91" s="609"/>
      <c r="OWH91" s="609"/>
      <c r="OWI91" s="609"/>
      <c r="OWJ91" s="609"/>
      <c r="OWK91" s="609"/>
      <c r="OWL91" s="609"/>
      <c r="OWM91" s="609"/>
      <c r="OWN91" s="609"/>
      <c r="OWO91" s="609"/>
      <c r="OWP91" s="609"/>
      <c r="OWQ91" s="609"/>
      <c r="OWR91" s="609"/>
      <c r="OWS91" s="609"/>
      <c r="OWT91" s="609"/>
      <c r="OWU91" s="609"/>
      <c r="OWV91" s="609"/>
      <c r="OWW91" s="609"/>
      <c r="OWX91" s="609"/>
      <c r="OWY91" s="609"/>
      <c r="OWZ91" s="609"/>
      <c r="OXA91" s="609"/>
      <c r="OXB91" s="609"/>
      <c r="OXC91" s="609"/>
      <c r="OXD91" s="609"/>
      <c r="OXE91" s="609"/>
      <c r="OXF91" s="609"/>
      <c r="OXG91" s="609"/>
      <c r="OXH91" s="609"/>
      <c r="OXI91" s="609"/>
      <c r="OXJ91" s="609"/>
      <c r="OXK91" s="609"/>
      <c r="OXL91" s="609"/>
      <c r="OXM91" s="609"/>
      <c r="OXN91" s="609"/>
      <c r="OXO91" s="609"/>
      <c r="OXP91" s="609"/>
      <c r="OXQ91" s="609"/>
      <c r="OXR91" s="609"/>
      <c r="OXS91" s="609"/>
      <c r="OXT91" s="609"/>
      <c r="OXU91" s="609"/>
      <c r="OXV91" s="609"/>
      <c r="OXW91" s="609"/>
      <c r="OXX91" s="609"/>
      <c r="OXY91" s="609"/>
      <c r="OXZ91" s="609"/>
      <c r="OYA91" s="609"/>
      <c r="OYB91" s="609"/>
      <c r="OYC91" s="609"/>
      <c r="OYD91" s="609"/>
      <c r="OYE91" s="609"/>
      <c r="OYF91" s="609"/>
      <c r="OYG91" s="609"/>
      <c r="OYH91" s="609"/>
      <c r="OYI91" s="609"/>
      <c r="OYJ91" s="609"/>
      <c r="OYK91" s="609"/>
      <c r="OYL91" s="609"/>
      <c r="OYM91" s="609"/>
      <c r="OYN91" s="609"/>
      <c r="OYO91" s="609"/>
      <c r="OYP91" s="609"/>
      <c r="OYQ91" s="609"/>
      <c r="OYR91" s="609"/>
      <c r="OYS91" s="609"/>
      <c r="OYT91" s="609"/>
      <c r="OYU91" s="609"/>
      <c r="OYV91" s="609"/>
      <c r="OYW91" s="609"/>
      <c r="OYX91" s="609"/>
      <c r="OYY91" s="609"/>
      <c r="OYZ91" s="609"/>
      <c r="OZA91" s="609"/>
      <c r="OZB91" s="609"/>
      <c r="OZC91" s="609"/>
      <c r="OZD91" s="609"/>
      <c r="OZE91" s="609"/>
      <c r="OZF91" s="609"/>
      <c r="OZG91" s="609"/>
      <c r="OZH91" s="609"/>
      <c r="OZI91" s="609"/>
      <c r="OZJ91" s="609"/>
      <c r="OZK91" s="609"/>
      <c r="OZL91" s="609"/>
      <c r="OZM91" s="609"/>
      <c r="OZN91" s="609"/>
      <c r="OZO91" s="609"/>
      <c r="OZP91" s="609"/>
      <c r="OZQ91" s="609"/>
      <c r="OZR91" s="609"/>
      <c r="OZS91" s="609"/>
      <c r="OZT91" s="609"/>
      <c r="OZU91" s="609"/>
      <c r="OZV91" s="609"/>
      <c r="OZW91" s="609"/>
      <c r="OZX91" s="609"/>
      <c r="OZY91" s="609"/>
      <c r="OZZ91" s="609"/>
      <c r="PAA91" s="609"/>
      <c r="PAB91" s="609"/>
      <c r="PAC91" s="609"/>
      <c r="PAD91" s="609"/>
      <c r="PAE91" s="609"/>
      <c r="PAF91" s="609"/>
      <c r="PAG91" s="609"/>
      <c r="PAH91" s="609"/>
      <c r="PAI91" s="609"/>
      <c r="PAJ91" s="609"/>
      <c r="PAK91" s="609"/>
      <c r="PAL91" s="609"/>
      <c r="PAM91" s="609"/>
      <c r="PAN91" s="609"/>
      <c r="PAO91" s="609"/>
      <c r="PAP91" s="609"/>
      <c r="PAQ91" s="609"/>
      <c r="PAR91" s="609"/>
      <c r="PAS91" s="609"/>
      <c r="PAT91" s="609"/>
      <c r="PAU91" s="609"/>
      <c r="PAV91" s="609"/>
      <c r="PAW91" s="609"/>
      <c r="PAX91" s="609"/>
      <c r="PAY91" s="609"/>
      <c r="PAZ91" s="609"/>
      <c r="PBA91" s="609"/>
      <c r="PBB91" s="609"/>
      <c r="PBC91" s="609"/>
      <c r="PBD91" s="609"/>
      <c r="PBE91" s="609"/>
      <c r="PBF91" s="609"/>
      <c r="PBG91" s="609"/>
      <c r="PBH91" s="609"/>
      <c r="PBI91" s="609"/>
      <c r="PBJ91" s="609"/>
      <c r="PBK91" s="609"/>
      <c r="PBL91" s="609"/>
      <c r="PBM91" s="609"/>
      <c r="PBN91" s="609"/>
      <c r="PBO91" s="609"/>
      <c r="PBP91" s="609"/>
      <c r="PBQ91" s="609"/>
      <c r="PBR91" s="609"/>
      <c r="PBS91" s="609"/>
      <c r="PBT91" s="609"/>
      <c r="PBU91" s="609"/>
      <c r="PBV91" s="609"/>
      <c r="PBW91" s="609"/>
      <c r="PBX91" s="609"/>
      <c r="PBY91" s="609"/>
      <c r="PBZ91" s="609"/>
      <c r="PCA91" s="609"/>
      <c r="PCB91" s="609"/>
      <c r="PCC91" s="609"/>
      <c r="PCD91" s="609"/>
      <c r="PCE91" s="609"/>
      <c r="PCF91" s="609"/>
      <c r="PCG91" s="609"/>
      <c r="PCH91" s="609"/>
      <c r="PCI91" s="609"/>
      <c r="PCJ91" s="609"/>
      <c r="PCK91" s="609"/>
      <c r="PCL91" s="609"/>
      <c r="PCM91" s="609"/>
      <c r="PCN91" s="609"/>
      <c r="PCO91" s="609"/>
      <c r="PCP91" s="609"/>
      <c r="PCQ91" s="609"/>
      <c r="PCR91" s="609"/>
      <c r="PCS91" s="609"/>
      <c r="PCT91" s="609"/>
      <c r="PCU91" s="609"/>
      <c r="PCV91" s="609"/>
      <c r="PCW91" s="609"/>
      <c r="PCX91" s="609"/>
      <c r="PCY91" s="609"/>
      <c r="PCZ91" s="609"/>
      <c r="PDA91" s="609"/>
      <c r="PDB91" s="609"/>
      <c r="PDC91" s="609"/>
      <c r="PDD91" s="609"/>
      <c r="PDE91" s="609"/>
      <c r="PDF91" s="609"/>
      <c r="PDG91" s="609"/>
      <c r="PDH91" s="609"/>
      <c r="PDI91" s="609"/>
      <c r="PDJ91" s="609"/>
      <c r="PDK91" s="609"/>
      <c r="PDL91" s="609"/>
      <c r="PDM91" s="609"/>
      <c r="PDN91" s="609"/>
      <c r="PDO91" s="609"/>
      <c r="PDP91" s="609"/>
      <c r="PDQ91" s="609"/>
      <c r="PDR91" s="609"/>
      <c r="PDS91" s="609"/>
      <c r="PDT91" s="609"/>
      <c r="PDU91" s="609"/>
      <c r="PDV91" s="609"/>
      <c r="PDW91" s="609"/>
      <c r="PDX91" s="609"/>
      <c r="PDY91" s="609"/>
      <c r="PDZ91" s="609"/>
      <c r="PEA91" s="609"/>
      <c r="PEB91" s="609"/>
      <c r="PEC91" s="609"/>
      <c r="PED91" s="609"/>
      <c r="PEE91" s="609"/>
      <c r="PEF91" s="609"/>
      <c r="PEG91" s="609"/>
      <c r="PEH91" s="609"/>
      <c r="PEI91" s="609"/>
      <c r="PEJ91" s="609"/>
      <c r="PEK91" s="609"/>
      <c r="PEL91" s="609"/>
      <c r="PEM91" s="609"/>
      <c r="PEN91" s="609"/>
      <c r="PEO91" s="609"/>
      <c r="PEP91" s="609"/>
      <c r="PEQ91" s="609"/>
      <c r="PER91" s="609"/>
      <c r="PES91" s="609"/>
      <c r="PET91" s="609"/>
      <c r="PEU91" s="609"/>
      <c r="PEV91" s="609"/>
      <c r="PEW91" s="609"/>
      <c r="PEX91" s="609"/>
      <c r="PEY91" s="609"/>
      <c r="PEZ91" s="609"/>
      <c r="PFA91" s="609"/>
      <c r="PFB91" s="609"/>
      <c r="PFC91" s="609"/>
      <c r="PFD91" s="609"/>
      <c r="PFE91" s="609"/>
      <c r="PFF91" s="609"/>
      <c r="PFG91" s="609"/>
      <c r="PFH91" s="609"/>
      <c r="PFI91" s="609"/>
      <c r="PFJ91" s="609"/>
      <c r="PFK91" s="609"/>
      <c r="PFL91" s="609"/>
      <c r="PFM91" s="609"/>
      <c r="PFN91" s="609"/>
      <c r="PFO91" s="609"/>
      <c r="PFP91" s="609"/>
      <c r="PFQ91" s="609"/>
      <c r="PFR91" s="609"/>
      <c r="PFS91" s="609"/>
      <c r="PFT91" s="609"/>
      <c r="PFU91" s="609"/>
      <c r="PFV91" s="609"/>
      <c r="PFW91" s="609"/>
      <c r="PFX91" s="609"/>
      <c r="PFY91" s="609"/>
      <c r="PFZ91" s="609"/>
      <c r="PGA91" s="609"/>
      <c r="PGB91" s="609"/>
      <c r="PGC91" s="609"/>
      <c r="PGD91" s="609"/>
      <c r="PGE91" s="609"/>
      <c r="PGF91" s="609"/>
      <c r="PGG91" s="609"/>
      <c r="PGH91" s="609"/>
      <c r="PGI91" s="609"/>
      <c r="PGJ91" s="609"/>
      <c r="PGK91" s="609"/>
      <c r="PGL91" s="609"/>
      <c r="PGM91" s="609"/>
      <c r="PGN91" s="609"/>
      <c r="PGO91" s="609"/>
      <c r="PGP91" s="609"/>
      <c r="PGQ91" s="609"/>
      <c r="PGR91" s="609"/>
      <c r="PGS91" s="609"/>
      <c r="PGT91" s="609"/>
      <c r="PGU91" s="609"/>
      <c r="PGV91" s="609"/>
      <c r="PGW91" s="609"/>
      <c r="PGX91" s="609"/>
      <c r="PGY91" s="609"/>
      <c r="PGZ91" s="609"/>
      <c r="PHA91" s="609"/>
      <c r="PHB91" s="609"/>
      <c r="PHC91" s="609"/>
      <c r="PHD91" s="609"/>
      <c r="PHE91" s="609"/>
      <c r="PHF91" s="609"/>
      <c r="PHG91" s="609"/>
      <c r="PHH91" s="609"/>
      <c r="PHI91" s="609"/>
      <c r="PHJ91" s="609"/>
      <c r="PHK91" s="609"/>
      <c r="PHL91" s="609"/>
      <c r="PHM91" s="609"/>
      <c r="PHN91" s="609"/>
      <c r="PHO91" s="609"/>
      <c r="PHP91" s="609"/>
      <c r="PHQ91" s="609"/>
      <c r="PHR91" s="609"/>
      <c r="PHS91" s="609"/>
      <c r="PHT91" s="609"/>
      <c r="PHU91" s="609"/>
      <c r="PHV91" s="609"/>
      <c r="PHW91" s="609"/>
      <c r="PHX91" s="609"/>
      <c r="PHY91" s="609"/>
      <c r="PHZ91" s="609"/>
      <c r="PIA91" s="609"/>
      <c r="PIB91" s="609"/>
      <c r="PIC91" s="609"/>
      <c r="PID91" s="609"/>
      <c r="PIE91" s="609"/>
      <c r="PIF91" s="609"/>
      <c r="PIG91" s="609"/>
      <c r="PIH91" s="609"/>
      <c r="PII91" s="609"/>
      <c r="PIJ91" s="609"/>
      <c r="PIK91" s="609"/>
      <c r="PIL91" s="609"/>
      <c r="PIM91" s="609"/>
      <c r="PIN91" s="609"/>
      <c r="PIO91" s="609"/>
      <c r="PIP91" s="609"/>
      <c r="PIQ91" s="609"/>
      <c r="PIR91" s="609"/>
      <c r="PIS91" s="609"/>
      <c r="PIT91" s="609"/>
      <c r="PIU91" s="609"/>
      <c r="PIV91" s="609"/>
      <c r="PIW91" s="609"/>
      <c r="PIX91" s="609"/>
      <c r="PIY91" s="609"/>
      <c r="PIZ91" s="609"/>
      <c r="PJA91" s="609"/>
      <c r="PJB91" s="609"/>
      <c r="PJC91" s="609"/>
      <c r="PJD91" s="609"/>
      <c r="PJE91" s="609"/>
      <c r="PJF91" s="609"/>
      <c r="PJG91" s="609"/>
      <c r="PJH91" s="609"/>
      <c r="PJI91" s="609"/>
      <c r="PJJ91" s="609"/>
      <c r="PJK91" s="609"/>
      <c r="PJL91" s="609"/>
      <c r="PJM91" s="609"/>
      <c r="PJN91" s="609"/>
      <c r="PJO91" s="609"/>
      <c r="PJP91" s="609"/>
      <c r="PJQ91" s="609"/>
      <c r="PJR91" s="609"/>
      <c r="PJS91" s="609"/>
      <c r="PJT91" s="609"/>
      <c r="PJU91" s="609"/>
      <c r="PJV91" s="609"/>
      <c r="PJW91" s="609"/>
      <c r="PJX91" s="609"/>
      <c r="PJY91" s="609"/>
      <c r="PJZ91" s="609"/>
      <c r="PKA91" s="609"/>
      <c r="PKB91" s="609"/>
      <c r="PKC91" s="609"/>
      <c r="PKD91" s="609"/>
      <c r="PKE91" s="609"/>
      <c r="PKF91" s="609"/>
      <c r="PKG91" s="609"/>
      <c r="PKH91" s="609"/>
      <c r="PKI91" s="609"/>
      <c r="PKJ91" s="609"/>
      <c r="PKK91" s="609"/>
      <c r="PKL91" s="609"/>
      <c r="PKM91" s="609"/>
      <c r="PKN91" s="609"/>
      <c r="PKO91" s="609"/>
      <c r="PKP91" s="609"/>
      <c r="PKQ91" s="609"/>
      <c r="PKR91" s="609"/>
      <c r="PKS91" s="609"/>
      <c r="PKT91" s="609"/>
      <c r="PKU91" s="609"/>
      <c r="PKV91" s="609"/>
      <c r="PKW91" s="609"/>
      <c r="PKX91" s="609"/>
      <c r="PKY91" s="609"/>
      <c r="PKZ91" s="609"/>
      <c r="PLA91" s="609"/>
      <c r="PLB91" s="609"/>
      <c r="PLC91" s="609"/>
      <c r="PLD91" s="609"/>
      <c r="PLE91" s="609"/>
      <c r="PLF91" s="609"/>
      <c r="PLG91" s="609"/>
      <c r="PLH91" s="609"/>
      <c r="PLI91" s="609"/>
      <c r="PLJ91" s="609"/>
      <c r="PLK91" s="609"/>
      <c r="PLL91" s="609"/>
      <c r="PLM91" s="609"/>
      <c r="PLN91" s="609"/>
      <c r="PLO91" s="609"/>
      <c r="PLP91" s="609"/>
      <c r="PLQ91" s="609"/>
      <c r="PLR91" s="609"/>
      <c r="PLS91" s="609"/>
      <c r="PLT91" s="609"/>
      <c r="PLU91" s="609"/>
      <c r="PLV91" s="609"/>
      <c r="PLW91" s="609"/>
      <c r="PLX91" s="609"/>
      <c r="PLY91" s="609"/>
      <c r="PLZ91" s="609"/>
      <c r="PMA91" s="609"/>
      <c r="PMB91" s="609"/>
      <c r="PMC91" s="609"/>
      <c r="PMD91" s="609"/>
      <c r="PME91" s="609"/>
      <c r="PMF91" s="609"/>
      <c r="PMG91" s="609"/>
      <c r="PMH91" s="609"/>
      <c r="PMI91" s="609"/>
      <c r="PMJ91" s="609"/>
      <c r="PMK91" s="609"/>
      <c r="PML91" s="609"/>
      <c r="PMM91" s="609"/>
      <c r="PMN91" s="609"/>
      <c r="PMO91" s="609"/>
      <c r="PMP91" s="609"/>
      <c r="PMQ91" s="609"/>
      <c r="PMR91" s="609"/>
      <c r="PMS91" s="609"/>
      <c r="PMT91" s="609"/>
      <c r="PMU91" s="609"/>
      <c r="PMV91" s="609"/>
      <c r="PMW91" s="609"/>
      <c r="PMX91" s="609"/>
      <c r="PMY91" s="609"/>
      <c r="PMZ91" s="609"/>
      <c r="PNA91" s="609"/>
      <c r="PNB91" s="609"/>
      <c r="PNC91" s="609"/>
      <c r="PND91" s="609"/>
      <c r="PNE91" s="609"/>
      <c r="PNF91" s="609"/>
      <c r="PNG91" s="609"/>
      <c r="PNH91" s="609"/>
      <c r="PNI91" s="609"/>
      <c r="PNJ91" s="609"/>
      <c r="PNK91" s="609"/>
      <c r="PNL91" s="609"/>
      <c r="PNM91" s="609"/>
      <c r="PNN91" s="609"/>
      <c r="PNO91" s="609"/>
      <c r="PNP91" s="609"/>
      <c r="PNQ91" s="609"/>
      <c r="PNR91" s="609"/>
      <c r="PNS91" s="609"/>
      <c r="PNT91" s="609"/>
      <c r="PNU91" s="609"/>
      <c r="PNV91" s="609"/>
      <c r="PNW91" s="609"/>
      <c r="PNX91" s="609"/>
      <c r="PNY91" s="609"/>
      <c r="PNZ91" s="609"/>
      <c r="POA91" s="609"/>
      <c r="POB91" s="609"/>
      <c r="POC91" s="609"/>
      <c r="POD91" s="609"/>
      <c r="POE91" s="609"/>
      <c r="POF91" s="609"/>
      <c r="POG91" s="609"/>
      <c r="POH91" s="609"/>
      <c r="POI91" s="609"/>
      <c r="POJ91" s="609"/>
      <c r="POK91" s="609"/>
      <c r="POL91" s="609"/>
      <c r="POM91" s="609"/>
      <c r="PON91" s="609"/>
      <c r="POO91" s="609"/>
      <c r="POP91" s="609"/>
      <c r="POQ91" s="609"/>
      <c r="POR91" s="609"/>
      <c r="POS91" s="609"/>
      <c r="POT91" s="609"/>
      <c r="POU91" s="609"/>
      <c r="POV91" s="609"/>
      <c r="POW91" s="609"/>
      <c r="POX91" s="609"/>
      <c r="POY91" s="609"/>
      <c r="POZ91" s="609"/>
      <c r="PPA91" s="609"/>
      <c r="PPB91" s="609"/>
      <c r="PPC91" s="609"/>
      <c r="PPD91" s="609"/>
      <c r="PPE91" s="609"/>
      <c r="PPF91" s="609"/>
      <c r="PPG91" s="609"/>
      <c r="PPH91" s="609"/>
      <c r="PPI91" s="609"/>
      <c r="PPJ91" s="609"/>
      <c r="PPK91" s="609"/>
      <c r="PPL91" s="609"/>
      <c r="PPM91" s="609"/>
      <c r="PPN91" s="609"/>
      <c r="PPO91" s="609"/>
      <c r="PPP91" s="609"/>
      <c r="PPQ91" s="609"/>
      <c r="PPR91" s="609"/>
      <c r="PPS91" s="609"/>
      <c r="PPT91" s="609"/>
      <c r="PPU91" s="609"/>
      <c r="PPV91" s="609"/>
      <c r="PPW91" s="609"/>
      <c r="PPX91" s="609"/>
      <c r="PPY91" s="609"/>
      <c r="PPZ91" s="609"/>
      <c r="PQA91" s="609"/>
      <c r="PQB91" s="609"/>
      <c r="PQC91" s="609"/>
      <c r="PQD91" s="609"/>
      <c r="PQE91" s="609"/>
      <c r="PQF91" s="609"/>
      <c r="PQG91" s="609"/>
      <c r="PQH91" s="609"/>
      <c r="PQI91" s="609"/>
      <c r="PQJ91" s="609"/>
      <c r="PQK91" s="609"/>
      <c r="PQL91" s="609"/>
      <c r="PQM91" s="609"/>
      <c r="PQN91" s="609"/>
      <c r="PQO91" s="609"/>
      <c r="PQP91" s="609"/>
      <c r="PQQ91" s="609"/>
      <c r="PQR91" s="609"/>
      <c r="PQS91" s="609"/>
      <c r="PQT91" s="609"/>
      <c r="PQU91" s="609"/>
      <c r="PQV91" s="609"/>
      <c r="PQW91" s="609"/>
      <c r="PQX91" s="609"/>
      <c r="PQY91" s="609"/>
      <c r="PQZ91" s="609"/>
      <c r="PRA91" s="609"/>
      <c r="PRB91" s="609"/>
      <c r="PRC91" s="609"/>
      <c r="PRD91" s="609"/>
      <c r="PRE91" s="609"/>
      <c r="PRF91" s="609"/>
      <c r="PRG91" s="609"/>
      <c r="PRH91" s="609"/>
      <c r="PRI91" s="609"/>
      <c r="PRJ91" s="609"/>
      <c r="PRK91" s="609"/>
      <c r="PRL91" s="609"/>
      <c r="PRM91" s="609"/>
      <c r="PRN91" s="609"/>
      <c r="PRO91" s="609"/>
      <c r="PRP91" s="609"/>
      <c r="PRQ91" s="609"/>
      <c r="PRR91" s="609"/>
      <c r="PRS91" s="609"/>
      <c r="PRT91" s="609"/>
      <c r="PRU91" s="609"/>
      <c r="PRV91" s="609"/>
      <c r="PRW91" s="609"/>
      <c r="PRX91" s="609"/>
      <c r="PRY91" s="609"/>
      <c r="PRZ91" s="609"/>
      <c r="PSA91" s="609"/>
      <c r="PSB91" s="609"/>
      <c r="PSC91" s="609"/>
      <c r="PSD91" s="609"/>
      <c r="PSE91" s="609"/>
      <c r="PSF91" s="609"/>
      <c r="PSG91" s="609"/>
      <c r="PSH91" s="609"/>
      <c r="PSI91" s="609"/>
      <c r="PSJ91" s="609"/>
      <c r="PSK91" s="609"/>
      <c r="PSL91" s="609"/>
      <c r="PSM91" s="609"/>
      <c r="PSN91" s="609"/>
      <c r="PSO91" s="609"/>
      <c r="PSP91" s="609"/>
      <c r="PSQ91" s="609"/>
      <c r="PSR91" s="609"/>
      <c r="PSS91" s="609"/>
      <c r="PST91" s="609"/>
      <c r="PSU91" s="609"/>
      <c r="PSV91" s="609"/>
      <c r="PSW91" s="609"/>
      <c r="PSX91" s="609"/>
      <c r="PSY91" s="609"/>
      <c r="PSZ91" s="609"/>
      <c r="PTA91" s="609"/>
      <c r="PTB91" s="609"/>
      <c r="PTC91" s="609"/>
      <c r="PTD91" s="609"/>
      <c r="PTE91" s="609"/>
      <c r="PTF91" s="609"/>
      <c r="PTG91" s="609"/>
      <c r="PTH91" s="609"/>
      <c r="PTI91" s="609"/>
      <c r="PTJ91" s="609"/>
      <c r="PTK91" s="609"/>
      <c r="PTL91" s="609"/>
      <c r="PTM91" s="609"/>
      <c r="PTN91" s="609"/>
      <c r="PTO91" s="609"/>
      <c r="PTP91" s="609"/>
      <c r="PTQ91" s="609"/>
      <c r="PTR91" s="609"/>
      <c r="PTS91" s="609"/>
      <c r="PTT91" s="609"/>
      <c r="PTU91" s="609"/>
      <c r="PTV91" s="609"/>
      <c r="PTW91" s="609"/>
      <c r="PTX91" s="609"/>
      <c r="PTY91" s="609"/>
      <c r="PTZ91" s="609"/>
      <c r="PUA91" s="609"/>
      <c r="PUB91" s="609"/>
      <c r="PUC91" s="609"/>
      <c r="PUD91" s="609"/>
      <c r="PUE91" s="609"/>
      <c r="PUF91" s="609"/>
      <c r="PUG91" s="609"/>
      <c r="PUH91" s="609"/>
      <c r="PUI91" s="609"/>
      <c r="PUJ91" s="609"/>
      <c r="PUK91" s="609"/>
      <c r="PUL91" s="609"/>
      <c r="PUM91" s="609"/>
      <c r="PUN91" s="609"/>
      <c r="PUO91" s="609"/>
      <c r="PUP91" s="609"/>
      <c r="PUQ91" s="609"/>
      <c r="PUR91" s="609"/>
      <c r="PUS91" s="609"/>
      <c r="PUT91" s="609"/>
      <c r="PUU91" s="609"/>
      <c r="PUV91" s="609"/>
      <c r="PUW91" s="609"/>
      <c r="PUX91" s="609"/>
      <c r="PUY91" s="609"/>
      <c r="PUZ91" s="609"/>
      <c r="PVA91" s="609"/>
      <c r="PVB91" s="609"/>
      <c r="PVC91" s="609"/>
      <c r="PVD91" s="609"/>
      <c r="PVE91" s="609"/>
      <c r="PVF91" s="609"/>
      <c r="PVG91" s="609"/>
      <c r="PVH91" s="609"/>
      <c r="PVI91" s="609"/>
      <c r="PVJ91" s="609"/>
      <c r="PVK91" s="609"/>
      <c r="PVL91" s="609"/>
      <c r="PVM91" s="609"/>
      <c r="PVN91" s="609"/>
      <c r="PVO91" s="609"/>
      <c r="PVP91" s="609"/>
      <c r="PVQ91" s="609"/>
      <c r="PVR91" s="609"/>
      <c r="PVS91" s="609"/>
      <c r="PVT91" s="609"/>
      <c r="PVU91" s="609"/>
      <c r="PVV91" s="609"/>
      <c r="PVW91" s="609"/>
      <c r="PVX91" s="609"/>
      <c r="PVY91" s="609"/>
      <c r="PVZ91" s="609"/>
      <c r="PWA91" s="609"/>
      <c r="PWB91" s="609"/>
      <c r="PWC91" s="609"/>
      <c r="PWD91" s="609"/>
      <c r="PWE91" s="609"/>
      <c r="PWF91" s="609"/>
      <c r="PWG91" s="609"/>
      <c r="PWH91" s="609"/>
      <c r="PWI91" s="609"/>
      <c r="PWJ91" s="609"/>
      <c r="PWK91" s="609"/>
      <c r="PWL91" s="609"/>
      <c r="PWM91" s="609"/>
      <c r="PWN91" s="609"/>
      <c r="PWO91" s="609"/>
      <c r="PWP91" s="609"/>
      <c r="PWQ91" s="609"/>
      <c r="PWR91" s="609"/>
      <c r="PWS91" s="609"/>
      <c r="PWT91" s="609"/>
      <c r="PWU91" s="609"/>
      <c r="PWV91" s="609"/>
      <c r="PWW91" s="609"/>
      <c r="PWX91" s="609"/>
      <c r="PWY91" s="609"/>
      <c r="PWZ91" s="609"/>
      <c r="PXA91" s="609"/>
      <c r="PXB91" s="609"/>
      <c r="PXC91" s="609"/>
      <c r="PXD91" s="609"/>
      <c r="PXE91" s="609"/>
      <c r="PXF91" s="609"/>
      <c r="PXG91" s="609"/>
      <c r="PXH91" s="609"/>
      <c r="PXI91" s="609"/>
      <c r="PXJ91" s="609"/>
      <c r="PXK91" s="609"/>
      <c r="PXL91" s="609"/>
      <c r="PXM91" s="609"/>
      <c r="PXN91" s="609"/>
      <c r="PXO91" s="609"/>
      <c r="PXP91" s="609"/>
      <c r="PXQ91" s="609"/>
      <c r="PXR91" s="609"/>
      <c r="PXS91" s="609"/>
      <c r="PXT91" s="609"/>
      <c r="PXU91" s="609"/>
      <c r="PXV91" s="609"/>
      <c r="PXW91" s="609"/>
      <c r="PXX91" s="609"/>
      <c r="PXY91" s="609"/>
      <c r="PXZ91" s="609"/>
      <c r="PYA91" s="609"/>
      <c r="PYB91" s="609"/>
      <c r="PYC91" s="609"/>
      <c r="PYD91" s="609"/>
      <c r="PYE91" s="609"/>
      <c r="PYF91" s="609"/>
      <c r="PYG91" s="609"/>
      <c r="PYH91" s="609"/>
      <c r="PYI91" s="609"/>
      <c r="PYJ91" s="609"/>
      <c r="PYK91" s="609"/>
      <c r="PYL91" s="609"/>
      <c r="PYM91" s="609"/>
      <c r="PYN91" s="609"/>
      <c r="PYO91" s="609"/>
      <c r="PYP91" s="609"/>
      <c r="PYQ91" s="609"/>
      <c r="PYR91" s="609"/>
      <c r="PYS91" s="609"/>
      <c r="PYT91" s="609"/>
      <c r="PYU91" s="609"/>
      <c r="PYV91" s="609"/>
      <c r="PYW91" s="609"/>
      <c r="PYX91" s="609"/>
      <c r="PYY91" s="609"/>
      <c r="PYZ91" s="609"/>
      <c r="PZA91" s="609"/>
      <c r="PZB91" s="609"/>
      <c r="PZC91" s="609"/>
      <c r="PZD91" s="609"/>
      <c r="PZE91" s="609"/>
      <c r="PZF91" s="609"/>
      <c r="PZG91" s="609"/>
      <c r="PZH91" s="609"/>
      <c r="PZI91" s="609"/>
      <c r="PZJ91" s="609"/>
      <c r="PZK91" s="609"/>
      <c r="PZL91" s="609"/>
      <c r="PZM91" s="609"/>
      <c r="PZN91" s="609"/>
      <c r="PZO91" s="609"/>
      <c r="PZP91" s="609"/>
      <c r="PZQ91" s="609"/>
      <c r="PZR91" s="609"/>
      <c r="PZS91" s="609"/>
      <c r="PZT91" s="609"/>
      <c r="PZU91" s="609"/>
      <c r="PZV91" s="609"/>
      <c r="PZW91" s="609"/>
      <c r="PZX91" s="609"/>
      <c r="PZY91" s="609"/>
      <c r="PZZ91" s="609"/>
      <c r="QAA91" s="609"/>
      <c r="QAB91" s="609"/>
      <c r="QAC91" s="609"/>
      <c r="QAD91" s="609"/>
      <c r="QAE91" s="609"/>
      <c r="QAF91" s="609"/>
      <c r="QAG91" s="609"/>
      <c r="QAH91" s="609"/>
      <c r="QAI91" s="609"/>
      <c r="QAJ91" s="609"/>
      <c r="QAK91" s="609"/>
      <c r="QAL91" s="609"/>
      <c r="QAM91" s="609"/>
      <c r="QAN91" s="609"/>
      <c r="QAO91" s="609"/>
      <c r="QAP91" s="609"/>
      <c r="QAQ91" s="609"/>
      <c r="QAR91" s="609"/>
      <c r="QAS91" s="609"/>
      <c r="QAT91" s="609"/>
      <c r="QAU91" s="609"/>
      <c r="QAV91" s="609"/>
      <c r="QAW91" s="609"/>
      <c r="QAX91" s="609"/>
      <c r="QAY91" s="609"/>
      <c r="QAZ91" s="609"/>
      <c r="QBA91" s="609"/>
      <c r="QBB91" s="609"/>
      <c r="QBC91" s="609"/>
      <c r="QBD91" s="609"/>
      <c r="QBE91" s="609"/>
      <c r="QBF91" s="609"/>
      <c r="QBG91" s="609"/>
      <c r="QBH91" s="609"/>
      <c r="QBI91" s="609"/>
      <c r="QBJ91" s="609"/>
      <c r="QBK91" s="609"/>
      <c r="QBL91" s="609"/>
      <c r="QBM91" s="609"/>
      <c r="QBN91" s="609"/>
      <c r="QBO91" s="609"/>
      <c r="QBP91" s="609"/>
      <c r="QBQ91" s="609"/>
      <c r="QBR91" s="609"/>
      <c r="QBS91" s="609"/>
      <c r="QBT91" s="609"/>
      <c r="QBU91" s="609"/>
      <c r="QBV91" s="609"/>
      <c r="QBW91" s="609"/>
      <c r="QBX91" s="609"/>
      <c r="QBY91" s="609"/>
      <c r="QBZ91" s="609"/>
      <c r="QCA91" s="609"/>
      <c r="QCB91" s="609"/>
      <c r="QCC91" s="609"/>
      <c r="QCD91" s="609"/>
      <c r="QCE91" s="609"/>
      <c r="QCF91" s="609"/>
      <c r="QCG91" s="609"/>
      <c r="QCH91" s="609"/>
      <c r="QCI91" s="609"/>
      <c r="QCJ91" s="609"/>
      <c r="QCK91" s="609"/>
      <c r="QCL91" s="609"/>
      <c r="QCM91" s="609"/>
      <c r="QCN91" s="609"/>
      <c r="QCO91" s="609"/>
      <c r="QCP91" s="609"/>
      <c r="QCQ91" s="609"/>
      <c r="QCR91" s="609"/>
      <c r="QCS91" s="609"/>
      <c r="QCT91" s="609"/>
      <c r="QCU91" s="609"/>
      <c r="QCV91" s="609"/>
      <c r="QCW91" s="609"/>
      <c r="QCX91" s="609"/>
      <c r="QCY91" s="609"/>
      <c r="QCZ91" s="609"/>
      <c r="QDA91" s="609"/>
      <c r="QDB91" s="609"/>
      <c r="QDC91" s="609"/>
      <c r="QDD91" s="609"/>
      <c r="QDE91" s="609"/>
      <c r="QDF91" s="609"/>
      <c r="QDG91" s="609"/>
      <c r="QDH91" s="609"/>
      <c r="QDI91" s="609"/>
      <c r="QDJ91" s="609"/>
      <c r="QDK91" s="609"/>
      <c r="QDL91" s="609"/>
      <c r="QDM91" s="609"/>
      <c r="QDN91" s="609"/>
      <c r="QDO91" s="609"/>
      <c r="QDP91" s="609"/>
      <c r="QDQ91" s="609"/>
      <c r="QDR91" s="609"/>
      <c r="QDS91" s="609"/>
      <c r="QDT91" s="609"/>
      <c r="QDU91" s="609"/>
      <c r="QDV91" s="609"/>
      <c r="QDW91" s="609"/>
      <c r="QDX91" s="609"/>
      <c r="QDY91" s="609"/>
      <c r="QDZ91" s="609"/>
      <c r="QEA91" s="609"/>
      <c r="QEB91" s="609"/>
      <c r="QEC91" s="609"/>
      <c r="QED91" s="609"/>
      <c r="QEE91" s="609"/>
      <c r="QEF91" s="609"/>
      <c r="QEG91" s="609"/>
      <c r="QEH91" s="609"/>
      <c r="QEI91" s="609"/>
      <c r="QEJ91" s="609"/>
      <c r="QEK91" s="609"/>
      <c r="QEL91" s="609"/>
      <c r="QEM91" s="609"/>
      <c r="QEN91" s="609"/>
      <c r="QEO91" s="609"/>
      <c r="QEP91" s="609"/>
      <c r="QEQ91" s="609"/>
      <c r="QER91" s="609"/>
      <c r="QES91" s="609"/>
      <c r="QET91" s="609"/>
      <c r="QEU91" s="609"/>
      <c r="QEV91" s="609"/>
      <c r="QEW91" s="609"/>
      <c r="QEX91" s="609"/>
      <c r="QEY91" s="609"/>
      <c r="QEZ91" s="609"/>
      <c r="QFA91" s="609"/>
      <c r="QFB91" s="609"/>
      <c r="QFC91" s="609"/>
      <c r="QFD91" s="609"/>
      <c r="QFE91" s="609"/>
      <c r="QFF91" s="609"/>
      <c r="QFG91" s="609"/>
      <c r="QFH91" s="609"/>
      <c r="QFI91" s="609"/>
      <c r="QFJ91" s="609"/>
      <c r="QFK91" s="609"/>
      <c r="QFL91" s="609"/>
      <c r="QFM91" s="609"/>
      <c r="QFN91" s="609"/>
      <c r="QFO91" s="609"/>
      <c r="QFP91" s="609"/>
      <c r="QFQ91" s="609"/>
      <c r="QFR91" s="609"/>
      <c r="QFS91" s="609"/>
      <c r="QFT91" s="609"/>
      <c r="QFU91" s="609"/>
      <c r="QFV91" s="609"/>
      <c r="QFW91" s="609"/>
      <c r="QFX91" s="609"/>
      <c r="QFY91" s="609"/>
      <c r="QFZ91" s="609"/>
      <c r="QGA91" s="609"/>
      <c r="QGB91" s="609"/>
      <c r="QGC91" s="609"/>
      <c r="QGD91" s="609"/>
      <c r="QGE91" s="609"/>
      <c r="QGF91" s="609"/>
      <c r="QGG91" s="609"/>
      <c r="QGH91" s="609"/>
      <c r="QGI91" s="609"/>
      <c r="QGJ91" s="609"/>
      <c r="QGK91" s="609"/>
      <c r="QGL91" s="609"/>
      <c r="QGM91" s="609"/>
      <c r="QGN91" s="609"/>
      <c r="QGO91" s="609"/>
      <c r="QGP91" s="609"/>
      <c r="QGQ91" s="609"/>
      <c r="QGR91" s="609"/>
      <c r="QGS91" s="609"/>
      <c r="QGT91" s="609"/>
      <c r="QGU91" s="609"/>
      <c r="QGV91" s="609"/>
      <c r="QGW91" s="609"/>
      <c r="QGX91" s="609"/>
      <c r="QGY91" s="609"/>
      <c r="QGZ91" s="609"/>
      <c r="QHA91" s="609"/>
      <c r="QHB91" s="609"/>
      <c r="QHC91" s="609"/>
      <c r="QHD91" s="609"/>
      <c r="QHE91" s="609"/>
      <c r="QHF91" s="609"/>
      <c r="QHG91" s="609"/>
      <c r="QHH91" s="609"/>
      <c r="QHI91" s="609"/>
      <c r="QHJ91" s="609"/>
      <c r="QHK91" s="609"/>
      <c r="QHL91" s="609"/>
      <c r="QHM91" s="609"/>
      <c r="QHN91" s="609"/>
      <c r="QHO91" s="609"/>
      <c r="QHP91" s="609"/>
      <c r="QHQ91" s="609"/>
      <c r="QHR91" s="609"/>
      <c r="QHS91" s="609"/>
      <c r="QHT91" s="609"/>
      <c r="QHU91" s="609"/>
      <c r="QHV91" s="609"/>
      <c r="QHW91" s="609"/>
      <c r="QHX91" s="609"/>
      <c r="QHY91" s="609"/>
      <c r="QHZ91" s="609"/>
      <c r="QIA91" s="609"/>
      <c r="QIB91" s="609"/>
      <c r="QIC91" s="609"/>
      <c r="QID91" s="609"/>
      <c r="QIE91" s="609"/>
      <c r="QIF91" s="609"/>
      <c r="QIG91" s="609"/>
      <c r="QIH91" s="609"/>
      <c r="QII91" s="609"/>
      <c r="QIJ91" s="609"/>
      <c r="QIK91" s="609"/>
      <c r="QIL91" s="609"/>
      <c r="QIM91" s="609"/>
      <c r="QIN91" s="609"/>
      <c r="QIO91" s="609"/>
      <c r="QIP91" s="609"/>
      <c r="QIQ91" s="609"/>
      <c r="QIR91" s="609"/>
      <c r="QIS91" s="609"/>
      <c r="QIT91" s="609"/>
      <c r="QIU91" s="609"/>
      <c r="QIV91" s="609"/>
      <c r="QIW91" s="609"/>
      <c r="QIX91" s="609"/>
      <c r="QIY91" s="609"/>
      <c r="QIZ91" s="609"/>
      <c r="QJA91" s="609"/>
      <c r="QJB91" s="609"/>
      <c r="QJC91" s="609"/>
      <c r="QJD91" s="609"/>
      <c r="QJE91" s="609"/>
      <c r="QJF91" s="609"/>
      <c r="QJG91" s="609"/>
      <c r="QJH91" s="609"/>
      <c r="QJI91" s="609"/>
      <c r="QJJ91" s="609"/>
      <c r="QJK91" s="609"/>
      <c r="QJL91" s="609"/>
      <c r="QJM91" s="609"/>
      <c r="QJN91" s="609"/>
      <c r="QJO91" s="609"/>
      <c r="QJP91" s="609"/>
      <c r="QJQ91" s="609"/>
      <c r="QJR91" s="609"/>
      <c r="QJS91" s="609"/>
      <c r="QJT91" s="609"/>
      <c r="QJU91" s="609"/>
      <c r="QJV91" s="609"/>
      <c r="QJW91" s="609"/>
      <c r="QJX91" s="609"/>
      <c r="QJY91" s="609"/>
      <c r="QJZ91" s="609"/>
      <c r="QKA91" s="609"/>
      <c r="QKB91" s="609"/>
      <c r="QKC91" s="609"/>
      <c r="QKD91" s="609"/>
      <c r="QKE91" s="609"/>
      <c r="QKF91" s="609"/>
      <c r="QKG91" s="609"/>
      <c r="QKH91" s="609"/>
      <c r="QKI91" s="609"/>
      <c r="QKJ91" s="609"/>
      <c r="QKK91" s="609"/>
      <c r="QKL91" s="609"/>
      <c r="QKM91" s="609"/>
      <c r="QKN91" s="609"/>
      <c r="QKO91" s="609"/>
      <c r="QKP91" s="609"/>
      <c r="QKQ91" s="609"/>
      <c r="QKR91" s="609"/>
      <c r="QKS91" s="609"/>
      <c r="QKT91" s="609"/>
      <c r="QKU91" s="609"/>
      <c r="QKV91" s="609"/>
      <c r="QKW91" s="609"/>
      <c r="QKX91" s="609"/>
      <c r="QKY91" s="609"/>
      <c r="QKZ91" s="609"/>
      <c r="QLA91" s="609"/>
      <c r="QLB91" s="609"/>
      <c r="QLC91" s="609"/>
      <c r="QLD91" s="609"/>
      <c r="QLE91" s="609"/>
      <c r="QLF91" s="609"/>
      <c r="QLG91" s="609"/>
      <c r="QLH91" s="609"/>
      <c r="QLI91" s="609"/>
      <c r="QLJ91" s="609"/>
      <c r="QLK91" s="609"/>
      <c r="QLL91" s="609"/>
      <c r="QLM91" s="609"/>
      <c r="QLN91" s="609"/>
      <c r="QLO91" s="609"/>
      <c r="QLP91" s="609"/>
      <c r="QLQ91" s="609"/>
      <c r="QLR91" s="609"/>
      <c r="QLS91" s="609"/>
      <c r="QLT91" s="609"/>
      <c r="QLU91" s="609"/>
      <c r="QLV91" s="609"/>
      <c r="QLW91" s="609"/>
      <c r="QLX91" s="609"/>
      <c r="QLY91" s="609"/>
      <c r="QLZ91" s="609"/>
      <c r="QMA91" s="609"/>
      <c r="QMB91" s="609"/>
      <c r="QMC91" s="609"/>
      <c r="QMD91" s="609"/>
      <c r="QME91" s="609"/>
      <c r="QMF91" s="609"/>
      <c r="QMG91" s="609"/>
      <c r="QMH91" s="609"/>
      <c r="QMI91" s="609"/>
      <c r="QMJ91" s="609"/>
      <c r="QMK91" s="609"/>
      <c r="QML91" s="609"/>
      <c r="QMM91" s="609"/>
      <c r="QMN91" s="609"/>
      <c r="QMO91" s="609"/>
      <c r="QMP91" s="609"/>
      <c r="QMQ91" s="609"/>
      <c r="QMR91" s="609"/>
      <c r="QMS91" s="609"/>
      <c r="QMT91" s="609"/>
      <c r="QMU91" s="609"/>
      <c r="QMV91" s="609"/>
      <c r="QMW91" s="609"/>
      <c r="QMX91" s="609"/>
      <c r="QMY91" s="609"/>
      <c r="QMZ91" s="609"/>
      <c r="QNA91" s="609"/>
      <c r="QNB91" s="609"/>
      <c r="QNC91" s="609"/>
      <c r="QND91" s="609"/>
      <c r="QNE91" s="609"/>
      <c r="QNF91" s="609"/>
      <c r="QNG91" s="609"/>
      <c r="QNH91" s="609"/>
      <c r="QNI91" s="609"/>
      <c r="QNJ91" s="609"/>
      <c r="QNK91" s="609"/>
      <c r="QNL91" s="609"/>
      <c r="QNM91" s="609"/>
      <c r="QNN91" s="609"/>
      <c r="QNO91" s="609"/>
      <c r="QNP91" s="609"/>
      <c r="QNQ91" s="609"/>
      <c r="QNR91" s="609"/>
      <c r="QNS91" s="609"/>
      <c r="QNT91" s="609"/>
      <c r="QNU91" s="609"/>
      <c r="QNV91" s="609"/>
      <c r="QNW91" s="609"/>
      <c r="QNX91" s="609"/>
      <c r="QNY91" s="609"/>
      <c r="QNZ91" s="609"/>
      <c r="QOA91" s="609"/>
      <c r="QOB91" s="609"/>
      <c r="QOC91" s="609"/>
      <c r="QOD91" s="609"/>
      <c r="QOE91" s="609"/>
      <c r="QOF91" s="609"/>
      <c r="QOG91" s="609"/>
      <c r="QOH91" s="609"/>
      <c r="QOI91" s="609"/>
      <c r="QOJ91" s="609"/>
      <c r="QOK91" s="609"/>
      <c r="QOL91" s="609"/>
      <c r="QOM91" s="609"/>
      <c r="QON91" s="609"/>
      <c r="QOO91" s="609"/>
      <c r="QOP91" s="609"/>
      <c r="QOQ91" s="609"/>
      <c r="QOR91" s="609"/>
      <c r="QOS91" s="609"/>
      <c r="QOT91" s="609"/>
      <c r="QOU91" s="609"/>
      <c r="QOV91" s="609"/>
      <c r="QOW91" s="609"/>
      <c r="QOX91" s="609"/>
      <c r="QOY91" s="609"/>
      <c r="QOZ91" s="609"/>
      <c r="QPA91" s="609"/>
      <c r="QPB91" s="609"/>
      <c r="QPC91" s="609"/>
      <c r="QPD91" s="609"/>
      <c r="QPE91" s="609"/>
      <c r="QPF91" s="609"/>
      <c r="QPG91" s="609"/>
      <c r="QPH91" s="609"/>
      <c r="QPI91" s="609"/>
      <c r="QPJ91" s="609"/>
      <c r="QPK91" s="609"/>
      <c r="QPL91" s="609"/>
      <c r="QPM91" s="609"/>
      <c r="QPN91" s="609"/>
      <c r="QPO91" s="609"/>
      <c r="QPP91" s="609"/>
      <c r="QPQ91" s="609"/>
      <c r="QPR91" s="609"/>
      <c r="QPS91" s="609"/>
      <c r="QPT91" s="609"/>
      <c r="QPU91" s="609"/>
      <c r="QPV91" s="609"/>
      <c r="QPW91" s="609"/>
      <c r="QPX91" s="609"/>
      <c r="QPY91" s="609"/>
      <c r="QPZ91" s="609"/>
      <c r="QQA91" s="609"/>
      <c r="QQB91" s="609"/>
      <c r="QQC91" s="609"/>
      <c r="QQD91" s="609"/>
      <c r="QQE91" s="609"/>
      <c r="QQF91" s="609"/>
      <c r="QQG91" s="609"/>
      <c r="QQH91" s="609"/>
      <c r="QQI91" s="609"/>
      <c r="QQJ91" s="609"/>
      <c r="QQK91" s="609"/>
      <c r="QQL91" s="609"/>
      <c r="QQM91" s="609"/>
      <c r="QQN91" s="609"/>
      <c r="QQO91" s="609"/>
      <c r="QQP91" s="609"/>
      <c r="QQQ91" s="609"/>
      <c r="QQR91" s="609"/>
      <c r="QQS91" s="609"/>
      <c r="QQT91" s="609"/>
      <c r="QQU91" s="609"/>
      <c r="QQV91" s="609"/>
      <c r="QQW91" s="609"/>
      <c r="QQX91" s="609"/>
      <c r="QQY91" s="609"/>
      <c r="QQZ91" s="609"/>
      <c r="QRA91" s="609"/>
      <c r="QRB91" s="609"/>
      <c r="QRC91" s="609"/>
      <c r="QRD91" s="609"/>
      <c r="QRE91" s="609"/>
      <c r="QRF91" s="609"/>
      <c r="QRG91" s="609"/>
      <c r="QRH91" s="609"/>
      <c r="QRI91" s="609"/>
      <c r="QRJ91" s="609"/>
      <c r="QRK91" s="609"/>
      <c r="QRL91" s="609"/>
      <c r="QRM91" s="609"/>
      <c r="QRN91" s="609"/>
      <c r="QRO91" s="609"/>
      <c r="QRP91" s="609"/>
      <c r="QRQ91" s="609"/>
      <c r="QRR91" s="609"/>
      <c r="QRS91" s="609"/>
      <c r="QRT91" s="609"/>
      <c r="QRU91" s="609"/>
      <c r="QRV91" s="609"/>
      <c r="QRW91" s="609"/>
      <c r="QRX91" s="609"/>
      <c r="QRY91" s="609"/>
      <c r="QRZ91" s="609"/>
      <c r="QSA91" s="609"/>
      <c r="QSB91" s="609"/>
      <c r="QSC91" s="609"/>
      <c r="QSD91" s="609"/>
      <c r="QSE91" s="609"/>
      <c r="QSF91" s="609"/>
      <c r="QSG91" s="609"/>
      <c r="QSH91" s="609"/>
      <c r="QSI91" s="609"/>
      <c r="QSJ91" s="609"/>
      <c r="QSK91" s="609"/>
      <c r="QSL91" s="609"/>
      <c r="QSM91" s="609"/>
      <c r="QSN91" s="609"/>
      <c r="QSO91" s="609"/>
      <c r="QSP91" s="609"/>
      <c r="QSQ91" s="609"/>
      <c r="QSR91" s="609"/>
      <c r="QSS91" s="609"/>
      <c r="QST91" s="609"/>
      <c r="QSU91" s="609"/>
      <c r="QSV91" s="609"/>
      <c r="QSW91" s="609"/>
      <c r="QSX91" s="609"/>
      <c r="QSY91" s="609"/>
      <c r="QSZ91" s="609"/>
      <c r="QTA91" s="609"/>
      <c r="QTB91" s="609"/>
      <c r="QTC91" s="609"/>
      <c r="QTD91" s="609"/>
      <c r="QTE91" s="609"/>
      <c r="QTF91" s="609"/>
      <c r="QTG91" s="609"/>
      <c r="QTH91" s="609"/>
      <c r="QTI91" s="609"/>
      <c r="QTJ91" s="609"/>
      <c r="QTK91" s="609"/>
      <c r="QTL91" s="609"/>
      <c r="QTM91" s="609"/>
      <c r="QTN91" s="609"/>
      <c r="QTO91" s="609"/>
      <c r="QTP91" s="609"/>
      <c r="QTQ91" s="609"/>
      <c r="QTR91" s="609"/>
      <c r="QTS91" s="609"/>
      <c r="QTT91" s="609"/>
      <c r="QTU91" s="609"/>
      <c r="QTV91" s="609"/>
      <c r="QTW91" s="609"/>
      <c r="QTX91" s="609"/>
      <c r="QTY91" s="609"/>
      <c r="QTZ91" s="609"/>
      <c r="QUA91" s="609"/>
      <c r="QUB91" s="609"/>
      <c r="QUC91" s="609"/>
      <c r="QUD91" s="609"/>
      <c r="QUE91" s="609"/>
      <c r="QUF91" s="609"/>
      <c r="QUG91" s="609"/>
      <c r="QUH91" s="609"/>
      <c r="QUI91" s="609"/>
      <c r="QUJ91" s="609"/>
      <c r="QUK91" s="609"/>
      <c r="QUL91" s="609"/>
      <c r="QUM91" s="609"/>
      <c r="QUN91" s="609"/>
      <c r="QUO91" s="609"/>
      <c r="QUP91" s="609"/>
      <c r="QUQ91" s="609"/>
      <c r="QUR91" s="609"/>
      <c r="QUS91" s="609"/>
      <c r="QUT91" s="609"/>
      <c r="QUU91" s="609"/>
      <c r="QUV91" s="609"/>
      <c r="QUW91" s="609"/>
      <c r="QUX91" s="609"/>
      <c r="QUY91" s="609"/>
      <c r="QUZ91" s="609"/>
      <c r="QVA91" s="609"/>
      <c r="QVB91" s="609"/>
      <c r="QVC91" s="609"/>
      <c r="QVD91" s="609"/>
      <c r="QVE91" s="609"/>
      <c r="QVF91" s="609"/>
      <c r="QVG91" s="609"/>
      <c r="QVH91" s="609"/>
      <c r="QVI91" s="609"/>
      <c r="QVJ91" s="609"/>
      <c r="QVK91" s="609"/>
      <c r="QVL91" s="609"/>
      <c r="QVM91" s="609"/>
      <c r="QVN91" s="609"/>
      <c r="QVO91" s="609"/>
      <c r="QVP91" s="609"/>
      <c r="QVQ91" s="609"/>
      <c r="QVR91" s="609"/>
      <c r="QVS91" s="609"/>
      <c r="QVT91" s="609"/>
      <c r="QVU91" s="609"/>
      <c r="QVV91" s="609"/>
      <c r="QVW91" s="609"/>
      <c r="QVX91" s="609"/>
      <c r="QVY91" s="609"/>
      <c r="QVZ91" s="609"/>
      <c r="QWA91" s="609"/>
      <c r="QWB91" s="609"/>
      <c r="QWC91" s="609"/>
      <c r="QWD91" s="609"/>
      <c r="QWE91" s="609"/>
      <c r="QWF91" s="609"/>
      <c r="QWG91" s="609"/>
      <c r="QWH91" s="609"/>
      <c r="QWI91" s="609"/>
      <c r="QWJ91" s="609"/>
      <c r="QWK91" s="609"/>
      <c r="QWL91" s="609"/>
      <c r="QWM91" s="609"/>
      <c r="QWN91" s="609"/>
      <c r="QWO91" s="609"/>
      <c r="QWP91" s="609"/>
      <c r="QWQ91" s="609"/>
      <c r="QWR91" s="609"/>
      <c r="QWS91" s="609"/>
      <c r="QWT91" s="609"/>
      <c r="QWU91" s="609"/>
      <c r="QWV91" s="609"/>
      <c r="QWW91" s="609"/>
      <c r="QWX91" s="609"/>
      <c r="QWY91" s="609"/>
      <c r="QWZ91" s="609"/>
      <c r="QXA91" s="609"/>
      <c r="QXB91" s="609"/>
      <c r="QXC91" s="609"/>
      <c r="QXD91" s="609"/>
      <c r="QXE91" s="609"/>
      <c r="QXF91" s="609"/>
      <c r="QXG91" s="609"/>
      <c r="QXH91" s="609"/>
      <c r="QXI91" s="609"/>
      <c r="QXJ91" s="609"/>
      <c r="QXK91" s="609"/>
      <c r="QXL91" s="609"/>
      <c r="QXM91" s="609"/>
      <c r="QXN91" s="609"/>
      <c r="QXO91" s="609"/>
      <c r="QXP91" s="609"/>
      <c r="QXQ91" s="609"/>
      <c r="QXR91" s="609"/>
      <c r="QXS91" s="609"/>
      <c r="QXT91" s="609"/>
      <c r="QXU91" s="609"/>
      <c r="QXV91" s="609"/>
      <c r="QXW91" s="609"/>
      <c r="QXX91" s="609"/>
      <c r="QXY91" s="609"/>
      <c r="QXZ91" s="609"/>
      <c r="QYA91" s="609"/>
      <c r="QYB91" s="609"/>
      <c r="QYC91" s="609"/>
      <c r="QYD91" s="609"/>
      <c r="QYE91" s="609"/>
      <c r="QYF91" s="609"/>
      <c r="QYG91" s="609"/>
      <c r="QYH91" s="609"/>
      <c r="QYI91" s="609"/>
      <c r="QYJ91" s="609"/>
      <c r="QYK91" s="609"/>
      <c r="QYL91" s="609"/>
      <c r="QYM91" s="609"/>
      <c r="QYN91" s="609"/>
      <c r="QYO91" s="609"/>
      <c r="QYP91" s="609"/>
      <c r="QYQ91" s="609"/>
      <c r="QYR91" s="609"/>
      <c r="QYS91" s="609"/>
      <c r="QYT91" s="609"/>
      <c r="QYU91" s="609"/>
      <c r="QYV91" s="609"/>
      <c r="QYW91" s="609"/>
      <c r="QYX91" s="609"/>
      <c r="QYY91" s="609"/>
      <c r="QYZ91" s="609"/>
      <c r="QZA91" s="609"/>
      <c r="QZB91" s="609"/>
      <c r="QZC91" s="609"/>
      <c r="QZD91" s="609"/>
      <c r="QZE91" s="609"/>
      <c r="QZF91" s="609"/>
      <c r="QZG91" s="609"/>
      <c r="QZH91" s="609"/>
      <c r="QZI91" s="609"/>
      <c r="QZJ91" s="609"/>
      <c r="QZK91" s="609"/>
      <c r="QZL91" s="609"/>
      <c r="QZM91" s="609"/>
      <c r="QZN91" s="609"/>
      <c r="QZO91" s="609"/>
      <c r="QZP91" s="609"/>
      <c r="QZQ91" s="609"/>
      <c r="QZR91" s="609"/>
      <c r="QZS91" s="609"/>
      <c r="QZT91" s="609"/>
      <c r="QZU91" s="609"/>
      <c r="QZV91" s="609"/>
      <c r="QZW91" s="609"/>
      <c r="QZX91" s="609"/>
      <c r="QZY91" s="609"/>
      <c r="QZZ91" s="609"/>
      <c r="RAA91" s="609"/>
      <c r="RAB91" s="609"/>
      <c r="RAC91" s="609"/>
      <c r="RAD91" s="609"/>
      <c r="RAE91" s="609"/>
      <c r="RAF91" s="609"/>
      <c r="RAG91" s="609"/>
      <c r="RAH91" s="609"/>
      <c r="RAI91" s="609"/>
      <c r="RAJ91" s="609"/>
      <c r="RAK91" s="609"/>
      <c r="RAL91" s="609"/>
      <c r="RAM91" s="609"/>
      <c r="RAN91" s="609"/>
      <c r="RAO91" s="609"/>
      <c r="RAP91" s="609"/>
      <c r="RAQ91" s="609"/>
      <c r="RAR91" s="609"/>
      <c r="RAS91" s="609"/>
      <c r="RAT91" s="609"/>
      <c r="RAU91" s="609"/>
      <c r="RAV91" s="609"/>
      <c r="RAW91" s="609"/>
      <c r="RAX91" s="609"/>
      <c r="RAY91" s="609"/>
      <c r="RAZ91" s="609"/>
      <c r="RBA91" s="609"/>
      <c r="RBB91" s="609"/>
      <c r="RBC91" s="609"/>
      <c r="RBD91" s="609"/>
      <c r="RBE91" s="609"/>
      <c r="RBF91" s="609"/>
      <c r="RBG91" s="609"/>
      <c r="RBH91" s="609"/>
      <c r="RBI91" s="609"/>
      <c r="RBJ91" s="609"/>
      <c r="RBK91" s="609"/>
      <c r="RBL91" s="609"/>
      <c r="RBM91" s="609"/>
      <c r="RBN91" s="609"/>
      <c r="RBO91" s="609"/>
      <c r="RBP91" s="609"/>
      <c r="RBQ91" s="609"/>
      <c r="RBR91" s="609"/>
      <c r="RBS91" s="609"/>
      <c r="RBT91" s="609"/>
      <c r="RBU91" s="609"/>
      <c r="RBV91" s="609"/>
      <c r="RBW91" s="609"/>
      <c r="RBX91" s="609"/>
      <c r="RBY91" s="609"/>
      <c r="RBZ91" s="609"/>
      <c r="RCA91" s="609"/>
      <c r="RCB91" s="609"/>
      <c r="RCC91" s="609"/>
      <c r="RCD91" s="609"/>
      <c r="RCE91" s="609"/>
      <c r="RCF91" s="609"/>
      <c r="RCG91" s="609"/>
      <c r="RCH91" s="609"/>
      <c r="RCI91" s="609"/>
      <c r="RCJ91" s="609"/>
      <c r="RCK91" s="609"/>
      <c r="RCL91" s="609"/>
      <c r="RCM91" s="609"/>
      <c r="RCN91" s="609"/>
      <c r="RCO91" s="609"/>
      <c r="RCP91" s="609"/>
      <c r="RCQ91" s="609"/>
      <c r="RCR91" s="609"/>
      <c r="RCS91" s="609"/>
      <c r="RCT91" s="609"/>
      <c r="RCU91" s="609"/>
      <c r="RCV91" s="609"/>
      <c r="RCW91" s="609"/>
      <c r="RCX91" s="609"/>
      <c r="RCY91" s="609"/>
      <c r="RCZ91" s="609"/>
      <c r="RDA91" s="609"/>
      <c r="RDB91" s="609"/>
      <c r="RDC91" s="609"/>
      <c r="RDD91" s="609"/>
      <c r="RDE91" s="609"/>
      <c r="RDF91" s="609"/>
      <c r="RDG91" s="609"/>
      <c r="RDH91" s="609"/>
      <c r="RDI91" s="609"/>
      <c r="RDJ91" s="609"/>
      <c r="RDK91" s="609"/>
      <c r="RDL91" s="609"/>
      <c r="RDM91" s="609"/>
      <c r="RDN91" s="609"/>
      <c r="RDO91" s="609"/>
      <c r="RDP91" s="609"/>
      <c r="RDQ91" s="609"/>
      <c r="RDR91" s="609"/>
      <c r="RDS91" s="609"/>
      <c r="RDT91" s="609"/>
      <c r="RDU91" s="609"/>
      <c r="RDV91" s="609"/>
      <c r="RDW91" s="609"/>
      <c r="RDX91" s="609"/>
      <c r="RDY91" s="609"/>
      <c r="RDZ91" s="609"/>
      <c r="REA91" s="609"/>
      <c r="REB91" s="609"/>
      <c r="REC91" s="609"/>
      <c r="RED91" s="609"/>
      <c r="REE91" s="609"/>
      <c r="REF91" s="609"/>
      <c r="REG91" s="609"/>
      <c r="REH91" s="609"/>
      <c r="REI91" s="609"/>
      <c r="REJ91" s="609"/>
      <c r="REK91" s="609"/>
      <c r="REL91" s="609"/>
      <c r="REM91" s="609"/>
      <c r="REN91" s="609"/>
      <c r="REO91" s="609"/>
      <c r="REP91" s="609"/>
      <c r="REQ91" s="609"/>
      <c r="RER91" s="609"/>
      <c r="RES91" s="609"/>
      <c r="RET91" s="609"/>
      <c r="REU91" s="609"/>
      <c r="REV91" s="609"/>
      <c r="REW91" s="609"/>
      <c r="REX91" s="609"/>
      <c r="REY91" s="609"/>
      <c r="REZ91" s="609"/>
      <c r="RFA91" s="609"/>
      <c r="RFB91" s="609"/>
      <c r="RFC91" s="609"/>
      <c r="RFD91" s="609"/>
      <c r="RFE91" s="609"/>
      <c r="RFF91" s="609"/>
      <c r="RFG91" s="609"/>
      <c r="RFH91" s="609"/>
      <c r="RFI91" s="609"/>
      <c r="RFJ91" s="609"/>
      <c r="RFK91" s="609"/>
      <c r="RFL91" s="609"/>
      <c r="RFM91" s="609"/>
      <c r="RFN91" s="609"/>
      <c r="RFO91" s="609"/>
      <c r="RFP91" s="609"/>
      <c r="RFQ91" s="609"/>
      <c r="RFR91" s="609"/>
      <c r="RFS91" s="609"/>
      <c r="RFT91" s="609"/>
      <c r="RFU91" s="609"/>
      <c r="RFV91" s="609"/>
      <c r="RFW91" s="609"/>
      <c r="RFX91" s="609"/>
      <c r="RFY91" s="609"/>
      <c r="RFZ91" s="609"/>
      <c r="RGA91" s="609"/>
      <c r="RGB91" s="609"/>
      <c r="RGC91" s="609"/>
      <c r="RGD91" s="609"/>
      <c r="RGE91" s="609"/>
      <c r="RGF91" s="609"/>
      <c r="RGG91" s="609"/>
      <c r="RGH91" s="609"/>
      <c r="RGI91" s="609"/>
      <c r="RGJ91" s="609"/>
      <c r="RGK91" s="609"/>
      <c r="RGL91" s="609"/>
      <c r="RGM91" s="609"/>
      <c r="RGN91" s="609"/>
      <c r="RGO91" s="609"/>
      <c r="RGP91" s="609"/>
      <c r="RGQ91" s="609"/>
      <c r="RGR91" s="609"/>
      <c r="RGS91" s="609"/>
      <c r="RGT91" s="609"/>
      <c r="RGU91" s="609"/>
      <c r="RGV91" s="609"/>
      <c r="RGW91" s="609"/>
      <c r="RGX91" s="609"/>
      <c r="RGY91" s="609"/>
      <c r="RGZ91" s="609"/>
      <c r="RHA91" s="609"/>
      <c r="RHB91" s="609"/>
      <c r="RHC91" s="609"/>
      <c r="RHD91" s="609"/>
      <c r="RHE91" s="609"/>
      <c r="RHF91" s="609"/>
      <c r="RHG91" s="609"/>
      <c r="RHH91" s="609"/>
      <c r="RHI91" s="609"/>
      <c r="RHJ91" s="609"/>
      <c r="RHK91" s="609"/>
      <c r="RHL91" s="609"/>
      <c r="RHM91" s="609"/>
      <c r="RHN91" s="609"/>
      <c r="RHO91" s="609"/>
      <c r="RHP91" s="609"/>
      <c r="RHQ91" s="609"/>
      <c r="RHR91" s="609"/>
      <c r="RHS91" s="609"/>
      <c r="RHT91" s="609"/>
      <c r="RHU91" s="609"/>
      <c r="RHV91" s="609"/>
      <c r="RHW91" s="609"/>
      <c r="RHX91" s="609"/>
      <c r="RHY91" s="609"/>
      <c r="RHZ91" s="609"/>
      <c r="RIA91" s="609"/>
      <c r="RIB91" s="609"/>
      <c r="RIC91" s="609"/>
      <c r="RID91" s="609"/>
      <c r="RIE91" s="609"/>
      <c r="RIF91" s="609"/>
      <c r="RIG91" s="609"/>
      <c r="RIH91" s="609"/>
      <c r="RII91" s="609"/>
      <c r="RIJ91" s="609"/>
      <c r="RIK91" s="609"/>
      <c r="RIL91" s="609"/>
      <c r="RIM91" s="609"/>
      <c r="RIN91" s="609"/>
      <c r="RIO91" s="609"/>
      <c r="RIP91" s="609"/>
      <c r="RIQ91" s="609"/>
      <c r="RIR91" s="609"/>
      <c r="RIS91" s="609"/>
      <c r="RIT91" s="609"/>
      <c r="RIU91" s="609"/>
      <c r="RIV91" s="609"/>
      <c r="RIW91" s="609"/>
      <c r="RIX91" s="609"/>
      <c r="RIY91" s="609"/>
      <c r="RIZ91" s="609"/>
      <c r="RJA91" s="609"/>
      <c r="RJB91" s="609"/>
      <c r="RJC91" s="609"/>
      <c r="RJD91" s="609"/>
      <c r="RJE91" s="609"/>
      <c r="RJF91" s="609"/>
      <c r="RJG91" s="609"/>
      <c r="RJH91" s="609"/>
      <c r="RJI91" s="609"/>
      <c r="RJJ91" s="609"/>
      <c r="RJK91" s="609"/>
      <c r="RJL91" s="609"/>
      <c r="RJM91" s="609"/>
      <c r="RJN91" s="609"/>
      <c r="RJO91" s="609"/>
      <c r="RJP91" s="609"/>
      <c r="RJQ91" s="609"/>
      <c r="RJR91" s="609"/>
      <c r="RJS91" s="609"/>
      <c r="RJT91" s="609"/>
      <c r="RJU91" s="609"/>
      <c r="RJV91" s="609"/>
      <c r="RJW91" s="609"/>
      <c r="RJX91" s="609"/>
      <c r="RJY91" s="609"/>
      <c r="RJZ91" s="609"/>
      <c r="RKA91" s="609"/>
      <c r="RKB91" s="609"/>
      <c r="RKC91" s="609"/>
      <c r="RKD91" s="609"/>
      <c r="RKE91" s="609"/>
      <c r="RKF91" s="609"/>
      <c r="RKG91" s="609"/>
      <c r="RKH91" s="609"/>
      <c r="RKI91" s="609"/>
      <c r="RKJ91" s="609"/>
      <c r="RKK91" s="609"/>
      <c r="RKL91" s="609"/>
      <c r="RKM91" s="609"/>
      <c r="RKN91" s="609"/>
      <c r="RKO91" s="609"/>
      <c r="RKP91" s="609"/>
      <c r="RKQ91" s="609"/>
      <c r="RKR91" s="609"/>
      <c r="RKS91" s="609"/>
      <c r="RKT91" s="609"/>
      <c r="RKU91" s="609"/>
      <c r="RKV91" s="609"/>
      <c r="RKW91" s="609"/>
      <c r="RKX91" s="609"/>
      <c r="RKY91" s="609"/>
      <c r="RKZ91" s="609"/>
      <c r="RLA91" s="609"/>
      <c r="RLB91" s="609"/>
      <c r="RLC91" s="609"/>
      <c r="RLD91" s="609"/>
      <c r="RLE91" s="609"/>
      <c r="RLF91" s="609"/>
      <c r="RLG91" s="609"/>
      <c r="RLH91" s="609"/>
      <c r="RLI91" s="609"/>
      <c r="RLJ91" s="609"/>
      <c r="RLK91" s="609"/>
      <c r="RLL91" s="609"/>
      <c r="RLM91" s="609"/>
      <c r="RLN91" s="609"/>
      <c r="RLO91" s="609"/>
      <c r="RLP91" s="609"/>
      <c r="RLQ91" s="609"/>
      <c r="RLR91" s="609"/>
      <c r="RLS91" s="609"/>
      <c r="RLT91" s="609"/>
      <c r="RLU91" s="609"/>
      <c r="RLV91" s="609"/>
      <c r="RLW91" s="609"/>
      <c r="RLX91" s="609"/>
      <c r="RLY91" s="609"/>
      <c r="RLZ91" s="609"/>
      <c r="RMA91" s="609"/>
      <c r="RMB91" s="609"/>
      <c r="RMC91" s="609"/>
      <c r="RMD91" s="609"/>
      <c r="RME91" s="609"/>
      <c r="RMF91" s="609"/>
      <c r="RMG91" s="609"/>
      <c r="RMH91" s="609"/>
      <c r="RMI91" s="609"/>
      <c r="RMJ91" s="609"/>
      <c r="RMK91" s="609"/>
      <c r="RML91" s="609"/>
      <c r="RMM91" s="609"/>
      <c r="RMN91" s="609"/>
      <c r="RMO91" s="609"/>
      <c r="RMP91" s="609"/>
      <c r="RMQ91" s="609"/>
      <c r="RMR91" s="609"/>
      <c r="RMS91" s="609"/>
      <c r="RMT91" s="609"/>
      <c r="RMU91" s="609"/>
      <c r="RMV91" s="609"/>
      <c r="RMW91" s="609"/>
      <c r="RMX91" s="609"/>
      <c r="RMY91" s="609"/>
      <c r="RMZ91" s="609"/>
      <c r="RNA91" s="609"/>
      <c r="RNB91" s="609"/>
      <c r="RNC91" s="609"/>
      <c r="RND91" s="609"/>
      <c r="RNE91" s="609"/>
      <c r="RNF91" s="609"/>
      <c r="RNG91" s="609"/>
      <c r="RNH91" s="609"/>
      <c r="RNI91" s="609"/>
      <c r="RNJ91" s="609"/>
      <c r="RNK91" s="609"/>
      <c r="RNL91" s="609"/>
      <c r="RNM91" s="609"/>
      <c r="RNN91" s="609"/>
      <c r="RNO91" s="609"/>
      <c r="RNP91" s="609"/>
      <c r="RNQ91" s="609"/>
      <c r="RNR91" s="609"/>
      <c r="RNS91" s="609"/>
      <c r="RNT91" s="609"/>
      <c r="RNU91" s="609"/>
      <c r="RNV91" s="609"/>
      <c r="RNW91" s="609"/>
      <c r="RNX91" s="609"/>
      <c r="RNY91" s="609"/>
      <c r="RNZ91" s="609"/>
      <c r="ROA91" s="609"/>
      <c r="ROB91" s="609"/>
      <c r="ROC91" s="609"/>
      <c r="ROD91" s="609"/>
      <c r="ROE91" s="609"/>
      <c r="ROF91" s="609"/>
      <c r="ROG91" s="609"/>
      <c r="ROH91" s="609"/>
      <c r="ROI91" s="609"/>
      <c r="ROJ91" s="609"/>
      <c r="ROK91" s="609"/>
      <c r="ROL91" s="609"/>
      <c r="ROM91" s="609"/>
      <c r="RON91" s="609"/>
      <c r="ROO91" s="609"/>
      <c r="ROP91" s="609"/>
      <c r="ROQ91" s="609"/>
      <c r="ROR91" s="609"/>
      <c r="ROS91" s="609"/>
      <c r="ROT91" s="609"/>
      <c r="ROU91" s="609"/>
      <c r="ROV91" s="609"/>
      <c r="ROW91" s="609"/>
      <c r="ROX91" s="609"/>
      <c r="ROY91" s="609"/>
      <c r="ROZ91" s="609"/>
      <c r="RPA91" s="609"/>
      <c r="RPB91" s="609"/>
      <c r="RPC91" s="609"/>
      <c r="RPD91" s="609"/>
      <c r="RPE91" s="609"/>
      <c r="RPF91" s="609"/>
      <c r="RPG91" s="609"/>
      <c r="RPH91" s="609"/>
      <c r="RPI91" s="609"/>
      <c r="RPJ91" s="609"/>
      <c r="RPK91" s="609"/>
      <c r="RPL91" s="609"/>
      <c r="RPM91" s="609"/>
      <c r="RPN91" s="609"/>
      <c r="RPO91" s="609"/>
      <c r="RPP91" s="609"/>
      <c r="RPQ91" s="609"/>
      <c r="RPR91" s="609"/>
      <c r="RPS91" s="609"/>
      <c r="RPT91" s="609"/>
      <c r="RPU91" s="609"/>
      <c r="RPV91" s="609"/>
      <c r="RPW91" s="609"/>
      <c r="RPX91" s="609"/>
      <c r="RPY91" s="609"/>
      <c r="RPZ91" s="609"/>
      <c r="RQA91" s="609"/>
      <c r="RQB91" s="609"/>
      <c r="RQC91" s="609"/>
      <c r="RQD91" s="609"/>
      <c r="RQE91" s="609"/>
      <c r="RQF91" s="609"/>
      <c r="RQG91" s="609"/>
      <c r="RQH91" s="609"/>
      <c r="RQI91" s="609"/>
      <c r="RQJ91" s="609"/>
      <c r="RQK91" s="609"/>
      <c r="RQL91" s="609"/>
      <c r="RQM91" s="609"/>
      <c r="RQN91" s="609"/>
      <c r="RQO91" s="609"/>
      <c r="RQP91" s="609"/>
      <c r="RQQ91" s="609"/>
      <c r="RQR91" s="609"/>
      <c r="RQS91" s="609"/>
      <c r="RQT91" s="609"/>
      <c r="RQU91" s="609"/>
      <c r="RQV91" s="609"/>
      <c r="RQW91" s="609"/>
      <c r="RQX91" s="609"/>
      <c r="RQY91" s="609"/>
      <c r="RQZ91" s="609"/>
      <c r="RRA91" s="609"/>
      <c r="RRB91" s="609"/>
      <c r="RRC91" s="609"/>
      <c r="RRD91" s="609"/>
      <c r="RRE91" s="609"/>
      <c r="RRF91" s="609"/>
      <c r="RRG91" s="609"/>
      <c r="RRH91" s="609"/>
      <c r="RRI91" s="609"/>
      <c r="RRJ91" s="609"/>
      <c r="RRK91" s="609"/>
      <c r="RRL91" s="609"/>
      <c r="RRM91" s="609"/>
      <c r="RRN91" s="609"/>
      <c r="RRO91" s="609"/>
      <c r="RRP91" s="609"/>
      <c r="RRQ91" s="609"/>
      <c r="RRR91" s="609"/>
      <c r="RRS91" s="609"/>
      <c r="RRT91" s="609"/>
      <c r="RRU91" s="609"/>
      <c r="RRV91" s="609"/>
      <c r="RRW91" s="609"/>
      <c r="RRX91" s="609"/>
      <c r="RRY91" s="609"/>
      <c r="RRZ91" s="609"/>
      <c r="RSA91" s="609"/>
      <c r="RSB91" s="609"/>
      <c r="RSC91" s="609"/>
      <c r="RSD91" s="609"/>
      <c r="RSE91" s="609"/>
      <c r="RSF91" s="609"/>
      <c r="RSG91" s="609"/>
      <c r="RSH91" s="609"/>
      <c r="RSI91" s="609"/>
      <c r="RSJ91" s="609"/>
      <c r="RSK91" s="609"/>
      <c r="RSL91" s="609"/>
      <c r="RSM91" s="609"/>
      <c r="RSN91" s="609"/>
      <c r="RSO91" s="609"/>
      <c r="RSP91" s="609"/>
      <c r="RSQ91" s="609"/>
      <c r="RSR91" s="609"/>
      <c r="RSS91" s="609"/>
      <c r="RST91" s="609"/>
      <c r="RSU91" s="609"/>
      <c r="RSV91" s="609"/>
      <c r="RSW91" s="609"/>
      <c r="RSX91" s="609"/>
      <c r="RSY91" s="609"/>
      <c r="RSZ91" s="609"/>
      <c r="RTA91" s="609"/>
      <c r="RTB91" s="609"/>
      <c r="RTC91" s="609"/>
      <c r="RTD91" s="609"/>
      <c r="RTE91" s="609"/>
      <c r="RTF91" s="609"/>
      <c r="RTG91" s="609"/>
      <c r="RTH91" s="609"/>
      <c r="RTI91" s="609"/>
      <c r="RTJ91" s="609"/>
      <c r="RTK91" s="609"/>
      <c r="RTL91" s="609"/>
      <c r="RTM91" s="609"/>
      <c r="RTN91" s="609"/>
      <c r="RTO91" s="609"/>
      <c r="RTP91" s="609"/>
      <c r="RTQ91" s="609"/>
      <c r="RTR91" s="609"/>
      <c r="RTS91" s="609"/>
      <c r="RTT91" s="609"/>
      <c r="RTU91" s="609"/>
      <c r="RTV91" s="609"/>
      <c r="RTW91" s="609"/>
      <c r="RTX91" s="609"/>
      <c r="RTY91" s="609"/>
      <c r="RTZ91" s="609"/>
      <c r="RUA91" s="609"/>
      <c r="RUB91" s="609"/>
      <c r="RUC91" s="609"/>
      <c r="RUD91" s="609"/>
      <c r="RUE91" s="609"/>
      <c r="RUF91" s="609"/>
      <c r="RUG91" s="609"/>
      <c r="RUH91" s="609"/>
      <c r="RUI91" s="609"/>
      <c r="RUJ91" s="609"/>
      <c r="RUK91" s="609"/>
      <c r="RUL91" s="609"/>
      <c r="RUM91" s="609"/>
      <c r="RUN91" s="609"/>
      <c r="RUO91" s="609"/>
      <c r="RUP91" s="609"/>
      <c r="RUQ91" s="609"/>
      <c r="RUR91" s="609"/>
      <c r="RUS91" s="609"/>
      <c r="RUT91" s="609"/>
      <c r="RUU91" s="609"/>
      <c r="RUV91" s="609"/>
      <c r="RUW91" s="609"/>
      <c r="RUX91" s="609"/>
      <c r="RUY91" s="609"/>
      <c r="RUZ91" s="609"/>
      <c r="RVA91" s="609"/>
      <c r="RVB91" s="609"/>
      <c r="RVC91" s="609"/>
      <c r="RVD91" s="609"/>
      <c r="RVE91" s="609"/>
      <c r="RVF91" s="609"/>
      <c r="RVG91" s="609"/>
      <c r="RVH91" s="609"/>
      <c r="RVI91" s="609"/>
      <c r="RVJ91" s="609"/>
      <c r="RVK91" s="609"/>
      <c r="RVL91" s="609"/>
      <c r="RVM91" s="609"/>
      <c r="RVN91" s="609"/>
      <c r="RVO91" s="609"/>
      <c r="RVP91" s="609"/>
      <c r="RVQ91" s="609"/>
      <c r="RVR91" s="609"/>
      <c r="RVS91" s="609"/>
      <c r="RVT91" s="609"/>
      <c r="RVU91" s="609"/>
      <c r="RVV91" s="609"/>
      <c r="RVW91" s="609"/>
      <c r="RVX91" s="609"/>
      <c r="RVY91" s="609"/>
      <c r="RVZ91" s="609"/>
      <c r="RWA91" s="609"/>
      <c r="RWB91" s="609"/>
      <c r="RWC91" s="609"/>
      <c r="RWD91" s="609"/>
      <c r="RWE91" s="609"/>
      <c r="RWF91" s="609"/>
      <c r="RWG91" s="609"/>
      <c r="RWH91" s="609"/>
      <c r="RWI91" s="609"/>
      <c r="RWJ91" s="609"/>
      <c r="RWK91" s="609"/>
      <c r="RWL91" s="609"/>
      <c r="RWM91" s="609"/>
      <c r="RWN91" s="609"/>
      <c r="RWO91" s="609"/>
      <c r="RWP91" s="609"/>
      <c r="RWQ91" s="609"/>
      <c r="RWR91" s="609"/>
      <c r="RWS91" s="609"/>
      <c r="RWT91" s="609"/>
      <c r="RWU91" s="609"/>
      <c r="RWV91" s="609"/>
      <c r="RWW91" s="609"/>
      <c r="RWX91" s="609"/>
      <c r="RWY91" s="609"/>
      <c r="RWZ91" s="609"/>
      <c r="RXA91" s="609"/>
      <c r="RXB91" s="609"/>
      <c r="RXC91" s="609"/>
      <c r="RXD91" s="609"/>
      <c r="RXE91" s="609"/>
      <c r="RXF91" s="609"/>
      <c r="RXG91" s="609"/>
      <c r="RXH91" s="609"/>
      <c r="RXI91" s="609"/>
      <c r="RXJ91" s="609"/>
      <c r="RXK91" s="609"/>
      <c r="RXL91" s="609"/>
      <c r="RXM91" s="609"/>
      <c r="RXN91" s="609"/>
      <c r="RXO91" s="609"/>
      <c r="RXP91" s="609"/>
      <c r="RXQ91" s="609"/>
      <c r="RXR91" s="609"/>
      <c r="RXS91" s="609"/>
      <c r="RXT91" s="609"/>
      <c r="RXU91" s="609"/>
      <c r="RXV91" s="609"/>
      <c r="RXW91" s="609"/>
      <c r="RXX91" s="609"/>
      <c r="RXY91" s="609"/>
      <c r="RXZ91" s="609"/>
      <c r="RYA91" s="609"/>
      <c r="RYB91" s="609"/>
      <c r="RYC91" s="609"/>
      <c r="RYD91" s="609"/>
      <c r="RYE91" s="609"/>
      <c r="RYF91" s="609"/>
      <c r="RYG91" s="609"/>
      <c r="RYH91" s="609"/>
      <c r="RYI91" s="609"/>
      <c r="RYJ91" s="609"/>
      <c r="RYK91" s="609"/>
      <c r="RYL91" s="609"/>
      <c r="RYM91" s="609"/>
      <c r="RYN91" s="609"/>
      <c r="RYO91" s="609"/>
      <c r="RYP91" s="609"/>
      <c r="RYQ91" s="609"/>
      <c r="RYR91" s="609"/>
      <c r="RYS91" s="609"/>
      <c r="RYT91" s="609"/>
      <c r="RYU91" s="609"/>
      <c r="RYV91" s="609"/>
      <c r="RYW91" s="609"/>
      <c r="RYX91" s="609"/>
      <c r="RYY91" s="609"/>
      <c r="RYZ91" s="609"/>
      <c r="RZA91" s="609"/>
      <c r="RZB91" s="609"/>
      <c r="RZC91" s="609"/>
      <c r="RZD91" s="609"/>
      <c r="RZE91" s="609"/>
      <c r="RZF91" s="609"/>
      <c r="RZG91" s="609"/>
      <c r="RZH91" s="609"/>
      <c r="RZI91" s="609"/>
      <c r="RZJ91" s="609"/>
      <c r="RZK91" s="609"/>
      <c r="RZL91" s="609"/>
      <c r="RZM91" s="609"/>
      <c r="RZN91" s="609"/>
      <c r="RZO91" s="609"/>
      <c r="RZP91" s="609"/>
      <c r="RZQ91" s="609"/>
      <c r="RZR91" s="609"/>
      <c r="RZS91" s="609"/>
      <c r="RZT91" s="609"/>
      <c r="RZU91" s="609"/>
      <c r="RZV91" s="609"/>
      <c r="RZW91" s="609"/>
      <c r="RZX91" s="609"/>
      <c r="RZY91" s="609"/>
      <c r="RZZ91" s="609"/>
      <c r="SAA91" s="609"/>
      <c r="SAB91" s="609"/>
      <c r="SAC91" s="609"/>
      <c r="SAD91" s="609"/>
      <c r="SAE91" s="609"/>
      <c r="SAF91" s="609"/>
      <c r="SAG91" s="609"/>
      <c r="SAH91" s="609"/>
      <c r="SAI91" s="609"/>
      <c r="SAJ91" s="609"/>
      <c r="SAK91" s="609"/>
      <c r="SAL91" s="609"/>
      <c r="SAM91" s="609"/>
      <c r="SAN91" s="609"/>
      <c r="SAO91" s="609"/>
      <c r="SAP91" s="609"/>
      <c r="SAQ91" s="609"/>
      <c r="SAR91" s="609"/>
      <c r="SAS91" s="609"/>
      <c r="SAT91" s="609"/>
      <c r="SAU91" s="609"/>
      <c r="SAV91" s="609"/>
      <c r="SAW91" s="609"/>
      <c r="SAX91" s="609"/>
      <c r="SAY91" s="609"/>
      <c r="SAZ91" s="609"/>
      <c r="SBA91" s="609"/>
      <c r="SBB91" s="609"/>
      <c r="SBC91" s="609"/>
      <c r="SBD91" s="609"/>
      <c r="SBE91" s="609"/>
      <c r="SBF91" s="609"/>
      <c r="SBG91" s="609"/>
      <c r="SBH91" s="609"/>
      <c r="SBI91" s="609"/>
      <c r="SBJ91" s="609"/>
      <c r="SBK91" s="609"/>
      <c r="SBL91" s="609"/>
      <c r="SBM91" s="609"/>
      <c r="SBN91" s="609"/>
      <c r="SBO91" s="609"/>
      <c r="SBP91" s="609"/>
      <c r="SBQ91" s="609"/>
      <c r="SBR91" s="609"/>
      <c r="SBS91" s="609"/>
      <c r="SBT91" s="609"/>
      <c r="SBU91" s="609"/>
      <c r="SBV91" s="609"/>
      <c r="SBW91" s="609"/>
      <c r="SBX91" s="609"/>
      <c r="SBY91" s="609"/>
      <c r="SBZ91" s="609"/>
      <c r="SCA91" s="609"/>
      <c r="SCB91" s="609"/>
      <c r="SCC91" s="609"/>
      <c r="SCD91" s="609"/>
      <c r="SCE91" s="609"/>
      <c r="SCF91" s="609"/>
      <c r="SCG91" s="609"/>
      <c r="SCH91" s="609"/>
      <c r="SCI91" s="609"/>
      <c r="SCJ91" s="609"/>
      <c r="SCK91" s="609"/>
      <c r="SCL91" s="609"/>
      <c r="SCM91" s="609"/>
      <c r="SCN91" s="609"/>
      <c r="SCO91" s="609"/>
      <c r="SCP91" s="609"/>
      <c r="SCQ91" s="609"/>
      <c r="SCR91" s="609"/>
      <c r="SCS91" s="609"/>
      <c r="SCT91" s="609"/>
      <c r="SCU91" s="609"/>
      <c r="SCV91" s="609"/>
      <c r="SCW91" s="609"/>
      <c r="SCX91" s="609"/>
      <c r="SCY91" s="609"/>
      <c r="SCZ91" s="609"/>
      <c r="SDA91" s="609"/>
      <c r="SDB91" s="609"/>
      <c r="SDC91" s="609"/>
      <c r="SDD91" s="609"/>
      <c r="SDE91" s="609"/>
      <c r="SDF91" s="609"/>
      <c r="SDG91" s="609"/>
      <c r="SDH91" s="609"/>
      <c r="SDI91" s="609"/>
      <c r="SDJ91" s="609"/>
      <c r="SDK91" s="609"/>
      <c r="SDL91" s="609"/>
      <c r="SDM91" s="609"/>
      <c r="SDN91" s="609"/>
      <c r="SDO91" s="609"/>
      <c r="SDP91" s="609"/>
      <c r="SDQ91" s="609"/>
      <c r="SDR91" s="609"/>
      <c r="SDS91" s="609"/>
      <c r="SDT91" s="609"/>
      <c r="SDU91" s="609"/>
      <c r="SDV91" s="609"/>
      <c r="SDW91" s="609"/>
      <c r="SDX91" s="609"/>
      <c r="SDY91" s="609"/>
      <c r="SDZ91" s="609"/>
      <c r="SEA91" s="609"/>
      <c r="SEB91" s="609"/>
      <c r="SEC91" s="609"/>
      <c r="SED91" s="609"/>
      <c r="SEE91" s="609"/>
      <c r="SEF91" s="609"/>
      <c r="SEG91" s="609"/>
      <c r="SEH91" s="609"/>
      <c r="SEI91" s="609"/>
      <c r="SEJ91" s="609"/>
      <c r="SEK91" s="609"/>
      <c r="SEL91" s="609"/>
      <c r="SEM91" s="609"/>
      <c r="SEN91" s="609"/>
      <c r="SEO91" s="609"/>
      <c r="SEP91" s="609"/>
      <c r="SEQ91" s="609"/>
      <c r="SER91" s="609"/>
      <c r="SES91" s="609"/>
      <c r="SET91" s="609"/>
      <c r="SEU91" s="609"/>
      <c r="SEV91" s="609"/>
      <c r="SEW91" s="609"/>
      <c r="SEX91" s="609"/>
      <c r="SEY91" s="609"/>
      <c r="SEZ91" s="609"/>
      <c r="SFA91" s="609"/>
      <c r="SFB91" s="609"/>
      <c r="SFC91" s="609"/>
      <c r="SFD91" s="609"/>
      <c r="SFE91" s="609"/>
      <c r="SFF91" s="609"/>
      <c r="SFG91" s="609"/>
      <c r="SFH91" s="609"/>
      <c r="SFI91" s="609"/>
      <c r="SFJ91" s="609"/>
      <c r="SFK91" s="609"/>
      <c r="SFL91" s="609"/>
      <c r="SFM91" s="609"/>
      <c r="SFN91" s="609"/>
      <c r="SFO91" s="609"/>
      <c r="SFP91" s="609"/>
      <c r="SFQ91" s="609"/>
      <c r="SFR91" s="609"/>
      <c r="SFS91" s="609"/>
      <c r="SFT91" s="609"/>
      <c r="SFU91" s="609"/>
      <c r="SFV91" s="609"/>
      <c r="SFW91" s="609"/>
      <c r="SFX91" s="609"/>
      <c r="SFY91" s="609"/>
      <c r="SFZ91" s="609"/>
      <c r="SGA91" s="609"/>
      <c r="SGB91" s="609"/>
      <c r="SGC91" s="609"/>
      <c r="SGD91" s="609"/>
      <c r="SGE91" s="609"/>
      <c r="SGF91" s="609"/>
      <c r="SGG91" s="609"/>
      <c r="SGH91" s="609"/>
      <c r="SGI91" s="609"/>
      <c r="SGJ91" s="609"/>
      <c r="SGK91" s="609"/>
      <c r="SGL91" s="609"/>
      <c r="SGM91" s="609"/>
      <c r="SGN91" s="609"/>
      <c r="SGO91" s="609"/>
      <c r="SGP91" s="609"/>
      <c r="SGQ91" s="609"/>
      <c r="SGR91" s="609"/>
      <c r="SGS91" s="609"/>
      <c r="SGT91" s="609"/>
      <c r="SGU91" s="609"/>
      <c r="SGV91" s="609"/>
      <c r="SGW91" s="609"/>
      <c r="SGX91" s="609"/>
      <c r="SGY91" s="609"/>
      <c r="SGZ91" s="609"/>
      <c r="SHA91" s="609"/>
      <c r="SHB91" s="609"/>
      <c r="SHC91" s="609"/>
      <c r="SHD91" s="609"/>
      <c r="SHE91" s="609"/>
      <c r="SHF91" s="609"/>
      <c r="SHG91" s="609"/>
      <c r="SHH91" s="609"/>
      <c r="SHI91" s="609"/>
      <c r="SHJ91" s="609"/>
      <c r="SHK91" s="609"/>
      <c r="SHL91" s="609"/>
      <c r="SHM91" s="609"/>
      <c r="SHN91" s="609"/>
      <c r="SHO91" s="609"/>
      <c r="SHP91" s="609"/>
      <c r="SHQ91" s="609"/>
      <c r="SHR91" s="609"/>
      <c r="SHS91" s="609"/>
      <c r="SHT91" s="609"/>
      <c r="SHU91" s="609"/>
      <c r="SHV91" s="609"/>
      <c r="SHW91" s="609"/>
      <c r="SHX91" s="609"/>
      <c r="SHY91" s="609"/>
      <c r="SHZ91" s="609"/>
      <c r="SIA91" s="609"/>
      <c r="SIB91" s="609"/>
      <c r="SIC91" s="609"/>
      <c r="SID91" s="609"/>
      <c r="SIE91" s="609"/>
      <c r="SIF91" s="609"/>
      <c r="SIG91" s="609"/>
      <c r="SIH91" s="609"/>
      <c r="SII91" s="609"/>
      <c r="SIJ91" s="609"/>
      <c r="SIK91" s="609"/>
      <c r="SIL91" s="609"/>
      <c r="SIM91" s="609"/>
      <c r="SIN91" s="609"/>
      <c r="SIO91" s="609"/>
      <c r="SIP91" s="609"/>
      <c r="SIQ91" s="609"/>
      <c r="SIR91" s="609"/>
      <c r="SIS91" s="609"/>
      <c r="SIT91" s="609"/>
      <c r="SIU91" s="609"/>
      <c r="SIV91" s="609"/>
      <c r="SIW91" s="609"/>
      <c r="SIX91" s="609"/>
      <c r="SIY91" s="609"/>
      <c r="SIZ91" s="609"/>
      <c r="SJA91" s="609"/>
      <c r="SJB91" s="609"/>
      <c r="SJC91" s="609"/>
      <c r="SJD91" s="609"/>
      <c r="SJE91" s="609"/>
      <c r="SJF91" s="609"/>
      <c r="SJG91" s="609"/>
      <c r="SJH91" s="609"/>
      <c r="SJI91" s="609"/>
      <c r="SJJ91" s="609"/>
      <c r="SJK91" s="609"/>
      <c r="SJL91" s="609"/>
      <c r="SJM91" s="609"/>
      <c r="SJN91" s="609"/>
      <c r="SJO91" s="609"/>
      <c r="SJP91" s="609"/>
      <c r="SJQ91" s="609"/>
      <c r="SJR91" s="609"/>
      <c r="SJS91" s="609"/>
      <c r="SJT91" s="609"/>
      <c r="SJU91" s="609"/>
      <c r="SJV91" s="609"/>
      <c r="SJW91" s="609"/>
      <c r="SJX91" s="609"/>
      <c r="SJY91" s="609"/>
      <c r="SJZ91" s="609"/>
      <c r="SKA91" s="609"/>
      <c r="SKB91" s="609"/>
      <c r="SKC91" s="609"/>
      <c r="SKD91" s="609"/>
      <c r="SKE91" s="609"/>
      <c r="SKF91" s="609"/>
      <c r="SKG91" s="609"/>
      <c r="SKH91" s="609"/>
      <c r="SKI91" s="609"/>
      <c r="SKJ91" s="609"/>
      <c r="SKK91" s="609"/>
      <c r="SKL91" s="609"/>
      <c r="SKM91" s="609"/>
      <c r="SKN91" s="609"/>
      <c r="SKO91" s="609"/>
      <c r="SKP91" s="609"/>
      <c r="SKQ91" s="609"/>
      <c r="SKR91" s="609"/>
      <c r="SKS91" s="609"/>
      <c r="SKT91" s="609"/>
      <c r="SKU91" s="609"/>
      <c r="SKV91" s="609"/>
      <c r="SKW91" s="609"/>
      <c r="SKX91" s="609"/>
      <c r="SKY91" s="609"/>
      <c r="SKZ91" s="609"/>
      <c r="SLA91" s="609"/>
      <c r="SLB91" s="609"/>
      <c r="SLC91" s="609"/>
      <c r="SLD91" s="609"/>
      <c r="SLE91" s="609"/>
      <c r="SLF91" s="609"/>
      <c r="SLG91" s="609"/>
      <c r="SLH91" s="609"/>
      <c r="SLI91" s="609"/>
      <c r="SLJ91" s="609"/>
      <c r="SLK91" s="609"/>
      <c r="SLL91" s="609"/>
      <c r="SLM91" s="609"/>
      <c r="SLN91" s="609"/>
      <c r="SLO91" s="609"/>
      <c r="SLP91" s="609"/>
      <c r="SLQ91" s="609"/>
      <c r="SLR91" s="609"/>
      <c r="SLS91" s="609"/>
      <c r="SLT91" s="609"/>
      <c r="SLU91" s="609"/>
      <c r="SLV91" s="609"/>
      <c r="SLW91" s="609"/>
      <c r="SLX91" s="609"/>
      <c r="SLY91" s="609"/>
      <c r="SLZ91" s="609"/>
      <c r="SMA91" s="609"/>
      <c r="SMB91" s="609"/>
      <c r="SMC91" s="609"/>
      <c r="SMD91" s="609"/>
      <c r="SME91" s="609"/>
      <c r="SMF91" s="609"/>
      <c r="SMG91" s="609"/>
      <c r="SMH91" s="609"/>
      <c r="SMI91" s="609"/>
      <c r="SMJ91" s="609"/>
      <c r="SMK91" s="609"/>
      <c r="SML91" s="609"/>
      <c r="SMM91" s="609"/>
      <c r="SMN91" s="609"/>
      <c r="SMO91" s="609"/>
      <c r="SMP91" s="609"/>
      <c r="SMQ91" s="609"/>
      <c r="SMR91" s="609"/>
      <c r="SMS91" s="609"/>
      <c r="SMT91" s="609"/>
      <c r="SMU91" s="609"/>
      <c r="SMV91" s="609"/>
      <c r="SMW91" s="609"/>
      <c r="SMX91" s="609"/>
      <c r="SMY91" s="609"/>
      <c r="SMZ91" s="609"/>
      <c r="SNA91" s="609"/>
      <c r="SNB91" s="609"/>
      <c r="SNC91" s="609"/>
      <c r="SND91" s="609"/>
      <c r="SNE91" s="609"/>
      <c r="SNF91" s="609"/>
      <c r="SNG91" s="609"/>
      <c r="SNH91" s="609"/>
      <c r="SNI91" s="609"/>
      <c r="SNJ91" s="609"/>
      <c r="SNK91" s="609"/>
      <c r="SNL91" s="609"/>
      <c r="SNM91" s="609"/>
      <c r="SNN91" s="609"/>
      <c r="SNO91" s="609"/>
      <c r="SNP91" s="609"/>
      <c r="SNQ91" s="609"/>
      <c r="SNR91" s="609"/>
      <c r="SNS91" s="609"/>
      <c r="SNT91" s="609"/>
      <c r="SNU91" s="609"/>
      <c r="SNV91" s="609"/>
      <c r="SNW91" s="609"/>
      <c r="SNX91" s="609"/>
      <c r="SNY91" s="609"/>
      <c r="SNZ91" s="609"/>
      <c r="SOA91" s="609"/>
      <c r="SOB91" s="609"/>
      <c r="SOC91" s="609"/>
      <c r="SOD91" s="609"/>
      <c r="SOE91" s="609"/>
      <c r="SOF91" s="609"/>
      <c r="SOG91" s="609"/>
      <c r="SOH91" s="609"/>
      <c r="SOI91" s="609"/>
      <c r="SOJ91" s="609"/>
      <c r="SOK91" s="609"/>
      <c r="SOL91" s="609"/>
      <c r="SOM91" s="609"/>
      <c r="SON91" s="609"/>
      <c r="SOO91" s="609"/>
      <c r="SOP91" s="609"/>
      <c r="SOQ91" s="609"/>
      <c r="SOR91" s="609"/>
      <c r="SOS91" s="609"/>
      <c r="SOT91" s="609"/>
      <c r="SOU91" s="609"/>
      <c r="SOV91" s="609"/>
      <c r="SOW91" s="609"/>
      <c r="SOX91" s="609"/>
      <c r="SOY91" s="609"/>
      <c r="SOZ91" s="609"/>
      <c r="SPA91" s="609"/>
      <c r="SPB91" s="609"/>
      <c r="SPC91" s="609"/>
      <c r="SPD91" s="609"/>
      <c r="SPE91" s="609"/>
      <c r="SPF91" s="609"/>
      <c r="SPG91" s="609"/>
      <c r="SPH91" s="609"/>
      <c r="SPI91" s="609"/>
      <c r="SPJ91" s="609"/>
      <c r="SPK91" s="609"/>
      <c r="SPL91" s="609"/>
      <c r="SPM91" s="609"/>
      <c r="SPN91" s="609"/>
      <c r="SPO91" s="609"/>
      <c r="SPP91" s="609"/>
      <c r="SPQ91" s="609"/>
      <c r="SPR91" s="609"/>
      <c r="SPS91" s="609"/>
      <c r="SPT91" s="609"/>
      <c r="SPU91" s="609"/>
      <c r="SPV91" s="609"/>
      <c r="SPW91" s="609"/>
      <c r="SPX91" s="609"/>
      <c r="SPY91" s="609"/>
      <c r="SPZ91" s="609"/>
      <c r="SQA91" s="609"/>
      <c r="SQB91" s="609"/>
      <c r="SQC91" s="609"/>
      <c r="SQD91" s="609"/>
      <c r="SQE91" s="609"/>
      <c r="SQF91" s="609"/>
      <c r="SQG91" s="609"/>
      <c r="SQH91" s="609"/>
      <c r="SQI91" s="609"/>
      <c r="SQJ91" s="609"/>
      <c r="SQK91" s="609"/>
      <c r="SQL91" s="609"/>
      <c r="SQM91" s="609"/>
      <c r="SQN91" s="609"/>
      <c r="SQO91" s="609"/>
      <c r="SQP91" s="609"/>
      <c r="SQQ91" s="609"/>
      <c r="SQR91" s="609"/>
      <c r="SQS91" s="609"/>
      <c r="SQT91" s="609"/>
      <c r="SQU91" s="609"/>
      <c r="SQV91" s="609"/>
      <c r="SQW91" s="609"/>
      <c r="SQX91" s="609"/>
      <c r="SQY91" s="609"/>
      <c r="SQZ91" s="609"/>
      <c r="SRA91" s="609"/>
      <c r="SRB91" s="609"/>
      <c r="SRC91" s="609"/>
      <c r="SRD91" s="609"/>
      <c r="SRE91" s="609"/>
      <c r="SRF91" s="609"/>
      <c r="SRG91" s="609"/>
      <c r="SRH91" s="609"/>
      <c r="SRI91" s="609"/>
      <c r="SRJ91" s="609"/>
      <c r="SRK91" s="609"/>
      <c r="SRL91" s="609"/>
      <c r="SRM91" s="609"/>
      <c r="SRN91" s="609"/>
      <c r="SRO91" s="609"/>
      <c r="SRP91" s="609"/>
      <c r="SRQ91" s="609"/>
      <c r="SRR91" s="609"/>
      <c r="SRS91" s="609"/>
      <c r="SRT91" s="609"/>
      <c r="SRU91" s="609"/>
      <c r="SRV91" s="609"/>
      <c r="SRW91" s="609"/>
      <c r="SRX91" s="609"/>
      <c r="SRY91" s="609"/>
      <c r="SRZ91" s="609"/>
      <c r="SSA91" s="609"/>
      <c r="SSB91" s="609"/>
      <c r="SSC91" s="609"/>
      <c r="SSD91" s="609"/>
      <c r="SSE91" s="609"/>
      <c r="SSF91" s="609"/>
      <c r="SSG91" s="609"/>
      <c r="SSH91" s="609"/>
      <c r="SSI91" s="609"/>
      <c r="SSJ91" s="609"/>
      <c r="SSK91" s="609"/>
      <c r="SSL91" s="609"/>
      <c r="SSM91" s="609"/>
      <c r="SSN91" s="609"/>
      <c r="SSO91" s="609"/>
      <c r="SSP91" s="609"/>
      <c r="SSQ91" s="609"/>
      <c r="SSR91" s="609"/>
      <c r="SSS91" s="609"/>
      <c r="SST91" s="609"/>
      <c r="SSU91" s="609"/>
      <c r="SSV91" s="609"/>
      <c r="SSW91" s="609"/>
      <c r="SSX91" s="609"/>
      <c r="SSY91" s="609"/>
      <c r="SSZ91" s="609"/>
      <c r="STA91" s="609"/>
      <c r="STB91" s="609"/>
      <c r="STC91" s="609"/>
      <c r="STD91" s="609"/>
      <c r="STE91" s="609"/>
      <c r="STF91" s="609"/>
      <c r="STG91" s="609"/>
      <c r="STH91" s="609"/>
      <c r="STI91" s="609"/>
      <c r="STJ91" s="609"/>
      <c r="STK91" s="609"/>
      <c r="STL91" s="609"/>
      <c r="STM91" s="609"/>
      <c r="STN91" s="609"/>
      <c r="STO91" s="609"/>
      <c r="STP91" s="609"/>
      <c r="STQ91" s="609"/>
      <c r="STR91" s="609"/>
      <c r="STS91" s="609"/>
      <c r="STT91" s="609"/>
      <c r="STU91" s="609"/>
      <c r="STV91" s="609"/>
      <c r="STW91" s="609"/>
      <c r="STX91" s="609"/>
      <c r="STY91" s="609"/>
      <c r="STZ91" s="609"/>
      <c r="SUA91" s="609"/>
      <c r="SUB91" s="609"/>
      <c r="SUC91" s="609"/>
      <c r="SUD91" s="609"/>
      <c r="SUE91" s="609"/>
      <c r="SUF91" s="609"/>
      <c r="SUG91" s="609"/>
      <c r="SUH91" s="609"/>
      <c r="SUI91" s="609"/>
      <c r="SUJ91" s="609"/>
      <c r="SUK91" s="609"/>
      <c r="SUL91" s="609"/>
      <c r="SUM91" s="609"/>
      <c r="SUN91" s="609"/>
      <c r="SUO91" s="609"/>
      <c r="SUP91" s="609"/>
      <c r="SUQ91" s="609"/>
      <c r="SUR91" s="609"/>
      <c r="SUS91" s="609"/>
      <c r="SUT91" s="609"/>
      <c r="SUU91" s="609"/>
      <c r="SUV91" s="609"/>
      <c r="SUW91" s="609"/>
      <c r="SUX91" s="609"/>
      <c r="SUY91" s="609"/>
      <c r="SUZ91" s="609"/>
      <c r="SVA91" s="609"/>
      <c r="SVB91" s="609"/>
      <c r="SVC91" s="609"/>
      <c r="SVD91" s="609"/>
      <c r="SVE91" s="609"/>
      <c r="SVF91" s="609"/>
      <c r="SVG91" s="609"/>
      <c r="SVH91" s="609"/>
      <c r="SVI91" s="609"/>
      <c r="SVJ91" s="609"/>
      <c r="SVK91" s="609"/>
      <c r="SVL91" s="609"/>
      <c r="SVM91" s="609"/>
      <c r="SVN91" s="609"/>
      <c r="SVO91" s="609"/>
      <c r="SVP91" s="609"/>
      <c r="SVQ91" s="609"/>
      <c r="SVR91" s="609"/>
      <c r="SVS91" s="609"/>
      <c r="SVT91" s="609"/>
      <c r="SVU91" s="609"/>
      <c r="SVV91" s="609"/>
      <c r="SVW91" s="609"/>
      <c r="SVX91" s="609"/>
      <c r="SVY91" s="609"/>
      <c r="SVZ91" s="609"/>
      <c r="SWA91" s="609"/>
      <c r="SWB91" s="609"/>
      <c r="SWC91" s="609"/>
      <c r="SWD91" s="609"/>
      <c r="SWE91" s="609"/>
      <c r="SWF91" s="609"/>
      <c r="SWG91" s="609"/>
      <c r="SWH91" s="609"/>
      <c r="SWI91" s="609"/>
      <c r="SWJ91" s="609"/>
      <c r="SWK91" s="609"/>
      <c r="SWL91" s="609"/>
      <c r="SWM91" s="609"/>
      <c r="SWN91" s="609"/>
      <c r="SWO91" s="609"/>
      <c r="SWP91" s="609"/>
      <c r="SWQ91" s="609"/>
      <c r="SWR91" s="609"/>
      <c r="SWS91" s="609"/>
      <c r="SWT91" s="609"/>
      <c r="SWU91" s="609"/>
      <c r="SWV91" s="609"/>
      <c r="SWW91" s="609"/>
      <c r="SWX91" s="609"/>
      <c r="SWY91" s="609"/>
      <c r="SWZ91" s="609"/>
      <c r="SXA91" s="609"/>
      <c r="SXB91" s="609"/>
      <c r="SXC91" s="609"/>
      <c r="SXD91" s="609"/>
      <c r="SXE91" s="609"/>
      <c r="SXF91" s="609"/>
      <c r="SXG91" s="609"/>
      <c r="SXH91" s="609"/>
      <c r="SXI91" s="609"/>
      <c r="SXJ91" s="609"/>
      <c r="SXK91" s="609"/>
      <c r="SXL91" s="609"/>
      <c r="SXM91" s="609"/>
      <c r="SXN91" s="609"/>
      <c r="SXO91" s="609"/>
      <c r="SXP91" s="609"/>
      <c r="SXQ91" s="609"/>
      <c r="SXR91" s="609"/>
      <c r="SXS91" s="609"/>
      <c r="SXT91" s="609"/>
      <c r="SXU91" s="609"/>
      <c r="SXV91" s="609"/>
      <c r="SXW91" s="609"/>
      <c r="SXX91" s="609"/>
      <c r="SXY91" s="609"/>
      <c r="SXZ91" s="609"/>
      <c r="SYA91" s="609"/>
      <c r="SYB91" s="609"/>
      <c r="SYC91" s="609"/>
      <c r="SYD91" s="609"/>
      <c r="SYE91" s="609"/>
      <c r="SYF91" s="609"/>
      <c r="SYG91" s="609"/>
      <c r="SYH91" s="609"/>
      <c r="SYI91" s="609"/>
      <c r="SYJ91" s="609"/>
      <c r="SYK91" s="609"/>
      <c r="SYL91" s="609"/>
      <c r="SYM91" s="609"/>
      <c r="SYN91" s="609"/>
      <c r="SYO91" s="609"/>
      <c r="SYP91" s="609"/>
      <c r="SYQ91" s="609"/>
      <c r="SYR91" s="609"/>
      <c r="SYS91" s="609"/>
      <c r="SYT91" s="609"/>
      <c r="SYU91" s="609"/>
      <c r="SYV91" s="609"/>
      <c r="SYW91" s="609"/>
      <c r="SYX91" s="609"/>
      <c r="SYY91" s="609"/>
      <c r="SYZ91" s="609"/>
      <c r="SZA91" s="609"/>
      <c r="SZB91" s="609"/>
      <c r="SZC91" s="609"/>
      <c r="SZD91" s="609"/>
      <c r="SZE91" s="609"/>
      <c r="SZF91" s="609"/>
      <c r="SZG91" s="609"/>
      <c r="SZH91" s="609"/>
      <c r="SZI91" s="609"/>
      <c r="SZJ91" s="609"/>
      <c r="SZK91" s="609"/>
      <c r="SZL91" s="609"/>
      <c r="SZM91" s="609"/>
      <c r="SZN91" s="609"/>
      <c r="SZO91" s="609"/>
      <c r="SZP91" s="609"/>
      <c r="SZQ91" s="609"/>
      <c r="SZR91" s="609"/>
      <c r="SZS91" s="609"/>
      <c r="SZT91" s="609"/>
      <c r="SZU91" s="609"/>
      <c r="SZV91" s="609"/>
      <c r="SZW91" s="609"/>
      <c r="SZX91" s="609"/>
      <c r="SZY91" s="609"/>
      <c r="SZZ91" s="609"/>
      <c r="TAA91" s="609"/>
      <c r="TAB91" s="609"/>
      <c r="TAC91" s="609"/>
      <c r="TAD91" s="609"/>
      <c r="TAE91" s="609"/>
      <c r="TAF91" s="609"/>
      <c r="TAG91" s="609"/>
      <c r="TAH91" s="609"/>
      <c r="TAI91" s="609"/>
      <c r="TAJ91" s="609"/>
      <c r="TAK91" s="609"/>
      <c r="TAL91" s="609"/>
      <c r="TAM91" s="609"/>
      <c r="TAN91" s="609"/>
      <c r="TAO91" s="609"/>
      <c r="TAP91" s="609"/>
      <c r="TAQ91" s="609"/>
      <c r="TAR91" s="609"/>
      <c r="TAS91" s="609"/>
      <c r="TAT91" s="609"/>
      <c r="TAU91" s="609"/>
      <c r="TAV91" s="609"/>
      <c r="TAW91" s="609"/>
      <c r="TAX91" s="609"/>
      <c r="TAY91" s="609"/>
      <c r="TAZ91" s="609"/>
      <c r="TBA91" s="609"/>
      <c r="TBB91" s="609"/>
      <c r="TBC91" s="609"/>
      <c r="TBD91" s="609"/>
      <c r="TBE91" s="609"/>
      <c r="TBF91" s="609"/>
      <c r="TBG91" s="609"/>
      <c r="TBH91" s="609"/>
      <c r="TBI91" s="609"/>
      <c r="TBJ91" s="609"/>
      <c r="TBK91" s="609"/>
      <c r="TBL91" s="609"/>
      <c r="TBM91" s="609"/>
      <c r="TBN91" s="609"/>
      <c r="TBO91" s="609"/>
      <c r="TBP91" s="609"/>
      <c r="TBQ91" s="609"/>
      <c r="TBR91" s="609"/>
      <c r="TBS91" s="609"/>
      <c r="TBT91" s="609"/>
      <c r="TBU91" s="609"/>
      <c r="TBV91" s="609"/>
      <c r="TBW91" s="609"/>
      <c r="TBX91" s="609"/>
      <c r="TBY91" s="609"/>
      <c r="TBZ91" s="609"/>
      <c r="TCA91" s="609"/>
      <c r="TCB91" s="609"/>
      <c r="TCC91" s="609"/>
      <c r="TCD91" s="609"/>
      <c r="TCE91" s="609"/>
      <c r="TCF91" s="609"/>
      <c r="TCG91" s="609"/>
      <c r="TCH91" s="609"/>
      <c r="TCI91" s="609"/>
      <c r="TCJ91" s="609"/>
      <c r="TCK91" s="609"/>
      <c r="TCL91" s="609"/>
      <c r="TCM91" s="609"/>
      <c r="TCN91" s="609"/>
      <c r="TCO91" s="609"/>
      <c r="TCP91" s="609"/>
      <c r="TCQ91" s="609"/>
      <c r="TCR91" s="609"/>
      <c r="TCS91" s="609"/>
      <c r="TCT91" s="609"/>
      <c r="TCU91" s="609"/>
      <c r="TCV91" s="609"/>
      <c r="TCW91" s="609"/>
      <c r="TCX91" s="609"/>
      <c r="TCY91" s="609"/>
      <c r="TCZ91" s="609"/>
      <c r="TDA91" s="609"/>
      <c r="TDB91" s="609"/>
      <c r="TDC91" s="609"/>
      <c r="TDD91" s="609"/>
      <c r="TDE91" s="609"/>
      <c r="TDF91" s="609"/>
      <c r="TDG91" s="609"/>
      <c r="TDH91" s="609"/>
      <c r="TDI91" s="609"/>
      <c r="TDJ91" s="609"/>
      <c r="TDK91" s="609"/>
      <c r="TDL91" s="609"/>
      <c r="TDM91" s="609"/>
      <c r="TDN91" s="609"/>
      <c r="TDO91" s="609"/>
      <c r="TDP91" s="609"/>
      <c r="TDQ91" s="609"/>
      <c r="TDR91" s="609"/>
      <c r="TDS91" s="609"/>
      <c r="TDT91" s="609"/>
      <c r="TDU91" s="609"/>
      <c r="TDV91" s="609"/>
      <c r="TDW91" s="609"/>
      <c r="TDX91" s="609"/>
      <c r="TDY91" s="609"/>
      <c r="TDZ91" s="609"/>
      <c r="TEA91" s="609"/>
      <c r="TEB91" s="609"/>
      <c r="TEC91" s="609"/>
      <c r="TED91" s="609"/>
      <c r="TEE91" s="609"/>
      <c r="TEF91" s="609"/>
      <c r="TEG91" s="609"/>
      <c r="TEH91" s="609"/>
      <c r="TEI91" s="609"/>
      <c r="TEJ91" s="609"/>
      <c r="TEK91" s="609"/>
      <c r="TEL91" s="609"/>
      <c r="TEM91" s="609"/>
      <c r="TEN91" s="609"/>
      <c r="TEO91" s="609"/>
      <c r="TEP91" s="609"/>
      <c r="TEQ91" s="609"/>
      <c r="TER91" s="609"/>
      <c r="TES91" s="609"/>
      <c r="TET91" s="609"/>
      <c r="TEU91" s="609"/>
      <c r="TEV91" s="609"/>
      <c r="TEW91" s="609"/>
      <c r="TEX91" s="609"/>
      <c r="TEY91" s="609"/>
      <c r="TEZ91" s="609"/>
      <c r="TFA91" s="609"/>
      <c r="TFB91" s="609"/>
      <c r="TFC91" s="609"/>
      <c r="TFD91" s="609"/>
      <c r="TFE91" s="609"/>
      <c r="TFF91" s="609"/>
      <c r="TFG91" s="609"/>
      <c r="TFH91" s="609"/>
      <c r="TFI91" s="609"/>
      <c r="TFJ91" s="609"/>
      <c r="TFK91" s="609"/>
      <c r="TFL91" s="609"/>
      <c r="TFM91" s="609"/>
      <c r="TFN91" s="609"/>
      <c r="TFO91" s="609"/>
      <c r="TFP91" s="609"/>
      <c r="TFQ91" s="609"/>
      <c r="TFR91" s="609"/>
      <c r="TFS91" s="609"/>
      <c r="TFT91" s="609"/>
      <c r="TFU91" s="609"/>
      <c r="TFV91" s="609"/>
      <c r="TFW91" s="609"/>
      <c r="TFX91" s="609"/>
      <c r="TFY91" s="609"/>
      <c r="TFZ91" s="609"/>
      <c r="TGA91" s="609"/>
      <c r="TGB91" s="609"/>
      <c r="TGC91" s="609"/>
      <c r="TGD91" s="609"/>
      <c r="TGE91" s="609"/>
      <c r="TGF91" s="609"/>
      <c r="TGG91" s="609"/>
      <c r="TGH91" s="609"/>
      <c r="TGI91" s="609"/>
      <c r="TGJ91" s="609"/>
      <c r="TGK91" s="609"/>
      <c r="TGL91" s="609"/>
      <c r="TGM91" s="609"/>
      <c r="TGN91" s="609"/>
      <c r="TGO91" s="609"/>
      <c r="TGP91" s="609"/>
      <c r="TGQ91" s="609"/>
      <c r="TGR91" s="609"/>
      <c r="TGS91" s="609"/>
      <c r="TGT91" s="609"/>
      <c r="TGU91" s="609"/>
      <c r="TGV91" s="609"/>
      <c r="TGW91" s="609"/>
      <c r="TGX91" s="609"/>
      <c r="TGY91" s="609"/>
      <c r="TGZ91" s="609"/>
      <c r="THA91" s="609"/>
      <c r="THB91" s="609"/>
      <c r="THC91" s="609"/>
      <c r="THD91" s="609"/>
      <c r="THE91" s="609"/>
      <c r="THF91" s="609"/>
      <c r="THG91" s="609"/>
      <c r="THH91" s="609"/>
      <c r="THI91" s="609"/>
      <c r="THJ91" s="609"/>
      <c r="THK91" s="609"/>
      <c r="THL91" s="609"/>
      <c r="THM91" s="609"/>
      <c r="THN91" s="609"/>
      <c r="THO91" s="609"/>
      <c r="THP91" s="609"/>
      <c r="THQ91" s="609"/>
      <c r="THR91" s="609"/>
      <c r="THS91" s="609"/>
      <c r="THT91" s="609"/>
      <c r="THU91" s="609"/>
      <c r="THV91" s="609"/>
      <c r="THW91" s="609"/>
      <c r="THX91" s="609"/>
      <c r="THY91" s="609"/>
      <c r="THZ91" s="609"/>
      <c r="TIA91" s="609"/>
      <c r="TIB91" s="609"/>
      <c r="TIC91" s="609"/>
      <c r="TID91" s="609"/>
      <c r="TIE91" s="609"/>
      <c r="TIF91" s="609"/>
      <c r="TIG91" s="609"/>
      <c r="TIH91" s="609"/>
      <c r="TII91" s="609"/>
      <c r="TIJ91" s="609"/>
      <c r="TIK91" s="609"/>
      <c r="TIL91" s="609"/>
      <c r="TIM91" s="609"/>
      <c r="TIN91" s="609"/>
      <c r="TIO91" s="609"/>
      <c r="TIP91" s="609"/>
      <c r="TIQ91" s="609"/>
      <c r="TIR91" s="609"/>
      <c r="TIS91" s="609"/>
      <c r="TIT91" s="609"/>
      <c r="TIU91" s="609"/>
      <c r="TIV91" s="609"/>
      <c r="TIW91" s="609"/>
      <c r="TIX91" s="609"/>
      <c r="TIY91" s="609"/>
      <c r="TIZ91" s="609"/>
      <c r="TJA91" s="609"/>
      <c r="TJB91" s="609"/>
      <c r="TJC91" s="609"/>
      <c r="TJD91" s="609"/>
      <c r="TJE91" s="609"/>
      <c r="TJF91" s="609"/>
      <c r="TJG91" s="609"/>
      <c r="TJH91" s="609"/>
      <c r="TJI91" s="609"/>
      <c r="TJJ91" s="609"/>
      <c r="TJK91" s="609"/>
      <c r="TJL91" s="609"/>
      <c r="TJM91" s="609"/>
      <c r="TJN91" s="609"/>
      <c r="TJO91" s="609"/>
      <c r="TJP91" s="609"/>
      <c r="TJQ91" s="609"/>
      <c r="TJR91" s="609"/>
      <c r="TJS91" s="609"/>
      <c r="TJT91" s="609"/>
      <c r="TJU91" s="609"/>
      <c r="TJV91" s="609"/>
      <c r="TJW91" s="609"/>
      <c r="TJX91" s="609"/>
      <c r="TJY91" s="609"/>
      <c r="TJZ91" s="609"/>
      <c r="TKA91" s="609"/>
      <c r="TKB91" s="609"/>
      <c r="TKC91" s="609"/>
      <c r="TKD91" s="609"/>
      <c r="TKE91" s="609"/>
      <c r="TKF91" s="609"/>
      <c r="TKG91" s="609"/>
      <c r="TKH91" s="609"/>
      <c r="TKI91" s="609"/>
      <c r="TKJ91" s="609"/>
      <c r="TKK91" s="609"/>
      <c r="TKL91" s="609"/>
      <c r="TKM91" s="609"/>
      <c r="TKN91" s="609"/>
      <c r="TKO91" s="609"/>
      <c r="TKP91" s="609"/>
      <c r="TKQ91" s="609"/>
      <c r="TKR91" s="609"/>
      <c r="TKS91" s="609"/>
      <c r="TKT91" s="609"/>
      <c r="TKU91" s="609"/>
      <c r="TKV91" s="609"/>
      <c r="TKW91" s="609"/>
      <c r="TKX91" s="609"/>
      <c r="TKY91" s="609"/>
      <c r="TKZ91" s="609"/>
      <c r="TLA91" s="609"/>
      <c r="TLB91" s="609"/>
      <c r="TLC91" s="609"/>
      <c r="TLD91" s="609"/>
      <c r="TLE91" s="609"/>
      <c r="TLF91" s="609"/>
      <c r="TLG91" s="609"/>
      <c r="TLH91" s="609"/>
      <c r="TLI91" s="609"/>
      <c r="TLJ91" s="609"/>
      <c r="TLK91" s="609"/>
      <c r="TLL91" s="609"/>
      <c r="TLM91" s="609"/>
      <c r="TLN91" s="609"/>
      <c r="TLO91" s="609"/>
      <c r="TLP91" s="609"/>
      <c r="TLQ91" s="609"/>
      <c r="TLR91" s="609"/>
      <c r="TLS91" s="609"/>
      <c r="TLT91" s="609"/>
      <c r="TLU91" s="609"/>
      <c r="TLV91" s="609"/>
      <c r="TLW91" s="609"/>
      <c r="TLX91" s="609"/>
      <c r="TLY91" s="609"/>
      <c r="TLZ91" s="609"/>
      <c r="TMA91" s="609"/>
      <c r="TMB91" s="609"/>
      <c r="TMC91" s="609"/>
      <c r="TMD91" s="609"/>
      <c r="TME91" s="609"/>
      <c r="TMF91" s="609"/>
      <c r="TMG91" s="609"/>
      <c r="TMH91" s="609"/>
      <c r="TMI91" s="609"/>
      <c r="TMJ91" s="609"/>
      <c r="TMK91" s="609"/>
      <c r="TML91" s="609"/>
      <c r="TMM91" s="609"/>
      <c r="TMN91" s="609"/>
      <c r="TMO91" s="609"/>
      <c r="TMP91" s="609"/>
      <c r="TMQ91" s="609"/>
      <c r="TMR91" s="609"/>
      <c r="TMS91" s="609"/>
      <c r="TMT91" s="609"/>
      <c r="TMU91" s="609"/>
      <c r="TMV91" s="609"/>
      <c r="TMW91" s="609"/>
      <c r="TMX91" s="609"/>
      <c r="TMY91" s="609"/>
      <c r="TMZ91" s="609"/>
      <c r="TNA91" s="609"/>
      <c r="TNB91" s="609"/>
      <c r="TNC91" s="609"/>
      <c r="TND91" s="609"/>
      <c r="TNE91" s="609"/>
      <c r="TNF91" s="609"/>
      <c r="TNG91" s="609"/>
      <c r="TNH91" s="609"/>
      <c r="TNI91" s="609"/>
      <c r="TNJ91" s="609"/>
      <c r="TNK91" s="609"/>
      <c r="TNL91" s="609"/>
      <c r="TNM91" s="609"/>
      <c r="TNN91" s="609"/>
      <c r="TNO91" s="609"/>
      <c r="TNP91" s="609"/>
      <c r="TNQ91" s="609"/>
      <c r="TNR91" s="609"/>
      <c r="TNS91" s="609"/>
      <c r="TNT91" s="609"/>
      <c r="TNU91" s="609"/>
      <c r="TNV91" s="609"/>
      <c r="TNW91" s="609"/>
      <c r="TNX91" s="609"/>
      <c r="TNY91" s="609"/>
      <c r="TNZ91" s="609"/>
      <c r="TOA91" s="609"/>
      <c r="TOB91" s="609"/>
      <c r="TOC91" s="609"/>
      <c r="TOD91" s="609"/>
      <c r="TOE91" s="609"/>
      <c r="TOF91" s="609"/>
      <c r="TOG91" s="609"/>
      <c r="TOH91" s="609"/>
      <c r="TOI91" s="609"/>
      <c r="TOJ91" s="609"/>
      <c r="TOK91" s="609"/>
      <c r="TOL91" s="609"/>
      <c r="TOM91" s="609"/>
      <c r="TON91" s="609"/>
      <c r="TOO91" s="609"/>
      <c r="TOP91" s="609"/>
      <c r="TOQ91" s="609"/>
      <c r="TOR91" s="609"/>
      <c r="TOS91" s="609"/>
      <c r="TOT91" s="609"/>
      <c r="TOU91" s="609"/>
      <c r="TOV91" s="609"/>
      <c r="TOW91" s="609"/>
      <c r="TOX91" s="609"/>
      <c r="TOY91" s="609"/>
      <c r="TOZ91" s="609"/>
      <c r="TPA91" s="609"/>
      <c r="TPB91" s="609"/>
      <c r="TPC91" s="609"/>
      <c r="TPD91" s="609"/>
      <c r="TPE91" s="609"/>
      <c r="TPF91" s="609"/>
      <c r="TPG91" s="609"/>
      <c r="TPH91" s="609"/>
      <c r="TPI91" s="609"/>
      <c r="TPJ91" s="609"/>
      <c r="TPK91" s="609"/>
      <c r="TPL91" s="609"/>
      <c r="TPM91" s="609"/>
      <c r="TPN91" s="609"/>
      <c r="TPO91" s="609"/>
      <c r="TPP91" s="609"/>
      <c r="TPQ91" s="609"/>
      <c r="TPR91" s="609"/>
      <c r="TPS91" s="609"/>
      <c r="TPT91" s="609"/>
      <c r="TPU91" s="609"/>
      <c r="TPV91" s="609"/>
      <c r="TPW91" s="609"/>
      <c r="TPX91" s="609"/>
      <c r="TPY91" s="609"/>
      <c r="TPZ91" s="609"/>
      <c r="TQA91" s="609"/>
      <c r="TQB91" s="609"/>
      <c r="TQC91" s="609"/>
      <c r="TQD91" s="609"/>
      <c r="TQE91" s="609"/>
      <c r="TQF91" s="609"/>
      <c r="TQG91" s="609"/>
      <c r="TQH91" s="609"/>
      <c r="TQI91" s="609"/>
      <c r="TQJ91" s="609"/>
      <c r="TQK91" s="609"/>
      <c r="TQL91" s="609"/>
      <c r="TQM91" s="609"/>
      <c r="TQN91" s="609"/>
      <c r="TQO91" s="609"/>
      <c r="TQP91" s="609"/>
      <c r="TQQ91" s="609"/>
      <c r="TQR91" s="609"/>
      <c r="TQS91" s="609"/>
      <c r="TQT91" s="609"/>
      <c r="TQU91" s="609"/>
      <c r="TQV91" s="609"/>
      <c r="TQW91" s="609"/>
      <c r="TQX91" s="609"/>
      <c r="TQY91" s="609"/>
      <c r="TQZ91" s="609"/>
      <c r="TRA91" s="609"/>
      <c r="TRB91" s="609"/>
      <c r="TRC91" s="609"/>
      <c r="TRD91" s="609"/>
      <c r="TRE91" s="609"/>
      <c r="TRF91" s="609"/>
      <c r="TRG91" s="609"/>
      <c r="TRH91" s="609"/>
      <c r="TRI91" s="609"/>
      <c r="TRJ91" s="609"/>
      <c r="TRK91" s="609"/>
      <c r="TRL91" s="609"/>
      <c r="TRM91" s="609"/>
      <c r="TRN91" s="609"/>
      <c r="TRO91" s="609"/>
      <c r="TRP91" s="609"/>
      <c r="TRQ91" s="609"/>
      <c r="TRR91" s="609"/>
      <c r="TRS91" s="609"/>
      <c r="TRT91" s="609"/>
      <c r="TRU91" s="609"/>
      <c r="TRV91" s="609"/>
      <c r="TRW91" s="609"/>
      <c r="TRX91" s="609"/>
      <c r="TRY91" s="609"/>
      <c r="TRZ91" s="609"/>
      <c r="TSA91" s="609"/>
      <c r="TSB91" s="609"/>
      <c r="TSC91" s="609"/>
      <c r="TSD91" s="609"/>
      <c r="TSE91" s="609"/>
      <c r="TSF91" s="609"/>
      <c r="TSG91" s="609"/>
      <c r="TSH91" s="609"/>
      <c r="TSI91" s="609"/>
      <c r="TSJ91" s="609"/>
      <c r="TSK91" s="609"/>
      <c r="TSL91" s="609"/>
      <c r="TSM91" s="609"/>
      <c r="TSN91" s="609"/>
      <c r="TSO91" s="609"/>
      <c r="TSP91" s="609"/>
      <c r="TSQ91" s="609"/>
      <c r="TSR91" s="609"/>
      <c r="TSS91" s="609"/>
      <c r="TST91" s="609"/>
      <c r="TSU91" s="609"/>
      <c r="TSV91" s="609"/>
      <c r="TSW91" s="609"/>
      <c r="TSX91" s="609"/>
      <c r="TSY91" s="609"/>
      <c r="TSZ91" s="609"/>
      <c r="TTA91" s="609"/>
      <c r="TTB91" s="609"/>
      <c r="TTC91" s="609"/>
      <c r="TTD91" s="609"/>
      <c r="TTE91" s="609"/>
      <c r="TTF91" s="609"/>
      <c r="TTG91" s="609"/>
      <c r="TTH91" s="609"/>
      <c r="TTI91" s="609"/>
      <c r="TTJ91" s="609"/>
      <c r="TTK91" s="609"/>
      <c r="TTL91" s="609"/>
      <c r="TTM91" s="609"/>
      <c r="TTN91" s="609"/>
      <c r="TTO91" s="609"/>
      <c r="TTP91" s="609"/>
      <c r="TTQ91" s="609"/>
      <c r="TTR91" s="609"/>
      <c r="TTS91" s="609"/>
      <c r="TTT91" s="609"/>
      <c r="TTU91" s="609"/>
      <c r="TTV91" s="609"/>
      <c r="TTW91" s="609"/>
      <c r="TTX91" s="609"/>
      <c r="TTY91" s="609"/>
      <c r="TTZ91" s="609"/>
      <c r="TUA91" s="609"/>
      <c r="TUB91" s="609"/>
      <c r="TUC91" s="609"/>
      <c r="TUD91" s="609"/>
      <c r="TUE91" s="609"/>
      <c r="TUF91" s="609"/>
      <c r="TUG91" s="609"/>
      <c r="TUH91" s="609"/>
      <c r="TUI91" s="609"/>
      <c r="TUJ91" s="609"/>
      <c r="TUK91" s="609"/>
      <c r="TUL91" s="609"/>
      <c r="TUM91" s="609"/>
      <c r="TUN91" s="609"/>
      <c r="TUO91" s="609"/>
      <c r="TUP91" s="609"/>
      <c r="TUQ91" s="609"/>
      <c r="TUR91" s="609"/>
      <c r="TUS91" s="609"/>
      <c r="TUT91" s="609"/>
      <c r="TUU91" s="609"/>
      <c r="TUV91" s="609"/>
      <c r="TUW91" s="609"/>
      <c r="TUX91" s="609"/>
      <c r="TUY91" s="609"/>
      <c r="TUZ91" s="609"/>
      <c r="TVA91" s="609"/>
      <c r="TVB91" s="609"/>
      <c r="TVC91" s="609"/>
      <c r="TVD91" s="609"/>
      <c r="TVE91" s="609"/>
      <c r="TVF91" s="609"/>
      <c r="TVG91" s="609"/>
      <c r="TVH91" s="609"/>
      <c r="TVI91" s="609"/>
      <c r="TVJ91" s="609"/>
      <c r="TVK91" s="609"/>
      <c r="TVL91" s="609"/>
      <c r="TVM91" s="609"/>
      <c r="TVN91" s="609"/>
      <c r="TVO91" s="609"/>
      <c r="TVP91" s="609"/>
      <c r="TVQ91" s="609"/>
      <c r="TVR91" s="609"/>
      <c r="TVS91" s="609"/>
      <c r="TVT91" s="609"/>
      <c r="TVU91" s="609"/>
      <c r="TVV91" s="609"/>
      <c r="TVW91" s="609"/>
      <c r="TVX91" s="609"/>
      <c r="TVY91" s="609"/>
      <c r="TVZ91" s="609"/>
      <c r="TWA91" s="609"/>
      <c r="TWB91" s="609"/>
      <c r="TWC91" s="609"/>
      <c r="TWD91" s="609"/>
      <c r="TWE91" s="609"/>
      <c r="TWF91" s="609"/>
      <c r="TWG91" s="609"/>
      <c r="TWH91" s="609"/>
      <c r="TWI91" s="609"/>
      <c r="TWJ91" s="609"/>
      <c r="TWK91" s="609"/>
      <c r="TWL91" s="609"/>
      <c r="TWM91" s="609"/>
      <c r="TWN91" s="609"/>
      <c r="TWO91" s="609"/>
      <c r="TWP91" s="609"/>
      <c r="TWQ91" s="609"/>
      <c r="TWR91" s="609"/>
      <c r="TWS91" s="609"/>
      <c r="TWT91" s="609"/>
      <c r="TWU91" s="609"/>
      <c r="TWV91" s="609"/>
      <c r="TWW91" s="609"/>
      <c r="TWX91" s="609"/>
      <c r="TWY91" s="609"/>
      <c r="TWZ91" s="609"/>
      <c r="TXA91" s="609"/>
      <c r="TXB91" s="609"/>
      <c r="TXC91" s="609"/>
      <c r="TXD91" s="609"/>
      <c r="TXE91" s="609"/>
      <c r="TXF91" s="609"/>
      <c r="TXG91" s="609"/>
      <c r="TXH91" s="609"/>
      <c r="TXI91" s="609"/>
      <c r="TXJ91" s="609"/>
      <c r="TXK91" s="609"/>
      <c r="TXL91" s="609"/>
      <c r="TXM91" s="609"/>
      <c r="TXN91" s="609"/>
      <c r="TXO91" s="609"/>
      <c r="TXP91" s="609"/>
      <c r="TXQ91" s="609"/>
      <c r="TXR91" s="609"/>
      <c r="TXS91" s="609"/>
      <c r="TXT91" s="609"/>
      <c r="TXU91" s="609"/>
      <c r="TXV91" s="609"/>
      <c r="TXW91" s="609"/>
      <c r="TXX91" s="609"/>
      <c r="TXY91" s="609"/>
      <c r="TXZ91" s="609"/>
      <c r="TYA91" s="609"/>
      <c r="TYB91" s="609"/>
      <c r="TYC91" s="609"/>
      <c r="TYD91" s="609"/>
      <c r="TYE91" s="609"/>
      <c r="TYF91" s="609"/>
      <c r="TYG91" s="609"/>
      <c r="TYH91" s="609"/>
      <c r="TYI91" s="609"/>
      <c r="TYJ91" s="609"/>
      <c r="TYK91" s="609"/>
      <c r="TYL91" s="609"/>
      <c r="TYM91" s="609"/>
      <c r="TYN91" s="609"/>
      <c r="TYO91" s="609"/>
      <c r="TYP91" s="609"/>
      <c r="TYQ91" s="609"/>
      <c r="TYR91" s="609"/>
      <c r="TYS91" s="609"/>
      <c r="TYT91" s="609"/>
      <c r="TYU91" s="609"/>
      <c r="TYV91" s="609"/>
      <c r="TYW91" s="609"/>
      <c r="TYX91" s="609"/>
      <c r="TYY91" s="609"/>
      <c r="TYZ91" s="609"/>
      <c r="TZA91" s="609"/>
      <c r="TZB91" s="609"/>
      <c r="TZC91" s="609"/>
      <c r="TZD91" s="609"/>
      <c r="TZE91" s="609"/>
      <c r="TZF91" s="609"/>
      <c r="TZG91" s="609"/>
      <c r="TZH91" s="609"/>
      <c r="TZI91" s="609"/>
      <c r="TZJ91" s="609"/>
      <c r="TZK91" s="609"/>
      <c r="TZL91" s="609"/>
      <c r="TZM91" s="609"/>
      <c r="TZN91" s="609"/>
      <c r="TZO91" s="609"/>
      <c r="TZP91" s="609"/>
      <c r="TZQ91" s="609"/>
      <c r="TZR91" s="609"/>
      <c r="TZS91" s="609"/>
      <c r="TZT91" s="609"/>
      <c r="TZU91" s="609"/>
      <c r="TZV91" s="609"/>
      <c r="TZW91" s="609"/>
      <c r="TZX91" s="609"/>
      <c r="TZY91" s="609"/>
      <c r="TZZ91" s="609"/>
      <c r="UAA91" s="609"/>
      <c r="UAB91" s="609"/>
      <c r="UAC91" s="609"/>
      <c r="UAD91" s="609"/>
      <c r="UAE91" s="609"/>
      <c r="UAF91" s="609"/>
      <c r="UAG91" s="609"/>
      <c r="UAH91" s="609"/>
      <c r="UAI91" s="609"/>
      <c r="UAJ91" s="609"/>
      <c r="UAK91" s="609"/>
      <c r="UAL91" s="609"/>
      <c r="UAM91" s="609"/>
      <c r="UAN91" s="609"/>
      <c r="UAO91" s="609"/>
      <c r="UAP91" s="609"/>
      <c r="UAQ91" s="609"/>
      <c r="UAR91" s="609"/>
      <c r="UAS91" s="609"/>
      <c r="UAT91" s="609"/>
      <c r="UAU91" s="609"/>
      <c r="UAV91" s="609"/>
      <c r="UAW91" s="609"/>
      <c r="UAX91" s="609"/>
      <c r="UAY91" s="609"/>
      <c r="UAZ91" s="609"/>
      <c r="UBA91" s="609"/>
      <c r="UBB91" s="609"/>
      <c r="UBC91" s="609"/>
      <c r="UBD91" s="609"/>
      <c r="UBE91" s="609"/>
      <c r="UBF91" s="609"/>
      <c r="UBG91" s="609"/>
      <c r="UBH91" s="609"/>
      <c r="UBI91" s="609"/>
      <c r="UBJ91" s="609"/>
      <c r="UBK91" s="609"/>
      <c r="UBL91" s="609"/>
      <c r="UBM91" s="609"/>
      <c r="UBN91" s="609"/>
      <c r="UBO91" s="609"/>
      <c r="UBP91" s="609"/>
      <c r="UBQ91" s="609"/>
      <c r="UBR91" s="609"/>
      <c r="UBS91" s="609"/>
      <c r="UBT91" s="609"/>
      <c r="UBU91" s="609"/>
      <c r="UBV91" s="609"/>
      <c r="UBW91" s="609"/>
      <c r="UBX91" s="609"/>
      <c r="UBY91" s="609"/>
      <c r="UBZ91" s="609"/>
      <c r="UCA91" s="609"/>
      <c r="UCB91" s="609"/>
      <c r="UCC91" s="609"/>
      <c r="UCD91" s="609"/>
      <c r="UCE91" s="609"/>
      <c r="UCF91" s="609"/>
      <c r="UCG91" s="609"/>
      <c r="UCH91" s="609"/>
      <c r="UCI91" s="609"/>
      <c r="UCJ91" s="609"/>
      <c r="UCK91" s="609"/>
      <c r="UCL91" s="609"/>
      <c r="UCM91" s="609"/>
      <c r="UCN91" s="609"/>
      <c r="UCO91" s="609"/>
      <c r="UCP91" s="609"/>
      <c r="UCQ91" s="609"/>
      <c r="UCR91" s="609"/>
      <c r="UCS91" s="609"/>
      <c r="UCT91" s="609"/>
      <c r="UCU91" s="609"/>
      <c r="UCV91" s="609"/>
      <c r="UCW91" s="609"/>
      <c r="UCX91" s="609"/>
      <c r="UCY91" s="609"/>
      <c r="UCZ91" s="609"/>
      <c r="UDA91" s="609"/>
      <c r="UDB91" s="609"/>
      <c r="UDC91" s="609"/>
      <c r="UDD91" s="609"/>
      <c r="UDE91" s="609"/>
      <c r="UDF91" s="609"/>
      <c r="UDG91" s="609"/>
      <c r="UDH91" s="609"/>
      <c r="UDI91" s="609"/>
      <c r="UDJ91" s="609"/>
      <c r="UDK91" s="609"/>
      <c r="UDL91" s="609"/>
      <c r="UDM91" s="609"/>
      <c r="UDN91" s="609"/>
      <c r="UDO91" s="609"/>
      <c r="UDP91" s="609"/>
      <c r="UDQ91" s="609"/>
      <c r="UDR91" s="609"/>
      <c r="UDS91" s="609"/>
      <c r="UDT91" s="609"/>
      <c r="UDU91" s="609"/>
      <c r="UDV91" s="609"/>
      <c r="UDW91" s="609"/>
      <c r="UDX91" s="609"/>
      <c r="UDY91" s="609"/>
      <c r="UDZ91" s="609"/>
      <c r="UEA91" s="609"/>
      <c r="UEB91" s="609"/>
      <c r="UEC91" s="609"/>
      <c r="UED91" s="609"/>
      <c r="UEE91" s="609"/>
      <c r="UEF91" s="609"/>
      <c r="UEG91" s="609"/>
      <c r="UEH91" s="609"/>
      <c r="UEI91" s="609"/>
      <c r="UEJ91" s="609"/>
      <c r="UEK91" s="609"/>
      <c r="UEL91" s="609"/>
      <c r="UEM91" s="609"/>
      <c r="UEN91" s="609"/>
      <c r="UEO91" s="609"/>
      <c r="UEP91" s="609"/>
      <c r="UEQ91" s="609"/>
      <c r="UER91" s="609"/>
      <c r="UES91" s="609"/>
      <c r="UET91" s="609"/>
      <c r="UEU91" s="609"/>
      <c r="UEV91" s="609"/>
      <c r="UEW91" s="609"/>
      <c r="UEX91" s="609"/>
      <c r="UEY91" s="609"/>
      <c r="UEZ91" s="609"/>
      <c r="UFA91" s="609"/>
      <c r="UFB91" s="609"/>
      <c r="UFC91" s="609"/>
      <c r="UFD91" s="609"/>
      <c r="UFE91" s="609"/>
      <c r="UFF91" s="609"/>
      <c r="UFG91" s="609"/>
      <c r="UFH91" s="609"/>
      <c r="UFI91" s="609"/>
      <c r="UFJ91" s="609"/>
      <c r="UFK91" s="609"/>
      <c r="UFL91" s="609"/>
      <c r="UFM91" s="609"/>
      <c r="UFN91" s="609"/>
      <c r="UFO91" s="609"/>
      <c r="UFP91" s="609"/>
      <c r="UFQ91" s="609"/>
      <c r="UFR91" s="609"/>
      <c r="UFS91" s="609"/>
      <c r="UFT91" s="609"/>
      <c r="UFU91" s="609"/>
      <c r="UFV91" s="609"/>
      <c r="UFW91" s="609"/>
      <c r="UFX91" s="609"/>
      <c r="UFY91" s="609"/>
      <c r="UFZ91" s="609"/>
      <c r="UGA91" s="609"/>
      <c r="UGB91" s="609"/>
      <c r="UGC91" s="609"/>
      <c r="UGD91" s="609"/>
      <c r="UGE91" s="609"/>
      <c r="UGF91" s="609"/>
      <c r="UGG91" s="609"/>
      <c r="UGH91" s="609"/>
      <c r="UGI91" s="609"/>
      <c r="UGJ91" s="609"/>
      <c r="UGK91" s="609"/>
      <c r="UGL91" s="609"/>
      <c r="UGM91" s="609"/>
      <c r="UGN91" s="609"/>
      <c r="UGO91" s="609"/>
      <c r="UGP91" s="609"/>
      <c r="UGQ91" s="609"/>
      <c r="UGR91" s="609"/>
      <c r="UGS91" s="609"/>
      <c r="UGT91" s="609"/>
      <c r="UGU91" s="609"/>
      <c r="UGV91" s="609"/>
      <c r="UGW91" s="609"/>
      <c r="UGX91" s="609"/>
      <c r="UGY91" s="609"/>
      <c r="UGZ91" s="609"/>
      <c r="UHA91" s="609"/>
      <c r="UHB91" s="609"/>
      <c r="UHC91" s="609"/>
      <c r="UHD91" s="609"/>
      <c r="UHE91" s="609"/>
      <c r="UHF91" s="609"/>
      <c r="UHG91" s="609"/>
      <c r="UHH91" s="609"/>
      <c r="UHI91" s="609"/>
      <c r="UHJ91" s="609"/>
      <c r="UHK91" s="609"/>
      <c r="UHL91" s="609"/>
      <c r="UHM91" s="609"/>
      <c r="UHN91" s="609"/>
      <c r="UHO91" s="609"/>
      <c r="UHP91" s="609"/>
      <c r="UHQ91" s="609"/>
      <c r="UHR91" s="609"/>
      <c r="UHS91" s="609"/>
      <c r="UHT91" s="609"/>
      <c r="UHU91" s="609"/>
      <c r="UHV91" s="609"/>
      <c r="UHW91" s="609"/>
      <c r="UHX91" s="609"/>
      <c r="UHY91" s="609"/>
      <c r="UHZ91" s="609"/>
      <c r="UIA91" s="609"/>
      <c r="UIB91" s="609"/>
      <c r="UIC91" s="609"/>
      <c r="UID91" s="609"/>
      <c r="UIE91" s="609"/>
      <c r="UIF91" s="609"/>
      <c r="UIG91" s="609"/>
      <c r="UIH91" s="609"/>
      <c r="UII91" s="609"/>
      <c r="UIJ91" s="609"/>
      <c r="UIK91" s="609"/>
      <c r="UIL91" s="609"/>
      <c r="UIM91" s="609"/>
      <c r="UIN91" s="609"/>
      <c r="UIO91" s="609"/>
      <c r="UIP91" s="609"/>
      <c r="UIQ91" s="609"/>
      <c r="UIR91" s="609"/>
      <c r="UIS91" s="609"/>
      <c r="UIT91" s="609"/>
      <c r="UIU91" s="609"/>
      <c r="UIV91" s="609"/>
      <c r="UIW91" s="609"/>
      <c r="UIX91" s="609"/>
      <c r="UIY91" s="609"/>
      <c r="UIZ91" s="609"/>
      <c r="UJA91" s="609"/>
      <c r="UJB91" s="609"/>
      <c r="UJC91" s="609"/>
      <c r="UJD91" s="609"/>
      <c r="UJE91" s="609"/>
      <c r="UJF91" s="609"/>
      <c r="UJG91" s="609"/>
      <c r="UJH91" s="609"/>
      <c r="UJI91" s="609"/>
      <c r="UJJ91" s="609"/>
      <c r="UJK91" s="609"/>
      <c r="UJL91" s="609"/>
      <c r="UJM91" s="609"/>
      <c r="UJN91" s="609"/>
      <c r="UJO91" s="609"/>
      <c r="UJP91" s="609"/>
      <c r="UJQ91" s="609"/>
      <c r="UJR91" s="609"/>
      <c r="UJS91" s="609"/>
      <c r="UJT91" s="609"/>
      <c r="UJU91" s="609"/>
      <c r="UJV91" s="609"/>
      <c r="UJW91" s="609"/>
      <c r="UJX91" s="609"/>
      <c r="UJY91" s="609"/>
      <c r="UJZ91" s="609"/>
      <c r="UKA91" s="609"/>
      <c r="UKB91" s="609"/>
      <c r="UKC91" s="609"/>
      <c r="UKD91" s="609"/>
      <c r="UKE91" s="609"/>
      <c r="UKF91" s="609"/>
      <c r="UKG91" s="609"/>
      <c r="UKH91" s="609"/>
      <c r="UKI91" s="609"/>
      <c r="UKJ91" s="609"/>
      <c r="UKK91" s="609"/>
      <c r="UKL91" s="609"/>
      <c r="UKM91" s="609"/>
      <c r="UKN91" s="609"/>
      <c r="UKO91" s="609"/>
      <c r="UKP91" s="609"/>
      <c r="UKQ91" s="609"/>
      <c r="UKR91" s="609"/>
      <c r="UKS91" s="609"/>
      <c r="UKT91" s="609"/>
      <c r="UKU91" s="609"/>
      <c r="UKV91" s="609"/>
      <c r="UKW91" s="609"/>
      <c r="UKX91" s="609"/>
      <c r="UKY91" s="609"/>
      <c r="UKZ91" s="609"/>
      <c r="ULA91" s="609"/>
      <c r="ULB91" s="609"/>
      <c r="ULC91" s="609"/>
      <c r="ULD91" s="609"/>
      <c r="ULE91" s="609"/>
      <c r="ULF91" s="609"/>
      <c r="ULG91" s="609"/>
      <c r="ULH91" s="609"/>
      <c r="ULI91" s="609"/>
      <c r="ULJ91" s="609"/>
      <c r="ULK91" s="609"/>
      <c r="ULL91" s="609"/>
      <c r="ULM91" s="609"/>
      <c r="ULN91" s="609"/>
      <c r="ULO91" s="609"/>
      <c r="ULP91" s="609"/>
      <c r="ULQ91" s="609"/>
      <c r="ULR91" s="609"/>
      <c r="ULS91" s="609"/>
      <c r="ULT91" s="609"/>
      <c r="ULU91" s="609"/>
      <c r="ULV91" s="609"/>
      <c r="ULW91" s="609"/>
      <c r="ULX91" s="609"/>
      <c r="ULY91" s="609"/>
      <c r="ULZ91" s="609"/>
      <c r="UMA91" s="609"/>
      <c r="UMB91" s="609"/>
      <c r="UMC91" s="609"/>
      <c r="UMD91" s="609"/>
      <c r="UME91" s="609"/>
      <c r="UMF91" s="609"/>
      <c r="UMG91" s="609"/>
      <c r="UMH91" s="609"/>
      <c r="UMI91" s="609"/>
      <c r="UMJ91" s="609"/>
      <c r="UMK91" s="609"/>
      <c r="UML91" s="609"/>
      <c r="UMM91" s="609"/>
      <c r="UMN91" s="609"/>
      <c r="UMO91" s="609"/>
      <c r="UMP91" s="609"/>
      <c r="UMQ91" s="609"/>
      <c r="UMR91" s="609"/>
      <c r="UMS91" s="609"/>
      <c r="UMT91" s="609"/>
      <c r="UMU91" s="609"/>
      <c r="UMV91" s="609"/>
      <c r="UMW91" s="609"/>
      <c r="UMX91" s="609"/>
      <c r="UMY91" s="609"/>
      <c r="UMZ91" s="609"/>
      <c r="UNA91" s="609"/>
      <c r="UNB91" s="609"/>
      <c r="UNC91" s="609"/>
      <c r="UND91" s="609"/>
      <c r="UNE91" s="609"/>
      <c r="UNF91" s="609"/>
      <c r="UNG91" s="609"/>
      <c r="UNH91" s="609"/>
      <c r="UNI91" s="609"/>
      <c r="UNJ91" s="609"/>
      <c r="UNK91" s="609"/>
      <c r="UNL91" s="609"/>
      <c r="UNM91" s="609"/>
      <c r="UNN91" s="609"/>
      <c r="UNO91" s="609"/>
      <c r="UNP91" s="609"/>
      <c r="UNQ91" s="609"/>
      <c r="UNR91" s="609"/>
      <c r="UNS91" s="609"/>
      <c r="UNT91" s="609"/>
      <c r="UNU91" s="609"/>
      <c r="UNV91" s="609"/>
      <c r="UNW91" s="609"/>
      <c r="UNX91" s="609"/>
      <c r="UNY91" s="609"/>
      <c r="UNZ91" s="609"/>
      <c r="UOA91" s="609"/>
      <c r="UOB91" s="609"/>
      <c r="UOC91" s="609"/>
      <c r="UOD91" s="609"/>
      <c r="UOE91" s="609"/>
      <c r="UOF91" s="609"/>
      <c r="UOG91" s="609"/>
      <c r="UOH91" s="609"/>
      <c r="UOI91" s="609"/>
      <c r="UOJ91" s="609"/>
      <c r="UOK91" s="609"/>
      <c r="UOL91" s="609"/>
      <c r="UOM91" s="609"/>
      <c r="UON91" s="609"/>
      <c r="UOO91" s="609"/>
      <c r="UOP91" s="609"/>
      <c r="UOQ91" s="609"/>
      <c r="UOR91" s="609"/>
      <c r="UOS91" s="609"/>
      <c r="UOT91" s="609"/>
      <c r="UOU91" s="609"/>
      <c r="UOV91" s="609"/>
      <c r="UOW91" s="609"/>
      <c r="UOX91" s="609"/>
      <c r="UOY91" s="609"/>
      <c r="UOZ91" s="609"/>
      <c r="UPA91" s="609"/>
      <c r="UPB91" s="609"/>
      <c r="UPC91" s="609"/>
      <c r="UPD91" s="609"/>
      <c r="UPE91" s="609"/>
      <c r="UPF91" s="609"/>
      <c r="UPG91" s="609"/>
      <c r="UPH91" s="609"/>
      <c r="UPI91" s="609"/>
      <c r="UPJ91" s="609"/>
      <c r="UPK91" s="609"/>
      <c r="UPL91" s="609"/>
      <c r="UPM91" s="609"/>
      <c r="UPN91" s="609"/>
      <c r="UPO91" s="609"/>
      <c r="UPP91" s="609"/>
      <c r="UPQ91" s="609"/>
      <c r="UPR91" s="609"/>
      <c r="UPS91" s="609"/>
      <c r="UPT91" s="609"/>
      <c r="UPU91" s="609"/>
      <c r="UPV91" s="609"/>
      <c r="UPW91" s="609"/>
      <c r="UPX91" s="609"/>
      <c r="UPY91" s="609"/>
      <c r="UPZ91" s="609"/>
      <c r="UQA91" s="609"/>
      <c r="UQB91" s="609"/>
      <c r="UQC91" s="609"/>
      <c r="UQD91" s="609"/>
      <c r="UQE91" s="609"/>
      <c r="UQF91" s="609"/>
      <c r="UQG91" s="609"/>
      <c r="UQH91" s="609"/>
      <c r="UQI91" s="609"/>
      <c r="UQJ91" s="609"/>
      <c r="UQK91" s="609"/>
      <c r="UQL91" s="609"/>
      <c r="UQM91" s="609"/>
      <c r="UQN91" s="609"/>
      <c r="UQO91" s="609"/>
      <c r="UQP91" s="609"/>
      <c r="UQQ91" s="609"/>
      <c r="UQR91" s="609"/>
      <c r="UQS91" s="609"/>
      <c r="UQT91" s="609"/>
      <c r="UQU91" s="609"/>
      <c r="UQV91" s="609"/>
      <c r="UQW91" s="609"/>
      <c r="UQX91" s="609"/>
      <c r="UQY91" s="609"/>
      <c r="UQZ91" s="609"/>
      <c r="URA91" s="609"/>
      <c r="URB91" s="609"/>
      <c r="URC91" s="609"/>
      <c r="URD91" s="609"/>
      <c r="URE91" s="609"/>
      <c r="URF91" s="609"/>
      <c r="URG91" s="609"/>
      <c r="URH91" s="609"/>
      <c r="URI91" s="609"/>
      <c r="URJ91" s="609"/>
      <c r="URK91" s="609"/>
      <c r="URL91" s="609"/>
      <c r="URM91" s="609"/>
      <c r="URN91" s="609"/>
      <c r="URO91" s="609"/>
      <c r="URP91" s="609"/>
      <c r="URQ91" s="609"/>
      <c r="URR91" s="609"/>
      <c r="URS91" s="609"/>
      <c r="URT91" s="609"/>
      <c r="URU91" s="609"/>
      <c r="URV91" s="609"/>
      <c r="URW91" s="609"/>
      <c r="URX91" s="609"/>
      <c r="URY91" s="609"/>
      <c r="URZ91" s="609"/>
      <c r="USA91" s="609"/>
      <c r="USB91" s="609"/>
      <c r="USC91" s="609"/>
      <c r="USD91" s="609"/>
      <c r="USE91" s="609"/>
      <c r="USF91" s="609"/>
      <c r="USG91" s="609"/>
      <c r="USH91" s="609"/>
      <c r="USI91" s="609"/>
      <c r="USJ91" s="609"/>
      <c r="USK91" s="609"/>
      <c r="USL91" s="609"/>
      <c r="USM91" s="609"/>
      <c r="USN91" s="609"/>
      <c r="USO91" s="609"/>
      <c r="USP91" s="609"/>
      <c r="USQ91" s="609"/>
      <c r="USR91" s="609"/>
      <c r="USS91" s="609"/>
      <c r="UST91" s="609"/>
      <c r="USU91" s="609"/>
      <c r="USV91" s="609"/>
      <c r="USW91" s="609"/>
      <c r="USX91" s="609"/>
      <c r="USY91" s="609"/>
      <c r="USZ91" s="609"/>
      <c r="UTA91" s="609"/>
      <c r="UTB91" s="609"/>
      <c r="UTC91" s="609"/>
      <c r="UTD91" s="609"/>
      <c r="UTE91" s="609"/>
      <c r="UTF91" s="609"/>
      <c r="UTG91" s="609"/>
      <c r="UTH91" s="609"/>
      <c r="UTI91" s="609"/>
      <c r="UTJ91" s="609"/>
      <c r="UTK91" s="609"/>
      <c r="UTL91" s="609"/>
      <c r="UTM91" s="609"/>
      <c r="UTN91" s="609"/>
      <c r="UTO91" s="609"/>
      <c r="UTP91" s="609"/>
      <c r="UTQ91" s="609"/>
      <c r="UTR91" s="609"/>
      <c r="UTS91" s="609"/>
      <c r="UTT91" s="609"/>
      <c r="UTU91" s="609"/>
      <c r="UTV91" s="609"/>
      <c r="UTW91" s="609"/>
      <c r="UTX91" s="609"/>
      <c r="UTY91" s="609"/>
      <c r="UTZ91" s="609"/>
      <c r="UUA91" s="609"/>
      <c r="UUB91" s="609"/>
      <c r="UUC91" s="609"/>
      <c r="UUD91" s="609"/>
      <c r="UUE91" s="609"/>
      <c r="UUF91" s="609"/>
      <c r="UUG91" s="609"/>
      <c r="UUH91" s="609"/>
      <c r="UUI91" s="609"/>
      <c r="UUJ91" s="609"/>
      <c r="UUK91" s="609"/>
      <c r="UUL91" s="609"/>
      <c r="UUM91" s="609"/>
      <c r="UUN91" s="609"/>
      <c r="UUO91" s="609"/>
      <c r="UUP91" s="609"/>
      <c r="UUQ91" s="609"/>
      <c r="UUR91" s="609"/>
      <c r="UUS91" s="609"/>
      <c r="UUT91" s="609"/>
      <c r="UUU91" s="609"/>
      <c r="UUV91" s="609"/>
      <c r="UUW91" s="609"/>
      <c r="UUX91" s="609"/>
      <c r="UUY91" s="609"/>
      <c r="UUZ91" s="609"/>
      <c r="UVA91" s="609"/>
      <c r="UVB91" s="609"/>
      <c r="UVC91" s="609"/>
      <c r="UVD91" s="609"/>
      <c r="UVE91" s="609"/>
      <c r="UVF91" s="609"/>
      <c r="UVG91" s="609"/>
      <c r="UVH91" s="609"/>
      <c r="UVI91" s="609"/>
      <c r="UVJ91" s="609"/>
      <c r="UVK91" s="609"/>
      <c r="UVL91" s="609"/>
      <c r="UVM91" s="609"/>
      <c r="UVN91" s="609"/>
      <c r="UVO91" s="609"/>
      <c r="UVP91" s="609"/>
      <c r="UVQ91" s="609"/>
      <c r="UVR91" s="609"/>
      <c r="UVS91" s="609"/>
      <c r="UVT91" s="609"/>
      <c r="UVU91" s="609"/>
      <c r="UVV91" s="609"/>
      <c r="UVW91" s="609"/>
      <c r="UVX91" s="609"/>
      <c r="UVY91" s="609"/>
      <c r="UVZ91" s="609"/>
      <c r="UWA91" s="609"/>
      <c r="UWB91" s="609"/>
      <c r="UWC91" s="609"/>
      <c r="UWD91" s="609"/>
      <c r="UWE91" s="609"/>
      <c r="UWF91" s="609"/>
      <c r="UWG91" s="609"/>
      <c r="UWH91" s="609"/>
      <c r="UWI91" s="609"/>
      <c r="UWJ91" s="609"/>
      <c r="UWK91" s="609"/>
      <c r="UWL91" s="609"/>
      <c r="UWM91" s="609"/>
      <c r="UWN91" s="609"/>
      <c r="UWO91" s="609"/>
      <c r="UWP91" s="609"/>
      <c r="UWQ91" s="609"/>
      <c r="UWR91" s="609"/>
      <c r="UWS91" s="609"/>
      <c r="UWT91" s="609"/>
      <c r="UWU91" s="609"/>
      <c r="UWV91" s="609"/>
      <c r="UWW91" s="609"/>
      <c r="UWX91" s="609"/>
      <c r="UWY91" s="609"/>
      <c r="UWZ91" s="609"/>
      <c r="UXA91" s="609"/>
      <c r="UXB91" s="609"/>
      <c r="UXC91" s="609"/>
      <c r="UXD91" s="609"/>
      <c r="UXE91" s="609"/>
      <c r="UXF91" s="609"/>
      <c r="UXG91" s="609"/>
      <c r="UXH91" s="609"/>
      <c r="UXI91" s="609"/>
      <c r="UXJ91" s="609"/>
      <c r="UXK91" s="609"/>
      <c r="UXL91" s="609"/>
      <c r="UXM91" s="609"/>
      <c r="UXN91" s="609"/>
      <c r="UXO91" s="609"/>
      <c r="UXP91" s="609"/>
      <c r="UXQ91" s="609"/>
      <c r="UXR91" s="609"/>
      <c r="UXS91" s="609"/>
      <c r="UXT91" s="609"/>
      <c r="UXU91" s="609"/>
      <c r="UXV91" s="609"/>
      <c r="UXW91" s="609"/>
      <c r="UXX91" s="609"/>
      <c r="UXY91" s="609"/>
      <c r="UXZ91" s="609"/>
      <c r="UYA91" s="609"/>
      <c r="UYB91" s="609"/>
      <c r="UYC91" s="609"/>
      <c r="UYD91" s="609"/>
      <c r="UYE91" s="609"/>
      <c r="UYF91" s="609"/>
      <c r="UYG91" s="609"/>
      <c r="UYH91" s="609"/>
      <c r="UYI91" s="609"/>
      <c r="UYJ91" s="609"/>
      <c r="UYK91" s="609"/>
      <c r="UYL91" s="609"/>
      <c r="UYM91" s="609"/>
      <c r="UYN91" s="609"/>
      <c r="UYO91" s="609"/>
      <c r="UYP91" s="609"/>
      <c r="UYQ91" s="609"/>
      <c r="UYR91" s="609"/>
      <c r="UYS91" s="609"/>
      <c r="UYT91" s="609"/>
      <c r="UYU91" s="609"/>
      <c r="UYV91" s="609"/>
      <c r="UYW91" s="609"/>
      <c r="UYX91" s="609"/>
      <c r="UYY91" s="609"/>
      <c r="UYZ91" s="609"/>
      <c r="UZA91" s="609"/>
      <c r="UZB91" s="609"/>
      <c r="UZC91" s="609"/>
      <c r="UZD91" s="609"/>
      <c r="UZE91" s="609"/>
      <c r="UZF91" s="609"/>
      <c r="UZG91" s="609"/>
      <c r="UZH91" s="609"/>
      <c r="UZI91" s="609"/>
      <c r="UZJ91" s="609"/>
      <c r="UZK91" s="609"/>
      <c r="UZL91" s="609"/>
      <c r="UZM91" s="609"/>
      <c r="UZN91" s="609"/>
      <c r="UZO91" s="609"/>
      <c r="UZP91" s="609"/>
      <c r="UZQ91" s="609"/>
      <c r="UZR91" s="609"/>
      <c r="UZS91" s="609"/>
      <c r="UZT91" s="609"/>
      <c r="UZU91" s="609"/>
      <c r="UZV91" s="609"/>
      <c r="UZW91" s="609"/>
      <c r="UZX91" s="609"/>
      <c r="UZY91" s="609"/>
      <c r="UZZ91" s="609"/>
      <c r="VAA91" s="609"/>
      <c r="VAB91" s="609"/>
      <c r="VAC91" s="609"/>
      <c r="VAD91" s="609"/>
      <c r="VAE91" s="609"/>
      <c r="VAF91" s="609"/>
      <c r="VAG91" s="609"/>
      <c r="VAH91" s="609"/>
      <c r="VAI91" s="609"/>
      <c r="VAJ91" s="609"/>
      <c r="VAK91" s="609"/>
      <c r="VAL91" s="609"/>
      <c r="VAM91" s="609"/>
      <c r="VAN91" s="609"/>
      <c r="VAO91" s="609"/>
      <c r="VAP91" s="609"/>
      <c r="VAQ91" s="609"/>
      <c r="VAR91" s="609"/>
      <c r="VAS91" s="609"/>
      <c r="VAT91" s="609"/>
      <c r="VAU91" s="609"/>
      <c r="VAV91" s="609"/>
      <c r="VAW91" s="609"/>
      <c r="VAX91" s="609"/>
      <c r="VAY91" s="609"/>
      <c r="VAZ91" s="609"/>
      <c r="VBA91" s="609"/>
      <c r="VBB91" s="609"/>
      <c r="VBC91" s="609"/>
      <c r="VBD91" s="609"/>
      <c r="VBE91" s="609"/>
      <c r="VBF91" s="609"/>
      <c r="VBG91" s="609"/>
      <c r="VBH91" s="609"/>
      <c r="VBI91" s="609"/>
      <c r="VBJ91" s="609"/>
      <c r="VBK91" s="609"/>
      <c r="VBL91" s="609"/>
      <c r="VBM91" s="609"/>
      <c r="VBN91" s="609"/>
      <c r="VBO91" s="609"/>
      <c r="VBP91" s="609"/>
      <c r="VBQ91" s="609"/>
      <c r="VBR91" s="609"/>
      <c r="VBS91" s="609"/>
      <c r="VBT91" s="609"/>
      <c r="VBU91" s="609"/>
      <c r="VBV91" s="609"/>
      <c r="VBW91" s="609"/>
      <c r="VBX91" s="609"/>
      <c r="VBY91" s="609"/>
      <c r="VBZ91" s="609"/>
      <c r="VCA91" s="609"/>
      <c r="VCB91" s="609"/>
      <c r="VCC91" s="609"/>
      <c r="VCD91" s="609"/>
      <c r="VCE91" s="609"/>
      <c r="VCF91" s="609"/>
      <c r="VCG91" s="609"/>
      <c r="VCH91" s="609"/>
      <c r="VCI91" s="609"/>
      <c r="VCJ91" s="609"/>
      <c r="VCK91" s="609"/>
      <c r="VCL91" s="609"/>
      <c r="VCM91" s="609"/>
      <c r="VCN91" s="609"/>
      <c r="VCO91" s="609"/>
      <c r="VCP91" s="609"/>
      <c r="VCQ91" s="609"/>
      <c r="VCR91" s="609"/>
      <c r="VCS91" s="609"/>
      <c r="VCT91" s="609"/>
      <c r="VCU91" s="609"/>
      <c r="VCV91" s="609"/>
      <c r="VCW91" s="609"/>
      <c r="VCX91" s="609"/>
      <c r="VCY91" s="609"/>
      <c r="VCZ91" s="609"/>
      <c r="VDA91" s="609"/>
      <c r="VDB91" s="609"/>
      <c r="VDC91" s="609"/>
      <c r="VDD91" s="609"/>
      <c r="VDE91" s="609"/>
      <c r="VDF91" s="609"/>
      <c r="VDG91" s="609"/>
      <c r="VDH91" s="609"/>
      <c r="VDI91" s="609"/>
      <c r="VDJ91" s="609"/>
      <c r="VDK91" s="609"/>
      <c r="VDL91" s="609"/>
      <c r="VDM91" s="609"/>
      <c r="VDN91" s="609"/>
      <c r="VDO91" s="609"/>
      <c r="VDP91" s="609"/>
      <c r="VDQ91" s="609"/>
      <c r="VDR91" s="609"/>
      <c r="VDS91" s="609"/>
      <c r="VDT91" s="609"/>
      <c r="VDU91" s="609"/>
      <c r="VDV91" s="609"/>
      <c r="VDW91" s="609"/>
      <c r="VDX91" s="609"/>
      <c r="VDY91" s="609"/>
      <c r="VDZ91" s="609"/>
      <c r="VEA91" s="609"/>
      <c r="VEB91" s="609"/>
      <c r="VEC91" s="609"/>
      <c r="VED91" s="609"/>
      <c r="VEE91" s="609"/>
      <c r="VEF91" s="609"/>
      <c r="VEG91" s="609"/>
      <c r="VEH91" s="609"/>
      <c r="VEI91" s="609"/>
      <c r="VEJ91" s="609"/>
      <c r="VEK91" s="609"/>
      <c r="VEL91" s="609"/>
      <c r="VEM91" s="609"/>
      <c r="VEN91" s="609"/>
      <c r="VEO91" s="609"/>
      <c r="VEP91" s="609"/>
      <c r="VEQ91" s="609"/>
      <c r="VER91" s="609"/>
      <c r="VES91" s="609"/>
      <c r="VET91" s="609"/>
      <c r="VEU91" s="609"/>
      <c r="VEV91" s="609"/>
      <c r="VEW91" s="609"/>
      <c r="VEX91" s="609"/>
      <c r="VEY91" s="609"/>
      <c r="VEZ91" s="609"/>
      <c r="VFA91" s="609"/>
      <c r="VFB91" s="609"/>
      <c r="VFC91" s="609"/>
      <c r="VFD91" s="609"/>
      <c r="VFE91" s="609"/>
      <c r="VFF91" s="609"/>
      <c r="VFG91" s="609"/>
      <c r="VFH91" s="609"/>
      <c r="VFI91" s="609"/>
      <c r="VFJ91" s="609"/>
      <c r="VFK91" s="609"/>
      <c r="VFL91" s="609"/>
      <c r="VFM91" s="609"/>
      <c r="VFN91" s="609"/>
      <c r="VFO91" s="609"/>
      <c r="VFP91" s="609"/>
      <c r="VFQ91" s="609"/>
      <c r="VFR91" s="609"/>
      <c r="VFS91" s="609"/>
      <c r="VFT91" s="609"/>
      <c r="VFU91" s="609"/>
      <c r="VFV91" s="609"/>
      <c r="VFW91" s="609"/>
      <c r="VFX91" s="609"/>
      <c r="VFY91" s="609"/>
      <c r="VFZ91" s="609"/>
      <c r="VGA91" s="609"/>
      <c r="VGB91" s="609"/>
      <c r="VGC91" s="609"/>
      <c r="VGD91" s="609"/>
      <c r="VGE91" s="609"/>
      <c r="VGF91" s="609"/>
      <c r="VGG91" s="609"/>
      <c r="VGH91" s="609"/>
      <c r="VGI91" s="609"/>
      <c r="VGJ91" s="609"/>
      <c r="VGK91" s="609"/>
      <c r="VGL91" s="609"/>
      <c r="VGM91" s="609"/>
      <c r="VGN91" s="609"/>
      <c r="VGO91" s="609"/>
      <c r="VGP91" s="609"/>
      <c r="VGQ91" s="609"/>
      <c r="VGR91" s="609"/>
      <c r="VGS91" s="609"/>
      <c r="VGT91" s="609"/>
      <c r="VGU91" s="609"/>
      <c r="VGV91" s="609"/>
      <c r="VGW91" s="609"/>
      <c r="VGX91" s="609"/>
      <c r="VGY91" s="609"/>
      <c r="VGZ91" s="609"/>
      <c r="VHA91" s="609"/>
      <c r="VHB91" s="609"/>
      <c r="VHC91" s="609"/>
      <c r="VHD91" s="609"/>
      <c r="VHE91" s="609"/>
      <c r="VHF91" s="609"/>
      <c r="VHG91" s="609"/>
      <c r="VHH91" s="609"/>
      <c r="VHI91" s="609"/>
      <c r="VHJ91" s="609"/>
      <c r="VHK91" s="609"/>
      <c r="VHL91" s="609"/>
      <c r="VHM91" s="609"/>
      <c r="VHN91" s="609"/>
      <c r="VHO91" s="609"/>
      <c r="VHP91" s="609"/>
      <c r="VHQ91" s="609"/>
      <c r="VHR91" s="609"/>
      <c r="VHS91" s="609"/>
      <c r="VHT91" s="609"/>
      <c r="VHU91" s="609"/>
      <c r="VHV91" s="609"/>
      <c r="VHW91" s="609"/>
      <c r="VHX91" s="609"/>
      <c r="VHY91" s="609"/>
      <c r="VHZ91" s="609"/>
      <c r="VIA91" s="609"/>
      <c r="VIB91" s="609"/>
      <c r="VIC91" s="609"/>
      <c r="VID91" s="609"/>
      <c r="VIE91" s="609"/>
      <c r="VIF91" s="609"/>
      <c r="VIG91" s="609"/>
      <c r="VIH91" s="609"/>
      <c r="VII91" s="609"/>
      <c r="VIJ91" s="609"/>
      <c r="VIK91" s="609"/>
      <c r="VIL91" s="609"/>
      <c r="VIM91" s="609"/>
      <c r="VIN91" s="609"/>
      <c r="VIO91" s="609"/>
      <c r="VIP91" s="609"/>
      <c r="VIQ91" s="609"/>
      <c r="VIR91" s="609"/>
      <c r="VIS91" s="609"/>
      <c r="VIT91" s="609"/>
      <c r="VIU91" s="609"/>
      <c r="VIV91" s="609"/>
      <c r="VIW91" s="609"/>
      <c r="VIX91" s="609"/>
      <c r="VIY91" s="609"/>
      <c r="VIZ91" s="609"/>
      <c r="VJA91" s="609"/>
      <c r="VJB91" s="609"/>
      <c r="VJC91" s="609"/>
      <c r="VJD91" s="609"/>
      <c r="VJE91" s="609"/>
      <c r="VJF91" s="609"/>
      <c r="VJG91" s="609"/>
      <c r="VJH91" s="609"/>
      <c r="VJI91" s="609"/>
      <c r="VJJ91" s="609"/>
      <c r="VJK91" s="609"/>
      <c r="VJL91" s="609"/>
      <c r="VJM91" s="609"/>
      <c r="VJN91" s="609"/>
      <c r="VJO91" s="609"/>
      <c r="VJP91" s="609"/>
      <c r="VJQ91" s="609"/>
      <c r="VJR91" s="609"/>
      <c r="VJS91" s="609"/>
      <c r="VJT91" s="609"/>
      <c r="VJU91" s="609"/>
      <c r="VJV91" s="609"/>
      <c r="VJW91" s="609"/>
      <c r="VJX91" s="609"/>
      <c r="VJY91" s="609"/>
      <c r="VJZ91" s="609"/>
      <c r="VKA91" s="609"/>
      <c r="VKB91" s="609"/>
      <c r="VKC91" s="609"/>
      <c r="VKD91" s="609"/>
      <c r="VKE91" s="609"/>
      <c r="VKF91" s="609"/>
      <c r="VKG91" s="609"/>
      <c r="VKH91" s="609"/>
      <c r="VKI91" s="609"/>
      <c r="VKJ91" s="609"/>
      <c r="VKK91" s="609"/>
      <c r="VKL91" s="609"/>
      <c r="VKM91" s="609"/>
      <c r="VKN91" s="609"/>
      <c r="VKO91" s="609"/>
      <c r="VKP91" s="609"/>
      <c r="VKQ91" s="609"/>
      <c r="VKR91" s="609"/>
      <c r="VKS91" s="609"/>
      <c r="VKT91" s="609"/>
      <c r="VKU91" s="609"/>
      <c r="VKV91" s="609"/>
      <c r="VKW91" s="609"/>
      <c r="VKX91" s="609"/>
      <c r="VKY91" s="609"/>
      <c r="VKZ91" s="609"/>
      <c r="VLA91" s="609"/>
      <c r="VLB91" s="609"/>
      <c r="VLC91" s="609"/>
      <c r="VLD91" s="609"/>
      <c r="VLE91" s="609"/>
      <c r="VLF91" s="609"/>
      <c r="VLG91" s="609"/>
      <c r="VLH91" s="609"/>
      <c r="VLI91" s="609"/>
      <c r="VLJ91" s="609"/>
      <c r="VLK91" s="609"/>
      <c r="VLL91" s="609"/>
      <c r="VLM91" s="609"/>
      <c r="VLN91" s="609"/>
      <c r="VLO91" s="609"/>
      <c r="VLP91" s="609"/>
      <c r="VLQ91" s="609"/>
      <c r="VLR91" s="609"/>
      <c r="VLS91" s="609"/>
      <c r="VLT91" s="609"/>
      <c r="VLU91" s="609"/>
      <c r="VLV91" s="609"/>
      <c r="VLW91" s="609"/>
      <c r="VLX91" s="609"/>
      <c r="VLY91" s="609"/>
      <c r="VLZ91" s="609"/>
      <c r="VMA91" s="609"/>
      <c r="VMB91" s="609"/>
      <c r="VMC91" s="609"/>
      <c r="VMD91" s="609"/>
      <c r="VME91" s="609"/>
      <c r="VMF91" s="609"/>
      <c r="VMG91" s="609"/>
      <c r="VMH91" s="609"/>
      <c r="VMI91" s="609"/>
      <c r="VMJ91" s="609"/>
      <c r="VMK91" s="609"/>
      <c r="VML91" s="609"/>
      <c r="VMM91" s="609"/>
      <c r="VMN91" s="609"/>
      <c r="VMO91" s="609"/>
      <c r="VMP91" s="609"/>
      <c r="VMQ91" s="609"/>
      <c r="VMR91" s="609"/>
      <c r="VMS91" s="609"/>
      <c r="VMT91" s="609"/>
      <c r="VMU91" s="609"/>
      <c r="VMV91" s="609"/>
      <c r="VMW91" s="609"/>
      <c r="VMX91" s="609"/>
      <c r="VMY91" s="609"/>
      <c r="VMZ91" s="609"/>
      <c r="VNA91" s="609"/>
      <c r="VNB91" s="609"/>
      <c r="VNC91" s="609"/>
      <c r="VND91" s="609"/>
      <c r="VNE91" s="609"/>
      <c r="VNF91" s="609"/>
      <c r="VNG91" s="609"/>
      <c r="VNH91" s="609"/>
      <c r="VNI91" s="609"/>
      <c r="VNJ91" s="609"/>
      <c r="VNK91" s="609"/>
      <c r="VNL91" s="609"/>
      <c r="VNM91" s="609"/>
      <c r="VNN91" s="609"/>
      <c r="VNO91" s="609"/>
      <c r="VNP91" s="609"/>
      <c r="VNQ91" s="609"/>
      <c r="VNR91" s="609"/>
      <c r="VNS91" s="609"/>
      <c r="VNT91" s="609"/>
      <c r="VNU91" s="609"/>
      <c r="VNV91" s="609"/>
      <c r="VNW91" s="609"/>
      <c r="VNX91" s="609"/>
      <c r="VNY91" s="609"/>
      <c r="VNZ91" s="609"/>
      <c r="VOA91" s="609"/>
      <c r="VOB91" s="609"/>
      <c r="VOC91" s="609"/>
      <c r="VOD91" s="609"/>
      <c r="VOE91" s="609"/>
      <c r="VOF91" s="609"/>
      <c r="VOG91" s="609"/>
      <c r="VOH91" s="609"/>
      <c r="VOI91" s="609"/>
      <c r="VOJ91" s="609"/>
      <c r="VOK91" s="609"/>
      <c r="VOL91" s="609"/>
      <c r="VOM91" s="609"/>
      <c r="VON91" s="609"/>
      <c r="VOO91" s="609"/>
      <c r="VOP91" s="609"/>
      <c r="VOQ91" s="609"/>
      <c r="VOR91" s="609"/>
      <c r="VOS91" s="609"/>
      <c r="VOT91" s="609"/>
      <c r="VOU91" s="609"/>
      <c r="VOV91" s="609"/>
      <c r="VOW91" s="609"/>
      <c r="VOX91" s="609"/>
      <c r="VOY91" s="609"/>
      <c r="VOZ91" s="609"/>
      <c r="VPA91" s="609"/>
      <c r="VPB91" s="609"/>
      <c r="VPC91" s="609"/>
      <c r="VPD91" s="609"/>
      <c r="VPE91" s="609"/>
      <c r="VPF91" s="609"/>
      <c r="VPG91" s="609"/>
      <c r="VPH91" s="609"/>
      <c r="VPI91" s="609"/>
      <c r="VPJ91" s="609"/>
      <c r="VPK91" s="609"/>
      <c r="VPL91" s="609"/>
      <c r="VPM91" s="609"/>
      <c r="VPN91" s="609"/>
      <c r="VPO91" s="609"/>
      <c r="VPP91" s="609"/>
      <c r="VPQ91" s="609"/>
      <c r="VPR91" s="609"/>
      <c r="VPS91" s="609"/>
      <c r="VPT91" s="609"/>
      <c r="VPU91" s="609"/>
      <c r="VPV91" s="609"/>
      <c r="VPW91" s="609"/>
      <c r="VPX91" s="609"/>
      <c r="VPY91" s="609"/>
      <c r="VPZ91" s="609"/>
      <c r="VQA91" s="609"/>
      <c r="VQB91" s="609"/>
      <c r="VQC91" s="609"/>
      <c r="VQD91" s="609"/>
      <c r="VQE91" s="609"/>
      <c r="VQF91" s="609"/>
      <c r="VQG91" s="609"/>
      <c r="VQH91" s="609"/>
      <c r="VQI91" s="609"/>
      <c r="VQJ91" s="609"/>
      <c r="VQK91" s="609"/>
      <c r="VQL91" s="609"/>
      <c r="VQM91" s="609"/>
      <c r="VQN91" s="609"/>
      <c r="VQO91" s="609"/>
      <c r="VQP91" s="609"/>
      <c r="VQQ91" s="609"/>
      <c r="VQR91" s="609"/>
      <c r="VQS91" s="609"/>
      <c r="VQT91" s="609"/>
      <c r="VQU91" s="609"/>
      <c r="VQV91" s="609"/>
      <c r="VQW91" s="609"/>
      <c r="VQX91" s="609"/>
      <c r="VQY91" s="609"/>
      <c r="VQZ91" s="609"/>
      <c r="VRA91" s="609"/>
      <c r="VRB91" s="609"/>
      <c r="VRC91" s="609"/>
      <c r="VRD91" s="609"/>
      <c r="VRE91" s="609"/>
      <c r="VRF91" s="609"/>
      <c r="VRG91" s="609"/>
      <c r="VRH91" s="609"/>
      <c r="VRI91" s="609"/>
      <c r="VRJ91" s="609"/>
      <c r="VRK91" s="609"/>
      <c r="VRL91" s="609"/>
      <c r="VRM91" s="609"/>
      <c r="VRN91" s="609"/>
      <c r="VRO91" s="609"/>
      <c r="VRP91" s="609"/>
      <c r="VRQ91" s="609"/>
      <c r="VRR91" s="609"/>
      <c r="VRS91" s="609"/>
      <c r="VRT91" s="609"/>
      <c r="VRU91" s="609"/>
      <c r="VRV91" s="609"/>
      <c r="VRW91" s="609"/>
      <c r="VRX91" s="609"/>
      <c r="VRY91" s="609"/>
      <c r="VRZ91" s="609"/>
      <c r="VSA91" s="609"/>
      <c r="VSB91" s="609"/>
      <c r="VSC91" s="609"/>
      <c r="VSD91" s="609"/>
      <c r="VSE91" s="609"/>
      <c r="VSF91" s="609"/>
      <c r="VSG91" s="609"/>
      <c r="VSH91" s="609"/>
      <c r="VSI91" s="609"/>
      <c r="VSJ91" s="609"/>
      <c r="VSK91" s="609"/>
      <c r="VSL91" s="609"/>
      <c r="VSM91" s="609"/>
      <c r="VSN91" s="609"/>
      <c r="VSO91" s="609"/>
      <c r="VSP91" s="609"/>
      <c r="VSQ91" s="609"/>
      <c r="VSR91" s="609"/>
      <c r="VSS91" s="609"/>
      <c r="VST91" s="609"/>
      <c r="VSU91" s="609"/>
      <c r="VSV91" s="609"/>
      <c r="VSW91" s="609"/>
      <c r="VSX91" s="609"/>
      <c r="VSY91" s="609"/>
      <c r="VSZ91" s="609"/>
      <c r="VTA91" s="609"/>
      <c r="VTB91" s="609"/>
      <c r="VTC91" s="609"/>
      <c r="VTD91" s="609"/>
      <c r="VTE91" s="609"/>
      <c r="VTF91" s="609"/>
      <c r="VTG91" s="609"/>
      <c r="VTH91" s="609"/>
      <c r="VTI91" s="609"/>
      <c r="VTJ91" s="609"/>
      <c r="VTK91" s="609"/>
      <c r="VTL91" s="609"/>
      <c r="VTM91" s="609"/>
      <c r="VTN91" s="609"/>
      <c r="VTO91" s="609"/>
      <c r="VTP91" s="609"/>
      <c r="VTQ91" s="609"/>
      <c r="VTR91" s="609"/>
      <c r="VTS91" s="609"/>
      <c r="VTT91" s="609"/>
      <c r="VTU91" s="609"/>
      <c r="VTV91" s="609"/>
      <c r="VTW91" s="609"/>
      <c r="VTX91" s="609"/>
      <c r="VTY91" s="609"/>
      <c r="VTZ91" s="609"/>
      <c r="VUA91" s="609"/>
      <c r="VUB91" s="609"/>
      <c r="VUC91" s="609"/>
      <c r="VUD91" s="609"/>
      <c r="VUE91" s="609"/>
      <c r="VUF91" s="609"/>
      <c r="VUG91" s="609"/>
      <c r="VUH91" s="609"/>
      <c r="VUI91" s="609"/>
      <c r="VUJ91" s="609"/>
      <c r="VUK91" s="609"/>
      <c r="VUL91" s="609"/>
      <c r="VUM91" s="609"/>
      <c r="VUN91" s="609"/>
      <c r="VUO91" s="609"/>
      <c r="VUP91" s="609"/>
      <c r="VUQ91" s="609"/>
      <c r="VUR91" s="609"/>
      <c r="VUS91" s="609"/>
      <c r="VUT91" s="609"/>
      <c r="VUU91" s="609"/>
      <c r="VUV91" s="609"/>
      <c r="VUW91" s="609"/>
      <c r="VUX91" s="609"/>
      <c r="VUY91" s="609"/>
      <c r="VUZ91" s="609"/>
      <c r="VVA91" s="609"/>
      <c r="VVB91" s="609"/>
      <c r="VVC91" s="609"/>
      <c r="VVD91" s="609"/>
      <c r="VVE91" s="609"/>
      <c r="VVF91" s="609"/>
      <c r="VVG91" s="609"/>
      <c r="VVH91" s="609"/>
      <c r="VVI91" s="609"/>
      <c r="VVJ91" s="609"/>
      <c r="VVK91" s="609"/>
      <c r="VVL91" s="609"/>
      <c r="VVM91" s="609"/>
      <c r="VVN91" s="609"/>
      <c r="VVO91" s="609"/>
      <c r="VVP91" s="609"/>
      <c r="VVQ91" s="609"/>
      <c r="VVR91" s="609"/>
      <c r="VVS91" s="609"/>
      <c r="VVT91" s="609"/>
      <c r="VVU91" s="609"/>
      <c r="VVV91" s="609"/>
      <c r="VVW91" s="609"/>
      <c r="VVX91" s="609"/>
      <c r="VVY91" s="609"/>
      <c r="VVZ91" s="609"/>
      <c r="VWA91" s="609"/>
      <c r="VWB91" s="609"/>
      <c r="VWC91" s="609"/>
      <c r="VWD91" s="609"/>
      <c r="VWE91" s="609"/>
      <c r="VWF91" s="609"/>
      <c r="VWG91" s="609"/>
      <c r="VWH91" s="609"/>
      <c r="VWI91" s="609"/>
      <c r="VWJ91" s="609"/>
      <c r="VWK91" s="609"/>
      <c r="VWL91" s="609"/>
      <c r="VWM91" s="609"/>
      <c r="VWN91" s="609"/>
      <c r="VWO91" s="609"/>
      <c r="VWP91" s="609"/>
      <c r="VWQ91" s="609"/>
      <c r="VWR91" s="609"/>
      <c r="VWS91" s="609"/>
      <c r="VWT91" s="609"/>
      <c r="VWU91" s="609"/>
      <c r="VWV91" s="609"/>
      <c r="VWW91" s="609"/>
      <c r="VWX91" s="609"/>
      <c r="VWY91" s="609"/>
      <c r="VWZ91" s="609"/>
      <c r="VXA91" s="609"/>
      <c r="VXB91" s="609"/>
      <c r="VXC91" s="609"/>
      <c r="VXD91" s="609"/>
      <c r="VXE91" s="609"/>
      <c r="VXF91" s="609"/>
      <c r="VXG91" s="609"/>
      <c r="VXH91" s="609"/>
      <c r="VXI91" s="609"/>
      <c r="VXJ91" s="609"/>
      <c r="VXK91" s="609"/>
      <c r="VXL91" s="609"/>
      <c r="VXM91" s="609"/>
      <c r="VXN91" s="609"/>
      <c r="VXO91" s="609"/>
      <c r="VXP91" s="609"/>
      <c r="VXQ91" s="609"/>
      <c r="VXR91" s="609"/>
      <c r="VXS91" s="609"/>
      <c r="VXT91" s="609"/>
      <c r="VXU91" s="609"/>
      <c r="VXV91" s="609"/>
      <c r="VXW91" s="609"/>
      <c r="VXX91" s="609"/>
      <c r="VXY91" s="609"/>
      <c r="VXZ91" s="609"/>
      <c r="VYA91" s="609"/>
      <c r="VYB91" s="609"/>
      <c r="VYC91" s="609"/>
      <c r="VYD91" s="609"/>
      <c r="VYE91" s="609"/>
      <c r="VYF91" s="609"/>
      <c r="VYG91" s="609"/>
      <c r="VYH91" s="609"/>
      <c r="VYI91" s="609"/>
      <c r="VYJ91" s="609"/>
      <c r="VYK91" s="609"/>
      <c r="VYL91" s="609"/>
      <c r="VYM91" s="609"/>
      <c r="VYN91" s="609"/>
      <c r="VYO91" s="609"/>
      <c r="VYP91" s="609"/>
      <c r="VYQ91" s="609"/>
      <c r="VYR91" s="609"/>
      <c r="VYS91" s="609"/>
      <c r="VYT91" s="609"/>
      <c r="VYU91" s="609"/>
      <c r="VYV91" s="609"/>
      <c r="VYW91" s="609"/>
      <c r="VYX91" s="609"/>
      <c r="VYY91" s="609"/>
      <c r="VYZ91" s="609"/>
      <c r="VZA91" s="609"/>
      <c r="VZB91" s="609"/>
      <c r="VZC91" s="609"/>
      <c r="VZD91" s="609"/>
      <c r="VZE91" s="609"/>
      <c r="VZF91" s="609"/>
      <c r="VZG91" s="609"/>
      <c r="VZH91" s="609"/>
      <c r="VZI91" s="609"/>
      <c r="VZJ91" s="609"/>
      <c r="VZK91" s="609"/>
      <c r="VZL91" s="609"/>
      <c r="VZM91" s="609"/>
      <c r="VZN91" s="609"/>
      <c r="VZO91" s="609"/>
      <c r="VZP91" s="609"/>
      <c r="VZQ91" s="609"/>
      <c r="VZR91" s="609"/>
      <c r="VZS91" s="609"/>
      <c r="VZT91" s="609"/>
      <c r="VZU91" s="609"/>
      <c r="VZV91" s="609"/>
      <c r="VZW91" s="609"/>
      <c r="VZX91" s="609"/>
      <c r="VZY91" s="609"/>
      <c r="VZZ91" s="609"/>
      <c r="WAA91" s="609"/>
      <c r="WAB91" s="609"/>
      <c r="WAC91" s="609"/>
      <c r="WAD91" s="609"/>
      <c r="WAE91" s="609"/>
      <c r="WAF91" s="609"/>
      <c r="WAG91" s="609"/>
      <c r="WAH91" s="609"/>
      <c r="WAI91" s="609"/>
      <c r="WAJ91" s="609"/>
      <c r="WAK91" s="609"/>
      <c r="WAL91" s="609"/>
      <c r="WAM91" s="609"/>
      <c r="WAN91" s="609"/>
      <c r="WAO91" s="609"/>
      <c r="WAP91" s="609"/>
      <c r="WAQ91" s="609"/>
      <c r="WAR91" s="609"/>
      <c r="WAS91" s="609"/>
      <c r="WAT91" s="609"/>
      <c r="WAU91" s="609"/>
      <c r="WAV91" s="609"/>
      <c r="WAW91" s="609"/>
      <c r="WAX91" s="609"/>
      <c r="WAY91" s="609"/>
      <c r="WAZ91" s="609"/>
      <c r="WBA91" s="609"/>
      <c r="WBB91" s="609"/>
      <c r="WBC91" s="609"/>
      <c r="WBD91" s="609"/>
      <c r="WBE91" s="609"/>
      <c r="WBF91" s="609"/>
      <c r="WBG91" s="609"/>
      <c r="WBH91" s="609"/>
      <c r="WBI91" s="609"/>
      <c r="WBJ91" s="609"/>
      <c r="WBK91" s="609"/>
      <c r="WBL91" s="609"/>
      <c r="WBM91" s="609"/>
      <c r="WBN91" s="609"/>
      <c r="WBO91" s="609"/>
      <c r="WBP91" s="609"/>
      <c r="WBQ91" s="609"/>
      <c r="WBR91" s="609"/>
      <c r="WBS91" s="609"/>
      <c r="WBT91" s="609"/>
      <c r="WBU91" s="609"/>
      <c r="WBV91" s="609"/>
      <c r="WBW91" s="609"/>
      <c r="WBX91" s="609"/>
      <c r="WBY91" s="609"/>
      <c r="WBZ91" s="609"/>
      <c r="WCA91" s="609"/>
      <c r="WCB91" s="609"/>
      <c r="WCC91" s="609"/>
      <c r="WCD91" s="609"/>
      <c r="WCE91" s="609"/>
      <c r="WCF91" s="609"/>
      <c r="WCG91" s="609"/>
      <c r="WCH91" s="609"/>
      <c r="WCI91" s="609"/>
      <c r="WCJ91" s="609"/>
      <c r="WCK91" s="609"/>
      <c r="WCL91" s="609"/>
      <c r="WCM91" s="609"/>
      <c r="WCN91" s="609"/>
      <c r="WCO91" s="609"/>
      <c r="WCP91" s="609"/>
      <c r="WCQ91" s="609"/>
      <c r="WCR91" s="609"/>
      <c r="WCS91" s="609"/>
      <c r="WCT91" s="609"/>
      <c r="WCU91" s="609"/>
      <c r="WCV91" s="609"/>
      <c r="WCW91" s="609"/>
      <c r="WCX91" s="609"/>
      <c r="WCY91" s="609"/>
      <c r="WCZ91" s="609"/>
      <c r="WDA91" s="609"/>
      <c r="WDB91" s="609"/>
      <c r="WDC91" s="609"/>
      <c r="WDD91" s="609"/>
      <c r="WDE91" s="609"/>
      <c r="WDF91" s="609"/>
      <c r="WDG91" s="609"/>
      <c r="WDH91" s="609"/>
      <c r="WDI91" s="609"/>
      <c r="WDJ91" s="609"/>
      <c r="WDK91" s="609"/>
      <c r="WDL91" s="609"/>
      <c r="WDM91" s="609"/>
      <c r="WDN91" s="609"/>
      <c r="WDO91" s="609"/>
      <c r="WDP91" s="609"/>
      <c r="WDQ91" s="609"/>
      <c r="WDR91" s="609"/>
      <c r="WDS91" s="609"/>
      <c r="WDT91" s="609"/>
      <c r="WDU91" s="609"/>
      <c r="WDV91" s="609"/>
      <c r="WDW91" s="609"/>
      <c r="WDX91" s="609"/>
      <c r="WDY91" s="609"/>
      <c r="WDZ91" s="609"/>
      <c r="WEA91" s="609"/>
      <c r="WEB91" s="609"/>
      <c r="WEC91" s="609"/>
      <c r="WED91" s="609"/>
      <c r="WEE91" s="609"/>
      <c r="WEF91" s="609"/>
      <c r="WEG91" s="609"/>
      <c r="WEH91" s="609"/>
      <c r="WEI91" s="609"/>
      <c r="WEJ91" s="609"/>
      <c r="WEK91" s="609"/>
      <c r="WEL91" s="609"/>
      <c r="WEM91" s="609"/>
      <c r="WEN91" s="609"/>
      <c r="WEO91" s="609"/>
      <c r="WEP91" s="609"/>
      <c r="WEQ91" s="609"/>
      <c r="WER91" s="609"/>
      <c r="WES91" s="609"/>
      <c r="WET91" s="609"/>
      <c r="WEU91" s="609"/>
      <c r="WEV91" s="609"/>
      <c r="WEW91" s="609"/>
      <c r="WEX91" s="609"/>
      <c r="WEY91" s="609"/>
      <c r="WEZ91" s="609"/>
      <c r="WFA91" s="609"/>
      <c r="WFB91" s="609"/>
      <c r="WFC91" s="609"/>
      <c r="WFD91" s="609"/>
      <c r="WFE91" s="609"/>
      <c r="WFF91" s="609"/>
      <c r="WFG91" s="609"/>
      <c r="WFH91" s="609"/>
      <c r="WFI91" s="609"/>
      <c r="WFJ91" s="609"/>
      <c r="WFK91" s="609"/>
      <c r="WFL91" s="609"/>
      <c r="WFM91" s="609"/>
      <c r="WFN91" s="609"/>
      <c r="WFO91" s="609"/>
      <c r="WFP91" s="609"/>
      <c r="WFQ91" s="609"/>
      <c r="WFR91" s="609"/>
      <c r="WFS91" s="609"/>
      <c r="WFT91" s="609"/>
      <c r="WFU91" s="609"/>
      <c r="WFV91" s="609"/>
      <c r="WFW91" s="609"/>
      <c r="WFX91" s="609"/>
      <c r="WFY91" s="609"/>
      <c r="WFZ91" s="609"/>
      <c r="WGA91" s="609"/>
      <c r="WGB91" s="609"/>
      <c r="WGC91" s="609"/>
      <c r="WGD91" s="609"/>
      <c r="WGE91" s="609"/>
      <c r="WGF91" s="609"/>
      <c r="WGG91" s="609"/>
      <c r="WGH91" s="609"/>
      <c r="WGI91" s="609"/>
      <c r="WGJ91" s="609"/>
      <c r="WGK91" s="609"/>
      <c r="WGL91" s="609"/>
      <c r="WGM91" s="609"/>
      <c r="WGN91" s="609"/>
      <c r="WGO91" s="609"/>
      <c r="WGP91" s="609"/>
      <c r="WGQ91" s="609"/>
      <c r="WGR91" s="609"/>
      <c r="WGS91" s="609"/>
      <c r="WGT91" s="609"/>
      <c r="WGU91" s="609"/>
      <c r="WGV91" s="609"/>
      <c r="WGW91" s="609"/>
      <c r="WGX91" s="609"/>
      <c r="WGY91" s="609"/>
      <c r="WGZ91" s="609"/>
      <c r="WHA91" s="609"/>
      <c r="WHB91" s="609"/>
      <c r="WHC91" s="609"/>
      <c r="WHD91" s="609"/>
      <c r="WHE91" s="609"/>
      <c r="WHF91" s="609"/>
      <c r="WHG91" s="609"/>
      <c r="WHH91" s="609"/>
      <c r="WHI91" s="609"/>
      <c r="WHJ91" s="609"/>
      <c r="WHK91" s="609"/>
      <c r="WHL91" s="609"/>
      <c r="WHM91" s="609"/>
      <c r="WHN91" s="609"/>
      <c r="WHO91" s="609"/>
      <c r="WHP91" s="609"/>
      <c r="WHQ91" s="609"/>
      <c r="WHR91" s="609"/>
      <c r="WHS91" s="609"/>
      <c r="WHT91" s="609"/>
      <c r="WHU91" s="609"/>
      <c r="WHV91" s="609"/>
      <c r="WHW91" s="609"/>
      <c r="WHX91" s="609"/>
      <c r="WHY91" s="609"/>
      <c r="WHZ91" s="609"/>
      <c r="WIA91" s="609"/>
      <c r="WIB91" s="609"/>
      <c r="WIC91" s="609"/>
      <c r="WID91" s="609"/>
      <c r="WIE91" s="609"/>
      <c r="WIF91" s="609"/>
      <c r="WIG91" s="609"/>
      <c r="WIH91" s="609"/>
      <c r="WII91" s="609"/>
      <c r="WIJ91" s="609"/>
      <c r="WIK91" s="609"/>
      <c r="WIL91" s="609"/>
      <c r="WIM91" s="609"/>
      <c r="WIN91" s="609"/>
      <c r="WIO91" s="609"/>
      <c r="WIP91" s="609"/>
      <c r="WIQ91" s="609"/>
      <c r="WIR91" s="609"/>
      <c r="WIS91" s="609"/>
      <c r="WIT91" s="609"/>
      <c r="WIU91" s="609"/>
      <c r="WIV91" s="609"/>
      <c r="WIW91" s="609"/>
      <c r="WIX91" s="609"/>
      <c r="WIY91" s="609"/>
      <c r="WIZ91" s="609"/>
      <c r="WJA91" s="609"/>
      <c r="WJB91" s="609"/>
      <c r="WJC91" s="609"/>
      <c r="WJD91" s="609"/>
      <c r="WJE91" s="609"/>
      <c r="WJF91" s="609"/>
      <c r="WJG91" s="609"/>
      <c r="WJH91" s="609"/>
      <c r="WJI91" s="609"/>
      <c r="WJJ91" s="609"/>
      <c r="WJK91" s="609"/>
      <c r="WJL91" s="609"/>
      <c r="WJM91" s="609"/>
      <c r="WJN91" s="609"/>
      <c r="WJO91" s="609"/>
      <c r="WJP91" s="609"/>
      <c r="WJQ91" s="609"/>
      <c r="WJR91" s="609"/>
      <c r="WJS91" s="609"/>
      <c r="WJT91" s="609"/>
      <c r="WJU91" s="609"/>
      <c r="WJV91" s="609"/>
      <c r="WJW91" s="609"/>
      <c r="WJX91" s="609"/>
      <c r="WJY91" s="609"/>
      <c r="WJZ91" s="609"/>
      <c r="WKA91" s="609"/>
      <c r="WKB91" s="609"/>
      <c r="WKC91" s="609"/>
      <c r="WKD91" s="609"/>
      <c r="WKE91" s="609"/>
      <c r="WKF91" s="609"/>
      <c r="WKG91" s="609"/>
      <c r="WKH91" s="609"/>
      <c r="WKI91" s="609"/>
      <c r="WKJ91" s="609"/>
      <c r="WKK91" s="609"/>
      <c r="WKL91" s="609"/>
      <c r="WKM91" s="609"/>
      <c r="WKN91" s="609"/>
      <c r="WKO91" s="609"/>
      <c r="WKP91" s="609"/>
      <c r="WKQ91" s="609"/>
      <c r="WKR91" s="609"/>
      <c r="WKS91" s="609"/>
      <c r="WKT91" s="609"/>
      <c r="WKU91" s="609"/>
      <c r="WKV91" s="609"/>
      <c r="WKW91" s="609"/>
      <c r="WKX91" s="609"/>
      <c r="WKY91" s="609"/>
      <c r="WKZ91" s="609"/>
      <c r="WLA91" s="609"/>
      <c r="WLB91" s="609"/>
      <c r="WLC91" s="609"/>
      <c r="WLD91" s="609"/>
      <c r="WLE91" s="609"/>
      <c r="WLF91" s="609"/>
      <c r="WLG91" s="609"/>
      <c r="WLH91" s="609"/>
      <c r="WLI91" s="609"/>
      <c r="WLJ91" s="609"/>
      <c r="WLK91" s="609"/>
      <c r="WLL91" s="609"/>
      <c r="WLM91" s="609"/>
      <c r="WLN91" s="609"/>
      <c r="WLO91" s="609"/>
      <c r="WLP91" s="609"/>
      <c r="WLQ91" s="609"/>
      <c r="WLR91" s="609"/>
      <c r="WLS91" s="609"/>
      <c r="WLT91" s="609"/>
      <c r="WLU91" s="609"/>
      <c r="WLV91" s="609"/>
      <c r="WLW91" s="609"/>
      <c r="WLX91" s="609"/>
      <c r="WLY91" s="609"/>
      <c r="WLZ91" s="609"/>
      <c r="WMA91" s="609"/>
      <c r="WMB91" s="609"/>
      <c r="WMC91" s="609"/>
      <c r="WMD91" s="609"/>
      <c r="WME91" s="609"/>
      <c r="WMF91" s="609"/>
      <c r="WMG91" s="609"/>
      <c r="WMH91" s="609"/>
      <c r="WMI91" s="609"/>
      <c r="WMJ91" s="609"/>
      <c r="WMK91" s="609"/>
      <c r="WML91" s="609"/>
      <c r="WMM91" s="609"/>
      <c r="WMN91" s="609"/>
      <c r="WMO91" s="609"/>
      <c r="WMP91" s="609"/>
      <c r="WMQ91" s="609"/>
      <c r="WMR91" s="609"/>
      <c r="WMS91" s="609"/>
      <c r="WMT91" s="609"/>
      <c r="WMU91" s="609"/>
      <c r="WMV91" s="609"/>
      <c r="WMW91" s="609"/>
      <c r="WMX91" s="609"/>
      <c r="WMY91" s="609"/>
      <c r="WMZ91" s="609"/>
      <c r="WNA91" s="609"/>
      <c r="WNB91" s="609"/>
      <c r="WNC91" s="609"/>
      <c r="WND91" s="609"/>
      <c r="WNE91" s="609"/>
      <c r="WNF91" s="609"/>
      <c r="WNG91" s="609"/>
      <c r="WNH91" s="609"/>
      <c r="WNI91" s="609"/>
      <c r="WNJ91" s="609"/>
      <c r="WNK91" s="609"/>
      <c r="WNL91" s="609"/>
      <c r="WNM91" s="609"/>
      <c r="WNN91" s="609"/>
      <c r="WNO91" s="609"/>
      <c r="WNP91" s="609"/>
      <c r="WNQ91" s="609"/>
      <c r="WNR91" s="609"/>
      <c r="WNS91" s="609"/>
      <c r="WNT91" s="609"/>
      <c r="WNU91" s="609"/>
      <c r="WNV91" s="609"/>
      <c r="WNW91" s="609"/>
      <c r="WNX91" s="609"/>
      <c r="WNY91" s="609"/>
      <c r="WNZ91" s="609"/>
      <c r="WOA91" s="609"/>
      <c r="WOB91" s="609"/>
      <c r="WOC91" s="609"/>
      <c r="WOD91" s="609"/>
      <c r="WOE91" s="609"/>
      <c r="WOF91" s="609"/>
      <c r="WOG91" s="609"/>
      <c r="WOH91" s="609"/>
      <c r="WOI91" s="609"/>
      <c r="WOJ91" s="609"/>
      <c r="WOK91" s="609"/>
      <c r="WOL91" s="609"/>
      <c r="WOM91" s="609"/>
      <c r="WON91" s="609"/>
      <c r="WOO91" s="609"/>
      <c r="WOP91" s="609"/>
      <c r="WOQ91" s="609"/>
      <c r="WOR91" s="609"/>
      <c r="WOS91" s="609"/>
      <c r="WOT91" s="609"/>
      <c r="WOU91" s="609"/>
      <c r="WOV91" s="609"/>
      <c r="WOW91" s="609"/>
      <c r="WOX91" s="609"/>
      <c r="WOY91" s="609"/>
      <c r="WOZ91" s="609"/>
      <c r="WPA91" s="609"/>
      <c r="WPB91" s="609"/>
      <c r="WPC91" s="609"/>
      <c r="WPD91" s="609"/>
      <c r="WPE91" s="609"/>
      <c r="WPF91" s="609"/>
      <c r="WPG91" s="609"/>
      <c r="WPH91" s="609"/>
      <c r="WPI91" s="609"/>
      <c r="WPJ91" s="609"/>
      <c r="WPK91" s="609"/>
      <c r="WPL91" s="609"/>
      <c r="WPM91" s="609"/>
      <c r="WPN91" s="609"/>
      <c r="WPO91" s="609"/>
      <c r="WPP91" s="609"/>
      <c r="WPQ91" s="609"/>
      <c r="WPR91" s="609"/>
      <c r="WPS91" s="609"/>
      <c r="WPT91" s="609"/>
      <c r="WPU91" s="609"/>
      <c r="WPV91" s="609"/>
      <c r="WPW91" s="609"/>
      <c r="WPX91" s="609"/>
      <c r="WPY91" s="609"/>
      <c r="WPZ91" s="609"/>
      <c r="WQA91" s="609"/>
      <c r="WQB91" s="609"/>
      <c r="WQC91" s="609"/>
      <c r="WQD91" s="609"/>
      <c r="WQE91" s="609"/>
      <c r="WQF91" s="609"/>
      <c r="WQG91" s="609"/>
      <c r="WQH91" s="609"/>
      <c r="WQI91" s="609"/>
      <c r="WQJ91" s="609"/>
      <c r="WQK91" s="609"/>
      <c r="WQL91" s="609"/>
      <c r="WQM91" s="609"/>
      <c r="WQN91" s="609"/>
      <c r="WQO91" s="609"/>
      <c r="WQP91" s="609"/>
      <c r="WQQ91" s="609"/>
      <c r="WQR91" s="609"/>
      <c r="WQS91" s="609"/>
      <c r="WQT91" s="609"/>
      <c r="WQU91" s="609"/>
      <c r="WQV91" s="609"/>
      <c r="WQW91" s="609"/>
      <c r="WQX91" s="609"/>
      <c r="WQY91" s="609"/>
      <c r="WQZ91" s="609"/>
      <c r="WRA91" s="609"/>
      <c r="WRB91" s="609"/>
      <c r="WRC91" s="609"/>
      <c r="WRD91" s="609"/>
      <c r="WRE91" s="609"/>
      <c r="WRF91" s="609"/>
      <c r="WRG91" s="609"/>
      <c r="WRH91" s="609"/>
      <c r="WRI91" s="609"/>
      <c r="WRJ91" s="609"/>
      <c r="WRK91" s="609"/>
      <c r="WRL91" s="609"/>
      <c r="WRM91" s="609"/>
      <c r="WRN91" s="609"/>
      <c r="WRO91" s="609"/>
      <c r="WRP91" s="609"/>
      <c r="WRQ91" s="609"/>
      <c r="WRR91" s="609"/>
      <c r="WRS91" s="609"/>
      <c r="WRT91" s="609"/>
      <c r="WRU91" s="609"/>
      <c r="WRV91" s="609"/>
      <c r="WRW91" s="609"/>
      <c r="WRX91" s="609"/>
      <c r="WRY91" s="609"/>
      <c r="WRZ91" s="609"/>
      <c r="WSA91" s="609"/>
      <c r="WSB91" s="609"/>
      <c r="WSC91" s="609"/>
      <c r="WSD91" s="609"/>
      <c r="WSE91" s="609"/>
      <c r="WSF91" s="609"/>
      <c r="WSG91" s="609"/>
      <c r="WSH91" s="609"/>
      <c r="WSI91" s="609"/>
      <c r="WSJ91" s="609"/>
      <c r="WSK91" s="609"/>
      <c r="WSL91" s="609"/>
      <c r="WSM91" s="609"/>
      <c r="WSN91" s="609"/>
      <c r="WSO91" s="609"/>
      <c r="WSP91" s="609"/>
      <c r="WSQ91" s="609"/>
      <c r="WSR91" s="609"/>
      <c r="WSS91" s="609"/>
      <c r="WST91" s="609"/>
      <c r="WSU91" s="609"/>
      <c r="WSV91" s="609"/>
      <c r="WSW91" s="609"/>
      <c r="WSX91" s="609"/>
      <c r="WSY91" s="609"/>
      <c r="WSZ91" s="609"/>
      <c r="WTA91" s="609"/>
      <c r="WTB91" s="609"/>
      <c r="WTC91" s="609"/>
      <c r="WTD91" s="609"/>
      <c r="WTE91" s="609"/>
      <c r="WTF91" s="609"/>
      <c r="WTG91" s="609"/>
      <c r="WTH91" s="609"/>
      <c r="WTI91" s="609"/>
      <c r="WTJ91" s="609"/>
      <c r="WTK91" s="609"/>
      <c r="WTL91" s="609"/>
      <c r="WTM91" s="609"/>
      <c r="WTN91" s="609"/>
      <c r="WTO91" s="609"/>
      <c r="WTP91" s="609"/>
      <c r="WTQ91" s="609"/>
      <c r="WTR91" s="609"/>
      <c r="WTS91" s="609"/>
      <c r="WTT91" s="609"/>
      <c r="WTU91" s="609"/>
      <c r="WTV91" s="609"/>
      <c r="WTW91" s="609"/>
      <c r="WTX91" s="609"/>
      <c r="WTY91" s="609"/>
      <c r="WTZ91" s="609"/>
      <c r="WUA91" s="609"/>
      <c r="WUB91" s="609"/>
      <c r="WUC91" s="609"/>
      <c r="WUD91" s="609"/>
      <c r="WUE91" s="609"/>
      <c r="WUF91" s="609"/>
      <c r="WUG91" s="609"/>
      <c r="WUH91" s="609"/>
      <c r="WUI91" s="609"/>
      <c r="WUJ91" s="609"/>
      <c r="WUK91" s="609"/>
      <c r="WUL91" s="609"/>
      <c r="WUM91" s="609"/>
      <c r="WUN91" s="609"/>
      <c r="WUO91" s="609"/>
      <c r="WUP91" s="609"/>
      <c r="WUQ91" s="609"/>
      <c r="WUR91" s="609"/>
      <c r="WUS91" s="609"/>
      <c r="WUT91" s="609"/>
      <c r="WUU91" s="609"/>
      <c r="WUV91" s="609"/>
      <c r="WUW91" s="609"/>
      <c r="WUX91" s="609"/>
      <c r="WUY91" s="609"/>
      <c r="WUZ91" s="609"/>
      <c r="WVA91" s="609"/>
      <c r="WVB91" s="609"/>
      <c r="WVC91" s="609"/>
      <c r="WVD91" s="609"/>
      <c r="WVE91" s="609"/>
      <c r="WVF91" s="609"/>
      <c r="WVG91" s="609"/>
      <c r="WVH91" s="609"/>
      <c r="WVI91" s="609"/>
      <c r="WVJ91" s="609"/>
      <c r="WVK91" s="609"/>
      <c r="WVL91" s="609"/>
      <c r="WVM91" s="609"/>
      <c r="WVN91" s="609"/>
      <c r="WVO91" s="609"/>
      <c r="WVP91" s="609"/>
      <c r="WVQ91" s="609"/>
      <c r="WVR91" s="609"/>
      <c r="WVS91" s="609"/>
      <c r="WVT91" s="609"/>
      <c r="WVU91" s="609"/>
      <c r="WVV91" s="609"/>
      <c r="WVW91" s="609"/>
      <c r="WVX91" s="609"/>
      <c r="WVY91" s="609"/>
      <c r="WVZ91" s="609"/>
      <c r="WWA91" s="609"/>
      <c r="WWB91" s="609"/>
      <c r="WWC91" s="609"/>
      <c r="WWD91" s="609"/>
      <c r="WWE91" s="609"/>
      <c r="WWF91" s="609"/>
      <c r="WWG91" s="609"/>
      <c r="WWH91" s="609"/>
      <c r="WWI91" s="609"/>
      <c r="WWJ91" s="609"/>
      <c r="WWK91" s="609"/>
      <c r="WWL91" s="609"/>
      <c r="WWM91" s="609"/>
      <c r="WWN91" s="609"/>
      <c r="WWO91" s="609"/>
      <c r="WWP91" s="609"/>
      <c r="WWQ91" s="609"/>
      <c r="WWR91" s="609"/>
      <c r="WWS91" s="609"/>
      <c r="WWT91" s="609"/>
      <c r="WWU91" s="609"/>
      <c r="WWV91" s="609"/>
      <c r="WWW91" s="609"/>
      <c r="WWX91" s="609"/>
      <c r="WWY91" s="609"/>
      <c r="WWZ91" s="609"/>
      <c r="WXA91" s="609"/>
      <c r="WXB91" s="609"/>
      <c r="WXC91" s="609"/>
      <c r="WXD91" s="609"/>
      <c r="WXE91" s="609"/>
      <c r="WXF91" s="609"/>
      <c r="WXG91" s="609"/>
      <c r="WXH91" s="609"/>
      <c r="WXI91" s="609"/>
      <c r="WXJ91" s="609"/>
      <c r="WXK91" s="609"/>
      <c r="WXL91" s="609"/>
      <c r="WXM91" s="609"/>
      <c r="WXN91" s="609"/>
      <c r="WXO91" s="609"/>
      <c r="WXP91" s="609"/>
      <c r="WXQ91" s="609"/>
      <c r="WXR91" s="609"/>
      <c r="WXS91" s="609"/>
      <c r="WXT91" s="609"/>
      <c r="WXU91" s="609"/>
      <c r="WXV91" s="609"/>
      <c r="WXW91" s="609"/>
      <c r="WXX91" s="609"/>
      <c r="WXY91" s="609"/>
      <c r="WXZ91" s="609"/>
      <c r="WYA91" s="609"/>
      <c r="WYB91" s="609"/>
      <c r="WYC91" s="609"/>
      <c r="WYD91" s="609"/>
      <c r="WYE91" s="609"/>
      <c r="WYF91" s="609"/>
      <c r="WYG91" s="609"/>
      <c r="WYH91" s="609"/>
      <c r="WYI91" s="609"/>
      <c r="WYJ91" s="609"/>
      <c r="WYK91" s="609"/>
      <c r="WYL91" s="609"/>
      <c r="WYM91" s="609"/>
      <c r="WYN91" s="609"/>
      <c r="WYO91" s="609"/>
      <c r="WYP91" s="609"/>
      <c r="WYQ91" s="609"/>
      <c r="WYR91" s="609"/>
      <c r="WYS91" s="609"/>
      <c r="WYT91" s="609"/>
      <c r="WYU91" s="609"/>
      <c r="WYV91" s="609"/>
      <c r="WYW91" s="609"/>
      <c r="WYX91" s="609"/>
      <c r="WYY91" s="609"/>
      <c r="WYZ91" s="609"/>
      <c r="WZA91" s="609"/>
      <c r="WZB91" s="609"/>
      <c r="WZC91" s="609"/>
      <c r="WZD91" s="609"/>
      <c r="WZE91" s="609"/>
      <c r="WZF91" s="609"/>
      <c r="WZG91" s="609"/>
      <c r="WZH91" s="609"/>
      <c r="WZI91" s="609"/>
      <c r="WZJ91" s="609"/>
      <c r="WZK91" s="609"/>
      <c r="WZL91" s="609"/>
      <c r="WZM91" s="609"/>
      <c r="WZN91" s="609"/>
      <c r="WZO91" s="609"/>
      <c r="WZP91" s="609"/>
      <c r="WZQ91" s="609"/>
      <c r="WZR91" s="609"/>
      <c r="WZS91" s="609"/>
      <c r="WZT91" s="609"/>
      <c r="WZU91" s="609"/>
      <c r="WZV91" s="609"/>
      <c r="WZW91" s="609"/>
      <c r="WZX91" s="609"/>
      <c r="WZY91" s="609"/>
      <c r="WZZ91" s="609"/>
      <c r="XAA91" s="609"/>
      <c r="XAB91" s="609"/>
      <c r="XAC91" s="609"/>
      <c r="XAD91" s="609"/>
      <c r="XAE91" s="609"/>
      <c r="XAF91" s="609"/>
      <c r="XAG91" s="609"/>
      <c r="XAH91" s="609"/>
      <c r="XAI91" s="609"/>
      <c r="XAJ91" s="609"/>
      <c r="XAK91" s="609"/>
      <c r="XAL91" s="609"/>
      <c r="XAM91" s="609"/>
      <c r="XAN91" s="609"/>
      <c r="XAO91" s="609"/>
      <c r="XAP91" s="609"/>
      <c r="XAQ91" s="609"/>
      <c r="XAR91" s="609"/>
      <c r="XAS91" s="609"/>
      <c r="XAT91" s="609"/>
      <c r="XAU91" s="609"/>
      <c r="XAV91" s="609"/>
      <c r="XAW91" s="609"/>
      <c r="XAX91" s="609"/>
      <c r="XAY91" s="609"/>
      <c r="XAZ91" s="609"/>
      <c r="XBA91" s="609"/>
      <c r="XBB91" s="609"/>
      <c r="XBC91" s="609"/>
      <c r="XBD91" s="609"/>
      <c r="XBE91" s="609"/>
      <c r="XBF91" s="609"/>
      <c r="XBG91" s="609"/>
      <c r="XBH91" s="609"/>
      <c r="XBI91" s="609"/>
      <c r="XBJ91" s="609"/>
      <c r="XBK91" s="609"/>
      <c r="XBL91" s="609"/>
      <c r="XBM91" s="609"/>
      <c r="XBN91" s="609"/>
      <c r="XBO91" s="609"/>
      <c r="XBP91" s="609"/>
      <c r="XBQ91" s="609"/>
      <c r="XBR91" s="609"/>
      <c r="XBS91" s="609"/>
      <c r="XBT91" s="609"/>
      <c r="XBU91" s="609"/>
      <c r="XBV91" s="609"/>
      <c r="XBW91" s="609"/>
      <c r="XBX91" s="609"/>
      <c r="XBY91" s="609"/>
      <c r="XBZ91" s="609"/>
      <c r="XCA91" s="609"/>
      <c r="XCB91" s="609"/>
      <c r="XCC91" s="609"/>
      <c r="XCD91" s="609"/>
      <c r="XCE91" s="609"/>
      <c r="XCF91" s="609"/>
      <c r="XCG91" s="609"/>
      <c r="XCH91" s="609"/>
      <c r="XCI91" s="609"/>
      <c r="XCJ91" s="609"/>
      <c r="XCK91" s="609"/>
      <c r="XCL91" s="609"/>
      <c r="XCM91" s="609"/>
      <c r="XCN91" s="609"/>
      <c r="XCO91" s="609"/>
      <c r="XCP91" s="609"/>
      <c r="XCQ91" s="609"/>
      <c r="XCR91" s="609"/>
      <c r="XCS91" s="609"/>
      <c r="XCT91" s="609"/>
      <c r="XCU91" s="609"/>
      <c r="XCV91" s="609"/>
      <c r="XCW91" s="609"/>
      <c r="XCX91" s="609"/>
      <c r="XCY91" s="609"/>
      <c r="XCZ91" s="609"/>
      <c r="XDA91" s="609"/>
      <c r="XDB91" s="609"/>
      <c r="XDC91" s="609"/>
      <c r="XDD91" s="609"/>
      <c r="XDE91" s="609"/>
      <c r="XDF91" s="609"/>
      <c r="XDG91" s="609"/>
      <c r="XDH91" s="609"/>
      <c r="XDI91" s="609"/>
      <c r="XDJ91" s="609"/>
      <c r="XDK91" s="609"/>
      <c r="XDL91" s="609"/>
      <c r="XDM91" s="609"/>
      <c r="XDN91" s="609"/>
      <c r="XDO91" s="609"/>
      <c r="XDP91" s="609"/>
      <c r="XDQ91" s="609"/>
      <c r="XDR91" s="609"/>
      <c r="XDS91" s="609"/>
      <c r="XDT91" s="609"/>
      <c r="XDU91" s="609"/>
      <c r="XDV91" s="609"/>
      <c r="XDW91" s="609"/>
      <c r="XDX91" s="609"/>
      <c r="XDY91" s="609"/>
      <c r="XDZ91" s="609"/>
      <c r="XEA91" s="609"/>
      <c r="XEB91" s="609"/>
      <c r="XEC91" s="609"/>
      <c r="XED91" s="609"/>
      <c r="XEE91" s="609"/>
      <c r="XEF91" s="609"/>
      <c r="XEG91" s="609"/>
      <c r="XEH91" s="609"/>
      <c r="XEI91" s="609"/>
      <c r="XEJ91" s="609"/>
      <c r="XEK91" s="609"/>
      <c r="XEL91" s="609"/>
      <c r="XEM91" s="609"/>
      <c r="XEN91" s="609"/>
      <c r="XEO91" s="609"/>
      <c r="XEP91" s="609"/>
      <c r="XEQ91" s="609"/>
      <c r="XER91" s="609"/>
      <c r="XES91" s="609"/>
      <c r="XET91" s="609"/>
      <c r="XEU91" s="609"/>
      <c r="XEV91" s="609"/>
      <c r="XEW91" s="609"/>
      <c r="XEX91" s="609"/>
      <c r="XEY91" s="609"/>
      <c r="XEZ91" s="609"/>
      <c r="XFA91" s="609"/>
    </row>
    <row r="92" spans="1:16381">
      <c r="A92" s="609" t="str">
        <f t="shared" si="7"/>
        <v>Diamalt v. 01.07.2021</v>
      </c>
      <c r="B92" s="609">
        <f>ROW()</f>
        <v>92</v>
      </c>
      <c r="C92" s="635" t="s">
        <v>1274</v>
      </c>
      <c r="D92" s="1201">
        <v>44378</v>
      </c>
      <c r="E92" s="636" t="s">
        <v>776</v>
      </c>
      <c r="F92" s="637" t="str">
        <f t="shared" si="9"/>
        <v/>
      </c>
      <c r="G92" s="634" t="str">
        <f t="shared" si="8"/>
        <v xml:space="preserve">TO ermöglicht: doppelten Kostenabzug; </v>
      </c>
      <c r="J92" s="788"/>
      <c r="K92" s="1199"/>
      <c r="L92" s="1199">
        <v>2</v>
      </c>
      <c r="M92" s="1199"/>
      <c r="N92" s="1199"/>
      <c r="O92" s="789"/>
      <c r="P92" s="144">
        <f t="shared" si="6"/>
        <v>2</v>
      </c>
    </row>
    <row r="93" spans="1:16381" ht="25.5">
      <c r="A93" s="609" t="str">
        <f t="shared" si="7"/>
        <v>DINEA_Gastronomie_GmbH v. 01.07.2012</v>
      </c>
      <c r="B93" s="609">
        <f>ROW()</f>
        <v>93</v>
      </c>
      <c r="C93" s="635" t="s">
        <v>774</v>
      </c>
      <c r="D93" s="1201">
        <v>41091</v>
      </c>
      <c r="E93" s="636" t="s">
        <v>775</v>
      </c>
      <c r="F93" s="637" t="str">
        <f t="shared" si="9"/>
        <v/>
      </c>
      <c r="G93" s="634" t="str">
        <f t="shared" si="8"/>
        <v xml:space="preserve">TO ermöglicht: doppelten Kostenabzug; </v>
      </c>
      <c r="K93" s="1199"/>
      <c r="L93" s="1199">
        <v>2</v>
      </c>
      <c r="M93" s="1199"/>
      <c r="N93" s="1199"/>
      <c r="O93" s="789" t="s">
        <v>812</v>
      </c>
      <c r="P93" s="144">
        <f t="shared" si="6"/>
        <v>2</v>
      </c>
    </row>
    <row r="94" spans="1:16381" ht="25.5">
      <c r="A94" s="609" t="str">
        <f t="shared" si="7"/>
        <v>Diversey GmbH &amp; Co. OHG v. 01.01.2010</v>
      </c>
      <c r="B94" s="609">
        <f>ROW()</f>
        <v>94</v>
      </c>
      <c r="C94" s="635" t="s">
        <v>1279</v>
      </c>
      <c r="D94" s="1201">
        <v>40179</v>
      </c>
      <c r="E94" s="636" t="s">
        <v>776</v>
      </c>
      <c r="F94" s="637" t="str">
        <f t="shared" si="9"/>
        <v/>
      </c>
      <c r="G94" s="634" t="str">
        <f t="shared" si="8"/>
        <v xml:space="preserve">TO ermöglicht: doppelten Kostenabzug; </v>
      </c>
      <c r="K94" s="1199"/>
      <c r="L94" s="1199">
        <v>2</v>
      </c>
      <c r="M94" s="1199"/>
      <c r="N94" s="1199"/>
      <c r="O94" s="789" t="s">
        <v>812</v>
      </c>
      <c r="P94" s="144">
        <f t="shared" si="6"/>
        <v>2</v>
      </c>
    </row>
    <row r="95" spans="1:16381" ht="22.5">
      <c r="A95" s="609" t="str">
        <f t="shared" si="7"/>
        <v>DWS Investment GmbH Basisrentenverträge AltZertG v. 01.11.2018</v>
      </c>
      <c r="B95" s="609">
        <f>ROW()</f>
        <v>95</v>
      </c>
      <c r="C95" s="635" t="s">
        <v>1335</v>
      </c>
      <c r="D95" s="1202">
        <v>43405</v>
      </c>
      <c r="E95" s="636">
        <v>5</v>
      </c>
      <c r="F95" s="637" t="str">
        <f t="shared" si="9"/>
        <v>Ja</v>
      </c>
      <c r="G95" s="634" t="str">
        <f t="shared" si="8"/>
        <v>TO ermöglicht: Tarifwechel;  Abweichungen vom gerichtl. festgelegten Ausgleichswert;  Verzinsung zwischen EzE und RK geltend machen</v>
      </c>
      <c r="I95" s="634" t="s">
        <v>1336</v>
      </c>
      <c r="K95" s="1199">
        <v>1</v>
      </c>
      <c r="L95" s="1199"/>
      <c r="M95" s="1199">
        <v>3</v>
      </c>
      <c r="N95" s="1199">
        <v>4</v>
      </c>
      <c r="P95" s="144">
        <f t="shared" si="6"/>
        <v>8</v>
      </c>
    </row>
    <row r="96" spans="1:16381" ht="38.25">
      <c r="A96" s="609" t="str">
        <f t="shared" si="7"/>
        <v>DWS Investment v. 01.06.2022</v>
      </c>
      <c r="B96" s="609">
        <f>ROW()</f>
        <v>96</v>
      </c>
      <c r="C96" s="635" t="s">
        <v>755</v>
      </c>
      <c r="D96" s="1201">
        <v>44713</v>
      </c>
      <c r="E96" s="636" t="s">
        <v>756</v>
      </c>
      <c r="F96" s="637" t="str">
        <f t="shared" si="9"/>
        <v>Ja</v>
      </c>
      <c r="G96" s="634" t="str">
        <f t="shared" si="8"/>
        <v xml:space="preserve">TO ermöglicht: Tarifwechel; </v>
      </c>
      <c r="K96" s="1199">
        <v>1</v>
      </c>
      <c r="L96" s="1199"/>
      <c r="M96" s="1199"/>
      <c r="N96" s="1199"/>
      <c r="O96" s="789" t="s">
        <v>757</v>
      </c>
      <c r="P96" s="144">
        <f t="shared" si="6"/>
        <v>1</v>
      </c>
    </row>
    <row r="97" spans="1:16" ht="25.5">
      <c r="A97" s="609" t="str">
        <f t="shared" si="7"/>
        <v>EDEKA Handelsgesellschaft Nordbayern-Sachsen-Thüringen mbH v. 01.09.2009</v>
      </c>
      <c r="B97" s="609">
        <f>ROW()</f>
        <v>97</v>
      </c>
      <c r="C97" s="635" t="s">
        <v>807</v>
      </c>
      <c r="D97" s="1201">
        <v>40057</v>
      </c>
      <c r="F97" s="637" t="str">
        <f t="shared" si="9"/>
        <v/>
      </c>
      <c r="G97" s="634" t="str">
        <f t="shared" si="8"/>
        <v xml:space="preserve">TO ermöglicht: doppelten Kostenabzug; </v>
      </c>
      <c r="K97" s="1199"/>
      <c r="L97" s="1199">
        <v>2</v>
      </c>
      <c r="M97" s="1199"/>
      <c r="N97" s="1199"/>
      <c r="O97" s="789" t="s">
        <v>812</v>
      </c>
      <c r="P97" s="144">
        <f t="shared" ref="P97:P167" si="10">SUM(K97:N97)</f>
        <v>2</v>
      </c>
    </row>
    <row r="98" spans="1:16" ht="22.5">
      <c r="A98" s="609" t="str">
        <f t="shared" si="7"/>
        <v>EDEKA Nordbayern-Schsen-Thüringen GmbH v. 01.09.2009</v>
      </c>
      <c r="B98" s="609">
        <f>ROW()</f>
        <v>98</v>
      </c>
      <c r="C98" s="635" t="s">
        <v>1280</v>
      </c>
      <c r="D98" s="1201">
        <v>40057</v>
      </c>
      <c r="E98" s="636" t="s">
        <v>776</v>
      </c>
      <c r="F98" s="637" t="str">
        <f t="shared" si="9"/>
        <v/>
      </c>
      <c r="G98" s="634" t="str">
        <f t="shared" si="8"/>
        <v xml:space="preserve">TO ermöglicht: doppelten Kostenabzug; </v>
      </c>
      <c r="K98" s="1199"/>
      <c r="L98" s="1199">
        <v>2</v>
      </c>
      <c r="M98" s="1199"/>
      <c r="N98" s="1199"/>
      <c r="O98" s="789"/>
      <c r="P98" s="144">
        <f t="shared" si="10"/>
        <v>2</v>
      </c>
    </row>
    <row r="99" spans="1:16" ht="25.5">
      <c r="A99" s="609" t="str">
        <f t="shared" si="7"/>
        <v>EDEKA Rhein-Ruhr R11 R12 v. 01.09.2018</v>
      </c>
      <c r="B99" s="609">
        <f>ROW()</f>
        <v>99</v>
      </c>
      <c r="C99" s="635" t="s">
        <v>809</v>
      </c>
      <c r="D99" s="1201">
        <v>43344</v>
      </c>
      <c r="E99" s="636" t="s">
        <v>776</v>
      </c>
      <c r="F99" s="637" t="str">
        <f t="shared" si="9"/>
        <v/>
      </c>
      <c r="G99" s="634" t="str">
        <f t="shared" si="8"/>
        <v xml:space="preserve">TO ermöglicht: doppelten Kostenabzug; </v>
      </c>
      <c r="K99" s="1199"/>
      <c r="L99" s="1199">
        <v>2</v>
      </c>
      <c r="M99" s="1199"/>
      <c r="N99" s="1199"/>
      <c r="O99" s="789" t="s">
        <v>812</v>
      </c>
      <c r="P99" s="144">
        <f t="shared" si="10"/>
        <v>2</v>
      </c>
    </row>
    <row r="100" spans="1:16" ht="25.5">
      <c r="A100" s="609" t="str">
        <f t="shared" si="7"/>
        <v>EDEKA Süd v. 01.09.2009</v>
      </c>
      <c r="B100" s="609">
        <f>ROW()</f>
        <v>100</v>
      </c>
      <c r="C100" s="635" t="s">
        <v>797</v>
      </c>
      <c r="D100" s="1201">
        <v>40057</v>
      </c>
      <c r="E100" s="636" t="s">
        <v>776</v>
      </c>
      <c r="F100" s="637" t="str">
        <f t="shared" si="9"/>
        <v/>
      </c>
      <c r="G100" s="634" t="str">
        <f t="shared" si="8"/>
        <v xml:space="preserve">TO ermöglicht: doppelten Kostenabzug; </v>
      </c>
      <c r="K100" s="1199"/>
      <c r="L100" s="1199">
        <v>2</v>
      </c>
      <c r="M100" s="1199"/>
      <c r="N100" s="1199"/>
      <c r="O100" s="789" t="s">
        <v>812</v>
      </c>
      <c r="P100" s="144">
        <f t="shared" si="10"/>
        <v>2</v>
      </c>
    </row>
    <row r="101" spans="1:16" ht="25.5">
      <c r="A101" s="609" t="str">
        <f t="shared" si="7"/>
        <v>EDEKA Südwest v. 01.09.2009</v>
      </c>
      <c r="B101" s="609">
        <f>ROW()</f>
        <v>101</v>
      </c>
      <c r="C101" s="635" t="s">
        <v>798</v>
      </c>
      <c r="D101" s="1201">
        <v>40057</v>
      </c>
      <c r="E101" s="636" t="s">
        <v>776</v>
      </c>
      <c r="F101" s="637" t="str">
        <f t="shared" si="9"/>
        <v/>
      </c>
      <c r="G101" s="634" t="str">
        <f t="shared" si="8"/>
        <v xml:space="preserve">TO ermöglicht: doppelten Kostenabzug; </v>
      </c>
      <c r="K101" s="1199"/>
      <c r="L101" s="1199">
        <v>2</v>
      </c>
      <c r="M101" s="1199"/>
      <c r="N101" s="1199"/>
      <c r="O101" s="789" t="s">
        <v>812</v>
      </c>
      <c r="P101" s="144">
        <f t="shared" si="10"/>
        <v>2</v>
      </c>
    </row>
    <row r="102" spans="1:16" ht="25.5">
      <c r="A102" s="609" t="str">
        <f t="shared" si="7"/>
        <v>EDEKA Zentrale Handel und Produktion GmbH v. 01.07.2016</v>
      </c>
      <c r="B102" s="609">
        <f>ROW()</f>
        <v>102</v>
      </c>
      <c r="C102" s="635" t="s">
        <v>806</v>
      </c>
      <c r="D102" s="1201">
        <v>42552</v>
      </c>
      <c r="E102" s="636" t="s">
        <v>776</v>
      </c>
      <c r="F102" s="637" t="str">
        <f t="shared" si="9"/>
        <v/>
      </c>
      <c r="G102" s="634" t="str">
        <f t="shared" si="8"/>
        <v xml:space="preserve">TO ermöglicht: doppelten Kostenabzug; </v>
      </c>
      <c r="K102" s="1199"/>
      <c r="L102" s="1199">
        <v>2</v>
      </c>
      <c r="M102" s="1199"/>
      <c r="N102" s="1199"/>
      <c r="O102" s="789" t="s">
        <v>812</v>
      </c>
      <c r="P102" s="144">
        <f t="shared" si="10"/>
        <v>2</v>
      </c>
    </row>
    <row r="103" spans="1:16" ht="22.5">
      <c r="A103" s="609" t="str">
        <f t="shared" si="7"/>
        <v>Edelweiss GmbH &amp; Co KG (EVO I und II) v. 01.07.2011</v>
      </c>
      <c r="B103" s="609">
        <f>ROW()</f>
        <v>103</v>
      </c>
      <c r="C103" s="635" t="s">
        <v>1281</v>
      </c>
      <c r="D103" s="1201">
        <v>40725</v>
      </c>
      <c r="E103" s="636">
        <v>5</v>
      </c>
      <c r="F103" s="637" t="str">
        <f t="shared" si="9"/>
        <v/>
      </c>
      <c r="G103" s="634" t="str">
        <f t="shared" si="8"/>
        <v xml:space="preserve">TO ermöglicht: doppelten Kostenabzug; </v>
      </c>
      <c r="K103" s="1199"/>
      <c r="L103" s="1199">
        <v>2</v>
      </c>
      <c r="M103" s="1199"/>
      <c r="N103" s="1199"/>
      <c r="O103" s="789"/>
      <c r="P103" s="144">
        <f t="shared" si="10"/>
        <v>2</v>
      </c>
    </row>
    <row r="104" spans="1:16" ht="25.5">
      <c r="A104" s="609" t="str">
        <f t="shared" si="7"/>
        <v>Edelweiss GmbH &amp; Co KG (EVO) v. 22.12.2012</v>
      </c>
      <c r="B104" s="609">
        <f>ROW()</f>
        <v>104</v>
      </c>
      <c r="C104" s="635" t="s">
        <v>802</v>
      </c>
      <c r="D104" s="1201">
        <v>41265</v>
      </c>
      <c r="E104" s="636" t="s">
        <v>776</v>
      </c>
      <c r="F104" s="637" t="str">
        <f t="shared" si="9"/>
        <v/>
      </c>
      <c r="G104" s="634" t="str">
        <f t="shared" si="8"/>
        <v xml:space="preserve">TO ermöglicht: doppelten Kostenabzug; </v>
      </c>
      <c r="J104" s="788"/>
      <c r="K104" s="1199"/>
      <c r="L104" s="1199">
        <v>2</v>
      </c>
      <c r="M104" s="1199"/>
      <c r="N104" s="1199"/>
      <c r="O104" s="789" t="s">
        <v>812</v>
      </c>
      <c r="P104" s="144">
        <f t="shared" si="10"/>
        <v>2</v>
      </c>
    </row>
    <row r="105" spans="1:16" ht="25.5">
      <c r="A105" s="609" t="str">
        <f t="shared" si="7"/>
        <v>Edelweiss GmbH &amp; Co KG (UVO) v. 01.09.2009</v>
      </c>
      <c r="B105" s="609">
        <f>ROW()</f>
        <v>105</v>
      </c>
      <c r="C105" s="635" t="s">
        <v>803</v>
      </c>
      <c r="D105" s="1201">
        <v>40057</v>
      </c>
      <c r="E105" s="636" t="s">
        <v>776</v>
      </c>
      <c r="F105" s="637" t="str">
        <f t="shared" si="9"/>
        <v/>
      </c>
      <c r="G105" s="634" t="str">
        <f t="shared" si="8"/>
        <v xml:space="preserve">TO ermöglicht: doppelten Kostenabzug; </v>
      </c>
      <c r="K105" s="1199"/>
      <c r="L105" s="1199">
        <v>2</v>
      </c>
      <c r="M105" s="1199"/>
      <c r="N105" s="1199"/>
      <c r="O105" s="789" t="s">
        <v>812</v>
      </c>
      <c r="P105" s="144">
        <f t="shared" si="10"/>
        <v>2</v>
      </c>
    </row>
    <row r="106" spans="1:16" ht="25.5">
      <c r="A106" s="609" t="str">
        <f t="shared" si="7"/>
        <v>EKN Betriebs AG &amp; Co. oHG: Direktzusagen v. 01.04.2017</v>
      </c>
      <c r="B106" s="609">
        <f>ROW()</f>
        <v>106</v>
      </c>
      <c r="C106" s="635" t="s">
        <v>808</v>
      </c>
      <c r="D106" s="1201">
        <v>42826</v>
      </c>
      <c r="E106" s="636" t="s">
        <v>201</v>
      </c>
      <c r="F106" s="637" t="str">
        <f t="shared" si="9"/>
        <v/>
      </c>
      <c r="G106" s="634" t="str">
        <f t="shared" si="8"/>
        <v/>
      </c>
      <c r="K106" s="1199"/>
      <c r="L106" s="1199"/>
      <c r="M106" s="1199"/>
      <c r="N106" s="1199"/>
      <c r="O106" s="789" t="s">
        <v>812</v>
      </c>
      <c r="P106" s="144">
        <f t="shared" si="10"/>
        <v>0</v>
      </c>
    </row>
    <row r="107" spans="1:16" ht="33.75">
      <c r="A107" s="609" t="str">
        <f t="shared" si="7"/>
        <v>ERGO Unterstützungskasse v. 01.03.2010</v>
      </c>
      <c r="B107" s="609">
        <f>ROW()</f>
        <v>107</v>
      </c>
      <c r="C107" s="635" t="s">
        <v>1220</v>
      </c>
      <c r="D107" s="1201">
        <v>40238</v>
      </c>
      <c r="E107" s="636">
        <v>5</v>
      </c>
      <c r="F107" s="637" t="str">
        <f t="shared" si="9"/>
        <v/>
      </c>
      <c r="G107" s="634" t="str">
        <f t="shared" si="8"/>
        <v xml:space="preserve">TO ermöglicht: doppelten Kostenabzug; </v>
      </c>
      <c r="I107" s="634" t="s">
        <v>1221</v>
      </c>
      <c r="K107" s="1199"/>
      <c r="L107" s="1199">
        <v>2</v>
      </c>
      <c r="M107" s="1199"/>
      <c r="N107" s="1199"/>
      <c r="P107" s="144">
        <f t="shared" si="10"/>
        <v>2</v>
      </c>
    </row>
    <row r="108" spans="1:16">
      <c r="A108" s="609" t="str">
        <f t="shared" si="7"/>
        <v>ERGO v. 16.01.2020</v>
      </c>
      <c r="B108" s="609">
        <f>ROW()</f>
        <v>108</v>
      </c>
      <c r="C108" s="635" t="s">
        <v>659</v>
      </c>
      <c r="D108" s="1201">
        <v>43846</v>
      </c>
      <c r="E108" s="636" t="s">
        <v>660</v>
      </c>
      <c r="F108" s="637" t="str">
        <f t="shared" si="9"/>
        <v>Ja</v>
      </c>
      <c r="G108" s="634" t="str">
        <f t="shared" si="8"/>
        <v xml:space="preserve">TO ermöglicht: Tarifwechel; </v>
      </c>
      <c r="K108" s="1199">
        <v>1</v>
      </c>
      <c r="L108" s="1199"/>
      <c r="M108" s="1199"/>
      <c r="N108" s="1199"/>
      <c r="O108" s="634"/>
      <c r="P108" s="144">
        <f t="shared" si="10"/>
        <v>1</v>
      </c>
    </row>
    <row r="109" spans="1:16" ht="33.75">
      <c r="A109" s="609" t="str">
        <f t="shared" si="7"/>
        <v>ERGO v. 25.02.2020</v>
      </c>
      <c r="B109" s="609">
        <f>ROW()</f>
        <v>109</v>
      </c>
      <c r="C109" s="635" t="s">
        <v>659</v>
      </c>
      <c r="D109" s="1201">
        <v>43886</v>
      </c>
      <c r="F109" s="637" t="str">
        <f t="shared" si="9"/>
        <v/>
      </c>
      <c r="G109" s="634" t="str">
        <f t="shared" si="8"/>
        <v>TO ermöglicht: doppelten Kostenabzug;  Abweichungen vom gerichtl. festgelegten Ausgleichswert;  Verzinsung zwischen EzE und RK geltend machen</v>
      </c>
      <c r="K109" s="1199"/>
      <c r="L109" s="1199">
        <v>2</v>
      </c>
      <c r="M109" s="1199">
        <v>3</v>
      </c>
      <c r="N109" s="1199">
        <v>4</v>
      </c>
      <c r="P109" s="144">
        <f t="shared" si="10"/>
        <v>9</v>
      </c>
    </row>
    <row r="110" spans="1:16" ht="22.5">
      <c r="A110" s="609" t="str">
        <f t="shared" si="7"/>
        <v>ERGO Pensionsfonds AG v. 18.08.2021</v>
      </c>
      <c r="B110" s="609">
        <f>ROW()</f>
        <v>110</v>
      </c>
      <c r="C110" s="635" t="s">
        <v>1633</v>
      </c>
      <c r="D110" s="1201">
        <v>44426</v>
      </c>
      <c r="E110" s="636" t="s">
        <v>727</v>
      </c>
      <c r="F110" s="637" t="str">
        <f t="shared" si="9"/>
        <v>Ja</v>
      </c>
      <c r="G110" s="634" t="str">
        <f t="shared" si="8"/>
        <v>TO ermöglicht: Tarifwechel; doppelten Kostenabzug;  Verzinsung zwischen EzE und RK geltend machen</v>
      </c>
      <c r="I110" s="634" t="s">
        <v>1634</v>
      </c>
      <c r="K110" s="1199">
        <v>1</v>
      </c>
      <c r="L110" s="1199">
        <v>2</v>
      </c>
      <c r="M110" s="1199"/>
      <c r="N110" s="1199">
        <v>4</v>
      </c>
      <c r="P110" s="144"/>
    </row>
    <row r="111" spans="1:16" ht="22.5">
      <c r="A111" s="609" t="str">
        <f>C111&amp;IF(D111=0,""," v. "&amp;TEXT(D111,"TT.MM.JJJ"))</f>
        <v>EGU Ergo Gruppenunterstützungskasse e.V. v. 12.01.2011</v>
      </c>
      <c r="B111" s="609">
        <f>ROW()</f>
        <v>111</v>
      </c>
      <c r="C111" s="635" t="s">
        <v>1963</v>
      </c>
      <c r="D111" s="1201">
        <v>40555</v>
      </c>
      <c r="E111" s="636" t="s">
        <v>1964</v>
      </c>
      <c r="F111" s="637" t="s">
        <v>472</v>
      </c>
      <c r="K111" s="1199">
        <v>1</v>
      </c>
      <c r="L111" s="1199">
        <v>2</v>
      </c>
      <c r="M111" s="1199"/>
      <c r="N111" s="1199">
        <v>4</v>
      </c>
      <c r="P111" s="144"/>
    </row>
    <row r="112" spans="1:16" ht="22.5">
      <c r="A112" s="609" t="str">
        <f>C112&amp;IF(D112=0,""," v. "&amp;TEXT(D112,"TT.MM.JJJ"))</f>
        <v>ERGO Lebensversicherung AG v. 12.01.2012</v>
      </c>
      <c r="B112" s="609">
        <f>ROW()</f>
        <v>112</v>
      </c>
      <c r="C112" s="635" t="s">
        <v>1635</v>
      </c>
      <c r="D112" s="1201">
        <v>40920</v>
      </c>
      <c r="F112" s="637" t="str">
        <f t="shared" si="9"/>
        <v>Ja</v>
      </c>
      <c r="G112" s="634" t="str">
        <f t="shared" si="8"/>
        <v>TO ermöglicht: Tarifwechel; doppelten Kostenabzug;  Verzinsung zwischen EzE und RK geltend machen</v>
      </c>
      <c r="K112" s="1199">
        <v>1</v>
      </c>
      <c r="L112" s="1199">
        <v>2</v>
      </c>
      <c r="M112" s="1199"/>
      <c r="N112" s="1199">
        <v>4</v>
      </c>
      <c r="P112" s="144"/>
    </row>
    <row r="113" spans="1:16" ht="33.75">
      <c r="A113" s="609" t="str">
        <f t="shared" si="7"/>
        <v>Ernest &amp; Young v. 12.04.2010</v>
      </c>
      <c r="B113" s="609">
        <f>ROW()</f>
        <v>113</v>
      </c>
      <c r="C113" s="635" t="s">
        <v>1068</v>
      </c>
      <c r="D113" s="1201">
        <v>40280</v>
      </c>
      <c r="E113" s="636" t="s">
        <v>1069</v>
      </c>
      <c r="F113" s="637" t="str">
        <f t="shared" si="9"/>
        <v/>
      </c>
      <c r="G113" s="634" t="str">
        <f t="shared" si="8"/>
        <v>TO ermöglicht: doppelten Kostenabzug;  Abweichungen vom gerichtl. festgelegten Ausgleichswert;  Verzinsung zwischen EzE und RK geltend machen</v>
      </c>
      <c r="K113" s="1199"/>
      <c r="L113" s="1199">
        <v>2</v>
      </c>
      <c r="M113" s="1199">
        <v>3</v>
      </c>
      <c r="N113" s="1199">
        <v>4</v>
      </c>
      <c r="P113" s="144">
        <f t="shared" si="10"/>
        <v>9</v>
      </c>
    </row>
    <row r="114" spans="1:16" ht="22.5">
      <c r="A114" s="609" t="str">
        <f t="shared" si="7"/>
        <v>Ernest &amp; Young v. 22.07.2016</v>
      </c>
      <c r="B114" s="609">
        <f>ROW()</f>
        <v>114</v>
      </c>
      <c r="C114" s="635" t="s">
        <v>1068</v>
      </c>
      <c r="D114" s="1201">
        <v>42573</v>
      </c>
      <c r="E114" s="636" t="s">
        <v>727</v>
      </c>
      <c r="F114" s="637" t="str">
        <f t="shared" si="9"/>
        <v/>
      </c>
      <c r="G114" s="634" t="str">
        <f t="shared" si="8"/>
        <v>TO ermöglicht: doppelten Kostenabzug;  Verzinsung zwischen EzE und RK geltend machen</v>
      </c>
      <c r="K114" s="1199"/>
      <c r="L114" s="1199">
        <v>2</v>
      </c>
      <c r="M114" s="1199"/>
      <c r="N114" s="1199">
        <v>4</v>
      </c>
      <c r="P114" s="144">
        <f t="shared" si="10"/>
        <v>6</v>
      </c>
    </row>
    <row r="115" spans="1:16">
      <c r="A115" s="609" t="str">
        <f t="shared" si="7"/>
        <v>Essener Verband  v. 10.11.2009</v>
      </c>
      <c r="B115" s="609">
        <f>ROW()</f>
        <v>115</v>
      </c>
      <c r="C115" s="635" t="s">
        <v>1070</v>
      </c>
      <c r="D115" s="1201">
        <v>40127</v>
      </c>
      <c r="E115" s="636" t="s">
        <v>1071</v>
      </c>
      <c r="F115" s="637" t="str">
        <f t="shared" si="9"/>
        <v/>
      </c>
      <c r="G115" s="634" t="str">
        <f t="shared" si="8"/>
        <v>TO ermöglicht:  Verzinsung zwischen EzE und RK geltend machen</v>
      </c>
      <c r="K115" s="1199"/>
      <c r="L115" s="1199"/>
      <c r="M115" s="1199"/>
      <c r="N115" s="1199">
        <v>4</v>
      </c>
      <c r="P115" s="144">
        <f t="shared" si="10"/>
        <v>4</v>
      </c>
    </row>
    <row r="116" spans="1:16" ht="33.75">
      <c r="A116" s="609" t="str">
        <f t="shared" si="7"/>
        <v>Essener Verband Leistungsordnung "A" v. 01.01.2012</v>
      </c>
      <c r="B116" s="609">
        <f>ROW()</f>
        <v>116</v>
      </c>
      <c r="C116" s="635" t="s">
        <v>1176</v>
      </c>
      <c r="D116" s="1201">
        <v>40909</v>
      </c>
      <c r="E116" s="636" t="s">
        <v>203</v>
      </c>
      <c r="F116" s="637" t="str">
        <f t="shared" si="9"/>
        <v/>
      </c>
      <c r="G116" s="634" t="str">
        <f t="shared" si="8"/>
        <v>TO ermöglicht: doppelten Kostenabzug;  Abweichungen vom gerichtl. festgelegten Ausgleichswert;  Verzinsung zwischen EzE und RK geltend machen</v>
      </c>
      <c r="K116" s="1199"/>
      <c r="L116" s="1199">
        <v>2</v>
      </c>
      <c r="M116" s="1199">
        <v>3</v>
      </c>
      <c r="N116" s="1199">
        <v>4</v>
      </c>
      <c r="P116" s="144">
        <f t="shared" si="10"/>
        <v>9</v>
      </c>
    </row>
    <row r="117" spans="1:16" ht="22.5">
      <c r="A117" s="609" t="str">
        <f t="shared" si="7"/>
        <v>Esso Deutschland GmbH v. 09.02.2010</v>
      </c>
      <c r="B117" s="609">
        <f>ROW()</f>
        <v>117</v>
      </c>
      <c r="C117" s="635" t="s">
        <v>1265</v>
      </c>
      <c r="D117" s="1201">
        <v>40218</v>
      </c>
      <c r="E117" s="636" t="s">
        <v>1082</v>
      </c>
      <c r="F117" s="637" t="str">
        <f t="shared" si="9"/>
        <v/>
      </c>
      <c r="G117" s="634" t="str">
        <f t="shared" si="8"/>
        <v xml:space="preserve">TO ermöglicht: doppelten Kostenabzug;  Abweichungen vom gerichtl. festgelegten Ausgleichswert; </v>
      </c>
      <c r="I117" s="634" t="s">
        <v>1269</v>
      </c>
      <c r="K117" s="1199"/>
      <c r="L117" s="1199">
        <v>2</v>
      </c>
      <c r="M117" s="1199">
        <v>3</v>
      </c>
      <c r="N117" s="1199"/>
      <c r="P117" s="144">
        <f t="shared" si="10"/>
        <v>5</v>
      </c>
    </row>
    <row r="118" spans="1:16">
      <c r="A118" s="609" t="str">
        <f t="shared" si="7"/>
        <v>Evonik v. 04.12.2009</v>
      </c>
      <c r="B118" s="609">
        <f>ROW()</f>
        <v>118</v>
      </c>
      <c r="C118" s="635" t="s">
        <v>1008</v>
      </c>
      <c r="D118" s="1201">
        <v>40151</v>
      </c>
      <c r="E118" s="636" t="s">
        <v>1009</v>
      </c>
      <c r="F118" s="637" t="str">
        <f t="shared" si="9"/>
        <v/>
      </c>
      <c r="G118" s="634" t="str">
        <f t="shared" si="8"/>
        <v>TO ermöglicht:  Verzinsung zwischen EzE und RK geltend machen</v>
      </c>
      <c r="K118" s="1199"/>
      <c r="L118" s="1199"/>
      <c r="M118" s="1199"/>
      <c r="N118" s="1199">
        <v>4</v>
      </c>
      <c r="P118" s="144">
        <f t="shared" si="10"/>
        <v>4</v>
      </c>
    </row>
    <row r="119" spans="1:16">
      <c r="A119" s="609" t="str">
        <f t="shared" si="7"/>
        <v>Evonik v. 15.05.2015</v>
      </c>
      <c r="B119" s="609">
        <f>ROW()</f>
        <v>119</v>
      </c>
      <c r="C119" s="635" t="s">
        <v>1008</v>
      </c>
      <c r="D119" s="1201">
        <v>42139</v>
      </c>
      <c r="E119" s="636" t="s">
        <v>1009</v>
      </c>
      <c r="F119" s="637" t="str">
        <f t="shared" si="9"/>
        <v/>
      </c>
      <c r="G119" s="634" t="str">
        <f t="shared" si="8"/>
        <v/>
      </c>
      <c r="J119" s="788"/>
      <c r="K119" s="1199"/>
      <c r="L119" s="1199"/>
      <c r="M119" s="1199"/>
      <c r="N119" s="1199"/>
      <c r="P119" s="144">
        <f t="shared" si="10"/>
        <v>0</v>
      </c>
    </row>
    <row r="120" spans="1:16" ht="22.5">
      <c r="A120" s="609" t="str">
        <f t="shared" si="7"/>
        <v>ExxonMobil Central Europe Holding GmbH v. 09.02.2010</v>
      </c>
      <c r="B120" s="609">
        <f>ROW()</f>
        <v>120</v>
      </c>
      <c r="C120" s="635" t="s">
        <v>1264</v>
      </c>
      <c r="D120" s="1201">
        <v>40218</v>
      </c>
      <c r="E120" s="636" t="s">
        <v>1082</v>
      </c>
      <c r="F120" s="637" t="str">
        <f t="shared" si="9"/>
        <v/>
      </c>
      <c r="G120" s="634" t="str">
        <f t="shared" si="8"/>
        <v xml:space="preserve">TO ermöglicht: doppelten Kostenabzug;  Abweichungen vom gerichtl. festgelegten Ausgleichswert; </v>
      </c>
      <c r="I120" s="634" t="s">
        <v>1269</v>
      </c>
      <c r="K120" s="1199"/>
      <c r="L120" s="1199">
        <v>2</v>
      </c>
      <c r="M120" s="1199">
        <v>3</v>
      </c>
      <c r="N120" s="1199"/>
      <c r="P120" s="144">
        <f t="shared" si="10"/>
        <v>5</v>
      </c>
    </row>
    <row r="121" spans="1:16" ht="22.5">
      <c r="A121" s="609" t="str">
        <f t="shared" si="7"/>
        <v>ExxonMobil Gas Marketing Deuschland GmbH v. 09.02.2010</v>
      </c>
      <c r="B121" s="609">
        <f>ROW()</f>
        <v>121</v>
      </c>
      <c r="C121" s="635" t="s">
        <v>1268</v>
      </c>
      <c r="D121" s="1201">
        <v>40218</v>
      </c>
      <c r="E121" s="636" t="s">
        <v>1082</v>
      </c>
      <c r="F121" s="637" t="str">
        <f t="shared" si="9"/>
        <v/>
      </c>
      <c r="G121" s="634" t="str">
        <f t="shared" si="8"/>
        <v xml:space="preserve">TO ermöglicht: doppelten Kostenabzug;  Abweichungen vom gerichtl. festgelegten Ausgleichswert; </v>
      </c>
      <c r="I121" s="634" t="s">
        <v>1269</v>
      </c>
      <c r="K121" s="1199"/>
      <c r="L121" s="1199">
        <v>2</v>
      </c>
      <c r="M121" s="1199">
        <v>3</v>
      </c>
      <c r="N121" s="1199"/>
      <c r="P121" s="144">
        <f t="shared" si="10"/>
        <v>5</v>
      </c>
    </row>
    <row r="122" spans="1:16" ht="22.5">
      <c r="A122" s="609" t="str">
        <f t="shared" si="7"/>
        <v>ExxonMobil Pensions-Verwaltungsgesellschaft mbH v. 09.02.2010</v>
      </c>
      <c r="B122" s="609">
        <f>ROW()</f>
        <v>122</v>
      </c>
      <c r="C122" s="635" t="s">
        <v>1266</v>
      </c>
      <c r="D122" s="1201">
        <v>40218</v>
      </c>
      <c r="E122" s="636" t="s">
        <v>1082</v>
      </c>
      <c r="F122" s="637" t="str">
        <f t="shared" si="9"/>
        <v/>
      </c>
      <c r="G122" s="634" t="str">
        <f t="shared" si="8"/>
        <v xml:space="preserve">TO ermöglicht: doppelten Kostenabzug;  Abweichungen vom gerichtl. festgelegten Ausgleichswert; </v>
      </c>
      <c r="I122" s="634" t="s">
        <v>1269</v>
      </c>
      <c r="K122" s="1199"/>
      <c r="L122" s="1199">
        <v>2</v>
      </c>
      <c r="M122" s="1199">
        <v>3</v>
      </c>
      <c r="N122" s="1199"/>
      <c r="P122" s="144">
        <f t="shared" si="10"/>
        <v>5</v>
      </c>
    </row>
    <row r="123" spans="1:16" ht="22.5">
      <c r="A123" s="609" t="str">
        <f t="shared" si="7"/>
        <v>ExxonMobil Production Deutschland GmbH v. 09.02.2010</v>
      </c>
      <c r="B123" s="609">
        <f>ROW()</f>
        <v>123</v>
      </c>
      <c r="C123" s="635" t="s">
        <v>1267</v>
      </c>
      <c r="D123" s="1201">
        <v>40218</v>
      </c>
      <c r="E123" s="636" t="s">
        <v>1082</v>
      </c>
      <c r="F123" s="637" t="str">
        <f t="shared" si="9"/>
        <v/>
      </c>
      <c r="G123" s="634" t="str">
        <f t="shared" si="8"/>
        <v xml:space="preserve">TO ermöglicht: doppelten Kostenabzug;  Abweichungen vom gerichtl. festgelegten Ausgleichswert; </v>
      </c>
      <c r="I123" s="634" t="s">
        <v>1269</v>
      </c>
      <c r="K123" s="1199"/>
      <c r="L123" s="1199">
        <v>2</v>
      </c>
      <c r="M123" s="1199">
        <v>3</v>
      </c>
      <c r="N123" s="1199"/>
      <c r="P123" s="144">
        <f t="shared" si="10"/>
        <v>5</v>
      </c>
    </row>
    <row r="124" spans="1:16" ht="22.5">
      <c r="A124" s="609" t="str">
        <f t="shared" si="7"/>
        <v>EY Ernest &amp; Young GmbH v. 22.07.2016</v>
      </c>
      <c r="B124" s="609">
        <f>ROW()</f>
        <v>124</v>
      </c>
      <c r="C124" s="635" t="s">
        <v>964</v>
      </c>
      <c r="D124" s="1201">
        <v>42573</v>
      </c>
      <c r="E124" s="636" t="s">
        <v>767</v>
      </c>
      <c r="F124" s="637" t="str">
        <f t="shared" si="9"/>
        <v/>
      </c>
      <c r="G124" s="634" t="str">
        <f t="shared" si="8"/>
        <v>TO ermöglicht: doppelten Kostenabzug;  Verzinsung zwischen EzE und RK geltend machen</v>
      </c>
      <c r="K124" s="1199"/>
      <c r="L124" s="1199">
        <v>2</v>
      </c>
      <c r="M124" s="1199"/>
      <c r="N124" s="1199">
        <v>4</v>
      </c>
      <c r="P124" s="144">
        <f t="shared" si="10"/>
        <v>6</v>
      </c>
    </row>
    <row r="125" spans="1:16" ht="33.75">
      <c r="A125" s="609" t="str">
        <f t="shared" si="7"/>
        <v>Familienfürsorge UK v. 01.01.2011</v>
      </c>
      <c r="B125" s="609">
        <f>ROW()</f>
        <v>125</v>
      </c>
      <c r="C125" s="635" t="s">
        <v>1072</v>
      </c>
      <c r="D125" s="1201">
        <v>40544</v>
      </c>
      <c r="E125" s="636" t="s">
        <v>1073</v>
      </c>
      <c r="F125" s="637" t="str">
        <f t="shared" si="9"/>
        <v/>
      </c>
      <c r="G125" s="634" t="str">
        <f t="shared" si="8"/>
        <v>TO ermöglicht: doppelten Kostenabzug;  Abweichungen vom gerichtl. festgelegten Ausgleichswert;  Verzinsung zwischen EzE und RK geltend machen</v>
      </c>
      <c r="K125" s="1199"/>
      <c r="L125" s="1199">
        <v>2</v>
      </c>
      <c r="M125" s="1199">
        <v>3</v>
      </c>
      <c r="N125" s="1199">
        <v>4</v>
      </c>
      <c r="P125" s="144">
        <f t="shared" si="10"/>
        <v>9</v>
      </c>
    </row>
    <row r="126" spans="1:16">
      <c r="A126" s="609" t="str">
        <f t="shared" si="7"/>
        <v>Feuersozietät Berlin Brandenburg AG v. 01.09.2009</v>
      </c>
      <c r="B126" s="609">
        <f>ROW()</f>
        <v>126</v>
      </c>
      <c r="C126" s="635" t="s">
        <v>1074</v>
      </c>
      <c r="D126" s="1201">
        <v>40057</v>
      </c>
      <c r="E126" s="636" t="s">
        <v>1075</v>
      </c>
      <c r="F126" s="637" t="str">
        <f t="shared" si="9"/>
        <v>Ja</v>
      </c>
      <c r="G126" s="634" t="str">
        <f t="shared" si="8"/>
        <v xml:space="preserve">TO ermöglicht: Tarifwechel; </v>
      </c>
      <c r="J126" s="788"/>
      <c r="K126" s="1199">
        <v>1</v>
      </c>
      <c r="L126" s="1199"/>
      <c r="M126" s="1199"/>
      <c r="N126" s="1199"/>
      <c r="P126" s="144">
        <f t="shared" si="10"/>
        <v>1</v>
      </c>
    </row>
    <row r="127" spans="1:16">
      <c r="A127" s="609" t="str">
        <f t="shared" si="7"/>
        <v>FOVERUKA v. 13.12.2016</v>
      </c>
      <c r="B127" s="609">
        <f>ROW()</f>
        <v>127</v>
      </c>
      <c r="C127" s="635" t="s">
        <v>958</v>
      </c>
      <c r="D127" s="1201">
        <v>42717</v>
      </c>
      <c r="F127" s="637" t="str">
        <f t="shared" si="9"/>
        <v/>
      </c>
      <c r="G127" s="634" t="str">
        <f t="shared" si="8"/>
        <v xml:space="preserve">TO ermöglicht: doppelten Kostenabzug; </v>
      </c>
      <c r="K127" s="1199"/>
      <c r="L127" s="1199">
        <v>2</v>
      </c>
      <c r="M127" s="1199"/>
      <c r="N127" s="1199"/>
      <c r="P127" s="144">
        <f t="shared" si="10"/>
        <v>2</v>
      </c>
    </row>
    <row r="128" spans="1:16" ht="22.5">
      <c r="A128" s="609" t="str">
        <f t="shared" si="7"/>
        <v>Frankfurt Münchener Lebensversicherung AG v. 15.7.2017?</v>
      </c>
      <c r="B128" s="609">
        <f>ROW()</f>
        <v>128</v>
      </c>
      <c r="C128" s="609" t="s">
        <v>1646</v>
      </c>
      <c r="D128" s="1201" t="s">
        <v>1647</v>
      </c>
      <c r="E128" s="636" t="s">
        <v>660</v>
      </c>
      <c r="F128" s="637" t="str">
        <f>IF(K128=1,"Ja","")</f>
        <v>Ja</v>
      </c>
      <c r="G128" s="634" t="str">
        <f>IF(SUM(K128:N128)=0,"","TO ermöglicht: "&amp;IF(K128&gt;0,"Tarifwechel; ","")&amp;IF(L128&gt;0,"doppelten Kostenabzug; ","")&amp;IF(M128&gt;0," Abweichungen vom gerichtl. festgelegten Ausgleichswert; ","")&amp;IF(N128&gt;0," Verzinsung zwischen EzE und RK geltend machen",""))</f>
        <v>TO ermöglicht: Tarifwechel; doppelten Kostenabzug;  Verzinsung zwischen EzE und RK geltend machen</v>
      </c>
      <c r="K128" s="1199">
        <v>1</v>
      </c>
      <c r="L128" s="1199">
        <v>2</v>
      </c>
      <c r="M128" s="1199"/>
      <c r="N128" s="1199">
        <v>4</v>
      </c>
      <c r="P128" s="144"/>
    </row>
    <row r="129" spans="1:16" ht="25.5">
      <c r="A129" s="609" t="str">
        <f t="shared" si="7"/>
        <v>Freies Versorgungswerk e.V. v. 01.02.2012</v>
      </c>
      <c r="B129" s="609">
        <f>ROW()</f>
        <v>129</v>
      </c>
      <c r="C129" s="635" t="s">
        <v>743</v>
      </c>
      <c r="D129" s="1201">
        <v>40940</v>
      </c>
      <c r="E129" s="636" t="s">
        <v>744</v>
      </c>
      <c r="F129" s="637" t="str">
        <f t="shared" si="9"/>
        <v/>
      </c>
      <c r="G129" s="634" t="str">
        <f t="shared" si="8"/>
        <v/>
      </c>
      <c r="J129" s="788"/>
      <c r="K129" s="1199"/>
      <c r="L129" s="1199"/>
      <c r="M129" s="1199"/>
      <c r="N129" s="1199"/>
      <c r="O129" s="793" t="s">
        <v>745</v>
      </c>
      <c r="P129" s="144">
        <f t="shared" si="10"/>
        <v>0</v>
      </c>
    </row>
    <row r="130" spans="1:16">
      <c r="A130" s="609" t="str">
        <f t="shared" si="7"/>
        <v>Fresenius v. 01.03.2017</v>
      </c>
      <c r="B130" s="609">
        <f>ROW()</f>
        <v>130</v>
      </c>
      <c r="C130" s="635" t="s">
        <v>1359</v>
      </c>
      <c r="D130" s="1201">
        <v>42795</v>
      </c>
      <c r="F130" s="637" t="str">
        <f t="shared" si="9"/>
        <v/>
      </c>
      <c r="G130" s="634" t="str">
        <f t="shared" si="8"/>
        <v/>
      </c>
      <c r="K130" s="1199"/>
      <c r="L130" s="1199"/>
      <c r="M130" s="1199"/>
      <c r="N130" s="1199"/>
      <c r="P130" s="144">
        <f t="shared" si="10"/>
        <v>0</v>
      </c>
    </row>
    <row r="131" spans="1:16" ht="25.5">
      <c r="A131" s="609" t="str">
        <f t="shared" si="7"/>
        <v>GALERIA Logisitik GmbH v. 01.07.2012</v>
      </c>
      <c r="B131" s="609">
        <f>ROW()</f>
        <v>131</v>
      </c>
      <c r="C131" s="635" t="s">
        <v>1129</v>
      </c>
      <c r="D131" s="1201">
        <v>41091</v>
      </c>
      <c r="E131" s="636" t="s">
        <v>776</v>
      </c>
      <c r="F131" s="637" t="str">
        <f t="shared" si="9"/>
        <v/>
      </c>
      <c r="G131" s="634" t="str">
        <f t="shared" si="8"/>
        <v xml:space="preserve">TO ermöglicht: doppelten Kostenabzug; </v>
      </c>
      <c r="K131" s="1199"/>
      <c r="L131" s="1199">
        <v>2</v>
      </c>
      <c r="M131" s="1199"/>
      <c r="N131" s="1199"/>
      <c r="O131" s="789" t="s">
        <v>812</v>
      </c>
      <c r="P131" s="144">
        <f t="shared" si="10"/>
        <v>2</v>
      </c>
    </row>
    <row r="132" spans="1:16">
      <c r="A132" s="609" t="str">
        <f t="shared" si="7"/>
        <v>GALERIA Personalservice GmbH TO v. 01.07.2012</v>
      </c>
      <c r="B132" s="609">
        <f>ROW()</f>
        <v>132</v>
      </c>
      <c r="C132" s="635" t="s">
        <v>1130</v>
      </c>
      <c r="D132" s="1201">
        <v>41091</v>
      </c>
      <c r="F132" s="637" t="str">
        <f t="shared" si="9"/>
        <v/>
      </c>
      <c r="G132" s="634" t="str">
        <f t="shared" si="8"/>
        <v xml:space="preserve">TO ermöglicht: doppelten Kostenabzug; </v>
      </c>
      <c r="J132" s="788"/>
      <c r="K132" s="1199"/>
      <c r="L132" s="1199">
        <v>2</v>
      </c>
      <c r="M132" s="1199"/>
      <c r="N132" s="1199"/>
      <c r="O132" s="793"/>
      <c r="P132" s="144">
        <f t="shared" si="10"/>
        <v>2</v>
      </c>
    </row>
    <row r="133" spans="1:16" ht="33.75">
      <c r="A133" s="609" t="str">
        <f t="shared" si="7"/>
        <v>Generali Lebensversicherung AG v. 01.12.2009</v>
      </c>
      <c r="B133" s="609">
        <f>ROW()</f>
        <v>133</v>
      </c>
      <c r="C133" s="635" t="s">
        <v>1077</v>
      </c>
      <c r="D133" s="1201">
        <v>40148</v>
      </c>
      <c r="F133" s="637" t="str">
        <f t="shared" si="9"/>
        <v>Ja</v>
      </c>
      <c r="G133" s="634" t="str">
        <f t="shared" si="8"/>
        <v>TO ermöglicht: Tarifwechel; doppelten Kostenabzug;  Abweichungen vom gerichtl. festgelegten Ausgleichswert;  Verzinsung zwischen EzE und RK geltend machen</v>
      </c>
      <c r="J133" s="788" t="s">
        <v>1078</v>
      </c>
      <c r="K133" s="1199">
        <v>1</v>
      </c>
      <c r="L133" s="1199">
        <v>2</v>
      </c>
      <c r="M133" s="1199">
        <v>3</v>
      </c>
      <c r="N133" s="1199">
        <v>4</v>
      </c>
      <c r="P133" s="144">
        <f t="shared" si="10"/>
        <v>10</v>
      </c>
    </row>
    <row r="134" spans="1:16" ht="22.5">
      <c r="A134" s="609" t="str">
        <f>C134&amp;IF(D134=0,""," v. "&amp;TEXT(D134,"TT.MM.JJJ"))</f>
        <v>Generali Pensionsfonds AG v. 07.07.2016</v>
      </c>
      <c r="B134" s="609">
        <f>ROW()</f>
        <v>134</v>
      </c>
      <c r="C134" s="635" t="s">
        <v>1667</v>
      </c>
      <c r="D134" s="1201">
        <v>42558</v>
      </c>
      <c r="E134" s="636" t="s">
        <v>727</v>
      </c>
      <c r="F134" s="637"/>
      <c r="G134" s="634" t="str">
        <f t="shared" si="8"/>
        <v>TO ermöglicht: doppelten Kostenabzug;  Verzinsung zwischen EzE und RK geltend machen</v>
      </c>
      <c r="J134" s="788"/>
      <c r="K134" s="1199"/>
      <c r="L134" s="1199">
        <v>2</v>
      </c>
      <c r="M134" s="1199"/>
      <c r="N134" s="1199">
        <v>4</v>
      </c>
      <c r="P134" s="144"/>
    </row>
    <row r="135" spans="1:16" ht="33.75">
      <c r="A135" s="609" t="str">
        <f t="shared" si="7"/>
        <v>Generali v. 01.07.2020</v>
      </c>
      <c r="B135" s="609">
        <f>ROW()</f>
        <v>135</v>
      </c>
      <c r="C135" s="635" t="s">
        <v>1076</v>
      </c>
      <c r="D135" s="1202">
        <v>44013</v>
      </c>
      <c r="E135" s="2082" t="s">
        <v>1957</v>
      </c>
      <c r="F135" s="637" t="str">
        <f t="shared" si="9"/>
        <v>Ja</v>
      </c>
      <c r="G135" s="634" t="str">
        <f t="shared" si="8"/>
        <v>TO ermöglicht: Tarifwechel; doppelten Kostenabzug;  Abweichungen vom gerichtl. festgelegten Ausgleichswert;  Verzinsung zwischen EzE und RK geltend machen</v>
      </c>
      <c r="I135" s="634" t="s">
        <v>1922</v>
      </c>
      <c r="K135" s="1199">
        <v>1</v>
      </c>
      <c r="L135" s="1199">
        <v>2</v>
      </c>
      <c r="M135" s="1199">
        <v>3</v>
      </c>
      <c r="N135" s="1199">
        <v>4</v>
      </c>
      <c r="P135" s="144">
        <f t="shared" si="10"/>
        <v>10</v>
      </c>
    </row>
    <row r="136" spans="1:16" ht="22.5">
      <c r="A136" s="609" t="str">
        <f t="shared" si="7"/>
        <v>Geno Pensionskasse VVaG, Karlsruhe v. 31.12.2020</v>
      </c>
      <c r="B136" s="609">
        <f>ROW()</f>
        <v>136</v>
      </c>
      <c r="C136" s="635" t="s">
        <v>1032</v>
      </c>
      <c r="D136" s="1201">
        <v>44196</v>
      </c>
      <c r="F136" s="637" t="str">
        <f t="shared" si="9"/>
        <v/>
      </c>
      <c r="G136" s="634" t="str">
        <f t="shared" si="8"/>
        <v xml:space="preserve">TO ermöglicht: doppelten Kostenabzug; </v>
      </c>
      <c r="K136" s="1199"/>
      <c r="L136" s="1199">
        <v>2</v>
      </c>
      <c r="M136" s="1199"/>
      <c r="N136" s="1199"/>
      <c r="P136" s="144">
        <f t="shared" si="10"/>
        <v>2</v>
      </c>
    </row>
    <row r="137" spans="1:16" ht="22.5">
      <c r="A137" s="609" t="str">
        <f t="shared" si="7"/>
        <v>GlaxoSmithKline GmbH &amp; Co KG v. 01.09.2009</v>
      </c>
      <c r="B137" s="609">
        <f>ROW()</f>
        <v>137</v>
      </c>
      <c r="C137" s="635" t="s">
        <v>1079</v>
      </c>
      <c r="D137" s="1201">
        <v>40057</v>
      </c>
      <c r="E137" s="636" t="s">
        <v>1080</v>
      </c>
      <c r="F137" s="637" t="str">
        <f t="shared" si="9"/>
        <v/>
      </c>
      <c r="G137" s="634" t="str">
        <f t="shared" si="8"/>
        <v>TO ermöglicht: doppelten Kostenabzug;  Verzinsung zwischen EzE und RK geltend machen</v>
      </c>
      <c r="K137" s="1199"/>
      <c r="L137" s="1199">
        <v>2</v>
      </c>
      <c r="M137" s="1199"/>
      <c r="N137" s="1199">
        <v>4</v>
      </c>
      <c r="O137" s="1029"/>
      <c r="P137" s="144">
        <f t="shared" si="10"/>
        <v>6</v>
      </c>
    </row>
    <row r="138" spans="1:16" ht="33.75">
      <c r="A138" s="609" t="str">
        <f t="shared" si="7"/>
        <v>Gothaer Lebensversicherung AG  v. 19.02.2010</v>
      </c>
      <c r="B138" s="609">
        <f>ROW()</f>
        <v>138</v>
      </c>
      <c r="C138" s="635" t="s">
        <v>826</v>
      </c>
      <c r="D138" s="1201">
        <v>40228</v>
      </c>
      <c r="E138" s="636" t="s">
        <v>827</v>
      </c>
      <c r="F138" s="637" t="str">
        <f t="shared" si="9"/>
        <v>Ja</v>
      </c>
      <c r="G138" s="634" t="str">
        <f t="shared" si="8"/>
        <v>TO ermöglicht: Tarifwechel; doppelten Kostenabzug;  Abweichungen vom gerichtl. festgelegten Ausgleichswert;  Verzinsung zwischen EzE und RK geltend machen</v>
      </c>
      <c r="K138" s="1199">
        <v>1</v>
      </c>
      <c r="L138" s="1199">
        <v>2</v>
      </c>
      <c r="M138" s="1199">
        <v>3</v>
      </c>
      <c r="N138" s="1199">
        <v>4</v>
      </c>
      <c r="P138" s="144">
        <f t="shared" si="10"/>
        <v>10</v>
      </c>
    </row>
    <row r="139" spans="1:16" ht="33.75">
      <c r="A139" s="609" t="str">
        <f t="shared" si="7"/>
        <v>Gothaer Pensionskasse AG v. 10.01.2013</v>
      </c>
      <c r="B139" s="609">
        <f>ROW()</f>
        <v>139</v>
      </c>
      <c r="C139" s="635" t="s">
        <v>1131</v>
      </c>
      <c r="D139" s="1201">
        <v>41284</v>
      </c>
      <c r="E139" s="636">
        <v>5</v>
      </c>
      <c r="F139" s="637" t="str">
        <f t="shared" si="9"/>
        <v>Ja</v>
      </c>
      <c r="G139" s="634" t="str">
        <f t="shared" si="8"/>
        <v>TO ermöglicht: Tarifwechel; doppelten Kostenabzug;  Abweichungen vom gerichtl. festgelegten Ausgleichswert;  Verzinsung zwischen EzE und RK geltend machen</v>
      </c>
      <c r="K139" s="1199">
        <v>1</v>
      </c>
      <c r="L139" s="1199">
        <v>2</v>
      </c>
      <c r="M139" s="1199">
        <v>3</v>
      </c>
      <c r="N139" s="1199">
        <v>4</v>
      </c>
      <c r="P139" s="144">
        <f t="shared" si="10"/>
        <v>10</v>
      </c>
    </row>
    <row r="140" spans="1:16" ht="22.5">
      <c r="A140" s="609" t="str">
        <f t="shared" si="7"/>
        <v>Gothaer Pensionskasse AG v. 19.02.2010</v>
      </c>
      <c r="B140" s="609">
        <f>ROW()</f>
        <v>140</v>
      </c>
      <c r="C140" s="635" t="s">
        <v>1131</v>
      </c>
      <c r="D140" s="1201">
        <v>40228</v>
      </c>
      <c r="E140" s="636" t="s">
        <v>134</v>
      </c>
      <c r="F140" s="637" t="str">
        <f t="shared" si="9"/>
        <v/>
      </c>
      <c r="G140" s="634" t="str">
        <f t="shared" si="8"/>
        <v>TO ermöglicht:  Abweichungen vom gerichtl. festgelegten Ausgleichswert;  Verzinsung zwischen EzE und RK geltend machen</v>
      </c>
      <c r="K140" s="1199"/>
      <c r="L140" s="1199"/>
      <c r="M140" s="1199">
        <v>3</v>
      </c>
      <c r="N140" s="1199">
        <v>4</v>
      </c>
      <c r="O140" s="1029"/>
      <c r="P140" s="144">
        <f t="shared" si="10"/>
        <v>7</v>
      </c>
    </row>
    <row r="141" spans="1:16" ht="33.75">
      <c r="A141" s="609" t="str">
        <f t="shared" si="7"/>
        <v>Hamburger Lebensversicherung AG</v>
      </c>
      <c r="B141" s="609">
        <f>ROW()</f>
        <v>141</v>
      </c>
      <c r="C141" s="635" t="s">
        <v>721</v>
      </c>
      <c r="E141" s="636" t="s">
        <v>722</v>
      </c>
      <c r="F141" s="637" t="str">
        <f t="shared" si="9"/>
        <v>Ja</v>
      </c>
      <c r="G141" s="634" t="str">
        <f t="shared" si="8"/>
        <v xml:space="preserve">TO ermöglicht: Tarifwechel; </v>
      </c>
      <c r="K141" s="1199">
        <v>1</v>
      </c>
      <c r="L141" s="1199"/>
      <c r="M141" s="1199"/>
      <c r="N141" s="1199"/>
      <c r="O141" s="1223" t="s">
        <v>723</v>
      </c>
      <c r="P141" s="144">
        <f t="shared" si="10"/>
        <v>1</v>
      </c>
    </row>
    <row r="142" spans="1:16" ht="33.75">
      <c r="A142" s="609" t="str">
        <f t="shared" si="7"/>
        <v>Hamburger Pensionskasse v. 01.08.2011</v>
      </c>
      <c r="B142" s="609">
        <f>ROW()</f>
        <v>142</v>
      </c>
      <c r="C142" s="635" t="s">
        <v>654</v>
      </c>
      <c r="D142" s="1202">
        <v>40756</v>
      </c>
      <c r="E142" s="636" t="s">
        <v>1132</v>
      </c>
      <c r="F142" s="637" t="str">
        <f t="shared" si="9"/>
        <v>Ja</v>
      </c>
      <c r="G142" s="634" t="str">
        <f t="shared" si="8"/>
        <v>TO ermöglicht: Tarifwechel; doppelten Kostenabzug;  Abweichungen vom gerichtl. festgelegten Ausgleichswert;  Verzinsung zwischen EzE und RK geltend machen</v>
      </c>
      <c r="K142" s="1199">
        <v>1</v>
      </c>
      <c r="L142" s="1199">
        <v>2</v>
      </c>
      <c r="M142" s="1199">
        <v>3</v>
      </c>
      <c r="N142" s="1199">
        <v>4</v>
      </c>
      <c r="O142" s="1223"/>
      <c r="P142" s="144">
        <f t="shared" si="10"/>
        <v>10</v>
      </c>
    </row>
    <row r="143" spans="1:16">
      <c r="A143" s="609" t="str">
        <f t="shared" si="7"/>
        <v>Hamburger Pensionskasse v. 29.04.2021</v>
      </c>
      <c r="B143" s="609">
        <f>ROW()</f>
        <v>143</v>
      </c>
      <c r="C143" s="635" t="s">
        <v>654</v>
      </c>
      <c r="D143" s="1201">
        <v>44315</v>
      </c>
      <c r="E143" s="636" t="s">
        <v>655</v>
      </c>
      <c r="F143" s="637" t="str">
        <f t="shared" si="9"/>
        <v/>
      </c>
      <c r="G143" s="634" t="str">
        <f t="shared" si="8"/>
        <v xml:space="preserve">TO ermöglicht: doppelten Kostenabzug; </v>
      </c>
      <c r="K143" s="1199"/>
      <c r="L143" s="1199">
        <v>2</v>
      </c>
      <c r="M143" s="1199"/>
      <c r="N143" s="1199"/>
      <c r="O143" s="791" t="s">
        <v>662</v>
      </c>
      <c r="P143" s="144">
        <f t="shared" si="10"/>
        <v>2</v>
      </c>
    </row>
    <row r="144" spans="1:16" ht="25.5">
      <c r="A144" s="609" t="str">
        <f t="shared" si="7"/>
        <v>Hamburger Pensionsunterstützungskasse e.V. v. 01.01.2018</v>
      </c>
      <c r="B144" s="609">
        <f>ROW()</f>
        <v>144</v>
      </c>
      <c r="C144" s="635" t="s">
        <v>785</v>
      </c>
      <c r="D144" s="1201">
        <v>43101</v>
      </c>
      <c r="E144" s="636" t="s">
        <v>776</v>
      </c>
      <c r="F144" s="637" t="str">
        <f t="shared" si="9"/>
        <v/>
      </c>
      <c r="G144" s="634" t="str">
        <f t="shared" si="8"/>
        <v xml:space="preserve">TO ermöglicht: doppelten Kostenabzug; </v>
      </c>
      <c r="K144" s="1199"/>
      <c r="L144" s="1199">
        <v>2</v>
      </c>
      <c r="M144" s="1199"/>
      <c r="N144" s="1199"/>
      <c r="O144" s="789" t="s">
        <v>812</v>
      </c>
      <c r="P144" s="144">
        <f t="shared" si="10"/>
        <v>2</v>
      </c>
    </row>
    <row r="145" spans="1:16381" ht="25.5">
      <c r="A145" s="609" t="str">
        <f t="shared" si="7"/>
        <v>Hamburger Pensionsunterstützungskasse e.V. v. 01.06.2010</v>
      </c>
      <c r="B145" s="609">
        <f>ROW()</f>
        <v>145</v>
      </c>
      <c r="C145" s="635" t="s">
        <v>785</v>
      </c>
      <c r="D145" s="1201">
        <v>40330</v>
      </c>
      <c r="E145" s="636" t="s">
        <v>776</v>
      </c>
      <c r="F145" s="637" t="str">
        <f t="shared" si="9"/>
        <v/>
      </c>
      <c r="G145" s="634" t="str">
        <f t="shared" si="8"/>
        <v xml:space="preserve">TO ermöglicht: doppelten Kostenabzug; </v>
      </c>
      <c r="J145" s="784" t="s">
        <v>1033</v>
      </c>
      <c r="K145" s="1199"/>
      <c r="L145" s="1199">
        <v>2</v>
      </c>
      <c r="M145" s="1199"/>
      <c r="N145" s="1199"/>
      <c r="O145" s="789" t="s">
        <v>812</v>
      </c>
      <c r="P145" s="144">
        <f t="shared" si="10"/>
        <v>2</v>
      </c>
    </row>
    <row r="146" spans="1:16381" ht="25.5">
      <c r="A146" s="609" t="str">
        <f t="shared" ref="A146:A217" si="11">C146&amp;IF(D146=0,""," v. "&amp;TEXT(D146,"TT.MM.JJJ"))</f>
        <v>Hamburger Unterstützungskasse HUK Nr. 1 v. 01.09.2009</v>
      </c>
      <c r="B146" s="609">
        <f>ROW()</f>
        <v>146</v>
      </c>
      <c r="C146" s="1404" t="s">
        <v>781</v>
      </c>
      <c r="D146" s="1201">
        <v>40057</v>
      </c>
      <c r="E146" s="636" t="s">
        <v>776</v>
      </c>
      <c r="F146" s="637" t="str">
        <f t="shared" si="9"/>
        <v/>
      </c>
      <c r="G146" s="634" t="str">
        <f t="shared" ref="G146:G217" si="12">IF(SUM(K146:N146)=0,"","TO ermöglicht: "&amp;IF(K146&gt;0,"Tarifwechel; ","")&amp;IF(L146&gt;0,"doppelten Kostenabzug; ","")&amp;IF(M146&gt;0," Abweichungen vom gerichtl. festgelegten Ausgleichswert; ","")&amp;IF(N146&gt;0," Verzinsung zwischen EzE und RK geltend machen",""))</f>
        <v xml:space="preserve">TO ermöglicht: doppelten Kostenabzug; </v>
      </c>
      <c r="J146" s="788"/>
      <c r="K146" s="1199"/>
      <c r="L146" s="1199">
        <v>2</v>
      </c>
      <c r="M146" s="1199"/>
      <c r="N146" s="1199"/>
      <c r="O146" s="789" t="s">
        <v>812</v>
      </c>
      <c r="P146" s="144">
        <f t="shared" si="10"/>
        <v>2</v>
      </c>
    </row>
    <row r="147" spans="1:16381" ht="25.5">
      <c r="A147" s="609" t="str">
        <f t="shared" si="11"/>
        <v>Hamburger Unterstützungskasse HUK Nr. 2 v. 01.01.2018</v>
      </c>
      <c r="B147" s="609">
        <f>ROW()</f>
        <v>147</v>
      </c>
      <c r="C147" s="635" t="s">
        <v>782</v>
      </c>
      <c r="D147" s="1201">
        <v>43101</v>
      </c>
      <c r="E147" s="636">
        <v>5.3</v>
      </c>
      <c r="F147" s="637" t="str">
        <f t="shared" si="9"/>
        <v/>
      </c>
      <c r="G147" s="634" t="str">
        <f t="shared" si="12"/>
        <v xml:space="preserve">TO ermöglicht: doppelten Kostenabzug; </v>
      </c>
      <c r="K147" s="1199"/>
      <c r="L147" s="1199">
        <v>2</v>
      </c>
      <c r="M147" s="1199"/>
      <c r="N147" s="1199"/>
      <c r="O147" s="789" t="s">
        <v>812</v>
      </c>
      <c r="P147" s="144">
        <f t="shared" si="10"/>
        <v>2</v>
      </c>
    </row>
    <row r="148" spans="1:16381" ht="25.5">
      <c r="A148" s="609" t="str">
        <f t="shared" si="11"/>
        <v>Hamburger Unterstützungskasse HUK v. 01.06.2015</v>
      </c>
      <c r="B148" s="609">
        <f>ROW()</f>
        <v>148</v>
      </c>
      <c r="C148" s="635" t="s">
        <v>780</v>
      </c>
      <c r="D148" s="1201">
        <v>42156</v>
      </c>
      <c r="E148" s="636" t="s">
        <v>776</v>
      </c>
      <c r="F148" s="637" t="str">
        <f t="shared" ref="F148:F219" si="13">IF(K148=1,"Ja","")</f>
        <v/>
      </c>
      <c r="G148" s="634" t="str">
        <f t="shared" si="12"/>
        <v xml:space="preserve">TO ermöglicht: doppelten Kostenabzug; </v>
      </c>
      <c r="K148" s="1199"/>
      <c r="L148" s="1199">
        <v>2</v>
      </c>
      <c r="M148" s="1199"/>
      <c r="N148" s="1199"/>
      <c r="O148" s="789" t="s">
        <v>812</v>
      </c>
      <c r="P148" s="144">
        <f t="shared" si="10"/>
        <v>2</v>
      </c>
      <c r="Q148" s="609"/>
      <c r="R148" s="609"/>
      <c r="S148" s="609"/>
      <c r="T148" s="609"/>
      <c r="U148" s="609"/>
      <c r="V148" s="609"/>
      <c r="W148" s="609"/>
      <c r="X148" s="609"/>
      <c r="Y148" s="609"/>
      <c r="Z148" s="609"/>
      <c r="AA148" s="609"/>
      <c r="AB148" s="609"/>
      <c r="AC148" s="609"/>
      <c r="AD148" s="609"/>
      <c r="AE148" s="609"/>
      <c r="AF148" s="609"/>
      <c r="AG148" s="609"/>
      <c r="AH148" s="609"/>
      <c r="AI148" s="609"/>
      <c r="AJ148" s="609"/>
      <c r="AK148" s="609"/>
      <c r="AL148" s="609"/>
      <c r="AM148" s="609"/>
      <c r="AN148" s="609"/>
      <c r="AO148" s="609"/>
      <c r="AP148" s="609"/>
      <c r="AQ148" s="609"/>
      <c r="AR148" s="609"/>
      <c r="AS148" s="609"/>
      <c r="AT148" s="609"/>
      <c r="AU148" s="609"/>
      <c r="AV148" s="609"/>
      <c r="AW148" s="609"/>
      <c r="AX148" s="609"/>
      <c r="AY148" s="609"/>
      <c r="AZ148" s="609"/>
      <c r="BA148" s="609"/>
      <c r="BB148" s="609"/>
      <c r="BC148" s="609"/>
      <c r="BD148" s="609"/>
      <c r="BE148" s="609"/>
      <c r="BF148" s="609"/>
      <c r="BG148" s="609"/>
      <c r="BH148" s="609"/>
      <c r="BI148" s="609"/>
      <c r="BJ148" s="609"/>
      <c r="BK148" s="609"/>
      <c r="BL148" s="609"/>
      <c r="BM148" s="609"/>
      <c r="BN148" s="609"/>
      <c r="BO148" s="609"/>
      <c r="BP148" s="609"/>
      <c r="BQ148" s="609"/>
      <c r="BR148" s="609"/>
      <c r="BS148" s="609"/>
      <c r="BT148" s="609"/>
      <c r="BU148" s="609"/>
      <c r="BV148" s="609"/>
      <c r="BW148" s="609"/>
      <c r="BX148" s="609"/>
      <c r="BY148" s="609"/>
      <c r="BZ148" s="609"/>
      <c r="CA148" s="609"/>
      <c r="CB148" s="609"/>
      <c r="CC148" s="609"/>
      <c r="CD148" s="609"/>
      <c r="CE148" s="609"/>
      <c r="CF148" s="609"/>
      <c r="CG148" s="609"/>
      <c r="CH148" s="609"/>
      <c r="CI148" s="609"/>
      <c r="CJ148" s="609"/>
      <c r="CK148" s="609"/>
      <c r="CL148" s="609"/>
      <c r="CM148" s="609"/>
      <c r="CN148" s="609"/>
      <c r="CO148" s="609"/>
      <c r="CP148" s="609"/>
      <c r="CQ148" s="609"/>
      <c r="CR148" s="609"/>
      <c r="CS148" s="609"/>
      <c r="CT148" s="609"/>
      <c r="CU148" s="609"/>
      <c r="CV148" s="609"/>
      <c r="CW148" s="609"/>
      <c r="CX148" s="609"/>
      <c r="CY148" s="609"/>
      <c r="CZ148" s="609"/>
      <c r="DA148" s="609"/>
      <c r="DB148" s="609"/>
      <c r="DC148" s="609"/>
      <c r="DD148" s="609"/>
      <c r="DE148" s="609"/>
      <c r="DF148" s="609"/>
      <c r="DG148" s="609"/>
      <c r="DH148" s="609"/>
      <c r="DI148" s="609"/>
      <c r="DJ148" s="609"/>
      <c r="DK148" s="609"/>
      <c r="DL148" s="609"/>
      <c r="DM148" s="609"/>
      <c r="DN148" s="609"/>
      <c r="DO148" s="609"/>
      <c r="DP148" s="609"/>
      <c r="DQ148" s="609"/>
      <c r="DR148" s="609"/>
      <c r="DS148" s="609"/>
      <c r="DT148" s="609"/>
      <c r="DU148" s="609"/>
      <c r="DV148" s="609"/>
      <c r="DW148" s="609"/>
      <c r="DX148" s="609"/>
      <c r="DY148" s="609"/>
      <c r="DZ148" s="609"/>
      <c r="EA148" s="609"/>
      <c r="EB148" s="609"/>
      <c r="EC148" s="609"/>
      <c r="ED148" s="609"/>
      <c r="EE148" s="609"/>
      <c r="EF148" s="609"/>
      <c r="EG148" s="609"/>
      <c r="EH148" s="609"/>
      <c r="EI148" s="609"/>
      <c r="EJ148" s="609"/>
      <c r="EK148" s="609"/>
      <c r="EL148" s="609"/>
      <c r="EM148" s="609"/>
      <c r="EN148" s="609"/>
      <c r="EO148" s="609"/>
      <c r="EP148" s="609"/>
      <c r="EQ148" s="609"/>
      <c r="ER148" s="609"/>
      <c r="ES148" s="609"/>
      <c r="ET148" s="609"/>
      <c r="EU148" s="609"/>
      <c r="EV148" s="609"/>
      <c r="EW148" s="609"/>
      <c r="EX148" s="609"/>
      <c r="EY148" s="609"/>
      <c r="EZ148" s="609"/>
      <c r="FA148" s="609"/>
      <c r="FB148" s="609"/>
      <c r="FC148" s="609"/>
      <c r="FD148" s="609"/>
      <c r="FE148" s="609"/>
      <c r="FF148" s="609"/>
      <c r="FG148" s="609"/>
      <c r="FH148" s="609"/>
      <c r="FI148" s="609"/>
      <c r="FJ148" s="609"/>
      <c r="FK148" s="609"/>
      <c r="FL148" s="609"/>
      <c r="FM148" s="609"/>
      <c r="FN148" s="609"/>
      <c r="FO148" s="609"/>
      <c r="FP148" s="609"/>
      <c r="FQ148" s="609"/>
      <c r="FR148" s="609"/>
      <c r="FS148" s="609"/>
      <c r="FT148" s="609"/>
      <c r="FU148" s="609"/>
      <c r="FV148" s="609"/>
      <c r="FW148" s="609"/>
      <c r="FX148" s="609"/>
      <c r="FY148" s="609"/>
      <c r="FZ148" s="609"/>
      <c r="GA148" s="609"/>
      <c r="GB148" s="609"/>
      <c r="GC148" s="609"/>
      <c r="GD148" s="609"/>
      <c r="GE148" s="609"/>
      <c r="GF148" s="609"/>
      <c r="GG148" s="609"/>
      <c r="GH148" s="609"/>
      <c r="GI148" s="609"/>
      <c r="GJ148" s="609"/>
      <c r="GK148" s="609"/>
      <c r="GL148" s="609"/>
      <c r="GM148" s="609"/>
      <c r="GN148" s="609"/>
      <c r="GO148" s="609"/>
      <c r="GP148" s="609"/>
      <c r="GQ148" s="609"/>
      <c r="GR148" s="609"/>
      <c r="GS148" s="609"/>
      <c r="GT148" s="609"/>
      <c r="GU148" s="609"/>
      <c r="GV148" s="609"/>
      <c r="GW148" s="609"/>
      <c r="GX148" s="609"/>
      <c r="GY148" s="609"/>
      <c r="GZ148" s="609"/>
      <c r="HA148" s="609"/>
      <c r="HB148" s="609"/>
      <c r="HC148" s="609"/>
      <c r="HD148" s="609"/>
      <c r="HE148" s="609"/>
      <c r="HF148" s="609"/>
      <c r="HG148" s="609"/>
      <c r="HH148" s="609"/>
      <c r="HI148" s="609"/>
      <c r="HJ148" s="609"/>
      <c r="HK148" s="609"/>
      <c r="HL148" s="609"/>
      <c r="HM148" s="609"/>
      <c r="HN148" s="609"/>
      <c r="HO148" s="609"/>
      <c r="HP148" s="609"/>
      <c r="HQ148" s="609"/>
      <c r="HR148" s="609"/>
      <c r="HS148" s="609"/>
      <c r="HT148" s="609"/>
      <c r="HU148" s="609"/>
      <c r="HV148" s="609"/>
      <c r="HW148" s="609"/>
      <c r="HX148" s="609"/>
      <c r="HY148" s="609"/>
      <c r="HZ148" s="609"/>
      <c r="IA148" s="609"/>
      <c r="IB148" s="609"/>
      <c r="IC148" s="609"/>
      <c r="ID148" s="609"/>
      <c r="IE148" s="609"/>
      <c r="IF148" s="609"/>
      <c r="IG148" s="609"/>
      <c r="IH148" s="609"/>
      <c r="II148" s="609"/>
      <c r="IJ148" s="609"/>
      <c r="IK148" s="609"/>
      <c r="IL148" s="609"/>
      <c r="IM148" s="609"/>
      <c r="IN148" s="609"/>
      <c r="IO148" s="609"/>
      <c r="IP148" s="609"/>
      <c r="IQ148" s="609"/>
      <c r="IR148" s="609"/>
      <c r="IS148" s="609"/>
      <c r="IT148" s="609"/>
      <c r="IU148" s="609"/>
      <c r="IV148" s="609"/>
      <c r="IW148" s="609"/>
      <c r="IX148" s="609"/>
      <c r="IY148" s="609"/>
      <c r="IZ148" s="609"/>
      <c r="JA148" s="609"/>
      <c r="JB148" s="609"/>
      <c r="JC148" s="609"/>
      <c r="JD148" s="609"/>
      <c r="JE148" s="609"/>
      <c r="JF148" s="609"/>
      <c r="JG148" s="609"/>
      <c r="JH148" s="609"/>
      <c r="JI148" s="609"/>
      <c r="JJ148" s="609"/>
      <c r="JK148" s="609"/>
      <c r="JL148" s="609"/>
      <c r="JM148" s="609"/>
      <c r="JN148" s="609"/>
      <c r="JO148" s="609"/>
      <c r="JP148" s="609"/>
      <c r="JQ148" s="609"/>
      <c r="JR148" s="609"/>
      <c r="JS148" s="609"/>
      <c r="JT148" s="609"/>
      <c r="JU148" s="609"/>
      <c r="JV148" s="609"/>
      <c r="JW148" s="609"/>
      <c r="JX148" s="609"/>
      <c r="JY148" s="609"/>
      <c r="JZ148" s="609"/>
      <c r="KA148" s="609"/>
      <c r="KB148" s="609"/>
      <c r="KC148" s="609"/>
      <c r="KD148" s="609"/>
      <c r="KE148" s="609"/>
      <c r="KF148" s="609"/>
      <c r="KG148" s="609"/>
      <c r="KH148" s="609"/>
      <c r="KI148" s="609"/>
      <c r="KJ148" s="609"/>
      <c r="KK148" s="609"/>
      <c r="KL148" s="609"/>
      <c r="KM148" s="609"/>
      <c r="KN148" s="609"/>
      <c r="KO148" s="609"/>
      <c r="KP148" s="609"/>
      <c r="KQ148" s="609"/>
      <c r="KR148" s="609"/>
      <c r="KS148" s="609"/>
      <c r="KT148" s="609"/>
      <c r="KU148" s="609"/>
      <c r="KV148" s="609"/>
      <c r="KW148" s="609"/>
      <c r="KX148" s="609"/>
      <c r="KY148" s="609"/>
      <c r="KZ148" s="609"/>
      <c r="LA148" s="609"/>
      <c r="LB148" s="609"/>
      <c r="LC148" s="609"/>
      <c r="LD148" s="609"/>
      <c r="LE148" s="609"/>
      <c r="LF148" s="609"/>
      <c r="LG148" s="609"/>
      <c r="LH148" s="609"/>
      <c r="LI148" s="609"/>
      <c r="LJ148" s="609"/>
      <c r="LK148" s="609"/>
      <c r="LL148" s="609"/>
      <c r="LM148" s="609"/>
      <c r="LN148" s="609"/>
      <c r="LO148" s="609"/>
      <c r="LP148" s="609"/>
      <c r="LQ148" s="609"/>
      <c r="LR148" s="609"/>
      <c r="LS148" s="609"/>
      <c r="LT148" s="609"/>
      <c r="LU148" s="609"/>
      <c r="LV148" s="609"/>
      <c r="LW148" s="609"/>
      <c r="LX148" s="609"/>
      <c r="LY148" s="609"/>
      <c r="LZ148" s="609"/>
      <c r="MA148" s="609"/>
      <c r="MB148" s="609"/>
      <c r="MC148" s="609"/>
      <c r="MD148" s="609"/>
      <c r="ME148" s="609"/>
      <c r="MF148" s="609"/>
      <c r="MG148" s="609"/>
      <c r="MH148" s="609"/>
      <c r="MI148" s="609"/>
      <c r="MJ148" s="609"/>
      <c r="MK148" s="609"/>
      <c r="ML148" s="609"/>
      <c r="MM148" s="609"/>
      <c r="MN148" s="609"/>
      <c r="MO148" s="609"/>
      <c r="MP148" s="609"/>
      <c r="MQ148" s="609"/>
      <c r="MR148" s="609"/>
      <c r="MS148" s="609"/>
      <c r="MT148" s="609"/>
      <c r="MU148" s="609"/>
      <c r="MV148" s="609"/>
      <c r="MW148" s="609"/>
      <c r="MX148" s="609"/>
      <c r="MY148" s="609"/>
      <c r="MZ148" s="609"/>
      <c r="NA148" s="609"/>
      <c r="NB148" s="609"/>
      <c r="NC148" s="609"/>
      <c r="ND148" s="609"/>
      <c r="NE148" s="609"/>
      <c r="NF148" s="609"/>
      <c r="NG148" s="609"/>
      <c r="NH148" s="609"/>
      <c r="NI148" s="609"/>
      <c r="NJ148" s="609"/>
      <c r="NK148" s="609"/>
      <c r="NL148" s="609"/>
      <c r="NM148" s="609"/>
      <c r="NN148" s="609"/>
      <c r="NO148" s="609"/>
      <c r="NP148" s="609"/>
      <c r="NQ148" s="609"/>
      <c r="NR148" s="609"/>
      <c r="NS148" s="609"/>
      <c r="NT148" s="609"/>
      <c r="NU148" s="609"/>
      <c r="NV148" s="609"/>
      <c r="NW148" s="609"/>
      <c r="NX148" s="609"/>
      <c r="NY148" s="609"/>
      <c r="NZ148" s="609"/>
      <c r="OA148" s="609"/>
      <c r="OB148" s="609"/>
      <c r="OC148" s="609"/>
      <c r="OD148" s="609"/>
      <c r="OE148" s="609"/>
      <c r="OF148" s="609"/>
      <c r="OG148" s="609"/>
      <c r="OH148" s="609"/>
      <c r="OI148" s="609"/>
      <c r="OJ148" s="609"/>
      <c r="OK148" s="609"/>
      <c r="OL148" s="609"/>
      <c r="OM148" s="609"/>
      <c r="ON148" s="609"/>
      <c r="OO148" s="609"/>
      <c r="OP148" s="609"/>
      <c r="OQ148" s="609"/>
      <c r="OR148" s="609"/>
      <c r="OS148" s="609"/>
      <c r="OT148" s="609"/>
      <c r="OU148" s="609"/>
      <c r="OV148" s="609"/>
      <c r="OW148" s="609"/>
      <c r="OX148" s="609"/>
      <c r="OY148" s="609"/>
      <c r="OZ148" s="609"/>
      <c r="PA148" s="609"/>
      <c r="PB148" s="609"/>
      <c r="PC148" s="609"/>
      <c r="PD148" s="609"/>
      <c r="PE148" s="609"/>
      <c r="PF148" s="609"/>
      <c r="PG148" s="609"/>
      <c r="PH148" s="609"/>
      <c r="PI148" s="609"/>
      <c r="PJ148" s="609"/>
      <c r="PK148" s="609"/>
      <c r="PL148" s="609"/>
      <c r="PM148" s="609"/>
      <c r="PN148" s="609"/>
      <c r="PO148" s="609"/>
      <c r="PP148" s="609"/>
      <c r="PQ148" s="609"/>
      <c r="PR148" s="609"/>
      <c r="PS148" s="609"/>
      <c r="PT148" s="609"/>
      <c r="PU148" s="609"/>
      <c r="PV148" s="609"/>
      <c r="PW148" s="609"/>
      <c r="PX148" s="609"/>
      <c r="PY148" s="609"/>
      <c r="PZ148" s="609"/>
      <c r="QA148" s="609"/>
      <c r="QB148" s="609"/>
      <c r="QC148" s="609"/>
      <c r="QD148" s="609"/>
      <c r="QE148" s="609"/>
      <c r="QF148" s="609"/>
      <c r="QG148" s="609"/>
      <c r="QH148" s="609"/>
      <c r="QI148" s="609"/>
      <c r="QJ148" s="609"/>
      <c r="QK148" s="609"/>
      <c r="QL148" s="609"/>
      <c r="QM148" s="609"/>
      <c r="QN148" s="609"/>
      <c r="QO148" s="609"/>
      <c r="QP148" s="609"/>
      <c r="QQ148" s="609"/>
      <c r="QR148" s="609"/>
      <c r="QS148" s="609"/>
      <c r="QT148" s="609"/>
      <c r="QU148" s="609"/>
      <c r="QV148" s="609"/>
      <c r="QW148" s="609"/>
      <c r="QX148" s="609"/>
      <c r="QY148" s="609"/>
      <c r="QZ148" s="609"/>
      <c r="RA148" s="609"/>
      <c r="RB148" s="609"/>
      <c r="RC148" s="609"/>
      <c r="RD148" s="609"/>
      <c r="RE148" s="609"/>
      <c r="RF148" s="609"/>
      <c r="RG148" s="609"/>
      <c r="RH148" s="609"/>
      <c r="RI148" s="609"/>
      <c r="RJ148" s="609"/>
      <c r="RK148" s="609"/>
      <c r="RL148" s="609"/>
      <c r="RM148" s="609"/>
      <c r="RN148" s="609"/>
      <c r="RO148" s="609"/>
      <c r="RP148" s="609"/>
      <c r="RQ148" s="609"/>
      <c r="RR148" s="609"/>
      <c r="RS148" s="609"/>
      <c r="RT148" s="609"/>
      <c r="RU148" s="609"/>
      <c r="RV148" s="609"/>
      <c r="RW148" s="609"/>
      <c r="RX148" s="609"/>
      <c r="RY148" s="609"/>
      <c r="RZ148" s="609"/>
      <c r="SA148" s="609"/>
      <c r="SB148" s="609"/>
      <c r="SC148" s="609"/>
      <c r="SD148" s="609"/>
      <c r="SE148" s="609"/>
      <c r="SF148" s="609"/>
      <c r="SG148" s="609"/>
      <c r="SH148" s="609"/>
      <c r="SI148" s="609"/>
      <c r="SJ148" s="609"/>
      <c r="SK148" s="609"/>
      <c r="SL148" s="609"/>
      <c r="SM148" s="609"/>
      <c r="SN148" s="609"/>
      <c r="SO148" s="609"/>
      <c r="SP148" s="609"/>
      <c r="SQ148" s="609"/>
      <c r="SR148" s="609"/>
      <c r="SS148" s="609"/>
      <c r="ST148" s="609"/>
      <c r="SU148" s="609"/>
      <c r="SV148" s="609"/>
      <c r="SW148" s="609"/>
      <c r="SX148" s="609"/>
      <c r="SY148" s="609"/>
      <c r="SZ148" s="609"/>
      <c r="TA148" s="609"/>
      <c r="TB148" s="609"/>
      <c r="TC148" s="609"/>
      <c r="TD148" s="609"/>
      <c r="TE148" s="609"/>
      <c r="TF148" s="609"/>
      <c r="TG148" s="609"/>
      <c r="TH148" s="609"/>
      <c r="TI148" s="609"/>
      <c r="TJ148" s="609"/>
      <c r="TK148" s="609"/>
      <c r="TL148" s="609"/>
      <c r="TM148" s="609"/>
      <c r="TN148" s="609"/>
      <c r="TO148" s="609"/>
      <c r="TP148" s="609"/>
      <c r="TQ148" s="609"/>
      <c r="TR148" s="609"/>
      <c r="TS148" s="609"/>
      <c r="TT148" s="609"/>
      <c r="TU148" s="609"/>
      <c r="TV148" s="609"/>
      <c r="TW148" s="609"/>
      <c r="TX148" s="609"/>
      <c r="TY148" s="609"/>
      <c r="TZ148" s="609"/>
      <c r="UA148" s="609"/>
      <c r="UB148" s="609"/>
      <c r="UC148" s="609"/>
      <c r="UD148" s="609"/>
      <c r="UE148" s="609"/>
      <c r="UF148" s="609"/>
      <c r="UG148" s="609"/>
      <c r="UH148" s="609"/>
      <c r="UI148" s="609"/>
      <c r="UJ148" s="609"/>
      <c r="UK148" s="609"/>
      <c r="UL148" s="609"/>
      <c r="UM148" s="609"/>
      <c r="UN148" s="609"/>
      <c r="UO148" s="609"/>
      <c r="UP148" s="609"/>
      <c r="UQ148" s="609"/>
      <c r="UR148" s="609"/>
      <c r="US148" s="609"/>
      <c r="UT148" s="609"/>
      <c r="UU148" s="609"/>
      <c r="UV148" s="609"/>
      <c r="UW148" s="609"/>
      <c r="UX148" s="609"/>
      <c r="UY148" s="609"/>
      <c r="UZ148" s="609"/>
      <c r="VA148" s="609"/>
      <c r="VB148" s="609"/>
      <c r="VC148" s="609"/>
      <c r="VD148" s="609"/>
      <c r="VE148" s="609"/>
      <c r="VF148" s="609"/>
      <c r="VG148" s="609"/>
      <c r="VH148" s="609"/>
      <c r="VI148" s="609"/>
      <c r="VJ148" s="609"/>
      <c r="VK148" s="609"/>
      <c r="VL148" s="609"/>
      <c r="VM148" s="609"/>
      <c r="VN148" s="609"/>
      <c r="VO148" s="609"/>
      <c r="VP148" s="609"/>
      <c r="VQ148" s="609"/>
      <c r="VR148" s="609"/>
      <c r="VS148" s="609"/>
      <c r="VT148" s="609"/>
      <c r="VU148" s="609"/>
      <c r="VV148" s="609"/>
      <c r="VW148" s="609"/>
      <c r="VX148" s="609"/>
      <c r="VY148" s="609"/>
      <c r="VZ148" s="609"/>
      <c r="WA148" s="609"/>
      <c r="WB148" s="609"/>
      <c r="WC148" s="609"/>
      <c r="WD148" s="609"/>
      <c r="WE148" s="609"/>
      <c r="WF148" s="609"/>
      <c r="WG148" s="609"/>
      <c r="WH148" s="609"/>
      <c r="WI148" s="609"/>
      <c r="WJ148" s="609"/>
      <c r="WK148" s="609"/>
      <c r="WL148" s="609"/>
      <c r="WM148" s="609"/>
      <c r="WN148" s="609"/>
      <c r="WO148" s="609"/>
      <c r="WP148" s="609"/>
      <c r="WQ148" s="609"/>
      <c r="WR148" s="609"/>
      <c r="WS148" s="609"/>
      <c r="WT148" s="609"/>
      <c r="WU148" s="609"/>
      <c r="WV148" s="609"/>
      <c r="WW148" s="609"/>
      <c r="WX148" s="609"/>
      <c r="WY148" s="609"/>
      <c r="WZ148" s="609"/>
      <c r="XA148" s="609"/>
      <c r="XB148" s="609"/>
      <c r="XC148" s="609"/>
      <c r="XD148" s="609"/>
      <c r="XE148" s="609"/>
      <c r="XF148" s="609"/>
      <c r="XG148" s="609"/>
      <c r="XH148" s="609"/>
      <c r="XI148" s="609"/>
      <c r="XJ148" s="609"/>
      <c r="XK148" s="609"/>
      <c r="XL148" s="609"/>
      <c r="XM148" s="609"/>
      <c r="XN148" s="609"/>
      <c r="XO148" s="609"/>
      <c r="XP148" s="609"/>
      <c r="XQ148" s="609"/>
      <c r="XR148" s="609"/>
      <c r="XS148" s="609"/>
      <c r="XT148" s="609"/>
      <c r="XU148" s="609"/>
      <c r="XV148" s="609"/>
      <c r="XW148" s="609"/>
      <c r="XX148" s="609"/>
      <c r="XY148" s="609"/>
      <c r="XZ148" s="609"/>
      <c r="YA148" s="609"/>
      <c r="YB148" s="609"/>
      <c r="YC148" s="609"/>
      <c r="YD148" s="609"/>
      <c r="YE148" s="609"/>
      <c r="YF148" s="609"/>
      <c r="YG148" s="609"/>
      <c r="YH148" s="609"/>
      <c r="YI148" s="609"/>
      <c r="YJ148" s="609"/>
      <c r="YK148" s="609"/>
      <c r="YL148" s="609"/>
      <c r="YM148" s="609"/>
      <c r="YN148" s="609"/>
      <c r="YO148" s="609"/>
      <c r="YP148" s="609"/>
      <c r="YQ148" s="609"/>
      <c r="YR148" s="609"/>
      <c r="YS148" s="609"/>
      <c r="YT148" s="609"/>
      <c r="YU148" s="609"/>
      <c r="YV148" s="609"/>
      <c r="YW148" s="609"/>
      <c r="YX148" s="609"/>
      <c r="YY148" s="609"/>
      <c r="YZ148" s="609"/>
      <c r="ZA148" s="609"/>
      <c r="ZB148" s="609"/>
      <c r="ZC148" s="609"/>
      <c r="ZD148" s="609"/>
      <c r="ZE148" s="609"/>
      <c r="ZF148" s="609"/>
      <c r="ZG148" s="609"/>
      <c r="ZH148" s="609"/>
      <c r="ZI148" s="609"/>
      <c r="ZJ148" s="609"/>
      <c r="ZK148" s="609"/>
      <c r="ZL148" s="609"/>
      <c r="ZM148" s="609"/>
      <c r="ZN148" s="609"/>
      <c r="ZO148" s="609"/>
      <c r="ZP148" s="609"/>
      <c r="ZQ148" s="609"/>
      <c r="ZR148" s="609"/>
      <c r="ZS148" s="609"/>
      <c r="ZT148" s="609"/>
      <c r="ZU148" s="609"/>
      <c r="ZV148" s="609"/>
      <c r="ZW148" s="609"/>
      <c r="ZX148" s="609"/>
      <c r="ZY148" s="609"/>
      <c r="ZZ148" s="609"/>
      <c r="AAA148" s="609"/>
      <c r="AAB148" s="609"/>
      <c r="AAC148" s="609"/>
      <c r="AAD148" s="609"/>
      <c r="AAE148" s="609"/>
      <c r="AAF148" s="609"/>
      <c r="AAG148" s="609"/>
      <c r="AAH148" s="609"/>
      <c r="AAI148" s="609"/>
      <c r="AAJ148" s="609"/>
      <c r="AAK148" s="609"/>
      <c r="AAL148" s="609"/>
      <c r="AAM148" s="609"/>
      <c r="AAN148" s="609"/>
      <c r="AAO148" s="609"/>
      <c r="AAP148" s="609"/>
      <c r="AAQ148" s="609"/>
      <c r="AAR148" s="609"/>
      <c r="AAS148" s="609"/>
      <c r="AAT148" s="609"/>
      <c r="AAU148" s="609"/>
      <c r="AAV148" s="609"/>
      <c r="AAW148" s="609"/>
      <c r="AAX148" s="609"/>
      <c r="AAY148" s="609"/>
      <c r="AAZ148" s="609"/>
      <c r="ABA148" s="609"/>
      <c r="ABB148" s="609"/>
      <c r="ABC148" s="609"/>
      <c r="ABD148" s="609"/>
      <c r="ABE148" s="609"/>
      <c r="ABF148" s="609"/>
      <c r="ABG148" s="609"/>
      <c r="ABH148" s="609"/>
      <c r="ABI148" s="609"/>
      <c r="ABJ148" s="609"/>
      <c r="ABK148" s="609"/>
      <c r="ABL148" s="609"/>
      <c r="ABM148" s="609"/>
      <c r="ABN148" s="609"/>
      <c r="ABO148" s="609"/>
      <c r="ABP148" s="609"/>
      <c r="ABQ148" s="609"/>
      <c r="ABR148" s="609"/>
      <c r="ABS148" s="609"/>
      <c r="ABT148" s="609"/>
      <c r="ABU148" s="609"/>
      <c r="ABV148" s="609"/>
      <c r="ABW148" s="609"/>
      <c r="ABX148" s="609"/>
      <c r="ABY148" s="609"/>
      <c r="ABZ148" s="609"/>
      <c r="ACA148" s="609"/>
      <c r="ACB148" s="609"/>
      <c r="ACC148" s="609"/>
      <c r="ACD148" s="609"/>
      <c r="ACE148" s="609"/>
      <c r="ACF148" s="609"/>
      <c r="ACG148" s="609"/>
      <c r="ACH148" s="609"/>
      <c r="ACI148" s="609"/>
      <c r="ACJ148" s="609"/>
      <c r="ACK148" s="609"/>
      <c r="ACL148" s="609"/>
      <c r="ACM148" s="609"/>
      <c r="ACN148" s="609"/>
      <c r="ACO148" s="609"/>
      <c r="ACP148" s="609"/>
      <c r="ACQ148" s="609"/>
      <c r="ACR148" s="609"/>
      <c r="ACS148" s="609"/>
      <c r="ACT148" s="609"/>
      <c r="ACU148" s="609"/>
      <c r="ACV148" s="609"/>
      <c r="ACW148" s="609"/>
      <c r="ACX148" s="609"/>
      <c r="ACY148" s="609"/>
      <c r="ACZ148" s="609"/>
      <c r="ADA148" s="609"/>
      <c r="ADB148" s="609"/>
      <c r="ADC148" s="609"/>
      <c r="ADD148" s="609"/>
      <c r="ADE148" s="609"/>
      <c r="ADF148" s="609"/>
      <c r="ADG148" s="609"/>
      <c r="ADH148" s="609"/>
      <c r="ADI148" s="609"/>
      <c r="ADJ148" s="609"/>
      <c r="ADK148" s="609"/>
      <c r="ADL148" s="609"/>
      <c r="ADM148" s="609"/>
      <c r="ADN148" s="609"/>
      <c r="ADO148" s="609"/>
      <c r="ADP148" s="609"/>
      <c r="ADQ148" s="609"/>
      <c r="ADR148" s="609"/>
      <c r="ADS148" s="609"/>
      <c r="ADT148" s="609"/>
      <c r="ADU148" s="609"/>
      <c r="ADV148" s="609"/>
      <c r="ADW148" s="609"/>
      <c r="ADX148" s="609"/>
      <c r="ADY148" s="609"/>
      <c r="ADZ148" s="609"/>
      <c r="AEA148" s="609"/>
      <c r="AEB148" s="609"/>
      <c r="AEC148" s="609"/>
      <c r="AED148" s="609"/>
      <c r="AEE148" s="609"/>
      <c r="AEF148" s="609"/>
      <c r="AEG148" s="609"/>
      <c r="AEH148" s="609"/>
      <c r="AEI148" s="609"/>
      <c r="AEJ148" s="609"/>
      <c r="AEK148" s="609"/>
      <c r="AEL148" s="609"/>
      <c r="AEM148" s="609"/>
      <c r="AEN148" s="609"/>
      <c r="AEO148" s="609"/>
      <c r="AEP148" s="609"/>
      <c r="AEQ148" s="609"/>
      <c r="AER148" s="609"/>
      <c r="AES148" s="609"/>
      <c r="AET148" s="609"/>
      <c r="AEU148" s="609"/>
      <c r="AEV148" s="609"/>
      <c r="AEW148" s="609"/>
      <c r="AEX148" s="609"/>
      <c r="AEY148" s="609"/>
      <c r="AEZ148" s="609"/>
      <c r="AFA148" s="609"/>
      <c r="AFB148" s="609"/>
      <c r="AFC148" s="609"/>
      <c r="AFD148" s="609"/>
      <c r="AFE148" s="609"/>
      <c r="AFF148" s="609"/>
      <c r="AFG148" s="609"/>
      <c r="AFH148" s="609"/>
      <c r="AFI148" s="609"/>
      <c r="AFJ148" s="609"/>
      <c r="AFK148" s="609"/>
      <c r="AFL148" s="609"/>
      <c r="AFM148" s="609"/>
      <c r="AFN148" s="609"/>
      <c r="AFO148" s="609"/>
      <c r="AFP148" s="609"/>
      <c r="AFQ148" s="609"/>
      <c r="AFR148" s="609"/>
      <c r="AFS148" s="609"/>
      <c r="AFT148" s="609"/>
      <c r="AFU148" s="609"/>
      <c r="AFV148" s="609"/>
      <c r="AFW148" s="609"/>
      <c r="AFX148" s="609"/>
      <c r="AFY148" s="609"/>
      <c r="AFZ148" s="609"/>
      <c r="AGA148" s="609"/>
      <c r="AGB148" s="609"/>
      <c r="AGC148" s="609"/>
      <c r="AGD148" s="609"/>
      <c r="AGE148" s="609"/>
      <c r="AGF148" s="609"/>
      <c r="AGG148" s="609"/>
      <c r="AGH148" s="609"/>
      <c r="AGI148" s="609"/>
      <c r="AGJ148" s="609"/>
      <c r="AGK148" s="609"/>
      <c r="AGL148" s="609"/>
      <c r="AGM148" s="609"/>
      <c r="AGN148" s="609"/>
      <c r="AGO148" s="609"/>
      <c r="AGP148" s="609"/>
      <c r="AGQ148" s="609"/>
      <c r="AGR148" s="609"/>
      <c r="AGS148" s="609"/>
      <c r="AGT148" s="609"/>
      <c r="AGU148" s="609"/>
      <c r="AGV148" s="609"/>
      <c r="AGW148" s="609"/>
      <c r="AGX148" s="609"/>
      <c r="AGY148" s="609"/>
      <c r="AGZ148" s="609"/>
      <c r="AHA148" s="609"/>
      <c r="AHB148" s="609"/>
      <c r="AHC148" s="609"/>
      <c r="AHD148" s="609"/>
      <c r="AHE148" s="609"/>
      <c r="AHF148" s="609"/>
      <c r="AHG148" s="609"/>
      <c r="AHH148" s="609"/>
      <c r="AHI148" s="609"/>
      <c r="AHJ148" s="609"/>
      <c r="AHK148" s="609"/>
      <c r="AHL148" s="609"/>
      <c r="AHM148" s="609"/>
      <c r="AHN148" s="609"/>
      <c r="AHO148" s="609"/>
      <c r="AHP148" s="609"/>
      <c r="AHQ148" s="609"/>
      <c r="AHR148" s="609"/>
      <c r="AHS148" s="609"/>
      <c r="AHT148" s="609"/>
      <c r="AHU148" s="609"/>
      <c r="AHV148" s="609"/>
      <c r="AHW148" s="609"/>
      <c r="AHX148" s="609"/>
      <c r="AHY148" s="609"/>
      <c r="AHZ148" s="609"/>
      <c r="AIA148" s="609"/>
      <c r="AIB148" s="609"/>
      <c r="AIC148" s="609"/>
      <c r="AID148" s="609"/>
      <c r="AIE148" s="609"/>
      <c r="AIF148" s="609"/>
      <c r="AIG148" s="609"/>
      <c r="AIH148" s="609"/>
      <c r="AII148" s="609"/>
      <c r="AIJ148" s="609"/>
      <c r="AIK148" s="609"/>
      <c r="AIL148" s="609"/>
      <c r="AIM148" s="609"/>
      <c r="AIN148" s="609"/>
      <c r="AIO148" s="609"/>
      <c r="AIP148" s="609"/>
      <c r="AIQ148" s="609"/>
      <c r="AIR148" s="609"/>
      <c r="AIS148" s="609"/>
      <c r="AIT148" s="609"/>
      <c r="AIU148" s="609"/>
      <c r="AIV148" s="609"/>
      <c r="AIW148" s="609"/>
      <c r="AIX148" s="609"/>
      <c r="AIY148" s="609"/>
      <c r="AIZ148" s="609"/>
      <c r="AJA148" s="609"/>
      <c r="AJB148" s="609"/>
      <c r="AJC148" s="609"/>
      <c r="AJD148" s="609"/>
      <c r="AJE148" s="609"/>
      <c r="AJF148" s="609"/>
      <c r="AJG148" s="609"/>
      <c r="AJH148" s="609"/>
      <c r="AJI148" s="609"/>
      <c r="AJJ148" s="609"/>
      <c r="AJK148" s="609"/>
      <c r="AJL148" s="609"/>
      <c r="AJM148" s="609"/>
      <c r="AJN148" s="609"/>
      <c r="AJO148" s="609"/>
      <c r="AJP148" s="609"/>
      <c r="AJQ148" s="609"/>
      <c r="AJR148" s="609"/>
      <c r="AJS148" s="609"/>
      <c r="AJT148" s="609"/>
      <c r="AJU148" s="609"/>
      <c r="AJV148" s="609"/>
      <c r="AJW148" s="609"/>
      <c r="AJX148" s="609"/>
      <c r="AJY148" s="609"/>
      <c r="AJZ148" s="609"/>
      <c r="AKA148" s="609"/>
      <c r="AKB148" s="609"/>
      <c r="AKC148" s="609"/>
      <c r="AKD148" s="609"/>
      <c r="AKE148" s="609"/>
      <c r="AKF148" s="609"/>
      <c r="AKG148" s="609"/>
      <c r="AKH148" s="609"/>
      <c r="AKI148" s="609"/>
      <c r="AKJ148" s="609"/>
      <c r="AKK148" s="609"/>
      <c r="AKL148" s="609"/>
      <c r="AKM148" s="609"/>
      <c r="AKN148" s="609"/>
      <c r="AKO148" s="609"/>
      <c r="AKP148" s="609"/>
      <c r="AKQ148" s="609"/>
      <c r="AKR148" s="609"/>
      <c r="AKS148" s="609"/>
      <c r="AKT148" s="609"/>
      <c r="AKU148" s="609"/>
      <c r="AKV148" s="609"/>
      <c r="AKW148" s="609"/>
      <c r="AKX148" s="609"/>
      <c r="AKY148" s="609"/>
      <c r="AKZ148" s="609"/>
      <c r="ALA148" s="609"/>
      <c r="ALB148" s="609"/>
      <c r="ALC148" s="609"/>
      <c r="ALD148" s="609"/>
      <c r="ALE148" s="609"/>
      <c r="ALF148" s="609"/>
      <c r="ALG148" s="609"/>
      <c r="ALH148" s="609"/>
      <c r="ALI148" s="609"/>
      <c r="ALJ148" s="609"/>
      <c r="ALK148" s="609"/>
      <c r="ALL148" s="609"/>
      <c r="ALM148" s="609"/>
      <c r="ALN148" s="609"/>
      <c r="ALO148" s="609"/>
      <c r="ALP148" s="609"/>
      <c r="ALQ148" s="609"/>
      <c r="ALR148" s="609"/>
      <c r="ALS148" s="609"/>
      <c r="ALT148" s="609"/>
      <c r="ALU148" s="609"/>
      <c r="ALV148" s="609"/>
      <c r="ALW148" s="609"/>
      <c r="ALX148" s="609"/>
      <c r="ALY148" s="609"/>
      <c r="ALZ148" s="609"/>
      <c r="AMA148" s="609"/>
      <c r="AMB148" s="609"/>
      <c r="AMC148" s="609"/>
      <c r="AMD148" s="609"/>
      <c r="AME148" s="609"/>
      <c r="AMF148" s="609"/>
      <c r="AMG148" s="609"/>
      <c r="AMH148" s="609"/>
      <c r="AMI148" s="609"/>
      <c r="AMJ148" s="609"/>
      <c r="AMK148" s="609"/>
      <c r="AML148" s="609"/>
      <c r="AMM148" s="609"/>
      <c r="AMN148" s="609"/>
      <c r="AMO148" s="609"/>
      <c r="AMP148" s="609"/>
      <c r="AMQ148" s="609"/>
      <c r="AMR148" s="609"/>
      <c r="AMS148" s="609"/>
      <c r="AMT148" s="609"/>
      <c r="AMU148" s="609"/>
      <c r="AMV148" s="609"/>
      <c r="AMW148" s="609"/>
      <c r="AMX148" s="609"/>
      <c r="AMY148" s="609"/>
      <c r="AMZ148" s="609"/>
      <c r="ANA148" s="609"/>
      <c r="ANB148" s="609"/>
      <c r="ANC148" s="609"/>
      <c r="AND148" s="609"/>
      <c r="ANE148" s="609"/>
      <c r="ANF148" s="609"/>
      <c r="ANG148" s="609"/>
      <c r="ANH148" s="609"/>
      <c r="ANI148" s="609"/>
      <c r="ANJ148" s="609"/>
      <c r="ANK148" s="609"/>
      <c r="ANL148" s="609"/>
      <c r="ANM148" s="609"/>
      <c r="ANN148" s="609"/>
      <c r="ANO148" s="609"/>
      <c r="ANP148" s="609"/>
      <c r="ANQ148" s="609"/>
      <c r="ANR148" s="609"/>
      <c r="ANS148" s="609"/>
      <c r="ANT148" s="609"/>
      <c r="ANU148" s="609"/>
      <c r="ANV148" s="609"/>
      <c r="ANW148" s="609"/>
      <c r="ANX148" s="609"/>
      <c r="ANY148" s="609"/>
      <c r="ANZ148" s="609"/>
      <c r="AOA148" s="609"/>
      <c r="AOB148" s="609"/>
      <c r="AOC148" s="609"/>
      <c r="AOD148" s="609"/>
      <c r="AOE148" s="609"/>
      <c r="AOF148" s="609"/>
      <c r="AOG148" s="609"/>
      <c r="AOH148" s="609"/>
      <c r="AOI148" s="609"/>
      <c r="AOJ148" s="609"/>
      <c r="AOK148" s="609"/>
      <c r="AOL148" s="609"/>
      <c r="AOM148" s="609"/>
      <c r="AON148" s="609"/>
      <c r="AOO148" s="609"/>
      <c r="AOP148" s="609"/>
      <c r="AOQ148" s="609"/>
      <c r="AOR148" s="609"/>
      <c r="AOS148" s="609"/>
      <c r="AOT148" s="609"/>
      <c r="AOU148" s="609"/>
      <c r="AOV148" s="609"/>
      <c r="AOW148" s="609"/>
      <c r="AOX148" s="609"/>
      <c r="AOY148" s="609"/>
      <c r="AOZ148" s="609"/>
      <c r="APA148" s="609"/>
      <c r="APB148" s="609"/>
      <c r="APC148" s="609"/>
      <c r="APD148" s="609"/>
      <c r="APE148" s="609"/>
      <c r="APF148" s="609"/>
      <c r="APG148" s="609"/>
      <c r="APH148" s="609"/>
      <c r="API148" s="609"/>
      <c r="APJ148" s="609"/>
      <c r="APK148" s="609"/>
      <c r="APL148" s="609"/>
      <c r="APM148" s="609"/>
      <c r="APN148" s="609"/>
      <c r="APO148" s="609"/>
      <c r="APP148" s="609"/>
      <c r="APQ148" s="609"/>
      <c r="APR148" s="609"/>
      <c r="APS148" s="609"/>
      <c r="APT148" s="609"/>
      <c r="APU148" s="609"/>
      <c r="APV148" s="609"/>
      <c r="APW148" s="609"/>
      <c r="APX148" s="609"/>
      <c r="APY148" s="609"/>
      <c r="APZ148" s="609"/>
      <c r="AQA148" s="609"/>
      <c r="AQB148" s="609"/>
      <c r="AQC148" s="609"/>
      <c r="AQD148" s="609"/>
      <c r="AQE148" s="609"/>
      <c r="AQF148" s="609"/>
      <c r="AQG148" s="609"/>
      <c r="AQH148" s="609"/>
      <c r="AQI148" s="609"/>
      <c r="AQJ148" s="609"/>
      <c r="AQK148" s="609"/>
      <c r="AQL148" s="609"/>
      <c r="AQM148" s="609"/>
      <c r="AQN148" s="609"/>
      <c r="AQO148" s="609"/>
      <c r="AQP148" s="609"/>
      <c r="AQQ148" s="609"/>
      <c r="AQR148" s="609"/>
      <c r="AQS148" s="609"/>
      <c r="AQT148" s="609"/>
      <c r="AQU148" s="609"/>
      <c r="AQV148" s="609"/>
      <c r="AQW148" s="609"/>
      <c r="AQX148" s="609"/>
      <c r="AQY148" s="609"/>
      <c r="AQZ148" s="609"/>
      <c r="ARA148" s="609"/>
      <c r="ARB148" s="609"/>
      <c r="ARC148" s="609"/>
      <c r="ARD148" s="609"/>
      <c r="ARE148" s="609"/>
      <c r="ARF148" s="609"/>
      <c r="ARG148" s="609"/>
      <c r="ARH148" s="609"/>
      <c r="ARI148" s="609"/>
      <c r="ARJ148" s="609"/>
      <c r="ARK148" s="609"/>
      <c r="ARL148" s="609"/>
      <c r="ARM148" s="609"/>
      <c r="ARN148" s="609"/>
      <c r="ARO148" s="609"/>
      <c r="ARP148" s="609"/>
      <c r="ARQ148" s="609"/>
      <c r="ARR148" s="609"/>
      <c r="ARS148" s="609"/>
      <c r="ART148" s="609"/>
      <c r="ARU148" s="609"/>
      <c r="ARV148" s="609"/>
      <c r="ARW148" s="609"/>
      <c r="ARX148" s="609"/>
      <c r="ARY148" s="609"/>
      <c r="ARZ148" s="609"/>
      <c r="ASA148" s="609"/>
      <c r="ASB148" s="609"/>
      <c r="ASC148" s="609"/>
      <c r="ASD148" s="609"/>
      <c r="ASE148" s="609"/>
      <c r="ASF148" s="609"/>
      <c r="ASG148" s="609"/>
      <c r="ASH148" s="609"/>
      <c r="ASI148" s="609"/>
      <c r="ASJ148" s="609"/>
      <c r="ASK148" s="609"/>
      <c r="ASL148" s="609"/>
      <c r="ASM148" s="609"/>
      <c r="ASN148" s="609"/>
      <c r="ASO148" s="609"/>
      <c r="ASP148" s="609"/>
      <c r="ASQ148" s="609"/>
      <c r="ASR148" s="609"/>
      <c r="ASS148" s="609"/>
      <c r="AST148" s="609"/>
      <c r="ASU148" s="609"/>
      <c r="ASV148" s="609"/>
      <c r="ASW148" s="609"/>
      <c r="ASX148" s="609"/>
      <c r="ASY148" s="609"/>
      <c r="ASZ148" s="609"/>
      <c r="ATA148" s="609"/>
      <c r="ATB148" s="609"/>
      <c r="ATC148" s="609"/>
      <c r="ATD148" s="609"/>
      <c r="ATE148" s="609"/>
      <c r="ATF148" s="609"/>
      <c r="ATG148" s="609"/>
      <c r="ATH148" s="609"/>
      <c r="ATI148" s="609"/>
      <c r="ATJ148" s="609"/>
      <c r="ATK148" s="609"/>
      <c r="ATL148" s="609"/>
      <c r="ATM148" s="609"/>
      <c r="ATN148" s="609"/>
      <c r="ATO148" s="609"/>
      <c r="ATP148" s="609"/>
      <c r="ATQ148" s="609"/>
      <c r="ATR148" s="609"/>
      <c r="ATS148" s="609"/>
      <c r="ATT148" s="609"/>
      <c r="ATU148" s="609"/>
      <c r="ATV148" s="609"/>
      <c r="ATW148" s="609"/>
      <c r="ATX148" s="609"/>
      <c r="ATY148" s="609"/>
      <c r="ATZ148" s="609"/>
      <c r="AUA148" s="609"/>
      <c r="AUB148" s="609"/>
      <c r="AUC148" s="609"/>
      <c r="AUD148" s="609"/>
      <c r="AUE148" s="609"/>
      <c r="AUF148" s="609"/>
      <c r="AUG148" s="609"/>
      <c r="AUH148" s="609"/>
      <c r="AUI148" s="609"/>
      <c r="AUJ148" s="609"/>
      <c r="AUK148" s="609"/>
      <c r="AUL148" s="609"/>
      <c r="AUM148" s="609"/>
      <c r="AUN148" s="609"/>
      <c r="AUO148" s="609"/>
      <c r="AUP148" s="609"/>
      <c r="AUQ148" s="609"/>
      <c r="AUR148" s="609"/>
      <c r="AUS148" s="609"/>
      <c r="AUT148" s="609"/>
      <c r="AUU148" s="609"/>
      <c r="AUV148" s="609"/>
      <c r="AUW148" s="609"/>
      <c r="AUX148" s="609"/>
      <c r="AUY148" s="609"/>
      <c r="AUZ148" s="609"/>
      <c r="AVA148" s="609"/>
      <c r="AVB148" s="609"/>
      <c r="AVC148" s="609"/>
      <c r="AVD148" s="609"/>
      <c r="AVE148" s="609"/>
      <c r="AVF148" s="609"/>
      <c r="AVG148" s="609"/>
      <c r="AVH148" s="609"/>
      <c r="AVI148" s="609"/>
      <c r="AVJ148" s="609"/>
      <c r="AVK148" s="609"/>
      <c r="AVL148" s="609"/>
      <c r="AVM148" s="609"/>
      <c r="AVN148" s="609"/>
      <c r="AVO148" s="609"/>
      <c r="AVP148" s="609"/>
      <c r="AVQ148" s="609"/>
      <c r="AVR148" s="609"/>
      <c r="AVS148" s="609"/>
      <c r="AVT148" s="609"/>
      <c r="AVU148" s="609"/>
      <c r="AVV148" s="609"/>
      <c r="AVW148" s="609"/>
      <c r="AVX148" s="609"/>
      <c r="AVY148" s="609"/>
      <c r="AVZ148" s="609"/>
      <c r="AWA148" s="609"/>
      <c r="AWB148" s="609"/>
      <c r="AWC148" s="609"/>
      <c r="AWD148" s="609"/>
      <c r="AWE148" s="609"/>
      <c r="AWF148" s="609"/>
      <c r="AWG148" s="609"/>
      <c r="AWH148" s="609"/>
      <c r="AWI148" s="609"/>
      <c r="AWJ148" s="609"/>
      <c r="AWK148" s="609"/>
      <c r="AWL148" s="609"/>
      <c r="AWM148" s="609"/>
      <c r="AWN148" s="609"/>
      <c r="AWO148" s="609"/>
      <c r="AWP148" s="609"/>
      <c r="AWQ148" s="609"/>
      <c r="AWR148" s="609"/>
      <c r="AWS148" s="609"/>
      <c r="AWT148" s="609"/>
      <c r="AWU148" s="609"/>
      <c r="AWV148" s="609"/>
      <c r="AWW148" s="609"/>
      <c r="AWX148" s="609"/>
      <c r="AWY148" s="609"/>
      <c r="AWZ148" s="609"/>
      <c r="AXA148" s="609"/>
      <c r="AXB148" s="609"/>
      <c r="AXC148" s="609"/>
      <c r="AXD148" s="609"/>
      <c r="AXE148" s="609"/>
      <c r="AXF148" s="609"/>
      <c r="AXG148" s="609"/>
      <c r="AXH148" s="609"/>
      <c r="AXI148" s="609"/>
      <c r="AXJ148" s="609"/>
      <c r="AXK148" s="609"/>
      <c r="AXL148" s="609"/>
      <c r="AXM148" s="609"/>
      <c r="AXN148" s="609"/>
      <c r="AXO148" s="609"/>
      <c r="AXP148" s="609"/>
      <c r="AXQ148" s="609"/>
      <c r="AXR148" s="609"/>
      <c r="AXS148" s="609"/>
      <c r="AXT148" s="609"/>
      <c r="AXU148" s="609"/>
      <c r="AXV148" s="609"/>
      <c r="AXW148" s="609"/>
      <c r="AXX148" s="609"/>
      <c r="AXY148" s="609"/>
      <c r="AXZ148" s="609"/>
      <c r="AYA148" s="609"/>
      <c r="AYB148" s="609"/>
      <c r="AYC148" s="609"/>
      <c r="AYD148" s="609"/>
      <c r="AYE148" s="609"/>
      <c r="AYF148" s="609"/>
      <c r="AYG148" s="609"/>
      <c r="AYH148" s="609"/>
      <c r="AYI148" s="609"/>
      <c r="AYJ148" s="609"/>
      <c r="AYK148" s="609"/>
      <c r="AYL148" s="609"/>
      <c r="AYM148" s="609"/>
      <c r="AYN148" s="609"/>
      <c r="AYO148" s="609"/>
      <c r="AYP148" s="609"/>
      <c r="AYQ148" s="609"/>
      <c r="AYR148" s="609"/>
      <c r="AYS148" s="609"/>
      <c r="AYT148" s="609"/>
      <c r="AYU148" s="609"/>
      <c r="AYV148" s="609"/>
      <c r="AYW148" s="609"/>
      <c r="AYX148" s="609"/>
      <c r="AYY148" s="609"/>
      <c r="AYZ148" s="609"/>
      <c r="AZA148" s="609"/>
      <c r="AZB148" s="609"/>
      <c r="AZC148" s="609"/>
      <c r="AZD148" s="609"/>
      <c r="AZE148" s="609"/>
      <c r="AZF148" s="609"/>
      <c r="AZG148" s="609"/>
      <c r="AZH148" s="609"/>
      <c r="AZI148" s="609"/>
      <c r="AZJ148" s="609"/>
      <c r="AZK148" s="609"/>
      <c r="AZL148" s="609"/>
      <c r="AZM148" s="609"/>
      <c r="AZN148" s="609"/>
      <c r="AZO148" s="609"/>
      <c r="AZP148" s="609"/>
      <c r="AZQ148" s="609"/>
      <c r="AZR148" s="609"/>
      <c r="AZS148" s="609"/>
      <c r="AZT148" s="609"/>
      <c r="AZU148" s="609"/>
      <c r="AZV148" s="609"/>
      <c r="AZW148" s="609"/>
      <c r="AZX148" s="609"/>
      <c r="AZY148" s="609"/>
      <c r="AZZ148" s="609"/>
      <c r="BAA148" s="609"/>
      <c r="BAB148" s="609"/>
      <c r="BAC148" s="609"/>
      <c r="BAD148" s="609"/>
      <c r="BAE148" s="609"/>
      <c r="BAF148" s="609"/>
      <c r="BAG148" s="609"/>
      <c r="BAH148" s="609"/>
      <c r="BAI148" s="609"/>
      <c r="BAJ148" s="609"/>
      <c r="BAK148" s="609"/>
      <c r="BAL148" s="609"/>
      <c r="BAM148" s="609"/>
      <c r="BAN148" s="609"/>
      <c r="BAO148" s="609"/>
      <c r="BAP148" s="609"/>
      <c r="BAQ148" s="609"/>
      <c r="BAR148" s="609"/>
      <c r="BAS148" s="609"/>
      <c r="BAT148" s="609"/>
      <c r="BAU148" s="609"/>
      <c r="BAV148" s="609"/>
      <c r="BAW148" s="609"/>
      <c r="BAX148" s="609"/>
      <c r="BAY148" s="609"/>
      <c r="BAZ148" s="609"/>
      <c r="BBA148" s="609"/>
      <c r="BBB148" s="609"/>
      <c r="BBC148" s="609"/>
      <c r="BBD148" s="609"/>
      <c r="BBE148" s="609"/>
      <c r="BBF148" s="609"/>
      <c r="BBG148" s="609"/>
      <c r="BBH148" s="609"/>
      <c r="BBI148" s="609"/>
      <c r="BBJ148" s="609"/>
      <c r="BBK148" s="609"/>
      <c r="BBL148" s="609"/>
      <c r="BBM148" s="609"/>
      <c r="BBN148" s="609"/>
      <c r="BBO148" s="609"/>
      <c r="BBP148" s="609"/>
      <c r="BBQ148" s="609"/>
      <c r="BBR148" s="609"/>
      <c r="BBS148" s="609"/>
      <c r="BBT148" s="609"/>
      <c r="BBU148" s="609"/>
      <c r="BBV148" s="609"/>
      <c r="BBW148" s="609"/>
      <c r="BBX148" s="609"/>
      <c r="BBY148" s="609"/>
      <c r="BBZ148" s="609"/>
      <c r="BCA148" s="609"/>
      <c r="BCB148" s="609"/>
      <c r="BCC148" s="609"/>
      <c r="BCD148" s="609"/>
      <c r="BCE148" s="609"/>
      <c r="BCF148" s="609"/>
      <c r="BCG148" s="609"/>
      <c r="BCH148" s="609"/>
      <c r="BCI148" s="609"/>
      <c r="BCJ148" s="609"/>
      <c r="BCK148" s="609"/>
      <c r="BCL148" s="609"/>
      <c r="BCM148" s="609"/>
      <c r="BCN148" s="609"/>
      <c r="BCO148" s="609"/>
      <c r="BCP148" s="609"/>
      <c r="BCQ148" s="609"/>
      <c r="BCR148" s="609"/>
      <c r="BCS148" s="609"/>
      <c r="BCT148" s="609"/>
      <c r="BCU148" s="609"/>
      <c r="BCV148" s="609"/>
      <c r="BCW148" s="609"/>
      <c r="BCX148" s="609"/>
      <c r="BCY148" s="609"/>
      <c r="BCZ148" s="609"/>
      <c r="BDA148" s="609"/>
      <c r="BDB148" s="609"/>
      <c r="BDC148" s="609"/>
      <c r="BDD148" s="609"/>
      <c r="BDE148" s="609"/>
      <c r="BDF148" s="609"/>
      <c r="BDG148" s="609"/>
      <c r="BDH148" s="609"/>
      <c r="BDI148" s="609"/>
      <c r="BDJ148" s="609"/>
      <c r="BDK148" s="609"/>
      <c r="BDL148" s="609"/>
      <c r="BDM148" s="609"/>
      <c r="BDN148" s="609"/>
      <c r="BDO148" s="609"/>
      <c r="BDP148" s="609"/>
      <c r="BDQ148" s="609"/>
      <c r="BDR148" s="609"/>
      <c r="BDS148" s="609"/>
      <c r="BDT148" s="609"/>
      <c r="BDU148" s="609"/>
      <c r="BDV148" s="609"/>
      <c r="BDW148" s="609"/>
      <c r="BDX148" s="609"/>
      <c r="BDY148" s="609"/>
      <c r="BDZ148" s="609"/>
      <c r="BEA148" s="609"/>
      <c r="BEB148" s="609"/>
      <c r="BEC148" s="609"/>
      <c r="BED148" s="609"/>
      <c r="BEE148" s="609"/>
      <c r="BEF148" s="609"/>
      <c r="BEG148" s="609"/>
      <c r="BEH148" s="609"/>
      <c r="BEI148" s="609"/>
      <c r="BEJ148" s="609"/>
      <c r="BEK148" s="609"/>
      <c r="BEL148" s="609"/>
      <c r="BEM148" s="609"/>
      <c r="BEN148" s="609"/>
      <c r="BEO148" s="609"/>
      <c r="BEP148" s="609"/>
      <c r="BEQ148" s="609"/>
      <c r="BER148" s="609"/>
      <c r="BES148" s="609"/>
      <c r="BET148" s="609"/>
      <c r="BEU148" s="609"/>
      <c r="BEV148" s="609"/>
      <c r="BEW148" s="609"/>
      <c r="BEX148" s="609"/>
      <c r="BEY148" s="609"/>
      <c r="BEZ148" s="609"/>
      <c r="BFA148" s="609"/>
      <c r="BFB148" s="609"/>
      <c r="BFC148" s="609"/>
      <c r="BFD148" s="609"/>
      <c r="BFE148" s="609"/>
      <c r="BFF148" s="609"/>
      <c r="BFG148" s="609"/>
      <c r="BFH148" s="609"/>
      <c r="BFI148" s="609"/>
      <c r="BFJ148" s="609"/>
      <c r="BFK148" s="609"/>
      <c r="BFL148" s="609"/>
      <c r="BFM148" s="609"/>
      <c r="BFN148" s="609"/>
      <c r="BFO148" s="609"/>
      <c r="BFP148" s="609"/>
      <c r="BFQ148" s="609"/>
      <c r="BFR148" s="609"/>
      <c r="BFS148" s="609"/>
      <c r="BFT148" s="609"/>
      <c r="BFU148" s="609"/>
      <c r="BFV148" s="609"/>
      <c r="BFW148" s="609"/>
      <c r="BFX148" s="609"/>
      <c r="BFY148" s="609"/>
      <c r="BFZ148" s="609"/>
      <c r="BGA148" s="609"/>
      <c r="BGB148" s="609"/>
      <c r="BGC148" s="609"/>
      <c r="BGD148" s="609"/>
      <c r="BGE148" s="609"/>
      <c r="BGF148" s="609"/>
      <c r="BGG148" s="609"/>
      <c r="BGH148" s="609"/>
      <c r="BGI148" s="609"/>
      <c r="BGJ148" s="609"/>
      <c r="BGK148" s="609"/>
      <c r="BGL148" s="609"/>
      <c r="BGM148" s="609"/>
      <c r="BGN148" s="609"/>
      <c r="BGO148" s="609"/>
      <c r="BGP148" s="609"/>
      <c r="BGQ148" s="609"/>
      <c r="BGR148" s="609"/>
      <c r="BGS148" s="609"/>
      <c r="BGT148" s="609"/>
      <c r="BGU148" s="609"/>
      <c r="BGV148" s="609"/>
      <c r="BGW148" s="609"/>
      <c r="BGX148" s="609"/>
      <c r="BGY148" s="609"/>
      <c r="BGZ148" s="609"/>
      <c r="BHA148" s="609"/>
      <c r="BHB148" s="609"/>
      <c r="BHC148" s="609"/>
      <c r="BHD148" s="609"/>
      <c r="BHE148" s="609"/>
      <c r="BHF148" s="609"/>
      <c r="BHG148" s="609"/>
      <c r="BHH148" s="609"/>
      <c r="BHI148" s="609"/>
      <c r="BHJ148" s="609"/>
      <c r="BHK148" s="609"/>
      <c r="BHL148" s="609"/>
      <c r="BHM148" s="609"/>
      <c r="BHN148" s="609"/>
      <c r="BHO148" s="609"/>
      <c r="BHP148" s="609"/>
      <c r="BHQ148" s="609"/>
      <c r="BHR148" s="609"/>
      <c r="BHS148" s="609"/>
      <c r="BHT148" s="609"/>
      <c r="BHU148" s="609"/>
      <c r="BHV148" s="609"/>
      <c r="BHW148" s="609"/>
      <c r="BHX148" s="609"/>
      <c r="BHY148" s="609"/>
      <c r="BHZ148" s="609"/>
      <c r="BIA148" s="609"/>
      <c r="BIB148" s="609"/>
      <c r="BIC148" s="609"/>
      <c r="BID148" s="609"/>
      <c r="BIE148" s="609"/>
      <c r="BIF148" s="609"/>
      <c r="BIG148" s="609"/>
      <c r="BIH148" s="609"/>
      <c r="BII148" s="609"/>
      <c r="BIJ148" s="609"/>
      <c r="BIK148" s="609"/>
      <c r="BIL148" s="609"/>
      <c r="BIM148" s="609"/>
      <c r="BIN148" s="609"/>
      <c r="BIO148" s="609"/>
      <c r="BIP148" s="609"/>
      <c r="BIQ148" s="609"/>
      <c r="BIR148" s="609"/>
      <c r="BIS148" s="609"/>
      <c r="BIT148" s="609"/>
      <c r="BIU148" s="609"/>
      <c r="BIV148" s="609"/>
      <c r="BIW148" s="609"/>
      <c r="BIX148" s="609"/>
      <c r="BIY148" s="609"/>
      <c r="BIZ148" s="609"/>
      <c r="BJA148" s="609"/>
      <c r="BJB148" s="609"/>
      <c r="BJC148" s="609"/>
      <c r="BJD148" s="609"/>
      <c r="BJE148" s="609"/>
      <c r="BJF148" s="609"/>
      <c r="BJG148" s="609"/>
      <c r="BJH148" s="609"/>
      <c r="BJI148" s="609"/>
      <c r="BJJ148" s="609"/>
      <c r="BJK148" s="609"/>
      <c r="BJL148" s="609"/>
      <c r="BJM148" s="609"/>
      <c r="BJN148" s="609"/>
      <c r="BJO148" s="609"/>
      <c r="BJP148" s="609"/>
      <c r="BJQ148" s="609"/>
      <c r="BJR148" s="609"/>
      <c r="BJS148" s="609"/>
      <c r="BJT148" s="609"/>
      <c r="BJU148" s="609"/>
      <c r="BJV148" s="609"/>
      <c r="BJW148" s="609"/>
      <c r="BJX148" s="609"/>
      <c r="BJY148" s="609"/>
      <c r="BJZ148" s="609"/>
      <c r="BKA148" s="609"/>
      <c r="BKB148" s="609"/>
      <c r="BKC148" s="609"/>
      <c r="BKD148" s="609"/>
      <c r="BKE148" s="609"/>
      <c r="BKF148" s="609"/>
      <c r="BKG148" s="609"/>
      <c r="BKH148" s="609"/>
      <c r="BKI148" s="609"/>
      <c r="BKJ148" s="609"/>
      <c r="BKK148" s="609"/>
      <c r="BKL148" s="609"/>
      <c r="BKM148" s="609"/>
      <c r="BKN148" s="609"/>
      <c r="BKO148" s="609"/>
      <c r="BKP148" s="609"/>
      <c r="BKQ148" s="609"/>
      <c r="BKR148" s="609"/>
      <c r="BKS148" s="609"/>
      <c r="BKT148" s="609"/>
      <c r="BKU148" s="609"/>
      <c r="BKV148" s="609"/>
      <c r="BKW148" s="609"/>
      <c r="BKX148" s="609"/>
      <c r="BKY148" s="609"/>
      <c r="BKZ148" s="609"/>
      <c r="BLA148" s="609"/>
      <c r="BLB148" s="609"/>
      <c r="BLC148" s="609"/>
      <c r="BLD148" s="609"/>
      <c r="BLE148" s="609"/>
      <c r="BLF148" s="609"/>
      <c r="BLG148" s="609"/>
      <c r="BLH148" s="609"/>
      <c r="BLI148" s="609"/>
      <c r="BLJ148" s="609"/>
      <c r="BLK148" s="609"/>
      <c r="BLL148" s="609"/>
      <c r="BLM148" s="609"/>
      <c r="BLN148" s="609"/>
      <c r="BLO148" s="609"/>
      <c r="BLP148" s="609"/>
      <c r="BLQ148" s="609"/>
      <c r="BLR148" s="609"/>
      <c r="BLS148" s="609"/>
      <c r="BLT148" s="609"/>
      <c r="BLU148" s="609"/>
      <c r="BLV148" s="609"/>
      <c r="BLW148" s="609"/>
      <c r="BLX148" s="609"/>
      <c r="BLY148" s="609"/>
      <c r="BLZ148" s="609"/>
      <c r="BMA148" s="609"/>
      <c r="BMB148" s="609"/>
      <c r="BMC148" s="609"/>
      <c r="BMD148" s="609"/>
      <c r="BME148" s="609"/>
      <c r="BMF148" s="609"/>
      <c r="BMG148" s="609"/>
      <c r="BMH148" s="609"/>
      <c r="BMI148" s="609"/>
      <c r="BMJ148" s="609"/>
      <c r="BMK148" s="609"/>
      <c r="BML148" s="609"/>
      <c r="BMM148" s="609"/>
      <c r="BMN148" s="609"/>
      <c r="BMO148" s="609"/>
      <c r="BMP148" s="609"/>
      <c r="BMQ148" s="609"/>
      <c r="BMR148" s="609"/>
      <c r="BMS148" s="609"/>
      <c r="BMT148" s="609"/>
      <c r="BMU148" s="609"/>
      <c r="BMV148" s="609"/>
      <c r="BMW148" s="609"/>
      <c r="BMX148" s="609"/>
      <c r="BMY148" s="609"/>
      <c r="BMZ148" s="609"/>
      <c r="BNA148" s="609"/>
      <c r="BNB148" s="609"/>
      <c r="BNC148" s="609"/>
      <c r="BND148" s="609"/>
      <c r="BNE148" s="609"/>
      <c r="BNF148" s="609"/>
      <c r="BNG148" s="609"/>
      <c r="BNH148" s="609"/>
      <c r="BNI148" s="609"/>
      <c r="BNJ148" s="609"/>
      <c r="BNK148" s="609"/>
      <c r="BNL148" s="609"/>
      <c r="BNM148" s="609"/>
      <c r="BNN148" s="609"/>
      <c r="BNO148" s="609"/>
      <c r="BNP148" s="609"/>
      <c r="BNQ148" s="609"/>
      <c r="BNR148" s="609"/>
      <c r="BNS148" s="609"/>
      <c r="BNT148" s="609"/>
      <c r="BNU148" s="609"/>
      <c r="BNV148" s="609"/>
      <c r="BNW148" s="609"/>
      <c r="BNX148" s="609"/>
      <c r="BNY148" s="609"/>
      <c r="BNZ148" s="609"/>
      <c r="BOA148" s="609"/>
      <c r="BOB148" s="609"/>
      <c r="BOC148" s="609"/>
      <c r="BOD148" s="609"/>
      <c r="BOE148" s="609"/>
      <c r="BOF148" s="609"/>
      <c r="BOG148" s="609"/>
      <c r="BOH148" s="609"/>
      <c r="BOI148" s="609"/>
      <c r="BOJ148" s="609"/>
      <c r="BOK148" s="609"/>
      <c r="BOL148" s="609"/>
      <c r="BOM148" s="609"/>
      <c r="BON148" s="609"/>
      <c r="BOO148" s="609"/>
      <c r="BOP148" s="609"/>
      <c r="BOQ148" s="609"/>
      <c r="BOR148" s="609"/>
      <c r="BOS148" s="609"/>
      <c r="BOT148" s="609"/>
      <c r="BOU148" s="609"/>
      <c r="BOV148" s="609"/>
      <c r="BOW148" s="609"/>
      <c r="BOX148" s="609"/>
      <c r="BOY148" s="609"/>
      <c r="BOZ148" s="609"/>
      <c r="BPA148" s="609"/>
      <c r="BPB148" s="609"/>
      <c r="BPC148" s="609"/>
      <c r="BPD148" s="609"/>
      <c r="BPE148" s="609"/>
      <c r="BPF148" s="609"/>
      <c r="BPG148" s="609"/>
      <c r="BPH148" s="609"/>
      <c r="BPI148" s="609"/>
      <c r="BPJ148" s="609"/>
      <c r="BPK148" s="609"/>
      <c r="BPL148" s="609"/>
      <c r="BPM148" s="609"/>
      <c r="BPN148" s="609"/>
      <c r="BPO148" s="609"/>
      <c r="BPP148" s="609"/>
      <c r="BPQ148" s="609"/>
      <c r="BPR148" s="609"/>
      <c r="BPS148" s="609"/>
      <c r="BPT148" s="609"/>
      <c r="BPU148" s="609"/>
      <c r="BPV148" s="609"/>
      <c r="BPW148" s="609"/>
      <c r="BPX148" s="609"/>
      <c r="BPY148" s="609"/>
      <c r="BPZ148" s="609"/>
      <c r="BQA148" s="609"/>
      <c r="BQB148" s="609"/>
      <c r="BQC148" s="609"/>
      <c r="BQD148" s="609"/>
      <c r="BQE148" s="609"/>
      <c r="BQF148" s="609"/>
      <c r="BQG148" s="609"/>
      <c r="BQH148" s="609"/>
      <c r="BQI148" s="609"/>
      <c r="BQJ148" s="609"/>
      <c r="BQK148" s="609"/>
      <c r="BQL148" s="609"/>
      <c r="BQM148" s="609"/>
      <c r="BQN148" s="609"/>
      <c r="BQO148" s="609"/>
      <c r="BQP148" s="609"/>
      <c r="BQQ148" s="609"/>
      <c r="BQR148" s="609"/>
      <c r="BQS148" s="609"/>
      <c r="BQT148" s="609"/>
      <c r="BQU148" s="609"/>
      <c r="BQV148" s="609"/>
      <c r="BQW148" s="609"/>
      <c r="BQX148" s="609"/>
      <c r="BQY148" s="609"/>
      <c r="BQZ148" s="609"/>
      <c r="BRA148" s="609"/>
      <c r="BRB148" s="609"/>
      <c r="BRC148" s="609"/>
      <c r="BRD148" s="609"/>
      <c r="BRE148" s="609"/>
      <c r="BRF148" s="609"/>
      <c r="BRG148" s="609"/>
      <c r="BRH148" s="609"/>
      <c r="BRI148" s="609"/>
      <c r="BRJ148" s="609"/>
      <c r="BRK148" s="609"/>
      <c r="BRL148" s="609"/>
      <c r="BRM148" s="609"/>
      <c r="BRN148" s="609"/>
      <c r="BRO148" s="609"/>
      <c r="BRP148" s="609"/>
      <c r="BRQ148" s="609"/>
      <c r="BRR148" s="609"/>
      <c r="BRS148" s="609"/>
      <c r="BRT148" s="609"/>
      <c r="BRU148" s="609"/>
      <c r="BRV148" s="609"/>
      <c r="BRW148" s="609"/>
      <c r="BRX148" s="609"/>
      <c r="BRY148" s="609"/>
      <c r="BRZ148" s="609"/>
      <c r="BSA148" s="609"/>
      <c r="BSB148" s="609"/>
      <c r="BSC148" s="609"/>
      <c r="BSD148" s="609"/>
      <c r="BSE148" s="609"/>
      <c r="BSF148" s="609"/>
      <c r="BSG148" s="609"/>
      <c r="BSH148" s="609"/>
      <c r="BSI148" s="609"/>
      <c r="BSJ148" s="609"/>
      <c r="BSK148" s="609"/>
      <c r="BSL148" s="609"/>
      <c r="BSM148" s="609"/>
      <c r="BSN148" s="609"/>
      <c r="BSO148" s="609"/>
      <c r="BSP148" s="609"/>
      <c r="BSQ148" s="609"/>
      <c r="BSR148" s="609"/>
      <c r="BSS148" s="609"/>
      <c r="BST148" s="609"/>
      <c r="BSU148" s="609"/>
      <c r="BSV148" s="609"/>
      <c r="BSW148" s="609"/>
      <c r="BSX148" s="609"/>
      <c r="BSY148" s="609"/>
      <c r="BSZ148" s="609"/>
      <c r="BTA148" s="609"/>
      <c r="BTB148" s="609"/>
      <c r="BTC148" s="609"/>
      <c r="BTD148" s="609"/>
      <c r="BTE148" s="609"/>
      <c r="BTF148" s="609"/>
      <c r="BTG148" s="609"/>
      <c r="BTH148" s="609"/>
      <c r="BTI148" s="609"/>
      <c r="BTJ148" s="609"/>
      <c r="BTK148" s="609"/>
      <c r="BTL148" s="609"/>
      <c r="BTM148" s="609"/>
      <c r="BTN148" s="609"/>
      <c r="BTO148" s="609"/>
      <c r="BTP148" s="609"/>
      <c r="BTQ148" s="609"/>
      <c r="BTR148" s="609"/>
      <c r="BTS148" s="609"/>
      <c r="BTT148" s="609"/>
      <c r="BTU148" s="609"/>
      <c r="BTV148" s="609"/>
      <c r="BTW148" s="609"/>
      <c r="BTX148" s="609"/>
      <c r="BTY148" s="609"/>
      <c r="BTZ148" s="609"/>
      <c r="BUA148" s="609"/>
      <c r="BUB148" s="609"/>
      <c r="BUC148" s="609"/>
      <c r="BUD148" s="609"/>
      <c r="BUE148" s="609"/>
      <c r="BUF148" s="609"/>
      <c r="BUG148" s="609"/>
      <c r="BUH148" s="609"/>
      <c r="BUI148" s="609"/>
      <c r="BUJ148" s="609"/>
      <c r="BUK148" s="609"/>
      <c r="BUL148" s="609"/>
      <c r="BUM148" s="609"/>
      <c r="BUN148" s="609"/>
      <c r="BUO148" s="609"/>
      <c r="BUP148" s="609"/>
      <c r="BUQ148" s="609"/>
      <c r="BUR148" s="609"/>
      <c r="BUS148" s="609"/>
      <c r="BUT148" s="609"/>
      <c r="BUU148" s="609"/>
      <c r="BUV148" s="609"/>
      <c r="BUW148" s="609"/>
      <c r="BUX148" s="609"/>
      <c r="BUY148" s="609"/>
      <c r="BUZ148" s="609"/>
      <c r="BVA148" s="609"/>
      <c r="BVB148" s="609"/>
      <c r="BVC148" s="609"/>
      <c r="BVD148" s="609"/>
      <c r="BVE148" s="609"/>
      <c r="BVF148" s="609"/>
      <c r="BVG148" s="609"/>
      <c r="BVH148" s="609"/>
      <c r="BVI148" s="609"/>
      <c r="BVJ148" s="609"/>
      <c r="BVK148" s="609"/>
      <c r="BVL148" s="609"/>
      <c r="BVM148" s="609"/>
      <c r="BVN148" s="609"/>
      <c r="BVO148" s="609"/>
      <c r="BVP148" s="609"/>
      <c r="BVQ148" s="609"/>
      <c r="BVR148" s="609"/>
      <c r="BVS148" s="609"/>
      <c r="BVT148" s="609"/>
      <c r="BVU148" s="609"/>
      <c r="BVV148" s="609"/>
      <c r="BVW148" s="609"/>
      <c r="BVX148" s="609"/>
      <c r="BVY148" s="609"/>
      <c r="BVZ148" s="609"/>
      <c r="BWA148" s="609"/>
      <c r="BWB148" s="609"/>
      <c r="BWC148" s="609"/>
      <c r="BWD148" s="609"/>
      <c r="BWE148" s="609"/>
      <c r="BWF148" s="609"/>
      <c r="BWG148" s="609"/>
      <c r="BWH148" s="609"/>
      <c r="BWI148" s="609"/>
      <c r="BWJ148" s="609"/>
      <c r="BWK148" s="609"/>
      <c r="BWL148" s="609"/>
      <c r="BWM148" s="609"/>
      <c r="BWN148" s="609"/>
      <c r="BWO148" s="609"/>
      <c r="BWP148" s="609"/>
      <c r="BWQ148" s="609"/>
      <c r="BWR148" s="609"/>
      <c r="BWS148" s="609"/>
      <c r="BWT148" s="609"/>
      <c r="BWU148" s="609"/>
      <c r="BWV148" s="609"/>
      <c r="BWW148" s="609"/>
      <c r="BWX148" s="609"/>
      <c r="BWY148" s="609"/>
      <c r="BWZ148" s="609"/>
      <c r="BXA148" s="609"/>
      <c r="BXB148" s="609"/>
      <c r="BXC148" s="609"/>
      <c r="BXD148" s="609"/>
      <c r="BXE148" s="609"/>
      <c r="BXF148" s="609"/>
      <c r="BXG148" s="609"/>
      <c r="BXH148" s="609"/>
      <c r="BXI148" s="609"/>
      <c r="BXJ148" s="609"/>
      <c r="BXK148" s="609"/>
      <c r="BXL148" s="609"/>
      <c r="BXM148" s="609"/>
      <c r="BXN148" s="609"/>
      <c r="BXO148" s="609"/>
      <c r="BXP148" s="609"/>
      <c r="BXQ148" s="609"/>
      <c r="BXR148" s="609"/>
      <c r="BXS148" s="609"/>
      <c r="BXT148" s="609"/>
      <c r="BXU148" s="609"/>
      <c r="BXV148" s="609"/>
      <c r="BXW148" s="609"/>
      <c r="BXX148" s="609"/>
      <c r="BXY148" s="609"/>
      <c r="BXZ148" s="609"/>
      <c r="BYA148" s="609"/>
      <c r="BYB148" s="609"/>
      <c r="BYC148" s="609"/>
      <c r="BYD148" s="609"/>
      <c r="BYE148" s="609"/>
      <c r="BYF148" s="609"/>
      <c r="BYG148" s="609"/>
      <c r="BYH148" s="609"/>
      <c r="BYI148" s="609"/>
      <c r="BYJ148" s="609"/>
      <c r="BYK148" s="609"/>
      <c r="BYL148" s="609"/>
      <c r="BYM148" s="609"/>
      <c r="BYN148" s="609"/>
      <c r="BYO148" s="609"/>
      <c r="BYP148" s="609"/>
      <c r="BYQ148" s="609"/>
      <c r="BYR148" s="609"/>
      <c r="BYS148" s="609"/>
      <c r="BYT148" s="609"/>
      <c r="BYU148" s="609"/>
      <c r="BYV148" s="609"/>
      <c r="BYW148" s="609"/>
      <c r="BYX148" s="609"/>
      <c r="BYY148" s="609"/>
      <c r="BYZ148" s="609"/>
      <c r="BZA148" s="609"/>
      <c r="BZB148" s="609"/>
      <c r="BZC148" s="609"/>
      <c r="BZD148" s="609"/>
      <c r="BZE148" s="609"/>
      <c r="BZF148" s="609"/>
      <c r="BZG148" s="609"/>
      <c r="BZH148" s="609"/>
      <c r="BZI148" s="609"/>
      <c r="BZJ148" s="609"/>
      <c r="BZK148" s="609"/>
      <c r="BZL148" s="609"/>
      <c r="BZM148" s="609"/>
      <c r="BZN148" s="609"/>
      <c r="BZO148" s="609"/>
      <c r="BZP148" s="609"/>
      <c r="BZQ148" s="609"/>
      <c r="BZR148" s="609"/>
      <c r="BZS148" s="609"/>
      <c r="BZT148" s="609"/>
      <c r="BZU148" s="609"/>
      <c r="BZV148" s="609"/>
      <c r="BZW148" s="609"/>
      <c r="BZX148" s="609"/>
      <c r="BZY148" s="609"/>
      <c r="BZZ148" s="609"/>
      <c r="CAA148" s="609"/>
      <c r="CAB148" s="609"/>
      <c r="CAC148" s="609"/>
      <c r="CAD148" s="609"/>
      <c r="CAE148" s="609"/>
      <c r="CAF148" s="609"/>
      <c r="CAG148" s="609"/>
      <c r="CAH148" s="609"/>
      <c r="CAI148" s="609"/>
      <c r="CAJ148" s="609"/>
      <c r="CAK148" s="609"/>
      <c r="CAL148" s="609"/>
      <c r="CAM148" s="609"/>
      <c r="CAN148" s="609"/>
      <c r="CAO148" s="609"/>
      <c r="CAP148" s="609"/>
      <c r="CAQ148" s="609"/>
      <c r="CAR148" s="609"/>
      <c r="CAS148" s="609"/>
      <c r="CAT148" s="609"/>
      <c r="CAU148" s="609"/>
      <c r="CAV148" s="609"/>
      <c r="CAW148" s="609"/>
      <c r="CAX148" s="609"/>
      <c r="CAY148" s="609"/>
      <c r="CAZ148" s="609"/>
      <c r="CBA148" s="609"/>
      <c r="CBB148" s="609"/>
      <c r="CBC148" s="609"/>
      <c r="CBD148" s="609"/>
      <c r="CBE148" s="609"/>
      <c r="CBF148" s="609"/>
      <c r="CBG148" s="609"/>
      <c r="CBH148" s="609"/>
      <c r="CBI148" s="609"/>
      <c r="CBJ148" s="609"/>
      <c r="CBK148" s="609"/>
      <c r="CBL148" s="609"/>
      <c r="CBM148" s="609"/>
      <c r="CBN148" s="609"/>
      <c r="CBO148" s="609"/>
      <c r="CBP148" s="609"/>
      <c r="CBQ148" s="609"/>
      <c r="CBR148" s="609"/>
      <c r="CBS148" s="609"/>
      <c r="CBT148" s="609"/>
      <c r="CBU148" s="609"/>
      <c r="CBV148" s="609"/>
      <c r="CBW148" s="609"/>
      <c r="CBX148" s="609"/>
      <c r="CBY148" s="609"/>
      <c r="CBZ148" s="609"/>
      <c r="CCA148" s="609"/>
      <c r="CCB148" s="609"/>
      <c r="CCC148" s="609"/>
      <c r="CCD148" s="609"/>
      <c r="CCE148" s="609"/>
      <c r="CCF148" s="609"/>
      <c r="CCG148" s="609"/>
      <c r="CCH148" s="609"/>
      <c r="CCI148" s="609"/>
      <c r="CCJ148" s="609"/>
      <c r="CCK148" s="609"/>
      <c r="CCL148" s="609"/>
      <c r="CCM148" s="609"/>
      <c r="CCN148" s="609"/>
      <c r="CCO148" s="609"/>
      <c r="CCP148" s="609"/>
      <c r="CCQ148" s="609"/>
      <c r="CCR148" s="609"/>
      <c r="CCS148" s="609"/>
      <c r="CCT148" s="609"/>
      <c r="CCU148" s="609"/>
      <c r="CCV148" s="609"/>
      <c r="CCW148" s="609"/>
      <c r="CCX148" s="609"/>
      <c r="CCY148" s="609"/>
      <c r="CCZ148" s="609"/>
      <c r="CDA148" s="609"/>
      <c r="CDB148" s="609"/>
      <c r="CDC148" s="609"/>
      <c r="CDD148" s="609"/>
      <c r="CDE148" s="609"/>
      <c r="CDF148" s="609"/>
      <c r="CDG148" s="609"/>
      <c r="CDH148" s="609"/>
      <c r="CDI148" s="609"/>
      <c r="CDJ148" s="609"/>
      <c r="CDK148" s="609"/>
      <c r="CDL148" s="609"/>
      <c r="CDM148" s="609"/>
      <c r="CDN148" s="609"/>
      <c r="CDO148" s="609"/>
      <c r="CDP148" s="609"/>
      <c r="CDQ148" s="609"/>
      <c r="CDR148" s="609"/>
      <c r="CDS148" s="609"/>
      <c r="CDT148" s="609"/>
      <c r="CDU148" s="609"/>
      <c r="CDV148" s="609"/>
      <c r="CDW148" s="609"/>
      <c r="CDX148" s="609"/>
      <c r="CDY148" s="609"/>
      <c r="CDZ148" s="609"/>
      <c r="CEA148" s="609"/>
      <c r="CEB148" s="609"/>
      <c r="CEC148" s="609"/>
      <c r="CED148" s="609"/>
      <c r="CEE148" s="609"/>
      <c r="CEF148" s="609"/>
      <c r="CEG148" s="609"/>
      <c r="CEH148" s="609"/>
      <c r="CEI148" s="609"/>
      <c r="CEJ148" s="609"/>
      <c r="CEK148" s="609"/>
      <c r="CEL148" s="609"/>
      <c r="CEM148" s="609"/>
      <c r="CEN148" s="609"/>
      <c r="CEO148" s="609"/>
      <c r="CEP148" s="609"/>
      <c r="CEQ148" s="609"/>
      <c r="CER148" s="609"/>
      <c r="CES148" s="609"/>
      <c r="CET148" s="609"/>
      <c r="CEU148" s="609"/>
      <c r="CEV148" s="609"/>
      <c r="CEW148" s="609"/>
      <c r="CEX148" s="609"/>
      <c r="CEY148" s="609"/>
      <c r="CEZ148" s="609"/>
      <c r="CFA148" s="609"/>
      <c r="CFB148" s="609"/>
      <c r="CFC148" s="609"/>
      <c r="CFD148" s="609"/>
      <c r="CFE148" s="609"/>
      <c r="CFF148" s="609"/>
      <c r="CFG148" s="609"/>
      <c r="CFH148" s="609"/>
      <c r="CFI148" s="609"/>
      <c r="CFJ148" s="609"/>
      <c r="CFK148" s="609"/>
      <c r="CFL148" s="609"/>
      <c r="CFM148" s="609"/>
      <c r="CFN148" s="609"/>
      <c r="CFO148" s="609"/>
      <c r="CFP148" s="609"/>
      <c r="CFQ148" s="609"/>
      <c r="CFR148" s="609"/>
      <c r="CFS148" s="609"/>
      <c r="CFT148" s="609"/>
      <c r="CFU148" s="609"/>
      <c r="CFV148" s="609"/>
      <c r="CFW148" s="609"/>
      <c r="CFX148" s="609"/>
      <c r="CFY148" s="609"/>
      <c r="CFZ148" s="609"/>
      <c r="CGA148" s="609"/>
      <c r="CGB148" s="609"/>
      <c r="CGC148" s="609"/>
      <c r="CGD148" s="609"/>
      <c r="CGE148" s="609"/>
      <c r="CGF148" s="609"/>
      <c r="CGG148" s="609"/>
      <c r="CGH148" s="609"/>
      <c r="CGI148" s="609"/>
      <c r="CGJ148" s="609"/>
      <c r="CGK148" s="609"/>
      <c r="CGL148" s="609"/>
      <c r="CGM148" s="609"/>
      <c r="CGN148" s="609"/>
      <c r="CGO148" s="609"/>
      <c r="CGP148" s="609"/>
      <c r="CGQ148" s="609"/>
      <c r="CGR148" s="609"/>
      <c r="CGS148" s="609"/>
      <c r="CGT148" s="609"/>
      <c r="CGU148" s="609"/>
      <c r="CGV148" s="609"/>
      <c r="CGW148" s="609"/>
      <c r="CGX148" s="609"/>
      <c r="CGY148" s="609"/>
      <c r="CGZ148" s="609"/>
      <c r="CHA148" s="609"/>
      <c r="CHB148" s="609"/>
      <c r="CHC148" s="609"/>
      <c r="CHD148" s="609"/>
      <c r="CHE148" s="609"/>
      <c r="CHF148" s="609"/>
      <c r="CHG148" s="609"/>
      <c r="CHH148" s="609"/>
      <c r="CHI148" s="609"/>
      <c r="CHJ148" s="609"/>
      <c r="CHK148" s="609"/>
      <c r="CHL148" s="609"/>
      <c r="CHM148" s="609"/>
      <c r="CHN148" s="609"/>
      <c r="CHO148" s="609"/>
      <c r="CHP148" s="609"/>
      <c r="CHQ148" s="609"/>
      <c r="CHR148" s="609"/>
      <c r="CHS148" s="609"/>
      <c r="CHT148" s="609"/>
      <c r="CHU148" s="609"/>
      <c r="CHV148" s="609"/>
      <c r="CHW148" s="609"/>
      <c r="CHX148" s="609"/>
      <c r="CHY148" s="609"/>
      <c r="CHZ148" s="609"/>
      <c r="CIA148" s="609"/>
      <c r="CIB148" s="609"/>
      <c r="CIC148" s="609"/>
      <c r="CID148" s="609"/>
      <c r="CIE148" s="609"/>
      <c r="CIF148" s="609"/>
      <c r="CIG148" s="609"/>
      <c r="CIH148" s="609"/>
      <c r="CII148" s="609"/>
      <c r="CIJ148" s="609"/>
      <c r="CIK148" s="609"/>
      <c r="CIL148" s="609"/>
      <c r="CIM148" s="609"/>
      <c r="CIN148" s="609"/>
      <c r="CIO148" s="609"/>
      <c r="CIP148" s="609"/>
      <c r="CIQ148" s="609"/>
      <c r="CIR148" s="609"/>
      <c r="CIS148" s="609"/>
      <c r="CIT148" s="609"/>
      <c r="CIU148" s="609"/>
      <c r="CIV148" s="609"/>
      <c r="CIW148" s="609"/>
      <c r="CIX148" s="609"/>
      <c r="CIY148" s="609"/>
      <c r="CIZ148" s="609"/>
      <c r="CJA148" s="609"/>
      <c r="CJB148" s="609"/>
      <c r="CJC148" s="609"/>
      <c r="CJD148" s="609"/>
      <c r="CJE148" s="609"/>
      <c r="CJF148" s="609"/>
      <c r="CJG148" s="609"/>
      <c r="CJH148" s="609"/>
      <c r="CJI148" s="609"/>
      <c r="CJJ148" s="609"/>
      <c r="CJK148" s="609"/>
      <c r="CJL148" s="609"/>
      <c r="CJM148" s="609"/>
      <c r="CJN148" s="609"/>
      <c r="CJO148" s="609"/>
      <c r="CJP148" s="609"/>
      <c r="CJQ148" s="609"/>
      <c r="CJR148" s="609"/>
      <c r="CJS148" s="609"/>
      <c r="CJT148" s="609"/>
      <c r="CJU148" s="609"/>
      <c r="CJV148" s="609"/>
      <c r="CJW148" s="609"/>
      <c r="CJX148" s="609"/>
      <c r="CJY148" s="609"/>
      <c r="CJZ148" s="609"/>
      <c r="CKA148" s="609"/>
      <c r="CKB148" s="609"/>
      <c r="CKC148" s="609"/>
      <c r="CKD148" s="609"/>
      <c r="CKE148" s="609"/>
      <c r="CKF148" s="609"/>
      <c r="CKG148" s="609"/>
      <c r="CKH148" s="609"/>
      <c r="CKI148" s="609"/>
      <c r="CKJ148" s="609"/>
      <c r="CKK148" s="609"/>
      <c r="CKL148" s="609"/>
      <c r="CKM148" s="609"/>
      <c r="CKN148" s="609"/>
      <c r="CKO148" s="609"/>
      <c r="CKP148" s="609"/>
      <c r="CKQ148" s="609"/>
      <c r="CKR148" s="609"/>
      <c r="CKS148" s="609"/>
      <c r="CKT148" s="609"/>
      <c r="CKU148" s="609"/>
      <c r="CKV148" s="609"/>
      <c r="CKW148" s="609"/>
      <c r="CKX148" s="609"/>
      <c r="CKY148" s="609"/>
      <c r="CKZ148" s="609"/>
      <c r="CLA148" s="609"/>
      <c r="CLB148" s="609"/>
      <c r="CLC148" s="609"/>
      <c r="CLD148" s="609"/>
      <c r="CLE148" s="609"/>
      <c r="CLF148" s="609"/>
      <c r="CLG148" s="609"/>
      <c r="CLH148" s="609"/>
      <c r="CLI148" s="609"/>
      <c r="CLJ148" s="609"/>
      <c r="CLK148" s="609"/>
      <c r="CLL148" s="609"/>
      <c r="CLM148" s="609"/>
      <c r="CLN148" s="609"/>
      <c r="CLO148" s="609"/>
      <c r="CLP148" s="609"/>
      <c r="CLQ148" s="609"/>
      <c r="CLR148" s="609"/>
      <c r="CLS148" s="609"/>
      <c r="CLT148" s="609"/>
      <c r="CLU148" s="609"/>
      <c r="CLV148" s="609"/>
      <c r="CLW148" s="609"/>
      <c r="CLX148" s="609"/>
      <c r="CLY148" s="609"/>
      <c r="CLZ148" s="609"/>
      <c r="CMA148" s="609"/>
      <c r="CMB148" s="609"/>
      <c r="CMC148" s="609"/>
      <c r="CMD148" s="609"/>
      <c r="CME148" s="609"/>
      <c r="CMF148" s="609"/>
      <c r="CMG148" s="609"/>
      <c r="CMH148" s="609"/>
      <c r="CMI148" s="609"/>
      <c r="CMJ148" s="609"/>
      <c r="CMK148" s="609"/>
      <c r="CML148" s="609"/>
      <c r="CMM148" s="609"/>
      <c r="CMN148" s="609"/>
      <c r="CMO148" s="609"/>
      <c r="CMP148" s="609"/>
      <c r="CMQ148" s="609"/>
      <c r="CMR148" s="609"/>
      <c r="CMS148" s="609"/>
      <c r="CMT148" s="609"/>
      <c r="CMU148" s="609"/>
      <c r="CMV148" s="609"/>
      <c r="CMW148" s="609"/>
      <c r="CMX148" s="609"/>
      <c r="CMY148" s="609"/>
      <c r="CMZ148" s="609"/>
      <c r="CNA148" s="609"/>
      <c r="CNB148" s="609"/>
      <c r="CNC148" s="609"/>
      <c r="CND148" s="609"/>
      <c r="CNE148" s="609"/>
      <c r="CNF148" s="609"/>
      <c r="CNG148" s="609"/>
      <c r="CNH148" s="609"/>
      <c r="CNI148" s="609"/>
      <c r="CNJ148" s="609"/>
      <c r="CNK148" s="609"/>
      <c r="CNL148" s="609"/>
      <c r="CNM148" s="609"/>
      <c r="CNN148" s="609"/>
      <c r="CNO148" s="609"/>
      <c r="CNP148" s="609"/>
      <c r="CNQ148" s="609"/>
      <c r="CNR148" s="609"/>
      <c r="CNS148" s="609"/>
      <c r="CNT148" s="609"/>
      <c r="CNU148" s="609"/>
      <c r="CNV148" s="609"/>
      <c r="CNW148" s="609"/>
      <c r="CNX148" s="609"/>
      <c r="CNY148" s="609"/>
      <c r="CNZ148" s="609"/>
      <c r="COA148" s="609"/>
      <c r="COB148" s="609"/>
      <c r="COC148" s="609"/>
      <c r="COD148" s="609"/>
      <c r="COE148" s="609"/>
      <c r="COF148" s="609"/>
      <c r="COG148" s="609"/>
      <c r="COH148" s="609"/>
      <c r="COI148" s="609"/>
      <c r="COJ148" s="609"/>
      <c r="COK148" s="609"/>
      <c r="COL148" s="609"/>
      <c r="COM148" s="609"/>
      <c r="CON148" s="609"/>
      <c r="COO148" s="609"/>
      <c r="COP148" s="609"/>
      <c r="COQ148" s="609"/>
      <c r="COR148" s="609"/>
      <c r="COS148" s="609"/>
      <c r="COT148" s="609"/>
      <c r="COU148" s="609"/>
      <c r="COV148" s="609"/>
      <c r="COW148" s="609"/>
      <c r="COX148" s="609"/>
      <c r="COY148" s="609"/>
      <c r="COZ148" s="609"/>
      <c r="CPA148" s="609"/>
      <c r="CPB148" s="609"/>
      <c r="CPC148" s="609"/>
      <c r="CPD148" s="609"/>
      <c r="CPE148" s="609"/>
      <c r="CPF148" s="609"/>
      <c r="CPG148" s="609"/>
      <c r="CPH148" s="609"/>
      <c r="CPI148" s="609"/>
      <c r="CPJ148" s="609"/>
      <c r="CPK148" s="609"/>
      <c r="CPL148" s="609"/>
      <c r="CPM148" s="609"/>
      <c r="CPN148" s="609"/>
      <c r="CPO148" s="609"/>
      <c r="CPP148" s="609"/>
      <c r="CPQ148" s="609"/>
      <c r="CPR148" s="609"/>
      <c r="CPS148" s="609"/>
      <c r="CPT148" s="609"/>
      <c r="CPU148" s="609"/>
      <c r="CPV148" s="609"/>
      <c r="CPW148" s="609"/>
      <c r="CPX148" s="609"/>
      <c r="CPY148" s="609"/>
      <c r="CPZ148" s="609"/>
      <c r="CQA148" s="609"/>
      <c r="CQB148" s="609"/>
      <c r="CQC148" s="609"/>
      <c r="CQD148" s="609"/>
      <c r="CQE148" s="609"/>
      <c r="CQF148" s="609"/>
      <c r="CQG148" s="609"/>
      <c r="CQH148" s="609"/>
      <c r="CQI148" s="609"/>
      <c r="CQJ148" s="609"/>
      <c r="CQK148" s="609"/>
      <c r="CQL148" s="609"/>
      <c r="CQM148" s="609"/>
      <c r="CQN148" s="609"/>
      <c r="CQO148" s="609"/>
      <c r="CQP148" s="609"/>
      <c r="CQQ148" s="609"/>
      <c r="CQR148" s="609"/>
      <c r="CQS148" s="609"/>
      <c r="CQT148" s="609"/>
      <c r="CQU148" s="609"/>
      <c r="CQV148" s="609"/>
      <c r="CQW148" s="609"/>
      <c r="CQX148" s="609"/>
      <c r="CQY148" s="609"/>
      <c r="CQZ148" s="609"/>
      <c r="CRA148" s="609"/>
      <c r="CRB148" s="609"/>
      <c r="CRC148" s="609"/>
      <c r="CRD148" s="609"/>
      <c r="CRE148" s="609"/>
      <c r="CRF148" s="609"/>
      <c r="CRG148" s="609"/>
      <c r="CRH148" s="609"/>
      <c r="CRI148" s="609"/>
      <c r="CRJ148" s="609"/>
      <c r="CRK148" s="609"/>
      <c r="CRL148" s="609"/>
      <c r="CRM148" s="609"/>
      <c r="CRN148" s="609"/>
      <c r="CRO148" s="609"/>
      <c r="CRP148" s="609"/>
      <c r="CRQ148" s="609"/>
      <c r="CRR148" s="609"/>
      <c r="CRS148" s="609"/>
      <c r="CRT148" s="609"/>
      <c r="CRU148" s="609"/>
      <c r="CRV148" s="609"/>
      <c r="CRW148" s="609"/>
      <c r="CRX148" s="609"/>
      <c r="CRY148" s="609"/>
      <c r="CRZ148" s="609"/>
      <c r="CSA148" s="609"/>
      <c r="CSB148" s="609"/>
      <c r="CSC148" s="609"/>
      <c r="CSD148" s="609"/>
      <c r="CSE148" s="609"/>
      <c r="CSF148" s="609"/>
      <c r="CSG148" s="609"/>
      <c r="CSH148" s="609"/>
      <c r="CSI148" s="609"/>
      <c r="CSJ148" s="609"/>
      <c r="CSK148" s="609"/>
      <c r="CSL148" s="609"/>
      <c r="CSM148" s="609"/>
      <c r="CSN148" s="609"/>
      <c r="CSO148" s="609"/>
      <c r="CSP148" s="609"/>
      <c r="CSQ148" s="609"/>
      <c r="CSR148" s="609"/>
      <c r="CSS148" s="609"/>
      <c r="CST148" s="609"/>
      <c r="CSU148" s="609"/>
      <c r="CSV148" s="609"/>
      <c r="CSW148" s="609"/>
      <c r="CSX148" s="609"/>
      <c r="CSY148" s="609"/>
      <c r="CSZ148" s="609"/>
      <c r="CTA148" s="609"/>
      <c r="CTB148" s="609"/>
      <c r="CTC148" s="609"/>
      <c r="CTD148" s="609"/>
      <c r="CTE148" s="609"/>
      <c r="CTF148" s="609"/>
      <c r="CTG148" s="609"/>
      <c r="CTH148" s="609"/>
      <c r="CTI148" s="609"/>
      <c r="CTJ148" s="609"/>
      <c r="CTK148" s="609"/>
      <c r="CTL148" s="609"/>
      <c r="CTM148" s="609"/>
      <c r="CTN148" s="609"/>
      <c r="CTO148" s="609"/>
      <c r="CTP148" s="609"/>
      <c r="CTQ148" s="609"/>
      <c r="CTR148" s="609"/>
      <c r="CTS148" s="609"/>
      <c r="CTT148" s="609"/>
      <c r="CTU148" s="609"/>
      <c r="CTV148" s="609"/>
      <c r="CTW148" s="609"/>
      <c r="CTX148" s="609"/>
      <c r="CTY148" s="609"/>
      <c r="CTZ148" s="609"/>
      <c r="CUA148" s="609"/>
      <c r="CUB148" s="609"/>
      <c r="CUC148" s="609"/>
      <c r="CUD148" s="609"/>
      <c r="CUE148" s="609"/>
      <c r="CUF148" s="609"/>
      <c r="CUG148" s="609"/>
      <c r="CUH148" s="609"/>
      <c r="CUI148" s="609"/>
      <c r="CUJ148" s="609"/>
      <c r="CUK148" s="609"/>
      <c r="CUL148" s="609"/>
      <c r="CUM148" s="609"/>
      <c r="CUN148" s="609"/>
      <c r="CUO148" s="609"/>
      <c r="CUP148" s="609"/>
      <c r="CUQ148" s="609"/>
      <c r="CUR148" s="609"/>
      <c r="CUS148" s="609"/>
      <c r="CUT148" s="609"/>
      <c r="CUU148" s="609"/>
      <c r="CUV148" s="609"/>
      <c r="CUW148" s="609"/>
      <c r="CUX148" s="609"/>
      <c r="CUY148" s="609"/>
      <c r="CUZ148" s="609"/>
      <c r="CVA148" s="609"/>
      <c r="CVB148" s="609"/>
      <c r="CVC148" s="609"/>
      <c r="CVD148" s="609"/>
      <c r="CVE148" s="609"/>
      <c r="CVF148" s="609"/>
      <c r="CVG148" s="609"/>
      <c r="CVH148" s="609"/>
      <c r="CVI148" s="609"/>
      <c r="CVJ148" s="609"/>
      <c r="CVK148" s="609"/>
      <c r="CVL148" s="609"/>
      <c r="CVM148" s="609"/>
      <c r="CVN148" s="609"/>
      <c r="CVO148" s="609"/>
      <c r="CVP148" s="609"/>
      <c r="CVQ148" s="609"/>
      <c r="CVR148" s="609"/>
      <c r="CVS148" s="609"/>
      <c r="CVT148" s="609"/>
      <c r="CVU148" s="609"/>
      <c r="CVV148" s="609"/>
      <c r="CVW148" s="609"/>
      <c r="CVX148" s="609"/>
      <c r="CVY148" s="609"/>
      <c r="CVZ148" s="609"/>
      <c r="CWA148" s="609"/>
      <c r="CWB148" s="609"/>
      <c r="CWC148" s="609"/>
      <c r="CWD148" s="609"/>
      <c r="CWE148" s="609"/>
      <c r="CWF148" s="609"/>
      <c r="CWG148" s="609"/>
      <c r="CWH148" s="609"/>
      <c r="CWI148" s="609"/>
      <c r="CWJ148" s="609"/>
      <c r="CWK148" s="609"/>
      <c r="CWL148" s="609"/>
      <c r="CWM148" s="609"/>
      <c r="CWN148" s="609"/>
      <c r="CWO148" s="609"/>
      <c r="CWP148" s="609"/>
      <c r="CWQ148" s="609"/>
      <c r="CWR148" s="609"/>
      <c r="CWS148" s="609"/>
      <c r="CWT148" s="609"/>
      <c r="CWU148" s="609"/>
      <c r="CWV148" s="609"/>
      <c r="CWW148" s="609"/>
      <c r="CWX148" s="609"/>
      <c r="CWY148" s="609"/>
      <c r="CWZ148" s="609"/>
      <c r="CXA148" s="609"/>
      <c r="CXB148" s="609"/>
      <c r="CXC148" s="609"/>
      <c r="CXD148" s="609"/>
      <c r="CXE148" s="609"/>
      <c r="CXF148" s="609"/>
      <c r="CXG148" s="609"/>
      <c r="CXH148" s="609"/>
      <c r="CXI148" s="609"/>
      <c r="CXJ148" s="609"/>
      <c r="CXK148" s="609"/>
      <c r="CXL148" s="609"/>
      <c r="CXM148" s="609"/>
      <c r="CXN148" s="609"/>
      <c r="CXO148" s="609"/>
      <c r="CXP148" s="609"/>
      <c r="CXQ148" s="609"/>
      <c r="CXR148" s="609"/>
      <c r="CXS148" s="609"/>
      <c r="CXT148" s="609"/>
      <c r="CXU148" s="609"/>
      <c r="CXV148" s="609"/>
      <c r="CXW148" s="609"/>
      <c r="CXX148" s="609"/>
      <c r="CXY148" s="609"/>
      <c r="CXZ148" s="609"/>
      <c r="CYA148" s="609"/>
      <c r="CYB148" s="609"/>
      <c r="CYC148" s="609"/>
      <c r="CYD148" s="609"/>
      <c r="CYE148" s="609"/>
      <c r="CYF148" s="609"/>
      <c r="CYG148" s="609"/>
      <c r="CYH148" s="609"/>
      <c r="CYI148" s="609"/>
      <c r="CYJ148" s="609"/>
      <c r="CYK148" s="609"/>
      <c r="CYL148" s="609"/>
      <c r="CYM148" s="609"/>
      <c r="CYN148" s="609"/>
      <c r="CYO148" s="609"/>
      <c r="CYP148" s="609"/>
      <c r="CYQ148" s="609"/>
      <c r="CYR148" s="609"/>
      <c r="CYS148" s="609"/>
      <c r="CYT148" s="609"/>
      <c r="CYU148" s="609"/>
      <c r="CYV148" s="609"/>
      <c r="CYW148" s="609"/>
      <c r="CYX148" s="609"/>
      <c r="CYY148" s="609"/>
      <c r="CYZ148" s="609"/>
      <c r="CZA148" s="609"/>
      <c r="CZB148" s="609"/>
      <c r="CZC148" s="609"/>
      <c r="CZD148" s="609"/>
      <c r="CZE148" s="609"/>
      <c r="CZF148" s="609"/>
      <c r="CZG148" s="609"/>
      <c r="CZH148" s="609"/>
      <c r="CZI148" s="609"/>
      <c r="CZJ148" s="609"/>
      <c r="CZK148" s="609"/>
      <c r="CZL148" s="609"/>
      <c r="CZM148" s="609"/>
      <c r="CZN148" s="609"/>
      <c r="CZO148" s="609"/>
      <c r="CZP148" s="609"/>
      <c r="CZQ148" s="609"/>
      <c r="CZR148" s="609"/>
      <c r="CZS148" s="609"/>
      <c r="CZT148" s="609"/>
      <c r="CZU148" s="609"/>
      <c r="CZV148" s="609"/>
      <c r="CZW148" s="609"/>
      <c r="CZX148" s="609"/>
      <c r="CZY148" s="609"/>
      <c r="CZZ148" s="609"/>
      <c r="DAA148" s="609"/>
      <c r="DAB148" s="609"/>
      <c r="DAC148" s="609"/>
      <c r="DAD148" s="609"/>
      <c r="DAE148" s="609"/>
      <c r="DAF148" s="609"/>
      <c r="DAG148" s="609"/>
      <c r="DAH148" s="609"/>
      <c r="DAI148" s="609"/>
      <c r="DAJ148" s="609"/>
      <c r="DAK148" s="609"/>
      <c r="DAL148" s="609"/>
      <c r="DAM148" s="609"/>
      <c r="DAN148" s="609"/>
      <c r="DAO148" s="609"/>
      <c r="DAP148" s="609"/>
      <c r="DAQ148" s="609"/>
      <c r="DAR148" s="609"/>
      <c r="DAS148" s="609"/>
      <c r="DAT148" s="609"/>
      <c r="DAU148" s="609"/>
      <c r="DAV148" s="609"/>
      <c r="DAW148" s="609"/>
      <c r="DAX148" s="609"/>
      <c r="DAY148" s="609"/>
      <c r="DAZ148" s="609"/>
      <c r="DBA148" s="609"/>
      <c r="DBB148" s="609"/>
      <c r="DBC148" s="609"/>
      <c r="DBD148" s="609"/>
      <c r="DBE148" s="609"/>
      <c r="DBF148" s="609"/>
      <c r="DBG148" s="609"/>
      <c r="DBH148" s="609"/>
      <c r="DBI148" s="609"/>
      <c r="DBJ148" s="609"/>
      <c r="DBK148" s="609"/>
      <c r="DBL148" s="609"/>
      <c r="DBM148" s="609"/>
      <c r="DBN148" s="609"/>
      <c r="DBO148" s="609"/>
      <c r="DBP148" s="609"/>
      <c r="DBQ148" s="609"/>
      <c r="DBR148" s="609"/>
      <c r="DBS148" s="609"/>
      <c r="DBT148" s="609"/>
      <c r="DBU148" s="609"/>
      <c r="DBV148" s="609"/>
      <c r="DBW148" s="609"/>
      <c r="DBX148" s="609"/>
      <c r="DBY148" s="609"/>
      <c r="DBZ148" s="609"/>
      <c r="DCA148" s="609"/>
      <c r="DCB148" s="609"/>
      <c r="DCC148" s="609"/>
      <c r="DCD148" s="609"/>
      <c r="DCE148" s="609"/>
      <c r="DCF148" s="609"/>
      <c r="DCG148" s="609"/>
      <c r="DCH148" s="609"/>
      <c r="DCI148" s="609"/>
      <c r="DCJ148" s="609"/>
      <c r="DCK148" s="609"/>
      <c r="DCL148" s="609"/>
      <c r="DCM148" s="609"/>
      <c r="DCN148" s="609"/>
      <c r="DCO148" s="609"/>
      <c r="DCP148" s="609"/>
      <c r="DCQ148" s="609"/>
      <c r="DCR148" s="609"/>
      <c r="DCS148" s="609"/>
      <c r="DCT148" s="609"/>
      <c r="DCU148" s="609"/>
      <c r="DCV148" s="609"/>
      <c r="DCW148" s="609"/>
      <c r="DCX148" s="609"/>
      <c r="DCY148" s="609"/>
      <c r="DCZ148" s="609"/>
      <c r="DDA148" s="609"/>
      <c r="DDB148" s="609"/>
      <c r="DDC148" s="609"/>
      <c r="DDD148" s="609"/>
      <c r="DDE148" s="609"/>
      <c r="DDF148" s="609"/>
      <c r="DDG148" s="609"/>
      <c r="DDH148" s="609"/>
      <c r="DDI148" s="609"/>
      <c r="DDJ148" s="609"/>
      <c r="DDK148" s="609"/>
      <c r="DDL148" s="609"/>
      <c r="DDM148" s="609"/>
      <c r="DDN148" s="609"/>
      <c r="DDO148" s="609"/>
      <c r="DDP148" s="609"/>
      <c r="DDQ148" s="609"/>
      <c r="DDR148" s="609"/>
      <c r="DDS148" s="609"/>
      <c r="DDT148" s="609"/>
      <c r="DDU148" s="609"/>
      <c r="DDV148" s="609"/>
      <c r="DDW148" s="609"/>
      <c r="DDX148" s="609"/>
      <c r="DDY148" s="609"/>
      <c r="DDZ148" s="609"/>
      <c r="DEA148" s="609"/>
      <c r="DEB148" s="609"/>
      <c r="DEC148" s="609"/>
      <c r="DED148" s="609"/>
      <c r="DEE148" s="609"/>
      <c r="DEF148" s="609"/>
      <c r="DEG148" s="609"/>
      <c r="DEH148" s="609"/>
      <c r="DEI148" s="609"/>
      <c r="DEJ148" s="609"/>
      <c r="DEK148" s="609"/>
      <c r="DEL148" s="609"/>
      <c r="DEM148" s="609"/>
      <c r="DEN148" s="609"/>
      <c r="DEO148" s="609"/>
      <c r="DEP148" s="609"/>
      <c r="DEQ148" s="609"/>
      <c r="DER148" s="609"/>
      <c r="DES148" s="609"/>
      <c r="DET148" s="609"/>
      <c r="DEU148" s="609"/>
      <c r="DEV148" s="609"/>
      <c r="DEW148" s="609"/>
      <c r="DEX148" s="609"/>
      <c r="DEY148" s="609"/>
      <c r="DEZ148" s="609"/>
      <c r="DFA148" s="609"/>
      <c r="DFB148" s="609"/>
      <c r="DFC148" s="609"/>
      <c r="DFD148" s="609"/>
      <c r="DFE148" s="609"/>
      <c r="DFF148" s="609"/>
      <c r="DFG148" s="609"/>
      <c r="DFH148" s="609"/>
      <c r="DFI148" s="609"/>
      <c r="DFJ148" s="609"/>
      <c r="DFK148" s="609"/>
      <c r="DFL148" s="609"/>
      <c r="DFM148" s="609"/>
      <c r="DFN148" s="609"/>
      <c r="DFO148" s="609"/>
      <c r="DFP148" s="609"/>
      <c r="DFQ148" s="609"/>
      <c r="DFR148" s="609"/>
      <c r="DFS148" s="609"/>
      <c r="DFT148" s="609"/>
      <c r="DFU148" s="609"/>
      <c r="DFV148" s="609"/>
      <c r="DFW148" s="609"/>
      <c r="DFX148" s="609"/>
      <c r="DFY148" s="609"/>
      <c r="DFZ148" s="609"/>
      <c r="DGA148" s="609"/>
      <c r="DGB148" s="609"/>
      <c r="DGC148" s="609"/>
      <c r="DGD148" s="609"/>
      <c r="DGE148" s="609"/>
      <c r="DGF148" s="609"/>
      <c r="DGG148" s="609"/>
      <c r="DGH148" s="609"/>
      <c r="DGI148" s="609"/>
      <c r="DGJ148" s="609"/>
      <c r="DGK148" s="609"/>
      <c r="DGL148" s="609"/>
      <c r="DGM148" s="609"/>
      <c r="DGN148" s="609"/>
      <c r="DGO148" s="609"/>
      <c r="DGP148" s="609"/>
      <c r="DGQ148" s="609"/>
      <c r="DGR148" s="609"/>
      <c r="DGS148" s="609"/>
      <c r="DGT148" s="609"/>
      <c r="DGU148" s="609"/>
      <c r="DGV148" s="609"/>
      <c r="DGW148" s="609"/>
      <c r="DGX148" s="609"/>
      <c r="DGY148" s="609"/>
      <c r="DGZ148" s="609"/>
      <c r="DHA148" s="609"/>
      <c r="DHB148" s="609"/>
      <c r="DHC148" s="609"/>
      <c r="DHD148" s="609"/>
      <c r="DHE148" s="609"/>
      <c r="DHF148" s="609"/>
      <c r="DHG148" s="609"/>
      <c r="DHH148" s="609"/>
      <c r="DHI148" s="609"/>
      <c r="DHJ148" s="609"/>
      <c r="DHK148" s="609"/>
      <c r="DHL148" s="609"/>
      <c r="DHM148" s="609"/>
      <c r="DHN148" s="609"/>
      <c r="DHO148" s="609"/>
      <c r="DHP148" s="609"/>
      <c r="DHQ148" s="609"/>
      <c r="DHR148" s="609"/>
      <c r="DHS148" s="609"/>
      <c r="DHT148" s="609"/>
      <c r="DHU148" s="609"/>
      <c r="DHV148" s="609"/>
      <c r="DHW148" s="609"/>
      <c r="DHX148" s="609"/>
      <c r="DHY148" s="609"/>
      <c r="DHZ148" s="609"/>
      <c r="DIA148" s="609"/>
      <c r="DIB148" s="609"/>
      <c r="DIC148" s="609"/>
      <c r="DID148" s="609"/>
      <c r="DIE148" s="609"/>
      <c r="DIF148" s="609"/>
      <c r="DIG148" s="609"/>
      <c r="DIH148" s="609"/>
      <c r="DII148" s="609"/>
      <c r="DIJ148" s="609"/>
      <c r="DIK148" s="609"/>
      <c r="DIL148" s="609"/>
      <c r="DIM148" s="609"/>
      <c r="DIN148" s="609"/>
      <c r="DIO148" s="609"/>
      <c r="DIP148" s="609"/>
      <c r="DIQ148" s="609"/>
      <c r="DIR148" s="609"/>
      <c r="DIS148" s="609"/>
      <c r="DIT148" s="609"/>
      <c r="DIU148" s="609"/>
      <c r="DIV148" s="609"/>
      <c r="DIW148" s="609"/>
      <c r="DIX148" s="609"/>
      <c r="DIY148" s="609"/>
      <c r="DIZ148" s="609"/>
      <c r="DJA148" s="609"/>
      <c r="DJB148" s="609"/>
      <c r="DJC148" s="609"/>
      <c r="DJD148" s="609"/>
      <c r="DJE148" s="609"/>
      <c r="DJF148" s="609"/>
      <c r="DJG148" s="609"/>
      <c r="DJH148" s="609"/>
      <c r="DJI148" s="609"/>
      <c r="DJJ148" s="609"/>
      <c r="DJK148" s="609"/>
      <c r="DJL148" s="609"/>
      <c r="DJM148" s="609"/>
      <c r="DJN148" s="609"/>
      <c r="DJO148" s="609"/>
      <c r="DJP148" s="609"/>
      <c r="DJQ148" s="609"/>
      <c r="DJR148" s="609"/>
      <c r="DJS148" s="609"/>
      <c r="DJT148" s="609"/>
      <c r="DJU148" s="609"/>
      <c r="DJV148" s="609"/>
      <c r="DJW148" s="609"/>
      <c r="DJX148" s="609"/>
      <c r="DJY148" s="609"/>
      <c r="DJZ148" s="609"/>
      <c r="DKA148" s="609"/>
      <c r="DKB148" s="609"/>
      <c r="DKC148" s="609"/>
      <c r="DKD148" s="609"/>
      <c r="DKE148" s="609"/>
      <c r="DKF148" s="609"/>
      <c r="DKG148" s="609"/>
      <c r="DKH148" s="609"/>
      <c r="DKI148" s="609"/>
      <c r="DKJ148" s="609"/>
      <c r="DKK148" s="609"/>
      <c r="DKL148" s="609"/>
      <c r="DKM148" s="609"/>
      <c r="DKN148" s="609"/>
      <c r="DKO148" s="609"/>
      <c r="DKP148" s="609"/>
      <c r="DKQ148" s="609"/>
      <c r="DKR148" s="609"/>
      <c r="DKS148" s="609"/>
      <c r="DKT148" s="609"/>
      <c r="DKU148" s="609"/>
      <c r="DKV148" s="609"/>
      <c r="DKW148" s="609"/>
      <c r="DKX148" s="609"/>
      <c r="DKY148" s="609"/>
      <c r="DKZ148" s="609"/>
      <c r="DLA148" s="609"/>
      <c r="DLB148" s="609"/>
      <c r="DLC148" s="609"/>
      <c r="DLD148" s="609"/>
      <c r="DLE148" s="609"/>
      <c r="DLF148" s="609"/>
      <c r="DLG148" s="609"/>
      <c r="DLH148" s="609"/>
      <c r="DLI148" s="609"/>
      <c r="DLJ148" s="609"/>
      <c r="DLK148" s="609"/>
      <c r="DLL148" s="609"/>
      <c r="DLM148" s="609"/>
      <c r="DLN148" s="609"/>
      <c r="DLO148" s="609"/>
      <c r="DLP148" s="609"/>
      <c r="DLQ148" s="609"/>
      <c r="DLR148" s="609"/>
      <c r="DLS148" s="609"/>
      <c r="DLT148" s="609"/>
      <c r="DLU148" s="609"/>
      <c r="DLV148" s="609"/>
      <c r="DLW148" s="609"/>
      <c r="DLX148" s="609"/>
      <c r="DLY148" s="609"/>
      <c r="DLZ148" s="609"/>
      <c r="DMA148" s="609"/>
      <c r="DMB148" s="609"/>
      <c r="DMC148" s="609"/>
      <c r="DMD148" s="609"/>
      <c r="DME148" s="609"/>
      <c r="DMF148" s="609"/>
      <c r="DMG148" s="609"/>
      <c r="DMH148" s="609"/>
      <c r="DMI148" s="609"/>
      <c r="DMJ148" s="609"/>
      <c r="DMK148" s="609"/>
      <c r="DML148" s="609"/>
      <c r="DMM148" s="609"/>
      <c r="DMN148" s="609"/>
      <c r="DMO148" s="609"/>
      <c r="DMP148" s="609"/>
      <c r="DMQ148" s="609"/>
      <c r="DMR148" s="609"/>
      <c r="DMS148" s="609"/>
      <c r="DMT148" s="609"/>
      <c r="DMU148" s="609"/>
      <c r="DMV148" s="609"/>
      <c r="DMW148" s="609"/>
      <c r="DMX148" s="609"/>
      <c r="DMY148" s="609"/>
      <c r="DMZ148" s="609"/>
      <c r="DNA148" s="609"/>
      <c r="DNB148" s="609"/>
      <c r="DNC148" s="609"/>
      <c r="DND148" s="609"/>
      <c r="DNE148" s="609"/>
      <c r="DNF148" s="609"/>
      <c r="DNG148" s="609"/>
      <c r="DNH148" s="609"/>
      <c r="DNI148" s="609"/>
      <c r="DNJ148" s="609"/>
      <c r="DNK148" s="609"/>
      <c r="DNL148" s="609"/>
      <c r="DNM148" s="609"/>
      <c r="DNN148" s="609"/>
      <c r="DNO148" s="609"/>
      <c r="DNP148" s="609"/>
      <c r="DNQ148" s="609"/>
      <c r="DNR148" s="609"/>
      <c r="DNS148" s="609"/>
      <c r="DNT148" s="609"/>
      <c r="DNU148" s="609"/>
      <c r="DNV148" s="609"/>
      <c r="DNW148" s="609"/>
      <c r="DNX148" s="609"/>
      <c r="DNY148" s="609"/>
      <c r="DNZ148" s="609"/>
      <c r="DOA148" s="609"/>
      <c r="DOB148" s="609"/>
      <c r="DOC148" s="609"/>
      <c r="DOD148" s="609"/>
      <c r="DOE148" s="609"/>
      <c r="DOF148" s="609"/>
      <c r="DOG148" s="609"/>
      <c r="DOH148" s="609"/>
      <c r="DOI148" s="609"/>
      <c r="DOJ148" s="609"/>
      <c r="DOK148" s="609"/>
      <c r="DOL148" s="609"/>
      <c r="DOM148" s="609"/>
      <c r="DON148" s="609"/>
      <c r="DOO148" s="609"/>
      <c r="DOP148" s="609"/>
      <c r="DOQ148" s="609"/>
      <c r="DOR148" s="609"/>
      <c r="DOS148" s="609"/>
      <c r="DOT148" s="609"/>
      <c r="DOU148" s="609"/>
      <c r="DOV148" s="609"/>
      <c r="DOW148" s="609"/>
      <c r="DOX148" s="609"/>
      <c r="DOY148" s="609"/>
      <c r="DOZ148" s="609"/>
      <c r="DPA148" s="609"/>
      <c r="DPB148" s="609"/>
      <c r="DPC148" s="609"/>
      <c r="DPD148" s="609"/>
      <c r="DPE148" s="609"/>
      <c r="DPF148" s="609"/>
      <c r="DPG148" s="609"/>
      <c r="DPH148" s="609"/>
      <c r="DPI148" s="609"/>
      <c r="DPJ148" s="609"/>
      <c r="DPK148" s="609"/>
      <c r="DPL148" s="609"/>
      <c r="DPM148" s="609"/>
      <c r="DPN148" s="609"/>
      <c r="DPO148" s="609"/>
      <c r="DPP148" s="609"/>
      <c r="DPQ148" s="609"/>
      <c r="DPR148" s="609"/>
      <c r="DPS148" s="609"/>
      <c r="DPT148" s="609"/>
      <c r="DPU148" s="609"/>
      <c r="DPV148" s="609"/>
      <c r="DPW148" s="609"/>
      <c r="DPX148" s="609"/>
      <c r="DPY148" s="609"/>
      <c r="DPZ148" s="609"/>
      <c r="DQA148" s="609"/>
      <c r="DQB148" s="609"/>
      <c r="DQC148" s="609"/>
      <c r="DQD148" s="609"/>
      <c r="DQE148" s="609"/>
      <c r="DQF148" s="609"/>
      <c r="DQG148" s="609"/>
      <c r="DQH148" s="609"/>
      <c r="DQI148" s="609"/>
      <c r="DQJ148" s="609"/>
      <c r="DQK148" s="609"/>
      <c r="DQL148" s="609"/>
      <c r="DQM148" s="609"/>
      <c r="DQN148" s="609"/>
      <c r="DQO148" s="609"/>
      <c r="DQP148" s="609"/>
      <c r="DQQ148" s="609"/>
      <c r="DQR148" s="609"/>
      <c r="DQS148" s="609"/>
      <c r="DQT148" s="609"/>
      <c r="DQU148" s="609"/>
      <c r="DQV148" s="609"/>
      <c r="DQW148" s="609"/>
      <c r="DQX148" s="609"/>
      <c r="DQY148" s="609"/>
      <c r="DQZ148" s="609"/>
      <c r="DRA148" s="609"/>
      <c r="DRB148" s="609"/>
      <c r="DRC148" s="609"/>
      <c r="DRD148" s="609"/>
      <c r="DRE148" s="609"/>
      <c r="DRF148" s="609"/>
      <c r="DRG148" s="609"/>
      <c r="DRH148" s="609"/>
      <c r="DRI148" s="609"/>
      <c r="DRJ148" s="609"/>
      <c r="DRK148" s="609"/>
      <c r="DRL148" s="609"/>
      <c r="DRM148" s="609"/>
      <c r="DRN148" s="609"/>
      <c r="DRO148" s="609"/>
      <c r="DRP148" s="609"/>
      <c r="DRQ148" s="609"/>
      <c r="DRR148" s="609"/>
      <c r="DRS148" s="609"/>
      <c r="DRT148" s="609"/>
      <c r="DRU148" s="609"/>
      <c r="DRV148" s="609"/>
      <c r="DRW148" s="609"/>
      <c r="DRX148" s="609"/>
      <c r="DRY148" s="609"/>
      <c r="DRZ148" s="609"/>
      <c r="DSA148" s="609"/>
      <c r="DSB148" s="609"/>
      <c r="DSC148" s="609"/>
      <c r="DSD148" s="609"/>
      <c r="DSE148" s="609"/>
      <c r="DSF148" s="609"/>
      <c r="DSG148" s="609"/>
      <c r="DSH148" s="609"/>
      <c r="DSI148" s="609"/>
      <c r="DSJ148" s="609"/>
      <c r="DSK148" s="609"/>
      <c r="DSL148" s="609"/>
      <c r="DSM148" s="609"/>
      <c r="DSN148" s="609"/>
      <c r="DSO148" s="609"/>
      <c r="DSP148" s="609"/>
      <c r="DSQ148" s="609"/>
      <c r="DSR148" s="609"/>
      <c r="DSS148" s="609"/>
      <c r="DST148" s="609"/>
      <c r="DSU148" s="609"/>
      <c r="DSV148" s="609"/>
      <c r="DSW148" s="609"/>
      <c r="DSX148" s="609"/>
      <c r="DSY148" s="609"/>
      <c r="DSZ148" s="609"/>
      <c r="DTA148" s="609"/>
      <c r="DTB148" s="609"/>
      <c r="DTC148" s="609"/>
      <c r="DTD148" s="609"/>
      <c r="DTE148" s="609"/>
      <c r="DTF148" s="609"/>
      <c r="DTG148" s="609"/>
      <c r="DTH148" s="609"/>
      <c r="DTI148" s="609"/>
      <c r="DTJ148" s="609"/>
      <c r="DTK148" s="609"/>
      <c r="DTL148" s="609"/>
      <c r="DTM148" s="609"/>
      <c r="DTN148" s="609"/>
      <c r="DTO148" s="609"/>
      <c r="DTP148" s="609"/>
      <c r="DTQ148" s="609"/>
      <c r="DTR148" s="609"/>
      <c r="DTS148" s="609"/>
      <c r="DTT148" s="609"/>
      <c r="DTU148" s="609"/>
      <c r="DTV148" s="609"/>
      <c r="DTW148" s="609"/>
      <c r="DTX148" s="609"/>
      <c r="DTY148" s="609"/>
      <c r="DTZ148" s="609"/>
      <c r="DUA148" s="609"/>
      <c r="DUB148" s="609"/>
      <c r="DUC148" s="609"/>
      <c r="DUD148" s="609"/>
      <c r="DUE148" s="609"/>
      <c r="DUF148" s="609"/>
      <c r="DUG148" s="609"/>
      <c r="DUH148" s="609"/>
      <c r="DUI148" s="609"/>
      <c r="DUJ148" s="609"/>
      <c r="DUK148" s="609"/>
      <c r="DUL148" s="609"/>
      <c r="DUM148" s="609"/>
      <c r="DUN148" s="609"/>
      <c r="DUO148" s="609"/>
      <c r="DUP148" s="609"/>
      <c r="DUQ148" s="609"/>
      <c r="DUR148" s="609"/>
      <c r="DUS148" s="609"/>
      <c r="DUT148" s="609"/>
      <c r="DUU148" s="609"/>
      <c r="DUV148" s="609"/>
      <c r="DUW148" s="609"/>
      <c r="DUX148" s="609"/>
      <c r="DUY148" s="609"/>
      <c r="DUZ148" s="609"/>
      <c r="DVA148" s="609"/>
      <c r="DVB148" s="609"/>
      <c r="DVC148" s="609"/>
      <c r="DVD148" s="609"/>
      <c r="DVE148" s="609"/>
      <c r="DVF148" s="609"/>
      <c r="DVG148" s="609"/>
      <c r="DVH148" s="609"/>
      <c r="DVI148" s="609"/>
      <c r="DVJ148" s="609"/>
      <c r="DVK148" s="609"/>
      <c r="DVL148" s="609"/>
      <c r="DVM148" s="609"/>
      <c r="DVN148" s="609"/>
      <c r="DVO148" s="609"/>
      <c r="DVP148" s="609"/>
      <c r="DVQ148" s="609"/>
      <c r="DVR148" s="609"/>
      <c r="DVS148" s="609"/>
      <c r="DVT148" s="609"/>
      <c r="DVU148" s="609"/>
      <c r="DVV148" s="609"/>
      <c r="DVW148" s="609"/>
      <c r="DVX148" s="609"/>
      <c r="DVY148" s="609"/>
      <c r="DVZ148" s="609"/>
      <c r="DWA148" s="609"/>
      <c r="DWB148" s="609"/>
      <c r="DWC148" s="609"/>
      <c r="DWD148" s="609"/>
      <c r="DWE148" s="609"/>
      <c r="DWF148" s="609"/>
      <c r="DWG148" s="609"/>
      <c r="DWH148" s="609"/>
      <c r="DWI148" s="609"/>
      <c r="DWJ148" s="609"/>
      <c r="DWK148" s="609"/>
      <c r="DWL148" s="609"/>
      <c r="DWM148" s="609"/>
      <c r="DWN148" s="609"/>
      <c r="DWO148" s="609"/>
      <c r="DWP148" s="609"/>
      <c r="DWQ148" s="609"/>
      <c r="DWR148" s="609"/>
      <c r="DWS148" s="609"/>
      <c r="DWT148" s="609"/>
      <c r="DWU148" s="609"/>
      <c r="DWV148" s="609"/>
      <c r="DWW148" s="609"/>
      <c r="DWX148" s="609"/>
      <c r="DWY148" s="609"/>
      <c r="DWZ148" s="609"/>
      <c r="DXA148" s="609"/>
      <c r="DXB148" s="609"/>
      <c r="DXC148" s="609"/>
      <c r="DXD148" s="609"/>
      <c r="DXE148" s="609"/>
      <c r="DXF148" s="609"/>
      <c r="DXG148" s="609"/>
      <c r="DXH148" s="609"/>
      <c r="DXI148" s="609"/>
      <c r="DXJ148" s="609"/>
      <c r="DXK148" s="609"/>
      <c r="DXL148" s="609"/>
      <c r="DXM148" s="609"/>
      <c r="DXN148" s="609"/>
      <c r="DXO148" s="609"/>
      <c r="DXP148" s="609"/>
      <c r="DXQ148" s="609"/>
      <c r="DXR148" s="609"/>
      <c r="DXS148" s="609"/>
      <c r="DXT148" s="609"/>
      <c r="DXU148" s="609"/>
      <c r="DXV148" s="609"/>
      <c r="DXW148" s="609"/>
      <c r="DXX148" s="609"/>
      <c r="DXY148" s="609"/>
      <c r="DXZ148" s="609"/>
      <c r="DYA148" s="609"/>
      <c r="DYB148" s="609"/>
      <c r="DYC148" s="609"/>
      <c r="DYD148" s="609"/>
      <c r="DYE148" s="609"/>
      <c r="DYF148" s="609"/>
      <c r="DYG148" s="609"/>
      <c r="DYH148" s="609"/>
      <c r="DYI148" s="609"/>
      <c r="DYJ148" s="609"/>
      <c r="DYK148" s="609"/>
      <c r="DYL148" s="609"/>
      <c r="DYM148" s="609"/>
      <c r="DYN148" s="609"/>
      <c r="DYO148" s="609"/>
      <c r="DYP148" s="609"/>
      <c r="DYQ148" s="609"/>
      <c r="DYR148" s="609"/>
      <c r="DYS148" s="609"/>
      <c r="DYT148" s="609"/>
      <c r="DYU148" s="609"/>
      <c r="DYV148" s="609"/>
      <c r="DYW148" s="609"/>
      <c r="DYX148" s="609"/>
      <c r="DYY148" s="609"/>
      <c r="DYZ148" s="609"/>
      <c r="DZA148" s="609"/>
      <c r="DZB148" s="609"/>
      <c r="DZC148" s="609"/>
      <c r="DZD148" s="609"/>
      <c r="DZE148" s="609"/>
      <c r="DZF148" s="609"/>
      <c r="DZG148" s="609"/>
      <c r="DZH148" s="609"/>
      <c r="DZI148" s="609"/>
      <c r="DZJ148" s="609"/>
      <c r="DZK148" s="609"/>
      <c r="DZL148" s="609"/>
      <c r="DZM148" s="609"/>
      <c r="DZN148" s="609"/>
      <c r="DZO148" s="609"/>
      <c r="DZP148" s="609"/>
      <c r="DZQ148" s="609"/>
      <c r="DZR148" s="609"/>
      <c r="DZS148" s="609"/>
      <c r="DZT148" s="609"/>
      <c r="DZU148" s="609"/>
      <c r="DZV148" s="609"/>
      <c r="DZW148" s="609"/>
      <c r="DZX148" s="609"/>
      <c r="DZY148" s="609"/>
      <c r="DZZ148" s="609"/>
      <c r="EAA148" s="609"/>
      <c r="EAB148" s="609"/>
      <c r="EAC148" s="609"/>
      <c r="EAD148" s="609"/>
      <c r="EAE148" s="609"/>
      <c r="EAF148" s="609"/>
      <c r="EAG148" s="609"/>
      <c r="EAH148" s="609"/>
      <c r="EAI148" s="609"/>
      <c r="EAJ148" s="609"/>
      <c r="EAK148" s="609"/>
      <c r="EAL148" s="609"/>
      <c r="EAM148" s="609"/>
      <c r="EAN148" s="609"/>
      <c r="EAO148" s="609"/>
      <c r="EAP148" s="609"/>
      <c r="EAQ148" s="609"/>
      <c r="EAR148" s="609"/>
      <c r="EAS148" s="609"/>
      <c r="EAT148" s="609"/>
      <c r="EAU148" s="609"/>
      <c r="EAV148" s="609"/>
      <c r="EAW148" s="609"/>
      <c r="EAX148" s="609"/>
      <c r="EAY148" s="609"/>
      <c r="EAZ148" s="609"/>
      <c r="EBA148" s="609"/>
      <c r="EBB148" s="609"/>
      <c r="EBC148" s="609"/>
      <c r="EBD148" s="609"/>
      <c r="EBE148" s="609"/>
      <c r="EBF148" s="609"/>
      <c r="EBG148" s="609"/>
      <c r="EBH148" s="609"/>
      <c r="EBI148" s="609"/>
      <c r="EBJ148" s="609"/>
      <c r="EBK148" s="609"/>
      <c r="EBL148" s="609"/>
      <c r="EBM148" s="609"/>
      <c r="EBN148" s="609"/>
      <c r="EBO148" s="609"/>
      <c r="EBP148" s="609"/>
      <c r="EBQ148" s="609"/>
      <c r="EBR148" s="609"/>
      <c r="EBS148" s="609"/>
      <c r="EBT148" s="609"/>
      <c r="EBU148" s="609"/>
      <c r="EBV148" s="609"/>
      <c r="EBW148" s="609"/>
      <c r="EBX148" s="609"/>
      <c r="EBY148" s="609"/>
      <c r="EBZ148" s="609"/>
      <c r="ECA148" s="609"/>
      <c r="ECB148" s="609"/>
      <c r="ECC148" s="609"/>
      <c r="ECD148" s="609"/>
      <c r="ECE148" s="609"/>
      <c r="ECF148" s="609"/>
      <c r="ECG148" s="609"/>
      <c r="ECH148" s="609"/>
      <c r="ECI148" s="609"/>
      <c r="ECJ148" s="609"/>
      <c r="ECK148" s="609"/>
      <c r="ECL148" s="609"/>
      <c r="ECM148" s="609"/>
      <c r="ECN148" s="609"/>
      <c r="ECO148" s="609"/>
      <c r="ECP148" s="609"/>
      <c r="ECQ148" s="609"/>
      <c r="ECR148" s="609"/>
      <c r="ECS148" s="609"/>
      <c r="ECT148" s="609"/>
      <c r="ECU148" s="609"/>
      <c r="ECV148" s="609"/>
      <c r="ECW148" s="609"/>
      <c r="ECX148" s="609"/>
      <c r="ECY148" s="609"/>
      <c r="ECZ148" s="609"/>
      <c r="EDA148" s="609"/>
      <c r="EDB148" s="609"/>
      <c r="EDC148" s="609"/>
      <c r="EDD148" s="609"/>
      <c r="EDE148" s="609"/>
      <c r="EDF148" s="609"/>
      <c r="EDG148" s="609"/>
      <c r="EDH148" s="609"/>
      <c r="EDI148" s="609"/>
      <c r="EDJ148" s="609"/>
      <c r="EDK148" s="609"/>
      <c r="EDL148" s="609"/>
      <c r="EDM148" s="609"/>
      <c r="EDN148" s="609"/>
      <c r="EDO148" s="609"/>
      <c r="EDP148" s="609"/>
      <c r="EDQ148" s="609"/>
      <c r="EDR148" s="609"/>
      <c r="EDS148" s="609"/>
      <c r="EDT148" s="609"/>
      <c r="EDU148" s="609"/>
      <c r="EDV148" s="609"/>
      <c r="EDW148" s="609"/>
      <c r="EDX148" s="609"/>
      <c r="EDY148" s="609"/>
      <c r="EDZ148" s="609"/>
      <c r="EEA148" s="609"/>
      <c r="EEB148" s="609"/>
      <c r="EEC148" s="609"/>
      <c r="EED148" s="609"/>
      <c r="EEE148" s="609"/>
      <c r="EEF148" s="609"/>
      <c r="EEG148" s="609"/>
      <c r="EEH148" s="609"/>
      <c r="EEI148" s="609"/>
      <c r="EEJ148" s="609"/>
      <c r="EEK148" s="609"/>
      <c r="EEL148" s="609"/>
      <c r="EEM148" s="609"/>
      <c r="EEN148" s="609"/>
      <c r="EEO148" s="609"/>
      <c r="EEP148" s="609"/>
      <c r="EEQ148" s="609"/>
      <c r="EER148" s="609"/>
      <c r="EES148" s="609"/>
      <c r="EET148" s="609"/>
      <c r="EEU148" s="609"/>
      <c r="EEV148" s="609"/>
      <c r="EEW148" s="609"/>
      <c r="EEX148" s="609"/>
      <c r="EEY148" s="609"/>
      <c r="EEZ148" s="609"/>
      <c r="EFA148" s="609"/>
      <c r="EFB148" s="609"/>
      <c r="EFC148" s="609"/>
      <c r="EFD148" s="609"/>
      <c r="EFE148" s="609"/>
      <c r="EFF148" s="609"/>
      <c r="EFG148" s="609"/>
      <c r="EFH148" s="609"/>
      <c r="EFI148" s="609"/>
      <c r="EFJ148" s="609"/>
      <c r="EFK148" s="609"/>
      <c r="EFL148" s="609"/>
      <c r="EFM148" s="609"/>
      <c r="EFN148" s="609"/>
      <c r="EFO148" s="609"/>
      <c r="EFP148" s="609"/>
      <c r="EFQ148" s="609"/>
      <c r="EFR148" s="609"/>
      <c r="EFS148" s="609"/>
      <c r="EFT148" s="609"/>
      <c r="EFU148" s="609"/>
      <c r="EFV148" s="609"/>
      <c r="EFW148" s="609"/>
      <c r="EFX148" s="609"/>
      <c r="EFY148" s="609"/>
      <c r="EFZ148" s="609"/>
      <c r="EGA148" s="609"/>
      <c r="EGB148" s="609"/>
      <c r="EGC148" s="609"/>
      <c r="EGD148" s="609"/>
      <c r="EGE148" s="609"/>
      <c r="EGF148" s="609"/>
      <c r="EGG148" s="609"/>
      <c r="EGH148" s="609"/>
      <c r="EGI148" s="609"/>
      <c r="EGJ148" s="609"/>
      <c r="EGK148" s="609"/>
      <c r="EGL148" s="609"/>
      <c r="EGM148" s="609"/>
      <c r="EGN148" s="609"/>
      <c r="EGO148" s="609"/>
      <c r="EGP148" s="609"/>
      <c r="EGQ148" s="609"/>
      <c r="EGR148" s="609"/>
      <c r="EGS148" s="609"/>
      <c r="EGT148" s="609"/>
      <c r="EGU148" s="609"/>
      <c r="EGV148" s="609"/>
      <c r="EGW148" s="609"/>
      <c r="EGX148" s="609"/>
      <c r="EGY148" s="609"/>
      <c r="EGZ148" s="609"/>
      <c r="EHA148" s="609"/>
      <c r="EHB148" s="609"/>
      <c r="EHC148" s="609"/>
      <c r="EHD148" s="609"/>
      <c r="EHE148" s="609"/>
      <c r="EHF148" s="609"/>
      <c r="EHG148" s="609"/>
      <c r="EHH148" s="609"/>
      <c r="EHI148" s="609"/>
      <c r="EHJ148" s="609"/>
      <c r="EHK148" s="609"/>
      <c r="EHL148" s="609"/>
      <c r="EHM148" s="609"/>
      <c r="EHN148" s="609"/>
      <c r="EHO148" s="609"/>
      <c r="EHP148" s="609"/>
      <c r="EHQ148" s="609"/>
      <c r="EHR148" s="609"/>
      <c r="EHS148" s="609"/>
      <c r="EHT148" s="609"/>
      <c r="EHU148" s="609"/>
      <c r="EHV148" s="609"/>
      <c r="EHW148" s="609"/>
      <c r="EHX148" s="609"/>
      <c r="EHY148" s="609"/>
      <c r="EHZ148" s="609"/>
      <c r="EIA148" s="609"/>
      <c r="EIB148" s="609"/>
      <c r="EIC148" s="609"/>
      <c r="EID148" s="609"/>
      <c r="EIE148" s="609"/>
      <c r="EIF148" s="609"/>
      <c r="EIG148" s="609"/>
      <c r="EIH148" s="609"/>
      <c r="EII148" s="609"/>
      <c r="EIJ148" s="609"/>
      <c r="EIK148" s="609"/>
      <c r="EIL148" s="609"/>
      <c r="EIM148" s="609"/>
      <c r="EIN148" s="609"/>
      <c r="EIO148" s="609"/>
      <c r="EIP148" s="609"/>
      <c r="EIQ148" s="609"/>
      <c r="EIR148" s="609"/>
      <c r="EIS148" s="609"/>
      <c r="EIT148" s="609"/>
      <c r="EIU148" s="609"/>
      <c r="EIV148" s="609"/>
      <c r="EIW148" s="609"/>
      <c r="EIX148" s="609"/>
      <c r="EIY148" s="609"/>
      <c r="EIZ148" s="609"/>
      <c r="EJA148" s="609"/>
      <c r="EJB148" s="609"/>
      <c r="EJC148" s="609"/>
      <c r="EJD148" s="609"/>
      <c r="EJE148" s="609"/>
      <c r="EJF148" s="609"/>
      <c r="EJG148" s="609"/>
      <c r="EJH148" s="609"/>
      <c r="EJI148" s="609"/>
      <c r="EJJ148" s="609"/>
      <c r="EJK148" s="609"/>
      <c r="EJL148" s="609"/>
      <c r="EJM148" s="609"/>
      <c r="EJN148" s="609"/>
      <c r="EJO148" s="609"/>
      <c r="EJP148" s="609"/>
      <c r="EJQ148" s="609"/>
      <c r="EJR148" s="609"/>
      <c r="EJS148" s="609"/>
      <c r="EJT148" s="609"/>
      <c r="EJU148" s="609"/>
      <c r="EJV148" s="609"/>
      <c r="EJW148" s="609"/>
      <c r="EJX148" s="609"/>
      <c r="EJY148" s="609"/>
      <c r="EJZ148" s="609"/>
      <c r="EKA148" s="609"/>
      <c r="EKB148" s="609"/>
      <c r="EKC148" s="609"/>
      <c r="EKD148" s="609"/>
      <c r="EKE148" s="609"/>
      <c r="EKF148" s="609"/>
      <c r="EKG148" s="609"/>
      <c r="EKH148" s="609"/>
      <c r="EKI148" s="609"/>
      <c r="EKJ148" s="609"/>
      <c r="EKK148" s="609"/>
      <c r="EKL148" s="609"/>
      <c r="EKM148" s="609"/>
      <c r="EKN148" s="609"/>
      <c r="EKO148" s="609"/>
      <c r="EKP148" s="609"/>
      <c r="EKQ148" s="609"/>
      <c r="EKR148" s="609"/>
      <c r="EKS148" s="609"/>
      <c r="EKT148" s="609"/>
      <c r="EKU148" s="609"/>
      <c r="EKV148" s="609"/>
      <c r="EKW148" s="609"/>
      <c r="EKX148" s="609"/>
      <c r="EKY148" s="609"/>
      <c r="EKZ148" s="609"/>
      <c r="ELA148" s="609"/>
      <c r="ELB148" s="609"/>
      <c r="ELC148" s="609"/>
      <c r="ELD148" s="609"/>
      <c r="ELE148" s="609"/>
      <c r="ELF148" s="609"/>
      <c r="ELG148" s="609"/>
      <c r="ELH148" s="609"/>
      <c r="ELI148" s="609"/>
      <c r="ELJ148" s="609"/>
      <c r="ELK148" s="609"/>
      <c r="ELL148" s="609"/>
      <c r="ELM148" s="609"/>
      <c r="ELN148" s="609"/>
      <c r="ELO148" s="609"/>
      <c r="ELP148" s="609"/>
      <c r="ELQ148" s="609"/>
      <c r="ELR148" s="609"/>
      <c r="ELS148" s="609"/>
      <c r="ELT148" s="609"/>
      <c r="ELU148" s="609"/>
      <c r="ELV148" s="609"/>
      <c r="ELW148" s="609"/>
      <c r="ELX148" s="609"/>
      <c r="ELY148" s="609"/>
      <c r="ELZ148" s="609"/>
      <c r="EMA148" s="609"/>
      <c r="EMB148" s="609"/>
      <c r="EMC148" s="609"/>
      <c r="EMD148" s="609"/>
      <c r="EME148" s="609"/>
      <c r="EMF148" s="609"/>
      <c r="EMG148" s="609"/>
      <c r="EMH148" s="609"/>
      <c r="EMI148" s="609"/>
      <c r="EMJ148" s="609"/>
      <c r="EMK148" s="609"/>
      <c r="EML148" s="609"/>
      <c r="EMM148" s="609"/>
      <c r="EMN148" s="609"/>
      <c r="EMO148" s="609"/>
      <c r="EMP148" s="609"/>
      <c r="EMQ148" s="609"/>
      <c r="EMR148" s="609"/>
      <c r="EMS148" s="609"/>
      <c r="EMT148" s="609"/>
      <c r="EMU148" s="609"/>
      <c r="EMV148" s="609"/>
      <c r="EMW148" s="609"/>
      <c r="EMX148" s="609"/>
      <c r="EMY148" s="609"/>
      <c r="EMZ148" s="609"/>
      <c r="ENA148" s="609"/>
      <c r="ENB148" s="609"/>
      <c r="ENC148" s="609"/>
      <c r="END148" s="609"/>
      <c r="ENE148" s="609"/>
      <c r="ENF148" s="609"/>
      <c r="ENG148" s="609"/>
      <c r="ENH148" s="609"/>
      <c r="ENI148" s="609"/>
      <c r="ENJ148" s="609"/>
      <c r="ENK148" s="609"/>
      <c r="ENL148" s="609"/>
      <c r="ENM148" s="609"/>
      <c r="ENN148" s="609"/>
      <c r="ENO148" s="609"/>
      <c r="ENP148" s="609"/>
      <c r="ENQ148" s="609"/>
      <c r="ENR148" s="609"/>
      <c r="ENS148" s="609"/>
      <c r="ENT148" s="609"/>
      <c r="ENU148" s="609"/>
      <c r="ENV148" s="609"/>
      <c r="ENW148" s="609"/>
      <c r="ENX148" s="609"/>
      <c r="ENY148" s="609"/>
      <c r="ENZ148" s="609"/>
      <c r="EOA148" s="609"/>
      <c r="EOB148" s="609"/>
      <c r="EOC148" s="609"/>
      <c r="EOD148" s="609"/>
      <c r="EOE148" s="609"/>
      <c r="EOF148" s="609"/>
      <c r="EOG148" s="609"/>
      <c r="EOH148" s="609"/>
      <c r="EOI148" s="609"/>
      <c r="EOJ148" s="609"/>
      <c r="EOK148" s="609"/>
      <c r="EOL148" s="609"/>
      <c r="EOM148" s="609"/>
      <c r="EON148" s="609"/>
      <c r="EOO148" s="609"/>
      <c r="EOP148" s="609"/>
      <c r="EOQ148" s="609"/>
      <c r="EOR148" s="609"/>
      <c r="EOS148" s="609"/>
      <c r="EOT148" s="609"/>
      <c r="EOU148" s="609"/>
      <c r="EOV148" s="609"/>
      <c r="EOW148" s="609"/>
      <c r="EOX148" s="609"/>
      <c r="EOY148" s="609"/>
      <c r="EOZ148" s="609"/>
      <c r="EPA148" s="609"/>
      <c r="EPB148" s="609"/>
      <c r="EPC148" s="609"/>
      <c r="EPD148" s="609"/>
      <c r="EPE148" s="609"/>
      <c r="EPF148" s="609"/>
      <c r="EPG148" s="609"/>
      <c r="EPH148" s="609"/>
      <c r="EPI148" s="609"/>
      <c r="EPJ148" s="609"/>
      <c r="EPK148" s="609"/>
      <c r="EPL148" s="609"/>
      <c r="EPM148" s="609"/>
      <c r="EPN148" s="609"/>
      <c r="EPO148" s="609"/>
      <c r="EPP148" s="609"/>
      <c r="EPQ148" s="609"/>
      <c r="EPR148" s="609"/>
      <c r="EPS148" s="609"/>
      <c r="EPT148" s="609"/>
      <c r="EPU148" s="609"/>
      <c r="EPV148" s="609"/>
      <c r="EPW148" s="609"/>
      <c r="EPX148" s="609"/>
      <c r="EPY148" s="609"/>
      <c r="EPZ148" s="609"/>
      <c r="EQA148" s="609"/>
      <c r="EQB148" s="609"/>
      <c r="EQC148" s="609"/>
      <c r="EQD148" s="609"/>
      <c r="EQE148" s="609"/>
      <c r="EQF148" s="609"/>
      <c r="EQG148" s="609"/>
      <c r="EQH148" s="609"/>
      <c r="EQI148" s="609"/>
      <c r="EQJ148" s="609"/>
      <c r="EQK148" s="609"/>
      <c r="EQL148" s="609"/>
      <c r="EQM148" s="609"/>
      <c r="EQN148" s="609"/>
      <c r="EQO148" s="609"/>
      <c r="EQP148" s="609"/>
      <c r="EQQ148" s="609"/>
      <c r="EQR148" s="609"/>
      <c r="EQS148" s="609"/>
      <c r="EQT148" s="609"/>
      <c r="EQU148" s="609"/>
      <c r="EQV148" s="609"/>
      <c r="EQW148" s="609"/>
      <c r="EQX148" s="609"/>
      <c r="EQY148" s="609"/>
      <c r="EQZ148" s="609"/>
      <c r="ERA148" s="609"/>
      <c r="ERB148" s="609"/>
      <c r="ERC148" s="609"/>
      <c r="ERD148" s="609"/>
      <c r="ERE148" s="609"/>
      <c r="ERF148" s="609"/>
      <c r="ERG148" s="609"/>
      <c r="ERH148" s="609"/>
      <c r="ERI148" s="609"/>
      <c r="ERJ148" s="609"/>
      <c r="ERK148" s="609"/>
      <c r="ERL148" s="609"/>
      <c r="ERM148" s="609"/>
      <c r="ERN148" s="609"/>
      <c r="ERO148" s="609"/>
      <c r="ERP148" s="609"/>
      <c r="ERQ148" s="609"/>
      <c r="ERR148" s="609"/>
      <c r="ERS148" s="609"/>
      <c r="ERT148" s="609"/>
      <c r="ERU148" s="609"/>
      <c r="ERV148" s="609"/>
      <c r="ERW148" s="609"/>
      <c r="ERX148" s="609"/>
      <c r="ERY148" s="609"/>
      <c r="ERZ148" s="609"/>
      <c r="ESA148" s="609"/>
      <c r="ESB148" s="609"/>
      <c r="ESC148" s="609"/>
      <c r="ESD148" s="609"/>
      <c r="ESE148" s="609"/>
      <c r="ESF148" s="609"/>
      <c r="ESG148" s="609"/>
      <c r="ESH148" s="609"/>
      <c r="ESI148" s="609"/>
      <c r="ESJ148" s="609"/>
      <c r="ESK148" s="609"/>
      <c r="ESL148" s="609"/>
      <c r="ESM148" s="609"/>
      <c r="ESN148" s="609"/>
      <c r="ESO148" s="609"/>
      <c r="ESP148" s="609"/>
      <c r="ESQ148" s="609"/>
      <c r="ESR148" s="609"/>
      <c r="ESS148" s="609"/>
      <c r="EST148" s="609"/>
      <c r="ESU148" s="609"/>
      <c r="ESV148" s="609"/>
      <c r="ESW148" s="609"/>
      <c r="ESX148" s="609"/>
      <c r="ESY148" s="609"/>
      <c r="ESZ148" s="609"/>
      <c r="ETA148" s="609"/>
      <c r="ETB148" s="609"/>
      <c r="ETC148" s="609"/>
      <c r="ETD148" s="609"/>
      <c r="ETE148" s="609"/>
      <c r="ETF148" s="609"/>
      <c r="ETG148" s="609"/>
      <c r="ETH148" s="609"/>
      <c r="ETI148" s="609"/>
      <c r="ETJ148" s="609"/>
      <c r="ETK148" s="609"/>
      <c r="ETL148" s="609"/>
      <c r="ETM148" s="609"/>
      <c r="ETN148" s="609"/>
      <c r="ETO148" s="609"/>
      <c r="ETP148" s="609"/>
      <c r="ETQ148" s="609"/>
      <c r="ETR148" s="609"/>
      <c r="ETS148" s="609"/>
      <c r="ETT148" s="609"/>
      <c r="ETU148" s="609"/>
      <c r="ETV148" s="609"/>
      <c r="ETW148" s="609"/>
      <c r="ETX148" s="609"/>
      <c r="ETY148" s="609"/>
      <c r="ETZ148" s="609"/>
      <c r="EUA148" s="609"/>
      <c r="EUB148" s="609"/>
      <c r="EUC148" s="609"/>
      <c r="EUD148" s="609"/>
      <c r="EUE148" s="609"/>
      <c r="EUF148" s="609"/>
      <c r="EUG148" s="609"/>
      <c r="EUH148" s="609"/>
      <c r="EUI148" s="609"/>
      <c r="EUJ148" s="609"/>
      <c r="EUK148" s="609"/>
      <c r="EUL148" s="609"/>
      <c r="EUM148" s="609"/>
      <c r="EUN148" s="609"/>
      <c r="EUO148" s="609"/>
      <c r="EUP148" s="609"/>
      <c r="EUQ148" s="609"/>
      <c r="EUR148" s="609"/>
      <c r="EUS148" s="609"/>
      <c r="EUT148" s="609"/>
      <c r="EUU148" s="609"/>
      <c r="EUV148" s="609"/>
      <c r="EUW148" s="609"/>
      <c r="EUX148" s="609"/>
      <c r="EUY148" s="609"/>
      <c r="EUZ148" s="609"/>
      <c r="EVA148" s="609"/>
      <c r="EVB148" s="609"/>
      <c r="EVC148" s="609"/>
      <c r="EVD148" s="609"/>
      <c r="EVE148" s="609"/>
      <c r="EVF148" s="609"/>
      <c r="EVG148" s="609"/>
      <c r="EVH148" s="609"/>
      <c r="EVI148" s="609"/>
      <c r="EVJ148" s="609"/>
      <c r="EVK148" s="609"/>
      <c r="EVL148" s="609"/>
      <c r="EVM148" s="609"/>
      <c r="EVN148" s="609"/>
      <c r="EVO148" s="609"/>
      <c r="EVP148" s="609"/>
      <c r="EVQ148" s="609"/>
      <c r="EVR148" s="609"/>
      <c r="EVS148" s="609"/>
      <c r="EVT148" s="609"/>
      <c r="EVU148" s="609"/>
      <c r="EVV148" s="609"/>
      <c r="EVW148" s="609"/>
      <c r="EVX148" s="609"/>
      <c r="EVY148" s="609"/>
      <c r="EVZ148" s="609"/>
      <c r="EWA148" s="609"/>
      <c r="EWB148" s="609"/>
      <c r="EWC148" s="609"/>
      <c r="EWD148" s="609"/>
      <c r="EWE148" s="609"/>
      <c r="EWF148" s="609"/>
      <c r="EWG148" s="609"/>
      <c r="EWH148" s="609"/>
      <c r="EWI148" s="609"/>
      <c r="EWJ148" s="609"/>
      <c r="EWK148" s="609"/>
      <c r="EWL148" s="609"/>
      <c r="EWM148" s="609"/>
      <c r="EWN148" s="609"/>
      <c r="EWO148" s="609"/>
      <c r="EWP148" s="609"/>
      <c r="EWQ148" s="609"/>
      <c r="EWR148" s="609"/>
      <c r="EWS148" s="609"/>
      <c r="EWT148" s="609"/>
      <c r="EWU148" s="609"/>
      <c r="EWV148" s="609"/>
      <c r="EWW148" s="609"/>
      <c r="EWX148" s="609"/>
      <c r="EWY148" s="609"/>
      <c r="EWZ148" s="609"/>
      <c r="EXA148" s="609"/>
      <c r="EXB148" s="609"/>
      <c r="EXC148" s="609"/>
      <c r="EXD148" s="609"/>
      <c r="EXE148" s="609"/>
      <c r="EXF148" s="609"/>
      <c r="EXG148" s="609"/>
      <c r="EXH148" s="609"/>
      <c r="EXI148" s="609"/>
      <c r="EXJ148" s="609"/>
      <c r="EXK148" s="609"/>
      <c r="EXL148" s="609"/>
      <c r="EXM148" s="609"/>
      <c r="EXN148" s="609"/>
      <c r="EXO148" s="609"/>
      <c r="EXP148" s="609"/>
      <c r="EXQ148" s="609"/>
      <c r="EXR148" s="609"/>
      <c r="EXS148" s="609"/>
      <c r="EXT148" s="609"/>
      <c r="EXU148" s="609"/>
      <c r="EXV148" s="609"/>
      <c r="EXW148" s="609"/>
      <c r="EXX148" s="609"/>
      <c r="EXY148" s="609"/>
      <c r="EXZ148" s="609"/>
      <c r="EYA148" s="609"/>
      <c r="EYB148" s="609"/>
      <c r="EYC148" s="609"/>
      <c r="EYD148" s="609"/>
      <c r="EYE148" s="609"/>
      <c r="EYF148" s="609"/>
      <c r="EYG148" s="609"/>
      <c r="EYH148" s="609"/>
      <c r="EYI148" s="609"/>
      <c r="EYJ148" s="609"/>
      <c r="EYK148" s="609"/>
      <c r="EYL148" s="609"/>
      <c r="EYM148" s="609"/>
      <c r="EYN148" s="609"/>
      <c r="EYO148" s="609"/>
      <c r="EYP148" s="609"/>
      <c r="EYQ148" s="609"/>
      <c r="EYR148" s="609"/>
      <c r="EYS148" s="609"/>
      <c r="EYT148" s="609"/>
      <c r="EYU148" s="609"/>
      <c r="EYV148" s="609"/>
      <c r="EYW148" s="609"/>
      <c r="EYX148" s="609"/>
      <c r="EYY148" s="609"/>
      <c r="EYZ148" s="609"/>
      <c r="EZA148" s="609"/>
      <c r="EZB148" s="609"/>
      <c r="EZC148" s="609"/>
      <c r="EZD148" s="609"/>
      <c r="EZE148" s="609"/>
      <c r="EZF148" s="609"/>
      <c r="EZG148" s="609"/>
      <c r="EZH148" s="609"/>
      <c r="EZI148" s="609"/>
      <c r="EZJ148" s="609"/>
      <c r="EZK148" s="609"/>
      <c r="EZL148" s="609"/>
      <c r="EZM148" s="609"/>
      <c r="EZN148" s="609"/>
      <c r="EZO148" s="609"/>
      <c r="EZP148" s="609"/>
      <c r="EZQ148" s="609"/>
      <c r="EZR148" s="609"/>
      <c r="EZS148" s="609"/>
      <c r="EZT148" s="609"/>
      <c r="EZU148" s="609"/>
      <c r="EZV148" s="609"/>
      <c r="EZW148" s="609"/>
      <c r="EZX148" s="609"/>
      <c r="EZY148" s="609"/>
      <c r="EZZ148" s="609"/>
      <c r="FAA148" s="609"/>
      <c r="FAB148" s="609"/>
      <c r="FAC148" s="609"/>
      <c r="FAD148" s="609"/>
      <c r="FAE148" s="609"/>
      <c r="FAF148" s="609"/>
      <c r="FAG148" s="609"/>
      <c r="FAH148" s="609"/>
      <c r="FAI148" s="609"/>
      <c r="FAJ148" s="609"/>
      <c r="FAK148" s="609"/>
      <c r="FAL148" s="609"/>
      <c r="FAM148" s="609"/>
      <c r="FAN148" s="609"/>
      <c r="FAO148" s="609"/>
      <c r="FAP148" s="609"/>
      <c r="FAQ148" s="609"/>
      <c r="FAR148" s="609"/>
      <c r="FAS148" s="609"/>
      <c r="FAT148" s="609"/>
      <c r="FAU148" s="609"/>
      <c r="FAV148" s="609"/>
      <c r="FAW148" s="609"/>
      <c r="FAX148" s="609"/>
      <c r="FAY148" s="609"/>
      <c r="FAZ148" s="609"/>
      <c r="FBA148" s="609"/>
      <c r="FBB148" s="609"/>
      <c r="FBC148" s="609"/>
      <c r="FBD148" s="609"/>
      <c r="FBE148" s="609"/>
      <c r="FBF148" s="609"/>
      <c r="FBG148" s="609"/>
      <c r="FBH148" s="609"/>
      <c r="FBI148" s="609"/>
      <c r="FBJ148" s="609"/>
      <c r="FBK148" s="609"/>
      <c r="FBL148" s="609"/>
      <c r="FBM148" s="609"/>
      <c r="FBN148" s="609"/>
      <c r="FBO148" s="609"/>
      <c r="FBP148" s="609"/>
      <c r="FBQ148" s="609"/>
      <c r="FBR148" s="609"/>
      <c r="FBS148" s="609"/>
      <c r="FBT148" s="609"/>
      <c r="FBU148" s="609"/>
      <c r="FBV148" s="609"/>
      <c r="FBW148" s="609"/>
      <c r="FBX148" s="609"/>
      <c r="FBY148" s="609"/>
      <c r="FBZ148" s="609"/>
      <c r="FCA148" s="609"/>
      <c r="FCB148" s="609"/>
      <c r="FCC148" s="609"/>
      <c r="FCD148" s="609"/>
      <c r="FCE148" s="609"/>
      <c r="FCF148" s="609"/>
      <c r="FCG148" s="609"/>
      <c r="FCH148" s="609"/>
      <c r="FCI148" s="609"/>
      <c r="FCJ148" s="609"/>
      <c r="FCK148" s="609"/>
      <c r="FCL148" s="609"/>
      <c r="FCM148" s="609"/>
      <c r="FCN148" s="609"/>
      <c r="FCO148" s="609"/>
      <c r="FCP148" s="609"/>
      <c r="FCQ148" s="609"/>
      <c r="FCR148" s="609"/>
      <c r="FCS148" s="609"/>
      <c r="FCT148" s="609"/>
      <c r="FCU148" s="609"/>
      <c r="FCV148" s="609"/>
      <c r="FCW148" s="609"/>
      <c r="FCX148" s="609"/>
      <c r="FCY148" s="609"/>
      <c r="FCZ148" s="609"/>
      <c r="FDA148" s="609"/>
      <c r="FDB148" s="609"/>
      <c r="FDC148" s="609"/>
      <c r="FDD148" s="609"/>
      <c r="FDE148" s="609"/>
      <c r="FDF148" s="609"/>
      <c r="FDG148" s="609"/>
      <c r="FDH148" s="609"/>
      <c r="FDI148" s="609"/>
      <c r="FDJ148" s="609"/>
      <c r="FDK148" s="609"/>
      <c r="FDL148" s="609"/>
      <c r="FDM148" s="609"/>
      <c r="FDN148" s="609"/>
      <c r="FDO148" s="609"/>
      <c r="FDP148" s="609"/>
      <c r="FDQ148" s="609"/>
      <c r="FDR148" s="609"/>
      <c r="FDS148" s="609"/>
      <c r="FDT148" s="609"/>
      <c r="FDU148" s="609"/>
      <c r="FDV148" s="609"/>
      <c r="FDW148" s="609"/>
      <c r="FDX148" s="609"/>
      <c r="FDY148" s="609"/>
      <c r="FDZ148" s="609"/>
      <c r="FEA148" s="609"/>
      <c r="FEB148" s="609"/>
      <c r="FEC148" s="609"/>
      <c r="FED148" s="609"/>
      <c r="FEE148" s="609"/>
      <c r="FEF148" s="609"/>
      <c r="FEG148" s="609"/>
      <c r="FEH148" s="609"/>
      <c r="FEI148" s="609"/>
      <c r="FEJ148" s="609"/>
      <c r="FEK148" s="609"/>
      <c r="FEL148" s="609"/>
      <c r="FEM148" s="609"/>
      <c r="FEN148" s="609"/>
      <c r="FEO148" s="609"/>
      <c r="FEP148" s="609"/>
      <c r="FEQ148" s="609"/>
      <c r="FER148" s="609"/>
      <c r="FES148" s="609"/>
      <c r="FET148" s="609"/>
      <c r="FEU148" s="609"/>
      <c r="FEV148" s="609"/>
      <c r="FEW148" s="609"/>
      <c r="FEX148" s="609"/>
      <c r="FEY148" s="609"/>
      <c r="FEZ148" s="609"/>
      <c r="FFA148" s="609"/>
      <c r="FFB148" s="609"/>
      <c r="FFC148" s="609"/>
      <c r="FFD148" s="609"/>
      <c r="FFE148" s="609"/>
      <c r="FFF148" s="609"/>
      <c r="FFG148" s="609"/>
      <c r="FFH148" s="609"/>
      <c r="FFI148" s="609"/>
      <c r="FFJ148" s="609"/>
      <c r="FFK148" s="609"/>
      <c r="FFL148" s="609"/>
      <c r="FFM148" s="609"/>
      <c r="FFN148" s="609"/>
      <c r="FFO148" s="609"/>
      <c r="FFP148" s="609"/>
      <c r="FFQ148" s="609"/>
      <c r="FFR148" s="609"/>
      <c r="FFS148" s="609"/>
      <c r="FFT148" s="609"/>
      <c r="FFU148" s="609"/>
      <c r="FFV148" s="609"/>
      <c r="FFW148" s="609"/>
      <c r="FFX148" s="609"/>
      <c r="FFY148" s="609"/>
      <c r="FFZ148" s="609"/>
      <c r="FGA148" s="609"/>
      <c r="FGB148" s="609"/>
      <c r="FGC148" s="609"/>
      <c r="FGD148" s="609"/>
      <c r="FGE148" s="609"/>
      <c r="FGF148" s="609"/>
      <c r="FGG148" s="609"/>
      <c r="FGH148" s="609"/>
      <c r="FGI148" s="609"/>
      <c r="FGJ148" s="609"/>
      <c r="FGK148" s="609"/>
      <c r="FGL148" s="609"/>
      <c r="FGM148" s="609"/>
      <c r="FGN148" s="609"/>
      <c r="FGO148" s="609"/>
      <c r="FGP148" s="609"/>
      <c r="FGQ148" s="609"/>
      <c r="FGR148" s="609"/>
      <c r="FGS148" s="609"/>
      <c r="FGT148" s="609"/>
      <c r="FGU148" s="609"/>
      <c r="FGV148" s="609"/>
      <c r="FGW148" s="609"/>
      <c r="FGX148" s="609"/>
      <c r="FGY148" s="609"/>
      <c r="FGZ148" s="609"/>
      <c r="FHA148" s="609"/>
      <c r="FHB148" s="609"/>
      <c r="FHC148" s="609"/>
      <c r="FHD148" s="609"/>
      <c r="FHE148" s="609"/>
      <c r="FHF148" s="609"/>
      <c r="FHG148" s="609"/>
      <c r="FHH148" s="609"/>
      <c r="FHI148" s="609"/>
      <c r="FHJ148" s="609"/>
      <c r="FHK148" s="609"/>
      <c r="FHL148" s="609"/>
      <c r="FHM148" s="609"/>
      <c r="FHN148" s="609"/>
      <c r="FHO148" s="609"/>
      <c r="FHP148" s="609"/>
      <c r="FHQ148" s="609"/>
      <c r="FHR148" s="609"/>
      <c r="FHS148" s="609"/>
      <c r="FHT148" s="609"/>
      <c r="FHU148" s="609"/>
      <c r="FHV148" s="609"/>
      <c r="FHW148" s="609"/>
      <c r="FHX148" s="609"/>
      <c r="FHY148" s="609"/>
      <c r="FHZ148" s="609"/>
      <c r="FIA148" s="609"/>
      <c r="FIB148" s="609"/>
      <c r="FIC148" s="609"/>
      <c r="FID148" s="609"/>
      <c r="FIE148" s="609"/>
      <c r="FIF148" s="609"/>
      <c r="FIG148" s="609"/>
      <c r="FIH148" s="609"/>
      <c r="FII148" s="609"/>
      <c r="FIJ148" s="609"/>
      <c r="FIK148" s="609"/>
      <c r="FIL148" s="609"/>
      <c r="FIM148" s="609"/>
      <c r="FIN148" s="609"/>
      <c r="FIO148" s="609"/>
      <c r="FIP148" s="609"/>
      <c r="FIQ148" s="609"/>
      <c r="FIR148" s="609"/>
      <c r="FIS148" s="609"/>
      <c r="FIT148" s="609"/>
      <c r="FIU148" s="609"/>
      <c r="FIV148" s="609"/>
      <c r="FIW148" s="609"/>
      <c r="FIX148" s="609"/>
      <c r="FIY148" s="609"/>
      <c r="FIZ148" s="609"/>
      <c r="FJA148" s="609"/>
      <c r="FJB148" s="609"/>
      <c r="FJC148" s="609"/>
      <c r="FJD148" s="609"/>
      <c r="FJE148" s="609"/>
      <c r="FJF148" s="609"/>
      <c r="FJG148" s="609"/>
      <c r="FJH148" s="609"/>
      <c r="FJI148" s="609"/>
      <c r="FJJ148" s="609"/>
      <c r="FJK148" s="609"/>
      <c r="FJL148" s="609"/>
      <c r="FJM148" s="609"/>
      <c r="FJN148" s="609"/>
      <c r="FJO148" s="609"/>
      <c r="FJP148" s="609"/>
      <c r="FJQ148" s="609"/>
      <c r="FJR148" s="609"/>
      <c r="FJS148" s="609"/>
      <c r="FJT148" s="609"/>
      <c r="FJU148" s="609"/>
      <c r="FJV148" s="609"/>
      <c r="FJW148" s="609"/>
      <c r="FJX148" s="609"/>
      <c r="FJY148" s="609"/>
      <c r="FJZ148" s="609"/>
      <c r="FKA148" s="609"/>
      <c r="FKB148" s="609"/>
      <c r="FKC148" s="609"/>
      <c r="FKD148" s="609"/>
      <c r="FKE148" s="609"/>
      <c r="FKF148" s="609"/>
      <c r="FKG148" s="609"/>
      <c r="FKH148" s="609"/>
      <c r="FKI148" s="609"/>
      <c r="FKJ148" s="609"/>
      <c r="FKK148" s="609"/>
      <c r="FKL148" s="609"/>
      <c r="FKM148" s="609"/>
      <c r="FKN148" s="609"/>
      <c r="FKO148" s="609"/>
      <c r="FKP148" s="609"/>
      <c r="FKQ148" s="609"/>
      <c r="FKR148" s="609"/>
      <c r="FKS148" s="609"/>
      <c r="FKT148" s="609"/>
      <c r="FKU148" s="609"/>
      <c r="FKV148" s="609"/>
      <c r="FKW148" s="609"/>
      <c r="FKX148" s="609"/>
      <c r="FKY148" s="609"/>
      <c r="FKZ148" s="609"/>
      <c r="FLA148" s="609"/>
      <c r="FLB148" s="609"/>
      <c r="FLC148" s="609"/>
      <c r="FLD148" s="609"/>
      <c r="FLE148" s="609"/>
      <c r="FLF148" s="609"/>
      <c r="FLG148" s="609"/>
      <c r="FLH148" s="609"/>
      <c r="FLI148" s="609"/>
      <c r="FLJ148" s="609"/>
      <c r="FLK148" s="609"/>
      <c r="FLL148" s="609"/>
      <c r="FLM148" s="609"/>
      <c r="FLN148" s="609"/>
      <c r="FLO148" s="609"/>
      <c r="FLP148" s="609"/>
      <c r="FLQ148" s="609"/>
      <c r="FLR148" s="609"/>
      <c r="FLS148" s="609"/>
      <c r="FLT148" s="609"/>
      <c r="FLU148" s="609"/>
      <c r="FLV148" s="609"/>
      <c r="FLW148" s="609"/>
      <c r="FLX148" s="609"/>
      <c r="FLY148" s="609"/>
      <c r="FLZ148" s="609"/>
      <c r="FMA148" s="609"/>
      <c r="FMB148" s="609"/>
      <c r="FMC148" s="609"/>
      <c r="FMD148" s="609"/>
      <c r="FME148" s="609"/>
      <c r="FMF148" s="609"/>
      <c r="FMG148" s="609"/>
      <c r="FMH148" s="609"/>
      <c r="FMI148" s="609"/>
      <c r="FMJ148" s="609"/>
      <c r="FMK148" s="609"/>
      <c r="FML148" s="609"/>
      <c r="FMM148" s="609"/>
      <c r="FMN148" s="609"/>
      <c r="FMO148" s="609"/>
      <c r="FMP148" s="609"/>
      <c r="FMQ148" s="609"/>
      <c r="FMR148" s="609"/>
      <c r="FMS148" s="609"/>
      <c r="FMT148" s="609"/>
      <c r="FMU148" s="609"/>
      <c r="FMV148" s="609"/>
      <c r="FMW148" s="609"/>
      <c r="FMX148" s="609"/>
      <c r="FMY148" s="609"/>
      <c r="FMZ148" s="609"/>
      <c r="FNA148" s="609"/>
      <c r="FNB148" s="609"/>
      <c r="FNC148" s="609"/>
      <c r="FND148" s="609"/>
      <c r="FNE148" s="609"/>
      <c r="FNF148" s="609"/>
      <c r="FNG148" s="609"/>
      <c r="FNH148" s="609"/>
      <c r="FNI148" s="609"/>
      <c r="FNJ148" s="609"/>
      <c r="FNK148" s="609"/>
      <c r="FNL148" s="609"/>
      <c r="FNM148" s="609"/>
      <c r="FNN148" s="609"/>
      <c r="FNO148" s="609"/>
      <c r="FNP148" s="609"/>
      <c r="FNQ148" s="609"/>
      <c r="FNR148" s="609"/>
      <c r="FNS148" s="609"/>
      <c r="FNT148" s="609"/>
      <c r="FNU148" s="609"/>
      <c r="FNV148" s="609"/>
      <c r="FNW148" s="609"/>
      <c r="FNX148" s="609"/>
      <c r="FNY148" s="609"/>
      <c r="FNZ148" s="609"/>
      <c r="FOA148" s="609"/>
      <c r="FOB148" s="609"/>
      <c r="FOC148" s="609"/>
      <c r="FOD148" s="609"/>
      <c r="FOE148" s="609"/>
      <c r="FOF148" s="609"/>
      <c r="FOG148" s="609"/>
      <c r="FOH148" s="609"/>
      <c r="FOI148" s="609"/>
      <c r="FOJ148" s="609"/>
      <c r="FOK148" s="609"/>
      <c r="FOL148" s="609"/>
      <c r="FOM148" s="609"/>
      <c r="FON148" s="609"/>
      <c r="FOO148" s="609"/>
      <c r="FOP148" s="609"/>
      <c r="FOQ148" s="609"/>
      <c r="FOR148" s="609"/>
      <c r="FOS148" s="609"/>
      <c r="FOT148" s="609"/>
      <c r="FOU148" s="609"/>
      <c r="FOV148" s="609"/>
      <c r="FOW148" s="609"/>
      <c r="FOX148" s="609"/>
      <c r="FOY148" s="609"/>
      <c r="FOZ148" s="609"/>
      <c r="FPA148" s="609"/>
      <c r="FPB148" s="609"/>
      <c r="FPC148" s="609"/>
      <c r="FPD148" s="609"/>
      <c r="FPE148" s="609"/>
      <c r="FPF148" s="609"/>
      <c r="FPG148" s="609"/>
      <c r="FPH148" s="609"/>
      <c r="FPI148" s="609"/>
      <c r="FPJ148" s="609"/>
      <c r="FPK148" s="609"/>
      <c r="FPL148" s="609"/>
      <c r="FPM148" s="609"/>
      <c r="FPN148" s="609"/>
      <c r="FPO148" s="609"/>
      <c r="FPP148" s="609"/>
      <c r="FPQ148" s="609"/>
      <c r="FPR148" s="609"/>
      <c r="FPS148" s="609"/>
      <c r="FPT148" s="609"/>
      <c r="FPU148" s="609"/>
      <c r="FPV148" s="609"/>
      <c r="FPW148" s="609"/>
      <c r="FPX148" s="609"/>
      <c r="FPY148" s="609"/>
      <c r="FPZ148" s="609"/>
      <c r="FQA148" s="609"/>
      <c r="FQB148" s="609"/>
      <c r="FQC148" s="609"/>
      <c r="FQD148" s="609"/>
      <c r="FQE148" s="609"/>
      <c r="FQF148" s="609"/>
      <c r="FQG148" s="609"/>
      <c r="FQH148" s="609"/>
      <c r="FQI148" s="609"/>
      <c r="FQJ148" s="609"/>
      <c r="FQK148" s="609"/>
      <c r="FQL148" s="609"/>
      <c r="FQM148" s="609"/>
      <c r="FQN148" s="609"/>
      <c r="FQO148" s="609"/>
      <c r="FQP148" s="609"/>
      <c r="FQQ148" s="609"/>
      <c r="FQR148" s="609"/>
      <c r="FQS148" s="609"/>
      <c r="FQT148" s="609"/>
      <c r="FQU148" s="609"/>
      <c r="FQV148" s="609"/>
      <c r="FQW148" s="609"/>
      <c r="FQX148" s="609"/>
      <c r="FQY148" s="609"/>
      <c r="FQZ148" s="609"/>
      <c r="FRA148" s="609"/>
      <c r="FRB148" s="609"/>
      <c r="FRC148" s="609"/>
      <c r="FRD148" s="609"/>
      <c r="FRE148" s="609"/>
      <c r="FRF148" s="609"/>
      <c r="FRG148" s="609"/>
      <c r="FRH148" s="609"/>
      <c r="FRI148" s="609"/>
      <c r="FRJ148" s="609"/>
      <c r="FRK148" s="609"/>
      <c r="FRL148" s="609"/>
      <c r="FRM148" s="609"/>
      <c r="FRN148" s="609"/>
      <c r="FRO148" s="609"/>
      <c r="FRP148" s="609"/>
      <c r="FRQ148" s="609"/>
      <c r="FRR148" s="609"/>
      <c r="FRS148" s="609"/>
      <c r="FRT148" s="609"/>
      <c r="FRU148" s="609"/>
      <c r="FRV148" s="609"/>
      <c r="FRW148" s="609"/>
      <c r="FRX148" s="609"/>
      <c r="FRY148" s="609"/>
      <c r="FRZ148" s="609"/>
      <c r="FSA148" s="609"/>
      <c r="FSB148" s="609"/>
      <c r="FSC148" s="609"/>
      <c r="FSD148" s="609"/>
      <c r="FSE148" s="609"/>
      <c r="FSF148" s="609"/>
      <c r="FSG148" s="609"/>
      <c r="FSH148" s="609"/>
      <c r="FSI148" s="609"/>
      <c r="FSJ148" s="609"/>
      <c r="FSK148" s="609"/>
      <c r="FSL148" s="609"/>
      <c r="FSM148" s="609"/>
      <c r="FSN148" s="609"/>
      <c r="FSO148" s="609"/>
      <c r="FSP148" s="609"/>
      <c r="FSQ148" s="609"/>
      <c r="FSR148" s="609"/>
      <c r="FSS148" s="609"/>
      <c r="FST148" s="609"/>
      <c r="FSU148" s="609"/>
      <c r="FSV148" s="609"/>
      <c r="FSW148" s="609"/>
      <c r="FSX148" s="609"/>
      <c r="FSY148" s="609"/>
      <c r="FSZ148" s="609"/>
      <c r="FTA148" s="609"/>
      <c r="FTB148" s="609"/>
      <c r="FTC148" s="609"/>
      <c r="FTD148" s="609"/>
      <c r="FTE148" s="609"/>
      <c r="FTF148" s="609"/>
      <c r="FTG148" s="609"/>
      <c r="FTH148" s="609"/>
      <c r="FTI148" s="609"/>
      <c r="FTJ148" s="609"/>
      <c r="FTK148" s="609"/>
      <c r="FTL148" s="609"/>
      <c r="FTM148" s="609"/>
      <c r="FTN148" s="609"/>
      <c r="FTO148" s="609"/>
      <c r="FTP148" s="609"/>
      <c r="FTQ148" s="609"/>
      <c r="FTR148" s="609"/>
      <c r="FTS148" s="609"/>
      <c r="FTT148" s="609"/>
      <c r="FTU148" s="609"/>
      <c r="FTV148" s="609"/>
      <c r="FTW148" s="609"/>
      <c r="FTX148" s="609"/>
      <c r="FTY148" s="609"/>
      <c r="FTZ148" s="609"/>
      <c r="FUA148" s="609"/>
      <c r="FUB148" s="609"/>
      <c r="FUC148" s="609"/>
      <c r="FUD148" s="609"/>
      <c r="FUE148" s="609"/>
      <c r="FUF148" s="609"/>
      <c r="FUG148" s="609"/>
      <c r="FUH148" s="609"/>
      <c r="FUI148" s="609"/>
      <c r="FUJ148" s="609"/>
      <c r="FUK148" s="609"/>
      <c r="FUL148" s="609"/>
      <c r="FUM148" s="609"/>
      <c r="FUN148" s="609"/>
      <c r="FUO148" s="609"/>
      <c r="FUP148" s="609"/>
      <c r="FUQ148" s="609"/>
      <c r="FUR148" s="609"/>
      <c r="FUS148" s="609"/>
      <c r="FUT148" s="609"/>
      <c r="FUU148" s="609"/>
      <c r="FUV148" s="609"/>
      <c r="FUW148" s="609"/>
      <c r="FUX148" s="609"/>
      <c r="FUY148" s="609"/>
      <c r="FUZ148" s="609"/>
      <c r="FVA148" s="609"/>
      <c r="FVB148" s="609"/>
      <c r="FVC148" s="609"/>
      <c r="FVD148" s="609"/>
      <c r="FVE148" s="609"/>
      <c r="FVF148" s="609"/>
      <c r="FVG148" s="609"/>
      <c r="FVH148" s="609"/>
      <c r="FVI148" s="609"/>
      <c r="FVJ148" s="609"/>
      <c r="FVK148" s="609"/>
      <c r="FVL148" s="609"/>
      <c r="FVM148" s="609"/>
      <c r="FVN148" s="609"/>
      <c r="FVO148" s="609"/>
      <c r="FVP148" s="609"/>
      <c r="FVQ148" s="609"/>
      <c r="FVR148" s="609"/>
      <c r="FVS148" s="609"/>
      <c r="FVT148" s="609"/>
      <c r="FVU148" s="609"/>
      <c r="FVV148" s="609"/>
      <c r="FVW148" s="609"/>
      <c r="FVX148" s="609"/>
      <c r="FVY148" s="609"/>
      <c r="FVZ148" s="609"/>
      <c r="FWA148" s="609"/>
      <c r="FWB148" s="609"/>
      <c r="FWC148" s="609"/>
      <c r="FWD148" s="609"/>
      <c r="FWE148" s="609"/>
      <c r="FWF148" s="609"/>
      <c r="FWG148" s="609"/>
      <c r="FWH148" s="609"/>
      <c r="FWI148" s="609"/>
      <c r="FWJ148" s="609"/>
      <c r="FWK148" s="609"/>
      <c r="FWL148" s="609"/>
      <c r="FWM148" s="609"/>
      <c r="FWN148" s="609"/>
      <c r="FWO148" s="609"/>
      <c r="FWP148" s="609"/>
      <c r="FWQ148" s="609"/>
      <c r="FWR148" s="609"/>
      <c r="FWS148" s="609"/>
      <c r="FWT148" s="609"/>
      <c r="FWU148" s="609"/>
      <c r="FWV148" s="609"/>
      <c r="FWW148" s="609"/>
      <c r="FWX148" s="609"/>
      <c r="FWY148" s="609"/>
      <c r="FWZ148" s="609"/>
      <c r="FXA148" s="609"/>
      <c r="FXB148" s="609"/>
      <c r="FXC148" s="609"/>
      <c r="FXD148" s="609"/>
      <c r="FXE148" s="609"/>
      <c r="FXF148" s="609"/>
      <c r="FXG148" s="609"/>
      <c r="FXH148" s="609"/>
      <c r="FXI148" s="609"/>
      <c r="FXJ148" s="609"/>
      <c r="FXK148" s="609"/>
      <c r="FXL148" s="609"/>
      <c r="FXM148" s="609"/>
      <c r="FXN148" s="609"/>
      <c r="FXO148" s="609"/>
      <c r="FXP148" s="609"/>
      <c r="FXQ148" s="609"/>
      <c r="FXR148" s="609"/>
      <c r="FXS148" s="609"/>
      <c r="FXT148" s="609"/>
      <c r="FXU148" s="609"/>
      <c r="FXV148" s="609"/>
      <c r="FXW148" s="609"/>
      <c r="FXX148" s="609"/>
      <c r="FXY148" s="609"/>
      <c r="FXZ148" s="609"/>
      <c r="FYA148" s="609"/>
      <c r="FYB148" s="609"/>
      <c r="FYC148" s="609"/>
      <c r="FYD148" s="609"/>
      <c r="FYE148" s="609"/>
      <c r="FYF148" s="609"/>
      <c r="FYG148" s="609"/>
      <c r="FYH148" s="609"/>
      <c r="FYI148" s="609"/>
      <c r="FYJ148" s="609"/>
      <c r="FYK148" s="609"/>
      <c r="FYL148" s="609"/>
      <c r="FYM148" s="609"/>
      <c r="FYN148" s="609"/>
      <c r="FYO148" s="609"/>
      <c r="FYP148" s="609"/>
      <c r="FYQ148" s="609"/>
      <c r="FYR148" s="609"/>
      <c r="FYS148" s="609"/>
      <c r="FYT148" s="609"/>
      <c r="FYU148" s="609"/>
      <c r="FYV148" s="609"/>
      <c r="FYW148" s="609"/>
      <c r="FYX148" s="609"/>
      <c r="FYY148" s="609"/>
      <c r="FYZ148" s="609"/>
      <c r="FZA148" s="609"/>
      <c r="FZB148" s="609"/>
      <c r="FZC148" s="609"/>
      <c r="FZD148" s="609"/>
      <c r="FZE148" s="609"/>
      <c r="FZF148" s="609"/>
      <c r="FZG148" s="609"/>
      <c r="FZH148" s="609"/>
      <c r="FZI148" s="609"/>
      <c r="FZJ148" s="609"/>
      <c r="FZK148" s="609"/>
      <c r="FZL148" s="609"/>
      <c r="FZM148" s="609"/>
      <c r="FZN148" s="609"/>
      <c r="FZO148" s="609"/>
      <c r="FZP148" s="609"/>
      <c r="FZQ148" s="609"/>
      <c r="FZR148" s="609"/>
      <c r="FZS148" s="609"/>
      <c r="FZT148" s="609"/>
      <c r="FZU148" s="609"/>
      <c r="FZV148" s="609"/>
      <c r="FZW148" s="609"/>
      <c r="FZX148" s="609"/>
      <c r="FZY148" s="609"/>
      <c r="FZZ148" s="609"/>
      <c r="GAA148" s="609"/>
      <c r="GAB148" s="609"/>
      <c r="GAC148" s="609"/>
      <c r="GAD148" s="609"/>
      <c r="GAE148" s="609"/>
      <c r="GAF148" s="609"/>
      <c r="GAG148" s="609"/>
      <c r="GAH148" s="609"/>
      <c r="GAI148" s="609"/>
      <c r="GAJ148" s="609"/>
      <c r="GAK148" s="609"/>
      <c r="GAL148" s="609"/>
      <c r="GAM148" s="609"/>
      <c r="GAN148" s="609"/>
      <c r="GAO148" s="609"/>
      <c r="GAP148" s="609"/>
      <c r="GAQ148" s="609"/>
      <c r="GAR148" s="609"/>
      <c r="GAS148" s="609"/>
      <c r="GAT148" s="609"/>
      <c r="GAU148" s="609"/>
      <c r="GAV148" s="609"/>
      <c r="GAW148" s="609"/>
      <c r="GAX148" s="609"/>
      <c r="GAY148" s="609"/>
      <c r="GAZ148" s="609"/>
      <c r="GBA148" s="609"/>
      <c r="GBB148" s="609"/>
      <c r="GBC148" s="609"/>
      <c r="GBD148" s="609"/>
      <c r="GBE148" s="609"/>
      <c r="GBF148" s="609"/>
      <c r="GBG148" s="609"/>
      <c r="GBH148" s="609"/>
      <c r="GBI148" s="609"/>
      <c r="GBJ148" s="609"/>
      <c r="GBK148" s="609"/>
      <c r="GBL148" s="609"/>
      <c r="GBM148" s="609"/>
      <c r="GBN148" s="609"/>
      <c r="GBO148" s="609"/>
      <c r="GBP148" s="609"/>
      <c r="GBQ148" s="609"/>
      <c r="GBR148" s="609"/>
      <c r="GBS148" s="609"/>
      <c r="GBT148" s="609"/>
      <c r="GBU148" s="609"/>
      <c r="GBV148" s="609"/>
      <c r="GBW148" s="609"/>
      <c r="GBX148" s="609"/>
      <c r="GBY148" s="609"/>
      <c r="GBZ148" s="609"/>
      <c r="GCA148" s="609"/>
      <c r="GCB148" s="609"/>
      <c r="GCC148" s="609"/>
      <c r="GCD148" s="609"/>
      <c r="GCE148" s="609"/>
      <c r="GCF148" s="609"/>
      <c r="GCG148" s="609"/>
      <c r="GCH148" s="609"/>
      <c r="GCI148" s="609"/>
      <c r="GCJ148" s="609"/>
      <c r="GCK148" s="609"/>
      <c r="GCL148" s="609"/>
      <c r="GCM148" s="609"/>
      <c r="GCN148" s="609"/>
      <c r="GCO148" s="609"/>
      <c r="GCP148" s="609"/>
      <c r="GCQ148" s="609"/>
      <c r="GCR148" s="609"/>
      <c r="GCS148" s="609"/>
      <c r="GCT148" s="609"/>
      <c r="GCU148" s="609"/>
      <c r="GCV148" s="609"/>
      <c r="GCW148" s="609"/>
      <c r="GCX148" s="609"/>
      <c r="GCY148" s="609"/>
      <c r="GCZ148" s="609"/>
      <c r="GDA148" s="609"/>
      <c r="GDB148" s="609"/>
      <c r="GDC148" s="609"/>
      <c r="GDD148" s="609"/>
      <c r="GDE148" s="609"/>
      <c r="GDF148" s="609"/>
      <c r="GDG148" s="609"/>
      <c r="GDH148" s="609"/>
      <c r="GDI148" s="609"/>
      <c r="GDJ148" s="609"/>
      <c r="GDK148" s="609"/>
      <c r="GDL148" s="609"/>
      <c r="GDM148" s="609"/>
      <c r="GDN148" s="609"/>
      <c r="GDO148" s="609"/>
      <c r="GDP148" s="609"/>
      <c r="GDQ148" s="609"/>
      <c r="GDR148" s="609"/>
      <c r="GDS148" s="609"/>
      <c r="GDT148" s="609"/>
      <c r="GDU148" s="609"/>
      <c r="GDV148" s="609"/>
      <c r="GDW148" s="609"/>
      <c r="GDX148" s="609"/>
      <c r="GDY148" s="609"/>
      <c r="GDZ148" s="609"/>
      <c r="GEA148" s="609"/>
      <c r="GEB148" s="609"/>
      <c r="GEC148" s="609"/>
      <c r="GED148" s="609"/>
      <c r="GEE148" s="609"/>
      <c r="GEF148" s="609"/>
      <c r="GEG148" s="609"/>
      <c r="GEH148" s="609"/>
      <c r="GEI148" s="609"/>
      <c r="GEJ148" s="609"/>
      <c r="GEK148" s="609"/>
      <c r="GEL148" s="609"/>
      <c r="GEM148" s="609"/>
      <c r="GEN148" s="609"/>
      <c r="GEO148" s="609"/>
      <c r="GEP148" s="609"/>
      <c r="GEQ148" s="609"/>
      <c r="GER148" s="609"/>
      <c r="GES148" s="609"/>
      <c r="GET148" s="609"/>
      <c r="GEU148" s="609"/>
      <c r="GEV148" s="609"/>
      <c r="GEW148" s="609"/>
      <c r="GEX148" s="609"/>
      <c r="GEY148" s="609"/>
      <c r="GEZ148" s="609"/>
      <c r="GFA148" s="609"/>
      <c r="GFB148" s="609"/>
      <c r="GFC148" s="609"/>
      <c r="GFD148" s="609"/>
      <c r="GFE148" s="609"/>
      <c r="GFF148" s="609"/>
      <c r="GFG148" s="609"/>
      <c r="GFH148" s="609"/>
      <c r="GFI148" s="609"/>
      <c r="GFJ148" s="609"/>
      <c r="GFK148" s="609"/>
      <c r="GFL148" s="609"/>
      <c r="GFM148" s="609"/>
      <c r="GFN148" s="609"/>
      <c r="GFO148" s="609"/>
      <c r="GFP148" s="609"/>
      <c r="GFQ148" s="609"/>
      <c r="GFR148" s="609"/>
      <c r="GFS148" s="609"/>
      <c r="GFT148" s="609"/>
      <c r="GFU148" s="609"/>
      <c r="GFV148" s="609"/>
      <c r="GFW148" s="609"/>
      <c r="GFX148" s="609"/>
      <c r="GFY148" s="609"/>
      <c r="GFZ148" s="609"/>
      <c r="GGA148" s="609"/>
      <c r="GGB148" s="609"/>
      <c r="GGC148" s="609"/>
      <c r="GGD148" s="609"/>
      <c r="GGE148" s="609"/>
      <c r="GGF148" s="609"/>
      <c r="GGG148" s="609"/>
      <c r="GGH148" s="609"/>
      <c r="GGI148" s="609"/>
      <c r="GGJ148" s="609"/>
      <c r="GGK148" s="609"/>
      <c r="GGL148" s="609"/>
      <c r="GGM148" s="609"/>
      <c r="GGN148" s="609"/>
      <c r="GGO148" s="609"/>
      <c r="GGP148" s="609"/>
      <c r="GGQ148" s="609"/>
      <c r="GGR148" s="609"/>
      <c r="GGS148" s="609"/>
      <c r="GGT148" s="609"/>
      <c r="GGU148" s="609"/>
      <c r="GGV148" s="609"/>
      <c r="GGW148" s="609"/>
      <c r="GGX148" s="609"/>
      <c r="GGY148" s="609"/>
      <c r="GGZ148" s="609"/>
      <c r="GHA148" s="609"/>
      <c r="GHB148" s="609"/>
      <c r="GHC148" s="609"/>
      <c r="GHD148" s="609"/>
      <c r="GHE148" s="609"/>
      <c r="GHF148" s="609"/>
      <c r="GHG148" s="609"/>
      <c r="GHH148" s="609"/>
      <c r="GHI148" s="609"/>
      <c r="GHJ148" s="609"/>
      <c r="GHK148" s="609"/>
      <c r="GHL148" s="609"/>
      <c r="GHM148" s="609"/>
      <c r="GHN148" s="609"/>
      <c r="GHO148" s="609"/>
      <c r="GHP148" s="609"/>
      <c r="GHQ148" s="609"/>
      <c r="GHR148" s="609"/>
      <c r="GHS148" s="609"/>
      <c r="GHT148" s="609"/>
      <c r="GHU148" s="609"/>
      <c r="GHV148" s="609"/>
      <c r="GHW148" s="609"/>
      <c r="GHX148" s="609"/>
      <c r="GHY148" s="609"/>
      <c r="GHZ148" s="609"/>
      <c r="GIA148" s="609"/>
      <c r="GIB148" s="609"/>
      <c r="GIC148" s="609"/>
      <c r="GID148" s="609"/>
      <c r="GIE148" s="609"/>
      <c r="GIF148" s="609"/>
      <c r="GIG148" s="609"/>
      <c r="GIH148" s="609"/>
      <c r="GII148" s="609"/>
      <c r="GIJ148" s="609"/>
      <c r="GIK148" s="609"/>
      <c r="GIL148" s="609"/>
      <c r="GIM148" s="609"/>
      <c r="GIN148" s="609"/>
      <c r="GIO148" s="609"/>
      <c r="GIP148" s="609"/>
      <c r="GIQ148" s="609"/>
      <c r="GIR148" s="609"/>
      <c r="GIS148" s="609"/>
      <c r="GIT148" s="609"/>
      <c r="GIU148" s="609"/>
      <c r="GIV148" s="609"/>
      <c r="GIW148" s="609"/>
      <c r="GIX148" s="609"/>
      <c r="GIY148" s="609"/>
      <c r="GIZ148" s="609"/>
      <c r="GJA148" s="609"/>
      <c r="GJB148" s="609"/>
      <c r="GJC148" s="609"/>
      <c r="GJD148" s="609"/>
      <c r="GJE148" s="609"/>
      <c r="GJF148" s="609"/>
      <c r="GJG148" s="609"/>
      <c r="GJH148" s="609"/>
      <c r="GJI148" s="609"/>
      <c r="GJJ148" s="609"/>
      <c r="GJK148" s="609"/>
      <c r="GJL148" s="609"/>
      <c r="GJM148" s="609"/>
      <c r="GJN148" s="609"/>
      <c r="GJO148" s="609"/>
      <c r="GJP148" s="609"/>
      <c r="GJQ148" s="609"/>
      <c r="GJR148" s="609"/>
      <c r="GJS148" s="609"/>
      <c r="GJT148" s="609"/>
      <c r="GJU148" s="609"/>
      <c r="GJV148" s="609"/>
      <c r="GJW148" s="609"/>
      <c r="GJX148" s="609"/>
      <c r="GJY148" s="609"/>
      <c r="GJZ148" s="609"/>
      <c r="GKA148" s="609"/>
      <c r="GKB148" s="609"/>
      <c r="GKC148" s="609"/>
      <c r="GKD148" s="609"/>
      <c r="GKE148" s="609"/>
      <c r="GKF148" s="609"/>
      <c r="GKG148" s="609"/>
      <c r="GKH148" s="609"/>
      <c r="GKI148" s="609"/>
      <c r="GKJ148" s="609"/>
      <c r="GKK148" s="609"/>
      <c r="GKL148" s="609"/>
      <c r="GKM148" s="609"/>
      <c r="GKN148" s="609"/>
      <c r="GKO148" s="609"/>
      <c r="GKP148" s="609"/>
      <c r="GKQ148" s="609"/>
      <c r="GKR148" s="609"/>
      <c r="GKS148" s="609"/>
      <c r="GKT148" s="609"/>
      <c r="GKU148" s="609"/>
      <c r="GKV148" s="609"/>
      <c r="GKW148" s="609"/>
      <c r="GKX148" s="609"/>
      <c r="GKY148" s="609"/>
      <c r="GKZ148" s="609"/>
      <c r="GLA148" s="609"/>
      <c r="GLB148" s="609"/>
      <c r="GLC148" s="609"/>
      <c r="GLD148" s="609"/>
      <c r="GLE148" s="609"/>
      <c r="GLF148" s="609"/>
      <c r="GLG148" s="609"/>
      <c r="GLH148" s="609"/>
      <c r="GLI148" s="609"/>
      <c r="GLJ148" s="609"/>
      <c r="GLK148" s="609"/>
      <c r="GLL148" s="609"/>
      <c r="GLM148" s="609"/>
      <c r="GLN148" s="609"/>
      <c r="GLO148" s="609"/>
      <c r="GLP148" s="609"/>
      <c r="GLQ148" s="609"/>
      <c r="GLR148" s="609"/>
      <c r="GLS148" s="609"/>
      <c r="GLT148" s="609"/>
      <c r="GLU148" s="609"/>
      <c r="GLV148" s="609"/>
      <c r="GLW148" s="609"/>
      <c r="GLX148" s="609"/>
      <c r="GLY148" s="609"/>
      <c r="GLZ148" s="609"/>
      <c r="GMA148" s="609"/>
      <c r="GMB148" s="609"/>
      <c r="GMC148" s="609"/>
      <c r="GMD148" s="609"/>
      <c r="GME148" s="609"/>
      <c r="GMF148" s="609"/>
      <c r="GMG148" s="609"/>
      <c r="GMH148" s="609"/>
      <c r="GMI148" s="609"/>
      <c r="GMJ148" s="609"/>
      <c r="GMK148" s="609"/>
      <c r="GML148" s="609"/>
      <c r="GMM148" s="609"/>
      <c r="GMN148" s="609"/>
      <c r="GMO148" s="609"/>
      <c r="GMP148" s="609"/>
      <c r="GMQ148" s="609"/>
      <c r="GMR148" s="609"/>
      <c r="GMS148" s="609"/>
      <c r="GMT148" s="609"/>
      <c r="GMU148" s="609"/>
      <c r="GMV148" s="609"/>
      <c r="GMW148" s="609"/>
      <c r="GMX148" s="609"/>
      <c r="GMY148" s="609"/>
      <c r="GMZ148" s="609"/>
      <c r="GNA148" s="609"/>
      <c r="GNB148" s="609"/>
      <c r="GNC148" s="609"/>
      <c r="GND148" s="609"/>
      <c r="GNE148" s="609"/>
      <c r="GNF148" s="609"/>
      <c r="GNG148" s="609"/>
      <c r="GNH148" s="609"/>
      <c r="GNI148" s="609"/>
      <c r="GNJ148" s="609"/>
      <c r="GNK148" s="609"/>
      <c r="GNL148" s="609"/>
      <c r="GNM148" s="609"/>
      <c r="GNN148" s="609"/>
      <c r="GNO148" s="609"/>
      <c r="GNP148" s="609"/>
      <c r="GNQ148" s="609"/>
      <c r="GNR148" s="609"/>
      <c r="GNS148" s="609"/>
      <c r="GNT148" s="609"/>
      <c r="GNU148" s="609"/>
      <c r="GNV148" s="609"/>
      <c r="GNW148" s="609"/>
      <c r="GNX148" s="609"/>
      <c r="GNY148" s="609"/>
      <c r="GNZ148" s="609"/>
      <c r="GOA148" s="609"/>
      <c r="GOB148" s="609"/>
      <c r="GOC148" s="609"/>
      <c r="GOD148" s="609"/>
      <c r="GOE148" s="609"/>
      <c r="GOF148" s="609"/>
      <c r="GOG148" s="609"/>
      <c r="GOH148" s="609"/>
      <c r="GOI148" s="609"/>
      <c r="GOJ148" s="609"/>
      <c r="GOK148" s="609"/>
      <c r="GOL148" s="609"/>
      <c r="GOM148" s="609"/>
      <c r="GON148" s="609"/>
      <c r="GOO148" s="609"/>
      <c r="GOP148" s="609"/>
      <c r="GOQ148" s="609"/>
      <c r="GOR148" s="609"/>
      <c r="GOS148" s="609"/>
      <c r="GOT148" s="609"/>
      <c r="GOU148" s="609"/>
      <c r="GOV148" s="609"/>
      <c r="GOW148" s="609"/>
      <c r="GOX148" s="609"/>
      <c r="GOY148" s="609"/>
      <c r="GOZ148" s="609"/>
      <c r="GPA148" s="609"/>
      <c r="GPB148" s="609"/>
      <c r="GPC148" s="609"/>
      <c r="GPD148" s="609"/>
      <c r="GPE148" s="609"/>
      <c r="GPF148" s="609"/>
      <c r="GPG148" s="609"/>
      <c r="GPH148" s="609"/>
      <c r="GPI148" s="609"/>
      <c r="GPJ148" s="609"/>
      <c r="GPK148" s="609"/>
      <c r="GPL148" s="609"/>
      <c r="GPM148" s="609"/>
      <c r="GPN148" s="609"/>
      <c r="GPO148" s="609"/>
      <c r="GPP148" s="609"/>
      <c r="GPQ148" s="609"/>
      <c r="GPR148" s="609"/>
      <c r="GPS148" s="609"/>
      <c r="GPT148" s="609"/>
      <c r="GPU148" s="609"/>
      <c r="GPV148" s="609"/>
      <c r="GPW148" s="609"/>
      <c r="GPX148" s="609"/>
      <c r="GPY148" s="609"/>
      <c r="GPZ148" s="609"/>
      <c r="GQA148" s="609"/>
      <c r="GQB148" s="609"/>
      <c r="GQC148" s="609"/>
      <c r="GQD148" s="609"/>
      <c r="GQE148" s="609"/>
      <c r="GQF148" s="609"/>
      <c r="GQG148" s="609"/>
      <c r="GQH148" s="609"/>
      <c r="GQI148" s="609"/>
      <c r="GQJ148" s="609"/>
      <c r="GQK148" s="609"/>
      <c r="GQL148" s="609"/>
      <c r="GQM148" s="609"/>
      <c r="GQN148" s="609"/>
      <c r="GQO148" s="609"/>
      <c r="GQP148" s="609"/>
      <c r="GQQ148" s="609"/>
      <c r="GQR148" s="609"/>
      <c r="GQS148" s="609"/>
      <c r="GQT148" s="609"/>
      <c r="GQU148" s="609"/>
      <c r="GQV148" s="609"/>
      <c r="GQW148" s="609"/>
      <c r="GQX148" s="609"/>
      <c r="GQY148" s="609"/>
      <c r="GQZ148" s="609"/>
      <c r="GRA148" s="609"/>
      <c r="GRB148" s="609"/>
      <c r="GRC148" s="609"/>
      <c r="GRD148" s="609"/>
      <c r="GRE148" s="609"/>
      <c r="GRF148" s="609"/>
      <c r="GRG148" s="609"/>
      <c r="GRH148" s="609"/>
      <c r="GRI148" s="609"/>
      <c r="GRJ148" s="609"/>
      <c r="GRK148" s="609"/>
      <c r="GRL148" s="609"/>
      <c r="GRM148" s="609"/>
      <c r="GRN148" s="609"/>
      <c r="GRO148" s="609"/>
      <c r="GRP148" s="609"/>
      <c r="GRQ148" s="609"/>
      <c r="GRR148" s="609"/>
      <c r="GRS148" s="609"/>
      <c r="GRT148" s="609"/>
      <c r="GRU148" s="609"/>
      <c r="GRV148" s="609"/>
      <c r="GRW148" s="609"/>
      <c r="GRX148" s="609"/>
      <c r="GRY148" s="609"/>
      <c r="GRZ148" s="609"/>
      <c r="GSA148" s="609"/>
      <c r="GSB148" s="609"/>
      <c r="GSC148" s="609"/>
      <c r="GSD148" s="609"/>
      <c r="GSE148" s="609"/>
      <c r="GSF148" s="609"/>
      <c r="GSG148" s="609"/>
      <c r="GSH148" s="609"/>
      <c r="GSI148" s="609"/>
      <c r="GSJ148" s="609"/>
      <c r="GSK148" s="609"/>
      <c r="GSL148" s="609"/>
      <c r="GSM148" s="609"/>
      <c r="GSN148" s="609"/>
      <c r="GSO148" s="609"/>
      <c r="GSP148" s="609"/>
      <c r="GSQ148" s="609"/>
      <c r="GSR148" s="609"/>
      <c r="GSS148" s="609"/>
      <c r="GST148" s="609"/>
      <c r="GSU148" s="609"/>
      <c r="GSV148" s="609"/>
      <c r="GSW148" s="609"/>
      <c r="GSX148" s="609"/>
      <c r="GSY148" s="609"/>
      <c r="GSZ148" s="609"/>
      <c r="GTA148" s="609"/>
      <c r="GTB148" s="609"/>
      <c r="GTC148" s="609"/>
      <c r="GTD148" s="609"/>
      <c r="GTE148" s="609"/>
      <c r="GTF148" s="609"/>
      <c r="GTG148" s="609"/>
      <c r="GTH148" s="609"/>
      <c r="GTI148" s="609"/>
      <c r="GTJ148" s="609"/>
      <c r="GTK148" s="609"/>
      <c r="GTL148" s="609"/>
      <c r="GTM148" s="609"/>
      <c r="GTN148" s="609"/>
      <c r="GTO148" s="609"/>
      <c r="GTP148" s="609"/>
      <c r="GTQ148" s="609"/>
      <c r="GTR148" s="609"/>
      <c r="GTS148" s="609"/>
      <c r="GTT148" s="609"/>
      <c r="GTU148" s="609"/>
      <c r="GTV148" s="609"/>
      <c r="GTW148" s="609"/>
      <c r="GTX148" s="609"/>
      <c r="GTY148" s="609"/>
      <c r="GTZ148" s="609"/>
      <c r="GUA148" s="609"/>
      <c r="GUB148" s="609"/>
      <c r="GUC148" s="609"/>
      <c r="GUD148" s="609"/>
      <c r="GUE148" s="609"/>
      <c r="GUF148" s="609"/>
      <c r="GUG148" s="609"/>
      <c r="GUH148" s="609"/>
      <c r="GUI148" s="609"/>
      <c r="GUJ148" s="609"/>
      <c r="GUK148" s="609"/>
      <c r="GUL148" s="609"/>
      <c r="GUM148" s="609"/>
      <c r="GUN148" s="609"/>
      <c r="GUO148" s="609"/>
      <c r="GUP148" s="609"/>
      <c r="GUQ148" s="609"/>
      <c r="GUR148" s="609"/>
      <c r="GUS148" s="609"/>
      <c r="GUT148" s="609"/>
      <c r="GUU148" s="609"/>
      <c r="GUV148" s="609"/>
      <c r="GUW148" s="609"/>
      <c r="GUX148" s="609"/>
      <c r="GUY148" s="609"/>
      <c r="GUZ148" s="609"/>
      <c r="GVA148" s="609"/>
      <c r="GVB148" s="609"/>
      <c r="GVC148" s="609"/>
      <c r="GVD148" s="609"/>
      <c r="GVE148" s="609"/>
      <c r="GVF148" s="609"/>
      <c r="GVG148" s="609"/>
      <c r="GVH148" s="609"/>
      <c r="GVI148" s="609"/>
      <c r="GVJ148" s="609"/>
      <c r="GVK148" s="609"/>
      <c r="GVL148" s="609"/>
      <c r="GVM148" s="609"/>
      <c r="GVN148" s="609"/>
      <c r="GVO148" s="609"/>
      <c r="GVP148" s="609"/>
      <c r="GVQ148" s="609"/>
      <c r="GVR148" s="609"/>
      <c r="GVS148" s="609"/>
      <c r="GVT148" s="609"/>
      <c r="GVU148" s="609"/>
      <c r="GVV148" s="609"/>
      <c r="GVW148" s="609"/>
      <c r="GVX148" s="609"/>
      <c r="GVY148" s="609"/>
      <c r="GVZ148" s="609"/>
      <c r="GWA148" s="609"/>
      <c r="GWB148" s="609"/>
      <c r="GWC148" s="609"/>
      <c r="GWD148" s="609"/>
      <c r="GWE148" s="609"/>
      <c r="GWF148" s="609"/>
      <c r="GWG148" s="609"/>
      <c r="GWH148" s="609"/>
      <c r="GWI148" s="609"/>
      <c r="GWJ148" s="609"/>
      <c r="GWK148" s="609"/>
      <c r="GWL148" s="609"/>
      <c r="GWM148" s="609"/>
      <c r="GWN148" s="609"/>
      <c r="GWO148" s="609"/>
      <c r="GWP148" s="609"/>
      <c r="GWQ148" s="609"/>
      <c r="GWR148" s="609"/>
      <c r="GWS148" s="609"/>
      <c r="GWT148" s="609"/>
      <c r="GWU148" s="609"/>
      <c r="GWV148" s="609"/>
      <c r="GWW148" s="609"/>
      <c r="GWX148" s="609"/>
      <c r="GWY148" s="609"/>
      <c r="GWZ148" s="609"/>
      <c r="GXA148" s="609"/>
      <c r="GXB148" s="609"/>
      <c r="GXC148" s="609"/>
      <c r="GXD148" s="609"/>
      <c r="GXE148" s="609"/>
      <c r="GXF148" s="609"/>
      <c r="GXG148" s="609"/>
      <c r="GXH148" s="609"/>
      <c r="GXI148" s="609"/>
      <c r="GXJ148" s="609"/>
      <c r="GXK148" s="609"/>
      <c r="GXL148" s="609"/>
      <c r="GXM148" s="609"/>
      <c r="GXN148" s="609"/>
      <c r="GXO148" s="609"/>
      <c r="GXP148" s="609"/>
      <c r="GXQ148" s="609"/>
      <c r="GXR148" s="609"/>
      <c r="GXS148" s="609"/>
      <c r="GXT148" s="609"/>
      <c r="GXU148" s="609"/>
      <c r="GXV148" s="609"/>
      <c r="GXW148" s="609"/>
      <c r="GXX148" s="609"/>
      <c r="GXY148" s="609"/>
      <c r="GXZ148" s="609"/>
      <c r="GYA148" s="609"/>
      <c r="GYB148" s="609"/>
      <c r="GYC148" s="609"/>
      <c r="GYD148" s="609"/>
      <c r="GYE148" s="609"/>
      <c r="GYF148" s="609"/>
      <c r="GYG148" s="609"/>
      <c r="GYH148" s="609"/>
      <c r="GYI148" s="609"/>
      <c r="GYJ148" s="609"/>
      <c r="GYK148" s="609"/>
      <c r="GYL148" s="609"/>
      <c r="GYM148" s="609"/>
      <c r="GYN148" s="609"/>
      <c r="GYO148" s="609"/>
      <c r="GYP148" s="609"/>
      <c r="GYQ148" s="609"/>
      <c r="GYR148" s="609"/>
      <c r="GYS148" s="609"/>
      <c r="GYT148" s="609"/>
      <c r="GYU148" s="609"/>
      <c r="GYV148" s="609"/>
      <c r="GYW148" s="609"/>
      <c r="GYX148" s="609"/>
      <c r="GYY148" s="609"/>
      <c r="GYZ148" s="609"/>
      <c r="GZA148" s="609"/>
      <c r="GZB148" s="609"/>
      <c r="GZC148" s="609"/>
      <c r="GZD148" s="609"/>
      <c r="GZE148" s="609"/>
      <c r="GZF148" s="609"/>
      <c r="GZG148" s="609"/>
      <c r="GZH148" s="609"/>
      <c r="GZI148" s="609"/>
      <c r="GZJ148" s="609"/>
      <c r="GZK148" s="609"/>
      <c r="GZL148" s="609"/>
      <c r="GZM148" s="609"/>
      <c r="GZN148" s="609"/>
      <c r="GZO148" s="609"/>
      <c r="GZP148" s="609"/>
      <c r="GZQ148" s="609"/>
      <c r="GZR148" s="609"/>
      <c r="GZS148" s="609"/>
      <c r="GZT148" s="609"/>
      <c r="GZU148" s="609"/>
      <c r="GZV148" s="609"/>
      <c r="GZW148" s="609"/>
      <c r="GZX148" s="609"/>
      <c r="GZY148" s="609"/>
      <c r="GZZ148" s="609"/>
      <c r="HAA148" s="609"/>
      <c r="HAB148" s="609"/>
      <c r="HAC148" s="609"/>
      <c r="HAD148" s="609"/>
      <c r="HAE148" s="609"/>
      <c r="HAF148" s="609"/>
      <c r="HAG148" s="609"/>
      <c r="HAH148" s="609"/>
      <c r="HAI148" s="609"/>
      <c r="HAJ148" s="609"/>
      <c r="HAK148" s="609"/>
      <c r="HAL148" s="609"/>
      <c r="HAM148" s="609"/>
      <c r="HAN148" s="609"/>
      <c r="HAO148" s="609"/>
      <c r="HAP148" s="609"/>
      <c r="HAQ148" s="609"/>
      <c r="HAR148" s="609"/>
      <c r="HAS148" s="609"/>
      <c r="HAT148" s="609"/>
      <c r="HAU148" s="609"/>
      <c r="HAV148" s="609"/>
      <c r="HAW148" s="609"/>
      <c r="HAX148" s="609"/>
      <c r="HAY148" s="609"/>
      <c r="HAZ148" s="609"/>
      <c r="HBA148" s="609"/>
      <c r="HBB148" s="609"/>
      <c r="HBC148" s="609"/>
      <c r="HBD148" s="609"/>
      <c r="HBE148" s="609"/>
      <c r="HBF148" s="609"/>
      <c r="HBG148" s="609"/>
      <c r="HBH148" s="609"/>
      <c r="HBI148" s="609"/>
      <c r="HBJ148" s="609"/>
      <c r="HBK148" s="609"/>
      <c r="HBL148" s="609"/>
      <c r="HBM148" s="609"/>
      <c r="HBN148" s="609"/>
      <c r="HBO148" s="609"/>
      <c r="HBP148" s="609"/>
      <c r="HBQ148" s="609"/>
      <c r="HBR148" s="609"/>
      <c r="HBS148" s="609"/>
      <c r="HBT148" s="609"/>
      <c r="HBU148" s="609"/>
      <c r="HBV148" s="609"/>
      <c r="HBW148" s="609"/>
      <c r="HBX148" s="609"/>
      <c r="HBY148" s="609"/>
      <c r="HBZ148" s="609"/>
      <c r="HCA148" s="609"/>
      <c r="HCB148" s="609"/>
      <c r="HCC148" s="609"/>
      <c r="HCD148" s="609"/>
      <c r="HCE148" s="609"/>
      <c r="HCF148" s="609"/>
      <c r="HCG148" s="609"/>
      <c r="HCH148" s="609"/>
      <c r="HCI148" s="609"/>
      <c r="HCJ148" s="609"/>
      <c r="HCK148" s="609"/>
      <c r="HCL148" s="609"/>
      <c r="HCM148" s="609"/>
      <c r="HCN148" s="609"/>
      <c r="HCO148" s="609"/>
      <c r="HCP148" s="609"/>
      <c r="HCQ148" s="609"/>
      <c r="HCR148" s="609"/>
      <c r="HCS148" s="609"/>
      <c r="HCT148" s="609"/>
      <c r="HCU148" s="609"/>
      <c r="HCV148" s="609"/>
      <c r="HCW148" s="609"/>
      <c r="HCX148" s="609"/>
      <c r="HCY148" s="609"/>
      <c r="HCZ148" s="609"/>
      <c r="HDA148" s="609"/>
      <c r="HDB148" s="609"/>
      <c r="HDC148" s="609"/>
      <c r="HDD148" s="609"/>
      <c r="HDE148" s="609"/>
      <c r="HDF148" s="609"/>
      <c r="HDG148" s="609"/>
      <c r="HDH148" s="609"/>
      <c r="HDI148" s="609"/>
      <c r="HDJ148" s="609"/>
      <c r="HDK148" s="609"/>
      <c r="HDL148" s="609"/>
      <c r="HDM148" s="609"/>
      <c r="HDN148" s="609"/>
      <c r="HDO148" s="609"/>
      <c r="HDP148" s="609"/>
      <c r="HDQ148" s="609"/>
      <c r="HDR148" s="609"/>
      <c r="HDS148" s="609"/>
      <c r="HDT148" s="609"/>
      <c r="HDU148" s="609"/>
      <c r="HDV148" s="609"/>
      <c r="HDW148" s="609"/>
      <c r="HDX148" s="609"/>
      <c r="HDY148" s="609"/>
      <c r="HDZ148" s="609"/>
      <c r="HEA148" s="609"/>
      <c r="HEB148" s="609"/>
      <c r="HEC148" s="609"/>
      <c r="HED148" s="609"/>
      <c r="HEE148" s="609"/>
      <c r="HEF148" s="609"/>
      <c r="HEG148" s="609"/>
      <c r="HEH148" s="609"/>
      <c r="HEI148" s="609"/>
      <c r="HEJ148" s="609"/>
      <c r="HEK148" s="609"/>
      <c r="HEL148" s="609"/>
      <c r="HEM148" s="609"/>
      <c r="HEN148" s="609"/>
      <c r="HEO148" s="609"/>
      <c r="HEP148" s="609"/>
      <c r="HEQ148" s="609"/>
      <c r="HER148" s="609"/>
      <c r="HES148" s="609"/>
      <c r="HET148" s="609"/>
      <c r="HEU148" s="609"/>
      <c r="HEV148" s="609"/>
      <c r="HEW148" s="609"/>
      <c r="HEX148" s="609"/>
      <c r="HEY148" s="609"/>
      <c r="HEZ148" s="609"/>
      <c r="HFA148" s="609"/>
      <c r="HFB148" s="609"/>
      <c r="HFC148" s="609"/>
      <c r="HFD148" s="609"/>
      <c r="HFE148" s="609"/>
      <c r="HFF148" s="609"/>
      <c r="HFG148" s="609"/>
      <c r="HFH148" s="609"/>
      <c r="HFI148" s="609"/>
      <c r="HFJ148" s="609"/>
      <c r="HFK148" s="609"/>
      <c r="HFL148" s="609"/>
      <c r="HFM148" s="609"/>
      <c r="HFN148" s="609"/>
      <c r="HFO148" s="609"/>
      <c r="HFP148" s="609"/>
      <c r="HFQ148" s="609"/>
      <c r="HFR148" s="609"/>
      <c r="HFS148" s="609"/>
      <c r="HFT148" s="609"/>
      <c r="HFU148" s="609"/>
      <c r="HFV148" s="609"/>
      <c r="HFW148" s="609"/>
      <c r="HFX148" s="609"/>
      <c r="HFY148" s="609"/>
      <c r="HFZ148" s="609"/>
      <c r="HGA148" s="609"/>
      <c r="HGB148" s="609"/>
      <c r="HGC148" s="609"/>
      <c r="HGD148" s="609"/>
      <c r="HGE148" s="609"/>
      <c r="HGF148" s="609"/>
      <c r="HGG148" s="609"/>
      <c r="HGH148" s="609"/>
      <c r="HGI148" s="609"/>
      <c r="HGJ148" s="609"/>
      <c r="HGK148" s="609"/>
      <c r="HGL148" s="609"/>
      <c r="HGM148" s="609"/>
      <c r="HGN148" s="609"/>
      <c r="HGO148" s="609"/>
      <c r="HGP148" s="609"/>
      <c r="HGQ148" s="609"/>
      <c r="HGR148" s="609"/>
      <c r="HGS148" s="609"/>
      <c r="HGT148" s="609"/>
      <c r="HGU148" s="609"/>
      <c r="HGV148" s="609"/>
      <c r="HGW148" s="609"/>
      <c r="HGX148" s="609"/>
      <c r="HGY148" s="609"/>
      <c r="HGZ148" s="609"/>
      <c r="HHA148" s="609"/>
      <c r="HHB148" s="609"/>
      <c r="HHC148" s="609"/>
      <c r="HHD148" s="609"/>
      <c r="HHE148" s="609"/>
      <c r="HHF148" s="609"/>
      <c r="HHG148" s="609"/>
      <c r="HHH148" s="609"/>
      <c r="HHI148" s="609"/>
      <c r="HHJ148" s="609"/>
      <c r="HHK148" s="609"/>
      <c r="HHL148" s="609"/>
      <c r="HHM148" s="609"/>
      <c r="HHN148" s="609"/>
      <c r="HHO148" s="609"/>
      <c r="HHP148" s="609"/>
      <c r="HHQ148" s="609"/>
      <c r="HHR148" s="609"/>
      <c r="HHS148" s="609"/>
      <c r="HHT148" s="609"/>
      <c r="HHU148" s="609"/>
      <c r="HHV148" s="609"/>
      <c r="HHW148" s="609"/>
      <c r="HHX148" s="609"/>
      <c r="HHY148" s="609"/>
      <c r="HHZ148" s="609"/>
      <c r="HIA148" s="609"/>
      <c r="HIB148" s="609"/>
      <c r="HIC148" s="609"/>
      <c r="HID148" s="609"/>
      <c r="HIE148" s="609"/>
      <c r="HIF148" s="609"/>
      <c r="HIG148" s="609"/>
      <c r="HIH148" s="609"/>
      <c r="HII148" s="609"/>
      <c r="HIJ148" s="609"/>
      <c r="HIK148" s="609"/>
      <c r="HIL148" s="609"/>
      <c r="HIM148" s="609"/>
      <c r="HIN148" s="609"/>
      <c r="HIO148" s="609"/>
      <c r="HIP148" s="609"/>
      <c r="HIQ148" s="609"/>
      <c r="HIR148" s="609"/>
      <c r="HIS148" s="609"/>
      <c r="HIT148" s="609"/>
      <c r="HIU148" s="609"/>
      <c r="HIV148" s="609"/>
      <c r="HIW148" s="609"/>
      <c r="HIX148" s="609"/>
      <c r="HIY148" s="609"/>
      <c r="HIZ148" s="609"/>
      <c r="HJA148" s="609"/>
      <c r="HJB148" s="609"/>
      <c r="HJC148" s="609"/>
      <c r="HJD148" s="609"/>
      <c r="HJE148" s="609"/>
      <c r="HJF148" s="609"/>
      <c r="HJG148" s="609"/>
      <c r="HJH148" s="609"/>
      <c r="HJI148" s="609"/>
      <c r="HJJ148" s="609"/>
      <c r="HJK148" s="609"/>
      <c r="HJL148" s="609"/>
      <c r="HJM148" s="609"/>
      <c r="HJN148" s="609"/>
      <c r="HJO148" s="609"/>
      <c r="HJP148" s="609"/>
      <c r="HJQ148" s="609"/>
      <c r="HJR148" s="609"/>
      <c r="HJS148" s="609"/>
      <c r="HJT148" s="609"/>
      <c r="HJU148" s="609"/>
      <c r="HJV148" s="609"/>
      <c r="HJW148" s="609"/>
      <c r="HJX148" s="609"/>
      <c r="HJY148" s="609"/>
      <c r="HJZ148" s="609"/>
      <c r="HKA148" s="609"/>
      <c r="HKB148" s="609"/>
      <c r="HKC148" s="609"/>
      <c r="HKD148" s="609"/>
      <c r="HKE148" s="609"/>
      <c r="HKF148" s="609"/>
      <c r="HKG148" s="609"/>
      <c r="HKH148" s="609"/>
      <c r="HKI148" s="609"/>
      <c r="HKJ148" s="609"/>
      <c r="HKK148" s="609"/>
      <c r="HKL148" s="609"/>
      <c r="HKM148" s="609"/>
      <c r="HKN148" s="609"/>
      <c r="HKO148" s="609"/>
      <c r="HKP148" s="609"/>
      <c r="HKQ148" s="609"/>
      <c r="HKR148" s="609"/>
      <c r="HKS148" s="609"/>
      <c r="HKT148" s="609"/>
      <c r="HKU148" s="609"/>
      <c r="HKV148" s="609"/>
      <c r="HKW148" s="609"/>
      <c r="HKX148" s="609"/>
      <c r="HKY148" s="609"/>
      <c r="HKZ148" s="609"/>
      <c r="HLA148" s="609"/>
      <c r="HLB148" s="609"/>
      <c r="HLC148" s="609"/>
      <c r="HLD148" s="609"/>
      <c r="HLE148" s="609"/>
      <c r="HLF148" s="609"/>
      <c r="HLG148" s="609"/>
      <c r="HLH148" s="609"/>
      <c r="HLI148" s="609"/>
      <c r="HLJ148" s="609"/>
      <c r="HLK148" s="609"/>
      <c r="HLL148" s="609"/>
      <c r="HLM148" s="609"/>
      <c r="HLN148" s="609"/>
      <c r="HLO148" s="609"/>
      <c r="HLP148" s="609"/>
      <c r="HLQ148" s="609"/>
      <c r="HLR148" s="609"/>
      <c r="HLS148" s="609"/>
      <c r="HLT148" s="609"/>
      <c r="HLU148" s="609"/>
      <c r="HLV148" s="609"/>
      <c r="HLW148" s="609"/>
      <c r="HLX148" s="609"/>
      <c r="HLY148" s="609"/>
      <c r="HLZ148" s="609"/>
      <c r="HMA148" s="609"/>
      <c r="HMB148" s="609"/>
      <c r="HMC148" s="609"/>
      <c r="HMD148" s="609"/>
      <c r="HME148" s="609"/>
      <c r="HMF148" s="609"/>
      <c r="HMG148" s="609"/>
      <c r="HMH148" s="609"/>
      <c r="HMI148" s="609"/>
      <c r="HMJ148" s="609"/>
      <c r="HMK148" s="609"/>
      <c r="HML148" s="609"/>
      <c r="HMM148" s="609"/>
      <c r="HMN148" s="609"/>
      <c r="HMO148" s="609"/>
      <c r="HMP148" s="609"/>
      <c r="HMQ148" s="609"/>
      <c r="HMR148" s="609"/>
      <c r="HMS148" s="609"/>
      <c r="HMT148" s="609"/>
      <c r="HMU148" s="609"/>
      <c r="HMV148" s="609"/>
      <c r="HMW148" s="609"/>
      <c r="HMX148" s="609"/>
      <c r="HMY148" s="609"/>
      <c r="HMZ148" s="609"/>
      <c r="HNA148" s="609"/>
      <c r="HNB148" s="609"/>
      <c r="HNC148" s="609"/>
      <c r="HND148" s="609"/>
      <c r="HNE148" s="609"/>
      <c r="HNF148" s="609"/>
      <c r="HNG148" s="609"/>
      <c r="HNH148" s="609"/>
      <c r="HNI148" s="609"/>
      <c r="HNJ148" s="609"/>
      <c r="HNK148" s="609"/>
      <c r="HNL148" s="609"/>
      <c r="HNM148" s="609"/>
      <c r="HNN148" s="609"/>
      <c r="HNO148" s="609"/>
      <c r="HNP148" s="609"/>
      <c r="HNQ148" s="609"/>
      <c r="HNR148" s="609"/>
      <c r="HNS148" s="609"/>
      <c r="HNT148" s="609"/>
      <c r="HNU148" s="609"/>
      <c r="HNV148" s="609"/>
      <c r="HNW148" s="609"/>
      <c r="HNX148" s="609"/>
      <c r="HNY148" s="609"/>
      <c r="HNZ148" s="609"/>
      <c r="HOA148" s="609"/>
      <c r="HOB148" s="609"/>
      <c r="HOC148" s="609"/>
      <c r="HOD148" s="609"/>
      <c r="HOE148" s="609"/>
      <c r="HOF148" s="609"/>
      <c r="HOG148" s="609"/>
      <c r="HOH148" s="609"/>
      <c r="HOI148" s="609"/>
      <c r="HOJ148" s="609"/>
      <c r="HOK148" s="609"/>
      <c r="HOL148" s="609"/>
      <c r="HOM148" s="609"/>
      <c r="HON148" s="609"/>
      <c r="HOO148" s="609"/>
      <c r="HOP148" s="609"/>
      <c r="HOQ148" s="609"/>
      <c r="HOR148" s="609"/>
      <c r="HOS148" s="609"/>
      <c r="HOT148" s="609"/>
      <c r="HOU148" s="609"/>
      <c r="HOV148" s="609"/>
      <c r="HOW148" s="609"/>
      <c r="HOX148" s="609"/>
      <c r="HOY148" s="609"/>
      <c r="HOZ148" s="609"/>
      <c r="HPA148" s="609"/>
      <c r="HPB148" s="609"/>
      <c r="HPC148" s="609"/>
      <c r="HPD148" s="609"/>
      <c r="HPE148" s="609"/>
      <c r="HPF148" s="609"/>
      <c r="HPG148" s="609"/>
      <c r="HPH148" s="609"/>
      <c r="HPI148" s="609"/>
      <c r="HPJ148" s="609"/>
      <c r="HPK148" s="609"/>
      <c r="HPL148" s="609"/>
      <c r="HPM148" s="609"/>
      <c r="HPN148" s="609"/>
      <c r="HPO148" s="609"/>
      <c r="HPP148" s="609"/>
      <c r="HPQ148" s="609"/>
      <c r="HPR148" s="609"/>
      <c r="HPS148" s="609"/>
      <c r="HPT148" s="609"/>
      <c r="HPU148" s="609"/>
      <c r="HPV148" s="609"/>
      <c r="HPW148" s="609"/>
      <c r="HPX148" s="609"/>
      <c r="HPY148" s="609"/>
      <c r="HPZ148" s="609"/>
      <c r="HQA148" s="609"/>
      <c r="HQB148" s="609"/>
      <c r="HQC148" s="609"/>
      <c r="HQD148" s="609"/>
      <c r="HQE148" s="609"/>
      <c r="HQF148" s="609"/>
      <c r="HQG148" s="609"/>
      <c r="HQH148" s="609"/>
      <c r="HQI148" s="609"/>
      <c r="HQJ148" s="609"/>
      <c r="HQK148" s="609"/>
      <c r="HQL148" s="609"/>
      <c r="HQM148" s="609"/>
      <c r="HQN148" s="609"/>
      <c r="HQO148" s="609"/>
      <c r="HQP148" s="609"/>
      <c r="HQQ148" s="609"/>
      <c r="HQR148" s="609"/>
      <c r="HQS148" s="609"/>
      <c r="HQT148" s="609"/>
      <c r="HQU148" s="609"/>
      <c r="HQV148" s="609"/>
      <c r="HQW148" s="609"/>
      <c r="HQX148" s="609"/>
      <c r="HQY148" s="609"/>
      <c r="HQZ148" s="609"/>
      <c r="HRA148" s="609"/>
      <c r="HRB148" s="609"/>
      <c r="HRC148" s="609"/>
      <c r="HRD148" s="609"/>
      <c r="HRE148" s="609"/>
      <c r="HRF148" s="609"/>
      <c r="HRG148" s="609"/>
      <c r="HRH148" s="609"/>
      <c r="HRI148" s="609"/>
      <c r="HRJ148" s="609"/>
      <c r="HRK148" s="609"/>
      <c r="HRL148" s="609"/>
      <c r="HRM148" s="609"/>
      <c r="HRN148" s="609"/>
      <c r="HRO148" s="609"/>
      <c r="HRP148" s="609"/>
      <c r="HRQ148" s="609"/>
      <c r="HRR148" s="609"/>
      <c r="HRS148" s="609"/>
      <c r="HRT148" s="609"/>
      <c r="HRU148" s="609"/>
      <c r="HRV148" s="609"/>
      <c r="HRW148" s="609"/>
      <c r="HRX148" s="609"/>
      <c r="HRY148" s="609"/>
      <c r="HRZ148" s="609"/>
      <c r="HSA148" s="609"/>
      <c r="HSB148" s="609"/>
      <c r="HSC148" s="609"/>
      <c r="HSD148" s="609"/>
      <c r="HSE148" s="609"/>
      <c r="HSF148" s="609"/>
      <c r="HSG148" s="609"/>
      <c r="HSH148" s="609"/>
      <c r="HSI148" s="609"/>
      <c r="HSJ148" s="609"/>
      <c r="HSK148" s="609"/>
      <c r="HSL148" s="609"/>
      <c r="HSM148" s="609"/>
      <c r="HSN148" s="609"/>
      <c r="HSO148" s="609"/>
      <c r="HSP148" s="609"/>
      <c r="HSQ148" s="609"/>
      <c r="HSR148" s="609"/>
      <c r="HSS148" s="609"/>
      <c r="HST148" s="609"/>
      <c r="HSU148" s="609"/>
      <c r="HSV148" s="609"/>
      <c r="HSW148" s="609"/>
      <c r="HSX148" s="609"/>
      <c r="HSY148" s="609"/>
      <c r="HSZ148" s="609"/>
      <c r="HTA148" s="609"/>
      <c r="HTB148" s="609"/>
      <c r="HTC148" s="609"/>
      <c r="HTD148" s="609"/>
      <c r="HTE148" s="609"/>
      <c r="HTF148" s="609"/>
      <c r="HTG148" s="609"/>
      <c r="HTH148" s="609"/>
      <c r="HTI148" s="609"/>
      <c r="HTJ148" s="609"/>
      <c r="HTK148" s="609"/>
      <c r="HTL148" s="609"/>
      <c r="HTM148" s="609"/>
      <c r="HTN148" s="609"/>
      <c r="HTO148" s="609"/>
      <c r="HTP148" s="609"/>
      <c r="HTQ148" s="609"/>
      <c r="HTR148" s="609"/>
      <c r="HTS148" s="609"/>
      <c r="HTT148" s="609"/>
      <c r="HTU148" s="609"/>
      <c r="HTV148" s="609"/>
      <c r="HTW148" s="609"/>
      <c r="HTX148" s="609"/>
      <c r="HTY148" s="609"/>
      <c r="HTZ148" s="609"/>
      <c r="HUA148" s="609"/>
      <c r="HUB148" s="609"/>
      <c r="HUC148" s="609"/>
      <c r="HUD148" s="609"/>
      <c r="HUE148" s="609"/>
      <c r="HUF148" s="609"/>
      <c r="HUG148" s="609"/>
      <c r="HUH148" s="609"/>
      <c r="HUI148" s="609"/>
      <c r="HUJ148" s="609"/>
      <c r="HUK148" s="609"/>
      <c r="HUL148" s="609"/>
      <c r="HUM148" s="609"/>
      <c r="HUN148" s="609"/>
      <c r="HUO148" s="609"/>
      <c r="HUP148" s="609"/>
      <c r="HUQ148" s="609"/>
      <c r="HUR148" s="609"/>
      <c r="HUS148" s="609"/>
      <c r="HUT148" s="609"/>
      <c r="HUU148" s="609"/>
      <c r="HUV148" s="609"/>
      <c r="HUW148" s="609"/>
      <c r="HUX148" s="609"/>
      <c r="HUY148" s="609"/>
      <c r="HUZ148" s="609"/>
      <c r="HVA148" s="609"/>
      <c r="HVB148" s="609"/>
      <c r="HVC148" s="609"/>
      <c r="HVD148" s="609"/>
      <c r="HVE148" s="609"/>
      <c r="HVF148" s="609"/>
      <c r="HVG148" s="609"/>
      <c r="HVH148" s="609"/>
      <c r="HVI148" s="609"/>
      <c r="HVJ148" s="609"/>
      <c r="HVK148" s="609"/>
      <c r="HVL148" s="609"/>
      <c r="HVM148" s="609"/>
      <c r="HVN148" s="609"/>
      <c r="HVO148" s="609"/>
      <c r="HVP148" s="609"/>
      <c r="HVQ148" s="609"/>
      <c r="HVR148" s="609"/>
      <c r="HVS148" s="609"/>
      <c r="HVT148" s="609"/>
      <c r="HVU148" s="609"/>
      <c r="HVV148" s="609"/>
      <c r="HVW148" s="609"/>
      <c r="HVX148" s="609"/>
      <c r="HVY148" s="609"/>
      <c r="HVZ148" s="609"/>
      <c r="HWA148" s="609"/>
      <c r="HWB148" s="609"/>
      <c r="HWC148" s="609"/>
      <c r="HWD148" s="609"/>
      <c r="HWE148" s="609"/>
      <c r="HWF148" s="609"/>
      <c r="HWG148" s="609"/>
      <c r="HWH148" s="609"/>
      <c r="HWI148" s="609"/>
      <c r="HWJ148" s="609"/>
      <c r="HWK148" s="609"/>
      <c r="HWL148" s="609"/>
      <c r="HWM148" s="609"/>
      <c r="HWN148" s="609"/>
      <c r="HWO148" s="609"/>
      <c r="HWP148" s="609"/>
      <c r="HWQ148" s="609"/>
      <c r="HWR148" s="609"/>
      <c r="HWS148" s="609"/>
      <c r="HWT148" s="609"/>
      <c r="HWU148" s="609"/>
      <c r="HWV148" s="609"/>
      <c r="HWW148" s="609"/>
      <c r="HWX148" s="609"/>
      <c r="HWY148" s="609"/>
      <c r="HWZ148" s="609"/>
      <c r="HXA148" s="609"/>
      <c r="HXB148" s="609"/>
      <c r="HXC148" s="609"/>
      <c r="HXD148" s="609"/>
      <c r="HXE148" s="609"/>
      <c r="HXF148" s="609"/>
      <c r="HXG148" s="609"/>
      <c r="HXH148" s="609"/>
      <c r="HXI148" s="609"/>
      <c r="HXJ148" s="609"/>
      <c r="HXK148" s="609"/>
      <c r="HXL148" s="609"/>
      <c r="HXM148" s="609"/>
      <c r="HXN148" s="609"/>
      <c r="HXO148" s="609"/>
      <c r="HXP148" s="609"/>
      <c r="HXQ148" s="609"/>
      <c r="HXR148" s="609"/>
      <c r="HXS148" s="609"/>
      <c r="HXT148" s="609"/>
      <c r="HXU148" s="609"/>
      <c r="HXV148" s="609"/>
      <c r="HXW148" s="609"/>
      <c r="HXX148" s="609"/>
      <c r="HXY148" s="609"/>
      <c r="HXZ148" s="609"/>
      <c r="HYA148" s="609"/>
      <c r="HYB148" s="609"/>
      <c r="HYC148" s="609"/>
      <c r="HYD148" s="609"/>
      <c r="HYE148" s="609"/>
      <c r="HYF148" s="609"/>
      <c r="HYG148" s="609"/>
      <c r="HYH148" s="609"/>
      <c r="HYI148" s="609"/>
      <c r="HYJ148" s="609"/>
      <c r="HYK148" s="609"/>
      <c r="HYL148" s="609"/>
      <c r="HYM148" s="609"/>
      <c r="HYN148" s="609"/>
      <c r="HYO148" s="609"/>
      <c r="HYP148" s="609"/>
      <c r="HYQ148" s="609"/>
      <c r="HYR148" s="609"/>
      <c r="HYS148" s="609"/>
      <c r="HYT148" s="609"/>
      <c r="HYU148" s="609"/>
      <c r="HYV148" s="609"/>
      <c r="HYW148" s="609"/>
      <c r="HYX148" s="609"/>
      <c r="HYY148" s="609"/>
      <c r="HYZ148" s="609"/>
      <c r="HZA148" s="609"/>
      <c r="HZB148" s="609"/>
      <c r="HZC148" s="609"/>
      <c r="HZD148" s="609"/>
      <c r="HZE148" s="609"/>
      <c r="HZF148" s="609"/>
      <c r="HZG148" s="609"/>
      <c r="HZH148" s="609"/>
      <c r="HZI148" s="609"/>
      <c r="HZJ148" s="609"/>
      <c r="HZK148" s="609"/>
      <c r="HZL148" s="609"/>
      <c r="HZM148" s="609"/>
      <c r="HZN148" s="609"/>
      <c r="HZO148" s="609"/>
      <c r="HZP148" s="609"/>
      <c r="HZQ148" s="609"/>
      <c r="HZR148" s="609"/>
      <c r="HZS148" s="609"/>
      <c r="HZT148" s="609"/>
      <c r="HZU148" s="609"/>
      <c r="HZV148" s="609"/>
      <c r="HZW148" s="609"/>
      <c r="HZX148" s="609"/>
      <c r="HZY148" s="609"/>
      <c r="HZZ148" s="609"/>
      <c r="IAA148" s="609"/>
      <c r="IAB148" s="609"/>
      <c r="IAC148" s="609"/>
      <c r="IAD148" s="609"/>
      <c r="IAE148" s="609"/>
      <c r="IAF148" s="609"/>
      <c r="IAG148" s="609"/>
      <c r="IAH148" s="609"/>
      <c r="IAI148" s="609"/>
      <c r="IAJ148" s="609"/>
      <c r="IAK148" s="609"/>
      <c r="IAL148" s="609"/>
      <c r="IAM148" s="609"/>
      <c r="IAN148" s="609"/>
      <c r="IAO148" s="609"/>
      <c r="IAP148" s="609"/>
      <c r="IAQ148" s="609"/>
      <c r="IAR148" s="609"/>
      <c r="IAS148" s="609"/>
      <c r="IAT148" s="609"/>
      <c r="IAU148" s="609"/>
      <c r="IAV148" s="609"/>
      <c r="IAW148" s="609"/>
      <c r="IAX148" s="609"/>
      <c r="IAY148" s="609"/>
      <c r="IAZ148" s="609"/>
      <c r="IBA148" s="609"/>
      <c r="IBB148" s="609"/>
      <c r="IBC148" s="609"/>
      <c r="IBD148" s="609"/>
      <c r="IBE148" s="609"/>
      <c r="IBF148" s="609"/>
      <c r="IBG148" s="609"/>
      <c r="IBH148" s="609"/>
      <c r="IBI148" s="609"/>
      <c r="IBJ148" s="609"/>
      <c r="IBK148" s="609"/>
      <c r="IBL148" s="609"/>
      <c r="IBM148" s="609"/>
      <c r="IBN148" s="609"/>
      <c r="IBO148" s="609"/>
      <c r="IBP148" s="609"/>
      <c r="IBQ148" s="609"/>
      <c r="IBR148" s="609"/>
      <c r="IBS148" s="609"/>
      <c r="IBT148" s="609"/>
      <c r="IBU148" s="609"/>
      <c r="IBV148" s="609"/>
      <c r="IBW148" s="609"/>
      <c r="IBX148" s="609"/>
      <c r="IBY148" s="609"/>
      <c r="IBZ148" s="609"/>
      <c r="ICA148" s="609"/>
      <c r="ICB148" s="609"/>
      <c r="ICC148" s="609"/>
      <c r="ICD148" s="609"/>
      <c r="ICE148" s="609"/>
      <c r="ICF148" s="609"/>
      <c r="ICG148" s="609"/>
      <c r="ICH148" s="609"/>
      <c r="ICI148" s="609"/>
      <c r="ICJ148" s="609"/>
      <c r="ICK148" s="609"/>
      <c r="ICL148" s="609"/>
      <c r="ICM148" s="609"/>
      <c r="ICN148" s="609"/>
      <c r="ICO148" s="609"/>
      <c r="ICP148" s="609"/>
      <c r="ICQ148" s="609"/>
      <c r="ICR148" s="609"/>
      <c r="ICS148" s="609"/>
      <c r="ICT148" s="609"/>
      <c r="ICU148" s="609"/>
      <c r="ICV148" s="609"/>
      <c r="ICW148" s="609"/>
      <c r="ICX148" s="609"/>
      <c r="ICY148" s="609"/>
      <c r="ICZ148" s="609"/>
      <c r="IDA148" s="609"/>
      <c r="IDB148" s="609"/>
      <c r="IDC148" s="609"/>
      <c r="IDD148" s="609"/>
      <c r="IDE148" s="609"/>
      <c r="IDF148" s="609"/>
      <c r="IDG148" s="609"/>
      <c r="IDH148" s="609"/>
      <c r="IDI148" s="609"/>
      <c r="IDJ148" s="609"/>
      <c r="IDK148" s="609"/>
      <c r="IDL148" s="609"/>
      <c r="IDM148" s="609"/>
      <c r="IDN148" s="609"/>
      <c r="IDO148" s="609"/>
      <c r="IDP148" s="609"/>
      <c r="IDQ148" s="609"/>
      <c r="IDR148" s="609"/>
      <c r="IDS148" s="609"/>
      <c r="IDT148" s="609"/>
      <c r="IDU148" s="609"/>
      <c r="IDV148" s="609"/>
      <c r="IDW148" s="609"/>
      <c r="IDX148" s="609"/>
      <c r="IDY148" s="609"/>
      <c r="IDZ148" s="609"/>
      <c r="IEA148" s="609"/>
      <c r="IEB148" s="609"/>
      <c r="IEC148" s="609"/>
      <c r="IED148" s="609"/>
      <c r="IEE148" s="609"/>
      <c r="IEF148" s="609"/>
      <c r="IEG148" s="609"/>
      <c r="IEH148" s="609"/>
      <c r="IEI148" s="609"/>
      <c r="IEJ148" s="609"/>
      <c r="IEK148" s="609"/>
      <c r="IEL148" s="609"/>
      <c r="IEM148" s="609"/>
      <c r="IEN148" s="609"/>
      <c r="IEO148" s="609"/>
      <c r="IEP148" s="609"/>
      <c r="IEQ148" s="609"/>
      <c r="IER148" s="609"/>
      <c r="IES148" s="609"/>
      <c r="IET148" s="609"/>
      <c r="IEU148" s="609"/>
      <c r="IEV148" s="609"/>
      <c r="IEW148" s="609"/>
      <c r="IEX148" s="609"/>
      <c r="IEY148" s="609"/>
      <c r="IEZ148" s="609"/>
      <c r="IFA148" s="609"/>
      <c r="IFB148" s="609"/>
      <c r="IFC148" s="609"/>
      <c r="IFD148" s="609"/>
      <c r="IFE148" s="609"/>
      <c r="IFF148" s="609"/>
      <c r="IFG148" s="609"/>
      <c r="IFH148" s="609"/>
      <c r="IFI148" s="609"/>
      <c r="IFJ148" s="609"/>
      <c r="IFK148" s="609"/>
      <c r="IFL148" s="609"/>
      <c r="IFM148" s="609"/>
      <c r="IFN148" s="609"/>
      <c r="IFO148" s="609"/>
      <c r="IFP148" s="609"/>
      <c r="IFQ148" s="609"/>
      <c r="IFR148" s="609"/>
      <c r="IFS148" s="609"/>
      <c r="IFT148" s="609"/>
      <c r="IFU148" s="609"/>
      <c r="IFV148" s="609"/>
      <c r="IFW148" s="609"/>
      <c r="IFX148" s="609"/>
      <c r="IFY148" s="609"/>
      <c r="IFZ148" s="609"/>
      <c r="IGA148" s="609"/>
      <c r="IGB148" s="609"/>
      <c r="IGC148" s="609"/>
      <c r="IGD148" s="609"/>
      <c r="IGE148" s="609"/>
      <c r="IGF148" s="609"/>
      <c r="IGG148" s="609"/>
      <c r="IGH148" s="609"/>
      <c r="IGI148" s="609"/>
      <c r="IGJ148" s="609"/>
      <c r="IGK148" s="609"/>
      <c r="IGL148" s="609"/>
      <c r="IGM148" s="609"/>
      <c r="IGN148" s="609"/>
      <c r="IGO148" s="609"/>
      <c r="IGP148" s="609"/>
      <c r="IGQ148" s="609"/>
      <c r="IGR148" s="609"/>
      <c r="IGS148" s="609"/>
      <c r="IGT148" s="609"/>
      <c r="IGU148" s="609"/>
      <c r="IGV148" s="609"/>
      <c r="IGW148" s="609"/>
      <c r="IGX148" s="609"/>
      <c r="IGY148" s="609"/>
      <c r="IGZ148" s="609"/>
      <c r="IHA148" s="609"/>
      <c r="IHB148" s="609"/>
      <c r="IHC148" s="609"/>
      <c r="IHD148" s="609"/>
      <c r="IHE148" s="609"/>
      <c r="IHF148" s="609"/>
      <c r="IHG148" s="609"/>
      <c r="IHH148" s="609"/>
      <c r="IHI148" s="609"/>
      <c r="IHJ148" s="609"/>
      <c r="IHK148" s="609"/>
      <c r="IHL148" s="609"/>
      <c r="IHM148" s="609"/>
      <c r="IHN148" s="609"/>
      <c r="IHO148" s="609"/>
      <c r="IHP148" s="609"/>
      <c r="IHQ148" s="609"/>
      <c r="IHR148" s="609"/>
      <c r="IHS148" s="609"/>
      <c r="IHT148" s="609"/>
      <c r="IHU148" s="609"/>
      <c r="IHV148" s="609"/>
      <c r="IHW148" s="609"/>
      <c r="IHX148" s="609"/>
      <c r="IHY148" s="609"/>
      <c r="IHZ148" s="609"/>
      <c r="IIA148" s="609"/>
      <c r="IIB148" s="609"/>
      <c r="IIC148" s="609"/>
      <c r="IID148" s="609"/>
      <c r="IIE148" s="609"/>
      <c r="IIF148" s="609"/>
      <c r="IIG148" s="609"/>
      <c r="IIH148" s="609"/>
      <c r="III148" s="609"/>
      <c r="IIJ148" s="609"/>
      <c r="IIK148" s="609"/>
      <c r="IIL148" s="609"/>
      <c r="IIM148" s="609"/>
      <c r="IIN148" s="609"/>
      <c r="IIO148" s="609"/>
      <c r="IIP148" s="609"/>
      <c r="IIQ148" s="609"/>
      <c r="IIR148" s="609"/>
      <c r="IIS148" s="609"/>
      <c r="IIT148" s="609"/>
      <c r="IIU148" s="609"/>
      <c r="IIV148" s="609"/>
      <c r="IIW148" s="609"/>
      <c r="IIX148" s="609"/>
      <c r="IIY148" s="609"/>
      <c r="IIZ148" s="609"/>
      <c r="IJA148" s="609"/>
      <c r="IJB148" s="609"/>
      <c r="IJC148" s="609"/>
      <c r="IJD148" s="609"/>
      <c r="IJE148" s="609"/>
      <c r="IJF148" s="609"/>
      <c r="IJG148" s="609"/>
      <c r="IJH148" s="609"/>
      <c r="IJI148" s="609"/>
      <c r="IJJ148" s="609"/>
      <c r="IJK148" s="609"/>
      <c r="IJL148" s="609"/>
      <c r="IJM148" s="609"/>
      <c r="IJN148" s="609"/>
      <c r="IJO148" s="609"/>
      <c r="IJP148" s="609"/>
      <c r="IJQ148" s="609"/>
      <c r="IJR148" s="609"/>
      <c r="IJS148" s="609"/>
      <c r="IJT148" s="609"/>
      <c r="IJU148" s="609"/>
      <c r="IJV148" s="609"/>
      <c r="IJW148" s="609"/>
      <c r="IJX148" s="609"/>
      <c r="IJY148" s="609"/>
      <c r="IJZ148" s="609"/>
      <c r="IKA148" s="609"/>
      <c r="IKB148" s="609"/>
      <c r="IKC148" s="609"/>
      <c r="IKD148" s="609"/>
      <c r="IKE148" s="609"/>
      <c r="IKF148" s="609"/>
      <c r="IKG148" s="609"/>
      <c r="IKH148" s="609"/>
      <c r="IKI148" s="609"/>
      <c r="IKJ148" s="609"/>
      <c r="IKK148" s="609"/>
      <c r="IKL148" s="609"/>
      <c r="IKM148" s="609"/>
      <c r="IKN148" s="609"/>
      <c r="IKO148" s="609"/>
      <c r="IKP148" s="609"/>
      <c r="IKQ148" s="609"/>
      <c r="IKR148" s="609"/>
      <c r="IKS148" s="609"/>
      <c r="IKT148" s="609"/>
      <c r="IKU148" s="609"/>
      <c r="IKV148" s="609"/>
      <c r="IKW148" s="609"/>
      <c r="IKX148" s="609"/>
      <c r="IKY148" s="609"/>
      <c r="IKZ148" s="609"/>
      <c r="ILA148" s="609"/>
      <c r="ILB148" s="609"/>
      <c r="ILC148" s="609"/>
      <c r="ILD148" s="609"/>
      <c r="ILE148" s="609"/>
      <c r="ILF148" s="609"/>
      <c r="ILG148" s="609"/>
      <c r="ILH148" s="609"/>
      <c r="ILI148" s="609"/>
      <c r="ILJ148" s="609"/>
      <c r="ILK148" s="609"/>
      <c r="ILL148" s="609"/>
      <c r="ILM148" s="609"/>
      <c r="ILN148" s="609"/>
      <c r="ILO148" s="609"/>
      <c r="ILP148" s="609"/>
      <c r="ILQ148" s="609"/>
      <c r="ILR148" s="609"/>
      <c r="ILS148" s="609"/>
      <c r="ILT148" s="609"/>
      <c r="ILU148" s="609"/>
      <c r="ILV148" s="609"/>
      <c r="ILW148" s="609"/>
      <c r="ILX148" s="609"/>
      <c r="ILY148" s="609"/>
      <c r="ILZ148" s="609"/>
      <c r="IMA148" s="609"/>
      <c r="IMB148" s="609"/>
      <c r="IMC148" s="609"/>
      <c r="IMD148" s="609"/>
      <c r="IME148" s="609"/>
      <c r="IMF148" s="609"/>
      <c r="IMG148" s="609"/>
      <c r="IMH148" s="609"/>
      <c r="IMI148" s="609"/>
      <c r="IMJ148" s="609"/>
      <c r="IMK148" s="609"/>
      <c r="IML148" s="609"/>
      <c r="IMM148" s="609"/>
      <c r="IMN148" s="609"/>
      <c r="IMO148" s="609"/>
      <c r="IMP148" s="609"/>
      <c r="IMQ148" s="609"/>
      <c r="IMR148" s="609"/>
      <c r="IMS148" s="609"/>
      <c r="IMT148" s="609"/>
      <c r="IMU148" s="609"/>
      <c r="IMV148" s="609"/>
      <c r="IMW148" s="609"/>
      <c r="IMX148" s="609"/>
      <c r="IMY148" s="609"/>
      <c r="IMZ148" s="609"/>
      <c r="INA148" s="609"/>
      <c r="INB148" s="609"/>
      <c r="INC148" s="609"/>
      <c r="IND148" s="609"/>
      <c r="INE148" s="609"/>
      <c r="INF148" s="609"/>
      <c r="ING148" s="609"/>
      <c r="INH148" s="609"/>
      <c r="INI148" s="609"/>
      <c r="INJ148" s="609"/>
      <c r="INK148" s="609"/>
      <c r="INL148" s="609"/>
      <c r="INM148" s="609"/>
      <c r="INN148" s="609"/>
      <c r="INO148" s="609"/>
      <c r="INP148" s="609"/>
      <c r="INQ148" s="609"/>
      <c r="INR148" s="609"/>
      <c r="INS148" s="609"/>
      <c r="INT148" s="609"/>
      <c r="INU148" s="609"/>
      <c r="INV148" s="609"/>
      <c r="INW148" s="609"/>
      <c r="INX148" s="609"/>
      <c r="INY148" s="609"/>
      <c r="INZ148" s="609"/>
      <c r="IOA148" s="609"/>
      <c r="IOB148" s="609"/>
      <c r="IOC148" s="609"/>
      <c r="IOD148" s="609"/>
      <c r="IOE148" s="609"/>
      <c r="IOF148" s="609"/>
      <c r="IOG148" s="609"/>
      <c r="IOH148" s="609"/>
      <c r="IOI148" s="609"/>
      <c r="IOJ148" s="609"/>
      <c r="IOK148" s="609"/>
      <c r="IOL148" s="609"/>
      <c r="IOM148" s="609"/>
      <c r="ION148" s="609"/>
      <c r="IOO148" s="609"/>
      <c r="IOP148" s="609"/>
      <c r="IOQ148" s="609"/>
      <c r="IOR148" s="609"/>
      <c r="IOS148" s="609"/>
      <c r="IOT148" s="609"/>
      <c r="IOU148" s="609"/>
      <c r="IOV148" s="609"/>
      <c r="IOW148" s="609"/>
      <c r="IOX148" s="609"/>
      <c r="IOY148" s="609"/>
      <c r="IOZ148" s="609"/>
      <c r="IPA148" s="609"/>
      <c r="IPB148" s="609"/>
      <c r="IPC148" s="609"/>
      <c r="IPD148" s="609"/>
      <c r="IPE148" s="609"/>
      <c r="IPF148" s="609"/>
      <c r="IPG148" s="609"/>
      <c r="IPH148" s="609"/>
      <c r="IPI148" s="609"/>
      <c r="IPJ148" s="609"/>
      <c r="IPK148" s="609"/>
      <c r="IPL148" s="609"/>
      <c r="IPM148" s="609"/>
      <c r="IPN148" s="609"/>
      <c r="IPO148" s="609"/>
      <c r="IPP148" s="609"/>
      <c r="IPQ148" s="609"/>
      <c r="IPR148" s="609"/>
      <c r="IPS148" s="609"/>
      <c r="IPT148" s="609"/>
      <c r="IPU148" s="609"/>
      <c r="IPV148" s="609"/>
      <c r="IPW148" s="609"/>
      <c r="IPX148" s="609"/>
      <c r="IPY148" s="609"/>
      <c r="IPZ148" s="609"/>
      <c r="IQA148" s="609"/>
      <c r="IQB148" s="609"/>
      <c r="IQC148" s="609"/>
      <c r="IQD148" s="609"/>
      <c r="IQE148" s="609"/>
      <c r="IQF148" s="609"/>
      <c r="IQG148" s="609"/>
      <c r="IQH148" s="609"/>
      <c r="IQI148" s="609"/>
      <c r="IQJ148" s="609"/>
      <c r="IQK148" s="609"/>
      <c r="IQL148" s="609"/>
      <c r="IQM148" s="609"/>
      <c r="IQN148" s="609"/>
      <c r="IQO148" s="609"/>
      <c r="IQP148" s="609"/>
      <c r="IQQ148" s="609"/>
      <c r="IQR148" s="609"/>
      <c r="IQS148" s="609"/>
      <c r="IQT148" s="609"/>
      <c r="IQU148" s="609"/>
      <c r="IQV148" s="609"/>
      <c r="IQW148" s="609"/>
      <c r="IQX148" s="609"/>
      <c r="IQY148" s="609"/>
      <c r="IQZ148" s="609"/>
      <c r="IRA148" s="609"/>
      <c r="IRB148" s="609"/>
      <c r="IRC148" s="609"/>
      <c r="IRD148" s="609"/>
      <c r="IRE148" s="609"/>
      <c r="IRF148" s="609"/>
      <c r="IRG148" s="609"/>
      <c r="IRH148" s="609"/>
      <c r="IRI148" s="609"/>
      <c r="IRJ148" s="609"/>
      <c r="IRK148" s="609"/>
      <c r="IRL148" s="609"/>
      <c r="IRM148" s="609"/>
      <c r="IRN148" s="609"/>
      <c r="IRO148" s="609"/>
      <c r="IRP148" s="609"/>
      <c r="IRQ148" s="609"/>
      <c r="IRR148" s="609"/>
      <c r="IRS148" s="609"/>
      <c r="IRT148" s="609"/>
      <c r="IRU148" s="609"/>
      <c r="IRV148" s="609"/>
      <c r="IRW148" s="609"/>
      <c r="IRX148" s="609"/>
      <c r="IRY148" s="609"/>
      <c r="IRZ148" s="609"/>
      <c r="ISA148" s="609"/>
      <c r="ISB148" s="609"/>
      <c r="ISC148" s="609"/>
      <c r="ISD148" s="609"/>
      <c r="ISE148" s="609"/>
      <c r="ISF148" s="609"/>
      <c r="ISG148" s="609"/>
      <c r="ISH148" s="609"/>
      <c r="ISI148" s="609"/>
      <c r="ISJ148" s="609"/>
      <c r="ISK148" s="609"/>
      <c r="ISL148" s="609"/>
      <c r="ISM148" s="609"/>
      <c r="ISN148" s="609"/>
      <c r="ISO148" s="609"/>
      <c r="ISP148" s="609"/>
      <c r="ISQ148" s="609"/>
      <c r="ISR148" s="609"/>
      <c r="ISS148" s="609"/>
      <c r="IST148" s="609"/>
      <c r="ISU148" s="609"/>
      <c r="ISV148" s="609"/>
      <c r="ISW148" s="609"/>
      <c r="ISX148" s="609"/>
      <c r="ISY148" s="609"/>
      <c r="ISZ148" s="609"/>
      <c r="ITA148" s="609"/>
      <c r="ITB148" s="609"/>
      <c r="ITC148" s="609"/>
      <c r="ITD148" s="609"/>
      <c r="ITE148" s="609"/>
      <c r="ITF148" s="609"/>
      <c r="ITG148" s="609"/>
      <c r="ITH148" s="609"/>
      <c r="ITI148" s="609"/>
      <c r="ITJ148" s="609"/>
      <c r="ITK148" s="609"/>
      <c r="ITL148" s="609"/>
      <c r="ITM148" s="609"/>
      <c r="ITN148" s="609"/>
      <c r="ITO148" s="609"/>
      <c r="ITP148" s="609"/>
      <c r="ITQ148" s="609"/>
      <c r="ITR148" s="609"/>
      <c r="ITS148" s="609"/>
      <c r="ITT148" s="609"/>
      <c r="ITU148" s="609"/>
      <c r="ITV148" s="609"/>
      <c r="ITW148" s="609"/>
      <c r="ITX148" s="609"/>
      <c r="ITY148" s="609"/>
      <c r="ITZ148" s="609"/>
      <c r="IUA148" s="609"/>
      <c r="IUB148" s="609"/>
      <c r="IUC148" s="609"/>
      <c r="IUD148" s="609"/>
      <c r="IUE148" s="609"/>
      <c r="IUF148" s="609"/>
      <c r="IUG148" s="609"/>
      <c r="IUH148" s="609"/>
      <c r="IUI148" s="609"/>
      <c r="IUJ148" s="609"/>
      <c r="IUK148" s="609"/>
      <c r="IUL148" s="609"/>
      <c r="IUM148" s="609"/>
      <c r="IUN148" s="609"/>
      <c r="IUO148" s="609"/>
      <c r="IUP148" s="609"/>
      <c r="IUQ148" s="609"/>
      <c r="IUR148" s="609"/>
      <c r="IUS148" s="609"/>
      <c r="IUT148" s="609"/>
      <c r="IUU148" s="609"/>
      <c r="IUV148" s="609"/>
      <c r="IUW148" s="609"/>
      <c r="IUX148" s="609"/>
      <c r="IUY148" s="609"/>
      <c r="IUZ148" s="609"/>
      <c r="IVA148" s="609"/>
      <c r="IVB148" s="609"/>
      <c r="IVC148" s="609"/>
      <c r="IVD148" s="609"/>
      <c r="IVE148" s="609"/>
      <c r="IVF148" s="609"/>
      <c r="IVG148" s="609"/>
      <c r="IVH148" s="609"/>
      <c r="IVI148" s="609"/>
      <c r="IVJ148" s="609"/>
      <c r="IVK148" s="609"/>
      <c r="IVL148" s="609"/>
      <c r="IVM148" s="609"/>
      <c r="IVN148" s="609"/>
      <c r="IVO148" s="609"/>
      <c r="IVP148" s="609"/>
      <c r="IVQ148" s="609"/>
      <c r="IVR148" s="609"/>
      <c r="IVS148" s="609"/>
      <c r="IVT148" s="609"/>
      <c r="IVU148" s="609"/>
      <c r="IVV148" s="609"/>
      <c r="IVW148" s="609"/>
      <c r="IVX148" s="609"/>
      <c r="IVY148" s="609"/>
      <c r="IVZ148" s="609"/>
      <c r="IWA148" s="609"/>
      <c r="IWB148" s="609"/>
      <c r="IWC148" s="609"/>
      <c r="IWD148" s="609"/>
      <c r="IWE148" s="609"/>
      <c r="IWF148" s="609"/>
      <c r="IWG148" s="609"/>
      <c r="IWH148" s="609"/>
      <c r="IWI148" s="609"/>
      <c r="IWJ148" s="609"/>
      <c r="IWK148" s="609"/>
      <c r="IWL148" s="609"/>
      <c r="IWM148" s="609"/>
      <c r="IWN148" s="609"/>
      <c r="IWO148" s="609"/>
      <c r="IWP148" s="609"/>
      <c r="IWQ148" s="609"/>
      <c r="IWR148" s="609"/>
      <c r="IWS148" s="609"/>
      <c r="IWT148" s="609"/>
      <c r="IWU148" s="609"/>
      <c r="IWV148" s="609"/>
      <c r="IWW148" s="609"/>
      <c r="IWX148" s="609"/>
      <c r="IWY148" s="609"/>
      <c r="IWZ148" s="609"/>
      <c r="IXA148" s="609"/>
      <c r="IXB148" s="609"/>
      <c r="IXC148" s="609"/>
      <c r="IXD148" s="609"/>
      <c r="IXE148" s="609"/>
      <c r="IXF148" s="609"/>
      <c r="IXG148" s="609"/>
      <c r="IXH148" s="609"/>
      <c r="IXI148" s="609"/>
      <c r="IXJ148" s="609"/>
      <c r="IXK148" s="609"/>
      <c r="IXL148" s="609"/>
      <c r="IXM148" s="609"/>
      <c r="IXN148" s="609"/>
      <c r="IXO148" s="609"/>
      <c r="IXP148" s="609"/>
      <c r="IXQ148" s="609"/>
      <c r="IXR148" s="609"/>
      <c r="IXS148" s="609"/>
      <c r="IXT148" s="609"/>
      <c r="IXU148" s="609"/>
      <c r="IXV148" s="609"/>
      <c r="IXW148" s="609"/>
      <c r="IXX148" s="609"/>
      <c r="IXY148" s="609"/>
      <c r="IXZ148" s="609"/>
      <c r="IYA148" s="609"/>
      <c r="IYB148" s="609"/>
      <c r="IYC148" s="609"/>
      <c r="IYD148" s="609"/>
      <c r="IYE148" s="609"/>
      <c r="IYF148" s="609"/>
      <c r="IYG148" s="609"/>
      <c r="IYH148" s="609"/>
      <c r="IYI148" s="609"/>
      <c r="IYJ148" s="609"/>
      <c r="IYK148" s="609"/>
      <c r="IYL148" s="609"/>
      <c r="IYM148" s="609"/>
      <c r="IYN148" s="609"/>
      <c r="IYO148" s="609"/>
      <c r="IYP148" s="609"/>
      <c r="IYQ148" s="609"/>
      <c r="IYR148" s="609"/>
      <c r="IYS148" s="609"/>
      <c r="IYT148" s="609"/>
      <c r="IYU148" s="609"/>
      <c r="IYV148" s="609"/>
      <c r="IYW148" s="609"/>
      <c r="IYX148" s="609"/>
      <c r="IYY148" s="609"/>
      <c r="IYZ148" s="609"/>
      <c r="IZA148" s="609"/>
      <c r="IZB148" s="609"/>
      <c r="IZC148" s="609"/>
      <c r="IZD148" s="609"/>
      <c r="IZE148" s="609"/>
      <c r="IZF148" s="609"/>
      <c r="IZG148" s="609"/>
      <c r="IZH148" s="609"/>
      <c r="IZI148" s="609"/>
      <c r="IZJ148" s="609"/>
      <c r="IZK148" s="609"/>
      <c r="IZL148" s="609"/>
      <c r="IZM148" s="609"/>
      <c r="IZN148" s="609"/>
      <c r="IZO148" s="609"/>
      <c r="IZP148" s="609"/>
      <c r="IZQ148" s="609"/>
      <c r="IZR148" s="609"/>
      <c r="IZS148" s="609"/>
      <c r="IZT148" s="609"/>
      <c r="IZU148" s="609"/>
      <c r="IZV148" s="609"/>
      <c r="IZW148" s="609"/>
      <c r="IZX148" s="609"/>
      <c r="IZY148" s="609"/>
      <c r="IZZ148" s="609"/>
      <c r="JAA148" s="609"/>
      <c r="JAB148" s="609"/>
      <c r="JAC148" s="609"/>
      <c r="JAD148" s="609"/>
      <c r="JAE148" s="609"/>
      <c r="JAF148" s="609"/>
      <c r="JAG148" s="609"/>
      <c r="JAH148" s="609"/>
      <c r="JAI148" s="609"/>
      <c r="JAJ148" s="609"/>
      <c r="JAK148" s="609"/>
      <c r="JAL148" s="609"/>
      <c r="JAM148" s="609"/>
      <c r="JAN148" s="609"/>
      <c r="JAO148" s="609"/>
      <c r="JAP148" s="609"/>
      <c r="JAQ148" s="609"/>
      <c r="JAR148" s="609"/>
      <c r="JAS148" s="609"/>
      <c r="JAT148" s="609"/>
      <c r="JAU148" s="609"/>
      <c r="JAV148" s="609"/>
      <c r="JAW148" s="609"/>
      <c r="JAX148" s="609"/>
      <c r="JAY148" s="609"/>
      <c r="JAZ148" s="609"/>
      <c r="JBA148" s="609"/>
      <c r="JBB148" s="609"/>
      <c r="JBC148" s="609"/>
      <c r="JBD148" s="609"/>
      <c r="JBE148" s="609"/>
      <c r="JBF148" s="609"/>
      <c r="JBG148" s="609"/>
      <c r="JBH148" s="609"/>
      <c r="JBI148" s="609"/>
      <c r="JBJ148" s="609"/>
      <c r="JBK148" s="609"/>
      <c r="JBL148" s="609"/>
      <c r="JBM148" s="609"/>
      <c r="JBN148" s="609"/>
      <c r="JBO148" s="609"/>
      <c r="JBP148" s="609"/>
      <c r="JBQ148" s="609"/>
      <c r="JBR148" s="609"/>
      <c r="JBS148" s="609"/>
      <c r="JBT148" s="609"/>
      <c r="JBU148" s="609"/>
      <c r="JBV148" s="609"/>
      <c r="JBW148" s="609"/>
      <c r="JBX148" s="609"/>
      <c r="JBY148" s="609"/>
      <c r="JBZ148" s="609"/>
      <c r="JCA148" s="609"/>
      <c r="JCB148" s="609"/>
      <c r="JCC148" s="609"/>
      <c r="JCD148" s="609"/>
      <c r="JCE148" s="609"/>
      <c r="JCF148" s="609"/>
      <c r="JCG148" s="609"/>
      <c r="JCH148" s="609"/>
      <c r="JCI148" s="609"/>
      <c r="JCJ148" s="609"/>
      <c r="JCK148" s="609"/>
      <c r="JCL148" s="609"/>
      <c r="JCM148" s="609"/>
      <c r="JCN148" s="609"/>
      <c r="JCO148" s="609"/>
      <c r="JCP148" s="609"/>
      <c r="JCQ148" s="609"/>
      <c r="JCR148" s="609"/>
      <c r="JCS148" s="609"/>
      <c r="JCT148" s="609"/>
      <c r="JCU148" s="609"/>
      <c r="JCV148" s="609"/>
      <c r="JCW148" s="609"/>
      <c r="JCX148" s="609"/>
      <c r="JCY148" s="609"/>
      <c r="JCZ148" s="609"/>
      <c r="JDA148" s="609"/>
      <c r="JDB148" s="609"/>
      <c r="JDC148" s="609"/>
      <c r="JDD148" s="609"/>
      <c r="JDE148" s="609"/>
      <c r="JDF148" s="609"/>
      <c r="JDG148" s="609"/>
      <c r="JDH148" s="609"/>
      <c r="JDI148" s="609"/>
      <c r="JDJ148" s="609"/>
      <c r="JDK148" s="609"/>
      <c r="JDL148" s="609"/>
      <c r="JDM148" s="609"/>
      <c r="JDN148" s="609"/>
      <c r="JDO148" s="609"/>
      <c r="JDP148" s="609"/>
      <c r="JDQ148" s="609"/>
      <c r="JDR148" s="609"/>
      <c r="JDS148" s="609"/>
      <c r="JDT148" s="609"/>
      <c r="JDU148" s="609"/>
      <c r="JDV148" s="609"/>
      <c r="JDW148" s="609"/>
      <c r="JDX148" s="609"/>
      <c r="JDY148" s="609"/>
      <c r="JDZ148" s="609"/>
      <c r="JEA148" s="609"/>
      <c r="JEB148" s="609"/>
      <c r="JEC148" s="609"/>
      <c r="JED148" s="609"/>
      <c r="JEE148" s="609"/>
      <c r="JEF148" s="609"/>
      <c r="JEG148" s="609"/>
      <c r="JEH148" s="609"/>
      <c r="JEI148" s="609"/>
      <c r="JEJ148" s="609"/>
      <c r="JEK148" s="609"/>
      <c r="JEL148" s="609"/>
      <c r="JEM148" s="609"/>
      <c r="JEN148" s="609"/>
      <c r="JEO148" s="609"/>
      <c r="JEP148" s="609"/>
      <c r="JEQ148" s="609"/>
      <c r="JER148" s="609"/>
      <c r="JES148" s="609"/>
      <c r="JET148" s="609"/>
      <c r="JEU148" s="609"/>
      <c r="JEV148" s="609"/>
      <c r="JEW148" s="609"/>
      <c r="JEX148" s="609"/>
      <c r="JEY148" s="609"/>
      <c r="JEZ148" s="609"/>
      <c r="JFA148" s="609"/>
      <c r="JFB148" s="609"/>
      <c r="JFC148" s="609"/>
      <c r="JFD148" s="609"/>
      <c r="JFE148" s="609"/>
      <c r="JFF148" s="609"/>
      <c r="JFG148" s="609"/>
      <c r="JFH148" s="609"/>
      <c r="JFI148" s="609"/>
      <c r="JFJ148" s="609"/>
      <c r="JFK148" s="609"/>
      <c r="JFL148" s="609"/>
      <c r="JFM148" s="609"/>
      <c r="JFN148" s="609"/>
      <c r="JFO148" s="609"/>
      <c r="JFP148" s="609"/>
      <c r="JFQ148" s="609"/>
      <c r="JFR148" s="609"/>
      <c r="JFS148" s="609"/>
      <c r="JFT148" s="609"/>
      <c r="JFU148" s="609"/>
      <c r="JFV148" s="609"/>
      <c r="JFW148" s="609"/>
      <c r="JFX148" s="609"/>
      <c r="JFY148" s="609"/>
      <c r="JFZ148" s="609"/>
      <c r="JGA148" s="609"/>
      <c r="JGB148" s="609"/>
      <c r="JGC148" s="609"/>
      <c r="JGD148" s="609"/>
      <c r="JGE148" s="609"/>
      <c r="JGF148" s="609"/>
      <c r="JGG148" s="609"/>
      <c r="JGH148" s="609"/>
      <c r="JGI148" s="609"/>
      <c r="JGJ148" s="609"/>
      <c r="JGK148" s="609"/>
      <c r="JGL148" s="609"/>
      <c r="JGM148" s="609"/>
      <c r="JGN148" s="609"/>
      <c r="JGO148" s="609"/>
      <c r="JGP148" s="609"/>
      <c r="JGQ148" s="609"/>
      <c r="JGR148" s="609"/>
      <c r="JGS148" s="609"/>
      <c r="JGT148" s="609"/>
      <c r="JGU148" s="609"/>
      <c r="JGV148" s="609"/>
      <c r="JGW148" s="609"/>
      <c r="JGX148" s="609"/>
      <c r="JGY148" s="609"/>
      <c r="JGZ148" s="609"/>
      <c r="JHA148" s="609"/>
      <c r="JHB148" s="609"/>
      <c r="JHC148" s="609"/>
      <c r="JHD148" s="609"/>
      <c r="JHE148" s="609"/>
      <c r="JHF148" s="609"/>
      <c r="JHG148" s="609"/>
      <c r="JHH148" s="609"/>
      <c r="JHI148" s="609"/>
      <c r="JHJ148" s="609"/>
      <c r="JHK148" s="609"/>
      <c r="JHL148" s="609"/>
      <c r="JHM148" s="609"/>
      <c r="JHN148" s="609"/>
      <c r="JHO148" s="609"/>
      <c r="JHP148" s="609"/>
      <c r="JHQ148" s="609"/>
      <c r="JHR148" s="609"/>
      <c r="JHS148" s="609"/>
      <c r="JHT148" s="609"/>
      <c r="JHU148" s="609"/>
      <c r="JHV148" s="609"/>
      <c r="JHW148" s="609"/>
      <c r="JHX148" s="609"/>
      <c r="JHY148" s="609"/>
      <c r="JHZ148" s="609"/>
      <c r="JIA148" s="609"/>
      <c r="JIB148" s="609"/>
      <c r="JIC148" s="609"/>
      <c r="JID148" s="609"/>
      <c r="JIE148" s="609"/>
      <c r="JIF148" s="609"/>
      <c r="JIG148" s="609"/>
      <c r="JIH148" s="609"/>
      <c r="JII148" s="609"/>
      <c r="JIJ148" s="609"/>
      <c r="JIK148" s="609"/>
      <c r="JIL148" s="609"/>
      <c r="JIM148" s="609"/>
      <c r="JIN148" s="609"/>
      <c r="JIO148" s="609"/>
      <c r="JIP148" s="609"/>
      <c r="JIQ148" s="609"/>
      <c r="JIR148" s="609"/>
      <c r="JIS148" s="609"/>
      <c r="JIT148" s="609"/>
      <c r="JIU148" s="609"/>
      <c r="JIV148" s="609"/>
      <c r="JIW148" s="609"/>
      <c r="JIX148" s="609"/>
      <c r="JIY148" s="609"/>
      <c r="JIZ148" s="609"/>
      <c r="JJA148" s="609"/>
      <c r="JJB148" s="609"/>
      <c r="JJC148" s="609"/>
      <c r="JJD148" s="609"/>
      <c r="JJE148" s="609"/>
      <c r="JJF148" s="609"/>
      <c r="JJG148" s="609"/>
      <c r="JJH148" s="609"/>
      <c r="JJI148" s="609"/>
      <c r="JJJ148" s="609"/>
      <c r="JJK148" s="609"/>
      <c r="JJL148" s="609"/>
      <c r="JJM148" s="609"/>
      <c r="JJN148" s="609"/>
      <c r="JJO148" s="609"/>
      <c r="JJP148" s="609"/>
      <c r="JJQ148" s="609"/>
      <c r="JJR148" s="609"/>
      <c r="JJS148" s="609"/>
      <c r="JJT148" s="609"/>
      <c r="JJU148" s="609"/>
      <c r="JJV148" s="609"/>
      <c r="JJW148" s="609"/>
      <c r="JJX148" s="609"/>
      <c r="JJY148" s="609"/>
      <c r="JJZ148" s="609"/>
      <c r="JKA148" s="609"/>
      <c r="JKB148" s="609"/>
      <c r="JKC148" s="609"/>
      <c r="JKD148" s="609"/>
      <c r="JKE148" s="609"/>
      <c r="JKF148" s="609"/>
      <c r="JKG148" s="609"/>
      <c r="JKH148" s="609"/>
      <c r="JKI148" s="609"/>
      <c r="JKJ148" s="609"/>
      <c r="JKK148" s="609"/>
      <c r="JKL148" s="609"/>
      <c r="JKM148" s="609"/>
      <c r="JKN148" s="609"/>
      <c r="JKO148" s="609"/>
      <c r="JKP148" s="609"/>
      <c r="JKQ148" s="609"/>
      <c r="JKR148" s="609"/>
      <c r="JKS148" s="609"/>
      <c r="JKT148" s="609"/>
      <c r="JKU148" s="609"/>
      <c r="JKV148" s="609"/>
      <c r="JKW148" s="609"/>
      <c r="JKX148" s="609"/>
      <c r="JKY148" s="609"/>
      <c r="JKZ148" s="609"/>
      <c r="JLA148" s="609"/>
      <c r="JLB148" s="609"/>
      <c r="JLC148" s="609"/>
      <c r="JLD148" s="609"/>
      <c r="JLE148" s="609"/>
      <c r="JLF148" s="609"/>
      <c r="JLG148" s="609"/>
      <c r="JLH148" s="609"/>
      <c r="JLI148" s="609"/>
      <c r="JLJ148" s="609"/>
      <c r="JLK148" s="609"/>
      <c r="JLL148" s="609"/>
      <c r="JLM148" s="609"/>
      <c r="JLN148" s="609"/>
      <c r="JLO148" s="609"/>
      <c r="JLP148" s="609"/>
      <c r="JLQ148" s="609"/>
      <c r="JLR148" s="609"/>
      <c r="JLS148" s="609"/>
      <c r="JLT148" s="609"/>
      <c r="JLU148" s="609"/>
      <c r="JLV148" s="609"/>
      <c r="JLW148" s="609"/>
      <c r="JLX148" s="609"/>
      <c r="JLY148" s="609"/>
      <c r="JLZ148" s="609"/>
      <c r="JMA148" s="609"/>
      <c r="JMB148" s="609"/>
      <c r="JMC148" s="609"/>
      <c r="JMD148" s="609"/>
      <c r="JME148" s="609"/>
      <c r="JMF148" s="609"/>
      <c r="JMG148" s="609"/>
      <c r="JMH148" s="609"/>
      <c r="JMI148" s="609"/>
      <c r="JMJ148" s="609"/>
      <c r="JMK148" s="609"/>
      <c r="JML148" s="609"/>
      <c r="JMM148" s="609"/>
      <c r="JMN148" s="609"/>
      <c r="JMO148" s="609"/>
      <c r="JMP148" s="609"/>
      <c r="JMQ148" s="609"/>
      <c r="JMR148" s="609"/>
      <c r="JMS148" s="609"/>
      <c r="JMT148" s="609"/>
      <c r="JMU148" s="609"/>
      <c r="JMV148" s="609"/>
      <c r="JMW148" s="609"/>
      <c r="JMX148" s="609"/>
      <c r="JMY148" s="609"/>
      <c r="JMZ148" s="609"/>
      <c r="JNA148" s="609"/>
      <c r="JNB148" s="609"/>
      <c r="JNC148" s="609"/>
      <c r="JND148" s="609"/>
      <c r="JNE148" s="609"/>
      <c r="JNF148" s="609"/>
      <c r="JNG148" s="609"/>
      <c r="JNH148" s="609"/>
      <c r="JNI148" s="609"/>
      <c r="JNJ148" s="609"/>
      <c r="JNK148" s="609"/>
      <c r="JNL148" s="609"/>
      <c r="JNM148" s="609"/>
      <c r="JNN148" s="609"/>
      <c r="JNO148" s="609"/>
      <c r="JNP148" s="609"/>
      <c r="JNQ148" s="609"/>
      <c r="JNR148" s="609"/>
      <c r="JNS148" s="609"/>
      <c r="JNT148" s="609"/>
      <c r="JNU148" s="609"/>
      <c r="JNV148" s="609"/>
      <c r="JNW148" s="609"/>
      <c r="JNX148" s="609"/>
      <c r="JNY148" s="609"/>
      <c r="JNZ148" s="609"/>
      <c r="JOA148" s="609"/>
      <c r="JOB148" s="609"/>
      <c r="JOC148" s="609"/>
      <c r="JOD148" s="609"/>
      <c r="JOE148" s="609"/>
      <c r="JOF148" s="609"/>
      <c r="JOG148" s="609"/>
      <c r="JOH148" s="609"/>
      <c r="JOI148" s="609"/>
      <c r="JOJ148" s="609"/>
      <c r="JOK148" s="609"/>
      <c r="JOL148" s="609"/>
      <c r="JOM148" s="609"/>
      <c r="JON148" s="609"/>
      <c r="JOO148" s="609"/>
      <c r="JOP148" s="609"/>
      <c r="JOQ148" s="609"/>
      <c r="JOR148" s="609"/>
      <c r="JOS148" s="609"/>
      <c r="JOT148" s="609"/>
      <c r="JOU148" s="609"/>
      <c r="JOV148" s="609"/>
      <c r="JOW148" s="609"/>
      <c r="JOX148" s="609"/>
      <c r="JOY148" s="609"/>
      <c r="JOZ148" s="609"/>
      <c r="JPA148" s="609"/>
      <c r="JPB148" s="609"/>
      <c r="JPC148" s="609"/>
      <c r="JPD148" s="609"/>
      <c r="JPE148" s="609"/>
      <c r="JPF148" s="609"/>
      <c r="JPG148" s="609"/>
      <c r="JPH148" s="609"/>
      <c r="JPI148" s="609"/>
      <c r="JPJ148" s="609"/>
      <c r="JPK148" s="609"/>
      <c r="JPL148" s="609"/>
      <c r="JPM148" s="609"/>
      <c r="JPN148" s="609"/>
      <c r="JPO148" s="609"/>
      <c r="JPP148" s="609"/>
      <c r="JPQ148" s="609"/>
      <c r="JPR148" s="609"/>
      <c r="JPS148" s="609"/>
      <c r="JPT148" s="609"/>
      <c r="JPU148" s="609"/>
      <c r="JPV148" s="609"/>
      <c r="JPW148" s="609"/>
      <c r="JPX148" s="609"/>
      <c r="JPY148" s="609"/>
      <c r="JPZ148" s="609"/>
      <c r="JQA148" s="609"/>
      <c r="JQB148" s="609"/>
      <c r="JQC148" s="609"/>
      <c r="JQD148" s="609"/>
      <c r="JQE148" s="609"/>
      <c r="JQF148" s="609"/>
      <c r="JQG148" s="609"/>
      <c r="JQH148" s="609"/>
      <c r="JQI148" s="609"/>
      <c r="JQJ148" s="609"/>
      <c r="JQK148" s="609"/>
      <c r="JQL148" s="609"/>
      <c r="JQM148" s="609"/>
      <c r="JQN148" s="609"/>
      <c r="JQO148" s="609"/>
      <c r="JQP148" s="609"/>
      <c r="JQQ148" s="609"/>
      <c r="JQR148" s="609"/>
      <c r="JQS148" s="609"/>
      <c r="JQT148" s="609"/>
      <c r="JQU148" s="609"/>
      <c r="JQV148" s="609"/>
      <c r="JQW148" s="609"/>
      <c r="JQX148" s="609"/>
      <c r="JQY148" s="609"/>
      <c r="JQZ148" s="609"/>
      <c r="JRA148" s="609"/>
      <c r="JRB148" s="609"/>
      <c r="JRC148" s="609"/>
      <c r="JRD148" s="609"/>
      <c r="JRE148" s="609"/>
      <c r="JRF148" s="609"/>
      <c r="JRG148" s="609"/>
      <c r="JRH148" s="609"/>
      <c r="JRI148" s="609"/>
      <c r="JRJ148" s="609"/>
      <c r="JRK148" s="609"/>
      <c r="JRL148" s="609"/>
      <c r="JRM148" s="609"/>
      <c r="JRN148" s="609"/>
      <c r="JRO148" s="609"/>
      <c r="JRP148" s="609"/>
      <c r="JRQ148" s="609"/>
      <c r="JRR148" s="609"/>
      <c r="JRS148" s="609"/>
      <c r="JRT148" s="609"/>
      <c r="JRU148" s="609"/>
      <c r="JRV148" s="609"/>
      <c r="JRW148" s="609"/>
      <c r="JRX148" s="609"/>
      <c r="JRY148" s="609"/>
      <c r="JRZ148" s="609"/>
      <c r="JSA148" s="609"/>
      <c r="JSB148" s="609"/>
      <c r="JSC148" s="609"/>
      <c r="JSD148" s="609"/>
      <c r="JSE148" s="609"/>
      <c r="JSF148" s="609"/>
      <c r="JSG148" s="609"/>
      <c r="JSH148" s="609"/>
      <c r="JSI148" s="609"/>
      <c r="JSJ148" s="609"/>
      <c r="JSK148" s="609"/>
      <c r="JSL148" s="609"/>
      <c r="JSM148" s="609"/>
      <c r="JSN148" s="609"/>
      <c r="JSO148" s="609"/>
      <c r="JSP148" s="609"/>
      <c r="JSQ148" s="609"/>
      <c r="JSR148" s="609"/>
      <c r="JSS148" s="609"/>
      <c r="JST148" s="609"/>
      <c r="JSU148" s="609"/>
      <c r="JSV148" s="609"/>
      <c r="JSW148" s="609"/>
      <c r="JSX148" s="609"/>
      <c r="JSY148" s="609"/>
      <c r="JSZ148" s="609"/>
      <c r="JTA148" s="609"/>
      <c r="JTB148" s="609"/>
      <c r="JTC148" s="609"/>
      <c r="JTD148" s="609"/>
      <c r="JTE148" s="609"/>
      <c r="JTF148" s="609"/>
      <c r="JTG148" s="609"/>
      <c r="JTH148" s="609"/>
      <c r="JTI148" s="609"/>
      <c r="JTJ148" s="609"/>
      <c r="JTK148" s="609"/>
      <c r="JTL148" s="609"/>
      <c r="JTM148" s="609"/>
      <c r="JTN148" s="609"/>
      <c r="JTO148" s="609"/>
      <c r="JTP148" s="609"/>
      <c r="JTQ148" s="609"/>
      <c r="JTR148" s="609"/>
      <c r="JTS148" s="609"/>
      <c r="JTT148" s="609"/>
      <c r="JTU148" s="609"/>
      <c r="JTV148" s="609"/>
      <c r="JTW148" s="609"/>
      <c r="JTX148" s="609"/>
      <c r="JTY148" s="609"/>
      <c r="JTZ148" s="609"/>
      <c r="JUA148" s="609"/>
      <c r="JUB148" s="609"/>
      <c r="JUC148" s="609"/>
      <c r="JUD148" s="609"/>
      <c r="JUE148" s="609"/>
      <c r="JUF148" s="609"/>
      <c r="JUG148" s="609"/>
      <c r="JUH148" s="609"/>
      <c r="JUI148" s="609"/>
      <c r="JUJ148" s="609"/>
      <c r="JUK148" s="609"/>
      <c r="JUL148" s="609"/>
      <c r="JUM148" s="609"/>
      <c r="JUN148" s="609"/>
      <c r="JUO148" s="609"/>
      <c r="JUP148" s="609"/>
      <c r="JUQ148" s="609"/>
      <c r="JUR148" s="609"/>
      <c r="JUS148" s="609"/>
      <c r="JUT148" s="609"/>
      <c r="JUU148" s="609"/>
      <c r="JUV148" s="609"/>
      <c r="JUW148" s="609"/>
      <c r="JUX148" s="609"/>
      <c r="JUY148" s="609"/>
      <c r="JUZ148" s="609"/>
      <c r="JVA148" s="609"/>
      <c r="JVB148" s="609"/>
      <c r="JVC148" s="609"/>
      <c r="JVD148" s="609"/>
      <c r="JVE148" s="609"/>
      <c r="JVF148" s="609"/>
      <c r="JVG148" s="609"/>
      <c r="JVH148" s="609"/>
      <c r="JVI148" s="609"/>
      <c r="JVJ148" s="609"/>
      <c r="JVK148" s="609"/>
      <c r="JVL148" s="609"/>
      <c r="JVM148" s="609"/>
      <c r="JVN148" s="609"/>
      <c r="JVO148" s="609"/>
      <c r="JVP148" s="609"/>
      <c r="JVQ148" s="609"/>
      <c r="JVR148" s="609"/>
      <c r="JVS148" s="609"/>
      <c r="JVT148" s="609"/>
      <c r="JVU148" s="609"/>
      <c r="JVV148" s="609"/>
      <c r="JVW148" s="609"/>
      <c r="JVX148" s="609"/>
      <c r="JVY148" s="609"/>
      <c r="JVZ148" s="609"/>
      <c r="JWA148" s="609"/>
      <c r="JWB148" s="609"/>
      <c r="JWC148" s="609"/>
      <c r="JWD148" s="609"/>
      <c r="JWE148" s="609"/>
      <c r="JWF148" s="609"/>
      <c r="JWG148" s="609"/>
      <c r="JWH148" s="609"/>
      <c r="JWI148" s="609"/>
      <c r="JWJ148" s="609"/>
      <c r="JWK148" s="609"/>
      <c r="JWL148" s="609"/>
      <c r="JWM148" s="609"/>
      <c r="JWN148" s="609"/>
      <c r="JWO148" s="609"/>
      <c r="JWP148" s="609"/>
      <c r="JWQ148" s="609"/>
      <c r="JWR148" s="609"/>
      <c r="JWS148" s="609"/>
      <c r="JWT148" s="609"/>
      <c r="JWU148" s="609"/>
      <c r="JWV148" s="609"/>
      <c r="JWW148" s="609"/>
      <c r="JWX148" s="609"/>
      <c r="JWY148" s="609"/>
      <c r="JWZ148" s="609"/>
      <c r="JXA148" s="609"/>
      <c r="JXB148" s="609"/>
      <c r="JXC148" s="609"/>
      <c r="JXD148" s="609"/>
      <c r="JXE148" s="609"/>
      <c r="JXF148" s="609"/>
      <c r="JXG148" s="609"/>
      <c r="JXH148" s="609"/>
      <c r="JXI148" s="609"/>
      <c r="JXJ148" s="609"/>
      <c r="JXK148" s="609"/>
      <c r="JXL148" s="609"/>
      <c r="JXM148" s="609"/>
      <c r="JXN148" s="609"/>
      <c r="JXO148" s="609"/>
      <c r="JXP148" s="609"/>
      <c r="JXQ148" s="609"/>
      <c r="JXR148" s="609"/>
      <c r="JXS148" s="609"/>
      <c r="JXT148" s="609"/>
      <c r="JXU148" s="609"/>
      <c r="JXV148" s="609"/>
      <c r="JXW148" s="609"/>
      <c r="JXX148" s="609"/>
      <c r="JXY148" s="609"/>
      <c r="JXZ148" s="609"/>
      <c r="JYA148" s="609"/>
      <c r="JYB148" s="609"/>
      <c r="JYC148" s="609"/>
      <c r="JYD148" s="609"/>
      <c r="JYE148" s="609"/>
      <c r="JYF148" s="609"/>
      <c r="JYG148" s="609"/>
      <c r="JYH148" s="609"/>
      <c r="JYI148" s="609"/>
      <c r="JYJ148" s="609"/>
      <c r="JYK148" s="609"/>
      <c r="JYL148" s="609"/>
      <c r="JYM148" s="609"/>
      <c r="JYN148" s="609"/>
      <c r="JYO148" s="609"/>
      <c r="JYP148" s="609"/>
      <c r="JYQ148" s="609"/>
      <c r="JYR148" s="609"/>
      <c r="JYS148" s="609"/>
      <c r="JYT148" s="609"/>
      <c r="JYU148" s="609"/>
      <c r="JYV148" s="609"/>
      <c r="JYW148" s="609"/>
      <c r="JYX148" s="609"/>
      <c r="JYY148" s="609"/>
      <c r="JYZ148" s="609"/>
      <c r="JZA148" s="609"/>
      <c r="JZB148" s="609"/>
      <c r="JZC148" s="609"/>
      <c r="JZD148" s="609"/>
      <c r="JZE148" s="609"/>
      <c r="JZF148" s="609"/>
      <c r="JZG148" s="609"/>
      <c r="JZH148" s="609"/>
      <c r="JZI148" s="609"/>
      <c r="JZJ148" s="609"/>
      <c r="JZK148" s="609"/>
      <c r="JZL148" s="609"/>
      <c r="JZM148" s="609"/>
      <c r="JZN148" s="609"/>
      <c r="JZO148" s="609"/>
      <c r="JZP148" s="609"/>
      <c r="JZQ148" s="609"/>
      <c r="JZR148" s="609"/>
      <c r="JZS148" s="609"/>
      <c r="JZT148" s="609"/>
      <c r="JZU148" s="609"/>
      <c r="JZV148" s="609"/>
      <c r="JZW148" s="609"/>
      <c r="JZX148" s="609"/>
      <c r="JZY148" s="609"/>
      <c r="JZZ148" s="609"/>
      <c r="KAA148" s="609"/>
      <c r="KAB148" s="609"/>
      <c r="KAC148" s="609"/>
      <c r="KAD148" s="609"/>
      <c r="KAE148" s="609"/>
      <c r="KAF148" s="609"/>
      <c r="KAG148" s="609"/>
      <c r="KAH148" s="609"/>
      <c r="KAI148" s="609"/>
      <c r="KAJ148" s="609"/>
      <c r="KAK148" s="609"/>
      <c r="KAL148" s="609"/>
      <c r="KAM148" s="609"/>
      <c r="KAN148" s="609"/>
      <c r="KAO148" s="609"/>
      <c r="KAP148" s="609"/>
      <c r="KAQ148" s="609"/>
      <c r="KAR148" s="609"/>
      <c r="KAS148" s="609"/>
      <c r="KAT148" s="609"/>
      <c r="KAU148" s="609"/>
      <c r="KAV148" s="609"/>
      <c r="KAW148" s="609"/>
      <c r="KAX148" s="609"/>
      <c r="KAY148" s="609"/>
      <c r="KAZ148" s="609"/>
      <c r="KBA148" s="609"/>
      <c r="KBB148" s="609"/>
      <c r="KBC148" s="609"/>
      <c r="KBD148" s="609"/>
      <c r="KBE148" s="609"/>
      <c r="KBF148" s="609"/>
      <c r="KBG148" s="609"/>
      <c r="KBH148" s="609"/>
      <c r="KBI148" s="609"/>
      <c r="KBJ148" s="609"/>
      <c r="KBK148" s="609"/>
      <c r="KBL148" s="609"/>
      <c r="KBM148" s="609"/>
      <c r="KBN148" s="609"/>
      <c r="KBO148" s="609"/>
      <c r="KBP148" s="609"/>
      <c r="KBQ148" s="609"/>
      <c r="KBR148" s="609"/>
      <c r="KBS148" s="609"/>
      <c r="KBT148" s="609"/>
      <c r="KBU148" s="609"/>
      <c r="KBV148" s="609"/>
      <c r="KBW148" s="609"/>
      <c r="KBX148" s="609"/>
      <c r="KBY148" s="609"/>
      <c r="KBZ148" s="609"/>
      <c r="KCA148" s="609"/>
      <c r="KCB148" s="609"/>
      <c r="KCC148" s="609"/>
      <c r="KCD148" s="609"/>
      <c r="KCE148" s="609"/>
      <c r="KCF148" s="609"/>
      <c r="KCG148" s="609"/>
      <c r="KCH148" s="609"/>
      <c r="KCI148" s="609"/>
      <c r="KCJ148" s="609"/>
      <c r="KCK148" s="609"/>
      <c r="KCL148" s="609"/>
      <c r="KCM148" s="609"/>
      <c r="KCN148" s="609"/>
      <c r="KCO148" s="609"/>
      <c r="KCP148" s="609"/>
      <c r="KCQ148" s="609"/>
      <c r="KCR148" s="609"/>
      <c r="KCS148" s="609"/>
      <c r="KCT148" s="609"/>
      <c r="KCU148" s="609"/>
      <c r="KCV148" s="609"/>
      <c r="KCW148" s="609"/>
      <c r="KCX148" s="609"/>
      <c r="KCY148" s="609"/>
      <c r="KCZ148" s="609"/>
      <c r="KDA148" s="609"/>
      <c r="KDB148" s="609"/>
      <c r="KDC148" s="609"/>
      <c r="KDD148" s="609"/>
      <c r="KDE148" s="609"/>
      <c r="KDF148" s="609"/>
      <c r="KDG148" s="609"/>
      <c r="KDH148" s="609"/>
      <c r="KDI148" s="609"/>
      <c r="KDJ148" s="609"/>
      <c r="KDK148" s="609"/>
      <c r="KDL148" s="609"/>
      <c r="KDM148" s="609"/>
      <c r="KDN148" s="609"/>
      <c r="KDO148" s="609"/>
      <c r="KDP148" s="609"/>
      <c r="KDQ148" s="609"/>
      <c r="KDR148" s="609"/>
      <c r="KDS148" s="609"/>
      <c r="KDT148" s="609"/>
      <c r="KDU148" s="609"/>
      <c r="KDV148" s="609"/>
      <c r="KDW148" s="609"/>
      <c r="KDX148" s="609"/>
      <c r="KDY148" s="609"/>
      <c r="KDZ148" s="609"/>
      <c r="KEA148" s="609"/>
      <c r="KEB148" s="609"/>
      <c r="KEC148" s="609"/>
      <c r="KED148" s="609"/>
      <c r="KEE148" s="609"/>
      <c r="KEF148" s="609"/>
      <c r="KEG148" s="609"/>
      <c r="KEH148" s="609"/>
      <c r="KEI148" s="609"/>
      <c r="KEJ148" s="609"/>
      <c r="KEK148" s="609"/>
      <c r="KEL148" s="609"/>
      <c r="KEM148" s="609"/>
      <c r="KEN148" s="609"/>
      <c r="KEO148" s="609"/>
      <c r="KEP148" s="609"/>
      <c r="KEQ148" s="609"/>
      <c r="KER148" s="609"/>
      <c r="KES148" s="609"/>
      <c r="KET148" s="609"/>
      <c r="KEU148" s="609"/>
      <c r="KEV148" s="609"/>
      <c r="KEW148" s="609"/>
      <c r="KEX148" s="609"/>
      <c r="KEY148" s="609"/>
      <c r="KEZ148" s="609"/>
      <c r="KFA148" s="609"/>
      <c r="KFB148" s="609"/>
      <c r="KFC148" s="609"/>
      <c r="KFD148" s="609"/>
      <c r="KFE148" s="609"/>
      <c r="KFF148" s="609"/>
      <c r="KFG148" s="609"/>
      <c r="KFH148" s="609"/>
      <c r="KFI148" s="609"/>
      <c r="KFJ148" s="609"/>
      <c r="KFK148" s="609"/>
      <c r="KFL148" s="609"/>
      <c r="KFM148" s="609"/>
      <c r="KFN148" s="609"/>
      <c r="KFO148" s="609"/>
      <c r="KFP148" s="609"/>
      <c r="KFQ148" s="609"/>
      <c r="KFR148" s="609"/>
      <c r="KFS148" s="609"/>
      <c r="KFT148" s="609"/>
      <c r="KFU148" s="609"/>
      <c r="KFV148" s="609"/>
      <c r="KFW148" s="609"/>
      <c r="KFX148" s="609"/>
      <c r="KFY148" s="609"/>
      <c r="KFZ148" s="609"/>
      <c r="KGA148" s="609"/>
      <c r="KGB148" s="609"/>
      <c r="KGC148" s="609"/>
      <c r="KGD148" s="609"/>
      <c r="KGE148" s="609"/>
      <c r="KGF148" s="609"/>
      <c r="KGG148" s="609"/>
      <c r="KGH148" s="609"/>
      <c r="KGI148" s="609"/>
      <c r="KGJ148" s="609"/>
      <c r="KGK148" s="609"/>
      <c r="KGL148" s="609"/>
      <c r="KGM148" s="609"/>
      <c r="KGN148" s="609"/>
      <c r="KGO148" s="609"/>
      <c r="KGP148" s="609"/>
      <c r="KGQ148" s="609"/>
      <c r="KGR148" s="609"/>
      <c r="KGS148" s="609"/>
      <c r="KGT148" s="609"/>
      <c r="KGU148" s="609"/>
      <c r="KGV148" s="609"/>
      <c r="KGW148" s="609"/>
      <c r="KGX148" s="609"/>
      <c r="KGY148" s="609"/>
      <c r="KGZ148" s="609"/>
      <c r="KHA148" s="609"/>
      <c r="KHB148" s="609"/>
      <c r="KHC148" s="609"/>
      <c r="KHD148" s="609"/>
      <c r="KHE148" s="609"/>
      <c r="KHF148" s="609"/>
      <c r="KHG148" s="609"/>
      <c r="KHH148" s="609"/>
      <c r="KHI148" s="609"/>
      <c r="KHJ148" s="609"/>
      <c r="KHK148" s="609"/>
      <c r="KHL148" s="609"/>
      <c r="KHM148" s="609"/>
      <c r="KHN148" s="609"/>
      <c r="KHO148" s="609"/>
      <c r="KHP148" s="609"/>
      <c r="KHQ148" s="609"/>
      <c r="KHR148" s="609"/>
      <c r="KHS148" s="609"/>
      <c r="KHT148" s="609"/>
      <c r="KHU148" s="609"/>
      <c r="KHV148" s="609"/>
      <c r="KHW148" s="609"/>
      <c r="KHX148" s="609"/>
      <c r="KHY148" s="609"/>
      <c r="KHZ148" s="609"/>
      <c r="KIA148" s="609"/>
      <c r="KIB148" s="609"/>
      <c r="KIC148" s="609"/>
      <c r="KID148" s="609"/>
      <c r="KIE148" s="609"/>
      <c r="KIF148" s="609"/>
      <c r="KIG148" s="609"/>
      <c r="KIH148" s="609"/>
      <c r="KII148" s="609"/>
      <c r="KIJ148" s="609"/>
      <c r="KIK148" s="609"/>
      <c r="KIL148" s="609"/>
      <c r="KIM148" s="609"/>
      <c r="KIN148" s="609"/>
      <c r="KIO148" s="609"/>
      <c r="KIP148" s="609"/>
      <c r="KIQ148" s="609"/>
      <c r="KIR148" s="609"/>
      <c r="KIS148" s="609"/>
      <c r="KIT148" s="609"/>
      <c r="KIU148" s="609"/>
      <c r="KIV148" s="609"/>
      <c r="KIW148" s="609"/>
      <c r="KIX148" s="609"/>
      <c r="KIY148" s="609"/>
      <c r="KIZ148" s="609"/>
      <c r="KJA148" s="609"/>
      <c r="KJB148" s="609"/>
      <c r="KJC148" s="609"/>
      <c r="KJD148" s="609"/>
      <c r="KJE148" s="609"/>
      <c r="KJF148" s="609"/>
      <c r="KJG148" s="609"/>
      <c r="KJH148" s="609"/>
      <c r="KJI148" s="609"/>
      <c r="KJJ148" s="609"/>
      <c r="KJK148" s="609"/>
      <c r="KJL148" s="609"/>
      <c r="KJM148" s="609"/>
      <c r="KJN148" s="609"/>
      <c r="KJO148" s="609"/>
      <c r="KJP148" s="609"/>
      <c r="KJQ148" s="609"/>
      <c r="KJR148" s="609"/>
      <c r="KJS148" s="609"/>
      <c r="KJT148" s="609"/>
      <c r="KJU148" s="609"/>
      <c r="KJV148" s="609"/>
      <c r="KJW148" s="609"/>
      <c r="KJX148" s="609"/>
      <c r="KJY148" s="609"/>
      <c r="KJZ148" s="609"/>
      <c r="KKA148" s="609"/>
      <c r="KKB148" s="609"/>
      <c r="KKC148" s="609"/>
      <c r="KKD148" s="609"/>
      <c r="KKE148" s="609"/>
      <c r="KKF148" s="609"/>
      <c r="KKG148" s="609"/>
      <c r="KKH148" s="609"/>
      <c r="KKI148" s="609"/>
      <c r="KKJ148" s="609"/>
      <c r="KKK148" s="609"/>
      <c r="KKL148" s="609"/>
      <c r="KKM148" s="609"/>
      <c r="KKN148" s="609"/>
      <c r="KKO148" s="609"/>
      <c r="KKP148" s="609"/>
      <c r="KKQ148" s="609"/>
      <c r="KKR148" s="609"/>
      <c r="KKS148" s="609"/>
      <c r="KKT148" s="609"/>
      <c r="KKU148" s="609"/>
      <c r="KKV148" s="609"/>
      <c r="KKW148" s="609"/>
      <c r="KKX148" s="609"/>
      <c r="KKY148" s="609"/>
      <c r="KKZ148" s="609"/>
      <c r="KLA148" s="609"/>
      <c r="KLB148" s="609"/>
      <c r="KLC148" s="609"/>
      <c r="KLD148" s="609"/>
      <c r="KLE148" s="609"/>
      <c r="KLF148" s="609"/>
      <c r="KLG148" s="609"/>
      <c r="KLH148" s="609"/>
      <c r="KLI148" s="609"/>
      <c r="KLJ148" s="609"/>
      <c r="KLK148" s="609"/>
      <c r="KLL148" s="609"/>
      <c r="KLM148" s="609"/>
      <c r="KLN148" s="609"/>
      <c r="KLO148" s="609"/>
      <c r="KLP148" s="609"/>
      <c r="KLQ148" s="609"/>
      <c r="KLR148" s="609"/>
      <c r="KLS148" s="609"/>
      <c r="KLT148" s="609"/>
      <c r="KLU148" s="609"/>
      <c r="KLV148" s="609"/>
      <c r="KLW148" s="609"/>
      <c r="KLX148" s="609"/>
      <c r="KLY148" s="609"/>
      <c r="KLZ148" s="609"/>
      <c r="KMA148" s="609"/>
      <c r="KMB148" s="609"/>
      <c r="KMC148" s="609"/>
      <c r="KMD148" s="609"/>
      <c r="KME148" s="609"/>
      <c r="KMF148" s="609"/>
      <c r="KMG148" s="609"/>
      <c r="KMH148" s="609"/>
      <c r="KMI148" s="609"/>
      <c r="KMJ148" s="609"/>
      <c r="KMK148" s="609"/>
      <c r="KML148" s="609"/>
      <c r="KMM148" s="609"/>
      <c r="KMN148" s="609"/>
      <c r="KMO148" s="609"/>
      <c r="KMP148" s="609"/>
      <c r="KMQ148" s="609"/>
      <c r="KMR148" s="609"/>
      <c r="KMS148" s="609"/>
      <c r="KMT148" s="609"/>
      <c r="KMU148" s="609"/>
      <c r="KMV148" s="609"/>
      <c r="KMW148" s="609"/>
      <c r="KMX148" s="609"/>
      <c r="KMY148" s="609"/>
      <c r="KMZ148" s="609"/>
      <c r="KNA148" s="609"/>
      <c r="KNB148" s="609"/>
      <c r="KNC148" s="609"/>
      <c r="KND148" s="609"/>
      <c r="KNE148" s="609"/>
      <c r="KNF148" s="609"/>
      <c r="KNG148" s="609"/>
      <c r="KNH148" s="609"/>
      <c r="KNI148" s="609"/>
      <c r="KNJ148" s="609"/>
      <c r="KNK148" s="609"/>
      <c r="KNL148" s="609"/>
      <c r="KNM148" s="609"/>
      <c r="KNN148" s="609"/>
      <c r="KNO148" s="609"/>
      <c r="KNP148" s="609"/>
      <c r="KNQ148" s="609"/>
      <c r="KNR148" s="609"/>
      <c r="KNS148" s="609"/>
      <c r="KNT148" s="609"/>
      <c r="KNU148" s="609"/>
      <c r="KNV148" s="609"/>
      <c r="KNW148" s="609"/>
      <c r="KNX148" s="609"/>
      <c r="KNY148" s="609"/>
      <c r="KNZ148" s="609"/>
      <c r="KOA148" s="609"/>
      <c r="KOB148" s="609"/>
      <c r="KOC148" s="609"/>
      <c r="KOD148" s="609"/>
      <c r="KOE148" s="609"/>
      <c r="KOF148" s="609"/>
      <c r="KOG148" s="609"/>
      <c r="KOH148" s="609"/>
      <c r="KOI148" s="609"/>
      <c r="KOJ148" s="609"/>
      <c r="KOK148" s="609"/>
      <c r="KOL148" s="609"/>
      <c r="KOM148" s="609"/>
      <c r="KON148" s="609"/>
      <c r="KOO148" s="609"/>
      <c r="KOP148" s="609"/>
      <c r="KOQ148" s="609"/>
      <c r="KOR148" s="609"/>
      <c r="KOS148" s="609"/>
      <c r="KOT148" s="609"/>
      <c r="KOU148" s="609"/>
      <c r="KOV148" s="609"/>
      <c r="KOW148" s="609"/>
      <c r="KOX148" s="609"/>
      <c r="KOY148" s="609"/>
      <c r="KOZ148" s="609"/>
      <c r="KPA148" s="609"/>
      <c r="KPB148" s="609"/>
      <c r="KPC148" s="609"/>
      <c r="KPD148" s="609"/>
      <c r="KPE148" s="609"/>
      <c r="KPF148" s="609"/>
      <c r="KPG148" s="609"/>
      <c r="KPH148" s="609"/>
      <c r="KPI148" s="609"/>
      <c r="KPJ148" s="609"/>
      <c r="KPK148" s="609"/>
      <c r="KPL148" s="609"/>
      <c r="KPM148" s="609"/>
      <c r="KPN148" s="609"/>
      <c r="KPO148" s="609"/>
      <c r="KPP148" s="609"/>
      <c r="KPQ148" s="609"/>
      <c r="KPR148" s="609"/>
      <c r="KPS148" s="609"/>
      <c r="KPT148" s="609"/>
      <c r="KPU148" s="609"/>
      <c r="KPV148" s="609"/>
      <c r="KPW148" s="609"/>
      <c r="KPX148" s="609"/>
      <c r="KPY148" s="609"/>
      <c r="KPZ148" s="609"/>
      <c r="KQA148" s="609"/>
      <c r="KQB148" s="609"/>
      <c r="KQC148" s="609"/>
      <c r="KQD148" s="609"/>
      <c r="KQE148" s="609"/>
      <c r="KQF148" s="609"/>
      <c r="KQG148" s="609"/>
      <c r="KQH148" s="609"/>
      <c r="KQI148" s="609"/>
      <c r="KQJ148" s="609"/>
      <c r="KQK148" s="609"/>
      <c r="KQL148" s="609"/>
      <c r="KQM148" s="609"/>
      <c r="KQN148" s="609"/>
      <c r="KQO148" s="609"/>
      <c r="KQP148" s="609"/>
      <c r="KQQ148" s="609"/>
      <c r="KQR148" s="609"/>
      <c r="KQS148" s="609"/>
      <c r="KQT148" s="609"/>
      <c r="KQU148" s="609"/>
      <c r="KQV148" s="609"/>
      <c r="KQW148" s="609"/>
      <c r="KQX148" s="609"/>
      <c r="KQY148" s="609"/>
      <c r="KQZ148" s="609"/>
      <c r="KRA148" s="609"/>
      <c r="KRB148" s="609"/>
      <c r="KRC148" s="609"/>
      <c r="KRD148" s="609"/>
      <c r="KRE148" s="609"/>
      <c r="KRF148" s="609"/>
      <c r="KRG148" s="609"/>
      <c r="KRH148" s="609"/>
      <c r="KRI148" s="609"/>
      <c r="KRJ148" s="609"/>
      <c r="KRK148" s="609"/>
      <c r="KRL148" s="609"/>
      <c r="KRM148" s="609"/>
      <c r="KRN148" s="609"/>
      <c r="KRO148" s="609"/>
      <c r="KRP148" s="609"/>
      <c r="KRQ148" s="609"/>
      <c r="KRR148" s="609"/>
      <c r="KRS148" s="609"/>
      <c r="KRT148" s="609"/>
      <c r="KRU148" s="609"/>
      <c r="KRV148" s="609"/>
      <c r="KRW148" s="609"/>
      <c r="KRX148" s="609"/>
      <c r="KRY148" s="609"/>
      <c r="KRZ148" s="609"/>
      <c r="KSA148" s="609"/>
      <c r="KSB148" s="609"/>
      <c r="KSC148" s="609"/>
      <c r="KSD148" s="609"/>
      <c r="KSE148" s="609"/>
      <c r="KSF148" s="609"/>
      <c r="KSG148" s="609"/>
      <c r="KSH148" s="609"/>
      <c r="KSI148" s="609"/>
      <c r="KSJ148" s="609"/>
      <c r="KSK148" s="609"/>
      <c r="KSL148" s="609"/>
      <c r="KSM148" s="609"/>
      <c r="KSN148" s="609"/>
      <c r="KSO148" s="609"/>
      <c r="KSP148" s="609"/>
      <c r="KSQ148" s="609"/>
      <c r="KSR148" s="609"/>
      <c r="KSS148" s="609"/>
      <c r="KST148" s="609"/>
      <c r="KSU148" s="609"/>
      <c r="KSV148" s="609"/>
      <c r="KSW148" s="609"/>
      <c r="KSX148" s="609"/>
      <c r="KSY148" s="609"/>
      <c r="KSZ148" s="609"/>
      <c r="KTA148" s="609"/>
      <c r="KTB148" s="609"/>
      <c r="KTC148" s="609"/>
      <c r="KTD148" s="609"/>
      <c r="KTE148" s="609"/>
      <c r="KTF148" s="609"/>
      <c r="KTG148" s="609"/>
      <c r="KTH148" s="609"/>
      <c r="KTI148" s="609"/>
      <c r="KTJ148" s="609"/>
      <c r="KTK148" s="609"/>
      <c r="KTL148" s="609"/>
      <c r="KTM148" s="609"/>
      <c r="KTN148" s="609"/>
      <c r="KTO148" s="609"/>
      <c r="KTP148" s="609"/>
      <c r="KTQ148" s="609"/>
      <c r="KTR148" s="609"/>
      <c r="KTS148" s="609"/>
      <c r="KTT148" s="609"/>
      <c r="KTU148" s="609"/>
      <c r="KTV148" s="609"/>
      <c r="KTW148" s="609"/>
      <c r="KTX148" s="609"/>
      <c r="KTY148" s="609"/>
      <c r="KTZ148" s="609"/>
      <c r="KUA148" s="609"/>
      <c r="KUB148" s="609"/>
      <c r="KUC148" s="609"/>
      <c r="KUD148" s="609"/>
      <c r="KUE148" s="609"/>
      <c r="KUF148" s="609"/>
      <c r="KUG148" s="609"/>
      <c r="KUH148" s="609"/>
      <c r="KUI148" s="609"/>
      <c r="KUJ148" s="609"/>
      <c r="KUK148" s="609"/>
      <c r="KUL148" s="609"/>
      <c r="KUM148" s="609"/>
      <c r="KUN148" s="609"/>
      <c r="KUO148" s="609"/>
      <c r="KUP148" s="609"/>
      <c r="KUQ148" s="609"/>
      <c r="KUR148" s="609"/>
      <c r="KUS148" s="609"/>
      <c r="KUT148" s="609"/>
      <c r="KUU148" s="609"/>
      <c r="KUV148" s="609"/>
      <c r="KUW148" s="609"/>
      <c r="KUX148" s="609"/>
      <c r="KUY148" s="609"/>
      <c r="KUZ148" s="609"/>
      <c r="KVA148" s="609"/>
      <c r="KVB148" s="609"/>
      <c r="KVC148" s="609"/>
      <c r="KVD148" s="609"/>
      <c r="KVE148" s="609"/>
      <c r="KVF148" s="609"/>
      <c r="KVG148" s="609"/>
      <c r="KVH148" s="609"/>
      <c r="KVI148" s="609"/>
      <c r="KVJ148" s="609"/>
      <c r="KVK148" s="609"/>
      <c r="KVL148" s="609"/>
      <c r="KVM148" s="609"/>
      <c r="KVN148" s="609"/>
      <c r="KVO148" s="609"/>
      <c r="KVP148" s="609"/>
      <c r="KVQ148" s="609"/>
      <c r="KVR148" s="609"/>
      <c r="KVS148" s="609"/>
      <c r="KVT148" s="609"/>
      <c r="KVU148" s="609"/>
      <c r="KVV148" s="609"/>
      <c r="KVW148" s="609"/>
      <c r="KVX148" s="609"/>
      <c r="KVY148" s="609"/>
      <c r="KVZ148" s="609"/>
      <c r="KWA148" s="609"/>
      <c r="KWB148" s="609"/>
      <c r="KWC148" s="609"/>
      <c r="KWD148" s="609"/>
      <c r="KWE148" s="609"/>
      <c r="KWF148" s="609"/>
      <c r="KWG148" s="609"/>
      <c r="KWH148" s="609"/>
      <c r="KWI148" s="609"/>
      <c r="KWJ148" s="609"/>
      <c r="KWK148" s="609"/>
      <c r="KWL148" s="609"/>
      <c r="KWM148" s="609"/>
      <c r="KWN148" s="609"/>
      <c r="KWO148" s="609"/>
      <c r="KWP148" s="609"/>
      <c r="KWQ148" s="609"/>
      <c r="KWR148" s="609"/>
      <c r="KWS148" s="609"/>
      <c r="KWT148" s="609"/>
      <c r="KWU148" s="609"/>
      <c r="KWV148" s="609"/>
      <c r="KWW148" s="609"/>
      <c r="KWX148" s="609"/>
      <c r="KWY148" s="609"/>
      <c r="KWZ148" s="609"/>
      <c r="KXA148" s="609"/>
      <c r="KXB148" s="609"/>
      <c r="KXC148" s="609"/>
      <c r="KXD148" s="609"/>
      <c r="KXE148" s="609"/>
      <c r="KXF148" s="609"/>
      <c r="KXG148" s="609"/>
      <c r="KXH148" s="609"/>
      <c r="KXI148" s="609"/>
      <c r="KXJ148" s="609"/>
      <c r="KXK148" s="609"/>
      <c r="KXL148" s="609"/>
      <c r="KXM148" s="609"/>
      <c r="KXN148" s="609"/>
      <c r="KXO148" s="609"/>
      <c r="KXP148" s="609"/>
      <c r="KXQ148" s="609"/>
      <c r="KXR148" s="609"/>
      <c r="KXS148" s="609"/>
      <c r="KXT148" s="609"/>
      <c r="KXU148" s="609"/>
      <c r="KXV148" s="609"/>
      <c r="KXW148" s="609"/>
      <c r="KXX148" s="609"/>
      <c r="KXY148" s="609"/>
      <c r="KXZ148" s="609"/>
      <c r="KYA148" s="609"/>
      <c r="KYB148" s="609"/>
      <c r="KYC148" s="609"/>
      <c r="KYD148" s="609"/>
      <c r="KYE148" s="609"/>
      <c r="KYF148" s="609"/>
      <c r="KYG148" s="609"/>
      <c r="KYH148" s="609"/>
      <c r="KYI148" s="609"/>
      <c r="KYJ148" s="609"/>
      <c r="KYK148" s="609"/>
      <c r="KYL148" s="609"/>
      <c r="KYM148" s="609"/>
      <c r="KYN148" s="609"/>
      <c r="KYO148" s="609"/>
      <c r="KYP148" s="609"/>
      <c r="KYQ148" s="609"/>
      <c r="KYR148" s="609"/>
      <c r="KYS148" s="609"/>
      <c r="KYT148" s="609"/>
      <c r="KYU148" s="609"/>
      <c r="KYV148" s="609"/>
      <c r="KYW148" s="609"/>
      <c r="KYX148" s="609"/>
      <c r="KYY148" s="609"/>
      <c r="KYZ148" s="609"/>
      <c r="KZA148" s="609"/>
      <c r="KZB148" s="609"/>
      <c r="KZC148" s="609"/>
      <c r="KZD148" s="609"/>
      <c r="KZE148" s="609"/>
      <c r="KZF148" s="609"/>
      <c r="KZG148" s="609"/>
      <c r="KZH148" s="609"/>
      <c r="KZI148" s="609"/>
      <c r="KZJ148" s="609"/>
      <c r="KZK148" s="609"/>
      <c r="KZL148" s="609"/>
      <c r="KZM148" s="609"/>
      <c r="KZN148" s="609"/>
      <c r="KZO148" s="609"/>
      <c r="KZP148" s="609"/>
      <c r="KZQ148" s="609"/>
      <c r="KZR148" s="609"/>
      <c r="KZS148" s="609"/>
      <c r="KZT148" s="609"/>
      <c r="KZU148" s="609"/>
      <c r="KZV148" s="609"/>
      <c r="KZW148" s="609"/>
      <c r="KZX148" s="609"/>
      <c r="KZY148" s="609"/>
      <c r="KZZ148" s="609"/>
      <c r="LAA148" s="609"/>
      <c r="LAB148" s="609"/>
      <c r="LAC148" s="609"/>
      <c r="LAD148" s="609"/>
      <c r="LAE148" s="609"/>
      <c r="LAF148" s="609"/>
      <c r="LAG148" s="609"/>
      <c r="LAH148" s="609"/>
      <c r="LAI148" s="609"/>
      <c r="LAJ148" s="609"/>
      <c r="LAK148" s="609"/>
      <c r="LAL148" s="609"/>
      <c r="LAM148" s="609"/>
      <c r="LAN148" s="609"/>
      <c r="LAO148" s="609"/>
      <c r="LAP148" s="609"/>
      <c r="LAQ148" s="609"/>
      <c r="LAR148" s="609"/>
      <c r="LAS148" s="609"/>
      <c r="LAT148" s="609"/>
      <c r="LAU148" s="609"/>
      <c r="LAV148" s="609"/>
      <c r="LAW148" s="609"/>
      <c r="LAX148" s="609"/>
      <c r="LAY148" s="609"/>
      <c r="LAZ148" s="609"/>
      <c r="LBA148" s="609"/>
      <c r="LBB148" s="609"/>
      <c r="LBC148" s="609"/>
      <c r="LBD148" s="609"/>
      <c r="LBE148" s="609"/>
      <c r="LBF148" s="609"/>
      <c r="LBG148" s="609"/>
      <c r="LBH148" s="609"/>
      <c r="LBI148" s="609"/>
      <c r="LBJ148" s="609"/>
      <c r="LBK148" s="609"/>
      <c r="LBL148" s="609"/>
      <c r="LBM148" s="609"/>
      <c r="LBN148" s="609"/>
      <c r="LBO148" s="609"/>
      <c r="LBP148" s="609"/>
      <c r="LBQ148" s="609"/>
      <c r="LBR148" s="609"/>
      <c r="LBS148" s="609"/>
      <c r="LBT148" s="609"/>
      <c r="LBU148" s="609"/>
      <c r="LBV148" s="609"/>
      <c r="LBW148" s="609"/>
      <c r="LBX148" s="609"/>
      <c r="LBY148" s="609"/>
      <c r="LBZ148" s="609"/>
      <c r="LCA148" s="609"/>
      <c r="LCB148" s="609"/>
      <c r="LCC148" s="609"/>
      <c r="LCD148" s="609"/>
      <c r="LCE148" s="609"/>
      <c r="LCF148" s="609"/>
      <c r="LCG148" s="609"/>
      <c r="LCH148" s="609"/>
      <c r="LCI148" s="609"/>
      <c r="LCJ148" s="609"/>
      <c r="LCK148" s="609"/>
      <c r="LCL148" s="609"/>
      <c r="LCM148" s="609"/>
      <c r="LCN148" s="609"/>
      <c r="LCO148" s="609"/>
      <c r="LCP148" s="609"/>
      <c r="LCQ148" s="609"/>
      <c r="LCR148" s="609"/>
      <c r="LCS148" s="609"/>
      <c r="LCT148" s="609"/>
      <c r="LCU148" s="609"/>
      <c r="LCV148" s="609"/>
      <c r="LCW148" s="609"/>
      <c r="LCX148" s="609"/>
      <c r="LCY148" s="609"/>
      <c r="LCZ148" s="609"/>
      <c r="LDA148" s="609"/>
      <c r="LDB148" s="609"/>
      <c r="LDC148" s="609"/>
      <c r="LDD148" s="609"/>
      <c r="LDE148" s="609"/>
      <c r="LDF148" s="609"/>
      <c r="LDG148" s="609"/>
      <c r="LDH148" s="609"/>
      <c r="LDI148" s="609"/>
      <c r="LDJ148" s="609"/>
      <c r="LDK148" s="609"/>
      <c r="LDL148" s="609"/>
      <c r="LDM148" s="609"/>
      <c r="LDN148" s="609"/>
      <c r="LDO148" s="609"/>
      <c r="LDP148" s="609"/>
      <c r="LDQ148" s="609"/>
      <c r="LDR148" s="609"/>
      <c r="LDS148" s="609"/>
      <c r="LDT148" s="609"/>
      <c r="LDU148" s="609"/>
      <c r="LDV148" s="609"/>
      <c r="LDW148" s="609"/>
      <c r="LDX148" s="609"/>
      <c r="LDY148" s="609"/>
      <c r="LDZ148" s="609"/>
      <c r="LEA148" s="609"/>
      <c r="LEB148" s="609"/>
      <c r="LEC148" s="609"/>
      <c r="LED148" s="609"/>
      <c r="LEE148" s="609"/>
      <c r="LEF148" s="609"/>
      <c r="LEG148" s="609"/>
      <c r="LEH148" s="609"/>
      <c r="LEI148" s="609"/>
      <c r="LEJ148" s="609"/>
      <c r="LEK148" s="609"/>
      <c r="LEL148" s="609"/>
      <c r="LEM148" s="609"/>
      <c r="LEN148" s="609"/>
      <c r="LEO148" s="609"/>
      <c r="LEP148" s="609"/>
      <c r="LEQ148" s="609"/>
      <c r="LER148" s="609"/>
      <c r="LES148" s="609"/>
      <c r="LET148" s="609"/>
      <c r="LEU148" s="609"/>
      <c r="LEV148" s="609"/>
      <c r="LEW148" s="609"/>
      <c r="LEX148" s="609"/>
      <c r="LEY148" s="609"/>
      <c r="LEZ148" s="609"/>
      <c r="LFA148" s="609"/>
      <c r="LFB148" s="609"/>
      <c r="LFC148" s="609"/>
      <c r="LFD148" s="609"/>
      <c r="LFE148" s="609"/>
      <c r="LFF148" s="609"/>
      <c r="LFG148" s="609"/>
      <c r="LFH148" s="609"/>
      <c r="LFI148" s="609"/>
      <c r="LFJ148" s="609"/>
      <c r="LFK148" s="609"/>
      <c r="LFL148" s="609"/>
      <c r="LFM148" s="609"/>
      <c r="LFN148" s="609"/>
      <c r="LFO148" s="609"/>
      <c r="LFP148" s="609"/>
      <c r="LFQ148" s="609"/>
      <c r="LFR148" s="609"/>
      <c r="LFS148" s="609"/>
      <c r="LFT148" s="609"/>
      <c r="LFU148" s="609"/>
      <c r="LFV148" s="609"/>
      <c r="LFW148" s="609"/>
      <c r="LFX148" s="609"/>
      <c r="LFY148" s="609"/>
      <c r="LFZ148" s="609"/>
      <c r="LGA148" s="609"/>
      <c r="LGB148" s="609"/>
      <c r="LGC148" s="609"/>
      <c r="LGD148" s="609"/>
      <c r="LGE148" s="609"/>
      <c r="LGF148" s="609"/>
      <c r="LGG148" s="609"/>
      <c r="LGH148" s="609"/>
      <c r="LGI148" s="609"/>
      <c r="LGJ148" s="609"/>
      <c r="LGK148" s="609"/>
      <c r="LGL148" s="609"/>
      <c r="LGM148" s="609"/>
      <c r="LGN148" s="609"/>
      <c r="LGO148" s="609"/>
      <c r="LGP148" s="609"/>
      <c r="LGQ148" s="609"/>
      <c r="LGR148" s="609"/>
      <c r="LGS148" s="609"/>
      <c r="LGT148" s="609"/>
      <c r="LGU148" s="609"/>
      <c r="LGV148" s="609"/>
      <c r="LGW148" s="609"/>
      <c r="LGX148" s="609"/>
      <c r="LGY148" s="609"/>
      <c r="LGZ148" s="609"/>
      <c r="LHA148" s="609"/>
      <c r="LHB148" s="609"/>
      <c r="LHC148" s="609"/>
      <c r="LHD148" s="609"/>
      <c r="LHE148" s="609"/>
      <c r="LHF148" s="609"/>
      <c r="LHG148" s="609"/>
      <c r="LHH148" s="609"/>
      <c r="LHI148" s="609"/>
      <c r="LHJ148" s="609"/>
      <c r="LHK148" s="609"/>
      <c r="LHL148" s="609"/>
      <c r="LHM148" s="609"/>
      <c r="LHN148" s="609"/>
      <c r="LHO148" s="609"/>
      <c r="LHP148" s="609"/>
      <c r="LHQ148" s="609"/>
      <c r="LHR148" s="609"/>
      <c r="LHS148" s="609"/>
      <c r="LHT148" s="609"/>
      <c r="LHU148" s="609"/>
      <c r="LHV148" s="609"/>
      <c r="LHW148" s="609"/>
      <c r="LHX148" s="609"/>
      <c r="LHY148" s="609"/>
      <c r="LHZ148" s="609"/>
      <c r="LIA148" s="609"/>
      <c r="LIB148" s="609"/>
      <c r="LIC148" s="609"/>
      <c r="LID148" s="609"/>
      <c r="LIE148" s="609"/>
      <c r="LIF148" s="609"/>
      <c r="LIG148" s="609"/>
      <c r="LIH148" s="609"/>
      <c r="LII148" s="609"/>
      <c r="LIJ148" s="609"/>
      <c r="LIK148" s="609"/>
      <c r="LIL148" s="609"/>
      <c r="LIM148" s="609"/>
      <c r="LIN148" s="609"/>
      <c r="LIO148" s="609"/>
      <c r="LIP148" s="609"/>
      <c r="LIQ148" s="609"/>
      <c r="LIR148" s="609"/>
      <c r="LIS148" s="609"/>
      <c r="LIT148" s="609"/>
      <c r="LIU148" s="609"/>
      <c r="LIV148" s="609"/>
      <c r="LIW148" s="609"/>
      <c r="LIX148" s="609"/>
      <c r="LIY148" s="609"/>
      <c r="LIZ148" s="609"/>
      <c r="LJA148" s="609"/>
      <c r="LJB148" s="609"/>
      <c r="LJC148" s="609"/>
      <c r="LJD148" s="609"/>
      <c r="LJE148" s="609"/>
      <c r="LJF148" s="609"/>
      <c r="LJG148" s="609"/>
      <c r="LJH148" s="609"/>
      <c r="LJI148" s="609"/>
      <c r="LJJ148" s="609"/>
      <c r="LJK148" s="609"/>
      <c r="LJL148" s="609"/>
      <c r="LJM148" s="609"/>
      <c r="LJN148" s="609"/>
      <c r="LJO148" s="609"/>
      <c r="LJP148" s="609"/>
      <c r="LJQ148" s="609"/>
      <c r="LJR148" s="609"/>
      <c r="LJS148" s="609"/>
      <c r="LJT148" s="609"/>
      <c r="LJU148" s="609"/>
      <c r="LJV148" s="609"/>
      <c r="LJW148" s="609"/>
      <c r="LJX148" s="609"/>
      <c r="LJY148" s="609"/>
      <c r="LJZ148" s="609"/>
      <c r="LKA148" s="609"/>
      <c r="LKB148" s="609"/>
      <c r="LKC148" s="609"/>
      <c r="LKD148" s="609"/>
      <c r="LKE148" s="609"/>
      <c r="LKF148" s="609"/>
      <c r="LKG148" s="609"/>
      <c r="LKH148" s="609"/>
      <c r="LKI148" s="609"/>
      <c r="LKJ148" s="609"/>
      <c r="LKK148" s="609"/>
      <c r="LKL148" s="609"/>
      <c r="LKM148" s="609"/>
      <c r="LKN148" s="609"/>
      <c r="LKO148" s="609"/>
      <c r="LKP148" s="609"/>
      <c r="LKQ148" s="609"/>
      <c r="LKR148" s="609"/>
      <c r="LKS148" s="609"/>
      <c r="LKT148" s="609"/>
      <c r="LKU148" s="609"/>
      <c r="LKV148" s="609"/>
      <c r="LKW148" s="609"/>
      <c r="LKX148" s="609"/>
      <c r="LKY148" s="609"/>
      <c r="LKZ148" s="609"/>
      <c r="LLA148" s="609"/>
      <c r="LLB148" s="609"/>
      <c r="LLC148" s="609"/>
      <c r="LLD148" s="609"/>
      <c r="LLE148" s="609"/>
      <c r="LLF148" s="609"/>
      <c r="LLG148" s="609"/>
      <c r="LLH148" s="609"/>
      <c r="LLI148" s="609"/>
      <c r="LLJ148" s="609"/>
      <c r="LLK148" s="609"/>
      <c r="LLL148" s="609"/>
      <c r="LLM148" s="609"/>
      <c r="LLN148" s="609"/>
      <c r="LLO148" s="609"/>
      <c r="LLP148" s="609"/>
      <c r="LLQ148" s="609"/>
      <c r="LLR148" s="609"/>
      <c r="LLS148" s="609"/>
      <c r="LLT148" s="609"/>
      <c r="LLU148" s="609"/>
      <c r="LLV148" s="609"/>
      <c r="LLW148" s="609"/>
      <c r="LLX148" s="609"/>
      <c r="LLY148" s="609"/>
      <c r="LLZ148" s="609"/>
      <c r="LMA148" s="609"/>
      <c r="LMB148" s="609"/>
      <c r="LMC148" s="609"/>
      <c r="LMD148" s="609"/>
      <c r="LME148" s="609"/>
      <c r="LMF148" s="609"/>
      <c r="LMG148" s="609"/>
      <c r="LMH148" s="609"/>
      <c r="LMI148" s="609"/>
      <c r="LMJ148" s="609"/>
      <c r="LMK148" s="609"/>
      <c r="LML148" s="609"/>
      <c r="LMM148" s="609"/>
      <c r="LMN148" s="609"/>
      <c r="LMO148" s="609"/>
      <c r="LMP148" s="609"/>
      <c r="LMQ148" s="609"/>
      <c r="LMR148" s="609"/>
      <c r="LMS148" s="609"/>
      <c r="LMT148" s="609"/>
      <c r="LMU148" s="609"/>
      <c r="LMV148" s="609"/>
      <c r="LMW148" s="609"/>
      <c r="LMX148" s="609"/>
      <c r="LMY148" s="609"/>
      <c r="LMZ148" s="609"/>
      <c r="LNA148" s="609"/>
      <c r="LNB148" s="609"/>
      <c r="LNC148" s="609"/>
      <c r="LND148" s="609"/>
      <c r="LNE148" s="609"/>
      <c r="LNF148" s="609"/>
      <c r="LNG148" s="609"/>
      <c r="LNH148" s="609"/>
      <c r="LNI148" s="609"/>
      <c r="LNJ148" s="609"/>
      <c r="LNK148" s="609"/>
      <c r="LNL148" s="609"/>
      <c r="LNM148" s="609"/>
      <c r="LNN148" s="609"/>
      <c r="LNO148" s="609"/>
      <c r="LNP148" s="609"/>
      <c r="LNQ148" s="609"/>
      <c r="LNR148" s="609"/>
      <c r="LNS148" s="609"/>
      <c r="LNT148" s="609"/>
      <c r="LNU148" s="609"/>
      <c r="LNV148" s="609"/>
      <c r="LNW148" s="609"/>
      <c r="LNX148" s="609"/>
      <c r="LNY148" s="609"/>
      <c r="LNZ148" s="609"/>
      <c r="LOA148" s="609"/>
      <c r="LOB148" s="609"/>
      <c r="LOC148" s="609"/>
      <c r="LOD148" s="609"/>
      <c r="LOE148" s="609"/>
      <c r="LOF148" s="609"/>
      <c r="LOG148" s="609"/>
      <c r="LOH148" s="609"/>
      <c r="LOI148" s="609"/>
      <c r="LOJ148" s="609"/>
      <c r="LOK148" s="609"/>
      <c r="LOL148" s="609"/>
      <c r="LOM148" s="609"/>
      <c r="LON148" s="609"/>
      <c r="LOO148" s="609"/>
      <c r="LOP148" s="609"/>
      <c r="LOQ148" s="609"/>
      <c r="LOR148" s="609"/>
      <c r="LOS148" s="609"/>
      <c r="LOT148" s="609"/>
      <c r="LOU148" s="609"/>
      <c r="LOV148" s="609"/>
      <c r="LOW148" s="609"/>
      <c r="LOX148" s="609"/>
      <c r="LOY148" s="609"/>
      <c r="LOZ148" s="609"/>
      <c r="LPA148" s="609"/>
      <c r="LPB148" s="609"/>
      <c r="LPC148" s="609"/>
      <c r="LPD148" s="609"/>
      <c r="LPE148" s="609"/>
      <c r="LPF148" s="609"/>
      <c r="LPG148" s="609"/>
      <c r="LPH148" s="609"/>
      <c r="LPI148" s="609"/>
      <c r="LPJ148" s="609"/>
      <c r="LPK148" s="609"/>
      <c r="LPL148" s="609"/>
      <c r="LPM148" s="609"/>
      <c r="LPN148" s="609"/>
      <c r="LPO148" s="609"/>
      <c r="LPP148" s="609"/>
      <c r="LPQ148" s="609"/>
      <c r="LPR148" s="609"/>
      <c r="LPS148" s="609"/>
      <c r="LPT148" s="609"/>
      <c r="LPU148" s="609"/>
      <c r="LPV148" s="609"/>
      <c r="LPW148" s="609"/>
      <c r="LPX148" s="609"/>
      <c r="LPY148" s="609"/>
      <c r="LPZ148" s="609"/>
      <c r="LQA148" s="609"/>
      <c r="LQB148" s="609"/>
      <c r="LQC148" s="609"/>
      <c r="LQD148" s="609"/>
      <c r="LQE148" s="609"/>
      <c r="LQF148" s="609"/>
      <c r="LQG148" s="609"/>
      <c r="LQH148" s="609"/>
      <c r="LQI148" s="609"/>
      <c r="LQJ148" s="609"/>
      <c r="LQK148" s="609"/>
      <c r="LQL148" s="609"/>
      <c r="LQM148" s="609"/>
      <c r="LQN148" s="609"/>
      <c r="LQO148" s="609"/>
      <c r="LQP148" s="609"/>
      <c r="LQQ148" s="609"/>
      <c r="LQR148" s="609"/>
      <c r="LQS148" s="609"/>
      <c r="LQT148" s="609"/>
      <c r="LQU148" s="609"/>
      <c r="LQV148" s="609"/>
      <c r="LQW148" s="609"/>
      <c r="LQX148" s="609"/>
      <c r="LQY148" s="609"/>
      <c r="LQZ148" s="609"/>
      <c r="LRA148" s="609"/>
      <c r="LRB148" s="609"/>
      <c r="LRC148" s="609"/>
      <c r="LRD148" s="609"/>
      <c r="LRE148" s="609"/>
      <c r="LRF148" s="609"/>
      <c r="LRG148" s="609"/>
      <c r="LRH148" s="609"/>
      <c r="LRI148" s="609"/>
      <c r="LRJ148" s="609"/>
      <c r="LRK148" s="609"/>
      <c r="LRL148" s="609"/>
      <c r="LRM148" s="609"/>
      <c r="LRN148" s="609"/>
      <c r="LRO148" s="609"/>
      <c r="LRP148" s="609"/>
      <c r="LRQ148" s="609"/>
      <c r="LRR148" s="609"/>
      <c r="LRS148" s="609"/>
      <c r="LRT148" s="609"/>
      <c r="LRU148" s="609"/>
      <c r="LRV148" s="609"/>
      <c r="LRW148" s="609"/>
      <c r="LRX148" s="609"/>
      <c r="LRY148" s="609"/>
      <c r="LRZ148" s="609"/>
      <c r="LSA148" s="609"/>
      <c r="LSB148" s="609"/>
      <c r="LSC148" s="609"/>
      <c r="LSD148" s="609"/>
      <c r="LSE148" s="609"/>
      <c r="LSF148" s="609"/>
      <c r="LSG148" s="609"/>
      <c r="LSH148" s="609"/>
      <c r="LSI148" s="609"/>
      <c r="LSJ148" s="609"/>
      <c r="LSK148" s="609"/>
      <c r="LSL148" s="609"/>
      <c r="LSM148" s="609"/>
      <c r="LSN148" s="609"/>
      <c r="LSO148" s="609"/>
      <c r="LSP148" s="609"/>
      <c r="LSQ148" s="609"/>
      <c r="LSR148" s="609"/>
      <c r="LSS148" s="609"/>
      <c r="LST148" s="609"/>
      <c r="LSU148" s="609"/>
      <c r="LSV148" s="609"/>
      <c r="LSW148" s="609"/>
      <c r="LSX148" s="609"/>
      <c r="LSY148" s="609"/>
      <c r="LSZ148" s="609"/>
      <c r="LTA148" s="609"/>
      <c r="LTB148" s="609"/>
      <c r="LTC148" s="609"/>
      <c r="LTD148" s="609"/>
      <c r="LTE148" s="609"/>
      <c r="LTF148" s="609"/>
      <c r="LTG148" s="609"/>
      <c r="LTH148" s="609"/>
      <c r="LTI148" s="609"/>
      <c r="LTJ148" s="609"/>
      <c r="LTK148" s="609"/>
      <c r="LTL148" s="609"/>
      <c r="LTM148" s="609"/>
      <c r="LTN148" s="609"/>
      <c r="LTO148" s="609"/>
      <c r="LTP148" s="609"/>
      <c r="LTQ148" s="609"/>
      <c r="LTR148" s="609"/>
      <c r="LTS148" s="609"/>
      <c r="LTT148" s="609"/>
      <c r="LTU148" s="609"/>
      <c r="LTV148" s="609"/>
      <c r="LTW148" s="609"/>
      <c r="LTX148" s="609"/>
      <c r="LTY148" s="609"/>
      <c r="LTZ148" s="609"/>
      <c r="LUA148" s="609"/>
      <c r="LUB148" s="609"/>
      <c r="LUC148" s="609"/>
      <c r="LUD148" s="609"/>
      <c r="LUE148" s="609"/>
      <c r="LUF148" s="609"/>
      <c r="LUG148" s="609"/>
      <c r="LUH148" s="609"/>
      <c r="LUI148" s="609"/>
      <c r="LUJ148" s="609"/>
      <c r="LUK148" s="609"/>
      <c r="LUL148" s="609"/>
      <c r="LUM148" s="609"/>
      <c r="LUN148" s="609"/>
      <c r="LUO148" s="609"/>
      <c r="LUP148" s="609"/>
      <c r="LUQ148" s="609"/>
      <c r="LUR148" s="609"/>
      <c r="LUS148" s="609"/>
      <c r="LUT148" s="609"/>
      <c r="LUU148" s="609"/>
      <c r="LUV148" s="609"/>
      <c r="LUW148" s="609"/>
      <c r="LUX148" s="609"/>
      <c r="LUY148" s="609"/>
      <c r="LUZ148" s="609"/>
      <c r="LVA148" s="609"/>
      <c r="LVB148" s="609"/>
      <c r="LVC148" s="609"/>
      <c r="LVD148" s="609"/>
      <c r="LVE148" s="609"/>
      <c r="LVF148" s="609"/>
      <c r="LVG148" s="609"/>
      <c r="LVH148" s="609"/>
      <c r="LVI148" s="609"/>
      <c r="LVJ148" s="609"/>
      <c r="LVK148" s="609"/>
      <c r="LVL148" s="609"/>
      <c r="LVM148" s="609"/>
      <c r="LVN148" s="609"/>
      <c r="LVO148" s="609"/>
      <c r="LVP148" s="609"/>
      <c r="LVQ148" s="609"/>
      <c r="LVR148" s="609"/>
      <c r="LVS148" s="609"/>
      <c r="LVT148" s="609"/>
      <c r="LVU148" s="609"/>
      <c r="LVV148" s="609"/>
      <c r="LVW148" s="609"/>
      <c r="LVX148" s="609"/>
      <c r="LVY148" s="609"/>
      <c r="LVZ148" s="609"/>
      <c r="LWA148" s="609"/>
      <c r="LWB148" s="609"/>
      <c r="LWC148" s="609"/>
      <c r="LWD148" s="609"/>
      <c r="LWE148" s="609"/>
      <c r="LWF148" s="609"/>
      <c r="LWG148" s="609"/>
      <c r="LWH148" s="609"/>
      <c r="LWI148" s="609"/>
      <c r="LWJ148" s="609"/>
      <c r="LWK148" s="609"/>
      <c r="LWL148" s="609"/>
      <c r="LWM148" s="609"/>
      <c r="LWN148" s="609"/>
      <c r="LWO148" s="609"/>
      <c r="LWP148" s="609"/>
      <c r="LWQ148" s="609"/>
      <c r="LWR148" s="609"/>
      <c r="LWS148" s="609"/>
      <c r="LWT148" s="609"/>
      <c r="LWU148" s="609"/>
      <c r="LWV148" s="609"/>
      <c r="LWW148" s="609"/>
      <c r="LWX148" s="609"/>
      <c r="LWY148" s="609"/>
      <c r="LWZ148" s="609"/>
      <c r="LXA148" s="609"/>
      <c r="LXB148" s="609"/>
      <c r="LXC148" s="609"/>
      <c r="LXD148" s="609"/>
      <c r="LXE148" s="609"/>
      <c r="LXF148" s="609"/>
      <c r="LXG148" s="609"/>
      <c r="LXH148" s="609"/>
      <c r="LXI148" s="609"/>
      <c r="LXJ148" s="609"/>
      <c r="LXK148" s="609"/>
      <c r="LXL148" s="609"/>
      <c r="LXM148" s="609"/>
      <c r="LXN148" s="609"/>
      <c r="LXO148" s="609"/>
      <c r="LXP148" s="609"/>
      <c r="LXQ148" s="609"/>
      <c r="LXR148" s="609"/>
      <c r="LXS148" s="609"/>
      <c r="LXT148" s="609"/>
      <c r="LXU148" s="609"/>
      <c r="LXV148" s="609"/>
      <c r="LXW148" s="609"/>
      <c r="LXX148" s="609"/>
      <c r="LXY148" s="609"/>
      <c r="LXZ148" s="609"/>
      <c r="LYA148" s="609"/>
      <c r="LYB148" s="609"/>
      <c r="LYC148" s="609"/>
      <c r="LYD148" s="609"/>
      <c r="LYE148" s="609"/>
      <c r="LYF148" s="609"/>
      <c r="LYG148" s="609"/>
      <c r="LYH148" s="609"/>
      <c r="LYI148" s="609"/>
      <c r="LYJ148" s="609"/>
      <c r="LYK148" s="609"/>
      <c r="LYL148" s="609"/>
      <c r="LYM148" s="609"/>
      <c r="LYN148" s="609"/>
      <c r="LYO148" s="609"/>
      <c r="LYP148" s="609"/>
      <c r="LYQ148" s="609"/>
      <c r="LYR148" s="609"/>
      <c r="LYS148" s="609"/>
      <c r="LYT148" s="609"/>
      <c r="LYU148" s="609"/>
      <c r="LYV148" s="609"/>
      <c r="LYW148" s="609"/>
      <c r="LYX148" s="609"/>
      <c r="LYY148" s="609"/>
      <c r="LYZ148" s="609"/>
      <c r="LZA148" s="609"/>
      <c r="LZB148" s="609"/>
      <c r="LZC148" s="609"/>
      <c r="LZD148" s="609"/>
      <c r="LZE148" s="609"/>
      <c r="LZF148" s="609"/>
      <c r="LZG148" s="609"/>
      <c r="LZH148" s="609"/>
      <c r="LZI148" s="609"/>
      <c r="LZJ148" s="609"/>
      <c r="LZK148" s="609"/>
      <c r="LZL148" s="609"/>
      <c r="LZM148" s="609"/>
      <c r="LZN148" s="609"/>
      <c r="LZO148" s="609"/>
      <c r="LZP148" s="609"/>
      <c r="LZQ148" s="609"/>
      <c r="LZR148" s="609"/>
      <c r="LZS148" s="609"/>
      <c r="LZT148" s="609"/>
      <c r="LZU148" s="609"/>
      <c r="LZV148" s="609"/>
      <c r="LZW148" s="609"/>
      <c r="LZX148" s="609"/>
      <c r="LZY148" s="609"/>
      <c r="LZZ148" s="609"/>
      <c r="MAA148" s="609"/>
      <c r="MAB148" s="609"/>
      <c r="MAC148" s="609"/>
      <c r="MAD148" s="609"/>
      <c r="MAE148" s="609"/>
      <c r="MAF148" s="609"/>
      <c r="MAG148" s="609"/>
      <c r="MAH148" s="609"/>
      <c r="MAI148" s="609"/>
      <c r="MAJ148" s="609"/>
      <c r="MAK148" s="609"/>
      <c r="MAL148" s="609"/>
      <c r="MAM148" s="609"/>
      <c r="MAN148" s="609"/>
      <c r="MAO148" s="609"/>
      <c r="MAP148" s="609"/>
      <c r="MAQ148" s="609"/>
      <c r="MAR148" s="609"/>
      <c r="MAS148" s="609"/>
      <c r="MAT148" s="609"/>
      <c r="MAU148" s="609"/>
      <c r="MAV148" s="609"/>
      <c r="MAW148" s="609"/>
      <c r="MAX148" s="609"/>
      <c r="MAY148" s="609"/>
      <c r="MAZ148" s="609"/>
      <c r="MBA148" s="609"/>
      <c r="MBB148" s="609"/>
      <c r="MBC148" s="609"/>
      <c r="MBD148" s="609"/>
      <c r="MBE148" s="609"/>
      <c r="MBF148" s="609"/>
      <c r="MBG148" s="609"/>
      <c r="MBH148" s="609"/>
      <c r="MBI148" s="609"/>
      <c r="MBJ148" s="609"/>
      <c r="MBK148" s="609"/>
      <c r="MBL148" s="609"/>
      <c r="MBM148" s="609"/>
      <c r="MBN148" s="609"/>
      <c r="MBO148" s="609"/>
      <c r="MBP148" s="609"/>
      <c r="MBQ148" s="609"/>
      <c r="MBR148" s="609"/>
      <c r="MBS148" s="609"/>
      <c r="MBT148" s="609"/>
      <c r="MBU148" s="609"/>
      <c r="MBV148" s="609"/>
      <c r="MBW148" s="609"/>
      <c r="MBX148" s="609"/>
      <c r="MBY148" s="609"/>
      <c r="MBZ148" s="609"/>
      <c r="MCA148" s="609"/>
      <c r="MCB148" s="609"/>
      <c r="MCC148" s="609"/>
      <c r="MCD148" s="609"/>
      <c r="MCE148" s="609"/>
      <c r="MCF148" s="609"/>
      <c r="MCG148" s="609"/>
      <c r="MCH148" s="609"/>
      <c r="MCI148" s="609"/>
      <c r="MCJ148" s="609"/>
      <c r="MCK148" s="609"/>
      <c r="MCL148" s="609"/>
      <c r="MCM148" s="609"/>
      <c r="MCN148" s="609"/>
      <c r="MCO148" s="609"/>
      <c r="MCP148" s="609"/>
      <c r="MCQ148" s="609"/>
      <c r="MCR148" s="609"/>
      <c r="MCS148" s="609"/>
      <c r="MCT148" s="609"/>
      <c r="MCU148" s="609"/>
      <c r="MCV148" s="609"/>
      <c r="MCW148" s="609"/>
      <c r="MCX148" s="609"/>
      <c r="MCY148" s="609"/>
      <c r="MCZ148" s="609"/>
      <c r="MDA148" s="609"/>
      <c r="MDB148" s="609"/>
      <c r="MDC148" s="609"/>
      <c r="MDD148" s="609"/>
      <c r="MDE148" s="609"/>
      <c r="MDF148" s="609"/>
      <c r="MDG148" s="609"/>
      <c r="MDH148" s="609"/>
      <c r="MDI148" s="609"/>
      <c r="MDJ148" s="609"/>
      <c r="MDK148" s="609"/>
      <c r="MDL148" s="609"/>
      <c r="MDM148" s="609"/>
      <c r="MDN148" s="609"/>
      <c r="MDO148" s="609"/>
      <c r="MDP148" s="609"/>
      <c r="MDQ148" s="609"/>
      <c r="MDR148" s="609"/>
      <c r="MDS148" s="609"/>
      <c r="MDT148" s="609"/>
      <c r="MDU148" s="609"/>
      <c r="MDV148" s="609"/>
      <c r="MDW148" s="609"/>
      <c r="MDX148" s="609"/>
      <c r="MDY148" s="609"/>
      <c r="MDZ148" s="609"/>
      <c r="MEA148" s="609"/>
      <c r="MEB148" s="609"/>
      <c r="MEC148" s="609"/>
      <c r="MED148" s="609"/>
      <c r="MEE148" s="609"/>
      <c r="MEF148" s="609"/>
      <c r="MEG148" s="609"/>
      <c r="MEH148" s="609"/>
      <c r="MEI148" s="609"/>
      <c r="MEJ148" s="609"/>
      <c r="MEK148" s="609"/>
      <c r="MEL148" s="609"/>
      <c r="MEM148" s="609"/>
      <c r="MEN148" s="609"/>
      <c r="MEO148" s="609"/>
      <c r="MEP148" s="609"/>
      <c r="MEQ148" s="609"/>
      <c r="MER148" s="609"/>
      <c r="MES148" s="609"/>
      <c r="MET148" s="609"/>
      <c r="MEU148" s="609"/>
      <c r="MEV148" s="609"/>
      <c r="MEW148" s="609"/>
      <c r="MEX148" s="609"/>
      <c r="MEY148" s="609"/>
      <c r="MEZ148" s="609"/>
      <c r="MFA148" s="609"/>
      <c r="MFB148" s="609"/>
      <c r="MFC148" s="609"/>
      <c r="MFD148" s="609"/>
      <c r="MFE148" s="609"/>
      <c r="MFF148" s="609"/>
      <c r="MFG148" s="609"/>
      <c r="MFH148" s="609"/>
      <c r="MFI148" s="609"/>
      <c r="MFJ148" s="609"/>
      <c r="MFK148" s="609"/>
      <c r="MFL148" s="609"/>
      <c r="MFM148" s="609"/>
      <c r="MFN148" s="609"/>
      <c r="MFO148" s="609"/>
      <c r="MFP148" s="609"/>
      <c r="MFQ148" s="609"/>
      <c r="MFR148" s="609"/>
      <c r="MFS148" s="609"/>
      <c r="MFT148" s="609"/>
      <c r="MFU148" s="609"/>
      <c r="MFV148" s="609"/>
      <c r="MFW148" s="609"/>
      <c r="MFX148" s="609"/>
      <c r="MFY148" s="609"/>
      <c r="MFZ148" s="609"/>
      <c r="MGA148" s="609"/>
      <c r="MGB148" s="609"/>
      <c r="MGC148" s="609"/>
      <c r="MGD148" s="609"/>
      <c r="MGE148" s="609"/>
      <c r="MGF148" s="609"/>
      <c r="MGG148" s="609"/>
      <c r="MGH148" s="609"/>
      <c r="MGI148" s="609"/>
      <c r="MGJ148" s="609"/>
      <c r="MGK148" s="609"/>
      <c r="MGL148" s="609"/>
      <c r="MGM148" s="609"/>
      <c r="MGN148" s="609"/>
      <c r="MGO148" s="609"/>
      <c r="MGP148" s="609"/>
      <c r="MGQ148" s="609"/>
      <c r="MGR148" s="609"/>
      <c r="MGS148" s="609"/>
      <c r="MGT148" s="609"/>
      <c r="MGU148" s="609"/>
      <c r="MGV148" s="609"/>
      <c r="MGW148" s="609"/>
      <c r="MGX148" s="609"/>
      <c r="MGY148" s="609"/>
      <c r="MGZ148" s="609"/>
      <c r="MHA148" s="609"/>
      <c r="MHB148" s="609"/>
      <c r="MHC148" s="609"/>
      <c r="MHD148" s="609"/>
      <c r="MHE148" s="609"/>
      <c r="MHF148" s="609"/>
      <c r="MHG148" s="609"/>
      <c r="MHH148" s="609"/>
      <c r="MHI148" s="609"/>
      <c r="MHJ148" s="609"/>
      <c r="MHK148" s="609"/>
      <c r="MHL148" s="609"/>
      <c r="MHM148" s="609"/>
      <c r="MHN148" s="609"/>
      <c r="MHO148" s="609"/>
      <c r="MHP148" s="609"/>
      <c r="MHQ148" s="609"/>
      <c r="MHR148" s="609"/>
      <c r="MHS148" s="609"/>
      <c r="MHT148" s="609"/>
      <c r="MHU148" s="609"/>
      <c r="MHV148" s="609"/>
      <c r="MHW148" s="609"/>
      <c r="MHX148" s="609"/>
      <c r="MHY148" s="609"/>
      <c r="MHZ148" s="609"/>
      <c r="MIA148" s="609"/>
      <c r="MIB148" s="609"/>
      <c r="MIC148" s="609"/>
      <c r="MID148" s="609"/>
      <c r="MIE148" s="609"/>
      <c r="MIF148" s="609"/>
      <c r="MIG148" s="609"/>
      <c r="MIH148" s="609"/>
      <c r="MII148" s="609"/>
      <c r="MIJ148" s="609"/>
      <c r="MIK148" s="609"/>
      <c r="MIL148" s="609"/>
      <c r="MIM148" s="609"/>
      <c r="MIN148" s="609"/>
      <c r="MIO148" s="609"/>
      <c r="MIP148" s="609"/>
      <c r="MIQ148" s="609"/>
      <c r="MIR148" s="609"/>
      <c r="MIS148" s="609"/>
      <c r="MIT148" s="609"/>
      <c r="MIU148" s="609"/>
      <c r="MIV148" s="609"/>
      <c r="MIW148" s="609"/>
      <c r="MIX148" s="609"/>
      <c r="MIY148" s="609"/>
      <c r="MIZ148" s="609"/>
      <c r="MJA148" s="609"/>
      <c r="MJB148" s="609"/>
      <c r="MJC148" s="609"/>
      <c r="MJD148" s="609"/>
      <c r="MJE148" s="609"/>
      <c r="MJF148" s="609"/>
      <c r="MJG148" s="609"/>
      <c r="MJH148" s="609"/>
      <c r="MJI148" s="609"/>
      <c r="MJJ148" s="609"/>
      <c r="MJK148" s="609"/>
      <c r="MJL148" s="609"/>
      <c r="MJM148" s="609"/>
      <c r="MJN148" s="609"/>
      <c r="MJO148" s="609"/>
      <c r="MJP148" s="609"/>
      <c r="MJQ148" s="609"/>
      <c r="MJR148" s="609"/>
      <c r="MJS148" s="609"/>
      <c r="MJT148" s="609"/>
      <c r="MJU148" s="609"/>
      <c r="MJV148" s="609"/>
      <c r="MJW148" s="609"/>
      <c r="MJX148" s="609"/>
      <c r="MJY148" s="609"/>
      <c r="MJZ148" s="609"/>
      <c r="MKA148" s="609"/>
      <c r="MKB148" s="609"/>
      <c r="MKC148" s="609"/>
      <c r="MKD148" s="609"/>
      <c r="MKE148" s="609"/>
      <c r="MKF148" s="609"/>
      <c r="MKG148" s="609"/>
      <c r="MKH148" s="609"/>
      <c r="MKI148" s="609"/>
      <c r="MKJ148" s="609"/>
      <c r="MKK148" s="609"/>
      <c r="MKL148" s="609"/>
      <c r="MKM148" s="609"/>
      <c r="MKN148" s="609"/>
      <c r="MKO148" s="609"/>
      <c r="MKP148" s="609"/>
      <c r="MKQ148" s="609"/>
      <c r="MKR148" s="609"/>
      <c r="MKS148" s="609"/>
      <c r="MKT148" s="609"/>
      <c r="MKU148" s="609"/>
      <c r="MKV148" s="609"/>
      <c r="MKW148" s="609"/>
      <c r="MKX148" s="609"/>
      <c r="MKY148" s="609"/>
      <c r="MKZ148" s="609"/>
      <c r="MLA148" s="609"/>
      <c r="MLB148" s="609"/>
      <c r="MLC148" s="609"/>
      <c r="MLD148" s="609"/>
      <c r="MLE148" s="609"/>
      <c r="MLF148" s="609"/>
      <c r="MLG148" s="609"/>
      <c r="MLH148" s="609"/>
      <c r="MLI148" s="609"/>
      <c r="MLJ148" s="609"/>
      <c r="MLK148" s="609"/>
      <c r="MLL148" s="609"/>
      <c r="MLM148" s="609"/>
      <c r="MLN148" s="609"/>
      <c r="MLO148" s="609"/>
      <c r="MLP148" s="609"/>
      <c r="MLQ148" s="609"/>
      <c r="MLR148" s="609"/>
      <c r="MLS148" s="609"/>
      <c r="MLT148" s="609"/>
      <c r="MLU148" s="609"/>
      <c r="MLV148" s="609"/>
      <c r="MLW148" s="609"/>
      <c r="MLX148" s="609"/>
      <c r="MLY148" s="609"/>
      <c r="MLZ148" s="609"/>
      <c r="MMA148" s="609"/>
      <c r="MMB148" s="609"/>
      <c r="MMC148" s="609"/>
      <c r="MMD148" s="609"/>
      <c r="MME148" s="609"/>
      <c r="MMF148" s="609"/>
      <c r="MMG148" s="609"/>
      <c r="MMH148" s="609"/>
      <c r="MMI148" s="609"/>
      <c r="MMJ148" s="609"/>
      <c r="MMK148" s="609"/>
      <c r="MML148" s="609"/>
      <c r="MMM148" s="609"/>
      <c r="MMN148" s="609"/>
      <c r="MMO148" s="609"/>
      <c r="MMP148" s="609"/>
      <c r="MMQ148" s="609"/>
      <c r="MMR148" s="609"/>
      <c r="MMS148" s="609"/>
      <c r="MMT148" s="609"/>
      <c r="MMU148" s="609"/>
      <c r="MMV148" s="609"/>
      <c r="MMW148" s="609"/>
      <c r="MMX148" s="609"/>
      <c r="MMY148" s="609"/>
      <c r="MMZ148" s="609"/>
      <c r="MNA148" s="609"/>
      <c r="MNB148" s="609"/>
      <c r="MNC148" s="609"/>
      <c r="MND148" s="609"/>
      <c r="MNE148" s="609"/>
      <c r="MNF148" s="609"/>
      <c r="MNG148" s="609"/>
      <c r="MNH148" s="609"/>
      <c r="MNI148" s="609"/>
      <c r="MNJ148" s="609"/>
      <c r="MNK148" s="609"/>
      <c r="MNL148" s="609"/>
      <c r="MNM148" s="609"/>
      <c r="MNN148" s="609"/>
      <c r="MNO148" s="609"/>
      <c r="MNP148" s="609"/>
      <c r="MNQ148" s="609"/>
      <c r="MNR148" s="609"/>
      <c r="MNS148" s="609"/>
      <c r="MNT148" s="609"/>
      <c r="MNU148" s="609"/>
      <c r="MNV148" s="609"/>
      <c r="MNW148" s="609"/>
      <c r="MNX148" s="609"/>
      <c r="MNY148" s="609"/>
      <c r="MNZ148" s="609"/>
      <c r="MOA148" s="609"/>
      <c r="MOB148" s="609"/>
      <c r="MOC148" s="609"/>
      <c r="MOD148" s="609"/>
      <c r="MOE148" s="609"/>
      <c r="MOF148" s="609"/>
      <c r="MOG148" s="609"/>
      <c r="MOH148" s="609"/>
      <c r="MOI148" s="609"/>
      <c r="MOJ148" s="609"/>
      <c r="MOK148" s="609"/>
      <c r="MOL148" s="609"/>
      <c r="MOM148" s="609"/>
      <c r="MON148" s="609"/>
      <c r="MOO148" s="609"/>
      <c r="MOP148" s="609"/>
      <c r="MOQ148" s="609"/>
      <c r="MOR148" s="609"/>
      <c r="MOS148" s="609"/>
      <c r="MOT148" s="609"/>
      <c r="MOU148" s="609"/>
      <c r="MOV148" s="609"/>
      <c r="MOW148" s="609"/>
      <c r="MOX148" s="609"/>
      <c r="MOY148" s="609"/>
      <c r="MOZ148" s="609"/>
      <c r="MPA148" s="609"/>
      <c r="MPB148" s="609"/>
      <c r="MPC148" s="609"/>
      <c r="MPD148" s="609"/>
      <c r="MPE148" s="609"/>
      <c r="MPF148" s="609"/>
      <c r="MPG148" s="609"/>
      <c r="MPH148" s="609"/>
      <c r="MPI148" s="609"/>
      <c r="MPJ148" s="609"/>
      <c r="MPK148" s="609"/>
      <c r="MPL148" s="609"/>
      <c r="MPM148" s="609"/>
      <c r="MPN148" s="609"/>
      <c r="MPO148" s="609"/>
      <c r="MPP148" s="609"/>
      <c r="MPQ148" s="609"/>
      <c r="MPR148" s="609"/>
      <c r="MPS148" s="609"/>
      <c r="MPT148" s="609"/>
      <c r="MPU148" s="609"/>
      <c r="MPV148" s="609"/>
      <c r="MPW148" s="609"/>
      <c r="MPX148" s="609"/>
      <c r="MPY148" s="609"/>
      <c r="MPZ148" s="609"/>
      <c r="MQA148" s="609"/>
      <c r="MQB148" s="609"/>
      <c r="MQC148" s="609"/>
      <c r="MQD148" s="609"/>
      <c r="MQE148" s="609"/>
      <c r="MQF148" s="609"/>
      <c r="MQG148" s="609"/>
      <c r="MQH148" s="609"/>
      <c r="MQI148" s="609"/>
      <c r="MQJ148" s="609"/>
      <c r="MQK148" s="609"/>
      <c r="MQL148" s="609"/>
      <c r="MQM148" s="609"/>
      <c r="MQN148" s="609"/>
      <c r="MQO148" s="609"/>
      <c r="MQP148" s="609"/>
      <c r="MQQ148" s="609"/>
      <c r="MQR148" s="609"/>
      <c r="MQS148" s="609"/>
      <c r="MQT148" s="609"/>
      <c r="MQU148" s="609"/>
      <c r="MQV148" s="609"/>
      <c r="MQW148" s="609"/>
      <c r="MQX148" s="609"/>
      <c r="MQY148" s="609"/>
      <c r="MQZ148" s="609"/>
      <c r="MRA148" s="609"/>
      <c r="MRB148" s="609"/>
      <c r="MRC148" s="609"/>
      <c r="MRD148" s="609"/>
      <c r="MRE148" s="609"/>
      <c r="MRF148" s="609"/>
      <c r="MRG148" s="609"/>
      <c r="MRH148" s="609"/>
      <c r="MRI148" s="609"/>
      <c r="MRJ148" s="609"/>
      <c r="MRK148" s="609"/>
      <c r="MRL148" s="609"/>
      <c r="MRM148" s="609"/>
      <c r="MRN148" s="609"/>
      <c r="MRO148" s="609"/>
      <c r="MRP148" s="609"/>
      <c r="MRQ148" s="609"/>
      <c r="MRR148" s="609"/>
      <c r="MRS148" s="609"/>
      <c r="MRT148" s="609"/>
      <c r="MRU148" s="609"/>
      <c r="MRV148" s="609"/>
      <c r="MRW148" s="609"/>
      <c r="MRX148" s="609"/>
      <c r="MRY148" s="609"/>
      <c r="MRZ148" s="609"/>
      <c r="MSA148" s="609"/>
      <c r="MSB148" s="609"/>
      <c r="MSC148" s="609"/>
      <c r="MSD148" s="609"/>
      <c r="MSE148" s="609"/>
      <c r="MSF148" s="609"/>
      <c r="MSG148" s="609"/>
      <c r="MSH148" s="609"/>
      <c r="MSI148" s="609"/>
      <c r="MSJ148" s="609"/>
      <c r="MSK148" s="609"/>
      <c r="MSL148" s="609"/>
      <c r="MSM148" s="609"/>
      <c r="MSN148" s="609"/>
      <c r="MSO148" s="609"/>
      <c r="MSP148" s="609"/>
      <c r="MSQ148" s="609"/>
      <c r="MSR148" s="609"/>
      <c r="MSS148" s="609"/>
      <c r="MST148" s="609"/>
      <c r="MSU148" s="609"/>
      <c r="MSV148" s="609"/>
      <c r="MSW148" s="609"/>
      <c r="MSX148" s="609"/>
      <c r="MSY148" s="609"/>
      <c r="MSZ148" s="609"/>
      <c r="MTA148" s="609"/>
      <c r="MTB148" s="609"/>
      <c r="MTC148" s="609"/>
      <c r="MTD148" s="609"/>
      <c r="MTE148" s="609"/>
      <c r="MTF148" s="609"/>
      <c r="MTG148" s="609"/>
      <c r="MTH148" s="609"/>
      <c r="MTI148" s="609"/>
      <c r="MTJ148" s="609"/>
      <c r="MTK148" s="609"/>
      <c r="MTL148" s="609"/>
      <c r="MTM148" s="609"/>
      <c r="MTN148" s="609"/>
      <c r="MTO148" s="609"/>
      <c r="MTP148" s="609"/>
      <c r="MTQ148" s="609"/>
      <c r="MTR148" s="609"/>
      <c r="MTS148" s="609"/>
      <c r="MTT148" s="609"/>
      <c r="MTU148" s="609"/>
      <c r="MTV148" s="609"/>
      <c r="MTW148" s="609"/>
      <c r="MTX148" s="609"/>
      <c r="MTY148" s="609"/>
      <c r="MTZ148" s="609"/>
      <c r="MUA148" s="609"/>
      <c r="MUB148" s="609"/>
      <c r="MUC148" s="609"/>
      <c r="MUD148" s="609"/>
      <c r="MUE148" s="609"/>
      <c r="MUF148" s="609"/>
      <c r="MUG148" s="609"/>
      <c r="MUH148" s="609"/>
      <c r="MUI148" s="609"/>
      <c r="MUJ148" s="609"/>
      <c r="MUK148" s="609"/>
      <c r="MUL148" s="609"/>
      <c r="MUM148" s="609"/>
      <c r="MUN148" s="609"/>
      <c r="MUO148" s="609"/>
      <c r="MUP148" s="609"/>
      <c r="MUQ148" s="609"/>
      <c r="MUR148" s="609"/>
      <c r="MUS148" s="609"/>
      <c r="MUT148" s="609"/>
      <c r="MUU148" s="609"/>
      <c r="MUV148" s="609"/>
      <c r="MUW148" s="609"/>
      <c r="MUX148" s="609"/>
      <c r="MUY148" s="609"/>
      <c r="MUZ148" s="609"/>
      <c r="MVA148" s="609"/>
      <c r="MVB148" s="609"/>
      <c r="MVC148" s="609"/>
      <c r="MVD148" s="609"/>
      <c r="MVE148" s="609"/>
      <c r="MVF148" s="609"/>
      <c r="MVG148" s="609"/>
      <c r="MVH148" s="609"/>
      <c r="MVI148" s="609"/>
      <c r="MVJ148" s="609"/>
      <c r="MVK148" s="609"/>
      <c r="MVL148" s="609"/>
      <c r="MVM148" s="609"/>
      <c r="MVN148" s="609"/>
      <c r="MVO148" s="609"/>
      <c r="MVP148" s="609"/>
      <c r="MVQ148" s="609"/>
      <c r="MVR148" s="609"/>
      <c r="MVS148" s="609"/>
      <c r="MVT148" s="609"/>
      <c r="MVU148" s="609"/>
      <c r="MVV148" s="609"/>
      <c r="MVW148" s="609"/>
      <c r="MVX148" s="609"/>
      <c r="MVY148" s="609"/>
      <c r="MVZ148" s="609"/>
      <c r="MWA148" s="609"/>
      <c r="MWB148" s="609"/>
      <c r="MWC148" s="609"/>
      <c r="MWD148" s="609"/>
      <c r="MWE148" s="609"/>
      <c r="MWF148" s="609"/>
      <c r="MWG148" s="609"/>
      <c r="MWH148" s="609"/>
      <c r="MWI148" s="609"/>
      <c r="MWJ148" s="609"/>
      <c r="MWK148" s="609"/>
      <c r="MWL148" s="609"/>
      <c r="MWM148" s="609"/>
      <c r="MWN148" s="609"/>
      <c r="MWO148" s="609"/>
      <c r="MWP148" s="609"/>
      <c r="MWQ148" s="609"/>
      <c r="MWR148" s="609"/>
      <c r="MWS148" s="609"/>
      <c r="MWT148" s="609"/>
      <c r="MWU148" s="609"/>
      <c r="MWV148" s="609"/>
      <c r="MWW148" s="609"/>
      <c r="MWX148" s="609"/>
      <c r="MWY148" s="609"/>
      <c r="MWZ148" s="609"/>
      <c r="MXA148" s="609"/>
      <c r="MXB148" s="609"/>
      <c r="MXC148" s="609"/>
      <c r="MXD148" s="609"/>
      <c r="MXE148" s="609"/>
      <c r="MXF148" s="609"/>
      <c r="MXG148" s="609"/>
      <c r="MXH148" s="609"/>
      <c r="MXI148" s="609"/>
      <c r="MXJ148" s="609"/>
      <c r="MXK148" s="609"/>
      <c r="MXL148" s="609"/>
      <c r="MXM148" s="609"/>
      <c r="MXN148" s="609"/>
      <c r="MXO148" s="609"/>
      <c r="MXP148" s="609"/>
      <c r="MXQ148" s="609"/>
      <c r="MXR148" s="609"/>
      <c r="MXS148" s="609"/>
      <c r="MXT148" s="609"/>
      <c r="MXU148" s="609"/>
      <c r="MXV148" s="609"/>
      <c r="MXW148" s="609"/>
      <c r="MXX148" s="609"/>
      <c r="MXY148" s="609"/>
      <c r="MXZ148" s="609"/>
      <c r="MYA148" s="609"/>
      <c r="MYB148" s="609"/>
      <c r="MYC148" s="609"/>
      <c r="MYD148" s="609"/>
      <c r="MYE148" s="609"/>
      <c r="MYF148" s="609"/>
      <c r="MYG148" s="609"/>
      <c r="MYH148" s="609"/>
      <c r="MYI148" s="609"/>
      <c r="MYJ148" s="609"/>
      <c r="MYK148" s="609"/>
      <c r="MYL148" s="609"/>
      <c r="MYM148" s="609"/>
      <c r="MYN148" s="609"/>
      <c r="MYO148" s="609"/>
      <c r="MYP148" s="609"/>
      <c r="MYQ148" s="609"/>
      <c r="MYR148" s="609"/>
      <c r="MYS148" s="609"/>
      <c r="MYT148" s="609"/>
      <c r="MYU148" s="609"/>
      <c r="MYV148" s="609"/>
      <c r="MYW148" s="609"/>
      <c r="MYX148" s="609"/>
      <c r="MYY148" s="609"/>
      <c r="MYZ148" s="609"/>
      <c r="MZA148" s="609"/>
      <c r="MZB148" s="609"/>
      <c r="MZC148" s="609"/>
      <c r="MZD148" s="609"/>
      <c r="MZE148" s="609"/>
      <c r="MZF148" s="609"/>
      <c r="MZG148" s="609"/>
      <c r="MZH148" s="609"/>
      <c r="MZI148" s="609"/>
      <c r="MZJ148" s="609"/>
      <c r="MZK148" s="609"/>
      <c r="MZL148" s="609"/>
      <c r="MZM148" s="609"/>
      <c r="MZN148" s="609"/>
      <c r="MZO148" s="609"/>
      <c r="MZP148" s="609"/>
      <c r="MZQ148" s="609"/>
      <c r="MZR148" s="609"/>
      <c r="MZS148" s="609"/>
      <c r="MZT148" s="609"/>
      <c r="MZU148" s="609"/>
      <c r="MZV148" s="609"/>
      <c r="MZW148" s="609"/>
      <c r="MZX148" s="609"/>
      <c r="MZY148" s="609"/>
      <c r="MZZ148" s="609"/>
      <c r="NAA148" s="609"/>
      <c r="NAB148" s="609"/>
      <c r="NAC148" s="609"/>
      <c r="NAD148" s="609"/>
      <c r="NAE148" s="609"/>
      <c r="NAF148" s="609"/>
      <c r="NAG148" s="609"/>
      <c r="NAH148" s="609"/>
      <c r="NAI148" s="609"/>
      <c r="NAJ148" s="609"/>
      <c r="NAK148" s="609"/>
      <c r="NAL148" s="609"/>
      <c r="NAM148" s="609"/>
      <c r="NAN148" s="609"/>
      <c r="NAO148" s="609"/>
      <c r="NAP148" s="609"/>
      <c r="NAQ148" s="609"/>
      <c r="NAR148" s="609"/>
      <c r="NAS148" s="609"/>
      <c r="NAT148" s="609"/>
      <c r="NAU148" s="609"/>
      <c r="NAV148" s="609"/>
      <c r="NAW148" s="609"/>
      <c r="NAX148" s="609"/>
      <c r="NAY148" s="609"/>
      <c r="NAZ148" s="609"/>
      <c r="NBA148" s="609"/>
      <c r="NBB148" s="609"/>
      <c r="NBC148" s="609"/>
      <c r="NBD148" s="609"/>
      <c r="NBE148" s="609"/>
      <c r="NBF148" s="609"/>
      <c r="NBG148" s="609"/>
      <c r="NBH148" s="609"/>
      <c r="NBI148" s="609"/>
      <c r="NBJ148" s="609"/>
      <c r="NBK148" s="609"/>
      <c r="NBL148" s="609"/>
      <c r="NBM148" s="609"/>
      <c r="NBN148" s="609"/>
      <c r="NBO148" s="609"/>
      <c r="NBP148" s="609"/>
      <c r="NBQ148" s="609"/>
      <c r="NBR148" s="609"/>
      <c r="NBS148" s="609"/>
      <c r="NBT148" s="609"/>
      <c r="NBU148" s="609"/>
      <c r="NBV148" s="609"/>
      <c r="NBW148" s="609"/>
      <c r="NBX148" s="609"/>
      <c r="NBY148" s="609"/>
      <c r="NBZ148" s="609"/>
      <c r="NCA148" s="609"/>
      <c r="NCB148" s="609"/>
      <c r="NCC148" s="609"/>
      <c r="NCD148" s="609"/>
      <c r="NCE148" s="609"/>
      <c r="NCF148" s="609"/>
      <c r="NCG148" s="609"/>
      <c r="NCH148" s="609"/>
      <c r="NCI148" s="609"/>
      <c r="NCJ148" s="609"/>
      <c r="NCK148" s="609"/>
      <c r="NCL148" s="609"/>
      <c r="NCM148" s="609"/>
      <c r="NCN148" s="609"/>
      <c r="NCO148" s="609"/>
      <c r="NCP148" s="609"/>
      <c r="NCQ148" s="609"/>
      <c r="NCR148" s="609"/>
      <c r="NCS148" s="609"/>
      <c r="NCT148" s="609"/>
      <c r="NCU148" s="609"/>
      <c r="NCV148" s="609"/>
      <c r="NCW148" s="609"/>
      <c r="NCX148" s="609"/>
      <c r="NCY148" s="609"/>
      <c r="NCZ148" s="609"/>
      <c r="NDA148" s="609"/>
      <c r="NDB148" s="609"/>
      <c r="NDC148" s="609"/>
      <c r="NDD148" s="609"/>
      <c r="NDE148" s="609"/>
      <c r="NDF148" s="609"/>
      <c r="NDG148" s="609"/>
      <c r="NDH148" s="609"/>
      <c r="NDI148" s="609"/>
      <c r="NDJ148" s="609"/>
      <c r="NDK148" s="609"/>
      <c r="NDL148" s="609"/>
      <c r="NDM148" s="609"/>
      <c r="NDN148" s="609"/>
      <c r="NDO148" s="609"/>
      <c r="NDP148" s="609"/>
      <c r="NDQ148" s="609"/>
      <c r="NDR148" s="609"/>
      <c r="NDS148" s="609"/>
      <c r="NDT148" s="609"/>
      <c r="NDU148" s="609"/>
      <c r="NDV148" s="609"/>
      <c r="NDW148" s="609"/>
      <c r="NDX148" s="609"/>
      <c r="NDY148" s="609"/>
      <c r="NDZ148" s="609"/>
      <c r="NEA148" s="609"/>
      <c r="NEB148" s="609"/>
      <c r="NEC148" s="609"/>
      <c r="NED148" s="609"/>
      <c r="NEE148" s="609"/>
      <c r="NEF148" s="609"/>
      <c r="NEG148" s="609"/>
      <c r="NEH148" s="609"/>
      <c r="NEI148" s="609"/>
      <c r="NEJ148" s="609"/>
      <c r="NEK148" s="609"/>
      <c r="NEL148" s="609"/>
      <c r="NEM148" s="609"/>
      <c r="NEN148" s="609"/>
      <c r="NEO148" s="609"/>
      <c r="NEP148" s="609"/>
      <c r="NEQ148" s="609"/>
      <c r="NER148" s="609"/>
      <c r="NES148" s="609"/>
      <c r="NET148" s="609"/>
      <c r="NEU148" s="609"/>
      <c r="NEV148" s="609"/>
      <c r="NEW148" s="609"/>
      <c r="NEX148" s="609"/>
      <c r="NEY148" s="609"/>
      <c r="NEZ148" s="609"/>
      <c r="NFA148" s="609"/>
      <c r="NFB148" s="609"/>
      <c r="NFC148" s="609"/>
      <c r="NFD148" s="609"/>
      <c r="NFE148" s="609"/>
      <c r="NFF148" s="609"/>
      <c r="NFG148" s="609"/>
      <c r="NFH148" s="609"/>
      <c r="NFI148" s="609"/>
      <c r="NFJ148" s="609"/>
      <c r="NFK148" s="609"/>
      <c r="NFL148" s="609"/>
      <c r="NFM148" s="609"/>
      <c r="NFN148" s="609"/>
      <c r="NFO148" s="609"/>
      <c r="NFP148" s="609"/>
      <c r="NFQ148" s="609"/>
      <c r="NFR148" s="609"/>
      <c r="NFS148" s="609"/>
      <c r="NFT148" s="609"/>
      <c r="NFU148" s="609"/>
      <c r="NFV148" s="609"/>
      <c r="NFW148" s="609"/>
      <c r="NFX148" s="609"/>
      <c r="NFY148" s="609"/>
      <c r="NFZ148" s="609"/>
      <c r="NGA148" s="609"/>
      <c r="NGB148" s="609"/>
      <c r="NGC148" s="609"/>
      <c r="NGD148" s="609"/>
      <c r="NGE148" s="609"/>
      <c r="NGF148" s="609"/>
      <c r="NGG148" s="609"/>
      <c r="NGH148" s="609"/>
      <c r="NGI148" s="609"/>
      <c r="NGJ148" s="609"/>
      <c r="NGK148" s="609"/>
      <c r="NGL148" s="609"/>
      <c r="NGM148" s="609"/>
      <c r="NGN148" s="609"/>
      <c r="NGO148" s="609"/>
      <c r="NGP148" s="609"/>
      <c r="NGQ148" s="609"/>
      <c r="NGR148" s="609"/>
      <c r="NGS148" s="609"/>
      <c r="NGT148" s="609"/>
      <c r="NGU148" s="609"/>
      <c r="NGV148" s="609"/>
      <c r="NGW148" s="609"/>
      <c r="NGX148" s="609"/>
      <c r="NGY148" s="609"/>
      <c r="NGZ148" s="609"/>
      <c r="NHA148" s="609"/>
      <c r="NHB148" s="609"/>
      <c r="NHC148" s="609"/>
      <c r="NHD148" s="609"/>
      <c r="NHE148" s="609"/>
      <c r="NHF148" s="609"/>
      <c r="NHG148" s="609"/>
      <c r="NHH148" s="609"/>
      <c r="NHI148" s="609"/>
      <c r="NHJ148" s="609"/>
      <c r="NHK148" s="609"/>
      <c r="NHL148" s="609"/>
      <c r="NHM148" s="609"/>
      <c r="NHN148" s="609"/>
      <c r="NHO148" s="609"/>
      <c r="NHP148" s="609"/>
      <c r="NHQ148" s="609"/>
      <c r="NHR148" s="609"/>
      <c r="NHS148" s="609"/>
      <c r="NHT148" s="609"/>
      <c r="NHU148" s="609"/>
      <c r="NHV148" s="609"/>
      <c r="NHW148" s="609"/>
      <c r="NHX148" s="609"/>
      <c r="NHY148" s="609"/>
      <c r="NHZ148" s="609"/>
      <c r="NIA148" s="609"/>
      <c r="NIB148" s="609"/>
      <c r="NIC148" s="609"/>
      <c r="NID148" s="609"/>
      <c r="NIE148" s="609"/>
      <c r="NIF148" s="609"/>
      <c r="NIG148" s="609"/>
      <c r="NIH148" s="609"/>
      <c r="NII148" s="609"/>
      <c r="NIJ148" s="609"/>
      <c r="NIK148" s="609"/>
      <c r="NIL148" s="609"/>
      <c r="NIM148" s="609"/>
      <c r="NIN148" s="609"/>
      <c r="NIO148" s="609"/>
      <c r="NIP148" s="609"/>
      <c r="NIQ148" s="609"/>
      <c r="NIR148" s="609"/>
      <c r="NIS148" s="609"/>
      <c r="NIT148" s="609"/>
      <c r="NIU148" s="609"/>
      <c r="NIV148" s="609"/>
      <c r="NIW148" s="609"/>
      <c r="NIX148" s="609"/>
      <c r="NIY148" s="609"/>
      <c r="NIZ148" s="609"/>
      <c r="NJA148" s="609"/>
      <c r="NJB148" s="609"/>
      <c r="NJC148" s="609"/>
      <c r="NJD148" s="609"/>
      <c r="NJE148" s="609"/>
      <c r="NJF148" s="609"/>
      <c r="NJG148" s="609"/>
      <c r="NJH148" s="609"/>
      <c r="NJI148" s="609"/>
      <c r="NJJ148" s="609"/>
      <c r="NJK148" s="609"/>
      <c r="NJL148" s="609"/>
      <c r="NJM148" s="609"/>
      <c r="NJN148" s="609"/>
      <c r="NJO148" s="609"/>
      <c r="NJP148" s="609"/>
      <c r="NJQ148" s="609"/>
      <c r="NJR148" s="609"/>
      <c r="NJS148" s="609"/>
      <c r="NJT148" s="609"/>
      <c r="NJU148" s="609"/>
      <c r="NJV148" s="609"/>
      <c r="NJW148" s="609"/>
      <c r="NJX148" s="609"/>
      <c r="NJY148" s="609"/>
      <c r="NJZ148" s="609"/>
      <c r="NKA148" s="609"/>
      <c r="NKB148" s="609"/>
      <c r="NKC148" s="609"/>
      <c r="NKD148" s="609"/>
      <c r="NKE148" s="609"/>
      <c r="NKF148" s="609"/>
      <c r="NKG148" s="609"/>
      <c r="NKH148" s="609"/>
      <c r="NKI148" s="609"/>
      <c r="NKJ148" s="609"/>
      <c r="NKK148" s="609"/>
      <c r="NKL148" s="609"/>
      <c r="NKM148" s="609"/>
      <c r="NKN148" s="609"/>
      <c r="NKO148" s="609"/>
      <c r="NKP148" s="609"/>
      <c r="NKQ148" s="609"/>
      <c r="NKR148" s="609"/>
      <c r="NKS148" s="609"/>
      <c r="NKT148" s="609"/>
      <c r="NKU148" s="609"/>
      <c r="NKV148" s="609"/>
      <c r="NKW148" s="609"/>
      <c r="NKX148" s="609"/>
      <c r="NKY148" s="609"/>
      <c r="NKZ148" s="609"/>
      <c r="NLA148" s="609"/>
      <c r="NLB148" s="609"/>
      <c r="NLC148" s="609"/>
      <c r="NLD148" s="609"/>
      <c r="NLE148" s="609"/>
      <c r="NLF148" s="609"/>
      <c r="NLG148" s="609"/>
      <c r="NLH148" s="609"/>
      <c r="NLI148" s="609"/>
      <c r="NLJ148" s="609"/>
      <c r="NLK148" s="609"/>
      <c r="NLL148" s="609"/>
      <c r="NLM148" s="609"/>
      <c r="NLN148" s="609"/>
      <c r="NLO148" s="609"/>
      <c r="NLP148" s="609"/>
      <c r="NLQ148" s="609"/>
      <c r="NLR148" s="609"/>
      <c r="NLS148" s="609"/>
      <c r="NLT148" s="609"/>
      <c r="NLU148" s="609"/>
      <c r="NLV148" s="609"/>
      <c r="NLW148" s="609"/>
      <c r="NLX148" s="609"/>
      <c r="NLY148" s="609"/>
      <c r="NLZ148" s="609"/>
      <c r="NMA148" s="609"/>
      <c r="NMB148" s="609"/>
      <c r="NMC148" s="609"/>
      <c r="NMD148" s="609"/>
      <c r="NME148" s="609"/>
      <c r="NMF148" s="609"/>
      <c r="NMG148" s="609"/>
      <c r="NMH148" s="609"/>
      <c r="NMI148" s="609"/>
      <c r="NMJ148" s="609"/>
      <c r="NMK148" s="609"/>
      <c r="NML148" s="609"/>
      <c r="NMM148" s="609"/>
      <c r="NMN148" s="609"/>
      <c r="NMO148" s="609"/>
      <c r="NMP148" s="609"/>
      <c r="NMQ148" s="609"/>
      <c r="NMR148" s="609"/>
      <c r="NMS148" s="609"/>
      <c r="NMT148" s="609"/>
      <c r="NMU148" s="609"/>
      <c r="NMV148" s="609"/>
      <c r="NMW148" s="609"/>
      <c r="NMX148" s="609"/>
      <c r="NMY148" s="609"/>
      <c r="NMZ148" s="609"/>
      <c r="NNA148" s="609"/>
      <c r="NNB148" s="609"/>
      <c r="NNC148" s="609"/>
      <c r="NND148" s="609"/>
      <c r="NNE148" s="609"/>
      <c r="NNF148" s="609"/>
      <c r="NNG148" s="609"/>
      <c r="NNH148" s="609"/>
      <c r="NNI148" s="609"/>
      <c r="NNJ148" s="609"/>
      <c r="NNK148" s="609"/>
      <c r="NNL148" s="609"/>
      <c r="NNM148" s="609"/>
      <c r="NNN148" s="609"/>
      <c r="NNO148" s="609"/>
      <c r="NNP148" s="609"/>
      <c r="NNQ148" s="609"/>
      <c r="NNR148" s="609"/>
      <c r="NNS148" s="609"/>
      <c r="NNT148" s="609"/>
      <c r="NNU148" s="609"/>
      <c r="NNV148" s="609"/>
      <c r="NNW148" s="609"/>
      <c r="NNX148" s="609"/>
      <c r="NNY148" s="609"/>
      <c r="NNZ148" s="609"/>
      <c r="NOA148" s="609"/>
      <c r="NOB148" s="609"/>
      <c r="NOC148" s="609"/>
      <c r="NOD148" s="609"/>
      <c r="NOE148" s="609"/>
      <c r="NOF148" s="609"/>
      <c r="NOG148" s="609"/>
      <c r="NOH148" s="609"/>
      <c r="NOI148" s="609"/>
      <c r="NOJ148" s="609"/>
      <c r="NOK148" s="609"/>
      <c r="NOL148" s="609"/>
      <c r="NOM148" s="609"/>
      <c r="NON148" s="609"/>
      <c r="NOO148" s="609"/>
      <c r="NOP148" s="609"/>
      <c r="NOQ148" s="609"/>
      <c r="NOR148" s="609"/>
      <c r="NOS148" s="609"/>
      <c r="NOT148" s="609"/>
      <c r="NOU148" s="609"/>
      <c r="NOV148" s="609"/>
      <c r="NOW148" s="609"/>
      <c r="NOX148" s="609"/>
      <c r="NOY148" s="609"/>
      <c r="NOZ148" s="609"/>
      <c r="NPA148" s="609"/>
      <c r="NPB148" s="609"/>
      <c r="NPC148" s="609"/>
      <c r="NPD148" s="609"/>
      <c r="NPE148" s="609"/>
      <c r="NPF148" s="609"/>
      <c r="NPG148" s="609"/>
      <c r="NPH148" s="609"/>
      <c r="NPI148" s="609"/>
      <c r="NPJ148" s="609"/>
      <c r="NPK148" s="609"/>
      <c r="NPL148" s="609"/>
      <c r="NPM148" s="609"/>
      <c r="NPN148" s="609"/>
      <c r="NPO148" s="609"/>
      <c r="NPP148" s="609"/>
      <c r="NPQ148" s="609"/>
      <c r="NPR148" s="609"/>
      <c r="NPS148" s="609"/>
      <c r="NPT148" s="609"/>
      <c r="NPU148" s="609"/>
      <c r="NPV148" s="609"/>
      <c r="NPW148" s="609"/>
      <c r="NPX148" s="609"/>
      <c r="NPY148" s="609"/>
      <c r="NPZ148" s="609"/>
      <c r="NQA148" s="609"/>
      <c r="NQB148" s="609"/>
      <c r="NQC148" s="609"/>
      <c r="NQD148" s="609"/>
      <c r="NQE148" s="609"/>
      <c r="NQF148" s="609"/>
      <c r="NQG148" s="609"/>
      <c r="NQH148" s="609"/>
      <c r="NQI148" s="609"/>
      <c r="NQJ148" s="609"/>
      <c r="NQK148" s="609"/>
      <c r="NQL148" s="609"/>
      <c r="NQM148" s="609"/>
      <c r="NQN148" s="609"/>
      <c r="NQO148" s="609"/>
      <c r="NQP148" s="609"/>
      <c r="NQQ148" s="609"/>
      <c r="NQR148" s="609"/>
      <c r="NQS148" s="609"/>
      <c r="NQT148" s="609"/>
      <c r="NQU148" s="609"/>
      <c r="NQV148" s="609"/>
      <c r="NQW148" s="609"/>
      <c r="NQX148" s="609"/>
      <c r="NQY148" s="609"/>
      <c r="NQZ148" s="609"/>
      <c r="NRA148" s="609"/>
      <c r="NRB148" s="609"/>
      <c r="NRC148" s="609"/>
      <c r="NRD148" s="609"/>
      <c r="NRE148" s="609"/>
      <c r="NRF148" s="609"/>
      <c r="NRG148" s="609"/>
      <c r="NRH148" s="609"/>
      <c r="NRI148" s="609"/>
      <c r="NRJ148" s="609"/>
      <c r="NRK148" s="609"/>
      <c r="NRL148" s="609"/>
      <c r="NRM148" s="609"/>
      <c r="NRN148" s="609"/>
      <c r="NRO148" s="609"/>
      <c r="NRP148" s="609"/>
      <c r="NRQ148" s="609"/>
      <c r="NRR148" s="609"/>
      <c r="NRS148" s="609"/>
      <c r="NRT148" s="609"/>
      <c r="NRU148" s="609"/>
      <c r="NRV148" s="609"/>
      <c r="NRW148" s="609"/>
      <c r="NRX148" s="609"/>
      <c r="NRY148" s="609"/>
      <c r="NRZ148" s="609"/>
      <c r="NSA148" s="609"/>
      <c r="NSB148" s="609"/>
      <c r="NSC148" s="609"/>
      <c r="NSD148" s="609"/>
      <c r="NSE148" s="609"/>
      <c r="NSF148" s="609"/>
      <c r="NSG148" s="609"/>
      <c r="NSH148" s="609"/>
      <c r="NSI148" s="609"/>
      <c r="NSJ148" s="609"/>
      <c r="NSK148" s="609"/>
      <c r="NSL148" s="609"/>
      <c r="NSM148" s="609"/>
      <c r="NSN148" s="609"/>
      <c r="NSO148" s="609"/>
      <c r="NSP148" s="609"/>
      <c r="NSQ148" s="609"/>
      <c r="NSR148" s="609"/>
      <c r="NSS148" s="609"/>
      <c r="NST148" s="609"/>
      <c r="NSU148" s="609"/>
      <c r="NSV148" s="609"/>
      <c r="NSW148" s="609"/>
      <c r="NSX148" s="609"/>
      <c r="NSY148" s="609"/>
      <c r="NSZ148" s="609"/>
      <c r="NTA148" s="609"/>
      <c r="NTB148" s="609"/>
      <c r="NTC148" s="609"/>
      <c r="NTD148" s="609"/>
      <c r="NTE148" s="609"/>
      <c r="NTF148" s="609"/>
      <c r="NTG148" s="609"/>
      <c r="NTH148" s="609"/>
      <c r="NTI148" s="609"/>
      <c r="NTJ148" s="609"/>
      <c r="NTK148" s="609"/>
      <c r="NTL148" s="609"/>
      <c r="NTM148" s="609"/>
      <c r="NTN148" s="609"/>
      <c r="NTO148" s="609"/>
      <c r="NTP148" s="609"/>
      <c r="NTQ148" s="609"/>
      <c r="NTR148" s="609"/>
      <c r="NTS148" s="609"/>
      <c r="NTT148" s="609"/>
      <c r="NTU148" s="609"/>
      <c r="NTV148" s="609"/>
      <c r="NTW148" s="609"/>
      <c r="NTX148" s="609"/>
      <c r="NTY148" s="609"/>
      <c r="NTZ148" s="609"/>
      <c r="NUA148" s="609"/>
      <c r="NUB148" s="609"/>
      <c r="NUC148" s="609"/>
      <c r="NUD148" s="609"/>
      <c r="NUE148" s="609"/>
      <c r="NUF148" s="609"/>
      <c r="NUG148" s="609"/>
      <c r="NUH148" s="609"/>
      <c r="NUI148" s="609"/>
      <c r="NUJ148" s="609"/>
      <c r="NUK148" s="609"/>
      <c r="NUL148" s="609"/>
      <c r="NUM148" s="609"/>
      <c r="NUN148" s="609"/>
      <c r="NUO148" s="609"/>
      <c r="NUP148" s="609"/>
      <c r="NUQ148" s="609"/>
      <c r="NUR148" s="609"/>
      <c r="NUS148" s="609"/>
      <c r="NUT148" s="609"/>
      <c r="NUU148" s="609"/>
      <c r="NUV148" s="609"/>
      <c r="NUW148" s="609"/>
      <c r="NUX148" s="609"/>
      <c r="NUY148" s="609"/>
      <c r="NUZ148" s="609"/>
      <c r="NVA148" s="609"/>
      <c r="NVB148" s="609"/>
      <c r="NVC148" s="609"/>
      <c r="NVD148" s="609"/>
      <c r="NVE148" s="609"/>
      <c r="NVF148" s="609"/>
      <c r="NVG148" s="609"/>
      <c r="NVH148" s="609"/>
      <c r="NVI148" s="609"/>
      <c r="NVJ148" s="609"/>
      <c r="NVK148" s="609"/>
      <c r="NVL148" s="609"/>
      <c r="NVM148" s="609"/>
      <c r="NVN148" s="609"/>
      <c r="NVO148" s="609"/>
      <c r="NVP148" s="609"/>
      <c r="NVQ148" s="609"/>
      <c r="NVR148" s="609"/>
      <c r="NVS148" s="609"/>
      <c r="NVT148" s="609"/>
      <c r="NVU148" s="609"/>
      <c r="NVV148" s="609"/>
      <c r="NVW148" s="609"/>
      <c r="NVX148" s="609"/>
      <c r="NVY148" s="609"/>
      <c r="NVZ148" s="609"/>
      <c r="NWA148" s="609"/>
      <c r="NWB148" s="609"/>
      <c r="NWC148" s="609"/>
      <c r="NWD148" s="609"/>
      <c r="NWE148" s="609"/>
      <c r="NWF148" s="609"/>
      <c r="NWG148" s="609"/>
      <c r="NWH148" s="609"/>
      <c r="NWI148" s="609"/>
      <c r="NWJ148" s="609"/>
      <c r="NWK148" s="609"/>
      <c r="NWL148" s="609"/>
      <c r="NWM148" s="609"/>
      <c r="NWN148" s="609"/>
      <c r="NWO148" s="609"/>
      <c r="NWP148" s="609"/>
      <c r="NWQ148" s="609"/>
      <c r="NWR148" s="609"/>
      <c r="NWS148" s="609"/>
      <c r="NWT148" s="609"/>
      <c r="NWU148" s="609"/>
      <c r="NWV148" s="609"/>
      <c r="NWW148" s="609"/>
      <c r="NWX148" s="609"/>
      <c r="NWY148" s="609"/>
      <c r="NWZ148" s="609"/>
      <c r="NXA148" s="609"/>
      <c r="NXB148" s="609"/>
      <c r="NXC148" s="609"/>
      <c r="NXD148" s="609"/>
      <c r="NXE148" s="609"/>
      <c r="NXF148" s="609"/>
      <c r="NXG148" s="609"/>
      <c r="NXH148" s="609"/>
      <c r="NXI148" s="609"/>
      <c r="NXJ148" s="609"/>
      <c r="NXK148" s="609"/>
      <c r="NXL148" s="609"/>
      <c r="NXM148" s="609"/>
      <c r="NXN148" s="609"/>
      <c r="NXO148" s="609"/>
      <c r="NXP148" s="609"/>
      <c r="NXQ148" s="609"/>
      <c r="NXR148" s="609"/>
      <c r="NXS148" s="609"/>
      <c r="NXT148" s="609"/>
      <c r="NXU148" s="609"/>
      <c r="NXV148" s="609"/>
      <c r="NXW148" s="609"/>
      <c r="NXX148" s="609"/>
      <c r="NXY148" s="609"/>
      <c r="NXZ148" s="609"/>
      <c r="NYA148" s="609"/>
      <c r="NYB148" s="609"/>
      <c r="NYC148" s="609"/>
      <c r="NYD148" s="609"/>
      <c r="NYE148" s="609"/>
      <c r="NYF148" s="609"/>
      <c r="NYG148" s="609"/>
      <c r="NYH148" s="609"/>
      <c r="NYI148" s="609"/>
      <c r="NYJ148" s="609"/>
      <c r="NYK148" s="609"/>
      <c r="NYL148" s="609"/>
      <c r="NYM148" s="609"/>
      <c r="NYN148" s="609"/>
      <c r="NYO148" s="609"/>
      <c r="NYP148" s="609"/>
      <c r="NYQ148" s="609"/>
      <c r="NYR148" s="609"/>
      <c r="NYS148" s="609"/>
      <c r="NYT148" s="609"/>
      <c r="NYU148" s="609"/>
      <c r="NYV148" s="609"/>
      <c r="NYW148" s="609"/>
      <c r="NYX148" s="609"/>
      <c r="NYY148" s="609"/>
      <c r="NYZ148" s="609"/>
      <c r="NZA148" s="609"/>
      <c r="NZB148" s="609"/>
      <c r="NZC148" s="609"/>
      <c r="NZD148" s="609"/>
      <c r="NZE148" s="609"/>
      <c r="NZF148" s="609"/>
      <c r="NZG148" s="609"/>
      <c r="NZH148" s="609"/>
      <c r="NZI148" s="609"/>
      <c r="NZJ148" s="609"/>
      <c r="NZK148" s="609"/>
      <c r="NZL148" s="609"/>
      <c r="NZM148" s="609"/>
      <c r="NZN148" s="609"/>
      <c r="NZO148" s="609"/>
      <c r="NZP148" s="609"/>
      <c r="NZQ148" s="609"/>
      <c r="NZR148" s="609"/>
      <c r="NZS148" s="609"/>
      <c r="NZT148" s="609"/>
      <c r="NZU148" s="609"/>
      <c r="NZV148" s="609"/>
      <c r="NZW148" s="609"/>
      <c r="NZX148" s="609"/>
      <c r="NZY148" s="609"/>
      <c r="NZZ148" s="609"/>
      <c r="OAA148" s="609"/>
      <c r="OAB148" s="609"/>
      <c r="OAC148" s="609"/>
      <c r="OAD148" s="609"/>
      <c r="OAE148" s="609"/>
      <c r="OAF148" s="609"/>
      <c r="OAG148" s="609"/>
      <c r="OAH148" s="609"/>
      <c r="OAI148" s="609"/>
      <c r="OAJ148" s="609"/>
      <c r="OAK148" s="609"/>
      <c r="OAL148" s="609"/>
      <c r="OAM148" s="609"/>
      <c r="OAN148" s="609"/>
      <c r="OAO148" s="609"/>
      <c r="OAP148" s="609"/>
      <c r="OAQ148" s="609"/>
      <c r="OAR148" s="609"/>
      <c r="OAS148" s="609"/>
      <c r="OAT148" s="609"/>
      <c r="OAU148" s="609"/>
      <c r="OAV148" s="609"/>
      <c r="OAW148" s="609"/>
      <c r="OAX148" s="609"/>
      <c r="OAY148" s="609"/>
      <c r="OAZ148" s="609"/>
      <c r="OBA148" s="609"/>
      <c r="OBB148" s="609"/>
      <c r="OBC148" s="609"/>
      <c r="OBD148" s="609"/>
      <c r="OBE148" s="609"/>
      <c r="OBF148" s="609"/>
      <c r="OBG148" s="609"/>
      <c r="OBH148" s="609"/>
      <c r="OBI148" s="609"/>
      <c r="OBJ148" s="609"/>
      <c r="OBK148" s="609"/>
      <c r="OBL148" s="609"/>
      <c r="OBM148" s="609"/>
      <c r="OBN148" s="609"/>
      <c r="OBO148" s="609"/>
      <c r="OBP148" s="609"/>
      <c r="OBQ148" s="609"/>
      <c r="OBR148" s="609"/>
      <c r="OBS148" s="609"/>
      <c r="OBT148" s="609"/>
      <c r="OBU148" s="609"/>
      <c r="OBV148" s="609"/>
      <c r="OBW148" s="609"/>
      <c r="OBX148" s="609"/>
      <c r="OBY148" s="609"/>
      <c r="OBZ148" s="609"/>
      <c r="OCA148" s="609"/>
      <c r="OCB148" s="609"/>
      <c r="OCC148" s="609"/>
      <c r="OCD148" s="609"/>
      <c r="OCE148" s="609"/>
      <c r="OCF148" s="609"/>
      <c r="OCG148" s="609"/>
      <c r="OCH148" s="609"/>
      <c r="OCI148" s="609"/>
      <c r="OCJ148" s="609"/>
      <c r="OCK148" s="609"/>
      <c r="OCL148" s="609"/>
      <c r="OCM148" s="609"/>
      <c r="OCN148" s="609"/>
      <c r="OCO148" s="609"/>
      <c r="OCP148" s="609"/>
      <c r="OCQ148" s="609"/>
      <c r="OCR148" s="609"/>
      <c r="OCS148" s="609"/>
      <c r="OCT148" s="609"/>
      <c r="OCU148" s="609"/>
      <c r="OCV148" s="609"/>
      <c r="OCW148" s="609"/>
      <c r="OCX148" s="609"/>
      <c r="OCY148" s="609"/>
      <c r="OCZ148" s="609"/>
      <c r="ODA148" s="609"/>
      <c r="ODB148" s="609"/>
      <c r="ODC148" s="609"/>
      <c r="ODD148" s="609"/>
      <c r="ODE148" s="609"/>
      <c r="ODF148" s="609"/>
      <c r="ODG148" s="609"/>
      <c r="ODH148" s="609"/>
      <c r="ODI148" s="609"/>
      <c r="ODJ148" s="609"/>
      <c r="ODK148" s="609"/>
      <c r="ODL148" s="609"/>
      <c r="ODM148" s="609"/>
      <c r="ODN148" s="609"/>
      <c r="ODO148" s="609"/>
      <c r="ODP148" s="609"/>
      <c r="ODQ148" s="609"/>
      <c r="ODR148" s="609"/>
      <c r="ODS148" s="609"/>
      <c r="ODT148" s="609"/>
      <c r="ODU148" s="609"/>
      <c r="ODV148" s="609"/>
      <c r="ODW148" s="609"/>
      <c r="ODX148" s="609"/>
      <c r="ODY148" s="609"/>
      <c r="ODZ148" s="609"/>
      <c r="OEA148" s="609"/>
      <c r="OEB148" s="609"/>
      <c r="OEC148" s="609"/>
      <c r="OED148" s="609"/>
      <c r="OEE148" s="609"/>
      <c r="OEF148" s="609"/>
      <c r="OEG148" s="609"/>
      <c r="OEH148" s="609"/>
      <c r="OEI148" s="609"/>
      <c r="OEJ148" s="609"/>
      <c r="OEK148" s="609"/>
      <c r="OEL148" s="609"/>
      <c r="OEM148" s="609"/>
      <c r="OEN148" s="609"/>
      <c r="OEO148" s="609"/>
      <c r="OEP148" s="609"/>
      <c r="OEQ148" s="609"/>
      <c r="OER148" s="609"/>
      <c r="OES148" s="609"/>
      <c r="OET148" s="609"/>
      <c r="OEU148" s="609"/>
      <c r="OEV148" s="609"/>
      <c r="OEW148" s="609"/>
      <c r="OEX148" s="609"/>
      <c r="OEY148" s="609"/>
      <c r="OEZ148" s="609"/>
      <c r="OFA148" s="609"/>
      <c r="OFB148" s="609"/>
      <c r="OFC148" s="609"/>
      <c r="OFD148" s="609"/>
      <c r="OFE148" s="609"/>
      <c r="OFF148" s="609"/>
      <c r="OFG148" s="609"/>
      <c r="OFH148" s="609"/>
      <c r="OFI148" s="609"/>
      <c r="OFJ148" s="609"/>
      <c r="OFK148" s="609"/>
      <c r="OFL148" s="609"/>
      <c r="OFM148" s="609"/>
      <c r="OFN148" s="609"/>
      <c r="OFO148" s="609"/>
      <c r="OFP148" s="609"/>
      <c r="OFQ148" s="609"/>
      <c r="OFR148" s="609"/>
      <c r="OFS148" s="609"/>
      <c r="OFT148" s="609"/>
      <c r="OFU148" s="609"/>
      <c r="OFV148" s="609"/>
      <c r="OFW148" s="609"/>
      <c r="OFX148" s="609"/>
      <c r="OFY148" s="609"/>
      <c r="OFZ148" s="609"/>
      <c r="OGA148" s="609"/>
      <c r="OGB148" s="609"/>
      <c r="OGC148" s="609"/>
      <c r="OGD148" s="609"/>
      <c r="OGE148" s="609"/>
      <c r="OGF148" s="609"/>
      <c r="OGG148" s="609"/>
      <c r="OGH148" s="609"/>
      <c r="OGI148" s="609"/>
      <c r="OGJ148" s="609"/>
      <c r="OGK148" s="609"/>
      <c r="OGL148" s="609"/>
      <c r="OGM148" s="609"/>
      <c r="OGN148" s="609"/>
      <c r="OGO148" s="609"/>
      <c r="OGP148" s="609"/>
      <c r="OGQ148" s="609"/>
      <c r="OGR148" s="609"/>
      <c r="OGS148" s="609"/>
      <c r="OGT148" s="609"/>
      <c r="OGU148" s="609"/>
      <c r="OGV148" s="609"/>
      <c r="OGW148" s="609"/>
      <c r="OGX148" s="609"/>
      <c r="OGY148" s="609"/>
      <c r="OGZ148" s="609"/>
      <c r="OHA148" s="609"/>
      <c r="OHB148" s="609"/>
      <c r="OHC148" s="609"/>
      <c r="OHD148" s="609"/>
      <c r="OHE148" s="609"/>
      <c r="OHF148" s="609"/>
      <c r="OHG148" s="609"/>
      <c r="OHH148" s="609"/>
      <c r="OHI148" s="609"/>
      <c r="OHJ148" s="609"/>
      <c r="OHK148" s="609"/>
      <c r="OHL148" s="609"/>
      <c r="OHM148" s="609"/>
      <c r="OHN148" s="609"/>
      <c r="OHO148" s="609"/>
      <c r="OHP148" s="609"/>
      <c r="OHQ148" s="609"/>
      <c r="OHR148" s="609"/>
      <c r="OHS148" s="609"/>
      <c r="OHT148" s="609"/>
      <c r="OHU148" s="609"/>
      <c r="OHV148" s="609"/>
      <c r="OHW148" s="609"/>
      <c r="OHX148" s="609"/>
      <c r="OHY148" s="609"/>
      <c r="OHZ148" s="609"/>
      <c r="OIA148" s="609"/>
      <c r="OIB148" s="609"/>
      <c r="OIC148" s="609"/>
      <c r="OID148" s="609"/>
      <c r="OIE148" s="609"/>
      <c r="OIF148" s="609"/>
      <c r="OIG148" s="609"/>
      <c r="OIH148" s="609"/>
      <c r="OII148" s="609"/>
      <c r="OIJ148" s="609"/>
      <c r="OIK148" s="609"/>
      <c r="OIL148" s="609"/>
      <c r="OIM148" s="609"/>
      <c r="OIN148" s="609"/>
      <c r="OIO148" s="609"/>
      <c r="OIP148" s="609"/>
      <c r="OIQ148" s="609"/>
      <c r="OIR148" s="609"/>
      <c r="OIS148" s="609"/>
      <c r="OIT148" s="609"/>
      <c r="OIU148" s="609"/>
      <c r="OIV148" s="609"/>
      <c r="OIW148" s="609"/>
      <c r="OIX148" s="609"/>
      <c r="OIY148" s="609"/>
      <c r="OIZ148" s="609"/>
      <c r="OJA148" s="609"/>
      <c r="OJB148" s="609"/>
      <c r="OJC148" s="609"/>
      <c r="OJD148" s="609"/>
      <c r="OJE148" s="609"/>
      <c r="OJF148" s="609"/>
      <c r="OJG148" s="609"/>
      <c r="OJH148" s="609"/>
      <c r="OJI148" s="609"/>
      <c r="OJJ148" s="609"/>
      <c r="OJK148" s="609"/>
      <c r="OJL148" s="609"/>
      <c r="OJM148" s="609"/>
      <c r="OJN148" s="609"/>
      <c r="OJO148" s="609"/>
      <c r="OJP148" s="609"/>
      <c r="OJQ148" s="609"/>
      <c r="OJR148" s="609"/>
      <c r="OJS148" s="609"/>
      <c r="OJT148" s="609"/>
      <c r="OJU148" s="609"/>
      <c r="OJV148" s="609"/>
      <c r="OJW148" s="609"/>
      <c r="OJX148" s="609"/>
      <c r="OJY148" s="609"/>
      <c r="OJZ148" s="609"/>
      <c r="OKA148" s="609"/>
      <c r="OKB148" s="609"/>
      <c r="OKC148" s="609"/>
      <c r="OKD148" s="609"/>
      <c r="OKE148" s="609"/>
      <c r="OKF148" s="609"/>
      <c r="OKG148" s="609"/>
      <c r="OKH148" s="609"/>
      <c r="OKI148" s="609"/>
      <c r="OKJ148" s="609"/>
      <c r="OKK148" s="609"/>
      <c r="OKL148" s="609"/>
      <c r="OKM148" s="609"/>
      <c r="OKN148" s="609"/>
      <c r="OKO148" s="609"/>
      <c r="OKP148" s="609"/>
      <c r="OKQ148" s="609"/>
      <c r="OKR148" s="609"/>
      <c r="OKS148" s="609"/>
      <c r="OKT148" s="609"/>
      <c r="OKU148" s="609"/>
      <c r="OKV148" s="609"/>
      <c r="OKW148" s="609"/>
      <c r="OKX148" s="609"/>
      <c r="OKY148" s="609"/>
      <c r="OKZ148" s="609"/>
      <c r="OLA148" s="609"/>
      <c r="OLB148" s="609"/>
      <c r="OLC148" s="609"/>
      <c r="OLD148" s="609"/>
      <c r="OLE148" s="609"/>
      <c r="OLF148" s="609"/>
      <c r="OLG148" s="609"/>
      <c r="OLH148" s="609"/>
      <c r="OLI148" s="609"/>
      <c r="OLJ148" s="609"/>
      <c r="OLK148" s="609"/>
      <c r="OLL148" s="609"/>
      <c r="OLM148" s="609"/>
      <c r="OLN148" s="609"/>
      <c r="OLO148" s="609"/>
      <c r="OLP148" s="609"/>
      <c r="OLQ148" s="609"/>
      <c r="OLR148" s="609"/>
      <c r="OLS148" s="609"/>
      <c r="OLT148" s="609"/>
      <c r="OLU148" s="609"/>
      <c r="OLV148" s="609"/>
      <c r="OLW148" s="609"/>
      <c r="OLX148" s="609"/>
      <c r="OLY148" s="609"/>
      <c r="OLZ148" s="609"/>
      <c r="OMA148" s="609"/>
      <c r="OMB148" s="609"/>
      <c r="OMC148" s="609"/>
      <c r="OMD148" s="609"/>
      <c r="OME148" s="609"/>
      <c r="OMF148" s="609"/>
      <c r="OMG148" s="609"/>
      <c r="OMH148" s="609"/>
      <c r="OMI148" s="609"/>
      <c r="OMJ148" s="609"/>
      <c r="OMK148" s="609"/>
      <c r="OML148" s="609"/>
      <c r="OMM148" s="609"/>
      <c r="OMN148" s="609"/>
      <c r="OMO148" s="609"/>
      <c r="OMP148" s="609"/>
      <c r="OMQ148" s="609"/>
      <c r="OMR148" s="609"/>
      <c r="OMS148" s="609"/>
      <c r="OMT148" s="609"/>
      <c r="OMU148" s="609"/>
      <c r="OMV148" s="609"/>
      <c r="OMW148" s="609"/>
      <c r="OMX148" s="609"/>
      <c r="OMY148" s="609"/>
      <c r="OMZ148" s="609"/>
      <c r="ONA148" s="609"/>
      <c r="ONB148" s="609"/>
      <c r="ONC148" s="609"/>
      <c r="OND148" s="609"/>
      <c r="ONE148" s="609"/>
      <c r="ONF148" s="609"/>
      <c r="ONG148" s="609"/>
      <c r="ONH148" s="609"/>
      <c r="ONI148" s="609"/>
      <c r="ONJ148" s="609"/>
      <c r="ONK148" s="609"/>
      <c r="ONL148" s="609"/>
      <c r="ONM148" s="609"/>
      <c r="ONN148" s="609"/>
      <c r="ONO148" s="609"/>
      <c r="ONP148" s="609"/>
      <c r="ONQ148" s="609"/>
      <c r="ONR148" s="609"/>
      <c r="ONS148" s="609"/>
      <c r="ONT148" s="609"/>
      <c r="ONU148" s="609"/>
      <c r="ONV148" s="609"/>
      <c r="ONW148" s="609"/>
      <c r="ONX148" s="609"/>
      <c r="ONY148" s="609"/>
      <c r="ONZ148" s="609"/>
      <c r="OOA148" s="609"/>
      <c r="OOB148" s="609"/>
      <c r="OOC148" s="609"/>
      <c r="OOD148" s="609"/>
      <c r="OOE148" s="609"/>
      <c r="OOF148" s="609"/>
      <c r="OOG148" s="609"/>
      <c r="OOH148" s="609"/>
      <c r="OOI148" s="609"/>
      <c r="OOJ148" s="609"/>
      <c r="OOK148" s="609"/>
      <c r="OOL148" s="609"/>
      <c r="OOM148" s="609"/>
      <c r="OON148" s="609"/>
      <c r="OOO148" s="609"/>
      <c r="OOP148" s="609"/>
      <c r="OOQ148" s="609"/>
      <c r="OOR148" s="609"/>
      <c r="OOS148" s="609"/>
      <c r="OOT148" s="609"/>
      <c r="OOU148" s="609"/>
      <c r="OOV148" s="609"/>
      <c r="OOW148" s="609"/>
      <c r="OOX148" s="609"/>
      <c r="OOY148" s="609"/>
      <c r="OOZ148" s="609"/>
      <c r="OPA148" s="609"/>
      <c r="OPB148" s="609"/>
      <c r="OPC148" s="609"/>
      <c r="OPD148" s="609"/>
      <c r="OPE148" s="609"/>
      <c r="OPF148" s="609"/>
      <c r="OPG148" s="609"/>
      <c r="OPH148" s="609"/>
      <c r="OPI148" s="609"/>
      <c r="OPJ148" s="609"/>
      <c r="OPK148" s="609"/>
      <c r="OPL148" s="609"/>
      <c r="OPM148" s="609"/>
      <c r="OPN148" s="609"/>
      <c r="OPO148" s="609"/>
      <c r="OPP148" s="609"/>
      <c r="OPQ148" s="609"/>
      <c r="OPR148" s="609"/>
      <c r="OPS148" s="609"/>
      <c r="OPT148" s="609"/>
      <c r="OPU148" s="609"/>
      <c r="OPV148" s="609"/>
      <c r="OPW148" s="609"/>
      <c r="OPX148" s="609"/>
      <c r="OPY148" s="609"/>
      <c r="OPZ148" s="609"/>
      <c r="OQA148" s="609"/>
      <c r="OQB148" s="609"/>
      <c r="OQC148" s="609"/>
      <c r="OQD148" s="609"/>
      <c r="OQE148" s="609"/>
      <c r="OQF148" s="609"/>
      <c r="OQG148" s="609"/>
      <c r="OQH148" s="609"/>
      <c r="OQI148" s="609"/>
      <c r="OQJ148" s="609"/>
      <c r="OQK148" s="609"/>
      <c r="OQL148" s="609"/>
      <c r="OQM148" s="609"/>
      <c r="OQN148" s="609"/>
      <c r="OQO148" s="609"/>
      <c r="OQP148" s="609"/>
      <c r="OQQ148" s="609"/>
      <c r="OQR148" s="609"/>
      <c r="OQS148" s="609"/>
      <c r="OQT148" s="609"/>
      <c r="OQU148" s="609"/>
      <c r="OQV148" s="609"/>
      <c r="OQW148" s="609"/>
      <c r="OQX148" s="609"/>
      <c r="OQY148" s="609"/>
      <c r="OQZ148" s="609"/>
      <c r="ORA148" s="609"/>
      <c r="ORB148" s="609"/>
      <c r="ORC148" s="609"/>
      <c r="ORD148" s="609"/>
      <c r="ORE148" s="609"/>
      <c r="ORF148" s="609"/>
      <c r="ORG148" s="609"/>
      <c r="ORH148" s="609"/>
      <c r="ORI148" s="609"/>
      <c r="ORJ148" s="609"/>
      <c r="ORK148" s="609"/>
      <c r="ORL148" s="609"/>
      <c r="ORM148" s="609"/>
      <c r="ORN148" s="609"/>
      <c r="ORO148" s="609"/>
      <c r="ORP148" s="609"/>
      <c r="ORQ148" s="609"/>
      <c r="ORR148" s="609"/>
      <c r="ORS148" s="609"/>
      <c r="ORT148" s="609"/>
      <c r="ORU148" s="609"/>
      <c r="ORV148" s="609"/>
      <c r="ORW148" s="609"/>
      <c r="ORX148" s="609"/>
      <c r="ORY148" s="609"/>
      <c r="ORZ148" s="609"/>
      <c r="OSA148" s="609"/>
      <c r="OSB148" s="609"/>
      <c r="OSC148" s="609"/>
      <c r="OSD148" s="609"/>
      <c r="OSE148" s="609"/>
      <c r="OSF148" s="609"/>
      <c r="OSG148" s="609"/>
      <c r="OSH148" s="609"/>
      <c r="OSI148" s="609"/>
      <c r="OSJ148" s="609"/>
      <c r="OSK148" s="609"/>
      <c r="OSL148" s="609"/>
      <c r="OSM148" s="609"/>
      <c r="OSN148" s="609"/>
      <c r="OSO148" s="609"/>
      <c r="OSP148" s="609"/>
      <c r="OSQ148" s="609"/>
      <c r="OSR148" s="609"/>
      <c r="OSS148" s="609"/>
      <c r="OST148" s="609"/>
      <c r="OSU148" s="609"/>
      <c r="OSV148" s="609"/>
      <c r="OSW148" s="609"/>
      <c r="OSX148" s="609"/>
      <c r="OSY148" s="609"/>
      <c r="OSZ148" s="609"/>
      <c r="OTA148" s="609"/>
      <c r="OTB148" s="609"/>
      <c r="OTC148" s="609"/>
      <c r="OTD148" s="609"/>
      <c r="OTE148" s="609"/>
      <c r="OTF148" s="609"/>
      <c r="OTG148" s="609"/>
      <c r="OTH148" s="609"/>
      <c r="OTI148" s="609"/>
      <c r="OTJ148" s="609"/>
      <c r="OTK148" s="609"/>
      <c r="OTL148" s="609"/>
      <c r="OTM148" s="609"/>
      <c r="OTN148" s="609"/>
      <c r="OTO148" s="609"/>
      <c r="OTP148" s="609"/>
      <c r="OTQ148" s="609"/>
      <c r="OTR148" s="609"/>
      <c r="OTS148" s="609"/>
      <c r="OTT148" s="609"/>
      <c r="OTU148" s="609"/>
      <c r="OTV148" s="609"/>
      <c r="OTW148" s="609"/>
      <c r="OTX148" s="609"/>
      <c r="OTY148" s="609"/>
      <c r="OTZ148" s="609"/>
      <c r="OUA148" s="609"/>
      <c r="OUB148" s="609"/>
      <c r="OUC148" s="609"/>
      <c r="OUD148" s="609"/>
      <c r="OUE148" s="609"/>
      <c r="OUF148" s="609"/>
      <c r="OUG148" s="609"/>
      <c r="OUH148" s="609"/>
      <c r="OUI148" s="609"/>
      <c r="OUJ148" s="609"/>
      <c r="OUK148" s="609"/>
      <c r="OUL148" s="609"/>
      <c r="OUM148" s="609"/>
      <c r="OUN148" s="609"/>
      <c r="OUO148" s="609"/>
      <c r="OUP148" s="609"/>
      <c r="OUQ148" s="609"/>
      <c r="OUR148" s="609"/>
      <c r="OUS148" s="609"/>
      <c r="OUT148" s="609"/>
      <c r="OUU148" s="609"/>
      <c r="OUV148" s="609"/>
      <c r="OUW148" s="609"/>
      <c r="OUX148" s="609"/>
      <c r="OUY148" s="609"/>
      <c r="OUZ148" s="609"/>
      <c r="OVA148" s="609"/>
      <c r="OVB148" s="609"/>
      <c r="OVC148" s="609"/>
      <c r="OVD148" s="609"/>
      <c r="OVE148" s="609"/>
      <c r="OVF148" s="609"/>
      <c r="OVG148" s="609"/>
      <c r="OVH148" s="609"/>
      <c r="OVI148" s="609"/>
      <c r="OVJ148" s="609"/>
      <c r="OVK148" s="609"/>
      <c r="OVL148" s="609"/>
      <c r="OVM148" s="609"/>
      <c r="OVN148" s="609"/>
      <c r="OVO148" s="609"/>
      <c r="OVP148" s="609"/>
      <c r="OVQ148" s="609"/>
      <c r="OVR148" s="609"/>
      <c r="OVS148" s="609"/>
      <c r="OVT148" s="609"/>
      <c r="OVU148" s="609"/>
      <c r="OVV148" s="609"/>
      <c r="OVW148" s="609"/>
      <c r="OVX148" s="609"/>
      <c r="OVY148" s="609"/>
      <c r="OVZ148" s="609"/>
      <c r="OWA148" s="609"/>
      <c r="OWB148" s="609"/>
      <c r="OWC148" s="609"/>
      <c r="OWD148" s="609"/>
      <c r="OWE148" s="609"/>
      <c r="OWF148" s="609"/>
      <c r="OWG148" s="609"/>
      <c r="OWH148" s="609"/>
      <c r="OWI148" s="609"/>
      <c r="OWJ148" s="609"/>
      <c r="OWK148" s="609"/>
      <c r="OWL148" s="609"/>
      <c r="OWM148" s="609"/>
      <c r="OWN148" s="609"/>
      <c r="OWO148" s="609"/>
      <c r="OWP148" s="609"/>
      <c r="OWQ148" s="609"/>
      <c r="OWR148" s="609"/>
      <c r="OWS148" s="609"/>
      <c r="OWT148" s="609"/>
      <c r="OWU148" s="609"/>
      <c r="OWV148" s="609"/>
      <c r="OWW148" s="609"/>
      <c r="OWX148" s="609"/>
      <c r="OWY148" s="609"/>
      <c r="OWZ148" s="609"/>
      <c r="OXA148" s="609"/>
      <c r="OXB148" s="609"/>
      <c r="OXC148" s="609"/>
      <c r="OXD148" s="609"/>
      <c r="OXE148" s="609"/>
      <c r="OXF148" s="609"/>
      <c r="OXG148" s="609"/>
      <c r="OXH148" s="609"/>
      <c r="OXI148" s="609"/>
      <c r="OXJ148" s="609"/>
      <c r="OXK148" s="609"/>
      <c r="OXL148" s="609"/>
      <c r="OXM148" s="609"/>
      <c r="OXN148" s="609"/>
      <c r="OXO148" s="609"/>
      <c r="OXP148" s="609"/>
      <c r="OXQ148" s="609"/>
      <c r="OXR148" s="609"/>
      <c r="OXS148" s="609"/>
      <c r="OXT148" s="609"/>
      <c r="OXU148" s="609"/>
      <c r="OXV148" s="609"/>
      <c r="OXW148" s="609"/>
      <c r="OXX148" s="609"/>
      <c r="OXY148" s="609"/>
      <c r="OXZ148" s="609"/>
      <c r="OYA148" s="609"/>
      <c r="OYB148" s="609"/>
      <c r="OYC148" s="609"/>
      <c r="OYD148" s="609"/>
      <c r="OYE148" s="609"/>
      <c r="OYF148" s="609"/>
      <c r="OYG148" s="609"/>
      <c r="OYH148" s="609"/>
      <c r="OYI148" s="609"/>
      <c r="OYJ148" s="609"/>
      <c r="OYK148" s="609"/>
      <c r="OYL148" s="609"/>
      <c r="OYM148" s="609"/>
      <c r="OYN148" s="609"/>
      <c r="OYO148" s="609"/>
      <c r="OYP148" s="609"/>
      <c r="OYQ148" s="609"/>
      <c r="OYR148" s="609"/>
      <c r="OYS148" s="609"/>
      <c r="OYT148" s="609"/>
      <c r="OYU148" s="609"/>
      <c r="OYV148" s="609"/>
      <c r="OYW148" s="609"/>
      <c r="OYX148" s="609"/>
      <c r="OYY148" s="609"/>
      <c r="OYZ148" s="609"/>
      <c r="OZA148" s="609"/>
      <c r="OZB148" s="609"/>
      <c r="OZC148" s="609"/>
      <c r="OZD148" s="609"/>
      <c r="OZE148" s="609"/>
      <c r="OZF148" s="609"/>
      <c r="OZG148" s="609"/>
      <c r="OZH148" s="609"/>
      <c r="OZI148" s="609"/>
      <c r="OZJ148" s="609"/>
      <c r="OZK148" s="609"/>
      <c r="OZL148" s="609"/>
      <c r="OZM148" s="609"/>
      <c r="OZN148" s="609"/>
      <c r="OZO148" s="609"/>
      <c r="OZP148" s="609"/>
      <c r="OZQ148" s="609"/>
      <c r="OZR148" s="609"/>
      <c r="OZS148" s="609"/>
      <c r="OZT148" s="609"/>
      <c r="OZU148" s="609"/>
      <c r="OZV148" s="609"/>
      <c r="OZW148" s="609"/>
      <c r="OZX148" s="609"/>
      <c r="OZY148" s="609"/>
      <c r="OZZ148" s="609"/>
      <c r="PAA148" s="609"/>
      <c r="PAB148" s="609"/>
      <c r="PAC148" s="609"/>
      <c r="PAD148" s="609"/>
      <c r="PAE148" s="609"/>
      <c r="PAF148" s="609"/>
      <c r="PAG148" s="609"/>
      <c r="PAH148" s="609"/>
      <c r="PAI148" s="609"/>
      <c r="PAJ148" s="609"/>
      <c r="PAK148" s="609"/>
      <c r="PAL148" s="609"/>
      <c r="PAM148" s="609"/>
      <c r="PAN148" s="609"/>
      <c r="PAO148" s="609"/>
      <c r="PAP148" s="609"/>
      <c r="PAQ148" s="609"/>
      <c r="PAR148" s="609"/>
      <c r="PAS148" s="609"/>
      <c r="PAT148" s="609"/>
      <c r="PAU148" s="609"/>
      <c r="PAV148" s="609"/>
      <c r="PAW148" s="609"/>
      <c r="PAX148" s="609"/>
      <c r="PAY148" s="609"/>
      <c r="PAZ148" s="609"/>
      <c r="PBA148" s="609"/>
      <c r="PBB148" s="609"/>
      <c r="PBC148" s="609"/>
      <c r="PBD148" s="609"/>
      <c r="PBE148" s="609"/>
      <c r="PBF148" s="609"/>
      <c r="PBG148" s="609"/>
      <c r="PBH148" s="609"/>
      <c r="PBI148" s="609"/>
      <c r="PBJ148" s="609"/>
      <c r="PBK148" s="609"/>
      <c r="PBL148" s="609"/>
      <c r="PBM148" s="609"/>
      <c r="PBN148" s="609"/>
      <c r="PBO148" s="609"/>
      <c r="PBP148" s="609"/>
      <c r="PBQ148" s="609"/>
      <c r="PBR148" s="609"/>
      <c r="PBS148" s="609"/>
      <c r="PBT148" s="609"/>
      <c r="PBU148" s="609"/>
      <c r="PBV148" s="609"/>
      <c r="PBW148" s="609"/>
      <c r="PBX148" s="609"/>
      <c r="PBY148" s="609"/>
      <c r="PBZ148" s="609"/>
      <c r="PCA148" s="609"/>
      <c r="PCB148" s="609"/>
      <c r="PCC148" s="609"/>
      <c r="PCD148" s="609"/>
      <c r="PCE148" s="609"/>
      <c r="PCF148" s="609"/>
      <c r="PCG148" s="609"/>
      <c r="PCH148" s="609"/>
      <c r="PCI148" s="609"/>
      <c r="PCJ148" s="609"/>
      <c r="PCK148" s="609"/>
      <c r="PCL148" s="609"/>
      <c r="PCM148" s="609"/>
      <c r="PCN148" s="609"/>
      <c r="PCO148" s="609"/>
      <c r="PCP148" s="609"/>
      <c r="PCQ148" s="609"/>
      <c r="PCR148" s="609"/>
      <c r="PCS148" s="609"/>
      <c r="PCT148" s="609"/>
      <c r="PCU148" s="609"/>
      <c r="PCV148" s="609"/>
      <c r="PCW148" s="609"/>
      <c r="PCX148" s="609"/>
      <c r="PCY148" s="609"/>
      <c r="PCZ148" s="609"/>
      <c r="PDA148" s="609"/>
      <c r="PDB148" s="609"/>
      <c r="PDC148" s="609"/>
      <c r="PDD148" s="609"/>
      <c r="PDE148" s="609"/>
      <c r="PDF148" s="609"/>
      <c r="PDG148" s="609"/>
      <c r="PDH148" s="609"/>
      <c r="PDI148" s="609"/>
      <c r="PDJ148" s="609"/>
      <c r="PDK148" s="609"/>
      <c r="PDL148" s="609"/>
      <c r="PDM148" s="609"/>
      <c r="PDN148" s="609"/>
      <c r="PDO148" s="609"/>
      <c r="PDP148" s="609"/>
      <c r="PDQ148" s="609"/>
      <c r="PDR148" s="609"/>
      <c r="PDS148" s="609"/>
      <c r="PDT148" s="609"/>
      <c r="PDU148" s="609"/>
      <c r="PDV148" s="609"/>
      <c r="PDW148" s="609"/>
      <c r="PDX148" s="609"/>
      <c r="PDY148" s="609"/>
      <c r="PDZ148" s="609"/>
      <c r="PEA148" s="609"/>
      <c r="PEB148" s="609"/>
      <c r="PEC148" s="609"/>
      <c r="PED148" s="609"/>
      <c r="PEE148" s="609"/>
      <c r="PEF148" s="609"/>
      <c r="PEG148" s="609"/>
      <c r="PEH148" s="609"/>
      <c r="PEI148" s="609"/>
      <c r="PEJ148" s="609"/>
      <c r="PEK148" s="609"/>
      <c r="PEL148" s="609"/>
      <c r="PEM148" s="609"/>
      <c r="PEN148" s="609"/>
      <c r="PEO148" s="609"/>
      <c r="PEP148" s="609"/>
      <c r="PEQ148" s="609"/>
      <c r="PER148" s="609"/>
      <c r="PES148" s="609"/>
      <c r="PET148" s="609"/>
      <c r="PEU148" s="609"/>
      <c r="PEV148" s="609"/>
      <c r="PEW148" s="609"/>
      <c r="PEX148" s="609"/>
      <c r="PEY148" s="609"/>
      <c r="PEZ148" s="609"/>
      <c r="PFA148" s="609"/>
      <c r="PFB148" s="609"/>
      <c r="PFC148" s="609"/>
      <c r="PFD148" s="609"/>
      <c r="PFE148" s="609"/>
      <c r="PFF148" s="609"/>
      <c r="PFG148" s="609"/>
      <c r="PFH148" s="609"/>
      <c r="PFI148" s="609"/>
      <c r="PFJ148" s="609"/>
      <c r="PFK148" s="609"/>
      <c r="PFL148" s="609"/>
      <c r="PFM148" s="609"/>
      <c r="PFN148" s="609"/>
      <c r="PFO148" s="609"/>
      <c r="PFP148" s="609"/>
      <c r="PFQ148" s="609"/>
      <c r="PFR148" s="609"/>
      <c r="PFS148" s="609"/>
      <c r="PFT148" s="609"/>
      <c r="PFU148" s="609"/>
      <c r="PFV148" s="609"/>
      <c r="PFW148" s="609"/>
      <c r="PFX148" s="609"/>
      <c r="PFY148" s="609"/>
      <c r="PFZ148" s="609"/>
      <c r="PGA148" s="609"/>
      <c r="PGB148" s="609"/>
      <c r="PGC148" s="609"/>
      <c r="PGD148" s="609"/>
      <c r="PGE148" s="609"/>
      <c r="PGF148" s="609"/>
      <c r="PGG148" s="609"/>
      <c r="PGH148" s="609"/>
      <c r="PGI148" s="609"/>
      <c r="PGJ148" s="609"/>
      <c r="PGK148" s="609"/>
      <c r="PGL148" s="609"/>
      <c r="PGM148" s="609"/>
      <c r="PGN148" s="609"/>
      <c r="PGO148" s="609"/>
      <c r="PGP148" s="609"/>
      <c r="PGQ148" s="609"/>
      <c r="PGR148" s="609"/>
      <c r="PGS148" s="609"/>
      <c r="PGT148" s="609"/>
      <c r="PGU148" s="609"/>
      <c r="PGV148" s="609"/>
      <c r="PGW148" s="609"/>
      <c r="PGX148" s="609"/>
      <c r="PGY148" s="609"/>
      <c r="PGZ148" s="609"/>
      <c r="PHA148" s="609"/>
      <c r="PHB148" s="609"/>
      <c r="PHC148" s="609"/>
      <c r="PHD148" s="609"/>
      <c r="PHE148" s="609"/>
      <c r="PHF148" s="609"/>
      <c r="PHG148" s="609"/>
      <c r="PHH148" s="609"/>
      <c r="PHI148" s="609"/>
      <c r="PHJ148" s="609"/>
      <c r="PHK148" s="609"/>
      <c r="PHL148" s="609"/>
      <c r="PHM148" s="609"/>
      <c r="PHN148" s="609"/>
      <c r="PHO148" s="609"/>
      <c r="PHP148" s="609"/>
      <c r="PHQ148" s="609"/>
      <c r="PHR148" s="609"/>
      <c r="PHS148" s="609"/>
      <c r="PHT148" s="609"/>
      <c r="PHU148" s="609"/>
      <c r="PHV148" s="609"/>
      <c r="PHW148" s="609"/>
      <c r="PHX148" s="609"/>
      <c r="PHY148" s="609"/>
      <c r="PHZ148" s="609"/>
      <c r="PIA148" s="609"/>
      <c r="PIB148" s="609"/>
      <c r="PIC148" s="609"/>
      <c r="PID148" s="609"/>
      <c r="PIE148" s="609"/>
      <c r="PIF148" s="609"/>
      <c r="PIG148" s="609"/>
      <c r="PIH148" s="609"/>
      <c r="PII148" s="609"/>
      <c r="PIJ148" s="609"/>
      <c r="PIK148" s="609"/>
      <c r="PIL148" s="609"/>
      <c r="PIM148" s="609"/>
      <c r="PIN148" s="609"/>
      <c r="PIO148" s="609"/>
      <c r="PIP148" s="609"/>
      <c r="PIQ148" s="609"/>
      <c r="PIR148" s="609"/>
      <c r="PIS148" s="609"/>
      <c r="PIT148" s="609"/>
      <c r="PIU148" s="609"/>
      <c r="PIV148" s="609"/>
      <c r="PIW148" s="609"/>
      <c r="PIX148" s="609"/>
      <c r="PIY148" s="609"/>
      <c r="PIZ148" s="609"/>
      <c r="PJA148" s="609"/>
      <c r="PJB148" s="609"/>
      <c r="PJC148" s="609"/>
      <c r="PJD148" s="609"/>
      <c r="PJE148" s="609"/>
      <c r="PJF148" s="609"/>
      <c r="PJG148" s="609"/>
      <c r="PJH148" s="609"/>
      <c r="PJI148" s="609"/>
      <c r="PJJ148" s="609"/>
      <c r="PJK148" s="609"/>
      <c r="PJL148" s="609"/>
      <c r="PJM148" s="609"/>
      <c r="PJN148" s="609"/>
      <c r="PJO148" s="609"/>
      <c r="PJP148" s="609"/>
      <c r="PJQ148" s="609"/>
      <c r="PJR148" s="609"/>
      <c r="PJS148" s="609"/>
      <c r="PJT148" s="609"/>
      <c r="PJU148" s="609"/>
      <c r="PJV148" s="609"/>
      <c r="PJW148" s="609"/>
      <c r="PJX148" s="609"/>
      <c r="PJY148" s="609"/>
      <c r="PJZ148" s="609"/>
      <c r="PKA148" s="609"/>
      <c r="PKB148" s="609"/>
      <c r="PKC148" s="609"/>
      <c r="PKD148" s="609"/>
      <c r="PKE148" s="609"/>
      <c r="PKF148" s="609"/>
      <c r="PKG148" s="609"/>
      <c r="PKH148" s="609"/>
      <c r="PKI148" s="609"/>
      <c r="PKJ148" s="609"/>
      <c r="PKK148" s="609"/>
      <c r="PKL148" s="609"/>
      <c r="PKM148" s="609"/>
      <c r="PKN148" s="609"/>
      <c r="PKO148" s="609"/>
      <c r="PKP148" s="609"/>
      <c r="PKQ148" s="609"/>
      <c r="PKR148" s="609"/>
      <c r="PKS148" s="609"/>
      <c r="PKT148" s="609"/>
      <c r="PKU148" s="609"/>
      <c r="PKV148" s="609"/>
      <c r="PKW148" s="609"/>
      <c r="PKX148" s="609"/>
      <c r="PKY148" s="609"/>
      <c r="PKZ148" s="609"/>
      <c r="PLA148" s="609"/>
      <c r="PLB148" s="609"/>
      <c r="PLC148" s="609"/>
      <c r="PLD148" s="609"/>
      <c r="PLE148" s="609"/>
      <c r="PLF148" s="609"/>
      <c r="PLG148" s="609"/>
      <c r="PLH148" s="609"/>
      <c r="PLI148" s="609"/>
      <c r="PLJ148" s="609"/>
      <c r="PLK148" s="609"/>
      <c r="PLL148" s="609"/>
      <c r="PLM148" s="609"/>
      <c r="PLN148" s="609"/>
      <c r="PLO148" s="609"/>
      <c r="PLP148" s="609"/>
      <c r="PLQ148" s="609"/>
      <c r="PLR148" s="609"/>
      <c r="PLS148" s="609"/>
      <c r="PLT148" s="609"/>
      <c r="PLU148" s="609"/>
      <c r="PLV148" s="609"/>
      <c r="PLW148" s="609"/>
      <c r="PLX148" s="609"/>
      <c r="PLY148" s="609"/>
      <c r="PLZ148" s="609"/>
      <c r="PMA148" s="609"/>
      <c r="PMB148" s="609"/>
      <c r="PMC148" s="609"/>
      <c r="PMD148" s="609"/>
      <c r="PME148" s="609"/>
      <c r="PMF148" s="609"/>
      <c r="PMG148" s="609"/>
      <c r="PMH148" s="609"/>
      <c r="PMI148" s="609"/>
      <c r="PMJ148" s="609"/>
      <c r="PMK148" s="609"/>
      <c r="PML148" s="609"/>
      <c r="PMM148" s="609"/>
      <c r="PMN148" s="609"/>
      <c r="PMO148" s="609"/>
      <c r="PMP148" s="609"/>
      <c r="PMQ148" s="609"/>
      <c r="PMR148" s="609"/>
      <c r="PMS148" s="609"/>
      <c r="PMT148" s="609"/>
      <c r="PMU148" s="609"/>
      <c r="PMV148" s="609"/>
      <c r="PMW148" s="609"/>
      <c r="PMX148" s="609"/>
      <c r="PMY148" s="609"/>
      <c r="PMZ148" s="609"/>
      <c r="PNA148" s="609"/>
      <c r="PNB148" s="609"/>
      <c r="PNC148" s="609"/>
      <c r="PND148" s="609"/>
      <c r="PNE148" s="609"/>
      <c r="PNF148" s="609"/>
      <c r="PNG148" s="609"/>
      <c r="PNH148" s="609"/>
      <c r="PNI148" s="609"/>
      <c r="PNJ148" s="609"/>
      <c r="PNK148" s="609"/>
      <c r="PNL148" s="609"/>
      <c r="PNM148" s="609"/>
      <c r="PNN148" s="609"/>
      <c r="PNO148" s="609"/>
      <c r="PNP148" s="609"/>
      <c r="PNQ148" s="609"/>
      <c r="PNR148" s="609"/>
      <c r="PNS148" s="609"/>
      <c r="PNT148" s="609"/>
      <c r="PNU148" s="609"/>
      <c r="PNV148" s="609"/>
      <c r="PNW148" s="609"/>
      <c r="PNX148" s="609"/>
      <c r="PNY148" s="609"/>
      <c r="PNZ148" s="609"/>
      <c r="POA148" s="609"/>
      <c r="POB148" s="609"/>
      <c r="POC148" s="609"/>
      <c r="POD148" s="609"/>
      <c r="POE148" s="609"/>
      <c r="POF148" s="609"/>
      <c r="POG148" s="609"/>
      <c r="POH148" s="609"/>
      <c r="POI148" s="609"/>
      <c r="POJ148" s="609"/>
      <c r="POK148" s="609"/>
      <c r="POL148" s="609"/>
      <c r="POM148" s="609"/>
      <c r="PON148" s="609"/>
      <c r="POO148" s="609"/>
      <c r="POP148" s="609"/>
      <c r="POQ148" s="609"/>
      <c r="POR148" s="609"/>
      <c r="POS148" s="609"/>
      <c r="POT148" s="609"/>
      <c r="POU148" s="609"/>
      <c r="POV148" s="609"/>
      <c r="POW148" s="609"/>
      <c r="POX148" s="609"/>
      <c r="POY148" s="609"/>
      <c r="POZ148" s="609"/>
      <c r="PPA148" s="609"/>
      <c r="PPB148" s="609"/>
      <c r="PPC148" s="609"/>
      <c r="PPD148" s="609"/>
      <c r="PPE148" s="609"/>
      <c r="PPF148" s="609"/>
      <c r="PPG148" s="609"/>
      <c r="PPH148" s="609"/>
      <c r="PPI148" s="609"/>
      <c r="PPJ148" s="609"/>
      <c r="PPK148" s="609"/>
      <c r="PPL148" s="609"/>
      <c r="PPM148" s="609"/>
      <c r="PPN148" s="609"/>
      <c r="PPO148" s="609"/>
      <c r="PPP148" s="609"/>
      <c r="PPQ148" s="609"/>
      <c r="PPR148" s="609"/>
      <c r="PPS148" s="609"/>
      <c r="PPT148" s="609"/>
      <c r="PPU148" s="609"/>
      <c r="PPV148" s="609"/>
      <c r="PPW148" s="609"/>
      <c r="PPX148" s="609"/>
      <c r="PPY148" s="609"/>
      <c r="PPZ148" s="609"/>
      <c r="PQA148" s="609"/>
      <c r="PQB148" s="609"/>
      <c r="PQC148" s="609"/>
      <c r="PQD148" s="609"/>
      <c r="PQE148" s="609"/>
      <c r="PQF148" s="609"/>
      <c r="PQG148" s="609"/>
      <c r="PQH148" s="609"/>
      <c r="PQI148" s="609"/>
      <c r="PQJ148" s="609"/>
      <c r="PQK148" s="609"/>
      <c r="PQL148" s="609"/>
      <c r="PQM148" s="609"/>
      <c r="PQN148" s="609"/>
      <c r="PQO148" s="609"/>
      <c r="PQP148" s="609"/>
      <c r="PQQ148" s="609"/>
      <c r="PQR148" s="609"/>
      <c r="PQS148" s="609"/>
      <c r="PQT148" s="609"/>
      <c r="PQU148" s="609"/>
      <c r="PQV148" s="609"/>
      <c r="PQW148" s="609"/>
      <c r="PQX148" s="609"/>
      <c r="PQY148" s="609"/>
      <c r="PQZ148" s="609"/>
      <c r="PRA148" s="609"/>
      <c r="PRB148" s="609"/>
      <c r="PRC148" s="609"/>
      <c r="PRD148" s="609"/>
      <c r="PRE148" s="609"/>
      <c r="PRF148" s="609"/>
      <c r="PRG148" s="609"/>
      <c r="PRH148" s="609"/>
      <c r="PRI148" s="609"/>
      <c r="PRJ148" s="609"/>
      <c r="PRK148" s="609"/>
      <c r="PRL148" s="609"/>
      <c r="PRM148" s="609"/>
      <c r="PRN148" s="609"/>
      <c r="PRO148" s="609"/>
      <c r="PRP148" s="609"/>
      <c r="PRQ148" s="609"/>
      <c r="PRR148" s="609"/>
      <c r="PRS148" s="609"/>
      <c r="PRT148" s="609"/>
      <c r="PRU148" s="609"/>
      <c r="PRV148" s="609"/>
      <c r="PRW148" s="609"/>
      <c r="PRX148" s="609"/>
      <c r="PRY148" s="609"/>
      <c r="PRZ148" s="609"/>
      <c r="PSA148" s="609"/>
      <c r="PSB148" s="609"/>
      <c r="PSC148" s="609"/>
      <c r="PSD148" s="609"/>
      <c r="PSE148" s="609"/>
      <c r="PSF148" s="609"/>
      <c r="PSG148" s="609"/>
      <c r="PSH148" s="609"/>
      <c r="PSI148" s="609"/>
      <c r="PSJ148" s="609"/>
      <c r="PSK148" s="609"/>
      <c r="PSL148" s="609"/>
      <c r="PSM148" s="609"/>
      <c r="PSN148" s="609"/>
      <c r="PSO148" s="609"/>
      <c r="PSP148" s="609"/>
      <c r="PSQ148" s="609"/>
      <c r="PSR148" s="609"/>
      <c r="PSS148" s="609"/>
      <c r="PST148" s="609"/>
      <c r="PSU148" s="609"/>
      <c r="PSV148" s="609"/>
      <c r="PSW148" s="609"/>
      <c r="PSX148" s="609"/>
      <c r="PSY148" s="609"/>
      <c r="PSZ148" s="609"/>
      <c r="PTA148" s="609"/>
      <c r="PTB148" s="609"/>
      <c r="PTC148" s="609"/>
      <c r="PTD148" s="609"/>
      <c r="PTE148" s="609"/>
      <c r="PTF148" s="609"/>
      <c r="PTG148" s="609"/>
      <c r="PTH148" s="609"/>
      <c r="PTI148" s="609"/>
      <c r="PTJ148" s="609"/>
      <c r="PTK148" s="609"/>
      <c r="PTL148" s="609"/>
      <c r="PTM148" s="609"/>
      <c r="PTN148" s="609"/>
      <c r="PTO148" s="609"/>
      <c r="PTP148" s="609"/>
      <c r="PTQ148" s="609"/>
      <c r="PTR148" s="609"/>
      <c r="PTS148" s="609"/>
      <c r="PTT148" s="609"/>
      <c r="PTU148" s="609"/>
      <c r="PTV148" s="609"/>
      <c r="PTW148" s="609"/>
      <c r="PTX148" s="609"/>
      <c r="PTY148" s="609"/>
      <c r="PTZ148" s="609"/>
      <c r="PUA148" s="609"/>
      <c r="PUB148" s="609"/>
      <c r="PUC148" s="609"/>
      <c r="PUD148" s="609"/>
      <c r="PUE148" s="609"/>
      <c r="PUF148" s="609"/>
      <c r="PUG148" s="609"/>
      <c r="PUH148" s="609"/>
      <c r="PUI148" s="609"/>
      <c r="PUJ148" s="609"/>
      <c r="PUK148" s="609"/>
      <c r="PUL148" s="609"/>
      <c r="PUM148" s="609"/>
      <c r="PUN148" s="609"/>
      <c r="PUO148" s="609"/>
      <c r="PUP148" s="609"/>
      <c r="PUQ148" s="609"/>
      <c r="PUR148" s="609"/>
      <c r="PUS148" s="609"/>
      <c r="PUT148" s="609"/>
      <c r="PUU148" s="609"/>
      <c r="PUV148" s="609"/>
      <c r="PUW148" s="609"/>
      <c r="PUX148" s="609"/>
      <c r="PUY148" s="609"/>
      <c r="PUZ148" s="609"/>
      <c r="PVA148" s="609"/>
      <c r="PVB148" s="609"/>
      <c r="PVC148" s="609"/>
      <c r="PVD148" s="609"/>
      <c r="PVE148" s="609"/>
      <c r="PVF148" s="609"/>
      <c r="PVG148" s="609"/>
      <c r="PVH148" s="609"/>
      <c r="PVI148" s="609"/>
      <c r="PVJ148" s="609"/>
      <c r="PVK148" s="609"/>
      <c r="PVL148" s="609"/>
      <c r="PVM148" s="609"/>
      <c r="PVN148" s="609"/>
      <c r="PVO148" s="609"/>
      <c r="PVP148" s="609"/>
      <c r="PVQ148" s="609"/>
      <c r="PVR148" s="609"/>
      <c r="PVS148" s="609"/>
      <c r="PVT148" s="609"/>
      <c r="PVU148" s="609"/>
      <c r="PVV148" s="609"/>
      <c r="PVW148" s="609"/>
      <c r="PVX148" s="609"/>
      <c r="PVY148" s="609"/>
      <c r="PVZ148" s="609"/>
      <c r="PWA148" s="609"/>
      <c r="PWB148" s="609"/>
      <c r="PWC148" s="609"/>
      <c r="PWD148" s="609"/>
      <c r="PWE148" s="609"/>
      <c r="PWF148" s="609"/>
      <c r="PWG148" s="609"/>
      <c r="PWH148" s="609"/>
      <c r="PWI148" s="609"/>
      <c r="PWJ148" s="609"/>
      <c r="PWK148" s="609"/>
      <c r="PWL148" s="609"/>
      <c r="PWM148" s="609"/>
      <c r="PWN148" s="609"/>
      <c r="PWO148" s="609"/>
      <c r="PWP148" s="609"/>
      <c r="PWQ148" s="609"/>
      <c r="PWR148" s="609"/>
      <c r="PWS148" s="609"/>
      <c r="PWT148" s="609"/>
      <c r="PWU148" s="609"/>
      <c r="PWV148" s="609"/>
      <c r="PWW148" s="609"/>
      <c r="PWX148" s="609"/>
      <c r="PWY148" s="609"/>
      <c r="PWZ148" s="609"/>
      <c r="PXA148" s="609"/>
      <c r="PXB148" s="609"/>
      <c r="PXC148" s="609"/>
      <c r="PXD148" s="609"/>
      <c r="PXE148" s="609"/>
      <c r="PXF148" s="609"/>
      <c r="PXG148" s="609"/>
      <c r="PXH148" s="609"/>
      <c r="PXI148" s="609"/>
      <c r="PXJ148" s="609"/>
      <c r="PXK148" s="609"/>
      <c r="PXL148" s="609"/>
      <c r="PXM148" s="609"/>
      <c r="PXN148" s="609"/>
      <c r="PXO148" s="609"/>
      <c r="PXP148" s="609"/>
      <c r="PXQ148" s="609"/>
      <c r="PXR148" s="609"/>
      <c r="PXS148" s="609"/>
      <c r="PXT148" s="609"/>
      <c r="PXU148" s="609"/>
      <c r="PXV148" s="609"/>
      <c r="PXW148" s="609"/>
      <c r="PXX148" s="609"/>
      <c r="PXY148" s="609"/>
      <c r="PXZ148" s="609"/>
      <c r="PYA148" s="609"/>
      <c r="PYB148" s="609"/>
      <c r="PYC148" s="609"/>
      <c r="PYD148" s="609"/>
      <c r="PYE148" s="609"/>
      <c r="PYF148" s="609"/>
      <c r="PYG148" s="609"/>
      <c r="PYH148" s="609"/>
      <c r="PYI148" s="609"/>
      <c r="PYJ148" s="609"/>
      <c r="PYK148" s="609"/>
      <c r="PYL148" s="609"/>
      <c r="PYM148" s="609"/>
      <c r="PYN148" s="609"/>
      <c r="PYO148" s="609"/>
      <c r="PYP148" s="609"/>
      <c r="PYQ148" s="609"/>
      <c r="PYR148" s="609"/>
      <c r="PYS148" s="609"/>
      <c r="PYT148" s="609"/>
      <c r="PYU148" s="609"/>
      <c r="PYV148" s="609"/>
      <c r="PYW148" s="609"/>
      <c r="PYX148" s="609"/>
      <c r="PYY148" s="609"/>
      <c r="PYZ148" s="609"/>
      <c r="PZA148" s="609"/>
      <c r="PZB148" s="609"/>
      <c r="PZC148" s="609"/>
      <c r="PZD148" s="609"/>
      <c r="PZE148" s="609"/>
      <c r="PZF148" s="609"/>
      <c r="PZG148" s="609"/>
      <c r="PZH148" s="609"/>
      <c r="PZI148" s="609"/>
      <c r="PZJ148" s="609"/>
      <c r="PZK148" s="609"/>
      <c r="PZL148" s="609"/>
      <c r="PZM148" s="609"/>
      <c r="PZN148" s="609"/>
      <c r="PZO148" s="609"/>
      <c r="PZP148" s="609"/>
      <c r="PZQ148" s="609"/>
      <c r="PZR148" s="609"/>
      <c r="PZS148" s="609"/>
      <c r="PZT148" s="609"/>
      <c r="PZU148" s="609"/>
      <c r="PZV148" s="609"/>
      <c r="PZW148" s="609"/>
      <c r="PZX148" s="609"/>
      <c r="PZY148" s="609"/>
      <c r="PZZ148" s="609"/>
      <c r="QAA148" s="609"/>
      <c r="QAB148" s="609"/>
      <c r="QAC148" s="609"/>
      <c r="QAD148" s="609"/>
      <c r="QAE148" s="609"/>
      <c r="QAF148" s="609"/>
      <c r="QAG148" s="609"/>
      <c r="QAH148" s="609"/>
      <c r="QAI148" s="609"/>
      <c r="QAJ148" s="609"/>
      <c r="QAK148" s="609"/>
      <c r="QAL148" s="609"/>
      <c r="QAM148" s="609"/>
      <c r="QAN148" s="609"/>
      <c r="QAO148" s="609"/>
      <c r="QAP148" s="609"/>
      <c r="QAQ148" s="609"/>
      <c r="QAR148" s="609"/>
      <c r="QAS148" s="609"/>
      <c r="QAT148" s="609"/>
      <c r="QAU148" s="609"/>
      <c r="QAV148" s="609"/>
      <c r="QAW148" s="609"/>
      <c r="QAX148" s="609"/>
      <c r="QAY148" s="609"/>
      <c r="QAZ148" s="609"/>
      <c r="QBA148" s="609"/>
      <c r="QBB148" s="609"/>
      <c r="QBC148" s="609"/>
      <c r="QBD148" s="609"/>
      <c r="QBE148" s="609"/>
      <c r="QBF148" s="609"/>
      <c r="QBG148" s="609"/>
      <c r="QBH148" s="609"/>
      <c r="QBI148" s="609"/>
      <c r="QBJ148" s="609"/>
      <c r="QBK148" s="609"/>
      <c r="QBL148" s="609"/>
      <c r="QBM148" s="609"/>
      <c r="QBN148" s="609"/>
      <c r="QBO148" s="609"/>
      <c r="QBP148" s="609"/>
      <c r="QBQ148" s="609"/>
      <c r="QBR148" s="609"/>
      <c r="QBS148" s="609"/>
      <c r="QBT148" s="609"/>
      <c r="QBU148" s="609"/>
      <c r="QBV148" s="609"/>
      <c r="QBW148" s="609"/>
      <c r="QBX148" s="609"/>
      <c r="QBY148" s="609"/>
      <c r="QBZ148" s="609"/>
      <c r="QCA148" s="609"/>
      <c r="QCB148" s="609"/>
      <c r="QCC148" s="609"/>
      <c r="QCD148" s="609"/>
      <c r="QCE148" s="609"/>
      <c r="QCF148" s="609"/>
      <c r="QCG148" s="609"/>
      <c r="QCH148" s="609"/>
      <c r="QCI148" s="609"/>
      <c r="QCJ148" s="609"/>
      <c r="QCK148" s="609"/>
      <c r="QCL148" s="609"/>
      <c r="QCM148" s="609"/>
      <c r="QCN148" s="609"/>
      <c r="QCO148" s="609"/>
      <c r="QCP148" s="609"/>
      <c r="QCQ148" s="609"/>
      <c r="QCR148" s="609"/>
      <c r="QCS148" s="609"/>
      <c r="QCT148" s="609"/>
      <c r="QCU148" s="609"/>
      <c r="QCV148" s="609"/>
      <c r="QCW148" s="609"/>
      <c r="QCX148" s="609"/>
      <c r="QCY148" s="609"/>
      <c r="QCZ148" s="609"/>
      <c r="QDA148" s="609"/>
      <c r="QDB148" s="609"/>
      <c r="QDC148" s="609"/>
      <c r="QDD148" s="609"/>
      <c r="QDE148" s="609"/>
      <c r="QDF148" s="609"/>
      <c r="QDG148" s="609"/>
      <c r="QDH148" s="609"/>
      <c r="QDI148" s="609"/>
      <c r="QDJ148" s="609"/>
      <c r="QDK148" s="609"/>
      <c r="QDL148" s="609"/>
      <c r="QDM148" s="609"/>
      <c r="QDN148" s="609"/>
      <c r="QDO148" s="609"/>
      <c r="QDP148" s="609"/>
      <c r="QDQ148" s="609"/>
      <c r="QDR148" s="609"/>
      <c r="QDS148" s="609"/>
      <c r="QDT148" s="609"/>
      <c r="QDU148" s="609"/>
      <c r="QDV148" s="609"/>
      <c r="QDW148" s="609"/>
      <c r="QDX148" s="609"/>
      <c r="QDY148" s="609"/>
      <c r="QDZ148" s="609"/>
      <c r="QEA148" s="609"/>
      <c r="QEB148" s="609"/>
      <c r="QEC148" s="609"/>
      <c r="QED148" s="609"/>
      <c r="QEE148" s="609"/>
      <c r="QEF148" s="609"/>
      <c r="QEG148" s="609"/>
      <c r="QEH148" s="609"/>
      <c r="QEI148" s="609"/>
      <c r="QEJ148" s="609"/>
      <c r="QEK148" s="609"/>
      <c r="QEL148" s="609"/>
      <c r="QEM148" s="609"/>
      <c r="QEN148" s="609"/>
      <c r="QEO148" s="609"/>
      <c r="QEP148" s="609"/>
      <c r="QEQ148" s="609"/>
      <c r="QER148" s="609"/>
      <c r="QES148" s="609"/>
      <c r="QET148" s="609"/>
      <c r="QEU148" s="609"/>
      <c r="QEV148" s="609"/>
      <c r="QEW148" s="609"/>
      <c r="QEX148" s="609"/>
      <c r="QEY148" s="609"/>
      <c r="QEZ148" s="609"/>
      <c r="QFA148" s="609"/>
      <c r="QFB148" s="609"/>
      <c r="QFC148" s="609"/>
      <c r="QFD148" s="609"/>
      <c r="QFE148" s="609"/>
      <c r="QFF148" s="609"/>
      <c r="QFG148" s="609"/>
      <c r="QFH148" s="609"/>
      <c r="QFI148" s="609"/>
      <c r="QFJ148" s="609"/>
      <c r="QFK148" s="609"/>
      <c r="QFL148" s="609"/>
      <c r="QFM148" s="609"/>
      <c r="QFN148" s="609"/>
      <c r="QFO148" s="609"/>
      <c r="QFP148" s="609"/>
      <c r="QFQ148" s="609"/>
      <c r="QFR148" s="609"/>
      <c r="QFS148" s="609"/>
      <c r="QFT148" s="609"/>
      <c r="QFU148" s="609"/>
      <c r="QFV148" s="609"/>
      <c r="QFW148" s="609"/>
      <c r="QFX148" s="609"/>
      <c r="QFY148" s="609"/>
      <c r="QFZ148" s="609"/>
      <c r="QGA148" s="609"/>
      <c r="QGB148" s="609"/>
      <c r="QGC148" s="609"/>
      <c r="QGD148" s="609"/>
      <c r="QGE148" s="609"/>
      <c r="QGF148" s="609"/>
      <c r="QGG148" s="609"/>
      <c r="QGH148" s="609"/>
      <c r="QGI148" s="609"/>
      <c r="QGJ148" s="609"/>
      <c r="QGK148" s="609"/>
      <c r="QGL148" s="609"/>
      <c r="QGM148" s="609"/>
      <c r="QGN148" s="609"/>
      <c r="QGO148" s="609"/>
      <c r="QGP148" s="609"/>
      <c r="QGQ148" s="609"/>
      <c r="QGR148" s="609"/>
      <c r="QGS148" s="609"/>
      <c r="QGT148" s="609"/>
      <c r="QGU148" s="609"/>
      <c r="QGV148" s="609"/>
      <c r="QGW148" s="609"/>
      <c r="QGX148" s="609"/>
      <c r="QGY148" s="609"/>
      <c r="QGZ148" s="609"/>
      <c r="QHA148" s="609"/>
      <c r="QHB148" s="609"/>
      <c r="QHC148" s="609"/>
      <c r="QHD148" s="609"/>
      <c r="QHE148" s="609"/>
      <c r="QHF148" s="609"/>
      <c r="QHG148" s="609"/>
      <c r="QHH148" s="609"/>
      <c r="QHI148" s="609"/>
      <c r="QHJ148" s="609"/>
      <c r="QHK148" s="609"/>
      <c r="QHL148" s="609"/>
      <c r="QHM148" s="609"/>
      <c r="QHN148" s="609"/>
      <c r="QHO148" s="609"/>
      <c r="QHP148" s="609"/>
      <c r="QHQ148" s="609"/>
      <c r="QHR148" s="609"/>
      <c r="QHS148" s="609"/>
      <c r="QHT148" s="609"/>
      <c r="QHU148" s="609"/>
      <c r="QHV148" s="609"/>
      <c r="QHW148" s="609"/>
      <c r="QHX148" s="609"/>
      <c r="QHY148" s="609"/>
      <c r="QHZ148" s="609"/>
      <c r="QIA148" s="609"/>
      <c r="QIB148" s="609"/>
      <c r="QIC148" s="609"/>
      <c r="QID148" s="609"/>
      <c r="QIE148" s="609"/>
      <c r="QIF148" s="609"/>
      <c r="QIG148" s="609"/>
      <c r="QIH148" s="609"/>
      <c r="QII148" s="609"/>
      <c r="QIJ148" s="609"/>
      <c r="QIK148" s="609"/>
      <c r="QIL148" s="609"/>
      <c r="QIM148" s="609"/>
      <c r="QIN148" s="609"/>
      <c r="QIO148" s="609"/>
      <c r="QIP148" s="609"/>
      <c r="QIQ148" s="609"/>
      <c r="QIR148" s="609"/>
      <c r="QIS148" s="609"/>
      <c r="QIT148" s="609"/>
      <c r="QIU148" s="609"/>
      <c r="QIV148" s="609"/>
      <c r="QIW148" s="609"/>
      <c r="QIX148" s="609"/>
      <c r="QIY148" s="609"/>
      <c r="QIZ148" s="609"/>
      <c r="QJA148" s="609"/>
      <c r="QJB148" s="609"/>
      <c r="QJC148" s="609"/>
      <c r="QJD148" s="609"/>
      <c r="QJE148" s="609"/>
      <c r="QJF148" s="609"/>
      <c r="QJG148" s="609"/>
      <c r="QJH148" s="609"/>
      <c r="QJI148" s="609"/>
      <c r="QJJ148" s="609"/>
      <c r="QJK148" s="609"/>
      <c r="QJL148" s="609"/>
      <c r="QJM148" s="609"/>
      <c r="QJN148" s="609"/>
      <c r="QJO148" s="609"/>
      <c r="QJP148" s="609"/>
      <c r="QJQ148" s="609"/>
      <c r="QJR148" s="609"/>
      <c r="QJS148" s="609"/>
      <c r="QJT148" s="609"/>
      <c r="QJU148" s="609"/>
      <c r="QJV148" s="609"/>
      <c r="QJW148" s="609"/>
      <c r="QJX148" s="609"/>
      <c r="QJY148" s="609"/>
      <c r="QJZ148" s="609"/>
      <c r="QKA148" s="609"/>
      <c r="QKB148" s="609"/>
      <c r="QKC148" s="609"/>
      <c r="QKD148" s="609"/>
      <c r="QKE148" s="609"/>
      <c r="QKF148" s="609"/>
      <c r="QKG148" s="609"/>
      <c r="QKH148" s="609"/>
      <c r="QKI148" s="609"/>
      <c r="QKJ148" s="609"/>
      <c r="QKK148" s="609"/>
      <c r="QKL148" s="609"/>
      <c r="QKM148" s="609"/>
      <c r="QKN148" s="609"/>
      <c r="QKO148" s="609"/>
      <c r="QKP148" s="609"/>
      <c r="QKQ148" s="609"/>
      <c r="QKR148" s="609"/>
      <c r="QKS148" s="609"/>
      <c r="QKT148" s="609"/>
      <c r="QKU148" s="609"/>
      <c r="QKV148" s="609"/>
      <c r="QKW148" s="609"/>
      <c r="QKX148" s="609"/>
      <c r="QKY148" s="609"/>
      <c r="QKZ148" s="609"/>
      <c r="QLA148" s="609"/>
      <c r="QLB148" s="609"/>
      <c r="QLC148" s="609"/>
      <c r="QLD148" s="609"/>
      <c r="QLE148" s="609"/>
      <c r="QLF148" s="609"/>
      <c r="QLG148" s="609"/>
      <c r="QLH148" s="609"/>
      <c r="QLI148" s="609"/>
      <c r="QLJ148" s="609"/>
      <c r="QLK148" s="609"/>
      <c r="QLL148" s="609"/>
      <c r="QLM148" s="609"/>
      <c r="QLN148" s="609"/>
      <c r="QLO148" s="609"/>
      <c r="QLP148" s="609"/>
      <c r="QLQ148" s="609"/>
      <c r="QLR148" s="609"/>
      <c r="QLS148" s="609"/>
      <c r="QLT148" s="609"/>
      <c r="QLU148" s="609"/>
      <c r="QLV148" s="609"/>
      <c r="QLW148" s="609"/>
      <c r="QLX148" s="609"/>
      <c r="QLY148" s="609"/>
      <c r="QLZ148" s="609"/>
      <c r="QMA148" s="609"/>
      <c r="QMB148" s="609"/>
      <c r="QMC148" s="609"/>
      <c r="QMD148" s="609"/>
      <c r="QME148" s="609"/>
      <c r="QMF148" s="609"/>
      <c r="QMG148" s="609"/>
      <c r="QMH148" s="609"/>
      <c r="QMI148" s="609"/>
      <c r="QMJ148" s="609"/>
      <c r="QMK148" s="609"/>
      <c r="QML148" s="609"/>
      <c r="QMM148" s="609"/>
      <c r="QMN148" s="609"/>
      <c r="QMO148" s="609"/>
      <c r="QMP148" s="609"/>
      <c r="QMQ148" s="609"/>
      <c r="QMR148" s="609"/>
      <c r="QMS148" s="609"/>
      <c r="QMT148" s="609"/>
      <c r="QMU148" s="609"/>
      <c r="QMV148" s="609"/>
      <c r="QMW148" s="609"/>
      <c r="QMX148" s="609"/>
      <c r="QMY148" s="609"/>
      <c r="QMZ148" s="609"/>
      <c r="QNA148" s="609"/>
      <c r="QNB148" s="609"/>
      <c r="QNC148" s="609"/>
      <c r="QND148" s="609"/>
      <c r="QNE148" s="609"/>
      <c r="QNF148" s="609"/>
      <c r="QNG148" s="609"/>
      <c r="QNH148" s="609"/>
      <c r="QNI148" s="609"/>
      <c r="QNJ148" s="609"/>
      <c r="QNK148" s="609"/>
      <c r="QNL148" s="609"/>
      <c r="QNM148" s="609"/>
      <c r="QNN148" s="609"/>
      <c r="QNO148" s="609"/>
      <c r="QNP148" s="609"/>
      <c r="QNQ148" s="609"/>
      <c r="QNR148" s="609"/>
      <c r="QNS148" s="609"/>
      <c r="QNT148" s="609"/>
      <c r="QNU148" s="609"/>
      <c r="QNV148" s="609"/>
      <c r="QNW148" s="609"/>
      <c r="QNX148" s="609"/>
      <c r="QNY148" s="609"/>
      <c r="QNZ148" s="609"/>
      <c r="QOA148" s="609"/>
      <c r="QOB148" s="609"/>
      <c r="QOC148" s="609"/>
      <c r="QOD148" s="609"/>
      <c r="QOE148" s="609"/>
      <c r="QOF148" s="609"/>
      <c r="QOG148" s="609"/>
      <c r="QOH148" s="609"/>
      <c r="QOI148" s="609"/>
      <c r="QOJ148" s="609"/>
      <c r="QOK148" s="609"/>
      <c r="QOL148" s="609"/>
      <c r="QOM148" s="609"/>
      <c r="QON148" s="609"/>
      <c r="QOO148" s="609"/>
      <c r="QOP148" s="609"/>
      <c r="QOQ148" s="609"/>
      <c r="QOR148" s="609"/>
      <c r="QOS148" s="609"/>
      <c r="QOT148" s="609"/>
      <c r="QOU148" s="609"/>
      <c r="QOV148" s="609"/>
      <c r="QOW148" s="609"/>
      <c r="QOX148" s="609"/>
      <c r="QOY148" s="609"/>
      <c r="QOZ148" s="609"/>
      <c r="QPA148" s="609"/>
      <c r="QPB148" s="609"/>
      <c r="QPC148" s="609"/>
      <c r="QPD148" s="609"/>
      <c r="QPE148" s="609"/>
      <c r="QPF148" s="609"/>
      <c r="QPG148" s="609"/>
      <c r="QPH148" s="609"/>
      <c r="QPI148" s="609"/>
      <c r="QPJ148" s="609"/>
      <c r="QPK148" s="609"/>
      <c r="QPL148" s="609"/>
      <c r="QPM148" s="609"/>
      <c r="QPN148" s="609"/>
      <c r="QPO148" s="609"/>
      <c r="QPP148" s="609"/>
      <c r="QPQ148" s="609"/>
      <c r="QPR148" s="609"/>
      <c r="QPS148" s="609"/>
      <c r="QPT148" s="609"/>
      <c r="QPU148" s="609"/>
      <c r="QPV148" s="609"/>
      <c r="QPW148" s="609"/>
      <c r="QPX148" s="609"/>
      <c r="QPY148" s="609"/>
      <c r="QPZ148" s="609"/>
      <c r="QQA148" s="609"/>
      <c r="QQB148" s="609"/>
      <c r="QQC148" s="609"/>
      <c r="QQD148" s="609"/>
      <c r="QQE148" s="609"/>
      <c r="QQF148" s="609"/>
      <c r="QQG148" s="609"/>
      <c r="QQH148" s="609"/>
      <c r="QQI148" s="609"/>
      <c r="QQJ148" s="609"/>
      <c r="QQK148" s="609"/>
      <c r="QQL148" s="609"/>
      <c r="QQM148" s="609"/>
      <c r="QQN148" s="609"/>
      <c r="QQO148" s="609"/>
      <c r="QQP148" s="609"/>
      <c r="QQQ148" s="609"/>
      <c r="QQR148" s="609"/>
      <c r="QQS148" s="609"/>
      <c r="QQT148" s="609"/>
      <c r="QQU148" s="609"/>
      <c r="QQV148" s="609"/>
      <c r="QQW148" s="609"/>
      <c r="QQX148" s="609"/>
      <c r="QQY148" s="609"/>
      <c r="QQZ148" s="609"/>
      <c r="QRA148" s="609"/>
      <c r="QRB148" s="609"/>
      <c r="QRC148" s="609"/>
      <c r="QRD148" s="609"/>
      <c r="QRE148" s="609"/>
      <c r="QRF148" s="609"/>
      <c r="QRG148" s="609"/>
      <c r="QRH148" s="609"/>
      <c r="QRI148" s="609"/>
      <c r="QRJ148" s="609"/>
      <c r="QRK148" s="609"/>
      <c r="QRL148" s="609"/>
      <c r="QRM148" s="609"/>
      <c r="QRN148" s="609"/>
      <c r="QRO148" s="609"/>
      <c r="QRP148" s="609"/>
      <c r="QRQ148" s="609"/>
      <c r="QRR148" s="609"/>
      <c r="QRS148" s="609"/>
      <c r="QRT148" s="609"/>
      <c r="QRU148" s="609"/>
      <c r="QRV148" s="609"/>
      <c r="QRW148" s="609"/>
      <c r="QRX148" s="609"/>
      <c r="QRY148" s="609"/>
      <c r="QRZ148" s="609"/>
      <c r="QSA148" s="609"/>
      <c r="QSB148" s="609"/>
      <c r="QSC148" s="609"/>
      <c r="QSD148" s="609"/>
      <c r="QSE148" s="609"/>
      <c r="QSF148" s="609"/>
      <c r="QSG148" s="609"/>
      <c r="QSH148" s="609"/>
      <c r="QSI148" s="609"/>
      <c r="QSJ148" s="609"/>
      <c r="QSK148" s="609"/>
      <c r="QSL148" s="609"/>
      <c r="QSM148" s="609"/>
      <c r="QSN148" s="609"/>
      <c r="QSO148" s="609"/>
      <c r="QSP148" s="609"/>
      <c r="QSQ148" s="609"/>
      <c r="QSR148" s="609"/>
      <c r="QSS148" s="609"/>
      <c r="QST148" s="609"/>
      <c r="QSU148" s="609"/>
      <c r="QSV148" s="609"/>
      <c r="QSW148" s="609"/>
      <c r="QSX148" s="609"/>
      <c r="QSY148" s="609"/>
      <c r="QSZ148" s="609"/>
      <c r="QTA148" s="609"/>
      <c r="QTB148" s="609"/>
      <c r="QTC148" s="609"/>
      <c r="QTD148" s="609"/>
      <c r="QTE148" s="609"/>
      <c r="QTF148" s="609"/>
      <c r="QTG148" s="609"/>
      <c r="QTH148" s="609"/>
      <c r="QTI148" s="609"/>
      <c r="QTJ148" s="609"/>
      <c r="QTK148" s="609"/>
      <c r="QTL148" s="609"/>
      <c r="QTM148" s="609"/>
      <c r="QTN148" s="609"/>
      <c r="QTO148" s="609"/>
      <c r="QTP148" s="609"/>
      <c r="QTQ148" s="609"/>
      <c r="QTR148" s="609"/>
      <c r="QTS148" s="609"/>
      <c r="QTT148" s="609"/>
      <c r="QTU148" s="609"/>
      <c r="QTV148" s="609"/>
      <c r="QTW148" s="609"/>
      <c r="QTX148" s="609"/>
      <c r="QTY148" s="609"/>
      <c r="QTZ148" s="609"/>
      <c r="QUA148" s="609"/>
      <c r="QUB148" s="609"/>
      <c r="QUC148" s="609"/>
      <c r="QUD148" s="609"/>
      <c r="QUE148" s="609"/>
      <c r="QUF148" s="609"/>
      <c r="QUG148" s="609"/>
      <c r="QUH148" s="609"/>
      <c r="QUI148" s="609"/>
      <c r="QUJ148" s="609"/>
      <c r="QUK148" s="609"/>
      <c r="QUL148" s="609"/>
      <c r="QUM148" s="609"/>
      <c r="QUN148" s="609"/>
      <c r="QUO148" s="609"/>
      <c r="QUP148" s="609"/>
      <c r="QUQ148" s="609"/>
      <c r="QUR148" s="609"/>
      <c r="QUS148" s="609"/>
      <c r="QUT148" s="609"/>
      <c r="QUU148" s="609"/>
      <c r="QUV148" s="609"/>
      <c r="QUW148" s="609"/>
      <c r="QUX148" s="609"/>
      <c r="QUY148" s="609"/>
      <c r="QUZ148" s="609"/>
      <c r="QVA148" s="609"/>
      <c r="QVB148" s="609"/>
      <c r="QVC148" s="609"/>
      <c r="QVD148" s="609"/>
      <c r="QVE148" s="609"/>
      <c r="QVF148" s="609"/>
      <c r="QVG148" s="609"/>
      <c r="QVH148" s="609"/>
      <c r="QVI148" s="609"/>
      <c r="QVJ148" s="609"/>
      <c r="QVK148" s="609"/>
      <c r="QVL148" s="609"/>
      <c r="QVM148" s="609"/>
      <c r="QVN148" s="609"/>
      <c r="QVO148" s="609"/>
      <c r="QVP148" s="609"/>
      <c r="QVQ148" s="609"/>
      <c r="QVR148" s="609"/>
      <c r="QVS148" s="609"/>
      <c r="QVT148" s="609"/>
      <c r="QVU148" s="609"/>
      <c r="QVV148" s="609"/>
      <c r="QVW148" s="609"/>
      <c r="QVX148" s="609"/>
      <c r="QVY148" s="609"/>
      <c r="QVZ148" s="609"/>
      <c r="QWA148" s="609"/>
      <c r="QWB148" s="609"/>
      <c r="QWC148" s="609"/>
      <c r="QWD148" s="609"/>
      <c r="QWE148" s="609"/>
      <c r="QWF148" s="609"/>
      <c r="QWG148" s="609"/>
      <c r="QWH148" s="609"/>
      <c r="QWI148" s="609"/>
      <c r="QWJ148" s="609"/>
      <c r="QWK148" s="609"/>
      <c r="QWL148" s="609"/>
      <c r="QWM148" s="609"/>
      <c r="QWN148" s="609"/>
      <c r="QWO148" s="609"/>
      <c r="QWP148" s="609"/>
      <c r="QWQ148" s="609"/>
      <c r="QWR148" s="609"/>
      <c r="QWS148" s="609"/>
      <c r="QWT148" s="609"/>
      <c r="QWU148" s="609"/>
      <c r="QWV148" s="609"/>
      <c r="QWW148" s="609"/>
      <c r="QWX148" s="609"/>
      <c r="QWY148" s="609"/>
      <c r="QWZ148" s="609"/>
      <c r="QXA148" s="609"/>
      <c r="QXB148" s="609"/>
      <c r="QXC148" s="609"/>
      <c r="QXD148" s="609"/>
      <c r="QXE148" s="609"/>
      <c r="QXF148" s="609"/>
      <c r="QXG148" s="609"/>
      <c r="QXH148" s="609"/>
      <c r="QXI148" s="609"/>
      <c r="QXJ148" s="609"/>
      <c r="QXK148" s="609"/>
      <c r="QXL148" s="609"/>
      <c r="QXM148" s="609"/>
      <c r="QXN148" s="609"/>
      <c r="QXO148" s="609"/>
      <c r="QXP148" s="609"/>
      <c r="QXQ148" s="609"/>
      <c r="QXR148" s="609"/>
      <c r="QXS148" s="609"/>
      <c r="QXT148" s="609"/>
      <c r="QXU148" s="609"/>
      <c r="QXV148" s="609"/>
      <c r="QXW148" s="609"/>
      <c r="QXX148" s="609"/>
      <c r="QXY148" s="609"/>
      <c r="QXZ148" s="609"/>
      <c r="QYA148" s="609"/>
      <c r="QYB148" s="609"/>
      <c r="QYC148" s="609"/>
      <c r="QYD148" s="609"/>
      <c r="QYE148" s="609"/>
      <c r="QYF148" s="609"/>
      <c r="QYG148" s="609"/>
      <c r="QYH148" s="609"/>
      <c r="QYI148" s="609"/>
      <c r="QYJ148" s="609"/>
      <c r="QYK148" s="609"/>
      <c r="QYL148" s="609"/>
      <c r="QYM148" s="609"/>
      <c r="QYN148" s="609"/>
      <c r="QYO148" s="609"/>
      <c r="QYP148" s="609"/>
      <c r="QYQ148" s="609"/>
      <c r="QYR148" s="609"/>
      <c r="QYS148" s="609"/>
      <c r="QYT148" s="609"/>
      <c r="QYU148" s="609"/>
      <c r="QYV148" s="609"/>
      <c r="QYW148" s="609"/>
      <c r="QYX148" s="609"/>
      <c r="QYY148" s="609"/>
      <c r="QYZ148" s="609"/>
      <c r="QZA148" s="609"/>
      <c r="QZB148" s="609"/>
      <c r="QZC148" s="609"/>
      <c r="QZD148" s="609"/>
      <c r="QZE148" s="609"/>
      <c r="QZF148" s="609"/>
      <c r="QZG148" s="609"/>
      <c r="QZH148" s="609"/>
      <c r="QZI148" s="609"/>
      <c r="QZJ148" s="609"/>
      <c r="QZK148" s="609"/>
      <c r="QZL148" s="609"/>
      <c r="QZM148" s="609"/>
      <c r="QZN148" s="609"/>
      <c r="QZO148" s="609"/>
      <c r="QZP148" s="609"/>
      <c r="QZQ148" s="609"/>
      <c r="QZR148" s="609"/>
      <c r="QZS148" s="609"/>
      <c r="QZT148" s="609"/>
      <c r="QZU148" s="609"/>
      <c r="QZV148" s="609"/>
      <c r="QZW148" s="609"/>
      <c r="QZX148" s="609"/>
      <c r="QZY148" s="609"/>
      <c r="QZZ148" s="609"/>
      <c r="RAA148" s="609"/>
      <c r="RAB148" s="609"/>
      <c r="RAC148" s="609"/>
      <c r="RAD148" s="609"/>
      <c r="RAE148" s="609"/>
      <c r="RAF148" s="609"/>
      <c r="RAG148" s="609"/>
      <c r="RAH148" s="609"/>
      <c r="RAI148" s="609"/>
      <c r="RAJ148" s="609"/>
      <c r="RAK148" s="609"/>
      <c r="RAL148" s="609"/>
      <c r="RAM148" s="609"/>
      <c r="RAN148" s="609"/>
      <c r="RAO148" s="609"/>
      <c r="RAP148" s="609"/>
      <c r="RAQ148" s="609"/>
      <c r="RAR148" s="609"/>
      <c r="RAS148" s="609"/>
      <c r="RAT148" s="609"/>
      <c r="RAU148" s="609"/>
      <c r="RAV148" s="609"/>
      <c r="RAW148" s="609"/>
      <c r="RAX148" s="609"/>
      <c r="RAY148" s="609"/>
      <c r="RAZ148" s="609"/>
      <c r="RBA148" s="609"/>
      <c r="RBB148" s="609"/>
      <c r="RBC148" s="609"/>
      <c r="RBD148" s="609"/>
      <c r="RBE148" s="609"/>
      <c r="RBF148" s="609"/>
      <c r="RBG148" s="609"/>
      <c r="RBH148" s="609"/>
      <c r="RBI148" s="609"/>
      <c r="RBJ148" s="609"/>
      <c r="RBK148" s="609"/>
      <c r="RBL148" s="609"/>
      <c r="RBM148" s="609"/>
      <c r="RBN148" s="609"/>
      <c r="RBO148" s="609"/>
      <c r="RBP148" s="609"/>
      <c r="RBQ148" s="609"/>
      <c r="RBR148" s="609"/>
      <c r="RBS148" s="609"/>
      <c r="RBT148" s="609"/>
      <c r="RBU148" s="609"/>
      <c r="RBV148" s="609"/>
      <c r="RBW148" s="609"/>
      <c r="RBX148" s="609"/>
      <c r="RBY148" s="609"/>
      <c r="RBZ148" s="609"/>
      <c r="RCA148" s="609"/>
      <c r="RCB148" s="609"/>
      <c r="RCC148" s="609"/>
      <c r="RCD148" s="609"/>
      <c r="RCE148" s="609"/>
      <c r="RCF148" s="609"/>
      <c r="RCG148" s="609"/>
      <c r="RCH148" s="609"/>
      <c r="RCI148" s="609"/>
      <c r="RCJ148" s="609"/>
      <c r="RCK148" s="609"/>
      <c r="RCL148" s="609"/>
      <c r="RCM148" s="609"/>
      <c r="RCN148" s="609"/>
      <c r="RCO148" s="609"/>
      <c r="RCP148" s="609"/>
      <c r="RCQ148" s="609"/>
      <c r="RCR148" s="609"/>
      <c r="RCS148" s="609"/>
      <c r="RCT148" s="609"/>
      <c r="RCU148" s="609"/>
      <c r="RCV148" s="609"/>
      <c r="RCW148" s="609"/>
      <c r="RCX148" s="609"/>
      <c r="RCY148" s="609"/>
      <c r="RCZ148" s="609"/>
      <c r="RDA148" s="609"/>
      <c r="RDB148" s="609"/>
      <c r="RDC148" s="609"/>
      <c r="RDD148" s="609"/>
      <c r="RDE148" s="609"/>
      <c r="RDF148" s="609"/>
      <c r="RDG148" s="609"/>
      <c r="RDH148" s="609"/>
      <c r="RDI148" s="609"/>
      <c r="RDJ148" s="609"/>
      <c r="RDK148" s="609"/>
      <c r="RDL148" s="609"/>
      <c r="RDM148" s="609"/>
      <c r="RDN148" s="609"/>
      <c r="RDO148" s="609"/>
      <c r="RDP148" s="609"/>
      <c r="RDQ148" s="609"/>
      <c r="RDR148" s="609"/>
      <c r="RDS148" s="609"/>
      <c r="RDT148" s="609"/>
      <c r="RDU148" s="609"/>
      <c r="RDV148" s="609"/>
      <c r="RDW148" s="609"/>
      <c r="RDX148" s="609"/>
      <c r="RDY148" s="609"/>
      <c r="RDZ148" s="609"/>
      <c r="REA148" s="609"/>
      <c r="REB148" s="609"/>
      <c r="REC148" s="609"/>
      <c r="RED148" s="609"/>
      <c r="REE148" s="609"/>
      <c r="REF148" s="609"/>
      <c r="REG148" s="609"/>
      <c r="REH148" s="609"/>
      <c r="REI148" s="609"/>
      <c r="REJ148" s="609"/>
      <c r="REK148" s="609"/>
      <c r="REL148" s="609"/>
      <c r="REM148" s="609"/>
      <c r="REN148" s="609"/>
      <c r="REO148" s="609"/>
      <c r="REP148" s="609"/>
      <c r="REQ148" s="609"/>
      <c r="RER148" s="609"/>
      <c r="RES148" s="609"/>
      <c r="RET148" s="609"/>
      <c r="REU148" s="609"/>
      <c r="REV148" s="609"/>
      <c r="REW148" s="609"/>
      <c r="REX148" s="609"/>
      <c r="REY148" s="609"/>
      <c r="REZ148" s="609"/>
      <c r="RFA148" s="609"/>
      <c r="RFB148" s="609"/>
      <c r="RFC148" s="609"/>
      <c r="RFD148" s="609"/>
      <c r="RFE148" s="609"/>
      <c r="RFF148" s="609"/>
      <c r="RFG148" s="609"/>
      <c r="RFH148" s="609"/>
      <c r="RFI148" s="609"/>
      <c r="RFJ148" s="609"/>
      <c r="RFK148" s="609"/>
      <c r="RFL148" s="609"/>
      <c r="RFM148" s="609"/>
      <c r="RFN148" s="609"/>
      <c r="RFO148" s="609"/>
      <c r="RFP148" s="609"/>
      <c r="RFQ148" s="609"/>
      <c r="RFR148" s="609"/>
      <c r="RFS148" s="609"/>
      <c r="RFT148" s="609"/>
      <c r="RFU148" s="609"/>
      <c r="RFV148" s="609"/>
      <c r="RFW148" s="609"/>
      <c r="RFX148" s="609"/>
      <c r="RFY148" s="609"/>
      <c r="RFZ148" s="609"/>
      <c r="RGA148" s="609"/>
      <c r="RGB148" s="609"/>
      <c r="RGC148" s="609"/>
      <c r="RGD148" s="609"/>
      <c r="RGE148" s="609"/>
      <c r="RGF148" s="609"/>
      <c r="RGG148" s="609"/>
      <c r="RGH148" s="609"/>
      <c r="RGI148" s="609"/>
      <c r="RGJ148" s="609"/>
      <c r="RGK148" s="609"/>
      <c r="RGL148" s="609"/>
      <c r="RGM148" s="609"/>
      <c r="RGN148" s="609"/>
      <c r="RGO148" s="609"/>
      <c r="RGP148" s="609"/>
      <c r="RGQ148" s="609"/>
      <c r="RGR148" s="609"/>
      <c r="RGS148" s="609"/>
      <c r="RGT148" s="609"/>
      <c r="RGU148" s="609"/>
      <c r="RGV148" s="609"/>
      <c r="RGW148" s="609"/>
      <c r="RGX148" s="609"/>
      <c r="RGY148" s="609"/>
      <c r="RGZ148" s="609"/>
      <c r="RHA148" s="609"/>
      <c r="RHB148" s="609"/>
      <c r="RHC148" s="609"/>
      <c r="RHD148" s="609"/>
      <c r="RHE148" s="609"/>
      <c r="RHF148" s="609"/>
      <c r="RHG148" s="609"/>
      <c r="RHH148" s="609"/>
      <c r="RHI148" s="609"/>
      <c r="RHJ148" s="609"/>
      <c r="RHK148" s="609"/>
      <c r="RHL148" s="609"/>
      <c r="RHM148" s="609"/>
      <c r="RHN148" s="609"/>
      <c r="RHO148" s="609"/>
      <c r="RHP148" s="609"/>
      <c r="RHQ148" s="609"/>
      <c r="RHR148" s="609"/>
      <c r="RHS148" s="609"/>
      <c r="RHT148" s="609"/>
      <c r="RHU148" s="609"/>
      <c r="RHV148" s="609"/>
      <c r="RHW148" s="609"/>
      <c r="RHX148" s="609"/>
      <c r="RHY148" s="609"/>
      <c r="RHZ148" s="609"/>
      <c r="RIA148" s="609"/>
      <c r="RIB148" s="609"/>
      <c r="RIC148" s="609"/>
      <c r="RID148" s="609"/>
      <c r="RIE148" s="609"/>
      <c r="RIF148" s="609"/>
      <c r="RIG148" s="609"/>
      <c r="RIH148" s="609"/>
      <c r="RII148" s="609"/>
      <c r="RIJ148" s="609"/>
      <c r="RIK148" s="609"/>
      <c r="RIL148" s="609"/>
      <c r="RIM148" s="609"/>
      <c r="RIN148" s="609"/>
      <c r="RIO148" s="609"/>
      <c r="RIP148" s="609"/>
      <c r="RIQ148" s="609"/>
      <c r="RIR148" s="609"/>
      <c r="RIS148" s="609"/>
      <c r="RIT148" s="609"/>
      <c r="RIU148" s="609"/>
      <c r="RIV148" s="609"/>
      <c r="RIW148" s="609"/>
      <c r="RIX148" s="609"/>
      <c r="RIY148" s="609"/>
      <c r="RIZ148" s="609"/>
      <c r="RJA148" s="609"/>
      <c r="RJB148" s="609"/>
      <c r="RJC148" s="609"/>
      <c r="RJD148" s="609"/>
      <c r="RJE148" s="609"/>
      <c r="RJF148" s="609"/>
      <c r="RJG148" s="609"/>
      <c r="RJH148" s="609"/>
      <c r="RJI148" s="609"/>
      <c r="RJJ148" s="609"/>
      <c r="RJK148" s="609"/>
      <c r="RJL148" s="609"/>
      <c r="RJM148" s="609"/>
      <c r="RJN148" s="609"/>
      <c r="RJO148" s="609"/>
      <c r="RJP148" s="609"/>
      <c r="RJQ148" s="609"/>
      <c r="RJR148" s="609"/>
      <c r="RJS148" s="609"/>
      <c r="RJT148" s="609"/>
      <c r="RJU148" s="609"/>
      <c r="RJV148" s="609"/>
      <c r="RJW148" s="609"/>
      <c r="RJX148" s="609"/>
      <c r="RJY148" s="609"/>
      <c r="RJZ148" s="609"/>
      <c r="RKA148" s="609"/>
      <c r="RKB148" s="609"/>
      <c r="RKC148" s="609"/>
      <c r="RKD148" s="609"/>
      <c r="RKE148" s="609"/>
      <c r="RKF148" s="609"/>
      <c r="RKG148" s="609"/>
      <c r="RKH148" s="609"/>
      <c r="RKI148" s="609"/>
      <c r="RKJ148" s="609"/>
      <c r="RKK148" s="609"/>
      <c r="RKL148" s="609"/>
      <c r="RKM148" s="609"/>
      <c r="RKN148" s="609"/>
      <c r="RKO148" s="609"/>
      <c r="RKP148" s="609"/>
      <c r="RKQ148" s="609"/>
      <c r="RKR148" s="609"/>
      <c r="RKS148" s="609"/>
      <c r="RKT148" s="609"/>
      <c r="RKU148" s="609"/>
      <c r="RKV148" s="609"/>
      <c r="RKW148" s="609"/>
      <c r="RKX148" s="609"/>
      <c r="RKY148" s="609"/>
      <c r="RKZ148" s="609"/>
      <c r="RLA148" s="609"/>
      <c r="RLB148" s="609"/>
      <c r="RLC148" s="609"/>
      <c r="RLD148" s="609"/>
      <c r="RLE148" s="609"/>
      <c r="RLF148" s="609"/>
      <c r="RLG148" s="609"/>
      <c r="RLH148" s="609"/>
      <c r="RLI148" s="609"/>
      <c r="RLJ148" s="609"/>
      <c r="RLK148" s="609"/>
      <c r="RLL148" s="609"/>
      <c r="RLM148" s="609"/>
      <c r="RLN148" s="609"/>
      <c r="RLO148" s="609"/>
      <c r="RLP148" s="609"/>
      <c r="RLQ148" s="609"/>
      <c r="RLR148" s="609"/>
      <c r="RLS148" s="609"/>
      <c r="RLT148" s="609"/>
      <c r="RLU148" s="609"/>
      <c r="RLV148" s="609"/>
      <c r="RLW148" s="609"/>
      <c r="RLX148" s="609"/>
      <c r="RLY148" s="609"/>
      <c r="RLZ148" s="609"/>
      <c r="RMA148" s="609"/>
      <c r="RMB148" s="609"/>
      <c r="RMC148" s="609"/>
      <c r="RMD148" s="609"/>
      <c r="RME148" s="609"/>
      <c r="RMF148" s="609"/>
      <c r="RMG148" s="609"/>
      <c r="RMH148" s="609"/>
      <c r="RMI148" s="609"/>
      <c r="RMJ148" s="609"/>
      <c r="RMK148" s="609"/>
      <c r="RML148" s="609"/>
      <c r="RMM148" s="609"/>
      <c r="RMN148" s="609"/>
      <c r="RMO148" s="609"/>
      <c r="RMP148" s="609"/>
      <c r="RMQ148" s="609"/>
      <c r="RMR148" s="609"/>
      <c r="RMS148" s="609"/>
      <c r="RMT148" s="609"/>
      <c r="RMU148" s="609"/>
      <c r="RMV148" s="609"/>
      <c r="RMW148" s="609"/>
      <c r="RMX148" s="609"/>
      <c r="RMY148" s="609"/>
      <c r="RMZ148" s="609"/>
      <c r="RNA148" s="609"/>
      <c r="RNB148" s="609"/>
      <c r="RNC148" s="609"/>
      <c r="RND148" s="609"/>
      <c r="RNE148" s="609"/>
      <c r="RNF148" s="609"/>
      <c r="RNG148" s="609"/>
      <c r="RNH148" s="609"/>
      <c r="RNI148" s="609"/>
      <c r="RNJ148" s="609"/>
      <c r="RNK148" s="609"/>
      <c r="RNL148" s="609"/>
      <c r="RNM148" s="609"/>
      <c r="RNN148" s="609"/>
      <c r="RNO148" s="609"/>
      <c r="RNP148" s="609"/>
      <c r="RNQ148" s="609"/>
      <c r="RNR148" s="609"/>
      <c r="RNS148" s="609"/>
      <c r="RNT148" s="609"/>
      <c r="RNU148" s="609"/>
      <c r="RNV148" s="609"/>
      <c r="RNW148" s="609"/>
      <c r="RNX148" s="609"/>
      <c r="RNY148" s="609"/>
      <c r="RNZ148" s="609"/>
      <c r="ROA148" s="609"/>
      <c r="ROB148" s="609"/>
      <c r="ROC148" s="609"/>
      <c r="ROD148" s="609"/>
      <c r="ROE148" s="609"/>
      <c r="ROF148" s="609"/>
      <c r="ROG148" s="609"/>
      <c r="ROH148" s="609"/>
      <c r="ROI148" s="609"/>
      <c r="ROJ148" s="609"/>
      <c r="ROK148" s="609"/>
      <c r="ROL148" s="609"/>
      <c r="ROM148" s="609"/>
      <c r="RON148" s="609"/>
      <c r="ROO148" s="609"/>
      <c r="ROP148" s="609"/>
      <c r="ROQ148" s="609"/>
      <c r="ROR148" s="609"/>
      <c r="ROS148" s="609"/>
      <c r="ROT148" s="609"/>
      <c r="ROU148" s="609"/>
      <c r="ROV148" s="609"/>
      <c r="ROW148" s="609"/>
      <c r="ROX148" s="609"/>
      <c r="ROY148" s="609"/>
      <c r="ROZ148" s="609"/>
      <c r="RPA148" s="609"/>
      <c r="RPB148" s="609"/>
      <c r="RPC148" s="609"/>
      <c r="RPD148" s="609"/>
      <c r="RPE148" s="609"/>
      <c r="RPF148" s="609"/>
      <c r="RPG148" s="609"/>
      <c r="RPH148" s="609"/>
      <c r="RPI148" s="609"/>
      <c r="RPJ148" s="609"/>
      <c r="RPK148" s="609"/>
      <c r="RPL148" s="609"/>
      <c r="RPM148" s="609"/>
      <c r="RPN148" s="609"/>
      <c r="RPO148" s="609"/>
      <c r="RPP148" s="609"/>
      <c r="RPQ148" s="609"/>
      <c r="RPR148" s="609"/>
      <c r="RPS148" s="609"/>
      <c r="RPT148" s="609"/>
      <c r="RPU148" s="609"/>
      <c r="RPV148" s="609"/>
      <c r="RPW148" s="609"/>
      <c r="RPX148" s="609"/>
      <c r="RPY148" s="609"/>
      <c r="RPZ148" s="609"/>
      <c r="RQA148" s="609"/>
      <c r="RQB148" s="609"/>
      <c r="RQC148" s="609"/>
      <c r="RQD148" s="609"/>
      <c r="RQE148" s="609"/>
      <c r="RQF148" s="609"/>
      <c r="RQG148" s="609"/>
      <c r="RQH148" s="609"/>
      <c r="RQI148" s="609"/>
      <c r="RQJ148" s="609"/>
      <c r="RQK148" s="609"/>
      <c r="RQL148" s="609"/>
      <c r="RQM148" s="609"/>
      <c r="RQN148" s="609"/>
      <c r="RQO148" s="609"/>
      <c r="RQP148" s="609"/>
      <c r="RQQ148" s="609"/>
      <c r="RQR148" s="609"/>
      <c r="RQS148" s="609"/>
      <c r="RQT148" s="609"/>
      <c r="RQU148" s="609"/>
      <c r="RQV148" s="609"/>
      <c r="RQW148" s="609"/>
      <c r="RQX148" s="609"/>
      <c r="RQY148" s="609"/>
      <c r="RQZ148" s="609"/>
      <c r="RRA148" s="609"/>
      <c r="RRB148" s="609"/>
      <c r="RRC148" s="609"/>
      <c r="RRD148" s="609"/>
      <c r="RRE148" s="609"/>
      <c r="RRF148" s="609"/>
      <c r="RRG148" s="609"/>
      <c r="RRH148" s="609"/>
      <c r="RRI148" s="609"/>
      <c r="RRJ148" s="609"/>
      <c r="RRK148" s="609"/>
      <c r="RRL148" s="609"/>
      <c r="RRM148" s="609"/>
      <c r="RRN148" s="609"/>
      <c r="RRO148" s="609"/>
      <c r="RRP148" s="609"/>
      <c r="RRQ148" s="609"/>
      <c r="RRR148" s="609"/>
      <c r="RRS148" s="609"/>
      <c r="RRT148" s="609"/>
      <c r="RRU148" s="609"/>
      <c r="RRV148" s="609"/>
      <c r="RRW148" s="609"/>
      <c r="RRX148" s="609"/>
      <c r="RRY148" s="609"/>
      <c r="RRZ148" s="609"/>
      <c r="RSA148" s="609"/>
      <c r="RSB148" s="609"/>
      <c r="RSC148" s="609"/>
      <c r="RSD148" s="609"/>
      <c r="RSE148" s="609"/>
      <c r="RSF148" s="609"/>
      <c r="RSG148" s="609"/>
      <c r="RSH148" s="609"/>
      <c r="RSI148" s="609"/>
      <c r="RSJ148" s="609"/>
      <c r="RSK148" s="609"/>
      <c r="RSL148" s="609"/>
      <c r="RSM148" s="609"/>
      <c r="RSN148" s="609"/>
      <c r="RSO148" s="609"/>
      <c r="RSP148" s="609"/>
      <c r="RSQ148" s="609"/>
      <c r="RSR148" s="609"/>
      <c r="RSS148" s="609"/>
      <c r="RST148" s="609"/>
      <c r="RSU148" s="609"/>
      <c r="RSV148" s="609"/>
      <c r="RSW148" s="609"/>
      <c r="RSX148" s="609"/>
      <c r="RSY148" s="609"/>
      <c r="RSZ148" s="609"/>
      <c r="RTA148" s="609"/>
      <c r="RTB148" s="609"/>
      <c r="RTC148" s="609"/>
      <c r="RTD148" s="609"/>
      <c r="RTE148" s="609"/>
      <c r="RTF148" s="609"/>
      <c r="RTG148" s="609"/>
      <c r="RTH148" s="609"/>
      <c r="RTI148" s="609"/>
      <c r="RTJ148" s="609"/>
      <c r="RTK148" s="609"/>
      <c r="RTL148" s="609"/>
      <c r="RTM148" s="609"/>
      <c r="RTN148" s="609"/>
      <c r="RTO148" s="609"/>
      <c r="RTP148" s="609"/>
      <c r="RTQ148" s="609"/>
      <c r="RTR148" s="609"/>
      <c r="RTS148" s="609"/>
      <c r="RTT148" s="609"/>
      <c r="RTU148" s="609"/>
      <c r="RTV148" s="609"/>
      <c r="RTW148" s="609"/>
      <c r="RTX148" s="609"/>
      <c r="RTY148" s="609"/>
      <c r="RTZ148" s="609"/>
      <c r="RUA148" s="609"/>
      <c r="RUB148" s="609"/>
      <c r="RUC148" s="609"/>
      <c r="RUD148" s="609"/>
      <c r="RUE148" s="609"/>
      <c r="RUF148" s="609"/>
      <c r="RUG148" s="609"/>
      <c r="RUH148" s="609"/>
      <c r="RUI148" s="609"/>
      <c r="RUJ148" s="609"/>
      <c r="RUK148" s="609"/>
      <c r="RUL148" s="609"/>
      <c r="RUM148" s="609"/>
      <c r="RUN148" s="609"/>
      <c r="RUO148" s="609"/>
      <c r="RUP148" s="609"/>
      <c r="RUQ148" s="609"/>
      <c r="RUR148" s="609"/>
      <c r="RUS148" s="609"/>
      <c r="RUT148" s="609"/>
      <c r="RUU148" s="609"/>
      <c r="RUV148" s="609"/>
      <c r="RUW148" s="609"/>
      <c r="RUX148" s="609"/>
      <c r="RUY148" s="609"/>
      <c r="RUZ148" s="609"/>
      <c r="RVA148" s="609"/>
      <c r="RVB148" s="609"/>
      <c r="RVC148" s="609"/>
      <c r="RVD148" s="609"/>
      <c r="RVE148" s="609"/>
      <c r="RVF148" s="609"/>
      <c r="RVG148" s="609"/>
      <c r="RVH148" s="609"/>
      <c r="RVI148" s="609"/>
      <c r="RVJ148" s="609"/>
      <c r="RVK148" s="609"/>
      <c r="RVL148" s="609"/>
      <c r="RVM148" s="609"/>
      <c r="RVN148" s="609"/>
      <c r="RVO148" s="609"/>
      <c r="RVP148" s="609"/>
      <c r="RVQ148" s="609"/>
      <c r="RVR148" s="609"/>
      <c r="RVS148" s="609"/>
      <c r="RVT148" s="609"/>
      <c r="RVU148" s="609"/>
      <c r="RVV148" s="609"/>
      <c r="RVW148" s="609"/>
      <c r="RVX148" s="609"/>
      <c r="RVY148" s="609"/>
      <c r="RVZ148" s="609"/>
      <c r="RWA148" s="609"/>
      <c r="RWB148" s="609"/>
      <c r="RWC148" s="609"/>
      <c r="RWD148" s="609"/>
      <c r="RWE148" s="609"/>
      <c r="RWF148" s="609"/>
      <c r="RWG148" s="609"/>
      <c r="RWH148" s="609"/>
      <c r="RWI148" s="609"/>
      <c r="RWJ148" s="609"/>
      <c r="RWK148" s="609"/>
      <c r="RWL148" s="609"/>
      <c r="RWM148" s="609"/>
      <c r="RWN148" s="609"/>
      <c r="RWO148" s="609"/>
      <c r="RWP148" s="609"/>
      <c r="RWQ148" s="609"/>
      <c r="RWR148" s="609"/>
      <c r="RWS148" s="609"/>
      <c r="RWT148" s="609"/>
      <c r="RWU148" s="609"/>
      <c r="RWV148" s="609"/>
      <c r="RWW148" s="609"/>
      <c r="RWX148" s="609"/>
      <c r="RWY148" s="609"/>
      <c r="RWZ148" s="609"/>
      <c r="RXA148" s="609"/>
      <c r="RXB148" s="609"/>
      <c r="RXC148" s="609"/>
      <c r="RXD148" s="609"/>
      <c r="RXE148" s="609"/>
      <c r="RXF148" s="609"/>
      <c r="RXG148" s="609"/>
      <c r="RXH148" s="609"/>
      <c r="RXI148" s="609"/>
      <c r="RXJ148" s="609"/>
      <c r="RXK148" s="609"/>
      <c r="RXL148" s="609"/>
      <c r="RXM148" s="609"/>
      <c r="RXN148" s="609"/>
      <c r="RXO148" s="609"/>
      <c r="RXP148" s="609"/>
      <c r="RXQ148" s="609"/>
      <c r="RXR148" s="609"/>
      <c r="RXS148" s="609"/>
      <c r="RXT148" s="609"/>
      <c r="RXU148" s="609"/>
      <c r="RXV148" s="609"/>
      <c r="RXW148" s="609"/>
      <c r="RXX148" s="609"/>
      <c r="RXY148" s="609"/>
      <c r="RXZ148" s="609"/>
      <c r="RYA148" s="609"/>
      <c r="RYB148" s="609"/>
      <c r="RYC148" s="609"/>
      <c r="RYD148" s="609"/>
      <c r="RYE148" s="609"/>
      <c r="RYF148" s="609"/>
      <c r="RYG148" s="609"/>
      <c r="RYH148" s="609"/>
      <c r="RYI148" s="609"/>
      <c r="RYJ148" s="609"/>
      <c r="RYK148" s="609"/>
      <c r="RYL148" s="609"/>
      <c r="RYM148" s="609"/>
      <c r="RYN148" s="609"/>
      <c r="RYO148" s="609"/>
      <c r="RYP148" s="609"/>
      <c r="RYQ148" s="609"/>
      <c r="RYR148" s="609"/>
      <c r="RYS148" s="609"/>
      <c r="RYT148" s="609"/>
      <c r="RYU148" s="609"/>
      <c r="RYV148" s="609"/>
      <c r="RYW148" s="609"/>
      <c r="RYX148" s="609"/>
      <c r="RYY148" s="609"/>
      <c r="RYZ148" s="609"/>
      <c r="RZA148" s="609"/>
      <c r="RZB148" s="609"/>
      <c r="RZC148" s="609"/>
      <c r="RZD148" s="609"/>
      <c r="RZE148" s="609"/>
      <c r="RZF148" s="609"/>
      <c r="RZG148" s="609"/>
      <c r="RZH148" s="609"/>
      <c r="RZI148" s="609"/>
      <c r="RZJ148" s="609"/>
      <c r="RZK148" s="609"/>
      <c r="RZL148" s="609"/>
      <c r="RZM148" s="609"/>
      <c r="RZN148" s="609"/>
      <c r="RZO148" s="609"/>
      <c r="RZP148" s="609"/>
      <c r="RZQ148" s="609"/>
      <c r="RZR148" s="609"/>
      <c r="RZS148" s="609"/>
      <c r="RZT148" s="609"/>
      <c r="RZU148" s="609"/>
      <c r="RZV148" s="609"/>
      <c r="RZW148" s="609"/>
      <c r="RZX148" s="609"/>
      <c r="RZY148" s="609"/>
      <c r="RZZ148" s="609"/>
      <c r="SAA148" s="609"/>
      <c r="SAB148" s="609"/>
      <c r="SAC148" s="609"/>
      <c r="SAD148" s="609"/>
      <c r="SAE148" s="609"/>
      <c r="SAF148" s="609"/>
      <c r="SAG148" s="609"/>
      <c r="SAH148" s="609"/>
      <c r="SAI148" s="609"/>
      <c r="SAJ148" s="609"/>
      <c r="SAK148" s="609"/>
      <c r="SAL148" s="609"/>
      <c r="SAM148" s="609"/>
      <c r="SAN148" s="609"/>
      <c r="SAO148" s="609"/>
      <c r="SAP148" s="609"/>
      <c r="SAQ148" s="609"/>
      <c r="SAR148" s="609"/>
      <c r="SAS148" s="609"/>
      <c r="SAT148" s="609"/>
      <c r="SAU148" s="609"/>
      <c r="SAV148" s="609"/>
      <c r="SAW148" s="609"/>
      <c r="SAX148" s="609"/>
      <c r="SAY148" s="609"/>
      <c r="SAZ148" s="609"/>
      <c r="SBA148" s="609"/>
      <c r="SBB148" s="609"/>
      <c r="SBC148" s="609"/>
      <c r="SBD148" s="609"/>
      <c r="SBE148" s="609"/>
      <c r="SBF148" s="609"/>
      <c r="SBG148" s="609"/>
      <c r="SBH148" s="609"/>
      <c r="SBI148" s="609"/>
      <c r="SBJ148" s="609"/>
      <c r="SBK148" s="609"/>
      <c r="SBL148" s="609"/>
      <c r="SBM148" s="609"/>
      <c r="SBN148" s="609"/>
      <c r="SBO148" s="609"/>
      <c r="SBP148" s="609"/>
      <c r="SBQ148" s="609"/>
      <c r="SBR148" s="609"/>
      <c r="SBS148" s="609"/>
      <c r="SBT148" s="609"/>
      <c r="SBU148" s="609"/>
      <c r="SBV148" s="609"/>
      <c r="SBW148" s="609"/>
      <c r="SBX148" s="609"/>
      <c r="SBY148" s="609"/>
      <c r="SBZ148" s="609"/>
      <c r="SCA148" s="609"/>
      <c r="SCB148" s="609"/>
      <c r="SCC148" s="609"/>
      <c r="SCD148" s="609"/>
      <c r="SCE148" s="609"/>
      <c r="SCF148" s="609"/>
      <c r="SCG148" s="609"/>
      <c r="SCH148" s="609"/>
      <c r="SCI148" s="609"/>
      <c r="SCJ148" s="609"/>
      <c r="SCK148" s="609"/>
      <c r="SCL148" s="609"/>
      <c r="SCM148" s="609"/>
      <c r="SCN148" s="609"/>
      <c r="SCO148" s="609"/>
      <c r="SCP148" s="609"/>
      <c r="SCQ148" s="609"/>
      <c r="SCR148" s="609"/>
      <c r="SCS148" s="609"/>
      <c r="SCT148" s="609"/>
      <c r="SCU148" s="609"/>
      <c r="SCV148" s="609"/>
      <c r="SCW148" s="609"/>
      <c r="SCX148" s="609"/>
      <c r="SCY148" s="609"/>
      <c r="SCZ148" s="609"/>
      <c r="SDA148" s="609"/>
      <c r="SDB148" s="609"/>
      <c r="SDC148" s="609"/>
      <c r="SDD148" s="609"/>
      <c r="SDE148" s="609"/>
      <c r="SDF148" s="609"/>
      <c r="SDG148" s="609"/>
      <c r="SDH148" s="609"/>
      <c r="SDI148" s="609"/>
      <c r="SDJ148" s="609"/>
      <c r="SDK148" s="609"/>
      <c r="SDL148" s="609"/>
      <c r="SDM148" s="609"/>
      <c r="SDN148" s="609"/>
      <c r="SDO148" s="609"/>
      <c r="SDP148" s="609"/>
      <c r="SDQ148" s="609"/>
      <c r="SDR148" s="609"/>
      <c r="SDS148" s="609"/>
      <c r="SDT148" s="609"/>
      <c r="SDU148" s="609"/>
      <c r="SDV148" s="609"/>
      <c r="SDW148" s="609"/>
      <c r="SDX148" s="609"/>
      <c r="SDY148" s="609"/>
      <c r="SDZ148" s="609"/>
      <c r="SEA148" s="609"/>
      <c r="SEB148" s="609"/>
      <c r="SEC148" s="609"/>
      <c r="SED148" s="609"/>
      <c r="SEE148" s="609"/>
      <c r="SEF148" s="609"/>
      <c r="SEG148" s="609"/>
      <c r="SEH148" s="609"/>
      <c r="SEI148" s="609"/>
      <c r="SEJ148" s="609"/>
      <c r="SEK148" s="609"/>
      <c r="SEL148" s="609"/>
      <c r="SEM148" s="609"/>
      <c r="SEN148" s="609"/>
      <c r="SEO148" s="609"/>
      <c r="SEP148" s="609"/>
      <c r="SEQ148" s="609"/>
      <c r="SER148" s="609"/>
      <c r="SES148" s="609"/>
      <c r="SET148" s="609"/>
      <c r="SEU148" s="609"/>
      <c r="SEV148" s="609"/>
      <c r="SEW148" s="609"/>
      <c r="SEX148" s="609"/>
      <c r="SEY148" s="609"/>
      <c r="SEZ148" s="609"/>
      <c r="SFA148" s="609"/>
      <c r="SFB148" s="609"/>
      <c r="SFC148" s="609"/>
      <c r="SFD148" s="609"/>
      <c r="SFE148" s="609"/>
      <c r="SFF148" s="609"/>
      <c r="SFG148" s="609"/>
      <c r="SFH148" s="609"/>
      <c r="SFI148" s="609"/>
      <c r="SFJ148" s="609"/>
      <c r="SFK148" s="609"/>
      <c r="SFL148" s="609"/>
      <c r="SFM148" s="609"/>
      <c r="SFN148" s="609"/>
      <c r="SFO148" s="609"/>
      <c r="SFP148" s="609"/>
      <c r="SFQ148" s="609"/>
      <c r="SFR148" s="609"/>
      <c r="SFS148" s="609"/>
      <c r="SFT148" s="609"/>
      <c r="SFU148" s="609"/>
      <c r="SFV148" s="609"/>
      <c r="SFW148" s="609"/>
      <c r="SFX148" s="609"/>
      <c r="SFY148" s="609"/>
      <c r="SFZ148" s="609"/>
      <c r="SGA148" s="609"/>
      <c r="SGB148" s="609"/>
      <c r="SGC148" s="609"/>
      <c r="SGD148" s="609"/>
      <c r="SGE148" s="609"/>
      <c r="SGF148" s="609"/>
      <c r="SGG148" s="609"/>
      <c r="SGH148" s="609"/>
      <c r="SGI148" s="609"/>
      <c r="SGJ148" s="609"/>
      <c r="SGK148" s="609"/>
      <c r="SGL148" s="609"/>
      <c r="SGM148" s="609"/>
      <c r="SGN148" s="609"/>
      <c r="SGO148" s="609"/>
      <c r="SGP148" s="609"/>
      <c r="SGQ148" s="609"/>
      <c r="SGR148" s="609"/>
      <c r="SGS148" s="609"/>
      <c r="SGT148" s="609"/>
      <c r="SGU148" s="609"/>
      <c r="SGV148" s="609"/>
      <c r="SGW148" s="609"/>
      <c r="SGX148" s="609"/>
      <c r="SGY148" s="609"/>
      <c r="SGZ148" s="609"/>
      <c r="SHA148" s="609"/>
      <c r="SHB148" s="609"/>
      <c r="SHC148" s="609"/>
      <c r="SHD148" s="609"/>
      <c r="SHE148" s="609"/>
      <c r="SHF148" s="609"/>
      <c r="SHG148" s="609"/>
      <c r="SHH148" s="609"/>
      <c r="SHI148" s="609"/>
      <c r="SHJ148" s="609"/>
      <c r="SHK148" s="609"/>
      <c r="SHL148" s="609"/>
      <c r="SHM148" s="609"/>
      <c r="SHN148" s="609"/>
      <c r="SHO148" s="609"/>
      <c r="SHP148" s="609"/>
      <c r="SHQ148" s="609"/>
      <c r="SHR148" s="609"/>
      <c r="SHS148" s="609"/>
      <c r="SHT148" s="609"/>
      <c r="SHU148" s="609"/>
      <c r="SHV148" s="609"/>
      <c r="SHW148" s="609"/>
      <c r="SHX148" s="609"/>
      <c r="SHY148" s="609"/>
      <c r="SHZ148" s="609"/>
      <c r="SIA148" s="609"/>
      <c r="SIB148" s="609"/>
      <c r="SIC148" s="609"/>
      <c r="SID148" s="609"/>
      <c r="SIE148" s="609"/>
      <c r="SIF148" s="609"/>
      <c r="SIG148" s="609"/>
      <c r="SIH148" s="609"/>
      <c r="SII148" s="609"/>
      <c r="SIJ148" s="609"/>
      <c r="SIK148" s="609"/>
      <c r="SIL148" s="609"/>
      <c r="SIM148" s="609"/>
      <c r="SIN148" s="609"/>
      <c r="SIO148" s="609"/>
      <c r="SIP148" s="609"/>
      <c r="SIQ148" s="609"/>
      <c r="SIR148" s="609"/>
      <c r="SIS148" s="609"/>
      <c r="SIT148" s="609"/>
      <c r="SIU148" s="609"/>
      <c r="SIV148" s="609"/>
      <c r="SIW148" s="609"/>
      <c r="SIX148" s="609"/>
      <c r="SIY148" s="609"/>
      <c r="SIZ148" s="609"/>
      <c r="SJA148" s="609"/>
      <c r="SJB148" s="609"/>
      <c r="SJC148" s="609"/>
      <c r="SJD148" s="609"/>
      <c r="SJE148" s="609"/>
      <c r="SJF148" s="609"/>
      <c r="SJG148" s="609"/>
      <c r="SJH148" s="609"/>
      <c r="SJI148" s="609"/>
      <c r="SJJ148" s="609"/>
      <c r="SJK148" s="609"/>
      <c r="SJL148" s="609"/>
      <c r="SJM148" s="609"/>
      <c r="SJN148" s="609"/>
      <c r="SJO148" s="609"/>
      <c r="SJP148" s="609"/>
      <c r="SJQ148" s="609"/>
      <c r="SJR148" s="609"/>
      <c r="SJS148" s="609"/>
      <c r="SJT148" s="609"/>
      <c r="SJU148" s="609"/>
      <c r="SJV148" s="609"/>
      <c r="SJW148" s="609"/>
      <c r="SJX148" s="609"/>
      <c r="SJY148" s="609"/>
      <c r="SJZ148" s="609"/>
      <c r="SKA148" s="609"/>
      <c r="SKB148" s="609"/>
      <c r="SKC148" s="609"/>
      <c r="SKD148" s="609"/>
      <c r="SKE148" s="609"/>
      <c r="SKF148" s="609"/>
      <c r="SKG148" s="609"/>
      <c r="SKH148" s="609"/>
      <c r="SKI148" s="609"/>
      <c r="SKJ148" s="609"/>
      <c r="SKK148" s="609"/>
      <c r="SKL148" s="609"/>
      <c r="SKM148" s="609"/>
      <c r="SKN148" s="609"/>
      <c r="SKO148" s="609"/>
      <c r="SKP148" s="609"/>
      <c r="SKQ148" s="609"/>
      <c r="SKR148" s="609"/>
      <c r="SKS148" s="609"/>
      <c r="SKT148" s="609"/>
      <c r="SKU148" s="609"/>
      <c r="SKV148" s="609"/>
      <c r="SKW148" s="609"/>
      <c r="SKX148" s="609"/>
      <c r="SKY148" s="609"/>
      <c r="SKZ148" s="609"/>
      <c r="SLA148" s="609"/>
      <c r="SLB148" s="609"/>
      <c r="SLC148" s="609"/>
      <c r="SLD148" s="609"/>
      <c r="SLE148" s="609"/>
      <c r="SLF148" s="609"/>
      <c r="SLG148" s="609"/>
      <c r="SLH148" s="609"/>
      <c r="SLI148" s="609"/>
      <c r="SLJ148" s="609"/>
      <c r="SLK148" s="609"/>
      <c r="SLL148" s="609"/>
      <c r="SLM148" s="609"/>
      <c r="SLN148" s="609"/>
      <c r="SLO148" s="609"/>
      <c r="SLP148" s="609"/>
      <c r="SLQ148" s="609"/>
      <c r="SLR148" s="609"/>
      <c r="SLS148" s="609"/>
      <c r="SLT148" s="609"/>
      <c r="SLU148" s="609"/>
      <c r="SLV148" s="609"/>
      <c r="SLW148" s="609"/>
      <c r="SLX148" s="609"/>
      <c r="SLY148" s="609"/>
      <c r="SLZ148" s="609"/>
      <c r="SMA148" s="609"/>
      <c r="SMB148" s="609"/>
      <c r="SMC148" s="609"/>
      <c r="SMD148" s="609"/>
      <c r="SME148" s="609"/>
      <c r="SMF148" s="609"/>
      <c r="SMG148" s="609"/>
      <c r="SMH148" s="609"/>
      <c r="SMI148" s="609"/>
      <c r="SMJ148" s="609"/>
      <c r="SMK148" s="609"/>
      <c r="SML148" s="609"/>
      <c r="SMM148" s="609"/>
      <c r="SMN148" s="609"/>
      <c r="SMO148" s="609"/>
      <c r="SMP148" s="609"/>
      <c r="SMQ148" s="609"/>
      <c r="SMR148" s="609"/>
      <c r="SMS148" s="609"/>
      <c r="SMT148" s="609"/>
      <c r="SMU148" s="609"/>
      <c r="SMV148" s="609"/>
      <c r="SMW148" s="609"/>
      <c r="SMX148" s="609"/>
      <c r="SMY148" s="609"/>
      <c r="SMZ148" s="609"/>
      <c r="SNA148" s="609"/>
      <c r="SNB148" s="609"/>
      <c r="SNC148" s="609"/>
      <c r="SND148" s="609"/>
      <c r="SNE148" s="609"/>
      <c r="SNF148" s="609"/>
      <c r="SNG148" s="609"/>
      <c r="SNH148" s="609"/>
      <c r="SNI148" s="609"/>
      <c r="SNJ148" s="609"/>
      <c r="SNK148" s="609"/>
      <c r="SNL148" s="609"/>
      <c r="SNM148" s="609"/>
      <c r="SNN148" s="609"/>
      <c r="SNO148" s="609"/>
      <c r="SNP148" s="609"/>
      <c r="SNQ148" s="609"/>
      <c r="SNR148" s="609"/>
      <c r="SNS148" s="609"/>
      <c r="SNT148" s="609"/>
      <c r="SNU148" s="609"/>
      <c r="SNV148" s="609"/>
      <c r="SNW148" s="609"/>
      <c r="SNX148" s="609"/>
      <c r="SNY148" s="609"/>
      <c r="SNZ148" s="609"/>
      <c r="SOA148" s="609"/>
      <c r="SOB148" s="609"/>
      <c r="SOC148" s="609"/>
      <c r="SOD148" s="609"/>
      <c r="SOE148" s="609"/>
      <c r="SOF148" s="609"/>
      <c r="SOG148" s="609"/>
      <c r="SOH148" s="609"/>
      <c r="SOI148" s="609"/>
      <c r="SOJ148" s="609"/>
      <c r="SOK148" s="609"/>
      <c r="SOL148" s="609"/>
      <c r="SOM148" s="609"/>
      <c r="SON148" s="609"/>
      <c r="SOO148" s="609"/>
      <c r="SOP148" s="609"/>
      <c r="SOQ148" s="609"/>
      <c r="SOR148" s="609"/>
      <c r="SOS148" s="609"/>
      <c r="SOT148" s="609"/>
      <c r="SOU148" s="609"/>
      <c r="SOV148" s="609"/>
      <c r="SOW148" s="609"/>
      <c r="SOX148" s="609"/>
      <c r="SOY148" s="609"/>
      <c r="SOZ148" s="609"/>
      <c r="SPA148" s="609"/>
      <c r="SPB148" s="609"/>
      <c r="SPC148" s="609"/>
      <c r="SPD148" s="609"/>
      <c r="SPE148" s="609"/>
      <c r="SPF148" s="609"/>
      <c r="SPG148" s="609"/>
      <c r="SPH148" s="609"/>
      <c r="SPI148" s="609"/>
      <c r="SPJ148" s="609"/>
      <c r="SPK148" s="609"/>
      <c r="SPL148" s="609"/>
      <c r="SPM148" s="609"/>
      <c r="SPN148" s="609"/>
      <c r="SPO148" s="609"/>
      <c r="SPP148" s="609"/>
      <c r="SPQ148" s="609"/>
      <c r="SPR148" s="609"/>
      <c r="SPS148" s="609"/>
      <c r="SPT148" s="609"/>
      <c r="SPU148" s="609"/>
      <c r="SPV148" s="609"/>
      <c r="SPW148" s="609"/>
      <c r="SPX148" s="609"/>
      <c r="SPY148" s="609"/>
      <c r="SPZ148" s="609"/>
      <c r="SQA148" s="609"/>
      <c r="SQB148" s="609"/>
      <c r="SQC148" s="609"/>
      <c r="SQD148" s="609"/>
      <c r="SQE148" s="609"/>
      <c r="SQF148" s="609"/>
      <c r="SQG148" s="609"/>
      <c r="SQH148" s="609"/>
      <c r="SQI148" s="609"/>
      <c r="SQJ148" s="609"/>
      <c r="SQK148" s="609"/>
      <c r="SQL148" s="609"/>
      <c r="SQM148" s="609"/>
      <c r="SQN148" s="609"/>
      <c r="SQO148" s="609"/>
      <c r="SQP148" s="609"/>
      <c r="SQQ148" s="609"/>
      <c r="SQR148" s="609"/>
      <c r="SQS148" s="609"/>
      <c r="SQT148" s="609"/>
      <c r="SQU148" s="609"/>
      <c r="SQV148" s="609"/>
      <c r="SQW148" s="609"/>
      <c r="SQX148" s="609"/>
      <c r="SQY148" s="609"/>
      <c r="SQZ148" s="609"/>
      <c r="SRA148" s="609"/>
      <c r="SRB148" s="609"/>
      <c r="SRC148" s="609"/>
      <c r="SRD148" s="609"/>
      <c r="SRE148" s="609"/>
      <c r="SRF148" s="609"/>
      <c r="SRG148" s="609"/>
      <c r="SRH148" s="609"/>
      <c r="SRI148" s="609"/>
      <c r="SRJ148" s="609"/>
      <c r="SRK148" s="609"/>
      <c r="SRL148" s="609"/>
      <c r="SRM148" s="609"/>
      <c r="SRN148" s="609"/>
      <c r="SRO148" s="609"/>
      <c r="SRP148" s="609"/>
      <c r="SRQ148" s="609"/>
      <c r="SRR148" s="609"/>
      <c r="SRS148" s="609"/>
      <c r="SRT148" s="609"/>
      <c r="SRU148" s="609"/>
      <c r="SRV148" s="609"/>
      <c r="SRW148" s="609"/>
      <c r="SRX148" s="609"/>
      <c r="SRY148" s="609"/>
      <c r="SRZ148" s="609"/>
      <c r="SSA148" s="609"/>
      <c r="SSB148" s="609"/>
      <c r="SSC148" s="609"/>
      <c r="SSD148" s="609"/>
      <c r="SSE148" s="609"/>
      <c r="SSF148" s="609"/>
      <c r="SSG148" s="609"/>
      <c r="SSH148" s="609"/>
      <c r="SSI148" s="609"/>
      <c r="SSJ148" s="609"/>
      <c r="SSK148" s="609"/>
      <c r="SSL148" s="609"/>
      <c r="SSM148" s="609"/>
      <c r="SSN148" s="609"/>
      <c r="SSO148" s="609"/>
      <c r="SSP148" s="609"/>
      <c r="SSQ148" s="609"/>
      <c r="SSR148" s="609"/>
      <c r="SSS148" s="609"/>
      <c r="SST148" s="609"/>
      <c r="SSU148" s="609"/>
      <c r="SSV148" s="609"/>
      <c r="SSW148" s="609"/>
      <c r="SSX148" s="609"/>
      <c r="SSY148" s="609"/>
      <c r="SSZ148" s="609"/>
      <c r="STA148" s="609"/>
      <c r="STB148" s="609"/>
      <c r="STC148" s="609"/>
      <c r="STD148" s="609"/>
      <c r="STE148" s="609"/>
      <c r="STF148" s="609"/>
      <c r="STG148" s="609"/>
      <c r="STH148" s="609"/>
      <c r="STI148" s="609"/>
      <c r="STJ148" s="609"/>
      <c r="STK148" s="609"/>
      <c r="STL148" s="609"/>
      <c r="STM148" s="609"/>
      <c r="STN148" s="609"/>
      <c r="STO148" s="609"/>
      <c r="STP148" s="609"/>
      <c r="STQ148" s="609"/>
      <c r="STR148" s="609"/>
      <c r="STS148" s="609"/>
      <c r="STT148" s="609"/>
      <c r="STU148" s="609"/>
      <c r="STV148" s="609"/>
      <c r="STW148" s="609"/>
      <c r="STX148" s="609"/>
      <c r="STY148" s="609"/>
      <c r="STZ148" s="609"/>
      <c r="SUA148" s="609"/>
      <c r="SUB148" s="609"/>
      <c r="SUC148" s="609"/>
      <c r="SUD148" s="609"/>
      <c r="SUE148" s="609"/>
      <c r="SUF148" s="609"/>
      <c r="SUG148" s="609"/>
      <c r="SUH148" s="609"/>
      <c r="SUI148" s="609"/>
      <c r="SUJ148" s="609"/>
      <c r="SUK148" s="609"/>
      <c r="SUL148" s="609"/>
      <c r="SUM148" s="609"/>
      <c r="SUN148" s="609"/>
      <c r="SUO148" s="609"/>
      <c r="SUP148" s="609"/>
      <c r="SUQ148" s="609"/>
      <c r="SUR148" s="609"/>
      <c r="SUS148" s="609"/>
      <c r="SUT148" s="609"/>
      <c r="SUU148" s="609"/>
      <c r="SUV148" s="609"/>
      <c r="SUW148" s="609"/>
      <c r="SUX148" s="609"/>
      <c r="SUY148" s="609"/>
      <c r="SUZ148" s="609"/>
      <c r="SVA148" s="609"/>
      <c r="SVB148" s="609"/>
      <c r="SVC148" s="609"/>
      <c r="SVD148" s="609"/>
      <c r="SVE148" s="609"/>
      <c r="SVF148" s="609"/>
      <c r="SVG148" s="609"/>
      <c r="SVH148" s="609"/>
      <c r="SVI148" s="609"/>
      <c r="SVJ148" s="609"/>
      <c r="SVK148" s="609"/>
      <c r="SVL148" s="609"/>
      <c r="SVM148" s="609"/>
      <c r="SVN148" s="609"/>
      <c r="SVO148" s="609"/>
      <c r="SVP148" s="609"/>
      <c r="SVQ148" s="609"/>
      <c r="SVR148" s="609"/>
      <c r="SVS148" s="609"/>
      <c r="SVT148" s="609"/>
      <c r="SVU148" s="609"/>
      <c r="SVV148" s="609"/>
      <c r="SVW148" s="609"/>
      <c r="SVX148" s="609"/>
      <c r="SVY148" s="609"/>
      <c r="SVZ148" s="609"/>
      <c r="SWA148" s="609"/>
      <c r="SWB148" s="609"/>
      <c r="SWC148" s="609"/>
      <c r="SWD148" s="609"/>
      <c r="SWE148" s="609"/>
      <c r="SWF148" s="609"/>
      <c r="SWG148" s="609"/>
      <c r="SWH148" s="609"/>
      <c r="SWI148" s="609"/>
      <c r="SWJ148" s="609"/>
      <c r="SWK148" s="609"/>
      <c r="SWL148" s="609"/>
      <c r="SWM148" s="609"/>
      <c r="SWN148" s="609"/>
      <c r="SWO148" s="609"/>
      <c r="SWP148" s="609"/>
      <c r="SWQ148" s="609"/>
      <c r="SWR148" s="609"/>
      <c r="SWS148" s="609"/>
      <c r="SWT148" s="609"/>
      <c r="SWU148" s="609"/>
      <c r="SWV148" s="609"/>
      <c r="SWW148" s="609"/>
      <c r="SWX148" s="609"/>
      <c r="SWY148" s="609"/>
      <c r="SWZ148" s="609"/>
      <c r="SXA148" s="609"/>
      <c r="SXB148" s="609"/>
      <c r="SXC148" s="609"/>
      <c r="SXD148" s="609"/>
      <c r="SXE148" s="609"/>
      <c r="SXF148" s="609"/>
      <c r="SXG148" s="609"/>
      <c r="SXH148" s="609"/>
      <c r="SXI148" s="609"/>
      <c r="SXJ148" s="609"/>
      <c r="SXK148" s="609"/>
      <c r="SXL148" s="609"/>
      <c r="SXM148" s="609"/>
      <c r="SXN148" s="609"/>
      <c r="SXO148" s="609"/>
      <c r="SXP148" s="609"/>
      <c r="SXQ148" s="609"/>
      <c r="SXR148" s="609"/>
      <c r="SXS148" s="609"/>
      <c r="SXT148" s="609"/>
      <c r="SXU148" s="609"/>
      <c r="SXV148" s="609"/>
      <c r="SXW148" s="609"/>
      <c r="SXX148" s="609"/>
      <c r="SXY148" s="609"/>
      <c r="SXZ148" s="609"/>
      <c r="SYA148" s="609"/>
      <c r="SYB148" s="609"/>
      <c r="SYC148" s="609"/>
      <c r="SYD148" s="609"/>
      <c r="SYE148" s="609"/>
      <c r="SYF148" s="609"/>
      <c r="SYG148" s="609"/>
      <c r="SYH148" s="609"/>
      <c r="SYI148" s="609"/>
      <c r="SYJ148" s="609"/>
      <c r="SYK148" s="609"/>
      <c r="SYL148" s="609"/>
      <c r="SYM148" s="609"/>
      <c r="SYN148" s="609"/>
      <c r="SYO148" s="609"/>
      <c r="SYP148" s="609"/>
      <c r="SYQ148" s="609"/>
      <c r="SYR148" s="609"/>
      <c r="SYS148" s="609"/>
      <c r="SYT148" s="609"/>
      <c r="SYU148" s="609"/>
      <c r="SYV148" s="609"/>
      <c r="SYW148" s="609"/>
      <c r="SYX148" s="609"/>
      <c r="SYY148" s="609"/>
      <c r="SYZ148" s="609"/>
      <c r="SZA148" s="609"/>
      <c r="SZB148" s="609"/>
      <c r="SZC148" s="609"/>
      <c r="SZD148" s="609"/>
      <c r="SZE148" s="609"/>
      <c r="SZF148" s="609"/>
      <c r="SZG148" s="609"/>
      <c r="SZH148" s="609"/>
      <c r="SZI148" s="609"/>
      <c r="SZJ148" s="609"/>
      <c r="SZK148" s="609"/>
      <c r="SZL148" s="609"/>
      <c r="SZM148" s="609"/>
      <c r="SZN148" s="609"/>
      <c r="SZO148" s="609"/>
      <c r="SZP148" s="609"/>
      <c r="SZQ148" s="609"/>
      <c r="SZR148" s="609"/>
      <c r="SZS148" s="609"/>
      <c r="SZT148" s="609"/>
      <c r="SZU148" s="609"/>
      <c r="SZV148" s="609"/>
      <c r="SZW148" s="609"/>
      <c r="SZX148" s="609"/>
      <c r="SZY148" s="609"/>
      <c r="SZZ148" s="609"/>
      <c r="TAA148" s="609"/>
      <c r="TAB148" s="609"/>
      <c r="TAC148" s="609"/>
      <c r="TAD148" s="609"/>
      <c r="TAE148" s="609"/>
      <c r="TAF148" s="609"/>
      <c r="TAG148" s="609"/>
      <c r="TAH148" s="609"/>
      <c r="TAI148" s="609"/>
      <c r="TAJ148" s="609"/>
      <c r="TAK148" s="609"/>
      <c r="TAL148" s="609"/>
      <c r="TAM148" s="609"/>
      <c r="TAN148" s="609"/>
      <c r="TAO148" s="609"/>
      <c r="TAP148" s="609"/>
      <c r="TAQ148" s="609"/>
      <c r="TAR148" s="609"/>
      <c r="TAS148" s="609"/>
      <c r="TAT148" s="609"/>
      <c r="TAU148" s="609"/>
      <c r="TAV148" s="609"/>
      <c r="TAW148" s="609"/>
      <c r="TAX148" s="609"/>
      <c r="TAY148" s="609"/>
      <c r="TAZ148" s="609"/>
      <c r="TBA148" s="609"/>
      <c r="TBB148" s="609"/>
      <c r="TBC148" s="609"/>
      <c r="TBD148" s="609"/>
      <c r="TBE148" s="609"/>
      <c r="TBF148" s="609"/>
      <c r="TBG148" s="609"/>
      <c r="TBH148" s="609"/>
      <c r="TBI148" s="609"/>
      <c r="TBJ148" s="609"/>
      <c r="TBK148" s="609"/>
      <c r="TBL148" s="609"/>
      <c r="TBM148" s="609"/>
      <c r="TBN148" s="609"/>
      <c r="TBO148" s="609"/>
      <c r="TBP148" s="609"/>
      <c r="TBQ148" s="609"/>
      <c r="TBR148" s="609"/>
      <c r="TBS148" s="609"/>
      <c r="TBT148" s="609"/>
      <c r="TBU148" s="609"/>
      <c r="TBV148" s="609"/>
      <c r="TBW148" s="609"/>
      <c r="TBX148" s="609"/>
      <c r="TBY148" s="609"/>
      <c r="TBZ148" s="609"/>
      <c r="TCA148" s="609"/>
      <c r="TCB148" s="609"/>
      <c r="TCC148" s="609"/>
      <c r="TCD148" s="609"/>
      <c r="TCE148" s="609"/>
      <c r="TCF148" s="609"/>
      <c r="TCG148" s="609"/>
      <c r="TCH148" s="609"/>
      <c r="TCI148" s="609"/>
      <c r="TCJ148" s="609"/>
      <c r="TCK148" s="609"/>
      <c r="TCL148" s="609"/>
      <c r="TCM148" s="609"/>
      <c r="TCN148" s="609"/>
      <c r="TCO148" s="609"/>
      <c r="TCP148" s="609"/>
      <c r="TCQ148" s="609"/>
      <c r="TCR148" s="609"/>
      <c r="TCS148" s="609"/>
      <c r="TCT148" s="609"/>
      <c r="TCU148" s="609"/>
      <c r="TCV148" s="609"/>
      <c r="TCW148" s="609"/>
      <c r="TCX148" s="609"/>
      <c r="TCY148" s="609"/>
      <c r="TCZ148" s="609"/>
      <c r="TDA148" s="609"/>
      <c r="TDB148" s="609"/>
      <c r="TDC148" s="609"/>
      <c r="TDD148" s="609"/>
      <c r="TDE148" s="609"/>
      <c r="TDF148" s="609"/>
      <c r="TDG148" s="609"/>
      <c r="TDH148" s="609"/>
      <c r="TDI148" s="609"/>
      <c r="TDJ148" s="609"/>
      <c r="TDK148" s="609"/>
      <c r="TDL148" s="609"/>
      <c r="TDM148" s="609"/>
      <c r="TDN148" s="609"/>
      <c r="TDO148" s="609"/>
      <c r="TDP148" s="609"/>
      <c r="TDQ148" s="609"/>
      <c r="TDR148" s="609"/>
      <c r="TDS148" s="609"/>
      <c r="TDT148" s="609"/>
      <c r="TDU148" s="609"/>
      <c r="TDV148" s="609"/>
      <c r="TDW148" s="609"/>
      <c r="TDX148" s="609"/>
      <c r="TDY148" s="609"/>
      <c r="TDZ148" s="609"/>
      <c r="TEA148" s="609"/>
      <c r="TEB148" s="609"/>
      <c r="TEC148" s="609"/>
      <c r="TED148" s="609"/>
      <c r="TEE148" s="609"/>
      <c r="TEF148" s="609"/>
      <c r="TEG148" s="609"/>
      <c r="TEH148" s="609"/>
      <c r="TEI148" s="609"/>
      <c r="TEJ148" s="609"/>
      <c r="TEK148" s="609"/>
      <c r="TEL148" s="609"/>
      <c r="TEM148" s="609"/>
      <c r="TEN148" s="609"/>
      <c r="TEO148" s="609"/>
      <c r="TEP148" s="609"/>
      <c r="TEQ148" s="609"/>
      <c r="TER148" s="609"/>
      <c r="TES148" s="609"/>
      <c r="TET148" s="609"/>
      <c r="TEU148" s="609"/>
      <c r="TEV148" s="609"/>
      <c r="TEW148" s="609"/>
      <c r="TEX148" s="609"/>
      <c r="TEY148" s="609"/>
      <c r="TEZ148" s="609"/>
      <c r="TFA148" s="609"/>
      <c r="TFB148" s="609"/>
      <c r="TFC148" s="609"/>
      <c r="TFD148" s="609"/>
      <c r="TFE148" s="609"/>
      <c r="TFF148" s="609"/>
      <c r="TFG148" s="609"/>
      <c r="TFH148" s="609"/>
      <c r="TFI148" s="609"/>
      <c r="TFJ148" s="609"/>
      <c r="TFK148" s="609"/>
      <c r="TFL148" s="609"/>
      <c r="TFM148" s="609"/>
      <c r="TFN148" s="609"/>
      <c r="TFO148" s="609"/>
      <c r="TFP148" s="609"/>
      <c r="TFQ148" s="609"/>
      <c r="TFR148" s="609"/>
      <c r="TFS148" s="609"/>
      <c r="TFT148" s="609"/>
      <c r="TFU148" s="609"/>
      <c r="TFV148" s="609"/>
      <c r="TFW148" s="609"/>
      <c r="TFX148" s="609"/>
      <c r="TFY148" s="609"/>
      <c r="TFZ148" s="609"/>
      <c r="TGA148" s="609"/>
      <c r="TGB148" s="609"/>
      <c r="TGC148" s="609"/>
      <c r="TGD148" s="609"/>
      <c r="TGE148" s="609"/>
      <c r="TGF148" s="609"/>
      <c r="TGG148" s="609"/>
      <c r="TGH148" s="609"/>
      <c r="TGI148" s="609"/>
      <c r="TGJ148" s="609"/>
      <c r="TGK148" s="609"/>
      <c r="TGL148" s="609"/>
      <c r="TGM148" s="609"/>
      <c r="TGN148" s="609"/>
      <c r="TGO148" s="609"/>
      <c r="TGP148" s="609"/>
      <c r="TGQ148" s="609"/>
      <c r="TGR148" s="609"/>
      <c r="TGS148" s="609"/>
      <c r="TGT148" s="609"/>
      <c r="TGU148" s="609"/>
      <c r="TGV148" s="609"/>
      <c r="TGW148" s="609"/>
      <c r="TGX148" s="609"/>
      <c r="TGY148" s="609"/>
      <c r="TGZ148" s="609"/>
      <c r="THA148" s="609"/>
      <c r="THB148" s="609"/>
      <c r="THC148" s="609"/>
      <c r="THD148" s="609"/>
      <c r="THE148" s="609"/>
      <c r="THF148" s="609"/>
      <c r="THG148" s="609"/>
      <c r="THH148" s="609"/>
      <c r="THI148" s="609"/>
      <c r="THJ148" s="609"/>
      <c r="THK148" s="609"/>
      <c r="THL148" s="609"/>
      <c r="THM148" s="609"/>
      <c r="THN148" s="609"/>
      <c r="THO148" s="609"/>
      <c r="THP148" s="609"/>
      <c r="THQ148" s="609"/>
      <c r="THR148" s="609"/>
      <c r="THS148" s="609"/>
      <c r="THT148" s="609"/>
      <c r="THU148" s="609"/>
      <c r="THV148" s="609"/>
      <c r="THW148" s="609"/>
      <c r="THX148" s="609"/>
      <c r="THY148" s="609"/>
      <c r="THZ148" s="609"/>
      <c r="TIA148" s="609"/>
      <c r="TIB148" s="609"/>
      <c r="TIC148" s="609"/>
      <c r="TID148" s="609"/>
      <c r="TIE148" s="609"/>
      <c r="TIF148" s="609"/>
      <c r="TIG148" s="609"/>
      <c r="TIH148" s="609"/>
      <c r="TII148" s="609"/>
      <c r="TIJ148" s="609"/>
      <c r="TIK148" s="609"/>
      <c r="TIL148" s="609"/>
      <c r="TIM148" s="609"/>
      <c r="TIN148" s="609"/>
      <c r="TIO148" s="609"/>
      <c r="TIP148" s="609"/>
      <c r="TIQ148" s="609"/>
      <c r="TIR148" s="609"/>
      <c r="TIS148" s="609"/>
      <c r="TIT148" s="609"/>
      <c r="TIU148" s="609"/>
      <c r="TIV148" s="609"/>
      <c r="TIW148" s="609"/>
      <c r="TIX148" s="609"/>
      <c r="TIY148" s="609"/>
      <c r="TIZ148" s="609"/>
      <c r="TJA148" s="609"/>
      <c r="TJB148" s="609"/>
      <c r="TJC148" s="609"/>
      <c r="TJD148" s="609"/>
      <c r="TJE148" s="609"/>
      <c r="TJF148" s="609"/>
      <c r="TJG148" s="609"/>
      <c r="TJH148" s="609"/>
      <c r="TJI148" s="609"/>
      <c r="TJJ148" s="609"/>
      <c r="TJK148" s="609"/>
      <c r="TJL148" s="609"/>
      <c r="TJM148" s="609"/>
      <c r="TJN148" s="609"/>
      <c r="TJO148" s="609"/>
      <c r="TJP148" s="609"/>
      <c r="TJQ148" s="609"/>
      <c r="TJR148" s="609"/>
      <c r="TJS148" s="609"/>
      <c r="TJT148" s="609"/>
      <c r="TJU148" s="609"/>
      <c r="TJV148" s="609"/>
      <c r="TJW148" s="609"/>
      <c r="TJX148" s="609"/>
      <c r="TJY148" s="609"/>
      <c r="TJZ148" s="609"/>
      <c r="TKA148" s="609"/>
      <c r="TKB148" s="609"/>
      <c r="TKC148" s="609"/>
      <c r="TKD148" s="609"/>
      <c r="TKE148" s="609"/>
      <c r="TKF148" s="609"/>
      <c r="TKG148" s="609"/>
      <c r="TKH148" s="609"/>
      <c r="TKI148" s="609"/>
      <c r="TKJ148" s="609"/>
      <c r="TKK148" s="609"/>
      <c r="TKL148" s="609"/>
      <c r="TKM148" s="609"/>
      <c r="TKN148" s="609"/>
      <c r="TKO148" s="609"/>
      <c r="TKP148" s="609"/>
      <c r="TKQ148" s="609"/>
      <c r="TKR148" s="609"/>
      <c r="TKS148" s="609"/>
      <c r="TKT148" s="609"/>
      <c r="TKU148" s="609"/>
      <c r="TKV148" s="609"/>
      <c r="TKW148" s="609"/>
      <c r="TKX148" s="609"/>
      <c r="TKY148" s="609"/>
      <c r="TKZ148" s="609"/>
      <c r="TLA148" s="609"/>
      <c r="TLB148" s="609"/>
      <c r="TLC148" s="609"/>
      <c r="TLD148" s="609"/>
      <c r="TLE148" s="609"/>
      <c r="TLF148" s="609"/>
      <c r="TLG148" s="609"/>
      <c r="TLH148" s="609"/>
      <c r="TLI148" s="609"/>
      <c r="TLJ148" s="609"/>
      <c r="TLK148" s="609"/>
      <c r="TLL148" s="609"/>
      <c r="TLM148" s="609"/>
      <c r="TLN148" s="609"/>
      <c r="TLO148" s="609"/>
      <c r="TLP148" s="609"/>
      <c r="TLQ148" s="609"/>
      <c r="TLR148" s="609"/>
      <c r="TLS148" s="609"/>
      <c r="TLT148" s="609"/>
      <c r="TLU148" s="609"/>
      <c r="TLV148" s="609"/>
      <c r="TLW148" s="609"/>
      <c r="TLX148" s="609"/>
      <c r="TLY148" s="609"/>
      <c r="TLZ148" s="609"/>
      <c r="TMA148" s="609"/>
      <c r="TMB148" s="609"/>
      <c r="TMC148" s="609"/>
      <c r="TMD148" s="609"/>
      <c r="TME148" s="609"/>
      <c r="TMF148" s="609"/>
      <c r="TMG148" s="609"/>
      <c r="TMH148" s="609"/>
      <c r="TMI148" s="609"/>
      <c r="TMJ148" s="609"/>
      <c r="TMK148" s="609"/>
      <c r="TML148" s="609"/>
      <c r="TMM148" s="609"/>
      <c r="TMN148" s="609"/>
      <c r="TMO148" s="609"/>
      <c r="TMP148" s="609"/>
      <c r="TMQ148" s="609"/>
      <c r="TMR148" s="609"/>
      <c r="TMS148" s="609"/>
      <c r="TMT148" s="609"/>
      <c r="TMU148" s="609"/>
      <c r="TMV148" s="609"/>
      <c r="TMW148" s="609"/>
      <c r="TMX148" s="609"/>
      <c r="TMY148" s="609"/>
      <c r="TMZ148" s="609"/>
      <c r="TNA148" s="609"/>
      <c r="TNB148" s="609"/>
      <c r="TNC148" s="609"/>
      <c r="TND148" s="609"/>
      <c r="TNE148" s="609"/>
      <c r="TNF148" s="609"/>
      <c r="TNG148" s="609"/>
      <c r="TNH148" s="609"/>
      <c r="TNI148" s="609"/>
      <c r="TNJ148" s="609"/>
      <c r="TNK148" s="609"/>
      <c r="TNL148" s="609"/>
      <c r="TNM148" s="609"/>
      <c r="TNN148" s="609"/>
      <c r="TNO148" s="609"/>
      <c r="TNP148" s="609"/>
      <c r="TNQ148" s="609"/>
      <c r="TNR148" s="609"/>
      <c r="TNS148" s="609"/>
      <c r="TNT148" s="609"/>
      <c r="TNU148" s="609"/>
      <c r="TNV148" s="609"/>
      <c r="TNW148" s="609"/>
      <c r="TNX148" s="609"/>
      <c r="TNY148" s="609"/>
      <c r="TNZ148" s="609"/>
      <c r="TOA148" s="609"/>
      <c r="TOB148" s="609"/>
      <c r="TOC148" s="609"/>
      <c r="TOD148" s="609"/>
      <c r="TOE148" s="609"/>
      <c r="TOF148" s="609"/>
      <c r="TOG148" s="609"/>
      <c r="TOH148" s="609"/>
      <c r="TOI148" s="609"/>
      <c r="TOJ148" s="609"/>
      <c r="TOK148" s="609"/>
      <c r="TOL148" s="609"/>
      <c r="TOM148" s="609"/>
      <c r="TON148" s="609"/>
      <c r="TOO148" s="609"/>
      <c r="TOP148" s="609"/>
      <c r="TOQ148" s="609"/>
      <c r="TOR148" s="609"/>
      <c r="TOS148" s="609"/>
      <c r="TOT148" s="609"/>
      <c r="TOU148" s="609"/>
      <c r="TOV148" s="609"/>
      <c r="TOW148" s="609"/>
      <c r="TOX148" s="609"/>
      <c r="TOY148" s="609"/>
      <c r="TOZ148" s="609"/>
      <c r="TPA148" s="609"/>
      <c r="TPB148" s="609"/>
      <c r="TPC148" s="609"/>
      <c r="TPD148" s="609"/>
      <c r="TPE148" s="609"/>
      <c r="TPF148" s="609"/>
      <c r="TPG148" s="609"/>
      <c r="TPH148" s="609"/>
      <c r="TPI148" s="609"/>
      <c r="TPJ148" s="609"/>
      <c r="TPK148" s="609"/>
      <c r="TPL148" s="609"/>
      <c r="TPM148" s="609"/>
      <c r="TPN148" s="609"/>
      <c r="TPO148" s="609"/>
      <c r="TPP148" s="609"/>
      <c r="TPQ148" s="609"/>
      <c r="TPR148" s="609"/>
      <c r="TPS148" s="609"/>
      <c r="TPT148" s="609"/>
      <c r="TPU148" s="609"/>
      <c r="TPV148" s="609"/>
      <c r="TPW148" s="609"/>
      <c r="TPX148" s="609"/>
      <c r="TPY148" s="609"/>
      <c r="TPZ148" s="609"/>
      <c r="TQA148" s="609"/>
      <c r="TQB148" s="609"/>
      <c r="TQC148" s="609"/>
      <c r="TQD148" s="609"/>
      <c r="TQE148" s="609"/>
      <c r="TQF148" s="609"/>
      <c r="TQG148" s="609"/>
      <c r="TQH148" s="609"/>
      <c r="TQI148" s="609"/>
      <c r="TQJ148" s="609"/>
      <c r="TQK148" s="609"/>
      <c r="TQL148" s="609"/>
      <c r="TQM148" s="609"/>
      <c r="TQN148" s="609"/>
      <c r="TQO148" s="609"/>
      <c r="TQP148" s="609"/>
      <c r="TQQ148" s="609"/>
      <c r="TQR148" s="609"/>
      <c r="TQS148" s="609"/>
      <c r="TQT148" s="609"/>
      <c r="TQU148" s="609"/>
      <c r="TQV148" s="609"/>
      <c r="TQW148" s="609"/>
      <c r="TQX148" s="609"/>
      <c r="TQY148" s="609"/>
      <c r="TQZ148" s="609"/>
      <c r="TRA148" s="609"/>
      <c r="TRB148" s="609"/>
      <c r="TRC148" s="609"/>
      <c r="TRD148" s="609"/>
      <c r="TRE148" s="609"/>
      <c r="TRF148" s="609"/>
      <c r="TRG148" s="609"/>
      <c r="TRH148" s="609"/>
      <c r="TRI148" s="609"/>
      <c r="TRJ148" s="609"/>
      <c r="TRK148" s="609"/>
      <c r="TRL148" s="609"/>
      <c r="TRM148" s="609"/>
      <c r="TRN148" s="609"/>
      <c r="TRO148" s="609"/>
      <c r="TRP148" s="609"/>
      <c r="TRQ148" s="609"/>
      <c r="TRR148" s="609"/>
      <c r="TRS148" s="609"/>
      <c r="TRT148" s="609"/>
      <c r="TRU148" s="609"/>
      <c r="TRV148" s="609"/>
      <c r="TRW148" s="609"/>
      <c r="TRX148" s="609"/>
      <c r="TRY148" s="609"/>
      <c r="TRZ148" s="609"/>
      <c r="TSA148" s="609"/>
      <c r="TSB148" s="609"/>
      <c r="TSC148" s="609"/>
      <c r="TSD148" s="609"/>
      <c r="TSE148" s="609"/>
      <c r="TSF148" s="609"/>
      <c r="TSG148" s="609"/>
      <c r="TSH148" s="609"/>
      <c r="TSI148" s="609"/>
      <c r="TSJ148" s="609"/>
      <c r="TSK148" s="609"/>
      <c r="TSL148" s="609"/>
      <c r="TSM148" s="609"/>
      <c r="TSN148" s="609"/>
      <c r="TSO148" s="609"/>
      <c r="TSP148" s="609"/>
      <c r="TSQ148" s="609"/>
      <c r="TSR148" s="609"/>
      <c r="TSS148" s="609"/>
      <c r="TST148" s="609"/>
      <c r="TSU148" s="609"/>
      <c r="TSV148" s="609"/>
      <c r="TSW148" s="609"/>
      <c r="TSX148" s="609"/>
      <c r="TSY148" s="609"/>
      <c r="TSZ148" s="609"/>
      <c r="TTA148" s="609"/>
      <c r="TTB148" s="609"/>
      <c r="TTC148" s="609"/>
      <c r="TTD148" s="609"/>
      <c r="TTE148" s="609"/>
      <c r="TTF148" s="609"/>
      <c r="TTG148" s="609"/>
      <c r="TTH148" s="609"/>
      <c r="TTI148" s="609"/>
      <c r="TTJ148" s="609"/>
      <c r="TTK148" s="609"/>
      <c r="TTL148" s="609"/>
      <c r="TTM148" s="609"/>
      <c r="TTN148" s="609"/>
      <c r="TTO148" s="609"/>
      <c r="TTP148" s="609"/>
      <c r="TTQ148" s="609"/>
      <c r="TTR148" s="609"/>
      <c r="TTS148" s="609"/>
      <c r="TTT148" s="609"/>
      <c r="TTU148" s="609"/>
      <c r="TTV148" s="609"/>
      <c r="TTW148" s="609"/>
      <c r="TTX148" s="609"/>
      <c r="TTY148" s="609"/>
      <c r="TTZ148" s="609"/>
      <c r="TUA148" s="609"/>
      <c r="TUB148" s="609"/>
      <c r="TUC148" s="609"/>
      <c r="TUD148" s="609"/>
      <c r="TUE148" s="609"/>
      <c r="TUF148" s="609"/>
      <c r="TUG148" s="609"/>
      <c r="TUH148" s="609"/>
      <c r="TUI148" s="609"/>
      <c r="TUJ148" s="609"/>
      <c r="TUK148" s="609"/>
      <c r="TUL148" s="609"/>
      <c r="TUM148" s="609"/>
      <c r="TUN148" s="609"/>
      <c r="TUO148" s="609"/>
      <c r="TUP148" s="609"/>
      <c r="TUQ148" s="609"/>
      <c r="TUR148" s="609"/>
      <c r="TUS148" s="609"/>
      <c r="TUT148" s="609"/>
      <c r="TUU148" s="609"/>
      <c r="TUV148" s="609"/>
      <c r="TUW148" s="609"/>
      <c r="TUX148" s="609"/>
      <c r="TUY148" s="609"/>
      <c r="TUZ148" s="609"/>
      <c r="TVA148" s="609"/>
      <c r="TVB148" s="609"/>
      <c r="TVC148" s="609"/>
      <c r="TVD148" s="609"/>
      <c r="TVE148" s="609"/>
      <c r="TVF148" s="609"/>
      <c r="TVG148" s="609"/>
      <c r="TVH148" s="609"/>
      <c r="TVI148" s="609"/>
      <c r="TVJ148" s="609"/>
      <c r="TVK148" s="609"/>
      <c r="TVL148" s="609"/>
      <c r="TVM148" s="609"/>
      <c r="TVN148" s="609"/>
      <c r="TVO148" s="609"/>
      <c r="TVP148" s="609"/>
      <c r="TVQ148" s="609"/>
      <c r="TVR148" s="609"/>
      <c r="TVS148" s="609"/>
      <c r="TVT148" s="609"/>
      <c r="TVU148" s="609"/>
      <c r="TVV148" s="609"/>
      <c r="TVW148" s="609"/>
      <c r="TVX148" s="609"/>
      <c r="TVY148" s="609"/>
      <c r="TVZ148" s="609"/>
      <c r="TWA148" s="609"/>
      <c r="TWB148" s="609"/>
      <c r="TWC148" s="609"/>
      <c r="TWD148" s="609"/>
      <c r="TWE148" s="609"/>
      <c r="TWF148" s="609"/>
      <c r="TWG148" s="609"/>
      <c r="TWH148" s="609"/>
      <c r="TWI148" s="609"/>
      <c r="TWJ148" s="609"/>
      <c r="TWK148" s="609"/>
      <c r="TWL148" s="609"/>
      <c r="TWM148" s="609"/>
      <c r="TWN148" s="609"/>
      <c r="TWO148" s="609"/>
      <c r="TWP148" s="609"/>
      <c r="TWQ148" s="609"/>
      <c r="TWR148" s="609"/>
      <c r="TWS148" s="609"/>
      <c r="TWT148" s="609"/>
      <c r="TWU148" s="609"/>
      <c r="TWV148" s="609"/>
      <c r="TWW148" s="609"/>
      <c r="TWX148" s="609"/>
      <c r="TWY148" s="609"/>
      <c r="TWZ148" s="609"/>
      <c r="TXA148" s="609"/>
      <c r="TXB148" s="609"/>
      <c r="TXC148" s="609"/>
      <c r="TXD148" s="609"/>
      <c r="TXE148" s="609"/>
      <c r="TXF148" s="609"/>
      <c r="TXG148" s="609"/>
      <c r="TXH148" s="609"/>
      <c r="TXI148" s="609"/>
      <c r="TXJ148" s="609"/>
      <c r="TXK148" s="609"/>
      <c r="TXL148" s="609"/>
      <c r="TXM148" s="609"/>
      <c r="TXN148" s="609"/>
      <c r="TXO148" s="609"/>
      <c r="TXP148" s="609"/>
      <c r="TXQ148" s="609"/>
      <c r="TXR148" s="609"/>
      <c r="TXS148" s="609"/>
      <c r="TXT148" s="609"/>
      <c r="TXU148" s="609"/>
      <c r="TXV148" s="609"/>
      <c r="TXW148" s="609"/>
      <c r="TXX148" s="609"/>
      <c r="TXY148" s="609"/>
      <c r="TXZ148" s="609"/>
      <c r="TYA148" s="609"/>
      <c r="TYB148" s="609"/>
      <c r="TYC148" s="609"/>
      <c r="TYD148" s="609"/>
      <c r="TYE148" s="609"/>
      <c r="TYF148" s="609"/>
      <c r="TYG148" s="609"/>
      <c r="TYH148" s="609"/>
      <c r="TYI148" s="609"/>
      <c r="TYJ148" s="609"/>
      <c r="TYK148" s="609"/>
      <c r="TYL148" s="609"/>
      <c r="TYM148" s="609"/>
      <c r="TYN148" s="609"/>
      <c r="TYO148" s="609"/>
      <c r="TYP148" s="609"/>
      <c r="TYQ148" s="609"/>
      <c r="TYR148" s="609"/>
      <c r="TYS148" s="609"/>
      <c r="TYT148" s="609"/>
      <c r="TYU148" s="609"/>
      <c r="TYV148" s="609"/>
      <c r="TYW148" s="609"/>
      <c r="TYX148" s="609"/>
      <c r="TYY148" s="609"/>
      <c r="TYZ148" s="609"/>
      <c r="TZA148" s="609"/>
      <c r="TZB148" s="609"/>
      <c r="TZC148" s="609"/>
      <c r="TZD148" s="609"/>
      <c r="TZE148" s="609"/>
      <c r="TZF148" s="609"/>
      <c r="TZG148" s="609"/>
      <c r="TZH148" s="609"/>
      <c r="TZI148" s="609"/>
      <c r="TZJ148" s="609"/>
      <c r="TZK148" s="609"/>
      <c r="TZL148" s="609"/>
      <c r="TZM148" s="609"/>
      <c r="TZN148" s="609"/>
      <c r="TZO148" s="609"/>
      <c r="TZP148" s="609"/>
      <c r="TZQ148" s="609"/>
      <c r="TZR148" s="609"/>
      <c r="TZS148" s="609"/>
      <c r="TZT148" s="609"/>
      <c r="TZU148" s="609"/>
      <c r="TZV148" s="609"/>
      <c r="TZW148" s="609"/>
      <c r="TZX148" s="609"/>
      <c r="TZY148" s="609"/>
      <c r="TZZ148" s="609"/>
      <c r="UAA148" s="609"/>
      <c r="UAB148" s="609"/>
      <c r="UAC148" s="609"/>
      <c r="UAD148" s="609"/>
      <c r="UAE148" s="609"/>
      <c r="UAF148" s="609"/>
      <c r="UAG148" s="609"/>
      <c r="UAH148" s="609"/>
      <c r="UAI148" s="609"/>
      <c r="UAJ148" s="609"/>
      <c r="UAK148" s="609"/>
      <c r="UAL148" s="609"/>
      <c r="UAM148" s="609"/>
      <c r="UAN148" s="609"/>
      <c r="UAO148" s="609"/>
      <c r="UAP148" s="609"/>
      <c r="UAQ148" s="609"/>
      <c r="UAR148" s="609"/>
      <c r="UAS148" s="609"/>
      <c r="UAT148" s="609"/>
      <c r="UAU148" s="609"/>
      <c r="UAV148" s="609"/>
      <c r="UAW148" s="609"/>
      <c r="UAX148" s="609"/>
      <c r="UAY148" s="609"/>
      <c r="UAZ148" s="609"/>
      <c r="UBA148" s="609"/>
      <c r="UBB148" s="609"/>
      <c r="UBC148" s="609"/>
      <c r="UBD148" s="609"/>
      <c r="UBE148" s="609"/>
      <c r="UBF148" s="609"/>
      <c r="UBG148" s="609"/>
      <c r="UBH148" s="609"/>
      <c r="UBI148" s="609"/>
      <c r="UBJ148" s="609"/>
      <c r="UBK148" s="609"/>
      <c r="UBL148" s="609"/>
      <c r="UBM148" s="609"/>
      <c r="UBN148" s="609"/>
      <c r="UBO148" s="609"/>
      <c r="UBP148" s="609"/>
      <c r="UBQ148" s="609"/>
      <c r="UBR148" s="609"/>
      <c r="UBS148" s="609"/>
      <c r="UBT148" s="609"/>
      <c r="UBU148" s="609"/>
      <c r="UBV148" s="609"/>
      <c r="UBW148" s="609"/>
      <c r="UBX148" s="609"/>
      <c r="UBY148" s="609"/>
      <c r="UBZ148" s="609"/>
      <c r="UCA148" s="609"/>
      <c r="UCB148" s="609"/>
      <c r="UCC148" s="609"/>
      <c r="UCD148" s="609"/>
      <c r="UCE148" s="609"/>
      <c r="UCF148" s="609"/>
      <c r="UCG148" s="609"/>
      <c r="UCH148" s="609"/>
      <c r="UCI148" s="609"/>
      <c r="UCJ148" s="609"/>
      <c r="UCK148" s="609"/>
      <c r="UCL148" s="609"/>
      <c r="UCM148" s="609"/>
      <c r="UCN148" s="609"/>
      <c r="UCO148" s="609"/>
      <c r="UCP148" s="609"/>
      <c r="UCQ148" s="609"/>
      <c r="UCR148" s="609"/>
      <c r="UCS148" s="609"/>
      <c r="UCT148" s="609"/>
      <c r="UCU148" s="609"/>
      <c r="UCV148" s="609"/>
      <c r="UCW148" s="609"/>
      <c r="UCX148" s="609"/>
      <c r="UCY148" s="609"/>
      <c r="UCZ148" s="609"/>
      <c r="UDA148" s="609"/>
      <c r="UDB148" s="609"/>
      <c r="UDC148" s="609"/>
      <c r="UDD148" s="609"/>
      <c r="UDE148" s="609"/>
      <c r="UDF148" s="609"/>
      <c r="UDG148" s="609"/>
      <c r="UDH148" s="609"/>
      <c r="UDI148" s="609"/>
      <c r="UDJ148" s="609"/>
      <c r="UDK148" s="609"/>
      <c r="UDL148" s="609"/>
      <c r="UDM148" s="609"/>
      <c r="UDN148" s="609"/>
      <c r="UDO148" s="609"/>
      <c r="UDP148" s="609"/>
      <c r="UDQ148" s="609"/>
      <c r="UDR148" s="609"/>
      <c r="UDS148" s="609"/>
      <c r="UDT148" s="609"/>
      <c r="UDU148" s="609"/>
      <c r="UDV148" s="609"/>
      <c r="UDW148" s="609"/>
      <c r="UDX148" s="609"/>
      <c r="UDY148" s="609"/>
      <c r="UDZ148" s="609"/>
      <c r="UEA148" s="609"/>
      <c r="UEB148" s="609"/>
      <c r="UEC148" s="609"/>
      <c r="UED148" s="609"/>
      <c r="UEE148" s="609"/>
      <c r="UEF148" s="609"/>
      <c r="UEG148" s="609"/>
      <c r="UEH148" s="609"/>
      <c r="UEI148" s="609"/>
      <c r="UEJ148" s="609"/>
      <c r="UEK148" s="609"/>
      <c r="UEL148" s="609"/>
      <c r="UEM148" s="609"/>
      <c r="UEN148" s="609"/>
      <c r="UEO148" s="609"/>
      <c r="UEP148" s="609"/>
      <c r="UEQ148" s="609"/>
      <c r="UER148" s="609"/>
      <c r="UES148" s="609"/>
      <c r="UET148" s="609"/>
      <c r="UEU148" s="609"/>
      <c r="UEV148" s="609"/>
      <c r="UEW148" s="609"/>
      <c r="UEX148" s="609"/>
      <c r="UEY148" s="609"/>
      <c r="UEZ148" s="609"/>
      <c r="UFA148" s="609"/>
      <c r="UFB148" s="609"/>
      <c r="UFC148" s="609"/>
      <c r="UFD148" s="609"/>
      <c r="UFE148" s="609"/>
      <c r="UFF148" s="609"/>
      <c r="UFG148" s="609"/>
      <c r="UFH148" s="609"/>
      <c r="UFI148" s="609"/>
      <c r="UFJ148" s="609"/>
      <c r="UFK148" s="609"/>
      <c r="UFL148" s="609"/>
      <c r="UFM148" s="609"/>
      <c r="UFN148" s="609"/>
      <c r="UFO148" s="609"/>
      <c r="UFP148" s="609"/>
      <c r="UFQ148" s="609"/>
      <c r="UFR148" s="609"/>
      <c r="UFS148" s="609"/>
      <c r="UFT148" s="609"/>
      <c r="UFU148" s="609"/>
      <c r="UFV148" s="609"/>
      <c r="UFW148" s="609"/>
      <c r="UFX148" s="609"/>
      <c r="UFY148" s="609"/>
      <c r="UFZ148" s="609"/>
      <c r="UGA148" s="609"/>
      <c r="UGB148" s="609"/>
      <c r="UGC148" s="609"/>
      <c r="UGD148" s="609"/>
      <c r="UGE148" s="609"/>
      <c r="UGF148" s="609"/>
      <c r="UGG148" s="609"/>
      <c r="UGH148" s="609"/>
      <c r="UGI148" s="609"/>
      <c r="UGJ148" s="609"/>
      <c r="UGK148" s="609"/>
      <c r="UGL148" s="609"/>
      <c r="UGM148" s="609"/>
      <c r="UGN148" s="609"/>
      <c r="UGO148" s="609"/>
      <c r="UGP148" s="609"/>
      <c r="UGQ148" s="609"/>
      <c r="UGR148" s="609"/>
      <c r="UGS148" s="609"/>
      <c r="UGT148" s="609"/>
      <c r="UGU148" s="609"/>
      <c r="UGV148" s="609"/>
      <c r="UGW148" s="609"/>
      <c r="UGX148" s="609"/>
      <c r="UGY148" s="609"/>
      <c r="UGZ148" s="609"/>
      <c r="UHA148" s="609"/>
      <c r="UHB148" s="609"/>
      <c r="UHC148" s="609"/>
      <c r="UHD148" s="609"/>
      <c r="UHE148" s="609"/>
      <c r="UHF148" s="609"/>
      <c r="UHG148" s="609"/>
      <c r="UHH148" s="609"/>
      <c r="UHI148" s="609"/>
      <c r="UHJ148" s="609"/>
      <c r="UHK148" s="609"/>
      <c r="UHL148" s="609"/>
      <c r="UHM148" s="609"/>
      <c r="UHN148" s="609"/>
      <c r="UHO148" s="609"/>
      <c r="UHP148" s="609"/>
      <c r="UHQ148" s="609"/>
      <c r="UHR148" s="609"/>
      <c r="UHS148" s="609"/>
      <c r="UHT148" s="609"/>
      <c r="UHU148" s="609"/>
      <c r="UHV148" s="609"/>
      <c r="UHW148" s="609"/>
      <c r="UHX148" s="609"/>
      <c r="UHY148" s="609"/>
      <c r="UHZ148" s="609"/>
      <c r="UIA148" s="609"/>
      <c r="UIB148" s="609"/>
      <c r="UIC148" s="609"/>
      <c r="UID148" s="609"/>
      <c r="UIE148" s="609"/>
      <c r="UIF148" s="609"/>
      <c r="UIG148" s="609"/>
      <c r="UIH148" s="609"/>
      <c r="UII148" s="609"/>
      <c r="UIJ148" s="609"/>
      <c r="UIK148" s="609"/>
      <c r="UIL148" s="609"/>
      <c r="UIM148" s="609"/>
      <c r="UIN148" s="609"/>
      <c r="UIO148" s="609"/>
      <c r="UIP148" s="609"/>
      <c r="UIQ148" s="609"/>
      <c r="UIR148" s="609"/>
      <c r="UIS148" s="609"/>
      <c r="UIT148" s="609"/>
      <c r="UIU148" s="609"/>
      <c r="UIV148" s="609"/>
      <c r="UIW148" s="609"/>
      <c r="UIX148" s="609"/>
      <c r="UIY148" s="609"/>
      <c r="UIZ148" s="609"/>
      <c r="UJA148" s="609"/>
      <c r="UJB148" s="609"/>
      <c r="UJC148" s="609"/>
      <c r="UJD148" s="609"/>
      <c r="UJE148" s="609"/>
      <c r="UJF148" s="609"/>
      <c r="UJG148" s="609"/>
      <c r="UJH148" s="609"/>
      <c r="UJI148" s="609"/>
      <c r="UJJ148" s="609"/>
      <c r="UJK148" s="609"/>
      <c r="UJL148" s="609"/>
      <c r="UJM148" s="609"/>
      <c r="UJN148" s="609"/>
      <c r="UJO148" s="609"/>
      <c r="UJP148" s="609"/>
      <c r="UJQ148" s="609"/>
      <c r="UJR148" s="609"/>
      <c r="UJS148" s="609"/>
      <c r="UJT148" s="609"/>
      <c r="UJU148" s="609"/>
      <c r="UJV148" s="609"/>
      <c r="UJW148" s="609"/>
      <c r="UJX148" s="609"/>
      <c r="UJY148" s="609"/>
      <c r="UJZ148" s="609"/>
      <c r="UKA148" s="609"/>
      <c r="UKB148" s="609"/>
      <c r="UKC148" s="609"/>
      <c r="UKD148" s="609"/>
      <c r="UKE148" s="609"/>
      <c r="UKF148" s="609"/>
      <c r="UKG148" s="609"/>
      <c r="UKH148" s="609"/>
      <c r="UKI148" s="609"/>
      <c r="UKJ148" s="609"/>
      <c r="UKK148" s="609"/>
      <c r="UKL148" s="609"/>
      <c r="UKM148" s="609"/>
      <c r="UKN148" s="609"/>
      <c r="UKO148" s="609"/>
      <c r="UKP148" s="609"/>
      <c r="UKQ148" s="609"/>
      <c r="UKR148" s="609"/>
      <c r="UKS148" s="609"/>
      <c r="UKT148" s="609"/>
      <c r="UKU148" s="609"/>
      <c r="UKV148" s="609"/>
      <c r="UKW148" s="609"/>
      <c r="UKX148" s="609"/>
      <c r="UKY148" s="609"/>
      <c r="UKZ148" s="609"/>
      <c r="ULA148" s="609"/>
      <c r="ULB148" s="609"/>
      <c r="ULC148" s="609"/>
      <c r="ULD148" s="609"/>
      <c r="ULE148" s="609"/>
      <c r="ULF148" s="609"/>
      <c r="ULG148" s="609"/>
      <c r="ULH148" s="609"/>
      <c r="ULI148" s="609"/>
      <c r="ULJ148" s="609"/>
      <c r="ULK148" s="609"/>
      <c r="ULL148" s="609"/>
      <c r="ULM148" s="609"/>
      <c r="ULN148" s="609"/>
      <c r="ULO148" s="609"/>
      <c r="ULP148" s="609"/>
      <c r="ULQ148" s="609"/>
      <c r="ULR148" s="609"/>
      <c r="ULS148" s="609"/>
      <c r="ULT148" s="609"/>
      <c r="ULU148" s="609"/>
      <c r="ULV148" s="609"/>
      <c r="ULW148" s="609"/>
      <c r="ULX148" s="609"/>
      <c r="ULY148" s="609"/>
      <c r="ULZ148" s="609"/>
      <c r="UMA148" s="609"/>
      <c r="UMB148" s="609"/>
      <c r="UMC148" s="609"/>
      <c r="UMD148" s="609"/>
      <c r="UME148" s="609"/>
      <c r="UMF148" s="609"/>
      <c r="UMG148" s="609"/>
      <c r="UMH148" s="609"/>
      <c r="UMI148" s="609"/>
      <c r="UMJ148" s="609"/>
      <c r="UMK148" s="609"/>
      <c r="UML148" s="609"/>
      <c r="UMM148" s="609"/>
      <c r="UMN148" s="609"/>
      <c r="UMO148" s="609"/>
      <c r="UMP148" s="609"/>
      <c r="UMQ148" s="609"/>
      <c r="UMR148" s="609"/>
      <c r="UMS148" s="609"/>
      <c r="UMT148" s="609"/>
      <c r="UMU148" s="609"/>
      <c r="UMV148" s="609"/>
      <c r="UMW148" s="609"/>
      <c r="UMX148" s="609"/>
      <c r="UMY148" s="609"/>
      <c r="UMZ148" s="609"/>
      <c r="UNA148" s="609"/>
      <c r="UNB148" s="609"/>
      <c r="UNC148" s="609"/>
      <c r="UND148" s="609"/>
      <c r="UNE148" s="609"/>
      <c r="UNF148" s="609"/>
      <c r="UNG148" s="609"/>
      <c r="UNH148" s="609"/>
      <c r="UNI148" s="609"/>
      <c r="UNJ148" s="609"/>
      <c r="UNK148" s="609"/>
      <c r="UNL148" s="609"/>
      <c r="UNM148" s="609"/>
      <c r="UNN148" s="609"/>
      <c r="UNO148" s="609"/>
      <c r="UNP148" s="609"/>
      <c r="UNQ148" s="609"/>
      <c r="UNR148" s="609"/>
      <c r="UNS148" s="609"/>
      <c r="UNT148" s="609"/>
      <c r="UNU148" s="609"/>
      <c r="UNV148" s="609"/>
      <c r="UNW148" s="609"/>
      <c r="UNX148" s="609"/>
      <c r="UNY148" s="609"/>
      <c r="UNZ148" s="609"/>
      <c r="UOA148" s="609"/>
      <c r="UOB148" s="609"/>
      <c r="UOC148" s="609"/>
      <c r="UOD148" s="609"/>
      <c r="UOE148" s="609"/>
      <c r="UOF148" s="609"/>
      <c r="UOG148" s="609"/>
      <c r="UOH148" s="609"/>
      <c r="UOI148" s="609"/>
      <c r="UOJ148" s="609"/>
      <c r="UOK148" s="609"/>
      <c r="UOL148" s="609"/>
      <c r="UOM148" s="609"/>
      <c r="UON148" s="609"/>
      <c r="UOO148" s="609"/>
      <c r="UOP148" s="609"/>
      <c r="UOQ148" s="609"/>
      <c r="UOR148" s="609"/>
      <c r="UOS148" s="609"/>
      <c r="UOT148" s="609"/>
      <c r="UOU148" s="609"/>
      <c r="UOV148" s="609"/>
      <c r="UOW148" s="609"/>
      <c r="UOX148" s="609"/>
      <c r="UOY148" s="609"/>
      <c r="UOZ148" s="609"/>
      <c r="UPA148" s="609"/>
      <c r="UPB148" s="609"/>
      <c r="UPC148" s="609"/>
      <c r="UPD148" s="609"/>
      <c r="UPE148" s="609"/>
      <c r="UPF148" s="609"/>
      <c r="UPG148" s="609"/>
      <c r="UPH148" s="609"/>
      <c r="UPI148" s="609"/>
      <c r="UPJ148" s="609"/>
      <c r="UPK148" s="609"/>
      <c r="UPL148" s="609"/>
      <c r="UPM148" s="609"/>
      <c r="UPN148" s="609"/>
      <c r="UPO148" s="609"/>
      <c r="UPP148" s="609"/>
      <c r="UPQ148" s="609"/>
      <c r="UPR148" s="609"/>
      <c r="UPS148" s="609"/>
      <c r="UPT148" s="609"/>
      <c r="UPU148" s="609"/>
      <c r="UPV148" s="609"/>
      <c r="UPW148" s="609"/>
      <c r="UPX148" s="609"/>
      <c r="UPY148" s="609"/>
      <c r="UPZ148" s="609"/>
      <c r="UQA148" s="609"/>
      <c r="UQB148" s="609"/>
      <c r="UQC148" s="609"/>
      <c r="UQD148" s="609"/>
      <c r="UQE148" s="609"/>
      <c r="UQF148" s="609"/>
      <c r="UQG148" s="609"/>
      <c r="UQH148" s="609"/>
      <c r="UQI148" s="609"/>
      <c r="UQJ148" s="609"/>
      <c r="UQK148" s="609"/>
      <c r="UQL148" s="609"/>
      <c r="UQM148" s="609"/>
      <c r="UQN148" s="609"/>
      <c r="UQO148" s="609"/>
      <c r="UQP148" s="609"/>
      <c r="UQQ148" s="609"/>
      <c r="UQR148" s="609"/>
      <c r="UQS148" s="609"/>
      <c r="UQT148" s="609"/>
      <c r="UQU148" s="609"/>
      <c r="UQV148" s="609"/>
      <c r="UQW148" s="609"/>
      <c r="UQX148" s="609"/>
      <c r="UQY148" s="609"/>
      <c r="UQZ148" s="609"/>
      <c r="URA148" s="609"/>
      <c r="URB148" s="609"/>
      <c r="URC148" s="609"/>
      <c r="URD148" s="609"/>
      <c r="URE148" s="609"/>
      <c r="URF148" s="609"/>
      <c r="URG148" s="609"/>
      <c r="URH148" s="609"/>
      <c r="URI148" s="609"/>
      <c r="URJ148" s="609"/>
      <c r="URK148" s="609"/>
      <c r="URL148" s="609"/>
      <c r="URM148" s="609"/>
      <c r="URN148" s="609"/>
      <c r="URO148" s="609"/>
      <c r="URP148" s="609"/>
      <c r="URQ148" s="609"/>
      <c r="URR148" s="609"/>
      <c r="URS148" s="609"/>
      <c r="URT148" s="609"/>
      <c r="URU148" s="609"/>
      <c r="URV148" s="609"/>
      <c r="URW148" s="609"/>
      <c r="URX148" s="609"/>
      <c r="URY148" s="609"/>
      <c r="URZ148" s="609"/>
      <c r="USA148" s="609"/>
      <c r="USB148" s="609"/>
      <c r="USC148" s="609"/>
      <c r="USD148" s="609"/>
      <c r="USE148" s="609"/>
      <c r="USF148" s="609"/>
      <c r="USG148" s="609"/>
      <c r="USH148" s="609"/>
      <c r="USI148" s="609"/>
      <c r="USJ148" s="609"/>
      <c r="USK148" s="609"/>
      <c r="USL148" s="609"/>
      <c r="USM148" s="609"/>
      <c r="USN148" s="609"/>
      <c r="USO148" s="609"/>
      <c r="USP148" s="609"/>
      <c r="USQ148" s="609"/>
      <c r="USR148" s="609"/>
      <c r="USS148" s="609"/>
      <c r="UST148" s="609"/>
      <c r="USU148" s="609"/>
      <c r="USV148" s="609"/>
      <c r="USW148" s="609"/>
      <c r="USX148" s="609"/>
      <c r="USY148" s="609"/>
      <c r="USZ148" s="609"/>
      <c r="UTA148" s="609"/>
      <c r="UTB148" s="609"/>
      <c r="UTC148" s="609"/>
      <c r="UTD148" s="609"/>
      <c r="UTE148" s="609"/>
      <c r="UTF148" s="609"/>
      <c r="UTG148" s="609"/>
      <c r="UTH148" s="609"/>
      <c r="UTI148" s="609"/>
      <c r="UTJ148" s="609"/>
      <c r="UTK148" s="609"/>
      <c r="UTL148" s="609"/>
      <c r="UTM148" s="609"/>
      <c r="UTN148" s="609"/>
      <c r="UTO148" s="609"/>
      <c r="UTP148" s="609"/>
      <c r="UTQ148" s="609"/>
      <c r="UTR148" s="609"/>
      <c r="UTS148" s="609"/>
      <c r="UTT148" s="609"/>
      <c r="UTU148" s="609"/>
      <c r="UTV148" s="609"/>
      <c r="UTW148" s="609"/>
      <c r="UTX148" s="609"/>
      <c r="UTY148" s="609"/>
      <c r="UTZ148" s="609"/>
      <c r="UUA148" s="609"/>
      <c r="UUB148" s="609"/>
      <c r="UUC148" s="609"/>
      <c r="UUD148" s="609"/>
      <c r="UUE148" s="609"/>
      <c r="UUF148" s="609"/>
      <c r="UUG148" s="609"/>
      <c r="UUH148" s="609"/>
      <c r="UUI148" s="609"/>
      <c r="UUJ148" s="609"/>
      <c r="UUK148" s="609"/>
      <c r="UUL148" s="609"/>
      <c r="UUM148" s="609"/>
      <c r="UUN148" s="609"/>
      <c r="UUO148" s="609"/>
      <c r="UUP148" s="609"/>
      <c r="UUQ148" s="609"/>
      <c r="UUR148" s="609"/>
      <c r="UUS148" s="609"/>
      <c r="UUT148" s="609"/>
      <c r="UUU148" s="609"/>
      <c r="UUV148" s="609"/>
      <c r="UUW148" s="609"/>
      <c r="UUX148" s="609"/>
      <c r="UUY148" s="609"/>
      <c r="UUZ148" s="609"/>
      <c r="UVA148" s="609"/>
      <c r="UVB148" s="609"/>
      <c r="UVC148" s="609"/>
      <c r="UVD148" s="609"/>
      <c r="UVE148" s="609"/>
      <c r="UVF148" s="609"/>
      <c r="UVG148" s="609"/>
      <c r="UVH148" s="609"/>
      <c r="UVI148" s="609"/>
      <c r="UVJ148" s="609"/>
      <c r="UVK148" s="609"/>
      <c r="UVL148" s="609"/>
      <c r="UVM148" s="609"/>
      <c r="UVN148" s="609"/>
      <c r="UVO148" s="609"/>
      <c r="UVP148" s="609"/>
      <c r="UVQ148" s="609"/>
      <c r="UVR148" s="609"/>
      <c r="UVS148" s="609"/>
      <c r="UVT148" s="609"/>
      <c r="UVU148" s="609"/>
      <c r="UVV148" s="609"/>
      <c r="UVW148" s="609"/>
      <c r="UVX148" s="609"/>
      <c r="UVY148" s="609"/>
      <c r="UVZ148" s="609"/>
      <c r="UWA148" s="609"/>
      <c r="UWB148" s="609"/>
      <c r="UWC148" s="609"/>
      <c r="UWD148" s="609"/>
      <c r="UWE148" s="609"/>
      <c r="UWF148" s="609"/>
      <c r="UWG148" s="609"/>
      <c r="UWH148" s="609"/>
      <c r="UWI148" s="609"/>
      <c r="UWJ148" s="609"/>
      <c r="UWK148" s="609"/>
      <c r="UWL148" s="609"/>
      <c r="UWM148" s="609"/>
      <c r="UWN148" s="609"/>
      <c r="UWO148" s="609"/>
      <c r="UWP148" s="609"/>
      <c r="UWQ148" s="609"/>
      <c r="UWR148" s="609"/>
      <c r="UWS148" s="609"/>
      <c r="UWT148" s="609"/>
      <c r="UWU148" s="609"/>
      <c r="UWV148" s="609"/>
      <c r="UWW148" s="609"/>
      <c r="UWX148" s="609"/>
      <c r="UWY148" s="609"/>
      <c r="UWZ148" s="609"/>
      <c r="UXA148" s="609"/>
      <c r="UXB148" s="609"/>
      <c r="UXC148" s="609"/>
      <c r="UXD148" s="609"/>
      <c r="UXE148" s="609"/>
      <c r="UXF148" s="609"/>
      <c r="UXG148" s="609"/>
      <c r="UXH148" s="609"/>
      <c r="UXI148" s="609"/>
      <c r="UXJ148" s="609"/>
      <c r="UXK148" s="609"/>
      <c r="UXL148" s="609"/>
      <c r="UXM148" s="609"/>
      <c r="UXN148" s="609"/>
      <c r="UXO148" s="609"/>
      <c r="UXP148" s="609"/>
      <c r="UXQ148" s="609"/>
      <c r="UXR148" s="609"/>
      <c r="UXS148" s="609"/>
      <c r="UXT148" s="609"/>
      <c r="UXU148" s="609"/>
      <c r="UXV148" s="609"/>
      <c r="UXW148" s="609"/>
      <c r="UXX148" s="609"/>
      <c r="UXY148" s="609"/>
      <c r="UXZ148" s="609"/>
      <c r="UYA148" s="609"/>
      <c r="UYB148" s="609"/>
      <c r="UYC148" s="609"/>
      <c r="UYD148" s="609"/>
      <c r="UYE148" s="609"/>
      <c r="UYF148" s="609"/>
      <c r="UYG148" s="609"/>
      <c r="UYH148" s="609"/>
      <c r="UYI148" s="609"/>
      <c r="UYJ148" s="609"/>
      <c r="UYK148" s="609"/>
      <c r="UYL148" s="609"/>
      <c r="UYM148" s="609"/>
      <c r="UYN148" s="609"/>
      <c r="UYO148" s="609"/>
      <c r="UYP148" s="609"/>
      <c r="UYQ148" s="609"/>
      <c r="UYR148" s="609"/>
      <c r="UYS148" s="609"/>
      <c r="UYT148" s="609"/>
      <c r="UYU148" s="609"/>
      <c r="UYV148" s="609"/>
      <c r="UYW148" s="609"/>
      <c r="UYX148" s="609"/>
      <c r="UYY148" s="609"/>
      <c r="UYZ148" s="609"/>
      <c r="UZA148" s="609"/>
      <c r="UZB148" s="609"/>
      <c r="UZC148" s="609"/>
      <c r="UZD148" s="609"/>
      <c r="UZE148" s="609"/>
      <c r="UZF148" s="609"/>
      <c r="UZG148" s="609"/>
      <c r="UZH148" s="609"/>
      <c r="UZI148" s="609"/>
      <c r="UZJ148" s="609"/>
      <c r="UZK148" s="609"/>
      <c r="UZL148" s="609"/>
      <c r="UZM148" s="609"/>
      <c r="UZN148" s="609"/>
      <c r="UZO148" s="609"/>
      <c r="UZP148" s="609"/>
      <c r="UZQ148" s="609"/>
      <c r="UZR148" s="609"/>
      <c r="UZS148" s="609"/>
      <c r="UZT148" s="609"/>
      <c r="UZU148" s="609"/>
      <c r="UZV148" s="609"/>
      <c r="UZW148" s="609"/>
      <c r="UZX148" s="609"/>
      <c r="UZY148" s="609"/>
      <c r="UZZ148" s="609"/>
      <c r="VAA148" s="609"/>
      <c r="VAB148" s="609"/>
      <c r="VAC148" s="609"/>
      <c r="VAD148" s="609"/>
      <c r="VAE148" s="609"/>
      <c r="VAF148" s="609"/>
      <c r="VAG148" s="609"/>
      <c r="VAH148" s="609"/>
      <c r="VAI148" s="609"/>
      <c r="VAJ148" s="609"/>
      <c r="VAK148" s="609"/>
      <c r="VAL148" s="609"/>
      <c r="VAM148" s="609"/>
      <c r="VAN148" s="609"/>
      <c r="VAO148" s="609"/>
      <c r="VAP148" s="609"/>
      <c r="VAQ148" s="609"/>
      <c r="VAR148" s="609"/>
      <c r="VAS148" s="609"/>
      <c r="VAT148" s="609"/>
      <c r="VAU148" s="609"/>
      <c r="VAV148" s="609"/>
      <c r="VAW148" s="609"/>
      <c r="VAX148" s="609"/>
      <c r="VAY148" s="609"/>
      <c r="VAZ148" s="609"/>
      <c r="VBA148" s="609"/>
      <c r="VBB148" s="609"/>
      <c r="VBC148" s="609"/>
      <c r="VBD148" s="609"/>
      <c r="VBE148" s="609"/>
      <c r="VBF148" s="609"/>
      <c r="VBG148" s="609"/>
      <c r="VBH148" s="609"/>
      <c r="VBI148" s="609"/>
      <c r="VBJ148" s="609"/>
      <c r="VBK148" s="609"/>
      <c r="VBL148" s="609"/>
      <c r="VBM148" s="609"/>
      <c r="VBN148" s="609"/>
      <c r="VBO148" s="609"/>
      <c r="VBP148" s="609"/>
      <c r="VBQ148" s="609"/>
      <c r="VBR148" s="609"/>
      <c r="VBS148" s="609"/>
      <c r="VBT148" s="609"/>
      <c r="VBU148" s="609"/>
      <c r="VBV148" s="609"/>
      <c r="VBW148" s="609"/>
      <c r="VBX148" s="609"/>
      <c r="VBY148" s="609"/>
      <c r="VBZ148" s="609"/>
      <c r="VCA148" s="609"/>
      <c r="VCB148" s="609"/>
      <c r="VCC148" s="609"/>
      <c r="VCD148" s="609"/>
      <c r="VCE148" s="609"/>
      <c r="VCF148" s="609"/>
      <c r="VCG148" s="609"/>
      <c r="VCH148" s="609"/>
      <c r="VCI148" s="609"/>
      <c r="VCJ148" s="609"/>
      <c r="VCK148" s="609"/>
      <c r="VCL148" s="609"/>
      <c r="VCM148" s="609"/>
      <c r="VCN148" s="609"/>
      <c r="VCO148" s="609"/>
      <c r="VCP148" s="609"/>
      <c r="VCQ148" s="609"/>
      <c r="VCR148" s="609"/>
      <c r="VCS148" s="609"/>
      <c r="VCT148" s="609"/>
      <c r="VCU148" s="609"/>
      <c r="VCV148" s="609"/>
      <c r="VCW148" s="609"/>
      <c r="VCX148" s="609"/>
      <c r="VCY148" s="609"/>
      <c r="VCZ148" s="609"/>
      <c r="VDA148" s="609"/>
      <c r="VDB148" s="609"/>
      <c r="VDC148" s="609"/>
      <c r="VDD148" s="609"/>
      <c r="VDE148" s="609"/>
      <c r="VDF148" s="609"/>
      <c r="VDG148" s="609"/>
      <c r="VDH148" s="609"/>
      <c r="VDI148" s="609"/>
      <c r="VDJ148" s="609"/>
      <c r="VDK148" s="609"/>
      <c r="VDL148" s="609"/>
      <c r="VDM148" s="609"/>
      <c r="VDN148" s="609"/>
      <c r="VDO148" s="609"/>
      <c r="VDP148" s="609"/>
      <c r="VDQ148" s="609"/>
      <c r="VDR148" s="609"/>
      <c r="VDS148" s="609"/>
      <c r="VDT148" s="609"/>
      <c r="VDU148" s="609"/>
      <c r="VDV148" s="609"/>
      <c r="VDW148" s="609"/>
      <c r="VDX148" s="609"/>
      <c r="VDY148" s="609"/>
      <c r="VDZ148" s="609"/>
      <c r="VEA148" s="609"/>
      <c r="VEB148" s="609"/>
      <c r="VEC148" s="609"/>
      <c r="VED148" s="609"/>
      <c r="VEE148" s="609"/>
      <c r="VEF148" s="609"/>
      <c r="VEG148" s="609"/>
      <c r="VEH148" s="609"/>
      <c r="VEI148" s="609"/>
      <c r="VEJ148" s="609"/>
      <c r="VEK148" s="609"/>
      <c r="VEL148" s="609"/>
      <c r="VEM148" s="609"/>
      <c r="VEN148" s="609"/>
      <c r="VEO148" s="609"/>
      <c r="VEP148" s="609"/>
      <c r="VEQ148" s="609"/>
      <c r="VER148" s="609"/>
      <c r="VES148" s="609"/>
      <c r="VET148" s="609"/>
      <c r="VEU148" s="609"/>
      <c r="VEV148" s="609"/>
      <c r="VEW148" s="609"/>
      <c r="VEX148" s="609"/>
      <c r="VEY148" s="609"/>
      <c r="VEZ148" s="609"/>
      <c r="VFA148" s="609"/>
      <c r="VFB148" s="609"/>
      <c r="VFC148" s="609"/>
      <c r="VFD148" s="609"/>
      <c r="VFE148" s="609"/>
      <c r="VFF148" s="609"/>
      <c r="VFG148" s="609"/>
      <c r="VFH148" s="609"/>
      <c r="VFI148" s="609"/>
      <c r="VFJ148" s="609"/>
      <c r="VFK148" s="609"/>
      <c r="VFL148" s="609"/>
      <c r="VFM148" s="609"/>
      <c r="VFN148" s="609"/>
      <c r="VFO148" s="609"/>
      <c r="VFP148" s="609"/>
      <c r="VFQ148" s="609"/>
      <c r="VFR148" s="609"/>
      <c r="VFS148" s="609"/>
      <c r="VFT148" s="609"/>
      <c r="VFU148" s="609"/>
      <c r="VFV148" s="609"/>
      <c r="VFW148" s="609"/>
      <c r="VFX148" s="609"/>
      <c r="VFY148" s="609"/>
      <c r="VFZ148" s="609"/>
      <c r="VGA148" s="609"/>
      <c r="VGB148" s="609"/>
      <c r="VGC148" s="609"/>
      <c r="VGD148" s="609"/>
      <c r="VGE148" s="609"/>
      <c r="VGF148" s="609"/>
      <c r="VGG148" s="609"/>
      <c r="VGH148" s="609"/>
      <c r="VGI148" s="609"/>
      <c r="VGJ148" s="609"/>
      <c r="VGK148" s="609"/>
      <c r="VGL148" s="609"/>
      <c r="VGM148" s="609"/>
      <c r="VGN148" s="609"/>
      <c r="VGO148" s="609"/>
      <c r="VGP148" s="609"/>
      <c r="VGQ148" s="609"/>
      <c r="VGR148" s="609"/>
      <c r="VGS148" s="609"/>
      <c r="VGT148" s="609"/>
      <c r="VGU148" s="609"/>
      <c r="VGV148" s="609"/>
      <c r="VGW148" s="609"/>
      <c r="VGX148" s="609"/>
      <c r="VGY148" s="609"/>
      <c r="VGZ148" s="609"/>
      <c r="VHA148" s="609"/>
      <c r="VHB148" s="609"/>
      <c r="VHC148" s="609"/>
      <c r="VHD148" s="609"/>
      <c r="VHE148" s="609"/>
      <c r="VHF148" s="609"/>
      <c r="VHG148" s="609"/>
      <c r="VHH148" s="609"/>
      <c r="VHI148" s="609"/>
      <c r="VHJ148" s="609"/>
      <c r="VHK148" s="609"/>
      <c r="VHL148" s="609"/>
      <c r="VHM148" s="609"/>
      <c r="VHN148" s="609"/>
      <c r="VHO148" s="609"/>
      <c r="VHP148" s="609"/>
      <c r="VHQ148" s="609"/>
      <c r="VHR148" s="609"/>
      <c r="VHS148" s="609"/>
      <c r="VHT148" s="609"/>
      <c r="VHU148" s="609"/>
      <c r="VHV148" s="609"/>
      <c r="VHW148" s="609"/>
      <c r="VHX148" s="609"/>
      <c r="VHY148" s="609"/>
      <c r="VHZ148" s="609"/>
      <c r="VIA148" s="609"/>
      <c r="VIB148" s="609"/>
      <c r="VIC148" s="609"/>
      <c r="VID148" s="609"/>
      <c r="VIE148" s="609"/>
      <c r="VIF148" s="609"/>
      <c r="VIG148" s="609"/>
      <c r="VIH148" s="609"/>
      <c r="VII148" s="609"/>
      <c r="VIJ148" s="609"/>
      <c r="VIK148" s="609"/>
      <c r="VIL148" s="609"/>
      <c r="VIM148" s="609"/>
      <c r="VIN148" s="609"/>
      <c r="VIO148" s="609"/>
      <c r="VIP148" s="609"/>
      <c r="VIQ148" s="609"/>
      <c r="VIR148" s="609"/>
      <c r="VIS148" s="609"/>
      <c r="VIT148" s="609"/>
      <c r="VIU148" s="609"/>
      <c r="VIV148" s="609"/>
      <c r="VIW148" s="609"/>
      <c r="VIX148" s="609"/>
      <c r="VIY148" s="609"/>
      <c r="VIZ148" s="609"/>
      <c r="VJA148" s="609"/>
      <c r="VJB148" s="609"/>
      <c r="VJC148" s="609"/>
      <c r="VJD148" s="609"/>
      <c r="VJE148" s="609"/>
      <c r="VJF148" s="609"/>
      <c r="VJG148" s="609"/>
      <c r="VJH148" s="609"/>
      <c r="VJI148" s="609"/>
      <c r="VJJ148" s="609"/>
      <c r="VJK148" s="609"/>
      <c r="VJL148" s="609"/>
      <c r="VJM148" s="609"/>
      <c r="VJN148" s="609"/>
      <c r="VJO148" s="609"/>
      <c r="VJP148" s="609"/>
      <c r="VJQ148" s="609"/>
      <c r="VJR148" s="609"/>
      <c r="VJS148" s="609"/>
      <c r="VJT148" s="609"/>
      <c r="VJU148" s="609"/>
      <c r="VJV148" s="609"/>
      <c r="VJW148" s="609"/>
      <c r="VJX148" s="609"/>
      <c r="VJY148" s="609"/>
      <c r="VJZ148" s="609"/>
      <c r="VKA148" s="609"/>
      <c r="VKB148" s="609"/>
      <c r="VKC148" s="609"/>
      <c r="VKD148" s="609"/>
      <c r="VKE148" s="609"/>
      <c r="VKF148" s="609"/>
      <c r="VKG148" s="609"/>
      <c r="VKH148" s="609"/>
      <c r="VKI148" s="609"/>
      <c r="VKJ148" s="609"/>
      <c r="VKK148" s="609"/>
      <c r="VKL148" s="609"/>
      <c r="VKM148" s="609"/>
      <c r="VKN148" s="609"/>
      <c r="VKO148" s="609"/>
      <c r="VKP148" s="609"/>
      <c r="VKQ148" s="609"/>
      <c r="VKR148" s="609"/>
      <c r="VKS148" s="609"/>
      <c r="VKT148" s="609"/>
      <c r="VKU148" s="609"/>
      <c r="VKV148" s="609"/>
      <c r="VKW148" s="609"/>
      <c r="VKX148" s="609"/>
      <c r="VKY148" s="609"/>
      <c r="VKZ148" s="609"/>
      <c r="VLA148" s="609"/>
      <c r="VLB148" s="609"/>
      <c r="VLC148" s="609"/>
      <c r="VLD148" s="609"/>
      <c r="VLE148" s="609"/>
      <c r="VLF148" s="609"/>
      <c r="VLG148" s="609"/>
      <c r="VLH148" s="609"/>
      <c r="VLI148" s="609"/>
      <c r="VLJ148" s="609"/>
      <c r="VLK148" s="609"/>
      <c r="VLL148" s="609"/>
      <c r="VLM148" s="609"/>
      <c r="VLN148" s="609"/>
      <c r="VLO148" s="609"/>
      <c r="VLP148" s="609"/>
      <c r="VLQ148" s="609"/>
      <c r="VLR148" s="609"/>
      <c r="VLS148" s="609"/>
      <c r="VLT148" s="609"/>
      <c r="VLU148" s="609"/>
      <c r="VLV148" s="609"/>
      <c r="VLW148" s="609"/>
      <c r="VLX148" s="609"/>
      <c r="VLY148" s="609"/>
      <c r="VLZ148" s="609"/>
      <c r="VMA148" s="609"/>
      <c r="VMB148" s="609"/>
      <c r="VMC148" s="609"/>
      <c r="VMD148" s="609"/>
      <c r="VME148" s="609"/>
      <c r="VMF148" s="609"/>
      <c r="VMG148" s="609"/>
      <c r="VMH148" s="609"/>
      <c r="VMI148" s="609"/>
      <c r="VMJ148" s="609"/>
      <c r="VMK148" s="609"/>
      <c r="VML148" s="609"/>
      <c r="VMM148" s="609"/>
      <c r="VMN148" s="609"/>
      <c r="VMO148" s="609"/>
      <c r="VMP148" s="609"/>
      <c r="VMQ148" s="609"/>
      <c r="VMR148" s="609"/>
      <c r="VMS148" s="609"/>
      <c r="VMT148" s="609"/>
      <c r="VMU148" s="609"/>
      <c r="VMV148" s="609"/>
      <c r="VMW148" s="609"/>
      <c r="VMX148" s="609"/>
      <c r="VMY148" s="609"/>
      <c r="VMZ148" s="609"/>
      <c r="VNA148" s="609"/>
      <c r="VNB148" s="609"/>
      <c r="VNC148" s="609"/>
      <c r="VND148" s="609"/>
      <c r="VNE148" s="609"/>
      <c r="VNF148" s="609"/>
      <c r="VNG148" s="609"/>
      <c r="VNH148" s="609"/>
      <c r="VNI148" s="609"/>
      <c r="VNJ148" s="609"/>
      <c r="VNK148" s="609"/>
      <c r="VNL148" s="609"/>
      <c r="VNM148" s="609"/>
      <c r="VNN148" s="609"/>
      <c r="VNO148" s="609"/>
      <c r="VNP148" s="609"/>
      <c r="VNQ148" s="609"/>
      <c r="VNR148" s="609"/>
      <c r="VNS148" s="609"/>
      <c r="VNT148" s="609"/>
      <c r="VNU148" s="609"/>
      <c r="VNV148" s="609"/>
      <c r="VNW148" s="609"/>
      <c r="VNX148" s="609"/>
      <c r="VNY148" s="609"/>
      <c r="VNZ148" s="609"/>
      <c r="VOA148" s="609"/>
      <c r="VOB148" s="609"/>
      <c r="VOC148" s="609"/>
      <c r="VOD148" s="609"/>
      <c r="VOE148" s="609"/>
      <c r="VOF148" s="609"/>
      <c r="VOG148" s="609"/>
      <c r="VOH148" s="609"/>
      <c r="VOI148" s="609"/>
      <c r="VOJ148" s="609"/>
      <c r="VOK148" s="609"/>
      <c r="VOL148" s="609"/>
      <c r="VOM148" s="609"/>
      <c r="VON148" s="609"/>
      <c r="VOO148" s="609"/>
      <c r="VOP148" s="609"/>
      <c r="VOQ148" s="609"/>
      <c r="VOR148" s="609"/>
      <c r="VOS148" s="609"/>
      <c r="VOT148" s="609"/>
      <c r="VOU148" s="609"/>
      <c r="VOV148" s="609"/>
      <c r="VOW148" s="609"/>
      <c r="VOX148" s="609"/>
      <c r="VOY148" s="609"/>
      <c r="VOZ148" s="609"/>
      <c r="VPA148" s="609"/>
      <c r="VPB148" s="609"/>
      <c r="VPC148" s="609"/>
      <c r="VPD148" s="609"/>
      <c r="VPE148" s="609"/>
      <c r="VPF148" s="609"/>
      <c r="VPG148" s="609"/>
      <c r="VPH148" s="609"/>
      <c r="VPI148" s="609"/>
      <c r="VPJ148" s="609"/>
      <c r="VPK148" s="609"/>
      <c r="VPL148" s="609"/>
      <c r="VPM148" s="609"/>
      <c r="VPN148" s="609"/>
      <c r="VPO148" s="609"/>
      <c r="VPP148" s="609"/>
      <c r="VPQ148" s="609"/>
      <c r="VPR148" s="609"/>
      <c r="VPS148" s="609"/>
      <c r="VPT148" s="609"/>
      <c r="VPU148" s="609"/>
      <c r="VPV148" s="609"/>
      <c r="VPW148" s="609"/>
      <c r="VPX148" s="609"/>
      <c r="VPY148" s="609"/>
      <c r="VPZ148" s="609"/>
      <c r="VQA148" s="609"/>
      <c r="VQB148" s="609"/>
      <c r="VQC148" s="609"/>
      <c r="VQD148" s="609"/>
      <c r="VQE148" s="609"/>
      <c r="VQF148" s="609"/>
      <c r="VQG148" s="609"/>
      <c r="VQH148" s="609"/>
      <c r="VQI148" s="609"/>
      <c r="VQJ148" s="609"/>
      <c r="VQK148" s="609"/>
      <c r="VQL148" s="609"/>
      <c r="VQM148" s="609"/>
      <c r="VQN148" s="609"/>
      <c r="VQO148" s="609"/>
      <c r="VQP148" s="609"/>
      <c r="VQQ148" s="609"/>
      <c r="VQR148" s="609"/>
      <c r="VQS148" s="609"/>
      <c r="VQT148" s="609"/>
      <c r="VQU148" s="609"/>
      <c r="VQV148" s="609"/>
      <c r="VQW148" s="609"/>
      <c r="VQX148" s="609"/>
      <c r="VQY148" s="609"/>
      <c r="VQZ148" s="609"/>
      <c r="VRA148" s="609"/>
      <c r="VRB148" s="609"/>
      <c r="VRC148" s="609"/>
      <c r="VRD148" s="609"/>
      <c r="VRE148" s="609"/>
      <c r="VRF148" s="609"/>
      <c r="VRG148" s="609"/>
      <c r="VRH148" s="609"/>
      <c r="VRI148" s="609"/>
      <c r="VRJ148" s="609"/>
      <c r="VRK148" s="609"/>
      <c r="VRL148" s="609"/>
      <c r="VRM148" s="609"/>
      <c r="VRN148" s="609"/>
      <c r="VRO148" s="609"/>
      <c r="VRP148" s="609"/>
      <c r="VRQ148" s="609"/>
      <c r="VRR148" s="609"/>
      <c r="VRS148" s="609"/>
      <c r="VRT148" s="609"/>
      <c r="VRU148" s="609"/>
      <c r="VRV148" s="609"/>
      <c r="VRW148" s="609"/>
      <c r="VRX148" s="609"/>
      <c r="VRY148" s="609"/>
      <c r="VRZ148" s="609"/>
      <c r="VSA148" s="609"/>
      <c r="VSB148" s="609"/>
      <c r="VSC148" s="609"/>
      <c r="VSD148" s="609"/>
      <c r="VSE148" s="609"/>
      <c r="VSF148" s="609"/>
      <c r="VSG148" s="609"/>
      <c r="VSH148" s="609"/>
      <c r="VSI148" s="609"/>
      <c r="VSJ148" s="609"/>
      <c r="VSK148" s="609"/>
      <c r="VSL148" s="609"/>
      <c r="VSM148" s="609"/>
      <c r="VSN148" s="609"/>
      <c r="VSO148" s="609"/>
      <c r="VSP148" s="609"/>
      <c r="VSQ148" s="609"/>
      <c r="VSR148" s="609"/>
      <c r="VSS148" s="609"/>
      <c r="VST148" s="609"/>
      <c r="VSU148" s="609"/>
      <c r="VSV148" s="609"/>
      <c r="VSW148" s="609"/>
      <c r="VSX148" s="609"/>
      <c r="VSY148" s="609"/>
      <c r="VSZ148" s="609"/>
      <c r="VTA148" s="609"/>
      <c r="VTB148" s="609"/>
      <c r="VTC148" s="609"/>
      <c r="VTD148" s="609"/>
      <c r="VTE148" s="609"/>
      <c r="VTF148" s="609"/>
      <c r="VTG148" s="609"/>
      <c r="VTH148" s="609"/>
      <c r="VTI148" s="609"/>
      <c r="VTJ148" s="609"/>
      <c r="VTK148" s="609"/>
      <c r="VTL148" s="609"/>
      <c r="VTM148" s="609"/>
      <c r="VTN148" s="609"/>
      <c r="VTO148" s="609"/>
      <c r="VTP148" s="609"/>
      <c r="VTQ148" s="609"/>
      <c r="VTR148" s="609"/>
      <c r="VTS148" s="609"/>
      <c r="VTT148" s="609"/>
      <c r="VTU148" s="609"/>
      <c r="VTV148" s="609"/>
      <c r="VTW148" s="609"/>
      <c r="VTX148" s="609"/>
      <c r="VTY148" s="609"/>
      <c r="VTZ148" s="609"/>
      <c r="VUA148" s="609"/>
      <c r="VUB148" s="609"/>
      <c r="VUC148" s="609"/>
      <c r="VUD148" s="609"/>
      <c r="VUE148" s="609"/>
      <c r="VUF148" s="609"/>
      <c r="VUG148" s="609"/>
      <c r="VUH148" s="609"/>
      <c r="VUI148" s="609"/>
      <c r="VUJ148" s="609"/>
      <c r="VUK148" s="609"/>
      <c r="VUL148" s="609"/>
      <c r="VUM148" s="609"/>
      <c r="VUN148" s="609"/>
      <c r="VUO148" s="609"/>
      <c r="VUP148" s="609"/>
      <c r="VUQ148" s="609"/>
      <c r="VUR148" s="609"/>
      <c r="VUS148" s="609"/>
      <c r="VUT148" s="609"/>
      <c r="VUU148" s="609"/>
      <c r="VUV148" s="609"/>
      <c r="VUW148" s="609"/>
      <c r="VUX148" s="609"/>
      <c r="VUY148" s="609"/>
      <c r="VUZ148" s="609"/>
      <c r="VVA148" s="609"/>
      <c r="VVB148" s="609"/>
      <c r="VVC148" s="609"/>
      <c r="VVD148" s="609"/>
      <c r="VVE148" s="609"/>
      <c r="VVF148" s="609"/>
      <c r="VVG148" s="609"/>
      <c r="VVH148" s="609"/>
      <c r="VVI148" s="609"/>
      <c r="VVJ148" s="609"/>
      <c r="VVK148" s="609"/>
      <c r="VVL148" s="609"/>
      <c r="VVM148" s="609"/>
      <c r="VVN148" s="609"/>
      <c r="VVO148" s="609"/>
      <c r="VVP148" s="609"/>
      <c r="VVQ148" s="609"/>
      <c r="VVR148" s="609"/>
      <c r="VVS148" s="609"/>
      <c r="VVT148" s="609"/>
      <c r="VVU148" s="609"/>
      <c r="VVV148" s="609"/>
      <c r="VVW148" s="609"/>
      <c r="VVX148" s="609"/>
      <c r="VVY148" s="609"/>
      <c r="VVZ148" s="609"/>
      <c r="VWA148" s="609"/>
      <c r="VWB148" s="609"/>
      <c r="VWC148" s="609"/>
      <c r="VWD148" s="609"/>
      <c r="VWE148" s="609"/>
      <c r="VWF148" s="609"/>
      <c r="VWG148" s="609"/>
      <c r="VWH148" s="609"/>
      <c r="VWI148" s="609"/>
      <c r="VWJ148" s="609"/>
      <c r="VWK148" s="609"/>
      <c r="VWL148" s="609"/>
      <c r="VWM148" s="609"/>
      <c r="VWN148" s="609"/>
      <c r="VWO148" s="609"/>
      <c r="VWP148" s="609"/>
      <c r="VWQ148" s="609"/>
      <c r="VWR148" s="609"/>
      <c r="VWS148" s="609"/>
      <c r="VWT148" s="609"/>
      <c r="VWU148" s="609"/>
      <c r="VWV148" s="609"/>
      <c r="VWW148" s="609"/>
      <c r="VWX148" s="609"/>
      <c r="VWY148" s="609"/>
      <c r="VWZ148" s="609"/>
      <c r="VXA148" s="609"/>
      <c r="VXB148" s="609"/>
      <c r="VXC148" s="609"/>
      <c r="VXD148" s="609"/>
      <c r="VXE148" s="609"/>
      <c r="VXF148" s="609"/>
      <c r="VXG148" s="609"/>
      <c r="VXH148" s="609"/>
      <c r="VXI148" s="609"/>
      <c r="VXJ148" s="609"/>
      <c r="VXK148" s="609"/>
      <c r="VXL148" s="609"/>
      <c r="VXM148" s="609"/>
      <c r="VXN148" s="609"/>
      <c r="VXO148" s="609"/>
      <c r="VXP148" s="609"/>
      <c r="VXQ148" s="609"/>
      <c r="VXR148" s="609"/>
      <c r="VXS148" s="609"/>
      <c r="VXT148" s="609"/>
      <c r="VXU148" s="609"/>
      <c r="VXV148" s="609"/>
      <c r="VXW148" s="609"/>
      <c r="VXX148" s="609"/>
      <c r="VXY148" s="609"/>
      <c r="VXZ148" s="609"/>
      <c r="VYA148" s="609"/>
      <c r="VYB148" s="609"/>
      <c r="VYC148" s="609"/>
      <c r="VYD148" s="609"/>
      <c r="VYE148" s="609"/>
      <c r="VYF148" s="609"/>
      <c r="VYG148" s="609"/>
      <c r="VYH148" s="609"/>
      <c r="VYI148" s="609"/>
      <c r="VYJ148" s="609"/>
      <c r="VYK148" s="609"/>
      <c r="VYL148" s="609"/>
      <c r="VYM148" s="609"/>
      <c r="VYN148" s="609"/>
      <c r="VYO148" s="609"/>
      <c r="VYP148" s="609"/>
      <c r="VYQ148" s="609"/>
      <c r="VYR148" s="609"/>
      <c r="VYS148" s="609"/>
      <c r="VYT148" s="609"/>
      <c r="VYU148" s="609"/>
      <c r="VYV148" s="609"/>
      <c r="VYW148" s="609"/>
      <c r="VYX148" s="609"/>
      <c r="VYY148" s="609"/>
      <c r="VYZ148" s="609"/>
      <c r="VZA148" s="609"/>
      <c r="VZB148" s="609"/>
      <c r="VZC148" s="609"/>
      <c r="VZD148" s="609"/>
      <c r="VZE148" s="609"/>
      <c r="VZF148" s="609"/>
      <c r="VZG148" s="609"/>
      <c r="VZH148" s="609"/>
      <c r="VZI148" s="609"/>
      <c r="VZJ148" s="609"/>
      <c r="VZK148" s="609"/>
      <c r="VZL148" s="609"/>
      <c r="VZM148" s="609"/>
      <c r="VZN148" s="609"/>
      <c r="VZO148" s="609"/>
      <c r="VZP148" s="609"/>
      <c r="VZQ148" s="609"/>
      <c r="VZR148" s="609"/>
      <c r="VZS148" s="609"/>
      <c r="VZT148" s="609"/>
      <c r="VZU148" s="609"/>
      <c r="VZV148" s="609"/>
      <c r="VZW148" s="609"/>
      <c r="VZX148" s="609"/>
      <c r="VZY148" s="609"/>
      <c r="VZZ148" s="609"/>
      <c r="WAA148" s="609"/>
      <c r="WAB148" s="609"/>
      <c r="WAC148" s="609"/>
      <c r="WAD148" s="609"/>
      <c r="WAE148" s="609"/>
      <c r="WAF148" s="609"/>
      <c r="WAG148" s="609"/>
      <c r="WAH148" s="609"/>
      <c r="WAI148" s="609"/>
      <c r="WAJ148" s="609"/>
      <c r="WAK148" s="609"/>
      <c r="WAL148" s="609"/>
      <c r="WAM148" s="609"/>
      <c r="WAN148" s="609"/>
      <c r="WAO148" s="609"/>
      <c r="WAP148" s="609"/>
      <c r="WAQ148" s="609"/>
      <c r="WAR148" s="609"/>
      <c r="WAS148" s="609"/>
      <c r="WAT148" s="609"/>
      <c r="WAU148" s="609"/>
      <c r="WAV148" s="609"/>
      <c r="WAW148" s="609"/>
      <c r="WAX148" s="609"/>
      <c r="WAY148" s="609"/>
      <c r="WAZ148" s="609"/>
      <c r="WBA148" s="609"/>
      <c r="WBB148" s="609"/>
      <c r="WBC148" s="609"/>
      <c r="WBD148" s="609"/>
      <c r="WBE148" s="609"/>
      <c r="WBF148" s="609"/>
      <c r="WBG148" s="609"/>
      <c r="WBH148" s="609"/>
      <c r="WBI148" s="609"/>
      <c r="WBJ148" s="609"/>
      <c r="WBK148" s="609"/>
      <c r="WBL148" s="609"/>
      <c r="WBM148" s="609"/>
      <c r="WBN148" s="609"/>
      <c r="WBO148" s="609"/>
      <c r="WBP148" s="609"/>
      <c r="WBQ148" s="609"/>
      <c r="WBR148" s="609"/>
      <c r="WBS148" s="609"/>
      <c r="WBT148" s="609"/>
      <c r="WBU148" s="609"/>
      <c r="WBV148" s="609"/>
      <c r="WBW148" s="609"/>
      <c r="WBX148" s="609"/>
      <c r="WBY148" s="609"/>
      <c r="WBZ148" s="609"/>
      <c r="WCA148" s="609"/>
      <c r="WCB148" s="609"/>
      <c r="WCC148" s="609"/>
      <c r="WCD148" s="609"/>
      <c r="WCE148" s="609"/>
      <c r="WCF148" s="609"/>
      <c r="WCG148" s="609"/>
      <c r="WCH148" s="609"/>
      <c r="WCI148" s="609"/>
      <c r="WCJ148" s="609"/>
      <c r="WCK148" s="609"/>
      <c r="WCL148" s="609"/>
      <c r="WCM148" s="609"/>
      <c r="WCN148" s="609"/>
      <c r="WCO148" s="609"/>
      <c r="WCP148" s="609"/>
      <c r="WCQ148" s="609"/>
      <c r="WCR148" s="609"/>
      <c r="WCS148" s="609"/>
      <c r="WCT148" s="609"/>
      <c r="WCU148" s="609"/>
      <c r="WCV148" s="609"/>
      <c r="WCW148" s="609"/>
      <c r="WCX148" s="609"/>
      <c r="WCY148" s="609"/>
      <c r="WCZ148" s="609"/>
      <c r="WDA148" s="609"/>
      <c r="WDB148" s="609"/>
      <c r="WDC148" s="609"/>
      <c r="WDD148" s="609"/>
      <c r="WDE148" s="609"/>
      <c r="WDF148" s="609"/>
      <c r="WDG148" s="609"/>
      <c r="WDH148" s="609"/>
      <c r="WDI148" s="609"/>
      <c r="WDJ148" s="609"/>
      <c r="WDK148" s="609"/>
      <c r="WDL148" s="609"/>
      <c r="WDM148" s="609"/>
      <c r="WDN148" s="609"/>
      <c r="WDO148" s="609"/>
      <c r="WDP148" s="609"/>
      <c r="WDQ148" s="609"/>
      <c r="WDR148" s="609"/>
      <c r="WDS148" s="609"/>
      <c r="WDT148" s="609"/>
      <c r="WDU148" s="609"/>
      <c r="WDV148" s="609"/>
      <c r="WDW148" s="609"/>
      <c r="WDX148" s="609"/>
      <c r="WDY148" s="609"/>
      <c r="WDZ148" s="609"/>
      <c r="WEA148" s="609"/>
      <c r="WEB148" s="609"/>
      <c r="WEC148" s="609"/>
      <c r="WED148" s="609"/>
      <c r="WEE148" s="609"/>
      <c r="WEF148" s="609"/>
      <c r="WEG148" s="609"/>
      <c r="WEH148" s="609"/>
      <c r="WEI148" s="609"/>
      <c r="WEJ148" s="609"/>
      <c r="WEK148" s="609"/>
      <c r="WEL148" s="609"/>
      <c r="WEM148" s="609"/>
      <c r="WEN148" s="609"/>
      <c r="WEO148" s="609"/>
      <c r="WEP148" s="609"/>
      <c r="WEQ148" s="609"/>
      <c r="WER148" s="609"/>
      <c r="WES148" s="609"/>
      <c r="WET148" s="609"/>
      <c r="WEU148" s="609"/>
      <c r="WEV148" s="609"/>
      <c r="WEW148" s="609"/>
      <c r="WEX148" s="609"/>
      <c r="WEY148" s="609"/>
      <c r="WEZ148" s="609"/>
      <c r="WFA148" s="609"/>
      <c r="WFB148" s="609"/>
      <c r="WFC148" s="609"/>
      <c r="WFD148" s="609"/>
      <c r="WFE148" s="609"/>
      <c r="WFF148" s="609"/>
      <c r="WFG148" s="609"/>
      <c r="WFH148" s="609"/>
      <c r="WFI148" s="609"/>
      <c r="WFJ148" s="609"/>
      <c r="WFK148" s="609"/>
      <c r="WFL148" s="609"/>
      <c r="WFM148" s="609"/>
      <c r="WFN148" s="609"/>
      <c r="WFO148" s="609"/>
      <c r="WFP148" s="609"/>
      <c r="WFQ148" s="609"/>
      <c r="WFR148" s="609"/>
      <c r="WFS148" s="609"/>
      <c r="WFT148" s="609"/>
      <c r="WFU148" s="609"/>
      <c r="WFV148" s="609"/>
      <c r="WFW148" s="609"/>
      <c r="WFX148" s="609"/>
      <c r="WFY148" s="609"/>
      <c r="WFZ148" s="609"/>
      <c r="WGA148" s="609"/>
      <c r="WGB148" s="609"/>
      <c r="WGC148" s="609"/>
      <c r="WGD148" s="609"/>
      <c r="WGE148" s="609"/>
      <c r="WGF148" s="609"/>
      <c r="WGG148" s="609"/>
      <c r="WGH148" s="609"/>
      <c r="WGI148" s="609"/>
      <c r="WGJ148" s="609"/>
      <c r="WGK148" s="609"/>
      <c r="WGL148" s="609"/>
      <c r="WGM148" s="609"/>
      <c r="WGN148" s="609"/>
      <c r="WGO148" s="609"/>
      <c r="WGP148" s="609"/>
      <c r="WGQ148" s="609"/>
      <c r="WGR148" s="609"/>
      <c r="WGS148" s="609"/>
      <c r="WGT148" s="609"/>
      <c r="WGU148" s="609"/>
      <c r="WGV148" s="609"/>
      <c r="WGW148" s="609"/>
      <c r="WGX148" s="609"/>
      <c r="WGY148" s="609"/>
      <c r="WGZ148" s="609"/>
      <c r="WHA148" s="609"/>
      <c r="WHB148" s="609"/>
      <c r="WHC148" s="609"/>
      <c r="WHD148" s="609"/>
      <c r="WHE148" s="609"/>
      <c r="WHF148" s="609"/>
      <c r="WHG148" s="609"/>
      <c r="WHH148" s="609"/>
      <c r="WHI148" s="609"/>
      <c r="WHJ148" s="609"/>
      <c r="WHK148" s="609"/>
      <c r="WHL148" s="609"/>
      <c r="WHM148" s="609"/>
      <c r="WHN148" s="609"/>
      <c r="WHO148" s="609"/>
      <c r="WHP148" s="609"/>
      <c r="WHQ148" s="609"/>
      <c r="WHR148" s="609"/>
      <c r="WHS148" s="609"/>
      <c r="WHT148" s="609"/>
      <c r="WHU148" s="609"/>
      <c r="WHV148" s="609"/>
      <c r="WHW148" s="609"/>
      <c r="WHX148" s="609"/>
      <c r="WHY148" s="609"/>
      <c r="WHZ148" s="609"/>
      <c r="WIA148" s="609"/>
      <c r="WIB148" s="609"/>
      <c r="WIC148" s="609"/>
      <c r="WID148" s="609"/>
      <c r="WIE148" s="609"/>
      <c r="WIF148" s="609"/>
      <c r="WIG148" s="609"/>
      <c r="WIH148" s="609"/>
      <c r="WII148" s="609"/>
      <c r="WIJ148" s="609"/>
      <c r="WIK148" s="609"/>
      <c r="WIL148" s="609"/>
      <c r="WIM148" s="609"/>
      <c r="WIN148" s="609"/>
      <c r="WIO148" s="609"/>
      <c r="WIP148" s="609"/>
      <c r="WIQ148" s="609"/>
      <c r="WIR148" s="609"/>
      <c r="WIS148" s="609"/>
      <c r="WIT148" s="609"/>
      <c r="WIU148" s="609"/>
      <c r="WIV148" s="609"/>
      <c r="WIW148" s="609"/>
      <c r="WIX148" s="609"/>
      <c r="WIY148" s="609"/>
      <c r="WIZ148" s="609"/>
      <c r="WJA148" s="609"/>
      <c r="WJB148" s="609"/>
      <c r="WJC148" s="609"/>
      <c r="WJD148" s="609"/>
      <c r="WJE148" s="609"/>
      <c r="WJF148" s="609"/>
      <c r="WJG148" s="609"/>
      <c r="WJH148" s="609"/>
      <c r="WJI148" s="609"/>
      <c r="WJJ148" s="609"/>
      <c r="WJK148" s="609"/>
      <c r="WJL148" s="609"/>
      <c r="WJM148" s="609"/>
      <c r="WJN148" s="609"/>
      <c r="WJO148" s="609"/>
      <c r="WJP148" s="609"/>
      <c r="WJQ148" s="609"/>
      <c r="WJR148" s="609"/>
      <c r="WJS148" s="609"/>
      <c r="WJT148" s="609"/>
      <c r="WJU148" s="609"/>
      <c r="WJV148" s="609"/>
      <c r="WJW148" s="609"/>
      <c r="WJX148" s="609"/>
      <c r="WJY148" s="609"/>
      <c r="WJZ148" s="609"/>
      <c r="WKA148" s="609"/>
      <c r="WKB148" s="609"/>
      <c r="WKC148" s="609"/>
      <c r="WKD148" s="609"/>
      <c r="WKE148" s="609"/>
      <c r="WKF148" s="609"/>
      <c r="WKG148" s="609"/>
      <c r="WKH148" s="609"/>
      <c r="WKI148" s="609"/>
      <c r="WKJ148" s="609"/>
      <c r="WKK148" s="609"/>
      <c r="WKL148" s="609"/>
      <c r="WKM148" s="609"/>
      <c r="WKN148" s="609"/>
      <c r="WKO148" s="609"/>
      <c r="WKP148" s="609"/>
      <c r="WKQ148" s="609"/>
      <c r="WKR148" s="609"/>
      <c r="WKS148" s="609"/>
      <c r="WKT148" s="609"/>
      <c r="WKU148" s="609"/>
      <c r="WKV148" s="609"/>
      <c r="WKW148" s="609"/>
      <c r="WKX148" s="609"/>
      <c r="WKY148" s="609"/>
      <c r="WKZ148" s="609"/>
      <c r="WLA148" s="609"/>
      <c r="WLB148" s="609"/>
      <c r="WLC148" s="609"/>
      <c r="WLD148" s="609"/>
      <c r="WLE148" s="609"/>
      <c r="WLF148" s="609"/>
      <c r="WLG148" s="609"/>
      <c r="WLH148" s="609"/>
      <c r="WLI148" s="609"/>
      <c r="WLJ148" s="609"/>
      <c r="WLK148" s="609"/>
      <c r="WLL148" s="609"/>
      <c r="WLM148" s="609"/>
      <c r="WLN148" s="609"/>
      <c r="WLO148" s="609"/>
      <c r="WLP148" s="609"/>
      <c r="WLQ148" s="609"/>
      <c r="WLR148" s="609"/>
      <c r="WLS148" s="609"/>
      <c r="WLT148" s="609"/>
      <c r="WLU148" s="609"/>
      <c r="WLV148" s="609"/>
      <c r="WLW148" s="609"/>
      <c r="WLX148" s="609"/>
      <c r="WLY148" s="609"/>
      <c r="WLZ148" s="609"/>
      <c r="WMA148" s="609"/>
      <c r="WMB148" s="609"/>
      <c r="WMC148" s="609"/>
      <c r="WMD148" s="609"/>
      <c r="WME148" s="609"/>
      <c r="WMF148" s="609"/>
      <c r="WMG148" s="609"/>
      <c r="WMH148" s="609"/>
      <c r="WMI148" s="609"/>
      <c r="WMJ148" s="609"/>
      <c r="WMK148" s="609"/>
      <c r="WML148" s="609"/>
      <c r="WMM148" s="609"/>
      <c r="WMN148" s="609"/>
      <c r="WMO148" s="609"/>
      <c r="WMP148" s="609"/>
      <c r="WMQ148" s="609"/>
      <c r="WMR148" s="609"/>
      <c r="WMS148" s="609"/>
      <c r="WMT148" s="609"/>
      <c r="WMU148" s="609"/>
      <c r="WMV148" s="609"/>
      <c r="WMW148" s="609"/>
      <c r="WMX148" s="609"/>
      <c r="WMY148" s="609"/>
      <c r="WMZ148" s="609"/>
      <c r="WNA148" s="609"/>
      <c r="WNB148" s="609"/>
      <c r="WNC148" s="609"/>
      <c r="WND148" s="609"/>
      <c r="WNE148" s="609"/>
      <c r="WNF148" s="609"/>
      <c r="WNG148" s="609"/>
      <c r="WNH148" s="609"/>
      <c r="WNI148" s="609"/>
      <c r="WNJ148" s="609"/>
      <c r="WNK148" s="609"/>
      <c r="WNL148" s="609"/>
      <c r="WNM148" s="609"/>
      <c r="WNN148" s="609"/>
      <c r="WNO148" s="609"/>
      <c r="WNP148" s="609"/>
      <c r="WNQ148" s="609"/>
      <c r="WNR148" s="609"/>
      <c r="WNS148" s="609"/>
      <c r="WNT148" s="609"/>
      <c r="WNU148" s="609"/>
      <c r="WNV148" s="609"/>
      <c r="WNW148" s="609"/>
      <c r="WNX148" s="609"/>
      <c r="WNY148" s="609"/>
      <c r="WNZ148" s="609"/>
      <c r="WOA148" s="609"/>
      <c r="WOB148" s="609"/>
      <c r="WOC148" s="609"/>
      <c r="WOD148" s="609"/>
      <c r="WOE148" s="609"/>
      <c r="WOF148" s="609"/>
      <c r="WOG148" s="609"/>
      <c r="WOH148" s="609"/>
      <c r="WOI148" s="609"/>
      <c r="WOJ148" s="609"/>
      <c r="WOK148" s="609"/>
      <c r="WOL148" s="609"/>
      <c r="WOM148" s="609"/>
      <c r="WON148" s="609"/>
      <c r="WOO148" s="609"/>
      <c r="WOP148" s="609"/>
      <c r="WOQ148" s="609"/>
      <c r="WOR148" s="609"/>
      <c r="WOS148" s="609"/>
      <c r="WOT148" s="609"/>
      <c r="WOU148" s="609"/>
      <c r="WOV148" s="609"/>
      <c r="WOW148" s="609"/>
      <c r="WOX148" s="609"/>
      <c r="WOY148" s="609"/>
      <c r="WOZ148" s="609"/>
      <c r="WPA148" s="609"/>
      <c r="WPB148" s="609"/>
      <c r="WPC148" s="609"/>
      <c r="WPD148" s="609"/>
      <c r="WPE148" s="609"/>
      <c r="WPF148" s="609"/>
      <c r="WPG148" s="609"/>
      <c r="WPH148" s="609"/>
      <c r="WPI148" s="609"/>
      <c r="WPJ148" s="609"/>
      <c r="WPK148" s="609"/>
      <c r="WPL148" s="609"/>
      <c r="WPM148" s="609"/>
      <c r="WPN148" s="609"/>
      <c r="WPO148" s="609"/>
      <c r="WPP148" s="609"/>
      <c r="WPQ148" s="609"/>
      <c r="WPR148" s="609"/>
      <c r="WPS148" s="609"/>
      <c r="WPT148" s="609"/>
      <c r="WPU148" s="609"/>
      <c r="WPV148" s="609"/>
      <c r="WPW148" s="609"/>
      <c r="WPX148" s="609"/>
      <c r="WPY148" s="609"/>
      <c r="WPZ148" s="609"/>
      <c r="WQA148" s="609"/>
      <c r="WQB148" s="609"/>
      <c r="WQC148" s="609"/>
      <c r="WQD148" s="609"/>
      <c r="WQE148" s="609"/>
      <c r="WQF148" s="609"/>
      <c r="WQG148" s="609"/>
      <c r="WQH148" s="609"/>
      <c r="WQI148" s="609"/>
      <c r="WQJ148" s="609"/>
      <c r="WQK148" s="609"/>
      <c r="WQL148" s="609"/>
      <c r="WQM148" s="609"/>
      <c r="WQN148" s="609"/>
      <c r="WQO148" s="609"/>
      <c r="WQP148" s="609"/>
      <c r="WQQ148" s="609"/>
      <c r="WQR148" s="609"/>
      <c r="WQS148" s="609"/>
      <c r="WQT148" s="609"/>
      <c r="WQU148" s="609"/>
      <c r="WQV148" s="609"/>
      <c r="WQW148" s="609"/>
      <c r="WQX148" s="609"/>
      <c r="WQY148" s="609"/>
      <c r="WQZ148" s="609"/>
      <c r="WRA148" s="609"/>
      <c r="WRB148" s="609"/>
      <c r="WRC148" s="609"/>
      <c r="WRD148" s="609"/>
      <c r="WRE148" s="609"/>
      <c r="WRF148" s="609"/>
      <c r="WRG148" s="609"/>
      <c r="WRH148" s="609"/>
      <c r="WRI148" s="609"/>
      <c r="WRJ148" s="609"/>
      <c r="WRK148" s="609"/>
      <c r="WRL148" s="609"/>
      <c r="WRM148" s="609"/>
      <c r="WRN148" s="609"/>
      <c r="WRO148" s="609"/>
      <c r="WRP148" s="609"/>
      <c r="WRQ148" s="609"/>
      <c r="WRR148" s="609"/>
      <c r="WRS148" s="609"/>
      <c r="WRT148" s="609"/>
      <c r="WRU148" s="609"/>
      <c r="WRV148" s="609"/>
      <c r="WRW148" s="609"/>
      <c r="WRX148" s="609"/>
      <c r="WRY148" s="609"/>
      <c r="WRZ148" s="609"/>
      <c r="WSA148" s="609"/>
      <c r="WSB148" s="609"/>
      <c r="WSC148" s="609"/>
      <c r="WSD148" s="609"/>
      <c r="WSE148" s="609"/>
      <c r="WSF148" s="609"/>
      <c r="WSG148" s="609"/>
      <c r="WSH148" s="609"/>
      <c r="WSI148" s="609"/>
      <c r="WSJ148" s="609"/>
      <c r="WSK148" s="609"/>
      <c r="WSL148" s="609"/>
      <c r="WSM148" s="609"/>
      <c r="WSN148" s="609"/>
      <c r="WSO148" s="609"/>
      <c r="WSP148" s="609"/>
      <c r="WSQ148" s="609"/>
      <c r="WSR148" s="609"/>
      <c r="WSS148" s="609"/>
      <c r="WST148" s="609"/>
      <c r="WSU148" s="609"/>
      <c r="WSV148" s="609"/>
      <c r="WSW148" s="609"/>
      <c r="WSX148" s="609"/>
      <c r="WSY148" s="609"/>
      <c r="WSZ148" s="609"/>
      <c r="WTA148" s="609"/>
      <c r="WTB148" s="609"/>
      <c r="WTC148" s="609"/>
      <c r="WTD148" s="609"/>
      <c r="WTE148" s="609"/>
      <c r="WTF148" s="609"/>
      <c r="WTG148" s="609"/>
      <c r="WTH148" s="609"/>
      <c r="WTI148" s="609"/>
      <c r="WTJ148" s="609"/>
      <c r="WTK148" s="609"/>
      <c r="WTL148" s="609"/>
      <c r="WTM148" s="609"/>
      <c r="WTN148" s="609"/>
      <c r="WTO148" s="609"/>
      <c r="WTP148" s="609"/>
      <c r="WTQ148" s="609"/>
      <c r="WTR148" s="609"/>
      <c r="WTS148" s="609"/>
      <c r="WTT148" s="609"/>
      <c r="WTU148" s="609"/>
      <c r="WTV148" s="609"/>
      <c r="WTW148" s="609"/>
      <c r="WTX148" s="609"/>
      <c r="WTY148" s="609"/>
      <c r="WTZ148" s="609"/>
      <c r="WUA148" s="609"/>
      <c r="WUB148" s="609"/>
      <c r="WUC148" s="609"/>
      <c r="WUD148" s="609"/>
      <c r="WUE148" s="609"/>
      <c r="WUF148" s="609"/>
      <c r="WUG148" s="609"/>
      <c r="WUH148" s="609"/>
      <c r="WUI148" s="609"/>
      <c r="WUJ148" s="609"/>
      <c r="WUK148" s="609"/>
      <c r="WUL148" s="609"/>
      <c r="WUM148" s="609"/>
      <c r="WUN148" s="609"/>
      <c r="WUO148" s="609"/>
      <c r="WUP148" s="609"/>
      <c r="WUQ148" s="609"/>
      <c r="WUR148" s="609"/>
      <c r="WUS148" s="609"/>
      <c r="WUT148" s="609"/>
      <c r="WUU148" s="609"/>
      <c r="WUV148" s="609"/>
      <c r="WUW148" s="609"/>
      <c r="WUX148" s="609"/>
      <c r="WUY148" s="609"/>
      <c r="WUZ148" s="609"/>
      <c r="WVA148" s="609"/>
      <c r="WVB148" s="609"/>
      <c r="WVC148" s="609"/>
      <c r="WVD148" s="609"/>
      <c r="WVE148" s="609"/>
      <c r="WVF148" s="609"/>
      <c r="WVG148" s="609"/>
      <c r="WVH148" s="609"/>
      <c r="WVI148" s="609"/>
      <c r="WVJ148" s="609"/>
      <c r="WVK148" s="609"/>
      <c r="WVL148" s="609"/>
      <c r="WVM148" s="609"/>
      <c r="WVN148" s="609"/>
      <c r="WVO148" s="609"/>
      <c r="WVP148" s="609"/>
      <c r="WVQ148" s="609"/>
      <c r="WVR148" s="609"/>
      <c r="WVS148" s="609"/>
      <c r="WVT148" s="609"/>
      <c r="WVU148" s="609"/>
      <c r="WVV148" s="609"/>
      <c r="WVW148" s="609"/>
      <c r="WVX148" s="609"/>
      <c r="WVY148" s="609"/>
      <c r="WVZ148" s="609"/>
      <c r="WWA148" s="609"/>
      <c r="WWB148" s="609"/>
      <c r="WWC148" s="609"/>
      <c r="WWD148" s="609"/>
      <c r="WWE148" s="609"/>
      <c r="WWF148" s="609"/>
      <c r="WWG148" s="609"/>
      <c r="WWH148" s="609"/>
      <c r="WWI148" s="609"/>
      <c r="WWJ148" s="609"/>
      <c r="WWK148" s="609"/>
      <c r="WWL148" s="609"/>
      <c r="WWM148" s="609"/>
      <c r="WWN148" s="609"/>
      <c r="WWO148" s="609"/>
      <c r="WWP148" s="609"/>
      <c r="WWQ148" s="609"/>
      <c r="WWR148" s="609"/>
      <c r="WWS148" s="609"/>
      <c r="WWT148" s="609"/>
      <c r="WWU148" s="609"/>
      <c r="WWV148" s="609"/>
      <c r="WWW148" s="609"/>
      <c r="WWX148" s="609"/>
      <c r="WWY148" s="609"/>
      <c r="WWZ148" s="609"/>
      <c r="WXA148" s="609"/>
      <c r="WXB148" s="609"/>
      <c r="WXC148" s="609"/>
      <c r="WXD148" s="609"/>
      <c r="WXE148" s="609"/>
      <c r="WXF148" s="609"/>
      <c r="WXG148" s="609"/>
      <c r="WXH148" s="609"/>
      <c r="WXI148" s="609"/>
      <c r="WXJ148" s="609"/>
      <c r="WXK148" s="609"/>
      <c r="WXL148" s="609"/>
      <c r="WXM148" s="609"/>
      <c r="WXN148" s="609"/>
      <c r="WXO148" s="609"/>
      <c r="WXP148" s="609"/>
      <c r="WXQ148" s="609"/>
      <c r="WXR148" s="609"/>
      <c r="WXS148" s="609"/>
      <c r="WXT148" s="609"/>
      <c r="WXU148" s="609"/>
      <c r="WXV148" s="609"/>
      <c r="WXW148" s="609"/>
      <c r="WXX148" s="609"/>
      <c r="WXY148" s="609"/>
      <c r="WXZ148" s="609"/>
      <c r="WYA148" s="609"/>
      <c r="WYB148" s="609"/>
      <c r="WYC148" s="609"/>
      <c r="WYD148" s="609"/>
      <c r="WYE148" s="609"/>
      <c r="WYF148" s="609"/>
      <c r="WYG148" s="609"/>
      <c r="WYH148" s="609"/>
      <c r="WYI148" s="609"/>
      <c r="WYJ148" s="609"/>
      <c r="WYK148" s="609"/>
      <c r="WYL148" s="609"/>
      <c r="WYM148" s="609"/>
      <c r="WYN148" s="609"/>
      <c r="WYO148" s="609"/>
      <c r="WYP148" s="609"/>
      <c r="WYQ148" s="609"/>
      <c r="WYR148" s="609"/>
      <c r="WYS148" s="609"/>
      <c r="WYT148" s="609"/>
      <c r="WYU148" s="609"/>
      <c r="WYV148" s="609"/>
      <c r="WYW148" s="609"/>
      <c r="WYX148" s="609"/>
      <c r="WYY148" s="609"/>
      <c r="WYZ148" s="609"/>
      <c r="WZA148" s="609"/>
      <c r="WZB148" s="609"/>
      <c r="WZC148" s="609"/>
      <c r="WZD148" s="609"/>
      <c r="WZE148" s="609"/>
      <c r="WZF148" s="609"/>
      <c r="WZG148" s="609"/>
      <c r="WZH148" s="609"/>
      <c r="WZI148" s="609"/>
      <c r="WZJ148" s="609"/>
      <c r="WZK148" s="609"/>
      <c r="WZL148" s="609"/>
      <c r="WZM148" s="609"/>
      <c r="WZN148" s="609"/>
      <c r="WZO148" s="609"/>
      <c r="WZP148" s="609"/>
      <c r="WZQ148" s="609"/>
      <c r="WZR148" s="609"/>
      <c r="WZS148" s="609"/>
      <c r="WZT148" s="609"/>
      <c r="WZU148" s="609"/>
      <c r="WZV148" s="609"/>
      <c r="WZW148" s="609"/>
      <c r="WZX148" s="609"/>
      <c r="WZY148" s="609"/>
      <c r="WZZ148" s="609"/>
      <c r="XAA148" s="609"/>
      <c r="XAB148" s="609"/>
      <c r="XAC148" s="609"/>
      <c r="XAD148" s="609"/>
      <c r="XAE148" s="609"/>
      <c r="XAF148" s="609"/>
      <c r="XAG148" s="609"/>
      <c r="XAH148" s="609"/>
      <c r="XAI148" s="609"/>
      <c r="XAJ148" s="609"/>
      <c r="XAK148" s="609"/>
      <c r="XAL148" s="609"/>
      <c r="XAM148" s="609"/>
      <c r="XAN148" s="609"/>
      <c r="XAO148" s="609"/>
      <c r="XAP148" s="609"/>
      <c r="XAQ148" s="609"/>
      <c r="XAR148" s="609"/>
      <c r="XAS148" s="609"/>
      <c r="XAT148" s="609"/>
      <c r="XAU148" s="609"/>
      <c r="XAV148" s="609"/>
      <c r="XAW148" s="609"/>
      <c r="XAX148" s="609"/>
      <c r="XAY148" s="609"/>
      <c r="XAZ148" s="609"/>
      <c r="XBA148" s="609"/>
      <c r="XBB148" s="609"/>
      <c r="XBC148" s="609"/>
      <c r="XBD148" s="609"/>
      <c r="XBE148" s="609"/>
      <c r="XBF148" s="609"/>
      <c r="XBG148" s="609"/>
      <c r="XBH148" s="609"/>
      <c r="XBI148" s="609"/>
      <c r="XBJ148" s="609"/>
      <c r="XBK148" s="609"/>
      <c r="XBL148" s="609"/>
      <c r="XBM148" s="609"/>
      <c r="XBN148" s="609"/>
      <c r="XBO148" s="609"/>
      <c r="XBP148" s="609"/>
      <c r="XBQ148" s="609"/>
      <c r="XBR148" s="609"/>
      <c r="XBS148" s="609"/>
      <c r="XBT148" s="609"/>
      <c r="XBU148" s="609"/>
      <c r="XBV148" s="609"/>
      <c r="XBW148" s="609"/>
      <c r="XBX148" s="609"/>
      <c r="XBY148" s="609"/>
      <c r="XBZ148" s="609"/>
      <c r="XCA148" s="609"/>
      <c r="XCB148" s="609"/>
      <c r="XCC148" s="609"/>
      <c r="XCD148" s="609"/>
      <c r="XCE148" s="609"/>
      <c r="XCF148" s="609"/>
      <c r="XCG148" s="609"/>
      <c r="XCH148" s="609"/>
      <c r="XCI148" s="609"/>
      <c r="XCJ148" s="609"/>
      <c r="XCK148" s="609"/>
      <c r="XCL148" s="609"/>
      <c r="XCM148" s="609"/>
      <c r="XCN148" s="609"/>
      <c r="XCO148" s="609"/>
      <c r="XCP148" s="609"/>
      <c r="XCQ148" s="609"/>
      <c r="XCR148" s="609"/>
      <c r="XCS148" s="609"/>
      <c r="XCT148" s="609"/>
      <c r="XCU148" s="609"/>
      <c r="XCV148" s="609"/>
      <c r="XCW148" s="609"/>
      <c r="XCX148" s="609"/>
      <c r="XCY148" s="609"/>
      <c r="XCZ148" s="609"/>
      <c r="XDA148" s="609"/>
      <c r="XDB148" s="609"/>
      <c r="XDC148" s="609"/>
      <c r="XDD148" s="609"/>
      <c r="XDE148" s="609"/>
      <c r="XDF148" s="609"/>
      <c r="XDG148" s="609"/>
      <c r="XDH148" s="609"/>
      <c r="XDI148" s="609"/>
      <c r="XDJ148" s="609"/>
      <c r="XDK148" s="609"/>
      <c r="XDL148" s="609"/>
      <c r="XDM148" s="609"/>
      <c r="XDN148" s="609"/>
      <c r="XDO148" s="609"/>
      <c r="XDP148" s="609"/>
      <c r="XDQ148" s="609"/>
      <c r="XDR148" s="609"/>
      <c r="XDS148" s="609"/>
      <c r="XDT148" s="609"/>
      <c r="XDU148" s="609"/>
      <c r="XDV148" s="609"/>
      <c r="XDW148" s="609"/>
      <c r="XDX148" s="609"/>
      <c r="XDY148" s="609"/>
      <c r="XDZ148" s="609"/>
      <c r="XEA148" s="609"/>
      <c r="XEB148" s="609"/>
      <c r="XEC148" s="609"/>
      <c r="XED148" s="609"/>
      <c r="XEE148" s="609"/>
      <c r="XEF148" s="609"/>
      <c r="XEG148" s="609"/>
      <c r="XEH148" s="609"/>
      <c r="XEI148" s="609"/>
      <c r="XEJ148" s="609"/>
      <c r="XEK148" s="609"/>
      <c r="XEL148" s="609"/>
      <c r="XEM148" s="609"/>
      <c r="XEN148" s="609"/>
      <c r="XEO148" s="609"/>
      <c r="XEP148" s="609"/>
      <c r="XEQ148" s="609"/>
      <c r="XER148" s="609"/>
      <c r="XES148" s="609"/>
      <c r="XET148" s="609"/>
      <c r="XEU148" s="609"/>
      <c r="XEV148" s="609"/>
      <c r="XEW148" s="609"/>
      <c r="XEX148" s="609"/>
      <c r="XEY148" s="609"/>
      <c r="XEZ148" s="609"/>
      <c r="XFA148" s="609"/>
    </row>
    <row r="149" spans="1:16381">
      <c r="A149" s="609" t="str">
        <f t="shared" si="11"/>
        <v>Hamburger Wasserwerke GmbH v. 01.09.2009</v>
      </c>
      <c r="B149" s="609">
        <f>ROW()</f>
        <v>149</v>
      </c>
      <c r="C149" s="635" t="s">
        <v>1081</v>
      </c>
      <c r="D149" s="1201">
        <v>40057</v>
      </c>
      <c r="E149" s="636" t="s">
        <v>1082</v>
      </c>
      <c r="F149" s="637" t="str">
        <f t="shared" si="13"/>
        <v/>
      </c>
      <c r="G149" s="634" t="str">
        <f t="shared" si="12"/>
        <v xml:space="preserve">TO ermöglicht: doppelten Kostenabzug; </v>
      </c>
      <c r="K149" s="1199"/>
      <c r="L149" s="1199">
        <v>2</v>
      </c>
      <c r="M149" s="1199"/>
      <c r="N149" s="1199"/>
      <c r="P149" s="144">
        <f t="shared" si="10"/>
        <v>2</v>
      </c>
      <c r="Q149" s="609"/>
      <c r="R149" s="609"/>
      <c r="S149" s="609"/>
      <c r="T149" s="609"/>
      <c r="U149" s="609"/>
      <c r="V149" s="609"/>
      <c r="W149" s="609"/>
      <c r="X149" s="609"/>
      <c r="Y149" s="609"/>
      <c r="Z149" s="609"/>
      <c r="AA149" s="609"/>
      <c r="AB149" s="609"/>
      <c r="AC149" s="609"/>
      <c r="AD149" s="609"/>
      <c r="AE149" s="609"/>
      <c r="AF149" s="609"/>
      <c r="AG149" s="609"/>
      <c r="AH149" s="609"/>
      <c r="AI149" s="609"/>
      <c r="AJ149" s="609"/>
      <c r="AK149" s="609"/>
      <c r="AL149" s="609"/>
      <c r="AM149" s="609"/>
      <c r="AN149" s="609"/>
      <c r="AO149" s="609"/>
      <c r="AP149" s="609"/>
      <c r="AQ149" s="609"/>
      <c r="AR149" s="609"/>
      <c r="AS149" s="609"/>
      <c r="AT149" s="609"/>
      <c r="AU149" s="609"/>
      <c r="AV149" s="609"/>
      <c r="AW149" s="609"/>
      <c r="AX149" s="609"/>
      <c r="AY149" s="609"/>
      <c r="AZ149" s="609"/>
      <c r="BA149" s="609"/>
      <c r="BB149" s="609"/>
      <c r="BC149" s="609"/>
      <c r="BD149" s="609"/>
      <c r="BE149" s="609"/>
      <c r="BF149" s="609"/>
      <c r="BG149" s="609"/>
      <c r="BH149" s="609"/>
      <c r="BI149" s="609"/>
      <c r="BJ149" s="609"/>
      <c r="BK149" s="609"/>
      <c r="BL149" s="609"/>
      <c r="BM149" s="609"/>
      <c r="BN149" s="609"/>
      <c r="BO149" s="609"/>
      <c r="BP149" s="609"/>
      <c r="BQ149" s="609"/>
      <c r="BR149" s="609"/>
      <c r="BS149" s="609"/>
      <c r="BT149" s="609"/>
      <c r="BU149" s="609"/>
      <c r="BV149" s="609"/>
      <c r="BW149" s="609"/>
      <c r="BX149" s="609"/>
      <c r="BY149" s="609"/>
      <c r="BZ149" s="609"/>
      <c r="CA149" s="609"/>
      <c r="CB149" s="609"/>
      <c r="CC149" s="609"/>
      <c r="CD149" s="609"/>
      <c r="CE149" s="609"/>
      <c r="CF149" s="609"/>
      <c r="CG149" s="609"/>
      <c r="CH149" s="609"/>
      <c r="CI149" s="609"/>
      <c r="CJ149" s="609"/>
      <c r="CK149" s="609"/>
      <c r="CL149" s="609"/>
      <c r="CM149" s="609"/>
      <c r="CN149" s="609"/>
      <c r="CO149" s="609"/>
      <c r="CP149" s="609"/>
      <c r="CQ149" s="609"/>
      <c r="CR149" s="609"/>
      <c r="CS149" s="609"/>
      <c r="CT149" s="609"/>
      <c r="CU149" s="609"/>
      <c r="CV149" s="609"/>
      <c r="CW149" s="609"/>
      <c r="CX149" s="609"/>
      <c r="CY149" s="609"/>
      <c r="CZ149" s="609"/>
      <c r="DA149" s="609"/>
      <c r="DB149" s="609"/>
      <c r="DC149" s="609"/>
      <c r="DD149" s="609"/>
      <c r="DE149" s="609"/>
      <c r="DF149" s="609"/>
      <c r="DG149" s="609"/>
      <c r="DH149" s="609"/>
      <c r="DI149" s="609"/>
      <c r="DJ149" s="609"/>
      <c r="DK149" s="609"/>
      <c r="DL149" s="609"/>
      <c r="DM149" s="609"/>
      <c r="DN149" s="609"/>
      <c r="DO149" s="609"/>
      <c r="DP149" s="609"/>
      <c r="DQ149" s="609"/>
      <c r="DR149" s="609"/>
      <c r="DS149" s="609"/>
      <c r="DT149" s="609"/>
      <c r="DU149" s="609"/>
      <c r="DV149" s="609"/>
      <c r="DW149" s="609"/>
      <c r="DX149" s="609"/>
      <c r="DY149" s="609"/>
      <c r="DZ149" s="609"/>
      <c r="EA149" s="609"/>
      <c r="EB149" s="609"/>
      <c r="EC149" s="609"/>
      <c r="ED149" s="609"/>
      <c r="EE149" s="609"/>
      <c r="EF149" s="609"/>
      <c r="EG149" s="609"/>
      <c r="EH149" s="609"/>
      <c r="EI149" s="609"/>
      <c r="EJ149" s="609"/>
      <c r="EK149" s="609"/>
      <c r="EL149" s="609"/>
      <c r="EM149" s="609"/>
      <c r="EN149" s="609"/>
      <c r="EO149" s="609"/>
      <c r="EP149" s="609"/>
      <c r="EQ149" s="609"/>
      <c r="ER149" s="609"/>
      <c r="ES149" s="609"/>
      <c r="ET149" s="609"/>
      <c r="EU149" s="609"/>
      <c r="EV149" s="609"/>
      <c r="EW149" s="609"/>
      <c r="EX149" s="609"/>
      <c r="EY149" s="609"/>
      <c r="EZ149" s="609"/>
      <c r="FA149" s="609"/>
      <c r="FB149" s="609"/>
      <c r="FC149" s="609"/>
      <c r="FD149" s="609"/>
      <c r="FE149" s="609"/>
      <c r="FF149" s="609"/>
      <c r="FG149" s="609"/>
      <c r="FH149" s="609"/>
      <c r="FI149" s="609"/>
      <c r="FJ149" s="609"/>
      <c r="FK149" s="609"/>
      <c r="FL149" s="609"/>
      <c r="FM149" s="609"/>
      <c r="FN149" s="609"/>
      <c r="FO149" s="609"/>
      <c r="FP149" s="609"/>
      <c r="FQ149" s="609"/>
      <c r="FR149" s="609"/>
      <c r="FS149" s="609"/>
      <c r="FT149" s="609"/>
      <c r="FU149" s="609"/>
      <c r="FV149" s="609"/>
      <c r="FW149" s="609"/>
      <c r="FX149" s="609"/>
      <c r="FY149" s="609"/>
      <c r="FZ149" s="609"/>
      <c r="GA149" s="609"/>
      <c r="GB149" s="609"/>
      <c r="GC149" s="609"/>
      <c r="GD149" s="609"/>
      <c r="GE149" s="609"/>
      <c r="GF149" s="609"/>
      <c r="GG149" s="609"/>
      <c r="GH149" s="609"/>
      <c r="GI149" s="609"/>
      <c r="GJ149" s="609"/>
      <c r="GK149" s="609"/>
      <c r="GL149" s="609"/>
      <c r="GM149" s="609"/>
      <c r="GN149" s="609"/>
      <c r="GO149" s="609"/>
      <c r="GP149" s="609"/>
      <c r="GQ149" s="609"/>
      <c r="GR149" s="609"/>
      <c r="GS149" s="609"/>
      <c r="GT149" s="609"/>
      <c r="GU149" s="609"/>
      <c r="GV149" s="609"/>
      <c r="GW149" s="609"/>
      <c r="GX149" s="609"/>
      <c r="GY149" s="609"/>
      <c r="GZ149" s="609"/>
      <c r="HA149" s="609"/>
      <c r="HB149" s="609"/>
      <c r="HC149" s="609"/>
      <c r="HD149" s="609"/>
      <c r="HE149" s="609"/>
      <c r="HF149" s="609"/>
      <c r="HG149" s="609"/>
      <c r="HH149" s="609"/>
      <c r="HI149" s="609"/>
      <c r="HJ149" s="609"/>
      <c r="HK149" s="609"/>
      <c r="HL149" s="609"/>
      <c r="HM149" s="609"/>
      <c r="HN149" s="609"/>
      <c r="HO149" s="609"/>
      <c r="HP149" s="609"/>
      <c r="HQ149" s="609"/>
      <c r="HR149" s="609"/>
      <c r="HS149" s="609"/>
      <c r="HT149" s="609"/>
      <c r="HU149" s="609"/>
      <c r="HV149" s="609"/>
      <c r="HW149" s="609"/>
      <c r="HX149" s="609"/>
      <c r="HY149" s="609"/>
      <c r="HZ149" s="609"/>
      <c r="IA149" s="609"/>
      <c r="IB149" s="609"/>
      <c r="IC149" s="609"/>
      <c r="ID149" s="609"/>
      <c r="IE149" s="609"/>
      <c r="IF149" s="609"/>
      <c r="IG149" s="609"/>
      <c r="IH149" s="609"/>
      <c r="II149" s="609"/>
      <c r="IJ149" s="609"/>
      <c r="IK149" s="609"/>
      <c r="IL149" s="609"/>
      <c r="IM149" s="609"/>
      <c r="IN149" s="609"/>
      <c r="IO149" s="609"/>
      <c r="IP149" s="609"/>
      <c r="IQ149" s="609"/>
      <c r="IR149" s="609"/>
      <c r="IS149" s="609"/>
      <c r="IT149" s="609"/>
      <c r="IU149" s="609"/>
      <c r="IV149" s="609"/>
      <c r="IW149" s="609"/>
      <c r="IX149" s="609"/>
      <c r="IY149" s="609"/>
      <c r="IZ149" s="609"/>
      <c r="JA149" s="609"/>
      <c r="JB149" s="609"/>
      <c r="JC149" s="609"/>
      <c r="JD149" s="609"/>
      <c r="JE149" s="609"/>
      <c r="JF149" s="609"/>
      <c r="JG149" s="609"/>
      <c r="JH149" s="609"/>
      <c r="JI149" s="609"/>
      <c r="JJ149" s="609"/>
      <c r="JK149" s="609"/>
      <c r="JL149" s="609"/>
      <c r="JM149" s="609"/>
      <c r="JN149" s="609"/>
      <c r="JO149" s="609"/>
      <c r="JP149" s="609"/>
      <c r="JQ149" s="609"/>
      <c r="JR149" s="609"/>
      <c r="JS149" s="609"/>
      <c r="JT149" s="609"/>
      <c r="JU149" s="609"/>
      <c r="JV149" s="609"/>
      <c r="JW149" s="609"/>
      <c r="JX149" s="609"/>
      <c r="JY149" s="609"/>
      <c r="JZ149" s="609"/>
      <c r="KA149" s="609"/>
      <c r="KB149" s="609"/>
      <c r="KC149" s="609"/>
      <c r="KD149" s="609"/>
      <c r="KE149" s="609"/>
      <c r="KF149" s="609"/>
      <c r="KG149" s="609"/>
      <c r="KH149" s="609"/>
      <c r="KI149" s="609"/>
      <c r="KJ149" s="609"/>
      <c r="KK149" s="609"/>
      <c r="KL149" s="609"/>
      <c r="KM149" s="609"/>
      <c r="KN149" s="609"/>
      <c r="KO149" s="609"/>
      <c r="KP149" s="609"/>
      <c r="KQ149" s="609"/>
      <c r="KR149" s="609"/>
      <c r="KS149" s="609"/>
      <c r="KT149" s="609"/>
      <c r="KU149" s="609"/>
      <c r="KV149" s="609"/>
      <c r="KW149" s="609"/>
      <c r="KX149" s="609"/>
      <c r="KY149" s="609"/>
      <c r="KZ149" s="609"/>
      <c r="LA149" s="609"/>
      <c r="LB149" s="609"/>
      <c r="LC149" s="609"/>
      <c r="LD149" s="609"/>
      <c r="LE149" s="609"/>
      <c r="LF149" s="609"/>
      <c r="LG149" s="609"/>
      <c r="LH149" s="609"/>
      <c r="LI149" s="609"/>
      <c r="LJ149" s="609"/>
      <c r="LK149" s="609"/>
      <c r="LL149" s="609"/>
      <c r="LM149" s="609"/>
      <c r="LN149" s="609"/>
      <c r="LO149" s="609"/>
      <c r="LP149" s="609"/>
      <c r="LQ149" s="609"/>
      <c r="LR149" s="609"/>
      <c r="LS149" s="609"/>
      <c r="LT149" s="609"/>
      <c r="LU149" s="609"/>
      <c r="LV149" s="609"/>
      <c r="LW149" s="609"/>
      <c r="LX149" s="609"/>
      <c r="LY149" s="609"/>
      <c r="LZ149" s="609"/>
      <c r="MA149" s="609"/>
      <c r="MB149" s="609"/>
      <c r="MC149" s="609"/>
      <c r="MD149" s="609"/>
      <c r="ME149" s="609"/>
      <c r="MF149" s="609"/>
      <c r="MG149" s="609"/>
      <c r="MH149" s="609"/>
      <c r="MI149" s="609"/>
      <c r="MJ149" s="609"/>
      <c r="MK149" s="609"/>
      <c r="ML149" s="609"/>
      <c r="MM149" s="609"/>
      <c r="MN149" s="609"/>
      <c r="MO149" s="609"/>
      <c r="MP149" s="609"/>
      <c r="MQ149" s="609"/>
      <c r="MR149" s="609"/>
      <c r="MS149" s="609"/>
      <c r="MT149" s="609"/>
      <c r="MU149" s="609"/>
      <c r="MV149" s="609"/>
      <c r="MW149" s="609"/>
      <c r="MX149" s="609"/>
      <c r="MY149" s="609"/>
      <c r="MZ149" s="609"/>
      <c r="NA149" s="609"/>
      <c r="NB149" s="609"/>
      <c r="NC149" s="609"/>
      <c r="ND149" s="609"/>
      <c r="NE149" s="609"/>
      <c r="NF149" s="609"/>
      <c r="NG149" s="609"/>
      <c r="NH149" s="609"/>
      <c r="NI149" s="609"/>
      <c r="NJ149" s="609"/>
      <c r="NK149" s="609"/>
      <c r="NL149" s="609"/>
      <c r="NM149" s="609"/>
      <c r="NN149" s="609"/>
      <c r="NO149" s="609"/>
      <c r="NP149" s="609"/>
      <c r="NQ149" s="609"/>
      <c r="NR149" s="609"/>
      <c r="NS149" s="609"/>
      <c r="NT149" s="609"/>
      <c r="NU149" s="609"/>
      <c r="NV149" s="609"/>
      <c r="NW149" s="609"/>
      <c r="NX149" s="609"/>
      <c r="NY149" s="609"/>
      <c r="NZ149" s="609"/>
      <c r="OA149" s="609"/>
      <c r="OB149" s="609"/>
      <c r="OC149" s="609"/>
      <c r="OD149" s="609"/>
      <c r="OE149" s="609"/>
      <c r="OF149" s="609"/>
      <c r="OG149" s="609"/>
      <c r="OH149" s="609"/>
      <c r="OI149" s="609"/>
      <c r="OJ149" s="609"/>
      <c r="OK149" s="609"/>
      <c r="OL149" s="609"/>
      <c r="OM149" s="609"/>
      <c r="ON149" s="609"/>
      <c r="OO149" s="609"/>
      <c r="OP149" s="609"/>
      <c r="OQ149" s="609"/>
      <c r="OR149" s="609"/>
      <c r="OS149" s="609"/>
      <c r="OT149" s="609"/>
      <c r="OU149" s="609"/>
      <c r="OV149" s="609"/>
      <c r="OW149" s="609"/>
      <c r="OX149" s="609"/>
      <c r="OY149" s="609"/>
      <c r="OZ149" s="609"/>
      <c r="PA149" s="609"/>
      <c r="PB149" s="609"/>
      <c r="PC149" s="609"/>
      <c r="PD149" s="609"/>
      <c r="PE149" s="609"/>
      <c r="PF149" s="609"/>
      <c r="PG149" s="609"/>
      <c r="PH149" s="609"/>
      <c r="PI149" s="609"/>
      <c r="PJ149" s="609"/>
      <c r="PK149" s="609"/>
      <c r="PL149" s="609"/>
      <c r="PM149" s="609"/>
      <c r="PN149" s="609"/>
      <c r="PO149" s="609"/>
      <c r="PP149" s="609"/>
      <c r="PQ149" s="609"/>
      <c r="PR149" s="609"/>
      <c r="PS149" s="609"/>
      <c r="PT149" s="609"/>
      <c r="PU149" s="609"/>
      <c r="PV149" s="609"/>
      <c r="PW149" s="609"/>
      <c r="PX149" s="609"/>
      <c r="PY149" s="609"/>
      <c r="PZ149" s="609"/>
      <c r="QA149" s="609"/>
      <c r="QB149" s="609"/>
      <c r="QC149" s="609"/>
      <c r="QD149" s="609"/>
      <c r="QE149" s="609"/>
      <c r="QF149" s="609"/>
      <c r="QG149" s="609"/>
      <c r="QH149" s="609"/>
      <c r="QI149" s="609"/>
      <c r="QJ149" s="609"/>
      <c r="QK149" s="609"/>
      <c r="QL149" s="609"/>
      <c r="QM149" s="609"/>
      <c r="QN149" s="609"/>
      <c r="QO149" s="609"/>
      <c r="QP149" s="609"/>
      <c r="QQ149" s="609"/>
      <c r="QR149" s="609"/>
      <c r="QS149" s="609"/>
      <c r="QT149" s="609"/>
      <c r="QU149" s="609"/>
      <c r="QV149" s="609"/>
      <c r="QW149" s="609"/>
      <c r="QX149" s="609"/>
      <c r="QY149" s="609"/>
      <c r="QZ149" s="609"/>
      <c r="RA149" s="609"/>
      <c r="RB149" s="609"/>
      <c r="RC149" s="609"/>
      <c r="RD149" s="609"/>
      <c r="RE149" s="609"/>
      <c r="RF149" s="609"/>
      <c r="RG149" s="609"/>
      <c r="RH149" s="609"/>
      <c r="RI149" s="609"/>
      <c r="RJ149" s="609"/>
      <c r="RK149" s="609"/>
      <c r="RL149" s="609"/>
      <c r="RM149" s="609"/>
      <c r="RN149" s="609"/>
      <c r="RO149" s="609"/>
      <c r="RP149" s="609"/>
      <c r="RQ149" s="609"/>
      <c r="RR149" s="609"/>
      <c r="RS149" s="609"/>
      <c r="RT149" s="609"/>
      <c r="RU149" s="609"/>
      <c r="RV149" s="609"/>
      <c r="RW149" s="609"/>
      <c r="RX149" s="609"/>
      <c r="RY149" s="609"/>
      <c r="RZ149" s="609"/>
      <c r="SA149" s="609"/>
      <c r="SB149" s="609"/>
      <c r="SC149" s="609"/>
      <c r="SD149" s="609"/>
      <c r="SE149" s="609"/>
      <c r="SF149" s="609"/>
      <c r="SG149" s="609"/>
      <c r="SH149" s="609"/>
      <c r="SI149" s="609"/>
      <c r="SJ149" s="609"/>
      <c r="SK149" s="609"/>
      <c r="SL149" s="609"/>
      <c r="SM149" s="609"/>
      <c r="SN149" s="609"/>
      <c r="SO149" s="609"/>
      <c r="SP149" s="609"/>
      <c r="SQ149" s="609"/>
      <c r="SR149" s="609"/>
      <c r="SS149" s="609"/>
      <c r="ST149" s="609"/>
      <c r="SU149" s="609"/>
      <c r="SV149" s="609"/>
      <c r="SW149" s="609"/>
      <c r="SX149" s="609"/>
      <c r="SY149" s="609"/>
      <c r="SZ149" s="609"/>
      <c r="TA149" s="609"/>
      <c r="TB149" s="609"/>
      <c r="TC149" s="609"/>
      <c r="TD149" s="609"/>
      <c r="TE149" s="609"/>
      <c r="TF149" s="609"/>
      <c r="TG149" s="609"/>
      <c r="TH149" s="609"/>
      <c r="TI149" s="609"/>
      <c r="TJ149" s="609"/>
      <c r="TK149" s="609"/>
      <c r="TL149" s="609"/>
      <c r="TM149" s="609"/>
      <c r="TN149" s="609"/>
      <c r="TO149" s="609"/>
      <c r="TP149" s="609"/>
      <c r="TQ149" s="609"/>
      <c r="TR149" s="609"/>
      <c r="TS149" s="609"/>
      <c r="TT149" s="609"/>
      <c r="TU149" s="609"/>
      <c r="TV149" s="609"/>
      <c r="TW149" s="609"/>
      <c r="TX149" s="609"/>
      <c r="TY149" s="609"/>
      <c r="TZ149" s="609"/>
      <c r="UA149" s="609"/>
      <c r="UB149" s="609"/>
      <c r="UC149" s="609"/>
      <c r="UD149" s="609"/>
      <c r="UE149" s="609"/>
      <c r="UF149" s="609"/>
      <c r="UG149" s="609"/>
      <c r="UH149" s="609"/>
      <c r="UI149" s="609"/>
      <c r="UJ149" s="609"/>
      <c r="UK149" s="609"/>
      <c r="UL149" s="609"/>
      <c r="UM149" s="609"/>
      <c r="UN149" s="609"/>
      <c r="UO149" s="609"/>
      <c r="UP149" s="609"/>
      <c r="UQ149" s="609"/>
      <c r="UR149" s="609"/>
      <c r="US149" s="609"/>
      <c r="UT149" s="609"/>
      <c r="UU149" s="609"/>
      <c r="UV149" s="609"/>
      <c r="UW149" s="609"/>
      <c r="UX149" s="609"/>
      <c r="UY149" s="609"/>
      <c r="UZ149" s="609"/>
      <c r="VA149" s="609"/>
      <c r="VB149" s="609"/>
      <c r="VC149" s="609"/>
      <c r="VD149" s="609"/>
      <c r="VE149" s="609"/>
      <c r="VF149" s="609"/>
      <c r="VG149" s="609"/>
      <c r="VH149" s="609"/>
      <c r="VI149" s="609"/>
      <c r="VJ149" s="609"/>
      <c r="VK149" s="609"/>
      <c r="VL149" s="609"/>
      <c r="VM149" s="609"/>
      <c r="VN149" s="609"/>
      <c r="VO149" s="609"/>
      <c r="VP149" s="609"/>
      <c r="VQ149" s="609"/>
      <c r="VR149" s="609"/>
      <c r="VS149" s="609"/>
      <c r="VT149" s="609"/>
      <c r="VU149" s="609"/>
      <c r="VV149" s="609"/>
      <c r="VW149" s="609"/>
      <c r="VX149" s="609"/>
      <c r="VY149" s="609"/>
      <c r="VZ149" s="609"/>
      <c r="WA149" s="609"/>
      <c r="WB149" s="609"/>
      <c r="WC149" s="609"/>
      <c r="WD149" s="609"/>
      <c r="WE149" s="609"/>
      <c r="WF149" s="609"/>
      <c r="WG149" s="609"/>
      <c r="WH149" s="609"/>
      <c r="WI149" s="609"/>
      <c r="WJ149" s="609"/>
      <c r="WK149" s="609"/>
      <c r="WL149" s="609"/>
      <c r="WM149" s="609"/>
      <c r="WN149" s="609"/>
      <c r="WO149" s="609"/>
      <c r="WP149" s="609"/>
      <c r="WQ149" s="609"/>
      <c r="WR149" s="609"/>
      <c r="WS149" s="609"/>
      <c r="WT149" s="609"/>
      <c r="WU149" s="609"/>
      <c r="WV149" s="609"/>
      <c r="WW149" s="609"/>
      <c r="WX149" s="609"/>
      <c r="WY149" s="609"/>
      <c r="WZ149" s="609"/>
      <c r="XA149" s="609"/>
      <c r="XB149" s="609"/>
      <c r="XC149" s="609"/>
      <c r="XD149" s="609"/>
      <c r="XE149" s="609"/>
      <c r="XF149" s="609"/>
      <c r="XG149" s="609"/>
      <c r="XH149" s="609"/>
      <c r="XI149" s="609"/>
      <c r="XJ149" s="609"/>
      <c r="XK149" s="609"/>
      <c r="XL149" s="609"/>
      <c r="XM149" s="609"/>
      <c r="XN149" s="609"/>
      <c r="XO149" s="609"/>
      <c r="XP149" s="609"/>
      <c r="XQ149" s="609"/>
      <c r="XR149" s="609"/>
      <c r="XS149" s="609"/>
      <c r="XT149" s="609"/>
      <c r="XU149" s="609"/>
      <c r="XV149" s="609"/>
      <c r="XW149" s="609"/>
      <c r="XX149" s="609"/>
      <c r="XY149" s="609"/>
      <c r="XZ149" s="609"/>
      <c r="YA149" s="609"/>
      <c r="YB149" s="609"/>
      <c r="YC149" s="609"/>
      <c r="YD149" s="609"/>
      <c r="YE149" s="609"/>
      <c r="YF149" s="609"/>
      <c r="YG149" s="609"/>
      <c r="YH149" s="609"/>
      <c r="YI149" s="609"/>
      <c r="YJ149" s="609"/>
      <c r="YK149" s="609"/>
      <c r="YL149" s="609"/>
      <c r="YM149" s="609"/>
      <c r="YN149" s="609"/>
      <c r="YO149" s="609"/>
      <c r="YP149" s="609"/>
      <c r="YQ149" s="609"/>
      <c r="YR149" s="609"/>
      <c r="YS149" s="609"/>
      <c r="YT149" s="609"/>
      <c r="YU149" s="609"/>
      <c r="YV149" s="609"/>
      <c r="YW149" s="609"/>
      <c r="YX149" s="609"/>
      <c r="YY149" s="609"/>
      <c r="YZ149" s="609"/>
      <c r="ZA149" s="609"/>
      <c r="ZB149" s="609"/>
      <c r="ZC149" s="609"/>
      <c r="ZD149" s="609"/>
      <c r="ZE149" s="609"/>
      <c r="ZF149" s="609"/>
      <c r="ZG149" s="609"/>
      <c r="ZH149" s="609"/>
      <c r="ZI149" s="609"/>
      <c r="ZJ149" s="609"/>
      <c r="ZK149" s="609"/>
      <c r="ZL149" s="609"/>
      <c r="ZM149" s="609"/>
      <c r="ZN149" s="609"/>
      <c r="ZO149" s="609"/>
      <c r="ZP149" s="609"/>
      <c r="ZQ149" s="609"/>
      <c r="ZR149" s="609"/>
      <c r="ZS149" s="609"/>
      <c r="ZT149" s="609"/>
      <c r="ZU149" s="609"/>
      <c r="ZV149" s="609"/>
      <c r="ZW149" s="609"/>
      <c r="ZX149" s="609"/>
      <c r="ZY149" s="609"/>
      <c r="ZZ149" s="609"/>
      <c r="AAA149" s="609"/>
      <c r="AAB149" s="609"/>
      <c r="AAC149" s="609"/>
      <c r="AAD149" s="609"/>
      <c r="AAE149" s="609"/>
      <c r="AAF149" s="609"/>
      <c r="AAG149" s="609"/>
      <c r="AAH149" s="609"/>
      <c r="AAI149" s="609"/>
      <c r="AAJ149" s="609"/>
      <c r="AAK149" s="609"/>
      <c r="AAL149" s="609"/>
      <c r="AAM149" s="609"/>
      <c r="AAN149" s="609"/>
      <c r="AAO149" s="609"/>
      <c r="AAP149" s="609"/>
      <c r="AAQ149" s="609"/>
      <c r="AAR149" s="609"/>
      <c r="AAS149" s="609"/>
      <c r="AAT149" s="609"/>
      <c r="AAU149" s="609"/>
      <c r="AAV149" s="609"/>
      <c r="AAW149" s="609"/>
      <c r="AAX149" s="609"/>
      <c r="AAY149" s="609"/>
      <c r="AAZ149" s="609"/>
      <c r="ABA149" s="609"/>
      <c r="ABB149" s="609"/>
      <c r="ABC149" s="609"/>
      <c r="ABD149" s="609"/>
      <c r="ABE149" s="609"/>
      <c r="ABF149" s="609"/>
      <c r="ABG149" s="609"/>
      <c r="ABH149" s="609"/>
      <c r="ABI149" s="609"/>
      <c r="ABJ149" s="609"/>
      <c r="ABK149" s="609"/>
      <c r="ABL149" s="609"/>
      <c r="ABM149" s="609"/>
      <c r="ABN149" s="609"/>
      <c r="ABO149" s="609"/>
      <c r="ABP149" s="609"/>
      <c r="ABQ149" s="609"/>
      <c r="ABR149" s="609"/>
      <c r="ABS149" s="609"/>
      <c r="ABT149" s="609"/>
      <c r="ABU149" s="609"/>
      <c r="ABV149" s="609"/>
      <c r="ABW149" s="609"/>
      <c r="ABX149" s="609"/>
      <c r="ABY149" s="609"/>
      <c r="ABZ149" s="609"/>
      <c r="ACA149" s="609"/>
      <c r="ACB149" s="609"/>
      <c r="ACC149" s="609"/>
      <c r="ACD149" s="609"/>
      <c r="ACE149" s="609"/>
      <c r="ACF149" s="609"/>
      <c r="ACG149" s="609"/>
      <c r="ACH149" s="609"/>
      <c r="ACI149" s="609"/>
      <c r="ACJ149" s="609"/>
      <c r="ACK149" s="609"/>
      <c r="ACL149" s="609"/>
      <c r="ACM149" s="609"/>
      <c r="ACN149" s="609"/>
      <c r="ACO149" s="609"/>
      <c r="ACP149" s="609"/>
      <c r="ACQ149" s="609"/>
      <c r="ACR149" s="609"/>
      <c r="ACS149" s="609"/>
      <c r="ACT149" s="609"/>
      <c r="ACU149" s="609"/>
      <c r="ACV149" s="609"/>
      <c r="ACW149" s="609"/>
      <c r="ACX149" s="609"/>
      <c r="ACY149" s="609"/>
      <c r="ACZ149" s="609"/>
      <c r="ADA149" s="609"/>
      <c r="ADB149" s="609"/>
      <c r="ADC149" s="609"/>
      <c r="ADD149" s="609"/>
      <c r="ADE149" s="609"/>
      <c r="ADF149" s="609"/>
      <c r="ADG149" s="609"/>
      <c r="ADH149" s="609"/>
      <c r="ADI149" s="609"/>
      <c r="ADJ149" s="609"/>
      <c r="ADK149" s="609"/>
      <c r="ADL149" s="609"/>
      <c r="ADM149" s="609"/>
      <c r="ADN149" s="609"/>
      <c r="ADO149" s="609"/>
      <c r="ADP149" s="609"/>
      <c r="ADQ149" s="609"/>
      <c r="ADR149" s="609"/>
      <c r="ADS149" s="609"/>
      <c r="ADT149" s="609"/>
      <c r="ADU149" s="609"/>
      <c r="ADV149" s="609"/>
      <c r="ADW149" s="609"/>
      <c r="ADX149" s="609"/>
      <c r="ADY149" s="609"/>
      <c r="ADZ149" s="609"/>
      <c r="AEA149" s="609"/>
      <c r="AEB149" s="609"/>
      <c r="AEC149" s="609"/>
      <c r="AED149" s="609"/>
      <c r="AEE149" s="609"/>
      <c r="AEF149" s="609"/>
      <c r="AEG149" s="609"/>
      <c r="AEH149" s="609"/>
      <c r="AEI149" s="609"/>
      <c r="AEJ149" s="609"/>
      <c r="AEK149" s="609"/>
      <c r="AEL149" s="609"/>
      <c r="AEM149" s="609"/>
      <c r="AEN149" s="609"/>
      <c r="AEO149" s="609"/>
      <c r="AEP149" s="609"/>
      <c r="AEQ149" s="609"/>
      <c r="AER149" s="609"/>
      <c r="AES149" s="609"/>
      <c r="AET149" s="609"/>
      <c r="AEU149" s="609"/>
      <c r="AEV149" s="609"/>
      <c r="AEW149" s="609"/>
      <c r="AEX149" s="609"/>
      <c r="AEY149" s="609"/>
      <c r="AEZ149" s="609"/>
      <c r="AFA149" s="609"/>
      <c r="AFB149" s="609"/>
      <c r="AFC149" s="609"/>
      <c r="AFD149" s="609"/>
      <c r="AFE149" s="609"/>
      <c r="AFF149" s="609"/>
      <c r="AFG149" s="609"/>
      <c r="AFH149" s="609"/>
      <c r="AFI149" s="609"/>
      <c r="AFJ149" s="609"/>
      <c r="AFK149" s="609"/>
      <c r="AFL149" s="609"/>
      <c r="AFM149" s="609"/>
      <c r="AFN149" s="609"/>
      <c r="AFO149" s="609"/>
      <c r="AFP149" s="609"/>
      <c r="AFQ149" s="609"/>
      <c r="AFR149" s="609"/>
      <c r="AFS149" s="609"/>
      <c r="AFT149" s="609"/>
      <c r="AFU149" s="609"/>
      <c r="AFV149" s="609"/>
      <c r="AFW149" s="609"/>
      <c r="AFX149" s="609"/>
      <c r="AFY149" s="609"/>
      <c r="AFZ149" s="609"/>
      <c r="AGA149" s="609"/>
      <c r="AGB149" s="609"/>
      <c r="AGC149" s="609"/>
      <c r="AGD149" s="609"/>
      <c r="AGE149" s="609"/>
      <c r="AGF149" s="609"/>
      <c r="AGG149" s="609"/>
      <c r="AGH149" s="609"/>
      <c r="AGI149" s="609"/>
      <c r="AGJ149" s="609"/>
      <c r="AGK149" s="609"/>
      <c r="AGL149" s="609"/>
      <c r="AGM149" s="609"/>
      <c r="AGN149" s="609"/>
      <c r="AGO149" s="609"/>
      <c r="AGP149" s="609"/>
      <c r="AGQ149" s="609"/>
      <c r="AGR149" s="609"/>
      <c r="AGS149" s="609"/>
      <c r="AGT149" s="609"/>
      <c r="AGU149" s="609"/>
      <c r="AGV149" s="609"/>
      <c r="AGW149" s="609"/>
      <c r="AGX149" s="609"/>
      <c r="AGY149" s="609"/>
      <c r="AGZ149" s="609"/>
      <c r="AHA149" s="609"/>
      <c r="AHB149" s="609"/>
      <c r="AHC149" s="609"/>
      <c r="AHD149" s="609"/>
      <c r="AHE149" s="609"/>
      <c r="AHF149" s="609"/>
      <c r="AHG149" s="609"/>
      <c r="AHH149" s="609"/>
      <c r="AHI149" s="609"/>
      <c r="AHJ149" s="609"/>
      <c r="AHK149" s="609"/>
      <c r="AHL149" s="609"/>
      <c r="AHM149" s="609"/>
      <c r="AHN149" s="609"/>
      <c r="AHO149" s="609"/>
      <c r="AHP149" s="609"/>
      <c r="AHQ149" s="609"/>
      <c r="AHR149" s="609"/>
      <c r="AHS149" s="609"/>
      <c r="AHT149" s="609"/>
      <c r="AHU149" s="609"/>
      <c r="AHV149" s="609"/>
      <c r="AHW149" s="609"/>
      <c r="AHX149" s="609"/>
      <c r="AHY149" s="609"/>
      <c r="AHZ149" s="609"/>
      <c r="AIA149" s="609"/>
      <c r="AIB149" s="609"/>
      <c r="AIC149" s="609"/>
      <c r="AID149" s="609"/>
      <c r="AIE149" s="609"/>
      <c r="AIF149" s="609"/>
      <c r="AIG149" s="609"/>
      <c r="AIH149" s="609"/>
      <c r="AII149" s="609"/>
      <c r="AIJ149" s="609"/>
      <c r="AIK149" s="609"/>
      <c r="AIL149" s="609"/>
      <c r="AIM149" s="609"/>
      <c r="AIN149" s="609"/>
      <c r="AIO149" s="609"/>
      <c r="AIP149" s="609"/>
      <c r="AIQ149" s="609"/>
      <c r="AIR149" s="609"/>
      <c r="AIS149" s="609"/>
      <c r="AIT149" s="609"/>
      <c r="AIU149" s="609"/>
      <c r="AIV149" s="609"/>
      <c r="AIW149" s="609"/>
      <c r="AIX149" s="609"/>
      <c r="AIY149" s="609"/>
      <c r="AIZ149" s="609"/>
      <c r="AJA149" s="609"/>
      <c r="AJB149" s="609"/>
      <c r="AJC149" s="609"/>
      <c r="AJD149" s="609"/>
      <c r="AJE149" s="609"/>
      <c r="AJF149" s="609"/>
      <c r="AJG149" s="609"/>
      <c r="AJH149" s="609"/>
      <c r="AJI149" s="609"/>
      <c r="AJJ149" s="609"/>
      <c r="AJK149" s="609"/>
      <c r="AJL149" s="609"/>
      <c r="AJM149" s="609"/>
      <c r="AJN149" s="609"/>
      <c r="AJO149" s="609"/>
      <c r="AJP149" s="609"/>
      <c r="AJQ149" s="609"/>
      <c r="AJR149" s="609"/>
      <c r="AJS149" s="609"/>
      <c r="AJT149" s="609"/>
      <c r="AJU149" s="609"/>
      <c r="AJV149" s="609"/>
      <c r="AJW149" s="609"/>
      <c r="AJX149" s="609"/>
      <c r="AJY149" s="609"/>
      <c r="AJZ149" s="609"/>
      <c r="AKA149" s="609"/>
      <c r="AKB149" s="609"/>
      <c r="AKC149" s="609"/>
      <c r="AKD149" s="609"/>
      <c r="AKE149" s="609"/>
      <c r="AKF149" s="609"/>
      <c r="AKG149" s="609"/>
      <c r="AKH149" s="609"/>
      <c r="AKI149" s="609"/>
      <c r="AKJ149" s="609"/>
      <c r="AKK149" s="609"/>
      <c r="AKL149" s="609"/>
      <c r="AKM149" s="609"/>
      <c r="AKN149" s="609"/>
      <c r="AKO149" s="609"/>
      <c r="AKP149" s="609"/>
      <c r="AKQ149" s="609"/>
      <c r="AKR149" s="609"/>
      <c r="AKS149" s="609"/>
      <c r="AKT149" s="609"/>
      <c r="AKU149" s="609"/>
      <c r="AKV149" s="609"/>
      <c r="AKW149" s="609"/>
      <c r="AKX149" s="609"/>
      <c r="AKY149" s="609"/>
      <c r="AKZ149" s="609"/>
      <c r="ALA149" s="609"/>
      <c r="ALB149" s="609"/>
      <c r="ALC149" s="609"/>
      <c r="ALD149" s="609"/>
      <c r="ALE149" s="609"/>
      <c r="ALF149" s="609"/>
      <c r="ALG149" s="609"/>
      <c r="ALH149" s="609"/>
      <c r="ALI149" s="609"/>
      <c r="ALJ149" s="609"/>
      <c r="ALK149" s="609"/>
      <c r="ALL149" s="609"/>
      <c r="ALM149" s="609"/>
      <c r="ALN149" s="609"/>
      <c r="ALO149" s="609"/>
      <c r="ALP149" s="609"/>
      <c r="ALQ149" s="609"/>
      <c r="ALR149" s="609"/>
      <c r="ALS149" s="609"/>
      <c r="ALT149" s="609"/>
      <c r="ALU149" s="609"/>
      <c r="ALV149" s="609"/>
      <c r="ALW149" s="609"/>
      <c r="ALX149" s="609"/>
      <c r="ALY149" s="609"/>
      <c r="ALZ149" s="609"/>
      <c r="AMA149" s="609"/>
      <c r="AMB149" s="609"/>
      <c r="AMC149" s="609"/>
      <c r="AMD149" s="609"/>
      <c r="AME149" s="609"/>
      <c r="AMF149" s="609"/>
      <c r="AMG149" s="609"/>
      <c r="AMH149" s="609"/>
      <c r="AMI149" s="609"/>
      <c r="AMJ149" s="609"/>
      <c r="AMK149" s="609"/>
      <c r="AML149" s="609"/>
      <c r="AMM149" s="609"/>
      <c r="AMN149" s="609"/>
      <c r="AMO149" s="609"/>
      <c r="AMP149" s="609"/>
      <c r="AMQ149" s="609"/>
      <c r="AMR149" s="609"/>
      <c r="AMS149" s="609"/>
      <c r="AMT149" s="609"/>
      <c r="AMU149" s="609"/>
      <c r="AMV149" s="609"/>
      <c r="AMW149" s="609"/>
      <c r="AMX149" s="609"/>
      <c r="AMY149" s="609"/>
      <c r="AMZ149" s="609"/>
      <c r="ANA149" s="609"/>
      <c r="ANB149" s="609"/>
      <c r="ANC149" s="609"/>
      <c r="AND149" s="609"/>
      <c r="ANE149" s="609"/>
      <c r="ANF149" s="609"/>
      <c r="ANG149" s="609"/>
      <c r="ANH149" s="609"/>
      <c r="ANI149" s="609"/>
      <c r="ANJ149" s="609"/>
      <c r="ANK149" s="609"/>
      <c r="ANL149" s="609"/>
      <c r="ANM149" s="609"/>
      <c r="ANN149" s="609"/>
      <c r="ANO149" s="609"/>
      <c r="ANP149" s="609"/>
      <c r="ANQ149" s="609"/>
      <c r="ANR149" s="609"/>
      <c r="ANS149" s="609"/>
      <c r="ANT149" s="609"/>
      <c r="ANU149" s="609"/>
      <c r="ANV149" s="609"/>
      <c r="ANW149" s="609"/>
      <c r="ANX149" s="609"/>
      <c r="ANY149" s="609"/>
      <c r="ANZ149" s="609"/>
      <c r="AOA149" s="609"/>
      <c r="AOB149" s="609"/>
      <c r="AOC149" s="609"/>
      <c r="AOD149" s="609"/>
      <c r="AOE149" s="609"/>
      <c r="AOF149" s="609"/>
      <c r="AOG149" s="609"/>
      <c r="AOH149" s="609"/>
      <c r="AOI149" s="609"/>
      <c r="AOJ149" s="609"/>
      <c r="AOK149" s="609"/>
      <c r="AOL149" s="609"/>
      <c r="AOM149" s="609"/>
      <c r="AON149" s="609"/>
      <c r="AOO149" s="609"/>
      <c r="AOP149" s="609"/>
      <c r="AOQ149" s="609"/>
      <c r="AOR149" s="609"/>
      <c r="AOS149" s="609"/>
      <c r="AOT149" s="609"/>
      <c r="AOU149" s="609"/>
      <c r="AOV149" s="609"/>
      <c r="AOW149" s="609"/>
      <c r="AOX149" s="609"/>
      <c r="AOY149" s="609"/>
      <c r="AOZ149" s="609"/>
      <c r="APA149" s="609"/>
      <c r="APB149" s="609"/>
      <c r="APC149" s="609"/>
      <c r="APD149" s="609"/>
      <c r="APE149" s="609"/>
      <c r="APF149" s="609"/>
      <c r="APG149" s="609"/>
      <c r="APH149" s="609"/>
      <c r="API149" s="609"/>
      <c r="APJ149" s="609"/>
      <c r="APK149" s="609"/>
      <c r="APL149" s="609"/>
      <c r="APM149" s="609"/>
      <c r="APN149" s="609"/>
      <c r="APO149" s="609"/>
      <c r="APP149" s="609"/>
      <c r="APQ149" s="609"/>
      <c r="APR149" s="609"/>
      <c r="APS149" s="609"/>
      <c r="APT149" s="609"/>
      <c r="APU149" s="609"/>
      <c r="APV149" s="609"/>
      <c r="APW149" s="609"/>
      <c r="APX149" s="609"/>
      <c r="APY149" s="609"/>
      <c r="APZ149" s="609"/>
      <c r="AQA149" s="609"/>
      <c r="AQB149" s="609"/>
      <c r="AQC149" s="609"/>
      <c r="AQD149" s="609"/>
      <c r="AQE149" s="609"/>
      <c r="AQF149" s="609"/>
      <c r="AQG149" s="609"/>
      <c r="AQH149" s="609"/>
      <c r="AQI149" s="609"/>
      <c r="AQJ149" s="609"/>
      <c r="AQK149" s="609"/>
      <c r="AQL149" s="609"/>
      <c r="AQM149" s="609"/>
      <c r="AQN149" s="609"/>
      <c r="AQO149" s="609"/>
      <c r="AQP149" s="609"/>
      <c r="AQQ149" s="609"/>
      <c r="AQR149" s="609"/>
      <c r="AQS149" s="609"/>
      <c r="AQT149" s="609"/>
      <c r="AQU149" s="609"/>
      <c r="AQV149" s="609"/>
      <c r="AQW149" s="609"/>
      <c r="AQX149" s="609"/>
      <c r="AQY149" s="609"/>
      <c r="AQZ149" s="609"/>
      <c r="ARA149" s="609"/>
      <c r="ARB149" s="609"/>
      <c r="ARC149" s="609"/>
      <c r="ARD149" s="609"/>
      <c r="ARE149" s="609"/>
      <c r="ARF149" s="609"/>
      <c r="ARG149" s="609"/>
      <c r="ARH149" s="609"/>
      <c r="ARI149" s="609"/>
      <c r="ARJ149" s="609"/>
      <c r="ARK149" s="609"/>
      <c r="ARL149" s="609"/>
      <c r="ARM149" s="609"/>
      <c r="ARN149" s="609"/>
      <c r="ARO149" s="609"/>
      <c r="ARP149" s="609"/>
      <c r="ARQ149" s="609"/>
      <c r="ARR149" s="609"/>
      <c r="ARS149" s="609"/>
      <c r="ART149" s="609"/>
      <c r="ARU149" s="609"/>
      <c r="ARV149" s="609"/>
      <c r="ARW149" s="609"/>
      <c r="ARX149" s="609"/>
      <c r="ARY149" s="609"/>
      <c r="ARZ149" s="609"/>
      <c r="ASA149" s="609"/>
      <c r="ASB149" s="609"/>
      <c r="ASC149" s="609"/>
      <c r="ASD149" s="609"/>
      <c r="ASE149" s="609"/>
      <c r="ASF149" s="609"/>
      <c r="ASG149" s="609"/>
      <c r="ASH149" s="609"/>
      <c r="ASI149" s="609"/>
      <c r="ASJ149" s="609"/>
      <c r="ASK149" s="609"/>
      <c r="ASL149" s="609"/>
      <c r="ASM149" s="609"/>
      <c r="ASN149" s="609"/>
      <c r="ASO149" s="609"/>
      <c r="ASP149" s="609"/>
      <c r="ASQ149" s="609"/>
      <c r="ASR149" s="609"/>
      <c r="ASS149" s="609"/>
      <c r="AST149" s="609"/>
      <c r="ASU149" s="609"/>
      <c r="ASV149" s="609"/>
      <c r="ASW149" s="609"/>
      <c r="ASX149" s="609"/>
      <c r="ASY149" s="609"/>
      <c r="ASZ149" s="609"/>
      <c r="ATA149" s="609"/>
      <c r="ATB149" s="609"/>
      <c r="ATC149" s="609"/>
      <c r="ATD149" s="609"/>
      <c r="ATE149" s="609"/>
      <c r="ATF149" s="609"/>
      <c r="ATG149" s="609"/>
      <c r="ATH149" s="609"/>
      <c r="ATI149" s="609"/>
      <c r="ATJ149" s="609"/>
      <c r="ATK149" s="609"/>
      <c r="ATL149" s="609"/>
      <c r="ATM149" s="609"/>
      <c r="ATN149" s="609"/>
      <c r="ATO149" s="609"/>
      <c r="ATP149" s="609"/>
      <c r="ATQ149" s="609"/>
      <c r="ATR149" s="609"/>
      <c r="ATS149" s="609"/>
      <c r="ATT149" s="609"/>
      <c r="ATU149" s="609"/>
      <c r="ATV149" s="609"/>
      <c r="ATW149" s="609"/>
      <c r="ATX149" s="609"/>
      <c r="ATY149" s="609"/>
      <c r="ATZ149" s="609"/>
      <c r="AUA149" s="609"/>
      <c r="AUB149" s="609"/>
      <c r="AUC149" s="609"/>
      <c r="AUD149" s="609"/>
      <c r="AUE149" s="609"/>
      <c r="AUF149" s="609"/>
      <c r="AUG149" s="609"/>
      <c r="AUH149" s="609"/>
      <c r="AUI149" s="609"/>
      <c r="AUJ149" s="609"/>
      <c r="AUK149" s="609"/>
      <c r="AUL149" s="609"/>
      <c r="AUM149" s="609"/>
      <c r="AUN149" s="609"/>
      <c r="AUO149" s="609"/>
      <c r="AUP149" s="609"/>
      <c r="AUQ149" s="609"/>
      <c r="AUR149" s="609"/>
      <c r="AUS149" s="609"/>
      <c r="AUT149" s="609"/>
      <c r="AUU149" s="609"/>
      <c r="AUV149" s="609"/>
      <c r="AUW149" s="609"/>
      <c r="AUX149" s="609"/>
      <c r="AUY149" s="609"/>
      <c r="AUZ149" s="609"/>
      <c r="AVA149" s="609"/>
      <c r="AVB149" s="609"/>
      <c r="AVC149" s="609"/>
      <c r="AVD149" s="609"/>
      <c r="AVE149" s="609"/>
      <c r="AVF149" s="609"/>
      <c r="AVG149" s="609"/>
      <c r="AVH149" s="609"/>
      <c r="AVI149" s="609"/>
      <c r="AVJ149" s="609"/>
      <c r="AVK149" s="609"/>
      <c r="AVL149" s="609"/>
      <c r="AVM149" s="609"/>
      <c r="AVN149" s="609"/>
      <c r="AVO149" s="609"/>
      <c r="AVP149" s="609"/>
      <c r="AVQ149" s="609"/>
      <c r="AVR149" s="609"/>
      <c r="AVS149" s="609"/>
      <c r="AVT149" s="609"/>
      <c r="AVU149" s="609"/>
      <c r="AVV149" s="609"/>
      <c r="AVW149" s="609"/>
      <c r="AVX149" s="609"/>
      <c r="AVY149" s="609"/>
      <c r="AVZ149" s="609"/>
      <c r="AWA149" s="609"/>
      <c r="AWB149" s="609"/>
      <c r="AWC149" s="609"/>
      <c r="AWD149" s="609"/>
      <c r="AWE149" s="609"/>
      <c r="AWF149" s="609"/>
      <c r="AWG149" s="609"/>
      <c r="AWH149" s="609"/>
      <c r="AWI149" s="609"/>
      <c r="AWJ149" s="609"/>
      <c r="AWK149" s="609"/>
      <c r="AWL149" s="609"/>
      <c r="AWM149" s="609"/>
      <c r="AWN149" s="609"/>
      <c r="AWO149" s="609"/>
      <c r="AWP149" s="609"/>
      <c r="AWQ149" s="609"/>
      <c r="AWR149" s="609"/>
      <c r="AWS149" s="609"/>
      <c r="AWT149" s="609"/>
      <c r="AWU149" s="609"/>
      <c r="AWV149" s="609"/>
      <c r="AWW149" s="609"/>
      <c r="AWX149" s="609"/>
      <c r="AWY149" s="609"/>
      <c r="AWZ149" s="609"/>
      <c r="AXA149" s="609"/>
      <c r="AXB149" s="609"/>
      <c r="AXC149" s="609"/>
      <c r="AXD149" s="609"/>
      <c r="AXE149" s="609"/>
      <c r="AXF149" s="609"/>
      <c r="AXG149" s="609"/>
      <c r="AXH149" s="609"/>
      <c r="AXI149" s="609"/>
      <c r="AXJ149" s="609"/>
      <c r="AXK149" s="609"/>
      <c r="AXL149" s="609"/>
      <c r="AXM149" s="609"/>
      <c r="AXN149" s="609"/>
      <c r="AXO149" s="609"/>
      <c r="AXP149" s="609"/>
      <c r="AXQ149" s="609"/>
      <c r="AXR149" s="609"/>
      <c r="AXS149" s="609"/>
      <c r="AXT149" s="609"/>
      <c r="AXU149" s="609"/>
      <c r="AXV149" s="609"/>
      <c r="AXW149" s="609"/>
      <c r="AXX149" s="609"/>
      <c r="AXY149" s="609"/>
      <c r="AXZ149" s="609"/>
      <c r="AYA149" s="609"/>
      <c r="AYB149" s="609"/>
      <c r="AYC149" s="609"/>
      <c r="AYD149" s="609"/>
      <c r="AYE149" s="609"/>
      <c r="AYF149" s="609"/>
      <c r="AYG149" s="609"/>
      <c r="AYH149" s="609"/>
      <c r="AYI149" s="609"/>
      <c r="AYJ149" s="609"/>
      <c r="AYK149" s="609"/>
      <c r="AYL149" s="609"/>
      <c r="AYM149" s="609"/>
      <c r="AYN149" s="609"/>
      <c r="AYO149" s="609"/>
      <c r="AYP149" s="609"/>
      <c r="AYQ149" s="609"/>
      <c r="AYR149" s="609"/>
      <c r="AYS149" s="609"/>
      <c r="AYT149" s="609"/>
      <c r="AYU149" s="609"/>
      <c r="AYV149" s="609"/>
      <c r="AYW149" s="609"/>
      <c r="AYX149" s="609"/>
      <c r="AYY149" s="609"/>
      <c r="AYZ149" s="609"/>
      <c r="AZA149" s="609"/>
      <c r="AZB149" s="609"/>
      <c r="AZC149" s="609"/>
      <c r="AZD149" s="609"/>
      <c r="AZE149" s="609"/>
      <c r="AZF149" s="609"/>
      <c r="AZG149" s="609"/>
      <c r="AZH149" s="609"/>
      <c r="AZI149" s="609"/>
      <c r="AZJ149" s="609"/>
      <c r="AZK149" s="609"/>
      <c r="AZL149" s="609"/>
      <c r="AZM149" s="609"/>
      <c r="AZN149" s="609"/>
      <c r="AZO149" s="609"/>
      <c r="AZP149" s="609"/>
      <c r="AZQ149" s="609"/>
      <c r="AZR149" s="609"/>
      <c r="AZS149" s="609"/>
      <c r="AZT149" s="609"/>
      <c r="AZU149" s="609"/>
      <c r="AZV149" s="609"/>
      <c r="AZW149" s="609"/>
      <c r="AZX149" s="609"/>
      <c r="AZY149" s="609"/>
      <c r="AZZ149" s="609"/>
      <c r="BAA149" s="609"/>
      <c r="BAB149" s="609"/>
      <c r="BAC149" s="609"/>
      <c r="BAD149" s="609"/>
      <c r="BAE149" s="609"/>
      <c r="BAF149" s="609"/>
      <c r="BAG149" s="609"/>
      <c r="BAH149" s="609"/>
      <c r="BAI149" s="609"/>
      <c r="BAJ149" s="609"/>
      <c r="BAK149" s="609"/>
      <c r="BAL149" s="609"/>
      <c r="BAM149" s="609"/>
      <c r="BAN149" s="609"/>
      <c r="BAO149" s="609"/>
      <c r="BAP149" s="609"/>
      <c r="BAQ149" s="609"/>
      <c r="BAR149" s="609"/>
      <c r="BAS149" s="609"/>
      <c r="BAT149" s="609"/>
      <c r="BAU149" s="609"/>
      <c r="BAV149" s="609"/>
      <c r="BAW149" s="609"/>
      <c r="BAX149" s="609"/>
      <c r="BAY149" s="609"/>
      <c r="BAZ149" s="609"/>
      <c r="BBA149" s="609"/>
      <c r="BBB149" s="609"/>
      <c r="BBC149" s="609"/>
      <c r="BBD149" s="609"/>
      <c r="BBE149" s="609"/>
      <c r="BBF149" s="609"/>
      <c r="BBG149" s="609"/>
      <c r="BBH149" s="609"/>
      <c r="BBI149" s="609"/>
      <c r="BBJ149" s="609"/>
      <c r="BBK149" s="609"/>
      <c r="BBL149" s="609"/>
      <c r="BBM149" s="609"/>
      <c r="BBN149" s="609"/>
      <c r="BBO149" s="609"/>
      <c r="BBP149" s="609"/>
      <c r="BBQ149" s="609"/>
      <c r="BBR149" s="609"/>
      <c r="BBS149" s="609"/>
      <c r="BBT149" s="609"/>
      <c r="BBU149" s="609"/>
      <c r="BBV149" s="609"/>
      <c r="BBW149" s="609"/>
      <c r="BBX149" s="609"/>
      <c r="BBY149" s="609"/>
      <c r="BBZ149" s="609"/>
      <c r="BCA149" s="609"/>
      <c r="BCB149" s="609"/>
      <c r="BCC149" s="609"/>
      <c r="BCD149" s="609"/>
      <c r="BCE149" s="609"/>
      <c r="BCF149" s="609"/>
      <c r="BCG149" s="609"/>
      <c r="BCH149" s="609"/>
      <c r="BCI149" s="609"/>
      <c r="BCJ149" s="609"/>
      <c r="BCK149" s="609"/>
      <c r="BCL149" s="609"/>
      <c r="BCM149" s="609"/>
      <c r="BCN149" s="609"/>
      <c r="BCO149" s="609"/>
      <c r="BCP149" s="609"/>
      <c r="BCQ149" s="609"/>
      <c r="BCR149" s="609"/>
      <c r="BCS149" s="609"/>
      <c r="BCT149" s="609"/>
      <c r="BCU149" s="609"/>
      <c r="BCV149" s="609"/>
      <c r="BCW149" s="609"/>
      <c r="BCX149" s="609"/>
      <c r="BCY149" s="609"/>
      <c r="BCZ149" s="609"/>
      <c r="BDA149" s="609"/>
      <c r="BDB149" s="609"/>
      <c r="BDC149" s="609"/>
      <c r="BDD149" s="609"/>
      <c r="BDE149" s="609"/>
      <c r="BDF149" s="609"/>
      <c r="BDG149" s="609"/>
      <c r="BDH149" s="609"/>
      <c r="BDI149" s="609"/>
      <c r="BDJ149" s="609"/>
      <c r="BDK149" s="609"/>
      <c r="BDL149" s="609"/>
      <c r="BDM149" s="609"/>
      <c r="BDN149" s="609"/>
      <c r="BDO149" s="609"/>
      <c r="BDP149" s="609"/>
      <c r="BDQ149" s="609"/>
      <c r="BDR149" s="609"/>
      <c r="BDS149" s="609"/>
      <c r="BDT149" s="609"/>
      <c r="BDU149" s="609"/>
      <c r="BDV149" s="609"/>
      <c r="BDW149" s="609"/>
      <c r="BDX149" s="609"/>
      <c r="BDY149" s="609"/>
      <c r="BDZ149" s="609"/>
      <c r="BEA149" s="609"/>
      <c r="BEB149" s="609"/>
      <c r="BEC149" s="609"/>
      <c r="BED149" s="609"/>
      <c r="BEE149" s="609"/>
      <c r="BEF149" s="609"/>
      <c r="BEG149" s="609"/>
      <c r="BEH149" s="609"/>
      <c r="BEI149" s="609"/>
      <c r="BEJ149" s="609"/>
      <c r="BEK149" s="609"/>
      <c r="BEL149" s="609"/>
      <c r="BEM149" s="609"/>
      <c r="BEN149" s="609"/>
      <c r="BEO149" s="609"/>
      <c r="BEP149" s="609"/>
      <c r="BEQ149" s="609"/>
      <c r="BER149" s="609"/>
      <c r="BES149" s="609"/>
      <c r="BET149" s="609"/>
      <c r="BEU149" s="609"/>
      <c r="BEV149" s="609"/>
      <c r="BEW149" s="609"/>
      <c r="BEX149" s="609"/>
      <c r="BEY149" s="609"/>
      <c r="BEZ149" s="609"/>
      <c r="BFA149" s="609"/>
      <c r="BFB149" s="609"/>
      <c r="BFC149" s="609"/>
      <c r="BFD149" s="609"/>
      <c r="BFE149" s="609"/>
      <c r="BFF149" s="609"/>
      <c r="BFG149" s="609"/>
      <c r="BFH149" s="609"/>
      <c r="BFI149" s="609"/>
      <c r="BFJ149" s="609"/>
      <c r="BFK149" s="609"/>
      <c r="BFL149" s="609"/>
      <c r="BFM149" s="609"/>
      <c r="BFN149" s="609"/>
      <c r="BFO149" s="609"/>
      <c r="BFP149" s="609"/>
      <c r="BFQ149" s="609"/>
      <c r="BFR149" s="609"/>
      <c r="BFS149" s="609"/>
      <c r="BFT149" s="609"/>
      <c r="BFU149" s="609"/>
      <c r="BFV149" s="609"/>
      <c r="BFW149" s="609"/>
      <c r="BFX149" s="609"/>
      <c r="BFY149" s="609"/>
      <c r="BFZ149" s="609"/>
      <c r="BGA149" s="609"/>
      <c r="BGB149" s="609"/>
      <c r="BGC149" s="609"/>
      <c r="BGD149" s="609"/>
      <c r="BGE149" s="609"/>
      <c r="BGF149" s="609"/>
      <c r="BGG149" s="609"/>
      <c r="BGH149" s="609"/>
      <c r="BGI149" s="609"/>
      <c r="BGJ149" s="609"/>
      <c r="BGK149" s="609"/>
      <c r="BGL149" s="609"/>
      <c r="BGM149" s="609"/>
      <c r="BGN149" s="609"/>
      <c r="BGO149" s="609"/>
      <c r="BGP149" s="609"/>
      <c r="BGQ149" s="609"/>
      <c r="BGR149" s="609"/>
      <c r="BGS149" s="609"/>
      <c r="BGT149" s="609"/>
      <c r="BGU149" s="609"/>
      <c r="BGV149" s="609"/>
      <c r="BGW149" s="609"/>
      <c r="BGX149" s="609"/>
      <c r="BGY149" s="609"/>
      <c r="BGZ149" s="609"/>
      <c r="BHA149" s="609"/>
      <c r="BHB149" s="609"/>
      <c r="BHC149" s="609"/>
      <c r="BHD149" s="609"/>
      <c r="BHE149" s="609"/>
      <c r="BHF149" s="609"/>
      <c r="BHG149" s="609"/>
      <c r="BHH149" s="609"/>
      <c r="BHI149" s="609"/>
      <c r="BHJ149" s="609"/>
      <c r="BHK149" s="609"/>
      <c r="BHL149" s="609"/>
      <c r="BHM149" s="609"/>
      <c r="BHN149" s="609"/>
      <c r="BHO149" s="609"/>
      <c r="BHP149" s="609"/>
      <c r="BHQ149" s="609"/>
      <c r="BHR149" s="609"/>
      <c r="BHS149" s="609"/>
      <c r="BHT149" s="609"/>
      <c r="BHU149" s="609"/>
      <c r="BHV149" s="609"/>
      <c r="BHW149" s="609"/>
      <c r="BHX149" s="609"/>
      <c r="BHY149" s="609"/>
      <c r="BHZ149" s="609"/>
      <c r="BIA149" s="609"/>
      <c r="BIB149" s="609"/>
      <c r="BIC149" s="609"/>
      <c r="BID149" s="609"/>
      <c r="BIE149" s="609"/>
      <c r="BIF149" s="609"/>
      <c r="BIG149" s="609"/>
      <c r="BIH149" s="609"/>
      <c r="BII149" s="609"/>
      <c r="BIJ149" s="609"/>
      <c r="BIK149" s="609"/>
      <c r="BIL149" s="609"/>
      <c r="BIM149" s="609"/>
      <c r="BIN149" s="609"/>
      <c r="BIO149" s="609"/>
      <c r="BIP149" s="609"/>
      <c r="BIQ149" s="609"/>
      <c r="BIR149" s="609"/>
      <c r="BIS149" s="609"/>
      <c r="BIT149" s="609"/>
      <c r="BIU149" s="609"/>
      <c r="BIV149" s="609"/>
      <c r="BIW149" s="609"/>
      <c r="BIX149" s="609"/>
      <c r="BIY149" s="609"/>
      <c r="BIZ149" s="609"/>
      <c r="BJA149" s="609"/>
      <c r="BJB149" s="609"/>
      <c r="BJC149" s="609"/>
      <c r="BJD149" s="609"/>
      <c r="BJE149" s="609"/>
      <c r="BJF149" s="609"/>
      <c r="BJG149" s="609"/>
      <c r="BJH149" s="609"/>
      <c r="BJI149" s="609"/>
      <c r="BJJ149" s="609"/>
      <c r="BJK149" s="609"/>
      <c r="BJL149" s="609"/>
      <c r="BJM149" s="609"/>
      <c r="BJN149" s="609"/>
      <c r="BJO149" s="609"/>
      <c r="BJP149" s="609"/>
      <c r="BJQ149" s="609"/>
      <c r="BJR149" s="609"/>
      <c r="BJS149" s="609"/>
      <c r="BJT149" s="609"/>
      <c r="BJU149" s="609"/>
      <c r="BJV149" s="609"/>
      <c r="BJW149" s="609"/>
      <c r="BJX149" s="609"/>
      <c r="BJY149" s="609"/>
      <c r="BJZ149" s="609"/>
      <c r="BKA149" s="609"/>
      <c r="BKB149" s="609"/>
      <c r="BKC149" s="609"/>
      <c r="BKD149" s="609"/>
      <c r="BKE149" s="609"/>
      <c r="BKF149" s="609"/>
      <c r="BKG149" s="609"/>
      <c r="BKH149" s="609"/>
      <c r="BKI149" s="609"/>
      <c r="BKJ149" s="609"/>
      <c r="BKK149" s="609"/>
      <c r="BKL149" s="609"/>
      <c r="BKM149" s="609"/>
      <c r="BKN149" s="609"/>
      <c r="BKO149" s="609"/>
      <c r="BKP149" s="609"/>
      <c r="BKQ149" s="609"/>
      <c r="BKR149" s="609"/>
      <c r="BKS149" s="609"/>
      <c r="BKT149" s="609"/>
      <c r="BKU149" s="609"/>
      <c r="BKV149" s="609"/>
      <c r="BKW149" s="609"/>
      <c r="BKX149" s="609"/>
      <c r="BKY149" s="609"/>
      <c r="BKZ149" s="609"/>
      <c r="BLA149" s="609"/>
      <c r="BLB149" s="609"/>
      <c r="BLC149" s="609"/>
      <c r="BLD149" s="609"/>
      <c r="BLE149" s="609"/>
      <c r="BLF149" s="609"/>
      <c r="BLG149" s="609"/>
      <c r="BLH149" s="609"/>
      <c r="BLI149" s="609"/>
      <c r="BLJ149" s="609"/>
      <c r="BLK149" s="609"/>
      <c r="BLL149" s="609"/>
      <c r="BLM149" s="609"/>
      <c r="BLN149" s="609"/>
      <c r="BLO149" s="609"/>
      <c r="BLP149" s="609"/>
      <c r="BLQ149" s="609"/>
      <c r="BLR149" s="609"/>
      <c r="BLS149" s="609"/>
      <c r="BLT149" s="609"/>
      <c r="BLU149" s="609"/>
      <c r="BLV149" s="609"/>
      <c r="BLW149" s="609"/>
      <c r="BLX149" s="609"/>
      <c r="BLY149" s="609"/>
      <c r="BLZ149" s="609"/>
      <c r="BMA149" s="609"/>
      <c r="BMB149" s="609"/>
      <c r="BMC149" s="609"/>
      <c r="BMD149" s="609"/>
      <c r="BME149" s="609"/>
      <c r="BMF149" s="609"/>
      <c r="BMG149" s="609"/>
      <c r="BMH149" s="609"/>
      <c r="BMI149" s="609"/>
      <c r="BMJ149" s="609"/>
      <c r="BMK149" s="609"/>
      <c r="BML149" s="609"/>
      <c r="BMM149" s="609"/>
      <c r="BMN149" s="609"/>
      <c r="BMO149" s="609"/>
      <c r="BMP149" s="609"/>
      <c r="BMQ149" s="609"/>
      <c r="BMR149" s="609"/>
      <c r="BMS149" s="609"/>
      <c r="BMT149" s="609"/>
      <c r="BMU149" s="609"/>
      <c r="BMV149" s="609"/>
      <c r="BMW149" s="609"/>
      <c r="BMX149" s="609"/>
      <c r="BMY149" s="609"/>
      <c r="BMZ149" s="609"/>
      <c r="BNA149" s="609"/>
      <c r="BNB149" s="609"/>
      <c r="BNC149" s="609"/>
      <c r="BND149" s="609"/>
      <c r="BNE149" s="609"/>
      <c r="BNF149" s="609"/>
      <c r="BNG149" s="609"/>
      <c r="BNH149" s="609"/>
      <c r="BNI149" s="609"/>
      <c r="BNJ149" s="609"/>
      <c r="BNK149" s="609"/>
      <c r="BNL149" s="609"/>
      <c r="BNM149" s="609"/>
      <c r="BNN149" s="609"/>
      <c r="BNO149" s="609"/>
      <c r="BNP149" s="609"/>
      <c r="BNQ149" s="609"/>
      <c r="BNR149" s="609"/>
      <c r="BNS149" s="609"/>
      <c r="BNT149" s="609"/>
      <c r="BNU149" s="609"/>
      <c r="BNV149" s="609"/>
      <c r="BNW149" s="609"/>
      <c r="BNX149" s="609"/>
      <c r="BNY149" s="609"/>
      <c r="BNZ149" s="609"/>
      <c r="BOA149" s="609"/>
      <c r="BOB149" s="609"/>
      <c r="BOC149" s="609"/>
      <c r="BOD149" s="609"/>
      <c r="BOE149" s="609"/>
      <c r="BOF149" s="609"/>
      <c r="BOG149" s="609"/>
      <c r="BOH149" s="609"/>
      <c r="BOI149" s="609"/>
      <c r="BOJ149" s="609"/>
      <c r="BOK149" s="609"/>
      <c r="BOL149" s="609"/>
      <c r="BOM149" s="609"/>
      <c r="BON149" s="609"/>
      <c r="BOO149" s="609"/>
      <c r="BOP149" s="609"/>
      <c r="BOQ149" s="609"/>
      <c r="BOR149" s="609"/>
      <c r="BOS149" s="609"/>
      <c r="BOT149" s="609"/>
      <c r="BOU149" s="609"/>
      <c r="BOV149" s="609"/>
      <c r="BOW149" s="609"/>
      <c r="BOX149" s="609"/>
      <c r="BOY149" s="609"/>
      <c r="BOZ149" s="609"/>
      <c r="BPA149" s="609"/>
      <c r="BPB149" s="609"/>
      <c r="BPC149" s="609"/>
      <c r="BPD149" s="609"/>
      <c r="BPE149" s="609"/>
      <c r="BPF149" s="609"/>
      <c r="BPG149" s="609"/>
      <c r="BPH149" s="609"/>
      <c r="BPI149" s="609"/>
      <c r="BPJ149" s="609"/>
      <c r="BPK149" s="609"/>
      <c r="BPL149" s="609"/>
      <c r="BPM149" s="609"/>
      <c r="BPN149" s="609"/>
      <c r="BPO149" s="609"/>
      <c r="BPP149" s="609"/>
      <c r="BPQ149" s="609"/>
      <c r="BPR149" s="609"/>
      <c r="BPS149" s="609"/>
      <c r="BPT149" s="609"/>
      <c r="BPU149" s="609"/>
      <c r="BPV149" s="609"/>
      <c r="BPW149" s="609"/>
      <c r="BPX149" s="609"/>
      <c r="BPY149" s="609"/>
      <c r="BPZ149" s="609"/>
      <c r="BQA149" s="609"/>
      <c r="BQB149" s="609"/>
      <c r="BQC149" s="609"/>
      <c r="BQD149" s="609"/>
      <c r="BQE149" s="609"/>
      <c r="BQF149" s="609"/>
      <c r="BQG149" s="609"/>
      <c r="BQH149" s="609"/>
      <c r="BQI149" s="609"/>
      <c r="BQJ149" s="609"/>
      <c r="BQK149" s="609"/>
      <c r="BQL149" s="609"/>
      <c r="BQM149" s="609"/>
      <c r="BQN149" s="609"/>
      <c r="BQO149" s="609"/>
      <c r="BQP149" s="609"/>
      <c r="BQQ149" s="609"/>
      <c r="BQR149" s="609"/>
      <c r="BQS149" s="609"/>
      <c r="BQT149" s="609"/>
      <c r="BQU149" s="609"/>
      <c r="BQV149" s="609"/>
      <c r="BQW149" s="609"/>
      <c r="BQX149" s="609"/>
      <c r="BQY149" s="609"/>
      <c r="BQZ149" s="609"/>
      <c r="BRA149" s="609"/>
      <c r="BRB149" s="609"/>
      <c r="BRC149" s="609"/>
      <c r="BRD149" s="609"/>
      <c r="BRE149" s="609"/>
      <c r="BRF149" s="609"/>
      <c r="BRG149" s="609"/>
      <c r="BRH149" s="609"/>
      <c r="BRI149" s="609"/>
      <c r="BRJ149" s="609"/>
      <c r="BRK149" s="609"/>
      <c r="BRL149" s="609"/>
      <c r="BRM149" s="609"/>
      <c r="BRN149" s="609"/>
      <c r="BRO149" s="609"/>
      <c r="BRP149" s="609"/>
      <c r="BRQ149" s="609"/>
      <c r="BRR149" s="609"/>
      <c r="BRS149" s="609"/>
      <c r="BRT149" s="609"/>
      <c r="BRU149" s="609"/>
      <c r="BRV149" s="609"/>
      <c r="BRW149" s="609"/>
      <c r="BRX149" s="609"/>
      <c r="BRY149" s="609"/>
      <c r="BRZ149" s="609"/>
      <c r="BSA149" s="609"/>
      <c r="BSB149" s="609"/>
      <c r="BSC149" s="609"/>
      <c r="BSD149" s="609"/>
      <c r="BSE149" s="609"/>
      <c r="BSF149" s="609"/>
      <c r="BSG149" s="609"/>
      <c r="BSH149" s="609"/>
      <c r="BSI149" s="609"/>
      <c r="BSJ149" s="609"/>
      <c r="BSK149" s="609"/>
      <c r="BSL149" s="609"/>
      <c r="BSM149" s="609"/>
      <c r="BSN149" s="609"/>
      <c r="BSO149" s="609"/>
      <c r="BSP149" s="609"/>
      <c r="BSQ149" s="609"/>
      <c r="BSR149" s="609"/>
      <c r="BSS149" s="609"/>
      <c r="BST149" s="609"/>
      <c r="BSU149" s="609"/>
      <c r="BSV149" s="609"/>
      <c r="BSW149" s="609"/>
      <c r="BSX149" s="609"/>
      <c r="BSY149" s="609"/>
      <c r="BSZ149" s="609"/>
      <c r="BTA149" s="609"/>
      <c r="BTB149" s="609"/>
      <c r="BTC149" s="609"/>
      <c r="BTD149" s="609"/>
      <c r="BTE149" s="609"/>
      <c r="BTF149" s="609"/>
      <c r="BTG149" s="609"/>
      <c r="BTH149" s="609"/>
      <c r="BTI149" s="609"/>
      <c r="BTJ149" s="609"/>
      <c r="BTK149" s="609"/>
      <c r="BTL149" s="609"/>
      <c r="BTM149" s="609"/>
      <c r="BTN149" s="609"/>
      <c r="BTO149" s="609"/>
      <c r="BTP149" s="609"/>
      <c r="BTQ149" s="609"/>
      <c r="BTR149" s="609"/>
      <c r="BTS149" s="609"/>
      <c r="BTT149" s="609"/>
      <c r="BTU149" s="609"/>
      <c r="BTV149" s="609"/>
      <c r="BTW149" s="609"/>
      <c r="BTX149" s="609"/>
      <c r="BTY149" s="609"/>
      <c r="BTZ149" s="609"/>
      <c r="BUA149" s="609"/>
      <c r="BUB149" s="609"/>
      <c r="BUC149" s="609"/>
      <c r="BUD149" s="609"/>
      <c r="BUE149" s="609"/>
      <c r="BUF149" s="609"/>
      <c r="BUG149" s="609"/>
      <c r="BUH149" s="609"/>
      <c r="BUI149" s="609"/>
      <c r="BUJ149" s="609"/>
      <c r="BUK149" s="609"/>
      <c r="BUL149" s="609"/>
      <c r="BUM149" s="609"/>
      <c r="BUN149" s="609"/>
      <c r="BUO149" s="609"/>
      <c r="BUP149" s="609"/>
      <c r="BUQ149" s="609"/>
      <c r="BUR149" s="609"/>
      <c r="BUS149" s="609"/>
      <c r="BUT149" s="609"/>
      <c r="BUU149" s="609"/>
      <c r="BUV149" s="609"/>
      <c r="BUW149" s="609"/>
      <c r="BUX149" s="609"/>
      <c r="BUY149" s="609"/>
      <c r="BUZ149" s="609"/>
      <c r="BVA149" s="609"/>
      <c r="BVB149" s="609"/>
      <c r="BVC149" s="609"/>
      <c r="BVD149" s="609"/>
      <c r="BVE149" s="609"/>
      <c r="BVF149" s="609"/>
      <c r="BVG149" s="609"/>
      <c r="BVH149" s="609"/>
      <c r="BVI149" s="609"/>
      <c r="BVJ149" s="609"/>
      <c r="BVK149" s="609"/>
      <c r="BVL149" s="609"/>
      <c r="BVM149" s="609"/>
      <c r="BVN149" s="609"/>
      <c r="BVO149" s="609"/>
      <c r="BVP149" s="609"/>
      <c r="BVQ149" s="609"/>
      <c r="BVR149" s="609"/>
      <c r="BVS149" s="609"/>
      <c r="BVT149" s="609"/>
      <c r="BVU149" s="609"/>
      <c r="BVV149" s="609"/>
      <c r="BVW149" s="609"/>
      <c r="BVX149" s="609"/>
      <c r="BVY149" s="609"/>
      <c r="BVZ149" s="609"/>
      <c r="BWA149" s="609"/>
      <c r="BWB149" s="609"/>
      <c r="BWC149" s="609"/>
      <c r="BWD149" s="609"/>
      <c r="BWE149" s="609"/>
      <c r="BWF149" s="609"/>
      <c r="BWG149" s="609"/>
      <c r="BWH149" s="609"/>
      <c r="BWI149" s="609"/>
      <c r="BWJ149" s="609"/>
      <c r="BWK149" s="609"/>
      <c r="BWL149" s="609"/>
      <c r="BWM149" s="609"/>
      <c r="BWN149" s="609"/>
      <c r="BWO149" s="609"/>
      <c r="BWP149" s="609"/>
      <c r="BWQ149" s="609"/>
      <c r="BWR149" s="609"/>
      <c r="BWS149" s="609"/>
      <c r="BWT149" s="609"/>
      <c r="BWU149" s="609"/>
      <c r="BWV149" s="609"/>
      <c r="BWW149" s="609"/>
      <c r="BWX149" s="609"/>
      <c r="BWY149" s="609"/>
      <c r="BWZ149" s="609"/>
      <c r="BXA149" s="609"/>
      <c r="BXB149" s="609"/>
      <c r="BXC149" s="609"/>
      <c r="BXD149" s="609"/>
      <c r="BXE149" s="609"/>
      <c r="BXF149" s="609"/>
      <c r="BXG149" s="609"/>
      <c r="BXH149" s="609"/>
      <c r="BXI149" s="609"/>
      <c r="BXJ149" s="609"/>
      <c r="BXK149" s="609"/>
      <c r="BXL149" s="609"/>
      <c r="BXM149" s="609"/>
      <c r="BXN149" s="609"/>
      <c r="BXO149" s="609"/>
      <c r="BXP149" s="609"/>
      <c r="BXQ149" s="609"/>
      <c r="BXR149" s="609"/>
      <c r="BXS149" s="609"/>
      <c r="BXT149" s="609"/>
      <c r="BXU149" s="609"/>
      <c r="BXV149" s="609"/>
      <c r="BXW149" s="609"/>
      <c r="BXX149" s="609"/>
      <c r="BXY149" s="609"/>
      <c r="BXZ149" s="609"/>
      <c r="BYA149" s="609"/>
      <c r="BYB149" s="609"/>
      <c r="BYC149" s="609"/>
      <c r="BYD149" s="609"/>
      <c r="BYE149" s="609"/>
      <c r="BYF149" s="609"/>
      <c r="BYG149" s="609"/>
      <c r="BYH149" s="609"/>
      <c r="BYI149" s="609"/>
      <c r="BYJ149" s="609"/>
      <c r="BYK149" s="609"/>
      <c r="BYL149" s="609"/>
      <c r="BYM149" s="609"/>
      <c r="BYN149" s="609"/>
      <c r="BYO149" s="609"/>
      <c r="BYP149" s="609"/>
      <c r="BYQ149" s="609"/>
      <c r="BYR149" s="609"/>
      <c r="BYS149" s="609"/>
      <c r="BYT149" s="609"/>
      <c r="BYU149" s="609"/>
      <c r="BYV149" s="609"/>
      <c r="BYW149" s="609"/>
      <c r="BYX149" s="609"/>
      <c r="BYY149" s="609"/>
      <c r="BYZ149" s="609"/>
      <c r="BZA149" s="609"/>
      <c r="BZB149" s="609"/>
      <c r="BZC149" s="609"/>
      <c r="BZD149" s="609"/>
      <c r="BZE149" s="609"/>
      <c r="BZF149" s="609"/>
      <c r="BZG149" s="609"/>
      <c r="BZH149" s="609"/>
      <c r="BZI149" s="609"/>
      <c r="BZJ149" s="609"/>
      <c r="BZK149" s="609"/>
      <c r="BZL149" s="609"/>
      <c r="BZM149" s="609"/>
      <c r="BZN149" s="609"/>
      <c r="BZO149" s="609"/>
      <c r="BZP149" s="609"/>
      <c r="BZQ149" s="609"/>
      <c r="BZR149" s="609"/>
      <c r="BZS149" s="609"/>
      <c r="BZT149" s="609"/>
      <c r="BZU149" s="609"/>
      <c r="BZV149" s="609"/>
      <c r="BZW149" s="609"/>
      <c r="BZX149" s="609"/>
      <c r="BZY149" s="609"/>
      <c r="BZZ149" s="609"/>
      <c r="CAA149" s="609"/>
      <c r="CAB149" s="609"/>
      <c r="CAC149" s="609"/>
      <c r="CAD149" s="609"/>
      <c r="CAE149" s="609"/>
      <c r="CAF149" s="609"/>
      <c r="CAG149" s="609"/>
      <c r="CAH149" s="609"/>
      <c r="CAI149" s="609"/>
      <c r="CAJ149" s="609"/>
      <c r="CAK149" s="609"/>
      <c r="CAL149" s="609"/>
      <c r="CAM149" s="609"/>
      <c r="CAN149" s="609"/>
      <c r="CAO149" s="609"/>
      <c r="CAP149" s="609"/>
      <c r="CAQ149" s="609"/>
      <c r="CAR149" s="609"/>
      <c r="CAS149" s="609"/>
      <c r="CAT149" s="609"/>
      <c r="CAU149" s="609"/>
      <c r="CAV149" s="609"/>
      <c r="CAW149" s="609"/>
      <c r="CAX149" s="609"/>
      <c r="CAY149" s="609"/>
      <c r="CAZ149" s="609"/>
      <c r="CBA149" s="609"/>
      <c r="CBB149" s="609"/>
      <c r="CBC149" s="609"/>
      <c r="CBD149" s="609"/>
      <c r="CBE149" s="609"/>
      <c r="CBF149" s="609"/>
      <c r="CBG149" s="609"/>
      <c r="CBH149" s="609"/>
      <c r="CBI149" s="609"/>
      <c r="CBJ149" s="609"/>
      <c r="CBK149" s="609"/>
      <c r="CBL149" s="609"/>
      <c r="CBM149" s="609"/>
      <c r="CBN149" s="609"/>
      <c r="CBO149" s="609"/>
      <c r="CBP149" s="609"/>
      <c r="CBQ149" s="609"/>
      <c r="CBR149" s="609"/>
      <c r="CBS149" s="609"/>
      <c r="CBT149" s="609"/>
      <c r="CBU149" s="609"/>
      <c r="CBV149" s="609"/>
      <c r="CBW149" s="609"/>
      <c r="CBX149" s="609"/>
      <c r="CBY149" s="609"/>
      <c r="CBZ149" s="609"/>
      <c r="CCA149" s="609"/>
      <c r="CCB149" s="609"/>
      <c r="CCC149" s="609"/>
      <c r="CCD149" s="609"/>
      <c r="CCE149" s="609"/>
      <c r="CCF149" s="609"/>
      <c r="CCG149" s="609"/>
      <c r="CCH149" s="609"/>
      <c r="CCI149" s="609"/>
      <c r="CCJ149" s="609"/>
      <c r="CCK149" s="609"/>
      <c r="CCL149" s="609"/>
      <c r="CCM149" s="609"/>
      <c r="CCN149" s="609"/>
      <c r="CCO149" s="609"/>
      <c r="CCP149" s="609"/>
      <c r="CCQ149" s="609"/>
      <c r="CCR149" s="609"/>
      <c r="CCS149" s="609"/>
      <c r="CCT149" s="609"/>
      <c r="CCU149" s="609"/>
      <c r="CCV149" s="609"/>
      <c r="CCW149" s="609"/>
      <c r="CCX149" s="609"/>
      <c r="CCY149" s="609"/>
      <c r="CCZ149" s="609"/>
      <c r="CDA149" s="609"/>
      <c r="CDB149" s="609"/>
      <c r="CDC149" s="609"/>
      <c r="CDD149" s="609"/>
      <c r="CDE149" s="609"/>
      <c r="CDF149" s="609"/>
      <c r="CDG149" s="609"/>
      <c r="CDH149" s="609"/>
      <c r="CDI149" s="609"/>
      <c r="CDJ149" s="609"/>
      <c r="CDK149" s="609"/>
      <c r="CDL149" s="609"/>
      <c r="CDM149" s="609"/>
      <c r="CDN149" s="609"/>
      <c r="CDO149" s="609"/>
      <c r="CDP149" s="609"/>
      <c r="CDQ149" s="609"/>
      <c r="CDR149" s="609"/>
      <c r="CDS149" s="609"/>
      <c r="CDT149" s="609"/>
      <c r="CDU149" s="609"/>
      <c r="CDV149" s="609"/>
      <c r="CDW149" s="609"/>
      <c r="CDX149" s="609"/>
      <c r="CDY149" s="609"/>
      <c r="CDZ149" s="609"/>
      <c r="CEA149" s="609"/>
      <c r="CEB149" s="609"/>
      <c r="CEC149" s="609"/>
      <c r="CED149" s="609"/>
      <c r="CEE149" s="609"/>
      <c r="CEF149" s="609"/>
      <c r="CEG149" s="609"/>
      <c r="CEH149" s="609"/>
      <c r="CEI149" s="609"/>
      <c r="CEJ149" s="609"/>
      <c r="CEK149" s="609"/>
      <c r="CEL149" s="609"/>
      <c r="CEM149" s="609"/>
      <c r="CEN149" s="609"/>
      <c r="CEO149" s="609"/>
      <c r="CEP149" s="609"/>
      <c r="CEQ149" s="609"/>
      <c r="CER149" s="609"/>
      <c r="CES149" s="609"/>
      <c r="CET149" s="609"/>
      <c r="CEU149" s="609"/>
      <c r="CEV149" s="609"/>
      <c r="CEW149" s="609"/>
      <c r="CEX149" s="609"/>
      <c r="CEY149" s="609"/>
      <c r="CEZ149" s="609"/>
      <c r="CFA149" s="609"/>
      <c r="CFB149" s="609"/>
      <c r="CFC149" s="609"/>
      <c r="CFD149" s="609"/>
      <c r="CFE149" s="609"/>
      <c r="CFF149" s="609"/>
      <c r="CFG149" s="609"/>
      <c r="CFH149" s="609"/>
      <c r="CFI149" s="609"/>
      <c r="CFJ149" s="609"/>
      <c r="CFK149" s="609"/>
      <c r="CFL149" s="609"/>
      <c r="CFM149" s="609"/>
      <c r="CFN149" s="609"/>
      <c r="CFO149" s="609"/>
      <c r="CFP149" s="609"/>
      <c r="CFQ149" s="609"/>
      <c r="CFR149" s="609"/>
      <c r="CFS149" s="609"/>
      <c r="CFT149" s="609"/>
      <c r="CFU149" s="609"/>
      <c r="CFV149" s="609"/>
      <c r="CFW149" s="609"/>
      <c r="CFX149" s="609"/>
      <c r="CFY149" s="609"/>
      <c r="CFZ149" s="609"/>
      <c r="CGA149" s="609"/>
      <c r="CGB149" s="609"/>
      <c r="CGC149" s="609"/>
      <c r="CGD149" s="609"/>
      <c r="CGE149" s="609"/>
      <c r="CGF149" s="609"/>
      <c r="CGG149" s="609"/>
      <c r="CGH149" s="609"/>
      <c r="CGI149" s="609"/>
      <c r="CGJ149" s="609"/>
      <c r="CGK149" s="609"/>
      <c r="CGL149" s="609"/>
      <c r="CGM149" s="609"/>
      <c r="CGN149" s="609"/>
      <c r="CGO149" s="609"/>
      <c r="CGP149" s="609"/>
      <c r="CGQ149" s="609"/>
      <c r="CGR149" s="609"/>
      <c r="CGS149" s="609"/>
      <c r="CGT149" s="609"/>
      <c r="CGU149" s="609"/>
      <c r="CGV149" s="609"/>
      <c r="CGW149" s="609"/>
      <c r="CGX149" s="609"/>
      <c r="CGY149" s="609"/>
      <c r="CGZ149" s="609"/>
      <c r="CHA149" s="609"/>
      <c r="CHB149" s="609"/>
      <c r="CHC149" s="609"/>
      <c r="CHD149" s="609"/>
      <c r="CHE149" s="609"/>
      <c r="CHF149" s="609"/>
      <c r="CHG149" s="609"/>
      <c r="CHH149" s="609"/>
      <c r="CHI149" s="609"/>
      <c r="CHJ149" s="609"/>
      <c r="CHK149" s="609"/>
      <c r="CHL149" s="609"/>
      <c r="CHM149" s="609"/>
      <c r="CHN149" s="609"/>
      <c r="CHO149" s="609"/>
      <c r="CHP149" s="609"/>
      <c r="CHQ149" s="609"/>
      <c r="CHR149" s="609"/>
      <c r="CHS149" s="609"/>
      <c r="CHT149" s="609"/>
      <c r="CHU149" s="609"/>
      <c r="CHV149" s="609"/>
      <c r="CHW149" s="609"/>
      <c r="CHX149" s="609"/>
      <c r="CHY149" s="609"/>
      <c r="CHZ149" s="609"/>
      <c r="CIA149" s="609"/>
      <c r="CIB149" s="609"/>
      <c r="CIC149" s="609"/>
      <c r="CID149" s="609"/>
      <c r="CIE149" s="609"/>
      <c r="CIF149" s="609"/>
      <c r="CIG149" s="609"/>
      <c r="CIH149" s="609"/>
      <c r="CII149" s="609"/>
      <c r="CIJ149" s="609"/>
      <c r="CIK149" s="609"/>
      <c r="CIL149" s="609"/>
      <c r="CIM149" s="609"/>
      <c r="CIN149" s="609"/>
      <c r="CIO149" s="609"/>
      <c r="CIP149" s="609"/>
      <c r="CIQ149" s="609"/>
      <c r="CIR149" s="609"/>
      <c r="CIS149" s="609"/>
      <c r="CIT149" s="609"/>
      <c r="CIU149" s="609"/>
      <c r="CIV149" s="609"/>
      <c r="CIW149" s="609"/>
      <c r="CIX149" s="609"/>
      <c r="CIY149" s="609"/>
      <c r="CIZ149" s="609"/>
      <c r="CJA149" s="609"/>
      <c r="CJB149" s="609"/>
      <c r="CJC149" s="609"/>
      <c r="CJD149" s="609"/>
      <c r="CJE149" s="609"/>
      <c r="CJF149" s="609"/>
      <c r="CJG149" s="609"/>
      <c r="CJH149" s="609"/>
      <c r="CJI149" s="609"/>
      <c r="CJJ149" s="609"/>
      <c r="CJK149" s="609"/>
      <c r="CJL149" s="609"/>
      <c r="CJM149" s="609"/>
      <c r="CJN149" s="609"/>
      <c r="CJO149" s="609"/>
      <c r="CJP149" s="609"/>
      <c r="CJQ149" s="609"/>
      <c r="CJR149" s="609"/>
      <c r="CJS149" s="609"/>
      <c r="CJT149" s="609"/>
      <c r="CJU149" s="609"/>
      <c r="CJV149" s="609"/>
      <c r="CJW149" s="609"/>
      <c r="CJX149" s="609"/>
      <c r="CJY149" s="609"/>
      <c r="CJZ149" s="609"/>
      <c r="CKA149" s="609"/>
      <c r="CKB149" s="609"/>
      <c r="CKC149" s="609"/>
      <c r="CKD149" s="609"/>
      <c r="CKE149" s="609"/>
      <c r="CKF149" s="609"/>
      <c r="CKG149" s="609"/>
      <c r="CKH149" s="609"/>
      <c r="CKI149" s="609"/>
      <c r="CKJ149" s="609"/>
      <c r="CKK149" s="609"/>
      <c r="CKL149" s="609"/>
      <c r="CKM149" s="609"/>
      <c r="CKN149" s="609"/>
      <c r="CKO149" s="609"/>
      <c r="CKP149" s="609"/>
      <c r="CKQ149" s="609"/>
      <c r="CKR149" s="609"/>
      <c r="CKS149" s="609"/>
      <c r="CKT149" s="609"/>
      <c r="CKU149" s="609"/>
      <c r="CKV149" s="609"/>
      <c r="CKW149" s="609"/>
      <c r="CKX149" s="609"/>
      <c r="CKY149" s="609"/>
      <c r="CKZ149" s="609"/>
      <c r="CLA149" s="609"/>
      <c r="CLB149" s="609"/>
      <c r="CLC149" s="609"/>
      <c r="CLD149" s="609"/>
      <c r="CLE149" s="609"/>
      <c r="CLF149" s="609"/>
      <c r="CLG149" s="609"/>
      <c r="CLH149" s="609"/>
      <c r="CLI149" s="609"/>
      <c r="CLJ149" s="609"/>
      <c r="CLK149" s="609"/>
      <c r="CLL149" s="609"/>
      <c r="CLM149" s="609"/>
      <c r="CLN149" s="609"/>
      <c r="CLO149" s="609"/>
      <c r="CLP149" s="609"/>
      <c r="CLQ149" s="609"/>
      <c r="CLR149" s="609"/>
      <c r="CLS149" s="609"/>
      <c r="CLT149" s="609"/>
      <c r="CLU149" s="609"/>
      <c r="CLV149" s="609"/>
      <c r="CLW149" s="609"/>
      <c r="CLX149" s="609"/>
      <c r="CLY149" s="609"/>
      <c r="CLZ149" s="609"/>
      <c r="CMA149" s="609"/>
      <c r="CMB149" s="609"/>
      <c r="CMC149" s="609"/>
      <c r="CMD149" s="609"/>
      <c r="CME149" s="609"/>
      <c r="CMF149" s="609"/>
      <c r="CMG149" s="609"/>
      <c r="CMH149" s="609"/>
      <c r="CMI149" s="609"/>
      <c r="CMJ149" s="609"/>
      <c r="CMK149" s="609"/>
      <c r="CML149" s="609"/>
      <c r="CMM149" s="609"/>
      <c r="CMN149" s="609"/>
      <c r="CMO149" s="609"/>
      <c r="CMP149" s="609"/>
      <c r="CMQ149" s="609"/>
      <c r="CMR149" s="609"/>
      <c r="CMS149" s="609"/>
      <c r="CMT149" s="609"/>
      <c r="CMU149" s="609"/>
      <c r="CMV149" s="609"/>
      <c r="CMW149" s="609"/>
      <c r="CMX149" s="609"/>
      <c r="CMY149" s="609"/>
      <c r="CMZ149" s="609"/>
      <c r="CNA149" s="609"/>
      <c r="CNB149" s="609"/>
      <c r="CNC149" s="609"/>
      <c r="CND149" s="609"/>
      <c r="CNE149" s="609"/>
      <c r="CNF149" s="609"/>
      <c r="CNG149" s="609"/>
      <c r="CNH149" s="609"/>
      <c r="CNI149" s="609"/>
      <c r="CNJ149" s="609"/>
      <c r="CNK149" s="609"/>
      <c r="CNL149" s="609"/>
      <c r="CNM149" s="609"/>
      <c r="CNN149" s="609"/>
      <c r="CNO149" s="609"/>
      <c r="CNP149" s="609"/>
      <c r="CNQ149" s="609"/>
      <c r="CNR149" s="609"/>
      <c r="CNS149" s="609"/>
      <c r="CNT149" s="609"/>
      <c r="CNU149" s="609"/>
      <c r="CNV149" s="609"/>
      <c r="CNW149" s="609"/>
      <c r="CNX149" s="609"/>
      <c r="CNY149" s="609"/>
      <c r="CNZ149" s="609"/>
      <c r="COA149" s="609"/>
      <c r="COB149" s="609"/>
      <c r="COC149" s="609"/>
      <c r="COD149" s="609"/>
      <c r="COE149" s="609"/>
      <c r="COF149" s="609"/>
      <c r="COG149" s="609"/>
      <c r="COH149" s="609"/>
      <c r="COI149" s="609"/>
      <c r="COJ149" s="609"/>
      <c r="COK149" s="609"/>
      <c r="COL149" s="609"/>
      <c r="COM149" s="609"/>
      <c r="CON149" s="609"/>
      <c r="COO149" s="609"/>
      <c r="COP149" s="609"/>
      <c r="COQ149" s="609"/>
      <c r="COR149" s="609"/>
      <c r="COS149" s="609"/>
      <c r="COT149" s="609"/>
      <c r="COU149" s="609"/>
      <c r="COV149" s="609"/>
      <c r="COW149" s="609"/>
      <c r="COX149" s="609"/>
      <c r="COY149" s="609"/>
      <c r="COZ149" s="609"/>
      <c r="CPA149" s="609"/>
      <c r="CPB149" s="609"/>
      <c r="CPC149" s="609"/>
      <c r="CPD149" s="609"/>
      <c r="CPE149" s="609"/>
      <c r="CPF149" s="609"/>
      <c r="CPG149" s="609"/>
      <c r="CPH149" s="609"/>
      <c r="CPI149" s="609"/>
      <c r="CPJ149" s="609"/>
      <c r="CPK149" s="609"/>
      <c r="CPL149" s="609"/>
      <c r="CPM149" s="609"/>
      <c r="CPN149" s="609"/>
      <c r="CPO149" s="609"/>
      <c r="CPP149" s="609"/>
      <c r="CPQ149" s="609"/>
      <c r="CPR149" s="609"/>
      <c r="CPS149" s="609"/>
      <c r="CPT149" s="609"/>
      <c r="CPU149" s="609"/>
      <c r="CPV149" s="609"/>
      <c r="CPW149" s="609"/>
      <c r="CPX149" s="609"/>
      <c r="CPY149" s="609"/>
      <c r="CPZ149" s="609"/>
      <c r="CQA149" s="609"/>
      <c r="CQB149" s="609"/>
      <c r="CQC149" s="609"/>
      <c r="CQD149" s="609"/>
      <c r="CQE149" s="609"/>
      <c r="CQF149" s="609"/>
      <c r="CQG149" s="609"/>
      <c r="CQH149" s="609"/>
      <c r="CQI149" s="609"/>
      <c r="CQJ149" s="609"/>
      <c r="CQK149" s="609"/>
      <c r="CQL149" s="609"/>
      <c r="CQM149" s="609"/>
      <c r="CQN149" s="609"/>
      <c r="CQO149" s="609"/>
      <c r="CQP149" s="609"/>
      <c r="CQQ149" s="609"/>
      <c r="CQR149" s="609"/>
      <c r="CQS149" s="609"/>
      <c r="CQT149" s="609"/>
      <c r="CQU149" s="609"/>
      <c r="CQV149" s="609"/>
      <c r="CQW149" s="609"/>
      <c r="CQX149" s="609"/>
      <c r="CQY149" s="609"/>
      <c r="CQZ149" s="609"/>
      <c r="CRA149" s="609"/>
      <c r="CRB149" s="609"/>
      <c r="CRC149" s="609"/>
      <c r="CRD149" s="609"/>
      <c r="CRE149" s="609"/>
      <c r="CRF149" s="609"/>
      <c r="CRG149" s="609"/>
      <c r="CRH149" s="609"/>
      <c r="CRI149" s="609"/>
      <c r="CRJ149" s="609"/>
      <c r="CRK149" s="609"/>
      <c r="CRL149" s="609"/>
      <c r="CRM149" s="609"/>
      <c r="CRN149" s="609"/>
      <c r="CRO149" s="609"/>
      <c r="CRP149" s="609"/>
      <c r="CRQ149" s="609"/>
      <c r="CRR149" s="609"/>
      <c r="CRS149" s="609"/>
      <c r="CRT149" s="609"/>
      <c r="CRU149" s="609"/>
      <c r="CRV149" s="609"/>
      <c r="CRW149" s="609"/>
      <c r="CRX149" s="609"/>
      <c r="CRY149" s="609"/>
      <c r="CRZ149" s="609"/>
      <c r="CSA149" s="609"/>
      <c r="CSB149" s="609"/>
      <c r="CSC149" s="609"/>
      <c r="CSD149" s="609"/>
      <c r="CSE149" s="609"/>
      <c r="CSF149" s="609"/>
      <c r="CSG149" s="609"/>
      <c r="CSH149" s="609"/>
      <c r="CSI149" s="609"/>
      <c r="CSJ149" s="609"/>
      <c r="CSK149" s="609"/>
      <c r="CSL149" s="609"/>
      <c r="CSM149" s="609"/>
      <c r="CSN149" s="609"/>
      <c r="CSO149" s="609"/>
      <c r="CSP149" s="609"/>
      <c r="CSQ149" s="609"/>
      <c r="CSR149" s="609"/>
      <c r="CSS149" s="609"/>
      <c r="CST149" s="609"/>
      <c r="CSU149" s="609"/>
      <c r="CSV149" s="609"/>
      <c r="CSW149" s="609"/>
      <c r="CSX149" s="609"/>
      <c r="CSY149" s="609"/>
      <c r="CSZ149" s="609"/>
      <c r="CTA149" s="609"/>
      <c r="CTB149" s="609"/>
      <c r="CTC149" s="609"/>
      <c r="CTD149" s="609"/>
      <c r="CTE149" s="609"/>
      <c r="CTF149" s="609"/>
      <c r="CTG149" s="609"/>
      <c r="CTH149" s="609"/>
      <c r="CTI149" s="609"/>
      <c r="CTJ149" s="609"/>
      <c r="CTK149" s="609"/>
      <c r="CTL149" s="609"/>
      <c r="CTM149" s="609"/>
      <c r="CTN149" s="609"/>
      <c r="CTO149" s="609"/>
      <c r="CTP149" s="609"/>
      <c r="CTQ149" s="609"/>
      <c r="CTR149" s="609"/>
      <c r="CTS149" s="609"/>
      <c r="CTT149" s="609"/>
      <c r="CTU149" s="609"/>
      <c r="CTV149" s="609"/>
      <c r="CTW149" s="609"/>
      <c r="CTX149" s="609"/>
      <c r="CTY149" s="609"/>
      <c r="CTZ149" s="609"/>
      <c r="CUA149" s="609"/>
      <c r="CUB149" s="609"/>
      <c r="CUC149" s="609"/>
      <c r="CUD149" s="609"/>
      <c r="CUE149" s="609"/>
      <c r="CUF149" s="609"/>
      <c r="CUG149" s="609"/>
      <c r="CUH149" s="609"/>
      <c r="CUI149" s="609"/>
      <c r="CUJ149" s="609"/>
      <c r="CUK149" s="609"/>
      <c r="CUL149" s="609"/>
      <c r="CUM149" s="609"/>
      <c r="CUN149" s="609"/>
      <c r="CUO149" s="609"/>
      <c r="CUP149" s="609"/>
      <c r="CUQ149" s="609"/>
      <c r="CUR149" s="609"/>
      <c r="CUS149" s="609"/>
      <c r="CUT149" s="609"/>
      <c r="CUU149" s="609"/>
      <c r="CUV149" s="609"/>
      <c r="CUW149" s="609"/>
      <c r="CUX149" s="609"/>
      <c r="CUY149" s="609"/>
      <c r="CUZ149" s="609"/>
      <c r="CVA149" s="609"/>
      <c r="CVB149" s="609"/>
      <c r="CVC149" s="609"/>
      <c r="CVD149" s="609"/>
      <c r="CVE149" s="609"/>
      <c r="CVF149" s="609"/>
      <c r="CVG149" s="609"/>
      <c r="CVH149" s="609"/>
      <c r="CVI149" s="609"/>
      <c r="CVJ149" s="609"/>
      <c r="CVK149" s="609"/>
      <c r="CVL149" s="609"/>
      <c r="CVM149" s="609"/>
      <c r="CVN149" s="609"/>
      <c r="CVO149" s="609"/>
      <c r="CVP149" s="609"/>
      <c r="CVQ149" s="609"/>
      <c r="CVR149" s="609"/>
      <c r="CVS149" s="609"/>
      <c r="CVT149" s="609"/>
      <c r="CVU149" s="609"/>
      <c r="CVV149" s="609"/>
      <c r="CVW149" s="609"/>
      <c r="CVX149" s="609"/>
      <c r="CVY149" s="609"/>
      <c r="CVZ149" s="609"/>
      <c r="CWA149" s="609"/>
      <c r="CWB149" s="609"/>
      <c r="CWC149" s="609"/>
      <c r="CWD149" s="609"/>
      <c r="CWE149" s="609"/>
      <c r="CWF149" s="609"/>
      <c r="CWG149" s="609"/>
      <c r="CWH149" s="609"/>
      <c r="CWI149" s="609"/>
      <c r="CWJ149" s="609"/>
      <c r="CWK149" s="609"/>
      <c r="CWL149" s="609"/>
      <c r="CWM149" s="609"/>
      <c r="CWN149" s="609"/>
      <c r="CWO149" s="609"/>
      <c r="CWP149" s="609"/>
      <c r="CWQ149" s="609"/>
      <c r="CWR149" s="609"/>
      <c r="CWS149" s="609"/>
      <c r="CWT149" s="609"/>
      <c r="CWU149" s="609"/>
      <c r="CWV149" s="609"/>
      <c r="CWW149" s="609"/>
      <c r="CWX149" s="609"/>
      <c r="CWY149" s="609"/>
      <c r="CWZ149" s="609"/>
      <c r="CXA149" s="609"/>
      <c r="CXB149" s="609"/>
      <c r="CXC149" s="609"/>
      <c r="CXD149" s="609"/>
      <c r="CXE149" s="609"/>
      <c r="CXF149" s="609"/>
      <c r="CXG149" s="609"/>
      <c r="CXH149" s="609"/>
      <c r="CXI149" s="609"/>
      <c r="CXJ149" s="609"/>
      <c r="CXK149" s="609"/>
      <c r="CXL149" s="609"/>
      <c r="CXM149" s="609"/>
      <c r="CXN149" s="609"/>
      <c r="CXO149" s="609"/>
      <c r="CXP149" s="609"/>
      <c r="CXQ149" s="609"/>
      <c r="CXR149" s="609"/>
      <c r="CXS149" s="609"/>
      <c r="CXT149" s="609"/>
      <c r="CXU149" s="609"/>
      <c r="CXV149" s="609"/>
      <c r="CXW149" s="609"/>
      <c r="CXX149" s="609"/>
      <c r="CXY149" s="609"/>
      <c r="CXZ149" s="609"/>
      <c r="CYA149" s="609"/>
      <c r="CYB149" s="609"/>
      <c r="CYC149" s="609"/>
      <c r="CYD149" s="609"/>
      <c r="CYE149" s="609"/>
      <c r="CYF149" s="609"/>
      <c r="CYG149" s="609"/>
      <c r="CYH149" s="609"/>
      <c r="CYI149" s="609"/>
      <c r="CYJ149" s="609"/>
      <c r="CYK149" s="609"/>
      <c r="CYL149" s="609"/>
      <c r="CYM149" s="609"/>
      <c r="CYN149" s="609"/>
      <c r="CYO149" s="609"/>
      <c r="CYP149" s="609"/>
      <c r="CYQ149" s="609"/>
      <c r="CYR149" s="609"/>
      <c r="CYS149" s="609"/>
      <c r="CYT149" s="609"/>
      <c r="CYU149" s="609"/>
      <c r="CYV149" s="609"/>
      <c r="CYW149" s="609"/>
      <c r="CYX149" s="609"/>
      <c r="CYY149" s="609"/>
      <c r="CYZ149" s="609"/>
      <c r="CZA149" s="609"/>
      <c r="CZB149" s="609"/>
      <c r="CZC149" s="609"/>
      <c r="CZD149" s="609"/>
      <c r="CZE149" s="609"/>
      <c r="CZF149" s="609"/>
      <c r="CZG149" s="609"/>
      <c r="CZH149" s="609"/>
      <c r="CZI149" s="609"/>
      <c r="CZJ149" s="609"/>
      <c r="CZK149" s="609"/>
      <c r="CZL149" s="609"/>
      <c r="CZM149" s="609"/>
      <c r="CZN149" s="609"/>
      <c r="CZO149" s="609"/>
      <c r="CZP149" s="609"/>
      <c r="CZQ149" s="609"/>
      <c r="CZR149" s="609"/>
      <c r="CZS149" s="609"/>
      <c r="CZT149" s="609"/>
      <c r="CZU149" s="609"/>
      <c r="CZV149" s="609"/>
      <c r="CZW149" s="609"/>
      <c r="CZX149" s="609"/>
      <c r="CZY149" s="609"/>
      <c r="CZZ149" s="609"/>
      <c r="DAA149" s="609"/>
      <c r="DAB149" s="609"/>
      <c r="DAC149" s="609"/>
      <c r="DAD149" s="609"/>
      <c r="DAE149" s="609"/>
      <c r="DAF149" s="609"/>
      <c r="DAG149" s="609"/>
      <c r="DAH149" s="609"/>
      <c r="DAI149" s="609"/>
      <c r="DAJ149" s="609"/>
      <c r="DAK149" s="609"/>
      <c r="DAL149" s="609"/>
      <c r="DAM149" s="609"/>
      <c r="DAN149" s="609"/>
      <c r="DAO149" s="609"/>
      <c r="DAP149" s="609"/>
      <c r="DAQ149" s="609"/>
      <c r="DAR149" s="609"/>
      <c r="DAS149" s="609"/>
      <c r="DAT149" s="609"/>
      <c r="DAU149" s="609"/>
      <c r="DAV149" s="609"/>
      <c r="DAW149" s="609"/>
      <c r="DAX149" s="609"/>
      <c r="DAY149" s="609"/>
      <c r="DAZ149" s="609"/>
      <c r="DBA149" s="609"/>
      <c r="DBB149" s="609"/>
      <c r="DBC149" s="609"/>
      <c r="DBD149" s="609"/>
      <c r="DBE149" s="609"/>
      <c r="DBF149" s="609"/>
      <c r="DBG149" s="609"/>
      <c r="DBH149" s="609"/>
      <c r="DBI149" s="609"/>
      <c r="DBJ149" s="609"/>
      <c r="DBK149" s="609"/>
      <c r="DBL149" s="609"/>
      <c r="DBM149" s="609"/>
      <c r="DBN149" s="609"/>
      <c r="DBO149" s="609"/>
      <c r="DBP149" s="609"/>
      <c r="DBQ149" s="609"/>
      <c r="DBR149" s="609"/>
      <c r="DBS149" s="609"/>
      <c r="DBT149" s="609"/>
      <c r="DBU149" s="609"/>
      <c r="DBV149" s="609"/>
      <c r="DBW149" s="609"/>
      <c r="DBX149" s="609"/>
      <c r="DBY149" s="609"/>
      <c r="DBZ149" s="609"/>
      <c r="DCA149" s="609"/>
      <c r="DCB149" s="609"/>
      <c r="DCC149" s="609"/>
      <c r="DCD149" s="609"/>
      <c r="DCE149" s="609"/>
      <c r="DCF149" s="609"/>
      <c r="DCG149" s="609"/>
      <c r="DCH149" s="609"/>
      <c r="DCI149" s="609"/>
      <c r="DCJ149" s="609"/>
      <c r="DCK149" s="609"/>
      <c r="DCL149" s="609"/>
      <c r="DCM149" s="609"/>
      <c r="DCN149" s="609"/>
      <c r="DCO149" s="609"/>
      <c r="DCP149" s="609"/>
      <c r="DCQ149" s="609"/>
      <c r="DCR149" s="609"/>
      <c r="DCS149" s="609"/>
      <c r="DCT149" s="609"/>
      <c r="DCU149" s="609"/>
      <c r="DCV149" s="609"/>
      <c r="DCW149" s="609"/>
      <c r="DCX149" s="609"/>
      <c r="DCY149" s="609"/>
      <c r="DCZ149" s="609"/>
      <c r="DDA149" s="609"/>
      <c r="DDB149" s="609"/>
      <c r="DDC149" s="609"/>
      <c r="DDD149" s="609"/>
      <c r="DDE149" s="609"/>
      <c r="DDF149" s="609"/>
      <c r="DDG149" s="609"/>
      <c r="DDH149" s="609"/>
      <c r="DDI149" s="609"/>
      <c r="DDJ149" s="609"/>
      <c r="DDK149" s="609"/>
      <c r="DDL149" s="609"/>
      <c r="DDM149" s="609"/>
      <c r="DDN149" s="609"/>
      <c r="DDO149" s="609"/>
      <c r="DDP149" s="609"/>
      <c r="DDQ149" s="609"/>
      <c r="DDR149" s="609"/>
      <c r="DDS149" s="609"/>
      <c r="DDT149" s="609"/>
      <c r="DDU149" s="609"/>
      <c r="DDV149" s="609"/>
      <c r="DDW149" s="609"/>
      <c r="DDX149" s="609"/>
      <c r="DDY149" s="609"/>
      <c r="DDZ149" s="609"/>
      <c r="DEA149" s="609"/>
      <c r="DEB149" s="609"/>
      <c r="DEC149" s="609"/>
      <c r="DED149" s="609"/>
      <c r="DEE149" s="609"/>
      <c r="DEF149" s="609"/>
      <c r="DEG149" s="609"/>
      <c r="DEH149" s="609"/>
      <c r="DEI149" s="609"/>
      <c r="DEJ149" s="609"/>
      <c r="DEK149" s="609"/>
      <c r="DEL149" s="609"/>
      <c r="DEM149" s="609"/>
      <c r="DEN149" s="609"/>
      <c r="DEO149" s="609"/>
      <c r="DEP149" s="609"/>
      <c r="DEQ149" s="609"/>
      <c r="DER149" s="609"/>
      <c r="DES149" s="609"/>
      <c r="DET149" s="609"/>
      <c r="DEU149" s="609"/>
      <c r="DEV149" s="609"/>
      <c r="DEW149" s="609"/>
      <c r="DEX149" s="609"/>
      <c r="DEY149" s="609"/>
      <c r="DEZ149" s="609"/>
      <c r="DFA149" s="609"/>
      <c r="DFB149" s="609"/>
      <c r="DFC149" s="609"/>
      <c r="DFD149" s="609"/>
      <c r="DFE149" s="609"/>
      <c r="DFF149" s="609"/>
      <c r="DFG149" s="609"/>
      <c r="DFH149" s="609"/>
      <c r="DFI149" s="609"/>
      <c r="DFJ149" s="609"/>
      <c r="DFK149" s="609"/>
      <c r="DFL149" s="609"/>
      <c r="DFM149" s="609"/>
      <c r="DFN149" s="609"/>
      <c r="DFO149" s="609"/>
      <c r="DFP149" s="609"/>
      <c r="DFQ149" s="609"/>
      <c r="DFR149" s="609"/>
      <c r="DFS149" s="609"/>
      <c r="DFT149" s="609"/>
      <c r="DFU149" s="609"/>
      <c r="DFV149" s="609"/>
      <c r="DFW149" s="609"/>
      <c r="DFX149" s="609"/>
      <c r="DFY149" s="609"/>
      <c r="DFZ149" s="609"/>
      <c r="DGA149" s="609"/>
      <c r="DGB149" s="609"/>
      <c r="DGC149" s="609"/>
      <c r="DGD149" s="609"/>
      <c r="DGE149" s="609"/>
      <c r="DGF149" s="609"/>
      <c r="DGG149" s="609"/>
      <c r="DGH149" s="609"/>
      <c r="DGI149" s="609"/>
      <c r="DGJ149" s="609"/>
      <c r="DGK149" s="609"/>
      <c r="DGL149" s="609"/>
      <c r="DGM149" s="609"/>
      <c r="DGN149" s="609"/>
      <c r="DGO149" s="609"/>
      <c r="DGP149" s="609"/>
      <c r="DGQ149" s="609"/>
      <c r="DGR149" s="609"/>
      <c r="DGS149" s="609"/>
      <c r="DGT149" s="609"/>
      <c r="DGU149" s="609"/>
      <c r="DGV149" s="609"/>
      <c r="DGW149" s="609"/>
      <c r="DGX149" s="609"/>
      <c r="DGY149" s="609"/>
      <c r="DGZ149" s="609"/>
      <c r="DHA149" s="609"/>
      <c r="DHB149" s="609"/>
      <c r="DHC149" s="609"/>
      <c r="DHD149" s="609"/>
      <c r="DHE149" s="609"/>
      <c r="DHF149" s="609"/>
      <c r="DHG149" s="609"/>
      <c r="DHH149" s="609"/>
      <c r="DHI149" s="609"/>
      <c r="DHJ149" s="609"/>
      <c r="DHK149" s="609"/>
      <c r="DHL149" s="609"/>
      <c r="DHM149" s="609"/>
      <c r="DHN149" s="609"/>
      <c r="DHO149" s="609"/>
      <c r="DHP149" s="609"/>
      <c r="DHQ149" s="609"/>
      <c r="DHR149" s="609"/>
      <c r="DHS149" s="609"/>
      <c r="DHT149" s="609"/>
      <c r="DHU149" s="609"/>
      <c r="DHV149" s="609"/>
      <c r="DHW149" s="609"/>
      <c r="DHX149" s="609"/>
      <c r="DHY149" s="609"/>
      <c r="DHZ149" s="609"/>
      <c r="DIA149" s="609"/>
      <c r="DIB149" s="609"/>
      <c r="DIC149" s="609"/>
      <c r="DID149" s="609"/>
      <c r="DIE149" s="609"/>
      <c r="DIF149" s="609"/>
      <c r="DIG149" s="609"/>
      <c r="DIH149" s="609"/>
      <c r="DII149" s="609"/>
      <c r="DIJ149" s="609"/>
      <c r="DIK149" s="609"/>
      <c r="DIL149" s="609"/>
      <c r="DIM149" s="609"/>
      <c r="DIN149" s="609"/>
      <c r="DIO149" s="609"/>
      <c r="DIP149" s="609"/>
      <c r="DIQ149" s="609"/>
      <c r="DIR149" s="609"/>
      <c r="DIS149" s="609"/>
      <c r="DIT149" s="609"/>
      <c r="DIU149" s="609"/>
      <c r="DIV149" s="609"/>
      <c r="DIW149" s="609"/>
      <c r="DIX149" s="609"/>
      <c r="DIY149" s="609"/>
      <c r="DIZ149" s="609"/>
      <c r="DJA149" s="609"/>
      <c r="DJB149" s="609"/>
      <c r="DJC149" s="609"/>
      <c r="DJD149" s="609"/>
      <c r="DJE149" s="609"/>
      <c r="DJF149" s="609"/>
      <c r="DJG149" s="609"/>
      <c r="DJH149" s="609"/>
      <c r="DJI149" s="609"/>
      <c r="DJJ149" s="609"/>
      <c r="DJK149" s="609"/>
      <c r="DJL149" s="609"/>
      <c r="DJM149" s="609"/>
      <c r="DJN149" s="609"/>
      <c r="DJO149" s="609"/>
      <c r="DJP149" s="609"/>
      <c r="DJQ149" s="609"/>
      <c r="DJR149" s="609"/>
      <c r="DJS149" s="609"/>
      <c r="DJT149" s="609"/>
      <c r="DJU149" s="609"/>
      <c r="DJV149" s="609"/>
      <c r="DJW149" s="609"/>
      <c r="DJX149" s="609"/>
      <c r="DJY149" s="609"/>
      <c r="DJZ149" s="609"/>
      <c r="DKA149" s="609"/>
      <c r="DKB149" s="609"/>
      <c r="DKC149" s="609"/>
      <c r="DKD149" s="609"/>
      <c r="DKE149" s="609"/>
      <c r="DKF149" s="609"/>
      <c r="DKG149" s="609"/>
      <c r="DKH149" s="609"/>
      <c r="DKI149" s="609"/>
      <c r="DKJ149" s="609"/>
      <c r="DKK149" s="609"/>
      <c r="DKL149" s="609"/>
      <c r="DKM149" s="609"/>
      <c r="DKN149" s="609"/>
      <c r="DKO149" s="609"/>
      <c r="DKP149" s="609"/>
      <c r="DKQ149" s="609"/>
      <c r="DKR149" s="609"/>
      <c r="DKS149" s="609"/>
      <c r="DKT149" s="609"/>
      <c r="DKU149" s="609"/>
      <c r="DKV149" s="609"/>
      <c r="DKW149" s="609"/>
      <c r="DKX149" s="609"/>
      <c r="DKY149" s="609"/>
      <c r="DKZ149" s="609"/>
      <c r="DLA149" s="609"/>
      <c r="DLB149" s="609"/>
      <c r="DLC149" s="609"/>
      <c r="DLD149" s="609"/>
      <c r="DLE149" s="609"/>
      <c r="DLF149" s="609"/>
      <c r="DLG149" s="609"/>
      <c r="DLH149" s="609"/>
      <c r="DLI149" s="609"/>
      <c r="DLJ149" s="609"/>
      <c r="DLK149" s="609"/>
      <c r="DLL149" s="609"/>
      <c r="DLM149" s="609"/>
      <c r="DLN149" s="609"/>
      <c r="DLO149" s="609"/>
      <c r="DLP149" s="609"/>
      <c r="DLQ149" s="609"/>
      <c r="DLR149" s="609"/>
      <c r="DLS149" s="609"/>
      <c r="DLT149" s="609"/>
      <c r="DLU149" s="609"/>
      <c r="DLV149" s="609"/>
      <c r="DLW149" s="609"/>
      <c r="DLX149" s="609"/>
      <c r="DLY149" s="609"/>
      <c r="DLZ149" s="609"/>
      <c r="DMA149" s="609"/>
      <c r="DMB149" s="609"/>
      <c r="DMC149" s="609"/>
      <c r="DMD149" s="609"/>
      <c r="DME149" s="609"/>
      <c r="DMF149" s="609"/>
      <c r="DMG149" s="609"/>
      <c r="DMH149" s="609"/>
      <c r="DMI149" s="609"/>
      <c r="DMJ149" s="609"/>
      <c r="DMK149" s="609"/>
      <c r="DML149" s="609"/>
      <c r="DMM149" s="609"/>
      <c r="DMN149" s="609"/>
      <c r="DMO149" s="609"/>
      <c r="DMP149" s="609"/>
      <c r="DMQ149" s="609"/>
      <c r="DMR149" s="609"/>
      <c r="DMS149" s="609"/>
      <c r="DMT149" s="609"/>
      <c r="DMU149" s="609"/>
      <c r="DMV149" s="609"/>
      <c r="DMW149" s="609"/>
      <c r="DMX149" s="609"/>
      <c r="DMY149" s="609"/>
      <c r="DMZ149" s="609"/>
      <c r="DNA149" s="609"/>
      <c r="DNB149" s="609"/>
      <c r="DNC149" s="609"/>
      <c r="DND149" s="609"/>
      <c r="DNE149" s="609"/>
      <c r="DNF149" s="609"/>
      <c r="DNG149" s="609"/>
      <c r="DNH149" s="609"/>
      <c r="DNI149" s="609"/>
      <c r="DNJ149" s="609"/>
      <c r="DNK149" s="609"/>
      <c r="DNL149" s="609"/>
      <c r="DNM149" s="609"/>
      <c r="DNN149" s="609"/>
      <c r="DNO149" s="609"/>
      <c r="DNP149" s="609"/>
      <c r="DNQ149" s="609"/>
      <c r="DNR149" s="609"/>
      <c r="DNS149" s="609"/>
      <c r="DNT149" s="609"/>
      <c r="DNU149" s="609"/>
      <c r="DNV149" s="609"/>
      <c r="DNW149" s="609"/>
      <c r="DNX149" s="609"/>
      <c r="DNY149" s="609"/>
      <c r="DNZ149" s="609"/>
      <c r="DOA149" s="609"/>
      <c r="DOB149" s="609"/>
      <c r="DOC149" s="609"/>
      <c r="DOD149" s="609"/>
      <c r="DOE149" s="609"/>
      <c r="DOF149" s="609"/>
      <c r="DOG149" s="609"/>
      <c r="DOH149" s="609"/>
      <c r="DOI149" s="609"/>
      <c r="DOJ149" s="609"/>
      <c r="DOK149" s="609"/>
      <c r="DOL149" s="609"/>
      <c r="DOM149" s="609"/>
      <c r="DON149" s="609"/>
      <c r="DOO149" s="609"/>
      <c r="DOP149" s="609"/>
      <c r="DOQ149" s="609"/>
      <c r="DOR149" s="609"/>
      <c r="DOS149" s="609"/>
      <c r="DOT149" s="609"/>
      <c r="DOU149" s="609"/>
      <c r="DOV149" s="609"/>
      <c r="DOW149" s="609"/>
      <c r="DOX149" s="609"/>
      <c r="DOY149" s="609"/>
      <c r="DOZ149" s="609"/>
      <c r="DPA149" s="609"/>
      <c r="DPB149" s="609"/>
      <c r="DPC149" s="609"/>
      <c r="DPD149" s="609"/>
      <c r="DPE149" s="609"/>
      <c r="DPF149" s="609"/>
      <c r="DPG149" s="609"/>
      <c r="DPH149" s="609"/>
      <c r="DPI149" s="609"/>
      <c r="DPJ149" s="609"/>
      <c r="DPK149" s="609"/>
      <c r="DPL149" s="609"/>
      <c r="DPM149" s="609"/>
      <c r="DPN149" s="609"/>
      <c r="DPO149" s="609"/>
      <c r="DPP149" s="609"/>
      <c r="DPQ149" s="609"/>
      <c r="DPR149" s="609"/>
      <c r="DPS149" s="609"/>
      <c r="DPT149" s="609"/>
      <c r="DPU149" s="609"/>
      <c r="DPV149" s="609"/>
      <c r="DPW149" s="609"/>
      <c r="DPX149" s="609"/>
      <c r="DPY149" s="609"/>
      <c r="DPZ149" s="609"/>
      <c r="DQA149" s="609"/>
      <c r="DQB149" s="609"/>
      <c r="DQC149" s="609"/>
      <c r="DQD149" s="609"/>
      <c r="DQE149" s="609"/>
      <c r="DQF149" s="609"/>
      <c r="DQG149" s="609"/>
      <c r="DQH149" s="609"/>
      <c r="DQI149" s="609"/>
      <c r="DQJ149" s="609"/>
      <c r="DQK149" s="609"/>
      <c r="DQL149" s="609"/>
      <c r="DQM149" s="609"/>
      <c r="DQN149" s="609"/>
      <c r="DQO149" s="609"/>
      <c r="DQP149" s="609"/>
      <c r="DQQ149" s="609"/>
      <c r="DQR149" s="609"/>
      <c r="DQS149" s="609"/>
      <c r="DQT149" s="609"/>
      <c r="DQU149" s="609"/>
      <c r="DQV149" s="609"/>
      <c r="DQW149" s="609"/>
      <c r="DQX149" s="609"/>
      <c r="DQY149" s="609"/>
      <c r="DQZ149" s="609"/>
      <c r="DRA149" s="609"/>
      <c r="DRB149" s="609"/>
      <c r="DRC149" s="609"/>
      <c r="DRD149" s="609"/>
      <c r="DRE149" s="609"/>
      <c r="DRF149" s="609"/>
      <c r="DRG149" s="609"/>
      <c r="DRH149" s="609"/>
      <c r="DRI149" s="609"/>
      <c r="DRJ149" s="609"/>
      <c r="DRK149" s="609"/>
      <c r="DRL149" s="609"/>
      <c r="DRM149" s="609"/>
      <c r="DRN149" s="609"/>
      <c r="DRO149" s="609"/>
      <c r="DRP149" s="609"/>
      <c r="DRQ149" s="609"/>
      <c r="DRR149" s="609"/>
      <c r="DRS149" s="609"/>
      <c r="DRT149" s="609"/>
      <c r="DRU149" s="609"/>
      <c r="DRV149" s="609"/>
      <c r="DRW149" s="609"/>
      <c r="DRX149" s="609"/>
      <c r="DRY149" s="609"/>
      <c r="DRZ149" s="609"/>
      <c r="DSA149" s="609"/>
      <c r="DSB149" s="609"/>
      <c r="DSC149" s="609"/>
      <c r="DSD149" s="609"/>
      <c r="DSE149" s="609"/>
      <c r="DSF149" s="609"/>
      <c r="DSG149" s="609"/>
      <c r="DSH149" s="609"/>
      <c r="DSI149" s="609"/>
      <c r="DSJ149" s="609"/>
      <c r="DSK149" s="609"/>
      <c r="DSL149" s="609"/>
      <c r="DSM149" s="609"/>
      <c r="DSN149" s="609"/>
      <c r="DSO149" s="609"/>
      <c r="DSP149" s="609"/>
      <c r="DSQ149" s="609"/>
      <c r="DSR149" s="609"/>
      <c r="DSS149" s="609"/>
      <c r="DST149" s="609"/>
      <c r="DSU149" s="609"/>
      <c r="DSV149" s="609"/>
      <c r="DSW149" s="609"/>
      <c r="DSX149" s="609"/>
      <c r="DSY149" s="609"/>
      <c r="DSZ149" s="609"/>
      <c r="DTA149" s="609"/>
      <c r="DTB149" s="609"/>
      <c r="DTC149" s="609"/>
      <c r="DTD149" s="609"/>
      <c r="DTE149" s="609"/>
      <c r="DTF149" s="609"/>
      <c r="DTG149" s="609"/>
      <c r="DTH149" s="609"/>
      <c r="DTI149" s="609"/>
      <c r="DTJ149" s="609"/>
      <c r="DTK149" s="609"/>
      <c r="DTL149" s="609"/>
      <c r="DTM149" s="609"/>
      <c r="DTN149" s="609"/>
      <c r="DTO149" s="609"/>
      <c r="DTP149" s="609"/>
      <c r="DTQ149" s="609"/>
      <c r="DTR149" s="609"/>
      <c r="DTS149" s="609"/>
      <c r="DTT149" s="609"/>
      <c r="DTU149" s="609"/>
      <c r="DTV149" s="609"/>
      <c r="DTW149" s="609"/>
      <c r="DTX149" s="609"/>
      <c r="DTY149" s="609"/>
      <c r="DTZ149" s="609"/>
      <c r="DUA149" s="609"/>
      <c r="DUB149" s="609"/>
      <c r="DUC149" s="609"/>
      <c r="DUD149" s="609"/>
      <c r="DUE149" s="609"/>
      <c r="DUF149" s="609"/>
      <c r="DUG149" s="609"/>
      <c r="DUH149" s="609"/>
      <c r="DUI149" s="609"/>
      <c r="DUJ149" s="609"/>
      <c r="DUK149" s="609"/>
      <c r="DUL149" s="609"/>
      <c r="DUM149" s="609"/>
      <c r="DUN149" s="609"/>
      <c r="DUO149" s="609"/>
      <c r="DUP149" s="609"/>
      <c r="DUQ149" s="609"/>
      <c r="DUR149" s="609"/>
      <c r="DUS149" s="609"/>
      <c r="DUT149" s="609"/>
      <c r="DUU149" s="609"/>
      <c r="DUV149" s="609"/>
      <c r="DUW149" s="609"/>
      <c r="DUX149" s="609"/>
      <c r="DUY149" s="609"/>
      <c r="DUZ149" s="609"/>
      <c r="DVA149" s="609"/>
      <c r="DVB149" s="609"/>
      <c r="DVC149" s="609"/>
      <c r="DVD149" s="609"/>
      <c r="DVE149" s="609"/>
      <c r="DVF149" s="609"/>
      <c r="DVG149" s="609"/>
      <c r="DVH149" s="609"/>
      <c r="DVI149" s="609"/>
      <c r="DVJ149" s="609"/>
      <c r="DVK149" s="609"/>
      <c r="DVL149" s="609"/>
      <c r="DVM149" s="609"/>
      <c r="DVN149" s="609"/>
      <c r="DVO149" s="609"/>
      <c r="DVP149" s="609"/>
      <c r="DVQ149" s="609"/>
      <c r="DVR149" s="609"/>
      <c r="DVS149" s="609"/>
      <c r="DVT149" s="609"/>
      <c r="DVU149" s="609"/>
      <c r="DVV149" s="609"/>
      <c r="DVW149" s="609"/>
      <c r="DVX149" s="609"/>
      <c r="DVY149" s="609"/>
      <c r="DVZ149" s="609"/>
      <c r="DWA149" s="609"/>
      <c r="DWB149" s="609"/>
      <c r="DWC149" s="609"/>
      <c r="DWD149" s="609"/>
      <c r="DWE149" s="609"/>
      <c r="DWF149" s="609"/>
      <c r="DWG149" s="609"/>
      <c r="DWH149" s="609"/>
      <c r="DWI149" s="609"/>
      <c r="DWJ149" s="609"/>
      <c r="DWK149" s="609"/>
      <c r="DWL149" s="609"/>
      <c r="DWM149" s="609"/>
      <c r="DWN149" s="609"/>
      <c r="DWO149" s="609"/>
      <c r="DWP149" s="609"/>
      <c r="DWQ149" s="609"/>
      <c r="DWR149" s="609"/>
      <c r="DWS149" s="609"/>
      <c r="DWT149" s="609"/>
      <c r="DWU149" s="609"/>
      <c r="DWV149" s="609"/>
      <c r="DWW149" s="609"/>
      <c r="DWX149" s="609"/>
      <c r="DWY149" s="609"/>
      <c r="DWZ149" s="609"/>
      <c r="DXA149" s="609"/>
      <c r="DXB149" s="609"/>
      <c r="DXC149" s="609"/>
      <c r="DXD149" s="609"/>
      <c r="DXE149" s="609"/>
      <c r="DXF149" s="609"/>
      <c r="DXG149" s="609"/>
      <c r="DXH149" s="609"/>
      <c r="DXI149" s="609"/>
      <c r="DXJ149" s="609"/>
      <c r="DXK149" s="609"/>
      <c r="DXL149" s="609"/>
      <c r="DXM149" s="609"/>
      <c r="DXN149" s="609"/>
      <c r="DXO149" s="609"/>
      <c r="DXP149" s="609"/>
      <c r="DXQ149" s="609"/>
      <c r="DXR149" s="609"/>
      <c r="DXS149" s="609"/>
      <c r="DXT149" s="609"/>
      <c r="DXU149" s="609"/>
      <c r="DXV149" s="609"/>
      <c r="DXW149" s="609"/>
      <c r="DXX149" s="609"/>
      <c r="DXY149" s="609"/>
      <c r="DXZ149" s="609"/>
      <c r="DYA149" s="609"/>
      <c r="DYB149" s="609"/>
      <c r="DYC149" s="609"/>
      <c r="DYD149" s="609"/>
      <c r="DYE149" s="609"/>
      <c r="DYF149" s="609"/>
      <c r="DYG149" s="609"/>
      <c r="DYH149" s="609"/>
      <c r="DYI149" s="609"/>
      <c r="DYJ149" s="609"/>
      <c r="DYK149" s="609"/>
      <c r="DYL149" s="609"/>
      <c r="DYM149" s="609"/>
      <c r="DYN149" s="609"/>
      <c r="DYO149" s="609"/>
      <c r="DYP149" s="609"/>
      <c r="DYQ149" s="609"/>
      <c r="DYR149" s="609"/>
      <c r="DYS149" s="609"/>
      <c r="DYT149" s="609"/>
      <c r="DYU149" s="609"/>
      <c r="DYV149" s="609"/>
      <c r="DYW149" s="609"/>
      <c r="DYX149" s="609"/>
      <c r="DYY149" s="609"/>
      <c r="DYZ149" s="609"/>
      <c r="DZA149" s="609"/>
      <c r="DZB149" s="609"/>
      <c r="DZC149" s="609"/>
      <c r="DZD149" s="609"/>
      <c r="DZE149" s="609"/>
      <c r="DZF149" s="609"/>
      <c r="DZG149" s="609"/>
      <c r="DZH149" s="609"/>
      <c r="DZI149" s="609"/>
      <c r="DZJ149" s="609"/>
      <c r="DZK149" s="609"/>
      <c r="DZL149" s="609"/>
      <c r="DZM149" s="609"/>
      <c r="DZN149" s="609"/>
      <c r="DZO149" s="609"/>
      <c r="DZP149" s="609"/>
      <c r="DZQ149" s="609"/>
      <c r="DZR149" s="609"/>
      <c r="DZS149" s="609"/>
      <c r="DZT149" s="609"/>
      <c r="DZU149" s="609"/>
      <c r="DZV149" s="609"/>
      <c r="DZW149" s="609"/>
      <c r="DZX149" s="609"/>
      <c r="DZY149" s="609"/>
      <c r="DZZ149" s="609"/>
      <c r="EAA149" s="609"/>
      <c r="EAB149" s="609"/>
      <c r="EAC149" s="609"/>
      <c r="EAD149" s="609"/>
      <c r="EAE149" s="609"/>
      <c r="EAF149" s="609"/>
      <c r="EAG149" s="609"/>
      <c r="EAH149" s="609"/>
      <c r="EAI149" s="609"/>
      <c r="EAJ149" s="609"/>
      <c r="EAK149" s="609"/>
      <c r="EAL149" s="609"/>
      <c r="EAM149" s="609"/>
      <c r="EAN149" s="609"/>
      <c r="EAO149" s="609"/>
      <c r="EAP149" s="609"/>
      <c r="EAQ149" s="609"/>
      <c r="EAR149" s="609"/>
      <c r="EAS149" s="609"/>
      <c r="EAT149" s="609"/>
      <c r="EAU149" s="609"/>
      <c r="EAV149" s="609"/>
      <c r="EAW149" s="609"/>
      <c r="EAX149" s="609"/>
      <c r="EAY149" s="609"/>
      <c r="EAZ149" s="609"/>
      <c r="EBA149" s="609"/>
      <c r="EBB149" s="609"/>
      <c r="EBC149" s="609"/>
      <c r="EBD149" s="609"/>
      <c r="EBE149" s="609"/>
      <c r="EBF149" s="609"/>
      <c r="EBG149" s="609"/>
      <c r="EBH149" s="609"/>
      <c r="EBI149" s="609"/>
      <c r="EBJ149" s="609"/>
      <c r="EBK149" s="609"/>
      <c r="EBL149" s="609"/>
      <c r="EBM149" s="609"/>
      <c r="EBN149" s="609"/>
      <c r="EBO149" s="609"/>
      <c r="EBP149" s="609"/>
      <c r="EBQ149" s="609"/>
      <c r="EBR149" s="609"/>
      <c r="EBS149" s="609"/>
      <c r="EBT149" s="609"/>
      <c r="EBU149" s="609"/>
      <c r="EBV149" s="609"/>
      <c r="EBW149" s="609"/>
      <c r="EBX149" s="609"/>
      <c r="EBY149" s="609"/>
      <c r="EBZ149" s="609"/>
      <c r="ECA149" s="609"/>
      <c r="ECB149" s="609"/>
      <c r="ECC149" s="609"/>
      <c r="ECD149" s="609"/>
      <c r="ECE149" s="609"/>
      <c r="ECF149" s="609"/>
      <c r="ECG149" s="609"/>
      <c r="ECH149" s="609"/>
      <c r="ECI149" s="609"/>
      <c r="ECJ149" s="609"/>
      <c r="ECK149" s="609"/>
      <c r="ECL149" s="609"/>
      <c r="ECM149" s="609"/>
      <c r="ECN149" s="609"/>
      <c r="ECO149" s="609"/>
      <c r="ECP149" s="609"/>
      <c r="ECQ149" s="609"/>
      <c r="ECR149" s="609"/>
      <c r="ECS149" s="609"/>
      <c r="ECT149" s="609"/>
      <c r="ECU149" s="609"/>
      <c r="ECV149" s="609"/>
      <c r="ECW149" s="609"/>
      <c r="ECX149" s="609"/>
      <c r="ECY149" s="609"/>
      <c r="ECZ149" s="609"/>
      <c r="EDA149" s="609"/>
      <c r="EDB149" s="609"/>
      <c r="EDC149" s="609"/>
      <c r="EDD149" s="609"/>
      <c r="EDE149" s="609"/>
      <c r="EDF149" s="609"/>
      <c r="EDG149" s="609"/>
      <c r="EDH149" s="609"/>
      <c r="EDI149" s="609"/>
      <c r="EDJ149" s="609"/>
      <c r="EDK149" s="609"/>
      <c r="EDL149" s="609"/>
      <c r="EDM149" s="609"/>
      <c r="EDN149" s="609"/>
      <c r="EDO149" s="609"/>
      <c r="EDP149" s="609"/>
      <c r="EDQ149" s="609"/>
      <c r="EDR149" s="609"/>
      <c r="EDS149" s="609"/>
      <c r="EDT149" s="609"/>
      <c r="EDU149" s="609"/>
      <c r="EDV149" s="609"/>
      <c r="EDW149" s="609"/>
      <c r="EDX149" s="609"/>
      <c r="EDY149" s="609"/>
      <c r="EDZ149" s="609"/>
      <c r="EEA149" s="609"/>
      <c r="EEB149" s="609"/>
      <c r="EEC149" s="609"/>
      <c r="EED149" s="609"/>
      <c r="EEE149" s="609"/>
      <c r="EEF149" s="609"/>
      <c r="EEG149" s="609"/>
      <c r="EEH149" s="609"/>
      <c r="EEI149" s="609"/>
      <c r="EEJ149" s="609"/>
      <c r="EEK149" s="609"/>
      <c r="EEL149" s="609"/>
      <c r="EEM149" s="609"/>
      <c r="EEN149" s="609"/>
      <c r="EEO149" s="609"/>
      <c r="EEP149" s="609"/>
      <c r="EEQ149" s="609"/>
      <c r="EER149" s="609"/>
      <c r="EES149" s="609"/>
      <c r="EET149" s="609"/>
      <c r="EEU149" s="609"/>
      <c r="EEV149" s="609"/>
      <c r="EEW149" s="609"/>
      <c r="EEX149" s="609"/>
      <c r="EEY149" s="609"/>
      <c r="EEZ149" s="609"/>
      <c r="EFA149" s="609"/>
      <c r="EFB149" s="609"/>
      <c r="EFC149" s="609"/>
      <c r="EFD149" s="609"/>
      <c r="EFE149" s="609"/>
      <c r="EFF149" s="609"/>
      <c r="EFG149" s="609"/>
      <c r="EFH149" s="609"/>
      <c r="EFI149" s="609"/>
      <c r="EFJ149" s="609"/>
      <c r="EFK149" s="609"/>
      <c r="EFL149" s="609"/>
      <c r="EFM149" s="609"/>
      <c r="EFN149" s="609"/>
      <c r="EFO149" s="609"/>
      <c r="EFP149" s="609"/>
      <c r="EFQ149" s="609"/>
      <c r="EFR149" s="609"/>
      <c r="EFS149" s="609"/>
      <c r="EFT149" s="609"/>
      <c r="EFU149" s="609"/>
      <c r="EFV149" s="609"/>
      <c r="EFW149" s="609"/>
      <c r="EFX149" s="609"/>
      <c r="EFY149" s="609"/>
      <c r="EFZ149" s="609"/>
      <c r="EGA149" s="609"/>
      <c r="EGB149" s="609"/>
      <c r="EGC149" s="609"/>
      <c r="EGD149" s="609"/>
      <c r="EGE149" s="609"/>
      <c r="EGF149" s="609"/>
      <c r="EGG149" s="609"/>
      <c r="EGH149" s="609"/>
      <c r="EGI149" s="609"/>
      <c r="EGJ149" s="609"/>
      <c r="EGK149" s="609"/>
      <c r="EGL149" s="609"/>
      <c r="EGM149" s="609"/>
      <c r="EGN149" s="609"/>
      <c r="EGO149" s="609"/>
      <c r="EGP149" s="609"/>
      <c r="EGQ149" s="609"/>
      <c r="EGR149" s="609"/>
      <c r="EGS149" s="609"/>
      <c r="EGT149" s="609"/>
      <c r="EGU149" s="609"/>
      <c r="EGV149" s="609"/>
      <c r="EGW149" s="609"/>
      <c r="EGX149" s="609"/>
      <c r="EGY149" s="609"/>
      <c r="EGZ149" s="609"/>
      <c r="EHA149" s="609"/>
      <c r="EHB149" s="609"/>
      <c r="EHC149" s="609"/>
      <c r="EHD149" s="609"/>
      <c r="EHE149" s="609"/>
      <c r="EHF149" s="609"/>
      <c r="EHG149" s="609"/>
      <c r="EHH149" s="609"/>
      <c r="EHI149" s="609"/>
      <c r="EHJ149" s="609"/>
      <c r="EHK149" s="609"/>
      <c r="EHL149" s="609"/>
      <c r="EHM149" s="609"/>
      <c r="EHN149" s="609"/>
      <c r="EHO149" s="609"/>
      <c r="EHP149" s="609"/>
      <c r="EHQ149" s="609"/>
      <c r="EHR149" s="609"/>
      <c r="EHS149" s="609"/>
      <c r="EHT149" s="609"/>
      <c r="EHU149" s="609"/>
      <c r="EHV149" s="609"/>
      <c r="EHW149" s="609"/>
      <c r="EHX149" s="609"/>
      <c r="EHY149" s="609"/>
      <c r="EHZ149" s="609"/>
      <c r="EIA149" s="609"/>
      <c r="EIB149" s="609"/>
      <c r="EIC149" s="609"/>
      <c r="EID149" s="609"/>
      <c r="EIE149" s="609"/>
      <c r="EIF149" s="609"/>
      <c r="EIG149" s="609"/>
      <c r="EIH149" s="609"/>
      <c r="EII149" s="609"/>
      <c r="EIJ149" s="609"/>
      <c r="EIK149" s="609"/>
      <c r="EIL149" s="609"/>
      <c r="EIM149" s="609"/>
      <c r="EIN149" s="609"/>
      <c r="EIO149" s="609"/>
      <c r="EIP149" s="609"/>
      <c r="EIQ149" s="609"/>
      <c r="EIR149" s="609"/>
      <c r="EIS149" s="609"/>
      <c r="EIT149" s="609"/>
      <c r="EIU149" s="609"/>
      <c r="EIV149" s="609"/>
      <c r="EIW149" s="609"/>
      <c r="EIX149" s="609"/>
      <c r="EIY149" s="609"/>
      <c r="EIZ149" s="609"/>
      <c r="EJA149" s="609"/>
      <c r="EJB149" s="609"/>
      <c r="EJC149" s="609"/>
      <c r="EJD149" s="609"/>
      <c r="EJE149" s="609"/>
      <c r="EJF149" s="609"/>
      <c r="EJG149" s="609"/>
      <c r="EJH149" s="609"/>
      <c r="EJI149" s="609"/>
      <c r="EJJ149" s="609"/>
      <c r="EJK149" s="609"/>
      <c r="EJL149" s="609"/>
      <c r="EJM149" s="609"/>
      <c r="EJN149" s="609"/>
      <c r="EJO149" s="609"/>
      <c r="EJP149" s="609"/>
      <c r="EJQ149" s="609"/>
      <c r="EJR149" s="609"/>
      <c r="EJS149" s="609"/>
      <c r="EJT149" s="609"/>
      <c r="EJU149" s="609"/>
      <c r="EJV149" s="609"/>
      <c r="EJW149" s="609"/>
      <c r="EJX149" s="609"/>
      <c r="EJY149" s="609"/>
      <c r="EJZ149" s="609"/>
      <c r="EKA149" s="609"/>
      <c r="EKB149" s="609"/>
      <c r="EKC149" s="609"/>
      <c r="EKD149" s="609"/>
      <c r="EKE149" s="609"/>
      <c r="EKF149" s="609"/>
      <c r="EKG149" s="609"/>
      <c r="EKH149" s="609"/>
      <c r="EKI149" s="609"/>
      <c r="EKJ149" s="609"/>
      <c r="EKK149" s="609"/>
      <c r="EKL149" s="609"/>
      <c r="EKM149" s="609"/>
      <c r="EKN149" s="609"/>
      <c r="EKO149" s="609"/>
      <c r="EKP149" s="609"/>
      <c r="EKQ149" s="609"/>
      <c r="EKR149" s="609"/>
      <c r="EKS149" s="609"/>
      <c r="EKT149" s="609"/>
      <c r="EKU149" s="609"/>
      <c r="EKV149" s="609"/>
      <c r="EKW149" s="609"/>
      <c r="EKX149" s="609"/>
      <c r="EKY149" s="609"/>
      <c r="EKZ149" s="609"/>
      <c r="ELA149" s="609"/>
      <c r="ELB149" s="609"/>
      <c r="ELC149" s="609"/>
      <c r="ELD149" s="609"/>
      <c r="ELE149" s="609"/>
      <c r="ELF149" s="609"/>
      <c r="ELG149" s="609"/>
      <c r="ELH149" s="609"/>
      <c r="ELI149" s="609"/>
      <c r="ELJ149" s="609"/>
      <c r="ELK149" s="609"/>
      <c r="ELL149" s="609"/>
      <c r="ELM149" s="609"/>
      <c r="ELN149" s="609"/>
      <c r="ELO149" s="609"/>
      <c r="ELP149" s="609"/>
      <c r="ELQ149" s="609"/>
      <c r="ELR149" s="609"/>
      <c r="ELS149" s="609"/>
      <c r="ELT149" s="609"/>
      <c r="ELU149" s="609"/>
      <c r="ELV149" s="609"/>
      <c r="ELW149" s="609"/>
      <c r="ELX149" s="609"/>
      <c r="ELY149" s="609"/>
      <c r="ELZ149" s="609"/>
      <c r="EMA149" s="609"/>
      <c r="EMB149" s="609"/>
      <c r="EMC149" s="609"/>
      <c r="EMD149" s="609"/>
      <c r="EME149" s="609"/>
      <c r="EMF149" s="609"/>
      <c r="EMG149" s="609"/>
      <c r="EMH149" s="609"/>
      <c r="EMI149" s="609"/>
      <c r="EMJ149" s="609"/>
      <c r="EMK149" s="609"/>
      <c r="EML149" s="609"/>
      <c r="EMM149" s="609"/>
      <c r="EMN149" s="609"/>
      <c r="EMO149" s="609"/>
      <c r="EMP149" s="609"/>
      <c r="EMQ149" s="609"/>
      <c r="EMR149" s="609"/>
      <c r="EMS149" s="609"/>
      <c r="EMT149" s="609"/>
      <c r="EMU149" s="609"/>
      <c r="EMV149" s="609"/>
      <c r="EMW149" s="609"/>
      <c r="EMX149" s="609"/>
      <c r="EMY149" s="609"/>
      <c r="EMZ149" s="609"/>
      <c r="ENA149" s="609"/>
      <c r="ENB149" s="609"/>
      <c r="ENC149" s="609"/>
      <c r="END149" s="609"/>
      <c r="ENE149" s="609"/>
      <c r="ENF149" s="609"/>
      <c r="ENG149" s="609"/>
      <c r="ENH149" s="609"/>
      <c r="ENI149" s="609"/>
      <c r="ENJ149" s="609"/>
      <c r="ENK149" s="609"/>
      <c r="ENL149" s="609"/>
      <c r="ENM149" s="609"/>
      <c r="ENN149" s="609"/>
      <c r="ENO149" s="609"/>
      <c r="ENP149" s="609"/>
      <c r="ENQ149" s="609"/>
      <c r="ENR149" s="609"/>
      <c r="ENS149" s="609"/>
      <c r="ENT149" s="609"/>
      <c r="ENU149" s="609"/>
      <c r="ENV149" s="609"/>
      <c r="ENW149" s="609"/>
      <c r="ENX149" s="609"/>
      <c r="ENY149" s="609"/>
      <c r="ENZ149" s="609"/>
      <c r="EOA149" s="609"/>
      <c r="EOB149" s="609"/>
      <c r="EOC149" s="609"/>
      <c r="EOD149" s="609"/>
      <c r="EOE149" s="609"/>
      <c r="EOF149" s="609"/>
      <c r="EOG149" s="609"/>
      <c r="EOH149" s="609"/>
      <c r="EOI149" s="609"/>
      <c r="EOJ149" s="609"/>
      <c r="EOK149" s="609"/>
      <c r="EOL149" s="609"/>
      <c r="EOM149" s="609"/>
      <c r="EON149" s="609"/>
      <c r="EOO149" s="609"/>
      <c r="EOP149" s="609"/>
      <c r="EOQ149" s="609"/>
      <c r="EOR149" s="609"/>
      <c r="EOS149" s="609"/>
      <c r="EOT149" s="609"/>
      <c r="EOU149" s="609"/>
      <c r="EOV149" s="609"/>
      <c r="EOW149" s="609"/>
      <c r="EOX149" s="609"/>
      <c r="EOY149" s="609"/>
      <c r="EOZ149" s="609"/>
      <c r="EPA149" s="609"/>
      <c r="EPB149" s="609"/>
      <c r="EPC149" s="609"/>
      <c r="EPD149" s="609"/>
      <c r="EPE149" s="609"/>
      <c r="EPF149" s="609"/>
      <c r="EPG149" s="609"/>
      <c r="EPH149" s="609"/>
      <c r="EPI149" s="609"/>
      <c r="EPJ149" s="609"/>
      <c r="EPK149" s="609"/>
      <c r="EPL149" s="609"/>
      <c r="EPM149" s="609"/>
      <c r="EPN149" s="609"/>
      <c r="EPO149" s="609"/>
      <c r="EPP149" s="609"/>
      <c r="EPQ149" s="609"/>
      <c r="EPR149" s="609"/>
      <c r="EPS149" s="609"/>
      <c r="EPT149" s="609"/>
      <c r="EPU149" s="609"/>
      <c r="EPV149" s="609"/>
      <c r="EPW149" s="609"/>
      <c r="EPX149" s="609"/>
      <c r="EPY149" s="609"/>
      <c r="EPZ149" s="609"/>
      <c r="EQA149" s="609"/>
      <c r="EQB149" s="609"/>
      <c r="EQC149" s="609"/>
      <c r="EQD149" s="609"/>
      <c r="EQE149" s="609"/>
      <c r="EQF149" s="609"/>
      <c r="EQG149" s="609"/>
      <c r="EQH149" s="609"/>
      <c r="EQI149" s="609"/>
      <c r="EQJ149" s="609"/>
      <c r="EQK149" s="609"/>
      <c r="EQL149" s="609"/>
      <c r="EQM149" s="609"/>
      <c r="EQN149" s="609"/>
      <c r="EQO149" s="609"/>
      <c r="EQP149" s="609"/>
      <c r="EQQ149" s="609"/>
      <c r="EQR149" s="609"/>
      <c r="EQS149" s="609"/>
      <c r="EQT149" s="609"/>
      <c r="EQU149" s="609"/>
      <c r="EQV149" s="609"/>
      <c r="EQW149" s="609"/>
      <c r="EQX149" s="609"/>
      <c r="EQY149" s="609"/>
      <c r="EQZ149" s="609"/>
      <c r="ERA149" s="609"/>
      <c r="ERB149" s="609"/>
      <c r="ERC149" s="609"/>
      <c r="ERD149" s="609"/>
      <c r="ERE149" s="609"/>
      <c r="ERF149" s="609"/>
      <c r="ERG149" s="609"/>
      <c r="ERH149" s="609"/>
      <c r="ERI149" s="609"/>
      <c r="ERJ149" s="609"/>
      <c r="ERK149" s="609"/>
      <c r="ERL149" s="609"/>
      <c r="ERM149" s="609"/>
      <c r="ERN149" s="609"/>
      <c r="ERO149" s="609"/>
      <c r="ERP149" s="609"/>
      <c r="ERQ149" s="609"/>
      <c r="ERR149" s="609"/>
      <c r="ERS149" s="609"/>
      <c r="ERT149" s="609"/>
      <c r="ERU149" s="609"/>
      <c r="ERV149" s="609"/>
      <c r="ERW149" s="609"/>
      <c r="ERX149" s="609"/>
      <c r="ERY149" s="609"/>
      <c r="ERZ149" s="609"/>
      <c r="ESA149" s="609"/>
      <c r="ESB149" s="609"/>
      <c r="ESC149" s="609"/>
      <c r="ESD149" s="609"/>
      <c r="ESE149" s="609"/>
      <c r="ESF149" s="609"/>
      <c r="ESG149" s="609"/>
      <c r="ESH149" s="609"/>
      <c r="ESI149" s="609"/>
      <c r="ESJ149" s="609"/>
      <c r="ESK149" s="609"/>
      <c r="ESL149" s="609"/>
      <c r="ESM149" s="609"/>
      <c r="ESN149" s="609"/>
      <c r="ESO149" s="609"/>
      <c r="ESP149" s="609"/>
      <c r="ESQ149" s="609"/>
      <c r="ESR149" s="609"/>
      <c r="ESS149" s="609"/>
      <c r="EST149" s="609"/>
      <c r="ESU149" s="609"/>
      <c r="ESV149" s="609"/>
      <c r="ESW149" s="609"/>
      <c r="ESX149" s="609"/>
      <c r="ESY149" s="609"/>
      <c r="ESZ149" s="609"/>
      <c r="ETA149" s="609"/>
      <c r="ETB149" s="609"/>
      <c r="ETC149" s="609"/>
      <c r="ETD149" s="609"/>
      <c r="ETE149" s="609"/>
      <c r="ETF149" s="609"/>
      <c r="ETG149" s="609"/>
      <c r="ETH149" s="609"/>
      <c r="ETI149" s="609"/>
      <c r="ETJ149" s="609"/>
      <c r="ETK149" s="609"/>
      <c r="ETL149" s="609"/>
      <c r="ETM149" s="609"/>
      <c r="ETN149" s="609"/>
      <c r="ETO149" s="609"/>
      <c r="ETP149" s="609"/>
      <c r="ETQ149" s="609"/>
      <c r="ETR149" s="609"/>
      <c r="ETS149" s="609"/>
      <c r="ETT149" s="609"/>
      <c r="ETU149" s="609"/>
      <c r="ETV149" s="609"/>
      <c r="ETW149" s="609"/>
      <c r="ETX149" s="609"/>
      <c r="ETY149" s="609"/>
      <c r="ETZ149" s="609"/>
      <c r="EUA149" s="609"/>
      <c r="EUB149" s="609"/>
      <c r="EUC149" s="609"/>
      <c r="EUD149" s="609"/>
      <c r="EUE149" s="609"/>
      <c r="EUF149" s="609"/>
      <c r="EUG149" s="609"/>
      <c r="EUH149" s="609"/>
      <c r="EUI149" s="609"/>
      <c r="EUJ149" s="609"/>
      <c r="EUK149" s="609"/>
      <c r="EUL149" s="609"/>
      <c r="EUM149" s="609"/>
      <c r="EUN149" s="609"/>
      <c r="EUO149" s="609"/>
      <c r="EUP149" s="609"/>
      <c r="EUQ149" s="609"/>
      <c r="EUR149" s="609"/>
      <c r="EUS149" s="609"/>
      <c r="EUT149" s="609"/>
      <c r="EUU149" s="609"/>
      <c r="EUV149" s="609"/>
      <c r="EUW149" s="609"/>
      <c r="EUX149" s="609"/>
      <c r="EUY149" s="609"/>
      <c r="EUZ149" s="609"/>
      <c r="EVA149" s="609"/>
      <c r="EVB149" s="609"/>
      <c r="EVC149" s="609"/>
      <c r="EVD149" s="609"/>
      <c r="EVE149" s="609"/>
      <c r="EVF149" s="609"/>
      <c r="EVG149" s="609"/>
      <c r="EVH149" s="609"/>
      <c r="EVI149" s="609"/>
      <c r="EVJ149" s="609"/>
      <c r="EVK149" s="609"/>
      <c r="EVL149" s="609"/>
      <c r="EVM149" s="609"/>
      <c r="EVN149" s="609"/>
      <c r="EVO149" s="609"/>
      <c r="EVP149" s="609"/>
      <c r="EVQ149" s="609"/>
      <c r="EVR149" s="609"/>
      <c r="EVS149" s="609"/>
      <c r="EVT149" s="609"/>
      <c r="EVU149" s="609"/>
      <c r="EVV149" s="609"/>
      <c r="EVW149" s="609"/>
      <c r="EVX149" s="609"/>
      <c r="EVY149" s="609"/>
      <c r="EVZ149" s="609"/>
      <c r="EWA149" s="609"/>
      <c r="EWB149" s="609"/>
      <c r="EWC149" s="609"/>
      <c r="EWD149" s="609"/>
      <c r="EWE149" s="609"/>
      <c r="EWF149" s="609"/>
      <c r="EWG149" s="609"/>
      <c r="EWH149" s="609"/>
      <c r="EWI149" s="609"/>
      <c r="EWJ149" s="609"/>
      <c r="EWK149" s="609"/>
      <c r="EWL149" s="609"/>
      <c r="EWM149" s="609"/>
      <c r="EWN149" s="609"/>
      <c r="EWO149" s="609"/>
      <c r="EWP149" s="609"/>
      <c r="EWQ149" s="609"/>
      <c r="EWR149" s="609"/>
      <c r="EWS149" s="609"/>
      <c r="EWT149" s="609"/>
      <c r="EWU149" s="609"/>
      <c r="EWV149" s="609"/>
      <c r="EWW149" s="609"/>
      <c r="EWX149" s="609"/>
      <c r="EWY149" s="609"/>
      <c r="EWZ149" s="609"/>
      <c r="EXA149" s="609"/>
      <c r="EXB149" s="609"/>
      <c r="EXC149" s="609"/>
      <c r="EXD149" s="609"/>
      <c r="EXE149" s="609"/>
      <c r="EXF149" s="609"/>
      <c r="EXG149" s="609"/>
      <c r="EXH149" s="609"/>
      <c r="EXI149" s="609"/>
      <c r="EXJ149" s="609"/>
      <c r="EXK149" s="609"/>
      <c r="EXL149" s="609"/>
      <c r="EXM149" s="609"/>
      <c r="EXN149" s="609"/>
      <c r="EXO149" s="609"/>
      <c r="EXP149" s="609"/>
      <c r="EXQ149" s="609"/>
      <c r="EXR149" s="609"/>
      <c r="EXS149" s="609"/>
      <c r="EXT149" s="609"/>
      <c r="EXU149" s="609"/>
      <c r="EXV149" s="609"/>
      <c r="EXW149" s="609"/>
      <c r="EXX149" s="609"/>
      <c r="EXY149" s="609"/>
      <c r="EXZ149" s="609"/>
      <c r="EYA149" s="609"/>
      <c r="EYB149" s="609"/>
      <c r="EYC149" s="609"/>
      <c r="EYD149" s="609"/>
      <c r="EYE149" s="609"/>
      <c r="EYF149" s="609"/>
      <c r="EYG149" s="609"/>
      <c r="EYH149" s="609"/>
      <c r="EYI149" s="609"/>
      <c r="EYJ149" s="609"/>
      <c r="EYK149" s="609"/>
      <c r="EYL149" s="609"/>
      <c r="EYM149" s="609"/>
      <c r="EYN149" s="609"/>
      <c r="EYO149" s="609"/>
      <c r="EYP149" s="609"/>
      <c r="EYQ149" s="609"/>
      <c r="EYR149" s="609"/>
      <c r="EYS149" s="609"/>
      <c r="EYT149" s="609"/>
      <c r="EYU149" s="609"/>
      <c r="EYV149" s="609"/>
      <c r="EYW149" s="609"/>
      <c r="EYX149" s="609"/>
      <c r="EYY149" s="609"/>
      <c r="EYZ149" s="609"/>
      <c r="EZA149" s="609"/>
      <c r="EZB149" s="609"/>
      <c r="EZC149" s="609"/>
      <c r="EZD149" s="609"/>
      <c r="EZE149" s="609"/>
      <c r="EZF149" s="609"/>
      <c r="EZG149" s="609"/>
      <c r="EZH149" s="609"/>
      <c r="EZI149" s="609"/>
      <c r="EZJ149" s="609"/>
      <c r="EZK149" s="609"/>
      <c r="EZL149" s="609"/>
      <c r="EZM149" s="609"/>
      <c r="EZN149" s="609"/>
      <c r="EZO149" s="609"/>
      <c r="EZP149" s="609"/>
      <c r="EZQ149" s="609"/>
      <c r="EZR149" s="609"/>
      <c r="EZS149" s="609"/>
      <c r="EZT149" s="609"/>
      <c r="EZU149" s="609"/>
      <c r="EZV149" s="609"/>
      <c r="EZW149" s="609"/>
      <c r="EZX149" s="609"/>
      <c r="EZY149" s="609"/>
      <c r="EZZ149" s="609"/>
      <c r="FAA149" s="609"/>
      <c r="FAB149" s="609"/>
      <c r="FAC149" s="609"/>
      <c r="FAD149" s="609"/>
      <c r="FAE149" s="609"/>
      <c r="FAF149" s="609"/>
      <c r="FAG149" s="609"/>
      <c r="FAH149" s="609"/>
      <c r="FAI149" s="609"/>
      <c r="FAJ149" s="609"/>
      <c r="FAK149" s="609"/>
      <c r="FAL149" s="609"/>
      <c r="FAM149" s="609"/>
      <c r="FAN149" s="609"/>
      <c r="FAO149" s="609"/>
      <c r="FAP149" s="609"/>
      <c r="FAQ149" s="609"/>
      <c r="FAR149" s="609"/>
      <c r="FAS149" s="609"/>
      <c r="FAT149" s="609"/>
      <c r="FAU149" s="609"/>
      <c r="FAV149" s="609"/>
      <c r="FAW149" s="609"/>
      <c r="FAX149" s="609"/>
      <c r="FAY149" s="609"/>
      <c r="FAZ149" s="609"/>
      <c r="FBA149" s="609"/>
      <c r="FBB149" s="609"/>
      <c r="FBC149" s="609"/>
      <c r="FBD149" s="609"/>
      <c r="FBE149" s="609"/>
      <c r="FBF149" s="609"/>
      <c r="FBG149" s="609"/>
      <c r="FBH149" s="609"/>
      <c r="FBI149" s="609"/>
      <c r="FBJ149" s="609"/>
      <c r="FBK149" s="609"/>
      <c r="FBL149" s="609"/>
      <c r="FBM149" s="609"/>
      <c r="FBN149" s="609"/>
      <c r="FBO149" s="609"/>
      <c r="FBP149" s="609"/>
      <c r="FBQ149" s="609"/>
      <c r="FBR149" s="609"/>
      <c r="FBS149" s="609"/>
      <c r="FBT149" s="609"/>
      <c r="FBU149" s="609"/>
      <c r="FBV149" s="609"/>
      <c r="FBW149" s="609"/>
      <c r="FBX149" s="609"/>
      <c r="FBY149" s="609"/>
      <c r="FBZ149" s="609"/>
      <c r="FCA149" s="609"/>
      <c r="FCB149" s="609"/>
      <c r="FCC149" s="609"/>
      <c r="FCD149" s="609"/>
      <c r="FCE149" s="609"/>
      <c r="FCF149" s="609"/>
      <c r="FCG149" s="609"/>
      <c r="FCH149" s="609"/>
      <c r="FCI149" s="609"/>
      <c r="FCJ149" s="609"/>
      <c r="FCK149" s="609"/>
      <c r="FCL149" s="609"/>
      <c r="FCM149" s="609"/>
      <c r="FCN149" s="609"/>
      <c r="FCO149" s="609"/>
      <c r="FCP149" s="609"/>
      <c r="FCQ149" s="609"/>
      <c r="FCR149" s="609"/>
      <c r="FCS149" s="609"/>
      <c r="FCT149" s="609"/>
      <c r="FCU149" s="609"/>
      <c r="FCV149" s="609"/>
      <c r="FCW149" s="609"/>
      <c r="FCX149" s="609"/>
      <c r="FCY149" s="609"/>
      <c r="FCZ149" s="609"/>
      <c r="FDA149" s="609"/>
      <c r="FDB149" s="609"/>
      <c r="FDC149" s="609"/>
      <c r="FDD149" s="609"/>
      <c r="FDE149" s="609"/>
      <c r="FDF149" s="609"/>
      <c r="FDG149" s="609"/>
      <c r="FDH149" s="609"/>
      <c r="FDI149" s="609"/>
      <c r="FDJ149" s="609"/>
      <c r="FDK149" s="609"/>
      <c r="FDL149" s="609"/>
      <c r="FDM149" s="609"/>
      <c r="FDN149" s="609"/>
      <c r="FDO149" s="609"/>
      <c r="FDP149" s="609"/>
      <c r="FDQ149" s="609"/>
      <c r="FDR149" s="609"/>
      <c r="FDS149" s="609"/>
      <c r="FDT149" s="609"/>
      <c r="FDU149" s="609"/>
      <c r="FDV149" s="609"/>
      <c r="FDW149" s="609"/>
      <c r="FDX149" s="609"/>
      <c r="FDY149" s="609"/>
      <c r="FDZ149" s="609"/>
      <c r="FEA149" s="609"/>
      <c r="FEB149" s="609"/>
      <c r="FEC149" s="609"/>
      <c r="FED149" s="609"/>
      <c r="FEE149" s="609"/>
      <c r="FEF149" s="609"/>
      <c r="FEG149" s="609"/>
      <c r="FEH149" s="609"/>
      <c r="FEI149" s="609"/>
      <c r="FEJ149" s="609"/>
      <c r="FEK149" s="609"/>
      <c r="FEL149" s="609"/>
      <c r="FEM149" s="609"/>
      <c r="FEN149" s="609"/>
      <c r="FEO149" s="609"/>
      <c r="FEP149" s="609"/>
      <c r="FEQ149" s="609"/>
      <c r="FER149" s="609"/>
      <c r="FES149" s="609"/>
      <c r="FET149" s="609"/>
      <c r="FEU149" s="609"/>
      <c r="FEV149" s="609"/>
      <c r="FEW149" s="609"/>
      <c r="FEX149" s="609"/>
      <c r="FEY149" s="609"/>
      <c r="FEZ149" s="609"/>
      <c r="FFA149" s="609"/>
      <c r="FFB149" s="609"/>
      <c r="FFC149" s="609"/>
      <c r="FFD149" s="609"/>
      <c r="FFE149" s="609"/>
      <c r="FFF149" s="609"/>
      <c r="FFG149" s="609"/>
      <c r="FFH149" s="609"/>
      <c r="FFI149" s="609"/>
      <c r="FFJ149" s="609"/>
      <c r="FFK149" s="609"/>
      <c r="FFL149" s="609"/>
      <c r="FFM149" s="609"/>
      <c r="FFN149" s="609"/>
      <c r="FFO149" s="609"/>
      <c r="FFP149" s="609"/>
      <c r="FFQ149" s="609"/>
      <c r="FFR149" s="609"/>
      <c r="FFS149" s="609"/>
      <c r="FFT149" s="609"/>
      <c r="FFU149" s="609"/>
      <c r="FFV149" s="609"/>
      <c r="FFW149" s="609"/>
      <c r="FFX149" s="609"/>
      <c r="FFY149" s="609"/>
      <c r="FFZ149" s="609"/>
      <c r="FGA149" s="609"/>
      <c r="FGB149" s="609"/>
      <c r="FGC149" s="609"/>
      <c r="FGD149" s="609"/>
      <c r="FGE149" s="609"/>
      <c r="FGF149" s="609"/>
      <c r="FGG149" s="609"/>
      <c r="FGH149" s="609"/>
      <c r="FGI149" s="609"/>
      <c r="FGJ149" s="609"/>
      <c r="FGK149" s="609"/>
      <c r="FGL149" s="609"/>
      <c r="FGM149" s="609"/>
      <c r="FGN149" s="609"/>
      <c r="FGO149" s="609"/>
      <c r="FGP149" s="609"/>
      <c r="FGQ149" s="609"/>
      <c r="FGR149" s="609"/>
      <c r="FGS149" s="609"/>
      <c r="FGT149" s="609"/>
      <c r="FGU149" s="609"/>
      <c r="FGV149" s="609"/>
      <c r="FGW149" s="609"/>
      <c r="FGX149" s="609"/>
      <c r="FGY149" s="609"/>
      <c r="FGZ149" s="609"/>
      <c r="FHA149" s="609"/>
      <c r="FHB149" s="609"/>
      <c r="FHC149" s="609"/>
      <c r="FHD149" s="609"/>
      <c r="FHE149" s="609"/>
      <c r="FHF149" s="609"/>
      <c r="FHG149" s="609"/>
      <c r="FHH149" s="609"/>
      <c r="FHI149" s="609"/>
      <c r="FHJ149" s="609"/>
      <c r="FHK149" s="609"/>
      <c r="FHL149" s="609"/>
      <c r="FHM149" s="609"/>
      <c r="FHN149" s="609"/>
      <c r="FHO149" s="609"/>
      <c r="FHP149" s="609"/>
      <c r="FHQ149" s="609"/>
      <c r="FHR149" s="609"/>
      <c r="FHS149" s="609"/>
      <c r="FHT149" s="609"/>
      <c r="FHU149" s="609"/>
      <c r="FHV149" s="609"/>
      <c r="FHW149" s="609"/>
      <c r="FHX149" s="609"/>
      <c r="FHY149" s="609"/>
      <c r="FHZ149" s="609"/>
      <c r="FIA149" s="609"/>
      <c r="FIB149" s="609"/>
      <c r="FIC149" s="609"/>
      <c r="FID149" s="609"/>
      <c r="FIE149" s="609"/>
      <c r="FIF149" s="609"/>
      <c r="FIG149" s="609"/>
      <c r="FIH149" s="609"/>
      <c r="FII149" s="609"/>
      <c r="FIJ149" s="609"/>
      <c r="FIK149" s="609"/>
      <c r="FIL149" s="609"/>
      <c r="FIM149" s="609"/>
      <c r="FIN149" s="609"/>
      <c r="FIO149" s="609"/>
      <c r="FIP149" s="609"/>
      <c r="FIQ149" s="609"/>
      <c r="FIR149" s="609"/>
      <c r="FIS149" s="609"/>
      <c r="FIT149" s="609"/>
      <c r="FIU149" s="609"/>
      <c r="FIV149" s="609"/>
      <c r="FIW149" s="609"/>
      <c r="FIX149" s="609"/>
      <c r="FIY149" s="609"/>
      <c r="FIZ149" s="609"/>
      <c r="FJA149" s="609"/>
      <c r="FJB149" s="609"/>
      <c r="FJC149" s="609"/>
      <c r="FJD149" s="609"/>
      <c r="FJE149" s="609"/>
      <c r="FJF149" s="609"/>
      <c r="FJG149" s="609"/>
      <c r="FJH149" s="609"/>
      <c r="FJI149" s="609"/>
      <c r="FJJ149" s="609"/>
      <c r="FJK149" s="609"/>
      <c r="FJL149" s="609"/>
      <c r="FJM149" s="609"/>
      <c r="FJN149" s="609"/>
      <c r="FJO149" s="609"/>
      <c r="FJP149" s="609"/>
      <c r="FJQ149" s="609"/>
      <c r="FJR149" s="609"/>
      <c r="FJS149" s="609"/>
      <c r="FJT149" s="609"/>
      <c r="FJU149" s="609"/>
      <c r="FJV149" s="609"/>
      <c r="FJW149" s="609"/>
      <c r="FJX149" s="609"/>
      <c r="FJY149" s="609"/>
      <c r="FJZ149" s="609"/>
      <c r="FKA149" s="609"/>
      <c r="FKB149" s="609"/>
      <c r="FKC149" s="609"/>
      <c r="FKD149" s="609"/>
      <c r="FKE149" s="609"/>
      <c r="FKF149" s="609"/>
      <c r="FKG149" s="609"/>
      <c r="FKH149" s="609"/>
      <c r="FKI149" s="609"/>
      <c r="FKJ149" s="609"/>
      <c r="FKK149" s="609"/>
      <c r="FKL149" s="609"/>
      <c r="FKM149" s="609"/>
      <c r="FKN149" s="609"/>
      <c r="FKO149" s="609"/>
      <c r="FKP149" s="609"/>
      <c r="FKQ149" s="609"/>
      <c r="FKR149" s="609"/>
      <c r="FKS149" s="609"/>
      <c r="FKT149" s="609"/>
      <c r="FKU149" s="609"/>
      <c r="FKV149" s="609"/>
      <c r="FKW149" s="609"/>
      <c r="FKX149" s="609"/>
      <c r="FKY149" s="609"/>
      <c r="FKZ149" s="609"/>
      <c r="FLA149" s="609"/>
      <c r="FLB149" s="609"/>
      <c r="FLC149" s="609"/>
      <c r="FLD149" s="609"/>
      <c r="FLE149" s="609"/>
      <c r="FLF149" s="609"/>
      <c r="FLG149" s="609"/>
      <c r="FLH149" s="609"/>
      <c r="FLI149" s="609"/>
      <c r="FLJ149" s="609"/>
      <c r="FLK149" s="609"/>
      <c r="FLL149" s="609"/>
      <c r="FLM149" s="609"/>
      <c r="FLN149" s="609"/>
      <c r="FLO149" s="609"/>
      <c r="FLP149" s="609"/>
      <c r="FLQ149" s="609"/>
      <c r="FLR149" s="609"/>
      <c r="FLS149" s="609"/>
      <c r="FLT149" s="609"/>
      <c r="FLU149" s="609"/>
      <c r="FLV149" s="609"/>
      <c r="FLW149" s="609"/>
      <c r="FLX149" s="609"/>
      <c r="FLY149" s="609"/>
      <c r="FLZ149" s="609"/>
      <c r="FMA149" s="609"/>
      <c r="FMB149" s="609"/>
      <c r="FMC149" s="609"/>
      <c r="FMD149" s="609"/>
      <c r="FME149" s="609"/>
      <c r="FMF149" s="609"/>
      <c r="FMG149" s="609"/>
      <c r="FMH149" s="609"/>
      <c r="FMI149" s="609"/>
      <c r="FMJ149" s="609"/>
      <c r="FMK149" s="609"/>
      <c r="FML149" s="609"/>
      <c r="FMM149" s="609"/>
      <c r="FMN149" s="609"/>
      <c r="FMO149" s="609"/>
      <c r="FMP149" s="609"/>
      <c r="FMQ149" s="609"/>
      <c r="FMR149" s="609"/>
      <c r="FMS149" s="609"/>
      <c r="FMT149" s="609"/>
      <c r="FMU149" s="609"/>
      <c r="FMV149" s="609"/>
      <c r="FMW149" s="609"/>
      <c r="FMX149" s="609"/>
      <c r="FMY149" s="609"/>
      <c r="FMZ149" s="609"/>
      <c r="FNA149" s="609"/>
      <c r="FNB149" s="609"/>
      <c r="FNC149" s="609"/>
      <c r="FND149" s="609"/>
      <c r="FNE149" s="609"/>
      <c r="FNF149" s="609"/>
      <c r="FNG149" s="609"/>
      <c r="FNH149" s="609"/>
      <c r="FNI149" s="609"/>
      <c r="FNJ149" s="609"/>
      <c r="FNK149" s="609"/>
      <c r="FNL149" s="609"/>
      <c r="FNM149" s="609"/>
      <c r="FNN149" s="609"/>
      <c r="FNO149" s="609"/>
      <c r="FNP149" s="609"/>
      <c r="FNQ149" s="609"/>
      <c r="FNR149" s="609"/>
      <c r="FNS149" s="609"/>
      <c r="FNT149" s="609"/>
      <c r="FNU149" s="609"/>
      <c r="FNV149" s="609"/>
      <c r="FNW149" s="609"/>
      <c r="FNX149" s="609"/>
      <c r="FNY149" s="609"/>
      <c r="FNZ149" s="609"/>
      <c r="FOA149" s="609"/>
      <c r="FOB149" s="609"/>
      <c r="FOC149" s="609"/>
      <c r="FOD149" s="609"/>
      <c r="FOE149" s="609"/>
      <c r="FOF149" s="609"/>
      <c r="FOG149" s="609"/>
      <c r="FOH149" s="609"/>
      <c r="FOI149" s="609"/>
      <c r="FOJ149" s="609"/>
      <c r="FOK149" s="609"/>
      <c r="FOL149" s="609"/>
      <c r="FOM149" s="609"/>
      <c r="FON149" s="609"/>
      <c r="FOO149" s="609"/>
      <c r="FOP149" s="609"/>
      <c r="FOQ149" s="609"/>
      <c r="FOR149" s="609"/>
      <c r="FOS149" s="609"/>
      <c r="FOT149" s="609"/>
      <c r="FOU149" s="609"/>
      <c r="FOV149" s="609"/>
      <c r="FOW149" s="609"/>
      <c r="FOX149" s="609"/>
      <c r="FOY149" s="609"/>
      <c r="FOZ149" s="609"/>
      <c r="FPA149" s="609"/>
      <c r="FPB149" s="609"/>
      <c r="FPC149" s="609"/>
      <c r="FPD149" s="609"/>
      <c r="FPE149" s="609"/>
      <c r="FPF149" s="609"/>
      <c r="FPG149" s="609"/>
      <c r="FPH149" s="609"/>
      <c r="FPI149" s="609"/>
      <c r="FPJ149" s="609"/>
      <c r="FPK149" s="609"/>
      <c r="FPL149" s="609"/>
      <c r="FPM149" s="609"/>
      <c r="FPN149" s="609"/>
      <c r="FPO149" s="609"/>
      <c r="FPP149" s="609"/>
      <c r="FPQ149" s="609"/>
      <c r="FPR149" s="609"/>
      <c r="FPS149" s="609"/>
      <c r="FPT149" s="609"/>
      <c r="FPU149" s="609"/>
      <c r="FPV149" s="609"/>
      <c r="FPW149" s="609"/>
      <c r="FPX149" s="609"/>
      <c r="FPY149" s="609"/>
      <c r="FPZ149" s="609"/>
      <c r="FQA149" s="609"/>
      <c r="FQB149" s="609"/>
      <c r="FQC149" s="609"/>
      <c r="FQD149" s="609"/>
      <c r="FQE149" s="609"/>
      <c r="FQF149" s="609"/>
      <c r="FQG149" s="609"/>
      <c r="FQH149" s="609"/>
      <c r="FQI149" s="609"/>
      <c r="FQJ149" s="609"/>
      <c r="FQK149" s="609"/>
      <c r="FQL149" s="609"/>
      <c r="FQM149" s="609"/>
      <c r="FQN149" s="609"/>
      <c r="FQO149" s="609"/>
      <c r="FQP149" s="609"/>
      <c r="FQQ149" s="609"/>
      <c r="FQR149" s="609"/>
      <c r="FQS149" s="609"/>
      <c r="FQT149" s="609"/>
      <c r="FQU149" s="609"/>
      <c r="FQV149" s="609"/>
      <c r="FQW149" s="609"/>
      <c r="FQX149" s="609"/>
      <c r="FQY149" s="609"/>
      <c r="FQZ149" s="609"/>
      <c r="FRA149" s="609"/>
      <c r="FRB149" s="609"/>
      <c r="FRC149" s="609"/>
      <c r="FRD149" s="609"/>
      <c r="FRE149" s="609"/>
      <c r="FRF149" s="609"/>
      <c r="FRG149" s="609"/>
      <c r="FRH149" s="609"/>
      <c r="FRI149" s="609"/>
      <c r="FRJ149" s="609"/>
      <c r="FRK149" s="609"/>
      <c r="FRL149" s="609"/>
      <c r="FRM149" s="609"/>
      <c r="FRN149" s="609"/>
      <c r="FRO149" s="609"/>
      <c r="FRP149" s="609"/>
      <c r="FRQ149" s="609"/>
      <c r="FRR149" s="609"/>
      <c r="FRS149" s="609"/>
      <c r="FRT149" s="609"/>
      <c r="FRU149" s="609"/>
      <c r="FRV149" s="609"/>
      <c r="FRW149" s="609"/>
      <c r="FRX149" s="609"/>
      <c r="FRY149" s="609"/>
      <c r="FRZ149" s="609"/>
      <c r="FSA149" s="609"/>
      <c r="FSB149" s="609"/>
      <c r="FSC149" s="609"/>
      <c r="FSD149" s="609"/>
      <c r="FSE149" s="609"/>
      <c r="FSF149" s="609"/>
      <c r="FSG149" s="609"/>
      <c r="FSH149" s="609"/>
      <c r="FSI149" s="609"/>
      <c r="FSJ149" s="609"/>
      <c r="FSK149" s="609"/>
      <c r="FSL149" s="609"/>
      <c r="FSM149" s="609"/>
      <c r="FSN149" s="609"/>
      <c r="FSO149" s="609"/>
      <c r="FSP149" s="609"/>
      <c r="FSQ149" s="609"/>
      <c r="FSR149" s="609"/>
      <c r="FSS149" s="609"/>
      <c r="FST149" s="609"/>
      <c r="FSU149" s="609"/>
      <c r="FSV149" s="609"/>
      <c r="FSW149" s="609"/>
      <c r="FSX149" s="609"/>
      <c r="FSY149" s="609"/>
      <c r="FSZ149" s="609"/>
      <c r="FTA149" s="609"/>
      <c r="FTB149" s="609"/>
      <c r="FTC149" s="609"/>
      <c r="FTD149" s="609"/>
      <c r="FTE149" s="609"/>
      <c r="FTF149" s="609"/>
      <c r="FTG149" s="609"/>
      <c r="FTH149" s="609"/>
      <c r="FTI149" s="609"/>
      <c r="FTJ149" s="609"/>
      <c r="FTK149" s="609"/>
      <c r="FTL149" s="609"/>
      <c r="FTM149" s="609"/>
      <c r="FTN149" s="609"/>
      <c r="FTO149" s="609"/>
      <c r="FTP149" s="609"/>
      <c r="FTQ149" s="609"/>
      <c r="FTR149" s="609"/>
      <c r="FTS149" s="609"/>
      <c r="FTT149" s="609"/>
      <c r="FTU149" s="609"/>
      <c r="FTV149" s="609"/>
      <c r="FTW149" s="609"/>
      <c r="FTX149" s="609"/>
      <c r="FTY149" s="609"/>
      <c r="FTZ149" s="609"/>
      <c r="FUA149" s="609"/>
      <c r="FUB149" s="609"/>
      <c r="FUC149" s="609"/>
      <c r="FUD149" s="609"/>
      <c r="FUE149" s="609"/>
      <c r="FUF149" s="609"/>
      <c r="FUG149" s="609"/>
      <c r="FUH149" s="609"/>
      <c r="FUI149" s="609"/>
      <c r="FUJ149" s="609"/>
      <c r="FUK149" s="609"/>
      <c r="FUL149" s="609"/>
      <c r="FUM149" s="609"/>
      <c r="FUN149" s="609"/>
      <c r="FUO149" s="609"/>
      <c r="FUP149" s="609"/>
      <c r="FUQ149" s="609"/>
      <c r="FUR149" s="609"/>
      <c r="FUS149" s="609"/>
      <c r="FUT149" s="609"/>
      <c r="FUU149" s="609"/>
      <c r="FUV149" s="609"/>
      <c r="FUW149" s="609"/>
      <c r="FUX149" s="609"/>
      <c r="FUY149" s="609"/>
      <c r="FUZ149" s="609"/>
      <c r="FVA149" s="609"/>
      <c r="FVB149" s="609"/>
      <c r="FVC149" s="609"/>
      <c r="FVD149" s="609"/>
      <c r="FVE149" s="609"/>
      <c r="FVF149" s="609"/>
      <c r="FVG149" s="609"/>
      <c r="FVH149" s="609"/>
      <c r="FVI149" s="609"/>
      <c r="FVJ149" s="609"/>
      <c r="FVK149" s="609"/>
      <c r="FVL149" s="609"/>
      <c r="FVM149" s="609"/>
      <c r="FVN149" s="609"/>
      <c r="FVO149" s="609"/>
      <c r="FVP149" s="609"/>
      <c r="FVQ149" s="609"/>
      <c r="FVR149" s="609"/>
      <c r="FVS149" s="609"/>
      <c r="FVT149" s="609"/>
      <c r="FVU149" s="609"/>
      <c r="FVV149" s="609"/>
      <c r="FVW149" s="609"/>
      <c r="FVX149" s="609"/>
      <c r="FVY149" s="609"/>
      <c r="FVZ149" s="609"/>
      <c r="FWA149" s="609"/>
      <c r="FWB149" s="609"/>
      <c r="FWC149" s="609"/>
      <c r="FWD149" s="609"/>
      <c r="FWE149" s="609"/>
      <c r="FWF149" s="609"/>
      <c r="FWG149" s="609"/>
      <c r="FWH149" s="609"/>
      <c r="FWI149" s="609"/>
      <c r="FWJ149" s="609"/>
      <c r="FWK149" s="609"/>
      <c r="FWL149" s="609"/>
      <c r="FWM149" s="609"/>
      <c r="FWN149" s="609"/>
      <c r="FWO149" s="609"/>
      <c r="FWP149" s="609"/>
      <c r="FWQ149" s="609"/>
      <c r="FWR149" s="609"/>
      <c r="FWS149" s="609"/>
      <c r="FWT149" s="609"/>
      <c r="FWU149" s="609"/>
      <c r="FWV149" s="609"/>
      <c r="FWW149" s="609"/>
      <c r="FWX149" s="609"/>
      <c r="FWY149" s="609"/>
      <c r="FWZ149" s="609"/>
      <c r="FXA149" s="609"/>
      <c r="FXB149" s="609"/>
      <c r="FXC149" s="609"/>
      <c r="FXD149" s="609"/>
      <c r="FXE149" s="609"/>
      <c r="FXF149" s="609"/>
      <c r="FXG149" s="609"/>
      <c r="FXH149" s="609"/>
      <c r="FXI149" s="609"/>
      <c r="FXJ149" s="609"/>
      <c r="FXK149" s="609"/>
      <c r="FXL149" s="609"/>
      <c r="FXM149" s="609"/>
      <c r="FXN149" s="609"/>
      <c r="FXO149" s="609"/>
      <c r="FXP149" s="609"/>
      <c r="FXQ149" s="609"/>
      <c r="FXR149" s="609"/>
      <c r="FXS149" s="609"/>
      <c r="FXT149" s="609"/>
      <c r="FXU149" s="609"/>
      <c r="FXV149" s="609"/>
      <c r="FXW149" s="609"/>
      <c r="FXX149" s="609"/>
      <c r="FXY149" s="609"/>
      <c r="FXZ149" s="609"/>
      <c r="FYA149" s="609"/>
      <c r="FYB149" s="609"/>
      <c r="FYC149" s="609"/>
      <c r="FYD149" s="609"/>
      <c r="FYE149" s="609"/>
      <c r="FYF149" s="609"/>
      <c r="FYG149" s="609"/>
      <c r="FYH149" s="609"/>
      <c r="FYI149" s="609"/>
      <c r="FYJ149" s="609"/>
      <c r="FYK149" s="609"/>
      <c r="FYL149" s="609"/>
      <c r="FYM149" s="609"/>
      <c r="FYN149" s="609"/>
      <c r="FYO149" s="609"/>
      <c r="FYP149" s="609"/>
      <c r="FYQ149" s="609"/>
      <c r="FYR149" s="609"/>
      <c r="FYS149" s="609"/>
      <c r="FYT149" s="609"/>
      <c r="FYU149" s="609"/>
      <c r="FYV149" s="609"/>
      <c r="FYW149" s="609"/>
      <c r="FYX149" s="609"/>
      <c r="FYY149" s="609"/>
      <c r="FYZ149" s="609"/>
      <c r="FZA149" s="609"/>
      <c r="FZB149" s="609"/>
      <c r="FZC149" s="609"/>
      <c r="FZD149" s="609"/>
      <c r="FZE149" s="609"/>
      <c r="FZF149" s="609"/>
      <c r="FZG149" s="609"/>
      <c r="FZH149" s="609"/>
      <c r="FZI149" s="609"/>
      <c r="FZJ149" s="609"/>
      <c r="FZK149" s="609"/>
      <c r="FZL149" s="609"/>
      <c r="FZM149" s="609"/>
      <c r="FZN149" s="609"/>
      <c r="FZO149" s="609"/>
      <c r="FZP149" s="609"/>
      <c r="FZQ149" s="609"/>
      <c r="FZR149" s="609"/>
      <c r="FZS149" s="609"/>
      <c r="FZT149" s="609"/>
      <c r="FZU149" s="609"/>
      <c r="FZV149" s="609"/>
      <c r="FZW149" s="609"/>
      <c r="FZX149" s="609"/>
      <c r="FZY149" s="609"/>
      <c r="FZZ149" s="609"/>
      <c r="GAA149" s="609"/>
      <c r="GAB149" s="609"/>
      <c r="GAC149" s="609"/>
      <c r="GAD149" s="609"/>
      <c r="GAE149" s="609"/>
      <c r="GAF149" s="609"/>
      <c r="GAG149" s="609"/>
      <c r="GAH149" s="609"/>
      <c r="GAI149" s="609"/>
      <c r="GAJ149" s="609"/>
      <c r="GAK149" s="609"/>
      <c r="GAL149" s="609"/>
      <c r="GAM149" s="609"/>
      <c r="GAN149" s="609"/>
      <c r="GAO149" s="609"/>
      <c r="GAP149" s="609"/>
      <c r="GAQ149" s="609"/>
      <c r="GAR149" s="609"/>
      <c r="GAS149" s="609"/>
      <c r="GAT149" s="609"/>
      <c r="GAU149" s="609"/>
      <c r="GAV149" s="609"/>
      <c r="GAW149" s="609"/>
      <c r="GAX149" s="609"/>
      <c r="GAY149" s="609"/>
      <c r="GAZ149" s="609"/>
      <c r="GBA149" s="609"/>
      <c r="GBB149" s="609"/>
      <c r="GBC149" s="609"/>
      <c r="GBD149" s="609"/>
      <c r="GBE149" s="609"/>
      <c r="GBF149" s="609"/>
      <c r="GBG149" s="609"/>
      <c r="GBH149" s="609"/>
      <c r="GBI149" s="609"/>
      <c r="GBJ149" s="609"/>
      <c r="GBK149" s="609"/>
      <c r="GBL149" s="609"/>
      <c r="GBM149" s="609"/>
      <c r="GBN149" s="609"/>
      <c r="GBO149" s="609"/>
      <c r="GBP149" s="609"/>
      <c r="GBQ149" s="609"/>
      <c r="GBR149" s="609"/>
      <c r="GBS149" s="609"/>
      <c r="GBT149" s="609"/>
      <c r="GBU149" s="609"/>
      <c r="GBV149" s="609"/>
      <c r="GBW149" s="609"/>
      <c r="GBX149" s="609"/>
      <c r="GBY149" s="609"/>
      <c r="GBZ149" s="609"/>
      <c r="GCA149" s="609"/>
      <c r="GCB149" s="609"/>
      <c r="GCC149" s="609"/>
      <c r="GCD149" s="609"/>
      <c r="GCE149" s="609"/>
      <c r="GCF149" s="609"/>
      <c r="GCG149" s="609"/>
      <c r="GCH149" s="609"/>
      <c r="GCI149" s="609"/>
      <c r="GCJ149" s="609"/>
      <c r="GCK149" s="609"/>
      <c r="GCL149" s="609"/>
      <c r="GCM149" s="609"/>
      <c r="GCN149" s="609"/>
      <c r="GCO149" s="609"/>
      <c r="GCP149" s="609"/>
      <c r="GCQ149" s="609"/>
      <c r="GCR149" s="609"/>
      <c r="GCS149" s="609"/>
      <c r="GCT149" s="609"/>
      <c r="GCU149" s="609"/>
      <c r="GCV149" s="609"/>
      <c r="GCW149" s="609"/>
      <c r="GCX149" s="609"/>
      <c r="GCY149" s="609"/>
      <c r="GCZ149" s="609"/>
      <c r="GDA149" s="609"/>
      <c r="GDB149" s="609"/>
      <c r="GDC149" s="609"/>
      <c r="GDD149" s="609"/>
      <c r="GDE149" s="609"/>
      <c r="GDF149" s="609"/>
      <c r="GDG149" s="609"/>
      <c r="GDH149" s="609"/>
      <c r="GDI149" s="609"/>
      <c r="GDJ149" s="609"/>
      <c r="GDK149" s="609"/>
      <c r="GDL149" s="609"/>
      <c r="GDM149" s="609"/>
      <c r="GDN149" s="609"/>
      <c r="GDO149" s="609"/>
      <c r="GDP149" s="609"/>
      <c r="GDQ149" s="609"/>
      <c r="GDR149" s="609"/>
      <c r="GDS149" s="609"/>
      <c r="GDT149" s="609"/>
      <c r="GDU149" s="609"/>
      <c r="GDV149" s="609"/>
      <c r="GDW149" s="609"/>
      <c r="GDX149" s="609"/>
      <c r="GDY149" s="609"/>
      <c r="GDZ149" s="609"/>
      <c r="GEA149" s="609"/>
      <c r="GEB149" s="609"/>
      <c r="GEC149" s="609"/>
      <c r="GED149" s="609"/>
      <c r="GEE149" s="609"/>
      <c r="GEF149" s="609"/>
      <c r="GEG149" s="609"/>
      <c r="GEH149" s="609"/>
      <c r="GEI149" s="609"/>
      <c r="GEJ149" s="609"/>
      <c r="GEK149" s="609"/>
      <c r="GEL149" s="609"/>
      <c r="GEM149" s="609"/>
      <c r="GEN149" s="609"/>
      <c r="GEO149" s="609"/>
      <c r="GEP149" s="609"/>
      <c r="GEQ149" s="609"/>
      <c r="GER149" s="609"/>
      <c r="GES149" s="609"/>
      <c r="GET149" s="609"/>
      <c r="GEU149" s="609"/>
      <c r="GEV149" s="609"/>
      <c r="GEW149" s="609"/>
      <c r="GEX149" s="609"/>
      <c r="GEY149" s="609"/>
      <c r="GEZ149" s="609"/>
      <c r="GFA149" s="609"/>
      <c r="GFB149" s="609"/>
      <c r="GFC149" s="609"/>
      <c r="GFD149" s="609"/>
      <c r="GFE149" s="609"/>
      <c r="GFF149" s="609"/>
      <c r="GFG149" s="609"/>
      <c r="GFH149" s="609"/>
      <c r="GFI149" s="609"/>
      <c r="GFJ149" s="609"/>
      <c r="GFK149" s="609"/>
      <c r="GFL149" s="609"/>
      <c r="GFM149" s="609"/>
      <c r="GFN149" s="609"/>
      <c r="GFO149" s="609"/>
      <c r="GFP149" s="609"/>
      <c r="GFQ149" s="609"/>
      <c r="GFR149" s="609"/>
      <c r="GFS149" s="609"/>
      <c r="GFT149" s="609"/>
      <c r="GFU149" s="609"/>
      <c r="GFV149" s="609"/>
      <c r="GFW149" s="609"/>
      <c r="GFX149" s="609"/>
      <c r="GFY149" s="609"/>
      <c r="GFZ149" s="609"/>
      <c r="GGA149" s="609"/>
      <c r="GGB149" s="609"/>
      <c r="GGC149" s="609"/>
      <c r="GGD149" s="609"/>
      <c r="GGE149" s="609"/>
      <c r="GGF149" s="609"/>
      <c r="GGG149" s="609"/>
      <c r="GGH149" s="609"/>
      <c r="GGI149" s="609"/>
      <c r="GGJ149" s="609"/>
      <c r="GGK149" s="609"/>
      <c r="GGL149" s="609"/>
      <c r="GGM149" s="609"/>
      <c r="GGN149" s="609"/>
      <c r="GGO149" s="609"/>
      <c r="GGP149" s="609"/>
      <c r="GGQ149" s="609"/>
      <c r="GGR149" s="609"/>
      <c r="GGS149" s="609"/>
      <c r="GGT149" s="609"/>
      <c r="GGU149" s="609"/>
      <c r="GGV149" s="609"/>
      <c r="GGW149" s="609"/>
      <c r="GGX149" s="609"/>
      <c r="GGY149" s="609"/>
      <c r="GGZ149" s="609"/>
      <c r="GHA149" s="609"/>
      <c r="GHB149" s="609"/>
      <c r="GHC149" s="609"/>
      <c r="GHD149" s="609"/>
      <c r="GHE149" s="609"/>
      <c r="GHF149" s="609"/>
      <c r="GHG149" s="609"/>
      <c r="GHH149" s="609"/>
      <c r="GHI149" s="609"/>
      <c r="GHJ149" s="609"/>
      <c r="GHK149" s="609"/>
      <c r="GHL149" s="609"/>
      <c r="GHM149" s="609"/>
      <c r="GHN149" s="609"/>
      <c r="GHO149" s="609"/>
      <c r="GHP149" s="609"/>
      <c r="GHQ149" s="609"/>
      <c r="GHR149" s="609"/>
      <c r="GHS149" s="609"/>
      <c r="GHT149" s="609"/>
      <c r="GHU149" s="609"/>
      <c r="GHV149" s="609"/>
      <c r="GHW149" s="609"/>
      <c r="GHX149" s="609"/>
      <c r="GHY149" s="609"/>
      <c r="GHZ149" s="609"/>
      <c r="GIA149" s="609"/>
      <c r="GIB149" s="609"/>
      <c r="GIC149" s="609"/>
      <c r="GID149" s="609"/>
      <c r="GIE149" s="609"/>
      <c r="GIF149" s="609"/>
      <c r="GIG149" s="609"/>
      <c r="GIH149" s="609"/>
      <c r="GII149" s="609"/>
      <c r="GIJ149" s="609"/>
      <c r="GIK149" s="609"/>
      <c r="GIL149" s="609"/>
      <c r="GIM149" s="609"/>
      <c r="GIN149" s="609"/>
      <c r="GIO149" s="609"/>
      <c r="GIP149" s="609"/>
      <c r="GIQ149" s="609"/>
      <c r="GIR149" s="609"/>
      <c r="GIS149" s="609"/>
      <c r="GIT149" s="609"/>
      <c r="GIU149" s="609"/>
      <c r="GIV149" s="609"/>
      <c r="GIW149" s="609"/>
      <c r="GIX149" s="609"/>
      <c r="GIY149" s="609"/>
      <c r="GIZ149" s="609"/>
      <c r="GJA149" s="609"/>
      <c r="GJB149" s="609"/>
      <c r="GJC149" s="609"/>
      <c r="GJD149" s="609"/>
      <c r="GJE149" s="609"/>
      <c r="GJF149" s="609"/>
      <c r="GJG149" s="609"/>
      <c r="GJH149" s="609"/>
      <c r="GJI149" s="609"/>
      <c r="GJJ149" s="609"/>
      <c r="GJK149" s="609"/>
      <c r="GJL149" s="609"/>
      <c r="GJM149" s="609"/>
      <c r="GJN149" s="609"/>
      <c r="GJO149" s="609"/>
      <c r="GJP149" s="609"/>
      <c r="GJQ149" s="609"/>
      <c r="GJR149" s="609"/>
      <c r="GJS149" s="609"/>
      <c r="GJT149" s="609"/>
      <c r="GJU149" s="609"/>
      <c r="GJV149" s="609"/>
      <c r="GJW149" s="609"/>
      <c r="GJX149" s="609"/>
      <c r="GJY149" s="609"/>
      <c r="GJZ149" s="609"/>
      <c r="GKA149" s="609"/>
      <c r="GKB149" s="609"/>
      <c r="GKC149" s="609"/>
      <c r="GKD149" s="609"/>
      <c r="GKE149" s="609"/>
      <c r="GKF149" s="609"/>
      <c r="GKG149" s="609"/>
      <c r="GKH149" s="609"/>
      <c r="GKI149" s="609"/>
      <c r="GKJ149" s="609"/>
      <c r="GKK149" s="609"/>
      <c r="GKL149" s="609"/>
      <c r="GKM149" s="609"/>
      <c r="GKN149" s="609"/>
      <c r="GKO149" s="609"/>
      <c r="GKP149" s="609"/>
      <c r="GKQ149" s="609"/>
      <c r="GKR149" s="609"/>
      <c r="GKS149" s="609"/>
      <c r="GKT149" s="609"/>
      <c r="GKU149" s="609"/>
      <c r="GKV149" s="609"/>
      <c r="GKW149" s="609"/>
      <c r="GKX149" s="609"/>
      <c r="GKY149" s="609"/>
      <c r="GKZ149" s="609"/>
      <c r="GLA149" s="609"/>
      <c r="GLB149" s="609"/>
      <c r="GLC149" s="609"/>
      <c r="GLD149" s="609"/>
      <c r="GLE149" s="609"/>
      <c r="GLF149" s="609"/>
      <c r="GLG149" s="609"/>
      <c r="GLH149" s="609"/>
      <c r="GLI149" s="609"/>
      <c r="GLJ149" s="609"/>
      <c r="GLK149" s="609"/>
      <c r="GLL149" s="609"/>
      <c r="GLM149" s="609"/>
      <c r="GLN149" s="609"/>
      <c r="GLO149" s="609"/>
      <c r="GLP149" s="609"/>
      <c r="GLQ149" s="609"/>
      <c r="GLR149" s="609"/>
      <c r="GLS149" s="609"/>
      <c r="GLT149" s="609"/>
      <c r="GLU149" s="609"/>
      <c r="GLV149" s="609"/>
      <c r="GLW149" s="609"/>
      <c r="GLX149" s="609"/>
      <c r="GLY149" s="609"/>
      <c r="GLZ149" s="609"/>
      <c r="GMA149" s="609"/>
      <c r="GMB149" s="609"/>
      <c r="GMC149" s="609"/>
      <c r="GMD149" s="609"/>
      <c r="GME149" s="609"/>
      <c r="GMF149" s="609"/>
      <c r="GMG149" s="609"/>
      <c r="GMH149" s="609"/>
      <c r="GMI149" s="609"/>
      <c r="GMJ149" s="609"/>
      <c r="GMK149" s="609"/>
      <c r="GML149" s="609"/>
      <c r="GMM149" s="609"/>
      <c r="GMN149" s="609"/>
      <c r="GMO149" s="609"/>
      <c r="GMP149" s="609"/>
      <c r="GMQ149" s="609"/>
      <c r="GMR149" s="609"/>
      <c r="GMS149" s="609"/>
      <c r="GMT149" s="609"/>
      <c r="GMU149" s="609"/>
      <c r="GMV149" s="609"/>
      <c r="GMW149" s="609"/>
      <c r="GMX149" s="609"/>
      <c r="GMY149" s="609"/>
      <c r="GMZ149" s="609"/>
      <c r="GNA149" s="609"/>
      <c r="GNB149" s="609"/>
      <c r="GNC149" s="609"/>
      <c r="GND149" s="609"/>
      <c r="GNE149" s="609"/>
      <c r="GNF149" s="609"/>
      <c r="GNG149" s="609"/>
      <c r="GNH149" s="609"/>
      <c r="GNI149" s="609"/>
      <c r="GNJ149" s="609"/>
      <c r="GNK149" s="609"/>
      <c r="GNL149" s="609"/>
      <c r="GNM149" s="609"/>
      <c r="GNN149" s="609"/>
      <c r="GNO149" s="609"/>
      <c r="GNP149" s="609"/>
      <c r="GNQ149" s="609"/>
      <c r="GNR149" s="609"/>
      <c r="GNS149" s="609"/>
      <c r="GNT149" s="609"/>
      <c r="GNU149" s="609"/>
      <c r="GNV149" s="609"/>
      <c r="GNW149" s="609"/>
      <c r="GNX149" s="609"/>
      <c r="GNY149" s="609"/>
      <c r="GNZ149" s="609"/>
      <c r="GOA149" s="609"/>
      <c r="GOB149" s="609"/>
      <c r="GOC149" s="609"/>
      <c r="GOD149" s="609"/>
      <c r="GOE149" s="609"/>
      <c r="GOF149" s="609"/>
      <c r="GOG149" s="609"/>
      <c r="GOH149" s="609"/>
      <c r="GOI149" s="609"/>
      <c r="GOJ149" s="609"/>
      <c r="GOK149" s="609"/>
      <c r="GOL149" s="609"/>
      <c r="GOM149" s="609"/>
      <c r="GON149" s="609"/>
      <c r="GOO149" s="609"/>
      <c r="GOP149" s="609"/>
      <c r="GOQ149" s="609"/>
      <c r="GOR149" s="609"/>
      <c r="GOS149" s="609"/>
      <c r="GOT149" s="609"/>
      <c r="GOU149" s="609"/>
      <c r="GOV149" s="609"/>
      <c r="GOW149" s="609"/>
      <c r="GOX149" s="609"/>
      <c r="GOY149" s="609"/>
      <c r="GOZ149" s="609"/>
      <c r="GPA149" s="609"/>
      <c r="GPB149" s="609"/>
      <c r="GPC149" s="609"/>
      <c r="GPD149" s="609"/>
      <c r="GPE149" s="609"/>
      <c r="GPF149" s="609"/>
      <c r="GPG149" s="609"/>
      <c r="GPH149" s="609"/>
      <c r="GPI149" s="609"/>
      <c r="GPJ149" s="609"/>
      <c r="GPK149" s="609"/>
      <c r="GPL149" s="609"/>
      <c r="GPM149" s="609"/>
      <c r="GPN149" s="609"/>
      <c r="GPO149" s="609"/>
      <c r="GPP149" s="609"/>
      <c r="GPQ149" s="609"/>
      <c r="GPR149" s="609"/>
      <c r="GPS149" s="609"/>
      <c r="GPT149" s="609"/>
      <c r="GPU149" s="609"/>
      <c r="GPV149" s="609"/>
      <c r="GPW149" s="609"/>
      <c r="GPX149" s="609"/>
      <c r="GPY149" s="609"/>
      <c r="GPZ149" s="609"/>
      <c r="GQA149" s="609"/>
      <c r="GQB149" s="609"/>
      <c r="GQC149" s="609"/>
      <c r="GQD149" s="609"/>
      <c r="GQE149" s="609"/>
      <c r="GQF149" s="609"/>
      <c r="GQG149" s="609"/>
      <c r="GQH149" s="609"/>
      <c r="GQI149" s="609"/>
      <c r="GQJ149" s="609"/>
      <c r="GQK149" s="609"/>
      <c r="GQL149" s="609"/>
      <c r="GQM149" s="609"/>
      <c r="GQN149" s="609"/>
      <c r="GQO149" s="609"/>
      <c r="GQP149" s="609"/>
      <c r="GQQ149" s="609"/>
      <c r="GQR149" s="609"/>
      <c r="GQS149" s="609"/>
      <c r="GQT149" s="609"/>
      <c r="GQU149" s="609"/>
      <c r="GQV149" s="609"/>
      <c r="GQW149" s="609"/>
      <c r="GQX149" s="609"/>
      <c r="GQY149" s="609"/>
      <c r="GQZ149" s="609"/>
      <c r="GRA149" s="609"/>
      <c r="GRB149" s="609"/>
      <c r="GRC149" s="609"/>
      <c r="GRD149" s="609"/>
      <c r="GRE149" s="609"/>
      <c r="GRF149" s="609"/>
      <c r="GRG149" s="609"/>
      <c r="GRH149" s="609"/>
      <c r="GRI149" s="609"/>
      <c r="GRJ149" s="609"/>
      <c r="GRK149" s="609"/>
      <c r="GRL149" s="609"/>
      <c r="GRM149" s="609"/>
      <c r="GRN149" s="609"/>
      <c r="GRO149" s="609"/>
      <c r="GRP149" s="609"/>
      <c r="GRQ149" s="609"/>
      <c r="GRR149" s="609"/>
      <c r="GRS149" s="609"/>
      <c r="GRT149" s="609"/>
      <c r="GRU149" s="609"/>
      <c r="GRV149" s="609"/>
      <c r="GRW149" s="609"/>
      <c r="GRX149" s="609"/>
      <c r="GRY149" s="609"/>
      <c r="GRZ149" s="609"/>
      <c r="GSA149" s="609"/>
      <c r="GSB149" s="609"/>
      <c r="GSC149" s="609"/>
      <c r="GSD149" s="609"/>
      <c r="GSE149" s="609"/>
      <c r="GSF149" s="609"/>
      <c r="GSG149" s="609"/>
      <c r="GSH149" s="609"/>
      <c r="GSI149" s="609"/>
      <c r="GSJ149" s="609"/>
      <c r="GSK149" s="609"/>
      <c r="GSL149" s="609"/>
      <c r="GSM149" s="609"/>
      <c r="GSN149" s="609"/>
      <c r="GSO149" s="609"/>
      <c r="GSP149" s="609"/>
      <c r="GSQ149" s="609"/>
      <c r="GSR149" s="609"/>
      <c r="GSS149" s="609"/>
      <c r="GST149" s="609"/>
      <c r="GSU149" s="609"/>
      <c r="GSV149" s="609"/>
      <c r="GSW149" s="609"/>
      <c r="GSX149" s="609"/>
      <c r="GSY149" s="609"/>
      <c r="GSZ149" s="609"/>
      <c r="GTA149" s="609"/>
      <c r="GTB149" s="609"/>
      <c r="GTC149" s="609"/>
      <c r="GTD149" s="609"/>
      <c r="GTE149" s="609"/>
      <c r="GTF149" s="609"/>
      <c r="GTG149" s="609"/>
      <c r="GTH149" s="609"/>
      <c r="GTI149" s="609"/>
      <c r="GTJ149" s="609"/>
      <c r="GTK149" s="609"/>
      <c r="GTL149" s="609"/>
      <c r="GTM149" s="609"/>
      <c r="GTN149" s="609"/>
      <c r="GTO149" s="609"/>
      <c r="GTP149" s="609"/>
      <c r="GTQ149" s="609"/>
      <c r="GTR149" s="609"/>
      <c r="GTS149" s="609"/>
      <c r="GTT149" s="609"/>
      <c r="GTU149" s="609"/>
      <c r="GTV149" s="609"/>
      <c r="GTW149" s="609"/>
      <c r="GTX149" s="609"/>
      <c r="GTY149" s="609"/>
      <c r="GTZ149" s="609"/>
      <c r="GUA149" s="609"/>
      <c r="GUB149" s="609"/>
      <c r="GUC149" s="609"/>
      <c r="GUD149" s="609"/>
      <c r="GUE149" s="609"/>
      <c r="GUF149" s="609"/>
      <c r="GUG149" s="609"/>
      <c r="GUH149" s="609"/>
      <c r="GUI149" s="609"/>
      <c r="GUJ149" s="609"/>
      <c r="GUK149" s="609"/>
      <c r="GUL149" s="609"/>
      <c r="GUM149" s="609"/>
      <c r="GUN149" s="609"/>
      <c r="GUO149" s="609"/>
      <c r="GUP149" s="609"/>
      <c r="GUQ149" s="609"/>
      <c r="GUR149" s="609"/>
      <c r="GUS149" s="609"/>
      <c r="GUT149" s="609"/>
      <c r="GUU149" s="609"/>
      <c r="GUV149" s="609"/>
      <c r="GUW149" s="609"/>
      <c r="GUX149" s="609"/>
      <c r="GUY149" s="609"/>
      <c r="GUZ149" s="609"/>
      <c r="GVA149" s="609"/>
      <c r="GVB149" s="609"/>
      <c r="GVC149" s="609"/>
      <c r="GVD149" s="609"/>
      <c r="GVE149" s="609"/>
      <c r="GVF149" s="609"/>
      <c r="GVG149" s="609"/>
      <c r="GVH149" s="609"/>
      <c r="GVI149" s="609"/>
      <c r="GVJ149" s="609"/>
      <c r="GVK149" s="609"/>
      <c r="GVL149" s="609"/>
      <c r="GVM149" s="609"/>
      <c r="GVN149" s="609"/>
      <c r="GVO149" s="609"/>
      <c r="GVP149" s="609"/>
      <c r="GVQ149" s="609"/>
      <c r="GVR149" s="609"/>
      <c r="GVS149" s="609"/>
      <c r="GVT149" s="609"/>
      <c r="GVU149" s="609"/>
      <c r="GVV149" s="609"/>
      <c r="GVW149" s="609"/>
      <c r="GVX149" s="609"/>
      <c r="GVY149" s="609"/>
      <c r="GVZ149" s="609"/>
      <c r="GWA149" s="609"/>
      <c r="GWB149" s="609"/>
      <c r="GWC149" s="609"/>
      <c r="GWD149" s="609"/>
      <c r="GWE149" s="609"/>
      <c r="GWF149" s="609"/>
      <c r="GWG149" s="609"/>
      <c r="GWH149" s="609"/>
      <c r="GWI149" s="609"/>
      <c r="GWJ149" s="609"/>
      <c r="GWK149" s="609"/>
      <c r="GWL149" s="609"/>
      <c r="GWM149" s="609"/>
      <c r="GWN149" s="609"/>
      <c r="GWO149" s="609"/>
      <c r="GWP149" s="609"/>
      <c r="GWQ149" s="609"/>
      <c r="GWR149" s="609"/>
      <c r="GWS149" s="609"/>
      <c r="GWT149" s="609"/>
      <c r="GWU149" s="609"/>
      <c r="GWV149" s="609"/>
      <c r="GWW149" s="609"/>
      <c r="GWX149" s="609"/>
      <c r="GWY149" s="609"/>
      <c r="GWZ149" s="609"/>
      <c r="GXA149" s="609"/>
      <c r="GXB149" s="609"/>
      <c r="GXC149" s="609"/>
      <c r="GXD149" s="609"/>
      <c r="GXE149" s="609"/>
      <c r="GXF149" s="609"/>
      <c r="GXG149" s="609"/>
      <c r="GXH149" s="609"/>
      <c r="GXI149" s="609"/>
      <c r="GXJ149" s="609"/>
      <c r="GXK149" s="609"/>
      <c r="GXL149" s="609"/>
      <c r="GXM149" s="609"/>
      <c r="GXN149" s="609"/>
      <c r="GXO149" s="609"/>
      <c r="GXP149" s="609"/>
      <c r="GXQ149" s="609"/>
      <c r="GXR149" s="609"/>
      <c r="GXS149" s="609"/>
      <c r="GXT149" s="609"/>
      <c r="GXU149" s="609"/>
      <c r="GXV149" s="609"/>
      <c r="GXW149" s="609"/>
      <c r="GXX149" s="609"/>
      <c r="GXY149" s="609"/>
      <c r="GXZ149" s="609"/>
      <c r="GYA149" s="609"/>
      <c r="GYB149" s="609"/>
      <c r="GYC149" s="609"/>
      <c r="GYD149" s="609"/>
      <c r="GYE149" s="609"/>
      <c r="GYF149" s="609"/>
      <c r="GYG149" s="609"/>
      <c r="GYH149" s="609"/>
      <c r="GYI149" s="609"/>
      <c r="GYJ149" s="609"/>
      <c r="GYK149" s="609"/>
      <c r="GYL149" s="609"/>
      <c r="GYM149" s="609"/>
      <c r="GYN149" s="609"/>
      <c r="GYO149" s="609"/>
      <c r="GYP149" s="609"/>
      <c r="GYQ149" s="609"/>
      <c r="GYR149" s="609"/>
      <c r="GYS149" s="609"/>
      <c r="GYT149" s="609"/>
      <c r="GYU149" s="609"/>
      <c r="GYV149" s="609"/>
      <c r="GYW149" s="609"/>
      <c r="GYX149" s="609"/>
      <c r="GYY149" s="609"/>
      <c r="GYZ149" s="609"/>
      <c r="GZA149" s="609"/>
      <c r="GZB149" s="609"/>
      <c r="GZC149" s="609"/>
      <c r="GZD149" s="609"/>
      <c r="GZE149" s="609"/>
      <c r="GZF149" s="609"/>
      <c r="GZG149" s="609"/>
      <c r="GZH149" s="609"/>
      <c r="GZI149" s="609"/>
      <c r="GZJ149" s="609"/>
      <c r="GZK149" s="609"/>
      <c r="GZL149" s="609"/>
      <c r="GZM149" s="609"/>
      <c r="GZN149" s="609"/>
      <c r="GZO149" s="609"/>
      <c r="GZP149" s="609"/>
      <c r="GZQ149" s="609"/>
      <c r="GZR149" s="609"/>
      <c r="GZS149" s="609"/>
      <c r="GZT149" s="609"/>
      <c r="GZU149" s="609"/>
      <c r="GZV149" s="609"/>
      <c r="GZW149" s="609"/>
      <c r="GZX149" s="609"/>
      <c r="GZY149" s="609"/>
      <c r="GZZ149" s="609"/>
      <c r="HAA149" s="609"/>
      <c r="HAB149" s="609"/>
      <c r="HAC149" s="609"/>
      <c r="HAD149" s="609"/>
      <c r="HAE149" s="609"/>
      <c r="HAF149" s="609"/>
      <c r="HAG149" s="609"/>
      <c r="HAH149" s="609"/>
      <c r="HAI149" s="609"/>
      <c r="HAJ149" s="609"/>
      <c r="HAK149" s="609"/>
      <c r="HAL149" s="609"/>
      <c r="HAM149" s="609"/>
      <c r="HAN149" s="609"/>
      <c r="HAO149" s="609"/>
      <c r="HAP149" s="609"/>
      <c r="HAQ149" s="609"/>
      <c r="HAR149" s="609"/>
      <c r="HAS149" s="609"/>
      <c r="HAT149" s="609"/>
      <c r="HAU149" s="609"/>
      <c r="HAV149" s="609"/>
      <c r="HAW149" s="609"/>
      <c r="HAX149" s="609"/>
      <c r="HAY149" s="609"/>
      <c r="HAZ149" s="609"/>
      <c r="HBA149" s="609"/>
      <c r="HBB149" s="609"/>
      <c r="HBC149" s="609"/>
      <c r="HBD149" s="609"/>
      <c r="HBE149" s="609"/>
      <c r="HBF149" s="609"/>
      <c r="HBG149" s="609"/>
      <c r="HBH149" s="609"/>
      <c r="HBI149" s="609"/>
      <c r="HBJ149" s="609"/>
      <c r="HBK149" s="609"/>
      <c r="HBL149" s="609"/>
      <c r="HBM149" s="609"/>
      <c r="HBN149" s="609"/>
      <c r="HBO149" s="609"/>
      <c r="HBP149" s="609"/>
      <c r="HBQ149" s="609"/>
      <c r="HBR149" s="609"/>
      <c r="HBS149" s="609"/>
      <c r="HBT149" s="609"/>
      <c r="HBU149" s="609"/>
      <c r="HBV149" s="609"/>
      <c r="HBW149" s="609"/>
      <c r="HBX149" s="609"/>
      <c r="HBY149" s="609"/>
      <c r="HBZ149" s="609"/>
      <c r="HCA149" s="609"/>
      <c r="HCB149" s="609"/>
      <c r="HCC149" s="609"/>
      <c r="HCD149" s="609"/>
      <c r="HCE149" s="609"/>
      <c r="HCF149" s="609"/>
      <c r="HCG149" s="609"/>
      <c r="HCH149" s="609"/>
      <c r="HCI149" s="609"/>
      <c r="HCJ149" s="609"/>
      <c r="HCK149" s="609"/>
      <c r="HCL149" s="609"/>
      <c r="HCM149" s="609"/>
      <c r="HCN149" s="609"/>
      <c r="HCO149" s="609"/>
      <c r="HCP149" s="609"/>
      <c r="HCQ149" s="609"/>
      <c r="HCR149" s="609"/>
      <c r="HCS149" s="609"/>
      <c r="HCT149" s="609"/>
      <c r="HCU149" s="609"/>
      <c r="HCV149" s="609"/>
      <c r="HCW149" s="609"/>
      <c r="HCX149" s="609"/>
      <c r="HCY149" s="609"/>
      <c r="HCZ149" s="609"/>
      <c r="HDA149" s="609"/>
      <c r="HDB149" s="609"/>
      <c r="HDC149" s="609"/>
      <c r="HDD149" s="609"/>
      <c r="HDE149" s="609"/>
      <c r="HDF149" s="609"/>
      <c r="HDG149" s="609"/>
      <c r="HDH149" s="609"/>
      <c r="HDI149" s="609"/>
      <c r="HDJ149" s="609"/>
      <c r="HDK149" s="609"/>
      <c r="HDL149" s="609"/>
      <c r="HDM149" s="609"/>
      <c r="HDN149" s="609"/>
      <c r="HDO149" s="609"/>
      <c r="HDP149" s="609"/>
      <c r="HDQ149" s="609"/>
      <c r="HDR149" s="609"/>
      <c r="HDS149" s="609"/>
      <c r="HDT149" s="609"/>
      <c r="HDU149" s="609"/>
      <c r="HDV149" s="609"/>
      <c r="HDW149" s="609"/>
      <c r="HDX149" s="609"/>
      <c r="HDY149" s="609"/>
      <c r="HDZ149" s="609"/>
      <c r="HEA149" s="609"/>
      <c r="HEB149" s="609"/>
      <c r="HEC149" s="609"/>
      <c r="HED149" s="609"/>
      <c r="HEE149" s="609"/>
      <c r="HEF149" s="609"/>
      <c r="HEG149" s="609"/>
      <c r="HEH149" s="609"/>
      <c r="HEI149" s="609"/>
      <c r="HEJ149" s="609"/>
      <c r="HEK149" s="609"/>
      <c r="HEL149" s="609"/>
      <c r="HEM149" s="609"/>
      <c r="HEN149" s="609"/>
      <c r="HEO149" s="609"/>
      <c r="HEP149" s="609"/>
      <c r="HEQ149" s="609"/>
      <c r="HER149" s="609"/>
      <c r="HES149" s="609"/>
      <c r="HET149" s="609"/>
      <c r="HEU149" s="609"/>
      <c r="HEV149" s="609"/>
      <c r="HEW149" s="609"/>
      <c r="HEX149" s="609"/>
      <c r="HEY149" s="609"/>
      <c r="HEZ149" s="609"/>
      <c r="HFA149" s="609"/>
      <c r="HFB149" s="609"/>
      <c r="HFC149" s="609"/>
      <c r="HFD149" s="609"/>
      <c r="HFE149" s="609"/>
      <c r="HFF149" s="609"/>
      <c r="HFG149" s="609"/>
      <c r="HFH149" s="609"/>
      <c r="HFI149" s="609"/>
      <c r="HFJ149" s="609"/>
      <c r="HFK149" s="609"/>
      <c r="HFL149" s="609"/>
      <c r="HFM149" s="609"/>
      <c r="HFN149" s="609"/>
      <c r="HFO149" s="609"/>
      <c r="HFP149" s="609"/>
      <c r="HFQ149" s="609"/>
      <c r="HFR149" s="609"/>
      <c r="HFS149" s="609"/>
      <c r="HFT149" s="609"/>
      <c r="HFU149" s="609"/>
      <c r="HFV149" s="609"/>
      <c r="HFW149" s="609"/>
      <c r="HFX149" s="609"/>
      <c r="HFY149" s="609"/>
      <c r="HFZ149" s="609"/>
      <c r="HGA149" s="609"/>
      <c r="HGB149" s="609"/>
      <c r="HGC149" s="609"/>
      <c r="HGD149" s="609"/>
      <c r="HGE149" s="609"/>
      <c r="HGF149" s="609"/>
      <c r="HGG149" s="609"/>
      <c r="HGH149" s="609"/>
      <c r="HGI149" s="609"/>
      <c r="HGJ149" s="609"/>
      <c r="HGK149" s="609"/>
      <c r="HGL149" s="609"/>
      <c r="HGM149" s="609"/>
      <c r="HGN149" s="609"/>
      <c r="HGO149" s="609"/>
      <c r="HGP149" s="609"/>
      <c r="HGQ149" s="609"/>
      <c r="HGR149" s="609"/>
      <c r="HGS149" s="609"/>
      <c r="HGT149" s="609"/>
      <c r="HGU149" s="609"/>
      <c r="HGV149" s="609"/>
      <c r="HGW149" s="609"/>
      <c r="HGX149" s="609"/>
      <c r="HGY149" s="609"/>
      <c r="HGZ149" s="609"/>
      <c r="HHA149" s="609"/>
      <c r="HHB149" s="609"/>
      <c r="HHC149" s="609"/>
      <c r="HHD149" s="609"/>
      <c r="HHE149" s="609"/>
      <c r="HHF149" s="609"/>
      <c r="HHG149" s="609"/>
      <c r="HHH149" s="609"/>
      <c r="HHI149" s="609"/>
      <c r="HHJ149" s="609"/>
      <c r="HHK149" s="609"/>
      <c r="HHL149" s="609"/>
      <c r="HHM149" s="609"/>
      <c r="HHN149" s="609"/>
      <c r="HHO149" s="609"/>
      <c r="HHP149" s="609"/>
      <c r="HHQ149" s="609"/>
      <c r="HHR149" s="609"/>
      <c r="HHS149" s="609"/>
      <c r="HHT149" s="609"/>
      <c r="HHU149" s="609"/>
      <c r="HHV149" s="609"/>
      <c r="HHW149" s="609"/>
      <c r="HHX149" s="609"/>
      <c r="HHY149" s="609"/>
      <c r="HHZ149" s="609"/>
      <c r="HIA149" s="609"/>
      <c r="HIB149" s="609"/>
      <c r="HIC149" s="609"/>
      <c r="HID149" s="609"/>
      <c r="HIE149" s="609"/>
      <c r="HIF149" s="609"/>
      <c r="HIG149" s="609"/>
      <c r="HIH149" s="609"/>
      <c r="HII149" s="609"/>
      <c r="HIJ149" s="609"/>
      <c r="HIK149" s="609"/>
      <c r="HIL149" s="609"/>
      <c r="HIM149" s="609"/>
      <c r="HIN149" s="609"/>
      <c r="HIO149" s="609"/>
      <c r="HIP149" s="609"/>
      <c r="HIQ149" s="609"/>
      <c r="HIR149" s="609"/>
      <c r="HIS149" s="609"/>
      <c r="HIT149" s="609"/>
      <c r="HIU149" s="609"/>
      <c r="HIV149" s="609"/>
      <c r="HIW149" s="609"/>
      <c r="HIX149" s="609"/>
      <c r="HIY149" s="609"/>
      <c r="HIZ149" s="609"/>
      <c r="HJA149" s="609"/>
      <c r="HJB149" s="609"/>
      <c r="HJC149" s="609"/>
      <c r="HJD149" s="609"/>
      <c r="HJE149" s="609"/>
      <c r="HJF149" s="609"/>
      <c r="HJG149" s="609"/>
      <c r="HJH149" s="609"/>
      <c r="HJI149" s="609"/>
      <c r="HJJ149" s="609"/>
      <c r="HJK149" s="609"/>
      <c r="HJL149" s="609"/>
      <c r="HJM149" s="609"/>
      <c r="HJN149" s="609"/>
      <c r="HJO149" s="609"/>
      <c r="HJP149" s="609"/>
      <c r="HJQ149" s="609"/>
      <c r="HJR149" s="609"/>
      <c r="HJS149" s="609"/>
      <c r="HJT149" s="609"/>
      <c r="HJU149" s="609"/>
      <c r="HJV149" s="609"/>
      <c r="HJW149" s="609"/>
      <c r="HJX149" s="609"/>
      <c r="HJY149" s="609"/>
      <c r="HJZ149" s="609"/>
      <c r="HKA149" s="609"/>
      <c r="HKB149" s="609"/>
      <c r="HKC149" s="609"/>
      <c r="HKD149" s="609"/>
      <c r="HKE149" s="609"/>
      <c r="HKF149" s="609"/>
      <c r="HKG149" s="609"/>
      <c r="HKH149" s="609"/>
      <c r="HKI149" s="609"/>
      <c r="HKJ149" s="609"/>
      <c r="HKK149" s="609"/>
      <c r="HKL149" s="609"/>
      <c r="HKM149" s="609"/>
      <c r="HKN149" s="609"/>
      <c r="HKO149" s="609"/>
      <c r="HKP149" s="609"/>
      <c r="HKQ149" s="609"/>
      <c r="HKR149" s="609"/>
      <c r="HKS149" s="609"/>
      <c r="HKT149" s="609"/>
      <c r="HKU149" s="609"/>
      <c r="HKV149" s="609"/>
      <c r="HKW149" s="609"/>
      <c r="HKX149" s="609"/>
      <c r="HKY149" s="609"/>
      <c r="HKZ149" s="609"/>
      <c r="HLA149" s="609"/>
      <c r="HLB149" s="609"/>
      <c r="HLC149" s="609"/>
      <c r="HLD149" s="609"/>
      <c r="HLE149" s="609"/>
      <c r="HLF149" s="609"/>
      <c r="HLG149" s="609"/>
      <c r="HLH149" s="609"/>
      <c r="HLI149" s="609"/>
      <c r="HLJ149" s="609"/>
      <c r="HLK149" s="609"/>
      <c r="HLL149" s="609"/>
      <c r="HLM149" s="609"/>
      <c r="HLN149" s="609"/>
      <c r="HLO149" s="609"/>
      <c r="HLP149" s="609"/>
      <c r="HLQ149" s="609"/>
      <c r="HLR149" s="609"/>
      <c r="HLS149" s="609"/>
      <c r="HLT149" s="609"/>
      <c r="HLU149" s="609"/>
      <c r="HLV149" s="609"/>
      <c r="HLW149" s="609"/>
      <c r="HLX149" s="609"/>
      <c r="HLY149" s="609"/>
      <c r="HLZ149" s="609"/>
      <c r="HMA149" s="609"/>
      <c r="HMB149" s="609"/>
      <c r="HMC149" s="609"/>
      <c r="HMD149" s="609"/>
      <c r="HME149" s="609"/>
      <c r="HMF149" s="609"/>
      <c r="HMG149" s="609"/>
      <c r="HMH149" s="609"/>
      <c r="HMI149" s="609"/>
      <c r="HMJ149" s="609"/>
      <c r="HMK149" s="609"/>
      <c r="HML149" s="609"/>
      <c r="HMM149" s="609"/>
      <c r="HMN149" s="609"/>
      <c r="HMO149" s="609"/>
      <c r="HMP149" s="609"/>
      <c r="HMQ149" s="609"/>
      <c r="HMR149" s="609"/>
      <c r="HMS149" s="609"/>
      <c r="HMT149" s="609"/>
      <c r="HMU149" s="609"/>
      <c r="HMV149" s="609"/>
      <c r="HMW149" s="609"/>
      <c r="HMX149" s="609"/>
      <c r="HMY149" s="609"/>
      <c r="HMZ149" s="609"/>
      <c r="HNA149" s="609"/>
      <c r="HNB149" s="609"/>
      <c r="HNC149" s="609"/>
      <c r="HND149" s="609"/>
      <c r="HNE149" s="609"/>
      <c r="HNF149" s="609"/>
      <c r="HNG149" s="609"/>
      <c r="HNH149" s="609"/>
      <c r="HNI149" s="609"/>
      <c r="HNJ149" s="609"/>
      <c r="HNK149" s="609"/>
      <c r="HNL149" s="609"/>
      <c r="HNM149" s="609"/>
      <c r="HNN149" s="609"/>
      <c r="HNO149" s="609"/>
      <c r="HNP149" s="609"/>
      <c r="HNQ149" s="609"/>
      <c r="HNR149" s="609"/>
      <c r="HNS149" s="609"/>
      <c r="HNT149" s="609"/>
      <c r="HNU149" s="609"/>
      <c r="HNV149" s="609"/>
      <c r="HNW149" s="609"/>
      <c r="HNX149" s="609"/>
      <c r="HNY149" s="609"/>
      <c r="HNZ149" s="609"/>
      <c r="HOA149" s="609"/>
      <c r="HOB149" s="609"/>
      <c r="HOC149" s="609"/>
      <c r="HOD149" s="609"/>
      <c r="HOE149" s="609"/>
      <c r="HOF149" s="609"/>
      <c r="HOG149" s="609"/>
      <c r="HOH149" s="609"/>
      <c r="HOI149" s="609"/>
      <c r="HOJ149" s="609"/>
      <c r="HOK149" s="609"/>
      <c r="HOL149" s="609"/>
      <c r="HOM149" s="609"/>
      <c r="HON149" s="609"/>
      <c r="HOO149" s="609"/>
      <c r="HOP149" s="609"/>
      <c r="HOQ149" s="609"/>
      <c r="HOR149" s="609"/>
      <c r="HOS149" s="609"/>
      <c r="HOT149" s="609"/>
      <c r="HOU149" s="609"/>
      <c r="HOV149" s="609"/>
      <c r="HOW149" s="609"/>
      <c r="HOX149" s="609"/>
      <c r="HOY149" s="609"/>
      <c r="HOZ149" s="609"/>
      <c r="HPA149" s="609"/>
      <c r="HPB149" s="609"/>
      <c r="HPC149" s="609"/>
      <c r="HPD149" s="609"/>
      <c r="HPE149" s="609"/>
      <c r="HPF149" s="609"/>
      <c r="HPG149" s="609"/>
      <c r="HPH149" s="609"/>
      <c r="HPI149" s="609"/>
      <c r="HPJ149" s="609"/>
      <c r="HPK149" s="609"/>
      <c r="HPL149" s="609"/>
      <c r="HPM149" s="609"/>
      <c r="HPN149" s="609"/>
      <c r="HPO149" s="609"/>
      <c r="HPP149" s="609"/>
      <c r="HPQ149" s="609"/>
      <c r="HPR149" s="609"/>
      <c r="HPS149" s="609"/>
      <c r="HPT149" s="609"/>
      <c r="HPU149" s="609"/>
      <c r="HPV149" s="609"/>
      <c r="HPW149" s="609"/>
      <c r="HPX149" s="609"/>
      <c r="HPY149" s="609"/>
      <c r="HPZ149" s="609"/>
      <c r="HQA149" s="609"/>
      <c r="HQB149" s="609"/>
      <c r="HQC149" s="609"/>
      <c r="HQD149" s="609"/>
      <c r="HQE149" s="609"/>
      <c r="HQF149" s="609"/>
      <c r="HQG149" s="609"/>
      <c r="HQH149" s="609"/>
      <c r="HQI149" s="609"/>
      <c r="HQJ149" s="609"/>
      <c r="HQK149" s="609"/>
      <c r="HQL149" s="609"/>
      <c r="HQM149" s="609"/>
      <c r="HQN149" s="609"/>
      <c r="HQO149" s="609"/>
      <c r="HQP149" s="609"/>
      <c r="HQQ149" s="609"/>
      <c r="HQR149" s="609"/>
      <c r="HQS149" s="609"/>
      <c r="HQT149" s="609"/>
      <c r="HQU149" s="609"/>
      <c r="HQV149" s="609"/>
      <c r="HQW149" s="609"/>
      <c r="HQX149" s="609"/>
      <c r="HQY149" s="609"/>
      <c r="HQZ149" s="609"/>
      <c r="HRA149" s="609"/>
      <c r="HRB149" s="609"/>
      <c r="HRC149" s="609"/>
      <c r="HRD149" s="609"/>
      <c r="HRE149" s="609"/>
      <c r="HRF149" s="609"/>
      <c r="HRG149" s="609"/>
      <c r="HRH149" s="609"/>
      <c r="HRI149" s="609"/>
      <c r="HRJ149" s="609"/>
      <c r="HRK149" s="609"/>
      <c r="HRL149" s="609"/>
      <c r="HRM149" s="609"/>
      <c r="HRN149" s="609"/>
      <c r="HRO149" s="609"/>
      <c r="HRP149" s="609"/>
      <c r="HRQ149" s="609"/>
      <c r="HRR149" s="609"/>
      <c r="HRS149" s="609"/>
      <c r="HRT149" s="609"/>
      <c r="HRU149" s="609"/>
      <c r="HRV149" s="609"/>
      <c r="HRW149" s="609"/>
      <c r="HRX149" s="609"/>
      <c r="HRY149" s="609"/>
      <c r="HRZ149" s="609"/>
      <c r="HSA149" s="609"/>
      <c r="HSB149" s="609"/>
      <c r="HSC149" s="609"/>
      <c r="HSD149" s="609"/>
      <c r="HSE149" s="609"/>
      <c r="HSF149" s="609"/>
      <c r="HSG149" s="609"/>
      <c r="HSH149" s="609"/>
      <c r="HSI149" s="609"/>
      <c r="HSJ149" s="609"/>
      <c r="HSK149" s="609"/>
      <c r="HSL149" s="609"/>
      <c r="HSM149" s="609"/>
      <c r="HSN149" s="609"/>
      <c r="HSO149" s="609"/>
      <c r="HSP149" s="609"/>
      <c r="HSQ149" s="609"/>
      <c r="HSR149" s="609"/>
      <c r="HSS149" s="609"/>
      <c r="HST149" s="609"/>
      <c r="HSU149" s="609"/>
      <c r="HSV149" s="609"/>
      <c r="HSW149" s="609"/>
      <c r="HSX149" s="609"/>
      <c r="HSY149" s="609"/>
      <c r="HSZ149" s="609"/>
      <c r="HTA149" s="609"/>
      <c r="HTB149" s="609"/>
      <c r="HTC149" s="609"/>
      <c r="HTD149" s="609"/>
      <c r="HTE149" s="609"/>
      <c r="HTF149" s="609"/>
      <c r="HTG149" s="609"/>
      <c r="HTH149" s="609"/>
      <c r="HTI149" s="609"/>
      <c r="HTJ149" s="609"/>
      <c r="HTK149" s="609"/>
      <c r="HTL149" s="609"/>
      <c r="HTM149" s="609"/>
      <c r="HTN149" s="609"/>
      <c r="HTO149" s="609"/>
      <c r="HTP149" s="609"/>
      <c r="HTQ149" s="609"/>
      <c r="HTR149" s="609"/>
      <c r="HTS149" s="609"/>
      <c r="HTT149" s="609"/>
      <c r="HTU149" s="609"/>
      <c r="HTV149" s="609"/>
      <c r="HTW149" s="609"/>
      <c r="HTX149" s="609"/>
      <c r="HTY149" s="609"/>
      <c r="HTZ149" s="609"/>
      <c r="HUA149" s="609"/>
      <c r="HUB149" s="609"/>
      <c r="HUC149" s="609"/>
      <c r="HUD149" s="609"/>
      <c r="HUE149" s="609"/>
      <c r="HUF149" s="609"/>
      <c r="HUG149" s="609"/>
      <c r="HUH149" s="609"/>
      <c r="HUI149" s="609"/>
      <c r="HUJ149" s="609"/>
      <c r="HUK149" s="609"/>
      <c r="HUL149" s="609"/>
      <c r="HUM149" s="609"/>
      <c r="HUN149" s="609"/>
      <c r="HUO149" s="609"/>
      <c r="HUP149" s="609"/>
      <c r="HUQ149" s="609"/>
      <c r="HUR149" s="609"/>
      <c r="HUS149" s="609"/>
      <c r="HUT149" s="609"/>
      <c r="HUU149" s="609"/>
      <c r="HUV149" s="609"/>
      <c r="HUW149" s="609"/>
      <c r="HUX149" s="609"/>
      <c r="HUY149" s="609"/>
      <c r="HUZ149" s="609"/>
      <c r="HVA149" s="609"/>
      <c r="HVB149" s="609"/>
      <c r="HVC149" s="609"/>
      <c r="HVD149" s="609"/>
      <c r="HVE149" s="609"/>
      <c r="HVF149" s="609"/>
      <c r="HVG149" s="609"/>
      <c r="HVH149" s="609"/>
      <c r="HVI149" s="609"/>
      <c r="HVJ149" s="609"/>
      <c r="HVK149" s="609"/>
      <c r="HVL149" s="609"/>
      <c r="HVM149" s="609"/>
      <c r="HVN149" s="609"/>
      <c r="HVO149" s="609"/>
      <c r="HVP149" s="609"/>
      <c r="HVQ149" s="609"/>
      <c r="HVR149" s="609"/>
      <c r="HVS149" s="609"/>
      <c r="HVT149" s="609"/>
      <c r="HVU149" s="609"/>
      <c r="HVV149" s="609"/>
      <c r="HVW149" s="609"/>
      <c r="HVX149" s="609"/>
      <c r="HVY149" s="609"/>
      <c r="HVZ149" s="609"/>
      <c r="HWA149" s="609"/>
      <c r="HWB149" s="609"/>
      <c r="HWC149" s="609"/>
      <c r="HWD149" s="609"/>
      <c r="HWE149" s="609"/>
      <c r="HWF149" s="609"/>
      <c r="HWG149" s="609"/>
      <c r="HWH149" s="609"/>
      <c r="HWI149" s="609"/>
      <c r="HWJ149" s="609"/>
      <c r="HWK149" s="609"/>
      <c r="HWL149" s="609"/>
      <c r="HWM149" s="609"/>
      <c r="HWN149" s="609"/>
      <c r="HWO149" s="609"/>
      <c r="HWP149" s="609"/>
      <c r="HWQ149" s="609"/>
      <c r="HWR149" s="609"/>
      <c r="HWS149" s="609"/>
      <c r="HWT149" s="609"/>
      <c r="HWU149" s="609"/>
      <c r="HWV149" s="609"/>
      <c r="HWW149" s="609"/>
      <c r="HWX149" s="609"/>
      <c r="HWY149" s="609"/>
      <c r="HWZ149" s="609"/>
      <c r="HXA149" s="609"/>
      <c r="HXB149" s="609"/>
      <c r="HXC149" s="609"/>
      <c r="HXD149" s="609"/>
      <c r="HXE149" s="609"/>
      <c r="HXF149" s="609"/>
      <c r="HXG149" s="609"/>
      <c r="HXH149" s="609"/>
      <c r="HXI149" s="609"/>
      <c r="HXJ149" s="609"/>
      <c r="HXK149" s="609"/>
      <c r="HXL149" s="609"/>
      <c r="HXM149" s="609"/>
      <c r="HXN149" s="609"/>
      <c r="HXO149" s="609"/>
      <c r="HXP149" s="609"/>
      <c r="HXQ149" s="609"/>
      <c r="HXR149" s="609"/>
      <c r="HXS149" s="609"/>
      <c r="HXT149" s="609"/>
      <c r="HXU149" s="609"/>
      <c r="HXV149" s="609"/>
      <c r="HXW149" s="609"/>
      <c r="HXX149" s="609"/>
      <c r="HXY149" s="609"/>
      <c r="HXZ149" s="609"/>
      <c r="HYA149" s="609"/>
      <c r="HYB149" s="609"/>
      <c r="HYC149" s="609"/>
      <c r="HYD149" s="609"/>
      <c r="HYE149" s="609"/>
      <c r="HYF149" s="609"/>
      <c r="HYG149" s="609"/>
      <c r="HYH149" s="609"/>
      <c r="HYI149" s="609"/>
      <c r="HYJ149" s="609"/>
      <c r="HYK149" s="609"/>
      <c r="HYL149" s="609"/>
      <c r="HYM149" s="609"/>
      <c r="HYN149" s="609"/>
      <c r="HYO149" s="609"/>
      <c r="HYP149" s="609"/>
      <c r="HYQ149" s="609"/>
      <c r="HYR149" s="609"/>
      <c r="HYS149" s="609"/>
      <c r="HYT149" s="609"/>
      <c r="HYU149" s="609"/>
      <c r="HYV149" s="609"/>
      <c r="HYW149" s="609"/>
      <c r="HYX149" s="609"/>
      <c r="HYY149" s="609"/>
      <c r="HYZ149" s="609"/>
      <c r="HZA149" s="609"/>
      <c r="HZB149" s="609"/>
      <c r="HZC149" s="609"/>
      <c r="HZD149" s="609"/>
      <c r="HZE149" s="609"/>
      <c r="HZF149" s="609"/>
      <c r="HZG149" s="609"/>
      <c r="HZH149" s="609"/>
      <c r="HZI149" s="609"/>
      <c r="HZJ149" s="609"/>
      <c r="HZK149" s="609"/>
      <c r="HZL149" s="609"/>
      <c r="HZM149" s="609"/>
      <c r="HZN149" s="609"/>
      <c r="HZO149" s="609"/>
      <c r="HZP149" s="609"/>
      <c r="HZQ149" s="609"/>
      <c r="HZR149" s="609"/>
      <c r="HZS149" s="609"/>
      <c r="HZT149" s="609"/>
      <c r="HZU149" s="609"/>
      <c r="HZV149" s="609"/>
      <c r="HZW149" s="609"/>
      <c r="HZX149" s="609"/>
      <c r="HZY149" s="609"/>
      <c r="HZZ149" s="609"/>
      <c r="IAA149" s="609"/>
      <c r="IAB149" s="609"/>
      <c r="IAC149" s="609"/>
      <c r="IAD149" s="609"/>
      <c r="IAE149" s="609"/>
      <c r="IAF149" s="609"/>
      <c r="IAG149" s="609"/>
      <c r="IAH149" s="609"/>
      <c r="IAI149" s="609"/>
      <c r="IAJ149" s="609"/>
      <c r="IAK149" s="609"/>
      <c r="IAL149" s="609"/>
      <c r="IAM149" s="609"/>
      <c r="IAN149" s="609"/>
      <c r="IAO149" s="609"/>
      <c r="IAP149" s="609"/>
      <c r="IAQ149" s="609"/>
      <c r="IAR149" s="609"/>
      <c r="IAS149" s="609"/>
      <c r="IAT149" s="609"/>
      <c r="IAU149" s="609"/>
      <c r="IAV149" s="609"/>
      <c r="IAW149" s="609"/>
      <c r="IAX149" s="609"/>
      <c r="IAY149" s="609"/>
      <c r="IAZ149" s="609"/>
      <c r="IBA149" s="609"/>
      <c r="IBB149" s="609"/>
      <c r="IBC149" s="609"/>
      <c r="IBD149" s="609"/>
      <c r="IBE149" s="609"/>
      <c r="IBF149" s="609"/>
      <c r="IBG149" s="609"/>
      <c r="IBH149" s="609"/>
      <c r="IBI149" s="609"/>
      <c r="IBJ149" s="609"/>
      <c r="IBK149" s="609"/>
      <c r="IBL149" s="609"/>
      <c r="IBM149" s="609"/>
      <c r="IBN149" s="609"/>
      <c r="IBO149" s="609"/>
      <c r="IBP149" s="609"/>
      <c r="IBQ149" s="609"/>
      <c r="IBR149" s="609"/>
      <c r="IBS149" s="609"/>
      <c r="IBT149" s="609"/>
      <c r="IBU149" s="609"/>
      <c r="IBV149" s="609"/>
      <c r="IBW149" s="609"/>
      <c r="IBX149" s="609"/>
      <c r="IBY149" s="609"/>
      <c r="IBZ149" s="609"/>
      <c r="ICA149" s="609"/>
      <c r="ICB149" s="609"/>
      <c r="ICC149" s="609"/>
      <c r="ICD149" s="609"/>
      <c r="ICE149" s="609"/>
      <c r="ICF149" s="609"/>
      <c r="ICG149" s="609"/>
      <c r="ICH149" s="609"/>
      <c r="ICI149" s="609"/>
      <c r="ICJ149" s="609"/>
      <c r="ICK149" s="609"/>
      <c r="ICL149" s="609"/>
      <c r="ICM149" s="609"/>
      <c r="ICN149" s="609"/>
      <c r="ICO149" s="609"/>
      <c r="ICP149" s="609"/>
      <c r="ICQ149" s="609"/>
      <c r="ICR149" s="609"/>
      <c r="ICS149" s="609"/>
      <c r="ICT149" s="609"/>
      <c r="ICU149" s="609"/>
      <c r="ICV149" s="609"/>
      <c r="ICW149" s="609"/>
      <c r="ICX149" s="609"/>
      <c r="ICY149" s="609"/>
      <c r="ICZ149" s="609"/>
      <c r="IDA149" s="609"/>
      <c r="IDB149" s="609"/>
      <c r="IDC149" s="609"/>
      <c r="IDD149" s="609"/>
      <c r="IDE149" s="609"/>
      <c r="IDF149" s="609"/>
      <c r="IDG149" s="609"/>
      <c r="IDH149" s="609"/>
      <c r="IDI149" s="609"/>
      <c r="IDJ149" s="609"/>
      <c r="IDK149" s="609"/>
      <c r="IDL149" s="609"/>
      <c r="IDM149" s="609"/>
      <c r="IDN149" s="609"/>
      <c r="IDO149" s="609"/>
      <c r="IDP149" s="609"/>
      <c r="IDQ149" s="609"/>
      <c r="IDR149" s="609"/>
      <c r="IDS149" s="609"/>
      <c r="IDT149" s="609"/>
      <c r="IDU149" s="609"/>
      <c r="IDV149" s="609"/>
      <c r="IDW149" s="609"/>
      <c r="IDX149" s="609"/>
      <c r="IDY149" s="609"/>
      <c r="IDZ149" s="609"/>
      <c r="IEA149" s="609"/>
      <c r="IEB149" s="609"/>
      <c r="IEC149" s="609"/>
      <c r="IED149" s="609"/>
      <c r="IEE149" s="609"/>
      <c r="IEF149" s="609"/>
      <c r="IEG149" s="609"/>
      <c r="IEH149" s="609"/>
      <c r="IEI149" s="609"/>
      <c r="IEJ149" s="609"/>
      <c r="IEK149" s="609"/>
      <c r="IEL149" s="609"/>
      <c r="IEM149" s="609"/>
      <c r="IEN149" s="609"/>
      <c r="IEO149" s="609"/>
      <c r="IEP149" s="609"/>
      <c r="IEQ149" s="609"/>
      <c r="IER149" s="609"/>
      <c r="IES149" s="609"/>
      <c r="IET149" s="609"/>
      <c r="IEU149" s="609"/>
      <c r="IEV149" s="609"/>
      <c r="IEW149" s="609"/>
      <c r="IEX149" s="609"/>
      <c r="IEY149" s="609"/>
      <c r="IEZ149" s="609"/>
      <c r="IFA149" s="609"/>
      <c r="IFB149" s="609"/>
      <c r="IFC149" s="609"/>
      <c r="IFD149" s="609"/>
      <c r="IFE149" s="609"/>
      <c r="IFF149" s="609"/>
      <c r="IFG149" s="609"/>
      <c r="IFH149" s="609"/>
      <c r="IFI149" s="609"/>
      <c r="IFJ149" s="609"/>
      <c r="IFK149" s="609"/>
      <c r="IFL149" s="609"/>
      <c r="IFM149" s="609"/>
      <c r="IFN149" s="609"/>
      <c r="IFO149" s="609"/>
      <c r="IFP149" s="609"/>
      <c r="IFQ149" s="609"/>
      <c r="IFR149" s="609"/>
      <c r="IFS149" s="609"/>
      <c r="IFT149" s="609"/>
      <c r="IFU149" s="609"/>
      <c r="IFV149" s="609"/>
      <c r="IFW149" s="609"/>
      <c r="IFX149" s="609"/>
      <c r="IFY149" s="609"/>
      <c r="IFZ149" s="609"/>
      <c r="IGA149" s="609"/>
      <c r="IGB149" s="609"/>
      <c r="IGC149" s="609"/>
      <c r="IGD149" s="609"/>
      <c r="IGE149" s="609"/>
      <c r="IGF149" s="609"/>
      <c r="IGG149" s="609"/>
      <c r="IGH149" s="609"/>
      <c r="IGI149" s="609"/>
      <c r="IGJ149" s="609"/>
      <c r="IGK149" s="609"/>
      <c r="IGL149" s="609"/>
      <c r="IGM149" s="609"/>
      <c r="IGN149" s="609"/>
      <c r="IGO149" s="609"/>
      <c r="IGP149" s="609"/>
      <c r="IGQ149" s="609"/>
      <c r="IGR149" s="609"/>
      <c r="IGS149" s="609"/>
      <c r="IGT149" s="609"/>
      <c r="IGU149" s="609"/>
      <c r="IGV149" s="609"/>
      <c r="IGW149" s="609"/>
      <c r="IGX149" s="609"/>
      <c r="IGY149" s="609"/>
      <c r="IGZ149" s="609"/>
      <c r="IHA149" s="609"/>
      <c r="IHB149" s="609"/>
      <c r="IHC149" s="609"/>
      <c r="IHD149" s="609"/>
      <c r="IHE149" s="609"/>
      <c r="IHF149" s="609"/>
      <c r="IHG149" s="609"/>
      <c r="IHH149" s="609"/>
      <c r="IHI149" s="609"/>
      <c r="IHJ149" s="609"/>
      <c r="IHK149" s="609"/>
      <c r="IHL149" s="609"/>
      <c r="IHM149" s="609"/>
      <c r="IHN149" s="609"/>
      <c r="IHO149" s="609"/>
      <c r="IHP149" s="609"/>
      <c r="IHQ149" s="609"/>
      <c r="IHR149" s="609"/>
      <c r="IHS149" s="609"/>
      <c r="IHT149" s="609"/>
      <c r="IHU149" s="609"/>
      <c r="IHV149" s="609"/>
      <c r="IHW149" s="609"/>
      <c r="IHX149" s="609"/>
      <c r="IHY149" s="609"/>
      <c r="IHZ149" s="609"/>
      <c r="IIA149" s="609"/>
      <c r="IIB149" s="609"/>
      <c r="IIC149" s="609"/>
      <c r="IID149" s="609"/>
      <c r="IIE149" s="609"/>
      <c r="IIF149" s="609"/>
      <c r="IIG149" s="609"/>
      <c r="IIH149" s="609"/>
      <c r="III149" s="609"/>
      <c r="IIJ149" s="609"/>
      <c r="IIK149" s="609"/>
      <c r="IIL149" s="609"/>
      <c r="IIM149" s="609"/>
      <c r="IIN149" s="609"/>
      <c r="IIO149" s="609"/>
      <c r="IIP149" s="609"/>
      <c r="IIQ149" s="609"/>
      <c r="IIR149" s="609"/>
      <c r="IIS149" s="609"/>
      <c r="IIT149" s="609"/>
      <c r="IIU149" s="609"/>
      <c r="IIV149" s="609"/>
      <c r="IIW149" s="609"/>
      <c r="IIX149" s="609"/>
      <c r="IIY149" s="609"/>
      <c r="IIZ149" s="609"/>
      <c r="IJA149" s="609"/>
      <c r="IJB149" s="609"/>
      <c r="IJC149" s="609"/>
      <c r="IJD149" s="609"/>
      <c r="IJE149" s="609"/>
      <c r="IJF149" s="609"/>
      <c r="IJG149" s="609"/>
      <c r="IJH149" s="609"/>
      <c r="IJI149" s="609"/>
      <c r="IJJ149" s="609"/>
      <c r="IJK149" s="609"/>
      <c r="IJL149" s="609"/>
      <c r="IJM149" s="609"/>
      <c r="IJN149" s="609"/>
      <c r="IJO149" s="609"/>
      <c r="IJP149" s="609"/>
      <c r="IJQ149" s="609"/>
      <c r="IJR149" s="609"/>
      <c r="IJS149" s="609"/>
      <c r="IJT149" s="609"/>
      <c r="IJU149" s="609"/>
      <c r="IJV149" s="609"/>
      <c r="IJW149" s="609"/>
      <c r="IJX149" s="609"/>
      <c r="IJY149" s="609"/>
      <c r="IJZ149" s="609"/>
      <c r="IKA149" s="609"/>
      <c r="IKB149" s="609"/>
      <c r="IKC149" s="609"/>
      <c r="IKD149" s="609"/>
      <c r="IKE149" s="609"/>
      <c r="IKF149" s="609"/>
      <c r="IKG149" s="609"/>
      <c r="IKH149" s="609"/>
      <c r="IKI149" s="609"/>
      <c r="IKJ149" s="609"/>
      <c r="IKK149" s="609"/>
      <c r="IKL149" s="609"/>
      <c r="IKM149" s="609"/>
      <c r="IKN149" s="609"/>
      <c r="IKO149" s="609"/>
      <c r="IKP149" s="609"/>
      <c r="IKQ149" s="609"/>
      <c r="IKR149" s="609"/>
      <c r="IKS149" s="609"/>
      <c r="IKT149" s="609"/>
      <c r="IKU149" s="609"/>
      <c r="IKV149" s="609"/>
      <c r="IKW149" s="609"/>
      <c r="IKX149" s="609"/>
      <c r="IKY149" s="609"/>
      <c r="IKZ149" s="609"/>
      <c r="ILA149" s="609"/>
      <c r="ILB149" s="609"/>
      <c r="ILC149" s="609"/>
      <c r="ILD149" s="609"/>
      <c r="ILE149" s="609"/>
      <c r="ILF149" s="609"/>
      <c r="ILG149" s="609"/>
      <c r="ILH149" s="609"/>
      <c r="ILI149" s="609"/>
      <c r="ILJ149" s="609"/>
      <c r="ILK149" s="609"/>
      <c r="ILL149" s="609"/>
      <c r="ILM149" s="609"/>
      <c r="ILN149" s="609"/>
      <c r="ILO149" s="609"/>
      <c r="ILP149" s="609"/>
      <c r="ILQ149" s="609"/>
      <c r="ILR149" s="609"/>
      <c r="ILS149" s="609"/>
      <c r="ILT149" s="609"/>
      <c r="ILU149" s="609"/>
      <c r="ILV149" s="609"/>
      <c r="ILW149" s="609"/>
      <c r="ILX149" s="609"/>
      <c r="ILY149" s="609"/>
      <c r="ILZ149" s="609"/>
      <c r="IMA149" s="609"/>
      <c r="IMB149" s="609"/>
      <c r="IMC149" s="609"/>
      <c r="IMD149" s="609"/>
      <c r="IME149" s="609"/>
      <c r="IMF149" s="609"/>
      <c r="IMG149" s="609"/>
      <c r="IMH149" s="609"/>
      <c r="IMI149" s="609"/>
      <c r="IMJ149" s="609"/>
      <c r="IMK149" s="609"/>
      <c r="IML149" s="609"/>
      <c r="IMM149" s="609"/>
      <c r="IMN149" s="609"/>
      <c r="IMO149" s="609"/>
      <c r="IMP149" s="609"/>
      <c r="IMQ149" s="609"/>
      <c r="IMR149" s="609"/>
      <c r="IMS149" s="609"/>
      <c r="IMT149" s="609"/>
      <c r="IMU149" s="609"/>
      <c r="IMV149" s="609"/>
      <c r="IMW149" s="609"/>
      <c r="IMX149" s="609"/>
      <c r="IMY149" s="609"/>
      <c r="IMZ149" s="609"/>
      <c r="INA149" s="609"/>
      <c r="INB149" s="609"/>
      <c r="INC149" s="609"/>
      <c r="IND149" s="609"/>
      <c r="INE149" s="609"/>
      <c r="INF149" s="609"/>
      <c r="ING149" s="609"/>
      <c r="INH149" s="609"/>
      <c r="INI149" s="609"/>
      <c r="INJ149" s="609"/>
      <c r="INK149" s="609"/>
      <c r="INL149" s="609"/>
      <c r="INM149" s="609"/>
      <c r="INN149" s="609"/>
      <c r="INO149" s="609"/>
      <c r="INP149" s="609"/>
      <c r="INQ149" s="609"/>
      <c r="INR149" s="609"/>
      <c r="INS149" s="609"/>
      <c r="INT149" s="609"/>
      <c r="INU149" s="609"/>
      <c r="INV149" s="609"/>
      <c r="INW149" s="609"/>
      <c r="INX149" s="609"/>
      <c r="INY149" s="609"/>
      <c r="INZ149" s="609"/>
      <c r="IOA149" s="609"/>
      <c r="IOB149" s="609"/>
      <c r="IOC149" s="609"/>
      <c r="IOD149" s="609"/>
      <c r="IOE149" s="609"/>
      <c r="IOF149" s="609"/>
      <c r="IOG149" s="609"/>
      <c r="IOH149" s="609"/>
      <c r="IOI149" s="609"/>
      <c r="IOJ149" s="609"/>
      <c r="IOK149" s="609"/>
      <c r="IOL149" s="609"/>
      <c r="IOM149" s="609"/>
      <c r="ION149" s="609"/>
      <c r="IOO149" s="609"/>
      <c r="IOP149" s="609"/>
      <c r="IOQ149" s="609"/>
      <c r="IOR149" s="609"/>
      <c r="IOS149" s="609"/>
      <c r="IOT149" s="609"/>
      <c r="IOU149" s="609"/>
      <c r="IOV149" s="609"/>
      <c r="IOW149" s="609"/>
      <c r="IOX149" s="609"/>
      <c r="IOY149" s="609"/>
      <c r="IOZ149" s="609"/>
      <c r="IPA149" s="609"/>
      <c r="IPB149" s="609"/>
      <c r="IPC149" s="609"/>
      <c r="IPD149" s="609"/>
      <c r="IPE149" s="609"/>
      <c r="IPF149" s="609"/>
      <c r="IPG149" s="609"/>
      <c r="IPH149" s="609"/>
      <c r="IPI149" s="609"/>
      <c r="IPJ149" s="609"/>
      <c r="IPK149" s="609"/>
      <c r="IPL149" s="609"/>
      <c r="IPM149" s="609"/>
      <c r="IPN149" s="609"/>
      <c r="IPO149" s="609"/>
      <c r="IPP149" s="609"/>
      <c r="IPQ149" s="609"/>
      <c r="IPR149" s="609"/>
      <c r="IPS149" s="609"/>
      <c r="IPT149" s="609"/>
      <c r="IPU149" s="609"/>
      <c r="IPV149" s="609"/>
      <c r="IPW149" s="609"/>
      <c r="IPX149" s="609"/>
      <c r="IPY149" s="609"/>
      <c r="IPZ149" s="609"/>
      <c r="IQA149" s="609"/>
      <c r="IQB149" s="609"/>
      <c r="IQC149" s="609"/>
      <c r="IQD149" s="609"/>
      <c r="IQE149" s="609"/>
      <c r="IQF149" s="609"/>
      <c r="IQG149" s="609"/>
      <c r="IQH149" s="609"/>
      <c r="IQI149" s="609"/>
      <c r="IQJ149" s="609"/>
      <c r="IQK149" s="609"/>
      <c r="IQL149" s="609"/>
      <c r="IQM149" s="609"/>
      <c r="IQN149" s="609"/>
      <c r="IQO149" s="609"/>
      <c r="IQP149" s="609"/>
      <c r="IQQ149" s="609"/>
      <c r="IQR149" s="609"/>
      <c r="IQS149" s="609"/>
      <c r="IQT149" s="609"/>
      <c r="IQU149" s="609"/>
      <c r="IQV149" s="609"/>
      <c r="IQW149" s="609"/>
      <c r="IQX149" s="609"/>
      <c r="IQY149" s="609"/>
      <c r="IQZ149" s="609"/>
      <c r="IRA149" s="609"/>
      <c r="IRB149" s="609"/>
      <c r="IRC149" s="609"/>
      <c r="IRD149" s="609"/>
      <c r="IRE149" s="609"/>
      <c r="IRF149" s="609"/>
      <c r="IRG149" s="609"/>
      <c r="IRH149" s="609"/>
      <c r="IRI149" s="609"/>
      <c r="IRJ149" s="609"/>
      <c r="IRK149" s="609"/>
      <c r="IRL149" s="609"/>
      <c r="IRM149" s="609"/>
      <c r="IRN149" s="609"/>
      <c r="IRO149" s="609"/>
      <c r="IRP149" s="609"/>
      <c r="IRQ149" s="609"/>
      <c r="IRR149" s="609"/>
      <c r="IRS149" s="609"/>
      <c r="IRT149" s="609"/>
      <c r="IRU149" s="609"/>
      <c r="IRV149" s="609"/>
      <c r="IRW149" s="609"/>
      <c r="IRX149" s="609"/>
      <c r="IRY149" s="609"/>
      <c r="IRZ149" s="609"/>
      <c r="ISA149" s="609"/>
      <c r="ISB149" s="609"/>
      <c r="ISC149" s="609"/>
      <c r="ISD149" s="609"/>
      <c r="ISE149" s="609"/>
      <c r="ISF149" s="609"/>
      <c r="ISG149" s="609"/>
      <c r="ISH149" s="609"/>
      <c r="ISI149" s="609"/>
      <c r="ISJ149" s="609"/>
      <c r="ISK149" s="609"/>
      <c r="ISL149" s="609"/>
      <c r="ISM149" s="609"/>
      <c r="ISN149" s="609"/>
      <c r="ISO149" s="609"/>
      <c r="ISP149" s="609"/>
      <c r="ISQ149" s="609"/>
      <c r="ISR149" s="609"/>
      <c r="ISS149" s="609"/>
      <c r="IST149" s="609"/>
      <c r="ISU149" s="609"/>
      <c r="ISV149" s="609"/>
      <c r="ISW149" s="609"/>
      <c r="ISX149" s="609"/>
      <c r="ISY149" s="609"/>
      <c r="ISZ149" s="609"/>
      <c r="ITA149" s="609"/>
      <c r="ITB149" s="609"/>
      <c r="ITC149" s="609"/>
      <c r="ITD149" s="609"/>
      <c r="ITE149" s="609"/>
      <c r="ITF149" s="609"/>
      <c r="ITG149" s="609"/>
      <c r="ITH149" s="609"/>
      <c r="ITI149" s="609"/>
      <c r="ITJ149" s="609"/>
      <c r="ITK149" s="609"/>
      <c r="ITL149" s="609"/>
      <c r="ITM149" s="609"/>
      <c r="ITN149" s="609"/>
      <c r="ITO149" s="609"/>
      <c r="ITP149" s="609"/>
      <c r="ITQ149" s="609"/>
      <c r="ITR149" s="609"/>
      <c r="ITS149" s="609"/>
      <c r="ITT149" s="609"/>
      <c r="ITU149" s="609"/>
      <c r="ITV149" s="609"/>
      <c r="ITW149" s="609"/>
      <c r="ITX149" s="609"/>
      <c r="ITY149" s="609"/>
      <c r="ITZ149" s="609"/>
      <c r="IUA149" s="609"/>
      <c r="IUB149" s="609"/>
      <c r="IUC149" s="609"/>
      <c r="IUD149" s="609"/>
      <c r="IUE149" s="609"/>
      <c r="IUF149" s="609"/>
      <c r="IUG149" s="609"/>
      <c r="IUH149" s="609"/>
      <c r="IUI149" s="609"/>
      <c r="IUJ149" s="609"/>
      <c r="IUK149" s="609"/>
      <c r="IUL149" s="609"/>
      <c r="IUM149" s="609"/>
      <c r="IUN149" s="609"/>
      <c r="IUO149" s="609"/>
      <c r="IUP149" s="609"/>
      <c r="IUQ149" s="609"/>
      <c r="IUR149" s="609"/>
      <c r="IUS149" s="609"/>
      <c r="IUT149" s="609"/>
      <c r="IUU149" s="609"/>
      <c r="IUV149" s="609"/>
      <c r="IUW149" s="609"/>
      <c r="IUX149" s="609"/>
      <c r="IUY149" s="609"/>
      <c r="IUZ149" s="609"/>
      <c r="IVA149" s="609"/>
      <c r="IVB149" s="609"/>
      <c r="IVC149" s="609"/>
      <c r="IVD149" s="609"/>
      <c r="IVE149" s="609"/>
      <c r="IVF149" s="609"/>
      <c r="IVG149" s="609"/>
      <c r="IVH149" s="609"/>
      <c r="IVI149" s="609"/>
      <c r="IVJ149" s="609"/>
      <c r="IVK149" s="609"/>
      <c r="IVL149" s="609"/>
      <c r="IVM149" s="609"/>
      <c r="IVN149" s="609"/>
      <c r="IVO149" s="609"/>
      <c r="IVP149" s="609"/>
      <c r="IVQ149" s="609"/>
      <c r="IVR149" s="609"/>
      <c r="IVS149" s="609"/>
      <c r="IVT149" s="609"/>
      <c r="IVU149" s="609"/>
      <c r="IVV149" s="609"/>
      <c r="IVW149" s="609"/>
      <c r="IVX149" s="609"/>
      <c r="IVY149" s="609"/>
      <c r="IVZ149" s="609"/>
      <c r="IWA149" s="609"/>
      <c r="IWB149" s="609"/>
      <c r="IWC149" s="609"/>
      <c r="IWD149" s="609"/>
      <c r="IWE149" s="609"/>
      <c r="IWF149" s="609"/>
      <c r="IWG149" s="609"/>
      <c r="IWH149" s="609"/>
      <c r="IWI149" s="609"/>
      <c r="IWJ149" s="609"/>
      <c r="IWK149" s="609"/>
      <c r="IWL149" s="609"/>
      <c r="IWM149" s="609"/>
      <c r="IWN149" s="609"/>
      <c r="IWO149" s="609"/>
      <c r="IWP149" s="609"/>
      <c r="IWQ149" s="609"/>
      <c r="IWR149" s="609"/>
      <c r="IWS149" s="609"/>
      <c r="IWT149" s="609"/>
      <c r="IWU149" s="609"/>
      <c r="IWV149" s="609"/>
      <c r="IWW149" s="609"/>
      <c r="IWX149" s="609"/>
      <c r="IWY149" s="609"/>
      <c r="IWZ149" s="609"/>
      <c r="IXA149" s="609"/>
      <c r="IXB149" s="609"/>
      <c r="IXC149" s="609"/>
      <c r="IXD149" s="609"/>
      <c r="IXE149" s="609"/>
      <c r="IXF149" s="609"/>
      <c r="IXG149" s="609"/>
      <c r="IXH149" s="609"/>
      <c r="IXI149" s="609"/>
      <c r="IXJ149" s="609"/>
      <c r="IXK149" s="609"/>
      <c r="IXL149" s="609"/>
      <c r="IXM149" s="609"/>
      <c r="IXN149" s="609"/>
      <c r="IXO149" s="609"/>
      <c r="IXP149" s="609"/>
      <c r="IXQ149" s="609"/>
      <c r="IXR149" s="609"/>
      <c r="IXS149" s="609"/>
      <c r="IXT149" s="609"/>
      <c r="IXU149" s="609"/>
      <c r="IXV149" s="609"/>
      <c r="IXW149" s="609"/>
      <c r="IXX149" s="609"/>
      <c r="IXY149" s="609"/>
      <c r="IXZ149" s="609"/>
      <c r="IYA149" s="609"/>
      <c r="IYB149" s="609"/>
      <c r="IYC149" s="609"/>
      <c r="IYD149" s="609"/>
      <c r="IYE149" s="609"/>
      <c r="IYF149" s="609"/>
      <c r="IYG149" s="609"/>
      <c r="IYH149" s="609"/>
      <c r="IYI149" s="609"/>
      <c r="IYJ149" s="609"/>
      <c r="IYK149" s="609"/>
      <c r="IYL149" s="609"/>
      <c r="IYM149" s="609"/>
      <c r="IYN149" s="609"/>
      <c r="IYO149" s="609"/>
      <c r="IYP149" s="609"/>
      <c r="IYQ149" s="609"/>
      <c r="IYR149" s="609"/>
      <c r="IYS149" s="609"/>
      <c r="IYT149" s="609"/>
      <c r="IYU149" s="609"/>
      <c r="IYV149" s="609"/>
      <c r="IYW149" s="609"/>
      <c r="IYX149" s="609"/>
      <c r="IYY149" s="609"/>
      <c r="IYZ149" s="609"/>
      <c r="IZA149" s="609"/>
      <c r="IZB149" s="609"/>
      <c r="IZC149" s="609"/>
      <c r="IZD149" s="609"/>
      <c r="IZE149" s="609"/>
      <c r="IZF149" s="609"/>
      <c r="IZG149" s="609"/>
      <c r="IZH149" s="609"/>
      <c r="IZI149" s="609"/>
      <c r="IZJ149" s="609"/>
      <c r="IZK149" s="609"/>
      <c r="IZL149" s="609"/>
      <c r="IZM149" s="609"/>
      <c r="IZN149" s="609"/>
      <c r="IZO149" s="609"/>
      <c r="IZP149" s="609"/>
      <c r="IZQ149" s="609"/>
      <c r="IZR149" s="609"/>
      <c r="IZS149" s="609"/>
      <c r="IZT149" s="609"/>
      <c r="IZU149" s="609"/>
      <c r="IZV149" s="609"/>
      <c r="IZW149" s="609"/>
      <c r="IZX149" s="609"/>
      <c r="IZY149" s="609"/>
      <c r="IZZ149" s="609"/>
      <c r="JAA149" s="609"/>
      <c r="JAB149" s="609"/>
      <c r="JAC149" s="609"/>
      <c r="JAD149" s="609"/>
      <c r="JAE149" s="609"/>
      <c r="JAF149" s="609"/>
      <c r="JAG149" s="609"/>
      <c r="JAH149" s="609"/>
      <c r="JAI149" s="609"/>
      <c r="JAJ149" s="609"/>
      <c r="JAK149" s="609"/>
      <c r="JAL149" s="609"/>
      <c r="JAM149" s="609"/>
      <c r="JAN149" s="609"/>
      <c r="JAO149" s="609"/>
      <c r="JAP149" s="609"/>
      <c r="JAQ149" s="609"/>
      <c r="JAR149" s="609"/>
      <c r="JAS149" s="609"/>
      <c r="JAT149" s="609"/>
      <c r="JAU149" s="609"/>
      <c r="JAV149" s="609"/>
      <c r="JAW149" s="609"/>
      <c r="JAX149" s="609"/>
      <c r="JAY149" s="609"/>
      <c r="JAZ149" s="609"/>
      <c r="JBA149" s="609"/>
      <c r="JBB149" s="609"/>
      <c r="JBC149" s="609"/>
      <c r="JBD149" s="609"/>
      <c r="JBE149" s="609"/>
      <c r="JBF149" s="609"/>
      <c r="JBG149" s="609"/>
      <c r="JBH149" s="609"/>
      <c r="JBI149" s="609"/>
      <c r="JBJ149" s="609"/>
      <c r="JBK149" s="609"/>
      <c r="JBL149" s="609"/>
      <c r="JBM149" s="609"/>
      <c r="JBN149" s="609"/>
      <c r="JBO149" s="609"/>
      <c r="JBP149" s="609"/>
      <c r="JBQ149" s="609"/>
      <c r="JBR149" s="609"/>
      <c r="JBS149" s="609"/>
      <c r="JBT149" s="609"/>
      <c r="JBU149" s="609"/>
      <c r="JBV149" s="609"/>
      <c r="JBW149" s="609"/>
      <c r="JBX149" s="609"/>
      <c r="JBY149" s="609"/>
      <c r="JBZ149" s="609"/>
      <c r="JCA149" s="609"/>
      <c r="JCB149" s="609"/>
      <c r="JCC149" s="609"/>
      <c r="JCD149" s="609"/>
      <c r="JCE149" s="609"/>
      <c r="JCF149" s="609"/>
      <c r="JCG149" s="609"/>
      <c r="JCH149" s="609"/>
      <c r="JCI149" s="609"/>
      <c r="JCJ149" s="609"/>
      <c r="JCK149" s="609"/>
      <c r="JCL149" s="609"/>
      <c r="JCM149" s="609"/>
      <c r="JCN149" s="609"/>
      <c r="JCO149" s="609"/>
      <c r="JCP149" s="609"/>
      <c r="JCQ149" s="609"/>
      <c r="JCR149" s="609"/>
      <c r="JCS149" s="609"/>
      <c r="JCT149" s="609"/>
      <c r="JCU149" s="609"/>
      <c r="JCV149" s="609"/>
      <c r="JCW149" s="609"/>
      <c r="JCX149" s="609"/>
      <c r="JCY149" s="609"/>
      <c r="JCZ149" s="609"/>
      <c r="JDA149" s="609"/>
      <c r="JDB149" s="609"/>
      <c r="JDC149" s="609"/>
      <c r="JDD149" s="609"/>
      <c r="JDE149" s="609"/>
      <c r="JDF149" s="609"/>
      <c r="JDG149" s="609"/>
      <c r="JDH149" s="609"/>
      <c r="JDI149" s="609"/>
      <c r="JDJ149" s="609"/>
      <c r="JDK149" s="609"/>
      <c r="JDL149" s="609"/>
      <c r="JDM149" s="609"/>
      <c r="JDN149" s="609"/>
      <c r="JDO149" s="609"/>
      <c r="JDP149" s="609"/>
      <c r="JDQ149" s="609"/>
      <c r="JDR149" s="609"/>
      <c r="JDS149" s="609"/>
      <c r="JDT149" s="609"/>
      <c r="JDU149" s="609"/>
      <c r="JDV149" s="609"/>
      <c r="JDW149" s="609"/>
      <c r="JDX149" s="609"/>
      <c r="JDY149" s="609"/>
      <c r="JDZ149" s="609"/>
      <c r="JEA149" s="609"/>
      <c r="JEB149" s="609"/>
      <c r="JEC149" s="609"/>
      <c r="JED149" s="609"/>
      <c r="JEE149" s="609"/>
      <c r="JEF149" s="609"/>
      <c r="JEG149" s="609"/>
      <c r="JEH149" s="609"/>
      <c r="JEI149" s="609"/>
      <c r="JEJ149" s="609"/>
      <c r="JEK149" s="609"/>
      <c r="JEL149" s="609"/>
      <c r="JEM149" s="609"/>
      <c r="JEN149" s="609"/>
      <c r="JEO149" s="609"/>
      <c r="JEP149" s="609"/>
      <c r="JEQ149" s="609"/>
      <c r="JER149" s="609"/>
      <c r="JES149" s="609"/>
      <c r="JET149" s="609"/>
      <c r="JEU149" s="609"/>
      <c r="JEV149" s="609"/>
      <c r="JEW149" s="609"/>
      <c r="JEX149" s="609"/>
      <c r="JEY149" s="609"/>
      <c r="JEZ149" s="609"/>
      <c r="JFA149" s="609"/>
      <c r="JFB149" s="609"/>
      <c r="JFC149" s="609"/>
      <c r="JFD149" s="609"/>
      <c r="JFE149" s="609"/>
      <c r="JFF149" s="609"/>
      <c r="JFG149" s="609"/>
      <c r="JFH149" s="609"/>
      <c r="JFI149" s="609"/>
      <c r="JFJ149" s="609"/>
      <c r="JFK149" s="609"/>
      <c r="JFL149" s="609"/>
      <c r="JFM149" s="609"/>
      <c r="JFN149" s="609"/>
      <c r="JFO149" s="609"/>
      <c r="JFP149" s="609"/>
      <c r="JFQ149" s="609"/>
      <c r="JFR149" s="609"/>
      <c r="JFS149" s="609"/>
      <c r="JFT149" s="609"/>
      <c r="JFU149" s="609"/>
      <c r="JFV149" s="609"/>
      <c r="JFW149" s="609"/>
      <c r="JFX149" s="609"/>
      <c r="JFY149" s="609"/>
      <c r="JFZ149" s="609"/>
      <c r="JGA149" s="609"/>
      <c r="JGB149" s="609"/>
      <c r="JGC149" s="609"/>
      <c r="JGD149" s="609"/>
      <c r="JGE149" s="609"/>
      <c r="JGF149" s="609"/>
      <c r="JGG149" s="609"/>
      <c r="JGH149" s="609"/>
      <c r="JGI149" s="609"/>
      <c r="JGJ149" s="609"/>
      <c r="JGK149" s="609"/>
      <c r="JGL149" s="609"/>
      <c r="JGM149" s="609"/>
      <c r="JGN149" s="609"/>
      <c r="JGO149" s="609"/>
      <c r="JGP149" s="609"/>
      <c r="JGQ149" s="609"/>
      <c r="JGR149" s="609"/>
      <c r="JGS149" s="609"/>
      <c r="JGT149" s="609"/>
      <c r="JGU149" s="609"/>
      <c r="JGV149" s="609"/>
      <c r="JGW149" s="609"/>
      <c r="JGX149" s="609"/>
      <c r="JGY149" s="609"/>
      <c r="JGZ149" s="609"/>
      <c r="JHA149" s="609"/>
      <c r="JHB149" s="609"/>
      <c r="JHC149" s="609"/>
      <c r="JHD149" s="609"/>
      <c r="JHE149" s="609"/>
      <c r="JHF149" s="609"/>
      <c r="JHG149" s="609"/>
      <c r="JHH149" s="609"/>
      <c r="JHI149" s="609"/>
      <c r="JHJ149" s="609"/>
      <c r="JHK149" s="609"/>
      <c r="JHL149" s="609"/>
      <c r="JHM149" s="609"/>
      <c r="JHN149" s="609"/>
      <c r="JHO149" s="609"/>
      <c r="JHP149" s="609"/>
      <c r="JHQ149" s="609"/>
      <c r="JHR149" s="609"/>
      <c r="JHS149" s="609"/>
      <c r="JHT149" s="609"/>
      <c r="JHU149" s="609"/>
      <c r="JHV149" s="609"/>
      <c r="JHW149" s="609"/>
      <c r="JHX149" s="609"/>
      <c r="JHY149" s="609"/>
      <c r="JHZ149" s="609"/>
      <c r="JIA149" s="609"/>
      <c r="JIB149" s="609"/>
      <c r="JIC149" s="609"/>
      <c r="JID149" s="609"/>
      <c r="JIE149" s="609"/>
      <c r="JIF149" s="609"/>
      <c r="JIG149" s="609"/>
      <c r="JIH149" s="609"/>
      <c r="JII149" s="609"/>
      <c r="JIJ149" s="609"/>
      <c r="JIK149" s="609"/>
      <c r="JIL149" s="609"/>
      <c r="JIM149" s="609"/>
      <c r="JIN149" s="609"/>
      <c r="JIO149" s="609"/>
      <c r="JIP149" s="609"/>
      <c r="JIQ149" s="609"/>
      <c r="JIR149" s="609"/>
      <c r="JIS149" s="609"/>
      <c r="JIT149" s="609"/>
      <c r="JIU149" s="609"/>
      <c r="JIV149" s="609"/>
      <c r="JIW149" s="609"/>
      <c r="JIX149" s="609"/>
      <c r="JIY149" s="609"/>
      <c r="JIZ149" s="609"/>
      <c r="JJA149" s="609"/>
      <c r="JJB149" s="609"/>
      <c r="JJC149" s="609"/>
      <c r="JJD149" s="609"/>
      <c r="JJE149" s="609"/>
      <c r="JJF149" s="609"/>
      <c r="JJG149" s="609"/>
      <c r="JJH149" s="609"/>
      <c r="JJI149" s="609"/>
      <c r="JJJ149" s="609"/>
      <c r="JJK149" s="609"/>
      <c r="JJL149" s="609"/>
      <c r="JJM149" s="609"/>
      <c r="JJN149" s="609"/>
      <c r="JJO149" s="609"/>
      <c r="JJP149" s="609"/>
      <c r="JJQ149" s="609"/>
      <c r="JJR149" s="609"/>
      <c r="JJS149" s="609"/>
      <c r="JJT149" s="609"/>
      <c r="JJU149" s="609"/>
      <c r="JJV149" s="609"/>
      <c r="JJW149" s="609"/>
      <c r="JJX149" s="609"/>
      <c r="JJY149" s="609"/>
      <c r="JJZ149" s="609"/>
      <c r="JKA149" s="609"/>
      <c r="JKB149" s="609"/>
      <c r="JKC149" s="609"/>
      <c r="JKD149" s="609"/>
      <c r="JKE149" s="609"/>
      <c r="JKF149" s="609"/>
      <c r="JKG149" s="609"/>
      <c r="JKH149" s="609"/>
      <c r="JKI149" s="609"/>
      <c r="JKJ149" s="609"/>
      <c r="JKK149" s="609"/>
      <c r="JKL149" s="609"/>
      <c r="JKM149" s="609"/>
      <c r="JKN149" s="609"/>
      <c r="JKO149" s="609"/>
      <c r="JKP149" s="609"/>
      <c r="JKQ149" s="609"/>
      <c r="JKR149" s="609"/>
      <c r="JKS149" s="609"/>
      <c r="JKT149" s="609"/>
      <c r="JKU149" s="609"/>
      <c r="JKV149" s="609"/>
      <c r="JKW149" s="609"/>
      <c r="JKX149" s="609"/>
      <c r="JKY149" s="609"/>
      <c r="JKZ149" s="609"/>
      <c r="JLA149" s="609"/>
      <c r="JLB149" s="609"/>
      <c r="JLC149" s="609"/>
      <c r="JLD149" s="609"/>
      <c r="JLE149" s="609"/>
      <c r="JLF149" s="609"/>
      <c r="JLG149" s="609"/>
      <c r="JLH149" s="609"/>
      <c r="JLI149" s="609"/>
      <c r="JLJ149" s="609"/>
      <c r="JLK149" s="609"/>
      <c r="JLL149" s="609"/>
      <c r="JLM149" s="609"/>
      <c r="JLN149" s="609"/>
      <c r="JLO149" s="609"/>
      <c r="JLP149" s="609"/>
      <c r="JLQ149" s="609"/>
      <c r="JLR149" s="609"/>
      <c r="JLS149" s="609"/>
      <c r="JLT149" s="609"/>
      <c r="JLU149" s="609"/>
      <c r="JLV149" s="609"/>
      <c r="JLW149" s="609"/>
      <c r="JLX149" s="609"/>
      <c r="JLY149" s="609"/>
      <c r="JLZ149" s="609"/>
      <c r="JMA149" s="609"/>
      <c r="JMB149" s="609"/>
      <c r="JMC149" s="609"/>
      <c r="JMD149" s="609"/>
      <c r="JME149" s="609"/>
      <c r="JMF149" s="609"/>
      <c r="JMG149" s="609"/>
      <c r="JMH149" s="609"/>
      <c r="JMI149" s="609"/>
      <c r="JMJ149" s="609"/>
      <c r="JMK149" s="609"/>
      <c r="JML149" s="609"/>
      <c r="JMM149" s="609"/>
      <c r="JMN149" s="609"/>
      <c r="JMO149" s="609"/>
      <c r="JMP149" s="609"/>
      <c r="JMQ149" s="609"/>
      <c r="JMR149" s="609"/>
      <c r="JMS149" s="609"/>
      <c r="JMT149" s="609"/>
      <c r="JMU149" s="609"/>
      <c r="JMV149" s="609"/>
      <c r="JMW149" s="609"/>
      <c r="JMX149" s="609"/>
      <c r="JMY149" s="609"/>
      <c r="JMZ149" s="609"/>
      <c r="JNA149" s="609"/>
      <c r="JNB149" s="609"/>
      <c r="JNC149" s="609"/>
      <c r="JND149" s="609"/>
      <c r="JNE149" s="609"/>
      <c r="JNF149" s="609"/>
      <c r="JNG149" s="609"/>
      <c r="JNH149" s="609"/>
      <c r="JNI149" s="609"/>
      <c r="JNJ149" s="609"/>
      <c r="JNK149" s="609"/>
      <c r="JNL149" s="609"/>
      <c r="JNM149" s="609"/>
      <c r="JNN149" s="609"/>
      <c r="JNO149" s="609"/>
      <c r="JNP149" s="609"/>
      <c r="JNQ149" s="609"/>
      <c r="JNR149" s="609"/>
      <c r="JNS149" s="609"/>
      <c r="JNT149" s="609"/>
      <c r="JNU149" s="609"/>
      <c r="JNV149" s="609"/>
      <c r="JNW149" s="609"/>
      <c r="JNX149" s="609"/>
      <c r="JNY149" s="609"/>
      <c r="JNZ149" s="609"/>
      <c r="JOA149" s="609"/>
      <c r="JOB149" s="609"/>
      <c r="JOC149" s="609"/>
      <c r="JOD149" s="609"/>
      <c r="JOE149" s="609"/>
      <c r="JOF149" s="609"/>
      <c r="JOG149" s="609"/>
      <c r="JOH149" s="609"/>
      <c r="JOI149" s="609"/>
      <c r="JOJ149" s="609"/>
      <c r="JOK149" s="609"/>
      <c r="JOL149" s="609"/>
      <c r="JOM149" s="609"/>
      <c r="JON149" s="609"/>
      <c r="JOO149" s="609"/>
      <c r="JOP149" s="609"/>
      <c r="JOQ149" s="609"/>
      <c r="JOR149" s="609"/>
      <c r="JOS149" s="609"/>
      <c r="JOT149" s="609"/>
      <c r="JOU149" s="609"/>
      <c r="JOV149" s="609"/>
      <c r="JOW149" s="609"/>
      <c r="JOX149" s="609"/>
      <c r="JOY149" s="609"/>
      <c r="JOZ149" s="609"/>
      <c r="JPA149" s="609"/>
      <c r="JPB149" s="609"/>
      <c r="JPC149" s="609"/>
      <c r="JPD149" s="609"/>
      <c r="JPE149" s="609"/>
      <c r="JPF149" s="609"/>
      <c r="JPG149" s="609"/>
      <c r="JPH149" s="609"/>
      <c r="JPI149" s="609"/>
      <c r="JPJ149" s="609"/>
      <c r="JPK149" s="609"/>
      <c r="JPL149" s="609"/>
      <c r="JPM149" s="609"/>
      <c r="JPN149" s="609"/>
      <c r="JPO149" s="609"/>
      <c r="JPP149" s="609"/>
      <c r="JPQ149" s="609"/>
      <c r="JPR149" s="609"/>
      <c r="JPS149" s="609"/>
      <c r="JPT149" s="609"/>
      <c r="JPU149" s="609"/>
      <c r="JPV149" s="609"/>
      <c r="JPW149" s="609"/>
      <c r="JPX149" s="609"/>
      <c r="JPY149" s="609"/>
      <c r="JPZ149" s="609"/>
      <c r="JQA149" s="609"/>
      <c r="JQB149" s="609"/>
      <c r="JQC149" s="609"/>
      <c r="JQD149" s="609"/>
      <c r="JQE149" s="609"/>
      <c r="JQF149" s="609"/>
      <c r="JQG149" s="609"/>
      <c r="JQH149" s="609"/>
      <c r="JQI149" s="609"/>
      <c r="JQJ149" s="609"/>
      <c r="JQK149" s="609"/>
      <c r="JQL149" s="609"/>
      <c r="JQM149" s="609"/>
      <c r="JQN149" s="609"/>
      <c r="JQO149" s="609"/>
      <c r="JQP149" s="609"/>
      <c r="JQQ149" s="609"/>
      <c r="JQR149" s="609"/>
      <c r="JQS149" s="609"/>
      <c r="JQT149" s="609"/>
      <c r="JQU149" s="609"/>
      <c r="JQV149" s="609"/>
      <c r="JQW149" s="609"/>
      <c r="JQX149" s="609"/>
      <c r="JQY149" s="609"/>
      <c r="JQZ149" s="609"/>
      <c r="JRA149" s="609"/>
      <c r="JRB149" s="609"/>
      <c r="JRC149" s="609"/>
      <c r="JRD149" s="609"/>
      <c r="JRE149" s="609"/>
      <c r="JRF149" s="609"/>
      <c r="JRG149" s="609"/>
      <c r="JRH149" s="609"/>
      <c r="JRI149" s="609"/>
      <c r="JRJ149" s="609"/>
      <c r="JRK149" s="609"/>
      <c r="JRL149" s="609"/>
      <c r="JRM149" s="609"/>
      <c r="JRN149" s="609"/>
      <c r="JRO149" s="609"/>
      <c r="JRP149" s="609"/>
      <c r="JRQ149" s="609"/>
      <c r="JRR149" s="609"/>
      <c r="JRS149" s="609"/>
      <c r="JRT149" s="609"/>
      <c r="JRU149" s="609"/>
      <c r="JRV149" s="609"/>
      <c r="JRW149" s="609"/>
      <c r="JRX149" s="609"/>
      <c r="JRY149" s="609"/>
      <c r="JRZ149" s="609"/>
      <c r="JSA149" s="609"/>
      <c r="JSB149" s="609"/>
      <c r="JSC149" s="609"/>
      <c r="JSD149" s="609"/>
      <c r="JSE149" s="609"/>
      <c r="JSF149" s="609"/>
      <c r="JSG149" s="609"/>
      <c r="JSH149" s="609"/>
      <c r="JSI149" s="609"/>
      <c r="JSJ149" s="609"/>
      <c r="JSK149" s="609"/>
      <c r="JSL149" s="609"/>
      <c r="JSM149" s="609"/>
      <c r="JSN149" s="609"/>
      <c r="JSO149" s="609"/>
      <c r="JSP149" s="609"/>
      <c r="JSQ149" s="609"/>
      <c r="JSR149" s="609"/>
      <c r="JSS149" s="609"/>
      <c r="JST149" s="609"/>
      <c r="JSU149" s="609"/>
      <c r="JSV149" s="609"/>
      <c r="JSW149" s="609"/>
      <c r="JSX149" s="609"/>
      <c r="JSY149" s="609"/>
      <c r="JSZ149" s="609"/>
      <c r="JTA149" s="609"/>
      <c r="JTB149" s="609"/>
      <c r="JTC149" s="609"/>
      <c r="JTD149" s="609"/>
      <c r="JTE149" s="609"/>
      <c r="JTF149" s="609"/>
      <c r="JTG149" s="609"/>
      <c r="JTH149" s="609"/>
      <c r="JTI149" s="609"/>
      <c r="JTJ149" s="609"/>
      <c r="JTK149" s="609"/>
      <c r="JTL149" s="609"/>
      <c r="JTM149" s="609"/>
      <c r="JTN149" s="609"/>
      <c r="JTO149" s="609"/>
      <c r="JTP149" s="609"/>
      <c r="JTQ149" s="609"/>
      <c r="JTR149" s="609"/>
      <c r="JTS149" s="609"/>
      <c r="JTT149" s="609"/>
      <c r="JTU149" s="609"/>
      <c r="JTV149" s="609"/>
      <c r="JTW149" s="609"/>
      <c r="JTX149" s="609"/>
      <c r="JTY149" s="609"/>
      <c r="JTZ149" s="609"/>
      <c r="JUA149" s="609"/>
      <c r="JUB149" s="609"/>
      <c r="JUC149" s="609"/>
      <c r="JUD149" s="609"/>
      <c r="JUE149" s="609"/>
      <c r="JUF149" s="609"/>
      <c r="JUG149" s="609"/>
      <c r="JUH149" s="609"/>
      <c r="JUI149" s="609"/>
      <c r="JUJ149" s="609"/>
      <c r="JUK149" s="609"/>
      <c r="JUL149" s="609"/>
      <c r="JUM149" s="609"/>
      <c r="JUN149" s="609"/>
      <c r="JUO149" s="609"/>
      <c r="JUP149" s="609"/>
      <c r="JUQ149" s="609"/>
      <c r="JUR149" s="609"/>
      <c r="JUS149" s="609"/>
      <c r="JUT149" s="609"/>
      <c r="JUU149" s="609"/>
      <c r="JUV149" s="609"/>
      <c r="JUW149" s="609"/>
      <c r="JUX149" s="609"/>
      <c r="JUY149" s="609"/>
      <c r="JUZ149" s="609"/>
      <c r="JVA149" s="609"/>
      <c r="JVB149" s="609"/>
      <c r="JVC149" s="609"/>
      <c r="JVD149" s="609"/>
      <c r="JVE149" s="609"/>
      <c r="JVF149" s="609"/>
      <c r="JVG149" s="609"/>
      <c r="JVH149" s="609"/>
      <c r="JVI149" s="609"/>
      <c r="JVJ149" s="609"/>
      <c r="JVK149" s="609"/>
      <c r="JVL149" s="609"/>
      <c r="JVM149" s="609"/>
      <c r="JVN149" s="609"/>
      <c r="JVO149" s="609"/>
      <c r="JVP149" s="609"/>
      <c r="JVQ149" s="609"/>
      <c r="JVR149" s="609"/>
      <c r="JVS149" s="609"/>
      <c r="JVT149" s="609"/>
      <c r="JVU149" s="609"/>
      <c r="JVV149" s="609"/>
      <c r="JVW149" s="609"/>
      <c r="JVX149" s="609"/>
      <c r="JVY149" s="609"/>
      <c r="JVZ149" s="609"/>
      <c r="JWA149" s="609"/>
      <c r="JWB149" s="609"/>
      <c r="JWC149" s="609"/>
      <c r="JWD149" s="609"/>
      <c r="JWE149" s="609"/>
      <c r="JWF149" s="609"/>
      <c r="JWG149" s="609"/>
      <c r="JWH149" s="609"/>
      <c r="JWI149" s="609"/>
      <c r="JWJ149" s="609"/>
      <c r="JWK149" s="609"/>
      <c r="JWL149" s="609"/>
      <c r="JWM149" s="609"/>
      <c r="JWN149" s="609"/>
      <c r="JWO149" s="609"/>
      <c r="JWP149" s="609"/>
      <c r="JWQ149" s="609"/>
      <c r="JWR149" s="609"/>
      <c r="JWS149" s="609"/>
      <c r="JWT149" s="609"/>
      <c r="JWU149" s="609"/>
      <c r="JWV149" s="609"/>
      <c r="JWW149" s="609"/>
      <c r="JWX149" s="609"/>
      <c r="JWY149" s="609"/>
      <c r="JWZ149" s="609"/>
      <c r="JXA149" s="609"/>
      <c r="JXB149" s="609"/>
      <c r="JXC149" s="609"/>
      <c r="JXD149" s="609"/>
      <c r="JXE149" s="609"/>
      <c r="JXF149" s="609"/>
      <c r="JXG149" s="609"/>
      <c r="JXH149" s="609"/>
      <c r="JXI149" s="609"/>
      <c r="JXJ149" s="609"/>
      <c r="JXK149" s="609"/>
      <c r="JXL149" s="609"/>
      <c r="JXM149" s="609"/>
      <c r="JXN149" s="609"/>
      <c r="JXO149" s="609"/>
      <c r="JXP149" s="609"/>
      <c r="JXQ149" s="609"/>
      <c r="JXR149" s="609"/>
      <c r="JXS149" s="609"/>
      <c r="JXT149" s="609"/>
      <c r="JXU149" s="609"/>
      <c r="JXV149" s="609"/>
      <c r="JXW149" s="609"/>
      <c r="JXX149" s="609"/>
      <c r="JXY149" s="609"/>
      <c r="JXZ149" s="609"/>
      <c r="JYA149" s="609"/>
      <c r="JYB149" s="609"/>
      <c r="JYC149" s="609"/>
      <c r="JYD149" s="609"/>
      <c r="JYE149" s="609"/>
      <c r="JYF149" s="609"/>
      <c r="JYG149" s="609"/>
      <c r="JYH149" s="609"/>
      <c r="JYI149" s="609"/>
      <c r="JYJ149" s="609"/>
      <c r="JYK149" s="609"/>
      <c r="JYL149" s="609"/>
      <c r="JYM149" s="609"/>
      <c r="JYN149" s="609"/>
      <c r="JYO149" s="609"/>
      <c r="JYP149" s="609"/>
      <c r="JYQ149" s="609"/>
      <c r="JYR149" s="609"/>
      <c r="JYS149" s="609"/>
      <c r="JYT149" s="609"/>
      <c r="JYU149" s="609"/>
      <c r="JYV149" s="609"/>
      <c r="JYW149" s="609"/>
      <c r="JYX149" s="609"/>
      <c r="JYY149" s="609"/>
      <c r="JYZ149" s="609"/>
      <c r="JZA149" s="609"/>
      <c r="JZB149" s="609"/>
      <c r="JZC149" s="609"/>
      <c r="JZD149" s="609"/>
      <c r="JZE149" s="609"/>
      <c r="JZF149" s="609"/>
      <c r="JZG149" s="609"/>
      <c r="JZH149" s="609"/>
      <c r="JZI149" s="609"/>
      <c r="JZJ149" s="609"/>
      <c r="JZK149" s="609"/>
      <c r="JZL149" s="609"/>
      <c r="JZM149" s="609"/>
      <c r="JZN149" s="609"/>
      <c r="JZO149" s="609"/>
      <c r="JZP149" s="609"/>
      <c r="JZQ149" s="609"/>
      <c r="JZR149" s="609"/>
      <c r="JZS149" s="609"/>
      <c r="JZT149" s="609"/>
      <c r="JZU149" s="609"/>
      <c r="JZV149" s="609"/>
      <c r="JZW149" s="609"/>
      <c r="JZX149" s="609"/>
      <c r="JZY149" s="609"/>
      <c r="JZZ149" s="609"/>
      <c r="KAA149" s="609"/>
      <c r="KAB149" s="609"/>
      <c r="KAC149" s="609"/>
      <c r="KAD149" s="609"/>
      <c r="KAE149" s="609"/>
      <c r="KAF149" s="609"/>
      <c r="KAG149" s="609"/>
      <c r="KAH149" s="609"/>
      <c r="KAI149" s="609"/>
      <c r="KAJ149" s="609"/>
      <c r="KAK149" s="609"/>
      <c r="KAL149" s="609"/>
      <c r="KAM149" s="609"/>
      <c r="KAN149" s="609"/>
      <c r="KAO149" s="609"/>
      <c r="KAP149" s="609"/>
      <c r="KAQ149" s="609"/>
      <c r="KAR149" s="609"/>
      <c r="KAS149" s="609"/>
      <c r="KAT149" s="609"/>
      <c r="KAU149" s="609"/>
      <c r="KAV149" s="609"/>
      <c r="KAW149" s="609"/>
      <c r="KAX149" s="609"/>
      <c r="KAY149" s="609"/>
      <c r="KAZ149" s="609"/>
      <c r="KBA149" s="609"/>
      <c r="KBB149" s="609"/>
      <c r="KBC149" s="609"/>
      <c r="KBD149" s="609"/>
      <c r="KBE149" s="609"/>
      <c r="KBF149" s="609"/>
      <c r="KBG149" s="609"/>
      <c r="KBH149" s="609"/>
      <c r="KBI149" s="609"/>
      <c r="KBJ149" s="609"/>
      <c r="KBK149" s="609"/>
      <c r="KBL149" s="609"/>
      <c r="KBM149" s="609"/>
      <c r="KBN149" s="609"/>
      <c r="KBO149" s="609"/>
      <c r="KBP149" s="609"/>
      <c r="KBQ149" s="609"/>
      <c r="KBR149" s="609"/>
      <c r="KBS149" s="609"/>
      <c r="KBT149" s="609"/>
      <c r="KBU149" s="609"/>
      <c r="KBV149" s="609"/>
      <c r="KBW149" s="609"/>
      <c r="KBX149" s="609"/>
      <c r="KBY149" s="609"/>
      <c r="KBZ149" s="609"/>
      <c r="KCA149" s="609"/>
      <c r="KCB149" s="609"/>
      <c r="KCC149" s="609"/>
      <c r="KCD149" s="609"/>
      <c r="KCE149" s="609"/>
      <c r="KCF149" s="609"/>
      <c r="KCG149" s="609"/>
      <c r="KCH149" s="609"/>
      <c r="KCI149" s="609"/>
      <c r="KCJ149" s="609"/>
      <c r="KCK149" s="609"/>
      <c r="KCL149" s="609"/>
      <c r="KCM149" s="609"/>
      <c r="KCN149" s="609"/>
      <c r="KCO149" s="609"/>
      <c r="KCP149" s="609"/>
      <c r="KCQ149" s="609"/>
      <c r="KCR149" s="609"/>
      <c r="KCS149" s="609"/>
      <c r="KCT149" s="609"/>
      <c r="KCU149" s="609"/>
      <c r="KCV149" s="609"/>
      <c r="KCW149" s="609"/>
      <c r="KCX149" s="609"/>
      <c r="KCY149" s="609"/>
      <c r="KCZ149" s="609"/>
      <c r="KDA149" s="609"/>
      <c r="KDB149" s="609"/>
      <c r="KDC149" s="609"/>
      <c r="KDD149" s="609"/>
      <c r="KDE149" s="609"/>
      <c r="KDF149" s="609"/>
      <c r="KDG149" s="609"/>
      <c r="KDH149" s="609"/>
      <c r="KDI149" s="609"/>
      <c r="KDJ149" s="609"/>
      <c r="KDK149" s="609"/>
      <c r="KDL149" s="609"/>
      <c r="KDM149" s="609"/>
      <c r="KDN149" s="609"/>
      <c r="KDO149" s="609"/>
      <c r="KDP149" s="609"/>
      <c r="KDQ149" s="609"/>
      <c r="KDR149" s="609"/>
      <c r="KDS149" s="609"/>
      <c r="KDT149" s="609"/>
      <c r="KDU149" s="609"/>
      <c r="KDV149" s="609"/>
      <c r="KDW149" s="609"/>
      <c r="KDX149" s="609"/>
      <c r="KDY149" s="609"/>
      <c r="KDZ149" s="609"/>
      <c r="KEA149" s="609"/>
      <c r="KEB149" s="609"/>
      <c r="KEC149" s="609"/>
      <c r="KED149" s="609"/>
      <c r="KEE149" s="609"/>
      <c r="KEF149" s="609"/>
      <c r="KEG149" s="609"/>
      <c r="KEH149" s="609"/>
      <c r="KEI149" s="609"/>
      <c r="KEJ149" s="609"/>
      <c r="KEK149" s="609"/>
      <c r="KEL149" s="609"/>
      <c r="KEM149" s="609"/>
      <c r="KEN149" s="609"/>
      <c r="KEO149" s="609"/>
      <c r="KEP149" s="609"/>
      <c r="KEQ149" s="609"/>
      <c r="KER149" s="609"/>
      <c r="KES149" s="609"/>
      <c r="KET149" s="609"/>
      <c r="KEU149" s="609"/>
      <c r="KEV149" s="609"/>
      <c r="KEW149" s="609"/>
      <c r="KEX149" s="609"/>
      <c r="KEY149" s="609"/>
      <c r="KEZ149" s="609"/>
      <c r="KFA149" s="609"/>
      <c r="KFB149" s="609"/>
      <c r="KFC149" s="609"/>
      <c r="KFD149" s="609"/>
      <c r="KFE149" s="609"/>
      <c r="KFF149" s="609"/>
      <c r="KFG149" s="609"/>
      <c r="KFH149" s="609"/>
      <c r="KFI149" s="609"/>
      <c r="KFJ149" s="609"/>
      <c r="KFK149" s="609"/>
      <c r="KFL149" s="609"/>
      <c r="KFM149" s="609"/>
      <c r="KFN149" s="609"/>
      <c r="KFO149" s="609"/>
      <c r="KFP149" s="609"/>
      <c r="KFQ149" s="609"/>
      <c r="KFR149" s="609"/>
      <c r="KFS149" s="609"/>
      <c r="KFT149" s="609"/>
      <c r="KFU149" s="609"/>
      <c r="KFV149" s="609"/>
      <c r="KFW149" s="609"/>
      <c r="KFX149" s="609"/>
      <c r="KFY149" s="609"/>
      <c r="KFZ149" s="609"/>
      <c r="KGA149" s="609"/>
      <c r="KGB149" s="609"/>
      <c r="KGC149" s="609"/>
      <c r="KGD149" s="609"/>
      <c r="KGE149" s="609"/>
      <c r="KGF149" s="609"/>
      <c r="KGG149" s="609"/>
      <c r="KGH149" s="609"/>
      <c r="KGI149" s="609"/>
      <c r="KGJ149" s="609"/>
      <c r="KGK149" s="609"/>
      <c r="KGL149" s="609"/>
      <c r="KGM149" s="609"/>
      <c r="KGN149" s="609"/>
      <c r="KGO149" s="609"/>
      <c r="KGP149" s="609"/>
      <c r="KGQ149" s="609"/>
      <c r="KGR149" s="609"/>
      <c r="KGS149" s="609"/>
      <c r="KGT149" s="609"/>
      <c r="KGU149" s="609"/>
      <c r="KGV149" s="609"/>
      <c r="KGW149" s="609"/>
      <c r="KGX149" s="609"/>
      <c r="KGY149" s="609"/>
      <c r="KGZ149" s="609"/>
      <c r="KHA149" s="609"/>
      <c r="KHB149" s="609"/>
      <c r="KHC149" s="609"/>
      <c r="KHD149" s="609"/>
      <c r="KHE149" s="609"/>
      <c r="KHF149" s="609"/>
      <c r="KHG149" s="609"/>
      <c r="KHH149" s="609"/>
      <c r="KHI149" s="609"/>
      <c r="KHJ149" s="609"/>
      <c r="KHK149" s="609"/>
      <c r="KHL149" s="609"/>
      <c r="KHM149" s="609"/>
      <c r="KHN149" s="609"/>
      <c r="KHO149" s="609"/>
      <c r="KHP149" s="609"/>
      <c r="KHQ149" s="609"/>
      <c r="KHR149" s="609"/>
      <c r="KHS149" s="609"/>
      <c r="KHT149" s="609"/>
      <c r="KHU149" s="609"/>
      <c r="KHV149" s="609"/>
      <c r="KHW149" s="609"/>
      <c r="KHX149" s="609"/>
      <c r="KHY149" s="609"/>
      <c r="KHZ149" s="609"/>
      <c r="KIA149" s="609"/>
      <c r="KIB149" s="609"/>
      <c r="KIC149" s="609"/>
      <c r="KID149" s="609"/>
      <c r="KIE149" s="609"/>
      <c r="KIF149" s="609"/>
      <c r="KIG149" s="609"/>
      <c r="KIH149" s="609"/>
      <c r="KII149" s="609"/>
      <c r="KIJ149" s="609"/>
      <c r="KIK149" s="609"/>
      <c r="KIL149" s="609"/>
      <c r="KIM149" s="609"/>
      <c r="KIN149" s="609"/>
      <c r="KIO149" s="609"/>
      <c r="KIP149" s="609"/>
      <c r="KIQ149" s="609"/>
      <c r="KIR149" s="609"/>
      <c r="KIS149" s="609"/>
      <c r="KIT149" s="609"/>
      <c r="KIU149" s="609"/>
      <c r="KIV149" s="609"/>
      <c r="KIW149" s="609"/>
      <c r="KIX149" s="609"/>
      <c r="KIY149" s="609"/>
      <c r="KIZ149" s="609"/>
      <c r="KJA149" s="609"/>
      <c r="KJB149" s="609"/>
      <c r="KJC149" s="609"/>
      <c r="KJD149" s="609"/>
      <c r="KJE149" s="609"/>
      <c r="KJF149" s="609"/>
      <c r="KJG149" s="609"/>
      <c r="KJH149" s="609"/>
      <c r="KJI149" s="609"/>
      <c r="KJJ149" s="609"/>
      <c r="KJK149" s="609"/>
      <c r="KJL149" s="609"/>
      <c r="KJM149" s="609"/>
      <c r="KJN149" s="609"/>
      <c r="KJO149" s="609"/>
      <c r="KJP149" s="609"/>
      <c r="KJQ149" s="609"/>
      <c r="KJR149" s="609"/>
      <c r="KJS149" s="609"/>
      <c r="KJT149" s="609"/>
      <c r="KJU149" s="609"/>
      <c r="KJV149" s="609"/>
      <c r="KJW149" s="609"/>
      <c r="KJX149" s="609"/>
      <c r="KJY149" s="609"/>
      <c r="KJZ149" s="609"/>
      <c r="KKA149" s="609"/>
      <c r="KKB149" s="609"/>
      <c r="KKC149" s="609"/>
      <c r="KKD149" s="609"/>
      <c r="KKE149" s="609"/>
      <c r="KKF149" s="609"/>
      <c r="KKG149" s="609"/>
      <c r="KKH149" s="609"/>
      <c r="KKI149" s="609"/>
      <c r="KKJ149" s="609"/>
      <c r="KKK149" s="609"/>
      <c r="KKL149" s="609"/>
      <c r="KKM149" s="609"/>
      <c r="KKN149" s="609"/>
      <c r="KKO149" s="609"/>
      <c r="KKP149" s="609"/>
      <c r="KKQ149" s="609"/>
      <c r="KKR149" s="609"/>
      <c r="KKS149" s="609"/>
      <c r="KKT149" s="609"/>
      <c r="KKU149" s="609"/>
      <c r="KKV149" s="609"/>
      <c r="KKW149" s="609"/>
      <c r="KKX149" s="609"/>
      <c r="KKY149" s="609"/>
      <c r="KKZ149" s="609"/>
      <c r="KLA149" s="609"/>
      <c r="KLB149" s="609"/>
      <c r="KLC149" s="609"/>
      <c r="KLD149" s="609"/>
      <c r="KLE149" s="609"/>
      <c r="KLF149" s="609"/>
      <c r="KLG149" s="609"/>
      <c r="KLH149" s="609"/>
      <c r="KLI149" s="609"/>
      <c r="KLJ149" s="609"/>
      <c r="KLK149" s="609"/>
      <c r="KLL149" s="609"/>
      <c r="KLM149" s="609"/>
      <c r="KLN149" s="609"/>
      <c r="KLO149" s="609"/>
      <c r="KLP149" s="609"/>
      <c r="KLQ149" s="609"/>
      <c r="KLR149" s="609"/>
      <c r="KLS149" s="609"/>
      <c r="KLT149" s="609"/>
      <c r="KLU149" s="609"/>
      <c r="KLV149" s="609"/>
      <c r="KLW149" s="609"/>
      <c r="KLX149" s="609"/>
      <c r="KLY149" s="609"/>
      <c r="KLZ149" s="609"/>
      <c r="KMA149" s="609"/>
      <c r="KMB149" s="609"/>
      <c r="KMC149" s="609"/>
      <c r="KMD149" s="609"/>
      <c r="KME149" s="609"/>
      <c r="KMF149" s="609"/>
      <c r="KMG149" s="609"/>
      <c r="KMH149" s="609"/>
      <c r="KMI149" s="609"/>
      <c r="KMJ149" s="609"/>
      <c r="KMK149" s="609"/>
      <c r="KML149" s="609"/>
      <c r="KMM149" s="609"/>
      <c r="KMN149" s="609"/>
      <c r="KMO149" s="609"/>
      <c r="KMP149" s="609"/>
      <c r="KMQ149" s="609"/>
      <c r="KMR149" s="609"/>
      <c r="KMS149" s="609"/>
      <c r="KMT149" s="609"/>
      <c r="KMU149" s="609"/>
      <c r="KMV149" s="609"/>
      <c r="KMW149" s="609"/>
      <c r="KMX149" s="609"/>
      <c r="KMY149" s="609"/>
      <c r="KMZ149" s="609"/>
      <c r="KNA149" s="609"/>
      <c r="KNB149" s="609"/>
      <c r="KNC149" s="609"/>
      <c r="KND149" s="609"/>
      <c r="KNE149" s="609"/>
      <c r="KNF149" s="609"/>
      <c r="KNG149" s="609"/>
      <c r="KNH149" s="609"/>
      <c r="KNI149" s="609"/>
      <c r="KNJ149" s="609"/>
      <c r="KNK149" s="609"/>
      <c r="KNL149" s="609"/>
      <c r="KNM149" s="609"/>
      <c r="KNN149" s="609"/>
      <c r="KNO149" s="609"/>
      <c r="KNP149" s="609"/>
      <c r="KNQ149" s="609"/>
      <c r="KNR149" s="609"/>
      <c r="KNS149" s="609"/>
      <c r="KNT149" s="609"/>
      <c r="KNU149" s="609"/>
      <c r="KNV149" s="609"/>
      <c r="KNW149" s="609"/>
      <c r="KNX149" s="609"/>
      <c r="KNY149" s="609"/>
      <c r="KNZ149" s="609"/>
      <c r="KOA149" s="609"/>
      <c r="KOB149" s="609"/>
      <c r="KOC149" s="609"/>
      <c r="KOD149" s="609"/>
      <c r="KOE149" s="609"/>
      <c r="KOF149" s="609"/>
      <c r="KOG149" s="609"/>
      <c r="KOH149" s="609"/>
      <c r="KOI149" s="609"/>
      <c r="KOJ149" s="609"/>
      <c r="KOK149" s="609"/>
      <c r="KOL149" s="609"/>
      <c r="KOM149" s="609"/>
      <c r="KON149" s="609"/>
      <c r="KOO149" s="609"/>
      <c r="KOP149" s="609"/>
      <c r="KOQ149" s="609"/>
      <c r="KOR149" s="609"/>
      <c r="KOS149" s="609"/>
      <c r="KOT149" s="609"/>
      <c r="KOU149" s="609"/>
      <c r="KOV149" s="609"/>
      <c r="KOW149" s="609"/>
      <c r="KOX149" s="609"/>
      <c r="KOY149" s="609"/>
      <c r="KOZ149" s="609"/>
      <c r="KPA149" s="609"/>
      <c r="KPB149" s="609"/>
      <c r="KPC149" s="609"/>
      <c r="KPD149" s="609"/>
      <c r="KPE149" s="609"/>
      <c r="KPF149" s="609"/>
      <c r="KPG149" s="609"/>
      <c r="KPH149" s="609"/>
      <c r="KPI149" s="609"/>
      <c r="KPJ149" s="609"/>
      <c r="KPK149" s="609"/>
      <c r="KPL149" s="609"/>
      <c r="KPM149" s="609"/>
      <c r="KPN149" s="609"/>
      <c r="KPO149" s="609"/>
      <c r="KPP149" s="609"/>
      <c r="KPQ149" s="609"/>
      <c r="KPR149" s="609"/>
      <c r="KPS149" s="609"/>
      <c r="KPT149" s="609"/>
      <c r="KPU149" s="609"/>
      <c r="KPV149" s="609"/>
      <c r="KPW149" s="609"/>
      <c r="KPX149" s="609"/>
      <c r="KPY149" s="609"/>
      <c r="KPZ149" s="609"/>
      <c r="KQA149" s="609"/>
      <c r="KQB149" s="609"/>
      <c r="KQC149" s="609"/>
      <c r="KQD149" s="609"/>
      <c r="KQE149" s="609"/>
      <c r="KQF149" s="609"/>
      <c r="KQG149" s="609"/>
      <c r="KQH149" s="609"/>
      <c r="KQI149" s="609"/>
      <c r="KQJ149" s="609"/>
      <c r="KQK149" s="609"/>
      <c r="KQL149" s="609"/>
      <c r="KQM149" s="609"/>
      <c r="KQN149" s="609"/>
      <c r="KQO149" s="609"/>
      <c r="KQP149" s="609"/>
      <c r="KQQ149" s="609"/>
      <c r="KQR149" s="609"/>
      <c r="KQS149" s="609"/>
      <c r="KQT149" s="609"/>
      <c r="KQU149" s="609"/>
      <c r="KQV149" s="609"/>
      <c r="KQW149" s="609"/>
      <c r="KQX149" s="609"/>
      <c r="KQY149" s="609"/>
      <c r="KQZ149" s="609"/>
      <c r="KRA149" s="609"/>
      <c r="KRB149" s="609"/>
      <c r="KRC149" s="609"/>
      <c r="KRD149" s="609"/>
      <c r="KRE149" s="609"/>
      <c r="KRF149" s="609"/>
      <c r="KRG149" s="609"/>
      <c r="KRH149" s="609"/>
      <c r="KRI149" s="609"/>
      <c r="KRJ149" s="609"/>
      <c r="KRK149" s="609"/>
      <c r="KRL149" s="609"/>
      <c r="KRM149" s="609"/>
      <c r="KRN149" s="609"/>
      <c r="KRO149" s="609"/>
      <c r="KRP149" s="609"/>
      <c r="KRQ149" s="609"/>
      <c r="KRR149" s="609"/>
      <c r="KRS149" s="609"/>
      <c r="KRT149" s="609"/>
      <c r="KRU149" s="609"/>
      <c r="KRV149" s="609"/>
      <c r="KRW149" s="609"/>
      <c r="KRX149" s="609"/>
      <c r="KRY149" s="609"/>
      <c r="KRZ149" s="609"/>
      <c r="KSA149" s="609"/>
      <c r="KSB149" s="609"/>
      <c r="KSC149" s="609"/>
      <c r="KSD149" s="609"/>
      <c r="KSE149" s="609"/>
      <c r="KSF149" s="609"/>
      <c r="KSG149" s="609"/>
      <c r="KSH149" s="609"/>
      <c r="KSI149" s="609"/>
      <c r="KSJ149" s="609"/>
      <c r="KSK149" s="609"/>
      <c r="KSL149" s="609"/>
      <c r="KSM149" s="609"/>
      <c r="KSN149" s="609"/>
      <c r="KSO149" s="609"/>
      <c r="KSP149" s="609"/>
      <c r="KSQ149" s="609"/>
      <c r="KSR149" s="609"/>
      <c r="KSS149" s="609"/>
      <c r="KST149" s="609"/>
      <c r="KSU149" s="609"/>
      <c r="KSV149" s="609"/>
      <c r="KSW149" s="609"/>
      <c r="KSX149" s="609"/>
      <c r="KSY149" s="609"/>
      <c r="KSZ149" s="609"/>
      <c r="KTA149" s="609"/>
      <c r="KTB149" s="609"/>
      <c r="KTC149" s="609"/>
      <c r="KTD149" s="609"/>
      <c r="KTE149" s="609"/>
      <c r="KTF149" s="609"/>
      <c r="KTG149" s="609"/>
      <c r="KTH149" s="609"/>
      <c r="KTI149" s="609"/>
      <c r="KTJ149" s="609"/>
      <c r="KTK149" s="609"/>
      <c r="KTL149" s="609"/>
      <c r="KTM149" s="609"/>
      <c r="KTN149" s="609"/>
      <c r="KTO149" s="609"/>
      <c r="KTP149" s="609"/>
      <c r="KTQ149" s="609"/>
      <c r="KTR149" s="609"/>
      <c r="KTS149" s="609"/>
      <c r="KTT149" s="609"/>
      <c r="KTU149" s="609"/>
      <c r="KTV149" s="609"/>
      <c r="KTW149" s="609"/>
      <c r="KTX149" s="609"/>
      <c r="KTY149" s="609"/>
      <c r="KTZ149" s="609"/>
      <c r="KUA149" s="609"/>
      <c r="KUB149" s="609"/>
      <c r="KUC149" s="609"/>
      <c r="KUD149" s="609"/>
      <c r="KUE149" s="609"/>
      <c r="KUF149" s="609"/>
      <c r="KUG149" s="609"/>
      <c r="KUH149" s="609"/>
      <c r="KUI149" s="609"/>
      <c r="KUJ149" s="609"/>
      <c r="KUK149" s="609"/>
      <c r="KUL149" s="609"/>
      <c r="KUM149" s="609"/>
      <c r="KUN149" s="609"/>
      <c r="KUO149" s="609"/>
      <c r="KUP149" s="609"/>
      <c r="KUQ149" s="609"/>
      <c r="KUR149" s="609"/>
      <c r="KUS149" s="609"/>
      <c r="KUT149" s="609"/>
      <c r="KUU149" s="609"/>
      <c r="KUV149" s="609"/>
      <c r="KUW149" s="609"/>
      <c r="KUX149" s="609"/>
      <c r="KUY149" s="609"/>
      <c r="KUZ149" s="609"/>
      <c r="KVA149" s="609"/>
      <c r="KVB149" s="609"/>
      <c r="KVC149" s="609"/>
      <c r="KVD149" s="609"/>
      <c r="KVE149" s="609"/>
      <c r="KVF149" s="609"/>
      <c r="KVG149" s="609"/>
      <c r="KVH149" s="609"/>
      <c r="KVI149" s="609"/>
      <c r="KVJ149" s="609"/>
      <c r="KVK149" s="609"/>
      <c r="KVL149" s="609"/>
      <c r="KVM149" s="609"/>
      <c r="KVN149" s="609"/>
      <c r="KVO149" s="609"/>
      <c r="KVP149" s="609"/>
      <c r="KVQ149" s="609"/>
      <c r="KVR149" s="609"/>
      <c r="KVS149" s="609"/>
      <c r="KVT149" s="609"/>
      <c r="KVU149" s="609"/>
      <c r="KVV149" s="609"/>
      <c r="KVW149" s="609"/>
      <c r="KVX149" s="609"/>
      <c r="KVY149" s="609"/>
      <c r="KVZ149" s="609"/>
      <c r="KWA149" s="609"/>
      <c r="KWB149" s="609"/>
      <c r="KWC149" s="609"/>
      <c r="KWD149" s="609"/>
      <c r="KWE149" s="609"/>
      <c r="KWF149" s="609"/>
      <c r="KWG149" s="609"/>
      <c r="KWH149" s="609"/>
      <c r="KWI149" s="609"/>
      <c r="KWJ149" s="609"/>
      <c r="KWK149" s="609"/>
      <c r="KWL149" s="609"/>
      <c r="KWM149" s="609"/>
      <c r="KWN149" s="609"/>
      <c r="KWO149" s="609"/>
      <c r="KWP149" s="609"/>
      <c r="KWQ149" s="609"/>
      <c r="KWR149" s="609"/>
      <c r="KWS149" s="609"/>
      <c r="KWT149" s="609"/>
      <c r="KWU149" s="609"/>
      <c r="KWV149" s="609"/>
      <c r="KWW149" s="609"/>
      <c r="KWX149" s="609"/>
      <c r="KWY149" s="609"/>
      <c r="KWZ149" s="609"/>
      <c r="KXA149" s="609"/>
      <c r="KXB149" s="609"/>
      <c r="KXC149" s="609"/>
      <c r="KXD149" s="609"/>
      <c r="KXE149" s="609"/>
      <c r="KXF149" s="609"/>
      <c r="KXG149" s="609"/>
      <c r="KXH149" s="609"/>
      <c r="KXI149" s="609"/>
      <c r="KXJ149" s="609"/>
      <c r="KXK149" s="609"/>
      <c r="KXL149" s="609"/>
      <c r="KXM149" s="609"/>
      <c r="KXN149" s="609"/>
      <c r="KXO149" s="609"/>
      <c r="KXP149" s="609"/>
      <c r="KXQ149" s="609"/>
      <c r="KXR149" s="609"/>
      <c r="KXS149" s="609"/>
      <c r="KXT149" s="609"/>
      <c r="KXU149" s="609"/>
      <c r="KXV149" s="609"/>
      <c r="KXW149" s="609"/>
      <c r="KXX149" s="609"/>
      <c r="KXY149" s="609"/>
      <c r="KXZ149" s="609"/>
      <c r="KYA149" s="609"/>
      <c r="KYB149" s="609"/>
      <c r="KYC149" s="609"/>
      <c r="KYD149" s="609"/>
      <c r="KYE149" s="609"/>
      <c r="KYF149" s="609"/>
      <c r="KYG149" s="609"/>
      <c r="KYH149" s="609"/>
      <c r="KYI149" s="609"/>
      <c r="KYJ149" s="609"/>
      <c r="KYK149" s="609"/>
      <c r="KYL149" s="609"/>
      <c r="KYM149" s="609"/>
      <c r="KYN149" s="609"/>
      <c r="KYO149" s="609"/>
      <c r="KYP149" s="609"/>
      <c r="KYQ149" s="609"/>
      <c r="KYR149" s="609"/>
      <c r="KYS149" s="609"/>
      <c r="KYT149" s="609"/>
      <c r="KYU149" s="609"/>
      <c r="KYV149" s="609"/>
      <c r="KYW149" s="609"/>
      <c r="KYX149" s="609"/>
      <c r="KYY149" s="609"/>
      <c r="KYZ149" s="609"/>
      <c r="KZA149" s="609"/>
      <c r="KZB149" s="609"/>
      <c r="KZC149" s="609"/>
      <c r="KZD149" s="609"/>
      <c r="KZE149" s="609"/>
      <c r="KZF149" s="609"/>
      <c r="KZG149" s="609"/>
      <c r="KZH149" s="609"/>
      <c r="KZI149" s="609"/>
      <c r="KZJ149" s="609"/>
      <c r="KZK149" s="609"/>
      <c r="KZL149" s="609"/>
      <c r="KZM149" s="609"/>
      <c r="KZN149" s="609"/>
      <c r="KZO149" s="609"/>
      <c r="KZP149" s="609"/>
      <c r="KZQ149" s="609"/>
      <c r="KZR149" s="609"/>
      <c r="KZS149" s="609"/>
      <c r="KZT149" s="609"/>
      <c r="KZU149" s="609"/>
      <c r="KZV149" s="609"/>
      <c r="KZW149" s="609"/>
      <c r="KZX149" s="609"/>
      <c r="KZY149" s="609"/>
      <c r="KZZ149" s="609"/>
      <c r="LAA149" s="609"/>
      <c r="LAB149" s="609"/>
      <c r="LAC149" s="609"/>
      <c r="LAD149" s="609"/>
      <c r="LAE149" s="609"/>
      <c r="LAF149" s="609"/>
      <c r="LAG149" s="609"/>
      <c r="LAH149" s="609"/>
      <c r="LAI149" s="609"/>
      <c r="LAJ149" s="609"/>
      <c r="LAK149" s="609"/>
      <c r="LAL149" s="609"/>
      <c r="LAM149" s="609"/>
      <c r="LAN149" s="609"/>
      <c r="LAO149" s="609"/>
      <c r="LAP149" s="609"/>
      <c r="LAQ149" s="609"/>
      <c r="LAR149" s="609"/>
      <c r="LAS149" s="609"/>
      <c r="LAT149" s="609"/>
      <c r="LAU149" s="609"/>
      <c r="LAV149" s="609"/>
      <c r="LAW149" s="609"/>
      <c r="LAX149" s="609"/>
      <c r="LAY149" s="609"/>
      <c r="LAZ149" s="609"/>
      <c r="LBA149" s="609"/>
      <c r="LBB149" s="609"/>
      <c r="LBC149" s="609"/>
      <c r="LBD149" s="609"/>
      <c r="LBE149" s="609"/>
      <c r="LBF149" s="609"/>
      <c r="LBG149" s="609"/>
      <c r="LBH149" s="609"/>
      <c r="LBI149" s="609"/>
      <c r="LBJ149" s="609"/>
      <c r="LBK149" s="609"/>
      <c r="LBL149" s="609"/>
      <c r="LBM149" s="609"/>
      <c r="LBN149" s="609"/>
      <c r="LBO149" s="609"/>
      <c r="LBP149" s="609"/>
      <c r="LBQ149" s="609"/>
      <c r="LBR149" s="609"/>
      <c r="LBS149" s="609"/>
      <c r="LBT149" s="609"/>
      <c r="LBU149" s="609"/>
      <c r="LBV149" s="609"/>
      <c r="LBW149" s="609"/>
      <c r="LBX149" s="609"/>
      <c r="LBY149" s="609"/>
      <c r="LBZ149" s="609"/>
      <c r="LCA149" s="609"/>
      <c r="LCB149" s="609"/>
      <c r="LCC149" s="609"/>
      <c r="LCD149" s="609"/>
      <c r="LCE149" s="609"/>
      <c r="LCF149" s="609"/>
      <c r="LCG149" s="609"/>
      <c r="LCH149" s="609"/>
      <c r="LCI149" s="609"/>
      <c r="LCJ149" s="609"/>
      <c r="LCK149" s="609"/>
      <c r="LCL149" s="609"/>
      <c r="LCM149" s="609"/>
      <c r="LCN149" s="609"/>
      <c r="LCO149" s="609"/>
      <c r="LCP149" s="609"/>
      <c r="LCQ149" s="609"/>
      <c r="LCR149" s="609"/>
      <c r="LCS149" s="609"/>
      <c r="LCT149" s="609"/>
      <c r="LCU149" s="609"/>
      <c r="LCV149" s="609"/>
      <c r="LCW149" s="609"/>
      <c r="LCX149" s="609"/>
      <c r="LCY149" s="609"/>
      <c r="LCZ149" s="609"/>
      <c r="LDA149" s="609"/>
      <c r="LDB149" s="609"/>
      <c r="LDC149" s="609"/>
      <c r="LDD149" s="609"/>
      <c r="LDE149" s="609"/>
      <c r="LDF149" s="609"/>
      <c r="LDG149" s="609"/>
      <c r="LDH149" s="609"/>
      <c r="LDI149" s="609"/>
      <c r="LDJ149" s="609"/>
      <c r="LDK149" s="609"/>
      <c r="LDL149" s="609"/>
      <c r="LDM149" s="609"/>
      <c r="LDN149" s="609"/>
      <c r="LDO149" s="609"/>
      <c r="LDP149" s="609"/>
      <c r="LDQ149" s="609"/>
      <c r="LDR149" s="609"/>
      <c r="LDS149" s="609"/>
      <c r="LDT149" s="609"/>
      <c r="LDU149" s="609"/>
      <c r="LDV149" s="609"/>
      <c r="LDW149" s="609"/>
      <c r="LDX149" s="609"/>
      <c r="LDY149" s="609"/>
      <c r="LDZ149" s="609"/>
      <c r="LEA149" s="609"/>
      <c r="LEB149" s="609"/>
      <c r="LEC149" s="609"/>
      <c r="LED149" s="609"/>
      <c r="LEE149" s="609"/>
      <c r="LEF149" s="609"/>
      <c r="LEG149" s="609"/>
      <c r="LEH149" s="609"/>
      <c r="LEI149" s="609"/>
      <c r="LEJ149" s="609"/>
      <c r="LEK149" s="609"/>
      <c r="LEL149" s="609"/>
      <c r="LEM149" s="609"/>
      <c r="LEN149" s="609"/>
      <c r="LEO149" s="609"/>
      <c r="LEP149" s="609"/>
      <c r="LEQ149" s="609"/>
      <c r="LER149" s="609"/>
      <c r="LES149" s="609"/>
      <c r="LET149" s="609"/>
      <c r="LEU149" s="609"/>
      <c r="LEV149" s="609"/>
      <c r="LEW149" s="609"/>
      <c r="LEX149" s="609"/>
      <c r="LEY149" s="609"/>
      <c r="LEZ149" s="609"/>
      <c r="LFA149" s="609"/>
      <c r="LFB149" s="609"/>
      <c r="LFC149" s="609"/>
      <c r="LFD149" s="609"/>
      <c r="LFE149" s="609"/>
      <c r="LFF149" s="609"/>
      <c r="LFG149" s="609"/>
      <c r="LFH149" s="609"/>
      <c r="LFI149" s="609"/>
      <c r="LFJ149" s="609"/>
      <c r="LFK149" s="609"/>
      <c r="LFL149" s="609"/>
      <c r="LFM149" s="609"/>
      <c r="LFN149" s="609"/>
      <c r="LFO149" s="609"/>
      <c r="LFP149" s="609"/>
      <c r="LFQ149" s="609"/>
      <c r="LFR149" s="609"/>
      <c r="LFS149" s="609"/>
      <c r="LFT149" s="609"/>
      <c r="LFU149" s="609"/>
      <c r="LFV149" s="609"/>
      <c r="LFW149" s="609"/>
      <c r="LFX149" s="609"/>
      <c r="LFY149" s="609"/>
      <c r="LFZ149" s="609"/>
      <c r="LGA149" s="609"/>
      <c r="LGB149" s="609"/>
      <c r="LGC149" s="609"/>
      <c r="LGD149" s="609"/>
      <c r="LGE149" s="609"/>
      <c r="LGF149" s="609"/>
      <c r="LGG149" s="609"/>
      <c r="LGH149" s="609"/>
      <c r="LGI149" s="609"/>
      <c r="LGJ149" s="609"/>
      <c r="LGK149" s="609"/>
      <c r="LGL149" s="609"/>
      <c r="LGM149" s="609"/>
      <c r="LGN149" s="609"/>
      <c r="LGO149" s="609"/>
      <c r="LGP149" s="609"/>
      <c r="LGQ149" s="609"/>
      <c r="LGR149" s="609"/>
      <c r="LGS149" s="609"/>
      <c r="LGT149" s="609"/>
      <c r="LGU149" s="609"/>
      <c r="LGV149" s="609"/>
      <c r="LGW149" s="609"/>
      <c r="LGX149" s="609"/>
      <c r="LGY149" s="609"/>
      <c r="LGZ149" s="609"/>
      <c r="LHA149" s="609"/>
      <c r="LHB149" s="609"/>
      <c r="LHC149" s="609"/>
      <c r="LHD149" s="609"/>
      <c r="LHE149" s="609"/>
      <c r="LHF149" s="609"/>
      <c r="LHG149" s="609"/>
      <c r="LHH149" s="609"/>
      <c r="LHI149" s="609"/>
      <c r="LHJ149" s="609"/>
      <c r="LHK149" s="609"/>
      <c r="LHL149" s="609"/>
      <c r="LHM149" s="609"/>
      <c r="LHN149" s="609"/>
      <c r="LHO149" s="609"/>
      <c r="LHP149" s="609"/>
      <c r="LHQ149" s="609"/>
      <c r="LHR149" s="609"/>
      <c r="LHS149" s="609"/>
      <c r="LHT149" s="609"/>
      <c r="LHU149" s="609"/>
      <c r="LHV149" s="609"/>
      <c r="LHW149" s="609"/>
      <c r="LHX149" s="609"/>
      <c r="LHY149" s="609"/>
      <c r="LHZ149" s="609"/>
      <c r="LIA149" s="609"/>
      <c r="LIB149" s="609"/>
      <c r="LIC149" s="609"/>
      <c r="LID149" s="609"/>
      <c r="LIE149" s="609"/>
      <c r="LIF149" s="609"/>
      <c r="LIG149" s="609"/>
      <c r="LIH149" s="609"/>
      <c r="LII149" s="609"/>
      <c r="LIJ149" s="609"/>
      <c r="LIK149" s="609"/>
      <c r="LIL149" s="609"/>
      <c r="LIM149" s="609"/>
      <c r="LIN149" s="609"/>
      <c r="LIO149" s="609"/>
      <c r="LIP149" s="609"/>
      <c r="LIQ149" s="609"/>
      <c r="LIR149" s="609"/>
      <c r="LIS149" s="609"/>
      <c r="LIT149" s="609"/>
      <c r="LIU149" s="609"/>
      <c r="LIV149" s="609"/>
      <c r="LIW149" s="609"/>
      <c r="LIX149" s="609"/>
      <c r="LIY149" s="609"/>
      <c r="LIZ149" s="609"/>
      <c r="LJA149" s="609"/>
      <c r="LJB149" s="609"/>
      <c r="LJC149" s="609"/>
      <c r="LJD149" s="609"/>
      <c r="LJE149" s="609"/>
      <c r="LJF149" s="609"/>
      <c r="LJG149" s="609"/>
      <c r="LJH149" s="609"/>
      <c r="LJI149" s="609"/>
      <c r="LJJ149" s="609"/>
      <c r="LJK149" s="609"/>
      <c r="LJL149" s="609"/>
      <c r="LJM149" s="609"/>
      <c r="LJN149" s="609"/>
      <c r="LJO149" s="609"/>
      <c r="LJP149" s="609"/>
      <c r="LJQ149" s="609"/>
      <c r="LJR149" s="609"/>
      <c r="LJS149" s="609"/>
      <c r="LJT149" s="609"/>
      <c r="LJU149" s="609"/>
      <c r="LJV149" s="609"/>
      <c r="LJW149" s="609"/>
      <c r="LJX149" s="609"/>
      <c r="LJY149" s="609"/>
      <c r="LJZ149" s="609"/>
      <c r="LKA149" s="609"/>
      <c r="LKB149" s="609"/>
      <c r="LKC149" s="609"/>
      <c r="LKD149" s="609"/>
      <c r="LKE149" s="609"/>
      <c r="LKF149" s="609"/>
      <c r="LKG149" s="609"/>
      <c r="LKH149" s="609"/>
      <c r="LKI149" s="609"/>
      <c r="LKJ149" s="609"/>
      <c r="LKK149" s="609"/>
      <c r="LKL149" s="609"/>
      <c r="LKM149" s="609"/>
      <c r="LKN149" s="609"/>
      <c r="LKO149" s="609"/>
      <c r="LKP149" s="609"/>
      <c r="LKQ149" s="609"/>
      <c r="LKR149" s="609"/>
      <c r="LKS149" s="609"/>
      <c r="LKT149" s="609"/>
      <c r="LKU149" s="609"/>
      <c r="LKV149" s="609"/>
      <c r="LKW149" s="609"/>
      <c r="LKX149" s="609"/>
      <c r="LKY149" s="609"/>
      <c r="LKZ149" s="609"/>
      <c r="LLA149" s="609"/>
      <c r="LLB149" s="609"/>
      <c r="LLC149" s="609"/>
      <c r="LLD149" s="609"/>
      <c r="LLE149" s="609"/>
      <c r="LLF149" s="609"/>
      <c r="LLG149" s="609"/>
      <c r="LLH149" s="609"/>
      <c r="LLI149" s="609"/>
      <c r="LLJ149" s="609"/>
      <c r="LLK149" s="609"/>
      <c r="LLL149" s="609"/>
      <c r="LLM149" s="609"/>
      <c r="LLN149" s="609"/>
      <c r="LLO149" s="609"/>
      <c r="LLP149" s="609"/>
      <c r="LLQ149" s="609"/>
      <c r="LLR149" s="609"/>
      <c r="LLS149" s="609"/>
      <c r="LLT149" s="609"/>
      <c r="LLU149" s="609"/>
      <c r="LLV149" s="609"/>
      <c r="LLW149" s="609"/>
      <c r="LLX149" s="609"/>
      <c r="LLY149" s="609"/>
      <c r="LLZ149" s="609"/>
      <c r="LMA149" s="609"/>
      <c r="LMB149" s="609"/>
      <c r="LMC149" s="609"/>
      <c r="LMD149" s="609"/>
      <c r="LME149" s="609"/>
      <c r="LMF149" s="609"/>
      <c r="LMG149" s="609"/>
      <c r="LMH149" s="609"/>
      <c r="LMI149" s="609"/>
      <c r="LMJ149" s="609"/>
      <c r="LMK149" s="609"/>
      <c r="LML149" s="609"/>
      <c r="LMM149" s="609"/>
      <c r="LMN149" s="609"/>
      <c r="LMO149" s="609"/>
      <c r="LMP149" s="609"/>
      <c r="LMQ149" s="609"/>
      <c r="LMR149" s="609"/>
      <c r="LMS149" s="609"/>
      <c r="LMT149" s="609"/>
      <c r="LMU149" s="609"/>
      <c r="LMV149" s="609"/>
      <c r="LMW149" s="609"/>
      <c r="LMX149" s="609"/>
      <c r="LMY149" s="609"/>
      <c r="LMZ149" s="609"/>
      <c r="LNA149" s="609"/>
      <c r="LNB149" s="609"/>
      <c r="LNC149" s="609"/>
      <c r="LND149" s="609"/>
      <c r="LNE149" s="609"/>
      <c r="LNF149" s="609"/>
      <c r="LNG149" s="609"/>
      <c r="LNH149" s="609"/>
      <c r="LNI149" s="609"/>
      <c r="LNJ149" s="609"/>
      <c r="LNK149" s="609"/>
      <c r="LNL149" s="609"/>
      <c r="LNM149" s="609"/>
      <c r="LNN149" s="609"/>
      <c r="LNO149" s="609"/>
      <c r="LNP149" s="609"/>
      <c r="LNQ149" s="609"/>
      <c r="LNR149" s="609"/>
      <c r="LNS149" s="609"/>
      <c r="LNT149" s="609"/>
      <c r="LNU149" s="609"/>
      <c r="LNV149" s="609"/>
      <c r="LNW149" s="609"/>
      <c r="LNX149" s="609"/>
      <c r="LNY149" s="609"/>
      <c r="LNZ149" s="609"/>
      <c r="LOA149" s="609"/>
      <c r="LOB149" s="609"/>
      <c r="LOC149" s="609"/>
      <c r="LOD149" s="609"/>
      <c r="LOE149" s="609"/>
      <c r="LOF149" s="609"/>
      <c r="LOG149" s="609"/>
      <c r="LOH149" s="609"/>
      <c r="LOI149" s="609"/>
      <c r="LOJ149" s="609"/>
      <c r="LOK149" s="609"/>
      <c r="LOL149" s="609"/>
      <c r="LOM149" s="609"/>
      <c r="LON149" s="609"/>
      <c r="LOO149" s="609"/>
      <c r="LOP149" s="609"/>
      <c r="LOQ149" s="609"/>
      <c r="LOR149" s="609"/>
      <c r="LOS149" s="609"/>
      <c r="LOT149" s="609"/>
      <c r="LOU149" s="609"/>
      <c r="LOV149" s="609"/>
      <c r="LOW149" s="609"/>
      <c r="LOX149" s="609"/>
      <c r="LOY149" s="609"/>
      <c r="LOZ149" s="609"/>
      <c r="LPA149" s="609"/>
      <c r="LPB149" s="609"/>
      <c r="LPC149" s="609"/>
      <c r="LPD149" s="609"/>
      <c r="LPE149" s="609"/>
      <c r="LPF149" s="609"/>
      <c r="LPG149" s="609"/>
      <c r="LPH149" s="609"/>
      <c r="LPI149" s="609"/>
      <c r="LPJ149" s="609"/>
      <c r="LPK149" s="609"/>
      <c r="LPL149" s="609"/>
      <c r="LPM149" s="609"/>
      <c r="LPN149" s="609"/>
      <c r="LPO149" s="609"/>
      <c r="LPP149" s="609"/>
      <c r="LPQ149" s="609"/>
      <c r="LPR149" s="609"/>
      <c r="LPS149" s="609"/>
      <c r="LPT149" s="609"/>
      <c r="LPU149" s="609"/>
      <c r="LPV149" s="609"/>
      <c r="LPW149" s="609"/>
      <c r="LPX149" s="609"/>
      <c r="LPY149" s="609"/>
      <c r="LPZ149" s="609"/>
      <c r="LQA149" s="609"/>
      <c r="LQB149" s="609"/>
      <c r="LQC149" s="609"/>
      <c r="LQD149" s="609"/>
      <c r="LQE149" s="609"/>
      <c r="LQF149" s="609"/>
      <c r="LQG149" s="609"/>
      <c r="LQH149" s="609"/>
      <c r="LQI149" s="609"/>
      <c r="LQJ149" s="609"/>
      <c r="LQK149" s="609"/>
      <c r="LQL149" s="609"/>
      <c r="LQM149" s="609"/>
      <c r="LQN149" s="609"/>
      <c r="LQO149" s="609"/>
      <c r="LQP149" s="609"/>
      <c r="LQQ149" s="609"/>
      <c r="LQR149" s="609"/>
      <c r="LQS149" s="609"/>
      <c r="LQT149" s="609"/>
      <c r="LQU149" s="609"/>
      <c r="LQV149" s="609"/>
      <c r="LQW149" s="609"/>
      <c r="LQX149" s="609"/>
      <c r="LQY149" s="609"/>
      <c r="LQZ149" s="609"/>
      <c r="LRA149" s="609"/>
      <c r="LRB149" s="609"/>
      <c r="LRC149" s="609"/>
      <c r="LRD149" s="609"/>
      <c r="LRE149" s="609"/>
      <c r="LRF149" s="609"/>
      <c r="LRG149" s="609"/>
      <c r="LRH149" s="609"/>
      <c r="LRI149" s="609"/>
      <c r="LRJ149" s="609"/>
      <c r="LRK149" s="609"/>
      <c r="LRL149" s="609"/>
      <c r="LRM149" s="609"/>
      <c r="LRN149" s="609"/>
      <c r="LRO149" s="609"/>
      <c r="LRP149" s="609"/>
      <c r="LRQ149" s="609"/>
      <c r="LRR149" s="609"/>
      <c r="LRS149" s="609"/>
      <c r="LRT149" s="609"/>
      <c r="LRU149" s="609"/>
      <c r="LRV149" s="609"/>
      <c r="LRW149" s="609"/>
      <c r="LRX149" s="609"/>
      <c r="LRY149" s="609"/>
      <c r="LRZ149" s="609"/>
      <c r="LSA149" s="609"/>
      <c r="LSB149" s="609"/>
      <c r="LSC149" s="609"/>
      <c r="LSD149" s="609"/>
      <c r="LSE149" s="609"/>
      <c r="LSF149" s="609"/>
      <c r="LSG149" s="609"/>
      <c r="LSH149" s="609"/>
      <c r="LSI149" s="609"/>
      <c r="LSJ149" s="609"/>
      <c r="LSK149" s="609"/>
      <c r="LSL149" s="609"/>
      <c r="LSM149" s="609"/>
      <c r="LSN149" s="609"/>
      <c r="LSO149" s="609"/>
      <c r="LSP149" s="609"/>
      <c r="LSQ149" s="609"/>
      <c r="LSR149" s="609"/>
      <c r="LSS149" s="609"/>
      <c r="LST149" s="609"/>
      <c r="LSU149" s="609"/>
      <c r="LSV149" s="609"/>
      <c r="LSW149" s="609"/>
      <c r="LSX149" s="609"/>
      <c r="LSY149" s="609"/>
      <c r="LSZ149" s="609"/>
      <c r="LTA149" s="609"/>
      <c r="LTB149" s="609"/>
      <c r="LTC149" s="609"/>
      <c r="LTD149" s="609"/>
      <c r="LTE149" s="609"/>
      <c r="LTF149" s="609"/>
      <c r="LTG149" s="609"/>
      <c r="LTH149" s="609"/>
      <c r="LTI149" s="609"/>
      <c r="LTJ149" s="609"/>
      <c r="LTK149" s="609"/>
      <c r="LTL149" s="609"/>
      <c r="LTM149" s="609"/>
      <c r="LTN149" s="609"/>
      <c r="LTO149" s="609"/>
      <c r="LTP149" s="609"/>
      <c r="LTQ149" s="609"/>
      <c r="LTR149" s="609"/>
      <c r="LTS149" s="609"/>
      <c r="LTT149" s="609"/>
      <c r="LTU149" s="609"/>
      <c r="LTV149" s="609"/>
      <c r="LTW149" s="609"/>
      <c r="LTX149" s="609"/>
      <c r="LTY149" s="609"/>
      <c r="LTZ149" s="609"/>
      <c r="LUA149" s="609"/>
      <c r="LUB149" s="609"/>
      <c r="LUC149" s="609"/>
      <c r="LUD149" s="609"/>
      <c r="LUE149" s="609"/>
      <c r="LUF149" s="609"/>
      <c r="LUG149" s="609"/>
      <c r="LUH149" s="609"/>
      <c r="LUI149" s="609"/>
      <c r="LUJ149" s="609"/>
      <c r="LUK149" s="609"/>
      <c r="LUL149" s="609"/>
      <c r="LUM149" s="609"/>
      <c r="LUN149" s="609"/>
      <c r="LUO149" s="609"/>
      <c r="LUP149" s="609"/>
      <c r="LUQ149" s="609"/>
      <c r="LUR149" s="609"/>
      <c r="LUS149" s="609"/>
      <c r="LUT149" s="609"/>
      <c r="LUU149" s="609"/>
      <c r="LUV149" s="609"/>
      <c r="LUW149" s="609"/>
      <c r="LUX149" s="609"/>
      <c r="LUY149" s="609"/>
      <c r="LUZ149" s="609"/>
      <c r="LVA149" s="609"/>
      <c r="LVB149" s="609"/>
      <c r="LVC149" s="609"/>
      <c r="LVD149" s="609"/>
      <c r="LVE149" s="609"/>
      <c r="LVF149" s="609"/>
      <c r="LVG149" s="609"/>
      <c r="LVH149" s="609"/>
      <c r="LVI149" s="609"/>
      <c r="LVJ149" s="609"/>
      <c r="LVK149" s="609"/>
      <c r="LVL149" s="609"/>
      <c r="LVM149" s="609"/>
      <c r="LVN149" s="609"/>
      <c r="LVO149" s="609"/>
      <c r="LVP149" s="609"/>
      <c r="LVQ149" s="609"/>
      <c r="LVR149" s="609"/>
      <c r="LVS149" s="609"/>
      <c r="LVT149" s="609"/>
      <c r="LVU149" s="609"/>
      <c r="LVV149" s="609"/>
      <c r="LVW149" s="609"/>
      <c r="LVX149" s="609"/>
      <c r="LVY149" s="609"/>
      <c r="LVZ149" s="609"/>
      <c r="LWA149" s="609"/>
      <c r="LWB149" s="609"/>
      <c r="LWC149" s="609"/>
      <c r="LWD149" s="609"/>
      <c r="LWE149" s="609"/>
      <c r="LWF149" s="609"/>
      <c r="LWG149" s="609"/>
      <c r="LWH149" s="609"/>
      <c r="LWI149" s="609"/>
      <c r="LWJ149" s="609"/>
      <c r="LWK149" s="609"/>
      <c r="LWL149" s="609"/>
      <c r="LWM149" s="609"/>
      <c r="LWN149" s="609"/>
      <c r="LWO149" s="609"/>
      <c r="LWP149" s="609"/>
      <c r="LWQ149" s="609"/>
      <c r="LWR149" s="609"/>
      <c r="LWS149" s="609"/>
      <c r="LWT149" s="609"/>
      <c r="LWU149" s="609"/>
      <c r="LWV149" s="609"/>
      <c r="LWW149" s="609"/>
      <c r="LWX149" s="609"/>
      <c r="LWY149" s="609"/>
      <c r="LWZ149" s="609"/>
      <c r="LXA149" s="609"/>
      <c r="LXB149" s="609"/>
      <c r="LXC149" s="609"/>
      <c r="LXD149" s="609"/>
      <c r="LXE149" s="609"/>
      <c r="LXF149" s="609"/>
      <c r="LXG149" s="609"/>
      <c r="LXH149" s="609"/>
      <c r="LXI149" s="609"/>
      <c r="LXJ149" s="609"/>
      <c r="LXK149" s="609"/>
      <c r="LXL149" s="609"/>
      <c r="LXM149" s="609"/>
      <c r="LXN149" s="609"/>
      <c r="LXO149" s="609"/>
      <c r="LXP149" s="609"/>
      <c r="LXQ149" s="609"/>
      <c r="LXR149" s="609"/>
      <c r="LXS149" s="609"/>
      <c r="LXT149" s="609"/>
      <c r="LXU149" s="609"/>
      <c r="LXV149" s="609"/>
      <c r="LXW149" s="609"/>
      <c r="LXX149" s="609"/>
      <c r="LXY149" s="609"/>
      <c r="LXZ149" s="609"/>
      <c r="LYA149" s="609"/>
      <c r="LYB149" s="609"/>
      <c r="LYC149" s="609"/>
      <c r="LYD149" s="609"/>
      <c r="LYE149" s="609"/>
      <c r="LYF149" s="609"/>
      <c r="LYG149" s="609"/>
      <c r="LYH149" s="609"/>
      <c r="LYI149" s="609"/>
      <c r="LYJ149" s="609"/>
      <c r="LYK149" s="609"/>
      <c r="LYL149" s="609"/>
      <c r="LYM149" s="609"/>
      <c r="LYN149" s="609"/>
      <c r="LYO149" s="609"/>
      <c r="LYP149" s="609"/>
      <c r="LYQ149" s="609"/>
      <c r="LYR149" s="609"/>
      <c r="LYS149" s="609"/>
      <c r="LYT149" s="609"/>
      <c r="LYU149" s="609"/>
      <c r="LYV149" s="609"/>
      <c r="LYW149" s="609"/>
      <c r="LYX149" s="609"/>
      <c r="LYY149" s="609"/>
      <c r="LYZ149" s="609"/>
      <c r="LZA149" s="609"/>
      <c r="LZB149" s="609"/>
      <c r="LZC149" s="609"/>
      <c r="LZD149" s="609"/>
      <c r="LZE149" s="609"/>
      <c r="LZF149" s="609"/>
      <c r="LZG149" s="609"/>
      <c r="LZH149" s="609"/>
      <c r="LZI149" s="609"/>
      <c r="LZJ149" s="609"/>
      <c r="LZK149" s="609"/>
      <c r="LZL149" s="609"/>
      <c r="LZM149" s="609"/>
      <c r="LZN149" s="609"/>
      <c r="LZO149" s="609"/>
      <c r="LZP149" s="609"/>
      <c r="LZQ149" s="609"/>
      <c r="LZR149" s="609"/>
      <c r="LZS149" s="609"/>
      <c r="LZT149" s="609"/>
      <c r="LZU149" s="609"/>
      <c r="LZV149" s="609"/>
      <c r="LZW149" s="609"/>
      <c r="LZX149" s="609"/>
      <c r="LZY149" s="609"/>
      <c r="LZZ149" s="609"/>
      <c r="MAA149" s="609"/>
      <c r="MAB149" s="609"/>
      <c r="MAC149" s="609"/>
      <c r="MAD149" s="609"/>
      <c r="MAE149" s="609"/>
      <c r="MAF149" s="609"/>
      <c r="MAG149" s="609"/>
      <c r="MAH149" s="609"/>
      <c r="MAI149" s="609"/>
      <c r="MAJ149" s="609"/>
      <c r="MAK149" s="609"/>
      <c r="MAL149" s="609"/>
      <c r="MAM149" s="609"/>
      <c r="MAN149" s="609"/>
      <c r="MAO149" s="609"/>
      <c r="MAP149" s="609"/>
      <c r="MAQ149" s="609"/>
      <c r="MAR149" s="609"/>
      <c r="MAS149" s="609"/>
      <c r="MAT149" s="609"/>
      <c r="MAU149" s="609"/>
      <c r="MAV149" s="609"/>
      <c r="MAW149" s="609"/>
      <c r="MAX149" s="609"/>
      <c r="MAY149" s="609"/>
      <c r="MAZ149" s="609"/>
      <c r="MBA149" s="609"/>
      <c r="MBB149" s="609"/>
      <c r="MBC149" s="609"/>
      <c r="MBD149" s="609"/>
      <c r="MBE149" s="609"/>
      <c r="MBF149" s="609"/>
      <c r="MBG149" s="609"/>
      <c r="MBH149" s="609"/>
      <c r="MBI149" s="609"/>
      <c r="MBJ149" s="609"/>
      <c r="MBK149" s="609"/>
      <c r="MBL149" s="609"/>
      <c r="MBM149" s="609"/>
      <c r="MBN149" s="609"/>
      <c r="MBO149" s="609"/>
      <c r="MBP149" s="609"/>
      <c r="MBQ149" s="609"/>
      <c r="MBR149" s="609"/>
      <c r="MBS149" s="609"/>
      <c r="MBT149" s="609"/>
      <c r="MBU149" s="609"/>
      <c r="MBV149" s="609"/>
      <c r="MBW149" s="609"/>
      <c r="MBX149" s="609"/>
      <c r="MBY149" s="609"/>
      <c r="MBZ149" s="609"/>
      <c r="MCA149" s="609"/>
      <c r="MCB149" s="609"/>
      <c r="MCC149" s="609"/>
      <c r="MCD149" s="609"/>
      <c r="MCE149" s="609"/>
      <c r="MCF149" s="609"/>
      <c r="MCG149" s="609"/>
      <c r="MCH149" s="609"/>
      <c r="MCI149" s="609"/>
      <c r="MCJ149" s="609"/>
      <c r="MCK149" s="609"/>
      <c r="MCL149" s="609"/>
      <c r="MCM149" s="609"/>
      <c r="MCN149" s="609"/>
      <c r="MCO149" s="609"/>
      <c r="MCP149" s="609"/>
      <c r="MCQ149" s="609"/>
      <c r="MCR149" s="609"/>
      <c r="MCS149" s="609"/>
      <c r="MCT149" s="609"/>
      <c r="MCU149" s="609"/>
      <c r="MCV149" s="609"/>
      <c r="MCW149" s="609"/>
      <c r="MCX149" s="609"/>
      <c r="MCY149" s="609"/>
      <c r="MCZ149" s="609"/>
      <c r="MDA149" s="609"/>
      <c r="MDB149" s="609"/>
      <c r="MDC149" s="609"/>
      <c r="MDD149" s="609"/>
      <c r="MDE149" s="609"/>
      <c r="MDF149" s="609"/>
      <c r="MDG149" s="609"/>
      <c r="MDH149" s="609"/>
      <c r="MDI149" s="609"/>
      <c r="MDJ149" s="609"/>
      <c r="MDK149" s="609"/>
      <c r="MDL149" s="609"/>
      <c r="MDM149" s="609"/>
      <c r="MDN149" s="609"/>
      <c r="MDO149" s="609"/>
      <c r="MDP149" s="609"/>
      <c r="MDQ149" s="609"/>
      <c r="MDR149" s="609"/>
      <c r="MDS149" s="609"/>
      <c r="MDT149" s="609"/>
      <c r="MDU149" s="609"/>
      <c r="MDV149" s="609"/>
      <c r="MDW149" s="609"/>
      <c r="MDX149" s="609"/>
      <c r="MDY149" s="609"/>
      <c r="MDZ149" s="609"/>
      <c r="MEA149" s="609"/>
      <c r="MEB149" s="609"/>
      <c r="MEC149" s="609"/>
      <c r="MED149" s="609"/>
      <c r="MEE149" s="609"/>
      <c r="MEF149" s="609"/>
      <c r="MEG149" s="609"/>
      <c r="MEH149" s="609"/>
      <c r="MEI149" s="609"/>
      <c r="MEJ149" s="609"/>
      <c r="MEK149" s="609"/>
      <c r="MEL149" s="609"/>
      <c r="MEM149" s="609"/>
      <c r="MEN149" s="609"/>
      <c r="MEO149" s="609"/>
      <c r="MEP149" s="609"/>
      <c r="MEQ149" s="609"/>
      <c r="MER149" s="609"/>
      <c r="MES149" s="609"/>
      <c r="MET149" s="609"/>
      <c r="MEU149" s="609"/>
      <c r="MEV149" s="609"/>
      <c r="MEW149" s="609"/>
      <c r="MEX149" s="609"/>
      <c r="MEY149" s="609"/>
      <c r="MEZ149" s="609"/>
      <c r="MFA149" s="609"/>
      <c r="MFB149" s="609"/>
      <c r="MFC149" s="609"/>
      <c r="MFD149" s="609"/>
      <c r="MFE149" s="609"/>
      <c r="MFF149" s="609"/>
      <c r="MFG149" s="609"/>
      <c r="MFH149" s="609"/>
      <c r="MFI149" s="609"/>
      <c r="MFJ149" s="609"/>
      <c r="MFK149" s="609"/>
      <c r="MFL149" s="609"/>
      <c r="MFM149" s="609"/>
      <c r="MFN149" s="609"/>
      <c r="MFO149" s="609"/>
      <c r="MFP149" s="609"/>
      <c r="MFQ149" s="609"/>
      <c r="MFR149" s="609"/>
      <c r="MFS149" s="609"/>
      <c r="MFT149" s="609"/>
      <c r="MFU149" s="609"/>
      <c r="MFV149" s="609"/>
      <c r="MFW149" s="609"/>
      <c r="MFX149" s="609"/>
      <c r="MFY149" s="609"/>
      <c r="MFZ149" s="609"/>
      <c r="MGA149" s="609"/>
      <c r="MGB149" s="609"/>
      <c r="MGC149" s="609"/>
      <c r="MGD149" s="609"/>
      <c r="MGE149" s="609"/>
      <c r="MGF149" s="609"/>
      <c r="MGG149" s="609"/>
      <c r="MGH149" s="609"/>
      <c r="MGI149" s="609"/>
      <c r="MGJ149" s="609"/>
      <c r="MGK149" s="609"/>
      <c r="MGL149" s="609"/>
      <c r="MGM149" s="609"/>
      <c r="MGN149" s="609"/>
      <c r="MGO149" s="609"/>
      <c r="MGP149" s="609"/>
      <c r="MGQ149" s="609"/>
      <c r="MGR149" s="609"/>
      <c r="MGS149" s="609"/>
      <c r="MGT149" s="609"/>
      <c r="MGU149" s="609"/>
      <c r="MGV149" s="609"/>
      <c r="MGW149" s="609"/>
      <c r="MGX149" s="609"/>
      <c r="MGY149" s="609"/>
      <c r="MGZ149" s="609"/>
      <c r="MHA149" s="609"/>
      <c r="MHB149" s="609"/>
      <c r="MHC149" s="609"/>
      <c r="MHD149" s="609"/>
      <c r="MHE149" s="609"/>
      <c r="MHF149" s="609"/>
      <c r="MHG149" s="609"/>
      <c r="MHH149" s="609"/>
      <c r="MHI149" s="609"/>
      <c r="MHJ149" s="609"/>
      <c r="MHK149" s="609"/>
      <c r="MHL149" s="609"/>
      <c r="MHM149" s="609"/>
      <c r="MHN149" s="609"/>
      <c r="MHO149" s="609"/>
      <c r="MHP149" s="609"/>
      <c r="MHQ149" s="609"/>
      <c r="MHR149" s="609"/>
      <c r="MHS149" s="609"/>
      <c r="MHT149" s="609"/>
      <c r="MHU149" s="609"/>
      <c r="MHV149" s="609"/>
      <c r="MHW149" s="609"/>
      <c r="MHX149" s="609"/>
      <c r="MHY149" s="609"/>
      <c r="MHZ149" s="609"/>
      <c r="MIA149" s="609"/>
      <c r="MIB149" s="609"/>
      <c r="MIC149" s="609"/>
      <c r="MID149" s="609"/>
      <c r="MIE149" s="609"/>
      <c r="MIF149" s="609"/>
      <c r="MIG149" s="609"/>
      <c r="MIH149" s="609"/>
      <c r="MII149" s="609"/>
      <c r="MIJ149" s="609"/>
      <c r="MIK149" s="609"/>
      <c r="MIL149" s="609"/>
      <c r="MIM149" s="609"/>
      <c r="MIN149" s="609"/>
      <c r="MIO149" s="609"/>
      <c r="MIP149" s="609"/>
      <c r="MIQ149" s="609"/>
      <c r="MIR149" s="609"/>
      <c r="MIS149" s="609"/>
      <c r="MIT149" s="609"/>
      <c r="MIU149" s="609"/>
      <c r="MIV149" s="609"/>
      <c r="MIW149" s="609"/>
      <c r="MIX149" s="609"/>
      <c r="MIY149" s="609"/>
      <c r="MIZ149" s="609"/>
      <c r="MJA149" s="609"/>
      <c r="MJB149" s="609"/>
      <c r="MJC149" s="609"/>
      <c r="MJD149" s="609"/>
      <c r="MJE149" s="609"/>
      <c r="MJF149" s="609"/>
      <c r="MJG149" s="609"/>
      <c r="MJH149" s="609"/>
      <c r="MJI149" s="609"/>
      <c r="MJJ149" s="609"/>
      <c r="MJK149" s="609"/>
      <c r="MJL149" s="609"/>
      <c r="MJM149" s="609"/>
      <c r="MJN149" s="609"/>
      <c r="MJO149" s="609"/>
      <c r="MJP149" s="609"/>
      <c r="MJQ149" s="609"/>
      <c r="MJR149" s="609"/>
      <c r="MJS149" s="609"/>
      <c r="MJT149" s="609"/>
      <c r="MJU149" s="609"/>
      <c r="MJV149" s="609"/>
      <c r="MJW149" s="609"/>
      <c r="MJX149" s="609"/>
      <c r="MJY149" s="609"/>
      <c r="MJZ149" s="609"/>
      <c r="MKA149" s="609"/>
      <c r="MKB149" s="609"/>
      <c r="MKC149" s="609"/>
      <c r="MKD149" s="609"/>
      <c r="MKE149" s="609"/>
      <c r="MKF149" s="609"/>
      <c r="MKG149" s="609"/>
      <c r="MKH149" s="609"/>
      <c r="MKI149" s="609"/>
      <c r="MKJ149" s="609"/>
      <c r="MKK149" s="609"/>
      <c r="MKL149" s="609"/>
      <c r="MKM149" s="609"/>
      <c r="MKN149" s="609"/>
      <c r="MKO149" s="609"/>
      <c r="MKP149" s="609"/>
      <c r="MKQ149" s="609"/>
      <c r="MKR149" s="609"/>
      <c r="MKS149" s="609"/>
      <c r="MKT149" s="609"/>
      <c r="MKU149" s="609"/>
      <c r="MKV149" s="609"/>
      <c r="MKW149" s="609"/>
      <c r="MKX149" s="609"/>
      <c r="MKY149" s="609"/>
      <c r="MKZ149" s="609"/>
      <c r="MLA149" s="609"/>
      <c r="MLB149" s="609"/>
      <c r="MLC149" s="609"/>
      <c r="MLD149" s="609"/>
      <c r="MLE149" s="609"/>
      <c r="MLF149" s="609"/>
      <c r="MLG149" s="609"/>
      <c r="MLH149" s="609"/>
      <c r="MLI149" s="609"/>
      <c r="MLJ149" s="609"/>
      <c r="MLK149" s="609"/>
      <c r="MLL149" s="609"/>
      <c r="MLM149" s="609"/>
      <c r="MLN149" s="609"/>
      <c r="MLO149" s="609"/>
      <c r="MLP149" s="609"/>
      <c r="MLQ149" s="609"/>
      <c r="MLR149" s="609"/>
      <c r="MLS149" s="609"/>
      <c r="MLT149" s="609"/>
      <c r="MLU149" s="609"/>
      <c r="MLV149" s="609"/>
      <c r="MLW149" s="609"/>
      <c r="MLX149" s="609"/>
      <c r="MLY149" s="609"/>
      <c r="MLZ149" s="609"/>
      <c r="MMA149" s="609"/>
      <c r="MMB149" s="609"/>
      <c r="MMC149" s="609"/>
      <c r="MMD149" s="609"/>
      <c r="MME149" s="609"/>
      <c r="MMF149" s="609"/>
      <c r="MMG149" s="609"/>
      <c r="MMH149" s="609"/>
      <c r="MMI149" s="609"/>
      <c r="MMJ149" s="609"/>
      <c r="MMK149" s="609"/>
      <c r="MML149" s="609"/>
      <c r="MMM149" s="609"/>
      <c r="MMN149" s="609"/>
      <c r="MMO149" s="609"/>
      <c r="MMP149" s="609"/>
      <c r="MMQ149" s="609"/>
      <c r="MMR149" s="609"/>
      <c r="MMS149" s="609"/>
      <c r="MMT149" s="609"/>
      <c r="MMU149" s="609"/>
      <c r="MMV149" s="609"/>
      <c r="MMW149" s="609"/>
      <c r="MMX149" s="609"/>
      <c r="MMY149" s="609"/>
      <c r="MMZ149" s="609"/>
      <c r="MNA149" s="609"/>
      <c r="MNB149" s="609"/>
      <c r="MNC149" s="609"/>
      <c r="MND149" s="609"/>
      <c r="MNE149" s="609"/>
      <c r="MNF149" s="609"/>
      <c r="MNG149" s="609"/>
      <c r="MNH149" s="609"/>
      <c r="MNI149" s="609"/>
      <c r="MNJ149" s="609"/>
      <c r="MNK149" s="609"/>
      <c r="MNL149" s="609"/>
      <c r="MNM149" s="609"/>
      <c r="MNN149" s="609"/>
      <c r="MNO149" s="609"/>
      <c r="MNP149" s="609"/>
      <c r="MNQ149" s="609"/>
      <c r="MNR149" s="609"/>
      <c r="MNS149" s="609"/>
      <c r="MNT149" s="609"/>
      <c r="MNU149" s="609"/>
      <c r="MNV149" s="609"/>
      <c r="MNW149" s="609"/>
      <c r="MNX149" s="609"/>
      <c r="MNY149" s="609"/>
      <c r="MNZ149" s="609"/>
      <c r="MOA149" s="609"/>
      <c r="MOB149" s="609"/>
      <c r="MOC149" s="609"/>
      <c r="MOD149" s="609"/>
      <c r="MOE149" s="609"/>
      <c r="MOF149" s="609"/>
      <c r="MOG149" s="609"/>
      <c r="MOH149" s="609"/>
      <c r="MOI149" s="609"/>
      <c r="MOJ149" s="609"/>
      <c r="MOK149" s="609"/>
      <c r="MOL149" s="609"/>
      <c r="MOM149" s="609"/>
      <c r="MON149" s="609"/>
      <c r="MOO149" s="609"/>
      <c r="MOP149" s="609"/>
      <c r="MOQ149" s="609"/>
      <c r="MOR149" s="609"/>
      <c r="MOS149" s="609"/>
      <c r="MOT149" s="609"/>
      <c r="MOU149" s="609"/>
      <c r="MOV149" s="609"/>
      <c r="MOW149" s="609"/>
      <c r="MOX149" s="609"/>
      <c r="MOY149" s="609"/>
      <c r="MOZ149" s="609"/>
      <c r="MPA149" s="609"/>
      <c r="MPB149" s="609"/>
      <c r="MPC149" s="609"/>
      <c r="MPD149" s="609"/>
      <c r="MPE149" s="609"/>
      <c r="MPF149" s="609"/>
      <c r="MPG149" s="609"/>
      <c r="MPH149" s="609"/>
      <c r="MPI149" s="609"/>
      <c r="MPJ149" s="609"/>
      <c r="MPK149" s="609"/>
      <c r="MPL149" s="609"/>
      <c r="MPM149" s="609"/>
      <c r="MPN149" s="609"/>
      <c r="MPO149" s="609"/>
      <c r="MPP149" s="609"/>
      <c r="MPQ149" s="609"/>
      <c r="MPR149" s="609"/>
      <c r="MPS149" s="609"/>
      <c r="MPT149" s="609"/>
      <c r="MPU149" s="609"/>
      <c r="MPV149" s="609"/>
      <c r="MPW149" s="609"/>
      <c r="MPX149" s="609"/>
      <c r="MPY149" s="609"/>
      <c r="MPZ149" s="609"/>
      <c r="MQA149" s="609"/>
      <c r="MQB149" s="609"/>
      <c r="MQC149" s="609"/>
      <c r="MQD149" s="609"/>
      <c r="MQE149" s="609"/>
      <c r="MQF149" s="609"/>
      <c r="MQG149" s="609"/>
      <c r="MQH149" s="609"/>
      <c r="MQI149" s="609"/>
      <c r="MQJ149" s="609"/>
      <c r="MQK149" s="609"/>
      <c r="MQL149" s="609"/>
      <c r="MQM149" s="609"/>
      <c r="MQN149" s="609"/>
      <c r="MQO149" s="609"/>
      <c r="MQP149" s="609"/>
      <c r="MQQ149" s="609"/>
      <c r="MQR149" s="609"/>
      <c r="MQS149" s="609"/>
      <c r="MQT149" s="609"/>
      <c r="MQU149" s="609"/>
      <c r="MQV149" s="609"/>
      <c r="MQW149" s="609"/>
      <c r="MQX149" s="609"/>
      <c r="MQY149" s="609"/>
      <c r="MQZ149" s="609"/>
      <c r="MRA149" s="609"/>
      <c r="MRB149" s="609"/>
      <c r="MRC149" s="609"/>
      <c r="MRD149" s="609"/>
      <c r="MRE149" s="609"/>
      <c r="MRF149" s="609"/>
      <c r="MRG149" s="609"/>
      <c r="MRH149" s="609"/>
      <c r="MRI149" s="609"/>
      <c r="MRJ149" s="609"/>
      <c r="MRK149" s="609"/>
      <c r="MRL149" s="609"/>
      <c r="MRM149" s="609"/>
      <c r="MRN149" s="609"/>
      <c r="MRO149" s="609"/>
      <c r="MRP149" s="609"/>
      <c r="MRQ149" s="609"/>
      <c r="MRR149" s="609"/>
      <c r="MRS149" s="609"/>
      <c r="MRT149" s="609"/>
      <c r="MRU149" s="609"/>
      <c r="MRV149" s="609"/>
      <c r="MRW149" s="609"/>
      <c r="MRX149" s="609"/>
      <c r="MRY149" s="609"/>
      <c r="MRZ149" s="609"/>
      <c r="MSA149" s="609"/>
      <c r="MSB149" s="609"/>
      <c r="MSC149" s="609"/>
      <c r="MSD149" s="609"/>
      <c r="MSE149" s="609"/>
      <c r="MSF149" s="609"/>
      <c r="MSG149" s="609"/>
      <c r="MSH149" s="609"/>
      <c r="MSI149" s="609"/>
      <c r="MSJ149" s="609"/>
      <c r="MSK149" s="609"/>
      <c r="MSL149" s="609"/>
      <c r="MSM149" s="609"/>
      <c r="MSN149" s="609"/>
      <c r="MSO149" s="609"/>
      <c r="MSP149" s="609"/>
      <c r="MSQ149" s="609"/>
      <c r="MSR149" s="609"/>
      <c r="MSS149" s="609"/>
      <c r="MST149" s="609"/>
      <c r="MSU149" s="609"/>
      <c r="MSV149" s="609"/>
      <c r="MSW149" s="609"/>
      <c r="MSX149" s="609"/>
      <c r="MSY149" s="609"/>
      <c r="MSZ149" s="609"/>
      <c r="MTA149" s="609"/>
      <c r="MTB149" s="609"/>
      <c r="MTC149" s="609"/>
      <c r="MTD149" s="609"/>
      <c r="MTE149" s="609"/>
      <c r="MTF149" s="609"/>
      <c r="MTG149" s="609"/>
      <c r="MTH149" s="609"/>
      <c r="MTI149" s="609"/>
      <c r="MTJ149" s="609"/>
      <c r="MTK149" s="609"/>
      <c r="MTL149" s="609"/>
      <c r="MTM149" s="609"/>
      <c r="MTN149" s="609"/>
      <c r="MTO149" s="609"/>
      <c r="MTP149" s="609"/>
      <c r="MTQ149" s="609"/>
      <c r="MTR149" s="609"/>
      <c r="MTS149" s="609"/>
      <c r="MTT149" s="609"/>
      <c r="MTU149" s="609"/>
      <c r="MTV149" s="609"/>
      <c r="MTW149" s="609"/>
      <c r="MTX149" s="609"/>
      <c r="MTY149" s="609"/>
      <c r="MTZ149" s="609"/>
      <c r="MUA149" s="609"/>
      <c r="MUB149" s="609"/>
      <c r="MUC149" s="609"/>
      <c r="MUD149" s="609"/>
      <c r="MUE149" s="609"/>
      <c r="MUF149" s="609"/>
      <c r="MUG149" s="609"/>
      <c r="MUH149" s="609"/>
      <c r="MUI149" s="609"/>
      <c r="MUJ149" s="609"/>
      <c r="MUK149" s="609"/>
      <c r="MUL149" s="609"/>
      <c r="MUM149" s="609"/>
      <c r="MUN149" s="609"/>
      <c r="MUO149" s="609"/>
      <c r="MUP149" s="609"/>
      <c r="MUQ149" s="609"/>
      <c r="MUR149" s="609"/>
      <c r="MUS149" s="609"/>
      <c r="MUT149" s="609"/>
      <c r="MUU149" s="609"/>
      <c r="MUV149" s="609"/>
      <c r="MUW149" s="609"/>
      <c r="MUX149" s="609"/>
      <c r="MUY149" s="609"/>
      <c r="MUZ149" s="609"/>
      <c r="MVA149" s="609"/>
      <c r="MVB149" s="609"/>
      <c r="MVC149" s="609"/>
      <c r="MVD149" s="609"/>
      <c r="MVE149" s="609"/>
      <c r="MVF149" s="609"/>
      <c r="MVG149" s="609"/>
      <c r="MVH149" s="609"/>
      <c r="MVI149" s="609"/>
      <c r="MVJ149" s="609"/>
      <c r="MVK149" s="609"/>
      <c r="MVL149" s="609"/>
      <c r="MVM149" s="609"/>
      <c r="MVN149" s="609"/>
      <c r="MVO149" s="609"/>
      <c r="MVP149" s="609"/>
      <c r="MVQ149" s="609"/>
      <c r="MVR149" s="609"/>
      <c r="MVS149" s="609"/>
      <c r="MVT149" s="609"/>
      <c r="MVU149" s="609"/>
      <c r="MVV149" s="609"/>
      <c r="MVW149" s="609"/>
      <c r="MVX149" s="609"/>
      <c r="MVY149" s="609"/>
      <c r="MVZ149" s="609"/>
      <c r="MWA149" s="609"/>
      <c r="MWB149" s="609"/>
      <c r="MWC149" s="609"/>
      <c r="MWD149" s="609"/>
      <c r="MWE149" s="609"/>
      <c r="MWF149" s="609"/>
      <c r="MWG149" s="609"/>
      <c r="MWH149" s="609"/>
      <c r="MWI149" s="609"/>
      <c r="MWJ149" s="609"/>
      <c r="MWK149" s="609"/>
      <c r="MWL149" s="609"/>
      <c r="MWM149" s="609"/>
      <c r="MWN149" s="609"/>
      <c r="MWO149" s="609"/>
      <c r="MWP149" s="609"/>
      <c r="MWQ149" s="609"/>
      <c r="MWR149" s="609"/>
      <c r="MWS149" s="609"/>
      <c r="MWT149" s="609"/>
      <c r="MWU149" s="609"/>
      <c r="MWV149" s="609"/>
      <c r="MWW149" s="609"/>
      <c r="MWX149" s="609"/>
      <c r="MWY149" s="609"/>
      <c r="MWZ149" s="609"/>
      <c r="MXA149" s="609"/>
      <c r="MXB149" s="609"/>
      <c r="MXC149" s="609"/>
      <c r="MXD149" s="609"/>
      <c r="MXE149" s="609"/>
      <c r="MXF149" s="609"/>
      <c r="MXG149" s="609"/>
      <c r="MXH149" s="609"/>
      <c r="MXI149" s="609"/>
      <c r="MXJ149" s="609"/>
      <c r="MXK149" s="609"/>
      <c r="MXL149" s="609"/>
      <c r="MXM149" s="609"/>
      <c r="MXN149" s="609"/>
      <c r="MXO149" s="609"/>
      <c r="MXP149" s="609"/>
      <c r="MXQ149" s="609"/>
      <c r="MXR149" s="609"/>
      <c r="MXS149" s="609"/>
      <c r="MXT149" s="609"/>
      <c r="MXU149" s="609"/>
      <c r="MXV149" s="609"/>
      <c r="MXW149" s="609"/>
      <c r="MXX149" s="609"/>
      <c r="MXY149" s="609"/>
      <c r="MXZ149" s="609"/>
      <c r="MYA149" s="609"/>
      <c r="MYB149" s="609"/>
      <c r="MYC149" s="609"/>
      <c r="MYD149" s="609"/>
      <c r="MYE149" s="609"/>
      <c r="MYF149" s="609"/>
      <c r="MYG149" s="609"/>
      <c r="MYH149" s="609"/>
      <c r="MYI149" s="609"/>
      <c r="MYJ149" s="609"/>
      <c r="MYK149" s="609"/>
      <c r="MYL149" s="609"/>
      <c r="MYM149" s="609"/>
      <c r="MYN149" s="609"/>
      <c r="MYO149" s="609"/>
      <c r="MYP149" s="609"/>
      <c r="MYQ149" s="609"/>
      <c r="MYR149" s="609"/>
      <c r="MYS149" s="609"/>
      <c r="MYT149" s="609"/>
      <c r="MYU149" s="609"/>
      <c r="MYV149" s="609"/>
      <c r="MYW149" s="609"/>
      <c r="MYX149" s="609"/>
      <c r="MYY149" s="609"/>
      <c r="MYZ149" s="609"/>
      <c r="MZA149" s="609"/>
      <c r="MZB149" s="609"/>
      <c r="MZC149" s="609"/>
      <c r="MZD149" s="609"/>
      <c r="MZE149" s="609"/>
      <c r="MZF149" s="609"/>
      <c r="MZG149" s="609"/>
      <c r="MZH149" s="609"/>
      <c r="MZI149" s="609"/>
      <c r="MZJ149" s="609"/>
      <c r="MZK149" s="609"/>
      <c r="MZL149" s="609"/>
      <c r="MZM149" s="609"/>
      <c r="MZN149" s="609"/>
      <c r="MZO149" s="609"/>
      <c r="MZP149" s="609"/>
      <c r="MZQ149" s="609"/>
      <c r="MZR149" s="609"/>
      <c r="MZS149" s="609"/>
      <c r="MZT149" s="609"/>
      <c r="MZU149" s="609"/>
      <c r="MZV149" s="609"/>
      <c r="MZW149" s="609"/>
      <c r="MZX149" s="609"/>
      <c r="MZY149" s="609"/>
      <c r="MZZ149" s="609"/>
      <c r="NAA149" s="609"/>
      <c r="NAB149" s="609"/>
      <c r="NAC149" s="609"/>
      <c r="NAD149" s="609"/>
      <c r="NAE149" s="609"/>
      <c r="NAF149" s="609"/>
      <c r="NAG149" s="609"/>
      <c r="NAH149" s="609"/>
      <c r="NAI149" s="609"/>
      <c r="NAJ149" s="609"/>
      <c r="NAK149" s="609"/>
      <c r="NAL149" s="609"/>
      <c r="NAM149" s="609"/>
      <c r="NAN149" s="609"/>
      <c r="NAO149" s="609"/>
      <c r="NAP149" s="609"/>
      <c r="NAQ149" s="609"/>
      <c r="NAR149" s="609"/>
      <c r="NAS149" s="609"/>
      <c r="NAT149" s="609"/>
      <c r="NAU149" s="609"/>
      <c r="NAV149" s="609"/>
      <c r="NAW149" s="609"/>
      <c r="NAX149" s="609"/>
      <c r="NAY149" s="609"/>
      <c r="NAZ149" s="609"/>
      <c r="NBA149" s="609"/>
      <c r="NBB149" s="609"/>
      <c r="NBC149" s="609"/>
      <c r="NBD149" s="609"/>
      <c r="NBE149" s="609"/>
      <c r="NBF149" s="609"/>
      <c r="NBG149" s="609"/>
      <c r="NBH149" s="609"/>
      <c r="NBI149" s="609"/>
      <c r="NBJ149" s="609"/>
      <c r="NBK149" s="609"/>
      <c r="NBL149" s="609"/>
      <c r="NBM149" s="609"/>
      <c r="NBN149" s="609"/>
      <c r="NBO149" s="609"/>
      <c r="NBP149" s="609"/>
      <c r="NBQ149" s="609"/>
      <c r="NBR149" s="609"/>
      <c r="NBS149" s="609"/>
      <c r="NBT149" s="609"/>
      <c r="NBU149" s="609"/>
      <c r="NBV149" s="609"/>
      <c r="NBW149" s="609"/>
      <c r="NBX149" s="609"/>
      <c r="NBY149" s="609"/>
      <c r="NBZ149" s="609"/>
      <c r="NCA149" s="609"/>
      <c r="NCB149" s="609"/>
      <c r="NCC149" s="609"/>
      <c r="NCD149" s="609"/>
      <c r="NCE149" s="609"/>
      <c r="NCF149" s="609"/>
      <c r="NCG149" s="609"/>
      <c r="NCH149" s="609"/>
      <c r="NCI149" s="609"/>
      <c r="NCJ149" s="609"/>
      <c r="NCK149" s="609"/>
      <c r="NCL149" s="609"/>
      <c r="NCM149" s="609"/>
      <c r="NCN149" s="609"/>
      <c r="NCO149" s="609"/>
      <c r="NCP149" s="609"/>
      <c r="NCQ149" s="609"/>
      <c r="NCR149" s="609"/>
      <c r="NCS149" s="609"/>
      <c r="NCT149" s="609"/>
      <c r="NCU149" s="609"/>
      <c r="NCV149" s="609"/>
      <c r="NCW149" s="609"/>
      <c r="NCX149" s="609"/>
      <c r="NCY149" s="609"/>
      <c r="NCZ149" s="609"/>
      <c r="NDA149" s="609"/>
      <c r="NDB149" s="609"/>
      <c r="NDC149" s="609"/>
      <c r="NDD149" s="609"/>
      <c r="NDE149" s="609"/>
      <c r="NDF149" s="609"/>
      <c r="NDG149" s="609"/>
      <c r="NDH149" s="609"/>
      <c r="NDI149" s="609"/>
      <c r="NDJ149" s="609"/>
      <c r="NDK149" s="609"/>
      <c r="NDL149" s="609"/>
      <c r="NDM149" s="609"/>
      <c r="NDN149" s="609"/>
      <c r="NDO149" s="609"/>
      <c r="NDP149" s="609"/>
      <c r="NDQ149" s="609"/>
      <c r="NDR149" s="609"/>
      <c r="NDS149" s="609"/>
      <c r="NDT149" s="609"/>
      <c r="NDU149" s="609"/>
      <c r="NDV149" s="609"/>
      <c r="NDW149" s="609"/>
      <c r="NDX149" s="609"/>
      <c r="NDY149" s="609"/>
      <c r="NDZ149" s="609"/>
      <c r="NEA149" s="609"/>
      <c r="NEB149" s="609"/>
      <c r="NEC149" s="609"/>
      <c r="NED149" s="609"/>
      <c r="NEE149" s="609"/>
      <c r="NEF149" s="609"/>
      <c r="NEG149" s="609"/>
      <c r="NEH149" s="609"/>
      <c r="NEI149" s="609"/>
      <c r="NEJ149" s="609"/>
      <c r="NEK149" s="609"/>
      <c r="NEL149" s="609"/>
      <c r="NEM149" s="609"/>
      <c r="NEN149" s="609"/>
      <c r="NEO149" s="609"/>
      <c r="NEP149" s="609"/>
      <c r="NEQ149" s="609"/>
      <c r="NER149" s="609"/>
      <c r="NES149" s="609"/>
      <c r="NET149" s="609"/>
      <c r="NEU149" s="609"/>
      <c r="NEV149" s="609"/>
      <c r="NEW149" s="609"/>
      <c r="NEX149" s="609"/>
      <c r="NEY149" s="609"/>
      <c r="NEZ149" s="609"/>
      <c r="NFA149" s="609"/>
      <c r="NFB149" s="609"/>
      <c r="NFC149" s="609"/>
      <c r="NFD149" s="609"/>
      <c r="NFE149" s="609"/>
      <c r="NFF149" s="609"/>
      <c r="NFG149" s="609"/>
      <c r="NFH149" s="609"/>
      <c r="NFI149" s="609"/>
      <c r="NFJ149" s="609"/>
      <c r="NFK149" s="609"/>
      <c r="NFL149" s="609"/>
      <c r="NFM149" s="609"/>
      <c r="NFN149" s="609"/>
      <c r="NFO149" s="609"/>
      <c r="NFP149" s="609"/>
      <c r="NFQ149" s="609"/>
      <c r="NFR149" s="609"/>
      <c r="NFS149" s="609"/>
      <c r="NFT149" s="609"/>
      <c r="NFU149" s="609"/>
      <c r="NFV149" s="609"/>
      <c r="NFW149" s="609"/>
      <c r="NFX149" s="609"/>
      <c r="NFY149" s="609"/>
      <c r="NFZ149" s="609"/>
      <c r="NGA149" s="609"/>
      <c r="NGB149" s="609"/>
      <c r="NGC149" s="609"/>
      <c r="NGD149" s="609"/>
      <c r="NGE149" s="609"/>
      <c r="NGF149" s="609"/>
      <c r="NGG149" s="609"/>
      <c r="NGH149" s="609"/>
      <c r="NGI149" s="609"/>
      <c r="NGJ149" s="609"/>
      <c r="NGK149" s="609"/>
      <c r="NGL149" s="609"/>
      <c r="NGM149" s="609"/>
      <c r="NGN149" s="609"/>
      <c r="NGO149" s="609"/>
      <c r="NGP149" s="609"/>
      <c r="NGQ149" s="609"/>
      <c r="NGR149" s="609"/>
      <c r="NGS149" s="609"/>
      <c r="NGT149" s="609"/>
      <c r="NGU149" s="609"/>
      <c r="NGV149" s="609"/>
      <c r="NGW149" s="609"/>
      <c r="NGX149" s="609"/>
      <c r="NGY149" s="609"/>
      <c r="NGZ149" s="609"/>
      <c r="NHA149" s="609"/>
      <c r="NHB149" s="609"/>
      <c r="NHC149" s="609"/>
      <c r="NHD149" s="609"/>
      <c r="NHE149" s="609"/>
      <c r="NHF149" s="609"/>
      <c r="NHG149" s="609"/>
      <c r="NHH149" s="609"/>
      <c r="NHI149" s="609"/>
      <c r="NHJ149" s="609"/>
      <c r="NHK149" s="609"/>
      <c r="NHL149" s="609"/>
      <c r="NHM149" s="609"/>
      <c r="NHN149" s="609"/>
      <c r="NHO149" s="609"/>
      <c r="NHP149" s="609"/>
      <c r="NHQ149" s="609"/>
      <c r="NHR149" s="609"/>
      <c r="NHS149" s="609"/>
      <c r="NHT149" s="609"/>
      <c r="NHU149" s="609"/>
      <c r="NHV149" s="609"/>
      <c r="NHW149" s="609"/>
      <c r="NHX149" s="609"/>
      <c r="NHY149" s="609"/>
      <c r="NHZ149" s="609"/>
      <c r="NIA149" s="609"/>
      <c r="NIB149" s="609"/>
      <c r="NIC149" s="609"/>
      <c r="NID149" s="609"/>
      <c r="NIE149" s="609"/>
      <c r="NIF149" s="609"/>
      <c r="NIG149" s="609"/>
      <c r="NIH149" s="609"/>
      <c r="NII149" s="609"/>
      <c r="NIJ149" s="609"/>
      <c r="NIK149" s="609"/>
      <c r="NIL149" s="609"/>
      <c r="NIM149" s="609"/>
      <c r="NIN149" s="609"/>
      <c r="NIO149" s="609"/>
      <c r="NIP149" s="609"/>
      <c r="NIQ149" s="609"/>
      <c r="NIR149" s="609"/>
      <c r="NIS149" s="609"/>
      <c r="NIT149" s="609"/>
      <c r="NIU149" s="609"/>
      <c r="NIV149" s="609"/>
      <c r="NIW149" s="609"/>
      <c r="NIX149" s="609"/>
      <c r="NIY149" s="609"/>
      <c r="NIZ149" s="609"/>
      <c r="NJA149" s="609"/>
      <c r="NJB149" s="609"/>
      <c r="NJC149" s="609"/>
      <c r="NJD149" s="609"/>
      <c r="NJE149" s="609"/>
      <c r="NJF149" s="609"/>
      <c r="NJG149" s="609"/>
      <c r="NJH149" s="609"/>
      <c r="NJI149" s="609"/>
      <c r="NJJ149" s="609"/>
      <c r="NJK149" s="609"/>
      <c r="NJL149" s="609"/>
      <c r="NJM149" s="609"/>
      <c r="NJN149" s="609"/>
      <c r="NJO149" s="609"/>
      <c r="NJP149" s="609"/>
      <c r="NJQ149" s="609"/>
      <c r="NJR149" s="609"/>
      <c r="NJS149" s="609"/>
      <c r="NJT149" s="609"/>
      <c r="NJU149" s="609"/>
      <c r="NJV149" s="609"/>
      <c r="NJW149" s="609"/>
      <c r="NJX149" s="609"/>
      <c r="NJY149" s="609"/>
      <c r="NJZ149" s="609"/>
      <c r="NKA149" s="609"/>
      <c r="NKB149" s="609"/>
      <c r="NKC149" s="609"/>
      <c r="NKD149" s="609"/>
      <c r="NKE149" s="609"/>
      <c r="NKF149" s="609"/>
      <c r="NKG149" s="609"/>
      <c r="NKH149" s="609"/>
      <c r="NKI149" s="609"/>
      <c r="NKJ149" s="609"/>
      <c r="NKK149" s="609"/>
      <c r="NKL149" s="609"/>
      <c r="NKM149" s="609"/>
      <c r="NKN149" s="609"/>
      <c r="NKO149" s="609"/>
      <c r="NKP149" s="609"/>
      <c r="NKQ149" s="609"/>
      <c r="NKR149" s="609"/>
      <c r="NKS149" s="609"/>
      <c r="NKT149" s="609"/>
      <c r="NKU149" s="609"/>
      <c r="NKV149" s="609"/>
      <c r="NKW149" s="609"/>
      <c r="NKX149" s="609"/>
      <c r="NKY149" s="609"/>
      <c r="NKZ149" s="609"/>
      <c r="NLA149" s="609"/>
      <c r="NLB149" s="609"/>
      <c r="NLC149" s="609"/>
      <c r="NLD149" s="609"/>
      <c r="NLE149" s="609"/>
      <c r="NLF149" s="609"/>
      <c r="NLG149" s="609"/>
      <c r="NLH149" s="609"/>
      <c r="NLI149" s="609"/>
      <c r="NLJ149" s="609"/>
      <c r="NLK149" s="609"/>
      <c r="NLL149" s="609"/>
      <c r="NLM149" s="609"/>
      <c r="NLN149" s="609"/>
      <c r="NLO149" s="609"/>
      <c r="NLP149" s="609"/>
      <c r="NLQ149" s="609"/>
      <c r="NLR149" s="609"/>
      <c r="NLS149" s="609"/>
      <c r="NLT149" s="609"/>
      <c r="NLU149" s="609"/>
      <c r="NLV149" s="609"/>
      <c r="NLW149" s="609"/>
      <c r="NLX149" s="609"/>
      <c r="NLY149" s="609"/>
      <c r="NLZ149" s="609"/>
      <c r="NMA149" s="609"/>
      <c r="NMB149" s="609"/>
      <c r="NMC149" s="609"/>
      <c r="NMD149" s="609"/>
      <c r="NME149" s="609"/>
      <c r="NMF149" s="609"/>
      <c r="NMG149" s="609"/>
      <c r="NMH149" s="609"/>
      <c r="NMI149" s="609"/>
      <c r="NMJ149" s="609"/>
      <c r="NMK149" s="609"/>
      <c r="NML149" s="609"/>
      <c r="NMM149" s="609"/>
      <c r="NMN149" s="609"/>
      <c r="NMO149" s="609"/>
      <c r="NMP149" s="609"/>
      <c r="NMQ149" s="609"/>
      <c r="NMR149" s="609"/>
      <c r="NMS149" s="609"/>
      <c r="NMT149" s="609"/>
      <c r="NMU149" s="609"/>
      <c r="NMV149" s="609"/>
      <c r="NMW149" s="609"/>
      <c r="NMX149" s="609"/>
      <c r="NMY149" s="609"/>
      <c r="NMZ149" s="609"/>
      <c r="NNA149" s="609"/>
      <c r="NNB149" s="609"/>
      <c r="NNC149" s="609"/>
      <c r="NND149" s="609"/>
      <c r="NNE149" s="609"/>
      <c r="NNF149" s="609"/>
      <c r="NNG149" s="609"/>
      <c r="NNH149" s="609"/>
      <c r="NNI149" s="609"/>
      <c r="NNJ149" s="609"/>
      <c r="NNK149" s="609"/>
      <c r="NNL149" s="609"/>
      <c r="NNM149" s="609"/>
      <c r="NNN149" s="609"/>
      <c r="NNO149" s="609"/>
      <c r="NNP149" s="609"/>
      <c r="NNQ149" s="609"/>
      <c r="NNR149" s="609"/>
      <c r="NNS149" s="609"/>
      <c r="NNT149" s="609"/>
      <c r="NNU149" s="609"/>
      <c r="NNV149" s="609"/>
      <c r="NNW149" s="609"/>
      <c r="NNX149" s="609"/>
      <c r="NNY149" s="609"/>
      <c r="NNZ149" s="609"/>
      <c r="NOA149" s="609"/>
      <c r="NOB149" s="609"/>
      <c r="NOC149" s="609"/>
      <c r="NOD149" s="609"/>
      <c r="NOE149" s="609"/>
      <c r="NOF149" s="609"/>
      <c r="NOG149" s="609"/>
      <c r="NOH149" s="609"/>
      <c r="NOI149" s="609"/>
      <c r="NOJ149" s="609"/>
      <c r="NOK149" s="609"/>
      <c r="NOL149" s="609"/>
      <c r="NOM149" s="609"/>
      <c r="NON149" s="609"/>
      <c r="NOO149" s="609"/>
      <c r="NOP149" s="609"/>
      <c r="NOQ149" s="609"/>
      <c r="NOR149" s="609"/>
      <c r="NOS149" s="609"/>
      <c r="NOT149" s="609"/>
      <c r="NOU149" s="609"/>
      <c r="NOV149" s="609"/>
      <c r="NOW149" s="609"/>
      <c r="NOX149" s="609"/>
      <c r="NOY149" s="609"/>
      <c r="NOZ149" s="609"/>
      <c r="NPA149" s="609"/>
      <c r="NPB149" s="609"/>
      <c r="NPC149" s="609"/>
      <c r="NPD149" s="609"/>
      <c r="NPE149" s="609"/>
      <c r="NPF149" s="609"/>
      <c r="NPG149" s="609"/>
      <c r="NPH149" s="609"/>
      <c r="NPI149" s="609"/>
      <c r="NPJ149" s="609"/>
      <c r="NPK149" s="609"/>
      <c r="NPL149" s="609"/>
      <c r="NPM149" s="609"/>
      <c r="NPN149" s="609"/>
      <c r="NPO149" s="609"/>
      <c r="NPP149" s="609"/>
      <c r="NPQ149" s="609"/>
      <c r="NPR149" s="609"/>
      <c r="NPS149" s="609"/>
      <c r="NPT149" s="609"/>
      <c r="NPU149" s="609"/>
      <c r="NPV149" s="609"/>
      <c r="NPW149" s="609"/>
      <c r="NPX149" s="609"/>
      <c r="NPY149" s="609"/>
      <c r="NPZ149" s="609"/>
      <c r="NQA149" s="609"/>
      <c r="NQB149" s="609"/>
      <c r="NQC149" s="609"/>
      <c r="NQD149" s="609"/>
      <c r="NQE149" s="609"/>
      <c r="NQF149" s="609"/>
      <c r="NQG149" s="609"/>
      <c r="NQH149" s="609"/>
      <c r="NQI149" s="609"/>
      <c r="NQJ149" s="609"/>
      <c r="NQK149" s="609"/>
      <c r="NQL149" s="609"/>
      <c r="NQM149" s="609"/>
      <c r="NQN149" s="609"/>
      <c r="NQO149" s="609"/>
      <c r="NQP149" s="609"/>
      <c r="NQQ149" s="609"/>
      <c r="NQR149" s="609"/>
      <c r="NQS149" s="609"/>
      <c r="NQT149" s="609"/>
      <c r="NQU149" s="609"/>
      <c r="NQV149" s="609"/>
      <c r="NQW149" s="609"/>
      <c r="NQX149" s="609"/>
      <c r="NQY149" s="609"/>
      <c r="NQZ149" s="609"/>
      <c r="NRA149" s="609"/>
      <c r="NRB149" s="609"/>
      <c r="NRC149" s="609"/>
      <c r="NRD149" s="609"/>
      <c r="NRE149" s="609"/>
      <c r="NRF149" s="609"/>
      <c r="NRG149" s="609"/>
      <c r="NRH149" s="609"/>
      <c r="NRI149" s="609"/>
      <c r="NRJ149" s="609"/>
      <c r="NRK149" s="609"/>
      <c r="NRL149" s="609"/>
      <c r="NRM149" s="609"/>
      <c r="NRN149" s="609"/>
      <c r="NRO149" s="609"/>
      <c r="NRP149" s="609"/>
      <c r="NRQ149" s="609"/>
      <c r="NRR149" s="609"/>
      <c r="NRS149" s="609"/>
      <c r="NRT149" s="609"/>
      <c r="NRU149" s="609"/>
      <c r="NRV149" s="609"/>
      <c r="NRW149" s="609"/>
      <c r="NRX149" s="609"/>
      <c r="NRY149" s="609"/>
      <c r="NRZ149" s="609"/>
      <c r="NSA149" s="609"/>
      <c r="NSB149" s="609"/>
      <c r="NSC149" s="609"/>
      <c r="NSD149" s="609"/>
      <c r="NSE149" s="609"/>
      <c r="NSF149" s="609"/>
      <c r="NSG149" s="609"/>
      <c r="NSH149" s="609"/>
      <c r="NSI149" s="609"/>
      <c r="NSJ149" s="609"/>
      <c r="NSK149" s="609"/>
      <c r="NSL149" s="609"/>
      <c r="NSM149" s="609"/>
      <c r="NSN149" s="609"/>
      <c r="NSO149" s="609"/>
      <c r="NSP149" s="609"/>
      <c r="NSQ149" s="609"/>
      <c r="NSR149" s="609"/>
      <c r="NSS149" s="609"/>
      <c r="NST149" s="609"/>
      <c r="NSU149" s="609"/>
      <c r="NSV149" s="609"/>
      <c r="NSW149" s="609"/>
      <c r="NSX149" s="609"/>
      <c r="NSY149" s="609"/>
      <c r="NSZ149" s="609"/>
      <c r="NTA149" s="609"/>
      <c r="NTB149" s="609"/>
      <c r="NTC149" s="609"/>
      <c r="NTD149" s="609"/>
      <c r="NTE149" s="609"/>
      <c r="NTF149" s="609"/>
      <c r="NTG149" s="609"/>
      <c r="NTH149" s="609"/>
      <c r="NTI149" s="609"/>
      <c r="NTJ149" s="609"/>
      <c r="NTK149" s="609"/>
      <c r="NTL149" s="609"/>
      <c r="NTM149" s="609"/>
      <c r="NTN149" s="609"/>
      <c r="NTO149" s="609"/>
      <c r="NTP149" s="609"/>
      <c r="NTQ149" s="609"/>
      <c r="NTR149" s="609"/>
      <c r="NTS149" s="609"/>
      <c r="NTT149" s="609"/>
      <c r="NTU149" s="609"/>
      <c r="NTV149" s="609"/>
      <c r="NTW149" s="609"/>
      <c r="NTX149" s="609"/>
      <c r="NTY149" s="609"/>
      <c r="NTZ149" s="609"/>
      <c r="NUA149" s="609"/>
      <c r="NUB149" s="609"/>
      <c r="NUC149" s="609"/>
      <c r="NUD149" s="609"/>
      <c r="NUE149" s="609"/>
      <c r="NUF149" s="609"/>
      <c r="NUG149" s="609"/>
      <c r="NUH149" s="609"/>
      <c r="NUI149" s="609"/>
      <c r="NUJ149" s="609"/>
      <c r="NUK149" s="609"/>
      <c r="NUL149" s="609"/>
      <c r="NUM149" s="609"/>
      <c r="NUN149" s="609"/>
      <c r="NUO149" s="609"/>
      <c r="NUP149" s="609"/>
      <c r="NUQ149" s="609"/>
      <c r="NUR149" s="609"/>
      <c r="NUS149" s="609"/>
      <c r="NUT149" s="609"/>
      <c r="NUU149" s="609"/>
      <c r="NUV149" s="609"/>
      <c r="NUW149" s="609"/>
      <c r="NUX149" s="609"/>
      <c r="NUY149" s="609"/>
      <c r="NUZ149" s="609"/>
      <c r="NVA149" s="609"/>
      <c r="NVB149" s="609"/>
      <c r="NVC149" s="609"/>
      <c r="NVD149" s="609"/>
      <c r="NVE149" s="609"/>
      <c r="NVF149" s="609"/>
      <c r="NVG149" s="609"/>
      <c r="NVH149" s="609"/>
      <c r="NVI149" s="609"/>
      <c r="NVJ149" s="609"/>
      <c r="NVK149" s="609"/>
      <c r="NVL149" s="609"/>
      <c r="NVM149" s="609"/>
      <c r="NVN149" s="609"/>
      <c r="NVO149" s="609"/>
      <c r="NVP149" s="609"/>
      <c r="NVQ149" s="609"/>
      <c r="NVR149" s="609"/>
      <c r="NVS149" s="609"/>
      <c r="NVT149" s="609"/>
      <c r="NVU149" s="609"/>
      <c r="NVV149" s="609"/>
      <c r="NVW149" s="609"/>
      <c r="NVX149" s="609"/>
      <c r="NVY149" s="609"/>
      <c r="NVZ149" s="609"/>
      <c r="NWA149" s="609"/>
      <c r="NWB149" s="609"/>
      <c r="NWC149" s="609"/>
      <c r="NWD149" s="609"/>
      <c r="NWE149" s="609"/>
      <c r="NWF149" s="609"/>
      <c r="NWG149" s="609"/>
      <c r="NWH149" s="609"/>
      <c r="NWI149" s="609"/>
      <c r="NWJ149" s="609"/>
      <c r="NWK149" s="609"/>
      <c r="NWL149" s="609"/>
      <c r="NWM149" s="609"/>
      <c r="NWN149" s="609"/>
      <c r="NWO149" s="609"/>
      <c r="NWP149" s="609"/>
      <c r="NWQ149" s="609"/>
      <c r="NWR149" s="609"/>
      <c r="NWS149" s="609"/>
      <c r="NWT149" s="609"/>
      <c r="NWU149" s="609"/>
      <c r="NWV149" s="609"/>
      <c r="NWW149" s="609"/>
      <c r="NWX149" s="609"/>
      <c r="NWY149" s="609"/>
      <c r="NWZ149" s="609"/>
      <c r="NXA149" s="609"/>
      <c r="NXB149" s="609"/>
      <c r="NXC149" s="609"/>
      <c r="NXD149" s="609"/>
      <c r="NXE149" s="609"/>
      <c r="NXF149" s="609"/>
      <c r="NXG149" s="609"/>
      <c r="NXH149" s="609"/>
      <c r="NXI149" s="609"/>
      <c r="NXJ149" s="609"/>
      <c r="NXK149" s="609"/>
      <c r="NXL149" s="609"/>
      <c r="NXM149" s="609"/>
      <c r="NXN149" s="609"/>
      <c r="NXO149" s="609"/>
      <c r="NXP149" s="609"/>
      <c r="NXQ149" s="609"/>
      <c r="NXR149" s="609"/>
      <c r="NXS149" s="609"/>
      <c r="NXT149" s="609"/>
      <c r="NXU149" s="609"/>
      <c r="NXV149" s="609"/>
      <c r="NXW149" s="609"/>
      <c r="NXX149" s="609"/>
      <c r="NXY149" s="609"/>
      <c r="NXZ149" s="609"/>
      <c r="NYA149" s="609"/>
      <c r="NYB149" s="609"/>
      <c r="NYC149" s="609"/>
      <c r="NYD149" s="609"/>
      <c r="NYE149" s="609"/>
      <c r="NYF149" s="609"/>
      <c r="NYG149" s="609"/>
      <c r="NYH149" s="609"/>
      <c r="NYI149" s="609"/>
      <c r="NYJ149" s="609"/>
      <c r="NYK149" s="609"/>
      <c r="NYL149" s="609"/>
      <c r="NYM149" s="609"/>
      <c r="NYN149" s="609"/>
      <c r="NYO149" s="609"/>
      <c r="NYP149" s="609"/>
      <c r="NYQ149" s="609"/>
      <c r="NYR149" s="609"/>
      <c r="NYS149" s="609"/>
      <c r="NYT149" s="609"/>
      <c r="NYU149" s="609"/>
      <c r="NYV149" s="609"/>
      <c r="NYW149" s="609"/>
      <c r="NYX149" s="609"/>
      <c r="NYY149" s="609"/>
      <c r="NYZ149" s="609"/>
      <c r="NZA149" s="609"/>
      <c r="NZB149" s="609"/>
      <c r="NZC149" s="609"/>
      <c r="NZD149" s="609"/>
      <c r="NZE149" s="609"/>
      <c r="NZF149" s="609"/>
      <c r="NZG149" s="609"/>
      <c r="NZH149" s="609"/>
      <c r="NZI149" s="609"/>
      <c r="NZJ149" s="609"/>
      <c r="NZK149" s="609"/>
      <c r="NZL149" s="609"/>
      <c r="NZM149" s="609"/>
      <c r="NZN149" s="609"/>
      <c r="NZO149" s="609"/>
      <c r="NZP149" s="609"/>
      <c r="NZQ149" s="609"/>
      <c r="NZR149" s="609"/>
      <c r="NZS149" s="609"/>
      <c r="NZT149" s="609"/>
      <c r="NZU149" s="609"/>
      <c r="NZV149" s="609"/>
      <c r="NZW149" s="609"/>
      <c r="NZX149" s="609"/>
      <c r="NZY149" s="609"/>
      <c r="NZZ149" s="609"/>
      <c r="OAA149" s="609"/>
      <c r="OAB149" s="609"/>
      <c r="OAC149" s="609"/>
      <c r="OAD149" s="609"/>
      <c r="OAE149" s="609"/>
      <c r="OAF149" s="609"/>
      <c r="OAG149" s="609"/>
      <c r="OAH149" s="609"/>
      <c r="OAI149" s="609"/>
      <c r="OAJ149" s="609"/>
      <c r="OAK149" s="609"/>
      <c r="OAL149" s="609"/>
      <c r="OAM149" s="609"/>
      <c r="OAN149" s="609"/>
      <c r="OAO149" s="609"/>
      <c r="OAP149" s="609"/>
      <c r="OAQ149" s="609"/>
      <c r="OAR149" s="609"/>
      <c r="OAS149" s="609"/>
      <c r="OAT149" s="609"/>
      <c r="OAU149" s="609"/>
      <c r="OAV149" s="609"/>
      <c r="OAW149" s="609"/>
      <c r="OAX149" s="609"/>
      <c r="OAY149" s="609"/>
      <c r="OAZ149" s="609"/>
      <c r="OBA149" s="609"/>
      <c r="OBB149" s="609"/>
      <c r="OBC149" s="609"/>
      <c r="OBD149" s="609"/>
      <c r="OBE149" s="609"/>
      <c r="OBF149" s="609"/>
      <c r="OBG149" s="609"/>
      <c r="OBH149" s="609"/>
      <c r="OBI149" s="609"/>
      <c r="OBJ149" s="609"/>
      <c r="OBK149" s="609"/>
      <c r="OBL149" s="609"/>
      <c r="OBM149" s="609"/>
      <c r="OBN149" s="609"/>
      <c r="OBO149" s="609"/>
      <c r="OBP149" s="609"/>
      <c r="OBQ149" s="609"/>
      <c r="OBR149" s="609"/>
      <c r="OBS149" s="609"/>
      <c r="OBT149" s="609"/>
      <c r="OBU149" s="609"/>
      <c r="OBV149" s="609"/>
      <c r="OBW149" s="609"/>
      <c r="OBX149" s="609"/>
      <c r="OBY149" s="609"/>
      <c r="OBZ149" s="609"/>
      <c r="OCA149" s="609"/>
      <c r="OCB149" s="609"/>
      <c r="OCC149" s="609"/>
      <c r="OCD149" s="609"/>
      <c r="OCE149" s="609"/>
      <c r="OCF149" s="609"/>
      <c r="OCG149" s="609"/>
      <c r="OCH149" s="609"/>
      <c r="OCI149" s="609"/>
      <c r="OCJ149" s="609"/>
      <c r="OCK149" s="609"/>
      <c r="OCL149" s="609"/>
      <c r="OCM149" s="609"/>
      <c r="OCN149" s="609"/>
      <c r="OCO149" s="609"/>
      <c r="OCP149" s="609"/>
      <c r="OCQ149" s="609"/>
      <c r="OCR149" s="609"/>
      <c r="OCS149" s="609"/>
      <c r="OCT149" s="609"/>
      <c r="OCU149" s="609"/>
      <c r="OCV149" s="609"/>
      <c r="OCW149" s="609"/>
      <c r="OCX149" s="609"/>
      <c r="OCY149" s="609"/>
      <c r="OCZ149" s="609"/>
      <c r="ODA149" s="609"/>
      <c r="ODB149" s="609"/>
      <c r="ODC149" s="609"/>
      <c r="ODD149" s="609"/>
      <c r="ODE149" s="609"/>
      <c r="ODF149" s="609"/>
      <c r="ODG149" s="609"/>
      <c r="ODH149" s="609"/>
      <c r="ODI149" s="609"/>
      <c r="ODJ149" s="609"/>
      <c r="ODK149" s="609"/>
      <c r="ODL149" s="609"/>
      <c r="ODM149" s="609"/>
      <c r="ODN149" s="609"/>
      <c r="ODO149" s="609"/>
      <c r="ODP149" s="609"/>
      <c r="ODQ149" s="609"/>
      <c r="ODR149" s="609"/>
      <c r="ODS149" s="609"/>
      <c r="ODT149" s="609"/>
      <c r="ODU149" s="609"/>
      <c r="ODV149" s="609"/>
      <c r="ODW149" s="609"/>
      <c r="ODX149" s="609"/>
      <c r="ODY149" s="609"/>
      <c r="ODZ149" s="609"/>
      <c r="OEA149" s="609"/>
      <c r="OEB149" s="609"/>
      <c r="OEC149" s="609"/>
      <c r="OED149" s="609"/>
      <c r="OEE149" s="609"/>
      <c r="OEF149" s="609"/>
      <c r="OEG149" s="609"/>
      <c r="OEH149" s="609"/>
      <c r="OEI149" s="609"/>
      <c r="OEJ149" s="609"/>
      <c r="OEK149" s="609"/>
      <c r="OEL149" s="609"/>
      <c r="OEM149" s="609"/>
      <c r="OEN149" s="609"/>
      <c r="OEO149" s="609"/>
      <c r="OEP149" s="609"/>
      <c r="OEQ149" s="609"/>
      <c r="OER149" s="609"/>
      <c r="OES149" s="609"/>
      <c r="OET149" s="609"/>
      <c r="OEU149" s="609"/>
      <c r="OEV149" s="609"/>
      <c r="OEW149" s="609"/>
      <c r="OEX149" s="609"/>
      <c r="OEY149" s="609"/>
      <c r="OEZ149" s="609"/>
      <c r="OFA149" s="609"/>
      <c r="OFB149" s="609"/>
      <c r="OFC149" s="609"/>
      <c r="OFD149" s="609"/>
      <c r="OFE149" s="609"/>
      <c r="OFF149" s="609"/>
      <c r="OFG149" s="609"/>
      <c r="OFH149" s="609"/>
      <c r="OFI149" s="609"/>
      <c r="OFJ149" s="609"/>
      <c r="OFK149" s="609"/>
      <c r="OFL149" s="609"/>
      <c r="OFM149" s="609"/>
      <c r="OFN149" s="609"/>
      <c r="OFO149" s="609"/>
      <c r="OFP149" s="609"/>
      <c r="OFQ149" s="609"/>
      <c r="OFR149" s="609"/>
      <c r="OFS149" s="609"/>
      <c r="OFT149" s="609"/>
      <c r="OFU149" s="609"/>
      <c r="OFV149" s="609"/>
      <c r="OFW149" s="609"/>
      <c r="OFX149" s="609"/>
      <c r="OFY149" s="609"/>
      <c r="OFZ149" s="609"/>
      <c r="OGA149" s="609"/>
      <c r="OGB149" s="609"/>
      <c r="OGC149" s="609"/>
      <c r="OGD149" s="609"/>
      <c r="OGE149" s="609"/>
      <c r="OGF149" s="609"/>
      <c r="OGG149" s="609"/>
      <c r="OGH149" s="609"/>
      <c r="OGI149" s="609"/>
      <c r="OGJ149" s="609"/>
      <c r="OGK149" s="609"/>
      <c r="OGL149" s="609"/>
      <c r="OGM149" s="609"/>
      <c r="OGN149" s="609"/>
      <c r="OGO149" s="609"/>
      <c r="OGP149" s="609"/>
      <c r="OGQ149" s="609"/>
      <c r="OGR149" s="609"/>
      <c r="OGS149" s="609"/>
      <c r="OGT149" s="609"/>
      <c r="OGU149" s="609"/>
      <c r="OGV149" s="609"/>
      <c r="OGW149" s="609"/>
      <c r="OGX149" s="609"/>
      <c r="OGY149" s="609"/>
      <c r="OGZ149" s="609"/>
      <c r="OHA149" s="609"/>
      <c r="OHB149" s="609"/>
      <c r="OHC149" s="609"/>
      <c r="OHD149" s="609"/>
      <c r="OHE149" s="609"/>
      <c r="OHF149" s="609"/>
      <c r="OHG149" s="609"/>
      <c r="OHH149" s="609"/>
      <c r="OHI149" s="609"/>
      <c r="OHJ149" s="609"/>
      <c r="OHK149" s="609"/>
      <c r="OHL149" s="609"/>
      <c r="OHM149" s="609"/>
      <c r="OHN149" s="609"/>
      <c r="OHO149" s="609"/>
      <c r="OHP149" s="609"/>
      <c r="OHQ149" s="609"/>
      <c r="OHR149" s="609"/>
      <c r="OHS149" s="609"/>
      <c r="OHT149" s="609"/>
      <c r="OHU149" s="609"/>
      <c r="OHV149" s="609"/>
      <c r="OHW149" s="609"/>
      <c r="OHX149" s="609"/>
      <c r="OHY149" s="609"/>
      <c r="OHZ149" s="609"/>
      <c r="OIA149" s="609"/>
      <c r="OIB149" s="609"/>
      <c r="OIC149" s="609"/>
      <c r="OID149" s="609"/>
      <c r="OIE149" s="609"/>
      <c r="OIF149" s="609"/>
      <c r="OIG149" s="609"/>
      <c r="OIH149" s="609"/>
      <c r="OII149" s="609"/>
      <c r="OIJ149" s="609"/>
      <c r="OIK149" s="609"/>
      <c r="OIL149" s="609"/>
      <c r="OIM149" s="609"/>
      <c r="OIN149" s="609"/>
      <c r="OIO149" s="609"/>
      <c r="OIP149" s="609"/>
      <c r="OIQ149" s="609"/>
      <c r="OIR149" s="609"/>
      <c r="OIS149" s="609"/>
      <c r="OIT149" s="609"/>
      <c r="OIU149" s="609"/>
      <c r="OIV149" s="609"/>
      <c r="OIW149" s="609"/>
      <c r="OIX149" s="609"/>
      <c r="OIY149" s="609"/>
      <c r="OIZ149" s="609"/>
      <c r="OJA149" s="609"/>
      <c r="OJB149" s="609"/>
      <c r="OJC149" s="609"/>
      <c r="OJD149" s="609"/>
      <c r="OJE149" s="609"/>
      <c r="OJF149" s="609"/>
      <c r="OJG149" s="609"/>
      <c r="OJH149" s="609"/>
      <c r="OJI149" s="609"/>
      <c r="OJJ149" s="609"/>
      <c r="OJK149" s="609"/>
      <c r="OJL149" s="609"/>
      <c r="OJM149" s="609"/>
      <c r="OJN149" s="609"/>
      <c r="OJO149" s="609"/>
      <c r="OJP149" s="609"/>
      <c r="OJQ149" s="609"/>
      <c r="OJR149" s="609"/>
      <c r="OJS149" s="609"/>
      <c r="OJT149" s="609"/>
      <c r="OJU149" s="609"/>
      <c r="OJV149" s="609"/>
      <c r="OJW149" s="609"/>
      <c r="OJX149" s="609"/>
      <c r="OJY149" s="609"/>
      <c r="OJZ149" s="609"/>
      <c r="OKA149" s="609"/>
      <c r="OKB149" s="609"/>
      <c r="OKC149" s="609"/>
      <c r="OKD149" s="609"/>
      <c r="OKE149" s="609"/>
      <c r="OKF149" s="609"/>
      <c r="OKG149" s="609"/>
      <c r="OKH149" s="609"/>
      <c r="OKI149" s="609"/>
      <c r="OKJ149" s="609"/>
      <c r="OKK149" s="609"/>
      <c r="OKL149" s="609"/>
      <c r="OKM149" s="609"/>
      <c r="OKN149" s="609"/>
      <c r="OKO149" s="609"/>
      <c r="OKP149" s="609"/>
      <c r="OKQ149" s="609"/>
      <c r="OKR149" s="609"/>
      <c r="OKS149" s="609"/>
      <c r="OKT149" s="609"/>
      <c r="OKU149" s="609"/>
      <c r="OKV149" s="609"/>
      <c r="OKW149" s="609"/>
      <c r="OKX149" s="609"/>
      <c r="OKY149" s="609"/>
      <c r="OKZ149" s="609"/>
      <c r="OLA149" s="609"/>
      <c r="OLB149" s="609"/>
      <c r="OLC149" s="609"/>
      <c r="OLD149" s="609"/>
      <c r="OLE149" s="609"/>
      <c r="OLF149" s="609"/>
      <c r="OLG149" s="609"/>
      <c r="OLH149" s="609"/>
      <c r="OLI149" s="609"/>
      <c r="OLJ149" s="609"/>
      <c r="OLK149" s="609"/>
      <c r="OLL149" s="609"/>
      <c r="OLM149" s="609"/>
      <c r="OLN149" s="609"/>
      <c r="OLO149" s="609"/>
      <c r="OLP149" s="609"/>
      <c r="OLQ149" s="609"/>
      <c r="OLR149" s="609"/>
      <c r="OLS149" s="609"/>
      <c r="OLT149" s="609"/>
      <c r="OLU149" s="609"/>
      <c r="OLV149" s="609"/>
      <c r="OLW149" s="609"/>
      <c r="OLX149" s="609"/>
      <c r="OLY149" s="609"/>
      <c r="OLZ149" s="609"/>
      <c r="OMA149" s="609"/>
      <c r="OMB149" s="609"/>
      <c r="OMC149" s="609"/>
      <c r="OMD149" s="609"/>
      <c r="OME149" s="609"/>
      <c r="OMF149" s="609"/>
      <c r="OMG149" s="609"/>
      <c r="OMH149" s="609"/>
      <c r="OMI149" s="609"/>
      <c r="OMJ149" s="609"/>
      <c r="OMK149" s="609"/>
      <c r="OML149" s="609"/>
      <c r="OMM149" s="609"/>
      <c r="OMN149" s="609"/>
      <c r="OMO149" s="609"/>
      <c r="OMP149" s="609"/>
      <c r="OMQ149" s="609"/>
      <c r="OMR149" s="609"/>
      <c r="OMS149" s="609"/>
      <c r="OMT149" s="609"/>
      <c r="OMU149" s="609"/>
      <c r="OMV149" s="609"/>
      <c r="OMW149" s="609"/>
      <c r="OMX149" s="609"/>
      <c r="OMY149" s="609"/>
      <c r="OMZ149" s="609"/>
      <c r="ONA149" s="609"/>
      <c r="ONB149" s="609"/>
      <c r="ONC149" s="609"/>
      <c r="OND149" s="609"/>
      <c r="ONE149" s="609"/>
      <c r="ONF149" s="609"/>
      <c r="ONG149" s="609"/>
      <c r="ONH149" s="609"/>
      <c r="ONI149" s="609"/>
      <c r="ONJ149" s="609"/>
      <c r="ONK149" s="609"/>
      <c r="ONL149" s="609"/>
      <c r="ONM149" s="609"/>
      <c r="ONN149" s="609"/>
      <c r="ONO149" s="609"/>
      <c r="ONP149" s="609"/>
      <c r="ONQ149" s="609"/>
      <c r="ONR149" s="609"/>
      <c r="ONS149" s="609"/>
      <c r="ONT149" s="609"/>
      <c r="ONU149" s="609"/>
      <c r="ONV149" s="609"/>
      <c r="ONW149" s="609"/>
      <c r="ONX149" s="609"/>
      <c r="ONY149" s="609"/>
      <c r="ONZ149" s="609"/>
      <c r="OOA149" s="609"/>
      <c r="OOB149" s="609"/>
      <c r="OOC149" s="609"/>
      <c r="OOD149" s="609"/>
      <c r="OOE149" s="609"/>
      <c r="OOF149" s="609"/>
      <c r="OOG149" s="609"/>
      <c r="OOH149" s="609"/>
      <c r="OOI149" s="609"/>
      <c r="OOJ149" s="609"/>
      <c r="OOK149" s="609"/>
      <c r="OOL149" s="609"/>
      <c r="OOM149" s="609"/>
      <c r="OON149" s="609"/>
      <c r="OOO149" s="609"/>
      <c r="OOP149" s="609"/>
      <c r="OOQ149" s="609"/>
      <c r="OOR149" s="609"/>
      <c r="OOS149" s="609"/>
      <c r="OOT149" s="609"/>
      <c r="OOU149" s="609"/>
      <c r="OOV149" s="609"/>
      <c r="OOW149" s="609"/>
      <c r="OOX149" s="609"/>
      <c r="OOY149" s="609"/>
      <c r="OOZ149" s="609"/>
      <c r="OPA149" s="609"/>
      <c r="OPB149" s="609"/>
      <c r="OPC149" s="609"/>
      <c r="OPD149" s="609"/>
      <c r="OPE149" s="609"/>
      <c r="OPF149" s="609"/>
      <c r="OPG149" s="609"/>
      <c r="OPH149" s="609"/>
      <c r="OPI149" s="609"/>
      <c r="OPJ149" s="609"/>
      <c r="OPK149" s="609"/>
      <c r="OPL149" s="609"/>
      <c r="OPM149" s="609"/>
      <c r="OPN149" s="609"/>
      <c r="OPO149" s="609"/>
      <c r="OPP149" s="609"/>
      <c r="OPQ149" s="609"/>
      <c r="OPR149" s="609"/>
      <c r="OPS149" s="609"/>
      <c r="OPT149" s="609"/>
      <c r="OPU149" s="609"/>
      <c r="OPV149" s="609"/>
      <c r="OPW149" s="609"/>
      <c r="OPX149" s="609"/>
      <c r="OPY149" s="609"/>
      <c r="OPZ149" s="609"/>
      <c r="OQA149" s="609"/>
      <c r="OQB149" s="609"/>
      <c r="OQC149" s="609"/>
      <c r="OQD149" s="609"/>
      <c r="OQE149" s="609"/>
      <c r="OQF149" s="609"/>
      <c r="OQG149" s="609"/>
      <c r="OQH149" s="609"/>
      <c r="OQI149" s="609"/>
      <c r="OQJ149" s="609"/>
      <c r="OQK149" s="609"/>
      <c r="OQL149" s="609"/>
      <c r="OQM149" s="609"/>
      <c r="OQN149" s="609"/>
      <c r="OQO149" s="609"/>
      <c r="OQP149" s="609"/>
      <c r="OQQ149" s="609"/>
      <c r="OQR149" s="609"/>
      <c r="OQS149" s="609"/>
      <c r="OQT149" s="609"/>
      <c r="OQU149" s="609"/>
      <c r="OQV149" s="609"/>
      <c r="OQW149" s="609"/>
      <c r="OQX149" s="609"/>
      <c r="OQY149" s="609"/>
      <c r="OQZ149" s="609"/>
      <c r="ORA149" s="609"/>
      <c r="ORB149" s="609"/>
      <c r="ORC149" s="609"/>
      <c r="ORD149" s="609"/>
      <c r="ORE149" s="609"/>
      <c r="ORF149" s="609"/>
      <c r="ORG149" s="609"/>
      <c r="ORH149" s="609"/>
      <c r="ORI149" s="609"/>
      <c r="ORJ149" s="609"/>
      <c r="ORK149" s="609"/>
      <c r="ORL149" s="609"/>
      <c r="ORM149" s="609"/>
      <c r="ORN149" s="609"/>
      <c r="ORO149" s="609"/>
      <c r="ORP149" s="609"/>
      <c r="ORQ149" s="609"/>
      <c r="ORR149" s="609"/>
      <c r="ORS149" s="609"/>
      <c r="ORT149" s="609"/>
      <c r="ORU149" s="609"/>
      <c r="ORV149" s="609"/>
      <c r="ORW149" s="609"/>
      <c r="ORX149" s="609"/>
      <c r="ORY149" s="609"/>
      <c r="ORZ149" s="609"/>
      <c r="OSA149" s="609"/>
      <c r="OSB149" s="609"/>
      <c r="OSC149" s="609"/>
      <c r="OSD149" s="609"/>
      <c r="OSE149" s="609"/>
      <c r="OSF149" s="609"/>
      <c r="OSG149" s="609"/>
      <c r="OSH149" s="609"/>
      <c r="OSI149" s="609"/>
      <c r="OSJ149" s="609"/>
      <c r="OSK149" s="609"/>
      <c r="OSL149" s="609"/>
      <c r="OSM149" s="609"/>
      <c r="OSN149" s="609"/>
      <c r="OSO149" s="609"/>
      <c r="OSP149" s="609"/>
      <c r="OSQ149" s="609"/>
      <c r="OSR149" s="609"/>
      <c r="OSS149" s="609"/>
      <c r="OST149" s="609"/>
      <c r="OSU149" s="609"/>
      <c r="OSV149" s="609"/>
      <c r="OSW149" s="609"/>
      <c r="OSX149" s="609"/>
      <c r="OSY149" s="609"/>
      <c r="OSZ149" s="609"/>
      <c r="OTA149" s="609"/>
      <c r="OTB149" s="609"/>
      <c r="OTC149" s="609"/>
      <c r="OTD149" s="609"/>
      <c r="OTE149" s="609"/>
      <c r="OTF149" s="609"/>
      <c r="OTG149" s="609"/>
      <c r="OTH149" s="609"/>
      <c r="OTI149" s="609"/>
      <c r="OTJ149" s="609"/>
      <c r="OTK149" s="609"/>
      <c r="OTL149" s="609"/>
      <c r="OTM149" s="609"/>
      <c r="OTN149" s="609"/>
      <c r="OTO149" s="609"/>
      <c r="OTP149" s="609"/>
      <c r="OTQ149" s="609"/>
      <c r="OTR149" s="609"/>
      <c r="OTS149" s="609"/>
      <c r="OTT149" s="609"/>
      <c r="OTU149" s="609"/>
      <c r="OTV149" s="609"/>
      <c r="OTW149" s="609"/>
      <c r="OTX149" s="609"/>
      <c r="OTY149" s="609"/>
      <c r="OTZ149" s="609"/>
      <c r="OUA149" s="609"/>
      <c r="OUB149" s="609"/>
      <c r="OUC149" s="609"/>
      <c r="OUD149" s="609"/>
      <c r="OUE149" s="609"/>
      <c r="OUF149" s="609"/>
      <c r="OUG149" s="609"/>
      <c r="OUH149" s="609"/>
      <c r="OUI149" s="609"/>
      <c r="OUJ149" s="609"/>
      <c r="OUK149" s="609"/>
      <c r="OUL149" s="609"/>
      <c r="OUM149" s="609"/>
      <c r="OUN149" s="609"/>
      <c r="OUO149" s="609"/>
      <c r="OUP149" s="609"/>
      <c r="OUQ149" s="609"/>
      <c r="OUR149" s="609"/>
      <c r="OUS149" s="609"/>
      <c r="OUT149" s="609"/>
      <c r="OUU149" s="609"/>
      <c r="OUV149" s="609"/>
      <c r="OUW149" s="609"/>
      <c r="OUX149" s="609"/>
      <c r="OUY149" s="609"/>
      <c r="OUZ149" s="609"/>
      <c r="OVA149" s="609"/>
      <c r="OVB149" s="609"/>
      <c r="OVC149" s="609"/>
      <c r="OVD149" s="609"/>
      <c r="OVE149" s="609"/>
      <c r="OVF149" s="609"/>
      <c r="OVG149" s="609"/>
      <c r="OVH149" s="609"/>
      <c r="OVI149" s="609"/>
      <c r="OVJ149" s="609"/>
      <c r="OVK149" s="609"/>
      <c r="OVL149" s="609"/>
      <c r="OVM149" s="609"/>
      <c r="OVN149" s="609"/>
      <c r="OVO149" s="609"/>
      <c r="OVP149" s="609"/>
      <c r="OVQ149" s="609"/>
      <c r="OVR149" s="609"/>
      <c r="OVS149" s="609"/>
      <c r="OVT149" s="609"/>
      <c r="OVU149" s="609"/>
      <c r="OVV149" s="609"/>
      <c r="OVW149" s="609"/>
      <c r="OVX149" s="609"/>
      <c r="OVY149" s="609"/>
      <c r="OVZ149" s="609"/>
      <c r="OWA149" s="609"/>
      <c r="OWB149" s="609"/>
      <c r="OWC149" s="609"/>
      <c r="OWD149" s="609"/>
      <c r="OWE149" s="609"/>
      <c r="OWF149" s="609"/>
      <c r="OWG149" s="609"/>
      <c r="OWH149" s="609"/>
      <c r="OWI149" s="609"/>
      <c r="OWJ149" s="609"/>
      <c r="OWK149" s="609"/>
      <c r="OWL149" s="609"/>
      <c r="OWM149" s="609"/>
      <c r="OWN149" s="609"/>
      <c r="OWO149" s="609"/>
      <c r="OWP149" s="609"/>
      <c r="OWQ149" s="609"/>
      <c r="OWR149" s="609"/>
      <c r="OWS149" s="609"/>
      <c r="OWT149" s="609"/>
      <c r="OWU149" s="609"/>
      <c r="OWV149" s="609"/>
      <c r="OWW149" s="609"/>
      <c r="OWX149" s="609"/>
      <c r="OWY149" s="609"/>
      <c r="OWZ149" s="609"/>
      <c r="OXA149" s="609"/>
      <c r="OXB149" s="609"/>
      <c r="OXC149" s="609"/>
      <c r="OXD149" s="609"/>
      <c r="OXE149" s="609"/>
      <c r="OXF149" s="609"/>
      <c r="OXG149" s="609"/>
      <c r="OXH149" s="609"/>
      <c r="OXI149" s="609"/>
      <c r="OXJ149" s="609"/>
      <c r="OXK149" s="609"/>
      <c r="OXL149" s="609"/>
      <c r="OXM149" s="609"/>
      <c r="OXN149" s="609"/>
      <c r="OXO149" s="609"/>
      <c r="OXP149" s="609"/>
      <c r="OXQ149" s="609"/>
      <c r="OXR149" s="609"/>
      <c r="OXS149" s="609"/>
      <c r="OXT149" s="609"/>
      <c r="OXU149" s="609"/>
      <c r="OXV149" s="609"/>
      <c r="OXW149" s="609"/>
      <c r="OXX149" s="609"/>
      <c r="OXY149" s="609"/>
      <c r="OXZ149" s="609"/>
      <c r="OYA149" s="609"/>
      <c r="OYB149" s="609"/>
      <c r="OYC149" s="609"/>
      <c r="OYD149" s="609"/>
      <c r="OYE149" s="609"/>
      <c r="OYF149" s="609"/>
      <c r="OYG149" s="609"/>
      <c r="OYH149" s="609"/>
      <c r="OYI149" s="609"/>
      <c r="OYJ149" s="609"/>
      <c r="OYK149" s="609"/>
      <c r="OYL149" s="609"/>
      <c r="OYM149" s="609"/>
      <c r="OYN149" s="609"/>
      <c r="OYO149" s="609"/>
      <c r="OYP149" s="609"/>
      <c r="OYQ149" s="609"/>
      <c r="OYR149" s="609"/>
      <c r="OYS149" s="609"/>
      <c r="OYT149" s="609"/>
      <c r="OYU149" s="609"/>
      <c r="OYV149" s="609"/>
      <c r="OYW149" s="609"/>
      <c r="OYX149" s="609"/>
      <c r="OYY149" s="609"/>
      <c r="OYZ149" s="609"/>
      <c r="OZA149" s="609"/>
      <c r="OZB149" s="609"/>
      <c r="OZC149" s="609"/>
      <c r="OZD149" s="609"/>
      <c r="OZE149" s="609"/>
      <c r="OZF149" s="609"/>
      <c r="OZG149" s="609"/>
      <c r="OZH149" s="609"/>
      <c r="OZI149" s="609"/>
      <c r="OZJ149" s="609"/>
      <c r="OZK149" s="609"/>
      <c r="OZL149" s="609"/>
      <c r="OZM149" s="609"/>
      <c r="OZN149" s="609"/>
      <c r="OZO149" s="609"/>
      <c r="OZP149" s="609"/>
      <c r="OZQ149" s="609"/>
      <c r="OZR149" s="609"/>
      <c r="OZS149" s="609"/>
      <c r="OZT149" s="609"/>
      <c r="OZU149" s="609"/>
      <c r="OZV149" s="609"/>
      <c r="OZW149" s="609"/>
      <c r="OZX149" s="609"/>
      <c r="OZY149" s="609"/>
      <c r="OZZ149" s="609"/>
      <c r="PAA149" s="609"/>
      <c r="PAB149" s="609"/>
      <c r="PAC149" s="609"/>
      <c r="PAD149" s="609"/>
      <c r="PAE149" s="609"/>
      <c r="PAF149" s="609"/>
      <c r="PAG149" s="609"/>
      <c r="PAH149" s="609"/>
      <c r="PAI149" s="609"/>
      <c r="PAJ149" s="609"/>
      <c r="PAK149" s="609"/>
      <c r="PAL149" s="609"/>
      <c r="PAM149" s="609"/>
      <c r="PAN149" s="609"/>
      <c r="PAO149" s="609"/>
      <c r="PAP149" s="609"/>
      <c r="PAQ149" s="609"/>
      <c r="PAR149" s="609"/>
      <c r="PAS149" s="609"/>
      <c r="PAT149" s="609"/>
      <c r="PAU149" s="609"/>
      <c r="PAV149" s="609"/>
      <c r="PAW149" s="609"/>
      <c r="PAX149" s="609"/>
      <c r="PAY149" s="609"/>
      <c r="PAZ149" s="609"/>
      <c r="PBA149" s="609"/>
      <c r="PBB149" s="609"/>
      <c r="PBC149" s="609"/>
      <c r="PBD149" s="609"/>
      <c r="PBE149" s="609"/>
      <c r="PBF149" s="609"/>
      <c r="PBG149" s="609"/>
      <c r="PBH149" s="609"/>
      <c r="PBI149" s="609"/>
      <c r="PBJ149" s="609"/>
      <c r="PBK149" s="609"/>
      <c r="PBL149" s="609"/>
      <c r="PBM149" s="609"/>
      <c r="PBN149" s="609"/>
      <c r="PBO149" s="609"/>
      <c r="PBP149" s="609"/>
      <c r="PBQ149" s="609"/>
      <c r="PBR149" s="609"/>
      <c r="PBS149" s="609"/>
      <c r="PBT149" s="609"/>
      <c r="PBU149" s="609"/>
      <c r="PBV149" s="609"/>
      <c r="PBW149" s="609"/>
      <c r="PBX149" s="609"/>
      <c r="PBY149" s="609"/>
      <c r="PBZ149" s="609"/>
      <c r="PCA149" s="609"/>
      <c r="PCB149" s="609"/>
      <c r="PCC149" s="609"/>
      <c r="PCD149" s="609"/>
      <c r="PCE149" s="609"/>
      <c r="PCF149" s="609"/>
      <c r="PCG149" s="609"/>
      <c r="PCH149" s="609"/>
      <c r="PCI149" s="609"/>
      <c r="PCJ149" s="609"/>
      <c r="PCK149" s="609"/>
      <c r="PCL149" s="609"/>
      <c r="PCM149" s="609"/>
      <c r="PCN149" s="609"/>
      <c r="PCO149" s="609"/>
      <c r="PCP149" s="609"/>
      <c r="PCQ149" s="609"/>
      <c r="PCR149" s="609"/>
      <c r="PCS149" s="609"/>
      <c r="PCT149" s="609"/>
      <c r="PCU149" s="609"/>
      <c r="PCV149" s="609"/>
      <c r="PCW149" s="609"/>
      <c r="PCX149" s="609"/>
      <c r="PCY149" s="609"/>
      <c r="PCZ149" s="609"/>
      <c r="PDA149" s="609"/>
      <c r="PDB149" s="609"/>
      <c r="PDC149" s="609"/>
      <c r="PDD149" s="609"/>
      <c r="PDE149" s="609"/>
      <c r="PDF149" s="609"/>
      <c r="PDG149" s="609"/>
      <c r="PDH149" s="609"/>
      <c r="PDI149" s="609"/>
      <c r="PDJ149" s="609"/>
      <c r="PDK149" s="609"/>
      <c r="PDL149" s="609"/>
      <c r="PDM149" s="609"/>
      <c r="PDN149" s="609"/>
      <c r="PDO149" s="609"/>
      <c r="PDP149" s="609"/>
      <c r="PDQ149" s="609"/>
      <c r="PDR149" s="609"/>
      <c r="PDS149" s="609"/>
      <c r="PDT149" s="609"/>
      <c r="PDU149" s="609"/>
      <c r="PDV149" s="609"/>
      <c r="PDW149" s="609"/>
      <c r="PDX149" s="609"/>
      <c r="PDY149" s="609"/>
      <c r="PDZ149" s="609"/>
      <c r="PEA149" s="609"/>
      <c r="PEB149" s="609"/>
      <c r="PEC149" s="609"/>
      <c r="PED149" s="609"/>
      <c r="PEE149" s="609"/>
      <c r="PEF149" s="609"/>
      <c r="PEG149" s="609"/>
      <c r="PEH149" s="609"/>
      <c r="PEI149" s="609"/>
      <c r="PEJ149" s="609"/>
      <c r="PEK149" s="609"/>
      <c r="PEL149" s="609"/>
      <c r="PEM149" s="609"/>
      <c r="PEN149" s="609"/>
      <c r="PEO149" s="609"/>
      <c r="PEP149" s="609"/>
      <c r="PEQ149" s="609"/>
      <c r="PER149" s="609"/>
      <c r="PES149" s="609"/>
      <c r="PET149" s="609"/>
      <c r="PEU149" s="609"/>
      <c r="PEV149" s="609"/>
      <c r="PEW149" s="609"/>
      <c r="PEX149" s="609"/>
      <c r="PEY149" s="609"/>
      <c r="PEZ149" s="609"/>
      <c r="PFA149" s="609"/>
      <c r="PFB149" s="609"/>
      <c r="PFC149" s="609"/>
      <c r="PFD149" s="609"/>
      <c r="PFE149" s="609"/>
      <c r="PFF149" s="609"/>
      <c r="PFG149" s="609"/>
      <c r="PFH149" s="609"/>
      <c r="PFI149" s="609"/>
      <c r="PFJ149" s="609"/>
      <c r="PFK149" s="609"/>
      <c r="PFL149" s="609"/>
      <c r="PFM149" s="609"/>
      <c r="PFN149" s="609"/>
      <c r="PFO149" s="609"/>
      <c r="PFP149" s="609"/>
      <c r="PFQ149" s="609"/>
      <c r="PFR149" s="609"/>
      <c r="PFS149" s="609"/>
      <c r="PFT149" s="609"/>
      <c r="PFU149" s="609"/>
      <c r="PFV149" s="609"/>
      <c r="PFW149" s="609"/>
      <c r="PFX149" s="609"/>
      <c r="PFY149" s="609"/>
      <c r="PFZ149" s="609"/>
      <c r="PGA149" s="609"/>
      <c r="PGB149" s="609"/>
      <c r="PGC149" s="609"/>
      <c r="PGD149" s="609"/>
      <c r="PGE149" s="609"/>
      <c r="PGF149" s="609"/>
      <c r="PGG149" s="609"/>
      <c r="PGH149" s="609"/>
      <c r="PGI149" s="609"/>
      <c r="PGJ149" s="609"/>
      <c r="PGK149" s="609"/>
      <c r="PGL149" s="609"/>
      <c r="PGM149" s="609"/>
      <c r="PGN149" s="609"/>
      <c r="PGO149" s="609"/>
      <c r="PGP149" s="609"/>
      <c r="PGQ149" s="609"/>
      <c r="PGR149" s="609"/>
      <c r="PGS149" s="609"/>
      <c r="PGT149" s="609"/>
      <c r="PGU149" s="609"/>
      <c r="PGV149" s="609"/>
      <c r="PGW149" s="609"/>
      <c r="PGX149" s="609"/>
      <c r="PGY149" s="609"/>
      <c r="PGZ149" s="609"/>
      <c r="PHA149" s="609"/>
      <c r="PHB149" s="609"/>
      <c r="PHC149" s="609"/>
      <c r="PHD149" s="609"/>
      <c r="PHE149" s="609"/>
      <c r="PHF149" s="609"/>
      <c r="PHG149" s="609"/>
      <c r="PHH149" s="609"/>
      <c r="PHI149" s="609"/>
      <c r="PHJ149" s="609"/>
      <c r="PHK149" s="609"/>
      <c r="PHL149" s="609"/>
      <c r="PHM149" s="609"/>
      <c r="PHN149" s="609"/>
      <c r="PHO149" s="609"/>
      <c r="PHP149" s="609"/>
      <c r="PHQ149" s="609"/>
      <c r="PHR149" s="609"/>
      <c r="PHS149" s="609"/>
      <c r="PHT149" s="609"/>
      <c r="PHU149" s="609"/>
      <c r="PHV149" s="609"/>
      <c r="PHW149" s="609"/>
      <c r="PHX149" s="609"/>
      <c r="PHY149" s="609"/>
      <c r="PHZ149" s="609"/>
      <c r="PIA149" s="609"/>
      <c r="PIB149" s="609"/>
      <c r="PIC149" s="609"/>
      <c r="PID149" s="609"/>
      <c r="PIE149" s="609"/>
      <c r="PIF149" s="609"/>
      <c r="PIG149" s="609"/>
      <c r="PIH149" s="609"/>
      <c r="PII149" s="609"/>
      <c r="PIJ149" s="609"/>
      <c r="PIK149" s="609"/>
      <c r="PIL149" s="609"/>
      <c r="PIM149" s="609"/>
      <c r="PIN149" s="609"/>
      <c r="PIO149" s="609"/>
      <c r="PIP149" s="609"/>
      <c r="PIQ149" s="609"/>
      <c r="PIR149" s="609"/>
      <c r="PIS149" s="609"/>
      <c r="PIT149" s="609"/>
      <c r="PIU149" s="609"/>
      <c r="PIV149" s="609"/>
      <c r="PIW149" s="609"/>
      <c r="PIX149" s="609"/>
      <c r="PIY149" s="609"/>
      <c r="PIZ149" s="609"/>
      <c r="PJA149" s="609"/>
      <c r="PJB149" s="609"/>
      <c r="PJC149" s="609"/>
      <c r="PJD149" s="609"/>
      <c r="PJE149" s="609"/>
      <c r="PJF149" s="609"/>
      <c r="PJG149" s="609"/>
      <c r="PJH149" s="609"/>
      <c r="PJI149" s="609"/>
      <c r="PJJ149" s="609"/>
      <c r="PJK149" s="609"/>
      <c r="PJL149" s="609"/>
      <c r="PJM149" s="609"/>
      <c r="PJN149" s="609"/>
      <c r="PJO149" s="609"/>
      <c r="PJP149" s="609"/>
      <c r="PJQ149" s="609"/>
      <c r="PJR149" s="609"/>
      <c r="PJS149" s="609"/>
      <c r="PJT149" s="609"/>
      <c r="PJU149" s="609"/>
      <c r="PJV149" s="609"/>
      <c r="PJW149" s="609"/>
      <c r="PJX149" s="609"/>
      <c r="PJY149" s="609"/>
      <c r="PJZ149" s="609"/>
      <c r="PKA149" s="609"/>
      <c r="PKB149" s="609"/>
      <c r="PKC149" s="609"/>
      <c r="PKD149" s="609"/>
      <c r="PKE149" s="609"/>
      <c r="PKF149" s="609"/>
      <c r="PKG149" s="609"/>
      <c r="PKH149" s="609"/>
      <c r="PKI149" s="609"/>
      <c r="PKJ149" s="609"/>
      <c r="PKK149" s="609"/>
      <c r="PKL149" s="609"/>
      <c r="PKM149" s="609"/>
      <c r="PKN149" s="609"/>
      <c r="PKO149" s="609"/>
      <c r="PKP149" s="609"/>
      <c r="PKQ149" s="609"/>
      <c r="PKR149" s="609"/>
      <c r="PKS149" s="609"/>
      <c r="PKT149" s="609"/>
      <c r="PKU149" s="609"/>
      <c r="PKV149" s="609"/>
      <c r="PKW149" s="609"/>
      <c r="PKX149" s="609"/>
      <c r="PKY149" s="609"/>
      <c r="PKZ149" s="609"/>
      <c r="PLA149" s="609"/>
      <c r="PLB149" s="609"/>
      <c r="PLC149" s="609"/>
      <c r="PLD149" s="609"/>
      <c r="PLE149" s="609"/>
      <c r="PLF149" s="609"/>
      <c r="PLG149" s="609"/>
      <c r="PLH149" s="609"/>
      <c r="PLI149" s="609"/>
      <c r="PLJ149" s="609"/>
      <c r="PLK149" s="609"/>
      <c r="PLL149" s="609"/>
      <c r="PLM149" s="609"/>
      <c r="PLN149" s="609"/>
      <c r="PLO149" s="609"/>
      <c r="PLP149" s="609"/>
      <c r="PLQ149" s="609"/>
      <c r="PLR149" s="609"/>
      <c r="PLS149" s="609"/>
      <c r="PLT149" s="609"/>
      <c r="PLU149" s="609"/>
      <c r="PLV149" s="609"/>
      <c r="PLW149" s="609"/>
      <c r="PLX149" s="609"/>
      <c r="PLY149" s="609"/>
      <c r="PLZ149" s="609"/>
      <c r="PMA149" s="609"/>
      <c r="PMB149" s="609"/>
      <c r="PMC149" s="609"/>
      <c r="PMD149" s="609"/>
      <c r="PME149" s="609"/>
      <c r="PMF149" s="609"/>
      <c r="PMG149" s="609"/>
      <c r="PMH149" s="609"/>
      <c r="PMI149" s="609"/>
      <c r="PMJ149" s="609"/>
      <c r="PMK149" s="609"/>
      <c r="PML149" s="609"/>
      <c r="PMM149" s="609"/>
      <c r="PMN149" s="609"/>
      <c r="PMO149" s="609"/>
      <c r="PMP149" s="609"/>
      <c r="PMQ149" s="609"/>
      <c r="PMR149" s="609"/>
      <c r="PMS149" s="609"/>
      <c r="PMT149" s="609"/>
      <c r="PMU149" s="609"/>
      <c r="PMV149" s="609"/>
      <c r="PMW149" s="609"/>
      <c r="PMX149" s="609"/>
      <c r="PMY149" s="609"/>
      <c r="PMZ149" s="609"/>
      <c r="PNA149" s="609"/>
      <c r="PNB149" s="609"/>
      <c r="PNC149" s="609"/>
      <c r="PND149" s="609"/>
      <c r="PNE149" s="609"/>
      <c r="PNF149" s="609"/>
      <c r="PNG149" s="609"/>
      <c r="PNH149" s="609"/>
      <c r="PNI149" s="609"/>
      <c r="PNJ149" s="609"/>
      <c r="PNK149" s="609"/>
      <c r="PNL149" s="609"/>
      <c r="PNM149" s="609"/>
      <c r="PNN149" s="609"/>
      <c r="PNO149" s="609"/>
      <c r="PNP149" s="609"/>
      <c r="PNQ149" s="609"/>
      <c r="PNR149" s="609"/>
      <c r="PNS149" s="609"/>
      <c r="PNT149" s="609"/>
      <c r="PNU149" s="609"/>
      <c r="PNV149" s="609"/>
      <c r="PNW149" s="609"/>
      <c r="PNX149" s="609"/>
      <c r="PNY149" s="609"/>
      <c r="PNZ149" s="609"/>
      <c r="POA149" s="609"/>
      <c r="POB149" s="609"/>
      <c r="POC149" s="609"/>
      <c r="POD149" s="609"/>
      <c r="POE149" s="609"/>
      <c r="POF149" s="609"/>
      <c r="POG149" s="609"/>
      <c r="POH149" s="609"/>
      <c r="POI149" s="609"/>
      <c r="POJ149" s="609"/>
      <c r="POK149" s="609"/>
      <c r="POL149" s="609"/>
      <c r="POM149" s="609"/>
      <c r="PON149" s="609"/>
      <c r="POO149" s="609"/>
      <c r="POP149" s="609"/>
      <c r="POQ149" s="609"/>
      <c r="POR149" s="609"/>
      <c r="POS149" s="609"/>
      <c r="POT149" s="609"/>
      <c r="POU149" s="609"/>
      <c r="POV149" s="609"/>
      <c r="POW149" s="609"/>
      <c r="POX149" s="609"/>
      <c r="POY149" s="609"/>
      <c r="POZ149" s="609"/>
      <c r="PPA149" s="609"/>
      <c r="PPB149" s="609"/>
      <c r="PPC149" s="609"/>
      <c r="PPD149" s="609"/>
      <c r="PPE149" s="609"/>
      <c r="PPF149" s="609"/>
      <c r="PPG149" s="609"/>
      <c r="PPH149" s="609"/>
      <c r="PPI149" s="609"/>
      <c r="PPJ149" s="609"/>
      <c r="PPK149" s="609"/>
      <c r="PPL149" s="609"/>
      <c r="PPM149" s="609"/>
      <c r="PPN149" s="609"/>
      <c r="PPO149" s="609"/>
      <c r="PPP149" s="609"/>
      <c r="PPQ149" s="609"/>
      <c r="PPR149" s="609"/>
      <c r="PPS149" s="609"/>
      <c r="PPT149" s="609"/>
      <c r="PPU149" s="609"/>
      <c r="PPV149" s="609"/>
      <c r="PPW149" s="609"/>
      <c r="PPX149" s="609"/>
      <c r="PPY149" s="609"/>
      <c r="PPZ149" s="609"/>
      <c r="PQA149" s="609"/>
      <c r="PQB149" s="609"/>
      <c r="PQC149" s="609"/>
      <c r="PQD149" s="609"/>
      <c r="PQE149" s="609"/>
      <c r="PQF149" s="609"/>
      <c r="PQG149" s="609"/>
      <c r="PQH149" s="609"/>
      <c r="PQI149" s="609"/>
      <c r="PQJ149" s="609"/>
      <c r="PQK149" s="609"/>
      <c r="PQL149" s="609"/>
      <c r="PQM149" s="609"/>
      <c r="PQN149" s="609"/>
      <c r="PQO149" s="609"/>
      <c r="PQP149" s="609"/>
      <c r="PQQ149" s="609"/>
      <c r="PQR149" s="609"/>
      <c r="PQS149" s="609"/>
      <c r="PQT149" s="609"/>
      <c r="PQU149" s="609"/>
      <c r="PQV149" s="609"/>
      <c r="PQW149" s="609"/>
      <c r="PQX149" s="609"/>
      <c r="PQY149" s="609"/>
      <c r="PQZ149" s="609"/>
      <c r="PRA149" s="609"/>
      <c r="PRB149" s="609"/>
      <c r="PRC149" s="609"/>
      <c r="PRD149" s="609"/>
      <c r="PRE149" s="609"/>
      <c r="PRF149" s="609"/>
      <c r="PRG149" s="609"/>
      <c r="PRH149" s="609"/>
      <c r="PRI149" s="609"/>
      <c r="PRJ149" s="609"/>
      <c r="PRK149" s="609"/>
      <c r="PRL149" s="609"/>
      <c r="PRM149" s="609"/>
      <c r="PRN149" s="609"/>
      <c r="PRO149" s="609"/>
      <c r="PRP149" s="609"/>
      <c r="PRQ149" s="609"/>
      <c r="PRR149" s="609"/>
      <c r="PRS149" s="609"/>
      <c r="PRT149" s="609"/>
      <c r="PRU149" s="609"/>
      <c r="PRV149" s="609"/>
      <c r="PRW149" s="609"/>
      <c r="PRX149" s="609"/>
      <c r="PRY149" s="609"/>
      <c r="PRZ149" s="609"/>
      <c r="PSA149" s="609"/>
      <c r="PSB149" s="609"/>
      <c r="PSC149" s="609"/>
      <c r="PSD149" s="609"/>
      <c r="PSE149" s="609"/>
      <c r="PSF149" s="609"/>
      <c r="PSG149" s="609"/>
      <c r="PSH149" s="609"/>
      <c r="PSI149" s="609"/>
      <c r="PSJ149" s="609"/>
      <c r="PSK149" s="609"/>
      <c r="PSL149" s="609"/>
      <c r="PSM149" s="609"/>
      <c r="PSN149" s="609"/>
      <c r="PSO149" s="609"/>
      <c r="PSP149" s="609"/>
      <c r="PSQ149" s="609"/>
      <c r="PSR149" s="609"/>
      <c r="PSS149" s="609"/>
      <c r="PST149" s="609"/>
      <c r="PSU149" s="609"/>
      <c r="PSV149" s="609"/>
      <c r="PSW149" s="609"/>
      <c r="PSX149" s="609"/>
      <c r="PSY149" s="609"/>
      <c r="PSZ149" s="609"/>
      <c r="PTA149" s="609"/>
      <c r="PTB149" s="609"/>
      <c r="PTC149" s="609"/>
      <c r="PTD149" s="609"/>
      <c r="PTE149" s="609"/>
      <c r="PTF149" s="609"/>
      <c r="PTG149" s="609"/>
      <c r="PTH149" s="609"/>
      <c r="PTI149" s="609"/>
      <c r="PTJ149" s="609"/>
      <c r="PTK149" s="609"/>
      <c r="PTL149" s="609"/>
      <c r="PTM149" s="609"/>
      <c r="PTN149" s="609"/>
      <c r="PTO149" s="609"/>
      <c r="PTP149" s="609"/>
      <c r="PTQ149" s="609"/>
      <c r="PTR149" s="609"/>
      <c r="PTS149" s="609"/>
      <c r="PTT149" s="609"/>
      <c r="PTU149" s="609"/>
      <c r="PTV149" s="609"/>
      <c r="PTW149" s="609"/>
      <c r="PTX149" s="609"/>
      <c r="PTY149" s="609"/>
      <c r="PTZ149" s="609"/>
      <c r="PUA149" s="609"/>
      <c r="PUB149" s="609"/>
      <c r="PUC149" s="609"/>
      <c r="PUD149" s="609"/>
      <c r="PUE149" s="609"/>
      <c r="PUF149" s="609"/>
      <c r="PUG149" s="609"/>
      <c r="PUH149" s="609"/>
      <c r="PUI149" s="609"/>
      <c r="PUJ149" s="609"/>
      <c r="PUK149" s="609"/>
      <c r="PUL149" s="609"/>
      <c r="PUM149" s="609"/>
      <c r="PUN149" s="609"/>
      <c r="PUO149" s="609"/>
      <c r="PUP149" s="609"/>
      <c r="PUQ149" s="609"/>
      <c r="PUR149" s="609"/>
      <c r="PUS149" s="609"/>
      <c r="PUT149" s="609"/>
      <c r="PUU149" s="609"/>
      <c r="PUV149" s="609"/>
      <c r="PUW149" s="609"/>
      <c r="PUX149" s="609"/>
      <c r="PUY149" s="609"/>
      <c r="PUZ149" s="609"/>
      <c r="PVA149" s="609"/>
      <c r="PVB149" s="609"/>
      <c r="PVC149" s="609"/>
      <c r="PVD149" s="609"/>
      <c r="PVE149" s="609"/>
      <c r="PVF149" s="609"/>
      <c r="PVG149" s="609"/>
      <c r="PVH149" s="609"/>
      <c r="PVI149" s="609"/>
      <c r="PVJ149" s="609"/>
      <c r="PVK149" s="609"/>
      <c r="PVL149" s="609"/>
      <c r="PVM149" s="609"/>
      <c r="PVN149" s="609"/>
      <c r="PVO149" s="609"/>
      <c r="PVP149" s="609"/>
      <c r="PVQ149" s="609"/>
      <c r="PVR149" s="609"/>
      <c r="PVS149" s="609"/>
      <c r="PVT149" s="609"/>
      <c r="PVU149" s="609"/>
      <c r="PVV149" s="609"/>
      <c r="PVW149" s="609"/>
      <c r="PVX149" s="609"/>
      <c r="PVY149" s="609"/>
      <c r="PVZ149" s="609"/>
      <c r="PWA149" s="609"/>
      <c r="PWB149" s="609"/>
      <c r="PWC149" s="609"/>
      <c r="PWD149" s="609"/>
      <c r="PWE149" s="609"/>
      <c r="PWF149" s="609"/>
      <c r="PWG149" s="609"/>
      <c r="PWH149" s="609"/>
      <c r="PWI149" s="609"/>
      <c r="PWJ149" s="609"/>
      <c r="PWK149" s="609"/>
      <c r="PWL149" s="609"/>
      <c r="PWM149" s="609"/>
      <c r="PWN149" s="609"/>
      <c r="PWO149" s="609"/>
      <c r="PWP149" s="609"/>
      <c r="PWQ149" s="609"/>
      <c r="PWR149" s="609"/>
      <c r="PWS149" s="609"/>
      <c r="PWT149" s="609"/>
      <c r="PWU149" s="609"/>
      <c r="PWV149" s="609"/>
      <c r="PWW149" s="609"/>
      <c r="PWX149" s="609"/>
      <c r="PWY149" s="609"/>
      <c r="PWZ149" s="609"/>
      <c r="PXA149" s="609"/>
      <c r="PXB149" s="609"/>
      <c r="PXC149" s="609"/>
      <c r="PXD149" s="609"/>
      <c r="PXE149" s="609"/>
      <c r="PXF149" s="609"/>
      <c r="PXG149" s="609"/>
      <c r="PXH149" s="609"/>
      <c r="PXI149" s="609"/>
      <c r="PXJ149" s="609"/>
      <c r="PXK149" s="609"/>
      <c r="PXL149" s="609"/>
      <c r="PXM149" s="609"/>
      <c r="PXN149" s="609"/>
      <c r="PXO149" s="609"/>
      <c r="PXP149" s="609"/>
      <c r="PXQ149" s="609"/>
      <c r="PXR149" s="609"/>
      <c r="PXS149" s="609"/>
      <c r="PXT149" s="609"/>
      <c r="PXU149" s="609"/>
      <c r="PXV149" s="609"/>
      <c r="PXW149" s="609"/>
      <c r="PXX149" s="609"/>
      <c r="PXY149" s="609"/>
      <c r="PXZ149" s="609"/>
      <c r="PYA149" s="609"/>
      <c r="PYB149" s="609"/>
      <c r="PYC149" s="609"/>
      <c r="PYD149" s="609"/>
      <c r="PYE149" s="609"/>
      <c r="PYF149" s="609"/>
      <c r="PYG149" s="609"/>
      <c r="PYH149" s="609"/>
      <c r="PYI149" s="609"/>
      <c r="PYJ149" s="609"/>
      <c r="PYK149" s="609"/>
      <c r="PYL149" s="609"/>
      <c r="PYM149" s="609"/>
      <c r="PYN149" s="609"/>
      <c r="PYO149" s="609"/>
      <c r="PYP149" s="609"/>
      <c r="PYQ149" s="609"/>
      <c r="PYR149" s="609"/>
      <c r="PYS149" s="609"/>
      <c r="PYT149" s="609"/>
      <c r="PYU149" s="609"/>
      <c r="PYV149" s="609"/>
      <c r="PYW149" s="609"/>
      <c r="PYX149" s="609"/>
      <c r="PYY149" s="609"/>
      <c r="PYZ149" s="609"/>
      <c r="PZA149" s="609"/>
      <c r="PZB149" s="609"/>
      <c r="PZC149" s="609"/>
      <c r="PZD149" s="609"/>
      <c r="PZE149" s="609"/>
      <c r="PZF149" s="609"/>
      <c r="PZG149" s="609"/>
      <c r="PZH149" s="609"/>
      <c r="PZI149" s="609"/>
      <c r="PZJ149" s="609"/>
      <c r="PZK149" s="609"/>
      <c r="PZL149" s="609"/>
      <c r="PZM149" s="609"/>
      <c r="PZN149" s="609"/>
      <c r="PZO149" s="609"/>
      <c r="PZP149" s="609"/>
      <c r="PZQ149" s="609"/>
      <c r="PZR149" s="609"/>
      <c r="PZS149" s="609"/>
      <c r="PZT149" s="609"/>
      <c r="PZU149" s="609"/>
      <c r="PZV149" s="609"/>
      <c r="PZW149" s="609"/>
      <c r="PZX149" s="609"/>
      <c r="PZY149" s="609"/>
      <c r="PZZ149" s="609"/>
      <c r="QAA149" s="609"/>
      <c r="QAB149" s="609"/>
      <c r="QAC149" s="609"/>
      <c r="QAD149" s="609"/>
      <c r="QAE149" s="609"/>
      <c r="QAF149" s="609"/>
      <c r="QAG149" s="609"/>
      <c r="QAH149" s="609"/>
      <c r="QAI149" s="609"/>
      <c r="QAJ149" s="609"/>
      <c r="QAK149" s="609"/>
      <c r="QAL149" s="609"/>
      <c r="QAM149" s="609"/>
      <c r="QAN149" s="609"/>
      <c r="QAO149" s="609"/>
      <c r="QAP149" s="609"/>
      <c r="QAQ149" s="609"/>
      <c r="QAR149" s="609"/>
      <c r="QAS149" s="609"/>
      <c r="QAT149" s="609"/>
      <c r="QAU149" s="609"/>
      <c r="QAV149" s="609"/>
      <c r="QAW149" s="609"/>
      <c r="QAX149" s="609"/>
      <c r="QAY149" s="609"/>
      <c r="QAZ149" s="609"/>
      <c r="QBA149" s="609"/>
      <c r="QBB149" s="609"/>
      <c r="QBC149" s="609"/>
      <c r="QBD149" s="609"/>
      <c r="QBE149" s="609"/>
      <c r="QBF149" s="609"/>
      <c r="QBG149" s="609"/>
      <c r="QBH149" s="609"/>
      <c r="QBI149" s="609"/>
      <c r="QBJ149" s="609"/>
      <c r="QBK149" s="609"/>
      <c r="QBL149" s="609"/>
      <c r="QBM149" s="609"/>
      <c r="QBN149" s="609"/>
      <c r="QBO149" s="609"/>
      <c r="QBP149" s="609"/>
      <c r="QBQ149" s="609"/>
      <c r="QBR149" s="609"/>
      <c r="QBS149" s="609"/>
      <c r="QBT149" s="609"/>
      <c r="QBU149" s="609"/>
      <c r="QBV149" s="609"/>
      <c r="QBW149" s="609"/>
      <c r="QBX149" s="609"/>
      <c r="QBY149" s="609"/>
      <c r="QBZ149" s="609"/>
      <c r="QCA149" s="609"/>
      <c r="QCB149" s="609"/>
      <c r="QCC149" s="609"/>
      <c r="QCD149" s="609"/>
      <c r="QCE149" s="609"/>
      <c r="QCF149" s="609"/>
      <c r="QCG149" s="609"/>
      <c r="QCH149" s="609"/>
      <c r="QCI149" s="609"/>
      <c r="QCJ149" s="609"/>
      <c r="QCK149" s="609"/>
      <c r="QCL149" s="609"/>
      <c r="QCM149" s="609"/>
      <c r="QCN149" s="609"/>
      <c r="QCO149" s="609"/>
      <c r="QCP149" s="609"/>
      <c r="QCQ149" s="609"/>
      <c r="QCR149" s="609"/>
      <c r="QCS149" s="609"/>
      <c r="QCT149" s="609"/>
      <c r="QCU149" s="609"/>
      <c r="QCV149" s="609"/>
      <c r="QCW149" s="609"/>
      <c r="QCX149" s="609"/>
      <c r="QCY149" s="609"/>
      <c r="QCZ149" s="609"/>
      <c r="QDA149" s="609"/>
      <c r="QDB149" s="609"/>
      <c r="QDC149" s="609"/>
      <c r="QDD149" s="609"/>
      <c r="QDE149" s="609"/>
      <c r="QDF149" s="609"/>
      <c r="QDG149" s="609"/>
      <c r="QDH149" s="609"/>
      <c r="QDI149" s="609"/>
      <c r="QDJ149" s="609"/>
      <c r="QDK149" s="609"/>
      <c r="QDL149" s="609"/>
      <c r="QDM149" s="609"/>
      <c r="QDN149" s="609"/>
      <c r="QDO149" s="609"/>
      <c r="QDP149" s="609"/>
      <c r="QDQ149" s="609"/>
      <c r="QDR149" s="609"/>
      <c r="QDS149" s="609"/>
      <c r="QDT149" s="609"/>
      <c r="QDU149" s="609"/>
      <c r="QDV149" s="609"/>
      <c r="QDW149" s="609"/>
      <c r="QDX149" s="609"/>
      <c r="QDY149" s="609"/>
      <c r="QDZ149" s="609"/>
      <c r="QEA149" s="609"/>
      <c r="QEB149" s="609"/>
      <c r="QEC149" s="609"/>
      <c r="QED149" s="609"/>
      <c r="QEE149" s="609"/>
      <c r="QEF149" s="609"/>
      <c r="QEG149" s="609"/>
      <c r="QEH149" s="609"/>
      <c r="QEI149" s="609"/>
      <c r="QEJ149" s="609"/>
      <c r="QEK149" s="609"/>
      <c r="QEL149" s="609"/>
      <c r="QEM149" s="609"/>
      <c r="QEN149" s="609"/>
      <c r="QEO149" s="609"/>
      <c r="QEP149" s="609"/>
      <c r="QEQ149" s="609"/>
      <c r="QER149" s="609"/>
      <c r="QES149" s="609"/>
      <c r="QET149" s="609"/>
      <c r="QEU149" s="609"/>
      <c r="QEV149" s="609"/>
      <c r="QEW149" s="609"/>
      <c r="QEX149" s="609"/>
      <c r="QEY149" s="609"/>
      <c r="QEZ149" s="609"/>
      <c r="QFA149" s="609"/>
      <c r="QFB149" s="609"/>
      <c r="QFC149" s="609"/>
      <c r="QFD149" s="609"/>
      <c r="QFE149" s="609"/>
      <c r="QFF149" s="609"/>
      <c r="QFG149" s="609"/>
      <c r="QFH149" s="609"/>
      <c r="QFI149" s="609"/>
      <c r="QFJ149" s="609"/>
      <c r="QFK149" s="609"/>
      <c r="QFL149" s="609"/>
      <c r="QFM149" s="609"/>
      <c r="QFN149" s="609"/>
      <c r="QFO149" s="609"/>
      <c r="QFP149" s="609"/>
      <c r="QFQ149" s="609"/>
      <c r="QFR149" s="609"/>
      <c r="QFS149" s="609"/>
      <c r="QFT149" s="609"/>
      <c r="QFU149" s="609"/>
      <c r="QFV149" s="609"/>
      <c r="QFW149" s="609"/>
      <c r="QFX149" s="609"/>
      <c r="QFY149" s="609"/>
      <c r="QFZ149" s="609"/>
      <c r="QGA149" s="609"/>
      <c r="QGB149" s="609"/>
      <c r="QGC149" s="609"/>
      <c r="QGD149" s="609"/>
      <c r="QGE149" s="609"/>
      <c r="QGF149" s="609"/>
      <c r="QGG149" s="609"/>
      <c r="QGH149" s="609"/>
      <c r="QGI149" s="609"/>
      <c r="QGJ149" s="609"/>
      <c r="QGK149" s="609"/>
      <c r="QGL149" s="609"/>
      <c r="QGM149" s="609"/>
      <c r="QGN149" s="609"/>
      <c r="QGO149" s="609"/>
      <c r="QGP149" s="609"/>
      <c r="QGQ149" s="609"/>
      <c r="QGR149" s="609"/>
      <c r="QGS149" s="609"/>
      <c r="QGT149" s="609"/>
      <c r="QGU149" s="609"/>
      <c r="QGV149" s="609"/>
      <c r="QGW149" s="609"/>
      <c r="QGX149" s="609"/>
      <c r="QGY149" s="609"/>
      <c r="QGZ149" s="609"/>
      <c r="QHA149" s="609"/>
      <c r="QHB149" s="609"/>
      <c r="QHC149" s="609"/>
      <c r="QHD149" s="609"/>
      <c r="QHE149" s="609"/>
      <c r="QHF149" s="609"/>
      <c r="QHG149" s="609"/>
      <c r="QHH149" s="609"/>
      <c r="QHI149" s="609"/>
      <c r="QHJ149" s="609"/>
      <c r="QHK149" s="609"/>
      <c r="QHL149" s="609"/>
      <c r="QHM149" s="609"/>
      <c r="QHN149" s="609"/>
      <c r="QHO149" s="609"/>
      <c r="QHP149" s="609"/>
      <c r="QHQ149" s="609"/>
      <c r="QHR149" s="609"/>
      <c r="QHS149" s="609"/>
      <c r="QHT149" s="609"/>
      <c r="QHU149" s="609"/>
      <c r="QHV149" s="609"/>
      <c r="QHW149" s="609"/>
      <c r="QHX149" s="609"/>
      <c r="QHY149" s="609"/>
      <c r="QHZ149" s="609"/>
      <c r="QIA149" s="609"/>
      <c r="QIB149" s="609"/>
      <c r="QIC149" s="609"/>
      <c r="QID149" s="609"/>
      <c r="QIE149" s="609"/>
      <c r="QIF149" s="609"/>
      <c r="QIG149" s="609"/>
      <c r="QIH149" s="609"/>
      <c r="QII149" s="609"/>
      <c r="QIJ149" s="609"/>
      <c r="QIK149" s="609"/>
      <c r="QIL149" s="609"/>
      <c r="QIM149" s="609"/>
      <c r="QIN149" s="609"/>
      <c r="QIO149" s="609"/>
      <c r="QIP149" s="609"/>
      <c r="QIQ149" s="609"/>
      <c r="QIR149" s="609"/>
      <c r="QIS149" s="609"/>
      <c r="QIT149" s="609"/>
      <c r="QIU149" s="609"/>
      <c r="QIV149" s="609"/>
      <c r="QIW149" s="609"/>
      <c r="QIX149" s="609"/>
      <c r="QIY149" s="609"/>
      <c r="QIZ149" s="609"/>
      <c r="QJA149" s="609"/>
      <c r="QJB149" s="609"/>
      <c r="QJC149" s="609"/>
      <c r="QJD149" s="609"/>
      <c r="QJE149" s="609"/>
      <c r="QJF149" s="609"/>
      <c r="QJG149" s="609"/>
      <c r="QJH149" s="609"/>
      <c r="QJI149" s="609"/>
      <c r="QJJ149" s="609"/>
      <c r="QJK149" s="609"/>
      <c r="QJL149" s="609"/>
      <c r="QJM149" s="609"/>
      <c r="QJN149" s="609"/>
      <c r="QJO149" s="609"/>
      <c r="QJP149" s="609"/>
      <c r="QJQ149" s="609"/>
      <c r="QJR149" s="609"/>
      <c r="QJS149" s="609"/>
      <c r="QJT149" s="609"/>
      <c r="QJU149" s="609"/>
      <c r="QJV149" s="609"/>
      <c r="QJW149" s="609"/>
      <c r="QJX149" s="609"/>
      <c r="QJY149" s="609"/>
      <c r="QJZ149" s="609"/>
      <c r="QKA149" s="609"/>
      <c r="QKB149" s="609"/>
      <c r="QKC149" s="609"/>
      <c r="QKD149" s="609"/>
      <c r="QKE149" s="609"/>
      <c r="QKF149" s="609"/>
      <c r="QKG149" s="609"/>
      <c r="QKH149" s="609"/>
      <c r="QKI149" s="609"/>
      <c r="QKJ149" s="609"/>
      <c r="QKK149" s="609"/>
      <c r="QKL149" s="609"/>
      <c r="QKM149" s="609"/>
      <c r="QKN149" s="609"/>
      <c r="QKO149" s="609"/>
      <c r="QKP149" s="609"/>
      <c r="QKQ149" s="609"/>
      <c r="QKR149" s="609"/>
      <c r="QKS149" s="609"/>
      <c r="QKT149" s="609"/>
      <c r="QKU149" s="609"/>
      <c r="QKV149" s="609"/>
      <c r="QKW149" s="609"/>
      <c r="QKX149" s="609"/>
      <c r="QKY149" s="609"/>
      <c r="QKZ149" s="609"/>
      <c r="QLA149" s="609"/>
      <c r="QLB149" s="609"/>
      <c r="QLC149" s="609"/>
      <c r="QLD149" s="609"/>
      <c r="QLE149" s="609"/>
      <c r="QLF149" s="609"/>
      <c r="QLG149" s="609"/>
      <c r="QLH149" s="609"/>
      <c r="QLI149" s="609"/>
      <c r="QLJ149" s="609"/>
      <c r="QLK149" s="609"/>
      <c r="QLL149" s="609"/>
      <c r="QLM149" s="609"/>
      <c r="QLN149" s="609"/>
      <c r="QLO149" s="609"/>
      <c r="QLP149" s="609"/>
      <c r="QLQ149" s="609"/>
      <c r="QLR149" s="609"/>
      <c r="QLS149" s="609"/>
      <c r="QLT149" s="609"/>
      <c r="QLU149" s="609"/>
      <c r="QLV149" s="609"/>
      <c r="QLW149" s="609"/>
      <c r="QLX149" s="609"/>
      <c r="QLY149" s="609"/>
      <c r="QLZ149" s="609"/>
      <c r="QMA149" s="609"/>
      <c r="QMB149" s="609"/>
      <c r="QMC149" s="609"/>
      <c r="QMD149" s="609"/>
      <c r="QME149" s="609"/>
      <c r="QMF149" s="609"/>
      <c r="QMG149" s="609"/>
      <c r="QMH149" s="609"/>
      <c r="QMI149" s="609"/>
      <c r="QMJ149" s="609"/>
      <c r="QMK149" s="609"/>
      <c r="QML149" s="609"/>
      <c r="QMM149" s="609"/>
      <c r="QMN149" s="609"/>
      <c r="QMO149" s="609"/>
      <c r="QMP149" s="609"/>
      <c r="QMQ149" s="609"/>
      <c r="QMR149" s="609"/>
      <c r="QMS149" s="609"/>
      <c r="QMT149" s="609"/>
      <c r="QMU149" s="609"/>
      <c r="QMV149" s="609"/>
      <c r="QMW149" s="609"/>
      <c r="QMX149" s="609"/>
      <c r="QMY149" s="609"/>
      <c r="QMZ149" s="609"/>
      <c r="QNA149" s="609"/>
      <c r="QNB149" s="609"/>
      <c r="QNC149" s="609"/>
      <c r="QND149" s="609"/>
      <c r="QNE149" s="609"/>
      <c r="QNF149" s="609"/>
      <c r="QNG149" s="609"/>
      <c r="QNH149" s="609"/>
      <c r="QNI149" s="609"/>
      <c r="QNJ149" s="609"/>
      <c r="QNK149" s="609"/>
      <c r="QNL149" s="609"/>
      <c r="QNM149" s="609"/>
      <c r="QNN149" s="609"/>
      <c r="QNO149" s="609"/>
      <c r="QNP149" s="609"/>
      <c r="QNQ149" s="609"/>
      <c r="QNR149" s="609"/>
      <c r="QNS149" s="609"/>
      <c r="QNT149" s="609"/>
      <c r="QNU149" s="609"/>
      <c r="QNV149" s="609"/>
      <c r="QNW149" s="609"/>
      <c r="QNX149" s="609"/>
      <c r="QNY149" s="609"/>
      <c r="QNZ149" s="609"/>
      <c r="QOA149" s="609"/>
      <c r="QOB149" s="609"/>
      <c r="QOC149" s="609"/>
      <c r="QOD149" s="609"/>
      <c r="QOE149" s="609"/>
      <c r="QOF149" s="609"/>
      <c r="QOG149" s="609"/>
      <c r="QOH149" s="609"/>
      <c r="QOI149" s="609"/>
      <c r="QOJ149" s="609"/>
      <c r="QOK149" s="609"/>
      <c r="QOL149" s="609"/>
      <c r="QOM149" s="609"/>
      <c r="QON149" s="609"/>
      <c r="QOO149" s="609"/>
      <c r="QOP149" s="609"/>
      <c r="QOQ149" s="609"/>
      <c r="QOR149" s="609"/>
      <c r="QOS149" s="609"/>
      <c r="QOT149" s="609"/>
      <c r="QOU149" s="609"/>
      <c r="QOV149" s="609"/>
      <c r="QOW149" s="609"/>
      <c r="QOX149" s="609"/>
      <c r="QOY149" s="609"/>
      <c r="QOZ149" s="609"/>
      <c r="QPA149" s="609"/>
      <c r="QPB149" s="609"/>
      <c r="QPC149" s="609"/>
      <c r="QPD149" s="609"/>
      <c r="QPE149" s="609"/>
      <c r="QPF149" s="609"/>
      <c r="QPG149" s="609"/>
      <c r="QPH149" s="609"/>
      <c r="QPI149" s="609"/>
      <c r="QPJ149" s="609"/>
      <c r="QPK149" s="609"/>
      <c r="QPL149" s="609"/>
      <c r="QPM149" s="609"/>
      <c r="QPN149" s="609"/>
      <c r="QPO149" s="609"/>
      <c r="QPP149" s="609"/>
      <c r="QPQ149" s="609"/>
      <c r="QPR149" s="609"/>
      <c r="QPS149" s="609"/>
      <c r="QPT149" s="609"/>
      <c r="QPU149" s="609"/>
      <c r="QPV149" s="609"/>
      <c r="QPW149" s="609"/>
      <c r="QPX149" s="609"/>
      <c r="QPY149" s="609"/>
      <c r="QPZ149" s="609"/>
      <c r="QQA149" s="609"/>
      <c r="QQB149" s="609"/>
      <c r="QQC149" s="609"/>
      <c r="QQD149" s="609"/>
      <c r="QQE149" s="609"/>
      <c r="QQF149" s="609"/>
      <c r="QQG149" s="609"/>
      <c r="QQH149" s="609"/>
      <c r="QQI149" s="609"/>
      <c r="QQJ149" s="609"/>
      <c r="QQK149" s="609"/>
      <c r="QQL149" s="609"/>
      <c r="QQM149" s="609"/>
      <c r="QQN149" s="609"/>
      <c r="QQO149" s="609"/>
      <c r="QQP149" s="609"/>
      <c r="QQQ149" s="609"/>
      <c r="QQR149" s="609"/>
      <c r="QQS149" s="609"/>
      <c r="QQT149" s="609"/>
      <c r="QQU149" s="609"/>
      <c r="QQV149" s="609"/>
      <c r="QQW149" s="609"/>
      <c r="QQX149" s="609"/>
      <c r="QQY149" s="609"/>
      <c r="QQZ149" s="609"/>
      <c r="QRA149" s="609"/>
      <c r="QRB149" s="609"/>
      <c r="QRC149" s="609"/>
      <c r="QRD149" s="609"/>
      <c r="QRE149" s="609"/>
      <c r="QRF149" s="609"/>
      <c r="QRG149" s="609"/>
      <c r="QRH149" s="609"/>
      <c r="QRI149" s="609"/>
      <c r="QRJ149" s="609"/>
      <c r="QRK149" s="609"/>
      <c r="QRL149" s="609"/>
      <c r="QRM149" s="609"/>
      <c r="QRN149" s="609"/>
      <c r="QRO149" s="609"/>
      <c r="QRP149" s="609"/>
      <c r="QRQ149" s="609"/>
      <c r="QRR149" s="609"/>
      <c r="QRS149" s="609"/>
      <c r="QRT149" s="609"/>
      <c r="QRU149" s="609"/>
      <c r="QRV149" s="609"/>
      <c r="QRW149" s="609"/>
      <c r="QRX149" s="609"/>
      <c r="QRY149" s="609"/>
      <c r="QRZ149" s="609"/>
      <c r="QSA149" s="609"/>
      <c r="QSB149" s="609"/>
      <c r="QSC149" s="609"/>
      <c r="QSD149" s="609"/>
      <c r="QSE149" s="609"/>
      <c r="QSF149" s="609"/>
      <c r="QSG149" s="609"/>
      <c r="QSH149" s="609"/>
      <c r="QSI149" s="609"/>
      <c r="QSJ149" s="609"/>
      <c r="QSK149" s="609"/>
      <c r="QSL149" s="609"/>
      <c r="QSM149" s="609"/>
      <c r="QSN149" s="609"/>
      <c r="QSO149" s="609"/>
      <c r="QSP149" s="609"/>
      <c r="QSQ149" s="609"/>
      <c r="QSR149" s="609"/>
      <c r="QSS149" s="609"/>
      <c r="QST149" s="609"/>
      <c r="QSU149" s="609"/>
      <c r="QSV149" s="609"/>
      <c r="QSW149" s="609"/>
      <c r="QSX149" s="609"/>
      <c r="QSY149" s="609"/>
      <c r="QSZ149" s="609"/>
      <c r="QTA149" s="609"/>
      <c r="QTB149" s="609"/>
      <c r="QTC149" s="609"/>
      <c r="QTD149" s="609"/>
      <c r="QTE149" s="609"/>
      <c r="QTF149" s="609"/>
      <c r="QTG149" s="609"/>
      <c r="QTH149" s="609"/>
      <c r="QTI149" s="609"/>
      <c r="QTJ149" s="609"/>
      <c r="QTK149" s="609"/>
      <c r="QTL149" s="609"/>
      <c r="QTM149" s="609"/>
      <c r="QTN149" s="609"/>
      <c r="QTO149" s="609"/>
      <c r="QTP149" s="609"/>
      <c r="QTQ149" s="609"/>
      <c r="QTR149" s="609"/>
      <c r="QTS149" s="609"/>
      <c r="QTT149" s="609"/>
      <c r="QTU149" s="609"/>
      <c r="QTV149" s="609"/>
      <c r="QTW149" s="609"/>
      <c r="QTX149" s="609"/>
      <c r="QTY149" s="609"/>
      <c r="QTZ149" s="609"/>
      <c r="QUA149" s="609"/>
      <c r="QUB149" s="609"/>
      <c r="QUC149" s="609"/>
      <c r="QUD149" s="609"/>
      <c r="QUE149" s="609"/>
      <c r="QUF149" s="609"/>
      <c r="QUG149" s="609"/>
      <c r="QUH149" s="609"/>
      <c r="QUI149" s="609"/>
      <c r="QUJ149" s="609"/>
      <c r="QUK149" s="609"/>
      <c r="QUL149" s="609"/>
      <c r="QUM149" s="609"/>
      <c r="QUN149" s="609"/>
      <c r="QUO149" s="609"/>
      <c r="QUP149" s="609"/>
      <c r="QUQ149" s="609"/>
      <c r="QUR149" s="609"/>
      <c r="QUS149" s="609"/>
      <c r="QUT149" s="609"/>
      <c r="QUU149" s="609"/>
      <c r="QUV149" s="609"/>
      <c r="QUW149" s="609"/>
      <c r="QUX149" s="609"/>
      <c r="QUY149" s="609"/>
      <c r="QUZ149" s="609"/>
      <c r="QVA149" s="609"/>
      <c r="QVB149" s="609"/>
      <c r="QVC149" s="609"/>
      <c r="QVD149" s="609"/>
      <c r="QVE149" s="609"/>
      <c r="QVF149" s="609"/>
      <c r="QVG149" s="609"/>
      <c r="QVH149" s="609"/>
      <c r="QVI149" s="609"/>
      <c r="QVJ149" s="609"/>
      <c r="QVK149" s="609"/>
      <c r="QVL149" s="609"/>
      <c r="QVM149" s="609"/>
      <c r="QVN149" s="609"/>
      <c r="QVO149" s="609"/>
      <c r="QVP149" s="609"/>
      <c r="QVQ149" s="609"/>
      <c r="QVR149" s="609"/>
      <c r="QVS149" s="609"/>
      <c r="QVT149" s="609"/>
      <c r="QVU149" s="609"/>
      <c r="QVV149" s="609"/>
      <c r="QVW149" s="609"/>
      <c r="QVX149" s="609"/>
      <c r="QVY149" s="609"/>
      <c r="QVZ149" s="609"/>
      <c r="QWA149" s="609"/>
      <c r="QWB149" s="609"/>
      <c r="QWC149" s="609"/>
      <c r="QWD149" s="609"/>
      <c r="QWE149" s="609"/>
      <c r="QWF149" s="609"/>
      <c r="QWG149" s="609"/>
      <c r="QWH149" s="609"/>
      <c r="QWI149" s="609"/>
      <c r="QWJ149" s="609"/>
      <c r="QWK149" s="609"/>
      <c r="QWL149" s="609"/>
      <c r="QWM149" s="609"/>
      <c r="QWN149" s="609"/>
      <c r="QWO149" s="609"/>
      <c r="QWP149" s="609"/>
      <c r="QWQ149" s="609"/>
      <c r="QWR149" s="609"/>
      <c r="QWS149" s="609"/>
      <c r="QWT149" s="609"/>
      <c r="QWU149" s="609"/>
      <c r="QWV149" s="609"/>
      <c r="QWW149" s="609"/>
      <c r="QWX149" s="609"/>
      <c r="QWY149" s="609"/>
      <c r="QWZ149" s="609"/>
      <c r="QXA149" s="609"/>
      <c r="QXB149" s="609"/>
      <c r="QXC149" s="609"/>
      <c r="QXD149" s="609"/>
      <c r="QXE149" s="609"/>
      <c r="QXF149" s="609"/>
      <c r="QXG149" s="609"/>
      <c r="QXH149" s="609"/>
      <c r="QXI149" s="609"/>
      <c r="QXJ149" s="609"/>
      <c r="QXK149" s="609"/>
      <c r="QXL149" s="609"/>
      <c r="QXM149" s="609"/>
      <c r="QXN149" s="609"/>
      <c r="QXO149" s="609"/>
      <c r="QXP149" s="609"/>
      <c r="QXQ149" s="609"/>
      <c r="QXR149" s="609"/>
      <c r="QXS149" s="609"/>
      <c r="QXT149" s="609"/>
      <c r="QXU149" s="609"/>
      <c r="QXV149" s="609"/>
      <c r="QXW149" s="609"/>
      <c r="QXX149" s="609"/>
      <c r="QXY149" s="609"/>
      <c r="QXZ149" s="609"/>
      <c r="QYA149" s="609"/>
      <c r="QYB149" s="609"/>
      <c r="QYC149" s="609"/>
      <c r="QYD149" s="609"/>
      <c r="QYE149" s="609"/>
      <c r="QYF149" s="609"/>
      <c r="QYG149" s="609"/>
      <c r="QYH149" s="609"/>
      <c r="QYI149" s="609"/>
      <c r="QYJ149" s="609"/>
      <c r="QYK149" s="609"/>
      <c r="QYL149" s="609"/>
      <c r="QYM149" s="609"/>
      <c r="QYN149" s="609"/>
      <c r="QYO149" s="609"/>
      <c r="QYP149" s="609"/>
      <c r="QYQ149" s="609"/>
      <c r="QYR149" s="609"/>
      <c r="QYS149" s="609"/>
      <c r="QYT149" s="609"/>
      <c r="QYU149" s="609"/>
      <c r="QYV149" s="609"/>
      <c r="QYW149" s="609"/>
      <c r="QYX149" s="609"/>
      <c r="QYY149" s="609"/>
      <c r="QYZ149" s="609"/>
      <c r="QZA149" s="609"/>
      <c r="QZB149" s="609"/>
      <c r="QZC149" s="609"/>
      <c r="QZD149" s="609"/>
      <c r="QZE149" s="609"/>
      <c r="QZF149" s="609"/>
      <c r="QZG149" s="609"/>
      <c r="QZH149" s="609"/>
      <c r="QZI149" s="609"/>
      <c r="QZJ149" s="609"/>
      <c r="QZK149" s="609"/>
      <c r="QZL149" s="609"/>
      <c r="QZM149" s="609"/>
      <c r="QZN149" s="609"/>
      <c r="QZO149" s="609"/>
      <c r="QZP149" s="609"/>
      <c r="QZQ149" s="609"/>
      <c r="QZR149" s="609"/>
      <c r="QZS149" s="609"/>
      <c r="QZT149" s="609"/>
      <c r="QZU149" s="609"/>
      <c r="QZV149" s="609"/>
      <c r="QZW149" s="609"/>
      <c r="QZX149" s="609"/>
      <c r="QZY149" s="609"/>
      <c r="QZZ149" s="609"/>
      <c r="RAA149" s="609"/>
      <c r="RAB149" s="609"/>
      <c r="RAC149" s="609"/>
      <c r="RAD149" s="609"/>
      <c r="RAE149" s="609"/>
      <c r="RAF149" s="609"/>
      <c r="RAG149" s="609"/>
      <c r="RAH149" s="609"/>
      <c r="RAI149" s="609"/>
      <c r="RAJ149" s="609"/>
      <c r="RAK149" s="609"/>
      <c r="RAL149" s="609"/>
      <c r="RAM149" s="609"/>
      <c r="RAN149" s="609"/>
      <c r="RAO149" s="609"/>
      <c r="RAP149" s="609"/>
      <c r="RAQ149" s="609"/>
      <c r="RAR149" s="609"/>
      <c r="RAS149" s="609"/>
      <c r="RAT149" s="609"/>
      <c r="RAU149" s="609"/>
      <c r="RAV149" s="609"/>
      <c r="RAW149" s="609"/>
      <c r="RAX149" s="609"/>
      <c r="RAY149" s="609"/>
      <c r="RAZ149" s="609"/>
      <c r="RBA149" s="609"/>
      <c r="RBB149" s="609"/>
      <c r="RBC149" s="609"/>
      <c r="RBD149" s="609"/>
      <c r="RBE149" s="609"/>
      <c r="RBF149" s="609"/>
      <c r="RBG149" s="609"/>
      <c r="RBH149" s="609"/>
      <c r="RBI149" s="609"/>
      <c r="RBJ149" s="609"/>
      <c r="RBK149" s="609"/>
      <c r="RBL149" s="609"/>
      <c r="RBM149" s="609"/>
      <c r="RBN149" s="609"/>
      <c r="RBO149" s="609"/>
      <c r="RBP149" s="609"/>
      <c r="RBQ149" s="609"/>
      <c r="RBR149" s="609"/>
      <c r="RBS149" s="609"/>
      <c r="RBT149" s="609"/>
      <c r="RBU149" s="609"/>
      <c r="RBV149" s="609"/>
      <c r="RBW149" s="609"/>
      <c r="RBX149" s="609"/>
      <c r="RBY149" s="609"/>
      <c r="RBZ149" s="609"/>
      <c r="RCA149" s="609"/>
      <c r="RCB149" s="609"/>
      <c r="RCC149" s="609"/>
      <c r="RCD149" s="609"/>
      <c r="RCE149" s="609"/>
      <c r="RCF149" s="609"/>
      <c r="RCG149" s="609"/>
      <c r="RCH149" s="609"/>
      <c r="RCI149" s="609"/>
      <c r="RCJ149" s="609"/>
      <c r="RCK149" s="609"/>
      <c r="RCL149" s="609"/>
      <c r="RCM149" s="609"/>
      <c r="RCN149" s="609"/>
      <c r="RCO149" s="609"/>
      <c r="RCP149" s="609"/>
      <c r="RCQ149" s="609"/>
      <c r="RCR149" s="609"/>
      <c r="RCS149" s="609"/>
      <c r="RCT149" s="609"/>
      <c r="RCU149" s="609"/>
      <c r="RCV149" s="609"/>
      <c r="RCW149" s="609"/>
      <c r="RCX149" s="609"/>
      <c r="RCY149" s="609"/>
      <c r="RCZ149" s="609"/>
      <c r="RDA149" s="609"/>
      <c r="RDB149" s="609"/>
      <c r="RDC149" s="609"/>
      <c r="RDD149" s="609"/>
      <c r="RDE149" s="609"/>
      <c r="RDF149" s="609"/>
      <c r="RDG149" s="609"/>
      <c r="RDH149" s="609"/>
      <c r="RDI149" s="609"/>
      <c r="RDJ149" s="609"/>
      <c r="RDK149" s="609"/>
      <c r="RDL149" s="609"/>
      <c r="RDM149" s="609"/>
      <c r="RDN149" s="609"/>
      <c r="RDO149" s="609"/>
      <c r="RDP149" s="609"/>
      <c r="RDQ149" s="609"/>
      <c r="RDR149" s="609"/>
      <c r="RDS149" s="609"/>
      <c r="RDT149" s="609"/>
      <c r="RDU149" s="609"/>
      <c r="RDV149" s="609"/>
      <c r="RDW149" s="609"/>
      <c r="RDX149" s="609"/>
      <c r="RDY149" s="609"/>
      <c r="RDZ149" s="609"/>
      <c r="REA149" s="609"/>
      <c r="REB149" s="609"/>
      <c r="REC149" s="609"/>
      <c r="RED149" s="609"/>
      <c r="REE149" s="609"/>
      <c r="REF149" s="609"/>
      <c r="REG149" s="609"/>
      <c r="REH149" s="609"/>
      <c r="REI149" s="609"/>
      <c r="REJ149" s="609"/>
      <c r="REK149" s="609"/>
      <c r="REL149" s="609"/>
      <c r="REM149" s="609"/>
      <c r="REN149" s="609"/>
      <c r="REO149" s="609"/>
      <c r="REP149" s="609"/>
      <c r="REQ149" s="609"/>
      <c r="RER149" s="609"/>
      <c r="RES149" s="609"/>
      <c r="RET149" s="609"/>
      <c r="REU149" s="609"/>
      <c r="REV149" s="609"/>
      <c r="REW149" s="609"/>
      <c r="REX149" s="609"/>
      <c r="REY149" s="609"/>
      <c r="REZ149" s="609"/>
      <c r="RFA149" s="609"/>
      <c r="RFB149" s="609"/>
      <c r="RFC149" s="609"/>
      <c r="RFD149" s="609"/>
      <c r="RFE149" s="609"/>
      <c r="RFF149" s="609"/>
      <c r="RFG149" s="609"/>
      <c r="RFH149" s="609"/>
      <c r="RFI149" s="609"/>
      <c r="RFJ149" s="609"/>
      <c r="RFK149" s="609"/>
      <c r="RFL149" s="609"/>
      <c r="RFM149" s="609"/>
      <c r="RFN149" s="609"/>
      <c r="RFO149" s="609"/>
      <c r="RFP149" s="609"/>
      <c r="RFQ149" s="609"/>
      <c r="RFR149" s="609"/>
      <c r="RFS149" s="609"/>
      <c r="RFT149" s="609"/>
      <c r="RFU149" s="609"/>
      <c r="RFV149" s="609"/>
      <c r="RFW149" s="609"/>
      <c r="RFX149" s="609"/>
      <c r="RFY149" s="609"/>
      <c r="RFZ149" s="609"/>
      <c r="RGA149" s="609"/>
      <c r="RGB149" s="609"/>
      <c r="RGC149" s="609"/>
      <c r="RGD149" s="609"/>
      <c r="RGE149" s="609"/>
      <c r="RGF149" s="609"/>
      <c r="RGG149" s="609"/>
      <c r="RGH149" s="609"/>
      <c r="RGI149" s="609"/>
      <c r="RGJ149" s="609"/>
      <c r="RGK149" s="609"/>
      <c r="RGL149" s="609"/>
      <c r="RGM149" s="609"/>
      <c r="RGN149" s="609"/>
      <c r="RGO149" s="609"/>
      <c r="RGP149" s="609"/>
      <c r="RGQ149" s="609"/>
      <c r="RGR149" s="609"/>
      <c r="RGS149" s="609"/>
      <c r="RGT149" s="609"/>
      <c r="RGU149" s="609"/>
      <c r="RGV149" s="609"/>
      <c r="RGW149" s="609"/>
      <c r="RGX149" s="609"/>
      <c r="RGY149" s="609"/>
      <c r="RGZ149" s="609"/>
      <c r="RHA149" s="609"/>
      <c r="RHB149" s="609"/>
      <c r="RHC149" s="609"/>
      <c r="RHD149" s="609"/>
      <c r="RHE149" s="609"/>
      <c r="RHF149" s="609"/>
      <c r="RHG149" s="609"/>
      <c r="RHH149" s="609"/>
      <c r="RHI149" s="609"/>
      <c r="RHJ149" s="609"/>
      <c r="RHK149" s="609"/>
      <c r="RHL149" s="609"/>
      <c r="RHM149" s="609"/>
      <c r="RHN149" s="609"/>
      <c r="RHO149" s="609"/>
      <c r="RHP149" s="609"/>
      <c r="RHQ149" s="609"/>
      <c r="RHR149" s="609"/>
      <c r="RHS149" s="609"/>
      <c r="RHT149" s="609"/>
      <c r="RHU149" s="609"/>
      <c r="RHV149" s="609"/>
      <c r="RHW149" s="609"/>
      <c r="RHX149" s="609"/>
      <c r="RHY149" s="609"/>
      <c r="RHZ149" s="609"/>
      <c r="RIA149" s="609"/>
      <c r="RIB149" s="609"/>
      <c r="RIC149" s="609"/>
      <c r="RID149" s="609"/>
      <c r="RIE149" s="609"/>
      <c r="RIF149" s="609"/>
      <c r="RIG149" s="609"/>
      <c r="RIH149" s="609"/>
      <c r="RII149" s="609"/>
      <c r="RIJ149" s="609"/>
      <c r="RIK149" s="609"/>
      <c r="RIL149" s="609"/>
      <c r="RIM149" s="609"/>
      <c r="RIN149" s="609"/>
      <c r="RIO149" s="609"/>
      <c r="RIP149" s="609"/>
      <c r="RIQ149" s="609"/>
      <c r="RIR149" s="609"/>
      <c r="RIS149" s="609"/>
      <c r="RIT149" s="609"/>
      <c r="RIU149" s="609"/>
      <c r="RIV149" s="609"/>
      <c r="RIW149" s="609"/>
      <c r="RIX149" s="609"/>
      <c r="RIY149" s="609"/>
      <c r="RIZ149" s="609"/>
      <c r="RJA149" s="609"/>
      <c r="RJB149" s="609"/>
      <c r="RJC149" s="609"/>
      <c r="RJD149" s="609"/>
      <c r="RJE149" s="609"/>
      <c r="RJF149" s="609"/>
      <c r="RJG149" s="609"/>
      <c r="RJH149" s="609"/>
      <c r="RJI149" s="609"/>
      <c r="RJJ149" s="609"/>
      <c r="RJK149" s="609"/>
      <c r="RJL149" s="609"/>
      <c r="RJM149" s="609"/>
      <c r="RJN149" s="609"/>
      <c r="RJO149" s="609"/>
      <c r="RJP149" s="609"/>
      <c r="RJQ149" s="609"/>
      <c r="RJR149" s="609"/>
      <c r="RJS149" s="609"/>
      <c r="RJT149" s="609"/>
      <c r="RJU149" s="609"/>
      <c r="RJV149" s="609"/>
      <c r="RJW149" s="609"/>
      <c r="RJX149" s="609"/>
      <c r="RJY149" s="609"/>
      <c r="RJZ149" s="609"/>
      <c r="RKA149" s="609"/>
      <c r="RKB149" s="609"/>
      <c r="RKC149" s="609"/>
      <c r="RKD149" s="609"/>
      <c r="RKE149" s="609"/>
      <c r="RKF149" s="609"/>
      <c r="RKG149" s="609"/>
      <c r="RKH149" s="609"/>
      <c r="RKI149" s="609"/>
      <c r="RKJ149" s="609"/>
      <c r="RKK149" s="609"/>
      <c r="RKL149" s="609"/>
      <c r="RKM149" s="609"/>
      <c r="RKN149" s="609"/>
      <c r="RKO149" s="609"/>
      <c r="RKP149" s="609"/>
      <c r="RKQ149" s="609"/>
      <c r="RKR149" s="609"/>
      <c r="RKS149" s="609"/>
      <c r="RKT149" s="609"/>
      <c r="RKU149" s="609"/>
      <c r="RKV149" s="609"/>
      <c r="RKW149" s="609"/>
      <c r="RKX149" s="609"/>
      <c r="RKY149" s="609"/>
      <c r="RKZ149" s="609"/>
      <c r="RLA149" s="609"/>
      <c r="RLB149" s="609"/>
      <c r="RLC149" s="609"/>
      <c r="RLD149" s="609"/>
      <c r="RLE149" s="609"/>
      <c r="RLF149" s="609"/>
      <c r="RLG149" s="609"/>
      <c r="RLH149" s="609"/>
      <c r="RLI149" s="609"/>
      <c r="RLJ149" s="609"/>
      <c r="RLK149" s="609"/>
      <c r="RLL149" s="609"/>
      <c r="RLM149" s="609"/>
      <c r="RLN149" s="609"/>
      <c r="RLO149" s="609"/>
      <c r="RLP149" s="609"/>
      <c r="RLQ149" s="609"/>
      <c r="RLR149" s="609"/>
      <c r="RLS149" s="609"/>
      <c r="RLT149" s="609"/>
      <c r="RLU149" s="609"/>
      <c r="RLV149" s="609"/>
      <c r="RLW149" s="609"/>
      <c r="RLX149" s="609"/>
      <c r="RLY149" s="609"/>
      <c r="RLZ149" s="609"/>
      <c r="RMA149" s="609"/>
      <c r="RMB149" s="609"/>
      <c r="RMC149" s="609"/>
      <c r="RMD149" s="609"/>
      <c r="RME149" s="609"/>
      <c r="RMF149" s="609"/>
      <c r="RMG149" s="609"/>
      <c r="RMH149" s="609"/>
      <c r="RMI149" s="609"/>
      <c r="RMJ149" s="609"/>
      <c r="RMK149" s="609"/>
      <c r="RML149" s="609"/>
      <c r="RMM149" s="609"/>
      <c r="RMN149" s="609"/>
      <c r="RMO149" s="609"/>
      <c r="RMP149" s="609"/>
      <c r="RMQ149" s="609"/>
      <c r="RMR149" s="609"/>
      <c r="RMS149" s="609"/>
      <c r="RMT149" s="609"/>
      <c r="RMU149" s="609"/>
      <c r="RMV149" s="609"/>
      <c r="RMW149" s="609"/>
      <c r="RMX149" s="609"/>
      <c r="RMY149" s="609"/>
      <c r="RMZ149" s="609"/>
      <c r="RNA149" s="609"/>
      <c r="RNB149" s="609"/>
      <c r="RNC149" s="609"/>
      <c r="RND149" s="609"/>
      <c r="RNE149" s="609"/>
      <c r="RNF149" s="609"/>
      <c r="RNG149" s="609"/>
      <c r="RNH149" s="609"/>
      <c r="RNI149" s="609"/>
      <c r="RNJ149" s="609"/>
      <c r="RNK149" s="609"/>
      <c r="RNL149" s="609"/>
      <c r="RNM149" s="609"/>
      <c r="RNN149" s="609"/>
      <c r="RNO149" s="609"/>
      <c r="RNP149" s="609"/>
      <c r="RNQ149" s="609"/>
      <c r="RNR149" s="609"/>
      <c r="RNS149" s="609"/>
      <c r="RNT149" s="609"/>
      <c r="RNU149" s="609"/>
      <c r="RNV149" s="609"/>
      <c r="RNW149" s="609"/>
      <c r="RNX149" s="609"/>
      <c r="RNY149" s="609"/>
      <c r="RNZ149" s="609"/>
      <c r="ROA149" s="609"/>
      <c r="ROB149" s="609"/>
      <c r="ROC149" s="609"/>
      <c r="ROD149" s="609"/>
      <c r="ROE149" s="609"/>
      <c r="ROF149" s="609"/>
      <c r="ROG149" s="609"/>
      <c r="ROH149" s="609"/>
      <c r="ROI149" s="609"/>
      <c r="ROJ149" s="609"/>
      <c r="ROK149" s="609"/>
      <c r="ROL149" s="609"/>
      <c r="ROM149" s="609"/>
      <c r="RON149" s="609"/>
      <c r="ROO149" s="609"/>
      <c r="ROP149" s="609"/>
      <c r="ROQ149" s="609"/>
      <c r="ROR149" s="609"/>
      <c r="ROS149" s="609"/>
      <c r="ROT149" s="609"/>
      <c r="ROU149" s="609"/>
      <c r="ROV149" s="609"/>
      <c r="ROW149" s="609"/>
      <c r="ROX149" s="609"/>
      <c r="ROY149" s="609"/>
      <c r="ROZ149" s="609"/>
      <c r="RPA149" s="609"/>
      <c r="RPB149" s="609"/>
      <c r="RPC149" s="609"/>
      <c r="RPD149" s="609"/>
      <c r="RPE149" s="609"/>
      <c r="RPF149" s="609"/>
      <c r="RPG149" s="609"/>
      <c r="RPH149" s="609"/>
      <c r="RPI149" s="609"/>
      <c r="RPJ149" s="609"/>
      <c r="RPK149" s="609"/>
      <c r="RPL149" s="609"/>
      <c r="RPM149" s="609"/>
      <c r="RPN149" s="609"/>
      <c r="RPO149" s="609"/>
      <c r="RPP149" s="609"/>
      <c r="RPQ149" s="609"/>
      <c r="RPR149" s="609"/>
      <c r="RPS149" s="609"/>
      <c r="RPT149" s="609"/>
      <c r="RPU149" s="609"/>
      <c r="RPV149" s="609"/>
      <c r="RPW149" s="609"/>
      <c r="RPX149" s="609"/>
      <c r="RPY149" s="609"/>
      <c r="RPZ149" s="609"/>
      <c r="RQA149" s="609"/>
      <c r="RQB149" s="609"/>
      <c r="RQC149" s="609"/>
      <c r="RQD149" s="609"/>
      <c r="RQE149" s="609"/>
      <c r="RQF149" s="609"/>
      <c r="RQG149" s="609"/>
      <c r="RQH149" s="609"/>
      <c r="RQI149" s="609"/>
      <c r="RQJ149" s="609"/>
      <c r="RQK149" s="609"/>
      <c r="RQL149" s="609"/>
      <c r="RQM149" s="609"/>
      <c r="RQN149" s="609"/>
      <c r="RQO149" s="609"/>
      <c r="RQP149" s="609"/>
      <c r="RQQ149" s="609"/>
      <c r="RQR149" s="609"/>
      <c r="RQS149" s="609"/>
      <c r="RQT149" s="609"/>
      <c r="RQU149" s="609"/>
      <c r="RQV149" s="609"/>
      <c r="RQW149" s="609"/>
      <c r="RQX149" s="609"/>
      <c r="RQY149" s="609"/>
      <c r="RQZ149" s="609"/>
      <c r="RRA149" s="609"/>
      <c r="RRB149" s="609"/>
      <c r="RRC149" s="609"/>
      <c r="RRD149" s="609"/>
      <c r="RRE149" s="609"/>
      <c r="RRF149" s="609"/>
      <c r="RRG149" s="609"/>
      <c r="RRH149" s="609"/>
      <c r="RRI149" s="609"/>
      <c r="RRJ149" s="609"/>
      <c r="RRK149" s="609"/>
      <c r="RRL149" s="609"/>
      <c r="RRM149" s="609"/>
      <c r="RRN149" s="609"/>
      <c r="RRO149" s="609"/>
      <c r="RRP149" s="609"/>
      <c r="RRQ149" s="609"/>
      <c r="RRR149" s="609"/>
      <c r="RRS149" s="609"/>
      <c r="RRT149" s="609"/>
      <c r="RRU149" s="609"/>
      <c r="RRV149" s="609"/>
      <c r="RRW149" s="609"/>
      <c r="RRX149" s="609"/>
      <c r="RRY149" s="609"/>
      <c r="RRZ149" s="609"/>
      <c r="RSA149" s="609"/>
      <c r="RSB149" s="609"/>
      <c r="RSC149" s="609"/>
      <c r="RSD149" s="609"/>
      <c r="RSE149" s="609"/>
      <c r="RSF149" s="609"/>
      <c r="RSG149" s="609"/>
      <c r="RSH149" s="609"/>
      <c r="RSI149" s="609"/>
      <c r="RSJ149" s="609"/>
      <c r="RSK149" s="609"/>
      <c r="RSL149" s="609"/>
      <c r="RSM149" s="609"/>
      <c r="RSN149" s="609"/>
      <c r="RSO149" s="609"/>
      <c r="RSP149" s="609"/>
      <c r="RSQ149" s="609"/>
      <c r="RSR149" s="609"/>
      <c r="RSS149" s="609"/>
      <c r="RST149" s="609"/>
      <c r="RSU149" s="609"/>
      <c r="RSV149" s="609"/>
      <c r="RSW149" s="609"/>
      <c r="RSX149" s="609"/>
      <c r="RSY149" s="609"/>
      <c r="RSZ149" s="609"/>
      <c r="RTA149" s="609"/>
      <c r="RTB149" s="609"/>
      <c r="RTC149" s="609"/>
      <c r="RTD149" s="609"/>
      <c r="RTE149" s="609"/>
      <c r="RTF149" s="609"/>
      <c r="RTG149" s="609"/>
      <c r="RTH149" s="609"/>
      <c r="RTI149" s="609"/>
      <c r="RTJ149" s="609"/>
      <c r="RTK149" s="609"/>
      <c r="RTL149" s="609"/>
      <c r="RTM149" s="609"/>
      <c r="RTN149" s="609"/>
      <c r="RTO149" s="609"/>
      <c r="RTP149" s="609"/>
      <c r="RTQ149" s="609"/>
      <c r="RTR149" s="609"/>
      <c r="RTS149" s="609"/>
      <c r="RTT149" s="609"/>
      <c r="RTU149" s="609"/>
      <c r="RTV149" s="609"/>
      <c r="RTW149" s="609"/>
      <c r="RTX149" s="609"/>
      <c r="RTY149" s="609"/>
      <c r="RTZ149" s="609"/>
      <c r="RUA149" s="609"/>
      <c r="RUB149" s="609"/>
      <c r="RUC149" s="609"/>
      <c r="RUD149" s="609"/>
      <c r="RUE149" s="609"/>
      <c r="RUF149" s="609"/>
      <c r="RUG149" s="609"/>
      <c r="RUH149" s="609"/>
      <c r="RUI149" s="609"/>
      <c r="RUJ149" s="609"/>
      <c r="RUK149" s="609"/>
      <c r="RUL149" s="609"/>
      <c r="RUM149" s="609"/>
      <c r="RUN149" s="609"/>
      <c r="RUO149" s="609"/>
      <c r="RUP149" s="609"/>
      <c r="RUQ149" s="609"/>
      <c r="RUR149" s="609"/>
      <c r="RUS149" s="609"/>
      <c r="RUT149" s="609"/>
      <c r="RUU149" s="609"/>
      <c r="RUV149" s="609"/>
      <c r="RUW149" s="609"/>
      <c r="RUX149" s="609"/>
      <c r="RUY149" s="609"/>
      <c r="RUZ149" s="609"/>
      <c r="RVA149" s="609"/>
      <c r="RVB149" s="609"/>
      <c r="RVC149" s="609"/>
      <c r="RVD149" s="609"/>
      <c r="RVE149" s="609"/>
      <c r="RVF149" s="609"/>
      <c r="RVG149" s="609"/>
      <c r="RVH149" s="609"/>
      <c r="RVI149" s="609"/>
      <c r="RVJ149" s="609"/>
      <c r="RVK149" s="609"/>
      <c r="RVL149" s="609"/>
      <c r="RVM149" s="609"/>
      <c r="RVN149" s="609"/>
      <c r="RVO149" s="609"/>
      <c r="RVP149" s="609"/>
      <c r="RVQ149" s="609"/>
      <c r="RVR149" s="609"/>
      <c r="RVS149" s="609"/>
      <c r="RVT149" s="609"/>
      <c r="RVU149" s="609"/>
      <c r="RVV149" s="609"/>
      <c r="RVW149" s="609"/>
      <c r="RVX149" s="609"/>
      <c r="RVY149" s="609"/>
      <c r="RVZ149" s="609"/>
      <c r="RWA149" s="609"/>
      <c r="RWB149" s="609"/>
      <c r="RWC149" s="609"/>
      <c r="RWD149" s="609"/>
      <c r="RWE149" s="609"/>
      <c r="RWF149" s="609"/>
      <c r="RWG149" s="609"/>
      <c r="RWH149" s="609"/>
      <c r="RWI149" s="609"/>
      <c r="RWJ149" s="609"/>
      <c r="RWK149" s="609"/>
      <c r="RWL149" s="609"/>
      <c r="RWM149" s="609"/>
      <c r="RWN149" s="609"/>
      <c r="RWO149" s="609"/>
      <c r="RWP149" s="609"/>
      <c r="RWQ149" s="609"/>
      <c r="RWR149" s="609"/>
      <c r="RWS149" s="609"/>
      <c r="RWT149" s="609"/>
      <c r="RWU149" s="609"/>
      <c r="RWV149" s="609"/>
      <c r="RWW149" s="609"/>
      <c r="RWX149" s="609"/>
      <c r="RWY149" s="609"/>
      <c r="RWZ149" s="609"/>
      <c r="RXA149" s="609"/>
      <c r="RXB149" s="609"/>
      <c r="RXC149" s="609"/>
      <c r="RXD149" s="609"/>
      <c r="RXE149" s="609"/>
      <c r="RXF149" s="609"/>
      <c r="RXG149" s="609"/>
      <c r="RXH149" s="609"/>
      <c r="RXI149" s="609"/>
      <c r="RXJ149" s="609"/>
      <c r="RXK149" s="609"/>
      <c r="RXL149" s="609"/>
      <c r="RXM149" s="609"/>
      <c r="RXN149" s="609"/>
      <c r="RXO149" s="609"/>
      <c r="RXP149" s="609"/>
      <c r="RXQ149" s="609"/>
      <c r="RXR149" s="609"/>
      <c r="RXS149" s="609"/>
      <c r="RXT149" s="609"/>
      <c r="RXU149" s="609"/>
      <c r="RXV149" s="609"/>
      <c r="RXW149" s="609"/>
      <c r="RXX149" s="609"/>
      <c r="RXY149" s="609"/>
      <c r="RXZ149" s="609"/>
      <c r="RYA149" s="609"/>
      <c r="RYB149" s="609"/>
      <c r="RYC149" s="609"/>
      <c r="RYD149" s="609"/>
      <c r="RYE149" s="609"/>
      <c r="RYF149" s="609"/>
      <c r="RYG149" s="609"/>
      <c r="RYH149" s="609"/>
      <c r="RYI149" s="609"/>
      <c r="RYJ149" s="609"/>
      <c r="RYK149" s="609"/>
      <c r="RYL149" s="609"/>
      <c r="RYM149" s="609"/>
      <c r="RYN149" s="609"/>
      <c r="RYO149" s="609"/>
      <c r="RYP149" s="609"/>
      <c r="RYQ149" s="609"/>
      <c r="RYR149" s="609"/>
      <c r="RYS149" s="609"/>
      <c r="RYT149" s="609"/>
      <c r="RYU149" s="609"/>
      <c r="RYV149" s="609"/>
      <c r="RYW149" s="609"/>
      <c r="RYX149" s="609"/>
      <c r="RYY149" s="609"/>
      <c r="RYZ149" s="609"/>
      <c r="RZA149" s="609"/>
      <c r="RZB149" s="609"/>
      <c r="RZC149" s="609"/>
      <c r="RZD149" s="609"/>
      <c r="RZE149" s="609"/>
      <c r="RZF149" s="609"/>
      <c r="RZG149" s="609"/>
      <c r="RZH149" s="609"/>
      <c r="RZI149" s="609"/>
      <c r="RZJ149" s="609"/>
      <c r="RZK149" s="609"/>
      <c r="RZL149" s="609"/>
      <c r="RZM149" s="609"/>
      <c r="RZN149" s="609"/>
      <c r="RZO149" s="609"/>
      <c r="RZP149" s="609"/>
      <c r="RZQ149" s="609"/>
      <c r="RZR149" s="609"/>
      <c r="RZS149" s="609"/>
      <c r="RZT149" s="609"/>
      <c r="RZU149" s="609"/>
      <c r="RZV149" s="609"/>
      <c r="RZW149" s="609"/>
      <c r="RZX149" s="609"/>
      <c r="RZY149" s="609"/>
      <c r="RZZ149" s="609"/>
      <c r="SAA149" s="609"/>
      <c r="SAB149" s="609"/>
      <c r="SAC149" s="609"/>
      <c r="SAD149" s="609"/>
      <c r="SAE149" s="609"/>
      <c r="SAF149" s="609"/>
      <c r="SAG149" s="609"/>
      <c r="SAH149" s="609"/>
      <c r="SAI149" s="609"/>
      <c r="SAJ149" s="609"/>
      <c r="SAK149" s="609"/>
      <c r="SAL149" s="609"/>
      <c r="SAM149" s="609"/>
      <c r="SAN149" s="609"/>
      <c r="SAO149" s="609"/>
      <c r="SAP149" s="609"/>
      <c r="SAQ149" s="609"/>
      <c r="SAR149" s="609"/>
      <c r="SAS149" s="609"/>
      <c r="SAT149" s="609"/>
      <c r="SAU149" s="609"/>
      <c r="SAV149" s="609"/>
      <c r="SAW149" s="609"/>
      <c r="SAX149" s="609"/>
      <c r="SAY149" s="609"/>
      <c r="SAZ149" s="609"/>
      <c r="SBA149" s="609"/>
      <c r="SBB149" s="609"/>
      <c r="SBC149" s="609"/>
      <c r="SBD149" s="609"/>
      <c r="SBE149" s="609"/>
      <c r="SBF149" s="609"/>
      <c r="SBG149" s="609"/>
      <c r="SBH149" s="609"/>
      <c r="SBI149" s="609"/>
      <c r="SBJ149" s="609"/>
      <c r="SBK149" s="609"/>
      <c r="SBL149" s="609"/>
      <c r="SBM149" s="609"/>
      <c r="SBN149" s="609"/>
      <c r="SBO149" s="609"/>
      <c r="SBP149" s="609"/>
      <c r="SBQ149" s="609"/>
      <c r="SBR149" s="609"/>
      <c r="SBS149" s="609"/>
      <c r="SBT149" s="609"/>
      <c r="SBU149" s="609"/>
      <c r="SBV149" s="609"/>
      <c r="SBW149" s="609"/>
      <c r="SBX149" s="609"/>
      <c r="SBY149" s="609"/>
      <c r="SBZ149" s="609"/>
      <c r="SCA149" s="609"/>
      <c r="SCB149" s="609"/>
      <c r="SCC149" s="609"/>
      <c r="SCD149" s="609"/>
      <c r="SCE149" s="609"/>
      <c r="SCF149" s="609"/>
      <c r="SCG149" s="609"/>
      <c r="SCH149" s="609"/>
      <c r="SCI149" s="609"/>
      <c r="SCJ149" s="609"/>
      <c r="SCK149" s="609"/>
      <c r="SCL149" s="609"/>
      <c r="SCM149" s="609"/>
      <c r="SCN149" s="609"/>
      <c r="SCO149" s="609"/>
      <c r="SCP149" s="609"/>
      <c r="SCQ149" s="609"/>
      <c r="SCR149" s="609"/>
      <c r="SCS149" s="609"/>
      <c r="SCT149" s="609"/>
      <c r="SCU149" s="609"/>
      <c r="SCV149" s="609"/>
      <c r="SCW149" s="609"/>
      <c r="SCX149" s="609"/>
      <c r="SCY149" s="609"/>
      <c r="SCZ149" s="609"/>
      <c r="SDA149" s="609"/>
      <c r="SDB149" s="609"/>
      <c r="SDC149" s="609"/>
      <c r="SDD149" s="609"/>
      <c r="SDE149" s="609"/>
      <c r="SDF149" s="609"/>
      <c r="SDG149" s="609"/>
      <c r="SDH149" s="609"/>
      <c r="SDI149" s="609"/>
      <c r="SDJ149" s="609"/>
      <c r="SDK149" s="609"/>
      <c r="SDL149" s="609"/>
      <c r="SDM149" s="609"/>
      <c r="SDN149" s="609"/>
      <c r="SDO149" s="609"/>
      <c r="SDP149" s="609"/>
      <c r="SDQ149" s="609"/>
      <c r="SDR149" s="609"/>
      <c r="SDS149" s="609"/>
      <c r="SDT149" s="609"/>
      <c r="SDU149" s="609"/>
      <c r="SDV149" s="609"/>
      <c r="SDW149" s="609"/>
      <c r="SDX149" s="609"/>
      <c r="SDY149" s="609"/>
      <c r="SDZ149" s="609"/>
      <c r="SEA149" s="609"/>
      <c r="SEB149" s="609"/>
      <c r="SEC149" s="609"/>
      <c r="SED149" s="609"/>
      <c r="SEE149" s="609"/>
      <c r="SEF149" s="609"/>
      <c r="SEG149" s="609"/>
      <c r="SEH149" s="609"/>
      <c r="SEI149" s="609"/>
      <c r="SEJ149" s="609"/>
      <c r="SEK149" s="609"/>
      <c r="SEL149" s="609"/>
      <c r="SEM149" s="609"/>
      <c r="SEN149" s="609"/>
      <c r="SEO149" s="609"/>
      <c r="SEP149" s="609"/>
      <c r="SEQ149" s="609"/>
      <c r="SER149" s="609"/>
      <c r="SES149" s="609"/>
      <c r="SET149" s="609"/>
      <c r="SEU149" s="609"/>
      <c r="SEV149" s="609"/>
      <c r="SEW149" s="609"/>
      <c r="SEX149" s="609"/>
      <c r="SEY149" s="609"/>
      <c r="SEZ149" s="609"/>
      <c r="SFA149" s="609"/>
      <c r="SFB149" s="609"/>
      <c r="SFC149" s="609"/>
      <c r="SFD149" s="609"/>
      <c r="SFE149" s="609"/>
      <c r="SFF149" s="609"/>
      <c r="SFG149" s="609"/>
      <c r="SFH149" s="609"/>
      <c r="SFI149" s="609"/>
      <c r="SFJ149" s="609"/>
      <c r="SFK149" s="609"/>
      <c r="SFL149" s="609"/>
      <c r="SFM149" s="609"/>
      <c r="SFN149" s="609"/>
      <c r="SFO149" s="609"/>
      <c r="SFP149" s="609"/>
      <c r="SFQ149" s="609"/>
      <c r="SFR149" s="609"/>
      <c r="SFS149" s="609"/>
      <c r="SFT149" s="609"/>
      <c r="SFU149" s="609"/>
      <c r="SFV149" s="609"/>
      <c r="SFW149" s="609"/>
      <c r="SFX149" s="609"/>
      <c r="SFY149" s="609"/>
      <c r="SFZ149" s="609"/>
      <c r="SGA149" s="609"/>
      <c r="SGB149" s="609"/>
      <c r="SGC149" s="609"/>
      <c r="SGD149" s="609"/>
      <c r="SGE149" s="609"/>
      <c r="SGF149" s="609"/>
      <c r="SGG149" s="609"/>
      <c r="SGH149" s="609"/>
      <c r="SGI149" s="609"/>
      <c r="SGJ149" s="609"/>
      <c r="SGK149" s="609"/>
      <c r="SGL149" s="609"/>
      <c r="SGM149" s="609"/>
      <c r="SGN149" s="609"/>
      <c r="SGO149" s="609"/>
      <c r="SGP149" s="609"/>
      <c r="SGQ149" s="609"/>
      <c r="SGR149" s="609"/>
      <c r="SGS149" s="609"/>
      <c r="SGT149" s="609"/>
      <c r="SGU149" s="609"/>
      <c r="SGV149" s="609"/>
      <c r="SGW149" s="609"/>
      <c r="SGX149" s="609"/>
      <c r="SGY149" s="609"/>
      <c r="SGZ149" s="609"/>
      <c r="SHA149" s="609"/>
      <c r="SHB149" s="609"/>
      <c r="SHC149" s="609"/>
      <c r="SHD149" s="609"/>
      <c r="SHE149" s="609"/>
      <c r="SHF149" s="609"/>
      <c r="SHG149" s="609"/>
      <c r="SHH149" s="609"/>
      <c r="SHI149" s="609"/>
      <c r="SHJ149" s="609"/>
      <c r="SHK149" s="609"/>
      <c r="SHL149" s="609"/>
      <c r="SHM149" s="609"/>
      <c r="SHN149" s="609"/>
      <c r="SHO149" s="609"/>
      <c r="SHP149" s="609"/>
      <c r="SHQ149" s="609"/>
      <c r="SHR149" s="609"/>
      <c r="SHS149" s="609"/>
      <c r="SHT149" s="609"/>
      <c r="SHU149" s="609"/>
      <c r="SHV149" s="609"/>
      <c r="SHW149" s="609"/>
      <c r="SHX149" s="609"/>
      <c r="SHY149" s="609"/>
      <c r="SHZ149" s="609"/>
      <c r="SIA149" s="609"/>
      <c r="SIB149" s="609"/>
      <c r="SIC149" s="609"/>
      <c r="SID149" s="609"/>
      <c r="SIE149" s="609"/>
      <c r="SIF149" s="609"/>
      <c r="SIG149" s="609"/>
      <c r="SIH149" s="609"/>
      <c r="SII149" s="609"/>
      <c r="SIJ149" s="609"/>
      <c r="SIK149" s="609"/>
      <c r="SIL149" s="609"/>
      <c r="SIM149" s="609"/>
      <c r="SIN149" s="609"/>
      <c r="SIO149" s="609"/>
      <c r="SIP149" s="609"/>
      <c r="SIQ149" s="609"/>
      <c r="SIR149" s="609"/>
      <c r="SIS149" s="609"/>
      <c r="SIT149" s="609"/>
      <c r="SIU149" s="609"/>
      <c r="SIV149" s="609"/>
      <c r="SIW149" s="609"/>
      <c r="SIX149" s="609"/>
      <c r="SIY149" s="609"/>
      <c r="SIZ149" s="609"/>
      <c r="SJA149" s="609"/>
      <c r="SJB149" s="609"/>
      <c r="SJC149" s="609"/>
      <c r="SJD149" s="609"/>
      <c r="SJE149" s="609"/>
      <c r="SJF149" s="609"/>
      <c r="SJG149" s="609"/>
      <c r="SJH149" s="609"/>
      <c r="SJI149" s="609"/>
      <c r="SJJ149" s="609"/>
      <c r="SJK149" s="609"/>
      <c r="SJL149" s="609"/>
      <c r="SJM149" s="609"/>
      <c r="SJN149" s="609"/>
      <c r="SJO149" s="609"/>
      <c r="SJP149" s="609"/>
      <c r="SJQ149" s="609"/>
      <c r="SJR149" s="609"/>
      <c r="SJS149" s="609"/>
      <c r="SJT149" s="609"/>
      <c r="SJU149" s="609"/>
      <c r="SJV149" s="609"/>
      <c r="SJW149" s="609"/>
      <c r="SJX149" s="609"/>
      <c r="SJY149" s="609"/>
      <c r="SJZ149" s="609"/>
      <c r="SKA149" s="609"/>
      <c r="SKB149" s="609"/>
      <c r="SKC149" s="609"/>
      <c r="SKD149" s="609"/>
      <c r="SKE149" s="609"/>
      <c r="SKF149" s="609"/>
      <c r="SKG149" s="609"/>
      <c r="SKH149" s="609"/>
      <c r="SKI149" s="609"/>
      <c r="SKJ149" s="609"/>
      <c r="SKK149" s="609"/>
      <c r="SKL149" s="609"/>
      <c r="SKM149" s="609"/>
      <c r="SKN149" s="609"/>
      <c r="SKO149" s="609"/>
      <c r="SKP149" s="609"/>
      <c r="SKQ149" s="609"/>
      <c r="SKR149" s="609"/>
      <c r="SKS149" s="609"/>
      <c r="SKT149" s="609"/>
      <c r="SKU149" s="609"/>
      <c r="SKV149" s="609"/>
      <c r="SKW149" s="609"/>
      <c r="SKX149" s="609"/>
      <c r="SKY149" s="609"/>
      <c r="SKZ149" s="609"/>
      <c r="SLA149" s="609"/>
      <c r="SLB149" s="609"/>
      <c r="SLC149" s="609"/>
      <c r="SLD149" s="609"/>
      <c r="SLE149" s="609"/>
      <c r="SLF149" s="609"/>
      <c r="SLG149" s="609"/>
      <c r="SLH149" s="609"/>
      <c r="SLI149" s="609"/>
      <c r="SLJ149" s="609"/>
      <c r="SLK149" s="609"/>
      <c r="SLL149" s="609"/>
      <c r="SLM149" s="609"/>
      <c r="SLN149" s="609"/>
      <c r="SLO149" s="609"/>
      <c r="SLP149" s="609"/>
      <c r="SLQ149" s="609"/>
      <c r="SLR149" s="609"/>
      <c r="SLS149" s="609"/>
      <c r="SLT149" s="609"/>
      <c r="SLU149" s="609"/>
      <c r="SLV149" s="609"/>
      <c r="SLW149" s="609"/>
      <c r="SLX149" s="609"/>
      <c r="SLY149" s="609"/>
      <c r="SLZ149" s="609"/>
      <c r="SMA149" s="609"/>
      <c r="SMB149" s="609"/>
      <c r="SMC149" s="609"/>
      <c r="SMD149" s="609"/>
      <c r="SME149" s="609"/>
      <c r="SMF149" s="609"/>
      <c r="SMG149" s="609"/>
      <c r="SMH149" s="609"/>
      <c r="SMI149" s="609"/>
      <c r="SMJ149" s="609"/>
      <c r="SMK149" s="609"/>
      <c r="SML149" s="609"/>
      <c r="SMM149" s="609"/>
      <c r="SMN149" s="609"/>
      <c r="SMO149" s="609"/>
      <c r="SMP149" s="609"/>
      <c r="SMQ149" s="609"/>
      <c r="SMR149" s="609"/>
      <c r="SMS149" s="609"/>
      <c r="SMT149" s="609"/>
      <c r="SMU149" s="609"/>
      <c r="SMV149" s="609"/>
      <c r="SMW149" s="609"/>
      <c r="SMX149" s="609"/>
      <c r="SMY149" s="609"/>
      <c r="SMZ149" s="609"/>
      <c r="SNA149" s="609"/>
      <c r="SNB149" s="609"/>
      <c r="SNC149" s="609"/>
      <c r="SND149" s="609"/>
      <c r="SNE149" s="609"/>
      <c r="SNF149" s="609"/>
      <c r="SNG149" s="609"/>
      <c r="SNH149" s="609"/>
      <c r="SNI149" s="609"/>
      <c r="SNJ149" s="609"/>
      <c r="SNK149" s="609"/>
      <c r="SNL149" s="609"/>
      <c r="SNM149" s="609"/>
      <c r="SNN149" s="609"/>
      <c r="SNO149" s="609"/>
      <c r="SNP149" s="609"/>
      <c r="SNQ149" s="609"/>
      <c r="SNR149" s="609"/>
      <c r="SNS149" s="609"/>
      <c r="SNT149" s="609"/>
      <c r="SNU149" s="609"/>
      <c r="SNV149" s="609"/>
      <c r="SNW149" s="609"/>
      <c r="SNX149" s="609"/>
      <c r="SNY149" s="609"/>
      <c r="SNZ149" s="609"/>
      <c r="SOA149" s="609"/>
      <c r="SOB149" s="609"/>
      <c r="SOC149" s="609"/>
      <c r="SOD149" s="609"/>
      <c r="SOE149" s="609"/>
      <c r="SOF149" s="609"/>
      <c r="SOG149" s="609"/>
      <c r="SOH149" s="609"/>
      <c r="SOI149" s="609"/>
      <c r="SOJ149" s="609"/>
      <c r="SOK149" s="609"/>
      <c r="SOL149" s="609"/>
      <c r="SOM149" s="609"/>
      <c r="SON149" s="609"/>
      <c r="SOO149" s="609"/>
      <c r="SOP149" s="609"/>
      <c r="SOQ149" s="609"/>
      <c r="SOR149" s="609"/>
      <c r="SOS149" s="609"/>
      <c r="SOT149" s="609"/>
      <c r="SOU149" s="609"/>
      <c r="SOV149" s="609"/>
      <c r="SOW149" s="609"/>
      <c r="SOX149" s="609"/>
      <c r="SOY149" s="609"/>
      <c r="SOZ149" s="609"/>
      <c r="SPA149" s="609"/>
      <c r="SPB149" s="609"/>
      <c r="SPC149" s="609"/>
      <c r="SPD149" s="609"/>
      <c r="SPE149" s="609"/>
      <c r="SPF149" s="609"/>
      <c r="SPG149" s="609"/>
      <c r="SPH149" s="609"/>
      <c r="SPI149" s="609"/>
      <c r="SPJ149" s="609"/>
      <c r="SPK149" s="609"/>
      <c r="SPL149" s="609"/>
      <c r="SPM149" s="609"/>
      <c r="SPN149" s="609"/>
      <c r="SPO149" s="609"/>
      <c r="SPP149" s="609"/>
      <c r="SPQ149" s="609"/>
      <c r="SPR149" s="609"/>
      <c r="SPS149" s="609"/>
      <c r="SPT149" s="609"/>
      <c r="SPU149" s="609"/>
      <c r="SPV149" s="609"/>
      <c r="SPW149" s="609"/>
      <c r="SPX149" s="609"/>
      <c r="SPY149" s="609"/>
      <c r="SPZ149" s="609"/>
      <c r="SQA149" s="609"/>
      <c r="SQB149" s="609"/>
      <c r="SQC149" s="609"/>
      <c r="SQD149" s="609"/>
      <c r="SQE149" s="609"/>
      <c r="SQF149" s="609"/>
      <c r="SQG149" s="609"/>
      <c r="SQH149" s="609"/>
      <c r="SQI149" s="609"/>
      <c r="SQJ149" s="609"/>
      <c r="SQK149" s="609"/>
      <c r="SQL149" s="609"/>
      <c r="SQM149" s="609"/>
      <c r="SQN149" s="609"/>
      <c r="SQO149" s="609"/>
      <c r="SQP149" s="609"/>
      <c r="SQQ149" s="609"/>
      <c r="SQR149" s="609"/>
      <c r="SQS149" s="609"/>
      <c r="SQT149" s="609"/>
      <c r="SQU149" s="609"/>
      <c r="SQV149" s="609"/>
      <c r="SQW149" s="609"/>
      <c r="SQX149" s="609"/>
      <c r="SQY149" s="609"/>
      <c r="SQZ149" s="609"/>
      <c r="SRA149" s="609"/>
      <c r="SRB149" s="609"/>
      <c r="SRC149" s="609"/>
      <c r="SRD149" s="609"/>
      <c r="SRE149" s="609"/>
      <c r="SRF149" s="609"/>
      <c r="SRG149" s="609"/>
      <c r="SRH149" s="609"/>
      <c r="SRI149" s="609"/>
      <c r="SRJ149" s="609"/>
      <c r="SRK149" s="609"/>
      <c r="SRL149" s="609"/>
      <c r="SRM149" s="609"/>
      <c r="SRN149" s="609"/>
      <c r="SRO149" s="609"/>
      <c r="SRP149" s="609"/>
      <c r="SRQ149" s="609"/>
      <c r="SRR149" s="609"/>
      <c r="SRS149" s="609"/>
      <c r="SRT149" s="609"/>
      <c r="SRU149" s="609"/>
      <c r="SRV149" s="609"/>
      <c r="SRW149" s="609"/>
      <c r="SRX149" s="609"/>
      <c r="SRY149" s="609"/>
      <c r="SRZ149" s="609"/>
      <c r="SSA149" s="609"/>
      <c r="SSB149" s="609"/>
      <c r="SSC149" s="609"/>
      <c r="SSD149" s="609"/>
      <c r="SSE149" s="609"/>
      <c r="SSF149" s="609"/>
      <c r="SSG149" s="609"/>
      <c r="SSH149" s="609"/>
      <c r="SSI149" s="609"/>
      <c r="SSJ149" s="609"/>
      <c r="SSK149" s="609"/>
      <c r="SSL149" s="609"/>
      <c r="SSM149" s="609"/>
      <c r="SSN149" s="609"/>
      <c r="SSO149" s="609"/>
      <c r="SSP149" s="609"/>
      <c r="SSQ149" s="609"/>
      <c r="SSR149" s="609"/>
      <c r="SSS149" s="609"/>
      <c r="SST149" s="609"/>
      <c r="SSU149" s="609"/>
      <c r="SSV149" s="609"/>
      <c r="SSW149" s="609"/>
      <c r="SSX149" s="609"/>
      <c r="SSY149" s="609"/>
      <c r="SSZ149" s="609"/>
      <c r="STA149" s="609"/>
      <c r="STB149" s="609"/>
      <c r="STC149" s="609"/>
      <c r="STD149" s="609"/>
      <c r="STE149" s="609"/>
      <c r="STF149" s="609"/>
      <c r="STG149" s="609"/>
      <c r="STH149" s="609"/>
      <c r="STI149" s="609"/>
      <c r="STJ149" s="609"/>
      <c r="STK149" s="609"/>
      <c r="STL149" s="609"/>
      <c r="STM149" s="609"/>
      <c r="STN149" s="609"/>
      <c r="STO149" s="609"/>
      <c r="STP149" s="609"/>
      <c r="STQ149" s="609"/>
      <c r="STR149" s="609"/>
      <c r="STS149" s="609"/>
      <c r="STT149" s="609"/>
      <c r="STU149" s="609"/>
      <c r="STV149" s="609"/>
      <c r="STW149" s="609"/>
      <c r="STX149" s="609"/>
      <c r="STY149" s="609"/>
      <c r="STZ149" s="609"/>
      <c r="SUA149" s="609"/>
      <c r="SUB149" s="609"/>
      <c r="SUC149" s="609"/>
      <c r="SUD149" s="609"/>
      <c r="SUE149" s="609"/>
      <c r="SUF149" s="609"/>
      <c r="SUG149" s="609"/>
      <c r="SUH149" s="609"/>
      <c r="SUI149" s="609"/>
      <c r="SUJ149" s="609"/>
      <c r="SUK149" s="609"/>
      <c r="SUL149" s="609"/>
      <c r="SUM149" s="609"/>
      <c r="SUN149" s="609"/>
      <c r="SUO149" s="609"/>
      <c r="SUP149" s="609"/>
      <c r="SUQ149" s="609"/>
      <c r="SUR149" s="609"/>
      <c r="SUS149" s="609"/>
      <c r="SUT149" s="609"/>
      <c r="SUU149" s="609"/>
      <c r="SUV149" s="609"/>
      <c r="SUW149" s="609"/>
      <c r="SUX149" s="609"/>
      <c r="SUY149" s="609"/>
      <c r="SUZ149" s="609"/>
      <c r="SVA149" s="609"/>
      <c r="SVB149" s="609"/>
      <c r="SVC149" s="609"/>
      <c r="SVD149" s="609"/>
      <c r="SVE149" s="609"/>
      <c r="SVF149" s="609"/>
      <c r="SVG149" s="609"/>
      <c r="SVH149" s="609"/>
      <c r="SVI149" s="609"/>
      <c r="SVJ149" s="609"/>
      <c r="SVK149" s="609"/>
      <c r="SVL149" s="609"/>
      <c r="SVM149" s="609"/>
      <c r="SVN149" s="609"/>
      <c r="SVO149" s="609"/>
      <c r="SVP149" s="609"/>
      <c r="SVQ149" s="609"/>
      <c r="SVR149" s="609"/>
      <c r="SVS149" s="609"/>
      <c r="SVT149" s="609"/>
      <c r="SVU149" s="609"/>
      <c r="SVV149" s="609"/>
      <c r="SVW149" s="609"/>
      <c r="SVX149" s="609"/>
      <c r="SVY149" s="609"/>
      <c r="SVZ149" s="609"/>
      <c r="SWA149" s="609"/>
      <c r="SWB149" s="609"/>
      <c r="SWC149" s="609"/>
      <c r="SWD149" s="609"/>
      <c r="SWE149" s="609"/>
      <c r="SWF149" s="609"/>
      <c r="SWG149" s="609"/>
      <c r="SWH149" s="609"/>
      <c r="SWI149" s="609"/>
      <c r="SWJ149" s="609"/>
      <c r="SWK149" s="609"/>
      <c r="SWL149" s="609"/>
      <c r="SWM149" s="609"/>
      <c r="SWN149" s="609"/>
      <c r="SWO149" s="609"/>
      <c r="SWP149" s="609"/>
      <c r="SWQ149" s="609"/>
      <c r="SWR149" s="609"/>
      <c r="SWS149" s="609"/>
      <c r="SWT149" s="609"/>
      <c r="SWU149" s="609"/>
      <c r="SWV149" s="609"/>
      <c r="SWW149" s="609"/>
      <c r="SWX149" s="609"/>
      <c r="SWY149" s="609"/>
      <c r="SWZ149" s="609"/>
      <c r="SXA149" s="609"/>
      <c r="SXB149" s="609"/>
      <c r="SXC149" s="609"/>
      <c r="SXD149" s="609"/>
      <c r="SXE149" s="609"/>
      <c r="SXF149" s="609"/>
      <c r="SXG149" s="609"/>
      <c r="SXH149" s="609"/>
      <c r="SXI149" s="609"/>
      <c r="SXJ149" s="609"/>
      <c r="SXK149" s="609"/>
      <c r="SXL149" s="609"/>
      <c r="SXM149" s="609"/>
      <c r="SXN149" s="609"/>
      <c r="SXO149" s="609"/>
      <c r="SXP149" s="609"/>
      <c r="SXQ149" s="609"/>
      <c r="SXR149" s="609"/>
      <c r="SXS149" s="609"/>
      <c r="SXT149" s="609"/>
      <c r="SXU149" s="609"/>
      <c r="SXV149" s="609"/>
      <c r="SXW149" s="609"/>
      <c r="SXX149" s="609"/>
      <c r="SXY149" s="609"/>
      <c r="SXZ149" s="609"/>
      <c r="SYA149" s="609"/>
      <c r="SYB149" s="609"/>
      <c r="SYC149" s="609"/>
      <c r="SYD149" s="609"/>
      <c r="SYE149" s="609"/>
      <c r="SYF149" s="609"/>
      <c r="SYG149" s="609"/>
      <c r="SYH149" s="609"/>
      <c r="SYI149" s="609"/>
      <c r="SYJ149" s="609"/>
      <c r="SYK149" s="609"/>
      <c r="SYL149" s="609"/>
      <c r="SYM149" s="609"/>
      <c r="SYN149" s="609"/>
      <c r="SYO149" s="609"/>
      <c r="SYP149" s="609"/>
      <c r="SYQ149" s="609"/>
      <c r="SYR149" s="609"/>
      <c r="SYS149" s="609"/>
      <c r="SYT149" s="609"/>
      <c r="SYU149" s="609"/>
      <c r="SYV149" s="609"/>
      <c r="SYW149" s="609"/>
      <c r="SYX149" s="609"/>
      <c r="SYY149" s="609"/>
      <c r="SYZ149" s="609"/>
      <c r="SZA149" s="609"/>
      <c r="SZB149" s="609"/>
      <c r="SZC149" s="609"/>
      <c r="SZD149" s="609"/>
      <c r="SZE149" s="609"/>
      <c r="SZF149" s="609"/>
      <c r="SZG149" s="609"/>
      <c r="SZH149" s="609"/>
      <c r="SZI149" s="609"/>
      <c r="SZJ149" s="609"/>
      <c r="SZK149" s="609"/>
      <c r="SZL149" s="609"/>
      <c r="SZM149" s="609"/>
      <c r="SZN149" s="609"/>
      <c r="SZO149" s="609"/>
      <c r="SZP149" s="609"/>
      <c r="SZQ149" s="609"/>
      <c r="SZR149" s="609"/>
      <c r="SZS149" s="609"/>
      <c r="SZT149" s="609"/>
      <c r="SZU149" s="609"/>
      <c r="SZV149" s="609"/>
      <c r="SZW149" s="609"/>
      <c r="SZX149" s="609"/>
      <c r="SZY149" s="609"/>
      <c r="SZZ149" s="609"/>
      <c r="TAA149" s="609"/>
      <c r="TAB149" s="609"/>
      <c r="TAC149" s="609"/>
      <c r="TAD149" s="609"/>
      <c r="TAE149" s="609"/>
      <c r="TAF149" s="609"/>
      <c r="TAG149" s="609"/>
      <c r="TAH149" s="609"/>
      <c r="TAI149" s="609"/>
      <c r="TAJ149" s="609"/>
      <c r="TAK149" s="609"/>
      <c r="TAL149" s="609"/>
      <c r="TAM149" s="609"/>
      <c r="TAN149" s="609"/>
      <c r="TAO149" s="609"/>
      <c r="TAP149" s="609"/>
      <c r="TAQ149" s="609"/>
      <c r="TAR149" s="609"/>
      <c r="TAS149" s="609"/>
      <c r="TAT149" s="609"/>
      <c r="TAU149" s="609"/>
      <c r="TAV149" s="609"/>
      <c r="TAW149" s="609"/>
      <c r="TAX149" s="609"/>
      <c r="TAY149" s="609"/>
      <c r="TAZ149" s="609"/>
      <c r="TBA149" s="609"/>
      <c r="TBB149" s="609"/>
      <c r="TBC149" s="609"/>
      <c r="TBD149" s="609"/>
      <c r="TBE149" s="609"/>
      <c r="TBF149" s="609"/>
      <c r="TBG149" s="609"/>
      <c r="TBH149" s="609"/>
      <c r="TBI149" s="609"/>
      <c r="TBJ149" s="609"/>
      <c r="TBK149" s="609"/>
      <c r="TBL149" s="609"/>
      <c r="TBM149" s="609"/>
      <c r="TBN149" s="609"/>
      <c r="TBO149" s="609"/>
      <c r="TBP149" s="609"/>
      <c r="TBQ149" s="609"/>
      <c r="TBR149" s="609"/>
      <c r="TBS149" s="609"/>
      <c r="TBT149" s="609"/>
      <c r="TBU149" s="609"/>
      <c r="TBV149" s="609"/>
      <c r="TBW149" s="609"/>
      <c r="TBX149" s="609"/>
      <c r="TBY149" s="609"/>
      <c r="TBZ149" s="609"/>
      <c r="TCA149" s="609"/>
      <c r="TCB149" s="609"/>
      <c r="TCC149" s="609"/>
      <c r="TCD149" s="609"/>
      <c r="TCE149" s="609"/>
      <c r="TCF149" s="609"/>
      <c r="TCG149" s="609"/>
      <c r="TCH149" s="609"/>
      <c r="TCI149" s="609"/>
      <c r="TCJ149" s="609"/>
      <c r="TCK149" s="609"/>
      <c r="TCL149" s="609"/>
      <c r="TCM149" s="609"/>
      <c r="TCN149" s="609"/>
      <c r="TCO149" s="609"/>
      <c r="TCP149" s="609"/>
      <c r="TCQ149" s="609"/>
      <c r="TCR149" s="609"/>
      <c r="TCS149" s="609"/>
      <c r="TCT149" s="609"/>
      <c r="TCU149" s="609"/>
      <c r="TCV149" s="609"/>
      <c r="TCW149" s="609"/>
      <c r="TCX149" s="609"/>
      <c r="TCY149" s="609"/>
      <c r="TCZ149" s="609"/>
      <c r="TDA149" s="609"/>
      <c r="TDB149" s="609"/>
      <c r="TDC149" s="609"/>
      <c r="TDD149" s="609"/>
      <c r="TDE149" s="609"/>
      <c r="TDF149" s="609"/>
      <c r="TDG149" s="609"/>
      <c r="TDH149" s="609"/>
      <c r="TDI149" s="609"/>
      <c r="TDJ149" s="609"/>
      <c r="TDK149" s="609"/>
      <c r="TDL149" s="609"/>
      <c r="TDM149" s="609"/>
      <c r="TDN149" s="609"/>
      <c r="TDO149" s="609"/>
      <c r="TDP149" s="609"/>
      <c r="TDQ149" s="609"/>
      <c r="TDR149" s="609"/>
      <c r="TDS149" s="609"/>
      <c r="TDT149" s="609"/>
      <c r="TDU149" s="609"/>
      <c r="TDV149" s="609"/>
      <c r="TDW149" s="609"/>
      <c r="TDX149" s="609"/>
      <c r="TDY149" s="609"/>
      <c r="TDZ149" s="609"/>
      <c r="TEA149" s="609"/>
      <c r="TEB149" s="609"/>
      <c r="TEC149" s="609"/>
      <c r="TED149" s="609"/>
      <c r="TEE149" s="609"/>
      <c r="TEF149" s="609"/>
      <c r="TEG149" s="609"/>
      <c r="TEH149" s="609"/>
      <c r="TEI149" s="609"/>
      <c r="TEJ149" s="609"/>
      <c r="TEK149" s="609"/>
      <c r="TEL149" s="609"/>
      <c r="TEM149" s="609"/>
      <c r="TEN149" s="609"/>
      <c r="TEO149" s="609"/>
      <c r="TEP149" s="609"/>
      <c r="TEQ149" s="609"/>
      <c r="TER149" s="609"/>
      <c r="TES149" s="609"/>
      <c r="TET149" s="609"/>
      <c r="TEU149" s="609"/>
      <c r="TEV149" s="609"/>
      <c r="TEW149" s="609"/>
      <c r="TEX149" s="609"/>
      <c r="TEY149" s="609"/>
      <c r="TEZ149" s="609"/>
      <c r="TFA149" s="609"/>
      <c r="TFB149" s="609"/>
      <c r="TFC149" s="609"/>
      <c r="TFD149" s="609"/>
      <c r="TFE149" s="609"/>
      <c r="TFF149" s="609"/>
      <c r="TFG149" s="609"/>
      <c r="TFH149" s="609"/>
      <c r="TFI149" s="609"/>
      <c r="TFJ149" s="609"/>
      <c r="TFK149" s="609"/>
      <c r="TFL149" s="609"/>
      <c r="TFM149" s="609"/>
      <c r="TFN149" s="609"/>
      <c r="TFO149" s="609"/>
      <c r="TFP149" s="609"/>
      <c r="TFQ149" s="609"/>
      <c r="TFR149" s="609"/>
      <c r="TFS149" s="609"/>
      <c r="TFT149" s="609"/>
      <c r="TFU149" s="609"/>
      <c r="TFV149" s="609"/>
      <c r="TFW149" s="609"/>
      <c r="TFX149" s="609"/>
      <c r="TFY149" s="609"/>
      <c r="TFZ149" s="609"/>
      <c r="TGA149" s="609"/>
      <c r="TGB149" s="609"/>
      <c r="TGC149" s="609"/>
      <c r="TGD149" s="609"/>
      <c r="TGE149" s="609"/>
      <c r="TGF149" s="609"/>
      <c r="TGG149" s="609"/>
      <c r="TGH149" s="609"/>
      <c r="TGI149" s="609"/>
      <c r="TGJ149" s="609"/>
      <c r="TGK149" s="609"/>
      <c r="TGL149" s="609"/>
      <c r="TGM149" s="609"/>
      <c r="TGN149" s="609"/>
      <c r="TGO149" s="609"/>
      <c r="TGP149" s="609"/>
      <c r="TGQ149" s="609"/>
      <c r="TGR149" s="609"/>
      <c r="TGS149" s="609"/>
      <c r="TGT149" s="609"/>
      <c r="TGU149" s="609"/>
      <c r="TGV149" s="609"/>
      <c r="TGW149" s="609"/>
      <c r="TGX149" s="609"/>
      <c r="TGY149" s="609"/>
      <c r="TGZ149" s="609"/>
      <c r="THA149" s="609"/>
      <c r="THB149" s="609"/>
      <c r="THC149" s="609"/>
      <c r="THD149" s="609"/>
      <c r="THE149" s="609"/>
      <c r="THF149" s="609"/>
      <c r="THG149" s="609"/>
      <c r="THH149" s="609"/>
      <c r="THI149" s="609"/>
      <c r="THJ149" s="609"/>
      <c r="THK149" s="609"/>
      <c r="THL149" s="609"/>
      <c r="THM149" s="609"/>
      <c r="THN149" s="609"/>
      <c r="THO149" s="609"/>
      <c r="THP149" s="609"/>
      <c r="THQ149" s="609"/>
      <c r="THR149" s="609"/>
      <c r="THS149" s="609"/>
      <c r="THT149" s="609"/>
      <c r="THU149" s="609"/>
      <c r="THV149" s="609"/>
      <c r="THW149" s="609"/>
      <c r="THX149" s="609"/>
      <c r="THY149" s="609"/>
      <c r="THZ149" s="609"/>
      <c r="TIA149" s="609"/>
      <c r="TIB149" s="609"/>
      <c r="TIC149" s="609"/>
      <c r="TID149" s="609"/>
      <c r="TIE149" s="609"/>
      <c r="TIF149" s="609"/>
      <c r="TIG149" s="609"/>
      <c r="TIH149" s="609"/>
      <c r="TII149" s="609"/>
      <c r="TIJ149" s="609"/>
      <c r="TIK149" s="609"/>
      <c r="TIL149" s="609"/>
      <c r="TIM149" s="609"/>
      <c r="TIN149" s="609"/>
      <c r="TIO149" s="609"/>
      <c r="TIP149" s="609"/>
      <c r="TIQ149" s="609"/>
      <c r="TIR149" s="609"/>
      <c r="TIS149" s="609"/>
      <c r="TIT149" s="609"/>
      <c r="TIU149" s="609"/>
      <c r="TIV149" s="609"/>
      <c r="TIW149" s="609"/>
      <c r="TIX149" s="609"/>
      <c r="TIY149" s="609"/>
      <c r="TIZ149" s="609"/>
      <c r="TJA149" s="609"/>
      <c r="TJB149" s="609"/>
      <c r="TJC149" s="609"/>
      <c r="TJD149" s="609"/>
      <c r="TJE149" s="609"/>
      <c r="TJF149" s="609"/>
      <c r="TJG149" s="609"/>
      <c r="TJH149" s="609"/>
      <c r="TJI149" s="609"/>
      <c r="TJJ149" s="609"/>
      <c r="TJK149" s="609"/>
      <c r="TJL149" s="609"/>
      <c r="TJM149" s="609"/>
      <c r="TJN149" s="609"/>
      <c r="TJO149" s="609"/>
      <c r="TJP149" s="609"/>
      <c r="TJQ149" s="609"/>
      <c r="TJR149" s="609"/>
      <c r="TJS149" s="609"/>
      <c r="TJT149" s="609"/>
      <c r="TJU149" s="609"/>
      <c r="TJV149" s="609"/>
      <c r="TJW149" s="609"/>
      <c r="TJX149" s="609"/>
      <c r="TJY149" s="609"/>
      <c r="TJZ149" s="609"/>
      <c r="TKA149" s="609"/>
      <c r="TKB149" s="609"/>
      <c r="TKC149" s="609"/>
      <c r="TKD149" s="609"/>
      <c r="TKE149" s="609"/>
      <c r="TKF149" s="609"/>
      <c r="TKG149" s="609"/>
      <c r="TKH149" s="609"/>
      <c r="TKI149" s="609"/>
      <c r="TKJ149" s="609"/>
      <c r="TKK149" s="609"/>
      <c r="TKL149" s="609"/>
      <c r="TKM149" s="609"/>
      <c r="TKN149" s="609"/>
      <c r="TKO149" s="609"/>
      <c r="TKP149" s="609"/>
      <c r="TKQ149" s="609"/>
      <c r="TKR149" s="609"/>
      <c r="TKS149" s="609"/>
      <c r="TKT149" s="609"/>
      <c r="TKU149" s="609"/>
      <c r="TKV149" s="609"/>
      <c r="TKW149" s="609"/>
      <c r="TKX149" s="609"/>
      <c r="TKY149" s="609"/>
      <c r="TKZ149" s="609"/>
      <c r="TLA149" s="609"/>
      <c r="TLB149" s="609"/>
      <c r="TLC149" s="609"/>
      <c r="TLD149" s="609"/>
      <c r="TLE149" s="609"/>
      <c r="TLF149" s="609"/>
      <c r="TLG149" s="609"/>
      <c r="TLH149" s="609"/>
      <c r="TLI149" s="609"/>
      <c r="TLJ149" s="609"/>
      <c r="TLK149" s="609"/>
      <c r="TLL149" s="609"/>
      <c r="TLM149" s="609"/>
      <c r="TLN149" s="609"/>
      <c r="TLO149" s="609"/>
      <c r="TLP149" s="609"/>
      <c r="TLQ149" s="609"/>
      <c r="TLR149" s="609"/>
      <c r="TLS149" s="609"/>
      <c r="TLT149" s="609"/>
      <c r="TLU149" s="609"/>
      <c r="TLV149" s="609"/>
      <c r="TLW149" s="609"/>
      <c r="TLX149" s="609"/>
      <c r="TLY149" s="609"/>
      <c r="TLZ149" s="609"/>
      <c r="TMA149" s="609"/>
      <c r="TMB149" s="609"/>
      <c r="TMC149" s="609"/>
      <c r="TMD149" s="609"/>
      <c r="TME149" s="609"/>
      <c r="TMF149" s="609"/>
      <c r="TMG149" s="609"/>
      <c r="TMH149" s="609"/>
      <c r="TMI149" s="609"/>
      <c r="TMJ149" s="609"/>
      <c r="TMK149" s="609"/>
      <c r="TML149" s="609"/>
      <c r="TMM149" s="609"/>
      <c r="TMN149" s="609"/>
      <c r="TMO149" s="609"/>
      <c r="TMP149" s="609"/>
      <c r="TMQ149" s="609"/>
      <c r="TMR149" s="609"/>
      <c r="TMS149" s="609"/>
      <c r="TMT149" s="609"/>
      <c r="TMU149" s="609"/>
      <c r="TMV149" s="609"/>
      <c r="TMW149" s="609"/>
      <c r="TMX149" s="609"/>
      <c r="TMY149" s="609"/>
      <c r="TMZ149" s="609"/>
      <c r="TNA149" s="609"/>
      <c r="TNB149" s="609"/>
      <c r="TNC149" s="609"/>
      <c r="TND149" s="609"/>
      <c r="TNE149" s="609"/>
      <c r="TNF149" s="609"/>
      <c r="TNG149" s="609"/>
      <c r="TNH149" s="609"/>
      <c r="TNI149" s="609"/>
      <c r="TNJ149" s="609"/>
      <c r="TNK149" s="609"/>
      <c r="TNL149" s="609"/>
      <c r="TNM149" s="609"/>
      <c r="TNN149" s="609"/>
      <c r="TNO149" s="609"/>
      <c r="TNP149" s="609"/>
      <c r="TNQ149" s="609"/>
      <c r="TNR149" s="609"/>
      <c r="TNS149" s="609"/>
      <c r="TNT149" s="609"/>
      <c r="TNU149" s="609"/>
      <c r="TNV149" s="609"/>
      <c r="TNW149" s="609"/>
      <c r="TNX149" s="609"/>
      <c r="TNY149" s="609"/>
      <c r="TNZ149" s="609"/>
      <c r="TOA149" s="609"/>
      <c r="TOB149" s="609"/>
      <c r="TOC149" s="609"/>
      <c r="TOD149" s="609"/>
      <c r="TOE149" s="609"/>
      <c r="TOF149" s="609"/>
      <c r="TOG149" s="609"/>
      <c r="TOH149" s="609"/>
      <c r="TOI149" s="609"/>
      <c r="TOJ149" s="609"/>
      <c r="TOK149" s="609"/>
      <c r="TOL149" s="609"/>
      <c r="TOM149" s="609"/>
      <c r="TON149" s="609"/>
      <c r="TOO149" s="609"/>
      <c r="TOP149" s="609"/>
      <c r="TOQ149" s="609"/>
      <c r="TOR149" s="609"/>
      <c r="TOS149" s="609"/>
      <c r="TOT149" s="609"/>
      <c r="TOU149" s="609"/>
      <c r="TOV149" s="609"/>
      <c r="TOW149" s="609"/>
      <c r="TOX149" s="609"/>
      <c r="TOY149" s="609"/>
      <c r="TOZ149" s="609"/>
      <c r="TPA149" s="609"/>
      <c r="TPB149" s="609"/>
      <c r="TPC149" s="609"/>
      <c r="TPD149" s="609"/>
      <c r="TPE149" s="609"/>
      <c r="TPF149" s="609"/>
      <c r="TPG149" s="609"/>
      <c r="TPH149" s="609"/>
      <c r="TPI149" s="609"/>
      <c r="TPJ149" s="609"/>
      <c r="TPK149" s="609"/>
      <c r="TPL149" s="609"/>
      <c r="TPM149" s="609"/>
      <c r="TPN149" s="609"/>
      <c r="TPO149" s="609"/>
      <c r="TPP149" s="609"/>
      <c r="TPQ149" s="609"/>
      <c r="TPR149" s="609"/>
      <c r="TPS149" s="609"/>
      <c r="TPT149" s="609"/>
      <c r="TPU149" s="609"/>
      <c r="TPV149" s="609"/>
      <c r="TPW149" s="609"/>
      <c r="TPX149" s="609"/>
      <c r="TPY149" s="609"/>
      <c r="TPZ149" s="609"/>
      <c r="TQA149" s="609"/>
      <c r="TQB149" s="609"/>
      <c r="TQC149" s="609"/>
      <c r="TQD149" s="609"/>
      <c r="TQE149" s="609"/>
      <c r="TQF149" s="609"/>
      <c r="TQG149" s="609"/>
      <c r="TQH149" s="609"/>
      <c r="TQI149" s="609"/>
      <c r="TQJ149" s="609"/>
      <c r="TQK149" s="609"/>
      <c r="TQL149" s="609"/>
      <c r="TQM149" s="609"/>
      <c r="TQN149" s="609"/>
      <c r="TQO149" s="609"/>
      <c r="TQP149" s="609"/>
      <c r="TQQ149" s="609"/>
      <c r="TQR149" s="609"/>
      <c r="TQS149" s="609"/>
      <c r="TQT149" s="609"/>
      <c r="TQU149" s="609"/>
      <c r="TQV149" s="609"/>
      <c r="TQW149" s="609"/>
      <c r="TQX149" s="609"/>
      <c r="TQY149" s="609"/>
      <c r="TQZ149" s="609"/>
      <c r="TRA149" s="609"/>
      <c r="TRB149" s="609"/>
      <c r="TRC149" s="609"/>
      <c r="TRD149" s="609"/>
      <c r="TRE149" s="609"/>
      <c r="TRF149" s="609"/>
      <c r="TRG149" s="609"/>
      <c r="TRH149" s="609"/>
      <c r="TRI149" s="609"/>
      <c r="TRJ149" s="609"/>
      <c r="TRK149" s="609"/>
      <c r="TRL149" s="609"/>
      <c r="TRM149" s="609"/>
      <c r="TRN149" s="609"/>
      <c r="TRO149" s="609"/>
      <c r="TRP149" s="609"/>
      <c r="TRQ149" s="609"/>
      <c r="TRR149" s="609"/>
      <c r="TRS149" s="609"/>
      <c r="TRT149" s="609"/>
      <c r="TRU149" s="609"/>
      <c r="TRV149" s="609"/>
      <c r="TRW149" s="609"/>
      <c r="TRX149" s="609"/>
      <c r="TRY149" s="609"/>
      <c r="TRZ149" s="609"/>
      <c r="TSA149" s="609"/>
      <c r="TSB149" s="609"/>
      <c r="TSC149" s="609"/>
      <c r="TSD149" s="609"/>
      <c r="TSE149" s="609"/>
      <c r="TSF149" s="609"/>
      <c r="TSG149" s="609"/>
      <c r="TSH149" s="609"/>
      <c r="TSI149" s="609"/>
      <c r="TSJ149" s="609"/>
      <c r="TSK149" s="609"/>
      <c r="TSL149" s="609"/>
      <c r="TSM149" s="609"/>
      <c r="TSN149" s="609"/>
      <c r="TSO149" s="609"/>
      <c r="TSP149" s="609"/>
      <c r="TSQ149" s="609"/>
      <c r="TSR149" s="609"/>
      <c r="TSS149" s="609"/>
      <c r="TST149" s="609"/>
      <c r="TSU149" s="609"/>
      <c r="TSV149" s="609"/>
      <c r="TSW149" s="609"/>
      <c r="TSX149" s="609"/>
      <c r="TSY149" s="609"/>
      <c r="TSZ149" s="609"/>
      <c r="TTA149" s="609"/>
      <c r="TTB149" s="609"/>
      <c r="TTC149" s="609"/>
      <c r="TTD149" s="609"/>
      <c r="TTE149" s="609"/>
      <c r="TTF149" s="609"/>
      <c r="TTG149" s="609"/>
      <c r="TTH149" s="609"/>
      <c r="TTI149" s="609"/>
      <c r="TTJ149" s="609"/>
      <c r="TTK149" s="609"/>
      <c r="TTL149" s="609"/>
      <c r="TTM149" s="609"/>
      <c r="TTN149" s="609"/>
      <c r="TTO149" s="609"/>
      <c r="TTP149" s="609"/>
      <c r="TTQ149" s="609"/>
      <c r="TTR149" s="609"/>
      <c r="TTS149" s="609"/>
      <c r="TTT149" s="609"/>
      <c r="TTU149" s="609"/>
      <c r="TTV149" s="609"/>
      <c r="TTW149" s="609"/>
      <c r="TTX149" s="609"/>
      <c r="TTY149" s="609"/>
      <c r="TTZ149" s="609"/>
      <c r="TUA149" s="609"/>
      <c r="TUB149" s="609"/>
      <c r="TUC149" s="609"/>
      <c r="TUD149" s="609"/>
      <c r="TUE149" s="609"/>
      <c r="TUF149" s="609"/>
      <c r="TUG149" s="609"/>
      <c r="TUH149" s="609"/>
      <c r="TUI149" s="609"/>
      <c r="TUJ149" s="609"/>
      <c r="TUK149" s="609"/>
      <c r="TUL149" s="609"/>
      <c r="TUM149" s="609"/>
      <c r="TUN149" s="609"/>
      <c r="TUO149" s="609"/>
      <c r="TUP149" s="609"/>
      <c r="TUQ149" s="609"/>
      <c r="TUR149" s="609"/>
      <c r="TUS149" s="609"/>
      <c r="TUT149" s="609"/>
      <c r="TUU149" s="609"/>
      <c r="TUV149" s="609"/>
      <c r="TUW149" s="609"/>
      <c r="TUX149" s="609"/>
      <c r="TUY149" s="609"/>
      <c r="TUZ149" s="609"/>
      <c r="TVA149" s="609"/>
      <c r="TVB149" s="609"/>
      <c r="TVC149" s="609"/>
      <c r="TVD149" s="609"/>
      <c r="TVE149" s="609"/>
      <c r="TVF149" s="609"/>
      <c r="TVG149" s="609"/>
      <c r="TVH149" s="609"/>
      <c r="TVI149" s="609"/>
      <c r="TVJ149" s="609"/>
      <c r="TVK149" s="609"/>
      <c r="TVL149" s="609"/>
      <c r="TVM149" s="609"/>
      <c r="TVN149" s="609"/>
      <c r="TVO149" s="609"/>
      <c r="TVP149" s="609"/>
      <c r="TVQ149" s="609"/>
      <c r="TVR149" s="609"/>
      <c r="TVS149" s="609"/>
      <c r="TVT149" s="609"/>
      <c r="TVU149" s="609"/>
      <c r="TVV149" s="609"/>
      <c r="TVW149" s="609"/>
      <c r="TVX149" s="609"/>
      <c r="TVY149" s="609"/>
      <c r="TVZ149" s="609"/>
      <c r="TWA149" s="609"/>
      <c r="TWB149" s="609"/>
      <c r="TWC149" s="609"/>
      <c r="TWD149" s="609"/>
      <c r="TWE149" s="609"/>
      <c r="TWF149" s="609"/>
      <c r="TWG149" s="609"/>
      <c r="TWH149" s="609"/>
      <c r="TWI149" s="609"/>
      <c r="TWJ149" s="609"/>
      <c r="TWK149" s="609"/>
      <c r="TWL149" s="609"/>
      <c r="TWM149" s="609"/>
      <c r="TWN149" s="609"/>
      <c r="TWO149" s="609"/>
      <c r="TWP149" s="609"/>
      <c r="TWQ149" s="609"/>
      <c r="TWR149" s="609"/>
      <c r="TWS149" s="609"/>
      <c r="TWT149" s="609"/>
      <c r="TWU149" s="609"/>
      <c r="TWV149" s="609"/>
      <c r="TWW149" s="609"/>
      <c r="TWX149" s="609"/>
      <c r="TWY149" s="609"/>
      <c r="TWZ149" s="609"/>
      <c r="TXA149" s="609"/>
      <c r="TXB149" s="609"/>
      <c r="TXC149" s="609"/>
      <c r="TXD149" s="609"/>
      <c r="TXE149" s="609"/>
      <c r="TXF149" s="609"/>
      <c r="TXG149" s="609"/>
      <c r="TXH149" s="609"/>
      <c r="TXI149" s="609"/>
      <c r="TXJ149" s="609"/>
      <c r="TXK149" s="609"/>
      <c r="TXL149" s="609"/>
      <c r="TXM149" s="609"/>
      <c r="TXN149" s="609"/>
      <c r="TXO149" s="609"/>
      <c r="TXP149" s="609"/>
      <c r="TXQ149" s="609"/>
      <c r="TXR149" s="609"/>
      <c r="TXS149" s="609"/>
      <c r="TXT149" s="609"/>
      <c r="TXU149" s="609"/>
      <c r="TXV149" s="609"/>
      <c r="TXW149" s="609"/>
      <c r="TXX149" s="609"/>
      <c r="TXY149" s="609"/>
      <c r="TXZ149" s="609"/>
      <c r="TYA149" s="609"/>
      <c r="TYB149" s="609"/>
      <c r="TYC149" s="609"/>
      <c r="TYD149" s="609"/>
      <c r="TYE149" s="609"/>
      <c r="TYF149" s="609"/>
      <c r="TYG149" s="609"/>
      <c r="TYH149" s="609"/>
      <c r="TYI149" s="609"/>
      <c r="TYJ149" s="609"/>
      <c r="TYK149" s="609"/>
      <c r="TYL149" s="609"/>
      <c r="TYM149" s="609"/>
      <c r="TYN149" s="609"/>
      <c r="TYO149" s="609"/>
      <c r="TYP149" s="609"/>
      <c r="TYQ149" s="609"/>
      <c r="TYR149" s="609"/>
      <c r="TYS149" s="609"/>
      <c r="TYT149" s="609"/>
      <c r="TYU149" s="609"/>
      <c r="TYV149" s="609"/>
      <c r="TYW149" s="609"/>
      <c r="TYX149" s="609"/>
      <c r="TYY149" s="609"/>
      <c r="TYZ149" s="609"/>
      <c r="TZA149" s="609"/>
      <c r="TZB149" s="609"/>
      <c r="TZC149" s="609"/>
      <c r="TZD149" s="609"/>
      <c r="TZE149" s="609"/>
      <c r="TZF149" s="609"/>
      <c r="TZG149" s="609"/>
      <c r="TZH149" s="609"/>
      <c r="TZI149" s="609"/>
      <c r="TZJ149" s="609"/>
      <c r="TZK149" s="609"/>
      <c r="TZL149" s="609"/>
      <c r="TZM149" s="609"/>
      <c r="TZN149" s="609"/>
      <c r="TZO149" s="609"/>
      <c r="TZP149" s="609"/>
      <c r="TZQ149" s="609"/>
      <c r="TZR149" s="609"/>
      <c r="TZS149" s="609"/>
      <c r="TZT149" s="609"/>
      <c r="TZU149" s="609"/>
      <c r="TZV149" s="609"/>
      <c r="TZW149" s="609"/>
      <c r="TZX149" s="609"/>
      <c r="TZY149" s="609"/>
      <c r="TZZ149" s="609"/>
      <c r="UAA149" s="609"/>
      <c r="UAB149" s="609"/>
      <c r="UAC149" s="609"/>
      <c r="UAD149" s="609"/>
      <c r="UAE149" s="609"/>
      <c r="UAF149" s="609"/>
      <c r="UAG149" s="609"/>
      <c r="UAH149" s="609"/>
      <c r="UAI149" s="609"/>
      <c r="UAJ149" s="609"/>
      <c r="UAK149" s="609"/>
      <c r="UAL149" s="609"/>
      <c r="UAM149" s="609"/>
      <c r="UAN149" s="609"/>
      <c r="UAO149" s="609"/>
      <c r="UAP149" s="609"/>
      <c r="UAQ149" s="609"/>
      <c r="UAR149" s="609"/>
      <c r="UAS149" s="609"/>
      <c r="UAT149" s="609"/>
      <c r="UAU149" s="609"/>
      <c r="UAV149" s="609"/>
      <c r="UAW149" s="609"/>
      <c r="UAX149" s="609"/>
      <c r="UAY149" s="609"/>
      <c r="UAZ149" s="609"/>
      <c r="UBA149" s="609"/>
      <c r="UBB149" s="609"/>
      <c r="UBC149" s="609"/>
      <c r="UBD149" s="609"/>
      <c r="UBE149" s="609"/>
      <c r="UBF149" s="609"/>
      <c r="UBG149" s="609"/>
      <c r="UBH149" s="609"/>
      <c r="UBI149" s="609"/>
      <c r="UBJ149" s="609"/>
      <c r="UBK149" s="609"/>
      <c r="UBL149" s="609"/>
      <c r="UBM149" s="609"/>
      <c r="UBN149" s="609"/>
      <c r="UBO149" s="609"/>
      <c r="UBP149" s="609"/>
      <c r="UBQ149" s="609"/>
      <c r="UBR149" s="609"/>
      <c r="UBS149" s="609"/>
      <c r="UBT149" s="609"/>
      <c r="UBU149" s="609"/>
      <c r="UBV149" s="609"/>
      <c r="UBW149" s="609"/>
      <c r="UBX149" s="609"/>
      <c r="UBY149" s="609"/>
      <c r="UBZ149" s="609"/>
      <c r="UCA149" s="609"/>
      <c r="UCB149" s="609"/>
      <c r="UCC149" s="609"/>
      <c r="UCD149" s="609"/>
      <c r="UCE149" s="609"/>
      <c r="UCF149" s="609"/>
      <c r="UCG149" s="609"/>
      <c r="UCH149" s="609"/>
      <c r="UCI149" s="609"/>
      <c r="UCJ149" s="609"/>
      <c r="UCK149" s="609"/>
      <c r="UCL149" s="609"/>
      <c r="UCM149" s="609"/>
      <c r="UCN149" s="609"/>
      <c r="UCO149" s="609"/>
      <c r="UCP149" s="609"/>
      <c r="UCQ149" s="609"/>
      <c r="UCR149" s="609"/>
      <c r="UCS149" s="609"/>
      <c r="UCT149" s="609"/>
      <c r="UCU149" s="609"/>
      <c r="UCV149" s="609"/>
      <c r="UCW149" s="609"/>
      <c r="UCX149" s="609"/>
      <c r="UCY149" s="609"/>
      <c r="UCZ149" s="609"/>
      <c r="UDA149" s="609"/>
      <c r="UDB149" s="609"/>
      <c r="UDC149" s="609"/>
      <c r="UDD149" s="609"/>
      <c r="UDE149" s="609"/>
      <c r="UDF149" s="609"/>
      <c r="UDG149" s="609"/>
      <c r="UDH149" s="609"/>
      <c r="UDI149" s="609"/>
      <c r="UDJ149" s="609"/>
      <c r="UDK149" s="609"/>
      <c r="UDL149" s="609"/>
      <c r="UDM149" s="609"/>
      <c r="UDN149" s="609"/>
      <c r="UDO149" s="609"/>
      <c r="UDP149" s="609"/>
      <c r="UDQ149" s="609"/>
      <c r="UDR149" s="609"/>
      <c r="UDS149" s="609"/>
      <c r="UDT149" s="609"/>
      <c r="UDU149" s="609"/>
      <c r="UDV149" s="609"/>
      <c r="UDW149" s="609"/>
      <c r="UDX149" s="609"/>
      <c r="UDY149" s="609"/>
      <c r="UDZ149" s="609"/>
      <c r="UEA149" s="609"/>
      <c r="UEB149" s="609"/>
      <c r="UEC149" s="609"/>
      <c r="UED149" s="609"/>
      <c r="UEE149" s="609"/>
      <c r="UEF149" s="609"/>
      <c r="UEG149" s="609"/>
      <c r="UEH149" s="609"/>
      <c r="UEI149" s="609"/>
      <c r="UEJ149" s="609"/>
      <c r="UEK149" s="609"/>
      <c r="UEL149" s="609"/>
      <c r="UEM149" s="609"/>
      <c r="UEN149" s="609"/>
      <c r="UEO149" s="609"/>
      <c r="UEP149" s="609"/>
      <c r="UEQ149" s="609"/>
      <c r="UER149" s="609"/>
      <c r="UES149" s="609"/>
      <c r="UET149" s="609"/>
      <c r="UEU149" s="609"/>
      <c r="UEV149" s="609"/>
      <c r="UEW149" s="609"/>
      <c r="UEX149" s="609"/>
      <c r="UEY149" s="609"/>
      <c r="UEZ149" s="609"/>
      <c r="UFA149" s="609"/>
      <c r="UFB149" s="609"/>
      <c r="UFC149" s="609"/>
      <c r="UFD149" s="609"/>
      <c r="UFE149" s="609"/>
      <c r="UFF149" s="609"/>
      <c r="UFG149" s="609"/>
      <c r="UFH149" s="609"/>
      <c r="UFI149" s="609"/>
      <c r="UFJ149" s="609"/>
      <c r="UFK149" s="609"/>
      <c r="UFL149" s="609"/>
      <c r="UFM149" s="609"/>
      <c r="UFN149" s="609"/>
      <c r="UFO149" s="609"/>
      <c r="UFP149" s="609"/>
      <c r="UFQ149" s="609"/>
      <c r="UFR149" s="609"/>
      <c r="UFS149" s="609"/>
      <c r="UFT149" s="609"/>
      <c r="UFU149" s="609"/>
      <c r="UFV149" s="609"/>
      <c r="UFW149" s="609"/>
      <c r="UFX149" s="609"/>
      <c r="UFY149" s="609"/>
      <c r="UFZ149" s="609"/>
      <c r="UGA149" s="609"/>
      <c r="UGB149" s="609"/>
      <c r="UGC149" s="609"/>
      <c r="UGD149" s="609"/>
      <c r="UGE149" s="609"/>
      <c r="UGF149" s="609"/>
      <c r="UGG149" s="609"/>
      <c r="UGH149" s="609"/>
      <c r="UGI149" s="609"/>
      <c r="UGJ149" s="609"/>
      <c r="UGK149" s="609"/>
      <c r="UGL149" s="609"/>
      <c r="UGM149" s="609"/>
      <c r="UGN149" s="609"/>
      <c r="UGO149" s="609"/>
      <c r="UGP149" s="609"/>
      <c r="UGQ149" s="609"/>
      <c r="UGR149" s="609"/>
      <c r="UGS149" s="609"/>
      <c r="UGT149" s="609"/>
      <c r="UGU149" s="609"/>
      <c r="UGV149" s="609"/>
      <c r="UGW149" s="609"/>
      <c r="UGX149" s="609"/>
      <c r="UGY149" s="609"/>
      <c r="UGZ149" s="609"/>
      <c r="UHA149" s="609"/>
      <c r="UHB149" s="609"/>
      <c r="UHC149" s="609"/>
      <c r="UHD149" s="609"/>
      <c r="UHE149" s="609"/>
      <c r="UHF149" s="609"/>
      <c r="UHG149" s="609"/>
      <c r="UHH149" s="609"/>
      <c r="UHI149" s="609"/>
      <c r="UHJ149" s="609"/>
      <c r="UHK149" s="609"/>
      <c r="UHL149" s="609"/>
      <c r="UHM149" s="609"/>
      <c r="UHN149" s="609"/>
      <c r="UHO149" s="609"/>
      <c r="UHP149" s="609"/>
      <c r="UHQ149" s="609"/>
      <c r="UHR149" s="609"/>
      <c r="UHS149" s="609"/>
      <c r="UHT149" s="609"/>
      <c r="UHU149" s="609"/>
      <c r="UHV149" s="609"/>
      <c r="UHW149" s="609"/>
      <c r="UHX149" s="609"/>
      <c r="UHY149" s="609"/>
      <c r="UHZ149" s="609"/>
      <c r="UIA149" s="609"/>
      <c r="UIB149" s="609"/>
      <c r="UIC149" s="609"/>
      <c r="UID149" s="609"/>
      <c r="UIE149" s="609"/>
      <c r="UIF149" s="609"/>
      <c r="UIG149" s="609"/>
      <c r="UIH149" s="609"/>
      <c r="UII149" s="609"/>
      <c r="UIJ149" s="609"/>
      <c r="UIK149" s="609"/>
      <c r="UIL149" s="609"/>
      <c r="UIM149" s="609"/>
      <c r="UIN149" s="609"/>
      <c r="UIO149" s="609"/>
      <c r="UIP149" s="609"/>
      <c r="UIQ149" s="609"/>
      <c r="UIR149" s="609"/>
      <c r="UIS149" s="609"/>
      <c r="UIT149" s="609"/>
      <c r="UIU149" s="609"/>
      <c r="UIV149" s="609"/>
      <c r="UIW149" s="609"/>
      <c r="UIX149" s="609"/>
      <c r="UIY149" s="609"/>
      <c r="UIZ149" s="609"/>
      <c r="UJA149" s="609"/>
      <c r="UJB149" s="609"/>
      <c r="UJC149" s="609"/>
      <c r="UJD149" s="609"/>
      <c r="UJE149" s="609"/>
      <c r="UJF149" s="609"/>
      <c r="UJG149" s="609"/>
      <c r="UJH149" s="609"/>
      <c r="UJI149" s="609"/>
      <c r="UJJ149" s="609"/>
      <c r="UJK149" s="609"/>
      <c r="UJL149" s="609"/>
      <c r="UJM149" s="609"/>
      <c r="UJN149" s="609"/>
      <c r="UJO149" s="609"/>
      <c r="UJP149" s="609"/>
      <c r="UJQ149" s="609"/>
      <c r="UJR149" s="609"/>
      <c r="UJS149" s="609"/>
      <c r="UJT149" s="609"/>
      <c r="UJU149" s="609"/>
      <c r="UJV149" s="609"/>
      <c r="UJW149" s="609"/>
      <c r="UJX149" s="609"/>
      <c r="UJY149" s="609"/>
      <c r="UJZ149" s="609"/>
      <c r="UKA149" s="609"/>
      <c r="UKB149" s="609"/>
      <c r="UKC149" s="609"/>
      <c r="UKD149" s="609"/>
      <c r="UKE149" s="609"/>
      <c r="UKF149" s="609"/>
      <c r="UKG149" s="609"/>
      <c r="UKH149" s="609"/>
      <c r="UKI149" s="609"/>
      <c r="UKJ149" s="609"/>
      <c r="UKK149" s="609"/>
      <c r="UKL149" s="609"/>
      <c r="UKM149" s="609"/>
      <c r="UKN149" s="609"/>
      <c r="UKO149" s="609"/>
      <c r="UKP149" s="609"/>
      <c r="UKQ149" s="609"/>
      <c r="UKR149" s="609"/>
      <c r="UKS149" s="609"/>
      <c r="UKT149" s="609"/>
      <c r="UKU149" s="609"/>
      <c r="UKV149" s="609"/>
      <c r="UKW149" s="609"/>
      <c r="UKX149" s="609"/>
      <c r="UKY149" s="609"/>
      <c r="UKZ149" s="609"/>
      <c r="ULA149" s="609"/>
      <c r="ULB149" s="609"/>
      <c r="ULC149" s="609"/>
      <c r="ULD149" s="609"/>
      <c r="ULE149" s="609"/>
      <c r="ULF149" s="609"/>
      <c r="ULG149" s="609"/>
      <c r="ULH149" s="609"/>
      <c r="ULI149" s="609"/>
      <c r="ULJ149" s="609"/>
      <c r="ULK149" s="609"/>
      <c r="ULL149" s="609"/>
      <c r="ULM149" s="609"/>
      <c r="ULN149" s="609"/>
      <c r="ULO149" s="609"/>
      <c r="ULP149" s="609"/>
      <c r="ULQ149" s="609"/>
      <c r="ULR149" s="609"/>
      <c r="ULS149" s="609"/>
      <c r="ULT149" s="609"/>
      <c r="ULU149" s="609"/>
      <c r="ULV149" s="609"/>
      <c r="ULW149" s="609"/>
      <c r="ULX149" s="609"/>
      <c r="ULY149" s="609"/>
      <c r="ULZ149" s="609"/>
      <c r="UMA149" s="609"/>
      <c r="UMB149" s="609"/>
      <c r="UMC149" s="609"/>
      <c r="UMD149" s="609"/>
      <c r="UME149" s="609"/>
      <c r="UMF149" s="609"/>
      <c r="UMG149" s="609"/>
      <c r="UMH149" s="609"/>
      <c r="UMI149" s="609"/>
      <c r="UMJ149" s="609"/>
      <c r="UMK149" s="609"/>
      <c r="UML149" s="609"/>
      <c r="UMM149" s="609"/>
      <c r="UMN149" s="609"/>
      <c r="UMO149" s="609"/>
      <c r="UMP149" s="609"/>
      <c r="UMQ149" s="609"/>
      <c r="UMR149" s="609"/>
      <c r="UMS149" s="609"/>
      <c r="UMT149" s="609"/>
      <c r="UMU149" s="609"/>
      <c r="UMV149" s="609"/>
      <c r="UMW149" s="609"/>
      <c r="UMX149" s="609"/>
      <c r="UMY149" s="609"/>
      <c r="UMZ149" s="609"/>
      <c r="UNA149" s="609"/>
      <c r="UNB149" s="609"/>
      <c r="UNC149" s="609"/>
      <c r="UND149" s="609"/>
      <c r="UNE149" s="609"/>
      <c r="UNF149" s="609"/>
      <c r="UNG149" s="609"/>
      <c r="UNH149" s="609"/>
      <c r="UNI149" s="609"/>
      <c r="UNJ149" s="609"/>
      <c r="UNK149" s="609"/>
      <c r="UNL149" s="609"/>
      <c r="UNM149" s="609"/>
      <c r="UNN149" s="609"/>
      <c r="UNO149" s="609"/>
      <c r="UNP149" s="609"/>
      <c r="UNQ149" s="609"/>
      <c r="UNR149" s="609"/>
      <c r="UNS149" s="609"/>
      <c r="UNT149" s="609"/>
      <c r="UNU149" s="609"/>
      <c r="UNV149" s="609"/>
      <c r="UNW149" s="609"/>
      <c r="UNX149" s="609"/>
      <c r="UNY149" s="609"/>
      <c r="UNZ149" s="609"/>
      <c r="UOA149" s="609"/>
      <c r="UOB149" s="609"/>
      <c r="UOC149" s="609"/>
      <c r="UOD149" s="609"/>
      <c r="UOE149" s="609"/>
      <c r="UOF149" s="609"/>
      <c r="UOG149" s="609"/>
      <c r="UOH149" s="609"/>
      <c r="UOI149" s="609"/>
      <c r="UOJ149" s="609"/>
      <c r="UOK149" s="609"/>
      <c r="UOL149" s="609"/>
      <c r="UOM149" s="609"/>
      <c r="UON149" s="609"/>
      <c r="UOO149" s="609"/>
      <c r="UOP149" s="609"/>
      <c r="UOQ149" s="609"/>
      <c r="UOR149" s="609"/>
      <c r="UOS149" s="609"/>
      <c r="UOT149" s="609"/>
      <c r="UOU149" s="609"/>
      <c r="UOV149" s="609"/>
      <c r="UOW149" s="609"/>
      <c r="UOX149" s="609"/>
      <c r="UOY149" s="609"/>
      <c r="UOZ149" s="609"/>
      <c r="UPA149" s="609"/>
      <c r="UPB149" s="609"/>
      <c r="UPC149" s="609"/>
      <c r="UPD149" s="609"/>
      <c r="UPE149" s="609"/>
      <c r="UPF149" s="609"/>
      <c r="UPG149" s="609"/>
      <c r="UPH149" s="609"/>
      <c r="UPI149" s="609"/>
      <c r="UPJ149" s="609"/>
      <c r="UPK149" s="609"/>
      <c r="UPL149" s="609"/>
      <c r="UPM149" s="609"/>
      <c r="UPN149" s="609"/>
      <c r="UPO149" s="609"/>
      <c r="UPP149" s="609"/>
      <c r="UPQ149" s="609"/>
      <c r="UPR149" s="609"/>
      <c r="UPS149" s="609"/>
      <c r="UPT149" s="609"/>
      <c r="UPU149" s="609"/>
      <c r="UPV149" s="609"/>
      <c r="UPW149" s="609"/>
      <c r="UPX149" s="609"/>
      <c r="UPY149" s="609"/>
      <c r="UPZ149" s="609"/>
      <c r="UQA149" s="609"/>
      <c r="UQB149" s="609"/>
      <c r="UQC149" s="609"/>
      <c r="UQD149" s="609"/>
      <c r="UQE149" s="609"/>
      <c r="UQF149" s="609"/>
      <c r="UQG149" s="609"/>
      <c r="UQH149" s="609"/>
      <c r="UQI149" s="609"/>
      <c r="UQJ149" s="609"/>
      <c r="UQK149" s="609"/>
      <c r="UQL149" s="609"/>
      <c r="UQM149" s="609"/>
      <c r="UQN149" s="609"/>
      <c r="UQO149" s="609"/>
      <c r="UQP149" s="609"/>
      <c r="UQQ149" s="609"/>
      <c r="UQR149" s="609"/>
      <c r="UQS149" s="609"/>
      <c r="UQT149" s="609"/>
      <c r="UQU149" s="609"/>
      <c r="UQV149" s="609"/>
      <c r="UQW149" s="609"/>
      <c r="UQX149" s="609"/>
      <c r="UQY149" s="609"/>
      <c r="UQZ149" s="609"/>
      <c r="URA149" s="609"/>
      <c r="URB149" s="609"/>
      <c r="URC149" s="609"/>
      <c r="URD149" s="609"/>
      <c r="URE149" s="609"/>
      <c r="URF149" s="609"/>
      <c r="URG149" s="609"/>
      <c r="URH149" s="609"/>
      <c r="URI149" s="609"/>
      <c r="URJ149" s="609"/>
      <c r="URK149" s="609"/>
      <c r="URL149" s="609"/>
      <c r="URM149" s="609"/>
      <c r="URN149" s="609"/>
      <c r="URO149" s="609"/>
      <c r="URP149" s="609"/>
      <c r="URQ149" s="609"/>
      <c r="URR149" s="609"/>
      <c r="URS149" s="609"/>
      <c r="URT149" s="609"/>
      <c r="URU149" s="609"/>
      <c r="URV149" s="609"/>
      <c r="URW149" s="609"/>
      <c r="URX149" s="609"/>
      <c r="URY149" s="609"/>
      <c r="URZ149" s="609"/>
      <c r="USA149" s="609"/>
      <c r="USB149" s="609"/>
      <c r="USC149" s="609"/>
      <c r="USD149" s="609"/>
      <c r="USE149" s="609"/>
      <c r="USF149" s="609"/>
      <c r="USG149" s="609"/>
      <c r="USH149" s="609"/>
      <c r="USI149" s="609"/>
      <c r="USJ149" s="609"/>
      <c r="USK149" s="609"/>
      <c r="USL149" s="609"/>
      <c r="USM149" s="609"/>
      <c r="USN149" s="609"/>
      <c r="USO149" s="609"/>
      <c r="USP149" s="609"/>
      <c r="USQ149" s="609"/>
      <c r="USR149" s="609"/>
      <c r="USS149" s="609"/>
      <c r="UST149" s="609"/>
      <c r="USU149" s="609"/>
      <c r="USV149" s="609"/>
      <c r="USW149" s="609"/>
      <c r="USX149" s="609"/>
      <c r="USY149" s="609"/>
      <c r="USZ149" s="609"/>
      <c r="UTA149" s="609"/>
      <c r="UTB149" s="609"/>
      <c r="UTC149" s="609"/>
      <c r="UTD149" s="609"/>
      <c r="UTE149" s="609"/>
      <c r="UTF149" s="609"/>
      <c r="UTG149" s="609"/>
      <c r="UTH149" s="609"/>
      <c r="UTI149" s="609"/>
      <c r="UTJ149" s="609"/>
      <c r="UTK149" s="609"/>
      <c r="UTL149" s="609"/>
      <c r="UTM149" s="609"/>
      <c r="UTN149" s="609"/>
      <c r="UTO149" s="609"/>
      <c r="UTP149" s="609"/>
      <c r="UTQ149" s="609"/>
      <c r="UTR149" s="609"/>
      <c r="UTS149" s="609"/>
      <c r="UTT149" s="609"/>
      <c r="UTU149" s="609"/>
      <c r="UTV149" s="609"/>
      <c r="UTW149" s="609"/>
      <c r="UTX149" s="609"/>
      <c r="UTY149" s="609"/>
      <c r="UTZ149" s="609"/>
      <c r="UUA149" s="609"/>
      <c r="UUB149" s="609"/>
      <c r="UUC149" s="609"/>
      <c r="UUD149" s="609"/>
      <c r="UUE149" s="609"/>
      <c r="UUF149" s="609"/>
      <c r="UUG149" s="609"/>
      <c r="UUH149" s="609"/>
      <c r="UUI149" s="609"/>
      <c r="UUJ149" s="609"/>
      <c r="UUK149" s="609"/>
      <c r="UUL149" s="609"/>
      <c r="UUM149" s="609"/>
      <c r="UUN149" s="609"/>
      <c r="UUO149" s="609"/>
      <c r="UUP149" s="609"/>
      <c r="UUQ149" s="609"/>
      <c r="UUR149" s="609"/>
      <c r="UUS149" s="609"/>
      <c r="UUT149" s="609"/>
      <c r="UUU149" s="609"/>
      <c r="UUV149" s="609"/>
      <c r="UUW149" s="609"/>
      <c r="UUX149" s="609"/>
      <c r="UUY149" s="609"/>
      <c r="UUZ149" s="609"/>
      <c r="UVA149" s="609"/>
      <c r="UVB149" s="609"/>
      <c r="UVC149" s="609"/>
      <c r="UVD149" s="609"/>
      <c r="UVE149" s="609"/>
      <c r="UVF149" s="609"/>
      <c r="UVG149" s="609"/>
      <c r="UVH149" s="609"/>
      <c r="UVI149" s="609"/>
      <c r="UVJ149" s="609"/>
      <c r="UVK149" s="609"/>
      <c r="UVL149" s="609"/>
      <c r="UVM149" s="609"/>
      <c r="UVN149" s="609"/>
      <c r="UVO149" s="609"/>
      <c r="UVP149" s="609"/>
      <c r="UVQ149" s="609"/>
      <c r="UVR149" s="609"/>
      <c r="UVS149" s="609"/>
      <c r="UVT149" s="609"/>
      <c r="UVU149" s="609"/>
      <c r="UVV149" s="609"/>
      <c r="UVW149" s="609"/>
      <c r="UVX149" s="609"/>
      <c r="UVY149" s="609"/>
      <c r="UVZ149" s="609"/>
      <c r="UWA149" s="609"/>
      <c r="UWB149" s="609"/>
      <c r="UWC149" s="609"/>
      <c r="UWD149" s="609"/>
      <c r="UWE149" s="609"/>
      <c r="UWF149" s="609"/>
      <c r="UWG149" s="609"/>
      <c r="UWH149" s="609"/>
      <c r="UWI149" s="609"/>
      <c r="UWJ149" s="609"/>
      <c r="UWK149" s="609"/>
      <c r="UWL149" s="609"/>
      <c r="UWM149" s="609"/>
      <c r="UWN149" s="609"/>
      <c r="UWO149" s="609"/>
      <c r="UWP149" s="609"/>
      <c r="UWQ149" s="609"/>
      <c r="UWR149" s="609"/>
      <c r="UWS149" s="609"/>
      <c r="UWT149" s="609"/>
      <c r="UWU149" s="609"/>
      <c r="UWV149" s="609"/>
      <c r="UWW149" s="609"/>
      <c r="UWX149" s="609"/>
      <c r="UWY149" s="609"/>
      <c r="UWZ149" s="609"/>
      <c r="UXA149" s="609"/>
      <c r="UXB149" s="609"/>
      <c r="UXC149" s="609"/>
      <c r="UXD149" s="609"/>
      <c r="UXE149" s="609"/>
      <c r="UXF149" s="609"/>
      <c r="UXG149" s="609"/>
      <c r="UXH149" s="609"/>
      <c r="UXI149" s="609"/>
      <c r="UXJ149" s="609"/>
      <c r="UXK149" s="609"/>
      <c r="UXL149" s="609"/>
      <c r="UXM149" s="609"/>
      <c r="UXN149" s="609"/>
      <c r="UXO149" s="609"/>
      <c r="UXP149" s="609"/>
      <c r="UXQ149" s="609"/>
      <c r="UXR149" s="609"/>
      <c r="UXS149" s="609"/>
      <c r="UXT149" s="609"/>
      <c r="UXU149" s="609"/>
      <c r="UXV149" s="609"/>
      <c r="UXW149" s="609"/>
      <c r="UXX149" s="609"/>
      <c r="UXY149" s="609"/>
      <c r="UXZ149" s="609"/>
      <c r="UYA149" s="609"/>
      <c r="UYB149" s="609"/>
      <c r="UYC149" s="609"/>
      <c r="UYD149" s="609"/>
      <c r="UYE149" s="609"/>
      <c r="UYF149" s="609"/>
      <c r="UYG149" s="609"/>
      <c r="UYH149" s="609"/>
      <c r="UYI149" s="609"/>
      <c r="UYJ149" s="609"/>
      <c r="UYK149" s="609"/>
      <c r="UYL149" s="609"/>
      <c r="UYM149" s="609"/>
      <c r="UYN149" s="609"/>
      <c r="UYO149" s="609"/>
      <c r="UYP149" s="609"/>
      <c r="UYQ149" s="609"/>
      <c r="UYR149" s="609"/>
      <c r="UYS149" s="609"/>
      <c r="UYT149" s="609"/>
      <c r="UYU149" s="609"/>
      <c r="UYV149" s="609"/>
      <c r="UYW149" s="609"/>
      <c r="UYX149" s="609"/>
      <c r="UYY149" s="609"/>
      <c r="UYZ149" s="609"/>
      <c r="UZA149" s="609"/>
      <c r="UZB149" s="609"/>
      <c r="UZC149" s="609"/>
      <c r="UZD149" s="609"/>
      <c r="UZE149" s="609"/>
      <c r="UZF149" s="609"/>
      <c r="UZG149" s="609"/>
      <c r="UZH149" s="609"/>
      <c r="UZI149" s="609"/>
      <c r="UZJ149" s="609"/>
      <c r="UZK149" s="609"/>
      <c r="UZL149" s="609"/>
      <c r="UZM149" s="609"/>
      <c r="UZN149" s="609"/>
      <c r="UZO149" s="609"/>
      <c r="UZP149" s="609"/>
      <c r="UZQ149" s="609"/>
      <c r="UZR149" s="609"/>
      <c r="UZS149" s="609"/>
      <c r="UZT149" s="609"/>
      <c r="UZU149" s="609"/>
      <c r="UZV149" s="609"/>
      <c r="UZW149" s="609"/>
      <c r="UZX149" s="609"/>
      <c r="UZY149" s="609"/>
      <c r="UZZ149" s="609"/>
      <c r="VAA149" s="609"/>
      <c r="VAB149" s="609"/>
      <c r="VAC149" s="609"/>
      <c r="VAD149" s="609"/>
      <c r="VAE149" s="609"/>
      <c r="VAF149" s="609"/>
      <c r="VAG149" s="609"/>
      <c r="VAH149" s="609"/>
      <c r="VAI149" s="609"/>
      <c r="VAJ149" s="609"/>
      <c r="VAK149" s="609"/>
      <c r="VAL149" s="609"/>
      <c r="VAM149" s="609"/>
      <c r="VAN149" s="609"/>
      <c r="VAO149" s="609"/>
      <c r="VAP149" s="609"/>
      <c r="VAQ149" s="609"/>
      <c r="VAR149" s="609"/>
      <c r="VAS149" s="609"/>
      <c r="VAT149" s="609"/>
      <c r="VAU149" s="609"/>
      <c r="VAV149" s="609"/>
      <c r="VAW149" s="609"/>
      <c r="VAX149" s="609"/>
      <c r="VAY149" s="609"/>
      <c r="VAZ149" s="609"/>
      <c r="VBA149" s="609"/>
      <c r="VBB149" s="609"/>
      <c r="VBC149" s="609"/>
      <c r="VBD149" s="609"/>
      <c r="VBE149" s="609"/>
      <c r="VBF149" s="609"/>
      <c r="VBG149" s="609"/>
      <c r="VBH149" s="609"/>
      <c r="VBI149" s="609"/>
      <c r="VBJ149" s="609"/>
      <c r="VBK149" s="609"/>
      <c r="VBL149" s="609"/>
      <c r="VBM149" s="609"/>
      <c r="VBN149" s="609"/>
      <c r="VBO149" s="609"/>
      <c r="VBP149" s="609"/>
      <c r="VBQ149" s="609"/>
      <c r="VBR149" s="609"/>
      <c r="VBS149" s="609"/>
      <c r="VBT149" s="609"/>
      <c r="VBU149" s="609"/>
      <c r="VBV149" s="609"/>
      <c r="VBW149" s="609"/>
      <c r="VBX149" s="609"/>
      <c r="VBY149" s="609"/>
      <c r="VBZ149" s="609"/>
      <c r="VCA149" s="609"/>
      <c r="VCB149" s="609"/>
      <c r="VCC149" s="609"/>
      <c r="VCD149" s="609"/>
      <c r="VCE149" s="609"/>
      <c r="VCF149" s="609"/>
      <c r="VCG149" s="609"/>
      <c r="VCH149" s="609"/>
      <c r="VCI149" s="609"/>
      <c r="VCJ149" s="609"/>
      <c r="VCK149" s="609"/>
      <c r="VCL149" s="609"/>
      <c r="VCM149" s="609"/>
      <c r="VCN149" s="609"/>
      <c r="VCO149" s="609"/>
      <c r="VCP149" s="609"/>
      <c r="VCQ149" s="609"/>
      <c r="VCR149" s="609"/>
      <c r="VCS149" s="609"/>
      <c r="VCT149" s="609"/>
      <c r="VCU149" s="609"/>
      <c r="VCV149" s="609"/>
      <c r="VCW149" s="609"/>
      <c r="VCX149" s="609"/>
      <c r="VCY149" s="609"/>
      <c r="VCZ149" s="609"/>
      <c r="VDA149" s="609"/>
      <c r="VDB149" s="609"/>
      <c r="VDC149" s="609"/>
      <c r="VDD149" s="609"/>
      <c r="VDE149" s="609"/>
      <c r="VDF149" s="609"/>
      <c r="VDG149" s="609"/>
      <c r="VDH149" s="609"/>
      <c r="VDI149" s="609"/>
      <c r="VDJ149" s="609"/>
      <c r="VDK149" s="609"/>
      <c r="VDL149" s="609"/>
      <c r="VDM149" s="609"/>
      <c r="VDN149" s="609"/>
      <c r="VDO149" s="609"/>
      <c r="VDP149" s="609"/>
      <c r="VDQ149" s="609"/>
      <c r="VDR149" s="609"/>
      <c r="VDS149" s="609"/>
      <c r="VDT149" s="609"/>
      <c r="VDU149" s="609"/>
      <c r="VDV149" s="609"/>
      <c r="VDW149" s="609"/>
      <c r="VDX149" s="609"/>
      <c r="VDY149" s="609"/>
      <c r="VDZ149" s="609"/>
      <c r="VEA149" s="609"/>
      <c r="VEB149" s="609"/>
      <c r="VEC149" s="609"/>
      <c r="VED149" s="609"/>
      <c r="VEE149" s="609"/>
      <c r="VEF149" s="609"/>
      <c r="VEG149" s="609"/>
      <c r="VEH149" s="609"/>
      <c r="VEI149" s="609"/>
      <c r="VEJ149" s="609"/>
      <c r="VEK149" s="609"/>
      <c r="VEL149" s="609"/>
      <c r="VEM149" s="609"/>
      <c r="VEN149" s="609"/>
      <c r="VEO149" s="609"/>
      <c r="VEP149" s="609"/>
      <c r="VEQ149" s="609"/>
      <c r="VER149" s="609"/>
      <c r="VES149" s="609"/>
      <c r="VET149" s="609"/>
      <c r="VEU149" s="609"/>
      <c r="VEV149" s="609"/>
      <c r="VEW149" s="609"/>
      <c r="VEX149" s="609"/>
      <c r="VEY149" s="609"/>
      <c r="VEZ149" s="609"/>
      <c r="VFA149" s="609"/>
      <c r="VFB149" s="609"/>
      <c r="VFC149" s="609"/>
      <c r="VFD149" s="609"/>
      <c r="VFE149" s="609"/>
      <c r="VFF149" s="609"/>
      <c r="VFG149" s="609"/>
      <c r="VFH149" s="609"/>
      <c r="VFI149" s="609"/>
      <c r="VFJ149" s="609"/>
      <c r="VFK149" s="609"/>
      <c r="VFL149" s="609"/>
      <c r="VFM149" s="609"/>
      <c r="VFN149" s="609"/>
      <c r="VFO149" s="609"/>
      <c r="VFP149" s="609"/>
      <c r="VFQ149" s="609"/>
      <c r="VFR149" s="609"/>
      <c r="VFS149" s="609"/>
      <c r="VFT149" s="609"/>
      <c r="VFU149" s="609"/>
      <c r="VFV149" s="609"/>
      <c r="VFW149" s="609"/>
      <c r="VFX149" s="609"/>
      <c r="VFY149" s="609"/>
      <c r="VFZ149" s="609"/>
      <c r="VGA149" s="609"/>
      <c r="VGB149" s="609"/>
      <c r="VGC149" s="609"/>
      <c r="VGD149" s="609"/>
      <c r="VGE149" s="609"/>
      <c r="VGF149" s="609"/>
      <c r="VGG149" s="609"/>
      <c r="VGH149" s="609"/>
      <c r="VGI149" s="609"/>
      <c r="VGJ149" s="609"/>
      <c r="VGK149" s="609"/>
      <c r="VGL149" s="609"/>
      <c r="VGM149" s="609"/>
      <c r="VGN149" s="609"/>
      <c r="VGO149" s="609"/>
      <c r="VGP149" s="609"/>
      <c r="VGQ149" s="609"/>
      <c r="VGR149" s="609"/>
      <c r="VGS149" s="609"/>
      <c r="VGT149" s="609"/>
      <c r="VGU149" s="609"/>
      <c r="VGV149" s="609"/>
      <c r="VGW149" s="609"/>
      <c r="VGX149" s="609"/>
      <c r="VGY149" s="609"/>
      <c r="VGZ149" s="609"/>
      <c r="VHA149" s="609"/>
      <c r="VHB149" s="609"/>
      <c r="VHC149" s="609"/>
      <c r="VHD149" s="609"/>
      <c r="VHE149" s="609"/>
      <c r="VHF149" s="609"/>
      <c r="VHG149" s="609"/>
      <c r="VHH149" s="609"/>
      <c r="VHI149" s="609"/>
      <c r="VHJ149" s="609"/>
      <c r="VHK149" s="609"/>
      <c r="VHL149" s="609"/>
      <c r="VHM149" s="609"/>
      <c r="VHN149" s="609"/>
      <c r="VHO149" s="609"/>
      <c r="VHP149" s="609"/>
      <c r="VHQ149" s="609"/>
      <c r="VHR149" s="609"/>
      <c r="VHS149" s="609"/>
      <c r="VHT149" s="609"/>
      <c r="VHU149" s="609"/>
      <c r="VHV149" s="609"/>
      <c r="VHW149" s="609"/>
      <c r="VHX149" s="609"/>
      <c r="VHY149" s="609"/>
      <c r="VHZ149" s="609"/>
      <c r="VIA149" s="609"/>
      <c r="VIB149" s="609"/>
      <c r="VIC149" s="609"/>
      <c r="VID149" s="609"/>
      <c r="VIE149" s="609"/>
      <c r="VIF149" s="609"/>
      <c r="VIG149" s="609"/>
      <c r="VIH149" s="609"/>
      <c r="VII149" s="609"/>
      <c r="VIJ149" s="609"/>
      <c r="VIK149" s="609"/>
      <c r="VIL149" s="609"/>
      <c r="VIM149" s="609"/>
      <c r="VIN149" s="609"/>
      <c r="VIO149" s="609"/>
      <c r="VIP149" s="609"/>
      <c r="VIQ149" s="609"/>
      <c r="VIR149" s="609"/>
      <c r="VIS149" s="609"/>
      <c r="VIT149" s="609"/>
      <c r="VIU149" s="609"/>
      <c r="VIV149" s="609"/>
      <c r="VIW149" s="609"/>
      <c r="VIX149" s="609"/>
      <c r="VIY149" s="609"/>
      <c r="VIZ149" s="609"/>
      <c r="VJA149" s="609"/>
      <c r="VJB149" s="609"/>
      <c r="VJC149" s="609"/>
      <c r="VJD149" s="609"/>
      <c r="VJE149" s="609"/>
      <c r="VJF149" s="609"/>
      <c r="VJG149" s="609"/>
      <c r="VJH149" s="609"/>
      <c r="VJI149" s="609"/>
      <c r="VJJ149" s="609"/>
      <c r="VJK149" s="609"/>
      <c r="VJL149" s="609"/>
      <c r="VJM149" s="609"/>
      <c r="VJN149" s="609"/>
      <c r="VJO149" s="609"/>
      <c r="VJP149" s="609"/>
      <c r="VJQ149" s="609"/>
      <c r="VJR149" s="609"/>
      <c r="VJS149" s="609"/>
      <c r="VJT149" s="609"/>
      <c r="VJU149" s="609"/>
      <c r="VJV149" s="609"/>
      <c r="VJW149" s="609"/>
      <c r="VJX149" s="609"/>
      <c r="VJY149" s="609"/>
      <c r="VJZ149" s="609"/>
      <c r="VKA149" s="609"/>
      <c r="VKB149" s="609"/>
      <c r="VKC149" s="609"/>
      <c r="VKD149" s="609"/>
      <c r="VKE149" s="609"/>
      <c r="VKF149" s="609"/>
      <c r="VKG149" s="609"/>
      <c r="VKH149" s="609"/>
      <c r="VKI149" s="609"/>
      <c r="VKJ149" s="609"/>
      <c r="VKK149" s="609"/>
      <c r="VKL149" s="609"/>
      <c r="VKM149" s="609"/>
      <c r="VKN149" s="609"/>
      <c r="VKO149" s="609"/>
      <c r="VKP149" s="609"/>
      <c r="VKQ149" s="609"/>
      <c r="VKR149" s="609"/>
      <c r="VKS149" s="609"/>
      <c r="VKT149" s="609"/>
      <c r="VKU149" s="609"/>
      <c r="VKV149" s="609"/>
      <c r="VKW149" s="609"/>
      <c r="VKX149" s="609"/>
      <c r="VKY149" s="609"/>
      <c r="VKZ149" s="609"/>
      <c r="VLA149" s="609"/>
      <c r="VLB149" s="609"/>
      <c r="VLC149" s="609"/>
      <c r="VLD149" s="609"/>
      <c r="VLE149" s="609"/>
      <c r="VLF149" s="609"/>
      <c r="VLG149" s="609"/>
      <c r="VLH149" s="609"/>
      <c r="VLI149" s="609"/>
      <c r="VLJ149" s="609"/>
      <c r="VLK149" s="609"/>
      <c r="VLL149" s="609"/>
      <c r="VLM149" s="609"/>
      <c r="VLN149" s="609"/>
      <c r="VLO149" s="609"/>
      <c r="VLP149" s="609"/>
      <c r="VLQ149" s="609"/>
      <c r="VLR149" s="609"/>
      <c r="VLS149" s="609"/>
      <c r="VLT149" s="609"/>
      <c r="VLU149" s="609"/>
      <c r="VLV149" s="609"/>
      <c r="VLW149" s="609"/>
      <c r="VLX149" s="609"/>
      <c r="VLY149" s="609"/>
      <c r="VLZ149" s="609"/>
      <c r="VMA149" s="609"/>
      <c r="VMB149" s="609"/>
      <c r="VMC149" s="609"/>
      <c r="VMD149" s="609"/>
      <c r="VME149" s="609"/>
      <c r="VMF149" s="609"/>
      <c r="VMG149" s="609"/>
      <c r="VMH149" s="609"/>
      <c r="VMI149" s="609"/>
      <c r="VMJ149" s="609"/>
      <c r="VMK149" s="609"/>
      <c r="VML149" s="609"/>
      <c r="VMM149" s="609"/>
      <c r="VMN149" s="609"/>
      <c r="VMO149" s="609"/>
      <c r="VMP149" s="609"/>
      <c r="VMQ149" s="609"/>
      <c r="VMR149" s="609"/>
      <c r="VMS149" s="609"/>
      <c r="VMT149" s="609"/>
      <c r="VMU149" s="609"/>
      <c r="VMV149" s="609"/>
      <c r="VMW149" s="609"/>
      <c r="VMX149" s="609"/>
      <c r="VMY149" s="609"/>
      <c r="VMZ149" s="609"/>
      <c r="VNA149" s="609"/>
      <c r="VNB149" s="609"/>
      <c r="VNC149" s="609"/>
      <c r="VND149" s="609"/>
      <c r="VNE149" s="609"/>
      <c r="VNF149" s="609"/>
      <c r="VNG149" s="609"/>
      <c r="VNH149" s="609"/>
      <c r="VNI149" s="609"/>
      <c r="VNJ149" s="609"/>
      <c r="VNK149" s="609"/>
      <c r="VNL149" s="609"/>
      <c r="VNM149" s="609"/>
      <c r="VNN149" s="609"/>
      <c r="VNO149" s="609"/>
      <c r="VNP149" s="609"/>
      <c r="VNQ149" s="609"/>
      <c r="VNR149" s="609"/>
      <c r="VNS149" s="609"/>
      <c r="VNT149" s="609"/>
      <c r="VNU149" s="609"/>
      <c r="VNV149" s="609"/>
      <c r="VNW149" s="609"/>
      <c r="VNX149" s="609"/>
      <c r="VNY149" s="609"/>
      <c r="VNZ149" s="609"/>
      <c r="VOA149" s="609"/>
      <c r="VOB149" s="609"/>
      <c r="VOC149" s="609"/>
      <c r="VOD149" s="609"/>
      <c r="VOE149" s="609"/>
      <c r="VOF149" s="609"/>
      <c r="VOG149" s="609"/>
      <c r="VOH149" s="609"/>
      <c r="VOI149" s="609"/>
      <c r="VOJ149" s="609"/>
      <c r="VOK149" s="609"/>
      <c r="VOL149" s="609"/>
      <c r="VOM149" s="609"/>
      <c r="VON149" s="609"/>
      <c r="VOO149" s="609"/>
      <c r="VOP149" s="609"/>
      <c r="VOQ149" s="609"/>
      <c r="VOR149" s="609"/>
      <c r="VOS149" s="609"/>
      <c r="VOT149" s="609"/>
      <c r="VOU149" s="609"/>
      <c r="VOV149" s="609"/>
      <c r="VOW149" s="609"/>
      <c r="VOX149" s="609"/>
      <c r="VOY149" s="609"/>
      <c r="VOZ149" s="609"/>
      <c r="VPA149" s="609"/>
      <c r="VPB149" s="609"/>
      <c r="VPC149" s="609"/>
      <c r="VPD149" s="609"/>
      <c r="VPE149" s="609"/>
      <c r="VPF149" s="609"/>
      <c r="VPG149" s="609"/>
      <c r="VPH149" s="609"/>
      <c r="VPI149" s="609"/>
      <c r="VPJ149" s="609"/>
      <c r="VPK149" s="609"/>
      <c r="VPL149" s="609"/>
      <c r="VPM149" s="609"/>
      <c r="VPN149" s="609"/>
      <c r="VPO149" s="609"/>
      <c r="VPP149" s="609"/>
      <c r="VPQ149" s="609"/>
      <c r="VPR149" s="609"/>
      <c r="VPS149" s="609"/>
      <c r="VPT149" s="609"/>
      <c r="VPU149" s="609"/>
      <c r="VPV149" s="609"/>
      <c r="VPW149" s="609"/>
      <c r="VPX149" s="609"/>
      <c r="VPY149" s="609"/>
      <c r="VPZ149" s="609"/>
      <c r="VQA149" s="609"/>
      <c r="VQB149" s="609"/>
      <c r="VQC149" s="609"/>
      <c r="VQD149" s="609"/>
      <c r="VQE149" s="609"/>
      <c r="VQF149" s="609"/>
      <c r="VQG149" s="609"/>
      <c r="VQH149" s="609"/>
      <c r="VQI149" s="609"/>
      <c r="VQJ149" s="609"/>
      <c r="VQK149" s="609"/>
      <c r="VQL149" s="609"/>
      <c r="VQM149" s="609"/>
      <c r="VQN149" s="609"/>
      <c r="VQO149" s="609"/>
      <c r="VQP149" s="609"/>
      <c r="VQQ149" s="609"/>
      <c r="VQR149" s="609"/>
      <c r="VQS149" s="609"/>
      <c r="VQT149" s="609"/>
      <c r="VQU149" s="609"/>
      <c r="VQV149" s="609"/>
      <c r="VQW149" s="609"/>
      <c r="VQX149" s="609"/>
      <c r="VQY149" s="609"/>
      <c r="VQZ149" s="609"/>
      <c r="VRA149" s="609"/>
      <c r="VRB149" s="609"/>
      <c r="VRC149" s="609"/>
      <c r="VRD149" s="609"/>
      <c r="VRE149" s="609"/>
      <c r="VRF149" s="609"/>
      <c r="VRG149" s="609"/>
      <c r="VRH149" s="609"/>
      <c r="VRI149" s="609"/>
      <c r="VRJ149" s="609"/>
      <c r="VRK149" s="609"/>
      <c r="VRL149" s="609"/>
      <c r="VRM149" s="609"/>
      <c r="VRN149" s="609"/>
      <c r="VRO149" s="609"/>
      <c r="VRP149" s="609"/>
      <c r="VRQ149" s="609"/>
      <c r="VRR149" s="609"/>
      <c r="VRS149" s="609"/>
      <c r="VRT149" s="609"/>
      <c r="VRU149" s="609"/>
      <c r="VRV149" s="609"/>
      <c r="VRW149" s="609"/>
      <c r="VRX149" s="609"/>
      <c r="VRY149" s="609"/>
      <c r="VRZ149" s="609"/>
      <c r="VSA149" s="609"/>
      <c r="VSB149" s="609"/>
      <c r="VSC149" s="609"/>
      <c r="VSD149" s="609"/>
      <c r="VSE149" s="609"/>
      <c r="VSF149" s="609"/>
      <c r="VSG149" s="609"/>
      <c r="VSH149" s="609"/>
      <c r="VSI149" s="609"/>
      <c r="VSJ149" s="609"/>
      <c r="VSK149" s="609"/>
      <c r="VSL149" s="609"/>
      <c r="VSM149" s="609"/>
      <c r="VSN149" s="609"/>
      <c r="VSO149" s="609"/>
      <c r="VSP149" s="609"/>
      <c r="VSQ149" s="609"/>
      <c r="VSR149" s="609"/>
      <c r="VSS149" s="609"/>
      <c r="VST149" s="609"/>
      <c r="VSU149" s="609"/>
      <c r="VSV149" s="609"/>
      <c r="VSW149" s="609"/>
      <c r="VSX149" s="609"/>
      <c r="VSY149" s="609"/>
      <c r="VSZ149" s="609"/>
      <c r="VTA149" s="609"/>
      <c r="VTB149" s="609"/>
      <c r="VTC149" s="609"/>
      <c r="VTD149" s="609"/>
      <c r="VTE149" s="609"/>
      <c r="VTF149" s="609"/>
      <c r="VTG149" s="609"/>
      <c r="VTH149" s="609"/>
      <c r="VTI149" s="609"/>
      <c r="VTJ149" s="609"/>
      <c r="VTK149" s="609"/>
      <c r="VTL149" s="609"/>
      <c r="VTM149" s="609"/>
      <c r="VTN149" s="609"/>
      <c r="VTO149" s="609"/>
      <c r="VTP149" s="609"/>
      <c r="VTQ149" s="609"/>
      <c r="VTR149" s="609"/>
      <c r="VTS149" s="609"/>
      <c r="VTT149" s="609"/>
      <c r="VTU149" s="609"/>
      <c r="VTV149" s="609"/>
      <c r="VTW149" s="609"/>
      <c r="VTX149" s="609"/>
      <c r="VTY149" s="609"/>
      <c r="VTZ149" s="609"/>
      <c r="VUA149" s="609"/>
      <c r="VUB149" s="609"/>
      <c r="VUC149" s="609"/>
      <c r="VUD149" s="609"/>
      <c r="VUE149" s="609"/>
      <c r="VUF149" s="609"/>
      <c r="VUG149" s="609"/>
      <c r="VUH149" s="609"/>
      <c r="VUI149" s="609"/>
      <c r="VUJ149" s="609"/>
      <c r="VUK149" s="609"/>
      <c r="VUL149" s="609"/>
      <c r="VUM149" s="609"/>
      <c r="VUN149" s="609"/>
      <c r="VUO149" s="609"/>
      <c r="VUP149" s="609"/>
      <c r="VUQ149" s="609"/>
      <c r="VUR149" s="609"/>
      <c r="VUS149" s="609"/>
      <c r="VUT149" s="609"/>
      <c r="VUU149" s="609"/>
      <c r="VUV149" s="609"/>
      <c r="VUW149" s="609"/>
      <c r="VUX149" s="609"/>
      <c r="VUY149" s="609"/>
      <c r="VUZ149" s="609"/>
      <c r="VVA149" s="609"/>
      <c r="VVB149" s="609"/>
      <c r="VVC149" s="609"/>
      <c r="VVD149" s="609"/>
      <c r="VVE149" s="609"/>
      <c r="VVF149" s="609"/>
      <c r="VVG149" s="609"/>
      <c r="VVH149" s="609"/>
      <c r="VVI149" s="609"/>
      <c r="VVJ149" s="609"/>
      <c r="VVK149" s="609"/>
      <c r="VVL149" s="609"/>
      <c r="VVM149" s="609"/>
      <c r="VVN149" s="609"/>
      <c r="VVO149" s="609"/>
      <c r="VVP149" s="609"/>
      <c r="VVQ149" s="609"/>
      <c r="VVR149" s="609"/>
      <c r="VVS149" s="609"/>
      <c r="VVT149" s="609"/>
      <c r="VVU149" s="609"/>
      <c r="VVV149" s="609"/>
      <c r="VVW149" s="609"/>
      <c r="VVX149" s="609"/>
      <c r="VVY149" s="609"/>
      <c r="VVZ149" s="609"/>
      <c r="VWA149" s="609"/>
      <c r="VWB149" s="609"/>
      <c r="VWC149" s="609"/>
      <c r="VWD149" s="609"/>
      <c r="VWE149" s="609"/>
      <c r="VWF149" s="609"/>
      <c r="VWG149" s="609"/>
      <c r="VWH149" s="609"/>
      <c r="VWI149" s="609"/>
      <c r="VWJ149" s="609"/>
      <c r="VWK149" s="609"/>
      <c r="VWL149" s="609"/>
      <c r="VWM149" s="609"/>
      <c r="VWN149" s="609"/>
      <c r="VWO149" s="609"/>
      <c r="VWP149" s="609"/>
      <c r="VWQ149" s="609"/>
      <c r="VWR149" s="609"/>
      <c r="VWS149" s="609"/>
      <c r="VWT149" s="609"/>
      <c r="VWU149" s="609"/>
      <c r="VWV149" s="609"/>
      <c r="VWW149" s="609"/>
      <c r="VWX149" s="609"/>
      <c r="VWY149" s="609"/>
      <c r="VWZ149" s="609"/>
      <c r="VXA149" s="609"/>
      <c r="VXB149" s="609"/>
      <c r="VXC149" s="609"/>
      <c r="VXD149" s="609"/>
      <c r="VXE149" s="609"/>
      <c r="VXF149" s="609"/>
      <c r="VXG149" s="609"/>
      <c r="VXH149" s="609"/>
      <c r="VXI149" s="609"/>
      <c r="VXJ149" s="609"/>
      <c r="VXK149" s="609"/>
      <c r="VXL149" s="609"/>
      <c r="VXM149" s="609"/>
      <c r="VXN149" s="609"/>
      <c r="VXO149" s="609"/>
      <c r="VXP149" s="609"/>
      <c r="VXQ149" s="609"/>
      <c r="VXR149" s="609"/>
      <c r="VXS149" s="609"/>
      <c r="VXT149" s="609"/>
      <c r="VXU149" s="609"/>
      <c r="VXV149" s="609"/>
      <c r="VXW149" s="609"/>
      <c r="VXX149" s="609"/>
      <c r="VXY149" s="609"/>
      <c r="VXZ149" s="609"/>
      <c r="VYA149" s="609"/>
      <c r="VYB149" s="609"/>
      <c r="VYC149" s="609"/>
      <c r="VYD149" s="609"/>
      <c r="VYE149" s="609"/>
      <c r="VYF149" s="609"/>
      <c r="VYG149" s="609"/>
      <c r="VYH149" s="609"/>
      <c r="VYI149" s="609"/>
      <c r="VYJ149" s="609"/>
      <c r="VYK149" s="609"/>
      <c r="VYL149" s="609"/>
      <c r="VYM149" s="609"/>
      <c r="VYN149" s="609"/>
      <c r="VYO149" s="609"/>
      <c r="VYP149" s="609"/>
      <c r="VYQ149" s="609"/>
      <c r="VYR149" s="609"/>
      <c r="VYS149" s="609"/>
      <c r="VYT149" s="609"/>
      <c r="VYU149" s="609"/>
      <c r="VYV149" s="609"/>
      <c r="VYW149" s="609"/>
      <c r="VYX149" s="609"/>
      <c r="VYY149" s="609"/>
      <c r="VYZ149" s="609"/>
      <c r="VZA149" s="609"/>
      <c r="VZB149" s="609"/>
      <c r="VZC149" s="609"/>
      <c r="VZD149" s="609"/>
      <c r="VZE149" s="609"/>
      <c r="VZF149" s="609"/>
      <c r="VZG149" s="609"/>
      <c r="VZH149" s="609"/>
      <c r="VZI149" s="609"/>
      <c r="VZJ149" s="609"/>
      <c r="VZK149" s="609"/>
      <c r="VZL149" s="609"/>
      <c r="VZM149" s="609"/>
      <c r="VZN149" s="609"/>
      <c r="VZO149" s="609"/>
      <c r="VZP149" s="609"/>
      <c r="VZQ149" s="609"/>
      <c r="VZR149" s="609"/>
      <c r="VZS149" s="609"/>
      <c r="VZT149" s="609"/>
      <c r="VZU149" s="609"/>
      <c r="VZV149" s="609"/>
      <c r="VZW149" s="609"/>
      <c r="VZX149" s="609"/>
      <c r="VZY149" s="609"/>
      <c r="VZZ149" s="609"/>
      <c r="WAA149" s="609"/>
      <c r="WAB149" s="609"/>
      <c r="WAC149" s="609"/>
      <c r="WAD149" s="609"/>
      <c r="WAE149" s="609"/>
      <c r="WAF149" s="609"/>
      <c r="WAG149" s="609"/>
      <c r="WAH149" s="609"/>
      <c r="WAI149" s="609"/>
      <c r="WAJ149" s="609"/>
      <c r="WAK149" s="609"/>
      <c r="WAL149" s="609"/>
      <c r="WAM149" s="609"/>
      <c r="WAN149" s="609"/>
      <c r="WAO149" s="609"/>
      <c r="WAP149" s="609"/>
      <c r="WAQ149" s="609"/>
      <c r="WAR149" s="609"/>
      <c r="WAS149" s="609"/>
      <c r="WAT149" s="609"/>
      <c r="WAU149" s="609"/>
      <c r="WAV149" s="609"/>
      <c r="WAW149" s="609"/>
      <c r="WAX149" s="609"/>
      <c r="WAY149" s="609"/>
      <c r="WAZ149" s="609"/>
      <c r="WBA149" s="609"/>
      <c r="WBB149" s="609"/>
      <c r="WBC149" s="609"/>
      <c r="WBD149" s="609"/>
      <c r="WBE149" s="609"/>
      <c r="WBF149" s="609"/>
      <c r="WBG149" s="609"/>
      <c r="WBH149" s="609"/>
      <c r="WBI149" s="609"/>
      <c r="WBJ149" s="609"/>
      <c r="WBK149" s="609"/>
      <c r="WBL149" s="609"/>
      <c r="WBM149" s="609"/>
      <c r="WBN149" s="609"/>
      <c r="WBO149" s="609"/>
      <c r="WBP149" s="609"/>
      <c r="WBQ149" s="609"/>
      <c r="WBR149" s="609"/>
      <c r="WBS149" s="609"/>
      <c r="WBT149" s="609"/>
      <c r="WBU149" s="609"/>
      <c r="WBV149" s="609"/>
      <c r="WBW149" s="609"/>
      <c r="WBX149" s="609"/>
      <c r="WBY149" s="609"/>
      <c r="WBZ149" s="609"/>
      <c r="WCA149" s="609"/>
      <c r="WCB149" s="609"/>
      <c r="WCC149" s="609"/>
      <c r="WCD149" s="609"/>
      <c r="WCE149" s="609"/>
      <c r="WCF149" s="609"/>
      <c r="WCG149" s="609"/>
      <c r="WCH149" s="609"/>
      <c r="WCI149" s="609"/>
      <c r="WCJ149" s="609"/>
      <c r="WCK149" s="609"/>
      <c r="WCL149" s="609"/>
      <c r="WCM149" s="609"/>
      <c r="WCN149" s="609"/>
      <c r="WCO149" s="609"/>
      <c r="WCP149" s="609"/>
      <c r="WCQ149" s="609"/>
      <c r="WCR149" s="609"/>
      <c r="WCS149" s="609"/>
      <c r="WCT149" s="609"/>
      <c r="WCU149" s="609"/>
      <c r="WCV149" s="609"/>
      <c r="WCW149" s="609"/>
      <c r="WCX149" s="609"/>
      <c r="WCY149" s="609"/>
      <c r="WCZ149" s="609"/>
      <c r="WDA149" s="609"/>
      <c r="WDB149" s="609"/>
      <c r="WDC149" s="609"/>
      <c r="WDD149" s="609"/>
      <c r="WDE149" s="609"/>
      <c r="WDF149" s="609"/>
      <c r="WDG149" s="609"/>
      <c r="WDH149" s="609"/>
      <c r="WDI149" s="609"/>
      <c r="WDJ149" s="609"/>
      <c r="WDK149" s="609"/>
      <c r="WDL149" s="609"/>
      <c r="WDM149" s="609"/>
      <c r="WDN149" s="609"/>
      <c r="WDO149" s="609"/>
      <c r="WDP149" s="609"/>
      <c r="WDQ149" s="609"/>
      <c r="WDR149" s="609"/>
      <c r="WDS149" s="609"/>
      <c r="WDT149" s="609"/>
      <c r="WDU149" s="609"/>
      <c r="WDV149" s="609"/>
      <c r="WDW149" s="609"/>
      <c r="WDX149" s="609"/>
      <c r="WDY149" s="609"/>
      <c r="WDZ149" s="609"/>
      <c r="WEA149" s="609"/>
      <c r="WEB149" s="609"/>
      <c r="WEC149" s="609"/>
      <c r="WED149" s="609"/>
      <c r="WEE149" s="609"/>
      <c r="WEF149" s="609"/>
      <c r="WEG149" s="609"/>
      <c r="WEH149" s="609"/>
      <c r="WEI149" s="609"/>
      <c r="WEJ149" s="609"/>
      <c r="WEK149" s="609"/>
      <c r="WEL149" s="609"/>
      <c r="WEM149" s="609"/>
      <c r="WEN149" s="609"/>
      <c r="WEO149" s="609"/>
      <c r="WEP149" s="609"/>
      <c r="WEQ149" s="609"/>
      <c r="WER149" s="609"/>
      <c r="WES149" s="609"/>
      <c r="WET149" s="609"/>
      <c r="WEU149" s="609"/>
      <c r="WEV149" s="609"/>
      <c r="WEW149" s="609"/>
      <c r="WEX149" s="609"/>
      <c r="WEY149" s="609"/>
      <c r="WEZ149" s="609"/>
      <c r="WFA149" s="609"/>
      <c r="WFB149" s="609"/>
      <c r="WFC149" s="609"/>
      <c r="WFD149" s="609"/>
      <c r="WFE149" s="609"/>
      <c r="WFF149" s="609"/>
      <c r="WFG149" s="609"/>
      <c r="WFH149" s="609"/>
      <c r="WFI149" s="609"/>
      <c r="WFJ149" s="609"/>
      <c r="WFK149" s="609"/>
      <c r="WFL149" s="609"/>
      <c r="WFM149" s="609"/>
      <c r="WFN149" s="609"/>
      <c r="WFO149" s="609"/>
      <c r="WFP149" s="609"/>
      <c r="WFQ149" s="609"/>
      <c r="WFR149" s="609"/>
      <c r="WFS149" s="609"/>
      <c r="WFT149" s="609"/>
      <c r="WFU149" s="609"/>
      <c r="WFV149" s="609"/>
      <c r="WFW149" s="609"/>
      <c r="WFX149" s="609"/>
      <c r="WFY149" s="609"/>
      <c r="WFZ149" s="609"/>
      <c r="WGA149" s="609"/>
      <c r="WGB149" s="609"/>
      <c r="WGC149" s="609"/>
      <c r="WGD149" s="609"/>
      <c r="WGE149" s="609"/>
      <c r="WGF149" s="609"/>
      <c r="WGG149" s="609"/>
      <c r="WGH149" s="609"/>
      <c r="WGI149" s="609"/>
      <c r="WGJ149" s="609"/>
      <c r="WGK149" s="609"/>
      <c r="WGL149" s="609"/>
      <c r="WGM149" s="609"/>
      <c r="WGN149" s="609"/>
      <c r="WGO149" s="609"/>
      <c r="WGP149" s="609"/>
      <c r="WGQ149" s="609"/>
      <c r="WGR149" s="609"/>
      <c r="WGS149" s="609"/>
      <c r="WGT149" s="609"/>
      <c r="WGU149" s="609"/>
      <c r="WGV149" s="609"/>
      <c r="WGW149" s="609"/>
      <c r="WGX149" s="609"/>
      <c r="WGY149" s="609"/>
      <c r="WGZ149" s="609"/>
      <c r="WHA149" s="609"/>
      <c r="WHB149" s="609"/>
      <c r="WHC149" s="609"/>
      <c r="WHD149" s="609"/>
      <c r="WHE149" s="609"/>
      <c r="WHF149" s="609"/>
      <c r="WHG149" s="609"/>
      <c r="WHH149" s="609"/>
      <c r="WHI149" s="609"/>
      <c r="WHJ149" s="609"/>
      <c r="WHK149" s="609"/>
      <c r="WHL149" s="609"/>
      <c r="WHM149" s="609"/>
      <c r="WHN149" s="609"/>
      <c r="WHO149" s="609"/>
      <c r="WHP149" s="609"/>
      <c r="WHQ149" s="609"/>
      <c r="WHR149" s="609"/>
      <c r="WHS149" s="609"/>
      <c r="WHT149" s="609"/>
      <c r="WHU149" s="609"/>
      <c r="WHV149" s="609"/>
      <c r="WHW149" s="609"/>
      <c r="WHX149" s="609"/>
      <c r="WHY149" s="609"/>
      <c r="WHZ149" s="609"/>
      <c r="WIA149" s="609"/>
      <c r="WIB149" s="609"/>
      <c r="WIC149" s="609"/>
      <c r="WID149" s="609"/>
      <c r="WIE149" s="609"/>
      <c r="WIF149" s="609"/>
      <c r="WIG149" s="609"/>
      <c r="WIH149" s="609"/>
      <c r="WII149" s="609"/>
      <c r="WIJ149" s="609"/>
      <c r="WIK149" s="609"/>
      <c r="WIL149" s="609"/>
      <c r="WIM149" s="609"/>
      <c r="WIN149" s="609"/>
      <c r="WIO149" s="609"/>
      <c r="WIP149" s="609"/>
      <c r="WIQ149" s="609"/>
      <c r="WIR149" s="609"/>
      <c r="WIS149" s="609"/>
      <c r="WIT149" s="609"/>
      <c r="WIU149" s="609"/>
      <c r="WIV149" s="609"/>
      <c r="WIW149" s="609"/>
      <c r="WIX149" s="609"/>
      <c r="WIY149" s="609"/>
      <c r="WIZ149" s="609"/>
      <c r="WJA149" s="609"/>
      <c r="WJB149" s="609"/>
      <c r="WJC149" s="609"/>
      <c r="WJD149" s="609"/>
      <c r="WJE149" s="609"/>
      <c r="WJF149" s="609"/>
      <c r="WJG149" s="609"/>
      <c r="WJH149" s="609"/>
      <c r="WJI149" s="609"/>
      <c r="WJJ149" s="609"/>
      <c r="WJK149" s="609"/>
      <c r="WJL149" s="609"/>
      <c r="WJM149" s="609"/>
      <c r="WJN149" s="609"/>
      <c r="WJO149" s="609"/>
      <c r="WJP149" s="609"/>
      <c r="WJQ149" s="609"/>
      <c r="WJR149" s="609"/>
      <c r="WJS149" s="609"/>
      <c r="WJT149" s="609"/>
      <c r="WJU149" s="609"/>
      <c r="WJV149" s="609"/>
      <c r="WJW149" s="609"/>
      <c r="WJX149" s="609"/>
      <c r="WJY149" s="609"/>
      <c r="WJZ149" s="609"/>
      <c r="WKA149" s="609"/>
      <c r="WKB149" s="609"/>
      <c r="WKC149" s="609"/>
      <c r="WKD149" s="609"/>
      <c r="WKE149" s="609"/>
      <c r="WKF149" s="609"/>
      <c r="WKG149" s="609"/>
      <c r="WKH149" s="609"/>
      <c r="WKI149" s="609"/>
      <c r="WKJ149" s="609"/>
      <c r="WKK149" s="609"/>
      <c r="WKL149" s="609"/>
      <c r="WKM149" s="609"/>
      <c r="WKN149" s="609"/>
      <c r="WKO149" s="609"/>
      <c r="WKP149" s="609"/>
      <c r="WKQ149" s="609"/>
      <c r="WKR149" s="609"/>
      <c r="WKS149" s="609"/>
      <c r="WKT149" s="609"/>
      <c r="WKU149" s="609"/>
      <c r="WKV149" s="609"/>
      <c r="WKW149" s="609"/>
      <c r="WKX149" s="609"/>
      <c r="WKY149" s="609"/>
      <c r="WKZ149" s="609"/>
      <c r="WLA149" s="609"/>
      <c r="WLB149" s="609"/>
      <c r="WLC149" s="609"/>
      <c r="WLD149" s="609"/>
      <c r="WLE149" s="609"/>
      <c r="WLF149" s="609"/>
      <c r="WLG149" s="609"/>
      <c r="WLH149" s="609"/>
      <c r="WLI149" s="609"/>
      <c r="WLJ149" s="609"/>
      <c r="WLK149" s="609"/>
      <c r="WLL149" s="609"/>
      <c r="WLM149" s="609"/>
      <c r="WLN149" s="609"/>
      <c r="WLO149" s="609"/>
      <c r="WLP149" s="609"/>
      <c r="WLQ149" s="609"/>
      <c r="WLR149" s="609"/>
      <c r="WLS149" s="609"/>
      <c r="WLT149" s="609"/>
      <c r="WLU149" s="609"/>
      <c r="WLV149" s="609"/>
      <c r="WLW149" s="609"/>
      <c r="WLX149" s="609"/>
      <c r="WLY149" s="609"/>
      <c r="WLZ149" s="609"/>
      <c r="WMA149" s="609"/>
      <c r="WMB149" s="609"/>
      <c r="WMC149" s="609"/>
      <c r="WMD149" s="609"/>
      <c r="WME149" s="609"/>
      <c r="WMF149" s="609"/>
      <c r="WMG149" s="609"/>
      <c r="WMH149" s="609"/>
      <c r="WMI149" s="609"/>
      <c r="WMJ149" s="609"/>
      <c r="WMK149" s="609"/>
      <c r="WML149" s="609"/>
      <c r="WMM149" s="609"/>
      <c r="WMN149" s="609"/>
      <c r="WMO149" s="609"/>
      <c r="WMP149" s="609"/>
      <c r="WMQ149" s="609"/>
      <c r="WMR149" s="609"/>
      <c r="WMS149" s="609"/>
      <c r="WMT149" s="609"/>
      <c r="WMU149" s="609"/>
      <c r="WMV149" s="609"/>
      <c r="WMW149" s="609"/>
      <c r="WMX149" s="609"/>
      <c r="WMY149" s="609"/>
      <c r="WMZ149" s="609"/>
      <c r="WNA149" s="609"/>
      <c r="WNB149" s="609"/>
      <c r="WNC149" s="609"/>
      <c r="WND149" s="609"/>
      <c r="WNE149" s="609"/>
      <c r="WNF149" s="609"/>
      <c r="WNG149" s="609"/>
      <c r="WNH149" s="609"/>
      <c r="WNI149" s="609"/>
      <c r="WNJ149" s="609"/>
      <c r="WNK149" s="609"/>
      <c r="WNL149" s="609"/>
      <c r="WNM149" s="609"/>
      <c r="WNN149" s="609"/>
      <c r="WNO149" s="609"/>
      <c r="WNP149" s="609"/>
      <c r="WNQ149" s="609"/>
      <c r="WNR149" s="609"/>
      <c r="WNS149" s="609"/>
      <c r="WNT149" s="609"/>
      <c r="WNU149" s="609"/>
      <c r="WNV149" s="609"/>
      <c r="WNW149" s="609"/>
      <c r="WNX149" s="609"/>
      <c r="WNY149" s="609"/>
      <c r="WNZ149" s="609"/>
      <c r="WOA149" s="609"/>
      <c r="WOB149" s="609"/>
      <c r="WOC149" s="609"/>
      <c r="WOD149" s="609"/>
      <c r="WOE149" s="609"/>
      <c r="WOF149" s="609"/>
      <c r="WOG149" s="609"/>
      <c r="WOH149" s="609"/>
      <c r="WOI149" s="609"/>
      <c r="WOJ149" s="609"/>
      <c r="WOK149" s="609"/>
      <c r="WOL149" s="609"/>
      <c r="WOM149" s="609"/>
      <c r="WON149" s="609"/>
      <c r="WOO149" s="609"/>
      <c r="WOP149" s="609"/>
      <c r="WOQ149" s="609"/>
      <c r="WOR149" s="609"/>
      <c r="WOS149" s="609"/>
      <c r="WOT149" s="609"/>
      <c r="WOU149" s="609"/>
      <c r="WOV149" s="609"/>
      <c r="WOW149" s="609"/>
      <c r="WOX149" s="609"/>
      <c r="WOY149" s="609"/>
      <c r="WOZ149" s="609"/>
      <c r="WPA149" s="609"/>
      <c r="WPB149" s="609"/>
      <c r="WPC149" s="609"/>
      <c r="WPD149" s="609"/>
      <c r="WPE149" s="609"/>
      <c r="WPF149" s="609"/>
      <c r="WPG149" s="609"/>
      <c r="WPH149" s="609"/>
      <c r="WPI149" s="609"/>
      <c r="WPJ149" s="609"/>
      <c r="WPK149" s="609"/>
      <c r="WPL149" s="609"/>
      <c r="WPM149" s="609"/>
      <c r="WPN149" s="609"/>
      <c r="WPO149" s="609"/>
      <c r="WPP149" s="609"/>
      <c r="WPQ149" s="609"/>
      <c r="WPR149" s="609"/>
      <c r="WPS149" s="609"/>
      <c r="WPT149" s="609"/>
      <c r="WPU149" s="609"/>
      <c r="WPV149" s="609"/>
      <c r="WPW149" s="609"/>
      <c r="WPX149" s="609"/>
      <c r="WPY149" s="609"/>
      <c r="WPZ149" s="609"/>
      <c r="WQA149" s="609"/>
      <c r="WQB149" s="609"/>
      <c r="WQC149" s="609"/>
      <c r="WQD149" s="609"/>
      <c r="WQE149" s="609"/>
      <c r="WQF149" s="609"/>
      <c r="WQG149" s="609"/>
      <c r="WQH149" s="609"/>
      <c r="WQI149" s="609"/>
      <c r="WQJ149" s="609"/>
      <c r="WQK149" s="609"/>
      <c r="WQL149" s="609"/>
      <c r="WQM149" s="609"/>
      <c r="WQN149" s="609"/>
      <c r="WQO149" s="609"/>
      <c r="WQP149" s="609"/>
      <c r="WQQ149" s="609"/>
      <c r="WQR149" s="609"/>
      <c r="WQS149" s="609"/>
      <c r="WQT149" s="609"/>
      <c r="WQU149" s="609"/>
      <c r="WQV149" s="609"/>
      <c r="WQW149" s="609"/>
      <c r="WQX149" s="609"/>
      <c r="WQY149" s="609"/>
      <c r="WQZ149" s="609"/>
      <c r="WRA149" s="609"/>
      <c r="WRB149" s="609"/>
      <c r="WRC149" s="609"/>
      <c r="WRD149" s="609"/>
      <c r="WRE149" s="609"/>
      <c r="WRF149" s="609"/>
      <c r="WRG149" s="609"/>
      <c r="WRH149" s="609"/>
      <c r="WRI149" s="609"/>
      <c r="WRJ149" s="609"/>
      <c r="WRK149" s="609"/>
      <c r="WRL149" s="609"/>
      <c r="WRM149" s="609"/>
      <c r="WRN149" s="609"/>
      <c r="WRO149" s="609"/>
      <c r="WRP149" s="609"/>
      <c r="WRQ149" s="609"/>
      <c r="WRR149" s="609"/>
      <c r="WRS149" s="609"/>
      <c r="WRT149" s="609"/>
      <c r="WRU149" s="609"/>
      <c r="WRV149" s="609"/>
      <c r="WRW149" s="609"/>
      <c r="WRX149" s="609"/>
      <c r="WRY149" s="609"/>
      <c r="WRZ149" s="609"/>
      <c r="WSA149" s="609"/>
      <c r="WSB149" s="609"/>
      <c r="WSC149" s="609"/>
      <c r="WSD149" s="609"/>
      <c r="WSE149" s="609"/>
      <c r="WSF149" s="609"/>
      <c r="WSG149" s="609"/>
      <c r="WSH149" s="609"/>
      <c r="WSI149" s="609"/>
      <c r="WSJ149" s="609"/>
      <c r="WSK149" s="609"/>
      <c r="WSL149" s="609"/>
      <c r="WSM149" s="609"/>
      <c r="WSN149" s="609"/>
      <c r="WSO149" s="609"/>
      <c r="WSP149" s="609"/>
      <c r="WSQ149" s="609"/>
      <c r="WSR149" s="609"/>
      <c r="WSS149" s="609"/>
      <c r="WST149" s="609"/>
      <c r="WSU149" s="609"/>
      <c r="WSV149" s="609"/>
      <c r="WSW149" s="609"/>
      <c r="WSX149" s="609"/>
      <c r="WSY149" s="609"/>
      <c r="WSZ149" s="609"/>
      <c r="WTA149" s="609"/>
      <c r="WTB149" s="609"/>
      <c r="WTC149" s="609"/>
      <c r="WTD149" s="609"/>
      <c r="WTE149" s="609"/>
      <c r="WTF149" s="609"/>
      <c r="WTG149" s="609"/>
      <c r="WTH149" s="609"/>
      <c r="WTI149" s="609"/>
      <c r="WTJ149" s="609"/>
      <c r="WTK149" s="609"/>
      <c r="WTL149" s="609"/>
      <c r="WTM149" s="609"/>
      <c r="WTN149" s="609"/>
      <c r="WTO149" s="609"/>
      <c r="WTP149" s="609"/>
      <c r="WTQ149" s="609"/>
      <c r="WTR149" s="609"/>
      <c r="WTS149" s="609"/>
      <c r="WTT149" s="609"/>
      <c r="WTU149" s="609"/>
      <c r="WTV149" s="609"/>
      <c r="WTW149" s="609"/>
      <c r="WTX149" s="609"/>
      <c r="WTY149" s="609"/>
      <c r="WTZ149" s="609"/>
      <c r="WUA149" s="609"/>
      <c r="WUB149" s="609"/>
      <c r="WUC149" s="609"/>
      <c r="WUD149" s="609"/>
      <c r="WUE149" s="609"/>
      <c r="WUF149" s="609"/>
      <c r="WUG149" s="609"/>
      <c r="WUH149" s="609"/>
      <c r="WUI149" s="609"/>
      <c r="WUJ149" s="609"/>
      <c r="WUK149" s="609"/>
      <c r="WUL149" s="609"/>
      <c r="WUM149" s="609"/>
      <c r="WUN149" s="609"/>
      <c r="WUO149" s="609"/>
      <c r="WUP149" s="609"/>
      <c r="WUQ149" s="609"/>
      <c r="WUR149" s="609"/>
      <c r="WUS149" s="609"/>
      <c r="WUT149" s="609"/>
      <c r="WUU149" s="609"/>
      <c r="WUV149" s="609"/>
      <c r="WUW149" s="609"/>
      <c r="WUX149" s="609"/>
      <c r="WUY149" s="609"/>
      <c r="WUZ149" s="609"/>
      <c r="WVA149" s="609"/>
      <c r="WVB149" s="609"/>
      <c r="WVC149" s="609"/>
      <c r="WVD149" s="609"/>
      <c r="WVE149" s="609"/>
      <c r="WVF149" s="609"/>
      <c r="WVG149" s="609"/>
      <c r="WVH149" s="609"/>
      <c r="WVI149" s="609"/>
      <c r="WVJ149" s="609"/>
      <c r="WVK149" s="609"/>
      <c r="WVL149" s="609"/>
      <c r="WVM149" s="609"/>
      <c r="WVN149" s="609"/>
      <c r="WVO149" s="609"/>
      <c r="WVP149" s="609"/>
      <c r="WVQ149" s="609"/>
      <c r="WVR149" s="609"/>
      <c r="WVS149" s="609"/>
      <c r="WVT149" s="609"/>
      <c r="WVU149" s="609"/>
      <c r="WVV149" s="609"/>
      <c r="WVW149" s="609"/>
      <c r="WVX149" s="609"/>
      <c r="WVY149" s="609"/>
      <c r="WVZ149" s="609"/>
      <c r="WWA149" s="609"/>
      <c r="WWB149" s="609"/>
      <c r="WWC149" s="609"/>
      <c r="WWD149" s="609"/>
      <c r="WWE149" s="609"/>
      <c r="WWF149" s="609"/>
      <c r="WWG149" s="609"/>
      <c r="WWH149" s="609"/>
      <c r="WWI149" s="609"/>
      <c r="WWJ149" s="609"/>
      <c r="WWK149" s="609"/>
      <c r="WWL149" s="609"/>
      <c r="WWM149" s="609"/>
      <c r="WWN149" s="609"/>
      <c r="WWO149" s="609"/>
      <c r="WWP149" s="609"/>
      <c r="WWQ149" s="609"/>
      <c r="WWR149" s="609"/>
      <c r="WWS149" s="609"/>
      <c r="WWT149" s="609"/>
      <c r="WWU149" s="609"/>
      <c r="WWV149" s="609"/>
      <c r="WWW149" s="609"/>
      <c r="WWX149" s="609"/>
      <c r="WWY149" s="609"/>
      <c r="WWZ149" s="609"/>
      <c r="WXA149" s="609"/>
      <c r="WXB149" s="609"/>
      <c r="WXC149" s="609"/>
      <c r="WXD149" s="609"/>
      <c r="WXE149" s="609"/>
      <c r="WXF149" s="609"/>
      <c r="WXG149" s="609"/>
      <c r="WXH149" s="609"/>
      <c r="WXI149" s="609"/>
      <c r="WXJ149" s="609"/>
      <c r="WXK149" s="609"/>
      <c r="WXL149" s="609"/>
      <c r="WXM149" s="609"/>
      <c r="WXN149" s="609"/>
      <c r="WXO149" s="609"/>
      <c r="WXP149" s="609"/>
      <c r="WXQ149" s="609"/>
      <c r="WXR149" s="609"/>
      <c r="WXS149" s="609"/>
      <c r="WXT149" s="609"/>
      <c r="WXU149" s="609"/>
      <c r="WXV149" s="609"/>
      <c r="WXW149" s="609"/>
      <c r="WXX149" s="609"/>
      <c r="WXY149" s="609"/>
      <c r="WXZ149" s="609"/>
      <c r="WYA149" s="609"/>
      <c r="WYB149" s="609"/>
      <c r="WYC149" s="609"/>
      <c r="WYD149" s="609"/>
      <c r="WYE149" s="609"/>
      <c r="WYF149" s="609"/>
      <c r="WYG149" s="609"/>
      <c r="WYH149" s="609"/>
      <c r="WYI149" s="609"/>
      <c r="WYJ149" s="609"/>
      <c r="WYK149" s="609"/>
      <c r="WYL149" s="609"/>
      <c r="WYM149" s="609"/>
      <c r="WYN149" s="609"/>
      <c r="WYO149" s="609"/>
      <c r="WYP149" s="609"/>
      <c r="WYQ149" s="609"/>
      <c r="WYR149" s="609"/>
      <c r="WYS149" s="609"/>
      <c r="WYT149" s="609"/>
      <c r="WYU149" s="609"/>
      <c r="WYV149" s="609"/>
      <c r="WYW149" s="609"/>
      <c r="WYX149" s="609"/>
      <c r="WYY149" s="609"/>
      <c r="WYZ149" s="609"/>
      <c r="WZA149" s="609"/>
      <c r="WZB149" s="609"/>
      <c r="WZC149" s="609"/>
      <c r="WZD149" s="609"/>
      <c r="WZE149" s="609"/>
      <c r="WZF149" s="609"/>
      <c r="WZG149" s="609"/>
      <c r="WZH149" s="609"/>
      <c r="WZI149" s="609"/>
      <c r="WZJ149" s="609"/>
      <c r="WZK149" s="609"/>
      <c r="WZL149" s="609"/>
      <c r="WZM149" s="609"/>
      <c r="WZN149" s="609"/>
      <c r="WZO149" s="609"/>
      <c r="WZP149" s="609"/>
      <c r="WZQ149" s="609"/>
      <c r="WZR149" s="609"/>
      <c r="WZS149" s="609"/>
      <c r="WZT149" s="609"/>
      <c r="WZU149" s="609"/>
      <c r="WZV149" s="609"/>
      <c r="WZW149" s="609"/>
      <c r="WZX149" s="609"/>
      <c r="WZY149" s="609"/>
      <c r="WZZ149" s="609"/>
      <c r="XAA149" s="609"/>
      <c r="XAB149" s="609"/>
      <c r="XAC149" s="609"/>
      <c r="XAD149" s="609"/>
      <c r="XAE149" s="609"/>
      <c r="XAF149" s="609"/>
      <c r="XAG149" s="609"/>
      <c r="XAH149" s="609"/>
      <c r="XAI149" s="609"/>
      <c r="XAJ149" s="609"/>
      <c r="XAK149" s="609"/>
      <c r="XAL149" s="609"/>
      <c r="XAM149" s="609"/>
      <c r="XAN149" s="609"/>
      <c r="XAO149" s="609"/>
      <c r="XAP149" s="609"/>
      <c r="XAQ149" s="609"/>
      <c r="XAR149" s="609"/>
      <c r="XAS149" s="609"/>
      <c r="XAT149" s="609"/>
      <c r="XAU149" s="609"/>
      <c r="XAV149" s="609"/>
      <c r="XAW149" s="609"/>
      <c r="XAX149" s="609"/>
      <c r="XAY149" s="609"/>
      <c r="XAZ149" s="609"/>
      <c r="XBA149" s="609"/>
      <c r="XBB149" s="609"/>
      <c r="XBC149" s="609"/>
      <c r="XBD149" s="609"/>
      <c r="XBE149" s="609"/>
      <c r="XBF149" s="609"/>
      <c r="XBG149" s="609"/>
      <c r="XBH149" s="609"/>
      <c r="XBI149" s="609"/>
      <c r="XBJ149" s="609"/>
      <c r="XBK149" s="609"/>
      <c r="XBL149" s="609"/>
      <c r="XBM149" s="609"/>
      <c r="XBN149" s="609"/>
      <c r="XBO149" s="609"/>
      <c r="XBP149" s="609"/>
      <c r="XBQ149" s="609"/>
      <c r="XBR149" s="609"/>
      <c r="XBS149" s="609"/>
      <c r="XBT149" s="609"/>
      <c r="XBU149" s="609"/>
      <c r="XBV149" s="609"/>
      <c r="XBW149" s="609"/>
      <c r="XBX149" s="609"/>
      <c r="XBY149" s="609"/>
      <c r="XBZ149" s="609"/>
      <c r="XCA149" s="609"/>
      <c r="XCB149" s="609"/>
      <c r="XCC149" s="609"/>
      <c r="XCD149" s="609"/>
      <c r="XCE149" s="609"/>
      <c r="XCF149" s="609"/>
      <c r="XCG149" s="609"/>
      <c r="XCH149" s="609"/>
      <c r="XCI149" s="609"/>
      <c r="XCJ149" s="609"/>
      <c r="XCK149" s="609"/>
      <c r="XCL149" s="609"/>
      <c r="XCM149" s="609"/>
      <c r="XCN149" s="609"/>
      <c r="XCO149" s="609"/>
      <c r="XCP149" s="609"/>
      <c r="XCQ149" s="609"/>
      <c r="XCR149" s="609"/>
      <c r="XCS149" s="609"/>
      <c r="XCT149" s="609"/>
      <c r="XCU149" s="609"/>
      <c r="XCV149" s="609"/>
      <c r="XCW149" s="609"/>
      <c r="XCX149" s="609"/>
      <c r="XCY149" s="609"/>
      <c r="XCZ149" s="609"/>
      <c r="XDA149" s="609"/>
      <c r="XDB149" s="609"/>
      <c r="XDC149" s="609"/>
      <c r="XDD149" s="609"/>
      <c r="XDE149" s="609"/>
      <c r="XDF149" s="609"/>
      <c r="XDG149" s="609"/>
      <c r="XDH149" s="609"/>
      <c r="XDI149" s="609"/>
      <c r="XDJ149" s="609"/>
      <c r="XDK149" s="609"/>
      <c r="XDL149" s="609"/>
      <c r="XDM149" s="609"/>
      <c r="XDN149" s="609"/>
      <c r="XDO149" s="609"/>
      <c r="XDP149" s="609"/>
      <c r="XDQ149" s="609"/>
      <c r="XDR149" s="609"/>
      <c r="XDS149" s="609"/>
      <c r="XDT149" s="609"/>
      <c r="XDU149" s="609"/>
      <c r="XDV149" s="609"/>
      <c r="XDW149" s="609"/>
      <c r="XDX149" s="609"/>
      <c r="XDY149" s="609"/>
      <c r="XDZ149" s="609"/>
      <c r="XEA149" s="609"/>
      <c r="XEB149" s="609"/>
      <c r="XEC149" s="609"/>
      <c r="XED149" s="609"/>
      <c r="XEE149" s="609"/>
      <c r="XEF149" s="609"/>
      <c r="XEG149" s="609"/>
      <c r="XEH149" s="609"/>
      <c r="XEI149" s="609"/>
      <c r="XEJ149" s="609"/>
      <c r="XEK149" s="609"/>
      <c r="XEL149" s="609"/>
      <c r="XEM149" s="609"/>
      <c r="XEN149" s="609"/>
      <c r="XEO149" s="609"/>
      <c r="XEP149" s="609"/>
      <c r="XEQ149" s="609"/>
      <c r="XER149" s="609"/>
      <c r="XES149" s="609"/>
      <c r="XET149" s="609"/>
      <c r="XEU149" s="609"/>
      <c r="XEV149" s="609"/>
      <c r="XEW149" s="609"/>
      <c r="XEX149" s="609"/>
      <c r="XEY149" s="609"/>
      <c r="XEZ149" s="609"/>
      <c r="XFA149" s="609"/>
    </row>
    <row r="150" spans="1:16381" ht="33.75">
      <c r="A150" s="609" t="str">
        <f t="shared" si="11"/>
        <v>Hannoversche Lebensversicherung AG v. 01.02.2022</v>
      </c>
      <c r="B150" s="609">
        <f>ROW()</f>
        <v>150</v>
      </c>
      <c r="C150" s="635" t="s">
        <v>1083</v>
      </c>
      <c r="D150" s="1202">
        <v>44593</v>
      </c>
      <c r="E150" s="636" t="s">
        <v>201</v>
      </c>
      <c r="F150" s="637" t="str">
        <f t="shared" si="13"/>
        <v/>
      </c>
      <c r="G150" s="634" t="str">
        <f t="shared" si="12"/>
        <v>TO ermöglicht: doppelten Kostenabzug;  Abweichungen vom gerichtl. festgelegten Ausgleichswert;  Verzinsung zwischen EzE und RK geltend machen</v>
      </c>
      <c r="I150" s="788"/>
      <c r="K150" s="1199"/>
      <c r="L150" s="1199">
        <v>2</v>
      </c>
      <c r="M150" s="1199">
        <v>3</v>
      </c>
      <c r="N150" s="1199">
        <v>4</v>
      </c>
      <c r="P150" s="144">
        <f t="shared" si="10"/>
        <v>9</v>
      </c>
    </row>
    <row r="151" spans="1:16381" ht="22.5">
      <c r="A151" s="609" t="str">
        <f>C151&amp;IF(D151=0,""," v. "&amp;TEXT(D151,"TT.MM.JJJ"))</f>
        <v>HanseMerkur Lebensversicherung AG v. 01.04.2017</v>
      </c>
      <c r="B151" s="609">
        <f>ROW()</f>
        <v>151</v>
      </c>
      <c r="C151" s="635" t="s">
        <v>1918</v>
      </c>
      <c r="D151" s="1202">
        <v>42826</v>
      </c>
      <c r="E151" s="636" t="s">
        <v>736</v>
      </c>
      <c r="F151" s="637" t="s">
        <v>472</v>
      </c>
      <c r="G151" s="634" t="str">
        <f t="shared" si="12"/>
        <v>TO ermöglicht: Tarifwechel;  Verzinsung zwischen EzE und RK geltend machen</v>
      </c>
      <c r="I151" s="788"/>
      <c r="K151" s="1199">
        <v>1</v>
      </c>
      <c r="L151" s="1199"/>
      <c r="M151" s="1199"/>
      <c r="N151" s="1199">
        <v>4</v>
      </c>
      <c r="P151" s="144">
        <f t="shared" si="10"/>
        <v>5</v>
      </c>
    </row>
    <row r="152" spans="1:16381" ht="33.75">
      <c r="A152" s="609" t="str">
        <f t="shared" si="11"/>
        <v>HDI Lebensversicherung AG v. 02.01.2020</v>
      </c>
      <c r="B152" s="609">
        <f>ROW()</f>
        <v>152</v>
      </c>
      <c r="C152" s="635" t="s">
        <v>872</v>
      </c>
      <c r="D152" s="1201">
        <v>43832</v>
      </c>
      <c r="E152" s="636" t="s">
        <v>870</v>
      </c>
      <c r="F152" s="637" t="str">
        <f t="shared" si="13"/>
        <v>Ja</v>
      </c>
      <c r="G152" s="634" t="str">
        <f t="shared" si="12"/>
        <v>TO ermöglicht: Tarifwechel; doppelten Kostenabzug;  Abweichungen vom gerichtl. festgelegten Ausgleichswert;  Verzinsung zwischen EzE und RK geltend machen</v>
      </c>
      <c r="K152" s="1199">
        <v>1</v>
      </c>
      <c r="L152" s="1199">
        <v>2</v>
      </c>
      <c r="M152" s="1199">
        <v>3</v>
      </c>
      <c r="N152" s="1199">
        <v>4</v>
      </c>
      <c r="O152" s="789" t="s">
        <v>871</v>
      </c>
      <c r="P152" s="144">
        <f t="shared" si="10"/>
        <v>10</v>
      </c>
    </row>
    <row r="153" spans="1:16381" ht="33.75">
      <c r="A153" s="609" t="str">
        <f t="shared" si="11"/>
        <v>HDI Lebensversicherung AG v. 14.01.2013</v>
      </c>
      <c r="B153" s="609">
        <f>ROW()</f>
        <v>153</v>
      </c>
      <c r="C153" s="635" t="s">
        <v>872</v>
      </c>
      <c r="D153" s="1201">
        <v>41288</v>
      </c>
      <c r="E153" s="636" t="s">
        <v>870</v>
      </c>
      <c r="F153" s="637" t="str">
        <f t="shared" si="13"/>
        <v>Ja</v>
      </c>
      <c r="G153" s="634" t="str">
        <f t="shared" si="12"/>
        <v>TO ermöglicht: Tarifwechel; doppelten Kostenabzug;  Abweichungen vom gerichtl. festgelegten Ausgleichswert;  Verzinsung zwischen EzE und RK geltend machen</v>
      </c>
      <c r="K153" s="1199">
        <v>1</v>
      </c>
      <c r="L153" s="1199">
        <v>2</v>
      </c>
      <c r="M153" s="1199">
        <v>3</v>
      </c>
      <c r="N153" s="1199">
        <v>4</v>
      </c>
      <c r="O153" s="789" t="s">
        <v>873</v>
      </c>
      <c r="P153" s="144">
        <f t="shared" si="10"/>
        <v>10</v>
      </c>
    </row>
    <row r="154" spans="1:16381" ht="33.75">
      <c r="A154" s="609" t="str">
        <f t="shared" si="11"/>
        <v>HDI Lebensversicherung AG v. ohne Datum</v>
      </c>
      <c r="B154" s="609">
        <f>ROW()</f>
        <v>154</v>
      </c>
      <c r="C154" s="635" t="s">
        <v>872</v>
      </c>
      <c r="D154" s="1201" t="s">
        <v>1084</v>
      </c>
      <c r="E154" s="636" t="s">
        <v>736</v>
      </c>
      <c r="F154" s="637" t="str">
        <f t="shared" si="13"/>
        <v>Ja</v>
      </c>
      <c r="G154" s="634" t="str">
        <f t="shared" si="12"/>
        <v>TO ermöglicht: Tarifwechel; doppelten Kostenabzug;  Abweichungen vom gerichtl. festgelegten Ausgleichswert;  Verzinsung zwischen EzE und RK geltend machen</v>
      </c>
      <c r="I154" s="634" t="s">
        <v>1374</v>
      </c>
      <c r="K154" s="1199">
        <v>1</v>
      </c>
      <c r="L154" s="1199">
        <v>2</v>
      </c>
      <c r="M154" s="1199">
        <v>3</v>
      </c>
      <c r="N154" s="1199">
        <v>4</v>
      </c>
      <c r="P154" s="144">
        <f t="shared" si="10"/>
        <v>10</v>
      </c>
    </row>
    <row r="155" spans="1:16381">
      <c r="A155" s="609" t="str">
        <f t="shared" si="11"/>
        <v>HDI Pensionskasse v. 01.04.2015</v>
      </c>
      <c r="B155" s="609">
        <f>ROW()</f>
        <v>155</v>
      </c>
      <c r="C155" s="635" t="s">
        <v>735</v>
      </c>
      <c r="D155" s="1201">
        <v>42095</v>
      </c>
      <c r="E155" s="636" t="s">
        <v>736</v>
      </c>
      <c r="F155" s="637" t="str">
        <f t="shared" si="13"/>
        <v>Ja</v>
      </c>
      <c r="G155" s="634" t="str">
        <f t="shared" si="12"/>
        <v xml:space="preserve">TO ermöglicht: Tarifwechel; </v>
      </c>
      <c r="J155" s="788"/>
      <c r="K155" s="1199">
        <v>1</v>
      </c>
      <c r="L155" s="1199"/>
      <c r="M155" s="1199"/>
      <c r="N155" s="1199"/>
      <c r="O155" s="793" t="s">
        <v>737</v>
      </c>
      <c r="P155" s="144">
        <f t="shared" si="10"/>
        <v>1</v>
      </c>
    </row>
    <row r="156" spans="1:16381">
      <c r="A156" s="609" t="str">
        <f t="shared" si="11"/>
        <v>HDI Pensionskasse v. 14.01.2013</v>
      </c>
      <c r="B156" s="609">
        <f>ROW()</f>
        <v>156</v>
      </c>
      <c r="C156" s="635" t="s">
        <v>735</v>
      </c>
      <c r="D156" s="1201">
        <v>41288</v>
      </c>
      <c r="E156" s="636" t="s">
        <v>736</v>
      </c>
      <c r="F156" s="637" t="str">
        <f t="shared" si="13"/>
        <v>Ja</v>
      </c>
      <c r="G156" s="634" t="str">
        <f t="shared" si="12"/>
        <v xml:space="preserve">TO ermöglicht: Tarifwechel; doppelten Kostenabzug; </v>
      </c>
      <c r="K156" s="1199">
        <v>1</v>
      </c>
      <c r="L156" s="1199">
        <v>2</v>
      </c>
      <c r="M156" s="1199"/>
      <c r="N156" s="1199"/>
      <c r="O156" s="793" t="s">
        <v>737</v>
      </c>
      <c r="P156" s="144">
        <f t="shared" si="10"/>
        <v>3</v>
      </c>
    </row>
    <row r="157" spans="1:16381" ht="33.75">
      <c r="A157" s="609" t="str">
        <f t="shared" si="11"/>
        <v>Heidelberger Leben v. 01.01.2014</v>
      </c>
      <c r="B157" s="609">
        <f>ROW()</f>
        <v>157</v>
      </c>
      <c r="C157" s="635" t="s">
        <v>943</v>
      </c>
      <c r="D157" s="1201">
        <v>41640</v>
      </c>
      <c r="E157" s="636" t="s">
        <v>927</v>
      </c>
      <c r="F157" s="637" t="str">
        <f t="shared" si="13"/>
        <v>Ja</v>
      </c>
      <c r="G157" s="634" t="str">
        <f t="shared" si="12"/>
        <v>TO ermöglicht: Tarifwechel; doppelten Kostenabzug;  Abweichungen vom gerichtl. festgelegten Ausgleichswert;  Verzinsung zwischen EzE und RK geltend machen</v>
      </c>
      <c r="K157" s="1199">
        <v>1</v>
      </c>
      <c r="L157" s="1199">
        <v>2</v>
      </c>
      <c r="M157" s="1199">
        <v>3</v>
      </c>
      <c r="N157" s="1199">
        <v>4</v>
      </c>
      <c r="P157" s="144">
        <f t="shared" si="10"/>
        <v>10</v>
      </c>
    </row>
    <row r="158" spans="1:16381">
      <c r="A158" s="609" t="str">
        <f t="shared" si="11"/>
        <v>Heidelberger Cement AG, Heidelberg v. 23.03.2013</v>
      </c>
      <c r="B158" s="609">
        <f>ROW()</f>
        <v>158</v>
      </c>
      <c r="C158" s="635" t="s">
        <v>1608</v>
      </c>
      <c r="D158" s="1201">
        <v>41356</v>
      </c>
      <c r="E158" s="636">
        <v>5</v>
      </c>
      <c r="F158" s="637"/>
      <c r="G158" s="634" t="str">
        <f t="shared" si="12"/>
        <v/>
      </c>
      <c r="I158" s="634" t="s">
        <v>1610</v>
      </c>
      <c r="K158" s="1199"/>
      <c r="L158" s="1199"/>
      <c r="M158" s="1199"/>
      <c r="N158" s="1199"/>
      <c r="P158" s="144"/>
    </row>
    <row r="159" spans="1:16381" ht="22.5">
      <c r="A159" s="609" t="str">
        <f t="shared" si="11"/>
        <v>Helvetia schweizerische Lebensversicherungs-AG v. 01.04.2019</v>
      </c>
      <c r="B159" s="609">
        <f>ROW()</f>
        <v>159</v>
      </c>
      <c r="C159" s="635" t="s">
        <v>1370</v>
      </c>
      <c r="D159" s="1201">
        <v>43556</v>
      </c>
      <c r="E159" s="636">
        <v>5</v>
      </c>
      <c r="F159" s="637" t="str">
        <f t="shared" si="13"/>
        <v>Ja</v>
      </c>
      <c r="G159" s="634" t="str">
        <f t="shared" si="12"/>
        <v xml:space="preserve">TO ermöglicht: Tarifwechel; doppelten Kostenabzug; </v>
      </c>
      <c r="K159" s="1199">
        <v>1</v>
      </c>
      <c r="L159" s="1199">
        <v>2</v>
      </c>
      <c r="M159" s="1199"/>
      <c r="N159" s="1199"/>
      <c r="P159" s="144">
        <f t="shared" si="10"/>
        <v>3</v>
      </c>
    </row>
    <row r="160" spans="1:16381" ht="22.5">
      <c r="A160" s="609" t="str">
        <f t="shared" si="11"/>
        <v>Hewlett Packard GmbH Böblingen v. 18.12.2009</v>
      </c>
      <c r="B160" s="609">
        <f>ROW()</f>
        <v>160</v>
      </c>
      <c r="C160" s="635" t="s">
        <v>1085</v>
      </c>
      <c r="D160" s="1201">
        <v>40165</v>
      </c>
      <c r="E160" s="636" t="s">
        <v>660</v>
      </c>
      <c r="F160" s="637" t="str">
        <f t="shared" si="13"/>
        <v/>
      </c>
      <c r="G160" s="634" t="str">
        <f t="shared" si="12"/>
        <v xml:space="preserve">TO ermöglicht: doppelten Kostenabzug;  Abweichungen vom gerichtl. festgelegten Ausgleichswert; </v>
      </c>
      <c r="K160" s="1199"/>
      <c r="L160" s="1199">
        <v>2</v>
      </c>
      <c r="M160" s="1199">
        <v>3</v>
      </c>
      <c r="N160" s="1199"/>
      <c r="P160" s="144">
        <f t="shared" si="10"/>
        <v>5</v>
      </c>
    </row>
    <row r="161" spans="1:16" ht="33.75">
      <c r="A161" s="609" t="str">
        <f t="shared" si="11"/>
        <v>Hoechst Pensionskasse v. 01.01.2022</v>
      </c>
      <c r="B161" s="609">
        <f>ROW()</f>
        <v>161</v>
      </c>
      <c r="C161" s="635" t="s">
        <v>1121</v>
      </c>
      <c r="D161" s="1201">
        <v>44562</v>
      </c>
      <c r="F161" s="637" t="str">
        <f t="shared" si="13"/>
        <v/>
      </c>
      <c r="G161" s="634" t="str">
        <f t="shared" si="12"/>
        <v/>
      </c>
      <c r="I161" s="634" t="s">
        <v>1334</v>
      </c>
      <c r="K161" s="1199"/>
      <c r="L161" s="1199"/>
      <c r="M161" s="1199"/>
      <c r="N161" s="1199"/>
      <c r="P161" s="144">
        <f t="shared" si="10"/>
        <v>0</v>
      </c>
    </row>
    <row r="162" spans="1:16" ht="25.5">
      <c r="A162" s="609" t="str">
        <f t="shared" si="11"/>
        <v>Homann Feinkost GmbH v. 01.09.2009</v>
      </c>
      <c r="B162" s="609">
        <f>ROW()</f>
        <v>162</v>
      </c>
      <c r="C162" s="635" t="s">
        <v>800</v>
      </c>
      <c r="D162" s="1201">
        <v>40057</v>
      </c>
      <c r="E162" s="636" t="s">
        <v>776</v>
      </c>
      <c r="F162" s="637" t="str">
        <f t="shared" si="13"/>
        <v/>
      </c>
      <c r="G162" s="634" t="str">
        <f t="shared" si="12"/>
        <v>TO ermöglicht:  Verzinsung zwischen EzE und RK geltend machen</v>
      </c>
      <c r="K162" s="1199"/>
      <c r="L162" s="1199"/>
      <c r="M162" s="1199"/>
      <c r="N162" s="1199">
        <v>4</v>
      </c>
      <c r="O162" s="789" t="s">
        <v>812</v>
      </c>
      <c r="P162" s="144">
        <f t="shared" si="10"/>
        <v>4</v>
      </c>
    </row>
    <row r="163" spans="1:16" ht="33.75">
      <c r="A163" s="609" t="str">
        <f t="shared" si="11"/>
        <v>HUK-Coburg v. 01.01.2015</v>
      </c>
      <c r="B163" s="609">
        <f>ROW()</f>
        <v>163</v>
      </c>
      <c r="C163" s="635" t="s">
        <v>700</v>
      </c>
      <c r="D163" s="1202">
        <v>42005</v>
      </c>
      <c r="E163" s="636" t="s">
        <v>676</v>
      </c>
      <c r="F163" s="637" t="str">
        <f t="shared" si="13"/>
        <v>Ja</v>
      </c>
      <c r="G163" s="634" t="str">
        <f t="shared" si="12"/>
        <v>TO ermöglicht: Tarifwechel; doppelten Kostenabzug;  Abweichungen vom gerichtl. festgelegten Ausgleichswert;  Verzinsung zwischen EzE und RK geltend machen</v>
      </c>
      <c r="K163" s="1199">
        <v>1</v>
      </c>
      <c r="L163" s="1199">
        <v>2</v>
      </c>
      <c r="M163" s="1199">
        <v>3</v>
      </c>
      <c r="N163" s="1199">
        <v>4</v>
      </c>
      <c r="O163" s="789" t="s">
        <v>812</v>
      </c>
      <c r="P163" s="144">
        <f t="shared" si="10"/>
        <v>10</v>
      </c>
    </row>
    <row r="164" spans="1:16" ht="22.5">
      <c r="A164" s="609" t="str">
        <f t="shared" si="11"/>
        <v>HypoVereinsbank HVB v. 05.10.2016</v>
      </c>
      <c r="B164" s="609">
        <f>ROW()</f>
        <v>164</v>
      </c>
      <c r="C164" s="635" t="s">
        <v>1086</v>
      </c>
      <c r="D164" s="1201">
        <v>42648</v>
      </c>
      <c r="E164" s="636" t="s">
        <v>1087</v>
      </c>
      <c r="F164" s="637" t="str">
        <f t="shared" si="13"/>
        <v/>
      </c>
      <c r="G164" s="634" t="str">
        <f t="shared" si="12"/>
        <v>TO ermöglicht: doppelten Kostenabzug;  Verzinsung zwischen EzE und RK geltend machen</v>
      </c>
      <c r="I164" s="634" t="s">
        <v>819</v>
      </c>
      <c r="K164" s="1199"/>
      <c r="L164" s="1199">
        <v>2</v>
      </c>
      <c r="M164" s="1199"/>
      <c r="N164" s="1199">
        <v>4</v>
      </c>
      <c r="P164" s="144">
        <f t="shared" si="10"/>
        <v>6</v>
      </c>
    </row>
    <row r="165" spans="1:16" ht="33.75">
      <c r="A165" s="609" t="str">
        <f t="shared" si="11"/>
        <v>HypoVereinsbank Unicredit Group v. 05.10.2016</v>
      </c>
      <c r="B165" s="609">
        <f>ROW()</f>
        <v>165</v>
      </c>
      <c r="C165" s="635" t="s">
        <v>1088</v>
      </c>
      <c r="D165" s="1201">
        <v>42648</v>
      </c>
      <c r="E165" s="636" t="s">
        <v>1089</v>
      </c>
      <c r="F165" s="637" t="str">
        <f t="shared" si="13"/>
        <v/>
      </c>
      <c r="G165" s="634" t="str">
        <f t="shared" si="12"/>
        <v>TO ermöglicht: doppelten Kostenabzug;  Abweichungen vom gerichtl. festgelegten Ausgleichswert;  Verzinsung zwischen EzE und RK geltend machen</v>
      </c>
      <c r="J165" s="788"/>
      <c r="K165" s="1199"/>
      <c r="L165" s="1199">
        <v>2</v>
      </c>
      <c r="M165" s="1199">
        <v>3</v>
      </c>
      <c r="N165" s="1199">
        <v>4</v>
      </c>
      <c r="P165" s="144">
        <f t="shared" si="10"/>
        <v>9</v>
      </c>
    </row>
    <row r="166" spans="1:16">
      <c r="A166" s="609" t="str">
        <f t="shared" si="11"/>
        <v>IBM v. 01.09.2009</v>
      </c>
      <c r="B166" s="609">
        <f>ROW()</f>
        <v>166</v>
      </c>
      <c r="C166" s="635" t="s">
        <v>1109</v>
      </c>
      <c r="D166" s="1201">
        <v>40057</v>
      </c>
      <c r="E166" s="636" t="s">
        <v>1110</v>
      </c>
      <c r="F166" s="637" t="str">
        <f t="shared" si="13"/>
        <v/>
      </c>
      <c r="G166" s="634" t="str">
        <f t="shared" si="12"/>
        <v xml:space="preserve">TO ermöglicht: doppelten Kostenabzug; </v>
      </c>
      <c r="K166" s="1199"/>
      <c r="L166" s="1199">
        <v>2</v>
      </c>
      <c r="M166" s="1199"/>
      <c r="N166" s="1199"/>
      <c r="P166" s="144">
        <f t="shared" si="10"/>
        <v>2</v>
      </c>
    </row>
    <row r="167" spans="1:16" ht="25.5">
      <c r="A167" s="609" t="str">
        <f t="shared" si="11"/>
        <v>IGLO GmbH v. 01.09.2009</v>
      </c>
      <c r="B167" s="609">
        <f>ROW()</f>
        <v>167</v>
      </c>
      <c r="C167" s="635" t="s">
        <v>801</v>
      </c>
      <c r="D167" s="1201">
        <v>40057</v>
      </c>
      <c r="E167" s="636" t="s">
        <v>776</v>
      </c>
      <c r="F167" s="637" t="str">
        <f t="shared" si="13"/>
        <v/>
      </c>
      <c r="G167" s="634" t="str">
        <f t="shared" si="12"/>
        <v xml:space="preserve">TO ermöglicht: doppelten Kostenabzug; </v>
      </c>
      <c r="K167" s="1199"/>
      <c r="L167" s="1199">
        <v>2</v>
      </c>
      <c r="M167" s="1199"/>
      <c r="N167" s="1199"/>
      <c r="O167" s="789" t="s">
        <v>812</v>
      </c>
      <c r="P167" s="144">
        <f t="shared" si="10"/>
        <v>2</v>
      </c>
    </row>
    <row r="168" spans="1:16" ht="22.5">
      <c r="A168" s="609" t="str">
        <f t="shared" si="11"/>
        <v>Imperial Logistics v. 14.02.2022</v>
      </c>
      <c r="B168" s="609">
        <f>ROW()</f>
        <v>168</v>
      </c>
      <c r="C168" s="635" t="s">
        <v>1133</v>
      </c>
      <c r="D168" s="1201">
        <v>44606</v>
      </c>
      <c r="E168" s="636" t="s">
        <v>885</v>
      </c>
      <c r="F168" s="637" t="str">
        <f t="shared" si="13"/>
        <v/>
      </c>
      <c r="G168" s="634" t="str">
        <f t="shared" si="12"/>
        <v>TO ermöglicht: doppelten Kostenabzug;  Verzinsung zwischen EzE und RK geltend machen</v>
      </c>
      <c r="K168" s="1199"/>
      <c r="L168" s="1199">
        <v>2</v>
      </c>
      <c r="M168" s="1199"/>
      <c r="N168" s="1199">
        <v>4</v>
      </c>
      <c r="P168" s="144">
        <f t="shared" ref="P168:P238" si="14">SUM(K168:N168)</f>
        <v>6</v>
      </c>
    </row>
    <row r="169" spans="1:16" ht="33.75">
      <c r="A169" s="609" t="str">
        <f t="shared" si="11"/>
        <v>Ineos Phenol v. 25.09.2009</v>
      </c>
      <c r="B169" s="609">
        <f>ROW()</f>
        <v>169</v>
      </c>
      <c r="C169" s="635" t="s">
        <v>1360</v>
      </c>
      <c r="D169" s="1201">
        <v>40081</v>
      </c>
      <c r="F169" s="637" t="str">
        <f t="shared" si="13"/>
        <v/>
      </c>
      <c r="G169" s="634" t="str">
        <f t="shared" si="12"/>
        <v/>
      </c>
      <c r="I169" s="634" t="s">
        <v>1361</v>
      </c>
      <c r="K169" s="1199"/>
      <c r="L169" s="1199"/>
      <c r="M169" s="1199"/>
      <c r="N169" s="1199"/>
      <c r="P169" s="144">
        <f t="shared" si="14"/>
        <v>0</v>
      </c>
    </row>
    <row r="170" spans="1:16" ht="33.75">
      <c r="A170" s="609" t="str">
        <f t="shared" si="11"/>
        <v>InterRisk Lebensversicherungs AG Vienna Insurance Group v. 02.08.2012</v>
      </c>
      <c r="B170" s="609">
        <f>ROW()</f>
        <v>170</v>
      </c>
      <c r="C170" s="635" t="s">
        <v>1648</v>
      </c>
      <c r="D170" s="1201">
        <v>41123</v>
      </c>
      <c r="E170" s="636" t="s">
        <v>660</v>
      </c>
      <c r="F170" s="637" t="str">
        <f t="shared" si="13"/>
        <v>Ja</v>
      </c>
      <c r="G170" s="634" t="str">
        <f t="shared" si="12"/>
        <v>TO ermöglicht: Tarifwechel; doppelten Kostenabzug;  Abweichungen vom gerichtl. festgelegten Ausgleichswert;  Verzinsung zwischen EzE und RK geltend machen</v>
      </c>
      <c r="I170" s="634" t="s">
        <v>1649</v>
      </c>
      <c r="K170" s="1199">
        <v>1</v>
      </c>
      <c r="L170" s="1199">
        <v>2</v>
      </c>
      <c r="M170" s="1199">
        <v>3</v>
      </c>
      <c r="N170" s="1199">
        <v>4</v>
      </c>
      <c r="P170" s="144"/>
    </row>
    <row r="171" spans="1:16" ht="28.5">
      <c r="A171" s="609" t="str">
        <f t="shared" si="11"/>
        <v>KKH - Teilungsregeln für den Versorgungsausgleich v. 26.05.2011</v>
      </c>
      <c r="B171" s="609">
        <f>ROW()</f>
        <v>171</v>
      </c>
      <c r="C171" s="785" t="s">
        <v>810</v>
      </c>
      <c r="D171" s="1201">
        <v>40689</v>
      </c>
      <c r="E171" s="636" t="s">
        <v>811</v>
      </c>
      <c r="F171" s="637" t="str">
        <f t="shared" si="13"/>
        <v/>
      </c>
      <c r="G171" s="634" t="str">
        <f t="shared" si="12"/>
        <v>TO ermöglicht: doppelten Kostenabzug;  Verzinsung zwischen EzE und RK geltend machen</v>
      </c>
      <c r="K171" s="1200"/>
      <c r="L171" s="1199">
        <v>2</v>
      </c>
      <c r="M171" s="1199"/>
      <c r="N171" s="1199">
        <v>4</v>
      </c>
      <c r="O171" s="789" t="s">
        <v>812</v>
      </c>
      <c r="P171" s="144">
        <f t="shared" si="14"/>
        <v>6</v>
      </c>
    </row>
    <row r="172" spans="1:16" ht="33.75">
      <c r="A172" s="609" t="str">
        <f t="shared" si="11"/>
        <v>Kölner Pensionskasse v. 01.01.2016</v>
      </c>
      <c r="B172" s="609">
        <f>ROW()</f>
        <v>172</v>
      </c>
      <c r="C172" s="635" t="s">
        <v>1357</v>
      </c>
      <c r="D172" s="1202">
        <v>42370</v>
      </c>
      <c r="F172" s="637" t="str">
        <f t="shared" si="13"/>
        <v>Ja</v>
      </c>
      <c r="G172" s="634" t="str">
        <f t="shared" si="12"/>
        <v>TO ermöglicht: Tarifwechel; doppelten Kostenabzug;  Abweichungen vom gerichtl. festgelegten Ausgleichswert;  Verzinsung zwischen EzE und RK geltend machen</v>
      </c>
      <c r="K172" s="1199">
        <v>1</v>
      </c>
      <c r="L172" s="1199">
        <v>2</v>
      </c>
      <c r="M172" s="1199">
        <v>3</v>
      </c>
      <c r="N172" s="1199">
        <v>4</v>
      </c>
      <c r="P172" s="144">
        <f t="shared" si="14"/>
        <v>10</v>
      </c>
    </row>
    <row r="173" spans="1:16" ht="22.5">
      <c r="A173" s="609" t="str">
        <f t="shared" si="11"/>
        <v>Kordoba TO KAVP TMA FHL v. 14.12.2010</v>
      </c>
      <c r="B173" s="609">
        <f>ROW()</f>
        <v>173</v>
      </c>
      <c r="C173" s="635" t="s">
        <v>1134</v>
      </c>
      <c r="D173" s="1201">
        <v>40526</v>
      </c>
      <c r="F173" s="637" t="str">
        <f t="shared" si="13"/>
        <v/>
      </c>
      <c r="G173" s="634" t="str">
        <f t="shared" si="12"/>
        <v>TO ermöglicht: doppelten Kostenabzug;  Verzinsung zwischen EzE und RK geltend machen</v>
      </c>
      <c r="K173" s="1199"/>
      <c r="L173" s="1199">
        <v>2</v>
      </c>
      <c r="M173" s="1199"/>
      <c r="N173" s="1199">
        <v>4</v>
      </c>
      <c r="P173" s="144">
        <f t="shared" si="14"/>
        <v>6</v>
      </c>
    </row>
    <row r="174" spans="1:16" ht="22.5">
      <c r="A174" s="609" t="str">
        <f t="shared" si="11"/>
        <v>LandesBank Berlin v. 22.03.2010</v>
      </c>
      <c r="B174" s="609">
        <f>ROW()</f>
        <v>174</v>
      </c>
      <c r="C174" s="635" t="s">
        <v>1090</v>
      </c>
      <c r="D174" s="1201">
        <v>40259</v>
      </c>
      <c r="F174" s="637" t="str">
        <f t="shared" si="13"/>
        <v/>
      </c>
      <c r="G174" s="634" t="str">
        <f t="shared" si="12"/>
        <v>TO ermöglicht: doppelten Kostenabzug;  Verzinsung zwischen EzE und RK geltend machen</v>
      </c>
      <c r="K174" s="1199"/>
      <c r="L174" s="1199">
        <v>2</v>
      </c>
      <c r="M174" s="1199"/>
      <c r="N174" s="1199">
        <v>4</v>
      </c>
      <c r="P174" s="144">
        <f t="shared" si="14"/>
        <v>6</v>
      </c>
    </row>
    <row r="175" spans="1:16" ht="45">
      <c r="A175" s="609" t="str">
        <f t="shared" si="11"/>
        <v>Landesbank Berlin v. 17.09.2021</v>
      </c>
      <c r="B175" s="609">
        <f>ROW()</f>
        <v>175</v>
      </c>
      <c r="C175" s="635" t="s">
        <v>1656</v>
      </c>
      <c r="D175" s="1201">
        <v>44456</v>
      </c>
      <c r="E175" s="636" t="s">
        <v>1139</v>
      </c>
      <c r="F175" s="637" t="str">
        <f t="shared" si="13"/>
        <v/>
      </c>
      <c r="G175" s="634" t="str">
        <f t="shared" si="12"/>
        <v>TO ermöglicht: doppelten Kostenabzug;  Verzinsung zwischen EzE und RK geltend machen</v>
      </c>
      <c r="I175" s="634" t="s">
        <v>1657</v>
      </c>
      <c r="K175" s="1199"/>
      <c r="L175" s="1199">
        <v>2</v>
      </c>
      <c r="M175" s="1199"/>
      <c r="N175" s="1199">
        <v>4</v>
      </c>
      <c r="P175" s="144">
        <f t="shared" si="14"/>
        <v>6</v>
      </c>
    </row>
    <row r="176" spans="1:16" ht="22.5">
      <c r="A176" s="609" t="str">
        <f t="shared" si="11"/>
        <v>Landesbank BW (Kapitalkontenplan 2005) TO  v. 02.05.2015</v>
      </c>
      <c r="B176" s="609">
        <f>ROW()</f>
        <v>176</v>
      </c>
      <c r="C176" s="635" t="s">
        <v>1328</v>
      </c>
      <c r="D176" s="1201">
        <v>42126</v>
      </c>
      <c r="E176" s="636">
        <v>5</v>
      </c>
      <c r="F176" s="637" t="str">
        <f t="shared" si="13"/>
        <v/>
      </c>
      <c r="G176" s="634" t="str">
        <f t="shared" si="12"/>
        <v xml:space="preserve">TO ermöglicht: doppelten Kostenabzug; </v>
      </c>
      <c r="K176" s="1199"/>
      <c r="L176" s="1199">
        <v>2</v>
      </c>
      <c r="M176" s="1199"/>
      <c r="N176" s="1199"/>
      <c r="P176" s="144">
        <f t="shared" si="14"/>
        <v>2</v>
      </c>
    </row>
    <row r="177" spans="1:16" ht="33.75">
      <c r="A177" s="609" t="str">
        <f t="shared" si="11"/>
        <v>Lebensversicherung von 1871 a.G. München v. 01.09.2009</v>
      </c>
      <c r="B177" s="609">
        <f>ROW()</f>
        <v>177</v>
      </c>
      <c r="C177" s="635" t="s">
        <v>1174</v>
      </c>
      <c r="D177" s="1201">
        <v>40057</v>
      </c>
      <c r="E177" s="636" t="s">
        <v>1173</v>
      </c>
      <c r="F177" s="637" t="str">
        <f t="shared" si="13"/>
        <v>Ja</v>
      </c>
      <c r="G177" s="634" t="str">
        <f t="shared" si="12"/>
        <v>TO ermöglicht: Tarifwechel; doppelten Kostenabzug;  Abweichungen vom gerichtl. festgelegten Ausgleichswert;  Verzinsung zwischen EzE und RK geltend machen</v>
      </c>
      <c r="K177" s="1199">
        <v>1</v>
      </c>
      <c r="L177" s="1199">
        <v>2</v>
      </c>
      <c r="M177" s="1199">
        <v>3</v>
      </c>
      <c r="N177" s="1199">
        <v>4</v>
      </c>
      <c r="P177" s="144">
        <f t="shared" si="14"/>
        <v>10</v>
      </c>
    </row>
    <row r="178" spans="1:16" ht="33.75">
      <c r="A178" s="609" t="str">
        <f t="shared" si="11"/>
        <v>LPV Lebensversicherung AG PBV-Bestandssegment, Bestandssystem Köln v. 01.09.2023</v>
      </c>
      <c r="B178" s="609">
        <f>ROW()</f>
        <v>178</v>
      </c>
      <c r="C178" s="635" t="s">
        <v>1859</v>
      </c>
      <c r="D178" s="1201">
        <v>45170</v>
      </c>
      <c r="E178" s="636" t="s">
        <v>660</v>
      </c>
      <c r="F178" s="637"/>
      <c r="G178" s="634" t="str">
        <f t="shared" si="12"/>
        <v>TO ermöglicht:  Verzinsung zwischen EzE und RK geltend machen</v>
      </c>
      <c r="K178" s="1199"/>
      <c r="L178" s="1199"/>
      <c r="M178" s="1199"/>
      <c r="N178" s="1199">
        <v>4</v>
      </c>
      <c r="P178" s="144"/>
    </row>
    <row r="179" spans="1:16" ht="22.5">
      <c r="A179" s="609" t="str">
        <f t="shared" si="11"/>
        <v>LPV Lebensversicherung AG PBV-Bestandssegment v. 01.09.2023</v>
      </c>
      <c r="B179" s="609">
        <f>ROW()</f>
        <v>179</v>
      </c>
      <c r="C179" s="635" t="s">
        <v>1857</v>
      </c>
      <c r="D179" s="1201">
        <v>45170</v>
      </c>
      <c r="E179" s="636" t="s">
        <v>1858</v>
      </c>
      <c r="F179" s="637" t="s">
        <v>472</v>
      </c>
      <c r="G179" s="634" t="str">
        <f t="shared" si="12"/>
        <v>TO ermöglicht: Tarifwechel;  Verzinsung zwischen EzE und RK geltend machen</v>
      </c>
      <c r="K179" s="1199">
        <v>1</v>
      </c>
      <c r="L179" s="1199"/>
      <c r="M179" s="1199"/>
      <c r="N179" s="1199">
        <v>4</v>
      </c>
      <c r="P179" s="144"/>
    </row>
    <row r="180" spans="1:16" ht="33.75">
      <c r="A180" s="609" t="str">
        <f t="shared" si="11"/>
        <v>Lufthansa Group TO  v. 28.06.2018</v>
      </c>
      <c r="B180" s="609">
        <f>ROW()</f>
        <v>180</v>
      </c>
      <c r="C180" s="635" t="s">
        <v>1337</v>
      </c>
      <c r="D180" s="1201">
        <v>43279</v>
      </c>
      <c r="E180" s="636" t="s">
        <v>1338</v>
      </c>
      <c r="F180" s="637" t="str">
        <f t="shared" si="13"/>
        <v/>
      </c>
      <c r="G180" s="634" t="str">
        <f t="shared" si="12"/>
        <v>TO ermöglicht: doppelten Kostenabzug;  Abweichungen vom gerichtl. festgelegten Ausgleichswert;  Verzinsung zwischen EzE und RK geltend machen</v>
      </c>
      <c r="K180" s="1199"/>
      <c r="L180" s="1199">
        <v>2</v>
      </c>
      <c r="M180" s="1199">
        <v>3</v>
      </c>
      <c r="N180" s="1199">
        <v>4</v>
      </c>
      <c r="P180" s="144">
        <f t="shared" si="14"/>
        <v>9</v>
      </c>
    </row>
    <row r="181" spans="1:16" ht="22.5">
      <c r="A181" s="609" t="str">
        <f t="shared" si="11"/>
        <v>Lufthansa Group Versorgungskasse Kabine e.V. v. 01.01.2012</v>
      </c>
      <c r="B181" s="609">
        <f>ROW()</f>
        <v>181</v>
      </c>
      <c r="C181" s="635" t="s">
        <v>1339</v>
      </c>
      <c r="D181" s="1201">
        <v>40909</v>
      </c>
      <c r="E181" s="636">
        <v>5</v>
      </c>
      <c r="F181" s="637" t="str">
        <f t="shared" si="13"/>
        <v>Ja</v>
      </c>
      <c r="G181" s="634" t="str">
        <f t="shared" si="12"/>
        <v>TO ermöglicht: Tarifwechel; doppelten Kostenabzug;  Verzinsung zwischen EzE und RK geltend machen</v>
      </c>
      <c r="K181" s="1199">
        <v>1</v>
      </c>
      <c r="L181" s="1199">
        <v>2</v>
      </c>
      <c r="M181" s="1199"/>
      <c r="N181" s="1199">
        <v>4</v>
      </c>
      <c r="P181" s="144">
        <f t="shared" si="14"/>
        <v>7</v>
      </c>
    </row>
    <row r="182" spans="1:16" ht="22.5">
      <c r="A182" s="609" t="str">
        <f t="shared" si="11"/>
        <v>LVM Lebens- und Rentenversicherungen (privat) v. 01.10.2009</v>
      </c>
      <c r="B182" s="609">
        <f>ROW()</f>
        <v>182</v>
      </c>
      <c r="C182" s="635" t="s">
        <v>1091</v>
      </c>
      <c r="D182" s="1202">
        <v>40087</v>
      </c>
      <c r="E182" s="636" t="s">
        <v>672</v>
      </c>
      <c r="F182" s="637" t="str">
        <f t="shared" si="13"/>
        <v>Ja</v>
      </c>
      <c r="G182" s="634" t="str">
        <f t="shared" si="12"/>
        <v>TO ermöglicht: Tarifwechel; doppelten Kostenabzug;  Verzinsung zwischen EzE und RK geltend machen</v>
      </c>
      <c r="K182" s="1199">
        <v>1</v>
      </c>
      <c r="L182" s="1199">
        <v>2</v>
      </c>
      <c r="M182" s="1199"/>
      <c r="N182" s="1199">
        <v>4</v>
      </c>
      <c r="P182" s="144">
        <f t="shared" si="14"/>
        <v>7</v>
      </c>
    </row>
    <row r="183" spans="1:16" ht="33.75">
      <c r="A183" s="609" t="str">
        <f t="shared" si="11"/>
        <v>LVM Lebensversicherungs-AG v. 01.07.2017</v>
      </c>
      <c r="B183" s="609">
        <f>ROW()</f>
        <v>183</v>
      </c>
      <c r="C183" s="635" t="s">
        <v>1345</v>
      </c>
      <c r="D183" s="1202">
        <v>42917</v>
      </c>
      <c r="E183" s="636">
        <v>5</v>
      </c>
      <c r="F183" s="637" t="str">
        <f t="shared" si="13"/>
        <v/>
      </c>
      <c r="G183" s="634" t="str">
        <f t="shared" si="12"/>
        <v>TO ermöglicht: doppelten Kostenabzug;  Abweichungen vom gerichtl. festgelegten Ausgleichswert;  Verzinsung zwischen EzE und RK geltend machen</v>
      </c>
      <c r="K183" s="1199"/>
      <c r="L183" s="1199">
        <v>2</v>
      </c>
      <c r="M183" s="1199">
        <v>3</v>
      </c>
      <c r="N183" s="1199">
        <v>4</v>
      </c>
      <c r="P183" s="144">
        <f t="shared" si="14"/>
        <v>9</v>
      </c>
    </row>
    <row r="184" spans="1:16" ht="22.5">
      <c r="A184" s="609" t="str">
        <f t="shared" si="11"/>
        <v>LVM Pensionsfonds v. 01.09.2009</v>
      </c>
      <c r="B184" s="609">
        <f>ROW()</f>
        <v>184</v>
      </c>
      <c r="C184" s="635" t="s">
        <v>1092</v>
      </c>
      <c r="D184" s="1202">
        <v>40057</v>
      </c>
      <c r="E184" s="636" t="s">
        <v>1093</v>
      </c>
      <c r="F184" s="637" t="str">
        <f t="shared" si="13"/>
        <v>Ja</v>
      </c>
      <c r="G184" s="634" t="str">
        <f t="shared" si="12"/>
        <v>TO ermöglicht: Tarifwechel; doppelten Kostenabzug;  Verzinsung zwischen EzE und RK geltend machen</v>
      </c>
      <c r="K184" s="1199">
        <v>1</v>
      </c>
      <c r="L184" s="1199">
        <v>2</v>
      </c>
      <c r="M184" s="1199"/>
      <c r="N184" s="1199">
        <v>4</v>
      </c>
      <c r="P184" s="144">
        <f t="shared" si="14"/>
        <v>7</v>
      </c>
    </row>
    <row r="185" spans="1:16" ht="22.5">
      <c r="A185" s="609" t="str">
        <f t="shared" si="11"/>
        <v>LVM Pensionsplan V v. 01.01.2010</v>
      </c>
      <c r="B185" s="609">
        <f>ROW()</f>
        <v>185</v>
      </c>
      <c r="C185" s="635" t="s">
        <v>1094</v>
      </c>
      <c r="D185" s="1202">
        <v>40179</v>
      </c>
      <c r="E185" s="636" t="s">
        <v>1095</v>
      </c>
      <c r="F185" s="637" t="str">
        <f t="shared" si="13"/>
        <v>Ja</v>
      </c>
      <c r="G185" s="634" t="str">
        <f t="shared" si="12"/>
        <v>TO ermöglicht: Tarifwechel; doppelten Kostenabzug;  Verzinsung zwischen EzE und RK geltend machen</v>
      </c>
      <c r="K185" s="1199">
        <v>1</v>
      </c>
      <c r="L185" s="1199">
        <v>2</v>
      </c>
      <c r="M185" s="1199"/>
      <c r="N185" s="1199">
        <v>4</v>
      </c>
      <c r="P185" s="144">
        <f t="shared" si="14"/>
        <v>7</v>
      </c>
    </row>
    <row r="186" spans="1:16" ht="22.5">
      <c r="A186" s="609" t="str">
        <f t="shared" si="11"/>
        <v>LVM Unterstützungskasse v. 01.03.2010</v>
      </c>
      <c r="B186" s="609">
        <f>ROW()</f>
        <v>186</v>
      </c>
      <c r="C186" s="635" t="s">
        <v>1096</v>
      </c>
      <c r="D186" s="1202">
        <v>40238</v>
      </c>
      <c r="E186" s="636" t="s">
        <v>1058</v>
      </c>
      <c r="F186" s="637" t="str">
        <f t="shared" si="13"/>
        <v>Ja</v>
      </c>
      <c r="G186" s="634" t="str">
        <f t="shared" si="12"/>
        <v>TO ermöglicht: Tarifwechel; doppelten Kostenabzug;  Verzinsung zwischen EzE und RK geltend machen</v>
      </c>
      <c r="K186" s="1199">
        <v>1</v>
      </c>
      <c r="L186" s="1199">
        <v>2</v>
      </c>
      <c r="M186" s="1199"/>
      <c r="N186" s="1199">
        <v>4</v>
      </c>
      <c r="P186" s="144">
        <f t="shared" si="14"/>
        <v>7</v>
      </c>
    </row>
    <row r="187" spans="1:16" ht="22.5">
      <c r="A187" s="609" t="str">
        <f t="shared" si="11"/>
        <v>LVM Unterstützungskasse v. 01.09.2009</v>
      </c>
      <c r="B187" s="609">
        <f>ROW()</f>
        <v>187</v>
      </c>
      <c r="C187" s="635" t="s">
        <v>1096</v>
      </c>
      <c r="D187" s="1202">
        <v>40057</v>
      </c>
      <c r="F187" s="637" t="str">
        <f t="shared" si="13"/>
        <v>Ja</v>
      </c>
      <c r="G187" s="634" t="str">
        <f t="shared" si="12"/>
        <v>TO ermöglicht: Tarifwechel; doppelten Kostenabzug;  Verzinsung zwischen EzE und RK geltend machen</v>
      </c>
      <c r="K187" s="1199">
        <v>1</v>
      </c>
      <c r="L187" s="1199">
        <v>2</v>
      </c>
      <c r="M187" s="1199"/>
      <c r="N187" s="1199">
        <v>4</v>
      </c>
      <c r="P187" s="144">
        <f t="shared" si="14"/>
        <v>7</v>
      </c>
    </row>
    <row r="188" spans="1:16" ht="22.5">
      <c r="A188" s="609" t="str">
        <f t="shared" si="11"/>
        <v>LVM Versicherung (Direktversicherung) v. 01.10.2009</v>
      </c>
      <c r="B188" s="609">
        <f>ROW()</f>
        <v>188</v>
      </c>
      <c r="C188" s="635" t="s">
        <v>1097</v>
      </c>
      <c r="D188" s="1202">
        <v>40087</v>
      </c>
      <c r="E188" s="636" t="s">
        <v>672</v>
      </c>
      <c r="F188" s="637" t="str">
        <f t="shared" si="13"/>
        <v>Ja</v>
      </c>
      <c r="G188" s="634" t="str">
        <f t="shared" si="12"/>
        <v>TO ermöglicht: Tarifwechel; doppelten Kostenabzug;  Verzinsung zwischen EzE und RK geltend machen</v>
      </c>
      <c r="H188" s="414"/>
      <c r="J188" s="788"/>
      <c r="K188" s="1199">
        <v>1</v>
      </c>
      <c r="L188" s="1199">
        <v>2</v>
      </c>
      <c r="M188" s="1199"/>
      <c r="N188" s="1199">
        <v>4</v>
      </c>
      <c r="P188" s="144">
        <f t="shared" si="14"/>
        <v>7</v>
      </c>
    </row>
    <row r="189" spans="1:16" ht="22.5">
      <c r="A189" s="609" t="str">
        <f t="shared" si="11"/>
        <v>LVM Versicherung v. 01.07.2017</v>
      </c>
      <c r="B189" s="609">
        <f>ROW()</f>
        <v>189</v>
      </c>
      <c r="C189" s="635" t="s">
        <v>670</v>
      </c>
      <c r="D189" s="1202">
        <v>42917</v>
      </c>
      <c r="E189" s="636" t="s">
        <v>672</v>
      </c>
      <c r="F189" s="637" t="str">
        <f t="shared" si="13"/>
        <v/>
      </c>
      <c r="G189" s="634" t="str">
        <f t="shared" si="12"/>
        <v>TO ermöglicht: doppelten Kostenabzug;  Verzinsung zwischen EzE und RK geltend machen</v>
      </c>
      <c r="K189" s="1199"/>
      <c r="L189" s="1199">
        <v>2</v>
      </c>
      <c r="M189" s="1199"/>
      <c r="N189" s="1199">
        <v>4</v>
      </c>
      <c r="O189" s="791" t="s">
        <v>671</v>
      </c>
      <c r="P189" s="144">
        <f t="shared" si="14"/>
        <v>6</v>
      </c>
    </row>
    <row r="190" spans="1:16">
      <c r="A190" s="609" t="str">
        <f t="shared" si="11"/>
        <v>MAN (KBV BAV MEV) v. 01.09.2009</v>
      </c>
      <c r="B190" s="609">
        <f>ROW()</f>
        <v>190</v>
      </c>
      <c r="C190" s="635" t="s">
        <v>1098</v>
      </c>
      <c r="D190" s="1201">
        <v>40057</v>
      </c>
      <c r="E190" s="636" t="s">
        <v>660</v>
      </c>
      <c r="F190" s="637" t="str">
        <f t="shared" si="13"/>
        <v/>
      </c>
      <c r="G190" s="634" t="str">
        <f t="shared" si="12"/>
        <v>TO ermöglicht:  Verzinsung zwischen EzE und RK geltend machen</v>
      </c>
      <c r="H190" s="414"/>
      <c r="K190" s="1199"/>
      <c r="L190" s="1199"/>
      <c r="M190" s="1199"/>
      <c r="N190" s="1199">
        <v>4</v>
      </c>
      <c r="P190" s="144">
        <f t="shared" si="14"/>
        <v>4</v>
      </c>
    </row>
    <row r="191" spans="1:16" ht="45">
      <c r="A191" s="609" t="str">
        <f t="shared" si="11"/>
        <v>MAN (KBV BAV MEV) v. 04.04.2011</v>
      </c>
      <c r="B191" s="609">
        <f>ROW()</f>
        <v>191</v>
      </c>
      <c r="C191" s="635" t="s">
        <v>1098</v>
      </c>
      <c r="D191" s="1201">
        <v>40637</v>
      </c>
      <c r="E191" s="636" t="s">
        <v>1375</v>
      </c>
      <c r="F191" s="637" t="str">
        <f t="shared" si="13"/>
        <v/>
      </c>
      <c r="G191" s="634" t="str">
        <f t="shared" si="12"/>
        <v>TO ermöglicht:  Verzinsung zwischen EzE und RK geltend machen</v>
      </c>
      <c r="H191" s="414"/>
      <c r="I191" s="634" t="s">
        <v>1376</v>
      </c>
      <c r="K191" s="1199"/>
      <c r="L191" s="1199"/>
      <c r="M191" s="1199"/>
      <c r="N191" s="1199">
        <v>4</v>
      </c>
      <c r="P191" s="144">
        <f t="shared" si="14"/>
        <v>4</v>
      </c>
    </row>
    <row r="192" spans="1:16" ht="45">
      <c r="A192" s="609" t="str">
        <f t="shared" si="11"/>
        <v>MAN (KBV BAV MEV) v. 15.03.2011</v>
      </c>
      <c r="B192" s="609">
        <f>ROW()</f>
        <v>192</v>
      </c>
      <c r="C192" s="635" t="s">
        <v>1098</v>
      </c>
      <c r="D192" s="1201">
        <v>40617</v>
      </c>
      <c r="E192" s="636" t="s">
        <v>1375</v>
      </c>
      <c r="F192" s="637" t="str">
        <f t="shared" si="13"/>
        <v/>
      </c>
      <c r="G192" s="634" t="str">
        <f t="shared" si="12"/>
        <v>TO ermöglicht:  Verzinsung zwischen EzE und RK geltend machen</v>
      </c>
      <c r="H192" s="414"/>
      <c r="I192" s="634" t="s">
        <v>1376</v>
      </c>
      <c r="K192" s="1199"/>
      <c r="L192" s="1199"/>
      <c r="M192" s="1199"/>
      <c r="N192" s="1199">
        <v>4</v>
      </c>
      <c r="P192" s="144">
        <f t="shared" si="14"/>
        <v>4</v>
      </c>
    </row>
    <row r="193" spans="1:16" ht="22.5">
      <c r="A193" s="609" t="str">
        <f t="shared" si="11"/>
        <v>Marktkauf Gruppen-Unterstützungskasse e.V. v. 01.01.2018</v>
      </c>
      <c r="B193" s="609">
        <f>ROW()</f>
        <v>193</v>
      </c>
      <c r="C193" s="635" t="s">
        <v>784</v>
      </c>
      <c r="D193" s="1201">
        <v>43101</v>
      </c>
      <c r="E193" s="636" t="s">
        <v>776</v>
      </c>
      <c r="F193" s="637" t="str">
        <f t="shared" si="13"/>
        <v/>
      </c>
      <c r="G193" s="634" t="str">
        <f t="shared" si="12"/>
        <v xml:space="preserve">TO ermöglicht: doppelten Kostenabzug; </v>
      </c>
      <c r="H193" s="414"/>
      <c r="J193" s="788"/>
      <c r="K193" s="1199"/>
      <c r="L193" s="1199">
        <v>2</v>
      </c>
      <c r="M193" s="1199"/>
      <c r="N193" s="1199"/>
      <c r="P193" s="144">
        <f t="shared" si="14"/>
        <v>2</v>
      </c>
    </row>
    <row r="194" spans="1:16" ht="45">
      <c r="A194" s="609" t="str">
        <f t="shared" si="11"/>
        <v>Mecklenburgische LV AG v. 01.06.2013</v>
      </c>
      <c r="B194" s="609">
        <f>ROW()</f>
        <v>194</v>
      </c>
      <c r="C194" s="635" t="s">
        <v>1574</v>
      </c>
      <c r="D194" s="1201">
        <v>41426</v>
      </c>
      <c r="E194" s="636" t="s">
        <v>660</v>
      </c>
      <c r="F194" s="637"/>
      <c r="G194" s="634" t="str">
        <f t="shared" si="12"/>
        <v xml:space="preserve">TO ermöglicht: doppelten Kostenabzug; </v>
      </c>
      <c r="H194" s="414"/>
      <c r="I194" s="634" t="s">
        <v>1575</v>
      </c>
      <c r="J194" s="788"/>
      <c r="K194" s="1199"/>
      <c r="L194" s="1199">
        <v>2</v>
      </c>
      <c r="M194" s="1199"/>
      <c r="N194" s="1199"/>
      <c r="P194" s="144"/>
    </row>
    <row r="195" spans="1:16">
      <c r="A195" s="609" t="str">
        <f t="shared" si="11"/>
        <v>MEDA Pharma GmbH v. 02.11.2009</v>
      </c>
      <c r="B195" s="609">
        <f>ROW()</f>
        <v>195</v>
      </c>
      <c r="C195" s="635" t="s">
        <v>1010</v>
      </c>
      <c r="D195" s="1201">
        <v>40119</v>
      </c>
      <c r="E195" s="636" t="s">
        <v>1009</v>
      </c>
      <c r="F195" s="637" t="str">
        <f t="shared" si="13"/>
        <v/>
      </c>
      <c r="G195" s="634" t="str">
        <f t="shared" si="12"/>
        <v xml:space="preserve">TO ermöglicht: doppelten Kostenabzug; </v>
      </c>
      <c r="H195" s="414"/>
      <c r="K195" s="1199"/>
      <c r="L195" s="1199">
        <v>2</v>
      </c>
      <c r="M195" s="1199"/>
      <c r="N195" s="1199"/>
      <c r="P195" s="144">
        <f t="shared" si="14"/>
        <v>2</v>
      </c>
    </row>
    <row r="196" spans="1:16">
      <c r="A196" s="609" t="str">
        <f t="shared" si="11"/>
        <v>Mercedes Benz AG v. 01.04.2021</v>
      </c>
      <c r="B196" s="609">
        <f>ROW()</f>
        <v>196</v>
      </c>
      <c r="C196" s="635" t="s">
        <v>1015</v>
      </c>
      <c r="D196" s="1201">
        <v>44287</v>
      </c>
      <c r="E196" s="636" t="s">
        <v>1014</v>
      </c>
      <c r="F196" s="637" t="str">
        <f t="shared" si="13"/>
        <v/>
      </c>
      <c r="G196" s="634" t="str">
        <f t="shared" si="12"/>
        <v xml:space="preserve">TO ermöglicht: doppelten Kostenabzug; </v>
      </c>
      <c r="H196" s="414"/>
      <c r="J196" s="788"/>
      <c r="K196" s="1199"/>
      <c r="L196" s="1199">
        <v>2</v>
      </c>
      <c r="M196" s="1199"/>
      <c r="N196" s="1199"/>
      <c r="P196" s="144">
        <f t="shared" si="14"/>
        <v>2</v>
      </c>
    </row>
    <row r="197" spans="1:16" ht="22.5">
      <c r="A197" s="609" t="str">
        <f t="shared" si="11"/>
        <v>Metall-Rente v. 01.09.2009</v>
      </c>
      <c r="B197" s="609">
        <f>ROW()</f>
        <v>197</v>
      </c>
      <c r="C197" s="635" t="s">
        <v>705</v>
      </c>
      <c r="D197" s="1201">
        <v>40057</v>
      </c>
      <c r="E197" s="636" t="s">
        <v>724</v>
      </c>
      <c r="F197" s="637" t="str">
        <f t="shared" si="13"/>
        <v>Ja</v>
      </c>
      <c r="G197" s="634" t="str">
        <f t="shared" si="12"/>
        <v xml:space="preserve">TO ermöglicht: Tarifwechel; doppelten Kostenabzug; </v>
      </c>
      <c r="H197" s="414"/>
      <c r="J197" s="788"/>
      <c r="K197" s="1199">
        <v>1</v>
      </c>
      <c r="L197" s="1199">
        <v>2</v>
      </c>
      <c r="M197" s="1199"/>
      <c r="N197" s="1199"/>
      <c r="O197" s="791" t="s">
        <v>725</v>
      </c>
      <c r="P197" s="144">
        <f t="shared" si="14"/>
        <v>3</v>
      </c>
    </row>
    <row r="198" spans="1:16" ht="25.5">
      <c r="A198" s="609" t="str">
        <f t="shared" si="11"/>
        <v>METRO Cash Carry_Deutschland v. 01.07.2012</v>
      </c>
      <c r="B198" s="609">
        <f>ROW()</f>
        <v>198</v>
      </c>
      <c r="C198" s="635" t="s">
        <v>1142</v>
      </c>
      <c r="D198" s="1201">
        <v>41091</v>
      </c>
      <c r="E198" s="636" t="s">
        <v>776</v>
      </c>
      <c r="F198" s="637" t="str">
        <f t="shared" si="13"/>
        <v/>
      </c>
      <c r="G198" s="634" t="str">
        <f t="shared" si="12"/>
        <v/>
      </c>
      <c r="H198" s="414"/>
      <c r="J198" s="788"/>
      <c r="K198" s="1199"/>
      <c r="L198" s="1199"/>
      <c r="M198" s="1199"/>
      <c r="N198" s="1199"/>
      <c r="O198" s="789" t="s">
        <v>812</v>
      </c>
      <c r="P198" s="144">
        <f t="shared" si="14"/>
        <v>0</v>
      </c>
    </row>
    <row r="199" spans="1:16" ht="25.5">
      <c r="A199" s="609" t="str">
        <f t="shared" si="11"/>
        <v>METRO_AG_ASKO v. 01.09.2009</v>
      </c>
      <c r="B199" s="609">
        <f>ROW()</f>
        <v>199</v>
      </c>
      <c r="C199" s="635" t="s">
        <v>795</v>
      </c>
      <c r="D199" s="1201">
        <v>40057</v>
      </c>
      <c r="E199" s="636" t="s">
        <v>776</v>
      </c>
      <c r="F199" s="637" t="str">
        <f t="shared" si="13"/>
        <v/>
      </c>
      <c r="G199" s="634" t="str">
        <f t="shared" si="12"/>
        <v/>
      </c>
      <c r="H199" s="414"/>
      <c r="K199" s="1199"/>
      <c r="L199" s="1199"/>
      <c r="M199" s="1199"/>
      <c r="N199" s="1199"/>
      <c r="O199" s="789" t="s">
        <v>812</v>
      </c>
      <c r="P199" s="144">
        <f t="shared" si="14"/>
        <v>0</v>
      </c>
    </row>
    <row r="200" spans="1:16" ht="25.5">
      <c r="A200" s="609" t="str">
        <f t="shared" si="11"/>
        <v>METRO_AG_EPP_FPP v. 01.07.2012</v>
      </c>
      <c r="B200" s="609">
        <f>ROW()</f>
        <v>200</v>
      </c>
      <c r="C200" s="635" t="s">
        <v>778</v>
      </c>
      <c r="D200" s="1201">
        <v>41091</v>
      </c>
      <c r="E200" s="636" t="s">
        <v>776</v>
      </c>
      <c r="F200" s="637" t="str">
        <f t="shared" si="13"/>
        <v/>
      </c>
      <c r="G200" s="634" t="str">
        <f t="shared" si="12"/>
        <v/>
      </c>
      <c r="H200" s="414"/>
      <c r="K200" s="1199"/>
      <c r="L200" s="1199"/>
      <c r="M200" s="1199"/>
      <c r="N200" s="1199"/>
      <c r="O200" s="789" t="s">
        <v>812</v>
      </c>
      <c r="P200" s="144">
        <f t="shared" si="14"/>
        <v>0</v>
      </c>
    </row>
    <row r="201" spans="1:16">
      <c r="A201" s="609" t="str">
        <f t="shared" si="11"/>
        <v>Mitteldeutscher Rundfunk Tarifvertrag v. 02.12.2009</v>
      </c>
      <c r="B201" s="609">
        <f>ROW()</f>
        <v>201</v>
      </c>
      <c r="C201" s="635" t="s">
        <v>947</v>
      </c>
      <c r="D201" s="1201">
        <v>40149</v>
      </c>
      <c r="F201" s="637" t="str">
        <f t="shared" si="13"/>
        <v/>
      </c>
      <c r="G201" s="634" t="str">
        <f t="shared" si="12"/>
        <v/>
      </c>
      <c r="H201" s="414"/>
      <c r="K201" s="1199"/>
      <c r="L201" s="1199"/>
      <c r="M201" s="1199"/>
      <c r="N201" s="1199"/>
      <c r="P201" s="144">
        <f t="shared" si="14"/>
        <v>0</v>
      </c>
    </row>
    <row r="202" spans="1:16">
      <c r="A202" s="609" t="str">
        <f t="shared" si="11"/>
        <v>Mobil Oil BKK v. 01.01.2019</v>
      </c>
      <c r="B202" s="609">
        <f>ROW()</f>
        <v>202</v>
      </c>
      <c r="C202" s="635" t="s">
        <v>1135</v>
      </c>
      <c r="D202" s="1201">
        <v>43466</v>
      </c>
      <c r="F202" s="637" t="str">
        <f t="shared" si="13"/>
        <v/>
      </c>
      <c r="G202" s="634" t="str">
        <f t="shared" si="12"/>
        <v/>
      </c>
      <c r="H202" s="414"/>
      <c r="K202" s="1199"/>
      <c r="L202" s="1199"/>
      <c r="M202" s="1199"/>
      <c r="N202" s="1199"/>
      <c r="P202" s="144">
        <f t="shared" si="14"/>
        <v>0</v>
      </c>
    </row>
    <row r="203" spans="1:16" ht="22.5">
      <c r="A203" s="609" t="str">
        <f>C203&amp;IF(D203=0,""," v. "&amp;TEXT(D203,"TT.MM.JJJ"))</f>
        <v>Münchener Rückversicherungs-Gesellschaft AG  v. 01.10.2021</v>
      </c>
      <c r="B203" s="609">
        <f>ROW()</f>
        <v>203</v>
      </c>
      <c r="C203" s="635" t="s">
        <v>1919</v>
      </c>
      <c r="D203" s="1201">
        <v>44470</v>
      </c>
      <c r="E203" s="636">
        <v>6</v>
      </c>
      <c r="F203" s="637"/>
      <c r="G203" s="634" t="str">
        <f t="shared" si="12"/>
        <v/>
      </c>
      <c r="H203" s="414"/>
      <c r="I203" s="634" t="s">
        <v>1920</v>
      </c>
      <c r="K203" s="1199"/>
      <c r="L203" s="1199"/>
      <c r="M203" s="1199"/>
      <c r="N203" s="1199"/>
      <c r="P203" s="144"/>
    </row>
    <row r="204" spans="1:16">
      <c r="A204" s="609" t="str">
        <f t="shared" si="11"/>
        <v>Nestlé PK Tarif Baustein L v. 22.09.2010</v>
      </c>
      <c r="B204" s="609">
        <f>ROW()</f>
        <v>204</v>
      </c>
      <c r="C204" s="635" t="s">
        <v>693</v>
      </c>
      <c r="D204" s="1201">
        <v>40443</v>
      </c>
      <c r="F204" s="637" t="str">
        <f t="shared" si="13"/>
        <v/>
      </c>
      <c r="G204" s="634" t="str">
        <f t="shared" si="12"/>
        <v/>
      </c>
      <c r="H204" s="414"/>
      <c r="K204" s="1199"/>
      <c r="L204" s="1199"/>
      <c r="M204" s="1199"/>
      <c r="N204" s="1199"/>
      <c r="O204" s="791" t="s">
        <v>692</v>
      </c>
      <c r="P204" s="144">
        <f t="shared" si="14"/>
        <v>0</v>
      </c>
    </row>
    <row r="205" spans="1:16">
      <c r="A205" s="609" t="str">
        <f t="shared" si="11"/>
        <v>Nestlé PK Tarif Vorsorgekonto v. 21.09.2010</v>
      </c>
      <c r="B205" s="609">
        <f>ROW()</f>
        <v>205</v>
      </c>
      <c r="C205" s="635" t="s">
        <v>691</v>
      </c>
      <c r="D205" s="1201">
        <v>40442</v>
      </c>
      <c r="F205" s="637" t="str">
        <f t="shared" si="13"/>
        <v/>
      </c>
      <c r="G205" s="634" t="str">
        <f t="shared" si="12"/>
        <v/>
      </c>
      <c r="H205" s="414"/>
      <c r="K205" s="1199"/>
      <c r="L205" s="1199"/>
      <c r="M205" s="1199"/>
      <c r="N205" s="1199"/>
      <c r="O205" s="791" t="s">
        <v>692</v>
      </c>
      <c r="P205" s="144">
        <f t="shared" si="14"/>
        <v>0</v>
      </c>
    </row>
    <row r="206" spans="1:16">
      <c r="A206" s="609" t="str">
        <f t="shared" si="11"/>
        <v>Netto Direktzusagen v. 05.01.2019</v>
      </c>
      <c r="B206" s="609">
        <f>ROW()</f>
        <v>206</v>
      </c>
      <c r="C206" s="635" t="s">
        <v>1136</v>
      </c>
      <c r="D206" s="1201">
        <v>43470</v>
      </c>
      <c r="F206" s="637" t="str">
        <f t="shared" si="13"/>
        <v/>
      </c>
      <c r="G206" s="634" t="str">
        <f t="shared" si="12"/>
        <v/>
      </c>
      <c r="H206" s="414"/>
      <c r="K206" s="1199"/>
      <c r="L206" s="1199"/>
      <c r="M206" s="1199"/>
      <c r="N206" s="1199"/>
      <c r="P206" s="144">
        <f t="shared" si="14"/>
        <v>0</v>
      </c>
    </row>
    <row r="207" spans="1:16" ht="33.75">
      <c r="A207" s="609" t="str">
        <f t="shared" si="11"/>
        <v>Netto_Direktzusagen v. 01.05.2019</v>
      </c>
      <c r="B207" s="609">
        <f>ROW()</f>
        <v>207</v>
      </c>
      <c r="C207" s="635" t="s">
        <v>793</v>
      </c>
      <c r="D207" s="1201">
        <v>43586</v>
      </c>
      <c r="E207" s="636" t="s">
        <v>776</v>
      </c>
      <c r="F207" s="637" t="str">
        <f t="shared" si="13"/>
        <v/>
      </c>
      <c r="G207" s="634" t="str">
        <f t="shared" si="12"/>
        <v>TO ermöglicht: doppelten Kostenabzug;  Abweichungen vom gerichtl. festgelegten Ausgleichswert;  Verzinsung zwischen EzE und RK geltend machen</v>
      </c>
      <c r="H207" s="414"/>
      <c r="K207" s="1199"/>
      <c r="L207" s="1199">
        <v>2</v>
      </c>
      <c r="M207" s="1199">
        <v>3</v>
      </c>
      <c r="N207" s="1199">
        <v>4</v>
      </c>
      <c r="O207" s="789" t="s">
        <v>812</v>
      </c>
      <c r="P207" s="144">
        <f t="shared" si="14"/>
        <v>9</v>
      </c>
    </row>
    <row r="208" spans="1:16" ht="22.5">
      <c r="A208" s="609" t="str">
        <f t="shared" si="11"/>
        <v>Neue Bayerische Beamten Lebensversicherung AG v. 01.01.2013</v>
      </c>
      <c r="B208" s="609">
        <f>ROW()</f>
        <v>208</v>
      </c>
      <c r="C208" s="635" t="s">
        <v>928</v>
      </c>
      <c r="D208" s="1201">
        <v>41275</v>
      </c>
      <c r="E208" s="636" t="s">
        <v>929</v>
      </c>
      <c r="F208" s="637" t="str">
        <f t="shared" si="13"/>
        <v>Ja</v>
      </c>
      <c r="G208" s="634" t="str">
        <f t="shared" si="12"/>
        <v xml:space="preserve">TO ermöglicht: Tarifwechel; </v>
      </c>
      <c r="H208" s="414"/>
      <c r="K208" s="1199">
        <v>1</v>
      </c>
      <c r="L208" s="1199"/>
      <c r="M208" s="1199"/>
      <c r="N208" s="1199"/>
      <c r="P208" s="144">
        <f t="shared" si="14"/>
        <v>1</v>
      </c>
    </row>
    <row r="209" spans="1:16" ht="33.75">
      <c r="A209" s="609" t="str">
        <f t="shared" si="11"/>
        <v>Neue Leben v. 01.08.2018</v>
      </c>
      <c r="B209" s="609">
        <f>ROW()</f>
        <v>209</v>
      </c>
      <c r="C209" s="635" t="s">
        <v>683</v>
      </c>
      <c r="D209" s="1201">
        <v>43313</v>
      </c>
      <c r="E209" s="636" t="s">
        <v>684</v>
      </c>
      <c r="F209" s="637" t="str">
        <f t="shared" si="13"/>
        <v>Ja</v>
      </c>
      <c r="G209" s="634" t="str">
        <f t="shared" si="12"/>
        <v>TO ermöglicht: Tarifwechel; doppelten Kostenabzug;  Abweichungen vom gerichtl. festgelegten Ausgleichswert;  Verzinsung zwischen EzE und RK geltend machen</v>
      </c>
      <c r="H209" s="414"/>
      <c r="K209" s="1199">
        <v>1</v>
      </c>
      <c r="L209" s="1199">
        <v>2</v>
      </c>
      <c r="M209" s="1199">
        <v>3</v>
      </c>
      <c r="N209" s="1199">
        <v>4</v>
      </c>
      <c r="O209" s="791" t="s">
        <v>685</v>
      </c>
      <c r="P209" s="144">
        <f t="shared" si="14"/>
        <v>10</v>
      </c>
    </row>
    <row r="210" spans="1:16" ht="33.75">
      <c r="A210" s="609" t="str">
        <f t="shared" si="11"/>
        <v>Neue Leben v. 07.10.2012</v>
      </c>
      <c r="B210" s="609">
        <f>ROW()</f>
        <v>210</v>
      </c>
      <c r="C210" s="635" t="s">
        <v>683</v>
      </c>
      <c r="D210" s="1201">
        <v>41189</v>
      </c>
      <c r="E210" s="636" t="s">
        <v>1099</v>
      </c>
      <c r="F210" s="637" t="str">
        <f t="shared" si="13"/>
        <v>Ja</v>
      </c>
      <c r="G210" s="634" t="str">
        <f t="shared" si="12"/>
        <v>TO ermöglicht: Tarifwechel; doppelten Kostenabzug;  Abweichungen vom gerichtl. festgelegten Ausgleichswert;  Verzinsung zwischen EzE und RK geltend machen</v>
      </c>
      <c r="H210" s="414"/>
      <c r="K210" s="1199">
        <v>1</v>
      </c>
      <c r="L210" s="1199">
        <v>2</v>
      </c>
      <c r="M210" s="1199">
        <v>3</v>
      </c>
      <c r="N210" s="1199">
        <v>4</v>
      </c>
      <c r="O210" s="791"/>
      <c r="P210" s="144">
        <f t="shared" si="14"/>
        <v>10</v>
      </c>
    </row>
    <row r="211" spans="1:16">
      <c r="A211" s="609" t="str">
        <f t="shared" si="11"/>
        <v>Norddeutscher Rundfunk Tarifvertrag v. 07.12.2009</v>
      </c>
      <c r="B211" s="609">
        <f>ROW()</f>
        <v>211</v>
      </c>
      <c r="C211" s="635" t="s">
        <v>952</v>
      </c>
      <c r="D211" s="1201">
        <v>40154</v>
      </c>
      <c r="F211" s="637" t="str">
        <f t="shared" si="13"/>
        <v/>
      </c>
      <c r="G211" s="634" t="str">
        <f t="shared" si="12"/>
        <v/>
      </c>
      <c r="H211" s="414"/>
      <c r="K211" s="1199"/>
      <c r="L211" s="1199"/>
      <c r="M211" s="1199"/>
      <c r="N211" s="1199"/>
      <c r="P211" s="144">
        <f t="shared" si="14"/>
        <v>0</v>
      </c>
    </row>
    <row r="212" spans="1:16" ht="22.5">
      <c r="A212" s="609" t="str">
        <f t="shared" si="11"/>
        <v>Nordostdeutsche Energiewirtschaft Unterstützungskasse v. 30.03.2020</v>
      </c>
      <c r="B212" s="609">
        <f>ROW()</f>
        <v>212</v>
      </c>
      <c r="C212" s="635" t="s">
        <v>1215</v>
      </c>
      <c r="D212" s="1201">
        <v>43920</v>
      </c>
      <c r="E212" s="636" t="s">
        <v>1213</v>
      </c>
      <c r="F212" s="637" t="str">
        <f t="shared" si="13"/>
        <v/>
      </c>
      <c r="G212" s="634" t="str">
        <f t="shared" si="12"/>
        <v>TO ermöglicht: doppelten Kostenabzug;  Verzinsung zwischen EzE und RK geltend machen</v>
      </c>
      <c r="H212" s="414"/>
      <c r="I212" s="634" t="s">
        <v>1214</v>
      </c>
      <c r="K212" s="1199"/>
      <c r="L212" s="1199">
        <v>2</v>
      </c>
      <c r="M212" s="1199"/>
      <c r="N212" s="1199">
        <v>4</v>
      </c>
      <c r="P212" s="144">
        <f t="shared" si="14"/>
        <v>6</v>
      </c>
    </row>
    <row r="213" spans="1:16" ht="25.5">
      <c r="A213" s="609" t="str">
        <f t="shared" si="11"/>
        <v>Nordsee GmbH v. 01.09.2009</v>
      </c>
      <c r="B213" s="609">
        <f>ROW()</f>
        <v>213</v>
      </c>
      <c r="C213" s="635" t="s">
        <v>799</v>
      </c>
      <c r="D213" s="1201">
        <v>40057</v>
      </c>
      <c r="E213" s="636" t="s">
        <v>776</v>
      </c>
      <c r="F213" s="637" t="str">
        <f t="shared" si="13"/>
        <v/>
      </c>
      <c r="G213" s="634" t="str">
        <f t="shared" si="12"/>
        <v/>
      </c>
      <c r="H213" s="414"/>
      <c r="J213" s="788"/>
      <c r="K213" s="1199"/>
      <c r="L213" s="1199"/>
      <c r="M213" s="1199"/>
      <c r="N213" s="1199"/>
      <c r="O213" s="789" t="s">
        <v>812</v>
      </c>
      <c r="P213" s="144">
        <f t="shared" si="14"/>
        <v>0</v>
      </c>
    </row>
    <row r="214" spans="1:16">
      <c r="A214" s="609" t="str">
        <f t="shared" si="11"/>
        <v>Nürnberger Lebensversicherung AG v. 01.01.2022</v>
      </c>
      <c r="B214" s="609">
        <f>ROW()</f>
        <v>214</v>
      </c>
      <c r="C214" s="635" t="s">
        <v>938</v>
      </c>
      <c r="D214" s="1201">
        <v>44562</v>
      </c>
      <c r="E214" s="636" t="s">
        <v>934</v>
      </c>
      <c r="F214" s="637" t="str">
        <f t="shared" si="13"/>
        <v/>
      </c>
      <c r="G214" s="634" t="str">
        <f t="shared" si="12"/>
        <v>TO ermöglicht:  Verzinsung zwischen EzE und RK geltend machen</v>
      </c>
      <c r="H214" s="414"/>
      <c r="K214" s="1199"/>
      <c r="L214" s="1199"/>
      <c r="M214" s="1199"/>
      <c r="N214" s="1199">
        <v>4</v>
      </c>
      <c r="P214" s="144">
        <f t="shared" si="14"/>
        <v>4</v>
      </c>
    </row>
    <row r="215" spans="1:16">
      <c r="A215" s="609" t="str">
        <f t="shared" si="11"/>
        <v>Nürnberger Pensionskasse AG v. 01.01.2022</v>
      </c>
      <c r="B215" s="609">
        <f>ROW()</f>
        <v>215</v>
      </c>
      <c r="C215" s="635" t="s">
        <v>933</v>
      </c>
      <c r="D215" s="1201">
        <v>44562</v>
      </c>
      <c r="E215" s="636" t="s">
        <v>934</v>
      </c>
      <c r="F215" s="637" t="str">
        <f t="shared" si="13"/>
        <v/>
      </c>
      <c r="G215" s="634" t="str">
        <f t="shared" si="12"/>
        <v>TO ermöglicht:  Verzinsung zwischen EzE und RK geltend machen</v>
      </c>
      <c r="H215" s="414"/>
      <c r="J215" s="788"/>
      <c r="K215" s="1199"/>
      <c r="L215" s="1199"/>
      <c r="M215" s="1199"/>
      <c r="N215" s="1199">
        <v>4</v>
      </c>
      <c r="P215" s="144">
        <f t="shared" si="14"/>
        <v>4</v>
      </c>
    </row>
    <row r="216" spans="1:16" ht="22.5">
      <c r="A216" s="609" t="str">
        <f t="shared" si="11"/>
        <v>Nürnberger Pensionskasse AG v. 01.05.2010</v>
      </c>
      <c r="B216" s="609">
        <f>ROW()</f>
        <v>216</v>
      </c>
      <c r="C216" s="635" t="s">
        <v>933</v>
      </c>
      <c r="D216" s="1201">
        <v>40299</v>
      </c>
      <c r="E216" s="636" t="s">
        <v>934</v>
      </c>
      <c r="F216" s="637" t="str">
        <f t="shared" si="13"/>
        <v>Ja</v>
      </c>
      <c r="G216" s="634" t="str">
        <f t="shared" si="12"/>
        <v>TO ermöglicht: Tarifwechel;  Verzinsung zwischen EzE und RK geltend machen</v>
      </c>
      <c r="H216" s="414"/>
      <c r="J216" s="788"/>
      <c r="K216" s="1199">
        <v>1</v>
      </c>
      <c r="L216" s="1199"/>
      <c r="M216" s="1199"/>
      <c r="N216" s="1199">
        <v>4</v>
      </c>
      <c r="P216" s="144">
        <f t="shared" si="14"/>
        <v>5</v>
      </c>
    </row>
    <row r="217" spans="1:16" ht="22.5">
      <c r="A217" s="609" t="str">
        <f t="shared" si="11"/>
        <v>Nürnberger überbetriebliche Versorgungskasse e.V. v. 01.01.2022</v>
      </c>
      <c r="B217" s="609">
        <f>ROW()</f>
        <v>217</v>
      </c>
      <c r="C217" s="635" t="s">
        <v>935</v>
      </c>
      <c r="D217" s="1201">
        <v>44562</v>
      </c>
      <c r="E217" s="636" t="s">
        <v>1213</v>
      </c>
      <c r="F217" s="637" t="str">
        <f t="shared" si="13"/>
        <v/>
      </c>
      <c r="G217" s="634" t="str">
        <f t="shared" si="12"/>
        <v>TO ermöglicht: doppelten Kostenabzug;  Verzinsung zwischen EzE und RK geltend machen</v>
      </c>
      <c r="H217" s="414"/>
      <c r="J217" s="788"/>
      <c r="K217" s="1199"/>
      <c r="L217" s="1199">
        <v>2</v>
      </c>
      <c r="M217" s="1199"/>
      <c r="N217" s="1199">
        <v>4</v>
      </c>
      <c r="P217" s="144">
        <f t="shared" si="14"/>
        <v>6</v>
      </c>
    </row>
    <row r="218" spans="1:16" ht="22.5">
      <c r="A218" s="609" t="str">
        <f t="shared" ref="A218:A283" si="15">C218&amp;IF(D218=0,""," v. "&amp;TEXT(D218,"TT.MM.JJJ"))</f>
        <v>Nürnberger überbetriebliche Versorgungskasse e.V. v. 06.12.2018</v>
      </c>
      <c r="B218" s="609">
        <f>ROW()</f>
        <v>218</v>
      </c>
      <c r="C218" s="635" t="s">
        <v>935</v>
      </c>
      <c r="D218" s="1201">
        <v>43440</v>
      </c>
      <c r="E218" s="636" t="s">
        <v>936</v>
      </c>
      <c r="F218" s="637" t="str">
        <f t="shared" si="13"/>
        <v>Ja</v>
      </c>
      <c r="G218" s="634" t="str">
        <f t="shared" ref="G218:G244" si="16">IF(SUM(K218:N218)=0,"","TO ermöglicht: "&amp;IF(K218&gt;0,"Tarifwechel; ","")&amp;IF(L218&gt;0,"doppelten Kostenabzug; ","")&amp;IF(M218&gt;0," Abweichungen vom gerichtl. festgelegten Ausgleichswert; ","")&amp;IF(N218&gt;0," Verzinsung zwischen EzE und RK geltend machen",""))</f>
        <v xml:space="preserve">TO ermöglicht: Tarifwechel; doppelten Kostenabzug;  Abweichungen vom gerichtl. festgelegten Ausgleichswert; </v>
      </c>
      <c r="H218" s="414"/>
      <c r="K218" s="1199">
        <v>1</v>
      </c>
      <c r="L218" s="1199">
        <v>2</v>
      </c>
      <c r="M218" s="1199">
        <v>3</v>
      </c>
      <c r="N218" s="1199"/>
      <c r="P218" s="144">
        <f t="shared" si="14"/>
        <v>6</v>
      </c>
    </row>
    <row r="219" spans="1:16" ht="22.5">
      <c r="A219" s="609" t="str">
        <f t="shared" si="15"/>
        <v>Nürnberger überbetriebliche Versorgungskasse e.V. v. 18.12.2009</v>
      </c>
      <c r="B219" s="609">
        <f>ROW()</f>
        <v>219</v>
      </c>
      <c r="C219" s="635" t="s">
        <v>935</v>
      </c>
      <c r="D219" s="1201">
        <v>40165</v>
      </c>
      <c r="E219" s="636" t="s">
        <v>934</v>
      </c>
      <c r="F219" s="637" t="str">
        <f t="shared" si="13"/>
        <v>Ja</v>
      </c>
      <c r="G219" s="634" t="str">
        <f t="shared" si="16"/>
        <v>TO ermöglicht: Tarifwechel;  Verzinsung zwischen EzE und RK geltend machen</v>
      </c>
      <c r="H219" s="414"/>
      <c r="J219" s="788"/>
      <c r="K219" s="1199">
        <v>1</v>
      </c>
      <c r="L219" s="1199"/>
      <c r="M219" s="1199"/>
      <c r="N219" s="1199">
        <v>4</v>
      </c>
      <c r="P219" s="144">
        <f t="shared" si="14"/>
        <v>5</v>
      </c>
    </row>
    <row r="220" spans="1:16" ht="33.75">
      <c r="A220" s="609" t="str">
        <f t="shared" si="15"/>
        <v>ÖBAV Unterstützungskasse e.V.  v. 01.05.2018</v>
      </c>
      <c r="B220" s="609">
        <f>ROW()</f>
        <v>220</v>
      </c>
      <c r="C220" s="635" t="s">
        <v>903</v>
      </c>
      <c r="D220" s="1201">
        <v>43221</v>
      </c>
      <c r="E220" s="636" t="s">
        <v>904</v>
      </c>
      <c r="F220" s="637" t="str">
        <f t="shared" ref="F220:F285" si="17">IF(K220=1,"Ja","")</f>
        <v>Ja</v>
      </c>
      <c r="G220" s="634" t="str">
        <f t="shared" si="16"/>
        <v>TO ermöglicht: Tarifwechel; doppelten Kostenabzug;  Abweichungen vom gerichtl. festgelegten Ausgleichswert;  Verzinsung zwischen EzE und RK geltend machen</v>
      </c>
      <c r="H220" s="414"/>
      <c r="J220" s="70"/>
      <c r="K220" s="1199">
        <v>1</v>
      </c>
      <c r="L220" s="1199">
        <v>2</v>
      </c>
      <c r="M220" s="1199">
        <v>3</v>
      </c>
      <c r="N220" s="1199">
        <v>4</v>
      </c>
      <c r="P220" s="144">
        <f t="shared" si="14"/>
        <v>10</v>
      </c>
    </row>
    <row r="221" spans="1:16" ht="22.5">
      <c r="A221" s="609" t="str">
        <f t="shared" si="15"/>
        <v>Opel Direktversicherung Hannoversche v. 01.01.2010</v>
      </c>
      <c r="B221" s="609">
        <f>ROW()</f>
        <v>221</v>
      </c>
      <c r="C221" s="635" t="s">
        <v>1137</v>
      </c>
      <c r="D221" s="1202">
        <v>40179</v>
      </c>
      <c r="E221" s="636" t="s">
        <v>1100</v>
      </c>
      <c r="F221" s="637" t="str">
        <f t="shared" si="17"/>
        <v/>
      </c>
      <c r="G221" s="634" t="str">
        <f t="shared" si="16"/>
        <v>TO ermöglicht:  Verzinsung zwischen EzE und RK geltend machen</v>
      </c>
      <c r="H221" s="414"/>
      <c r="I221" s="634" t="s">
        <v>1377</v>
      </c>
      <c r="J221" s="70"/>
      <c r="K221" s="1199"/>
      <c r="L221" s="1199"/>
      <c r="M221" s="1199"/>
      <c r="N221" s="1199">
        <v>4</v>
      </c>
      <c r="P221" s="144">
        <f t="shared" si="14"/>
        <v>4</v>
      </c>
    </row>
    <row r="222" spans="1:16">
      <c r="A222" s="609" t="str">
        <f t="shared" si="15"/>
        <v>Opel GmbH v. 16.08.2018</v>
      </c>
      <c r="B222" s="609">
        <f>ROW()</f>
        <v>222</v>
      </c>
      <c r="C222" s="635" t="s">
        <v>1577</v>
      </c>
      <c r="D222" s="1202">
        <v>43328</v>
      </c>
      <c r="E222" s="636" t="s">
        <v>660</v>
      </c>
      <c r="F222" s="637"/>
      <c r="H222" s="414"/>
      <c r="J222" s="70"/>
      <c r="K222" s="1199"/>
      <c r="L222" s="1199">
        <v>2</v>
      </c>
      <c r="M222" s="1199"/>
      <c r="N222" s="1199"/>
      <c r="P222" s="144"/>
    </row>
    <row r="223" spans="1:16" ht="22.5">
      <c r="A223" s="609">
        <v>1</v>
      </c>
      <c r="B223" s="609">
        <f>ROW()</f>
        <v>223</v>
      </c>
      <c r="C223" s="635" t="s">
        <v>675</v>
      </c>
      <c r="D223" s="1201">
        <v>42736</v>
      </c>
      <c r="E223" s="636" t="s">
        <v>676</v>
      </c>
      <c r="F223" s="637" t="str">
        <f t="shared" si="17"/>
        <v>Ja</v>
      </c>
      <c r="G223" s="634" t="str">
        <f t="shared" si="16"/>
        <v>TO ermöglicht: Tarifwechel; doppelten Kostenabzug;  Verzinsung zwischen EzE und RK geltend machen</v>
      </c>
      <c r="H223" s="414"/>
      <c r="J223" s="70"/>
      <c r="K223" s="1199">
        <v>1</v>
      </c>
      <c r="L223" s="1199">
        <v>2</v>
      </c>
      <c r="M223" s="1199"/>
      <c r="N223" s="1199">
        <v>4</v>
      </c>
      <c r="O223" s="791" t="s">
        <v>677</v>
      </c>
      <c r="P223" s="144">
        <f t="shared" si="14"/>
        <v>7</v>
      </c>
    </row>
    <row r="224" spans="1:16" ht="22.5">
      <c r="A224" s="609" t="str">
        <f t="shared" si="15"/>
        <v>PB Lebensversicherung AG v. 01.03.2010</v>
      </c>
      <c r="B224" s="609">
        <f>ROW()</f>
        <v>224</v>
      </c>
      <c r="C224" s="635" t="s">
        <v>675</v>
      </c>
      <c r="D224" s="1201">
        <v>40238</v>
      </c>
      <c r="E224" s="636" t="s">
        <v>1101</v>
      </c>
      <c r="F224" s="637" t="str">
        <f t="shared" si="17"/>
        <v>Ja</v>
      </c>
      <c r="G224" s="634" t="str">
        <f t="shared" si="16"/>
        <v>TO ermöglicht: Tarifwechel; doppelten Kostenabzug;  Verzinsung zwischen EzE und RK geltend machen</v>
      </c>
      <c r="H224" s="414"/>
      <c r="K224" s="1199">
        <v>1</v>
      </c>
      <c r="L224" s="1199">
        <v>2</v>
      </c>
      <c r="M224" s="1199"/>
      <c r="N224" s="1199">
        <v>4</v>
      </c>
      <c r="O224" s="789"/>
      <c r="P224" s="144">
        <f t="shared" si="14"/>
        <v>7</v>
      </c>
    </row>
    <row r="225" spans="1:16" ht="22.5">
      <c r="A225" s="609" t="str">
        <f t="shared" si="15"/>
        <v>PB Lebensversicherung AG v. 01.10.2019</v>
      </c>
      <c r="B225" s="609">
        <f>ROW()</f>
        <v>225</v>
      </c>
      <c r="C225" s="635" t="s">
        <v>675</v>
      </c>
      <c r="D225" s="1201">
        <v>43739</v>
      </c>
      <c r="E225" s="636" t="s">
        <v>868</v>
      </c>
      <c r="F225" s="637" t="str">
        <f t="shared" si="17"/>
        <v>Ja</v>
      </c>
      <c r="G225" s="634" t="str">
        <f t="shared" si="16"/>
        <v>TO ermöglicht: Tarifwechel; doppelten Kostenabzug;  Verzinsung zwischen EzE und RK geltend machen</v>
      </c>
      <c r="H225" s="414"/>
      <c r="J225" s="788"/>
      <c r="K225" s="1199">
        <v>1</v>
      </c>
      <c r="L225" s="1199">
        <v>2</v>
      </c>
      <c r="M225" s="1199"/>
      <c r="N225" s="1199">
        <v>4</v>
      </c>
      <c r="O225" s="789" t="s">
        <v>869</v>
      </c>
      <c r="P225" s="144">
        <f t="shared" si="14"/>
        <v>7</v>
      </c>
    </row>
    <row r="226" spans="1:16" ht="25.5">
      <c r="A226" s="609" t="str">
        <f t="shared" si="15"/>
        <v>PB Lebensversicherung v. 01.03.2010</v>
      </c>
      <c r="B226" s="609">
        <f>ROW()</f>
        <v>226</v>
      </c>
      <c r="C226" s="635" t="s">
        <v>1123</v>
      </c>
      <c r="D226" s="1201">
        <v>40238</v>
      </c>
      <c r="E226" s="636" t="s">
        <v>748</v>
      </c>
      <c r="F226" s="637" t="str">
        <f t="shared" si="17"/>
        <v>Ja</v>
      </c>
      <c r="G226" s="634" t="str">
        <f t="shared" si="16"/>
        <v>TO ermöglicht: Tarifwechel; doppelten Kostenabzug;  Verzinsung zwischen EzE und RK geltend machen</v>
      </c>
      <c r="H226" s="414"/>
      <c r="J226" s="788"/>
      <c r="K226" s="1199">
        <v>1</v>
      </c>
      <c r="L226" s="1199">
        <v>2</v>
      </c>
      <c r="M226" s="1199"/>
      <c r="N226" s="1199">
        <v>4</v>
      </c>
      <c r="O226" s="789" t="s">
        <v>685</v>
      </c>
      <c r="P226" s="144">
        <f t="shared" si="14"/>
        <v>7</v>
      </c>
    </row>
    <row r="227" spans="1:16" ht="22.5">
      <c r="A227" s="609" t="str">
        <f t="shared" si="15"/>
        <v>PB Pensionsfonds AG v. 01.01.2010</v>
      </c>
      <c r="B227" s="609">
        <f>ROW()</f>
        <v>227</v>
      </c>
      <c r="C227" s="635" t="s">
        <v>1102</v>
      </c>
      <c r="D227" s="1201">
        <v>40179</v>
      </c>
      <c r="E227" s="636" t="s">
        <v>1103</v>
      </c>
      <c r="F227" s="637" t="str">
        <f t="shared" si="17"/>
        <v>Ja</v>
      </c>
      <c r="G227" s="634" t="str">
        <f t="shared" si="16"/>
        <v>TO ermöglicht: Tarifwechel; doppelten Kostenabzug;  Verzinsung zwischen EzE und RK geltend machen</v>
      </c>
      <c r="H227" s="414"/>
      <c r="J227" s="788"/>
      <c r="K227" s="1199">
        <v>1</v>
      </c>
      <c r="L227" s="1199">
        <v>2</v>
      </c>
      <c r="M227" s="1199"/>
      <c r="N227" s="1199">
        <v>4</v>
      </c>
      <c r="O227" s="789"/>
      <c r="P227" s="144">
        <f t="shared" si="14"/>
        <v>7</v>
      </c>
    </row>
    <row r="228" spans="1:16" ht="22.5">
      <c r="A228" s="609" t="str">
        <f t="shared" si="15"/>
        <v>PB Pensionsfonds v. 01.04.2015</v>
      </c>
      <c r="B228" s="609">
        <f>ROW()</f>
        <v>228</v>
      </c>
      <c r="C228" s="635" t="s">
        <v>708</v>
      </c>
      <c r="D228" s="1202">
        <v>42095</v>
      </c>
      <c r="E228" s="636" t="s">
        <v>709</v>
      </c>
      <c r="F228" s="637" t="str">
        <f t="shared" si="17"/>
        <v>Ja</v>
      </c>
      <c r="G228" s="634" t="str">
        <f t="shared" si="16"/>
        <v>TO ermöglicht: Tarifwechel; doppelten Kostenabzug;  Verzinsung zwischen EzE und RK geltend machen</v>
      </c>
      <c r="H228" s="414"/>
      <c r="K228" s="1199">
        <v>1</v>
      </c>
      <c r="L228" s="1199">
        <v>2</v>
      </c>
      <c r="M228" s="1199"/>
      <c r="N228" s="1199">
        <v>4</v>
      </c>
      <c r="O228" s="791" t="s">
        <v>710</v>
      </c>
      <c r="P228" s="144">
        <f t="shared" si="14"/>
        <v>7</v>
      </c>
    </row>
    <row r="229" spans="1:16" ht="22.5">
      <c r="A229" s="609" t="str">
        <f t="shared" si="15"/>
        <v>Pensionskasse der Deutschen Wirtschaft v. 29.09.2016</v>
      </c>
      <c r="B229" s="609">
        <f>ROW()</f>
        <v>229</v>
      </c>
      <c r="C229" s="635" t="s">
        <v>1371</v>
      </c>
      <c r="D229" s="1201">
        <v>42642</v>
      </c>
      <c r="E229" s="636" t="s">
        <v>1338</v>
      </c>
      <c r="F229" s="637" t="str">
        <f t="shared" si="17"/>
        <v/>
      </c>
      <c r="G229" s="634" t="str">
        <f t="shared" si="16"/>
        <v>TO ermöglicht:  Verzinsung zwischen EzE und RK geltend machen</v>
      </c>
      <c r="H229" s="414"/>
      <c r="I229" s="634" t="s">
        <v>1372</v>
      </c>
      <c r="K229" s="1199"/>
      <c r="L229" s="1199"/>
      <c r="M229" s="1199"/>
      <c r="N229" s="1199">
        <v>4</v>
      </c>
      <c r="P229" s="144">
        <f t="shared" si="14"/>
        <v>4</v>
      </c>
    </row>
    <row r="230" spans="1:16">
      <c r="A230" s="609" t="str">
        <f t="shared" si="15"/>
        <v>Pensionskasse des Schornsteinfegerhandwerks</v>
      </c>
      <c r="B230" s="609">
        <f>ROW()</f>
        <v>230</v>
      </c>
      <c r="C230" s="635" t="s">
        <v>687</v>
      </c>
      <c r="E230" s="636" t="s">
        <v>690</v>
      </c>
      <c r="F230" s="637" t="str">
        <f t="shared" si="17"/>
        <v/>
      </c>
      <c r="G230" s="634" t="str">
        <f t="shared" si="16"/>
        <v/>
      </c>
      <c r="H230" s="414"/>
      <c r="J230" s="788"/>
      <c r="K230" s="1199"/>
      <c r="L230" s="1199"/>
      <c r="M230" s="1199"/>
      <c r="N230" s="1199"/>
      <c r="O230" s="791" t="s">
        <v>688</v>
      </c>
      <c r="P230" s="144">
        <f t="shared" si="14"/>
        <v>0</v>
      </c>
    </row>
    <row r="231" spans="1:16" ht="25.5">
      <c r="A231" s="609" t="str">
        <f t="shared" si="15"/>
        <v>PensionsSicherungsVerein PSV v. 03.05.2017</v>
      </c>
      <c r="B231" s="609">
        <f>ROW()</f>
        <v>231</v>
      </c>
      <c r="C231" s="635" t="s">
        <v>749</v>
      </c>
      <c r="D231" s="1201">
        <v>42858</v>
      </c>
      <c r="E231" s="636" t="s">
        <v>750</v>
      </c>
      <c r="F231" s="637" t="str">
        <f t="shared" si="17"/>
        <v/>
      </c>
      <c r="G231" s="634" t="str">
        <f t="shared" si="16"/>
        <v/>
      </c>
      <c r="H231" s="414"/>
      <c r="K231" s="1199"/>
      <c r="L231" s="1199"/>
      <c r="M231" s="1199"/>
      <c r="N231" s="1199"/>
      <c r="O231" s="789" t="s">
        <v>751</v>
      </c>
      <c r="P231" s="144">
        <f t="shared" si="14"/>
        <v>0</v>
      </c>
    </row>
    <row r="232" spans="1:16" ht="22.5">
      <c r="A232" s="609" t="str">
        <f t="shared" si="15"/>
        <v>Philip Morris GmbH v. 30.10.1919</v>
      </c>
      <c r="B232" s="609">
        <f>ROW()</f>
        <v>232</v>
      </c>
      <c r="C232" s="635" t="s">
        <v>1325</v>
      </c>
      <c r="D232" s="1201">
        <v>7243</v>
      </c>
      <c r="E232" s="655">
        <v>44962</v>
      </c>
      <c r="F232" s="637" t="str">
        <f t="shared" si="17"/>
        <v/>
      </c>
      <c r="G232" s="634" t="str">
        <f t="shared" si="16"/>
        <v xml:space="preserve">TO ermöglicht: doppelten Kostenabzug; </v>
      </c>
      <c r="H232" s="414"/>
      <c r="I232" s="634" t="s">
        <v>1326</v>
      </c>
      <c r="K232" s="1199"/>
      <c r="L232" s="1199">
        <v>2</v>
      </c>
      <c r="M232" s="1199"/>
      <c r="N232" s="1199"/>
      <c r="P232" s="144">
        <f t="shared" si="14"/>
        <v>2</v>
      </c>
    </row>
    <row r="233" spans="1:16" ht="22.5">
      <c r="A233" s="609" t="str">
        <f t="shared" si="15"/>
        <v>Presse-Versorgung (Allianz) v. 01.12.2012</v>
      </c>
      <c r="B233" s="609">
        <f>ROW()</f>
        <v>233</v>
      </c>
      <c r="C233" s="635" t="s">
        <v>741</v>
      </c>
      <c r="D233" s="1201">
        <v>41244</v>
      </c>
      <c r="E233" s="636" t="s">
        <v>1104</v>
      </c>
      <c r="F233" s="637" t="str">
        <f t="shared" si="17"/>
        <v>Ja</v>
      </c>
      <c r="G233" s="634" t="str">
        <f t="shared" si="16"/>
        <v>TO ermöglicht: Tarifwechel; doppelten Kostenabzug;  Verzinsung zwischen EzE und RK geltend machen</v>
      </c>
      <c r="H233" s="414"/>
      <c r="K233" s="1199">
        <v>1</v>
      </c>
      <c r="L233" s="1199">
        <v>2</v>
      </c>
      <c r="M233" s="1199"/>
      <c r="N233" s="1199">
        <v>4</v>
      </c>
      <c r="O233" s="793" t="s">
        <v>742</v>
      </c>
      <c r="P233" s="144">
        <f t="shared" si="14"/>
        <v>7</v>
      </c>
    </row>
    <row r="234" spans="1:16" ht="22.5">
      <c r="A234" s="609" t="str">
        <f t="shared" si="15"/>
        <v>Pro bAV Pensionskasse AG v. 27.08.2018</v>
      </c>
      <c r="B234" s="609">
        <f>ROW()</f>
        <v>234</v>
      </c>
      <c r="C234" s="635" t="s">
        <v>1138</v>
      </c>
      <c r="D234" s="1201">
        <v>43339</v>
      </c>
      <c r="E234" s="636" t="s">
        <v>1139</v>
      </c>
      <c r="F234" s="637" t="str">
        <f t="shared" si="17"/>
        <v>Ja</v>
      </c>
      <c r="G234" s="634" t="str">
        <f t="shared" si="16"/>
        <v xml:space="preserve">TO ermöglicht: Tarifwechel; doppelten Kostenabzug;  Abweichungen vom gerichtl. festgelegten Ausgleichswert; </v>
      </c>
      <c r="H234" s="414"/>
      <c r="K234" s="1199">
        <v>1</v>
      </c>
      <c r="L234" s="1199">
        <v>2</v>
      </c>
      <c r="M234" s="1199">
        <v>3</v>
      </c>
      <c r="N234" s="1199"/>
      <c r="O234" s="789"/>
      <c r="P234" s="144">
        <f t="shared" si="14"/>
        <v>6</v>
      </c>
    </row>
    <row r="235" spans="1:16">
      <c r="A235" s="609" t="str">
        <f t="shared" si="15"/>
        <v>probAV v. 06.08.2018</v>
      </c>
      <c r="B235" s="609">
        <f>ROW()</f>
        <v>235</v>
      </c>
      <c r="C235" s="635" t="s">
        <v>884</v>
      </c>
      <c r="D235" s="1201">
        <v>43318</v>
      </c>
      <c r="E235" s="636" t="s">
        <v>676</v>
      </c>
      <c r="F235" s="637" t="str">
        <f t="shared" si="17"/>
        <v>Ja</v>
      </c>
      <c r="G235" s="634" t="str">
        <f t="shared" si="16"/>
        <v xml:space="preserve">TO ermöglicht: Tarifwechel; </v>
      </c>
      <c r="H235" s="414"/>
      <c r="K235" s="1199">
        <v>1</v>
      </c>
      <c r="L235" s="1199"/>
      <c r="M235" s="1199"/>
      <c r="N235" s="1199"/>
      <c r="O235" s="789" t="s">
        <v>888</v>
      </c>
      <c r="P235" s="144">
        <f t="shared" si="14"/>
        <v>1</v>
      </c>
    </row>
    <row r="236" spans="1:16" ht="25.5">
      <c r="A236" s="609" t="str">
        <f t="shared" si="15"/>
        <v>Provinzial Düsseldorf v. 20.04.2021</v>
      </c>
      <c r="B236" s="609">
        <f>ROW()</f>
        <v>236</v>
      </c>
      <c r="C236" s="635" t="s">
        <v>839</v>
      </c>
      <c r="D236" s="1201">
        <v>44306</v>
      </c>
      <c r="E236" s="636" t="s">
        <v>840</v>
      </c>
      <c r="F236" s="637" t="str">
        <f t="shared" si="17"/>
        <v>Ja</v>
      </c>
      <c r="G236" s="634" t="str">
        <f t="shared" si="16"/>
        <v>TO ermöglicht: Tarifwechel; doppelten Kostenabzug;  Verzinsung zwischen EzE und RK geltend machen</v>
      </c>
      <c r="H236" s="414"/>
      <c r="K236" s="1199">
        <v>1</v>
      </c>
      <c r="L236" s="1199">
        <v>2</v>
      </c>
      <c r="M236" s="1199"/>
      <c r="N236" s="1199">
        <v>4</v>
      </c>
      <c r="O236" s="789" t="s">
        <v>841</v>
      </c>
      <c r="P236" s="144">
        <f t="shared" si="14"/>
        <v>7</v>
      </c>
    </row>
    <row r="237" spans="1:16" ht="22.5">
      <c r="A237" s="609" t="str">
        <f t="shared" si="15"/>
        <v>Provinzial Lebensversicherungen v. 03.05.2010</v>
      </c>
      <c r="B237" s="609">
        <f>ROW()</f>
        <v>237</v>
      </c>
      <c r="C237" s="635" t="s">
        <v>1378</v>
      </c>
      <c r="D237" s="1201">
        <v>40301</v>
      </c>
      <c r="E237" s="636" t="s">
        <v>1379</v>
      </c>
      <c r="F237" s="637" t="str">
        <f t="shared" si="17"/>
        <v>Ja</v>
      </c>
      <c r="G237" s="634" t="str">
        <f t="shared" si="16"/>
        <v>TO ermöglicht: Tarifwechel; doppelten Kostenabzug;  Verzinsung zwischen EzE und RK geltend machen</v>
      </c>
      <c r="H237" s="414"/>
      <c r="K237" s="1199">
        <v>1</v>
      </c>
      <c r="L237" s="1199">
        <v>2</v>
      </c>
      <c r="M237" s="1199"/>
      <c r="N237" s="1199">
        <v>4</v>
      </c>
      <c r="O237" s="789"/>
      <c r="P237" s="144">
        <f t="shared" si="14"/>
        <v>7</v>
      </c>
    </row>
    <row r="238" spans="1:16" ht="25.5">
      <c r="A238" s="609" t="str">
        <f t="shared" si="15"/>
        <v>Provinzial LV Hannover v. 01.05.2016</v>
      </c>
      <c r="B238" s="609">
        <f>ROW()</f>
        <v>238</v>
      </c>
      <c r="C238" s="635" t="s">
        <v>752</v>
      </c>
      <c r="D238" s="1201">
        <v>42491</v>
      </c>
      <c r="E238" s="636" t="s">
        <v>753</v>
      </c>
      <c r="F238" s="637" t="str">
        <f t="shared" si="17"/>
        <v>Ja</v>
      </c>
      <c r="G238" s="634" t="str">
        <f t="shared" si="16"/>
        <v>TO ermöglicht: Tarifwechel; doppelten Kostenabzug;  Verzinsung zwischen EzE und RK geltend machen</v>
      </c>
      <c r="H238" s="414"/>
      <c r="K238" s="1199">
        <v>1</v>
      </c>
      <c r="L238" s="1199">
        <v>2</v>
      </c>
      <c r="M238" s="1199"/>
      <c r="N238" s="1199">
        <v>4</v>
      </c>
      <c r="O238" s="789" t="s">
        <v>754</v>
      </c>
      <c r="P238" s="144">
        <f t="shared" si="14"/>
        <v>7</v>
      </c>
    </row>
    <row r="239" spans="1:16" ht="25.5">
      <c r="A239" s="609" t="str">
        <f t="shared" si="15"/>
        <v>Provinzial LV v. 01.01.2017</v>
      </c>
      <c r="B239" s="609">
        <f>ROW()</f>
        <v>239</v>
      </c>
      <c r="C239" s="635" t="s">
        <v>1105</v>
      </c>
      <c r="D239" s="1201">
        <v>42736</v>
      </c>
      <c r="E239" s="636" t="s">
        <v>674</v>
      </c>
      <c r="F239" s="637" t="str">
        <f t="shared" si="17"/>
        <v>Ja</v>
      </c>
      <c r="G239" s="634" t="str">
        <f t="shared" si="16"/>
        <v>TO ermöglicht: Tarifwechel; doppelten Kostenabzug;  Verzinsung zwischen EzE und RK geltend machen</v>
      </c>
      <c r="H239" s="414"/>
      <c r="J239" s="792" t="s">
        <v>760</v>
      </c>
      <c r="K239" s="1199">
        <v>1</v>
      </c>
      <c r="L239" s="1199">
        <v>2</v>
      </c>
      <c r="M239" s="1199"/>
      <c r="N239" s="1199">
        <v>4</v>
      </c>
      <c r="P239" s="144">
        <f t="shared" ref="P239:P259" si="18">SUM(K239:N239)</f>
        <v>7</v>
      </c>
    </row>
    <row r="240" spans="1:16" ht="22.5">
      <c r="A240" s="609" t="str">
        <f t="shared" si="15"/>
        <v>Provinzial NordWest LV v. 01.01.2017</v>
      </c>
      <c r="B240" s="609">
        <f>ROW()</f>
        <v>240</v>
      </c>
      <c r="C240" s="635" t="s">
        <v>1140</v>
      </c>
      <c r="D240" s="1201">
        <v>42736</v>
      </c>
      <c r="E240" s="636" t="s">
        <v>1124</v>
      </c>
      <c r="F240" s="637" t="str">
        <f t="shared" si="17"/>
        <v>Ja</v>
      </c>
      <c r="G240" s="634" t="str">
        <f t="shared" si="16"/>
        <v>TO ermöglicht: Tarifwechel; doppelten Kostenabzug;  Verzinsung zwischen EzE und RK geltend machen</v>
      </c>
      <c r="H240" s="414"/>
      <c r="K240" s="1199">
        <v>1</v>
      </c>
      <c r="L240" s="1199">
        <v>2</v>
      </c>
      <c r="M240" s="1199"/>
      <c r="N240" s="1199">
        <v>4</v>
      </c>
      <c r="P240" s="144">
        <f t="shared" si="18"/>
        <v>7</v>
      </c>
    </row>
    <row r="241" spans="1:16" ht="25.5">
      <c r="A241" s="609" t="str">
        <f t="shared" si="15"/>
        <v>Provinzial v. 01.01.2022</v>
      </c>
      <c r="B241" s="609">
        <f>ROW()</f>
        <v>241</v>
      </c>
      <c r="C241" s="635" t="s">
        <v>1347</v>
      </c>
      <c r="D241" s="1201">
        <v>44562</v>
      </c>
      <c r="E241" s="636" t="s">
        <v>1106</v>
      </c>
      <c r="F241" s="637" t="str">
        <f t="shared" si="17"/>
        <v>Ja</v>
      </c>
      <c r="G241" s="634" t="str">
        <f t="shared" si="16"/>
        <v>TO ermöglicht: Tarifwechel; doppelten Kostenabzug;  Verzinsung zwischen EzE und RK geltend machen</v>
      </c>
      <c r="H241" s="414"/>
      <c r="I241" s="634" t="s">
        <v>1346</v>
      </c>
      <c r="J241" s="788"/>
      <c r="K241" s="1199">
        <v>1</v>
      </c>
      <c r="L241" s="1199">
        <v>2</v>
      </c>
      <c r="M241" s="1199"/>
      <c r="N241" s="1199">
        <v>4</v>
      </c>
      <c r="O241" s="791" t="s">
        <v>673</v>
      </c>
      <c r="P241" s="144">
        <f t="shared" si="18"/>
        <v>7</v>
      </c>
    </row>
    <row r="242" spans="1:16" ht="22.5">
      <c r="A242" s="609" t="str">
        <f t="shared" si="15"/>
        <v>Proxalto Lebensversicherung v. 01.07.2022</v>
      </c>
      <c r="B242" s="609">
        <f>ROW()</f>
        <v>242</v>
      </c>
      <c r="C242" s="635" t="s">
        <v>882</v>
      </c>
      <c r="D242" s="1201">
        <v>44743</v>
      </c>
      <c r="E242" s="636" t="s">
        <v>1030</v>
      </c>
      <c r="F242" s="637" t="str">
        <f t="shared" si="17"/>
        <v>Ja</v>
      </c>
      <c r="G242" s="634" t="str">
        <f t="shared" si="16"/>
        <v>TO ermöglicht: Tarifwechel; doppelten Kostenabzug;  Verzinsung zwischen EzE und RK geltend machen</v>
      </c>
      <c r="H242" s="414"/>
      <c r="J242" s="788"/>
      <c r="K242" s="1199">
        <v>1</v>
      </c>
      <c r="L242" s="1199">
        <v>2</v>
      </c>
      <c r="M242" s="1199"/>
      <c r="N242" s="1199">
        <v>4</v>
      </c>
      <c r="P242" s="144">
        <f t="shared" si="18"/>
        <v>7</v>
      </c>
    </row>
    <row r="243" spans="1:16" ht="22.5">
      <c r="A243" s="609" t="str">
        <f t="shared" si="15"/>
        <v>Proxalto Lebensversicherung v. 05.04.2019</v>
      </c>
      <c r="B243" s="609">
        <f>ROW()</f>
        <v>243</v>
      </c>
      <c r="C243" s="635" t="s">
        <v>882</v>
      </c>
      <c r="D243" s="1201">
        <v>43560</v>
      </c>
      <c r="E243" s="636" t="s">
        <v>883</v>
      </c>
      <c r="F243" s="637" t="str">
        <f t="shared" si="17"/>
        <v>Ja</v>
      </c>
      <c r="G243" s="634" t="str">
        <f t="shared" si="16"/>
        <v>TO ermöglicht: Tarifwechel; doppelten Kostenabzug;  Verzinsung zwischen EzE und RK geltend machen</v>
      </c>
      <c r="H243" s="414"/>
      <c r="K243" s="1199">
        <v>1</v>
      </c>
      <c r="L243" s="1199">
        <v>2</v>
      </c>
      <c r="M243" s="1199"/>
      <c r="N243" s="1199">
        <v>4</v>
      </c>
      <c r="P243" s="144">
        <f t="shared" si="18"/>
        <v>7</v>
      </c>
    </row>
    <row r="244" spans="1:16" ht="25.5">
      <c r="A244" s="609" t="str">
        <f t="shared" si="15"/>
        <v>PSVAG (Pensions Sicherungs Verein) v. 03.05.2017</v>
      </c>
      <c r="B244" s="609">
        <f>ROW()</f>
        <v>244</v>
      </c>
      <c r="C244" s="635" t="s">
        <v>901</v>
      </c>
      <c r="D244" s="1201">
        <v>42858</v>
      </c>
      <c r="E244" s="852" t="s">
        <v>902</v>
      </c>
      <c r="F244" s="637" t="str">
        <f t="shared" si="17"/>
        <v/>
      </c>
      <c r="G244" s="634" t="str">
        <f t="shared" si="16"/>
        <v xml:space="preserve">TO ermöglicht: doppelten Kostenabzug; </v>
      </c>
      <c r="H244" s="414"/>
      <c r="K244" s="1199"/>
      <c r="L244" s="1199">
        <v>2</v>
      </c>
      <c r="M244" s="1199"/>
      <c r="N244" s="1199"/>
      <c r="O244" s="789" t="s">
        <v>751</v>
      </c>
      <c r="P244" s="144">
        <f t="shared" si="18"/>
        <v>2</v>
      </c>
    </row>
    <row r="245" spans="1:16">
      <c r="A245" s="609" t="str">
        <f t="shared" si="15"/>
        <v>R+V ebensversicherung AG</v>
      </c>
      <c r="B245" s="609">
        <f>ROW()</f>
        <v>245</v>
      </c>
      <c r="C245" s="635" t="s">
        <v>657</v>
      </c>
      <c r="D245" s="1201"/>
      <c r="F245" s="637" t="str">
        <f t="shared" si="17"/>
        <v/>
      </c>
      <c r="H245" s="414"/>
      <c r="K245" s="1199"/>
      <c r="L245" s="1199"/>
      <c r="M245" s="1199"/>
      <c r="N245" s="1199"/>
      <c r="O245" s="791"/>
      <c r="P245" s="144">
        <f t="shared" si="18"/>
        <v>0</v>
      </c>
    </row>
    <row r="246" spans="1:16" ht="25.5">
      <c r="A246" s="609" t="str">
        <f t="shared" si="15"/>
        <v>R+V ebensversicherung AG v. 01.03.2020</v>
      </c>
      <c r="B246" s="609">
        <f>ROW()</f>
        <v>246</v>
      </c>
      <c r="C246" s="635" t="s">
        <v>657</v>
      </c>
      <c r="D246" s="1201">
        <v>43891</v>
      </c>
      <c r="E246" s="636" t="s">
        <v>658</v>
      </c>
      <c r="F246" s="637" t="str">
        <f t="shared" si="17"/>
        <v/>
      </c>
      <c r="G246" s="634" t="str">
        <f t="shared" ref="G246:G278" si="19">IF(SUM(K246:N246)=0,"","TO ermöglicht: "&amp;IF(K246&gt;0,"Tarifwechel; ","")&amp;IF(L246&gt;0,"doppelten Kostenabzug; ","")&amp;IF(M246&gt;0," Abweichungen vom gerichtl. festgelegten Ausgleichswert; ","")&amp;IF(N246&gt;0," Verzinsung zwischen EzE und RK geltend machen",""))</f>
        <v xml:space="preserve">TO ermöglicht: doppelten Kostenabzug; </v>
      </c>
      <c r="H246" s="414"/>
      <c r="I246" s="634" t="s">
        <v>1234</v>
      </c>
      <c r="K246" s="1199"/>
      <c r="L246" s="1199">
        <v>2</v>
      </c>
      <c r="M246" s="1199"/>
      <c r="N246" s="1199"/>
      <c r="O246" s="791" t="s">
        <v>664</v>
      </c>
      <c r="P246" s="144">
        <f t="shared" si="18"/>
        <v>2</v>
      </c>
    </row>
    <row r="247" spans="1:16">
      <c r="A247" s="609" t="str">
        <f t="shared" si="15"/>
        <v>Radio Bremen Tarifvertrag v. 03.12.2009</v>
      </c>
      <c r="B247" s="609">
        <f>ROW()</f>
        <v>247</v>
      </c>
      <c r="C247" s="635" t="s">
        <v>948</v>
      </c>
      <c r="D247" s="1201">
        <v>40150</v>
      </c>
      <c r="F247" s="637" t="str">
        <f t="shared" si="17"/>
        <v/>
      </c>
      <c r="G247" s="634" t="str">
        <f t="shared" si="19"/>
        <v xml:space="preserve">TO ermöglicht: doppelten Kostenabzug; </v>
      </c>
      <c r="H247" s="414"/>
      <c r="K247" s="1199"/>
      <c r="L247" s="1199">
        <v>2</v>
      </c>
      <c r="M247" s="1199"/>
      <c r="N247" s="1199"/>
      <c r="P247" s="144">
        <f t="shared" si="18"/>
        <v>2</v>
      </c>
    </row>
    <row r="248" spans="1:16" ht="25.5">
      <c r="A248" s="609" t="str">
        <f t="shared" si="15"/>
        <v>Real Unterstützungskasse v. 01.01.2018</v>
      </c>
      <c r="B248" s="609">
        <f>ROW()</f>
        <v>248</v>
      </c>
      <c r="C248" s="635" t="s">
        <v>794</v>
      </c>
      <c r="D248" s="1201">
        <v>43101</v>
      </c>
      <c r="E248" s="636" t="s">
        <v>776</v>
      </c>
      <c r="F248" s="637" t="str">
        <f t="shared" si="17"/>
        <v/>
      </c>
      <c r="G248" s="634" t="str">
        <f t="shared" si="19"/>
        <v xml:space="preserve">TO ermöglicht: doppelten Kostenabzug; </v>
      </c>
      <c r="H248" s="414"/>
      <c r="K248" s="1199"/>
      <c r="L248" s="1199">
        <v>2</v>
      </c>
      <c r="M248" s="1199"/>
      <c r="N248" s="1199"/>
      <c r="O248" s="789" t="s">
        <v>812</v>
      </c>
      <c r="P248" s="144">
        <f t="shared" si="18"/>
        <v>2</v>
      </c>
    </row>
    <row r="249" spans="1:16" ht="25.5">
      <c r="A249" s="609" t="str">
        <f t="shared" si="15"/>
        <v>real_Group_Holding_GmbH v. 01.07.2012</v>
      </c>
      <c r="B249" s="609">
        <f>ROW()</f>
        <v>249</v>
      </c>
      <c r="C249" s="635" t="s">
        <v>772</v>
      </c>
      <c r="D249" s="1201">
        <v>41091</v>
      </c>
      <c r="E249" s="636" t="s">
        <v>773</v>
      </c>
      <c r="F249" s="637" t="str">
        <f t="shared" si="17"/>
        <v/>
      </c>
      <c r="G249" s="634" t="str">
        <f t="shared" si="19"/>
        <v xml:space="preserve">TO ermöglicht: doppelten Kostenabzug; </v>
      </c>
      <c r="H249" s="414"/>
      <c r="J249" s="788"/>
      <c r="K249" s="1199"/>
      <c r="L249" s="1199">
        <v>2</v>
      </c>
      <c r="M249" s="1199"/>
      <c r="N249" s="1199"/>
      <c r="O249" s="789" t="s">
        <v>812</v>
      </c>
      <c r="P249" s="144">
        <f t="shared" si="18"/>
        <v>2</v>
      </c>
    </row>
    <row r="250" spans="1:16" ht="25.5">
      <c r="A250" s="609" t="str">
        <f t="shared" si="15"/>
        <v>real_SB_Warenhaus_GmbH v. 01.07.2012</v>
      </c>
      <c r="B250" s="609">
        <f>ROW()</f>
        <v>250</v>
      </c>
      <c r="C250" s="635" t="s">
        <v>777</v>
      </c>
      <c r="D250" s="1201">
        <v>41091</v>
      </c>
      <c r="E250" s="636" t="s">
        <v>776</v>
      </c>
      <c r="F250" s="637" t="str">
        <f t="shared" si="17"/>
        <v/>
      </c>
      <c r="G250" s="634" t="str">
        <f t="shared" si="19"/>
        <v/>
      </c>
      <c r="H250" s="414"/>
      <c r="K250" s="1199"/>
      <c r="L250" s="1199"/>
      <c r="M250" s="1199"/>
      <c r="N250" s="1199"/>
      <c r="O250" s="789" t="s">
        <v>812</v>
      </c>
      <c r="P250" s="144">
        <f t="shared" si="18"/>
        <v>0</v>
      </c>
    </row>
    <row r="251" spans="1:16" ht="25.5">
      <c r="A251" s="609" t="str">
        <f t="shared" si="15"/>
        <v>REWE Unterstützungskasse e.V. v. 01.01.2018</v>
      </c>
      <c r="B251" s="609">
        <f>ROW()</f>
        <v>251</v>
      </c>
      <c r="C251" s="635" t="s">
        <v>787</v>
      </c>
      <c r="D251" s="1201">
        <v>43101</v>
      </c>
      <c r="E251" s="636" t="s">
        <v>776</v>
      </c>
      <c r="F251" s="637" t="str">
        <f t="shared" si="17"/>
        <v/>
      </c>
      <c r="G251" s="634" t="str">
        <f t="shared" si="19"/>
        <v xml:space="preserve">TO ermöglicht: doppelten Kostenabzug; </v>
      </c>
      <c r="H251" s="414"/>
      <c r="J251" s="788" t="s">
        <v>669</v>
      </c>
      <c r="K251" s="1199"/>
      <c r="L251" s="1199">
        <v>2</v>
      </c>
      <c r="M251" s="1199"/>
      <c r="N251" s="1199"/>
      <c r="O251" s="789" t="s">
        <v>812</v>
      </c>
      <c r="P251" s="144">
        <f t="shared" si="18"/>
        <v>2</v>
      </c>
    </row>
    <row r="252" spans="1:16" ht="25.5">
      <c r="A252" s="609" t="str">
        <f t="shared" si="15"/>
        <v>REWE Unterstützungskasse e.V. v. 01.01.2018</v>
      </c>
      <c r="B252" s="609">
        <f>ROW()</f>
        <v>252</v>
      </c>
      <c r="C252" s="635" t="s">
        <v>787</v>
      </c>
      <c r="D252" s="1201">
        <v>43101</v>
      </c>
      <c r="E252" s="636" t="s">
        <v>776</v>
      </c>
      <c r="F252" s="637" t="str">
        <f t="shared" si="17"/>
        <v/>
      </c>
      <c r="G252" s="634" t="str">
        <f t="shared" si="19"/>
        <v/>
      </c>
      <c r="H252" s="414"/>
      <c r="K252" s="1199"/>
      <c r="L252" s="1199"/>
      <c r="M252" s="1199"/>
      <c r="N252" s="1199"/>
      <c r="O252" s="789" t="s">
        <v>812</v>
      </c>
      <c r="P252" s="144">
        <f t="shared" si="18"/>
        <v>0</v>
      </c>
    </row>
    <row r="253" spans="1:16">
      <c r="A253" s="609" t="str">
        <f t="shared" si="15"/>
        <v>Roche Diagnostics GmbH v. 27.09.2011</v>
      </c>
      <c r="B253" s="609">
        <f>ROW()</f>
        <v>253</v>
      </c>
      <c r="C253" s="635" t="s">
        <v>1327</v>
      </c>
      <c r="D253" s="1201">
        <v>40813</v>
      </c>
      <c r="E253" s="636" t="s">
        <v>486</v>
      </c>
      <c r="F253" s="637" t="str">
        <f t="shared" si="17"/>
        <v/>
      </c>
      <c r="G253" s="634" t="str">
        <f t="shared" si="19"/>
        <v>TO ermöglicht:  Verzinsung zwischen EzE und RK geltend machen</v>
      </c>
      <c r="H253" s="414"/>
      <c r="K253" s="1199"/>
      <c r="L253" s="1199"/>
      <c r="M253" s="1199"/>
      <c r="N253" s="1199">
        <v>4</v>
      </c>
      <c r="P253" s="144">
        <f t="shared" si="18"/>
        <v>4</v>
      </c>
    </row>
    <row r="254" spans="1:16" ht="33.75">
      <c r="A254" s="609" t="str">
        <f t="shared" si="15"/>
        <v>Rosenheimer Unterstützungskasse v. 01.05.2022</v>
      </c>
      <c r="B254" s="609">
        <f>ROW()</f>
        <v>254</v>
      </c>
      <c r="C254" s="635" t="s">
        <v>1358</v>
      </c>
      <c r="D254" s="1201">
        <v>44682</v>
      </c>
      <c r="E254" s="636" t="s">
        <v>727</v>
      </c>
      <c r="F254" s="637" t="str">
        <f t="shared" si="17"/>
        <v>Ja</v>
      </c>
      <c r="G254" s="634" t="str">
        <f t="shared" si="19"/>
        <v>TO ermöglicht: Tarifwechel; doppelten Kostenabzug;  Abweichungen vom gerichtl. festgelegten Ausgleichswert;  Verzinsung zwischen EzE und RK geltend machen</v>
      </c>
      <c r="H254" s="414"/>
      <c r="I254" s="634" t="s">
        <v>1356</v>
      </c>
      <c r="K254" s="1199">
        <v>1</v>
      </c>
      <c r="L254" s="1199">
        <v>2</v>
      </c>
      <c r="M254" s="1199">
        <v>3</v>
      </c>
      <c r="N254" s="1199">
        <v>4</v>
      </c>
      <c r="P254" s="144">
        <f t="shared" si="18"/>
        <v>10</v>
      </c>
    </row>
    <row r="255" spans="1:16" ht="22.5">
      <c r="A255" s="609" t="str">
        <f t="shared" si="15"/>
        <v>Rundfunk Berlin-Brandenburg Tarifvertrag v. 08.12.2009</v>
      </c>
      <c r="B255" s="609">
        <f>ROW()</f>
        <v>255</v>
      </c>
      <c r="C255" s="635" t="s">
        <v>953</v>
      </c>
      <c r="D255" s="1201">
        <v>40155</v>
      </c>
      <c r="F255" s="637" t="str">
        <f t="shared" si="17"/>
        <v/>
      </c>
      <c r="G255" s="634" t="str">
        <f t="shared" si="19"/>
        <v/>
      </c>
      <c r="H255" s="414"/>
      <c r="J255" s="788"/>
      <c r="K255" s="1199"/>
      <c r="L255" s="1199"/>
      <c r="M255" s="1199"/>
      <c r="N255" s="1199"/>
      <c r="P255" s="144">
        <f t="shared" si="18"/>
        <v>0</v>
      </c>
    </row>
    <row r="256" spans="1:16">
      <c r="A256" s="609" t="str">
        <f t="shared" si="15"/>
        <v>Saarländischer Rundfunk Tarifvertrag v. 04.12.2009</v>
      </c>
      <c r="B256" s="609">
        <f>ROW()</f>
        <v>256</v>
      </c>
      <c r="C256" s="635" t="s">
        <v>949</v>
      </c>
      <c r="D256" s="1201">
        <v>40151</v>
      </c>
      <c r="F256" s="637" t="str">
        <f t="shared" si="17"/>
        <v/>
      </c>
      <c r="G256" s="634" t="str">
        <f t="shared" si="19"/>
        <v/>
      </c>
      <c r="H256" s="414"/>
      <c r="J256" s="788"/>
      <c r="K256" s="1199"/>
      <c r="L256" s="1199"/>
      <c r="M256" s="1199"/>
      <c r="N256" s="1199"/>
      <c r="P256" s="144">
        <f t="shared" si="18"/>
        <v>0</v>
      </c>
    </row>
    <row r="257" spans="1:16381" ht="22.5">
      <c r="A257" s="609" t="str">
        <f t="shared" si="15"/>
        <v>Secunda Unterstützungskasse für den Mittelstand v. 01.01.2010</v>
      </c>
      <c r="B257" s="609">
        <f>ROW()</f>
        <v>257</v>
      </c>
      <c r="C257" s="1404" t="s">
        <v>766</v>
      </c>
      <c r="D257" s="1201">
        <v>40179</v>
      </c>
      <c r="E257" s="636" t="s">
        <v>767</v>
      </c>
      <c r="F257" s="637" t="str">
        <f t="shared" si="17"/>
        <v/>
      </c>
      <c r="G257" s="634" t="str">
        <f t="shared" si="19"/>
        <v>TO ermöglicht: doppelten Kostenabzug;  Verzinsung zwischen EzE und RK geltend machen</v>
      </c>
      <c r="H257" s="414"/>
      <c r="J257" s="788"/>
      <c r="K257" s="1199"/>
      <c r="L257" s="1199">
        <v>2</v>
      </c>
      <c r="M257" s="1199"/>
      <c r="N257" s="1199">
        <v>4</v>
      </c>
      <c r="O257" s="789" t="s">
        <v>768</v>
      </c>
      <c r="P257" s="144">
        <f t="shared" si="18"/>
        <v>6</v>
      </c>
    </row>
    <row r="258" spans="1:16381">
      <c r="A258" s="609" t="str">
        <f t="shared" si="15"/>
        <v>SelbstHilfe PK Caritas v. 01.01.2014</v>
      </c>
      <c r="B258" s="609">
        <f>ROW()</f>
        <v>258</v>
      </c>
      <c r="C258" s="635" t="s">
        <v>713</v>
      </c>
      <c r="D258" s="1202">
        <v>41640</v>
      </c>
      <c r="E258" s="636" t="s">
        <v>714</v>
      </c>
      <c r="F258" s="637" t="str">
        <f t="shared" si="17"/>
        <v>Ja</v>
      </c>
      <c r="G258" s="634" t="str">
        <f t="shared" si="19"/>
        <v xml:space="preserve">TO ermöglicht: Tarifwechel; </v>
      </c>
      <c r="H258" s="414"/>
      <c r="K258" s="1199">
        <v>1</v>
      </c>
      <c r="L258" s="1199"/>
      <c r="M258" s="1199"/>
      <c r="N258" s="1199"/>
      <c r="O258" s="793" t="s">
        <v>715</v>
      </c>
      <c r="P258" s="144">
        <f t="shared" si="18"/>
        <v>1</v>
      </c>
      <c r="Q258" s="609"/>
      <c r="R258" s="609"/>
      <c r="S258" s="609"/>
      <c r="T258" s="609"/>
      <c r="U258" s="609"/>
      <c r="V258" s="609"/>
      <c r="W258" s="609"/>
      <c r="X258" s="609"/>
      <c r="Y258" s="609"/>
      <c r="Z258" s="609"/>
      <c r="AA258" s="609"/>
      <c r="AB258" s="609"/>
      <c r="AC258" s="609"/>
      <c r="AD258" s="609"/>
      <c r="AE258" s="609"/>
      <c r="AF258" s="609"/>
      <c r="AG258" s="609"/>
      <c r="AH258" s="609"/>
      <c r="AI258" s="609"/>
      <c r="AJ258" s="609"/>
      <c r="AK258" s="609"/>
      <c r="AL258" s="609"/>
      <c r="AM258" s="609"/>
      <c r="AN258" s="609"/>
      <c r="AO258" s="609"/>
      <c r="AP258" s="609"/>
      <c r="AQ258" s="609"/>
      <c r="AR258" s="609"/>
      <c r="AS258" s="609"/>
      <c r="AT258" s="609"/>
      <c r="AU258" s="609"/>
      <c r="AV258" s="609"/>
      <c r="AW258" s="609"/>
      <c r="AX258" s="609"/>
      <c r="AY258" s="609"/>
      <c r="AZ258" s="609"/>
      <c r="BA258" s="609"/>
      <c r="BB258" s="609"/>
      <c r="BC258" s="609"/>
      <c r="BD258" s="609"/>
      <c r="BE258" s="609"/>
      <c r="BF258" s="609"/>
      <c r="BG258" s="609"/>
      <c r="BH258" s="609"/>
      <c r="BI258" s="609"/>
      <c r="BJ258" s="609"/>
      <c r="BK258" s="609"/>
      <c r="BL258" s="609"/>
      <c r="BM258" s="609"/>
      <c r="BN258" s="609"/>
      <c r="BO258" s="609"/>
      <c r="BP258" s="609"/>
      <c r="BQ258" s="609"/>
      <c r="BR258" s="609"/>
      <c r="BS258" s="609"/>
      <c r="BT258" s="609"/>
      <c r="BU258" s="609"/>
      <c r="BV258" s="609"/>
      <c r="BW258" s="609"/>
      <c r="BX258" s="609"/>
      <c r="BY258" s="609"/>
      <c r="BZ258" s="609"/>
      <c r="CA258" s="609"/>
      <c r="CB258" s="609"/>
      <c r="CC258" s="609"/>
      <c r="CD258" s="609"/>
      <c r="CE258" s="609"/>
      <c r="CF258" s="609"/>
      <c r="CG258" s="609"/>
      <c r="CH258" s="609"/>
      <c r="CI258" s="609"/>
      <c r="CJ258" s="609"/>
      <c r="CK258" s="609"/>
      <c r="CL258" s="609"/>
      <c r="CM258" s="609"/>
      <c r="CN258" s="609"/>
      <c r="CO258" s="609"/>
      <c r="CP258" s="609"/>
      <c r="CQ258" s="609"/>
      <c r="CR258" s="609"/>
      <c r="CS258" s="609"/>
      <c r="CT258" s="609"/>
      <c r="CU258" s="609"/>
      <c r="CV258" s="609"/>
      <c r="CW258" s="609"/>
      <c r="CX258" s="609"/>
      <c r="CY258" s="609"/>
      <c r="CZ258" s="609"/>
      <c r="DA258" s="609"/>
      <c r="DB258" s="609"/>
      <c r="DC258" s="609"/>
      <c r="DD258" s="609"/>
      <c r="DE258" s="609"/>
      <c r="DF258" s="609"/>
      <c r="DG258" s="609"/>
      <c r="DH258" s="609"/>
      <c r="DI258" s="609"/>
      <c r="DJ258" s="609"/>
      <c r="DK258" s="609"/>
      <c r="DL258" s="609"/>
      <c r="DM258" s="609"/>
      <c r="DN258" s="609"/>
      <c r="DO258" s="609"/>
      <c r="DP258" s="609"/>
      <c r="DQ258" s="609"/>
      <c r="DR258" s="609"/>
      <c r="DS258" s="609"/>
      <c r="DT258" s="609"/>
      <c r="DU258" s="609"/>
      <c r="DV258" s="609"/>
      <c r="DW258" s="609"/>
      <c r="DX258" s="609"/>
      <c r="DY258" s="609"/>
      <c r="DZ258" s="609"/>
      <c r="EA258" s="609"/>
      <c r="EB258" s="609"/>
      <c r="EC258" s="609"/>
      <c r="ED258" s="609"/>
      <c r="EE258" s="609"/>
      <c r="EF258" s="609"/>
      <c r="EG258" s="609"/>
      <c r="EH258" s="609"/>
      <c r="EI258" s="609"/>
      <c r="EJ258" s="609"/>
      <c r="EK258" s="609"/>
      <c r="EL258" s="609"/>
      <c r="EM258" s="609"/>
      <c r="EN258" s="609"/>
      <c r="EO258" s="609"/>
      <c r="EP258" s="609"/>
      <c r="EQ258" s="609"/>
      <c r="ER258" s="609"/>
      <c r="ES258" s="609"/>
      <c r="ET258" s="609"/>
      <c r="EU258" s="609"/>
      <c r="EV258" s="609"/>
      <c r="EW258" s="609"/>
      <c r="EX258" s="609"/>
      <c r="EY258" s="609"/>
      <c r="EZ258" s="609"/>
      <c r="FA258" s="609"/>
      <c r="FB258" s="609"/>
      <c r="FC258" s="609"/>
      <c r="FD258" s="609"/>
      <c r="FE258" s="609"/>
      <c r="FF258" s="609"/>
      <c r="FG258" s="609"/>
      <c r="FH258" s="609"/>
      <c r="FI258" s="609"/>
      <c r="FJ258" s="609"/>
      <c r="FK258" s="609"/>
      <c r="FL258" s="609"/>
      <c r="FM258" s="609"/>
      <c r="FN258" s="609"/>
      <c r="FO258" s="609"/>
      <c r="FP258" s="609"/>
      <c r="FQ258" s="609"/>
      <c r="FR258" s="609"/>
      <c r="FS258" s="609"/>
      <c r="FT258" s="609"/>
      <c r="FU258" s="609"/>
      <c r="FV258" s="609"/>
      <c r="FW258" s="609"/>
      <c r="FX258" s="609"/>
      <c r="FY258" s="609"/>
      <c r="FZ258" s="609"/>
      <c r="GA258" s="609"/>
      <c r="GB258" s="609"/>
      <c r="GC258" s="609"/>
      <c r="GD258" s="609"/>
      <c r="GE258" s="609"/>
      <c r="GF258" s="609"/>
      <c r="GG258" s="609"/>
      <c r="GH258" s="609"/>
      <c r="GI258" s="609"/>
      <c r="GJ258" s="609"/>
      <c r="GK258" s="609"/>
      <c r="GL258" s="609"/>
      <c r="GM258" s="609"/>
      <c r="GN258" s="609"/>
      <c r="GO258" s="609"/>
      <c r="GP258" s="609"/>
      <c r="GQ258" s="609"/>
      <c r="GR258" s="609"/>
      <c r="GS258" s="609"/>
      <c r="GT258" s="609"/>
      <c r="GU258" s="609"/>
      <c r="GV258" s="609"/>
      <c r="GW258" s="609"/>
      <c r="GX258" s="609"/>
      <c r="GY258" s="609"/>
      <c r="GZ258" s="609"/>
      <c r="HA258" s="609"/>
      <c r="HB258" s="609"/>
      <c r="HC258" s="609"/>
      <c r="HD258" s="609"/>
      <c r="HE258" s="609"/>
      <c r="HF258" s="609"/>
      <c r="HG258" s="609"/>
      <c r="HH258" s="609"/>
      <c r="HI258" s="609"/>
      <c r="HJ258" s="609"/>
      <c r="HK258" s="609"/>
      <c r="HL258" s="609"/>
      <c r="HM258" s="609"/>
      <c r="HN258" s="609"/>
      <c r="HO258" s="609"/>
      <c r="HP258" s="609"/>
      <c r="HQ258" s="609"/>
      <c r="HR258" s="609"/>
      <c r="HS258" s="609"/>
      <c r="HT258" s="609"/>
      <c r="HU258" s="609"/>
      <c r="HV258" s="609"/>
      <c r="HW258" s="609"/>
      <c r="HX258" s="609"/>
      <c r="HY258" s="609"/>
      <c r="HZ258" s="609"/>
      <c r="IA258" s="609"/>
      <c r="IB258" s="609"/>
      <c r="IC258" s="609"/>
      <c r="ID258" s="609"/>
      <c r="IE258" s="609"/>
      <c r="IF258" s="609"/>
      <c r="IG258" s="609"/>
      <c r="IH258" s="609"/>
      <c r="II258" s="609"/>
      <c r="IJ258" s="609"/>
      <c r="IK258" s="609"/>
      <c r="IL258" s="609"/>
      <c r="IM258" s="609"/>
      <c r="IN258" s="609"/>
      <c r="IO258" s="609"/>
      <c r="IP258" s="609"/>
      <c r="IQ258" s="609"/>
      <c r="IR258" s="609"/>
      <c r="IS258" s="609"/>
      <c r="IT258" s="609"/>
      <c r="IU258" s="609"/>
      <c r="IV258" s="609"/>
      <c r="IW258" s="609"/>
      <c r="IX258" s="609"/>
      <c r="IY258" s="609"/>
      <c r="IZ258" s="609"/>
      <c r="JA258" s="609"/>
      <c r="JB258" s="609"/>
      <c r="JC258" s="609"/>
      <c r="JD258" s="609"/>
      <c r="JE258" s="609"/>
      <c r="JF258" s="609"/>
      <c r="JG258" s="609"/>
      <c r="JH258" s="609"/>
      <c r="JI258" s="609"/>
      <c r="JJ258" s="609"/>
      <c r="JK258" s="609"/>
      <c r="JL258" s="609"/>
      <c r="JM258" s="609"/>
      <c r="JN258" s="609"/>
      <c r="JO258" s="609"/>
      <c r="JP258" s="609"/>
      <c r="JQ258" s="609"/>
      <c r="JR258" s="609"/>
      <c r="JS258" s="609"/>
      <c r="JT258" s="609"/>
      <c r="JU258" s="609"/>
      <c r="JV258" s="609"/>
      <c r="JW258" s="609"/>
      <c r="JX258" s="609"/>
      <c r="JY258" s="609"/>
      <c r="JZ258" s="609"/>
      <c r="KA258" s="609"/>
      <c r="KB258" s="609"/>
      <c r="KC258" s="609"/>
      <c r="KD258" s="609"/>
      <c r="KE258" s="609"/>
      <c r="KF258" s="609"/>
      <c r="KG258" s="609"/>
      <c r="KH258" s="609"/>
      <c r="KI258" s="609"/>
      <c r="KJ258" s="609"/>
      <c r="KK258" s="609"/>
      <c r="KL258" s="609"/>
      <c r="KM258" s="609"/>
      <c r="KN258" s="609"/>
      <c r="KO258" s="609"/>
      <c r="KP258" s="609"/>
      <c r="KQ258" s="609"/>
      <c r="KR258" s="609"/>
      <c r="KS258" s="609"/>
      <c r="KT258" s="609"/>
      <c r="KU258" s="609"/>
      <c r="KV258" s="609"/>
      <c r="KW258" s="609"/>
      <c r="KX258" s="609"/>
      <c r="KY258" s="609"/>
      <c r="KZ258" s="609"/>
      <c r="LA258" s="609"/>
      <c r="LB258" s="609"/>
      <c r="LC258" s="609"/>
      <c r="LD258" s="609"/>
      <c r="LE258" s="609"/>
      <c r="LF258" s="609"/>
      <c r="LG258" s="609"/>
      <c r="LH258" s="609"/>
      <c r="LI258" s="609"/>
      <c r="LJ258" s="609"/>
      <c r="LK258" s="609"/>
      <c r="LL258" s="609"/>
      <c r="LM258" s="609"/>
      <c r="LN258" s="609"/>
      <c r="LO258" s="609"/>
      <c r="LP258" s="609"/>
      <c r="LQ258" s="609"/>
      <c r="LR258" s="609"/>
      <c r="LS258" s="609"/>
      <c r="LT258" s="609"/>
      <c r="LU258" s="609"/>
      <c r="LV258" s="609"/>
      <c r="LW258" s="609"/>
      <c r="LX258" s="609"/>
      <c r="LY258" s="609"/>
      <c r="LZ258" s="609"/>
      <c r="MA258" s="609"/>
      <c r="MB258" s="609"/>
      <c r="MC258" s="609"/>
      <c r="MD258" s="609"/>
      <c r="ME258" s="609"/>
      <c r="MF258" s="609"/>
      <c r="MG258" s="609"/>
      <c r="MH258" s="609"/>
      <c r="MI258" s="609"/>
      <c r="MJ258" s="609"/>
      <c r="MK258" s="609"/>
      <c r="ML258" s="609"/>
      <c r="MM258" s="609"/>
      <c r="MN258" s="609"/>
      <c r="MO258" s="609"/>
      <c r="MP258" s="609"/>
      <c r="MQ258" s="609"/>
      <c r="MR258" s="609"/>
      <c r="MS258" s="609"/>
      <c r="MT258" s="609"/>
      <c r="MU258" s="609"/>
      <c r="MV258" s="609"/>
      <c r="MW258" s="609"/>
      <c r="MX258" s="609"/>
      <c r="MY258" s="609"/>
      <c r="MZ258" s="609"/>
      <c r="NA258" s="609"/>
      <c r="NB258" s="609"/>
      <c r="NC258" s="609"/>
      <c r="ND258" s="609"/>
      <c r="NE258" s="609"/>
      <c r="NF258" s="609"/>
      <c r="NG258" s="609"/>
      <c r="NH258" s="609"/>
      <c r="NI258" s="609"/>
      <c r="NJ258" s="609"/>
      <c r="NK258" s="609"/>
      <c r="NL258" s="609"/>
      <c r="NM258" s="609"/>
      <c r="NN258" s="609"/>
      <c r="NO258" s="609"/>
      <c r="NP258" s="609"/>
      <c r="NQ258" s="609"/>
      <c r="NR258" s="609"/>
      <c r="NS258" s="609"/>
      <c r="NT258" s="609"/>
      <c r="NU258" s="609"/>
      <c r="NV258" s="609"/>
      <c r="NW258" s="609"/>
      <c r="NX258" s="609"/>
      <c r="NY258" s="609"/>
      <c r="NZ258" s="609"/>
      <c r="OA258" s="609"/>
      <c r="OB258" s="609"/>
      <c r="OC258" s="609"/>
      <c r="OD258" s="609"/>
      <c r="OE258" s="609"/>
      <c r="OF258" s="609"/>
      <c r="OG258" s="609"/>
      <c r="OH258" s="609"/>
      <c r="OI258" s="609"/>
      <c r="OJ258" s="609"/>
      <c r="OK258" s="609"/>
      <c r="OL258" s="609"/>
      <c r="OM258" s="609"/>
      <c r="ON258" s="609"/>
      <c r="OO258" s="609"/>
      <c r="OP258" s="609"/>
      <c r="OQ258" s="609"/>
      <c r="OR258" s="609"/>
      <c r="OS258" s="609"/>
      <c r="OT258" s="609"/>
      <c r="OU258" s="609"/>
      <c r="OV258" s="609"/>
      <c r="OW258" s="609"/>
      <c r="OX258" s="609"/>
      <c r="OY258" s="609"/>
      <c r="OZ258" s="609"/>
      <c r="PA258" s="609"/>
      <c r="PB258" s="609"/>
      <c r="PC258" s="609"/>
      <c r="PD258" s="609"/>
      <c r="PE258" s="609"/>
      <c r="PF258" s="609"/>
      <c r="PG258" s="609"/>
      <c r="PH258" s="609"/>
      <c r="PI258" s="609"/>
      <c r="PJ258" s="609"/>
      <c r="PK258" s="609"/>
      <c r="PL258" s="609"/>
      <c r="PM258" s="609"/>
      <c r="PN258" s="609"/>
      <c r="PO258" s="609"/>
      <c r="PP258" s="609"/>
      <c r="PQ258" s="609"/>
      <c r="PR258" s="609"/>
      <c r="PS258" s="609"/>
      <c r="PT258" s="609"/>
      <c r="PU258" s="609"/>
      <c r="PV258" s="609"/>
      <c r="PW258" s="609"/>
      <c r="PX258" s="609"/>
      <c r="PY258" s="609"/>
      <c r="PZ258" s="609"/>
      <c r="QA258" s="609"/>
      <c r="QB258" s="609"/>
      <c r="QC258" s="609"/>
      <c r="QD258" s="609"/>
      <c r="QE258" s="609"/>
      <c r="QF258" s="609"/>
      <c r="QG258" s="609"/>
      <c r="QH258" s="609"/>
      <c r="QI258" s="609"/>
      <c r="QJ258" s="609"/>
      <c r="QK258" s="609"/>
      <c r="QL258" s="609"/>
      <c r="QM258" s="609"/>
      <c r="QN258" s="609"/>
      <c r="QO258" s="609"/>
      <c r="QP258" s="609"/>
      <c r="QQ258" s="609"/>
      <c r="QR258" s="609"/>
      <c r="QS258" s="609"/>
      <c r="QT258" s="609"/>
      <c r="QU258" s="609"/>
      <c r="QV258" s="609"/>
      <c r="QW258" s="609"/>
      <c r="QX258" s="609"/>
      <c r="QY258" s="609"/>
      <c r="QZ258" s="609"/>
      <c r="RA258" s="609"/>
      <c r="RB258" s="609"/>
      <c r="RC258" s="609"/>
      <c r="RD258" s="609"/>
      <c r="RE258" s="609"/>
      <c r="RF258" s="609"/>
      <c r="RG258" s="609"/>
      <c r="RH258" s="609"/>
      <c r="RI258" s="609"/>
      <c r="RJ258" s="609"/>
      <c r="RK258" s="609"/>
      <c r="RL258" s="609"/>
      <c r="RM258" s="609"/>
      <c r="RN258" s="609"/>
      <c r="RO258" s="609"/>
      <c r="RP258" s="609"/>
      <c r="RQ258" s="609"/>
      <c r="RR258" s="609"/>
      <c r="RS258" s="609"/>
      <c r="RT258" s="609"/>
      <c r="RU258" s="609"/>
      <c r="RV258" s="609"/>
      <c r="RW258" s="609"/>
      <c r="RX258" s="609"/>
      <c r="RY258" s="609"/>
      <c r="RZ258" s="609"/>
      <c r="SA258" s="609"/>
      <c r="SB258" s="609"/>
      <c r="SC258" s="609"/>
      <c r="SD258" s="609"/>
      <c r="SE258" s="609"/>
      <c r="SF258" s="609"/>
      <c r="SG258" s="609"/>
      <c r="SH258" s="609"/>
      <c r="SI258" s="609"/>
      <c r="SJ258" s="609"/>
      <c r="SK258" s="609"/>
      <c r="SL258" s="609"/>
      <c r="SM258" s="609"/>
      <c r="SN258" s="609"/>
      <c r="SO258" s="609"/>
      <c r="SP258" s="609"/>
      <c r="SQ258" s="609"/>
      <c r="SR258" s="609"/>
      <c r="SS258" s="609"/>
      <c r="ST258" s="609"/>
      <c r="SU258" s="609"/>
      <c r="SV258" s="609"/>
      <c r="SW258" s="609"/>
      <c r="SX258" s="609"/>
      <c r="SY258" s="609"/>
      <c r="SZ258" s="609"/>
      <c r="TA258" s="609"/>
      <c r="TB258" s="609"/>
      <c r="TC258" s="609"/>
      <c r="TD258" s="609"/>
      <c r="TE258" s="609"/>
      <c r="TF258" s="609"/>
      <c r="TG258" s="609"/>
      <c r="TH258" s="609"/>
      <c r="TI258" s="609"/>
      <c r="TJ258" s="609"/>
      <c r="TK258" s="609"/>
      <c r="TL258" s="609"/>
      <c r="TM258" s="609"/>
      <c r="TN258" s="609"/>
      <c r="TO258" s="609"/>
      <c r="TP258" s="609"/>
      <c r="TQ258" s="609"/>
      <c r="TR258" s="609"/>
      <c r="TS258" s="609"/>
      <c r="TT258" s="609"/>
      <c r="TU258" s="609"/>
      <c r="TV258" s="609"/>
      <c r="TW258" s="609"/>
      <c r="TX258" s="609"/>
      <c r="TY258" s="609"/>
      <c r="TZ258" s="609"/>
      <c r="UA258" s="609"/>
      <c r="UB258" s="609"/>
      <c r="UC258" s="609"/>
      <c r="UD258" s="609"/>
      <c r="UE258" s="609"/>
      <c r="UF258" s="609"/>
      <c r="UG258" s="609"/>
      <c r="UH258" s="609"/>
      <c r="UI258" s="609"/>
      <c r="UJ258" s="609"/>
      <c r="UK258" s="609"/>
      <c r="UL258" s="609"/>
      <c r="UM258" s="609"/>
      <c r="UN258" s="609"/>
      <c r="UO258" s="609"/>
      <c r="UP258" s="609"/>
      <c r="UQ258" s="609"/>
      <c r="UR258" s="609"/>
      <c r="US258" s="609"/>
      <c r="UT258" s="609"/>
      <c r="UU258" s="609"/>
      <c r="UV258" s="609"/>
      <c r="UW258" s="609"/>
      <c r="UX258" s="609"/>
      <c r="UY258" s="609"/>
      <c r="UZ258" s="609"/>
      <c r="VA258" s="609"/>
      <c r="VB258" s="609"/>
      <c r="VC258" s="609"/>
      <c r="VD258" s="609"/>
      <c r="VE258" s="609"/>
      <c r="VF258" s="609"/>
      <c r="VG258" s="609"/>
      <c r="VH258" s="609"/>
      <c r="VI258" s="609"/>
      <c r="VJ258" s="609"/>
      <c r="VK258" s="609"/>
      <c r="VL258" s="609"/>
      <c r="VM258" s="609"/>
      <c r="VN258" s="609"/>
      <c r="VO258" s="609"/>
      <c r="VP258" s="609"/>
      <c r="VQ258" s="609"/>
      <c r="VR258" s="609"/>
      <c r="VS258" s="609"/>
      <c r="VT258" s="609"/>
      <c r="VU258" s="609"/>
      <c r="VV258" s="609"/>
      <c r="VW258" s="609"/>
      <c r="VX258" s="609"/>
      <c r="VY258" s="609"/>
      <c r="VZ258" s="609"/>
      <c r="WA258" s="609"/>
      <c r="WB258" s="609"/>
      <c r="WC258" s="609"/>
      <c r="WD258" s="609"/>
      <c r="WE258" s="609"/>
      <c r="WF258" s="609"/>
      <c r="WG258" s="609"/>
      <c r="WH258" s="609"/>
      <c r="WI258" s="609"/>
      <c r="WJ258" s="609"/>
      <c r="WK258" s="609"/>
      <c r="WL258" s="609"/>
      <c r="WM258" s="609"/>
      <c r="WN258" s="609"/>
      <c r="WO258" s="609"/>
      <c r="WP258" s="609"/>
      <c r="WQ258" s="609"/>
      <c r="WR258" s="609"/>
      <c r="WS258" s="609"/>
      <c r="WT258" s="609"/>
      <c r="WU258" s="609"/>
      <c r="WV258" s="609"/>
      <c r="WW258" s="609"/>
      <c r="WX258" s="609"/>
      <c r="WY258" s="609"/>
      <c r="WZ258" s="609"/>
      <c r="XA258" s="609"/>
      <c r="XB258" s="609"/>
      <c r="XC258" s="609"/>
      <c r="XD258" s="609"/>
      <c r="XE258" s="609"/>
      <c r="XF258" s="609"/>
      <c r="XG258" s="609"/>
      <c r="XH258" s="609"/>
      <c r="XI258" s="609"/>
      <c r="XJ258" s="609"/>
      <c r="XK258" s="609"/>
      <c r="XL258" s="609"/>
      <c r="XM258" s="609"/>
      <c r="XN258" s="609"/>
      <c r="XO258" s="609"/>
      <c r="XP258" s="609"/>
      <c r="XQ258" s="609"/>
      <c r="XR258" s="609"/>
      <c r="XS258" s="609"/>
      <c r="XT258" s="609"/>
      <c r="XU258" s="609"/>
      <c r="XV258" s="609"/>
      <c r="XW258" s="609"/>
      <c r="XX258" s="609"/>
      <c r="XY258" s="609"/>
      <c r="XZ258" s="609"/>
      <c r="YA258" s="609"/>
      <c r="YB258" s="609"/>
      <c r="YC258" s="609"/>
      <c r="YD258" s="609"/>
      <c r="YE258" s="609"/>
      <c r="YF258" s="609"/>
      <c r="YG258" s="609"/>
      <c r="YH258" s="609"/>
      <c r="YI258" s="609"/>
      <c r="YJ258" s="609"/>
      <c r="YK258" s="609"/>
      <c r="YL258" s="609"/>
      <c r="YM258" s="609"/>
      <c r="YN258" s="609"/>
      <c r="YO258" s="609"/>
      <c r="YP258" s="609"/>
      <c r="YQ258" s="609"/>
      <c r="YR258" s="609"/>
      <c r="YS258" s="609"/>
      <c r="YT258" s="609"/>
      <c r="YU258" s="609"/>
      <c r="YV258" s="609"/>
      <c r="YW258" s="609"/>
      <c r="YX258" s="609"/>
      <c r="YY258" s="609"/>
      <c r="YZ258" s="609"/>
      <c r="ZA258" s="609"/>
      <c r="ZB258" s="609"/>
      <c r="ZC258" s="609"/>
      <c r="ZD258" s="609"/>
      <c r="ZE258" s="609"/>
      <c r="ZF258" s="609"/>
      <c r="ZG258" s="609"/>
      <c r="ZH258" s="609"/>
      <c r="ZI258" s="609"/>
      <c r="ZJ258" s="609"/>
      <c r="ZK258" s="609"/>
      <c r="ZL258" s="609"/>
      <c r="ZM258" s="609"/>
      <c r="ZN258" s="609"/>
      <c r="ZO258" s="609"/>
      <c r="ZP258" s="609"/>
      <c r="ZQ258" s="609"/>
      <c r="ZR258" s="609"/>
      <c r="ZS258" s="609"/>
      <c r="ZT258" s="609"/>
      <c r="ZU258" s="609"/>
      <c r="ZV258" s="609"/>
      <c r="ZW258" s="609"/>
      <c r="ZX258" s="609"/>
      <c r="ZY258" s="609"/>
      <c r="ZZ258" s="609"/>
      <c r="AAA258" s="609"/>
      <c r="AAB258" s="609"/>
      <c r="AAC258" s="609"/>
      <c r="AAD258" s="609"/>
      <c r="AAE258" s="609"/>
      <c r="AAF258" s="609"/>
      <c r="AAG258" s="609"/>
      <c r="AAH258" s="609"/>
      <c r="AAI258" s="609"/>
      <c r="AAJ258" s="609"/>
      <c r="AAK258" s="609"/>
      <c r="AAL258" s="609"/>
      <c r="AAM258" s="609"/>
      <c r="AAN258" s="609"/>
      <c r="AAO258" s="609"/>
      <c r="AAP258" s="609"/>
      <c r="AAQ258" s="609"/>
      <c r="AAR258" s="609"/>
      <c r="AAS258" s="609"/>
      <c r="AAT258" s="609"/>
      <c r="AAU258" s="609"/>
      <c r="AAV258" s="609"/>
      <c r="AAW258" s="609"/>
      <c r="AAX258" s="609"/>
      <c r="AAY258" s="609"/>
      <c r="AAZ258" s="609"/>
      <c r="ABA258" s="609"/>
      <c r="ABB258" s="609"/>
      <c r="ABC258" s="609"/>
      <c r="ABD258" s="609"/>
      <c r="ABE258" s="609"/>
      <c r="ABF258" s="609"/>
      <c r="ABG258" s="609"/>
      <c r="ABH258" s="609"/>
      <c r="ABI258" s="609"/>
      <c r="ABJ258" s="609"/>
      <c r="ABK258" s="609"/>
      <c r="ABL258" s="609"/>
      <c r="ABM258" s="609"/>
      <c r="ABN258" s="609"/>
      <c r="ABO258" s="609"/>
      <c r="ABP258" s="609"/>
      <c r="ABQ258" s="609"/>
      <c r="ABR258" s="609"/>
      <c r="ABS258" s="609"/>
      <c r="ABT258" s="609"/>
      <c r="ABU258" s="609"/>
      <c r="ABV258" s="609"/>
      <c r="ABW258" s="609"/>
      <c r="ABX258" s="609"/>
      <c r="ABY258" s="609"/>
      <c r="ABZ258" s="609"/>
      <c r="ACA258" s="609"/>
      <c r="ACB258" s="609"/>
      <c r="ACC258" s="609"/>
      <c r="ACD258" s="609"/>
      <c r="ACE258" s="609"/>
      <c r="ACF258" s="609"/>
      <c r="ACG258" s="609"/>
      <c r="ACH258" s="609"/>
      <c r="ACI258" s="609"/>
      <c r="ACJ258" s="609"/>
      <c r="ACK258" s="609"/>
      <c r="ACL258" s="609"/>
      <c r="ACM258" s="609"/>
      <c r="ACN258" s="609"/>
      <c r="ACO258" s="609"/>
      <c r="ACP258" s="609"/>
      <c r="ACQ258" s="609"/>
      <c r="ACR258" s="609"/>
      <c r="ACS258" s="609"/>
      <c r="ACT258" s="609"/>
      <c r="ACU258" s="609"/>
      <c r="ACV258" s="609"/>
      <c r="ACW258" s="609"/>
      <c r="ACX258" s="609"/>
      <c r="ACY258" s="609"/>
      <c r="ACZ258" s="609"/>
      <c r="ADA258" s="609"/>
      <c r="ADB258" s="609"/>
      <c r="ADC258" s="609"/>
      <c r="ADD258" s="609"/>
      <c r="ADE258" s="609"/>
      <c r="ADF258" s="609"/>
      <c r="ADG258" s="609"/>
      <c r="ADH258" s="609"/>
      <c r="ADI258" s="609"/>
      <c r="ADJ258" s="609"/>
      <c r="ADK258" s="609"/>
      <c r="ADL258" s="609"/>
      <c r="ADM258" s="609"/>
      <c r="ADN258" s="609"/>
      <c r="ADO258" s="609"/>
      <c r="ADP258" s="609"/>
      <c r="ADQ258" s="609"/>
      <c r="ADR258" s="609"/>
      <c r="ADS258" s="609"/>
      <c r="ADT258" s="609"/>
      <c r="ADU258" s="609"/>
      <c r="ADV258" s="609"/>
      <c r="ADW258" s="609"/>
      <c r="ADX258" s="609"/>
      <c r="ADY258" s="609"/>
      <c r="ADZ258" s="609"/>
      <c r="AEA258" s="609"/>
      <c r="AEB258" s="609"/>
      <c r="AEC258" s="609"/>
      <c r="AED258" s="609"/>
      <c r="AEE258" s="609"/>
      <c r="AEF258" s="609"/>
      <c r="AEG258" s="609"/>
      <c r="AEH258" s="609"/>
      <c r="AEI258" s="609"/>
      <c r="AEJ258" s="609"/>
      <c r="AEK258" s="609"/>
      <c r="AEL258" s="609"/>
      <c r="AEM258" s="609"/>
      <c r="AEN258" s="609"/>
      <c r="AEO258" s="609"/>
      <c r="AEP258" s="609"/>
      <c r="AEQ258" s="609"/>
      <c r="AER258" s="609"/>
      <c r="AES258" s="609"/>
      <c r="AET258" s="609"/>
      <c r="AEU258" s="609"/>
      <c r="AEV258" s="609"/>
      <c r="AEW258" s="609"/>
      <c r="AEX258" s="609"/>
      <c r="AEY258" s="609"/>
      <c r="AEZ258" s="609"/>
      <c r="AFA258" s="609"/>
      <c r="AFB258" s="609"/>
      <c r="AFC258" s="609"/>
      <c r="AFD258" s="609"/>
      <c r="AFE258" s="609"/>
      <c r="AFF258" s="609"/>
      <c r="AFG258" s="609"/>
      <c r="AFH258" s="609"/>
      <c r="AFI258" s="609"/>
      <c r="AFJ258" s="609"/>
      <c r="AFK258" s="609"/>
      <c r="AFL258" s="609"/>
      <c r="AFM258" s="609"/>
      <c r="AFN258" s="609"/>
      <c r="AFO258" s="609"/>
      <c r="AFP258" s="609"/>
      <c r="AFQ258" s="609"/>
      <c r="AFR258" s="609"/>
      <c r="AFS258" s="609"/>
      <c r="AFT258" s="609"/>
      <c r="AFU258" s="609"/>
      <c r="AFV258" s="609"/>
      <c r="AFW258" s="609"/>
      <c r="AFX258" s="609"/>
      <c r="AFY258" s="609"/>
      <c r="AFZ258" s="609"/>
      <c r="AGA258" s="609"/>
      <c r="AGB258" s="609"/>
      <c r="AGC258" s="609"/>
      <c r="AGD258" s="609"/>
      <c r="AGE258" s="609"/>
      <c r="AGF258" s="609"/>
      <c r="AGG258" s="609"/>
      <c r="AGH258" s="609"/>
      <c r="AGI258" s="609"/>
      <c r="AGJ258" s="609"/>
      <c r="AGK258" s="609"/>
      <c r="AGL258" s="609"/>
      <c r="AGM258" s="609"/>
      <c r="AGN258" s="609"/>
      <c r="AGO258" s="609"/>
      <c r="AGP258" s="609"/>
      <c r="AGQ258" s="609"/>
      <c r="AGR258" s="609"/>
      <c r="AGS258" s="609"/>
      <c r="AGT258" s="609"/>
      <c r="AGU258" s="609"/>
      <c r="AGV258" s="609"/>
      <c r="AGW258" s="609"/>
      <c r="AGX258" s="609"/>
      <c r="AGY258" s="609"/>
      <c r="AGZ258" s="609"/>
      <c r="AHA258" s="609"/>
      <c r="AHB258" s="609"/>
      <c r="AHC258" s="609"/>
      <c r="AHD258" s="609"/>
      <c r="AHE258" s="609"/>
      <c r="AHF258" s="609"/>
      <c r="AHG258" s="609"/>
      <c r="AHH258" s="609"/>
      <c r="AHI258" s="609"/>
      <c r="AHJ258" s="609"/>
      <c r="AHK258" s="609"/>
      <c r="AHL258" s="609"/>
      <c r="AHM258" s="609"/>
      <c r="AHN258" s="609"/>
      <c r="AHO258" s="609"/>
      <c r="AHP258" s="609"/>
      <c r="AHQ258" s="609"/>
      <c r="AHR258" s="609"/>
      <c r="AHS258" s="609"/>
      <c r="AHT258" s="609"/>
      <c r="AHU258" s="609"/>
      <c r="AHV258" s="609"/>
      <c r="AHW258" s="609"/>
      <c r="AHX258" s="609"/>
      <c r="AHY258" s="609"/>
      <c r="AHZ258" s="609"/>
      <c r="AIA258" s="609"/>
      <c r="AIB258" s="609"/>
      <c r="AIC258" s="609"/>
      <c r="AID258" s="609"/>
      <c r="AIE258" s="609"/>
      <c r="AIF258" s="609"/>
      <c r="AIG258" s="609"/>
      <c r="AIH258" s="609"/>
      <c r="AII258" s="609"/>
      <c r="AIJ258" s="609"/>
      <c r="AIK258" s="609"/>
      <c r="AIL258" s="609"/>
      <c r="AIM258" s="609"/>
      <c r="AIN258" s="609"/>
      <c r="AIO258" s="609"/>
      <c r="AIP258" s="609"/>
      <c r="AIQ258" s="609"/>
      <c r="AIR258" s="609"/>
      <c r="AIS258" s="609"/>
      <c r="AIT258" s="609"/>
      <c r="AIU258" s="609"/>
      <c r="AIV258" s="609"/>
      <c r="AIW258" s="609"/>
      <c r="AIX258" s="609"/>
      <c r="AIY258" s="609"/>
      <c r="AIZ258" s="609"/>
      <c r="AJA258" s="609"/>
      <c r="AJB258" s="609"/>
      <c r="AJC258" s="609"/>
      <c r="AJD258" s="609"/>
      <c r="AJE258" s="609"/>
      <c r="AJF258" s="609"/>
      <c r="AJG258" s="609"/>
      <c r="AJH258" s="609"/>
      <c r="AJI258" s="609"/>
      <c r="AJJ258" s="609"/>
      <c r="AJK258" s="609"/>
      <c r="AJL258" s="609"/>
      <c r="AJM258" s="609"/>
      <c r="AJN258" s="609"/>
      <c r="AJO258" s="609"/>
      <c r="AJP258" s="609"/>
      <c r="AJQ258" s="609"/>
      <c r="AJR258" s="609"/>
      <c r="AJS258" s="609"/>
      <c r="AJT258" s="609"/>
      <c r="AJU258" s="609"/>
      <c r="AJV258" s="609"/>
      <c r="AJW258" s="609"/>
      <c r="AJX258" s="609"/>
      <c r="AJY258" s="609"/>
      <c r="AJZ258" s="609"/>
      <c r="AKA258" s="609"/>
      <c r="AKB258" s="609"/>
      <c r="AKC258" s="609"/>
      <c r="AKD258" s="609"/>
      <c r="AKE258" s="609"/>
      <c r="AKF258" s="609"/>
      <c r="AKG258" s="609"/>
      <c r="AKH258" s="609"/>
      <c r="AKI258" s="609"/>
      <c r="AKJ258" s="609"/>
      <c r="AKK258" s="609"/>
      <c r="AKL258" s="609"/>
      <c r="AKM258" s="609"/>
      <c r="AKN258" s="609"/>
      <c r="AKO258" s="609"/>
      <c r="AKP258" s="609"/>
      <c r="AKQ258" s="609"/>
      <c r="AKR258" s="609"/>
      <c r="AKS258" s="609"/>
      <c r="AKT258" s="609"/>
      <c r="AKU258" s="609"/>
      <c r="AKV258" s="609"/>
      <c r="AKW258" s="609"/>
      <c r="AKX258" s="609"/>
      <c r="AKY258" s="609"/>
      <c r="AKZ258" s="609"/>
      <c r="ALA258" s="609"/>
      <c r="ALB258" s="609"/>
      <c r="ALC258" s="609"/>
      <c r="ALD258" s="609"/>
      <c r="ALE258" s="609"/>
      <c r="ALF258" s="609"/>
      <c r="ALG258" s="609"/>
      <c r="ALH258" s="609"/>
      <c r="ALI258" s="609"/>
      <c r="ALJ258" s="609"/>
      <c r="ALK258" s="609"/>
      <c r="ALL258" s="609"/>
      <c r="ALM258" s="609"/>
      <c r="ALN258" s="609"/>
      <c r="ALO258" s="609"/>
      <c r="ALP258" s="609"/>
      <c r="ALQ258" s="609"/>
      <c r="ALR258" s="609"/>
      <c r="ALS258" s="609"/>
      <c r="ALT258" s="609"/>
      <c r="ALU258" s="609"/>
      <c r="ALV258" s="609"/>
      <c r="ALW258" s="609"/>
      <c r="ALX258" s="609"/>
      <c r="ALY258" s="609"/>
      <c r="ALZ258" s="609"/>
      <c r="AMA258" s="609"/>
      <c r="AMB258" s="609"/>
      <c r="AMC258" s="609"/>
      <c r="AMD258" s="609"/>
      <c r="AME258" s="609"/>
      <c r="AMF258" s="609"/>
      <c r="AMG258" s="609"/>
      <c r="AMH258" s="609"/>
      <c r="AMI258" s="609"/>
      <c r="AMJ258" s="609"/>
      <c r="AMK258" s="609"/>
      <c r="AML258" s="609"/>
      <c r="AMM258" s="609"/>
      <c r="AMN258" s="609"/>
      <c r="AMO258" s="609"/>
      <c r="AMP258" s="609"/>
      <c r="AMQ258" s="609"/>
      <c r="AMR258" s="609"/>
      <c r="AMS258" s="609"/>
      <c r="AMT258" s="609"/>
      <c r="AMU258" s="609"/>
      <c r="AMV258" s="609"/>
      <c r="AMW258" s="609"/>
      <c r="AMX258" s="609"/>
      <c r="AMY258" s="609"/>
      <c r="AMZ258" s="609"/>
      <c r="ANA258" s="609"/>
      <c r="ANB258" s="609"/>
      <c r="ANC258" s="609"/>
      <c r="AND258" s="609"/>
      <c r="ANE258" s="609"/>
      <c r="ANF258" s="609"/>
      <c r="ANG258" s="609"/>
      <c r="ANH258" s="609"/>
      <c r="ANI258" s="609"/>
      <c r="ANJ258" s="609"/>
      <c r="ANK258" s="609"/>
      <c r="ANL258" s="609"/>
      <c r="ANM258" s="609"/>
      <c r="ANN258" s="609"/>
      <c r="ANO258" s="609"/>
      <c r="ANP258" s="609"/>
      <c r="ANQ258" s="609"/>
      <c r="ANR258" s="609"/>
      <c r="ANS258" s="609"/>
      <c r="ANT258" s="609"/>
      <c r="ANU258" s="609"/>
      <c r="ANV258" s="609"/>
      <c r="ANW258" s="609"/>
      <c r="ANX258" s="609"/>
      <c r="ANY258" s="609"/>
      <c r="ANZ258" s="609"/>
      <c r="AOA258" s="609"/>
      <c r="AOB258" s="609"/>
      <c r="AOC258" s="609"/>
      <c r="AOD258" s="609"/>
      <c r="AOE258" s="609"/>
      <c r="AOF258" s="609"/>
      <c r="AOG258" s="609"/>
      <c r="AOH258" s="609"/>
      <c r="AOI258" s="609"/>
      <c r="AOJ258" s="609"/>
      <c r="AOK258" s="609"/>
      <c r="AOL258" s="609"/>
      <c r="AOM258" s="609"/>
      <c r="AON258" s="609"/>
      <c r="AOO258" s="609"/>
      <c r="AOP258" s="609"/>
      <c r="AOQ258" s="609"/>
      <c r="AOR258" s="609"/>
      <c r="AOS258" s="609"/>
      <c r="AOT258" s="609"/>
      <c r="AOU258" s="609"/>
      <c r="AOV258" s="609"/>
      <c r="AOW258" s="609"/>
      <c r="AOX258" s="609"/>
      <c r="AOY258" s="609"/>
      <c r="AOZ258" s="609"/>
      <c r="APA258" s="609"/>
      <c r="APB258" s="609"/>
      <c r="APC258" s="609"/>
      <c r="APD258" s="609"/>
      <c r="APE258" s="609"/>
      <c r="APF258" s="609"/>
      <c r="APG258" s="609"/>
      <c r="APH258" s="609"/>
      <c r="API258" s="609"/>
      <c r="APJ258" s="609"/>
      <c r="APK258" s="609"/>
      <c r="APL258" s="609"/>
      <c r="APM258" s="609"/>
      <c r="APN258" s="609"/>
      <c r="APO258" s="609"/>
      <c r="APP258" s="609"/>
      <c r="APQ258" s="609"/>
      <c r="APR258" s="609"/>
      <c r="APS258" s="609"/>
      <c r="APT258" s="609"/>
      <c r="APU258" s="609"/>
      <c r="APV258" s="609"/>
      <c r="APW258" s="609"/>
      <c r="APX258" s="609"/>
      <c r="APY258" s="609"/>
      <c r="APZ258" s="609"/>
      <c r="AQA258" s="609"/>
      <c r="AQB258" s="609"/>
      <c r="AQC258" s="609"/>
      <c r="AQD258" s="609"/>
      <c r="AQE258" s="609"/>
      <c r="AQF258" s="609"/>
      <c r="AQG258" s="609"/>
      <c r="AQH258" s="609"/>
      <c r="AQI258" s="609"/>
      <c r="AQJ258" s="609"/>
      <c r="AQK258" s="609"/>
      <c r="AQL258" s="609"/>
      <c r="AQM258" s="609"/>
      <c r="AQN258" s="609"/>
      <c r="AQO258" s="609"/>
      <c r="AQP258" s="609"/>
      <c r="AQQ258" s="609"/>
      <c r="AQR258" s="609"/>
      <c r="AQS258" s="609"/>
      <c r="AQT258" s="609"/>
      <c r="AQU258" s="609"/>
      <c r="AQV258" s="609"/>
      <c r="AQW258" s="609"/>
      <c r="AQX258" s="609"/>
      <c r="AQY258" s="609"/>
      <c r="AQZ258" s="609"/>
      <c r="ARA258" s="609"/>
      <c r="ARB258" s="609"/>
      <c r="ARC258" s="609"/>
      <c r="ARD258" s="609"/>
      <c r="ARE258" s="609"/>
      <c r="ARF258" s="609"/>
      <c r="ARG258" s="609"/>
      <c r="ARH258" s="609"/>
      <c r="ARI258" s="609"/>
      <c r="ARJ258" s="609"/>
      <c r="ARK258" s="609"/>
      <c r="ARL258" s="609"/>
      <c r="ARM258" s="609"/>
      <c r="ARN258" s="609"/>
      <c r="ARO258" s="609"/>
      <c r="ARP258" s="609"/>
      <c r="ARQ258" s="609"/>
      <c r="ARR258" s="609"/>
      <c r="ARS258" s="609"/>
      <c r="ART258" s="609"/>
      <c r="ARU258" s="609"/>
      <c r="ARV258" s="609"/>
      <c r="ARW258" s="609"/>
      <c r="ARX258" s="609"/>
      <c r="ARY258" s="609"/>
      <c r="ARZ258" s="609"/>
      <c r="ASA258" s="609"/>
      <c r="ASB258" s="609"/>
      <c r="ASC258" s="609"/>
      <c r="ASD258" s="609"/>
      <c r="ASE258" s="609"/>
      <c r="ASF258" s="609"/>
      <c r="ASG258" s="609"/>
      <c r="ASH258" s="609"/>
      <c r="ASI258" s="609"/>
      <c r="ASJ258" s="609"/>
      <c r="ASK258" s="609"/>
      <c r="ASL258" s="609"/>
      <c r="ASM258" s="609"/>
      <c r="ASN258" s="609"/>
      <c r="ASO258" s="609"/>
      <c r="ASP258" s="609"/>
      <c r="ASQ258" s="609"/>
      <c r="ASR258" s="609"/>
      <c r="ASS258" s="609"/>
      <c r="AST258" s="609"/>
      <c r="ASU258" s="609"/>
      <c r="ASV258" s="609"/>
      <c r="ASW258" s="609"/>
      <c r="ASX258" s="609"/>
      <c r="ASY258" s="609"/>
      <c r="ASZ258" s="609"/>
      <c r="ATA258" s="609"/>
      <c r="ATB258" s="609"/>
      <c r="ATC258" s="609"/>
      <c r="ATD258" s="609"/>
      <c r="ATE258" s="609"/>
      <c r="ATF258" s="609"/>
      <c r="ATG258" s="609"/>
      <c r="ATH258" s="609"/>
      <c r="ATI258" s="609"/>
      <c r="ATJ258" s="609"/>
      <c r="ATK258" s="609"/>
      <c r="ATL258" s="609"/>
      <c r="ATM258" s="609"/>
      <c r="ATN258" s="609"/>
      <c r="ATO258" s="609"/>
      <c r="ATP258" s="609"/>
      <c r="ATQ258" s="609"/>
      <c r="ATR258" s="609"/>
      <c r="ATS258" s="609"/>
      <c r="ATT258" s="609"/>
      <c r="ATU258" s="609"/>
      <c r="ATV258" s="609"/>
      <c r="ATW258" s="609"/>
      <c r="ATX258" s="609"/>
      <c r="ATY258" s="609"/>
      <c r="ATZ258" s="609"/>
      <c r="AUA258" s="609"/>
      <c r="AUB258" s="609"/>
      <c r="AUC258" s="609"/>
      <c r="AUD258" s="609"/>
      <c r="AUE258" s="609"/>
      <c r="AUF258" s="609"/>
      <c r="AUG258" s="609"/>
      <c r="AUH258" s="609"/>
      <c r="AUI258" s="609"/>
      <c r="AUJ258" s="609"/>
      <c r="AUK258" s="609"/>
      <c r="AUL258" s="609"/>
      <c r="AUM258" s="609"/>
      <c r="AUN258" s="609"/>
      <c r="AUO258" s="609"/>
      <c r="AUP258" s="609"/>
      <c r="AUQ258" s="609"/>
      <c r="AUR258" s="609"/>
      <c r="AUS258" s="609"/>
      <c r="AUT258" s="609"/>
      <c r="AUU258" s="609"/>
      <c r="AUV258" s="609"/>
      <c r="AUW258" s="609"/>
      <c r="AUX258" s="609"/>
      <c r="AUY258" s="609"/>
      <c r="AUZ258" s="609"/>
      <c r="AVA258" s="609"/>
      <c r="AVB258" s="609"/>
      <c r="AVC258" s="609"/>
      <c r="AVD258" s="609"/>
      <c r="AVE258" s="609"/>
      <c r="AVF258" s="609"/>
      <c r="AVG258" s="609"/>
      <c r="AVH258" s="609"/>
      <c r="AVI258" s="609"/>
      <c r="AVJ258" s="609"/>
      <c r="AVK258" s="609"/>
      <c r="AVL258" s="609"/>
      <c r="AVM258" s="609"/>
      <c r="AVN258" s="609"/>
      <c r="AVO258" s="609"/>
      <c r="AVP258" s="609"/>
      <c r="AVQ258" s="609"/>
      <c r="AVR258" s="609"/>
      <c r="AVS258" s="609"/>
      <c r="AVT258" s="609"/>
      <c r="AVU258" s="609"/>
      <c r="AVV258" s="609"/>
      <c r="AVW258" s="609"/>
      <c r="AVX258" s="609"/>
      <c r="AVY258" s="609"/>
      <c r="AVZ258" s="609"/>
      <c r="AWA258" s="609"/>
      <c r="AWB258" s="609"/>
      <c r="AWC258" s="609"/>
      <c r="AWD258" s="609"/>
      <c r="AWE258" s="609"/>
      <c r="AWF258" s="609"/>
      <c r="AWG258" s="609"/>
      <c r="AWH258" s="609"/>
      <c r="AWI258" s="609"/>
      <c r="AWJ258" s="609"/>
      <c r="AWK258" s="609"/>
      <c r="AWL258" s="609"/>
      <c r="AWM258" s="609"/>
      <c r="AWN258" s="609"/>
      <c r="AWO258" s="609"/>
      <c r="AWP258" s="609"/>
      <c r="AWQ258" s="609"/>
      <c r="AWR258" s="609"/>
      <c r="AWS258" s="609"/>
      <c r="AWT258" s="609"/>
      <c r="AWU258" s="609"/>
      <c r="AWV258" s="609"/>
      <c r="AWW258" s="609"/>
      <c r="AWX258" s="609"/>
      <c r="AWY258" s="609"/>
      <c r="AWZ258" s="609"/>
      <c r="AXA258" s="609"/>
      <c r="AXB258" s="609"/>
      <c r="AXC258" s="609"/>
      <c r="AXD258" s="609"/>
      <c r="AXE258" s="609"/>
      <c r="AXF258" s="609"/>
      <c r="AXG258" s="609"/>
      <c r="AXH258" s="609"/>
      <c r="AXI258" s="609"/>
      <c r="AXJ258" s="609"/>
      <c r="AXK258" s="609"/>
      <c r="AXL258" s="609"/>
      <c r="AXM258" s="609"/>
      <c r="AXN258" s="609"/>
      <c r="AXO258" s="609"/>
      <c r="AXP258" s="609"/>
      <c r="AXQ258" s="609"/>
      <c r="AXR258" s="609"/>
      <c r="AXS258" s="609"/>
      <c r="AXT258" s="609"/>
      <c r="AXU258" s="609"/>
      <c r="AXV258" s="609"/>
      <c r="AXW258" s="609"/>
      <c r="AXX258" s="609"/>
      <c r="AXY258" s="609"/>
      <c r="AXZ258" s="609"/>
      <c r="AYA258" s="609"/>
      <c r="AYB258" s="609"/>
      <c r="AYC258" s="609"/>
      <c r="AYD258" s="609"/>
      <c r="AYE258" s="609"/>
      <c r="AYF258" s="609"/>
      <c r="AYG258" s="609"/>
      <c r="AYH258" s="609"/>
      <c r="AYI258" s="609"/>
      <c r="AYJ258" s="609"/>
      <c r="AYK258" s="609"/>
      <c r="AYL258" s="609"/>
      <c r="AYM258" s="609"/>
      <c r="AYN258" s="609"/>
      <c r="AYO258" s="609"/>
      <c r="AYP258" s="609"/>
      <c r="AYQ258" s="609"/>
      <c r="AYR258" s="609"/>
      <c r="AYS258" s="609"/>
      <c r="AYT258" s="609"/>
      <c r="AYU258" s="609"/>
      <c r="AYV258" s="609"/>
      <c r="AYW258" s="609"/>
      <c r="AYX258" s="609"/>
      <c r="AYY258" s="609"/>
      <c r="AYZ258" s="609"/>
      <c r="AZA258" s="609"/>
      <c r="AZB258" s="609"/>
      <c r="AZC258" s="609"/>
      <c r="AZD258" s="609"/>
      <c r="AZE258" s="609"/>
      <c r="AZF258" s="609"/>
      <c r="AZG258" s="609"/>
      <c r="AZH258" s="609"/>
      <c r="AZI258" s="609"/>
      <c r="AZJ258" s="609"/>
      <c r="AZK258" s="609"/>
      <c r="AZL258" s="609"/>
      <c r="AZM258" s="609"/>
      <c r="AZN258" s="609"/>
      <c r="AZO258" s="609"/>
      <c r="AZP258" s="609"/>
      <c r="AZQ258" s="609"/>
      <c r="AZR258" s="609"/>
      <c r="AZS258" s="609"/>
      <c r="AZT258" s="609"/>
      <c r="AZU258" s="609"/>
      <c r="AZV258" s="609"/>
      <c r="AZW258" s="609"/>
      <c r="AZX258" s="609"/>
      <c r="AZY258" s="609"/>
      <c r="AZZ258" s="609"/>
      <c r="BAA258" s="609"/>
      <c r="BAB258" s="609"/>
      <c r="BAC258" s="609"/>
      <c r="BAD258" s="609"/>
      <c r="BAE258" s="609"/>
      <c r="BAF258" s="609"/>
      <c r="BAG258" s="609"/>
      <c r="BAH258" s="609"/>
      <c r="BAI258" s="609"/>
      <c r="BAJ258" s="609"/>
      <c r="BAK258" s="609"/>
      <c r="BAL258" s="609"/>
      <c r="BAM258" s="609"/>
      <c r="BAN258" s="609"/>
      <c r="BAO258" s="609"/>
      <c r="BAP258" s="609"/>
      <c r="BAQ258" s="609"/>
      <c r="BAR258" s="609"/>
      <c r="BAS258" s="609"/>
      <c r="BAT258" s="609"/>
      <c r="BAU258" s="609"/>
      <c r="BAV258" s="609"/>
      <c r="BAW258" s="609"/>
      <c r="BAX258" s="609"/>
      <c r="BAY258" s="609"/>
      <c r="BAZ258" s="609"/>
      <c r="BBA258" s="609"/>
      <c r="BBB258" s="609"/>
      <c r="BBC258" s="609"/>
      <c r="BBD258" s="609"/>
      <c r="BBE258" s="609"/>
      <c r="BBF258" s="609"/>
      <c r="BBG258" s="609"/>
      <c r="BBH258" s="609"/>
      <c r="BBI258" s="609"/>
      <c r="BBJ258" s="609"/>
      <c r="BBK258" s="609"/>
      <c r="BBL258" s="609"/>
      <c r="BBM258" s="609"/>
      <c r="BBN258" s="609"/>
      <c r="BBO258" s="609"/>
      <c r="BBP258" s="609"/>
      <c r="BBQ258" s="609"/>
      <c r="BBR258" s="609"/>
      <c r="BBS258" s="609"/>
      <c r="BBT258" s="609"/>
      <c r="BBU258" s="609"/>
      <c r="BBV258" s="609"/>
      <c r="BBW258" s="609"/>
      <c r="BBX258" s="609"/>
      <c r="BBY258" s="609"/>
      <c r="BBZ258" s="609"/>
      <c r="BCA258" s="609"/>
      <c r="BCB258" s="609"/>
      <c r="BCC258" s="609"/>
      <c r="BCD258" s="609"/>
      <c r="BCE258" s="609"/>
      <c r="BCF258" s="609"/>
      <c r="BCG258" s="609"/>
      <c r="BCH258" s="609"/>
      <c r="BCI258" s="609"/>
      <c r="BCJ258" s="609"/>
      <c r="BCK258" s="609"/>
      <c r="BCL258" s="609"/>
      <c r="BCM258" s="609"/>
      <c r="BCN258" s="609"/>
      <c r="BCO258" s="609"/>
      <c r="BCP258" s="609"/>
      <c r="BCQ258" s="609"/>
      <c r="BCR258" s="609"/>
      <c r="BCS258" s="609"/>
      <c r="BCT258" s="609"/>
      <c r="BCU258" s="609"/>
      <c r="BCV258" s="609"/>
      <c r="BCW258" s="609"/>
      <c r="BCX258" s="609"/>
      <c r="BCY258" s="609"/>
      <c r="BCZ258" s="609"/>
      <c r="BDA258" s="609"/>
      <c r="BDB258" s="609"/>
      <c r="BDC258" s="609"/>
      <c r="BDD258" s="609"/>
      <c r="BDE258" s="609"/>
      <c r="BDF258" s="609"/>
      <c r="BDG258" s="609"/>
      <c r="BDH258" s="609"/>
      <c r="BDI258" s="609"/>
      <c r="BDJ258" s="609"/>
      <c r="BDK258" s="609"/>
      <c r="BDL258" s="609"/>
      <c r="BDM258" s="609"/>
      <c r="BDN258" s="609"/>
      <c r="BDO258" s="609"/>
      <c r="BDP258" s="609"/>
      <c r="BDQ258" s="609"/>
      <c r="BDR258" s="609"/>
      <c r="BDS258" s="609"/>
      <c r="BDT258" s="609"/>
      <c r="BDU258" s="609"/>
      <c r="BDV258" s="609"/>
      <c r="BDW258" s="609"/>
      <c r="BDX258" s="609"/>
      <c r="BDY258" s="609"/>
      <c r="BDZ258" s="609"/>
      <c r="BEA258" s="609"/>
      <c r="BEB258" s="609"/>
      <c r="BEC258" s="609"/>
      <c r="BED258" s="609"/>
      <c r="BEE258" s="609"/>
      <c r="BEF258" s="609"/>
      <c r="BEG258" s="609"/>
      <c r="BEH258" s="609"/>
      <c r="BEI258" s="609"/>
      <c r="BEJ258" s="609"/>
      <c r="BEK258" s="609"/>
      <c r="BEL258" s="609"/>
      <c r="BEM258" s="609"/>
      <c r="BEN258" s="609"/>
      <c r="BEO258" s="609"/>
      <c r="BEP258" s="609"/>
      <c r="BEQ258" s="609"/>
      <c r="BER258" s="609"/>
      <c r="BES258" s="609"/>
      <c r="BET258" s="609"/>
      <c r="BEU258" s="609"/>
      <c r="BEV258" s="609"/>
      <c r="BEW258" s="609"/>
      <c r="BEX258" s="609"/>
      <c r="BEY258" s="609"/>
      <c r="BEZ258" s="609"/>
      <c r="BFA258" s="609"/>
      <c r="BFB258" s="609"/>
      <c r="BFC258" s="609"/>
      <c r="BFD258" s="609"/>
      <c r="BFE258" s="609"/>
      <c r="BFF258" s="609"/>
      <c r="BFG258" s="609"/>
      <c r="BFH258" s="609"/>
      <c r="BFI258" s="609"/>
      <c r="BFJ258" s="609"/>
      <c r="BFK258" s="609"/>
      <c r="BFL258" s="609"/>
      <c r="BFM258" s="609"/>
      <c r="BFN258" s="609"/>
      <c r="BFO258" s="609"/>
      <c r="BFP258" s="609"/>
      <c r="BFQ258" s="609"/>
      <c r="BFR258" s="609"/>
      <c r="BFS258" s="609"/>
      <c r="BFT258" s="609"/>
      <c r="BFU258" s="609"/>
      <c r="BFV258" s="609"/>
      <c r="BFW258" s="609"/>
      <c r="BFX258" s="609"/>
      <c r="BFY258" s="609"/>
      <c r="BFZ258" s="609"/>
      <c r="BGA258" s="609"/>
      <c r="BGB258" s="609"/>
      <c r="BGC258" s="609"/>
      <c r="BGD258" s="609"/>
      <c r="BGE258" s="609"/>
      <c r="BGF258" s="609"/>
      <c r="BGG258" s="609"/>
      <c r="BGH258" s="609"/>
      <c r="BGI258" s="609"/>
      <c r="BGJ258" s="609"/>
      <c r="BGK258" s="609"/>
      <c r="BGL258" s="609"/>
      <c r="BGM258" s="609"/>
      <c r="BGN258" s="609"/>
      <c r="BGO258" s="609"/>
      <c r="BGP258" s="609"/>
      <c r="BGQ258" s="609"/>
      <c r="BGR258" s="609"/>
      <c r="BGS258" s="609"/>
      <c r="BGT258" s="609"/>
      <c r="BGU258" s="609"/>
      <c r="BGV258" s="609"/>
      <c r="BGW258" s="609"/>
      <c r="BGX258" s="609"/>
      <c r="BGY258" s="609"/>
      <c r="BGZ258" s="609"/>
      <c r="BHA258" s="609"/>
      <c r="BHB258" s="609"/>
      <c r="BHC258" s="609"/>
      <c r="BHD258" s="609"/>
      <c r="BHE258" s="609"/>
      <c r="BHF258" s="609"/>
      <c r="BHG258" s="609"/>
      <c r="BHH258" s="609"/>
      <c r="BHI258" s="609"/>
      <c r="BHJ258" s="609"/>
      <c r="BHK258" s="609"/>
      <c r="BHL258" s="609"/>
      <c r="BHM258" s="609"/>
      <c r="BHN258" s="609"/>
      <c r="BHO258" s="609"/>
      <c r="BHP258" s="609"/>
      <c r="BHQ258" s="609"/>
      <c r="BHR258" s="609"/>
      <c r="BHS258" s="609"/>
      <c r="BHT258" s="609"/>
      <c r="BHU258" s="609"/>
      <c r="BHV258" s="609"/>
      <c r="BHW258" s="609"/>
      <c r="BHX258" s="609"/>
      <c r="BHY258" s="609"/>
      <c r="BHZ258" s="609"/>
      <c r="BIA258" s="609"/>
      <c r="BIB258" s="609"/>
      <c r="BIC258" s="609"/>
      <c r="BID258" s="609"/>
      <c r="BIE258" s="609"/>
      <c r="BIF258" s="609"/>
      <c r="BIG258" s="609"/>
      <c r="BIH258" s="609"/>
      <c r="BII258" s="609"/>
      <c r="BIJ258" s="609"/>
      <c r="BIK258" s="609"/>
      <c r="BIL258" s="609"/>
      <c r="BIM258" s="609"/>
      <c r="BIN258" s="609"/>
      <c r="BIO258" s="609"/>
      <c r="BIP258" s="609"/>
      <c r="BIQ258" s="609"/>
      <c r="BIR258" s="609"/>
      <c r="BIS258" s="609"/>
      <c r="BIT258" s="609"/>
      <c r="BIU258" s="609"/>
      <c r="BIV258" s="609"/>
      <c r="BIW258" s="609"/>
      <c r="BIX258" s="609"/>
      <c r="BIY258" s="609"/>
      <c r="BIZ258" s="609"/>
      <c r="BJA258" s="609"/>
      <c r="BJB258" s="609"/>
      <c r="BJC258" s="609"/>
      <c r="BJD258" s="609"/>
      <c r="BJE258" s="609"/>
      <c r="BJF258" s="609"/>
      <c r="BJG258" s="609"/>
      <c r="BJH258" s="609"/>
      <c r="BJI258" s="609"/>
      <c r="BJJ258" s="609"/>
      <c r="BJK258" s="609"/>
      <c r="BJL258" s="609"/>
      <c r="BJM258" s="609"/>
      <c r="BJN258" s="609"/>
      <c r="BJO258" s="609"/>
      <c r="BJP258" s="609"/>
      <c r="BJQ258" s="609"/>
      <c r="BJR258" s="609"/>
      <c r="BJS258" s="609"/>
      <c r="BJT258" s="609"/>
      <c r="BJU258" s="609"/>
      <c r="BJV258" s="609"/>
      <c r="BJW258" s="609"/>
      <c r="BJX258" s="609"/>
      <c r="BJY258" s="609"/>
      <c r="BJZ258" s="609"/>
      <c r="BKA258" s="609"/>
      <c r="BKB258" s="609"/>
      <c r="BKC258" s="609"/>
      <c r="BKD258" s="609"/>
      <c r="BKE258" s="609"/>
      <c r="BKF258" s="609"/>
      <c r="BKG258" s="609"/>
      <c r="BKH258" s="609"/>
      <c r="BKI258" s="609"/>
      <c r="BKJ258" s="609"/>
      <c r="BKK258" s="609"/>
      <c r="BKL258" s="609"/>
      <c r="BKM258" s="609"/>
      <c r="BKN258" s="609"/>
      <c r="BKO258" s="609"/>
      <c r="BKP258" s="609"/>
      <c r="BKQ258" s="609"/>
      <c r="BKR258" s="609"/>
      <c r="BKS258" s="609"/>
      <c r="BKT258" s="609"/>
      <c r="BKU258" s="609"/>
      <c r="BKV258" s="609"/>
      <c r="BKW258" s="609"/>
      <c r="BKX258" s="609"/>
      <c r="BKY258" s="609"/>
      <c r="BKZ258" s="609"/>
      <c r="BLA258" s="609"/>
      <c r="BLB258" s="609"/>
      <c r="BLC258" s="609"/>
      <c r="BLD258" s="609"/>
      <c r="BLE258" s="609"/>
      <c r="BLF258" s="609"/>
      <c r="BLG258" s="609"/>
      <c r="BLH258" s="609"/>
      <c r="BLI258" s="609"/>
      <c r="BLJ258" s="609"/>
      <c r="BLK258" s="609"/>
      <c r="BLL258" s="609"/>
      <c r="BLM258" s="609"/>
      <c r="BLN258" s="609"/>
      <c r="BLO258" s="609"/>
      <c r="BLP258" s="609"/>
      <c r="BLQ258" s="609"/>
      <c r="BLR258" s="609"/>
      <c r="BLS258" s="609"/>
      <c r="BLT258" s="609"/>
      <c r="BLU258" s="609"/>
      <c r="BLV258" s="609"/>
      <c r="BLW258" s="609"/>
      <c r="BLX258" s="609"/>
      <c r="BLY258" s="609"/>
      <c r="BLZ258" s="609"/>
      <c r="BMA258" s="609"/>
      <c r="BMB258" s="609"/>
      <c r="BMC258" s="609"/>
      <c r="BMD258" s="609"/>
      <c r="BME258" s="609"/>
      <c r="BMF258" s="609"/>
      <c r="BMG258" s="609"/>
      <c r="BMH258" s="609"/>
      <c r="BMI258" s="609"/>
      <c r="BMJ258" s="609"/>
      <c r="BMK258" s="609"/>
      <c r="BML258" s="609"/>
      <c r="BMM258" s="609"/>
      <c r="BMN258" s="609"/>
      <c r="BMO258" s="609"/>
      <c r="BMP258" s="609"/>
      <c r="BMQ258" s="609"/>
      <c r="BMR258" s="609"/>
      <c r="BMS258" s="609"/>
      <c r="BMT258" s="609"/>
      <c r="BMU258" s="609"/>
      <c r="BMV258" s="609"/>
      <c r="BMW258" s="609"/>
      <c r="BMX258" s="609"/>
      <c r="BMY258" s="609"/>
      <c r="BMZ258" s="609"/>
      <c r="BNA258" s="609"/>
      <c r="BNB258" s="609"/>
      <c r="BNC258" s="609"/>
      <c r="BND258" s="609"/>
      <c r="BNE258" s="609"/>
      <c r="BNF258" s="609"/>
      <c r="BNG258" s="609"/>
      <c r="BNH258" s="609"/>
      <c r="BNI258" s="609"/>
      <c r="BNJ258" s="609"/>
      <c r="BNK258" s="609"/>
      <c r="BNL258" s="609"/>
      <c r="BNM258" s="609"/>
      <c r="BNN258" s="609"/>
      <c r="BNO258" s="609"/>
      <c r="BNP258" s="609"/>
      <c r="BNQ258" s="609"/>
      <c r="BNR258" s="609"/>
      <c r="BNS258" s="609"/>
      <c r="BNT258" s="609"/>
      <c r="BNU258" s="609"/>
      <c r="BNV258" s="609"/>
      <c r="BNW258" s="609"/>
      <c r="BNX258" s="609"/>
      <c r="BNY258" s="609"/>
      <c r="BNZ258" s="609"/>
      <c r="BOA258" s="609"/>
      <c r="BOB258" s="609"/>
      <c r="BOC258" s="609"/>
      <c r="BOD258" s="609"/>
      <c r="BOE258" s="609"/>
      <c r="BOF258" s="609"/>
      <c r="BOG258" s="609"/>
      <c r="BOH258" s="609"/>
      <c r="BOI258" s="609"/>
      <c r="BOJ258" s="609"/>
      <c r="BOK258" s="609"/>
      <c r="BOL258" s="609"/>
      <c r="BOM258" s="609"/>
      <c r="BON258" s="609"/>
      <c r="BOO258" s="609"/>
      <c r="BOP258" s="609"/>
      <c r="BOQ258" s="609"/>
      <c r="BOR258" s="609"/>
      <c r="BOS258" s="609"/>
      <c r="BOT258" s="609"/>
      <c r="BOU258" s="609"/>
      <c r="BOV258" s="609"/>
      <c r="BOW258" s="609"/>
      <c r="BOX258" s="609"/>
      <c r="BOY258" s="609"/>
      <c r="BOZ258" s="609"/>
      <c r="BPA258" s="609"/>
      <c r="BPB258" s="609"/>
      <c r="BPC258" s="609"/>
      <c r="BPD258" s="609"/>
      <c r="BPE258" s="609"/>
      <c r="BPF258" s="609"/>
      <c r="BPG258" s="609"/>
      <c r="BPH258" s="609"/>
      <c r="BPI258" s="609"/>
      <c r="BPJ258" s="609"/>
      <c r="BPK258" s="609"/>
      <c r="BPL258" s="609"/>
      <c r="BPM258" s="609"/>
      <c r="BPN258" s="609"/>
      <c r="BPO258" s="609"/>
      <c r="BPP258" s="609"/>
      <c r="BPQ258" s="609"/>
      <c r="BPR258" s="609"/>
      <c r="BPS258" s="609"/>
      <c r="BPT258" s="609"/>
      <c r="BPU258" s="609"/>
      <c r="BPV258" s="609"/>
      <c r="BPW258" s="609"/>
      <c r="BPX258" s="609"/>
      <c r="BPY258" s="609"/>
      <c r="BPZ258" s="609"/>
      <c r="BQA258" s="609"/>
      <c r="BQB258" s="609"/>
      <c r="BQC258" s="609"/>
      <c r="BQD258" s="609"/>
      <c r="BQE258" s="609"/>
      <c r="BQF258" s="609"/>
      <c r="BQG258" s="609"/>
      <c r="BQH258" s="609"/>
      <c r="BQI258" s="609"/>
      <c r="BQJ258" s="609"/>
      <c r="BQK258" s="609"/>
      <c r="BQL258" s="609"/>
      <c r="BQM258" s="609"/>
      <c r="BQN258" s="609"/>
      <c r="BQO258" s="609"/>
      <c r="BQP258" s="609"/>
      <c r="BQQ258" s="609"/>
      <c r="BQR258" s="609"/>
      <c r="BQS258" s="609"/>
      <c r="BQT258" s="609"/>
      <c r="BQU258" s="609"/>
      <c r="BQV258" s="609"/>
      <c r="BQW258" s="609"/>
      <c r="BQX258" s="609"/>
      <c r="BQY258" s="609"/>
      <c r="BQZ258" s="609"/>
      <c r="BRA258" s="609"/>
      <c r="BRB258" s="609"/>
      <c r="BRC258" s="609"/>
      <c r="BRD258" s="609"/>
      <c r="BRE258" s="609"/>
      <c r="BRF258" s="609"/>
      <c r="BRG258" s="609"/>
      <c r="BRH258" s="609"/>
      <c r="BRI258" s="609"/>
      <c r="BRJ258" s="609"/>
      <c r="BRK258" s="609"/>
      <c r="BRL258" s="609"/>
      <c r="BRM258" s="609"/>
      <c r="BRN258" s="609"/>
      <c r="BRO258" s="609"/>
      <c r="BRP258" s="609"/>
      <c r="BRQ258" s="609"/>
      <c r="BRR258" s="609"/>
      <c r="BRS258" s="609"/>
      <c r="BRT258" s="609"/>
      <c r="BRU258" s="609"/>
      <c r="BRV258" s="609"/>
      <c r="BRW258" s="609"/>
      <c r="BRX258" s="609"/>
      <c r="BRY258" s="609"/>
      <c r="BRZ258" s="609"/>
      <c r="BSA258" s="609"/>
      <c r="BSB258" s="609"/>
      <c r="BSC258" s="609"/>
      <c r="BSD258" s="609"/>
      <c r="BSE258" s="609"/>
      <c r="BSF258" s="609"/>
      <c r="BSG258" s="609"/>
      <c r="BSH258" s="609"/>
      <c r="BSI258" s="609"/>
      <c r="BSJ258" s="609"/>
      <c r="BSK258" s="609"/>
      <c r="BSL258" s="609"/>
      <c r="BSM258" s="609"/>
      <c r="BSN258" s="609"/>
      <c r="BSO258" s="609"/>
      <c r="BSP258" s="609"/>
      <c r="BSQ258" s="609"/>
      <c r="BSR258" s="609"/>
      <c r="BSS258" s="609"/>
      <c r="BST258" s="609"/>
      <c r="BSU258" s="609"/>
      <c r="BSV258" s="609"/>
      <c r="BSW258" s="609"/>
      <c r="BSX258" s="609"/>
      <c r="BSY258" s="609"/>
      <c r="BSZ258" s="609"/>
      <c r="BTA258" s="609"/>
      <c r="BTB258" s="609"/>
      <c r="BTC258" s="609"/>
      <c r="BTD258" s="609"/>
      <c r="BTE258" s="609"/>
      <c r="BTF258" s="609"/>
      <c r="BTG258" s="609"/>
      <c r="BTH258" s="609"/>
      <c r="BTI258" s="609"/>
      <c r="BTJ258" s="609"/>
      <c r="BTK258" s="609"/>
      <c r="BTL258" s="609"/>
      <c r="BTM258" s="609"/>
      <c r="BTN258" s="609"/>
      <c r="BTO258" s="609"/>
      <c r="BTP258" s="609"/>
      <c r="BTQ258" s="609"/>
      <c r="BTR258" s="609"/>
      <c r="BTS258" s="609"/>
      <c r="BTT258" s="609"/>
      <c r="BTU258" s="609"/>
      <c r="BTV258" s="609"/>
      <c r="BTW258" s="609"/>
      <c r="BTX258" s="609"/>
      <c r="BTY258" s="609"/>
      <c r="BTZ258" s="609"/>
      <c r="BUA258" s="609"/>
      <c r="BUB258" s="609"/>
      <c r="BUC258" s="609"/>
      <c r="BUD258" s="609"/>
      <c r="BUE258" s="609"/>
      <c r="BUF258" s="609"/>
      <c r="BUG258" s="609"/>
      <c r="BUH258" s="609"/>
      <c r="BUI258" s="609"/>
      <c r="BUJ258" s="609"/>
      <c r="BUK258" s="609"/>
      <c r="BUL258" s="609"/>
      <c r="BUM258" s="609"/>
      <c r="BUN258" s="609"/>
      <c r="BUO258" s="609"/>
      <c r="BUP258" s="609"/>
      <c r="BUQ258" s="609"/>
      <c r="BUR258" s="609"/>
      <c r="BUS258" s="609"/>
      <c r="BUT258" s="609"/>
      <c r="BUU258" s="609"/>
      <c r="BUV258" s="609"/>
      <c r="BUW258" s="609"/>
      <c r="BUX258" s="609"/>
      <c r="BUY258" s="609"/>
      <c r="BUZ258" s="609"/>
      <c r="BVA258" s="609"/>
      <c r="BVB258" s="609"/>
      <c r="BVC258" s="609"/>
      <c r="BVD258" s="609"/>
      <c r="BVE258" s="609"/>
      <c r="BVF258" s="609"/>
      <c r="BVG258" s="609"/>
      <c r="BVH258" s="609"/>
      <c r="BVI258" s="609"/>
      <c r="BVJ258" s="609"/>
      <c r="BVK258" s="609"/>
      <c r="BVL258" s="609"/>
      <c r="BVM258" s="609"/>
      <c r="BVN258" s="609"/>
      <c r="BVO258" s="609"/>
      <c r="BVP258" s="609"/>
      <c r="BVQ258" s="609"/>
      <c r="BVR258" s="609"/>
      <c r="BVS258" s="609"/>
      <c r="BVT258" s="609"/>
      <c r="BVU258" s="609"/>
      <c r="BVV258" s="609"/>
      <c r="BVW258" s="609"/>
      <c r="BVX258" s="609"/>
      <c r="BVY258" s="609"/>
      <c r="BVZ258" s="609"/>
      <c r="BWA258" s="609"/>
      <c r="BWB258" s="609"/>
      <c r="BWC258" s="609"/>
      <c r="BWD258" s="609"/>
      <c r="BWE258" s="609"/>
      <c r="BWF258" s="609"/>
      <c r="BWG258" s="609"/>
      <c r="BWH258" s="609"/>
      <c r="BWI258" s="609"/>
      <c r="BWJ258" s="609"/>
      <c r="BWK258" s="609"/>
      <c r="BWL258" s="609"/>
      <c r="BWM258" s="609"/>
      <c r="BWN258" s="609"/>
      <c r="BWO258" s="609"/>
      <c r="BWP258" s="609"/>
      <c r="BWQ258" s="609"/>
      <c r="BWR258" s="609"/>
      <c r="BWS258" s="609"/>
      <c r="BWT258" s="609"/>
      <c r="BWU258" s="609"/>
      <c r="BWV258" s="609"/>
      <c r="BWW258" s="609"/>
      <c r="BWX258" s="609"/>
      <c r="BWY258" s="609"/>
      <c r="BWZ258" s="609"/>
      <c r="BXA258" s="609"/>
      <c r="BXB258" s="609"/>
      <c r="BXC258" s="609"/>
      <c r="BXD258" s="609"/>
      <c r="BXE258" s="609"/>
      <c r="BXF258" s="609"/>
      <c r="BXG258" s="609"/>
      <c r="BXH258" s="609"/>
      <c r="BXI258" s="609"/>
      <c r="BXJ258" s="609"/>
      <c r="BXK258" s="609"/>
      <c r="BXL258" s="609"/>
      <c r="BXM258" s="609"/>
      <c r="BXN258" s="609"/>
      <c r="BXO258" s="609"/>
      <c r="BXP258" s="609"/>
      <c r="BXQ258" s="609"/>
      <c r="BXR258" s="609"/>
      <c r="BXS258" s="609"/>
      <c r="BXT258" s="609"/>
      <c r="BXU258" s="609"/>
      <c r="BXV258" s="609"/>
      <c r="BXW258" s="609"/>
      <c r="BXX258" s="609"/>
      <c r="BXY258" s="609"/>
      <c r="BXZ258" s="609"/>
      <c r="BYA258" s="609"/>
      <c r="BYB258" s="609"/>
      <c r="BYC258" s="609"/>
      <c r="BYD258" s="609"/>
      <c r="BYE258" s="609"/>
      <c r="BYF258" s="609"/>
      <c r="BYG258" s="609"/>
      <c r="BYH258" s="609"/>
      <c r="BYI258" s="609"/>
      <c r="BYJ258" s="609"/>
      <c r="BYK258" s="609"/>
      <c r="BYL258" s="609"/>
      <c r="BYM258" s="609"/>
      <c r="BYN258" s="609"/>
      <c r="BYO258" s="609"/>
      <c r="BYP258" s="609"/>
      <c r="BYQ258" s="609"/>
      <c r="BYR258" s="609"/>
      <c r="BYS258" s="609"/>
      <c r="BYT258" s="609"/>
      <c r="BYU258" s="609"/>
      <c r="BYV258" s="609"/>
      <c r="BYW258" s="609"/>
      <c r="BYX258" s="609"/>
      <c r="BYY258" s="609"/>
      <c r="BYZ258" s="609"/>
      <c r="BZA258" s="609"/>
      <c r="BZB258" s="609"/>
      <c r="BZC258" s="609"/>
      <c r="BZD258" s="609"/>
      <c r="BZE258" s="609"/>
      <c r="BZF258" s="609"/>
      <c r="BZG258" s="609"/>
      <c r="BZH258" s="609"/>
      <c r="BZI258" s="609"/>
      <c r="BZJ258" s="609"/>
      <c r="BZK258" s="609"/>
      <c r="BZL258" s="609"/>
      <c r="BZM258" s="609"/>
      <c r="BZN258" s="609"/>
      <c r="BZO258" s="609"/>
      <c r="BZP258" s="609"/>
      <c r="BZQ258" s="609"/>
      <c r="BZR258" s="609"/>
      <c r="BZS258" s="609"/>
      <c r="BZT258" s="609"/>
      <c r="BZU258" s="609"/>
      <c r="BZV258" s="609"/>
      <c r="BZW258" s="609"/>
      <c r="BZX258" s="609"/>
      <c r="BZY258" s="609"/>
      <c r="BZZ258" s="609"/>
      <c r="CAA258" s="609"/>
      <c r="CAB258" s="609"/>
      <c r="CAC258" s="609"/>
      <c r="CAD258" s="609"/>
      <c r="CAE258" s="609"/>
      <c r="CAF258" s="609"/>
      <c r="CAG258" s="609"/>
      <c r="CAH258" s="609"/>
      <c r="CAI258" s="609"/>
      <c r="CAJ258" s="609"/>
      <c r="CAK258" s="609"/>
      <c r="CAL258" s="609"/>
      <c r="CAM258" s="609"/>
      <c r="CAN258" s="609"/>
      <c r="CAO258" s="609"/>
      <c r="CAP258" s="609"/>
      <c r="CAQ258" s="609"/>
      <c r="CAR258" s="609"/>
      <c r="CAS258" s="609"/>
      <c r="CAT258" s="609"/>
      <c r="CAU258" s="609"/>
      <c r="CAV258" s="609"/>
      <c r="CAW258" s="609"/>
      <c r="CAX258" s="609"/>
      <c r="CAY258" s="609"/>
      <c r="CAZ258" s="609"/>
      <c r="CBA258" s="609"/>
      <c r="CBB258" s="609"/>
      <c r="CBC258" s="609"/>
      <c r="CBD258" s="609"/>
      <c r="CBE258" s="609"/>
      <c r="CBF258" s="609"/>
      <c r="CBG258" s="609"/>
      <c r="CBH258" s="609"/>
      <c r="CBI258" s="609"/>
      <c r="CBJ258" s="609"/>
      <c r="CBK258" s="609"/>
      <c r="CBL258" s="609"/>
      <c r="CBM258" s="609"/>
      <c r="CBN258" s="609"/>
      <c r="CBO258" s="609"/>
      <c r="CBP258" s="609"/>
      <c r="CBQ258" s="609"/>
      <c r="CBR258" s="609"/>
      <c r="CBS258" s="609"/>
      <c r="CBT258" s="609"/>
      <c r="CBU258" s="609"/>
      <c r="CBV258" s="609"/>
      <c r="CBW258" s="609"/>
      <c r="CBX258" s="609"/>
      <c r="CBY258" s="609"/>
      <c r="CBZ258" s="609"/>
      <c r="CCA258" s="609"/>
      <c r="CCB258" s="609"/>
      <c r="CCC258" s="609"/>
      <c r="CCD258" s="609"/>
      <c r="CCE258" s="609"/>
      <c r="CCF258" s="609"/>
      <c r="CCG258" s="609"/>
      <c r="CCH258" s="609"/>
      <c r="CCI258" s="609"/>
      <c r="CCJ258" s="609"/>
      <c r="CCK258" s="609"/>
      <c r="CCL258" s="609"/>
      <c r="CCM258" s="609"/>
      <c r="CCN258" s="609"/>
      <c r="CCO258" s="609"/>
      <c r="CCP258" s="609"/>
      <c r="CCQ258" s="609"/>
      <c r="CCR258" s="609"/>
      <c r="CCS258" s="609"/>
      <c r="CCT258" s="609"/>
      <c r="CCU258" s="609"/>
      <c r="CCV258" s="609"/>
      <c r="CCW258" s="609"/>
      <c r="CCX258" s="609"/>
      <c r="CCY258" s="609"/>
      <c r="CCZ258" s="609"/>
      <c r="CDA258" s="609"/>
      <c r="CDB258" s="609"/>
      <c r="CDC258" s="609"/>
      <c r="CDD258" s="609"/>
      <c r="CDE258" s="609"/>
      <c r="CDF258" s="609"/>
      <c r="CDG258" s="609"/>
      <c r="CDH258" s="609"/>
      <c r="CDI258" s="609"/>
      <c r="CDJ258" s="609"/>
      <c r="CDK258" s="609"/>
      <c r="CDL258" s="609"/>
      <c r="CDM258" s="609"/>
      <c r="CDN258" s="609"/>
      <c r="CDO258" s="609"/>
      <c r="CDP258" s="609"/>
      <c r="CDQ258" s="609"/>
      <c r="CDR258" s="609"/>
      <c r="CDS258" s="609"/>
      <c r="CDT258" s="609"/>
      <c r="CDU258" s="609"/>
      <c r="CDV258" s="609"/>
      <c r="CDW258" s="609"/>
      <c r="CDX258" s="609"/>
      <c r="CDY258" s="609"/>
      <c r="CDZ258" s="609"/>
      <c r="CEA258" s="609"/>
      <c r="CEB258" s="609"/>
      <c r="CEC258" s="609"/>
      <c r="CED258" s="609"/>
      <c r="CEE258" s="609"/>
      <c r="CEF258" s="609"/>
      <c r="CEG258" s="609"/>
      <c r="CEH258" s="609"/>
      <c r="CEI258" s="609"/>
      <c r="CEJ258" s="609"/>
      <c r="CEK258" s="609"/>
      <c r="CEL258" s="609"/>
      <c r="CEM258" s="609"/>
      <c r="CEN258" s="609"/>
      <c r="CEO258" s="609"/>
      <c r="CEP258" s="609"/>
      <c r="CEQ258" s="609"/>
      <c r="CER258" s="609"/>
      <c r="CES258" s="609"/>
      <c r="CET258" s="609"/>
      <c r="CEU258" s="609"/>
      <c r="CEV258" s="609"/>
      <c r="CEW258" s="609"/>
      <c r="CEX258" s="609"/>
      <c r="CEY258" s="609"/>
      <c r="CEZ258" s="609"/>
      <c r="CFA258" s="609"/>
      <c r="CFB258" s="609"/>
      <c r="CFC258" s="609"/>
      <c r="CFD258" s="609"/>
      <c r="CFE258" s="609"/>
      <c r="CFF258" s="609"/>
      <c r="CFG258" s="609"/>
      <c r="CFH258" s="609"/>
      <c r="CFI258" s="609"/>
      <c r="CFJ258" s="609"/>
      <c r="CFK258" s="609"/>
      <c r="CFL258" s="609"/>
      <c r="CFM258" s="609"/>
      <c r="CFN258" s="609"/>
      <c r="CFO258" s="609"/>
      <c r="CFP258" s="609"/>
      <c r="CFQ258" s="609"/>
      <c r="CFR258" s="609"/>
      <c r="CFS258" s="609"/>
      <c r="CFT258" s="609"/>
      <c r="CFU258" s="609"/>
      <c r="CFV258" s="609"/>
      <c r="CFW258" s="609"/>
      <c r="CFX258" s="609"/>
      <c r="CFY258" s="609"/>
      <c r="CFZ258" s="609"/>
      <c r="CGA258" s="609"/>
      <c r="CGB258" s="609"/>
      <c r="CGC258" s="609"/>
      <c r="CGD258" s="609"/>
      <c r="CGE258" s="609"/>
      <c r="CGF258" s="609"/>
      <c r="CGG258" s="609"/>
      <c r="CGH258" s="609"/>
      <c r="CGI258" s="609"/>
      <c r="CGJ258" s="609"/>
      <c r="CGK258" s="609"/>
      <c r="CGL258" s="609"/>
      <c r="CGM258" s="609"/>
      <c r="CGN258" s="609"/>
      <c r="CGO258" s="609"/>
      <c r="CGP258" s="609"/>
      <c r="CGQ258" s="609"/>
      <c r="CGR258" s="609"/>
      <c r="CGS258" s="609"/>
      <c r="CGT258" s="609"/>
      <c r="CGU258" s="609"/>
      <c r="CGV258" s="609"/>
      <c r="CGW258" s="609"/>
      <c r="CGX258" s="609"/>
      <c r="CGY258" s="609"/>
      <c r="CGZ258" s="609"/>
      <c r="CHA258" s="609"/>
      <c r="CHB258" s="609"/>
      <c r="CHC258" s="609"/>
      <c r="CHD258" s="609"/>
      <c r="CHE258" s="609"/>
      <c r="CHF258" s="609"/>
      <c r="CHG258" s="609"/>
      <c r="CHH258" s="609"/>
      <c r="CHI258" s="609"/>
      <c r="CHJ258" s="609"/>
      <c r="CHK258" s="609"/>
      <c r="CHL258" s="609"/>
      <c r="CHM258" s="609"/>
      <c r="CHN258" s="609"/>
      <c r="CHO258" s="609"/>
      <c r="CHP258" s="609"/>
      <c r="CHQ258" s="609"/>
      <c r="CHR258" s="609"/>
      <c r="CHS258" s="609"/>
      <c r="CHT258" s="609"/>
      <c r="CHU258" s="609"/>
      <c r="CHV258" s="609"/>
      <c r="CHW258" s="609"/>
      <c r="CHX258" s="609"/>
      <c r="CHY258" s="609"/>
      <c r="CHZ258" s="609"/>
      <c r="CIA258" s="609"/>
      <c r="CIB258" s="609"/>
      <c r="CIC258" s="609"/>
      <c r="CID258" s="609"/>
      <c r="CIE258" s="609"/>
      <c r="CIF258" s="609"/>
      <c r="CIG258" s="609"/>
      <c r="CIH258" s="609"/>
      <c r="CII258" s="609"/>
      <c r="CIJ258" s="609"/>
      <c r="CIK258" s="609"/>
      <c r="CIL258" s="609"/>
      <c r="CIM258" s="609"/>
      <c r="CIN258" s="609"/>
      <c r="CIO258" s="609"/>
      <c r="CIP258" s="609"/>
      <c r="CIQ258" s="609"/>
      <c r="CIR258" s="609"/>
      <c r="CIS258" s="609"/>
      <c r="CIT258" s="609"/>
      <c r="CIU258" s="609"/>
      <c r="CIV258" s="609"/>
      <c r="CIW258" s="609"/>
      <c r="CIX258" s="609"/>
      <c r="CIY258" s="609"/>
      <c r="CIZ258" s="609"/>
      <c r="CJA258" s="609"/>
      <c r="CJB258" s="609"/>
      <c r="CJC258" s="609"/>
      <c r="CJD258" s="609"/>
      <c r="CJE258" s="609"/>
      <c r="CJF258" s="609"/>
      <c r="CJG258" s="609"/>
      <c r="CJH258" s="609"/>
      <c r="CJI258" s="609"/>
      <c r="CJJ258" s="609"/>
      <c r="CJK258" s="609"/>
      <c r="CJL258" s="609"/>
      <c r="CJM258" s="609"/>
      <c r="CJN258" s="609"/>
      <c r="CJO258" s="609"/>
      <c r="CJP258" s="609"/>
      <c r="CJQ258" s="609"/>
      <c r="CJR258" s="609"/>
      <c r="CJS258" s="609"/>
      <c r="CJT258" s="609"/>
      <c r="CJU258" s="609"/>
      <c r="CJV258" s="609"/>
      <c r="CJW258" s="609"/>
      <c r="CJX258" s="609"/>
      <c r="CJY258" s="609"/>
      <c r="CJZ258" s="609"/>
      <c r="CKA258" s="609"/>
      <c r="CKB258" s="609"/>
      <c r="CKC258" s="609"/>
      <c r="CKD258" s="609"/>
      <c r="CKE258" s="609"/>
      <c r="CKF258" s="609"/>
      <c r="CKG258" s="609"/>
      <c r="CKH258" s="609"/>
      <c r="CKI258" s="609"/>
      <c r="CKJ258" s="609"/>
      <c r="CKK258" s="609"/>
      <c r="CKL258" s="609"/>
      <c r="CKM258" s="609"/>
      <c r="CKN258" s="609"/>
      <c r="CKO258" s="609"/>
      <c r="CKP258" s="609"/>
      <c r="CKQ258" s="609"/>
      <c r="CKR258" s="609"/>
      <c r="CKS258" s="609"/>
      <c r="CKT258" s="609"/>
      <c r="CKU258" s="609"/>
      <c r="CKV258" s="609"/>
      <c r="CKW258" s="609"/>
      <c r="CKX258" s="609"/>
      <c r="CKY258" s="609"/>
      <c r="CKZ258" s="609"/>
      <c r="CLA258" s="609"/>
      <c r="CLB258" s="609"/>
      <c r="CLC258" s="609"/>
      <c r="CLD258" s="609"/>
      <c r="CLE258" s="609"/>
      <c r="CLF258" s="609"/>
      <c r="CLG258" s="609"/>
      <c r="CLH258" s="609"/>
      <c r="CLI258" s="609"/>
      <c r="CLJ258" s="609"/>
      <c r="CLK258" s="609"/>
      <c r="CLL258" s="609"/>
      <c r="CLM258" s="609"/>
      <c r="CLN258" s="609"/>
      <c r="CLO258" s="609"/>
      <c r="CLP258" s="609"/>
      <c r="CLQ258" s="609"/>
      <c r="CLR258" s="609"/>
      <c r="CLS258" s="609"/>
      <c r="CLT258" s="609"/>
      <c r="CLU258" s="609"/>
      <c r="CLV258" s="609"/>
      <c r="CLW258" s="609"/>
      <c r="CLX258" s="609"/>
      <c r="CLY258" s="609"/>
      <c r="CLZ258" s="609"/>
      <c r="CMA258" s="609"/>
      <c r="CMB258" s="609"/>
      <c r="CMC258" s="609"/>
      <c r="CMD258" s="609"/>
      <c r="CME258" s="609"/>
      <c r="CMF258" s="609"/>
      <c r="CMG258" s="609"/>
      <c r="CMH258" s="609"/>
      <c r="CMI258" s="609"/>
      <c r="CMJ258" s="609"/>
      <c r="CMK258" s="609"/>
      <c r="CML258" s="609"/>
      <c r="CMM258" s="609"/>
      <c r="CMN258" s="609"/>
      <c r="CMO258" s="609"/>
      <c r="CMP258" s="609"/>
      <c r="CMQ258" s="609"/>
      <c r="CMR258" s="609"/>
      <c r="CMS258" s="609"/>
      <c r="CMT258" s="609"/>
      <c r="CMU258" s="609"/>
      <c r="CMV258" s="609"/>
      <c r="CMW258" s="609"/>
      <c r="CMX258" s="609"/>
      <c r="CMY258" s="609"/>
      <c r="CMZ258" s="609"/>
      <c r="CNA258" s="609"/>
      <c r="CNB258" s="609"/>
      <c r="CNC258" s="609"/>
      <c r="CND258" s="609"/>
      <c r="CNE258" s="609"/>
      <c r="CNF258" s="609"/>
      <c r="CNG258" s="609"/>
      <c r="CNH258" s="609"/>
      <c r="CNI258" s="609"/>
      <c r="CNJ258" s="609"/>
      <c r="CNK258" s="609"/>
      <c r="CNL258" s="609"/>
      <c r="CNM258" s="609"/>
      <c r="CNN258" s="609"/>
      <c r="CNO258" s="609"/>
      <c r="CNP258" s="609"/>
      <c r="CNQ258" s="609"/>
      <c r="CNR258" s="609"/>
      <c r="CNS258" s="609"/>
      <c r="CNT258" s="609"/>
      <c r="CNU258" s="609"/>
      <c r="CNV258" s="609"/>
      <c r="CNW258" s="609"/>
      <c r="CNX258" s="609"/>
      <c r="CNY258" s="609"/>
      <c r="CNZ258" s="609"/>
      <c r="COA258" s="609"/>
      <c r="COB258" s="609"/>
      <c r="COC258" s="609"/>
      <c r="COD258" s="609"/>
      <c r="COE258" s="609"/>
      <c r="COF258" s="609"/>
      <c r="COG258" s="609"/>
      <c r="COH258" s="609"/>
      <c r="COI258" s="609"/>
      <c r="COJ258" s="609"/>
      <c r="COK258" s="609"/>
      <c r="COL258" s="609"/>
      <c r="COM258" s="609"/>
      <c r="CON258" s="609"/>
      <c r="COO258" s="609"/>
      <c r="COP258" s="609"/>
      <c r="COQ258" s="609"/>
      <c r="COR258" s="609"/>
      <c r="COS258" s="609"/>
      <c r="COT258" s="609"/>
      <c r="COU258" s="609"/>
      <c r="COV258" s="609"/>
      <c r="COW258" s="609"/>
      <c r="COX258" s="609"/>
      <c r="COY258" s="609"/>
      <c r="COZ258" s="609"/>
      <c r="CPA258" s="609"/>
      <c r="CPB258" s="609"/>
      <c r="CPC258" s="609"/>
      <c r="CPD258" s="609"/>
      <c r="CPE258" s="609"/>
      <c r="CPF258" s="609"/>
      <c r="CPG258" s="609"/>
      <c r="CPH258" s="609"/>
      <c r="CPI258" s="609"/>
      <c r="CPJ258" s="609"/>
      <c r="CPK258" s="609"/>
      <c r="CPL258" s="609"/>
      <c r="CPM258" s="609"/>
      <c r="CPN258" s="609"/>
      <c r="CPO258" s="609"/>
      <c r="CPP258" s="609"/>
      <c r="CPQ258" s="609"/>
      <c r="CPR258" s="609"/>
      <c r="CPS258" s="609"/>
      <c r="CPT258" s="609"/>
      <c r="CPU258" s="609"/>
      <c r="CPV258" s="609"/>
      <c r="CPW258" s="609"/>
      <c r="CPX258" s="609"/>
      <c r="CPY258" s="609"/>
      <c r="CPZ258" s="609"/>
      <c r="CQA258" s="609"/>
      <c r="CQB258" s="609"/>
      <c r="CQC258" s="609"/>
      <c r="CQD258" s="609"/>
      <c r="CQE258" s="609"/>
      <c r="CQF258" s="609"/>
      <c r="CQG258" s="609"/>
      <c r="CQH258" s="609"/>
      <c r="CQI258" s="609"/>
      <c r="CQJ258" s="609"/>
      <c r="CQK258" s="609"/>
      <c r="CQL258" s="609"/>
      <c r="CQM258" s="609"/>
      <c r="CQN258" s="609"/>
      <c r="CQO258" s="609"/>
      <c r="CQP258" s="609"/>
      <c r="CQQ258" s="609"/>
      <c r="CQR258" s="609"/>
      <c r="CQS258" s="609"/>
      <c r="CQT258" s="609"/>
      <c r="CQU258" s="609"/>
      <c r="CQV258" s="609"/>
      <c r="CQW258" s="609"/>
      <c r="CQX258" s="609"/>
      <c r="CQY258" s="609"/>
      <c r="CQZ258" s="609"/>
      <c r="CRA258" s="609"/>
      <c r="CRB258" s="609"/>
      <c r="CRC258" s="609"/>
      <c r="CRD258" s="609"/>
      <c r="CRE258" s="609"/>
      <c r="CRF258" s="609"/>
      <c r="CRG258" s="609"/>
      <c r="CRH258" s="609"/>
      <c r="CRI258" s="609"/>
      <c r="CRJ258" s="609"/>
      <c r="CRK258" s="609"/>
      <c r="CRL258" s="609"/>
      <c r="CRM258" s="609"/>
      <c r="CRN258" s="609"/>
      <c r="CRO258" s="609"/>
      <c r="CRP258" s="609"/>
      <c r="CRQ258" s="609"/>
      <c r="CRR258" s="609"/>
      <c r="CRS258" s="609"/>
      <c r="CRT258" s="609"/>
      <c r="CRU258" s="609"/>
      <c r="CRV258" s="609"/>
      <c r="CRW258" s="609"/>
      <c r="CRX258" s="609"/>
      <c r="CRY258" s="609"/>
      <c r="CRZ258" s="609"/>
      <c r="CSA258" s="609"/>
      <c r="CSB258" s="609"/>
      <c r="CSC258" s="609"/>
      <c r="CSD258" s="609"/>
      <c r="CSE258" s="609"/>
      <c r="CSF258" s="609"/>
      <c r="CSG258" s="609"/>
      <c r="CSH258" s="609"/>
      <c r="CSI258" s="609"/>
      <c r="CSJ258" s="609"/>
      <c r="CSK258" s="609"/>
      <c r="CSL258" s="609"/>
      <c r="CSM258" s="609"/>
      <c r="CSN258" s="609"/>
      <c r="CSO258" s="609"/>
      <c r="CSP258" s="609"/>
      <c r="CSQ258" s="609"/>
      <c r="CSR258" s="609"/>
      <c r="CSS258" s="609"/>
      <c r="CST258" s="609"/>
      <c r="CSU258" s="609"/>
      <c r="CSV258" s="609"/>
      <c r="CSW258" s="609"/>
      <c r="CSX258" s="609"/>
      <c r="CSY258" s="609"/>
      <c r="CSZ258" s="609"/>
      <c r="CTA258" s="609"/>
      <c r="CTB258" s="609"/>
      <c r="CTC258" s="609"/>
      <c r="CTD258" s="609"/>
      <c r="CTE258" s="609"/>
      <c r="CTF258" s="609"/>
      <c r="CTG258" s="609"/>
      <c r="CTH258" s="609"/>
      <c r="CTI258" s="609"/>
      <c r="CTJ258" s="609"/>
      <c r="CTK258" s="609"/>
      <c r="CTL258" s="609"/>
      <c r="CTM258" s="609"/>
      <c r="CTN258" s="609"/>
      <c r="CTO258" s="609"/>
      <c r="CTP258" s="609"/>
      <c r="CTQ258" s="609"/>
      <c r="CTR258" s="609"/>
      <c r="CTS258" s="609"/>
      <c r="CTT258" s="609"/>
      <c r="CTU258" s="609"/>
      <c r="CTV258" s="609"/>
      <c r="CTW258" s="609"/>
      <c r="CTX258" s="609"/>
      <c r="CTY258" s="609"/>
      <c r="CTZ258" s="609"/>
      <c r="CUA258" s="609"/>
      <c r="CUB258" s="609"/>
      <c r="CUC258" s="609"/>
      <c r="CUD258" s="609"/>
      <c r="CUE258" s="609"/>
      <c r="CUF258" s="609"/>
      <c r="CUG258" s="609"/>
      <c r="CUH258" s="609"/>
      <c r="CUI258" s="609"/>
      <c r="CUJ258" s="609"/>
      <c r="CUK258" s="609"/>
      <c r="CUL258" s="609"/>
      <c r="CUM258" s="609"/>
      <c r="CUN258" s="609"/>
      <c r="CUO258" s="609"/>
      <c r="CUP258" s="609"/>
      <c r="CUQ258" s="609"/>
      <c r="CUR258" s="609"/>
      <c r="CUS258" s="609"/>
      <c r="CUT258" s="609"/>
      <c r="CUU258" s="609"/>
      <c r="CUV258" s="609"/>
      <c r="CUW258" s="609"/>
      <c r="CUX258" s="609"/>
      <c r="CUY258" s="609"/>
      <c r="CUZ258" s="609"/>
      <c r="CVA258" s="609"/>
      <c r="CVB258" s="609"/>
      <c r="CVC258" s="609"/>
      <c r="CVD258" s="609"/>
      <c r="CVE258" s="609"/>
      <c r="CVF258" s="609"/>
      <c r="CVG258" s="609"/>
      <c r="CVH258" s="609"/>
      <c r="CVI258" s="609"/>
      <c r="CVJ258" s="609"/>
      <c r="CVK258" s="609"/>
      <c r="CVL258" s="609"/>
      <c r="CVM258" s="609"/>
      <c r="CVN258" s="609"/>
      <c r="CVO258" s="609"/>
      <c r="CVP258" s="609"/>
      <c r="CVQ258" s="609"/>
      <c r="CVR258" s="609"/>
      <c r="CVS258" s="609"/>
      <c r="CVT258" s="609"/>
      <c r="CVU258" s="609"/>
      <c r="CVV258" s="609"/>
      <c r="CVW258" s="609"/>
      <c r="CVX258" s="609"/>
      <c r="CVY258" s="609"/>
      <c r="CVZ258" s="609"/>
      <c r="CWA258" s="609"/>
      <c r="CWB258" s="609"/>
      <c r="CWC258" s="609"/>
      <c r="CWD258" s="609"/>
      <c r="CWE258" s="609"/>
      <c r="CWF258" s="609"/>
      <c r="CWG258" s="609"/>
      <c r="CWH258" s="609"/>
      <c r="CWI258" s="609"/>
      <c r="CWJ258" s="609"/>
      <c r="CWK258" s="609"/>
      <c r="CWL258" s="609"/>
      <c r="CWM258" s="609"/>
      <c r="CWN258" s="609"/>
      <c r="CWO258" s="609"/>
      <c r="CWP258" s="609"/>
      <c r="CWQ258" s="609"/>
      <c r="CWR258" s="609"/>
      <c r="CWS258" s="609"/>
      <c r="CWT258" s="609"/>
      <c r="CWU258" s="609"/>
      <c r="CWV258" s="609"/>
      <c r="CWW258" s="609"/>
      <c r="CWX258" s="609"/>
      <c r="CWY258" s="609"/>
      <c r="CWZ258" s="609"/>
      <c r="CXA258" s="609"/>
      <c r="CXB258" s="609"/>
      <c r="CXC258" s="609"/>
      <c r="CXD258" s="609"/>
      <c r="CXE258" s="609"/>
      <c r="CXF258" s="609"/>
      <c r="CXG258" s="609"/>
      <c r="CXH258" s="609"/>
      <c r="CXI258" s="609"/>
      <c r="CXJ258" s="609"/>
      <c r="CXK258" s="609"/>
      <c r="CXL258" s="609"/>
      <c r="CXM258" s="609"/>
      <c r="CXN258" s="609"/>
      <c r="CXO258" s="609"/>
      <c r="CXP258" s="609"/>
      <c r="CXQ258" s="609"/>
      <c r="CXR258" s="609"/>
      <c r="CXS258" s="609"/>
      <c r="CXT258" s="609"/>
      <c r="CXU258" s="609"/>
      <c r="CXV258" s="609"/>
      <c r="CXW258" s="609"/>
      <c r="CXX258" s="609"/>
      <c r="CXY258" s="609"/>
      <c r="CXZ258" s="609"/>
      <c r="CYA258" s="609"/>
      <c r="CYB258" s="609"/>
      <c r="CYC258" s="609"/>
      <c r="CYD258" s="609"/>
      <c r="CYE258" s="609"/>
      <c r="CYF258" s="609"/>
      <c r="CYG258" s="609"/>
      <c r="CYH258" s="609"/>
      <c r="CYI258" s="609"/>
      <c r="CYJ258" s="609"/>
      <c r="CYK258" s="609"/>
      <c r="CYL258" s="609"/>
      <c r="CYM258" s="609"/>
      <c r="CYN258" s="609"/>
      <c r="CYO258" s="609"/>
      <c r="CYP258" s="609"/>
      <c r="CYQ258" s="609"/>
      <c r="CYR258" s="609"/>
      <c r="CYS258" s="609"/>
      <c r="CYT258" s="609"/>
      <c r="CYU258" s="609"/>
      <c r="CYV258" s="609"/>
      <c r="CYW258" s="609"/>
      <c r="CYX258" s="609"/>
      <c r="CYY258" s="609"/>
      <c r="CYZ258" s="609"/>
      <c r="CZA258" s="609"/>
      <c r="CZB258" s="609"/>
      <c r="CZC258" s="609"/>
      <c r="CZD258" s="609"/>
      <c r="CZE258" s="609"/>
      <c r="CZF258" s="609"/>
      <c r="CZG258" s="609"/>
      <c r="CZH258" s="609"/>
      <c r="CZI258" s="609"/>
      <c r="CZJ258" s="609"/>
      <c r="CZK258" s="609"/>
      <c r="CZL258" s="609"/>
      <c r="CZM258" s="609"/>
      <c r="CZN258" s="609"/>
      <c r="CZO258" s="609"/>
      <c r="CZP258" s="609"/>
      <c r="CZQ258" s="609"/>
      <c r="CZR258" s="609"/>
      <c r="CZS258" s="609"/>
      <c r="CZT258" s="609"/>
      <c r="CZU258" s="609"/>
      <c r="CZV258" s="609"/>
      <c r="CZW258" s="609"/>
      <c r="CZX258" s="609"/>
      <c r="CZY258" s="609"/>
      <c r="CZZ258" s="609"/>
      <c r="DAA258" s="609"/>
      <c r="DAB258" s="609"/>
      <c r="DAC258" s="609"/>
      <c r="DAD258" s="609"/>
      <c r="DAE258" s="609"/>
      <c r="DAF258" s="609"/>
      <c r="DAG258" s="609"/>
      <c r="DAH258" s="609"/>
      <c r="DAI258" s="609"/>
      <c r="DAJ258" s="609"/>
      <c r="DAK258" s="609"/>
      <c r="DAL258" s="609"/>
      <c r="DAM258" s="609"/>
      <c r="DAN258" s="609"/>
      <c r="DAO258" s="609"/>
      <c r="DAP258" s="609"/>
      <c r="DAQ258" s="609"/>
      <c r="DAR258" s="609"/>
      <c r="DAS258" s="609"/>
      <c r="DAT258" s="609"/>
      <c r="DAU258" s="609"/>
      <c r="DAV258" s="609"/>
      <c r="DAW258" s="609"/>
      <c r="DAX258" s="609"/>
      <c r="DAY258" s="609"/>
      <c r="DAZ258" s="609"/>
      <c r="DBA258" s="609"/>
      <c r="DBB258" s="609"/>
      <c r="DBC258" s="609"/>
      <c r="DBD258" s="609"/>
      <c r="DBE258" s="609"/>
      <c r="DBF258" s="609"/>
      <c r="DBG258" s="609"/>
      <c r="DBH258" s="609"/>
      <c r="DBI258" s="609"/>
      <c r="DBJ258" s="609"/>
      <c r="DBK258" s="609"/>
      <c r="DBL258" s="609"/>
      <c r="DBM258" s="609"/>
      <c r="DBN258" s="609"/>
      <c r="DBO258" s="609"/>
      <c r="DBP258" s="609"/>
      <c r="DBQ258" s="609"/>
      <c r="DBR258" s="609"/>
      <c r="DBS258" s="609"/>
      <c r="DBT258" s="609"/>
      <c r="DBU258" s="609"/>
      <c r="DBV258" s="609"/>
      <c r="DBW258" s="609"/>
      <c r="DBX258" s="609"/>
      <c r="DBY258" s="609"/>
      <c r="DBZ258" s="609"/>
      <c r="DCA258" s="609"/>
      <c r="DCB258" s="609"/>
      <c r="DCC258" s="609"/>
      <c r="DCD258" s="609"/>
      <c r="DCE258" s="609"/>
      <c r="DCF258" s="609"/>
      <c r="DCG258" s="609"/>
      <c r="DCH258" s="609"/>
      <c r="DCI258" s="609"/>
      <c r="DCJ258" s="609"/>
      <c r="DCK258" s="609"/>
      <c r="DCL258" s="609"/>
      <c r="DCM258" s="609"/>
      <c r="DCN258" s="609"/>
      <c r="DCO258" s="609"/>
      <c r="DCP258" s="609"/>
      <c r="DCQ258" s="609"/>
      <c r="DCR258" s="609"/>
      <c r="DCS258" s="609"/>
      <c r="DCT258" s="609"/>
      <c r="DCU258" s="609"/>
      <c r="DCV258" s="609"/>
      <c r="DCW258" s="609"/>
      <c r="DCX258" s="609"/>
      <c r="DCY258" s="609"/>
      <c r="DCZ258" s="609"/>
      <c r="DDA258" s="609"/>
      <c r="DDB258" s="609"/>
      <c r="DDC258" s="609"/>
      <c r="DDD258" s="609"/>
      <c r="DDE258" s="609"/>
      <c r="DDF258" s="609"/>
      <c r="DDG258" s="609"/>
      <c r="DDH258" s="609"/>
      <c r="DDI258" s="609"/>
      <c r="DDJ258" s="609"/>
      <c r="DDK258" s="609"/>
      <c r="DDL258" s="609"/>
      <c r="DDM258" s="609"/>
      <c r="DDN258" s="609"/>
      <c r="DDO258" s="609"/>
      <c r="DDP258" s="609"/>
      <c r="DDQ258" s="609"/>
      <c r="DDR258" s="609"/>
      <c r="DDS258" s="609"/>
      <c r="DDT258" s="609"/>
      <c r="DDU258" s="609"/>
      <c r="DDV258" s="609"/>
      <c r="DDW258" s="609"/>
      <c r="DDX258" s="609"/>
      <c r="DDY258" s="609"/>
      <c r="DDZ258" s="609"/>
      <c r="DEA258" s="609"/>
      <c r="DEB258" s="609"/>
      <c r="DEC258" s="609"/>
      <c r="DED258" s="609"/>
      <c r="DEE258" s="609"/>
      <c r="DEF258" s="609"/>
      <c r="DEG258" s="609"/>
      <c r="DEH258" s="609"/>
      <c r="DEI258" s="609"/>
      <c r="DEJ258" s="609"/>
      <c r="DEK258" s="609"/>
      <c r="DEL258" s="609"/>
      <c r="DEM258" s="609"/>
      <c r="DEN258" s="609"/>
      <c r="DEO258" s="609"/>
      <c r="DEP258" s="609"/>
      <c r="DEQ258" s="609"/>
      <c r="DER258" s="609"/>
      <c r="DES258" s="609"/>
      <c r="DET258" s="609"/>
      <c r="DEU258" s="609"/>
      <c r="DEV258" s="609"/>
      <c r="DEW258" s="609"/>
      <c r="DEX258" s="609"/>
      <c r="DEY258" s="609"/>
      <c r="DEZ258" s="609"/>
      <c r="DFA258" s="609"/>
      <c r="DFB258" s="609"/>
      <c r="DFC258" s="609"/>
      <c r="DFD258" s="609"/>
      <c r="DFE258" s="609"/>
      <c r="DFF258" s="609"/>
      <c r="DFG258" s="609"/>
      <c r="DFH258" s="609"/>
      <c r="DFI258" s="609"/>
      <c r="DFJ258" s="609"/>
      <c r="DFK258" s="609"/>
      <c r="DFL258" s="609"/>
      <c r="DFM258" s="609"/>
      <c r="DFN258" s="609"/>
      <c r="DFO258" s="609"/>
      <c r="DFP258" s="609"/>
      <c r="DFQ258" s="609"/>
      <c r="DFR258" s="609"/>
      <c r="DFS258" s="609"/>
      <c r="DFT258" s="609"/>
      <c r="DFU258" s="609"/>
      <c r="DFV258" s="609"/>
      <c r="DFW258" s="609"/>
      <c r="DFX258" s="609"/>
      <c r="DFY258" s="609"/>
      <c r="DFZ258" s="609"/>
      <c r="DGA258" s="609"/>
      <c r="DGB258" s="609"/>
      <c r="DGC258" s="609"/>
      <c r="DGD258" s="609"/>
      <c r="DGE258" s="609"/>
      <c r="DGF258" s="609"/>
      <c r="DGG258" s="609"/>
      <c r="DGH258" s="609"/>
      <c r="DGI258" s="609"/>
      <c r="DGJ258" s="609"/>
      <c r="DGK258" s="609"/>
      <c r="DGL258" s="609"/>
      <c r="DGM258" s="609"/>
      <c r="DGN258" s="609"/>
      <c r="DGO258" s="609"/>
      <c r="DGP258" s="609"/>
      <c r="DGQ258" s="609"/>
      <c r="DGR258" s="609"/>
      <c r="DGS258" s="609"/>
      <c r="DGT258" s="609"/>
      <c r="DGU258" s="609"/>
      <c r="DGV258" s="609"/>
      <c r="DGW258" s="609"/>
      <c r="DGX258" s="609"/>
      <c r="DGY258" s="609"/>
      <c r="DGZ258" s="609"/>
      <c r="DHA258" s="609"/>
      <c r="DHB258" s="609"/>
      <c r="DHC258" s="609"/>
      <c r="DHD258" s="609"/>
      <c r="DHE258" s="609"/>
      <c r="DHF258" s="609"/>
      <c r="DHG258" s="609"/>
      <c r="DHH258" s="609"/>
      <c r="DHI258" s="609"/>
      <c r="DHJ258" s="609"/>
      <c r="DHK258" s="609"/>
      <c r="DHL258" s="609"/>
      <c r="DHM258" s="609"/>
      <c r="DHN258" s="609"/>
      <c r="DHO258" s="609"/>
      <c r="DHP258" s="609"/>
      <c r="DHQ258" s="609"/>
      <c r="DHR258" s="609"/>
      <c r="DHS258" s="609"/>
      <c r="DHT258" s="609"/>
      <c r="DHU258" s="609"/>
      <c r="DHV258" s="609"/>
      <c r="DHW258" s="609"/>
      <c r="DHX258" s="609"/>
      <c r="DHY258" s="609"/>
      <c r="DHZ258" s="609"/>
      <c r="DIA258" s="609"/>
      <c r="DIB258" s="609"/>
      <c r="DIC258" s="609"/>
      <c r="DID258" s="609"/>
      <c r="DIE258" s="609"/>
      <c r="DIF258" s="609"/>
      <c r="DIG258" s="609"/>
      <c r="DIH258" s="609"/>
      <c r="DII258" s="609"/>
      <c r="DIJ258" s="609"/>
      <c r="DIK258" s="609"/>
      <c r="DIL258" s="609"/>
      <c r="DIM258" s="609"/>
      <c r="DIN258" s="609"/>
      <c r="DIO258" s="609"/>
      <c r="DIP258" s="609"/>
      <c r="DIQ258" s="609"/>
      <c r="DIR258" s="609"/>
      <c r="DIS258" s="609"/>
      <c r="DIT258" s="609"/>
      <c r="DIU258" s="609"/>
      <c r="DIV258" s="609"/>
      <c r="DIW258" s="609"/>
      <c r="DIX258" s="609"/>
      <c r="DIY258" s="609"/>
      <c r="DIZ258" s="609"/>
      <c r="DJA258" s="609"/>
      <c r="DJB258" s="609"/>
      <c r="DJC258" s="609"/>
      <c r="DJD258" s="609"/>
      <c r="DJE258" s="609"/>
      <c r="DJF258" s="609"/>
      <c r="DJG258" s="609"/>
      <c r="DJH258" s="609"/>
      <c r="DJI258" s="609"/>
      <c r="DJJ258" s="609"/>
      <c r="DJK258" s="609"/>
      <c r="DJL258" s="609"/>
      <c r="DJM258" s="609"/>
      <c r="DJN258" s="609"/>
      <c r="DJO258" s="609"/>
      <c r="DJP258" s="609"/>
      <c r="DJQ258" s="609"/>
      <c r="DJR258" s="609"/>
      <c r="DJS258" s="609"/>
      <c r="DJT258" s="609"/>
      <c r="DJU258" s="609"/>
      <c r="DJV258" s="609"/>
      <c r="DJW258" s="609"/>
      <c r="DJX258" s="609"/>
      <c r="DJY258" s="609"/>
      <c r="DJZ258" s="609"/>
      <c r="DKA258" s="609"/>
      <c r="DKB258" s="609"/>
      <c r="DKC258" s="609"/>
      <c r="DKD258" s="609"/>
      <c r="DKE258" s="609"/>
      <c r="DKF258" s="609"/>
      <c r="DKG258" s="609"/>
      <c r="DKH258" s="609"/>
      <c r="DKI258" s="609"/>
      <c r="DKJ258" s="609"/>
      <c r="DKK258" s="609"/>
      <c r="DKL258" s="609"/>
      <c r="DKM258" s="609"/>
      <c r="DKN258" s="609"/>
      <c r="DKO258" s="609"/>
      <c r="DKP258" s="609"/>
      <c r="DKQ258" s="609"/>
      <c r="DKR258" s="609"/>
      <c r="DKS258" s="609"/>
      <c r="DKT258" s="609"/>
      <c r="DKU258" s="609"/>
      <c r="DKV258" s="609"/>
      <c r="DKW258" s="609"/>
      <c r="DKX258" s="609"/>
      <c r="DKY258" s="609"/>
      <c r="DKZ258" s="609"/>
      <c r="DLA258" s="609"/>
      <c r="DLB258" s="609"/>
      <c r="DLC258" s="609"/>
      <c r="DLD258" s="609"/>
      <c r="DLE258" s="609"/>
      <c r="DLF258" s="609"/>
      <c r="DLG258" s="609"/>
      <c r="DLH258" s="609"/>
      <c r="DLI258" s="609"/>
      <c r="DLJ258" s="609"/>
      <c r="DLK258" s="609"/>
      <c r="DLL258" s="609"/>
      <c r="DLM258" s="609"/>
      <c r="DLN258" s="609"/>
      <c r="DLO258" s="609"/>
      <c r="DLP258" s="609"/>
      <c r="DLQ258" s="609"/>
      <c r="DLR258" s="609"/>
      <c r="DLS258" s="609"/>
      <c r="DLT258" s="609"/>
      <c r="DLU258" s="609"/>
      <c r="DLV258" s="609"/>
      <c r="DLW258" s="609"/>
      <c r="DLX258" s="609"/>
      <c r="DLY258" s="609"/>
      <c r="DLZ258" s="609"/>
      <c r="DMA258" s="609"/>
      <c r="DMB258" s="609"/>
      <c r="DMC258" s="609"/>
      <c r="DMD258" s="609"/>
      <c r="DME258" s="609"/>
      <c r="DMF258" s="609"/>
      <c r="DMG258" s="609"/>
      <c r="DMH258" s="609"/>
      <c r="DMI258" s="609"/>
      <c r="DMJ258" s="609"/>
      <c r="DMK258" s="609"/>
      <c r="DML258" s="609"/>
      <c r="DMM258" s="609"/>
      <c r="DMN258" s="609"/>
      <c r="DMO258" s="609"/>
      <c r="DMP258" s="609"/>
      <c r="DMQ258" s="609"/>
      <c r="DMR258" s="609"/>
      <c r="DMS258" s="609"/>
      <c r="DMT258" s="609"/>
      <c r="DMU258" s="609"/>
      <c r="DMV258" s="609"/>
      <c r="DMW258" s="609"/>
      <c r="DMX258" s="609"/>
      <c r="DMY258" s="609"/>
      <c r="DMZ258" s="609"/>
      <c r="DNA258" s="609"/>
      <c r="DNB258" s="609"/>
      <c r="DNC258" s="609"/>
      <c r="DND258" s="609"/>
      <c r="DNE258" s="609"/>
      <c r="DNF258" s="609"/>
      <c r="DNG258" s="609"/>
      <c r="DNH258" s="609"/>
      <c r="DNI258" s="609"/>
      <c r="DNJ258" s="609"/>
      <c r="DNK258" s="609"/>
      <c r="DNL258" s="609"/>
      <c r="DNM258" s="609"/>
      <c r="DNN258" s="609"/>
      <c r="DNO258" s="609"/>
      <c r="DNP258" s="609"/>
      <c r="DNQ258" s="609"/>
      <c r="DNR258" s="609"/>
      <c r="DNS258" s="609"/>
      <c r="DNT258" s="609"/>
      <c r="DNU258" s="609"/>
      <c r="DNV258" s="609"/>
      <c r="DNW258" s="609"/>
      <c r="DNX258" s="609"/>
      <c r="DNY258" s="609"/>
      <c r="DNZ258" s="609"/>
      <c r="DOA258" s="609"/>
      <c r="DOB258" s="609"/>
      <c r="DOC258" s="609"/>
      <c r="DOD258" s="609"/>
      <c r="DOE258" s="609"/>
      <c r="DOF258" s="609"/>
      <c r="DOG258" s="609"/>
      <c r="DOH258" s="609"/>
      <c r="DOI258" s="609"/>
      <c r="DOJ258" s="609"/>
      <c r="DOK258" s="609"/>
      <c r="DOL258" s="609"/>
      <c r="DOM258" s="609"/>
      <c r="DON258" s="609"/>
      <c r="DOO258" s="609"/>
      <c r="DOP258" s="609"/>
      <c r="DOQ258" s="609"/>
      <c r="DOR258" s="609"/>
      <c r="DOS258" s="609"/>
      <c r="DOT258" s="609"/>
      <c r="DOU258" s="609"/>
      <c r="DOV258" s="609"/>
      <c r="DOW258" s="609"/>
      <c r="DOX258" s="609"/>
      <c r="DOY258" s="609"/>
      <c r="DOZ258" s="609"/>
      <c r="DPA258" s="609"/>
      <c r="DPB258" s="609"/>
      <c r="DPC258" s="609"/>
      <c r="DPD258" s="609"/>
      <c r="DPE258" s="609"/>
      <c r="DPF258" s="609"/>
      <c r="DPG258" s="609"/>
      <c r="DPH258" s="609"/>
      <c r="DPI258" s="609"/>
      <c r="DPJ258" s="609"/>
      <c r="DPK258" s="609"/>
      <c r="DPL258" s="609"/>
      <c r="DPM258" s="609"/>
      <c r="DPN258" s="609"/>
      <c r="DPO258" s="609"/>
      <c r="DPP258" s="609"/>
      <c r="DPQ258" s="609"/>
      <c r="DPR258" s="609"/>
      <c r="DPS258" s="609"/>
      <c r="DPT258" s="609"/>
      <c r="DPU258" s="609"/>
      <c r="DPV258" s="609"/>
      <c r="DPW258" s="609"/>
      <c r="DPX258" s="609"/>
      <c r="DPY258" s="609"/>
      <c r="DPZ258" s="609"/>
      <c r="DQA258" s="609"/>
      <c r="DQB258" s="609"/>
      <c r="DQC258" s="609"/>
      <c r="DQD258" s="609"/>
      <c r="DQE258" s="609"/>
      <c r="DQF258" s="609"/>
      <c r="DQG258" s="609"/>
      <c r="DQH258" s="609"/>
      <c r="DQI258" s="609"/>
      <c r="DQJ258" s="609"/>
      <c r="DQK258" s="609"/>
      <c r="DQL258" s="609"/>
      <c r="DQM258" s="609"/>
      <c r="DQN258" s="609"/>
      <c r="DQO258" s="609"/>
      <c r="DQP258" s="609"/>
      <c r="DQQ258" s="609"/>
      <c r="DQR258" s="609"/>
      <c r="DQS258" s="609"/>
      <c r="DQT258" s="609"/>
      <c r="DQU258" s="609"/>
      <c r="DQV258" s="609"/>
      <c r="DQW258" s="609"/>
      <c r="DQX258" s="609"/>
      <c r="DQY258" s="609"/>
      <c r="DQZ258" s="609"/>
      <c r="DRA258" s="609"/>
      <c r="DRB258" s="609"/>
      <c r="DRC258" s="609"/>
      <c r="DRD258" s="609"/>
      <c r="DRE258" s="609"/>
      <c r="DRF258" s="609"/>
      <c r="DRG258" s="609"/>
      <c r="DRH258" s="609"/>
      <c r="DRI258" s="609"/>
      <c r="DRJ258" s="609"/>
      <c r="DRK258" s="609"/>
      <c r="DRL258" s="609"/>
      <c r="DRM258" s="609"/>
      <c r="DRN258" s="609"/>
      <c r="DRO258" s="609"/>
      <c r="DRP258" s="609"/>
      <c r="DRQ258" s="609"/>
      <c r="DRR258" s="609"/>
      <c r="DRS258" s="609"/>
      <c r="DRT258" s="609"/>
      <c r="DRU258" s="609"/>
      <c r="DRV258" s="609"/>
      <c r="DRW258" s="609"/>
      <c r="DRX258" s="609"/>
      <c r="DRY258" s="609"/>
      <c r="DRZ258" s="609"/>
      <c r="DSA258" s="609"/>
      <c r="DSB258" s="609"/>
      <c r="DSC258" s="609"/>
      <c r="DSD258" s="609"/>
      <c r="DSE258" s="609"/>
      <c r="DSF258" s="609"/>
      <c r="DSG258" s="609"/>
      <c r="DSH258" s="609"/>
      <c r="DSI258" s="609"/>
      <c r="DSJ258" s="609"/>
      <c r="DSK258" s="609"/>
      <c r="DSL258" s="609"/>
      <c r="DSM258" s="609"/>
      <c r="DSN258" s="609"/>
      <c r="DSO258" s="609"/>
      <c r="DSP258" s="609"/>
      <c r="DSQ258" s="609"/>
      <c r="DSR258" s="609"/>
      <c r="DSS258" s="609"/>
      <c r="DST258" s="609"/>
      <c r="DSU258" s="609"/>
      <c r="DSV258" s="609"/>
      <c r="DSW258" s="609"/>
      <c r="DSX258" s="609"/>
      <c r="DSY258" s="609"/>
      <c r="DSZ258" s="609"/>
      <c r="DTA258" s="609"/>
      <c r="DTB258" s="609"/>
      <c r="DTC258" s="609"/>
      <c r="DTD258" s="609"/>
      <c r="DTE258" s="609"/>
      <c r="DTF258" s="609"/>
      <c r="DTG258" s="609"/>
      <c r="DTH258" s="609"/>
      <c r="DTI258" s="609"/>
      <c r="DTJ258" s="609"/>
      <c r="DTK258" s="609"/>
      <c r="DTL258" s="609"/>
      <c r="DTM258" s="609"/>
      <c r="DTN258" s="609"/>
      <c r="DTO258" s="609"/>
      <c r="DTP258" s="609"/>
      <c r="DTQ258" s="609"/>
      <c r="DTR258" s="609"/>
      <c r="DTS258" s="609"/>
      <c r="DTT258" s="609"/>
      <c r="DTU258" s="609"/>
      <c r="DTV258" s="609"/>
      <c r="DTW258" s="609"/>
      <c r="DTX258" s="609"/>
      <c r="DTY258" s="609"/>
      <c r="DTZ258" s="609"/>
      <c r="DUA258" s="609"/>
      <c r="DUB258" s="609"/>
      <c r="DUC258" s="609"/>
      <c r="DUD258" s="609"/>
      <c r="DUE258" s="609"/>
      <c r="DUF258" s="609"/>
      <c r="DUG258" s="609"/>
      <c r="DUH258" s="609"/>
      <c r="DUI258" s="609"/>
      <c r="DUJ258" s="609"/>
      <c r="DUK258" s="609"/>
      <c r="DUL258" s="609"/>
      <c r="DUM258" s="609"/>
      <c r="DUN258" s="609"/>
      <c r="DUO258" s="609"/>
      <c r="DUP258" s="609"/>
      <c r="DUQ258" s="609"/>
      <c r="DUR258" s="609"/>
      <c r="DUS258" s="609"/>
      <c r="DUT258" s="609"/>
      <c r="DUU258" s="609"/>
      <c r="DUV258" s="609"/>
      <c r="DUW258" s="609"/>
      <c r="DUX258" s="609"/>
      <c r="DUY258" s="609"/>
      <c r="DUZ258" s="609"/>
      <c r="DVA258" s="609"/>
      <c r="DVB258" s="609"/>
      <c r="DVC258" s="609"/>
      <c r="DVD258" s="609"/>
      <c r="DVE258" s="609"/>
      <c r="DVF258" s="609"/>
      <c r="DVG258" s="609"/>
      <c r="DVH258" s="609"/>
      <c r="DVI258" s="609"/>
      <c r="DVJ258" s="609"/>
      <c r="DVK258" s="609"/>
      <c r="DVL258" s="609"/>
      <c r="DVM258" s="609"/>
      <c r="DVN258" s="609"/>
      <c r="DVO258" s="609"/>
      <c r="DVP258" s="609"/>
      <c r="DVQ258" s="609"/>
      <c r="DVR258" s="609"/>
      <c r="DVS258" s="609"/>
      <c r="DVT258" s="609"/>
      <c r="DVU258" s="609"/>
      <c r="DVV258" s="609"/>
      <c r="DVW258" s="609"/>
      <c r="DVX258" s="609"/>
      <c r="DVY258" s="609"/>
      <c r="DVZ258" s="609"/>
      <c r="DWA258" s="609"/>
      <c r="DWB258" s="609"/>
      <c r="DWC258" s="609"/>
      <c r="DWD258" s="609"/>
      <c r="DWE258" s="609"/>
      <c r="DWF258" s="609"/>
      <c r="DWG258" s="609"/>
      <c r="DWH258" s="609"/>
      <c r="DWI258" s="609"/>
      <c r="DWJ258" s="609"/>
      <c r="DWK258" s="609"/>
      <c r="DWL258" s="609"/>
      <c r="DWM258" s="609"/>
      <c r="DWN258" s="609"/>
      <c r="DWO258" s="609"/>
      <c r="DWP258" s="609"/>
      <c r="DWQ258" s="609"/>
      <c r="DWR258" s="609"/>
      <c r="DWS258" s="609"/>
      <c r="DWT258" s="609"/>
      <c r="DWU258" s="609"/>
      <c r="DWV258" s="609"/>
      <c r="DWW258" s="609"/>
      <c r="DWX258" s="609"/>
      <c r="DWY258" s="609"/>
      <c r="DWZ258" s="609"/>
      <c r="DXA258" s="609"/>
      <c r="DXB258" s="609"/>
      <c r="DXC258" s="609"/>
      <c r="DXD258" s="609"/>
      <c r="DXE258" s="609"/>
      <c r="DXF258" s="609"/>
      <c r="DXG258" s="609"/>
      <c r="DXH258" s="609"/>
      <c r="DXI258" s="609"/>
      <c r="DXJ258" s="609"/>
      <c r="DXK258" s="609"/>
      <c r="DXL258" s="609"/>
      <c r="DXM258" s="609"/>
      <c r="DXN258" s="609"/>
      <c r="DXO258" s="609"/>
      <c r="DXP258" s="609"/>
      <c r="DXQ258" s="609"/>
      <c r="DXR258" s="609"/>
      <c r="DXS258" s="609"/>
      <c r="DXT258" s="609"/>
      <c r="DXU258" s="609"/>
      <c r="DXV258" s="609"/>
      <c r="DXW258" s="609"/>
      <c r="DXX258" s="609"/>
      <c r="DXY258" s="609"/>
      <c r="DXZ258" s="609"/>
      <c r="DYA258" s="609"/>
      <c r="DYB258" s="609"/>
      <c r="DYC258" s="609"/>
      <c r="DYD258" s="609"/>
      <c r="DYE258" s="609"/>
      <c r="DYF258" s="609"/>
      <c r="DYG258" s="609"/>
      <c r="DYH258" s="609"/>
      <c r="DYI258" s="609"/>
      <c r="DYJ258" s="609"/>
      <c r="DYK258" s="609"/>
      <c r="DYL258" s="609"/>
      <c r="DYM258" s="609"/>
      <c r="DYN258" s="609"/>
      <c r="DYO258" s="609"/>
      <c r="DYP258" s="609"/>
      <c r="DYQ258" s="609"/>
      <c r="DYR258" s="609"/>
      <c r="DYS258" s="609"/>
      <c r="DYT258" s="609"/>
      <c r="DYU258" s="609"/>
      <c r="DYV258" s="609"/>
      <c r="DYW258" s="609"/>
      <c r="DYX258" s="609"/>
      <c r="DYY258" s="609"/>
      <c r="DYZ258" s="609"/>
      <c r="DZA258" s="609"/>
      <c r="DZB258" s="609"/>
      <c r="DZC258" s="609"/>
      <c r="DZD258" s="609"/>
      <c r="DZE258" s="609"/>
      <c r="DZF258" s="609"/>
      <c r="DZG258" s="609"/>
      <c r="DZH258" s="609"/>
      <c r="DZI258" s="609"/>
      <c r="DZJ258" s="609"/>
      <c r="DZK258" s="609"/>
      <c r="DZL258" s="609"/>
      <c r="DZM258" s="609"/>
      <c r="DZN258" s="609"/>
      <c r="DZO258" s="609"/>
      <c r="DZP258" s="609"/>
      <c r="DZQ258" s="609"/>
      <c r="DZR258" s="609"/>
      <c r="DZS258" s="609"/>
      <c r="DZT258" s="609"/>
      <c r="DZU258" s="609"/>
      <c r="DZV258" s="609"/>
      <c r="DZW258" s="609"/>
      <c r="DZX258" s="609"/>
      <c r="DZY258" s="609"/>
      <c r="DZZ258" s="609"/>
      <c r="EAA258" s="609"/>
      <c r="EAB258" s="609"/>
      <c r="EAC258" s="609"/>
      <c r="EAD258" s="609"/>
      <c r="EAE258" s="609"/>
      <c r="EAF258" s="609"/>
      <c r="EAG258" s="609"/>
      <c r="EAH258" s="609"/>
      <c r="EAI258" s="609"/>
      <c r="EAJ258" s="609"/>
      <c r="EAK258" s="609"/>
      <c r="EAL258" s="609"/>
      <c r="EAM258" s="609"/>
      <c r="EAN258" s="609"/>
      <c r="EAO258" s="609"/>
      <c r="EAP258" s="609"/>
      <c r="EAQ258" s="609"/>
      <c r="EAR258" s="609"/>
      <c r="EAS258" s="609"/>
      <c r="EAT258" s="609"/>
      <c r="EAU258" s="609"/>
      <c r="EAV258" s="609"/>
      <c r="EAW258" s="609"/>
      <c r="EAX258" s="609"/>
      <c r="EAY258" s="609"/>
      <c r="EAZ258" s="609"/>
      <c r="EBA258" s="609"/>
      <c r="EBB258" s="609"/>
      <c r="EBC258" s="609"/>
      <c r="EBD258" s="609"/>
      <c r="EBE258" s="609"/>
      <c r="EBF258" s="609"/>
      <c r="EBG258" s="609"/>
      <c r="EBH258" s="609"/>
      <c r="EBI258" s="609"/>
      <c r="EBJ258" s="609"/>
      <c r="EBK258" s="609"/>
      <c r="EBL258" s="609"/>
      <c r="EBM258" s="609"/>
      <c r="EBN258" s="609"/>
      <c r="EBO258" s="609"/>
      <c r="EBP258" s="609"/>
      <c r="EBQ258" s="609"/>
      <c r="EBR258" s="609"/>
      <c r="EBS258" s="609"/>
      <c r="EBT258" s="609"/>
      <c r="EBU258" s="609"/>
      <c r="EBV258" s="609"/>
      <c r="EBW258" s="609"/>
      <c r="EBX258" s="609"/>
      <c r="EBY258" s="609"/>
      <c r="EBZ258" s="609"/>
      <c r="ECA258" s="609"/>
      <c r="ECB258" s="609"/>
      <c r="ECC258" s="609"/>
      <c r="ECD258" s="609"/>
      <c r="ECE258" s="609"/>
      <c r="ECF258" s="609"/>
      <c r="ECG258" s="609"/>
      <c r="ECH258" s="609"/>
      <c r="ECI258" s="609"/>
      <c r="ECJ258" s="609"/>
      <c r="ECK258" s="609"/>
      <c r="ECL258" s="609"/>
      <c r="ECM258" s="609"/>
      <c r="ECN258" s="609"/>
      <c r="ECO258" s="609"/>
      <c r="ECP258" s="609"/>
      <c r="ECQ258" s="609"/>
      <c r="ECR258" s="609"/>
      <c r="ECS258" s="609"/>
      <c r="ECT258" s="609"/>
      <c r="ECU258" s="609"/>
      <c r="ECV258" s="609"/>
      <c r="ECW258" s="609"/>
      <c r="ECX258" s="609"/>
      <c r="ECY258" s="609"/>
      <c r="ECZ258" s="609"/>
      <c r="EDA258" s="609"/>
      <c r="EDB258" s="609"/>
      <c r="EDC258" s="609"/>
      <c r="EDD258" s="609"/>
      <c r="EDE258" s="609"/>
      <c r="EDF258" s="609"/>
      <c r="EDG258" s="609"/>
      <c r="EDH258" s="609"/>
      <c r="EDI258" s="609"/>
      <c r="EDJ258" s="609"/>
      <c r="EDK258" s="609"/>
      <c r="EDL258" s="609"/>
      <c r="EDM258" s="609"/>
      <c r="EDN258" s="609"/>
      <c r="EDO258" s="609"/>
      <c r="EDP258" s="609"/>
      <c r="EDQ258" s="609"/>
      <c r="EDR258" s="609"/>
      <c r="EDS258" s="609"/>
      <c r="EDT258" s="609"/>
      <c r="EDU258" s="609"/>
      <c r="EDV258" s="609"/>
      <c r="EDW258" s="609"/>
      <c r="EDX258" s="609"/>
      <c r="EDY258" s="609"/>
      <c r="EDZ258" s="609"/>
      <c r="EEA258" s="609"/>
      <c r="EEB258" s="609"/>
      <c r="EEC258" s="609"/>
      <c r="EED258" s="609"/>
      <c r="EEE258" s="609"/>
      <c r="EEF258" s="609"/>
      <c r="EEG258" s="609"/>
      <c r="EEH258" s="609"/>
      <c r="EEI258" s="609"/>
      <c r="EEJ258" s="609"/>
      <c r="EEK258" s="609"/>
      <c r="EEL258" s="609"/>
      <c r="EEM258" s="609"/>
      <c r="EEN258" s="609"/>
      <c r="EEO258" s="609"/>
      <c r="EEP258" s="609"/>
      <c r="EEQ258" s="609"/>
      <c r="EER258" s="609"/>
      <c r="EES258" s="609"/>
      <c r="EET258" s="609"/>
      <c r="EEU258" s="609"/>
      <c r="EEV258" s="609"/>
      <c r="EEW258" s="609"/>
      <c r="EEX258" s="609"/>
      <c r="EEY258" s="609"/>
      <c r="EEZ258" s="609"/>
      <c r="EFA258" s="609"/>
      <c r="EFB258" s="609"/>
      <c r="EFC258" s="609"/>
      <c r="EFD258" s="609"/>
      <c r="EFE258" s="609"/>
      <c r="EFF258" s="609"/>
      <c r="EFG258" s="609"/>
      <c r="EFH258" s="609"/>
      <c r="EFI258" s="609"/>
      <c r="EFJ258" s="609"/>
      <c r="EFK258" s="609"/>
      <c r="EFL258" s="609"/>
      <c r="EFM258" s="609"/>
      <c r="EFN258" s="609"/>
      <c r="EFO258" s="609"/>
      <c r="EFP258" s="609"/>
      <c r="EFQ258" s="609"/>
      <c r="EFR258" s="609"/>
      <c r="EFS258" s="609"/>
      <c r="EFT258" s="609"/>
      <c r="EFU258" s="609"/>
      <c r="EFV258" s="609"/>
      <c r="EFW258" s="609"/>
      <c r="EFX258" s="609"/>
      <c r="EFY258" s="609"/>
      <c r="EFZ258" s="609"/>
      <c r="EGA258" s="609"/>
      <c r="EGB258" s="609"/>
      <c r="EGC258" s="609"/>
      <c r="EGD258" s="609"/>
      <c r="EGE258" s="609"/>
      <c r="EGF258" s="609"/>
      <c r="EGG258" s="609"/>
      <c r="EGH258" s="609"/>
      <c r="EGI258" s="609"/>
      <c r="EGJ258" s="609"/>
      <c r="EGK258" s="609"/>
      <c r="EGL258" s="609"/>
      <c r="EGM258" s="609"/>
      <c r="EGN258" s="609"/>
      <c r="EGO258" s="609"/>
      <c r="EGP258" s="609"/>
      <c r="EGQ258" s="609"/>
      <c r="EGR258" s="609"/>
      <c r="EGS258" s="609"/>
      <c r="EGT258" s="609"/>
      <c r="EGU258" s="609"/>
      <c r="EGV258" s="609"/>
      <c r="EGW258" s="609"/>
      <c r="EGX258" s="609"/>
      <c r="EGY258" s="609"/>
      <c r="EGZ258" s="609"/>
      <c r="EHA258" s="609"/>
      <c r="EHB258" s="609"/>
      <c r="EHC258" s="609"/>
      <c r="EHD258" s="609"/>
      <c r="EHE258" s="609"/>
      <c r="EHF258" s="609"/>
      <c r="EHG258" s="609"/>
      <c r="EHH258" s="609"/>
      <c r="EHI258" s="609"/>
      <c r="EHJ258" s="609"/>
      <c r="EHK258" s="609"/>
      <c r="EHL258" s="609"/>
      <c r="EHM258" s="609"/>
      <c r="EHN258" s="609"/>
      <c r="EHO258" s="609"/>
      <c r="EHP258" s="609"/>
      <c r="EHQ258" s="609"/>
      <c r="EHR258" s="609"/>
      <c r="EHS258" s="609"/>
      <c r="EHT258" s="609"/>
      <c r="EHU258" s="609"/>
      <c r="EHV258" s="609"/>
      <c r="EHW258" s="609"/>
      <c r="EHX258" s="609"/>
      <c r="EHY258" s="609"/>
      <c r="EHZ258" s="609"/>
      <c r="EIA258" s="609"/>
      <c r="EIB258" s="609"/>
      <c r="EIC258" s="609"/>
      <c r="EID258" s="609"/>
      <c r="EIE258" s="609"/>
      <c r="EIF258" s="609"/>
      <c r="EIG258" s="609"/>
      <c r="EIH258" s="609"/>
      <c r="EII258" s="609"/>
      <c r="EIJ258" s="609"/>
      <c r="EIK258" s="609"/>
      <c r="EIL258" s="609"/>
      <c r="EIM258" s="609"/>
      <c r="EIN258" s="609"/>
      <c r="EIO258" s="609"/>
      <c r="EIP258" s="609"/>
      <c r="EIQ258" s="609"/>
      <c r="EIR258" s="609"/>
      <c r="EIS258" s="609"/>
      <c r="EIT258" s="609"/>
      <c r="EIU258" s="609"/>
      <c r="EIV258" s="609"/>
      <c r="EIW258" s="609"/>
      <c r="EIX258" s="609"/>
      <c r="EIY258" s="609"/>
      <c r="EIZ258" s="609"/>
      <c r="EJA258" s="609"/>
      <c r="EJB258" s="609"/>
      <c r="EJC258" s="609"/>
      <c r="EJD258" s="609"/>
      <c r="EJE258" s="609"/>
      <c r="EJF258" s="609"/>
      <c r="EJG258" s="609"/>
      <c r="EJH258" s="609"/>
      <c r="EJI258" s="609"/>
      <c r="EJJ258" s="609"/>
      <c r="EJK258" s="609"/>
      <c r="EJL258" s="609"/>
      <c r="EJM258" s="609"/>
      <c r="EJN258" s="609"/>
      <c r="EJO258" s="609"/>
      <c r="EJP258" s="609"/>
      <c r="EJQ258" s="609"/>
      <c r="EJR258" s="609"/>
      <c r="EJS258" s="609"/>
      <c r="EJT258" s="609"/>
      <c r="EJU258" s="609"/>
      <c r="EJV258" s="609"/>
      <c r="EJW258" s="609"/>
      <c r="EJX258" s="609"/>
      <c r="EJY258" s="609"/>
      <c r="EJZ258" s="609"/>
      <c r="EKA258" s="609"/>
      <c r="EKB258" s="609"/>
      <c r="EKC258" s="609"/>
      <c r="EKD258" s="609"/>
      <c r="EKE258" s="609"/>
      <c r="EKF258" s="609"/>
      <c r="EKG258" s="609"/>
      <c r="EKH258" s="609"/>
      <c r="EKI258" s="609"/>
      <c r="EKJ258" s="609"/>
      <c r="EKK258" s="609"/>
      <c r="EKL258" s="609"/>
      <c r="EKM258" s="609"/>
      <c r="EKN258" s="609"/>
      <c r="EKO258" s="609"/>
      <c r="EKP258" s="609"/>
      <c r="EKQ258" s="609"/>
      <c r="EKR258" s="609"/>
      <c r="EKS258" s="609"/>
      <c r="EKT258" s="609"/>
      <c r="EKU258" s="609"/>
      <c r="EKV258" s="609"/>
      <c r="EKW258" s="609"/>
      <c r="EKX258" s="609"/>
      <c r="EKY258" s="609"/>
      <c r="EKZ258" s="609"/>
      <c r="ELA258" s="609"/>
      <c r="ELB258" s="609"/>
      <c r="ELC258" s="609"/>
      <c r="ELD258" s="609"/>
      <c r="ELE258" s="609"/>
      <c r="ELF258" s="609"/>
      <c r="ELG258" s="609"/>
      <c r="ELH258" s="609"/>
      <c r="ELI258" s="609"/>
      <c r="ELJ258" s="609"/>
      <c r="ELK258" s="609"/>
      <c r="ELL258" s="609"/>
      <c r="ELM258" s="609"/>
      <c r="ELN258" s="609"/>
      <c r="ELO258" s="609"/>
      <c r="ELP258" s="609"/>
      <c r="ELQ258" s="609"/>
      <c r="ELR258" s="609"/>
      <c r="ELS258" s="609"/>
      <c r="ELT258" s="609"/>
      <c r="ELU258" s="609"/>
      <c r="ELV258" s="609"/>
      <c r="ELW258" s="609"/>
      <c r="ELX258" s="609"/>
      <c r="ELY258" s="609"/>
      <c r="ELZ258" s="609"/>
      <c r="EMA258" s="609"/>
      <c r="EMB258" s="609"/>
      <c r="EMC258" s="609"/>
      <c r="EMD258" s="609"/>
      <c r="EME258" s="609"/>
      <c r="EMF258" s="609"/>
      <c r="EMG258" s="609"/>
      <c r="EMH258" s="609"/>
      <c r="EMI258" s="609"/>
      <c r="EMJ258" s="609"/>
      <c r="EMK258" s="609"/>
      <c r="EML258" s="609"/>
      <c r="EMM258" s="609"/>
      <c r="EMN258" s="609"/>
      <c r="EMO258" s="609"/>
      <c r="EMP258" s="609"/>
      <c r="EMQ258" s="609"/>
      <c r="EMR258" s="609"/>
      <c r="EMS258" s="609"/>
      <c r="EMT258" s="609"/>
      <c r="EMU258" s="609"/>
      <c r="EMV258" s="609"/>
      <c r="EMW258" s="609"/>
      <c r="EMX258" s="609"/>
      <c r="EMY258" s="609"/>
      <c r="EMZ258" s="609"/>
      <c r="ENA258" s="609"/>
      <c r="ENB258" s="609"/>
      <c r="ENC258" s="609"/>
      <c r="END258" s="609"/>
      <c r="ENE258" s="609"/>
      <c r="ENF258" s="609"/>
      <c r="ENG258" s="609"/>
      <c r="ENH258" s="609"/>
      <c r="ENI258" s="609"/>
      <c r="ENJ258" s="609"/>
      <c r="ENK258" s="609"/>
      <c r="ENL258" s="609"/>
      <c r="ENM258" s="609"/>
      <c r="ENN258" s="609"/>
      <c r="ENO258" s="609"/>
      <c r="ENP258" s="609"/>
      <c r="ENQ258" s="609"/>
      <c r="ENR258" s="609"/>
      <c r="ENS258" s="609"/>
      <c r="ENT258" s="609"/>
      <c r="ENU258" s="609"/>
      <c r="ENV258" s="609"/>
      <c r="ENW258" s="609"/>
      <c r="ENX258" s="609"/>
      <c r="ENY258" s="609"/>
      <c r="ENZ258" s="609"/>
      <c r="EOA258" s="609"/>
      <c r="EOB258" s="609"/>
      <c r="EOC258" s="609"/>
      <c r="EOD258" s="609"/>
      <c r="EOE258" s="609"/>
      <c r="EOF258" s="609"/>
      <c r="EOG258" s="609"/>
      <c r="EOH258" s="609"/>
      <c r="EOI258" s="609"/>
      <c r="EOJ258" s="609"/>
      <c r="EOK258" s="609"/>
      <c r="EOL258" s="609"/>
      <c r="EOM258" s="609"/>
      <c r="EON258" s="609"/>
      <c r="EOO258" s="609"/>
      <c r="EOP258" s="609"/>
      <c r="EOQ258" s="609"/>
      <c r="EOR258" s="609"/>
      <c r="EOS258" s="609"/>
      <c r="EOT258" s="609"/>
      <c r="EOU258" s="609"/>
      <c r="EOV258" s="609"/>
      <c r="EOW258" s="609"/>
      <c r="EOX258" s="609"/>
      <c r="EOY258" s="609"/>
      <c r="EOZ258" s="609"/>
      <c r="EPA258" s="609"/>
      <c r="EPB258" s="609"/>
      <c r="EPC258" s="609"/>
      <c r="EPD258" s="609"/>
      <c r="EPE258" s="609"/>
      <c r="EPF258" s="609"/>
      <c r="EPG258" s="609"/>
      <c r="EPH258" s="609"/>
      <c r="EPI258" s="609"/>
      <c r="EPJ258" s="609"/>
      <c r="EPK258" s="609"/>
      <c r="EPL258" s="609"/>
      <c r="EPM258" s="609"/>
      <c r="EPN258" s="609"/>
      <c r="EPO258" s="609"/>
      <c r="EPP258" s="609"/>
      <c r="EPQ258" s="609"/>
      <c r="EPR258" s="609"/>
      <c r="EPS258" s="609"/>
      <c r="EPT258" s="609"/>
      <c r="EPU258" s="609"/>
      <c r="EPV258" s="609"/>
      <c r="EPW258" s="609"/>
      <c r="EPX258" s="609"/>
      <c r="EPY258" s="609"/>
      <c r="EPZ258" s="609"/>
      <c r="EQA258" s="609"/>
      <c r="EQB258" s="609"/>
      <c r="EQC258" s="609"/>
      <c r="EQD258" s="609"/>
      <c r="EQE258" s="609"/>
      <c r="EQF258" s="609"/>
      <c r="EQG258" s="609"/>
      <c r="EQH258" s="609"/>
      <c r="EQI258" s="609"/>
      <c r="EQJ258" s="609"/>
      <c r="EQK258" s="609"/>
      <c r="EQL258" s="609"/>
      <c r="EQM258" s="609"/>
      <c r="EQN258" s="609"/>
      <c r="EQO258" s="609"/>
      <c r="EQP258" s="609"/>
      <c r="EQQ258" s="609"/>
      <c r="EQR258" s="609"/>
      <c r="EQS258" s="609"/>
      <c r="EQT258" s="609"/>
      <c r="EQU258" s="609"/>
      <c r="EQV258" s="609"/>
      <c r="EQW258" s="609"/>
      <c r="EQX258" s="609"/>
      <c r="EQY258" s="609"/>
      <c r="EQZ258" s="609"/>
      <c r="ERA258" s="609"/>
      <c r="ERB258" s="609"/>
      <c r="ERC258" s="609"/>
      <c r="ERD258" s="609"/>
      <c r="ERE258" s="609"/>
      <c r="ERF258" s="609"/>
      <c r="ERG258" s="609"/>
      <c r="ERH258" s="609"/>
      <c r="ERI258" s="609"/>
      <c r="ERJ258" s="609"/>
      <c r="ERK258" s="609"/>
      <c r="ERL258" s="609"/>
      <c r="ERM258" s="609"/>
      <c r="ERN258" s="609"/>
      <c r="ERO258" s="609"/>
      <c r="ERP258" s="609"/>
      <c r="ERQ258" s="609"/>
      <c r="ERR258" s="609"/>
      <c r="ERS258" s="609"/>
      <c r="ERT258" s="609"/>
      <c r="ERU258" s="609"/>
      <c r="ERV258" s="609"/>
      <c r="ERW258" s="609"/>
      <c r="ERX258" s="609"/>
      <c r="ERY258" s="609"/>
      <c r="ERZ258" s="609"/>
      <c r="ESA258" s="609"/>
      <c r="ESB258" s="609"/>
      <c r="ESC258" s="609"/>
      <c r="ESD258" s="609"/>
      <c r="ESE258" s="609"/>
      <c r="ESF258" s="609"/>
      <c r="ESG258" s="609"/>
      <c r="ESH258" s="609"/>
      <c r="ESI258" s="609"/>
      <c r="ESJ258" s="609"/>
      <c r="ESK258" s="609"/>
      <c r="ESL258" s="609"/>
      <c r="ESM258" s="609"/>
      <c r="ESN258" s="609"/>
      <c r="ESO258" s="609"/>
      <c r="ESP258" s="609"/>
      <c r="ESQ258" s="609"/>
      <c r="ESR258" s="609"/>
      <c r="ESS258" s="609"/>
      <c r="EST258" s="609"/>
      <c r="ESU258" s="609"/>
      <c r="ESV258" s="609"/>
      <c r="ESW258" s="609"/>
      <c r="ESX258" s="609"/>
      <c r="ESY258" s="609"/>
      <c r="ESZ258" s="609"/>
      <c r="ETA258" s="609"/>
      <c r="ETB258" s="609"/>
      <c r="ETC258" s="609"/>
      <c r="ETD258" s="609"/>
      <c r="ETE258" s="609"/>
      <c r="ETF258" s="609"/>
      <c r="ETG258" s="609"/>
      <c r="ETH258" s="609"/>
      <c r="ETI258" s="609"/>
      <c r="ETJ258" s="609"/>
      <c r="ETK258" s="609"/>
      <c r="ETL258" s="609"/>
      <c r="ETM258" s="609"/>
      <c r="ETN258" s="609"/>
      <c r="ETO258" s="609"/>
      <c r="ETP258" s="609"/>
      <c r="ETQ258" s="609"/>
      <c r="ETR258" s="609"/>
      <c r="ETS258" s="609"/>
      <c r="ETT258" s="609"/>
      <c r="ETU258" s="609"/>
      <c r="ETV258" s="609"/>
      <c r="ETW258" s="609"/>
      <c r="ETX258" s="609"/>
      <c r="ETY258" s="609"/>
      <c r="ETZ258" s="609"/>
      <c r="EUA258" s="609"/>
      <c r="EUB258" s="609"/>
      <c r="EUC258" s="609"/>
      <c r="EUD258" s="609"/>
      <c r="EUE258" s="609"/>
      <c r="EUF258" s="609"/>
      <c r="EUG258" s="609"/>
      <c r="EUH258" s="609"/>
      <c r="EUI258" s="609"/>
      <c r="EUJ258" s="609"/>
      <c r="EUK258" s="609"/>
      <c r="EUL258" s="609"/>
      <c r="EUM258" s="609"/>
      <c r="EUN258" s="609"/>
      <c r="EUO258" s="609"/>
      <c r="EUP258" s="609"/>
      <c r="EUQ258" s="609"/>
      <c r="EUR258" s="609"/>
      <c r="EUS258" s="609"/>
      <c r="EUT258" s="609"/>
      <c r="EUU258" s="609"/>
      <c r="EUV258" s="609"/>
      <c r="EUW258" s="609"/>
      <c r="EUX258" s="609"/>
      <c r="EUY258" s="609"/>
      <c r="EUZ258" s="609"/>
      <c r="EVA258" s="609"/>
      <c r="EVB258" s="609"/>
      <c r="EVC258" s="609"/>
      <c r="EVD258" s="609"/>
      <c r="EVE258" s="609"/>
      <c r="EVF258" s="609"/>
      <c r="EVG258" s="609"/>
      <c r="EVH258" s="609"/>
      <c r="EVI258" s="609"/>
      <c r="EVJ258" s="609"/>
      <c r="EVK258" s="609"/>
      <c r="EVL258" s="609"/>
      <c r="EVM258" s="609"/>
      <c r="EVN258" s="609"/>
      <c r="EVO258" s="609"/>
      <c r="EVP258" s="609"/>
      <c r="EVQ258" s="609"/>
      <c r="EVR258" s="609"/>
      <c r="EVS258" s="609"/>
      <c r="EVT258" s="609"/>
      <c r="EVU258" s="609"/>
      <c r="EVV258" s="609"/>
      <c r="EVW258" s="609"/>
      <c r="EVX258" s="609"/>
      <c r="EVY258" s="609"/>
      <c r="EVZ258" s="609"/>
      <c r="EWA258" s="609"/>
      <c r="EWB258" s="609"/>
      <c r="EWC258" s="609"/>
      <c r="EWD258" s="609"/>
      <c r="EWE258" s="609"/>
      <c r="EWF258" s="609"/>
      <c r="EWG258" s="609"/>
      <c r="EWH258" s="609"/>
      <c r="EWI258" s="609"/>
      <c r="EWJ258" s="609"/>
      <c r="EWK258" s="609"/>
      <c r="EWL258" s="609"/>
      <c r="EWM258" s="609"/>
      <c r="EWN258" s="609"/>
      <c r="EWO258" s="609"/>
      <c r="EWP258" s="609"/>
      <c r="EWQ258" s="609"/>
      <c r="EWR258" s="609"/>
      <c r="EWS258" s="609"/>
      <c r="EWT258" s="609"/>
      <c r="EWU258" s="609"/>
      <c r="EWV258" s="609"/>
      <c r="EWW258" s="609"/>
      <c r="EWX258" s="609"/>
      <c r="EWY258" s="609"/>
      <c r="EWZ258" s="609"/>
      <c r="EXA258" s="609"/>
      <c r="EXB258" s="609"/>
      <c r="EXC258" s="609"/>
      <c r="EXD258" s="609"/>
      <c r="EXE258" s="609"/>
      <c r="EXF258" s="609"/>
      <c r="EXG258" s="609"/>
      <c r="EXH258" s="609"/>
      <c r="EXI258" s="609"/>
      <c r="EXJ258" s="609"/>
      <c r="EXK258" s="609"/>
      <c r="EXL258" s="609"/>
      <c r="EXM258" s="609"/>
      <c r="EXN258" s="609"/>
      <c r="EXO258" s="609"/>
      <c r="EXP258" s="609"/>
      <c r="EXQ258" s="609"/>
      <c r="EXR258" s="609"/>
      <c r="EXS258" s="609"/>
      <c r="EXT258" s="609"/>
      <c r="EXU258" s="609"/>
      <c r="EXV258" s="609"/>
      <c r="EXW258" s="609"/>
      <c r="EXX258" s="609"/>
      <c r="EXY258" s="609"/>
      <c r="EXZ258" s="609"/>
      <c r="EYA258" s="609"/>
      <c r="EYB258" s="609"/>
      <c r="EYC258" s="609"/>
      <c r="EYD258" s="609"/>
      <c r="EYE258" s="609"/>
      <c r="EYF258" s="609"/>
      <c r="EYG258" s="609"/>
      <c r="EYH258" s="609"/>
      <c r="EYI258" s="609"/>
      <c r="EYJ258" s="609"/>
      <c r="EYK258" s="609"/>
      <c r="EYL258" s="609"/>
      <c r="EYM258" s="609"/>
      <c r="EYN258" s="609"/>
      <c r="EYO258" s="609"/>
      <c r="EYP258" s="609"/>
      <c r="EYQ258" s="609"/>
      <c r="EYR258" s="609"/>
      <c r="EYS258" s="609"/>
      <c r="EYT258" s="609"/>
      <c r="EYU258" s="609"/>
      <c r="EYV258" s="609"/>
      <c r="EYW258" s="609"/>
      <c r="EYX258" s="609"/>
      <c r="EYY258" s="609"/>
      <c r="EYZ258" s="609"/>
      <c r="EZA258" s="609"/>
      <c r="EZB258" s="609"/>
      <c r="EZC258" s="609"/>
      <c r="EZD258" s="609"/>
      <c r="EZE258" s="609"/>
      <c r="EZF258" s="609"/>
      <c r="EZG258" s="609"/>
      <c r="EZH258" s="609"/>
      <c r="EZI258" s="609"/>
      <c r="EZJ258" s="609"/>
      <c r="EZK258" s="609"/>
      <c r="EZL258" s="609"/>
      <c r="EZM258" s="609"/>
      <c r="EZN258" s="609"/>
      <c r="EZO258" s="609"/>
      <c r="EZP258" s="609"/>
      <c r="EZQ258" s="609"/>
      <c r="EZR258" s="609"/>
      <c r="EZS258" s="609"/>
      <c r="EZT258" s="609"/>
      <c r="EZU258" s="609"/>
      <c r="EZV258" s="609"/>
      <c r="EZW258" s="609"/>
      <c r="EZX258" s="609"/>
      <c r="EZY258" s="609"/>
      <c r="EZZ258" s="609"/>
      <c r="FAA258" s="609"/>
      <c r="FAB258" s="609"/>
      <c r="FAC258" s="609"/>
      <c r="FAD258" s="609"/>
      <c r="FAE258" s="609"/>
      <c r="FAF258" s="609"/>
      <c r="FAG258" s="609"/>
      <c r="FAH258" s="609"/>
      <c r="FAI258" s="609"/>
      <c r="FAJ258" s="609"/>
      <c r="FAK258" s="609"/>
      <c r="FAL258" s="609"/>
      <c r="FAM258" s="609"/>
      <c r="FAN258" s="609"/>
      <c r="FAO258" s="609"/>
      <c r="FAP258" s="609"/>
      <c r="FAQ258" s="609"/>
      <c r="FAR258" s="609"/>
      <c r="FAS258" s="609"/>
      <c r="FAT258" s="609"/>
      <c r="FAU258" s="609"/>
      <c r="FAV258" s="609"/>
      <c r="FAW258" s="609"/>
      <c r="FAX258" s="609"/>
      <c r="FAY258" s="609"/>
      <c r="FAZ258" s="609"/>
      <c r="FBA258" s="609"/>
      <c r="FBB258" s="609"/>
      <c r="FBC258" s="609"/>
      <c r="FBD258" s="609"/>
      <c r="FBE258" s="609"/>
      <c r="FBF258" s="609"/>
      <c r="FBG258" s="609"/>
      <c r="FBH258" s="609"/>
      <c r="FBI258" s="609"/>
      <c r="FBJ258" s="609"/>
      <c r="FBK258" s="609"/>
      <c r="FBL258" s="609"/>
      <c r="FBM258" s="609"/>
      <c r="FBN258" s="609"/>
      <c r="FBO258" s="609"/>
      <c r="FBP258" s="609"/>
      <c r="FBQ258" s="609"/>
      <c r="FBR258" s="609"/>
      <c r="FBS258" s="609"/>
      <c r="FBT258" s="609"/>
      <c r="FBU258" s="609"/>
      <c r="FBV258" s="609"/>
      <c r="FBW258" s="609"/>
      <c r="FBX258" s="609"/>
      <c r="FBY258" s="609"/>
      <c r="FBZ258" s="609"/>
      <c r="FCA258" s="609"/>
      <c r="FCB258" s="609"/>
      <c r="FCC258" s="609"/>
      <c r="FCD258" s="609"/>
      <c r="FCE258" s="609"/>
      <c r="FCF258" s="609"/>
      <c r="FCG258" s="609"/>
      <c r="FCH258" s="609"/>
      <c r="FCI258" s="609"/>
      <c r="FCJ258" s="609"/>
      <c r="FCK258" s="609"/>
      <c r="FCL258" s="609"/>
      <c r="FCM258" s="609"/>
      <c r="FCN258" s="609"/>
      <c r="FCO258" s="609"/>
      <c r="FCP258" s="609"/>
      <c r="FCQ258" s="609"/>
      <c r="FCR258" s="609"/>
      <c r="FCS258" s="609"/>
      <c r="FCT258" s="609"/>
      <c r="FCU258" s="609"/>
      <c r="FCV258" s="609"/>
      <c r="FCW258" s="609"/>
      <c r="FCX258" s="609"/>
      <c r="FCY258" s="609"/>
      <c r="FCZ258" s="609"/>
      <c r="FDA258" s="609"/>
      <c r="FDB258" s="609"/>
      <c r="FDC258" s="609"/>
      <c r="FDD258" s="609"/>
      <c r="FDE258" s="609"/>
      <c r="FDF258" s="609"/>
      <c r="FDG258" s="609"/>
      <c r="FDH258" s="609"/>
      <c r="FDI258" s="609"/>
      <c r="FDJ258" s="609"/>
      <c r="FDK258" s="609"/>
      <c r="FDL258" s="609"/>
      <c r="FDM258" s="609"/>
      <c r="FDN258" s="609"/>
      <c r="FDO258" s="609"/>
      <c r="FDP258" s="609"/>
      <c r="FDQ258" s="609"/>
      <c r="FDR258" s="609"/>
      <c r="FDS258" s="609"/>
      <c r="FDT258" s="609"/>
      <c r="FDU258" s="609"/>
      <c r="FDV258" s="609"/>
      <c r="FDW258" s="609"/>
      <c r="FDX258" s="609"/>
      <c r="FDY258" s="609"/>
      <c r="FDZ258" s="609"/>
      <c r="FEA258" s="609"/>
      <c r="FEB258" s="609"/>
      <c r="FEC258" s="609"/>
      <c r="FED258" s="609"/>
      <c r="FEE258" s="609"/>
      <c r="FEF258" s="609"/>
      <c r="FEG258" s="609"/>
      <c r="FEH258" s="609"/>
      <c r="FEI258" s="609"/>
      <c r="FEJ258" s="609"/>
      <c r="FEK258" s="609"/>
      <c r="FEL258" s="609"/>
      <c r="FEM258" s="609"/>
      <c r="FEN258" s="609"/>
      <c r="FEO258" s="609"/>
      <c r="FEP258" s="609"/>
      <c r="FEQ258" s="609"/>
      <c r="FER258" s="609"/>
      <c r="FES258" s="609"/>
      <c r="FET258" s="609"/>
      <c r="FEU258" s="609"/>
      <c r="FEV258" s="609"/>
      <c r="FEW258" s="609"/>
      <c r="FEX258" s="609"/>
      <c r="FEY258" s="609"/>
      <c r="FEZ258" s="609"/>
      <c r="FFA258" s="609"/>
      <c r="FFB258" s="609"/>
      <c r="FFC258" s="609"/>
      <c r="FFD258" s="609"/>
      <c r="FFE258" s="609"/>
      <c r="FFF258" s="609"/>
      <c r="FFG258" s="609"/>
      <c r="FFH258" s="609"/>
      <c r="FFI258" s="609"/>
      <c r="FFJ258" s="609"/>
      <c r="FFK258" s="609"/>
      <c r="FFL258" s="609"/>
      <c r="FFM258" s="609"/>
      <c r="FFN258" s="609"/>
      <c r="FFO258" s="609"/>
      <c r="FFP258" s="609"/>
      <c r="FFQ258" s="609"/>
      <c r="FFR258" s="609"/>
      <c r="FFS258" s="609"/>
      <c r="FFT258" s="609"/>
      <c r="FFU258" s="609"/>
      <c r="FFV258" s="609"/>
      <c r="FFW258" s="609"/>
      <c r="FFX258" s="609"/>
      <c r="FFY258" s="609"/>
      <c r="FFZ258" s="609"/>
      <c r="FGA258" s="609"/>
      <c r="FGB258" s="609"/>
      <c r="FGC258" s="609"/>
      <c r="FGD258" s="609"/>
      <c r="FGE258" s="609"/>
      <c r="FGF258" s="609"/>
      <c r="FGG258" s="609"/>
      <c r="FGH258" s="609"/>
      <c r="FGI258" s="609"/>
      <c r="FGJ258" s="609"/>
      <c r="FGK258" s="609"/>
      <c r="FGL258" s="609"/>
      <c r="FGM258" s="609"/>
      <c r="FGN258" s="609"/>
      <c r="FGO258" s="609"/>
      <c r="FGP258" s="609"/>
      <c r="FGQ258" s="609"/>
      <c r="FGR258" s="609"/>
      <c r="FGS258" s="609"/>
      <c r="FGT258" s="609"/>
      <c r="FGU258" s="609"/>
      <c r="FGV258" s="609"/>
      <c r="FGW258" s="609"/>
      <c r="FGX258" s="609"/>
      <c r="FGY258" s="609"/>
      <c r="FGZ258" s="609"/>
      <c r="FHA258" s="609"/>
      <c r="FHB258" s="609"/>
      <c r="FHC258" s="609"/>
      <c r="FHD258" s="609"/>
      <c r="FHE258" s="609"/>
      <c r="FHF258" s="609"/>
      <c r="FHG258" s="609"/>
      <c r="FHH258" s="609"/>
      <c r="FHI258" s="609"/>
      <c r="FHJ258" s="609"/>
      <c r="FHK258" s="609"/>
      <c r="FHL258" s="609"/>
      <c r="FHM258" s="609"/>
      <c r="FHN258" s="609"/>
      <c r="FHO258" s="609"/>
      <c r="FHP258" s="609"/>
      <c r="FHQ258" s="609"/>
      <c r="FHR258" s="609"/>
      <c r="FHS258" s="609"/>
      <c r="FHT258" s="609"/>
      <c r="FHU258" s="609"/>
      <c r="FHV258" s="609"/>
      <c r="FHW258" s="609"/>
      <c r="FHX258" s="609"/>
      <c r="FHY258" s="609"/>
      <c r="FHZ258" s="609"/>
      <c r="FIA258" s="609"/>
      <c r="FIB258" s="609"/>
      <c r="FIC258" s="609"/>
      <c r="FID258" s="609"/>
      <c r="FIE258" s="609"/>
      <c r="FIF258" s="609"/>
      <c r="FIG258" s="609"/>
      <c r="FIH258" s="609"/>
      <c r="FII258" s="609"/>
      <c r="FIJ258" s="609"/>
      <c r="FIK258" s="609"/>
      <c r="FIL258" s="609"/>
      <c r="FIM258" s="609"/>
      <c r="FIN258" s="609"/>
      <c r="FIO258" s="609"/>
      <c r="FIP258" s="609"/>
      <c r="FIQ258" s="609"/>
      <c r="FIR258" s="609"/>
      <c r="FIS258" s="609"/>
      <c r="FIT258" s="609"/>
      <c r="FIU258" s="609"/>
      <c r="FIV258" s="609"/>
      <c r="FIW258" s="609"/>
      <c r="FIX258" s="609"/>
      <c r="FIY258" s="609"/>
      <c r="FIZ258" s="609"/>
      <c r="FJA258" s="609"/>
      <c r="FJB258" s="609"/>
      <c r="FJC258" s="609"/>
      <c r="FJD258" s="609"/>
      <c r="FJE258" s="609"/>
      <c r="FJF258" s="609"/>
      <c r="FJG258" s="609"/>
      <c r="FJH258" s="609"/>
      <c r="FJI258" s="609"/>
      <c r="FJJ258" s="609"/>
      <c r="FJK258" s="609"/>
      <c r="FJL258" s="609"/>
      <c r="FJM258" s="609"/>
      <c r="FJN258" s="609"/>
      <c r="FJO258" s="609"/>
      <c r="FJP258" s="609"/>
      <c r="FJQ258" s="609"/>
      <c r="FJR258" s="609"/>
      <c r="FJS258" s="609"/>
      <c r="FJT258" s="609"/>
      <c r="FJU258" s="609"/>
      <c r="FJV258" s="609"/>
      <c r="FJW258" s="609"/>
      <c r="FJX258" s="609"/>
      <c r="FJY258" s="609"/>
      <c r="FJZ258" s="609"/>
      <c r="FKA258" s="609"/>
      <c r="FKB258" s="609"/>
      <c r="FKC258" s="609"/>
      <c r="FKD258" s="609"/>
      <c r="FKE258" s="609"/>
      <c r="FKF258" s="609"/>
      <c r="FKG258" s="609"/>
      <c r="FKH258" s="609"/>
      <c r="FKI258" s="609"/>
      <c r="FKJ258" s="609"/>
      <c r="FKK258" s="609"/>
      <c r="FKL258" s="609"/>
      <c r="FKM258" s="609"/>
      <c r="FKN258" s="609"/>
      <c r="FKO258" s="609"/>
      <c r="FKP258" s="609"/>
      <c r="FKQ258" s="609"/>
      <c r="FKR258" s="609"/>
      <c r="FKS258" s="609"/>
      <c r="FKT258" s="609"/>
      <c r="FKU258" s="609"/>
      <c r="FKV258" s="609"/>
      <c r="FKW258" s="609"/>
      <c r="FKX258" s="609"/>
      <c r="FKY258" s="609"/>
      <c r="FKZ258" s="609"/>
      <c r="FLA258" s="609"/>
      <c r="FLB258" s="609"/>
      <c r="FLC258" s="609"/>
      <c r="FLD258" s="609"/>
      <c r="FLE258" s="609"/>
      <c r="FLF258" s="609"/>
      <c r="FLG258" s="609"/>
      <c r="FLH258" s="609"/>
      <c r="FLI258" s="609"/>
      <c r="FLJ258" s="609"/>
      <c r="FLK258" s="609"/>
      <c r="FLL258" s="609"/>
      <c r="FLM258" s="609"/>
      <c r="FLN258" s="609"/>
      <c r="FLO258" s="609"/>
      <c r="FLP258" s="609"/>
      <c r="FLQ258" s="609"/>
      <c r="FLR258" s="609"/>
      <c r="FLS258" s="609"/>
      <c r="FLT258" s="609"/>
      <c r="FLU258" s="609"/>
      <c r="FLV258" s="609"/>
      <c r="FLW258" s="609"/>
      <c r="FLX258" s="609"/>
      <c r="FLY258" s="609"/>
      <c r="FLZ258" s="609"/>
      <c r="FMA258" s="609"/>
      <c r="FMB258" s="609"/>
      <c r="FMC258" s="609"/>
      <c r="FMD258" s="609"/>
      <c r="FME258" s="609"/>
      <c r="FMF258" s="609"/>
      <c r="FMG258" s="609"/>
      <c r="FMH258" s="609"/>
      <c r="FMI258" s="609"/>
      <c r="FMJ258" s="609"/>
      <c r="FMK258" s="609"/>
      <c r="FML258" s="609"/>
      <c r="FMM258" s="609"/>
      <c r="FMN258" s="609"/>
      <c r="FMO258" s="609"/>
      <c r="FMP258" s="609"/>
      <c r="FMQ258" s="609"/>
      <c r="FMR258" s="609"/>
      <c r="FMS258" s="609"/>
      <c r="FMT258" s="609"/>
      <c r="FMU258" s="609"/>
      <c r="FMV258" s="609"/>
      <c r="FMW258" s="609"/>
      <c r="FMX258" s="609"/>
      <c r="FMY258" s="609"/>
      <c r="FMZ258" s="609"/>
      <c r="FNA258" s="609"/>
      <c r="FNB258" s="609"/>
      <c r="FNC258" s="609"/>
      <c r="FND258" s="609"/>
      <c r="FNE258" s="609"/>
      <c r="FNF258" s="609"/>
      <c r="FNG258" s="609"/>
      <c r="FNH258" s="609"/>
      <c r="FNI258" s="609"/>
      <c r="FNJ258" s="609"/>
      <c r="FNK258" s="609"/>
      <c r="FNL258" s="609"/>
      <c r="FNM258" s="609"/>
      <c r="FNN258" s="609"/>
      <c r="FNO258" s="609"/>
      <c r="FNP258" s="609"/>
      <c r="FNQ258" s="609"/>
      <c r="FNR258" s="609"/>
      <c r="FNS258" s="609"/>
      <c r="FNT258" s="609"/>
      <c r="FNU258" s="609"/>
      <c r="FNV258" s="609"/>
      <c r="FNW258" s="609"/>
      <c r="FNX258" s="609"/>
      <c r="FNY258" s="609"/>
      <c r="FNZ258" s="609"/>
      <c r="FOA258" s="609"/>
      <c r="FOB258" s="609"/>
      <c r="FOC258" s="609"/>
      <c r="FOD258" s="609"/>
      <c r="FOE258" s="609"/>
      <c r="FOF258" s="609"/>
      <c r="FOG258" s="609"/>
      <c r="FOH258" s="609"/>
      <c r="FOI258" s="609"/>
      <c r="FOJ258" s="609"/>
      <c r="FOK258" s="609"/>
      <c r="FOL258" s="609"/>
      <c r="FOM258" s="609"/>
      <c r="FON258" s="609"/>
      <c r="FOO258" s="609"/>
      <c r="FOP258" s="609"/>
      <c r="FOQ258" s="609"/>
      <c r="FOR258" s="609"/>
      <c r="FOS258" s="609"/>
      <c r="FOT258" s="609"/>
      <c r="FOU258" s="609"/>
      <c r="FOV258" s="609"/>
      <c r="FOW258" s="609"/>
      <c r="FOX258" s="609"/>
      <c r="FOY258" s="609"/>
      <c r="FOZ258" s="609"/>
      <c r="FPA258" s="609"/>
      <c r="FPB258" s="609"/>
      <c r="FPC258" s="609"/>
      <c r="FPD258" s="609"/>
      <c r="FPE258" s="609"/>
      <c r="FPF258" s="609"/>
      <c r="FPG258" s="609"/>
      <c r="FPH258" s="609"/>
      <c r="FPI258" s="609"/>
      <c r="FPJ258" s="609"/>
      <c r="FPK258" s="609"/>
      <c r="FPL258" s="609"/>
      <c r="FPM258" s="609"/>
      <c r="FPN258" s="609"/>
      <c r="FPO258" s="609"/>
      <c r="FPP258" s="609"/>
      <c r="FPQ258" s="609"/>
      <c r="FPR258" s="609"/>
      <c r="FPS258" s="609"/>
      <c r="FPT258" s="609"/>
      <c r="FPU258" s="609"/>
      <c r="FPV258" s="609"/>
      <c r="FPW258" s="609"/>
      <c r="FPX258" s="609"/>
      <c r="FPY258" s="609"/>
      <c r="FPZ258" s="609"/>
      <c r="FQA258" s="609"/>
      <c r="FQB258" s="609"/>
      <c r="FQC258" s="609"/>
      <c r="FQD258" s="609"/>
      <c r="FQE258" s="609"/>
      <c r="FQF258" s="609"/>
      <c r="FQG258" s="609"/>
      <c r="FQH258" s="609"/>
      <c r="FQI258" s="609"/>
      <c r="FQJ258" s="609"/>
      <c r="FQK258" s="609"/>
      <c r="FQL258" s="609"/>
      <c r="FQM258" s="609"/>
      <c r="FQN258" s="609"/>
      <c r="FQO258" s="609"/>
      <c r="FQP258" s="609"/>
      <c r="FQQ258" s="609"/>
      <c r="FQR258" s="609"/>
      <c r="FQS258" s="609"/>
      <c r="FQT258" s="609"/>
      <c r="FQU258" s="609"/>
      <c r="FQV258" s="609"/>
      <c r="FQW258" s="609"/>
      <c r="FQX258" s="609"/>
      <c r="FQY258" s="609"/>
      <c r="FQZ258" s="609"/>
      <c r="FRA258" s="609"/>
      <c r="FRB258" s="609"/>
      <c r="FRC258" s="609"/>
      <c r="FRD258" s="609"/>
      <c r="FRE258" s="609"/>
      <c r="FRF258" s="609"/>
      <c r="FRG258" s="609"/>
      <c r="FRH258" s="609"/>
      <c r="FRI258" s="609"/>
      <c r="FRJ258" s="609"/>
      <c r="FRK258" s="609"/>
      <c r="FRL258" s="609"/>
      <c r="FRM258" s="609"/>
      <c r="FRN258" s="609"/>
      <c r="FRO258" s="609"/>
      <c r="FRP258" s="609"/>
      <c r="FRQ258" s="609"/>
      <c r="FRR258" s="609"/>
      <c r="FRS258" s="609"/>
      <c r="FRT258" s="609"/>
      <c r="FRU258" s="609"/>
      <c r="FRV258" s="609"/>
      <c r="FRW258" s="609"/>
      <c r="FRX258" s="609"/>
      <c r="FRY258" s="609"/>
      <c r="FRZ258" s="609"/>
      <c r="FSA258" s="609"/>
      <c r="FSB258" s="609"/>
      <c r="FSC258" s="609"/>
      <c r="FSD258" s="609"/>
      <c r="FSE258" s="609"/>
      <c r="FSF258" s="609"/>
      <c r="FSG258" s="609"/>
      <c r="FSH258" s="609"/>
      <c r="FSI258" s="609"/>
      <c r="FSJ258" s="609"/>
      <c r="FSK258" s="609"/>
      <c r="FSL258" s="609"/>
      <c r="FSM258" s="609"/>
      <c r="FSN258" s="609"/>
      <c r="FSO258" s="609"/>
      <c r="FSP258" s="609"/>
      <c r="FSQ258" s="609"/>
      <c r="FSR258" s="609"/>
      <c r="FSS258" s="609"/>
      <c r="FST258" s="609"/>
      <c r="FSU258" s="609"/>
      <c r="FSV258" s="609"/>
      <c r="FSW258" s="609"/>
      <c r="FSX258" s="609"/>
      <c r="FSY258" s="609"/>
      <c r="FSZ258" s="609"/>
      <c r="FTA258" s="609"/>
      <c r="FTB258" s="609"/>
      <c r="FTC258" s="609"/>
      <c r="FTD258" s="609"/>
      <c r="FTE258" s="609"/>
      <c r="FTF258" s="609"/>
      <c r="FTG258" s="609"/>
      <c r="FTH258" s="609"/>
      <c r="FTI258" s="609"/>
      <c r="FTJ258" s="609"/>
      <c r="FTK258" s="609"/>
      <c r="FTL258" s="609"/>
      <c r="FTM258" s="609"/>
      <c r="FTN258" s="609"/>
      <c r="FTO258" s="609"/>
      <c r="FTP258" s="609"/>
      <c r="FTQ258" s="609"/>
      <c r="FTR258" s="609"/>
      <c r="FTS258" s="609"/>
      <c r="FTT258" s="609"/>
      <c r="FTU258" s="609"/>
      <c r="FTV258" s="609"/>
      <c r="FTW258" s="609"/>
      <c r="FTX258" s="609"/>
      <c r="FTY258" s="609"/>
      <c r="FTZ258" s="609"/>
      <c r="FUA258" s="609"/>
      <c r="FUB258" s="609"/>
      <c r="FUC258" s="609"/>
      <c r="FUD258" s="609"/>
      <c r="FUE258" s="609"/>
      <c r="FUF258" s="609"/>
      <c r="FUG258" s="609"/>
      <c r="FUH258" s="609"/>
      <c r="FUI258" s="609"/>
      <c r="FUJ258" s="609"/>
      <c r="FUK258" s="609"/>
      <c r="FUL258" s="609"/>
      <c r="FUM258" s="609"/>
      <c r="FUN258" s="609"/>
      <c r="FUO258" s="609"/>
      <c r="FUP258" s="609"/>
      <c r="FUQ258" s="609"/>
      <c r="FUR258" s="609"/>
      <c r="FUS258" s="609"/>
      <c r="FUT258" s="609"/>
      <c r="FUU258" s="609"/>
      <c r="FUV258" s="609"/>
      <c r="FUW258" s="609"/>
      <c r="FUX258" s="609"/>
      <c r="FUY258" s="609"/>
      <c r="FUZ258" s="609"/>
      <c r="FVA258" s="609"/>
      <c r="FVB258" s="609"/>
      <c r="FVC258" s="609"/>
      <c r="FVD258" s="609"/>
      <c r="FVE258" s="609"/>
      <c r="FVF258" s="609"/>
      <c r="FVG258" s="609"/>
      <c r="FVH258" s="609"/>
      <c r="FVI258" s="609"/>
      <c r="FVJ258" s="609"/>
      <c r="FVK258" s="609"/>
      <c r="FVL258" s="609"/>
      <c r="FVM258" s="609"/>
      <c r="FVN258" s="609"/>
      <c r="FVO258" s="609"/>
      <c r="FVP258" s="609"/>
      <c r="FVQ258" s="609"/>
      <c r="FVR258" s="609"/>
      <c r="FVS258" s="609"/>
      <c r="FVT258" s="609"/>
      <c r="FVU258" s="609"/>
      <c r="FVV258" s="609"/>
      <c r="FVW258" s="609"/>
      <c r="FVX258" s="609"/>
      <c r="FVY258" s="609"/>
      <c r="FVZ258" s="609"/>
      <c r="FWA258" s="609"/>
      <c r="FWB258" s="609"/>
      <c r="FWC258" s="609"/>
      <c r="FWD258" s="609"/>
      <c r="FWE258" s="609"/>
      <c r="FWF258" s="609"/>
      <c r="FWG258" s="609"/>
      <c r="FWH258" s="609"/>
      <c r="FWI258" s="609"/>
      <c r="FWJ258" s="609"/>
      <c r="FWK258" s="609"/>
      <c r="FWL258" s="609"/>
      <c r="FWM258" s="609"/>
      <c r="FWN258" s="609"/>
      <c r="FWO258" s="609"/>
      <c r="FWP258" s="609"/>
      <c r="FWQ258" s="609"/>
      <c r="FWR258" s="609"/>
      <c r="FWS258" s="609"/>
      <c r="FWT258" s="609"/>
      <c r="FWU258" s="609"/>
      <c r="FWV258" s="609"/>
      <c r="FWW258" s="609"/>
      <c r="FWX258" s="609"/>
      <c r="FWY258" s="609"/>
      <c r="FWZ258" s="609"/>
      <c r="FXA258" s="609"/>
      <c r="FXB258" s="609"/>
      <c r="FXC258" s="609"/>
      <c r="FXD258" s="609"/>
      <c r="FXE258" s="609"/>
      <c r="FXF258" s="609"/>
      <c r="FXG258" s="609"/>
      <c r="FXH258" s="609"/>
      <c r="FXI258" s="609"/>
      <c r="FXJ258" s="609"/>
      <c r="FXK258" s="609"/>
      <c r="FXL258" s="609"/>
      <c r="FXM258" s="609"/>
      <c r="FXN258" s="609"/>
      <c r="FXO258" s="609"/>
      <c r="FXP258" s="609"/>
      <c r="FXQ258" s="609"/>
      <c r="FXR258" s="609"/>
      <c r="FXS258" s="609"/>
      <c r="FXT258" s="609"/>
      <c r="FXU258" s="609"/>
      <c r="FXV258" s="609"/>
      <c r="FXW258" s="609"/>
      <c r="FXX258" s="609"/>
      <c r="FXY258" s="609"/>
      <c r="FXZ258" s="609"/>
      <c r="FYA258" s="609"/>
      <c r="FYB258" s="609"/>
      <c r="FYC258" s="609"/>
      <c r="FYD258" s="609"/>
      <c r="FYE258" s="609"/>
      <c r="FYF258" s="609"/>
      <c r="FYG258" s="609"/>
      <c r="FYH258" s="609"/>
      <c r="FYI258" s="609"/>
      <c r="FYJ258" s="609"/>
      <c r="FYK258" s="609"/>
      <c r="FYL258" s="609"/>
      <c r="FYM258" s="609"/>
      <c r="FYN258" s="609"/>
      <c r="FYO258" s="609"/>
      <c r="FYP258" s="609"/>
      <c r="FYQ258" s="609"/>
      <c r="FYR258" s="609"/>
      <c r="FYS258" s="609"/>
      <c r="FYT258" s="609"/>
      <c r="FYU258" s="609"/>
      <c r="FYV258" s="609"/>
      <c r="FYW258" s="609"/>
      <c r="FYX258" s="609"/>
      <c r="FYY258" s="609"/>
      <c r="FYZ258" s="609"/>
      <c r="FZA258" s="609"/>
      <c r="FZB258" s="609"/>
      <c r="FZC258" s="609"/>
      <c r="FZD258" s="609"/>
      <c r="FZE258" s="609"/>
      <c r="FZF258" s="609"/>
      <c r="FZG258" s="609"/>
      <c r="FZH258" s="609"/>
      <c r="FZI258" s="609"/>
      <c r="FZJ258" s="609"/>
      <c r="FZK258" s="609"/>
      <c r="FZL258" s="609"/>
      <c r="FZM258" s="609"/>
      <c r="FZN258" s="609"/>
      <c r="FZO258" s="609"/>
      <c r="FZP258" s="609"/>
      <c r="FZQ258" s="609"/>
      <c r="FZR258" s="609"/>
      <c r="FZS258" s="609"/>
      <c r="FZT258" s="609"/>
      <c r="FZU258" s="609"/>
      <c r="FZV258" s="609"/>
      <c r="FZW258" s="609"/>
      <c r="FZX258" s="609"/>
      <c r="FZY258" s="609"/>
      <c r="FZZ258" s="609"/>
      <c r="GAA258" s="609"/>
      <c r="GAB258" s="609"/>
      <c r="GAC258" s="609"/>
      <c r="GAD258" s="609"/>
      <c r="GAE258" s="609"/>
      <c r="GAF258" s="609"/>
      <c r="GAG258" s="609"/>
      <c r="GAH258" s="609"/>
      <c r="GAI258" s="609"/>
      <c r="GAJ258" s="609"/>
      <c r="GAK258" s="609"/>
      <c r="GAL258" s="609"/>
      <c r="GAM258" s="609"/>
      <c r="GAN258" s="609"/>
      <c r="GAO258" s="609"/>
      <c r="GAP258" s="609"/>
      <c r="GAQ258" s="609"/>
      <c r="GAR258" s="609"/>
      <c r="GAS258" s="609"/>
      <c r="GAT258" s="609"/>
      <c r="GAU258" s="609"/>
      <c r="GAV258" s="609"/>
      <c r="GAW258" s="609"/>
      <c r="GAX258" s="609"/>
      <c r="GAY258" s="609"/>
      <c r="GAZ258" s="609"/>
      <c r="GBA258" s="609"/>
      <c r="GBB258" s="609"/>
      <c r="GBC258" s="609"/>
      <c r="GBD258" s="609"/>
      <c r="GBE258" s="609"/>
      <c r="GBF258" s="609"/>
      <c r="GBG258" s="609"/>
      <c r="GBH258" s="609"/>
      <c r="GBI258" s="609"/>
      <c r="GBJ258" s="609"/>
      <c r="GBK258" s="609"/>
      <c r="GBL258" s="609"/>
      <c r="GBM258" s="609"/>
      <c r="GBN258" s="609"/>
      <c r="GBO258" s="609"/>
      <c r="GBP258" s="609"/>
      <c r="GBQ258" s="609"/>
      <c r="GBR258" s="609"/>
      <c r="GBS258" s="609"/>
      <c r="GBT258" s="609"/>
      <c r="GBU258" s="609"/>
      <c r="GBV258" s="609"/>
      <c r="GBW258" s="609"/>
      <c r="GBX258" s="609"/>
      <c r="GBY258" s="609"/>
      <c r="GBZ258" s="609"/>
      <c r="GCA258" s="609"/>
      <c r="GCB258" s="609"/>
      <c r="GCC258" s="609"/>
      <c r="GCD258" s="609"/>
      <c r="GCE258" s="609"/>
      <c r="GCF258" s="609"/>
      <c r="GCG258" s="609"/>
      <c r="GCH258" s="609"/>
      <c r="GCI258" s="609"/>
      <c r="GCJ258" s="609"/>
      <c r="GCK258" s="609"/>
      <c r="GCL258" s="609"/>
      <c r="GCM258" s="609"/>
      <c r="GCN258" s="609"/>
      <c r="GCO258" s="609"/>
      <c r="GCP258" s="609"/>
      <c r="GCQ258" s="609"/>
      <c r="GCR258" s="609"/>
      <c r="GCS258" s="609"/>
      <c r="GCT258" s="609"/>
      <c r="GCU258" s="609"/>
      <c r="GCV258" s="609"/>
      <c r="GCW258" s="609"/>
      <c r="GCX258" s="609"/>
      <c r="GCY258" s="609"/>
      <c r="GCZ258" s="609"/>
      <c r="GDA258" s="609"/>
      <c r="GDB258" s="609"/>
      <c r="GDC258" s="609"/>
      <c r="GDD258" s="609"/>
      <c r="GDE258" s="609"/>
      <c r="GDF258" s="609"/>
      <c r="GDG258" s="609"/>
      <c r="GDH258" s="609"/>
      <c r="GDI258" s="609"/>
      <c r="GDJ258" s="609"/>
      <c r="GDK258" s="609"/>
      <c r="GDL258" s="609"/>
      <c r="GDM258" s="609"/>
      <c r="GDN258" s="609"/>
      <c r="GDO258" s="609"/>
      <c r="GDP258" s="609"/>
      <c r="GDQ258" s="609"/>
      <c r="GDR258" s="609"/>
      <c r="GDS258" s="609"/>
      <c r="GDT258" s="609"/>
      <c r="GDU258" s="609"/>
      <c r="GDV258" s="609"/>
      <c r="GDW258" s="609"/>
      <c r="GDX258" s="609"/>
      <c r="GDY258" s="609"/>
      <c r="GDZ258" s="609"/>
      <c r="GEA258" s="609"/>
      <c r="GEB258" s="609"/>
      <c r="GEC258" s="609"/>
      <c r="GED258" s="609"/>
      <c r="GEE258" s="609"/>
      <c r="GEF258" s="609"/>
      <c r="GEG258" s="609"/>
      <c r="GEH258" s="609"/>
      <c r="GEI258" s="609"/>
      <c r="GEJ258" s="609"/>
      <c r="GEK258" s="609"/>
      <c r="GEL258" s="609"/>
      <c r="GEM258" s="609"/>
      <c r="GEN258" s="609"/>
      <c r="GEO258" s="609"/>
      <c r="GEP258" s="609"/>
      <c r="GEQ258" s="609"/>
      <c r="GER258" s="609"/>
      <c r="GES258" s="609"/>
      <c r="GET258" s="609"/>
      <c r="GEU258" s="609"/>
      <c r="GEV258" s="609"/>
      <c r="GEW258" s="609"/>
      <c r="GEX258" s="609"/>
      <c r="GEY258" s="609"/>
      <c r="GEZ258" s="609"/>
      <c r="GFA258" s="609"/>
      <c r="GFB258" s="609"/>
      <c r="GFC258" s="609"/>
      <c r="GFD258" s="609"/>
      <c r="GFE258" s="609"/>
      <c r="GFF258" s="609"/>
      <c r="GFG258" s="609"/>
      <c r="GFH258" s="609"/>
      <c r="GFI258" s="609"/>
      <c r="GFJ258" s="609"/>
      <c r="GFK258" s="609"/>
      <c r="GFL258" s="609"/>
      <c r="GFM258" s="609"/>
      <c r="GFN258" s="609"/>
      <c r="GFO258" s="609"/>
      <c r="GFP258" s="609"/>
      <c r="GFQ258" s="609"/>
      <c r="GFR258" s="609"/>
      <c r="GFS258" s="609"/>
      <c r="GFT258" s="609"/>
      <c r="GFU258" s="609"/>
      <c r="GFV258" s="609"/>
      <c r="GFW258" s="609"/>
      <c r="GFX258" s="609"/>
      <c r="GFY258" s="609"/>
      <c r="GFZ258" s="609"/>
      <c r="GGA258" s="609"/>
      <c r="GGB258" s="609"/>
      <c r="GGC258" s="609"/>
      <c r="GGD258" s="609"/>
      <c r="GGE258" s="609"/>
      <c r="GGF258" s="609"/>
      <c r="GGG258" s="609"/>
      <c r="GGH258" s="609"/>
      <c r="GGI258" s="609"/>
      <c r="GGJ258" s="609"/>
      <c r="GGK258" s="609"/>
      <c r="GGL258" s="609"/>
      <c r="GGM258" s="609"/>
      <c r="GGN258" s="609"/>
      <c r="GGO258" s="609"/>
      <c r="GGP258" s="609"/>
      <c r="GGQ258" s="609"/>
      <c r="GGR258" s="609"/>
      <c r="GGS258" s="609"/>
      <c r="GGT258" s="609"/>
      <c r="GGU258" s="609"/>
      <c r="GGV258" s="609"/>
      <c r="GGW258" s="609"/>
      <c r="GGX258" s="609"/>
      <c r="GGY258" s="609"/>
      <c r="GGZ258" s="609"/>
      <c r="GHA258" s="609"/>
      <c r="GHB258" s="609"/>
      <c r="GHC258" s="609"/>
      <c r="GHD258" s="609"/>
      <c r="GHE258" s="609"/>
      <c r="GHF258" s="609"/>
      <c r="GHG258" s="609"/>
      <c r="GHH258" s="609"/>
      <c r="GHI258" s="609"/>
      <c r="GHJ258" s="609"/>
      <c r="GHK258" s="609"/>
      <c r="GHL258" s="609"/>
      <c r="GHM258" s="609"/>
      <c r="GHN258" s="609"/>
      <c r="GHO258" s="609"/>
      <c r="GHP258" s="609"/>
      <c r="GHQ258" s="609"/>
      <c r="GHR258" s="609"/>
      <c r="GHS258" s="609"/>
      <c r="GHT258" s="609"/>
      <c r="GHU258" s="609"/>
      <c r="GHV258" s="609"/>
      <c r="GHW258" s="609"/>
      <c r="GHX258" s="609"/>
      <c r="GHY258" s="609"/>
      <c r="GHZ258" s="609"/>
      <c r="GIA258" s="609"/>
      <c r="GIB258" s="609"/>
      <c r="GIC258" s="609"/>
      <c r="GID258" s="609"/>
      <c r="GIE258" s="609"/>
      <c r="GIF258" s="609"/>
      <c r="GIG258" s="609"/>
      <c r="GIH258" s="609"/>
      <c r="GII258" s="609"/>
      <c r="GIJ258" s="609"/>
      <c r="GIK258" s="609"/>
      <c r="GIL258" s="609"/>
      <c r="GIM258" s="609"/>
      <c r="GIN258" s="609"/>
      <c r="GIO258" s="609"/>
      <c r="GIP258" s="609"/>
      <c r="GIQ258" s="609"/>
      <c r="GIR258" s="609"/>
      <c r="GIS258" s="609"/>
      <c r="GIT258" s="609"/>
      <c r="GIU258" s="609"/>
      <c r="GIV258" s="609"/>
      <c r="GIW258" s="609"/>
      <c r="GIX258" s="609"/>
      <c r="GIY258" s="609"/>
      <c r="GIZ258" s="609"/>
      <c r="GJA258" s="609"/>
      <c r="GJB258" s="609"/>
      <c r="GJC258" s="609"/>
      <c r="GJD258" s="609"/>
      <c r="GJE258" s="609"/>
      <c r="GJF258" s="609"/>
      <c r="GJG258" s="609"/>
      <c r="GJH258" s="609"/>
      <c r="GJI258" s="609"/>
      <c r="GJJ258" s="609"/>
      <c r="GJK258" s="609"/>
      <c r="GJL258" s="609"/>
      <c r="GJM258" s="609"/>
      <c r="GJN258" s="609"/>
      <c r="GJO258" s="609"/>
      <c r="GJP258" s="609"/>
      <c r="GJQ258" s="609"/>
      <c r="GJR258" s="609"/>
      <c r="GJS258" s="609"/>
      <c r="GJT258" s="609"/>
      <c r="GJU258" s="609"/>
      <c r="GJV258" s="609"/>
      <c r="GJW258" s="609"/>
      <c r="GJX258" s="609"/>
      <c r="GJY258" s="609"/>
      <c r="GJZ258" s="609"/>
      <c r="GKA258" s="609"/>
      <c r="GKB258" s="609"/>
      <c r="GKC258" s="609"/>
      <c r="GKD258" s="609"/>
      <c r="GKE258" s="609"/>
      <c r="GKF258" s="609"/>
      <c r="GKG258" s="609"/>
      <c r="GKH258" s="609"/>
      <c r="GKI258" s="609"/>
      <c r="GKJ258" s="609"/>
      <c r="GKK258" s="609"/>
      <c r="GKL258" s="609"/>
      <c r="GKM258" s="609"/>
      <c r="GKN258" s="609"/>
      <c r="GKO258" s="609"/>
      <c r="GKP258" s="609"/>
      <c r="GKQ258" s="609"/>
      <c r="GKR258" s="609"/>
      <c r="GKS258" s="609"/>
      <c r="GKT258" s="609"/>
      <c r="GKU258" s="609"/>
      <c r="GKV258" s="609"/>
      <c r="GKW258" s="609"/>
      <c r="GKX258" s="609"/>
      <c r="GKY258" s="609"/>
      <c r="GKZ258" s="609"/>
      <c r="GLA258" s="609"/>
      <c r="GLB258" s="609"/>
      <c r="GLC258" s="609"/>
      <c r="GLD258" s="609"/>
      <c r="GLE258" s="609"/>
      <c r="GLF258" s="609"/>
      <c r="GLG258" s="609"/>
      <c r="GLH258" s="609"/>
      <c r="GLI258" s="609"/>
      <c r="GLJ258" s="609"/>
      <c r="GLK258" s="609"/>
      <c r="GLL258" s="609"/>
      <c r="GLM258" s="609"/>
      <c r="GLN258" s="609"/>
      <c r="GLO258" s="609"/>
      <c r="GLP258" s="609"/>
      <c r="GLQ258" s="609"/>
      <c r="GLR258" s="609"/>
      <c r="GLS258" s="609"/>
      <c r="GLT258" s="609"/>
      <c r="GLU258" s="609"/>
      <c r="GLV258" s="609"/>
      <c r="GLW258" s="609"/>
      <c r="GLX258" s="609"/>
      <c r="GLY258" s="609"/>
      <c r="GLZ258" s="609"/>
      <c r="GMA258" s="609"/>
      <c r="GMB258" s="609"/>
      <c r="GMC258" s="609"/>
      <c r="GMD258" s="609"/>
      <c r="GME258" s="609"/>
      <c r="GMF258" s="609"/>
      <c r="GMG258" s="609"/>
      <c r="GMH258" s="609"/>
      <c r="GMI258" s="609"/>
      <c r="GMJ258" s="609"/>
      <c r="GMK258" s="609"/>
      <c r="GML258" s="609"/>
      <c r="GMM258" s="609"/>
      <c r="GMN258" s="609"/>
      <c r="GMO258" s="609"/>
      <c r="GMP258" s="609"/>
      <c r="GMQ258" s="609"/>
      <c r="GMR258" s="609"/>
      <c r="GMS258" s="609"/>
      <c r="GMT258" s="609"/>
      <c r="GMU258" s="609"/>
      <c r="GMV258" s="609"/>
      <c r="GMW258" s="609"/>
      <c r="GMX258" s="609"/>
      <c r="GMY258" s="609"/>
      <c r="GMZ258" s="609"/>
      <c r="GNA258" s="609"/>
      <c r="GNB258" s="609"/>
      <c r="GNC258" s="609"/>
      <c r="GND258" s="609"/>
      <c r="GNE258" s="609"/>
      <c r="GNF258" s="609"/>
      <c r="GNG258" s="609"/>
      <c r="GNH258" s="609"/>
      <c r="GNI258" s="609"/>
      <c r="GNJ258" s="609"/>
      <c r="GNK258" s="609"/>
      <c r="GNL258" s="609"/>
      <c r="GNM258" s="609"/>
      <c r="GNN258" s="609"/>
      <c r="GNO258" s="609"/>
      <c r="GNP258" s="609"/>
      <c r="GNQ258" s="609"/>
      <c r="GNR258" s="609"/>
      <c r="GNS258" s="609"/>
      <c r="GNT258" s="609"/>
      <c r="GNU258" s="609"/>
      <c r="GNV258" s="609"/>
      <c r="GNW258" s="609"/>
      <c r="GNX258" s="609"/>
      <c r="GNY258" s="609"/>
      <c r="GNZ258" s="609"/>
      <c r="GOA258" s="609"/>
      <c r="GOB258" s="609"/>
      <c r="GOC258" s="609"/>
      <c r="GOD258" s="609"/>
      <c r="GOE258" s="609"/>
      <c r="GOF258" s="609"/>
      <c r="GOG258" s="609"/>
      <c r="GOH258" s="609"/>
      <c r="GOI258" s="609"/>
      <c r="GOJ258" s="609"/>
      <c r="GOK258" s="609"/>
      <c r="GOL258" s="609"/>
      <c r="GOM258" s="609"/>
      <c r="GON258" s="609"/>
      <c r="GOO258" s="609"/>
      <c r="GOP258" s="609"/>
      <c r="GOQ258" s="609"/>
      <c r="GOR258" s="609"/>
      <c r="GOS258" s="609"/>
      <c r="GOT258" s="609"/>
      <c r="GOU258" s="609"/>
      <c r="GOV258" s="609"/>
      <c r="GOW258" s="609"/>
      <c r="GOX258" s="609"/>
      <c r="GOY258" s="609"/>
      <c r="GOZ258" s="609"/>
      <c r="GPA258" s="609"/>
      <c r="GPB258" s="609"/>
      <c r="GPC258" s="609"/>
      <c r="GPD258" s="609"/>
      <c r="GPE258" s="609"/>
      <c r="GPF258" s="609"/>
      <c r="GPG258" s="609"/>
      <c r="GPH258" s="609"/>
      <c r="GPI258" s="609"/>
      <c r="GPJ258" s="609"/>
      <c r="GPK258" s="609"/>
      <c r="GPL258" s="609"/>
      <c r="GPM258" s="609"/>
      <c r="GPN258" s="609"/>
      <c r="GPO258" s="609"/>
      <c r="GPP258" s="609"/>
      <c r="GPQ258" s="609"/>
      <c r="GPR258" s="609"/>
      <c r="GPS258" s="609"/>
      <c r="GPT258" s="609"/>
      <c r="GPU258" s="609"/>
      <c r="GPV258" s="609"/>
      <c r="GPW258" s="609"/>
      <c r="GPX258" s="609"/>
      <c r="GPY258" s="609"/>
      <c r="GPZ258" s="609"/>
      <c r="GQA258" s="609"/>
      <c r="GQB258" s="609"/>
      <c r="GQC258" s="609"/>
      <c r="GQD258" s="609"/>
      <c r="GQE258" s="609"/>
      <c r="GQF258" s="609"/>
      <c r="GQG258" s="609"/>
      <c r="GQH258" s="609"/>
      <c r="GQI258" s="609"/>
      <c r="GQJ258" s="609"/>
      <c r="GQK258" s="609"/>
      <c r="GQL258" s="609"/>
      <c r="GQM258" s="609"/>
      <c r="GQN258" s="609"/>
      <c r="GQO258" s="609"/>
      <c r="GQP258" s="609"/>
      <c r="GQQ258" s="609"/>
      <c r="GQR258" s="609"/>
      <c r="GQS258" s="609"/>
      <c r="GQT258" s="609"/>
      <c r="GQU258" s="609"/>
      <c r="GQV258" s="609"/>
      <c r="GQW258" s="609"/>
      <c r="GQX258" s="609"/>
      <c r="GQY258" s="609"/>
      <c r="GQZ258" s="609"/>
      <c r="GRA258" s="609"/>
      <c r="GRB258" s="609"/>
      <c r="GRC258" s="609"/>
      <c r="GRD258" s="609"/>
      <c r="GRE258" s="609"/>
      <c r="GRF258" s="609"/>
      <c r="GRG258" s="609"/>
      <c r="GRH258" s="609"/>
      <c r="GRI258" s="609"/>
      <c r="GRJ258" s="609"/>
      <c r="GRK258" s="609"/>
      <c r="GRL258" s="609"/>
      <c r="GRM258" s="609"/>
      <c r="GRN258" s="609"/>
      <c r="GRO258" s="609"/>
      <c r="GRP258" s="609"/>
      <c r="GRQ258" s="609"/>
      <c r="GRR258" s="609"/>
      <c r="GRS258" s="609"/>
      <c r="GRT258" s="609"/>
      <c r="GRU258" s="609"/>
      <c r="GRV258" s="609"/>
      <c r="GRW258" s="609"/>
      <c r="GRX258" s="609"/>
      <c r="GRY258" s="609"/>
      <c r="GRZ258" s="609"/>
      <c r="GSA258" s="609"/>
      <c r="GSB258" s="609"/>
      <c r="GSC258" s="609"/>
      <c r="GSD258" s="609"/>
      <c r="GSE258" s="609"/>
      <c r="GSF258" s="609"/>
      <c r="GSG258" s="609"/>
      <c r="GSH258" s="609"/>
      <c r="GSI258" s="609"/>
      <c r="GSJ258" s="609"/>
      <c r="GSK258" s="609"/>
      <c r="GSL258" s="609"/>
      <c r="GSM258" s="609"/>
      <c r="GSN258" s="609"/>
      <c r="GSO258" s="609"/>
      <c r="GSP258" s="609"/>
      <c r="GSQ258" s="609"/>
      <c r="GSR258" s="609"/>
      <c r="GSS258" s="609"/>
      <c r="GST258" s="609"/>
      <c r="GSU258" s="609"/>
      <c r="GSV258" s="609"/>
      <c r="GSW258" s="609"/>
      <c r="GSX258" s="609"/>
      <c r="GSY258" s="609"/>
      <c r="GSZ258" s="609"/>
      <c r="GTA258" s="609"/>
      <c r="GTB258" s="609"/>
      <c r="GTC258" s="609"/>
      <c r="GTD258" s="609"/>
      <c r="GTE258" s="609"/>
      <c r="GTF258" s="609"/>
      <c r="GTG258" s="609"/>
      <c r="GTH258" s="609"/>
      <c r="GTI258" s="609"/>
      <c r="GTJ258" s="609"/>
      <c r="GTK258" s="609"/>
      <c r="GTL258" s="609"/>
      <c r="GTM258" s="609"/>
      <c r="GTN258" s="609"/>
      <c r="GTO258" s="609"/>
      <c r="GTP258" s="609"/>
      <c r="GTQ258" s="609"/>
      <c r="GTR258" s="609"/>
      <c r="GTS258" s="609"/>
      <c r="GTT258" s="609"/>
      <c r="GTU258" s="609"/>
      <c r="GTV258" s="609"/>
      <c r="GTW258" s="609"/>
      <c r="GTX258" s="609"/>
      <c r="GTY258" s="609"/>
      <c r="GTZ258" s="609"/>
      <c r="GUA258" s="609"/>
      <c r="GUB258" s="609"/>
      <c r="GUC258" s="609"/>
      <c r="GUD258" s="609"/>
      <c r="GUE258" s="609"/>
      <c r="GUF258" s="609"/>
      <c r="GUG258" s="609"/>
      <c r="GUH258" s="609"/>
      <c r="GUI258" s="609"/>
      <c r="GUJ258" s="609"/>
      <c r="GUK258" s="609"/>
      <c r="GUL258" s="609"/>
      <c r="GUM258" s="609"/>
      <c r="GUN258" s="609"/>
      <c r="GUO258" s="609"/>
      <c r="GUP258" s="609"/>
      <c r="GUQ258" s="609"/>
      <c r="GUR258" s="609"/>
      <c r="GUS258" s="609"/>
      <c r="GUT258" s="609"/>
      <c r="GUU258" s="609"/>
      <c r="GUV258" s="609"/>
      <c r="GUW258" s="609"/>
      <c r="GUX258" s="609"/>
      <c r="GUY258" s="609"/>
      <c r="GUZ258" s="609"/>
      <c r="GVA258" s="609"/>
      <c r="GVB258" s="609"/>
      <c r="GVC258" s="609"/>
      <c r="GVD258" s="609"/>
      <c r="GVE258" s="609"/>
      <c r="GVF258" s="609"/>
      <c r="GVG258" s="609"/>
      <c r="GVH258" s="609"/>
      <c r="GVI258" s="609"/>
      <c r="GVJ258" s="609"/>
      <c r="GVK258" s="609"/>
      <c r="GVL258" s="609"/>
      <c r="GVM258" s="609"/>
      <c r="GVN258" s="609"/>
      <c r="GVO258" s="609"/>
      <c r="GVP258" s="609"/>
      <c r="GVQ258" s="609"/>
      <c r="GVR258" s="609"/>
      <c r="GVS258" s="609"/>
      <c r="GVT258" s="609"/>
      <c r="GVU258" s="609"/>
      <c r="GVV258" s="609"/>
      <c r="GVW258" s="609"/>
      <c r="GVX258" s="609"/>
      <c r="GVY258" s="609"/>
      <c r="GVZ258" s="609"/>
      <c r="GWA258" s="609"/>
      <c r="GWB258" s="609"/>
      <c r="GWC258" s="609"/>
      <c r="GWD258" s="609"/>
      <c r="GWE258" s="609"/>
      <c r="GWF258" s="609"/>
      <c r="GWG258" s="609"/>
      <c r="GWH258" s="609"/>
      <c r="GWI258" s="609"/>
      <c r="GWJ258" s="609"/>
      <c r="GWK258" s="609"/>
      <c r="GWL258" s="609"/>
      <c r="GWM258" s="609"/>
      <c r="GWN258" s="609"/>
      <c r="GWO258" s="609"/>
      <c r="GWP258" s="609"/>
      <c r="GWQ258" s="609"/>
      <c r="GWR258" s="609"/>
      <c r="GWS258" s="609"/>
      <c r="GWT258" s="609"/>
      <c r="GWU258" s="609"/>
      <c r="GWV258" s="609"/>
      <c r="GWW258" s="609"/>
      <c r="GWX258" s="609"/>
      <c r="GWY258" s="609"/>
      <c r="GWZ258" s="609"/>
      <c r="GXA258" s="609"/>
      <c r="GXB258" s="609"/>
      <c r="GXC258" s="609"/>
      <c r="GXD258" s="609"/>
      <c r="GXE258" s="609"/>
      <c r="GXF258" s="609"/>
      <c r="GXG258" s="609"/>
      <c r="GXH258" s="609"/>
      <c r="GXI258" s="609"/>
      <c r="GXJ258" s="609"/>
      <c r="GXK258" s="609"/>
      <c r="GXL258" s="609"/>
      <c r="GXM258" s="609"/>
      <c r="GXN258" s="609"/>
      <c r="GXO258" s="609"/>
      <c r="GXP258" s="609"/>
      <c r="GXQ258" s="609"/>
      <c r="GXR258" s="609"/>
      <c r="GXS258" s="609"/>
      <c r="GXT258" s="609"/>
      <c r="GXU258" s="609"/>
      <c r="GXV258" s="609"/>
      <c r="GXW258" s="609"/>
      <c r="GXX258" s="609"/>
      <c r="GXY258" s="609"/>
      <c r="GXZ258" s="609"/>
      <c r="GYA258" s="609"/>
      <c r="GYB258" s="609"/>
      <c r="GYC258" s="609"/>
      <c r="GYD258" s="609"/>
      <c r="GYE258" s="609"/>
      <c r="GYF258" s="609"/>
      <c r="GYG258" s="609"/>
      <c r="GYH258" s="609"/>
      <c r="GYI258" s="609"/>
      <c r="GYJ258" s="609"/>
      <c r="GYK258" s="609"/>
      <c r="GYL258" s="609"/>
      <c r="GYM258" s="609"/>
      <c r="GYN258" s="609"/>
      <c r="GYO258" s="609"/>
      <c r="GYP258" s="609"/>
      <c r="GYQ258" s="609"/>
      <c r="GYR258" s="609"/>
      <c r="GYS258" s="609"/>
      <c r="GYT258" s="609"/>
      <c r="GYU258" s="609"/>
      <c r="GYV258" s="609"/>
      <c r="GYW258" s="609"/>
      <c r="GYX258" s="609"/>
      <c r="GYY258" s="609"/>
      <c r="GYZ258" s="609"/>
      <c r="GZA258" s="609"/>
      <c r="GZB258" s="609"/>
      <c r="GZC258" s="609"/>
      <c r="GZD258" s="609"/>
      <c r="GZE258" s="609"/>
      <c r="GZF258" s="609"/>
      <c r="GZG258" s="609"/>
      <c r="GZH258" s="609"/>
      <c r="GZI258" s="609"/>
      <c r="GZJ258" s="609"/>
      <c r="GZK258" s="609"/>
      <c r="GZL258" s="609"/>
      <c r="GZM258" s="609"/>
      <c r="GZN258" s="609"/>
      <c r="GZO258" s="609"/>
      <c r="GZP258" s="609"/>
      <c r="GZQ258" s="609"/>
      <c r="GZR258" s="609"/>
      <c r="GZS258" s="609"/>
      <c r="GZT258" s="609"/>
      <c r="GZU258" s="609"/>
      <c r="GZV258" s="609"/>
      <c r="GZW258" s="609"/>
      <c r="GZX258" s="609"/>
      <c r="GZY258" s="609"/>
      <c r="GZZ258" s="609"/>
      <c r="HAA258" s="609"/>
      <c r="HAB258" s="609"/>
      <c r="HAC258" s="609"/>
      <c r="HAD258" s="609"/>
      <c r="HAE258" s="609"/>
      <c r="HAF258" s="609"/>
      <c r="HAG258" s="609"/>
      <c r="HAH258" s="609"/>
      <c r="HAI258" s="609"/>
      <c r="HAJ258" s="609"/>
      <c r="HAK258" s="609"/>
      <c r="HAL258" s="609"/>
      <c r="HAM258" s="609"/>
      <c r="HAN258" s="609"/>
      <c r="HAO258" s="609"/>
      <c r="HAP258" s="609"/>
      <c r="HAQ258" s="609"/>
      <c r="HAR258" s="609"/>
      <c r="HAS258" s="609"/>
      <c r="HAT258" s="609"/>
      <c r="HAU258" s="609"/>
      <c r="HAV258" s="609"/>
      <c r="HAW258" s="609"/>
      <c r="HAX258" s="609"/>
      <c r="HAY258" s="609"/>
      <c r="HAZ258" s="609"/>
      <c r="HBA258" s="609"/>
      <c r="HBB258" s="609"/>
      <c r="HBC258" s="609"/>
      <c r="HBD258" s="609"/>
      <c r="HBE258" s="609"/>
      <c r="HBF258" s="609"/>
      <c r="HBG258" s="609"/>
      <c r="HBH258" s="609"/>
      <c r="HBI258" s="609"/>
      <c r="HBJ258" s="609"/>
      <c r="HBK258" s="609"/>
      <c r="HBL258" s="609"/>
      <c r="HBM258" s="609"/>
      <c r="HBN258" s="609"/>
      <c r="HBO258" s="609"/>
      <c r="HBP258" s="609"/>
      <c r="HBQ258" s="609"/>
      <c r="HBR258" s="609"/>
      <c r="HBS258" s="609"/>
      <c r="HBT258" s="609"/>
      <c r="HBU258" s="609"/>
      <c r="HBV258" s="609"/>
      <c r="HBW258" s="609"/>
      <c r="HBX258" s="609"/>
      <c r="HBY258" s="609"/>
      <c r="HBZ258" s="609"/>
      <c r="HCA258" s="609"/>
      <c r="HCB258" s="609"/>
      <c r="HCC258" s="609"/>
      <c r="HCD258" s="609"/>
      <c r="HCE258" s="609"/>
      <c r="HCF258" s="609"/>
      <c r="HCG258" s="609"/>
      <c r="HCH258" s="609"/>
      <c r="HCI258" s="609"/>
      <c r="HCJ258" s="609"/>
      <c r="HCK258" s="609"/>
      <c r="HCL258" s="609"/>
      <c r="HCM258" s="609"/>
      <c r="HCN258" s="609"/>
      <c r="HCO258" s="609"/>
      <c r="HCP258" s="609"/>
      <c r="HCQ258" s="609"/>
      <c r="HCR258" s="609"/>
      <c r="HCS258" s="609"/>
      <c r="HCT258" s="609"/>
      <c r="HCU258" s="609"/>
      <c r="HCV258" s="609"/>
      <c r="HCW258" s="609"/>
      <c r="HCX258" s="609"/>
      <c r="HCY258" s="609"/>
      <c r="HCZ258" s="609"/>
      <c r="HDA258" s="609"/>
      <c r="HDB258" s="609"/>
      <c r="HDC258" s="609"/>
      <c r="HDD258" s="609"/>
      <c r="HDE258" s="609"/>
      <c r="HDF258" s="609"/>
      <c r="HDG258" s="609"/>
      <c r="HDH258" s="609"/>
      <c r="HDI258" s="609"/>
      <c r="HDJ258" s="609"/>
      <c r="HDK258" s="609"/>
      <c r="HDL258" s="609"/>
      <c r="HDM258" s="609"/>
      <c r="HDN258" s="609"/>
      <c r="HDO258" s="609"/>
      <c r="HDP258" s="609"/>
      <c r="HDQ258" s="609"/>
      <c r="HDR258" s="609"/>
      <c r="HDS258" s="609"/>
      <c r="HDT258" s="609"/>
      <c r="HDU258" s="609"/>
      <c r="HDV258" s="609"/>
      <c r="HDW258" s="609"/>
      <c r="HDX258" s="609"/>
      <c r="HDY258" s="609"/>
      <c r="HDZ258" s="609"/>
      <c r="HEA258" s="609"/>
      <c r="HEB258" s="609"/>
      <c r="HEC258" s="609"/>
      <c r="HED258" s="609"/>
      <c r="HEE258" s="609"/>
      <c r="HEF258" s="609"/>
      <c r="HEG258" s="609"/>
      <c r="HEH258" s="609"/>
      <c r="HEI258" s="609"/>
      <c r="HEJ258" s="609"/>
      <c r="HEK258" s="609"/>
      <c r="HEL258" s="609"/>
      <c r="HEM258" s="609"/>
      <c r="HEN258" s="609"/>
      <c r="HEO258" s="609"/>
      <c r="HEP258" s="609"/>
      <c r="HEQ258" s="609"/>
      <c r="HER258" s="609"/>
      <c r="HES258" s="609"/>
      <c r="HET258" s="609"/>
      <c r="HEU258" s="609"/>
      <c r="HEV258" s="609"/>
      <c r="HEW258" s="609"/>
      <c r="HEX258" s="609"/>
      <c r="HEY258" s="609"/>
      <c r="HEZ258" s="609"/>
      <c r="HFA258" s="609"/>
      <c r="HFB258" s="609"/>
      <c r="HFC258" s="609"/>
      <c r="HFD258" s="609"/>
      <c r="HFE258" s="609"/>
      <c r="HFF258" s="609"/>
      <c r="HFG258" s="609"/>
      <c r="HFH258" s="609"/>
      <c r="HFI258" s="609"/>
      <c r="HFJ258" s="609"/>
      <c r="HFK258" s="609"/>
      <c r="HFL258" s="609"/>
      <c r="HFM258" s="609"/>
      <c r="HFN258" s="609"/>
      <c r="HFO258" s="609"/>
      <c r="HFP258" s="609"/>
      <c r="HFQ258" s="609"/>
      <c r="HFR258" s="609"/>
      <c r="HFS258" s="609"/>
      <c r="HFT258" s="609"/>
      <c r="HFU258" s="609"/>
      <c r="HFV258" s="609"/>
      <c r="HFW258" s="609"/>
      <c r="HFX258" s="609"/>
      <c r="HFY258" s="609"/>
      <c r="HFZ258" s="609"/>
      <c r="HGA258" s="609"/>
      <c r="HGB258" s="609"/>
      <c r="HGC258" s="609"/>
      <c r="HGD258" s="609"/>
      <c r="HGE258" s="609"/>
      <c r="HGF258" s="609"/>
      <c r="HGG258" s="609"/>
      <c r="HGH258" s="609"/>
      <c r="HGI258" s="609"/>
      <c r="HGJ258" s="609"/>
      <c r="HGK258" s="609"/>
      <c r="HGL258" s="609"/>
      <c r="HGM258" s="609"/>
      <c r="HGN258" s="609"/>
      <c r="HGO258" s="609"/>
      <c r="HGP258" s="609"/>
      <c r="HGQ258" s="609"/>
      <c r="HGR258" s="609"/>
      <c r="HGS258" s="609"/>
      <c r="HGT258" s="609"/>
      <c r="HGU258" s="609"/>
      <c r="HGV258" s="609"/>
      <c r="HGW258" s="609"/>
      <c r="HGX258" s="609"/>
      <c r="HGY258" s="609"/>
      <c r="HGZ258" s="609"/>
      <c r="HHA258" s="609"/>
      <c r="HHB258" s="609"/>
      <c r="HHC258" s="609"/>
      <c r="HHD258" s="609"/>
      <c r="HHE258" s="609"/>
      <c r="HHF258" s="609"/>
      <c r="HHG258" s="609"/>
      <c r="HHH258" s="609"/>
      <c r="HHI258" s="609"/>
      <c r="HHJ258" s="609"/>
      <c r="HHK258" s="609"/>
      <c r="HHL258" s="609"/>
      <c r="HHM258" s="609"/>
      <c r="HHN258" s="609"/>
      <c r="HHO258" s="609"/>
      <c r="HHP258" s="609"/>
      <c r="HHQ258" s="609"/>
      <c r="HHR258" s="609"/>
      <c r="HHS258" s="609"/>
      <c r="HHT258" s="609"/>
      <c r="HHU258" s="609"/>
      <c r="HHV258" s="609"/>
      <c r="HHW258" s="609"/>
      <c r="HHX258" s="609"/>
      <c r="HHY258" s="609"/>
      <c r="HHZ258" s="609"/>
      <c r="HIA258" s="609"/>
      <c r="HIB258" s="609"/>
      <c r="HIC258" s="609"/>
      <c r="HID258" s="609"/>
      <c r="HIE258" s="609"/>
      <c r="HIF258" s="609"/>
      <c r="HIG258" s="609"/>
      <c r="HIH258" s="609"/>
      <c r="HII258" s="609"/>
      <c r="HIJ258" s="609"/>
      <c r="HIK258" s="609"/>
      <c r="HIL258" s="609"/>
      <c r="HIM258" s="609"/>
      <c r="HIN258" s="609"/>
      <c r="HIO258" s="609"/>
      <c r="HIP258" s="609"/>
      <c r="HIQ258" s="609"/>
      <c r="HIR258" s="609"/>
      <c r="HIS258" s="609"/>
      <c r="HIT258" s="609"/>
      <c r="HIU258" s="609"/>
      <c r="HIV258" s="609"/>
      <c r="HIW258" s="609"/>
      <c r="HIX258" s="609"/>
      <c r="HIY258" s="609"/>
      <c r="HIZ258" s="609"/>
      <c r="HJA258" s="609"/>
      <c r="HJB258" s="609"/>
      <c r="HJC258" s="609"/>
      <c r="HJD258" s="609"/>
      <c r="HJE258" s="609"/>
      <c r="HJF258" s="609"/>
      <c r="HJG258" s="609"/>
      <c r="HJH258" s="609"/>
      <c r="HJI258" s="609"/>
      <c r="HJJ258" s="609"/>
      <c r="HJK258" s="609"/>
      <c r="HJL258" s="609"/>
      <c r="HJM258" s="609"/>
      <c r="HJN258" s="609"/>
      <c r="HJO258" s="609"/>
      <c r="HJP258" s="609"/>
      <c r="HJQ258" s="609"/>
      <c r="HJR258" s="609"/>
      <c r="HJS258" s="609"/>
      <c r="HJT258" s="609"/>
      <c r="HJU258" s="609"/>
      <c r="HJV258" s="609"/>
      <c r="HJW258" s="609"/>
      <c r="HJX258" s="609"/>
      <c r="HJY258" s="609"/>
      <c r="HJZ258" s="609"/>
      <c r="HKA258" s="609"/>
      <c r="HKB258" s="609"/>
      <c r="HKC258" s="609"/>
      <c r="HKD258" s="609"/>
      <c r="HKE258" s="609"/>
      <c r="HKF258" s="609"/>
      <c r="HKG258" s="609"/>
      <c r="HKH258" s="609"/>
      <c r="HKI258" s="609"/>
      <c r="HKJ258" s="609"/>
      <c r="HKK258" s="609"/>
      <c r="HKL258" s="609"/>
      <c r="HKM258" s="609"/>
      <c r="HKN258" s="609"/>
      <c r="HKO258" s="609"/>
      <c r="HKP258" s="609"/>
      <c r="HKQ258" s="609"/>
      <c r="HKR258" s="609"/>
      <c r="HKS258" s="609"/>
      <c r="HKT258" s="609"/>
      <c r="HKU258" s="609"/>
      <c r="HKV258" s="609"/>
      <c r="HKW258" s="609"/>
      <c r="HKX258" s="609"/>
      <c r="HKY258" s="609"/>
      <c r="HKZ258" s="609"/>
      <c r="HLA258" s="609"/>
      <c r="HLB258" s="609"/>
      <c r="HLC258" s="609"/>
      <c r="HLD258" s="609"/>
      <c r="HLE258" s="609"/>
      <c r="HLF258" s="609"/>
      <c r="HLG258" s="609"/>
      <c r="HLH258" s="609"/>
      <c r="HLI258" s="609"/>
      <c r="HLJ258" s="609"/>
      <c r="HLK258" s="609"/>
      <c r="HLL258" s="609"/>
      <c r="HLM258" s="609"/>
      <c r="HLN258" s="609"/>
      <c r="HLO258" s="609"/>
      <c r="HLP258" s="609"/>
      <c r="HLQ258" s="609"/>
      <c r="HLR258" s="609"/>
      <c r="HLS258" s="609"/>
      <c r="HLT258" s="609"/>
      <c r="HLU258" s="609"/>
      <c r="HLV258" s="609"/>
      <c r="HLW258" s="609"/>
      <c r="HLX258" s="609"/>
      <c r="HLY258" s="609"/>
      <c r="HLZ258" s="609"/>
      <c r="HMA258" s="609"/>
      <c r="HMB258" s="609"/>
      <c r="HMC258" s="609"/>
      <c r="HMD258" s="609"/>
      <c r="HME258" s="609"/>
      <c r="HMF258" s="609"/>
      <c r="HMG258" s="609"/>
      <c r="HMH258" s="609"/>
      <c r="HMI258" s="609"/>
      <c r="HMJ258" s="609"/>
      <c r="HMK258" s="609"/>
      <c r="HML258" s="609"/>
      <c r="HMM258" s="609"/>
      <c r="HMN258" s="609"/>
      <c r="HMO258" s="609"/>
      <c r="HMP258" s="609"/>
      <c r="HMQ258" s="609"/>
      <c r="HMR258" s="609"/>
      <c r="HMS258" s="609"/>
      <c r="HMT258" s="609"/>
      <c r="HMU258" s="609"/>
      <c r="HMV258" s="609"/>
      <c r="HMW258" s="609"/>
      <c r="HMX258" s="609"/>
      <c r="HMY258" s="609"/>
      <c r="HMZ258" s="609"/>
      <c r="HNA258" s="609"/>
      <c r="HNB258" s="609"/>
      <c r="HNC258" s="609"/>
      <c r="HND258" s="609"/>
      <c r="HNE258" s="609"/>
      <c r="HNF258" s="609"/>
      <c r="HNG258" s="609"/>
      <c r="HNH258" s="609"/>
      <c r="HNI258" s="609"/>
      <c r="HNJ258" s="609"/>
      <c r="HNK258" s="609"/>
      <c r="HNL258" s="609"/>
      <c r="HNM258" s="609"/>
      <c r="HNN258" s="609"/>
      <c r="HNO258" s="609"/>
      <c r="HNP258" s="609"/>
      <c r="HNQ258" s="609"/>
      <c r="HNR258" s="609"/>
      <c r="HNS258" s="609"/>
      <c r="HNT258" s="609"/>
      <c r="HNU258" s="609"/>
      <c r="HNV258" s="609"/>
      <c r="HNW258" s="609"/>
      <c r="HNX258" s="609"/>
      <c r="HNY258" s="609"/>
      <c r="HNZ258" s="609"/>
      <c r="HOA258" s="609"/>
      <c r="HOB258" s="609"/>
      <c r="HOC258" s="609"/>
      <c r="HOD258" s="609"/>
      <c r="HOE258" s="609"/>
      <c r="HOF258" s="609"/>
      <c r="HOG258" s="609"/>
      <c r="HOH258" s="609"/>
      <c r="HOI258" s="609"/>
      <c r="HOJ258" s="609"/>
      <c r="HOK258" s="609"/>
      <c r="HOL258" s="609"/>
      <c r="HOM258" s="609"/>
      <c r="HON258" s="609"/>
      <c r="HOO258" s="609"/>
      <c r="HOP258" s="609"/>
      <c r="HOQ258" s="609"/>
      <c r="HOR258" s="609"/>
      <c r="HOS258" s="609"/>
      <c r="HOT258" s="609"/>
      <c r="HOU258" s="609"/>
      <c r="HOV258" s="609"/>
      <c r="HOW258" s="609"/>
      <c r="HOX258" s="609"/>
      <c r="HOY258" s="609"/>
      <c r="HOZ258" s="609"/>
      <c r="HPA258" s="609"/>
      <c r="HPB258" s="609"/>
      <c r="HPC258" s="609"/>
      <c r="HPD258" s="609"/>
      <c r="HPE258" s="609"/>
      <c r="HPF258" s="609"/>
      <c r="HPG258" s="609"/>
      <c r="HPH258" s="609"/>
      <c r="HPI258" s="609"/>
      <c r="HPJ258" s="609"/>
      <c r="HPK258" s="609"/>
      <c r="HPL258" s="609"/>
      <c r="HPM258" s="609"/>
      <c r="HPN258" s="609"/>
      <c r="HPO258" s="609"/>
      <c r="HPP258" s="609"/>
      <c r="HPQ258" s="609"/>
      <c r="HPR258" s="609"/>
      <c r="HPS258" s="609"/>
      <c r="HPT258" s="609"/>
      <c r="HPU258" s="609"/>
      <c r="HPV258" s="609"/>
      <c r="HPW258" s="609"/>
      <c r="HPX258" s="609"/>
      <c r="HPY258" s="609"/>
      <c r="HPZ258" s="609"/>
      <c r="HQA258" s="609"/>
      <c r="HQB258" s="609"/>
      <c r="HQC258" s="609"/>
      <c r="HQD258" s="609"/>
      <c r="HQE258" s="609"/>
      <c r="HQF258" s="609"/>
      <c r="HQG258" s="609"/>
      <c r="HQH258" s="609"/>
      <c r="HQI258" s="609"/>
      <c r="HQJ258" s="609"/>
      <c r="HQK258" s="609"/>
      <c r="HQL258" s="609"/>
      <c r="HQM258" s="609"/>
      <c r="HQN258" s="609"/>
      <c r="HQO258" s="609"/>
      <c r="HQP258" s="609"/>
      <c r="HQQ258" s="609"/>
      <c r="HQR258" s="609"/>
      <c r="HQS258" s="609"/>
      <c r="HQT258" s="609"/>
      <c r="HQU258" s="609"/>
      <c r="HQV258" s="609"/>
      <c r="HQW258" s="609"/>
      <c r="HQX258" s="609"/>
      <c r="HQY258" s="609"/>
      <c r="HQZ258" s="609"/>
      <c r="HRA258" s="609"/>
      <c r="HRB258" s="609"/>
      <c r="HRC258" s="609"/>
      <c r="HRD258" s="609"/>
      <c r="HRE258" s="609"/>
      <c r="HRF258" s="609"/>
      <c r="HRG258" s="609"/>
      <c r="HRH258" s="609"/>
      <c r="HRI258" s="609"/>
      <c r="HRJ258" s="609"/>
      <c r="HRK258" s="609"/>
      <c r="HRL258" s="609"/>
      <c r="HRM258" s="609"/>
      <c r="HRN258" s="609"/>
      <c r="HRO258" s="609"/>
      <c r="HRP258" s="609"/>
      <c r="HRQ258" s="609"/>
      <c r="HRR258" s="609"/>
      <c r="HRS258" s="609"/>
      <c r="HRT258" s="609"/>
      <c r="HRU258" s="609"/>
      <c r="HRV258" s="609"/>
      <c r="HRW258" s="609"/>
      <c r="HRX258" s="609"/>
      <c r="HRY258" s="609"/>
      <c r="HRZ258" s="609"/>
      <c r="HSA258" s="609"/>
      <c r="HSB258" s="609"/>
      <c r="HSC258" s="609"/>
      <c r="HSD258" s="609"/>
      <c r="HSE258" s="609"/>
      <c r="HSF258" s="609"/>
      <c r="HSG258" s="609"/>
      <c r="HSH258" s="609"/>
      <c r="HSI258" s="609"/>
      <c r="HSJ258" s="609"/>
      <c r="HSK258" s="609"/>
      <c r="HSL258" s="609"/>
      <c r="HSM258" s="609"/>
      <c r="HSN258" s="609"/>
      <c r="HSO258" s="609"/>
      <c r="HSP258" s="609"/>
      <c r="HSQ258" s="609"/>
      <c r="HSR258" s="609"/>
      <c r="HSS258" s="609"/>
      <c r="HST258" s="609"/>
      <c r="HSU258" s="609"/>
      <c r="HSV258" s="609"/>
      <c r="HSW258" s="609"/>
      <c r="HSX258" s="609"/>
      <c r="HSY258" s="609"/>
      <c r="HSZ258" s="609"/>
      <c r="HTA258" s="609"/>
      <c r="HTB258" s="609"/>
      <c r="HTC258" s="609"/>
      <c r="HTD258" s="609"/>
      <c r="HTE258" s="609"/>
      <c r="HTF258" s="609"/>
      <c r="HTG258" s="609"/>
      <c r="HTH258" s="609"/>
      <c r="HTI258" s="609"/>
      <c r="HTJ258" s="609"/>
      <c r="HTK258" s="609"/>
      <c r="HTL258" s="609"/>
      <c r="HTM258" s="609"/>
      <c r="HTN258" s="609"/>
      <c r="HTO258" s="609"/>
      <c r="HTP258" s="609"/>
      <c r="HTQ258" s="609"/>
      <c r="HTR258" s="609"/>
      <c r="HTS258" s="609"/>
      <c r="HTT258" s="609"/>
      <c r="HTU258" s="609"/>
      <c r="HTV258" s="609"/>
      <c r="HTW258" s="609"/>
      <c r="HTX258" s="609"/>
      <c r="HTY258" s="609"/>
      <c r="HTZ258" s="609"/>
      <c r="HUA258" s="609"/>
      <c r="HUB258" s="609"/>
      <c r="HUC258" s="609"/>
      <c r="HUD258" s="609"/>
      <c r="HUE258" s="609"/>
      <c r="HUF258" s="609"/>
      <c r="HUG258" s="609"/>
      <c r="HUH258" s="609"/>
      <c r="HUI258" s="609"/>
      <c r="HUJ258" s="609"/>
      <c r="HUK258" s="609"/>
      <c r="HUL258" s="609"/>
      <c r="HUM258" s="609"/>
      <c r="HUN258" s="609"/>
      <c r="HUO258" s="609"/>
      <c r="HUP258" s="609"/>
      <c r="HUQ258" s="609"/>
      <c r="HUR258" s="609"/>
      <c r="HUS258" s="609"/>
      <c r="HUT258" s="609"/>
      <c r="HUU258" s="609"/>
      <c r="HUV258" s="609"/>
      <c r="HUW258" s="609"/>
      <c r="HUX258" s="609"/>
      <c r="HUY258" s="609"/>
      <c r="HUZ258" s="609"/>
      <c r="HVA258" s="609"/>
      <c r="HVB258" s="609"/>
      <c r="HVC258" s="609"/>
      <c r="HVD258" s="609"/>
      <c r="HVE258" s="609"/>
      <c r="HVF258" s="609"/>
      <c r="HVG258" s="609"/>
      <c r="HVH258" s="609"/>
      <c r="HVI258" s="609"/>
      <c r="HVJ258" s="609"/>
      <c r="HVK258" s="609"/>
      <c r="HVL258" s="609"/>
      <c r="HVM258" s="609"/>
      <c r="HVN258" s="609"/>
      <c r="HVO258" s="609"/>
      <c r="HVP258" s="609"/>
      <c r="HVQ258" s="609"/>
      <c r="HVR258" s="609"/>
      <c r="HVS258" s="609"/>
      <c r="HVT258" s="609"/>
      <c r="HVU258" s="609"/>
      <c r="HVV258" s="609"/>
      <c r="HVW258" s="609"/>
      <c r="HVX258" s="609"/>
      <c r="HVY258" s="609"/>
      <c r="HVZ258" s="609"/>
      <c r="HWA258" s="609"/>
      <c r="HWB258" s="609"/>
      <c r="HWC258" s="609"/>
      <c r="HWD258" s="609"/>
      <c r="HWE258" s="609"/>
      <c r="HWF258" s="609"/>
      <c r="HWG258" s="609"/>
      <c r="HWH258" s="609"/>
      <c r="HWI258" s="609"/>
      <c r="HWJ258" s="609"/>
      <c r="HWK258" s="609"/>
      <c r="HWL258" s="609"/>
      <c r="HWM258" s="609"/>
      <c r="HWN258" s="609"/>
      <c r="HWO258" s="609"/>
      <c r="HWP258" s="609"/>
      <c r="HWQ258" s="609"/>
      <c r="HWR258" s="609"/>
      <c r="HWS258" s="609"/>
      <c r="HWT258" s="609"/>
      <c r="HWU258" s="609"/>
      <c r="HWV258" s="609"/>
      <c r="HWW258" s="609"/>
      <c r="HWX258" s="609"/>
      <c r="HWY258" s="609"/>
      <c r="HWZ258" s="609"/>
      <c r="HXA258" s="609"/>
      <c r="HXB258" s="609"/>
      <c r="HXC258" s="609"/>
      <c r="HXD258" s="609"/>
      <c r="HXE258" s="609"/>
      <c r="HXF258" s="609"/>
      <c r="HXG258" s="609"/>
      <c r="HXH258" s="609"/>
      <c r="HXI258" s="609"/>
      <c r="HXJ258" s="609"/>
      <c r="HXK258" s="609"/>
      <c r="HXL258" s="609"/>
      <c r="HXM258" s="609"/>
      <c r="HXN258" s="609"/>
      <c r="HXO258" s="609"/>
      <c r="HXP258" s="609"/>
      <c r="HXQ258" s="609"/>
      <c r="HXR258" s="609"/>
      <c r="HXS258" s="609"/>
      <c r="HXT258" s="609"/>
      <c r="HXU258" s="609"/>
      <c r="HXV258" s="609"/>
      <c r="HXW258" s="609"/>
      <c r="HXX258" s="609"/>
      <c r="HXY258" s="609"/>
      <c r="HXZ258" s="609"/>
      <c r="HYA258" s="609"/>
      <c r="HYB258" s="609"/>
      <c r="HYC258" s="609"/>
      <c r="HYD258" s="609"/>
      <c r="HYE258" s="609"/>
      <c r="HYF258" s="609"/>
      <c r="HYG258" s="609"/>
      <c r="HYH258" s="609"/>
      <c r="HYI258" s="609"/>
      <c r="HYJ258" s="609"/>
      <c r="HYK258" s="609"/>
      <c r="HYL258" s="609"/>
      <c r="HYM258" s="609"/>
      <c r="HYN258" s="609"/>
      <c r="HYO258" s="609"/>
      <c r="HYP258" s="609"/>
      <c r="HYQ258" s="609"/>
      <c r="HYR258" s="609"/>
      <c r="HYS258" s="609"/>
      <c r="HYT258" s="609"/>
      <c r="HYU258" s="609"/>
      <c r="HYV258" s="609"/>
      <c r="HYW258" s="609"/>
      <c r="HYX258" s="609"/>
      <c r="HYY258" s="609"/>
      <c r="HYZ258" s="609"/>
      <c r="HZA258" s="609"/>
      <c r="HZB258" s="609"/>
      <c r="HZC258" s="609"/>
      <c r="HZD258" s="609"/>
      <c r="HZE258" s="609"/>
      <c r="HZF258" s="609"/>
      <c r="HZG258" s="609"/>
      <c r="HZH258" s="609"/>
      <c r="HZI258" s="609"/>
      <c r="HZJ258" s="609"/>
      <c r="HZK258" s="609"/>
      <c r="HZL258" s="609"/>
      <c r="HZM258" s="609"/>
      <c r="HZN258" s="609"/>
      <c r="HZO258" s="609"/>
      <c r="HZP258" s="609"/>
      <c r="HZQ258" s="609"/>
      <c r="HZR258" s="609"/>
      <c r="HZS258" s="609"/>
      <c r="HZT258" s="609"/>
      <c r="HZU258" s="609"/>
      <c r="HZV258" s="609"/>
      <c r="HZW258" s="609"/>
      <c r="HZX258" s="609"/>
      <c r="HZY258" s="609"/>
      <c r="HZZ258" s="609"/>
      <c r="IAA258" s="609"/>
      <c r="IAB258" s="609"/>
      <c r="IAC258" s="609"/>
      <c r="IAD258" s="609"/>
      <c r="IAE258" s="609"/>
      <c r="IAF258" s="609"/>
      <c r="IAG258" s="609"/>
      <c r="IAH258" s="609"/>
      <c r="IAI258" s="609"/>
      <c r="IAJ258" s="609"/>
      <c r="IAK258" s="609"/>
      <c r="IAL258" s="609"/>
      <c r="IAM258" s="609"/>
      <c r="IAN258" s="609"/>
      <c r="IAO258" s="609"/>
      <c r="IAP258" s="609"/>
      <c r="IAQ258" s="609"/>
      <c r="IAR258" s="609"/>
      <c r="IAS258" s="609"/>
      <c r="IAT258" s="609"/>
      <c r="IAU258" s="609"/>
      <c r="IAV258" s="609"/>
      <c r="IAW258" s="609"/>
      <c r="IAX258" s="609"/>
      <c r="IAY258" s="609"/>
      <c r="IAZ258" s="609"/>
      <c r="IBA258" s="609"/>
      <c r="IBB258" s="609"/>
      <c r="IBC258" s="609"/>
      <c r="IBD258" s="609"/>
      <c r="IBE258" s="609"/>
      <c r="IBF258" s="609"/>
      <c r="IBG258" s="609"/>
      <c r="IBH258" s="609"/>
      <c r="IBI258" s="609"/>
      <c r="IBJ258" s="609"/>
      <c r="IBK258" s="609"/>
      <c r="IBL258" s="609"/>
      <c r="IBM258" s="609"/>
      <c r="IBN258" s="609"/>
      <c r="IBO258" s="609"/>
      <c r="IBP258" s="609"/>
      <c r="IBQ258" s="609"/>
      <c r="IBR258" s="609"/>
      <c r="IBS258" s="609"/>
      <c r="IBT258" s="609"/>
      <c r="IBU258" s="609"/>
      <c r="IBV258" s="609"/>
      <c r="IBW258" s="609"/>
      <c r="IBX258" s="609"/>
      <c r="IBY258" s="609"/>
      <c r="IBZ258" s="609"/>
      <c r="ICA258" s="609"/>
      <c r="ICB258" s="609"/>
      <c r="ICC258" s="609"/>
      <c r="ICD258" s="609"/>
      <c r="ICE258" s="609"/>
      <c r="ICF258" s="609"/>
      <c r="ICG258" s="609"/>
      <c r="ICH258" s="609"/>
      <c r="ICI258" s="609"/>
      <c r="ICJ258" s="609"/>
      <c r="ICK258" s="609"/>
      <c r="ICL258" s="609"/>
      <c r="ICM258" s="609"/>
      <c r="ICN258" s="609"/>
      <c r="ICO258" s="609"/>
      <c r="ICP258" s="609"/>
      <c r="ICQ258" s="609"/>
      <c r="ICR258" s="609"/>
      <c r="ICS258" s="609"/>
      <c r="ICT258" s="609"/>
      <c r="ICU258" s="609"/>
      <c r="ICV258" s="609"/>
      <c r="ICW258" s="609"/>
      <c r="ICX258" s="609"/>
      <c r="ICY258" s="609"/>
      <c r="ICZ258" s="609"/>
      <c r="IDA258" s="609"/>
      <c r="IDB258" s="609"/>
      <c r="IDC258" s="609"/>
      <c r="IDD258" s="609"/>
      <c r="IDE258" s="609"/>
      <c r="IDF258" s="609"/>
      <c r="IDG258" s="609"/>
      <c r="IDH258" s="609"/>
      <c r="IDI258" s="609"/>
      <c r="IDJ258" s="609"/>
      <c r="IDK258" s="609"/>
      <c r="IDL258" s="609"/>
      <c r="IDM258" s="609"/>
      <c r="IDN258" s="609"/>
      <c r="IDO258" s="609"/>
      <c r="IDP258" s="609"/>
      <c r="IDQ258" s="609"/>
      <c r="IDR258" s="609"/>
      <c r="IDS258" s="609"/>
      <c r="IDT258" s="609"/>
      <c r="IDU258" s="609"/>
      <c r="IDV258" s="609"/>
      <c r="IDW258" s="609"/>
      <c r="IDX258" s="609"/>
      <c r="IDY258" s="609"/>
      <c r="IDZ258" s="609"/>
      <c r="IEA258" s="609"/>
      <c r="IEB258" s="609"/>
      <c r="IEC258" s="609"/>
      <c r="IED258" s="609"/>
      <c r="IEE258" s="609"/>
      <c r="IEF258" s="609"/>
      <c r="IEG258" s="609"/>
      <c r="IEH258" s="609"/>
      <c r="IEI258" s="609"/>
      <c r="IEJ258" s="609"/>
      <c r="IEK258" s="609"/>
      <c r="IEL258" s="609"/>
      <c r="IEM258" s="609"/>
      <c r="IEN258" s="609"/>
      <c r="IEO258" s="609"/>
      <c r="IEP258" s="609"/>
      <c r="IEQ258" s="609"/>
      <c r="IER258" s="609"/>
      <c r="IES258" s="609"/>
      <c r="IET258" s="609"/>
      <c r="IEU258" s="609"/>
      <c r="IEV258" s="609"/>
      <c r="IEW258" s="609"/>
      <c r="IEX258" s="609"/>
      <c r="IEY258" s="609"/>
      <c r="IEZ258" s="609"/>
      <c r="IFA258" s="609"/>
      <c r="IFB258" s="609"/>
      <c r="IFC258" s="609"/>
      <c r="IFD258" s="609"/>
      <c r="IFE258" s="609"/>
      <c r="IFF258" s="609"/>
      <c r="IFG258" s="609"/>
      <c r="IFH258" s="609"/>
      <c r="IFI258" s="609"/>
      <c r="IFJ258" s="609"/>
      <c r="IFK258" s="609"/>
      <c r="IFL258" s="609"/>
      <c r="IFM258" s="609"/>
      <c r="IFN258" s="609"/>
      <c r="IFO258" s="609"/>
      <c r="IFP258" s="609"/>
      <c r="IFQ258" s="609"/>
      <c r="IFR258" s="609"/>
      <c r="IFS258" s="609"/>
      <c r="IFT258" s="609"/>
      <c r="IFU258" s="609"/>
      <c r="IFV258" s="609"/>
      <c r="IFW258" s="609"/>
      <c r="IFX258" s="609"/>
      <c r="IFY258" s="609"/>
      <c r="IFZ258" s="609"/>
      <c r="IGA258" s="609"/>
      <c r="IGB258" s="609"/>
      <c r="IGC258" s="609"/>
      <c r="IGD258" s="609"/>
      <c r="IGE258" s="609"/>
      <c r="IGF258" s="609"/>
      <c r="IGG258" s="609"/>
      <c r="IGH258" s="609"/>
      <c r="IGI258" s="609"/>
      <c r="IGJ258" s="609"/>
      <c r="IGK258" s="609"/>
      <c r="IGL258" s="609"/>
      <c r="IGM258" s="609"/>
      <c r="IGN258" s="609"/>
      <c r="IGO258" s="609"/>
      <c r="IGP258" s="609"/>
      <c r="IGQ258" s="609"/>
      <c r="IGR258" s="609"/>
      <c r="IGS258" s="609"/>
      <c r="IGT258" s="609"/>
      <c r="IGU258" s="609"/>
      <c r="IGV258" s="609"/>
      <c r="IGW258" s="609"/>
      <c r="IGX258" s="609"/>
      <c r="IGY258" s="609"/>
      <c r="IGZ258" s="609"/>
      <c r="IHA258" s="609"/>
      <c r="IHB258" s="609"/>
      <c r="IHC258" s="609"/>
      <c r="IHD258" s="609"/>
      <c r="IHE258" s="609"/>
      <c r="IHF258" s="609"/>
      <c r="IHG258" s="609"/>
      <c r="IHH258" s="609"/>
      <c r="IHI258" s="609"/>
      <c r="IHJ258" s="609"/>
      <c r="IHK258" s="609"/>
      <c r="IHL258" s="609"/>
      <c r="IHM258" s="609"/>
      <c r="IHN258" s="609"/>
      <c r="IHO258" s="609"/>
      <c r="IHP258" s="609"/>
      <c r="IHQ258" s="609"/>
      <c r="IHR258" s="609"/>
      <c r="IHS258" s="609"/>
      <c r="IHT258" s="609"/>
      <c r="IHU258" s="609"/>
      <c r="IHV258" s="609"/>
      <c r="IHW258" s="609"/>
      <c r="IHX258" s="609"/>
      <c r="IHY258" s="609"/>
      <c r="IHZ258" s="609"/>
      <c r="IIA258" s="609"/>
      <c r="IIB258" s="609"/>
      <c r="IIC258" s="609"/>
      <c r="IID258" s="609"/>
      <c r="IIE258" s="609"/>
      <c r="IIF258" s="609"/>
      <c r="IIG258" s="609"/>
      <c r="IIH258" s="609"/>
      <c r="III258" s="609"/>
      <c r="IIJ258" s="609"/>
      <c r="IIK258" s="609"/>
      <c r="IIL258" s="609"/>
      <c r="IIM258" s="609"/>
      <c r="IIN258" s="609"/>
      <c r="IIO258" s="609"/>
      <c r="IIP258" s="609"/>
      <c r="IIQ258" s="609"/>
      <c r="IIR258" s="609"/>
      <c r="IIS258" s="609"/>
      <c r="IIT258" s="609"/>
      <c r="IIU258" s="609"/>
      <c r="IIV258" s="609"/>
      <c r="IIW258" s="609"/>
      <c r="IIX258" s="609"/>
      <c r="IIY258" s="609"/>
      <c r="IIZ258" s="609"/>
      <c r="IJA258" s="609"/>
      <c r="IJB258" s="609"/>
      <c r="IJC258" s="609"/>
      <c r="IJD258" s="609"/>
      <c r="IJE258" s="609"/>
      <c r="IJF258" s="609"/>
      <c r="IJG258" s="609"/>
      <c r="IJH258" s="609"/>
      <c r="IJI258" s="609"/>
      <c r="IJJ258" s="609"/>
      <c r="IJK258" s="609"/>
      <c r="IJL258" s="609"/>
      <c r="IJM258" s="609"/>
      <c r="IJN258" s="609"/>
      <c r="IJO258" s="609"/>
      <c r="IJP258" s="609"/>
      <c r="IJQ258" s="609"/>
      <c r="IJR258" s="609"/>
      <c r="IJS258" s="609"/>
      <c r="IJT258" s="609"/>
      <c r="IJU258" s="609"/>
      <c r="IJV258" s="609"/>
      <c r="IJW258" s="609"/>
      <c r="IJX258" s="609"/>
      <c r="IJY258" s="609"/>
      <c r="IJZ258" s="609"/>
      <c r="IKA258" s="609"/>
      <c r="IKB258" s="609"/>
      <c r="IKC258" s="609"/>
      <c r="IKD258" s="609"/>
      <c r="IKE258" s="609"/>
      <c r="IKF258" s="609"/>
      <c r="IKG258" s="609"/>
      <c r="IKH258" s="609"/>
      <c r="IKI258" s="609"/>
      <c r="IKJ258" s="609"/>
      <c r="IKK258" s="609"/>
      <c r="IKL258" s="609"/>
      <c r="IKM258" s="609"/>
      <c r="IKN258" s="609"/>
      <c r="IKO258" s="609"/>
      <c r="IKP258" s="609"/>
      <c r="IKQ258" s="609"/>
      <c r="IKR258" s="609"/>
      <c r="IKS258" s="609"/>
      <c r="IKT258" s="609"/>
      <c r="IKU258" s="609"/>
      <c r="IKV258" s="609"/>
      <c r="IKW258" s="609"/>
      <c r="IKX258" s="609"/>
      <c r="IKY258" s="609"/>
      <c r="IKZ258" s="609"/>
      <c r="ILA258" s="609"/>
      <c r="ILB258" s="609"/>
      <c r="ILC258" s="609"/>
      <c r="ILD258" s="609"/>
      <c r="ILE258" s="609"/>
      <c r="ILF258" s="609"/>
      <c r="ILG258" s="609"/>
      <c r="ILH258" s="609"/>
      <c r="ILI258" s="609"/>
      <c r="ILJ258" s="609"/>
      <c r="ILK258" s="609"/>
      <c r="ILL258" s="609"/>
      <c r="ILM258" s="609"/>
      <c r="ILN258" s="609"/>
      <c r="ILO258" s="609"/>
      <c r="ILP258" s="609"/>
      <c r="ILQ258" s="609"/>
      <c r="ILR258" s="609"/>
      <c r="ILS258" s="609"/>
      <c r="ILT258" s="609"/>
      <c r="ILU258" s="609"/>
      <c r="ILV258" s="609"/>
      <c r="ILW258" s="609"/>
      <c r="ILX258" s="609"/>
      <c r="ILY258" s="609"/>
      <c r="ILZ258" s="609"/>
      <c r="IMA258" s="609"/>
      <c r="IMB258" s="609"/>
      <c r="IMC258" s="609"/>
      <c r="IMD258" s="609"/>
      <c r="IME258" s="609"/>
      <c r="IMF258" s="609"/>
      <c r="IMG258" s="609"/>
      <c r="IMH258" s="609"/>
      <c r="IMI258" s="609"/>
      <c r="IMJ258" s="609"/>
      <c r="IMK258" s="609"/>
      <c r="IML258" s="609"/>
      <c r="IMM258" s="609"/>
      <c r="IMN258" s="609"/>
      <c r="IMO258" s="609"/>
      <c r="IMP258" s="609"/>
      <c r="IMQ258" s="609"/>
      <c r="IMR258" s="609"/>
      <c r="IMS258" s="609"/>
      <c r="IMT258" s="609"/>
      <c r="IMU258" s="609"/>
      <c r="IMV258" s="609"/>
      <c r="IMW258" s="609"/>
      <c r="IMX258" s="609"/>
      <c r="IMY258" s="609"/>
      <c r="IMZ258" s="609"/>
      <c r="INA258" s="609"/>
      <c r="INB258" s="609"/>
      <c r="INC258" s="609"/>
      <c r="IND258" s="609"/>
      <c r="INE258" s="609"/>
      <c r="INF258" s="609"/>
      <c r="ING258" s="609"/>
      <c r="INH258" s="609"/>
      <c r="INI258" s="609"/>
      <c r="INJ258" s="609"/>
      <c r="INK258" s="609"/>
      <c r="INL258" s="609"/>
      <c r="INM258" s="609"/>
      <c r="INN258" s="609"/>
      <c r="INO258" s="609"/>
      <c r="INP258" s="609"/>
      <c r="INQ258" s="609"/>
      <c r="INR258" s="609"/>
      <c r="INS258" s="609"/>
      <c r="INT258" s="609"/>
      <c r="INU258" s="609"/>
      <c r="INV258" s="609"/>
      <c r="INW258" s="609"/>
      <c r="INX258" s="609"/>
      <c r="INY258" s="609"/>
      <c r="INZ258" s="609"/>
      <c r="IOA258" s="609"/>
      <c r="IOB258" s="609"/>
      <c r="IOC258" s="609"/>
      <c r="IOD258" s="609"/>
      <c r="IOE258" s="609"/>
      <c r="IOF258" s="609"/>
      <c r="IOG258" s="609"/>
      <c r="IOH258" s="609"/>
      <c r="IOI258" s="609"/>
      <c r="IOJ258" s="609"/>
      <c r="IOK258" s="609"/>
      <c r="IOL258" s="609"/>
      <c r="IOM258" s="609"/>
      <c r="ION258" s="609"/>
      <c r="IOO258" s="609"/>
      <c r="IOP258" s="609"/>
      <c r="IOQ258" s="609"/>
      <c r="IOR258" s="609"/>
      <c r="IOS258" s="609"/>
      <c r="IOT258" s="609"/>
      <c r="IOU258" s="609"/>
      <c r="IOV258" s="609"/>
      <c r="IOW258" s="609"/>
      <c r="IOX258" s="609"/>
      <c r="IOY258" s="609"/>
      <c r="IOZ258" s="609"/>
      <c r="IPA258" s="609"/>
      <c r="IPB258" s="609"/>
      <c r="IPC258" s="609"/>
      <c r="IPD258" s="609"/>
      <c r="IPE258" s="609"/>
      <c r="IPF258" s="609"/>
      <c r="IPG258" s="609"/>
      <c r="IPH258" s="609"/>
      <c r="IPI258" s="609"/>
      <c r="IPJ258" s="609"/>
      <c r="IPK258" s="609"/>
      <c r="IPL258" s="609"/>
      <c r="IPM258" s="609"/>
      <c r="IPN258" s="609"/>
      <c r="IPO258" s="609"/>
      <c r="IPP258" s="609"/>
      <c r="IPQ258" s="609"/>
      <c r="IPR258" s="609"/>
      <c r="IPS258" s="609"/>
      <c r="IPT258" s="609"/>
      <c r="IPU258" s="609"/>
      <c r="IPV258" s="609"/>
      <c r="IPW258" s="609"/>
      <c r="IPX258" s="609"/>
      <c r="IPY258" s="609"/>
      <c r="IPZ258" s="609"/>
      <c r="IQA258" s="609"/>
      <c r="IQB258" s="609"/>
      <c r="IQC258" s="609"/>
      <c r="IQD258" s="609"/>
      <c r="IQE258" s="609"/>
      <c r="IQF258" s="609"/>
      <c r="IQG258" s="609"/>
      <c r="IQH258" s="609"/>
      <c r="IQI258" s="609"/>
      <c r="IQJ258" s="609"/>
      <c r="IQK258" s="609"/>
      <c r="IQL258" s="609"/>
      <c r="IQM258" s="609"/>
      <c r="IQN258" s="609"/>
      <c r="IQO258" s="609"/>
      <c r="IQP258" s="609"/>
      <c r="IQQ258" s="609"/>
      <c r="IQR258" s="609"/>
      <c r="IQS258" s="609"/>
      <c r="IQT258" s="609"/>
      <c r="IQU258" s="609"/>
      <c r="IQV258" s="609"/>
      <c r="IQW258" s="609"/>
      <c r="IQX258" s="609"/>
      <c r="IQY258" s="609"/>
      <c r="IQZ258" s="609"/>
      <c r="IRA258" s="609"/>
      <c r="IRB258" s="609"/>
      <c r="IRC258" s="609"/>
      <c r="IRD258" s="609"/>
      <c r="IRE258" s="609"/>
      <c r="IRF258" s="609"/>
      <c r="IRG258" s="609"/>
      <c r="IRH258" s="609"/>
      <c r="IRI258" s="609"/>
      <c r="IRJ258" s="609"/>
      <c r="IRK258" s="609"/>
      <c r="IRL258" s="609"/>
      <c r="IRM258" s="609"/>
      <c r="IRN258" s="609"/>
      <c r="IRO258" s="609"/>
      <c r="IRP258" s="609"/>
      <c r="IRQ258" s="609"/>
      <c r="IRR258" s="609"/>
      <c r="IRS258" s="609"/>
      <c r="IRT258" s="609"/>
      <c r="IRU258" s="609"/>
      <c r="IRV258" s="609"/>
      <c r="IRW258" s="609"/>
      <c r="IRX258" s="609"/>
      <c r="IRY258" s="609"/>
      <c r="IRZ258" s="609"/>
      <c r="ISA258" s="609"/>
      <c r="ISB258" s="609"/>
      <c r="ISC258" s="609"/>
      <c r="ISD258" s="609"/>
      <c r="ISE258" s="609"/>
      <c r="ISF258" s="609"/>
      <c r="ISG258" s="609"/>
      <c r="ISH258" s="609"/>
      <c r="ISI258" s="609"/>
      <c r="ISJ258" s="609"/>
      <c r="ISK258" s="609"/>
      <c r="ISL258" s="609"/>
      <c r="ISM258" s="609"/>
      <c r="ISN258" s="609"/>
      <c r="ISO258" s="609"/>
      <c r="ISP258" s="609"/>
      <c r="ISQ258" s="609"/>
      <c r="ISR258" s="609"/>
      <c r="ISS258" s="609"/>
      <c r="IST258" s="609"/>
      <c r="ISU258" s="609"/>
      <c r="ISV258" s="609"/>
      <c r="ISW258" s="609"/>
      <c r="ISX258" s="609"/>
      <c r="ISY258" s="609"/>
      <c r="ISZ258" s="609"/>
      <c r="ITA258" s="609"/>
      <c r="ITB258" s="609"/>
      <c r="ITC258" s="609"/>
      <c r="ITD258" s="609"/>
      <c r="ITE258" s="609"/>
      <c r="ITF258" s="609"/>
      <c r="ITG258" s="609"/>
      <c r="ITH258" s="609"/>
      <c r="ITI258" s="609"/>
      <c r="ITJ258" s="609"/>
      <c r="ITK258" s="609"/>
      <c r="ITL258" s="609"/>
      <c r="ITM258" s="609"/>
      <c r="ITN258" s="609"/>
      <c r="ITO258" s="609"/>
      <c r="ITP258" s="609"/>
      <c r="ITQ258" s="609"/>
      <c r="ITR258" s="609"/>
      <c r="ITS258" s="609"/>
      <c r="ITT258" s="609"/>
      <c r="ITU258" s="609"/>
      <c r="ITV258" s="609"/>
      <c r="ITW258" s="609"/>
      <c r="ITX258" s="609"/>
      <c r="ITY258" s="609"/>
      <c r="ITZ258" s="609"/>
      <c r="IUA258" s="609"/>
      <c r="IUB258" s="609"/>
      <c r="IUC258" s="609"/>
      <c r="IUD258" s="609"/>
      <c r="IUE258" s="609"/>
      <c r="IUF258" s="609"/>
      <c r="IUG258" s="609"/>
      <c r="IUH258" s="609"/>
      <c r="IUI258" s="609"/>
      <c r="IUJ258" s="609"/>
      <c r="IUK258" s="609"/>
      <c r="IUL258" s="609"/>
      <c r="IUM258" s="609"/>
      <c r="IUN258" s="609"/>
      <c r="IUO258" s="609"/>
      <c r="IUP258" s="609"/>
      <c r="IUQ258" s="609"/>
      <c r="IUR258" s="609"/>
      <c r="IUS258" s="609"/>
      <c r="IUT258" s="609"/>
      <c r="IUU258" s="609"/>
      <c r="IUV258" s="609"/>
      <c r="IUW258" s="609"/>
      <c r="IUX258" s="609"/>
      <c r="IUY258" s="609"/>
      <c r="IUZ258" s="609"/>
      <c r="IVA258" s="609"/>
      <c r="IVB258" s="609"/>
      <c r="IVC258" s="609"/>
      <c r="IVD258" s="609"/>
      <c r="IVE258" s="609"/>
      <c r="IVF258" s="609"/>
      <c r="IVG258" s="609"/>
      <c r="IVH258" s="609"/>
      <c r="IVI258" s="609"/>
      <c r="IVJ258" s="609"/>
      <c r="IVK258" s="609"/>
      <c r="IVL258" s="609"/>
      <c r="IVM258" s="609"/>
      <c r="IVN258" s="609"/>
      <c r="IVO258" s="609"/>
      <c r="IVP258" s="609"/>
      <c r="IVQ258" s="609"/>
      <c r="IVR258" s="609"/>
      <c r="IVS258" s="609"/>
      <c r="IVT258" s="609"/>
      <c r="IVU258" s="609"/>
      <c r="IVV258" s="609"/>
      <c r="IVW258" s="609"/>
      <c r="IVX258" s="609"/>
      <c r="IVY258" s="609"/>
      <c r="IVZ258" s="609"/>
      <c r="IWA258" s="609"/>
      <c r="IWB258" s="609"/>
      <c r="IWC258" s="609"/>
      <c r="IWD258" s="609"/>
      <c r="IWE258" s="609"/>
      <c r="IWF258" s="609"/>
      <c r="IWG258" s="609"/>
      <c r="IWH258" s="609"/>
      <c r="IWI258" s="609"/>
      <c r="IWJ258" s="609"/>
      <c r="IWK258" s="609"/>
      <c r="IWL258" s="609"/>
      <c r="IWM258" s="609"/>
      <c r="IWN258" s="609"/>
      <c r="IWO258" s="609"/>
      <c r="IWP258" s="609"/>
      <c r="IWQ258" s="609"/>
      <c r="IWR258" s="609"/>
      <c r="IWS258" s="609"/>
      <c r="IWT258" s="609"/>
      <c r="IWU258" s="609"/>
      <c r="IWV258" s="609"/>
      <c r="IWW258" s="609"/>
      <c r="IWX258" s="609"/>
      <c r="IWY258" s="609"/>
      <c r="IWZ258" s="609"/>
      <c r="IXA258" s="609"/>
      <c r="IXB258" s="609"/>
      <c r="IXC258" s="609"/>
      <c r="IXD258" s="609"/>
      <c r="IXE258" s="609"/>
      <c r="IXF258" s="609"/>
      <c r="IXG258" s="609"/>
      <c r="IXH258" s="609"/>
      <c r="IXI258" s="609"/>
      <c r="IXJ258" s="609"/>
      <c r="IXK258" s="609"/>
      <c r="IXL258" s="609"/>
      <c r="IXM258" s="609"/>
      <c r="IXN258" s="609"/>
      <c r="IXO258" s="609"/>
      <c r="IXP258" s="609"/>
      <c r="IXQ258" s="609"/>
      <c r="IXR258" s="609"/>
      <c r="IXS258" s="609"/>
      <c r="IXT258" s="609"/>
      <c r="IXU258" s="609"/>
      <c r="IXV258" s="609"/>
      <c r="IXW258" s="609"/>
      <c r="IXX258" s="609"/>
      <c r="IXY258" s="609"/>
      <c r="IXZ258" s="609"/>
      <c r="IYA258" s="609"/>
      <c r="IYB258" s="609"/>
      <c r="IYC258" s="609"/>
      <c r="IYD258" s="609"/>
      <c r="IYE258" s="609"/>
      <c r="IYF258" s="609"/>
      <c r="IYG258" s="609"/>
      <c r="IYH258" s="609"/>
      <c r="IYI258" s="609"/>
      <c r="IYJ258" s="609"/>
      <c r="IYK258" s="609"/>
      <c r="IYL258" s="609"/>
      <c r="IYM258" s="609"/>
      <c r="IYN258" s="609"/>
      <c r="IYO258" s="609"/>
      <c r="IYP258" s="609"/>
      <c r="IYQ258" s="609"/>
      <c r="IYR258" s="609"/>
      <c r="IYS258" s="609"/>
      <c r="IYT258" s="609"/>
      <c r="IYU258" s="609"/>
      <c r="IYV258" s="609"/>
      <c r="IYW258" s="609"/>
      <c r="IYX258" s="609"/>
      <c r="IYY258" s="609"/>
      <c r="IYZ258" s="609"/>
      <c r="IZA258" s="609"/>
      <c r="IZB258" s="609"/>
      <c r="IZC258" s="609"/>
      <c r="IZD258" s="609"/>
      <c r="IZE258" s="609"/>
      <c r="IZF258" s="609"/>
      <c r="IZG258" s="609"/>
      <c r="IZH258" s="609"/>
      <c r="IZI258" s="609"/>
      <c r="IZJ258" s="609"/>
      <c r="IZK258" s="609"/>
      <c r="IZL258" s="609"/>
      <c r="IZM258" s="609"/>
      <c r="IZN258" s="609"/>
      <c r="IZO258" s="609"/>
      <c r="IZP258" s="609"/>
      <c r="IZQ258" s="609"/>
      <c r="IZR258" s="609"/>
      <c r="IZS258" s="609"/>
      <c r="IZT258" s="609"/>
      <c r="IZU258" s="609"/>
      <c r="IZV258" s="609"/>
      <c r="IZW258" s="609"/>
      <c r="IZX258" s="609"/>
      <c r="IZY258" s="609"/>
      <c r="IZZ258" s="609"/>
      <c r="JAA258" s="609"/>
      <c r="JAB258" s="609"/>
      <c r="JAC258" s="609"/>
      <c r="JAD258" s="609"/>
      <c r="JAE258" s="609"/>
      <c r="JAF258" s="609"/>
      <c r="JAG258" s="609"/>
      <c r="JAH258" s="609"/>
      <c r="JAI258" s="609"/>
      <c r="JAJ258" s="609"/>
      <c r="JAK258" s="609"/>
      <c r="JAL258" s="609"/>
      <c r="JAM258" s="609"/>
      <c r="JAN258" s="609"/>
      <c r="JAO258" s="609"/>
      <c r="JAP258" s="609"/>
      <c r="JAQ258" s="609"/>
      <c r="JAR258" s="609"/>
      <c r="JAS258" s="609"/>
      <c r="JAT258" s="609"/>
      <c r="JAU258" s="609"/>
      <c r="JAV258" s="609"/>
      <c r="JAW258" s="609"/>
      <c r="JAX258" s="609"/>
      <c r="JAY258" s="609"/>
      <c r="JAZ258" s="609"/>
      <c r="JBA258" s="609"/>
      <c r="JBB258" s="609"/>
      <c r="JBC258" s="609"/>
      <c r="JBD258" s="609"/>
      <c r="JBE258" s="609"/>
      <c r="JBF258" s="609"/>
      <c r="JBG258" s="609"/>
      <c r="JBH258" s="609"/>
      <c r="JBI258" s="609"/>
      <c r="JBJ258" s="609"/>
      <c r="JBK258" s="609"/>
      <c r="JBL258" s="609"/>
      <c r="JBM258" s="609"/>
      <c r="JBN258" s="609"/>
      <c r="JBO258" s="609"/>
      <c r="JBP258" s="609"/>
      <c r="JBQ258" s="609"/>
      <c r="JBR258" s="609"/>
      <c r="JBS258" s="609"/>
      <c r="JBT258" s="609"/>
      <c r="JBU258" s="609"/>
      <c r="JBV258" s="609"/>
      <c r="JBW258" s="609"/>
      <c r="JBX258" s="609"/>
      <c r="JBY258" s="609"/>
      <c r="JBZ258" s="609"/>
      <c r="JCA258" s="609"/>
      <c r="JCB258" s="609"/>
      <c r="JCC258" s="609"/>
      <c r="JCD258" s="609"/>
      <c r="JCE258" s="609"/>
      <c r="JCF258" s="609"/>
      <c r="JCG258" s="609"/>
      <c r="JCH258" s="609"/>
      <c r="JCI258" s="609"/>
      <c r="JCJ258" s="609"/>
      <c r="JCK258" s="609"/>
      <c r="JCL258" s="609"/>
      <c r="JCM258" s="609"/>
      <c r="JCN258" s="609"/>
      <c r="JCO258" s="609"/>
      <c r="JCP258" s="609"/>
      <c r="JCQ258" s="609"/>
      <c r="JCR258" s="609"/>
      <c r="JCS258" s="609"/>
      <c r="JCT258" s="609"/>
      <c r="JCU258" s="609"/>
      <c r="JCV258" s="609"/>
      <c r="JCW258" s="609"/>
      <c r="JCX258" s="609"/>
      <c r="JCY258" s="609"/>
      <c r="JCZ258" s="609"/>
      <c r="JDA258" s="609"/>
      <c r="JDB258" s="609"/>
      <c r="JDC258" s="609"/>
      <c r="JDD258" s="609"/>
      <c r="JDE258" s="609"/>
      <c r="JDF258" s="609"/>
      <c r="JDG258" s="609"/>
      <c r="JDH258" s="609"/>
      <c r="JDI258" s="609"/>
      <c r="JDJ258" s="609"/>
      <c r="JDK258" s="609"/>
      <c r="JDL258" s="609"/>
      <c r="JDM258" s="609"/>
      <c r="JDN258" s="609"/>
      <c r="JDO258" s="609"/>
      <c r="JDP258" s="609"/>
      <c r="JDQ258" s="609"/>
      <c r="JDR258" s="609"/>
      <c r="JDS258" s="609"/>
      <c r="JDT258" s="609"/>
      <c r="JDU258" s="609"/>
      <c r="JDV258" s="609"/>
      <c r="JDW258" s="609"/>
      <c r="JDX258" s="609"/>
      <c r="JDY258" s="609"/>
      <c r="JDZ258" s="609"/>
      <c r="JEA258" s="609"/>
      <c r="JEB258" s="609"/>
      <c r="JEC258" s="609"/>
      <c r="JED258" s="609"/>
      <c r="JEE258" s="609"/>
      <c r="JEF258" s="609"/>
      <c r="JEG258" s="609"/>
      <c r="JEH258" s="609"/>
      <c r="JEI258" s="609"/>
      <c r="JEJ258" s="609"/>
      <c r="JEK258" s="609"/>
      <c r="JEL258" s="609"/>
      <c r="JEM258" s="609"/>
      <c r="JEN258" s="609"/>
      <c r="JEO258" s="609"/>
      <c r="JEP258" s="609"/>
      <c r="JEQ258" s="609"/>
      <c r="JER258" s="609"/>
      <c r="JES258" s="609"/>
      <c r="JET258" s="609"/>
      <c r="JEU258" s="609"/>
      <c r="JEV258" s="609"/>
      <c r="JEW258" s="609"/>
      <c r="JEX258" s="609"/>
      <c r="JEY258" s="609"/>
      <c r="JEZ258" s="609"/>
      <c r="JFA258" s="609"/>
      <c r="JFB258" s="609"/>
      <c r="JFC258" s="609"/>
      <c r="JFD258" s="609"/>
      <c r="JFE258" s="609"/>
      <c r="JFF258" s="609"/>
      <c r="JFG258" s="609"/>
      <c r="JFH258" s="609"/>
      <c r="JFI258" s="609"/>
      <c r="JFJ258" s="609"/>
      <c r="JFK258" s="609"/>
      <c r="JFL258" s="609"/>
      <c r="JFM258" s="609"/>
      <c r="JFN258" s="609"/>
      <c r="JFO258" s="609"/>
      <c r="JFP258" s="609"/>
      <c r="JFQ258" s="609"/>
      <c r="JFR258" s="609"/>
      <c r="JFS258" s="609"/>
      <c r="JFT258" s="609"/>
      <c r="JFU258" s="609"/>
      <c r="JFV258" s="609"/>
      <c r="JFW258" s="609"/>
      <c r="JFX258" s="609"/>
      <c r="JFY258" s="609"/>
      <c r="JFZ258" s="609"/>
      <c r="JGA258" s="609"/>
      <c r="JGB258" s="609"/>
      <c r="JGC258" s="609"/>
      <c r="JGD258" s="609"/>
      <c r="JGE258" s="609"/>
      <c r="JGF258" s="609"/>
      <c r="JGG258" s="609"/>
      <c r="JGH258" s="609"/>
      <c r="JGI258" s="609"/>
      <c r="JGJ258" s="609"/>
      <c r="JGK258" s="609"/>
      <c r="JGL258" s="609"/>
      <c r="JGM258" s="609"/>
      <c r="JGN258" s="609"/>
      <c r="JGO258" s="609"/>
      <c r="JGP258" s="609"/>
      <c r="JGQ258" s="609"/>
      <c r="JGR258" s="609"/>
      <c r="JGS258" s="609"/>
      <c r="JGT258" s="609"/>
      <c r="JGU258" s="609"/>
      <c r="JGV258" s="609"/>
      <c r="JGW258" s="609"/>
      <c r="JGX258" s="609"/>
      <c r="JGY258" s="609"/>
      <c r="JGZ258" s="609"/>
      <c r="JHA258" s="609"/>
      <c r="JHB258" s="609"/>
      <c r="JHC258" s="609"/>
      <c r="JHD258" s="609"/>
      <c r="JHE258" s="609"/>
      <c r="JHF258" s="609"/>
      <c r="JHG258" s="609"/>
      <c r="JHH258" s="609"/>
      <c r="JHI258" s="609"/>
      <c r="JHJ258" s="609"/>
      <c r="JHK258" s="609"/>
      <c r="JHL258" s="609"/>
      <c r="JHM258" s="609"/>
      <c r="JHN258" s="609"/>
      <c r="JHO258" s="609"/>
      <c r="JHP258" s="609"/>
      <c r="JHQ258" s="609"/>
      <c r="JHR258" s="609"/>
      <c r="JHS258" s="609"/>
      <c r="JHT258" s="609"/>
      <c r="JHU258" s="609"/>
      <c r="JHV258" s="609"/>
      <c r="JHW258" s="609"/>
      <c r="JHX258" s="609"/>
      <c r="JHY258" s="609"/>
      <c r="JHZ258" s="609"/>
      <c r="JIA258" s="609"/>
      <c r="JIB258" s="609"/>
      <c r="JIC258" s="609"/>
      <c r="JID258" s="609"/>
      <c r="JIE258" s="609"/>
      <c r="JIF258" s="609"/>
      <c r="JIG258" s="609"/>
      <c r="JIH258" s="609"/>
      <c r="JII258" s="609"/>
      <c r="JIJ258" s="609"/>
      <c r="JIK258" s="609"/>
      <c r="JIL258" s="609"/>
      <c r="JIM258" s="609"/>
      <c r="JIN258" s="609"/>
      <c r="JIO258" s="609"/>
      <c r="JIP258" s="609"/>
      <c r="JIQ258" s="609"/>
      <c r="JIR258" s="609"/>
      <c r="JIS258" s="609"/>
      <c r="JIT258" s="609"/>
      <c r="JIU258" s="609"/>
      <c r="JIV258" s="609"/>
      <c r="JIW258" s="609"/>
      <c r="JIX258" s="609"/>
      <c r="JIY258" s="609"/>
      <c r="JIZ258" s="609"/>
      <c r="JJA258" s="609"/>
      <c r="JJB258" s="609"/>
      <c r="JJC258" s="609"/>
      <c r="JJD258" s="609"/>
      <c r="JJE258" s="609"/>
      <c r="JJF258" s="609"/>
      <c r="JJG258" s="609"/>
      <c r="JJH258" s="609"/>
      <c r="JJI258" s="609"/>
      <c r="JJJ258" s="609"/>
      <c r="JJK258" s="609"/>
      <c r="JJL258" s="609"/>
      <c r="JJM258" s="609"/>
      <c r="JJN258" s="609"/>
      <c r="JJO258" s="609"/>
      <c r="JJP258" s="609"/>
      <c r="JJQ258" s="609"/>
      <c r="JJR258" s="609"/>
      <c r="JJS258" s="609"/>
      <c r="JJT258" s="609"/>
      <c r="JJU258" s="609"/>
      <c r="JJV258" s="609"/>
      <c r="JJW258" s="609"/>
      <c r="JJX258" s="609"/>
      <c r="JJY258" s="609"/>
      <c r="JJZ258" s="609"/>
      <c r="JKA258" s="609"/>
      <c r="JKB258" s="609"/>
      <c r="JKC258" s="609"/>
      <c r="JKD258" s="609"/>
      <c r="JKE258" s="609"/>
      <c r="JKF258" s="609"/>
      <c r="JKG258" s="609"/>
      <c r="JKH258" s="609"/>
      <c r="JKI258" s="609"/>
      <c r="JKJ258" s="609"/>
      <c r="JKK258" s="609"/>
      <c r="JKL258" s="609"/>
      <c r="JKM258" s="609"/>
      <c r="JKN258" s="609"/>
      <c r="JKO258" s="609"/>
      <c r="JKP258" s="609"/>
      <c r="JKQ258" s="609"/>
      <c r="JKR258" s="609"/>
      <c r="JKS258" s="609"/>
      <c r="JKT258" s="609"/>
      <c r="JKU258" s="609"/>
      <c r="JKV258" s="609"/>
      <c r="JKW258" s="609"/>
      <c r="JKX258" s="609"/>
      <c r="JKY258" s="609"/>
      <c r="JKZ258" s="609"/>
      <c r="JLA258" s="609"/>
      <c r="JLB258" s="609"/>
      <c r="JLC258" s="609"/>
      <c r="JLD258" s="609"/>
      <c r="JLE258" s="609"/>
      <c r="JLF258" s="609"/>
      <c r="JLG258" s="609"/>
      <c r="JLH258" s="609"/>
      <c r="JLI258" s="609"/>
      <c r="JLJ258" s="609"/>
      <c r="JLK258" s="609"/>
      <c r="JLL258" s="609"/>
      <c r="JLM258" s="609"/>
      <c r="JLN258" s="609"/>
      <c r="JLO258" s="609"/>
      <c r="JLP258" s="609"/>
      <c r="JLQ258" s="609"/>
      <c r="JLR258" s="609"/>
      <c r="JLS258" s="609"/>
      <c r="JLT258" s="609"/>
      <c r="JLU258" s="609"/>
      <c r="JLV258" s="609"/>
      <c r="JLW258" s="609"/>
      <c r="JLX258" s="609"/>
      <c r="JLY258" s="609"/>
      <c r="JLZ258" s="609"/>
      <c r="JMA258" s="609"/>
      <c r="JMB258" s="609"/>
      <c r="JMC258" s="609"/>
      <c r="JMD258" s="609"/>
      <c r="JME258" s="609"/>
      <c r="JMF258" s="609"/>
      <c r="JMG258" s="609"/>
      <c r="JMH258" s="609"/>
      <c r="JMI258" s="609"/>
      <c r="JMJ258" s="609"/>
      <c r="JMK258" s="609"/>
      <c r="JML258" s="609"/>
      <c r="JMM258" s="609"/>
      <c r="JMN258" s="609"/>
      <c r="JMO258" s="609"/>
      <c r="JMP258" s="609"/>
      <c r="JMQ258" s="609"/>
      <c r="JMR258" s="609"/>
      <c r="JMS258" s="609"/>
      <c r="JMT258" s="609"/>
      <c r="JMU258" s="609"/>
      <c r="JMV258" s="609"/>
      <c r="JMW258" s="609"/>
      <c r="JMX258" s="609"/>
      <c r="JMY258" s="609"/>
      <c r="JMZ258" s="609"/>
      <c r="JNA258" s="609"/>
      <c r="JNB258" s="609"/>
      <c r="JNC258" s="609"/>
      <c r="JND258" s="609"/>
      <c r="JNE258" s="609"/>
      <c r="JNF258" s="609"/>
      <c r="JNG258" s="609"/>
      <c r="JNH258" s="609"/>
      <c r="JNI258" s="609"/>
      <c r="JNJ258" s="609"/>
      <c r="JNK258" s="609"/>
      <c r="JNL258" s="609"/>
      <c r="JNM258" s="609"/>
      <c r="JNN258" s="609"/>
      <c r="JNO258" s="609"/>
      <c r="JNP258" s="609"/>
      <c r="JNQ258" s="609"/>
      <c r="JNR258" s="609"/>
      <c r="JNS258" s="609"/>
      <c r="JNT258" s="609"/>
      <c r="JNU258" s="609"/>
      <c r="JNV258" s="609"/>
      <c r="JNW258" s="609"/>
      <c r="JNX258" s="609"/>
      <c r="JNY258" s="609"/>
      <c r="JNZ258" s="609"/>
      <c r="JOA258" s="609"/>
      <c r="JOB258" s="609"/>
      <c r="JOC258" s="609"/>
      <c r="JOD258" s="609"/>
      <c r="JOE258" s="609"/>
      <c r="JOF258" s="609"/>
      <c r="JOG258" s="609"/>
      <c r="JOH258" s="609"/>
      <c r="JOI258" s="609"/>
      <c r="JOJ258" s="609"/>
      <c r="JOK258" s="609"/>
      <c r="JOL258" s="609"/>
      <c r="JOM258" s="609"/>
      <c r="JON258" s="609"/>
      <c r="JOO258" s="609"/>
      <c r="JOP258" s="609"/>
      <c r="JOQ258" s="609"/>
      <c r="JOR258" s="609"/>
      <c r="JOS258" s="609"/>
      <c r="JOT258" s="609"/>
      <c r="JOU258" s="609"/>
      <c r="JOV258" s="609"/>
      <c r="JOW258" s="609"/>
      <c r="JOX258" s="609"/>
      <c r="JOY258" s="609"/>
      <c r="JOZ258" s="609"/>
      <c r="JPA258" s="609"/>
      <c r="JPB258" s="609"/>
      <c r="JPC258" s="609"/>
      <c r="JPD258" s="609"/>
      <c r="JPE258" s="609"/>
      <c r="JPF258" s="609"/>
      <c r="JPG258" s="609"/>
      <c r="JPH258" s="609"/>
      <c r="JPI258" s="609"/>
      <c r="JPJ258" s="609"/>
      <c r="JPK258" s="609"/>
      <c r="JPL258" s="609"/>
      <c r="JPM258" s="609"/>
      <c r="JPN258" s="609"/>
      <c r="JPO258" s="609"/>
      <c r="JPP258" s="609"/>
      <c r="JPQ258" s="609"/>
      <c r="JPR258" s="609"/>
      <c r="JPS258" s="609"/>
      <c r="JPT258" s="609"/>
      <c r="JPU258" s="609"/>
      <c r="JPV258" s="609"/>
      <c r="JPW258" s="609"/>
      <c r="JPX258" s="609"/>
      <c r="JPY258" s="609"/>
      <c r="JPZ258" s="609"/>
      <c r="JQA258" s="609"/>
      <c r="JQB258" s="609"/>
      <c r="JQC258" s="609"/>
      <c r="JQD258" s="609"/>
      <c r="JQE258" s="609"/>
      <c r="JQF258" s="609"/>
      <c r="JQG258" s="609"/>
      <c r="JQH258" s="609"/>
      <c r="JQI258" s="609"/>
      <c r="JQJ258" s="609"/>
      <c r="JQK258" s="609"/>
      <c r="JQL258" s="609"/>
      <c r="JQM258" s="609"/>
      <c r="JQN258" s="609"/>
      <c r="JQO258" s="609"/>
      <c r="JQP258" s="609"/>
      <c r="JQQ258" s="609"/>
      <c r="JQR258" s="609"/>
      <c r="JQS258" s="609"/>
      <c r="JQT258" s="609"/>
      <c r="JQU258" s="609"/>
      <c r="JQV258" s="609"/>
      <c r="JQW258" s="609"/>
      <c r="JQX258" s="609"/>
      <c r="JQY258" s="609"/>
      <c r="JQZ258" s="609"/>
      <c r="JRA258" s="609"/>
      <c r="JRB258" s="609"/>
      <c r="JRC258" s="609"/>
      <c r="JRD258" s="609"/>
      <c r="JRE258" s="609"/>
      <c r="JRF258" s="609"/>
      <c r="JRG258" s="609"/>
      <c r="JRH258" s="609"/>
      <c r="JRI258" s="609"/>
      <c r="JRJ258" s="609"/>
      <c r="JRK258" s="609"/>
      <c r="JRL258" s="609"/>
      <c r="JRM258" s="609"/>
      <c r="JRN258" s="609"/>
      <c r="JRO258" s="609"/>
      <c r="JRP258" s="609"/>
      <c r="JRQ258" s="609"/>
      <c r="JRR258" s="609"/>
      <c r="JRS258" s="609"/>
      <c r="JRT258" s="609"/>
      <c r="JRU258" s="609"/>
      <c r="JRV258" s="609"/>
      <c r="JRW258" s="609"/>
      <c r="JRX258" s="609"/>
      <c r="JRY258" s="609"/>
      <c r="JRZ258" s="609"/>
      <c r="JSA258" s="609"/>
      <c r="JSB258" s="609"/>
      <c r="JSC258" s="609"/>
      <c r="JSD258" s="609"/>
      <c r="JSE258" s="609"/>
      <c r="JSF258" s="609"/>
      <c r="JSG258" s="609"/>
      <c r="JSH258" s="609"/>
      <c r="JSI258" s="609"/>
      <c r="JSJ258" s="609"/>
      <c r="JSK258" s="609"/>
      <c r="JSL258" s="609"/>
      <c r="JSM258" s="609"/>
      <c r="JSN258" s="609"/>
      <c r="JSO258" s="609"/>
      <c r="JSP258" s="609"/>
      <c r="JSQ258" s="609"/>
      <c r="JSR258" s="609"/>
      <c r="JSS258" s="609"/>
      <c r="JST258" s="609"/>
      <c r="JSU258" s="609"/>
      <c r="JSV258" s="609"/>
      <c r="JSW258" s="609"/>
      <c r="JSX258" s="609"/>
      <c r="JSY258" s="609"/>
      <c r="JSZ258" s="609"/>
      <c r="JTA258" s="609"/>
      <c r="JTB258" s="609"/>
      <c r="JTC258" s="609"/>
      <c r="JTD258" s="609"/>
      <c r="JTE258" s="609"/>
      <c r="JTF258" s="609"/>
      <c r="JTG258" s="609"/>
      <c r="JTH258" s="609"/>
      <c r="JTI258" s="609"/>
      <c r="JTJ258" s="609"/>
      <c r="JTK258" s="609"/>
      <c r="JTL258" s="609"/>
      <c r="JTM258" s="609"/>
      <c r="JTN258" s="609"/>
      <c r="JTO258" s="609"/>
      <c r="JTP258" s="609"/>
      <c r="JTQ258" s="609"/>
      <c r="JTR258" s="609"/>
      <c r="JTS258" s="609"/>
      <c r="JTT258" s="609"/>
      <c r="JTU258" s="609"/>
      <c r="JTV258" s="609"/>
      <c r="JTW258" s="609"/>
      <c r="JTX258" s="609"/>
      <c r="JTY258" s="609"/>
      <c r="JTZ258" s="609"/>
      <c r="JUA258" s="609"/>
      <c r="JUB258" s="609"/>
      <c r="JUC258" s="609"/>
      <c r="JUD258" s="609"/>
      <c r="JUE258" s="609"/>
      <c r="JUF258" s="609"/>
      <c r="JUG258" s="609"/>
      <c r="JUH258" s="609"/>
      <c r="JUI258" s="609"/>
      <c r="JUJ258" s="609"/>
      <c r="JUK258" s="609"/>
      <c r="JUL258" s="609"/>
      <c r="JUM258" s="609"/>
      <c r="JUN258" s="609"/>
      <c r="JUO258" s="609"/>
      <c r="JUP258" s="609"/>
      <c r="JUQ258" s="609"/>
      <c r="JUR258" s="609"/>
      <c r="JUS258" s="609"/>
      <c r="JUT258" s="609"/>
      <c r="JUU258" s="609"/>
      <c r="JUV258" s="609"/>
      <c r="JUW258" s="609"/>
      <c r="JUX258" s="609"/>
      <c r="JUY258" s="609"/>
      <c r="JUZ258" s="609"/>
      <c r="JVA258" s="609"/>
      <c r="JVB258" s="609"/>
      <c r="JVC258" s="609"/>
      <c r="JVD258" s="609"/>
      <c r="JVE258" s="609"/>
      <c r="JVF258" s="609"/>
      <c r="JVG258" s="609"/>
      <c r="JVH258" s="609"/>
      <c r="JVI258" s="609"/>
      <c r="JVJ258" s="609"/>
      <c r="JVK258" s="609"/>
      <c r="JVL258" s="609"/>
      <c r="JVM258" s="609"/>
      <c r="JVN258" s="609"/>
      <c r="JVO258" s="609"/>
      <c r="JVP258" s="609"/>
      <c r="JVQ258" s="609"/>
      <c r="JVR258" s="609"/>
      <c r="JVS258" s="609"/>
      <c r="JVT258" s="609"/>
      <c r="JVU258" s="609"/>
      <c r="JVV258" s="609"/>
      <c r="JVW258" s="609"/>
      <c r="JVX258" s="609"/>
      <c r="JVY258" s="609"/>
      <c r="JVZ258" s="609"/>
      <c r="JWA258" s="609"/>
      <c r="JWB258" s="609"/>
      <c r="JWC258" s="609"/>
      <c r="JWD258" s="609"/>
      <c r="JWE258" s="609"/>
      <c r="JWF258" s="609"/>
      <c r="JWG258" s="609"/>
      <c r="JWH258" s="609"/>
      <c r="JWI258" s="609"/>
      <c r="JWJ258" s="609"/>
      <c r="JWK258" s="609"/>
      <c r="JWL258" s="609"/>
      <c r="JWM258" s="609"/>
      <c r="JWN258" s="609"/>
      <c r="JWO258" s="609"/>
      <c r="JWP258" s="609"/>
      <c r="JWQ258" s="609"/>
      <c r="JWR258" s="609"/>
      <c r="JWS258" s="609"/>
      <c r="JWT258" s="609"/>
      <c r="JWU258" s="609"/>
      <c r="JWV258" s="609"/>
      <c r="JWW258" s="609"/>
      <c r="JWX258" s="609"/>
      <c r="JWY258" s="609"/>
      <c r="JWZ258" s="609"/>
      <c r="JXA258" s="609"/>
      <c r="JXB258" s="609"/>
      <c r="JXC258" s="609"/>
      <c r="JXD258" s="609"/>
      <c r="JXE258" s="609"/>
      <c r="JXF258" s="609"/>
      <c r="JXG258" s="609"/>
      <c r="JXH258" s="609"/>
      <c r="JXI258" s="609"/>
      <c r="JXJ258" s="609"/>
      <c r="JXK258" s="609"/>
      <c r="JXL258" s="609"/>
      <c r="JXM258" s="609"/>
      <c r="JXN258" s="609"/>
      <c r="JXO258" s="609"/>
      <c r="JXP258" s="609"/>
      <c r="JXQ258" s="609"/>
      <c r="JXR258" s="609"/>
      <c r="JXS258" s="609"/>
      <c r="JXT258" s="609"/>
      <c r="JXU258" s="609"/>
      <c r="JXV258" s="609"/>
      <c r="JXW258" s="609"/>
      <c r="JXX258" s="609"/>
      <c r="JXY258" s="609"/>
      <c r="JXZ258" s="609"/>
      <c r="JYA258" s="609"/>
      <c r="JYB258" s="609"/>
      <c r="JYC258" s="609"/>
      <c r="JYD258" s="609"/>
      <c r="JYE258" s="609"/>
      <c r="JYF258" s="609"/>
      <c r="JYG258" s="609"/>
      <c r="JYH258" s="609"/>
      <c r="JYI258" s="609"/>
      <c r="JYJ258" s="609"/>
      <c r="JYK258" s="609"/>
      <c r="JYL258" s="609"/>
      <c r="JYM258" s="609"/>
      <c r="JYN258" s="609"/>
      <c r="JYO258" s="609"/>
      <c r="JYP258" s="609"/>
      <c r="JYQ258" s="609"/>
      <c r="JYR258" s="609"/>
      <c r="JYS258" s="609"/>
      <c r="JYT258" s="609"/>
      <c r="JYU258" s="609"/>
      <c r="JYV258" s="609"/>
      <c r="JYW258" s="609"/>
      <c r="JYX258" s="609"/>
      <c r="JYY258" s="609"/>
      <c r="JYZ258" s="609"/>
      <c r="JZA258" s="609"/>
      <c r="JZB258" s="609"/>
      <c r="JZC258" s="609"/>
      <c r="JZD258" s="609"/>
      <c r="JZE258" s="609"/>
      <c r="JZF258" s="609"/>
      <c r="JZG258" s="609"/>
      <c r="JZH258" s="609"/>
      <c r="JZI258" s="609"/>
      <c r="JZJ258" s="609"/>
      <c r="JZK258" s="609"/>
      <c r="JZL258" s="609"/>
      <c r="JZM258" s="609"/>
      <c r="JZN258" s="609"/>
      <c r="JZO258" s="609"/>
      <c r="JZP258" s="609"/>
      <c r="JZQ258" s="609"/>
      <c r="JZR258" s="609"/>
      <c r="JZS258" s="609"/>
      <c r="JZT258" s="609"/>
      <c r="JZU258" s="609"/>
      <c r="JZV258" s="609"/>
      <c r="JZW258" s="609"/>
      <c r="JZX258" s="609"/>
      <c r="JZY258" s="609"/>
      <c r="JZZ258" s="609"/>
      <c r="KAA258" s="609"/>
      <c r="KAB258" s="609"/>
      <c r="KAC258" s="609"/>
      <c r="KAD258" s="609"/>
      <c r="KAE258" s="609"/>
      <c r="KAF258" s="609"/>
      <c r="KAG258" s="609"/>
      <c r="KAH258" s="609"/>
      <c r="KAI258" s="609"/>
      <c r="KAJ258" s="609"/>
      <c r="KAK258" s="609"/>
      <c r="KAL258" s="609"/>
      <c r="KAM258" s="609"/>
      <c r="KAN258" s="609"/>
      <c r="KAO258" s="609"/>
      <c r="KAP258" s="609"/>
      <c r="KAQ258" s="609"/>
      <c r="KAR258" s="609"/>
      <c r="KAS258" s="609"/>
      <c r="KAT258" s="609"/>
      <c r="KAU258" s="609"/>
      <c r="KAV258" s="609"/>
      <c r="KAW258" s="609"/>
      <c r="KAX258" s="609"/>
      <c r="KAY258" s="609"/>
      <c r="KAZ258" s="609"/>
      <c r="KBA258" s="609"/>
      <c r="KBB258" s="609"/>
      <c r="KBC258" s="609"/>
      <c r="KBD258" s="609"/>
      <c r="KBE258" s="609"/>
      <c r="KBF258" s="609"/>
      <c r="KBG258" s="609"/>
      <c r="KBH258" s="609"/>
      <c r="KBI258" s="609"/>
      <c r="KBJ258" s="609"/>
      <c r="KBK258" s="609"/>
      <c r="KBL258" s="609"/>
      <c r="KBM258" s="609"/>
      <c r="KBN258" s="609"/>
      <c r="KBO258" s="609"/>
      <c r="KBP258" s="609"/>
      <c r="KBQ258" s="609"/>
      <c r="KBR258" s="609"/>
      <c r="KBS258" s="609"/>
      <c r="KBT258" s="609"/>
      <c r="KBU258" s="609"/>
      <c r="KBV258" s="609"/>
      <c r="KBW258" s="609"/>
      <c r="KBX258" s="609"/>
      <c r="KBY258" s="609"/>
      <c r="KBZ258" s="609"/>
      <c r="KCA258" s="609"/>
      <c r="KCB258" s="609"/>
      <c r="KCC258" s="609"/>
      <c r="KCD258" s="609"/>
      <c r="KCE258" s="609"/>
      <c r="KCF258" s="609"/>
      <c r="KCG258" s="609"/>
      <c r="KCH258" s="609"/>
      <c r="KCI258" s="609"/>
      <c r="KCJ258" s="609"/>
      <c r="KCK258" s="609"/>
      <c r="KCL258" s="609"/>
      <c r="KCM258" s="609"/>
      <c r="KCN258" s="609"/>
      <c r="KCO258" s="609"/>
      <c r="KCP258" s="609"/>
      <c r="KCQ258" s="609"/>
      <c r="KCR258" s="609"/>
      <c r="KCS258" s="609"/>
      <c r="KCT258" s="609"/>
      <c r="KCU258" s="609"/>
      <c r="KCV258" s="609"/>
      <c r="KCW258" s="609"/>
      <c r="KCX258" s="609"/>
      <c r="KCY258" s="609"/>
      <c r="KCZ258" s="609"/>
      <c r="KDA258" s="609"/>
      <c r="KDB258" s="609"/>
      <c r="KDC258" s="609"/>
      <c r="KDD258" s="609"/>
      <c r="KDE258" s="609"/>
      <c r="KDF258" s="609"/>
      <c r="KDG258" s="609"/>
      <c r="KDH258" s="609"/>
      <c r="KDI258" s="609"/>
      <c r="KDJ258" s="609"/>
      <c r="KDK258" s="609"/>
      <c r="KDL258" s="609"/>
      <c r="KDM258" s="609"/>
      <c r="KDN258" s="609"/>
      <c r="KDO258" s="609"/>
      <c r="KDP258" s="609"/>
      <c r="KDQ258" s="609"/>
      <c r="KDR258" s="609"/>
      <c r="KDS258" s="609"/>
      <c r="KDT258" s="609"/>
      <c r="KDU258" s="609"/>
      <c r="KDV258" s="609"/>
      <c r="KDW258" s="609"/>
      <c r="KDX258" s="609"/>
      <c r="KDY258" s="609"/>
      <c r="KDZ258" s="609"/>
      <c r="KEA258" s="609"/>
      <c r="KEB258" s="609"/>
      <c r="KEC258" s="609"/>
      <c r="KED258" s="609"/>
      <c r="KEE258" s="609"/>
      <c r="KEF258" s="609"/>
      <c r="KEG258" s="609"/>
      <c r="KEH258" s="609"/>
      <c r="KEI258" s="609"/>
      <c r="KEJ258" s="609"/>
      <c r="KEK258" s="609"/>
      <c r="KEL258" s="609"/>
      <c r="KEM258" s="609"/>
      <c r="KEN258" s="609"/>
      <c r="KEO258" s="609"/>
      <c r="KEP258" s="609"/>
      <c r="KEQ258" s="609"/>
      <c r="KER258" s="609"/>
      <c r="KES258" s="609"/>
      <c r="KET258" s="609"/>
      <c r="KEU258" s="609"/>
      <c r="KEV258" s="609"/>
      <c r="KEW258" s="609"/>
      <c r="KEX258" s="609"/>
      <c r="KEY258" s="609"/>
      <c r="KEZ258" s="609"/>
      <c r="KFA258" s="609"/>
      <c r="KFB258" s="609"/>
      <c r="KFC258" s="609"/>
      <c r="KFD258" s="609"/>
      <c r="KFE258" s="609"/>
      <c r="KFF258" s="609"/>
      <c r="KFG258" s="609"/>
      <c r="KFH258" s="609"/>
      <c r="KFI258" s="609"/>
      <c r="KFJ258" s="609"/>
      <c r="KFK258" s="609"/>
      <c r="KFL258" s="609"/>
      <c r="KFM258" s="609"/>
      <c r="KFN258" s="609"/>
      <c r="KFO258" s="609"/>
      <c r="KFP258" s="609"/>
      <c r="KFQ258" s="609"/>
      <c r="KFR258" s="609"/>
      <c r="KFS258" s="609"/>
      <c r="KFT258" s="609"/>
      <c r="KFU258" s="609"/>
      <c r="KFV258" s="609"/>
      <c r="KFW258" s="609"/>
      <c r="KFX258" s="609"/>
      <c r="KFY258" s="609"/>
      <c r="KFZ258" s="609"/>
      <c r="KGA258" s="609"/>
      <c r="KGB258" s="609"/>
      <c r="KGC258" s="609"/>
      <c r="KGD258" s="609"/>
      <c r="KGE258" s="609"/>
      <c r="KGF258" s="609"/>
      <c r="KGG258" s="609"/>
      <c r="KGH258" s="609"/>
      <c r="KGI258" s="609"/>
      <c r="KGJ258" s="609"/>
      <c r="KGK258" s="609"/>
      <c r="KGL258" s="609"/>
      <c r="KGM258" s="609"/>
      <c r="KGN258" s="609"/>
      <c r="KGO258" s="609"/>
      <c r="KGP258" s="609"/>
      <c r="KGQ258" s="609"/>
      <c r="KGR258" s="609"/>
      <c r="KGS258" s="609"/>
      <c r="KGT258" s="609"/>
      <c r="KGU258" s="609"/>
      <c r="KGV258" s="609"/>
      <c r="KGW258" s="609"/>
      <c r="KGX258" s="609"/>
      <c r="KGY258" s="609"/>
      <c r="KGZ258" s="609"/>
      <c r="KHA258" s="609"/>
      <c r="KHB258" s="609"/>
      <c r="KHC258" s="609"/>
      <c r="KHD258" s="609"/>
      <c r="KHE258" s="609"/>
      <c r="KHF258" s="609"/>
      <c r="KHG258" s="609"/>
      <c r="KHH258" s="609"/>
      <c r="KHI258" s="609"/>
      <c r="KHJ258" s="609"/>
      <c r="KHK258" s="609"/>
      <c r="KHL258" s="609"/>
      <c r="KHM258" s="609"/>
      <c r="KHN258" s="609"/>
      <c r="KHO258" s="609"/>
      <c r="KHP258" s="609"/>
      <c r="KHQ258" s="609"/>
      <c r="KHR258" s="609"/>
      <c r="KHS258" s="609"/>
      <c r="KHT258" s="609"/>
      <c r="KHU258" s="609"/>
      <c r="KHV258" s="609"/>
      <c r="KHW258" s="609"/>
      <c r="KHX258" s="609"/>
      <c r="KHY258" s="609"/>
      <c r="KHZ258" s="609"/>
      <c r="KIA258" s="609"/>
      <c r="KIB258" s="609"/>
      <c r="KIC258" s="609"/>
      <c r="KID258" s="609"/>
      <c r="KIE258" s="609"/>
      <c r="KIF258" s="609"/>
      <c r="KIG258" s="609"/>
      <c r="KIH258" s="609"/>
      <c r="KII258" s="609"/>
      <c r="KIJ258" s="609"/>
      <c r="KIK258" s="609"/>
      <c r="KIL258" s="609"/>
      <c r="KIM258" s="609"/>
      <c r="KIN258" s="609"/>
      <c r="KIO258" s="609"/>
      <c r="KIP258" s="609"/>
      <c r="KIQ258" s="609"/>
      <c r="KIR258" s="609"/>
      <c r="KIS258" s="609"/>
      <c r="KIT258" s="609"/>
      <c r="KIU258" s="609"/>
      <c r="KIV258" s="609"/>
      <c r="KIW258" s="609"/>
      <c r="KIX258" s="609"/>
      <c r="KIY258" s="609"/>
      <c r="KIZ258" s="609"/>
      <c r="KJA258" s="609"/>
      <c r="KJB258" s="609"/>
      <c r="KJC258" s="609"/>
      <c r="KJD258" s="609"/>
      <c r="KJE258" s="609"/>
      <c r="KJF258" s="609"/>
      <c r="KJG258" s="609"/>
      <c r="KJH258" s="609"/>
      <c r="KJI258" s="609"/>
      <c r="KJJ258" s="609"/>
      <c r="KJK258" s="609"/>
      <c r="KJL258" s="609"/>
      <c r="KJM258" s="609"/>
      <c r="KJN258" s="609"/>
      <c r="KJO258" s="609"/>
      <c r="KJP258" s="609"/>
      <c r="KJQ258" s="609"/>
      <c r="KJR258" s="609"/>
      <c r="KJS258" s="609"/>
      <c r="KJT258" s="609"/>
      <c r="KJU258" s="609"/>
      <c r="KJV258" s="609"/>
      <c r="KJW258" s="609"/>
      <c r="KJX258" s="609"/>
      <c r="KJY258" s="609"/>
      <c r="KJZ258" s="609"/>
      <c r="KKA258" s="609"/>
      <c r="KKB258" s="609"/>
      <c r="KKC258" s="609"/>
      <c r="KKD258" s="609"/>
      <c r="KKE258" s="609"/>
      <c r="KKF258" s="609"/>
      <c r="KKG258" s="609"/>
      <c r="KKH258" s="609"/>
      <c r="KKI258" s="609"/>
      <c r="KKJ258" s="609"/>
      <c r="KKK258" s="609"/>
      <c r="KKL258" s="609"/>
      <c r="KKM258" s="609"/>
      <c r="KKN258" s="609"/>
      <c r="KKO258" s="609"/>
      <c r="KKP258" s="609"/>
      <c r="KKQ258" s="609"/>
      <c r="KKR258" s="609"/>
      <c r="KKS258" s="609"/>
      <c r="KKT258" s="609"/>
      <c r="KKU258" s="609"/>
      <c r="KKV258" s="609"/>
      <c r="KKW258" s="609"/>
      <c r="KKX258" s="609"/>
      <c r="KKY258" s="609"/>
      <c r="KKZ258" s="609"/>
      <c r="KLA258" s="609"/>
      <c r="KLB258" s="609"/>
      <c r="KLC258" s="609"/>
      <c r="KLD258" s="609"/>
      <c r="KLE258" s="609"/>
      <c r="KLF258" s="609"/>
      <c r="KLG258" s="609"/>
      <c r="KLH258" s="609"/>
      <c r="KLI258" s="609"/>
      <c r="KLJ258" s="609"/>
      <c r="KLK258" s="609"/>
      <c r="KLL258" s="609"/>
      <c r="KLM258" s="609"/>
      <c r="KLN258" s="609"/>
      <c r="KLO258" s="609"/>
      <c r="KLP258" s="609"/>
      <c r="KLQ258" s="609"/>
      <c r="KLR258" s="609"/>
      <c r="KLS258" s="609"/>
      <c r="KLT258" s="609"/>
      <c r="KLU258" s="609"/>
      <c r="KLV258" s="609"/>
      <c r="KLW258" s="609"/>
      <c r="KLX258" s="609"/>
      <c r="KLY258" s="609"/>
      <c r="KLZ258" s="609"/>
      <c r="KMA258" s="609"/>
      <c r="KMB258" s="609"/>
      <c r="KMC258" s="609"/>
      <c r="KMD258" s="609"/>
      <c r="KME258" s="609"/>
      <c r="KMF258" s="609"/>
      <c r="KMG258" s="609"/>
      <c r="KMH258" s="609"/>
      <c r="KMI258" s="609"/>
      <c r="KMJ258" s="609"/>
      <c r="KMK258" s="609"/>
      <c r="KML258" s="609"/>
      <c r="KMM258" s="609"/>
      <c r="KMN258" s="609"/>
      <c r="KMO258" s="609"/>
      <c r="KMP258" s="609"/>
      <c r="KMQ258" s="609"/>
      <c r="KMR258" s="609"/>
      <c r="KMS258" s="609"/>
      <c r="KMT258" s="609"/>
      <c r="KMU258" s="609"/>
      <c r="KMV258" s="609"/>
      <c r="KMW258" s="609"/>
      <c r="KMX258" s="609"/>
      <c r="KMY258" s="609"/>
      <c r="KMZ258" s="609"/>
      <c r="KNA258" s="609"/>
      <c r="KNB258" s="609"/>
      <c r="KNC258" s="609"/>
      <c r="KND258" s="609"/>
      <c r="KNE258" s="609"/>
      <c r="KNF258" s="609"/>
      <c r="KNG258" s="609"/>
      <c r="KNH258" s="609"/>
      <c r="KNI258" s="609"/>
      <c r="KNJ258" s="609"/>
      <c r="KNK258" s="609"/>
      <c r="KNL258" s="609"/>
      <c r="KNM258" s="609"/>
      <c r="KNN258" s="609"/>
      <c r="KNO258" s="609"/>
      <c r="KNP258" s="609"/>
      <c r="KNQ258" s="609"/>
      <c r="KNR258" s="609"/>
      <c r="KNS258" s="609"/>
      <c r="KNT258" s="609"/>
      <c r="KNU258" s="609"/>
      <c r="KNV258" s="609"/>
      <c r="KNW258" s="609"/>
      <c r="KNX258" s="609"/>
      <c r="KNY258" s="609"/>
      <c r="KNZ258" s="609"/>
      <c r="KOA258" s="609"/>
      <c r="KOB258" s="609"/>
      <c r="KOC258" s="609"/>
      <c r="KOD258" s="609"/>
      <c r="KOE258" s="609"/>
      <c r="KOF258" s="609"/>
      <c r="KOG258" s="609"/>
      <c r="KOH258" s="609"/>
      <c r="KOI258" s="609"/>
      <c r="KOJ258" s="609"/>
      <c r="KOK258" s="609"/>
      <c r="KOL258" s="609"/>
      <c r="KOM258" s="609"/>
      <c r="KON258" s="609"/>
      <c r="KOO258" s="609"/>
      <c r="KOP258" s="609"/>
      <c r="KOQ258" s="609"/>
      <c r="KOR258" s="609"/>
      <c r="KOS258" s="609"/>
      <c r="KOT258" s="609"/>
      <c r="KOU258" s="609"/>
      <c r="KOV258" s="609"/>
      <c r="KOW258" s="609"/>
      <c r="KOX258" s="609"/>
      <c r="KOY258" s="609"/>
      <c r="KOZ258" s="609"/>
      <c r="KPA258" s="609"/>
      <c r="KPB258" s="609"/>
      <c r="KPC258" s="609"/>
      <c r="KPD258" s="609"/>
      <c r="KPE258" s="609"/>
      <c r="KPF258" s="609"/>
      <c r="KPG258" s="609"/>
      <c r="KPH258" s="609"/>
      <c r="KPI258" s="609"/>
      <c r="KPJ258" s="609"/>
      <c r="KPK258" s="609"/>
      <c r="KPL258" s="609"/>
      <c r="KPM258" s="609"/>
      <c r="KPN258" s="609"/>
      <c r="KPO258" s="609"/>
      <c r="KPP258" s="609"/>
      <c r="KPQ258" s="609"/>
      <c r="KPR258" s="609"/>
      <c r="KPS258" s="609"/>
      <c r="KPT258" s="609"/>
      <c r="KPU258" s="609"/>
      <c r="KPV258" s="609"/>
      <c r="KPW258" s="609"/>
      <c r="KPX258" s="609"/>
      <c r="KPY258" s="609"/>
      <c r="KPZ258" s="609"/>
      <c r="KQA258" s="609"/>
      <c r="KQB258" s="609"/>
      <c r="KQC258" s="609"/>
      <c r="KQD258" s="609"/>
      <c r="KQE258" s="609"/>
      <c r="KQF258" s="609"/>
      <c r="KQG258" s="609"/>
      <c r="KQH258" s="609"/>
      <c r="KQI258" s="609"/>
      <c r="KQJ258" s="609"/>
      <c r="KQK258" s="609"/>
      <c r="KQL258" s="609"/>
      <c r="KQM258" s="609"/>
      <c r="KQN258" s="609"/>
      <c r="KQO258" s="609"/>
      <c r="KQP258" s="609"/>
      <c r="KQQ258" s="609"/>
      <c r="KQR258" s="609"/>
      <c r="KQS258" s="609"/>
      <c r="KQT258" s="609"/>
      <c r="KQU258" s="609"/>
      <c r="KQV258" s="609"/>
      <c r="KQW258" s="609"/>
      <c r="KQX258" s="609"/>
      <c r="KQY258" s="609"/>
      <c r="KQZ258" s="609"/>
      <c r="KRA258" s="609"/>
      <c r="KRB258" s="609"/>
      <c r="KRC258" s="609"/>
      <c r="KRD258" s="609"/>
      <c r="KRE258" s="609"/>
      <c r="KRF258" s="609"/>
      <c r="KRG258" s="609"/>
      <c r="KRH258" s="609"/>
      <c r="KRI258" s="609"/>
      <c r="KRJ258" s="609"/>
      <c r="KRK258" s="609"/>
      <c r="KRL258" s="609"/>
      <c r="KRM258" s="609"/>
      <c r="KRN258" s="609"/>
      <c r="KRO258" s="609"/>
      <c r="KRP258" s="609"/>
      <c r="KRQ258" s="609"/>
      <c r="KRR258" s="609"/>
      <c r="KRS258" s="609"/>
      <c r="KRT258" s="609"/>
      <c r="KRU258" s="609"/>
      <c r="KRV258" s="609"/>
      <c r="KRW258" s="609"/>
      <c r="KRX258" s="609"/>
      <c r="KRY258" s="609"/>
      <c r="KRZ258" s="609"/>
      <c r="KSA258" s="609"/>
      <c r="KSB258" s="609"/>
      <c r="KSC258" s="609"/>
      <c r="KSD258" s="609"/>
      <c r="KSE258" s="609"/>
      <c r="KSF258" s="609"/>
      <c r="KSG258" s="609"/>
      <c r="KSH258" s="609"/>
      <c r="KSI258" s="609"/>
      <c r="KSJ258" s="609"/>
      <c r="KSK258" s="609"/>
      <c r="KSL258" s="609"/>
      <c r="KSM258" s="609"/>
      <c r="KSN258" s="609"/>
      <c r="KSO258" s="609"/>
      <c r="KSP258" s="609"/>
      <c r="KSQ258" s="609"/>
      <c r="KSR258" s="609"/>
      <c r="KSS258" s="609"/>
      <c r="KST258" s="609"/>
      <c r="KSU258" s="609"/>
      <c r="KSV258" s="609"/>
      <c r="KSW258" s="609"/>
      <c r="KSX258" s="609"/>
      <c r="KSY258" s="609"/>
      <c r="KSZ258" s="609"/>
      <c r="KTA258" s="609"/>
      <c r="KTB258" s="609"/>
      <c r="KTC258" s="609"/>
      <c r="KTD258" s="609"/>
      <c r="KTE258" s="609"/>
      <c r="KTF258" s="609"/>
      <c r="KTG258" s="609"/>
      <c r="KTH258" s="609"/>
      <c r="KTI258" s="609"/>
      <c r="KTJ258" s="609"/>
      <c r="KTK258" s="609"/>
      <c r="KTL258" s="609"/>
      <c r="KTM258" s="609"/>
      <c r="KTN258" s="609"/>
      <c r="KTO258" s="609"/>
      <c r="KTP258" s="609"/>
      <c r="KTQ258" s="609"/>
      <c r="KTR258" s="609"/>
      <c r="KTS258" s="609"/>
      <c r="KTT258" s="609"/>
      <c r="KTU258" s="609"/>
      <c r="KTV258" s="609"/>
      <c r="KTW258" s="609"/>
      <c r="KTX258" s="609"/>
      <c r="KTY258" s="609"/>
      <c r="KTZ258" s="609"/>
      <c r="KUA258" s="609"/>
      <c r="KUB258" s="609"/>
      <c r="KUC258" s="609"/>
      <c r="KUD258" s="609"/>
      <c r="KUE258" s="609"/>
      <c r="KUF258" s="609"/>
      <c r="KUG258" s="609"/>
      <c r="KUH258" s="609"/>
      <c r="KUI258" s="609"/>
      <c r="KUJ258" s="609"/>
      <c r="KUK258" s="609"/>
      <c r="KUL258" s="609"/>
      <c r="KUM258" s="609"/>
      <c r="KUN258" s="609"/>
      <c r="KUO258" s="609"/>
      <c r="KUP258" s="609"/>
      <c r="KUQ258" s="609"/>
      <c r="KUR258" s="609"/>
      <c r="KUS258" s="609"/>
      <c r="KUT258" s="609"/>
      <c r="KUU258" s="609"/>
      <c r="KUV258" s="609"/>
      <c r="KUW258" s="609"/>
      <c r="KUX258" s="609"/>
      <c r="KUY258" s="609"/>
      <c r="KUZ258" s="609"/>
      <c r="KVA258" s="609"/>
      <c r="KVB258" s="609"/>
      <c r="KVC258" s="609"/>
      <c r="KVD258" s="609"/>
      <c r="KVE258" s="609"/>
      <c r="KVF258" s="609"/>
      <c r="KVG258" s="609"/>
      <c r="KVH258" s="609"/>
      <c r="KVI258" s="609"/>
      <c r="KVJ258" s="609"/>
      <c r="KVK258" s="609"/>
      <c r="KVL258" s="609"/>
      <c r="KVM258" s="609"/>
      <c r="KVN258" s="609"/>
      <c r="KVO258" s="609"/>
      <c r="KVP258" s="609"/>
      <c r="KVQ258" s="609"/>
      <c r="KVR258" s="609"/>
      <c r="KVS258" s="609"/>
      <c r="KVT258" s="609"/>
      <c r="KVU258" s="609"/>
      <c r="KVV258" s="609"/>
      <c r="KVW258" s="609"/>
      <c r="KVX258" s="609"/>
      <c r="KVY258" s="609"/>
      <c r="KVZ258" s="609"/>
      <c r="KWA258" s="609"/>
      <c r="KWB258" s="609"/>
      <c r="KWC258" s="609"/>
      <c r="KWD258" s="609"/>
      <c r="KWE258" s="609"/>
      <c r="KWF258" s="609"/>
      <c r="KWG258" s="609"/>
      <c r="KWH258" s="609"/>
      <c r="KWI258" s="609"/>
      <c r="KWJ258" s="609"/>
      <c r="KWK258" s="609"/>
      <c r="KWL258" s="609"/>
      <c r="KWM258" s="609"/>
      <c r="KWN258" s="609"/>
      <c r="KWO258" s="609"/>
      <c r="KWP258" s="609"/>
      <c r="KWQ258" s="609"/>
      <c r="KWR258" s="609"/>
      <c r="KWS258" s="609"/>
      <c r="KWT258" s="609"/>
      <c r="KWU258" s="609"/>
      <c r="KWV258" s="609"/>
      <c r="KWW258" s="609"/>
      <c r="KWX258" s="609"/>
      <c r="KWY258" s="609"/>
      <c r="KWZ258" s="609"/>
      <c r="KXA258" s="609"/>
      <c r="KXB258" s="609"/>
      <c r="KXC258" s="609"/>
      <c r="KXD258" s="609"/>
      <c r="KXE258" s="609"/>
      <c r="KXF258" s="609"/>
      <c r="KXG258" s="609"/>
      <c r="KXH258" s="609"/>
      <c r="KXI258" s="609"/>
      <c r="KXJ258" s="609"/>
      <c r="KXK258" s="609"/>
      <c r="KXL258" s="609"/>
      <c r="KXM258" s="609"/>
      <c r="KXN258" s="609"/>
      <c r="KXO258" s="609"/>
      <c r="KXP258" s="609"/>
      <c r="KXQ258" s="609"/>
      <c r="KXR258" s="609"/>
      <c r="KXS258" s="609"/>
      <c r="KXT258" s="609"/>
      <c r="KXU258" s="609"/>
      <c r="KXV258" s="609"/>
      <c r="KXW258" s="609"/>
      <c r="KXX258" s="609"/>
      <c r="KXY258" s="609"/>
      <c r="KXZ258" s="609"/>
      <c r="KYA258" s="609"/>
      <c r="KYB258" s="609"/>
      <c r="KYC258" s="609"/>
      <c r="KYD258" s="609"/>
      <c r="KYE258" s="609"/>
      <c r="KYF258" s="609"/>
      <c r="KYG258" s="609"/>
      <c r="KYH258" s="609"/>
      <c r="KYI258" s="609"/>
      <c r="KYJ258" s="609"/>
      <c r="KYK258" s="609"/>
      <c r="KYL258" s="609"/>
      <c r="KYM258" s="609"/>
      <c r="KYN258" s="609"/>
      <c r="KYO258" s="609"/>
      <c r="KYP258" s="609"/>
      <c r="KYQ258" s="609"/>
      <c r="KYR258" s="609"/>
      <c r="KYS258" s="609"/>
      <c r="KYT258" s="609"/>
      <c r="KYU258" s="609"/>
      <c r="KYV258" s="609"/>
      <c r="KYW258" s="609"/>
      <c r="KYX258" s="609"/>
      <c r="KYY258" s="609"/>
      <c r="KYZ258" s="609"/>
      <c r="KZA258" s="609"/>
      <c r="KZB258" s="609"/>
      <c r="KZC258" s="609"/>
      <c r="KZD258" s="609"/>
      <c r="KZE258" s="609"/>
      <c r="KZF258" s="609"/>
      <c r="KZG258" s="609"/>
      <c r="KZH258" s="609"/>
      <c r="KZI258" s="609"/>
      <c r="KZJ258" s="609"/>
      <c r="KZK258" s="609"/>
      <c r="KZL258" s="609"/>
      <c r="KZM258" s="609"/>
      <c r="KZN258" s="609"/>
      <c r="KZO258" s="609"/>
      <c r="KZP258" s="609"/>
      <c r="KZQ258" s="609"/>
      <c r="KZR258" s="609"/>
      <c r="KZS258" s="609"/>
      <c r="KZT258" s="609"/>
      <c r="KZU258" s="609"/>
      <c r="KZV258" s="609"/>
      <c r="KZW258" s="609"/>
      <c r="KZX258" s="609"/>
      <c r="KZY258" s="609"/>
      <c r="KZZ258" s="609"/>
      <c r="LAA258" s="609"/>
      <c r="LAB258" s="609"/>
      <c r="LAC258" s="609"/>
      <c r="LAD258" s="609"/>
      <c r="LAE258" s="609"/>
      <c r="LAF258" s="609"/>
      <c r="LAG258" s="609"/>
      <c r="LAH258" s="609"/>
      <c r="LAI258" s="609"/>
      <c r="LAJ258" s="609"/>
      <c r="LAK258" s="609"/>
      <c r="LAL258" s="609"/>
      <c r="LAM258" s="609"/>
      <c r="LAN258" s="609"/>
      <c r="LAO258" s="609"/>
      <c r="LAP258" s="609"/>
      <c r="LAQ258" s="609"/>
      <c r="LAR258" s="609"/>
      <c r="LAS258" s="609"/>
      <c r="LAT258" s="609"/>
      <c r="LAU258" s="609"/>
      <c r="LAV258" s="609"/>
      <c r="LAW258" s="609"/>
      <c r="LAX258" s="609"/>
      <c r="LAY258" s="609"/>
      <c r="LAZ258" s="609"/>
      <c r="LBA258" s="609"/>
      <c r="LBB258" s="609"/>
      <c r="LBC258" s="609"/>
      <c r="LBD258" s="609"/>
      <c r="LBE258" s="609"/>
      <c r="LBF258" s="609"/>
      <c r="LBG258" s="609"/>
      <c r="LBH258" s="609"/>
      <c r="LBI258" s="609"/>
      <c r="LBJ258" s="609"/>
      <c r="LBK258" s="609"/>
      <c r="LBL258" s="609"/>
      <c r="LBM258" s="609"/>
      <c r="LBN258" s="609"/>
      <c r="LBO258" s="609"/>
      <c r="LBP258" s="609"/>
      <c r="LBQ258" s="609"/>
      <c r="LBR258" s="609"/>
      <c r="LBS258" s="609"/>
      <c r="LBT258" s="609"/>
      <c r="LBU258" s="609"/>
      <c r="LBV258" s="609"/>
      <c r="LBW258" s="609"/>
      <c r="LBX258" s="609"/>
      <c r="LBY258" s="609"/>
      <c r="LBZ258" s="609"/>
      <c r="LCA258" s="609"/>
      <c r="LCB258" s="609"/>
      <c r="LCC258" s="609"/>
      <c r="LCD258" s="609"/>
      <c r="LCE258" s="609"/>
      <c r="LCF258" s="609"/>
      <c r="LCG258" s="609"/>
      <c r="LCH258" s="609"/>
      <c r="LCI258" s="609"/>
      <c r="LCJ258" s="609"/>
      <c r="LCK258" s="609"/>
      <c r="LCL258" s="609"/>
      <c r="LCM258" s="609"/>
      <c r="LCN258" s="609"/>
      <c r="LCO258" s="609"/>
      <c r="LCP258" s="609"/>
      <c r="LCQ258" s="609"/>
      <c r="LCR258" s="609"/>
      <c r="LCS258" s="609"/>
      <c r="LCT258" s="609"/>
      <c r="LCU258" s="609"/>
      <c r="LCV258" s="609"/>
      <c r="LCW258" s="609"/>
      <c r="LCX258" s="609"/>
      <c r="LCY258" s="609"/>
      <c r="LCZ258" s="609"/>
      <c r="LDA258" s="609"/>
      <c r="LDB258" s="609"/>
      <c r="LDC258" s="609"/>
      <c r="LDD258" s="609"/>
      <c r="LDE258" s="609"/>
      <c r="LDF258" s="609"/>
      <c r="LDG258" s="609"/>
      <c r="LDH258" s="609"/>
      <c r="LDI258" s="609"/>
      <c r="LDJ258" s="609"/>
      <c r="LDK258" s="609"/>
      <c r="LDL258" s="609"/>
      <c r="LDM258" s="609"/>
      <c r="LDN258" s="609"/>
      <c r="LDO258" s="609"/>
      <c r="LDP258" s="609"/>
      <c r="LDQ258" s="609"/>
      <c r="LDR258" s="609"/>
      <c r="LDS258" s="609"/>
      <c r="LDT258" s="609"/>
      <c r="LDU258" s="609"/>
      <c r="LDV258" s="609"/>
      <c r="LDW258" s="609"/>
      <c r="LDX258" s="609"/>
      <c r="LDY258" s="609"/>
      <c r="LDZ258" s="609"/>
      <c r="LEA258" s="609"/>
      <c r="LEB258" s="609"/>
      <c r="LEC258" s="609"/>
      <c r="LED258" s="609"/>
      <c r="LEE258" s="609"/>
      <c r="LEF258" s="609"/>
      <c r="LEG258" s="609"/>
      <c r="LEH258" s="609"/>
      <c r="LEI258" s="609"/>
      <c r="LEJ258" s="609"/>
      <c r="LEK258" s="609"/>
      <c r="LEL258" s="609"/>
      <c r="LEM258" s="609"/>
      <c r="LEN258" s="609"/>
      <c r="LEO258" s="609"/>
      <c r="LEP258" s="609"/>
      <c r="LEQ258" s="609"/>
      <c r="LER258" s="609"/>
      <c r="LES258" s="609"/>
      <c r="LET258" s="609"/>
      <c r="LEU258" s="609"/>
      <c r="LEV258" s="609"/>
      <c r="LEW258" s="609"/>
      <c r="LEX258" s="609"/>
      <c r="LEY258" s="609"/>
      <c r="LEZ258" s="609"/>
      <c r="LFA258" s="609"/>
      <c r="LFB258" s="609"/>
      <c r="LFC258" s="609"/>
      <c r="LFD258" s="609"/>
      <c r="LFE258" s="609"/>
      <c r="LFF258" s="609"/>
      <c r="LFG258" s="609"/>
      <c r="LFH258" s="609"/>
      <c r="LFI258" s="609"/>
      <c r="LFJ258" s="609"/>
      <c r="LFK258" s="609"/>
      <c r="LFL258" s="609"/>
      <c r="LFM258" s="609"/>
      <c r="LFN258" s="609"/>
      <c r="LFO258" s="609"/>
      <c r="LFP258" s="609"/>
      <c r="LFQ258" s="609"/>
      <c r="LFR258" s="609"/>
      <c r="LFS258" s="609"/>
      <c r="LFT258" s="609"/>
      <c r="LFU258" s="609"/>
      <c r="LFV258" s="609"/>
      <c r="LFW258" s="609"/>
      <c r="LFX258" s="609"/>
      <c r="LFY258" s="609"/>
      <c r="LFZ258" s="609"/>
      <c r="LGA258" s="609"/>
      <c r="LGB258" s="609"/>
      <c r="LGC258" s="609"/>
      <c r="LGD258" s="609"/>
      <c r="LGE258" s="609"/>
      <c r="LGF258" s="609"/>
      <c r="LGG258" s="609"/>
      <c r="LGH258" s="609"/>
      <c r="LGI258" s="609"/>
      <c r="LGJ258" s="609"/>
      <c r="LGK258" s="609"/>
      <c r="LGL258" s="609"/>
      <c r="LGM258" s="609"/>
      <c r="LGN258" s="609"/>
      <c r="LGO258" s="609"/>
      <c r="LGP258" s="609"/>
      <c r="LGQ258" s="609"/>
      <c r="LGR258" s="609"/>
      <c r="LGS258" s="609"/>
      <c r="LGT258" s="609"/>
      <c r="LGU258" s="609"/>
      <c r="LGV258" s="609"/>
      <c r="LGW258" s="609"/>
      <c r="LGX258" s="609"/>
      <c r="LGY258" s="609"/>
      <c r="LGZ258" s="609"/>
      <c r="LHA258" s="609"/>
      <c r="LHB258" s="609"/>
      <c r="LHC258" s="609"/>
      <c r="LHD258" s="609"/>
      <c r="LHE258" s="609"/>
      <c r="LHF258" s="609"/>
      <c r="LHG258" s="609"/>
      <c r="LHH258" s="609"/>
      <c r="LHI258" s="609"/>
      <c r="LHJ258" s="609"/>
      <c r="LHK258" s="609"/>
      <c r="LHL258" s="609"/>
      <c r="LHM258" s="609"/>
      <c r="LHN258" s="609"/>
      <c r="LHO258" s="609"/>
      <c r="LHP258" s="609"/>
      <c r="LHQ258" s="609"/>
      <c r="LHR258" s="609"/>
      <c r="LHS258" s="609"/>
      <c r="LHT258" s="609"/>
      <c r="LHU258" s="609"/>
      <c r="LHV258" s="609"/>
      <c r="LHW258" s="609"/>
      <c r="LHX258" s="609"/>
      <c r="LHY258" s="609"/>
      <c r="LHZ258" s="609"/>
      <c r="LIA258" s="609"/>
      <c r="LIB258" s="609"/>
      <c r="LIC258" s="609"/>
      <c r="LID258" s="609"/>
      <c r="LIE258" s="609"/>
      <c r="LIF258" s="609"/>
      <c r="LIG258" s="609"/>
      <c r="LIH258" s="609"/>
      <c r="LII258" s="609"/>
      <c r="LIJ258" s="609"/>
      <c r="LIK258" s="609"/>
      <c r="LIL258" s="609"/>
      <c r="LIM258" s="609"/>
      <c r="LIN258" s="609"/>
      <c r="LIO258" s="609"/>
      <c r="LIP258" s="609"/>
      <c r="LIQ258" s="609"/>
      <c r="LIR258" s="609"/>
      <c r="LIS258" s="609"/>
      <c r="LIT258" s="609"/>
      <c r="LIU258" s="609"/>
      <c r="LIV258" s="609"/>
      <c r="LIW258" s="609"/>
      <c r="LIX258" s="609"/>
      <c r="LIY258" s="609"/>
      <c r="LIZ258" s="609"/>
      <c r="LJA258" s="609"/>
      <c r="LJB258" s="609"/>
      <c r="LJC258" s="609"/>
      <c r="LJD258" s="609"/>
      <c r="LJE258" s="609"/>
      <c r="LJF258" s="609"/>
      <c r="LJG258" s="609"/>
      <c r="LJH258" s="609"/>
      <c r="LJI258" s="609"/>
      <c r="LJJ258" s="609"/>
      <c r="LJK258" s="609"/>
      <c r="LJL258" s="609"/>
      <c r="LJM258" s="609"/>
      <c r="LJN258" s="609"/>
      <c r="LJO258" s="609"/>
      <c r="LJP258" s="609"/>
      <c r="LJQ258" s="609"/>
      <c r="LJR258" s="609"/>
      <c r="LJS258" s="609"/>
      <c r="LJT258" s="609"/>
      <c r="LJU258" s="609"/>
      <c r="LJV258" s="609"/>
      <c r="LJW258" s="609"/>
      <c r="LJX258" s="609"/>
      <c r="LJY258" s="609"/>
      <c r="LJZ258" s="609"/>
      <c r="LKA258" s="609"/>
      <c r="LKB258" s="609"/>
      <c r="LKC258" s="609"/>
      <c r="LKD258" s="609"/>
      <c r="LKE258" s="609"/>
      <c r="LKF258" s="609"/>
      <c r="LKG258" s="609"/>
      <c r="LKH258" s="609"/>
      <c r="LKI258" s="609"/>
      <c r="LKJ258" s="609"/>
      <c r="LKK258" s="609"/>
      <c r="LKL258" s="609"/>
      <c r="LKM258" s="609"/>
      <c r="LKN258" s="609"/>
      <c r="LKO258" s="609"/>
      <c r="LKP258" s="609"/>
      <c r="LKQ258" s="609"/>
      <c r="LKR258" s="609"/>
      <c r="LKS258" s="609"/>
      <c r="LKT258" s="609"/>
      <c r="LKU258" s="609"/>
      <c r="LKV258" s="609"/>
      <c r="LKW258" s="609"/>
      <c r="LKX258" s="609"/>
      <c r="LKY258" s="609"/>
      <c r="LKZ258" s="609"/>
      <c r="LLA258" s="609"/>
      <c r="LLB258" s="609"/>
      <c r="LLC258" s="609"/>
      <c r="LLD258" s="609"/>
      <c r="LLE258" s="609"/>
      <c r="LLF258" s="609"/>
      <c r="LLG258" s="609"/>
      <c r="LLH258" s="609"/>
      <c r="LLI258" s="609"/>
      <c r="LLJ258" s="609"/>
      <c r="LLK258" s="609"/>
      <c r="LLL258" s="609"/>
      <c r="LLM258" s="609"/>
      <c r="LLN258" s="609"/>
      <c r="LLO258" s="609"/>
      <c r="LLP258" s="609"/>
      <c r="LLQ258" s="609"/>
      <c r="LLR258" s="609"/>
      <c r="LLS258" s="609"/>
      <c r="LLT258" s="609"/>
      <c r="LLU258" s="609"/>
      <c r="LLV258" s="609"/>
      <c r="LLW258" s="609"/>
      <c r="LLX258" s="609"/>
      <c r="LLY258" s="609"/>
      <c r="LLZ258" s="609"/>
      <c r="LMA258" s="609"/>
      <c r="LMB258" s="609"/>
      <c r="LMC258" s="609"/>
      <c r="LMD258" s="609"/>
      <c r="LME258" s="609"/>
      <c r="LMF258" s="609"/>
      <c r="LMG258" s="609"/>
      <c r="LMH258" s="609"/>
      <c r="LMI258" s="609"/>
      <c r="LMJ258" s="609"/>
      <c r="LMK258" s="609"/>
      <c r="LML258" s="609"/>
      <c r="LMM258" s="609"/>
      <c r="LMN258" s="609"/>
      <c r="LMO258" s="609"/>
      <c r="LMP258" s="609"/>
      <c r="LMQ258" s="609"/>
      <c r="LMR258" s="609"/>
      <c r="LMS258" s="609"/>
      <c r="LMT258" s="609"/>
      <c r="LMU258" s="609"/>
      <c r="LMV258" s="609"/>
      <c r="LMW258" s="609"/>
      <c r="LMX258" s="609"/>
      <c r="LMY258" s="609"/>
      <c r="LMZ258" s="609"/>
      <c r="LNA258" s="609"/>
      <c r="LNB258" s="609"/>
      <c r="LNC258" s="609"/>
      <c r="LND258" s="609"/>
      <c r="LNE258" s="609"/>
      <c r="LNF258" s="609"/>
      <c r="LNG258" s="609"/>
      <c r="LNH258" s="609"/>
      <c r="LNI258" s="609"/>
      <c r="LNJ258" s="609"/>
      <c r="LNK258" s="609"/>
      <c r="LNL258" s="609"/>
      <c r="LNM258" s="609"/>
      <c r="LNN258" s="609"/>
      <c r="LNO258" s="609"/>
      <c r="LNP258" s="609"/>
      <c r="LNQ258" s="609"/>
      <c r="LNR258" s="609"/>
      <c r="LNS258" s="609"/>
      <c r="LNT258" s="609"/>
      <c r="LNU258" s="609"/>
      <c r="LNV258" s="609"/>
      <c r="LNW258" s="609"/>
      <c r="LNX258" s="609"/>
      <c r="LNY258" s="609"/>
      <c r="LNZ258" s="609"/>
      <c r="LOA258" s="609"/>
      <c r="LOB258" s="609"/>
      <c r="LOC258" s="609"/>
      <c r="LOD258" s="609"/>
      <c r="LOE258" s="609"/>
      <c r="LOF258" s="609"/>
      <c r="LOG258" s="609"/>
      <c r="LOH258" s="609"/>
      <c r="LOI258" s="609"/>
      <c r="LOJ258" s="609"/>
      <c r="LOK258" s="609"/>
      <c r="LOL258" s="609"/>
      <c r="LOM258" s="609"/>
      <c r="LON258" s="609"/>
      <c r="LOO258" s="609"/>
      <c r="LOP258" s="609"/>
      <c r="LOQ258" s="609"/>
      <c r="LOR258" s="609"/>
      <c r="LOS258" s="609"/>
      <c r="LOT258" s="609"/>
      <c r="LOU258" s="609"/>
      <c r="LOV258" s="609"/>
      <c r="LOW258" s="609"/>
      <c r="LOX258" s="609"/>
      <c r="LOY258" s="609"/>
      <c r="LOZ258" s="609"/>
      <c r="LPA258" s="609"/>
      <c r="LPB258" s="609"/>
      <c r="LPC258" s="609"/>
      <c r="LPD258" s="609"/>
      <c r="LPE258" s="609"/>
      <c r="LPF258" s="609"/>
      <c r="LPG258" s="609"/>
      <c r="LPH258" s="609"/>
      <c r="LPI258" s="609"/>
      <c r="LPJ258" s="609"/>
      <c r="LPK258" s="609"/>
      <c r="LPL258" s="609"/>
      <c r="LPM258" s="609"/>
      <c r="LPN258" s="609"/>
      <c r="LPO258" s="609"/>
      <c r="LPP258" s="609"/>
      <c r="LPQ258" s="609"/>
      <c r="LPR258" s="609"/>
      <c r="LPS258" s="609"/>
      <c r="LPT258" s="609"/>
      <c r="LPU258" s="609"/>
      <c r="LPV258" s="609"/>
      <c r="LPW258" s="609"/>
      <c r="LPX258" s="609"/>
      <c r="LPY258" s="609"/>
      <c r="LPZ258" s="609"/>
      <c r="LQA258" s="609"/>
      <c r="LQB258" s="609"/>
      <c r="LQC258" s="609"/>
      <c r="LQD258" s="609"/>
      <c r="LQE258" s="609"/>
      <c r="LQF258" s="609"/>
      <c r="LQG258" s="609"/>
      <c r="LQH258" s="609"/>
      <c r="LQI258" s="609"/>
      <c r="LQJ258" s="609"/>
      <c r="LQK258" s="609"/>
      <c r="LQL258" s="609"/>
      <c r="LQM258" s="609"/>
      <c r="LQN258" s="609"/>
      <c r="LQO258" s="609"/>
      <c r="LQP258" s="609"/>
      <c r="LQQ258" s="609"/>
      <c r="LQR258" s="609"/>
      <c r="LQS258" s="609"/>
      <c r="LQT258" s="609"/>
      <c r="LQU258" s="609"/>
      <c r="LQV258" s="609"/>
      <c r="LQW258" s="609"/>
      <c r="LQX258" s="609"/>
      <c r="LQY258" s="609"/>
      <c r="LQZ258" s="609"/>
      <c r="LRA258" s="609"/>
      <c r="LRB258" s="609"/>
      <c r="LRC258" s="609"/>
      <c r="LRD258" s="609"/>
      <c r="LRE258" s="609"/>
      <c r="LRF258" s="609"/>
      <c r="LRG258" s="609"/>
      <c r="LRH258" s="609"/>
      <c r="LRI258" s="609"/>
      <c r="LRJ258" s="609"/>
      <c r="LRK258" s="609"/>
      <c r="LRL258" s="609"/>
      <c r="LRM258" s="609"/>
      <c r="LRN258" s="609"/>
      <c r="LRO258" s="609"/>
      <c r="LRP258" s="609"/>
      <c r="LRQ258" s="609"/>
      <c r="LRR258" s="609"/>
      <c r="LRS258" s="609"/>
      <c r="LRT258" s="609"/>
      <c r="LRU258" s="609"/>
      <c r="LRV258" s="609"/>
      <c r="LRW258" s="609"/>
      <c r="LRX258" s="609"/>
      <c r="LRY258" s="609"/>
      <c r="LRZ258" s="609"/>
      <c r="LSA258" s="609"/>
      <c r="LSB258" s="609"/>
      <c r="LSC258" s="609"/>
      <c r="LSD258" s="609"/>
      <c r="LSE258" s="609"/>
      <c r="LSF258" s="609"/>
      <c r="LSG258" s="609"/>
      <c r="LSH258" s="609"/>
      <c r="LSI258" s="609"/>
      <c r="LSJ258" s="609"/>
      <c r="LSK258" s="609"/>
      <c r="LSL258" s="609"/>
      <c r="LSM258" s="609"/>
      <c r="LSN258" s="609"/>
      <c r="LSO258" s="609"/>
      <c r="LSP258" s="609"/>
      <c r="LSQ258" s="609"/>
      <c r="LSR258" s="609"/>
      <c r="LSS258" s="609"/>
      <c r="LST258" s="609"/>
      <c r="LSU258" s="609"/>
      <c r="LSV258" s="609"/>
      <c r="LSW258" s="609"/>
      <c r="LSX258" s="609"/>
      <c r="LSY258" s="609"/>
      <c r="LSZ258" s="609"/>
      <c r="LTA258" s="609"/>
      <c r="LTB258" s="609"/>
      <c r="LTC258" s="609"/>
      <c r="LTD258" s="609"/>
      <c r="LTE258" s="609"/>
      <c r="LTF258" s="609"/>
      <c r="LTG258" s="609"/>
      <c r="LTH258" s="609"/>
      <c r="LTI258" s="609"/>
      <c r="LTJ258" s="609"/>
      <c r="LTK258" s="609"/>
      <c r="LTL258" s="609"/>
      <c r="LTM258" s="609"/>
      <c r="LTN258" s="609"/>
      <c r="LTO258" s="609"/>
      <c r="LTP258" s="609"/>
      <c r="LTQ258" s="609"/>
      <c r="LTR258" s="609"/>
      <c r="LTS258" s="609"/>
      <c r="LTT258" s="609"/>
      <c r="LTU258" s="609"/>
      <c r="LTV258" s="609"/>
      <c r="LTW258" s="609"/>
      <c r="LTX258" s="609"/>
      <c r="LTY258" s="609"/>
      <c r="LTZ258" s="609"/>
      <c r="LUA258" s="609"/>
      <c r="LUB258" s="609"/>
      <c r="LUC258" s="609"/>
      <c r="LUD258" s="609"/>
      <c r="LUE258" s="609"/>
      <c r="LUF258" s="609"/>
      <c r="LUG258" s="609"/>
      <c r="LUH258" s="609"/>
      <c r="LUI258" s="609"/>
      <c r="LUJ258" s="609"/>
      <c r="LUK258" s="609"/>
      <c r="LUL258" s="609"/>
      <c r="LUM258" s="609"/>
      <c r="LUN258" s="609"/>
      <c r="LUO258" s="609"/>
      <c r="LUP258" s="609"/>
      <c r="LUQ258" s="609"/>
      <c r="LUR258" s="609"/>
      <c r="LUS258" s="609"/>
      <c r="LUT258" s="609"/>
      <c r="LUU258" s="609"/>
      <c r="LUV258" s="609"/>
      <c r="LUW258" s="609"/>
      <c r="LUX258" s="609"/>
      <c r="LUY258" s="609"/>
      <c r="LUZ258" s="609"/>
      <c r="LVA258" s="609"/>
      <c r="LVB258" s="609"/>
      <c r="LVC258" s="609"/>
      <c r="LVD258" s="609"/>
      <c r="LVE258" s="609"/>
      <c r="LVF258" s="609"/>
      <c r="LVG258" s="609"/>
      <c r="LVH258" s="609"/>
      <c r="LVI258" s="609"/>
      <c r="LVJ258" s="609"/>
      <c r="LVK258" s="609"/>
      <c r="LVL258" s="609"/>
      <c r="LVM258" s="609"/>
      <c r="LVN258" s="609"/>
      <c r="LVO258" s="609"/>
      <c r="LVP258" s="609"/>
      <c r="LVQ258" s="609"/>
      <c r="LVR258" s="609"/>
      <c r="LVS258" s="609"/>
      <c r="LVT258" s="609"/>
      <c r="LVU258" s="609"/>
      <c r="LVV258" s="609"/>
      <c r="LVW258" s="609"/>
      <c r="LVX258" s="609"/>
      <c r="LVY258" s="609"/>
      <c r="LVZ258" s="609"/>
      <c r="LWA258" s="609"/>
      <c r="LWB258" s="609"/>
      <c r="LWC258" s="609"/>
      <c r="LWD258" s="609"/>
      <c r="LWE258" s="609"/>
      <c r="LWF258" s="609"/>
      <c r="LWG258" s="609"/>
      <c r="LWH258" s="609"/>
      <c r="LWI258" s="609"/>
      <c r="LWJ258" s="609"/>
      <c r="LWK258" s="609"/>
      <c r="LWL258" s="609"/>
      <c r="LWM258" s="609"/>
      <c r="LWN258" s="609"/>
      <c r="LWO258" s="609"/>
      <c r="LWP258" s="609"/>
      <c r="LWQ258" s="609"/>
      <c r="LWR258" s="609"/>
      <c r="LWS258" s="609"/>
      <c r="LWT258" s="609"/>
      <c r="LWU258" s="609"/>
      <c r="LWV258" s="609"/>
      <c r="LWW258" s="609"/>
      <c r="LWX258" s="609"/>
      <c r="LWY258" s="609"/>
      <c r="LWZ258" s="609"/>
      <c r="LXA258" s="609"/>
      <c r="LXB258" s="609"/>
      <c r="LXC258" s="609"/>
      <c r="LXD258" s="609"/>
      <c r="LXE258" s="609"/>
      <c r="LXF258" s="609"/>
      <c r="LXG258" s="609"/>
      <c r="LXH258" s="609"/>
      <c r="LXI258" s="609"/>
      <c r="LXJ258" s="609"/>
      <c r="LXK258" s="609"/>
      <c r="LXL258" s="609"/>
      <c r="LXM258" s="609"/>
      <c r="LXN258" s="609"/>
      <c r="LXO258" s="609"/>
      <c r="LXP258" s="609"/>
      <c r="LXQ258" s="609"/>
      <c r="LXR258" s="609"/>
      <c r="LXS258" s="609"/>
      <c r="LXT258" s="609"/>
      <c r="LXU258" s="609"/>
      <c r="LXV258" s="609"/>
      <c r="LXW258" s="609"/>
      <c r="LXX258" s="609"/>
      <c r="LXY258" s="609"/>
      <c r="LXZ258" s="609"/>
      <c r="LYA258" s="609"/>
      <c r="LYB258" s="609"/>
      <c r="LYC258" s="609"/>
      <c r="LYD258" s="609"/>
      <c r="LYE258" s="609"/>
      <c r="LYF258" s="609"/>
      <c r="LYG258" s="609"/>
      <c r="LYH258" s="609"/>
      <c r="LYI258" s="609"/>
      <c r="LYJ258" s="609"/>
      <c r="LYK258" s="609"/>
      <c r="LYL258" s="609"/>
      <c r="LYM258" s="609"/>
      <c r="LYN258" s="609"/>
      <c r="LYO258" s="609"/>
      <c r="LYP258" s="609"/>
      <c r="LYQ258" s="609"/>
      <c r="LYR258" s="609"/>
      <c r="LYS258" s="609"/>
      <c r="LYT258" s="609"/>
      <c r="LYU258" s="609"/>
      <c r="LYV258" s="609"/>
      <c r="LYW258" s="609"/>
      <c r="LYX258" s="609"/>
      <c r="LYY258" s="609"/>
      <c r="LYZ258" s="609"/>
      <c r="LZA258" s="609"/>
      <c r="LZB258" s="609"/>
      <c r="LZC258" s="609"/>
      <c r="LZD258" s="609"/>
      <c r="LZE258" s="609"/>
      <c r="LZF258" s="609"/>
      <c r="LZG258" s="609"/>
      <c r="LZH258" s="609"/>
      <c r="LZI258" s="609"/>
      <c r="LZJ258" s="609"/>
      <c r="LZK258" s="609"/>
      <c r="LZL258" s="609"/>
      <c r="LZM258" s="609"/>
      <c r="LZN258" s="609"/>
      <c r="LZO258" s="609"/>
      <c r="LZP258" s="609"/>
      <c r="LZQ258" s="609"/>
      <c r="LZR258" s="609"/>
      <c r="LZS258" s="609"/>
      <c r="LZT258" s="609"/>
      <c r="LZU258" s="609"/>
      <c r="LZV258" s="609"/>
      <c r="LZW258" s="609"/>
      <c r="LZX258" s="609"/>
      <c r="LZY258" s="609"/>
      <c r="LZZ258" s="609"/>
      <c r="MAA258" s="609"/>
      <c r="MAB258" s="609"/>
      <c r="MAC258" s="609"/>
      <c r="MAD258" s="609"/>
      <c r="MAE258" s="609"/>
      <c r="MAF258" s="609"/>
      <c r="MAG258" s="609"/>
      <c r="MAH258" s="609"/>
      <c r="MAI258" s="609"/>
      <c r="MAJ258" s="609"/>
      <c r="MAK258" s="609"/>
      <c r="MAL258" s="609"/>
      <c r="MAM258" s="609"/>
      <c r="MAN258" s="609"/>
      <c r="MAO258" s="609"/>
      <c r="MAP258" s="609"/>
      <c r="MAQ258" s="609"/>
      <c r="MAR258" s="609"/>
      <c r="MAS258" s="609"/>
      <c r="MAT258" s="609"/>
      <c r="MAU258" s="609"/>
      <c r="MAV258" s="609"/>
      <c r="MAW258" s="609"/>
      <c r="MAX258" s="609"/>
      <c r="MAY258" s="609"/>
      <c r="MAZ258" s="609"/>
      <c r="MBA258" s="609"/>
      <c r="MBB258" s="609"/>
      <c r="MBC258" s="609"/>
      <c r="MBD258" s="609"/>
      <c r="MBE258" s="609"/>
      <c r="MBF258" s="609"/>
      <c r="MBG258" s="609"/>
      <c r="MBH258" s="609"/>
      <c r="MBI258" s="609"/>
      <c r="MBJ258" s="609"/>
      <c r="MBK258" s="609"/>
      <c r="MBL258" s="609"/>
      <c r="MBM258" s="609"/>
      <c r="MBN258" s="609"/>
      <c r="MBO258" s="609"/>
      <c r="MBP258" s="609"/>
      <c r="MBQ258" s="609"/>
      <c r="MBR258" s="609"/>
      <c r="MBS258" s="609"/>
      <c r="MBT258" s="609"/>
      <c r="MBU258" s="609"/>
      <c r="MBV258" s="609"/>
      <c r="MBW258" s="609"/>
      <c r="MBX258" s="609"/>
      <c r="MBY258" s="609"/>
      <c r="MBZ258" s="609"/>
      <c r="MCA258" s="609"/>
      <c r="MCB258" s="609"/>
      <c r="MCC258" s="609"/>
      <c r="MCD258" s="609"/>
      <c r="MCE258" s="609"/>
      <c r="MCF258" s="609"/>
      <c r="MCG258" s="609"/>
      <c r="MCH258" s="609"/>
      <c r="MCI258" s="609"/>
      <c r="MCJ258" s="609"/>
      <c r="MCK258" s="609"/>
      <c r="MCL258" s="609"/>
      <c r="MCM258" s="609"/>
      <c r="MCN258" s="609"/>
      <c r="MCO258" s="609"/>
      <c r="MCP258" s="609"/>
      <c r="MCQ258" s="609"/>
      <c r="MCR258" s="609"/>
      <c r="MCS258" s="609"/>
      <c r="MCT258" s="609"/>
      <c r="MCU258" s="609"/>
      <c r="MCV258" s="609"/>
      <c r="MCW258" s="609"/>
      <c r="MCX258" s="609"/>
      <c r="MCY258" s="609"/>
      <c r="MCZ258" s="609"/>
      <c r="MDA258" s="609"/>
      <c r="MDB258" s="609"/>
      <c r="MDC258" s="609"/>
      <c r="MDD258" s="609"/>
      <c r="MDE258" s="609"/>
      <c r="MDF258" s="609"/>
      <c r="MDG258" s="609"/>
      <c r="MDH258" s="609"/>
      <c r="MDI258" s="609"/>
      <c r="MDJ258" s="609"/>
      <c r="MDK258" s="609"/>
      <c r="MDL258" s="609"/>
      <c r="MDM258" s="609"/>
      <c r="MDN258" s="609"/>
      <c r="MDO258" s="609"/>
      <c r="MDP258" s="609"/>
      <c r="MDQ258" s="609"/>
      <c r="MDR258" s="609"/>
      <c r="MDS258" s="609"/>
      <c r="MDT258" s="609"/>
      <c r="MDU258" s="609"/>
      <c r="MDV258" s="609"/>
      <c r="MDW258" s="609"/>
      <c r="MDX258" s="609"/>
      <c r="MDY258" s="609"/>
      <c r="MDZ258" s="609"/>
      <c r="MEA258" s="609"/>
      <c r="MEB258" s="609"/>
      <c r="MEC258" s="609"/>
      <c r="MED258" s="609"/>
      <c r="MEE258" s="609"/>
      <c r="MEF258" s="609"/>
      <c r="MEG258" s="609"/>
      <c r="MEH258" s="609"/>
      <c r="MEI258" s="609"/>
      <c r="MEJ258" s="609"/>
      <c r="MEK258" s="609"/>
      <c r="MEL258" s="609"/>
      <c r="MEM258" s="609"/>
      <c r="MEN258" s="609"/>
      <c r="MEO258" s="609"/>
      <c r="MEP258" s="609"/>
      <c r="MEQ258" s="609"/>
      <c r="MER258" s="609"/>
      <c r="MES258" s="609"/>
      <c r="MET258" s="609"/>
      <c r="MEU258" s="609"/>
      <c r="MEV258" s="609"/>
      <c r="MEW258" s="609"/>
      <c r="MEX258" s="609"/>
      <c r="MEY258" s="609"/>
      <c r="MEZ258" s="609"/>
      <c r="MFA258" s="609"/>
      <c r="MFB258" s="609"/>
      <c r="MFC258" s="609"/>
      <c r="MFD258" s="609"/>
      <c r="MFE258" s="609"/>
      <c r="MFF258" s="609"/>
      <c r="MFG258" s="609"/>
      <c r="MFH258" s="609"/>
      <c r="MFI258" s="609"/>
      <c r="MFJ258" s="609"/>
      <c r="MFK258" s="609"/>
      <c r="MFL258" s="609"/>
      <c r="MFM258" s="609"/>
      <c r="MFN258" s="609"/>
      <c r="MFO258" s="609"/>
      <c r="MFP258" s="609"/>
      <c r="MFQ258" s="609"/>
      <c r="MFR258" s="609"/>
      <c r="MFS258" s="609"/>
      <c r="MFT258" s="609"/>
      <c r="MFU258" s="609"/>
      <c r="MFV258" s="609"/>
      <c r="MFW258" s="609"/>
      <c r="MFX258" s="609"/>
      <c r="MFY258" s="609"/>
      <c r="MFZ258" s="609"/>
      <c r="MGA258" s="609"/>
      <c r="MGB258" s="609"/>
      <c r="MGC258" s="609"/>
      <c r="MGD258" s="609"/>
      <c r="MGE258" s="609"/>
      <c r="MGF258" s="609"/>
      <c r="MGG258" s="609"/>
      <c r="MGH258" s="609"/>
      <c r="MGI258" s="609"/>
      <c r="MGJ258" s="609"/>
      <c r="MGK258" s="609"/>
      <c r="MGL258" s="609"/>
      <c r="MGM258" s="609"/>
      <c r="MGN258" s="609"/>
      <c r="MGO258" s="609"/>
      <c r="MGP258" s="609"/>
      <c r="MGQ258" s="609"/>
      <c r="MGR258" s="609"/>
      <c r="MGS258" s="609"/>
      <c r="MGT258" s="609"/>
      <c r="MGU258" s="609"/>
      <c r="MGV258" s="609"/>
      <c r="MGW258" s="609"/>
      <c r="MGX258" s="609"/>
      <c r="MGY258" s="609"/>
      <c r="MGZ258" s="609"/>
      <c r="MHA258" s="609"/>
      <c r="MHB258" s="609"/>
      <c r="MHC258" s="609"/>
      <c r="MHD258" s="609"/>
      <c r="MHE258" s="609"/>
      <c r="MHF258" s="609"/>
      <c r="MHG258" s="609"/>
      <c r="MHH258" s="609"/>
      <c r="MHI258" s="609"/>
      <c r="MHJ258" s="609"/>
      <c r="MHK258" s="609"/>
      <c r="MHL258" s="609"/>
      <c r="MHM258" s="609"/>
      <c r="MHN258" s="609"/>
      <c r="MHO258" s="609"/>
      <c r="MHP258" s="609"/>
      <c r="MHQ258" s="609"/>
      <c r="MHR258" s="609"/>
      <c r="MHS258" s="609"/>
      <c r="MHT258" s="609"/>
      <c r="MHU258" s="609"/>
      <c r="MHV258" s="609"/>
      <c r="MHW258" s="609"/>
      <c r="MHX258" s="609"/>
      <c r="MHY258" s="609"/>
      <c r="MHZ258" s="609"/>
      <c r="MIA258" s="609"/>
      <c r="MIB258" s="609"/>
      <c r="MIC258" s="609"/>
      <c r="MID258" s="609"/>
      <c r="MIE258" s="609"/>
      <c r="MIF258" s="609"/>
      <c r="MIG258" s="609"/>
      <c r="MIH258" s="609"/>
      <c r="MII258" s="609"/>
      <c r="MIJ258" s="609"/>
      <c r="MIK258" s="609"/>
      <c r="MIL258" s="609"/>
      <c r="MIM258" s="609"/>
      <c r="MIN258" s="609"/>
      <c r="MIO258" s="609"/>
      <c r="MIP258" s="609"/>
      <c r="MIQ258" s="609"/>
      <c r="MIR258" s="609"/>
      <c r="MIS258" s="609"/>
      <c r="MIT258" s="609"/>
      <c r="MIU258" s="609"/>
      <c r="MIV258" s="609"/>
      <c r="MIW258" s="609"/>
      <c r="MIX258" s="609"/>
      <c r="MIY258" s="609"/>
      <c r="MIZ258" s="609"/>
      <c r="MJA258" s="609"/>
      <c r="MJB258" s="609"/>
      <c r="MJC258" s="609"/>
      <c r="MJD258" s="609"/>
      <c r="MJE258" s="609"/>
      <c r="MJF258" s="609"/>
      <c r="MJG258" s="609"/>
      <c r="MJH258" s="609"/>
      <c r="MJI258" s="609"/>
      <c r="MJJ258" s="609"/>
      <c r="MJK258" s="609"/>
      <c r="MJL258" s="609"/>
      <c r="MJM258" s="609"/>
      <c r="MJN258" s="609"/>
      <c r="MJO258" s="609"/>
      <c r="MJP258" s="609"/>
      <c r="MJQ258" s="609"/>
      <c r="MJR258" s="609"/>
      <c r="MJS258" s="609"/>
      <c r="MJT258" s="609"/>
      <c r="MJU258" s="609"/>
      <c r="MJV258" s="609"/>
      <c r="MJW258" s="609"/>
      <c r="MJX258" s="609"/>
      <c r="MJY258" s="609"/>
      <c r="MJZ258" s="609"/>
      <c r="MKA258" s="609"/>
      <c r="MKB258" s="609"/>
      <c r="MKC258" s="609"/>
      <c r="MKD258" s="609"/>
      <c r="MKE258" s="609"/>
      <c r="MKF258" s="609"/>
      <c r="MKG258" s="609"/>
      <c r="MKH258" s="609"/>
      <c r="MKI258" s="609"/>
      <c r="MKJ258" s="609"/>
      <c r="MKK258" s="609"/>
      <c r="MKL258" s="609"/>
      <c r="MKM258" s="609"/>
      <c r="MKN258" s="609"/>
      <c r="MKO258" s="609"/>
      <c r="MKP258" s="609"/>
      <c r="MKQ258" s="609"/>
      <c r="MKR258" s="609"/>
      <c r="MKS258" s="609"/>
      <c r="MKT258" s="609"/>
      <c r="MKU258" s="609"/>
      <c r="MKV258" s="609"/>
      <c r="MKW258" s="609"/>
      <c r="MKX258" s="609"/>
      <c r="MKY258" s="609"/>
      <c r="MKZ258" s="609"/>
      <c r="MLA258" s="609"/>
      <c r="MLB258" s="609"/>
      <c r="MLC258" s="609"/>
      <c r="MLD258" s="609"/>
      <c r="MLE258" s="609"/>
      <c r="MLF258" s="609"/>
      <c r="MLG258" s="609"/>
      <c r="MLH258" s="609"/>
      <c r="MLI258" s="609"/>
      <c r="MLJ258" s="609"/>
      <c r="MLK258" s="609"/>
      <c r="MLL258" s="609"/>
      <c r="MLM258" s="609"/>
      <c r="MLN258" s="609"/>
      <c r="MLO258" s="609"/>
      <c r="MLP258" s="609"/>
      <c r="MLQ258" s="609"/>
      <c r="MLR258" s="609"/>
      <c r="MLS258" s="609"/>
      <c r="MLT258" s="609"/>
      <c r="MLU258" s="609"/>
      <c r="MLV258" s="609"/>
      <c r="MLW258" s="609"/>
      <c r="MLX258" s="609"/>
      <c r="MLY258" s="609"/>
      <c r="MLZ258" s="609"/>
      <c r="MMA258" s="609"/>
      <c r="MMB258" s="609"/>
      <c r="MMC258" s="609"/>
      <c r="MMD258" s="609"/>
      <c r="MME258" s="609"/>
      <c r="MMF258" s="609"/>
      <c r="MMG258" s="609"/>
      <c r="MMH258" s="609"/>
      <c r="MMI258" s="609"/>
      <c r="MMJ258" s="609"/>
      <c r="MMK258" s="609"/>
      <c r="MML258" s="609"/>
      <c r="MMM258" s="609"/>
      <c r="MMN258" s="609"/>
      <c r="MMO258" s="609"/>
      <c r="MMP258" s="609"/>
      <c r="MMQ258" s="609"/>
      <c r="MMR258" s="609"/>
      <c r="MMS258" s="609"/>
      <c r="MMT258" s="609"/>
      <c r="MMU258" s="609"/>
      <c r="MMV258" s="609"/>
      <c r="MMW258" s="609"/>
      <c r="MMX258" s="609"/>
      <c r="MMY258" s="609"/>
      <c r="MMZ258" s="609"/>
      <c r="MNA258" s="609"/>
      <c r="MNB258" s="609"/>
      <c r="MNC258" s="609"/>
      <c r="MND258" s="609"/>
      <c r="MNE258" s="609"/>
      <c r="MNF258" s="609"/>
      <c r="MNG258" s="609"/>
      <c r="MNH258" s="609"/>
      <c r="MNI258" s="609"/>
      <c r="MNJ258" s="609"/>
      <c r="MNK258" s="609"/>
      <c r="MNL258" s="609"/>
      <c r="MNM258" s="609"/>
      <c r="MNN258" s="609"/>
      <c r="MNO258" s="609"/>
      <c r="MNP258" s="609"/>
      <c r="MNQ258" s="609"/>
      <c r="MNR258" s="609"/>
      <c r="MNS258" s="609"/>
      <c r="MNT258" s="609"/>
      <c r="MNU258" s="609"/>
      <c r="MNV258" s="609"/>
      <c r="MNW258" s="609"/>
      <c r="MNX258" s="609"/>
      <c r="MNY258" s="609"/>
      <c r="MNZ258" s="609"/>
      <c r="MOA258" s="609"/>
      <c r="MOB258" s="609"/>
      <c r="MOC258" s="609"/>
      <c r="MOD258" s="609"/>
      <c r="MOE258" s="609"/>
      <c r="MOF258" s="609"/>
      <c r="MOG258" s="609"/>
      <c r="MOH258" s="609"/>
      <c r="MOI258" s="609"/>
      <c r="MOJ258" s="609"/>
      <c r="MOK258" s="609"/>
      <c r="MOL258" s="609"/>
      <c r="MOM258" s="609"/>
      <c r="MON258" s="609"/>
      <c r="MOO258" s="609"/>
      <c r="MOP258" s="609"/>
      <c r="MOQ258" s="609"/>
      <c r="MOR258" s="609"/>
      <c r="MOS258" s="609"/>
      <c r="MOT258" s="609"/>
      <c r="MOU258" s="609"/>
      <c r="MOV258" s="609"/>
      <c r="MOW258" s="609"/>
      <c r="MOX258" s="609"/>
      <c r="MOY258" s="609"/>
      <c r="MOZ258" s="609"/>
      <c r="MPA258" s="609"/>
      <c r="MPB258" s="609"/>
      <c r="MPC258" s="609"/>
      <c r="MPD258" s="609"/>
      <c r="MPE258" s="609"/>
      <c r="MPF258" s="609"/>
      <c r="MPG258" s="609"/>
      <c r="MPH258" s="609"/>
      <c r="MPI258" s="609"/>
      <c r="MPJ258" s="609"/>
      <c r="MPK258" s="609"/>
      <c r="MPL258" s="609"/>
      <c r="MPM258" s="609"/>
      <c r="MPN258" s="609"/>
      <c r="MPO258" s="609"/>
      <c r="MPP258" s="609"/>
      <c r="MPQ258" s="609"/>
      <c r="MPR258" s="609"/>
      <c r="MPS258" s="609"/>
      <c r="MPT258" s="609"/>
      <c r="MPU258" s="609"/>
      <c r="MPV258" s="609"/>
      <c r="MPW258" s="609"/>
      <c r="MPX258" s="609"/>
      <c r="MPY258" s="609"/>
      <c r="MPZ258" s="609"/>
      <c r="MQA258" s="609"/>
      <c r="MQB258" s="609"/>
      <c r="MQC258" s="609"/>
      <c r="MQD258" s="609"/>
      <c r="MQE258" s="609"/>
      <c r="MQF258" s="609"/>
      <c r="MQG258" s="609"/>
      <c r="MQH258" s="609"/>
      <c r="MQI258" s="609"/>
      <c r="MQJ258" s="609"/>
      <c r="MQK258" s="609"/>
      <c r="MQL258" s="609"/>
      <c r="MQM258" s="609"/>
      <c r="MQN258" s="609"/>
      <c r="MQO258" s="609"/>
      <c r="MQP258" s="609"/>
      <c r="MQQ258" s="609"/>
      <c r="MQR258" s="609"/>
      <c r="MQS258" s="609"/>
      <c r="MQT258" s="609"/>
      <c r="MQU258" s="609"/>
      <c r="MQV258" s="609"/>
      <c r="MQW258" s="609"/>
      <c r="MQX258" s="609"/>
      <c r="MQY258" s="609"/>
      <c r="MQZ258" s="609"/>
      <c r="MRA258" s="609"/>
      <c r="MRB258" s="609"/>
      <c r="MRC258" s="609"/>
      <c r="MRD258" s="609"/>
      <c r="MRE258" s="609"/>
      <c r="MRF258" s="609"/>
      <c r="MRG258" s="609"/>
      <c r="MRH258" s="609"/>
      <c r="MRI258" s="609"/>
      <c r="MRJ258" s="609"/>
      <c r="MRK258" s="609"/>
      <c r="MRL258" s="609"/>
      <c r="MRM258" s="609"/>
      <c r="MRN258" s="609"/>
      <c r="MRO258" s="609"/>
      <c r="MRP258" s="609"/>
      <c r="MRQ258" s="609"/>
      <c r="MRR258" s="609"/>
      <c r="MRS258" s="609"/>
      <c r="MRT258" s="609"/>
      <c r="MRU258" s="609"/>
      <c r="MRV258" s="609"/>
      <c r="MRW258" s="609"/>
      <c r="MRX258" s="609"/>
      <c r="MRY258" s="609"/>
      <c r="MRZ258" s="609"/>
      <c r="MSA258" s="609"/>
      <c r="MSB258" s="609"/>
      <c r="MSC258" s="609"/>
      <c r="MSD258" s="609"/>
      <c r="MSE258" s="609"/>
      <c r="MSF258" s="609"/>
      <c r="MSG258" s="609"/>
      <c r="MSH258" s="609"/>
      <c r="MSI258" s="609"/>
      <c r="MSJ258" s="609"/>
      <c r="MSK258" s="609"/>
      <c r="MSL258" s="609"/>
      <c r="MSM258" s="609"/>
      <c r="MSN258" s="609"/>
      <c r="MSO258" s="609"/>
      <c r="MSP258" s="609"/>
      <c r="MSQ258" s="609"/>
      <c r="MSR258" s="609"/>
      <c r="MSS258" s="609"/>
      <c r="MST258" s="609"/>
      <c r="MSU258" s="609"/>
      <c r="MSV258" s="609"/>
      <c r="MSW258" s="609"/>
      <c r="MSX258" s="609"/>
      <c r="MSY258" s="609"/>
      <c r="MSZ258" s="609"/>
      <c r="MTA258" s="609"/>
      <c r="MTB258" s="609"/>
      <c r="MTC258" s="609"/>
      <c r="MTD258" s="609"/>
      <c r="MTE258" s="609"/>
      <c r="MTF258" s="609"/>
      <c r="MTG258" s="609"/>
      <c r="MTH258" s="609"/>
      <c r="MTI258" s="609"/>
      <c r="MTJ258" s="609"/>
      <c r="MTK258" s="609"/>
      <c r="MTL258" s="609"/>
      <c r="MTM258" s="609"/>
      <c r="MTN258" s="609"/>
      <c r="MTO258" s="609"/>
      <c r="MTP258" s="609"/>
      <c r="MTQ258" s="609"/>
      <c r="MTR258" s="609"/>
      <c r="MTS258" s="609"/>
      <c r="MTT258" s="609"/>
      <c r="MTU258" s="609"/>
      <c r="MTV258" s="609"/>
      <c r="MTW258" s="609"/>
      <c r="MTX258" s="609"/>
      <c r="MTY258" s="609"/>
      <c r="MTZ258" s="609"/>
      <c r="MUA258" s="609"/>
      <c r="MUB258" s="609"/>
      <c r="MUC258" s="609"/>
      <c r="MUD258" s="609"/>
      <c r="MUE258" s="609"/>
      <c r="MUF258" s="609"/>
      <c r="MUG258" s="609"/>
      <c r="MUH258" s="609"/>
      <c r="MUI258" s="609"/>
      <c r="MUJ258" s="609"/>
      <c r="MUK258" s="609"/>
      <c r="MUL258" s="609"/>
      <c r="MUM258" s="609"/>
      <c r="MUN258" s="609"/>
      <c r="MUO258" s="609"/>
      <c r="MUP258" s="609"/>
      <c r="MUQ258" s="609"/>
      <c r="MUR258" s="609"/>
      <c r="MUS258" s="609"/>
      <c r="MUT258" s="609"/>
      <c r="MUU258" s="609"/>
      <c r="MUV258" s="609"/>
      <c r="MUW258" s="609"/>
      <c r="MUX258" s="609"/>
      <c r="MUY258" s="609"/>
      <c r="MUZ258" s="609"/>
      <c r="MVA258" s="609"/>
      <c r="MVB258" s="609"/>
      <c r="MVC258" s="609"/>
      <c r="MVD258" s="609"/>
      <c r="MVE258" s="609"/>
      <c r="MVF258" s="609"/>
      <c r="MVG258" s="609"/>
      <c r="MVH258" s="609"/>
      <c r="MVI258" s="609"/>
      <c r="MVJ258" s="609"/>
      <c r="MVK258" s="609"/>
      <c r="MVL258" s="609"/>
      <c r="MVM258" s="609"/>
      <c r="MVN258" s="609"/>
      <c r="MVO258" s="609"/>
      <c r="MVP258" s="609"/>
      <c r="MVQ258" s="609"/>
      <c r="MVR258" s="609"/>
      <c r="MVS258" s="609"/>
      <c r="MVT258" s="609"/>
      <c r="MVU258" s="609"/>
      <c r="MVV258" s="609"/>
      <c r="MVW258" s="609"/>
      <c r="MVX258" s="609"/>
      <c r="MVY258" s="609"/>
      <c r="MVZ258" s="609"/>
      <c r="MWA258" s="609"/>
      <c r="MWB258" s="609"/>
      <c r="MWC258" s="609"/>
      <c r="MWD258" s="609"/>
      <c r="MWE258" s="609"/>
      <c r="MWF258" s="609"/>
      <c r="MWG258" s="609"/>
      <c r="MWH258" s="609"/>
      <c r="MWI258" s="609"/>
      <c r="MWJ258" s="609"/>
      <c r="MWK258" s="609"/>
      <c r="MWL258" s="609"/>
      <c r="MWM258" s="609"/>
      <c r="MWN258" s="609"/>
      <c r="MWO258" s="609"/>
      <c r="MWP258" s="609"/>
      <c r="MWQ258" s="609"/>
      <c r="MWR258" s="609"/>
      <c r="MWS258" s="609"/>
      <c r="MWT258" s="609"/>
      <c r="MWU258" s="609"/>
      <c r="MWV258" s="609"/>
      <c r="MWW258" s="609"/>
      <c r="MWX258" s="609"/>
      <c r="MWY258" s="609"/>
      <c r="MWZ258" s="609"/>
      <c r="MXA258" s="609"/>
      <c r="MXB258" s="609"/>
      <c r="MXC258" s="609"/>
      <c r="MXD258" s="609"/>
      <c r="MXE258" s="609"/>
      <c r="MXF258" s="609"/>
      <c r="MXG258" s="609"/>
      <c r="MXH258" s="609"/>
      <c r="MXI258" s="609"/>
      <c r="MXJ258" s="609"/>
      <c r="MXK258" s="609"/>
      <c r="MXL258" s="609"/>
      <c r="MXM258" s="609"/>
      <c r="MXN258" s="609"/>
      <c r="MXO258" s="609"/>
      <c r="MXP258" s="609"/>
      <c r="MXQ258" s="609"/>
      <c r="MXR258" s="609"/>
      <c r="MXS258" s="609"/>
      <c r="MXT258" s="609"/>
      <c r="MXU258" s="609"/>
      <c r="MXV258" s="609"/>
      <c r="MXW258" s="609"/>
      <c r="MXX258" s="609"/>
      <c r="MXY258" s="609"/>
      <c r="MXZ258" s="609"/>
      <c r="MYA258" s="609"/>
      <c r="MYB258" s="609"/>
      <c r="MYC258" s="609"/>
      <c r="MYD258" s="609"/>
      <c r="MYE258" s="609"/>
      <c r="MYF258" s="609"/>
      <c r="MYG258" s="609"/>
      <c r="MYH258" s="609"/>
      <c r="MYI258" s="609"/>
      <c r="MYJ258" s="609"/>
      <c r="MYK258" s="609"/>
      <c r="MYL258" s="609"/>
      <c r="MYM258" s="609"/>
      <c r="MYN258" s="609"/>
      <c r="MYO258" s="609"/>
      <c r="MYP258" s="609"/>
      <c r="MYQ258" s="609"/>
      <c r="MYR258" s="609"/>
      <c r="MYS258" s="609"/>
      <c r="MYT258" s="609"/>
      <c r="MYU258" s="609"/>
      <c r="MYV258" s="609"/>
      <c r="MYW258" s="609"/>
      <c r="MYX258" s="609"/>
      <c r="MYY258" s="609"/>
      <c r="MYZ258" s="609"/>
      <c r="MZA258" s="609"/>
      <c r="MZB258" s="609"/>
      <c r="MZC258" s="609"/>
      <c r="MZD258" s="609"/>
      <c r="MZE258" s="609"/>
      <c r="MZF258" s="609"/>
      <c r="MZG258" s="609"/>
      <c r="MZH258" s="609"/>
      <c r="MZI258" s="609"/>
      <c r="MZJ258" s="609"/>
      <c r="MZK258" s="609"/>
      <c r="MZL258" s="609"/>
      <c r="MZM258" s="609"/>
      <c r="MZN258" s="609"/>
      <c r="MZO258" s="609"/>
      <c r="MZP258" s="609"/>
      <c r="MZQ258" s="609"/>
      <c r="MZR258" s="609"/>
      <c r="MZS258" s="609"/>
      <c r="MZT258" s="609"/>
      <c r="MZU258" s="609"/>
      <c r="MZV258" s="609"/>
      <c r="MZW258" s="609"/>
      <c r="MZX258" s="609"/>
      <c r="MZY258" s="609"/>
      <c r="MZZ258" s="609"/>
      <c r="NAA258" s="609"/>
      <c r="NAB258" s="609"/>
      <c r="NAC258" s="609"/>
      <c r="NAD258" s="609"/>
      <c r="NAE258" s="609"/>
      <c r="NAF258" s="609"/>
      <c r="NAG258" s="609"/>
      <c r="NAH258" s="609"/>
      <c r="NAI258" s="609"/>
      <c r="NAJ258" s="609"/>
      <c r="NAK258" s="609"/>
      <c r="NAL258" s="609"/>
      <c r="NAM258" s="609"/>
      <c r="NAN258" s="609"/>
      <c r="NAO258" s="609"/>
      <c r="NAP258" s="609"/>
      <c r="NAQ258" s="609"/>
      <c r="NAR258" s="609"/>
      <c r="NAS258" s="609"/>
      <c r="NAT258" s="609"/>
      <c r="NAU258" s="609"/>
      <c r="NAV258" s="609"/>
      <c r="NAW258" s="609"/>
      <c r="NAX258" s="609"/>
      <c r="NAY258" s="609"/>
      <c r="NAZ258" s="609"/>
      <c r="NBA258" s="609"/>
      <c r="NBB258" s="609"/>
      <c r="NBC258" s="609"/>
      <c r="NBD258" s="609"/>
      <c r="NBE258" s="609"/>
      <c r="NBF258" s="609"/>
      <c r="NBG258" s="609"/>
      <c r="NBH258" s="609"/>
      <c r="NBI258" s="609"/>
      <c r="NBJ258" s="609"/>
      <c r="NBK258" s="609"/>
      <c r="NBL258" s="609"/>
      <c r="NBM258" s="609"/>
      <c r="NBN258" s="609"/>
      <c r="NBO258" s="609"/>
      <c r="NBP258" s="609"/>
      <c r="NBQ258" s="609"/>
      <c r="NBR258" s="609"/>
      <c r="NBS258" s="609"/>
      <c r="NBT258" s="609"/>
      <c r="NBU258" s="609"/>
      <c r="NBV258" s="609"/>
      <c r="NBW258" s="609"/>
      <c r="NBX258" s="609"/>
      <c r="NBY258" s="609"/>
      <c r="NBZ258" s="609"/>
      <c r="NCA258" s="609"/>
      <c r="NCB258" s="609"/>
      <c r="NCC258" s="609"/>
      <c r="NCD258" s="609"/>
      <c r="NCE258" s="609"/>
      <c r="NCF258" s="609"/>
      <c r="NCG258" s="609"/>
      <c r="NCH258" s="609"/>
      <c r="NCI258" s="609"/>
      <c r="NCJ258" s="609"/>
      <c r="NCK258" s="609"/>
      <c r="NCL258" s="609"/>
      <c r="NCM258" s="609"/>
      <c r="NCN258" s="609"/>
      <c r="NCO258" s="609"/>
      <c r="NCP258" s="609"/>
      <c r="NCQ258" s="609"/>
      <c r="NCR258" s="609"/>
      <c r="NCS258" s="609"/>
      <c r="NCT258" s="609"/>
      <c r="NCU258" s="609"/>
      <c r="NCV258" s="609"/>
      <c r="NCW258" s="609"/>
      <c r="NCX258" s="609"/>
      <c r="NCY258" s="609"/>
      <c r="NCZ258" s="609"/>
      <c r="NDA258" s="609"/>
      <c r="NDB258" s="609"/>
      <c r="NDC258" s="609"/>
      <c r="NDD258" s="609"/>
      <c r="NDE258" s="609"/>
      <c r="NDF258" s="609"/>
      <c r="NDG258" s="609"/>
      <c r="NDH258" s="609"/>
      <c r="NDI258" s="609"/>
      <c r="NDJ258" s="609"/>
      <c r="NDK258" s="609"/>
      <c r="NDL258" s="609"/>
      <c r="NDM258" s="609"/>
      <c r="NDN258" s="609"/>
      <c r="NDO258" s="609"/>
      <c r="NDP258" s="609"/>
      <c r="NDQ258" s="609"/>
      <c r="NDR258" s="609"/>
      <c r="NDS258" s="609"/>
      <c r="NDT258" s="609"/>
      <c r="NDU258" s="609"/>
      <c r="NDV258" s="609"/>
      <c r="NDW258" s="609"/>
      <c r="NDX258" s="609"/>
      <c r="NDY258" s="609"/>
      <c r="NDZ258" s="609"/>
      <c r="NEA258" s="609"/>
      <c r="NEB258" s="609"/>
      <c r="NEC258" s="609"/>
      <c r="NED258" s="609"/>
      <c r="NEE258" s="609"/>
      <c r="NEF258" s="609"/>
      <c r="NEG258" s="609"/>
      <c r="NEH258" s="609"/>
      <c r="NEI258" s="609"/>
      <c r="NEJ258" s="609"/>
      <c r="NEK258" s="609"/>
      <c r="NEL258" s="609"/>
      <c r="NEM258" s="609"/>
      <c r="NEN258" s="609"/>
      <c r="NEO258" s="609"/>
      <c r="NEP258" s="609"/>
      <c r="NEQ258" s="609"/>
      <c r="NER258" s="609"/>
      <c r="NES258" s="609"/>
      <c r="NET258" s="609"/>
      <c r="NEU258" s="609"/>
      <c r="NEV258" s="609"/>
      <c r="NEW258" s="609"/>
      <c r="NEX258" s="609"/>
      <c r="NEY258" s="609"/>
      <c r="NEZ258" s="609"/>
      <c r="NFA258" s="609"/>
      <c r="NFB258" s="609"/>
      <c r="NFC258" s="609"/>
      <c r="NFD258" s="609"/>
      <c r="NFE258" s="609"/>
      <c r="NFF258" s="609"/>
      <c r="NFG258" s="609"/>
      <c r="NFH258" s="609"/>
      <c r="NFI258" s="609"/>
      <c r="NFJ258" s="609"/>
      <c r="NFK258" s="609"/>
      <c r="NFL258" s="609"/>
      <c r="NFM258" s="609"/>
      <c r="NFN258" s="609"/>
      <c r="NFO258" s="609"/>
      <c r="NFP258" s="609"/>
      <c r="NFQ258" s="609"/>
      <c r="NFR258" s="609"/>
      <c r="NFS258" s="609"/>
      <c r="NFT258" s="609"/>
      <c r="NFU258" s="609"/>
      <c r="NFV258" s="609"/>
      <c r="NFW258" s="609"/>
      <c r="NFX258" s="609"/>
      <c r="NFY258" s="609"/>
      <c r="NFZ258" s="609"/>
      <c r="NGA258" s="609"/>
      <c r="NGB258" s="609"/>
      <c r="NGC258" s="609"/>
      <c r="NGD258" s="609"/>
      <c r="NGE258" s="609"/>
      <c r="NGF258" s="609"/>
      <c r="NGG258" s="609"/>
      <c r="NGH258" s="609"/>
      <c r="NGI258" s="609"/>
      <c r="NGJ258" s="609"/>
      <c r="NGK258" s="609"/>
      <c r="NGL258" s="609"/>
      <c r="NGM258" s="609"/>
      <c r="NGN258" s="609"/>
      <c r="NGO258" s="609"/>
      <c r="NGP258" s="609"/>
      <c r="NGQ258" s="609"/>
      <c r="NGR258" s="609"/>
      <c r="NGS258" s="609"/>
      <c r="NGT258" s="609"/>
      <c r="NGU258" s="609"/>
      <c r="NGV258" s="609"/>
      <c r="NGW258" s="609"/>
      <c r="NGX258" s="609"/>
      <c r="NGY258" s="609"/>
      <c r="NGZ258" s="609"/>
      <c r="NHA258" s="609"/>
      <c r="NHB258" s="609"/>
      <c r="NHC258" s="609"/>
      <c r="NHD258" s="609"/>
      <c r="NHE258" s="609"/>
      <c r="NHF258" s="609"/>
      <c r="NHG258" s="609"/>
      <c r="NHH258" s="609"/>
      <c r="NHI258" s="609"/>
      <c r="NHJ258" s="609"/>
      <c r="NHK258" s="609"/>
      <c r="NHL258" s="609"/>
      <c r="NHM258" s="609"/>
      <c r="NHN258" s="609"/>
      <c r="NHO258" s="609"/>
      <c r="NHP258" s="609"/>
      <c r="NHQ258" s="609"/>
      <c r="NHR258" s="609"/>
      <c r="NHS258" s="609"/>
      <c r="NHT258" s="609"/>
      <c r="NHU258" s="609"/>
      <c r="NHV258" s="609"/>
      <c r="NHW258" s="609"/>
      <c r="NHX258" s="609"/>
      <c r="NHY258" s="609"/>
      <c r="NHZ258" s="609"/>
      <c r="NIA258" s="609"/>
      <c r="NIB258" s="609"/>
      <c r="NIC258" s="609"/>
      <c r="NID258" s="609"/>
      <c r="NIE258" s="609"/>
      <c r="NIF258" s="609"/>
      <c r="NIG258" s="609"/>
      <c r="NIH258" s="609"/>
      <c r="NII258" s="609"/>
      <c r="NIJ258" s="609"/>
      <c r="NIK258" s="609"/>
      <c r="NIL258" s="609"/>
      <c r="NIM258" s="609"/>
      <c r="NIN258" s="609"/>
      <c r="NIO258" s="609"/>
      <c r="NIP258" s="609"/>
      <c r="NIQ258" s="609"/>
      <c r="NIR258" s="609"/>
      <c r="NIS258" s="609"/>
      <c r="NIT258" s="609"/>
      <c r="NIU258" s="609"/>
      <c r="NIV258" s="609"/>
      <c r="NIW258" s="609"/>
      <c r="NIX258" s="609"/>
      <c r="NIY258" s="609"/>
      <c r="NIZ258" s="609"/>
      <c r="NJA258" s="609"/>
      <c r="NJB258" s="609"/>
      <c r="NJC258" s="609"/>
      <c r="NJD258" s="609"/>
      <c r="NJE258" s="609"/>
      <c r="NJF258" s="609"/>
      <c r="NJG258" s="609"/>
      <c r="NJH258" s="609"/>
      <c r="NJI258" s="609"/>
      <c r="NJJ258" s="609"/>
      <c r="NJK258" s="609"/>
      <c r="NJL258" s="609"/>
      <c r="NJM258" s="609"/>
      <c r="NJN258" s="609"/>
      <c r="NJO258" s="609"/>
      <c r="NJP258" s="609"/>
      <c r="NJQ258" s="609"/>
      <c r="NJR258" s="609"/>
      <c r="NJS258" s="609"/>
      <c r="NJT258" s="609"/>
      <c r="NJU258" s="609"/>
      <c r="NJV258" s="609"/>
      <c r="NJW258" s="609"/>
      <c r="NJX258" s="609"/>
      <c r="NJY258" s="609"/>
      <c r="NJZ258" s="609"/>
      <c r="NKA258" s="609"/>
      <c r="NKB258" s="609"/>
      <c r="NKC258" s="609"/>
      <c r="NKD258" s="609"/>
      <c r="NKE258" s="609"/>
      <c r="NKF258" s="609"/>
      <c r="NKG258" s="609"/>
      <c r="NKH258" s="609"/>
      <c r="NKI258" s="609"/>
      <c r="NKJ258" s="609"/>
      <c r="NKK258" s="609"/>
      <c r="NKL258" s="609"/>
      <c r="NKM258" s="609"/>
      <c r="NKN258" s="609"/>
      <c r="NKO258" s="609"/>
      <c r="NKP258" s="609"/>
      <c r="NKQ258" s="609"/>
      <c r="NKR258" s="609"/>
      <c r="NKS258" s="609"/>
      <c r="NKT258" s="609"/>
      <c r="NKU258" s="609"/>
      <c r="NKV258" s="609"/>
      <c r="NKW258" s="609"/>
      <c r="NKX258" s="609"/>
      <c r="NKY258" s="609"/>
      <c r="NKZ258" s="609"/>
      <c r="NLA258" s="609"/>
      <c r="NLB258" s="609"/>
      <c r="NLC258" s="609"/>
      <c r="NLD258" s="609"/>
      <c r="NLE258" s="609"/>
      <c r="NLF258" s="609"/>
      <c r="NLG258" s="609"/>
      <c r="NLH258" s="609"/>
      <c r="NLI258" s="609"/>
      <c r="NLJ258" s="609"/>
      <c r="NLK258" s="609"/>
      <c r="NLL258" s="609"/>
      <c r="NLM258" s="609"/>
      <c r="NLN258" s="609"/>
      <c r="NLO258" s="609"/>
      <c r="NLP258" s="609"/>
      <c r="NLQ258" s="609"/>
      <c r="NLR258" s="609"/>
      <c r="NLS258" s="609"/>
      <c r="NLT258" s="609"/>
      <c r="NLU258" s="609"/>
      <c r="NLV258" s="609"/>
      <c r="NLW258" s="609"/>
      <c r="NLX258" s="609"/>
      <c r="NLY258" s="609"/>
      <c r="NLZ258" s="609"/>
      <c r="NMA258" s="609"/>
      <c r="NMB258" s="609"/>
      <c r="NMC258" s="609"/>
      <c r="NMD258" s="609"/>
      <c r="NME258" s="609"/>
      <c r="NMF258" s="609"/>
      <c r="NMG258" s="609"/>
      <c r="NMH258" s="609"/>
      <c r="NMI258" s="609"/>
      <c r="NMJ258" s="609"/>
      <c r="NMK258" s="609"/>
      <c r="NML258" s="609"/>
      <c r="NMM258" s="609"/>
      <c r="NMN258" s="609"/>
      <c r="NMO258" s="609"/>
      <c r="NMP258" s="609"/>
      <c r="NMQ258" s="609"/>
      <c r="NMR258" s="609"/>
      <c r="NMS258" s="609"/>
      <c r="NMT258" s="609"/>
      <c r="NMU258" s="609"/>
      <c r="NMV258" s="609"/>
      <c r="NMW258" s="609"/>
      <c r="NMX258" s="609"/>
      <c r="NMY258" s="609"/>
      <c r="NMZ258" s="609"/>
      <c r="NNA258" s="609"/>
      <c r="NNB258" s="609"/>
      <c r="NNC258" s="609"/>
      <c r="NND258" s="609"/>
      <c r="NNE258" s="609"/>
      <c r="NNF258" s="609"/>
      <c r="NNG258" s="609"/>
      <c r="NNH258" s="609"/>
      <c r="NNI258" s="609"/>
      <c r="NNJ258" s="609"/>
      <c r="NNK258" s="609"/>
      <c r="NNL258" s="609"/>
      <c r="NNM258" s="609"/>
      <c r="NNN258" s="609"/>
      <c r="NNO258" s="609"/>
      <c r="NNP258" s="609"/>
      <c r="NNQ258" s="609"/>
      <c r="NNR258" s="609"/>
      <c r="NNS258" s="609"/>
      <c r="NNT258" s="609"/>
      <c r="NNU258" s="609"/>
      <c r="NNV258" s="609"/>
      <c r="NNW258" s="609"/>
      <c r="NNX258" s="609"/>
      <c r="NNY258" s="609"/>
      <c r="NNZ258" s="609"/>
      <c r="NOA258" s="609"/>
      <c r="NOB258" s="609"/>
      <c r="NOC258" s="609"/>
      <c r="NOD258" s="609"/>
      <c r="NOE258" s="609"/>
      <c r="NOF258" s="609"/>
      <c r="NOG258" s="609"/>
      <c r="NOH258" s="609"/>
      <c r="NOI258" s="609"/>
      <c r="NOJ258" s="609"/>
      <c r="NOK258" s="609"/>
      <c r="NOL258" s="609"/>
      <c r="NOM258" s="609"/>
      <c r="NON258" s="609"/>
      <c r="NOO258" s="609"/>
      <c r="NOP258" s="609"/>
      <c r="NOQ258" s="609"/>
      <c r="NOR258" s="609"/>
      <c r="NOS258" s="609"/>
      <c r="NOT258" s="609"/>
      <c r="NOU258" s="609"/>
      <c r="NOV258" s="609"/>
      <c r="NOW258" s="609"/>
      <c r="NOX258" s="609"/>
      <c r="NOY258" s="609"/>
      <c r="NOZ258" s="609"/>
      <c r="NPA258" s="609"/>
      <c r="NPB258" s="609"/>
      <c r="NPC258" s="609"/>
      <c r="NPD258" s="609"/>
      <c r="NPE258" s="609"/>
      <c r="NPF258" s="609"/>
      <c r="NPG258" s="609"/>
      <c r="NPH258" s="609"/>
      <c r="NPI258" s="609"/>
      <c r="NPJ258" s="609"/>
      <c r="NPK258" s="609"/>
      <c r="NPL258" s="609"/>
      <c r="NPM258" s="609"/>
      <c r="NPN258" s="609"/>
      <c r="NPO258" s="609"/>
      <c r="NPP258" s="609"/>
      <c r="NPQ258" s="609"/>
      <c r="NPR258" s="609"/>
      <c r="NPS258" s="609"/>
      <c r="NPT258" s="609"/>
      <c r="NPU258" s="609"/>
      <c r="NPV258" s="609"/>
      <c r="NPW258" s="609"/>
      <c r="NPX258" s="609"/>
      <c r="NPY258" s="609"/>
      <c r="NPZ258" s="609"/>
      <c r="NQA258" s="609"/>
      <c r="NQB258" s="609"/>
      <c r="NQC258" s="609"/>
      <c r="NQD258" s="609"/>
      <c r="NQE258" s="609"/>
      <c r="NQF258" s="609"/>
      <c r="NQG258" s="609"/>
      <c r="NQH258" s="609"/>
      <c r="NQI258" s="609"/>
      <c r="NQJ258" s="609"/>
      <c r="NQK258" s="609"/>
      <c r="NQL258" s="609"/>
      <c r="NQM258" s="609"/>
      <c r="NQN258" s="609"/>
      <c r="NQO258" s="609"/>
      <c r="NQP258" s="609"/>
      <c r="NQQ258" s="609"/>
      <c r="NQR258" s="609"/>
      <c r="NQS258" s="609"/>
      <c r="NQT258" s="609"/>
      <c r="NQU258" s="609"/>
      <c r="NQV258" s="609"/>
      <c r="NQW258" s="609"/>
      <c r="NQX258" s="609"/>
      <c r="NQY258" s="609"/>
      <c r="NQZ258" s="609"/>
      <c r="NRA258" s="609"/>
      <c r="NRB258" s="609"/>
      <c r="NRC258" s="609"/>
      <c r="NRD258" s="609"/>
      <c r="NRE258" s="609"/>
      <c r="NRF258" s="609"/>
      <c r="NRG258" s="609"/>
      <c r="NRH258" s="609"/>
      <c r="NRI258" s="609"/>
      <c r="NRJ258" s="609"/>
      <c r="NRK258" s="609"/>
      <c r="NRL258" s="609"/>
      <c r="NRM258" s="609"/>
      <c r="NRN258" s="609"/>
      <c r="NRO258" s="609"/>
      <c r="NRP258" s="609"/>
      <c r="NRQ258" s="609"/>
      <c r="NRR258" s="609"/>
      <c r="NRS258" s="609"/>
      <c r="NRT258" s="609"/>
      <c r="NRU258" s="609"/>
      <c r="NRV258" s="609"/>
      <c r="NRW258" s="609"/>
      <c r="NRX258" s="609"/>
      <c r="NRY258" s="609"/>
      <c r="NRZ258" s="609"/>
      <c r="NSA258" s="609"/>
      <c r="NSB258" s="609"/>
      <c r="NSC258" s="609"/>
      <c r="NSD258" s="609"/>
      <c r="NSE258" s="609"/>
      <c r="NSF258" s="609"/>
      <c r="NSG258" s="609"/>
      <c r="NSH258" s="609"/>
      <c r="NSI258" s="609"/>
      <c r="NSJ258" s="609"/>
      <c r="NSK258" s="609"/>
      <c r="NSL258" s="609"/>
      <c r="NSM258" s="609"/>
      <c r="NSN258" s="609"/>
      <c r="NSO258" s="609"/>
      <c r="NSP258" s="609"/>
      <c r="NSQ258" s="609"/>
      <c r="NSR258" s="609"/>
      <c r="NSS258" s="609"/>
      <c r="NST258" s="609"/>
      <c r="NSU258" s="609"/>
      <c r="NSV258" s="609"/>
      <c r="NSW258" s="609"/>
      <c r="NSX258" s="609"/>
      <c r="NSY258" s="609"/>
      <c r="NSZ258" s="609"/>
      <c r="NTA258" s="609"/>
      <c r="NTB258" s="609"/>
      <c r="NTC258" s="609"/>
      <c r="NTD258" s="609"/>
      <c r="NTE258" s="609"/>
      <c r="NTF258" s="609"/>
      <c r="NTG258" s="609"/>
      <c r="NTH258" s="609"/>
      <c r="NTI258" s="609"/>
      <c r="NTJ258" s="609"/>
      <c r="NTK258" s="609"/>
      <c r="NTL258" s="609"/>
      <c r="NTM258" s="609"/>
      <c r="NTN258" s="609"/>
      <c r="NTO258" s="609"/>
      <c r="NTP258" s="609"/>
      <c r="NTQ258" s="609"/>
      <c r="NTR258" s="609"/>
      <c r="NTS258" s="609"/>
      <c r="NTT258" s="609"/>
      <c r="NTU258" s="609"/>
      <c r="NTV258" s="609"/>
      <c r="NTW258" s="609"/>
      <c r="NTX258" s="609"/>
      <c r="NTY258" s="609"/>
      <c r="NTZ258" s="609"/>
      <c r="NUA258" s="609"/>
      <c r="NUB258" s="609"/>
      <c r="NUC258" s="609"/>
      <c r="NUD258" s="609"/>
      <c r="NUE258" s="609"/>
      <c r="NUF258" s="609"/>
      <c r="NUG258" s="609"/>
      <c r="NUH258" s="609"/>
      <c r="NUI258" s="609"/>
      <c r="NUJ258" s="609"/>
      <c r="NUK258" s="609"/>
      <c r="NUL258" s="609"/>
      <c r="NUM258" s="609"/>
      <c r="NUN258" s="609"/>
      <c r="NUO258" s="609"/>
      <c r="NUP258" s="609"/>
      <c r="NUQ258" s="609"/>
      <c r="NUR258" s="609"/>
      <c r="NUS258" s="609"/>
      <c r="NUT258" s="609"/>
      <c r="NUU258" s="609"/>
      <c r="NUV258" s="609"/>
      <c r="NUW258" s="609"/>
      <c r="NUX258" s="609"/>
      <c r="NUY258" s="609"/>
      <c r="NUZ258" s="609"/>
      <c r="NVA258" s="609"/>
      <c r="NVB258" s="609"/>
      <c r="NVC258" s="609"/>
      <c r="NVD258" s="609"/>
      <c r="NVE258" s="609"/>
      <c r="NVF258" s="609"/>
      <c r="NVG258" s="609"/>
      <c r="NVH258" s="609"/>
      <c r="NVI258" s="609"/>
      <c r="NVJ258" s="609"/>
      <c r="NVK258" s="609"/>
      <c r="NVL258" s="609"/>
      <c r="NVM258" s="609"/>
      <c r="NVN258" s="609"/>
      <c r="NVO258" s="609"/>
      <c r="NVP258" s="609"/>
      <c r="NVQ258" s="609"/>
      <c r="NVR258" s="609"/>
      <c r="NVS258" s="609"/>
      <c r="NVT258" s="609"/>
      <c r="NVU258" s="609"/>
      <c r="NVV258" s="609"/>
      <c r="NVW258" s="609"/>
      <c r="NVX258" s="609"/>
      <c r="NVY258" s="609"/>
      <c r="NVZ258" s="609"/>
      <c r="NWA258" s="609"/>
      <c r="NWB258" s="609"/>
      <c r="NWC258" s="609"/>
      <c r="NWD258" s="609"/>
      <c r="NWE258" s="609"/>
      <c r="NWF258" s="609"/>
      <c r="NWG258" s="609"/>
      <c r="NWH258" s="609"/>
      <c r="NWI258" s="609"/>
      <c r="NWJ258" s="609"/>
      <c r="NWK258" s="609"/>
      <c r="NWL258" s="609"/>
      <c r="NWM258" s="609"/>
      <c r="NWN258" s="609"/>
      <c r="NWO258" s="609"/>
      <c r="NWP258" s="609"/>
      <c r="NWQ258" s="609"/>
      <c r="NWR258" s="609"/>
      <c r="NWS258" s="609"/>
      <c r="NWT258" s="609"/>
      <c r="NWU258" s="609"/>
      <c r="NWV258" s="609"/>
      <c r="NWW258" s="609"/>
      <c r="NWX258" s="609"/>
      <c r="NWY258" s="609"/>
      <c r="NWZ258" s="609"/>
      <c r="NXA258" s="609"/>
      <c r="NXB258" s="609"/>
      <c r="NXC258" s="609"/>
      <c r="NXD258" s="609"/>
      <c r="NXE258" s="609"/>
      <c r="NXF258" s="609"/>
      <c r="NXG258" s="609"/>
      <c r="NXH258" s="609"/>
      <c r="NXI258" s="609"/>
      <c r="NXJ258" s="609"/>
      <c r="NXK258" s="609"/>
      <c r="NXL258" s="609"/>
      <c r="NXM258" s="609"/>
      <c r="NXN258" s="609"/>
      <c r="NXO258" s="609"/>
      <c r="NXP258" s="609"/>
      <c r="NXQ258" s="609"/>
      <c r="NXR258" s="609"/>
      <c r="NXS258" s="609"/>
      <c r="NXT258" s="609"/>
      <c r="NXU258" s="609"/>
      <c r="NXV258" s="609"/>
      <c r="NXW258" s="609"/>
      <c r="NXX258" s="609"/>
      <c r="NXY258" s="609"/>
      <c r="NXZ258" s="609"/>
      <c r="NYA258" s="609"/>
      <c r="NYB258" s="609"/>
      <c r="NYC258" s="609"/>
      <c r="NYD258" s="609"/>
      <c r="NYE258" s="609"/>
      <c r="NYF258" s="609"/>
      <c r="NYG258" s="609"/>
      <c r="NYH258" s="609"/>
      <c r="NYI258" s="609"/>
      <c r="NYJ258" s="609"/>
      <c r="NYK258" s="609"/>
      <c r="NYL258" s="609"/>
      <c r="NYM258" s="609"/>
      <c r="NYN258" s="609"/>
      <c r="NYO258" s="609"/>
      <c r="NYP258" s="609"/>
      <c r="NYQ258" s="609"/>
      <c r="NYR258" s="609"/>
      <c r="NYS258" s="609"/>
      <c r="NYT258" s="609"/>
      <c r="NYU258" s="609"/>
      <c r="NYV258" s="609"/>
      <c r="NYW258" s="609"/>
      <c r="NYX258" s="609"/>
      <c r="NYY258" s="609"/>
      <c r="NYZ258" s="609"/>
      <c r="NZA258" s="609"/>
      <c r="NZB258" s="609"/>
      <c r="NZC258" s="609"/>
      <c r="NZD258" s="609"/>
      <c r="NZE258" s="609"/>
      <c r="NZF258" s="609"/>
      <c r="NZG258" s="609"/>
      <c r="NZH258" s="609"/>
      <c r="NZI258" s="609"/>
      <c r="NZJ258" s="609"/>
      <c r="NZK258" s="609"/>
      <c r="NZL258" s="609"/>
      <c r="NZM258" s="609"/>
      <c r="NZN258" s="609"/>
      <c r="NZO258" s="609"/>
      <c r="NZP258" s="609"/>
      <c r="NZQ258" s="609"/>
      <c r="NZR258" s="609"/>
      <c r="NZS258" s="609"/>
      <c r="NZT258" s="609"/>
      <c r="NZU258" s="609"/>
      <c r="NZV258" s="609"/>
      <c r="NZW258" s="609"/>
      <c r="NZX258" s="609"/>
      <c r="NZY258" s="609"/>
      <c r="NZZ258" s="609"/>
      <c r="OAA258" s="609"/>
      <c r="OAB258" s="609"/>
      <c r="OAC258" s="609"/>
      <c r="OAD258" s="609"/>
      <c r="OAE258" s="609"/>
      <c r="OAF258" s="609"/>
      <c r="OAG258" s="609"/>
      <c r="OAH258" s="609"/>
      <c r="OAI258" s="609"/>
      <c r="OAJ258" s="609"/>
      <c r="OAK258" s="609"/>
      <c r="OAL258" s="609"/>
      <c r="OAM258" s="609"/>
      <c r="OAN258" s="609"/>
      <c r="OAO258" s="609"/>
      <c r="OAP258" s="609"/>
      <c r="OAQ258" s="609"/>
      <c r="OAR258" s="609"/>
      <c r="OAS258" s="609"/>
      <c r="OAT258" s="609"/>
      <c r="OAU258" s="609"/>
      <c r="OAV258" s="609"/>
      <c r="OAW258" s="609"/>
      <c r="OAX258" s="609"/>
      <c r="OAY258" s="609"/>
      <c r="OAZ258" s="609"/>
      <c r="OBA258" s="609"/>
      <c r="OBB258" s="609"/>
      <c r="OBC258" s="609"/>
      <c r="OBD258" s="609"/>
      <c r="OBE258" s="609"/>
      <c r="OBF258" s="609"/>
      <c r="OBG258" s="609"/>
      <c r="OBH258" s="609"/>
      <c r="OBI258" s="609"/>
      <c r="OBJ258" s="609"/>
      <c r="OBK258" s="609"/>
      <c r="OBL258" s="609"/>
      <c r="OBM258" s="609"/>
      <c r="OBN258" s="609"/>
      <c r="OBO258" s="609"/>
      <c r="OBP258" s="609"/>
      <c r="OBQ258" s="609"/>
      <c r="OBR258" s="609"/>
      <c r="OBS258" s="609"/>
      <c r="OBT258" s="609"/>
      <c r="OBU258" s="609"/>
      <c r="OBV258" s="609"/>
      <c r="OBW258" s="609"/>
      <c r="OBX258" s="609"/>
      <c r="OBY258" s="609"/>
      <c r="OBZ258" s="609"/>
      <c r="OCA258" s="609"/>
      <c r="OCB258" s="609"/>
      <c r="OCC258" s="609"/>
      <c r="OCD258" s="609"/>
      <c r="OCE258" s="609"/>
      <c r="OCF258" s="609"/>
      <c r="OCG258" s="609"/>
      <c r="OCH258" s="609"/>
      <c r="OCI258" s="609"/>
      <c r="OCJ258" s="609"/>
      <c r="OCK258" s="609"/>
      <c r="OCL258" s="609"/>
      <c r="OCM258" s="609"/>
      <c r="OCN258" s="609"/>
      <c r="OCO258" s="609"/>
      <c r="OCP258" s="609"/>
      <c r="OCQ258" s="609"/>
      <c r="OCR258" s="609"/>
      <c r="OCS258" s="609"/>
      <c r="OCT258" s="609"/>
      <c r="OCU258" s="609"/>
      <c r="OCV258" s="609"/>
      <c r="OCW258" s="609"/>
      <c r="OCX258" s="609"/>
      <c r="OCY258" s="609"/>
      <c r="OCZ258" s="609"/>
      <c r="ODA258" s="609"/>
      <c r="ODB258" s="609"/>
      <c r="ODC258" s="609"/>
      <c r="ODD258" s="609"/>
      <c r="ODE258" s="609"/>
      <c r="ODF258" s="609"/>
      <c r="ODG258" s="609"/>
      <c r="ODH258" s="609"/>
      <c r="ODI258" s="609"/>
      <c r="ODJ258" s="609"/>
      <c r="ODK258" s="609"/>
      <c r="ODL258" s="609"/>
      <c r="ODM258" s="609"/>
      <c r="ODN258" s="609"/>
      <c r="ODO258" s="609"/>
      <c r="ODP258" s="609"/>
      <c r="ODQ258" s="609"/>
      <c r="ODR258" s="609"/>
      <c r="ODS258" s="609"/>
      <c r="ODT258" s="609"/>
      <c r="ODU258" s="609"/>
      <c r="ODV258" s="609"/>
      <c r="ODW258" s="609"/>
      <c r="ODX258" s="609"/>
      <c r="ODY258" s="609"/>
      <c r="ODZ258" s="609"/>
      <c r="OEA258" s="609"/>
      <c r="OEB258" s="609"/>
      <c r="OEC258" s="609"/>
      <c r="OED258" s="609"/>
      <c r="OEE258" s="609"/>
      <c r="OEF258" s="609"/>
      <c r="OEG258" s="609"/>
      <c r="OEH258" s="609"/>
      <c r="OEI258" s="609"/>
      <c r="OEJ258" s="609"/>
      <c r="OEK258" s="609"/>
      <c r="OEL258" s="609"/>
      <c r="OEM258" s="609"/>
      <c r="OEN258" s="609"/>
      <c r="OEO258" s="609"/>
      <c r="OEP258" s="609"/>
      <c r="OEQ258" s="609"/>
      <c r="OER258" s="609"/>
      <c r="OES258" s="609"/>
      <c r="OET258" s="609"/>
      <c r="OEU258" s="609"/>
      <c r="OEV258" s="609"/>
      <c r="OEW258" s="609"/>
      <c r="OEX258" s="609"/>
      <c r="OEY258" s="609"/>
      <c r="OEZ258" s="609"/>
      <c r="OFA258" s="609"/>
      <c r="OFB258" s="609"/>
      <c r="OFC258" s="609"/>
      <c r="OFD258" s="609"/>
      <c r="OFE258" s="609"/>
      <c r="OFF258" s="609"/>
      <c r="OFG258" s="609"/>
      <c r="OFH258" s="609"/>
      <c r="OFI258" s="609"/>
      <c r="OFJ258" s="609"/>
      <c r="OFK258" s="609"/>
      <c r="OFL258" s="609"/>
      <c r="OFM258" s="609"/>
      <c r="OFN258" s="609"/>
      <c r="OFO258" s="609"/>
      <c r="OFP258" s="609"/>
      <c r="OFQ258" s="609"/>
      <c r="OFR258" s="609"/>
      <c r="OFS258" s="609"/>
      <c r="OFT258" s="609"/>
      <c r="OFU258" s="609"/>
      <c r="OFV258" s="609"/>
      <c r="OFW258" s="609"/>
      <c r="OFX258" s="609"/>
      <c r="OFY258" s="609"/>
      <c r="OFZ258" s="609"/>
      <c r="OGA258" s="609"/>
      <c r="OGB258" s="609"/>
      <c r="OGC258" s="609"/>
      <c r="OGD258" s="609"/>
      <c r="OGE258" s="609"/>
      <c r="OGF258" s="609"/>
      <c r="OGG258" s="609"/>
      <c r="OGH258" s="609"/>
      <c r="OGI258" s="609"/>
      <c r="OGJ258" s="609"/>
      <c r="OGK258" s="609"/>
      <c r="OGL258" s="609"/>
      <c r="OGM258" s="609"/>
      <c r="OGN258" s="609"/>
      <c r="OGO258" s="609"/>
      <c r="OGP258" s="609"/>
      <c r="OGQ258" s="609"/>
      <c r="OGR258" s="609"/>
      <c r="OGS258" s="609"/>
      <c r="OGT258" s="609"/>
      <c r="OGU258" s="609"/>
      <c r="OGV258" s="609"/>
      <c r="OGW258" s="609"/>
      <c r="OGX258" s="609"/>
      <c r="OGY258" s="609"/>
      <c r="OGZ258" s="609"/>
      <c r="OHA258" s="609"/>
      <c r="OHB258" s="609"/>
      <c r="OHC258" s="609"/>
      <c r="OHD258" s="609"/>
      <c r="OHE258" s="609"/>
      <c r="OHF258" s="609"/>
      <c r="OHG258" s="609"/>
      <c r="OHH258" s="609"/>
      <c r="OHI258" s="609"/>
      <c r="OHJ258" s="609"/>
      <c r="OHK258" s="609"/>
      <c r="OHL258" s="609"/>
      <c r="OHM258" s="609"/>
      <c r="OHN258" s="609"/>
      <c r="OHO258" s="609"/>
      <c r="OHP258" s="609"/>
      <c r="OHQ258" s="609"/>
      <c r="OHR258" s="609"/>
      <c r="OHS258" s="609"/>
      <c r="OHT258" s="609"/>
      <c r="OHU258" s="609"/>
      <c r="OHV258" s="609"/>
      <c r="OHW258" s="609"/>
      <c r="OHX258" s="609"/>
      <c r="OHY258" s="609"/>
      <c r="OHZ258" s="609"/>
      <c r="OIA258" s="609"/>
      <c r="OIB258" s="609"/>
      <c r="OIC258" s="609"/>
      <c r="OID258" s="609"/>
      <c r="OIE258" s="609"/>
      <c r="OIF258" s="609"/>
      <c r="OIG258" s="609"/>
      <c r="OIH258" s="609"/>
      <c r="OII258" s="609"/>
      <c r="OIJ258" s="609"/>
      <c r="OIK258" s="609"/>
      <c r="OIL258" s="609"/>
      <c r="OIM258" s="609"/>
      <c r="OIN258" s="609"/>
      <c r="OIO258" s="609"/>
      <c r="OIP258" s="609"/>
      <c r="OIQ258" s="609"/>
      <c r="OIR258" s="609"/>
      <c r="OIS258" s="609"/>
      <c r="OIT258" s="609"/>
      <c r="OIU258" s="609"/>
      <c r="OIV258" s="609"/>
      <c r="OIW258" s="609"/>
      <c r="OIX258" s="609"/>
      <c r="OIY258" s="609"/>
      <c r="OIZ258" s="609"/>
      <c r="OJA258" s="609"/>
      <c r="OJB258" s="609"/>
      <c r="OJC258" s="609"/>
      <c r="OJD258" s="609"/>
      <c r="OJE258" s="609"/>
      <c r="OJF258" s="609"/>
      <c r="OJG258" s="609"/>
      <c r="OJH258" s="609"/>
      <c r="OJI258" s="609"/>
      <c r="OJJ258" s="609"/>
      <c r="OJK258" s="609"/>
      <c r="OJL258" s="609"/>
      <c r="OJM258" s="609"/>
      <c r="OJN258" s="609"/>
      <c r="OJO258" s="609"/>
      <c r="OJP258" s="609"/>
      <c r="OJQ258" s="609"/>
      <c r="OJR258" s="609"/>
      <c r="OJS258" s="609"/>
      <c r="OJT258" s="609"/>
      <c r="OJU258" s="609"/>
      <c r="OJV258" s="609"/>
      <c r="OJW258" s="609"/>
      <c r="OJX258" s="609"/>
      <c r="OJY258" s="609"/>
      <c r="OJZ258" s="609"/>
      <c r="OKA258" s="609"/>
      <c r="OKB258" s="609"/>
      <c r="OKC258" s="609"/>
      <c r="OKD258" s="609"/>
      <c r="OKE258" s="609"/>
      <c r="OKF258" s="609"/>
      <c r="OKG258" s="609"/>
      <c r="OKH258" s="609"/>
      <c r="OKI258" s="609"/>
      <c r="OKJ258" s="609"/>
      <c r="OKK258" s="609"/>
      <c r="OKL258" s="609"/>
      <c r="OKM258" s="609"/>
      <c r="OKN258" s="609"/>
      <c r="OKO258" s="609"/>
      <c r="OKP258" s="609"/>
      <c r="OKQ258" s="609"/>
      <c r="OKR258" s="609"/>
      <c r="OKS258" s="609"/>
      <c r="OKT258" s="609"/>
      <c r="OKU258" s="609"/>
      <c r="OKV258" s="609"/>
      <c r="OKW258" s="609"/>
      <c r="OKX258" s="609"/>
      <c r="OKY258" s="609"/>
      <c r="OKZ258" s="609"/>
      <c r="OLA258" s="609"/>
      <c r="OLB258" s="609"/>
      <c r="OLC258" s="609"/>
      <c r="OLD258" s="609"/>
      <c r="OLE258" s="609"/>
      <c r="OLF258" s="609"/>
      <c r="OLG258" s="609"/>
      <c r="OLH258" s="609"/>
      <c r="OLI258" s="609"/>
      <c r="OLJ258" s="609"/>
      <c r="OLK258" s="609"/>
      <c r="OLL258" s="609"/>
      <c r="OLM258" s="609"/>
      <c r="OLN258" s="609"/>
      <c r="OLO258" s="609"/>
      <c r="OLP258" s="609"/>
      <c r="OLQ258" s="609"/>
      <c r="OLR258" s="609"/>
      <c r="OLS258" s="609"/>
      <c r="OLT258" s="609"/>
      <c r="OLU258" s="609"/>
      <c r="OLV258" s="609"/>
      <c r="OLW258" s="609"/>
      <c r="OLX258" s="609"/>
      <c r="OLY258" s="609"/>
      <c r="OLZ258" s="609"/>
      <c r="OMA258" s="609"/>
      <c r="OMB258" s="609"/>
      <c r="OMC258" s="609"/>
      <c r="OMD258" s="609"/>
      <c r="OME258" s="609"/>
      <c r="OMF258" s="609"/>
      <c r="OMG258" s="609"/>
      <c r="OMH258" s="609"/>
      <c r="OMI258" s="609"/>
      <c r="OMJ258" s="609"/>
      <c r="OMK258" s="609"/>
      <c r="OML258" s="609"/>
      <c r="OMM258" s="609"/>
      <c r="OMN258" s="609"/>
      <c r="OMO258" s="609"/>
      <c r="OMP258" s="609"/>
      <c r="OMQ258" s="609"/>
      <c r="OMR258" s="609"/>
      <c r="OMS258" s="609"/>
      <c r="OMT258" s="609"/>
      <c r="OMU258" s="609"/>
      <c r="OMV258" s="609"/>
      <c r="OMW258" s="609"/>
      <c r="OMX258" s="609"/>
      <c r="OMY258" s="609"/>
      <c r="OMZ258" s="609"/>
      <c r="ONA258" s="609"/>
      <c r="ONB258" s="609"/>
      <c r="ONC258" s="609"/>
      <c r="OND258" s="609"/>
      <c r="ONE258" s="609"/>
      <c r="ONF258" s="609"/>
      <c r="ONG258" s="609"/>
      <c r="ONH258" s="609"/>
      <c r="ONI258" s="609"/>
      <c r="ONJ258" s="609"/>
      <c r="ONK258" s="609"/>
      <c r="ONL258" s="609"/>
      <c r="ONM258" s="609"/>
      <c r="ONN258" s="609"/>
      <c r="ONO258" s="609"/>
      <c r="ONP258" s="609"/>
      <c r="ONQ258" s="609"/>
      <c r="ONR258" s="609"/>
      <c r="ONS258" s="609"/>
      <c r="ONT258" s="609"/>
      <c r="ONU258" s="609"/>
      <c r="ONV258" s="609"/>
      <c r="ONW258" s="609"/>
      <c r="ONX258" s="609"/>
      <c r="ONY258" s="609"/>
      <c r="ONZ258" s="609"/>
      <c r="OOA258" s="609"/>
      <c r="OOB258" s="609"/>
      <c r="OOC258" s="609"/>
      <c r="OOD258" s="609"/>
      <c r="OOE258" s="609"/>
      <c r="OOF258" s="609"/>
      <c r="OOG258" s="609"/>
      <c r="OOH258" s="609"/>
      <c r="OOI258" s="609"/>
      <c r="OOJ258" s="609"/>
      <c r="OOK258" s="609"/>
      <c r="OOL258" s="609"/>
      <c r="OOM258" s="609"/>
      <c r="OON258" s="609"/>
      <c r="OOO258" s="609"/>
      <c r="OOP258" s="609"/>
      <c r="OOQ258" s="609"/>
      <c r="OOR258" s="609"/>
      <c r="OOS258" s="609"/>
      <c r="OOT258" s="609"/>
      <c r="OOU258" s="609"/>
      <c r="OOV258" s="609"/>
      <c r="OOW258" s="609"/>
      <c r="OOX258" s="609"/>
      <c r="OOY258" s="609"/>
      <c r="OOZ258" s="609"/>
      <c r="OPA258" s="609"/>
      <c r="OPB258" s="609"/>
      <c r="OPC258" s="609"/>
      <c r="OPD258" s="609"/>
      <c r="OPE258" s="609"/>
      <c r="OPF258" s="609"/>
      <c r="OPG258" s="609"/>
      <c r="OPH258" s="609"/>
      <c r="OPI258" s="609"/>
      <c r="OPJ258" s="609"/>
      <c r="OPK258" s="609"/>
      <c r="OPL258" s="609"/>
      <c r="OPM258" s="609"/>
      <c r="OPN258" s="609"/>
      <c r="OPO258" s="609"/>
      <c r="OPP258" s="609"/>
      <c r="OPQ258" s="609"/>
      <c r="OPR258" s="609"/>
      <c r="OPS258" s="609"/>
      <c r="OPT258" s="609"/>
      <c r="OPU258" s="609"/>
      <c r="OPV258" s="609"/>
      <c r="OPW258" s="609"/>
      <c r="OPX258" s="609"/>
      <c r="OPY258" s="609"/>
      <c r="OPZ258" s="609"/>
      <c r="OQA258" s="609"/>
      <c r="OQB258" s="609"/>
      <c r="OQC258" s="609"/>
      <c r="OQD258" s="609"/>
      <c r="OQE258" s="609"/>
      <c r="OQF258" s="609"/>
      <c r="OQG258" s="609"/>
      <c r="OQH258" s="609"/>
      <c r="OQI258" s="609"/>
      <c r="OQJ258" s="609"/>
      <c r="OQK258" s="609"/>
      <c r="OQL258" s="609"/>
      <c r="OQM258" s="609"/>
      <c r="OQN258" s="609"/>
      <c r="OQO258" s="609"/>
      <c r="OQP258" s="609"/>
      <c r="OQQ258" s="609"/>
      <c r="OQR258" s="609"/>
      <c r="OQS258" s="609"/>
      <c r="OQT258" s="609"/>
      <c r="OQU258" s="609"/>
      <c r="OQV258" s="609"/>
      <c r="OQW258" s="609"/>
      <c r="OQX258" s="609"/>
      <c r="OQY258" s="609"/>
      <c r="OQZ258" s="609"/>
      <c r="ORA258" s="609"/>
      <c r="ORB258" s="609"/>
      <c r="ORC258" s="609"/>
      <c r="ORD258" s="609"/>
      <c r="ORE258" s="609"/>
      <c r="ORF258" s="609"/>
      <c r="ORG258" s="609"/>
      <c r="ORH258" s="609"/>
      <c r="ORI258" s="609"/>
      <c r="ORJ258" s="609"/>
      <c r="ORK258" s="609"/>
      <c r="ORL258" s="609"/>
      <c r="ORM258" s="609"/>
      <c r="ORN258" s="609"/>
      <c r="ORO258" s="609"/>
      <c r="ORP258" s="609"/>
      <c r="ORQ258" s="609"/>
      <c r="ORR258" s="609"/>
      <c r="ORS258" s="609"/>
      <c r="ORT258" s="609"/>
      <c r="ORU258" s="609"/>
      <c r="ORV258" s="609"/>
      <c r="ORW258" s="609"/>
      <c r="ORX258" s="609"/>
      <c r="ORY258" s="609"/>
      <c r="ORZ258" s="609"/>
      <c r="OSA258" s="609"/>
      <c r="OSB258" s="609"/>
      <c r="OSC258" s="609"/>
      <c r="OSD258" s="609"/>
      <c r="OSE258" s="609"/>
      <c r="OSF258" s="609"/>
      <c r="OSG258" s="609"/>
      <c r="OSH258" s="609"/>
      <c r="OSI258" s="609"/>
      <c r="OSJ258" s="609"/>
      <c r="OSK258" s="609"/>
      <c r="OSL258" s="609"/>
      <c r="OSM258" s="609"/>
      <c r="OSN258" s="609"/>
      <c r="OSO258" s="609"/>
      <c r="OSP258" s="609"/>
      <c r="OSQ258" s="609"/>
      <c r="OSR258" s="609"/>
      <c r="OSS258" s="609"/>
      <c r="OST258" s="609"/>
      <c r="OSU258" s="609"/>
      <c r="OSV258" s="609"/>
      <c r="OSW258" s="609"/>
      <c r="OSX258" s="609"/>
      <c r="OSY258" s="609"/>
      <c r="OSZ258" s="609"/>
      <c r="OTA258" s="609"/>
      <c r="OTB258" s="609"/>
      <c r="OTC258" s="609"/>
      <c r="OTD258" s="609"/>
      <c r="OTE258" s="609"/>
      <c r="OTF258" s="609"/>
      <c r="OTG258" s="609"/>
      <c r="OTH258" s="609"/>
      <c r="OTI258" s="609"/>
      <c r="OTJ258" s="609"/>
      <c r="OTK258" s="609"/>
      <c r="OTL258" s="609"/>
      <c r="OTM258" s="609"/>
      <c r="OTN258" s="609"/>
      <c r="OTO258" s="609"/>
      <c r="OTP258" s="609"/>
      <c r="OTQ258" s="609"/>
      <c r="OTR258" s="609"/>
      <c r="OTS258" s="609"/>
      <c r="OTT258" s="609"/>
      <c r="OTU258" s="609"/>
      <c r="OTV258" s="609"/>
      <c r="OTW258" s="609"/>
      <c r="OTX258" s="609"/>
      <c r="OTY258" s="609"/>
      <c r="OTZ258" s="609"/>
      <c r="OUA258" s="609"/>
      <c r="OUB258" s="609"/>
      <c r="OUC258" s="609"/>
      <c r="OUD258" s="609"/>
      <c r="OUE258" s="609"/>
      <c r="OUF258" s="609"/>
      <c r="OUG258" s="609"/>
      <c r="OUH258" s="609"/>
      <c r="OUI258" s="609"/>
      <c r="OUJ258" s="609"/>
      <c r="OUK258" s="609"/>
      <c r="OUL258" s="609"/>
      <c r="OUM258" s="609"/>
      <c r="OUN258" s="609"/>
      <c r="OUO258" s="609"/>
      <c r="OUP258" s="609"/>
      <c r="OUQ258" s="609"/>
      <c r="OUR258" s="609"/>
      <c r="OUS258" s="609"/>
      <c r="OUT258" s="609"/>
      <c r="OUU258" s="609"/>
      <c r="OUV258" s="609"/>
      <c r="OUW258" s="609"/>
      <c r="OUX258" s="609"/>
      <c r="OUY258" s="609"/>
      <c r="OUZ258" s="609"/>
      <c r="OVA258" s="609"/>
      <c r="OVB258" s="609"/>
      <c r="OVC258" s="609"/>
      <c r="OVD258" s="609"/>
      <c r="OVE258" s="609"/>
      <c r="OVF258" s="609"/>
      <c r="OVG258" s="609"/>
      <c r="OVH258" s="609"/>
      <c r="OVI258" s="609"/>
      <c r="OVJ258" s="609"/>
      <c r="OVK258" s="609"/>
      <c r="OVL258" s="609"/>
      <c r="OVM258" s="609"/>
      <c r="OVN258" s="609"/>
      <c r="OVO258" s="609"/>
      <c r="OVP258" s="609"/>
      <c r="OVQ258" s="609"/>
      <c r="OVR258" s="609"/>
      <c r="OVS258" s="609"/>
      <c r="OVT258" s="609"/>
      <c r="OVU258" s="609"/>
      <c r="OVV258" s="609"/>
      <c r="OVW258" s="609"/>
      <c r="OVX258" s="609"/>
      <c r="OVY258" s="609"/>
      <c r="OVZ258" s="609"/>
      <c r="OWA258" s="609"/>
      <c r="OWB258" s="609"/>
      <c r="OWC258" s="609"/>
      <c r="OWD258" s="609"/>
      <c r="OWE258" s="609"/>
      <c r="OWF258" s="609"/>
      <c r="OWG258" s="609"/>
      <c r="OWH258" s="609"/>
      <c r="OWI258" s="609"/>
      <c r="OWJ258" s="609"/>
      <c r="OWK258" s="609"/>
      <c r="OWL258" s="609"/>
      <c r="OWM258" s="609"/>
      <c r="OWN258" s="609"/>
      <c r="OWO258" s="609"/>
      <c r="OWP258" s="609"/>
      <c r="OWQ258" s="609"/>
      <c r="OWR258" s="609"/>
      <c r="OWS258" s="609"/>
      <c r="OWT258" s="609"/>
      <c r="OWU258" s="609"/>
      <c r="OWV258" s="609"/>
      <c r="OWW258" s="609"/>
      <c r="OWX258" s="609"/>
      <c r="OWY258" s="609"/>
      <c r="OWZ258" s="609"/>
      <c r="OXA258" s="609"/>
      <c r="OXB258" s="609"/>
      <c r="OXC258" s="609"/>
      <c r="OXD258" s="609"/>
      <c r="OXE258" s="609"/>
      <c r="OXF258" s="609"/>
      <c r="OXG258" s="609"/>
      <c r="OXH258" s="609"/>
      <c r="OXI258" s="609"/>
      <c r="OXJ258" s="609"/>
      <c r="OXK258" s="609"/>
      <c r="OXL258" s="609"/>
      <c r="OXM258" s="609"/>
      <c r="OXN258" s="609"/>
      <c r="OXO258" s="609"/>
      <c r="OXP258" s="609"/>
      <c r="OXQ258" s="609"/>
      <c r="OXR258" s="609"/>
      <c r="OXS258" s="609"/>
      <c r="OXT258" s="609"/>
      <c r="OXU258" s="609"/>
      <c r="OXV258" s="609"/>
      <c r="OXW258" s="609"/>
      <c r="OXX258" s="609"/>
      <c r="OXY258" s="609"/>
      <c r="OXZ258" s="609"/>
      <c r="OYA258" s="609"/>
      <c r="OYB258" s="609"/>
      <c r="OYC258" s="609"/>
      <c r="OYD258" s="609"/>
      <c r="OYE258" s="609"/>
      <c r="OYF258" s="609"/>
      <c r="OYG258" s="609"/>
      <c r="OYH258" s="609"/>
      <c r="OYI258" s="609"/>
      <c r="OYJ258" s="609"/>
      <c r="OYK258" s="609"/>
      <c r="OYL258" s="609"/>
      <c r="OYM258" s="609"/>
      <c r="OYN258" s="609"/>
      <c r="OYO258" s="609"/>
      <c r="OYP258" s="609"/>
      <c r="OYQ258" s="609"/>
      <c r="OYR258" s="609"/>
      <c r="OYS258" s="609"/>
      <c r="OYT258" s="609"/>
      <c r="OYU258" s="609"/>
      <c r="OYV258" s="609"/>
      <c r="OYW258" s="609"/>
      <c r="OYX258" s="609"/>
      <c r="OYY258" s="609"/>
      <c r="OYZ258" s="609"/>
      <c r="OZA258" s="609"/>
      <c r="OZB258" s="609"/>
      <c r="OZC258" s="609"/>
      <c r="OZD258" s="609"/>
      <c r="OZE258" s="609"/>
      <c r="OZF258" s="609"/>
      <c r="OZG258" s="609"/>
      <c r="OZH258" s="609"/>
      <c r="OZI258" s="609"/>
      <c r="OZJ258" s="609"/>
      <c r="OZK258" s="609"/>
      <c r="OZL258" s="609"/>
      <c r="OZM258" s="609"/>
      <c r="OZN258" s="609"/>
      <c r="OZO258" s="609"/>
      <c r="OZP258" s="609"/>
      <c r="OZQ258" s="609"/>
      <c r="OZR258" s="609"/>
      <c r="OZS258" s="609"/>
      <c r="OZT258" s="609"/>
      <c r="OZU258" s="609"/>
      <c r="OZV258" s="609"/>
      <c r="OZW258" s="609"/>
      <c r="OZX258" s="609"/>
      <c r="OZY258" s="609"/>
      <c r="OZZ258" s="609"/>
      <c r="PAA258" s="609"/>
      <c r="PAB258" s="609"/>
      <c r="PAC258" s="609"/>
      <c r="PAD258" s="609"/>
      <c r="PAE258" s="609"/>
      <c r="PAF258" s="609"/>
      <c r="PAG258" s="609"/>
      <c r="PAH258" s="609"/>
      <c r="PAI258" s="609"/>
      <c r="PAJ258" s="609"/>
      <c r="PAK258" s="609"/>
      <c r="PAL258" s="609"/>
      <c r="PAM258" s="609"/>
      <c r="PAN258" s="609"/>
      <c r="PAO258" s="609"/>
      <c r="PAP258" s="609"/>
      <c r="PAQ258" s="609"/>
      <c r="PAR258" s="609"/>
      <c r="PAS258" s="609"/>
      <c r="PAT258" s="609"/>
      <c r="PAU258" s="609"/>
      <c r="PAV258" s="609"/>
      <c r="PAW258" s="609"/>
      <c r="PAX258" s="609"/>
      <c r="PAY258" s="609"/>
      <c r="PAZ258" s="609"/>
      <c r="PBA258" s="609"/>
      <c r="PBB258" s="609"/>
      <c r="PBC258" s="609"/>
      <c r="PBD258" s="609"/>
      <c r="PBE258" s="609"/>
      <c r="PBF258" s="609"/>
      <c r="PBG258" s="609"/>
      <c r="PBH258" s="609"/>
      <c r="PBI258" s="609"/>
      <c r="PBJ258" s="609"/>
      <c r="PBK258" s="609"/>
      <c r="PBL258" s="609"/>
      <c r="PBM258" s="609"/>
      <c r="PBN258" s="609"/>
      <c r="PBO258" s="609"/>
      <c r="PBP258" s="609"/>
      <c r="PBQ258" s="609"/>
      <c r="PBR258" s="609"/>
      <c r="PBS258" s="609"/>
      <c r="PBT258" s="609"/>
      <c r="PBU258" s="609"/>
      <c r="PBV258" s="609"/>
      <c r="PBW258" s="609"/>
      <c r="PBX258" s="609"/>
      <c r="PBY258" s="609"/>
      <c r="PBZ258" s="609"/>
      <c r="PCA258" s="609"/>
      <c r="PCB258" s="609"/>
      <c r="PCC258" s="609"/>
      <c r="PCD258" s="609"/>
      <c r="PCE258" s="609"/>
      <c r="PCF258" s="609"/>
      <c r="PCG258" s="609"/>
      <c r="PCH258" s="609"/>
      <c r="PCI258" s="609"/>
      <c r="PCJ258" s="609"/>
      <c r="PCK258" s="609"/>
      <c r="PCL258" s="609"/>
      <c r="PCM258" s="609"/>
      <c r="PCN258" s="609"/>
      <c r="PCO258" s="609"/>
      <c r="PCP258" s="609"/>
      <c r="PCQ258" s="609"/>
      <c r="PCR258" s="609"/>
      <c r="PCS258" s="609"/>
      <c r="PCT258" s="609"/>
      <c r="PCU258" s="609"/>
      <c r="PCV258" s="609"/>
      <c r="PCW258" s="609"/>
      <c r="PCX258" s="609"/>
      <c r="PCY258" s="609"/>
      <c r="PCZ258" s="609"/>
      <c r="PDA258" s="609"/>
      <c r="PDB258" s="609"/>
      <c r="PDC258" s="609"/>
      <c r="PDD258" s="609"/>
      <c r="PDE258" s="609"/>
      <c r="PDF258" s="609"/>
      <c r="PDG258" s="609"/>
      <c r="PDH258" s="609"/>
      <c r="PDI258" s="609"/>
      <c r="PDJ258" s="609"/>
      <c r="PDK258" s="609"/>
      <c r="PDL258" s="609"/>
      <c r="PDM258" s="609"/>
      <c r="PDN258" s="609"/>
      <c r="PDO258" s="609"/>
      <c r="PDP258" s="609"/>
      <c r="PDQ258" s="609"/>
      <c r="PDR258" s="609"/>
      <c r="PDS258" s="609"/>
      <c r="PDT258" s="609"/>
      <c r="PDU258" s="609"/>
      <c r="PDV258" s="609"/>
      <c r="PDW258" s="609"/>
      <c r="PDX258" s="609"/>
      <c r="PDY258" s="609"/>
      <c r="PDZ258" s="609"/>
      <c r="PEA258" s="609"/>
      <c r="PEB258" s="609"/>
      <c r="PEC258" s="609"/>
      <c r="PED258" s="609"/>
      <c r="PEE258" s="609"/>
      <c r="PEF258" s="609"/>
      <c r="PEG258" s="609"/>
      <c r="PEH258" s="609"/>
      <c r="PEI258" s="609"/>
      <c r="PEJ258" s="609"/>
      <c r="PEK258" s="609"/>
      <c r="PEL258" s="609"/>
      <c r="PEM258" s="609"/>
      <c r="PEN258" s="609"/>
      <c r="PEO258" s="609"/>
      <c r="PEP258" s="609"/>
      <c r="PEQ258" s="609"/>
      <c r="PER258" s="609"/>
      <c r="PES258" s="609"/>
      <c r="PET258" s="609"/>
      <c r="PEU258" s="609"/>
      <c r="PEV258" s="609"/>
      <c r="PEW258" s="609"/>
      <c r="PEX258" s="609"/>
      <c r="PEY258" s="609"/>
      <c r="PEZ258" s="609"/>
      <c r="PFA258" s="609"/>
      <c r="PFB258" s="609"/>
      <c r="PFC258" s="609"/>
      <c r="PFD258" s="609"/>
      <c r="PFE258" s="609"/>
      <c r="PFF258" s="609"/>
      <c r="PFG258" s="609"/>
      <c r="PFH258" s="609"/>
      <c r="PFI258" s="609"/>
      <c r="PFJ258" s="609"/>
      <c r="PFK258" s="609"/>
      <c r="PFL258" s="609"/>
      <c r="PFM258" s="609"/>
      <c r="PFN258" s="609"/>
      <c r="PFO258" s="609"/>
      <c r="PFP258" s="609"/>
      <c r="PFQ258" s="609"/>
      <c r="PFR258" s="609"/>
      <c r="PFS258" s="609"/>
      <c r="PFT258" s="609"/>
      <c r="PFU258" s="609"/>
      <c r="PFV258" s="609"/>
      <c r="PFW258" s="609"/>
      <c r="PFX258" s="609"/>
      <c r="PFY258" s="609"/>
      <c r="PFZ258" s="609"/>
      <c r="PGA258" s="609"/>
      <c r="PGB258" s="609"/>
      <c r="PGC258" s="609"/>
      <c r="PGD258" s="609"/>
      <c r="PGE258" s="609"/>
      <c r="PGF258" s="609"/>
      <c r="PGG258" s="609"/>
      <c r="PGH258" s="609"/>
      <c r="PGI258" s="609"/>
      <c r="PGJ258" s="609"/>
      <c r="PGK258" s="609"/>
      <c r="PGL258" s="609"/>
      <c r="PGM258" s="609"/>
      <c r="PGN258" s="609"/>
      <c r="PGO258" s="609"/>
      <c r="PGP258" s="609"/>
      <c r="PGQ258" s="609"/>
      <c r="PGR258" s="609"/>
      <c r="PGS258" s="609"/>
      <c r="PGT258" s="609"/>
      <c r="PGU258" s="609"/>
      <c r="PGV258" s="609"/>
      <c r="PGW258" s="609"/>
      <c r="PGX258" s="609"/>
      <c r="PGY258" s="609"/>
      <c r="PGZ258" s="609"/>
      <c r="PHA258" s="609"/>
      <c r="PHB258" s="609"/>
      <c r="PHC258" s="609"/>
      <c r="PHD258" s="609"/>
      <c r="PHE258" s="609"/>
      <c r="PHF258" s="609"/>
      <c r="PHG258" s="609"/>
      <c r="PHH258" s="609"/>
      <c r="PHI258" s="609"/>
      <c r="PHJ258" s="609"/>
      <c r="PHK258" s="609"/>
      <c r="PHL258" s="609"/>
      <c r="PHM258" s="609"/>
      <c r="PHN258" s="609"/>
      <c r="PHO258" s="609"/>
      <c r="PHP258" s="609"/>
      <c r="PHQ258" s="609"/>
      <c r="PHR258" s="609"/>
      <c r="PHS258" s="609"/>
      <c r="PHT258" s="609"/>
      <c r="PHU258" s="609"/>
      <c r="PHV258" s="609"/>
      <c r="PHW258" s="609"/>
      <c r="PHX258" s="609"/>
      <c r="PHY258" s="609"/>
      <c r="PHZ258" s="609"/>
      <c r="PIA258" s="609"/>
      <c r="PIB258" s="609"/>
      <c r="PIC258" s="609"/>
      <c r="PID258" s="609"/>
      <c r="PIE258" s="609"/>
      <c r="PIF258" s="609"/>
      <c r="PIG258" s="609"/>
      <c r="PIH258" s="609"/>
      <c r="PII258" s="609"/>
      <c r="PIJ258" s="609"/>
      <c r="PIK258" s="609"/>
      <c r="PIL258" s="609"/>
      <c r="PIM258" s="609"/>
      <c r="PIN258" s="609"/>
      <c r="PIO258" s="609"/>
      <c r="PIP258" s="609"/>
      <c r="PIQ258" s="609"/>
      <c r="PIR258" s="609"/>
      <c r="PIS258" s="609"/>
      <c r="PIT258" s="609"/>
      <c r="PIU258" s="609"/>
      <c r="PIV258" s="609"/>
      <c r="PIW258" s="609"/>
      <c r="PIX258" s="609"/>
      <c r="PIY258" s="609"/>
      <c r="PIZ258" s="609"/>
      <c r="PJA258" s="609"/>
      <c r="PJB258" s="609"/>
      <c r="PJC258" s="609"/>
      <c r="PJD258" s="609"/>
      <c r="PJE258" s="609"/>
      <c r="PJF258" s="609"/>
      <c r="PJG258" s="609"/>
      <c r="PJH258" s="609"/>
      <c r="PJI258" s="609"/>
      <c r="PJJ258" s="609"/>
      <c r="PJK258" s="609"/>
      <c r="PJL258" s="609"/>
      <c r="PJM258" s="609"/>
      <c r="PJN258" s="609"/>
      <c r="PJO258" s="609"/>
      <c r="PJP258" s="609"/>
      <c r="PJQ258" s="609"/>
      <c r="PJR258" s="609"/>
      <c r="PJS258" s="609"/>
      <c r="PJT258" s="609"/>
      <c r="PJU258" s="609"/>
      <c r="PJV258" s="609"/>
      <c r="PJW258" s="609"/>
      <c r="PJX258" s="609"/>
      <c r="PJY258" s="609"/>
      <c r="PJZ258" s="609"/>
      <c r="PKA258" s="609"/>
      <c r="PKB258" s="609"/>
      <c r="PKC258" s="609"/>
      <c r="PKD258" s="609"/>
      <c r="PKE258" s="609"/>
      <c r="PKF258" s="609"/>
      <c r="PKG258" s="609"/>
      <c r="PKH258" s="609"/>
      <c r="PKI258" s="609"/>
      <c r="PKJ258" s="609"/>
      <c r="PKK258" s="609"/>
      <c r="PKL258" s="609"/>
      <c r="PKM258" s="609"/>
      <c r="PKN258" s="609"/>
      <c r="PKO258" s="609"/>
      <c r="PKP258" s="609"/>
      <c r="PKQ258" s="609"/>
      <c r="PKR258" s="609"/>
      <c r="PKS258" s="609"/>
      <c r="PKT258" s="609"/>
      <c r="PKU258" s="609"/>
      <c r="PKV258" s="609"/>
      <c r="PKW258" s="609"/>
      <c r="PKX258" s="609"/>
      <c r="PKY258" s="609"/>
      <c r="PKZ258" s="609"/>
      <c r="PLA258" s="609"/>
      <c r="PLB258" s="609"/>
      <c r="PLC258" s="609"/>
      <c r="PLD258" s="609"/>
      <c r="PLE258" s="609"/>
      <c r="PLF258" s="609"/>
      <c r="PLG258" s="609"/>
      <c r="PLH258" s="609"/>
      <c r="PLI258" s="609"/>
      <c r="PLJ258" s="609"/>
      <c r="PLK258" s="609"/>
      <c r="PLL258" s="609"/>
      <c r="PLM258" s="609"/>
      <c r="PLN258" s="609"/>
      <c r="PLO258" s="609"/>
      <c r="PLP258" s="609"/>
      <c r="PLQ258" s="609"/>
      <c r="PLR258" s="609"/>
      <c r="PLS258" s="609"/>
      <c r="PLT258" s="609"/>
      <c r="PLU258" s="609"/>
      <c r="PLV258" s="609"/>
      <c r="PLW258" s="609"/>
      <c r="PLX258" s="609"/>
      <c r="PLY258" s="609"/>
      <c r="PLZ258" s="609"/>
      <c r="PMA258" s="609"/>
      <c r="PMB258" s="609"/>
      <c r="PMC258" s="609"/>
      <c r="PMD258" s="609"/>
      <c r="PME258" s="609"/>
      <c r="PMF258" s="609"/>
      <c r="PMG258" s="609"/>
      <c r="PMH258" s="609"/>
      <c r="PMI258" s="609"/>
      <c r="PMJ258" s="609"/>
      <c r="PMK258" s="609"/>
      <c r="PML258" s="609"/>
      <c r="PMM258" s="609"/>
      <c r="PMN258" s="609"/>
      <c r="PMO258" s="609"/>
      <c r="PMP258" s="609"/>
      <c r="PMQ258" s="609"/>
      <c r="PMR258" s="609"/>
      <c r="PMS258" s="609"/>
      <c r="PMT258" s="609"/>
      <c r="PMU258" s="609"/>
      <c r="PMV258" s="609"/>
      <c r="PMW258" s="609"/>
      <c r="PMX258" s="609"/>
      <c r="PMY258" s="609"/>
      <c r="PMZ258" s="609"/>
      <c r="PNA258" s="609"/>
      <c r="PNB258" s="609"/>
      <c r="PNC258" s="609"/>
      <c r="PND258" s="609"/>
      <c r="PNE258" s="609"/>
      <c r="PNF258" s="609"/>
      <c r="PNG258" s="609"/>
      <c r="PNH258" s="609"/>
      <c r="PNI258" s="609"/>
      <c r="PNJ258" s="609"/>
      <c r="PNK258" s="609"/>
      <c r="PNL258" s="609"/>
      <c r="PNM258" s="609"/>
      <c r="PNN258" s="609"/>
      <c r="PNO258" s="609"/>
      <c r="PNP258" s="609"/>
      <c r="PNQ258" s="609"/>
      <c r="PNR258" s="609"/>
      <c r="PNS258" s="609"/>
      <c r="PNT258" s="609"/>
      <c r="PNU258" s="609"/>
      <c r="PNV258" s="609"/>
      <c r="PNW258" s="609"/>
      <c r="PNX258" s="609"/>
      <c r="PNY258" s="609"/>
      <c r="PNZ258" s="609"/>
      <c r="POA258" s="609"/>
      <c r="POB258" s="609"/>
      <c r="POC258" s="609"/>
      <c r="POD258" s="609"/>
      <c r="POE258" s="609"/>
      <c r="POF258" s="609"/>
      <c r="POG258" s="609"/>
      <c r="POH258" s="609"/>
      <c r="POI258" s="609"/>
      <c r="POJ258" s="609"/>
      <c r="POK258" s="609"/>
      <c r="POL258" s="609"/>
      <c r="POM258" s="609"/>
      <c r="PON258" s="609"/>
      <c r="POO258" s="609"/>
      <c r="POP258" s="609"/>
      <c r="POQ258" s="609"/>
      <c r="POR258" s="609"/>
      <c r="POS258" s="609"/>
      <c r="POT258" s="609"/>
      <c r="POU258" s="609"/>
      <c r="POV258" s="609"/>
      <c r="POW258" s="609"/>
      <c r="POX258" s="609"/>
      <c r="POY258" s="609"/>
      <c r="POZ258" s="609"/>
      <c r="PPA258" s="609"/>
      <c r="PPB258" s="609"/>
      <c r="PPC258" s="609"/>
      <c r="PPD258" s="609"/>
      <c r="PPE258" s="609"/>
      <c r="PPF258" s="609"/>
      <c r="PPG258" s="609"/>
      <c r="PPH258" s="609"/>
      <c r="PPI258" s="609"/>
      <c r="PPJ258" s="609"/>
      <c r="PPK258" s="609"/>
      <c r="PPL258" s="609"/>
      <c r="PPM258" s="609"/>
      <c r="PPN258" s="609"/>
      <c r="PPO258" s="609"/>
      <c r="PPP258" s="609"/>
      <c r="PPQ258" s="609"/>
      <c r="PPR258" s="609"/>
      <c r="PPS258" s="609"/>
      <c r="PPT258" s="609"/>
      <c r="PPU258" s="609"/>
      <c r="PPV258" s="609"/>
      <c r="PPW258" s="609"/>
      <c r="PPX258" s="609"/>
      <c r="PPY258" s="609"/>
      <c r="PPZ258" s="609"/>
      <c r="PQA258" s="609"/>
      <c r="PQB258" s="609"/>
      <c r="PQC258" s="609"/>
      <c r="PQD258" s="609"/>
      <c r="PQE258" s="609"/>
      <c r="PQF258" s="609"/>
      <c r="PQG258" s="609"/>
      <c r="PQH258" s="609"/>
      <c r="PQI258" s="609"/>
      <c r="PQJ258" s="609"/>
      <c r="PQK258" s="609"/>
      <c r="PQL258" s="609"/>
      <c r="PQM258" s="609"/>
      <c r="PQN258" s="609"/>
      <c r="PQO258" s="609"/>
      <c r="PQP258" s="609"/>
      <c r="PQQ258" s="609"/>
      <c r="PQR258" s="609"/>
      <c r="PQS258" s="609"/>
      <c r="PQT258" s="609"/>
      <c r="PQU258" s="609"/>
      <c r="PQV258" s="609"/>
      <c r="PQW258" s="609"/>
      <c r="PQX258" s="609"/>
      <c r="PQY258" s="609"/>
      <c r="PQZ258" s="609"/>
      <c r="PRA258" s="609"/>
      <c r="PRB258" s="609"/>
      <c r="PRC258" s="609"/>
      <c r="PRD258" s="609"/>
      <c r="PRE258" s="609"/>
      <c r="PRF258" s="609"/>
      <c r="PRG258" s="609"/>
      <c r="PRH258" s="609"/>
      <c r="PRI258" s="609"/>
      <c r="PRJ258" s="609"/>
      <c r="PRK258" s="609"/>
      <c r="PRL258" s="609"/>
      <c r="PRM258" s="609"/>
      <c r="PRN258" s="609"/>
      <c r="PRO258" s="609"/>
      <c r="PRP258" s="609"/>
      <c r="PRQ258" s="609"/>
      <c r="PRR258" s="609"/>
      <c r="PRS258" s="609"/>
      <c r="PRT258" s="609"/>
      <c r="PRU258" s="609"/>
      <c r="PRV258" s="609"/>
      <c r="PRW258" s="609"/>
      <c r="PRX258" s="609"/>
      <c r="PRY258" s="609"/>
      <c r="PRZ258" s="609"/>
      <c r="PSA258" s="609"/>
      <c r="PSB258" s="609"/>
      <c r="PSC258" s="609"/>
      <c r="PSD258" s="609"/>
      <c r="PSE258" s="609"/>
      <c r="PSF258" s="609"/>
      <c r="PSG258" s="609"/>
      <c r="PSH258" s="609"/>
      <c r="PSI258" s="609"/>
      <c r="PSJ258" s="609"/>
      <c r="PSK258" s="609"/>
      <c r="PSL258" s="609"/>
      <c r="PSM258" s="609"/>
      <c r="PSN258" s="609"/>
      <c r="PSO258" s="609"/>
      <c r="PSP258" s="609"/>
      <c r="PSQ258" s="609"/>
      <c r="PSR258" s="609"/>
      <c r="PSS258" s="609"/>
      <c r="PST258" s="609"/>
      <c r="PSU258" s="609"/>
      <c r="PSV258" s="609"/>
      <c r="PSW258" s="609"/>
      <c r="PSX258" s="609"/>
      <c r="PSY258" s="609"/>
      <c r="PSZ258" s="609"/>
      <c r="PTA258" s="609"/>
      <c r="PTB258" s="609"/>
      <c r="PTC258" s="609"/>
      <c r="PTD258" s="609"/>
      <c r="PTE258" s="609"/>
      <c r="PTF258" s="609"/>
      <c r="PTG258" s="609"/>
      <c r="PTH258" s="609"/>
      <c r="PTI258" s="609"/>
      <c r="PTJ258" s="609"/>
      <c r="PTK258" s="609"/>
      <c r="PTL258" s="609"/>
      <c r="PTM258" s="609"/>
      <c r="PTN258" s="609"/>
      <c r="PTO258" s="609"/>
      <c r="PTP258" s="609"/>
      <c r="PTQ258" s="609"/>
      <c r="PTR258" s="609"/>
      <c r="PTS258" s="609"/>
      <c r="PTT258" s="609"/>
      <c r="PTU258" s="609"/>
      <c r="PTV258" s="609"/>
      <c r="PTW258" s="609"/>
      <c r="PTX258" s="609"/>
      <c r="PTY258" s="609"/>
      <c r="PTZ258" s="609"/>
      <c r="PUA258" s="609"/>
      <c r="PUB258" s="609"/>
      <c r="PUC258" s="609"/>
      <c r="PUD258" s="609"/>
      <c r="PUE258" s="609"/>
      <c r="PUF258" s="609"/>
      <c r="PUG258" s="609"/>
      <c r="PUH258" s="609"/>
      <c r="PUI258" s="609"/>
      <c r="PUJ258" s="609"/>
      <c r="PUK258" s="609"/>
      <c r="PUL258" s="609"/>
      <c r="PUM258" s="609"/>
      <c r="PUN258" s="609"/>
      <c r="PUO258" s="609"/>
      <c r="PUP258" s="609"/>
      <c r="PUQ258" s="609"/>
      <c r="PUR258" s="609"/>
      <c r="PUS258" s="609"/>
      <c r="PUT258" s="609"/>
      <c r="PUU258" s="609"/>
      <c r="PUV258" s="609"/>
      <c r="PUW258" s="609"/>
      <c r="PUX258" s="609"/>
      <c r="PUY258" s="609"/>
      <c r="PUZ258" s="609"/>
      <c r="PVA258" s="609"/>
      <c r="PVB258" s="609"/>
      <c r="PVC258" s="609"/>
      <c r="PVD258" s="609"/>
      <c r="PVE258" s="609"/>
      <c r="PVF258" s="609"/>
      <c r="PVG258" s="609"/>
      <c r="PVH258" s="609"/>
      <c r="PVI258" s="609"/>
      <c r="PVJ258" s="609"/>
      <c r="PVK258" s="609"/>
      <c r="PVL258" s="609"/>
      <c r="PVM258" s="609"/>
      <c r="PVN258" s="609"/>
      <c r="PVO258" s="609"/>
      <c r="PVP258" s="609"/>
      <c r="PVQ258" s="609"/>
      <c r="PVR258" s="609"/>
      <c r="PVS258" s="609"/>
      <c r="PVT258" s="609"/>
      <c r="PVU258" s="609"/>
      <c r="PVV258" s="609"/>
      <c r="PVW258" s="609"/>
      <c r="PVX258" s="609"/>
      <c r="PVY258" s="609"/>
      <c r="PVZ258" s="609"/>
      <c r="PWA258" s="609"/>
      <c r="PWB258" s="609"/>
      <c r="PWC258" s="609"/>
      <c r="PWD258" s="609"/>
      <c r="PWE258" s="609"/>
      <c r="PWF258" s="609"/>
      <c r="PWG258" s="609"/>
      <c r="PWH258" s="609"/>
      <c r="PWI258" s="609"/>
      <c r="PWJ258" s="609"/>
      <c r="PWK258" s="609"/>
      <c r="PWL258" s="609"/>
      <c r="PWM258" s="609"/>
      <c r="PWN258" s="609"/>
      <c r="PWO258" s="609"/>
      <c r="PWP258" s="609"/>
      <c r="PWQ258" s="609"/>
      <c r="PWR258" s="609"/>
      <c r="PWS258" s="609"/>
      <c r="PWT258" s="609"/>
      <c r="PWU258" s="609"/>
      <c r="PWV258" s="609"/>
      <c r="PWW258" s="609"/>
      <c r="PWX258" s="609"/>
      <c r="PWY258" s="609"/>
      <c r="PWZ258" s="609"/>
      <c r="PXA258" s="609"/>
      <c r="PXB258" s="609"/>
      <c r="PXC258" s="609"/>
      <c r="PXD258" s="609"/>
      <c r="PXE258" s="609"/>
      <c r="PXF258" s="609"/>
      <c r="PXG258" s="609"/>
      <c r="PXH258" s="609"/>
      <c r="PXI258" s="609"/>
      <c r="PXJ258" s="609"/>
      <c r="PXK258" s="609"/>
      <c r="PXL258" s="609"/>
      <c r="PXM258" s="609"/>
      <c r="PXN258" s="609"/>
      <c r="PXO258" s="609"/>
      <c r="PXP258" s="609"/>
      <c r="PXQ258" s="609"/>
      <c r="PXR258" s="609"/>
      <c r="PXS258" s="609"/>
      <c r="PXT258" s="609"/>
      <c r="PXU258" s="609"/>
      <c r="PXV258" s="609"/>
      <c r="PXW258" s="609"/>
      <c r="PXX258" s="609"/>
      <c r="PXY258" s="609"/>
      <c r="PXZ258" s="609"/>
      <c r="PYA258" s="609"/>
      <c r="PYB258" s="609"/>
      <c r="PYC258" s="609"/>
      <c r="PYD258" s="609"/>
      <c r="PYE258" s="609"/>
      <c r="PYF258" s="609"/>
      <c r="PYG258" s="609"/>
      <c r="PYH258" s="609"/>
      <c r="PYI258" s="609"/>
      <c r="PYJ258" s="609"/>
      <c r="PYK258" s="609"/>
      <c r="PYL258" s="609"/>
      <c r="PYM258" s="609"/>
      <c r="PYN258" s="609"/>
      <c r="PYO258" s="609"/>
      <c r="PYP258" s="609"/>
      <c r="PYQ258" s="609"/>
      <c r="PYR258" s="609"/>
      <c r="PYS258" s="609"/>
      <c r="PYT258" s="609"/>
      <c r="PYU258" s="609"/>
      <c r="PYV258" s="609"/>
      <c r="PYW258" s="609"/>
      <c r="PYX258" s="609"/>
      <c r="PYY258" s="609"/>
      <c r="PYZ258" s="609"/>
      <c r="PZA258" s="609"/>
      <c r="PZB258" s="609"/>
      <c r="PZC258" s="609"/>
      <c r="PZD258" s="609"/>
      <c r="PZE258" s="609"/>
      <c r="PZF258" s="609"/>
      <c r="PZG258" s="609"/>
      <c r="PZH258" s="609"/>
      <c r="PZI258" s="609"/>
      <c r="PZJ258" s="609"/>
      <c r="PZK258" s="609"/>
      <c r="PZL258" s="609"/>
      <c r="PZM258" s="609"/>
      <c r="PZN258" s="609"/>
      <c r="PZO258" s="609"/>
      <c r="PZP258" s="609"/>
      <c r="PZQ258" s="609"/>
      <c r="PZR258" s="609"/>
      <c r="PZS258" s="609"/>
      <c r="PZT258" s="609"/>
      <c r="PZU258" s="609"/>
      <c r="PZV258" s="609"/>
      <c r="PZW258" s="609"/>
      <c r="PZX258" s="609"/>
      <c r="PZY258" s="609"/>
      <c r="PZZ258" s="609"/>
      <c r="QAA258" s="609"/>
      <c r="QAB258" s="609"/>
      <c r="QAC258" s="609"/>
      <c r="QAD258" s="609"/>
      <c r="QAE258" s="609"/>
      <c r="QAF258" s="609"/>
      <c r="QAG258" s="609"/>
      <c r="QAH258" s="609"/>
      <c r="QAI258" s="609"/>
      <c r="QAJ258" s="609"/>
      <c r="QAK258" s="609"/>
      <c r="QAL258" s="609"/>
      <c r="QAM258" s="609"/>
      <c r="QAN258" s="609"/>
      <c r="QAO258" s="609"/>
      <c r="QAP258" s="609"/>
      <c r="QAQ258" s="609"/>
      <c r="QAR258" s="609"/>
      <c r="QAS258" s="609"/>
      <c r="QAT258" s="609"/>
      <c r="QAU258" s="609"/>
      <c r="QAV258" s="609"/>
      <c r="QAW258" s="609"/>
      <c r="QAX258" s="609"/>
      <c r="QAY258" s="609"/>
      <c r="QAZ258" s="609"/>
      <c r="QBA258" s="609"/>
      <c r="QBB258" s="609"/>
      <c r="QBC258" s="609"/>
      <c r="QBD258" s="609"/>
      <c r="QBE258" s="609"/>
      <c r="QBF258" s="609"/>
      <c r="QBG258" s="609"/>
      <c r="QBH258" s="609"/>
      <c r="QBI258" s="609"/>
      <c r="QBJ258" s="609"/>
      <c r="QBK258" s="609"/>
      <c r="QBL258" s="609"/>
      <c r="QBM258" s="609"/>
      <c r="QBN258" s="609"/>
      <c r="QBO258" s="609"/>
      <c r="QBP258" s="609"/>
      <c r="QBQ258" s="609"/>
      <c r="QBR258" s="609"/>
      <c r="QBS258" s="609"/>
      <c r="QBT258" s="609"/>
      <c r="QBU258" s="609"/>
      <c r="QBV258" s="609"/>
      <c r="QBW258" s="609"/>
      <c r="QBX258" s="609"/>
      <c r="QBY258" s="609"/>
      <c r="QBZ258" s="609"/>
      <c r="QCA258" s="609"/>
      <c r="QCB258" s="609"/>
      <c r="QCC258" s="609"/>
      <c r="QCD258" s="609"/>
      <c r="QCE258" s="609"/>
      <c r="QCF258" s="609"/>
      <c r="QCG258" s="609"/>
      <c r="QCH258" s="609"/>
      <c r="QCI258" s="609"/>
      <c r="QCJ258" s="609"/>
      <c r="QCK258" s="609"/>
      <c r="QCL258" s="609"/>
      <c r="QCM258" s="609"/>
      <c r="QCN258" s="609"/>
      <c r="QCO258" s="609"/>
      <c r="QCP258" s="609"/>
      <c r="QCQ258" s="609"/>
      <c r="QCR258" s="609"/>
      <c r="QCS258" s="609"/>
      <c r="QCT258" s="609"/>
      <c r="QCU258" s="609"/>
      <c r="QCV258" s="609"/>
      <c r="QCW258" s="609"/>
      <c r="QCX258" s="609"/>
      <c r="QCY258" s="609"/>
      <c r="QCZ258" s="609"/>
      <c r="QDA258" s="609"/>
      <c r="QDB258" s="609"/>
      <c r="QDC258" s="609"/>
      <c r="QDD258" s="609"/>
      <c r="QDE258" s="609"/>
      <c r="QDF258" s="609"/>
      <c r="QDG258" s="609"/>
      <c r="QDH258" s="609"/>
      <c r="QDI258" s="609"/>
      <c r="QDJ258" s="609"/>
      <c r="QDK258" s="609"/>
      <c r="QDL258" s="609"/>
      <c r="QDM258" s="609"/>
      <c r="QDN258" s="609"/>
      <c r="QDO258" s="609"/>
      <c r="QDP258" s="609"/>
      <c r="QDQ258" s="609"/>
      <c r="QDR258" s="609"/>
      <c r="QDS258" s="609"/>
      <c r="QDT258" s="609"/>
      <c r="QDU258" s="609"/>
      <c r="QDV258" s="609"/>
      <c r="QDW258" s="609"/>
      <c r="QDX258" s="609"/>
      <c r="QDY258" s="609"/>
      <c r="QDZ258" s="609"/>
      <c r="QEA258" s="609"/>
      <c r="QEB258" s="609"/>
      <c r="QEC258" s="609"/>
      <c r="QED258" s="609"/>
      <c r="QEE258" s="609"/>
      <c r="QEF258" s="609"/>
      <c r="QEG258" s="609"/>
      <c r="QEH258" s="609"/>
      <c r="QEI258" s="609"/>
      <c r="QEJ258" s="609"/>
      <c r="QEK258" s="609"/>
      <c r="QEL258" s="609"/>
      <c r="QEM258" s="609"/>
      <c r="QEN258" s="609"/>
      <c r="QEO258" s="609"/>
      <c r="QEP258" s="609"/>
      <c r="QEQ258" s="609"/>
      <c r="QER258" s="609"/>
      <c r="QES258" s="609"/>
      <c r="QET258" s="609"/>
      <c r="QEU258" s="609"/>
      <c r="QEV258" s="609"/>
      <c r="QEW258" s="609"/>
      <c r="QEX258" s="609"/>
      <c r="QEY258" s="609"/>
      <c r="QEZ258" s="609"/>
      <c r="QFA258" s="609"/>
      <c r="QFB258" s="609"/>
      <c r="QFC258" s="609"/>
      <c r="QFD258" s="609"/>
      <c r="QFE258" s="609"/>
      <c r="QFF258" s="609"/>
      <c r="QFG258" s="609"/>
      <c r="QFH258" s="609"/>
      <c r="QFI258" s="609"/>
      <c r="QFJ258" s="609"/>
      <c r="QFK258" s="609"/>
      <c r="QFL258" s="609"/>
      <c r="QFM258" s="609"/>
      <c r="QFN258" s="609"/>
      <c r="QFO258" s="609"/>
      <c r="QFP258" s="609"/>
      <c r="QFQ258" s="609"/>
      <c r="QFR258" s="609"/>
      <c r="QFS258" s="609"/>
      <c r="QFT258" s="609"/>
      <c r="QFU258" s="609"/>
      <c r="QFV258" s="609"/>
      <c r="QFW258" s="609"/>
      <c r="QFX258" s="609"/>
      <c r="QFY258" s="609"/>
      <c r="QFZ258" s="609"/>
      <c r="QGA258" s="609"/>
      <c r="QGB258" s="609"/>
      <c r="QGC258" s="609"/>
      <c r="QGD258" s="609"/>
      <c r="QGE258" s="609"/>
      <c r="QGF258" s="609"/>
      <c r="QGG258" s="609"/>
      <c r="QGH258" s="609"/>
      <c r="QGI258" s="609"/>
      <c r="QGJ258" s="609"/>
      <c r="QGK258" s="609"/>
      <c r="QGL258" s="609"/>
      <c r="QGM258" s="609"/>
      <c r="QGN258" s="609"/>
      <c r="QGO258" s="609"/>
      <c r="QGP258" s="609"/>
      <c r="QGQ258" s="609"/>
      <c r="QGR258" s="609"/>
      <c r="QGS258" s="609"/>
      <c r="QGT258" s="609"/>
      <c r="QGU258" s="609"/>
      <c r="QGV258" s="609"/>
      <c r="QGW258" s="609"/>
      <c r="QGX258" s="609"/>
      <c r="QGY258" s="609"/>
      <c r="QGZ258" s="609"/>
      <c r="QHA258" s="609"/>
      <c r="QHB258" s="609"/>
      <c r="QHC258" s="609"/>
      <c r="QHD258" s="609"/>
      <c r="QHE258" s="609"/>
      <c r="QHF258" s="609"/>
      <c r="QHG258" s="609"/>
      <c r="QHH258" s="609"/>
      <c r="QHI258" s="609"/>
      <c r="QHJ258" s="609"/>
      <c r="QHK258" s="609"/>
      <c r="QHL258" s="609"/>
      <c r="QHM258" s="609"/>
      <c r="QHN258" s="609"/>
      <c r="QHO258" s="609"/>
      <c r="QHP258" s="609"/>
      <c r="QHQ258" s="609"/>
      <c r="QHR258" s="609"/>
      <c r="QHS258" s="609"/>
      <c r="QHT258" s="609"/>
      <c r="QHU258" s="609"/>
      <c r="QHV258" s="609"/>
      <c r="QHW258" s="609"/>
      <c r="QHX258" s="609"/>
      <c r="QHY258" s="609"/>
      <c r="QHZ258" s="609"/>
      <c r="QIA258" s="609"/>
      <c r="QIB258" s="609"/>
      <c r="QIC258" s="609"/>
      <c r="QID258" s="609"/>
      <c r="QIE258" s="609"/>
      <c r="QIF258" s="609"/>
      <c r="QIG258" s="609"/>
      <c r="QIH258" s="609"/>
      <c r="QII258" s="609"/>
      <c r="QIJ258" s="609"/>
      <c r="QIK258" s="609"/>
      <c r="QIL258" s="609"/>
      <c r="QIM258" s="609"/>
      <c r="QIN258" s="609"/>
      <c r="QIO258" s="609"/>
      <c r="QIP258" s="609"/>
      <c r="QIQ258" s="609"/>
      <c r="QIR258" s="609"/>
      <c r="QIS258" s="609"/>
      <c r="QIT258" s="609"/>
      <c r="QIU258" s="609"/>
      <c r="QIV258" s="609"/>
      <c r="QIW258" s="609"/>
      <c r="QIX258" s="609"/>
      <c r="QIY258" s="609"/>
      <c r="QIZ258" s="609"/>
      <c r="QJA258" s="609"/>
      <c r="QJB258" s="609"/>
      <c r="QJC258" s="609"/>
      <c r="QJD258" s="609"/>
      <c r="QJE258" s="609"/>
      <c r="QJF258" s="609"/>
      <c r="QJG258" s="609"/>
      <c r="QJH258" s="609"/>
      <c r="QJI258" s="609"/>
      <c r="QJJ258" s="609"/>
      <c r="QJK258" s="609"/>
      <c r="QJL258" s="609"/>
      <c r="QJM258" s="609"/>
      <c r="QJN258" s="609"/>
      <c r="QJO258" s="609"/>
      <c r="QJP258" s="609"/>
      <c r="QJQ258" s="609"/>
      <c r="QJR258" s="609"/>
      <c r="QJS258" s="609"/>
      <c r="QJT258" s="609"/>
      <c r="QJU258" s="609"/>
      <c r="QJV258" s="609"/>
      <c r="QJW258" s="609"/>
      <c r="QJX258" s="609"/>
      <c r="QJY258" s="609"/>
      <c r="QJZ258" s="609"/>
      <c r="QKA258" s="609"/>
      <c r="QKB258" s="609"/>
      <c r="QKC258" s="609"/>
      <c r="QKD258" s="609"/>
      <c r="QKE258" s="609"/>
      <c r="QKF258" s="609"/>
      <c r="QKG258" s="609"/>
      <c r="QKH258" s="609"/>
      <c r="QKI258" s="609"/>
      <c r="QKJ258" s="609"/>
      <c r="QKK258" s="609"/>
      <c r="QKL258" s="609"/>
      <c r="QKM258" s="609"/>
      <c r="QKN258" s="609"/>
      <c r="QKO258" s="609"/>
      <c r="QKP258" s="609"/>
      <c r="QKQ258" s="609"/>
      <c r="QKR258" s="609"/>
      <c r="QKS258" s="609"/>
      <c r="QKT258" s="609"/>
      <c r="QKU258" s="609"/>
      <c r="QKV258" s="609"/>
      <c r="QKW258" s="609"/>
      <c r="QKX258" s="609"/>
      <c r="QKY258" s="609"/>
      <c r="QKZ258" s="609"/>
      <c r="QLA258" s="609"/>
      <c r="QLB258" s="609"/>
      <c r="QLC258" s="609"/>
      <c r="QLD258" s="609"/>
      <c r="QLE258" s="609"/>
      <c r="QLF258" s="609"/>
      <c r="QLG258" s="609"/>
      <c r="QLH258" s="609"/>
      <c r="QLI258" s="609"/>
      <c r="QLJ258" s="609"/>
      <c r="QLK258" s="609"/>
      <c r="QLL258" s="609"/>
      <c r="QLM258" s="609"/>
      <c r="QLN258" s="609"/>
      <c r="QLO258" s="609"/>
      <c r="QLP258" s="609"/>
      <c r="QLQ258" s="609"/>
      <c r="QLR258" s="609"/>
      <c r="QLS258" s="609"/>
      <c r="QLT258" s="609"/>
      <c r="QLU258" s="609"/>
      <c r="QLV258" s="609"/>
      <c r="QLW258" s="609"/>
      <c r="QLX258" s="609"/>
      <c r="QLY258" s="609"/>
      <c r="QLZ258" s="609"/>
      <c r="QMA258" s="609"/>
      <c r="QMB258" s="609"/>
      <c r="QMC258" s="609"/>
      <c r="QMD258" s="609"/>
      <c r="QME258" s="609"/>
      <c r="QMF258" s="609"/>
      <c r="QMG258" s="609"/>
      <c r="QMH258" s="609"/>
      <c r="QMI258" s="609"/>
      <c r="QMJ258" s="609"/>
      <c r="QMK258" s="609"/>
      <c r="QML258" s="609"/>
      <c r="QMM258" s="609"/>
      <c r="QMN258" s="609"/>
      <c r="QMO258" s="609"/>
      <c r="QMP258" s="609"/>
      <c r="QMQ258" s="609"/>
      <c r="QMR258" s="609"/>
      <c r="QMS258" s="609"/>
      <c r="QMT258" s="609"/>
      <c r="QMU258" s="609"/>
      <c r="QMV258" s="609"/>
      <c r="QMW258" s="609"/>
      <c r="QMX258" s="609"/>
      <c r="QMY258" s="609"/>
      <c r="QMZ258" s="609"/>
      <c r="QNA258" s="609"/>
      <c r="QNB258" s="609"/>
      <c r="QNC258" s="609"/>
      <c r="QND258" s="609"/>
      <c r="QNE258" s="609"/>
      <c r="QNF258" s="609"/>
      <c r="QNG258" s="609"/>
      <c r="QNH258" s="609"/>
      <c r="QNI258" s="609"/>
      <c r="QNJ258" s="609"/>
      <c r="QNK258" s="609"/>
      <c r="QNL258" s="609"/>
      <c r="QNM258" s="609"/>
      <c r="QNN258" s="609"/>
      <c r="QNO258" s="609"/>
      <c r="QNP258" s="609"/>
      <c r="QNQ258" s="609"/>
      <c r="QNR258" s="609"/>
      <c r="QNS258" s="609"/>
      <c r="QNT258" s="609"/>
      <c r="QNU258" s="609"/>
      <c r="QNV258" s="609"/>
      <c r="QNW258" s="609"/>
      <c r="QNX258" s="609"/>
      <c r="QNY258" s="609"/>
      <c r="QNZ258" s="609"/>
      <c r="QOA258" s="609"/>
      <c r="QOB258" s="609"/>
      <c r="QOC258" s="609"/>
      <c r="QOD258" s="609"/>
      <c r="QOE258" s="609"/>
      <c r="QOF258" s="609"/>
      <c r="QOG258" s="609"/>
      <c r="QOH258" s="609"/>
      <c r="QOI258" s="609"/>
      <c r="QOJ258" s="609"/>
      <c r="QOK258" s="609"/>
      <c r="QOL258" s="609"/>
      <c r="QOM258" s="609"/>
      <c r="QON258" s="609"/>
      <c r="QOO258" s="609"/>
      <c r="QOP258" s="609"/>
      <c r="QOQ258" s="609"/>
      <c r="QOR258" s="609"/>
      <c r="QOS258" s="609"/>
      <c r="QOT258" s="609"/>
      <c r="QOU258" s="609"/>
      <c r="QOV258" s="609"/>
      <c r="QOW258" s="609"/>
      <c r="QOX258" s="609"/>
      <c r="QOY258" s="609"/>
      <c r="QOZ258" s="609"/>
      <c r="QPA258" s="609"/>
      <c r="QPB258" s="609"/>
      <c r="QPC258" s="609"/>
      <c r="QPD258" s="609"/>
      <c r="QPE258" s="609"/>
      <c r="QPF258" s="609"/>
      <c r="QPG258" s="609"/>
      <c r="QPH258" s="609"/>
      <c r="QPI258" s="609"/>
      <c r="QPJ258" s="609"/>
      <c r="QPK258" s="609"/>
      <c r="QPL258" s="609"/>
      <c r="QPM258" s="609"/>
      <c r="QPN258" s="609"/>
      <c r="QPO258" s="609"/>
      <c r="QPP258" s="609"/>
      <c r="QPQ258" s="609"/>
      <c r="QPR258" s="609"/>
      <c r="QPS258" s="609"/>
      <c r="QPT258" s="609"/>
      <c r="QPU258" s="609"/>
      <c r="QPV258" s="609"/>
      <c r="QPW258" s="609"/>
      <c r="QPX258" s="609"/>
      <c r="QPY258" s="609"/>
      <c r="QPZ258" s="609"/>
      <c r="QQA258" s="609"/>
      <c r="QQB258" s="609"/>
      <c r="QQC258" s="609"/>
      <c r="QQD258" s="609"/>
      <c r="QQE258" s="609"/>
      <c r="QQF258" s="609"/>
      <c r="QQG258" s="609"/>
      <c r="QQH258" s="609"/>
      <c r="QQI258" s="609"/>
      <c r="QQJ258" s="609"/>
      <c r="QQK258" s="609"/>
      <c r="QQL258" s="609"/>
      <c r="QQM258" s="609"/>
      <c r="QQN258" s="609"/>
      <c r="QQO258" s="609"/>
      <c r="QQP258" s="609"/>
      <c r="QQQ258" s="609"/>
      <c r="QQR258" s="609"/>
      <c r="QQS258" s="609"/>
      <c r="QQT258" s="609"/>
      <c r="QQU258" s="609"/>
      <c r="QQV258" s="609"/>
      <c r="QQW258" s="609"/>
      <c r="QQX258" s="609"/>
      <c r="QQY258" s="609"/>
      <c r="QQZ258" s="609"/>
      <c r="QRA258" s="609"/>
      <c r="QRB258" s="609"/>
      <c r="QRC258" s="609"/>
      <c r="QRD258" s="609"/>
      <c r="QRE258" s="609"/>
      <c r="QRF258" s="609"/>
      <c r="QRG258" s="609"/>
      <c r="QRH258" s="609"/>
      <c r="QRI258" s="609"/>
      <c r="QRJ258" s="609"/>
      <c r="QRK258" s="609"/>
      <c r="QRL258" s="609"/>
      <c r="QRM258" s="609"/>
      <c r="QRN258" s="609"/>
      <c r="QRO258" s="609"/>
      <c r="QRP258" s="609"/>
      <c r="QRQ258" s="609"/>
      <c r="QRR258" s="609"/>
      <c r="QRS258" s="609"/>
      <c r="QRT258" s="609"/>
      <c r="QRU258" s="609"/>
      <c r="QRV258" s="609"/>
      <c r="QRW258" s="609"/>
      <c r="QRX258" s="609"/>
      <c r="QRY258" s="609"/>
      <c r="QRZ258" s="609"/>
      <c r="QSA258" s="609"/>
      <c r="QSB258" s="609"/>
      <c r="QSC258" s="609"/>
      <c r="QSD258" s="609"/>
      <c r="QSE258" s="609"/>
      <c r="QSF258" s="609"/>
      <c r="QSG258" s="609"/>
      <c r="QSH258" s="609"/>
      <c r="QSI258" s="609"/>
      <c r="QSJ258" s="609"/>
      <c r="QSK258" s="609"/>
      <c r="QSL258" s="609"/>
      <c r="QSM258" s="609"/>
      <c r="QSN258" s="609"/>
      <c r="QSO258" s="609"/>
      <c r="QSP258" s="609"/>
      <c r="QSQ258" s="609"/>
      <c r="QSR258" s="609"/>
      <c r="QSS258" s="609"/>
      <c r="QST258" s="609"/>
      <c r="QSU258" s="609"/>
      <c r="QSV258" s="609"/>
      <c r="QSW258" s="609"/>
      <c r="QSX258" s="609"/>
      <c r="QSY258" s="609"/>
      <c r="QSZ258" s="609"/>
      <c r="QTA258" s="609"/>
      <c r="QTB258" s="609"/>
      <c r="QTC258" s="609"/>
      <c r="QTD258" s="609"/>
      <c r="QTE258" s="609"/>
      <c r="QTF258" s="609"/>
      <c r="QTG258" s="609"/>
      <c r="QTH258" s="609"/>
      <c r="QTI258" s="609"/>
      <c r="QTJ258" s="609"/>
      <c r="QTK258" s="609"/>
      <c r="QTL258" s="609"/>
      <c r="QTM258" s="609"/>
      <c r="QTN258" s="609"/>
      <c r="QTO258" s="609"/>
      <c r="QTP258" s="609"/>
      <c r="QTQ258" s="609"/>
      <c r="QTR258" s="609"/>
      <c r="QTS258" s="609"/>
      <c r="QTT258" s="609"/>
      <c r="QTU258" s="609"/>
      <c r="QTV258" s="609"/>
      <c r="QTW258" s="609"/>
      <c r="QTX258" s="609"/>
      <c r="QTY258" s="609"/>
      <c r="QTZ258" s="609"/>
      <c r="QUA258" s="609"/>
      <c r="QUB258" s="609"/>
      <c r="QUC258" s="609"/>
      <c r="QUD258" s="609"/>
      <c r="QUE258" s="609"/>
      <c r="QUF258" s="609"/>
      <c r="QUG258" s="609"/>
      <c r="QUH258" s="609"/>
      <c r="QUI258" s="609"/>
      <c r="QUJ258" s="609"/>
      <c r="QUK258" s="609"/>
      <c r="QUL258" s="609"/>
      <c r="QUM258" s="609"/>
      <c r="QUN258" s="609"/>
      <c r="QUO258" s="609"/>
      <c r="QUP258" s="609"/>
      <c r="QUQ258" s="609"/>
      <c r="QUR258" s="609"/>
      <c r="QUS258" s="609"/>
      <c r="QUT258" s="609"/>
      <c r="QUU258" s="609"/>
      <c r="QUV258" s="609"/>
      <c r="QUW258" s="609"/>
      <c r="QUX258" s="609"/>
      <c r="QUY258" s="609"/>
      <c r="QUZ258" s="609"/>
      <c r="QVA258" s="609"/>
      <c r="QVB258" s="609"/>
      <c r="QVC258" s="609"/>
      <c r="QVD258" s="609"/>
      <c r="QVE258" s="609"/>
      <c r="QVF258" s="609"/>
      <c r="QVG258" s="609"/>
      <c r="QVH258" s="609"/>
      <c r="QVI258" s="609"/>
      <c r="QVJ258" s="609"/>
      <c r="QVK258" s="609"/>
      <c r="QVL258" s="609"/>
      <c r="QVM258" s="609"/>
      <c r="QVN258" s="609"/>
      <c r="QVO258" s="609"/>
      <c r="QVP258" s="609"/>
      <c r="QVQ258" s="609"/>
      <c r="QVR258" s="609"/>
      <c r="QVS258" s="609"/>
      <c r="QVT258" s="609"/>
      <c r="QVU258" s="609"/>
      <c r="QVV258" s="609"/>
      <c r="QVW258" s="609"/>
      <c r="QVX258" s="609"/>
      <c r="QVY258" s="609"/>
      <c r="QVZ258" s="609"/>
      <c r="QWA258" s="609"/>
      <c r="QWB258" s="609"/>
      <c r="QWC258" s="609"/>
      <c r="QWD258" s="609"/>
      <c r="QWE258" s="609"/>
      <c r="QWF258" s="609"/>
      <c r="QWG258" s="609"/>
      <c r="QWH258" s="609"/>
      <c r="QWI258" s="609"/>
      <c r="QWJ258" s="609"/>
      <c r="QWK258" s="609"/>
      <c r="QWL258" s="609"/>
      <c r="QWM258" s="609"/>
      <c r="QWN258" s="609"/>
      <c r="QWO258" s="609"/>
      <c r="QWP258" s="609"/>
      <c r="QWQ258" s="609"/>
      <c r="QWR258" s="609"/>
      <c r="QWS258" s="609"/>
      <c r="QWT258" s="609"/>
      <c r="QWU258" s="609"/>
      <c r="QWV258" s="609"/>
      <c r="QWW258" s="609"/>
      <c r="QWX258" s="609"/>
      <c r="QWY258" s="609"/>
      <c r="QWZ258" s="609"/>
      <c r="QXA258" s="609"/>
      <c r="QXB258" s="609"/>
      <c r="QXC258" s="609"/>
      <c r="QXD258" s="609"/>
      <c r="QXE258" s="609"/>
      <c r="QXF258" s="609"/>
      <c r="QXG258" s="609"/>
      <c r="QXH258" s="609"/>
      <c r="QXI258" s="609"/>
      <c r="QXJ258" s="609"/>
      <c r="QXK258" s="609"/>
      <c r="QXL258" s="609"/>
      <c r="QXM258" s="609"/>
      <c r="QXN258" s="609"/>
      <c r="QXO258" s="609"/>
      <c r="QXP258" s="609"/>
      <c r="QXQ258" s="609"/>
      <c r="QXR258" s="609"/>
      <c r="QXS258" s="609"/>
      <c r="QXT258" s="609"/>
      <c r="QXU258" s="609"/>
      <c r="QXV258" s="609"/>
      <c r="QXW258" s="609"/>
      <c r="QXX258" s="609"/>
      <c r="QXY258" s="609"/>
      <c r="QXZ258" s="609"/>
      <c r="QYA258" s="609"/>
      <c r="QYB258" s="609"/>
      <c r="QYC258" s="609"/>
      <c r="QYD258" s="609"/>
      <c r="QYE258" s="609"/>
      <c r="QYF258" s="609"/>
      <c r="QYG258" s="609"/>
      <c r="QYH258" s="609"/>
      <c r="QYI258" s="609"/>
      <c r="QYJ258" s="609"/>
      <c r="QYK258" s="609"/>
      <c r="QYL258" s="609"/>
      <c r="QYM258" s="609"/>
      <c r="QYN258" s="609"/>
      <c r="QYO258" s="609"/>
      <c r="QYP258" s="609"/>
      <c r="QYQ258" s="609"/>
      <c r="QYR258" s="609"/>
      <c r="QYS258" s="609"/>
      <c r="QYT258" s="609"/>
      <c r="QYU258" s="609"/>
      <c r="QYV258" s="609"/>
      <c r="QYW258" s="609"/>
      <c r="QYX258" s="609"/>
      <c r="QYY258" s="609"/>
      <c r="QYZ258" s="609"/>
      <c r="QZA258" s="609"/>
      <c r="QZB258" s="609"/>
      <c r="QZC258" s="609"/>
      <c r="QZD258" s="609"/>
      <c r="QZE258" s="609"/>
      <c r="QZF258" s="609"/>
      <c r="QZG258" s="609"/>
      <c r="QZH258" s="609"/>
      <c r="QZI258" s="609"/>
      <c r="QZJ258" s="609"/>
      <c r="QZK258" s="609"/>
      <c r="QZL258" s="609"/>
      <c r="QZM258" s="609"/>
      <c r="QZN258" s="609"/>
      <c r="QZO258" s="609"/>
      <c r="QZP258" s="609"/>
      <c r="QZQ258" s="609"/>
      <c r="QZR258" s="609"/>
      <c r="QZS258" s="609"/>
      <c r="QZT258" s="609"/>
      <c r="QZU258" s="609"/>
      <c r="QZV258" s="609"/>
      <c r="QZW258" s="609"/>
      <c r="QZX258" s="609"/>
      <c r="QZY258" s="609"/>
      <c r="QZZ258" s="609"/>
      <c r="RAA258" s="609"/>
      <c r="RAB258" s="609"/>
      <c r="RAC258" s="609"/>
      <c r="RAD258" s="609"/>
      <c r="RAE258" s="609"/>
      <c r="RAF258" s="609"/>
      <c r="RAG258" s="609"/>
      <c r="RAH258" s="609"/>
      <c r="RAI258" s="609"/>
      <c r="RAJ258" s="609"/>
      <c r="RAK258" s="609"/>
      <c r="RAL258" s="609"/>
      <c r="RAM258" s="609"/>
      <c r="RAN258" s="609"/>
      <c r="RAO258" s="609"/>
      <c r="RAP258" s="609"/>
      <c r="RAQ258" s="609"/>
      <c r="RAR258" s="609"/>
      <c r="RAS258" s="609"/>
      <c r="RAT258" s="609"/>
      <c r="RAU258" s="609"/>
      <c r="RAV258" s="609"/>
      <c r="RAW258" s="609"/>
      <c r="RAX258" s="609"/>
      <c r="RAY258" s="609"/>
      <c r="RAZ258" s="609"/>
      <c r="RBA258" s="609"/>
      <c r="RBB258" s="609"/>
      <c r="RBC258" s="609"/>
      <c r="RBD258" s="609"/>
      <c r="RBE258" s="609"/>
      <c r="RBF258" s="609"/>
      <c r="RBG258" s="609"/>
      <c r="RBH258" s="609"/>
      <c r="RBI258" s="609"/>
      <c r="RBJ258" s="609"/>
      <c r="RBK258" s="609"/>
      <c r="RBL258" s="609"/>
      <c r="RBM258" s="609"/>
      <c r="RBN258" s="609"/>
      <c r="RBO258" s="609"/>
      <c r="RBP258" s="609"/>
      <c r="RBQ258" s="609"/>
      <c r="RBR258" s="609"/>
      <c r="RBS258" s="609"/>
      <c r="RBT258" s="609"/>
      <c r="RBU258" s="609"/>
      <c r="RBV258" s="609"/>
      <c r="RBW258" s="609"/>
      <c r="RBX258" s="609"/>
      <c r="RBY258" s="609"/>
      <c r="RBZ258" s="609"/>
      <c r="RCA258" s="609"/>
      <c r="RCB258" s="609"/>
      <c r="RCC258" s="609"/>
      <c r="RCD258" s="609"/>
      <c r="RCE258" s="609"/>
      <c r="RCF258" s="609"/>
      <c r="RCG258" s="609"/>
      <c r="RCH258" s="609"/>
      <c r="RCI258" s="609"/>
      <c r="RCJ258" s="609"/>
      <c r="RCK258" s="609"/>
      <c r="RCL258" s="609"/>
      <c r="RCM258" s="609"/>
      <c r="RCN258" s="609"/>
      <c r="RCO258" s="609"/>
      <c r="RCP258" s="609"/>
      <c r="RCQ258" s="609"/>
      <c r="RCR258" s="609"/>
      <c r="RCS258" s="609"/>
      <c r="RCT258" s="609"/>
      <c r="RCU258" s="609"/>
      <c r="RCV258" s="609"/>
      <c r="RCW258" s="609"/>
      <c r="RCX258" s="609"/>
      <c r="RCY258" s="609"/>
      <c r="RCZ258" s="609"/>
      <c r="RDA258" s="609"/>
      <c r="RDB258" s="609"/>
      <c r="RDC258" s="609"/>
      <c r="RDD258" s="609"/>
      <c r="RDE258" s="609"/>
      <c r="RDF258" s="609"/>
      <c r="RDG258" s="609"/>
      <c r="RDH258" s="609"/>
      <c r="RDI258" s="609"/>
      <c r="RDJ258" s="609"/>
      <c r="RDK258" s="609"/>
      <c r="RDL258" s="609"/>
      <c r="RDM258" s="609"/>
      <c r="RDN258" s="609"/>
      <c r="RDO258" s="609"/>
      <c r="RDP258" s="609"/>
      <c r="RDQ258" s="609"/>
      <c r="RDR258" s="609"/>
      <c r="RDS258" s="609"/>
      <c r="RDT258" s="609"/>
      <c r="RDU258" s="609"/>
      <c r="RDV258" s="609"/>
      <c r="RDW258" s="609"/>
      <c r="RDX258" s="609"/>
      <c r="RDY258" s="609"/>
      <c r="RDZ258" s="609"/>
      <c r="REA258" s="609"/>
      <c r="REB258" s="609"/>
      <c r="REC258" s="609"/>
      <c r="RED258" s="609"/>
      <c r="REE258" s="609"/>
      <c r="REF258" s="609"/>
      <c r="REG258" s="609"/>
      <c r="REH258" s="609"/>
      <c r="REI258" s="609"/>
      <c r="REJ258" s="609"/>
      <c r="REK258" s="609"/>
      <c r="REL258" s="609"/>
      <c r="REM258" s="609"/>
      <c r="REN258" s="609"/>
      <c r="REO258" s="609"/>
      <c r="REP258" s="609"/>
      <c r="REQ258" s="609"/>
      <c r="RER258" s="609"/>
      <c r="RES258" s="609"/>
      <c r="RET258" s="609"/>
      <c r="REU258" s="609"/>
      <c r="REV258" s="609"/>
      <c r="REW258" s="609"/>
      <c r="REX258" s="609"/>
      <c r="REY258" s="609"/>
      <c r="REZ258" s="609"/>
      <c r="RFA258" s="609"/>
      <c r="RFB258" s="609"/>
      <c r="RFC258" s="609"/>
      <c r="RFD258" s="609"/>
      <c r="RFE258" s="609"/>
      <c r="RFF258" s="609"/>
      <c r="RFG258" s="609"/>
      <c r="RFH258" s="609"/>
      <c r="RFI258" s="609"/>
      <c r="RFJ258" s="609"/>
      <c r="RFK258" s="609"/>
      <c r="RFL258" s="609"/>
      <c r="RFM258" s="609"/>
      <c r="RFN258" s="609"/>
      <c r="RFO258" s="609"/>
      <c r="RFP258" s="609"/>
      <c r="RFQ258" s="609"/>
      <c r="RFR258" s="609"/>
      <c r="RFS258" s="609"/>
      <c r="RFT258" s="609"/>
      <c r="RFU258" s="609"/>
      <c r="RFV258" s="609"/>
      <c r="RFW258" s="609"/>
      <c r="RFX258" s="609"/>
      <c r="RFY258" s="609"/>
      <c r="RFZ258" s="609"/>
      <c r="RGA258" s="609"/>
      <c r="RGB258" s="609"/>
      <c r="RGC258" s="609"/>
      <c r="RGD258" s="609"/>
      <c r="RGE258" s="609"/>
      <c r="RGF258" s="609"/>
      <c r="RGG258" s="609"/>
      <c r="RGH258" s="609"/>
      <c r="RGI258" s="609"/>
      <c r="RGJ258" s="609"/>
      <c r="RGK258" s="609"/>
      <c r="RGL258" s="609"/>
      <c r="RGM258" s="609"/>
      <c r="RGN258" s="609"/>
      <c r="RGO258" s="609"/>
      <c r="RGP258" s="609"/>
      <c r="RGQ258" s="609"/>
      <c r="RGR258" s="609"/>
      <c r="RGS258" s="609"/>
      <c r="RGT258" s="609"/>
      <c r="RGU258" s="609"/>
      <c r="RGV258" s="609"/>
      <c r="RGW258" s="609"/>
      <c r="RGX258" s="609"/>
      <c r="RGY258" s="609"/>
      <c r="RGZ258" s="609"/>
      <c r="RHA258" s="609"/>
      <c r="RHB258" s="609"/>
      <c r="RHC258" s="609"/>
      <c r="RHD258" s="609"/>
      <c r="RHE258" s="609"/>
      <c r="RHF258" s="609"/>
      <c r="RHG258" s="609"/>
      <c r="RHH258" s="609"/>
      <c r="RHI258" s="609"/>
      <c r="RHJ258" s="609"/>
      <c r="RHK258" s="609"/>
      <c r="RHL258" s="609"/>
      <c r="RHM258" s="609"/>
      <c r="RHN258" s="609"/>
      <c r="RHO258" s="609"/>
      <c r="RHP258" s="609"/>
      <c r="RHQ258" s="609"/>
      <c r="RHR258" s="609"/>
      <c r="RHS258" s="609"/>
      <c r="RHT258" s="609"/>
      <c r="RHU258" s="609"/>
      <c r="RHV258" s="609"/>
      <c r="RHW258" s="609"/>
      <c r="RHX258" s="609"/>
      <c r="RHY258" s="609"/>
      <c r="RHZ258" s="609"/>
      <c r="RIA258" s="609"/>
      <c r="RIB258" s="609"/>
      <c r="RIC258" s="609"/>
      <c r="RID258" s="609"/>
      <c r="RIE258" s="609"/>
      <c r="RIF258" s="609"/>
      <c r="RIG258" s="609"/>
      <c r="RIH258" s="609"/>
      <c r="RII258" s="609"/>
      <c r="RIJ258" s="609"/>
      <c r="RIK258" s="609"/>
      <c r="RIL258" s="609"/>
      <c r="RIM258" s="609"/>
      <c r="RIN258" s="609"/>
      <c r="RIO258" s="609"/>
      <c r="RIP258" s="609"/>
      <c r="RIQ258" s="609"/>
      <c r="RIR258" s="609"/>
      <c r="RIS258" s="609"/>
      <c r="RIT258" s="609"/>
      <c r="RIU258" s="609"/>
      <c r="RIV258" s="609"/>
      <c r="RIW258" s="609"/>
      <c r="RIX258" s="609"/>
      <c r="RIY258" s="609"/>
      <c r="RIZ258" s="609"/>
      <c r="RJA258" s="609"/>
      <c r="RJB258" s="609"/>
      <c r="RJC258" s="609"/>
      <c r="RJD258" s="609"/>
      <c r="RJE258" s="609"/>
      <c r="RJF258" s="609"/>
      <c r="RJG258" s="609"/>
      <c r="RJH258" s="609"/>
      <c r="RJI258" s="609"/>
      <c r="RJJ258" s="609"/>
      <c r="RJK258" s="609"/>
      <c r="RJL258" s="609"/>
      <c r="RJM258" s="609"/>
      <c r="RJN258" s="609"/>
      <c r="RJO258" s="609"/>
      <c r="RJP258" s="609"/>
      <c r="RJQ258" s="609"/>
      <c r="RJR258" s="609"/>
      <c r="RJS258" s="609"/>
      <c r="RJT258" s="609"/>
      <c r="RJU258" s="609"/>
      <c r="RJV258" s="609"/>
      <c r="RJW258" s="609"/>
      <c r="RJX258" s="609"/>
      <c r="RJY258" s="609"/>
      <c r="RJZ258" s="609"/>
      <c r="RKA258" s="609"/>
      <c r="RKB258" s="609"/>
      <c r="RKC258" s="609"/>
      <c r="RKD258" s="609"/>
      <c r="RKE258" s="609"/>
      <c r="RKF258" s="609"/>
      <c r="RKG258" s="609"/>
      <c r="RKH258" s="609"/>
      <c r="RKI258" s="609"/>
      <c r="RKJ258" s="609"/>
      <c r="RKK258" s="609"/>
      <c r="RKL258" s="609"/>
      <c r="RKM258" s="609"/>
      <c r="RKN258" s="609"/>
      <c r="RKO258" s="609"/>
      <c r="RKP258" s="609"/>
      <c r="RKQ258" s="609"/>
      <c r="RKR258" s="609"/>
      <c r="RKS258" s="609"/>
      <c r="RKT258" s="609"/>
      <c r="RKU258" s="609"/>
      <c r="RKV258" s="609"/>
      <c r="RKW258" s="609"/>
      <c r="RKX258" s="609"/>
      <c r="RKY258" s="609"/>
      <c r="RKZ258" s="609"/>
      <c r="RLA258" s="609"/>
      <c r="RLB258" s="609"/>
      <c r="RLC258" s="609"/>
      <c r="RLD258" s="609"/>
      <c r="RLE258" s="609"/>
      <c r="RLF258" s="609"/>
      <c r="RLG258" s="609"/>
      <c r="RLH258" s="609"/>
      <c r="RLI258" s="609"/>
      <c r="RLJ258" s="609"/>
      <c r="RLK258" s="609"/>
      <c r="RLL258" s="609"/>
      <c r="RLM258" s="609"/>
      <c r="RLN258" s="609"/>
      <c r="RLO258" s="609"/>
      <c r="RLP258" s="609"/>
      <c r="RLQ258" s="609"/>
      <c r="RLR258" s="609"/>
      <c r="RLS258" s="609"/>
      <c r="RLT258" s="609"/>
      <c r="RLU258" s="609"/>
      <c r="RLV258" s="609"/>
      <c r="RLW258" s="609"/>
      <c r="RLX258" s="609"/>
      <c r="RLY258" s="609"/>
      <c r="RLZ258" s="609"/>
      <c r="RMA258" s="609"/>
      <c r="RMB258" s="609"/>
      <c r="RMC258" s="609"/>
      <c r="RMD258" s="609"/>
      <c r="RME258" s="609"/>
      <c r="RMF258" s="609"/>
      <c r="RMG258" s="609"/>
      <c r="RMH258" s="609"/>
      <c r="RMI258" s="609"/>
      <c r="RMJ258" s="609"/>
      <c r="RMK258" s="609"/>
      <c r="RML258" s="609"/>
      <c r="RMM258" s="609"/>
      <c r="RMN258" s="609"/>
      <c r="RMO258" s="609"/>
      <c r="RMP258" s="609"/>
      <c r="RMQ258" s="609"/>
      <c r="RMR258" s="609"/>
      <c r="RMS258" s="609"/>
      <c r="RMT258" s="609"/>
      <c r="RMU258" s="609"/>
      <c r="RMV258" s="609"/>
      <c r="RMW258" s="609"/>
      <c r="RMX258" s="609"/>
      <c r="RMY258" s="609"/>
      <c r="RMZ258" s="609"/>
      <c r="RNA258" s="609"/>
      <c r="RNB258" s="609"/>
      <c r="RNC258" s="609"/>
      <c r="RND258" s="609"/>
      <c r="RNE258" s="609"/>
      <c r="RNF258" s="609"/>
      <c r="RNG258" s="609"/>
      <c r="RNH258" s="609"/>
      <c r="RNI258" s="609"/>
      <c r="RNJ258" s="609"/>
      <c r="RNK258" s="609"/>
      <c r="RNL258" s="609"/>
      <c r="RNM258" s="609"/>
      <c r="RNN258" s="609"/>
      <c r="RNO258" s="609"/>
      <c r="RNP258" s="609"/>
      <c r="RNQ258" s="609"/>
      <c r="RNR258" s="609"/>
      <c r="RNS258" s="609"/>
      <c r="RNT258" s="609"/>
      <c r="RNU258" s="609"/>
      <c r="RNV258" s="609"/>
      <c r="RNW258" s="609"/>
      <c r="RNX258" s="609"/>
      <c r="RNY258" s="609"/>
      <c r="RNZ258" s="609"/>
      <c r="ROA258" s="609"/>
      <c r="ROB258" s="609"/>
      <c r="ROC258" s="609"/>
      <c r="ROD258" s="609"/>
      <c r="ROE258" s="609"/>
      <c r="ROF258" s="609"/>
      <c r="ROG258" s="609"/>
      <c r="ROH258" s="609"/>
      <c r="ROI258" s="609"/>
      <c r="ROJ258" s="609"/>
      <c r="ROK258" s="609"/>
      <c r="ROL258" s="609"/>
      <c r="ROM258" s="609"/>
      <c r="RON258" s="609"/>
      <c r="ROO258" s="609"/>
      <c r="ROP258" s="609"/>
      <c r="ROQ258" s="609"/>
      <c r="ROR258" s="609"/>
      <c r="ROS258" s="609"/>
      <c r="ROT258" s="609"/>
      <c r="ROU258" s="609"/>
      <c r="ROV258" s="609"/>
      <c r="ROW258" s="609"/>
      <c r="ROX258" s="609"/>
      <c r="ROY258" s="609"/>
      <c r="ROZ258" s="609"/>
      <c r="RPA258" s="609"/>
      <c r="RPB258" s="609"/>
      <c r="RPC258" s="609"/>
      <c r="RPD258" s="609"/>
      <c r="RPE258" s="609"/>
      <c r="RPF258" s="609"/>
      <c r="RPG258" s="609"/>
      <c r="RPH258" s="609"/>
      <c r="RPI258" s="609"/>
      <c r="RPJ258" s="609"/>
      <c r="RPK258" s="609"/>
      <c r="RPL258" s="609"/>
      <c r="RPM258" s="609"/>
      <c r="RPN258" s="609"/>
      <c r="RPO258" s="609"/>
      <c r="RPP258" s="609"/>
      <c r="RPQ258" s="609"/>
      <c r="RPR258" s="609"/>
      <c r="RPS258" s="609"/>
      <c r="RPT258" s="609"/>
      <c r="RPU258" s="609"/>
      <c r="RPV258" s="609"/>
      <c r="RPW258" s="609"/>
      <c r="RPX258" s="609"/>
      <c r="RPY258" s="609"/>
      <c r="RPZ258" s="609"/>
      <c r="RQA258" s="609"/>
      <c r="RQB258" s="609"/>
      <c r="RQC258" s="609"/>
      <c r="RQD258" s="609"/>
      <c r="RQE258" s="609"/>
      <c r="RQF258" s="609"/>
      <c r="RQG258" s="609"/>
      <c r="RQH258" s="609"/>
      <c r="RQI258" s="609"/>
      <c r="RQJ258" s="609"/>
      <c r="RQK258" s="609"/>
      <c r="RQL258" s="609"/>
      <c r="RQM258" s="609"/>
      <c r="RQN258" s="609"/>
      <c r="RQO258" s="609"/>
      <c r="RQP258" s="609"/>
      <c r="RQQ258" s="609"/>
      <c r="RQR258" s="609"/>
      <c r="RQS258" s="609"/>
      <c r="RQT258" s="609"/>
      <c r="RQU258" s="609"/>
      <c r="RQV258" s="609"/>
      <c r="RQW258" s="609"/>
      <c r="RQX258" s="609"/>
      <c r="RQY258" s="609"/>
      <c r="RQZ258" s="609"/>
      <c r="RRA258" s="609"/>
      <c r="RRB258" s="609"/>
      <c r="RRC258" s="609"/>
      <c r="RRD258" s="609"/>
      <c r="RRE258" s="609"/>
      <c r="RRF258" s="609"/>
      <c r="RRG258" s="609"/>
      <c r="RRH258" s="609"/>
      <c r="RRI258" s="609"/>
      <c r="RRJ258" s="609"/>
      <c r="RRK258" s="609"/>
      <c r="RRL258" s="609"/>
      <c r="RRM258" s="609"/>
      <c r="RRN258" s="609"/>
      <c r="RRO258" s="609"/>
      <c r="RRP258" s="609"/>
      <c r="RRQ258" s="609"/>
      <c r="RRR258" s="609"/>
      <c r="RRS258" s="609"/>
      <c r="RRT258" s="609"/>
      <c r="RRU258" s="609"/>
      <c r="RRV258" s="609"/>
      <c r="RRW258" s="609"/>
      <c r="RRX258" s="609"/>
      <c r="RRY258" s="609"/>
      <c r="RRZ258" s="609"/>
      <c r="RSA258" s="609"/>
      <c r="RSB258" s="609"/>
      <c r="RSC258" s="609"/>
      <c r="RSD258" s="609"/>
      <c r="RSE258" s="609"/>
      <c r="RSF258" s="609"/>
      <c r="RSG258" s="609"/>
      <c r="RSH258" s="609"/>
      <c r="RSI258" s="609"/>
      <c r="RSJ258" s="609"/>
      <c r="RSK258" s="609"/>
      <c r="RSL258" s="609"/>
      <c r="RSM258" s="609"/>
      <c r="RSN258" s="609"/>
      <c r="RSO258" s="609"/>
      <c r="RSP258" s="609"/>
      <c r="RSQ258" s="609"/>
      <c r="RSR258" s="609"/>
      <c r="RSS258" s="609"/>
      <c r="RST258" s="609"/>
      <c r="RSU258" s="609"/>
      <c r="RSV258" s="609"/>
      <c r="RSW258" s="609"/>
      <c r="RSX258" s="609"/>
      <c r="RSY258" s="609"/>
      <c r="RSZ258" s="609"/>
      <c r="RTA258" s="609"/>
      <c r="RTB258" s="609"/>
      <c r="RTC258" s="609"/>
      <c r="RTD258" s="609"/>
      <c r="RTE258" s="609"/>
      <c r="RTF258" s="609"/>
      <c r="RTG258" s="609"/>
      <c r="RTH258" s="609"/>
      <c r="RTI258" s="609"/>
      <c r="RTJ258" s="609"/>
      <c r="RTK258" s="609"/>
      <c r="RTL258" s="609"/>
      <c r="RTM258" s="609"/>
      <c r="RTN258" s="609"/>
      <c r="RTO258" s="609"/>
      <c r="RTP258" s="609"/>
      <c r="RTQ258" s="609"/>
      <c r="RTR258" s="609"/>
      <c r="RTS258" s="609"/>
      <c r="RTT258" s="609"/>
      <c r="RTU258" s="609"/>
      <c r="RTV258" s="609"/>
      <c r="RTW258" s="609"/>
      <c r="RTX258" s="609"/>
      <c r="RTY258" s="609"/>
      <c r="RTZ258" s="609"/>
      <c r="RUA258" s="609"/>
      <c r="RUB258" s="609"/>
      <c r="RUC258" s="609"/>
      <c r="RUD258" s="609"/>
      <c r="RUE258" s="609"/>
      <c r="RUF258" s="609"/>
      <c r="RUG258" s="609"/>
      <c r="RUH258" s="609"/>
      <c r="RUI258" s="609"/>
      <c r="RUJ258" s="609"/>
      <c r="RUK258" s="609"/>
      <c r="RUL258" s="609"/>
      <c r="RUM258" s="609"/>
      <c r="RUN258" s="609"/>
      <c r="RUO258" s="609"/>
      <c r="RUP258" s="609"/>
      <c r="RUQ258" s="609"/>
      <c r="RUR258" s="609"/>
      <c r="RUS258" s="609"/>
      <c r="RUT258" s="609"/>
      <c r="RUU258" s="609"/>
      <c r="RUV258" s="609"/>
      <c r="RUW258" s="609"/>
      <c r="RUX258" s="609"/>
      <c r="RUY258" s="609"/>
      <c r="RUZ258" s="609"/>
      <c r="RVA258" s="609"/>
      <c r="RVB258" s="609"/>
      <c r="RVC258" s="609"/>
      <c r="RVD258" s="609"/>
      <c r="RVE258" s="609"/>
      <c r="RVF258" s="609"/>
      <c r="RVG258" s="609"/>
      <c r="RVH258" s="609"/>
      <c r="RVI258" s="609"/>
      <c r="RVJ258" s="609"/>
      <c r="RVK258" s="609"/>
      <c r="RVL258" s="609"/>
      <c r="RVM258" s="609"/>
      <c r="RVN258" s="609"/>
      <c r="RVO258" s="609"/>
      <c r="RVP258" s="609"/>
      <c r="RVQ258" s="609"/>
      <c r="RVR258" s="609"/>
      <c r="RVS258" s="609"/>
      <c r="RVT258" s="609"/>
      <c r="RVU258" s="609"/>
      <c r="RVV258" s="609"/>
      <c r="RVW258" s="609"/>
      <c r="RVX258" s="609"/>
      <c r="RVY258" s="609"/>
      <c r="RVZ258" s="609"/>
      <c r="RWA258" s="609"/>
      <c r="RWB258" s="609"/>
      <c r="RWC258" s="609"/>
      <c r="RWD258" s="609"/>
      <c r="RWE258" s="609"/>
      <c r="RWF258" s="609"/>
      <c r="RWG258" s="609"/>
      <c r="RWH258" s="609"/>
      <c r="RWI258" s="609"/>
      <c r="RWJ258" s="609"/>
      <c r="RWK258" s="609"/>
      <c r="RWL258" s="609"/>
      <c r="RWM258" s="609"/>
      <c r="RWN258" s="609"/>
      <c r="RWO258" s="609"/>
      <c r="RWP258" s="609"/>
      <c r="RWQ258" s="609"/>
      <c r="RWR258" s="609"/>
      <c r="RWS258" s="609"/>
      <c r="RWT258" s="609"/>
      <c r="RWU258" s="609"/>
      <c r="RWV258" s="609"/>
      <c r="RWW258" s="609"/>
      <c r="RWX258" s="609"/>
      <c r="RWY258" s="609"/>
      <c r="RWZ258" s="609"/>
      <c r="RXA258" s="609"/>
      <c r="RXB258" s="609"/>
      <c r="RXC258" s="609"/>
      <c r="RXD258" s="609"/>
      <c r="RXE258" s="609"/>
      <c r="RXF258" s="609"/>
      <c r="RXG258" s="609"/>
      <c r="RXH258" s="609"/>
      <c r="RXI258" s="609"/>
      <c r="RXJ258" s="609"/>
      <c r="RXK258" s="609"/>
      <c r="RXL258" s="609"/>
      <c r="RXM258" s="609"/>
      <c r="RXN258" s="609"/>
      <c r="RXO258" s="609"/>
      <c r="RXP258" s="609"/>
      <c r="RXQ258" s="609"/>
      <c r="RXR258" s="609"/>
      <c r="RXS258" s="609"/>
      <c r="RXT258" s="609"/>
      <c r="RXU258" s="609"/>
      <c r="RXV258" s="609"/>
      <c r="RXW258" s="609"/>
      <c r="RXX258" s="609"/>
      <c r="RXY258" s="609"/>
      <c r="RXZ258" s="609"/>
      <c r="RYA258" s="609"/>
      <c r="RYB258" s="609"/>
      <c r="RYC258" s="609"/>
      <c r="RYD258" s="609"/>
      <c r="RYE258" s="609"/>
      <c r="RYF258" s="609"/>
      <c r="RYG258" s="609"/>
      <c r="RYH258" s="609"/>
      <c r="RYI258" s="609"/>
      <c r="RYJ258" s="609"/>
      <c r="RYK258" s="609"/>
      <c r="RYL258" s="609"/>
      <c r="RYM258" s="609"/>
      <c r="RYN258" s="609"/>
      <c r="RYO258" s="609"/>
      <c r="RYP258" s="609"/>
      <c r="RYQ258" s="609"/>
      <c r="RYR258" s="609"/>
      <c r="RYS258" s="609"/>
      <c r="RYT258" s="609"/>
      <c r="RYU258" s="609"/>
      <c r="RYV258" s="609"/>
      <c r="RYW258" s="609"/>
      <c r="RYX258" s="609"/>
      <c r="RYY258" s="609"/>
      <c r="RYZ258" s="609"/>
      <c r="RZA258" s="609"/>
      <c r="RZB258" s="609"/>
      <c r="RZC258" s="609"/>
      <c r="RZD258" s="609"/>
      <c r="RZE258" s="609"/>
      <c r="RZF258" s="609"/>
      <c r="RZG258" s="609"/>
      <c r="RZH258" s="609"/>
      <c r="RZI258" s="609"/>
      <c r="RZJ258" s="609"/>
      <c r="RZK258" s="609"/>
      <c r="RZL258" s="609"/>
      <c r="RZM258" s="609"/>
      <c r="RZN258" s="609"/>
      <c r="RZO258" s="609"/>
      <c r="RZP258" s="609"/>
      <c r="RZQ258" s="609"/>
      <c r="RZR258" s="609"/>
      <c r="RZS258" s="609"/>
      <c r="RZT258" s="609"/>
      <c r="RZU258" s="609"/>
      <c r="RZV258" s="609"/>
      <c r="RZW258" s="609"/>
      <c r="RZX258" s="609"/>
      <c r="RZY258" s="609"/>
      <c r="RZZ258" s="609"/>
      <c r="SAA258" s="609"/>
      <c r="SAB258" s="609"/>
      <c r="SAC258" s="609"/>
      <c r="SAD258" s="609"/>
      <c r="SAE258" s="609"/>
      <c r="SAF258" s="609"/>
      <c r="SAG258" s="609"/>
      <c r="SAH258" s="609"/>
      <c r="SAI258" s="609"/>
      <c r="SAJ258" s="609"/>
      <c r="SAK258" s="609"/>
      <c r="SAL258" s="609"/>
      <c r="SAM258" s="609"/>
      <c r="SAN258" s="609"/>
      <c r="SAO258" s="609"/>
      <c r="SAP258" s="609"/>
      <c r="SAQ258" s="609"/>
      <c r="SAR258" s="609"/>
      <c r="SAS258" s="609"/>
      <c r="SAT258" s="609"/>
      <c r="SAU258" s="609"/>
      <c r="SAV258" s="609"/>
      <c r="SAW258" s="609"/>
      <c r="SAX258" s="609"/>
      <c r="SAY258" s="609"/>
      <c r="SAZ258" s="609"/>
      <c r="SBA258" s="609"/>
      <c r="SBB258" s="609"/>
      <c r="SBC258" s="609"/>
      <c r="SBD258" s="609"/>
      <c r="SBE258" s="609"/>
      <c r="SBF258" s="609"/>
      <c r="SBG258" s="609"/>
      <c r="SBH258" s="609"/>
      <c r="SBI258" s="609"/>
      <c r="SBJ258" s="609"/>
      <c r="SBK258" s="609"/>
      <c r="SBL258" s="609"/>
      <c r="SBM258" s="609"/>
      <c r="SBN258" s="609"/>
      <c r="SBO258" s="609"/>
      <c r="SBP258" s="609"/>
      <c r="SBQ258" s="609"/>
      <c r="SBR258" s="609"/>
      <c r="SBS258" s="609"/>
      <c r="SBT258" s="609"/>
      <c r="SBU258" s="609"/>
      <c r="SBV258" s="609"/>
      <c r="SBW258" s="609"/>
      <c r="SBX258" s="609"/>
      <c r="SBY258" s="609"/>
      <c r="SBZ258" s="609"/>
      <c r="SCA258" s="609"/>
      <c r="SCB258" s="609"/>
      <c r="SCC258" s="609"/>
      <c r="SCD258" s="609"/>
      <c r="SCE258" s="609"/>
      <c r="SCF258" s="609"/>
      <c r="SCG258" s="609"/>
      <c r="SCH258" s="609"/>
      <c r="SCI258" s="609"/>
      <c r="SCJ258" s="609"/>
      <c r="SCK258" s="609"/>
      <c r="SCL258" s="609"/>
      <c r="SCM258" s="609"/>
      <c r="SCN258" s="609"/>
      <c r="SCO258" s="609"/>
      <c r="SCP258" s="609"/>
      <c r="SCQ258" s="609"/>
      <c r="SCR258" s="609"/>
      <c r="SCS258" s="609"/>
      <c r="SCT258" s="609"/>
      <c r="SCU258" s="609"/>
      <c r="SCV258" s="609"/>
      <c r="SCW258" s="609"/>
      <c r="SCX258" s="609"/>
      <c r="SCY258" s="609"/>
      <c r="SCZ258" s="609"/>
      <c r="SDA258" s="609"/>
      <c r="SDB258" s="609"/>
      <c r="SDC258" s="609"/>
      <c r="SDD258" s="609"/>
      <c r="SDE258" s="609"/>
      <c r="SDF258" s="609"/>
      <c r="SDG258" s="609"/>
      <c r="SDH258" s="609"/>
      <c r="SDI258" s="609"/>
      <c r="SDJ258" s="609"/>
      <c r="SDK258" s="609"/>
      <c r="SDL258" s="609"/>
      <c r="SDM258" s="609"/>
      <c r="SDN258" s="609"/>
      <c r="SDO258" s="609"/>
      <c r="SDP258" s="609"/>
      <c r="SDQ258" s="609"/>
      <c r="SDR258" s="609"/>
      <c r="SDS258" s="609"/>
      <c r="SDT258" s="609"/>
      <c r="SDU258" s="609"/>
      <c r="SDV258" s="609"/>
      <c r="SDW258" s="609"/>
      <c r="SDX258" s="609"/>
      <c r="SDY258" s="609"/>
      <c r="SDZ258" s="609"/>
      <c r="SEA258" s="609"/>
      <c r="SEB258" s="609"/>
      <c r="SEC258" s="609"/>
      <c r="SED258" s="609"/>
      <c r="SEE258" s="609"/>
      <c r="SEF258" s="609"/>
      <c r="SEG258" s="609"/>
      <c r="SEH258" s="609"/>
      <c r="SEI258" s="609"/>
      <c r="SEJ258" s="609"/>
      <c r="SEK258" s="609"/>
      <c r="SEL258" s="609"/>
      <c r="SEM258" s="609"/>
      <c r="SEN258" s="609"/>
      <c r="SEO258" s="609"/>
      <c r="SEP258" s="609"/>
      <c r="SEQ258" s="609"/>
      <c r="SER258" s="609"/>
      <c r="SES258" s="609"/>
      <c r="SET258" s="609"/>
      <c r="SEU258" s="609"/>
      <c r="SEV258" s="609"/>
      <c r="SEW258" s="609"/>
      <c r="SEX258" s="609"/>
      <c r="SEY258" s="609"/>
      <c r="SEZ258" s="609"/>
      <c r="SFA258" s="609"/>
      <c r="SFB258" s="609"/>
      <c r="SFC258" s="609"/>
      <c r="SFD258" s="609"/>
      <c r="SFE258" s="609"/>
      <c r="SFF258" s="609"/>
      <c r="SFG258" s="609"/>
      <c r="SFH258" s="609"/>
      <c r="SFI258" s="609"/>
      <c r="SFJ258" s="609"/>
      <c r="SFK258" s="609"/>
      <c r="SFL258" s="609"/>
      <c r="SFM258" s="609"/>
      <c r="SFN258" s="609"/>
      <c r="SFO258" s="609"/>
      <c r="SFP258" s="609"/>
      <c r="SFQ258" s="609"/>
      <c r="SFR258" s="609"/>
      <c r="SFS258" s="609"/>
      <c r="SFT258" s="609"/>
      <c r="SFU258" s="609"/>
      <c r="SFV258" s="609"/>
      <c r="SFW258" s="609"/>
      <c r="SFX258" s="609"/>
      <c r="SFY258" s="609"/>
      <c r="SFZ258" s="609"/>
      <c r="SGA258" s="609"/>
      <c r="SGB258" s="609"/>
      <c r="SGC258" s="609"/>
      <c r="SGD258" s="609"/>
      <c r="SGE258" s="609"/>
      <c r="SGF258" s="609"/>
      <c r="SGG258" s="609"/>
      <c r="SGH258" s="609"/>
      <c r="SGI258" s="609"/>
      <c r="SGJ258" s="609"/>
      <c r="SGK258" s="609"/>
      <c r="SGL258" s="609"/>
      <c r="SGM258" s="609"/>
      <c r="SGN258" s="609"/>
      <c r="SGO258" s="609"/>
      <c r="SGP258" s="609"/>
      <c r="SGQ258" s="609"/>
      <c r="SGR258" s="609"/>
      <c r="SGS258" s="609"/>
      <c r="SGT258" s="609"/>
      <c r="SGU258" s="609"/>
      <c r="SGV258" s="609"/>
      <c r="SGW258" s="609"/>
      <c r="SGX258" s="609"/>
      <c r="SGY258" s="609"/>
      <c r="SGZ258" s="609"/>
      <c r="SHA258" s="609"/>
      <c r="SHB258" s="609"/>
      <c r="SHC258" s="609"/>
      <c r="SHD258" s="609"/>
      <c r="SHE258" s="609"/>
      <c r="SHF258" s="609"/>
      <c r="SHG258" s="609"/>
      <c r="SHH258" s="609"/>
      <c r="SHI258" s="609"/>
      <c r="SHJ258" s="609"/>
      <c r="SHK258" s="609"/>
      <c r="SHL258" s="609"/>
      <c r="SHM258" s="609"/>
      <c r="SHN258" s="609"/>
      <c r="SHO258" s="609"/>
      <c r="SHP258" s="609"/>
      <c r="SHQ258" s="609"/>
      <c r="SHR258" s="609"/>
      <c r="SHS258" s="609"/>
      <c r="SHT258" s="609"/>
      <c r="SHU258" s="609"/>
      <c r="SHV258" s="609"/>
      <c r="SHW258" s="609"/>
      <c r="SHX258" s="609"/>
      <c r="SHY258" s="609"/>
      <c r="SHZ258" s="609"/>
      <c r="SIA258" s="609"/>
      <c r="SIB258" s="609"/>
      <c r="SIC258" s="609"/>
      <c r="SID258" s="609"/>
      <c r="SIE258" s="609"/>
      <c r="SIF258" s="609"/>
      <c r="SIG258" s="609"/>
      <c r="SIH258" s="609"/>
      <c r="SII258" s="609"/>
      <c r="SIJ258" s="609"/>
      <c r="SIK258" s="609"/>
      <c r="SIL258" s="609"/>
      <c r="SIM258" s="609"/>
      <c r="SIN258" s="609"/>
      <c r="SIO258" s="609"/>
      <c r="SIP258" s="609"/>
      <c r="SIQ258" s="609"/>
      <c r="SIR258" s="609"/>
      <c r="SIS258" s="609"/>
      <c r="SIT258" s="609"/>
      <c r="SIU258" s="609"/>
      <c r="SIV258" s="609"/>
      <c r="SIW258" s="609"/>
      <c r="SIX258" s="609"/>
      <c r="SIY258" s="609"/>
      <c r="SIZ258" s="609"/>
      <c r="SJA258" s="609"/>
      <c r="SJB258" s="609"/>
      <c r="SJC258" s="609"/>
      <c r="SJD258" s="609"/>
      <c r="SJE258" s="609"/>
      <c r="SJF258" s="609"/>
      <c r="SJG258" s="609"/>
      <c r="SJH258" s="609"/>
      <c r="SJI258" s="609"/>
      <c r="SJJ258" s="609"/>
      <c r="SJK258" s="609"/>
      <c r="SJL258" s="609"/>
      <c r="SJM258" s="609"/>
      <c r="SJN258" s="609"/>
      <c r="SJO258" s="609"/>
      <c r="SJP258" s="609"/>
      <c r="SJQ258" s="609"/>
      <c r="SJR258" s="609"/>
      <c r="SJS258" s="609"/>
      <c r="SJT258" s="609"/>
      <c r="SJU258" s="609"/>
      <c r="SJV258" s="609"/>
      <c r="SJW258" s="609"/>
      <c r="SJX258" s="609"/>
      <c r="SJY258" s="609"/>
      <c r="SJZ258" s="609"/>
      <c r="SKA258" s="609"/>
      <c r="SKB258" s="609"/>
      <c r="SKC258" s="609"/>
      <c r="SKD258" s="609"/>
      <c r="SKE258" s="609"/>
      <c r="SKF258" s="609"/>
      <c r="SKG258" s="609"/>
      <c r="SKH258" s="609"/>
      <c r="SKI258" s="609"/>
      <c r="SKJ258" s="609"/>
      <c r="SKK258" s="609"/>
      <c r="SKL258" s="609"/>
      <c r="SKM258" s="609"/>
      <c r="SKN258" s="609"/>
      <c r="SKO258" s="609"/>
      <c r="SKP258" s="609"/>
      <c r="SKQ258" s="609"/>
      <c r="SKR258" s="609"/>
      <c r="SKS258" s="609"/>
      <c r="SKT258" s="609"/>
      <c r="SKU258" s="609"/>
      <c r="SKV258" s="609"/>
      <c r="SKW258" s="609"/>
      <c r="SKX258" s="609"/>
      <c r="SKY258" s="609"/>
      <c r="SKZ258" s="609"/>
      <c r="SLA258" s="609"/>
      <c r="SLB258" s="609"/>
      <c r="SLC258" s="609"/>
      <c r="SLD258" s="609"/>
      <c r="SLE258" s="609"/>
      <c r="SLF258" s="609"/>
      <c r="SLG258" s="609"/>
      <c r="SLH258" s="609"/>
      <c r="SLI258" s="609"/>
      <c r="SLJ258" s="609"/>
      <c r="SLK258" s="609"/>
      <c r="SLL258" s="609"/>
      <c r="SLM258" s="609"/>
      <c r="SLN258" s="609"/>
      <c r="SLO258" s="609"/>
      <c r="SLP258" s="609"/>
      <c r="SLQ258" s="609"/>
      <c r="SLR258" s="609"/>
      <c r="SLS258" s="609"/>
      <c r="SLT258" s="609"/>
      <c r="SLU258" s="609"/>
      <c r="SLV258" s="609"/>
      <c r="SLW258" s="609"/>
      <c r="SLX258" s="609"/>
      <c r="SLY258" s="609"/>
      <c r="SLZ258" s="609"/>
      <c r="SMA258" s="609"/>
      <c r="SMB258" s="609"/>
      <c r="SMC258" s="609"/>
      <c r="SMD258" s="609"/>
      <c r="SME258" s="609"/>
      <c r="SMF258" s="609"/>
      <c r="SMG258" s="609"/>
      <c r="SMH258" s="609"/>
      <c r="SMI258" s="609"/>
      <c r="SMJ258" s="609"/>
      <c r="SMK258" s="609"/>
      <c r="SML258" s="609"/>
      <c r="SMM258" s="609"/>
      <c r="SMN258" s="609"/>
      <c r="SMO258" s="609"/>
      <c r="SMP258" s="609"/>
      <c r="SMQ258" s="609"/>
      <c r="SMR258" s="609"/>
      <c r="SMS258" s="609"/>
      <c r="SMT258" s="609"/>
      <c r="SMU258" s="609"/>
      <c r="SMV258" s="609"/>
      <c r="SMW258" s="609"/>
      <c r="SMX258" s="609"/>
      <c r="SMY258" s="609"/>
      <c r="SMZ258" s="609"/>
      <c r="SNA258" s="609"/>
      <c r="SNB258" s="609"/>
      <c r="SNC258" s="609"/>
      <c r="SND258" s="609"/>
      <c r="SNE258" s="609"/>
      <c r="SNF258" s="609"/>
      <c r="SNG258" s="609"/>
      <c r="SNH258" s="609"/>
      <c r="SNI258" s="609"/>
      <c r="SNJ258" s="609"/>
      <c r="SNK258" s="609"/>
      <c r="SNL258" s="609"/>
      <c r="SNM258" s="609"/>
      <c r="SNN258" s="609"/>
      <c r="SNO258" s="609"/>
      <c r="SNP258" s="609"/>
      <c r="SNQ258" s="609"/>
      <c r="SNR258" s="609"/>
      <c r="SNS258" s="609"/>
      <c r="SNT258" s="609"/>
      <c r="SNU258" s="609"/>
      <c r="SNV258" s="609"/>
      <c r="SNW258" s="609"/>
      <c r="SNX258" s="609"/>
      <c r="SNY258" s="609"/>
      <c r="SNZ258" s="609"/>
      <c r="SOA258" s="609"/>
      <c r="SOB258" s="609"/>
      <c r="SOC258" s="609"/>
      <c r="SOD258" s="609"/>
      <c r="SOE258" s="609"/>
      <c r="SOF258" s="609"/>
      <c r="SOG258" s="609"/>
      <c r="SOH258" s="609"/>
      <c r="SOI258" s="609"/>
      <c r="SOJ258" s="609"/>
      <c r="SOK258" s="609"/>
      <c r="SOL258" s="609"/>
      <c r="SOM258" s="609"/>
      <c r="SON258" s="609"/>
      <c r="SOO258" s="609"/>
      <c r="SOP258" s="609"/>
      <c r="SOQ258" s="609"/>
      <c r="SOR258" s="609"/>
      <c r="SOS258" s="609"/>
      <c r="SOT258" s="609"/>
      <c r="SOU258" s="609"/>
      <c r="SOV258" s="609"/>
      <c r="SOW258" s="609"/>
      <c r="SOX258" s="609"/>
      <c r="SOY258" s="609"/>
      <c r="SOZ258" s="609"/>
      <c r="SPA258" s="609"/>
      <c r="SPB258" s="609"/>
      <c r="SPC258" s="609"/>
      <c r="SPD258" s="609"/>
      <c r="SPE258" s="609"/>
      <c r="SPF258" s="609"/>
      <c r="SPG258" s="609"/>
      <c r="SPH258" s="609"/>
      <c r="SPI258" s="609"/>
      <c r="SPJ258" s="609"/>
      <c r="SPK258" s="609"/>
      <c r="SPL258" s="609"/>
      <c r="SPM258" s="609"/>
      <c r="SPN258" s="609"/>
      <c r="SPO258" s="609"/>
      <c r="SPP258" s="609"/>
      <c r="SPQ258" s="609"/>
      <c r="SPR258" s="609"/>
      <c r="SPS258" s="609"/>
      <c r="SPT258" s="609"/>
      <c r="SPU258" s="609"/>
      <c r="SPV258" s="609"/>
      <c r="SPW258" s="609"/>
      <c r="SPX258" s="609"/>
      <c r="SPY258" s="609"/>
      <c r="SPZ258" s="609"/>
      <c r="SQA258" s="609"/>
      <c r="SQB258" s="609"/>
      <c r="SQC258" s="609"/>
      <c r="SQD258" s="609"/>
      <c r="SQE258" s="609"/>
      <c r="SQF258" s="609"/>
      <c r="SQG258" s="609"/>
      <c r="SQH258" s="609"/>
      <c r="SQI258" s="609"/>
      <c r="SQJ258" s="609"/>
      <c r="SQK258" s="609"/>
      <c r="SQL258" s="609"/>
      <c r="SQM258" s="609"/>
      <c r="SQN258" s="609"/>
      <c r="SQO258" s="609"/>
      <c r="SQP258" s="609"/>
      <c r="SQQ258" s="609"/>
      <c r="SQR258" s="609"/>
      <c r="SQS258" s="609"/>
      <c r="SQT258" s="609"/>
      <c r="SQU258" s="609"/>
      <c r="SQV258" s="609"/>
      <c r="SQW258" s="609"/>
      <c r="SQX258" s="609"/>
      <c r="SQY258" s="609"/>
      <c r="SQZ258" s="609"/>
      <c r="SRA258" s="609"/>
      <c r="SRB258" s="609"/>
      <c r="SRC258" s="609"/>
      <c r="SRD258" s="609"/>
      <c r="SRE258" s="609"/>
      <c r="SRF258" s="609"/>
      <c r="SRG258" s="609"/>
      <c r="SRH258" s="609"/>
      <c r="SRI258" s="609"/>
      <c r="SRJ258" s="609"/>
      <c r="SRK258" s="609"/>
      <c r="SRL258" s="609"/>
      <c r="SRM258" s="609"/>
      <c r="SRN258" s="609"/>
      <c r="SRO258" s="609"/>
      <c r="SRP258" s="609"/>
      <c r="SRQ258" s="609"/>
      <c r="SRR258" s="609"/>
      <c r="SRS258" s="609"/>
      <c r="SRT258" s="609"/>
      <c r="SRU258" s="609"/>
      <c r="SRV258" s="609"/>
      <c r="SRW258" s="609"/>
      <c r="SRX258" s="609"/>
      <c r="SRY258" s="609"/>
      <c r="SRZ258" s="609"/>
      <c r="SSA258" s="609"/>
      <c r="SSB258" s="609"/>
      <c r="SSC258" s="609"/>
      <c r="SSD258" s="609"/>
      <c r="SSE258" s="609"/>
      <c r="SSF258" s="609"/>
      <c r="SSG258" s="609"/>
      <c r="SSH258" s="609"/>
      <c r="SSI258" s="609"/>
      <c r="SSJ258" s="609"/>
      <c r="SSK258" s="609"/>
      <c r="SSL258" s="609"/>
      <c r="SSM258" s="609"/>
      <c r="SSN258" s="609"/>
      <c r="SSO258" s="609"/>
      <c r="SSP258" s="609"/>
      <c r="SSQ258" s="609"/>
      <c r="SSR258" s="609"/>
      <c r="SSS258" s="609"/>
      <c r="SST258" s="609"/>
      <c r="SSU258" s="609"/>
      <c r="SSV258" s="609"/>
      <c r="SSW258" s="609"/>
      <c r="SSX258" s="609"/>
      <c r="SSY258" s="609"/>
      <c r="SSZ258" s="609"/>
      <c r="STA258" s="609"/>
      <c r="STB258" s="609"/>
      <c r="STC258" s="609"/>
      <c r="STD258" s="609"/>
      <c r="STE258" s="609"/>
      <c r="STF258" s="609"/>
      <c r="STG258" s="609"/>
      <c r="STH258" s="609"/>
      <c r="STI258" s="609"/>
      <c r="STJ258" s="609"/>
      <c r="STK258" s="609"/>
      <c r="STL258" s="609"/>
      <c r="STM258" s="609"/>
      <c r="STN258" s="609"/>
      <c r="STO258" s="609"/>
      <c r="STP258" s="609"/>
      <c r="STQ258" s="609"/>
      <c r="STR258" s="609"/>
      <c r="STS258" s="609"/>
      <c r="STT258" s="609"/>
      <c r="STU258" s="609"/>
      <c r="STV258" s="609"/>
      <c r="STW258" s="609"/>
      <c r="STX258" s="609"/>
      <c r="STY258" s="609"/>
      <c r="STZ258" s="609"/>
      <c r="SUA258" s="609"/>
      <c r="SUB258" s="609"/>
      <c r="SUC258" s="609"/>
      <c r="SUD258" s="609"/>
      <c r="SUE258" s="609"/>
      <c r="SUF258" s="609"/>
      <c r="SUG258" s="609"/>
      <c r="SUH258" s="609"/>
      <c r="SUI258" s="609"/>
      <c r="SUJ258" s="609"/>
      <c r="SUK258" s="609"/>
      <c r="SUL258" s="609"/>
      <c r="SUM258" s="609"/>
      <c r="SUN258" s="609"/>
      <c r="SUO258" s="609"/>
      <c r="SUP258" s="609"/>
      <c r="SUQ258" s="609"/>
      <c r="SUR258" s="609"/>
      <c r="SUS258" s="609"/>
      <c r="SUT258" s="609"/>
      <c r="SUU258" s="609"/>
      <c r="SUV258" s="609"/>
      <c r="SUW258" s="609"/>
      <c r="SUX258" s="609"/>
      <c r="SUY258" s="609"/>
      <c r="SUZ258" s="609"/>
      <c r="SVA258" s="609"/>
      <c r="SVB258" s="609"/>
      <c r="SVC258" s="609"/>
      <c r="SVD258" s="609"/>
      <c r="SVE258" s="609"/>
      <c r="SVF258" s="609"/>
      <c r="SVG258" s="609"/>
      <c r="SVH258" s="609"/>
      <c r="SVI258" s="609"/>
      <c r="SVJ258" s="609"/>
      <c r="SVK258" s="609"/>
      <c r="SVL258" s="609"/>
      <c r="SVM258" s="609"/>
      <c r="SVN258" s="609"/>
      <c r="SVO258" s="609"/>
      <c r="SVP258" s="609"/>
      <c r="SVQ258" s="609"/>
      <c r="SVR258" s="609"/>
      <c r="SVS258" s="609"/>
      <c r="SVT258" s="609"/>
      <c r="SVU258" s="609"/>
      <c r="SVV258" s="609"/>
      <c r="SVW258" s="609"/>
      <c r="SVX258" s="609"/>
      <c r="SVY258" s="609"/>
      <c r="SVZ258" s="609"/>
      <c r="SWA258" s="609"/>
      <c r="SWB258" s="609"/>
      <c r="SWC258" s="609"/>
      <c r="SWD258" s="609"/>
      <c r="SWE258" s="609"/>
      <c r="SWF258" s="609"/>
      <c r="SWG258" s="609"/>
      <c r="SWH258" s="609"/>
      <c r="SWI258" s="609"/>
      <c r="SWJ258" s="609"/>
      <c r="SWK258" s="609"/>
      <c r="SWL258" s="609"/>
      <c r="SWM258" s="609"/>
      <c r="SWN258" s="609"/>
      <c r="SWO258" s="609"/>
      <c r="SWP258" s="609"/>
      <c r="SWQ258" s="609"/>
      <c r="SWR258" s="609"/>
      <c r="SWS258" s="609"/>
      <c r="SWT258" s="609"/>
      <c r="SWU258" s="609"/>
      <c r="SWV258" s="609"/>
      <c r="SWW258" s="609"/>
      <c r="SWX258" s="609"/>
      <c r="SWY258" s="609"/>
      <c r="SWZ258" s="609"/>
      <c r="SXA258" s="609"/>
      <c r="SXB258" s="609"/>
      <c r="SXC258" s="609"/>
      <c r="SXD258" s="609"/>
      <c r="SXE258" s="609"/>
      <c r="SXF258" s="609"/>
      <c r="SXG258" s="609"/>
      <c r="SXH258" s="609"/>
      <c r="SXI258" s="609"/>
      <c r="SXJ258" s="609"/>
      <c r="SXK258" s="609"/>
      <c r="SXL258" s="609"/>
      <c r="SXM258" s="609"/>
      <c r="SXN258" s="609"/>
      <c r="SXO258" s="609"/>
      <c r="SXP258" s="609"/>
      <c r="SXQ258" s="609"/>
      <c r="SXR258" s="609"/>
      <c r="SXS258" s="609"/>
      <c r="SXT258" s="609"/>
      <c r="SXU258" s="609"/>
      <c r="SXV258" s="609"/>
      <c r="SXW258" s="609"/>
      <c r="SXX258" s="609"/>
      <c r="SXY258" s="609"/>
      <c r="SXZ258" s="609"/>
      <c r="SYA258" s="609"/>
      <c r="SYB258" s="609"/>
      <c r="SYC258" s="609"/>
      <c r="SYD258" s="609"/>
      <c r="SYE258" s="609"/>
      <c r="SYF258" s="609"/>
      <c r="SYG258" s="609"/>
      <c r="SYH258" s="609"/>
      <c r="SYI258" s="609"/>
      <c r="SYJ258" s="609"/>
      <c r="SYK258" s="609"/>
      <c r="SYL258" s="609"/>
      <c r="SYM258" s="609"/>
      <c r="SYN258" s="609"/>
      <c r="SYO258" s="609"/>
      <c r="SYP258" s="609"/>
      <c r="SYQ258" s="609"/>
      <c r="SYR258" s="609"/>
      <c r="SYS258" s="609"/>
      <c r="SYT258" s="609"/>
      <c r="SYU258" s="609"/>
      <c r="SYV258" s="609"/>
      <c r="SYW258" s="609"/>
      <c r="SYX258" s="609"/>
      <c r="SYY258" s="609"/>
      <c r="SYZ258" s="609"/>
      <c r="SZA258" s="609"/>
      <c r="SZB258" s="609"/>
      <c r="SZC258" s="609"/>
      <c r="SZD258" s="609"/>
      <c r="SZE258" s="609"/>
      <c r="SZF258" s="609"/>
      <c r="SZG258" s="609"/>
      <c r="SZH258" s="609"/>
      <c r="SZI258" s="609"/>
      <c r="SZJ258" s="609"/>
      <c r="SZK258" s="609"/>
      <c r="SZL258" s="609"/>
      <c r="SZM258" s="609"/>
      <c r="SZN258" s="609"/>
      <c r="SZO258" s="609"/>
      <c r="SZP258" s="609"/>
      <c r="SZQ258" s="609"/>
      <c r="SZR258" s="609"/>
      <c r="SZS258" s="609"/>
      <c r="SZT258" s="609"/>
      <c r="SZU258" s="609"/>
      <c r="SZV258" s="609"/>
      <c r="SZW258" s="609"/>
      <c r="SZX258" s="609"/>
      <c r="SZY258" s="609"/>
      <c r="SZZ258" s="609"/>
      <c r="TAA258" s="609"/>
      <c r="TAB258" s="609"/>
      <c r="TAC258" s="609"/>
      <c r="TAD258" s="609"/>
      <c r="TAE258" s="609"/>
      <c r="TAF258" s="609"/>
      <c r="TAG258" s="609"/>
      <c r="TAH258" s="609"/>
      <c r="TAI258" s="609"/>
      <c r="TAJ258" s="609"/>
      <c r="TAK258" s="609"/>
      <c r="TAL258" s="609"/>
      <c r="TAM258" s="609"/>
      <c r="TAN258" s="609"/>
      <c r="TAO258" s="609"/>
      <c r="TAP258" s="609"/>
      <c r="TAQ258" s="609"/>
      <c r="TAR258" s="609"/>
      <c r="TAS258" s="609"/>
      <c r="TAT258" s="609"/>
      <c r="TAU258" s="609"/>
      <c r="TAV258" s="609"/>
      <c r="TAW258" s="609"/>
      <c r="TAX258" s="609"/>
      <c r="TAY258" s="609"/>
      <c r="TAZ258" s="609"/>
      <c r="TBA258" s="609"/>
      <c r="TBB258" s="609"/>
      <c r="TBC258" s="609"/>
      <c r="TBD258" s="609"/>
      <c r="TBE258" s="609"/>
      <c r="TBF258" s="609"/>
      <c r="TBG258" s="609"/>
      <c r="TBH258" s="609"/>
      <c r="TBI258" s="609"/>
      <c r="TBJ258" s="609"/>
      <c r="TBK258" s="609"/>
      <c r="TBL258" s="609"/>
      <c r="TBM258" s="609"/>
      <c r="TBN258" s="609"/>
      <c r="TBO258" s="609"/>
      <c r="TBP258" s="609"/>
      <c r="TBQ258" s="609"/>
      <c r="TBR258" s="609"/>
      <c r="TBS258" s="609"/>
      <c r="TBT258" s="609"/>
      <c r="TBU258" s="609"/>
      <c r="TBV258" s="609"/>
      <c r="TBW258" s="609"/>
      <c r="TBX258" s="609"/>
      <c r="TBY258" s="609"/>
      <c r="TBZ258" s="609"/>
      <c r="TCA258" s="609"/>
      <c r="TCB258" s="609"/>
      <c r="TCC258" s="609"/>
      <c r="TCD258" s="609"/>
      <c r="TCE258" s="609"/>
      <c r="TCF258" s="609"/>
      <c r="TCG258" s="609"/>
      <c r="TCH258" s="609"/>
      <c r="TCI258" s="609"/>
      <c r="TCJ258" s="609"/>
      <c r="TCK258" s="609"/>
      <c r="TCL258" s="609"/>
      <c r="TCM258" s="609"/>
      <c r="TCN258" s="609"/>
      <c r="TCO258" s="609"/>
      <c r="TCP258" s="609"/>
      <c r="TCQ258" s="609"/>
      <c r="TCR258" s="609"/>
      <c r="TCS258" s="609"/>
      <c r="TCT258" s="609"/>
      <c r="TCU258" s="609"/>
      <c r="TCV258" s="609"/>
      <c r="TCW258" s="609"/>
      <c r="TCX258" s="609"/>
      <c r="TCY258" s="609"/>
      <c r="TCZ258" s="609"/>
      <c r="TDA258" s="609"/>
      <c r="TDB258" s="609"/>
      <c r="TDC258" s="609"/>
      <c r="TDD258" s="609"/>
      <c r="TDE258" s="609"/>
      <c r="TDF258" s="609"/>
      <c r="TDG258" s="609"/>
      <c r="TDH258" s="609"/>
      <c r="TDI258" s="609"/>
      <c r="TDJ258" s="609"/>
      <c r="TDK258" s="609"/>
      <c r="TDL258" s="609"/>
      <c r="TDM258" s="609"/>
      <c r="TDN258" s="609"/>
      <c r="TDO258" s="609"/>
      <c r="TDP258" s="609"/>
      <c r="TDQ258" s="609"/>
      <c r="TDR258" s="609"/>
      <c r="TDS258" s="609"/>
      <c r="TDT258" s="609"/>
      <c r="TDU258" s="609"/>
      <c r="TDV258" s="609"/>
      <c r="TDW258" s="609"/>
      <c r="TDX258" s="609"/>
      <c r="TDY258" s="609"/>
      <c r="TDZ258" s="609"/>
      <c r="TEA258" s="609"/>
      <c r="TEB258" s="609"/>
      <c r="TEC258" s="609"/>
      <c r="TED258" s="609"/>
      <c r="TEE258" s="609"/>
      <c r="TEF258" s="609"/>
      <c r="TEG258" s="609"/>
      <c r="TEH258" s="609"/>
      <c r="TEI258" s="609"/>
      <c r="TEJ258" s="609"/>
      <c r="TEK258" s="609"/>
      <c r="TEL258" s="609"/>
      <c r="TEM258" s="609"/>
      <c r="TEN258" s="609"/>
      <c r="TEO258" s="609"/>
      <c r="TEP258" s="609"/>
      <c r="TEQ258" s="609"/>
      <c r="TER258" s="609"/>
      <c r="TES258" s="609"/>
      <c r="TET258" s="609"/>
      <c r="TEU258" s="609"/>
      <c r="TEV258" s="609"/>
      <c r="TEW258" s="609"/>
      <c r="TEX258" s="609"/>
      <c r="TEY258" s="609"/>
      <c r="TEZ258" s="609"/>
      <c r="TFA258" s="609"/>
      <c r="TFB258" s="609"/>
      <c r="TFC258" s="609"/>
      <c r="TFD258" s="609"/>
      <c r="TFE258" s="609"/>
      <c r="TFF258" s="609"/>
      <c r="TFG258" s="609"/>
      <c r="TFH258" s="609"/>
      <c r="TFI258" s="609"/>
      <c r="TFJ258" s="609"/>
      <c r="TFK258" s="609"/>
      <c r="TFL258" s="609"/>
      <c r="TFM258" s="609"/>
      <c r="TFN258" s="609"/>
      <c r="TFO258" s="609"/>
      <c r="TFP258" s="609"/>
      <c r="TFQ258" s="609"/>
      <c r="TFR258" s="609"/>
      <c r="TFS258" s="609"/>
      <c r="TFT258" s="609"/>
      <c r="TFU258" s="609"/>
      <c r="TFV258" s="609"/>
      <c r="TFW258" s="609"/>
      <c r="TFX258" s="609"/>
      <c r="TFY258" s="609"/>
      <c r="TFZ258" s="609"/>
      <c r="TGA258" s="609"/>
      <c r="TGB258" s="609"/>
      <c r="TGC258" s="609"/>
      <c r="TGD258" s="609"/>
      <c r="TGE258" s="609"/>
      <c r="TGF258" s="609"/>
      <c r="TGG258" s="609"/>
      <c r="TGH258" s="609"/>
      <c r="TGI258" s="609"/>
      <c r="TGJ258" s="609"/>
      <c r="TGK258" s="609"/>
      <c r="TGL258" s="609"/>
      <c r="TGM258" s="609"/>
      <c r="TGN258" s="609"/>
      <c r="TGO258" s="609"/>
      <c r="TGP258" s="609"/>
      <c r="TGQ258" s="609"/>
      <c r="TGR258" s="609"/>
      <c r="TGS258" s="609"/>
      <c r="TGT258" s="609"/>
      <c r="TGU258" s="609"/>
      <c r="TGV258" s="609"/>
      <c r="TGW258" s="609"/>
      <c r="TGX258" s="609"/>
      <c r="TGY258" s="609"/>
      <c r="TGZ258" s="609"/>
      <c r="THA258" s="609"/>
      <c r="THB258" s="609"/>
      <c r="THC258" s="609"/>
      <c r="THD258" s="609"/>
      <c r="THE258" s="609"/>
      <c r="THF258" s="609"/>
      <c r="THG258" s="609"/>
      <c r="THH258" s="609"/>
      <c r="THI258" s="609"/>
      <c r="THJ258" s="609"/>
      <c r="THK258" s="609"/>
      <c r="THL258" s="609"/>
      <c r="THM258" s="609"/>
      <c r="THN258" s="609"/>
      <c r="THO258" s="609"/>
      <c r="THP258" s="609"/>
      <c r="THQ258" s="609"/>
      <c r="THR258" s="609"/>
      <c r="THS258" s="609"/>
      <c r="THT258" s="609"/>
      <c r="THU258" s="609"/>
      <c r="THV258" s="609"/>
      <c r="THW258" s="609"/>
      <c r="THX258" s="609"/>
      <c r="THY258" s="609"/>
      <c r="THZ258" s="609"/>
      <c r="TIA258" s="609"/>
      <c r="TIB258" s="609"/>
      <c r="TIC258" s="609"/>
      <c r="TID258" s="609"/>
      <c r="TIE258" s="609"/>
      <c r="TIF258" s="609"/>
      <c r="TIG258" s="609"/>
      <c r="TIH258" s="609"/>
      <c r="TII258" s="609"/>
      <c r="TIJ258" s="609"/>
      <c r="TIK258" s="609"/>
      <c r="TIL258" s="609"/>
      <c r="TIM258" s="609"/>
      <c r="TIN258" s="609"/>
      <c r="TIO258" s="609"/>
      <c r="TIP258" s="609"/>
      <c r="TIQ258" s="609"/>
      <c r="TIR258" s="609"/>
      <c r="TIS258" s="609"/>
      <c r="TIT258" s="609"/>
      <c r="TIU258" s="609"/>
      <c r="TIV258" s="609"/>
      <c r="TIW258" s="609"/>
      <c r="TIX258" s="609"/>
      <c r="TIY258" s="609"/>
      <c r="TIZ258" s="609"/>
      <c r="TJA258" s="609"/>
      <c r="TJB258" s="609"/>
      <c r="TJC258" s="609"/>
      <c r="TJD258" s="609"/>
      <c r="TJE258" s="609"/>
      <c r="TJF258" s="609"/>
      <c r="TJG258" s="609"/>
      <c r="TJH258" s="609"/>
      <c r="TJI258" s="609"/>
      <c r="TJJ258" s="609"/>
      <c r="TJK258" s="609"/>
      <c r="TJL258" s="609"/>
      <c r="TJM258" s="609"/>
      <c r="TJN258" s="609"/>
      <c r="TJO258" s="609"/>
      <c r="TJP258" s="609"/>
      <c r="TJQ258" s="609"/>
      <c r="TJR258" s="609"/>
      <c r="TJS258" s="609"/>
      <c r="TJT258" s="609"/>
      <c r="TJU258" s="609"/>
      <c r="TJV258" s="609"/>
      <c r="TJW258" s="609"/>
      <c r="TJX258" s="609"/>
      <c r="TJY258" s="609"/>
      <c r="TJZ258" s="609"/>
      <c r="TKA258" s="609"/>
      <c r="TKB258" s="609"/>
      <c r="TKC258" s="609"/>
      <c r="TKD258" s="609"/>
      <c r="TKE258" s="609"/>
      <c r="TKF258" s="609"/>
      <c r="TKG258" s="609"/>
      <c r="TKH258" s="609"/>
      <c r="TKI258" s="609"/>
      <c r="TKJ258" s="609"/>
      <c r="TKK258" s="609"/>
      <c r="TKL258" s="609"/>
      <c r="TKM258" s="609"/>
      <c r="TKN258" s="609"/>
      <c r="TKO258" s="609"/>
      <c r="TKP258" s="609"/>
      <c r="TKQ258" s="609"/>
      <c r="TKR258" s="609"/>
      <c r="TKS258" s="609"/>
      <c r="TKT258" s="609"/>
      <c r="TKU258" s="609"/>
      <c r="TKV258" s="609"/>
      <c r="TKW258" s="609"/>
      <c r="TKX258" s="609"/>
      <c r="TKY258" s="609"/>
      <c r="TKZ258" s="609"/>
      <c r="TLA258" s="609"/>
      <c r="TLB258" s="609"/>
      <c r="TLC258" s="609"/>
      <c r="TLD258" s="609"/>
      <c r="TLE258" s="609"/>
      <c r="TLF258" s="609"/>
      <c r="TLG258" s="609"/>
      <c r="TLH258" s="609"/>
      <c r="TLI258" s="609"/>
      <c r="TLJ258" s="609"/>
      <c r="TLK258" s="609"/>
      <c r="TLL258" s="609"/>
      <c r="TLM258" s="609"/>
      <c r="TLN258" s="609"/>
      <c r="TLO258" s="609"/>
      <c r="TLP258" s="609"/>
      <c r="TLQ258" s="609"/>
      <c r="TLR258" s="609"/>
      <c r="TLS258" s="609"/>
      <c r="TLT258" s="609"/>
      <c r="TLU258" s="609"/>
      <c r="TLV258" s="609"/>
      <c r="TLW258" s="609"/>
      <c r="TLX258" s="609"/>
      <c r="TLY258" s="609"/>
      <c r="TLZ258" s="609"/>
      <c r="TMA258" s="609"/>
      <c r="TMB258" s="609"/>
      <c r="TMC258" s="609"/>
      <c r="TMD258" s="609"/>
      <c r="TME258" s="609"/>
      <c r="TMF258" s="609"/>
      <c r="TMG258" s="609"/>
      <c r="TMH258" s="609"/>
      <c r="TMI258" s="609"/>
      <c r="TMJ258" s="609"/>
      <c r="TMK258" s="609"/>
      <c r="TML258" s="609"/>
      <c r="TMM258" s="609"/>
      <c r="TMN258" s="609"/>
      <c r="TMO258" s="609"/>
      <c r="TMP258" s="609"/>
      <c r="TMQ258" s="609"/>
      <c r="TMR258" s="609"/>
      <c r="TMS258" s="609"/>
      <c r="TMT258" s="609"/>
      <c r="TMU258" s="609"/>
      <c r="TMV258" s="609"/>
      <c r="TMW258" s="609"/>
      <c r="TMX258" s="609"/>
      <c r="TMY258" s="609"/>
      <c r="TMZ258" s="609"/>
      <c r="TNA258" s="609"/>
      <c r="TNB258" s="609"/>
      <c r="TNC258" s="609"/>
      <c r="TND258" s="609"/>
      <c r="TNE258" s="609"/>
      <c r="TNF258" s="609"/>
      <c r="TNG258" s="609"/>
      <c r="TNH258" s="609"/>
      <c r="TNI258" s="609"/>
      <c r="TNJ258" s="609"/>
      <c r="TNK258" s="609"/>
      <c r="TNL258" s="609"/>
      <c r="TNM258" s="609"/>
      <c r="TNN258" s="609"/>
      <c r="TNO258" s="609"/>
      <c r="TNP258" s="609"/>
      <c r="TNQ258" s="609"/>
      <c r="TNR258" s="609"/>
      <c r="TNS258" s="609"/>
      <c r="TNT258" s="609"/>
      <c r="TNU258" s="609"/>
      <c r="TNV258" s="609"/>
      <c r="TNW258" s="609"/>
      <c r="TNX258" s="609"/>
      <c r="TNY258" s="609"/>
      <c r="TNZ258" s="609"/>
      <c r="TOA258" s="609"/>
      <c r="TOB258" s="609"/>
      <c r="TOC258" s="609"/>
      <c r="TOD258" s="609"/>
      <c r="TOE258" s="609"/>
      <c r="TOF258" s="609"/>
      <c r="TOG258" s="609"/>
      <c r="TOH258" s="609"/>
      <c r="TOI258" s="609"/>
      <c r="TOJ258" s="609"/>
      <c r="TOK258" s="609"/>
      <c r="TOL258" s="609"/>
      <c r="TOM258" s="609"/>
      <c r="TON258" s="609"/>
      <c r="TOO258" s="609"/>
      <c r="TOP258" s="609"/>
      <c r="TOQ258" s="609"/>
      <c r="TOR258" s="609"/>
      <c r="TOS258" s="609"/>
      <c r="TOT258" s="609"/>
      <c r="TOU258" s="609"/>
      <c r="TOV258" s="609"/>
      <c r="TOW258" s="609"/>
      <c r="TOX258" s="609"/>
      <c r="TOY258" s="609"/>
      <c r="TOZ258" s="609"/>
      <c r="TPA258" s="609"/>
      <c r="TPB258" s="609"/>
      <c r="TPC258" s="609"/>
      <c r="TPD258" s="609"/>
      <c r="TPE258" s="609"/>
      <c r="TPF258" s="609"/>
      <c r="TPG258" s="609"/>
      <c r="TPH258" s="609"/>
      <c r="TPI258" s="609"/>
      <c r="TPJ258" s="609"/>
      <c r="TPK258" s="609"/>
      <c r="TPL258" s="609"/>
      <c r="TPM258" s="609"/>
      <c r="TPN258" s="609"/>
      <c r="TPO258" s="609"/>
      <c r="TPP258" s="609"/>
      <c r="TPQ258" s="609"/>
      <c r="TPR258" s="609"/>
      <c r="TPS258" s="609"/>
      <c r="TPT258" s="609"/>
      <c r="TPU258" s="609"/>
      <c r="TPV258" s="609"/>
      <c r="TPW258" s="609"/>
      <c r="TPX258" s="609"/>
      <c r="TPY258" s="609"/>
      <c r="TPZ258" s="609"/>
      <c r="TQA258" s="609"/>
      <c r="TQB258" s="609"/>
      <c r="TQC258" s="609"/>
      <c r="TQD258" s="609"/>
      <c r="TQE258" s="609"/>
      <c r="TQF258" s="609"/>
      <c r="TQG258" s="609"/>
      <c r="TQH258" s="609"/>
      <c r="TQI258" s="609"/>
      <c r="TQJ258" s="609"/>
      <c r="TQK258" s="609"/>
      <c r="TQL258" s="609"/>
      <c r="TQM258" s="609"/>
      <c r="TQN258" s="609"/>
      <c r="TQO258" s="609"/>
      <c r="TQP258" s="609"/>
      <c r="TQQ258" s="609"/>
      <c r="TQR258" s="609"/>
      <c r="TQS258" s="609"/>
      <c r="TQT258" s="609"/>
      <c r="TQU258" s="609"/>
      <c r="TQV258" s="609"/>
      <c r="TQW258" s="609"/>
      <c r="TQX258" s="609"/>
      <c r="TQY258" s="609"/>
      <c r="TQZ258" s="609"/>
      <c r="TRA258" s="609"/>
      <c r="TRB258" s="609"/>
      <c r="TRC258" s="609"/>
      <c r="TRD258" s="609"/>
      <c r="TRE258" s="609"/>
      <c r="TRF258" s="609"/>
      <c r="TRG258" s="609"/>
      <c r="TRH258" s="609"/>
      <c r="TRI258" s="609"/>
      <c r="TRJ258" s="609"/>
      <c r="TRK258" s="609"/>
      <c r="TRL258" s="609"/>
      <c r="TRM258" s="609"/>
      <c r="TRN258" s="609"/>
      <c r="TRO258" s="609"/>
      <c r="TRP258" s="609"/>
      <c r="TRQ258" s="609"/>
      <c r="TRR258" s="609"/>
      <c r="TRS258" s="609"/>
      <c r="TRT258" s="609"/>
      <c r="TRU258" s="609"/>
      <c r="TRV258" s="609"/>
      <c r="TRW258" s="609"/>
      <c r="TRX258" s="609"/>
      <c r="TRY258" s="609"/>
      <c r="TRZ258" s="609"/>
      <c r="TSA258" s="609"/>
      <c r="TSB258" s="609"/>
      <c r="TSC258" s="609"/>
      <c r="TSD258" s="609"/>
      <c r="TSE258" s="609"/>
      <c r="TSF258" s="609"/>
      <c r="TSG258" s="609"/>
      <c r="TSH258" s="609"/>
      <c r="TSI258" s="609"/>
      <c r="TSJ258" s="609"/>
      <c r="TSK258" s="609"/>
      <c r="TSL258" s="609"/>
      <c r="TSM258" s="609"/>
      <c r="TSN258" s="609"/>
      <c r="TSO258" s="609"/>
      <c r="TSP258" s="609"/>
      <c r="TSQ258" s="609"/>
      <c r="TSR258" s="609"/>
      <c r="TSS258" s="609"/>
      <c r="TST258" s="609"/>
      <c r="TSU258" s="609"/>
      <c r="TSV258" s="609"/>
      <c r="TSW258" s="609"/>
      <c r="TSX258" s="609"/>
      <c r="TSY258" s="609"/>
      <c r="TSZ258" s="609"/>
      <c r="TTA258" s="609"/>
      <c r="TTB258" s="609"/>
      <c r="TTC258" s="609"/>
      <c r="TTD258" s="609"/>
      <c r="TTE258" s="609"/>
      <c r="TTF258" s="609"/>
      <c r="TTG258" s="609"/>
      <c r="TTH258" s="609"/>
      <c r="TTI258" s="609"/>
      <c r="TTJ258" s="609"/>
      <c r="TTK258" s="609"/>
      <c r="TTL258" s="609"/>
      <c r="TTM258" s="609"/>
      <c r="TTN258" s="609"/>
      <c r="TTO258" s="609"/>
      <c r="TTP258" s="609"/>
      <c r="TTQ258" s="609"/>
      <c r="TTR258" s="609"/>
      <c r="TTS258" s="609"/>
      <c r="TTT258" s="609"/>
      <c r="TTU258" s="609"/>
      <c r="TTV258" s="609"/>
      <c r="TTW258" s="609"/>
      <c r="TTX258" s="609"/>
      <c r="TTY258" s="609"/>
      <c r="TTZ258" s="609"/>
      <c r="TUA258" s="609"/>
      <c r="TUB258" s="609"/>
      <c r="TUC258" s="609"/>
      <c r="TUD258" s="609"/>
      <c r="TUE258" s="609"/>
      <c r="TUF258" s="609"/>
      <c r="TUG258" s="609"/>
      <c r="TUH258" s="609"/>
      <c r="TUI258" s="609"/>
      <c r="TUJ258" s="609"/>
      <c r="TUK258" s="609"/>
      <c r="TUL258" s="609"/>
      <c r="TUM258" s="609"/>
      <c r="TUN258" s="609"/>
      <c r="TUO258" s="609"/>
      <c r="TUP258" s="609"/>
      <c r="TUQ258" s="609"/>
      <c r="TUR258" s="609"/>
      <c r="TUS258" s="609"/>
      <c r="TUT258" s="609"/>
      <c r="TUU258" s="609"/>
      <c r="TUV258" s="609"/>
      <c r="TUW258" s="609"/>
      <c r="TUX258" s="609"/>
      <c r="TUY258" s="609"/>
      <c r="TUZ258" s="609"/>
      <c r="TVA258" s="609"/>
      <c r="TVB258" s="609"/>
      <c r="TVC258" s="609"/>
      <c r="TVD258" s="609"/>
      <c r="TVE258" s="609"/>
      <c r="TVF258" s="609"/>
      <c r="TVG258" s="609"/>
      <c r="TVH258" s="609"/>
      <c r="TVI258" s="609"/>
      <c r="TVJ258" s="609"/>
      <c r="TVK258" s="609"/>
      <c r="TVL258" s="609"/>
      <c r="TVM258" s="609"/>
      <c r="TVN258" s="609"/>
      <c r="TVO258" s="609"/>
      <c r="TVP258" s="609"/>
      <c r="TVQ258" s="609"/>
      <c r="TVR258" s="609"/>
      <c r="TVS258" s="609"/>
      <c r="TVT258" s="609"/>
      <c r="TVU258" s="609"/>
      <c r="TVV258" s="609"/>
      <c r="TVW258" s="609"/>
      <c r="TVX258" s="609"/>
      <c r="TVY258" s="609"/>
      <c r="TVZ258" s="609"/>
      <c r="TWA258" s="609"/>
      <c r="TWB258" s="609"/>
      <c r="TWC258" s="609"/>
      <c r="TWD258" s="609"/>
      <c r="TWE258" s="609"/>
      <c r="TWF258" s="609"/>
      <c r="TWG258" s="609"/>
      <c r="TWH258" s="609"/>
      <c r="TWI258" s="609"/>
      <c r="TWJ258" s="609"/>
      <c r="TWK258" s="609"/>
      <c r="TWL258" s="609"/>
      <c r="TWM258" s="609"/>
      <c r="TWN258" s="609"/>
      <c r="TWO258" s="609"/>
      <c r="TWP258" s="609"/>
      <c r="TWQ258" s="609"/>
      <c r="TWR258" s="609"/>
      <c r="TWS258" s="609"/>
      <c r="TWT258" s="609"/>
      <c r="TWU258" s="609"/>
      <c r="TWV258" s="609"/>
      <c r="TWW258" s="609"/>
      <c r="TWX258" s="609"/>
      <c r="TWY258" s="609"/>
      <c r="TWZ258" s="609"/>
      <c r="TXA258" s="609"/>
      <c r="TXB258" s="609"/>
      <c r="TXC258" s="609"/>
      <c r="TXD258" s="609"/>
      <c r="TXE258" s="609"/>
      <c r="TXF258" s="609"/>
      <c r="TXG258" s="609"/>
      <c r="TXH258" s="609"/>
      <c r="TXI258" s="609"/>
      <c r="TXJ258" s="609"/>
      <c r="TXK258" s="609"/>
      <c r="TXL258" s="609"/>
      <c r="TXM258" s="609"/>
      <c r="TXN258" s="609"/>
      <c r="TXO258" s="609"/>
      <c r="TXP258" s="609"/>
      <c r="TXQ258" s="609"/>
      <c r="TXR258" s="609"/>
      <c r="TXS258" s="609"/>
      <c r="TXT258" s="609"/>
      <c r="TXU258" s="609"/>
      <c r="TXV258" s="609"/>
      <c r="TXW258" s="609"/>
      <c r="TXX258" s="609"/>
      <c r="TXY258" s="609"/>
      <c r="TXZ258" s="609"/>
      <c r="TYA258" s="609"/>
      <c r="TYB258" s="609"/>
      <c r="TYC258" s="609"/>
      <c r="TYD258" s="609"/>
      <c r="TYE258" s="609"/>
      <c r="TYF258" s="609"/>
      <c r="TYG258" s="609"/>
      <c r="TYH258" s="609"/>
      <c r="TYI258" s="609"/>
      <c r="TYJ258" s="609"/>
      <c r="TYK258" s="609"/>
      <c r="TYL258" s="609"/>
      <c r="TYM258" s="609"/>
      <c r="TYN258" s="609"/>
      <c r="TYO258" s="609"/>
      <c r="TYP258" s="609"/>
      <c r="TYQ258" s="609"/>
      <c r="TYR258" s="609"/>
      <c r="TYS258" s="609"/>
      <c r="TYT258" s="609"/>
      <c r="TYU258" s="609"/>
      <c r="TYV258" s="609"/>
      <c r="TYW258" s="609"/>
      <c r="TYX258" s="609"/>
      <c r="TYY258" s="609"/>
      <c r="TYZ258" s="609"/>
      <c r="TZA258" s="609"/>
      <c r="TZB258" s="609"/>
      <c r="TZC258" s="609"/>
      <c r="TZD258" s="609"/>
      <c r="TZE258" s="609"/>
      <c r="TZF258" s="609"/>
      <c r="TZG258" s="609"/>
      <c r="TZH258" s="609"/>
      <c r="TZI258" s="609"/>
      <c r="TZJ258" s="609"/>
      <c r="TZK258" s="609"/>
      <c r="TZL258" s="609"/>
      <c r="TZM258" s="609"/>
      <c r="TZN258" s="609"/>
      <c r="TZO258" s="609"/>
      <c r="TZP258" s="609"/>
      <c r="TZQ258" s="609"/>
      <c r="TZR258" s="609"/>
      <c r="TZS258" s="609"/>
      <c r="TZT258" s="609"/>
      <c r="TZU258" s="609"/>
      <c r="TZV258" s="609"/>
      <c r="TZW258" s="609"/>
      <c r="TZX258" s="609"/>
      <c r="TZY258" s="609"/>
      <c r="TZZ258" s="609"/>
      <c r="UAA258" s="609"/>
      <c r="UAB258" s="609"/>
      <c r="UAC258" s="609"/>
      <c r="UAD258" s="609"/>
      <c r="UAE258" s="609"/>
      <c r="UAF258" s="609"/>
      <c r="UAG258" s="609"/>
      <c r="UAH258" s="609"/>
      <c r="UAI258" s="609"/>
      <c r="UAJ258" s="609"/>
      <c r="UAK258" s="609"/>
      <c r="UAL258" s="609"/>
      <c r="UAM258" s="609"/>
      <c r="UAN258" s="609"/>
      <c r="UAO258" s="609"/>
      <c r="UAP258" s="609"/>
      <c r="UAQ258" s="609"/>
      <c r="UAR258" s="609"/>
      <c r="UAS258" s="609"/>
      <c r="UAT258" s="609"/>
      <c r="UAU258" s="609"/>
      <c r="UAV258" s="609"/>
      <c r="UAW258" s="609"/>
      <c r="UAX258" s="609"/>
      <c r="UAY258" s="609"/>
      <c r="UAZ258" s="609"/>
      <c r="UBA258" s="609"/>
      <c r="UBB258" s="609"/>
      <c r="UBC258" s="609"/>
      <c r="UBD258" s="609"/>
      <c r="UBE258" s="609"/>
      <c r="UBF258" s="609"/>
      <c r="UBG258" s="609"/>
      <c r="UBH258" s="609"/>
      <c r="UBI258" s="609"/>
      <c r="UBJ258" s="609"/>
      <c r="UBK258" s="609"/>
      <c r="UBL258" s="609"/>
      <c r="UBM258" s="609"/>
      <c r="UBN258" s="609"/>
      <c r="UBO258" s="609"/>
      <c r="UBP258" s="609"/>
      <c r="UBQ258" s="609"/>
      <c r="UBR258" s="609"/>
      <c r="UBS258" s="609"/>
      <c r="UBT258" s="609"/>
      <c r="UBU258" s="609"/>
      <c r="UBV258" s="609"/>
      <c r="UBW258" s="609"/>
      <c r="UBX258" s="609"/>
      <c r="UBY258" s="609"/>
      <c r="UBZ258" s="609"/>
      <c r="UCA258" s="609"/>
      <c r="UCB258" s="609"/>
      <c r="UCC258" s="609"/>
      <c r="UCD258" s="609"/>
      <c r="UCE258" s="609"/>
      <c r="UCF258" s="609"/>
      <c r="UCG258" s="609"/>
      <c r="UCH258" s="609"/>
      <c r="UCI258" s="609"/>
      <c r="UCJ258" s="609"/>
      <c r="UCK258" s="609"/>
      <c r="UCL258" s="609"/>
      <c r="UCM258" s="609"/>
      <c r="UCN258" s="609"/>
      <c r="UCO258" s="609"/>
      <c r="UCP258" s="609"/>
      <c r="UCQ258" s="609"/>
      <c r="UCR258" s="609"/>
      <c r="UCS258" s="609"/>
      <c r="UCT258" s="609"/>
      <c r="UCU258" s="609"/>
      <c r="UCV258" s="609"/>
      <c r="UCW258" s="609"/>
      <c r="UCX258" s="609"/>
      <c r="UCY258" s="609"/>
      <c r="UCZ258" s="609"/>
      <c r="UDA258" s="609"/>
      <c r="UDB258" s="609"/>
      <c r="UDC258" s="609"/>
      <c r="UDD258" s="609"/>
      <c r="UDE258" s="609"/>
      <c r="UDF258" s="609"/>
      <c r="UDG258" s="609"/>
      <c r="UDH258" s="609"/>
      <c r="UDI258" s="609"/>
      <c r="UDJ258" s="609"/>
      <c r="UDK258" s="609"/>
      <c r="UDL258" s="609"/>
      <c r="UDM258" s="609"/>
      <c r="UDN258" s="609"/>
      <c r="UDO258" s="609"/>
      <c r="UDP258" s="609"/>
      <c r="UDQ258" s="609"/>
      <c r="UDR258" s="609"/>
      <c r="UDS258" s="609"/>
      <c r="UDT258" s="609"/>
      <c r="UDU258" s="609"/>
      <c r="UDV258" s="609"/>
      <c r="UDW258" s="609"/>
      <c r="UDX258" s="609"/>
      <c r="UDY258" s="609"/>
      <c r="UDZ258" s="609"/>
      <c r="UEA258" s="609"/>
      <c r="UEB258" s="609"/>
      <c r="UEC258" s="609"/>
      <c r="UED258" s="609"/>
      <c r="UEE258" s="609"/>
      <c r="UEF258" s="609"/>
      <c r="UEG258" s="609"/>
      <c r="UEH258" s="609"/>
      <c r="UEI258" s="609"/>
      <c r="UEJ258" s="609"/>
      <c r="UEK258" s="609"/>
      <c r="UEL258" s="609"/>
      <c r="UEM258" s="609"/>
      <c r="UEN258" s="609"/>
      <c r="UEO258" s="609"/>
      <c r="UEP258" s="609"/>
      <c r="UEQ258" s="609"/>
      <c r="UER258" s="609"/>
      <c r="UES258" s="609"/>
      <c r="UET258" s="609"/>
      <c r="UEU258" s="609"/>
      <c r="UEV258" s="609"/>
      <c r="UEW258" s="609"/>
      <c r="UEX258" s="609"/>
      <c r="UEY258" s="609"/>
      <c r="UEZ258" s="609"/>
      <c r="UFA258" s="609"/>
      <c r="UFB258" s="609"/>
      <c r="UFC258" s="609"/>
      <c r="UFD258" s="609"/>
      <c r="UFE258" s="609"/>
      <c r="UFF258" s="609"/>
      <c r="UFG258" s="609"/>
      <c r="UFH258" s="609"/>
      <c r="UFI258" s="609"/>
      <c r="UFJ258" s="609"/>
      <c r="UFK258" s="609"/>
      <c r="UFL258" s="609"/>
      <c r="UFM258" s="609"/>
      <c r="UFN258" s="609"/>
      <c r="UFO258" s="609"/>
      <c r="UFP258" s="609"/>
      <c r="UFQ258" s="609"/>
      <c r="UFR258" s="609"/>
      <c r="UFS258" s="609"/>
      <c r="UFT258" s="609"/>
      <c r="UFU258" s="609"/>
      <c r="UFV258" s="609"/>
      <c r="UFW258" s="609"/>
      <c r="UFX258" s="609"/>
      <c r="UFY258" s="609"/>
      <c r="UFZ258" s="609"/>
      <c r="UGA258" s="609"/>
      <c r="UGB258" s="609"/>
      <c r="UGC258" s="609"/>
      <c r="UGD258" s="609"/>
      <c r="UGE258" s="609"/>
      <c r="UGF258" s="609"/>
      <c r="UGG258" s="609"/>
      <c r="UGH258" s="609"/>
      <c r="UGI258" s="609"/>
      <c r="UGJ258" s="609"/>
      <c r="UGK258" s="609"/>
      <c r="UGL258" s="609"/>
      <c r="UGM258" s="609"/>
      <c r="UGN258" s="609"/>
      <c r="UGO258" s="609"/>
      <c r="UGP258" s="609"/>
      <c r="UGQ258" s="609"/>
      <c r="UGR258" s="609"/>
      <c r="UGS258" s="609"/>
      <c r="UGT258" s="609"/>
      <c r="UGU258" s="609"/>
      <c r="UGV258" s="609"/>
      <c r="UGW258" s="609"/>
      <c r="UGX258" s="609"/>
      <c r="UGY258" s="609"/>
      <c r="UGZ258" s="609"/>
      <c r="UHA258" s="609"/>
      <c r="UHB258" s="609"/>
      <c r="UHC258" s="609"/>
      <c r="UHD258" s="609"/>
      <c r="UHE258" s="609"/>
      <c r="UHF258" s="609"/>
      <c r="UHG258" s="609"/>
      <c r="UHH258" s="609"/>
      <c r="UHI258" s="609"/>
      <c r="UHJ258" s="609"/>
      <c r="UHK258" s="609"/>
      <c r="UHL258" s="609"/>
      <c r="UHM258" s="609"/>
      <c r="UHN258" s="609"/>
      <c r="UHO258" s="609"/>
      <c r="UHP258" s="609"/>
      <c r="UHQ258" s="609"/>
      <c r="UHR258" s="609"/>
      <c r="UHS258" s="609"/>
      <c r="UHT258" s="609"/>
      <c r="UHU258" s="609"/>
      <c r="UHV258" s="609"/>
      <c r="UHW258" s="609"/>
      <c r="UHX258" s="609"/>
      <c r="UHY258" s="609"/>
      <c r="UHZ258" s="609"/>
      <c r="UIA258" s="609"/>
      <c r="UIB258" s="609"/>
      <c r="UIC258" s="609"/>
      <c r="UID258" s="609"/>
      <c r="UIE258" s="609"/>
      <c r="UIF258" s="609"/>
      <c r="UIG258" s="609"/>
      <c r="UIH258" s="609"/>
      <c r="UII258" s="609"/>
      <c r="UIJ258" s="609"/>
      <c r="UIK258" s="609"/>
      <c r="UIL258" s="609"/>
      <c r="UIM258" s="609"/>
      <c r="UIN258" s="609"/>
      <c r="UIO258" s="609"/>
      <c r="UIP258" s="609"/>
      <c r="UIQ258" s="609"/>
      <c r="UIR258" s="609"/>
      <c r="UIS258" s="609"/>
      <c r="UIT258" s="609"/>
      <c r="UIU258" s="609"/>
      <c r="UIV258" s="609"/>
      <c r="UIW258" s="609"/>
      <c r="UIX258" s="609"/>
      <c r="UIY258" s="609"/>
      <c r="UIZ258" s="609"/>
      <c r="UJA258" s="609"/>
      <c r="UJB258" s="609"/>
      <c r="UJC258" s="609"/>
      <c r="UJD258" s="609"/>
      <c r="UJE258" s="609"/>
      <c r="UJF258" s="609"/>
      <c r="UJG258" s="609"/>
      <c r="UJH258" s="609"/>
      <c r="UJI258" s="609"/>
      <c r="UJJ258" s="609"/>
      <c r="UJK258" s="609"/>
      <c r="UJL258" s="609"/>
      <c r="UJM258" s="609"/>
      <c r="UJN258" s="609"/>
      <c r="UJO258" s="609"/>
      <c r="UJP258" s="609"/>
      <c r="UJQ258" s="609"/>
      <c r="UJR258" s="609"/>
      <c r="UJS258" s="609"/>
      <c r="UJT258" s="609"/>
      <c r="UJU258" s="609"/>
      <c r="UJV258" s="609"/>
      <c r="UJW258" s="609"/>
      <c r="UJX258" s="609"/>
      <c r="UJY258" s="609"/>
      <c r="UJZ258" s="609"/>
      <c r="UKA258" s="609"/>
      <c r="UKB258" s="609"/>
      <c r="UKC258" s="609"/>
      <c r="UKD258" s="609"/>
      <c r="UKE258" s="609"/>
      <c r="UKF258" s="609"/>
      <c r="UKG258" s="609"/>
      <c r="UKH258" s="609"/>
      <c r="UKI258" s="609"/>
      <c r="UKJ258" s="609"/>
      <c r="UKK258" s="609"/>
      <c r="UKL258" s="609"/>
      <c r="UKM258" s="609"/>
      <c r="UKN258" s="609"/>
      <c r="UKO258" s="609"/>
      <c r="UKP258" s="609"/>
      <c r="UKQ258" s="609"/>
      <c r="UKR258" s="609"/>
      <c r="UKS258" s="609"/>
      <c r="UKT258" s="609"/>
      <c r="UKU258" s="609"/>
      <c r="UKV258" s="609"/>
      <c r="UKW258" s="609"/>
      <c r="UKX258" s="609"/>
      <c r="UKY258" s="609"/>
      <c r="UKZ258" s="609"/>
      <c r="ULA258" s="609"/>
      <c r="ULB258" s="609"/>
      <c r="ULC258" s="609"/>
      <c r="ULD258" s="609"/>
      <c r="ULE258" s="609"/>
      <c r="ULF258" s="609"/>
      <c r="ULG258" s="609"/>
      <c r="ULH258" s="609"/>
      <c r="ULI258" s="609"/>
      <c r="ULJ258" s="609"/>
      <c r="ULK258" s="609"/>
      <c r="ULL258" s="609"/>
      <c r="ULM258" s="609"/>
      <c r="ULN258" s="609"/>
      <c r="ULO258" s="609"/>
      <c r="ULP258" s="609"/>
      <c r="ULQ258" s="609"/>
      <c r="ULR258" s="609"/>
      <c r="ULS258" s="609"/>
      <c r="ULT258" s="609"/>
      <c r="ULU258" s="609"/>
      <c r="ULV258" s="609"/>
      <c r="ULW258" s="609"/>
      <c r="ULX258" s="609"/>
      <c r="ULY258" s="609"/>
      <c r="ULZ258" s="609"/>
      <c r="UMA258" s="609"/>
      <c r="UMB258" s="609"/>
      <c r="UMC258" s="609"/>
      <c r="UMD258" s="609"/>
      <c r="UME258" s="609"/>
      <c r="UMF258" s="609"/>
      <c r="UMG258" s="609"/>
      <c r="UMH258" s="609"/>
      <c r="UMI258" s="609"/>
      <c r="UMJ258" s="609"/>
      <c r="UMK258" s="609"/>
      <c r="UML258" s="609"/>
      <c r="UMM258" s="609"/>
      <c r="UMN258" s="609"/>
      <c r="UMO258" s="609"/>
      <c r="UMP258" s="609"/>
      <c r="UMQ258" s="609"/>
      <c r="UMR258" s="609"/>
      <c r="UMS258" s="609"/>
      <c r="UMT258" s="609"/>
      <c r="UMU258" s="609"/>
      <c r="UMV258" s="609"/>
      <c r="UMW258" s="609"/>
      <c r="UMX258" s="609"/>
      <c r="UMY258" s="609"/>
      <c r="UMZ258" s="609"/>
      <c r="UNA258" s="609"/>
      <c r="UNB258" s="609"/>
      <c r="UNC258" s="609"/>
      <c r="UND258" s="609"/>
      <c r="UNE258" s="609"/>
      <c r="UNF258" s="609"/>
      <c r="UNG258" s="609"/>
      <c r="UNH258" s="609"/>
      <c r="UNI258" s="609"/>
      <c r="UNJ258" s="609"/>
      <c r="UNK258" s="609"/>
      <c r="UNL258" s="609"/>
      <c r="UNM258" s="609"/>
      <c r="UNN258" s="609"/>
      <c r="UNO258" s="609"/>
      <c r="UNP258" s="609"/>
      <c r="UNQ258" s="609"/>
      <c r="UNR258" s="609"/>
      <c r="UNS258" s="609"/>
      <c r="UNT258" s="609"/>
      <c r="UNU258" s="609"/>
      <c r="UNV258" s="609"/>
      <c r="UNW258" s="609"/>
      <c r="UNX258" s="609"/>
      <c r="UNY258" s="609"/>
      <c r="UNZ258" s="609"/>
      <c r="UOA258" s="609"/>
      <c r="UOB258" s="609"/>
      <c r="UOC258" s="609"/>
      <c r="UOD258" s="609"/>
      <c r="UOE258" s="609"/>
      <c r="UOF258" s="609"/>
      <c r="UOG258" s="609"/>
      <c r="UOH258" s="609"/>
      <c r="UOI258" s="609"/>
      <c r="UOJ258" s="609"/>
      <c r="UOK258" s="609"/>
      <c r="UOL258" s="609"/>
      <c r="UOM258" s="609"/>
      <c r="UON258" s="609"/>
      <c r="UOO258" s="609"/>
      <c r="UOP258" s="609"/>
      <c r="UOQ258" s="609"/>
      <c r="UOR258" s="609"/>
      <c r="UOS258" s="609"/>
      <c r="UOT258" s="609"/>
      <c r="UOU258" s="609"/>
      <c r="UOV258" s="609"/>
      <c r="UOW258" s="609"/>
      <c r="UOX258" s="609"/>
      <c r="UOY258" s="609"/>
      <c r="UOZ258" s="609"/>
      <c r="UPA258" s="609"/>
      <c r="UPB258" s="609"/>
      <c r="UPC258" s="609"/>
      <c r="UPD258" s="609"/>
      <c r="UPE258" s="609"/>
      <c r="UPF258" s="609"/>
      <c r="UPG258" s="609"/>
      <c r="UPH258" s="609"/>
      <c r="UPI258" s="609"/>
      <c r="UPJ258" s="609"/>
      <c r="UPK258" s="609"/>
      <c r="UPL258" s="609"/>
      <c r="UPM258" s="609"/>
      <c r="UPN258" s="609"/>
      <c r="UPO258" s="609"/>
      <c r="UPP258" s="609"/>
      <c r="UPQ258" s="609"/>
      <c r="UPR258" s="609"/>
      <c r="UPS258" s="609"/>
      <c r="UPT258" s="609"/>
      <c r="UPU258" s="609"/>
      <c r="UPV258" s="609"/>
      <c r="UPW258" s="609"/>
      <c r="UPX258" s="609"/>
      <c r="UPY258" s="609"/>
      <c r="UPZ258" s="609"/>
      <c r="UQA258" s="609"/>
      <c r="UQB258" s="609"/>
      <c r="UQC258" s="609"/>
      <c r="UQD258" s="609"/>
      <c r="UQE258" s="609"/>
      <c r="UQF258" s="609"/>
      <c r="UQG258" s="609"/>
      <c r="UQH258" s="609"/>
      <c r="UQI258" s="609"/>
      <c r="UQJ258" s="609"/>
      <c r="UQK258" s="609"/>
      <c r="UQL258" s="609"/>
      <c r="UQM258" s="609"/>
      <c r="UQN258" s="609"/>
      <c r="UQO258" s="609"/>
      <c r="UQP258" s="609"/>
      <c r="UQQ258" s="609"/>
      <c r="UQR258" s="609"/>
      <c r="UQS258" s="609"/>
      <c r="UQT258" s="609"/>
      <c r="UQU258" s="609"/>
      <c r="UQV258" s="609"/>
      <c r="UQW258" s="609"/>
      <c r="UQX258" s="609"/>
      <c r="UQY258" s="609"/>
      <c r="UQZ258" s="609"/>
      <c r="URA258" s="609"/>
      <c r="URB258" s="609"/>
      <c r="URC258" s="609"/>
      <c r="URD258" s="609"/>
      <c r="URE258" s="609"/>
      <c r="URF258" s="609"/>
      <c r="URG258" s="609"/>
      <c r="URH258" s="609"/>
      <c r="URI258" s="609"/>
      <c r="URJ258" s="609"/>
      <c r="URK258" s="609"/>
      <c r="URL258" s="609"/>
      <c r="URM258" s="609"/>
      <c r="URN258" s="609"/>
      <c r="URO258" s="609"/>
      <c r="URP258" s="609"/>
      <c r="URQ258" s="609"/>
      <c r="URR258" s="609"/>
      <c r="URS258" s="609"/>
      <c r="URT258" s="609"/>
      <c r="URU258" s="609"/>
      <c r="URV258" s="609"/>
      <c r="URW258" s="609"/>
      <c r="URX258" s="609"/>
      <c r="URY258" s="609"/>
      <c r="URZ258" s="609"/>
      <c r="USA258" s="609"/>
      <c r="USB258" s="609"/>
      <c r="USC258" s="609"/>
      <c r="USD258" s="609"/>
      <c r="USE258" s="609"/>
      <c r="USF258" s="609"/>
      <c r="USG258" s="609"/>
      <c r="USH258" s="609"/>
      <c r="USI258" s="609"/>
      <c r="USJ258" s="609"/>
      <c r="USK258" s="609"/>
      <c r="USL258" s="609"/>
      <c r="USM258" s="609"/>
      <c r="USN258" s="609"/>
      <c r="USO258" s="609"/>
      <c r="USP258" s="609"/>
      <c r="USQ258" s="609"/>
      <c r="USR258" s="609"/>
      <c r="USS258" s="609"/>
      <c r="UST258" s="609"/>
      <c r="USU258" s="609"/>
      <c r="USV258" s="609"/>
      <c r="USW258" s="609"/>
      <c r="USX258" s="609"/>
      <c r="USY258" s="609"/>
      <c r="USZ258" s="609"/>
      <c r="UTA258" s="609"/>
      <c r="UTB258" s="609"/>
      <c r="UTC258" s="609"/>
      <c r="UTD258" s="609"/>
      <c r="UTE258" s="609"/>
      <c r="UTF258" s="609"/>
      <c r="UTG258" s="609"/>
      <c r="UTH258" s="609"/>
      <c r="UTI258" s="609"/>
      <c r="UTJ258" s="609"/>
      <c r="UTK258" s="609"/>
      <c r="UTL258" s="609"/>
      <c r="UTM258" s="609"/>
      <c r="UTN258" s="609"/>
      <c r="UTO258" s="609"/>
      <c r="UTP258" s="609"/>
      <c r="UTQ258" s="609"/>
      <c r="UTR258" s="609"/>
      <c r="UTS258" s="609"/>
      <c r="UTT258" s="609"/>
      <c r="UTU258" s="609"/>
      <c r="UTV258" s="609"/>
      <c r="UTW258" s="609"/>
      <c r="UTX258" s="609"/>
      <c r="UTY258" s="609"/>
      <c r="UTZ258" s="609"/>
      <c r="UUA258" s="609"/>
      <c r="UUB258" s="609"/>
      <c r="UUC258" s="609"/>
      <c r="UUD258" s="609"/>
      <c r="UUE258" s="609"/>
      <c r="UUF258" s="609"/>
      <c r="UUG258" s="609"/>
      <c r="UUH258" s="609"/>
      <c r="UUI258" s="609"/>
      <c r="UUJ258" s="609"/>
      <c r="UUK258" s="609"/>
      <c r="UUL258" s="609"/>
      <c r="UUM258" s="609"/>
      <c r="UUN258" s="609"/>
      <c r="UUO258" s="609"/>
      <c r="UUP258" s="609"/>
      <c r="UUQ258" s="609"/>
      <c r="UUR258" s="609"/>
      <c r="UUS258" s="609"/>
      <c r="UUT258" s="609"/>
      <c r="UUU258" s="609"/>
      <c r="UUV258" s="609"/>
      <c r="UUW258" s="609"/>
      <c r="UUX258" s="609"/>
      <c r="UUY258" s="609"/>
      <c r="UUZ258" s="609"/>
      <c r="UVA258" s="609"/>
      <c r="UVB258" s="609"/>
      <c r="UVC258" s="609"/>
      <c r="UVD258" s="609"/>
      <c r="UVE258" s="609"/>
      <c r="UVF258" s="609"/>
      <c r="UVG258" s="609"/>
      <c r="UVH258" s="609"/>
      <c r="UVI258" s="609"/>
      <c r="UVJ258" s="609"/>
      <c r="UVK258" s="609"/>
      <c r="UVL258" s="609"/>
      <c r="UVM258" s="609"/>
      <c r="UVN258" s="609"/>
      <c r="UVO258" s="609"/>
      <c r="UVP258" s="609"/>
      <c r="UVQ258" s="609"/>
      <c r="UVR258" s="609"/>
      <c r="UVS258" s="609"/>
      <c r="UVT258" s="609"/>
      <c r="UVU258" s="609"/>
      <c r="UVV258" s="609"/>
      <c r="UVW258" s="609"/>
      <c r="UVX258" s="609"/>
      <c r="UVY258" s="609"/>
      <c r="UVZ258" s="609"/>
      <c r="UWA258" s="609"/>
      <c r="UWB258" s="609"/>
      <c r="UWC258" s="609"/>
      <c r="UWD258" s="609"/>
      <c r="UWE258" s="609"/>
      <c r="UWF258" s="609"/>
      <c r="UWG258" s="609"/>
      <c r="UWH258" s="609"/>
      <c r="UWI258" s="609"/>
      <c r="UWJ258" s="609"/>
      <c r="UWK258" s="609"/>
      <c r="UWL258" s="609"/>
      <c r="UWM258" s="609"/>
      <c r="UWN258" s="609"/>
      <c r="UWO258" s="609"/>
      <c r="UWP258" s="609"/>
      <c r="UWQ258" s="609"/>
      <c r="UWR258" s="609"/>
      <c r="UWS258" s="609"/>
      <c r="UWT258" s="609"/>
      <c r="UWU258" s="609"/>
      <c r="UWV258" s="609"/>
      <c r="UWW258" s="609"/>
      <c r="UWX258" s="609"/>
      <c r="UWY258" s="609"/>
      <c r="UWZ258" s="609"/>
      <c r="UXA258" s="609"/>
      <c r="UXB258" s="609"/>
      <c r="UXC258" s="609"/>
      <c r="UXD258" s="609"/>
      <c r="UXE258" s="609"/>
      <c r="UXF258" s="609"/>
      <c r="UXG258" s="609"/>
      <c r="UXH258" s="609"/>
      <c r="UXI258" s="609"/>
      <c r="UXJ258" s="609"/>
      <c r="UXK258" s="609"/>
      <c r="UXL258" s="609"/>
      <c r="UXM258" s="609"/>
      <c r="UXN258" s="609"/>
      <c r="UXO258" s="609"/>
      <c r="UXP258" s="609"/>
      <c r="UXQ258" s="609"/>
      <c r="UXR258" s="609"/>
      <c r="UXS258" s="609"/>
      <c r="UXT258" s="609"/>
      <c r="UXU258" s="609"/>
      <c r="UXV258" s="609"/>
      <c r="UXW258" s="609"/>
      <c r="UXX258" s="609"/>
      <c r="UXY258" s="609"/>
      <c r="UXZ258" s="609"/>
      <c r="UYA258" s="609"/>
      <c r="UYB258" s="609"/>
      <c r="UYC258" s="609"/>
      <c r="UYD258" s="609"/>
      <c r="UYE258" s="609"/>
      <c r="UYF258" s="609"/>
      <c r="UYG258" s="609"/>
      <c r="UYH258" s="609"/>
      <c r="UYI258" s="609"/>
      <c r="UYJ258" s="609"/>
      <c r="UYK258" s="609"/>
      <c r="UYL258" s="609"/>
      <c r="UYM258" s="609"/>
      <c r="UYN258" s="609"/>
      <c r="UYO258" s="609"/>
      <c r="UYP258" s="609"/>
      <c r="UYQ258" s="609"/>
      <c r="UYR258" s="609"/>
      <c r="UYS258" s="609"/>
      <c r="UYT258" s="609"/>
      <c r="UYU258" s="609"/>
      <c r="UYV258" s="609"/>
      <c r="UYW258" s="609"/>
      <c r="UYX258" s="609"/>
      <c r="UYY258" s="609"/>
      <c r="UYZ258" s="609"/>
      <c r="UZA258" s="609"/>
      <c r="UZB258" s="609"/>
      <c r="UZC258" s="609"/>
      <c r="UZD258" s="609"/>
      <c r="UZE258" s="609"/>
      <c r="UZF258" s="609"/>
      <c r="UZG258" s="609"/>
      <c r="UZH258" s="609"/>
      <c r="UZI258" s="609"/>
      <c r="UZJ258" s="609"/>
      <c r="UZK258" s="609"/>
      <c r="UZL258" s="609"/>
      <c r="UZM258" s="609"/>
      <c r="UZN258" s="609"/>
      <c r="UZO258" s="609"/>
      <c r="UZP258" s="609"/>
      <c r="UZQ258" s="609"/>
      <c r="UZR258" s="609"/>
      <c r="UZS258" s="609"/>
      <c r="UZT258" s="609"/>
      <c r="UZU258" s="609"/>
      <c r="UZV258" s="609"/>
      <c r="UZW258" s="609"/>
      <c r="UZX258" s="609"/>
      <c r="UZY258" s="609"/>
      <c r="UZZ258" s="609"/>
      <c r="VAA258" s="609"/>
      <c r="VAB258" s="609"/>
      <c r="VAC258" s="609"/>
      <c r="VAD258" s="609"/>
      <c r="VAE258" s="609"/>
      <c r="VAF258" s="609"/>
      <c r="VAG258" s="609"/>
      <c r="VAH258" s="609"/>
      <c r="VAI258" s="609"/>
      <c r="VAJ258" s="609"/>
      <c r="VAK258" s="609"/>
      <c r="VAL258" s="609"/>
      <c r="VAM258" s="609"/>
      <c r="VAN258" s="609"/>
      <c r="VAO258" s="609"/>
      <c r="VAP258" s="609"/>
      <c r="VAQ258" s="609"/>
      <c r="VAR258" s="609"/>
      <c r="VAS258" s="609"/>
      <c r="VAT258" s="609"/>
      <c r="VAU258" s="609"/>
      <c r="VAV258" s="609"/>
      <c r="VAW258" s="609"/>
      <c r="VAX258" s="609"/>
      <c r="VAY258" s="609"/>
      <c r="VAZ258" s="609"/>
      <c r="VBA258" s="609"/>
      <c r="VBB258" s="609"/>
      <c r="VBC258" s="609"/>
      <c r="VBD258" s="609"/>
      <c r="VBE258" s="609"/>
      <c r="VBF258" s="609"/>
      <c r="VBG258" s="609"/>
      <c r="VBH258" s="609"/>
      <c r="VBI258" s="609"/>
      <c r="VBJ258" s="609"/>
      <c r="VBK258" s="609"/>
      <c r="VBL258" s="609"/>
      <c r="VBM258" s="609"/>
      <c r="VBN258" s="609"/>
      <c r="VBO258" s="609"/>
      <c r="VBP258" s="609"/>
      <c r="VBQ258" s="609"/>
      <c r="VBR258" s="609"/>
      <c r="VBS258" s="609"/>
      <c r="VBT258" s="609"/>
      <c r="VBU258" s="609"/>
      <c r="VBV258" s="609"/>
      <c r="VBW258" s="609"/>
      <c r="VBX258" s="609"/>
      <c r="VBY258" s="609"/>
      <c r="VBZ258" s="609"/>
      <c r="VCA258" s="609"/>
      <c r="VCB258" s="609"/>
      <c r="VCC258" s="609"/>
      <c r="VCD258" s="609"/>
      <c r="VCE258" s="609"/>
      <c r="VCF258" s="609"/>
      <c r="VCG258" s="609"/>
      <c r="VCH258" s="609"/>
      <c r="VCI258" s="609"/>
      <c r="VCJ258" s="609"/>
      <c r="VCK258" s="609"/>
      <c r="VCL258" s="609"/>
      <c r="VCM258" s="609"/>
      <c r="VCN258" s="609"/>
      <c r="VCO258" s="609"/>
      <c r="VCP258" s="609"/>
      <c r="VCQ258" s="609"/>
      <c r="VCR258" s="609"/>
      <c r="VCS258" s="609"/>
      <c r="VCT258" s="609"/>
      <c r="VCU258" s="609"/>
      <c r="VCV258" s="609"/>
      <c r="VCW258" s="609"/>
      <c r="VCX258" s="609"/>
      <c r="VCY258" s="609"/>
      <c r="VCZ258" s="609"/>
      <c r="VDA258" s="609"/>
      <c r="VDB258" s="609"/>
      <c r="VDC258" s="609"/>
      <c r="VDD258" s="609"/>
      <c r="VDE258" s="609"/>
      <c r="VDF258" s="609"/>
      <c r="VDG258" s="609"/>
      <c r="VDH258" s="609"/>
      <c r="VDI258" s="609"/>
      <c r="VDJ258" s="609"/>
      <c r="VDK258" s="609"/>
      <c r="VDL258" s="609"/>
      <c r="VDM258" s="609"/>
      <c r="VDN258" s="609"/>
      <c r="VDO258" s="609"/>
      <c r="VDP258" s="609"/>
      <c r="VDQ258" s="609"/>
      <c r="VDR258" s="609"/>
      <c r="VDS258" s="609"/>
      <c r="VDT258" s="609"/>
      <c r="VDU258" s="609"/>
      <c r="VDV258" s="609"/>
      <c r="VDW258" s="609"/>
      <c r="VDX258" s="609"/>
      <c r="VDY258" s="609"/>
      <c r="VDZ258" s="609"/>
      <c r="VEA258" s="609"/>
      <c r="VEB258" s="609"/>
      <c r="VEC258" s="609"/>
      <c r="VED258" s="609"/>
      <c r="VEE258" s="609"/>
      <c r="VEF258" s="609"/>
      <c r="VEG258" s="609"/>
      <c r="VEH258" s="609"/>
      <c r="VEI258" s="609"/>
      <c r="VEJ258" s="609"/>
      <c r="VEK258" s="609"/>
      <c r="VEL258" s="609"/>
      <c r="VEM258" s="609"/>
      <c r="VEN258" s="609"/>
      <c r="VEO258" s="609"/>
      <c r="VEP258" s="609"/>
      <c r="VEQ258" s="609"/>
      <c r="VER258" s="609"/>
      <c r="VES258" s="609"/>
      <c r="VET258" s="609"/>
      <c r="VEU258" s="609"/>
      <c r="VEV258" s="609"/>
      <c r="VEW258" s="609"/>
      <c r="VEX258" s="609"/>
      <c r="VEY258" s="609"/>
      <c r="VEZ258" s="609"/>
      <c r="VFA258" s="609"/>
      <c r="VFB258" s="609"/>
      <c r="VFC258" s="609"/>
      <c r="VFD258" s="609"/>
      <c r="VFE258" s="609"/>
      <c r="VFF258" s="609"/>
      <c r="VFG258" s="609"/>
      <c r="VFH258" s="609"/>
      <c r="VFI258" s="609"/>
      <c r="VFJ258" s="609"/>
      <c r="VFK258" s="609"/>
      <c r="VFL258" s="609"/>
      <c r="VFM258" s="609"/>
      <c r="VFN258" s="609"/>
      <c r="VFO258" s="609"/>
      <c r="VFP258" s="609"/>
      <c r="VFQ258" s="609"/>
      <c r="VFR258" s="609"/>
      <c r="VFS258" s="609"/>
      <c r="VFT258" s="609"/>
      <c r="VFU258" s="609"/>
      <c r="VFV258" s="609"/>
      <c r="VFW258" s="609"/>
      <c r="VFX258" s="609"/>
      <c r="VFY258" s="609"/>
      <c r="VFZ258" s="609"/>
      <c r="VGA258" s="609"/>
      <c r="VGB258" s="609"/>
      <c r="VGC258" s="609"/>
      <c r="VGD258" s="609"/>
      <c r="VGE258" s="609"/>
      <c r="VGF258" s="609"/>
      <c r="VGG258" s="609"/>
      <c r="VGH258" s="609"/>
      <c r="VGI258" s="609"/>
      <c r="VGJ258" s="609"/>
      <c r="VGK258" s="609"/>
      <c r="VGL258" s="609"/>
      <c r="VGM258" s="609"/>
      <c r="VGN258" s="609"/>
      <c r="VGO258" s="609"/>
      <c r="VGP258" s="609"/>
      <c r="VGQ258" s="609"/>
      <c r="VGR258" s="609"/>
      <c r="VGS258" s="609"/>
      <c r="VGT258" s="609"/>
      <c r="VGU258" s="609"/>
      <c r="VGV258" s="609"/>
      <c r="VGW258" s="609"/>
      <c r="VGX258" s="609"/>
      <c r="VGY258" s="609"/>
      <c r="VGZ258" s="609"/>
      <c r="VHA258" s="609"/>
      <c r="VHB258" s="609"/>
      <c r="VHC258" s="609"/>
      <c r="VHD258" s="609"/>
      <c r="VHE258" s="609"/>
      <c r="VHF258" s="609"/>
      <c r="VHG258" s="609"/>
      <c r="VHH258" s="609"/>
      <c r="VHI258" s="609"/>
      <c r="VHJ258" s="609"/>
      <c r="VHK258" s="609"/>
      <c r="VHL258" s="609"/>
      <c r="VHM258" s="609"/>
      <c r="VHN258" s="609"/>
      <c r="VHO258" s="609"/>
      <c r="VHP258" s="609"/>
      <c r="VHQ258" s="609"/>
      <c r="VHR258" s="609"/>
      <c r="VHS258" s="609"/>
      <c r="VHT258" s="609"/>
      <c r="VHU258" s="609"/>
      <c r="VHV258" s="609"/>
      <c r="VHW258" s="609"/>
      <c r="VHX258" s="609"/>
      <c r="VHY258" s="609"/>
      <c r="VHZ258" s="609"/>
      <c r="VIA258" s="609"/>
      <c r="VIB258" s="609"/>
      <c r="VIC258" s="609"/>
      <c r="VID258" s="609"/>
      <c r="VIE258" s="609"/>
      <c r="VIF258" s="609"/>
      <c r="VIG258" s="609"/>
      <c r="VIH258" s="609"/>
      <c r="VII258" s="609"/>
      <c r="VIJ258" s="609"/>
      <c r="VIK258" s="609"/>
      <c r="VIL258" s="609"/>
      <c r="VIM258" s="609"/>
      <c r="VIN258" s="609"/>
      <c r="VIO258" s="609"/>
      <c r="VIP258" s="609"/>
      <c r="VIQ258" s="609"/>
      <c r="VIR258" s="609"/>
      <c r="VIS258" s="609"/>
      <c r="VIT258" s="609"/>
      <c r="VIU258" s="609"/>
      <c r="VIV258" s="609"/>
      <c r="VIW258" s="609"/>
      <c r="VIX258" s="609"/>
      <c r="VIY258" s="609"/>
      <c r="VIZ258" s="609"/>
      <c r="VJA258" s="609"/>
      <c r="VJB258" s="609"/>
      <c r="VJC258" s="609"/>
      <c r="VJD258" s="609"/>
      <c r="VJE258" s="609"/>
      <c r="VJF258" s="609"/>
      <c r="VJG258" s="609"/>
      <c r="VJH258" s="609"/>
      <c r="VJI258" s="609"/>
      <c r="VJJ258" s="609"/>
      <c r="VJK258" s="609"/>
      <c r="VJL258" s="609"/>
      <c r="VJM258" s="609"/>
      <c r="VJN258" s="609"/>
      <c r="VJO258" s="609"/>
      <c r="VJP258" s="609"/>
      <c r="VJQ258" s="609"/>
      <c r="VJR258" s="609"/>
      <c r="VJS258" s="609"/>
      <c r="VJT258" s="609"/>
      <c r="VJU258" s="609"/>
      <c r="VJV258" s="609"/>
      <c r="VJW258" s="609"/>
      <c r="VJX258" s="609"/>
      <c r="VJY258" s="609"/>
      <c r="VJZ258" s="609"/>
      <c r="VKA258" s="609"/>
      <c r="VKB258" s="609"/>
      <c r="VKC258" s="609"/>
      <c r="VKD258" s="609"/>
      <c r="VKE258" s="609"/>
      <c r="VKF258" s="609"/>
      <c r="VKG258" s="609"/>
      <c r="VKH258" s="609"/>
      <c r="VKI258" s="609"/>
      <c r="VKJ258" s="609"/>
      <c r="VKK258" s="609"/>
      <c r="VKL258" s="609"/>
      <c r="VKM258" s="609"/>
      <c r="VKN258" s="609"/>
      <c r="VKO258" s="609"/>
      <c r="VKP258" s="609"/>
      <c r="VKQ258" s="609"/>
      <c r="VKR258" s="609"/>
      <c r="VKS258" s="609"/>
      <c r="VKT258" s="609"/>
      <c r="VKU258" s="609"/>
      <c r="VKV258" s="609"/>
      <c r="VKW258" s="609"/>
      <c r="VKX258" s="609"/>
      <c r="VKY258" s="609"/>
      <c r="VKZ258" s="609"/>
      <c r="VLA258" s="609"/>
      <c r="VLB258" s="609"/>
      <c r="VLC258" s="609"/>
      <c r="VLD258" s="609"/>
      <c r="VLE258" s="609"/>
      <c r="VLF258" s="609"/>
      <c r="VLG258" s="609"/>
      <c r="VLH258" s="609"/>
      <c r="VLI258" s="609"/>
      <c r="VLJ258" s="609"/>
      <c r="VLK258" s="609"/>
      <c r="VLL258" s="609"/>
      <c r="VLM258" s="609"/>
      <c r="VLN258" s="609"/>
      <c r="VLO258" s="609"/>
      <c r="VLP258" s="609"/>
      <c r="VLQ258" s="609"/>
      <c r="VLR258" s="609"/>
      <c r="VLS258" s="609"/>
      <c r="VLT258" s="609"/>
      <c r="VLU258" s="609"/>
      <c r="VLV258" s="609"/>
      <c r="VLW258" s="609"/>
      <c r="VLX258" s="609"/>
      <c r="VLY258" s="609"/>
      <c r="VLZ258" s="609"/>
      <c r="VMA258" s="609"/>
      <c r="VMB258" s="609"/>
      <c r="VMC258" s="609"/>
      <c r="VMD258" s="609"/>
      <c r="VME258" s="609"/>
      <c r="VMF258" s="609"/>
      <c r="VMG258" s="609"/>
      <c r="VMH258" s="609"/>
      <c r="VMI258" s="609"/>
      <c r="VMJ258" s="609"/>
      <c r="VMK258" s="609"/>
      <c r="VML258" s="609"/>
      <c r="VMM258" s="609"/>
      <c r="VMN258" s="609"/>
      <c r="VMO258" s="609"/>
      <c r="VMP258" s="609"/>
      <c r="VMQ258" s="609"/>
      <c r="VMR258" s="609"/>
      <c r="VMS258" s="609"/>
      <c r="VMT258" s="609"/>
      <c r="VMU258" s="609"/>
      <c r="VMV258" s="609"/>
      <c r="VMW258" s="609"/>
      <c r="VMX258" s="609"/>
      <c r="VMY258" s="609"/>
      <c r="VMZ258" s="609"/>
      <c r="VNA258" s="609"/>
      <c r="VNB258" s="609"/>
      <c r="VNC258" s="609"/>
      <c r="VND258" s="609"/>
      <c r="VNE258" s="609"/>
      <c r="VNF258" s="609"/>
      <c r="VNG258" s="609"/>
      <c r="VNH258" s="609"/>
      <c r="VNI258" s="609"/>
      <c r="VNJ258" s="609"/>
      <c r="VNK258" s="609"/>
      <c r="VNL258" s="609"/>
      <c r="VNM258" s="609"/>
      <c r="VNN258" s="609"/>
      <c r="VNO258" s="609"/>
      <c r="VNP258" s="609"/>
      <c r="VNQ258" s="609"/>
      <c r="VNR258" s="609"/>
      <c r="VNS258" s="609"/>
      <c r="VNT258" s="609"/>
      <c r="VNU258" s="609"/>
      <c r="VNV258" s="609"/>
      <c r="VNW258" s="609"/>
      <c r="VNX258" s="609"/>
      <c r="VNY258" s="609"/>
      <c r="VNZ258" s="609"/>
      <c r="VOA258" s="609"/>
      <c r="VOB258" s="609"/>
      <c r="VOC258" s="609"/>
      <c r="VOD258" s="609"/>
      <c r="VOE258" s="609"/>
      <c r="VOF258" s="609"/>
      <c r="VOG258" s="609"/>
      <c r="VOH258" s="609"/>
      <c r="VOI258" s="609"/>
      <c r="VOJ258" s="609"/>
      <c r="VOK258" s="609"/>
      <c r="VOL258" s="609"/>
      <c r="VOM258" s="609"/>
      <c r="VON258" s="609"/>
      <c r="VOO258" s="609"/>
      <c r="VOP258" s="609"/>
      <c r="VOQ258" s="609"/>
      <c r="VOR258" s="609"/>
      <c r="VOS258" s="609"/>
      <c r="VOT258" s="609"/>
      <c r="VOU258" s="609"/>
      <c r="VOV258" s="609"/>
      <c r="VOW258" s="609"/>
      <c r="VOX258" s="609"/>
      <c r="VOY258" s="609"/>
      <c r="VOZ258" s="609"/>
      <c r="VPA258" s="609"/>
      <c r="VPB258" s="609"/>
      <c r="VPC258" s="609"/>
      <c r="VPD258" s="609"/>
      <c r="VPE258" s="609"/>
      <c r="VPF258" s="609"/>
      <c r="VPG258" s="609"/>
      <c r="VPH258" s="609"/>
      <c r="VPI258" s="609"/>
      <c r="VPJ258" s="609"/>
      <c r="VPK258" s="609"/>
      <c r="VPL258" s="609"/>
      <c r="VPM258" s="609"/>
      <c r="VPN258" s="609"/>
      <c r="VPO258" s="609"/>
      <c r="VPP258" s="609"/>
      <c r="VPQ258" s="609"/>
      <c r="VPR258" s="609"/>
      <c r="VPS258" s="609"/>
      <c r="VPT258" s="609"/>
      <c r="VPU258" s="609"/>
      <c r="VPV258" s="609"/>
      <c r="VPW258" s="609"/>
      <c r="VPX258" s="609"/>
      <c r="VPY258" s="609"/>
      <c r="VPZ258" s="609"/>
      <c r="VQA258" s="609"/>
      <c r="VQB258" s="609"/>
      <c r="VQC258" s="609"/>
      <c r="VQD258" s="609"/>
      <c r="VQE258" s="609"/>
      <c r="VQF258" s="609"/>
      <c r="VQG258" s="609"/>
      <c r="VQH258" s="609"/>
      <c r="VQI258" s="609"/>
      <c r="VQJ258" s="609"/>
      <c r="VQK258" s="609"/>
      <c r="VQL258" s="609"/>
      <c r="VQM258" s="609"/>
      <c r="VQN258" s="609"/>
      <c r="VQO258" s="609"/>
      <c r="VQP258" s="609"/>
      <c r="VQQ258" s="609"/>
      <c r="VQR258" s="609"/>
      <c r="VQS258" s="609"/>
      <c r="VQT258" s="609"/>
      <c r="VQU258" s="609"/>
      <c r="VQV258" s="609"/>
      <c r="VQW258" s="609"/>
      <c r="VQX258" s="609"/>
      <c r="VQY258" s="609"/>
      <c r="VQZ258" s="609"/>
      <c r="VRA258" s="609"/>
      <c r="VRB258" s="609"/>
      <c r="VRC258" s="609"/>
      <c r="VRD258" s="609"/>
      <c r="VRE258" s="609"/>
      <c r="VRF258" s="609"/>
      <c r="VRG258" s="609"/>
      <c r="VRH258" s="609"/>
      <c r="VRI258" s="609"/>
      <c r="VRJ258" s="609"/>
      <c r="VRK258" s="609"/>
      <c r="VRL258" s="609"/>
      <c r="VRM258" s="609"/>
      <c r="VRN258" s="609"/>
      <c r="VRO258" s="609"/>
      <c r="VRP258" s="609"/>
      <c r="VRQ258" s="609"/>
      <c r="VRR258" s="609"/>
      <c r="VRS258" s="609"/>
      <c r="VRT258" s="609"/>
      <c r="VRU258" s="609"/>
      <c r="VRV258" s="609"/>
      <c r="VRW258" s="609"/>
      <c r="VRX258" s="609"/>
      <c r="VRY258" s="609"/>
      <c r="VRZ258" s="609"/>
      <c r="VSA258" s="609"/>
      <c r="VSB258" s="609"/>
      <c r="VSC258" s="609"/>
      <c r="VSD258" s="609"/>
      <c r="VSE258" s="609"/>
      <c r="VSF258" s="609"/>
      <c r="VSG258" s="609"/>
      <c r="VSH258" s="609"/>
      <c r="VSI258" s="609"/>
      <c r="VSJ258" s="609"/>
      <c r="VSK258" s="609"/>
      <c r="VSL258" s="609"/>
      <c r="VSM258" s="609"/>
      <c r="VSN258" s="609"/>
      <c r="VSO258" s="609"/>
      <c r="VSP258" s="609"/>
      <c r="VSQ258" s="609"/>
      <c r="VSR258" s="609"/>
      <c r="VSS258" s="609"/>
      <c r="VST258" s="609"/>
      <c r="VSU258" s="609"/>
      <c r="VSV258" s="609"/>
      <c r="VSW258" s="609"/>
      <c r="VSX258" s="609"/>
      <c r="VSY258" s="609"/>
      <c r="VSZ258" s="609"/>
      <c r="VTA258" s="609"/>
      <c r="VTB258" s="609"/>
      <c r="VTC258" s="609"/>
      <c r="VTD258" s="609"/>
      <c r="VTE258" s="609"/>
      <c r="VTF258" s="609"/>
      <c r="VTG258" s="609"/>
      <c r="VTH258" s="609"/>
      <c r="VTI258" s="609"/>
      <c r="VTJ258" s="609"/>
      <c r="VTK258" s="609"/>
      <c r="VTL258" s="609"/>
      <c r="VTM258" s="609"/>
      <c r="VTN258" s="609"/>
      <c r="VTO258" s="609"/>
      <c r="VTP258" s="609"/>
      <c r="VTQ258" s="609"/>
      <c r="VTR258" s="609"/>
      <c r="VTS258" s="609"/>
      <c r="VTT258" s="609"/>
      <c r="VTU258" s="609"/>
      <c r="VTV258" s="609"/>
      <c r="VTW258" s="609"/>
      <c r="VTX258" s="609"/>
      <c r="VTY258" s="609"/>
      <c r="VTZ258" s="609"/>
      <c r="VUA258" s="609"/>
      <c r="VUB258" s="609"/>
      <c r="VUC258" s="609"/>
      <c r="VUD258" s="609"/>
      <c r="VUE258" s="609"/>
      <c r="VUF258" s="609"/>
      <c r="VUG258" s="609"/>
      <c r="VUH258" s="609"/>
      <c r="VUI258" s="609"/>
      <c r="VUJ258" s="609"/>
      <c r="VUK258" s="609"/>
      <c r="VUL258" s="609"/>
      <c r="VUM258" s="609"/>
      <c r="VUN258" s="609"/>
      <c r="VUO258" s="609"/>
      <c r="VUP258" s="609"/>
      <c r="VUQ258" s="609"/>
      <c r="VUR258" s="609"/>
      <c r="VUS258" s="609"/>
      <c r="VUT258" s="609"/>
      <c r="VUU258" s="609"/>
      <c r="VUV258" s="609"/>
      <c r="VUW258" s="609"/>
      <c r="VUX258" s="609"/>
      <c r="VUY258" s="609"/>
      <c r="VUZ258" s="609"/>
      <c r="VVA258" s="609"/>
      <c r="VVB258" s="609"/>
      <c r="VVC258" s="609"/>
      <c r="VVD258" s="609"/>
      <c r="VVE258" s="609"/>
      <c r="VVF258" s="609"/>
      <c r="VVG258" s="609"/>
      <c r="VVH258" s="609"/>
      <c r="VVI258" s="609"/>
      <c r="VVJ258" s="609"/>
      <c r="VVK258" s="609"/>
      <c r="VVL258" s="609"/>
      <c r="VVM258" s="609"/>
      <c r="VVN258" s="609"/>
      <c r="VVO258" s="609"/>
      <c r="VVP258" s="609"/>
      <c r="VVQ258" s="609"/>
      <c r="VVR258" s="609"/>
      <c r="VVS258" s="609"/>
      <c r="VVT258" s="609"/>
      <c r="VVU258" s="609"/>
      <c r="VVV258" s="609"/>
      <c r="VVW258" s="609"/>
      <c r="VVX258" s="609"/>
      <c r="VVY258" s="609"/>
      <c r="VVZ258" s="609"/>
      <c r="VWA258" s="609"/>
      <c r="VWB258" s="609"/>
      <c r="VWC258" s="609"/>
      <c r="VWD258" s="609"/>
      <c r="VWE258" s="609"/>
      <c r="VWF258" s="609"/>
      <c r="VWG258" s="609"/>
      <c r="VWH258" s="609"/>
      <c r="VWI258" s="609"/>
      <c r="VWJ258" s="609"/>
      <c r="VWK258" s="609"/>
      <c r="VWL258" s="609"/>
      <c r="VWM258" s="609"/>
      <c r="VWN258" s="609"/>
      <c r="VWO258" s="609"/>
      <c r="VWP258" s="609"/>
      <c r="VWQ258" s="609"/>
      <c r="VWR258" s="609"/>
      <c r="VWS258" s="609"/>
      <c r="VWT258" s="609"/>
      <c r="VWU258" s="609"/>
      <c r="VWV258" s="609"/>
      <c r="VWW258" s="609"/>
      <c r="VWX258" s="609"/>
      <c r="VWY258" s="609"/>
      <c r="VWZ258" s="609"/>
      <c r="VXA258" s="609"/>
      <c r="VXB258" s="609"/>
      <c r="VXC258" s="609"/>
      <c r="VXD258" s="609"/>
      <c r="VXE258" s="609"/>
      <c r="VXF258" s="609"/>
      <c r="VXG258" s="609"/>
      <c r="VXH258" s="609"/>
      <c r="VXI258" s="609"/>
      <c r="VXJ258" s="609"/>
      <c r="VXK258" s="609"/>
      <c r="VXL258" s="609"/>
      <c r="VXM258" s="609"/>
      <c r="VXN258" s="609"/>
      <c r="VXO258" s="609"/>
      <c r="VXP258" s="609"/>
      <c r="VXQ258" s="609"/>
      <c r="VXR258" s="609"/>
      <c r="VXS258" s="609"/>
      <c r="VXT258" s="609"/>
      <c r="VXU258" s="609"/>
      <c r="VXV258" s="609"/>
      <c r="VXW258" s="609"/>
      <c r="VXX258" s="609"/>
      <c r="VXY258" s="609"/>
      <c r="VXZ258" s="609"/>
      <c r="VYA258" s="609"/>
      <c r="VYB258" s="609"/>
      <c r="VYC258" s="609"/>
      <c r="VYD258" s="609"/>
      <c r="VYE258" s="609"/>
      <c r="VYF258" s="609"/>
      <c r="VYG258" s="609"/>
      <c r="VYH258" s="609"/>
      <c r="VYI258" s="609"/>
      <c r="VYJ258" s="609"/>
      <c r="VYK258" s="609"/>
      <c r="VYL258" s="609"/>
      <c r="VYM258" s="609"/>
      <c r="VYN258" s="609"/>
      <c r="VYO258" s="609"/>
      <c r="VYP258" s="609"/>
      <c r="VYQ258" s="609"/>
      <c r="VYR258" s="609"/>
      <c r="VYS258" s="609"/>
      <c r="VYT258" s="609"/>
      <c r="VYU258" s="609"/>
      <c r="VYV258" s="609"/>
      <c r="VYW258" s="609"/>
      <c r="VYX258" s="609"/>
      <c r="VYY258" s="609"/>
      <c r="VYZ258" s="609"/>
      <c r="VZA258" s="609"/>
      <c r="VZB258" s="609"/>
      <c r="VZC258" s="609"/>
      <c r="VZD258" s="609"/>
      <c r="VZE258" s="609"/>
      <c r="VZF258" s="609"/>
      <c r="VZG258" s="609"/>
      <c r="VZH258" s="609"/>
      <c r="VZI258" s="609"/>
      <c r="VZJ258" s="609"/>
      <c r="VZK258" s="609"/>
      <c r="VZL258" s="609"/>
      <c r="VZM258" s="609"/>
      <c r="VZN258" s="609"/>
      <c r="VZO258" s="609"/>
      <c r="VZP258" s="609"/>
      <c r="VZQ258" s="609"/>
      <c r="VZR258" s="609"/>
      <c r="VZS258" s="609"/>
      <c r="VZT258" s="609"/>
      <c r="VZU258" s="609"/>
      <c r="VZV258" s="609"/>
      <c r="VZW258" s="609"/>
      <c r="VZX258" s="609"/>
      <c r="VZY258" s="609"/>
      <c r="VZZ258" s="609"/>
      <c r="WAA258" s="609"/>
      <c r="WAB258" s="609"/>
      <c r="WAC258" s="609"/>
      <c r="WAD258" s="609"/>
      <c r="WAE258" s="609"/>
      <c r="WAF258" s="609"/>
      <c r="WAG258" s="609"/>
      <c r="WAH258" s="609"/>
      <c r="WAI258" s="609"/>
      <c r="WAJ258" s="609"/>
      <c r="WAK258" s="609"/>
      <c r="WAL258" s="609"/>
      <c r="WAM258" s="609"/>
      <c r="WAN258" s="609"/>
      <c r="WAO258" s="609"/>
      <c r="WAP258" s="609"/>
      <c r="WAQ258" s="609"/>
      <c r="WAR258" s="609"/>
      <c r="WAS258" s="609"/>
      <c r="WAT258" s="609"/>
      <c r="WAU258" s="609"/>
      <c r="WAV258" s="609"/>
      <c r="WAW258" s="609"/>
      <c r="WAX258" s="609"/>
      <c r="WAY258" s="609"/>
      <c r="WAZ258" s="609"/>
      <c r="WBA258" s="609"/>
      <c r="WBB258" s="609"/>
      <c r="WBC258" s="609"/>
      <c r="WBD258" s="609"/>
      <c r="WBE258" s="609"/>
      <c r="WBF258" s="609"/>
      <c r="WBG258" s="609"/>
      <c r="WBH258" s="609"/>
      <c r="WBI258" s="609"/>
      <c r="WBJ258" s="609"/>
      <c r="WBK258" s="609"/>
      <c r="WBL258" s="609"/>
      <c r="WBM258" s="609"/>
      <c r="WBN258" s="609"/>
      <c r="WBO258" s="609"/>
      <c r="WBP258" s="609"/>
      <c r="WBQ258" s="609"/>
      <c r="WBR258" s="609"/>
      <c r="WBS258" s="609"/>
      <c r="WBT258" s="609"/>
      <c r="WBU258" s="609"/>
      <c r="WBV258" s="609"/>
      <c r="WBW258" s="609"/>
      <c r="WBX258" s="609"/>
      <c r="WBY258" s="609"/>
      <c r="WBZ258" s="609"/>
      <c r="WCA258" s="609"/>
      <c r="WCB258" s="609"/>
      <c r="WCC258" s="609"/>
      <c r="WCD258" s="609"/>
      <c r="WCE258" s="609"/>
      <c r="WCF258" s="609"/>
      <c r="WCG258" s="609"/>
      <c r="WCH258" s="609"/>
      <c r="WCI258" s="609"/>
      <c r="WCJ258" s="609"/>
      <c r="WCK258" s="609"/>
      <c r="WCL258" s="609"/>
      <c r="WCM258" s="609"/>
      <c r="WCN258" s="609"/>
      <c r="WCO258" s="609"/>
      <c r="WCP258" s="609"/>
      <c r="WCQ258" s="609"/>
      <c r="WCR258" s="609"/>
      <c r="WCS258" s="609"/>
      <c r="WCT258" s="609"/>
      <c r="WCU258" s="609"/>
      <c r="WCV258" s="609"/>
      <c r="WCW258" s="609"/>
      <c r="WCX258" s="609"/>
      <c r="WCY258" s="609"/>
      <c r="WCZ258" s="609"/>
      <c r="WDA258" s="609"/>
      <c r="WDB258" s="609"/>
      <c r="WDC258" s="609"/>
      <c r="WDD258" s="609"/>
      <c r="WDE258" s="609"/>
      <c r="WDF258" s="609"/>
      <c r="WDG258" s="609"/>
      <c r="WDH258" s="609"/>
      <c r="WDI258" s="609"/>
      <c r="WDJ258" s="609"/>
      <c r="WDK258" s="609"/>
      <c r="WDL258" s="609"/>
      <c r="WDM258" s="609"/>
      <c r="WDN258" s="609"/>
      <c r="WDO258" s="609"/>
      <c r="WDP258" s="609"/>
      <c r="WDQ258" s="609"/>
      <c r="WDR258" s="609"/>
      <c r="WDS258" s="609"/>
      <c r="WDT258" s="609"/>
      <c r="WDU258" s="609"/>
      <c r="WDV258" s="609"/>
      <c r="WDW258" s="609"/>
      <c r="WDX258" s="609"/>
      <c r="WDY258" s="609"/>
      <c r="WDZ258" s="609"/>
      <c r="WEA258" s="609"/>
      <c r="WEB258" s="609"/>
      <c r="WEC258" s="609"/>
      <c r="WED258" s="609"/>
      <c r="WEE258" s="609"/>
      <c r="WEF258" s="609"/>
      <c r="WEG258" s="609"/>
      <c r="WEH258" s="609"/>
      <c r="WEI258" s="609"/>
      <c r="WEJ258" s="609"/>
      <c r="WEK258" s="609"/>
      <c r="WEL258" s="609"/>
      <c r="WEM258" s="609"/>
      <c r="WEN258" s="609"/>
      <c r="WEO258" s="609"/>
      <c r="WEP258" s="609"/>
      <c r="WEQ258" s="609"/>
      <c r="WER258" s="609"/>
      <c r="WES258" s="609"/>
      <c r="WET258" s="609"/>
      <c r="WEU258" s="609"/>
      <c r="WEV258" s="609"/>
      <c r="WEW258" s="609"/>
      <c r="WEX258" s="609"/>
      <c r="WEY258" s="609"/>
      <c r="WEZ258" s="609"/>
      <c r="WFA258" s="609"/>
      <c r="WFB258" s="609"/>
      <c r="WFC258" s="609"/>
      <c r="WFD258" s="609"/>
      <c r="WFE258" s="609"/>
      <c r="WFF258" s="609"/>
      <c r="WFG258" s="609"/>
      <c r="WFH258" s="609"/>
      <c r="WFI258" s="609"/>
      <c r="WFJ258" s="609"/>
      <c r="WFK258" s="609"/>
      <c r="WFL258" s="609"/>
      <c r="WFM258" s="609"/>
      <c r="WFN258" s="609"/>
      <c r="WFO258" s="609"/>
      <c r="WFP258" s="609"/>
      <c r="WFQ258" s="609"/>
      <c r="WFR258" s="609"/>
      <c r="WFS258" s="609"/>
      <c r="WFT258" s="609"/>
      <c r="WFU258" s="609"/>
      <c r="WFV258" s="609"/>
      <c r="WFW258" s="609"/>
      <c r="WFX258" s="609"/>
      <c r="WFY258" s="609"/>
      <c r="WFZ258" s="609"/>
      <c r="WGA258" s="609"/>
      <c r="WGB258" s="609"/>
      <c r="WGC258" s="609"/>
      <c r="WGD258" s="609"/>
      <c r="WGE258" s="609"/>
      <c r="WGF258" s="609"/>
      <c r="WGG258" s="609"/>
      <c r="WGH258" s="609"/>
      <c r="WGI258" s="609"/>
      <c r="WGJ258" s="609"/>
      <c r="WGK258" s="609"/>
      <c r="WGL258" s="609"/>
      <c r="WGM258" s="609"/>
      <c r="WGN258" s="609"/>
      <c r="WGO258" s="609"/>
      <c r="WGP258" s="609"/>
      <c r="WGQ258" s="609"/>
      <c r="WGR258" s="609"/>
      <c r="WGS258" s="609"/>
      <c r="WGT258" s="609"/>
      <c r="WGU258" s="609"/>
      <c r="WGV258" s="609"/>
      <c r="WGW258" s="609"/>
      <c r="WGX258" s="609"/>
      <c r="WGY258" s="609"/>
      <c r="WGZ258" s="609"/>
      <c r="WHA258" s="609"/>
      <c r="WHB258" s="609"/>
      <c r="WHC258" s="609"/>
      <c r="WHD258" s="609"/>
      <c r="WHE258" s="609"/>
      <c r="WHF258" s="609"/>
      <c r="WHG258" s="609"/>
      <c r="WHH258" s="609"/>
      <c r="WHI258" s="609"/>
      <c r="WHJ258" s="609"/>
      <c r="WHK258" s="609"/>
      <c r="WHL258" s="609"/>
      <c r="WHM258" s="609"/>
      <c r="WHN258" s="609"/>
      <c r="WHO258" s="609"/>
      <c r="WHP258" s="609"/>
      <c r="WHQ258" s="609"/>
      <c r="WHR258" s="609"/>
      <c r="WHS258" s="609"/>
      <c r="WHT258" s="609"/>
      <c r="WHU258" s="609"/>
      <c r="WHV258" s="609"/>
      <c r="WHW258" s="609"/>
      <c r="WHX258" s="609"/>
      <c r="WHY258" s="609"/>
      <c r="WHZ258" s="609"/>
      <c r="WIA258" s="609"/>
      <c r="WIB258" s="609"/>
      <c r="WIC258" s="609"/>
      <c r="WID258" s="609"/>
      <c r="WIE258" s="609"/>
      <c r="WIF258" s="609"/>
      <c r="WIG258" s="609"/>
      <c r="WIH258" s="609"/>
      <c r="WII258" s="609"/>
      <c r="WIJ258" s="609"/>
      <c r="WIK258" s="609"/>
      <c r="WIL258" s="609"/>
      <c r="WIM258" s="609"/>
      <c r="WIN258" s="609"/>
      <c r="WIO258" s="609"/>
      <c r="WIP258" s="609"/>
      <c r="WIQ258" s="609"/>
      <c r="WIR258" s="609"/>
      <c r="WIS258" s="609"/>
      <c r="WIT258" s="609"/>
      <c r="WIU258" s="609"/>
      <c r="WIV258" s="609"/>
      <c r="WIW258" s="609"/>
      <c r="WIX258" s="609"/>
      <c r="WIY258" s="609"/>
      <c r="WIZ258" s="609"/>
      <c r="WJA258" s="609"/>
      <c r="WJB258" s="609"/>
      <c r="WJC258" s="609"/>
      <c r="WJD258" s="609"/>
      <c r="WJE258" s="609"/>
      <c r="WJF258" s="609"/>
      <c r="WJG258" s="609"/>
      <c r="WJH258" s="609"/>
      <c r="WJI258" s="609"/>
      <c r="WJJ258" s="609"/>
      <c r="WJK258" s="609"/>
      <c r="WJL258" s="609"/>
      <c r="WJM258" s="609"/>
      <c r="WJN258" s="609"/>
      <c r="WJO258" s="609"/>
      <c r="WJP258" s="609"/>
      <c r="WJQ258" s="609"/>
      <c r="WJR258" s="609"/>
      <c r="WJS258" s="609"/>
      <c r="WJT258" s="609"/>
      <c r="WJU258" s="609"/>
      <c r="WJV258" s="609"/>
      <c r="WJW258" s="609"/>
      <c r="WJX258" s="609"/>
      <c r="WJY258" s="609"/>
      <c r="WJZ258" s="609"/>
      <c r="WKA258" s="609"/>
      <c r="WKB258" s="609"/>
      <c r="WKC258" s="609"/>
      <c r="WKD258" s="609"/>
      <c r="WKE258" s="609"/>
      <c r="WKF258" s="609"/>
      <c r="WKG258" s="609"/>
      <c r="WKH258" s="609"/>
      <c r="WKI258" s="609"/>
      <c r="WKJ258" s="609"/>
      <c r="WKK258" s="609"/>
      <c r="WKL258" s="609"/>
      <c r="WKM258" s="609"/>
      <c r="WKN258" s="609"/>
      <c r="WKO258" s="609"/>
      <c r="WKP258" s="609"/>
      <c r="WKQ258" s="609"/>
      <c r="WKR258" s="609"/>
      <c r="WKS258" s="609"/>
      <c r="WKT258" s="609"/>
      <c r="WKU258" s="609"/>
      <c r="WKV258" s="609"/>
      <c r="WKW258" s="609"/>
      <c r="WKX258" s="609"/>
      <c r="WKY258" s="609"/>
      <c r="WKZ258" s="609"/>
      <c r="WLA258" s="609"/>
      <c r="WLB258" s="609"/>
      <c r="WLC258" s="609"/>
      <c r="WLD258" s="609"/>
      <c r="WLE258" s="609"/>
      <c r="WLF258" s="609"/>
      <c r="WLG258" s="609"/>
      <c r="WLH258" s="609"/>
      <c r="WLI258" s="609"/>
      <c r="WLJ258" s="609"/>
      <c r="WLK258" s="609"/>
      <c r="WLL258" s="609"/>
      <c r="WLM258" s="609"/>
      <c r="WLN258" s="609"/>
      <c r="WLO258" s="609"/>
      <c r="WLP258" s="609"/>
      <c r="WLQ258" s="609"/>
      <c r="WLR258" s="609"/>
      <c r="WLS258" s="609"/>
      <c r="WLT258" s="609"/>
      <c r="WLU258" s="609"/>
      <c r="WLV258" s="609"/>
      <c r="WLW258" s="609"/>
      <c r="WLX258" s="609"/>
      <c r="WLY258" s="609"/>
      <c r="WLZ258" s="609"/>
      <c r="WMA258" s="609"/>
      <c r="WMB258" s="609"/>
      <c r="WMC258" s="609"/>
      <c r="WMD258" s="609"/>
      <c r="WME258" s="609"/>
      <c r="WMF258" s="609"/>
      <c r="WMG258" s="609"/>
      <c r="WMH258" s="609"/>
      <c r="WMI258" s="609"/>
      <c r="WMJ258" s="609"/>
      <c r="WMK258" s="609"/>
      <c r="WML258" s="609"/>
      <c r="WMM258" s="609"/>
      <c r="WMN258" s="609"/>
      <c r="WMO258" s="609"/>
      <c r="WMP258" s="609"/>
      <c r="WMQ258" s="609"/>
      <c r="WMR258" s="609"/>
      <c r="WMS258" s="609"/>
      <c r="WMT258" s="609"/>
      <c r="WMU258" s="609"/>
      <c r="WMV258" s="609"/>
      <c r="WMW258" s="609"/>
      <c r="WMX258" s="609"/>
      <c r="WMY258" s="609"/>
      <c r="WMZ258" s="609"/>
      <c r="WNA258" s="609"/>
      <c r="WNB258" s="609"/>
      <c r="WNC258" s="609"/>
      <c r="WND258" s="609"/>
      <c r="WNE258" s="609"/>
      <c r="WNF258" s="609"/>
      <c r="WNG258" s="609"/>
      <c r="WNH258" s="609"/>
      <c r="WNI258" s="609"/>
      <c r="WNJ258" s="609"/>
      <c r="WNK258" s="609"/>
      <c r="WNL258" s="609"/>
      <c r="WNM258" s="609"/>
      <c r="WNN258" s="609"/>
      <c r="WNO258" s="609"/>
      <c r="WNP258" s="609"/>
      <c r="WNQ258" s="609"/>
      <c r="WNR258" s="609"/>
      <c r="WNS258" s="609"/>
      <c r="WNT258" s="609"/>
      <c r="WNU258" s="609"/>
      <c r="WNV258" s="609"/>
      <c r="WNW258" s="609"/>
      <c r="WNX258" s="609"/>
      <c r="WNY258" s="609"/>
      <c r="WNZ258" s="609"/>
      <c r="WOA258" s="609"/>
      <c r="WOB258" s="609"/>
      <c r="WOC258" s="609"/>
      <c r="WOD258" s="609"/>
      <c r="WOE258" s="609"/>
      <c r="WOF258" s="609"/>
      <c r="WOG258" s="609"/>
      <c r="WOH258" s="609"/>
      <c r="WOI258" s="609"/>
      <c r="WOJ258" s="609"/>
      <c r="WOK258" s="609"/>
      <c r="WOL258" s="609"/>
      <c r="WOM258" s="609"/>
      <c r="WON258" s="609"/>
      <c r="WOO258" s="609"/>
      <c r="WOP258" s="609"/>
      <c r="WOQ258" s="609"/>
      <c r="WOR258" s="609"/>
      <c r="WOS258" s="609"/>
      <c r="WOT258" s="609"/>
      <c r="WOU258" s="609"/>
      <c r="WOV258" s="609"/>
      <c r="WOW258" s="609"/>
      <c r="WOX258" s="609"/>
      <c r="WOY258" s="609"/>
      <c r="WOZ258" s="609"/>
      <c r="WPA258" s="609"/>
      <c r="WPB258" s="609"/>
      <c r="WPC258" s="609"/>
      <c r="WPD258" s="609"/>
      <c r="WPE258" s="609"/>
      <c r="WPF258" s="609"/>
      <c r="WPG258" s="609"/>
      <c r="WPH258" s="609"/>
      <c r="WPI258" s="609"/>
      <c r="WPJ258" s="609"/>
      <c r="WPK258" s="609"/>
      <c r="WPL258" s="609"/>
      <c r="WPM258" s="609"/>
      <c r="WPN258" s="609"/>
      <c r="WPO258" s="609"/>
      <c r="WPP258" s="609"/>
      <c r="WPQ258" s="609"/>
      <c r="WPR258" s="609"/>
      <c r="WPS258" s="609"/>
      <c r="WPT258" s="609"/>
      <c r="WPU258" s="609"/>
      <c r="WPV258" s="609"/>
      <c r="WPW258" s="609"/>
      <c r="WPX258" s="609"/>
      <c r="WPY258" s="609"/>
      <c r="WPZ258" s="609"/>
      <c r="WQA258" s="609"/>
      <c r="WQB258" s="609"/>
      <c r="WQC258" s="609"/>
      <c r="WQD258" s="609"/>
      <c r="WQE258" s="609"/>
      <c r="WQF258" s="609"/>
      <c r="WQG258" s="609"/>
      <c r="WQH258" s="609"/>
      <c r="WQI258" s="609"/>
      <c r="WQJ258" s="609"/>
      <c r="WQK258" s="609"/>
      <c r="WQL258" s="609"/>
      <c r="WQM258" s="609"/>
      <c r="WQN258" s="609"/>
      <c r="WQO258" s="609"/>
      <c r="WQP258" s="609"/>
      <c r="WQQ258" s="609"/>
      <c r="WQR258" s="609"/>
      <c r="WQS258" s="609"/>
      <c r="WQT258" s="609"/>
      <c r="WQU258" s="609"/>
      <c r="WQV258" s="609"/>
      <c r="WQW258" s="609"/>
      <c r="WQX258" s="609"/>
      <c r="WQY258" s="609"/>
      <c r="WQZ258" s="609"/>
      <c r="WRA258" s="609"/>
      <c r="WRB258" s="609"/>
      <c r="WRC258" s="609"/>
      <c r="WRD258" s="609"/>
      <c r="WRE258" s="609"/>
      <c r="WRF258" s="609"/>
      <c r="WRG258" s="609"/>
      <c r="WRH258" s="609"/>
      <c r="WRI258" s="609"/>
      <c r="WRJ258" s="609"/>
      <c r="WRK258" s="609"/>
      <c r="WRL258" s="609"/>
      <c r="WRM258" s="609"/>
      <c r="WRN258" s="609"/>
      <c r="WRO258" s="609"/>
      <c r="WRP258" s="609"/>
      <c r="WRQ258" s="609"/>
      <c r="WRR258" s="609"/>
      <c r="WRS258" s="609"/>
      <c r="WRT258" s="609"/>
      <c r="WRU258" s="609"/>
      <c r="WRV258" s="609"/>
      <c r="WRW258" s="609"/>
      <c r="WRX258" s="609"/>
      <c r="WRY258" s="609"/>
      <c r="WRZ258" s="609"/>
      <c r="WSA258" s="609"/>
      <c r="WSB258" s="609"/>
      <c r="WSC258" s="609"/>
      <c r="WSD258" s="609"/>
      <c r="WSE258" s="609"/>
      <c r="WSF258" s="609"/>
      <c r="WSG258" s="609"/>
      <c r="WSH258" s="609"/>
      <c r="WSI258" s="609"/>
      <c r="WSJ258" s="609"/>
      <c r="WSK258" s="609"/>
      <c r="WSL258" s="609"/>
      <c r="WSM258" s="609"/>
      <c r="WSN258" s="609"/>
      <c r="WSO258" s="609"/>
      <c r="WSP258" s="609"/>
      <c r="WSQ258" s="609"/>
      <c r="WSR258" s="609"/>
      <c r="WSS258" s="609"/>
      <c r="WST258" s="609"/>
      <c r="WSU258" s="609"/>
      <c r="WSV258" s="609"/>
      <c r="WSW258" s="609"/>
      <c r="WSX258" s="609"/>
      <c r="WSY258" s="609"/>
      <c r="WSZ258" s="609"/>
      <c r="WTA258" s="609"/>
      <c r="WTB258" s="609"/>
      <c r="WTC258" s="609"/>
      <c r="WTD258" s="609"/>
      <c r="WTE258" s="609"/>
      <c r="WTF258" s="609"/>
      <c r="WTG258" s="609"/>
      <c r="WTH258" s="609"/>
      <c r="WTI258" s="609"/>
      <c r="WTJ258" s="609"/>
      <c r="WTK258" s="609"/>
      <c r="WTL258" s="609"/>
      <c r="WTM258" s="609"/>
      <c r="WTN258" s="609"/>
      <c r="WTO258" s="609"/>
      <c r="WTP258" s="609"/>
      <c r="WTQ258" s="609"/>
      <c r="WTR258" s="609"/>
      <c r="WTS258" s="609"/>
      <c r="WTT258" s="609"/>
      <c r="WTU258" s="609"/>
      <c r="WTV258" s="609"/>
      <c r="WTW258" s="609"/>
      <c r="WTX258" s="609"/>
      <c r="WTY258" s="609"/>
      <c r="WTZ258" s="609"/>
      <c r="WUA258" s="609"/>
      <c r="WUB258" s="609"/>
      <c r="WUC258" s="609"/>
      <c r="WUD258" s="609"/>
      <c r="WUE258" s="609"/>
      <c r="WUF258" s="609"/>
      <c r="WUG258" s="609"/>
      <c r="WUH258" s="609"/>
      <c r="WUI258" s="609"/>
      <c r="WUJ258" s="609"/>
      <c r="WUK258" s="609"/>
      <c r="WUL258" s="609"/>
      <c r="WUM258" s="609"/>
      <c r="WUN258" s="609"/>
      <c r="WUO258" s="609"/>
      <c r="WUP258" s="609"/>
      <c r="WUQ258" s="609"/>
      <c r="WUR258" s="609"/>
      <c r="WUS258" s="609"/>
      <c r="WUT258" s="609"/>
      <c r="WUU258" s="609"/>
      <c r="WUV258" s="609"/>
      <c r="WUW258" s="609"/>
      <c r="WUX258" s="609"/>
      <c r="WUY258" s="609"/>
      <c r="WUZ258" s="609"/>
      <c r="WVA258" s="609"/>
      <c r="WVB258" s="609"/>
      <c r="WVC258" s="609"/>
      <c r="WVD258" s="609"/>
      <c r="WVE258" s="609"/>
      <c r="WVF258" s="609"/>
      <c r="WVG258" s="609"/>
      <c r="WVH258" s="609"/>
      <c r="WVI258" s="609"/>
      <c r="WVJ258" s="609"/>
      <c r="WVK258" s="609"/>
      <c r="WVL258" s="609"/>
      <c r="WVM258" s="609"/>
      <c r="WVN258" s="609"/>
      <c r="WVO258" s="609"/>
      <c r="WVP258" s="609"/>
      <c r="WVQ258" s="609"/>
      <c r="WVR258" s="609"/>
      <c r="WVS258" s="609"/>
      <c r="WVT258" s="609"/>
      <c r="WVU258" s="609"/>
      <c r="WVV258" s="609"/>
      <c r="WVW258" s="609"/>
      <c r="WVX258" s="609"/>
      <c r="WVY258" s="609"/>
      <c r="WVZ258" s="609"/>
      <c r="WWA258" s="609"/>
      <c r="WWB258" s="609"/>
      <c r="WWC258" s="609"/>
      <c r="WWD258" s="609"/>
      <c r="WWE258" s="609"/>
      <c r="WWF258" s="609"/>
      <c r="WWG258" s="609"/>
      <c r="WWH258" s="609"/>
      <c r="WWI258" s="609"/>
      <c r="WWJ258" s="609"/>
      <c r="WWK258" s="609"/>
      <c r="WWL258" s="609"/>
      <c r="WWM258" s="609"/>
      <c r="WWN258" s="609"/>
      <c r="WWO258" s="609"/>
      <c r="WWP258" s="609"/>
      <c r="WWQ258" s="609"/>
      <c r="WWR258" s="609"/>
      <c r="WWS258" s="609"/>
      <c r="WWT258" s="609"/>
      <c r="WWU258" s="609"/>
      <c r="WWV258" s="609"/>
      <c r="WWW258" s="609"/>
      <c r="WWX258" s="609"/>
      <c r="WWY258" s="609"/>
      <c r="WWZ258" s="609"/>
      <c r="WXA258" s="609"/>
      <c r="WXB258" s="609"/>
      <c r="WXC258" s="609"/>
      <c r="WXD258" s="609"/>
      <c r="WXE258" s="609"/>
      <c r="WXF258" s="609"/>
      <c r="WXG258" s="609"/>
      <c r="WXH258" s="609"/>
      <c r="WXI258" s="609"/>
      <c r="WXJ258" s="609"/>
      <c r="WXK258" s="609"/>
      <c r="WXL258" s="609"/>
      <c r="WXM258" s="609"/>
      <c r="WXN258" s="609"/>
      <c r="WXO258" s="609"/>
      <c r="WXP258" s="609"/>
      <c r="WXQ258" s="609"/>
      <c r="WXR258" s="609"/>
      <c r="WXS258" s="609"/>
      <c r="WXT258" s="609"/>
      <c r="WXU258" s="609"/>
      <c r="WXV258" s="609"/>
      <c r="WXW258" s="609"/>
      <c r="WXX258" s="609"/>
      <c r="WXY258" s="609"/>
      <c r="WXZ258" s="609"/>
      <c r="WYA258" s="609"/>
      <c r="WYB258" s="609"/>
      <c r="WYC258" s="609"/>
      <c r="WYD258" s="609"/>
      <c r="WYE258" s="609"/>
      <c r="WYF258" s="609"/>
      <c r="WYG258" s="609"/>
      <c r="WYH258" s="609"/>
      <c r="WYI258" s="609"/>
      <c r="WYJ258" s="609"/>
      <c r="WYK258" s="609"/>
      <c r="WYL258" s="609"/>
      <c r="WYM258" s="609"/>
      <c r="WYN258" s="609"/>
      <c r="WYO258" s="609"/>
      <c r="WYP258" s="609"/>
      <c r="WYQ258" s="609"/>
      <c r="WYR258" s="609"/>
      <c r="WYS258" s="609"/>
      <c r="WYT258" s="609"/>
      <c r="WYU258" s="609"/>
      <c r="WYV258" s="609"/>
      <c r="WYW258" s="609"/>
      <c r="WYX258" s="609"/>
      <c r="WYY258" s="609"/>
      <c r="WYZ258" s="609"/>
      <c r="WZA258" s="609"/>
      <c r="WZB258" s="609"/>
      <c r="WZC258" s="609"/>
      <c r="WZD258" s="609"/>
      <c r="WZE258" s="609"/>
      <c r="WZF258" s="609"/>
      <c r="WZG258" s="609"/>
      <c r="WZH258" s="609"/>
      <c r="WZI258" s="609"/>
      <c r="WZJ258" s="609"/>
      <c r="WZK258" s="609"/>
      <c r="WZL258" s="609"/>
      <c r="WZM258" s="609"/>
      <c r="WZN258" s="609"/>
      <c r="WZO258" s="609"/>
      <c r="WZP258" s="609"/>
      <c r="WZQ258" s="609"/>
      <c r="WZR258" s="609"/>
      <c r="WZS258" s="609"/>
      <c r="WZT258" s="609"/>
      <c r="WZU258" s="609"/>
      <c r="WZV258" s="609"/>
      <c r="WZW258" s="609"/>
      <c r="WZX258" s="609"/>
      <c r="WZY258" s="609"/>
      <c r="WZZ258" s="609"/>
      <c r="XAA258" s="609"/>
      <c r="XAB258" s="609"/>
      <c r="XAC258" s="609"/>
      <c r="XAD258" s="609"/>
      <c r="XAE258" s="609"/>
      <c r="XAF258" s="609"/>
      <c r="XAG258" s="609"/>
      <c r="XAH258" s="609"/>
      <c r="XAI258" s="609"/>
      <c r="XAJ258" s="609"/>
      <c r="XAK258" s="609"/>
      <c r="XAL258" s="609"/>
      <c r="XAM258" s="609"/>
      <c r="XAN258" s="609"/>
      <c r="XAO258" s="609"/>
      <c r="XAP258" s="609"/>
      <c r="XAQ258" s="609"/>
      <c r="XAR258" s="609"/>
      <c r="XAS258" s="609"/>
      <c r="XAT258" s="609"/>
      <c r="XAU258" s="609"/>
      <c r="XAV258" s="609"/>
      <c r="XAW258" s="609"/>
      <c r="XAX258" s="609"/>
      <c r="XAY258" s="609"/>
      <c r="XAZ258" s="609"/>
      <c r="XBA258" s="609"/>
      <c r="XBB258" s="609"/>
      <c r="XBC258" s="609"/>
      <c r="XBD258" s="609"/>
      <c r="XBE258" s="609"/>
      <c r="XBF258" s="609"/>
      <c r="XBG258" s="609"/>
      <c r="XBH258" s="609"/>
      <c r="XBI258" s="609"/>
      <c r="XBJ258" s="609"/>
      <c r="XBK258" s="609"/>
      <c r="XBL258" s="609"/>
      <c r="XBM258" s="609"/>
      <c r="XBN258" s="609"/>
      <c r="XBO258" s="609"/>
      <c r="XBP258" s="609"/>
      <c r="XBQ258" s="609"/>
      <c r="XBR258" s="609"/>
      <c r="XBS258" s="609"/>
      <c r="XBT258" s="609"/>
      <c r="XBU258" s="609"/>
      <c r="XBV258" s="609"/>
      <c r="XBW258" s="609"/>
      <c r="XBX258" s="609"/>
      <c r="XBY258" s="609"/>
      <c r="XBZ258" s="609"/>
      <c r="XCA258" s="609"/>
      <c r="XCB258" s="609"/>
      <c r="XCC258" s="609"/>
      <c r="XCD258" s="609"/>
      <c r="XCE258" s="609"/>
      <c r="XCF258" s="609"/>
      <c r="XCG258" s="609"/>
      <c r="XCH258" s="609"/>
      <c r="XCI258" s="609"/>
      <c r="XCJ258" s="609"/>
      <c r="XCK258" s="609"/>
      <c r="XCL258" s="609"/>
      <c r="XCM258" s="609"/>
      <c r="XCN258" s="609"/>
      <c r="XCO258" s="609"/>
      <c r="XCP258" s="609"/>
      <c r="XCQ258" s="609"/>
      <c r="XCR258" s="609"/>
      <c r="XCS258" s="609"/>
      <c r="XCT258" s="609"/>
      <c r="XCU258" s="609"/>
      <c r="XCV258" s="609"/>
      <c r="XCW258" s="609"/>
      <c r="XCX258" s="609"/>
      <c r="XCY258" s="609"/>
      <c r="XCZ258" s="609"/>
      <c r="XDA258" s="609"/>
      <c r="XDB258" s="609"/>
      <c r="XDC258" s="609"/>
      <c r="XDD258" s="609"/>
      <c r="XDE258" s="609"/>
      <c r="XDF258" s="609"/>
      <c r="XDG258" s="609"/>
      <c r="XDH258" s="609"/>
      <c r="XDI258" s="609"/>
      <c r="XDJ258" s="609"/>
      <c r="XDK258" s="609"/>
      <c r="XDL258" s="609"/>
      <c r="XDM258" s="609"/>
      <c r="XDN258" s="609"/>
      <c r="XDO258" s="609"/>
      <c r="XDP258" s="609"/>
      <c r="XDQ258" s="609"/>
      <c r="XDR258" s="609"/>
      <c r="XDS258" s="609"/>
      <c r="XDT258" s="609"/>
      <c r="XDU258" s="609"/>
      <c r="XDV258" s="609"/>
      <c r="XDW258" s="609"/>
      <c r="XDX258" s="609"/>
      <c r="XDY258" s="609"/>
      <c r="XDZ258" s="609"/>
      <c r="XEA258" s="609"/>
      <c r="XEB258" s="609"/>
      <c r="XEC258" s="609"/>
      <c r="XED258" s="609"/>
      <c r="XEE258" s="609"/>
      <c r="XEF258" s="609"/>
      <c r="XEG258" s="609"/>
      <c r="XEH258" s="609"/>
      <c r="XEI258" s="609"/>
      <c r="XEJ258" s="609"/>
      <c r="XEK258" s="609"/>
      <c r="XEL258" s="609"/>
      <c r="XEM258" s="609"/>
      <c r="XEN258" s="609"/>
      <c r="XEO258" s="609"/>
      <c r="XEP258" s="609"/>
      <c r="XEQ258" s="609"/>
      <c r="XER258" s="609"/>
      <c r="XES258" s="609"/>
      <c r="XET258" s="609"/>
      <c r="XEU258" s="609"/>
      <c r="XEV258" s="609"/>
      <c r="XEW258" s="609"/>
      <c r="XEX258" s="609"/>
      <c r="XEY258" s="609"/>
      <c r="XEZ258" s="609"/>
      <c r="XFA258" s="609"/>
    </row>
    <row r="259" spans="1:16381">
      <c r="A259" s="609" t="str">
        <f t="shared" si="15"/>
        <v>Sera-Zusage v. 01.07.2021</v>
      </c>
      <c r="B259" s="609">
        <f>ROW()</f>
        <v>259</v>
      </c>
      <c r="C259" s="635" t="s">
        <v>1275</v>
      </c>
      <c r="D259" s="1201">
        <v>44378</v>
      </c>
      <c r="E259" s="636" t="s">
        <v>776</v>
      </c>
      <c r="F259" s="637" t="str">
        <f t="shared" si="17"/>
        <v/>
      </c>
      <c r="G259" s="634" t="str">
        <f t="shared" si="19"/>
        <v xml:space="preserve">TO ermöglicht: doppelten Kostenabzug; </v>
      </c>
      <c r="H259" s="414"/>
      <c r="J259" s="788"/>
      <c r="K259" s="1199"/>
      <c r="L259" s="1199">
        <v>2</v>
      </c>
      <c r="M259" s="1199"/>
      <c r="N259" s="1199"/>
      <c r="O259" s="789"/>
      <c r="P259" s="144">
        <f t="shared" si="18"/>
        <v>2</v>
      </c>
    </row>
    <row r="260" spans="1:16381" ht="33.75">
      <c r="A260" s="609" t="str">
        <f t="shared" si="15"/>
        <v>Signal Iduna a.G. v. 01.05.2022</v>
      </c>
      <c r="B260" s="609">
        <f>ROW()</f>
        <v>260</v>
      </c>
      <c r="C260" s="635" t="s">
        <v>1381</v>
      </c>
      <c r="D260" s="1202">
        <v>44682</v>
      </c>
      <c r="E260" s="636">
        <v>5</v>
      </c>
      <c r="F260" s="637" t="str">
        <f t="shared" si="17"/>
        <v/>
      </c>
      <c r="G260" s="634" t="str">
        <f t="shared" si="19"/>
        <v>TO ermöglicht: doppelten Kostenabzug;  Abweichungen vom gerichtl. festgelegten Ausgleichswert;  Verzinsung zwischen EzE und RK geltend machen</v>
      </c>
      <c r="H260" s="414"/>
      <c r="I260" s="634" t="s">
        <v>1380</v>
      </c>
      <c r="K260" s="1199"/>
      <c r="L260" s="1199">
        <v>2</v>
      </c>
      <c r="M260" s="1199">
        <v>3</v>
      </c>
      <c r="N260" s="1199">
        <v>4</v>
      </c>
      <c r="P260" s="144"/>
    </row>
    <row r="261" spans="1:16381" ht="33.75">
      <c r="A261" s="609" t="str">
        <f t="shared" si="15"/>
        <v>Signal Iduna AG v. 01.05.2022</v>
      </c>
      <c r="B261" s="609">
        <f>ROW()</f>
        <v>261</v>
      </c>
      <c r="C261" s="635" t="s">
        <v>1382</v>
      </c>
      <c r="D261" s="1202">
        <v>44682</v>
      </c>
      <c r="E261" s="636">
        <v>5</v>
      </c>
      <c r="F261" s="637" t="str">
        <f t="shared" si="17"/>
        <v/>
      </c>
      <c r="G261" s="634" t="str">
        <f t="shared" si="19"/>
        <v>TO ermöglicht: doppelten Kostenabzug;  Abweichungen vom gerichtl. festgelegten Ausgleichswert;  Verzinsung zwischen EzE und RK geltend machen</v>
      </c>
      <c r="H261" s="414"/>
      <c r="I261" s="634" t="s">
        <v>1380</v>
      </c>
      <c r="K261" s="1199"/>
      <c r="L261" s="1199">
        <v>2</v>
      </c>
      <c r="M261" s="1199">
        <v>3</v>
      </c>
      <c r="N261" s="1199">
        <v>4</v>
      </c>
      <c r="P261" s="144"/>
    </row>
    <row r="262" spans="1:16381" ht="22.5">
      <c r="A262" s="609" t="str">
        <f t="shared" si="15"/>
        <v>Signal Iduna Pensionskass AG v. 01.05.2022</v>
      </c>
      <c r="B262" s="609">
        <f>ROW()</f>
        <v>262</v>
      </c>
      <c r="C262" s="635" t="s">
        <v>1383</v>
      </c>
      <c r="D262" s="1202">
        <v>44682</v>
      </c>
      <c r="E262" s="636">
        <v>5</v>
      </c>
      <c r="F262" s="637" t="str">
        <f t="shared" si="17"/>
        <v/>
      </c>
      <c r="G262" s="634" t="str">
        <f t="shared" si="19"/>
        <v>TO ermöglicht:  Verzinsung zwischen EzE und RK geltend machen</v>
      </c>
      <c r="H262" s="414"/>
      <c r="I262" s="634" t="s">
        <v>1380</v>
      </c>
      <c r="K262" s="1199"/>
      <c r="L262" s="1199"/>
      <c r="M262" s="1199"/>
      <c r="N262" s="1199">
        <v>4</v>
      </c>
      <c r="P262" s="144"/>
    </row>
    <row r="263" spans="1:16381" ht="22.5">
      <c r="A263" s="609" t="str">
        <f t="shared" si="15"/>
        <v>Signal Iduna v. 01.01.2010</v>
      </c>
      <c r="B263" s="609">
        <f>ROW()</f>
        <v>263</v>
      </c>
      <c r="C263" s="635" t="s">
        <v>1108</v>
      </c>
      <c r="D263" s="1202">
        <v>40179</v>
      </c>
      <c r="E263" s="636" t="s">
        <v>1053</v>
      </c>
      <c r="F263" s="637" t="str">
        <f t="shared" si="17"/>
        <v>Ja</v>
      </c>
      <c r="G263" s="634" t="str">
        <f t="shared" si="19"/>
        <v>TO ermöglicht: Tarifwechel;  Abweichungen vom gerichtl. festgelegten Ausgleichswert;  Verzinsung zwischen EzE und RK geltend machen</v>
      </c>
      <c r="H263" s="414"/>
      <c r="K263" s="1199">
        <v>1</v>
      </c>
      <c r="L263" s="1199"/>
      <c r="M263" s="1199">
        <v>3</v>
      </c>
      <c r="N263" s="1199">
        <v>4</v>
      </c>
      <c r="P263" s="144">
        <f t="shared" ref="P263:P312" si="20">SUM(K263:N263)</f>
        <v>8</v>
      </c>
    </row>
    <row r="264" spans="1:16381" ht="33.75">
      <c r="A264" s="609" t="str">
        <f t="shared" si="15"/>
        <v>Sparkassen Pensionskasse AG v. 01.05.2021</v>
      </c>
      <c r="B264" s="609">
        <f>ROW()</f>
        <v>264</v>
      </c>
      <c r="C264" s="635" t="s">
        <v>1141</v>
      </c>
      <c r="D264" s="1201">
        <v>44317</v>
      </c>
      <c r="E264" s="636" t="s">
        <v>1323</v>
      </c>
      <c r="F264" s="637" t="str">
        <f t="shared" si="17"/>
        <v>Ja</v>
      </c>
      <c r="G264" s="634" t="str">
        <f t="shared" si="19"/>
        <v>TO ermöglicht: Tarifwechel; doppelten Kostenabzug;  Abweichungen vom gerichtl. festgelegten Ausgleichswert;  Verzinsung zwischen EzE und RK geltend machen</v>
      </c>
      <c r="H264" s="414"/>
      <c r="J264" s="788"/>
      <c r="K264" s="1199">
        <v>1</v>
      </c>
      <c r="L264" s="1199">
        <v>2</v>
      </c>
      <c r="M264" s="1199">
        <v>3</v>
      </c>
      <c r="N264" s="1199">
        <v>4</v>
      </c>
      <c r="P264" s="144">
        <f t="shared" si="20"/>
        <v>10</v>
      </c>
    </row>
    <row r="265" spans="1:16381" ht="33.75">
      <c r="A265" s="609" t="str">
        <f t="shared" si="15"/>
        <v>Sparkassen Pensionskasse AG v. 11.04.2016</v>
      </c>
      <c r="B265" s="609">
        <f>ROW()</f>
        <v>265</v>
      </c>
      <c r="C265" s="635" t="s">
        <v>1141</v>
      </c>
      <c r="D265" s="1201">
        <v>42471</v>
      </c>
      <c r="E265" s="636" t="s">
        <v>886</v>
      </c>
      <c r="F265" s="637" t="str">
        <f t="shared" si="17"/>
        <v>Ja</v>
      </c>
      <c r="G265" s="634" t="str">
        <f t="shared" si="19"/>
        <v>TO ermöglicht: Tarifwechel; doppelten Kostenabzug;  Abweichungen vom gerichtl. festgelegten Ausgleichswert;  Verzinsung zwischen EzE und RK geltend machen</v>
      </c>
      <c r="H265" s="414"/>
      <c r="J265" s="788"/>
      <c r="K265" s="1199">
        <v>1</v>
      </c>
      <c r="L265" s="1199">
        <v>2</v>
      </c>
      <c r="M265" s="1199">
        <v>3</v>
      </c>
      <c r="N265" s="1199">
        <v>4</v>
      </c>
      <c r="P265" s="144">
        <f t="shared" si="20"/>
        <v>10</v>
      </c>
    </row>
    <row r="266" spans="1:16381" ht="38.25">
      <c r="A266" s="609" t="str">
        <f t="shared" si="15"/>
        <v>Sparkassen-Versicherung private AV v. 01.06.2017</v>
      </c>
      <c r="B266" s="609">
        <f>ROW()</f>
        <v>266</v>
      </c>
      <c r="C266" s="635" t="s">
        <v>1322</v>
      </c>
      <c r="D266" s="1201">
        <v>42887</v>
      </c>
      <c r="E266" s="636" t="s">
        <v>668</v>
      </c>
      <c r="F266" s="637" t="str">
        <f t="shared" si="17"/>
        <v>Ja</v>
      </c>
      <c r="G266" s="634" t="str">
        <f t="shared" si="19"/>
        <v xml:space="preserve">TO ermöglicht: Tarifwechel; doppelten Kostenabzug; </v>
      </c>
      <c r="H266" s="414"/>
      <c r="J266" s="788"/>
      <c r="K266" s="1199">
        <v>1</v>
      </c>
      <c r="L266" s="1199">
        <v>2</v>
      </c>
      <c r="M266" s="1199"/>
      <c r="N266" s="1199"/>
      <c r="O266" s="791" t="s">
        <v>667</v>
      </c>
      <c r="P266" s="144">
        <f t="shared" si="20"/>
        <v>3</v>
      </c>
    </row>
    <row r="267" spans="1:16381" ht="38.25">
      <c r="A267" s="609" t="str">
        <f>C267&amp;IF(D267=0,""," v. "&amp;TEXT(D267,"TT.MM.JJJ"))</f>
        <v>Sparkassen-Versicherung private AV v. 01.05.2023</v>
      </c>
      <c r="B267" s="609">
        <f>ROW()</f>
        <v>267</v>
      </c>
      <c r="C267" s="635" t="s">
        <v>1322</v>
      </c>
      <c r="D267" s="1201">
        <v>45047</v>
      </c>
      <c r="E267" s="636" t="s">
        <v>668</v>
      </c>
      <c r="F267" s="637" t="s">
        <v>472</v>
      </c>
      <c r="G267" s="634" t="str">
        <f t="shared" si="19"/>
        <v>TO ermöglicht: Tarifwechel; doppelten Kostenabzug;  Verzinsung zwischen EzE und RK geltend machen</v>
      </c>
      <c r="H267" s="414"/>
      <c r="J267" s="788"/>
      <c r="K267" s="1199">
        <v>1</v>
      </c>
      <c r="L267" s="1199">
        <v>2</v>
      </c>
      <c r="M267" s="1199"/>
      <c r="N267" s="1199">
        <v>4</v>
      </c>
      <c r="O267" s="791"/>
      <c r="P267" s="144">
        <f t="shared" si="20"/>
        <v>7</v>
      </c>
    </row>
    <row r="268" spans="1:16381">
      <c r="A268" s="609" t="str">
        <f t="shared" si="15"/>
        <v>Standard Life v. 30.06.2011</v>
      </c>
      <c r="B268" s="609">
        <f>ROW()</f>
        <v>268</v>
      </c>
      <c r="C268" s="635" t="s">
        <v>1051</v>
      </c>
      <c r="D268" s="1201">
        <v>40724</v>
      </c>
      <c r="E268" s="636" t="s">
        <v>927</v>
      </c>
      <c r="F268" s="637" t="str">
        <f t="shared" si="17"/>
        <v>Ja</v>
      </c>
      <c r="G268" s="634" t="str">
        <f t="shared" si="19"/>
        <v xml:space="preserve">TO ermöglicht: Tarifwechel; </v>
      </c>
      <c r="H268" s="414"/>
      <c r="K268" s="1199">
        <v>1</v>
      </c>
      <c r="L268" s="1199"/>
      <c r="M268" s="1199"/>
      <c r="N268" s="1199"/>
      <c r="P268" s="144">
        <f t="shared" si="20"/>
        <v>1</v>
      </c>
    </row>
    <row r="269" spans="1:16381">
      <c r="A269" s="609" t="str">
        <f t="shared" si="15"/>
        <v>Südwestrundfunk Tarifvertrag v. 09.12.2009</v>
      </c>
      <c r="B269" s="609">
        <f>ROW()</f>
        <v>269</v>
      </c>
      <c r="C269" s="635" t="s">
        <v>954</v>
      </c>
      <c r="D269" s="1201">
        <v>40156</v>
      </c>
      <c r="F269" s="637" t="str">
        <f t="shared" si="17"/>
        <v/>
      </c>
      <c r="G269" s="634" t="str">
        <f t="shared" si="19"/>
        <v/>
      </c>
      <c r="H269" s="414"/>
      <c r="K269" s="1199"/>
      <c r="L269" s="1199"/>
      <c r="M269" s="1199"/>
      <c r="N269" s="1199"/>
      <c r="P269" s="144">
        <f t="shared" si="20"/>
        <v>0</v>
      </c>
    </row>
    <row r="270" spans="1:16381" ht="33.75">
      <c r="A270" s="609" t="str">
        <f t="shared" si="15"/>
        <v>SutorBank v. 01.05.2022</v>
      </c>
      <c r="B270" s="609">
        <f>ROW()</f>
        <v>270</v>
      </c>
      <c r="C270" s="635" t="s">
        <v>1354</v>
      </c>
      <c r="D270" s="1201">
        <v>44682</v>
      </c>
      <c r="E270" s="636" t="s">
        <v>1355</v>
      </c>
      <c r="F270" s="637" t="str">
        <f t="shared" si="17"/>
        <v>Ja</v>
      </c>
      <c r="G270" s="634" t="str">
        <f t="shared" si="19"/>
        <v>TO ermöglicht: Tarifwechel; doppelten Kostenabzug;  Abweichungen vom gerichtl. festgelegten Ausgleichswert;  Verzinsung zwischen EzE und RK geltend machen</v>
      </c>
      <c r="H270" s="414"/>
      <c r="I270" s="634" t="s">
        <v>1356</v>
      </c>
      <c r="K270" s="1199">
        <v>1</v>
      </c>
      <c r="L270" s="1199">
        <v>2</v>
      </c>
      <c r="M270" s="1199">
        <v>3</v>
      </c>
      <c r="N270" s="1199">
        <v>4</v>
      </c>
      <c r="P270" s="144">
        <f t="shared" si="20"/>
        <v>10</v>
      </c>
    </row>
    <row r="271" spans="1:16381" ht="22.5">
      <c r="A271" s="609" t="str">
        <f t="shared" si="15"/>
        <v>Swiss Life AG v. 01.11.2013</v>
      </c>
      <c r="B271" s="609">
        <f>ROW()</f>
        <v>271</v>
      </c>
      <c r="C271" s="635" t="s">
        <v>678</v>
      </c>
      <c r="D271" s="1201">
        <v>41579</v>
      </c>
      <c r="E271" s="636" t="s">
        <v>711</v>
      </c>
      <c r="F271" s="637" t="str">
        <f t="shared" si="17"/>
        <v>Ja</v>
      </c>
      <c r="G271" s="634" t="str">
        <f t="shared" si="19"/>
        <v>TO ermöglicht: Tarifwechel;  Verzinsung zwischen EzE und RK geltend machen</v>
      </c>
      <c r="H271" s="414"/>
      <c r="K271" s="1199">
        <v>1</v>
      </c>
      <c r="L271" s="1199"/>
      <c r="M271" s="1199"/>
      <c r="N271" s="1199">
        <v>4</v>
      </c>
      <c r="O271" s="793" t="s">
        <v>712</v>
      </c>
      <c r="P271" s="144">
        <f t="shared" si="20"/>
        <v>5</v>
      </c>
    </row>
    <row r="272" spans="1:16381" ht="33.75">
      <c r="A272" s="609" t="str">
        <f t="shared" si="15"/>
        <v>Swiss Life AG v. 16.12.2014</v>
      </c>
      <c r="B272" s="609">
        <f>ROW()</f>
        <v>272</v>
      </c>
      <c r="C272" s="635" t="s">
        <v>678</v>
      </c>
      <c r="D272" s="1201">
        <v>41989</v>
      </c>
      <c r="E272" s="636" t="s">
        <v>676</v>
      </c>
      <c r="F272" s="637" t="str">
        <f t="shared" si="17"/>
        <v>Ja</v>
      </c>
      <c r="G272" s="634" t="str">
        <f t="shared" si="19"/>
        <v>TO ermöglicht: Tarifwechel; doppelten Kostenabzug;  Abweichungen vom gerichtl. festgelegten Ausgleichswert;  Verzinsung zwischen EzE und RK geltend machen</v>
      </c>
      <c r="H272" s="414"/>
      <c r="I272" s="634" t="s">
        <v>1351</v>
      </c>
      <c r="K272" s="1199">
        <v>1</v>
      </c>
      <c r="L272" s="1199">
        <v>2</v>
      </c>
      <c r="M272" s="1199">
        <v>3</v>
      </c>
      <c r="N272" s="1199">
        <v>4</v>
      </c>
      <c r="O272" s="791" t="s">
        <v>679</v>
      </c>
      <c r="P272" s="144">
        <f t="shared" si="20"/>
        <v>10</v>
      </c>
    </row>
    <row r="273" spans="1:16381" ht="22.5">
      <c r="A273" s="609" t="str">
        <f t="shared" si="15"/>
        <v>SwissLife Pensionskasse v. 23.09.2014</v>
      </c>
      <c r="B273" s="609">
        <f>ROW()</f>
        <v>273</v>
      </c>
      <c r="C273" s="635" t="s">
        <v>1352</v>
      </c>
      <c r="D273" s="1201">
        <v>41905</v>
      </c>
      <c r="E273" s="636">
        <v>6</v>
      </c>
      <c r="F273" s="637" t="str">
        <f t="shared" si="17"/>
        <v>Ja</v>
      </c>
      <c r="G273" s="634" t="str">
        <f t="shared" si="19"/>
        <v>TO ermöglicht: Tarifwechel;  Verzinsung zwischen EzE und RK geltend machen</v>
      </c>
      <c r="H273" s="414"/>
      <c r="I273" s="634" t="s">
        <v>1351</v>
      </c>
      <c r="K273" s="1199">
        <v>1</v>
      </c>
      <c r="L273" s="1199"/>
      <c r="M273" s="1199"/>
      <c r="N273" s="1199">
        <v>4</v>
      </c>
      <c r="P273" s="144">
        <f t="shared" si="20"/>
        <v>5</v>
      </c>
    </row>
    <row r="274" spans="1:16381" ht="33.75">
      <c r="A274" s="609" t="str">
        <f t="shared" si="15"/>
        <v>SwissLife Unterstützungskasse v. 02.11.2010</v>
      </c>
      <c r="B274" s="609">
        <f>ROW()</f>
        <v>274</v>
      </c>
      <c r="C274" s="635" t="s">
        <v>1353</v>
      </c>
      <c r="D274" s="1201">
        <v>40484</v>
      </c>
      <c r="E274" s="636" t="s">
        <v>1213</v>
      </c>
      <c r="F274" s="637" t="str">
        <f t="shared" si="17"/>
        <v/>
      </c>
      <c r="G274" s="634" t="str">
        <f t="shared" si="19"/>
        <v>TO ermöglicht: doppelten Kostenabzug;  Abweichungen vom gerichtl. festgelegten Ausgleichswert;  Verzinsung zwischen EzE und RK geltend machen</v>
      </c>
      <c r="H274" s="414"/>
      <c r="K274" s="1199"/>
      <c r="L274" s="1199">
        <v>2</v>
      </c>
      <c r="M274" s="1199">
        <v>3</v>
      </c>
      <c r="N274" s="1199">
        <v>4</v>
      </c>
      <c r="P274" s="144">
        <f t="shared" si="20"/>
        <v>9</v>
      </c>
    </row>
    <row r="275" spans="1:16381" ht="33.75">
      <c r="A275" s="609" t="str">
        <f t="shared" si="15"/>
        <v>Targo Lebensversicherung AG v. 01.09.2013</v>
      </c>
      <c r="B275" s="609">
        <f>ROW()</f>
        <v>275</v>
      </c>
      <c r="C275" s="635" t="s">
        <v>734</v>
      </c>
      <c r="D275" s="1201">
        <v>41518</v>
      </c>
      <c r="E275" s="636" t="s">
        <v>900</v>
      </c>
      <c r="F275" s="637" t="str">
        <f t="shared" si="17"/>
        <v>Ja</v>
      </c>
      <c r="G275" s="634" t="str">
        <f t="shared" si="19"/>
        <v>TO ermöglicht: Tarifwechel; doppelten Kostenabzug;  Abweichungen vom gerichtl. festgelegten Ausgleichswert;  Verzinsung zwischen EzE und RK geltend machen</v>
      </c>
      <c r="H275" s="414"/>
      <c r="J275" s="788"/>
      <c r="K275" s="1199">
        <v>1</v>
      </c>
      <c r="L275" s="1199">
        <v>2</v>
      </c>
      <c r="M275" s="1199">
        <v>3</v>
      </c>
      <c r="N275" s="1199">
        <v>4</v>
      </c>
      <c r="O275" s="634"/>
      <c r="P275" s="144">
        <f t="shared" si="20"/>
        <v>10</v>
      </c>
    </row>
    <row r="276" spans="1:16381">
      <c r="A276" s="609" t="str">
        <f t="shared" si="15"/>
        <v>Test</v>
      </c>
      <c r="B276" s="609">
        <f>ROW()</f>
        <v>276</v>
      </c>
      <c r="C276" s="635" t="s">
        <v>930</v>
      </c>
      <c r="F276" s="637" t="str">
        <f t="shared" si="17"/>
        <v/>
      </c>
      <c r="G276" s="634" t="str">
        <f t="shared" si="19"/>
        <v/>
      </c>
      <c r="H276" s="414"/>
      <c r="J276" s="70"/>
      <c r="K276" s="1199"/>
      <c r="L276" s="1199"/>
      <c r="M276" s="1199"/>
      <c r="N276" s="1199"/>
      <c r="P276" s="144">
        <f t="shared" si="20"/>
        <v>0</v>
      </c>
      <c r="Q276" s="609"/>
      <c r="R276" s="609"/>
      <c r="S276" s="609"/>
      <c r="T276" s="609"/>
      <c r="U276" s="609"/>
      <c r="V276" s="609"/>
      <c r="W276" s="609"/>
      <c r="X276" s="609"/>
      <c r="Y276" s="609"/>
      <c r="Z276" s="609"/>
      <c r="AA276" s="609"/>
      <c r="AB276" s="609"/>
      <c r="AC276" s="609"/>
      <c r="AD276" s="609"/>
      <c r="AE276" s="609"/>
      <c r="AF276" s="609"/>
      <c r="AG276" s="609"/>
      <c r="AH276" s="609"/>
      <c r="AI276" s="609"/>
      <c r="AJ276" s="609"/>
      <c r="AK276" s="609"/>
      <c r="AL276" s="609"/>
      <c r="AM276" s="609"/>
      <c r="AN276" s="609"/>
      <c r="AO276" s="609"/>
      <c r="AP276" s="609"/>
      <c r="AQ276" s="609"/>
      <c r="AR276" s="609"/>
      <c r="AS276" s="609"/>
      <c r="AT276" s="609"/>
      <c r="AU276" s="609"/>
      <c r="AV276" s="609"/>
      <c r="AW276" s="609"/>
      <c r="AX276" s="609"/>
      <c r="AY276" s="609"/>
      <c r="AZ276" s="609"/>
      <c r="BA276" s="609"/>
      <c r="BB276" s="609"/>
      <c r="BC276" s="609"/>
      <c r="BD276" s="609"/>
      <c r="BE276" s="609"/>
      <c r="BF276" s="609"/>
      <c r="BG276" s="609"/>
      <c r="BH276" s="609"/>
      <c r="BI276" s="609"/>
      <c r="BJ276" s="609"/>
      <c r="BK276" s="609"/>
      <c r="BL276" s="609"/>
      <c r="BM276" s="609"/>
      <c r="BN276" s="609"/>
      <c r="BO276" s="609"/>
      <c r="BP276" s="609"/>
      <c r="BQ276" s="609"/>
      <c r="BR276" s="609"/>
      <c r="BS276" s="609"/>
      <c r="BT276" s="609"/>
      <c r="BU276" s="609"/>
      <c r="BV276" s="609"/>
      <c r="BW276" s="609"/>
      <c r="BX276" s="609"/>
      <c r="BY276" s="609"/>
      <c r="BZ276" s="609"/>
      <c r="CA276" s="609"/>
      <c r="CB276" s="609"/>
      <c r="CC276" s="609"/>
      <c r="CD276" s="609"/>
      <c r="CE276" s="609"/>
      <c r="CF276" s="609"/>
      <c r="CG276" s="609"/>
      <c r="CH276" s="609"/>
      <c r="CI276" s="609"/>
      <c r="CJ276" s="609"/>
      <c r="CK276" s="609"/>
      <c r="CL276" s="609"/>
      <c r="CM276" s="609"/>
      <c r="CN276" s="609"/>
      <c r="CO276" s="609"/>
      <c r="CP276" s="609"/>
      <c r="CQ276" s="609"/>
      <c r="CR276" s="609"/>
      <c r="CS276" s="609"/>
      <c r="CT276" s="609"/>
      <c r="CU276" s="609"/>
      <c r="CV276" s="609"/>
      <c r="CW276" s="609"/>
      <c r="CX276" s="609"/>
      <c r="CY276" s="609"/>
      <c r="CZ276" s="609"/>
      <c r="DA276" s="609"/>
      <c r="DB276" s="609"/>
      <c r="DC276" s="609"/>
      <c r="DD276" s="609"/>
      <c r="DE276" s="609"/>
      <c r="DF276" s="609"/>
      <c r="DG276" s="609"/>
      <c r="DH276" s="609"/>
      <c r="DI276" s="609"/>
      <c r="DJ276" s="609"/>
      <c r="DK276" s="609"/>
      <c r="DL276" s="609"/>
      <c r="DM276" s="609"/>
      <c r="DN276" s="609"/>
      <c r="DO276" s="609"/>
      <c r="DP276" s="609"/>
      <c r="DQ276" s="609"/>
      <c r="DR276" s="609"/>
      <c r="DS276" s="609"/>
      <c r="DT276" s="609"/>
      <c r="DU276" s="609"/>
      <c r="DV276" s="609"/>
      <c r="DW276" s="609"/>
      <c r="DX276" s="609"/>
      <c r="DY276" s="609"/>
      <c r="DZ276" s="609"/>
      <c r="EA276" s="609"/>
      <c r="EB276" s="609"/>
      <c r="EC276" s="609"/>
      <c r="ED276" s="609"/>
      <c r="EE276" s="609"/>
      <c r="EF276" s="609"/>
      <c r="EG276" s="609"/>
      <c r="EH276" s="609"/>
      <c r="EI276" s="609"/>
      <c r="EJ276" s="609"/>
      <c r="EK276" s="609"/>
      <c r="EL276" s="609"/>
      <c r="EM276" s="609"/>
      <c r="EN276" s="609"/>
      <c r="EO276" s="609"/>
      <c r="EP276" s="609"/>
      <c r="EQ276" s="609"/>
      <c r="ER276" s="609"/>
      <c r="ES276" s="609"/>
      <c r="ET276" s="609"/>
      <c r="EU276" s="609"/>
      <c r="EV276" s="609"/>
      <c r="EW276" s="609"/>
      <c r="EX276" s="609"/>
      <c r="EY276" s="609"/>
      <c r="EZ276" s="609"/>
      <c r="FA276" s="609"/>
      <c r="FB276" s="609"/>
      <c r="FC276" s="609"/>
      <c r="FD276" s="609"/>
      <c r="FE276" s="609"/>
      <c r="FF276" s="609"/>
      <c r="FG276" s="609"/>
      <c r="FH276" s="609"/>
      <c r="FI276" s="609"/>
      <c r="FJ276" s="609"/>
      <c r="FK276" s="609"/>
      <c r="FL276" s="609"/>
      <c r="FM276" s="609"/>
      <c r="FN276" s="609"/>
      <c r="FO276" s="609"/>
      <c r="FP276" s="609"/>
      <c r="FQ276" s="609"/>
      <c r="FR276" s="609"/>
      <c r="FS276" s="609"/>
      <c r="FT276" s="609"/>
      <c r="FU276" s="609"/>
      <c r="FV276" s="609"/>
      <c r="FW276" s="609"/>
      <c r="FX276" s="609"/>
      <c r="FY276" s="609"/>
      <c r="FZ276" s="609"/>
      <c r="GA276" s="609"/>
      <c r="GB276" s="609"/>
      <c r="GC276" s="609"/>
      <c r="GD276" s="609"/>
      <c r="GE276" s="609"/>
      <c r="GF276" s="609"/>
      <c r="GG276" s="609"/>
      <c r="GH276" s="609"/>
      <c r="GI276" s="609"/>
      <c r="GJ276" s="609"/>
      <c r="GK276" s="609"/>
      <c r="GL276" s="609"/>
      <c r="GM276" s="609"/>
      <c r="GN276" s="609"/>
      <c r="GO276" s="609"/>
      <c r="GP276" s="609"/>
      <c r="GQ276" s="609"/>
      <c r="GR276" s="609"/>
      <c r="GS276" s="609"/>
      <c r="GT276" s="609"/>
      <c r="GU276" s="609"/>
      <c r="GV276" s="609"/>
      <c r="GW276" s="609"/>
      <c r="GX276" s="609"/>
      <c r="GY276" s="609"/>
      <c r="GZ276" s="609"/>
      <c r="HA276" s="609"/>
      <c r="HB276" s="609"/>
      <c r="HC276" s="609"/>
      <c r="HD276" s="609"/>
      <c r="HE276" s="609"/>
      <c r="HF276" s="609"/>
      <c r="HG276" s="609"/>
      <c r="HH276" s="609"/>
      <c r="HI276" s="609"/>
      <c r="HJ276" s="609"/>
      <c r="HK276" s="609"/>
      <c r="HL276" s="609"/>
      <c r="HM276" s="609"/>
      <c r="HN276" s="609"/>
      <c r="HO276" s="609"/>
      <c r="HP276" s="609"/>
      <c r="HQ276" s="609"/>
      <c r="HR276" s="609"/>
      <c r="HS276" s="609"/>
      <c r="HT276" s="609"/>
      <c r="HU276" s="609"/>
      <c r="HV276" s="609"/>
      <c r="HW276" s="609"/>
      <c r="HX276" s="609"/>
      <c r="HY276" s="609"/>
      <c r="HZ276" s="609"/>
      <c r="IA276" s="609"/>
      <c r="IB276" s="609"/>
      <c r="IC276" s="609"/>
      <c r="ID276" s="609"/>
      <c r="IE276" s="609"/>
      <c r="IF276" s="609"/>
      <c r="IG276" s="609"/>
      <c r="IH276" s="609"/>
      <c r="II276" s="609"/>
      <c r="IJ276" s="609"/>
      <c r="IK276" s="609"/>
      <c r="IL276" s="609"/>
      <c r="IM276" s="609"/>
      <c r="IN276" s="609"/>
      <c r="IO276" s="609"/>
      <c r="IP276" s="609"/>
      <c r="IQ276" s="609"/>
      <c r="IR276" s="609"/>
      <c r="IS276" s="609"/>
      <c r="IT276" s="609"/>
      <c r="IU276" s="609"/>
      <c r="IV276" s="609"/>
      <c r="IW276" s="609"/>
      <c r="IX276" s="609"/>
      <c r="IY276" s="609"/>
      <c r="IZ276" s="609"/>
      <c r="JA276" s="609"/>
      <c r="JB276" s="609"/>
      <c r="JC276" s="609"/>
      <c r="JD276" s="609"/>
      <c r="JE276" s="609"/>
      <c r="JF276" s="609"/>
      <c r="JG276" s="609"/>
      <c r="JH276" s="609"/>
      <c r="JI276" s="609"/>
      <c r="JJ276" s="609"/>
      <c r="JK276" s="609"/>
      <c r="JL276" s="609"/>
      <c r="JM276" s="609"/>
      <c r="JN276" s="609"/>
      <c r="JO276" s="609"/>
      <c r="JP276" s="609"/>
      <c r="JQ276" s="609"/>
      <c r="JR276" s="609"/>
      <c r="JS276" s="609"/>
      <c r="JT276" s="609"/>
      <c r="JU276" s="609"/>
      <c r="JV276" s="609"/>
      <c r="JW276" s="609"/>
      <c r="JX276" s="609"/>
      <c r="JY276" s="609"/>
      <c r="JZ276" s="609"/>
      <c r="KA276" s="609"/>
      <c r="KB276" s="609"/>
      <c r="KC276" s="609"/>
      <c r="KD276" s="609"/>
      <c r="KE276" s="609"/>
      <c r="KF276" s="609"/>
      <c r="KG276" s="609"/>
      <c r="KH276" s="609"/>
      <c r="KI276" s="609"/>
      <c r="KJ276" s="609"/>
      <c r="KK276" s="609"/>
      <c r="KL276" s="609"/>
      <c r="KM276" s="609"/>
      <c r="KN276" s="609"/>
      <c r="KO276" s="609"/>
      <c r="KP276" s="609"/>
      <c r="KQ276" s="609"/>
      <c r="KR276" s="609"/>
      <c r="KS276" s="609"/>
      <c r="KT276" s="609"/>
      <c r="KU276" s="609"/>
      <c r="KV276" s="609"/>
      <c r="KW276" s="609"/>
      <c r="KX276" s="609"/>
      <c r="KY276" s="609"/>
      <c r="KZ276" s="609"/>
      <c r="LA276" s="609"/>
      <c r="LB276" s="609"/>
      <c r="LC276" s="609"/>
      <c r="LD276" s="609"/>
      <c r="LE276" s="609"/>
      <c r="LF276" s="609"/>
      <c r="LG276" s="609"/>
      <c r="LH276" s="609"/>
      <c r="LI276" s="609"/>
      <c r="LJ276" s="609"/>
      <c r="LK276" s="609"/>
      <c r="LL276" s="609"/>
      <c r="LM276" s="609"/>
      <c r="LN276" s="609"/>
      <c r="LO276" s="609"/>
      <c r="LP276" s="609"/>
      <c r="LQ276" s="609"/>
      <c r="LR276" s="609"/>
      <c r="LS276" s="609"/>
      <c r="LT276" s="609"/>
      <c r="LU276" s="609"/>
      <c r="LV276" s="609"/>
      <c r="LW276" s="609"/>
      <c r="LX276" s="609"/>
      <c r="LY276" s="609"/>
      <c r="LZ276" s="609"/>
      <c r="MA276" s="609"/>
      <c r="MB276" s="609"/>
      <c r="MC276" s="609"/>
      <c r="MD276" s="609"/>
      <c r="ME276" s="609"/>
      <c r="MF276" s="609"/>
      <c r="MG276" s="609"/>
      <c r="MH276" s="609"/>
      <c r="MI276" s="609"/>
      <c r="MJ276" s="609"/>
      <c r="MK276" s="609"/>
      <c r="ML276" s="609"/>
      <c r="MM276" s="609"/>
      <c r="MN276" s="609"/>
      <c r="MO276" s="609"/>
      <c r="MP276" s="609"/>
      <c r="MQ276" s="609"/>
      <c r="MR276" s="609"/>
      <c r="MS276" s="609"/>
      <c r="MT276" s="609"/>
      <c r="MU276" s="609"/>
      <c r="MV276" s="609"/>
      <c r="MW276" s="609"/>
      <c r="MX276" s="609"/>
      <c r="MY276" s="609"/>
      <c r="MZ276" s="609"/>
      <c r="NA276" s="609"/>
      <c r="NB276" s="609"/>
      <c r="NC276" s="609"/>
      <c r="ND276" s="609"/>
      <c r="NE276" s="609"/>
      <c r="NF276" s="609"/>
      <c r="NG276" s="609"/>
      <c r="NH276" s="609"/>
      <c r="NI276" s="609"/>
      <c r="NJ276" s="609"/>
      <c r="NK276" s="609"/>
      <c r="NL276" s="609"/>
      <c r="NM276" s="609"/>
      <c r="NN276" s="609"/>
      <c r="NO276" s="609"/>
      <c r="NP276" s="609"/>
      <c r="NQ276" s="609"/>
      <c r="NR276" s="609"/>
      <c r="NS276" s="609"/>
      <c r="NT276" s="609"/>
      <c r="NU276" s="609"/>
      <c r="NV276" s="609"/>
      <c r="NW276" s="609"/>
      <c r="NX276" s="609"/>
      <c r="NY276" s="609"/>
      <c r="NZ276" s="609"/>
      <c r="OA276" s="609"/>
      <c r="OB276" s="609"/>
      <c r="OC276" s="609"/>
      <c r="OD276" s="609"/>
      <c r="OE276" s="609"/>
      <c r="OF276" s="609"/>
      <c r="OG276" s="609"/>
      <c r="OH276" s="609"/>
      <c r="OI276" s="609"/>
      <c r="OJ276" s="609"/>
      <c r="OK276" s="609"/>
      <c r="OL276" s="609"/>
      <c r="OM276" s="609"/>
      <c r="ON276" s="609"/>
      <c r="OO276" s="609"/>
      <c r="OP276" s="609"/>
      <c r="OQ276" s="609"/>
      <c r="OR276" s="609"/>
      <c r="OS276" s="609"/>
      <c r="OT276" s="609"/>
      <c r="OU276" s="609"/>
      <c r="OV276" s="609"/>
      <c r="OW276" s="609"/>
      <c r="OX276" s="609"/>
      <c r="OY276" s="609"/>
      <c r="OZ276" s="609"/>
      <c r="PA276" s="609"/>
      <c r="PB276" s="609"/>
      <c r="PC276" s="609"/>
      <c r="PD276" s="609"/>
      <c r="PE276" s="609"/>
      <c r="PF276" s="609"/>
      <c r="PG276" s="609"/>
      <c r="PH276" s="609"/>
      <c r="PI276" s="609"/>
      <c r="PJ276" s="609"/>
      <c r="PK276" s="609"/>
      <c r="PL276" s="609"/>
      <c r="PM276" s="609"/>
      <c r="PN276" s="609"/>
      <c r="PO276" s="609"/>
      <c r="PP276" s="609"/>
      <c r="PQ276" s="609"/>
      <c r="PR276" s="609"/>
      <c r="PS276" s="609"/>
      <c r="PT276" s="609"/>
      <c r="PU276" s="609"/>
      <c r="PV276" s="609"/>
      <c r="PW276" s="609"/>
      <c r="PX276" s="609"/>
      <c r="PY276" s="609"/>
      <c r="PZ276" s="609"/>
      <c r="QA276" s="609"/>
      <c r="QB276" s="609"/>
      <c r="QC276" s="609"/>
      <c r="QD276" s="609"/>
      <c r="QE276" s="609"/>
      <c r="QF276" s="609"/>
      <c r="QG276" s="609"/>
      <c r="QH276" s="609"/>
      <c r="QI276" s="609"/>
      <c r="QJ276" s="609"/>
      <c r="QK276" s="609"/>
      <c r="QL276" s="609"/>
      <c r="QM276" s="609"/>
      <c r="QN276" s="609"/>
      <c r="QO276" s="609"/>
      <c r="QP276" s="609"/>
      <c r="QQ276" s="609"/>
      <c r="QR276" s="609"/>
      <c r="QS276" s="609"/>
      <c r="QT276" s="609"/>
      <c r="QU276" s="609"/>
      <c r="QV276" s="609"/>
      <c r="QW276" s="609"/>
      <c r="QX276" s="609"/>
      <c r="QY276" s="609"/>
      <c r="QZ276" s="609"/>
      <c r="RA276" s="609"/>
      <c r="RB276" s="609"/>
      <c r="RC276" s="609"/>
      <c r="RD276" s="609"/>
      <c r="RE276" s="609"/>
      <c r="RF276" s="609"/>
      <c r="RG276" s="609"/>
      <c r="RH276" s="609"/>
      <c r="RI276" s="609"/>
      <c r="RJ276" s="609"/>
      <c r="RK276" s="609"/>
      <c r="RL276" s="609"/>
      <c r="RM276" s="609"/>
      <c r="RN276" s="609"/>
      <c r="RO276" s="609"/>
      <c r="RP276" s="609"/>
      <c r="RQ276" s="609"/>
      <c r="RR276" s="609"/>
      <c r="RS276" s="609"/>
      <c r="RT276" s="609"/>
      <c r="RU276" s="609"/>
      <c r="RV276" s="609"/>
      <c r="RW276" s="609"/>
      <c r="RX276" s="609"/>
      <c r="RY276" s="609"/>
      <c r="RZ276" s="609"/>
      <c r="SA276" s="609"/>
      <c r="SB276" s="609"/>
      <c r="SC276" s="609"/>
      <c r="SD276" s="609"/>
      <c r="SE276" s="609"/>
      <c r="SF276" s="609"/>
      <c r="SG276" s="609"/>
      <c r="SH276" s="609"/>
      <c r="SI276" s="609"/>
      <c r="SJ276" s="609"/>
      <c r="SK276" s="609"/>
      <c r="SL276" s="609"/>
      <c r="SM276" s="609"/>
      <c r="SN276" s="609"/>
      <c r="SO276" s="609"/>
      <c r="SP276" s="609"/>
      <c r="SQ276" s="609"/>
      <c r="SR276" s="609"/>
      <c r="SS276" s="609"/>
      <c r="ST276" s="609"/>
      <c r="SU276" s="609"/>
      <c r="SV276" s="609"/>
      <c r="SW276" s="609"/>
      <c r="SX276" s="609"/>
      <c r="SY276" s="609"/>
      <c r="SZ276" s="609"/>
      <c r="TA276" s="609"/>
      <c r="TB276" s="609"/>
      <c r="TC276" s="609"/>
      <c r="TD276" s="609"/>
      <c r="TE276" s="609"/>
      <c r="TF276" s="609"/>
      <c r="TG276" s="609"/>
      <c r="TH276" s="609"/>
      <c r="TI276" s="609"/>
      <c r="TJ276" s="609"/>
      <c r="TK276" s="609"/>
      <c r="TL276" s="609"/>
      <c r="TM276" s="609"/>
      <c r="TN276" s="609"/>
      <c r="TO276" s="609"/>
      <c r="TP276" s="609"/>
      <c r="TQ276" s="609"/>
      <c r="TR276" s="609"/>
      <c r="TS276" s="609"/>
      <c r="TT276" s="609"/>
      <c r="TU276" s="609"/>
      <c r="TV276" s="609"/>
      <c r="TW276" s="609"/>
      <c r="TX276" s="609"/>
      <c r="TY276" s="609"/>
      <c r="TZ276" s="609"/>
      <c r="UA276" s="609"/>
      <c r="UB276" s="609"/>
      <c r="UC276" s="609"/>
      <c r="UD276" s="609"/>
      <c r="UE276" s="609"/>
      <c r="UF276" s="609"/>
      <c r="UG276" s="609"/>
      <c r="UH276" s="609"/>
      <c r="UI276" s="609"/>
      <c r="UJ276" s="609"/>
      <c r="UK276" s="609"/>
      <c r="UL276" s="609"/>
      <c r="UM276" s="609"/>
      <c r="UN276" s="609"/>
      <c r="UO276" s="609"/>
      <c r="UP276" s="609"/>
      <c r="UQ276" s="609"/>
      <c r="UR276" s="609"/>
      <c r="US276" s="609"/>
      <c r="UT276" s="609"/>
      <c r="UU276" s="609"/>
      <c r="UV276" s="609"/>
      <c r="UW276" s="609"/>
      <c r="UX276" s="609"/>
      <c r="UY276" s="609"/>
      <c r="UZ276" s="609"/>
      <c r="VA276" s="609"/>
      <c r="VB276" s="609"/>
      <c r="VC276" s="609"/>
      <c r="VD276" s="609"/>
      <c r="VE276" s="609"/>
      <c r="VF276" s="609"/>
      <c r="VG276" s="609"/>
      <c r="VH276" s="609"/>
      <c r="VI276" s="609"/>
      <c r="VJ276" s="609"/>
      <c r="VK276" s="609"/>
      <c r="VL276" s="609"/>
      <c r="VM276" s="609"/>
      <c r="VN276" s="609"/>
      <c r="VO276" s="609"/>
      <c r="VP276" s="609"/>
      <c r="VQ276" s="609"/>
      <c r="VR276" s="609"/>
      <c r="VS276" s="609"/>
      <c r="VT276" s="609"/>
      <c r="VU276" s="609"/>
      <c r="VV276" s="609"/>
      <c r="VW276" s="609"/>
      <c r="VX276" s="609"/>
      <c r="VY276" s="609"/>
      <c r="VZ276" s="609"/>
      <c r="WA276" s="609"/>
      <c r="WB276" s="609"/>
      <c r="WC276" s="609"/>
      <c r="WD276" s="609"/>
      <c r="WE276" s="609"/>
      <c r="WF276" s="609"/>
      <c r="WG276" s="609"/>
      <c r="WH276" s="609"/>
      <c r="WI276" s="609"/>
      <c r="WJ276" s="609"/>
      <c r="WK276" s="609"/>
      <c r="WL276" s="609"/>
      <c r="WM276" s="609"/>
      <c r="WN276" s="609"/>
      <c r="WO276" s="609"/>
      <c r="WP276" s="609"/>
      <c r="WQ276" s="609"/>
      <c r="WR276" s="609"/>
      <c r="WS276" s="609"/>
      <c r="WT276" s="609"/>
      <c r="WU276" s="609"/>
      <c r="WV276" s="609"/>
      <c r="WW276" s="609"/>
      <c r="WX276" s="609"/>
      <c r="WY276" s="609"/>
      <c r="WZ276" s="609"/>
      <c r="XA276" s="609"/>
      <c r="XB276" s="609"/>
      <c r="XC276" s="609"/>
      <c r="XD276" s="609"/>
      <c r="XE276" s="609"/>
      <c r="XF276" s="609"/>
      <c r="XG276" s="609"/>
      <c r="XH276" s="609"/>
      <c r="XI276" s="609"/>
      <c r="XJ276" s="609"/>
      <c r="XK276" s="609"/>
      <c r="XL276" s="609"/>
      <c r="XM276" s="609"/>
      <c r="XN276" s="609"/>
      <c r="XO276" s="609"/>
      <c r="XP276" s="609"/>
      <c r="XQ276" s="609"/>
      <c r="XR276" s="609"/>
      <c r="XS276" s="609"/>
      <c r="XT276" s="609"/>
      <c r="XU276" s="609"/>
      <c r="XV276" s="609"/>
      <c r="XW276" s="609"/>
      <c r="XX276" s="609"/>
      <c r="XY276" s="609"/>
      <c r="XZ276" s="609"/>
      <c r="YA276" s="609"/>
      <c r="YB276" s="609"/>
      <c r="YC276" s="609"/>
      <c r="YD276" s="609"/>
      <c r="YE276" s="609"/>
      <c r="YF276" s="609"/>
      <c r="YG276" s="609"/>
      <c r="YH276" s="609"/>
      <c r="YI276" s="609"/>
      <c r="YJ276" s="609"/>
      <c r="YK276" s="609"/>
      <c r="YL276" s="609"/>
      <c r="YM276" s="609"/>
      <c r="YN276" s="609"/>
      <c r="YO276" s="609"/>
      <c r="YP276" s="609"/>
      <c r="YQ276" s="609"/>
      <c r="YR276" s="609"/>
      <c r="YS276" s="609"/>
      <c r="YT276" s="609"/>
      <c r="YU276" s="609"/>
      <c r="YV276" s="609"/>
      <c r="YW276" s="609"/>
      <c r="YX276" s="609"/>
      <c r="YY276" s="609"/>
      <c r="YZ276" s="609"/>
      <c r="ZA276" s="609"/>
      <c r="ZB276" s="609"/>
      <c r="ZC276" s="609"/>
      <c r="ZD276" s="609"/>
      <c r="ZE276" s="609"/>
      <c r="ZF276" s="609"/>
      <c r="ZG276" s="609"/>
      <c r="ZH276" s="609"/>
      <c r="ZI276" s="609"/>
      <c r="ZJ276" s="609"/>
      <c r="ZK276" s="609"/>
      <c r="ZL276" s="609"/>
      <c r="ZM276" s="609"/>
      <c r="ZN276" s="609"/>
      <c r="ZO276" s="609"/>
      <c r="ZP276" s="609"/>
      <c r="ZQ276" s="609"/>
      <c r="ZR276" s="609"/>
      <c r="ZS276" s="609"/>
      <c r="ZT276" s="609"/>
      <c r="ZU276" s="609"/>
      <c r="ZV276" s="609"/>
      <c r="ZW276" s="609"/>
      <c r="ZX276" s="609"/>
      <c r="ZY276" s="609"/>
      <c r="ZZ276" s="609"/>
      <c r="AAA276" s="609"/>
      <c r="AAB276" s="609"/>
      <c r="AAC276" s="609"/>
      <c r="AAD276" s="609"/>
      <c r="AAE276" s="609"/>
      <c r="AAF276" s="609"/>
      <c r="AAG276" s="609"/>
      <c r="AAH276" s="609"/>
      <c r="AAI276" s="609"/>
      <c r="AAJ276" s="609"/>
      <c r="AAK276" s="609"/>
      <c r="AAL276" s="609"/>
      <c r="AAM276" s="609"/>
      <c r="AAN276" s="609"/>
      <c r="AAO276" s="609"/>
      <c r="AAP276" s="609"/>
      <c r="AAQ276" s="609"/>
      <c r="AAR276" s="609"/>
      <c r="AAS276" s="609"/>
      <c r="AAT276" s="609"/>
      <c r="AAU276" s="609"/>
      <c r="AAV276" s="609"/>
      <c r="AAW276" s="609"/>
      <c r="AAX276" s="609"/>
      <c r="AAY276" s="609"/>
      <c r="AAZ276" s="609"/>
      <c r="ABA276" s="609"/>
      <c r="ABB276" s="609"/>
      <c r="ABC276" s="609"/>
      <c r="ABD276" s="609"/>
      <c r="ABE276" s="609"/>
      <c r="ABF276" s="609"/>
      <c r="ABG276" s="609"/>
      <c r="ABH276" s="609"/>
      <c r="ABI276" s="609"/>
      <c r="ABJ276" s="609"/>
      <c r="ABK276" s="609"/>
      <c r="ABL276" s="609"/>
      <c r="ABM276" s="609"/>
      <c r="ABN276" s="609"/>
      <c r="ABO276" s="609"/>
      <c r="ABP276" s="609"/>
      <c r="ABQ276" s="609"/>
      <c r="ABR276" s="609"/>
      <c r="ABS276" s="609"/>
      <c r="ABT276" s="609"/>
      <c r="ABU276" s="609"/>
      <c r="ABV276" s="609"/>
      <c r="ABW276" s="609"/>
      <c r="ABX276" s="609"/>
      <c r="ABY276" s="609"/>
      <c r="ABZ276" s="609"/>
      <c r="ACA276" s="609"/>
      <c r="ACB276" s="609"/>
      <c r="ACC276" s="609"/>
      <c r="ACD276" s="609"/>
      <c r="ACE276" s="609"/>
      <c r="ACF276" s="609"/>
      <c r="ACG276" s="609"/>
      <c r="ACH276" s="609"/>
      <c r="ACI276" s="609"/>
      <c r="ACJ276" s="609"/>
      <c r="ACK276" s="609"/>
      <c r="ACL276" s="609"/>
      <c r="ACM276" s="609"/>
      <c r="ACN276" s="609"/>
      <c r="ACO276" s="609"/>
      <c r="ACP276" s="609"/>
      <c r="ACQ276" s="609"/>
      <c r="ACR276" s="609"/>
      <c r="ACS276" s="609"/>
      <c r="ACT276" s="609"/>
      <c r="ACU276" s="609"/>
      <c r="ACV276" s="609"/>
      <c r="ACW276" s="609"/>
      <c r="ACX276" s="609"/>
      <c r="ACY276" s="609"/>
      <c r="ACZ276" s="609"/>
      <c r="ADA276" s="609"/>
      <c r="ADB276" s="609"/>
      <c r="ADC276" s="609"/>
      <c r="ADD276" s="609"/>
      <c r="ADE276" s="609"/>
      <c r="ADF276" s="609"/>
      <c r="ADG276" s="609"/>
      <c r="ADH276" s="609"/>
      <c r="ADI276" s="609"/>
      <c r="ADJ276" s="609"/>
      <c r="ADK276" s="609"/>
      <c r="ADL276" s="609"/>
      <c r="ADM276" s="609"/>
      <c r="ADN276" s="609"/>
      <c r="ADO276" s="609"/>
      <c r="ADP276" s="609"/>
      <c r="ADQ276" s="609"/>
      <c r="ADR276" s="609"/>
      <c r="ADS276" s="609"/>
      <c r="ADT276" s="609"/>
      <c r="ADU276" s="609"/>
      <c r="ADV276" s="609"/>
      <c r="ADW276" s="609"/>
      <c r="ADX276" s="609"/>
      <c r="ADY276" s="609"/>
      <c r="ADZ276" s="609"/>
      <c r="AEA276" s="609"/>
      <c r="AEB276" s="609"/>
      <c r="AEC276" s="609"/>
      <c r="AED276" s="609"/>
      <c r="AEE276" s="609"/>
      <c r="AEF276" s="609"/>
      <c r="AEG276" s="609"/>
      <c r="AEH276" s="609"/>
      <c r="AEI276" s="609"/>
      <c r="AEJ276" s="609"/>
      <c r="AEK276" s="609"/>
      <c r="AEL276" s="609"/>
      <c r="AEM276" s="609"/>
      <c r="AEN276" s="609"/>
      <c r="AEO276" s="609"/>
      <c r="AEP276" s="609"/>
      <c r="AEQ276" s="609"/>
      <c r="AER276" s="609"/>
      <c r="AES276" s="609"/>
      <c r="AET276" s="609"/>
      <c r="AEU276" s="609"/>
      <c r="AEV276" s="609"/>
      <c r="AEW276" s="609"/>
      <c r="AEX276" s="609"/>
      <c r="AEY276" s="609"/>
      <c r="AEZ276" s="609"/>
      <c r="AFA276" s="609"/>
      <c r="AFB276" s="609"/>
      <c r="AFC276" s="609"/>
      <c r="AFD276" s="609"/>
      <c r="AFE276" s="609"/>
      <c r="AFF276" s="609"/>
      <c r="AFG276" s="609"/>
      <c r="AFH276" s="609"/>
      <c r="AFI276" s="609"/>
      <c r="AFJ276" s="609"/>
      <c r="AFK276" s="609"/>
      <c r="AFL276" s="609"/>
      <c r="AFM276" s="609"/>
      <c r="AFN276" s="609"/>
      <c r="AFO276" s="609"/>
      <c r="AFP276" s="609"/>
      <c r="AFQ276" s="609"/>
      <c r="AFR276" s="609"/>
      <c r="AFS276" s="609"/>
      <c r="AFT276" s="609"/>
      <c r="AFU276" s="609"/>
      <c r="AFV276" s="609"/>
      <c r="AFW276" s="609"/>
      <c r="AFX276" s="609"/>
      <c r="AFY276" s="609"/>
      <c r="AFZ276" s="609"/>
      <c r="AGA276" s="609"/>
      <c r="AGB276" s="609"/>
      <c r="AGC276" s="609"/>
      <c r="AGD276" s="609"/>
      <c r="AGE276" s="609"/>
      <c r="AGF276" s="609"/>
      <c r="AGG276" s="609"/>
      <c r="AGH276" s="609"/>
      <c r="AGI276" s="609"/>
      <c r="AGJ276" s="609"/>
      <c r="AGK276" s="609"/>
      <c r="AGL276" s="609"/>
      <c r="AGM276" s="609"/>
      <c r="AGN276" s="609"/>
      <c r="AGO276" s="609"/>
      <c r="AGP276" s="609"/>
      <c r="AGQ276" s="609"/>
      <c r="AGR276" s="609"/>
      <c r="AGS276" s="609"/>
      <c r="AGT276" s="609"/>
      <c r="AGU276" s="609"/>
      <c r="AGV276" s="609"/>
      <c r="AGW276" s="609"/>
      <c r="AGX276" s="609"/>
      <c r="AGY276" s="609"/>
      <c r="AGZ276" s="609"/>
      <c r="AHA276" s="609"/>
      <c r="AHB276" s="609"/>
      <c r="AHC276" s="609"/>
      <c r="AHD276" s="609"/>
      <c r="AHE276" s="609"/>
      <c r="AHF276" s="609"/>
      <c r="AHG276" s="609"/>
      <c r="AHH276" s="609"/>
      <c r="AHI276" s="609"/>
      <c r="AHJ276" s="609"/>
      <c r="AHK276" s="609"/>
      <c r="AHL276" s="609"/>
      <c r="AHM276" s="609"/>
      <c r="AHN276" s="609"/>
      <c r="AHO276" s="609"/>
      <c r="AHP276" s="609"/>
      <c r="AHQ276" s="609"/>
      <c r="AHR276" s="609"/>
      <c r="AHS276" s="609"/>
      <c r="AHT276" s="609"/>
      <c r="AHU276" s="609"/>
      <c r="AHV276" s="609"/>
      <c r="AHW276" s="609"/>
      <c r="AHX276" s="609"/>
      <c r="AHY276" s="609"/>
      <c r="AHZ276" s="609"/>
      <c r="AIA276" s="609"/>
      <c r="AIB276" s="609"/>
      <c r="AIC276" s="609"/>
      <c r="AID276" s="609"/>
      <c r="AIE276" s="609"/>
      <c r="AIF276" s="609"/>
      <c r="AIG276" s="609"/>
      <c r="AIH276" s="609"/>
      <c r="AII276" s="609"/>
      <c r="AIJ276" s="609"/>
      <c r="AIK276" s="609"/>
      <c r="AIL276" s="609"/>
      <c r="AIM276" s="609"/>
      <c r="AIN276" s="609"/>
      <c r="AIO276" s="609"/>
      <c r="AIP276" s="609"/>
      <c r="AIQ276" s="609"/>
      <c r="AIR276" s="609"/>
      <c r="AIS276" s="609"/>
      <c r="AIT276" s="609"/>
      <c r="AIU276" s="609"/>
      <c r="AIV276" s="609"/>
      <c r="AIW276" s="609"/>
      <c r="AIX276" s="609"/>
      <c r="AIY276" s="609"/>
      <c r="AIZ276" s="609"/>
      <c r="AJA276" s="609"/>
      <c r="AJB276" s="609"/>
      <c r="AJC276" s="609"/>
      <c r="AJD276" s="609"/>
      <c r="AJE276" s="609"/>
      <c r="AJF276" s="609"/>
      <c r="AJG276" s="609"/>
      <c r="AJH276" s="609"/>
      <c r="AJI276" s="609"/>
      <c r="AJJ276" s="609"/>
      <c r="AJK276" s="609"/>
      <c r="AJL276" s="609"/>
      <c r="AJM276" s="609"/>
      <c r="AJN276" s="609"/>
      <c r="AJO276" s="609"/>
      <c r="AJP276" s="609"/>
      <c r="AJQ276" s="609"/>
      <c r="AJR276" s="609"/>
      <c r="AJS276" s="609"/>
      <c r="AJT276" s="609"/>
      <c r="AJU276" s="609"/>
      <c r="AJV276" s="609"/>
      <c r="AJW276" s="609"/>
      <c r="AJX276" s="609"/>
      <c r="AJY276" s="609"/>
      <c r="AJZ276" s="609"/>
      <c r="AKA276" s="609"/>
      <c r="AKB276" s="609"/>
      <c r="AKC276" s="609"/>
      <c r="AKD276" s="609"/>
      <c r="AKE276" s="609"/>
      <c r="AKF276" s="609"/>
      <c r="AKG276" s="609"/>
      <c r="AKH276" s="609"/>
      <c r="AKI276" s="609"/>
      <c r="AKJ276" s="609"/>
      <c r="AKK276" s="609"/>
      <c r="AKL276" s="609"/>
      <c r="AKM276" s="609"/>
      <c r="AKN276" s="609"/>
      <c r="AKO276" s="609"/>
      <c r="AKP276" s="609"/>
      <c r="AKQ276" s="609"/>
      <c r="AKR276" s="609"/>
      <c r="AKS276" s="609"/>
      <c r="AKT276" s="609"/>
      <c r="AKU276" s="609"/>
      <c r="AKV276" s="609"/>
      <c r="AKW276" s="609"/>
      <c r="AKX276" s="609"/>
      <c r="AKY276" s="609"/>
      <c r="AKZ276" s="609"/>
      <c r="ALA276" s="609"/>
      <c r="ALB276" s="609"/>
      <c r="ALC276" s="609"/>
      <c r="ALD276" s="609"/>
      <c r="ALE276" s="609"/>
      <c r="ALF276" s="609"/>
      <c r="ALG276" s="609"/>
      <c r="ALH276" s="609"/>
      <c r="ALI276" s="609"/>
      <c r="ALJ276" s="609"/>
      <c r="ALK276" s="609"/>
      <c r="ALL276" s="609"/>
      <c r="ALM276" s="609"/>
      <c r="ALN276" s="609"/>
      <c r="ALO276" s="609"/>
      <c r="ALP276" s="609"/>
      <c r="ALQ276" s="609"/>
      <c r="ALR276" s="609"/>
      <c r="ALS276" s="609"/>
      <c r="ALT276" s="609"/>
      <c r="ALU276" s="609"/>
      <c r="ALV276" s="609"/>
      <c r="ALW276" s="609"/>
      <c r="ALX276" s="609"/>
      <c r="ALY276" s="609"/>
      <c r="ALZ276" s="609"/>
      <c r="AMA276" s="609"/>
      <c r="AMB276" s="609"/>
      <c r="AMC276" s="609"/>
      <c r="AMD276" s="609"/>
      <c r="AME276" s="609"/>
      <c r="AMF276" s="609"/>
      <c r="AMG276" s="609"/>
      <c r="AMH276" s="609"/>
      <c r="AMI276" s="609"/>
      <c r="AMJ276" s="609"/>
      <c r="AMK276" s="609"/>
      <c r="AML276" s="609"/>
      <c r="AMM276" s="609"/>
      <c r="AMN276" s="609"/>
      <c r="AMO276" s="609"/>
      <c r="AMP276" s="609"/>
      <c r="AMQ276" s="609"/>
      <c r="AMR276" s="609"/>
      <c r="AMS276" s="609"/>
      <c r="AMT276" s="609"/>
      <c r="AMU276" s="609"/>
      <c r="AMV276" s="609"/>
      <c r="AMW276" s="609"/>
      <c r="AMX276" s="609"/>
      <c r="AMY276" s="609"/>
      <c r="AMZ276" s="609"/>
      <c r="ANA276" s="609"/>
      <c r="ANB276" s="609"/>
      <c r="ANC276" s="609"/>
      <c r="AND276" s="609"/>
      <c r="ANE276" s="609"/>
      <c r="ANF276" s="609"/>
      <c r="ANG276" s="609"/>
      <c r="ANH276" s="609"/>
      <c r="ANI276" s="609"/>
      <c r="ANJ276" s="609"/>
      <c r="ANK276" s="609"/>
      <c r="ANL276" s="609"/>
      <c r="ANM276" s="609"/>
      <c r="ANN276" s="609"/>
      <c r="ANO276" s="609"/>
      <c r="ANP276" s="609"/>
      <c r="ANQ276" s="609"/>
      <c r="ANR276" s="609"/>
      <c r="ANS276" s="609"/>
      <c r="ANT276" s="609"/>
      <c r="ANU276" s="609"/>
      <c r="ANV276" s="609"/>
      <c r="ANW276" s="609"/>
      <c r="ANX276" s="609"/>
      <c r="ANY276" s="609"/>
      <c r="ANZ276" s="609"/>
      <c r="AOA276" s="609"/>
      <c r="AOB276" s="609"/>
      <c r="AOC276" s="609"/>
      <c r="AOD276" s="609"/>
      <c r="AOE276" s="609"/>
      <c r="AOF276" s="609"/>
      <c r="AOG276" s="609"/>
      <c r="AOH276" s="609"/>
      <c r="AOI276" s="609"/>
      <c r="AOJ276" s="609"/>
      <c r="AOK276" s="609"/>
      <c r="AOL276" s="609"/>
      <c r="AOM276" s="609"/>
      <c r="AON276" s="609"/>
      <c r="AOO276" s="609"/>
      <c r="AOP276" s="609"/>
      <c r="AOQ276" s="609"/>
      <c r="AOR276" s="609"/>
      <c r="AOS276" s="609"/>
      <c r="AOT276" s="609"/>
      <c r="AOU276" s="609"/>
      <c r="AOV276" s="609"/>
      <c r="AOW276" s="609"/>
      <c r="AOX276" s="609"/>
      <c r="AOY276" s="609"/>
      <c r="AOZ276" s="609"/>
      <c r="APA276" s="609"/>
      <c r="APB276" s="609"/>
      <c r="APC276" s="609"/>
      <c r="APD276" s="609"/>
      <c r="APE276" s="609"/>
      <c r="APF276" s="609"/>
      <c r="APG276" s="609"/>
      <c r="APH276" s="609"/>
      <c r="API276" s="609"/>
      <c r="APJ276" s="609"/>
      <c r="APK276" s="609"/>
      <c r="APL276" s="609"/>
      <c r="APM276" s="609"/>
      <c r="APN276" s="609"/>
      <c r="APO276" s="609"/>
      <c r="APP276" s="609"/>
      <c r="APQ276" s="609"/>
      <c r="APR276" s="609"/>
      <c r="APS276" s="609"/>
      <c r="APT276" s="609"/>
      <c r="APU276" s="609"/>
      <c r="APV276" s="609"/>
      <c r="APW276" s="609"/>
      <c r="APX276" s="609"/>
      <c r="APY276" s="609"/>
      <c r="APZ276" s="609"/>
      <c r="AQA276" s="609"/>
      <c r="AQB276" s="609"/>
      <c r="AQC276" s="609"/>
      <c r="AQD276" s="609"/>
      <c r="AQE276" s="609"/>
      <c r="AQF276" s="609"/>
      <c r="AQG276" s="609"/>
      <c r="AQH276" s="609"/>
      <c r="AQI276" s="609"/>
      <c r="AQJ276" s="609"/>
      <c r="AQK276" s="609"/>
      <c r="AQL276" s="609"/>
      <c r="AQM276" s="609"/>
      <c r="AQN276" s="609"/>
      <c r="AQO276" s="609"/>
      <c r="AQP276" s="609"/>
      <c r="AQQ276" s="609"/>
      <c r="AQR276" s="609"/>
      <c r="AQS276" s="609"/>
      <c r="AQT276" s="609"/>
      <c r="AQU276" s="609"/>
      <c r="AQV276" s="609"/>
      <c r="AQW276" s="609"/>
      <c r="AQX276" s="609"/>
      <c r="AQY276" s="609"/>
      <c r="AQZ276" s="609"/>
      <c r="ARA276" s="609"/>
      <c r="ARB276" s="609"/>
      <c r="ARC276" s="609"/>
      <c r="ARD276" s="609"/>
      <c r="ARE276" s="609"/>
      <c r="ARF276" s="609"/>
      <c r="ARG276" s="609"/>
      <c r="ARH276" s="609"/>
      <c r="ARI276" s="609"/>
      <c r="ARJ276" s="609"/>
      <c r="ARK276" s="609"/>
      <c r="ARL276" s="609"/>
      <c r="ARM276" s="609"/>
      <c r="ARN276" s="609"/>
      <c r="ARO276" s="609"/>
      <c r="ARP276" s="609"/>
      <c r="ARQ276" s="609"/>
      <c r="ARR276" s="609"/>
      <c r="ARS276" s="609"/>
      <c r="ART276" s="609"/>
      <c r="ARU276" s="609"/>
      <c r="ARV276" s="609"/>
      <c r="ARW276" s="609"/>
      <c r="ARX276" s="609"/>
      <c r="ARY276" s="609"/>
      <c r="ARZ276" s="609"/>
      <c r="ASA276" s="609"/>
      <c r="ASB276" s="609"/>
      <c r="ASC276" s="609"/>
      <c r="ASD276" s="609"/>
      <c r="ASE276" s="609"/>
      <c r="ASF276" s="609"/>
      <c r="ASG276" s="609"/>
      <c r="ASH276" s="609"/>
      <c r="ASI276" s="609"/>
      <c r="ASJ276" s="609"/>
      <c r="ASK276" s="609"/>
      <c r="ASL276" s="609"/>
      <c r="ASM276" s="609"/>
      <c r="ASN276" s="609"/>
      <c r="ASO276" s="609"/>
      <c r="ASP276" s="609"/>
      <c r="ASQ276" s="609"/>
      <c r="ASR276" s="609"/>
      <c r="ASS276" s="609"/>
      <c r="AST276" s="609"/>
      <c r="ASU276" s="609"/>
      <c r="ASV276" s="609"/>
      <c r="ASW276" s="609"/>
      <c r="ASX276" s="609"/>
      <c r="ASY276" s="609"/>
      <c r="ASZ276" s="609"/>
      <c r="ATA276" s="609"/>
      <c r="ATB276" s="609"/>
      <c r="ATC276" s="609"/>
      <c r="ATD276" s="609"/>
      <c r="ATE276" s="609"/>
      <c r="ATF276" s="609"/>
      <c r="ATG276" s="609"/>
      <c r="ATH276" s="609"/>
      <c r="ATI276" s="609"/>
      <c r="ATJ276" s="609"/>
      <c r="ATK276" s="609"/>
      <c r="ATL276" s="609"/>
      <c r="ATM276" s="609"/>
      <c r="ATN276" s="609"/>
      <c r="ATO276" s="609"/>
      <c r="ATP276" s="609"/>
      <c r="ATQ276" s="609"/>
      <c r="ATR276" s="609"/>
      <c r="ATS276" s="609"/>
      <c r="ATT276" s="609"/>
      <c r="ATU276" s="609"/>
      <c r="ATV276" s="609"/>
      <c r="ATW276" s="609"/>
      <c r="ATX276" s="609"/>
      <c r="ATY276" s="609"/>
      <c r="ATZ276" s="609"/>
      <c r="AUA276" s="609"/>
      <c r="AUB276" s="609"/>
      <c r="AUC276" s="609"/>
      <c r="AUD276" s="609"/>
      <c r="AUE276" s="609"/>
      <c r="AUF276" s="609"/>
      <c r="AUG276" s="609"/>
      <c r="AUH276" s="609"/>
      <c r="AUI276" s="609"/>
      <c r="AUJ276" s="609"/>
      <c r="AUK276" s="609"/>
      <c r="AUL276" s="609"/>
      <c r="AUM276" s="609"/>
      <c r="AUN276" s="609"/>
      <c r="AUO276" s="609"/>
      <c r="AUP276" s="609"/>
      <c r="AUQ276" s="609"/>
      <c r="AUR276" s="609"/>
      <c r="AUS276" s="609"/>
      <c r="AUT276" s="609"/>
      <c r="AUU276" s="609"/>
      <c r="AUV276" s="609"/>
      <c r="AUW276" s="609"/>
      <c r="AUX276" s="609"/>
      <c r="AUY276" s="609"/>
      <c r="AUZ276" s="609"/>
      <c r="AVA276" s="609"/>
      <c r="AVB276" s="609"/>
      <c r="AVC276" s="609"/>
      <c r="AVD276" s="609"/>
      <c r="AVE276" s="609"/>
      <c r="AVF276" s="609"/>
      <c r="AVG276" s="609"/>
      <c r="AVH276" s="609"/>
      <c r="AVI276" s="609"/>
      <c r="AVJ276" s="609"/>
      <c r="AVK276" s="609"/>
      <c r="AVL276" s="609"/>
      <c r="AVM276" s="609"/>
      <c r="AVN276" s="609"/>
      <c r="AVO276" s="609"/>
      <c r="AVP276" s="609"/>
      <c r="AVQ276" s="609"/>
      <c r="AVR276" s="609"/>
      <c r="AVS276" s="609"/>
      <c r="AVT276" s="609"/>
      <c r="AVU276" s="609"/>
      <c r="AVV276" s="609"/>
      <c r="AVW276" s="609"/>
      <c r="AVX276" s="609"/>
      <c r="AVY276" s="609"/>
      <c r="AVZ276" s="609"/>
      <c r="AWA276" s="609"/>
      <c r="AWB276" s="609"/>
      <c r="AWC276" s="609"/>
      <c r="AWD276" s="609"/>
      <c r="AWE276" s="609"/>
      <c r="AWF276" s="609"/>
      <c r="AWG276" s="609"/>
      <c r="AWH276" s="609"/>
      <c r="AWI276" s="609"/>
      <c r="AWJ276" s="609"/>
      <c r="AWK276" s="609"/>
      <c r="AWL276" s="609"/>
      <c r="AWM276" s="609"/>
      <c r="AWN276" s="609"/>
      <c r="AWO276" s="609"/>
      <c r="AWP276" s="609"/>
      <c r="AWQ276" s="609"/>
      <c r="AWR276" s="609"/>
      <c r="AWS276" s="609"/>
      <c r="AWT276" s="609"/>
      <c r="AWU276" s="609"/>
      <c r="AWV276" s="609"/>
      <c r="AWW276" s="609"/>
      <c r="AWX276" s="609"/>
      <c r="AWY276" s="609"/>
      <c r="AWZ276" s="609"/>
      <c r="AXA276" s="609"/>
      <c r="AXB276" s="609"/>
      <c r="AXC276" s="609"/>
      <c r="AXD276" s="609"/>
      <c r="AXE276" s="609"/>
      <c r="AXF276" s="609"/>
      <c r="AXG276" s="609"/>
      <c r="AXH276" s="609"/>
      <c r="AXI276" s="609"/>
      <c r="AXJ276" s="609"/>
      <c r="AXK276" s="609"/>
      <c r="AXL276" s="609"/>
      <c r="AXM276" s="609"/>
      <c r="AXN276" s="609"/>
      <c r="AXO276" s="609"/>
      <c r="AXP276" s="609"/>
      <c r="AXQ276" s="609"/>
      <c r="AXR276" s="609"/>
      <c r="AXS276" s="609"/>
      <c r="AXT276" s="609"/>
      <c r="AXU276" s="609"/>
      <c r="AXV276" s="609"/>
      <c r="AXW276" s="609"/>
      <c r="AXX276" s="609"/>
      <c r="AXY276" s="609"/>
      <c r="AXZ276" s="609"/>
      <c r="AYA276" s="609"/>
      <c r="AYB276" s="609"/>
      <c r="AYC276" s="609"/>
      <c r="AYD276" s="609"/>
      <c r="AYE276" s="609"/>
      <c r="AYF276" s="609"/>
      <c r="AYG276" s="609"/>
      <c r="AYH276" s="609"/>
      <c r="AYI276" s="609"/>
      <c r="AYJ276" s="609"/>
      <c r="AYK276" s="609"/>
      <c r="AYL276" s="609"/>
      <c r="AYM276" s="609"/>
      <c r="AYN276" s="609"/>
      <c r="AYO276" s="609"/>
      <c r="AYP276" s="609"/>
      <c r="AYQ276" s="609"/>
      <c r="AYR276" s="609"/>
      <c r="AYS276" s="609"/>
      <c r="AYT276" s="609"/>
      <c r="AYU276" s="609"/>
      <c r="AYV276" s="609"/>
      <c r="AYW276" s="609"/>
      <c r="AYX276" s="609"/>
      <c r="AYY276" s="609"/>
      <c r="AYZ276" s="609"/>
      <c r="AZA276" s="609"/>
      <c r="AZB276" s="609"/>
      <c r="AZC276" s="609"/>
      <c r="AZD276" s="609"/>
      <c r="AZE276" s="609"/>
      <c r="AZF276" s="609"/>
      <c r="AZG276" s="609"/>
      <c r="AZH276" s="609"/>
      <c r="AZI276" s="609"/>
      <c r="AZJ276" s="609"/>
      <c r="AZK276" s="609"/>
      <c r="AZL276" s="609"/>
      <c r="AZM276" s="609"/>
      <c r="AZN276" s="609"/>
      <c r="AZO276" s="609"/>
      <c r="AZP276" s="609"/>
      <c r="AZQ276" s="609"/>
      <c r="AZR276" s="609"/>
      <c r="AZS276" s="609"/>
      <c r="AZT276" s="609"/>
      <c r="AZU276" s="609"/>
      <c r="AZV276" s="609"/>
      <c r="AZW276" s="609"/>
      <c r="AZX276" s="609"/>
      <c r="AZY276" s="609"/>
      <c r="AZZ276" s="609"/>
      <c r="BAA276" s="609"/>
      <c r="BAB276" s="609"/>
      <c r="BAC276" s="609"/>
      <c r="BAD276" s="609"/>
      <c r="BAE276" s="609"/>
      <c r="BAF276" s="609"/>
      <c r="BAG276" s="609"/>
      <c r="BAH276" s="609"/>
      <c r="BAI276" s="609"/>
      <c r="BAJ276" s="609"/>
      <c r="BAK276" s="609"/>
      <c r="BAL276" s="609"/>
      <c r="BAM276" s="609"/>
      <c r="BAN276" s="609"/>
      <c r="BAO276" s="609"/>
      <c r="BAP276" s="609"/>
      <c r="BAQ276" s="609"/>
      <c r="BAR276" s="609"/>
      <c r="BAS276" s="609"/>
      <c r="BAT276" s="609"/>
      <c r="BAU276" s="609"/>
      <c r="BAV276" s="609"/>
      <c r="BAW276" s="609"/>
      <c r="BAX276" s="609"/>
      <c r="BAY276" s="609"/>
      <c r="BAZ276" s="609"/>
      <c r="BBA276" s="609"/>
      <c r="BBB276" s="609"/>
      <c r="BBC276" s="609"/>
      <c r="BBD276" s="609"/>
      <c r="BBE276" s="609"/>
      <c r="BBF276" s="609"/>
      <c r="BBG276" s="609"/>
      <c r="BBH276" s="609"/>
      <c r="BBI276" s="609"/>
      <c r="BBJ276" s="609"/>
      <c r="BBK276" s="609"/>
      <c r="BBL276" s="609"/>
      <c r="BBM276" s="609"/>
      <c r="BBN276" s="609"/>
      <c r="BBO276" s="609"/>
      <c r="BBP276" s="609"/>
      <c r="BBQ276" s="609"/>
      <c r="BBR276" s="609"/>
      <c r="BBS276" s="609"/>
      <c r="BBT276" s="609"/>
      <c r="BBU276" s="609"/>
      <c r="BBV276" s="609"/>
      <c r="BBW276" s="609"/>
      <c r="BBX276" s="609"/>
      <c r="BBY276" s="609"/>
      <c r="BBZ276" s="609"/>
      <c r="BCA276" s="609"/>
      <c r="BCB276" s="609"/>
      <c r="BCC276" s="609"/>
      <c r="BCD276" s="609"/>
      <c r="BCE276" s="609"/>
      <c r="BCF276" s="609"/>
      <c r="BCG276" s="609"/>
      <c r="BCH276" s="609"/>
      <c r="BCI276" s="609"/>
      <c r="BCJ276" s="609"/>
      <c r="BCK276" s="609"/>
      <c r="BCL276" s="609"/>
      <c r="BCM276" s="609"/>
      <c r="BCN276" s="609"/>
      <c r="BCO276" s="609"/>
      <c r="BCP276" s="609"/>
      <c r="BCQ276" s="609"/>
      <c r="BCR276" s="609"/>
      <c r="BCS276" s="609"/>
      <c r="BCT276" s="609"/>
      <c r="BCU276" s="609"/>
      <c r="BCV276" s="609"/>
      <c r="BCW276" s="609"/>
      <c r="BCX276" s="609"/>
      <c r="BCY276" s="609"/>
      <c r="BCZ276" s="609"/>
      <c r="BDA276" s="609"/>
      <c r="BDB276" s="609"/>
      <c r="BDC276" s="609"/>
      <c r="BDD276" s="609"/>
      <c r="BDE276" s="609"/>
      <c r="BDF276" s="609"/>
      <c r="BDG276" s="609"/>
      <c r="BDH276" s="609"/>
      <c r="BDI276" s="609"/>
      <c r="BDJ276" s="609"/>
      <c r="BDK276" s="609"/>
      <c r="BDL276" s="609"/>
      <c r="BDM276" s="609"/>
      <c r="BDN276" s="609"/>
      <c r="BDO276" s="609"/>
      <c r="BDP276" s="609"/>
      <c r="BDQ276" s="609"/>
      <c r="BDR276" s="609"/>
      <c r="BDS276" s="609"/>
      <c r="BDT276" s="609"/>
      <c r="BDU276" s="609"/>
      <c r="BDV276" s="609"/>
      <c r="BDW276" s="609"/>
      <c r="BDX276" s="609"/>
      <c r="BDY276" s="609"/>
      <c r="BDZ276" s="609"/>
      <c r="BEA276" s="609"/>
      <c r="BEB276" s="609"/>
      <c r="BEC276" s="609"/>
      <c r="BED276" s="609"/>
      <c r="BEE276" s="609"/>
      <c r="BEF276" s="609"/>
      <c r="BEG276" s="609"/>
      <c r="BEH276" s="609"/>
      <c r="BEI276" s="609"/>
      <c r="BEJ276" s="609"/>
      <c r="BEK276" s="609"/>
      <c r="BEL276" s="609"/>
      <c r="BEM276" s="609"/>
      <c r="BEN276" s="609"/>
      <c r="BEO276" s="609"/>
      <c r="BEP276" s="609"/>
      <c r="BEQ276" s="609"/>
      <c r="BER276" s="609"/>
      <c r="BES276" s="609"/>
      <c r="BET276" s="609"/>
      <c r="BEU276" s="609"/>
      <c r="BEV276" s="609"/>
      <c r="BEW276" s="609"/>
      <c r="BEX276" s="609"/>
      <c r="BEY276" s="609"/>
      <c r="BEZ276" s="609"/>
      <c r="BFA276" s="609"/>
      <c r="BFB276" s="609"/>
      <c r="BFC276" s="609"/>
      <c r="BFD276" s="609"/>
      <c r="BFE276" s="609"/>
      <c r="BFF276" s="609"/>
      <c r="BFG276" s="609"/>
      <c r="BFH276" s="609"/>
      <c r="BFI276" s="609"/>
      <c r="BFJ276" s="609"/>
      <c r="BFK276" s="609"/>
      <c r="BFL276" s="609"/>
      <c r="BFM276" s="609"/>
      <c r="BFN276" s="609"/>
      <c r="BFO276" s="609"/>
      <c r="BFP276" s="609"/>
      <c r="BFQ276" s="609"/>
      <c r="BFR276" s="609"/>
      <c r="BFS276" s="609"/>
      <c r="BFT276" s="609"/>
      <c r="BFU276" s="609"/>
      <c r="BFV276" s="609"/>
      <c r="BFW276" s="609"/>
      <c r="BFX276" s="609"/>
      <c r="BFY276" s="609"/>
      <c r="BFZ276" s="609"/>
      <c r="BGA276" s="609"/>
      <c r="BGB276" s="609"/>
      <c r="BGC276" s="609"/>
      <c r="BGD276" s="609"/>
      <c r="BGE276" s="609"/>
      <c r="BGF276" s="609"/>
      <c r="BGG276" s="609"/>
      <c r="BGH276" s="609"/>
      <c r="BGI276" s="609"/>
      <c r="BGJ276" s="609"/>
      <c r="BGK276" s="609"/>
      <c r="BGL276" s="609"/>
      <c r="BGM276" s="609"/>
      <c r="BGN276" s="609"/>
      <c r="BGO276" s="609"/>
      <c r="BGP276" s="609"/>
      <c r="BGQ276" s="609"/>
      <c r="BGR276" s="609"/>
      <c r="BGS276" s="609"/>
      <c r="BGT276" s="609"/>
      <c r="BGU276" s="609"/>
      <c r="BGV276" s="609"/>
      <c r="BGW276" s="609"/>
      <c r="BGX276" s="609"/>
      <c r="BGY276" s="609"/>
      <c r="BGZ276" s="609"/>
      <c r="BHA276" s="609"/>
      <c r="BHB276" s="609"/>
      <c r="BHC276" s="609"/>
      <c r="BHD276" s="609"/>
      <c r="BHE276" s="609"/>
      <c r="BHF276" s="609"/>
      <c r="BHG276" s="609"/>
      <c r="BHH276" s="609"/>
      <c r="BHI276" s="609"/>
      <c r="BHJ276" s="609"/>
      <c r="BHK276" s="609"/>
      <c r="BHL276" s="609"/>
      <c r="BHM276" s="609"/>
      <c r="BHN276" s="609"/>
      <c r="BHO276" s="609"/>
      <c r="BHP276" s="609"/>
      <c r="BHQ276" s="609"/>
      <c r="BHR276" s="609"/>
      <c r="BHS276" s="609"/>
      <c r="BHT276" s="609"/>
      <c r="BHU276" s="609"/>
      <c r="BHV276" s="609"/>
      <c r="BHW276" s="609"/>
      <c r="BHX276" s="609"/>
      <c r="BHY276" s="609"/>
      <c r="BHZ276" s="609"/>
      <c r="BIA276" s="609"/>
      <c r="BIB276" s="609"/>
      <c r="BIC276" s="609"/>
      <c r="BID276" s="609"/>
      <c r="BIE276" s="609"/>
      <c r="BIF276" s="609"/>
      <c r="BIG276" s="609"/>
      <c r="BIH276" s="609"/>
      <c r="BII276" s="609"/>
      <c r="BIJ276" s="609"/>
      <c r="BIK276" s="609"/>
      <c r="BIL276" s="609"/>
      <c r="BIM276" s="609"/>
      <c r="BIN276" s="609"/>
      <c r="BIO276" s="609"/>
      <c r="BIP276" s="609"/>
      <c r="BIQ276" s="609"/>
      <c r="BIR276" s="609"/>
      <c r="BIS276" s="609"/>
      <c r="BIT276" s="609"/>
      <c r="BIU276" s="609"/>
      <c r="BIV276" s="609"/>
      <c r="BIW276" s="609"/>
      <c r="BIX276" s="609"/>
      <c r="BIY276" s="609"/>
      <c r="BIZ276" s="609"/>
      <c r="BJA276" s="609"/>
      <c r="BJB276" s="609"/>
      <c r="BJC276" s="609"/>
      <c r="BJD276" s="609"/>
      <c r="BJE276" s="609"/>
      <c r="BJF276" s="609"/>
      <c r="BJG276" s="609"/>
      <c r="BJH276" s="609"/>
      <c r="BJI276" s="609"/>
      <c r="BJJ276" s="609"/>
      <c r="BJK276" s="609"/>
      <c r="BJL276" s="609"/>
      <c r="BJM276" s="609"/>
      <c r="BJN276" s="609"/>
      <c r="BJO276" s="609"/>
      <c r="BJP276" s="609"/>
      <c r="BJQ276" s="609"/>
      <c r="BJR276" s="609"/>
      <c r="BJS276" s="609"/>
      <c r="BJT276" s="609"/>
      <c r="BJU276" s="609"/>
      <c r="BJV276" s="609"/>
      <c r="BJW276" s="609"/>
      <c r="BJX276" s="609"/>
      <c r="BJY276" s="609"/>
      <c r="BJZ276" s="609"/>
      <c r="BKA276" s="609"/>
      <c r="BKB276" s="609"/>
      <c r="BKC276" s="609"/>
      <c r="BKD276" s="609"/>
      <c r="BKE276" s="609"/>
      <c r="BKF276" s="609"/>
      <c r="BKG276" s="609"/>
      <c r="BKH276" s="609"/>
      <c r="BKI276" s="609"/>
      <c r="BKJ276" s="609"/>
      <c r="BKK276" s="609"/>
      <c r="BKL276" s="609"/>
      <c r="BKM276" s="609"/>
      <c r="BKN276" s="609"/>
      <c r="BKO276" s="609"/>
      <c r="BKP276" s="609"/>
      <c r="BKQ276" s="609"/>
      <c r="BKR276" s="609"/>
      <c r="BKS276" s="609"/>
      <c r="BKT276" s="609"/>
      <c r="BKU276" s="609"/>
      <c r="BKV276" s="609"/>
      <c r="BKW276" s="609"/>
      <c r="BKX276" s="609"/>
      <c r="BKY276" s="609"/>
      <c r="BKZ276" s="609"/>
      <c r="BLA276" s="609"/>
      <c r="BLB276" s="609"/>
      <c r="BLC276" s="609"/>
      <c r="BLD276" s="609"/>
      <c r="BLE276" s="609"/>
      <c r="BLF276" s="609"/>
      <c r="BLG276" s="609"/>
      <c r="BLH276" s="609"/>
      <c r="BLI276" s="609"/>
      <c r="BLJ276" s="609"/>
      <c r="BLK276" s="609"/>
      <c r="BLL276" s="609"/>
      <c r="BLM276" s="609"/>
      <c r="BLN276" s="609"/>
      <c r="BLO276" s="609"/>
      <c r="BLP276" s="609"/>
      <c r="BLQ276" s="609"/>
      <c r="BLR276" s="609"/>
      <c r="BLS276" s="609"/>
      <c r="BLT276" s="609"/>
      <c r="BLU276" s="609"/>
      <c r="BLV276" s="609"/>
      <c r="BLW276" s="609"/>
      <c r="BLX276" s="609"/>
      <c r="BLY276" s="609"/>
      <c r="BLZ276" s="609"/>
      <c r="BMA276" s="609"/>
      <c r="BMB276" s="609"/>
      <c r="BMC276" s="609"/>
      <c r="BMD276" s="609"/>
      <c r="BME276" s="609"/>
      <c r="BMF276" s="609"/>
      <c r="BMG276" s="609"/>
      <c r="BMH276" s="609"/>
      <c r="BMI276" s="609"/>
      <c r="BMJ276" s="609"/>
      <c r="BMK276" s="609"/>
      <c r="BML276" s="609"/>
      <c r="BMM276" s="609"/>
      <c r="BMN276" s="609"/>
      <c r="BMO276" s="609"/>
      <c r="BMP276" s="609"/>
      <c r="BMQ276" s="609"/>
      <c r="BMR276" s="609"/>
      <c r="BMS276" s="609"/>
      <c r="BMT276" s="609"/>
      <c r="BMU276" s="609"/>
      <c r="BMV276" s="609"/>
      <c r="BMW276" s="609"/>
      <c r="BMX276" s="609"/>
      <c r="BMY276" s="609"/>
      <c r="BMZ276" s="609"/>
      <c r="BNA276" s="609"/>
      <c r="BNB276" s="609"/>
      <c r="BNC276" s="609"/>
      <c r="BND276" s="609"/>
      <c r="BNE276" s="609"/>
      <c r="BNF276" s="609"/>
      <c r="BNG276" s="609"/>
      <c r="BNH276" s="609"/>
      <c r="BNI276" s="609"/>
      <c r="BNJ276" s="609"/>
      <c r="BNK276" s="609"/>
      <c r="BNL276" s="609"/>
      <c r="BNM276" s="609"/>
      <c r="BNN276" s="609"/>
      <c r="BNO276" s="609"/>
      <c r="BNP276" s="609"/>
      <c r="BNQ276" s="609"/>
      <c r="BNR276" s="609"/>
      <c r="BNS276" s="609"/>
      <c r="BNT276" s="609"/>
      <c r="BNU276" s="609"/>
      <c r="BNV276" s="609"/>
      <c r="BNW276" s="609"/>
      <c r="BNX276" s="609"/>
      <c r="BNY276" s="609"/>
      <c r="BNZ276" s="609"/>
      <c r="BOA276" s="609"/>
      <c r="BOB276" s="609"/>
      <c r="BOC276" s="609"/>
      <c r="BOD276" s="609"/>
      <c r="BOE276" s="609"/>
      <c r="BOF276" s="609"/>
      <c r="BOG276" s="609"/>
      <c r="BOH276" s="609"/>
      <c r="BOI276" s="609"/>
      <c r="BOJ276" s="609"/>
      <c r="BOK276" s="609"/>
      <c r="BOL276" s="609"/>
      <c r="BOM276" s="609"/>
      <c r="BON276" s="609"/>
      <c r="BOO276" s="609"/>
      <c r="BOP276" s="609"/>
      <c r="BOQ276" s="609"/>
      <c r="BOR276" s="609"/>
      <c r="BOS276" s="609"/>
      <c r="BOT276" s="609"/>
      <c r="BOU276" s="609"/>
      <c r="BOV276" s="609"/>
      <c r="BOW276" s="609"/>
      <c r="BOX276" s="609"/>
      <c r="BOY276" s="609"/>
      <c r="BOZ276" s="609"/>
      <c r="BPA276" s="609"/>
      <c r="BPB276" s="609"/>
      <c r="BPC276" s="609"/>
      <c r="BPD276" s="609"/>
      <c r="BPE276" s="609"/>
      <c r="BPF276" s="609"/>
      <c r="BPG276" s="609"/>
      <c r="BPH276" s="609"/>
      <c r="BPI276" s="609"/>
      <c r="BPJ276" s="609"/>
      <c r="BPK276" s="609"/>
      <c r="BPL276" s="609"/>
      <c r="BPM276" s="609"/>
      <c r="BPN276" s="609"/>
      <c r="BPO276" s="609"/>
      <c r="BPP276" s="609"/>
      <c r="BPQ276" s="609"/>
      <c r="BPR276" s="609"/>
      <c r="BPS276" s="609"/>
      <c r="BPT276" s="609"/>
      <c r="BPU276" s="609"/>
      <c r="BPV276" s="609"/>
      <c r="BPW276" s="609"/>
      <c r="BPX276" s="609"/>
      <c r="BPY276" s="609"/>
      <c r="BPZ276" s="609"/>
      <c r="BQA276" s="609"/>
      <c r="BQB276" s="609"/>
      <c r="BQC276" s="609"/>
      <c r="BQD276" s="609"/>
      <c r="BQE276" s="609"/>
      <c r="BQF276" s="609"/>
      <c r="BQG276" s="609"/>
      <c r="BQH276" s="609"/>
      <c r="BQI276" s="609"/>
      <c r="BQJ276" s="609"/>
      <c r="BQK276" s="609"/>
      <c r="BQL276" s="609"/>
      <c r="BQM276" s="609"/>
      <c r="BQN276" s="609"/>
      <c r="BQO276" s="609"/>
      <c r="BQP276" s="609"/>
      <c r="BQQ276" s="609"/>
      <c r="BQR276" s="609"/>
      <c r="BQS276" s="609"/>
      <c r="BQT276" s="609"/>
      <c r="BQU276" s="609"/>
      <c r="BQV276" s="609"/>
      <c r="BQW276" s="609"/>
      <c r="BQX276" s="609"/>
      <c r="BQY276" s="609"/>
      <c r="BQZ276" s="609"/>
      <c r="BRA276" s="609"/>
      <c r="BRB276" s="609"/>
      <c r="BRC276" s="609"/>
      <c r="BRD276" s="609"/>
      <c r="BRE276" s="609"/>
      <c r="BRF276" s="609"/>
      <c r="BRG276" s="609"/>
      <c r="BRH276" s="609"/>
      <c r="BRI276" s="609"/>
      <c r="BRJ276" s="609"/>
      <c r="BRK276" s="609"/>
      <c r="BRL276" s="609"/>
      <c r="BRM276" s="609"/>
      <c r="BRN276" s="609"/>
      <c r="BRO276" s="609"/>
      <c r="BRP276" s="609"/>
      <c r="BRQ276" s="609"/>
      <c r="BRR276" s="609"/>
      <c r="BRS276" s="609"/>
      <c r="BRT276" s="609"/>
      <c r="BRU276" s="609"/>
      <c r="BRV276" s="609"/>
      <c r="BRW276" s="609"/>
      <c r="BRX276" s="609"/>
      <c r="BRY276" s="609"/>
      <c r="BRZ276" s="609"/>
      <c r="BSA276" s="609"/>
      <c r="BSB276" s="609"/>
      <c r="BSC276" s="609"/>
      <c r="BSD276" s="609"/>
      <c r="BSE276" s="609"/>
      <c r="BSF276" s="609"/>
      <c r="BSG276" s="609"/>
      <c r="BSH276" s="609"/>
      <c r="BSI276" s="609"/>
      <c r="BSJ276" s="609"/>
      <c r="BSK276" s="609"/>
      <c r="BSL276" s="609"/>
      <c r="BSM276" s="609"/>
      <c r="BSN276" s="609"/>
      <c r="BSO276" s="609"/>
      <c r="BSP276" s="609"/>
      <c r="BSQ276" s="609"/>
      <c r="BSR276" s="609"/>
      <c r="BSS276" s="609"/>
      <c r="BST276" s="609"/>
      <c r="BSU276" s="609"/>
      <c r="BSV276" s="609"/>
      <c r="BSW276" s="609"/>
      <c r="BSX276" s="609"/>
      <c r="BSY276" s="609"/>
      <c r="BSZ276" s="609"/>
      <c r="BTA276" s="609"/>
      <c r="BTB276" s="609"/>
      <c r="BTC276" s="609"/>
      <c r="BTD276" s="609"/>
      <c r="BTE276" s="609"/>
      <c r="BTF276" s="609"/>
      <c r="BTG276" s="609"/>
      <c r="BTH276" s="609"/>
      <c r="BTI276" s="609"/>
      <c r="BTJ276" s="609"/>
      <c r="BTK276" s="609"/>
      <c r="BTL276" s="609"/>
      <c r="BTM276" s="609"/>
      <c r="BTN276" s="609"/>
      <c r="BTO276" s="609"/>
      <c r="BTP276" s="609"/>
      <c r="BTQ276" s="609"/>
      <c r="BTR276" s="609"/>
      <c r="BTS276" s="609"/>
      <c r="BTT276" s="609"/>
      <c r="BTU276" s="609"/>
      <c r="BTV276" s="609"/>
      <c r="BTW276" s="609"/>
      <c r="BTX276" s="609"/>
      <c r="BTY276" s="609"/>
      <c r="BTZ276" s="609"/>
      <c r="BUA276" s="609"/>
      <c r="BUB276" s="609"/>
      <c r="BUC276" s="609"/>
      <c r="BUD276" s="609"/>
      <c r="BUE276" s="609"/>
      <c r="BUF276" s="609"/>
      <c r="BUG276" s="609"/>
      <c r="BUH276" s="609"/>
      <c r="BUI276" s="609"/>
      <c r="BUJ276" s="609"/>
      <c r="BUK276" s="609"/>
      <c r="BUL276" s="609"/>
      <c r="BUM276" s="609"/>
      <c r="BUN276" s="609"/>
      <c r="BUO276" s="609"/>
      <c r="BUP276" s="609"/>
      <c r="BUQ276" s="609"/>
      <c r="BUR276" s="609"/>
      <c r="BUS276" s="609"/>
      <c r="BUT276" s="609"/>
      <c r="BUU276" s="609"/>
      <c r="BUV276" s="609"/>
      <c r="BUW276" s="609"/>
      <c r="BUX276" s="609"/>
      <c r="BUY276" s="609"/>
      <c r="BUZ276" s="609"/>
      <c r="BVA276" s="609"/>
      <c r="BVB276" s="609"/>
      <c r="BVC276" s="609"/>
      <c r="BVD276" s="609"/>
      <c r="BVE276" s="609"/>
      <c r="BVF276" s="609"/>
      <c r="BVG276" s="609"/>
      <c r="BVH276" s="609"/>
      <c r="BVI276" s="609"/>
      <c r="BVJ276" s="609"/>
      <c r="BVK276" s="609"/>
      <c r="BVL276" s="609"/>
      <c r="BVM276" s="609"/>
      <c r="BVN276" s="609"/>
      <c r="BVO276" s="609"/>
      <c r="BVP276" s="609"/>
      <c r="BVQ276" s="609"/>
      <c r="BVR276" s="609"/>
      <c r="BVS276" s="609"/>
      <c r="BVT276" s="609"/>
      <c r="BVU276" s="609"/>
      <c r="BVV276" s="609"/>
      <c r="BVW276" s="609"/>
      <c r="BVX276" s="609"/>
      <c r="BVY276" s="609"/>
      <c r="BVZ276" s="609"/>
      <c r="BWA276" s="609"/>
      <c r="BWB276" s="609"/>
      <c r="BWC276" s="609"/>
      <c r="BWD276" s="609"/>
      <c r="BWE276" s="609"/>
      <c r="BWF276" s="609"/>
      <c r="BWG276" s="609"/>
      <c r="BWH276" s="609"/>
      <c r="BWI276" s="609"/>
      <c r="BWJ276" s="609"/>
      <c r="BWK276" s="609"/>
      <c r="BWL276" s="609"/>
      <c r="BWM276" s="609"/>
      <c r="BWN276" s="609"/>
      <c r="BWO276" s="609"/>
      <c r="BWP276" s="609"/>
      <c r="BWQ276" s="609"/>
      <c r="BWR276" s="609"/>
      <c r="BWS276" s="609"/>
      <c r="BWT276" s="609"/>
      <c r="BWU276" s="609"/>
      <c r="BWV276" s="609"/>
      <c r="BWW276" s="609"/>
      <c r="BWX276" s="609"/>
      <c r="BWY276" s="609"/>
      <c r="BWZ276" s="609"/>
      <c r="BXA276" s="609"/>
      <c r="BXB276" s="609"/>
      <c r="BXC276" s="609"/>
      <c r="BXD276" s="609"/>
      <c r="BXE276" s="609"/>
      <c r="BXF276" s="609"/>
      <c r="BXG276" s="609"/>
      <c r="BXH276" s="609"/>
      <c r="BXI276" s="609"/>
      <c r="BXJ276" s="609"/>
      <c r="BXK276" s="609"/>
      <c r="BXL276" s="609"/>
      <c r="BXM276" s="609"/>
      <c r="BXN276" s="609"/>
      <c r="BXO276" s="609"/>
      <c r="BXP276" s="609"/>
      <c r="BXQ276" s="609"/>
      <c r="BXR276" s="609"/>
      <c r="BXS276" s="609"/>
      <c r="BXT276" s="609"/>
      <c r="BXU276" s="609"/>
      <c r="BXV276" s="609"/>
      <c r="BXW276" s="609"/>
      <c r="BXX276" s="609"/>
      <c r="BXY276" s="609"/>
      <c r="BXZ276" s="609"/>
      <c r="BYA276" s="609"/>
      <c r="BYB276" s="609"/>
      <c r="BYC276" s="609"/>
      <c r="BYD276" s="609"/>
      <c r="BYE276" s="609"/>
      <c r="BYF276" s="609"/>
      <c r="BYG276" s="609"/>
      <c r="BYH276" s="609"/>
      <c r="BYI276" s="609"/>
      <c r="BYJ276" s="609"/>
      <c r="BYK276" s="609"/>
      <c r="BYL276" s="609"/>
      <c r="BYM276" s="609"/>
      <c r="BYN276" s="609"/>
      <c r="BYO276" s="609"/>
      <c r="BYP276" s="609"/>
      <c r="BYQ276" s="609"/>
      <c r="BYR276" s="609"/>
      <c r="BYS276" s="609"/>
      <c r="BYT276" s="609"/>
      <c r="BYU276" s="609"/>
      <c r="BYV276" s="609"/>
      <c r="BYW276" s="609"/>
      <c r="BYX276" s="609"/>
      <c r="BYY276" s="609"/>
      <c r="BYZ276" s="609"/>
      <c r="BZA276" s="609"/>
      <c r="BZB276" s="609"/>
      <c r="BZC276" s="609"/>
      <c r="BZD276" s="609"/>
      <c r="BZE276" s="609"/>
      <c r="BZF276" s="609"/>
      <c r="BZG276" s="609"/>
      <c r="BZH276" s="609"/>
      <c r="BZI276" s="609"/>
      <c r="BZJ276" s="609"/>
      <c r="BZK276" s="609"/>
      <c r="BZL276" s="609"/>
      <c r="BZM276" s="609"/>
      <c r="BZN276" s="609"/>
      <c r="BZO276" s="609"/>
      <c r="BZP276" s="609"/>
      <c r="BZQ276" s="609"/>
      <c r="BZR276" s="609"/>
      <c r="BZS276" s="609"/>
      <c r="BZT276" s="609"/>
      <c r="BZU276" s="609"/>
      <c r="BZV276" s="609"/>
      <c r="BZW276" s="609"/>
      <c r="BZX276" s="609"/>
      <c r="BZY276" s="609"/>
      <c r="BZZ276" s="609"/>
      <c r="CAA276" s="609"/>
      <c r="CAB276" s="609"/>
      <c r="CAC276" s="609"/>
      <c r="CAD276" s="609"/>
      <c r="CAE276" s="609"/>
      <c r="CAF276" s="609"/>
      <c r="CAG276" s="609"/>
      <c r="CAH276" s="609"/>
      <c r="CAI276" s="609"/>
      <c r="CAJ276" s="609"/>
      <c r="CAK276" s="609"/>
      <c r="CAL276" s="609"/>
      <c r="CAM276" s="609"/>
      <c r="CAN276" s="609"/>
      <c r="CAO276" s="609"/>
      <c r="CAP276" s="609"/>
      <c r="CAQ276" s="609"/>
      <c r="CAR276" s="609"/>
      <c r="CAS276" s="609"/>
      <c r="CAT276" s="609"/>
      <c r="CAU276" s="609"/>
      <c r="CAV276" s="609"/>
      <c r="CAW276" s="609"/>
      <c r="CAX276" s="609"/>
      <c r="CAY276" s="609"/>
      <c r="CAZ276" s="609"/>
      <c r="CBA276" s="609"/>
      <c r="CBB276" s="609"/>
      <c r="CBC276" s="609"/>
      <c r="CBD276" s="609"/>
      <c r="CBE276" s="609"/>
      <c r="CBF276" s="609"/>
      <c r="CBG276" s="609"/>
      <c r="CBH276" s="609"/>
      <c r="CBI276" s="609"/>
      <c r="CBJ276" s="609"/>
      <c r="CBK276" s="609"/>
      <c r="CBL276" s="609"/>
      <c r="CBM276" s="609"/>
      <c r="CBN276" s="609"/>
      <c r="CBO276" s="609"/>
      <c r="CBP276" s="609"/>
      <c r="CBQ276" s="609"/>
      <c r="CBR276" s="609"/>
      <c r="CBS276" s="609"/>
      <c r="CBT276" s="609"/>
      <c r="CBU276" s="609"/>
      <c r="CBV276" s="609"/>
      <c r="CBW276" s="609"/>
      <c r="CBX276" s="609"/>
      <c r="CBY276" s="609"/>
      <c r="CBZ276" s="609"/>
      <c r="CCA276" s="609"/>
      <c r="CCB276" s="609"/>
      <c r="CCC276" s="609"/>
      <c r="CCD276" s="609"/>
      <c r="CCE276" s="609"/>
      <c r="CCF276" s="609"/>
      <c r="CCG276" s="609"/>
      <c r="CCH276" s="609"/>
      <c r="CCI276" s="609"/>
      <c r="CCJ276" s="609"/>
      <c r="CCK276" s="609"/>
      <c r="CCL276" s="609"/>
      <c r="CCM276" s="609"/>
      <c r="CCN276" s="609"/>
      <c r="CCO276" s="609"/>
      <c r="CCP276" s="609"/>
      <c r="CCQ276" s="609"/>
      <c r="CCR276" s="609"/>
      <c r="CCS276" s="609"/>
      <c r="CCT276" s="609"/>
      <c r="CCU276" s="609"/>
      <c r="CCV276" s="609"/>
      <c r="CCW276" s="609"/>
      <c r="CCX276" s="609"/>
      <c r="CCY276" s="609"/>
      <c r="CCZ276" s="609"/>
      <c r="CDA276" s="609"/>
      <c r="CDB276" s="609"/>
      <c r="CDC276" s="609"/>
      <c r="CDD276" s="609"/>
      <c r="CDE276" s="609"/>
      <c r="CDF276" s="609"/>
      <c r="CDG276" s="609"/>
      <c r="CDH276" s="609"/>
      <c r="CDI276" s="609"/>
      <c r="CDJ276" s="609"/>
      <c r="CDK276" s="609"/>
      <c r="CDL276" s="609"/>
      <c r="CDM276" s="609"/>
      <c r="CDN276" s="609"/>
      <c r="CDO276" s="609"/>
      <c r="CDP276" s="609"/>
      <c r="CDQ276" s="609"/>
      <c r="CDR276" s="609"/>
      <c r="CDS276" s="609"/>
      <c r="CDT276" s="609"/>
      <c r="CDU276" s="609"/>
      <c r="CDV276" s="609"/>
      <c r="CDW276" s="609"/>
      <c r="CDX276" s="609"/>
      <c r="CDY276" s="609"/>
      <c r="CDZ276" s="609"/>
      <c r="CEA276" s="609"/>
      <c r="CEB276" s="609"/>
      <c r="CEC276" s="609"/>
      <c r="CED276" s="609"/>
      <c r="CEE276" s="609"/>
      <c r="CEF276" s="609"/>
      <c r="CEG276" s="609"/>
      <c r="CEH276" s="609"/>
      <c r="CEI276" s="609"/>
      <c r="CEJ276" s="609"/>
      <c r="CEK276" s="609"/>
      <c r="CEL276" s="609"/>
      <c r="CEM276" s="609"/>
      <c r="CEN276" s="609"/>
      <c r="CEO276" s="609"/>
      <c r="CEP276" s="609"/>
      <c r="CEQ276" s="609"/>
      <c r="CER276" s="609"/>
      <c r="CES276" s="609"/>
      <c r="CET276" s="609"/>
      <c r="CEU276" s="609"/>
      <c r="CEV276" s="609"/>
      <c r="CEW276" s="609"/>
      <c r="CEX276" s="609"/>
      <c r="CEY276" s="609"/>
      <c r="CEZ276" s="609"/>
      <c r="CFA276" s="609"/>
      <c r="CFB276" s="609"/>
      <c r="CFC276" s="609"/>
      <c r="CFD276" s="609"/>
      <c r="CFE276" s="609"/>
      <c r="CFF276" s="609"/>
      <c r="CFG276" s="609"/>
      <c r="CFH276" s="609"/>
      <c r="CFI276" s="609"/>
      <c r="CFJ276" s="609"/>
      <c r="CFK276" s="609"/>
      <c r="CFL276" s="609"/>
      <c r="CFM276" s="609"/>
      <c r="CFN276" s="609"/>
      <c r="CFO276" s="609"/>
      <c r="CFP276" s="609"/>
      <c r="CFQ276" s="609"/>
      <c r="CFR276" s="609"/>
      <c r="CFS276" s="609"/>
      <c r="CFT276" s="609"/>
      <c r="CFU276" s="609"/>
      <c r="CFV276" s="609"/>
      <c r="CFW276" s="609"/>
      <c r="CFX276" s="609"/>
      <c r="CFY276" s="609"/>
      <c r="CFZ276" s="609"/>
      <c r="CGA276" s="609"/>
      <c r="CGB276" s="609"/>
      <c r="CGC276" s="609"/>
      <c r="CGD276" s="609"/>
      <c r="CGE276" s="609"/>
      <c r="CGF276" s="609"/>
      <c r="CGG276" s="609"/>
      <c r="CGH276" s="609"/>
      <c r="CGI276" s="609"/>
      <c r="CGJ276" s="609"/>
      <c r="CGK276" s="609"/>
      <c r="CGL276" s="609"/>
      <c r="CGM276" s="609"/>
      <c r="CGN276" s="609"/>
      <c r="CGO276" s="609"/>
      <c r="CGP276" s="609"/>
      <c r="CGQ276" s="609"/>
      <c r="CGR276" s="609"/>
      <c r="CGS276" s="609"/>
      <c r="CGT276" s="609"/>
      <c r="CGU276" s="609"/>
      <c r="CGV276" s="609"/>
      <c r="CGW276" s="609"/>
      <c r="CGX276" s="609"/>
      <c r="CGY276" s="609"/>
      <c r="CGZ276" s="609"/>
      <c r="CHA276" s="609"/>
      <c r="CHB276" s="609"/>
      <c r="CHC276" s="609"/>
      <c r="CHD276" s="609"/>
      <c r="CHE276" s="609"/>
      <c r="CHF276" s="609"/>
      <c r="CHG276" s="609"/>
      <c r="CHH276" s="609"/>
      <c r="CHI276" s="609"/>
      <c r="CHJ276" s="609"/>
      <c r="CHK276" s="609"/>
      <c r="CHL276" s="609"/>
      <c r="CHM276" s="609"/>
      <c r="CHN276" s="609"/>
      <c r="CHO276" s="609"/>
      <c r="CHP276" s="609"/>
      <c r="CHQ276" s="609"/>
      <c r="CHR276" s="609"/>
      <c r="CHS276" s="609"/>
      <c r="CHT276" s="609"/>
      <c r="CHU276" s="609"/>
      <c r="CHV276" s="609"/>
      <c r="CHW276" s="609"/>
      <c r="CHX276" s="609"/>
      <c r="CHY276" s="609"/>
      <c r="CHZ276" s="609"/>
      <c r="CIA276" s="609"/>
      <c r="CIB276" s="609"/>
      <c r="CIC276" s="609"/>
      <c r="CID276" s="609"/>
      <c r="CIE276" s="609"/>
      <c r="CIF276" s="609"/>
      <c r="CIG276" s="609"/>
      <c r="CIH276" s="609"/>
      <c r="CII276" s="609"/>
      <c r="CIJ276" s="609"/>
      <c r="CIK276" s="609"/>
      <c r="CIL276" s="609"/>
      <c r="CIM276" s="609"/>
      <c r="CIN276" s="609"/>
      <c r="CIO276" s="609"/>
      <c r="CIP276" s="609"/>
      <c r="CIQ276" s="609"/>
      <c r="CIR276" s="609"/>
      <c r="CIS276" s="609"/>
      <c r="CIT276" s="609"/>
      <c r="CIU276" s="609"/>
      <c r="CIV276" s="609"/>
      <c r="CIW276" s="609"/>
      <c r="CIX276" s="609"/>
      <c r="CIY276" s="609"/>
      <c r="CIZ276" s="609"/>
      <c r="CJA276" s="609"/>
      <c r="CJB276" s="609"/>
      <c r="CJC276" s="609"/>
      <c r="CJD276" s="609"/>
      <c r="CJE276" s="609"/>
      <c r="CJF276" s="609"/>
      <c r="CJG276" s="609"/>
      <c r="CJH276" s="609"/>
      <c r="CJI276" s="609"/>
      <c r="CJJ276" s="609"/>
      <c r="CJK276" s="609"/>
      <c r="CJL276" s="609"/>
      <c r="CJM276" s="609"/>
      <c r="CJN276" s="609"/>
      <c r="CJO276" s="609"/>
      <c r="CJP276" s="609"/>
      <c r="CJQ276" s="609"/>
      <c r="CJR276" s="609"/>
      <c r="CJS276" s="609"/>
      <c r="CJT276" s="609"/>
      <c r="CJU276" s="609"/>
      <c r="CJV276" s="609"/>
      <c r="CJW276" s="609"/>
      <c r="CJX276" s="609"/>
      <c r="CJY276" s="609"/>
      <c r="CJZ276" s="609"/>
      <c r="CKA276" s="609"/>
      <c r="CKB276" s="609"/>
      <c r="CKC276" s="609"/>
      <c r="CKD276" s="609"/>
      <c r="CKE276" s="609"/>
      <c r="CKF276" s="609"/>
      <c r="CKG276" s="609"/>
      <c r="CKH276" s="609"/>
      <c r="CKI276" s="609"/>
      <c r="CKJ276" s="609"/>
      <c r="CKK276" s="609"/>
      <c r="CKL276" s="609"/>
      <c r="CKM276" s="609"/>
      <c r="CKN276" s="609"/>
      <c r="CKO276" s="609"/>
      <c r="CKP276" s="609"/>
      <c r="CKQ276" s="609"/>
      <c r="CKR276" s="609"/>
      <c r="CKS276" s="609"/>
      <c r="CKT276" s="609"/>
      <c r="CKU276" s="609"/>
      <c r="CKV276" s="609"/>
      <c r="CKW276" s="609"/>
      <c r="CKX276" s="609"/>
      <c r="CKY276" s="609"/>
      <c r="CKZ276" s="609"/>
      <c r="CLA276" s="609"/>
      <c r="CLB276" s="609"/>
      <c r="CLC276" s="609"/>
      <c r="CLD276" s="609"/>
      <c r="CLE276" s="609"/>
      <c r="CLF276" s="609"/>
      <c r="CLG276" s="609"/>
      <c r="CLH276" s="609"/>
      <c r="CLI276" s="609"/>
      <c r="CLJ276" s="609"/>
      <c r="CLK276" s="609"/>
      <c r="CLL276" s="609"/>
      <c r="CLM276" s="609"/>
      <c r="CLN276" s="609"/>
      <c r="CLO276" s="609"/>
      <c r="CLP276" s="609"/>
      <c r="CLQ276" s="609"/>
      <c r="CLR276" s="609"/>
      <c r="CLS276" s="609"/>
      <c r="CLT276" s="609"/>
      <c r="CLU276" s="609"/>
      <c r="CLV276" s="609"/>
      <c r="CLW276" s="609"/>
      <c r="CLX276" s="609"/>
      <c r="CLY276" s="609"/>
      <c r="CLZ276" s="609"/>
      <c r="CMA276" s="609"/>
      <c r="CMB276" s="609"/>
      <c r="CMC276" s="609"/>
      <c r="CMD276" s="609"/>
      <c r="CME276" s="609"/>
      <c r="CMF276" s="609"/>
      <c r="CMG276" s="609"/>
      <c r="CMH276" s="609"/>
      <c r="CMI276" s="609"/>
      <c r="CMJ276" s="609"/>
      <c r="CMK276" s="609"/>
      <c r="CML276" s="609"/>
      <c r="CMM276" s="609"/>
      <c r="CMN276" s="609"/>
      <c r="CMO276" s="609"/>
      <c r="CMP276" s="609"/>
      <c r="CMQ276" s="609"/>
      <c r="CMR276" s="609"/>
      <c r="CMS276" s="609"/>
      <c r="CMT276" s="609"/>
      <c r="CMU276" s="609"/>
      <c r="CMV276" s="609"/>
      <c r="CMW276" s="609"/>
      <c r="CMX276" s="609"/>
      <c r="CMY276" s="609"/>
      <c r="CMZ276" s="609"/>
      <c r="CNA276" s="609"/>
      <c r="CNB276" s="609"/>
      <c r="CNC276" s="609"/>
      <c r="CND276" s="609"/>
      <c r="CNE276" s="609"/>
      <c r="CNF276" s="609"/>
      <c r="CNG276" s="609"/>
      <c r="CNH276" s="609"/>
      <c r="CNI276" s="609"/>
      <c r="CNJ276" s="609"/>
      <c r="CNK276" s="609"/>
      <c r="CNL276" s="609"/>
      <c r="CNM276" s="609"/>
      <c r="CNN276" s="609"/>
      <c r="CNO276" s="609"/>
      <c r="CNP276" s="609"/>
      <c r="CNQ276" s="609"/>
      <c r="CNR276" s="609"/>
      <c r="CNS276" s="609"/>
      <c r="CNT276" s="609"/>
      <c r="CNU276" s="609"/>
      <c r="CNV276" s="609"/>
      <c r="CNW276" s="609"/>
      <c r="CNX276" s="609"/>
      <c r="CNY276" s="609"/>
      <c r="CNZ276" s="609"/>
      <c r="COA276" s="609"/>
      <c r="COB276" s="609"/>
      <c r="COC276" s="609"/>
      <c r="COD276" s="609"/>
      <c r="COE276" s="609"/>
      <c r="COF276" s="609"/>
      <c r="COG276" s="609"/>
      <c r="COH276" s="609"/>
      <c r="COI276" s="609"/>
      <c r="COJ276" s="609"/>
      <c r="COK276" s="609"/>
      <c r="COL276" s="609"/>
      <c r="COM276" s="609"/>
      <c r="CON276" s="609"/>
      <c r="COO276" s="609"/>
      <c r="COP276" s="609"/>
      <c r="COQ276" s="609"/>
      <c r="COR276" s="609"/>
      <c r="COS276" s="609"/>
      <c r="COT276" s="609"/>
      <c r="COU276" s="609"/>
      <c r="COV276" s="609"/>
      <c r="COW276" s="609"/>
      <c r="COX276" s="609"/>
      <c r="COY276" s="609"/>
      <c r="COZ276" s="609"/>
      <c r="CPA276" s="609"/>
      <c r="CPB276" s="609"/>
      <c r="CPC276" s="609"/>
      <c r="CPD276" s="609"/>
      <c r="CPE276" s="609"/>
      <c r="CPF276" s="609"/>
      <c r="CPG276" s="609"/>
      <c r="CPH276" s="609"/>
      <c r="CPI276" s="609"/>
      <c r="CPJ276" s="609"/>
      <c r="CPK276" s="609"/>
      <c r="CPL276" s="609"/>
      <c r="CPM276" s="609"/>
      <c r="CPN276" s="609"/>
      <c r="CPO276" s="609"/>
      <c r="CPP276" s="609"/>
      <c r="CPQ276" s="609"/>
      <c r="CPR276" s="609"/>
      <c r="CPS276" s="609"/>
      <c r="CPT276" s="609"/>
      <c r="CPU276" s="609"/>
      <c r="CPV276" s="609"/>
      <c r="CPW276" s="609"/>
      <c r="CPX276" s="609"/>
      <c r="CPY276" s="609"/>
      <c r="CPZ276" s="609"/>
      <c r="CQA276" s="609"/>
      <c r="CQB276" s="609"/>
      <c r="CQC276" s="609"/>
      <c r="CQD276" s="609"/>
      <c r="CQE276" s="609"/>
      <c r="CQF276" s="609"/>
      <c r="CQG276" s="609"/>
      <c r="CQH276" s="609"/>
      <c r="CQI276" s="609"/>
      <c r="CQJ276" s="609"/>
      <c r="CQK276" s="609"/>
      <c r="CQL276" s="609"/>
      <c r="CQM276" s="609"/>
      <c r="CQN276" s="609"/>
      <c r="CQO276" s="609"/>
      <c r="CQP276" s="609"/>
      <c r="CQQ276" s="609"/>
      <c r="CQR276" s="609"/>
      <c r="CQS276" s="609"/>
      <c r="CQT276" s="609"/>
      <c r="CQU276" s="609"/>
      <c r="CQV276" s="609"/>
      <c r="CQW276" s="609"/>
      <c r="CQX276" s="609"/>
      <c r="CQY276" s="609"/>
      <c r="CQZ276" s="609"/>
      <c r="CRA276" s="609"/>
      <c r="CRB276" s="609"/>
      <c r="CRC276" s="609"/>
      <c r="CRD276" s="609"/>
      <c r="CRE276" s="609"/>
      <c r="CRF276" s="609"/>
      <c r="CRG276" s="609"/>
      <c r="CRH276" s="609"/>
      <c r="CRI276" s="609"/>
      <c r="CRJ276" s="609"/>
      <c r="CRK276" s="609"/>
      <c r="CRL276" s="609"/>
      <c r="CRM276" s="609"/>
      <c r="CRN276" s="609"/>
      <c r="CRO276" s="609"/>
      <c r="CRP276" s="609"/>
      <c r="CRQ276" s="609"/>
      <c r="CRR276" s="609"/>
      <c r="CRS276" s="609"/>
      <c r="CRT276" s="609"/>
      <c r="CRU276" s="609"/>
      <c r="CRV276" s="609"/>
      <c r="CRW276" s="609"/>
      <c r="CRX276" s="609"/>
      <c r="CRY276" s="609"/>
      <c r="CRZ276" s="609"/>
      <c r="CSA276" s="609"/>
      <c r="CSB276" s="609"/>
      <c r="CSC276" s="609"/>
      <c r="CSD276" s="609"/>
      <c r="CSE276" s="609"/>
      <c r="CSF276" s="609"/>
      <c r="CSG276" s="609"/>
      <c r="CSH276" s="609"/>
      <c r="CSI276" s="609"/>
      <c r="CSJ276" s="609"/>
      <c r="CSK276" s="609"/>
      <c r="CSL276" s="609"/>
      <c r="CSM276" s="609"/>
      <c r="CSN276" s="609"/>
      <c r="CSO276" s="609"/>
      <c r="CSP276" s="609"/>
      <c r="CSQ276" s="609"/>
      <c r="CSR276" s="609"/>
      <c r="CSS276" s="609"/>
      <c r="CST276" s="609"/>
      <c r="CSU276" s="609"/>
      <c r="CSV276" s="609"/>
      <c r="CSW276" s="609"/>
      <c r="CSX276" s="609"/>
      <c r="CSY276" s="609"/>
      <c r="CSZ276" s="609"/>
      <c r="CTA276" s="609"/>
      <c r="CTB276" s="609"/>
      <c r="CTC276" s="609"/>
      <c r="CTD276" s="609"/>
      <c r="CTE276" s="609"/>
      <c r="CTF276" s="609"/>
      <c r="CTG276" s="609"/>
      <c r="CTH276" s="609"/>
      <c r="CTI276" s="609"/>
      <c r="CTJ276" s="609"/>
      <c r="CTK276" s="609"/>
      <c r="CTL276" s="609"/>
      <c r="CTM276" s="609"/>
      <c r="CTN276" s="609"/>
      <c r="CTO276" s="609"/>
      <c r="CTP276" s="609"/>
      <c r="CTQ276" s="609"/>
      <c r="CTR276" s="609"/>
      <c r="CTS276" s="609"/>
      <c r="CTT276" s="609"/>
      <c r="CTU276" s="609"/>
      <c r="CTV276" s="609"/>
      <c r="CTW276" s="609"/>
      <c r="CTX276" s="609"/>
      <c r="CTY276" s="609"/>
      <c r="CTZ276" s="609"/>
      <c r="CUA276" s="609"/>
      <c r="CUB276" s="609"/>
      <c r="CUC276" s="609"/>
      <c r="CUD276" s="609"/>
      <c r="CUE276" s="609"/>
      <c r="CUF276" s="609"/>
      <c r="CUG276" s="609"/>
      <c r="CUH276" s="609"/>
      <c r="CUI276" s="609"/>
      <c r="CUJ276" s="609"/>
      <c r="CUK276" s="609"/>
      <c r="CUL276" s="609"/>
      <c r="CUM276" s="609"/>
      <c r="CUN276" s="609"/>
      <c r="CUO276" s="609"/>
      <c r="CUP276" s="609"/>
      <c r="CUQ276" s="609"/>
      <c r="CUR276" s="609"/>
      <c r="CUS276" s="609"/>
      <c r="CUT276" s="609"/>
      <c r="CUU276" s="609"/>
      <c r="CUV276" s="609"/>
      <c r="CUW276" s="609"/>
      <c r="CUX276" s="609"/>
      <c r="CUY276" s="609"/>
      <c r="CUZ276" s="609"/>
      <c r="CVA276" s="609"/>
      <c r="CVB276" s="609"/>
      <c r="CVC276" s="609"/>
      <c r="CVD276" s="609"/>
      <c r="CVE276" s="609"/>
      <c r="CVF276" s="609"/>
      <c r="CVG276" s="609"/>
      <c r="CVH276" s="609"/>
      <c r="CVI276" s="609"/>
      <c r="CVJ276" s="609"/>
      <c r="CVK276" s="609"/>
      <c r="CVL276" s="609"/>
      <c r="CVM276" s="609"/>
      <c r="CVN276" s="609"/>
      <c r="CVO276" s="609"/>
      <c r="CVP276" s="609"/>
      <c r="CVQ276" s="609"/>
      <c r="CVR276" s="609"/>
      <c r="CVS276" s="609"/>
      <c r="CVT276" s="609"/>
      <c r="CVU276" s="609"/>
      <c r="CVV276" s="609"/>
      <c r="CVW276" s="609"/>
      <c r="CVX276" s="609"/>
      <c r="CVY276" s="609"/>
      <c r="CVZ276" s="609"/>
      <c r="CWA276" s="609"/>
      <c r="CWB276" s="609"/>
      <c r="CWC276" s="609"/>
      <c r="CWD276" s="609"/>
      <c r="CWE276" s="609"/>
      <c r="CWF276" s="609"/>
      <c r="CWG276" s="609"/>
      <c r="CWH276" s="609"/>
      <c r="CWI276" s="609"/>
      <c r="CWJ276" s="609"/>
      <c r="CWK276" s="609"/>
      <c r="CWL276" s="609"/>
      <c r="CWM276" s="609"/>
      <c r="CWN276" s="609"/>
      <c r="CWO276" s="609"/>
      <c r="CWP276" s="609"/>
      <c r="CWQ276" s="609"/>
      <c r="CWR276" s="609"/>
      <c r="CWS276" s="609"/>
      <c r="CWT276" s="609"/>
      <c r="CWU276" s="609"/>
      <c r="CWV276" s="609"/>
      <c r="CWW276" s="609"/>
      <c r="CWX276" s="609"/>
      <c r="CWY276" s="609"/>
      <c r="CWZ276" s="609"/>
      <c r="CXA276" s="609"/>
      <c r="CXB276" s="609"/>
      <c r="CXC276" s="609"/>
      <c r="CXD276" s="609"/>
      <c r="CXE276" s="609"/>
      <c r="CXF276" s="609"/>
      <c r="CXG276" s="609"/>
      <c r="CXH276" s="609"/>
      <c r="CXI276" s="609"/>
      <c r="CXJ276" s="609"/>
      <c r="CXK276" s="609"/>
      <c r="CXL276" s="609"/>
      <c r="CXM276" s="609"/>
      <c r="CXN276" s="609"/>
      <c r="CXO276" s="609"/>
      <c r="CXP276" s="609"/>
      <c r="CXQ276" s="609"/>
      <c r="CXR276" s="609"/>
      <c r="CXS276" s="609"/>
      <c r="CXT276" s="609"/>
      <c r="CXU276" s="609"/>
      <c r="CXV276" s="609"/>
      <c r="CXW276" s="609"/>
      <c r="CXX276" s="609"/>
      <c r="CXY276" s="609"/>
      <c r="CXZ276" s="609"/>
      <c r="CYA276" s="609"/>
      <c r="CYB276" s="609"/>
      <c r="CYC276" s="609"/>
      <c r="CYD276" s="609"/>
      <c r="CYE276" s="609"/>
      <c r="CYF276" s="609"/>
      <c r="CYG276" s="609"/>
      <c r="CYH276" s="609"/>
      <c r="CYI276" s="609"/>
      <c r="CYJ276" s="609"/>
      <c r="CYK276" s="609"/>
      <c r="CYL276" s="609"/>
      <c r="CYM276" s="609"/>
      <c r="CYN276" s="609"/>
      <c r="CYO276" s="609"/>
      <c r="CYP276" s="609"/>
      <c r="CYQ276" s="609"/>
      <c r="CYR276" s="609"/>
      <c r="CYS276" s="609"/>
      <c r="CYT276" s="609"/>
      <c r="CYU276" s="609"/>
      <c r="CYV276" s="609"/>
      <c r="CYW276" s="609"/>
      <c r="CYX276" s="609"/>
      <c r="CYY276" s="609"/>
      <c r="CYZ276" s="609"/>
      <c r="CZA276" s="609"/>
      <c r="CZB276" s="609"/>
      <c r="CZC276" s="609"/>
      <c r="CZD276" s="609"/>
      <c r="CZE276" s="609"/>
      <c r="CZF276" s="609"/>
      <c r="CZG276" s="609"/>
      <c r="CZH276" s="609"/>
      <c r="CZI276" s="609"/>
      <c r="CZJ276" s="609"/>
      <c r="CZK276" s="609"/>
      <c r="CZL276" s="609"/>
      <c r="CZM276" s="609"/>
      <c r="CZN276" s="609"/>
      <c r="CZO276" s="609"/>
      <c r="CZP276" s="609"/>
      <c r="CZQ276" s="609"/>
      <c r="CZR276" s="609"/>
      <c r="CZS276" s="609"/>
      <c r="CZT276" s="609"/>
      <c r="CZU276" s="609"/>
      <c r="CZV276" s="609"/>
      <c r="CZW276" s="609"/>
      <c r="CZX276" s="609"/>
      <c r="CZY276" s="609"/>
      <c r="CZZ276" s="609"/>
      <c r="DAA276" s="609"/>
      <c r="DAB276" s="609"/>
      <c r="DAC276" s="609"/>
      <c r="DAD276" s="609"/>
      <c r="DAE276" s="609"/>
      <c r="DAF276" s="609"/>
      <c r="DAG276" s="609"/>
      <c r="DAH276" s="609"/>
      <c r="DAI276" s="609"/>
      <c r="DAJ276" s="609"/>
      <c r="DAK276" s="609"/>
      <c r="DAL276" s="609"/>
      <c r="DAM276" s="609"/>
      <c r="DAN276" s="609"/>
      <c r="DAO276" s="609"/>
      <c r="DAP276" s="609"/>
      <c r="DAQ276" s="609"/>
      <c r="DAR276" s="609"/>
      <c r="DAS276" s="609"/>
      <c r="DAT276" s="609"/>
      <c r="DAU276" s="609"/>
      <c r="DAV276" s="609"/>
      <c r="DAW276" s="609"/>
      <c r="DAX276" s="609"/>
      <c r="DAY276" s="609"/>
      <c r="DAZ276" s="609"/>
      <c r="DBA276" s="609"/>
      <c r="DBB276" s="609"/>
      <c r="DBC276" s="609"/>
      <c r="DBD276" s="609"/>
      <c r="DBE276" s="609"/>
      <c r="DBF276" s="609"/>
      <c r="DBG276" s="609"/>
      <c r="DBH276" s="609"/>
      <c r="DBI276" s="609"/>
      <c r="DBJ276" s="609"/>
      <c r="DBK276" s="609"/>
      <c r="DBL276" s="609"/>
      <c r="DBM276" s="609"/>
      <c r="DBN276" s="609"/>
      <c r="DBO276" s="609"/>
      <c r="DBP276" s="609"/>
      <c r="DBQ276" s="609"/>
      <c r="DBR276" s="609"/>
      <c r="DBS276" s="609"/>
      <c r="DBT276" s="609"/>
      <c r="DBU276" s="609"/>
      <c r="DBV276" s="609"/>
      <c r="DBW276" s="609"/>
      <c r="DBX276" s="609"/>
      <c r="DBY276" s="609"/>
      <c r="DBZ276" s="609"/>
      <c r="DCA276" s="609"/>
      <c r="DCB276" s="609"/>
      <c r="DCC276" s="609"/>
      <c r="DCD276" s="609"/>
      <c r="DCE276" s="609"/>
      <c r="DCF276" s="609"/>
      <c r="DCG276" s="609"/>
      <c r="DCH276" s="609"/>
      <c r="DCI276" s="609"/>
      <c r="DCJ276" s="609"/>
      <c r="DCK276" s="609"/>
      <c r="DCL276" s="609"/>
      <c r="DCM276" s="609"/>
      <c r="DCN276" s="609"/>
      <c r="DCO276" s="609"/>
      <c r="DCP276" s="609"/>
      <c r="DCQ276" s="609"/>
      <c r="DCR276" s="609"/>
      <c r="DCS276" s="609"/>
      <c r="DCT276" s="609"/>
      <c r="DCU276" s="609"/>
      <c r="DCV276" s="609"/>
      <c r="DCW276" s="609"/>
      <c r="DCX276" s="609"/>
      <c r="DCY276" s="609"/>
      <c r="DCZ276" s="609"/>
      <c r="DDA276" s="609"/>
      <c r="DDB276" s="609"/>
      <c r="DDC276" s="609"/>
      <c r="DDD276" s="609"/>
      <c r="DDE276" s="609"/>
      <c r="DDF276" s="609"/>
      <c r="DDG276" s="609"/>
      <c r="DDH276" s="609"/>
      <c r="DDI276" s="609"/>
      <c r="DDJ276" s="609"/>
      <c r="DDK276" s="609"/>
      <c r="DDL276" s="609"/>
      <c r="DDM276" s="609"/>
      <c r="DDN276" s="609"/>
      <c r="DDO276" s="609"/>
      <c r="DDP276" s="609"/>
      <c r="DDQ276" s="609"/>
      <c r="DDR276" s="609"/>
      <c r="DDS276" s="609"/>
      <c r="DDT276" s="609"/>
      <c r="DDU276" s="609"/>
      <c r="DDV276" s="609"/>
      <c r="DDW276" s="609"/>
      <c r="DDX276" s="609"/>
      <c r="DDY276" s="609"/>
      <c r="DDZ276" s="609"/>
      <c r="DEA276" s="609"/>
      <c r="DEB276" s="609"/>
      <c r="DEC276" s="609"/>
      <c r="DED276" s="609"/>
      <c r="DEE276" s="609"/>
      <c r="DEF276" s="609"/>
      <c r="DEG276" s="609"/>
      <c r="DEH276" s="609"/>
      <c r="DEI276" s="609"/>
      <c r="DEJ276" s="609"/>
      <c r="DEK276" s="609"/>
      <c r="DEL276" s="609"/>
      <c r="DEM276" s="609"/>
      <c r="DEN276" s="609"/>
      <c r="DEO276" s="609"/>
      <c r="DEP276" s="609"/>
      <c r="DEQ276" s="609"/>
      <c r="DER276" s="609"/>
      <c r="DES276" s="609"/>
      <c r="DET276" s="609"/>
      <c r="DEU276" s="609"/>
      <c r="DEV276" s="609"/>
      <c r="DEW276" s="609"/>
      <c r="DEX276" s="609"/>
      <c r="DEY276" s="609"/>
      <c r="DEZ276" s="609"/>
      <c r="DFA276" s="609"/>
      <c r="DFB276" s="609"/>
      <c r="DFC276" s="609"/>
      <c r="DFD276" s="609"/>
      <c r="DFE276" s="609"/>
      <c r="DFF276" s="609"/>
      <c r="DFG276" s="609"/>
      <c r="DFH276" s="609"/>
      <c r="DFI276" s="609"/>
      <c r="DFJ276" s="609"/>
      <c r="DFK276" s="609"/>
      <c r="DFL276" s="609"/>
      <c r="DFM276" s="609"/>
      <c r="DFN276" s="609"/>
      <c r="DFO276" s="609"/>
      <c r="DFP276" s="609"/>
      <c r="DFQ276" s="609"/>
      <c r="DFR276" s="609"/>
      <c r="DFS276" s="609"/>
      <c r="DFT276" s="609"/>
      <c r="DFU276" s="609"/>
      <c r="DFV276" s="609"/>
      <c r="DFW276" s="609"/>
      <c r="DFX276" s="609"/>
      <c r="DFY276" s="609"/>
      <c r="DFZ276" s="609"/>
      <c r="DGA276" s="609"/>
      <c r="DGB276" s="609"/>
      <c r="DGC276" s="609"/>
      <c r="DGD276" s="609"/>
      <c r="DGE276" s="609"/>
      <c r="DGF276" s="609"/>
      <c r="DGG276" s="609"/>
      <c r="DGH276" s="609"/>
      <c r="DGI276" s="609"/>
      <c r="DGJ276" s="609"/>
      <c r="DGK276" s="609"/>
      <c r="DGL276" s="609"/>
      <c r="DGM276" s="609"/>
      <c r="DGN276" s="609"/>
      <c r="DGO276" s="609"/>
      <c r="DGP276" s="609"/>
      <c r="DGQ276" s="609"/>
      <c r="DGR276" s="609"/>
      <c r="DGS276" s="609"/>
      <c r="DGT276" s="609"/>
      <c r="DGU276" s="609"/>
      <c r="DGV276" s="609"/>
      <c r="DGW276" s="609"/>
      <c r="DGX276" s="609"/>
      <c r="DGY276" s="609"/>
      <c r="DGZ276" s="609"/>
      <c r="DHA276" s="609"/>
      <c r="DHB276" s="609"/>
      <c r="DHC276" s="609"/>
      <c r="DHD276" s="609"/>
      <c r="DHE276" s="609"/>
      <c r="DHF276" s="609"/>
      <c r="DHG276" s="609"/>
      <c r="DHH276" s="609"/>
      <c r="DHI276" s="609"/>
      <c r="DHJ276" s="609"/>
      <c r="DHK276" s="609"/>
      <c r="DHL276" s="609"/>
      <c r="DHM276" s="609"/>
      <c r="DHN276" s="609"/>
      <c r="DHO276" s="609"/>
      <c r="DHP276" s="609"/>
      <c r="DHQ276" s="609"/>
      <c r="DHR276" s="609"/>
      <c r="DHS276" s="609"/>
      <c r="DHT276" s="609"/>
      <c r="DHU276" s="609"/>
      <c r="DHV276" s="609"/>
      <c r="DHW276" s="609"/>
      <c r="DHX276" s="609"/>
      <c r="DHY276" s="609"/>
      <c r="DHZ276" s="609"/>
      <c r="DIA276" s="609"/>
      <c r="DIB276" s="609"/>
      <c r="DIC276" s="609"/>
      <c r="DID276" s="609"/>
      <c r="DIE276" s="609"/>
      <c r="DIF276" s="609"/>
      <c r="DIG276" s="609"/>
      <c r="DIH276" s="609"/>
      <c r="DII276" s="609"/>
      <c r="DIJ276" s="609"/>
      <c r="DIK276" s="609"/>
      <c r="DIL276" s="609"/>
      <c r="DIM276" s="609"/>
      <c r="DIN276" s="609"/>
      <c r="DIO276" s="609"/>
      <c r="DIP276" s="609"/>
      <c r="DIQ276" s="609"/>
      <c r="DIR276" s="609"/>
      <c r="DIS276" s="609"/>
      <c r="DIT276" s="609"/>
      <c r="DIU276" s="609"/>
      <c r="DIV276" s="609"/>
      <c r="DIW276" s="609"/>
      <c r="DIX276" s="609"/>
      <c r="DIY276" s="609"/>
      <c r="DIZ276" s="609"/>
      <c r="DJA276" s="609"/>
      <c r="DJB276" s="609"/>
      <c r="DJC276" s="609"/>
      <c r="DJD276" s="609"/>
      <c r="DJE276" s="609"/>
      <c r="DJF276" s="609"/>
      <c r="DJG276" s="609"/>
      <c r="DJH276" s="609"/>
      <c r="DJI276" s="609"/>
      <c r="DJJ276" s="609"/>
      <c r="DJK276" s="609"/>
      <c r="DJL276" s="609"/>
      <c r="DJM276" s="609"/>
      <c r="DJN276" s="609"/>
      <c r="DJO276" s="609"/>
      <c r="DJP276" s="609"/>
      <c r="DJQ276" s="609"/>
      <c r="DJR276" s="609"/>
      <c r="DJS276" s="609"/>
      <c r="DJT276" s="609"/>
      <c r="DJU276" s="609"/>
      <c r="DJV276" s="609"/>
      <c r="DJW276" s="609"/>
      <c r="DJX276" s="609"/>
      <c r="DJY276" s="609"/>
      <c r="DJZ276" s="609"/>
      <c r="DKA276" s="609"/>
      <c r="DKB276" s="609"/>
      <c r="DKC276" s="609"/>
      <c r="DKD276" s="609"/>
      <c r="DKE276" s="609"/>
      <c r="DKF276" s="609"/>
      <c r="DKG276" s="609"/>
      <c r="DKH276" s="609"/>
      <c r="DKI276" s="609"/>
      <c r="DKJ276" s="609"/>
      <c r="DKK276" s="609"/>
      <c r="DKL276" s="609"/>
      <c r="DKM276" s="609"/>
      <c r="DKN276" s="609"/>
      <c r="DKO276" s="609"/>
      <c r="DKP276" s="609"/>
      <c r="DKQ276" s="609"/>
      <c r="DKR276" s="609"/>
      <c r="DKS276" s="609"/>
      <c r="DKT276" s="609"/>
      <c r="DKU276" s="609"/>
      <c r="DKV276" s="609"/>
      <c r="DKW276" s="609"/>
      <c r="DKX276" s="609"/>
      <c r="DKY276" s="609"/>
      <c r="DKZ276" s="609"/>
      <c r="DLA276" s="609"/>
      <c r="DLB276" s="609"/>
      <c r="DLC276" s="609"/>
      <c r="DLD276" s="609"/>
      <c r="DLE276" s="609"/>
      <c r="DLF276" s="609"/>
      <c r="DLG276" s="609"/>
      <c r="DLH276" s="609"/>
      <c r="DLI276" s="609"/>
      <c r="DLJ276" s="609"/>
      <c r="DLK276" s="609"/>
      <c r="DLL276" s="609"/>
      <c r="DLM276" s="609"/>
      <c r="DLN276" s="609"/>
      <c r="DLO276" s="609"/>
      <c r="DLP276" s="609"/>
      <c r="DLQ276" s="609"/>
      <c r="DLR276" s="609"/>
      <c r="DLS276" s="609"/>
      <c r="DLT276" s="609"/>
      <c r="DLU276" s="609"/>
      <c r="DLV276" s="609"/>
      <c r="DLW276" s="609"/>
      <c r="DLX276" s="609"/>
      <c r="DLY276" s="609"/>
      <c r="DLZ276" s="609"/>
      <c r="DMA276" s="609"/>
      <c r="DMB276" s="609"/>
      <c r="DMC276" s="609"/>
      <c r="DMD276" s="609"/>
      <c r="DME276" s="609"/>
      <c r="DMF276" s="609"/>
      <c r="DMG276" s="609"/>
      <c r="DMH276" s="609"/>
      <c r="DMI276" s="609"/>
      <c r="DMJ276" s="609"/>
      <c r="DMK276" s="609"/>
      <c r="DML276" s="609"/>
      <c r="DMM276" s="609"/>
      <c r="DMN276" s="609"/>
      <c r="DMO276" s="609"/>
      <c r="DMP276" s="609"/>
      <c r="DMQ276" s="609"/>
      <c r="DMR276" s="609"/>
      <c r="DMS276" s="609"/>
      <c r="DMT276" s="609"/>
      <c r="DMU276" s="609"/>
      <c r="DMV276" s="609"/>
      <c r="DMW276" s="609"/>
      <c r="DMX276" s="609"/>
      <c r="DMY276" s="609"/>
      <c r="DMZ276" s="609"/>
      <c r="DNA276" s="609"/>
      <c r="DNB276" s="609"/>
      <c r="DNC276" s="609"/>
      <c r="DND276" s="609"/>
      <c r="DNE276" s="609"/>
      <c r="DNF276" s="609"/>
      <c r="DNG276" s="609"/>
      <c r="DNH276" s="609"/>
      <c r="DNI276" s="609"/>
      <c r="DNJ276" s="609"/>
      <c r="DNK276" s="609"/>
      <c r="DNL276" s="609"/>
      <c r="DNM276" s="609"/>
      <c r="DNN276" s="609"/>
      <c r="DNO276" s="609"/>
      <c r="DNP276" s="609"/>
      <c r="DNQ276" s="609"/>
      <c r="DNR276" s="609"/>
      <c r="DNS276" s="609"/>
      <c r="DNT276" s="609"/>
      <c r="DNU276" s="609"/>
      <c r="DNV276" s="609"/>
      <c r="DNW276" s="609"/>
      <c r="DNX276" s="609"/>
      <c r="DNY276" s="609"/>
      <c r="DNZ276" s="609"/>
      <c r="DOA276" s="609"/>
      <c r="DOB276" s="609"/>
      <c r="DOC276" s="609"/>
      <c r="DOD276" s="609"/>
      <c r="DOE276" s="609"/>
      <c r="DOF276" s="609"/>
      <c r="DOG276" s="609"/>
      <c r="DOH276" s="609"/>
      <c r="DOI276" s="609"/>
      <c r="DOJ276" s="609"/>
      <c r="DOK276" s="609"/>
      <c r="DOL276" s="609"/>
      <c r="DOM276" s="609"/>
      <c r="DON276" s="609"/>
      <c r="DOO276" s="609"/>
      <c r="DOP276" s="609"/>
      <c r="DOQ276" s="609"/>
      <c r="DOR276" s="609"/>
      <c r="DOS276" s="609"/>
      <c r="DOT276" s="609"/>
      <c r="DOU276" s="609"/>
      <c r="DOV276" s="609"/>
      <c r="DOW276" s="609"/>
      <c r="DOX276" s="609"/>
      <c r="DOY276" s="609"/>
      <c r="DOZ276" s="609"/>
      <c r="DPA276" s="609"/>
      <c r="DPB276" s="609"/>
      <c r="DPC276" s="609"/>
      <c r="DPD276" s="609"/>
      <c r="DPE276" s="609"/>
      <c r="DPF276" s="609"/>
      <c r="DPG276" s="609"/>
      <c r="DPH276" s="609"/>
      <c r="DPI276" s="609"/>
      <c r="DPJ276" s="609"/>
      <c r="DPK276" s="609"/>
      <c r="DPL276" s="609"/>
      <c r="DPM276" s="609"/>
      <c r="DPN276" s="609"/>
      <c r="DPO276" s="609"/>
      <c r="DPP276" s="609"/>
      <c r="DPQ276" s="609"/>
      <c r="DPR276" s="609"/>
      <c r="DPS276" s="609"/>
      <c r="DPT276" s="609"/>
      <c r="DPU276" s="609"/>
      <c r="DPV276" s="609"/>
      <c r="DPW276" s="609"/>
      <c r="DPX276" s="609"/>
      <c r="DPY276" s="609"/>
      <c r="DPZ276" s="609"/>
      <c r="DQA276" s="609"/>
      <c r="DQB276" s="609"/>
      <c r="DQC276" s="609"/>
      <c r="DQD276" s="609"/>
      <c r="DQE276" s="609"/>
      <c r="DQF276" s="609"/>
      <c r="DQG276" s="609"/>
      <c r="DQH276" s="609"/>
      <c r="DQI276" s="609"/>
      <c r="DQJ276" s="609"/>
      <c r="DQK276" s="609"/>
      <c r="DQL276" s="609"/>
      <c r="DQM276" s="609"/>
      <c r="DQN276" s="609"/>
      <c r="DQO276" s="609"/>
      <c r="DQP276" s="609"/>
      <c r="DQQ276" s="609"/>
      <c r="DQR276" s="609"/>
      <c r="DQS276" s="609"/>
      <c r="DQT276" s="609"/>
      <c r="DQU276" s="609"/>
      <c r="DQV276" s="609"/>
      <c r="DQW276" s="609"/>
      <c r="DQX276" s="609"/>
      <c r="DQY276" s="609"/>
      <c r="DQZ276" s="609"/>
      <c r="DRA276" s="609"/>
      <c r="DRB276" s="609"/>
      <c r="DRC276" s="609"/>
      <c r="DRD276" s="609"/>
      <c r="DRE276" s="609"/>
      <c r="DRF276" s="609"/>
      <c r="DRG276" s="609"/>
      <c r="DRH276" s="609"/>
      <c r="DRI276" s="609"/>
      <c r="DRJ276" s="609"/>
      <c r="DRK276" s="609"/>
      <c r="DRL276" s="609"/>
      <c r="DRM276" s="609"/>
      <c r="DRN276" s="609"/>
      <c r="DRO276" s="609"/>
      <c r="DRP276" s="609"/>
      <c r="DRQ276" s="609"/>
      <c r="DRR276" s="609"/>
      <c r="DRS276" s="609"/>
      <c r="DRT276" s="609"/>
      <c r="DRU276" s="609"/>
      <c r="DRV276" s="609"/>
      <c r="DRW276" s="609"/>
      <c r="DRX276" s="609"/>
      <c r="DRY276" s="609"/>
      <c r="DRZ276" s="609"/>
      <c r="DSA276" s="609"/>
      <c r="DSB276" s="609"/>
      <c r="DSC276" s="609"/>
      <c r="DSD276" s="609"/>
      <c r="DSE276" s="609"/>
      <c r="DSF276" s="609"/>
      <c r="DSG276" s="609"/>
      <c r="DSH276" s="609"/>
      <c r="DSI276" s="609"/>
      <c r="DSJ276" s="609"/>
      <c r="DSK276" s="609"/>
      <c r="DSL276" s="609"/>
      <c r="DSM276" s="609"/>
      <c r="DSN276" s="609"/>
      <c r="DSO276" s="609"/>
      <c r="DSP276" s="609"/>
      <c r="DSQ276" s="609"/>
      <c r="DSR276" s="609"/>
      <c r="DSS276" s="609"/>
      <c r="DST276" s="609"/>
      <c r="DSU276" s="609"/>
      <c r="DSV276" s="609"/>
      <c r="DSW276" s="609"/>
      <c r="DSX276" s="609"/>
      <c r="DSY276" s="609"/>
      <c r="DSZ276" s="609"/>
      <c r="DTA276" s="609"/>
      <c r="DTB276" s="609"/>
      <c r="DTC276" s="609"/>
      <c r="DTD276" s="609"/>
      <c r="DTE276" s="609"/>
      <c r="DTF276" s="609"/>
      <c r="DTG276" s="609"/>
      <c r="DTH276" s="609"/>
      <c r="DTI276" s="609"/>
      <c r="DTJ276" s="609"/>
      <c r="DTK276" s="609"/>
      <c r="DTL276" s="609"/>
      <c r="DTM276" s="609"/>
      <c r="DTN276" s="609"/>
      <c r="DTO276" s="609"/>
      <c r="DTP276" s="609"/>
      <c r="DTQ276" s="609"/>
      <c r="DTR276" s="609"/>
      <c r="DTS276" s="609"/>
      <c r="DTT276" s="609"/>
      <c r="DTU276" s="609"/>
      <c r="DTV276" s="609"/>
      <c r="DTW276" s="609"/>
      <c r="DTX276" s="609"/>
      <c r="DTY276" s="609"/>
      <c r="DTZ276" s="609"/>
      <c r="DUA276" s="609"/>
      <c r="DUB276" s="609"/>
      <c r="DUC276" s="609"/>
      <c r="DUD276" s="609"/>
      <c r="DUE276" s="609"/>
      <c r="DUF276" s="609"/>
      <c r="DUG276" s="609"/>
      <c r="DUH276" s="609"/>
      <c r="DUI276" s="609"/>
      <c r="DUJ276" s="609"/>
      <c r="DUK276" s="609"/>
      <c r="DUL276" s="609"/>
      <c r="DUM276" s="609"/>
      <c r="DUN276" s="609"/>
      <c r="DUO276" s="609"/>
      <c r="DUP276" s="609"/>
      <c r="DUQ276" s="609"/>
      <c r="DUR276" s="609"/>
      <c r="DUS276" s="609"/>
      <c r="DUT276" s="609"/>
      <c r="DUU276" s="609"/>
      <c r="DUV276" s="609"/>
      <c r="DUW276" s="609"/>
      <c r="DUX276" s="609"/>
      <c r="DUY276" s="609"/>
      <c r="DUZ276" s="609"/>
      <c r="DVA276" s="609"/>
      <c r="DVB276" s="609"/>
      <c r="DVC276" s="609"/>
      <c r="DVD276" s="609"/>
      <c r="DVE276" s="609"/>
      <c r="DVF276" s="609"/>
      <c r="DVG276" s="609"/>
      <c r="DVH276" s="609"/>
      <c r="DVI276" s="609"/>
      <c r="DVJ276" s="609"/>
      <c r="DVK276" s="609"/>
      <c r="DVL276" s="609"/>
      <c r="DVM276" s="609"/>
      <c r="DVN276" s="609"/>
      <c r="DVO276" s="609"/>
      <c r="DVP276" s="609"/>
      <c r="DVQ276" s="609"/>
      <c r="DVR276" s="609"/>
      <c r="DVS276" s="609"/>
      <c r="DVT276" s="609"/>
      <c r="DVU276" s="609"/>
      <c r="DVV276" s="609"/>
      <c r="DVW276" s="609"/>
      <c r="DVX276" s="609"/>
      <c r="DVY276" s="609"/>
      <c r="DVZ276" s="609"/>
      <c r="DWA276" s="609"/>
      <c r="DWB276" s="609"/>
      <c r="DWC276" s="609"/>
      <c r="DWD276" s="609"/>
      <c r="DWE276" s="609"/>
      <c r="DWF276" s="609"/>
      <c r="DWG276" s="609"/>
      <c r="DWH276" s="609"/>
      <c r="DWI276" s="609"/>
      <c r="DWJ276" s="609"/>
      <c r="DWK276" s="609"/>
      <c r="DWL276" s="609"/>
      <c r="DWM276" s="609"/>
      <c r="DWN276" s="609"/>
      <c r="DWO276" s="609"/>
      <c r="DWP276" s="609"/>
      <c r="DWQ276" s="609"/>
      <c r="DWR276" s="609"/>
      <c r="DWS276" s="609"/>
      <c r="DWT276" s="609"/>
      <c r="DWU276" s="609"/>
      <c r="DWV276" s="609"/>
      <c r="DWW276" s="609"/>
      <c r="DWX276" s="609"/>
      <c r="DWY276" s="609"/>
      <c r="DWZ276" s="609"/>
      <c r="DXA276" s="609"/>
      <c r="DXB276" s="609"/>
      <c r="DXC276" s="609"/>
      <c r="DXD276" s="609"/>
      <c r="DXE276" s="609"/>
      <c r="DXF276" s="609"/>
      <c r="DXG276" s="609"/>
      <c r="DXH276" s="609"/>
      <c r="DXI276" s="609"/>
      <c r="DXJ276" s="609"/>
      <c r="DXK276" s="609"/>
      <c r="DXL276" s="609"/>
      <c r="DXM276" s="609"/>
      <c r="DXN276" s="609"/>
      <c r="DXO276" s="609"/>
      <c r="DXP276" s="609"/>
      <c r="DXQ276" s="609"/>
      <c r="DXR276" s="609"/>
      <c r="DXS276" s="609"/>
      <c r="DXT276" s="609"/>
      <c r="DXU276" s="609"/>
      <c r="DXV276" s="609"/>
      <c r="DXW276" s="609"/>
      <c r="DXX276" s="609"/>
      <c r="DXY276" s="609"/>
      <c r="DXZ276" s="609"/>
      <c r="DYA276" s="609"/>
      <c r="DYB276" s="609"/>
      <c r="DYC276" s="609"/>
      <c r="DYD276" s="609"/>
      <c r="DYE276" s="609"/>
      <c r="DYF276" s="609"/>
      <c r="DYG276" s="609"/>
      <c r="DYH276" s="609"/>
      <c r="DYI276" s="609"/>
      <c r="DYJ276" s="609"/>
      <c r="DYK276" s="609"/>
      <c r="DYL276" s="609"/>
      <c r="DYM276" s="609"/>
      <c r="DYN276" s="609"/>
      <c r="DYO276" s="609"/>
      <c r="DYP276" s="609"/>
      <c r="DYQ276" s="609"/>
      <c r="DYR276" s="609"/>
      <c r="DYS276" s="609"/>
      <c r="DYT276" s="609"/>
      <c r="DYU276" s="609"/>
      <c r="DYV276" s="609"/>
      <c r="DYW276" s="609"/>
      <c r="DYX276" s="609"/>
      <c r="DYY276" s="609"/>
      <c r="DYZ276" s="609"/>
      <c r="DZA276" s="609"/>
      <c r="DZB276" s="609"/>
      <c r="DZC276" s="609"/>
      <c r="DZD276" s="609"/>
      <c r="DZE276" s="609"/>
      <c r="DZF276" s="609"/>
      <c r="DZG276" s="609"/>
      <c r="DZH276" s="609"/>
      <c r="DZI276" s="609"/>
      <c r="DZJ276" s="609"/>
      <c r="DZK276" s="609"/>
      <c r="DZL276" s="609"/>
      <c r="DZM276" s="609"/>
      <c r="DZN276" s="609"/>
      <c r="DZO276" s="609"/>
      <c r="DZP276" s="609"/>
      <c r="DZQ276" s="609"/>
      <c r="DZR276" s="609"/>
      <c r="DZS276" s="609"/>
      <c r="DZT276" s="609"/>
      <c r="DZU276" s="609"/>
      <c r="DZV276" s="609"/>
      <c r="DZW276" s="609"/>
      <c r="DZX276" s="609"/>
      <c r="DZY276" s="609"/>
      <c r="DZZ276" s="609"/>
      <c r="EAA276" s="609"/>
      <c r="EAB276" s="609"/>
      <c r="EAC276" s="609"/>
      <c r="EAD276" s="609"/>
      <c r="EAE276" s="609"/>
      <c r="EAF276" s="609"/>
      <c r="EAG276" s="609"/>
      <c r="EAH276" s="609"/>
      <c r="EAI276" s="609"/>
      <c r="EAJ276" s="609"/>
      <c r="EAK276" s="609"/>
      <c r="EAL276" s="609"/>
      <c r="EAM276" s="609"/>
      <c r="EAN276" s="609"/>
      <c r="EAO276" s="609"/>
      <c r="EAP276" s="609"/>
      <c r="EAQ276" s="609"/>
      <c r="EAR276" s="609"/>
      <c r="EAS276" s="609"/>
      <c r="EAT276" s="609"/>
      <c r="EAU276" s="609"/>
      <c r="EAV276" s="609"/>
      <c r="EAW276" s="609"/>
      <c r="EAX276" s="609"/>
      <c r="EAY276" s="609"/>
      <c r="EAZ276" s="609"/>
      <c r="EBA276" s="609"/>
      <c r="EBB276" s="609"/>
      <c r="EBC276" s="609"/>
      <c r="EBD276" s="609"/>
      <c r="EBE276" s="609"/>
      <c r="EBF276" s="609"/>
      <c r="EBG276" s="609"/>
      <c r="EBH276" s="609"/>
      <c r="EBI276" s="609"/>
      <c r="EBJ276" s="609"/>
      <c r="EBK276" s="609"/>
      <c r="EBL276" s="609"/>
      <c r="EBM276" s="609"/>
      <c r="EBN276" s="609"/>
      <c r="EBO276" s="609"/>
      <c r="EBP276" s="609"/>
      <c r="EBQ276" s="609"/>
      <c r="EBR276" s="609"/>
      <c r="EBS276" s="609"/>
      <c r="EBT276" s="609"/>
      <c r="EBU276" s="609"/>
      <c r="EBV276" s="609"/>
      <c r="EBW276" s="609"/>
      <c r="EBX276" s="609"/>
      <c r="EBY276" s="609"/>
      <c r="EBZ276" s="609"/>
      <c r="ECA276" s="609"/>
      <c r="ECB276" s="609"/>
      <c r="ECC276" s="609"/>
      <c r="ECD276" s="609"/>
      <c r="ECE276" s="609"/>
      <c r="ECF276" s="609"/>
      <c r="ECG276" s="609"/>
      <c r="ECH276" s="609"/>
      <c r="ECI276" s="609"/>
      <c r="ECJ276" s="609"/>
      <c r="ECK276" s="609"/>
      <c r="ECL276" s="609"/>
      <c r="ECM276" s="609"/>
      <c r="ECN276" s="609"/>
      <c r="ECO276" s="609"/>
      <c r="ECP276" s="609"/>
      <c r="ECQ276" s="609"/>
      <c r="ECR276" s="609"/>
      <c r="ECS276" s="609"/>
      <c r="ECT276" s="609"/>
      <c r="ECU276" s="609"/>
      <c r="ECV276" s="609"/>
      <c r="ECW276" s="609"/>
      <c r="ECX276" s="609"/>
      <c r="ECY276" s="609"/>
      <c r="ECZ276" s="609"/>
      <c r="EDA276" s="609"/>
      <c r="EDB276" s="609"/>
      <c r="EDC276" s="609"/>
      <c r="EDD276" s="609"/>
      <c r="EDE276" s="609"/>
      <c r="EDF276" s="609"/>
      <c r="EDG276" s="609"/>
      <c r="EDH276" s="609"/>
      <c r="EDI276" s="609"/>
      <c r="EDJ276" s="609"/>
      <c r="EDK276" s="609"/>
      <c r="EDL276" s="609"/>
      <c r="EDM276" s="609"/>
      <c r="EDN276" s="609"/>
      <c r="EDO276" s="609"/>
      <c r="EDP276" s="609"/>
      <c r="EDQ276" s="609"/>
      <c r="EDR276" s="609"/>
      <c r="EDS276" s="609"/>
      <c r="EDT276" s="609"/>
      <c r="EDU276" s="609"/>
      <c r="EDV276" s="609"/>
      <c r="EDW276" s="609"/>
      <c r="EDX276" s="609"/>
      <c r="EDY276" s="609"/>
      <c r="EDZ276" s="609"/>
      <c r="EEA276" s="609"/>
      <c r="EEB276" s="609"/>
      <c r="EEC276" s="609"/>
      <c r="EED276" s="609"/>
      <c r="EEE276" s="609"/>
      <c r="EEF276" s="609"/>
      <c r="EEG276" s="609"/>
      <c r="EEH276" s="609"/>
      <c r="EEI276" s="609"/>
      <c r="EEJ276" s="609"/>
      <c r="EEK276" s="609"/>
      <c r="EEL276" s="609"/>
      <c r="EEM276" s="609"/>
      <c r="EEN276" s="609"/>
      <c r="EEO276" s="609"/>
      <c r="EEP276" s="609"/>
      <c r="EEQ276" s="609"/>
      <c r="EER276" s="609"/>
      <c r="EES276" s="609"/>
      <c r="EET276" s="609"/>
      <c r="EEU276" s="609"/>
      <c r="EEV276" s="609"/>
      <c r="EEW276" s="609"/>
      <c r="EEX276" s="609"/>
      <c r="EEY276" s="609"/>
      <c r="EEZ276" s="609"/>
      <c r="EFA276" s="609"/>
      <c r="EFB276" s="609"/>
      <c r="EFC276" s="609"/>
      <c r="EFD276" s="609"/>
      <c r="EFE276" s="609"/>
      <c r="EFF276" s="609"/>
      <c r="EFG276" s="609"/>
      <c r="EFH276" s="609"/>
      <c r="EFI276" s="609"/>
      <c r="EFJ276" s="609"/>
      <c r="EFK276" s="609"/>
      <c r="EFL276" s="609"/>
      <c r="EFM276" s="609"/>
      <c r="EFN276" s="609"/>
      <c r="EFO276" s="609"/>
      <c r="EFP276" s="609"/>
      <c r="EFQ276" s="609"/>
      <c r="EFR276" s="609"/>
      <c r="EFS276" s="609"/>
      <c r="EFT276" s="609"/>
      <c r="EFU276" s="609"/>
      <c r="EFV276" s="609"/>
      <c r="EFW276" s="609"/>
      <c r="EFX276" s="609"/>
      <c r="EFY276" s="609"/>
      <c r="EFZ276" s="609"/>
      <c r="EGA276" s="609"/>
      <c r="EGB276" s="609"/>
      <c r="EGC276" s="609"/>
      <c r="EGD276" s="609"/>
      <c r="EGE276" s="609"/>
      <c r="EGF276" s="609"/>
      <c r="EGG276" s="609"/>
      <c r="EGH276" s="609"/>
      <c r="EGI276" s="609"/>
      <c r="EGJ276" s="609"/>
      <c r="EGK276" s="609"/>
      <c r="EGL276" s="609"/>
      <c r="EGM276" s="609"/>
      <c r="EGN276" s="609"/>
      <c r="EGO276" s="609"/>
      <c r="EGP276" s="609"/>
      <c r="EGQ276" s="609"/>
      <c r="EGR276" s="609"/>
      <c r="EGS276" s="609"/>
      <c r="EGT276" s="609"/>
      <c r="EGU276" s="609"/>
      <c r="EGV276" s="609"/>
      <c r="EGW276" s="609"/>
      <c r="EGX276" s="609"/>
      <c r="EGY276" s="609"/>
      <c r="EGZ276" s="609"/>
      <c r="EHA276" s="609"/>
      <c r="EHB276" s="609"/>
      <c r="EHC276" s="609"/>
      <c r="EHD276" s="609"/>
      <c r="EHE276" s="609"/>
      <c r="EHF276" s="609"/>
      <c r="EHG276" s="609"/>
      <c r="EHH276" s="609"/>
      <c r="EHI276" s="609"/>
      <c r="EHJ276" s="609"/>
      <c r="EHK276" s="609"/>
      <c r="EHL276" s="609"/>
      <c r="EHM276" s="609"/>
      <c r="EHN276" s="609"/>
      <c r="EHO276" s="609"/>
      <c r="EHP276" s="609"/>
      <c r="EHQ276" s="609"/>
      <c r="EHR276" s="609"/>
      <c r="EHS276" s="609"/>
      <c r="EHT276" s="609"/>
      <c r="EHU276" s="609"/>
      <c r="EHV276" s="609"/>
      <c r="EHW276" s="609"/>
      <c r="EHX276" s="609"/>
      <c r="EHY276" s="609"/>
      <c r="EHZ276" s="609"/>
      <c r="EIA276" s="609"/>
      <c r="EIB276" s="609"/>
      <c r="EIC276" s="609"/>
      <c r="EID276" s="609"/>
      <c r="EIE276" s="609"/>
      <c r="EIF276" s="609"/>
      <c r="EIG276" s="609"/>
      <c r="EIH276" s="609"/>
      <c r="EII276" s="609"/>
      <c r="EIJ276" s="609"/>
      <c r="EIK276" s="609"/>
      <c r="EIL276" s="609"/>
      <c r="EIM276" s="609"/>
      <c r="EIN276" s="609"/>
      <c r="EIO276" s="609"/>
      <c r="EIP276" s="609"/>
      <c r="EIQ276" s="609"/>
      <c r="EIR276" s="609"/>
      <c r="EIS276" s="609"/>
      <c r="EIT276" s="609"/>
      <c r="EIU276" s="609"/>
      <c r="EIV276" s="609"/>
      <c r="EIW276" s="609"/>
      <c r="EIX276" s="609"/>
      <c r="EIY276" s="609"/>
      <c r="EIZ276" s="609"/>
      <c r="EJA276" s="609"/>
      <c r="EJB276" s="609"/>
      <c r="EJC276" s="609"/>
      <c r="EJD276" s="609"/>
      <c r="EJE276" s="609"/>
      <c r="EJF276" s="609"/>
      <c r="EJG276" s="609"/>
      <c r="EJH276" s="609"/>
      <c r="EJI276" s="609"/>
      <c r="EJJ276" s="609"/>
      <c r="EJK276" s="609"/>
      <c r="EJL276" s="609"/>
      <c r="EJM276" s="609"/>
      <c r="EJN276" s="609"/>
      <c r="EJO276" s="609"/>
      <c r="EJP276" s="609"/>
      <c r="EJQ276" s="609"/>
      <c r="EJR276" s="609"/>
      <c r="EJS276" s="609"/>
      <c r="EJT276" s="609"/>
      <c r="EJU276" s="609"/>
      <c r="EJV276" s="609"/>
      <c r="EJW276" s="609"/>
      <c r="EJX276" s="609"/>
      <c r="EJY276" s="609"/>
      <c r="EJZ276" s="609"/>
      <c r="EKA276" s="609"/>
      <c r="EKB276" s="609"/>
      <c r="EKC276" s="609"/>
      <c r="EKD276" s="609"/>
      <c r="EKE276" s="609"/>
      <c r="EKF276" s="609"/>
      <c r="EKG276" s="609"/>
      <c r="EKH276" s="609"/>
      <c r="EKI276" s="609"/>
      <c r="EKJ276" s="609"/>
      <c r="EKK276" s="609"/>
      <c r="EKL276" s="609"/>
      <c r="EKM276" s="609"/>
      <c r="EKN276" s="609"/>
      <c r="EKO276" s="609"/>
      <c r="EKP276" s="609"/>
      <c r="EKQ276" s="609"/>
      <c r="EKR276" s="609"/>
      <c r="EKS276" s="609"/>
      <c r="EKT276" s="609"/>
      <c r="EKU276" s="609"/>
      <c r="EKV276" s="609"/>
      <c r="EKW276" s="609"/>
      <c r="EKX276" s="609"/>
      <c r="EKY276" s="609"/>
      <c r="EKZ276" s="609"/>
      <c r="ELA276" s="609"/>
      <c r="ELB276" s="609"/>
      <c r="ELC276" s="609"/>
      <c r="ELD276" s="609"/>
      <c r="ELE276" s="609"/>
      <c r="ELF276" s="609"/>
      <c r="ELG276" s="609"/>
      <c r="ELH276" s="609"/>
      <c r="ELI276" s="609"/>
      <c r="ELJ276" s="609"/>
      <c r="ELK276" s="609"/>
      <c r="ELL276" s="609"/>
      <c r="ELM276" s="609"/>
      <c r="ELN276" s="609"/>
      <c r="ELO276" s="609"/>
      <c r="ELP276" s="609"/>
      <c r="ELQ276" s="609"/>
      <c r="ELR276" s="609"/>
      <c r="ELS276" s="609"/>
      <c r="ELT276" s="609"/>
      <c r="ELU276" s="609"/>
      <c r="ELV276" s="609"/>
      <c r="ELW276" s="609"/>
      <c r="ELX276" s="609"/>
      <c r="ELY276" s="609"/>
      <c r="ELZ276" s="609"/>
      <c r="EMA276" s="609"/>
      <c r="EMB276" s="609"/>
      <c r="EMC276" s="609"/>
      <c r="EMD276" s="609"/>
      <c r="EME276" s="609"/>
      <c r="EMF276" s="609"/>
      <c r="EMG276" s="609"/>
      <c r="EMH276" s="609"/>
      <c r="EMI276" s="609"/>
      <c r="EMJ276" s="609"/>
      <c r="EMK276" s="609"/>
      <c r="EML276" s="609"/>
      <c r="EMM276" s="609"/>
      <c r="EMN276" s="609"/>
      <c r="EMO276" s="609"/>
      <c r="EMP276" s="609"/>
      <c r="EMQ276" s="609"/>
      <c r="EMR276" s="609"/>
      <c r="EMS276" s="609"/>
      <c r="EMT276" s="609"/>
      <c r="EMU276" s="609"/>
      <c r="EMV276" s="609"/>
      <c r="EMW276" s="609"/>
      <c r="EMX276" s="609"/>
      <c r="EMY276" s="609"/>
      <c r="EMZ276" s="609"/>
      <c r="ENA276" s="609"/>
      <c r="ENB276" s="609"/>
      <c r="ENC276" s="609"/>
      <c r="END276" s="609"/>
      <c r="ENE276" s="609"/>
      <c r="ENF276" s="609"/>
      <c r="ENG276" s="609"/>
      <c r="ENH276" s="609"/>
      <c r="ENI276" s="609"/>
      <c r="ENJ276" s="609"/>
      <c r="ENK276" s="609"/>
      <c r="ENL276" s="609"/>
      <c r="ENM276" s="609"/>
      <c r="ENN276" s="609"/>
      <c r="ENO276" s="609"/>
      <c r="ENP276" s="609"/>
      <c r="ENQ276" s="609"/>
      <c r="ENR276" s="609"/>
      <c r="ENS276" s="609"/>
      <c r="ENT276" s="609"/>
      <c r="ENU276" s="609"/>
      <c r="ENV276" s="609"/>
      <c r="ENW276" s="609"/>
      <c r="ENX276" s="609"/>
      <c r="ENY276" s="609"/>
      <c r="ENZ276" s="609"/>
      <c r="EOA276" s="609"/>
      <c r="EOB276" s="609"/>
      <c r="EOC276" s="609"/>
      <c r="EOD276" s="609"/>
      <c r="EOE276" s="609"/>
      <c r="EOF276" s="609"/>
      <c r="EOG276" s="609"/>
      <c r="EOH276" s="609"/>
      <c r="EOI276" s="609"/>
      <c r="EOJ276" s="609"/>
      <c r="EOK276" s="609"/>
      <c r="EOL276" s="609"/>
      <c r="EOM276" s="609"/>
      <c r="EON276" s="609"/>
      <c r="EOO276" s="609"/>
      <c r="EOP276" s="609"/>
      <c r="EOQ276" s="609"/>
      <c r="EOR276" s="609"/>
      <c r="EOS276" s="609"/>
      <c r="EOT276" s="609"/>
      <c r="EOU276" s="609"/>
      <c r="EOV276" s="609"/>
      <c r="EOW276" s="609"/>
      <c r="EOX276" s="609"/>
      <c r="EOY276" s="609"/>
      <c r="EOZ276" s="609"/>
      <c r="EPA276" s="609"/>
      <c r="EPB276" s="609"/>
      <c r="EPC276" s="609"/>
      <c r="EPD276" s="609"/>
      <c r="EPE276" s="609"/>
      <c r="EPF276" s="609"/>
      <c r="EPG276" s="609"/>
      <c r="EPH276" s="609"/>
      <c r="EPI276" s="609"/>
      <c r="EPJ276" s="609"/>
      <c r="EPK276" s="609"/>
      <c r="EPL276" s="609"/>
      <c r="EPM276" s="609"/>
      <c r="EPN276" s="609"/>
      <c r="EPO276" s="609"/>
      <c r="EPP276" s="609"/>
      <c r="EPQ276" s="609"/>
      <c r="EPR276" s="609"/>
      <c r="EPS276" s="609"/>
      <c r="EPT276" s="609"/>
      <c r="EPU276" s="609"/>
      <c r="EPV276" s="609"/>
      <c r="EPW276" s="609"/>
      <c r="EPX276" s="609"/>
      <c r="EPY276" s="609"/>
      <c r="EPZ276" s="609"/>
      <c r="EQA276" s="609"/>
      <c r="EQB276" s="609"/>
      <c r="EQC276" s="609"/>
      <c r="EQD276" s="609"/>
      <c r="EQE276" s="609"/>
      <c r="EQF276" s="609"/>
      <c r="EQG276" s="609"/>
      <c r="EQH276" s="609"/>
      <c r="EQI276" s="609"/>
      <c r="EQJ276" s="609"/>
      <c r="EQK276" s="609"/>
      <c r="EQL276" s="609"/>
      <c r="EQM276" s="609"/>
      <c r="EQN276" s="609"/>
      <c r="EQO276" s="609"/>
      <c r="EQP276" s="609"/>
      <c r="EQQ276" s="609"/>
      <c r="EQR276" s="609"/>
      <c r="EQS276" s="609"/>
      <c r="EQT276" s="609"/>
      <c r="EQU276" s="609"/>
      <c r="EQV276" s="609"/>
      <c r="EQW276" s="609"/>
      <c r="EQX276" s="609"/>
      <c r="EQY276" s="609"/>
      <c r="EQZ276" s="609"/>
      <c r="ERA276" s="609"/>
      <c r="ERB276" s="609"/>
      <c r="ERC276" s="609"/>
      <c r="ERD276" s="609"/>
      <c r="ERE276" s="609"/>
      <c r="ERF276" s="609"/>
      <c r="ERG276" s="609"/>
      <c r="ERH276" s="609"/>
      <c r="ERI276" s="609"/>
      <c r="ERJ276" s="609"/>
      <c r="ERK276" s="609"/>
      <c r="ERL276" s="609"/>
      <c r="ERM276" s="609"/>
      <c r="ERN276" s="609"/>
      <c r="ERO276" s="609"/>
      <c r="ERP276" s="609"/>
      <c r="ERQ276" s="609"/>
      <c r="ERR276" s="609"/>
      <c r="ERS276" s="609"/>
      <c r="ERT276" s="609"/>
      <c r="ERU276" s="609"/>
      <c r="ERV276" s="609"/>
      <c r="ERW276" s="609"/>
      <c r="ERX276" s="609"/>
      <c r="ERY276" s="609"/>
      <c r="ERZ276" s="609"/>
      <c r="ESA276" s="609"/>
      <c r="ESB276" s="609"/>
      <c r="ESC276" s="609"/>
      <c r="ESD276" s="609"/>
      <c r="ESE276" s="609"/>
      <c r="ESF276" s="609"/>
      <c r="ESG276" s="609"/>
      <c r="ESH276" s="609"/>
      <c r="ESI276" s="609"/>
      <c r="ESJ276" s="609"/>
      <c r="ESK276" s="609"/>
      <c r="ESL276" s="609"/>
      <c r="ESM276" s="609"/>
      <c r="ESN276" s="609"/>
      <c r="ESO276" s="609"/>
      <c r="ESP276" s="609"/>
      <c r="ESQ276" s="609"/>
      <c r="ESR276" s="609"/>
      <c r="ESS276" s="609"/>
      <c r="EST276" s="609"/>
      <c r="ESU276" s="609"/>
      <c r="ESV276" s="609"/>
      <c r="ESW276" s="609"/>
      <c r="ESX276" s="609"/>
      <c r="ESY276" s="609"/>
      <c r="ESZ276" s="609"/>
      <c r="ETA276" s="609"/>
      <c r="ETB276" s="609"/>
      <c r="ETC276" s="609"/>
      <c r="ETD276" s="609"/>
      <c r="ETE276" s="609"/>
      <c r="ETF276" s="609"/>
      <c r="ETG276" s="609"/>
      <c r="ETH276" s="609"/>
      <c r="ETI276" s="609"/>
      <c r="ETJ276" s="609"/>
      <c r="ETK276" s="609"/>
      <c r="ETL276" s="609"/>
      <c r="ETM276" s="609"/>
      <c r="ETN276" s="609"/>
      <c r="ETO276" s="609"/>
      <c r="ETP276" s="609"/>
      <c r="ETQ276" s="609"/>
      <c r="ETR276" s="609"/>
      <c r="ETS276" s="609"/>
      <c r="ETT276" s="609"/>
      <c r="ETU276" s="609"/>
      <c r="ETV276" s="609"/>
      <c r="ETW276" s="609"/>
      <c r="ETX276" s="609"/>
      <c r="ETY276" s="609"/>
      <c r="ETZ276" s="609"/>
      <c r="EUA276" s="609"/>
      <c r="EUB276" s="609"/>
      <c r="EUC276" s="609"/>
      <c r="EUD276" s="609"/>
      <c r="EUE276" s="609"/>
      <c r="EUF276" s="609"/>
      <c r="EUG276" s="609"/>
      <c r="EUH276" s="609"/>
      <c r="EUI276" s="609"/>
      <c r="EUJ276" s="609"/>
      <c r="EUK276" s="609"/>
      <c r="EUL276" s="609"/>
      <c r="EUM276" s="609"/>
      <c r="EUN276" s="609"/>
      <c r="EUO276" s="609"/>
      <c r="EUP276" s="609"/>
      <c r="EUQ276" s="609"/>
      <c r="EUR276" s="609"/>
      <c r="EUS276" s="609"/>
      <c r="EUT276" s="609"/>
      <c r="EUU276" s="609"/>
      <c r="EUV276" s="609"/>
      <c r="EUW276" s="609"/>
      <c r="EUX276" s="609"/>
      <c r="EUY276" s="609"/>
      <c r="EUZ276" s="609"/>
      <c r="EVA276" s="609"/>
      <c r="EVB276" s="609"/>
      <c r="EVC276" s="609"/>
      <c r="EVD276" s="609"/>
      <c r="EVE276" s="609"/>
      <c r="EVF276" s="609"/>
      <c r="EVG276" s="609"/>
      <c r="EVH276" s="609"/>
      <c r="EVI276" s="609"/>
      <c r="EVJ276" s="609"/>
      <c r="EVK276" s="609"/>
      <c r="EVL276" s="609"/>
      <c r="EVM276" s="609"/>
      <c r="EVN276" s="609"/>
      <c r="EVO276" s="609"/>
      <c r="EVP276" s="609"/>
      <c r="EVQ276" s="609"/>
      <c r="EVR276" s="609"/>
      <c r="EVS276" s="609"/>
      <c r="EVT276" s="609"/>
      <c r="EVU276" s="609"/>
      <c r="EVV276" s="609"/>
      <c r="EVW276" s="609"/>
      <c r="EVX276" s="609"/>
      <c r="EVY276" s="609"/>
      <c r="EVZ276" s="609"/>
      <c r="EWA276" s="609"/>
      <c r="EWB276" s="609"/>
      <c r="EWC276" s="609"/>
      <c r="EWD276" s="609"/>
      <c r="EWE276" s="609"/>
      <c r="EWF276" s="609"/>
      <c r="EWG276" s="609"/>
      <c r="EWH276" s="609"/>
      <c r="EWI276" s="609"/>
      <c r="EWJ276" s="609"/>
      <c r="EWK276" s="609"/>
      <c r="EWL276" s="609"/>
      <c r="EWM276" s="609"/>
      <c r="EWN276" s="609"/>
      <c r="EWO276" s="609"/>
      <c r="EWP276" s="609"/>
      <c r="EWQ276" s="609"/>
      <c r="EWR276" s="609"/>
      <c r="EWS276" s="609"/>
      <c r="EWT276" s="609"/>
      <c r="EWU276" s="609"/>
      <c r="EWV276" s="609"/>
      <c r="EWW276" s="609"/>
      <c r="EWX276" s="609"/>
      <c r="EWY276" s="609"/>
      <c r="EWZ276" s="609"/>
      <c r="EXA276" s="609"/>
      <c r="EXB276" s="609"/>
      <c r="EXC276" s="609"/>
      <c r="EXD276" s="609"/>
      <c r="EXE276" s="609"/>
      <c r="EXF276" s="609"/>
      <c r="EXG276" s="609"/>
      <c r="EXH276" s="609"/>
      <c r="EXI276" s="609"/>
      <c r="EXJ276" s="609"/>
      <c r="EXK276" s="609"/>
      <c r="EXL276" s="609"/>
      <c r="EXM276" s="609"/>
      <c r="EXN276" s="609"/>
      <c r="EXO276" s="609"/>
      <c r="EXP276" s="609"/>
      <c r="EXQ276" s="609"/>
      <c r="EXR276" s="609"/>
      <c r="EXS276" s="609"/>
      <c r="EXT276" s="609"/>
      <c r="EXU276" s="609"/>
      <c r="EXV276" s="609"/>
      <c r="EXW276" s="609"/>
      <c r="EXX276" s="609"/>
      <c r="EXY276" s="609"/>
      <c r="EXZ276" s="609"/>
      <c r="EYA276" s="609"/>
      <c r="EYB276" s="609"/>
      <c r="EYC276" s="609"/>
      <c r="EYD276" s="609"/>
      <c r="EYE276" s="609"/>
      <c r="EYF276" s="609"/>
      <c r="EYG276" s="609"/>
      <c r="EYH276" s="609"/>
      <c r="EYI276" s="609"/>
      <c r="EYJ276" s="609"/>
      <c r="EYK276" s="609"/>
      <c r="EYL276" s="609"/>
      <c r="EYM276" s="609"/>
      <c r="EYN276" s="609"/>
      <c r="EYO276" s="609"/>
      <c r="EYP276" s="609"/>
      <c r="EYQ276" s="609"/>
      <c r="EYR276" s="609"/>
      <c r="EYS276" s="609"/>
      <c r="EYT276" s="609"/>
      <c r="EYU276" s="609"/>
      <c r="EYV276" s="609"/>
      <c r="EYW276" s="609"/>
      <c r="EYX276" s="609"/>
      <c r="EYY276" s="609"/>
      <c r="EYZ276" s="609"/>
      <c r="EZA276" s="609"/>
      <c r="EZB276" s="609"/>
      <c r="EZC276" s="609"/>
      <c r="EZD276" s="609"/>
      <c r="EZE276" s="609"/>
      <c r="EZF276" s="609"/>
      <c r="EZG276" s="609"/>
      <c r="EZH276" s="609"/>
      <c r="EZI276" s="609"/>
      <c r="EZJ276" s="609"/>
      <c r="EZK276" s="609"/>
      <c r="EZL276" s="609"/>
      <c r="EZM276" s="609"/>
      <c r="EZN276" s="609"/>
      <c r="EZO276" s="609"/>
      <c r="EZP276" s="609"/>
      <c r="EZQ276" s="609"/>
      <c r="EZR276" s="609"/>
      <c r="EZS276" s="609"/>
      <c r="EZT276" s="609"/>
      <c r="EZU276" s="609"/>
      <c r="EZV276" s="609"/>
      <c r="EZW276" s="609"/>
      <c r="EZX276" s="609"/>
      <c r="EZY276" s="609"/>
      <c r="EZZ276" s="609"/>
      <c r="FAA276" s="609"/>
      <c r="FAB276" s="609"/>
      <c r="FAC276" s="609"/>
      <c r="FAD276" s="609"/>
      <c r="FAE276" s="609"/>
      <c r="FAF276" s="609"/>
      <c r="FAG276" s="609"/>
      <c r="FAH276" s="609"/>
      <c r="FAI276" s="609"/>
      <c r="FAJ276" s="609"/>
      <c r="FAK276" s="609"/>
      <c r="FAL276" s="609"/>
      <c r="FAM276" s="609"/>
      <c r="FAN276" s="609"/>
      <c r="FAO276" s="609"/>
      <c r="FAP276" s="609"/>
      <c r="FAQ276" s="609"/>
      <c r="FAR276" s="609"/>
      <c r="FAS276" s="609"/>
      <c r="FAT276" s="609"/>
      <c r="FAU276" s="609"/>
      <c r="FAV276" s="609"/>
      <c r="FAW276" s="609"/>
      <c r="FAX276" s="609"/>
      <c r="FAY276" s="609"/>
      <c r="FAZ276" s="609"/>
      <c r="FBA276" s="609"/>
      <c r="FBB276" s="609"/>
      <c r="FBC276" s="609"/>
      <c r="FBD276" s="609"/>
      <c r="FBE276" s="609"/>
      <c r="FBF276" s="609"/>
      <c r="FBG276" s="609"/>
      <c r="FBH276" s="609"/>
      <c r="FBI276" s="609"/>
      <c r="FBJ276" s="609"/>
      <c r="FBK276" s="609"/>
      <c r="FBL276" s="609"/>
      <c r="FBM276" s="609"/>
      <c r="FBN276" s="609"/>
      <c r="FBO276" s="609"/>
      <c r="FBP276" s="609"/>
      <c r="FBQ276" s="609"/>
      <c r="FBR276" s="609"/>
      <c r="FBS276" s="609"/>
      <c r="FBT276" s="609"/>
      <c r="FBU276" s="609"/>
      <c r="FBV276" s="609"/>
      <c r="FBW276" s="609"/>
      <c r="FBX276" s="609"/>
      <c r="FBY276" s="609"/>
      <c r="FBZ276" s="609"/>
      <c r="FCA276" s="609"/>
      <c r="FCB276" s="609"/>
      <c r="FCC276" s="609"/>
      <c r="FCD276" s="609"/>
      <c r="FCE276" s="609"/>
      <c r="FCF276" s="609"/>
      <c r="FCG276" s="609"/>
      <c r="FCH276" s="609"/>
      <c r="FCI276" s="609"/>
      <c r="FCJ276" s="609"/>
      <c r="FCK276" s="609"/>
      <c r="FCL276" s="609"/>
      <c r="FCM276" s="609"/>
      <c r="FCN276" s="609"/>
      <c r="FCO276" s="609"/>
      <c r="FCP276" s="609"/>
      <c r="FCQ276" s="609"/>
      <c r="FCR276" s="609"/>
      <c r="FCS276" s="609"/>
      <c r="FCT276" s="609"/>
      <c r="FCU276" s="609"/>
      <c r="FCV276" s="609"/>
      <c r="FCW276" s="609"/>
      <c r="FCX276" s="609"/>
      <c r="FCY276" s="609"/>
      <c r="FCZ276" s="609"/>
      <c r="FDA276" s="609"/>
      <c r="FDB276" s="609"/>
      <c r="FDC276" s="609"/>
      <c r="FDD276" s="609"/>
      <c r="FDE276" s="609"/>
      <c r="FDF276" s="609"/>
      <c r="FDG276" s="609"/>
      <c r="FDH276" s="609"/>
      <c r="FDI276" s="609"/>
      <c r="FDJ276" s="609"/>
      <c r="FDK276" s="609"/>
      <c r="FDL276" s="609"/>
      <c r="FDM276" s="609"/>
      <c r="FDN276" s="609"/>
      <c r="FDO276" s="609"/>
      <c r="FDP276" s="609"/>
      <c r="FDQ276" s="609"/>
      <c r="FDR276" s="609"/>
      <c r="FDS276" s="609"/>
      <c r="FDT276" s="609"/>
      <c r="FDU276" s="609"/>
      <c r="FDV276" s="609"/>
      <c r="FDW276" s="609"/>
      <c r="FDX276" s="609"/>
      <c r="FDY276" s="609"/>
      <c r="FDZ276" s="609"/>
      <c r="FEA276" s="609"/>
      <c r="FEB276" s="609"/>
      <c r="FEC276" s="609"/>
      <c r="FED276" s="609"/>
      <c r="FEE276" s="609"/>
      <c r="FEF276" s="609"/>
      <c r="FEG276" s="609"/>
      <c r="FEH276" s="609"/>
      <c r="FEI276" s="609"/>
      <c r="FEJ276" s="609"/>
      <c r="FEK276" s="609"/>
      <c r="FEL276" s="609"/>
      <c r="FEM276" s="609"/>
      <c r="FEN276" s="609"/>
      <c r="FEO276" s="609"/>
      <c r="FEP276" s="609"/>
      <c r="FEQ276" s="609"/>
      <c r="FER276" s="609"/>
      <c r="FES276" s="609"/>
      <c r="FET276" s="609"/>
      <c r="FEU276" s="609"/>
      <c r="FEV276" s="609"/>
      <c r="FEW276" s="609"/>
      <c r="FEX276" s="609"/>
      <c r="FEY276" s="609"/>
      <c r="FEZ276" s="609"/>
      <c r="FFA276" s="609"/>
      <c r="FFB276" s="609"/>
      <c r="FFC276" s="609"/>
      <c r="FFD276" s="609"/>
      <c r="FFE276" s="609"/>
      <c r="FFF276" s="609"/>
      <c r="FFG276" s="609"/>
      <c r="FFH276" s="609"/>
      <c r="FFI276" s="609"/>
      <c r="FFJ276" s="609"/>
      <c r="FFK276" s="609"/>
      <c r="FFL276" s="609"/>
      <c r="FFM276" s="609"/>
      <c r="FFN276" s="609"/>
      <c r="FFO276" s="609"/>
      <c r="FFP276" s="609"/>
      <c r="FFQ276" s="609"/>
      <c r="FFR276" s="609"/>
      <c r="FFS276" s="609"/>
      <c r="FFT276" s="609"/>
      <c r="FFU276" s="609"/>
      <c r="FFV276" s="609"/>
      <c r="FFW276" s="609"/>
      <c r="FFX276" s="609"/>
      <c r="FFY276" s="609"/>
      <c r="FFZ276" s="609"/>
      <c r="FGA276" s="609"/>
      <c r="FGB276" s="609"/>
      <c r="FGC276" s="609"/>
      <c r="FGD276" s="609"/>
      <c r="FGE276" s="609"/>
      <c r="FGF276" s="609"/>
      <c r="FGG276" s="609"/>
      <c r="FGH276" s="609"/>
      <c r="FGI276" s="609"/>
      <c r="FGJ276" s="609"/>
      <c r="FGK276" s="609"/>
      <c r="FGL276" s="609"/>
      <c r="FGM276" s="609"/>
      <c r="FGN276" s="609"/>
      <c r="FGO276" s="609"/>
      <c r="FGP276" s="609"/>
      <c r="FGQ276" s="609"/>
      <c r="FGR276" s="609"/>
      <c r="FGS276" s="609"/>
      <c r="FGT276" s="609"/>
      <c r="FGU276" s="609"/>
      <c r="FGV276" s="609"/>
      <c r="FGW276" s="609"/>
      <c r="FGX276" s="609"/>
      <c r="FGY276" s="609"/>
      <c r="FGZ276" s="609"/>
      <c r="FHA276" s="609"/>
      <c r="FHB276" s="609"/>
      <c r="FHC276" s="609"/>
      <c r="FHD276" s="609"/>
      <c r="FHE276" s="609"/>
      <c r="FHF276" s="609"/>
      <c r="FHG276" s="609"/>
      <c r="FHH276" s="609"/>
      <c r="FHI276" s="609"/>
      <c r="FHJ276" s="609"/>
      <c r="FHK276" s="609"/>
      <c r="FHL276" s="609"/>
      <c r="FHM276" s="609"/>
      <c r="FHN276" s="609"/>
      <c r="FHO276" s="609"/>
      <c r="FHP276" s="609"/>
      <c r="FHQ276" s="609"/>
      <c r="FHR276" s="609"/>
      <c r="FHS276" s="609"/>
      <c r="FHT276" s="609"/>
      <c r="FHU276" s="609"/>
      <c r="FHV276" s="609"/>
      <c r="FHW276" s="609"/>
      <c r="FHX276" s="609"/>
      <c r="FHY276" s="609"/>
      <c r="FHZ276" s="609"/>
      <c r="FIA276" s="609"/>
      <c r="FIB276" s="609"/>
      <c r="FIC276" s="609"/>
      <c r="FID276" s="609"/>
      <c r="FIE276" s="609"/>
      <c r="FIF276" s="609"/>
      <c r="FIG276" s="609"/>
      <c r="FIH276" s="609"/>
      <c r="FII276" s="609"/>
      <c r="FIJ276" s="609"/>
      <c r="FIK276" s="609"/>
      <c r="FIL276" s="609"/>
      <c r="FIM276" s="609"/>
      <c r="FIN276" s="609"/>
      <c r="FIO276" s="609"/>
      <c r="FIP276" s="609"/>
      <c r="FIQ276" s="609"/>
      <c r="FIR276" s="609"/>
      <c r="FIS276" s="609"/>
      <c r="FIT276" s="609"/>
      <c r="FIU276" s="609"/>
      <c r="FIV276" s="609"/>
      <c r="FIW276" s="609"/>
      <c r="FIX276" s="609"/>
      <c r="FIY276" s="609"/>
      <c r="FIZ276" s="609"/>
      <c r="FJA276" s="609"/>
      <c r="FJB276" s="609"/>
      <c r="FJC276" s="609"/>
      <c r="FJD276" s="609"/>
      <c r="FJE276" s="609"/>
      <c r="FJF276" s="609"/>
      <c r="FJG276" s="609"/>
      <c r="FJH276" s="609"/>
      <c r="FJI276" s="609"/>
      <c r="FJJ276" s="609"/>
      <c r="FJK276" s="609"/>
      <c r="FJL276" s="609"/>
      <c r="FJM276" s="609"/>
      <c r="FJN276" s="609"/>
      <c r="FJO276" s="609"/>
      <c r="FJP276" s="609"/>
      <c r="FJQ276" s="609"/>
      <c r="FJR276" s="609"/>
      <c r="FJS276" s="609"/>
      <c r="FJT276" s="609"/>
      <c r="FJU276" s="609"/>
      <c r="FJV276" s="609"/>
      <c r="FJW276" s="609"/>
      <c r="FJX276" s="609"/>
      <c r="FJY276" s="609"/>
      <c r="FJZ276" s="609"/>
      <c r="FKA276" s="609"/>
      <c r="FKB276" s="609"/>
      <c r="FKC276" s="609"/>
      <c r="FKD276" s="609"/>
      <c r="FKE276" s="609"/>
      <c r="FKF276" s="609"/>
      <c r="FKG276" s="609"/>
      <c r="FKH276" s="609"/>
      <c r="FKI276" s="609"/>
      <c r="FKJ276" s="609"/>
      <c r="FKK276" s="609"/>
      <c r="FKL276" s="609"/>
      <c r="FKM276" s="609"/>
      <c r="FKN276" s="609"/>
      <c r="FKO276" s="609"/>
      <c r="FKP276" s="609"/>
      <c r="FKQ276" s="609"/>
      <c r="FKR276" s="609"/>
      <c r="FKS276" s="609"/>
      <c r="FKT276" s="609"/>
      <c r="FKU276" s="609"/>
      <c r="FKV276" s="609"/>
      <c r="FKW276" s="609"/>
      <c r="FKX276" s="609"/>
      <c r="FKY276" s="609"/>
      <c r="FKZ276" s="609"/>
      <c r="FLA276" s="609"/>
      <c r="FLB276" s="609"/>
      <c r="FLC276" s="609"/>
      <c r="FLD276" s="609"/>
      <c r="FLE276" s="609"/>
      <c r="FLF276" s="609"/>
      <c r="FLG276" s="609"/>
      <c r="FLH276" s="609"/>
      <c r="FLI276" s="609"/>
      <c r="FLJ276" s="609"/>
      <c r="FLK276" s="609"/>
      <c r="FLL276" s="609"/>
      <c r="FLM276" s="609"/>
      <c r="FLN276" s="609"/>
      <c r="FLO276" s="609"/>
      <c r="FLP276" s="609"/>
      <c r="FLQ276" s="609"/>
      <c r="FLR276" s="609"/>
      <c r="FLS276" s="609"/>
      <c r="FLT276" s="609"/>
      <c r="FLU276" s="609"/>
      <c r="FLV276" s="609"/>
      <c r="FLW276" s="609"/>
      <c r="FLX276" s="609"/>
      <c r="FLY276" s="609"/>
      <c r="FLZ276" s="609"/>
      <c r="FMA276" s="609"/>
      <c r="FMB276" s="609"/>
      <c r="FMC276" s="609"/>
      <c r="FMD276" s="609"/>
      <c r="FME276" s="609"/>
      <c r="FMF276" s="609"/>
      <c r="FMG276" s="609"/>
      <c r="FMH276" s="609"/>
      <c r="FMI276" s="609"/>
      <c r="FMJ276" s="609"/>
      <c r="FMK276" s="609"/>
      <c r="FML276" s="609"/>
      <c r="FMM276" s="609"/>
      <c r="FMN276" s="609"/>
      <c r="FMO276" s="609"/>
      <c r="FMP276" s="609"/>
      <c r="FMQ276" s="609"/>
      <c r="FMR276" s="609"/>
      <c r="FMS276" s="609"/>
      <c r="FMT276" s="609"/>
      <c r="FMU276" s="609"/>
      <c r="FMV276" s="609"/>
      <c r="FMW276" s="609"/>
      <c r="FMX276" s="609"/>
      <c r="FMY276" s="609"/>
      <c r="FMZ276" s="609"/>
      <c r="FNA276" s="609"/>
      <c r="FNB276" s="609"/>
      <c r="FNC276" s="609"/>
      <c r="FND276" s="609"/>
      <c r="FNE276" s="609"/>
      <c r="FNF276" s="609"/>
      <c r="FNG276" s="609"/>
      <c r="FNH276" s="609"/>
      <c r="FNI276" s="609"/>
      <c r="FNJ276" s="609"/>
      <c r="FNK276" s="609"/>
      <c r="FNL276" s="609"/>
      <c r="FNM276" s="609"/>
      <c r="FNN276" s="609"/>
      <c r="FNO276" s="609"/>
      <c r="FNP276" s="609"/>
      <c r="FNQ276" s="609"/>
      <c r="FNR276" s="609"/>
      <c r="FNS276" s="609"/>
      <c r="FNT276" s="609"/>
      <c r="FNU276" s="609"/>
      <c r="FNV276" s="609"/>
      <c r="FNW276" s="609"/>
      <c r="FNX276" s="609"/>
      <c r="FNY276" s="609"/>
      <c r="FNZ276" s="609"/>
      <c r="FOA276" s="609"/>
      <c r="FOB276" s="609"/>
      <c r="FOC276" s="609"/>
      <c r="FOD276" s="609"/>
      <c r="FOE276" s="609"/>
      <c r="FOF276" s="609"/>
      <c r="FOG276" s="609"/>
      <c r="FOH276" s="609"/>
      <c r="FOI276" s="609"/>
      <c r="FOJ276" s="609"/>
      <c r="FOK276" s="609"/>
      <c r="FOL276" s="609"/>
      <c r="FOM276" s="609"/>
      <c r="FON276" s="609"/>
      <c r="FOO276" s="609"/>
      <c r="FOP276" s="609"/>
      <c r="FOQ276" s="609"/>
      <c r="FOR276" s="609"/>
      <c r="FOS276" s="609"/>
      <c r="FOT276" s="609"/>
      <c r="FOU276" s="609"/>
      <c r="FOV276" s="609"/>
      <c r="FOW276" s="609"/>
      <c r="FOX276" s="609"/>
      <c r="FOY276" s="609"/>
      <c r="FOZ276" s="609"/>
      <c r="FPA276" s="609"/>
      <c r="FPB276" s="609"/>
      <c r="FPC276" s="609"/>
      <c r="FPD276" s="609"/>
      <c r="FPE276" s="609"/>
      <c r="FPF276" s="609"/>
      <c r="FPG276" s="609"/>
      <c r="FPH276" s="609"/>
      <c r="FPI276" s="609"/>
      <c r="FPJ276" s="609"/>
      <c r="FPK276" s="609"/>
      <c r="FPL276" s="609"/>
      <c r="FPM276" s="609"/>
      <c r="FPN276" s="609"/>
      <c r="FPO276" s="609"/>
      <c r="FPP276" s="609"/>
      <c r="FPQ276" s="609"/>
      <c r="FPR276" s="609"/>
      <c r="FPS276" s="609"/>
      <c r="FPT276" s="609"/>
      <c r="FPU276" s="609"/>
      <c r="FPV276" s="609"/>
      <c r="FPW276" s="609"/>
      <c r="FPX276" s="609"/>
      <c r="FPY276" s="609"/>
      <c r="FPZ276" s="609"/>
      <c r="FQA276" s="609"/>
      <c r="FQB276" s="609"/>
      <c r="FQC276" s="609"/>
      <c r="FQD276" s="609"/>
      <c r="FQE276" s="609"/>
      <c r="FQF276" s="609"/>
      <c r="FQG276" s="609"/>
      <c r="FQH276" s="609"/>
      <c r="FQI276" s="609"/>
      <c r="FQJ276" s="609"/>
      <c r="FQK276" s="609"/>
      <c r="FQL276" s="609"/>
      <c r="FQM276" s="609"/>
      <c r="FQN276" s="609"/>
      <c r="FQO276" s="609"/>
      <c r="FQP276" s="609"/>
      <c r="FQQ276" s="609"/>
      <c r="FQR276" s="609"/>
      <c r="FQS276" s="609"/>
      <c r="FQT276" s="609"/>
      <c r="FQU276" s="609"/>
      <c r="FQV276" s="609"/>
      <c r="FQW276" s="609"/>
      <c r="FQX276" s="609"/>
      <c r="FQY276" s="609"/>
      <c r="FQZ276" s="609"/>
      <c r="FRA276" s="609"/>
      <c r="FRB276" s="609"/>
      <c r="FRC276" s="609"/>
      <c r="FRD276" s="609"/>
      <c r="FRE276" s="609"/>
      <c r="FRF276" s="609"/>
      <c r="FRG276" s="609"/>
      <c r="FRH276" s="609"/>
      <c r="FRI276" s="609"/>
      <c r="FRJ276" s="609"/>
      <c r="FRK276" s="609"/>
      <c r="FRL276" s="609"/>
      <c r="FRM276" s="609"/>
      <c r="FRN276" s="609"/>
      <c r="FRO276" s="609"/>
      <c r="FRP276" s="609"/>
      <c r="FRQ276" s="609"/>
      <c r="FRR276" s="609"/>
      <c r="FRS276" s="609"/>
      <c r="FRT276" s="609"/>
      <c r="FRU276" s="609"/>
      <c r="FRV276" s="609"/>
      <c r="FRW276" s="609"/>
      <c r="FRX276" s="609"/>
      <c r="FRY276" s="609"/>
      <c r="FRZ276" s="609"/>
      <c r="FSA276" s="609"/>
      <c r="FSB276" s="609"/>
      <c r="FSC276" s="609"/>
      <c r="FSD276" s="609"/>
      <c r="FSE276" s="609"/>
      <c r="FSF276" s="609"/>
      <c r="FSG276" s="609"/>
      <c r="FSH276" s="609"/>
      <c r="FSI276" s="609"/>
      <c r="FSJ276" s="609"/>
      <c r="FSK276" s="609"/>
      <c r="FSL276" s="609"/>
      <c r="FSM276" s="609"/>
      <c r="FSN276" s="609"/>
      <c r="FSO276" s="609"/>
      <c r="FSP276" s="609"/>
      <c r="FSQ276" s="609"/>
      <c r="FSR276" s="609"/>
      <c r="FSS276" s="609"/>
      <c r="FST276" s="609"/>
      <c r="FSU276" s="609"/>
      <c r="FSV276" s="609"/>
      <c r="FSW276" s="609"/>
      <c r="FSX276" s="609"/>
      <c r="FSY276" s="609"/>
      <c r="FSZ276" s="609"/>
      <c r="FTA276" s="609"/>
      <c r="FTB276" s="609"/>
      <c r="FTC276" s="609"/>
      <c r="FTD276" s="609"/>
      <c r="FTE276" s="609"/>
      <c r="FTF276" s="609"/>
      <c r="FTG276" s="609"/>
      <c r="FTH276" s="609"/>
      <c r="FTI276" s="609"/>
      <c r="FTJ276" s="609"/>
      <c r="FTK276" s="609"/>
      <c r="FTL276" s="609"/>
      <c r="FTM276" s="609"/>
      <c r="FTN276" s="609"/>
      <c r="FTO276" s="609"/>
      <c r="FTP276" s="609"/>
      <c r="FTQ276" s="609"/>
      <c r="FTR276" s="609"/>
      <c r="FTS276" s="609"/>
      <c r="FTT276" s="609"/>
      <c r="FTU276" s="609"/>
      <c r="FTV276" s="609"/>
      <c r="FTW276" s="609"/>
      <c r="FTX276" s="609"/>
      <c r="FTY276" s="609"/>
      <c r="FTZ276" s="609"/>
      <c r="FUA276" s="609"/>
      <c r="FUB276" s="609"/>
      <c r="FUC276" s="609"/>
      <c r="FUD276" s="609"/>
      <c r="FUE276" s="609"/>
      <c r="FUF276" s="609"/>
      <c r="FUG276" s="609"/>
      <c r="FUH276" s="609"/>
      <c r="FUI276" s="609"/>
      <c r="FUJ276" s="609"/>
      <c r="FUK276" s="609"/>
      <c r="FUL276" s="609"/>
      <c r="FUM276" s="609"/>
      <c r="FUN276" s="609"/>
      <c r="FUO276" s="609"/>
      <c r="FUP276" s="609"/>
      <c r="FUQ276" s="609"/>
      <c r="FUR276" s="609"/>
      <c r="FUS276" s="609"/>
      <c r="FUT276" s="609"/>
      <c r="FUU276" s="609"/>
      <c r="FUV276" s="609"/>
      <c r="FUW276" s="609"/>
      <c r="FUX276" s="609"/>
      <c r="FUY276" s="609"/>
      <c r="FUZ276" s="609"/>
      <c r="FVA276" s="609"/>
      <c r="FVB276" s="609"/>
      <c r="FVC276" s="609"/>
      <c r="FVD276" s="609"/>
      <c r="FVE276" s="609"/>
      <c r="FVF276" s="609"/>
      <c r="FVG276" s="609"/>
      <c r="FVH276" s="609"/>
      <c r="FVI276" s="609"/>
      <c r="FVJ276" s="609"/>
      <c r="FVK276" s="609"/>
      <c r="FVL276" s="609"/>
      <c r="FVM276" s="609"/>
      <c r="FVN276" s="609"/>
      <c r="FVO276" s="609"/>
      <c r="FVP276" s="609"/>
      <c r="FVQ276" s="609"/>
      <c r="FVR276" s="609"/>
      <c r="FVS276" s="609"/>
      <c r="FVT276" s="609"/>
      <c r="FVU276" s="609"/>
      <c r="FVV276" s="609"/>
      <c r="FVW276" s="609"/>
      <c r="FVX276" s="609"/>
      <c r="FVY276" s="609"/>
      <c r="FVZ276" s="609"/>
      <c r="FWA276" s="609"/>
      <c r="FWB276" s="609"/>
      <c r="FWC276" s="609"/>
      <c r="FWD276" s="609"/>
      <c r="FWE276" s="609"/>
      <c r="FWF276" s="609"/>
      <c r="FWG276" s="609"/>
      <c r="FWH276" s="609"/>
      <c r="FWI276" s="609"/>
      <c r="FWJ276" s="609"/>
      <c r="FWK276" s="609"/>
      <c r="FWL276" s="609"/>
      <c r="FWM276" s="609"/>
      <c r="FWN276" s="609"/>
      <c r="FWO276" s="609"/>
      <c r="FWP276" s="609"/>
      <c r="FWQ276" s="609"/>
      <c r="FWR276" s="609"/>
      <c r="FWS276" s="609"/>
      <c r="FWT276" s="609"/>
      <c r="FWU276" s="609"/>
      <c r="FWV276" s="609"/>
      <c r="FWW276" s="609"/>
      <c r="FWX276" s="609"/>
      <c r="FWY276" s="609"/>
      <c r="FWZ276" s="609"/>
      <c r="FXA276" s="609"/>
      <c r="FXB276" s="609"/>
      <c r="FXC276" s="609"/>
      <c r="FXD276" s="609"/>
      <c r="FXE276" s="609"/>
      <c r="FXF276" s="609"/>
      <c r="FXG276" s="609"/>
      <c r="FXH276" s="609"/>
      <c r="FXI276" s="609"/>
      <c r="FXJ276" s="609"/>
      <c r="FXK276" s="609"/>
      <c r="FXL276" s="609"/>
      <c r="FXM276" s="609"/>
      <c r="FXN276" s="609"/>
      <c r="FXO276" s="609"/>
      <c r="FXP276" s="609"/>
      <c r="FXQ276" s="609"/>
      <c r="FXR276" s="609"/>
      <c r="FXS276" s="609"/>
      <c r="FXT276" s="609"/>
      <c r="FXU276" s="609"/>
      <c r="FXV276" s="609"/>
      <c r="FXW276" s="609"/>
      <c r="FXX276" s="609"/>
      <c r="FXY276" s="609"/>
      <c r="FXZ276" s="609"/>
      <c r="FYA276" s="609"/>
      <c r="FYB276" s="609"/>
      <c r="FYC276" s="609"/>
      <c r="FYD276" s="609"/>
      <c r="FYE276" s="609"/>
      <c r="FYF276" s="609"/>
      <c r="FYG276" s="609"/>
      <c r="FYH276" s="609"/>
      <c r="FYI276" s="609"/>
      <c r="FYJ276" s="609"/>
      <c r="FYK276" s="609"/>
      <c r="FYL276" s="609"/>
      <c r="FYM276" s="609"/>
      <c r="FYN276" s="609"/>
      <c r="FYO276" s="609"/>
      <c r="FYP276" s="609"/>
      <c r="FYQ276" s="609"/>
      <c r="FYR276" s="609"/>
      <c r="FYS276" s="609"/>
      <c r="FYT276" s="609"/>
      <c r="FYU276" s="609"/>
      <c r="FYV276" s="609"/>
      <c r="FYW276" s="609"/>
      <c r="FYX276" s="609"/>
      <c r="FYY276" s="609"/>
      <c r="FYZ276" s="609"/>
      <c r="FZA276" s="609"/>
      <c r="FZB276" s="609"/>
      <c r="FZC276" s="609"/>
      <c r="FZD276" s="609"/>
      <c r="FZE276" s="609"/>
      <c r="FZF276" s="609"/>
      <c r="FZG276" s="609"/>
      <c r="FZH276" s="609"/>
      <c r="FZI276" s="609"/>
      <c r="FZJ276" s="609"/>
      <c r="FZK276" s="609"/>
      <c r="FZL276" s="609"/>
      <c r="FZM276" s="609"/>
      <c r="FZN276" s="609"/>
      <c r="FZO276" s="609"/>
      <c r="FZP276" s="609"/>
      <c r="FZQ276" s="609"/>
      <c r="FZR276" s="609"/>
      <c r="FZS276" s="609"/>
      <c r="FZT276" s="609"/>
      <c r="FZU276" s="609"/>
      <c r="FZV276" s="609"/>
      <c r="FZW276" s="609"/>
      <c r="FZX276" s="609"/>
      <c r="FZY276" s="609"/>
      <c r="FZZ276" s="609"/>
      <c r="GAA276" s="609"/>
      <c r="GAB276" s="609"/>
      <c r="GAC276" s="609"/>
      <c r="GAD276" s="609"/>
      <c r="GAE276" s="609"/>
      <c r="GAF276" s="609"/>
      <c r="GAG276" s="609"/>
      <c r="GAH276" s="609"/>
      <c r="GAI276" s="609"/>
      <c r="GAJ276" s="609"/>
      <c r="GAK276" s="609"/>
      <c r="GAL276" s="609"/>
      <c r="GAM276" s="609"/>
      <c r="GAN276" s="609"/>
      <c r="GAO276" s="609"/>
      <c r="GAP276" s="609"/>
      <c r="GAQ276" s="609"/>
      <c r="GAR276" s="609"/>
      <c r="GAS276" s="609"/>
      <c r="GAT276" s="609"/>
      <c r="GAU276" s="609"/>
      <c r="GAV276" s="609"/>
      <c r="GAW276" s="609"/>
      <c r="GAX276" s="609"/>
      <c r="GAY276" s="609"/>
      <c r="GAZ276" s="609"/>
      <c r="GBA276" s="609"/>
      <c r="GBB276" s="609"/>
      <c r="GBC276" s="609"/>
      <c r="GBD276" s="609"/>
      <c r="GBE276" s="609"/>
      <c r="GBF276" s="609"/>
      <c r="GBG276" s="609"/>
      <c r="GBH276" s="609"/>
      <c r="GBI276" s="609"/>
      <c r="GBJ276" s="609"/>
      <c r="GBK276" s="609"/>
      <c r="GBL276" s="609"/>
      <c r="GBM276" s="609"/>
      <c r="GBN276" s="609"/>
      <c r="GBO276" s="609"/>
      <c r="GBP276" s="609"/>
      <c r="GBQ276" s="609"/>
      <c r="GBR276" s="609"/>
      <c r="GBS276" s="609"/>
      <c r="GBT276" s="609"/>
      <c r="GBU276" s="609"/>
      <c r="GBV276" s="609"/>
      <c r="GBW276" s="609"/>
      <c r="GBX276" s="609"/>
      <c r="GBY276" s="609"/>
      <c r="GBZ276" s="609"/>
      <c r="GCA276" s="609"/>
      <c r="GCB276" s="609"/>
      <c r="GCC276" s="609"/>
      <c r="GCD276" s="609"/>
      <c r="GCE276" s="609"/>
      <c r="GCF276" s="609"/>
      <c r="GCG276" s="609"/>
      <c r="GCH276" s="609"/>
      <c r="GCI276" s="609"/>
      <c r="GCJ276" s="609"/>
      <c r="GCK276" s="609"/>
      <c r="GCL276" s="609"/>
      <c r="GCM276" s="609"/>
      <c r="GCN276" s="609"/>
      <c r="GCO276" s="609"/>
      <c r="GCP276" s="609"/>
      <c r="GCQ276" s="609"/>
      <c r="GCR276" s="609"/>
      <c r="GCS276" s="609"/>
      <c r="GCT276" s="609"/>
      <c r="GCU276" s="609"/>
      <c r="GCV276" s="609"/>
      <c r="GCW276" s="609"/>
      <c r="GCX276" s="609"/>
      <c r="GCY276" s="609"/>
      <c r="GCZ276" s="609"/>
      <c r="GDA276" s="609"/>
      <c r="GDB276" s="609"/>
      <c r="GDC276" s="609"/>
      <c r="GDD276" s="609"/>
      <c r="GDE276" s="609"/>
      <c r="GDF276" s="609"/>
      <c r="GDG276" s="609"/>
      <c r="GDH276" s="609"/>
      <c r="GDI276" s="609"/>
      <c r="GDJ276" s="609"/>
      <c r="GDK276" s="609"/>
      <c r="GDL276" s="609"/>
      <c r="GDM276" s="609"/>
      <c r="GDN276" s="609"/>
      <c r="GDO276" s="609"/>
      <c r="GDP276" s="609"/>
      <c r="GDQ276" s="609"/>
      <c r="GDR276" s="609"/>
      <c r="GDS276" s="609"/>
      <c r="GDT276" s="609"/>
      <c r="GDU276" s="609"/>
      <c r="GDV276" s="609"/>
      <c r="GDW276" s="609"/>
      <c r="GDX276" s="609"/>
      <c r="GDY276" s="609"/>
      <c r="GDZ276" s="609"/>
      <c r="GEA276" s="609"/>
      <c r="GEB276" s="609"/>
      <c r="GEC276" s="609"/>
      <c r="GED276" s="609"/>
      <c r="GEE276" s="609"/>
      <c r="GEF276" s="609"/>
      <c r="GEG276" s="609"/>
      <c r="GEH276" s="609"/>
      <c r="GEI276" s="609"/>
      <c r="GEJ276" s="609"/>
      <c r="GEK276" s="609"/>
      <c r="GEL276" s="609"/>
      <c r="GEM276" s="609"/>
      <c r="GEN276" s="609"/>
      <c r="GEO276" s="609"/>
      <c r="GEP276" s="609"/>
      <c r="GEQ276" s="609"/>
      <c r="GER276" s="609"/>
      <c r="GES276" s="609"/>
      <c r="GET276" s="609"/>
      <c r="GEU276" s="609"/>
      <c r="GEV276" s="609"/>
      <c r="GEW276" s="609"/>
      <c r="GEX276" s="609"/>
      <c r="GEY276" s="609"/>
      <c r="GEZ276" s="609"/>
      <c r="GFA276" s="609"/>
      <c r="GFB276" s="609"/>
      <c r="GFC276" s="609"/>
      <c r="GFD276" s="609"/>
      <c r="GFE276" s="609"/>
      <c r="GFF276" s="609"/>
      <c r="GFG276" s="609"/>
      <c r="GFH276" s="609"/>
      <c r="GFI276" s="609"/>
      <c r="GFJ276" s="609"/>
      <c r="GFK276" s="609"/>
      <c r="GFL276" s="609"/>
      <c r="GFM276" s="609"/>
      <c r="GFN276" s="609"/>
      <c r="GFO276" s="609"/>
      <c r="GFP276" s="609"/>
      <c r="GFQ276" s="609"/>
      <c r="GFR276" s="609"/>
      <c r="GFS276" s="609"/>
      <c r="GFT276" s="609"/>
      <c r="GFU276" s="609"/>
      <c r="GFV276" s="609"/>
      <c r="GFW276" s="609"/>
      <c r="GFX276" s="609"/>
      <c r="GFY276" s="609"/>
      <c r="GFZ276" s="609"/>
      <c r="GGA276" s="609"/>
      <c r="GGB276" s="609"/>
      <c r="GGC276" s="609"/>
      <c r="GGD276" s="609"/>
      <c r="GGE276" s="609"/>
      <c r="GGF276" s="609"/>
      <c r="GGG276" s="609"/>
      <c r="GGH276" s="609"/>
      <c r="GGI276" s="609"/>
      <c r="GGJ276" s="609"/>
      <c r="GGK276" s="609"/>
      <c r="GGL276" s="609"/>
      <c r="GGM276" s="609"/>
      <c r="GGN276" s="609"/>
      <c r="GGO276" s="609"/>
      <c r="GGP276" s="609"/>
      <c r="GGQ276" s="609"/>
      <c r="GGR276" s="609"/>
      <c r="GGS276" s="609"/>
      <c r="GGT276" s="609"/>
      <c r="GGU276" s="609"/>
      <c r="GGV276" s="609"/>
      <c r="GGW276" s="609"/>
      <c r="GGX276" s="609"/>
      <c r="GGY276" s="609"/>
      <c r="GGZ276" s="609"/>
      <c r="GHA276" s="609"/>
      <c r="GHB276" s="609"/>
      <c r="GHC276" s="609"/>
      <c r="GHD276" s="609"/>
      <c r="GHE276" s="609"/>
      <c r="GHF276" s="609"/>
      <c r="GHG276" s="609"/>
      <c r="GHH276" s="609"/>
      <c r="GHI276" s="609"/>
      <c r="GHJ276" s="609"/>
      <c r="GHK276" s="609"/>
      <c r="GHL276" s="609"/>
      <c r="GHM276" s="609"/>
      <c r="GHN276" s="609"/>
      <c r="GHO276" s="609"/>
      <c r="GHP276" s="609"/>
      <c r="GHQ276" s="609"/>
      <c r="GHR276" s="609"/>
      <c r="GHS276" s="609"/>
      <c r="GHT276" s="609"/>
      <c r="GHU276" s="609"/>
      <c r="GHV276" s="609"/>
      <c r="GHW276" s="609"/>
      <c r="GHX276" s="609"/>
      <c r="GHY276" s="609"/>
      <c r="GHZ276" s="609"/>
      <c r="GIA276" s="609"/>
      <c r="GIB276" s="609"/>
      <c r="GIC276" s="609"/>
      <c r="GID276" s="609"/>
      <c r="GIE276" s="609"/>
      <c r="GIF276" s="609"/>
      <c r="GIG276" s="609"/>
      <c r="GIH276" s="609"/>
      <c r="GII276" s="609"/>
      <c r="GIJ276" s="609"/>
      <c r="GIK276" s="609"/>
      <c r="GIL276" s="609"/>
      <c r="GIM276" s="609"/>
      <c r="GIN276" s="609"/>
      <c r="GIO276" s="609"/>
      <c r="GIP276" s="609"/>
      <c r="GIQ276" s="609"/>
      <c r="GIR276" s="609"/>
      <c r="GIS276" s="609"/>
      <c r="GIT276" s="609"/>
      <c r="GIU276" s="609"/>
      <c r="GIV276" s="609"/>
      <c r="GIW276" s="609"/>
      <c r="GIX276" s="609"/>
      <c r="GIY276" s="609"/>
      <c r="GIZ276" s="609"/>
      <c r="GJA276" s="609"/>
      <c r="GJB276" s="609"/>
      <c r="GJC276" s="609"/>
      <c r="GJD276" s="609"/>
      <c r="GJE276" s="609"/>
      <c r="GJF276" s="609"/>
      <c r="GJG276" s="609"/>
      <c r="GJH276" s="609"/>
      <c r="GJI276" s="609"/>
      <c r="GJJ276" s="609"/>
      <c r="GJK276" s="609"/>
      <c r="GJL276" s="609"/>
      <c r="GJM276" s="609"/>
      <c r="GJN276" s="609"/>
      <c r="GJO276" s="609"/>
      <c r="GJP276" s="609"/>
      <c r="GJQ276" s="609"/>
      <c r="GJR276" s="609"/>
      <c r="GJS276" s="609"/>
      <c r="GJT276" s="609"/>
      <c r="GJU276" s="609"/>
      <c r="GJV276" s="609"/>
      <c r="GJW276" s="609"/>
      <c r="GJX276" s="609"/>
      <c r="GJY276" s="609"/>
      <c r="GJZ276" s="609"/>
      <c r="GKA276" s="609"/>
      <c r="GKB276" s="609"/>
      <c r="GKC276" s="609"/>
      <c r="GKD276" s="609"/>
      <c r="GKE276" s="609"/>
      <c r="GKF276" s="609"/>
      <c r="GKG276" s="609"/>
      <c r="GKH276" s="609"/>
      <c r="GKI276" s="609"/>
      <c r="GKJ276" s="609"/>
      <c r="GKK276" s="609"/>
      <c r="GKL276" s="609"/>
      <c r="GKM276" s="609"/>
      <c r="GKN276" s="609"/>
      <c r="GKO276" s="609"/>
      <c r="GKP276" s="609"/>
      <c r="GKQ276" s="609"/>
      <c r="GKR276" s="609"/>
      <c r="GKS276" s="609"/>
      <c r="GKT276" s="609"/>
      <c r="GKU276" s="609"/>
      <c r="GKV276" s="609"/>
      <c r="GKW276" s="609"/>
      <c r="GKX276" s="609"/>
      <c r="GKY276" s="609"/>
      <c r="GKZ276" s="609"/>
      <c r="GLA276" s="609"/>
      <c r="GLB276" s="609"/>
      <c r="GLC276" s="609"/>
      <c r="GLD276" s="609"/>
      <c r="GLE276" s="609"/>
      <c r="GLF276" s="609"/>
      <c r="GLG276" s="609"/>
      <c r="GLH276" s="609"/>
      <c r="GLI276" s="609"/>
      <c r="GLJ276" s="609"/>
      <c r="GLK276" s="609"/>
      <c r="GLL276" s="609"/>
      <c r="GLM276" s="609"/>
      <c r="GLN276" s="609"/>
      <c r="GLO276" s="609"/>
      <c r="GLP276" s="609"/>
      <c r="GLQ276" s="609"/>
      <c r="GLR276" s="609"/>
      <c r="GLS276" s="609"/>
      <c r="GLT276" s="609"/>
      <c r="GLU276" s="609"/>
      <c r="GLV276" s="609"/>
      <c r="GLW276" s="609"/>
      <c r="GLX276" s="609"/>
      <c r="GLY276" s="609"/>
      <c r="GLZ276" s="609"/>
      <c r="GMA276" s="609"/>
      <c r="GMB276" s="609"/>
      <c r="GMC276" s="609"/>
      <c r="GMD276" s="609"/>
      <c r="GME276" s="609"/>
      <c r="GMF276" s="609"/>
      <c r="GMG276" s="609"/>
      <c r="GMH276" s="609"/>
      <c r="GMI276" s="609"/>
      <c r="GMJ276" s="609"/>
      <c r="GMK276" s="609"/>
      <c r="GML276" s="609"/>
      <c r="GMM276" s="609"/>
      <c r="GMN276" s="609"/>
      <c r="GMO276" s="609"/>
      <c r="GMP276" s="609"/>
      <c r="GMQ276" s="609"/>
      <c r="GMR276" s="609"/>
      <c r="GMS276" s="609"/>
      <c r="GMT276" s="609"/>
      <c r="GMU276" s="609"/>
      <c r="GMV276" s="609"/>
      <c r="GMW276" s="609"/>
      <c r="GMX276" s="609"/>
      <c r="GMY276" s="609"/>
      <c r="GMZ276" s="609"/>
      <c r="GNA276" s="609"/>
      <c r="GNB276" s="609"/>
      <c r="GNC276" s="609"/>
      <c r="GND276" s="609"/>
      <c r="GNE276" s="609"/>
      <c r="GNF276" s="609"/>
      <c r="GNG276" s="609"/>
      <c r="GNH276" s="609"/>
      <c r="GNI276" s="609"/>
      <c r="GNJ276" s="609"/>
      <c r="GNK276" s="609"/>
      <c r="GNL276" s="609"/>
      <c r="GNM276" s="609"/>
      <c r="GNN276" s="609"/>
      <c r="GNO276" s="609"/>
      <c r="GNP276" s="609"/>
      <c r="GNQ276" s="609"/>
      <c r="GNR276" s="609"/>
      <c r="GNS276" s="609"/>
      <c r="GNT276" s="609"/>
      <c r="GNU276" s="609"/>
      <c r="GNV276" s="609"/>
      <c r="GNW276" s="609"/>
      <c r="GNX276" s="609"/>
      <c r="GNY276" s="609"/>
      <c r="GNZ276" s="609"/>
      <c r="GOA276" s="609"/>
      <c r="GOB276" s="609"/>
      <c r="GOC276" s="609"/>
      <c r="GOD276" s="609"/>
      <c r="GOE276" s="609"/>
      <c r="GOF276" s="609"/>
      <c r="GOG276" s="609"/>
      <c r="GOH276" s="609"/>
      <c r="GOI276" s="609"/>
      <c r="GOJ276" s="609"/>
      <c r="GOK276" s="609"/>
      <c r="GOL276" s="609"/>
      <c r="GOM276" s="609"/>
      <c r="GON276" s="609"/>
      <c r="GOO276" s="609"/>
      <c r="GOP276" s="609"/>
      <c r="GOQ276" s="609"/>
      <c r="GOR276" s="609"/>
      <c r="GOS276" s="609"/>
      <c r="GOT276" s="609"/>
      <c r="GOU276" s="609"/>
      <c r="GOV276" s="609"/>
      <c r="GOW276" s="609"/>
      <c r="GOX276" s="609"/>
      <c r="GOY276" s="609"/>
      <c r="GOZ276" s="609"/>
      <c r="GPA276" s="609"/>
      <c r="GPB276" s="609"/>
      <c r="GPC276" s="609"/>
      <c r="GPD276" s="609"/>
      <c r="GPE276" s="609"/>
      <c r="GPF276" s="609"/>
      <c r="GPG276" s="609"/>
      <c r="GPH276" s="609"/>
      <c r="GPI276" s="609"/>
      <c r="GPJ276" s="609"/>
      <c r="GPK276" s="609"/>
      <c r="GPL276" s="609"/>
      <c r="GPM276" s="609"/>
      <c r="GPN276" s="609"/>
      <c r="GPO276" s="609"/>
      <c r="GPP276" s="609"/>
      <c r="GPQ276" s="609"/>
      <c r="GPR276" s="609"/>
      <c r="GPS276" s="609"/>
      <c r="GPT276" s="609"/>
      <c r="GPU276" s="609"/>
      <c r="GPV276" s="609"/>
      <c r="GPW276" s="609"/>
      <c r="GPX276" s="609"/>
      <c r="GPY276" s="609"/>
      <c r="GPZ276" s="609"/>
      <c r="GQA276" s="609"/>
      <c r="GQB276" s="609"/>
      <c r="GQC276" s="609"/>
      <c r="GQD276" s="609"/>
      <c r="GQE276" s="609"/>
      <c r="GQF276" s="609"/>
      <c r="GQG276" s="609"/>
      <c r="GQH276" s="609"/>
      <c r="GQI276" s="609"/>
      <c r="GQJ276" s="609"/>
      <c r="GQK276" s="609"/>
      <c r="GQL276" s="609"/>
      <c r="GQM276" s="609"/>
      <c r="GQN276" s="609"/>
      <c r="GQO276" s="609"/>
      <c r="GQP276" s="609"/>
      <c r="GQQ276" s="609"/>
      <c r="GQR276" s="609"/>
      <c r="GQS276" s="609"/>
      <c r="GQT276" s="609"/>
      <c r="GQU276" s="609"/>
      <c r="GQV276" s="609"/>
      <c r="GQW276" s="609"/>
      <c r="GQX276" s="609"/>
      <c r="GQY276" s="609"/>
      <c r="GQZ276" s="609"/>
      <c r="GRA276" s="609"/>
      <c r="GRB276" s="609"/>
      <c r="GRC276" s="609"/>
      <c r="GRD276" s="609"/>
      <c r="GRE276" s="609"/>
      <c r="GRF276" s="609"/>
      <c r="GRG276" s="609"/>
      <c r="GRH276" s="609"/>
      <c r="GRI276" s="609"/>
      <c r="GRJ276" s="609"/>
      <c r="GRK276" s="609"/>
      <c r="GRL276" s="609"/>
      <c r="GRM276" s="609"/>
      <c r="GRN276" s="609"/>
      <c r="GRO276" s="609"/>
      <c r="GRP276" s="609"/>
      <c r="GRQ276" s="609"/>
      <c r="GRR276" s="609"/>
      <c r="GRS276" s="609"/>
      <c r="GRT276" s="609"/>
      <c r="GRU276" s="609"/>
      <c r="GRV276" s="609"/>
      <c r="GRW276" s="609"/>
      <c r="GRX276" s="609"/>
      <c r="GRY276" s="609"/>
      <c r="GRZ276" s="609"/>
      <c r="GSA276" s="609"/>
      <c r="GSB276" s="609"/>
      <c r="GSC276" s="609"/>
      <c r="GSD276" s="609"/>
      <c r="GSE276" s="609"/>
      <c r="GSF276" s="609"/>
      <c r="GSG276" s="609"/>
      <c r="GSH276" s="609"/>
      <c r="GSI276" s="609"/>
      <c r="GSJ276" s="609"/>
      <c r="GSK276" s="609"/>
      <c r="GSL276" s="609"/>
      <c r="GSM276" s="609"/>
      <c r="GSN276" s="609"/>
      <c r="GSO276" s="609"/>
      <c r="GSP276" s="609"/>
      <c r="GSQ276" s="609"/>
      <c r="GSR276" s="609"/>
      <c r="GSS276" s="609"/>
      <c r="GST276" s="609"/>
      <c r="GSU276" s="609"/>
      <c r="GSV276" s="609"/>
      <c r="GSW276" s="609"/>
      <c r="GSX276" s="609"/>
      <c r="GSY276" s="609"/>
      <c r="GSZ276" s="609"/>
      <c r="GTA276" s="609"/>
      <c r="GTB276" s="609"/>
      <c r="GTC276" s="609"/>
      <c r="GTD276" s="609"/>
      <c r="GTE276" s="609"/>
      <c r="GTF276" s="609"/>
      <c r="GTG276" s="609"/>
      <c r="GTH276" s="609"/>
      <c r="GTI276" s="609"/>
      <c r="GTJ276" s="609"/>
      <c r="GTK276" s="609"/>
      <c r="GTL276" s="609"/>
      <c r="GTM276" s="609"/>
      <c r="GTN276" s="609"/>
      <c r="GTO276" s="609"/>
      <c r="GTP276" s="609"/>
      <c r="GTQ276" s="609"/>
      <c r="GTR276" s="609"/>
      <c r="GTS276" s="609"/>
      <c r="GTT276" s="609"/>
      <c r="GTU276" s="609"/>
      <c r="GTV276" s="609"/>
      <c r="GTW276" s="609"/>
      <c r="GTX276" s="609"/>
      <c r="GTY276" s="609"/>
      <c r="GTZ276" s="609"/>
      <c r="GUA276" s="609"/>
      <c r="GUB276" s="609"/>
      <c r="GUC276" s="609"/>
      <c r="GUD276" s="609"/>
      <c r="GUE276" s="609"/>
      <c r="GUF276" s="609"/>
      <c r="GUG276" s="609"/>
      <c r="GUH276" s="609"/>
      <c r="GUI276" s="609"/>
      <c r="GUJ276" s="609"/>
      <c r="GUK276" s="609"/>
      <c r="GUL276" s="609"/>
      <c r="GUM276" s="609"/>
      <c r="GUN276" s="609"/>
      <c r="GUO276" s="609"/>
      <c r="GUP276" s="609"/>
      <c r="GUQ276" s="609"/>
      <c r="GUR276" s="609"/>
      <c r="GUS276" s="609"/>
      <c r="GUT276" s="609"/>
      <c r="GUU276" s="609"/>
      <c r="GUV276" s="609"/>
      <c r="GUW276" s="609"/>
      <c r="GUX276" s="609"/>
      <c r="GUY276" s="609"/>
      <c r="GUZ276" s="609"/>
      <c r="GVA276" s="609"/>
      <c r="GVB276" s="609"/>
      <c r="GVC276" s="609"/>
      <c r="GVD276" s="609"/>
      <c r="GVE276" s="609"/>
      <c r="GVF276" s="609"/>
      <c r="GVG276" s="609"/>
      <c r="GVH276" s="609"/>
      <c r="GVI276" s="609"/>
      <c r="GVJ276" s="609"/>
      <c r="GVK276" s="609"/>
      <c r="GVL276" s="609"/>
      <c r="GVM276" s="609"/>
      <c r="GVN276" s="609"/>
      <c r="GVO276" s="609"/>
      <c r="GVP276" s="609"/>
      <c r="GVQ276" s="609"/>
      <c r="GVR276" s="609"/>
      <c r="GVS276" s="609"/>
      <c r="GVT276" s="609"/>
      <c r="GVU276" s="609"/>
      <c r="GVV276" s="609"/>
      <c r="GVW276" s="609"/>
      <c r="GVX276" s="609"/>
      <c r="GVY276" s="609"/>
      <c r="GVZ276" s="609"/>
      <c r="GWA276" s="609"/>
      <c r="GWB276" s="609"/>
      <c r="GWC276" s="609"/>
      <c r="GWD276" s="609"/>
      <c r="GWE276" s="609"/>
      <c r="GWF276" s="609"/>
      <c r="GWG276" s="609"/>
      <c r="GWH276" s="609"/>
      <c r="GWI276" s="609"/>
      <c r="GWJ276" s="609"/>
      <c r="GWK276" s="609"/>
      <c r="GWL276" s="609"/>
      <c r="GWM276" s="609"/>
      <c r="GWN276" s="609"/>
      <c r="GWO276" s="609"/>
      <c r="GWP276" s="609"/>
      <c r="GWQ276" s="609"/>
      <c r="GWR276" s="609"/>
      <c r="GWS276" s="609"/>
      <c r="GWT276" s="609"/>
      <c r="GWU276" s="609"/>
      <c r="GWV276" s="609"/>
      <c r="GWW276" s="609"/>
      <c r="GWX276" s="609"/>
      <c r="GWY276" s="609"/>
      <c r="GWZ276" s="609"/>
      <c r="GXA276" s="609"/>
      <c r="GXB276" s="609"/>
      <c r="GXC276" s="609"/>
      <c r="GXD276" s="609"/>
      <c r="GXE276" s="609"/>
      <c r="GXF276" s="609"/>
      <c r="GXG276" s="609"/>
      <c r="GXH276" s="609"/>
      <c r="GXI276" s="609"/>
      <c r="GXJ276" s="609"/>
      <c r="GXK276" s="609"/>
      <c r="GXL276" s="609"/>
      <c r="GXM276" s="609"/>
      <c r="GXN276" s="609"/>
      <c r="GXO276" s="609"/>
      <c r="GXP276" s="609"/>
      <c r="GXQ276" s="609"/>
      <c r="GXR276" s="609"/>
      <c r="GXS276" s="609"/>
      <c r="GXT276" s="609"/>
      <c r="GXU276" s="609"/>
      <c r="GXV276" s="609"/>
      <c r="GXW276" s="609"/>
      <c r="GXX276" s="609"/>
      <c r="GXY276" s="609"/>
      <c r="GXZ276" s="609"/>
      <c r="GYA276" s="609"/>
      <c r="GYB276" s="609"/>
      <c r="GYC276" s="609"/>
      <c r="GYD276" s="609"/>
      <c r="GYE276" s="609"/>
      <c r="GYF276" s="609"/>
      <c r="GYG276" s="609"/>
      <c r="GYH276" s="609"/>
      <c r="GYI276" s="609"/>
      <c r="GYJ276" s="609"/>
      <c r="GYK276" s="609"/>
      <c r="GYL276" s="609"/>
      <c r="GYM276" s="609"/>
      <c r="GYN276" s="609"/>
      <c r="GYO276" s="609"/>
      <c r="GYP276" s="609"/>
      <c r="GYQ276" s="609"/>
      <c r="GYR276" s="609"/>
      <c r="GYS276" s="609"/>
      <c r="GYT276" s="609"/>
      <c r="GYU276" s="609"/>
      <c r="GYV276" s="609"/>
      <c r="GYW276" s="609"/>
      <c r="GYX276" s="609"/>
      <c r="GYY276" s="609"/>
      <c r="GYZ276" s="609"/>
      <c r="GZA276" s="609"/>
      <c r="GZB276" s="609"/>
      <c r="GZC276" s="609"/>
      <c r="GZD276" s="609"/>
      <c r="GZE276" s="609"/>
      <c r="GZF276" s="609"/>
      <c r="GZG276" s="609"/>
      <c r="GZH276" s="609"/>
      <c r="GZI276" s="609"/>
      <c r="GZJ276" s="609"/>
      <c r="GZK276" s="609"/>
      <c r="GZL276" s="609"/>
      <c r="GZM276" s="609"/>
      <c r="GZN276" s="609"/>
      <c r="GZO276" s="609"/>
      <c r="GZP276" s="609"/>
      <c r="GZQ276" s="609"/>
      <c r="GZR276" s="609"/>
      <c r="GZS276" s="609"/>
      <c r="GZT276" s="609"/>
      <c r="GZU276" s="609"/>
      <c r="GZV276" s="609"/>
      <c r="GZW276" s="609"/>
      <c r="GZX276" s="609"/>
      <c r="GZY276" s="609"/>
      <c r="GZZ276" s="609"/>
      <c r="HAA276" s="609"/>
      <c r="HAB276" s="609"/>
      <c r="HAC276" s="609"/>
      <c r="HAD276" s="609"/>
      <c r="HAE276" s="609"/>
      <c r="HAF276" s="609"/>
      <c r="HAG276" s="609"/>
      <c r="HAH276" s="609"/>
      <c r="HAI276" s="609"/>
      <c r="HAJ276" s="609"/>
      <c r="HAK276" s="609"/>
      <c r="HAL276" s="609"/>
      <c r="HAM276" s="609"/>
      <c r="HAN276" s="609"/>
      <c r="HAO276" s="609"/>
      <c r="HAP276" s="609"/>
      <c r="HAQ276" s="609"/>
      <c r="HAR276" s="609"/>
      <c r="HAS276" s="609"/>
      <c r="HAT276" s="609"/>
      <c r="HAU276" s="609"/>
      <c r="HAV276" s="609"/>
      <c r="HAW276" s="609"/>
      <c r="HAX276" s="609"/>
      <c r="HAY276" s="609"/>
      <c r="HAZ276" s="609"/>
      <c r="HBA276" s="609"/>
      <c r="HBB276" s="609"/>
      <c r="HBC276" s="609"/>
      <c r="HBD276" s="609"/>
      <c r="HBE276" s="609"/>
      <c r="HBF276" s="609"/>
      <c r="HBG276" s="609"/>
      <c r="HBH276" s="609"/>
      <c r="HBI276" s="609"/>
      <c r="HBJ276" s="609"/>
      <c r="HBK276" s="609"/>
      <c r="HBL276" s="609"/>
      <c r="HBM276" s="609"/>
      <c r="HBN276" s="609"/>
      <c r="HBO276" s="609"/>
      <c r="HBP276" s="609"/>
      <c r="HBQ276" s="609"/>
      <c r="HBR276" s="609"/>
      <c r="HBS276" s="609"/>
      <c r="HBT276" s="609"/>
      <c r="HBU276" s="609"/>
      <c r="HBV276" s="609"/>
      <c r="HBW276" s="609"/>
      <c r="HBX276" s="609"/>
      <c r="HBY276" s="609"/>
      <c r="HBZ276" s="609"/>
      <c r="HCA276" s="609"/>
      <c r="HCB276" s="609"/>
      <c r="HCC276" s="609"/>
      <c r="HCD276" s="609"/>
      <c r="HCE276" s="609"/>
      <c r="HCF276" s="609"/>
      <c r="HCG276" s="609"/>
      <c r="HCH276" s="609"/>
      <c r="HCI276" s="609"/>
      <c r="HCJ276" s="609"/>
      <c r="HCK276" s="609"/>
      <c r="HCL276" s="609"/>
      <c r="HCM276" s="609"/>
      <c r="HCN276" s="609"/>
      <c r="HCO276" s="609"/>
      <c r="HCP276" s="609"/>
      <c r="HCQ276" s="609"/>
      <c r="HCR276" s="609"/>
      <c r="HCS276" s="609"/>
      <c r="HCT276" s="609"/>
      <c r="HCU276" s="609"/>
      <c r="HCV276" s="609"/>
      <c r="HCW276" s="609"/>
      <c r="HCX276" s="609"/>
      <c r="HCY276" s="609"/>
      <c r="HCZ276" s="609"/>
      <c r="HDA276" s="609"/>
      <c r="HDB276" s="609"/>
      <c r="HDC276" s="609"/>
      <c r="HDD276" s="609"/>
      <c r="HDE276" s="609"/>
      <c r="HDF276" s="609"/>
      <c r="HDG276" s="609"/>
      <c r="HDH276" s="609"/>
      <c r="HDI276" s="609"/>
      <c r="HDJ276" s="609"/>
      <c r="HDK276" s="609"/>
      <c r="HDL276" s="609"/>
      <c r="HDM276" s="609"/>
      <c r="HDN276" s="609"/>
      <c r="HDO276" s="609"/>
      <c r="HDP276" s="609"/>
      <c r="HDQ276" s="609"/>
      <c r="HDR276" s="609"/>
      <c r="HDS276" s="609"/>
      <c r="HDT276" s="609"/>
      <c r="HDU276" s="609"/>
      <c r="HDV276" s="609"/>
      <c r="HDW276" s="609"/>
      <c r="HDX276" s="609"/>
      <c r="HDY276" s="609"/>
      <c r="HDZ276" s="609"/>
      <c r="HEA276" s="609"/>
      <c r="HEB276" s="609"/>
      <c r="HEC276" s="609"/>
      <c r="HED276" s="609"/>
      <c r="HEE276" s="609"/>
      <c r="HEF276" s="609"/>
      <c r="HEG276" s="609"/>
      <c r="HEH276" s="609"/>
      <c r="HEI276" s="609"/>
      <c r="HEJ276" s="609"/>
      <c r="HEK276" s="609"/>
      <c r="HEL276" s="609"/>
      <c r="HEM276" s="609"/>
      <c r="HEN276" s="609"/>
      <c r="HEO276" s="609"/>
      <c r="HEP276" s="609"/>
      <c r="HEQ276" s="609"/>
      <c r="HER276" s="609"/>
      <c r="HES276" s="609"/>
      <c r="HET276" s="609"/>
      <c r="HEU276" s="609"/>
      <c r="HEV276" s="609"/>
      <c r="HEW276" s="609"/>
      <c r="HEX276" s="609"/>
      <c r="HEY276" s="609"/>
      <c r="HEZ276" s="609"/>
      <c r="HFA276" s="609"/>
      <c r="HFB276" s="609"/>
      <c r="HFC276" s="609"/>
      <c r="HFD276" s="609"/>
      <c r="HFE276" s="609"/>
      <c r="HFF276" s="609"/>
      <c r="HFG276" s="609"/>
      <c r="HFH276" s="609"/>
      <c r="HFI276" s="609"/>
      <c r="HFJ276" s="609"/>
      <c r="HFK276" s="609"/>
      <c r="HFL276" s="609"/>
      <c r="HFM276" s="609"/>
      <c r="HFN276" s="609"/>
      <c r="HFO276" s="609"/>
      <c r="HFP276" s="609"/>
      <c r="HFQ276" s="609"/>
      <c r="HFR276" s="609"/>
      <c r="HFS276" s="609"/>
      <c r="HFT276" s="609"/>
      <c r="HFU276" s="609"/>
      <c r="HFV276" s="609"/>
      <c r="HFW276" s="609"/>
      <c r="HFX276" s="609"/>
      <c r="HFY276" s="609"/>
      <c r="HFZ276" s="609"/>
      <c r="HGA276" s="609"/>
      <c r="HGB276" s="609"/>
      <c r="HGC276" s="609"/>
      <c r="HGD276" s="609"/>
      <c r="HGE276" s="609"/>
      <c r="HGF276" s="609"/>
      <c r="HGG276" s="609"/>
      <c r="HGH276" s="609"/>
      <c r="HGI276" s="609"/>
      <c r="HGJ276" s="609"/>
      <c r="HGK276" s="609"/>
      <c r="HGL276" s="609"/>
      <c r="HGM276" s="609"/>
      <c r="HGN276" s="609"/>
      <c r="HGO276" s="609"/>
      <c r="HGP276" s="609"/>
      <c r="HGQ276" s="609"/>
      <c r="HGR276" s="609"/>
      <c r="HGS276" s="609"/>
      <c r="HGT276" s="609"/>
      <c r="HGU276" s="609"/>
      <c r="HGV276" s="609"/>
      <c r="HGW276" s="609"/>
      <c r="HGX276" s="609"/>
      <c r="HGY276" s="609"/>
      <c r="HGZ276" s="609"/>
      <c r="HHA276" s="609"/>
      <c r="HHB276" s="609"/>
      <c r="HHC276" s="609"/>
      <c r="HHD276" s="609"/>
      <c r="HHE276" s="609"/>
      <c r="HHF276" s="609"/>
      <c r="HHG276" s="609"/>
      <c r="HHH276" s="609"/>
      <c r="HHI276" s="609"/>
      <c r="HHJ276" s="609"/>
      <c r="HHK276" s="609"/>
      <c r="HHL276" s="609"/>
      <c r="HHM276" s="609"/>
      <c r="HHN276" s="609"/>
      <c r="HHO276" s="609"/>
      <c r="HHP276" s="609"/>
      <c r="HHQ276" s="609"/>
      <c r="HHR276" s="609"/>
      <c r="HHS276" s="609"/>
      <c r="HHT276" s="609"/>
      <c r="HHU276" s="609"/>
      <c r="HHV276" s="609"/>
      <c r="HHW276" s="609"/>
      <c r="HHX276" s="609"/>
      <c r="HHY276" s="609"/>
      <c r="HHZ276" s="609"/>
      <c r="HIA276" s="609"/>
      <c r="HIB276" s="609"/>
      <c r="HIC276" s="609"/>
      <c r="HID276" s="609"/>
      <c r="HIE276" s="609"/>
      <c r="HIF276" s="609"/>
      <c r="HIG276" s="609"/>
      <c r="HIH276" s="609"/>
      <c r="HII276" s="609"/>
      <c r="HIJ276" s="609"/>
      <c r="HIK276" s="609"/>
      <c r="HIL276" s="609"/>
      <c r="HIM276" s="609"/>
      <c r="HIN276" s="609"/>
      <c r="HIO276" s="609"/>
      <c r="HIP276" s="609"/>
      <c r="HIQ276" s="609"/>
      <c r="HIR276" s="609"/>
      <c r="HIS276" s="609"/>
      <c r="HIT276" s="609"/>
      <c r="HIU276" s="609"/>
      <c r="HIV276" s="609"/>
      <c r="HIW276" s="609"/>
      <c r="HIX276" s="609"/>
      <c r="HIY276" s="609"/>
      <c r="HIZ276" s="609"/>
      <c r="HJA276" s="609"/>
      <c r="HJB276" s="609"/>
      <c r="HJC276" s="609"/>
      <c r="HJD276" s="609"/>
      <c r="HJE276" s="609"/>
      <c r="HJF276" s="609"/>
      <c r="HJG276" s="609"/>
      <c r="HJH276" s="609"/>
      <c r="HJI276" s="609"/>
      <c r="HJJ276" s="609"/>
      <c r="HJK276" s="609"/>
      <c r="HJL276" s="609"/>
      <c r="HJM276" s="609"/>
      <c r="HJN276" s="609"/>
      <c r="HJO276" s="609"/>
      <c r="HJP276" s="609"/>
      <c r="HJQ276" s="609"/>
      <c r="HJR276" s="609"/>
      <c r="HJS276" s="609"/>
      <c r="HJT276" s="609"/>
      <c r="HJU276" s="609"/>
      <c r="HJV276" s="609"/>
      <c r="HJW276" s="609"/>
      <c r="HJX276" s="609"/>
      <c r="HJY276" s="609"/>
      <c r="HJZ276" s="609"/>
      <c r="HKA276" s="609"/>
      <c r="HKB276" s="609"/>
      <c r="HKC276" s="609"/>
      <c r="HKD276" s="609"/>
      <c r="HKE276" s="609"/>
      <c r="HKF276" s="609"/>
      <c r="HKG276" s="609"/>
      <c r="HKH276" s="609"/>
      <c r="HKI276" s="609"/>
      <c r="HKJ276" s="609"/>
      <c r="HKK276" s="609"/>
      <c r="HKL276" s="609"/>
      <c r="HKM276" s="609"/>
      <c r="HKN276" s="609"/>
      <c r="HKO276" s="609"/>
      <c r="HKP276" s="609"/>
      <c r="HKQ276" s="609"/>
      <c r="HKR276" s="609"/>
      <c r="HKS276" s="609"/>
      <c r="HKT276" s="609"/>
      <c r="HKU276" s="609"/>
      <c r="HKV276" s="609"/>
      <c r="HKW276" s="609"/>
      <c r="HKX276" s="609"/>
      <c r="HKY276" s="609"/>
      <c r="HKZ276" s="609"/>
      <c r="HLA276" s="609"/>
      <c r="HLB276" s="609"/>
      <c r="HLC276" s="609"/>
      <c r="HLD276" s="609"/>
      <c r="HLE276" s="609"/>
      <c r="HLF276" s="609"/>
      <c r="HLG276" s="609"/>
      <c r="HLH276" s="609"/>
      <c r="HLI276" s="609"/>
      <c r="HLJ276" s="609"/>
      <c r="HLK276" s="609"/>
      <c r="HLL276" s="609"/>
      <c r="HLM276" s="609"/>
      <c r="HLN276" s="609"/>
      <c r="HLO276" s="609"/>
      <c r="HLP276" s="609"/>
      <c r="HLQ276" s="609"/>
      <c r="HLR276" s="609"/>
      <c r="HLS276" s="609"/>
      <c r="HLT276" s="609"/>
      <c r="HLU276" s="609"/>
      <c r="HLV276" s="609"/>
      <c r="HLW276" s="609"/>
      <c r="HLX276" s="609"/>
      <c r="HLY276" s="609"/>
      <c r="HLZ276" s="609"/>
      <c r="HMA276" s="609"/>
      <c r="HMB276" s="609"/>
      <c r="HMC276" s="609"/>
      <c r="HMD276" s="609"/>
      <c r="HME276" s="609"/>
      <c r="HMF276" s="609"/>
      <c r="HMG276" s="609"/>
      <c r="HMH276" s="609"/>
      <c r="HMI276" s="609"/>
      <c r="HMJ276" s="609"/>
      <c r="HMK276" s="609"/>
      <c r="HML276" s="609"/>
      <c r="HMM276" s="609"/>
      <c r="HMN276" s="609"/>
      <c r="HMO276" s="609"/>
      <c r="HMP276" s="609"/>
      <c r="HMQ276" s="609"/>
      <c r="HMR276" s="609"/>
      <c r="HMS276" s="609"/>
      <c r="HMT276" s="609"/>
      <c r="HMU276" s="609"/>
      <c r="HMV276" s="609"/>
      <c r="HMW276" s="609"/>
      <c r="HMX276" s="609"/>
      <c r="HMY276" s="609"/>
      <c r="HMZ276" s="609"/>
      <c r="HNA276" s="609"/>
      <c r="HNB276" s="609"/>
      <c r="HNC276" s="609"/>
      <c r="HND276" s="609"/>
      <c r="HNE276" s="609"/>
      <c r="HNF276" s="609"/>
      <c r="HNG276" s="609"/>
      <c r="HNH276" s="609"/>
      <c r="HNI276" s="609"/>
      <c r="HNJ276" s="609"/>
      <c r="HNK276" s="609"/>
      <c r="HNL276" s="609"/>
      <c r="HNM276" s="609"/>
      <c r="HNN276" s="609"/>
      <c r="HNO276" s="609"/>
      <c r="HNP276" s="609"/>
      <c r="HNQ276" s="609"/>
      <c r="HNR276" s="609"/>
      <c r="HNS276" s="609"/>
      <c r="HNT276" s="609"/>
      <c r="HNU276" s="609"/>
      <c r="HNV276" s="609"/>
      <c r="HNW276" s="609"/>
      <c r="HNX276" s="609"/>
      <c r="HNY276" s="609"/>
      <c r="HNZ276" s="609"/>
      <c r="HOA276" s="609"/>
      <c r="HOB276" s="609"/>
      <c r="HOC276" s="609"/>
      <c r="HOD276" s="609"/>
      <c r="HOE276" s="609"/>
      <c r="HOF276" s="609"/>
      <c r="HOG276" s="609"/>
      <c r="HOH276" s="609"/>
      <c r="HOI276" s="609"/>
      <c r="HOJ276" s="609"/>
      <c r="HOK276" s="609"/>
      <c r="HOL276" s="609"/>
      <c r="HOM276" s="609"/>
      <c r="HON276" s="609"/>
      <c r="HOO276" s="609"/>
      <c r="HOP276" s="609"/>
      <c r="HOQ276" s="609"/>
      <c r="HOR276" s="609"/>
      <c r="HOS276" s="609"/>
      <c r="HOT276" s="609"/>
      <c r="HOU276" s="609"/>
      <c r="HOV276" s="609"/>
      <c r="HOW276" s="609"/>
      <c r="HOX276" s="609"/>
      <c r="HOY276" s="609"/>
      <c r="HOZ276" s="609"/>
      <c r="HPA276" s="609"/>
      <c r="HPB276" s="609"/>
      <c r="HPC276" s="609"/>
      <c r="HPD276" s="609"/>
      <c r="HPE276" s="609"/>
      <c r="HPF276" s="609"/>
      <c r="HPG276" s="609"/>
      <c r="HPH276" s="609"/>
      <c r="HPI276" s="609"/>
      <c r="HPJ276" s="609"/>
      <c r="HPK276" s="609"/>
      <c r="HPL276" s="609"/>
      <c r="HPM276" s="609"/>
      <c r="HPN276" s="609"/>
      <c r="HPO276" s="609"/>
      <c r="HPP276" s="609"/>
      <c r="HPQ276" s="609"/>
      <c r="HPR276" s="609"/>
      <c r="HPS276" s="609"/>
      <c r="HPT276" s="609"/>
      <c r="HPU276" s="609"/>
      <c r="HPV276" s="609"/>
      <c r="HPW276" s="609"/>
      <c r="HPX276" s="609"/>
      <c r="HPY276" s="609"/>
      <c r="HPZ276" s="609"/>
      <c r="HQA276" s="609"/>
      <c r="HQB276" s="609"/>
      <c r="HQC276" s="609"/>
      <c r="HQD276" s="609"/>
      <c r="HQE276" s="609"/>
      <c r="HQF276" s="609"/>
      <c r="HQG276" s="609"/>
      <c r="HQH276" s="609"/>
      <c r="HQI276" s="609"/>
      <c r="HQJ276" s="609"/>
      <c r="HQK276" s="609"/>
      <c r="HQL276" s="609"/>
      <c r="HQM276" s="609"/>
      <c r="HQN276" s="609"/>
      <c r="HQO276" s="609"/>
      <c r="HQP276" s="609"/>
      <c r="HQQ276" s="609"/>
      <c r="HQR276" s="609"/>
      <c r="HQS276" s="609"/>
      <c r="HQT276" s="609"/>
      <c r="HQU276" s="609"/>
      <c r="HQV276" s="609"/>
      <c r="HQW276" s="609"/>
      <c r="HQX276" s="609"/>
      <c r="HQY276" s="609"/>
      <c r="HQZ276" s="609"/>
      <c r="HRA276" s="609"/>
      <c r="HRB276" s="609"/>
      <c r="HRC276" s="609"/>
      <c r="HRD276" s="609"/>
      <c r="HRE276" s="609"/>
      <c r="HRF276" s="609"/>
      <c r="HRG276" s="609"/>
      <c r="HRH276" s="609"/>
      <c r="HRI276" s="609"/>
      <c r="HRJ276" s="609"/>
      <c r="HRK276" s="609"/>
      <c r="HRL276" s="609"/>
      <c r="HRM276" s="609"/>
      <c r="HRN276" s="609"/>
      <c r="HRO276" s="609"/>
      <c r="HRP276" s="609"/>
      <c r="HRQ276" s="609"/>
      <c r="HRR276" s="609"/>
      <c r="HRS276" s="609"/>
      <c r="HRT276" s="609"/>
      <c r="HRU276" s="609"/>
      <c r="HRV276" s="609"/>
      <c r="HRW276" s="609"/>
      <c r="HRX276" s="609"/>
      <c r="HRY276" s="609"/>
      <c r="HRZ276" s="609"/>
      <c r="HSA276" s="609"/>
      <c r="HSB276" s="609"/>
      <c r="HSC276" s="609"/>
      <c r="HSD276" s="609"/>
      <c r="HSE276" s="609"/>
      <c r="HSF276" s="609"/>
      <c r="HSG276" s="609"/>
      <c r="HSH276" s="609"/>
      <c r="HSI276" s="609"/>
      <c r="HSJ276" s="609"/>
      <c r="HSK276" s="609"/>
      <c r="HSL276" s="609"/>
      <c r="HSM276" s="609"/>
      <c r="HSN276" s="609"/>
      <c r="HSO276" s="609"/>
      <c r="HSP276" s="609"/>
      <c r="HSQ276" s="609"/>
      <c r="HSR276" s="609"/>
      <c r="HSS276" s="609"/>
      <c r="HST276" s="609"/>
      <c r="HSU276" s="609"/>
      <c r="HSV276" s="609"/>
      <c r="HSW276" s="609"/>
      <c r="HSX276" s="609"/>
      <c r="HSY276" s="609"/>
      <c r="HSZ276" s="609"/>
      <c r="HTA276" s="609"/>
      <c r="HTB276" s="609"/>
      <c r="HTC276" s="609"/>
      <c r="HTD276" s="609"/>
      <c r="HTE276" s="609"/>
      <c r="HTF276" s="609"/>
      <c r="HTG276" s="609"/>
      <c r="HTH276" s="609"/>
      <c r="HTI276" s="609"/>
      <c r="HTJ276" s="609"/>
      <c r="HTK276" s="609"/>
      <c r="HTL276" s="609"/>
      <c r="HTM276" s="609"/>
      <c r="HTN276" s="609"/>
      <c r="HTO276" s="609"/>
      <c r="HTP276" s="609"/>
      <c r="HTQ276" s="609"/>
      <c r="HTR276" s="609"/>
      <c r="HTS276" s="609"/>
      <c r="HTT276" s="609"/>
      <c r="HTU276" s="609"/>
      <c r="HTV276" s="609"/>
      <c r="HTW276" s="609"/>
      <c r="HTX276" s="609"/>
      <c r="HTY276" s="609"/>
      <c r="HTZ276" s="609"/>
      <c r="HUA276" s="609"/>
      <c r="HUB276" s="609"/>
      <c r="HUC276" s="609"/>
      <c r="HUD276" s="609"/>
      <c r="HUE276" s="609"/>
      <c r="HUF276" s="609"/>
      <c r="HUG276" s="609"/>
      <c r="HUH276" s="609"/>
      <c r="HUI276" s="609"/>
      <c r="HUJ276" s="609"/>
      <c r="HUK276" s="609"/>
      <c r="HUL276" s="609"/>
      <c r="HUM276" s="609"/>
      <c r="HUN276" s="609"/>
      <c r="HUO276" s="609"/>
      <c r="HUP276" s="609"/>
      <c r="HUQ276" s="609"/>
      <c r="HUR276" s="609"/>
      <c r="HUS276" s="609"/>
      <c r="HUT276" s="609"/>
      <c r="HUU276" s="609"/>
      <c r="HUV276" s="609"/>
      <c r="HUW276" s="609"/>
      <c r="HUX276" s="609"/>
      <c r="HUY276" s="609"/>
      <c r="HUZ276" s="609"/>
      <c r="HVA276" s="609"/>
      <c r="HVB276" s="609"/>
      <c r="HVC276" s="609"/>
      <c r="HVD276" s="609"/>
      <c r="HVE276" s="609"/>
      <c r="HVF276" s="609"/>
      <c r="HVG276" s="609"/>
      <c r="HVH276" s="609"/>
      <c r="HVI276" s="609"/>
      <c r="HVJ276" s="609"/>
      <c r="HVK276" s="609"/>
      <c r="HVL276" s="609"/>
      <c r="HVM276" s="609"/>
      <c r="HVN276" s="609"/>
      <c r="HVO276" s="609"/>
      <c r="HVP276" s="609"/>
      <c r="HVQ276" s="609"/>
      <c r="HVR276" s="609"/>
      <c r="HVS276" s="609"/>
      <c r="HVT276" s="609"/>
      <c r="HVU276" s="609"/>
      <c r="HVV276" s="609"/>
      <c r="HVW276" s="609"/>
      <c r="HVX276" s="609"/>
      <c r="HVY276" s="609"/>
      <c r="HVZ276" s="609"/>
      <c r="HWA276" s="609"/>
      <c r="HWB276" s="609"/>
      <c r="HWC276" s="609"/>
      <c r="HWD276" s="609"/>
      <c r="HWE276" s="609"/>
      <c r="HWF276" s="609"/>
      <c r="HWG276" s="609"/>
      <c r="HWH276" s="609"/>
      <c r="HWI276" s="609"/>
      <c r="HWJ276" s="609"/>
      <c r="HWK276" s="609"/>
      <c r="HWL276" s="609"/>
      <c r="HWM276" s="609"/>
      <c r="HWN276" s="609"/>
      <c r="HWO276" s="609"/>
      <c r="HWP276" s="609"/>
      <c r="HWQ276" s="609"/>
      <c r="HWR276" s="609"/>
      <c r="HWS276" s="609"/>
      <c r="HWT276" s="609"/>
      <c r="HWU276" s="609"/>
      <c r="HWV276" s="609"/>
      <c r="HWW276" s="609"/>
      <c r="HWX276" s="609"/>
      <c r="HWY276" s="609"/>
      <c r="HWZ276" s="609"/>
      <c r="HXA276" s="609"/>
      <c r="HXB276" s="609"/>
      <c r="HXC276" s="609"/>
      <c r="HXD276" s="609"/>
      <c r="HXE276" s="609"/>
      <c r="HXF276" s="609"/>
      <c r="HXG276" s="609"/>
      <c r="HXH276" s="609"/>
      <c r="HXI276" s="609"/>
      <c r="HXJ276" s="609"/>
      <c r="HXK276" s="609"/>
      <c r="HXL276" s="609"/>
      <c r="HXM276" s="609"/>
      <c r="HXN276" s="609"/>
      <c r="HXO276" s="609"/>
      <c r="HXP276" s="609"/>
      <c r="HXQ276" s="609"/>
      <c r="HXR276" s="609"/>
      <c r="HXS276" s="609"/>
      <c r="HXT276" s="609"/>
      <c r="HXU276" s="609"/>
      <c r="HXV276" s="609"/>
      <c r="HXW276" s="609"/>
      <c r="HXX276" s="609"/>
      <c r="HXY276" s="609"/>
      <c r="HXZ276" s="609"/>
      <c r="HYA276" s="609"/>
      <c r="HYB276" s="609"/>
      <c r="HYC276" s="609"/>
      <c r="HYD276" s="609"/>
      <c r="HYE276" s="609"/>
      <c r="HYF276" s="609"/>
      <c r="HYG276" s="609"/>
      <c r="HYH276" s="609"/>
      <c r="HYI276" s="609"/>
      <c r="HYJ276" s="609"/>
      <c r="HYK276" s="609"/>
      <c r="HYL276" s="609"/>
      <c r="HYM276" s="609"/>
      <c r="HYN276" s="609"/>
      <c r="HYO276" s="609"/>
      <c r="HYP276" s="609"/>
      <c r="HYQ276" s="609"/>
      <c r="HYR276" s="609"/>
      <c r="HYS276" s="609"/>
      <c r="HYT276" s="609"/>
      <c r="HYU276" s="609"/>
      <c r="HYV276" s="609"/>
      <c r="HYW276" s="609"/>
      <c r="HYX276" s="609"/>
      <c r="HYY276" s="609"/>
      <c r="HYZ276" s="609"/>
      <c r="HZA276" s="609"/>
      <c r="HZB276" s="609"/>
      <c r="HZC276" s="609"/>
      <c r="HZD276" s="609"/>
      <c r="HZE276" s="609"/>
      <c r="HZF276" s="609"/>
      <c r="HZG276" s="609"/>
      <c r="HZH276" s="609"/>
      <c r="HZI276" s="609"/>
      <c r="HZJ276" s="609"/>
      <c r="HZK276" s="609"/>
      <c r="HZL276" s="609"/>
      <c r="HZM276" s="609"/>
      <c r="HZN276" s="609"/>
      <c r="HZO276" s="609"/>
      <c r="HZP276" s="609"/>
      <c r="HZQ276" s="609"/>
      <c r="HZR276" s="609"/>
      <c r="HZS276" s="609"/>
      <c r="HZT276" s="609"/>
      <c r="HZU276" s="609"/>
      <c r="HZV276" s="609"/>
      <c r="HZW276" s="609"/>
      <c r="HZX276" s="609"/>
      <c r="HZY276" s="609"/>
      <c r="HZZ276" s="609"/>
      <c r="IAA276" s="609"/>
      <c r="IAB276" s="609"/>
      <c r="IAC276" s="609"/>
      <c r="IAD276" s="609"/>
      <c r="IAE276" s="609"/>
      <c r="IAF276" s="609"/>
      <c r="IAG276" s="609"/>
      <c r="IAH276" s="609"/>
      <c r="IAI276" s="609"/>
      <c r="IAJ276" s="609"/>
      <c r="IAK276" s="609"/>
      <c r="IAL276" s="609"/>
      <c r="IAM276" s="609"/>
      <c r="IAN276" s="609"/>
      <c r="IAO276" s="609"/>
      <c r="IAP276" s="609"/>
      <c r="IAQ276" s="609"/>
      <c r="IAR276" s="609"/>
      <c r="IAS276" s="609"/>
      <c r="IAT276" s="609"/>
      <c r="IAU276" s="609"/>
      <c r="IAV276" s="609"/>
      <c r="IAW276" s="609"/>
      <c r="IAX276" s="609"/>
      <c r="IAY276" s="609"/>
      <c r="IAZ276" s="609"/>
      <c r="IBA276" s="609"/>
      <c r="IBB276" s="609"/>
      <c r="IBC276" s="609"/>
      <c r="IBD276" s="609"/>
      <c r="IBE276" s="609"/>
      <c r="IBF276" s="609"/>
      <c r="IBG276" s="609"/>
      <c r="IBH276" s="609"/>
      <c r="IBI276" s="609"/>
      <c r="IBJ276" s="609"/>
      <c r="IBK276" s="609"/>
      <c r="IBL276" s="609"/>
      <c r="IBM276" s="609"/>
      <c r="IBN276" s="609"/>
      <c r="IBO276" s="609"/>
      <c r="IBP276" s="609"/>
      <c r="IBQ276" s="609"/>
      <c r="IBR276" s="609"/>
      <c r="IBS276" s="609"/>
      <c r="IBT276" s="609"/>
      <c r="IBU276" s="609"/>
      <c r="IBV276" s="609"/>
      <c r="IBW276" s="609"/>
      <c r="IBX276" s="609"/>
      <c r="IBY276" s="609"/>
      <c r="IBZ276" s="609"/>
      <c r="ICA276" s="609"/>
      <c r="ICB276" s="609"/>
      <c r="ICC276" s="609"/>
      <c r="ICD276" s="609"/>
      <c r="ICE276" s="609"/>
      <c r="ICF276" s="609"/>
      <c r="ICG276" s="609"/>
      <c r="ICH276" s="609"/>
      <c r="ICI276" s="609"/>
      <c r="ICJ276" s="609"/>
      <c r="ICK276" s="609"/>
      <c r="ICL276" s="609"/>
      <c r="ICM276" s="609"/>
      <c r="ICN276" s="609"/>
      <c r="ICO276" s="609"/>
      <c r="ICP276" s="609"/>
      <c r="ICQ276" s="609"/>
      <c r="ICR276" s="609"/>
      <c r="ICS276" s="609"/>
      <c r="ICT276" s="609"/>
      <c r="ICU276" s="609"/>
      <c r="ICV276" s="609"/>
      <c r="ICW276" s="609"/>
      <c r="ICX276" s="609"/>
      <c r="ICY276" s="609"/>
      <c r="ICZ276" s="609"/>
      <c r="IDA276" s="609"/>
      <c r="IDB276" s="609"/>
      <c r="IDC276" s="609"/>
      <c r="IDD276" s="609"/>
      <c r="IDE276" s="609"/>
      <c r="IDF276" s="609"/>
      <c r="IDG276" s="609"/>
      <c r="IDH276" s="609"/>
      <c r="IDI276" s="609"/>
      <c r="IDJ276" s="609"/>
      <c r="IDK276" s="609"/>
      <c r="IDL276" s="609"/>
      <c r="IDM276" s="609"/>
      <c r="IDN276" s="609"/>
      <c r="IDO276" s="609"/>
      <c r="IDP276" s="609"/>
      <c r="IDQ276" s="609"/>
      <c r="IDR276" s="609"/>
      <c r="IDS276" s="609"/>
      <c r="IDT276" s="609"/>
      <c r="IDU276" s="609"/>
      <c r="IDV276" s="609"/>
      <c r="IDW276" s="609"/>
      <c r="IDX276" s="609"/>
      <c r="IDY276" s="609"/>
      <c r="IDZ276" s="609"/>
      <c r="IEA276" s="609"/>
      <c r="IEB276" s="609"/>
      <c r="IEC276" s="609"/>
      <c r="IED276" s="609"/>
      <c r="IEE276" s="609"/>
      <c r="IEF276" s="609"/>
      <c r="IEG276" s="609"/>
      <c r="IEH276" s="609"/>
      <c r="IEI276" s="609"/>
      <c r="IEJ276" s="609"/>
      <c r="IEK276" s="609"/>
      <c r="IEL276" s="609"/>
      <c r="IEM276" s="609"/>
      <c r="IEN276" s="609"/>
      <c r="IEO276" s="609"/>
      <c r="IEP276" s="609"/>
      <c r="IEQ276" s="609"/>
      <c r="IER276" s="609"/>
      <c r="IES276" s="609"/>
      <c r="IET276" s="609"/>
      <c r="IEU276" s="609"/>
      <c r="IEV276" s="609"/>
      <c r="IEW276" s="609"/>
      <c r="IEX276" s="609"/>
      <c r="IEY276" s="609"/>
      <c r="IEZ276" s="609"/>
      <c r="IFA276" s="609"/>
      <c r="IFB276" s="609"/>
      <c r="IFC276" s="609"/>
      <c r="IFD276" s="609"/>
      <c r="IFE276" s="609"/>
      <c r="IFF276" s="609"/>
      <c r="IFG276" s="609"/>
      <c r="IFH276" s="609"/>
      <c r="IFI276" s="609"/>
      <c r="IFJ276" s="609"/>
      <c r="IFK276" s="609"/>
      <c r="IFL276" s="609"/>
      <c r="IFM276" s="609"/>
      <c r="IFN276" s="609"/>
      <c r="IFO276" s="609"/>
      <c r="IFP276" s="609"/>
      <c r="IFQ276" s="609"/>
      <c r="IFR276" s="609"/>
      <c r="IFS276" s="609"/>
      <c r="IFT276" s="609"/>
      <c r="IFU276" s="609"/>
      <c r="IFV276" s="609"/>
      <c r="IFW276" s="609"/>
      <c r="IFX276" s="609"/>
      <c r="IFY276" s="609"/>
      <c r="IFZ276" s="609"/>
      <c r="IGA276" s="609"/>
      <c r="IGB276" s="609"/>
      <c r="IGC276" s="609"/>
      <c r="IGD276" s="609"/>
      <c r="IGE276" s="609"/>
      <c r="IGF276" s="609"/>
      <c r="IGG276" s="609"/>
      <c r="IGH276" s="609"/>
      <c r="IGI276" s="609"/>
      <c r="IGJ276" s="609"/>
      <c r="IGK276" s="609"/>
      <c r="IGL276" s="609"/>
      <c r="IGM276" s="609"/>
      <c r="IGN276" s="609"/>
      <c r="IGO276" s="609"/>
      <c r="IGP276" s="609"/>
      <c r="IGQ276" s="609"/>
      <c r="IGR276" s="609"/>
      <c r="IGS276" s="609"/>
      <c r="IGT276" s="609"/>
      <c r="IGU276" s="609"/>
      <c r="IGV276" s="609"/>
      <c r="IGW276" s="609"/>
      <c r="IGX276" s="609"/>
      <c r="IGY276" s="609"/>
      <c r="IGZ276" s="609"/>
      <c r="IHA276" s="609"/>
      <c r="IHB276" s="609"/>
      <c r="IHC276" s="609"/>
      <c r="IHD276" s="609"/>
      <c r="IHE276" s="609"/>
      <c r="IHF276" s="609"/>
      <c r="IHG276" s="609"/>
      <c r="IHH276" s="609"/>
      <c r="IHI276" s="609"/>
      <c r="IHJ276" s="609"/>
      <c r="IHK276" s="609"/>
      <c r="IHL276" s="609"/>
      <c r="IHM276" s="609"/>
      <c r="IHN276" s="609"/>
      <c r="IHO276" s="609"/>
      <c r="IHP276" s="609"/>
      <c r="IHQ276" s="609"/>
      <c r="IHR276" s="609"/>
      <c r="IHS276" s="609"/>
      <c r="IHT276" s="609"/>
      <c r="IHU276" s="609"/>
      <c r="IHV276" s="609"/>
      <c r="IHW276" s="609"/>
      <c r="IHX276" s="609"/>
      <c r="IHY276" s="609"/>
      <c r="IHZ276" s="609"/>
      <c r="IIA276" s="609"/>
      <c r="IIB276" s="609"/>
      <c r="IIC276" s="609"/>
      <c r="IID276" s="609"/>
      <c r="IIE276" s="609"/>
      <c r="IIF276" s="609"/>
      <c r="IIG276" s="609"/>
      <c r="IIH276" s="609"/>
      <c r="III276" s="609"/>
      <c r="IIJ276" s="609"/>
      <c r="IIK276" s="609"/>
      <c r="IIL276" s="609"/>
      <c r="IIM276" s="609"/>
      <c r="IIN276" s="609"/>
      <c r="IIO276" s="609"/>
      <c r="IIP276" s="609"/>
      <c r="IIQ276" s="609"/>
      <c r="IIR276" s="609"/>
      <c r="IIS276" s="609"/>
      <c r="IIT276" s="609"/>
      <c r="IIU276" s="609"/>
      <c r="IIV276" s="609"/>
      <c r="IIW276" s="609"/>
      <c r="IIX276" s="609"/>
      <c r="IIY276" s="609"/>
      <c r="IIZ276" s="609"/>
      <c r="IJA276" s="609"/>
      <c r="IJB276" s="609"/>
      <c r="IJC276" s="609"/>
      <c r="IJD276" s="609"/>
      <c r="IJE276" s="609"/>
      <c r="IJF276" s="609"/>
      <c r="IJG276" s="609"/>
      <c r="IJH276" s="609"/>
      <c r="IJI276" s="609"/>
      <c r="IJJ276" s="609"/>
      <c r="IJK276" s="609"/>
      <c r="IJL276" s="609"/>
      <c r="IJM276" s="609"/>
      <c r="IJN276" s="609"/>
      <c r="IJO276" s="609"/>
      <c r="IJP276" s="609"/>
      <c r="IJQ276" s="609"/>
      <c r="IJR276" s="609"/>
      <c r="IJS276" s="609"/>
      <c r="IJT276" s="609"/>
      <c r="IJU276" s="609"/>
      <c r="IJV276" s="609"/>
      <c r="IJW276" s="609"/>
      <c r="IJX276" s="609"/>
      <c r="IJY276" s="609"/>
      <c r="IJZ276" s="609"/>
      <c r="IKA276" s="609"/>
      <c r="IKB276" s="609"/>
      <c r="IKC276" s="609"/>
      <c r="IKD276" s="609"/>
      <c r="IKE276" s="609"/>
      <c r="IKF276" s="609"/>
      <c r="IKG276" s="609"/>
      <c r="IKH276" s="609"/>
      <c r="IKI276" s="609"/>
      <c r="IKJ276" s="609"/>
      <c r="IKK276" s="609"/>
      <c r="IKL276" s="609"/>
      <c r="IKM276" s="609"/>
      <c r="IKN276" s="609"/>
      <c r="IKO276" s="609"/>
      <c r="IKP276" s="609"/>
      <c r="IKQ276" s="609"/>
      <c r="IKR276" s="609"/>
      <c r="IKS276" s="609"/>
      <c r="IKT276" s="609"/>
      <c r="IKU276" s="609"/>
      <c r="IKV276" s="609"/>
      <c r="IKW276" s="609"/>
      <c r="IKX276" s="609"/>
      <c r="IKY276" s="609"/>
      <c r="IKZ276" s="609"/>
      <c r="ILA276" s="609"/>
      <c r="ILB276" s="609"/>
      <c r="ILC276" s="609"/>
      <c r="ILD276" s="609"/>
      <c r="ILE276" s="609"/>
      <c r="ILF276" s="609"/>
      <c r="ILG276" s="609"/>
      <c r="ILH276" s="609"/>
      <c r="ILI276" s="609"/>
      <c r="ILJ276" s="609"/>
      <c r="ILK276" s="609"/>
      <c r="ILL276" s="609"/>
      <c r="ILM276" s="609"/>
      <c r="ILN276" s="609"/>
      <c r="ILO276" s="609"/>
      <c r="ILP276" s="609"/>
      <c r="ILQ276" s="609"/>
      <c r="ILR276" s="609"/>
      <c r="ILS276" s="609"/>
      <c r="ILT276" s="609"/>
      <c r="ILU276" s="609"/>
      <c r="ILV276" s="609"/>
      <c r="ILW276" s="609"/>
      <c r="ILX276" s="609"/>
      <c r="ILY276" s="609"/>
      <c r="ILZ276" s="609"/>
      <c r="IMA276" s="609"/>
      <c r="IMB276" s="609"/>
      <c r="IMC276" s="609"/>
      <c r="IMD276" s="609"/>
      <c r="IME276" s="609"/>
      <c r="IMF276" s="609"/>
      <c r="IMG276" s="609"/>
      <c r="IMH276" s="609"/>
      <c r="IMI276" s="609"/>
      <c r="IMJ276" s="609"/>
      <c r="IMK276" s="609"/>
      <c r="IML276" s="609"/>
      <c r="IMM276" s="609"/>
      <c r="IMN276" s="609"/>
      <c r="IMO276" s="609"/>
      <c r="IMP276" s="609"/>
      <c r="IMQ276" s="609"/>
      <c r="IMR276" s="609"/>
      <c r="IMS276" s="609"/>
      <c r="IMT276" s="609"/>
      <c r="IMU276" s="609"/>
      <c r="IMV276" s="609"/>
      <c r="IMW276" s="609"/>
      <c r="IMX276" s="609"/>
      <c r="IMY276" s="609"/>
      <c r="IMZ276" s="609"/>
      <c r="INA276" s="609"/>
      <c r="INB276" s="609"/>
      <c r="INC276" s="609"/>
      <c r="IND276" s="609"/>
      <c r="INE276" s="609"/>
      <c r="INF276" s="609"/>
      <c r="ING276" s="609"/>
      <c r="INH276" s="609"/>
      <c r="INI276" s="609"/>
      <c r="INJ276" s="609"/>
      <c r="INK276" s="609"/>
      <c r="INL276" s="609"/>
      <c r="INM276" s="609"/>
      <c r="INN276" s="609"/>
      <c r="INO276" s="609"/>
      <c r="INP276" s="609"/>
      <c r="INQ276" s="609"/>
      <c r="INR276" s="609"/>
      <c r="INS276" s="609"/>
      <c r="INT276" s="609"/>
      <c r="INU276" s="609"/>
      <c r="INV276" s="609"/>
      <c r="INW276" s="609"/>
      <c r="INX276" s="609"/>
      <c r="INY276" s="609"/>
      <c r="INZ276" s="609"/>
      <c r="IOA276" s="609"/>
      <c r="IOB276" s="609"/>
      <c r="IOC276" s="609"/>
      <c r="IOD276" s="609"/>
      <c r="IOE276" s="609"/>
      <c r="IOF276" s="609"/>
      <c r="IOG276" s="609"/>
      <c r="IOH276" s="609"/>
      <c r="IOI276" s="609"/>
      <c r="IOJ276" s="609"/>
      <c r="IOK276" s="609"/>
      <c r="IOL276" s="609"/>
      <c r="IOM276" s="609"/>
      <c r="ION276" s="609"/>
      <c r="IOO276" s="609"/>
      <c r="IOP276" s="609"/>
      <c r="IOQ276" s="609"/>
      <c r="IOR276" s="609"/>
      <c r="IOS276" s="609"/>
      <c r="IOT276" s="609"/>
      <c r="IOU276" s="609"/>
      <c r="IOV276" s="609"/>
      <c r="IOW276" s="609"/>
      <c r="IOX276" s="609"/>
      <c r="IOY276" s="609"/>
      <c r="IOZ276" s="609"/>
      <c r="IPA276" s="609"/>
      <c r="IPB276" s="609"/>
      <c r="IPC276" s="609"/>
      <c r="IPD276" s="609"/>
      <c r="IPE276" s="609"/>
      <c r="IPF276" s="609"/>
      <c r="IPG276" s="609"/>
      <c r="IPH276" s="609"/>
      <c r="IPI276" s="609"/>
      <c r="IPJ276" s="609"/>
      <c r="IPK276" s="609"/>
      <c r="IPL276" s="609"/>
      <c r="IPM276" s="609"/>
      <c r="IPN276" s="609"/>
      <c r="IPO276" s="609"/>
      <c r="IPP276" s="609"/>
      <c r="IPQ276" s="609"/>
      <c r="IPR276" s="609"/>
      <c r="IPS276" s="609"/>
      <c r="IPT276" s="609"/>
      <c r="IPU276" s="609"/>
      <c r="IPV276" s="609"/>
      <c r="IPW276" s="609"/>
      <c r="IPX276" s="609"/>
      <c r="IPY276" s="609"/>
      <c r="IPZ276" s="609"/>
      <c r="IQA276" s="609"/>
      <c r="IQB276" s="609"/>
      <c r="IQC276" s="609"/>
      <c r="IQD276" s="609"/>
      <c r="IQE276" s="609"/>
      <c r="IQF276" s="609"/>
      <c r="IQG276" s="609"/>
      <c r="IQH276" s="609"/>
      <c r="IQI276" s="609"/>
      <c r="IQJ276" s="609"/>
      <c r="IQK276" s="609"/>
      <c r="IQL276" s="609"/>
      <c r="IQM276" s="609"/>
      <c r="IQN276" s="609"/>
      <c r="IQO276" s="609"/>
      <c r="IQP276" s="609"/>
      <c r="IQQ276" s="609"/>
      <c r="IQR276" s="609"/>
      <c r="IQS276" s="609"/>
      <c r="IQT276" s="609"/>
      <c r="IQU276" s="609"/>
      <c r="IQV276" s="609"/>
      <c r="IQW276" s="609"/>
      <c r="IQX276" s="609"/>
      <c r="IQY276" s="609"/>
      <c r="IQZ276" s="609"/>
      <c r="IRA276" s="609"/>
      <c r="IRB276" s="609"/>
      <c r="IRC276" s="609"/>
      <c r="IRD276" s="609"/>
      <c r="IRE276" s="609"/>
      <c r="IRF276" s="609"/>
      <c r="IRG276" s="609"/>
      <c r="IRH276" s="609"/>
      <c r="IRI276" s="609"/>
      <c r="IRJ276" s="609"/>
      <c r="IRK276" s="609"/>
      <c r="IRL276" s="609"/>
      <c r="IRM276" s="609"/>
      <c r="IRN276" s="609"/>
      <c r="IRO276" s="609"/>
      <c r="IRP276" s="609"/>
      <c r="IRQ276" s="609"/>
      <c r="IRR276" s="609"/>
      <c r="IRS276" s="609"/>
      <c r="IRT276" s="609"/>
      <c r="IRU276" s="609"/>
      <c r="IRV276" s="609"/>
      <c r="IRW276" s="609"/>
      <c r="IRX276" s="609"/>
      <c r="IRY276" s="609"/>
      <c r="IRZ276" s="609"/>
      <c r="ISA276" s="609"/>
      <c r="ISB276" s="609"/>
      <c r="ISC276" s="609"/>
      <c r="ISD276" s="609"/>
      <c r="ISE276" s="609"/>
      <c r="ISF276" s="609"/>
      <c r="ISG276" s="609"/>
      <c r="ISH276" s="609"/>
      <c r="ISI276" s="609"/>
      <c r="ISJ276" s="609"/>
      <c r="ISK276" s="609"/>
      <c r="ISL276" s="609"/>
      <c r="ISM276" s="609"/>
      <c r="ISN276" s="609"/>
      <c r="ISO276" s="609"/>
      <c r="ISP276" s="609"/>
      <c r="ISQ276" s="609"/>
      <c r="ISR276" s="609"/>
      <c r="ISS276" s="609"/>
      <c r="IST276" s="609"/>
      <c r="ISU276" s="609"/>
      <c r="ISV276" s="609"/>
      <c r="ISW276" s="609"/>
      <c r="ISX276" s="609"/>
      <c r="ISY276" s="609"/>
      <c r="ISZ276" s="609"/>
      <c r="ITA276" s="609"/>
      <c r="ITB276" s="609"/>
      <c r="ITC276" s="609"/>
      <c r="ITD276" s="609"/>
      <c r="ITE276" s="609"/>
      <c r="ITF276" s="609"/>
      <c r="ITG276" s="609"/>
      <c r="ITH276" s="609"/>
      <c r="ITI276" s="609"/>
      <c r="ITJ276" s="609"/>
      <c r="ITK276" s="609"/>
      <c r="ITL276" s="609"/>
      <c r="ITM276" s="609"/>
      <c r="ITN276" s="609"/>
      <c r="ITO276" s="609"/>
      <c r="ITP276" s="609"/>
      <c r="ITQ276" s="609"/>
      <c r="ITR276" s="609"/>
      <c r="ITS276" s="609"/>
      <c r="ITT276" s="609"/>
      <c r="ITU276" s="609"/>
      <c r="ITV276" s="609"/>
      <c r="ITW276" s="609"/>
      <c r="ITX276" s="609"/>
      <c r="ITY276" s="609"/>
      <c r="ITZ276" s="609"/>
      <c r="IUA276" s="609"/>
      <c r="IUB276" s="609"/>
      <c r="IUC276" s="609"/>
      <c r="IUD276" s="609"/>
      <c r="IUE276" s="609"/>
      <c r="IUF276" s="609"/>
      <c r="IUG276" s="609"/>
      <c r="IUH276" s="609"/>
      <c r="IUI276" s="609"/>
      <c r="IUJ276" s="609"/>
      <c r="IUK276" s="609"/>
      <c r="IUL276" s="609"/>
      <c r="IUM276" s="609"/>
      <c r="IUN276" s="609"/>
      <c r="IUO276" s="609"/>
      <c r="IUP276" s="609"/>
      <c r="IUQ276" s="609"/>
      <c r="IUR276" s="609"/>
      <c r="IUS276" s="609"/>
      <c r="IUT276" s="609"/>
      <c r="IUU276" s="609"/>
      <c r="IUV276" s="609"/>
      <c r="IUW276" s="609"/>
      <c r="IUX276" s="609"/>
      <c r="IUY276" s="609"/>
      <c r="IUZ276" s="609"/>
      <c r="IVA276" s="609"/>
      <c r="IVB276" s="609"/>
      <c r="IVC276" s="609"/>
      <c r="IVD276" s="609"/>
      <c r="IVE276" s="609"/>
      <c r="IVF276" s="609"/>
      <c r="IVG276" s="609"/>
      <c r="IVH276" s="609"/>
      <c r="IVI276" s="609"/>
      <c r="IVJ276" s="609"/>
      <c r="IVK276" s="609"/>
      <c r="IVL276" s="609"/>
      <c r="IVM276" s="609"/>
      <c r="IVN276" s="609"/>
      <c r="IVO276" s="609"/>
      <c r="IVP276" s="609"/>
      <c r="IVQ276" s="609"/>
      <c r="IVR276" s="609"/>
      <c r="IVS276" s="609"/>
      <c r="IVT276" s="609"/>
      <c r="IVU276" s="609"/>
      <c r="IVV276" s="609"/>
      <c r="IVW276" s="609"/>
      <c r="IVX276" s="609"/>
      <c r="IVY276" s="609"/>
      <c r="IVZ276" s="609"/>
      <c r="IWA276" s="609"/>
      <c r="IWB276" s="609"/>
      <c r="IWC276" s="609"/>
      <c r="IWD276" s="609"/>
      <c r="IWE276" s="609"/>
      <c r="IWF276" s="609"/>
      <c r="IWG276" s="609"/>
      <c r="IWH276" s="609"/>
      <c r="IWI276" s="609"/>
      <c r="IWJ276" s="609"/>
      <c r="IWK276" s="609"/>
      <c r="IWL276" s="609"/>
      <c r="IWM276" s="609"/>
      <c r="IWN276" s="609"/>
      <c r="IWO276" s="609"/>
      <c r="IWP276" s="609"/>
      <c r="IWQ276" s="609"/>
      <c r="IWR276" s="609"/>
      <c r="IWS276" s="609"/>
      <c r="IWT276" s="609"/>
      <c r="IWU276" s="609"/>
      <c r="IWV276" s="609"/>
      <c r="IWW276" s="609"/>
      <c r="IWX276" s="609"/>
      <c r="IWY276" s="609"/>
      <c r="IWZ276" s="609"/>
      <c r="IXA276" s="609"/>
      <c r="IXB276" s="609"/>
      <c r="IXC276" s="609"/>
      <c r="IXD276" s="609"/>
      <c r="IXE276" s="609"/>
      <c r="IXF276" s="609"/>
      <c r="IXG276" s="609"/>
      <c r="IXH276" s="609"/>
      <c r="IXI276" s="609"/>
      <c r="IXJ276" s="609"/>
      <c r="IXK276" s="609"/>
      <c r="IXL276" s="609"/>
      <c r="IXM276" s="609"/>
      <c r="IXN276" s="609"/>
      <c r="IXO276" s="609"/>
      <c r="IXP276" s="609"/>
      <c r="IXQ276" s="609"/>
      <c r="IXR276" s="609"/>
      <c r="IXS276" s="609"/>
      <c r="IXT276" s="609"/>
      <c r="IXU276" s="609"/>
      <c r="IXV276" s="609"/>
      <c r="IXW276" s="609"/>
      <c r="IXX276" s="609"/>
      <c r="IXY276" s="609"/>
      <c r="IXZ276" s="609"/>
      <c r="IYA276" s="609"/>
      <c r="IYB276" s="609"/>
      <c r="IYC276" s="609"/>
      <c r="IYD276" s="609"/>
      <c r="IYE276" s="609"/>
      <c r="IYF276" s="609"/>
      <c r="IYG276" s="609"/>
      <c r="IYH276" s="609"/>
      <c r="IYI276" s="609"/>
      <c r="IYJ276" s="609"/>
      <c r="IYK276" s="609"/>
      <c r="IYL276" s="609"/>
      <c r="IYM276" s="609"/>
      <c r="IYN276" s="609"/>
      <c r="IYO276" s="609"/>
      <c r="IYP276" s="609"/>
      <c r="IYQ276" s="609"/>
      <c r="IYR276" s="609"/>
      <c r="IYS276" s="609"/>
      <c r="IYT276" s="609"/>
      <c r="IYU276" s="609"/>
      <c r="IYV276" s="609"/>
      <c r="IYW276" s="609"/>
      <c r="IYX276" s="609"/>
      <c r="IYY276" s="609"/>
      <c r="IYZ276" s="609"/>
      <c r="IZA276" s="609"/>
      <c r="IZB276" s="609"/>
      <c r="IZC276" s="609"/>
      <c r="IZD276" s="609"/>
      <c r="IZE276" s="609"/>
      <c r="IZF276" s="609"/>
      <c r="IZG276" s="609"/>
      <c r="IZH276" s="609"/>
      <c r="IZI276" s="609"/>
      <c r="IZJ276" s="609"/>
      <c r="IZK276" s="609"/>
      <c r="IZL276" s="609"/>
      <c r="IZM276" s="609"/>
      <c r="IZN276" s="609"/>
      <c r="IZO276" s="609"/>
      <c r="IZP276" s="609"/>
      <c r="IZQ276" s="609"/>
      <c r="IZR276" s="609"/>
      <c r="IZS276" s="609"/>
      <c r="IZT276" s="609"/>
      <c r="IZU276" s="609"/>
      <c r="IZV276" s="609"/>
      <c r="IZW276" s="609"/>
      <c r="IZX276" s="609"/>
      <c r="IZY276" s="609"/>
      <c r="IZZ276" s="609"/>
      <c r="JAA276" s="609"/>
      <c r="JAB276" s="609"/>
      <c r="JAC276" s="609"/>
      <c r="JAD276" s="609"/>
      <c r="JAE276" s="609"/>
      <c r="JAF276" s="609"/>
      <c r="JAG276" s="609"/>
      <c r="JAH276" s="609"/>
      <c r="JAI276" s="609"/>
      <c r="JAJ276" s="609"/>
      <c r="JAK276" s="609"/>
      <c r="JAL276" s="609"/>
      <c r="JAM276" s="609"/>
      <c r="JAN276" s="609"/>
      <c r="JAO276" s="609"/>
      <c r="JAP276" s="609"/>
      <c r="JAQ276" s="609"/>
      <c r="JAR276" s="609"/>
      <c r="JAS276" s="609"/>
      <c r="JAT276" s="609"/>
      <c r="JAU276" s="609"/>
      <c r="JAV276" s="609"/>
      <c r="JAW276" s="609"/>
      <c r="JAX276" s="609"/>
      <c r="JAY276" s="609"/>
      <c r="JAZ276" s="609"/>
      <c r="JBA276" s="609"/>
      <c r="JBB276" s="609"/>
      <c r="JBC276" s="609"/>
      <c r="JBD276" s="609"/>
      <c r="JBE276" s="609"/>
      <c r="JBF276" s="609"/>
      <c r="JBG276" s="609"/>
      <c r="JBH276" s="609"/>
      <c r="JBI276" s="609"/>
      <c r="JBJ276" s="609"/>
      <c r="JBK276" s="609"/>
      <c r="JBL276" s="609"/>
      <c r="JBM276" s="609"/>
      <c r="JBN276" s="609"/>
      <c r="JBO276" s="609"/>
      <c r="JBP276" s="609"/>
      <c r="JBQ276" s="609"/>
      <c r="JBR276" s="609"/>
      <c r="JBS276" s="609"/>
      <c r="JBT276" s="609"/>
      <c r="JBU276" s="609"/>
      <c r="JBV276" s="609"/>
      <c r="JBW276" s="609"/>
      <c r="JBX276" s="609"/>
      <c r="JBY276" s="609"/>
      <c r="JBZ276" s="609"/>
      <c r="JCA276" s="609"/>
      <c r="JCB276" s="609"/>
      <c r="JCC276" s="609"/>
      <c r="JCD276" s="609"/>
      <c r="JCE276" s="609"/>
      <c r="JCF276" s="609"/>
      <c r="JCG276" s="609"/>
      <c r="JCH276" s="609"/>
      <c r="JCI276" s="609"/>
      <c r="JCJ276" s="609"/>
      <c r="JCK276" s="609"/>
      <c r="JCL276" s="609"/>
      <c r="JCM276" s="609"/>
      <c r="JCN276" s="609"/>
      <c r="JCO276" s="609"/>
      <c r="JCP276" s="609"/>
      <c r="JCQ276" s="609"/>
      <c r="JCR276" s="609"/>
      <c r="JCS276" s="609"/>
      <c r="JCT276" s="609"/>
      <c r="JCU276" s="609"/>
      <c r="JCV276" s="609"/>
      <c r="JCW276" s="609"/>
      <c r="JCX276" s="609"/>
      <c r="JCY276" s="609"/>
      <c r="JCZ276" s="609"/>
      <c r="JDA276" s="609"/>
      <c r="JDB276" s="609"/>
      <c r="JDC276" s="609"/>
      <c r="JDD276" s="609"/>
      <c r="JDE276" s="609"/>
      <c r="JDF276" s="609"/>
      <c r="JDG276" s="609"/>
      <c r="JDH276" s="609"/>
      <c r="JDI276" s="609"/>
      <c r="JDJ276" s="609"/>
      <c r="JDK276" s="609"/>
      <c r="JDL276" s="609"/>
      <c r="JDM276" s="609"/>
      <c r="JDN276" s="609"/>
      <c r="JDO276" s="609"/>
      <c r="JDP276" s="609"/>
      <c r="JDQ276" s="609"/>
      <c r="JDR276" s="609"/>
      <c r="JDS276" s="609"/>
      <c r="JDT276" s="609"/>
      <c r="JDU276" s="609"/>
      <c r="JDV276" s="609"/>
      <c r="JDW276" s="609"/>
      <c r="JDX276" s="609"/>
      <c r="JDY276" s="609"/>
      <c r="JDZ276" s="609"/>
      <c r="JEA276" s="609"/>
      <c r="JEB276" s="609"/>
      <c r="JEC276" s="609"/>
      <c r="JED276" s="609"/>
      <c r="JEE276" s="609"/>
      <c r="JEF276" s="609"/>
      <c r="JEG276" s="609"/>
      <c r="JEH276" s="609"/>
      <c r="JEI276" s="609"/>
      <c r="JEJ276" s="609"/>
      <c r="JEK276" s="609"/>
      <c r="JEL276" s="609"/>
      <c r="JEM276" s="609"/>
      <c r="JEN276" s="609"/>
      <c r="JEO276" s="609"/>
      <c r="JEP276" s="609"/>
      <c r="JEQ276" s="609"/>
      <c r="JER276" s="609"/>
      <c r="JES276" s="609"/>
      <c r="JET276" s="609"/>
      <c r="JEU276" s="609"/>
      <c r="JEV276" s="609"/>
      <c r="JEW276" s="609"/>
      <c r="JEX276" s="609"/>
      <c r="JEY276" s="609"/>
      <c r="JEZ276" s="609"/>
      <c r="JFA276" s="609"/>
      <c r="JFB276" s="609"/>
      <c r="JFC276" s="609"/>
      <c r="JFD276" s="609"/>
      <c r="JFE276" s="609"/>
      <c r="JFF276" s="609"/>
      <c r="JFG276" s="609"/>
      <c r="JFH276" s="609"/>
      <c r="JFI276" s="609"/>
      <c r="JFJ276" s="609"/>
      <c r="JFK276" s="609"/>
      <c r="JFL276" s="609"/>
      <c r="JFM276" s="609"/>
      <c r="JFN276" s="609"/>
      <c r="JFO276" s="609"/>
      <c r="JFP276" s="609"/>
      <c r="JFQ276" s="609"/>
      <c r="JFR276" s="609"/>
      <c r="JFS276" s="609"/>
      <c r="JFT276" s="609"/>
      <c r="JFU276" s="609"/>
      <c r="JFV276" s="609"/>
      <c r="JFW276" s="609"/>
      <c r="JFX276" s="609"/>
      <c r="JFY276" s="609"/>
      <c r="JFZ276" s="609"/>
      <c r="JGA276" s="609"/>
      <c r="JGB276" s="609"/>
      <c r="JGC276" s="609"/>
      <c r="JGD276" s="609"/>
      <c r="JGE276" s="609"/>
      <c r="JGF276" s="609"/>
      <c r="JGG276" s="609"/>
      <c r="JGH276" s="609"/>
      <c r="JGI276" s="609"/>
      <c r="JGJ276" s="609"/>
      <c r="JGK276" s="609"/>
      <c r="JGL276" s="609"/>
      <c r="JGM276" s="609"/>
      <c r="JGN276" s="609"/>
      <c r="JGO276" s="609"/>
      <c r="JGP276" s="609"/>
      <c r="JGQ276" s="609"/>
      <c r="JGR276" s="609"/>
      <c r="JGS276" s="609"/>
      <c r="JGT276" s="609"/>
      <c r="JGU276" s="609"/>
      <c r="JGV276" s="609"/>
      <c r="JGW276" s="609"/>
      <c r="JGX276" s="609"/>
      <c r="JGY276" s="609"/>
      <c r="JGZ276" s="609"/>
      <c r="JHA276" s="609"/>
      <c r="JHB276" s="609"/>
      <c r="JHC276" s="609"/>
      <c r="JHD276" s="609"/>
      <c r="JHE276" s="609"/>
      <c r="JHF276" s="609"/>
      <c r="JHG276" s="609"/>
      <c r="JHH276" s="609"/>
      <c r="JHI276" s="609"/>
      <c r="JHJ276" s="609"/>
      <c r="JHK276" s="609"/>
      <c r="JHL276" s="609"/>
      <c r="JHM276" s="609"/>
      <c r="JHN276" s="609"/>
      <c r="JHO276" s="609"/>
      <c r="JHP276" s="609"/>
      <c r="JHQ276" s="609"/>
      <c r="JHR276" s="609"/>
      <c r="JHS276" s="609"/>
      <c r="JHT276" s="609"/>
      <c r="JHU276" s="609"/>
      <c r="JHV276" s="609"/>
      <c r="JHW276" s="609"/>
      <c r="JHX276" s="609"/>
      <c r="JHY276" s="609"/>
      <c r="JHZ276" s="609"/>
      <c r="JIA276" s="609"/>
      <c r="JIB276" s="609"/>
      <c r="JIC276" s="609"/>
      <c r="JID276" s="609"/>
      <c r="JIE276" s="609"/>
      <c r="JIF276" s="609"/>
      <c r="JIG276" s="609"/>
      <c r="JIH276" s="609"/>
      <c r="JII276" s="609"/>
      <c r="JIJ276" s="609"/>
      <c r="JIK276" s="609"/>
      <c r="JIL276" s="609"/>
      <c r="JIM276" s="609"/>
      <c r="JIN276" s="609"/>
      <c r="JIO276" s="609"/>
      <c r="JIP276" s="609"/>
      <c r="JIQ276" s="609"/>
      <c r="JIR276" s="609"/>
      <c r="JIS276" s="609"/>
      <c r="JIT276" s="609"/>
      <c r="JIU276" s="609"/>
      <c r="JIV276" s="609"/>
      <c r="JIW276" s="609"/>
      <c r="JIX276" s="609"/>
      <c r="JIY276" s="609"/>
      <c r="JIZ276" s="609"/>
      <c r="JJA276" s="609"/>
      <c r="JJB276" s="609"/>
      <c r="JJC276" s="609"/>
      <c r="JJD276" s="609"/>
      <c r="JJE276" s="609"/>
      <c r="JJF276" s="609"/>
      <c r="JJG276" s="609"/>
      <c r="JJH276" s="609"/>
      <c r="JJI276" s="609"/>
      <c r="JJJ276" s="609"/>
      <c r="JJK276" s="609"/>
      <c r="JJL276" s="609"/>
      <c r="JJM276" s="609"/>
      <c r="JJN276" s="609"/>
      <c r="JJO276" s="609"/>
      <c r="JJP276" s="609"/>
      <c r="JJQ276" s="609"/>
      <c r="JJR276" s="609"/>
      <c r="JJS276" s="609"/>
      <c r="JJT276" s="609"/>
      <c r="JJU276" s="609"/>
      <c r="JJV276" s="609"/>
      <c r="JJW276" s="609"/>
      <c r="JJX276" s="609"/>
      <c r="JJY276" s="609"/>
      <c r="JJZ276" s="609"/>
      <c r="JKA276" s="609"/>
      <c r="JKB276" s="609"/>
      <c r="JKC276" s="609"/>
      <c r="JKD276" s="609"/>
      <c r="JKE276" s="609"/>
      <c r="JKF276" s="609"/>
      <c r="JKG276" s="609"/>
      <c r="JKH276" s="609"/>
      <c r="JKI276" s="609"/>
      <c r="JKJ276" s="609"/>
      <c r="JKK276" s="609"/>
      <c r="JKL276" s="609"/>
      <c r="JKM276" s="609"/>
      <c r="JKN276" s="609"/>
      <c r="JKO276" s="609"/>
      <c r="JKP276" s="609"/>
      <c r="JKQ276" s="609"/>
      <c r="JKR276" s="609"/>
      <c r="JKS276" s="609"/>
      <c r="JKT276" s="609"/>
      <c r="JKU276" s="609"/>
      <c r="JKV276" s="609"/>
      <c r="JKW276" s="609"/>
      <c r="JKX276" s="609"/>
      <c r="JKY276" s="609"/>
      <c r="JKZ276" s="609"/>
      <c r="JLA276" s="609"/>
      <c r="JLB276" s="609"/>
      <c r="JLC276" s="609"/>
      <c r="JLD276" s="609"/>
      <c r="JLE276" s="609"/>
      <c r="JLF276" s="609"/>
      <c r="JLG276" s="609"/>
      <c r="JLH276" s="609"/>
      <c r="JLI276" s="609"/>
      <c r="JLJ276" s="609"/>
      <c r="JLK276" s="609"/>
      <c r="JLL276" s="609"/>
      <c r="JLM276" s="609"/>
      <c r="JLN276" s="609"/>
      <c r="JLO276" s="609"/>
      <c r="JLP276" s="609"/>
      <c r="JLQ276" s="609"/>
      <c r="JLR276" s="609"/>
      <c r="JLS276" s="609"/>
      <c r="JLT276" s="609"/>
      <c r="JLU276" s="609"/>
      <c r="JLV276" s="609"/>
      <c r="JLW276" s="609"/>
      <c r="JLX276" s="609"/>
      <c r="JLY276" s="609"/>
      <c r="JLZ276" s="609"/>
      <c r="JMA276" s="609"/>
      <c r="JMB276" s="609"/>
      <c r="JMC276" s="609"/>
      <c r="JMD276" s="609"/>
      <c r="JME276" s="609"/>
      <c r="JMF276" s="609"/>
      <c r="JMG276" s="609"/>
      <c r="JMH276" s="609"/>
      <c r="JMI276" s="609"/>
      <c r="JMJ276" s="609"/>
      <c r="JMK276" s="609"/>
      <c r="JML276" s="609"/>
      <c r="JMM276" s="609"/>
      <c r="JMN276" s="609"/>
      <c r="JMO276" s="609"/>
      <c r="JMP276" s="609"/>
      <c r="JMQ276" s="609"/>
      <c r="JMR276" s="609"/>
      <c r="JMS276" s="609"/>
      <c r="JMT276" s="609"/>
      <c r="JMU276" s="609"/>
      <c r="JMV276" s="609"/>
      <c r="JMW276" s="609"/>
      <c r="JMX276" s="609"/>
      <c r="JMY276" s="609"/>
      <c r="JMZ276" s="609"/>
      <c r="JNA276" s="609"/>
      <c r="JNB276" s="609"/>
      <c r="JNC276" s="609"/>
      <c r="JND276" s="609"/>
      <c r="JNE276" s="609"/>
      <c r="JNF276" s="609"/>
      <c r="JNG276" s="609"/>
      <c r="JNH276" s="609"/>
      <c r="JNI276" s="609"/>
      <c r="JNJ276" s="609"/>
      <c r="JNK276" s="609"/>
      <c r="JNL276" s="609"/>
      <c r="JNM276" s="609"/>
      <c r="JNN276" s="609"/>
      <c r="JNO276" s="609"/>
      <c r="JNP276" s="609"/>
      <c r="JNQ276" s="609"/>
      <c r="JNR276" s="609"/>
      <c r="JNS276" s="609"/>
      <c r="JNT276" s="609"/>
      <c r="JNU276" s="609"/>
      <c r="JNV276" s="609"/>
      <c r="JNW276" s="609"/>
      <c r="JNX276" s="609"/>
      <c r="JNY276" s="609"/>
      <c r="JNZ276" s="609"/>
      <c r="JOA276" s="609"/>
      <c r="JOB276" s="609"/>
      <c r="JOC276" s="609"/>
      <c r="JOD276" s="609"/>
      <c r="JOE276" s="609"/>
      <c r="JOF276" s="609"/>
      <c r="JOG276" s="609"/>
      <c r="JOH276" s="609"/>
      <c r="JOI276" s="609"/>
      <c r="JOJ276" s="609"/>
      <c r="JOK276" s="609"/>
      <c r="JOL276" s="609"/>
      <c r="JOM276" s="609"/>
      <c r="JON276" s="609"/>
      <c r="JOO276" s="609"/>
      <c r="JOP276" s="609"/>
      <c r="JOQ276" s="609"/>
      <c r="JOR276" s="609"/>
      <c r="JOS276" s="609"/>
      <c r="JOT276" s="609"/>
      <c r="JOU276" s="609"/>
      <c r="JOV276" s="609"/>
      <c r="JOW276" s="609"/>
      <c r="JOX276" s="609"/>
      <c r="JOY276" s="609"/>
      <c r="JOZ276" s="609"/>
      <c r="JPA276" s="609"/>
      <c r="JPB276" s="609"/>
      <c r="JPC276" s="609"/>
      <c r="JPD276" s="609"/>
      <c r="JPE276" s="609"/>
      <c r="JPF276" s="609"/>
      <c r="JPG276" s="609"/>
      <c r="JPH276" s="609"/>
      <c r="JPI276" s="609"/>
      <c r="JPJ276" s="609"/>
      <c r="JPK276" s="609"/>
      <c r="JPL276" s="609"/>
      <c r="JPM276" s="609"/>
      <c r="JPN276" s="609"/>
      <c r="JPO276" s="609"/>
      <c r="JPP276" s="609"/>
      <c r="JPQ276" s="609"/>
      <c r="JPR276" s="609"/>
      <c r="JPS276" s="609"/>
      <c r="JPT276" s="609"/>
      <c r="JPU276" s="609"/>
      <c r="JPV276" s="609"/>
      <c r="JPW276" s="609"/>
      <c r="JPX276" s="609"/>
      <c r="JPY276" s="609"/>
      <c r="JPZ276" s="609"/>
      <c r="JQA276" s="609"/>
      <c r="JQB276" s="609"/>
      <c r="JQC276" s="609"/>
      <c r="JQD276" s="609"/>
      <c r="JQE276" s="609"/>
      <c r="JQF276" s="609"/>
      <c r="JQG276" s="609"/>
      <c r="JQH276" s="609"/>
      <c r="JQI276" s="609"/>
      <c r="JQJ276" s="609"/>
      <c r="JQK276" s="609"/>
      <c r="JQL276" s="609"/>
      <c r="JQM276" s="609"/>
      <c r="JQN276" s="609"/>
      <c r="JQO276" s="609"/>
      <c r="JQP276" s="609"/>
      <c r="JQQ276" s="609"/>
      <c r="JQR276" s="609"/>
      <c r="JQS276" s="609"/>
      <c r="JQT276" s="609"/>
      <c r="JQU276" s="609"/>
      <c r="JQV276" s="609"/>
      <c r="JQW276" s="609"/>
      <c r="JQX276" s="609"/>
      <c r="JQY276" s="609"/>
      <c r="JQZ276" s="609"/>
      <c r="JRA276" s="609"/>
      <c r="JRB276" s="609"/>
      <c r="JRC276" s="609"/>
      <c r="JRD276" s="609"/>
      <c r="JRE276" s="609"/>
      <c r="JRF276" s="609"/>
      <c r="JRG276" s="609"/>
      <c r="JRH276" s="609"/>
      <c r="JRI276" s="609"/>
      <c r="JRJ276" s="609"/>
      <c r="JRK276" s="609"/>
      <c r="JRL276" s="609"/>
      <c r="JRM276" s="609"/>
      <c r="JRN276" s="609"/>
      <c r="JRO276" s="609"/>
      <c r="JRP276" s="609"/>
      <c r="JRQ276" s="609"/>
      <c r="JRR276" s="609"/>
      <c r="JRS276" s="609"/>
      <c r="JRT276" s="609"/>
      <c r="JRU276" s="609"/>
      <c r="JRV276" s="609"/>
      <c r="JRW276" s="609"/>
      <c r="JRX276" s="609"/>
      <c r="JRY276" s="609"/>
      <c r="JRZ276" s="609"/>
      <c r="JSA276" s="609"/>
      <c r="JSB276" s="609"/>
      <c r="JSC276" s="609"/>
      <c r="JSD276" s="609"/>
      <c r="JSE276" s="609"/>
      <c r="JSF276" s="609"/>
      <c r="JSG276" s="609"/>
      <c r="JSH276" s="609"/>
      <c r="JSI276" s="609"/>
      <c r="JSJ276" s="609"/>
      <c r="JSK276" s="609"/>
      <c r="JSL276" s="609"/>
      <c r="JSM276" s="609"/>
      <c r="JSN276" s="609"/>
      <c r="JSO276" s="609"/>
      <c r="JSP276" s="609"/>
      <c r="JSQ276" s="609"/>
      <c r="JSR276" s="609"/>
      <c r="JSS276" s="609"/>
      <c r="JST276" s="609"/>
      <c r="JSU276" s="609"/>
      <c r="JSV276" s="609"/>
      <c r="JSW276" s="609"/>
      <c r="JSX276" s="609"/>
      <c r="JSY276" s="609"/>
      <c r="JSZ276" s="609"/>
      <c r="JTA276" s="609"/>
      <c r="JTB276" s="609"/>
      <c r="JTC276" s="609"/>
      <c r="JTD276" s="609"/>
      <c r="JTE276" s="609"/>
      <c r="JTF276" s="609"/>
      <c r="JTG276" s="609"/>
      <c r="JTH276" s="609"/>
      <c r="JTI276" s="609"/>
      <c r="JTJ276" s="609"/>
      <c r="JTK276" s="609"/>
      <c r="JTL276" s="609"/>
      <c r="JTM276" s="609"/>
      <c r="JTN276" s="609"/>
      <c r="JTO276" s="609"/>
      <c r="JTP276" s="609"/>
      <c r="JTQ276" s="609"/>
      <c r="JTR276" s="609"/>
      <c r="JTS276" s="609"/>
      <c r="JTT276" s="609"/>
      <c r="JTU276" s="609"/>
      <c r="JTV276" s="609"/>
      <c r="JTW276" s="609"/>
      <c r="JTX276" s="609"/>
      <c r="JTY276" s="609"/>
      <c r="JTZ276" s="609"/>
      <c r="JUA276" s="609"/>
      <c r="JUB276" s="609"/>
      <c r="JUC276" s="609"/>
      <c r="JUD276" s="609"/>
      <c r="JUE276" s="609"/>
      <c r="JUF276" s="609"/>
      <c r="JUG276" s="609"/>
      <c r="JUH276" s="609"/>
      <c r="JUI276" s="609"/>
      <c r="JUJ276" s="609"/>
      <c r="JUK276" s="609"/>
      <c r="JUL276" s="609"/>
      <c r="JUM276" s="609"/>
      <c r="JUN276" s="609"/>
      <c r="JUO276" s="609"/>
      <c r="JUP276" s="609"/>
      <c r="JUQ276" s="609"/>
      <c r="JUR276" s="609"/>
      <c r="JUS276" s="609"/>
      <c r="JUT276" s="609"/>
      <c r="JUU276" s="609"/>
      <c r="JUV276" s="609"/>
      <c r="JUW276" s="609"/>
      <c r="JUX276" s="609"/>
      <c r="JUY276" s="609"/>
      <c r="JUZ276" s="609"/>
      <c r="JVA276" s="609"/>
      <c r="JVB276" s="609"/>
      <c r="JVC276" s="609"/>
      <c r="JVD276" s="609"/>
      <c r="JVE276" s="609"/>
      <c r="JVF276" s="609"/>
      <c r="JVG276" s="609"/>
      <c r="JVH276" s="609"/>
      <c r="JVI276" s="609"/>
      <c r="JVJ276" s="609"/>
      <c r="JVK276" s="609"/>
      <c r="JVL276" s="609"/>
      <c r="JVM276" s="609"/>
      <c r="JVN276" s="609"/>
      <c r="JVO276" s="609"/>
      <c r="JVP276" s="609"/>
      <c r="JVQ276" s="609"/>
      <c r="JVR276" s="609"/>
      <c r="JVS276" s="609"/>
      <c r="JVT276" s="609"/>
      <c r="JVU276" s="609"/>
      <c r="JVV276" s="609"/>
      <c r="JVW276" s="609"/>
      <c r="JVX276" s="609"/>
      <c r="JVY276" s="609"/>
      <c r="JVZ276" s="609"/>
      <c r="JWA276" s="609"/>
      <c r="JWB276" s="609"/>
      <c r="JWC276" s="609"/>
      <c r="JWD276" s="609"/>
      <c r="JWE276" s="609"/>
      <c r="JWF276" s="609"/>
      <c r="JWG276" s="609"/>
      <c r="JWH276" s="609"/>
      <c r="JWI276" s="609"/>
      <c r="JWJ276" s="609"/>
      <c r="JWK276" s="609"/>
      <c r="JWL276" s="609"/>
      <c r="JWM276" s="609"/>
      <c r="JWN276" s="609"/>
      <c r="JWO276" s="609"/>
      <c r="JWP276" s="609"/>
      <c r="JWQ276" s="609"/>
      <c r="JWR276" s="609"/>
      <c r="JWS276" s="609"/>
      <c r="JWT276" s="609"/>
      <c r="JWU276" s="609"/>
      <c r="JWV276" s="609"/>
      <c r="JWW276" s="609"/>
      <c r="JWX276" s="609"/>
      <c r="JWY276" s="609"/>
      <c r="JWZ276" s="609"/>
      <c r="JXA276" s="609"/>
      <c r="JXB276" s="609"/>
      <c r="JXC276" s="609"/>
      <c r="JXD276" s="609"/>
      <c r="JXE276" s="609"/>
      <c r="JXF276" s="609"/>
      <c r="JXG276" s="609"/>
      <c r="JXH276" s="609"/>
      <c r="JXI276" s="609"/>
      <c r="JXJ276" s="609"/>
      <c r="JXK276" s="609"/>
      <c r="JXL276" s="609"/>
      <c r="JXM276" s="609"/>
      <c r="JXN276" s="609"/>
      <c r="JXO276" s="609"/>
      <c r="JXP276" s="609"/>
      <c r="JXQ276" s="609"/>
      <c r="JXR276" s="609"/>
      <c r="JXS276" s="609"/>
      <c r="JXT276" s="609"/>
      <c r="JXU276" s="609"/>
      <c r="JXV276" s="609"/>
      <c r="JXW276" s="609"/>
      <c r="JXX276" s="609"/>
      <c r="JXY276" s="609"/>
      <c r="JXZ276" s="609"/>
      <c r="JYA276" s="609"/>
      <c r="JYB276" s="609"/>
      <c r="JYC276" s="609"/>
      <c r="JYD276" s="609"/>
      <c r="JYE276" s="609"/>
      <c r="JYF276" s="609"/>
      <c r="JYG276" s="609"/>
      <c r="JYH276" s="609"/>
      <c r="JYI276" s="609"/>
      <c r="JYJ276" s="609"/>
      <c r="JYK276" s="609"/>
      <c r="JYL276" s="609"/>
      <c r="JYM276" s="609"/>
      <c r="JYN276" s="609"/>
      <c r="JYO276" s="609"/>
      <c r="JYP276" s="609"/>
      <c r="JYQ276" s="609"/>
      <c r="JYR276" s="609"/>
      <c r="JYS276" s="609"/>
      <c r="JYT276" s="609"/>
      <c r="JYU276" s="609"/>
      <c r="JYV276" s="609"/>
      <c r="JYW276" s="609"/>
      <c r="JYX276" s="609"/>
      <c r="JYY276" s="609"/>
      <c r="JYZ276" s="609"/>
      <c r="JZA276" s="609"/>
      <c r="JZB276" s="609"/>
      <c r="JZC276" s="609"/>
      <c r="JZD276" s="609"/>
      <c r="JZE276" s="609"/>
      <c r="JZF276" s="609"/>
      <c r="JZG276" s="609"/>
      <c r="JZH276" s="609"/>
      <c r="JZI276" s="609"/>
      <c r="JZJ276" s="609"/>
      <c r="JZK276" s="609"/>
      <c r="JZL276" s="609"/>
      <c r="JZM276" s="609"/>
      <c r="JZN276" s="609"/>
      <c r="JZO276" s="609"/>
      <c r="JZP276" s="609"/>
      <c r="JZQ276" s="609"/>
      <c r="JZR276" s="609"/>
      <c r="JZS276" s="609"/>
      <c r="JZT276" s="609"/>
      <c r="JZU276" s="609"/>
      <c r="JZV276" s="609"/>
      <c r="JZW276" s="609"/>
      <c r="JZX276" s="609"/>
      <c r="JZY276" s="609"/>
      <c r="JZZ276" s="609"/>
      <c r="KAA276" s="609"/>
      <c r="KAB276" s="609"/>
      <c r="KAC276" s="609"/>
      <c r="KAD276" s="609"/>
      <c r="KAE276" s="609"/>
      <c r="KAF276" s="609"/>
      <c r="KAG276" s="609"/>
      <c r="KAH276" s="609"/>
      <c r="KAI276" s="609"/>
      <c r="KAJ276" s="609"/>
      <c r="KAK276" s="609"/>
      <c r="KAL276" s="609"/>
      <c r="KAM276" s="609"/>
      <c r="KAN276" s="609"/>
      <c r="KAO276" s="609"/>
      <c r="KAP276" s="609"/>
      <c r="KAQ276" s="609"/>
      <c r="KAR276" s="609"/>
      <c r="KAS276" s="609"/>
      <c r="KAT276" s="609"/>
      <c r="KAU276" s="609"/>
      <c r="KAV276" s="609"/>
      <c r="KAW276" s="609"/>
      <c r="KAX276" s="609"/>
      <c r="KAY276" s="609"/>
      <c r="KAZ276" s="609"/>
      <c r="KBA276" s="609"/>
      <c r="KBB276" s="609"/>
      <c r="KBC276" s="609"/>
      <c r="KBD276" s="609"/>
      <c r="KBE276" s="609"/>
      <c r="KBF276" s="609"/>
      <c r="KBG276" s="609"/>
      <c r="KBH276" s="609"/>
      <c r="KBI276" s="609"/>
      <c r="KBJ276" s="609"/>
      <c r="KBK276" s="609"/>
      <c r="KBL276" s="609"/>
      <c r="KBM276" s="609"/>
      <c r="KBN276" s="609"/>
      <c r="KBO276" s="609"/>
      <c r="KBP276" s="609"/>
      <c r="KBQ276" s="609"/>
      <c r="KBR276" s="609"/>
      <c r="KBS276" s="609"/>
      <c r="KBT276" s="609"/>
      <c r="KBU276" s="609"/>
      <c r="KBV276" s="609"/>
      <c r="KBW276" s="609"/>
      <c r="KBX276" s="609"/>
      <c r="KBY276" s="609"/>
      <c r="KBZ276" s="609"/>
      <c r="KCA276" s="609"/>
      <c r="KCB276" s="609"/>
      <c r="KCC276" s="609"/>
      <c r="KCD276" s="609"/>
      <c r="KCE276" s="609"/>
      <c r="KCF276" s="609"/>
      <c r="KCG276" s="609"/>
      <c r="KCH276" s="609"/>
      <c r="KCI276" s="609"/>
      <c r="KCJ276" s="609"/>
      <c r="KCK276" s="609"/>
      <c r="KCL276" s="609"/>
      <c r="KCM276" s="609"/>
      <c r="KCN276" s="609"/>
      <c r="KCO276" s="609"/>
      <c r="KCP276" s="609"/>
      <c r="KCQ276" s="609"/>
      <c r="KCR276" s="609"/>
      <c r="KCS276" s="609"/>
      <c r="KCT276" s="609"/>
      <c r="KCU276" s="609"/>
      <c r="KCV276" s="609"/>
      <c r="KCW276" s="609"/>
      <c r="KCX276" s="609"/>
      <c r="KCY276" s="609"/>
      <c r="KCZ276" s="609"/>
      <c r="KDA276" s="609"/>
      <c r="KDB276" s="609"/>
      <c r="KDC276" s="609"/>
      <c r="KDD276" s="609"/>
      <c r="KDE276" s="609"/>
      <c r="KDF276" s="609"/>
      <c r="KDG276" s="609"/>
      <c r="KDH276" s="609"/>
      <c r="KDI276" s="609"/>
      <c r="KDJ276" s="609"/>
      <c r="KDK276" s="609"/>
      <c r="KDL276" s="609"/>
      <c r="KDM276" s="609"/>
      <c r="KDN276" s="609"/>
      <c r="KDO276" s="609"/>
      <c r="KDP276" s="609"/>
      <c r="KDQ276" s="609"/>
      <c r="KDR276" s="609"/>
      <c r="KDS276" s="609"/>
      <c r="KDT276" s="609"/>
      <c r="KDU276" s="609"/>
      <c r="KDV276" s="609"/>
      <c r="KDW276" s="609"/>
      <c r="KDX276" s="609"/>
      <c r="KDY276" s="609"/>
      <c r="KDZ276" s="609"/>
      <c r="KEA276" s="609"/>
      <c r="KEB276" s="609"/>
      <c r="KEC276" s="609"/>
      <c r="KED276" s="609"/>
      <c r="KEE276" s="609"/>
      <c r="KEF276" s="609"/>
      <c r="KEG276" s="609"/>
      <c r="KEH276" s="609"/>
      <c r="KEI276" s="609"/>
      <c r="KEJ276" s="609"/>
      <c r="KEK276" s="609"/>
      <c r="KEL276" s="609"/>
      <c r="KEM276" s="609"/>
      <c r="KEN276" s="609"/>
      <c r="KEO276" s="609"/>
      <c r="KEP276" s="609"/>
      <c r="KEQ276" s="609"/>
      <c r="KER276" s="609"/>
      <c r="KES276" s="609"/>
      <c r="KET276" s="609"/>
      <c r="KEU276" s="609"/>
      <c r="KEV276" s="609"/>
      <c r="KEW276" s="609"/>
      <c r="KEX276" s="609"/>
      <c r="KEY276" s="609"/>
      <c r="KEZ276" s="609"/>
      <c r="KFA276" s="609"/>
      <c r="KFB276" s="609"/>
      <c r="KFC276" s="609"/>
      <c r="KFD276" s="609"/>
      <c r="KFE276" s="609"/>
      <c r="KFF276" s="609"/>
      <c r="KFG276" s="609"/>
      <c r="KFH276" s="609"/>
      <c r="KFI276" s="609"/>
      <c r="KFJ276" s="609"/>
      <c r="KFK276" s="609"/>
      <c r="KFL276" s="609"/>
      <c r="KFM276" s="609"/>
      <c r="KFN276" s="609"/>
      <c r="KFO276" s="609"/>
      <c r="KFP276" s="609"/>
      <c r="KFQ276" s="609"/>
      <c r="KFR276" s="609"/>
      <c r="KFS276" s="609"/>
      <c r="KFT276" s="609"/>
      <c r="KFU276" s="609"/>
      <c r="KFV276" s="609"/>
      <c r="KFW276" s="609"/>
      <c r="KFX276" s="609"/>
      <c r="KFY276" s="609"/>
      <c r="KFZ276" s="609"/>
      <c r="KGA276" s="609"/>
      <c r="KGB276" s="609"/>
      <c r="KGC276" s="609"/>
      <c r="KGD276" s="609"/>
      <c r="KGE276" s="609"/>
      <c r="KGF276" s="609"/>
      <c r="KGG276" s="609"/>
      <c r="KGH276" s="609"/>
      <c r="KGI276" s="609"/>
      <c r="KGJ276" s="609"/>
      <c r="KGK276" s="609"/>
      <c r="KGL276" s="609"/>
      <c r="KGM276" s="609"/>
      <c r="KGN276" s="609"/>
      <c r="KGO276" s="609"/>
      <c r="KGP276" s="609"/>
      <c r="KGQ276" s="609"/>
      <c r="KGR276" s="609"/>
      <c r="KGS276" s="609"/>
      <c r="KGT276" s="609"/>
      <c r="KGU276" s="609"/>
      <c r="KGV276" s="609"/>
      <c r="KGW276" s="609"/>
      <c r="KGX276" s="609"/>
      <c r="KGY276" s="609"/>
      <c r="KGZ276" s="609"/>
      <c r="KHA276" s="609"/>
      <c r="KHB276" s="609"/>
      <c r="KHC276" s="609"/>
      <c r="KHD276" s="609"/>
      <c r="KHE276" s="609"/>
      <c r="KHF276" s="609"/>
      <c r="KHG276" s="609"/>
      <c r="KHH276" s="609"/>
      <c r="KHI276" s="609"/>
      <c r="KHJ276" s="609"/>
      <c r="KHK276" s="609"/>
      <c r="KHL276" s="609"/>
      <c r="KHM276" s="609"/>
      <c r="KHN276" s="609"/>
      <c r="KHO276" s="609"/>
      <c r="KHP276" s="609"/>
      <c r="KHQ276" s="609"/>
      <c r="KHR276" s="609"/>
      <c r="KHS276" s="609"/>
      <c r="KHT276" s="609"/>
      <c r="KHU276" s="609"/>
      <c r="KHV276" s="609"/>
      <c r="KHW276" s="609"/>
      <c r="KHX276" s="609"/>
      <c r="KHY276" s="609"/>
      <c r="KHZ276" s="609"/>
      <c r="KIA276" s="609"/>
      <c r="KIB276" s="609"/>
      <c r="KIC276" s="609"/>
      <c r="KID276" s="609"/>
      <c r="KIE276" s="609"/>
      <c r="KIF276" s="609"/>
      <c r="KIG276" s="609"/>
      <c r="KIH276" s="609"/>
      <c r="KII276" s="609"/>
      <c r="KIJ276" s="609"/>
      <c r="KIK276" s="609"/>
      <c r="KIL276" s="609"/>
      <c r="KIM276" s="609"/>
      <c r="KIN276" s="609"/>
      <c r="KIO276" s="609"/>
      <c r="KIP276" s="609"/>
      <c r="KIQ276" s="609"/>
      <c r="KIR276" s="609"/>
      <c r="KIS276" s="609"/>
      <c r="KIT276" s="609"/>
      <c r="KIU276" s="609"/>
      <c r="KIV276" s="609"/>
      <c r="KIW276" s="609"/>
      <c r="KIX276" s="609"/>
      <c r="KIY276" s="609"/>
      <c r="KIZ276" s="609"/>
      <c r="KJA276" s="609"/>
      <c r="KJB276" s="609"/>
      <c r="KJC276" s="609"/>
      <c r="KJD276" s="609"/>
      <c r="KJE276" s="609"/>
      <c r="KJF276" s="609"/>
      <c r="KJG276" s="609"/>
      <c r="KJH276" s="609"/>
      <c r="KJI276" s="609"/>
      <c r="KJJ276" s="609"/>
      <c r="KJK276" s="609"/>
      <c r="KJL276" s="609"/>
      <c r="KJM276" s="609"/>
      <c r="KJN276" s="609"/>
      <c r="KJO276" s="609"/>
      <c r="KJP276" s="609"/>
      <c r="KJQ276" s="609"/>
      <c r="KJR276" s="609"/>
      <c r="KJS276" s="609"/>
      <c r="KJT276" s="609"/>
      <c r="KJU276" s="609"/>
      <c r="KJV276" s="609"/>
      <c r="KJW276" s="609"/>
      <c r="KJX276" s="609"/>
      <c r="KJY276" s="609"/>
      <c r="KJZ276" s="609"/>
      <c r="KKA276" s="609"/>
      <c r="KKB276" s="609"/>
      <c r="KKC276" s="609"/>
      <c r="KKD276" s="609"/>
      <c r="KKE276" s="609"/>
      <c r="KKF276" s="609"/>
      <c r="KKG276" s="609"/>
      <c r="KKH276" s="609"/>
      <c r="KKI276" s="609"/>
      <c r="KKJ276" s="609"/>
      <c r="KKK276" s="609"/>
      <c r="KKL276" s="609"/>
      <c r="KKM276" s="609"/>
      <c r="KKN276" s="609"/>
      <c r="KKO276" s="609"/>
      <c r="KKP276" s="609"/>
      <c r="KKQ276" s="609"/>
      <c r="KKR276" s="609"/>
      <c r="KKS276" s="609"/>
      <c r="KKT276" s="609"/>
      <c r="KKU276" s="609"/>
      <c r="KKV276" s="609"/>
      <c r="KKW276" s="609"/>
      <c r="KKX276" s="609"/>
      <c r="KKY276" s="609"/>
      <c r="KKZ276" s="609"/>
      <c r="KLA276" s="609"/>
      <c r="KLB276" s="609"/>
      <c r="KLC276" s="609"/>
      <c r="KLD276" s="609"/>
      <c r="KLE276" s="609"/>
      <c r="KLF276" s="609"/>
      <c r="KLG276" s="609"/>
      <c r="KLH276" s="609"/>
      <c r="KLI276" s="609"/>
      <c r="KLJ276" s="609"/>
      <c r="KLK276" s="609"/>
      <c r="KLL276" s="609"/>
      <c r="KLM276" s="609"/>
      <c r="KLN276" s="609"/>
      <c r="KLO276" s="609"/>
      <c r="KLP276" s="609"/>
      <c r="KLQ276" s="609"/>
      <c r="KLR276" s="609"/>
      <c r="KLS276" s="609"/>
      <c r="KLT276" s="609"/>
      <c r="KLU276" s="609"/>
      <c r="KLV276" s="609"/>
      <c r="KLW276" s="609"/>
      <c r="KLX276" s="609"/>
      <c r="KLY276" s="609"/>
      <c r="KLZ276" s="609"/>
      <c r="KMA276" s="609"/>
      <c r="KMB276" s="609"/>
      <c r="KMC276" s="609"/>
      <c r="KMD276" s="609"/>
      <c r="KME276" s="609"/>
      <c r="KMF276" s="609"/>
      <c r="KMG276" s="609"/>
      <c r="KMH276" s="609"/>
      <c r="KMI276" s="609"/>
      <c r="KMJ276" s="609"/>
      <c r="KMK276" s="609"/>
      <c r="KML276" s="609"/>
      <c r="KMM276" s="609"/>
      <c r="KMN276" s="609"/>
      <c r="KMO276" s="609"/>
      <c r="KMP276" s="609"/>
      <c r="KMQ276" s="609"/>
      <c r="KMR276" s="609"/>
      <c r="KMS276" s="609"/>
      <c r="KMT276" s="609"/>
      <c r="KMU276" s="609"/>
      <c r="KMV276" s="609"/>
      <c r="KMW276" s="609"/>
      <c r="KMX276" s="609"/>
      <c r="KMY276" s="609"/>
      <c r="KMZ276" s="609"/>
      <c r="KNA276" s="609"/>
      <c r="KNB276" s="609"/>
      <c r="KNC276" s="609"/>
      <c r="KND276" s="609"/>
      <c r="KNE276" s="609"/>
      <c r="KNF276" s="609"/>
      <c r="KNG276" s="609"/>
      <c r="KNH276" s="609"/>
      <c r="KNI276" s="609"/>
      <c r="KNJ276" s="609"/>
      <c r="KNK276" s="609"/>
      <c r="KNL276" s="609"/>
      <c r="KNM276" s="609"/>
      <c r="KNN276" s="609"/>
      <c r="KNO276" s="609"/>
      <c r="KNP276" s="609"/>
      <c r="KNQ276" s="609"/>
      <c r="KNR276" s="609"/>
      <c r="KNS276" s="609"/>
      <c r="KNT276" s="609"/>
      <c r="KNU276" s="609"/>
      <c r="KNV276" s="609"/>
      <c r="KNW276" s="609"/>
      <c r="KNX276" s="609"/>
      <c r="KNY276" s="609"/>
      <c r="KNZ276" s="609"/>
      <c r="KOA276" s="609"/>
      <c r="KOB276" s="609"/>
      <c r="KOC276" s="609"/>
      <c r="KOD276" s="609"/>
      <c r="KOE276" s="609"/>
      <c r="KOF276" s="609"/>
      <c r="KOG276" s="609"/>
      <c r="KOH276" s="609"/>
      <c r="KOI276" s="609"/>
      <c r="KOJ276" s="609"/>
      <c r="KOK276" s="609"/>
      <c r="KOL276" s="609"/>
      <c r="KOM276" s="609"/>
      <c r="KON276" s="609"/>
      <c r="KOO276" s="609"/>
      <c r="KOP276" s="609"/>
      <c r="KOQ276" s="609"/>
      <c r="KOR276" s="609"/>
      <c r="KOS276" s="609"/>
      <c r="KOT276" s="609"/>
      <c r="KOU276" s="609"/>
      <c r="KOV276" s="609"/>
      <c r="KOW276" s="609"/>
      <c r="KOX276" s="609"/>
      <c r="KOY276" s="609"/>
      <c r="KOZ276" s="609"/>
      <c r="KPA276" s="609"/>
      <c r="KPB276" s="609"/>
      <c r="KPC276" s="609"/>
      <c r="KPD276" s="609"/>
      <c r="KPE276" s="609"/>
      <c r="KPF276" s="609"/>
      <c r="KPG276" s="609"/>
      <c r="KPH276" s="609"/>
      <c r="KPI276" s="609"/>
      <c r="KPJ276" s="609"/>
      <c r="KPK276" s="609"/>
      <c r="KPL276" s="609"/>
      <c r="KPM276" s="609"/>
      <c r="KPN276" s="609"/>
      <c r="KPO276" s="609"/>
      <c r="KPP276" s="609"/>
      <c r="KPQ276" s="609"/>
      <c r="KPR276" s="609"/>
      <c r="KPS276" s="609"/>
      <c r="KPT276" s="609"/>
      <c r="KPU276" s="609"/>
      <c r="KPV276" s="609"/>
      <c r="KPW276" s="609"/>
      <c r="KPX276" s="609"/>
      <c r="KPY276" s="609"/>
      <c r="KPZ276" s="609"/>
      <c r="KQA276" s="609"/>
      <c r="KQB276" s="609"/>
      <c r="KQC276" s="609"/>
      <c r="KQD276" s="609"/>
      <c r="KQE276" s="609"/>
      <c r="KQF276" s="609"/>
      <c r="KQG276" s="609"/>
      <c r="KQH276" s="609"/>
      <c r="KQI276" s="609"/>
      <c r="KQJ276" s="609"/>
      <c r="KQK276" s="609"/>
      <c r="KQL276" s="609"/>
      <c r="KQM276" s="609"/>
      <c r="KQN276" s="609"/>
      <c r="KQO276" s="609"/>
      <c r="KQP276" s="609"/>
      <c r="KQQ276" s="609"/>
      <c r="KQR276" s="609"/>
      <c r="KQS276" s="609"/>
      <c r="KQT276" s="609"/>
      <c r="KQU276" s="609"/>
      <c r="KQV276" s="609"/>
      <c r="KQW276" s="609"/>
      <c r="KQX276" s="609"/>
      <c r="KQY276" s="609"/>
      <c r="KQZ276" s="609"/>
      <c r="KRA276" s="609"/>
      <c r="KRB276" s="609"/>
      <c r="KRC276" s="609"/>
      <c r="KRD276" s="609"/>
      <c r="KRE276" s="609"/>
      <c r="KRF276" s="609"/>
      <c r="KRG276" s="609"/>
      <c r="KRH276" s="609"/>
      <c r="KRI276" s="609"/>
      <c r="KRJ276" s="609"/>
      <c r="KRK276" s="609"/>
      <c r="KRL276" s="609"/>
      <c r="KRM276" s="609"/>
      <c r="KRN276" s="609"/>
      <c r="KRO276" s="609"/>
      <c r="KRP276" s="609"/>
      <c r="KRQ276" s="609"/>
      <c r="KRR276" s="609"/>
      <c r="KRS276" s="609"/>
      <c r="KRT276" s="609"/>
      <c r="KRU276" s="609"/>
      <c r="KRV276" s="609"/>
      <c r="KRW276" s="609"/>
      <c r="KRX276" s="609"/>
      <c r="KRY276" s="609"/>
      <c r="KRZ276" s="609"/>
      <c r="KSA276" s="609"/>
      <c r="KSB276" s="609"/>
      <c r="KSC276" s="609"/>
      <c r="KSD276" s="609"/>
      <c r="KSE276" s="609"/>
      <c r="KSF276" s="609"/>
      <c r="KSG276" s="609"/>
      <c r="KSH276" s="609"/>
      <c r="KSI276" s="609"/>
      <c r="KSJ276" s="609"/>
      <c r="KSK276" s="609"/>
      <c r="KSL276" s="609"/>
      <c r="KSM276" s="609"/>
      <c r="KSN276" s="609"/>
      <c r="KSO276" s="609"/>
      <c r="KSP276" s="609"/>
      <c r="KSQ276" s="609"/>
      <c r="KSR276" s="609"/>
      <c r="KSS276" s="609"/>
      <c r="KST276" s="609"/>
      <c r="KSU276" s="609"/>
      <c r="KSV276" s="609"/>
      <c r="KSW276" s="609"/>
      <c r="KSX276" s="609"/>
      <c r="KSY276" s="609"/>
      <c r="KSZ276" s="609"/>
      <c r="KTA276" s="609"/>
      <c r="KTB276" s="609"/>
      <c r="KTC276" s="609"/>
      <c r="KTD276" s="609"/>
      <c r="KTE276" s="609"/>
      <c r="KTF276" s="609"/>
      <c r="KTG276" s="609"/>
      <c r="KTH276" s="609"/>
      <c r="KTI276" s="609"/>
      <c r="KTJ276" s="609"/>
      <c r="KTK276" s="609"/>
      <c r="KTL276" s="609"/>
      <c r="KTM276" s="609"/>
      <c r="KTN276" s="609"/>
      <c r="KTO276" s="609"/>
      <c r="KTP276" s="609"/>
      <c r="KTQ276" s="609"/>
      <c r="KTR276" s="609"/>
      <c r="KTS276" s="609"/>
      <c r="KTT276" s="609"/>
      <c r="KTU276" s="609"/>
      <c r="KTV276" s="609"/>
      <c r="KTW276" s="609"/>
      <c r="KTX276" s="609"/>
      <c r="KTY276" s="609"/>
      <c r="KTZ276" s="609"/>
      <c r="KUA276" s="609"/>
      <c r="KUB276" s="609"/>
      <c r="KUC276" s="609"/>
      <c r="KUD276" s="609"/>
      <c r="KUE276" s="609"/>
      <c r="KUF276" s="609"/>
      <c r="KUG276" s="609"/>
      <c r="KUH276" s="609"/>
      <c r="KUI276" s="609"/>
      <c r="KUJ276" s="609"/>
      <c r="KUK276" s="609"/>
      <c r="KUL276" s="609"/>
      <c r="KUM276" s="609"/>
      <c r="KUN276" s="609"/>
      <c r="KUO276" s="609"/>
      <c r="KUP276" s="609"/>
      <c r="KUQ276" s="609"/>
      <c r="KUR276" s="609"/>
      <c r="KUS276" s="609"/>
      <c r="KUT276" s="609"/>
      <c r="KUU276" s="609"/>
      <c r="KUV276" s="609"/>
      <c r="KUW276" s="609"/>
      <c r="KUX276" s="609"/>
      <c r="KUY276" s="609"/>
      <c r="KUZ276" s="609"/>
      <c r="KVA276" s="609"/>
      <c r="KVB276" s="609"/>
      <c r="KVC276" s="609"/>
      <c r="KVD276" s="609"/>
      <c r="KVE276" s="609"/>
      <c r="KVF276" s="609"/>
      <c r="KVG276" s="609"/>
      <c r="KVH276" s="609"/>
      <c r="KVI276" s="609"/>
      <c r="KVJ276" s="609"/>
      <c r="KVK276" s="609"/>
      <c r="KVL276" s="609"/>
      <c r="KVM276" s="609"/>
      <c r="KVN276" s="609"/>
      <c r="KVO276" s="609"/>
      <c r="KVP276" s="609"/>
      <c r="KVQ276" s="609"/>
      <c r="KVR276" s="609"/>
      <c r="KVS276" s="609"/>
      <c r="KVT276" s="609"/>
      <c r="KVU276" s="609"/>
      <c r="KVV276" s="609"/>
      <c r="KVW276" s="609"/>
      <c r="KVX276" s="609"/>
      <c r="KVY276" s="609"/>
      <c r="KVZ276" s="609"/>
      <c r="KWA276" s="609"/>
      <c r="KWB276" s="609"/>
      <c r="KWC276" s="609"/>
      <c r="KWD276" s="609"/>
      <c r="KWE276" s="609"/>
      <c r="KWF276" s="609"/>
      <c r="KWG276" s="609"/>
      <c r="KWH276" s="609"/>
      <c r="KWI276" s="609"/>
      <c r="KWJ276" s="609"/>
      <c r="KWK276" s="609"/>
      <c r="KWL276" s="609"/>
      <c r="KWM276" s="609"/>
      <c r="KWN276" s="609"/>
      <c r="KWO276" s="609"/>
      <c r="KWP276" s="609"/>
      <c r="KWQ276" s="609"/>
      <c r="KWR276" s="609"/>
      <c r="KWS276" s="609"/>
      <c r="KWT276" s="609"/>
      <c r="KWU276" s="609"/>
      <c r="KWV276" s="609"/>
      <c r="KWW276" s="609"/>
      <c r="KWX276" s="609"/>
      <c r="KWY276" s="609"/>
      <c r="KWZ276" s="609"/>
      <c r="KXA276" s="609"/>
      <c r="KXB276" s="609"/>
      <c r="KXC276" s="609"/>
      <c r="KXD276" s="609"/>
      <c r="KXE276" s="609"/>
      <c r="KXF276" s="609"/>
      <c r="KXG276" s="609"/>
      <c r="KXH276" s="609"/>
      <c r="KXI276" s="609"/>
      <c r="KXJ276" s="609"/>
      <c r="KXK276" s="609"/>
      <c r="KXL276" s="609"/>
      <c r="KXM276" s="609"/>
      <c r="KXN276" s="609"/>
      <c r="KXO276" s="609"/>
      <c r="KXP276" s="609"/>
      <c r="KXQ276" s="609"/>
      <c r="KXR276" s="609"/>
      <c r="KXS276" s="609"/>
      <c r="KXT276" s="609"/>
      <c r="KXU276" s="609"/>
      <c r="KXV276" s="609"/>
      <c r="KXW276" s="609"/>
      <c r="KXX276" s="609"/>
      <c r="KXY276" s="609"/>
      <c r="KXZ276" s="609"/>
      <c r="KYA276" s="609"/>
      <c r="KYB276" s="609"/>
      <c r="KYC276" s="609"/>
      <c r="KYD276" s="609"/>
      <c r="KYE276" s="609"/>
      <c r="KYF276" s="609"/>
      <c r="KYG276" s="609"/>
      <c r="KYH276" s="609"/>
      <c r="KYI276" s="609"/>
      <c r="KYJ276" s="609"/>
      <c r="KYK276" s="609"/>
      <c r="KYL276" s="609"/>
      <c r="KYM276" s="609"/>
      <c r="KYN276" s="609"/>
      <c r="KYO276" s="609"/>
      <c r="KYP276" s="609"/>
      <c r="KYQ276" s="609"/>
      <c r="KYR276" s="609"/>
      <c r="KYS276" s="609"/>
      <c r="KYT276" s="609"/>
      <c r="KYU276" s="609"/>
      <c r="KYV276" s="609"/>
      <c r="KYW276" s="609"/>
      <c r="KYX276" s="609"/>
      <c r="KYY276" s="609"/>
      <c r="KYZ276" s="609"/>
      <c r="KZA276" s="609"/>
      <c r="KZB276" s="609"/>
      <c r="KZC276" s="609"/>
      <c r="KZD276" s="609"/>
      <c r="KZE276" s="609"/>
      <c r="KZF276" s="609"/>
      <c r="KZG276" s="609"/>
      <c r="KZH276" s="609"/>
      <c r="KZI276" s="609"/>
      <c r="KZJ276" s="609"/>
      <c r="KZK276" s="609"/>
      <c r="KZL276" s="609"/>
      <c r="KZM276" s="609"/>
      <c r="KZN276" s="609"/>
      <c r="KZO276" s="609"/>
      <c r="KZP276" s="609"/>
      <c r="KZQ276" s="609"/>
      <c r="KZR276" s="609"/>
      <c r="KZS276" s="609"/>
      <c r="KZT276" s="609"/>
      <c r="KZU276" s="609"/>
      <c r="KZV276" s="609"/>
      <c r="KZW276" s="609"/>
      <c r="KZX276" s="609"/>
      <c r="KZY276" s="609"/>
      <c r="KZZ276" s="609"/>
      <c r="LAA276" s="609"/>
      <c r="LAB276" s="609"/>
      <c r="LAC276" s="609"/>
      <c r="LAD276" s="609"/>
      <c r="LAE276" s="609"/>
      <c r="LAF276" s="609"/>
      <c r="LAG276" s="609"/>
      <c r="LAH276" s="609"/>
      <c r="LAI276" s="609"/>
      <c r="LAJ276" s="609"/>
      <c r="LAK276" s="609"/>
      <c r="LAL276" s="609"/>
      <c r="LAM276" s="609"/>
      <c r="LAN276" s="609"/>
      <c r="LAO276" s="609"/>
      <c r="LAP276" s="609"/>
      <c r="LAQ276" s="609"/>
      <c r="LAR276" s="609"/>
      <c r="LAS276" s="609"/>
      <c r="LAT276" s="609"/>
      <c r="LAU276" s="609"/>
      <c r="LAV276" s="609"/>
      <c r="LAW276" s="609"/>
      <c r="LAX276" s="609"/>
      <c r="LAY276" s="609"/>
      <c r="LAZ276" s="609"/>
      <c r="LBA276" s="609"/>
      <c r="LBB276" s="609"/>
      <c r="LBC276" s="609"/>
      <c r="LBD276" s="609"/>
      <c r="LBE276" s="609"/>
      <c r="LBF276" s="609"/>
      <c r="LBG276" s="609"/>
      <c r="LBH276" s="609"/>
      <c r="LBI276" s="609"/>
      <c r="LBJ276" s="609"/>
      <c r="LBK276" s="609"/>
      <c r="LBL276" s="609"/>
      <c r="LBM276" s="609"/>
      <c r="LBN276" s="609"/>
      <c r="LBO276" s="609"/>
      <c r="LBP276" s="609"/>
      <c r="LBQ276" s="609"/>
      <c r="LBR276" s="609"/>
      <c r="LBS276" s="609"/>
      <c r="LBT276" s="609"/>
      <c r="LBU276" s="609"/>
      <c r="LBV276" s="609"/>
      <c r="LBW276" s="609"/>
      <c r="LBX276" s="609"/>
      <c r="LBY276" s="609"/>
      <c r="LBZ276" s="609"/>
      <c r="LCA276" s="609"/>
      <c r="LCB276" s="609"/>
      <c r="LCC276" s="609"/>
      <c r="LCD276" s="609"/>
      <c r="LCE276" s="609"/>
      <c r="LCF276" s="609"/>
      <c r="LCG276" s="609"/>
      <c r="LCH276" s="609"/>
      <c r="LCI276" s="609"/>
      <c r="LCJ276" s="609"/>
      <c r="LCK276" s="609"/>
      <c r="LCL276" s="609"/>
      <c r="LCM276" s="609"/>
      <c r="LCN276" s="609"/>
      <c r="LCO276" s="609"/>
      <c r="LCP276" s="609"/>
      <c r="LCQ276" s="609"/>
      <c r="LCR276" s="609"/>
      <c r="LCS276" s="609"/>
      <c r="LCT276" s="609"/>
      <c r="LCU276" s="609"/>
      <c r="LCV276" s="609"/>
      <c r="LCW276" s="609"/>
      <c r="LCX276" s="609"/>
      <c r="LCY276" s="609"/>
      <c r="LCZ276" s="609"/>
      <c r="LDA276" s="609"/>
      <c r="LDB276" s="609"/>
      <c r="LDC276" s="609"/>
      <c r="LDD276" s="609"/>
      <c r="LDE276" s="609"/>
      <c r="LDF276" s="609"/>
      <c r="LDG276" s="609"/>
      <c r="LDH276" s="609"/>
      <c r="LDI276" s="609"/>
      <c r="LDJ276" s="609"/>
      <c r="LDK276" s="609"/>
      <c r="LDL276" s="609"/>
      <c r="LDM276" s="609"/>
      <c r="LDN276" s="609"/>
      <c r="LDO276" s="609"/>
      <c r="LDP276" s="609"/>
      <c r="LDQ276" s="609"/>
      <c r="LDR276" s="609"/>
      <c r="LDS276" s="609"/>
      <c r="LDT276" s="609"/>
      <c r="LDU276" s="609"/>
      <c r="LDV276" s="609"/>
      <c r="LDW276" s="609"/>
      <c r="LDX276" s="609"/>
      <c r="LDY276" s="609"/>
      <c r="LDZ276" s="609"/>
      <c r="LEA276" s="609"/>
      <c r="LEB276" s="609"/>
      <c r="LEC276" s="609"/>
      <c r="LED276" s="609"/>
      <c r="LEE276" s="609"/>
      <c r="LEF276" s="609"/>
      <c r="LEG276" s="609"/>
      <c r="LEH276" s="609"/>
      <c r="LEI276" s="609"/>
      <c r="LEJ276" s="609"/>
      <c r="LEK276" s="609"/>
      <c r="LEL276" s="609"/>
      <c r="LEM276" s="609"/>
      <c r="LEN276" s="609"/>
      <c r="LEO276" s="609"/>
      <c r="LEP276" s="609"/>
      <c r="LEQ276" s="609"/>
      <c r="LER276" s="609"/>
      <c r="LES276" s="609"/>
      <c r="LET276" s="609"/>
      <c r="LEU276" s="609"/>
      <c r="LEV276" s="609"/>
      <c r="LEW276" s="609"/>
      <c r="LEX276" s="609"/>
      <c r="LEY276" s="609"/>
      <c r="LEZ276" s="609"/>
      <c r="LFA276" s="609"/>
      <c r="LFB276" s="609"/>
      <c r="LFC276" s="609"/>
      <c r="LFD276" s="609"/>
      <c r="LFE276" s="609"/>
      <c r="LFF276" s="609"/>
      <c r="LFG276" s="609"/>
      <c r="LFH276" s="609"/>
      <c r="LFI276" s="609"/>
      <c r="LFJ276" s="609"/>
      <c r="LFK276" s="609"/>
      <c r="LFL276" s="609"/>
      <c r="LFM276" s="609"/>
      <c r="LFN276" s="609"/>
      <c r="LFO276" s="609"/>
      <c r="LFP276" s="609"/>
      <c r="LFQ276" s="609"/>
      <c r="LFR276" s="609"/>
      <c r="LFS276" s="609"/>
      <c r="LFT276" s="609"/>
      <c r="LFU276" s="609"/>
      <c r="LFV276" s="609"/>
      <c r="LFW276" s="609"/>
      <c r="LFX276" s="609"/>
      <c r="LFY276" s="609"/>
      <c r="LFZ276" s="609"/>
      <c r="LGA276" s="609"/>
      <c r="LGB276" s="609"/>
      <c r="LGC276" s="609"/>
      <c r="LGD276" s="609"/>
      <c r="LGE276" s="609"/>
      <c r="LGF276" s="609"/>
      <c r="LGG276" s="609"/>
      <c r="LGH276" s="609"/>
      <c r="LGI276" s="609"/>
      <c r="LGJ276" s="609"/>
      <c r="LGK276" s="609"/>
      <c r="LGL276" s="609"/>
      <c r="LGM276" s="609"/>
      <c r="LGN276" s="609"/>
      <c r="LGO276" s="609"/>
      <c r="LGP276" s="609"/>
      <c r="LGQ276" s="609"/>
      <c r="LGR276" s="609"/>
      <c r="LGS276" s="609"/>
      <c r="LGT276" s="609"/>
      <c r="LGU276" s="609"/>
      <c r="LGV276" s="609"/>
      <c r="LGW276" s="609"/>
      <c r="LGX276" s="609"/>
      <c r="LGY276" s="609"/>
      <c r="LGZ276" s="609"/>
      <c r="LHA276" s="609"/>
      <c r="LHB276" s="609"/>
      <c r="LHC276" s="609"/>
      <c r="LHD276" s="609"/>
      <c r="LHE276" s="609"/>
      <c r="LHF276" s="609"/>
      <c r="LHG276" s="609"/>
      <c r="LHH276" s="609"/>
      <c r="LHI276" s="609"/>
      <c r="LHJ276" s="609"/>
      <c r="LHK276" s="609"/>
      <c r="LHL276" s="609"/>
      <c r="LHM276" s="609"/>
      <c r="LHN276" s="609"/>
      <c r="LHO276" s="609"/>
      <c r="LHP276" s="609"/>
      <c r="LHQ276" s="609"/>
      <c r="LHR276" s="609"/>
      <c r="LHS276" s="609"/>
      <c r="LHT276" s="609"/>
      <c r="LHU276" s="609"/>
      <c r="LHV276" s="609"/>
      <c r="LHW276" s="609"/>
      <c r="LHX276" s="609"/>
      <c r="LHY276" s="609"/>
      <c r="LHZ276" s="609"/>
      <c r="LIA276" s="609"/>
      <c r="LIB276" s="609"/>
      <c r="LIC276" s="609"/>
      <c r="LID276" s="609"/>
      <c r="LIE276" s="609"/>
      <c r="LIF276" s="609"/>
      <c r="LIG276" s="609"/>
      <c r="LIH276" s="609"/>
      <c r="LII276" s="609"/>
      <c r="LIJ276" s="609"/>
      <c r="LIK276" s="609"/>
      <c r="LIL276" s="609"/>
      <c r="LIM276" s="609"/>
      <c r="LIN276" s="609"/>
      <c r="LIO276" s="609"/>
      <c r="LIP276" s="609"/>
      <c r="LIQ276" s="609"/>
      <c r="LIR276" s="609"/>
      <c r="LIS276" s="609"/>
      <c r="LIT276" s="609"/>
      <c r="LIU276" s="609"/>
      <c r="LIV276" s="609"/>
      <c r="LIW276" s="609"/>
      <c r="LIX276" s="609"/>
      <c r="LIY276" s="609"/>
      <c r="LIZ276" s="609"/>
      <c r="LJA276" s="609"/>
      <c r="LJB276" s="609"/>
      <c r="LJC276" s="609"/>
      <c r="LJD276" s="609"/>
      <c r="LJE276" s="609"/>
      <c r="LJF276" s="609"/>
      <c r="LJG276" s="609"/>
      <c r="LJH276" s="609"/>
      <c r="LJI276" s="609"/>
      <c r="LJJ276" s="609"/>
      <c r="LJK276" s="609"/>
      <c r="LJL276" s="609"/>
      <c r="LJM276" s="609"/>
      <c r="LJN276" s="609"/>
      <c r="LJO276" s="609"/>
      <c r="LJP276" s="609"/>
      <c r="LJQ276" s="609"/>
      <c r="LJR276" s="609"/>
      <c r="LJS276" s="609"/>
      <c r="LJT276" s="609"/>
      <c r="LJU276" s="609"/>
      <c r="LJV276" s="609"/>
      <c r="LJW276" s="609"/>
      <c r="LJX276" s="609"/>
      <c r="LJY276" s="609"/>
      <c r="LJZ276" s="609"/>
      <c r="LKA276" s="609"/>
      <c r="LKB276" s="609"/>
      <c r="LKC276" s="609"/>
      <c r="LKD276" s="609"/>
      <c r="LKE276" s="609"/>
      <c r="LKF276" s="609"/>
      <c r="LKG276" s="609"/>
      <c r="LKH276" s="609"/>
      <c r="LKI276" s="609"/>
      <c r="LKJ276" s="609"/>
      <c r="LKK276" s="609"/>
      <c r="LKL276" s="609"/>
      <c r="LKM276" s="609"/>
      <c r="LKN276" s="609"/>
      <c r="LKO276" s="609"/>
      <c r="LKP276" s="609"/>
      <c r="LKQ276" s="609"/>
      <c r="LKR276" s="609"/>
      <c r="LKS276" s="609"/>
      <c r="LKT276" s="609"/>
      <c r="LKU276" s="609"/>
      <c r="LKV276" s="609"/>
      <c r="LKW276" s="609"/>
      <c r="LKX276" s="609"/>
      <c r="LKY276" s="609"/>
      <c r="LKZ276" s="609"/>
      <c r="LLA276" s="609"/>
      <c r="LLB276" s="609"/>
      <c r="LLC276" s="609"/>
      <c r="LLD276" s="609"/>
      <c r="LLE276" s="609"/>
      <c r="LLF276" s="609"/>
      <c r="LLG276" s="609"/>
      <c r="LLH276" s="609"/>
      <c r="LLI276" s="609"/>
      <c r="LLJ276" s="609"/>
      <c r="LLK276" s="609"/>
      <c r="LLL276" s="609"/>
      <c r="LLM276" s="609"/>
      <c r="LLN276" s="609"/>
      <c r="LLO276" s="609"/>
      <c r="LLP276" s="609"/>
      <c r="LLQ276" s="609"/>
      <c r="LLR276" s="609"/>
      <c r="LLS276" s="609"/>
      <c r="LLT276" s="609"/>
      <c r="LLU276" s="609"/>
      <c r="LLV276" s="609"/>
      <c r="LLW276" s="609"/>
      <c r="LLX276" s="609"/>
      <c r="LLY276" s="609"/>
      <c r="LLZ276" s="609"/>
      <c r="LMA276" s="609"/>
      <c r="LMB276" s="609"/>
      <c r="LMC276" s="609"/>
      <c r="LMD276" s="609"/>
      <c r="LME276" s="609"/>
      <c r="LMF276" s="609"/>
      <c r="LMG276" s="609"/>
      <c r="LMH276" s="609"/>
      <c r="LMI276" s="609"/>
      <c r="LMJ276" s="609"/>
      <c r="LMK276" s="609"/>
      <c r="LML276" s="609"/>
      <c r="LMM276" s="609"/>
      <c r="LMN276" s="609"/>
      <c r="LMO276" s="609"/>
      <c r="LMP276" s="609"/>
      <c r="LMQ276" s="609"/>
      <c r="LMR276" s="609"/>
      <c r="LMS276" s="609"/>
      <c r="LMT276" s="609"/>
      <c r="LMU276" s="609"/>
      <c r="LMV276" s="609"/>
      <c r="LMW276" s="609"/>
      <c r="LMX276" s="609"/>
      <c r="LMY276" s="609"/>
      <c r="LMZ276" s="609"/>
      <c r="LNA276" s="609"/>
      <c r="LNB276" s="609"/>
      <c r="LNC276" s="609"/>
      <c r="LND276" s="609"/>
      <c r="LNE276" s="609"/>
      <c r="LNF276" s="609"/>
      <c r="LNG276" s="609"/>
      <c r="LNH276" s="609"/>
      <c r="LNI276" s="609"/>
      <c r="LNJ276" s="609"/>
      <c r="LNK276" s="609"/>
      <c r="LNL276" s="609"/>
      <c r="LNM276" s="609"/>
      <c r="LNN276" s="609"/>
      <c r="LNO276" s="609"/>
      <c r="LNP276" s="609"/>
      <c r="LNQ276" s="609"/>
      <c r="LNR276" s="609"/>
      <c r="LNS276" s="609"/>
      <c r="LNT276" s="609"/>
      <c r="LNU276" s="609"/>
      <c r="LNV276" s="609"/>
      <c r="LNW276" s="609"/>
      <c r="LNX276" s="609"/>
      <c r="LNY276" s="609"/>
      <c r="LNZ276" s="609"/>
      <c r="LOA276" s="609"/>
      <c r="LOB276" s="609"/>
      <c r="LOC276" s="609"/>
      <c r="LOD276" s="609"/>
      <c r="LOE276" s="609"/>
      <c r="LOF276" s="609"/>
      <c r="LOG276" s="609"/>
      <c r="LOH276" s="609"/>
      <c r="LOI276" s="609"/>
      <c r="LOJ276" s="609"/>
      <c r="LOK276" s="609"/>
      <c r="LOL276" s="609"/>
      <c r="LOM276" s="609"/>
      <c r="LON276" s="609"/>
      <c r="LOO276" s="609"/>
      <c r="LOP276" s="609"/>
      <c r="LOQ276" s="609"/>
      <c r="LOR276" s="609"/>
      <c r="LOS276" s="609"/>
      <c r="LOT276" s="609"/>
      <c r="LOU276" s="609"/>
      <c r="LOV276" s="609"/>
      <c r="LOW276" s="609"/>
      <c r="LOX276" s="609"/>
      <c r="LOY276" s="609"/>
      <c r="LOZ276" s="609"/>
      <c r="LPA276" s="609"/>
      <c r="LPB276" s="609"/>
      <c r="LPC276" s="609"/>
      <c r="LPD276" s="609"/>
      <c r="LPE276" s="609"/>
      <c r="LPF276" s="609"/>
      <c r="LPG276" s="609"/>
      <c r="LPH276" s="609"/>
      <c r="LPI276" s="609"/>
      <c r="LPJ276" s="609"/>
      <c r="LPK276" s="609"/>
      <c r="LPL276" s="609"/>
      <c r="LPM276" s="609"/>
      <c r="LPN276" s="609"/>
      <c r="LPO276" s="609"/>
      <c r="LPP276" s="609"/>
      <c r="LPQ276" s="609"/>
      <c r="LPR276" s="609"/>
      <c r="LPS276" s="609"/>
      <c r="LPT276" s="609"/>
      <c r="LPU276" s="609"/>
      <c r="LPV276" s="609"/>
      <c r="LPW276" s="609"/>
      <c r="LPX276" s="609"/>
      <c r="LPY276" s="609"/>
      <c r="LPZ276" s="609"/>
      <c r="LQA276" s="609"/>
      <c r="LQB276" s="609"/>
      <c r="LQC276" s="609"/>
      <c r="LQD276" s="609"/>
      <c r="LQE276" s="609"/>
      <c r="LQF276" s="609"/>
      <c r="LQG276" s="609"/>
      <c r="LQH276" s="609"/>
      <c r="LQI276" s="609"/>
      <c r="LQJ276" s="609"/>
      <c r="LQK276" s="609"/>
      <c r="LQL276" s="609"/>
      <c r="LQM276" s="609"/>
      <c r="LQN276" s="609"/>
      <c r="LQO276" s="609"/>
      <c r="LQP276" s="609"/>
      <c r="LQQ276" s="609"/>
      <c r="LQR276" s="609"/>
      <c r="LQS276" s="609"/>
      <c r="LQT276" s="609"/>
      <c r="LQU276" s="609"/>
      <c r="LQV276" s="609"/>
      <c r="LQW276" s="609"/>
      <c r="LQX276" s="609"/>
      <c r="LQY276" s="609"/>
      <c r="LQZ276" s="609"/>
      <c r="LRA276" s="609"/>
      <c r="LRB276" s="609"/>
      <c r="LRC276" s="609"/>
      <c r="LRD276" s="609"/>
      <c r="LRE276" s="609"/>
      <c r="LRF276" s="609"/>
      <c r="LRG276" s="609"/>
      <c r="LRH276" s="609"/>
      <c r="LRI276" s="609"/>
      <c r="LRJ276" s="609"/>
      <c r="LRK276" s="609"/>
      <c r="LRL276" s="609"/>
      <c r="LRM276" s="609"/>
      <c r="LRN276" s="609"/>
      <c r="LRO276" s="609"/>
      <c r="LRP276" s="609"/>
      <c r="LRQ276" s="609"/>
      <c r="LRR276" s="609"/>
      <c r="LRS276" s="609"/>
      <c r="LRT276" s="609"/>
      <c r="LRU276" s="609"/>
      <c r="LRV276" s="609"/>
      <c r="LRW276" s="609"/>
      <c r="LRX276" s="609"/>
      <c r="LRY276" s="609"/>
      <c r="LRZ276" s="609"/>
      <c r="LSA276" s="609"/>
      <c r="LSB276" s="609"/>
      <c r="LSC276" s="609"/>
      <c r="LSD276" s="609"/>
      <c r="LSE276" s="609"/>
      <c r="LSF276" s="609"/>
      <c r="LSG276" s="609"/>
      <c r="LSH276" s="609"/>
      <c r="LSI276" s="609"/>
      <c r="LSJ276" s="609"/>
      <c r="LSK276" s="609"/>
      <c r="LSL276" s="609"/>
      <c r="LSM276" s="609"/>
      <c r="LSN276" s="609"/>
      <c r="LSO276" s="609"/>
      <c r="LSP276" s="609"/>
      <c r="LSQ276" s="609"/>
      <c r="LSR276" s="609"/>
      <c r="LSS276" s="609"/>
      <c r="LST276" s="609"/>
      <c r="LSU276" s="609"/>
      <c r="LSV276" s="609"/>
      <c r="LSW276" s="609"/>
      <c r="LSX276" s="609"/>
      <c r="LSY276" s="609"/>
      <c r="LSZ276" s="609"/>
      <c r="LTA276" s="609"/>
      <c r="LTB276" s="609"/>
      <c r="LTC276" s="609"/>
      <c r="LTD276" s="609"/>
      <c r="LTE276" s="609"/>
      <c r="LTF276" s="609"/>
      <c r="LTG276" s="609"/>
      <c r="LTH276" s="609"/>
      <c r="LTI276" s="609"/>
      <c r="LTJ276" s="609"/>
      <c r="LTK276" s="609"/>
      <c r="LTL276" s="609"/>
      <c r="LTM276" s="609"/>
      <c r="LTN276" s="609"/>
      <c r="LTO276" s="609"/>
      <c r="LTP276" s="609"/>
      <c r="LTQ276" s="609"/>
      <c r="LTR276" s="609"/>
      <c r="LTS276" s="609"/>
      <c r="LTT276" s="609"/>
      <c r="LTU276" s="609"/>
      <c r="LTV276" s="609"/>
      <c r="LTW276" s="609"/>
      <c r="LTX276" s="609"/>
      <c r="LTY276" s="609"/>
      <c r="LTZ276" s="609"/>
      <c r="LUA276" s="609"/>
      <c r="LUB276" s="609"/>
      <c r="LUC276" s="609"/>
      <c r="LUD276" s="609"/>
      <c r="LUE276" s="609"/>
      <c r="LUF276" s="609"/>
      <c r="LUG276" s="609"/>
      <c r="LUH276" s="609"/>
      <c r="LUI276" s="609"/>
      <c r="LUJ276" s="609"/>
      <c r="LUK276" s="609"/>
      <c r="LUL276" s="609"/>
      <c r="LUM276" s="609"/>
      <c r="LUN276" s="609"/>
      <c r="LUO276" s="609"/>
      <c r="LUP276" s="609"/>
      <c r="LUQ276" s="609"/>
      <c r="LUR276" s="609"/>
      <c r="LUS276" s="609"/>
      <c r="LUT276" s="609"/>
      <c r="LUU276" s="609"/>
      <c r="LUV276" s="609"/>
      <c r="LUW276" s="609"/>
      <c r="LUX276" s="609"/>
      <c r="LUY276" s="609"/>
      <c r="LUZ276" s="609"/>
      <c r="LVA276" s="609"/>
      <c r="LVB276" s="609"/>
      <c r="LVC276" s="609"/>
      <c r="LVD276" s="609"/>
      <c r="LVE276" s="609"/>
      <c r="LVF276" s="609"/>
      <c r="LVG276" s="609"/>
      <c r="LVH276" s="609"/>
      <c r="LVI276" s="609"/>
      <c r="LVJ276" s="609"/>
      <c r="LVK276" s="609"/>
      <c r="LVL276" s="609"/>
      <c r="LVM276" s="609"/>
      <c r="LVN276" s="609"/>
      <c r="LVO276" s="609"/>
      <c r="LVP276" s="609"/>
      <c r="LVQ276" s="609"/>
      <c r="LVR276" s="609"/>
      <c r="LVS276" s="609"/>
      <c r="LVT276" s="609"/>
      <c r="LVU276" s="609"/>
      <c r="LVV276" s="609"/>
      <c r="LVW276" s="609"/>
      <c r="LVX276" s="609"/>
      <c r="LVY276" s="609"/>
      <c r="LVZ276" s="609"/>
      <c r="LWA276" s="609"/>
      <c r="LWB276" s="609"/>
      <c r="LWC276" s="609"/>
      <c r="LWD276" s="609"/>
      <c r="LWE276" s="609"/>
      <c r="LWF276" s="609"/>
      <c r="LWG276" s="609"/>
      <c r="LWH276" s="609"/>
      <c r="LWI276" s="609"/>
      <c r="LWJ276" s="609"/>
      <c r="LWK276" s="609"/>
      <c r="LWL276" s="609"/>
      <c r="LWM276" s="609"/>
      <c r="LWN276" s="609"/>
      <c r="LWO276" s="609"/>
      <c r="LWP276" s="609"/>
      <c r="LWQ276" s="609"/>
      <c r="LWR276" s="609"/>
      <c r="LWS276" s="609"/>
      <c r="LWT276" s="609"/>
      <c r="LWU276" s="609"/>
      <c r="LWV276" s="609"/>
      <c r="LWW276" s="609"/>
      <c r="LWX276" s="609"/>
      <c r="LWY276" s="609"/>
      <c r="LWZ276" s="609"/>
      <c r="LXA276" s="609"/>
      <c r="LXB276" s="609"/>
      <c r="LXC276" s="609"/>
      <c r="LXD276" s="609"/>
      <c r="LXE276" s="609"/>
      <c r="LXF276" s="609"/>
      <c r="LXG276" s="609"/>
      <c r="LXH276" s="609"/>
      <c r="LXI276" s="609"/>
      <c r="LXJ276" s="609"/>
      <c r="LXK276" s="609"/>
      <c r="LXL276" s="609"/>
      <c r="LXM276" s="609"/>
      <c r="LXN276" s="609"/>
      <c r="LXO276" s="609"/>
      <c r="LXP276" s="609"/>
      <c r="LXQ276" s="609"/>
      <c r="LXR276" s="609"/>
      <c r="LXS276" s="609"/>
      <c r="LXT276" s="609"/>
      <c r="LXU276" s="609"/>
      <c r="LXV276" s="609"/>
      <c r="LXW276" s="609"/>
      <c r="LXX276" s="609"/>
      <c r="LXY276" s="609"/>
      <c r="LXZ276" s="609"/>
      <c r="LYA276" s="609"/>
      <c r="LYB276" s="609"/>
      <c r="LYC276" s="609"/>
      <c r="LYD276" s="609"/>
      <c r="LYE276" s="609"/>
      <c r="LYF276" s="609"/>
      <c r="LYG276" s="609"/>
      <c r="LYH276" s="609"/>
      <c r="LYI276" s="609"/>
      <c r="LYJ276" s="609"/>
      <c r="LYK276" s="609"/>
      <c r="LYL276" s="609"/>
      <c r="LYM276" s="609"/>
      <c r="LYN276" s="609"/>
      <c r="LYO276" s="609"/>
      <c r="LYP276" s="609"/>
      <c r="LYQ276" s="609"/>
      <c r="LYR276" s="609"/>
      <c r="LYS276" s="609"/>
      <c r="LYT276" s="609"/>
      <c r="LYU276" s="609"/>
      <c r="LYV276" s="609"/>
      <c r="LYW276" s="609"/>
      <c r="LYX276" s="609"/>
      <c r="LYY276" s="609"/>
      <c r="LYZ276" s="609"/>
      <c r="LZA276" s="609"/>
      <c r="LZB276" s="609"/>
      <c r="LZC276" s="609"/>
      <c r="LZD276" s="609"/>
      <c r="LZE276" s="609"/>
      <c r="LZF276" s="609"/>
      <c r="LZG276" s="609"/>
      <c r="LZH276" s="609"/>
      <c r="LZI276" s="609"/>
      <c r="LZJ276" s="609"/>
      <c r="LZK276" s="609"/>
      <c r="LZL276" s="609"/>
      <c r="LZM276" s="609"/>
      <c r="LZN276" s="609"/>
      <c r="LZO276" s="609"/>
      <c r="LZP276" s="609"/>
      <c r="LZQ276" s="609"/>
      <c r="LZR276" s="609"/>
      <c r="LZS276" s="609"/>
      <c r="LZT276" s="609"/>
      <c r="LZU276" s="609"/>
      <c r="LZV276" s="609"/>
      <c r="LZW276" s="609"/>
      <c r="LZX276" s="609"/>
      <c r="LZY276" s="609"/>
      <c r="LZZ276" s="609"/>
      <c r="MAA276" s="609"/>
      <c r="MAB276" s="609"/>
      <c r="MAC276" s="609"/>
      <c r="MAD276" s="609"/>
      <c r="MAE276" s="609"/>
      <c r="MAF276" s="609"/>
      <c r="MAG276" s="609"/>
      <c r="MAH276" s="609"/>
      <c r="MAI276" s="609"/>
      <c r="MAJ276" s="609"/>
      <c r="MAK276" s="609"/>
      <c r="MAL276" s="609"/>
      <c r="MAM276" s="609"/>
      <c r="MAN276" s="609"/>
      <c r="MAO276" s="609"/>
      <c r="MAP276" s="609"/>
      <c r="MAQ276" s="609"/>
      <c r="MAR276" s="609"/>
      <c r="MAS276" s="609"/>
      <c r="MAT276" s="609"/>
      <c r="MAU276" s="609"/>
      <c r="MAV276" s="609"/>
      <c r="MAW276" s="609"/>
      <c r="MAX276" s="609"/>
      <c r="MAY276" s="609"/>
      <c r="MAZ276" s="609"/>
      <c r="MBA276" s="609"/>
      <c r="MBB276" s="609"/>
      <c r="MBC276" s="609"/>
      <c r="MBD276" s="609"/>
      <c r="MBE276" s="609"/>
      <c r="MBF276" s="609"/>
      <c r="MBG276" s="609"/>
      <c r="MBH276" s="609"/>
      <c r="MBI276" s="609"/>
      <c r="MBJ276" s="609"/>
      <c r="MBK276" s="609"/>
      <c r="MBL276" s="609"/>
      <c r="MBM276" s="609"/>
      <c r="MBN276" s="609"/>
      <c r="MBO276" s="609"/>
      <c r="MBP276" s="609"/>
      <c r="MBQ276" s="609"/>
      <c r="MBR276" s="609"/>
      <c r="MBS276" s="609"/>
      <c r="MBT276" s="609"/>
      <c r="MBU276" s="609"/>
      <c r="MBV276" s="609"/>
      <c r="MBW276" s="609"/>
      <c r="MBX276" s="609"/>
      <c r="MBY276" s="609"/>
      <c r="MBZ276" s="609"/>
      <c r="MCA276" s="609"/>
      <c r="MCB276" s="609"/>
      <c r="MCC276" s="609"/>
      <c r="MCD276" s="609"/>
      <c r="MCE276" s="609"/>
      <c r="MCF276" s="609"/>
      <c r="MCG276" s="609"/>
      <c r="MCH276" s="609"/>
      <c r="MCI276" s="609"/>
      <c r="MCJ276" s="609"/>
      <c r="MCK276" s="609"/>
      <c r="MCL276" s="609"/>
      <c r="MCM276" s="609"/>
      <c r="MCN276" s="609"/>
      <c r="MCO276" s="609"/>
      <c r="MCP276" s="609"/>
      <c r="MCQ276" s="609"/>
      <c r="MCR276" s="609"/>
      <c r="MCS276" s="609"/>
      <c r="MCT276" s="609"/>
      <c r="MCU276" s="609"/>
      <c r="MCV276" s="609"/>
      <c r="MCW276" s="609"/>
      <c r="MCX276" s="609"/>
      <c r="MCY276" s="609"/>
      <c r="MCZ276" s="609"/>
      <c r="MDA276" s="609"/>
      <c r="MDB276" s="609"/>
      <c r="MDC276" s="609"/>
      <c r="MDD276" s="609"/>
      <c r="MDE276" s="609"/>
      <c r="MDF276" s="609"/>
      <c r="MDG276" s="609"/>
      <c r="MDH276" s="609"/>
      <c r="MDI276" s="609"/>
      <c r="MDJ276" s="609"/>
      <c r="MDK276" s="609"/>
      <c r="MDL276" s="609"/>
      <c r="MDM276" s="609"/>
      <c r="MDN276" s="609"/>
      <c r="MDO276" s="609"/>
      <c r="MDP276" s="609"/>
      <c r="MDQ276" s="609"/>
      <c r="MDR276" s="609"/>
      <c r="MDS276" s="609"/>
      <c r="MDT276" s="609"/>
      <c r="MDU276" s="609"/>
      <c r="MDV276" s="609"/>
      <c r="MDW276" s="609"/>
      <c r="MDX276" s="609"/>
      <c r="MDY276" s="609"/>
      <c r="MDZ276" s="609"/>
      <c r="MEA276" s="609"/>
      <c r="MEB276" s="609"/>
      <c r="MEC276" s="609"/>
      <c r="MED276" s="609"/>
      <c r="MEE276" s="609"/>
      <c r="MEF276" s="609"/>
      <c r="MEG276" s="609"/>
      <c r="MEH276" s="609"/>
      <c r="MEI276" s="609"/>
      <c r="MEJ276" s="609"/>
      <c r="MEK276" s="609"/>
      <c r="MEL276" s="609"/>
      <c r="MEM276" s="609"/>
      <c r="MEN276" s="609"/>
      <c r="MEO276" s="609"/>
      <c r="MEP276" s="609"/>
      <c r="MEQ276" s="609"/>
      <c r="MER276" s="609"/>
      <c r="MES276" s="609"/>
      <c r="MET276" s="609"/>
      <c r="MEU276" s="609"/>
      <c r="MEV276" s="609"/>
      <c r="MEW276" s="609"/>
      <c r="MEX276" s="609"/>
      <c r="MEY276" s="609"/>
      <c r="MEZ276" s="609"/>
      <c r="MFA276" s="609"/>
      <c r="MFB276" s="609"/>
      <c r="MFC276" s="609"/>
      <c r="MFD276" s="609"/>
      <c r="MFE276" s="609"/>
      <c r="MFF276" s="609"/>
      <c r="MFG276" s="609"/>
      <c r="MFH276" s="609"/>
      <c r="MFI276" s="609"/>
      <c r="MFJ276" s="609"/>
      <c r="MFK276" s="609"/>
      <c r="MFL276" s="609"/>
      <c r="MFM276" s="609"/>
      <c r="MFN276" s="609"/>
      <c r="MFO276" s="609"/>
      <c r="MFP276" s="609"/>
      <c r="MFQ276" s="609"/>
      <c r="MFR276" s="609"/>
      <c r="MFS276" s="609"/>
      <c r="MFT276" s="609"/>
      <c r="MFU276" s="609"/>
      <c r="MFV276" s="609"/>
      <c r="MFW276" s="609"/>
      <c r="MFX276" s="609"/>
      <c r="MFY276" s="609"/>
      <c r="MFZ276" s="609"/>
      <c r="MGA276" s="609"/>
      <c r="MGB276" s="609"/>
      <c r="MGC276" s="609"/>
      <c r="MGD276" s="609"/>
      <c r="MGE276" s="609"/>
      <c r="MGF276" s="609"/>
      <c r="MGG276" s="609"/>
      <c r="MGH276" s="609"/>
      <c r="MGI276" s="609"/>
      <c r="MGJ276" s="609"/>
      <c r="MGK276" s="609"/>
      <c r="MGL276" s="609"/>
      <c r="MGM276" s="609"/>
      <c r="MGN276" s="609"/>
      <c r="MGO276" s="609"/>
      <c r="MGP276" s="609"/>
      <c r="MGQ276" s="609"/>
      <c r="MGR276" s="609"/>
      <c r="MGS276" s="609"/>
      <c r="MGT276" s="609"/>
      <c r="MGU276" s="609"/>
      <c r="MGV276" s="609"/>
      <c r="MGW276" s="609"/>
      <c r="MGX276" s="609"/>
      <c r="MGY276" s="609"/>
      <c r="MGZ276" s="609"/>
      <c r="MHA276" s="609"/>
      <c r="MHB276" s="609"/>
      <c r="MHC276" s="609"/>
      <c r="MHD276" s="609"/>
      <c r="MHE276" s="609"/>
      <c r="MHF276" s="609"/>
      <c r="MHG276" s="609"/>
      <c r="MHH276" s="609"/>
      <c r="MHI276" s="609"/>
      <c r="MHJ276" s="609"/>
      <c r="MHK276" s="609"/>
      <c r="MHL276" s="609"/>
      <c r="MHM276" s="609"/>
      <c r="MHN276" s="609"/>
      <c r="MHO276" s="609"/>
      <c r="MHP276" s="609"/>
      <c r="MHQ276" s="609"/>
      <c r="MHR276" s="609"/>
      <c r="MHS276" s="609"/>
      <c r="MHT276" s="609"/>
      <c r="MHU276" s="609"/>
      <c r="MHV276" s="609"/>
      <c r="MHW276" s="609"/>
      <c r="MHX276" s="609"/>
      <c r="MHY276" s="609"/>
      <c r="MHZ276" s="609"/>
      <c r="MIA276" s="609"/>
      <c r="MIB276" s="609"/>
      <c r="MIC276" s="609"/>
      <c r="MID276" s="609"/>
      <c r="MIE276" s="609"/>
      <c r="MIF276" s="609"/>
      <c r="MIG276" s="609"/>
      <c r="MIH276" s="609"/>
      <c r="MII276" s="609"/>
      <c r="MIJ276" s="609"/>
      <c r="MIK276" s="609"/>
      <c r="MIL276" s="609"/>
      <c r="MIM276" s="609"/>
      <c r="MIN276" s="609"/>
      <c r="MIO276" s="609"/>
      <c r="MIP276" s="609"/>
      <c r="MIQ276" s="609"/>
      <c r="MIR276" s="609"/>
      <c r="MIS276" s="609"/>
      <c r="MIT276" s="609"/>
      <c r="MIU276" s="609"/>
      <c r="MIV276" s="609"/>
      <c r="MIW276" s="609"/>
      <c r="MIX276" s="609"/>
      <c r="MIY276" s="609"/>
      <c r="MIZ276" s="609"/>
      <c r="MJA276" s="609"/>
      <c r="MJB276" s="609"/>
      <c r="MJC276" s="609"/>
      <c r="MJD276" s="609"/>
      <c r="MJE276" s="609"/>
      <c r="MJF276" s="609"/>
      <c r="MJG276" s="609"/>
      <c r="MJH276" s="609"/>
      <c r="MJI276" s="609"/>
      <c r="MJJ276" s="609"/>
      <c r="MJK276" s="609"/>
      <c r="MJL276" s="609"/>
      <c r="MJM276" s="609"/>
      <c r="MJN276" s="609"/>
      <c r="MJO276" s="609"/>
      <c r="MJP276" s="609"/>
      <c r="MJQ276" s="609"/>
      <c r="MJR276" s="609"/>
      <c r="MJS276" s="609"/>
      <c r="MJT276" s="609"/>
      <c r="MJU276" s="609"/>
      <c r="MJV276" s="609"/>
      <c r="MJW276" s="609"/>
      <c r="MJX276" s="609"/>
      <c r="MJY276" s="609"/>
      <c r="MJZ276" s="609"/>
      <c r="MKA276" s="609"/>
      <c r="MKB276" s="609"/>
      <c r="MKC276" s="609"/>
      <c r="MKD276" s="609"/>
      <c r="MKE276" s="609"/>
      <c r="MKF276" s="609"/>
      <c r="MKG276" s="609"/>
      <c r="MKH276" s="609"/>
      <c r="MKI276" s="609"/>
      <c r="MKJ276" s="609"/>
      <c r="MKK276" s="609"/>
      <c r="MKL276" s="609"/>
      <c r="MKM276" s="609"/>
      <c r="MKN276" s="609"/>
      <c r="MKO276" s="609"/>
      <c r="MKP276" s="609"/>
      <c r="MKQ276" s="609"/>
      <c r="MKR276" s="609"/>
      <c r="MKS276" s="609"/>
      <c r="MKT276" s="609"/>
      <c r="MKU276" s="609"/>
      <c r="MKV276" s="609"/>
      <c r="MKW276" s="609"/>
      <c r="MKX276" s="609"/>
      <c r="MKY276" s="609"/>
      <c r="MKZ276" s="609"/>
      <c r="MLA276" s="609"/>
      <c r="MLB276" s="609"/>
      <c r="MLC276" s="609"/>
      <c r="MLD276" s="609"/>
      <c r="MLE276" s="609"/>
      <c r="MLF276" s="609"/>
      <c r="MLG276" s="609"/>
      <c r="MLH276" s="609"/>
      <c r="MLI276" s="609"/>
      <c r="MLJ276" s="609"/>
      <c r="MLK276" s="609"/>
      <c r="MLL276" s="609"/>
      <c r="MLM276" s="609"/>
      <c r="MLN276" s="609"/>
      <c r="MLO276" s="609"/>
      <c r="MLP276" s="609"/>
      <c r="MLQ276" s="609"/>
      <c r="MLR276" s="609"/>
      <c r="MLS276" s="609"/>
      <c r="MLT276" s="609"/>
      <c r="MLU276" s="609"/>
      <c r="MLV276" s="609"/>
      <c r="MLW276" s="609"/>
      <c r="MLX276" s="609"/>
      <c r="MLY276" s="609"/>
      <c r="MLZ276" s="609"/>
      <c r="MMA276" s="609"/>
      <c r="MMB276" s="609"/>
      <c r="MMC276" s="609"/>
      <c r="MMD276" s="609"/>
      <c r="MME276" s="609"/>
      <c r="MMF276" s="609"/>
      <c r="MMG276" s="609"/>
      <c r="MMH276" s="609"/>
      <c r="MMI276" s="609"/>
      <c r="MMJ276" s="609"/>
      <c r="MMK276" s="609"/>
      <c r="MML276" s="609"/>
      <c r="MMM276" s="609"/>
      <c r="MMN276" s="609"/>
      <c r="MMO276" s="609"/>
      <c r="MMP276" s="609"/>
      <c r="MMQ276" s="609"/>
      <c r="MMR276" s="609"/>
      <c r="MMS276" s="609"/>
      <c r="MMT276" s="609"/>
      <c r="MMU276" s="609"/>
      <c r="MMV276" s="609"/>
      <c r="MMW276" s="609"/>
      <c r="MMX276" s="609"/>
      <c r="MMY276" s="609"/>
      <c r="MMZ276" s="609"/>
      <c r="MNA276" s="609"/>
      <c r="MNB276" s="609"/>
      <c r="MNC276" s="609"/>
      <c r="MND276" s="609"/>
      <c r="MNE276" s="609"/>
      <c r="MNF276" s="609"/>
      <c r="MNG276" s="609"/>
      <c r="MNH276" s="609"/>
      <c r="MNI276" s="609"/>
      <c r="MNJ276" s="609"/>
      <c r="MNK276" s="609"/>
      <c r="MNL276" s="609"/>
      <c r="MNM276" s="609"/>
      <c r="MNN276" s="609"/>
      <c r="MNO276" s="609"/>
      <c r="MNP276" s="609"/>
      <c r="MNQ276" s="609"/>
      <c r="MNR276" s="609"/>
      <c r="MNS276" s="609"/>
      <c r="MNT276" s="609"/>
      <c r="MNU276" s="609"/>
      <c r="MNV276" s="609"/>
      <c r="MNW276" s="609"/>
      <c r="MNX276" s="609"/>
      <c r="MNY276" s="609"/>
      <c r="MNZ276" s="609"/>
      <c r="MOA276" s="609"/>
      <c r="MOB276" s="609"/>
      <c r="MOC276" s="609"/>
      <c r="MOD276" s="609"/>
      <c r="MOE276" s="609"/>
      <c r="MOF276" s="609"/>
      <c r="MOG276" s="609"/>
      <c r="MOH276" s="609"/>
      <c r="MOI276" s="609"/>
      <c r="MOJ276" s="609"/>
      <c r="MOK276" s="609"/>
      <c r="MOL276" s="609"/>
      <c r="MOM276" s="609"/>
      <c r="MON276" s="609"/>
      <c r="MOO276" s="609"/>
      <c r="MOP276" s="609"/>
      <c r="MOQ276" s="609"/>
      <c r="MOR276" s="609"/>
      <c r="MOS276" s="609"/>
      <c r="MOT276" s="609"/>
      <c r="MOU276" s="609"/>
      <c r="MOV276" s="609"/>
      <c r="MOW276" s="609"/>
      <c r="MOX276" s="609"/>
      <c r="MOY276" s="609"/>
      <c r="MOZ276" s="609"/>
      <c r="MPA276" s="609"/>
      <c r="MPB276" s="609"/>
      <c r="MPC276" s="609"/>
      <c r="MPD276" s="609"/>
      <c r="MPE276" s="609"/>
      <c r="MPF276" s="609"/>
      <c r="MPG276" s="609"/>
      <c r="MPH276" s="609"/>
      <c r="MPI276" s="609"/>
      <c r="MPJ276" s="609"/>
      <c r="MPK276" s="609"/>
      <c r="MPL276" s="609"/>
      <c r="MPM276" s="609"/>
      <c r="MPN276" s="609"/>
      <c r="MPO276" s="609"/>
      <c r="MPP276" s="609"/>
      <c r="MPQ276" s="609"/>
      <c r="MPR276" s="609"/>
      <c r="MPS276" s="609"/>
      <c r="MPT276" s="609"/>
      <c r="MPU276" s="609"/>
      <c r="MPV276" s="609"/>
      <c r="MPW276" s="609"/>
      <c r="MPX276" s="609"/>
      <c r="MPY276" s="609"/>
      <c r="MPZ276" s="609"/>
      <c r="MQA276" s="609"/>
      <c r="MQB276" s="609"/>
      <c r="MQC276" s="609"/>
      <c r="MQD276" s="609"/>
      <c r="MQE276" s="609"/>
      <c r="MQF276" s="609"/>
      <c r="MQG276" s="609"/>
      <c r="MQH276" s="609"/>
      <c r="MQI276" s="609"/>
      <c r="MQJ276" s="609"/>
      <c r="MQK276" s="609"/>
      <c r="MQL276" s="609"/>
      <c r="MQM276" s="609"/>
      <c r="MQN276" s="609"/>
      <c r="MQO276" s="609"/>
      <c r="MQP276" s="609"/>
      <c r="MQQ276" s="609"/>
      <c r="MQR276" s="609"/>
      <c r="MQS276" s="609"/>
      <c r="MQT276" s="609"/>
      <c r="MQU276" s="609"/>
      <c r="MQV276" s="609"/>
      <c r="MQW276" s="609"/>
      <c r="MQX276" s="609"/>
      <c r="MQY276" s="609"/>
      <c r="MQZ276" s="609"/>
      <c r="MRA276" s="609"/>
      <c r="MRB276" s="609"/>
      <c r="MRC276" s="609"/>
      <c r="MRD276" s="609"/>
      <c r="MRE276" s="609"/>
      <c r="MRF276" s="609"/>
      <c r="MRG276" s="609"/>
      <c r="MRH276" s="609"/>
      <c r="MRI276" s="609"/>
      <c r="MRJ276" s="609"/>
      <c r="MRK276" s="609"/>
      <c r="MRL276" s="609"/>
      <c r="MRM276" s="609"/>
      <c r="MRN276" s="609"/>
      <c r="MRO276" s="609"/>
      <c r="MRP276" s="609"/>
      <c r="MRQ276" s="609"/>
      <c r="MRR276" s="609"/>
      <c r="MRS276" s="609"/>
      <c r="MRT276" s="609"/>
      <c r="MRU276" s="609"/>
      <c r="MRV276" s="609"/>
      <c r="MRW276" s="609"/>
      <c r="MRX276" s="609"/>
      <c r="MRY276" s="609"/>
      <c r="MRZ276" s="609"/>
      <c r="MSA276" s="609"/>
      <c r="MSB276" s="609"/>
      <c r="MSC276" s="609"/>
      <c r="MSD276" s="609"/>
      <c r="MSE276" s="609"/>
      <c r="MSF276" s="609"/>
      <c r="MSG276" s="609"/>
      <c r="MSH276" s="609"/>
      <c r="MSI276" s="609"/>
      <c r="MSJ276" s="609"/>
      <c r="MSK276" s="609"/>
      <c r="MSL276" s="609"/>
      <c r="MSM276" s="609"/>
      <c r="MSN276" s="609"/>
      <c r="MSO276" s="609"/>
      <c r="MSP276" s="609"/>
      <c r="MSQ276" s="609"/>
      <c r="MSR276" s="609"/>
      <c r="MSS276" s="609"/>
      <c r="MST276" s="609"/>
      <c r="MSU276" s="609"/>
      <c r="MSV276" s="609"/>
      <c r="MSW276" s="609"/>
      <c r="MSX276" s="609"/>
      <c r="MSY276" s="609"/>
      <c r="MSZ276" s="609"/>
      <c r="MTA276" s="609"/>
      <c r="MTB276" s="609"/>
      <c r="MTC276" s="609"/>
      <c r="MTD276" s="609"/>
      <c r="MTE276" s="609"/>
      <c r="MTF276" s="609"/>
      <c r="MTG276" s="609"/>
      <c r="MTH276" s="609"/>
      <c r="MTI276" s="609"/>
      <c r="MTJ276" s="609"/>
      <c r="MTK276" s="609"/>
      <c r="MTL276" s="609"/>
      <c r="MTM276" s="609"/>
      <c r="MTN276" s="609"/>
      <c r="MTO276" s="609"/>
      <c r="MTP276" s="609"/>
      <c r="MTQ276" s="609"/>
      <c r="MTR276" s="609"/>
      <c r="MTS276" s="609"/>
      <c r="MTT276" s="609"/>
      <c r="MTU276" s="609"/>
      <c r="MTV276" s="609"/>
      <c r="MTW276" s="609"/>
      <c r="MTX276" s="609"/>
      <c r="MTY276" s="609"/>
      <c r="MTZ276" s="609"/>
      <c r="MUA276" s="609"/>
      <c r="MUB276" s="609"/>
      <c r="MUC276" s="609"/>
      <c r="MUD276" s="609"/>
      <c r="MUE276" s="609"/>
      <c r="MUF276" s="609"/>
      <c r="MUG276" s="609"/>
      <c r="MUH276" s="609"/>
      <c r="MUI276" s="609"/>
      <c r="MUJ276" s="609"/>
      <c r="MUK276" s="609"/>
      <c r="MUL276" s="609"/>
      <c r="MUM276" s="609"/>
      <c r="MUN276" s="609"/>
      <c r="MUO276" s="609"/>
      <c r="MUP276" s="609"/>
      <c r="MUQ276" s="609"/>
      <c r="MUR276" s="609"/>
      <c r="MUS276" s="609"/>
      <c r="MUT276" s="609"/>
      <c r="MUU276" s="609"/>
      <c r="MUV276" s="609"/>
      <c r="MUW276" s="609"/>
      <c r="MUX276" s="609"/>
      <c r="MUY276" s="609"/>
      <c r="MUZ276" s="609"/>
      <c r="MVA276" s="609"/>
      <c r="MVB276" s="609"/>
      <c r="MVC276" s="609"/>
      <c r="MVD276" s="609"/>
      <c r="MVE276" s="609"/>
      <c r="MVF276" s="609"/>
      <c r="MVG276" s="609"/>
      <c r="MVH276" s="609"/>
      <c r="MVI276" s="609"/>
      <c r="MVJ276" s="609"/>
      <c r="MVK276" s="609"/>
      <c r="MVL276" s="609"/>
      <c r="MVM276" s="609"/>
      <c r="MVN276" s="609"/>
      <c r="MVO276" s="609"/>
      <c r="MVP276" s="609"/>
      <c r="MVQ276" s="609"/>
      <c r="MVR276" s="609"/>
      <c r="MVS276" s="609"/>
      <c r="MVT276" s="609"/>
      <c r="MVU276" s="609"/>
      <c r="MVV276" s="609"/>
      <c r="MVW276" s="609"/>
      <c r="MVX276" s="609"/>
      <c r="MVY276" s="609"/>
      <c r="MVZ276" s="609"/>
      <c r="MWA276" s="609"/>
      <c r="MWB276" s="609"/>
      <c r="MWC276" s="609"/>
      <c r="MWD276" s="609"/>
      <c r="MWE276" s="609"/>
      <c r="MWF276" s="609"/>
      <c r="MWG276" s="609"/>
      <c r="MWH276" s="609"/>
      <c r="MWI276" s="609"/>
      <c r="MWJ276" s="609"/>
      <c r="MWK276" s="609"/>
      <c r="MWL276" s="609"/>
      <c r="MWM276" s="609"/>
      <c r="MWN276" s="609"/>
      <c r="MWO276" s="609"/>
      <c r="MWP276" s="609"/>
      <c r="MWQ276" s="609"/>
      <c r="MWR276" s="609"/>
      <c r="MWS276" s="609"/>
      <c r="MWT276" s="609"/>
      <c r="MWU276" s="609"/>
      <c r="MWV276" s="609"/>
      <c r="MWW276" s="609"/>
      <c r="MWX276" s="609"/>
      <c r="MWY276" s="609"/>
      <c r="MWZ276" s="609"/>
      <c r="MXA276" s="609"/>
      <c r="MXB276" s="609"/>
      <c r="MXC276" s="609"/>
      <c r="MXD276" s="609"/>
      <c r="MXE276" s="609"/>
      <c r="MXF276" s="609"/>
      <c r="MXG276" s="609"/>
      <c r="MXH276" s="609"/>
      <c r="MXI276" s="609"/>
      <c r="MXJ276" s="609"/>
      <c r="MXK276" s="609"/>
      <c r="MXL276" s="609"/>
      <c r="MXM276" s="609"/>
      <c r="MXN276" s="609"/>
      <c r="MXO276" s="609"/>
      <c r="MXP276" s="609"/>
      <c r="MXQ276" s="609"/>
      <c r="MXR276" s="609"/>
      <c r="MXS276" s="609"/>
      <c r="MXT276" s="609"/>
      <c r="MXU276" s="609"/>
      <c r="MXV276" s="609"/>
      <c r="MXW276" s="609"/>
      <c r="MXX276" s="609"/>
      <c r="MXY276" s="609"/>
      <c r="MXZ276" s="609"/>
      <c r="MYA276" s="609"/>
      <c r="MYB276" s="609"/>
      <c r="MYC276" s="609"/>
      <c r="MYD276" s="609"/>
      <c r="MYE276" s="609"/>
      <c r="MYF276" s="609"/>
      <c r="MYG276" s="609"/>
      <c r="MYH276" s="609"/>
      <c r="MYI276" s="609"/>
      <c r="MYJ276" s="609"/>
      <c r="MYK276" s="609"/>
      <c r="MYL276" s="609"/>
      <c r="MYM276" s="609"/>
      <c r="MYN276" s="609"/>
      <c r="MYO276" s="609"/>
      <c r="MYP276" s="609"/>
      <c r="MYQ276" s="609"/>
      <c r="MYR276" s="609"/>
      <c r="MYS276" s="609"/>
      <c r="MYT276" s="609"/>
      <c r="MYU276" s="609"/>
      <c r="MYV276" s="609"/>
      <c r="MYW276" s="609"/>
      <c r="MYX276" s="609"/>
      <c r="MYY276" s="609"/>
      <c r="MYZ276" s="609"/>
      <c r="MZA276" s="609"/>
      <c r="MZB276" s="609"/>
      <c r="MZC276" s="609"/>
      <c r="MZD276" s="609"/>
      <c r="MZE276" s="609"/>
      <c r="MZF276" s="609"/>
      <c r="MZG276" s="609"/>
      <c r="MZH276" s="609"/>
      <c r="MZI276" s="609"/>
      <c r="MZJ276" s="609"/>
      <c r="MZK276" s="609"/>
      <c r="MZL276" s="609"/>
      <c r="MZM276" s="609"/>
      <c r="MZN276" s="609"/>
      <c r="MZO276" s="609"/>
      <c r="MZP276" s="609"/>
      <c r="MZQ276" s="609"/>
      <c r="MZR276" s="609"/>
      <c r="MZS276" s="609"/>
      <c r="MZT276" s="609"/>
      <c r="MZU276" s="609"/>
      <c r="MZV276" s="609"/>
      <c r="MZW276" s="609"/>
      <c r="MZX276" s="609"/>
      <c r="MZY276" s="609"/>
      <c r="MZZ276" s="609"/>
      <c r="NAA276" s="609"/>
      <c r="NAB276" s="609"/>
      <c r="NAC276" s="609"/>
      <c r="NAD276" s="609"/>
      <c r="NAE276" s="609"/>
      <c r="NAF276" s="609"/>
      <c r="NAG276" s="609"/>
      <c r="NAH276" s="609"/>
      <c r="NAI276" s="609"/>
      <c r="NAJ276" s="609"/>
      <c r="NAK276" s="609"/>
      <c r="NAL276" s="609"/>
      <c r="NAM276" s="609"/>
      <c r="NAN276" s="609"/>
      <c r="NAO276" s="609"/>
      <c r="NAP276" s="609"/>
      <c r="NAQ276" s="609"/>
      <c r="NAR276" s="609"/>
      <c r="NAS276" s="609"/>
      <c r="NAT276" s="609"/>
      <c r="NAU276" s="609"/>
      <c r="NAV276" s="609"/>
      <c r="NAW276" s="609"/>
      <c r="NAX276" s="609"/>
      <c r="NAY276" s="609"/>
      <c r="NAZ276" s="609"/>
      <c r="NBA276" s="609"/>
      <c r="NBB276" s="609"/>
      <c r="NBC276" s="609"/>
      <c r="NBD276" s="609"/>
      <c r="NBE276" s="609"/>
      <c r="NBF276" s="609"/>
      <c r="NBG276" s="609"/>
      <c r="NBH276" s="609"/>
      <c r="NBI276" s="609"/>
      <c r="NBJ276" s="609"/>
      <c r="NBK276" s="609"/>
      <c r="NBL276" s="609"/>
      <c r="NBM276" s="609"/>
      <c r="NBN276" s="609"/>
      <c r="NBO276" s="609"/>
      <c r="NBP276" s="609"/>
      <c r="NBQ276" s="609"/>
      <c r="NBR276" s="609"/>
      <c r="NBS276" s="609"/>
      <c r="NBT276" s="609"/>
      <c r="NBU276" s="609"/>
      <c r="NBV276" s="609"/>
      <c r="NBW276" s="609"/>
      <c r="NBX276" s="609"/>
      <c r="NBY276" s="609"/>
      <c r="NBZ276" s="609"/>
      <c r="NCA276" s="609"/>
      <c r="NCB276" s="609"/>
      <c r="NCC276" s="609"/>
      <c r="NCD276" s="609"/>
      <c r="NCE276" s="609"/>
      <c r="NCF276" s="609"/>
      <c r="NCG276" s="609"/>
      <c r="NCH276" s="609"/>
      <c r="NCI276" s="609"/>
      <c r="NCJ276" s="609"/>
      <c r="NCK276" s="609"/>
      <c r="NCL276" s="609"/>
      <c r="NCM276" s="609"/>
      <c r="NCN276" s="609"/>
      <c r="NCO276" s="609"/>
      <c r="NCP276" s="609"/>
      <c r="NCQ276" s="609"/>
      <c r="NCR276" s="609"/>
      <c r="NCS276" s="609"/>
      <c r="NCT276" s="609"/>
      <c r="NCU276" s="609"/>
      <c r="NCV276" s="609"/>
      <c r="NCW276" s="609"/>
      <c r="NCX276" s="609"/>
      <c r="NCY276" s="609"/>
      <c r="NCZ276" s="609"/>
      <c r="NDA276" s="609"/>
      <c r="NDB276" s="609"/>
      <c r="NDC276" s="609"/>
      <c r="NDD276" s="609"/>
      <c r="NDE276" s="609"/>
      <c r="NDF276" s="609"/>
      <c r="NDG276" s="609"/>
      <c r="NDH276" s="609"/>
      <c r="NDI276" s="609"/>
      <c r="NDJ276" s="609"/>
      <c r="NDK276" s="609"/>
      <c r="NDL276" s="609"/>
      <c r="NDM276" s="609"/>
      <c r="NDN276" s="609"/>
      <c r="NDO276" s="609"/>
      <c r="NDP276" s="609"/>
      <c r="NDQ276" s="609"/>
      <c r="NDR276" s="609"/>
      <c r="NDS276" s="609"/>
      <c r="NDT276" s="609"/>
      <c r="NDU276" s="609"/>
      <c r="NDV276" s="609"/>
      <c r="NDW276" s="609"/>
      <c r="NDX276" s="609"/>
      <c r="NDY276" s="609"/>
      <c r="NDZ276" s="609"/>
      <c r="NEA276" s="609"/>
      <c r="NEB276" s="609"/>
      <c r="NEC276" s="609"/>
      <c r="NED276" s="609"/>
      <c r="NEE276" s="609"/>
      <c r="NEF276" s="609"/>
      <c r="NEG276" s="609"/>
      <c r="NEH276" s="609"/>
      <c r="NEI276" s="609"/>
      <c r="NEJ276" s="609"/>
      <c r="NEK276" s="609"/>
      <c r="NEL276" s="609"/>
      <c r="NEM276" s="609"/>
      <c r="NEN276" s="609"/>
      <c r="NEO276" s="609"/>
      <c r="NEP276" s="609"/>
      <c r="NEQ276" s="609"/>
      <c r="NER276" s="609"/>
      <c r="NES276" s="609"/>
      <c r="NET276" s="609"/>
      <c r="NEU276" s="609"/>
      <c r="NEV276" s="609"/>
      <c r="NEW276" s="609"/>
      <c r="NEX276" s="609"/>
      <c r="NEY276" s="609"/>
      <c r="NEZ276" s="609"/>
      <c r="NFA276" s="609"/>
      <c r="NFB276" s="609"/>
      <c r="NFC276" s="609"/>
      <c r="NFD276" s="609"/>
      <c r="NFE276" s="609"/>
      <c r="NFF276" s="609"/>
      <c r="NFG276" s="609"/>
      <c r="NFH276" s="609"/>
      <c r="NFI276" s="609"/>
      <c r="NFJ276" s="609"/>
      <c r="NFK276" s="609"/>
      <c r="NFL276" s="609"/>
      <c r="NFM276" s="609"/>
      <c r="NFN276" s="609"/>
      <c r="NFO276" s="609"/>
      <c r="NFP276" s="609"/>
      <c r="NFQ276" s="609"/>
      <c r="NFR276" s="609"/>
      <c r="NFS276" s="609"/>
      <c r="NFT276" s="609"/>
      <c r="NFU276" s="609"/>
      <c r="NFV276" s="609"/>
      <c r="NFW276" s="609"/>
      <c r="NFX276" s="609"/>
      <c r="NFY276" s="609"/>
      <c r="NFZ276" s="609"/>
      <c r="NGA276" s="609"/>
      <c r="NGB276" s="609"/>
      <c r="NGC276" s="609"/>
      <c r="NGD276" s="609"/>
      <c r="NGE276" s="609"/>
      <c r="NGF276" s="609"/>
      <c r="NGG276" s="609"/>
      <c r="NGH276" s="609"/>
      <c r="NGI276" s="609"/>
      <c r="NGJ276" s="609"/>
      <c r="NGK276" s="609"/>
      <c r="NGL276" s="609"/>
      <c r="NGM276" s="609"/>
      <c r="NGN276" s="609"/>
      <c r="NGO276" s="609"/>
      <c r="NGP276" s="609"/>
      <c r="NGQ276" s="609"/>
      <c r="NGR276" s="609"/>
      <c r="NGS276" s="609"/>
      <c r="NGT276" s="609"/>
      <c r="NGU276" s="609"/>
      <c r="NGV276" s="609"/>
      <c r="NGW276" s="609"/>
      <c r="NGX276" s="609"/>
      <c r="NGY276" s="609"/>
      <c r="NGZ276" s="609"/>
      <c r="NHA276" s="609"/>
      <c r="NHB276" s="609"/>
      <c r="NHC276" s="609"/>
      <c r="NHD276" s="609"/>
      <c r="NHE276" s="609"/>
      <c r="NHF276" s="609"/>
      <c r="NHG276" s="609"/>
      <c r="NHH276" s="609"/>
      <c r="NHI276" s="609"/>
      <c r="NHJ276" s="609"/>
      <c r="NHK276" s="609"/>
      <c r="NHL276" s="609"/>
      <c r="NHM276" s="609"/>
      <c r="NHN276" s="609"/>
      <c r="NHO276" s="609"/>
      <c r="NHP276" s="609"/>
      <c r="NHQ276" s="609"/>
      <c r="NHR276" s="609"/>
      <c r="NHS276" s="609"/>
      <c r="NHT276" s="609"/>
      <c r="NHU276" s="609"/>
      <c r="NHV276" s="609"/>
      <c r="NHW276" s="609"/>
      <c r="NHX276" s="609"/>
      <c r="NHY276" s="609"/>
      <c r="NHZ276" s="609"/>
      <c r="NIA276" s="609"/>
      <c r="NIB276" s="609"/>
      <c r="NIC276" s="609"/>
      <c r="NID276" s="609"/>
      <c r="NIE276" s="609"/>
      <c r="NIF276" s="609"/>
      <c r="NIG276" s="609"/>
      <c r="NIH276" s="609"/>
      <c r="NII276" s="609"/>
      <c r="NIJ276" s="609"/>
      <c r="NIK276" s="609"/>
      <c r="NIL276" s="609"/>
      <c r="NIM276" s="609"/>
      <c r="NIN276" s="609"/>
      <c r="NIO276" s="609"/>
      <c r="NIP276" s="609"/>
      <c r="NIQ276" s="609"/>
      <c r="NIR276" s="609"/>
      <c r="NIS276" s="609"/>
      <c r="NIT276" s="609"/>
      <c r="NIU276" s="609"/>
      <c r="NIV276" s="609"/>
      <c r="NIW276" s="609"/>
      <c r="NIX276" s="609"/>
      <c r="NIY276" s="609"/>
      <c r="NIZ276" s="609"/>
      <c r="NJA276" s="609"/>
      <c r="NJB276" s="609"/>
      <c r="NJC276" s="609"/>
      <c r="NJD276" s="609"/>
      <c r="NJE276" s="609"/>
      <c r="NJF276" s="609"/>
      <c r="NJG276" s="609"/>
      <c r="NJH276" s="609"/>
      <c r="NJI276" s="609"/>
      <c r="NJJ276" s="609"/>
      <c r="NJK276" s="609"/>
      <c r="NJL276" s="609"/>
      <c r="NJM276" s="609"/>
      <c r="NJN276" s="609"/>
      <c r="NJO276" s="609"/>
      <c r="NJP276" s="609"/>
      <c r="NJQ276" s="609"/>
      <c r="NJR276" s="609"/>
      <c r="NJS276" s="609"/>
      <c r="NJT276" s="609"/>
      <c r="NJU276" s="609"/>
      <c r="NJV276" s="609"/>
      <c r="NJW276" s="609"/>
      <c r="NJX276" s="609"/>
      <c r="NJY276" s="609"/>
      <c r="NJZ276" s="609"/>
      <c r="NKA276" s="609"/>
      <c r="NKB276" s="609"/>
      <c r="NKC276" s="609"/>
      <c r="NKD276" s="609"/>
      <c r="NKE276" s="609"/>
      <c r="NKF276" s="609"/>
      <c r="NKG276" s="609"/>
      <c r="NKH276" s="609"/>
      <c r="NKI276" s="609"/>
      <c r="NKJ276" s="609"/>
      <c r="NKK276" s="609"/>
      <c r="NKL276" s="609"/>
      <c r="NKM276" s="609"/>
      <c r="NKN276" s="609"/>
      <c r="NKO276" s="609"/>
      <c r="NKP276" s="609"/>
      <c r="NKQ276" s="609"/>
      <c r="NKR276" s="609"/>
      <c r="NKS276" s="609"/>
      <c r="NKT276" s="609"/>
      <c r="NKU276" s="609"/>
      <c r="NKV276" s="609"/>
      <c r="NKW276" s="609"/>
      <c r="NKX276" s="609"/>
      <c r="NKY276" s="609"/>
      <c r="NKZ276" s="609"/>
      <c r="NLA276" s="609"/>
      <c r="NLB276" s="609"/>
      <c r="NLC276" s="609"/>
      <c r="NLD276" s="609"/>
      <c r="NLE276" s="609"/>
      <c r="NLF276" s="609"/>
      <c r="NLG276" s="609"/>
      <c r="NLH276" s="609"/>
      <c r="NLI276" s="609"/>
      <c r="NLJ276" s="609"/>
      <c r="NLK276" s="609"/>
      <c r="NLL276" s="609"/>
      <c r="NLM276" s="609"/>
      <c r="NLN276" s="609"/>
      <c r="NLO276" s="609"/>
      <c r="NLP276" s="609"/>
      <c r="NLQ276" s="609"/>
      <c r="NLR276" s="609"/>
      <c r="NLS276" s="609"/>
      <c r="NLT276" s="609"/>
      <c r="NLU276" s="609"/>
      <c r="NLV276" s="609"/>
      <c r="NLW276" s="609"/>
      <c r="NLX276" s="609"/>
      <c r="NLY276" s="609"/>
      <c r="NLZ276" s="609"/>
      <c r="NMA276" s="609"/>
      <c r="NMB276" s="609"/>
      <c r="NMC276" s="609"/>
      <c r="NMD276" s="609"/>
      <c r="NME276" s="609"/>
      <c r="NMF276" s="609"/>
      <c r="NMG276" s="609"/>
      <c r="NMH276" s="609"/>
      <c r="NMI276" s="609"/>
      <c r="NMJ276" s="609"/>
      <c r="NMK276" s="609"/>
      <c r="NML276" s="609"/>
      <c r="NMM276" s="609"/>
      <c r="NMN276" s="609"/>
      <c r="NMO276" s="609"/>
      <c r="NMP276" s="609"/>
      <c r="NMQ276" s="609"/>
      <c r="NMR276" s="609"/>
      <c r="NMS276" s="609"/>
      <c r="NMT276" s="609"/>
      <c r="NMU276" s="609"/>
      <c r="NMV276" s="609"/>
      <c r="NMW276" s="609"/>
      <c r="NMX276" s="609"/>
      <c r="NMY276" s="609"/>
      <c r="NMZ276" s="609"/>
      <c r="NNA276" s="609"/>
      <c r="NNB276" s="609"/>
      <c r="NNC276" s="609"/>
      <c r="NND276" s="609"/>
      <c r="NNE276" s="609"/>
      <c r="NNF276" s="609"/>
      <c r="NNG276" s="609"/>
      <c r="NNH276" s="609"/>
      <c r="NNI276" s="609"/>
      <c r="NNJ276" s="609"/>
      <c r="NNK276" s="609"/>
      <c r="NNL276" s="609"/>
      <c r="NNM276" s="609"/>
      <c r="NNN276" s="609"/>
      <c r="NNO276" s="609"/>
      <c r="NNP276" s="609"/>
      <c r="NNQ276" s="609"/>
      <c r="NNR276" s="609"/>
      <c r="NNS276" s="609"/>
      <c r="NNT276" s="609"/>
      <c r="NNU276" s="609"/>
      <c r="NNV276" s="609"/>
      <c r="NNW276" s="609"/>
      <c r="NNX276" s="609"/>
      <c r="NNY276" s="609"/>
      <c r="NNZ276" s="609"/>
      <c r="NOA276" s="609"/>
      <c r="NOB276" s="609"/>
      <c r="NOC276" s="609"/>
      <c r="NOD276" s="609"/>
      <c r="NOE276" s="609"/>
      <c r="NOF276" s="609"/>
      <c r="NOG276" s="609"/>
      <c r="NOH276" s="609"/>
      <c r="NOI276" s="609"/>
      <c r="NOJ276" s="609"/>
      <c r="NOK276" s="609"/>
      <c r="NOL276" s="609"/>
      <c r="NOM276" s="609"/>
      <c r="NON276" s="609"/>
      <c r="NOO276" s="609"/>
      <c r="NOP276" s="609"/>
      <c r="NOQ276" s="609"/>
      <c r="NOR276" s="609"/>
      <c r="NOS276" s="609"/>
      <c r="NOT276" s="609"/>
      <c r="NOU276" s="609"/>
      <c r="NOV276" s="609"/>
      <c r="NOW276" s="609"/>
      <c r="NOX276" s="609"/>
      <c r="NOY276" s="609"/>
      <c r="NOZ276" s="609"/>
      <c r="NPA276" s="609"/>
      <c r="NPB276" s="609"/>
      <c r="NPC276" s="609"/>
      <c r="NPD276" s="609"/>
      <c r="NPE276" s="609"/>
      <c r="NPF276" s="609"/>
      <c r="NPG276" s="609"/>
      <c r="NPH276" s="609"/>
      <c r="NPI276" s="609"/>
      <c r="NPJ276" s="609"/>
      <c r="NPK276" s="609"/>
      <c r="NPL276" s="609"/>
      <c r="NPM276" s="609"/>
      <c r="NPN276" s="609"/>
      <c r="NPO276" s="609"/>
      <c r="NPP276" s="609"/>
      <c r="NPQ276" s="609"/>
      <c r="NPR276" s="609"/>
      <c r="NPS276" s="609"/>
      <c r="NPT276" s="609"/>
      <c r="NPU276" s="609"/>
      <c r="NPV276" s="609"/>
      <c r="NPW276" s="609"/>
      <c r="NPX276" s="609"/>
      <c r="NPY276" s="609"/>
      <c r="NPZ276" s="609"/>
      <c r="NQA276" s="609"/>
      <c r="NQB276" s="609"/>
      <c r="NQC276" s="609"/>
      <c r="NQD276" s="609"/>
      <c r="NQE276" s="609"/>
      <c r="NQF276" s="609"/>
      <c r="NQG276" s="609"/>
      <c r="NQH276" s="609"/>
      <c r="NQI276" s="609"/>
      <c r="NQJ276" s="609"/>
      <c r="NQK276" s="609"/>
      <c r="NQL276" s="609"/>
      <c r="NQM276" s="609"/>
      <c r="NQN276" s="609"/>
      <c r="NQO276" s="609"/>
      <c r="NQP276" s="609"/>
      <c r="NQQ276" s="609"/>
      <c r="NQR276" s="609"/>
      <c r="NQS276" s="609"/>
      <c r="NQT276" s="609"/>
      <c r="NQU276" s="609"/>
      <c r="NQV276" s="609"/>
      <c r="NQW276" s="609"/>
      <c r="NQX276" s="609"/>
      <c r="NQY276" s="609"/>
      <c r="NQZ276" s="609"/>
      <c r="NRA276" s="609"/>
      <c r="NRB276" s="609"/>
      <c r="NRC276" s="609"/>
      <c r="NRD276" s="609"/>
      <c r="NRE276" s="609"/>
      <c r="NRF276" s="609"/>
      <c r="NRG276" s="609"/>
      <c r="NRH276" s="609"/>
      <c r="NRI276" s="609"/>
      <c r="NRJ276" s="609"/>
      <c r="NRK276" s="609"/>
      <c r="NRL276" s="609"/>
      <c r="NRM276" s="609"/>
      <c r="NRN276" s="609"/>
      <c r="NRO276" s="609"/>
      <c r="NRP276" s="609"/>
      <c r="NRQ276" s="609"/>
      <c r="NRR276" s="609"/>
      <c r="NRS276" s="609"/>
      <c r="NRT276" s="609"/>
      <c r="NRU276" s="609"/>
      <c r="NRV276" s="609"/>
      <c r="NRW276" s="609"/>
      <c r="NRX276" s="609"/>
      <c r="NRY276" s="609"/>
      <c r="NRZ276" s="609"/>
      <c r="NSA276" s="609"/>
      <c r="NSB276" s="609"/>
      <c r="NSC276" s="609"/>
      <c r="NSD276" s="609"/>
      <c r="NSE276" s="609"/>
      <c r="NSF276" s="609"/>
      <c r="NSG276" s="609"/>
      <c r="NSH276" s="609"/>
      <c r="NSI276" s="609"/>
      <c r="NSJ276" s="609"/>
      <c r="NSK276" s="609"/>
      <c r="NSL276" s="609"/>
      <c r="NSM276" s="609"/>
      <c r="NSN276" s="609"/>
      <c r="NSO276" s="609"/>
      <c r="NSP276" s="609"/>
      <c r="NSQ276" s="609"/>
      <c r="NSR276" s="609"/>
      <c r="NSS276" s="609"/>
      <c r="NST276" s="609"/>
      <c r="NSU276" s="609"/>
      <c r="NSV276" s="609"/>
      <c r="NSW276" s="609"/>
      <c r="NSX276" s="609"/>
      <c r="NSY276" s="609"/>
      <c r="NSZ276" s="609"/>
      <c r="NTA276" s="609"/>
      <c r="NTB276" s="609"/>
      <c r="NTC276" s="609"/>
      <c r="NTD276" s="609"/>
      <c r="NTE276" s="609"/>
      <c r="NTF276" s="609"/>
      <c r="NTG276" s="609"/>
      <c r="NTH276" s="609"/>
      <c r="NTI276" s="609"/>
      <c r="NTJ276" s="609"/>
      <c r="NTK276" s="609"/>
      <c r="NTL276" s="609"/>
      <c r="NTM276" s="609"/>
      <c r="NTN276" s="609"/>
      <c r="NTO276" s="609"/>
      <c r="NTP276" s="609"/>
      <c r="NTQ276" s="609"/>
      <c r="NTR276" s="609"/>
      <c r="NTS276" s="609"/>
      <c r="NTT276" s="609"/>
      <c r="NTU276" s="609"/>
      <c r="NTV276" s="609"/>
      <c r="NTW276" s="609"/>
      <c r="NTX276" s="609"/>
      <c r="NTY276" s="609"/>
      <c r="NTZ276" s="609"/>
      <c r="NUA276" s="609"/>
      <c r="NUB276" s="609"/>
      <c r="NUC276" s="609"/>
      <c r="NUD276" s="609"/>
      <c r="NUE276" s="609"/>
      <c r="NUF276" s="609"/>
      <c r="NUG276" s="609"/>
      <c r="NUH276" s="609"/>
      <c r="NUI276" s="609"/>
      <c r="NUJ276" s="609"/>
      <c r="NUK276" s="609"/>
      <c r="NUL276" s="609"/>
      <c r="NUM276" s="609"/>
      <c r="NUN276" s="609"/>
      <c r="NUO276" s="609"/>
      <c r="NUP276" s="609"/>
      <c r="NUQ276" s="609"/>
      <c r="NUR276" s="609"/>
      <c r="NUS276" s="609"/>
      <c r="NUT276" s="609"/>
      <c r="NUU276" s="609"/>
      <c r="NUV276" s="609"/>
      <c r="NUW276" s="609"/>
      <c r="NUX276" s="609"/>
      <c r="NUY276" s="609"/>
      <c r="NUZ276" s="609"/>
      <c r="NVA276" s="609"/>
      <c r="NVB276" s="609"/>
      <c r="NVC276" s="609"/>
      <c r="NVD276" s="609"/>
      <c r="NVE276" s="609"/>
      <c r="NVF276" s="609"/>
      <c r="NVG276" s="609"/>
      <c r="NVH276" s="609"/>
      <c r="NVI276" s="609"/>
      <c r="NVJ276" s="609"/>
      <c r="NVK276" s="609"/>
      <c r="NVL276" s="609"/>
      <c r="NVM276" s="609"/>
      <c r="NVN276" s="609"/>
      <c r="NVO276" s="609"/>
      <c r="NVP276" s="609"/>
      <c r="NVQ276" s="609"/>
      <c r="NVR276" s="609"/>
      <c r="NVS276" s="609"/>
      <c r="NVT276" s="609"/>
      <c r="NVU276" s="609"/>
      <c r="NVV276" s="609"/>
      <c r="NVW276" s="609"/>
      <c r="NVX276" s="609"/>
      <c r="NVY276" s="609"/>
      <c r="NVZ276" s="609"/>
      <c r="NWA276" s="609"/>
      <c r="NWB276" s="609"/>
      <c r="NWC276" s="609"/>
      <c r="NWD276" s="609"/>
      <c r="NWE276" s="609"/>
      <c r="NWF276" s="609"/>
      <c r="NWG276" s="609"/>
      <c r="NWH276" s="609"/>
      <c r="NWI276" s="609"/>
      <c r="NWJ276" s="609"/>
      <c r="NWK276" s="609"/>
      <c r="NWL276" s="609"/>
      <c r="NWM276" s="609"/>
      <c r="NWN276" s="609"/>
      <c r="NWO276" s="609"/>
      <c r="NWP276" s="609"/>
      <c r="NWQ276" s="609"/>
      <c r="NWR276" s="609"/>
      <c r="NWS276" s="609"/>
      <c r="NWT276" s="609"/>
      <c r="NWU276" s="609"/>
      <c r="NWV276" s="609"/>
      <c r="NWW276" s="609"/>
      <c r="NWX276" s="609"/>
      <c r="NWY276" s="609"/>
      <c r="NWZ276" s="609"/>
      <c r="NXA276" s="609"/>
      <c r="NXB276" s="609"/>
      <c r="NXC276" s="609"/>
      <c r="NXD276" s="609"/>
      <c r="NXE276" s="609"/>
      <c r="NXF276" s="609"/>
      <c r="NXG276" s="609"/>
      <c r="NXH276" s="609"/>
      <c r="NXI276" s="609"/>
      <c r="NXJ276" s="609"/>
      <c r="NXK276" s="609"/>
      <c r="NXL276" s="609"/>
      <c r="NXM276" s="609"/>
      <c r="NXN276" s="609"/>
      <c r="NXO276" s="609"/>
      <c r="NXP276" s="609"/>
      <c r="NXQ276" s="609"/>
      <c r="NXR276" s="609"/>
      <c r="NXS276" s="609"/>
      <c r="NXT276" s="609"/>
      <c r="NXU276" s="609"/>
      <c r="NXV276" s="609"/>
      <c r="NXW276" s="609"/>
      <c r="NXX276" s="609"/>
      <c r="NXY276" s="609"/>
      <c r="NXZ276" s="609"/>
      <c r="NYA276" s="609"/>
      <c r="NYB276" s="609"/>
      <c r="NYC276" s="609"/>
      <c r="NYD276" s="609"/>
      <c r="NYE276" s="609"/>
      <c r="NYF276" s="609"/>
      <c r="NYG276" s="609"/>
      <c r="NYH276" s="609"/>
      <c r="NYI276" s="609"/>
      <c r="NYJ276" s="609"/>
      <c r="NYK276" s="609"/>
      <c r="NYL276" s="609"/>
      <c r="NYM276" s="609"/>
      <c r="NYN276" s="609"/>
      <c r="NYO276" s="609"/>
      <c r="NYP276" s="609"/>
      <c r="NYQ276" s="609"/>
      <c r="NYR276" s="609"/>
      <c r="NYS276" s="609"/>
      <c r="NYT276" s="609"/>
      <c r="NYU276" s="609"/>
      <c r="NYV276" s="609"/>
      <c r="NYW276" s="609"/>
      <c r="NYX276" s="609"/>
      <c r="NYY276" s="609"/>
      <c r="NYZ276" s="609"/>
      <c r="NZA276" s="609"/>
      <c r="NZB276" s="609"/>
      <c r="NZC276" s="609"/>
      <c r="NZD276" s="609"/>
      <c r="NZE276" s="609"/>
      <c r="NZF276" s="609"/>
      <c r="NZG276" s="609"/>
      <c r="NZH276" s="609"/>
      <c r="NZI276" s="609"/>
      <c r="NZJ276" s="609"/>
      <c r="NZK276" s="609"/>
      <c r="NZL276" s="609"/>
      <c r="NZM276" s="609"/>
      <c r="NZN276" s="609"/>
      <c r="NZO276" s="609"/>
      <c r="NZP276" s="609"/>
      <c r="NZQ276" s="609"/>
      <c r="NZR276" s="609"/>
      <c r="NZS276" s="609"/>
      <c r="NZT276" s="609"/>
      <c r="NZU276" s="609"/>
      <c r="NZV276" s="609"/>
      <c r="NZW276" s="609"/>
      <c r="NZX276" s="609"/>
      <c r="NZY276" s="609"/>
      <c r="NZZ276" s="609"/>
      <c r="OAA276" s="609"/>
      <c r="OAB276" s="609"/>
      <c r="OAC276" s="609"/>
      <c r="OAD276" s="609"/>
      <c r="OAE276" s="609"/>
      <c r="OAF276" s="609"/>
      <c r="OAG276" s="609"/>
      <c r="OAH276" s="609"/>
      <c r="OAI276" s="609"/>
      <c r="OAJ276" s="609"/>
      <c r="OAK276" s="609"/>
      <c r="OAL276" s="609"/>
      <c r="OAM276" s="609"/>
      <c r="OAN276" s="609"/>
      <c r="OAO276" s="609"/>
      <c r="OAP276" s="609"/>
      <c r="OAQ276" s="609"/>
      <c r="OAR276" s="609"/>
      <c r="OAS276" s="609"/>
      <c r="OAT276" s="609"/>
      <c r="OAU276" s="609"/>
      <c r="OAV276" s="609"/>
      <c r="OAW276" s="609"/>
      <c r="OAX276" s="609"/>
      <c r="OAY276" s="609"/>
      <c r="OAZ276" s="609"/>
      <c r="OBA276" s="609"/>
      <c r="OBB276" s="609"/>
      <c r="OBC276" s="609"/>
      <c r="OBD276" s="609"/>
      <c r="OBE276" s="609"/>
      <c r="OBF276" s="609"/>
      <c r="OBG276" s="609"/>
      <c r="OBH276" s="609"/>
      <c r="OBI276" s="609"/>
      <c r="OBJ276" s="609"/>
      <c r="OBK276" s="609"/>
      <c r="OBL276" s="609"/>
      <c r="OBM276" s="609"/>
      <c r="OBN276" s="609"/>
      <c r="OBO276" s="609"/>
      <c r="OBP276" s="609"/>
      <c r="OBQ276" s="609"/>
      <c r="OBR276" s="609"/>
      <c r="OBS276" s="609"/>
      <c r="OBT276" s="609"/>
      <c r="OBU276" s="609"/>
      <c r="OBV276" s="609"/>
      <c r="OBW276" s="609"/>
      <c r="OBX276" s="609"/>
      <c r="OBY276" s="609"/>
      <c r="OBZ276" s="609"/>
      <c r="OCA276" s="609"/>
      <c r="OCB276" s="609"/>
      <c r="OCC276" s="609"/>
      <c r="OCD276" s="609"/>
      <c r="OCE276" s="609"/>
      <c r="OCF276" s="609"/>
      <c r="OCG276" s="609"/>
      <c r="OCH276" s="609"/>
      <c r="OCI276" s="609"/>
      <c r="OCJ276" s="609"/>
      <c r="OCK276" s="609"/>
      <c r="OCL276" s="609"/>
      <c r="OCM276" s="609"/>
      <c r="OCN276" s="609"/>
      <c r="OCO276" s="609"/>
      <c r="OCP276" s="609"/>
      <c r="OCQ276" s="609"/>
      <c r="OCR276" s="609"/>
      <c r="OCS276" s="609"/>
      <c r="OCT276" s="609"/>
      <c r="OCU276" s="609"/>
      <c r="OCV276" s="609"/>
      <c r="OCW276" s="609"/>
      <c r="OCX276" s="609"/>
      <c r="OCY276" s="609"/>
      <c r="OCZ276" s="609"/>
      <c r="ODA276" s="609"/>
      <c r="ODB276" s="609"/>
      <c r="ODC276" s="609"/>
      <c r="ODD276" s="609"/>
      <c r="ODE276" s="609"/>
      <c r="ODF276" s="609"/>
      <c r="ODG276" s="609"/>
      <c r="ODH276" s="609"/>
      <c r="ODI276" s="609"/>
      <c r="ODJ276" s="609"/>
      <c r="ODK276" s="609"/>
      <c r="ODL276" s="609"/>
      <c r="ODM276" s="609"/>
      <c r="ODN276" s="609"/>
      <c r="ODO276" s="609"/>
      <c r="ODP276" s="609"/>
      <c r="ODQ276" s="609"/>
      <c r="ODR276" s="609"/>
      <c r="ODS276" s="609"/>
      <c r="ODT276" s="609"/>
      <c r="ODU276" s="609"/>
      <c r="ODV276" s="609"/>
      <c r="ODW276" s="609"/>
      <c r="ODX276" s="609"/>
      <c r="ODY276" s="609"/>
      <c r="ODZ276" s="609"/>
      <c r="OEA276" s="609"/>
      <c r="OEB276" s="609"/>
      <c r="OEC276" s="609"/>
      <c r="OED276" s="609"/>
      <c r="OEE276" s="609"/>
      <c r="OEF276" s="609"/>
      <c r="OEG276" s="609"/>
      <c r="OEH276" s="609"/>
      <c r="OEI276" s="609"/>
      <c r="OEJ276" s="609"/>
      <c r="OEK276" s="609"/>
      <c r="OEL276" s="609"/>
      <c r="OEM276" s="609"/>
      <c r="OEN276" s="609"/>
      <c r="OEO276" s="609"/>
      <c r="OEP276" s="609"/>
      <c r="OEQ276" s="609"/>
      <c r="OER276" s="609"/>
      <c r="OES276" s="609"/>
      <c r="OET276" s="609"/>
      <c r="OEU276" s="609"/>
      <c r="OEV276" s="609"/>
      <c r="OEW276" s="609"/>
      <c r="OEX276" s="609"/>
      <c r="OEY276" s="609"/>
      <c r="OEZ276" s="609"/>
      <c r="OFA276" s="609"/>
      <c r="OFB276" s="609"/>
      <c r="OFC276" s="609"/>
      <c r="OFD276" s="609"/>
      <c r="OFE276" s="609"/>
      <c r="OFF276" s="609"/>
      <c r="OFG276" s="609"/>
      <c r="OFH276" s="609"/>
      <c r="OFI276" s="609"/>
      <c r="OFJ276" s="609"/>
      <c r="OFK276" s="609"/>
      <c r="OFL276" s="609"/>
      <c r="OFM276" s="609"/>
      <c r="OFN276" s="609"/>
      <c r="OFO276" s="609"/>
      <c r="OFP276" s="609"/>
      <c r="OFQ276" s="609"/>
      <c r="OFR276" s="609"/>
      <c r="OFS276" s="609"/>
      <c r="OFT276" s="609"/>
      <c r="OFU276" s="609"/>
      <c r="OFV276" s="609"/>
      <c r="OFW276" s="609"/>
      <c r="OFX276" s="609"/>
      <c r="OFY276" s="609"/>
      <c r="OFZ276" s="609"/>
      <c r="OGA276" s="609"/>
      <c r="OGB276" s="609"/>
      <c r="OGC276" s="609"/>
      <c r="OGD276" s="609"/>
      <c r="OGE276" s="609"/>
      <c r="OGF276" s="609"/>
      <c r="OGG276" s="609"/>
      <c r="OGH276" s="609"/>
      <c r="OGI276" s="609"/>
      <c r="OGJ276" s="609"/>
      <c r="OGK276" s="609"/>
      <c r="OGL276" s="609"/>
      <c r="OGM276" s="609"/>
      <c r="OGN276" s="609"/>
      <c r="OGO276" s="609"/>
      <c r="OGP276" s="609"/>
      <c r="OGQ276" s="609"/>
      <c r="OGR276" s="609"/>
      <c r="OGS276" s="609"/>
      <c r="OGT276" s="609"/>
      <c r="OGU276" s="609"/>
      <c r="OGV276" s="609"/>
      <c r="OGW276" s="609"/>
      <c r="OGX276" s="609"/>
      <c r="OGY276" s="609"/>
      <c r="OGZ276" s="609"/>
      <c r="OHA276" s="609"/>
      <c r="OHB276" s="609"/>
      <c r="OHC276" s="609"/>
      <c r="OHD276" s="609"/>
      <c r="OHE276" s="609"/>
      <c r="OHF276" s="609"/>
      <c r="OHG276" s="609"/>
      <c r="OHH276" s="609"/>
      <c r="OHI276" s="609"/>
      <c r="OHJ276" s="609"/>
      <c r="OHK276" s="609"/>
      <c r="OHL276" s="609"/>
      <c r="OHM276" s="609"/>
      <c r="OHN276" s="609"/>
      <c r="OHO276" s="609"/>
      <c r="OHP276" s="609"/>
      <c r="OHQ276" s="609"/>
      <c r="OHR276" s="609"/>
      <c r="OHS276" s="609"/>
      <c r="OHT276" s="609"/>
      <c r="OHU276" s="609"/>
      <c r="OHV276" s="609"/>
      <c r="OHW276" s="609"/>
      <c r="OHX276" s="609"/>
      <c r="OHY276" s="609"/>
      <c r="OHZ276" s="609"/>
      <c r="OIA276" s="609"/>
      <c r="OIB276" s="609"/>
      <c r="OIC276" s="609"/>
      <c r="OID276" s="609"/>
      <c r="OIE276" s="609"/>
      <c r="OIF276" s="609"/>
      <c r="OIG276" s="609"/>
      <c r="OIH276" s="609"/>
      <c r="OII276" s="609"/>
      <c r="OIJ276" s="609"/>
      <c r="OIK276" s="609"/>
      <c r="OIL276" s="609"/>
      <c r="OIM276" s="609"/>
      <c r="OIN276" s="609"/>
      <c r="OIO276" s="609"/>
      <c r="OIP276" s="609"/>
      <c r="OIQ276" s="609"/>
      <c r="OIR276" s="609"/>
      <c r="OIS276" s="609"/>
      <c r="OIT276" s="609"/>
      <c r="OIU276" s="609"/>
      <c r="OIV276" s="609"/>
      <c r="OIW276" s="609"/>
      <c r="OIX276" s="609"/>
      <c r="OIY276" s="609"/>
      <c r="OIZ276" s="609"/>
      <c r="OJA276" s="609"/>
      <c r="OJB276" s="609"/>
      <c r="OJC276" s="609"/>
      <c r="OJD276" s="609"/>
      <c r="OJE276" s="609"/>
      <c r="OJF276" s="609"/>
      <c r="OJG276" s="609"/>
      <c r="OJH276" s="609"/>
      <c r="OJI276" s="609"/>
      <c r="OJJ276" s="609"/>
      <c r="OJK276" s="609"/>
      <c r="OJL276" s="609"/>
      <c r="OJM276" s="609"/>
      <c r="OJN276" s="609"/>
      <c r="OJO276" s="609"/>
      <c r="OJP276" s="609"/>
      <c r="OJQ276" s="609"/>
      <c r="OJR276" s="609"/>
      <c r="OJS276" s="609"/>
      <c r="OJT276" s="609"/>
      <c r="OJU276" s="609"/>
      <c r="OJV276" s="609"/>
      <c r="OJW276" s="609"/>
      <c r="OJX276" s="609"/>
      <c r="OJY276" s="609"/>
      <c r="OJZ276" s="609"/>
      <c r="OKA276" s="609"/>
      <c r="OKB276" s="609"/>
      <c r="OKC276" s="609"/>
      <c r="OKD276" s="609"/>
      <c r="OKE276" s="609"/>
      <c r="OKF276" s="609"/>
      <c r="OKG276" s="609"/>
      <c r="OKH276" s="609"/>
      <c r="OKI276" s="609"/>
      <c r="OKJ276" s="609"/>
      <c r="OKK276" s="609"/>
      <c r="OKL276" s="609"/>
      <c r="OKM276" s="609"/>
      <c r="OKN276" s="609"/>
      <c r="OKO276" s="609"/>
      <c r="OKP276" s="609"/>
      <c r="OKQ276" s="609"/>
      <c r="OKR276" s="609"/>
      <c r="OKS276" s="609"/>
      <c r="OKT276" s="609"/>
      <c r="OKU276" s="609"/>
      <c r="OKV276" s="609"/>
      <c r="OKW276" s="609"/>
      <c r="OKX276" s="609"/>
      <c r="OKY276" s="609"/>
      <c r="OKZ276" s="609"/>
      <c r="OLA276" s="609"/>
      <c r="OLB276" s="609"/>
      <c r="OLC276" s="609"/>
      <c r="OLD276" s="609"/>
      <c r="OLE276" s="609"/>
      <c r="OLF276" s="609"/>
      <c r="OLG276" s="609"/>
      <c r="OLH276" s="609"/>
      <c r="OLI276" s="609"/>
      <c r="OLJ276" s="609"/>
      <c r="OLK276" s="609"/>
      <c r="OLL276" s="609"/>
      <c r="OLM276" s="609"/>
      <c r="OLN276" s="609"/>
      <c r="OLO276" s="609"/>
      <c r="OLP276" s="609"/>
      <c r="OLQ276" s="609"/>
      <c r="OLR276" s="609"/>
      <c r="OLS276" s="609"/>
      <c r="OLT276" s="609"/>
      <c r="OLU276" s="609"/>
      <c r="OLV276" s="609"/>
      <c r="OLW276" s="609"/>
      <c r="OLX276" s="609"/>
      <c r="OLY276" s="609"/>
      <c r="OLZ276" s="609"/>
      <c r="OMA276" s="609"/>
      <c r="OMB276" s="609"/>
      <c r="OMC276" s="609"/>
      <c r="OMD276" s="609"/>
      <c r="OME276" s="609"/>
      <c r="OMF276" s="609"/>
      <c r="OMG276" s="609"/>
      <c r="OMH276" s="609"/>
      <c r="OMI276" s="609"/>
      <c r="OMJ276" s="609"/>
      <c r="OMK276" s="609"/>
      <c r="OML276" s="609"/>
      <c r="OMM276" s="609"/>
      <c r="OMN276" s="609"/>
      <c r="OMO276" s="609"/>
      <c r="OMP276" s="609"/>
      <c r="OMQ276" s="609"/>
      <c r="OMR276" s="609"/>
      <c r="OMS276" s="609"/>
      <c r="OMT276" s="609"/>
      <c r="OMU276" s="609"/>
      <c r="OMV276" s="609"/>
      <c r="OMW276" s="609"/>
      <c r="OMX276" s="609"/>
      <c r="OMY276" s="609"/>
      <c r="OMZ276" s="609"/>
      <c r="ONA276" s="609"/>
      <c r="ONB276" s="609"/>
      <c r="ONC276" s="609"/>
      <c r="OND276" s="609"/>
      <c r="ONE276" s="609"/>
      <c r="ONF276" s="609"/>
      <c r="ONG276" s="609"/>
      <c r="ONH276" s="609"/>
      <c r="ONI276" s="609"/>
      <c r="ONJ276" s="609"/>
      <c r="ONK276" s="609"/>
      <c r="ONL276" s="609"/>
      <c r="ONM276" s="609"/>
      <c r="ONN276" s="609"/>
      <c r="ONO276" s="609"/>
      <c r="ONP276" s="609"/>
      <c r="ONQ276" s="609"/>
      <c r="ONR276" s="609"/>
      <c r="ONS276" s="609"/>
      <c r="ONT276" s="609"/>
      <c r="ONU276" s="609"/>
      <c r="ONV276" s="609"/>
      <c r="ONW276" s="609"/>
      <c r="ONX276" s="609"/>
      <c r="ONY276" s="609"/>
      <c r="ONZ276" s="609"/>
      <c r="OOA276" s="609"/>
      <c r="OOB276" s="609"/>
      <c r="OOC276" s="609"/>
      <c r="OOD276" s="609"/>
      <c r="OOE276" s="609"/>
      <c r="OOF276" s="609"/>
      <c r="OOG276" s="609"/>
      <c r="OOH276" s="609"/>
      <c r="OOI276" s="609"/>
      <c r="OOJ276" s="609"/>
      <c r="OOK276" s="609"/>
      <c r="OOL276" s="609"/>
      <c r="OOM276" s="609"/>
      <c r="OON276" s="609"/>
      <c r="OOO276" s="609"/>
      <c r="OOP276" s="609"/>
      <c r="OOQ276" s="609"/>
      <c r="OOR276" s="609"/>
      <c r="OOS276" s="609"/>
      <c r="OOT276" s="609"/>
      <c r="OOU276" s="609"/>
      <c r="OOV276" s="609"/>
      <c r="OOW276" s="609"/>
      <c r="OOX276" s="609"/>
      <c r="OOY276" s="609"/>
      <c r="OOZ276" s="609"/>
      <c r="OPA276" s="609"/>
      <c r="OPB276" s="609"/>
      <c r="OPC276" s="609"/>
      <c r="OPD276" s="609"/>
      <c r="OPE276" s="609"/>
      <c r="OPF276" s="609"/>
      <c r="OPG276" s="609"/>
      <c r="OPH276" s="609"/>
      <c r="OPI276" s="609"/>
      <c r="OPJ276" s="609"/>
      <c r="OPK276" s="609"/>
      <c r="OPL276" s="609"/>
      <c r="OPM276" s="609"/>
      <c r="OPN276" s="609"/>
      <c r="OPO276" s="609"/>
      <c r="OPP276" s="609"/>
      <c r="OPQ276" s="609"/>
      <c r="OPR276" s="609"/>
      <c r="OPS276" s="609"/>
      <c r="OPT276" s="609"/>
      <c r="OPU276" s="609"/>
      <c r="OPV276" s="609"/>
      <c r="OPW276" s="609"/>
      <c r="OPX276" s="609"/>
      <c r="OPY276" s="609"/>
      <c r="OPZ276" s="609"/>
      <c r="OQA276" s="609"/>
      <c r="OQB276" s="609"/>
      <c r="OQC276" s="609"/>
      <c r="OQD276" s="609"/>
      <c r="OQE276" s="609"/>
      <c r="OQF276" s="609"/>
      <c r="OQG276" s="609"/>
      <c r="OQH276" s="609"/>
      <c r="OQI276" s="609"/>
      <c r="OQJ276" s="609"/>
      <c r="OQK276" s="609"/>
      <c r="OQL276" s="609"/>
      <c r="OQM276" s="609"/>
      <c r="OQN276" s="609"/>
      <c r="OQO276" s="609"/>
      <c r="OQP276" s="609"/>
      <c r="OQQ276" s="609"/>
      <c r="OQR276" s="609"/>
      <c r="OQS276" s="609"/>
      <c r="OQT276" s="609"/>
      <c r="OQU276" s="609"/>
      <c r="OQV276" s="609"/>
      <c r="OQW276" s="609"/>
      <c r="OQX276" s="609"/>
      <c r="OQY276" s="609"/>
      <c r="OQZ276" s="609"/>
      <c r="ORA276" s="609"/>
      <c r="ORB276" s="609"/>
      <c r="ORC276" s="609"/>
      <c r="ORD276" s="609"/>
      <c r="ORE276" s="609"/>
      <c r="ORF276" s="609"/>
      <c r="ORG276" s="609"/>
      <c r="ORH276" s="609"/>
      <c r="ORI276" s="609"/>
      <c r="ORJ276" s="609"/>
      <c r="ORK276" s="609"/>
      <c r="ORL276" s="609"/>
      <c r="ORM276" s="609"/>
      <c r="ORN276" s="609"/>
      <c r="ORO276" s="609"/>
      <c r="ORP276" s="609"/>
      <c r="ORQ276" s="609"/>
      <c r="ORR276" s="609"/>
      <c r="ORS276" s="609"/>
      <c r="ORT276" s="609"/>
      <c r="ORU276" s="609"/>
      <c r="ORV276" s="609"/>
      <c r="ORW276" s="609"/>
      <c r="ORX276" s="609"/>
      <c r="ORY276" s="609"/>
      <c r="ORZ276" s="609"/>
      <c r="OSA276" s="609"/>
      <c r="OSB276" s="609"/>
      <c r="OSC276" s="609"/>
      <c r="OSD276" s="609"/>
      <c r="OSE276" s="609"/>
      <c r="OSF276" s="609"/>
      <c r="OSG276" s="609"/>
      <c r="OSH276" s="609"/>
      <c r="OSI276" s="609"/>
      <c r="OSJ276" s="609"/>
      <c r="OSK276" s="609"/>
      <c r="OSL276" s="609"/>
      <c r="OSM276" s="609"/>
      <c r="OSN276" s="609"/>
      <c r="OSO276" s="609"/>
      <c r="OSP276" s="609"/>
      <c r="OSQ276" s="609"/>
      <c r="OSR276" s="609"/>
      <c r="OSS276" s="609"/>
      <c r="OST276" s="609"/>
      <c r="OSU276" s="609"/>
      <c r="OSV276" s="609"/>
      <c r="OSW276" s="609"/>
      <c r="OSX276" s="609"/>
      <c r="OSY276" s="609"/>
      <c r="OSZ276" s="609"/>
      <c r="OTA276" s="609"/>
      <c r="OTB276" s="609"/>
      <c r="OTC276" s="609"/>
      <c r="OTD276" s="609"/>
      <c r="OTE276" s="609"/>
      <c r="OTF276" s="609"/>
      <c r="OTG276" s="609"/>
      <c r="OTH276" s="609"/>
      <c r="OTI276" s="609"/>
      <c r="OTJ276" s="609"/>
      <c r="OTK276" s="609"/>
      <c r="OTL276" s="609"/>
      <c r="OTM276" s="609"/>
      <c r="OTN276" s="609"/>
      <c r="OTO276" s="609"/>
      <c r="OTP276" s="609"/>
      <c r="OTQ276" s="609"/>
      <c r="OTR276" s="609"/>
      <c r="OTS276" s="609"/>
      <c r="OTT276" s="609"/>
      <c r="OTU276" s="609"/>
      <c r="OTV276" s="609"/>
      <c r="OTW276" s="609"/>
      <c r="OTX276" s="609"/>
      <c r="OTY276" s="609"/>
      <c r="OTZ276" s="609"/>
      <c r="OUA276" s="609"/>
      <c r="OUB276" s="609"/>
      <c r="OUC276" s="609"/>
      <c r="OUD276" s="609"/>
      <c r="OUE276" s="609"/>
      <c r="OUF276" s="609"/>
      <c r="OUG276" s="609"/>
      <c r="OUH276" s="609"/>
      <c r="OUI276" s="609"/>
      <c r="OUJ276" s="609"/>
      <c r="OUK276" s="609"/>
      <c r="OUL276" s="609"/>
      <c r="OUM276" s="609"/>
      <c r="OUN276" s="609"/>
      <c r="OUO276" s="609"/>
      <c r="OUP276" s="609"/>
      <c r="OUQ276" s="609"/>
      <c r="OUR276" s="609"/>
      <c r="OUS276" s="609"/>
      <c r="OUT276" s="609"/>
      <c r="OUU276" s="609"/>
      <c r="OUV276" s="609"/>
      <c r="OUW276" s="609"/>
      <c r="OUX276" s="609"/>
      <c r="OUY276" s="609"/>
      <c r="OUZ276" s="609"/>
      <c r="OVA276" s="609"/>
      <c r="OVB276" s="609"/>
      <c r="OVC276" s="609"/>
      <c r="OVD276" s="609"/>
      <c r="OVE276" s="609"/>
      <c r="OVF276" s="609"/>
      <c r="OVG276" s="609"/>
      <c r="OVH276" s="609"/>
      <c r="OVI276" s="609"/>
      <c r="OVJ276" s="609"/>
      <c r="OVK276" s="609"/>
      <c r="OVL276" s="609"/>
      <c r="OVM276" s="609"/>
      <c r="OVN276" s="609"/>
      <c r="OVO276" s="609"/>
      <c r="OVP276" s="609"/>
      <c r="OVQ276" s="609"/>
      <c r="OVR276" s="609"/>
      <c r="OVS276" s="609"/>
      <c r="OVT276" s="609"/>
      <c r="OVU276" s="609"/>
      <c r="OVV276" s="609"/>
      <c r="OVW276" s="609"/>
      <c r="OVX276" s="609"/>
      <c r="OVY276" s="609"/>
      <c r="OVZ276" s="609"/>
      <c r="OWA276" s="609"/>
      <c r="OWB276" s="609"/>
      <c r="OWC276" s="609"/>
      <c r="OWD276" s="609"/>
      <c r="OWE276" s="609"/>
      <c r="OWF276" s="609"/>
      <c r="OWG276" s="609"/>
      <c r="OWH276" s="609"/>
      <c r="OWI276" s="609"/>
      <c r="OWJ276" s="609"/>
      <c r="OWK276" s="609"/>
      <c r="OWL276" s="609"/>
      <c r="OWM276" s="609"/>
      <c r="OWN276" s="609"/>
      <c r="OWO276" s="609"/>
      <c r="OWP276" s="609"/>
      <c r="OWQ276" s="609"/>
      <c r="OWR276" s="609"/>
      <c r="OWS276" s="609"/>
      <c r="OWT276" s="609"/>
      <c r="OWU276" s="609"/>
      <c r="OWV276" s="609"/>
      <c r="OWW276" s="609"/>
      <c r="OWX276" s="609"/>
      <c r="OWY276" s="609"/>
      <c r="OWZ276" s="609"/>
      <c r="OXA276" s="609"/>
      <c r="OXB276" s="609"/>
      <c r="OXC276" s="609"/>
      <c r="OXD276" s="609"/>
      <c r="OXE276" s="609"/>
      <c r="OXF276" s="609"/>
      <c r="OXG276" s="609"/>
      <c r="OXH276" s="609"/>
      <c r="OXI276" s="609"/>
      <c r="OXJ276" s="609"/>
      <c r="OXK276" s="609"/>
      <c r="OXL276" s="609"/>
      <c r="OXM276" s="609"/>
      <c r="OXN276" s="609"/>
      <c r="OXO276" s="609"/>
      <c r="OXP276" s="609"/>
      <c r="OXQ276" s="609"/>
      <c r="OXR276" s="609"/>
      <c r="OXS276" s="609"/>
      <c r="OXT276" s="609"/>
      <c r="OXU276" s="609"/>
      <c r="OXV276" s="609"/>
      <c r="OXW276" s="609"/>
      <c r="OXX276" s="609"/>
      <c r="OXY276" s="609"/>
      <c r="OXZ276" s="609"/>
      <c r="OYA276" s="609"/>
      <c r="OYB276" s="609"/>
      <c r="OYC276" s="609"/>
      <c r="OYD276" s="609"/>
      <c r="OYE276" s="609"/>
      <c r="OYF276" s="609"/>
      <c r="OYG276" s="609"/>
      <c r="OYH276" s="609"/>
      <c r="OYI276" s="609"/>
      <c r="OYJ276" s="609"/>
      <c r="OYK276" s="609"/>
      <c r="OYL276" s="609"/>
      <c r="OYM276" s="609"/>
      <c r="OYN276" s="609"/>
      <c r="OYO276" s="609"/>
      <c r="OYP276" s="609"/>
      <c r="OYQ276" s="609"/>
      <c r="OYR276" s="609"/>
      <c r="OYS276" s="609"/>
      <c r="OYT276" s="609"/>
      <c r="OYU276" s="609"/>
      <c r="OYV276" s="609"/>
      <c r="OYW276" s="609"/>
      <c r="OYX276" s="609"/>
      <c r="OYY276" s="609"/>
      <c r="OYZ276" s="609"/>
      <c r="OZA276" s="609"/>
      <c r="OZB276" s="609"/>
      <c r="OZC276" s="609"/>
      <c r="OZD276" s="609"/>
      <c r="OZE276" s="609"/>
      <c r="OZF276" s="609"/>
      <c r="OZG276" s="609"/>
      <c r="OZH276" s="609"/>
      <c r="OZI276" s="609"/>
      <c r="OZJ276" s="609"/>
      <c r="OZK276" s="609"/>
      <c r="OZL276" s="609"/>
      <c r="OZM276" s="609"/>
      <c r="OZN276" s="609"/>
      <c r="OZO276" s="609"/>
      <c r="OZP276" s="609"/>
      <c r="OZQ276" s="609"/>
      <c r="OZR276" s="609"/>
      <c r="OZS276" s="609"/>
      <c r="OZT276" s="609"/>
      <c r="OZU276" s="609"/>
      <c r="OZV276" s="609"/>
      <c r="OZW276" s="609"/>
      <c r="OZX276" s="609"/>
      <c r="OZY276" s="609"/>
      <c r="OZZ276" s="609"/>
      <c r="PAA276" s="609"/>
      <c r="PAB276" s="609"/>
      <c r="PAC276" s="609"/>
      <c r="PAD276" s="609"/>
      <c r="PAE276" s="609"/>
      <c r="PAF276" s="609"/>
      <c r="PAG276" s="609"/>
      <c r="PAH276" s="609"/>
      <c r="PAI276" s="609"/>
      <c r="PAJ276" s="609"/>
      <c r="PAK276" s="609"/>
      <c r="PAL276" s="609"/>
      <c r="PAM276" s="609"/>
      <c r="PAN276" s="609"/>
      <c r="PAO276" s="609"/>
      <c r="PAP276" s="609"/>
      <c r="PAQ276" s="609"/>
      <c r="PAR276" s="609"/>
      <c r="PAS276" s="609"/>
      <c r="PAT276" s="609"/>
      <c r="PAU276" s="609"/>
      <c r="PAV276" s="609"/>
      <c r="PAW276" s="609"/>
      <c r="PAX276" s="609"/>
      <c r="PAY276" s="609"/>
      <c r="PAZ276" s="609"/>
      <c r="PBA276" s="609"/>
      <c r="PBB276" s="609"/>
      <c r="PBC276" s="609"/>
      <c r="PBD276" s="609"/>
      <c r="PBE276" s="609"/>
      <c r="PBF276" s="609"/>
      <c r="PBG276" s="609"/>
      <c r="PBH276" s="609"/>
      <c r="PBI276" s="609"/>
      <c r="PBJ276" s="609"/>
      <c r="PBK276" s="609"/>
      <c r="PBL276" s="609"/>
      <c r="PBM276" s="609"/>
      <c r="PBN276" s="609"/>
      <c r="PBO276" s="609"/>
      <c r="PBP276" s="609"/>
      <c r="PBQ276" s="609"/>
      <c r="PBR276" s="609"/>
      <c r="PBS276" s="609"/>
      <c r="PBT276" s="609"/>
      <c r="PBU276" s="609"/>
      <c r="PBV276" s="609"/>
      <c r="PBW276" s="609"/>
      <c r="PBX276" s="609"/>
      <c r="PBY276" s="609"/>
      <c r="PBZ276" s="609"/>
      <c r="PCA276" s="609"/>
      <c r="PCB276" s="609"/>
      <c r="PCC276" s="609"/>
      <c r="PCD276" s="609"/>
      <c r="PCE276" s="609"/>
      <c r="PCF276" s="609"/>
      <c r="PCG276" s="609"/>
      <c r="PCH276" s="609"/>
      <c r="PCI276" s="609"/>
      <c r="PCJ276" s="609"/>
      <c r="PCK276" s="609"/>
      <c r="PCL276" s="609"/>
      <c r="PCM276" s="609"/>
      <c r="PCN276" s="609"/>
      <c r="PCO276" s="609"/>
      <c r="PCP276" s="609"/>
      <c r="PCQ276" s="609"/>
      <c r="PCR276" s="609"/>
      <c r="PCS276" s="609"/>
      <c r="PCT276" s="609"/>
      <c r="PCU276" s="609"/>
      <c r="PCV276" s="609"/>
      <c r="PCW276" s="609"/>
      <c r="PCX276" s="609"/>
      <c r="PCY276" s="609"/>
      <c r="PCZ276" s="609"/>
      <c r="PDA276" s="609"/>
      <c r="PDB276" s="609"/>
      <c r="PDC276" s="609"/>
      <c r="PDD276" s="609"/>
      <c r="PDE276" s="609"/>
      <c r="PDF276" s="609"/>
      <c r="PDG276" s="609"/>
      <c r="PDH276" s="609"/>
      <c r="PDI276" s="609"/>
      <c r="PDJ276" s="609"/>
      <c r="PDK276" s="609"/>
      <c r="PDL276" s="609"/>
      <c r="PDM276" s="609"/>
      <c r="PDN276" s="609"/>
      <c r="PDO276" s="609"/>
      <c r="PDP276" s="609"/>
      <c r="PDQ276" s="609"/>
      <c r="PDR276" s="609"/>
      <c r="PDS276" s="609"/>
      <c r="PDT276" s="609"/>
      <c r="PDU276" s="609"/>
      <c r="PDV276" s="609"/>
      <c r="PDW276" s="609"/>
      <c r="PDX276" s="609"/>
      <c r="PDY276" s="609"/>
      <c r="PDZ276" s="609"/>
      <c r="PEA276" s="609"/>
      <c r="PEB276" s="609"/>
      <c r="PEC276" s="609"/>
      <c r="PED276" s="609"/>
      <c r="PEE276" s="609"/>
      <c r="PEF276" s="609"/>
      <c r="PEG276" s="609"/>
      <c r="PEH276" s="609"/>
      <c r="PEI276" s="609"/>
      <c r="PEJ276" s="609"/>
      <c r="PEK276" s="609"/>
      <c r="PEL276" s="609"/>
      <c r="PEM276" s="609"/>
      <c r="PEN276" s="609"/>
      <c r="PEO276" s="609"/>
      <c r="PEP276" s="609"/>
      <c r="PEQ276" s="609"/>
      <c r="PER276" s="609"/>
      <c r="PES276" s="609"/>
      <c r="PET276" s="609"/>
      <c r="PEU276" s="609"/>
      <c r="PEV276" s="609"/>
      <c r="PEW276" s="609"/>
      <c r="PEX276" s="609"/>
      <c r="PEY276" s="609"/>
      <c r="PEZ276" s="609"/>
      <c r="PFA276" s="609"/>
      <c r="PFB276" s="609"/>
      <c r="PFC276" s="609"/>
      <c r="PFD276" s="609"/>
      <c r="PFE276" s="609"/>
      <c r="PFF276" s="609"/>
      <c r="PFG276" s="609"/>
      <c r="PFH276" s="609"/>
      <c r="PFI276" s="609"/>
      <c r="PFJ276" s="609"/>
      <c r="PFK276" s="609"/>
      <c r="PFL276" s="609"/>
      <c r="PFM276" s="609"/>
      <c r="PFN276" s="609"/>
      <c r="PFO276" s="609"/>
      <c r="PFP276" s="609"/>
      <c r="PFQ276" s="609"/>
      <c r="PFR276" s="609"/>
      <c r="PFS276" s="609"/>
      <c r="PFT276" s="609"/>
      <c r="PFU276" s="609"/>
      <c r="PFV276" s="609"/>
      <c r="PFW276" s="609"/>
      <c r="PFX276" s="609"/>
      <c r="PFY276" s="609"/>
      <c r="PFZ276" s="609"/>
      <c r="PGA276" s="609"/>
      <c r="PGB276" s="609"/>
      <c r="PGC276" s="609"/>
      <c r="PGD276" s="609"/>
      <c r="PGE276" s="609"/>
      <c r="PGF276" s="609"/>
      <c r="PGG276" s="609"/>
      <c r="PGH276" s="609"/>
      <c r="PGI276" s="609"/>
      <c r="PGJ276" s="609"/>
      <c r="PGK276" s="609"/>
      <c r="PGL276" s="609"/>
      <c r="PGM276" s="609"/>
      <c r="PGN276" s="609"/>
      <c r="PGO276" s="609"/>
      <c r="PGP276" s="609"/>
      <c r="PGQ276" s="609"/>
      <c r="PGR276" s="609"/>
      <c r="PGS276" s="609"/>
      <c r="PGT276" s="609"/>
      <c r="PGU276" s="609"/>
      <c r="PGV276" s="609"/>
      <c r="PGW276" s="609"/>
      <c r="PGX276" s="609"/>
      <c r="PGY276" s="609"/>
      <c r="PGZ276" s="609"/>
      <c r="PHA276" s="609"/>
      <c r="PHB276" s="609"/>
      <c r="PHC276" s="609"/>
      <c r="PHD276" s="609"/>
      <c r="PHE276" s="609"/>
      <c r="PHF276" s="609"/>
      <c r="PHG276" s="609"/>
      <c r="PHH276" s="609"/>
      <c r="PHI276" s="609"/>
      <c r="PHJ276" s="609"/>
      <c r="PHK276" s="609"/>
      <c r="PHL276" s="609"/>
      <c r="PHM276" s="609"/>
      <c r="PHN276" s="609"/>
      <c r="PHO276" s="609"/>
      <c r="PHP276" s="609"/>
      <c r="PHQ276" s="609"/>
      <c r="PHR276" s="609"/>
      <c r="PHS276" s="609"/>
      <c r="PHT276" s="609"/>
      <c r="PHU276" s="609"/>
      <c r="PHV276" s="609"/>
      <c r="PHW276" s="609"/>
      <c r="PHX276" s="609"/>
      <c r="PHY276" s="609"/>
      <c r="PHZ276" s="609"/>
      <c r="PIA276" s="609"/>
      <c r="PIB276" s="609"/>
      <c r="PIC276" s="609"/>
      <c r="PID276" s="609"/>
      <c r="PIE276" s="609"/>
      <c r="PIF276" s="609"/>
      <c r="PIG276" s="609"/>
      <c r="PIH276" s="609"/>
      <c r="PII276" s="609"/>
      <c r="PIJ276" s="609"/>
      <c r="PIK276" s="609"/>
      <c r="PIL276" s="609"/>
      <c r="PIM276" s="609"/>
      <c r="PIN276" s="609"/>
      <c r="PIO276" s="609"/>
      <c r="PIP276" s="609"/>
      <c r="PIQ276" s="609"/>
      <c r="PIR276" s="609"/>
      <c r="PIS276" s="609"/>
      <c r="PIT276" s="609"/>
      <c r="PIU276" s="609"/>
      <c r="PIV276" s="609"/>
      <c r="PIW276" s="609"/>
      <c r="PIX276" s="609"/>
      <c r="PIY276" s="609"/>
      <c r="PIZ276" s="609"/>
      <c r="PJA276" s="609"/>
      <c r="PJB276" s="609"/>
      <c r="PJC276" s="609"/>
      <c r="PJD276" s="609"/>
      <c r="PJE276" s="609"/>
      <c r="PJF276" s="609"/>
      <c r="PJG276" s="609"/>
      <c r="PJH276" s="609"/>
      <c r="PJI276" s="609"/>
      <c r="PJJ276" s="609"/>
      <c r="PJK276" s="609"/>
      <c r="PJL276" s="609"/>
      <c r="PJM276" s="609"/>
      <c r="PJN276" s="609"/>
      <c r="PJO276" s="609"/>
      <c r="PJP276" s="609"/>
      <c r="PJQ276" s="609"/>
      <c r="PJR276" s="609"/>
      <c r="PJS276" s="609"/>
      <c r="PJT276" s="609"/>
      <c r="PJU276" s="609"/>
      <c r="PJV276" s="609"/>
      <c r="PJW276" s="609"/>
      <c r="PJX276" s="609"/>
      <c r="PJY276" s="609"/>
      <c r="PJZ276" s="609"/>
      <c r="PKA276" s="609"/>
      <c r="PKB276" s="609"/>
      <c r="PKC276" s="609"/>
      <c r="PKD276" s="609"/>
      <c r="PKE276" s="609"/>
      <c r="PKF276" s="609"/>
      <c r="PKG276" s="609"/>
      <c r="PKH276" s="609"/>
      <c r="PKI276" s="609"/>
      <c r="PKJ276" s="609"/>
      <c r="PKK276" s="609"/>
      <c r="PKL276" s="609"/>
      <c r="PKM276" s="609"/>
      <c r="PKN276" s="609"/>
      <c r="PKO276" s="609"/>
      <c r="PKP276" s="609"/>
      <c r="PKQ276" s="609"/>
      <c r="PKR276" s="609"/>
      <c r="PKS276" s="609"/>
      <c r="PKT276" s="609"/>
      <c r="PKU276" s="609"/>
      <c r="PKV276" s="609"/>
      <c r="PKW276" s="609"/>
      <c r="PKX276" s="609"/>
      <c r="PKY276" s="609"/>
      <c r="PKZ276" s="609"/>
      <c r="PLA276" s="609"/>
      <c r="PLB276" s="609"/>
      <c r="PLC276" s="609"/>
      <c r="PLD276" s="609"/>
      <c r="PLE276" s="609"/>
      <c r="PLF276" s="609"/>
      <c r="PLG276" s="609"/>
      <c r="PLH276" s="609"/>
      <c r="PLI276" s="609"/>
      <c r="PLJ276" s="609"/>
      <c r="PLK276" s="609"/>
      <c r="PLL276" s="609"/>
      <c r="PLM276" s="609"/>
      <c r="PLN276" s="609"/>
      <c r="PLO276" s="609"/>
      <c r="PLP276" s="609"/>
      <c r="PLQ276" s="609"/>
      <c r="PLR276" s="609"/>
      <c r="PLS276" s="609"/>
      <c r="PLT276" s="609"/>
      <c r="PLU276" s="609"/>
      <c r="PLV276" s="609"/>
      <c r="PLW276" s="609"/>
      <c r="PLX276" s="609"/>
      <c r="PLY276" s="609"/>
      <c r="PLZ276" s="609"/>
      <c r="PMA276" s="609"/>
      <c r="PMB276" s="609"/>
      <c r="PMC276" s="609"/>
      <c r="PMD276" s="609"/>
      <c r="PME276" s="609"/>
      <c r="PMF276" s="609"/>
      <c r="PMG276" s="609"/>
      <c r="PMH276" s="609"/>
      <c r="PMI276" s="609"/>
      <c r="PMJ276" s="609"/>
      <c r="PMK276" s="609"/>
      <c r="PML276" s="609"/>
      <c r="PMM276" s="609"/>
      <c r="PMN276" s="609"/>
      <c r="PMO276" s="609"/>
      <c r="PMP276" s="609"/>
      <c r="PMQ276" s="609"/>
      <c r="PMR276" s="609"/>
      <c r="PMS276" s="609"/>
      <c r="PMT276" s="609"/>
      <c r="PMU276" s="609"/>
      <c r="PMV276" s="609"/>
      <c r="PMW276" s="609"/>
      <c r="PMX276" s="609"/>
      <c r="PMY276" s="609"/>
      <c r="PMZ276" s="609"/>
      <c r="PNA276" s="609"/>
      <c r="PNB276" s="609"/>
      <c r="PNC276" s="609"/>
      <c r="PND276" s="609"/>
      <c r="PNE276" s="609"/>
      <c r="PNF276" s="609"/>
      <c r="PNG276" s="609"/>
      <c r="PNH276" s="609"/>
      <c r="PNI276" s="609"/>
      <c r="PNJ276" s="609"/>
      <c r="PNK276" s="609"/>
      <c r="PNL276" s="609"/>
      <c r="PNM276" s="609"/>
      <c r="PNN276" s="609"/>
      <c r="PNO276" s="609"/>
      <c r="PNP276" s="609"/>
      <c r="PNQ276" s="609"/>
      <c r="PNR276" s="609"/>
      <c r="PNS276" s="609"/>
      <c r="PNT276" s="609"/>
      <c r="PNU276" s="609"/>
      <c r="PNV276" s="609"/>
      <c r="PNW276" s="609"/>
      <c r="PNX276" s="609"/>
      <c r="PNY276" s="609"/>
      <c r="PNZ276" s="609"/>
      <c r="POA276" s="609"/>
      <c r="POB276" s="609"/>
      <c r="POC276" s="609"/>
      <c r="POD276" s="609"/>
      <c r="POE276" s="609"/>
      <c r="POF276" s="609"/>
      <c r="POG276" s="609"/>
      <c r="POH276" s="609"/>
      <c r="POI276" s="609"/>
      <c r="POJ276" s="609"/>
      <c r="POK276" s="609"/>
      <c r="POL276" s="609"/>
      <c r="POM276" s="609"/>
      <c r="PON276" s="609"/>
      <c r="POO276" s="609"/>
      <c r="POP276" s="609"/>
      <c r="POQ276" s="609"/>
      <c r="POR276" s="609"/>
      <c r="POS276" s="609"/>
      <c r="POT276" s="609"/>
      <c r="POU276" s="609"/>
      <c r="POV276" s="609"/>
      <c r="POW276" s="609"/>
      <c r="POX276" s="609"/>
      <c r="POY276" s="609"/>
      <c r="POZ276" s="609"/>
      <c r="PPA276" s="609"/>
      <c r="PPB276" s="609"/>
      <c r="PPC276" s="609"/>
      <c r="PPD276" s="609"/>
      <c r="PPE276" s="609"/>
      <c r="PPF276" s="609"/>
      <c r="PPG276" s="609"/>
      <c r="PPH276" s="609"/>
      <c r="PPI276" s="609"/>
      <c r="PPJ276" s="609"/>
      <c r="PPK276" s="609"/>
      <c r="PPL276" s="609"/>
      <c r="PPM276" s="609"/>
      <c r="PPN276" s="609"/>
      <c r="PPO276" s="609"/>
      <c r="PPP276" s="609"/>
      <c r="PPQ276" s="609"/>
      <c r="PPR276" s="609"/>
      <c r="PPS276" s="609"/>
      <c r="PPT276" s="609"/>
      <c r="PPU276" s="609"/>
      <c r="PPV276" s="609"/>
      <c r="PPW276" s="609"/>
      <c r="PPX276" s="609"/>
      <c r="PPY276" s="609"/>
      <c r="PPZ276" s="609"/>
      <c r="PQA276" s="609"/>
      <c r="PQB276" s="609"/>
      <c r="PQC276" s="609"/>
      <c r="PQD276" s="609"/>
      <c r="PQE276" s="609"/>
      <c r="PQF276" s="609"/>
      <c r="PQG276" s="609"/>
      <c r="PQH276" s="609"/>
      <c r="PQI276" s="609"/>
      <c r="PQJ276" s="609"/>
      <c r="PQK276" s="609"/>
      <c r="PQL276" s="609"/>
      <c r="PQM276" s="609"/>
      <c r="PQN276" s="609"/>
      <c r="PQO276" s="609"/>
      <c r="PQP276" s="609"/>
      <c r="PQQ276" s="609"/>
      <c r="PQR276" s="609"/>
      <c r="PQS276" s="609"/>
      <c r="PQT276" s="609"/>
      <c r="PQU276" s="609"/>
      <c r="PQV276" s="609"/>
      <c r="PQW276" s="609"/>
      <c r="PQX276" s="609"/>
      <c r="PQY276" s="609"/>
      <c r="PQZ276" s="609"/>
      <c r="PRA276" s="609"/>
      <c r="PRB276" s="609"/>
      <c r="PRC276" s="609"/>
      <c r="PRD276" s="609"/>
      <c r="PRE276" s="609"/>
      <c r="PRF276" s="609"/>
      <c r="PRG276" s="609"/>
      <c r="PRH276" s="609"/>
      <c r="PRI276" s="609"/>
      <c r="PRJ276" s="609"/>
      <c r="PRK276" s="609"/>
      <c r="PRL276" s="609"/>
      <c r="PRM276" s="609"/>
      <c r="PRN276" s="609"/>
      <c r="PRO276" s="609"/>
      <c r="PRP276" s="609"/>
      <c r="PRQ276" s="609"/>
      <c r="PRR276" s="609"/>
      <c r="PRS276" s="609"/>
      <c r="PRT276" s="609"/>
      <c r="PRU276" s="609"/>
      <c r="PRV276" s="609"/>
      <c r="PRW276" s="609"/>
      <c r="PRX276" s="609"/>
      <c r="PRY276" s="609"/>
      <c r="PRZ276" s="609"/>
      <c r="PSA276" s="609"/>
      <c r="PSB276" s="609"/>
      <c r="PSC276" s="609"/>
      <c r="PSD276" s="609"/>
      <c r="PSE276" s="609"/>
      <c r="PSF276" s="609"/>
      <c r="PSG276" s="609"/>
      <c r="PSH276" s="609"/>
      <c r="PSI276" s="609"/>
      <c r="PSJ276" s="609"/>
      <c r="PSK276" s="609"/>
      <c r="PSL276" s="609"/>
      <c r="PSM276" s="609"/>
      <c r="PSN276" s="609"/>
      <c r="PSO276" s="609"/>
      <c r="PSP276" s="609"/>
      <c r="PSQ276" s="609"/>
      <c r="PSR276" s="609"/>
      <c r="PSS276" s="609"/>
      <c r="PST276" s="609"/>
      <c r="PSU276" s="609"/>
      <c r="PSV276" s="609"/>
      <c r="PSW276" s="609"/>
      <c r="PSX276" s="609"/>
      <c r="PSY276" s="609"/>
      <c r="PSZ276" s="609"/>
      <c r="PTA276" s="609"/>
      <c r="PTB276" s="609"/>
      <c r="PTC276" s="609"/>
      <c r="PTD276" s="609"/>
      <c r="PTE276" s="609"/>
      <c r="PTF276" s="609"/>
      <c r="PTG276" s="609"/>
      <c r="PTH276" s="609"/>
      <c r="PTI276" s="609"/>
      <c r="PTJ276" s="609"/>
      <c r="PTK276" s="609"/>
      <c r="PTL276" s="609"/>
      <c r="PTM276" s="609"/>
      <c r="PTN276" s="609"/>
      <c r="PTO276" s="609"/>
      <c r="PTP276" s="609"/>
      <c r="PTQ276" s="609"/>
      <c r="PTR276" s="609"/>
      <c r="PTS276" s="609"/>
      <c r="PTT276" s="609"/>
      <c r="PTU276" s="609"/>
      <c r="PTV276" s="609"/>
      <c r="PTW276" s="609"/>
      <c r="PTX276" s="609"/>
      <c r="PTY276" s="609"/>
      <c r="PTZ276" s="609"/>
      <c r="PUA276" s="609"/>
      <c r="PUB276" s="609"/>
      <c r="PUC276" s="609"/>
      <c r="PUD276" s="609"/>
      <c r="PUE276" s="609"/>
      <c r="PUF276" s="609"/>
      <c r="PUG276" s="609"/>
      <c r="PUH276" s="609"/>
      <c r="PUI276" s="609"/>
      <c r="PUJ276" s="609"/>
      <c r="PUK276" s="609"/>
      <c r="PUL276" s="609"/>
      <c r="PUM276" s="609"/>
      <c r="PUN276" s="609"/>
      <c r="PUO276" s="609"/>
      <c r="PUP276" s="609"/>
      <c r="PUQ276" s="609"/>
      <c r="PUR276" s="609"/>
      <c r="PUS276" s="609"/>
      <c r="PUT276" s="609"/>
      <c r="PUU276" s="609"/>
      <c r="PUV276" s="609"/>
      <c r="PUW276" s="609"/>
      <c r="PUX276" s="609"/>
      <c r="PUY276" s="609"/>
      <c r="PUZ276" s="609"/>
      <c r="PVA276" s="609"/>
      <c r="PVB276" s="609"/>
      <c r="PVC276" s="609"/>
      <c r="PVD276" s="609"/>
      <c r="PVE276" s="609"/>
      <c r="PVF276" s="609"/>
      <c r="PVG276" s="609"/>
      <c r="PVH276" s="609"/>
      <c r="PVI276" s="609"/>
      <c r="PVJ276" s="609"/>
      <c r="PVK276" s="609"/>
      <c r="PVL276" s="609"/>
      <c r="PVM276" s="609"/>
      <c r="PVN276" s="609"/>
      <c r="PVO276" s="609"/>
      <c r="PVP276" s="609"/>
      <c r="PVQ276" s="609"/>
      <c r="PVR276" s="609"/>
      <c r="PVS276" s="609"/>
      <c r="PVT276" s="609"/>
      <c r="PVU276" s="609"/>
      <c r="PVV276" s="609"/>
      <c r="PVW276" s="609"/>
      <c r="PVX276" s="609"/>
      <c r="PVY276" s="609"/>
      <c r="PVZ276" s="609"/>
      <c r="PWA276" s="609"/>
      <c r="PWB276" s="609"/>
      <c r="PWC276" s="609"/>
      <c r="PWD276" s="609"/>
      <c r="PWE276" s="609"/>
      <c r="PWF276" s="609"/>
      <c r="PWG276" s="609"/>
      <c r="PWH276" s="609"/>
      <c r="PWI276" s="609"/>
      <c r="PWJ276" s="609"/>
      <c r="PWK276" s="609"/>
      <c r="PWL276" s="609"/>
      <c r="PWM276" s="609"/>
      <c r="PWN276" s="609"/>
      <c r="PWO276" s="609"/>
      <c r="PWP276" s="609"/>
      <c r="PWQ276" s="609"/>
      <c r="PWR276" s="609"/>
      <c r="PWS276" s="609"/>
      <c r="PWT276" s="609"/>
      <c r="PWU276" s="609"/>
      <c r="PWV276" s="609"/>
      <c r="PWW276" s="609"/>
      <c r="PWX276" s="609"/>
      <c r="PWY276" s="609"/>
      <c r="PWZ276" s="609"/>
      <c r="PXA276" s="609"/>
      <c r="PXB276" s="609"/>
      <c r="PXC276" s="609"/>
      <c r="PXD276" s="609"/>
      <c r="PXE276" s="609"/>
      <c r="PXF276" s="609"/>
      <c r="PXG276" s="609"/>
      <c r="PXH276" s="609"/>
      <c r="PXI276" s="609"/>
      <c r="PXJ276" s="609"/>
      <c r="PXK276" s="609"/>
      <c r="PXL276" s="609"/>
      <c r="PXM276" s="609"/>
      <c r="PXN276" s="609"/>
      <c r="PXO276" s="609"/>
      <c r="PXP276" s="609"/>
      <c r="PXQ276" s="609"/>
      <c r="PXR276" s="609"/>
      <c r="PXS276" s="609"/>
      <c r="PXT276" s="609"/>
      <c r="PXU276" s="609"/>
      <c r="PXV276" s="609"/>
      <c r="PXW276" s="609"/>
      <c r="PXX276" s="609"/>
      <c r="PXY276" s="609"/>
      <c r="PXZ276" s="609"/>
      <c r="PYA276" s="609"/>
      <c r="PYB276" s="609"/>
      <c r="PYC276" s="609"/>
      <c r="PYD276" s="609"/>
      <c r="PYE276" s="609"/>
      <c r="PYF276" s="609"/>
      <c r="PYG276" s="609"/>
      <c r="PYH276" s="609"/>
      <c r="PYI276" s="609"/>
      <c r="PYJ276" s="609"/>
      <c r="PYK276" s="609"/>
      <c r="PYL276" s="609"/>
      <c r="PYM276" s="609"/>
      <c r="PYN276" s="609"/>
      <c r="PYO276" s="609"/>
      <c r="PYP276" s="609"/>
      <c r="PYQ276" s="609"/>
      <c r="PYR276" s="609"/>
      <c r="PYS276" s="609"/>
      <c r="PYT276" s="609"/>
      <c r="PYU276" s="609"/>
      <c r="PYV276" s="609"/>
      <c r="PYW276" s="609"/>
      <c r="PYX276" s="609"/>
      <c r="PYY276" s="609"/>
      <c r="PYZ276" s="609"/>
      <c r="PZA276" s="609"/>
      <c r="PZB276" s="609"/>
      <c r="PZC276" s="609"/>
      <c r="PZD276" s="609"/>
      <c r="PZE276" s="609"/>
      <c r="PZF276" s="609"/>
      <c r="PZG276" s="609"/>
      <c r="PZH276" s="609"/>
      <c r="PZI276" s="609"/>
      <c r="PZJ276" s="609"/>
      <c r="PZK276" s="609"/>
      <c r="PZL276" s="609"/>
      <c r="PZM276" s="609"/>
      <c r="PZN276" s="609"/>
      <c r="PZO276" s="609"/>
      <c r="PZP276" s="609"/>
      <c r="PZQ276" s="609"/>
      <c r="PZR276" s="609"/>
      <c r="PZS276" s="609"/>
      <c r="PZT276" s="609"/>
      <c r="PZU276" s="609"/>
      <c r="PZV276" s="609"/>
      <c r="PZW276" s="609"/>
      <c r="PZX276" s="609"/>
      <c r="PZY276" s="609"/>
      <c r="PZZ276" s="609"/>
      <c r="QAA276" s="609"/>
      <c r="QAB276" s="609"/>
      <c r="QAC276" s="609"/>
      <c r="QAD276" s="609"/>
      <c r="QAE276" s="609"/>
      <c r="QAF276" s="609"/>
      <c r="QAG276" s="609"/>
      <c r="QAH276" s="609"/>
      <c r="QAI276" s="609"/>
      <c r="QAJ276" s="609"/>
      <c r="QAK276" s="609"/>
      <c r="QAL276" s="609"/>
      <c r="QAM276" s="609"/>
      <c r="QAN276" s="609"/>
      <c r="QAO276" s="609"/>
      <c r="QAP276" s="609"/>
      <c r="QAQ276" s="609"/>
      <c r="QAR276" s="609"/>
      <c r="QAS276" s="609"/>
      <c r="QAT276" s="609"/>
      <c r="QAU276" s="609"/>
      <c r="QAV276" s="609"/>
      <c r="QAW276" s="609"/>
      <c r="QAX276" s="609"/>
      <c r="QAY276" s="609"/>
      <c r="QAZ276" s="609"/>
      <c r="QBA276" s="609"/>
      <c r="QBB276" s="609"/>
      <c r="QBC276" s="609"/>
      <c r="QBD276" s="609"/>
      <c r="QBE276" s="609"/>
      <c r="QBF276" s="609"/>
      <c r="QBG276" s="609"/>
      <c r="QBH276" s="609"/>
      <c r="QBI276" s="609"/>
      <c r="QBJ276" s="609"/>
      <c r="QBK276" s="609"/>
      <c r="QBL276" s="609"/>
      <c r="QBM276" s="609"/>
      <c r="QBN276" s="609"/>
      <c r="QBO276" s="609"/>
      <c r="QBP276" s="609"/>
      <c r="QBQ276" s="609"/>
      <c r="QBR276" s="609"/>
      <c r="QBS276" s="609"/>
      <c r="QBT276" s="609"/>
      <c r="QBU276" s="609"/>
      <c r="QBV276" s="609"/>
      <c r="QBW276" s="609"/>
      <c r="QBX276" s="609"/>
      <c r="QBY276" s="609"/>
      <c r="QBZ276" s="609"/>
      <c r="QCA276" s="609"/>
      <c r="QCB276" s="609"/>
      <c r="QCC276" s="609"/>
      <c r="QCD276" s="609"/>
      <c r="QCE276" s="609"/>
      <c r="QCF276" s="609"/>
      <c r="QCG276" s="609"/>
      <c r="QCH276" s="609"/>
      <c r="QCI276" s="609"/>
      <c r="QCJ276" s="609"/>
      <c r="QCK276" s="609"/>
      <c r="QCL276" s="609"/>
      <c r="QCM276" s="609"/>
      <c r="QCN276" s="609"/>
      <c r="QCO276" s="609"/>
      <c r="QCP276" s="609"/>
      <c r="QCQ276" s="609"/>
      <c r="QCR276" s="609"/>
      <c r="QCS276" s="609"/>
      <c r="QCT276" s="609"/>
      <c r="QCU276" s="609"/>
      <c r="QCV276" s="609"/>
      <c r="QCW276" s="609"/>
      <c r="QCX276" s="609"/>
      <c r="QCY276" s="609"/>
      <c r="QCZ276" s="609"/>
      <c r="QDA276" s="609"/>
      <c r="QDB276" s="609"/>
      <c r="QDC276" s="609"/>
      <c r="QDD276" s="609"/>
      <c r="QDE276" s="609"/>
      <c r="QDF276" s="609"/>
      <c r="QDG276" s="609"/>
      <c r="QDH276" s="609"/>
      <c r="QDI276" s="609"/>
      <c r="QDJ276" s="609"/>
      <c r="QDK276" s="609"/>
      <c r="QDL276" s="609"/>
      <c r="QDM276" s="609"/>
      <c r="QDN276" s="609"/>
      <c r="QDO276" s="609"/>
      <c r="QDP276" s="609"/>
      <c r="QDQ276" s="609"/>
      <c r="QDR276" s="609"/>
      <c r="QDS276" s="609"/>
      <c r="QDT276" s="609"/>
      <c r="QDU276" s="609"/>
      <c r="QDV276" s="609"/>
      <c r="QDW276" s="609"/>
      <c r="QDX276" s="609"/>
      <c r="QDY276" s="609"/>
      <c r="QDZ276" s="609"/>
      <c r="QEA276" s="609"/>
      <c r="QEB276" s="609"/>
      <c r="QEC276" s="609"/>
      <c r="QED276" s="609"/>
      <c r="QEE276" s="609"/>
      <c r="QEF276" s="609"/>
      <c r="QEG276" s="609"/>
      <c r="QEH276" s="609"/>
      <c r="QEI276" s="609"/>
      <c r="QEJ276" s="609"/>
      <c r="QEK276" s="609"/>
      <c r="QEL276" s="609"/>
      <c r="QEM276" s="609"/>
      <c r="QEN276" s="609"/>
      <c r="QEO276" s="609"/>
      <c r="QEP276" s="609"/>
      <c r="QEQ276" s="609"/>
      <c r="QER276" s="609"/>
      <c r="QES276" s="609"/>
      <c r="QET276" s="609"/>
      <c r="QEU276" s="609"/>
      <c r="QEV276" s="609"/>
      <c r="QEW276" s="609"/>
      <c r="QEX276" s="609"/>
      <c r="QEY276" s="609"/>
      <c r="QEZ276" s="609"/>
      <c r="QFA276" s="609"/>
      <c r="QFB276" s="609"/>
      <c r="QFC276" s="609"/>
      <c r="QFD276" s="609"/>
      <c r="QFE276" s="609"/>
      <c r="QFF276" s="609"/>
      <c r="QFG276" s="609"/>
      <c r="QFH276" s="609"/>
      <c r="QFI276" s="609"/>
      <c r="QFJ276" s="609"/>
      <c r="QFK276" s="609"/>
      <c r="QFL276" s="609"/>
      <c r="QFM276" s="609"/>
      <c r="QFN276" s="609"/>
      <c r="QFO276" s="609"/>
      <c r="QFP276" s="609"/>
      <c r="QFQ276" s="609"/>
      <c r="QFR276" s="609"/>
      <c r="QFS276" s="609"/>
      <c r="QFT276" s="609"/>
      <c r="QFU276" s="609"/>
      <c r="QFV276" s="609"/>
      <c r="QFW276" s="609"/>
      <c r="QFX276" s="609"/>
      <c r="QFY276" s="609"/>
      <c r="QFZ276" s="609"/>
      <c r="QGA276" s="609"/>
      <c r="QGB276" s="609"/>
      <c r="QGC276" s="609"/>
      <c r="QGD276" s="609"/>
      <c r="QGE276" s="609"/>
      <c r="QGF276" s="609"/>
      <c r="QGG276" s="609"/>
      <c r="QGH276" s="609"/>
      <c r="QGI276" s="609"/>
      <c r="QGJ276" s="609"/>
      <c r="QGK276" s="609"/>
      <c r="QGL276" s="609"/>
      <c r="QGM276" s="609"/>
      <c r="QGN276" s="609"/>
      <c r="QGO276" s="609"/>
      <c r="QGP276" s="609"/>
      <c r="QGQ276" s="609"/>
      <c r="QGR276" s="609"/>
      <c r="QGS276" s="609"/>
      <c r="QGT276" s="609"/>
      <c r="QGU276" s="609"/>
      <c r="QGV276" s="609"/>
      <c r="QGW276" s="609"/>
      <c r="QGX276" s="609"/>
      <c r="QGY276" s="609"/>
      <c r="QGZ276" s="609"/>
      <c r="QHA276" s="609"/>
      <c r="QHB276" s="609"/>
      <c r="QHC276" s="609"/>
      <c r="QHD276" s="609"/>
      <c r="QHE276" s="609"/>
      <c r="QHF276" s="609"/>
      <c r="QHG276" s="609"/>
      <c r="QHH276" s="609"/>
      <c r="QHI276" s="609"/>
      <c r="QHJ276" s="609"/>
      <c r="QHK276" s="609"/>
      <c r="QHL276" s="609"/>
      <c r="QHM276" s="609"/>
      <c r="QHN276" s="609"/>
      <c r="QHO276" s="609"/>
      <c r="QHP276" s="609"/>
      <c r="QHQ276" s="609"/>
      <c r="QHR276" s="609"/>
      <c r="QHS276" s="609"/>
      <c r="QHT276" s="609"/>
      <c r="QHU276" s="609"/>
      <c r="QHV276" s="609"/>
      <c r="QHW276" s="609"/>
      <c r="QHX276" s="609"/>
      <c r="QHY276" s="609"/>
      <c r="QHZ276" s="609"/>
      <c r="QIA276" s="609"/>
      <c r="QIB276" s="609"/>
      <c r="QIC276" s="609"/>
      <c r="QID276" s="609"/>
      <c r="QIE276" s="609"/>
      <c r="QIF276" s="609"/>
      <c r="QIG276" s="609"/>
      <c r="QIH276" s="609"/>
      <c r="QII276" s="609"/>
      <c r="QIJ276" s="609"/>
      <c r="QIK276" s="609"/>
      <c r="QIL276" s="609"/>
      <c r="QIM276" s="609"/>
      <c r="QIN276" s="609"/>
      <c r="QIO276" s="609"/>
      <c r="QIP276" s="609"/>
      <c r="QIQ276" s="609"/>
      <c r="QIR276" s="609"/>
      <c r="QIS276" s="609"/>
      <c r="QIT276" s="609"/>
      <c r="QIU276" s="609"/>
      <c r="QIV276" s="609"/>
      <c r="QIW276" s="609"/>
      <c r="QIX276" s="609"/>
      <c r="QIY276" s="609"/>
      <c r="QIZ276" s="609"/>
      <c r="QJA276" s="609"/>
      <c r="QJB276" s="609"/>
      <c r="QJC276" s="609"/>
      <c r="QJD276" s="609"/>
      <c r="QJE276" s="609"/>
      <c r="QJF276" s="609"/>
      <c r="QJG276" s="609"/>
      <c r="QJH276" s="609"/>
      <c r="QJI276" s="609"/>
      <c r="QJJ276" s="609"/>
      <c r="QJK276" s="609"/>
      <c r="QJL276" s="609"/>
      <c r="QJM276" s="609"/>
      <c r="QJN276" s="609"/>
      <c r="QJO276" s="609"/>
      <c r="QJP276" s="609"/>
      <c r="QJQ276" s="609"/>
      <c r="QJR276" s="609"/>
      <c r="QJS276" s="609"/>
      <c r="QJT276" s="609"/>
      <c r="QJU276" s="609"/>
      <c r="QJV276" s="609"/>
      <c r="QJW276" s="609"/>
      <c r="QJX276" s="609"/>
      <c r="QJY276" s="609"/>
      <c r="QJZ276" s="609"/>
      <c r="QKA276" s="609"/>
      <c r="QKB276" s="609"/>
      <c r="QKC276" s="609"/>
      <c r="QKD276" s="609"/>
      <c r="QKE276" s="609"/>
      <c r="QKF276" s="609"/>
      <c r="QKG276" s="609"/>
      <c r="QKH276" s="609"/>
      <c r="QKI276" s="609"/>
      <c r="QKJ276" s="609"/>
      <c r="QKK276" s="609"/>
      <c r="QKL276" s="609"/>
      <c r="QKM276" s="609"/>
      <c r="QKN276" s="609"/>
      <c r="QKO276" s="609"/>
      <c r="QKP276" s="609"/>
      <c r="QKQ276" s="609"/>
      <c r="QKR276" s="609"/>
      <c r="QKS276" s="609"/>
      <c r="QKT276" s="609"/>
      <c r="QKU276" s="609"/>
      <c r="QKV276" s="609"/>
      <c r="QKW276" s="609"/>
      <c r="QKX276" s="609"/>
      <c r="QKY276" s="609"/>
      <c r="QKZ276" s="609"/>
      <c r="QLA276" s="609"/>
      <c r="QLB276" s="609"/>
      <c r="QLC276" s="609"/>
      <c r="QLD276" s="609"/>
      <c r="QLE276" s="609"/>
      <c r="QLF276" s="609"/>
      <c r="QLG276" s="609"/>
      <c r="QLH276" s="609"/>
      <c r="QLI276" s="609"/>
      <c r="QLJ276" s="609"/>
      <c r="QLK276" s="609"/>
      <c r="QLL276" s="609"/>
      <c r="QLM276" s="609"/>
      <c r="QLN276" s="609"/>
      <c r="QLO276" s="609"/>
      <c r="QLP276" s="609"/>
      <c r="QLQ276" s="609"/>
      <c r="QLR276" s="609"/>
      <c r="QLS276" s="609"/>
      <c r="QLT276" s="609"/>
      <c r="QLU276" s="609"/>
      <c r="QLV276" s="609"/>
      <c r="QLW276" s="609"/>
      <c r="QLX276" s="609"/>
      <c r="QLY276" s="609"/>
      <c r="QLZ276" s="609"/>
      <c r="QMA276" s="609"/>
      <c r="QMB276" s="609"/>
      <c r="QMC276" s="609"/>
      <c r="QMD276" s="609"/>
      <c r="QME276" s="609"/>
      <c r="QMF276" s="609"/>
      <c r="QMG276" s="609"/>
      <c r="QMH276" s="609"/>
      <c r="QMI276" s="609"/>
      <c r="QMJ276" s="609"/>
      <c r="QMK276" s="609"/>
      <c r="QML276" s="609"/>
      <c r="QMM276" s="609"/>
      <c r="QMN276" s="609"/>
      <c r="QMO276" s="609"/>
      <c r="QMP276" s="609"/>
      <c r="QMQ276" s="609"/>
      <c r="QMR276" s="609"/>
      <c r="QMS276" s="609"/>
      <c r="QMT276" s="609"/>
      <c r="QMU276" s="609"/>
      <c r="QMV276" s="609"/>
      <c r="QMW276" s="609"/>
      <c r="QMX276" s="609"/>
      <c r="QMY276" s="609"/>
      <c r="QMZ276" s="609"/>
      <c r="QNA276" s="609"/>
      <c r="QNB276" s="609"/>
      <c r="QNC276" s="609"/>
      <c r="QND276" s="609"/>
      <c r="QNE276" s="609"/>
      <c r="QNF276" s="609"/>
      <c r="QNG276" s="609"/>
      <c r="QNH276" s="609"/>
      <c r="QNI276" s="609"/>
      <c r="QNJ276" s="609"/>
      <c r="QNK276" s="609"/>
      <c r="QNL276" s="609"/>
      <c r="QNM276" s="609"/>
      <c r="QNN276" s="609"/>
      <c r="QNO276" s="609"/>
      <c r="QNP276" s="609"/>
      <c r="QNQ276" s="609"/>
      <c r="QNR276" s="609"/>
      <c r="QNS276" s="609"/>
      <c r="QNT276" s="609"/>
      <c r="QNU276" s="609"/>
      <c r="QNV276" s="609"/>
      <c r="QNW276" s="609"/>
      <c r="QNX276" s="609"/>
      <c r="QNY276" s="609"/>
      <c r="QNZ276" s="609"/>
      <c r="QOA276" s="609"/>
      <c r="QOB276" s="609"/>
      <c r="QOC276" s="609"/>
      <c r="QOD276" s="609"/>
      <c r="QOE276" s="609"/>
      <c r="QOF276" s="609"/>
      <c r="QOG276" s="609"/>
      <c r="QOH276" s="609"/>
      <c r="QOI276" s="609"/>
      <c r="QOJ276" s="609"/>
      <c r="QOK276" s="609"/>
      <c r="QOL276" s="609"/>
      <c r="QOM276" s="609"/>
      <c r="QON276" s="609"/>
      <c r="QOO276" s="609"/>
      <c r="QOP276" s="609"/>
      <c r="QOQ276" s="609"/>
      <c r="QOR276" s="609"/>
      <c r="QOS276" s="609"/>
      <c r="QOT276" s="609"/>
      <c r="QOU276" s="609"/>
      <c r="QOV276" s="609"/>
      <c r="QOW276" s="609"/>
      <c r="QOX276" s="609"/>
      <c r="QOY276" s="609"/>
      <c r="QOZ276" s="609"/>
      <c r="QPA276" s="609"/>
      <c r="QPB276" s="609"/>
      <c r="QPC276" s="609"/>
      <c r="QPD276" s="609"/>
      <c r="QPE276" s="609"/>
      <c r="QPF276" s="609"/>
      <c r="QPG276" s="609"/>
      <c r="QPH276" s="609"/>
      <c r="QPI276" s="609"/>
      <c r="QPJ276" s="609"/>
      <c r="QPK276" s="609"/>
      <c r="QPL276" s="609"/>
      <c r="QPM276" s="609"/>
      <c r="QPN276" s="609"/>
      <c r="QPO276" s="609"/>
      <c r="QPP276" s="609"/>
      <c r="QPQ276" s="609"/>
      <c r="QPR276" s="609"/>
      <c r="QPS276" s="609"/>
      <c r="QPT276" s="609"/>
      <c r="QPU276" s="609"/>
      <c r="QPV276" s="609"/>
      <c r="QPW276" s="609"/>
      <c r="QPX276" s="609"/>
      <c r="QPY276" s="609"/>
      <c r="QPZ276" s="609"/>
      <c r="QQA276" s="609"/>
      <c r="QQB276" s="609"/>
      <c r="QQC276" s="609"/>
      <c r="QQD276" s="609"/>
      <c r="QQE276" s="609"/>
      <c r="QQF276" s="609"/>
      <c r="QQG276" s="609"/>
      <c r="QQH276" s="609"/>
      <c r="QQI276" s="609"/>
      <c r="QQJ276" s="609"/>
      <c r="QQK276" s="609"/>
      <c r="QQL276" s="609"/>
      <c r="QQM276" s="609"/>
      <c r="QQN276" s="609"/>
      <c r="QQO276" s="609"/>
      <c r="QQP276" s="609"/>
      <c r="QQQ276" s="609"/>
      <c r="QQR276" s="609"/>
      <c r="QQS276" s="609"/>
      <c r="QQT276" s="609"/>
      <c r="QQU276" s="609"/>
      <c r="QQV276" s="609"/>
      <c r="QQW276" s="609"/>
      <c r="QQX276" s="609"/>
      <c r="QQY276" s="609"/>
      <c r="QQZ276" s="609"/>
      <c r="QRA276" s="609"/>
      <c r="QRB276" s="609"/>
      <c r="QRC276" s="609"/>
      <c r="QRD276" s="609"/>
      <c r="QRE276" s="609"/>
      <c r="QRF276" s="609"/>
      <c r="QRG276" s="609"/>
      <c r="QRH276" s="609"/>
      <c r="QRI276" s="609"/>
      <c r="QRJ276" s="609"/>
      <c r="QRK276" s="609"/>
      <c r="QRL276" s="609"/>
      <c r="QRM276" s="609"/>
      <c r="QRN276" s="609"/>
      <c r="QRO276" s="609"/>
      <c r="QRP276" s="609"/>
      <c r="QRQ276" s="609"/>
      <c r="QRR276" s="609"/>
      <c r="QRS276" s="609"/>
      <c r="QRT276" s="609"/>
      <c r="QRU276" s="609"/>
      <c r="QRV276" s="609"/>
      <c r="QRW276" s="609"/>
      <c r="QRX276" s="609"/>
      <c r="QRY276" s="609"/>
      <c r="QRZ276" s="609"/>
      <c r="QSA276" s="609"/>
      <c r="QSB276" s="609"/>
      <c r="QSC276" s="609"/>
      <c r="QSD276" s="609"/>
      <c r="QSE276" s="609"/>
      <c r="QSF276" s="609"/>
      <c r="QSG276" s="609"/>
      <c r="QSH276" s="609"/>
      <c r="QSI276" s="609"/>
      <c r="QSJ276" s="609"/>
      <c r="QSK276" s="609"/>
      <c r="QSL276" s="609"/>
      <c r="QSM276" s="609"/>
      <c r="QSN276" s="609"/>
      <c r="QSO276" s="609"/>
      <c r="QSP276" s="609"/>
      <c r="QSQ276" s="609"/>
      <c r="QSR276" s="609"/>
      <c r="QSS276" s="609"/>
      <c r="QST276" s="609"/>
      <c r="QSU276" s="609"/>
      <c r="QSV276" s="609"/>
      <c r="QSW276" s="609"/>
      <c r="QSX276" s="609"/>
      <c r="QSY276" s="609"/>
      <c r="QSZ276" s="609"/>
      <c r="QTA276" s="609"/>
      <c r="QTB276" s="609"/>
      <c r="QTC276" s="609"/>
      <c r="QTD276" s="609"/>
      <c r="QTE276" s="609"/>
      <c r="QTF276" s="609"/>
      <c r="QTG276" s="609"/>
      <c r="QTH276" s="609"/>
      <c r="QTI276" s="609"/>
      <c r="QTJ276" s="609"/>
      <c r="QTK276" s="609"/>
      <c r="QTL276" s="609"/>
      <c r="QTM276" s="609"/>
      <c r="QTN276" s="609"/>
      <c r="QTO276" s="609"/>
      <c r="QTP276" s="609"/>
      <c r="QTQ276" s="609"/>
      <c r="QTR276" s="609"/>
      <c r="QTS276" s="609"/>
      <c r="QTT276" s="609"/>
      <c r="QTU276" s="609"/>
      <c r="QTV276" s="609"/>
      <c r="QTW276" s="609"/>
      <c r="QTX276" s="609"/>
      <c r="QTY276" s="609"/>
      <c r="QTZ276" s="609"/>
      <c r="QUA276" s="609"/>
      <c r="QUB276" s="609"/>
      <c r="QUC276" s="609"/>
      <c r="QUD276" s="609"/>
      <c r="QUE276" s="609"/>
      <c r="QUF276" s="609"/>
      <c r="QUG276" s="609"/>
      <c r="QUH276" s="609"/>
      <c r="QUI276" s="609"/>
      <c r="QUJ276" s="609"/>
      <c r="QUK276" s="609"/>
      <c r="QUL276" s="609"/>
      <c r="QUM276" s="609"/>
      <c r="QUN276" s="609"/>
      <c r="QUO276" s="609"/>
      <c r="QUP276" s="609"/>
      <c r="QUQ276" s="609"/>
      <c r="QUR276" s="609"/>
      <c r="QUS276" s="609"/>
      <c r="QUT276" s="609"/>
      <c r="QUU276" s="609"/>
      <c r="QUV276" s="609"/>
      <c r="QUW276" s="609"/>
      <c r="QUX276" s="609"/>
      <c r="QUY276" s="609"/>
      <c r="QUZ276" s="609"/>
      <c r="QVA276" s="609"/>
      <c r="QVB276" s="609"/>
      <c r="QVC276" s="609"/>
      <c r="QVD276" s="609"/>
      <c r="QVE276" s="609"/>
      <c r="QVF276" s="609"/>
      <c r="QVG276" s="609"/>
      <c r="QVH276" s="609"/>
      <c r="QVI276" s="609"/>
      <c r="QVJ276" s="609"/>
      <c r="QVK276" s="609"/>
      <c r="QVL276" s="609"/>
      <c r="QVM276" s="609"/>
      <c r="QVN276" s="609"/>
      <c r="QVO276" s="609"/>
      <c r="QVP276" s="609"/>
      <c r="QVQ276" s="609"/>
      <c r="QVR276" s="609"/>
      <c r="QVS276" s="609"/>
      <c r="QVT276" s="609"/>
      <c r="QVU276" s="609"/>
      <c r="QVV276" s="609"/>
      <c r="QVW276" s="609"/>
      <c r="QVX276" s="609"/>
      <c r="QVY276" s="609"/>
      <c r="QVZ276" s="609"/>
      <c r="QWA276" s="609"/>
      <c r="QWB276" s="609"/>
      <c r="QWC276" s="609"/>
      <c r="QWD276" s="609"/>
      <c r="QWE276" s="609"/>
      <c r="QWF276" s="609"/>
      <c r="QWG276" s="609"/>
      <c r="QWH276" s="609"/>
      <c r="QWI276" s="609"/>
      <c r="QWJ276" s="609"/>
      <c r="QWK276" s="609"/>
      <c r="QWL276" s="609"/>
      <c r="QWM276" s="609"/>
      <c r="QWN276" s="609"/>
      <c r="QWO276" s="609"/>
      <c r="QWP276" s="609"/>
      <c r="QWQ276" s="609"/>
      <c r="QWR276" s="609"/>
      <c r="QWS276" s="609"/>
      <c r="QWT276" s="609"/>
      <c r="QWU276" s="609"/>
      <c r="QWV276" s="609"/>
      <c r="QWW276" s="609"/>
      <c r="QWX276" s="609"/>
      <c r="QWY276" s="609"/>
      <c r="QWZ276" s="609"/>
      <c r="QXA276" s="609"/>
      <c r="QXB276" s="609"/>
      <c r="QXC276" s="609"/>
      <c r="QXD276" s="609"/>
      <c r="QXE276" s="609"/>
      <c r="QXF276" s="609"/>
      <c r="QXG276" s="609"/>
      <c r="QXH276" s="609"/>
      <c r="QXI276" s="609"/>
      <c r="QXJ276" s="609"/>
      <c r="QXK276" s="609"/>
      <c r="QXL276" s="609"/>
      <c r="QXM276" s="609"/>
      <c r="QXN276" s="609"/>
      <c r="QXO276" s="609"/>
      <c r="QXP276" s="609"/>
      <c r="QXQ276" s="609"/>
      <c r="QXR276" s="609"/>
      <c r="QXS276" s="609"/>
      <c r="QXT276" s="609"/>
      <c r="QXU276" s="609"/>
      <c r="QXV276" s="609"/>
      <c r="QXW276" s="609"/>
      <c r="QXX276" s="609"/>
      <c r="QXY276" s="609"/>
      <c r="QXZ276" s="609"/>
      <c r="QYA276" s="609"/>
      <c r="QYB276" s="609"/>
      <c r="QYC276" s="609"/>
      <c r="QYD276" s="609"/>
      <c r="QYE276" s="609"/>
      <c r="QYF276" s="609"/>
      <c r="QYG276" s="609"/>
      <c r="QYH276" s="609"/>
      <c r="QYI276" s="609"/>
      <c r="QYJ276" s="609"/>
      <c r="QYK276" s="609"/>
      <c r="QYL276" s="609"/>
      <c r="QYM276" s="609"/>
      <c r="QYN276" s="609"/>
      <c r="QYO276" s="609"/>
      <c r="QYP276" s="609"/>
      <c r="QYQ276" s="609"/>
      <c r="QYR276" s="609"/>
      <c r="QYS276" s="609"/>
      <c r="QYT276" s="609"/>
      <c r="QYU276" s="609"/>
      <c r="QYV276" s="609"/>
      <c r="QYW276" s="609"/>
      <c r="QYX276" s="609"/>
      <c r="QYY276" s="609"/>
      <c r="QYZ276" s="609"/>
      <c r="QZA276" s="609"/>
      <c r="QZB276" s="609"/>
      <c r="QZC276" s="609"/>
      <c r="QZD276" s="609"/>
      <c r="QZE276" s="609"/>
      <c r="QZF276" s="609"/>
      <c r="QZG276" s="609"/>
      <c r="QZH276" s="609"/>
      <c r="QZI276" s="609"/>
      <c r="QZJ276" s="609"/>
      <c r="QZK276" s="609"/>
      <c r="QZL276" s="609"/>
      <c r="QZM276" s="609"/>
      <c r="QZN276" s="609"/>
      <c r="QZO276" s="609"/>
      <c r="QZP276" s="609"/>
      <c r="QZQ276" s="609"/>
      <c r="QZR276" s="609"/>
      <c r="QZS276" s="609"/>
      <c r="QZT276" s="609"/>
      <c r="QZU276" s="609"/>
      <c r="QZV276" s="609"/>
      <c r="QZW276" s="609"/>
      <c r="QZX276" s="609"/>
      <c r="QZY276" s="609"/>
      <c r="QZZ276" s="609"/>
      <c r="RAA276" s="609"/>
      <c r="RAB276" s="609"/>
      <c r="RAC276" s="609"/>
      <c r="RAD276" s="609"/>
      <c r="RAE276" s="609"/>
      <c r="RAF276" s="609"/>
      <c r="RAG276" s="609"/>
      <c r="RAH276" s="609"/>
      <c r="RAI276" s="609"/>
      <c r="RAJ276" s="609"/>
      <c r="RAK276" s="609"/>
      <c r="RAL276" s="609"/>
      <c r="RAM276" s="609"/>
      <c r="RAN276" s="609"/>
      <c r="RAO276" s="609"/>
      <c r="RAP276" s="609"/>
      <c r="RAQ276" s="609"/>
      <c r="RAR276" s="609"/>
      <c r="RAS276" s="609"/>
      <c r="RAT276" s="609"/>
      <c r="RAU276" s="609"/>
      <c r="RAV276" s="609"/>
      <c r="RAW276" s="609"/>
      <c r="RAX276" s="609"/>
      <c r="RAY276" s="609"/>
      <c r="RAZ276" s="609"/>
      <c r="RBA276" s="609"/>
      <c r="RBB276" s="609"/>
      <c r="RBC276" s="609"/>
      <c r="RBD276" s="609"/>
      <c r="RBE276" s="609"/>
      <c r="RBF276" s="609"/>
      <c r="RBG276" s="609"/>
      <c r="RBH276" s="609"/>
      <c r="RBI276" s="609"/>
      <c r="RBJ276" s="609"/>
      <c r="RBK276" s="609"/>
      <c r="RBL276" s="609"/>
      <c r="RBM276" s="609"/>
      <c r="RBN276" s="609"/>
      <c r="RBO276" s="609"/>
      <c r="RBP276" s="609"/>
      <c r="RBQ276" s="609"/>
      <c r="RBR276" s="609"/>
      <c r="RBS276" s="609"/>
      <c r="RBT276" s="609"/>
      <c r="RBU276" s="609"/>
      <c r="RBV276" s="609"/>
      <c r="RBW276" s="609"/>
      <c r="RBX276" s="609"/>
      <c r="RBY276" s="609"/>
      <c r="RBZ276" s="609"/>
      <c r="RCA276" s="609"/>
      <c r="RCB276" s="609"/>
      <c r="RCC276" s="609"/>
      <c r="RCD276" s="609"/>
      <c r="RCE276" s="609"/>
      <c r="RCF276" s="609"/>
      <c r="RCG276" s="609"/>
      <c r="RCH276" s="609"/>
      <c r="RCI276" s="609"/>
      <c r="RCJ276" s="609"/>
      <c r="RCK276" s="609"/>
      <c r="RCL276" s="609"/>
      <c r="RCM276" s="609"/>
      <c r="RCN276" s="609"/>
      <c r="RCO276" s="609"/>
      <c r="RCP276" s="609"/>
      <c r="RCQ276" s="609"/>
      <c r="RCR276" s="609"/>
      <c r="RCS276" s="609"/>
      <c r="RCT276" s="609"/>
      <c r="RCU276" s="609"/>
      <c r="RCV276" s="609"/>
      <c r="RCW276" s="609"/>
      <c r="RCX276" s="609"/>
      <c r="RCY276" s="609"/>
      <c r="RCZ276" s="609"/>
      <c r="RDA276" s="609"/>
      <c r="RDB276" s="609"/>
      <c r="RDC276" s="609"/>
      <c r="RDD276" s="609"/>
      <c r="RDE276" s="609"/>
      <c r="RDF276" s="609"/>
      <c r="RDG276" s="609"/>
      <c r="RDH276" s="609"/>
      <c r="RDI276" s="609"/>
      <c r="RDJ276" s="609"/>
      <c r="RDK276" s="609"/>
      <c r="RDL276" s="609"/>
      <c r="RDM276" s="609"/>
      <c r="RDN276" s="609"/>
      <c r="RDO276" s="609"/>
      <c r="RDP276" s="609"/>
      <c r="RDQ276" s="609"/>
      <c r="RDR276" s="609"/>
      <c r="RDS276" s="609"/>
      <c r="RDT276" s="609"/>
      <c r="RDU276" s="609"/>
      <c r="RDV276" s="609"/>
      <c r="RDW276" s="609"/>
      <c r="RDX276" s="609"/>
      <c r="RDY276" s="609"/>
      <c r="RDZ276" s="609"/>
      <c r="REA276" s="609"/>
      <c r="REB276" s="609"/>
      <c r="REC276" s="609"/>
      <c r="RED276" s="609"/>
      <c r="REE276" s="609"/>
      <c r="REF276" s="609"/>
      <c r="REG276" s="609"/>
      <c r="REH276" s="609"/>
      <c r="REI276" s="609"/>
      <c r="REJ276" s="609"/>
      <c r="REK276" s="609"/>
      <c r="REL276" s="609"/>
      <c r="REM276" s="609"/>
      <c r="REN276" s="609"/>
      <c r="REO276" s="609"/>
      <c r="REP276" s="609"/>
      <c r="REQ276" s="609"/>
      <c r="RER276" s="609"/>
      <c r="RES276" s="609"/>
      <c r="RET276" s="609"/>
      <c r="REU276" s="609"/>
      <c r="REV276" s="609"/>
      <c r="REW276" s="609"/>
      <c r="REX276" s="609"/>
      <c r="REY276" s="609"/>
      <c r="REZ276" s="609"/>
      <c r="RFA276" s="609"/>
      <c r="RFB276" s="609"/>
      <c r="RFC276" s="609"/>
      <c r="RFD276" s="609"/>
      <c r="RFE276" s="609"/>
      <c r="RFF276" s="609"/>
      <c r="RFG276" s="609"/>
      <c r="RFH276" s="609"/>
      <c r="RFI276" s="609"/>
      <c r="RFJ276" s="609"/>
      <c r="RFK276" s="609"/>
      <c r="RFL276" s="609"/>
      <c r="RFM276" s="609"/>
      <c r="RFN276" s="609"/>
      <c r="RFO276" s="609"/>
      <c r="RFP276" s="609"/>
      <c r="RFQ276" s="609"/>
      <c r="RFR276" s="609"/>
      <c r="RFS276" s="609"/>
      <c r="RFT276" s="609"/>
      <c r="RFU276" s="609"/>
      <c r="RFV276" s="609"/>
      <c r="RFW276" s="609"/>
      <c r="RFX276" s="609"/>
      <c r="RFY276" s="609"/>
      <c r="RFZ276" s="609"/>
      <c r="RGA276" s="609"/>
      <c r="RGB276" s="609"/>
      <c r="RGC276" s="609"/>
      <c r="RGD276" s="609"/>
      <c r="RGE276" s="609"/>
      <c r="RGF276" s="609"/>
      <c r="RGG276" s="609"/>
      <c r="RGH276" s="609"/>
      <c r="RGI276" s="609"/>
      <c r="RGJ276" s="609"/>
      <c r="RGK276" s="609"/>
      <c r="RGL276" s="609"/>
      <c r="RGM276" s="609"/>
      <c r="RGN276" s="609"/>
      <c r="RGO276" s="609"/>
      <c r="RGP276" s="609"/>
      <c r="RGQ276" s="609"/>
      <c r="RGR276" s="609"/>
      <c r="RGS276" s="609"/>
      <c r="RGT276" s="609"/>
      <c r="RGU276" s="609"/>
      <c r="RGV276" s="609"/>
      <c r="RGW276" s="609"/>
      <c r="RGX276" s="609"/>
      <c r="RGY276" s="609"/>
      <c r="RGZ276" s="609"/>
      <c r="RHA276" s="609"/>
      <c r="RHB276" s="609"/>
      <c r="RHC276" s="609"/>
      <c r="RHD276" s="609"/>
      <c r="RHE276" s="609"/>
      <c r="RHF276" s="609"/>
      <c r="RHG276" s="609"/>
      <c r="RHH276" s="609"/>
      <c r="RHI276" s="609"/>
      <c r="RHJ276" s="609"/>
      <c r="RHK276" s="609"/>
      <c r="RHL276" s="609"/>
      <c r="RHM276" s="609"/>
      <c r="RHN276" s="609"/>
      <c r="RHO276" s="609"/>
      <c r="RHP276" s="609"/>
      <c r="RHQ276" s="609"/>
      <c r="RHR276" s="609"/>
      <c r="RHS276" s="609"/>
      <c r="RHT276" s="609"/>
      <c r="RHU276" s="609"/>
      <c r="RHV276" s="609"/>
      <c r="RHW276" s="609"/>
      <c r="RHX276" s="609"/>
      <c r="RHY276" s="609"/>
      <c r="RHZ276" s="609"/>
      <c r="RIA276" s="609"/>
      <c r="RIB276" s="609"/>
      <c r="RIC276" s="609"/>
      <c r="RID276" s="609"/>
      <c r="RIE276" s="609"/>
      <c r="RIF276" s="609"/>
      <c r="RIG276" s="609"/>
      <c r="RIH276" s="609"/>
      <c r="RII276" s="609"/>
      <c r="RIJ276" s="609"/>
      <c r="RIK276" s="609"/>
      <c r="RIL276" s="609"/>
      <c r="RIM276" s="609"/>
      <c r="RIN276" s="609"/>
      <c r="RIO276" s="609"/>
      <c r="RIP276" s="609"/>
      <c r="RIQ276" s="609"/>
      <c r="RIR276" s="609"/>
      <c r="RIS276" s="609"/>
      <c r="RIT276" s="609"/>
      <c r="RIU276" s="609"/>
      <c r="RIV276" s="609"/>
      <c r="RIW276" s="609"/>
      <c r="RIX276" s="609"/>
      <c r="RIY276" s="609"/>
      <c r="RIZ276" s="609"/>
      <c r="RJA276" s="609"/>
      <c r="RJB276" s="609"/>
      <c r="RJC276" s="609"/>
      <c r="RJD276" s="609"/>
      <c r="RJE276" s="609"/>
      <c r="RJF276" s="609"/>
      <c r="RJG276" s="609"/>
      <c r="RJH276" s="609"/>
      <c r="RJI276" s="609"/>
      <c r="RJJ276" s="609"/>
      <c r="RJK276" s="609"/>
      <c r="RJL276" s="609"/>
      <c r="RJM276" s="609"/>
      <c r="RJN276" s="609"/>
      <c r="RJO276" s="609"/>
      <c r="RJP276" s="609"/>
      <c r="RJQ276" s="609"/>
      <c r="RJR276" s="609"/>
      <c r="RJS276" s="609"/>
      <c r="RJT276" s="609"/>
      <c r="RJU276" s="609"/>
      <c r="RJV276" s="609"/>
      <c r="RJW276" s="609"/>
      <c r="RJX276" s="609"/>
      <c r="RJY276" s="609"/>
      <c r="RJZ276" s="609"/>
      <c r="RKA276" s="609"/>
      <c r="RKB276" s="609"/>
      <c r="RKC276" s="609"/>
      <c r="RKD276" s="609"/>
      <c r="RKE276" s="609"/>
      <c r="RKF276" s="609"/>
      <c r="RKG276" s="609"/>
      <c r="RKH276" s="609"/>
      <c r="RKI276" s="609"/>
      <c r="RKJ276" s="609"/>
      <c r="RKK276" s="609"/>
      <c r="RKL276" s="609"/>
      <c r="RKM276" s="609"/>
      <c r="RKN276" s="609"/>
      <c r="RKO276" s="609"/>
      <c r="RKP276" s="609"/>
      <c r="RKQ276" s="609"/>
      <c r="RKR276" s="609"/>
      <c r="RKS276" s="609"/>
      <c r="RKT276" s="609"/>
      <c r="RKU276" s="609"/>
      <c r="RKV276" s="609"/>
      <c r="RKW276" s="609"/>
      <c r="RKX276" s="609"/>
      <c r="RKY276" s="609"/>
      <c r="RKZ276" s="609"/>
      <c r="RLA276" s="609"/>
      <c r="RLB276" s="609"/>
      <c r="RLC276" s="609"/>
      <c r="RLD276" s="609"/>
      <c r="RLE276" s="609"/>
      <c r="RLF276" s="609"/>
      <c r="RLG276" s="609"/>
      <c r="RLH276" s="609"/>
      <c r="RLI276" s="609"/>
      <c r="RLJ276" s="609"/>
      <c r="RLK276" s="609"/>
      <c r="RLL276" s="609"/>
      <c r="RLM276" s="609"/>
      <c r="RLN276" s="609"/>
      <c r="RLO276" s="609"/>
      <c r="RLP276" s="609"/>
      <c r="RLQ276" s="609"/>
      <c r="RLR276" s="609"/>
      <c r="RLS276" s="609"/>
      <c r="RLT276" s="609"/>
      <c r="RLU276" s="609"/>
      <c r="RLV276" s="609"/>
      <c r="RLW276" s="609"/>
      <c r="RLX276" s="609"/>
      <c r="RLY276" s="609"/>
      <c r="RLZ276" s="609"/>
      <c r="RMA276" s="609"/>
      <c r="RMB276" s="609"/>
      <c r="RMC276" s="609"/>
      <c r="RMD276" s="609"/>
      <c r="RME276" s="609"/>
      <c r="RMF276" s="609"/>
      <c r="RMG276" s="609"/>
      <c r="RMH276" s="609"/>
      <c r="RMI276" s="609"/>
      <c r="RMJ276" s="609"/>
      <c r="RMK276" s="609"/>
      <c r="RML276" s="609"/>
      <c r="RMM276" s="609"/>
      <c r="RMN276" s="609"/>
      <c r="RMO276" s="609"/>
      <c r="RMP276" s="609"/>
      <c r="RMQ276" s="609"/>
      <c r="RMR276" s="609"/>
      <c r="RMS276" s="609"/>
      <c r="RMT276" s="609"/>
      <c r="RMU276" s="609"/>
      <c r="RMV276" s="609"/>
      <c r="RMW276" s="609"/>
      <c r="RMX276" s="609"/>
      <c r="RMY276" s="609"/>
      <c r="RMZ276" s="609"/>
      <c r="RNA276" s="609"/>
      <c r="RNB276" s="609"/>
      <c r="RNC276" s="609"/>
      <c r="RND276" s="609"/>
      <c r="RNE276" s="609"/>
      <c r="RNF276" s="609"/>
      <c r="RNG276" s="609"/>
      <c r="RNH276" s="609"/>
      <c r="RNI276" s="609"/>
      <c r="RNJ276" s="609"/>
      <c r="RNK276" s="609"/>
      <c r="RNL276" s="609"/>
      <c r="RNM276" s="609"/>
      <c r="RNN276" s="609"/>
      <c r="RNO276" s="609"/>
      <c r="RNP276" s="609"/>
      <c r="RNQ276" s="609"/>
      <c r="RNR276" s="609"/>
      <c r="RNS276" s="609"/>
      <c r="RNT276" s="609"/>
      <c r="RNU276" s="609"/>
      <c r="RNV276" s="609"/>
      <c r="RNW276" s="609"/>
      <c r="RNX276" s="609"/>
      <c r="RNY276" s="609"/>
      <c r="RNZ276" s="609"/>
      <c r="ROA276" s="609"/>
      <c r="ROB276" s="609"/>
      <c r="ROC276" s="609"/>
      <c r="ROD276" s="609"/>
      <c r="ROE276" s="609"/>
      <c r="ROF276" s="609"/>
      <c r="ROG276" s="609"/>
      <c r="ROH276" s="609"/>
      <c r="ROI276" s="609"/>
      <c r="ROJ276" s="609"/>
      <c r="ROK276" s="609"/>
      <c r="ROL276" s="609"/>
      <c r="ROM276" s="609"/>
      <c r="RON276" s="609"/>
      <c r="ROO276" s="609"/>
      <c r="ROP276" s="609"/>
      <c r="ROQ276" s="609"/>
      <c r="ROR276" s="609"/>
      <c r="ROS276" s="609"/>
      <c r="ROT276" s="609"/>
      <c r="ROU276" s="609"/>
      <c r="ROV276" s="609"/>
      <c r="ROW276" s="609"/>
      <c r="ROX276" s="609"/>
      <c r="ROY276" s="609"/>
      <c r="ROZ276" s="609"/>
      <c r="RPA276" s="609"/>
      <c r="RPB276" s="609"/>
      <c r="RPC276" s="609"/>
      <c r="RPD276" s="609"/>
      <c r="RPE276" s="609"/>
      <c r="RPF276" s="609"/>
      <c r="RPG276" s="609"/>
      <c r="RPH276" s="609"/>
      <c r="RPI276" s="609"/>
      <c r="RPJ276" s="609"/>
      <c r="RPK276" s="609"/>
      <c r="RPL276" s="609"/>
      <c r="RPM276" s="609"/>
      <c r="RPN276" s="609"/>
      <c r="RPO276" s="609"/>
      <c r="RPP276" s="609"/>
      <c r="RPQ276" s="609"/>
      <c r="RPR276" s="609"/>
      <c r="RPS276" s="609"/>
      <c r="RPT276" s="609"/>
      <c r="RPU276" s="609"/>
      <c r="RPV276" s="609"/>
      <c r="RPW276" s="609"/>
      <c r="RPX276" s="609"/>
      <c r="RPY276" s="609"/>
      <c r="RPZ276" s="609"/>
      <c r="RQA276" s="609"/>
      <c r="RQB276" s="609"/>
      <c r="RQC276" s="609"/>
      <c r="RQD276" s="609"/>
      <c r="RQE276" s="609"/>
      <c r="RQF276" s="609"/>
      <c r="RQG276" s="609"/>
      <c r="RQH276" s="609"/>
      <c r="RQI276" s="609"/>
      <c r="RQJ276" s="609"/>
      <c r="RQK276" s="609"/>
      <c r="RQL276" s="609"/>
      <c r="RQM276" s="609"/>
      <c r="RQN276" s="609"/>
      <c r="RQO276" s="609"/>
      <c r="RQP276" s="609"/>
      <c r="RQQ276" s="609"/>
      <c r="RQR276" s="609"/>
      <c r="RQS276" s="609"/>
      <c r="RQT276" s="609"/>
      <c r="RQU276" s="609"/>
      <c r="RQV276" s="609"/>
      <c r="RQW276" s="609"/>
      <c r="RQX276" s="609"/>
      <c r="RQY276" s="609"/>
      <c r="RQZ276" s="609"/>
      <c r="RRA276" s="609"/>
      <c r="RRB276" s="609"/>
      <c r="RRC276" s="609"/>
      <c r="RRD276" s="609"/>
      <c r="RRE276" s="609"/>
      <c r="RRF276" s="609"/>
      <c r="RRG276" s="609"/>
      <c r="RRH276" s="609"/>
      <c r="RRI276" s="609"/>
      <c r="RRJ276" s="609"/>
      <c r="RRK276" s="609"/>
      <c r="RRL276" s="609"/>
      <c r="RRM276" s="609"/>
      <c r="RRN276" s="609"/>
      <c r="RRO276" s="609"/>
      <c r="RRP276" s="609"/>
      <c r="RRQ276" s="609"/>
      <c r="RRR276" s="609"/>
      <c r="RRS276" s="609"/>
      <c r="RRT276" s="609"/>
      <c r="RRU276" s="609"/>
      <c r="RRV276" s="609"/>
      <c r="RRW276" s="609"/>
      <c r="RRX276" s="609"/>
      <c r="RRY276" s="609"/>
      <c r="RRZ276" s="609"/>
      <c r="RSA276" s="609"/>
      <c r="RSB276" s="609"/>
      <c r="RSC276" s="609"/>
      <c r="RSD276" s="609"/>
      <c r="RSE276" s="609"/>
      <c r="RSF276" s="609"/>
      <c r="RSG276" s="609"/>
      <c r="RSH276" s="609"/>
      <c r="RSI276" s="609"/>
      <c r="RSJ276" s="609"/>
      <c r="RSK276" s="609"/>
      <c r="RSL276" s="609"/>
      <c r="RSM276" s="609"/>
      <c r="RSN276" s="609"/>
      <c r="RSO276" s="609"/>
      <c r="RSP276" s="609"/>
      <c r="RSQ276" s="609"/>
      <c r="RSR276" s="609"/>
      <c r="RSS276" s="609"/>
      <c r="RST276" s="609"/>
      <c r="RSU276" s="609"/>
      <c r="RSV276" s="609"/>
      <c r="RSW276" s="609"/>
      <c r="RSX276" s="609"/>
      <c r="RSY276" s="609"/>
      <c r="RSZ276" s="609"/>
      <c r="RTA276" s="609"/>
      <c r="RTB276" s="609"/>
      <c r="RTC276" s="609"/>
      <c r="RTD276" s="609"/>
      <c r="RTE276" s="609"/>
      <c r="RTF276" s="609"/>
      <c r="RTG276" s="609"/>
      <c r="RTH276" s="609"/>
      <c r="RTI276" s="609"/>
      <c r="RTJ276" s="609"/>
      <c r="RTK276" s="609"/>
      <c r="RTL276" s="609"/>
      <c r="RTM276" s="609"/>
      <c r="RTN276" s="609"/>
      <c r="RTO276" s="609"/>
      <c r="RTP276" s="609"/>
      <c r="RTQ276" s="609"/>
      <c r="RTR276" s="609"/>
      <c r="RTS276" s="609"/>
      <c r="RTT276" s="609"/>
      <c r="RTU276" s="609"/>
      <c r="RTV276" s="609"/>
      <c r="RTW276" s="609"/>
      <c r="RTX276" s="609"/>
      <c r="RTY276" s="609"/>
      <c r="RTZ276" s="609"/>
      <c r="RUA276" s="609"/>
      <c r="RUB276" s="609"/>
      <c r="RUC276" s="609"/>
      <c r="RUD276" s="609"/>
      <c r="RUE276" s="609"/>
      <c r="RUF276" s="609"/>
      <c r="RUG276" s="609"/>
      <c r="RUH276" s="609"/>
      <c r="RUI276" s="609"/>
      <c r="RUJ276" s="609"/>
      <c r="RUK276" s="609"/>
      <c r="RUL276" s="609"/>
      <c r="RUM276" s="609"/>
      <c r="RUN276" s="609"/>
      <c r="RUO276" s="609"/>
      <c r="RUP276" s="609"/>
      <c r="RUQ276" s="609"/>
      <c r="RUR276" s="609"/>
      <c r="RUS276" s="609"/>
      <c r="RUT276" s="609"/>
      <c r="RUU276" s="609"/>
      <c r="RUV276" s="609"/>
      <c r="RUW276" s="609"/>
      <c r="RUX276" s="609"/>
      <c r="RUY276" s="609"/>
      <c r="RUZ276" s="609"/>
      <c r="RVA276" s="609"/>
      <c r="RVB276" s="609"/>
      <c r="RVC276" s="609"/>
      <c r="RVD276" s="609"/>
      <c r="RVE276" s="609"/>
      <c r="RVF276" s="609"/>
      <c r="RVG276" s="609"/>
      <c r="RVH276" s="609"/>
      <c r="RVI276" s="609"/>
      <c r="RVJ276" s="609"/>
      <c r="RVK276" s="609"/>
      <c r="RVL276" s="609"/>
      <c r="RVM276" s="609"/>
      <c r="RVN276" s="609"/>
      <c r="RVO276" s="609"/>
      <c r="RVP276" s="609"/>
      <c r="RVQ276" s="609"/>
      <c r="RVR276" s="609"/>
      <c r="RVS276" s="609"/>
      <c r="RVT276" s="609"/>
      <c r="RVU276" s="609"/>
      <c r="RVV276" s="609"/>
      <c r="RVW276" s="609"/>
      <c r="RVX276" s="609"/>
      <c r="RVY276" s="609"/>
      <c r="RVZ276" s="609"/>
      <c r="RWA276" s="609"/>
      <c r="RWB276" s="609"/>
      <c r="RWC276" s="609"/>
      <c r="RWD276" s="609"/>
      <c r="RWE276" s="609"/>
      <c r="RWF276" s="609"/>
      <c r="RWG276" s="609"/>
      <c r="RWH276" s="609"/>
      <c r="RWI276" s="609"/>
      <c r="RWJ276" s="609"/>
      <c r="RWK276" s="609"/>
      <c r="RWL276" s="609"/>
      <c r="RWM276" s="609"/>
      <c r="RWN276" s="609"/>
      <c r="RWO276" s="609"/>
      <c r="RWP276" s="609"/>
      <c r="RWQ276" s="609"/>
      <c r="RWR276" s="609"/>
      <c r="RWS276" s="609"/>
      <c r="RWT276" s="609"/>
      <c r="RWU276" s="609"/>
      <c r="RWV276" s="609"/>
      <c r="RWW276" s="609"/>
      <c r="RWX276" s="609"/>
      <c r="RWY276" s="609"/>
      <c r="RWZ276" s="609"/>
      <c r="RXA276" s="609"/>
      <c r="RXB276" s="609"/>
      <c r="RXC276" s="609"/>
      <c r="RXD276" s="609"/>
      <c r="RXE276" s="609"/>
      <c r="RXF276" s="609"/>
      <c r="RXG276" s="609"/>
      <c r="RXH276" s="609"/>
      <c r="RXI276" s="609"/>
      <c r="RXJ276" s="609"/>
      <c r="RXK276" s="609"/>
      <c r="RXL276" s="609"/>
      <c r="RXM276" s="609"/>
      <c r="RXN276" s="609"/>
      <c r="RXO276" s="609"/>
      <c r="RXP276" s="609"/>
      <c r="RXQ276" s="609"/>
      <c r="RXR276" s="609"/>
      <c r="RXS276" s="609"/>
      <c r="RXT276" s="609"/>
      <c r="RXU276" s="609"/>
      <c r="RXV276" s="609"/>
      <c r="RXW276" s="609"/>
      <c r="RXX276" s="609"/>
      <c r="RXY276" s="609"/>
      <c r="RXZ276" s="609"/>
      <c r="RYA276" s="609"/>
      <c r="RYB276" s="609"/>
      <c r="RYC276" s="609"/>
      <c r="RYD276" s="609"/>
      <c r="RYE276" s="609"/>
      <c r="RYF276" s="609"/>
      <c r="RYG276" s="609"/>
      <c r="RYH276" s="609"/>
      <c r="RYI276" s="609"/>
      <c r="RYJ276" s="609"/>
      <c r="RYK276" s="609"/>
      <c r="RYL276" s="609"/>
      <c r="RYM276" s="609"/>
      <c r="RYN276" s="609"/>
      <c r="RYO276" s="609"/>
      <c r="RYP276" s="609"/>
      <c r="RYQ276" s="609"/>
      <c r="RYR276" s="609"/>
      <c r="RYS276" s="609"/>
      <c r="RYT276" s="609"/>
      <c r="RYU276" s="609"/>
      <c r="RYV276" s="609"/>
      <c r="RYW276" s="609"/>
      <c r="RYX276" s="609"/>
      <c r="RYY276" s="609"/>
      <c r="RYZ276" s="609"/>
      <c r="RZA276" s="609"/>
      <c r="RZB276" s="609"/>
      <c r="RZC276" s="609"/>
      <c r="RZD276" s="609"/>
      <c r="RZE276" s="609"/>
      <c r="RZF276" s="609"/>
      <c r="RZG276" s="609"/>
      <c r="RZH276" s="609"/>
      <c r="RZI276" s="609"/>
      <c r="RZJ276" s="609"/>
      <c r="RZK276" s="609"/>
      <c r="RZL276" s="609"/>
      <c r="RZM276" s="609"/>
      <c r="RZN276" s="609"/>
      <c r="RZO276" s="609"/>
      <c r="RZP276" s="609"/>
      <c r="RZQ276" s="609"/>
      <c r="RZR276" s="609"/>
      <c r="RZS276" s="609"/>
      <c r="RZT276" s="609"/>
      <c r="RZU276" s="609"/>
      <c r="RZV276" s="609"/>
      <c r="RZW276" s="609"/>
      <c r="RZX276" s="609"/>
      <c r="RZY276" s="609"/>
      <c r="RZZ276" s="609"/>
      <c r="SAA276" s="609"/>
      <c r="SAB276" s="609"/>
      <c r="SAC276" s="609"/>
      <c r="SAD276" s="609"/>
      <c r="SAE276" s="609"/>
      <c r="SAF276" s="609"/>
      <c r="SAG276" s="609"/>
      <c r="SAH276" s="609"/>
      <c r="SAI276" s="609"/>
      <c r="SAJ276" s="609"/>
      <c r="SAK276" s="609"/>
      <c r="SAL276" s="609"/>
      <c r="SAM276" s="609"/>
      <c r="SAN276" s="609"/>
      <c r="SAO276" s="609"/>
      <c r="SAP276" s="609"/>
      <c r="SAQ276" s="609"/>
      <c r="SAR276" s="609"/>
      <c r="SAS276" s="609"/>
      <c r="SAT276" s="609"/>
      <c r="SAU276" s="609"/>
      <c r="SAV276" s="609"/>
      <c r="SAW276" s="609"/>
      <c r="SAX276" s="609"/>
      <c r="SAY276" s="609"/>
      <c r="SAZ276" s="609"/>
      <c r="SBA276" s="609"/>
      <c r="SBB276" s="609"/>
      <c r="SBC276" s="609"/>
      <c r="SBD276" s="609"/>
      <c r="SBE276" s="609"/>
      <c r="SBF276" s="609"/>
      <c r="SBG276" s="609"/>
      <c r="SBH276" s="609"/>
      <c r="SBI276" s="609"/>
      <c r="SBJ276" s="609"/>
      <c r="SBK276" s="609"/>
      <c r="SBL276" s="609"/>
      <c r="SBM276" s="609"/>
      <c r="SBN276" s="609"/>
      <c r="SBO276" s="609"/>
      <c r="SBP276" s="609"/>
      <c r="SBQ276" s="609"/>
      <c r="SBR276" s="609"/>
      <c r="SBS276" s="609"/>
      <c r="SBT276" s="609"/>
      <c r="SBU276" s="609"/>
      <c r="SBV276" s="609"/>
      <c r="SBW276" s="609"/>
      <c r="SBX276" s="609"/>
      <c r="SBY276" s="609"/>
      <c r="SBZ276" s="609"/>
      <c r="SCA276" s="609"/>
      <c r="SCB276" s="609"/>
      <c r="SCC276" s="609"/>
      <c r="SCD276" s="609"/>
      <c r="SCE276" s="609"/>
      <c r="SCF276" s="609"/>
      <c r="SCG276" s="609"/>
      <c r="SCH276" s="609"/>
      <c r="SCI276" s="609"/>
      <c r="SCJ276" s="609"/>
      <c r="SCK276" s="609"/>
      <c r="SCL276" s="609"/>
      <c r="SCM276" s="609"/>
      <c r="SCN276" s="609"/>
      <c r="SCO276" s="609"/>
      <c r="SCP276" s="609"/>
      <c r="SCQ276" s="609"/>
      <c r="SCR276" s="609"/>
      <c r="SCS276" s="609"/>
      <c r="SCT276" s="609"/>
      <c r="SCU276" s="609"/>
      <c r="SCV276" s="609"/>
      <c r="SCW276" s="609"/>
      <c r="SCX276" s="609"/>
      <c r="SCY276" s="609"/>
      <c r="SCZ276" s="609"/>
      <c r="SDA276" s="609"/>
      <c r="SDB276" s="609"/>
      <c r="SDC276" s="609"/>
      <c r="SDD276" s="609"/>
      <c r="SDE276" s="609"/>
      <c r="SDF276" s="609"/>
      <c r="SDG276" s="609"/>
      <c r="SDH276" s="609"/>
      <c r="SDI276" s="609"/>
      <c r="SDJ276" s="609"/>
      <c r="SDK276" s="609"/>
      <c r="SDL276" s="609"/>
      <c r="SDM276" s="609"/>
      <c r="SDN276" s="609"/>
      <c r="SDO276" s="609"/>
      <c r="SDP276" s="609"/>
      <c r="SDQ276" s="609"/>
      <c r="SDR276" s="609"/>
      <c r="SDS276" s="609"/>
      <c r="SDT276" s="609"/>
      <c r="SDU276" s="609"/>
      <c r="SDV276" s="609"/>
      <c r="SDW276" s="609"/>
      <c r="SDX276" s="609"/>
      <c r="SDY276" s="609"/>
      <c r="SDZ276" s="609"/>
      <c r="SEA276" s="609"/>
      <c r="SEB276" s="609"/>
      <c r="SEC276" s="609"/>
      <c r="SED276" s="609"/>
      <c r="SEE276" s="609"/>
      <c r="SEF276" s="609"/>
      <c r="SEG276" s="609"/>
      <c r="SEH276" s="609"/>
      <c r="SEI276" s="609"/>
      <c r="SEJ276" s="609"/>
      <c r="SEK276" s="609"/>
      <c r="SEL276" s="609"/>
      <c r="SEM276" s="609"/>
      <c r="SEN276" s="609"/>
      <c r="SEO276" s="609"/>
      <c r="SEP276" s="609"/>
      <c r="SEQ276" s="609"/>
      <c r="SER276" s="609"/>
      <c r="SES276" s="609"/>
      <c r="SET276" s="609"/>
      <c r="SEU276" s="609"/>
      <c r="SEV276" s="609"/>
      <c r="SEW276" s="609"/>
      <c r="SEX276" s="609"/>
      <c r="SEY276" s="609"/>
      <c r="SEZ276" s="609"/>
      <c r="SFA276" s="609"/>
      <c r="SFB276" s="609"/>
      <c r="SFC276" s="609"/>
      <c r="SFD276" s="609"/>
      <c r="SFE276" s="609"/>
      <c r="SFF276" s="609"/>
      <c r="SFG276" s="609"/>
      <c r="SFH276" s="609"/>
      <c r="SFI276" s="609"/>
      <c r="SFJ276" s="609"/>
      <c r="SFK276" s="609"/>
      <c r="SFL276" s="609"/>
      <c r="SFM276" s="609"/>
      <c r="SFN276" s="609"/>
      <c r="SFO276" s="609"/>
      <c r="SFP276" s="609"/>
      <c r="SFQ276" s="609"/>
      <c r="SFR276" s="609"/>
      <c r="SFS276" s="609"/>
      <c r="SFT276" s="609"/>
      <c r="SFU276" s="609"/>
      <c r="SFV276" s="609"/>
      <c r="SFW276" s="609"/>
      <c r="SFX276" s="609"/>
      <c r="SFY276" s="609"/>
      <c r="SFZ276" s="609"/>
      <c r="SGA276" s="609"/>
      <c r="SGB276" s="609"/>
      <c r="SGC276" s="609"/>
      <c r="SGD276" s="609"/>
      <c r="SGE276" s="609"/>
      <c r="SGF276" s="609"/>
      <c r="SGG276" s="609"/>
      <c r="SGH276" s="609"/>
      <c r="SGI276" s="609"/>
      <c r="SGJ276" s="609"/>
      <c r="SGK276" s="609"/>
      <c r="SGL276" s="609"/>
      <c r="SGM276" s="609"/>
      <c r="SGN276" s="609"/>
      <c r="SGO276" s="609"/>
      <c r="SGP276" s="609"/>
      <c r="SGQ276" s="609"/>
      <c r="SGR276" s="609"/>
      <c r="SGS276" s="609"/>
      <c r="SGT276" s="609"/>
      <c r="SGU276" s="609"/>
      <c r="SGV276" s="609"/>
      <c r="SGW276" s="609"/>
      <c r="SGX276" s="609"/>
      <c r="SGY276" s="609"/>
      <c r="SGZ276" s="609"/>
      <c r="SHA276" s="609"/>
      <c r="SHB276" s="609"/>
      <c r="SHC276" s="609"/>
      <c r="SHD276" s="609"/>
      <c r="SHE276" s="609"/>
      <c r="SHF276" s="609"/>
      <c r="SHG276" s="609"/>
      <c r="SHH276" s="609"/>
      <c r="SHI276" s="609"/>
      <c r="SHJ276" s="609"/>
      <c r="SHK276" s="609"/>
      <c r="SHL276" s="609"/>
      <c r="SHM276" s="609"/>
      <c r="SHN276" s="609"/>
      <c r="SHO276" s="609"/>
      <c r="SHP276" s="609"/>
      <c r="SHQ276" s="609"/>
      <c r="SHR276" s="609"/>
      <c r="SHS276" s="609"/>
      <c r="SHT276" s="609"/>
      <c r="SHU276" s="609"/>
      <c r="SHV276" s="609"/>
      <c r="SHW276" s="609"/>
      <c r="SHX276" s="609"/>
      <c r="SHY276" s="609"/>
      <c r="SHZ276" s="609"/>
      <c r="SIA276" s="609"/>
      <c r="SIB276" s="609"/>
      <c r="SIC276" s="609"/>
      <c r="SID276" s="609"/>
      <c r="SIE276" s="609"/>
      <c r="SIF276" s="609"/>
      <c r="SIG276" s="609"/>
      <c r="SIH276" s="609"/>
      <c r="SII276" s="609"/>
      <c r="SIJ276" s="609"/>
      <c r="SIK276" s="609"/>
      <c r="SIL276" s="609"/>
      <c r="SIM276" s="609"/>
      <c r="SIN276" s="609"/>
      <c r="SIO276" s="609"/>
      <c r="SIP276" s="609"/>
      <c r="SIQ276" s="609"/>
      <c r="SIR276" s="609"/>
      <c r="SIS276" s="609"/>
      <c r="SIT276" s="609"/>
      <c r="SIU276" s="609"/>
      <c r="SIV276" s="609"/>
      <c r="SIW276" s="609"/>
      <c r="SIX276" s="609"/>
      <c r="SIY276" s="609"/>
      <c r="SIZ276" s="609"/>
      <c r="SJA276" s="609"/>
      <c r="SJB276" s="609"/>
      <c r="SJC276" s="609"/>
      <c r="SJD276" s="609"/>
      <c r="SJE276" s="609"/>
      <c r="SJF276" s="609"/>
      <c r="SJG276" s="609"/>
      <c r="SJH276" s="609"/>
      <c r="SJI276" s="609"/>
      <c r="SJJ276" s="609"/>
      <c r="SJK276" s="609"/>
      <c r="SJL276" s="609"/>
      <c r="SJM276" s="609"/>
      <c r="SJN276" s="609"/>
      <c r="SJO276" s="609"/>
      <c r="SJP276" s="609"/>
      <c r="SJQ276" s="609"/>
      <c r="SJR276" s="609"/>
      <c r="SJS276" s="609"/>
      <c r="SJT276" s="609"/>
      <c r="SJU276" s="609"/>
      <c r="SJV276" s="609"/>
      <c r="SJW276" s="609"/>
      <c r="SJX276" s="609"/>
      <c r="SJY276" s="609"/>
      <c r="SJZ276" s="609"/>
      <c r="SKA276" s="609"/>
      <c r="SKB276" s="609"/>
      <c r="SKC276" s="609"/>
      <c r="SKD276" s="609"/>
      <c r="SKE276" s="609"/>
      <c r="SKF276" s="609"/>
      <c r="SKG276" s="609"/>
      <c r="SKH276" s="609"/>
      <c r="SKI276" s="609"/>
      <c r="SKJ276" s="609"/>
      <c r="SKK276" s="609"/>
      <c r="SKL276" s="609"/>
      <c r="SKM276" s="609"/>
      <c r="SKN276" s="609"/>
      <c r="SKO276" s="609"/>
      <c r="SKP276" s="609"/>
      <c r="SKQ276" s="609"/>
      <c r="SKR276" s="609"/>
      <c r="SKS276" s="609"/>
      <c r="SKT276" s="609"/>
      <c r="SKU276" s="609"/>
      <c r="SKV276" s="609"/>
      <c r="SKW276" s="609"/>
      <c r="SKX276" s="609"/>
      <c r="SKY276" s="609"/>
      <c r="SKZ276" s="609"/>
      <c r="SLA276" s="609"/>
      <c r="SLB276" s="609"/>
      <c r="SLC276" s="609"/>
      <c r="SLD276" s="609"/>
      <c r="SLE276" s="609"/>
      <c r="SLF276" s="609"/>
      <c r="SLG276" s="609"/>
      <c r="SLH276" s="609"/>
      <c r="SLI276" s="609"/>
      <c r="SLJ276" s="609"/>
      <c r="SLK276" s="609"/>
      <c r="SLL276" s="609"/>
      <c r="SLM276" s="609"/>
      <c r="SLN276" s="609"/>
      <c r="SLO276" s="609"/>
      <c r="SLP276" s="609"/>
      <c r="SLQ276" s="609"/>
      <c r="SLR276" s="609"/>
      <c r="SLS276" s="609"/>
      <c r="SLT276" s="609"/>
      <c r="SLU276" s="609"/>
      <c r="SLV276" s="609"/>
      <c r="SLW276" s="609"/>
      <c r="SLX276" s="609"/>
      <c r="SLY276" s="609"/>
      <c r="SLZ276" s="609"/>
      <c r="SMA276" s="609"/>
      <c r="SMB276" s="609"/>
      <c r="SMC276" s="609"/>
      <c r="SMD276" s="609"/>
      <c r="SME276" s="609"/>
      <c r="SMF276" s="609"/>
      <c r="SMG276" s="609"/>
      <c r="SMH276" s="609"/>
      <c r="SMI276" s="609"/>
      <c r="SMJ276" s="609"/>
      <c r="SMK276" s="609"/>
      <c r="SML276" s="609"/>
      <c r="SMM276" s="609"/>
      <c r="SMN276" s="609"/>
      <c r="SMO276" s="609"/>
      <c r="SMP276" s="609"/>
      <c r="SMQ276" s="609"/>
      <c r="SMR276" s="609"/>
      <c r="SMS276" s="609"/>
      <c r="SMT276" s="609"/>
      <c r="SMU276" s="609"/>
      <c r="SMV276" s="609"/>
      <c r="SMW276" s="609"/>
      <c r="SMX276" s="609"/>
      <c r="SMY276" s="609"/>
      <c r="SMZ276" s="609"/>
      <c r="SNA276" s="609"/>
      <c r="SNB276" s="609"/>
      <c r="SNC276" s="609"/>
      <c r="SND276" s="609"/>
      <c r="SNE276" s="609"/>
      <c r="SNF276" s="609"/>
      <c r="SNG276" s="609"/>
      <c r="SNH276" s="609"/>
      <c r="SNI276" s="609"/>
      <c r="SNJ276" s="609"/>
      <c r="SNK276" s="609"/>
      <c r="SNL276" s="609"/>
      <c r="SNM276" s="609"/>
      <c r="SNN276" s="609"/>
      <c r="SNO276" s="609"/>
      <c r="SNP276" s="609"/>
      <c r="SNQ276" s="609"/>
      <c r="SNR276" s="609"/>
      <c r="SNS276" s="609"/>
      <c r="SNT276" s="609"/>
      <c r="SNU276" s="609"/>
      <c r="SNV276" s="609"/>
      <c r="SNW276" s="609"/>
      <c r="SNX276" s="609"/>
      <c r="SNY276" s="609"/>
      <c r="SNZ276" s="609"/>
      <c r="SOA276" s="609"/>
      <c r="SOB276" s="609"/>
      <c r="SOC276" s="609"/>
      <c r="SOD276" s="609"/>
      <c r="SOE276" s="609"/>
      <c r="SOF276" s="609"/>
      <c r="SOG276" s="609"/>
      <c r="SOH276" s="609"/>
      <c r="SOI276" s="609"/>
      <c r="SOJ276" s="609"/>
      <c r="SOK276" s="609"/>
      <c r="SOL276" s="609"/>
      <c r="SOM276" s="609"/>
      <c r="SON276" s="609"/>
      <c r="SOO276" s="609"/>
      <c r="SOP276" s="609"/>
      <c r="SOQ276" s="609"/>
      <c r="SOR276" s="609"/>
      <c r="SOS276" s="609"/>
      <c r="SOT276" s="609"/>
      <c r="SOU276" s="609"/>
      <c r="SOV276" s="609"/>
      <c r="SOW276" s="609"/>
      <c r="SOX276" s="609"/>
      <c r="SOY276" s="609"/>
      <c r="SOZ276" s="609"/>
      <c r="SPA276" s="609"/>
      <c r="SPB276" s="609"/>
      <c r="SPC276" s="609"/>
      <c r="SPD276" s="609"/>
      <c r="SPE276" s="609"/>
      <c r="SPF276" s="609"/>
      <c r="SPG276" s="609"/>
      <c r="SPH276" s="609"/>
      <c r="SPI276" s="609"/>
      <c r="SPJ276" s="609"/>
      <c r="SPK276" s="609"/>
      <c r="SPL276" s="609"/>
      <c r="SPM276" s="609"/>
      <c r="SPN276" s="609"/>
      <c r="SPO276" s="609"/>
      <c r="SPP276" s="609"/>
      <c r="SPQ276" s="609"/>
      <c r="SPR276" s="609"/>
      <c r="SPS276" s="609"/>
      <c r="SPT276" s="609"/>
      <c r="SPU276" s="609"/>
      <c r="SPV276" s="609"/>
      <c r="SPW276" s="609"/>
      <c r="SPX276" s="609"/>
      <c r="SPY276" s="609"/>
      <c r="SPZ276" s="609"/>
      <c r="SQA276" s="609"/>
      <c r="SQB276" s="609"/>
      <c r="SQC276" s="609"/>
      <c r="SQD276" s="609"/>
      <c r="SQE276" s="609"/>
      <c r="SQF276" s="609"/>
      <c r="SQG276" s="609"/>
      <c r="SQH276" s="609"/>
      <c r="SQI276" s="609"/>
      <c r="SQJ276" s="609"/>
      <c r="SQK276" s="609"/>
      <c r="SQL276" s="609"/>
      <c r="SQM276" s="609"/>
      <c r="SQN276" s="609"/>
      <c r="SQO276" s="609"/>
      <c r="SQP276" s="609"/>
      <c r="SQQ276" s="609"/>
      <c r="SQR276" s="609"/>
      <c r="SQS276" s="609"/>
      <c r="SQT276" s="609"/>
      <c r="SQU276" s="609"/>
      <c r="SQV276" s="609"/>
      <c r="SQW276" s="609"/>
      <c r="SQX276" s="609"/>
      <c r="SQY276" s="609"/>
      <c r="SQZ276" s="609"/>
      <c r="SRA276" s="609"/>
      <c r="SRB276" s="609"/>
      <c r="SRC276" s="609"/>
      <c r="SRD276" s="609"/>
      <c r="SRE276" s="609"/>
      <c r="SRF276" s="609"/>
      <c r="SRG276" s="609"/>
      <c r="SRH276" s="609"/>
      <c r="SRI276" s="609"/>
      <c r="SRJ276" s="609"/>
      <c r="SRK276" s="609"/>
      <c r="SRL276" s="609"/>
      <c r="SRM276" s="609"/>
      <c r="SRN276" s="609"/>
      <c r="SRO276" s="609"/>
      <c r="SRP276" s="609"/>
      <c r="SRQ276" s="609"/>
      <c r="SRR276" s="609"/>
      <c r="SRS276" s="609"/>
      <c r="SRT276" s="609"/>
      <c r="SRU276" s="609"/>
      <c r="SRV276" s="609"/>
      <c r="SRW276" s="609"/>
      <c r="SRX276" s="609"/>
      <c r="SRY276" s="609"/>
      <c r="SRZ276" s="609"/>
      <c r="SSA276" s="609"/>
      <c r="SSB276" s="609"/>
      <c r="SSC276" s="609"/>
      <c r="SSD276" s="609"/>
      <c r="SSE276" s="609"/>
      <c r="SSF276" s="609"/>
      <c r="SSG276" s="609"/>
      <c r="SSH276" s="609"/>
      <c r="SSI276" s="609"/>
      <c r="SSJ276" s="609"/>
      <c r="SSK276" s="609"/>
      <c r="SSL276" s="609"/>
      <c r="SSM276" s="609"/>
      <c r="SSN276" s="609"/>
      <c r="SSO276" s="609"/>
      <c r="SSP276" s="609"/>
      <c r="SSQ276" s="609"/>
      <c r="SSR276" s="609"/>
      <c r="SSS276" s="609"/>
      <c r="SST276" s="609"/>
      <c r="SSU276" s="609"/>
      <c r="SSV276" s="609"/>
      <c r="SSW276" s="609"/>
      <c r="SSX276" s="609"/>
      <c r="SSY276" s="609"/>
      <c r="SSZ276" s="609"/>
      <c r="STA276" s="609"/>
      <c r="STB276" s="609"/>
      <c r="STC276" s="609"/>
      <c r="STD276" s="609"/>
      <c r="STE276" s="609"/>
      <c r="STF276" s="609"/>
      <c r="STG276" s="609"/>
      <c r="STH276" s="609"/>
      <c r="STI276" s="609"/>
      <c r="STJ276" s="609"/>
      <c r="STK276" s="609"/>
      <c r="STL276" s="609"/>
      <c r="STM276" s="609"/>
      <c r="STN276" s="609"/>
      <c r="STO276" s="609"/>
      <c r="STP276" s="609"/>
      <c r="STQ276" s="609"/>
      <c r="STR276" s="609"/>
      <c r="STS276" s="609"/>
      <c r="STT276" s="609"/>
      <c r="STU276" s="609"/>
      <c r="STV276" s="609"/>
      <c r="STW276" s="609"/>
      <c r="STX276" s="609"/>
      <c r="STY276" s="609"/>
      <c r="STZ276" s="609"/>
      <c r="SUA276" s="609"/>
      <c r="SUB276" s="609"/>
      <c r="SUC276" s="609"/>
      <c r="SUD276" s="609"/>
      <c r="SUE276" s="609"/>
      <c r="SUF276" s="609"/>
      <c r="SUG276" s="609"/>
      <c r="SUH276" s="609"/>
      <c r="SUI276" s="609"/>
      <c r="SUJ276" s="609"/>
      <c r="SUK276" s="609"/>
      <c r="SUL276" s="609"/>
      <c r="SUM276" s="609"/>
      <c r="SUN276" s="609"/>
      <c r="SUO276" s="609"/>
      <c r="SUP276" s="609"/>
      <c r="SUQ276" s="609"/>
      <c r="SUR276" s="609"/>
      <c r="SUS276" s="609"/>
      <c r="SUT276" s="609"/>
      <c r="SUU276" s="609"/>
      <c r="SUV276" s="609"/>
      <c r="SUW276" s="609"/>
      <c r="SUX276" s="609"/>
      <c r="SUY276" s="609"/>
      <c r="SUZ276" s="609"/>
      <c r="SVA276" s="609"/>
      <c r="SVB276" s="609"/>
      <c r="SVC276" s="609"/>
      <c r="SVD276" s="609"/>
      <c r="SVE276" s="609"/>
      <c r="SVF276" s="609"/>
      <c r="SVG276" s="609"/>
      <c r="SVH276" s="609"/>
      <c r="SVI276" s="609"/>
      <c r="SVJ276" s="609"/>
      <c r="SVK276" s="609"/>
      <c r="SVL276" s="609"/>
      <c r="SVM276" s="609"/>
      <c r="SVN276" s="609"/>
      <c r="SVO276" s="609"/>
      <c r="SVP276" s="609"/>
      <c r="SVQ276" s="609"/>
      <c r="SVR276" s="609"/>
      <c r="SVS276" s="609"/>
      <c r="SVT276" s="609"/>
      <c r="SVU276" s="609"/>
      <c r="SVV276" s="609"/>
      <c r="SVW276" s="609"/>
      <c r="SVX276" s="609"/>
      <c r="SVY276" s="609"/>
      <c r="SVZ276" s="609"/>
      <c r="SWA276" s="609"/>
      <c r="SWB276" s="609"/>
      <c r="SWC276" s="609"/>
      <c r="SWD276" s="609"/>
      <c r="SWE276" s="609"/>
      <c r="SWF276" s="609"/>
      <c r="SWG276" s="609"/>
      <c r="SWH276" s="609"/>
      <c r="SWI276" s="609"/>
      <c r="SWJ276" s="609"/>
      <c r="SWK276" s="609"/>
      <c r="SWL276" s="609"/>
      <c r="SWM276" s="609"/>
      <c r="SWN276" s="609"/>
      <c r="SWO276" s="609"/>
      <c r="SWP276" s="609"/>
      <c r="SWQ276" s="609"/>
      <c r="SWR276" s="609"/>
      <c r="SWS276" s="609"/>
      <c r="SWT276" s="609"/>
      <c r="SWU276" s="609"/>
      <c r="SWV276" s="609"/>
      <c r="SWW276" s="609"/>
      <c r="SWX276" s="609"/>
      <c r="SWY276" s="609"/>
      <c r="SWZ276" s="609"/>
      <c r="SXA276" s="609"/>
      <c r="SXB276" s="609"/>
      <c r="SXC276" s="609"/>
      <c r="SXD276" s="609"/>
      <c r="SXE276" s="609"/>
      <c r="SXF276" s="609"/>
      <c r="SXG276" s="609"/>
      <c r="SXH276" s="609"/>
      <c r="SXI276" s="609"/>
      <c r="SXJ276" s="609"/>
      <c r="SXK276" s="609"/>
      <c r="SXL276" s="609"/>
      <c r="SXM276" s="609"/>
      <c r="SXN276" s="609"/>
      <c r="SXO276" s="609"/>
      <c r="SXP276" s="609"/>
      <c r="SXQ276" s="609"/>
      <c r="SXR276" s="609"/>
      <c r="SXS276" s="609"/>
      <c r="SXT276" s="609"/>
      <c r="SXU276" s="609"/>
      <c r="SXV276" s="609"/>
      <c r="SXW276" s="609"/>
      <c r="SXX276" s="609"/>
      <c r="SXY276" s="609"/>
      <c r="SXZ276" s="609"/>
      <c r="SYA276" s="609"/>
      <c r="SYB276" s="609"/>
      <c r="SYC276" s="609"/>
      <c r="SYD276" s="609"/>
      <c r="SYE276" s="609"/>
      <c r="SYF276" s="609"/>
      <c r="SYG276" s="609"/>
      <c r="SYH276" s="609"/>
      <c r="SYI276" s="609"/>
      <c r="SYJ276" s="609"/>
      <c r="SYK276" s="609"/>
      <c r="SYL276" s="609"/>
      <c r="SYM276" s="609"/>
      <c r="SYN276" s="609"/>
      <c r="SYO276" s="609"/>
      <c r="SYP276" s="609"/>
      <c r="SYQ276" s="609"/>
      <c r="SYR276" s="609"/>
      <c r="SYS276" s="609"/>
      <c r="SYT276" s="609"/>
      <c r="SYU276" s="609"/>
      <c r="SYV276" s="609"/>
      <c r="SYW276" s="609"/>
      <c r="SYX276" s="609"/>
      <c r="SYY276" s="609"/>
      <c r="SYZ276" s="609"/>
      <c r="SZA276" s="609"/>
      <c r="SZB276" s="609"/>
      <c r="SZC276" s="609"/>
      <c r="SZD276" s="609"/>
      <c r="SZE276" s="609"/>
      <c r="SZF276" s="609"/>
      <c r="SZG276" s="609"/>
      <c r="SZH276" s="609"/>
      <c r="SZI276" s="609"/>
      <c r="SZJ276" s="609"/>
      <c r="SZK276" s="609"/>
      <c r="SZL276" s="609"/>
      <c r="SZM276" s="609"/>
      <c r="SZN276" s="609"/>
      <c r="SZO276" s="609"/>
      <c r="SZP276" s="609"/>
      <c r="SZQ276" s="609"/>
      <c r="SZR276" s="609"/>
      <c r="SZS276" s="609"/>
      <c r="SZT276" s="609"/>
      <c r="SZU276" s="609"/>
      <c r="SZV276" s="609"/>
      <c r="SZW276" s="609"/>
      <c r="SZX276" s="609"/>
      <c r="SZY276" s="609"/>
      <c r="SZZ276" s="609"/>
      <c r="TAA276" s="609"/>
      <c r="TAB276" s="609"/>
      <c r="TAC276" s="609"/>
      <c r="TAD276" s="609"/>
      <c r="TAE276" s="609"/>
      <c r="TAF276" s="609"/>
      <c r="TAG276" s="609"/>
      <c r="TAH276" s="609"/>
      <c r="TAI276" s="609"/>
      <c r="TAJ276" s="609"/>
      <c r="TAK276" s="609"/>
      <c r="TAL276" s="609"/>
      <c r="TAM276" s="609"/>
      <c r="TAN276" s="609"/>
      <c r="TAO276" s="609"/>
      <c r="TAP276" s="609"/>
      <c r="TAQ276" s="609"/>
      <c r="TAR276" s="609"/>
      <c r="TAS276" s="609"/>
      <c r="TAT276" s="609"/>
      <c r="TAU276" s="609"/>
      <c r="TAV276" s="609"/>
      <c r="TAW276" s="609"/>
      <c r="TAX276" s="609"/>
      <c r="TAY276" s="609"/>
      <c r="TAZ276" s="609"/>
      <c r="TBA276" s="609"/>
      <c r="TBB276" s="609"/>
      <c r="TBC276" s="609"/>
      <c r="TBD276" s="609"/>
      <c r="TBE276" s="609"/>
      <c r="TBF276" s="609"/>
      <c r="TBG276" s="609"/>
      <c r="TBH276" s="609"/>
      <c r="TBI276" s="609"/>
      <c r="TBJ276" s="609"/>
      <c r="TBK276" s="609"/>
      <c r="TBL276" s="609"/>
      <c r="TBM276" s="609"/>
      <c r="TBN276" s="609"/>
      <c r="TBO276" s="609"/>
      <c r="TBP276" s="609"/>
      <c r="TBQ276" s="609"/>
      <c r="TBR276" s="609"/>
      <c r="TBS276" s="609"/>
      <c r="TBT276" s="609"/>
      <c r="TBU276" s="609"/>
      <c r="TBV276" s="609"/>
      <c r="TBW276" s="609"/>
      <c r="TBX276" s="609"/>
      <c r="TBY276" s="609"/>
      <c r="TBZ276" s="609"/>
      <c r="TCA276" s="609"/>
      <c r="TCB276" s="609"/>
      <c r="TCC276" s="609"/>
      <c r="TCD276" s="609"/>
      <c r="TCE276" s="609"/>
      <c r="TCF276" s="609"/>
      <c r="TCG276" s="609"/>
      <c r="TCH276" s="609"/>
      <c r="TCI276" s="609"/>
      <c r="TCJ276" s="609"/>
      <c r="TCK276" s="609"/>
      <c r="TCL276" s="609"/>
      <c r="TCM276" s="609"/>
      <c r="TCN276" s="609"/>
      <c r="TCO276" s="609"/>
      <c r="TCP276" s="609"/>
      <c r="TCQ276" s="609"/>
      <c r="TCR276" s="609"/>
      <c r="TCS276" s="609"/>
      <c r="TCT276" s="609"/>
      <c r="TCU276" s="609"/>
      <c r="TCV276" s="609"/>
      <c r="TCW276" s="609"/>
      <c r="TCX276" s="609"/>
      <c r="TCY276" s="609"/>
      <c r="TCZ276" s="609"/>
      <c r="TDA276" s="609"/>
      <c r="TDB276" s="609"/>
      <c r="TDC276" s="609"/>
      <c r="TDD276" s="609"/>
      <c r="TDE276" s="609"/>
      <c r="TDF276" s="609"/>
      <c r="TDG276" s="609"/>
      <c r="TDH276" s="609"/>
      <c r="TDI276" s="609"/>
      <c r="TDJ276" s="609"/>
      <c r="TDK276" s="609"/>
      <c r="TDL276" s="609"/>
      <c r="TDM276" s="609"/>
      <c r="TDN276" s="609"/>
      <c r="TDO276" s="609"/>
      <c r="TDP276" s="609"/>
      <c r="TDQ276" s="609"/>
      <c r="TDR276" s="609"/>
      <c r="TDS276" s="609"/>
      <c r="TDT276" s="609"/>
      <c r="TDU276" s="609"/>
      <c r="TDV276" s="609"/>
      <c r="TDW276" s="609"/>
      <c r="TDX276" s="609"/>
      <c r="TDY276" s="609"/>
      <c r="TDZ276" s="609"/>
      <c r="TEA276" s="609"/>
      <c r="TEB276" s="609"/>
      <c r="TEC276" s="609"/>
      <c r="TED276" s="609"/>
      <c r="TEE276" s="609"/>
      <c r="TEF276" s="609"/>
      <c r="TEG276" s="609"/>
      <c r="TEH276" s="609"/>
      <c r="TEI276" s="609"/>
      <c r="TEJ276" s="609"/>
      <c r="TEK276" s="609"/>
      <c r="TEL276" s="609"/>
      <c r="TEM276" s="609"/>
      <c r="TEN276" s="609"/>
      <c r="TEO276" s="609"/>
      <c r="TEP276" s="609"/>
      <c r="TEQ276" s="609"/>
      <c r="TER276" s="609"/>
      <c r="TES276" s="609"/>
      <c r="TET276" s="609"/>
      <c r="TEU276" s="609"/>
      <c r="TEV276" s="609"/>
      <c r="TEW276" s="609"/>
      <c r="TEX276" s="609"/>
      <c r="TEY276" s="609"/>
      <c r="TEZ276" s="609"/>
      <c r="TFA276" s="609"/>
      <c r="TFB276" s="609"/>
      <c r="TFC276" s="609"/>
      <c r="TFD276" s="609"/>
      <c r="TFE276" s="609"/>
      <c r="TFF276" s="609"/>
      <c r="TFG276" s="609"/>
      <c r="TFH276" s="609"/>
      <c r="TFI276" s="609"/>
      <c r="TFJ276" s="609"/>
      <c r="TFK276" s="609"/>
      <c r="TFL276" s="609"/>
      <c r="TFM276" s="609"/>
      <c r="TFN276" s="609"/>
      <c r="TFO276" s="609"/>
      <c r="TFP276" s="609"/>
      <c r="TFQ276" s="609"/>
      <c r="TFR276" s="609"/>
      <c r="TFS276" s="609"/>
      <c r="TFT276" s="609"/>
      <c r="TFU276" s="609"/>
      <c r="TFV276" s="609"/>
      <c r="TFW276" s="609"/>
      <c r="TFX276" s="609"/>
      <c r="TFY276" s="609"/>
      <c r="TFZ276" s="609"/>
      <c r="TGA276" s="609"/>
      <c r="TGB276" s="609"/>
      <c r="TGC276" s="609"/>
      <c r="TGD276" s="609"/>
      <c r="TGE276" s="609"/>
      <c r="TGF276" s="609"/>
      <c r="TGG276" s="609"/>
      <c r="TGH276" s="609"/>
      <c r="TGI276" s="609"/>
      <c r="TGJ276" s="609"/>
      <c r="TGK276" s="609"/>
      <c r="TGL276" s="609"/>
      <c r="TGM276" s="609"/>
      <c r="TGN276" s="609"/>
      <c r="TGO276" s="609"/>
      <c r="TGP276" s="609"/>
      <c r="TGQ276" s="609"/>
      <c r="TGR276" s="609"/>
      <c r="TGS276" s="609"/>
      <c r="TGT276" s="609"/>
      <c r="TGU276" s="609"/>
      <c r="TGV276" s="609"/>
      <c r="TGW276" s="609"/>
      <c r="TGX276" s="609"/>
      <c r="TGY276" s="609"/>
      <c r="TGZ276" s="609"/>
      <c r="THA276" s="609"/>
      <c r="THB276" s="609"/>
      <c r="THC276" s="609"/>
      <c r="THD276" s="609"/>
      <c r="THE276" s="609"/>
      <c r="THF276" s="609"/>
      <c r="THG276" s="609"/>
      <c r="THH276" s="609"/>
      <c r="THI276" s="609"/>
      <c r="THJ276" s="609"/>
      <c r="THK276" s="609"/>
      <c r="THL276" s="609"/>
      <c r="THM276" s="609"/>
      <c r="THN276" s="609"/>
      <c r="THO276" s="609"/>
      <c r="THP276" s="609"/>
      <c r="THQ276" s="609"/>
      <c r="THR276" s="609"/>
      <c r="THS276" s="609"/>
      <c r="THT276" s="609"/>
      <c r="THU276" s="609"/>
      <c r="THV276" s="609"/>
      <c r="THW276" s="609"/>
      <c r="THX276" s="609"/>
      <c r="THY276" s="609"/>
      <c r="THZ276" s="609"/>
      <c r="TIA276" s="609"/>
      <c r="TIB276" s="609"/>
      <c r="TIC276" s="609"/>
      <c r="TID276" s="609"/>
      <c r="TIE276" s="609"/>
      <c r="TIF276" s="609"/>
      <c r="TIG276" s="609"/>
      <c r="TIH276" s="609"/>
      <c r="TII276" s="609"/>
      <c r="TIJ276" s="609"/>
      <c r="TIK276" s="609"/>
      <c r="TIL276" s="609"/>
      <c r="TIM276" s="609"/>
      <c r="TIN276" s="609"/>
      <c r="TIO276" s="609"/>
      <c r="TIP276" s="609"/>
      <c r="TIQ276" s="609"/>
      <c r="TIR276" s="609"/>
      <c r="TIS276" s="609"/>
      <c r="TIT276" s="609"/>
      <c r="TIU276" s="609"/>
      <c r="TIV276" s="609"/>
      <c r="TIW276" s="609"/>
      <c r="TIX276" s="609"/>
      <c r="TIY276" s="609"/>
      <c r="TIZ276" s="609"/>
      <c r="TJA276" s="609"/>
      <c r="TJB276" s="609"/>
      <c r="TJC276" s="609"/>
      <c r="TJD276" s="609"/>
      <c r="TJE276" s="609"/>
      <c r="TJF276" s="609"/>
      <c r="TJG276" s="609"/>
      <c r="TJH276" s="609"/>
      <c r="TJI276" s="609"/>
      <c r="TJJ276" s="609"/>
      <c r="TJK276" s="609"/>
      <c r="TJL276" s="609"/>
      <c r="TJM276" s="609"/>
      <c r="TJN276" s="609"/>
      <c r="TJO276" s="609"/>
      <c r="TJP276" s="609"/>
      <c r="TJQ276" s="609"/>
      <c r="TJR276" s="609"/>
      <c r="TJS276" s="609"/>
      <c r="TJT276" s="609"/>
      <c r="TJU276" s="609"/>
      <c r="TJV276" s="609"/>
      <c r="TJW276" s="609"/>
      <c r="TJX276" s="609"/>
      <c r="TJY276" s="609"/>
      <c r="TJZ276" s="609"/>
      <c r="TKA276" s="609"/>
      <c r="TKB276" s="609"/>
      <c r="TKC276" s="609"/>
      <c r="TKD276" s="609"/>
      <c r="TKE276" s="609"/>
      <c r="TKF276" s="609"/>
      <c r="TKG276" s="609"/>
      <c r="TKH276" s="609"/>
      <c r="TKI276" s="609"/>
      <c r="TKJ276" s="609"/>
      <c r="TKK276" s="609"/>
      <c r="TKL276" s="609"/>
      <c r="TKM276" s="609"/>
      <c r="TKN276" s="609"/>
      <c r="TKO276" s="609"/>
      <c r="TKP276" s="609"/>
      <c r="TKQ276" s="609"/>
      <c r="TKR276" s="609"/>
      <c r="TKS276" s="609"/>
      <c r="TKT276" s="609"/>
      <c r="TKU276" s="609"/>
      <c r="TKV276" s="609"/>
      <c r="TKW276" s="609"/>
      <c r="TKX276" s="609"/>
      <c r="TKY276" s="609"/>
      <c r="TKZ276" s="609"/>
      <c r="TLA276" s="609"/>
      <c r="TLB276" s="609"/>
      <c r="TLC276" s="609"/>
      <c r="TLD276" s="609"/>
      <c r="TLE276" s="609"/>
      <c r="TLF276" s="609"/>
      <c r="TLG276" s="609"/>
      <c r="TLH276" s="609"/>
      <c r="TLI276" s="609"/>
      <c r="TLJ276" s="609"/>
      <c r="TLK276" s="609"/>
      <c r="TLL276" s="609"/>
      <c r="TLM276" s="609"/>
      <c r="TLN276" s="609"/>
      <c r="TLO276" s="609"/>
      <c r="TLP276" s="609"/>
      <c r="TLQ276" s="609"/>
      <c r="TLR276" s="609"/>
      <c r="TLS276" s="609"/>
      <c r="TLT276" s="609"/>
      <c r="TLU276" s="609"/>
      <c r="TLV276" s="609"/>
      <c r="TLW276" s="609"/>
      <c r="TLX276" s="609"/>
      <c r="TLY276" s="609"/>
      <c r="TLZ276" s="609"/>
      <c r="TMA276" s="609"/>
      <c r="TMB276" s="609"/>
      <c r="TMC276" s="609"/>
      <c r="TMD276" s="609"/>
      <c r="TME276" s="609"/>
      <c r="TMF276" s="609"/>
      <c r="TMG276" s="609"/>
      <c r="TMH276" s="609"/>
      <c r="TMI276" s="609"/>
      <c r="TMJ276" s="609"/>
      <c r="TMK276" s="609"/>
      <c r="TML276" s="609"/>
      <c r="TMM276" s="609"/>
      <c r="TMN276" s="609"/>
      <c r="TMO276" s="609"/>
      <c r="TMP276" s="609"/>
      <c r="TMQ276" s="609"/>
      <c r="TMR276" s="609"/>
      <c r="TMS276" s="609"/>
      <c r="TMT276" s="609"/>
      <c r="TMU276" s="609"/>
      <c r="TMV276" s="609"/>
      <c r="TMW276" s="609"/>
      <c r="TMX276" s="609"/>
      <c r="TMY276" s="609"/>
      <c r="TMZ276" s="609"/>
      <c r="TNA276" s="609"/>
      <c r="TNB276" s="609"/>
      <c r="TNC276" s="609"/>
      <c r="TND276" s="609"/>
      <c r="TNE276" s="609"/>
      <c r="TNF276" s="609"/>
      <c r="TNG276" s="609"/>
      <c r="TNH276" s="609"/>
      <c r="TNI276" s="609"/>
      <c r="TNJ276" s="609"/>
      <c r="TNK276" s="609"/>
      <c r="TNL276" s="609"/>
      <c r="TNM276" s="609"/>
      <c r="TNN276" s="609"/>
      <c r="TNO276" s="609"/>
      <c r="TNP276" s="609"/>
      <c r="TNQ276" s="609"/>
      <c r="TNR276" s="609"/>
      <c r="TNS276" s="609"/>
      <c r="TNT276" s="609"/>
      <c r="TNU276" s="609"/>
      <c r="TNV276" s="609"/>
      <c r="TNW276" s="609"/>
      <c r="TNX276" s="609"/>
      <c r="TNY276" s="609"/>
      <c r="TNZ276" s="609"/>
      <c r="TOA276" s="609"/>
      <c r="TOB276" s="609"/>
      <c r="TOC276" s="609"/>
      <c r="TOD276" s="609"/>
      <c r="TOE276" s="609"/>
      <c r="TOF276" s="609"/>
      <c r="TOG276" s="609"/>
      <c r="TOH276" s="609"/>
      <c r="TOI276" s="609"/>
      <c r="TOJ276" s="609"/>
      <c r="TOK276" s="609"/>
      <c r="TOL276" s="609"/>
      <c r="TOM276" s="609"/>
      <c r="TON276" s="609"/>
      <c r="TOO276" s="609"/>
      <c r="TOP276" s="609"/>
      <c r="TOQ276" s="609"/>
      <c r="TOR276" s="609"/>
      <c r="TOS276" s="609"/>
      <c r="TOT276" s="609"/>
      <c r="TOU276" s="609"/>
      <c r="TOV276" s="609"/>
      <c r="TOW276" s="609"/>
      <c r="TOX276" s="609"/>
      <c r="TOY276" s="609"/>
      <c r="TOZ276" s="609"/>
      <c r="TPA276" s="609"/>
      <c r="TPB276" s="609"/>
      <c r="TPC276" s="609"/>
      <c r="TPD276" s="609"/>
      <c r="TPE276" s="609"/>
      <c r="TPF276" s="609"/>
      <c r="TPG276" s="609"/>
      <c r="TPH276" s="609"/>
      <c r="TPI276" s="609"/>
      <c r="TPJ276" s="609"/>
      <c r="TPK276" s="609"/>
      <c r="TPL276" s="609"/>
      <c r="TPM276" s="609"/>
      <c r="TPN276" s="609"/>
      <c r="TPO276" s="609"/>
      <c r="TPP276" s="609"/>
      <c r="TPQ276" s="609"/>
      <c r="TPR276" s="609"/>
      <c r="TPS276" s="609"/>
      <c r="TPT276" s="609"/>
      <c r="TPU276" s="609"/>
      <c r="TPV276" s="609"/>
      <c r="TPW276" s="609"/>
      <c r="TPX276" s="609"/>
      <c r="TPY276" s="609"/>
      <c r="TPZ276" s="609"/>
      <c r="TQA276" s="609"/>
      <c r="TQB276" s="609"/>
      <c r="TQC276" s="609"/>
      <c r="TQD276" s="609"/>
      <c r="TQE276" s="609"/>
      <c r="TQF276" s="609"/>
      <c r="TQG276" s="609"/>
      <c r="TQH276" s="609"/>
      <c r="TQI276" s="609"/>
      <c r="TQJ276" s="609"/>
      <c r="TQK276" s="609"/>
      <c r="TQL276" s="609"/>
      <c r="TQM276" s="609"/>
      <c r="TQN276" s="609"/>
      <c r="TQO276" s="609"/>
      <c r="TQP276" s="609"/>
      <c r="TQQ276" s="609"/>
      <c r="TQR276" s="609"/>
      <c r="TQS276" s="609"/>
      <c r="TQT276" s="609"/>
      <c r="TQU276" s="609"/>
      <c r="TQV276" s="609"/>
      <c r="TQW276" s="609"/>
      <c r="TQX276" s="609"/>
      <c r="TQY276" s="609"/>
      <c r="TQZ276" s="609"/>
      <c r="TRA276" s="609"/>
      <c r="TRB276" s="609"/>
      <c r="TRC276" s="609"/>
      <c r="TRD276" s="609"/>
      <c r="TRE276" s="609"/>
      <c r="TRF276" s="609"/>
      <c r="TRG276" s="609"/>
      <c r="TRH276" s="609"/>
      <c r="TRI276" s="609"/>
      <c r="TRJ276" s="609"/>
      <c r="TRK276" s="609"/>
      <c r="TRL276" s="609"/>
      <c r="TRM276" s="609"/>
      <c r="TRN276" s="609"/>
      <c r="TRO276" s="609"/>
      <c r="TRP276" s="609"/>
      <c r="TRQ276" s="609"/>
      <c r="TRR276" s="609"/>
      <c r="TRS276" s="609"/>
      <c r="TRT276" s="609"/>
      <c r="TRU276" s="609"/>
      <c r="TRV276" s="609"/>
      <c r="TRW276" s="609"/>
      <c r="TRX276" s="609"/>
      <c r="TRY276" s="609"/>
      <c r="TRZ276" s="609"/>
      <c r="TSA276" s="609"/>
      <c r="TSB276" s="609"/>
      <c r="TSC276" s="609"/>
      <c r="TSD276" s="609"/>
      <c r="TSE276" s="609"/>
      <c r="TSF276" s="609"/>
      <c r="TSG276" s="609"/>
      <c r="TSH276" s="609"/>
      <c r="TSI276" s="609"/>
      <c r="TSJ276" s="609"/>
      <c r="TSK276" s="609"/>
      <c r="TSL276" s="609"/>
      <c r="TSM276" s="609"/>
      <c r="TSN276" s="609"/>
      <c r="TSO276" s="609"/>
      <c r="TSP276" s="609"/>
      <c r="TSQ276" s="609"/>
      <c r="TSR276" s="609"/>
      <c r="TSS276" s="609"/>
      <c r="TST276" s="609"/>
      <c r="TSU276" s="609"/>
      <c r="TSV276" s="609"/>
      <c r="TSW276" s="609"/>
      <c r="TSX276" s="609"/>
      <c r="TSY276" s="609"/>
      <c r="TSZ276" s="609"/>
      <c r="TTA276" s="609"/>
      <c r="TTB276" s="609"/>
      <c r="TTC276" s="609"/>
      <c r="TTD276" s="609"/>
      <c r="TTE276" s="609"/>
      <c r="TTF276" s="609"/>
      <c r="TTG276" s="609"/>
      <c r="TTH276" s="609"/>
      <c r="TTI276" s="609"/>
      <c r="TTJ276" s="609"/>
      <c r="TTK276" s="609"/>
      <c r="TTL276" s="609"/>
      <c r="TTM276" s="609"/>
      <c r="TTN276" s="609"/>
      <c r="TTO276" s="609"/>
      <c r="TTP276" s="609"/>
      <c r="TTQ276" s="609"/>
      <c r="TTR276" s="609"/>
      <c r="TTS276" s="609"/>
      <c r="TTT276" s="609"/>
      <c r="TTU276" s="609"/>
      <c r="TTV276" s="609"/>
      <c r="TTW276" s="609"/>
      <c r="TTX276" s="609"/>
      <c r="TTY276" s="609"/>
      <c r="TTZ276" s="609"/>
      <c r="TUA276" s="609"/>
      <c r="TUB276" s="609"/>
      <c r="TUC276" s="609"/>
      <c r="TUD276" s="609"/>
      <c r="TUE276" s="609"/>
      <c r="TUF276" s="609"/>
      <c r="TUG276" s="609"/>
      <c r="TUH276" s="609"/>
      <c r="TUI276" s="609"/>
      <c r="TUJ276" s="609"/>
      <c r="TUK276" s="609"/>
      <c r="TUL276" s="609"/>
      <c r="TUM276" s="609"/>
      <c r="TUN276" s="609"/>
      <c r="TUO276" s="609"/>
      <c r="TUP276" s="609"/>
      <c r="TUQ276" s="609"/>
      <c r="TUR276" s="609"/>
      <c r="TUS276" s="609"/>
      <c r="TUT276" s="609"/>
      <c r="TUU276" s="609"/>
      <c r="TUV276" s="609"/>
      <c r="TUW276" s="609"/>
      <c r="TUX276" s="609"/>
      <c r="TUY276" s="609"/>
      <c r="TUZ276" s="609"/>
      <c r="TVA276" s="609"/>
      <c r="TVB276" s="609"/>
      <c r="TVC276" s="609"/>
      <c r="TVD276" s="609"/>
      <c r="TVE276" s="609"/>
      <c r="TVF276" s="609"/>
      <c r="TVG276" s="609"/>
      <c r="TVH276" s="609"/>
      <c r="TVI276" s="609"/>
      <c r="TVJ276" s="609"/>
      <c r="TVK276" s="609"/>
      <c r="TVL276" s="609"/>
      <c r="TVM276" s="609"/>
      <c r="TVN276" s="609"/>
      <c r="TVO276" s="609"/>
      <c r="TVP276" s="609"/>
      <c r="TVQ276" s="609"/>
      <c r="TVR276" s="609"/>
      <c r="TVS276" s="609"/>
      <c r="TVT276" s="609"/>
      <c r="TVU276" s="609"/>
      <c r="TVV276" s="609"/>
      <c r="TVW276" s="609"/>
      <c r="TVX276" s="609"/>
      <c r="TVY276" s="609"/>
      <c r="TVZ276" s="609"/>
      <c r="TWA276" s="609"/>
      <c r="TWB276" s="609"/>
      <c r="TWC276" s="609"/>
      <c r="TWD276" s="609"/>
      <c r="TWE276" s="609"/>
      <c r="TWF276" s="609"/>
      <c r="TWG276" s="609"/>
      <c r="TWH276" s="609"/>
      <c r="TWI276" s="609"/>
      <c r="TWJ276" s="609"/>
      <c r="TWK276" s="609"/>
      <c r="TWL276" s="609"/>
      <c r="TWM276" s="609"/>
      <c r="TWN276" s="609"/>
      <c r="TWO276" s="609"/>
      <c r="TWP276" s="609"/>
      <c r="TWQ276" s="609"/>
      <c r="TWR276" s="609"/>
      <c r="TWS276" s="609"/>
      <c r="TWT276" s="609"/>
      <c r="TWU276" s="609"/>
      <c r="TWV276" s="609"/>
      <c r="TWW276" s="609"/>
      <c r="TWX276" s="609"/>
      <c r="TWY276" s="609"/>
      <c r="TWZ276" s="609"/>
      <c r="TXA276" s="609"/>
      <c r="TXB276" s="609"/>
      <c r="TXC276" s="609"/>
      <c r="TXD276" s="609"/>
      <c r="TXE276" s="609"/>
      <c r="TXF276" s="609"/>
      <c r="TXG276" s="609"/>
      <c r="TXH276" s="609"/>
      <c r="TXI276" s="609"/>
      <c r="TXJ276" s="609"/>
      <c r="TXK276" s="609"/>
      <c r="TXL276" s="609"/>
      <c r="TXM276" s="609"/>
      <c r="TXN276" s="609"/>
      <c r="TXO276" s="609"/>
      <c r="TXP276" s="609"/>
      <c r="TXQ276" s="609"/>
      <c r="TXR276" s="609"/>
      <c r="TXS276" s="609"/>
      <c r="TXT276" s="609"/>
      <c r="TXU276" s="609"/>
      <c r="TXV276" s="609"/>
      <c r="TXW276" s="609"/>
      <c r="TXX276" s="609"/>
      <c r="TXY276" s="609"/>
      <c r="TXZ276" s="609"/>
      <c r="TYA276" s="609"/>
      <c r="TYB276" s="609"/>
      <c r="TYC276" s="609"/>
      <c r="TYD276" s="609"/>
      <c r="TYE276" s="609"/>
      <c r="TYF276" s="609"/>
      <c r="TYG276" s="609"/>
      <c r="TYH276" s="609"/>
      <c r="TYI276" s="609"/>
      <c r="TYJ276" s="609"/>
      <c r="TYK276" s="609"/>
      <c r="TYL276" s="609"/>
      <c r="TYM276" s="609"/>
      <c r="TYN276" s="609"/>
      <c r="TYO276" s="609"/>
      <c r="TYP276" s="609"/>
      <c r="TYQ276" s="609"/>
      <c r="TYR276" s="609"/>
      <c r="TYS276" s="609"/>
      <c r="TYT276" s="609"/>
      <c r="TYU276" s="609"/>
      <c r="TYV276" s="609"/>
      <c r="TYW276" s="609"/>
      <c r="TYX276" s="609"/>
      <c r="TYY276" s="609"/>
      <c r="TYZ276" s="609"/>
      <c r="TZA276" s="609"/>
      <c r="TZB276" s="609"/>
      <c r="TZC276" s="609"/>
      <c r="TZD276" s="609"/>
      <c r="TZE276" s="609"/>
      <c r="TZF276" s="609"/>
      <c r="TZG276" s="609"/>
      <c r="TZH276" s="609"/>
      <c r="TZI276" s="609"/>
      <c r="TZJ276" s="609"/>
      <c r="TZK276" s="609"/>
      <c r="TZL276" s="609"/>
      <c r="TZM276" s="609"/>
      <c r="TZN276" s="609"/>
      <c r="TZO276" s="609"/>
      <c r="TZP276" s="609"/>
      <c r="TZQ276" s="609"/>
      <c r="TZR276" s="609"/>
      <c r="TZS276" s="609"/>
      <c r="TZT276" s="609"/>
      <c r="TZU276" s="609"/>
      <c r="TZV276" s="609"/>
      <c r="TZW276" s="609"/>
      <c r="TZX276" s="609"/>
      <c r="TZY276" s="609"/>
      <c r="TZZ276" s="609"/>
      <c r="UAA276" s="609"/>
      <c r="UAB276" s="609"/>
      <c r="UAC276" s="609"/>
      <c r="UAD276" s="609"/>
      <c r="UAE276" s="609"/>
      <c r="UAF276" s="609"/>
      <c r="UAG276" s="609"/>
      <c r="UAH276" s="609"/>
      <c r="UAI276" s="609"/>
      <c r="UAJ276" s="609"/>
      <c r="UAK276" s="609"/>
      <c r="UAL276" s="609"/>
      <c r="UAM276" s="609"/>
      <c r="UAN276" s="609"/>
      <c r="UAO276" s="609"/>
      <c r="UAP276" s="609"/>
      <c r="UAQ276" s="609"/>
      <c r="UAR276" s="609"/>
      <c r="UAS276" s="609"/>
      <c r="UAT276" s="609"/>
      <c r="UAU276" s="609"/>
      <c r="UAV276" s="609"/>
      <c r="UAW276" s="609"/>
      <c r="UAX276" s="609"/>
      <c r="UAY276" s="609"/>
      <c r="UAZ276" s="609"/>
      <c r="UBA276" s="609"/>
      <c r="UBB276" s="609"/>
      <c r="UBC276" s="609"/>
      <c r="UBD276" s="609"/>
      <c r="UBE276" s="609"/>
      <c r="UBF276" s="609"/>
      <c r="UBG276" s="609"/>
      <c r="UBH276" s="609"/>
      <c r="UBI276" s="609"/>
      <c r="UBJ276" s="609"/>
      <c r="UBK276" s="609"/>
      <c r="UBL276" s="609"/>
      <c r="UBM276" s="609"/>
      <c r="UBN276" s="609"/>
      <c r="UBO276" s="609"/>
      <c r="UBP276" s="609"/>
      <c r="UBQ276" s="609"/>
      <c r="UBR276" s="609"/>
      <c r="UBS276" s="609"/>
      <c r="UBT276" s="609"/>
      <c r="UBU276" s="609"/>
      <c r="UBV276" s="609"/>
      <c r="UBW276" s="609"/>
      <c r="UBX276" s="609"/>
      <c r="UBY276" s="609"/>
      <c r="UBZ276" s="609"/>
      <c r="UCA276" s="609"/>
      <c r="UCB276" s="609"/>
      <c r="UCC276" s="609"/>
      <c r="UCD276" s="609"/>
      <c r="UCE276" s="609"/>
      <c r="UCF276" s="609"/>
      <c r="UCG276" s="609"/>
      <c r="UCH276" s="609"/>
      <c r="UCI276" s="609"/>
      <c r="UCJ276" s="609"/>
      <c r="UCK276" s="609"/>
      <c r="UCL276" s="609"/>
      <c r="UCM276" s="609"/>
      <c r="UCN276" s="609"/>
      <c r="UCO276" s="609"/>
      <c r="UCP276" s="609"/>
      <c r="UCQ276" s="609"/>
      <c r="UCR276" s="609"/>
      <c r="UCS276" s="609"/>
      <c r="UCT276" s="609"/>
      <c r="UCU276" s="609"/>
      <c r="UCV276" s="609"/>
      <c r="UCW276" s="609"/>
      <c r="UCX276" s="609"/>
      <c r="UCY276" s="609"/>
      <c r="UCZ276" s="609"/>
      <c r="UDA276" s="609"/>
      <c r="UDB276" s="609"/>
      <c r="UDC276" s="609"/>
      <c r="UDD276" s="609"/>
      <c r="UDE276" s="609"/>
      <c r="UDF276" s="609"/>
      <c r="UDG276" s="609"/>
      <c r="UDH276" s="609"/>
      <c r="UDI276" s="609"/>
      <c r="UDJ276" s="609"/>
      <c r="UDK276" s="609"/>
      <c r="UDL276" s="609"/>
      <c r="UDM276" s="609"/>
      <c r="UDN276" s="609"/>
      <c r="UDO276" s="609"/>
      <c r="UDP276" s="609"/>
      <c r="UDQ276" s="609"/>
      <c r="UDR276" s="609"/>
      <c r="UDS276" s="609"/>
      <c r="UDT276" s="609"/>
      <c r="UDU276" s="609"/>
      <c r="UDV276" s="609"/>
      <c r="UDW276" s="609"/>
      <c r="UDX276" s="609"/>
      <c r="UDY276" s="609"/>
      <c r="UDZ276" s="609"/>
      <c r="UEA276" s="609"/>
      <c r="UEB276" s="609"/>
      <c r="UEC276" s="609"/>
      <c r="UED276" s="609"/>
      <c r="UEE276" s="609"/>
      <c r="UEF276" s="609"/>
      <c r="UEG276" s="609"/>
      <c r="UEH276" s="609"/>
      <c r="UEI276" s="609"/>
      <c r="UEJ276" s="609"/>
      <c r="UEK276" s="609"/>
      <c r="UEL276" s="609"/>
      <c r="UEM276" s="609"/>
      <c r="UEN276" s="609"/>
      <c r="UEO276" s="609"/>
      <c r="UEP276" s="609"/>
      <c r="UEQ276" s="609"/>
      <c r="UER276" s="609"/>
      <c r="UES276" s="609"/>
      <c r="UET276" s="609"/>
      <c r="UEU276" s="609"/>
      <c r="UEV276" s="609"/>
      <c r="UEW276" s="609"/>
      <c r="UEX276" s="609"/>
      <c r="UEY276" s="609"/>
      <c r="UEZ276" s="609"/>
      <c r="UFA276" s="609"/>
      <c r="UFB276" s="609"/>
      <c r="UFC276" s="609"/>
      <c r="UFD276" s="609"/>
      <c r="UFE276" s="609"/>
      <c r="UFF276" s="609"/>
      <c r="UFG276" s="609"/>
      <c r="UFH276" s="609"/>
      <c r="UFI276" s="609"/>
      <c r="UFJ276" s="609"/>
      <c r="UFK276" s="609"/>
      <c r="UFL276" s="609"/>
      <c r="UFM276" s="609"/>
      <c r="UFN276" s="609"/>
      <c r="UFO276" s="609"/>
      <c r="UFP276" s="609"/>
      <c r="UFQ276" s="609"/>
      <c r="UFR276" s="609"/>
      <c r="UFS276" s="609"/>
      <c r="UFT276" s="609"/>
      <c r="UFU276" s="609"/>
      <c r="UFV276" s="609"/>
      <c r="UFW276" s="609"/>
      <c r="UFX276" s="609"/>
      <c r="UFY276" s="609"/>
      <c r="UFZ276" s="609"/>
      <c r="UGA276" s="609"/>
      <c r="UGB276" s="609"/>
      <c r="UGC276" s="609"/>
      <c r="UGD276" s="609"/>
      <c r="UGE276" s="609"/>
      <c r="UGF276" s="609"/>
      <c r="UGG276" s="609"/>
      <c r="UGH276" s="609"/>
      <c r="UGI276" s="609"/>
      <c r="UGJ276" s="609"/>
      <c r="UGK276" s="609"/>
      <c r="UGL276" s="609"/>
      <c r="UGM276" s="609"/>
      <c r="UGN276" s="609"/>
      <c r="UGO276" s="609"/>
      <c r="UGP276" s="609"/>
      <c r="UGQ276" s="609"/>
      <c r="UGR276" s="609"/>
      <c r="UGS276" s="609"/>
      <c r="UGT276" s="609"/>
      <c r="UGU276" s="609"/>
      <c r="UGV276" s="609"/>
      <c r="UGW276" s="609"/>
      <c r="UGX276" s="609"/>
      <c r="UGY276" s="609"/>
      <c r="UGZ276" s="609"/>
      <c r="UHA276" s="609"/>
      <c r="UHB276" s="609"/>
      <c r="UHC276" s="609"/>
      <c r="UHD276" s="609"/>
      <c r="UHE276" s="609"/>
      <c r="UHF276" s="609"/>
      <c r="UHG276" s="609"/>
      <c r="UHH276" s="609"/>
      <c r="UHI276" s="609"/>
      <c r="UHJ276" s="609"/>
      <c r="UHK276" s="609"/>
      <c r="UHL276" s="609"/>
      <c r="UHM276" s="609"/>
      <c r="UHN276" s="609"/>
      <c r="UHO276" s="609"/>
      <c r="UHP276" s="609"/>
      <c r="UHQ276" s="609"/>
      <c r="UHR276" s="609"/>
      <c r="UHS276" s="609"/>
      <c r="UHT276" s="609"/>
      <c r="UHU276" s="609"/>
      <c r="UHV276" s="609"/>
      <c r="UHW276" s="609"/>
      <c r="UHX276" s="609"/>
      <c r="UHY276" s="609"/>
      <c r="UHZ276" s="609"/>
      <c r="UIA276" s="609"/>
      <c r="UIB276" s="609"/>
      <c r="UIC276" s="609"/>
      <c r="UID276" s="609"/>
      <c r="UIE276" s="609"/>
      <c r="UIF276" s="609"/>
      <c r="UIG276" s="609"/>
      <c r="UIH276" s="609"/>
      <c r="UII276" s="609"/>
      <c r="UIJ276" s="609"/>
      <c r="UIK276" s="609"/>
      <c r="UIL276" s="609"/>
      <c r="UIM276" s="609"/>
      <c r="UIN276" s="609"/>
      <c r="UIO276" s="609"/>
      <c r="UIP276" s="609"/>
      <c r="UIQ276" s="609"/>
      <c r="UIR276" s="609"/>
      <c r="UIS276" s="609"/>
      <c r="UIT276" s="609"/>
      <c r="UIU276" s="609"/>
      <c r="UIV276" s="609"/>
      <c r="UIW276" s="609"/>
      <c r="UIX276" s="609"/>
      <c r="UIY276" s="609"/>
      <c r="UIZ276" s="609"/>
      <c r="UJA276" s="609"/>
      <c r="UJB276" s="609"/>
      <c r="UJC276" s="609"/>
      <c r="UJD276" s="609"/>
      <c r="UJE276" s="609"/>
      <c r="UJF276" s="609"/>
      <c r="UJG276" s="609"/>
      <c r="UJH276" s="609"/>
      <c r="UJI276" s="609"/>
      <c r="UJJ276" s="609"/>
      <c r="UJK276" s="609"/>
      <c r="UJL276" s="609"/>
      <c r="UJM276" s="609"/>
      <c r="UJN276" s="609"/>
      <c r="UJO276" s="609"/>
      <c r="UJP276" s="609"/>
      <c r="UJQ276" s="609"/>
      <c r="UJR276" s="609"/>
      <c r="UJS276" s="609"/>
      <c r="UJT276" s="609"/>
      <c r="UJU276" s="609"/>
      <c r="UJV276" s="609"/>
      <c r="UJW276" s="609"/>
      <c r="UJX276" s="609"/>
      <c r="UJY276" s="609"/>
      <c r="UJZ276" s="609"/>
      <c r="UKA276" s="609"/>
      <c r="UKB276" s="609"/>
      <c r="UKC276" s="609"/>
      <c r="UKD276" s="609"/>
      <c r="UKE276" s="609"/>
      <c r="UKF276" s="609"/>
      <c r="UKG276" s="609"/>
      <c r="UKH276" s="609"/>
      <c r="UKI276" s="609"/>
      <c r="UKJ276" s="609"/>
      <c r="UKK276" s="609"/>
      <c r="UKL276" s="609"/>
      <c r="UKM276" s="609"/>
      <c r="UKN276" s="609"/>
      <c r="UKO276" s="609"/>
      <c r="UKP276" s="609"/>
      <c r="UKQ276" s="609"/>
      <c r="UKR276" s="609"/>
      <c r="UKS276" s="609"/>
      <c r="UKT276" s="609"/>
      <c r="UKU276" s="609"/>
      <c r="UKV276" s="609"/>
      <c r="UKW276" s="609"/>
      <c r="UKX276" s="609"/>
      <c r="UKY276" s="609"/>
      <c r="UKZ276" s="609"/>
      <c r="ULA276" s="609"/>
      <c r="ULB276" s="609"/>
      <c r="ULC276" s="609"/>
      <c r="ULD276" s="609"/>
      <c r="ULE276" s="609"/>
      <c r="ULF276" s="609"/>
      <c r="ULG276" s="609"/>
      <c r="ULH276" s="609"/>
      <c r="ULI276" s="609"/>
      <c r="ULJ276" s="609"/>
      <c r="ULK276" s="609"/>
      <c r="ULL276" s="609"/>
      <c r="ULM276" s="609"/>
      <c r="ULN276" s="609"/>
      <c r="ULO276" s="609"/>
      <c r="ULP276" s="609"/>
      <c r="ULQ276" s="609"/>
      <c r="ULR276" s="609"/>
      <c r="ULS276" s="609"/>
      <c r="ULT276" s="609"/>
      <c r="ULU276" s="609"/>
      <c r="ULV276" s="609"/>
      <c r="ULW276" s="609"/>
      <c r="ULX276" s="609"/>
      <c r="ULY276" s="609"/>
      <c r="ULZ276" s="609"/>
      <c r="UMA276" s="609"/>
      <c r="UMB276" s="609"/>
      <c r="UMC276" s="609"/>
      <c r="UMD276" s="609"/>
      <c r="UME276" s="609"/>
      <c r="UMF276" s="609"/>
      <c r="UMG276" s="609"/>
      <c r="UMH276" s="609"/>
      <c r="UMI276" s="609"/>
      <c r="UMJ276" s="609"/>
      <c r="UMK276" s="609"/>
      <c r="UML276" s="609"/>
      <c r="UMM276" s="609"/>
      <c r="UMN276" s="609"/>
      <c r="UMO276" s="609"/>
      <c r="UMP276" s="609"/>
      <c r="UMQ276" s="609"/>
      <c r="UMR276" s="609"/>
      <c r="UMS276" s="609"/>
      <c r="UMT276" s="609"/>
      <c r="UMU276" s="609"/>
      <c r="UMV276" s="609"/>
      <c r="UMW276" s="609"/>
      <c r="UMX276" s="609"/>
      <c r="UMY276" s="609"/>
      <c r="UMZ276" s="609"/>
      <c r="UNA276" s="609"/>
      <c r="UNB276" s="609"/>
      <c r="UNC276" s="609"/>
      <c r="UND276" s="609"/>
      <c r="UNE276" s="609"/>
      <c r="UNF276" s="609"/>
      <c r="UNG276" s="609"/>
      <c r="UNH276" s="609"/>
      <c r="UNI276" s="609"/>
      <c r="UNJ276" s="609"/>
      <c r="UNK276" s="609"/>
      <c r="UNL276" s="609"/>
      <c r="UNM276" s="609"/>
      <c r="UNN276" s="609"/>
      <c r="UNO276" s="609"/>
      <c r="UNP276" s="609"/>
      <c r="UNQ276" s="609"/>
      <c r="UNR276" s="609"/>
      <c r="UNS276" s="609"/>
      <c r="UNT276" s="609"/>
      <c r="UNU276" s="609"/>
      <c r="UNV276" s="609"/>
      <c r="UNW276" s="609"/>
      <c r="UNX276" s="609"/>
      <c r="UNY276" s="609"/>
      <c r="UNZ276" s="609"/>
      <c r="UOA276" s="609"/>
      <c r="UOB276" s="609"/>
      <c r="UOC276" s="609"/>
      <c r="UOD276" s="609"/>
      <c r="UOE276" s="609"/>
      <c r="UOF276" s="609"/>
      <c r="UOG276" s="609"/>
      <c r="UOH276" s="609"/>
      <c r="UOI276" s="609"/>
      <c r="UOJ276" s="609"/>
      <c r="UOK276" s="609"/>
      <c r="UOL276" s="609"/>
      <c r="UOM276" s="609"/>
      <c r="UON276" s="609"/>
      <c r="UOO276" s="609"/>
      <c r="UOP276" s="609"/>
      <c r="UOQ276" s="609"/>
      <c r="UOR276" s="609"/>
      <c r="UOS276" s="609"/>
      <c r="UOT276" s="609"/>
      <c r="UOU276" s="609"/>
      <c r="UOV276" s="609"/>
      <c r="UOW276" s="609"/>
      <c r="UOX276" s="609"/>
      <c r="UOY276" s="609"/>
      <c r="UOZ276" s="609"/>
      <c r="UPA276" s="609"/>
      <c r="UPB276" s="609"/>
      <c r="UPC276" s="609"/>
      <c r="UPD276" s="609"/>
      <c r="UPE276" s="609"/>
      <c r="UPF276" s="609"/>
      <c r="UPG276" s="609"/>
      <c r="UPH276" s="609"/>
      <c r="UPI276" s="609"/>
      <c r="UPJ276" s="609"/>
      <c r="UPK276" s="609"/>
      <c r="UPL276" s="609"/>
      <c r="UPM276" s="609"/>
      <c r="UPN276" s="609"/>
      <c r="UPO276" s="609"/>
      <c r="UPP276" s="609"/>
      <c r="UPQ276" s="609"/>
      <c r="UPR276" s="609"/>
      <c r="UPS276" s="609"/>
      <c r="UPT276" s="609"/>
      <c r="UPU276" s="609"/>
      <c r="UPV276" s="609"/>
      <c r="UPW276" s="609"/>
      <c r="UPX276" s="609"/>
      <c r="UPY276" s="609"/>
      <c r="UPZ276" s="609"/>
      <c r="UQA276" s="609"/>
      <c r="UQB276" s="609"/>
      <c r="UQC276" s="609"/>
      <c r="UQD276" s="609"/>
      <c r="UQE276" s="609"/>
      <c r="UQF276" s="609"/>
      <c r="UQG276" s="609"/>
      <c r="UQH276" s="609"/>
      <c r="UQI276" s="609"/>
      <c r="UQJ276" s="609"/>
      <c r="UQK276" s="609"/>
      <c r="UQL276" s="609"/>
      <c r="UQM276" s="609"/>
      <c r="UQN276" s="609"/>
      <c r="UQO276" s="609"/>
      <c r="UQP276" s="609"/>
      <c r="UQQ276" s="609"/>
      <c r="UQR276" s="609"/>
      <c r="UQS276" s="609"/>
      <c r="UQT276" s="609"/>
      <c r="UQU276" s="609"/>
      <c r="UQV276" s="609"/>
      <c r="UQW276" s="609"/>
      <c r="UQX276" s="609"/>
      <c r="UQY276" s="609"/>
      <c r="UQZ276" s="609"/>
      <c r="URA276" s="609"/>
      <c r="URB276" s="609"/>
      <c r="URC276" s="609"/>
      <c r="URD276" s="609"/>
      <c r="URE276" s="609"/>
      <c r="URF276" s="609"/>
      <c r="URG276" s="609"/>
      <c r="URH276" s="609"/>
      <c r="URI276" s="609"/>
      <c r="URJ276" s="609"/>
      <c r="URK276" s="609"/>
      <c r="URL276" s="609"/>
      <c r="URM276" s="609"/>
      <c r="URN276" s="609"/>
      <c r="URO276" s="609"/>
      <c r="URP276" s="609"/>
      <c r="URQ276" s="609"/>
      <c r="URR276" s="609"/>
      <c r="URS276" s="609"/>
      <c r="URT276" s="609"/>
      <c r="URU276" s="609"/>
      <c r="URV276" s="609"/>
      <c r="URW276" s="609"/>
      <c r="URX276" s="609"/>
      <c r="URY276" s="609"/>
      <c r="URZ276" s="609"/>
      <c r="USA276" s="609"/>
      <c r="USB276" s="609"/>
      <c r="USC276" s="609"/>
      <c r="USD276" s="609"/>
      <c r="USE276" s="609"/>
      <c r="USF276" s="609"/>
      <c r="USG276" s="609"/>
      <c r="USH276" s="609"/>
      <c r="USI276" s="609"/>
      <c r="USJ276" s="609"/>
      <c r="USK276" s="609"/>
      <c r="USL276" s="609"/>
      <c r="USM276" s="609"/>
      <c r="USN276" s="609"/>
      <c r="USO276" s="609"/>
      <c r="USP276" s="609"/>
      <c r="USQ276" s="609"/>
      <c r="USR276" s="609"/>
      <c r="USS276" s="609"/>
      <c r="UST276" s="609"/>
      <c r="USU276" s="609"/>
      <c r="USV276" s="609"/>
      <c r="USW276" s="609"/>
      <c r="USX276" s="609"/>
      <c r="USY276" s="609"/>
      <c r="USZ276" s="609"/>
      <c r="UTA276" s="609"/>
      <c r="UTB276" s="609"/>
      <c r="UTC276" s="609"/>
      <c r="UTD276" s="609"/>
      <c r="UTE276" s="609"/>
      <c r="UTF276" s="609"/>
      <c r="UTG276" s="609"/>
      <c r="UTH276" s="609"/>
      <c r="UTI276" s="609"/>
      <c r="UTJ276" s="609"/>
      <c r="UTK276" s="609"/>
      <c r="UTL276" s="609"/>
      <c r="UTM276" s="609"/>
      <c r="UTN276" s="609"/>
      <c r="UTO276" s="609"/>
      <c r="UTP276" s="609"/>
      <c r="UTQ276" s="609"/>
      <c r="UTR276" s="609"/>
      <c r="UTS276" s="609"/>
      <c r="UTT276" s="609"/>
      <c r="UTU276" s="609"/>
      <c r="UTV276" s="609"/>
      <c r="UTW276" s="609"/>
      <c r="UTX276" s="609"/>
      <c r="UTY276" s="609"/>
      <c r="UTZ276" s="609"/>
      <c r="UUA276" s="609"/>
      <c r="UUB276" s="609"/>
      <c r="UUC276" s="609"/>
      <c r="UUD276" s="609"/>
      <c r="UUE276" s="609"/>
      <c r="UUF276" s="609"/>
      <c r="UUG276" s="609"/>
      <c r="UUH276" s="609"/>
      <c r="UUI276" s="609"/>
      <c r="UUJ276" s="609"/>
      <c r="UUK276" s="609"/>
      <c r="UUL276" s="609"/>
      <c r="UUM276" s="609"/>
      <c r="UUN276" s="609"/>
      <c r="UUO276" s="609"/>
      <c r="UUP276" s="609"/>
      <c r="UUQ276" s="609"/>
      <c r="UUR276" s="609"/>
      <c r="UUS276" s="609"/>
      <c r="UUT276" s="609"/>
      <c r="UUU276" s="609"/>
      <c r="UUV276" s="609"/>
      <c r="UUW276" s="609"/>
      <c r="UUX276" s="609"/>
      <c r="UUY276" s="609"/>
      <c r="UUZ276" s="609"/>
      <c r="UVA276" s="609"/>
      <c r="UVB276" s="609"/>
      <c r="UVC276" s="609"/>
      <c r="UVD276" s="609"/>
      <c r="UVE276" s="609"/>
      <c r="UVF276" s="609"/>
      <c r="UVG276" s="609"/>
      <c r="UVH276" s="609"/>
      <c r="UVI276" s="609"/>
      <c r="UVJ276" s="609"/>
      <c r="UVK276" s="609"/>
      <c r="UVL276" s="609"/>
      <c r="UVM276" s="609"/>
      <c r="UVN276" s="609"/>
      <c r="UVO276" s="609"/>
      <c r="UVP276" s="609"/>
      <c r="UVQ276" s="609"/>
      <c r="UVR276" s="609"/>
      <c r="UVS276" s="609"/>
      <c r="UVT276" s="609"/>
      <c r="UVU276" s="609"/>
      <c r="UVV276" s="609"/>
      <c r="UVW276" s="609"/>
      <c r="UVX276" s="609"/>
      <c r="UVY276" s="609"/>
      <c r="UVZ276" s="609"/>
      <c r="UWA276" s="609"/>
      <c r="UWB276" s="609"/>
      <c r="UWC276" s="609"/>
      <c r="UWD276" s="609"/>
      <c r="UWE276" s="609"/>
      <c r="UWF276" s="609"/>
      <c r="UWG276" s="609"/>
      <c r="UWH276" s="609"/>
      <c r="UWI276" s="609"/>
      <c r="UWJ276" s="609"/>
      <c r="UWK276" s="609"/>
      <c r="UWL276" s="609"/>
      <c r="UWM276" s="609"/>
      <c r="UWN276" s="609"/>
      <c r="UWO276" s="609"/>
      <c r="UWP276" s="609"/>
      <c r="UWQ276" s="609"/>
      <c r="UWR276" s="609"/>
      <c r="UWS276" s="609"/>
      <c r="UWT276" s="609"/>
      <c r="UWU276" s="609"/>
      <c r="UWV276" s="609"/>
      <c r="UWW276" s="609"/>
      <c r="UWX276" s="609"/>
      <c r="UWY276" s="609"/>
      <c r="UWZ276" s="609"/>
      <c r="UXA276" s="609"/>
      <c r="UXB276" s="609"/>
      <c r="UXC276" s="609"/>
      <c r="UXD276" s="609"/>
      <c r="UXE276" s="609"/>
      <c r="UXF276" s="609"/>
      <c r="UXG276" s="609"/>
      <c r="UXH276" s="609"/>
      <c r="UXI276" s="609"/>
      <c r="UXJ276" s="609"/>
      <c r="UXK276" s="609"/>
      <c r="UXL276" s="609"/>
      <c r="UXM276" s="609"/>
      <c r="UXN276" s="609"/>
      <c r="UXO276" s="609"/>
      <c r="UXP276" s="609"/>
      <c r="UXQ276" s="609"/>
      <c r="UXR276" s="609"/>
      <c r="UXS276" s="609"/>
      <c r="UXT276" s="609"/>
      <c r="UXU276" s="609"/>
      <c r="UXV276" s="609"/>
      <c r="UXW276" s="609"/>
      <c r="UXX276" s="609"/>
      <c r="UXY276" s="609"/>
      <c r="UXZ276" s="609"/>
      <c r="UYA276" s="609"/>
      <c r="UYB276" s="609"/>
      <c r="UYC276" s="609"/>
      <c r="UYD276" s="609"/>
      <c r="UYE276" s="609"/>
      <c r="UYF276" s="609"/>
      <c r="UYG276" s="609"/>
      <c r="UYH276" s="609"/>
      <c r="UYI276" s="609"/>
      <c r="UYJ276" s="609"/>
      <c r="UYK276" s="609"/>
      <c r="UYL276" s="609"/>
      <c r="UYM276" s="609"/>
      <c r="UYN276" s="609"/>
      <c r="UYO276" s="609"/>
      <c r="UYP276" s="609"/>
      <c r="UYQ276" s="609"/>
      <c r="UYR276" s="609"/>
      <c r="UYS276" s="609"/>
      <c r="UYT276" s="609"/>
      <c r="UYU276" s="609"/>
      <c r="UYV276" s="609"/>
      <c r="UYW276" s="609"/>
      <c r="UYX276" s="609"/>
      <c r="UYY276" s="609"/>
      <c r="UYZ276" s="609"/>
      <c r="UZA276" s="609"/>
      <c r="UZB276" s="609"/>
      <c r="UZC276" s="609"/>
      <c r="UZD276" s="609"/>
      <c r="UZE276" s="609"/>
      <c r="UZF276" s="609"/>
      <c r="UZG276" s="609"/>
      <c r="UZH276" s="609"/>
      <c r="UZI276" s="609"/>
      <c r="UZJ276" s="609"/>
      <c r="UZK276" s="609"/>
      <c r="UZL276" s="609"/>
      <c r="UZM276" s="609"/>
      <c r="UZN276" s="609"/>
      <c r="UZO276" s="609"/>
      <c r="UZP276" s="609"/>
      <c r="UZQ276" s="609"/>
      <c r="UZR276" s="609"/>
      <c r="UZS276" s="609"/>
      <c r="UZT276" s="609"/>
      <c r="UZU276" s="609"/>
      <c r="UZV276" s="609"/>
      <c r="UZW276" s="609"/>
      <c r="UZX276" s="609"/>
      <c r="UZY276" s="609"/>
      <c r="UZZ276" s="609"/>
      <c r="VAA276" s="609"/>
      <c r="VAB276" s="609"/>
      <c r="VAC276" s="609"/>
      <c r="VAD276" s="609"/>
      <c r="VAE276" s="609"/>
      <c r="VAF276" s="609"/>
      <c r="VAG276" s="609"/>
      <c r="VAH276" s="609"/>
      <c r="VAI276" s="609"/>
      <c r="VAJ276" s="609"/>
      <c r="VAK276" s="609"/>
      <c r="VAL276" s="609"/>
      <c r="VAM276" s="609"/>
      <c r="VAN276" s="609"/>
      <c r="VAO276" s="609"/>
      <c r="VAP276" s="609"/>
      <c r="VAQ276" s="609"/>
      <c r="VAR276" s="609"/>
      <c r="VAS276" s="609"/>
      <c r="VAT276" s="609"/>
      <c r="VAU276" s="609"/>
      <c r="VAV276" s="609"/>
      <c r="VAW276" s="609"/>
      <c r="VAX276" s="609"/>
      <c r="VAY276" s="609"/>
      <c r="VAZ276" s="609"/>
      <c r="VBA276" s="609"/>
      <c r="VBB276" s="609"/>
      <c r="VBC276" s="609"/>
      <c r="VBD276" s="609"/>
      <c r="VBE276" s="609"/>
      <c r="VBF276" s="609"/>
      <c r="VBG276" s="609"/>
      <c r="VBH276" s="609"/>
      <c r="VBI276" s="609"/>
      <c r="VBJ276" s="609"/>
      <c r="VBK276" s="609"/>
      <c r="VBL276" s="609"/>
      <c r="VBM276" s="609"/>
      <c r="VBN276" s="609"/>
      <c r="VBO276" s="609"/>
      <c r="VBP276" s="609"/>
      <c r="VBQ276" s="609"/>
      <c r="VBR276" s="609"/>
      <c r="VBS276" s="609"/>
      <c r="VBT276" s="609"/>
      <c r="VBU276" s="609"/>
      <c r="VBV276" s="609"/>
      <c r="VBW276" s="609"/>
      <c r="VBX276" s="609"/>
      <c r="VBY276" s="609"/>
      <c r="VBZ276" s="609"/>
      <c r="VCA276" s="609"/>
      <c r="VCB276" s="609"/>
      <c r="VCC276" s="609"/>
      <c r="VCD276" s="609"/>
      <c r="VCE276" s="609"/>
      <c r="VCF276" s="609"/>
      <c r="VCG276" s="609"/>
      <c r="VCH276" s="609"/>
      <c r="VCI276" s="609"/>
      <c r="VCJ276" s="609"/>
      <c r="VCK276" s="609"/>
      <c r="VCL276" s="609"/>
      <c r="VCM276" s="609"/>
      <c r="VCN276" s="609"/>
      <c r="VCO276" s="609"/>
      <c r="VCP276" s="609"/>
      <c r="VCQ276" s="609"/>
      <c r="VCR276" s="609"/>
      <c r="VCS276" s="609"/>
      <c r="VCT276" s="609"/>
      <c r="VCU276" s="609"/>
      <c r="VCV276" s="609"/>
      <c r="VCW276" s="609"/>
      <c r="VCX276" s="609"/>
      <c r="VCY276" s="609"/>
      <c r="VCZ276" s="609"/>
      <c r="VDA276" s="609"/>
      <c r="VDB276" s="609"/>
      <c r="VDC276" s="609"/>
      <c r="VDD276" s="609"/>
      <c r="VDE276" s="609"/>
      <c r="VDF276" s="609"/>
      <c r="VDG276" s="609"/>
      <c r="VDH276" s="609"/>
      <c r="VDI276" s="609"/>
      <c r="VDJ276" s="609"/>
      <c r="VDK276" s="609"/>
      <c r="VDL276" s="609"/>
      <c r="VDM276" s="609"/>
      <c r="VDN276" s="609"/>
      <c r="VDO276" s="609"/>
      <c r="VDP276" s="609"/>
      <c r="VDQ276" s="609"/>
      <c r="VDR276" s="609"/>
      <c r="VDS276" s="609"/>
      <c r="VDT276" s="609"/>
      <c r="VDU276" s="609"/>
      <c r="VDV276" s="609"/>
      <c r="VDW276" s="609"/>
      <c r="VDX276" s="609"/>
      <c r="VDY276" s="609"/>
      <c r="VDZ276" s="609"/>
      <c r="VEA276" s="609"/>
      <c r="VEB276" s="609"/>
      <c r="VEC276" s="609"/>
      <c r="VED276" s="609"/>
      <c r="VEE276" s="609"/>
      <c r="VEF276" s="609"/>
      <c r="VEG276" s="609"/>
      <c r="VEH276" s="609"/>
      <c r="VEI276" s="609"/>
      <c r="VEJ276" s="609"/>
      <c r="VEK276" s="609"/>
      <c r="VEL276" s="609"/>
      <c r="VEM276" s="609"/>
      <c r="VEN276" s="609"/>
      <c r="VEO276" s="609"/>
      <c r="VEP276" s="609"/>
      <c r="VEQ276" s="609"/>
      <c r="VER276" s="609"/>
      <c r="VES276" s="609"/>
      <c r="VET276" s="609"/>
      <c r="VEU276" s="609"/>
      <c r="VEV276" s="609"/>
      <c r="VEW276" s="609"/>
      <c r="VEX276" s="609"/>
      <c r="VEY276" s="609"/>
      <c r="VEZ276" s="609"/>
      <c r="VFA276" s="609"/>
      <c r="VFB276" s="609"/>
      <c r="VFC276" s="609"/>
      <c r="VFD276" s="609"/>
      <c r="VFE276" s="609"/>
      <c r="VFF276" s="609"/>
      <c r="VFG276" s="609"/>
      <c r="VFH276" s="609"/>
      <c r="VFI276" s="609"/>
      <c r="VFJ276" s="609"/>
      <c r="VFK276" s="609"/>
      <c r="VFL276" s="609"/>
      <c r="VFM276" s="609"/>
      <c r="VFN276" s="609"/>
      <c r="VFO276" s="609"/>
      <c r="VFP276" s="609"/>
      <c r="VFQ276" s="609"/>
      <c r="VFR276" s="609"/>
      <c r="VFS276" s="609"/>
      <c r="VFT276" s="609"/>
      <c r="VFU276" s="609"/>
      <c r="VFV276" s="609"/>
      <c r="VFW276" s="609"/>
      <c r="VFX276" s="609"/>
      <c r="VFY276" s="609"/>
      <c r="VFZ276" s="609"/>
      <c r="VGA276" s="609"/>
      <c r="VGB276" s="609"/>
      <c r="VGC276" s="609"/>
      <c r="VGD276" s="609"/>
      <c r="VGE276" s="609"/>
      <c r="VGF276" s="609"/>
      <c r="VGG276" s="609"/>
      <c r="VGH276" s="609"/>
      <c r="VGI276" s="609"/>
      <c r="VGJ276" s="609"/>
      <c r="VGK276" s="609"/>
      <c r="VGL276" s="609"/>
      <c r="VGM276" s="609"/>
      <c r="VGN276" s="609"/>
      <c r="VGO276" s="609"/>
      <c r="VGP276" s="609"/>
      <c r="VGQ276" s="609"/>
      <c r="VGR276" s="609"/>
      <c r="VGS276" s="609"/>
      <c r="VGT276" s="609"/>
      <c r="VGU276" s="609"/>
      <c r="VGV276" s="609"/>
      <c r="VGW276" s="609"/>
      <c r="VGX276" s="609"/>
      <c r="VGY276" s="609"/>
      <c r="VGZ276" s="609"/>
      <c r="VHA276" s="609"/>
      <c r="VHB276" s="609"/>
      <c r="VHC276" s="609"/>
      <c r="VHD276" s="609"/>
      <c r="VHE276" s="609"/>
      <c r="VHF276" s="609"/>
      <c r="VHG276" s="609"/>
      <c r="VHH276" s="609"/>
      <c r="VHI276" s="609"/>
      <c r="VHJ276" s="609"/>
      <c r="VHK276" s="609"/>
      <c r="VHL276" s="609"/>
      <c r="VHM276" s="609"/>
      <c r="VHN276" s="609"/>
      <c r="VHO276" s="609"/>
      <c r="VHP276" s="609"/>
      <c r="VHQ276" s="609"/>
      <c r="VHR276" s="609"/>
      <c r="VHS276" s="609"/>
      <c r="VHT276" s="609"/>
      <c r="VHU276" s="609"/>
      <c r="VHV276" s="609"/>
      <c r="VHW276" s="609"/>
      <c r="VHX276" s="609"/>
      <c r="VHY276" s="609"/>
      <c r="VHZ276" s="609"/>
      <c r="VIA276" s="609"/>
      <c r="VIB276" s="609"/>
      <c r="VIC276" s="609"/>
      <c r="VID276" s="609"/>
      <c r="VIE276" s="609"/>
      <c r="VIF276" s="609"/>
      <c r="VIG276" s="609"/>
      <c r="VIH276" s="609"/>
      <c r="VII276" s="609"/>
      <c r="VIJ276" s="609"/>
      <c r="VIK276" s="609"/>
      <c r="VIL276" s="609"/>
      <c r="VIM276" s="609"/>
      <c r="VIN276" s="609"/>
      <c r="VIO276" s="609"/>
      <c r="VIP276" s="609"/>
      <c r="VIQ276" s="609"/>
      <c r="VIR276" s="609"/>
      <c r="VIS276" s="609"/>
      <c r="VIT276" s="609"/>
      <c r="VIU276" s="609"/>
      <c r="VIV276" s="609"/>
      <c r="VIW276" s="609"/>
      <c r="VIX276" s="609"/>
      <c r="VIY276" s="609"/>
      <c r="VIZ276" s="609"/>
      <c r="VJA276" s="609"/>
      <c r="VJB276" s="609"/>
      <c r="VJC276" s="609"/>
      <c r="VJD276" s="609"/>
      <c r="VJE276" s="609"/>
      <c r="VJF276" s="609"/>
      <c r="VJG276" s="609"/>
      <c r="VJH276" s="609"/>
      <c r="VJI276" s="609"/>
      <c r="VJJ276" s="609"/>
      <c r="VJK276" s="609"/>
      <c r="VJL276" s="609"/>
      <c r="VJM276" s="609"/>
      <c r="VJN276" s="609"/>
      <c r="VJO276" s="609"/>
      <c r="VJP276" s="609"/>
      <c r="VJQ276" s="609"/>
      <c r="VJR276" s="609"/>
      <c r="VJS276" s="609"/>
      <c r="VJT276" s="609"/>
      <c r="VJU276" s="609"/>
      <c r="VJV276" s="609"/>
      <c r="VJW276" s="609"/>
      <c r="VJX276" s="609"/>
      <c r="VJY276" s="609"/>
      <c r="VJZ276" s="609"/>
      <c r="VKA276" s="609"/>
      <c r="VKB276" s="609"/>
      <c r="VKC276" s="609"/>
      <c r="VKD276" s="609"/>
      <c r="VKE276" s="609"/>
      <c r="VKF276" s="609"/>
      <c r="VKG276" s="609"/>
      <c r="VKH276" s="609"/>
      <c r="VKI276" s="609"/>
      <c r="VKJ276" s="609"/>
      <c r="VKK276" s="609"/>
      <c r="VKL276" s="609"/>
      <c r="VKM276" s="609"/>
      <c r="VKN276" s="609"/>
      <c r="VKO276" s="609"/>
      <c r="VKP276" s="609"/>
      <c r="VKQ276" s="609"/>
      <c r="VKR276" s="609"/>
      <c r="VKS276" s="609"/>
      <c r="VKT276" s="609"/>
      <c r="VKU276" s="609"/>
      <c r="VKV276" s="609"/>
      <c r="VKW276" s="609"/>
      <c r="VKX276" s="609"/>
      <c r="VKY276" s="609"/>
      <c r="VKZ276" s="609"/>
      <c r="VLA276" s="609"/>
      <c r="VLB276" s="609"/>
      <c r="VLC276" s="609"/>
      <c r="VLD276" s="609"/>
      <c r="VLE276" s="609"/>
      <c r="VLF276" s="609"/>
      <c r="VLG276" s="609"/>
      <c r="VLH276" s="609"/>
      <c r="VLI276" s="609"/>
      <c r="VLJ276" s="609"/>
      <c r="VLK276" s="609"/>
      <c r="VLL276" s="609"/>
      <c r="VLM276" s="609"/>
      <c r="VLN276" s="609"/>
      <c r="VLO276" s="609"/>
      <c r="VLP276" s="609"/>
      <c r="VLQ276" s="609"/>
      <c r="VLR276" s="609"/>
      <c r="VLS276" s="609"/>
      <c r="VLT276" s="609"/>
      <c r="VLU276" s="609"/>
      <c r="VLV276" s="609"/>
      <c r="VLW276" s="609"/>
      <c r="VLX276" s="609"/>
      <c r="VLY276" s="609"/>
      <c r="VLZ276" s="609"/>
      <c r="VMA276" s="609"/>
      <c r="VMB276" s="609"/>
      <c r="VMC276" s="609"/>
      <c r="VMD276" s="609"/>
      <c r="VME276" s="609"/>
      <c r="VMF276" s="609"/>
      <c r="VMG276" s="609"/>
      <c r="VMH276" s="609"/>
      <c r="VMI276" s="609"/>
      <c r="VMJ276" s="609"/>
      <c r="VMK276" s="609"/>
      <c r="VML276" s="609"/>
      <c r="VMM276" s="609"/>
      <c r="VMN276" s="609"/>
      <c r="VMO276" s="609"/>
      <c r="VMP276" s="609"/>
      <c r="VMQ276" s="609"/>
      <c r="VMR276" s="609"/>
      <c r="VMS276" s="609"/>
      <c r="VMT276" s="609"/>
      <c r="VMU276" s="609"/>
      <c r="VMV276" s="609"/>
      <c r="VMW276" s="609"/>
      <c r="VMX276" s="609"/>
      <c r="VMY276" s="609"/>
      <c r="VMZ276" s="609"/>
      <c r="VNA276" s="609"/>
      <c r="VNB276" s="609"/>
      <c r="VNC276" s="609"/>
      <c r="VND276" s="609"/>
      <c r="VNE276" s="609"/>
      <c r="VNF276" s="609"/>
      <c r="VNG276" s="609"/>
      <c r="VNH276" s="609"/>
      <c r="VNI276" s="609"/>
      <c r="VNJ276" s="609"/>
      <c r="VNK276" s="609"/>
      <c r="VNL276" s="609"/>
      <c r="VNM276" s="609"/>
      <c r="VNN276" s="609"/>
      <c r="VNO276" s="609"/>
      <c r="VNP276" s="609"/>
      <c r="VNQ276" s="609"/>
      <c r="VNR276" s="609"/>
      <c r="VNS276" s="609"/>
      <c r="VNT276" s="609"/>
      <c r="VNU276" s="609"/>
      <c r="VNV276" s="609"/>
      <c r="VNW276" s="609"/>
      <c r="VNX276" s="609"/>
      <c r="VNY276" s="609"/>
      <c r="VNZ276" s="609"/>
      <c r="VOA276" s="609"/>
      <c r="VOB276" s="609"/>
      <c r="VOC276" s="609"/>
      <c r="VOD276" s="609"/>
      <c r="VOE276" s="609"/>
      <c r="VOF276" s="609"/>
      <c r="VOG276" s="609"/>
      <c r="VOH276" s="609"/>
      <c r="VOI276" s="609"/>
      <c r="VOJ276" s="609"/>
      <c r="VOK276" s="609"/>
      <c r="VOL276" s="609"/>
      <c r="VOM276" s="609"/>
      <c r="VON276" s="609"/>
      <c r="VOO276" s="609"/>
      <c r="VOP276" s="609"/>
      <c r="VOQ276" s="609"/>
      <c r="VOR276" s="609"/>
      <c r="VOS276" s="609"/>
      <c r="VOT276" s="609"/>
      <c r="VOU276" s="609"/>
      <c r="VOV276" s="609"/>
      <c r="VOW276" s="609"/>
      <c r="VOX276" s="609"/>
      <c r="VOY276" s="609"/>
      <c r="VOZ276" s="609"/>
      <c r="VPA276" s="609"/>
      <c r="VPB276" s="609"/>
      <c r="VPC276" s="609"/>
      <c r="VPD276" s="609"/>
      <c r="VPE276" s="609"/>
      <c r="VPF276" s="609"/>
      <c r="VPG276" s="609"/>
      <c r="VPH276" s="609"/>
      <c r="VPI276" s="609"/>
      <c r="VPJ276" s="609"/>
      <c r="VPK276" s="609"/>
      <c r="VPL276" s="609"/>
      <c r="VPM276" s="609"/>
      <c r="VPN276" s="609"/>
      <c r="VPO276" s="609"/>
      <c r="VPP276" s="609"/>
      <c r="VPQ276" s="609"/>
      <c r="VPR276" s="609"/>
      <c r="VPS276" s="609"/>
      <c r="VPT276" s="609"/>
      <c r="VPU276" s="609"/>
      <c r="VPV276" s="609"/>
      <c r="VPW276" s="609"/>
      <c r="VPX276" s="609"/>
      <c r="VPY276" s="609"/>
      <c r="VPZ276" s="609"/>
      <c r="VQA276" s="609"/>
      <c r="VQB276" s="609"/>
      <c r="VQC276" s="609"/>
      <c r="VQD276" s="609"/>
      <c r="VQE276" s="609"/>
      <c r="VQF276" s="609"/>
      <c r="VQG276" s="609"/>
      <c r="VQH276" s="609"/>
      <c r="VQI276" s="609"/>
      <c r="VQJ276" s="609"/>
      <c r="VQK276" s="609"/>
      <c r="VQL276" s="609"/>
      <c r="VQM276" s="609"/>
      <c r="VQN276" s="609"/>
      <c r="VQO276" s="609"/>
      <c r="VQP276" s="609"/>
      <c r="VQQ276" s="609"/>
      <c r="VQR276" s="609"/>
      <c r="VQS276" s="609"/>
      <c r="VQT276" s="609"/>
      <c r="VQU276" s="609"/>
      <c r="VQV276" s="609"/>
      <c r="VQW276" s="609"/>
      <c r="VQX276" s="609"/>
      <c r="VQY276" s="609"/>
      <c r="VQZ276" s="609"/>
      <c r="VRA276" s="609"/>
      <c r="VRB276" s="609"/>
      <c r="VRC276" s="609"/>
      <c r="VRD276" s="609"/>
      <c r="VRE276" s="609"/>
      <c r="VRF276" s="609"/>
      <c r="VRG276" s="609"/>
      <c r="VRH276" s="609"/>
      <c r="VRI276" s="609"/>
      <c r="VRJ276" s="609"/>
      <c r="VRK276" s="609"/>
      <c r="VRL276" s="609"/>
      <c r="VRM276" s="609"/>
      <c r="VRN276" s="609"/>
      <c r="VRO276" s="609"/>
      <c r="VRP276" s="609"/>
      <c r="VRQ276" s="609"/>
      <c r="VRR276" s="609"/>
      <c r="VRS276" s="609"/>
      <c r="VRT276" s="609"/>
      <c r="VRU276" s="609"/>
      <c r="VRV276" s="609"/>
      <c r="VRW276" s="609"/>
      <c r="VRX276" s="609"/>
      <c r="VRY276" s="609"/>
      <c r="VRZ276" s="609"/>
      <c r="VSA276" s="609"/>
      <c r="VSB276" s="609"/>
      <c r="VSC276" s="609"/>
      <c r="VSD276" s="609"/>
      <c r="VSE276" s="609"/>
      <c r="VSF276" s="609"/>
      <c r="VSG276" s="609"/>
      <c r="VSH276" s="609"/>
      <c r="VSI276" s="609"/>
      <c r="VSJ276" s="609"/>
      <c r="VSK276" s="609"/>
      <c r="VSL276" s="609"/>
      <c r="VSM276" s="609"/>
      <c r="VSN276" s="609"/>
      <c r="VSO276" s="609"/>
      <c r="VSP276" s="609"/>
      <c r="VSQ276" s="609"/>
      <c r="VSR276" s="609"/>
      <c r="VSS276" s="609"/>
      <c r="VST276" s="609"/>
      <c r="VSU276" s="609"/>
      <c r="VSV276" s="609"/>
      <c r="VSW276" s="609"/>
      <c r="VSX276" s="609"/>
      <c r="VSY276" s="609"/>
      <c r="VSZ276" s="609"/>
      <c r="VTA276" s="609"/>
      <c r="VTB276" s="609"/>
      <c r="VTC276" s="609"/>
      <c r="VTD276" s="609"/>
      <c r="VTE276" s="609"/>
      <c r="VTF276" s="609"/>
      <c r="VTG276" s="609"/>
      <c r="VTH276" s="609"/>
      <c r="VTI276" s="609"/>
      <c r="VTJ276" s="609"/>
      <c r="VTK276" s="609"/>
      <c r="VTL276" s="609"/>
      <c r="VTM276" s="609"/>
      <c r="VTN276" s="609"/>
      <c r="VTO276" s="609"/>
      <c r="VTP276" s="609"/>
      <c r="VTQ276" s="609"/>
      <c r="VTR276" s="609"/>
      <c r="VTS276" s="609"/>
      <c r="VTT276" s="609"/>
      <c r="VTU276" s="609"/>
      <c r="VTV276" s="609"/>
      <c r="VTW276" s="609"/>
      <c r="VTX276" s="609"/>
      <c r="VTY276" s="609"/>
      <c r="VTZ276" s="609"/>
      <c r="VUA276" s="609"/>
      <c r="VUB276" s="609"/>
      <c r="VUC276" s="609"/>
      <c r="VUD276" s="609"/>
      <c r="VUE276" s="609"/>
      <c r="VUF276" s="609"/>
      <c r="VUG276" s="609"/>
      <c r="VUH276" s="609"/>
      <c r="VUI276" s="609"/>
      <c r="VUJ276" s="609"/>
      <c r="VUK276" s="609"/>
      <c r="VUL276" s="609"/>
      <c r="VUM276" s="609"/>
      <c r="VUN276" s="609"/>
      <c r="VUO276" s="609"/>
      <c r="VUP276" s="609"/>
      <c r="VUQ276" s="609"/>
      <c r="VUR276" s="609"/>
      <c r="VUS276" s="609"/>
      <c r="VUT276" s="609"/>
      <c r="VUU276" s="609"/>
      <c r="VUV276" s="609"/>
      <c r="VUW276" s="609"/>
      <c r="VUX276" s="609"/>
      <c r="VUY276" s="609"/>
      <c r="VUZ276" s="609"/>
      <c r="VVA276" s="609"/>
      <c r="VVB276" s="609"/>
      <c r="VVC276" s="609"/>
      <c r="VVD276" s="609"/>
      <c r="VVE276" s="609"/>
      <c r="VVF276" s="609"/>
      <c r="VVG276" s="609"/>
      <c r="VVH276" s="609"/>
      <c r="VVI276" s="609"/>
      <c r="VVJ276" s="609"/>
      <c r="VVK276" s="609"/>
      <c r="VVL276" s="609"/>
      <c r="VVM276" s="609"/>
      <c r="VVN276" s="609"/>
      <c r="VVO276" s="609"/>
      <c r="VVP276" s="609"/>
      <c r="VVQ276" s="609"/>
      <c r="VVR276" s="609"/>
      <c r="VVS276" s="609"/>
      <c r="VVT276" s="609"/>
      <c r="VVU276" s="609"/>
      <c r="VVV276" s="609"/>
      <c r="VVW276" s="609"/>
      <c r="VVX276" s="609"/>
      <c r="VVY276" s="609"/>
      <c r="VVZ276" s="609"/>
      <c r="VWA276" s="609"/>
      <c r="VWB276" s="609"/>
      <c r="VWC276" s="609"/>
      <c r="VWD276" s="609"/>
      <c r="VWE276" s="609"/>
      <c r="VWF276" s="609"/>
      <c r="VWG276" s="609"/>
      <c r="VWH276" s="609"/>
      <c r="VWI276" s="609"/>
      <c r="VWJ276" s="609"/>
      <c r="VWK276" s="609"/>
      <c r="VWL276" s="609"/>
      <c r="VWM276" s="609"/>
      <c r="VWN276" s="609"/>
      <c r="VWO276" s="609"/>
      <c r="VWP276" s="609"/>
      <c r="VWQ276" s="609"/>
      <c r="VWR276" s="609"/>
      <c r="VWS276" s="609"/>
      <c r="VWT276" s="609"/>
      <c r="VWU276" s="609"/>
      <c r="VWV276" s="609"/>
      <c r="VWW276" s="609"/>
      <c r="VWX276" s="609"/>
      <c r="VWY276" s="609"/>
      <c r="VWZ276" s="609"/>
      <c r="VXA276" s="609"/>
      <c r="VXB276" s="609"/>
      <c r="VXC276" s="609"/>
      <c r="VXD276" s="609"/>
      <c r="VXE276" s="609"/>
      <c r="VXF276" s="609"/>
      <c r="VXG276" s="609"/>
      <c r="VXH276" s="609"/>
      <c r="VXI276" s="609"/>
      <c r="VXJ276" s="609"/>
      <c r="VXK276" s="609"/>
      <c r="VXL276" s="609"/>
      <c r="VXM276" s="609"/>
      <c r="VXN276" s="609"/>
      <c r="VXO276" s="609"/>
      <c r="VXP276" s="609"/>
      <c r="VXQ276" s="609"/>
      <c r="VXR276" s="609"/>
      <c r="VXS276" s="609"/>
      <c r="VXT276" s="609"/>
      <c r="VXU276" s="609"/>
      <c r="VXV276" s="609"/>
      <c r="VXW276" s="609"/>
      <c r="VXX276" s="609"/>
      <c r="VXY276" s="609"/>
      <c r="VXZ276" s="609"/>
      <c r="VYA276" s="609"/>
      <c r="VYB276" s="609"/>
      <c r="VYC276" s="609"/>
      <c r="VYD276" s="609"/>
      <c r="VYE276" s="609"/>
      <c r="VYF276" s="609"/>
      <c r="VYG276" s="609"/>
      <c r="VYH276" s="609"/>
      <c r="VYI276" s="609"/>
      <c r="VYJ276" s="609"/>
      <c r="VYK276" s="609"/>
      <c r="VYL276" s="609"/>
      <c r="VYM276" s="609"/>
      <c r="VYN276" s="609"/>
      <c r="VYO276" s="609"/>
      <c r="VYP276" s="609"/>
      <c r="VYQ276" s="609"/>
      <c r="VYR276" s="609"/>
      <c r="VYS276" s="609"/>
      <c r="VYT276" s="609"/>
      <c r="VYU276" s="609"/>
      <c r="VYV276" s="609"/>
      <c r="VYW276" s="609"/>
      <c r="VYX276" s="609"/>
      <c r="VYY276" s="609"/>
      <c r="VYZ276" s="609"/>
      <c r="VZA276" s="609"/>
      <c r="VZB276" s="609"/>
      <c r="VZC276" s="609"/>
      <c r="VZD276" s="609"/>
      <c r="VZE276" s="609"/>
      <c r="VZF276" s="609"/>
      <c r="VZG276" s="609"/>
      <c r="VZH276" s="609"/>
      <c r="VZI276" s="609"/>
      <c r="VZJ276" s="609"/>
      <c r="VZK276" s="609"/>
      <c r="VZL276" s="609"/>
      <c r="VZM276" s="609"/>
      <c r="VZN276" s="609"/>
      <c r="VZO276" s="609"/>
      <c r="VZP276" s="609"/>
      <c r="VZQ276" s="609"/>
      <c r="VZR276" s="609"/>
      <c r="VZS276" s="609"/>
      <c r="VZT276" s="609"/>
      <c r="VZU276" s="609"/>
      <c r="VZV276" s="609"/>
      <c r="VZW276" s="609"/>
      <c r="VZX276" s="609"/>
      <c r="VZY276" s="609"/>
      <c r="VZZ276" s="609"/>
      <c r="WAA276" s="609"/>
      <c r="WAB276" s="609"/>
      <c r="WAC276" s="609"/>
      <c r="WAD276" s="609"/>
      <c r="WAE276" s="609"/>
      <c r="WAF276" s="609"/>
      <c r="WAG276" s="609"/>
      <c r="WAH276" s="609"/>
      <c r="WAI276" s="609"/>
      <c r="WAJ276" s="609"/>
      <c r="WAK276" s="609"/>
      <c r="WAL276" s="609"/>
      <c r="WAM276" s="609"/>
      <c r="WAN276" s="609"/>
      <c r="WAO276" s="609"/>
      <c r="WAP276" s="609"/>
      <c r="WAQ276" s="609"/>
      <c r="WAR276" s="609"/>
      <c r="WAS276" s="609"/>
      <c r="WAT276" s="609"/>
      <c r="WAU276" s="609"/>
      <c r="WAV276" s="609"/>
      <c r="WAW276" s="609"/>
      <c r="WAX276" s="609"/>
      <c r="WAY276" s="609"/>
      <c r="WAZ276" s="609"/>
      <c r="WBA276" s="609"/>
      <c r="WBB276" s="609"/>
      <c r="WBC276" s="609"/>
      <c r="WBD276" s="609"/>
      <c r="WBE276" s="609"/>
      <c r="WBF276" s="609"/>
      <c r="WBG276" s="609"/>
      <c r="WBH276" s="609"/>
      <c r="WBI276" s="609"/>
      <c r="WBJ276" s="609"/>
      <c r="WBK276" s="609"/>
      <c r="WBL276" s="609"/>
      <c r="WBM276" s="609"/>
      <c r="WBN276" s="609"/>
      <c r="WBO276" s="609"/>
      <c r="WBP276" s="609"/>
      <c r="WBQ276" s="609"/>
      <c r="WBR276" s="609"/>
      <c r="WBS276" s="609"/>
      <c r="WBT276" s="609"/>
      <c r="WBU276" s="609"/>
      <c r="WBV276" s="609"/>
      <c r="WBW276" s="609"/>
      <c r="WBX276" s="609"/>
      <c r="WBY276" s="609"/>
      <c r="WBZ276" s="609"/>
      <c r="WCA276" s="609"/>
      <c r="WCB276" s="609"/>
      <c r="WCC276" s="609"/>
      <c r="WCD276" s="609"/>
      <c r="WCE276" s="609"/>
      <c r="WCF276" s="609"/>
      <c r="WCG276" s="609"/>
      <c r="WCH276" s="609"/>
      <c r="WCI276" s="609"/>
      <c r="WCJ276" s="609"/>
      <c r="WCK276" s="609"/>
      <c r="WCL276" s="609"/>
      <c r="WCM276" s="609"/>
      <c r="WCN276" s="609"/>
      <c r="WCO276" s="609"/>
      <c r="WCP276" s="609"/>
      <c r="WCQ276" s="609"/>
      <c r="WCR276" s="609"/>
      <c r="WCS276" s="609"/>
      <c r="WCT276" s="609"/>
      <c r="WCU276" s="609"/>
      <c r="WCV276" s="609"/>
      <c r="WCW276" s="609"/>
      <c r="WCX276" s="609"/>
      <c r="WCY276" s="609"/>
      <c r="WCZ276" s="609"/>
      <c r="WDA276" s="609"/>
      <c r="WDB276" s="609"/>
      <c r="WDC276" s="609"/>
      <c r="WDD276" s="609"/>
      <c r="WDE276" s="609"/>
      <c r="WDF276" s="609"/>
      <c r="WDG276" s="609"/>
      <c r="WDH276" s="609"/>
      <c r="WDI276" s="609"/>
      <c r="WDJ276" s="609"/>
      <c r="WDK276" s="609"/>
      <c r="WDL276" s="609"/>
      <c r="WDM276" s="609"/>
      <c r="WDN276" s="609"/>
      <c r="WDO276" s="609"/>
      <c r="WDP276" s="609"/>
      <c r="WDQ276" s="609"/>
      <c r="WDR276" s="609"/>
      <c r="WDS276" s="609"/>
      <c r="WDT276" s="609"/>
      <c r="WDU276" s="609"/>
      <c r="WDV276" s="609"/>
      <c r="WDW276" s="609"/>
      <c r="WDX276" s="609"/>
      <c r="WDY276" s="609"/>
      <c r="WDZ276" s="609"/>
      <c r="WEA276" s="609"/>
      <c r="WEB276" s="609"/>
      <c r="WEC276" s="609"/>
      <c r="WED276" s="609"/>
      <c r="WEE276" s="609"/>
      <c r="WEF276" s="609"/>
      <c r="WEG276" s="609"/>
      <c r="WEH276" s="609"/>
      <c r="WEI276" s="609"/>
      <c r="WEJ276" s="609"/>
      <c r="WEK276" s="609"/>
      <c r="WEL276" s="609"/>
      <c r="WEM276" s="609"/>
      <c r="WEN276" s="609"/>
      <c r="WEO276" s="609"/>
      <c r="WEP276" s="609"/>
      <c r="WEQ276" s="609"/>
      <c r="WER276" s="609"/>
      <c r="WES276" s="609"/>
      <c r="WET276" s="609"/>
      <c r="WEU276" s="609"/>
      <c r="WEV276" s="609"/>
      <c r="WEW276" s="609"/>
      <c r="WEX276" s="609"/>
      <c r="WEY276" s="609"/>
      <c r="WEZ276" s="609"/>
      <c r="WFA276" s="609"/>
      <c r="WFB276" s="609"/>
      <c r="WFC276" s="609"/>
      <c r="WFD276" s="609"/>
      <c r="WFE276" s="609"/>
      <c r="WFF276" s="609"/>
      <c r="WFG276" s="609"/>
      <c r="WFH276" s="609"/>
      <c r="WFI276" s="609"/>
      <c r="WFJ276" s="609"/>
      <c r="WFK276" s="609"/>
      <c r="WFL276" s="609"/>
      <c r="WFM276" s="609"/>
      <c r="WFN276" s="609"/>
      <c r="WFO276" s="609"/>
      <c r="WFP276" s="609"/>
      <c r="WFQ276" s="609"/>
      <c r="WFR276" s="609"/>
      <c r="WFS276" s="609"/>
      <c r="WFT276" s="609"/>
      <c r="WFU276" s="609"/>
      <c r="WFV276" s="609"/>
      <c r="WFW276" s="609"/>
      <c r="WFX276" s="609"/>
      <c r="WFY276" s="609"/>
      <c r="WFZ276" s="609"/>
      <c r="WGA276" s="609"/>
      <c r="WGB276" s="609"/>
      <c r="WGC276" s="609"/>
      <c r="WGD276" s="609"/>
      <c r="WGE276" s="609"/>
      <c r="WGF276" s="609"/>
      <c r="WGG276" s="609"/>
      <c r="WGH276" s="609"/>
      <c r="WGI276" s="609"/>
      <c r="WGJ276" s="609"/>
      <c r="WGK276" s="609"/>
      <c r="WGL276" s="609"/>
      <c r="WGM276" s="609"/>
      <c r="WGN276" s="609"/>
      <c r="WGO276" s="609"/>
      <c r="WGP276" s="609"/>
      <c r="WGQ276" s="609"/>
      <c r="WGR276" s="609"/>
      <c r="WGS276" s="609"/>
      <c r="WGT276" s="609"/>
      <c r="WGU276" s="609"/>
      <c r="WGV276" s="609"/>
      <c r="WGW276" s="609"/>
      <c r="WGX276" s="609"/>
      <c r="WGY276" s="609"/>
      <c r="WGZ276" s="609"/>
      <c r="WHA276" s="609"/>
      <c r="WHB276" s="609"/>
      <c r="WHC276" s="609"/>
      <c r="WHD276" s="609"/>
      <c r="WHE276" s="609"/>
      <c r="WHF276" s="609"/>
      <c r="WHG276" s="609"/>
      <c r="WHH276" s="609"/>
      <c r="WHI276" s="609"/>
      <c r="WHJ276" s="609"/>
      <c r="WHK276" s="609"/>
      <c r="WHL276" s="609"/>
      <c r="WHM276" s="609"/>
      <c r="WHN276" s="609"/>
      <c r="WHO276" s="609"/>
      <c r="WHP276" s="609"/>
      <c r="WHQ276" s="609"/>
      <c r="WHR276" s="609"/>
      <c r="WHS276" s="609"/>
      <c r="WHT276" s="609"/>
      <c r="WHU276" s="609"/>
      <c r="WHV276" s="609"/>
      <c r="WHW276" s="609"/>
      <c r="WHX276" s="609"/>
      <c r="WHY276" s="609"/>
      <c r="WHZ276" s="609"/>
      <c r="WIA276" s="609"/>
      <c r="WIB276" s="609"/>
      <c r="WIC276" s="609"/>
      <c r="WID276" s="609"/>
      <c r="WIE276" s="609"/>
      <c r="WIF276" s="609"/>
      <c r="WIG276" s="609"/>
      <c r="WIH276" s="609"/>
      <c r="WII276" s="609"/>
      <c r="WIJ276" s="609"/>
      <c r="WIK276" s="609"/>
      <c r="WIL276" s="609"/>
      <c r="WIM276" s="609"/>
      <c r="WIN276" s="609"/>
      <c r="WIO276" s="609"/>
      <c r="WIP276" s="609"/>
      <c r="WIQ276" s="609"/>
      <c r="WIR276" s="609"/>
      <c r="WIS276" s="609"/>
      <c r="WIT276" s="609"/>
      <c r="WIU276" s="609"/>
      <c r="WIV276" s="609"/>
      <c r="WIW276" s="609"/>
      <c r="WIX276" s="609"/>
      <c r="WIY276" s="609"/>
      <c r="WIZ276" s="609"/>
      <c r="WJA276" s="609"/>
      <c r="WJB276" s="609"/>
      <c r="WJC276" s="609"/>
      <c r="WJD276" s="609"/>
      <c r="WJE276" s="609"/>
      <c r="WJF276" s="609"/>
      <c r="WJG276" s="609"/>
      <c r="WJH276" s="609"/>
      <c r="WJI276" s="609"/>
      <c r="WJJ276" s="609"/>
      <c r="WJK276" s="609"/>
      <c r="WJL276" s="609"/>
      <c r="WJM276" s="609"/>
      <c r="WJN276" s="609"/>
      <c r="WJO276" s="609"/>
      <c r="WJP276" s="609"/>
      <c r="WJQ276" s="609"/>
      <c r="WJR276" s="609"/>
      <c r="WJS276" s="609"/>
      <c r="WJT276" s="609"/>
      <c r="WJU276" s="609"/>
      <c r="WJV276" s="609"/>
      <c r="WJW276" s="609"/>
      <c r="WJX276" s="609"/>
      <c r="WJY276" s="609"/>
      <c r="WJZ276" s="609"/>
      <c r="WKA276" s="609"/>
      <c r="WKB276" s="609"/>
      <c r="WKC276" s="609"/>
      <c r="WKD276" s="609"/>
      <c r="WKE276" s="609"/>
      <c r="WKF276" s="609"/>
      <c r="WKG276" s="609"/>
      <c r="WKH276" s="609"/>
      <c r="WKI276" s="609"/>
      <c r="WKJ276" s="609"/>
      <c r="WKK276" s="609"/>
      <c r="WKL276" s="609"/>
      <c r="WKM276" s="609"/>
      <c r="WKN276" s="609"/>
      <c r="WKO276" s="609"/>
      <c r="WKP276" s="609"/>
      <c r="WKQ276" s="609"/>
      <c r="WKR276" s="609"/>
      <c r="WKS276" s="609"/>
      <c r="WKT276" s="609"/>
      <c r="WKU276" s="609"/>
      <c r="WKV276" s="609"/>
      <c r="WKW276" s="609"/>
      <c r="WKX276" s="609"/>
      <c r="WKY276" s="609"/>
      <c r="WKZ276" s="609"/>
      <c r="WLA276" s="609"/>
      <c r="WLB276" s="609"/>
      <c r="WLC276" s="609"/>
      <c r="WLD276" s="609"/>
      <c r="WLE276" s="609"/>
      <c r="WLF276" s="609"/>
      <c r="WLG276" s="609"/>
      <c r="WLH276" s="609"/>
      <c r="WLI276" s="609"/>
      <c r="WLJ276" s="609"/>
      <c r="WLK276" s="609"/>
      <c r="WLL276" s="609"/>
      <c r="WLM276" s="609"/>
      <c r="WLN276" s="609"/>
      <c r="WLO276" s="609"/>
      <c r="WLP276" s="609"/>
      <c r="WLQ276" s="609"/>
      <c r="WLR276" s="609"/>
      <c r="WLS276" s="609"/>
      <c r="WLT276" s="609"/>
      <c r="WLU276" s="609"/>
      <c r="WLV276" s="609"/>
      <c r="WLW276" s="609"/>
      <c r="WLX276" s="609"/>
      <c r="WLY276" s="609"/>
      <c r="WLZ276" s="609"/>
      <c r="WMA276" s="609"/>
      <c r="WMB276" s="609"/>
      <c r="WMC276" s="609"/>
      <c r="WMD276" s="609"/>
      <c r="WME276" s="609"/>
      <c r="WMF276" s="609"/>
      <c r="WMG276" s="609"/>
      <c r="WMH276" s="609"/>
      <c r="WMI276" s="609"/>
      <c r="WMJ276" s="609"/>
      <c r="WMK276" s="609"/>
      <c r="WML276" s="609"/>
      <c r="WMM276" s="609"/>
      <c r="WMN276" s="609"/>
      <c r="WMO276" s="609"/>
      <c r="WMP276" s="609"/>
      <c r="WMQ276" s="609"/>
      <c r="WMR276" s="609"/>
      <c r="WMS276" s="609"/>
      <c r="WMT276" s="609"/>
      <c r="WMU276" s="609"/>
      <c r="WMV276" s="609"/>
      <c r="WMW276" s="609"/>
      <c r="WMX276" s="609"/>
      <c r="WMY276" s="609"/>
      <c r="WMZ276" s="609"/>
      <c r="WNA276" s="609"/>
      <c r="WNB276" s="609"/>
      <c r="WNC276" s="609"/>
      <c r="WND276" s="609"/>
      <c r="WNE276" s="609"/>
      <c r="WNF276" s="609"/>
      <c r="WNG276" s="609"/>
      <c r="WNH276" s="609"/>
      <c r="WNI276" s="609"/>
      <c r="WNJ276" s="609"/>
      <c r="WNK276" s="609"/>
      <c r="WNL276" s="609"/>
      <c r="WNM276" s="609"/>
      <c r="WNN276" s="609"/>
      <c r="WNO276" s="609"/>
      <c r="WNP276" s="609"/>
      <c r="WNQ276" s="609"/>
      <c r="WNR276" s="609"/>
      <c r="WNS276" s="609"/>
      <c r="WNT276" s="609"/>
      <c r="WNU276" s="609"/>
      <c r="WNV276" s="609"/>
      <c r="WNW276" s="609"/>
      <c r="WNX276" s="609"/>
      <c r="WNY276" s="609"/>
      <c r="WNZ276" s="609"/>
      <c r="WOA276" s="609"/>
      <c r="WOB276" s="609"/>
      <c r="WOC276" s="609"/>
      <c r="WOD276" s="609"/>
      <c r="WOE276" s="609"/>
      <c r="WOF276" s="609"/>
      <c r="WOG276" s="609"/>
      <c r="WOH276" s="609"/>
      <c r="WOI276" s="609"/>
      <c r="WOJ276" s="609"/>
      <c r="WOK276" s="609"/>
      <c r="WOL276" s="609"/>
      <c r="WOM276" s="609"/>
      <c r="WON276" s="609"/>
      <c r="WOO276" s="609"/>
      <c r="WOP276" s="609"/>
      <c r="WOQ276" s="609"/>
      <c r="WOR276" s="609"/>
      <c r="WOS276" s="609"/>
      <c r="WOT276" s="609"/>
      <c r="WOU276" s="609"/>
      <c r="WOV276" s="609"/>
      <c r="WOW276" s="609"/>
      <c r="WOX276" s="609"/>
      <c r="WOY276" s="609"/>
      <c r="WOZ276" s="609"/>
      <c r="WPA276" s="609"/>
      <c r="WPB276" s="609"/>
      <c r="WPC276" s="609"/>
      <c r="WPD276" s="609"/>
      <c r="WPE276" s="609"/>
      <c r="WPF276" s="609"/>
      <c r="WPG276" s="609"/>
      <c r="WPH276" s="609"/>
      <c r="WPI276" s="609"/>
      <c r="WPJ276" s="609"/>
      <c r="WPK276" s="609"/>
      <c r="WPL276" s="609"/>
      <c r="WPM276" s="609"/>
      <c r="WPN276" s="609"/>
      <c r="WPO276" s="609"/>
      <c r="WPP276" s="609"/>
      <c r="WPQ276" s="609"/>
      <c r="WPR276" s="609"/>
      <c r="WPS276" s="609"/>
      <c r="WPT276" s="609"/>
      <c r="WPU276" s="609"/>
      <c r="WPV276" s="609"/>
      <c r="WPW276" s="609"/>
      <c r="WPX276" s="609"/>
      <c r="WPY276" s="609"/>
      <c r="WPZ276" s="609"/>
      <c r="WQA276" s="609"/>
      <c r="WQB276" s="609"/>
      <c r="WQC276" s="609"/>
      <c r="WQD276" s="609"/>
      <c r="WQE276" s="609"/>
      <c r="WQF276" s="609"/>
      <c r="WQG276" s="609"/>
      <c r="WQH276" s="609"/>
      <c r="WQI276" s="609"/>
      <c r="WQJ276" s="609"/>
      <c r="WQK276" s="609"/>
      <c r="WQL276" s="609"/>
      <c r="WQM276" s="609"/>
      <c r="WQN276" s="609"/>
      <c r="WQO276" s="609"/>
      <c r="WQP276" s="609"/>
      <c r="WQQ276" s="609"/>
      <c r="WQR276" s="609"/>
      <c r="WQS276" s="609"/>
      <c r="WQT276" s="609"/>
      <c r="WQU276" s="609"/>
      <c r="WQV276" s="609"/>
      <c r="WQW276" s="609"/>
      <c r="WQX276" s="609"/>
      <c r="WQY276" s="609"/>
      <c r="WQZ276" s="609"/>
      <c r="WRA276" s="609"/>
      <c r="WRB276" s="609"/>
      <c r="WRC276" s="609"/>
      <c r="WRD276" s="609"/>
      <c r="WRE276" s="609"/>
      <c r="WRF276" s="609"/>
      <c r="WRG276" s="609"/>
      <c r="WRH276" s="609"/>
      <c r="WRI276" s="609"/>
      <c r="WRJ276" s="609"/>
      <c r="WRK276" s="609"/>
      <c r="WRL276" s="609"/>
      <c r="WRM276" s="609"/>
      <c r="WRN276" s="609"/>
      <c r="WRO276" s="609"/>
      <c r="WRP276" s="609"/>
      <c r="WRQ276" s="609"/>
      <c r="WRR276" s="609"/>
      <c r="WRS276" s="609"/>
      <c r="WRT276" s="609"/>
      <c r="WRU276" s="609"/>
      <c r="WRV276" s="609"/>
      <c r="WRW276" s="609"/>
      <c r="WRX276" s="609"/>
      <c r="WRY276" s="609"/>
      <c r="WRZ276" s="609"/>
      <c r="WSA276" s="609"/>
      <c r="WSB276" s="609"/>
      <c r="WSC276" s="609"/>
      <c r="WSD276" s="609"/>
      <c r="WSE276" s="609"/>
      <c r="WSF276" s="609"/>
      <c r="WSG276" s="609"/>
      <c r="WSH276" s="609"/>
      <c r="WSI276" s="609"/>
      <c r="WSJ276" s="609"/>
      <c r="WSK276" s="609"/>
      <c r="WSL276" s="609"/>
      <c r="WSM276" s="609"/>
      <c r="WSN276" s="609"/>
      <c r="WSO276" s="609"/>
      <c r="WSP276" s="609"/>
      <c r="WSQ276" s="609"/>
      <c r="WSR276" s="609"/>
      <c r="WSS276" s="609"/>
      <c r="WST276" s="609"/>
      <c r="WSU276" s="609"/>
      <c r="WSV276" s="609"/>
      <c r="WSW276" s="609"/>
      <c r="WSX276" s="609"/>
      <c r="WSY276" s="609"/>
      <c r="WSZ276" s="609"/>
      <c r="WTA276" s="609"/>
      <c r="WTB276" s="609"/>
      <c r="WTC276" s="609"/>
      <c r="WTD276" s="609"/>
      <c r="WTE276" s="609"/>
      <c r="WTF276" s="609"/>
      <c r="WTG276" s="609"/>
      <c r="WTH276" s="609"/>
      <c r="WTI276" s="609"/>
      <c r="WTJ276" s="609"/>
      <c r="WTK276" s="609"/>
      <c r="WTL276" s="609"/>
      <c r="WTM276" s="609"/>
      <c r="WTN276" s="609"/>
      <c r="WTO276" s="609"/>
      <c r="WTP276" s="609"/>
      <c r="WTQ276" s="609"/>
      <c r="WTR276" s="609"/>
      <c r="WTS276" s="609"/>
      <c r="WTT276" s="609"/>
      <c r="WTU276" s="609"/>
      <c r="WTV276" s="609"/>
      <c r="WTW276" s="609"/>
      <c r="WTX276" s="609"/>
      <c r="WTY276" s="609"/>
      <c r="WTZ276" s="609"/>
      <c r="WUA276" s="609"/>
      <c r="WUB276" s="609"/>
      <c r="WUC276" s="609"/>
      <c r="WUD276" s="609"/>
      <c r="WUE276" s="609"/>
      <c r="WUF276" s="609"/>
      <c r="WUG276" s="609"/>
      <c r="WUH276" s="609"/>
      <c r="WUI276" s="609"/>
      <c r="WUJ276" s="609"/>
      <c r="WUK276" s="609"/>
      <c r="WUL276" s="609"/>
      <c r="WUM276" s="609"/>
      <c r="WUN276" s="609"/>
      <c r="WUO276" s="609"/>
      <c r="WUP276" s="609"/>
      <c r="WUQ276" s="609"/>
      <c r="WUR276" s="609"/>
      <c r="WUS276" s="609"/>
      <c r="WUT276" s="609"/>
      <c r="WUU276" s="609"/>
      <c r="WUV276" s="609"/>
      <c r="WUW276" s="609"/>
      <c r="WUX276" s="609"/>
      <c r="WUY276" s="609"/>
      <c r="WUZ276" s="609"/>
      <c r="WVA276" s="609"/>
      <c r="WVB276" s="609"/>
      <c r="WVC276" s="609"/>
      <c r="WVD276" s="609"/>
      <c r="WVE276" s="609"/>
      <c r="WVF276" s="609"/>
      <c r="WVG276" s="609"/>
      <c r="WVH276" s="609"/>
      <c r="WVI276" s="609"/>
      <c r="WVJ276" s="609"/>
      <c r="WVK276" s="609"/>
      <c r="WVL276" s="609"/>
      <c r="WVM276" s="609"/>
      <c r="WVN276" s="609"/>
      <c r="WVO276" s="609"/>
      <c r="WVP276" s="609"/>
      <c r="WVQ276" s="609"/>
      <c r="WVR276" s="609"/>
      <c r="WVS276" s="609"/>
      <c r="WVT276" s="609"/>
      <c r="WVU276" s="609"/>
      <c r="WVV276" s="609"/>
      <c r="WVW276" s="609"/>
      <c r="WVX276" s="609"/>
      <c r="WVY276" s="609"/>
      <c r="WVZ276" s="609"/>
      <c r="WWA276" s="609"/>
      <c r="WWB276" s="609"/>
      <c r="WWC276" s="609"/>
      <c r="WWD276" s="609"/>
      <c r="WWE276" s="609"/>
      <c r="WWF276" s="609"/>
      <c r="WWG276" s="609"/>
      <c r="WWH276" s="609"/>
      <c r="WWI276" s="609"/>
      <c r="WWJ276" s="609"/>
      <c r="WWK276" s="609"/>
      <c r="WWL276" s="609"/>
      <c r="WWM276" s="609"/>
      <c r="WWN276" s="609"/>
      <c r="WWO276" s="609"/>
      <c r="WWP276" s="609"/>
      <c r="WWQ276" s="609"/>
      <c r="WWR276" s="609"/>
      <c r="WWS276" s="609"/>
      <c r="WWT276" s="609"/>
      <c r="WWU276" s="609"/>
      <c r="WWV276" s="609"/>
      <c r="WWW276" s="609"/>
      <c r="WWX276" s="609"/>
      <c r="WWY276" s="609"/>
      <c r="WWZ276" s="609"/>
      <c r="WXA276" s="609"/>
      <c r="WXB276" s="609"/>
      <c r="WXC276" s="609"/>
      <c r="WXD276" s="609"/>
      <c r="WXE276" s="609"/>
      <c r="WXF276" s="609"/>
      <c r="WXG276" s="609"/>
      <c r="WXH276" s="609"/>
      <c r="WXI276" s="609"/>
      <c r="WXJ276" s="609"/>
      <c r="WXK276" s="609"/>
      <c r="WXL276" s="609"/>
      <c r="WXM276" s="609"/>
      <c r="WXN276" s="609"/>
      <c r="WXO276" s="609"/>
      <c r="WXP276" s="609"/>
      <c r="WXQ276" s="609"/>
      <c r="WXR276" s="609"/>
      <c r="WXS276" s="609"/>
      <c r="WXT276" s="609"/>
      <c r="WXU276" s="609"/>
      <c r="WXV276" s="609"/>
      <c r="WXW276" s="609"/>
      <c r="WXX276" s="609"/>
      <c r="WXY276" s="609"/>
      <c r="WXZ276" s="609"/>
      <c r="WYA276" s="609"/>
      <c r="WYB276" s="609"/>
      <c r="WYC276" s="609"/>
      <c r="WYD276" s="609"/>
      <c r="WYE276" s="609"/>
      <c r="WYF276" s="609"/>
      <c r="WYG276" s="609"/>
      <c r="WYH276" s="609"/>
      <c r="WYI276" s="609"/>
      <c r="WYJ276" s="609"/>
      <c r="WYK276" s="609"/>
      <c r="WYL276" s="609"/>
      <c r="WYM276" s="609"/>
      <c r="WYN276" s="609"/>
      <c r="WYO276" s="609"/>
      <c r="WYP276" s="609"/>
      <c r="WYQ276" s="609"/>
      <c r="WYR276" s="609"/>
      <c r="WYS276" s="609"/>
      <c r="WYT276" s="609"/>
      <c r="WYU276" s="609"/>
      <c r="WYV276" s="609"/>
      <c r="WYW276" s="609"/>
      <c r="WYX276" s="609"/>
      <c r="WYY276" s="609"/>
      <c r="WYZ276" s="609"/>
      <c r="WZA276" s="609"/>
      <c r="WZB276" s="609"/>
      <c r="WZC276" s="609"/>
      <c r="WZD276" s="609"/>
      <c r="WZE276" s="609"/>
      <c r="WZF276" s="609"/>
      <c r="WZG276" s="609"/>
      <c r="WZH276" s="609"/>
      <c r="WZI276" s="609"/>
      <c r="WZJ276" s="609"/>
      <c r="WZK276" s="609"/>
      <c r="WZL276" s="609"/>
      <c r="WZM276" s="609"/>
      <c r="WZN276" s="609"/>
      <c r="WZO276" s="609"/>
      <c r="WZP276" s="609"/>
      <c r="WZQ276" s="609"/>
      <c r="WZR276" s="609"/>
      <c r="WZS276" s="609"/>
      <c r="WZT276" s="609"/>
      <c r="WZU276" s="609"/>
      <c r="WZV276" s="609"/>
      <c r="WZW276" s="609"/>
      <c r="WZX276" s="609"/>
      <c r="WZY276" s="609"/>
      <c r="WZZ276" s="609"/>
      <c r="XAA276" s="609"/>
      <c r="XAB276" s="609"/>
      <c r="XAC276" s="609"/>
      <c r="XAD276" s="609"/>
      <c r="XAE276" s="609"/>
      <c r="XAF276" s="609"/>
      <c r="XAG276" s="609"/>
      <c r="XAH276" s="609"/>
      <c r="XAI276" s="609"/>
      <c r="XAJ276" s="609"/>
      <c r="XAK276" s="609"/>
      <c r="XAL276" s="609"/>
      <c r="XAM276" s="609"/>
      <c r="XAN276" s="609"/>
      <c r="XAO276" s="609"/>
      <c r="XAP276" s="609"/>
      <c r="XAQ276" s="609"/>
      <c r="XAR276" s="609"/>
      <c r="XAS276" s="609"/>
      <c r="XAT276" s="609"/>
      <c r="XAU276" s="609"/>
      <c r="XAV276" s="609"/>
      <c r="XAW276" s="609"/>
      <c r="XAX276" s="609"/>
      <c r="XAY276" s="609"/>
      <c r="XAZ276" s="609"/>
      <c r="XBA276" s="609"/>
      <c r="XBB276" s="609"/>
      <c r="XBC276" s="609"/>
      <c r="XBD276" s="609"/>
      <c r="XBE276" s="609"/>
      <c r="XBF276" s="609"/>
      <c r="XBG276" s="609"/>
      <c r="XBH276" s="609"/>
      <c r="XBI276" s="609"/>
      <c r="XBJ276" s="609"/>
      <c r="XBK276" s="609"/>
      <c r="XBL276" s="609"/>
      <c r="XBM276" s="609"/>
      <c r="XBN276" s="609"/>
      <c r="XBO276" s="609"/>
      <c r="XBP276" s="609"/>
      <c r="XBQ276" s="609"/>
      <c r="XBR276" s="609"/>
      <c r="XBS276" s="609"/>
      <c r="XBT276" s="609"/>
      <c r="XBU276" s="609"/>
      <c r="XBV276" s="609"/>
      <c r="XBW276" s="609"/>
      <c r="XBX276" s="609"/>
      <c r="XBY276" s="609"/>
      <c r="XBZ276" s="609"/>
      <c r="XCA276" s="609"/>
      <c r="XCB276" s="609"/>
      <c r="XCC276" s="609"/>
      <c r="XCD276" s="609"/>
      <c r="XCE276" s="609"/>
      <c r="XCF276" s="609"/>
      <c r="XCG276" s="609"/>
      <c r="XCH276" s="609"/>
      <c r="XCI276" s="609"/>
      <c r="XCJ276" s="609"/>
      <c r="XCK276" s="609"/>
      <c r="XCL276" s="609"/>
      <c r="XCM276" s="609"/>
      <c r="XCN276" s="609"/>
      <c r="XCO276" s="609"/>
      <c r="XCP276" s="609"/>
      <c r="XCQ276" s="609"/>
      <c r="XCR276" s="609"/>
      <c r="XCS276" s="609"/>
      <c r="XCT276" s="609"/>
      <c r="XCU276" s="609"/>
      <c r="XCV276" s="609"/>
      <c r="XCW276" s="609"/>
      <c r="XCX276" s="609"/>
      <c r="XCY276" s="609"/>
      <c r="XCZ276" s="609"/>
      <c r="XDA276" s="609"/>
      <c r="XDB276" s="609"/>
      <c r="XDC276" s="609"/>
      <c r="XDD276" s="609"/>
      <c r="XDE276" s="609"/>
      <c r="XDF276" s="609"/>
      <c r="XDG276" s="609"/>
      <c r="XDH276" s="609"/>
      <c r="XDI276" s="609"/>
      <c r="XDJ276" s="609"/>
      <c r="XDK276" s="609"/>
      <c r="XDL276" s="609"/>
      <c r="XDM276" s="609"/>
      <c r="XDN276" s="609"/>
      <c r="XDO276" s="609"/>
      <c r="XDP276" s="609"/>
      <c r="XDQ276" s="609"/>
      <c r="XDR276" s="609"/>
      <c r="XDS276" s="609"/>
      <c r="XDT276" s="609"/>
      <c r="XDU276" s="609"/>
      <c r="XDV276" s="609"/>
      <c r="XDW276" s="609"/>
      <c r="XDX276" s="609"/>
      <c r="XDY276" s="609"/>
      <c r="XDZ276" s="609"/>
      <c r="XEA276" s="609"/>
      <c r="XEB276" s="609"/>
      <c r="XEC276" s="609"/>
      <c r="XED276" s="609"/>
      <c r="XEE276" s="609"/>
      <c r="XEF276" s="609"/>
      <c r="XEG276" s="609"/>
      <c r="XEH276" s="609"/>
      <c r="XEI276" s="609"/>
      <c r="XEJ276" s="609"/>
      <c r="XEK276" s="609"/>
      <c r="XEL276" s="609"/>
      <c r="XEM276" s="609"/>
      <c r="XEN276" s="609"/>
      <c r="XEO276" s="609"/>
      <c r="XEP276" s="609"/>
      <c r="XEQ276" s="609"/>
      <c r="XER276" s="609"/>
      <c r="XES276" s="609"/>
      <c r="XET276" s="609"/>
      <c r="XEU276" s="609"/>
      <c r="XEV276" s="609"/>
      <c r="XEW276" s="609"/>
      <c r="XEX276" s="609"/>
      <c r="XEY276" s="609"/>
      <c r="XEZ276" s="609"/>
      <c r="XFA276" s="609"/>
    </row>
    <row r="277" spans="1:16381">
      <c r="A277" s="609" t="str">
        <f t="shared" si="15"/>
        <v>Ulmer Spatz v. 01.07.2021</v>
      </c>
      <c r="B277" s="609">
        <f>ROW()</f>
        <v>277</v>
      </c>
      <c r="C277" s="635" t="s">
        <v>1273</v>
      </c>
      <c r="D277" s="1201">
        <v>44378</v>
      </c>
      <c r="E277" s="636" t="s">
        <v>776</v>
      </c>
      <c r="F277" s="637" t="str">
        <f t="shared" si="17"/>
        <v/>
      </c>
      <c r="G277" s="634" t="str">
        <f t="shared" si="19"/>
        <v xml:space="preserve">TO ermöglicht: doppelten Kostenabzug; </v>
      </c>
      <c r="H277" s="414"/>
      <c r="J277" s="788"/>
      <c r="K277" s="1199"/>
      <c r="L277" s="1199">
        <v>2</v>
      </c>
      <c r="M277" s="1199"/>
      <c r="N277" s="1199"/>
      <c r="O277" s="789"/>
      <c r="P277" s="144">
        <f t="shared" si="20"/>
        <v>2</v>
      </c>
    </row>
    <row r="278" spans="1:16381" ht="33.75">
      <c r="A278" s="609" t="str">
        <f t="shared" si="15"/>
        <v>UMU-Unterstützungskasse mittelständischer Unternehmen e.V. v. 01.12.2013</v>
      </c>
      <c r="B278" s="609">
        <f>ROW()</f>
        <v>278</v>
      </c>
      <c r="C278" s="635" t="s">
        <v>960</v>
      </c>
      <c r="D278" s="1202">
        <v>41609</v>
      </c>
      <c r="E278" s="636" t="s">
        <v>927</v>
      </c>
      <c r="F278" s="637" t="str">
        <f t="shared" si="17"/>
        <v>Ja</v>
      </c>
      <c r="G278" s="634" t="str">
        <f t="shared" si="19"/>
        <v>TO ermöglicht: Tarifwechel; doppelten Kostenabzug;  Abweichungen vom gerichtl. festgelegten Ausgleichswert;  Verzinsung zwischen EzE und RK geltend machen</v>
      </c>
      <c r="H278" s="414"/>
      <c r="K278" s="1199">
        <v>1</v>
      </c>
      <c r="L278" s="1199">
        <v>2</v>
      </c>
      <c r="M278" s="1199">
        <v>3</v>
      </c>
      <c r="N278" s="1199">
        <v>4</v>
      </c>
      <c r="P278" s="144">
        <f t="shared" si="20"/>
        <v>10</v>
      </c>
    </row>
    <row r="279" spans="1:16381" ht="22.5">
      <c r="A279" s="609" t="str">
        <f t="shared" si="15"/>
        <v>Unilever v. 01.06.2016</v>
      </c>
      <c r="B279" s="609">
        <f>ROW()</f>
        <v>279</v>
      </c>
      <c r="C279" s="635" t="s">
        <v>729</v>
      </c>
      <c r="D279" s="1201">
        <v>42522</v>
      </c>
      <c r="E279" s="636" t="s">
        <v>730</v>
      </c>
      <c r="F279" s="637" t="str">
        <f t="shared" si="17"/>
        <v/>
      </c>
      <c r="G279" s="634" t="str">
        <f t="shared" ref="G279:G313" si="21">IF(SUM(K279:N279)=0,"","TO ermöglicht: "&amp;IF(K279&gt;0,"Tarifwechel; ","")&amp;IF(L279&gt;0,"doppelten Kostenabzug; ","")&amp;IF(M279&gt;0," Abweichungen vom gerichtl. festgelegten Ausgleichswert; ","")&amp;IF(N279&gt;0," Verzinsung zwischen EzE und RK geltend machen",""))</f>
        <v/>
      </c>
      <c r="H279" s="414"/>
      <c r="K279" s="1199"/>
      <c r="L279" s="1199"/>
      <c r="M279" s="1199"/>
      <c r="N279" s="1199"/>
      <c r="O279" s="793" t="s">
        <v>731</v>
      </c>
      <c r="P279" s="144">
        <f t="shared" si="20"/>
        <v>0</v>
      </c>
    </row>
    <row r="280" spans="1:16381" ht="33.75">
      <c r="A280" s="609" t="str">
        <f t="shared" si="15"/>
        <v>Union Investment Privatfonds GmbH v. 01.01.2021</v>
      </c>
      <c r="B280" s="609">
        <f>ROW()</f>
        <v>280</v>
      </c>
      <c r="C280" s="635" t="s">
        <v>1143</v>
      </c>
      <c r="D280" s="1202">
        <v>44197</v>
      </c>
      <c r="E280" s="636" t="s">
        <v>660</v>
      </c>
      <c r="F280" s="637" t="str">
        <f t="shared" si="17"/>
        <v>Ja</v>
      </c>
      <c r="G280" s="634" t="str">
        <f t="shared" si="21"/>
        <v>TO ermöglicht: Tarifwechel;  Abweichungen vom gerichtl. festgelegten Ausgleichswert;  Verzinsung zwischen EzE und RK geltend machen</v>
      </c>
      <c r="H280" s="414"/>
      <c r="I280" s="1406" t="s">
        <v>1549</v>
      </c>
      <c r="J280" s="788"/>
      <c r="K280" s="1199">
        <v>1</v>
      </c>
      <c r="L280" s="1199"/>
      <c r="M280" s="1199">
        <v>3</v>
      </c>
      <c r="N280" s="1199">
        <v>4</v>
      </c>
      <c r="O280" s="791" t="s">
        <v>663</v>
      </c>
      <c r="P280" s="144">
        <f t="shared" si="20"/>
        <v>8</v>
      </c>
    </row>
    <row r="281" spans="1:16381" ht="38.25">
      <c r="A281" s="609" t="str">
        <f t="shared" si="15"/>
        <v>Unterstützungskasse der nordostdeutschen Energiewirtschaft e.V. v. 30.03.2020</v>
      </c>
      <c r="B281" s="609">
        <f>ROW()</f>
        <v>281</v>
      </c>
      <c r="C281" s="635" t="s">
        <v>931</v>
      </c>
      <c r="D281" s="1201">
        <v>43920</v>
      </c>
      <c r="E281" s="636" t="s">
        <v>932</v>
      </c>
      <c r="F281" s="637" t="str">
        <f t="shared" si="17"/>
        <v/>
      </c>
      <c r="G281" s="634" t="str">
        <f t="shared" si="21"/>
        <v/>
      </c>
      <c r="H281" s="414"/>
      <c r="K281" s="1199"/>
      <c r="L281" s="1199"/>
      <c r="M281" s="1199"/>
      <c r="N281" s="1199"/>
      <c r="P281" s="144">
        <f t="shared" si="20"/>
        <v>0</v>
      </c>
    </row>
    <row r="282" spans="1:16381" ht="25.5">
      <c r="A282" s="609" t="str">
        <f t="shared" si="15"/>
        <v>VdVA Unterstützungskasse v. 01.01.2022</v>
      </c>
      <c r="B282" s="609">
        <f>ROW()</f>
        <v>282</v>
      </c>
      <c r="C282" s="635" t="s">
        <v>898</v>
      </c>
      <c r="D282" s="1201">
        <v>44562</v>
      </c>
      <c r="E282" s="852" t="s">
        <v>899</v>
      </c>
      <c r="F282" s="637" t="str">
        <f t="shared" si="17"/>
        <v/>
      </c>
      <c r="G282" s="634" t="str">
        <f t="shared" si="21"/>
        <v>TO ermöglicht: doppelten Kostenabzug;  Verzinsung zwischen EzE und RK geltend machen</v>
      </c>
      <c r="H282" s="414"/>
      <c r="I282" s="634" t="s">
        <v>1348</v>
      </c>
      <c r="K282" s="1199"/>
      <c r="L282" s="1199">
        <v>2</v>
      </c>
      <c r="M282" s="1199"/>
      <c r="N282" s="1199">
        <v>4</v>
      </c>
      <c r="O282" s="789" t="s">
        <v>897</v>
      </c>
      <c r="P282" s="144">
        <f t="shared" si="20"/>
        <v>6</v>
      </c>
    </row>
    <row r="283" spans="1:16381" ht="38.25">
      <c r="A283" s="609" t="str">
        <f t="shared" si="15"/>
        <v>Vereinigte Postversicherung VVaG  v. 11.07.2022</v>
      </c>
      <c r="B283" s="609">
        <f>ROW()</f>
        <v>283</v>
      </c>
      <c r="C283" s="635" t="s">
        <v>971</v>
      </c>
      <c r="D283" s="1201">
        <v>44753</v>
      </c>
      <c r="E283" s="636" t="s">
        <v>974</v>
      </c>
      <c r="F283" s="637" t="str">
        <f t="shared" si="17"/>
        <v>Ja</v>
      </c>
      <c r="G283" s="634" t="str">
        <f t="shared" si="21"/>
        <v>TO ermöglicht: Tarifwechel; doppelten Kostenabzug;  Verzinsung zwischen EzE und RK geltend machen</v>
      </c>
      <c r="H283" s="414"/>
      <c r="K283" s="1199">
        <v>1</v>
      </c>
      <c r="L283" s="1199">
        <v>2</v>
      </c>
      <c r="M283" s="1199"/>
      <c r="N283" s="1199">
        <v>4</v>
      </c>
      <c r="P283" s="144">
        <f t="shared" si="20"/>
        <v>7</v>
      </c>
    </row>
    <row r="284" spans="1:16381" ht="25.5">
      <c r="A284" s="609" t="str">
        <f t="shared" ref="A284:A350" si="22">C284&amp;IF(D284=0,""," v. "&amp;TEXT(D284,"TT.MM.JJJ"))</f>
        <v>Vereinigte Postversicherung VVaG für Direktversicherungen v. 11.07.2022</v>
      </c>
      <c r="B284" s="609">
        <f>ROW()</f>
        <v>284</v>
      </c>
      <c r="C284" s="635" t="s">
        <v>968</v>
      </c>
      <c r="D284" s="1201">
        <v>44753</v>
      </c>
      <c r="E284" s="636" t="s">
        <v>965</v>
      </c>
      <c r="F284" s="637" t="str">
        <f t="shared" si="17"/>
        <v/>
      </c>
      <c r="G284" s="634" t="str">
        <f t="shared" si="21"/>
        <v/>
      </c>
      <c r="H284" s="414"/>
      <c r="K284" s="1199"/>
      <c r="L284" s="1199"/>
      <c r="M284" s="1199"/>
      <c r="N284" s="1199"/>
      <c r="P284" s="144">
        <f t="shared" si="20"/>
        <v>0</v>
      </c>
    </row>
    <row r="285" spans="1:16381" ht="22.5">
      <c r="A285" s="609" t="str">
        <f t="shared" si="22"/>
        <v>Versorgungsanstalt der Deutschen Bundespost v. 05.10.2010</v>
      </c>
      <c r="B285" s="609">
        <f>ROW()</f>
        <v>285</v>
      </c>
      <c r="C285" s="635" t="s">
        <v>740</v>
      </c>
      <c r="D285" s="1201">
        <v>40456</v>
      </c>
      <c r="E285" s="636" t="s">
        <v>738</v>
      </c>
      <c r="F285" s="637" t="str">
        <f t="shared" si="17"/>
        <v/>
      </c>
      <c r="G285" s="634" t="str">
        <f t="shared" si="21"/>
        <v/>
      </c>
      <c r="H285" s="414"/>
      <c r="K285" s="1199"/>
      <c r="L285" s="1199"/>
      <c r="M285" s="1199"/>
      <c r="N285" s="1199"/>
      <c r="O285" s="793" t="s">
        <v>739</v>
      </c>
      <c r="P285" s="144">
        <f t="shared" si="20"/>
        <v>0</v>
      </c>
    </row>
    <row r="286" spans="1:16381">
      <c r="A286" s="609" t="str">
        <f t="shared" si="22"/>
        <v>Versorgungsanstalt der Kaminkehrergesellen</v>
      </c>
      <c r="B286" s="609">
        <f>ROW()</f>
        <v>286</v>
      </c>
      <c r="C286" s="635" t="s">
        <v>686</v>
      </c>
      <c r="E286" s="636" t="s">
        <v>689</v>
      </c>
      <c r="F286" s="637" t="str">
        <f t="shared" ref="F286:F347" si="23">IF(K286=1,"Ja","")</f>
        <v/>
      </c>
      <c r="G286" s="634" t="str">
        <f t="shared" si="21"/>
        <v/>
      </c>
      <c r="H286" s="414"/>
      <c r="K286" s="1199"/>
      <c r="L286" s="1199"/>
      <c r="M286" s="1199"/>
      <c r="N286" s="1199"/>
      <c r="O286" s="791" t="s">
        <v>688</v>
      </c>
      <c r="P286" s="144">
        <f t="shared" si="20"/>
        <v>0</v>
      </c>
    </row>
    <row r="287" spans="1:16381" ht="25.5">
      <c r="A287" s="609" t="str">
        <f t="shared" si="22"/>
        <v>Versorgungswerk der Wohnungswirtschaft (VDW) v. 01.01.2018</v>
      </c>
      <c r="B287" s="609">
        <f>ROW()</f>
        <v>287</v>
      </c>
      <c r="C287" s="635" t="s">
        <v>779</v>
      </c>
      <c r="D287" s="1201">
        <v>43101</v>
      </c>
      <c r="E287" s="636" t="s">
        <v>776</v>
      </c>
      <c r="F287" s="637" t="str">
        <f t="shared" si="23"/>
        <v/>
      </c>
      <c r="G287" s="634" t="str">
        <f t="shared" si="21"/>
        <v>TO ermöglicht: doppelten Kostenabzug;  Verzinsung zwischen EzE und RK geltend machen</v>
      </c>
      <c r="H287" s="414"/>
      <c r="K287" s="1199"/>
      <c r="L287" s="1199">
        <v>2</v>
      </c>
      <c r="M287" s="1199"/>
      <c r="N287" s="1199">
        <v>4</v>
      </c>
      <c r="O287" s="789" t="s">
        <v>812</v>
      </c>
      <c r="P287" s="144">
        <f t="shared" si="20"/>
        <v>6</v>
      </c>
    </row>
    <row r="288" spans="1:16381" ht="22.5">
      <c r="A288" s="609" t="str">
        <f t="shared" si="22"/>
        <v>Vertreterversorgungswerk der Allianz Beratungs- und Vertreibs AG v. 13.12.2010</v>
      </c>
      <c r="B288" s="609">
        <f>ROW()</f>
        <v>288</v>
      </c>
      <c r="C288" s="1018" t="s">
        <v>1194</v>
      </c>
      <c r="D288" s="1201">
        <v>40525</v>
      </c>
      <c r="E288" s="636" t="s">
        <v>1195</v>
      </c>
      <c r="F288" s="637" t="str">
        <f t="shared" si="23"/>
        <v/>
      </c>
      <c r="G288" s="634" t="str">
        <f t="shared" si="21"/>
        <v/>
      </c>
      <c r="H288" s="414"/>
      <c r="K288" s="1199"/>
      <c r="L288" s="1199"/>
      <c r="M288" s="1199"/>
      <c r="N288" s="1199"/>
      <c r="P288" s="144">
        <f t="shared" si="20"/>
        <v>0</v>
      </c>
    </row>
    <row r="289" spans="1:16" ht="22.5">
      <c r="A289" s="609" t="str">
        <f t="shared" si="22"/>
        <v>Victoria LV AG v. 16.01.2020</v>
      </c>
      <c r="B289" s="609">
        <f>ROW()</f>
        <v>289</v>
      </c>
      <c r="C289" s="1018" t="s">
        <v>1645</v>
      </c>
      <c r="D289" s="1201">
        <v>43846</v>
      </c>
      <c r="E289" s="636" t="s">
        <v>660</v>
      </c>
      <c r="F289" s="637"/>
      <c r="G289" s="634" t="str">
        <f t="shared" si="21"/>
        <v>TO ermöglicht: Tarifwechel; doppelten Kostenabzug;  Verzinsung zwischen EzE und RK geltend machen</v>
      </c>
      <c r="H289" s="414"/>
      <c r="K289" s="1199">
        <v>1</v>
      </c>
      <c r="L289" s="1199">
        <v>2</v>
      </c>
      <c r="M289" s="1199"/>
      <c r="N289" s="1199">
        <v>4</v>
      </c>
      <c r="P289" s="144"/>
    </row>
    <row r="290" spans="1:16" ht="33.75">
      <c r="A290" s="609" t="str">
        <f t="shared" si="22"/>
        <v>Vodafone v. 01.04.2019</v>
      </c>
      <c r="B290" s="609">
        <f>ROW()</f>
        <v>290</v>
      </c>
      <c r="C290" s="635" t="s">
        <v>1049</v>
      </c>
      <c r="D290" s="1201">
        <v>43556</v>
      </c>
      <c r="F290" s="637" t="str">
        <f t="shared" si="23"/>
        <v/>
      </c>
      <c r="G290" s="634" t="str">
        <f t="shared" si="21"/>
        <v>TO ermöglicht: doppelten Kostenabzug;  Abweichungen vom gerichtl. festgelegten Ausgleichswert;  Verzinsung zwischen EzE und RK geltend machen</v>
      </c>
      <c r="H290" s="414"/>
      <c r="J290" s="788"/>
      <c r="K290" s="1199"/>
      <c r="L290" s="1199">
        <v>2</v>
      </c>
      <c r="M290" s="1199">
        <v>3</v>
      </c>
      <c r="N290" s="1199">
        <v>4</v>
      </c>
      <c r="P290" s="144">
        <f t="shared" si="20"/>
        <v>9</v>
      </c>
    </row>
    <row r="291" spans="1:16" ht="33.75">
      <c r="A291" s="609" t="str">
        <f t="shared" si="22"/>
        <v>VolkswohlBund</v>
      </c>
      <c r="B291" s="609">
        <f>ROW()</f>
        <v>291</v>
      </c>
      <c r="C291" s="635" t="s">
        <v>765</v>
      </c>
      <c r="E291" s="636" t="s">
        <v>706</v>
      </c>
      <c r="F291" s="637" t="str">
        <f t="shared" si="23"/>
        <v>Ja</v>
      </c>
      <c r="G291" s="634" t="str">
        <f t="shared" si="21"/>
        <v>TO ermöglicht: Tarifwechel; doppelten Kostenabzug;  Abweichungen vom gerichtl. festgelegten Ausgleichswert;  Verzinsung zwischen EzE und RK geltend machen</v>
      </c>
      <c r="H291" s="414"/>
      <c r="J291" s="788"/>
      <c r="K291" s="1199">
        <v>1</v>
      </c>
      <c r="L291" s="1199">
        <v>2</v>
      </c>
      <c r="M291" s="1199">
        <v>3</v>
      </c>
      <c r="N291" s="1199">
        <v>4</v>
      </c>
      <c r="O291" s="793" t="s">
        <v>707</v>
      </c>
      <c r="P291" s="144">
        <f t="shared" si="20"/>
        <v>10</v>
      </c>
    </row>
    <row r="292" spans="1:16" ht="38.25">
      <c r="A292" s="609" t="str">
        <f t="shared" si="22"/>
        <v>VPV Allgemeine Versicherungs AG  v. 11.07.2022</v>
      </c>
      <c r="B292" s="609">
        <f>ROW()</f>
        <v>292</v>
      </c>
      <c r="C292" s="635" t="s">
        <v>970</v>
      </c>
      <c r="D292" s="1201">
        <v>44753</v>
      </c>
      <c r="E292" s="636" t="s">
        <v>973</v>
      </c>
      <c r="F292" s="637" t="str">
        <f t="shared" si="23"/>
        <v>Ja</v>
      </c>
      <c r="G292" s="634" t="str">
        <f t="shared" si="21"/>
        <v>TO ermöglicht: Tarifwechel; doppelten Kostenabzug;  Abweichungen vom gerichtl. festgelegten Ausgleichswert;  Verzinsung zwischen EzE und RK geltend machen</v>
      </c>
      <c r="H292" s="414"/>
      <c r="K292" s="1199">
        <v>1</v>
      </c>
      <c r="L292" s="1199">
        <v>2</v>
      </c>
      <c r="M292" s="1199">
        <v>3</v>
      </c>
      <c r="N292" s="1199">
        <v>4</v>
      </c>
      <c r="P292" s="144">
        <f t="shared" si="20"/>
        <v>10</v>
      </c>
    </row>
    <row r="293" spans="1:16" ht="33.75">
      <c r="A293" s="609" t="str">
        <f t="shared" si="22"/>
        <v>VPV Allgemeine Versicherungs AG für Direktversicherungen v. 11.07.2022</v>
      </c>
      <c r="B293" s="609">
        <f>ROW()</f>
        <v>293</v>
      </c>
      <c r="C293" s="635" t="s">
        <v>967</v>
      </c>
      <c r="D293" s="1201">
        <v>44753</v>
      </c>
      <c r="E293" s="636" t="s">
        <v>965</v>
      </c>
      <c r="F293" s="637" t="str">
        <f t="shared" si="23"/>
        <v>Ja</v>
      </c>
      <c r="G293" s="634" t="str">
        <f t="shared" si="21"/>
        <v>TO ermöglicht: Tarifwechel; doppelten Kostenabzug;  Abweichungen vom gerichtl. festgelegten Ausgleichswert;  Verzinsung zwischen EzE und RK geltend machen</v>
      </c>
      <c r="H293" s="414"/>
      <c r="J293" s="788"/>
      <c r="K293" s="1199">
        <v>1</v>
      </c>
      <c r="L293" s="1199">
        <v>2</v>
      </c>
      <c r="M293" s="1199">
        <v>3</v>
      </c>
      <c r="N293" s="1199">
        <v>4</v>
      </c>
      <c r="P293" s="144">
        <f t="shared" si="20"/>
        <v>10</v>
      </c>
    </row>
    <row r="294" spans="1:16" ht="38.25">
      <c r="A294" s="609" t="str">
        <f t="shared" si="22"/>
        <v>VPV Lebensversicherungs AG  v. 11.07.2022</v>
      </c>
      <c r="B294" s="609">
        <f>ROW()</f>
        <v>294</v>
      </c>
      <c r="C294" s="635" t="s">
        <v>969</v>
      </c>
      <c r="D294" s="1201">
        <v>44753</v>
      </c>
      <c r="E294" s="636" t="s">
        <v>972</v>
      </c>
      <c r="F294" s="637" t="str">
        <f t="shared" si="23"/>
        <v>Ja</v>
      </c>
      <c r="G294" s="634" t="str">
        <f t="shared" si="21"/>
        <v>TO ermöglicht: Tarifwechel; doppelten Kostenabzug;  Abweichungen vom gerichtl. festgelegten Ausgleichswert;  Verzinsung zwischen EzE und RK geltend machen</v>
      </c>
      <c r="H294" s="414"/>
      <c r="K294" s="1199">
        <v>1</v>
      </c>
      <c r="L294" s="1199">
        <v>2</v>
      </c>
      <c r="M294" s="1199">
        <v>3</v>
      </c>
      <c r="N294" s="1199">
        <v>4</v>
      </c>
      <c r="P294" s="144">
        <f t="shared" si="20"/>
        <v>10</v>
      </c>
    </row>
    <row r="295" spans="1:16" ht="33.75">
      <c r="A295" s="609" t="str">
        <f t="shared" si="22"/>
        <v>VPV Lebensversicherungs AG für Direktversicherungen v. 11.07.2022</v>
      </c>
      <c r="B295" s="609">
        <f>ROW()</f>
        <v>295</v>
      </c>
      <c r="C295" s="635" t="s">
        <v>966</v>
      </c>
      <c r="D295" s="1201">
        <v>44753</v>
      </c>
      <c r="E295" s="636" t="s">
        <v>965</v>
      </c>
      <c r="F295" s="637" t="str">
        <f t="shared" si="23"/>
        <v>Ja</v>
      </c>
      <c r="G295" s="634" t="str">
        <f t="shared" si="21"/>
        <v>TO ermöglicht: Tarifwechel; doppelten Kostenabzug;  Abweichungen vom gerichtl. festgelegten Ausgleichswert;  Verzinsung zwischen EzE und RK geltend machen</v>
      </c>
      <c r="H295" s="414"/>
      <c r="K295" s="1199">
        <v>1</v>
      </c>
      <c r="L295" s="1199">
        <v>2</v>
      </c>
      <c r="M295" s="1199">
        <v>3</v>
      </c>
      <c r="N295" s="1199">
        <v>4</v>
      </c>
      <c r="P295" s="144">
        <f t="shared" si="20"/>
        <v>10</v>
      </c>
    </row>
    <row r="296" spans="1:16" ht="33.75">
      <c r="A296" s="609" t="str">
        <f t="shared" si="22"/>
        <v>VRK Lebensversicherung v. 01.01.2015</v>
      </c>
      <c r="B296" s="609">
        <f>ROW()</f>
        <v>296</v>
      </c>
      <c r="C296" s="635" t="s">
        <v>1172</v>
      </c>
      <c r="D296" s="1202">
        <v>42005</v>
      </c>
      <c r="E296" s="636" t="s">
        <v>1173</v>
      </c>
      <c r="F296" s="637" t="str">
        <f t="shared" si="23"/>
        <v>Ja</v>
      </c>
      <c r="G296" s="634" t="str">
        <f t="shared" si="21"/>
        <v>TO ermöglicht: Tarifwechel; doppelten Kostenabzug;  Abweichungen vom gerichtl. festgelegten Ausgleichswert;  Verzinsung zwischen EzE und RK geltend machen</v>
      </c>
      <c r="H296" s="414"/>
      <c r="K296" s="1199">
        <v>1</v>
      </c>
      <c r="L296" s="1199">
        <v>2</v>
      </c>
      <c r="M296" s="1199">
        <v>3</v>
      </c>
      <c r="N296" s="1199">
        <v>4</v>
      </c>
      <c r="P296" s="144">
        <f t="shared" si="20"/>
        <v>10</v>
      </c>
    </row>
    <row r="297" spans="1:16">
      <c r="A297" s="609" t="str">
        <f t="shared" si="22"/>
        <v>VW  v. 01.12.2017</v>
      </c>
      <c r="B297" s="609">
        <f>ROW()</f>
        <v>297</v>
      </c>
      <c r="C297" s="635" t="s">
        <v>1012</v>
      </c>
      <c r="D297" s="1201">
        <v>43070</v>
      </c>
      <c r="F297" s="637" t="str">
        <f t="shared" si="23"/>
        <v/>
      </c>
      <c r="G297" s="634" t="str">
        <f t="shared" si="21"/>
        <v/>
      </c>
      <c r="H297" s="414"/>
      <c r="K297" s="1199"/>
      <c r="L297" s="1199"/>
      <c r="M297" s="1199"/>
      <c r="N297" s="1199"/>
      <c r="P297" s="144">
        <f t="shared" si="20"/>
        <v>0</v>
      </c>
    </row>
    <row r="298" spans="1:16" ht="22.5">
      <c r="A298" s="609" t="str">
        <f t="shared" si="22"/>
        <v>Vorwerk &amp; Co.KG v. 31.08.2012</v>
      </c>
      <c r="B298" s="609">
        <f>ROW()</f>
        <v>298</v>
      </c>
      <c r="C298" s="635" t="s">
        <v>1958</v>
      </c>
      <c r="D298" s="1201">
        <v>41152</v>
      </c>
      <c r="E298" s="636" t="s">
        <v>1959</v>
      </c>
      <c r="F298" s="637"/>
      <c r="G298" s="634" t="str">
        <f t="shared" si="21"/>
        <v>TO ermöglicht: doppelten Kostenabzug;  Verzinsung zwischen EzE und RK geltend machen</v>
      </c>
      <c r="H298" s="414"/>
      <c r="K298" s="1199"/>
      <c r="L298" s="1199">
        <v>2</v>
      </c>
      <c r="M298" s="1199"/>
      <c r="N298" s="1199">
        <v>4</v>
      </c>
      <c r="P298" s="144"/>
    </row>
    <row r="299" spans="1:16">
      <c r="A299" s="609" t="str">
        <f t="shared" si="22"/>
        <v>WDR TO  v. 01.03.2022</v>
      </c>
      <c r="B299" s="609">
        <f>ROW()</f>
        <v>299</v>
      </c>
      <c r="C299" s="635" t="s">
        <v>1107</v>
      </c>
      <c r="D299" s="1202">
        <v>44621</v>
      </c>
      <c r="F299" s="637" t="str">
        <f t="shared" si="23"/>
        <v/>
      </c>
      <c r="G299" s="634" t="str">
        <f t="shared" si="21"/>
        <v xml:space="preserve">TO ermöglicht: doppelten Kostenabzug; </v>
      </c>
      <c r="H299" s="414"/>
      <c r="K299" s="1199"/>
      <c r="L299" s="1199">
        <v>2</v>
      </c>
      <c r="M299" s="1199"/>
      <c r="N299" s="1199"/>
      <c r="P299" s="144">
        <f t="shared" si="20"/>
        <v>2</v>
      </c>
    </row>
    <row r="300" spans="1:16" ht="22.5">
      <c r="A300" s="609" t="str">
        <f t="shared" si="22"/>
        <v>Westdeutscher Rundfunk Tarifvertrag v. 05.12.2009</v>
      </c>
      <c r="B300" s="609">
        <f>ROW()</f>
        <v>300</v>
      </c>
      <c r="C300" s="635" t="s">
        <v>950</v>
      </c>
      <c r="D300" s="1201">
        <v>40152</v>
      </c>
      <c r="F300" s="637" t="str">
        <f t="shared" si="23"/>
        <v/>
      </c>
      <c r="G300" s="634" t="str">
        <f t="shared" si="21"/>
        <v>TO ermöglicht:  Abweichungen vom gerichtl. festgelegten Ausgleichswert;  Verzinsung zwischen EzE und RK geltend machen</v>
      </c>
      <c r="H300" s="414"/>
      <c r="K300" s="1199"/>
      <c r="L300" s="1199"/>
      <c r="M300" s="1199">
        <v>3</v>
      </c>
      <c r="N300" s="1199">
        <v>4</v>
      </c>
      <c r="P300" s="144">
        <f t="shared" si="20"/>
        <v>7</v>
      </c>
    </row>
    <row r="301" spans="1:16" ht="22.5">
      <c r="A301" s="609" t="str">
        <f t="shared" si="22"/>
        <v>Württembergische Lebensversicherung AG v. 01.07.2020</v>
      </c>
      <c r="B301" s="609">
        <f>ROW()</f>
        <v>301</v>
      </c>
      <c r="C301" s="635" t="s">
        <v>1556</v>
      </c>
      <c r="D301" s="1201">
        <v>44013</v>
      </c>
      <c r="E301" s="636" t="s">
        <v>660</v>
      </c>
      <c r="F301" s="637"/>
      <c r="G301" s="634" t="str">
        <f t="shared" si="21"/>
        <v>TO ermöglicht: doppelten Kostenabzug;  Verzinsung zwischen EzE und RK geltend machen</v>
      </c>
      <c r="H301" s="414"/>
      <c r="K301" s="1199"/>
      <c r="L301" s="1199">
        <v>2</v>
      </c>
      <c r="M301" s="1199"/>
      <c r="N301" s="1199">
        <v>4</v>
      </c>
      <c r="P301" s="144"/>
    </row>
    <row r="302" spans="1:16" ht="33.75">
      <c r="A302" s="609" t="str">
        <f t="shared" si="22"/>
        <v>Wüstenrot &amp; Württembergische DC Pensionszusagen durch Gehaltsumwandlung v. ohne Datum</v>
      </c>
      <c r="B302" s="609">
        <f>ROW()</f>
        <v>302</v>
      </c>
      <c r="C302" s="635" t="s">
        <v>1198</v>
      </c>
      <c r="D302" s="636" t="s">
        <v>1084</v>
      </c>
      <c r="E302" s="636">
        <v>5</v>
      </c>
      <c r="F302" s="637" t="str">
        <f t="shared" si="23"/>
        <v/>
      </c>
      <c r="G302" s="634" t="str">
        <f t="shared" si="21"/>
        <v>TO ermöglicht: doppelten Kostenabzug;  Abweichungen vom gerichtl. festgelegten Ausgleichswert;  Verzinsung zwischen EzE und RK geltend machen</v>
      </c>
      <c r="H302" s="414"/>
      <c r="K302" s="1199"/>
      <c r="L302" s="1199">
        <v>2</v>
      </c>
      <c r="M302" s="1199">
        <v>3</v>
      </c>
      <c r="N302" s="1199">
        <v>4</v>
      </c>
      <c r="P302" s="144">
        <f t="shared" si="20"/>
        <v>9</v>
      </c>
    </row>
    <row r="303" spans="1:16" ht="33.75">
      <c r="A303" s="609" t="str">
        <f t="shared" si="22"/>
        <v>Wüstenrot &amp; Württembergische Pensionskasse v. ohne Datum</v>
      </c>
      <c r="B303" s="609">
        <f>ROW()</f>
        <v>303</v>
      </c>
      <c r="C303" s="635" t="s">
        <v>1200</v>
      </c>
      <c r="D303" s="636" t="s">
        <v>1084</v>
      </c>
      <c r="E303" s="636" t="s">
        <v>1197</v>
      </c>
      <c r="F303" s="637" t="str">
        <f t="shared" si="23"/>
        <v>Ja</v>
      </c>
      <c r="G303" s="634" t="str">
        <f t="shared" si="21"/>
        <v>TO ermöglicht: Tarifwechel; doppelten Kostenabzug;  Abweichungen vom gerichtl. festgelegten Ausgleichswert;  Verzinsung zwischen EzE und RK geltend machen</v>
      </c>
      <c r="H303" s="414"/>
      <c r="K303" s="1199">
        <v>1</v>
      </c>
      <c r="L303" s="1199">
        <v>2</v>
      </c>
      <c r="M303" s="1199">
        <v>3</v>
      </c>
      <c r="N303" s="1199">
        <v>4</v>
      </c>
      <c r="P303" s="144">
        <f t="shared" si="20"/>
        <v>10</v>
      </c>
    </row>
    <row r="304" spans="1:16" ht="33.75">
      <c r="A304" s="609" t="str">
        <f t="shared" si="22"/>
        <v>Wüstenrot &amp; Württembergische Pensionszusage LHB v. ohne Datum</v>
      </c>
      <c r="B304" s="609">
        <f>ROW()</f>
        <v>304</v>
      </c>
      <c r="C304" s="635" t="s">
        <v>1199</v>
      </c>
      <c r="D304" s="636" t="s">
        <v>1084</v>
      </c>
      <c r="E304" s="636">
        <v>5</v>
      </c>
      <c r="F304" s="637" t="str">
        <f t="shared" si="23"/>
        <v/>
      </c>
      <c r="G304" s="634" t="str">
        <f t="shared" si="21"/>
        <v>TO ermöglicht: doppelten Kostenabzug;  Abweichungen vom gerichtl. festgelegten Ausgleichswert;  Verzinsung zwischen EzE und RK geltend machen</v>
      </c>
      <c r="H304" s="414"/>
      <c r="K304" s="1199"/>
      <c r="L304" s="1199">
        <v>2</v>
      </c>
      <c r="M304" s="1199">
        <v>3</v>
      </c>
      <c r="N304" s="1199">
        <v>4</v>
      </c>
      <c r="P304" s="144">
        <f t="shared" si="20"/>
        <v>9</v>
      </c>
    </row>
    <row r="305" spans="1:16" ht="33.75">
      <c r="A305" s="609" t="str">
        <f t="shared" si="22"/>
        <v>WWK v. 01.08.2014</v>
      </c>
      <c r="B305" s="609">
        <f>ROW()</f>
        <v>305</v>
      </c>
      <c r="C305" s="635" t="s">
        <v>1020</v>
      </c>
      <c r="D305" s="1201">
        <v>41852</v>
      </c>
      <c r="E305" s="636" t="s">
        <v>1019</v>
      </c>
      <c r="F305" s="637" t="str">
        <f t="shared" si="23"/>
        <v>Ja</v>
      </c>
      <c r="G305" s="634" t="str">
        <f t="shared" si="21"/>
        <v>TO ermöglicht: Tarifwechel; doppelten Kostenabzug;  Abweichungen vom gerichtl. festgelegten Ausgleichswert;  Verzinsung zwischen EzE und RK geltend machen</v>
      </c>
      <c r="H305" s="414"/>
      <c r="K305" s="1199">
        <v>1</v>
      </c>
      <c r="L305" s="1199">
        <v>2</v>
      </c>
      <c r="M305" s="1199">
        <v>3</v>
      </c>
      <c r="N305" s="1199">
        <v>4</v>
      </c>
      <c r="P305" s="144">
        <f t="shared" si="20"/>
        <v>10</v>
      </c>
    </row>
    <row r="306" spans="1:16" ht="22.5">
      <c r="A306" s="609" t="str">
        <f t="shared" si="22"/>
        <v>ZF Friedrichshafen ZF-Rente v. 02.11.2010</v>
      </c>
      <c r="B306" s="609">
        <f>ROW()</f>
        <v>306</v>
      </c>
      <c r="C306" s="635" t="s">
        <v>1240</v>
      </c>
      <c r="D306" s="1201">
        <v>40484</v>
      </c>
      <c r="E306" s="636" t="s">
        <v>202</v>
      </c>
      <c r="F306" s="637" t="str">
        <f t="shared" si="23"/>
        <v/>
      </c>
      <c r="G306" s="634" t="str">
        <f t="shared" si="21"/>
        <v>TO ermöglicht: doppelten Kostenabzug;  Verzinsung zwischen EzE und RK geltend machen</v>
      </c>
      <c r="H306" s="414"/>
      <c r="K306" s="1199"/>
      <c r="L306" s="1199">
        <v>2</v>
      </c>
      <c r="M306" s="1199"/>
      <c r="N306" s="1199">
        <v>4</v>
      </c>
      <c r="P306" s="144">
        <f t="shared" si="20"/>
        <v>6</v>
      </c>
    </row>
    <row r="307" spans="1:16" ht="25.5">
      <c r="A307" s="609" t="str">
        <f t="shared" si="22"/>
        <v>ZF-MP Altersversorgung e.V. beitragsorientierte Versorgungezusage v. 01.06.2011</v>
      </c>
      <c r="B307" s="609">
        <f>ROW()</f>
        <v>307</v>
      </c>
      <c r="C307" s="635" t="s">
        <v>1241</v>
      </c>
      <c r="D307" s="1201">
        <v>40695</v>
      </c>
      <c r="E307" s="636" t="s">
        <v>201</v>
      </c>
      <c r="F307" s="637" t="str">
        <f t="shared" si="23"/>
        <v/>
      </c>
      <c r="G307" s="634" t="str">
        <f t="shared" si="21"/>
        <v xml:space="preserve">TO ermöglicht: doppelten Kostenabzug; </v>
      </c>
      <c r="H307" s="414"/>
      <c r="K307" s="1199"/>
      <c r="L307" s="1199">
        <v>2</v>
      </c>
      <c r="M307" s="1199"/>
      <c r="N307" s="1199"/>
      <c r="P307" s="144">
        <f t="shared" si="20"/>
        <v>2</v>
      </c>
    </row>
    <row r="308" spans="1:16" ht="33.75">
      <c r="A308" s="609" t="str">
        <f t="shared" si="22"/>
        <v>Zurich  v. 01.02.2013</v>
      </c>
      <c r="B308" s="609">
        <f>ROW()</f>
        <v>308</v>
      </c>
      <c r="C308" s="635" t="s">
        <v>1324</v>
      </c>
      <c r="D308" s="1201">
        <v>41306</v>
      </c>
      <c r="E308" s="636">
        <v>5</v>
      </c>
      <c r="F308" s="637" t="str">
        <f t="shared" si="23"/>
        <v/>
      </c>
      <c r="G308" s="634" t="str">
        <f t="shared" si="21"/>
        <v>TO ermöglicht: doppelten Kostenabzug;  Abweichungen vom gerichtl. festgelegten Ausgleichswert;  Verzinsung zwischen EzE und RK geltend machen</v>
      </c>
      <c r="H308" s="414"/>
      <c r="K308" s="1199"/>
      <c r="L308" s="1199">
        <v>2</v>
      </c>
      <c r="M308" s="1199">
        <v>3</v>
      </c>
      <c r="N308" s="1199">
        <v>4</v>
      </c>
      <c r="P308" s="144">
        <f t="shared" si="20"/>
        <v>9</v>
      </c>
    </row>
    <row r="309" spans="1:16" ht="22.5">
      <c r="A309" s="609" t="str">
        <f t="shared" si="22"/>
        <v>Zurich Deutsche Herold Unterstützungskasse v. 19.05.2016</v>
      </c>
      <c r="B309" s="609">
        <f>ROW()</f>
        <v>309</v>
      </c>
      <c r="C309" s="635" t="s">
        <v>1239</v>
      </c>
      <c r="D309" s="1201">
        <v>42509</v>
      </c>
      <c r="E309" s="636" t="s">
        <v>1213</v>
      </c>
      <c r="F309" s="637" t="str">
        <f t="shared" si="23"/>
        <v>Ja</v>
      </c>
      <c r="G309" s="634" t="str">
        <f t="shared" si="21"/>
        <v>TO ermöglicht: Tarifwechel; doppelten Kostenabzug;  Verzinsung zwischen EzE und RK geltend machen</v>
      </c>
      <c r="H309" s="414"/>
      <c r="K309" s="1199">
        <v>1</v>
      </c>
      <c r="L309" s="1199">
        <v>2</v>
      </c>
      <c r="M309" s="1199"/>
      <c r="N309" s="1199">
        <v>4</v>
      </c>
      <c r="P309" s="144">
        <f t="shared" si="20"/>
        <v>7</v>
      </c>
    </row>
    <row r="310" spans="1:16" ht="33.75">
      <c r="A310" s="609" t="str">
        <f t="shared" si="22"/>
        <v>Zurich Deutscher Herold v. 01.01.2015</v>
      </c>
      <c r="B310" s="609">
        <f>ROW()</f>
        <v>310</v>
      </c>
      <c r="C310" s="635" t="s">
        <v>716</v>
      </c>
      <c r="D310" s="1201">
        <v>42005</v>
      </c>
      <c r="E310" s="636" t="s">
        <v>732</v>
      </c>
      <c r="F310" s="637" t="str">
        <f t="shared" si="23"/>
        <v>Ja</v>
      </c>
      <c r="G310" s="634" t="str">
        <f t="shared" si="21"/>
        <v>TO ermöglicht: Tarifwechel; doppelten Kostenabzug;  Abweichungen vom gerichtl. festgelegten Ausgleichswert;  Verzinsung zwischen EzE und RK geltend machen</v>
      </c>
      <c r="H310" s="414"/>
      <c r="K310" s="1199">
        <v>1</v>
      </c>
      <c r="L310" s="1199">
        <v>2</v>
      </c>
      <c r="M310" s="1199">
        <v>3</v>
      </c>
      <c r="N310" s="1199">
        <v>4</v>
      </c>
      <c r="O310" s="793" t="s">
        <v>733</v>
      </c>
      <c r="P310" s="144">
        <f t="shared" si="20"/>
        <v>10</v>
      </c>
    </row>
    <row r="311" spans="1:16" ht="22.5">
      <c r="A311" s="609" t="str">
        <f t="shared" si="22"/>
        <v>Zurich Deutscher Herold v. 19.05.2016</v>
      </c>
      <c r="B311" s="609">
        <f>ROW()</f>
        <v>311</v>
      </c>
      <c r="C311" s="635" t="s">
        <v>716</v>
      </c>
      <c r="D311" s="1201">
        <v>42509</v>
      </c>
      <c r="E311" s="636" t="s">
        <v>717</v>
      </c>
      <c r="F311" s="637" t="str">
        <f t="shared" si="23"/>
        <v>Ja</v>
      </c>
      <c r="G311" s="634" t="str">
        <f t="shared" si="21"/>
        <v xml:space="preserve">TO ermöglicht: Tarifwechel; doppelten Kostenabzug; </v>
      </c>
      <c r="H311" s="414"/>
      <c r="K311" s="1199">
        <v>1</v>
      </c>
      <c r="L311" s="1199">
        <v>2</v>
      </c>
      <c r="M311" s="1199"/>
      <c r="N311" s="1199"/>
      <c r="O311" s="793" t="s">
        <v>718</v>
      </c>
      <c r="P311" s="144">
        <f t="shared" si="20"/>
        <v>3</v>
      </c>
    </row>
    <row r="312" spans="1:16" ht="22.5">
      <c r="A312" s="609" t="str">
        <f t="shared" si="22"/>
        <v>Zweite real SB Warenhaus GmbH v. 01.07.2012</v>
      </c>
      <c r="B312" s="609">
        <f>ROW()</f>
        <v>312</v>
      </c>
      <c r="C312" s="1018" t="s">
        <v>1152</v>
      </c>
      <c r="D312" s="1201">
        <v>41091</v>
      </c>
      <c r="E312" s="636" t="s">
        <v>776</v>
      </c>
      <c r="F312" s="637" t="str">
        <f t="shared" si="23"/>
        <v>Ja</v>
      </c>
      <c r="G312" s="634" t="str">
        <f t="shared" si="21"/>
        <v xml:space="preserve">TO ermöglicht: Tarifwechel; </v>
      </c>
      <c r="H312" s="414"/>
      <c r="K312" s="1199">
        <v>1</v>
      </c>
      <c r="L312" s="1199"/>
      <c r="M312" s="1199"/>
      <c r="N312" s="1199"/>
      <c r="O312" s="793" t="s">
        <v>812</v>
      </c>
      <c r="P312" s="144">
        <f t="shared" si="20"/>
        <v>1</v>
      </c>
    </row>
    <row r="313" spans="1:16">
      <c r="A313" s="609" t="str">
        <f t="shared" si="22"/>
        <v/>
      </c>
      <c r="B313" s="609">
        <f>ROW()</f>
        <v>313</v>
      </c>
      <c r="F313" s="637" t="str">
        <f t="shared" si="23"/>
        <v/>
      </c>
      <c r="G313" s="634" t="str">
        <f t="shared" si="21"/>
        <v/>
      </c>
      <c r="H313" s="414"/>
      <c r="K313" s="1199"/>
      <c r="L313" s="1199"/>
      <c r="M313" s="1199"/>
      <c r="N313" s="1199"/>
      <c r="P313" s="144">
        <f t="shared" ref="P313:P334" si="24">SUM(K313:N313)</f>
        <v>0</v>
      </c>
    </row>
    <row r="314" spans="1:16">
      <c r="A314" s="609" t="str">
        <f t="shared" si="22"/>
        <v/>
      </c>
      <c r="B314" s="609">
        <f>ROW()</f>
        <v>314</v>
      </c>
      <c r="F314" s="637" t="str">
        <f t="shared" si="23"/>
        <v/>
      </c>
      <c r="G314" s="634" t="str">
        <f t="shared" ref="G314:G321" si="25">IF(SUM(K314:N314)=0,"","TO ermöglicht: "&amp;IF(K314&gt;0,"Tarifwechel; ","")&amp;IF(L314&gt;0,"doppelten Kostenabzug; ","")&amp;IF(M314&gt;0," Abweichungen vom gerichtl. festgelegten Ausgleichswert; ","")&amp;IF(N314&gt;0," Verzinsung zwischen EzE und RK geltend machen",""))</f>
        <v/>
      </c>
      <c r="H314" s="414"/>
      <c r="K314" s="1199"/>
      <c r="L314" s="1199"/>
      <c r="M314" s="1199"/>
      <c r="N314" s="1199"/>
      <c r="P314" s="144">
        <f t="shared" si="24"/>
        <v>0</v>
      </c>
    </row>
    <row r="315" spans="1:16">
      <c r="A315" s="609" t="str">
        <f t="shared" si="22"/>
        <v/>
      </c>
      <c r="B315" s="609">
        <f>ROW()</f>
        <v>315</v>
      </c>
      <c r="F315" s="637" t="str">
        <f t="shared" si="23"/>
        <v/>
      </c>
      <c r="G315" s="634" t="str">
        <f t="shared" si="25"/>
        <v/>
      </c>
      <c r="H315" s="414"/>
      <c r="K315" s="1199"/>
      <c r="L315" s="1199"/>
      <c r="M315" s="1199"/>
      <c r="N315" s="1199"/>
      <c r="P315" s="144">
        <f t="shared" si="24"/>
        <v>0</v>
      </c>
    </row>
    <row r="316" spans="1:16">
      <c r="A316" s="609" t="str">
        <f t="shared" si="22"/>
        <v/>
      </c>
      <c r="B316" s="609">
        <f>ROW()</f>
        <v>316</v>
      </c>
      <c r="F316" s="637" t="str">
        <f t="shared" si="23"/>
        <v/>
      </c>
      <c r="G316" s="634" t="str">
        <f t="shared" si="25"/>
        <v/>
      </c>
      <c r="H316" s="414"/>
      <c r="K316" s="1199"/>
      <c r="L316" s="1199"/>
      <c r="M316" s="1199"/>
      <c r="N316" s="1199"/>
      <c r="P316" s="144">
        <f t="shared" si="24"/>
        <v>0</v>
      </c>
    </row>
    <row r="317" spans="1:16">
      <c r="A317" s="609" t="str">
        <f t="shared" si="22"/>
        <v/>
      </c>
      <c r="B317" s="609">
        <f>ROW()</f>
        <v>317</v>
      </c>
      <c r="F317" s="637" t="str">
        <f t="shared" si="23"/>
        <v/>
      </c>
      <c r="G317" s="634" t="str">
        <f t="shared" si="25"/>
        <v/>
      </c>
      <c r="H317" s="414"/>
      <c r="K317" s="1199"/>
      <c r="L317" s="1199"/>
      <c r="M317" s="1199"/>
      <c r="N317" s="1199"/>
      <c r="P317" s="144">
        <f t="shared" si="24"/>
        <v>0</v>
      </c>
    </row>
    <row r="318" spans="1:16">
      <c r="A318" s="609" t="str">
        <f t="shared" si="22"/>
        <v/>
      </c>
      <c r="B318" s="609">
        <f>ROW()</f>
        <v>318</v>
      </c>
      <c r="F318" s="637" t="str">
        <f t="shared" si="23"/>
        <v/>
      </c>
      <c r="G318" s="634" t="str">
        <f t="shared" si="25"/>
        <v/>
      </c>
      <c r="H318" s="414"/>
      <c r="K318" s="1199"/>
      <c r="L318" s="1199"/>
      <c r="M318" s="1199"/>
      <c r="N318" s="1199"/>
      <c r="P318" s="144">
        <f t="shared" si="24"/>
        <v>0</v>
      </c>
    </row>
    <row r="319" spans="1:16">
      <c r="A319" s="609" t="str">
        <f t="shared" si="22"/>
        <v/>
      </c>
      <c r="B319" s="609">
        <f>ROW()</f>
        <v>319</v>
      </c>
      <c r="F319" s="637" t="str">
        <f t="shared" si="23"/>
        <v/>
      </c>
      <c r="G319" s="634" t="str">
        <f t="shared" si="25"/>
        <v/>
      </c>
      <c r="H319" s="414"/>
      <c r="K319" s="1199"/>
      <c r="L319" s="1199"/>
      <c r="M319" s="1199"/>
      <c r="N319" s="1199"/>
      <c r="P319" s="144">
        <f t="shared" si="24"/>
        <v>0</v>
      </c>
    </row>
    <row r="320" spans="1:16">
      <c r="A320" s="609" t="str">
        <f t="shared" si="22"/>
        <v/>
      </c>
      <c r="B320" s="609">
        <f>ROW()</f>
        <v>320</v>
      </c>
      <c r="F320" s="637" t="str">
        <f t="shared" si="23"/>
        <v/>
      </c>
      <c r="G320" s="634" t="str">
        <f t="shared" si="25"/>
        <v/>
      </c>
      <c r="H320" s="414"/>
      <c r="K320" s="1199"/>
      <c r="L320" s="1199"/>
      <c r="M320" s="1199"/>
      <c r="N320" s="1199"/>
      <c r="P320" s="144">
        <f t="shared" si="24"/>
        <v>0</v>
      </c>
    </row>
    <row r="321" spans="1:16">
      <c r="A321" s="609" t="str">
        <f t="shared" si="22"/>
        <v/>
      </c>
      <c r="B321" s="609">
        <f>ROW()</f>
        <v>321</v>
      </c>
      <c r="F321" s="637" t="str">
        <f t="shared" si="23"/>
        <v/>
      </c>
      <c r="G321" s="634" t="str">
        <f t="shared" si="25"/>
        <v/>
      </c>
      <c r="H321" s="414"/>
      <c r="K321" s="1199"/>
      <c r="L321" s="1199"/>
      <c r="M321" s="1199"/>
      <c r="N321" s="1199"/>
      <c r="P321" s="144">
        <f t="shared" si="24"/>
        <v>0</v>
      </c>
    </row>
    <row r="322" spans="1:16">
      <c r="A322" s="609" t="str">
        <f t="shared" si="22"/>
        <v/>
      </c>
      <c r="B322" s="609">
        <f>ROW()</f>
        <v>322</v>
      </c>
      <c r="F322" s="637" t="str">
        <f t="shared" si="23"/>
        <v/>
      </c>
      <c r="H322" s="414"/>
      <c r="K322" s="1199"/>
      <c r="L322" s="1199"/>
      <c r="M322" s="1199"/>
      <c r="N322" s="1199"/>
      <c r="P322" s="144">
        <f t="shared" si="24"/>
        <v>0</v>
      </c>
    </row>
    <row r="323" spans="1:16">
      <c r="A323" s="609" t="str">
        <f t="shared" si="22"/>
        <v/>
      </c>
      <c r="B323" s="609">
        <f>ROW()</f>
        <v>323</v>
      </c>
      <c r="F323" s="637" t="str">
        <f t="shared" si="23"/>
        <v/>
      </c>
      <c r="H323" s="414"/>
      <c r="K323" s="1199"/>
      <c r="L323" s="1199"/>
      <c r="M323" s="1199"/>
      <c r="N323" s="1199"/>
      <c r="P323" s="144">
        <f t="shared" si="24"/>
        <v>0</v>
      </c>
    </row>
    <row r="324" spans="1:16">
      <c r="A324" s="609" t="str">
        <f t="shared" si="22"/>
        <v/>
      </c>
      <c r="B324" s="609">
        <f>ROW()</f>
        <v>324</v>
      </c>
      <c r="F324" s="637" t="str">
        <f t="shared" si="23"/>
        <v/>
      </c>
      <c r="H324" s="414"/>
      <c r="K324" s="1199"/>
      <c r="L324" s="1199"/>
      <c r="M324" s="1199"/>
      <c r="N324" s="1199"/>
      <c r="P324" s="144">
        <f t="shared" si="24"/>
        <v>0</v>
      </c>
    </row>
    <row r="325" spans="1:16">
      <c r="A325" s="609" t="str">
        <f t="shared" si="22"/>
        <v/>
      </c>
      <c r="B325" s="609">
        <f>ROW()</f>
        <v>325</v>
      </c>
      <c r="F325" s="637" t="str">
        <f t="shared" si="23"/>
        <v/>
      </c>
      <c r="H325" s="414"/>
      <c r="K325" s="1199"/>
      <c r="L325" s="1199"/>
      <c r="M325" s="1199"/>
      <c r="N325" s="1199"/>
      <c r="P325" s="144">
        <f t="shared" si="24"/>
        <v>0</v>
      </c>
    </row>
    <row r="326" spans="1:16">
      <c r="A326" s="609" t="str">
        <f t="shared" si="22"/>
        <v/>
      </c>
      <c r="B326" s="609">
        <f>ROW()</f>
        <v>326</v>
      </c>
      <c r="F326" s="637" t="str">
        <f t="shared" si="23"/>
        <v/>
      </c>
      <c r="H326" s="414"/>
      <c r="K326" s="1199"/>
      <c r="L326" s="1199"/>
      <c r="M326" s="1199"/>
      <c r="N326" s="1199"/>
      <c r="P326" s="144">
        <f t="shared" si="24"/>
        <v>0</v>
      </c>
    </row>
    <row r="327" spans="1:16">
      <c r="A327" s="609" t="str">
        <f t="shared" si="22"/>
        <v/>
      </c>
      <c r="B327" s="609">
        <f>ROW()</f>
        <v>327</v>
      </c>
      <c r="F327" s="637" t="str">
        <f t="shared" si="23"/>
        <v/>
      </c>
      <c r="H327" s="414"/>
      <c r="K327" s="1199"/>
      <c r="L327" s="1199"/>
      <c r="M327" s="1199"/>
      <c r="N327" s="1199"/>
      <c r="P327" s="144">
        <f t="shared" si="24"/>
        <v>0</v>
      </c>
    </row>
    <row r="328" spans="1:16">
      <c r="A328" s="609" t="str">
        <f t="shared" si="22"/>
        <v/>
      </c>
      <c r="B328" s="609">
        <f>ROW()</f>
        <v>328</v>
      </c>
      <c r="F328" s="637" t="str">
        <f t="shared" si="23"/>
        <v/>
      </c>
      <c r="H328" s="414"/>
      <c r="K328" s="1199"/>
      <c r="L328" s="1199"/>
      <c r="M328" s="1199"/>
      <c r="N328" s="1199"/>
      <c r="P328" s="144">
        <f t="shared" si="24"/>
        <v>0</v>
      </c>
    </row>
    <row r="329" spans="1:16">
      <c r="A329" s="609" t="str">
        <f t="shared" si="22"/>
        <v/>
      </c>
      <c r="B329" s="609">
        <f>ROW()</f>
        <v>329</v>
      </c>
      <c r="F329" s="637" t="str">
        <f t="shared" si="23"/>
        <v/>
      </c>
      <c r="H329" s="414"/>
      <c r="K329" s="1199"/>
      <c r="L329" s="1199"/>
      <c r="M329" s="1199"/>
      <c r="N329" s="1199"/>
      <c r="P329" s="144">
        <f t="shared" si="24"/>
        <v>0</v>
      </c>
    </row>
    <row r="330" spans="1:16">
      <c r="A330" s="609" t="str">
        <f t="shared" si="22"/>
        <v/>
      </c>
      <c r="B330" s="609">
        <f>ROW()</f>
        <v>330</v>
      </c>
      <c r="F330" s="637" t="str">
        <f t="shared" si="23"/>
        <v/>
      </c>
      <c r="H330" s="414"/>
      <c r="K330" s="1199"/>
      <c r="L330" s="1199"/>
      <c r="M330" s="1199"/>
      <c r="N330" s="1199"/>
      <c r="P330" s="144">
        <f t="shared" si="24"/>
        <v>0</v>
      </c>
    </row>
    <row r="331" spans="1:16">
      <c r="A331" s="609" t="str">
        <f t="shared" si="22"/>
        <v/>
      </c>
      <c r="B331" s="609">
        <f>ROW()</f>
        <v>331</v>
      </c>
      <c r="F331" s="637" t="str">
        <f t="shared" si="23"/>
        <v/>
      </c>
      <c r="H331" s="414"/>
      <c r="K331" s="1199"/>
      <c r="L331" s="1199"/>
      <c r="M331" s="1199"/>
      <c r="N331" s="1199"/>
      <c r="P331" s="144">
        <f t="shared" si="24"/>
        <v>0</v>
      </c>
    </row>
    <row r="332" spans="1:16">
      <c r="A332" s="609" t="str">
        <f t="shared" si="22"/>
        <v/>
      </c>
      <c r="B332" s="609">
        <f>ROW()</f>
        <v>332</v>
      </c>
      <c r="F332" s="637" t="str">
        <f t="shared" si="23"/>
        <v/>
      </c>
      <c r="H332" s="414"/>
      <c r="K332" s="1199"/>
      <c r="L332" s="1199"/>
      <c r="M332" s="1199"/>
      <c r="N332" s="1199"/>
      <c r="P332" s="144">
        <f t="shared" si="24"/>
        <v>0</v>
      </c>
    </row>
    <row r="333" spans="1:16">
      <c r="A333" s="609" t="str">
        <f t="shared" si="22"/>
        <v/>
      </c>
      <c r="F333" s="637" t="str">
        <f t="shared" si="23"/>
        <v/>
      </c>
      <c r="H333" s="414"/>
      <c r="K333" s="1199"/>
      <c r="L333" s="1199"/>
      <c r="M333" s="1199"/>
      <c r="N333" s="1199"/>
      <c r="P333" s="144">
        <f t="shared" si="24"/>
        <v>0</v>
      </c>
    </row>
    <row r="334" spans="1:16">
      <c r="A334" s="609" t="str">
        <f t="shared" si="22"/>
        <v/>
      </c>
      <c r="F334" s="637" t="str">
        <f t="shared" si="23"/>
        <v/>
      </c>
      <c r="H334" s="414"/>
      <c r="K334" s="1199"/>
      <c r="L334" s="1199"/>
      <c r="M334" s="1199"/>
      <c r="N334" s="1199"/>
      <c r="P334" s="144">
        <f t="shared" si="24"/>
        <v>0</v>
      </c>
    </row>
    <row r="335" spans="1:16">
      <c r="A335" s="609" t="str">
        <f t="shared" si="22"/>
        <v/>
      </c>
      <c r="F335" s="637" t="str">
        <f t="shared" si="23"/>
        <v/>
      </c>
      <c r="H335" s="414"/>
      <c r="K335" s="1199"/>
      <c r="L335" s="1199"/>
      <c r="M335" s="1199"/>
      <c r="N335" s="1199"/>
    </row>
    <row r="336" spans="1:16">
      <c r="A336" s="609" t="str">
        <f t="shared" si="22"/>
        <v/>
      </c>
      <c r="F336" s="637" t="str">
        <f t="shared" si="23"/>
        <v/>
      </c>
      <c r="H336" s="414"/>
      <c r="K336" s="1199"/>
      <c r="L336" s="1199"/>
      <c r="M336" s="1199"/>
      <c r="N336" s="1199"/>
    </row>
    <row r="337" spans="1:14">
      <c r="A337" s="609" t="str">
        <f t="shared" si="22"/>
        <v/>
      </c>
      <c r="F337" s="637" t="str">
        <f t="shared" si="23"/>
        <v/>
      </c>
      <c r="H337" s="414"/>
      <c r="K337" s="1199"/>
      <c r="L337" s="1199"/>
      <c r="M337" s="1199"/>
      <c r="N337" s="1199"/>
    </row>
    <row r="338" spans="1:14">
      <c r="A338" s="609" t="str">
        <f t="shared" si="22"/>
        <v/>
      </c>
      <c r="F338" s="637" t="str">
        <f t="shared" si="23"/>
        <v/>
      </c>
      <c r="H338" s="414"/>
      <c r="K338" s="1199"/>
      <c r="L338" s="1199"/>
      <c r="M338" s="1199"/>
      <c r="N338" s="1199"/>
    </row>
    <row r="339" spans="1:14">
      <c r="A339" s="609" t="str">
        <f t="shared" si="22"/>
        <v/>
      </c>
      <c r="F339" s="637" t="str">
        <f t="shared" si="23"/>
        <v/>
      </c>
      <c r="H339" s="414"/>
      <c r="K339" s="1199"/>
      <c r="L339" s="1199"/>
      <c r="M339" s="1199"/>
      <c r="N339" s="1199"/>
    </row>
    <row r="340" spans="1:14">
      <c r="A340" s="609" t="str">
        <f t="shared" si="22"/>
        <v/>
      </c>
      <c r="F340" s="637" t="str">
        <f t="shared" si="23"/>
        <v/>
      </c>
      <c r="H340" s="414"/>
      <c r="K340" s="1199"/>
      <c r="L340" s="1199"/>
      <c r="M340" s="1199"/>
      <c r="N340" s="1199"/>
    </row>
    <row r="341" spans="1:14">
      <c r="A341" s="609" t="str">
        <f t="shared" si="22"/>
        <v/>
      </c>
      <c r="F341" s="637" t="str">
        <f t="shared" si="23"/>
        <v/>
      </c>
      <c r="H341" s="414"/>
      <c r="K341" s="1199"/>
      <c r="L341" s="1199"/>
      <c r="M341" s="1199"/>
      <c r="N341" s="1199"/>
    </row>
    <row r="342" spans="1:14">
      <c r="A342" s="609" t="str">
        <f t="shared" si="22"/>
        <v/>
      </c>
      <c r="F342" s="637" t="str">
        <f t="shared" si="23"/>
        <v/>
      </c>
      <c r="H342" s="414"/>
      <c r="K342" s="1199"/>
      <c r="L342" s="1199"/>
      <c r="M342" s="1199"/>
      <c r="N342" s="1199"/>
    </row>
    <row r="343" spans="1:14">
      <c r="A343" s="609" t="str">
        <f t="shared" si="22"/>
        <v/>
      </c>
      <c r="F343" s="637" t="str">
        <f t="shared" si="23"/>
        <v/>
      </c>
      <c r="H343" s="414"/>
      <c r="K343" s="1199"/>
      <c r="L343" s="1199"/>
      <c r="M343" s="1199"/>
      <c r="N343" s="1199"/>
    </row>
    <row r="344" spans="1:14">
      <c r="A344" s="609" t="str">
        <f t="shared" si="22"/>
        <v/>
      </c>
      <c r="F344" s="637" t="str">
        <f t="shared" si="23"/>
        <v/>
      </c>
      <c r="H344" s="414"/>
      <c r="K344" s="1199"/>
      <c r="L344" s="1199"/>
      <c r="M344" s="1199"/>
      <c r="N344" s="1199"/>
    </row>
    <row r="345" spans="1:14">
      <c r="A345" s="609" t="str">
        <f t="shared" si="22"/>
        <v/>
      </c>
      <c r="F345" s="637" t="str">
        <f t="shared" si="23"/>
        <v/>
      </c>
      <c r="H345" s="414"/>
      <c r="K345" s="1199"/>
      <c r="L345" s="1199"/>
      <c r="M345" s="1199"/>
      <c r="N345" s="1199"/>
    </row>
    <row r="346" spans="1:14">
      <c r="A346" s="609" t="str">
        <f t="shared" si="22"/>
        <v/>
      </c>
      <c r="F346" s="637" t="str">
        <f t="shared" si="23"/>
        <v/>
      </c>
      <c r="H346" s="414"/>
      <c r="K346" s="1199"/>
      <c r="L346" s="1199"/>
      <c r="M346" s="1199"/>
      <c r="N346" s="1199"/>
    </row>
    <row r="347" spans="1:14">
      <c r="A347" s="609" t="str">
        <f t="shared" si="22"/>
        <v/>
      </c>
      <c r="F347" s="637" t="str">
        <f t="shared" si="23"/>
        <v/>
      </c>
      <c r="H347" s="414"/>
      <c r="K347" s="1199"/>
      <c r="L347" s="1199"/>
      <c r="M347" s="1199"/>
      <c r="N347" s="1199"/>
    </row>
    <row r="348" spans="1:14">
      <c r="A348" s="609" t="str">
        <f t="shared" si="22"/>
        <v/>
      </c>
      <c r="F348" s="637" t="s">
        <v>472</v>
      </c>
      <c r="H348" s="414"/>
      <c r="K348" s="1199"/>
      <c r="L348" s="1199"/>
      <c r="M348" s="1199"/>
      <c r="N348" s="1199"/>
    </row>
    <row r="349" spans="1:14">
      <c r="A349" s="609" t="str">
        <f t="shared" si="22"/>
        <v/>
      </c>
      <c r="F349" s="637" t="s">
        <v>472</v>
      </c>
      <c r="H349" s="414"/>
      <c r="K349" s="1199"/>
      <c r="L349" s="1199"/>
      <c r="M349" s="1199"/>
      <c r="N349" s="1199"/>
    </row>
    <row r="350" spans="1:14">
      <c r="A350" s="609" t="str">
        <f t="shared" si="22"/>
        <v/>
      </c>
      <c r="F350" s="637" t="s">
        <v>472</v>
      </c>
      <c r="H350" s="414"/>
      <c r="K350" s="1199"/>
      <c r="L350" s="1199"/>
      <c r="M350" s="1199"/>
      <c r="N350" s="1199"/>
    </row>
    <row r="351" spans="1:14">
      <c r="A351" s="609" t="str">
        <f t="shared" ref="A351:A414" si="26">C351&amp;IF(D351=0,""," v. "&amp;TEXT(D351,"TT.MM.JJJ"))</f>
        <v/>
      </c>
      <c r="F351" s="637" t="s">
        <v>472</v>
      </c>
      <c r="H351" s="414"/>
      <c r="K351" s="1199"/>
      <c r="L351" s="1199"/>
      <c r="M351" s="1199"/>
      <c r="N351" s="1199"/>
    </row>
    <row r="352" spans="1:14">
      <c r="A352" s="609" t="str">
        <f t="shared" si="26"/>
        <v/>
      </c>
      <c r="F352" s="637" t="s">
        <v>472</v>
      </c>
      <c r="H352" s="414"/>
      <c r="K352" s="1199"/>
      <c r="L352" s="1199"/>
      <c r="M352" s="1199"/>
      <c r="N352" s="1199"/>
    </row>
    <row r="353" spans="1:14">
      <c r="A353" s="609" t="str">
        <f t="shared" si="26"/>
        <v/>
      </c>
      <c r="F353" s="637" t="s">
        <v>472</v>
      </c>
      <c r="H353" s="414"/>
      <c r="K353" s="1199"/>
      <c r="L353" s="1199"/>
      <c r="M353" s="1199"/>
      <c r="N353" s="1199"/>
    </row>
    <row r="354" spans="1:14">
      <c r="A354" s="609" t="str">
        <f t="shared" si="26"/>
        <v/>
      </c>
      <c r="F354" s="637" t="s">
        <v>472</v>
      </c>
      <c r="H354" s="414"/>
      <c r="K354" s="1199"/>
      <c r="L354" s="1199"/>
      <c r="M354" s="1199"/>
      <c r="N354" s="1199"/>
    </row>
    <row r="355" spans="1:14">
      <c r="A355" s="609" t="str">
        <f t="shared" si="26"/>
        <v/>
      </c>
      <c r="F355" s="637" t="s">
        <v>472</v>
      </c>
      <c r="H355" s="414"/>
      <c r="K355" s="1199"/>
      <c r="L355" s="1199"/>
      <c r="M355" s="1199"/>
      <c r="N355" s="1199"/>
    </row>
    <row r="356" spans="1:14">
      <c r="A356" s="609" t="str">
        <f t="shared" si="26"/>
        <v/>
      </c>
      <c r="F356" s="637" t="s">
        <v>472</v>
      </c>
      <c r="H356" s="414"/>
      <c r="K356" s="1199"/>
      <c r="L356" s="1199"/>
      <c r="M356" s="1199"/>
      <c r="N356" s="1199"/>
    </row>
    <row r="357" spans="1:14">
      <c r="A357" s="609" t="str">
        <f t="shared" si="26"/>
        <v/>
      </c>
      <c r="F357" s="637" t="s">
        <v>472</v>
      </c>
      <c r="H357" s="414"/>
      <c r="K357" s="1199"/>
      <c r="L357" s="1199"/>
      <c r="M357" s="1199"/>
      <c r="N357" s="1199"/>
    </row>
    <row r="358" spans="1:14">
      <c r="A358" s="609" t="str">
        <f t="shared" si="26"/>
        <v/>
      </c>
      <c r="F358" s="637" t="s">
        <v>472</v>
      </c>
      <c r="H358" s="414"/>
      <c r="K358" s="1199"/>
      <c r="L358" s="1199"/>
      <c r="M358" s="1199"/>
      <c r="N358" s="1199"/>
    </row>
    <row r="359" spans="1:14">
      <c r="A359" s="609" t="str">
        <f t="shared" si="26"/>
        <v/>
      </c>
      <c r="F359" s="637" t="s">
        <v>472</v>
      </c>
      <c r="H359" s="414"/>
      <c r="K359" s="1199"/>
      <c r="L359" s="1199"/>
      <c r="M359" s="1199"/>
      <c r="N359" s="1199"/>
    </row>
    <row r="360" spans="1:14">
      <c r="A360" s="609" t="str">
        <f t="shared" si="26"/>
        <v/>
      </c>
      <c r="F360" s="637" t="s">
        <v>472</v>
      </c>
      <c r="H360" s="414"/>
      <c r="K360" s="1199"/>
      <c r="L360" s="1199"/>
      <c r="M360" s="1199"/>
      <c r="N360" s="1199"/>
    </row>
    <row r="361" spans="1:14">
      <c r="A361" s="609" t="str">
        <f t="shared" si="26"/>
        <v/>
      </c>
      <c r="F361" s="637" t="s">
        <v>472</v>
      </c>
      <c r="H361" s="414"/>
      <c r="K361" s="1199"/>
      <c r="L361" s="1199"/>
      <c r="M361" s="1199"/>
      <c r="N361" s="1199"/>
    </row>
    <row r="362" spans="1:14">
      <c r="A362" s="609" t="str">
        <f t="shared" si="26"/>
        <v/>
      </c>
      <c r="F362" s="637" t="s">
        <v>472</v>
      </c>
      <c r="H362" s="414"/>
      <c r="K362" s="1199"/>
      <c r="L362" s="1199"/>
      <c r="M362" s="1199"/>
      <c r="N362" s="1199"/>
    </row>
    <row r="363" spans="1:14">
      <c r="A363" s="609" t="str">
        <f t="shared" si="26"/>
        <v/>
      </c>
      <c r="F363" s="637" t="s">
        <v>472</v>
      </c>
      <c r="H363" s="414"/>
      <c r="K363" s="1199"/>
      <c r="L363" s="1199"/>
      <c r="M363" s="1199"/>
      <c r="N363" s="1199"/>
    </row>
    <row r="364" spans="1:14">
      <c r="A364" s="609" t="str">
        <f t="shared" si="26"/>
        <v/>
      </c>
      <c r="F364" s="637" t="s">
        <v>472</v>
      </c>
      <c r="H364" s="414"/>
      <c r="K364" s="1199"/>
      <c r="L364" s="1199"/>
      <c r="M364" s="1199"/>
      <c r="N364" s="1199"/>
    </row>
    <row r="365" spans="1:14">
      <c r="A365" s="609" t="str">
        <f t="shared" si="26"/>
        <v/>
      </c>
      <c r="F365" s="637" t="s">
        <v>472</v>
      </c>
      <c r="H365" s="414"/>
      <c r="K365" s="1199"/>
      <c r="L365" s="1199"/>
      <c r="M365" s="1199"/>
      <c r="N365" s="1199"/>
    </row>
    <row r="366" spans="1:14">
      <c r="A366" s="609" t="str">
        <f t="shared" si="26"/>
        <v/>
      </c>
      <c r="F366" s="637" t="s">
        <v>472</v>
      </c>
      <c r="H366" s="414"/>
      <c r="K366" s="1199"/>
      <c r="L366" s="1199"/>
      <c r="M366" s="1199"/>
      <c r="N366" s="1199"/>
    </row>
    <row r="367" spans="1:14">
      <c r="A367" s="609" t="str">
        <f t="shared" si="26"/>
        <v/>
      </c>
      <c r="F367" s="637" t="s">
        <v>472</v>
      </c>
      <c r="H367" s="414"/>
      <c r="K367" s="1199"/>
      <c r="L367" s="1199"/>
      <c r="M367" s="1199"/>
      <c r="N367" s="1199"/>
    </row>
    <row r="368" spans="1:14">
      <c r="A368" s="609" t="str">
        <f t="shared" si="26"/>
        <v/>
      </c>
      <c r="F368" s="637" t="s">
        <v>472</v>
      </c>
      <c r="H368" s="414"/>
      <c r="K368" s="1199"/>
      <c r="L368" s="1199"/>
      <c r="M368" s="1199"/>
      <c r="N368" s="1199"/>
    </row>
    <row r="369" spans="1:14">
      <c r="A369" s="609" t="str">
        <f t="shared" si="26"/>
        <v/>
      </c>
      <c r="F369" s="637" t="s">
        <v>472</v>
      </c>
      <c r="H369" s="414"/>
      <c r="K369" s="1199"/>
      <c r="L369" s="1199"/>
      <c r="M369" s="1199"/>
      <c r="N369" s="1199"/>
    </row>
    <row r="370" spans="1:14">
      <c r="A370" s="609" t="str">
        <f t="shared" si="26"/>
        <v/>
      </c>
      <c r="F370" s="637" t="s">
        <v>472</v>
      </c>
      <c r="H370" s="414"/>
      <c r="K370" s="1199"/>
      <c r="L370" s="1199"/>
      <c r="M370" s="1199"/>
      <c r="N370" s="1199"/>
    </row>
    <row r="371" spans="1:14">
      <c r="A371" s="609" t="str">
        <f t="shared" si="26"/>
        <v/>
      </c>
      <c r="F371" s="637" t="s">
        <v>472</v>
      </c>
      <c r="H371" s="414"/>
      <c r="K371" s="1199"/>
      <c r="L371" s="1199"/>
      <c r="M371" s="1199"/>
      <c r="N371" s="1199"/>
    </row>
    <row r="372" spans="1:14">
      <c r="A372" s="609" t="str">
        <f t="shared" si="26"/>
        <v/>
      </c>
      <c r="F372" s="637" t="s">
        <v>472</v>
      </c>
      <c r="H372" s="414"/>
      <c r="K372" s="1199"/>
      <c r="L372" s="1199"/>
      <c r="M372" s="1199"/>
      <c r="N372" s="1199"/>
    </row>
    <row r="373" spans="1:14">
      <c r="A373" s="609" t="str">
        <f t="shared" si="26"/>
        <v/>
      </c>
      <c r="F373" s="637" t="s">
        <v>472</v>
      </c>
      <c r="H373" s="414"/>
      <c r="K373" s="1199"/>
      <c r="L373" s="1199"/>
      <c r="M373" s="1199"/>
      <c r="N373" s="1199"/>
    </row>
    <row r="374" spans="1:14">
      <c r="A374" s="609" t="str">
        <f t="shared" si="26"/>
        <v/>
      </c>
      <c r="F374" s="637" t="s">
        <v>472</v>
      </c>
      <c r="H374" s="414"/>
      <c r="K374" s="1199"/>
      <c r="L374" s="1199"/>
      <c r="M374" s="1199"/>
      <c r="N374" s="1199"/>
    </row>
    <row r="375" spans="1:14">
      <c r="A375" s="609" t="str">
        <f t="shared" si="26"/>
        <v/>
      </c>
      <c r="F375" s="637" t="s">
        <v>472</v>
      </c>
      <c r="H375" s="414"/>
      <c r="K375" s="1199"/>
      <c r="L375" s="1199"/>
      <c r="M375" s="1199"/>
      <c r="N375" s="1199"/>
    </row>
    <row r="376" spans="1:14">
      <c r="A376" s="609" t="str">
        <f t="shared" si="26"/>
        <v/>
      </c>
      <c r="F376" s="637" t="s">
        <v>472</v>
      </c>
      <c r="H376" s="414"/>
      <c r="K376" s="1199"/>
      <c r="L376" s="1199"/>
      <c r="M376" s="1199"/>
      <c r="N376" s="1199"/>
    </row>
    <row r="377" spans="1:14">
      <c r="A377" s="609" t="str">
        <f t="shared" si="26"/>
        <v/>
      </c>
      <c r="F377" s="637" t="s">
        <v>472</v>
      </c>
      <c r="H377" s="414"/>
      <c r="K377" s="1199"/>
      <c r="L377" s="1199"/>
      <c r="M377" s="1199"/>
      <c r="N377" s="1199"/>
    </row>
    <row r="378" spans="1:14">
      <c r="A378" s="609" t="str">
        <f t="shared" si="26"/>
        <v/>
      </c>
      <c r="F378" s="637" t="s">
        <v>472</v>
      </c>
      <c r="H378" s="414"/>
      <c r="K378" s="1199"/>
      <c r="L378" s="1199"/>
      <c r="M378" s="1199"/>
      <c r="N378" s="1199"/>
    </row>
    <row r="379" spans="1:14">
      <c r="A379" s="609" t="str">
        <f t="shared" si="26"/>
        <v/>
      </c>
      <c r="F379" s="637" t="s">
        <v>472</v>
      </c>
      <c r="H379" s="414"/>
      <c r="K379" s="1199"/>
      <c r="L379" s="1199"/>
      <c r="M379" s="1199"/>
      <c r="N379" s="1199"/>
    </row>
    <row r="380" spans="1:14">
      <c r="A380" s="609" t="str">
        <f t="shared" si="26"/>
        <v/>
      </c>
      <c r="F380" s="637" t="s">
        <v>472</v>
      </c>
      <c r="H380" s="414"/>
      <c r="K380" s="1199"/>
      <c r="L380" s="1199"/>
      <c r="M380" s="1199"/>
      <c r="N380" s="1199"/>
    </row>
    <row r="381" spans="1:14">
      <c r="A381" s="609" t="str">
        <f t="shared" si="26"/>
        <v/>
      </c>
      <c r="F381" s="637" t="s">
        <v>472</v>
      </c>
      <c r="H381" s="414"/>
      <c r="K381" s="1199"/>
      <c r="L381" s="1199"/>
      <c r="M381" s="1199"/>
      <c r="N381" s="1199"/>
    </row>
    <row r="382" spans="1:14">
      <c r="A382" s="609" t="str">
        <f t="shared" si="26"/>
        <v/>
      </c>
      <c r="F382" s="637" t="s">
        <v>472</v>
      </c>
      <c r="H382" s="414"/>
      <c r="K382" s="1199"/>
      <c r="L382" s="1199"/>
      <c r="M382" s="1199"/>
      <c r="N382" s="1199"/>
    </row>
    <row r="383" spans="1:14">
      <c r="A383" s="609" t="str">
        <f t="shared" si="26"/>
        <v/>
      </c>
      <c r="F383" s="637" t="s">
        <v>472</v>
      </c>
      <c r="H383" s="414"/>
      <c r="K383" s="1199"/>
      <c r="L383" s="1199"/>
      <c r="M383" s="1199"/>
      <c r="N383" s="1199"/>
    </row>
    <row r="384" spans="1:14">
      <c r="A384" s="609" t="str">
        <f t="shared" si="26"/>
        <v/>
      </c>
      <c r="F384" s="637" t="s">
        <v>472</v>
      </c>
      <c r="H384" s="414"/>
      <c r="K384" s="1199"/>
      <c r="L384" s="1199"/>
      <c r="M384" s="1199"/>
      <c r="N384" s="1199"/>
    </row>
    <row r="385" spans="1:14">
      <c r="A385" s="609" t="str">
        <f t="shared" si="26"/>
        <v/>
      </c>
      <c r="F385" s="637" t="s">
        <v>472</v>
      </c>
      <c r="H385" s="414"/>
      <c r="K385" s="1199"/>
      <c r="L385" s="1199"/>
      <c r="M385" s="1199"/>
      <c r="N385" s="1199"/>
    </row>
    <row r="386" spans="1:14">
      <c r="A386" s="609" t="str">
        <f t="shared" si="26"/>
        <v/>
      </c>
      <c r="F386" s="637" t="s">
        <v>472</v>
      </c>
      <c r="H386" s="414"/>
      <c r="K386" s="1199"/>
      <c r="L386" s="1199"/>
      <c r="M386" s="1199"/>
      <c r="N386" s="1199"/>
    </row>
    <row r="387" spans="1:14">
      <c r="A387" s="609" t="str">
        <f t="shared" si="26"/>
        <v/>
      </c>
      <c r="F387" s="637" t="s">
        <v>472</v>
      </c>
      <c r="H387" s="414"/>
      <c r="K387" s="1199"/>
      <c r="L387" s="1199"/>
      <c r="M387" s="1199"/>
      <c r="N387" s="1199"/>
    </row>
    <row r="388" spans="1:14">
      <c r="A388" s="609" t="str">
        <f t="shared" si="26"/>
        <v/>
      </c>
      <c r="F388" s="637" t="s">
        <v>472</v>
      </c>
      <c r="H388" s="414"/>
      <c r="K388" s="1199"/>
      <c r="L388" s="1199"/>
      <c r="M388" s="1199"/>
      <c r="N388" s="1199"/>
    </row>
    <row r="389" spans="1:14">
      <c r="A389" s="609" t="str">
        <f t="shared" si="26"/>
        <v/>
      </c>
      <c r="F389" s="637" t="s">
        <v>472</v>
      </c>
      <c r="H389" s="414"/>
      <c r="K389" s="1199"/>
      <c r="L389" s="1199"/>
      <c r="M389" s="1199"/>
      <c r="N389" s="1199"/>
    </row>
    <row r="390" spans="1:14">
      <c r="A390" s="609" t="str">
        <f t="shared" si="26"/>
        <v/>
      </c>
      <c r="F390" s="637" t="s">
        <v>472</v>
      </c>
      <c r="H390" s="414"/>
      <c r="K390" s="1199"/>
      <c r="L390" s="1199"/>
      <c r="M390" s="1199"/>
      <c r="N390" s="1199"/>
    </row>
    <row r="391" spans="1:14">
      <c r="A391" s="609" t="str">
        <f t="shared" si="26"/>
        <v/>
      </c>
      <c r="F391" s="637" t="s">
        <v>472</v>
      </c>
      <c r="H391" s="414"/>
      <c r="K391" s="1199"/>
      <c r="L391" s="1199"/>
      <c r="M391" s="1199"/>
      <c r="N391" s="1199"/>
    </row>
    <row r="392" spans="1:14">
      <c r="A392" s="609" t="str">
        <f t="shared" si="26"/>
        <v/>
      </c>
      <c r="F392" s="637" t="s">
        <v>472</v>
      </c>
      <c r="H392" s="414"/>
      <c r="K392" s="1199"/>
      <c r="L392" s="1199"/>
      <c r="M392" s="1199"/>
      <c r="N392" s="1199"/>
    </row>
    <row r="393" spans="1:14">
      <c r="A393" s="609" t="str">
        <f t="shared" si="26"/>
        <v/>
      </c>
      <c r="F393" s="637" t="s">
        <v>472</v>
      </c>
      <c r="H393" s="414"/>
      <c r="K393" s="1199"/>
      <c r="L393" s="1199"/>
      <c r="M393" s="1199"/>
      <c r="N393" s="1199"/>
    </row>
    <row r="394" spans="1:14">
      <c r="A394" s="609" t="str">
        <f t="shared" si="26"/>
        <v/>
      </c>
      <c r="F394" s="637" t="s">
        <v>472</v>
      </c>
      <c r="H394" s="414"/>
      <c r="K394" s="1199"/>
      <c r="L394" s="1199"/>
      <c r="M394" s="1199"/>
      <c r="N394" s="1199"/>
    </row>
    <row r="395" spans="1:14">
      <c r="A395" s="609" t="str">
        <f t="shared" si="26"/>
        <v/>
      </c>
      <c r="F395" s="637" t="s">
        <v>472</v>
      </c>
      <c r="H395" s="414"/>
      <c r="K395" s="1199"/>
      <c r="L395" s="1199"/>
      <c r="M395" s="1199"/>
      <c r="N395" s="1199"/>
    </row>
    <row r="396" spans="1:14">
      <c r="A396" s="609" t="str">
        <f t="shared" si="26"/>
        <v/>
      </c>
      <c r="F396" s="637" t="s">
        <v>472</v>
      </c>
      <c r="H396" s="414"/>
      <c r="K396" s="1199"/>
      <c r="L396" s="1199"/>
      <c r="M396" s="1199"/>
      <c r="N396" s="1199"/>
    </row>
    <row r="397" spans="1:14">
      <c r="A397" s="609" t="str">
        <f t="shared" si="26"/>
        <v/>
      </c>
      <c r="F397" s="637" t="s">
        <v>472</v>
      </c>
      <c r="H397" s="414"/>
      <c r="K397" s="1199"/>
      <c r="L397" s="1199"/>
      <c r="M397" s="1199"/>
      <c r="N397" s="1199"/>
    </row>
    <row r="398" spans="1:14">
      <c r="A398" s="609" t="str">
        <f t="shared" si="26"/>
        <v/>
      </c>
      <c r="F398" s="637" t="s">
        <v>472</v>
      </c>
      <c r="H398" s="414"/>
      <c r="K398" s="1199"/>
      <c r="L398" s="1199"/>
      <c r="M398" s="1199"/>
      <c r="N398" s="1199"/>
    </row>
    <row r="399" spans="1:14">
      <c r="A399" s="609" t="str">
        <f t="shared" si="26"/>
        <v/>
      </c>
      <c r="F399" s="637" t="s">
        <v>472</v>
      </c>
      <c r="H399" s="414"/>
      <c r="K399" s="1199"/>
      <c r="L399" s="1199"/>
      <c r="M399" s="1199"/>
      <c r="N399" s="1199"/>
    </row>
    <row r="400" spans="1:14">
      <c r="A400" s="609" t="str">
        <f t="shared" si="26"/>
        <v/>
      </c>
      <c r="F400" s="637" t="s">
        <v>472</v>
      </c>
      <c r="H400" s="414"/>
      <c r="K400" s="1199"/>
      <c r="L400" s="1199"/>
      <c r="M400" s="1199"/>
      <c r="N400" s="1199"/>
    </row>
    <row r="401" spans="1:14">
      <c r="A401" s="609" t="str">
        <f t="shared" si="26"/>
        <v/>
      </c>
      <c r="F401" s="637" t="s">
        <v>472</v>
      </c>
      <c r="H401" s="414"/>
      <c r="K401" s="1199"/>
      <c r="L401" s="1199"/>
      <c r="M401" s="1199"/>
      <c r="N401" s="1199"/>
    </row>
    <row r="402" spans="1:14">
      <c r="A402" s="609" t="str">
        <f t="shared" si="26"/>
        <v/>
      </c>
      <c r="F402" s="637" t="s">
        <v>472</v>
      </c>
      <c r="H402" s="414"/>
      <c r="K402" s="1199"/>
      <c r="L402" s="1199"/>
      <c r="M402" s="1199"/>
      <c r="N402" s="1199"/>
    </row>
    <row r="403" spans="1:14">
      <c r="A403" s="609" t="str">
        <f t="shared" si="26"/>
        <v/>
      </c>
      <c r="F403" s="637" t="s">
        <v>472</v>
      </c>
      <c r="H403" s="414"/>
      <c r="K403" s="1199"/>
      <c r="L403" s="1199"/>
      <c r="M403" s="1199"/>
      <c r="N403" s="1199"/>
    </row>
    <row r="404" spans="1:14">
      <c r="A404" s="609" t="str">
        <f t="shared" si="26"/>
        <v/>
      </c>
      <c r="F404" s="637" t="s">
        <v>472</v>
      </c>
      <c r="H404" s="414"/>
      <c r="K404" s="1199"/>
      <c r="L404" s="1199"/>
      <c r="M404" s="1199"/>
      <c r="N404" s="1199"/>
    </row>
    <row r="405" spans="1:14">
      <c r="A405" s="609" t="str">
        <f t="shared" si="26"/>
        <v/>
      </c>
      <c r="F405" s="637" t="s">
        <v>472</v>
      </c>
      <c r="H405" s="414"/>
      <c r="K405" s="1199"/>
      <c r="L405" s="1199"/>
      <c r="M405" s="1199"/>
      <c r="N405" s="1199"/>
    </row>
    <row r="406" spans="1:14">
      <c r="A406" s="609" t="str">
        <f t="shared" si="26"/>
        <v/>
      </c>
      <c r="F406" s="637" t="s">
        <v>472</v>
      </c>
      <c r="H406" s="414"/>
      <c r="K406" s="1199"/>
      <c r="L406" s="1199"/>
      <c r="M406" s="1199"/>
      <c r="N406" s="1199"/>
    </row>
    <row r="407" spans="1:14">
      <c r="A407" s="609" t="str">
        <f t="shared" si="26"/>
        <v/>
      </c>
      <c r="F407" s="637" t="s">
        <v>472</v>
      </c>
      <c r="H407" s="414"/>
      <c r="K407" s="1199"/>
      <c r="L407" s="1199"/>
      <c r="M407" s="1199"/>
      <c r="N407" s="1199"/>
    </row>
    <row r="408" spans="1:14">
      <c r="A408" s="609" t="str">
        <f t="shared" si="26"/>
        <v/>
      </c>
      <c r="F408" s="637" t="s">
        <v>472</v>
      </c>
      <c r="H408" s="414"/>
      <c r="K408" s="1199"/>
      <c r="L408" s="1199"/>
      <c r="M408" s="1199"/>
      <c r="N408" s="1199"/>
    </row>
    <row r="409" spans="1:14">
      <c r="A409" s="609" t="str">
        <f t="shared" si="26"/>
        <v/>
      </c>
      <c r="F409" s="637" t="s">
        <v>472</v>
      </c>
      <c r="H409" s="414"/>
      <c r="K409" s="1199"/>
      <c r="L409" s="1199"/>
      <c r="M409" s="1199"/>
      <c r="N409" s="1199"/>
    </row>
    <row r="410" spans="1:14">
      <c r="A410" s="609" t="str">
        <f t="shared" si="26"/>
        <v/>
      </c>
      <c r="F410" s="637" t="s">
        <v>472</v>
      </c>
      <c r="H410" s="414"/>
      <c r="K410" s="1199"/>
      <c r="L410" s="1199"/>
      <c r="M410" s="1199"/>
      <c r="N410" s="1199"/>
    </row>
    <row r="411" spans="1:14">
      <c r="A411" s="609" t="str">
        <f t="shared" si="26"/>
        <v/>
      </c>
      <c r="F411" s="637" t="s">
        <v>472</v>
      </c>
      <c r="H411" s="414"/>
      <c r="K411" s="1199"/>
      <c r="L411" s="1199"/>
      <c r="M411" s="1199"/>
      <c r="N411" s="1199"/>
    </row>
    <row r="412" spans="1:14">
      <c r="A412" s="609" t="str">
        <f t="shared" si="26"/>
        <v/>
      </c>
      <c r="F412" s="637" t="s">
        <v>472</v>
      </c>
      <c r="H412" s="414"/>
      <c r="K412" s="1199"/>
      <c r="L412" s="1199"/>
      <c r="M412" s="1199"/>
      <c r="N412" s="1199"/>
    </row>
    <row r="413" spans="1:14">
      <c r="A413" s="609" t="str">
        <f t="shared" si="26"/>
        <v/>
      </c>
      <c r="F413" s="637" t="s">
        <v>472</v>
      </c>
      <c r="H413" s="414"/>
      <c r="K413" s="1199"/>
      <c r="L413" s="1199"/>
      <c r="M413" s="1199"/>
      <c r="N413" s="1199"/>
    </row>
    <row r="414" spans="1:14">
      <c r="A414" s="609" t="str">
        <f t="shared" si="26"/>
        <v/>
      </c>
      <c r="F414" s="637" t="s">
        <v>472</v>
      </c>
      <c r="H414" s="414"/>
      <c r="K414" s="1199"/>
      <c r="L414" s="1199"/>
      <c r="M414" s="1199"/>
      <c r="N414" s="1199"/>
    </row>
    <row r="415" spans="1:14">
      <c r="A415" s="609" t="str">
        <f t="shared" ref="A415:A459" si="27">C415&amp;IF(D415=0,""," v. "&amp;TEXT(D415,"TT.MM.JJJ"))</f>
        <v/>
      </c>
      <c r="F415" s="637" t="s">
        <v>472</v>
      </c>
      <c r="H415" s="414"/>
      <c r="K415" s="1199"/>
      <c r="L415" s="1199"/>
      <c r="M415" s="1199"/>
      <c r="N415" s="1199"/>
    </row>
    <row r="416" spans="1:14">
      <c r="A416" s="609" t="str">
        <f t="shared" si="27"/>
        <v/>
      </c>
      <c r="F416" s="637" t="s">
        <v>472</v>
      </c>
      <c r="H416" s="414"/>
      <c r="K416" s="1199"/>
      <c r="L416" s="1199"/>
      <c r="M416" s="1199"/>
      <c r="N416" s="1199"/>
    </row>
    <row r="417" spans="1:14">
      <c r="A417" s="609" t="str">
        <f t="shared" si="27"/>
        <v/>
      </c>
      <c r="F417" s="637" t="s">
        <v>472</v>
      </c>
      <c r="H417" s="414"/>
      <c r="K417" s="1199"/>
      <c r="L417" s="1199"/>
      <c r="M417" s="1199"/>
      <c r="N417" s="1199"/>
    </row>
    <row r="418" spans="1:14">
      <c r="A418" s="609" t="str">
        <f t="shared" si="27"/>
        <v/>
      </c>
      <c r="F418" s="637" t="s">
        <v>472</v>
      </c>
      <c r="H418" s="414"/>
      <c r="K418" s="1199"/>
      <c r="L418" s="1199"/>
      <c r="M418" s="1199"/>
      <c r="N418" s="1199"/>
    </row>
    <row r="419" spans="1:14">
      <c r="A419" s="609" t="str">
        <f t="shared" si="27"/>
        <v/>
      </c>
      <c r="F419" s="637" t="s">
        <v>472</v>
      </c>
      <c r="H419" s="414"/>
      <c r="K419" s="1199"/>
      <c r="L419" s="1199"/>
      <c r="M419" s="1199"/>
      <c r="N419" s="1199"/>
    </row>
    <row r="420" spans="1:14">
      <c r="A420" s="609" t="str">
        <f t="shared" si="27"/>
        <v/>
      </c>
      <c r="F420" s="637" t="s">
        <v>472</v>
      </c>
      <c r="H420" s="414"/>
      <c r="K420" s="1199"/>
      <c r="L420" s="1199"/>
      <c r="M420" s="1199"/>
      <c r="N420" s="1199"/>
    </row>
    <row r="421" spans="1:14">
      <c r="A421" s="609" t="str">
        <f t="shared" si="27"/>
        <v/>
      </c>
      <c r="F421" s="637" t="s">
        <v>472</v>
      </c>
      <c r="H421" s="414"/>
      <c r="K421" s="1199"/>
      <c r="L421" s="1199"/>
      <c r="M421" s="1199"/>
      <c r="N421" s="1199"/>
    </row>
    <row r="422" spans="1:14">
      <c r="A422" s="609" t="str">
        <f t="shared" si="27"/>
        <v/>
      </c>
      <c r="F422" s="637" t="s">
        <v>472</v>
      </c>
      <c r="H422" s="414"/>
      <c r="K422" s="1199"/>
      <c r="L422" s="1199"/>
      <c r="M422" s="1199"/>
      <c r="N422" s="1199"/>
    </row>
    <row r="423" spans="1:14">
      <c r="A423" s="609" t="str">
        <f t="shared" si="27"/>
        <v/>
      </c>
      <c r="F423" s="637" t="s">
        <v>472</v>
      </c>
      <c r="H423" s="414"/>
      <c r="K423" s="1199"/>
      <c r="L423" s="1199"/>
      <c r="M423" s="1199"/>
      <c r="N423" s="1199"/>
    </row>
    <row r="424" spans="1:14">
      <c r="A424" s="609" t="str">
        <f t="shared" si="27"/>
        <v/>
      </c>
      <c r="F424" s="637" t="s">
        <v>472</v>
      </c>
      <c r="H424" s="414"/>
      <c r="K424" s="1199"/>
      <c r="L424" s="1199"/>
      <c r="M424" s="1199"/>
      <c r="N424" s="1199"/>
    </row>
    <row r="425" spans="1:14">
      <c r="A425" s="609" t="str">
        <f t="shared" si="27"/>
        <v/>
      </c>
      <c r="H425" s="414"/>
      <c r="K425" s="1199"/>
      <c r="L425" s="1199"/>
      <c r="M425" s="1199"/>
      <c r="N425" s="1199"/>
    </row>
    <row r="426" spans="1:14">
      <c r="A426" s="609" t="str">
        <f t="shared" si="27"/>
        <v/>
      </c>
      <c r="H426" s="414"/>
      <c r="K426" s="1199"/>
      <c r="L426" s="1199"/>
      <c r="M426" s="1199"/>
      <c r="N426" s="1199"/>
    </row>
    <row r="427" spans="1:14">
      <c r="A427" s="609" t="str">
        <f t="shared" si="27"/>
        <v/>
      </c>
      <c r="H427" s="414"/>
      <c r="K427" s="1199"/>
      <c r="L427" s="1199"/>
      <c r="M427" s="1199"/>
      <c r="N427" s="1199"/>
    </row>
    <row r="428" spans="1:14">
      <c r="A428" s="609" t="str">
        <f t="shared" si="27"/>
        <v/>
      </c>
      <c r="H428" s="414"/>
      <c r="K428" s="1199"/>
      <c r="L428" s="1199"/>
      <c r="M428" s="1199"/>
      <c r="N428" s="1199"/>
    </row>
    <row r="429" spans="1:14">
      <c r="A429" s="609" t="str">
        <f t="shared" si="27"/>
        <v/>
      </c>
      <c r="H429" s="414"/>
      <c r="K429" s="1199"/>
      <c r="L429" s="1199"/>
      <c r="M429" s="1199"/>
      <c r="N429" s="1199"/>
    </row>
    <row r="430" spans="1:14">
      <c r="A430" s="609" t="str">
        <f t="shared" si="27"/>
        <v/>
      </c>
      <c r="H430" s="414"/>
      <c r="K430" s="1199"/>
      <c r="L430" s="1199"/>
      <c r="M430" s="1199"/>
      <c r="N430" s="1199"/>
    </row>
    <row r="431" spans="1:14">
      <c r="A431" s="609" t="str">
        <f t="shared" si="27"/>
        <v/>
      </c>
      <c r="H431" s="414"/>
      <c r="K431" s="1199"/>
      <c r="L431" s="1199"/>
      <c r="M431" s="1199"/>
      <c r="N431" s="1199"/>
    </row>
    <row r="432" spans="1:14">
      <c r="A432" s="609" t="str">
        <f t="shared" si="27"/>
        <v/>
      </c>
      <c r="H432" s="414"/>
      <c r="K432" s="1199"/>
      <c r="L432" s="1199"/>
      <c r="M432" s="1199"/>
      <c r="N432" s="1199"/>
    </row>
    <row r="433" spans="1:14">
      <c r="A433" s="609" t="str">
        <f t="shared" si="27"/>
        <v/>
      </c>
      <c r="H433" s="414"/>
      <c r="K433" s="1199"/>
      <c r="L433" s="1199"/>
      <c r="M433" s="1199"/>
      <c r="N433" s="1199"/>
    </row>
    <row r="434" spans="1:14">
      <c r="A434" s="609" t="str">
        <f t="shared" si="27"/>
        <v/>
      </c>
      <c r="H434" s="414"/>
      <c r="K434" s="1199"/>
      <c r="L434" s="1199"/>
      <c r="M434" s="1199"/>
      <c r="N434" s="1199"/>
    </row>
    <row r="435" spans="1:14">
      <c r="A435" s="609" t="str">
        <f t="shared" si="27"/>
        <v/>
      </c>
      <c r="H435" s="414"/>
      <c r="K435" s="1199"/>
      <c r="L435" s="1199"/>
      <c r="M435" s="1199"/>
      <c r="N435" s="1199"/>
    </row>
    <row r="436" spans="1:14">
      <c r="A436" s="609" t="str">
        <f t="shared" si="27"/>
        <v/>
      </c>
      <c r="H436" s="414"/>
      <c r="K436" s="1199"/>
      <c r="L436" s="1199"/>
      <c r="M436" s="1199"/>
      <c r="N436" s="1199"/>
    </row>
    <row r="437" spans="1:14">
      <c r="A437" s="609" t="str">
        <f t="shared" si="27"/>
        <v/>
      </c>
      <c r="H437" s="414"/>
      <c r="K437" s="1199"/>
      <c r="L437" s="1199"/>
      <c r="M437" s="1199"/>
      <c r="N437" s="1199"/>
    </row>
    <row r="438" spans="1:14">
      <c r="A438" s="609" t="str">
        <f t="shared" si="27"/>
        <v/>
      </c>
      <c r="H438" s="414"/>
      <c r="K438" s="1199"/>
      <c r="L438" s="1199"/>
      <c r="M438" s="1199"/>
      <c r="N438" s="1199"/>
    </row>
    <row r="439" spans="1:14">
      <c r="A439" s="609" t="str">
        <f t="shared" si="27"/>
        <v/>
      </c>
      <c r="H439" s="414"/>
      <c r="K439" s="1199"/>
      <c r="L439" s="1199"/>
      <c r="M439" s="1199"/>
      <c r="N439" s="1199"/>
    </row>
    <row r="440" spans="1:14">
      <c r="A440" s="609" t="str">
        <f t="shared" si="27"/>
        <v/>
      </c>
      <c r="H440" s="414"/>
      <c r="K440" s="1199"/>
      <c r="L440" s="1199"/>
      <c r="M440" s="1199"/>
      <c r="N440" s="1199"/>
    </row>
    <row r="441" spans="1:14">
      <c r="A441" s="609" t="str">
        <f t="shared" si="27"/>
        <v/>
      </c>
      <c r="H441" s="414"/>
      <c r="K441" s="1199"/>
      <c r="L441" s="1199"/>
      <c r="M441" s="1199"/>
      <c r="N441" s="1199"/>
    </row>
    <row r="442" spans="1:14">
      <c r="A442" s="609" t="str">
        <f t="shared" si="27"/>
        <v/>
      </c>
      <c r="H442" s="414"/>
      <c r="K442" s="1199"/>
      <c r="L442" s="1199"/>
      <c r="M442" s="1199"/>
      <c r="N442" s="1199"/>
    </row>
    <row r="443" spans="1:14">
      <c r="A443" s="609" t="str">
        <f t="shared" si="27"/>
        <v/>
      </c>
      <c r="H443" s="414"/>
      <c r="K443" s="1199"/>
      <c r="L443" s="1199"/>
      <c r="M443" s="1199"/>
      <c r="N443" s="1199"/>
    </row>
    <row r="444" spans="1:14">
      <c r="A444" s="609" t="str">
        <f t="shared" si="27"/>
        <v/>
      </c>
      <c r="H444" s="414"/>
      <c r="K444" s="1199"/>
      <c r="L444" s="1199"/>
      <c r="M444" s="1199"/>
      <c r="N444" s="1199"/>
    </row>
    <row r="445" spans="1:14">
      <c r="A445" s="609" t="str">
        <f t="shared" si="27"/>
        <v/>
      </c>
      <c r="H445" s="414"/>
      <c r="K445" s="1199"/>
      <c r="L445" s="1199"/>
      <c r="M445" s="1199"/>
      <c r="N445" s="1199"/>
    </row>
    <row r="446" spans="1:14">
      <c r="A446" s="609" t="str">
        <f t="shared" si="27"/>
        <v/>
      </c>
      <c r="H446" s="414"/>
      <c r="K446" s="1199"/>
      <c r="L446" s="1199"/>
      <c r="M446" s="1199"/>
      <c r="N446" s="1199"/>
    </row>
    <row r="447" spans="1:14">
      <c r="A447" s="609" t="str">
        <f t="shared" si="27"/>
        <v/>
      </c>
      <c r="H447" s="414"/>
      <c r="K447" s="1199"/>
      <c r="L447" s="1199"/>
      <c r="M447" s="1199"/>
      <c r="N447" s="1199"/>
    </row>
    <row r="448" spans="1:14">
      <c r="A448" s="609" t="str">
        <f t="shared" si="27"/>
        <v/>
      </c>
      <c r="H448" s="414"/>
      <c r="K448" s="1199"/>
      <c r="L448" s="1199"/>
      <c r="M448" s="1199"/>
      <c r="N448" s="1199"/>
    </row>
    <row r="449" spans="1:14">
      <c r="A449" s="609" t="str">
        <f t="shared" si="27"/>
        <v/>
      </c>
      <c r="H449" s="414"/>
      <c r="K449" s="1199"/>
      <c r="L449" s="1199"/>
      <c r="M449" s="1199"/>
      <c r="N449" s="1199"/>
    </row>
    <row r="450" spans="1:14">
      <c r="A450" s="609" t="str">
        <f t="shared" si="27"/>
        <v/>
      </c>
      <c r="H450" s="414"/>
      <c r="K450" s="1199"/>
      <c r="L450" s="1199"/>
      <c r="M450" s="1199"/>
      <c r="N450" s="1199"/>
    </row>
    <row r="451" spans="1:14">
      <c r="A451" s="609" t="str">
        <f t="shared" si="27"/>
        <v/>
      </c>
      <c r="H451" s="414"/>
      <c r="K451" s="1199"/>
      <c r="L451" s="1199"/>
      <c r="M451" s="1199"/>
      <c r="N451" s="1199"/>
    </row>
    <row r="452" spans="1:14">
      <c r="A452" s="609" t="str">
        <f t="shared" si="27"/>
        <v/>
      </c>
      <c r="H452" s="414"/>
      <c r="K452" s="1199"/>
      <c r="L452" s="1199"/>
      <c r="M452" s="1199"/>
      <c r="N452" s="1199"/>
    </row>
    <row r="453" spans="1:14">
      <c r="A453" s="609" t="str">
        <f t="shared" si="27"/>
        <v/>
      </c>
      <c r="H453" s="414"/>
      <c r="K453" s="1199"/>
      <c r="L453" s="1199"/>
      <c r="M453" s="1199"/>
      <c r="N453" s="1199"/>
    </row>
    <row r="454" spans="1:14">
      <c r="A454" s="609" t="str">
        <f t="shared" si="27"/>
        <v/>
      </c>
      <c r="H454" s="414"/>
      <c r="K454" s="1199"/>
      <c r="L454" s="1199"/>
      <c r="M454" s="1199"/>
      <c r="N454" s="1199"/>
    </row>
    <row r="455" spans="1:14">
      <c r="A455" s="609" t="str">
        <f t="shared" si="27"/>
        <v/>
      </c>
      <c r="H455" s="414"/>
      <c r="K455" s="1199"/>
      <c r="L455" s="1199"/>
      <c r="M455" s="1199"/>
      <c r="N455" s="1199"/>
    </row>
    <row r="456" spans="1:14">
      <c r="A456" s="609" t="str">
        <f t="shared" si="27"/>
        <v/>
      </c>
      <c r="H456" s="414"/>
      <c r="K456" s="1199"/>
      <c r="L456" s="1199"/>
      <c r="M456" s="1199"/>
      <c r="N456" s="1199"/>
    </row>
    <row r="457" spans="1:14">
      <c r="A457" s="609" t="str">
        <f t="shared" si="27"/>
        <v/>
      </c>
      <c r="H457" s="414"/>
      <c r="K457" s="1199"/>
      <c r="L457" s="1199"/>
      <c r="M457" s="1199"/>
      <c r="N457" s="1199"/>
    </row>
    <row r="458" spans="1:14">
      <c r="A458" s="609" t="str">
        <f t="shared" si="27"/>
        <v/>
      </c>
      <c r="H458" s="414"/>
      <c r="K458" s="1199"/>
      <c r="L458" s="1199"/>
      <c r="M458" s="1199"/>
      <c r="N458" s="1199"/>
    </row>
    <row r="459" spans="1:14">
      <c r="A459" s="609" t="str">
        <f t="shared" si="27"/>
        <v/>
      </c>
      <c r="H459" s="414"/>
      <c r="K459" s="1199"/>
      <c r="L459" s="1199"/>
      <c r="M459" s="1199"/>
      <c r="N459" s="1199"/>
    </row>
    <row r="460" spans="1:14">
      <c r="H460" s="414"/>
      <c r="K460" s="1199"/>
      <c r="L460" s="1199"/>
      <c r="M460" s="1199"/>
      <c r="N460" s="1199"/>
    </row>
    <row r="461" spans="1:14">
      <c r="H461" s="414"/>
      <c r="K461" s="1199"/>
      <c r="L461" s="1199"/>
      <c r="M461" s="1199"/>
      <c r="N461" s="1199"/>
    </row>
    <row r="462" spans="1:14">
      <c r="H462" s="414"/>
      <c r="K462" s="1199"/>
      <c r="L462" s="1199"/>
      <c r="M462" s="1199"/>
      <c r="N462" s="1199"/>
    </row>
    <row r="463" spans="1:14">
      <c r="H463" s="414"/>
      <c r="K463" s="1199"/>
      <c r="L463" s="1199"/>
      <c r="M463" s="1199"/>
      <c r="N463" s="1199"/>
    </row>
    <row r="464" spans="1:14">
      <c r="H464" s="414"/>
      <c r="K464" s="1199"/>
      <c r="L464" s="1199"/>
      <c r="M464" s="1199"/>
      <c r="N464" s="1199"/>
    </row>
    <row r="465" spans="8:14">
      <c r="H465" s="414"/>
      <c r="K465" s="1199"/>
      <c r="L465" s="1199"/>
      <c r="M465" s="1199"/>
      <c r="N465" s="1199"/>
    </row>
    <row r="466" spans="8:14">
      <c r="H466" s="414"/>
      <c r="K466" s="1199"/>
      <c r="L466" s="1199"/>
      <c r="M466" s="1199"/>
      <c r="N466" s="1199"/>
    </row>
    <row r="467" spans="8:14">
      <c r="H467" s="414"/>
      <c r="K467" s="1199"/>
      <c r="L467" s="1199"/>
      <c r="M467" s="1199"/>
      <c r="N467" s="1199"/>
    </row>
    <row r="468" spans="8:14">
      <c r="H468" s="414"/>
      <c r="K468" s="1199"/>
      <c r="L468" s="1199"/>
      <c r="M468" s="1199"/>
      <c r="N468" s="1199"/>
    </row>
    <row r="469" spans="8:14">
      <c r="H469" s="414"/>
      <c r="K469" s="1199"/>
      <c r="L469" s="1199"/>
      <c r="M469" s="1199"/>
      <c r="N469" s="1199"/>
    </row>
    <row r="470" spans="8:14">
      <c r="H470" s="414"/>
      <c r="K470" s="1199"/>
      <c r="L470" s="1199"/>
      <c r="M470" s="1199"/>
      <c r="N470" s="1199"/>
    </row>
    <row r="471" spans="8:14">
      <c r="H471" s="414"/>
      <c r="K471" s="1199"/>
      <c r="L471" s="1199"/>
      <c r="M471" s="1199"/>
      <c r="N471" s="1199"/>
    </row>
    <row r="472" spans="8:14">
      <c r="H472" s="414"/>
      <c r="K472" s="1199"/>
      <c r="L472" s="1199"/>
      <c r="M472" s="1199"/>
      <c r="N472" s="1199"/>
    </row>
    <row r="473" spans="8:14">
      <c r="H473" s="414"/>
      <c r="K473" s="1199"/>
      <c r="L473" s="1199"/>
      <c r="M473" s="1199"/>
      <c r="N473" s="1199"/>
    </row>
    <row r="474" spans="8:14">
      <c r="H474" s="414"/>
      <c r="K474" s="1199"/>
      <c r="L474" s="1199"/>
      <c r="M474" s="1199"/>
      <c r="N474" s="1199"/>
    </row>
    <row r="475" spans="8:14">
      <c r="H475" s="414"/>
      <c r="K475" s="1199"/>
      <c r="L475" s="1199"/>
      <c r="M475" s="1199"/>
      <c r="N475" s="1199"/>
    </row>
    <row r="476" spans="8:14">
      <c r="H476" s="414"/>
      <c r="K476" s="1199"/>
      <c r="L476" s="1199"/>
      <c r="M476" s="1199"/>
      <c r="N476" s="1199"/>
    </row>
    <row r="477" spans="8:14">
      <c r="H477" s="414"/>
      <c r="K477" s="1199"/>
      <c r="L477" s="1199"/>
      <c r="M477" s="1199"/>
      <c r="N477" s="1199"/>
    </row>
    <row r="478" spans="8:14">
      <c r="H478" s="414"/>
      <c r="K478" s="1199"/>
      <c r="L478" s="1199"/>
      <c r="M478" s="1199"/>
      <c r="N478" s="1199"/>
    </row>
    <row r="479" spans="8:14">
      <c r="H479" s="414"/>
      <c r="K479" s="1199"/>
      <c r="L479" s="1199"/>
      <c r="M479" s="1199"/>
      <c r="N479" s="1199"/>
    </row>
    <row r="480" spans="8:14">
      <c r="H480" s="414"/>
      <c r="K480" s="1199"/>
      <c r="L480" s="1199"/>
      <c r="M480" s="1199"/>
      <c r="N480" s="1199"/>
    </row>
    <row r="481" spans="8:14">
      <c r="H481" s="414"/>
      <c r="K481" s="1199"/>
      <c r="L481" s="1199"/>
      <c r="M481" s="1199"/>
      <c r="N481" s="1199"/>
    </row>
    <row r="482" spans="8:14">
      <c r="H482" s="414"/>
      <c r="K482" s="1199"/>
      <c r="L482" s="1199"/>
      <c r="M482" s="1199"/>
      <c r="N482" s="1199"/>
    </row>
    <row r="483" spans="8:14">
      <c r="H483" s="414"/>
      <c r="K483" s="1199"/>
      <c r="L483" s="1199"/>
      <c r="M483" s="1199"/>
      <c r="N483" s="1199"/>
    </row>
    <row r="484" spans="8:14">
      <c r="H484" s="414"/>
      <c r="K484" s="1199"/>
      <c r="L484" s="1199"/>
      <c r="M484" s="1199"/>
      <c r="N484" s="1199"/>
    </row>
    <row r="485" spans="8:14">
      <c r="H485" s="414"/>
      <c r="K485" s="1199"/>
      <c r="L485" s="1199"/>
      <c r="M485" s="1199"/>
      <c r="N485" s="1199"/>
    </row>
    <row r="486" spans="8:14">
      <c r="H486" s="414"/>
      <c r="K486" s="1199"/>
      <c r="L486" s="1199"/>
      <c r="M486" s="1199"/>
      <c r="N486" s="1199"/>
    </row>
    <row r="487" spans="8:14">
      <c r="H487" s="414"/>
      <c r="K487" s="1199"/>
      <c r="L487" s="1199"/>
      <c r="M487" s="1199"/>
      <c r="N487" s="1199"/>
    </row>
    <row r="488" spans="8:14">
      <c r="H488" s="414"/>
      <c r="K488" s="1199"/>
      <c r="L488" s="1199"/>
      <c r="M488" s="1199"/>
      <c r="N488" s="1199"/>
    </row>
    <row r="489" spans="8:14">
      <c r="H489" s="414"/>
      <c r="K489" s="1199"/>
      <c r="L489" s="1199"/>
      <c r="M489" s="1199"/>
      <c r="N489" s="1199"/>
    </row>
    <row r="490" spans="8:14">
      <c r="H490" s="414"/>
      <c r="K490" s="1199"/>
      <c r="L490" s="1199"/>
      <c r="M490" s="1199"/>
      <c r="N490" s="1199"/>
    </row>
    <row r="491" spans="8:14">
      <c r="H491" s="414"/>
      <c r="K491" s="1199"/>
      <c r="L491" s="1199"/>
      <c r="M491" s="1199"/>
      <c r="N491" s="1199"/>
    </row>
    <row r="492" spans="8:14">
      <c r="H492" s="414"/>
      <c r="K492" s="1199"/>
      <c r="L492" s="1199"/>
      <c r="M492" s="1199"/>
      <c r="N492" s="1199"/>
    </row>
    <row r="493" spans="8:14">
      <c r="H493" s="414"/>
      <c r="K493" s="1199"/>
      <c r="L493" s="1199"/>
      <c r="M493" s="1199"/>
      <c r="N493" s="1199"/>
    </row>
    <row r="494" spans="8:14">
      <c r="H494" s="414"/>
      <c r="K494" s="1199"/>
      <c r="L494" s="1199"/>
      <c r="M494" s="1199"/>
      <c r="N494" s="1199"/>
    </row>
    <row r="495" spans="8:14">
      <c r="H495" s="414"/>
      <c r="K495" s="1199"/>
      <c r="L495" s="1199"/>
      <c r="M495" s="1199"/>
      <c r="N495" s="1199"/>
    </row>
    <row r="496" spans="8:14">
      <c r="H496" s="414"/>
      <c r="K496" s="1199"/>
      <c r="L496" s="1199"/>
      <c r="M496" s="1199"/>
      <c r="N496" s="1199"/>
    </row>
    <row r="497" spans="8:14">
      <c r="H497" s="414"/>
      <c r="K497" s="1199"/>
      <c r="L497" s="1199"/>
      <c r="M497" s="1199"/>
      <c r="N497" s="1199"/>
    </row>
    <row r="498" spans="8:14">
      <c r="H498" s="414"/>
      <c r="K498" s="1199"/>
      <c r="L498" s="1199"/>
      <c r="M498" s="1199"/>
      <c r="N498" s="1199"/>
    </row>
    <row r="499" spans="8:14">
      <c r="H499" s="414"/>
      <c r="K499" s="1199"/>
      <c r="L499" s="1199"/>
      <c r="M499" s="1199"/>
      <c r="N499" s="1199"/>
    </row>
    <row r="500" spans="8:14">
      <c r="H500" s="414"/>
      <c r="K500" s="1199"/>
      <c r="L500" s="1199"/>
      <c r="M500" s="1199"/>
      <c r="N500" s="1199"/>
    </row>
    <row r="501" spans="8:14">
      <c r="H501" s="414"/>
      <c r="K501" s="1199"/>
      <c r="L501" s="1199"/>
      <c r="M501" s="1199"/>
      <c r="N501" s="1199"/>
    </row>
    <row r="502" spans="8:14">
      <c r="H502" s="414"/>
      <c r="K502" s="1199"/>
      <c r="L502" s="1199"/>
      <c r="M502" s="1199"/>
      <c r="N502" s="1199"/>
    </row>
    <row r="503" spans="8:14">
      <c r="H503" s="414"/>
      <c r="K503" s="1199"/>
      <c r="L503" s="1199"/>
      <c r="M503" s="1199"/>
      <c r="N503" s="1199"/>
    </row>
    <row r="504" spans="8:14">
      <c r="H504" s="414"/>
      <c r="K504" s="1199"/>
      <c r="L504" s="1199"/>
      <c r="M504" s="1199"/>
      <c r="N504" s="1199"/>
    </row>
    <row r="505" spans="8:14">
      <c r="H505" s="414"/>
      <c r="K505" s="1199"/>
      <c r="L505" s="1199"/>
      <c r="M505" s="1199"/>
      <c r="N505" s="1199"/>
    </row>
    <row r="506" spans="8:14">
      <c r="H506" s="414"/>
      <c r="K506" s="1199"/>
      <c r="L506" s="1199"/>
      <c r="M506" s="1199"/>
      <c r="N506" s="1199"/>
    </row>
    <row r="507" spans="8:14">
      <c r="H507" s="414"/>
      <c r="K507" s="1199"/>
      <c r="L507" s="1199"/>
      <c r="M507" s="1199"/>
      <c r="N507" s="1199"/>
    </row>
    <row r="508" spans="8:14">
      <c r="H508" s="414"/>
      <c r="K508" s="1199"/>
      <c r="L508" s="1199"/>
      <c r="M508" s="1199"/>
      <c r="N508" s="1199"/>
    </row>
    <row r="509" spans="8:14">
      <c r="H509" s="414"/>
      <c r="K509" s="1199"/>
      <c r="L509" s="1199"/>
      <c r="M509" s="1199"/>
      <c r="N509" s="1199"/>
    </row>
    <row r="510" spans="8:14">
      <c r="H510" s="414"/>
      <c r="K510" s="1199"/>
      <c r="L510" s="1199"/>
      <c r="M510" s="1199"/>
      <c r="N510" s="1199"/>
    </row>
    <row r="511" spans="8:14">
      <c r="H511" s="414"/>
      <c r="K511" s="1199"/>
      <c r="L511" s="1199"/>
      <c r="M511" s="1199"/>
      <c r="N511" s="1199"/>
    </row>
    <row r="512" spans="8:14">
      <c r="H512" s="414"/>
      <c r="K512" s="1199"/>
      <c r="L512" s="1199"/>
      <c r="M512" s="1199"/>
      <c r="N512" s="1199"/>
    </row>
    <row r="513" spans="8:14">
      <c r="H513" s="414"/>
      <c r="K513" s="1199"/>
      <c r="L513" s="1199"/>
      <c r="M513" s="1199"/>
      <c r="N513" s="1199"/>
    </row>
    <row r="514" spans="8:14">
      <c r="H514" s="414"/>
      <c r="K514" s="1199"/>
      <c r="L514" s="1199"/>
      <c r="M514" s="1199"/>
      <c r="N514" s="1199"/>
    </row>
    <row r="515" spans="8:14">
      <c r="H515" s="414"/>
      <c r="K515" s="1199"/>
      <c r="L515" s="1199"/>
      <c r="M515" s="1199"/>
      <c r="N515" s="1199"/>
    </row>
    <row r="516" spans="8:14">
      <c r="H516" s="414"/>
      <c r="K516" s="1199"/>
      <c r="L516" s="1199"/>
      <c r="M516" s="1199"/>
      <c r="N516" s="1199"/>
    </row>
    <row r="517" spans="8:14">
      <c r="H517" s="414"/>
      <c r="K517" s="1199"/>
      <c r="L517" s="1199"/>
      <c r="M517" s="1199"/>
      <c r="N517" s="1199"/>
    </row>
    <row r="518" spans="8:14">
      <c r="H518" s="414"/>
      <c r="K518" s="1199"/>
      <c r="L518" s="1199"/>
      <c r="M518" s="1199"/>
      <c r="N518" s="1199"/>
    </row>
    <row r="519" spans="8:14">
      <c r="H519" s="414"/>
      <c r="K519" s="1199"/>
      <c r="L519" s="1199"/>
      <c r="M519" s="1199"/>
      <c r="N519" s="1199"/>
    </row>
    <row r="520" spans="8:14">
      <c r="H520" s="414"/>
      <c r="K520" s="1199"/>
      <c r="L520" s="1199"/>
      <c r="M520" s="1199"/>
      <c r="N520" s="1199"/>
    </row>
    <row r="521" spans="8:14">
      <c r="H521" s="414"/>
      <c r="K521" s="1199"/>
      <c r="L521" s="1199"/>
      <c r="M521" s="1199"/>
      <c r="N521" s="1199"/>
    </row>
    <row r="522" spans="8:14">
      <c r="H522" s="414"/>
      <c r="K522" s="1199"/>
      <c r="L522" s="1199"/>
      <c r="M522" s="1199"/>
      <c r="N522" s="1199"/>
    </row>
    <row r="523" spans="8:14">
      <c r="H523" s="414"/>
      <c r="K523" s="1199"/>
      <c r="L523" s="1199"/>
      <c r="M523" s="1199"/>
      <c r="N523" s="1199"/>
    </row>
    <row r="524" spans="8:14">
      <c r="H524" s="414"/>
      <c r="K524" s="1199"/>
      <c r="L524" s="1199"/>
      <c r="M524" s="1199"/>
      <c r="N524" s="1199"/>
    </row>
    <row r="525" spans="8:14">
      <c r="H525" s="414"/>
      <c r="K525" s="1199"/>
      <c r="L525" s="1199"/>
      <c r="M525" s="1199"/>
      <c r="N525" s="1199"/>
    </row>
    <row r="526" spans="8:14">
      <c r="H526" s="414"/>
      <c r="K526" s="1199"/>
      <c r="L526" s="1199"/>
      <c r="M526" s="1199"/>
      <c r="N526" s="1199"/>
    </row>
    <row r="527" spans="8:14">
      <c r="H527" s="414"/>
      <c r="K527" s="1199"/>
      <c r="L527" s="1199"/>
      <c r="M527" s="1199"/>
      <c r="N527" s="1199"/>
    </row>
    <row r="528" spans="8:14">
      <c r="H528" s="414"/>
      <c r="K528" s="1199"/>
      <c r="L528" s="1199"/>
      <c r="M528" s="1199"/>
      <c r="N528" s="1199"/>
    </row>
    <row r="529" spans="8:14">
      <c r="H529" s="414"/>
      <c r="K529" s="1199"/>
      <c r="L529" s="1199"/>
      <c r="M529" s="1199"/>
      <c r="N529" s="1199"/>
    </row>
    <row r="530" spans="8:14">
      <c r="H530" s="414"/>
      <c r="K530" s="1199"/>
      <c r="L530" s="1199"/>
      <c r="M530" s="1199"/>
      <c r="N530" s="1199"/>
    </row>
    <row r="531" spans="8:14">
      <c r="H531" s="414"/>
      <c r="K531" s="1199"/>
      <c r="L531" s="1199"/>
      <c r="M531" s="1199"/>
      <c r="N531" s="1199"/>
    </row>
    <row r="532" spans="8:14">
      <c r="H532" s="414"/>
      <c r="K532" s="1199"/>
      <c r="L532" s="1199"/>
      <c r="M532" s="1199"/>
      <c r="N532" s="1199"/>
    </row>
    <row r="533" spans="8:14">
      <c r="H533" s="414"/>
      <c r="K533" s="1199"/>
      <c r="L533" s="1199"/>
      <c r="M533" s="1199"/>
      <c r="N533" s="1199"/>
    </row>
    <row r="534" spans="8:14">
      <c r="H534" s="414"/>
      <c r="K534" s="1199"/>
      <c r="L534" s="1199"/>
      <c r="M534" s="1199"/>
      <c r="N534" s="1199"/>
    </row>
    <row r="535" spans="8:14">
      <c r="H535" s="414"/>
      <c r="K535" s="1199"/>
      <c r="L535" s="1199"/>
      <c r="M535" s="1199"/>
      <c r="N535" s="1199"/>
    </row>
    <row r="536" spans="8:14">
      <c r="H536" s="414"/>
      <c r="K536" s="1199"/>
      <c r="L536" s="1199"/>
      <c r="M536" s="1199"/>
      <c r="N536" s="1199"/>
    </row>
    <row r="537" spans="8:14">
      <c r="H537" s="414"/>
      <c r="K537" s="1199"/>
      <c r="L537" s="1199"/>
      <c r="M537" s="1199"/>
      <c r="N537" s="1199"/>
    </row>
    <row r="538" spans="8:14">
      <c r="H538" s="414"/>
      <c r="K538" s="1199"/>
      <c r="L538" s="1199"/>
      <c r="M538" s="1199"/>
      <c r="N538" s="1199"/>
    </row>
    <row r="539" spans="8:14">
      <c r="H539" s="414"/>
      <c r="K539" s="1199"/>
      <c r="L539" s="1199"/>
      <c r="M539" s="1199"/>
      <c r="N539" s="1199"/>
    </row>
    <row r="540" spans="8:14">
      <c r="H540" s="414"/>
      <c r="K540" s="1199"/>
      <c r="L540" s="1199"/>
      <c r="M540" s="1199"/>
      <c r="N540" s="1199"/>
    </row>
    <row r="541" spans="8:14">
      <c r="H541" s="414"/>
      <c r="K541" s="1199"/>
      <c r="L541" s="1199"/>
      <c r="M541" s="1199"/>
      <c r="N541" s="1199"/>
    </row>
    <row r="542" spans="8:14">
      <c r="H542" s="414"/>
      <c r="K542" s="1199"/>
      <c r="L542" s="1199"/>
      <c r="M542" s="1199"/>
      <c r="N542" s="1199"/>
    </row>
    <row r="543" spans="8:14">
      <c r="H543" s="414"/>
      <c r="K543" s="1199"/>
      <c r="L543" s="1199"/>
      <c r="M543" s="1199"/>
      <c r="N543" s="1199"/>
    </row>
    <row r="544" spans="8:14">
      <c r="H544" s="414"/>
      <c r="K544" s="1199"/>
      <c r="L544" s="1199"/>
      <c r="M544" s="1199"/>
      <c r="N544" s="1199"/>
    </row>
    <row r="545" spans="8:14">
      <c r="H545" s="414"/>
      <c r="K545" s="1199"/>
      <c r="L545" s="1199"/>
      <c r="M545" s="1199"/>
      <c r="N545" s="1199"/>
    </row>
    <row r="546" spans="8:14">
      <c r="H546" s="414"/>
      <c r="K546" s="1199"/>
      <c r="L546" s="1199"/>
      <c r="M546" s="1199"/>
      <c r="N546" s="1199"/>
    </row>
    <row r="547" spans="8:14">
      <c r="H547" s="414"/>
      <c r="K547" s="1199"/>
      <c r="L547" s="1199"/>
      <c r="M547" s="1199"/>
      <c r="N547" s="1199"/>
    </row>
    <row r="548" spans="8:14">
      <c r="H548" s="414"/>
      <c r="K548" s="1199"/>
      <c r="L548" s="1199"/>
      <c r="M548" s="1199"/>
      <c r="N548" s="1199"/>
    </row>
    <row r="549" spans="8:14">
      <c r="H549" s="414"/>
      <c r="K549" s="1199"/>
      <c r="L549" s="1199"/>
      <c r="M549" s="1199"/>
      <c r="N549" s="1199"/>
    </row>
    <row r="550" spans="8:14">
      <c r="H550" s="414"/>
      <c r="K550" s="1199"/>
      <c r="L550" s="1199"/>
      <c r="M550" s="1199"/>
      <c r="N550" s="1199"/>
    </row>
    <row r="551" spans="8:14">
      <c r="H551" s="414"/>
      <c r="K551" s="1199"/>
      <c r="L551" s="1199"/>
      <c r="M551" s="1199"/>
      <c r="N551" s="1199"/>
    </row>
    <row r="552" spans="8:14">
      <c r="H552" s="414"/>
      <c r="K552" s="1199"/>
      <c r="L552" s="1199"/>
      <c r="M552" s="1199"/>
      <c r="N552" s="1199"/>
    </row>
    <row r="553" spans="8:14">
      <c r="H553" s="414"/>
      <c r="K553" s="1199"/>
      <c r="L553" s="1199"/>
      <c r="M553" s="1199"/>
      <c r="N553" s="1199"/>
    </row>
    <row r="554" spans="8:14">
      <c r="H554" s="414"/>
      <c r="K554" s="1199"/>
      <c r="L554" s="1199"/>
      <c r="M554" s="1199"/>
      <c r="N554" s="1199"/>
    </row>
    <row r="555" spans="8:14">
      <c r="H555" s="414"/>
      <c r="K555" s="1199"/>
      <c r="L555" s="1199"/>
      <c r="M555" s="1199"/>
      <c r="N555" s="1199"/>
    </row>
    <row r="556" spans="8:14">
      <c r="H556" s="414"/>
      <c r="K556" s="1199"/>
      <c r="L556" s="1199"/>
      <c r="M556" s="1199"/>
      <c r="N556" s="1199"/>
    </row>
    <row r="557" spans="8:14">
      <c r="H557" s="414"/>
      <c r="K557" s="1199"/>
      <c r="L557" s="1199"/>
      <c r="M557" s="1199"/>
      <c r="N557" s="1199"/>
    </row>
    <row r="558" spans="8:14">
      <c r="H558" s="414"/>
      <c r="K558" s="1199"/>
      <c r="L558" s="1199"/>
      <c r="M558" s="1199"/>
      <c r="N558" s="1199"/>
    </row>
    <row r="559" spans="8:14">
      <c r="H559" s="414"/>
      <c r="K559" s="1199"/>
      <c r="L559" s="1199"/>
      <c r="M559" s="1199"/>
      <c r="N559" s="1199"/>
    </row>
    <row r="560" spans="8:14">
      <c r="H560" s="414"/>
      <c r="K560" s="1199"/>
      <c r="L560" s="1199"/>
      <c r="M560" s="1199"/>
      <c r="N560" s="1199"/>
    </row>
    <row r="561" spans="8:14">
      <c r="H561" s="414"/>
      <c r="K561" s="1199"/>
      <c r="L561" s="1199"/>
      <c r="M561" s="1199"/>
      <c r="N561" s="1199"/>
    </row>
    <row r="562" spans="8:14">
      <c r="H562" s="414"/>
      <c r="K562" s="1199"/>
      <c r="L562" s="1199"/>
      <c r="M562" s="1199"/>
      <c r="N562" s="1199"/>
    </row>
    <row r="563" spans="8:14">
      <c r="H563" s="414"/>
      <c r="K563" s="1199"/>
      <c r="L563" s="1199"/>
      <c r="M563" s="1199"/>
      <c r="N563" s="1199"/>
    </row>
    <row r="564" spans="8:14">
      <c r="H564" s="414"/>
      <c r="K564" s="1199"/>
      <c r="L564" s="1199"/>
      <c r="M564" s="1199"/>
      <c r="N564" s="1199"/>
    </row>
    <row r="565" spans="8:14">
      <c r="H565" s="414"/>
      <c r="K565" s="1199"/>
      <c r="L565" s="1199"/>
      <c r="M565" s="1199"/>
      <c r="N565" s="1199"/>
    </row>
    <row r="566" spans="8:14">
      <c r="H566" s="414"/>
      <c r="K566" s="1199"/>
      <c r="L566" s="1199"/>
      <c r="M566" s="1199"/>
      <c r="N566" s="1199"/>
    </row>
    <row r="567" spans="8:14">
      <c r="H567" s="414"/>
      <c r="K567" s="1199"/>
      <c r="L567" s="1199"/>
      <c r="M567" s="1199"/>
      <c r="N567" s="1199"/>
    </row>
    <row r="568" spans="8:14">
      <c r="H568" s="414"/>
      <c r="K568" s="1199"/>
      <c r="L568" s="1199"/>
      <c r="M568" s="1199"/>
      <c r="N568" s="1199"/>
    </row>
    <row r="569" spans="8:14">
      <c r="H569" s="414"/>
      <c r="K569" s="1199"/>
      <c r="L569" s="1199"/>
      <c r="M569" s="1199"/>
      <c r="N569" s="1199"/>
    </row>
    <row r="570" spans="8:14">
      <c r="H570" s="414"/>
      <c r="K570" s="1199"/>
      <c r="L570" s="1199"/>
      <c r="M570" s="1199"/>
      <c r="N570" s="1199"/>
    </row>
    <row r="571" spans="8:14">
      <c r="H571" s="414"/>
      <c r="K571" s="1199"/>
      <c r="L571" s="1199"/>
      <c r="M571" s="1199"/>
      <c r="N571" s="1199"/>
    </row>
    <row r="572" spans="8:14">
      <c r="H572" s="414"/>
      <c r="K572" s="1199"/>
      <c r="L572" s="1199"/>
      <c r="M572" s="1199"/>
      <c r="N572" s="1199"/>
    </row>
    <row r="573" spans="8:14">
      <c r="H573" s="414"/>
      <c r="K573" s="1199"/>
      <c r="L573" s="1199"/>
      <c r="M573" s="1199"/>
      <c r="N573" s="1199"/>
    </row>
    <row r="574" spans="8:14">
      <c r="H574" s="414"/>
      <c r="K574" s="1199"/>
      <c r="L574" s="1199"/>
      <c r="M574" s="1199"/>
      <c r="N574" s="1199"/>
    </row>
    <row r="575" spans="8:14">
      <c r="H575" s="414"/>
      <c r="K575" s="1199"/>
      <c r="L575" s="1199"/>
      <c r="M575" s="1199"/>
      <c r="N575" s="1199"/>
    </row>
    <row r="576" spans="8:14">
      <c r="H576" s="414"/>
      <c r="K576" s="1199"/>
      <c r="L576" s="1199"/>
      <c r="M576" s="1199"/>
      <c r="N576" s="1199"/>
    </row>
    <row r="577" spans="8:14">
      <c r="H577" s="414"/>
      <c r="K577" s="1199"/>
      <c r="L577" s="1199"/>
      <c r="M577" s="1199"/>
      <c r="N577" s="1199"/>
    </row>
    <row r="578" spans="8:14">
      <c r="H578" s="414"/>
      <c r="K578" s="1199"/>
      <c r="L578" s="1199"/>
      <c r="M578" s="1199"/>
      <c r="N578" s="1199"/>
    </row>
    <row r="579" spans="8:14">
      <c r="H579" s="414"/>
      <c r="K579" s="1199"/>
      <c r="L579" s="1199"/>
      <c r="M579" s="1199"/>
      <c r="N579" s="1199"/>
    </row>
    <row r="580" spans="8:14">
      <c r="H580" s="414"/>
      <c r="K580" s="1199"/>
      <c r="L580" s="1199"/>
      <c r="M580" s="1199"/>
      <c r="N580" s="1199"/>
    </row>
    <row r="581" spans="8:14">
      <c r="H581" s="414"/>
      <c r="K581" s="1199"/>
      <c r="L581" s="1199"/>
      <c r="M581" s="1199"/>
      <c r="N581" s="1199"/>
    </row>
    <row r="582" spans="8:14">
      <c r="H582" s="414"/>
      <c r="K582" s="1199"/>
      <c r="L582" s="1199"/>
      <c r="M582" s="1199"/>
      <c r="N582" s="1199"/>
    </row>
    <row r="583" spans="8:14">
      <c r="H583" s="414"/>
      <c r="K583" s="1199"/>
      <c r="L583" s="1199"/>
      <c r="M583" s="1199"/>
      <c r="N583" s="1199"/>
    </row>
    <row r="584" spans="8:14">
      <c r="H584" s="414"/>
      <c r="K584" s="1199"/>
      <c r="L584" s="1199"/>
      <c r="M584" s="1199"/>
      <c r="N584" s="1199"/>
    </row>
    <row r="585" spans="8:14">
      <c r="H585" s="414"/>
      <c r="K585" s="1199"/>
      <c r="L585" s="1199"/>
      <c r="M585" s="1199"/>
      <c r="N585" s="1199"/>
    </row>
    <row r="586" spans="8:14">
      <c r="H586" s="414"/>
      <c r="K586" s="1199"/>
      <c r="L586" s="1199"/>
      <c r="M586" s="1199"/>
      <c r="N586" s="1199"/>
    </row>
    <row r="587" spans="8:14">
      <c r="H587" s="414"/>
      <c r="K587" s="1199"/>
      <c r="L587" s="1199"/>
      <c r="M587" s="1199"/>
      <c r="N587" s="1199"/>
    </row>
    <row r="588" spans="8:14">
      <c r="H588" s="414"/>
      <c r="K588" s="1199"/>
      <c r="L588" s="1199"/>
      <c r="M588" s="1199"/>
      <c r="N588" s="1199"/>
    </row>
    <row r="589" spans="8:14">
      <c r="H589" s="414"/>
      <c r="K589" s="1199"/>
      <c r="L589" s="1199"/>
      <c r="M589" s="1199"/>
      <c r="N589" s="1199"/>
    </row>
    <row r="590" spans="8:14">
      <c r="H590" s="414"/>
      <c r="K590" s="1199"/>
      <c r="L590" s="1199"/>
      <c r="M590" s="1199"/>
      <c r="N590" s="1199"/>
    </row>
    <row r="591" spans="8:14">
      <c r="H591" s="414"/>
      <c r="K591" s="1199"/>
      <c r="L591" s="1199"/>
      <c r="M591" s="1199"/>
      <c r="N591" s="1199"/>
    </row>
    <row r="592" spans="8:14">
      <c r="H592" s="414"/>
      <c r="K592" s="1199"/>
      <c r="L592" s="1199"/>
      <c r="M592" s="1199"/>
      <c r="N592" s="1199"/>
    </row>
    <row r="593" spans="8:14">
      <c r="H593" s="414"/>
      <c r="K593" s="1199"/>
      <c r="L593" s="1199"/>
      <c r="M593" s="1199"/>
      <c r="N593" s="1199"/>
    </row>
    <row r="594" spans="8:14">
      <c r="H594" s="414"/>
      <c r="K594" s="1199"/>
      <c r="L594" s="1199"/>
      <c r="M594" s="1199"/>
      <c r="N594" s="1199"/>
    </row>
    <row r="595" spans="8:14">
      <c r="H595" s="414"/>
      <c r="K595" s="1199"/>
      <c r="L595" s="1199"/>
      <c r="M595" s="1199"/>
      <c r="N595" s="1199"/>
    </row>
    <row r="596" spans="8:14">
      <c r="H596" s="414"/>
      <c r="K596" s="1199"/>
      <c r="L596" s="1199"/>
      <c r="M596" s="1199"/>
      <c r="N596" s="1199"/>
    </row>
    <row r="597" spans="8:14">
      <c r="H597" s="414"/>
      <c r="K597" s="1199"/>
      <c r="L597" s="1199"/>
      <c r="M597" s="1199"/>
      <c r="N597" s="1199"/>
    </row>
    <row r="598" spans="8:14">
      <c r="H598" s="414"/>
      <c r="K598" s="1199"/>
      <c r="L598" s="1199"/>
      <c r="M598" s="1199"/>
      <c r="N598" s="1199"/>
    </row>
    <row r="599" spans="8:14">
      <c r="H599" s="414"/>
      <c r="K599" s="1199"/>
      <c r="L599" s="1199"/>
      <c r="M599" s="1199"/>
      <c r="N599" s="1199"/>
    </row>
    <row r="600" spans="8:14">
      <c r="H600" s="414"/>
      <c r="K600" s="1199"/>
      <c r="L600" s="1199"/>
      <c r="M600" s="1199"/>
      <c r="N600" s="1199"/>
    </row>
    <row r="601" spans="8:14">
      <c r="H601" s="414"/>
      <c r="K601" s="1199"/>
      <c r="L601" s="1199"/>
      <c r="M601" s="1199"/>
      <c r="N601" s="1199"/>
    </row>
    <row r="602" spans="8:14">
      <c r="H602" s="414"/>
      <c r="K602" s="1199"/>
      <c r="L602" s="1199"/>
      <c r="M602" s="1199"/>
      <c r="N602" s="1199"/>
    </row>
    <row r="603" spans="8:14">
      <c r="H603" s="414"/>
      <c r="K603" s="1199"/>
      <c r="L603" s="1199"/>
      <c r="M603" s="1199"/>
      <c r="N603" s="1199"/>
    </row>
    <row r="604" spans="8:14">
      <c r="H604" s="414"/>
      <c r="K604" s="1199"/>
      <c r="L604" s="1199"/>
      <c r="M604" s="1199"/>
      <c r="N604" s="1199"/>
    </row>
    <row r="605" spans="8:14">
      <c r="H605" s="414"/>
      <c r="K605" s="1199"/>
      <c r="L605" s="1199"/>
      <c r="M605" s="1199"/>
      <c r="N605" s="1199"/>
    </row>
    <row r="606" spans="8:14">
      <c r="H606" s="414"/>
      <c r="K606" s="1199"/>
      <c r="L606" s="1199"/>
      <c r="M606" s="1199"/>
      <c r="N606" s="1199"/>
    </row>
    <row r="607" spans="8:14">
      <c r="H607" s="414"/>
      <c r="K607" s="1199"/>
      <c r="L607" s="1199"/>
      <c r="M607" s="1199"/>
      <c r="N607" s="1199"/>
    </row>
    <row r="608" spans="8:14">
      <c r="H608" s="414"/>
      <c r="K608" s="1199"/>
      <c r="L608" s="1199"/>
      <c r="M608" s="1199"/>
      <c r="N608" s="1199"/>
    </row>
    <row r="609" spans="8:14">
      <c r="H609" s="414"/>
      <c r="K609" s="1199"/>
      <c r="L609" s="1199"/>
      <c r="M609" s="1199"/>
      <c r="N609" s="1199"/>
    </row>
    <row r="610" spans="8:14">
      <c r="H610" s="414"/>
      <c r="K610" s="1199"/>
      <c r="L610" s="1199"/>
      <c r="M610" s="1199"/>
      <c r="N610" s="1199"/>
    </row>
    <row r="611" spans="8:14">
      <c r="H611" s="414"/>
      <c r="K611" s="1199"/>
      <c r="L611" s="1199"/>
      <c r="M611" s="1199"/>
      <c r="N611" s="1199"/>
    </row>
    <row r="612" spans="8:14">
      <c r="H612" s="414"/>
      <c r="K612" s="1199"/>
      <c r="L612" s="1199"/>
      <c r="M612" s="1199"/>
      <c r="N612" s="1199"/>
    </row>
    <row r="613" spans="8:14">
      <c r="H613" s="414"/>
      <c r="K613" s="1199"/>
      <c r="L613" s="1199"/>
      <c r="M613" s="1199"/>
      <c r="N613" s="1199"/>
    </row>
    <row r="614" spans="8:14">
      <c r="H614" s="414"/>
      <c r="K614" s="1199"/>
      <c r="L614" s="1199"/>
      <c r="M614" s="1199"/>
      <c r="N614" s="1199"/>
    </row>
    <row r="615" spans="8:14">
      <c r="H615" s="414"/>
      <c r="K615" s="1199"/>
      <c r="L615" s="1199"/>
      <c r="M615" s="1199"/>
      <c r="N615" s="1199"/>
    </row>
    <row r="616" spans="8:14">
      <c r="H616" s="414"/>
      <c r="K616" s="1199"/>
      <c r="L616" s="1199"/>
      <c r="M616" s="1199"/>
      <c r="N616" s="1199"/>
    </row>
    <row r="617" spans="8:14">
      <c r="H617" s="414"/>
      <c r="K617" s="1199"/>
      <c r="L617" s="1199"/>
      <c r="M617" s="1199"/>
      <c r="N617" s="1199"/>
    </row>
    <row r="618" spans="8:14">
      <c r="H618" s="414"/>
      <c r="K618" s="1199"/>
      <c r="L618" s="1199"/>
      <c r="M618" s="1199"/>
      <c r="N618" s="1199"/>
    </row>
    <row r="619" spans="8:14">
      <c r="H619" s="414"/>
      <c r="K619" s="1199"/>
      <c r="L619" s="1199"/>
      <c r="M619" s="1199"/>
      <c r="N619" s="1199"/>
    </row>
    <row r="620" spans="8:14">
      <c r="H620" s="414"/>
      <c r="K620" s="1199"/>
      <c r="L620" s="1199"/>
      <c r="M620" s="1199"/>
      <c r="N620" s="1199"/>
    </row>
    <row r="621" spans="8:14">
      <c r="H621" s="414"/>
      <c r="K621" s="1199"/>
      <c r="L621" s="1199"/>
      <c r="M621" s="1199"/>
      <c r="N621" s="1199"/>
    </row>
    <row r="622" spans="8:14">
      <c r="H622" s="414"/>
      <c r="K622" s="1199"/>
      <c r="L622" s="1199"/>
      <c r="M622" s="1199"/>
      <c r="N622" s="1199"/>
    </row>
    <row r="623" spans="8:14">
      <c r="H623" s="414"/>
      <c r="K623" s="1199"/>
      <c r="L623" s="1199"/>
      <c r="M623" s="1199"/>
      <c r="N623" s="1199"/>
    </row>
    <row r="624" spans="8:14">
      <c r="H624" s="414"/>
      <c r="K624" s="1199"/>
      <c r="L624" s="1199"/>
      <c r="M624" s="1199"/>
      <c r="N624" s="1199"/>
    </row>
    <row r="625" spans="8:14">
      <c r="H625" s="414"/>
      <c r="K625" s="1199"/>
      <c r="L625" s="1199"/>
      <c r="M625" s="1199"/>
      <c r="N625" s="1199"/>
    </row>
    <row r="626" spans="8:14">
      <c r="H626" s="414"/>
      <c r="K626" s="1199"/>
      <c r="L626" s="1199"/>
      <c r="M626" s="1199"/>
      <c r="N626" s="1199"/>
    </row>
    <row r="627" spans="8:14">
      <c r="H627" s="414"/>
      <c r="K627" s="1199"/>
      <c r="L627" s="1199"/>
      <c r="M627" s="1199"/>
      <c r="N627" s="1199"/>
    </row>
    <row r="628" spans="8:14">
      <c r="H628" s="414"/>
      <c r="K628" s="1199"/>
      <c r="L628" s="1199"/>
      <c r="M628" s="1199"/>
      <c r="N628" s="1199"/>
    </row>
    <row r="629" spans="8:14">
      <c r="H629" s="414"/>
      <c r="K629" s="1199"/>
      <c r="L629" s="1199"/>
      <c r="M629" s="1199"/>
      <c r="N629" s="1199"/>
    </row>
    <row r="630" spans="8:14">
      <c r="H630" s="414"/>
      <c r="K630" s="1199"/>
      <c r="L630" s="1199"/>
      <c r="M630" s="1199"/>
      <c r="N630" s="1199"/>
    </row>
    <row r="631" spans="8:14">
      <c r="H631" s="414"/>
      <c r="K631" s="1199"/>
      <c r="L631" s="1199"/>
      <c r="M631" s="1199"/>
      <c r="N631" s="1199"/>
    </row>
    <row r="632" spans="8:14">
      <c r="H632" s="414"/>
      <c r="K632" s="1199"/>
      <c r="L632" s="1199"/>
      <c r="M632" s="1199"/>
      <c r="N632" s="1199"/>
    </row>
    <row r="633" spans="8:14">
      <c r="H633" s="414"/>
      <c r="K633" s="1199"/>
      <c r="L633" s="1199"/>
      <c r="M633" s="1199"/>
      <c r="N633" s="1199"/>
    </row>
    <row r="634" spans="8:14">
      <c r="H634" s="414"/>
      <c r="K634" s="1199"/>
      <c r="L634" s="1199"/>
      <c r="M634" s="1199"/>
      <c r="N634" s="1199"/>
    </row>
    <row r="635" spans="8:14">
      <c r="H635" s="414"/>
      <c r="K635" s="1199"/>
      <c r="L635" s="1199"/>
      <c r="M635" s="1199"/>
      <c r="N635" s="1199"/>
    </row>
    <row r="636" spans="8:14">
      <c r="H636" s="414"/>
      <c r="K636" s="1199"/>
      <c r="L636" s="1199"/>
      <c r="M636" s="1199"/>
      <c r="N636" s="1199"/>
    </row>
    <row r="637" spans="8:14">
      <c r="H637" s="414"/>
      <c r="K637" s="1199"/>
      <c r="L637" s="1199"/>
      <c r="M637" s="1199"/>
      <c r="N637" s="1199"/>
    </row>
    <row r="638" spans="8:14">
      <c r="H638" s="414"/>
      <c r="K638" s="1199"/>
      <c r="L638" s="1199"/>
      <c r="M638" s="1199"/>
      <c r="N638" s="1199"/>
    </row>
    <row r="639" spans="8:14">
      <c r="H639" s="414"/>
      <c r="K639" s="1199"/>
      <c r="L639" s="1199"/>
      <c r="M639" s="1199"/>
      <c r="N639" s="1199"/>
    </row>
    <row r="640" spans="8:14">
      <c r="H640" s="414"/>
      <c r="K640" s="1199"/>
      <c r="L640" s="1199"/>
      <c r="M640" s="1199"/>
      <c r="N640" s="1199"/>
    </row>
    <row r="641" spans="8:14">
      <c r="H641" s="414"/>
      <c r="K641" s="1199"/>
      <c r="L641" s="1199"/>
      <c r="M641" s="1199"/>
      <c r="N641" s="1199"/>
    </row>
    <row r="642" spans="8:14">
      <c r="H642" s="414"/>
      <c r="K642" s="1199"/>
      <c r="L642" s="1199"/>
      <c r="M642" s="1199"/>
      <c r="N642" s="1199"/>
    </row>
    <row r="643" spans="8:14">
      <c r="H643" s="414"/>
      <c r="K643" s="1199"/>
      <c r="L643" s="1199"/>
      <c r="M643" s="1199"/>
      <c r="N643" s="1199"/>
    </row>
    <row r="644" spans="8:14">
      <c r="H644" s="414"/>
      <c r="K644" s="1199"/>
      <c r="L644" s="1199"/>
      <c r="M644" s="1199"/>
      <c r="N644" s="1199"/>
    </row>
    <row r="645" spans="8:14">
      <c r="H645" s="414"/>
      <c r="K645" s="1199"/>
      <c r="L645" s="1199"/>
      <c r="M645" s="1199"/>
      <c r="N645" s="1199"/>
    </row>
    <row r="646" spans="8:14">
      <c r="H646" s="414"/>
      <c r="K646" s="1199"/>
      <c r="L646" s="1199"/>
      <c r="M646" s="1199"/>
      <c r="N646" s="1199"/>
    </row>
    <row r="647" spans="8:14">
      <c r="H647" s="414"/>
      <c r="K647" s="1199"/>
      <c r="L647" s="1199"/>
      <c r="M647" s="1199"/>
      <c r="N647" s="1199"/>
    </row>
    <row r="648" spans="8:14">
      <c r="H648" s="414"/>
      <c r="K648" s="1199"/>
      <c r="L648" s="1199"/>
      <c r="M648" s="1199"/>
      <c r="N648" s="1199"/>
    </row>
    <row r="649" spans="8:14">
      <c r="H649" s="414"/>
      <c r="K649" s="1199"/>
      <c r="L649" s="1199"/>
      <c r="M649" s="1199"/>
      <c r="N649" s="1199"/>
    </row>
    <row r="650" spans="8:14">
      <c r="H650" s="414"/>
      <c r="K650" s="1199"/>
      <c r="L650" s="1199"/>
      <c r="M650" s="1199"/>
      <c r="N650" s="1199"/>
    </row>
    <row r="651" spans="8:14">
      <c r="H651" s="414"/>
      <c r="K651" s="1199"/>
      <c r="L651" s="1199"/>
      <c r="M651" s="1199"/>
      <c r="N651" s="1199"/>
    </row>
    <row r="652" spans="8:14">
      <c r="H652" s="414"/>
      <c r="K652" s="1199"/>
      <c r="L652" s="1199"/>
      <c r="M652" s="1199"/>
      <c r="N652" s="1199"/>
    </row>
    <row r="653" spans="8:14">
      <c r="H653" s="414"/>
      <c r="K653" s="1199"/>
      <c r="L653" s="1199"/>
      <c r="M653" s="1199"/>
      <c r="N653" s="1199"/>
    </row>
    <row r="654" spans="8:14">
      <c r="H654" s="414"/>
      <c r="K654" s="1199"/>
      <c r="L654" s="1199"/>
      <c r="M654" s="1199"/>
      <c r="N654" s="1199"/>
    </row>
    <row r="655" spans="8:14">
      <c r="H655" s="414"/>
      <c r="K655" s="1199"/>
      <c r="L655" s="1199"/>
      <c r="M655" s="1199"/>
      <c r="N655" s="1199"/>
    </row>
    <row r="656" spans="8:14">
      <c r="H656" s="414"/>
      <c r="K656" s="1199"/>
      <c r="L656" s="1199"/>
      <c r="M656" s="1199"/>
      <c r="N656" s="1199"/>
    </row>
    <row r="657" spans="8:14">
      <c r="H657" s="414"/>
      <c r="K657" s="1199"/>
      <c r="L657" s="1199"/>
      <c r="M657" s="1199"/>
      <c r="N657" s="1199"/>
    </row>
    <row r="658" spans="8:14">
      <c r="H658" s="414"/>
      <c r="K658" s="1199"/>
      <c r="L658" s="1199"/>
      <c r="M658" s="1199"/>
      <c r="N658" s="1199"/>
    </row>
    <row r="659" spans="8:14">
      <c r="H659" s="414"/>
      <c r="K659" s="1199"/>
      <c r="L659" s="1199"/>
      <c r="M659" s="1199"/>
      <c r="N659" s="1199"/>
    </row>
    <row r="660" spans="8:14">
      <c r="H660" s="414"/>
      <c r="K660" s="1199"/>
      <c r="L660" s="1199"/>
      <c r="M660" s="1199"/>
      <c r="N660" s="1199"/>
    </row>
    <row r="661" spans="8:14">
      <c r="H661" s="414"/>
      <c r="K661" s="1199"/>
      <c r="L661" s="1199"/>
      <c r="M661" s="1199"/>
      <c r="N661" s="1199"/>
    </row>
    <row r="662" spans="8:14">
      <c r="H662" s="414"/>
      <c r="K662" s="1199"/>
      <c r="L662" s="1199"/>
      <c r="M662" s="1199"/>
      <c r="N662" s="1199"/>
    </row>
    <row r="663" spans="8:14">
      <c r="H663" s="414"/>
      <c r="K663" s="1199"/>
      <c r="L663" s="1199"/>
      <c r="M663" s="1199"/>
      <c r="N663" s="1199"/>
    </row>
    <row r="664" spans="8:14">
      <c r="H664" s="414"/>
      <c r="K664" s="1199"/>
      <c r="L664" s="1199"/>
      <c r="M664" s="1199"/>
      <c r="N664" s="1199"/>
    </row>
    <row r="665" spans="8:14">
      <c r="H665" s="414"/>
      <c r="K665" s="1199"/>
      <c r="L665" s="1199"/>
      <c r="M665" s="1199"/>
      <c r="N665" s="1199"/>
    </row>
    <row r="666" spans="8:14">
      <c r="H666" s="414"/>
      <c r="K666" s="1199"/>
      <c r="L666" s="1199"/>
      <c r="M666" s="1199"/>
      <c r="N666" s="1199"/>
    </row>
    <row r="667" spans="8:14">
      <c r="H667" s="414"/>
      <c r="K667" s="1199"/>
      <c r="L667" s="1199"/>
      <c r="M667" s="1199"/>
      <c r="N667" s="1199"/>
    </row>
    <row r="668" spans="8:14">
      <c r="H668" s="414"/>
      <c r="K668" s="1199"/>
      <c r="L668" s="1199"/>
      <c r="M668" s="1199"/>
      <c r="N668" s="1199"/>
    </row>
    <row r="669" spans="8:14">
      <c r="H669" s="414"/>
      <c r="K669" s="1199"/>
      <c r="L669" s="1199"/>
      <c r="M669" s="1199"/>
      <c r="N669" s="1199"/>
    </row>
    <row r="670" spans="8:14">
      <c r="H670" s="414"/>
      <c r="K670" s="1199"/>
      <c r="L670" s="1199"/>
      <c r="M670" s="1199"/>
      <c r="N670" s="1199"/>
    </row>
    <row r="671" spans="8:14">
      <c r="H671" s="414"/>
      <c r="K671" s="1199"/>
      <c r="L671" s="1199"/>
      <c r="M671" s="1199"/>
      <c r="N671" s="1199"/>
    </row>
    <row r="672" spans="8:14">
      <c r="H672" s="414"/>
      <c r="K672" s="1199"/>
      <c r="L672" s="1199"/>
      <c r="M672" s="1199"/>
      <c r="N672" s="1199"/>
    </row>
    <row r="673" spans="8:14">
      <c r="H673" s="414"/>
      <c r="K673" s="1199"/>
      <c r="L673" s="1199"/>
      <c r="M673" s="1199"/>
      <c r="N673" s="1199"/>
    </row>
    <row r="674" spans="8:14">
      <c r="H674" s="414"/>
      <c r="K674" s="1199"/>
      <c r="L674" s="1199"/>
      <c r="M674" s="1199"/>
      <c r="N674" s="1199"/>
    </row>
    <row r="675" spans="8:14">
      <c r="H675" s="414"/>
      <c r="K675" s="1199"/>
      <c r="L675" s="1199"/>
      <c r="M675" s="1199"/>
      <c r="N675" s="1199"/>
    </row>
    <row r="676" spans="8:14">
      <c r="H676" s="414"/>
      <c r="K676" s="1199"/>
      <c r="L676" s="1199"/>
      <c r="M676" s="1199"/>
      <c r="N676" s="1199"/>
    </row>
    <row r="677" spans="8:14">
      <c r="H677" s="414"/>
      <c r="K677" s="1199"/>
      <c r="L677" s="1199"/>
      <c r="M677" s="1199"/>
      <c r="N677" s="1199"/>
    </row>
    <row r="678" spans="8:14">
      <c r="H678" s="414"/>
      <c r="K678" s="1199"/>
      <c r="L678" s="1199"/>
      <c r="M678" s="1199"/>
      <c r="N678" s="1199"/>
    </row>
    <row r="679" spans="8:14">
      <c r="H679" s="414"/>
      <c r="K679" s="1199"/>
      <c r="L679" s="1199"/>
      <c r="M679" s="1199"/>
      <c r="N679" s="1199"/>
    </row>
    <row r="680" spans="8:14">
      <c r="H680" s="414"/>
      <c r="K680" s="1199"/>
      <c r="L680" s="1199"/>
      <c r="M680" s="1199"/>
      <c r="N680" s="1199"/>
    </row>
    <row r="681" spans="8:14">
      <c r="H681" s="414"/>
      <c r="K681" s="1199"/>
      <c r="L681" s="1199"/>
      <c r="M681" s="1199"/>
      <c r="N681" s="1199"/>
    </row>
    <row r="682" spans="8:14">
      <c r="H682" s="414"/>
      <c r="K682" s="1199"/>
      <c r="L682" s="1199"/>
      <c r="M682" s="1199"/>
      <c r="N682" s="1199"/>
    </row>
    <row r="683" spans="8:14">
      <c r="H683" s="414"/>
      <c r="K683" s="1199"/>
      <c r="L683" s="1199"/>
      <c r="M683" s="1199"/>
      <c r="N683" s="1199"/>
    </row>
    <row r="684" spans="8:14">
      <c r="H684" s="414"/>
      <c r="K684" s="1199"/>
      <c r="L684" s="1199"/>
      <c r="M684" s="1199"/>
      <c r="N684" s="1199"/>
    </row>
    <row r="685" spans="8:14">
      <c r="H685" s="414"/>
      <c r="K685" s="1199"/>
      <c r="L685" s="1199"/>
      <c r="M685" s="1199"/>
      <c r="N685" s="1199"/>
    </row>
    <row r="686" spans="8:14">
      <c r="H686" s="414"/>
      <c r="K686" s="1199"/>
      <c r="L686" s="1199"/>
      <c r="M686" s="1199"/>
      <c r="N686" s="1199"/>
    </row>
    <row r="687" spans="8:14">
      <c r="H687" s="414"/>
      <c r="K687" s="1199"/>
      <c r="L687" s="1199"/>
      <c r="M687" s="1199"/>
      <c r="N687" s="1199"/>
    </row>
    <row r="688" spans="8:14">
      <c r="H688" s="414"/>
      <c r="K688" s="1199"/>
      <c r="L688" s="1199"/>
      <c r="M688" s="1199"/>
      <c r="N688" s="1199"/>
    </row>
    <row r="689" spans="8:14">
      <c r="H689" s="414"/>
      <c r="K689" s="1199"/>
      <c r="L689" s="1199"/>
      <c r="M689" s="1199"/>
      <c r="N689" s="1199"/>
    </row>
    <row r="690" spans="8:14">
      <c r="H690" s="414"/>
      <c r="K690" s="1199"/>
      <c r="L690" s="1199"/>
      <c r="M690" s="1199"/>
      <c r="N690" s="1199"/>
    </row>
    <row r="691" spans="8:14">
      <c r="H691" s="414"/>
      <c r="K691" s="1199"/>
      <c r="L691" s="1199"/>
      <c r="M691" s="1199"/>
      <c r="N691" s="1199"/>
    </row>
    <row r="692" spans="8:14">
      <c r="H692" s="414"/>
      <c r="K692" s="1199"/>
      <c r="L692" s="1199"/>
      <c r="M692" s="1199"/>
      <c r="N692" s="1199"/>
    </row>
    <row r="693" spans="8:14">
      <c r="H693" s="414"/>
      <c r="K693" s="1199"/>
      <c r="L693" s="1199"/>
      <c r="M693" s="1199"/>
      <c r="N693" s="1199"/>
    </row>
    <row r="694" spans="8:14">
      <c r="H694" s="414"/>
      <c r="K694" s="1199"/>
      <c r="L694" s="1199"/>
      <c r="M694" s="1199"/>
      <c r="N694" s="1199"/>
    </row>
    <row r="695" spans="8:14">
      <c r="H695" s="414"/>
      <c r="K695" s="1199"/>
      <c r="L695" s="1199"/>
      <c r="M695" s="1199"/>
      <c r="N695" s="1199"/>
    </row>
    <row r="696" spans="8:14">
      <c r="H696" s="414"/>
      <c r="K696" s="1199"/>
      <c r="L696" s="1199"/>
      <c r="M696" s="1199"/>
      <c r="N696" s="1199"/>
    </row>
    <row r="697" spans="8:14">
      <c r="H697" s="414"/>
      <c r="K697" s="1199"/>
      <c r="L697" s="1199"/>
      <c r="M697" s="1199"/>
      <c r="N697" s="1199"/>
    </row>
    <row r="698" spans="8:14">
      <c r="H698" s="414"/>
      <c r="K698" s="1199"/>
      <c r="L698" s="1199"/>
      <c r="M698" s="1199"/>
      <c r="N698" s="1199"/>
    </row>
    <row r="699" spans="8:14">
      <c r="H699" s="414"/>
      <c r="K699" s="1199"/>
      <c r="L699" s="1199"/>
      <c r="M699" s="1199"/>
      <c r="N699" s="1199"/>
    </row>
    <row r="700" spans="8:14">
      <c r="H700" s="414"/>
      <c r="K700" s="1199"/>
      <c r="L700" s="1199"/>
      <c r="M700" s="1199"/>
      <c r="N700" s="1199"/>
    </row>
    <row r="701" spans="8:14">
      <c r="H701" s="414"/>
      <c r="K701" s="1199"/>
      <c r="L701" s="1199"/>
      <c r="M701" s="1199"/>
      <c r="N701" s="1199"/>
    </row>
    <row r="702" spans="8:14">
      <c r="H702" s="414"/>
      <c r="K702" s="1199"/>
      <c r="L702" s="1199"/>
      <c r="M702" s="1199"/>
      <c r="N702" s="1199"/>
    </row>
    <row r="703" spans="8:14">
      <c r="H703" s="414"/>
      <c r="K703" s="1199"/>
      <c r="L703" s="1199"/>
      <c r="M703" s="1199"/>
      <c r="N703" s="1199"/>
    </row>
    <row r="704" spans="8:14">
      <c r="H704" s="414"/>
      <c r="K704" s="1199"/>
      <c r="L704" s="1199"/>
      <c r="M704" s="1199"/>
      <c r="N704" s="1199"/>
    </row>
    <row r="705" spans="8:14">
      <c r="H705" s="414"/>
      <c r="K705" s="1199"/>
      <c r="L705" s="1199"/>
      <c r="M705" s="1199"/>
      <c r="N705" s="1199"/>
    </row>
    <row r="706" spans="8:14">
      <c r="H706" s="414"/>
      <c r="K706" s="1199"/>
      <c r="L706" s="1199"/>
      <c r="M706" s="1199"/>
      <c r="N706" s="1199"/>
    </row>
    <row r="707" spans="8:14">
      <c r="H707" s="414"/>
      <c r="K707" s="1199"/>
      <c r="L707" s="1199"/>
      <c r="M707" s="1199"/>
      <c r="N707" s="1199"/>
    </row>
    <row r="708" spans="8:14">
      <c r="H708" s="414"/>
      <c r="K708" s="1199"/>
      <c r="L708" s="1199"/>
      <c r="M708" s="1199"/>
      <c r="N708" s="1199"/>
    </row>
    <row r="709" spans="8:14">
      <c r="H709" s="414"/>
      <c r="K709" s="1199"/>
      <c r="L709" s="1199"/>
      <c r="M709" s="1199"/>
      <c r="N709" s="1199"/>
    </row>
    <row r="710" spans="8:14">
      <c r="H710" s="414"/>
      <c r="K710" s="1199"/>
      <c r="L710" s="1199"/>
      <c r="M710" s="1199"/>
      <c r="N710" s="1199"/>
    </row>
    <row r="711" spans="8:14">
      <c r="H711" s="414"/>
      <c r="K711" s="1199"/>
      <c r="L711" s="1199"/>
      <c r="M711" s="1199"/>
      <c r="N711" s="1199"/>
    </row>
    <row r="712" spans="8:14">
      <c r="H712" s="414"/>
      <c r="K712" s="1199"/>
      <c r="L712" s="1199"/>
      <c r="M712" s="1199"/>
      <c r="N712" s="1199"/>
    </row>
    <row r="713" spans="8:14">
      <c r="H713" s="414"/>
      <c r="K713" s="1199"/>
      <c r="L713" s="1199"/>
      <c r="M713" s="1199"/>
      <c r="N713" s="1199"/>
    </row>
    <row r="714" spans="8:14">
      <c r="H714" s="414"/>
      <c r="K714" s="1199"/>
      <c r="L714" s="1199"/>
      <c r="M714" s="1199"/>
      <c r="N714" s="1199"/>
    </row>
    <row r="715" spans="8:14">
      <c r="H715" s="414"/>
      <c r="K715" s="1199"/>
      <c r="L715" s="1199"/>
      <c r="M715" s="1199"/>
      <c r="N715" s="1199"/>
    </row>
    <row r="716" spans="8:14">
      <c r="H716" s="414"/>
      <c r="K716" s="1199"/>
      <c r="L716" s="1199"/>
      <c r="M716" s="1199"/>
      <c r="N716" s="1199"/>
    </row>
    <row r="717" spans="8:14">
      <c r="H717" s="414"/>
      <c r="K717" s="1199"/>
      <c r="L717" s="1199"/>
      <c r="M717" s="1199"/>
      <c r="N717" s="1199"/>
    </row>
    <row r="718" spans="8:14">
      <c r="H718" s="414"/>
      <c r="K718" s="1199"/>
      <c r="L718" s="1199"/>
      <c r="M718" s="1199"/>
      <c r="N718" s="1199"/>
    </row>
    <row r="719" spans="8:14">
      <c r="H719" s="414"/>
      <c r="K719" s="1199"/>
      <c r="L719" s="1199"/>
      <c r="M719" s="1199"/>
      <c r="N719" s="1199"/>
    </row>
    <row r="720" spans="8:14">
      <c r="H720" s="414"/>
      <c r="K720" s="1199"/>
      <c r="L720" s="1199"/>
      <c r="M720" s="1199"/>
      <c r="N720" s="1199"/>
    </row>
    <row r="721" spans="8:14">
      <c r="H721" s="414"/>
      <c r="K721" s="1199"/>
      <c r="L721" s="1199"/>
      <c r="M721" s="1199"/>
      <c r="N721" s="1199"/>
    </row>
    <row r="722" spans="8:14">
      <c r="H722" s="414"/>
      <c r="K722" s="1199"/>
      <c r="L722" s="1199"/>
      <c r="M722" s="1199"/>
      <c r="N722" s="1199"/>
    </row>
    <row r="723" spans="8:14">
      <c r="H723" s="414"/>
      <c r="K723" s="1199"/>
      <c r="L723" s="1199"/>
      <c r="M723" s="1199"/>
      <c r="N723" s="1199"/>
    </row>
    <row r="724" spans="8:14">
      <c r="H724" s="414"/>
      <c r="K724" s="1199"/>
      <c r="L724" s="1199"/>
      <c r="M724" s="1199"/>
      <c r="N724" s="1199"/>
    </row>
    <row r="725" spans="8:14">
      <c r="H725" s="414"/>
      <c r="K725" s="1199"/>
      <c r="L725" s="1199"/>
      <c r="M725" s="1199"/>
      <c r="N725" s="1199"/>
    </row>
    <row r="726" spans="8:14">
      <c r="H726" s="414"/>
      <c r="K726" s="1199"/>
      <c r="L726" s="1199"/>
      <c r="M726" s="1199"/>
      <c r="N726" s="1199"/>
    </row>
    <row r="727" spans="8:14">
      <c r="H727" s="414"/>
      <c r="K727" s="1199"/>
      <c r="L727" s="1199"/>
      <c r="M727" s="1199"/>
      <c r="N727" s="1199"/>
    </row>
    <row r="728" spans="8:14">
      <c r="H728" s="414"/>
      <c r="K728" s="1199"/>
      <c r="L728" s="1199"/>
      <c r="M728" s="1199"/>
      <c r="N728" s="1199"/>
    </row>
    <row r="729" spans="8:14">
      <c r="H729" s="414"/>
      <c r="K729" s="1199"/>
      <c r="L729" s="1199"/>
      <c r="M729" s="1199"/>
      <c r="N729" s="1199"/>
    </row>
    <row r="730" spans="8:14">
      <c r="H730" s="414"/>
      <c r="K730" s="1199"/>
      <c r="L730" s="1199"/>
      <c r="M730" s="1199"/>
      <c r="N730" s="1199"/>
    </row>
    <row r="731" spans="8:14">
      <c r="H731" s="414"/>
      <c r="K731" s="1199"/>
      <c r="L731" s="1199"/>
      <c r="M731" s="1199"/>
      <c r="N731" s="1199"/>
    </row>
    <row r="732" spans="8:14">
      <c r="H732" s="414"/>
      <c r="K732" s="1199"/>
      <c r="L732" s="1199"/>
      <c r="M732" s="1199"/>
      <c r="N732" s="1199"/>
    </row>
    <row r="733" spans="8:14">
      <c r="H733" s="414"/>
      <c r="K733" s="1199"/>
      <c r="L733" s="1199"/>
      <c r="M733" s="1199"/>
      <c r="N733" s="1199"/>
    </row>
    <row r="734" spans="8:14">
      <c r="H734" s="414"/>
      <c r="K734" s="1199"/>
      <c r="L734" s="1199"/>
      <c r="M734" s="1199"/>
      <c r="N734" s="1199"/>
    </row>
    <row r="735" spans="8:14">
      <c r="H735" s="414"/>
      <c r="K735" s="1199"/>
      <c r="L735" s="1199"/>
      <c r="M735" s="1199"/>
      <c r="N735" s="1199"/>
    </row>
    <row r="736" spans="8:14">
      <c r="H736" s="414"/>
      <c r="K736" s="1199"/>
      <c r="L736" s="1199"/>
      <c r="M736" s="1199"/>
      <c r="N736" s="1199"/>
    </row>
    <row r="737" spans="8:14">
      <c r="H737" s="414"/>
      <c r="K737" s="1199"/>
      <c r="L737" s="1199"/>
      <c r="M737" s="1199"/>
      <c r="N737" s="1199"/>
    </row>
    <row r="738" spans="8:14">
      <c r="H738" s="414"/>
      <c r="K738" s="1199"/>
      <c r="L738" s="1199"/>
      <c r="M738" s="1199"/>
      <c r="N738" s="1199"/>
    </row>
    <row r="739" spans="8:14">
      <c r="H739" s="414"/>
      <c r="K739" s="1199"/>
      <c r="L739" s="1199"/>
      <c r="M739" s="1199"/>
      <c r="N739" s="1199"/>
    </row>
    <row r="740" spans="8:14">
      <c r="H740" s="414"/>
      <c r="K740" s="1199"/>
      <c r="L740" s="1199"/>
      <c r="M740" s="1199"/>
      <c r="N740" s="1199"/>
    </row>
    <row r="741" spans="8:14">
      <c r="H741" s="414"/>
      <c r="K741" s="1199"/>
      <c r="L741" s="1199"/>
      <c r="M741" s="1199"/>
      <c r="N741" s="1199"/>
    </row>
    <row r="742" spans="8:14">
      <c r="H742" s="414"/>
      <c r="K742" s="1199"/>
      <c r="L742" s="1199"/>
      <c r="M742" s="1199"/>
      <c r="N742" s="1199"/>
    </row>
    <row r="743" spans="8:14">
      <c r="H743" s="414"/>
      <c r="K743" s="1199"/>
      <c r="L743" s="1199"/>
      <c r="M743" s="1199"/>
      <c r="N743" s="1199"/>
    </row>
    <row r="744" spans="8:14">
      <c r="H744" s="414"/>
      <c r="K744" s="1199"/>
      <c r="L744" s="1199"/>
      <c r="M744" s="1199"/>
      <c r="N744" s="1199"/>
    </row>
    <row r="745" spans="8:14">
      <c r="H745" s="414"/>
      <c r="K745" s="1199"/>
      <c r="L745" s="1199"/>
      <c r="M745" s="1199"/>
      <c r="N745" s="1199"/>
    </row>
    <row r="746" spans="8:14">
      <c r="H746" s="414"/>
      <c r="K746" s="1199"/>
      <c r="L746" s="1199"/>
      <c r="M746" s="1199"/>
      <c r="N746" s="1199"/>
    </row>
    <row r="747" spans="8:14">
      <c r="H747" s="414"/>
      <c r="K747" s="1199"/>
      <c r="L747" s="1199"/>
      <c r="M747" s="1199"/>
      <c r="N747" s="1199"/>
    </row>
    <row r="748" spans="8:14">
      <c r="H748" s="414"/>
      <c r="K748" s="1199"/>
      <c r="L748" s="1199"/>
      <c r="M748" s="1199"/>
      <c r="N748" s="1199"/>
    </row>
    <row r="749" spans="8:14">
      <c r="H749" s="414"/>
      <c r="K749" s="1199"/>
      <c r="L749" s="1199"/>
      <c r="M749" s="1199"/>
      <c r="N749" s="1199"/>
    </row>
    <row r="750" spans="8:14">
      <c r="H750" s="414"/>
      <c r="K750" s="1199"/>
      <c r="L750" s="1199"/>
      <c r="M750" s="1199"/>
      <c r="N750" s="1199"/>
    </row>
    <row r="751" spans="8:14">
      <c r="H751" s="414"/>
      <c r="K751" s="1199"/>
      <c r="L751" s="1199"/>
      <c r="M751" s="1199"/>
      <c r="N751" s="1199"/>
    </row>
    <row r="752" spans="8:14">
      <c r="H752" s="414"/>
      <c r="K752" s="1199"/>
      <c r="L752" s="1199"/>
      <c r="M752" s="1199"/>
      <c r="N752" s="1199"/>
    </row>
    <row r="753" spans="8:14">
      <c r="H753" s="414"/>
      <c r="K753" s="1199"/>
      <c r="L753" s="1199"/>
      <c r="M753" s="1199"/>
      <c r="N753" s="1199"/>
    </row>
    <row r="754" spans="8:14">
      <c r="H754" s="414"/>
      <c r="K754" s="1199"/>
      <c r="L754" s="1199"/>
      <c r="M754" s="1199"/>
      <c r="N754" s="1199"/>
    </row>
    <row r="755" spans="8:14">
      <c r="H755" s="414"/>
      <c r="K755" s="1199"/>
      <c r="L755" s="1199"/>
      <c r="M755" s="1199"/>
      <c r="N755" s="1199"/>
    </row>
    <row r="756" spans="8:14">
      <c r="H756" s="414"/>
      <c r="K756" s="1199"/>
      <c r="L756" s="1199"/>
      <c r="M756" s="1199"/>
      <c r="N756" s="1199"/>
    </row>
    <row r="757" spans="8:14">
      <c r="H757" s="414"/>
      <c r="K757" s="1199"/>
      <c r="L757" s="1199"/>
      <c r="M757" s="1199"/>
      <c r="N757" s="1199"/>
    </row>
    <row r="758" spans="8:14">
      <c r="H758" s="414"/>
      <c r="K758" s="1199"/>
      <c r="L758" s="1199"/>
      <c r="M758" s="1199"/>
      <c r="N758" s="1199"/>
    </row>
    <row r="759" spans="8:14">
      <c r="H759" s="414"/>
      <c r="K759" s="1199"/>
      <c r="L759" s="1199"/>
      <c r="M759" s="1199"/>
      <c r="N759" s="1199"/>
    </row>
    <row r="760" spans="8:14">
      <c r="H760" s="414"/>
      <c r="K760" s="1199"/>
      <c r="L760" s="1199"/>
      <c r="M760" s="1199"/>
      <c r="N760" s="1199"/>
    </row>
    <row r="761" spans="8:14">
      <c r="H761" s="414"/>
      <c r="K761" s="1199"/>
      <c r="L761" s="1199"/>
      <c r="M761" s="1199"/>
      <c r="N761" s="1199"/>
    </row>
    <row r="762" spans="8:14">
      <c r="H762" s="414"/>
      <c r="K762" s="1199"/>
      <c r="L762" s="1199"/>
      <c r="M762" s="1199"/>
      <c r="N762" s="1199"/>
    </row>
    <row r="763" spans="8:14">
      <c r="H763" s="414"/>
      <c r="K763" s="1199"/>
      <c r="L763" s="1199"/>
      <c r="M763" s="1199"/>
      <c r="N763" s="1199"/>
    </row>
    <row r="764" spans="8:14">
      <c r="H764" s="414"/>
      <c r="K764" s="1199"/>
      <c r="L764" s="1199"/>
      <c r="M764" s="1199"/>
      <c r="N764" s="1199"/>
    </row>
    <row r="765" spans="8:14">
      <c r="H765" s="414"/>
      <c r="K765" s="1199"/>
      <c r="L765" s="1199"/>
      <c r="M765" s="1199"/>
      <c r="N765" s="1199"/>
    </row>
    <row r="766" spans="8:14">
      <c r="H766" s="414"/>
      <c r="K766" s="1199"/>
      <c r="L766" s="1199"/>
      <c r="M766" s="1199"/>
      <c r="N766" s="1199"/>
    </row>
    <row r="767" spans="8:14">
      <c r="H767" s="414"/>
      <c r="K767" s="1199"/>
      <c r="L767" s="1199"/>
      <c r="M767" s="1199"/>
      <c r="N767" s="1199"/>
    </row>
    <row r="768" spans="8:14">
      <c r="H768" s="414"/>
      <c r="K768" s="1199"/>
      <c r="L768" s="1199"/>
      <c r="M768" s="1199"/>
      <c r="N768" s="1199"/>
    </row>
    <row r="769" spans="8:14">
      <c r="H769" s="414"/>
      <c r="K769" s="1199"/>
      <c r="L769" s="1199"/>
      <c r="M769" s="1199"/>
      <c r="N769" s="1199"/>
    </row>
    <row r="770" spans="8:14">
      <c r="H770" s="414"/>
      <c r="K770" s="1199"/>
      <c r="L770" s="1199"/>
      <c r="M770" s="1199"/>
      <c r="N770" s="1199"/>
    </row>
    <row r="771" spans="8:14">
      <c r="H771" s="414"/>
      <c r="K771" s="1199"/>
      <c r="L771" s="1199"/>
      <c r="M771" s="1199"/>
      <c r="N771" s="1199"/>
    </row>
    <row r="772" spans="8:14">
      <c r="H772" s="414"/>
      <c r="K772" s="1199"/>
      <c r="L772" s="1199"/>
      <c r="M772" s="1199"/>
      <c r="N772" s="1199"/>
    </row>
    <row r="773" spans="8:14">
      <c r="H773" s="414"/>
      <c r="K773" s="1199"/>
      <c r="L773" s="1199"/>
      <c r="M773" s="1199"/>
      <c r="N773" s="1199"/>
    </row>
    <row r="774" spans="8:14">
      <c r="H774" s="414"/>
      <c r="K774" s="1199"/>
      <c r="L774" s="1199"/>
      <c r="M774" s="1199"/>
      <c r="N774" s="1199"/>
    </row>
    <row r="775" spans="8:14">
      <c r="H775" s="414"/>
      <c r="K775" s="1199"/>
      <c r="L775" s="1199"/>
      <c r="M775" s="1199"/>
      <c r="N775" s="1199"/>
    </row>
    <row r="776" spans="8:14">
      <c r="H776" s="414"/>
      <c r="K776" s="1199"/>
      <c r="L776" s="1199"/>
      <c r="M776" s="1199"/>
      <c r="N776" s="1199"/>
    </row>
    <row r="777" spans="8:14">
      <c r="H777" s="414"/>
      <c r="K777" s="1199"/>
      <c r="L777" s="1199"/>
      <c r="M777" s="1199"/>
      <c r="N777" s="1199"/>
    </row>
    <row r="778" spans="8:14">
      <c r="H778" s="414"/>
      <c r="K778" s="1199"/>
      <c r="L778" s="1199"/>
      <c r="M778" s="1199"/>
      <c r="N778" s="1199"/>
    </row>
    <row r="779" spans="8:14">
      <c r="H779" s="414"/>
      <c r="K779" s="1199"/>
      <c r="L779" s="1199"/>
      <c r="M779" s="1199"/>
      <c r="N779" s="1199"/>
    </row>
    <row r="780" spans="8:14">
      <c r="H780" s="414"/>
      <c r="K780" s="1199"/>
      <c r="L780" s="1199"/>
      <c r="M780" s="1199"/>
      <c r="N780" s="1199"/>
    </row>
    <row r="781" spans="8:14">
      <c r="H781" s="414"/>
      <c r="K781" s="1199"/>
      <c r="L781" s="1199"/>
      <c r="M781" s="1199"/>
      <c r="N781" s="1199"/>
    </row>
    <row r="782" spans="8:14">
      <c r="H782" s="414"/>
      <c r="K782" s="1199"/>
      <c r="L782" s="1199"/>
      <c r="M782" s="1199"/>
      <c r="N782" s="1199"/>
    </row>
    <row r="783" spans="8:14">
      <c r="H783" s="414"/>
      <c r="K783" s="1199"/>
      <c r="L783" s="1199"/>
      <c r="M783" s="1199"/>
      <c r="N783" s="1199"/>
    </row>
    <row r="784" spans="8:14">
      <c r="H784" s="414"/>
      <c r="K784" s="1199"/>
      <c r="L784" s="1199"/>
      <c r="M784" s="1199"/>
      <c r="N784" s="1199"/>
    </row>
    <row r="785" spans="8:14">
      <c r="H785" s="414"/>
      <c r="K785" s="1199"/>
      <c r="L785" s="1199"/>
      <c r="M785" s="1199"/>
      <c r="N785" s="1199"/>
    </row>
    <row r="786" spans="8:14">
      <c r="H786" s="414"/>
      <c r="K786" s="1199"/>
      <c r="L786" s="1199"/>
      <c r="M786" s="1199"/>
      <c r="N786" s="1199"/>
    </row>
    <row r="787" spans="8:14">
      <c r="H787" s="414"/>
      <c r="K787" s="1199"/>
      <c r="L787" s="1199"/>
      <c r="M787" s="1199"/>
      <c r="N787" s="1199"/>
    </row>
    <row r="788" spans="8:14">
      <c r="H788" s="414"/>
      <c r="K788" s="1199"/>
      <c r="L788" s="1199"/>
      <c r="M788" s="1199"/>
      <c r="N788" s="1199"/>
    </row>
    <row r="789" spans="8:14">
      <c r="H789" s="414"/>
      <c r="K789" s="1199"/>
      <c r="L789" s="1199"/>
      <c r="M789" s="1199"/>
      <c r="N789" s="1199"/>
    </row>
    <row r="790" spans="8:14">
      <c r="H790" s="414"/>
      <c r="K790" s="1199"/>
      <c r="L790" s="1199"/>
      <c r="M790" s="1199"/>
      <c r="N790" s="1199"/>
    </row>
    <row r="791" spans="8:14">
      <c r="H791" s="414"/>
      <c r="K791" s="1199"/>
      <c r="L791" s="1199"/>
      <c r="M791" s="1199"/>
      <c r="N791" s="1199"/>
    </row>
    <row r="792" spans="8:14">
      <c r="H792" s="414"/>
      <c r="K792" s="1199"/>
      <c r="L792" s="1199"/>
      <c r="M792" s="1199"/>
      <c r="N792" s="1199"/>
    </row>
    <row r="793" spans="8:14">
      <c r="H793" s="414"/>
      <c r="K793" s="1199"/>
      <c r="L793" s="1199"/>
      <c r="M793" s="1199"/>
      <c r="N793" s="1199"/>
    </row>
    <row r="794" spans="8:14">
      <c r="H794" s="414"/>
      <c r="K794" s="1199"/>
      <c r="L794" s="1199"/>
      <c r="M794" s="1199"/>
      <c r="N794" s="1199"/>
    </row>
    <row r="795" spans="8:14">
      <c r="H795" s="414"/>
      <c r="K795" s="1199"/>
      <c r="L795" s="1199"/>
      <c r="M795" s="1199"/>
      <c r="N795" s="1199"/>
    </row>
    <row r="796" spans="8:14">
      <c r="H796" s="414"/>
      <c r="K796" s="1199"/>
      <c r="L796" s="1199"/>
      <c r="M796" s="1199"/>
      <c r="N796" s="1199"/>
    </row>
    <row r="797" spans="8:14">
      <c r="H797" s="414"/>
      <c r="K797" s="1199"/>
      <c r="L797" s="1199"/>
      <c r="M797" s="1199"/>
      <c r="N797" s="1199"/>
    </row>
    <row r="798" spans="8:14">
      <c r="H798" s="414"/>
      <c r="K798" s="1199"/>
      <c r="L798" s="1199"/>
      <c r="M798" s="1199"/>
      <c r="N798" s="1199"/>
    </row>
    <row r="799" spans="8:14">
      <c r="H799" s="414"/>
      <c r="K799" s="1199"/>
      <c r="L799" s="1199"/>
      <c r="M799" s="1199"/>
      <c r="N799" s="1199"/>
    </row>
    <row r="800" spans="8:14">
      <c r="H800" s="414"/>
      <c r="K800" s="1199"/>
      <c r="L800" s="1199"/>
      <c r="M800" s="1199"/>
      <c r="N800" s="1199"/>
    </row>
    <row r="801" spans="8:14">
      <c r="H801" s="414"/>
      <c r="K801" s="1199"/>
      <c r="L801" s="1199"/>
      <c r="M801" s="1199"/>
      <c r="N801" s="1199"/>
    </row>
    <row r="802" spans="8:14">
      <c r="H802" s="414"/>
      <c r="K802" s="1199"/>
      <c r="L802" s="1199"/>
      <c r="M802" s="1199"/>
      <c r="N802" s="1199"/>
    </row>
    <row r="803" spans="8:14">
      <c r="H803" s="414"/>
      <c r="K803" s="1199"/>
      <c r="L803" s="1199"/>
      <c r="M803" s="1199"/>
      <c r="N803" s="1199"/>
    </row>
    <row r="804" spans="8:14">
      <c r="H804" s="414"/>
      <c r="K804" s="1199"/>
      <c r="L804" s="1199"/>
      <c r="M804" s="1199"/>
      <c r="N804" s="1199"/>
    </row>
    <row r="805" spans="8:14">
      <c r="H805" s="414"/>
      <c r="K805" s="1199"/>
      <c r="L805" s="1199"/>
      <c r="M805" s="1199"/>
      <c r="N805" s="1199"/>
    </row>
    <row r="806" spans="8:14">
      <c r="H806" s="414"/>
      <c r="K806" s="1199"/>
      <c r="L806" s="1199"/>
      <c r="M806" s="1199"/>
      <c r="N806" s="1199"/>
    </row>
    <row r="807" spans="8:14">
      <c r="H807" s="414"/>
      <c r="K807" s="1199"/>
      <c r="L807" s="1199"/>
      <c r="M807" s="1199"/>
      <c r="N807" s="1199"/>
    </row>
    <row r="808" spans="8:14">
      <c r="H808" s="414"/>
      <c r="K808" s="1199"/>
      <c r="L808" s="1199"/>
      <c r="M808" s="1199"/>
      <c r="N808" s="1199"/>
    </row>
    <row r="809" spans="8:14">
      <c r="H809" s="414"/>
      <c r="K809" s="1199"/>
      <c r="L809" s="1199"/>
      <c r="M809" s="1199"/>
      <c r="N809" s="1199"/>
    </row>
    <row r="810" spans="8:14">
      <c r="H810" s="414"/>
      <c r="K810" s="1199"/>
      <c r="L810" s="1199"/>
      <c r="M810" s="1199"/>
      <c r="N810" s="1199"/>
    </row>
    <row r="811" spans="8:14">
      <c r="H811" s="414"/>
      <c r="K811" s="1199"/>
      <c r="L811" s="1199"/>
      <c r="M811" s="1199"/>
      <c r="N811" s="1199"/>
    </row>
    <row r="812" spans="8:14">
      <c r="H812" s="414"/>
      <c r="K812" s="1199"/>
      <c r="L812" s="1199"/>
      <c r="M812" s="1199"/>
      <c r="N812" s="1199"/>
    </row>
    <row r="813" spans="8:14">
      <c r="H813" s="414"/>
      <c r="K813" s="1199"/>
      <c r="L813" s="1199"/>
      <c r="M813" s="1199"/>
      <c r="N813" s="1199"/>
    </row>
    <row r="814" spans="8:14">
      <c r="H814" s="414"/>
      <c r="K814" s="1199"/>
      <c r="L814" s="1199"/>
      <c r="M814" s="1199"/>
      <c r="N814" s="1199"/>
    </row>
    <row r="815" spans="8:14">
      <c r="H815" s="414"/>
      <c r="K815" s="1199"/>
      <c r="L815" s="1199"/>
      <c r="M815" s="1199"/>
      <c r="N815" s="1199"/>
    </row>
    <row r="816" spans="8:14">
      <c r="H816" s="414"/>
      <c r="K816" s="1199"/>
      <c r="L816" s="1199"/>
      <c r="M816" s="1199"/>
      <c r="N816" s="1199"/>
    </row>
    <row r="817" spans="8:14">
      <c r="H817" s="414"/>
      <c r="K817" s="1199"/>
      <c r="L817" s="1199"/>
      <c r="M817" s="1199"/>
      <c r="N817" s="1199"/>
    </row>
    <row r="818" spans="8:14">
      <c r="H818" s="414"/>
      <c r="K818" s="1199"/>
      <c r="L818" s="1199"/>
      <c r="M818" s="1199"/>
      <c r="N818" s="1199"/>
    </row>
    <row r="819" spans="8:14">
      <c r="H819" s="414"/>
      <c r="K819" s="1199"/>
      <c r="L819" s="1199"/>
      <c r="M819" s="1199"/>
      <c r="N819" s="1199"/>
    </row>
    <row r="820" spans="8:14">
      <c r="H820" s="414"/>
      <c r="K820" s="1199"/>
      <c r="L820" s="1199"/>
      <c r="M820" s="1199"/>
      <c r="N820" s="1199"/>
    </row>
    <row r="821" spans="8:14">
      <c r="H821" s="414"/>
      <c r="K821" s="1199"/>
      <c r="L821" s="1199"/>
      <c r="M821" s="1199"/>
      <c r="N821" s="1199"/>
    </row>
    <row r="822" spans="8:14">
      <c r="H822" s="414"/>
      <c r="K822" s="1199"/>
      <c r="L822" s="1199"/>
      <c r="M822" s="1199"/>
      <c r="N822" s="1199"/>
    </row>
    <row r="823" spans="8:14">
      <c r="H823" s="414"/>
      <c r="K823" s="1199"/>
      <c r="L823" s="1199"/>
      <c r="M823" s="1199"/>
      <c r="N823" s="1199"/>
    </row>
    <row r="824" spans="8:14">
      <c r="H824" s="414"/>
      <c r="K824" s="1199"/>
      <c r="L824" s="1199"/>
      <c r="M824" s="1199"/>
      <c r="N824" s="1199"/>
    </row>
    <row r="825" spans="8:14">
      <c r="H825" s="414"/>
      <c r="K825" s="1199"/>
      <c r="L825" s="1199"/>
      <c r="M825" s="1199"/>
      <c r="N825" s="1199"/>
    </row>
    <row r="826" spans="8:14">
      <c r="H826" s="414"/>
      <c r="K826" s="1199"/>
      <c r="L826" s="1199"/>
      <c r="M826" s="1199"/>
      <c r="N826" s="1199"/>
    </row>
    <row r="827" spans="8:14">
      <c r="H827" s="414"/>
      <c r="K827" s="1199"/>
      <c r="L827" s="1199"/>
      <c r="M827" s="1199"/>
      <c r="N827" s="1199"/>
    </row>
    <row r="828" spans="8:14">
      <c r="H828" s="414"/>
      <c r="K828" s="1199"/>
      <c r="L828" s="1199"/>
      <c r="M828" s="1199"/>
      <c r="N828" s="1199"/>
    </row>
    <row r="829" spans="8:14">
      <c r="H829" s="414"/>
      <c r="K829" s="1199"/>
      <c r="L829" s="1199"/>
      <c r="M829" s="1199"/>
      <c r="N829" s="1199"/>
    </row>
    <row r="830" spans="8:14">
      <c r="H830" s="414"/>
      <c r="K830" s="1199"/>
      <c r="L830" s="1199"/>
      <c r="M830" s="1199"/>
      <c r="N830" s="1199"/>
    </row>
    <row r="831" spans="8:14">
      <c r="H831" s="414"/>
      <c r="K831" s="1199"/>
      <c r="L831" s="1199"/>
      <c r="M831" s="1199"/>
      <c r="N831" s="1199"/>
    </row>
    <row r="832" spans="8:14">
      <c r="H832" s="414"/>
      <c r="K832" s="1199"/>
      <c r="L832" s="1199"/>
      <c r="M832" s="1199"/>
      <c r="N832" s="1199"/>
    </row>
    <row r="833" spans="8:14">
      <c r="H833" s="414"/>
      <c r="K833" s="1199"/>
      <c r="L833" s="1199"/>
      <c r="M833" s="1199"/>
      <c r="N833" s="1199"/>
    </row>
    <row r="834" spans="8:14">
      <c r="H834" s="414"/>
      <c r="K834" s="1199"/>
      <c r="L834" s="1199"/>
      <c r="M834" s="1199"/>
      <c r="N834" s="1199"/>
    </row>
    <row r="835" spans="8:14">
      <c r="H835" s="414"/>
      <c r="K835" s="1199"/>
      <c r="L835" s="1199"/>
      <c r="M835" s="1199"/>
      <c r="N835" s="1199"/>
    </row>
    <row r="836" spans="8:14">
      <c r="H836" s="414"/>
      <c r="K836" s="1199"/>
      <c r="L836" s="1199"/>
      <c r="M836" s="1199"/>
      <c r="N836" s="1199"/>
    </row>
    <row r="837" spans="8:14">
      <c r="H837" s="414"/>
      <c r="K837" s="1199"/>
      <c r="L837" s="1199"/>
      <c r="M837" s="1199"/>
      <c r="N837" s="1199"/>
    </row>
    <row r="838" spans="8:14">
      <c r="H838" s="414"/>
      <c r="K838" s="1199"/>
      <c r="L838" s="1199"/>
      <c r="M838" s="1199"/>
      <c r="N838" s="1199"/>
    </row>
    <row r="839" spans="8:14">
      <c r="H839" s="414"/>
      <c r="K839" s="1199"/>
      <c r="L839" s="1199"/>
      <c r="M839" s="1199"/>
      <c r="N839" s="1199"/>
    </row>
    <row r="840" spans="8:14">
      <c r="H840" s="414"/>
      <c r="K840" s="1199"/>
      <c r="L840" s="1199"/>
      <c r="M840" s="1199"/>
      <c r="N840" s="1199"/>
    </row>
    <row r="841" spans="8:14">
      <c r="H841" s="414"/>
      <c r="K841" s="1199"/>
      <c r="L841" s="1199"/>
      <c r="M841" s="1199"/>
      <c r="N841" s="1199"/>
    </row>
    <row r="842" spans="8:14">
      <c r="H842" s="414"/>
      <c r="K842" s="1199"/>
      <c r="L842" s="1199"/>
      <c r="M842" s="1199"/>
      <c r="N842" s="1199"/>
    </row>
    <row r="843" spans="8:14">
      <c r="H843" s="414"/>
      <c r="K843" s="1199"/>
      <c r="L843" s="1199"/>
      <c r="M843" s="1199"/>
      <c r="N843" s="1199"/>
    </row>
    <row r="844" spans="8:14">
      <c r="H844" s="414"/>
      <c r="K844" s="1199"/>
      <c r="L844" s="1199"/>
      <c r="M844" s="1199"/>
      <c r="N844" s="1199"/>
    </row>
    <row r="845" spans="8:14">
      <c r="H845" s="414"/>
      <c r="K845" s="1199"/>
      <c r="L845" s="1199"/>
      <c r="M845" s="1199"/>
      <c r="N845" s="1199"/>
    </row>
    <row r="846" spans="8:14">
      <c r="H846" s="414"/>
      <c r="K846" s="1199"/>
      <c r="L846" s="1199"/>
      <c r="M846" s="1199"/>
      <c r="N846" s="1199"/>
    </row>
    <row r="847" spans="8:14">
      <c r="H847" s="414"/>
      <c r="K847" s="1199"/>
      <c r="L847" s="1199"/>
      <c r="M847" s="1199"/>
      <c r="N847" s="1199"/>
    </row>
    <row r="848" spans="8:14">
      <c r="H848" s="414"/>
      <c r="K848" s="1199"/>
      <c r="L848" s="1199"/>
      <c r="M848" s="1199"/>
      <c r="N848" s="1199"/>
    </row>
    <row r="849" spans="8:14">
      <c r="H849" s="414"/>
      <c r="K849" s="1199"/>
      <c r="L849" s="1199"/>
      <c r="M849" s="1199"/>
      <c r="N849" s="1199"/>
    </row>
    <row r="850" spans="8:14">
      <c r="H850" s="414"/>
      <c r="K850" s="1199"/>
      <c r="L850" s="1199"/>
      <c r="M850" s="1199"/>
      <c r="N850" s="1199"/>
    </row>
    <row r="851" spans="8:14">
      <c r="H851" s="414"/>
      <c r="K851" s="1199"/>
      <c r="L851" s="1199"/>
      <c r="M851" s="1199"/>
      <c r="N851" s="1199"/>
    </row>
    <row r="852" spans="8:14">
      <c r="H852" s="414"/>
      <c r="K852" s="1199"/>
      <c r="L852" s="1199"/>
      <c r="M852" s="1199"/>
      <c r="N852" s="1199"/>
    </row>
    <row r="853" spans="8:14">
      <c r="H853" s="414"/>
      <c r="K853" s="1199"/>
      <c r="L853" s="1199"/>
      <c r="M853" s="1199"/>
      <c r="N853" s="1199"/>
    </row>
    <row r="854" spans="8:14">
      <c r="H854" s="414"/>
      <c r="K854" s="1199"/>
      <c r="L854" s="1199"/>
      <c r="M854" s="1199"/>
      <c r="N854" s="1199"/>
    </row>
    <row r="855" spans="8:14">
      <c r="H855" s="414"/>
      <c r="K855" s="1199"/>
      <c r="L855" s="1199"/>
      <c r="M855" s="1199"/>
      <c r="N855" s="1199"/>
    </row>
    <row r="856" spans="8:14">
      <c r="H856" s="414"/>
      <c r="K856" s="1199"/>
      <c r="L856" s="1199"/>
      <c r="M856" s="1199"/>
      <c r="N856" s="1199"/>
    </row>
    <row r="857" spans="8:14">
      <c r="H857" s="414"/>
      <c r="K857" s="1199"/>
      <c r="L857" s="1199"/>
      <c r="M857" s="1199"/>
      <c r="N857" s="1199"/>
    </row>
    <row r="858" spans="8:14">
      <c r="H858" s="414"/>
      <c r="K858" s="1199"/>
      <c r="L858" s="1199"/>
      <c r="M858" s="1199"/>
      <c r="N858" s="1199"/>
    </row>
    <row r="859" spans="8:14">
      <c r="H859" s="414"/>
      <c r="K859" s="1199"/>
      <c r="L859" s="1199"/>
      <c r="M859" s="1199"/>
      <c r="N859" s="1199"/>
    </row>
    <row r="860" spans="8:14">
      <c r="H860" s="414"/>
      <c r="K860" s="1199"/>
      <c r="L860" s="1199"/>
      <c r="M860" s="1199"/>
      <c r="N860" s="1199"/>
    </row>
    <row r="861" spans="8:14">
      <c r="H861" s="414"/>
      <c r="K861" s="1199"/>
      <c r="L861" s="1199"/>
      <c r="M861" s="1199"/>
      <c r="N861" s="1199"/>
    </row>
    <row r="862" spans="8:14">
      <c r="H862" s="414"/>
      <c r="K862" s="1199"/>
      <c r="L862" s="1199"/>
      <c r="M862" s="1199"/>
      <c r="N862" s="1199"/>
    </row>
    <row r="863" spans="8:14">
      <c r="H863" s="414"/>
      <c r="K863" s="1199"/>
      <c r="L863" s="1199"/>
      <c r="M863" s="1199"/>
      <c r="N863" s="1199"/>
    </row>
    <row r="864" spans="8:14">
      <c r="H864" s="414"/>
      <c r="K864" s="1199"/>
      <c r="L864" s="1199"/>
      <c r="M864" s="1199"/>
      <c r="N864" s="1199"/>
    </row>
    <row r="865" spans="8:14">
      <c r="H865" s="414"/>
      <c r="K865" s="1199"/>
      <c r="L865" s="1199"/>
      <c r="M865" s="1199"/>
      <c r="N865" s="1199"/>
    </row>
    <row r="866" spans="8:14">
      <c r="H866" s="414"/>
      <c r="K866" s="1199"/>
      <c r="L866" s="1199"/>
      <c r="M866" s="1199"/>
      <c r="N866" s="1199"/>
    </row>
    <row r="867" spans="8:14">
      <c r="H867" s="414"/>
      <c r="K867" s="1199"/>
      <c r="L867" s="1199"/>
      <c r="M867" s="1199"/>
      <c r="N867" s="1199"/>
    </row>
    <row r="868" spans="8:14">
      <c r="H868" s="414"/>
      <c r="K868" s="1199"/>
      <c r="L868" s="1199"/>
      <c r="M868" s="1199"/>
      <c r="N868" s="1199"/>
    </row>
    <row r="869" spans="8:14">
      <c r="H869" s="414"/>
      <c r="K869" s="1199"/>
      <c r="L869" s="1199"/>
      <c r="M869" s="1199"/>
      <c r="N869" s="1199"/>
    </row>
    <row r="870" spans="8:14">
      <c r="H870" s="414"/>
      <c r="K870" s="1199"/>
      <c r="L870" s="1199"/>
      <c r="M870" s="1199"/>
      <c r="N870" s="1199"/>
    </row>
    <row r="871" spans="8:14">
      <c r="H871" s="414"/>
      <c r="K871" s="1199"/>
      <c r="L871" s="1199"/>
      <c r="M871" s="1199"/>
      <c r="N871" s="1199"/>
    </row>
    <row r="872" spans="8:14">
      <c r="H872" s="414"/>
      <c r="K872" s="1199"/>
      <c r="L872" s="1199"/>
      <c r="M872" s="1199"/>
      <c r="N872" s="1199"/>
    </row>
    <row r="873" spans="8:14">
      <c r="H873" s="414"/>
      <c r="K873" s="1199"/>
      <c r="L873" s="1199"/>
      <c r="M873" s="1199"/>
      <c r="N873" s="1199"/>
    </row>
    <row r="874" spans="8:14">
      <c r="H874" s="414"/>
      <c r="K874" s="1199"/>
      <c r="L874" s="1199"/>
      <c r="M874" s="1199"/>
      <c r="N874" s="1199"/>
    </row>
    <row r="875" spans="8:14">
      <c r="H875" s="414"/>
      <c r="K875" s="1199"/>
      <c r="L875" s="1199"/>
      <c r="M875" s="1199"/>
      <c r="N875" s="1199"/>
    </row>
    <row r="876" spans="8:14">
      <c r="H876" s="414"/>
      <c r="K876" s="1199"/>
      <c r="L876" s="1199"/>
      <c r="M876" s="1199"/>
      <c r="N876" s="1199"/>
    </row>
    <row r="877" spans="8:14">
      <c r="H877" s="414"/>
      <c r="K877" s="1199"/>
      <c r="L877" s="1199"/>
      <c r="M877" s="1199"/>
      <c r="N877" s="1199"/>
    </row>
    <row r="878" spans="8:14">
      <c r="H878" s="414"/>
      <c r="K878" s="1199"/>
      <c r="L878" s="1199"/>
      <c r="M878" s="1199"/>
      <c r="N878" s="1199"/>
    </row>
    <row r="879" spans="8:14">
      <c r="H879" s="414"/>
      <c r="K879" s="1199"/>
      <c r="L879" s="1199"/>
      <c r="M879" s="1199"/>
      <c r="N879" s="1199"/>
    </row>
    <row r="880" spans="8:14">
      <c r="H880" s="414"/>
      <c r="K880" s="1199"/>
      <c r="L880" s="1199"/>
      <c r="M880" s="1199"/>
      <c r="N880" s="1199"/>
    </row>
    <row r="881" spans="8:14">
      <c r="H881" s="414"/>
      <c r="K881" s="1199"/>
      <c r="L881" s="1199"/>
      <c r="M881" s="1199"/>
      <c r="N881" s="1199"/>
    </row>
    <row r="882" spans="8:14">
      <c r="H882" s="414"/>
      <c r="K882" s="1199"/>
      <c r="L882" s="1199"/>
      <c r="M882" s="1199"/>
      <c r="N882" s="1199"/>
    </row>
    <row r="883" spans="8:14">
      <c r="H883" s="414"/>
      <c r="K883" s="1199"/>
      <c r="L883" s="1199"/>
      <c r="M883" s="1199"/>
      <c r="N883" s="1199"/>
    </row>
    <row r="884" spans="8:14">
      <c r="H884" s="414"/>
      <c r="K884" s="1199"/>
      <c r="L884" s="1199"/>
      <c r="M884" s="1199"/>
      <c r="N884" s="1199"/>
    </row>
    <row r="885" spans="8:14">
      <c r="H885" s="414"/>
      <c r="K885" s="1199"/>
      <c r="L885" s="1199"/>
      <c r="M885" s="1199"/>
      <c r="N885" s="1199"/>
    </row>
    <row r="886" spans="8:14">
      <c r="H886" s="414"/>
      <c r="K886" s="1199"/>
      <c r="L886" s="1199"/>
      <c r="M886" s="1199"/>
      <c r="N886" s="1199"/>
    </row>
    <row r="887" spans="8:14">
      <c r="H887" s="414"/>
      <c r="K887" s="1199"/>
      <c r="L887" s="1199"/>
      <c r="M887" s="1199"/>
      <c r="N887" s="1199"/>
    </row>
    <row r="888" spans="8:14">
      <c r="H888" s="414"/>
      <c r="K888" s="1199"/>
      <c r="L888" s="1199"/>
      <c r="M888" s="1199"/>
      <c r="N888" s="1199"/>
    </row>
    <row r="889" spans="8:14">
      <c r="H889" s="414"/>
      <c r="K889" s="1199"/>
      <c r="L889" s="1199"/>
      <c r="M889" s="1199"/>
      <c r="N889" s="1199"/>
    </row>
    <row r="890" spans="8:14">
      <c r="H890" s="414"/>
      <c r="K890" s="1199"/>
      <c r="L890" s="1199"/>
      <c r="M890" s="1199"/>
      <c r="N890" s="1199"/>
    </row>
    <row r="891" spans="8:14">
      <c r="H891" s="414"/>
      <c r="K891" s="1199"/>
      <c r="L891" s="1199"/>
      <c r="M891" s="1199"/>
      <c r="N891" s="1199"/>
    </row>
    <row r="892" spans="8:14">
      <c r="H892" s="414"/>
      <c r="K892" s="1199"/>
      <c r="L892" s="1199"/>
      <c r="M892" s="1199"/>
      <c r="N892" s="1199"/>
    </row>
    <row r="893" spans="8:14">
      <c r="H893" s="414"/>
      <c r="K893" s="1199"/>
      <c r="L893" s="1199"/>
      <c r="M893" s="1199"/>
      <c r="N893" s="1199"/>
    </row>
    <row r="894" spans="8:14">
      <c r="H894" s="414"/>
      <c r="K894" s="1199"/>
      <c r="L894" s="1199"/>
      <c r="M894" s="1199"/>
      <c r="N894" s="1199"/>
    </row>
    <row r="895" spans="8:14">
      <c r="H895" s="414"/>
      <c r="K895" s="1199"/>
      <c r="L895" s="1199"/>
      <c r="M895" s="1199"/>
      <c r="N895" s="1199"/>
    </row>
    <row r="896" spans="8:14">
      <c r="H896" s="414"/>
      <c r="K896" s="1199"/>
      <c r="L896" s="1199"/>
      <c r="M896" s="1199"/>
      <c r="N896" s="1199"/>
    </row>
    <row r="897" spans="8:14">
      <c r="H897" s="414"/>
      <c r="K897" s="1199"/>
      <c r="L897" s="1199"/>
      <c r="M897" s="1199"/>
      <c r="N897" s="1199"/>
    </row>
    <row r="898" spans="8:14">
      <c r="H898" s="414"/>
      <c r="K898" s="1199"/>
      <c r="L898" s="1199"/>
      <c r="M898" s="1199"/>
      <c r="N898" s="1199"/>
    </row>
    <row r="899" spans="8:14">
      <c r="H899" s="414"/>
      <c r="K899" s="1199"/>
      <c r="L899" s="1199"/>
      <c r="M899" s="1199"/>
      <c r="N899" s="1199"/>
    </row>
    <row r="900" spans="8:14">
      <c r="H900" s="414"/>
      <c r="K900" s="1199"/>
      <c r="L900" s="1199"/>
      <c r="M900" s="1199"/>
      <c r="N900" s="1199"/>
    </row>
    <row r="901" spans="8:14">
      <c r="H901" s="414"/>
      <c r="K901" s="1199"/>
      <c r="L901" s="1199"/>
      <c r="M901" s="1199"/>
      <c r="N901" s="1199"/>
    </row>
    <row r="902" spans="8:14">
      <c r="H902" s="414"/>
      <c r="K902" s="1199"/>
      <c r="L902" s="1199"/>
      <c r="M902" s="1199"/>
      <c r="N902" s="1199"/>
    </row>
    <row r="903" spans="8:14">
      <c r="H903" s="414"/>
      <c r="K903" s="1199"/>
      <c r="L903" s="1199"/>
      <c r="M903" s="1199"/>
      <c r="N903" s="1199"/>
    </row>
    <row r="904" spans="8:14">
      <c r="H904" s="414"/>
      <c r="K904" s="1199"/>
      <c r="L904" s="1199"/>
      <c r="M904" s="1199"/>
      <c r="N904" s="1199"/>
    </row>
    <row r="905" spans="8:14">
      <c r="H905" s="414"/>
      <c r="K905" s="1199"/>
      <c r="L905" s="1199"/>
      <c r="M905" s="1199"/>
      <c r="N905" s="1199"/>
    </row>
    <row r="906" spans="8:14">
      <c r="H906" s="414"/>
      <c r="K906" s="1199"/>
      <c r="L906" s="1199"/>
      <c r="M906" s="1199"/>
      <c r="N906" s="1199"/>
    </row>
    <row r="907" spans="8:14">
      <c r="H907" s="414"/>
      <c r="K907" s="1199"/>
      <c r="L907" s="1199"/>
      <c r="M907" s="1199"/>
      <c r="N907" s="1199"/>
    </row>
    <row r="908" spans="8:14">
      <c r="H908" s="414"/>
      <c r="K908" s="1199"/>
      <c r="L908" s="1199"/>
      <c r="M908" s="1199"/>
      <c r="N908" s="1199"/>
    </row>
    <row r="909" spans="8:14">
      <c r="H909" s="414"/>
      <c r="K909" s="1199"/>
      <c r="L909" s="1199"/>
      <c r="M909" s="1199"/>
      <c r="N909" s="1199"/>
    </row>
    <row r="910" spans="8:14">
      <c r="H910" s="414"/>
      <c r="K910" s="1199"/>
      <c r="L910" s="1199"/>
      <c r="M910" s="1199"/>
      <c r="N910" s="1199"/>
    </row>
    <row r="911" spans="8:14">
      <c r="H911" s="414"/>
      <c r="K911" s="1199"/>
      <c r="L911" s="1199"/>
      <c r="M911" s="1199"/>
      <c r="N911" s="1199"/>
    </row>
    <row r="912" spans="8:14">
      <c r="H912" s="414"/>
      <c r="K912" s="1199"/>
      <c r="L912" s="1199"/>
      <c r="M912" s="1199"/>
      <c r="N912" s="1199"/>
    </row>
    <row r="913" spans="8:14">
      <c r="H913" s="414"/>
      <c r="K913" s="1199"/>
      <c r="L913" s="1199"/>
      <c r="M913" s="1199"/>
      <c r="N913" s="1199"/>
    </row>
    <row r="914" spans="8:14">
      <c r="H914" s="414"/>
      <c r="K914" s="1199"/>
      <c r="L914" s="1199"/>
      <c r="M914" s="1199"/>
      <c r="N914" s="1199"/>
    </row>
    <row r="915" spans="8:14">
      <c r="H915" s="414"/>
      <c r="K915" s="1199"/>
      <c r="L915" s="1199"/>
      <c r="M915" s="1199"/>
      <c r="N915" s="1199"/>
    </row>
    <row r="916" spans="8:14">
      <c r="H916" s="414"/>
      <c r="K916" s="1199"/>
      <c r="L916" s="1199"/>
      <c r="M916" s="1199"/>
      <c r="N916" s="1199"/>
    </row>
    <row r="917" spans="8:14">
      <c r="H917" s="414"/>
      <c r="K917" s="1199"/>
      <c r="L917" s="1199"/>
      <c r="M917" s="1199"/>
      <c r="N917" s="1199"/>
    </row>
    <row r="918" spans="8:14">
      <c r="H918" s="414"/>
      <c r="K918" s="1199"/>
      <c r="L918" s="1199"/>
      <c r="M918" s="1199"/>
      <c r="N918" s="1199"/>
    </row>
    <row r="919" spans="8:14">
      <c r="H919" s="414"/>
      <c r="K919" s="1199"/>
      <c r="L919" s="1199"/>
      <c r="M919" s="1199"/>
      <c r="N919" s="1199"/>
    </row>
    <row r="920" spans="8:14">
      <c r="H920" s="414"/>
      <c r="K920" s="1199"/>
      <c r="L920" s="1199"/>
      <c r="M920" s="1199"/>
      <c r="N920" s="1199"/>
    </row>
    <row r="921" spans="8:14">
      <c r="H921" s="414"/>
      <c r="K921" s="1199"/>
      <c r="L921" s="1199"/>
      <c r="M921" s="1199"/>
      <c r="N921" s="1199"/>
    </row>
    <row r="922" spans="8:14">
      <c r="H922" s="414"/>
      <c r="K922" s="1199"/>
      <c r="L922" s="1199"/>
      <c r="M922" s="1199"/>
      <c r="N922" s="1199"/>
    </row>
    <row r="923" spans="8:14">
      <c r="H923" s="414"/>
    </row>
    <row r="924" spans="8:14">
      <c r="H924" s="414"/>
    </row>
  </sheetData>
  <sheetProtection sort="0" autoFilter="0"/>
  <sortState ref="A6:P312">
    <sortCondition ref="A6:A312"/>
  </sortState>
  <mergeCells count="3">
    <mergeCell ref="C2:G2"/>
    <mergeCell ref="C1:G1"/>
    <mergeCell ref="S6:AJ6"/>
  </mergeCells>
  <hyperlinks>
    <hyperlink ref="O143" r:id="rId1" display="https://hpv-versorgungsausgleich.de/fileadmin/nd_hpv-versorgungsausgleich/download/gd/avb_f.pdf" xr:uid="{0CAF4EB1-D042-471C-A976-88E69BD14EC9}"/>
    <hyperlink ref="O280" r:id="rId2" display="https://www.union-investment.de/Magnolia/Shared/Broschueren/a2f040e1f7e49c74c587b3f78cdd0856.0.0/Teilungsordnung_Januar_2021.pdf" xr:uid="{768F8DDB-3B7E-4F9A-86F5-FC17B3640A58}"/>
    <hyperlink ref="O246" r:id="rId3" display="https://www.ruv.de/dam/privatkunden/downloads/teilungsordnungen/RVL_AG_TO_20200301.pdf" xr:uid="{134ABBDA-4438-4A41-AC72-EB5DA8D77952}"/>
    <hyperlink ref="O266" r:id="rId4" display="https://www.sparkassenversicherung.de/export/sites/svag/_resources/download_galerien/service/daten/72-337-0617.pdf" xr:uid="{E47C21EE-7C97-4BD3-8754-F59D5F1231EB}"/>
    <hyperlink ref="O189" r:id="rId5" display="https://www.lvm.de/cms/061637b8-3f2b-4571-93b4-3d4d4480acb4/081-teilungsordnung-lebensversicherung-rentenversicherung-l272.pdf" xr:uid="{3514757A-7A5B-4C05-892A-FBD2817D092E}"/>
    <hyperlink ref="O241" r:id="rId6" display="https://www.provinzial.de/export/sites/pvn/_resources/download/privat_vorsorge/teilungsordnung/Teilungsordnung_Nord.pdf" xr:uid="{1EAC1DA7-5FDA-4638-BF82-6901F4892B06}"/>
    <hyperlink ref="O223" r:id="rId7" display="https://www.pb-versicherung.de/documents/Teilungsordnung PB Lebensversicherung Ja-1.pdf" xr:uid="{EA73524D-1568-44C7-99D5-7D38E1C1FADA}"/>
    <hyperlink ref="O272" r:id="rId8" display="https://silo.tips/download/stand-swiss-life-ag-niederlassung-fr-deutschland-im-folgenden-swiss-life-ag-teil" xr:uid="{FD6D0C59-E7DE-4765-A29D-657EE2FA2DF0}"/>
    <hyperlink ref="O12" r:id="rId9" display="https://www.allianz.de/content/dam/onemarketing/azde/azd/teilungsordnung/krklas122012.pdf" xr:uid="{39A4B1FE-9DE7-4EB8-9A36-1C9340047F9E}"/>
    <hyperlink ref="O209" r:id="rId10" display="https://www.neueleben.de/static/files/Service/Teilungsordnung_nl_20180801.pdf" xr:uid="{69E48D76-8457-4177-BB21-F02FC236F9A3}"/>
    <hyperlink ref="O286" r:id="rId11" display="C:\Users\Hau%C3%9F\Downloads\Satzung 2017.pdf" xr:uid="{80CB60E6-3CEA-4E3E-83A5-0987A2E2FEA6}"/>
    <hyperlink ref="O230" r:id="rId12" display="C:\Users\Hau%C3%9F\Downloads\Satzung 2017.pdf" xr:uid="{376E70F1-FEC5-41AE-983F-6EB86AC146AD}"/>
    <hyperlink ref="O205" r:id="rId13" xr:uid="{0601567F-81B5-4D85-B157-A3B916501EE4}"/>
    <hyperlink ref="O204" r:id="rId14" xr:uid="{3F5C39E3-49F5-4115-B100-26760A7B266A}"/>
    <hyperlink ref="O35" r:id="rId15" display="Teilungsordnung" xr:uid="{367E893B-863A-4F9B-B2FC-5A5C53812E64}"/>
    <hyperlink ref="O291" r:id="rId16" display="https://druckstuecke.volkswohl-bund.de/api/products/411/documents/Teilungsordnung_Direktversicherung_und_private_Altersversorgung_.pdf" xr:uid="{62ECAE6D-9107-4A43-B7FF-5E4FCEE0B154}"/>
    <hyperlink ref="O228" r:id="rId17" xr:uid="{ACFCF1CC-9BCE-4620-8BB4-34A0D1FD3A98}"/>
    <hyperlink ref="O271" r:id="rId18" display="https://docplayer.org/7085059-Stand-november-2013-swiss-life-ag-teilungsordnung-zum-versorgungsausgleich-inhaltsverzeichnis-praeambel-1-anwendungsbereich.html" xr:uid="{6E20BDE1-291B-4820-AF21-5A62B107C5C3}"/>
    <hyperlink ref="O258" r:id="rId19" display="https://docplayer.org/15092608-Besondere-versicherungsbedingungen-teilungsordnung.html" xr:uid="{035C2F26-832E-494E-9A5C-4198002305BE}"/>
    <hyperlink ref="O311" r:id="rId20" display="https://docplayer.org/23644504-Teilungsordnung-versorgungstraeger-zurich-deutscher-herold-ueberbetriebliche-unterstuetzungskasse-e-v-zdhuk-1-anwendungsbereich.html" xr:uid="{EFD8926F-0372-4000-A552-57667003CCC6}"/>
    <hyperlink ref="O76" r:id="rId21" display="https://docplayer.org/898437-Taetigkeitsplan-fuer-die-teilung-von-lebensversicherungen-auf-grundlage-des-gesetzes-zur-strukturreform-des-versorgungsausgleichs-teilungsordnung.html" xr:uid="{2EEA17E1-C2BE-4385-BF33-AE0821DD4658}"/>
    <hyperlink ref="O77" r:id="rId22" display="https://docplayer.org/898437-Taetigkeitsplan-fuer-die-teilung-von-lebensversicherungen-auf-grundlage-des-gesetzes-zur-strukturreform-des-versorgungsausgleichs-teilungsordnung.html" xr:uid="{E6B669DE-6E52-4B7B-B67E-A225F37555E9}"/>
    <hyperlink ref="O141" r:id="rId23" display="https://docplayer.org/898437-Taetigkeitsplan-fuer-die-teilung-von-lebensversicherungen-auf-grundlage-des-gesetzes-zur-strukturreform-des-versorgungsausgleichs-teilungsordnung.html" xr:uid="{B9F0ADDC-0BE0-4E51-97CE-2872D463ACE4}"/>
    <hyperlink ref="O197" r:id="rId24" xr:uid="{00F0F99B-12B5-4477-8C52-CAB96BCF9334}"/>
    <hyperlink ref="O57" r:id="rId25" display="https://docplayer.org/30893347-Teilungsordnung-inhaltsverzeichnis-vorwort-1-anwendungsbereich-2-form-des-versorgungsausgleichs-3-bestimmung-des-ausgleichswertes.html" xr:uid="{4E7FD4C2-722B-4B6E-84B8-EEBFE3E867AC}"/>
    <hyperlink ref="O279" r:id="rId26" display="https://docplayer.org/23644555-Teilungsordnung-der-unilever-deutschland-gruppe-stand.html" xr:uid="{6B93B06B-3AE0-4663-9923-788558901C03}"/>
    <hyperlink ref="O310" r:id="rId27" display="https://docplayer.org/6126612-Ordnung-fuer-die-interne-und-externe-teilung-von-lebensversicherungsvertraegen-aufgrund-des-gesetzes-ueber-den-versorgungsausgleich.html" xr:uid="{448A95FC-2775-461B-9208-256C76302D21}"/>
    <hyperlink ref="O155" r:id="rId28" display="https://docplayer.org/8153720-Hdi-pensionskasse-ag-pbpk-bestandssegment.html" xr:uid="{C44A750E-62DF-497A-A5FE-A496E8CA222F}"/>
    <hyperlink ref="O285" r:id="rId29" display="https://docplayer.org/6838556-Richtlinie-zum-versorgungsausgleich-gemaess-58a-abs-1-vaps-richtl-versausgl-der-versorgungsanstalt-der-deutschen-bundespost.html" xr:uid="{35B15B41-69AC-4912-AA39-C8104DB25B78}"/>
    <hyperlink ref="O233" r:id="rId30" display="https://docplayer.org/42705354-Allianz-lebensversicherungs-ag-vertragsgesellschaft-der-presse-versorgung.html" xr:uid="{689563E7-CE72-4E09-A66D-0B602175D71B}"/>
    <hyperlink ref="O129" r:id="rId31" xr:uid="{D39ADF8A-1AE9-4FB2-9981-FAA0B63F454B}"/>
    <hyperlink ref="O226" r:id="rId32" display="https://www.neueleben.de/static/files/Service/Teilungsordnung_nl_20180801.pdf" xr:uid="{7B8D193B-02D0-4069-B641-C4EF9821E53F}"/>
    <hyperlink ref="O231" r:id="rId33" display="https://www.psvag.de/fileadmin/doc/220/rechtliche_grundlagen/teilungsordnung.pdf" xr:uid="{368EA091-768B-4449-B08C-C4B1FB38573F}"/>
    <hyperlink ref="O238" r:id="rId34" display="https://www.vgh.de/export/sites/vgh/_resources/downloads/pdf/privat_versicherungen/vorsorgeundvermoegen/Teilungsordnung_PH_01.05.2016.pdf" xr:uid="{265E1CA3-90B5-4852-90BB-643E679415C5}"/>
    <hyperlink ref="O96" r:id="rId35" display="https://www.dws.de/de-DE/AssetDownload/Index/?filename=Teilungsordnung%20DWS%20Investment%20GmbH%202022%2006.pdf&amp;assetGuid=52ca4b21-2d03-4c79-9442-da45c9531d53&amp;source=DWS" xr:uid="{0E937C4B-4B27-421A-80C9-DE4AB5D5633C}"/>
    <hyperlink ref="J239" r:id="rId36" xr:uid="{F62ECF11-C075-488D-8D7C-75AC76199A5A}"/>
    <hyperlink ref="J13" r:id="rId37" xr:uid="{CA557E38-B026-448D-8397-286C7B63B107}"/>
    <hyperlink ref="O257" r:id="rId38" display="https://druckstuecke.volkswohl-bund.de/api/products/412/documents/Teilungsordnung_Unterst%C3%BCtzungskassen_BOLZ_.pdf" xr:uid="{3125B8F4-9A52-4748-BB64-6D4B6F46EA8F}"/>
    <hyperlink ref="O8" r:id="rId39" display="http://www.hpv-versorgungsausgleich.de/index.php?id=4779" xr:uid="{4DB1EAD1-8C91-4D78-83B9-6CD6AE618511}"/>
    <hyperlink ref="O9" r:id="rId40" display="http://www.hpv-versorgungsausgleich.de/index.php?id=4779" xr:uid="{993A39F1-E214-4685-B253-8642D15D44BB}"/>
    <hyperlink ref="O11" r:id="rId41" display="http://www.hpv-versorgungsausgleich.de/index.php?id=4779" xr:uid="{528D569B-22DC-491E-B219-EF638CB8E185}"/>
    <hyperlink ref="O38" r:id="rId42" display="http://www.hpv-versorgungsausgleich.de/index.php?id=4779" xr:uid="{01D4B421-D2CD-4FA4-9A91-AECBDE089002}"/>
    <hyperlink ref="O17:O27" r:id="rId43" display="http://www.hpv-versorgungsausgleich.de/index.php?id=4779" xr:uid="{A734958E-560B-4206-B507-8D892DC50DC5}"/>
    <hyperlink ref="O5:O32" r:id="rId44" display="http://www.hpv-versorgungsausgleich.de/index.php?id=4779" xr:uid="{BC0B1D4B-6BD8-43D5-ABD4-CDD1F3D61DEC}"/>
    <hyperlink ref="O36:O38" r:id="rId45" display="http://www.hpv-versorgungsausgleich.de/index.php?id=4779" xr:uid="{ADDC0EC5-B50D-4F01-96F4-AD76C84F9F24}"/>
    <hyperlink ref="O41:O53" r:id="rId46" display="http://www.hpv-versorgungsausgleich.de/index.php?id=4779" xr:uid="{36E8DF4A-9A24-473B-A86F-64F9E0E301E4}"/>
    <hyperlink ref="O106" r:id="rId47" display="http://www.hpv-versorgungsausgleich.de/index.php?id=4779" xr:uid="{FA9F7EC7-CAD2-4E4C-B558-2328ACE66EAD}"/>
    <hyperlink ref="O131" r:id="rId48" display="http://www.hpv-versorgungsausgleich.de/index.php?id=4779" xr:uid="{A83E358A-04F3-4646-8AAE-4C42F5C89DC0}"/>
    <hyperlink ref="O62:O67" r:id="rId49" display="http://www.hpv-versorgungsausgleich.de/index.php?id=4779" xr:uid="{AA3F4B1E-3357-4C43-8390-427AED3AF8C6}"/>
    <hyperlink ref="O70:O71" r:id="rId50" display="http://www.hpv-versorgungsausgleich.de/index.php?id=4779" xr:uid="{55E34C0B-E5FB-4F3C-A592-8020298D25E6}"/>
    <hyperlink ref="O76:O80" r:id="rId51" display="http://www.hpv-versorgungsausgleich.de/index.php?id=4779" xr:uid="{468655A1-8F25-4605-84D8-0BBE231D5294}"/>
    <hyperlink ref="O207" r:id="rId52" display="http://www.hpv-versorgungsausgleich.de/index.php?id=4779" xr:uid="{1818DEB4-B1D9-4A04-9A3D-ECB249CBD565}"/>
    <hyperlink ref="O213" r:id="rId53" display="http://www.hpv-versorgungsausgleich.de/index.php?id=4779" xr:uid="{69D80E22-42E2-4952-9718-3262881677B6}"/>
    <hyperlink ref="O98:O105" r:id="rId54" display="http://www.hpv-versorgungsausgleich.de/index.php?id=4779" xr:uid="{16C58223-98C9-4756-8483-CACC046F4278}"/>
    <hyperlink ref="O287" r:id="rId55" display="http://www.hpv-versorgungsausgleich.de/index.php?id=4779" xr:uid="{F2F9784D-7CB8-4A71-B10D-BDD1C2D2E695}"/>
    <hyperlink ref="O312" r:id="rId56" display="http://www.hpv-versorgungsausgleich.de/index.php?id=4779" xr:uid="{7B69C7D2-E74E-485B-914F-F8F7D1E9945E}"/>
    <hyperlink ref="O236" r:id="rId57" display="C:\Users\Hau%C3%9F\Downloads\leben-u-rente_alle-produkte_angaben-provinzial-teilungsordnung_pr-lebensversicherung.pdf" xr:uid="{52389196-DB28-4A5E-9822-D23B698D7C5A}"/>
    <hyperlink ref="O225" r:id="rId58" display="https://www.pb-versicherung.de/documents/Teilungsordnung PB Lebensversicherung Ok.pdf" xr:uid="{E3148DD9-903C-4172-B3A2-6BFB4CD93DF3}"/>
    <hyperlink ref="O156" r:id="rId59" display="http://www.hpv-versorgungsausgleich.de/index.php?id=4779" xr:uid="{71F46660-5647-44E2-8068-0760DA7F34C4}"/>
    <hyperlink ref="O153" r:id="rId60" display="C:\Users\Hau%C3%9F\Downloads\Teilungsordnung_HDI-Lebensversicherung_AG.pdf" xr:uid="{ECCED91D-8569-44AF-BB8F-6A5EF69A3B5F}"/>
    <hyperlink ref="O152" r:id="rId61" display="https://www.hdi.de/downloads/de/privatkunden/service/Telungsordnung_HLV_2020.pdf" xr:uid="{0627C112-FF6F-4C22-9E56-D1A04CBEC4CE}"/>
    <hyperlink ref="O235" r:id="rId62" display="https://flgruppe.de/wp-content/uploads/2021/03/Teilungsordnung_Pro_bAV_Pensionskasse_AG_27.08.2018_.pdf" xr:uid="{0FC7C55B-1194-4614-887C-3FE0B13387A4}"/>
    <hyperlink ref="O89" r:id="rId63" display="https://www.deutscher-pensionsfonds.com/-/media/project/zwp/deutscher-pensionsfonds/docs/dpag-teilungsordnung-pensionsfonds-3-63_2021_11.pdf" xr:uid="{7E9D4A05-3388-4343-8025-3392A2594EA0}"/>
    <hyperlink ref="O282" r:id="rId64" display="https://www.vdva-unterstuetzungskasse.de/rmedia/media/vdva_unterstuetzungskasse/dokumente_3/vdva-teilungsordnung_to-bolz.pdf" xr:uid="{418FD86F-D0E4-424F-9B8E-282038787FFE}"/>
    <hyperlink ref="O244" r:id="rId65" display="https://www.psvag.de/fileadmin/doc/220/rechtliche_grundlagen/teilungsordnung.pdf" xr:uid="{BE070D42-7984-4141-BE6D-869280C3C719}"/>
    <hyperlink ref="O73" r:id="rId66" display="https://www.yumpu.com/de/document/read/2556832/seite-1-von-4-teilungsordnung-der-dekabank-fur-" xr:uid="{FE1C3497-24D2-49B5-8365-EA6DABDFF63F}"/>
    <hyperlink ref="O74" r:id="rId67" display="https://www.yumpu.com/de/document/read/2556832/seite-1-von-4-teilungsordnung-der-dekabank-fur-" xr:uid="{337FD72D-D877-4ECA-91E4-D33D95D990F6}"/>
  </hyperlinks>
  <printOptions horizontalCentered="1"/>
  <pageMargins left="0.11811023622047245" right="0.11811023622047245" top="0.39370078740157483" bottom="0.39370078740157483" header="0.31496062992125984" footer="0.31496062992125984"/>
  <pageSetup paperSize="9" scale="76" fitToHeight="13" orientation="portrait" r:id="rId6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20"/>
  <dimension ref="A1:DQ102"/>
  <sheetViews>
    <sheetView topLeftCell="A32" workbookViewId="0">
      <pane xSplit="1" topLeftCell="BL1" activePane="topRight" state="frozen"/>
      <selection activeCell="A2" sqref="A2"/>
      <selection pane="topRight" activeCell="BN69" sqref="BN69"/>
    </sheetView>
  </sheetViews>
  <sheetFormatPr baseColWidth="10" defaultColWidth="11.125" defaultRowHeight="14.25"/>
  <cols>
    <col min="1" max="1" width="2.625" style="141" customWidth="1"/>
    <col min="2" max="119" width="6.125" customWidth="1"/>
  </cols>
  <sheetData>
    <row r="1" spans="1:121" s="134" customFormat="1" ht="11.25">
      <c r="A1" s="139"/>
      <c r="B1" s="134">
        <v>1900</v>
      </c>
      <c r="C1" s="134">
        <v>1901</v>
      </c>
      <c r="D1" s="134">
        <v>1902</v>
      </c>
      <c r="E1" s="134">
        <v>1903</v>
      </c>
      <c r="F1" s="134">
        <v>1904</v>
      </c>
      <c r="G1" s="134">
        <v>1905</v>
      </c>
      <c r="H1" s="134">
        <v>1906</v>
      </c>
      <c r="I1" s="134">
        <v>1907</v>
      </c>
      <c r="J1" s="134">
        <v>1908</v>
      </c>
      <c r="K1" s="134">
        <v>1909</v>
      </c>
      <c r="L1" s="134">
        <v>1910</v>
      </c>
      <c r="M1" s="134">
        <v>1911</v>
      </c>
      <c r="N1" s="134">
        <v>1912</v>
      </c>
      <c r="O1" s="134">
        <v>1913</v>
      </c>
      <c r="P1" s="134">
        <v>1914</v>
      </c>
      <c r="Q1" s="134">
        <v>1915</v>
      </c>
      <c r="R1" s="134">
        <v>1916</v>
      </c>
      <c r="S1" s="134">
        <v>1917</v>
      </c>
      <c r="T1" s="134">
        <v>1918</v>
      </c>
      <c r="U1" s="134">
        <v>1919</v>
      </c>
      <c r="V1" s="134">
        <v>1920</v>
      </c>
      <c r="W1" s="134">
        <v>1921</v>
      </c>
      <c r="X1" s="134">
        <v>1922</v>
      </c>
      <c r="Y1" s="134">
        <v>1923</v>
      </c>
      <c r="Z1" s="134">
        <v>1924</v>
      </c>
      <c r="AA1" s="134">
        <v>1925</v>
      </c>
      <c r="AB1" s="134">
        <v>1926</v>
      </c>
      <c r="AC1" s="134">
        <v>1927</v>
      </c>
      <c r="AD1" s="134">
        <v>1928</v>
      </c>
      <c r="AE1" s="134">
        <v>1929</v>
      </c>
      <c r="AF1" s="134">
        <v>1930</v>
      </c>
      <c r="AG1" s="134">
        <v>1931</v>
      </c>
      <c r="AH1" s="134">
        <v>1932</v>
      </c>
      <c r="AI1" s="134">
        <v>1933</v>
      </c>
      <c r="AJ1" s="134">
        <v>1934</v>
      </c>
      <c r="AK1" s="134">
        <v>1935</v>
      </c>
      <c r="AL1" s="134">
        <v>1936</v>
      </c>
      <c r="AM1" s="134">
        <v>1937</v>
      </c>
      <c r="AN1" s="134">
        <v>1938</v>
      </c>
      <c r="AO1" s="134">
        <v>1939</v>
      </c>
      <c r="AP1" s="134">
        <v>1940</v>
      </c>
      <c r="AQ1" s="134">
        <v>1941</v>
      </c>
      <c r="AR1" s="134">
        <v>1942</v>
      </c>
      <c r="AS1" s="134">
        <v>1943</v>
      </c>
      <c r="AT1" s="134">
        <v>1944</v>
      </c>
      <c r="AU1" s="134">
        <v>1945</v>
      </c>
      <c r="AV1" s="134">
        <v>1946</v>
      </c>
      <c r="AW1" s="134">
        <v>1947</v>
      </c>
      <c r="AX1" s="134">
        <v>1948</v>
      </c>
      <c r="AY1" s="134">
        <v>1949</v>
      </c>
      <c r="AZ1" s="134">
        <v>1950</v>
      </c>
      <c r="BA1" s="134">
        <v>1951</v>
      </c>
      <c r="BB1" s="134">
        <v>1952</v>
      </c>
      <c r="BC1" s="134">
        <v>1953</v>
      </c>
      <c r="BD1" s="134">
        <v>1954</v>
      </c>
      <c r="BE1" s="134">
        <v>1955</v>
      </c>
      <c r="BF1" s="134">
        <v>1956</v>
      </c>
      <c r="BG1" s="134">
        <v>1957</v>
      </c>
      <c r="BH1" s="134">
        <v>1958</v>
      </c>
      <c r="BI1" s="134">
        <v>1959</v>
      </c>
      <c r="BJ1" s="134">
        <v>1960</v>
      </c>
      <c r="BK1" s="134">
        <v>1961</v>
      </c>
      <c r="BL1" s="134">
        <v>1962</v>
      </c>
      <c r="BM1" s="134">
        <v>1963</v>
      </c>
      <c r="BN1" s="134">
        <v>1964</v>
      </c>
      <c r="BO1" s="134">
        <v>1965</v>
      </c>
      <c r="BP1" s="134">
        <v>1966</v>
      </c>
      <c r="BQ1" s="134">
        <v>1967</v>
      </c>
      <c r="BR1" s="134">
        <v>1968</v>
      </c>
      <c r="BS1" s="134">
        <v>1969</v>
      </c>
      <c r="BT1" s="134">
        <v>1970</v>
      </c>
      <c r="BU1" s="134">
        <v>1971</v>
      </c>
      <c r="BV1" s="134">
        <v>1972</v>
      </c>
      <c r="BW1" s="134">
        <v>1973</v>
      </c>
      <c r="BX1" s="134">
        <v>1974</v>
      </c>
      <c r="BY1" s="134">
        <v>1975</v>
      </c>
      <c r="BZ1" s="134">
        <v>1976</v>
      </c>
      <c r="CA1" s="134">
        <v>1977</v>
      </c>
      <c r="CB1" s="134">
        <v>1978</v>
      </c>
      <c r="CC1" s="134">
        <v>1979</v>
      </c>
      <c r="CD1" s="134">
        <v>1980</v>
      </c>
      <c r="CE1" s="134">
        <v>1981</v>
      </c>
      <c r="CF1" s="134">
        <v>1982</v>
      </c>
      <c r="CG1" s="134">
        <v>1983</v>
      </c>
      <c r="CH1" s="134">
        <v>1984</v>
      </c>
      <c r="CI1" s="134">
        <v>1985</v>
      </c>
      <c r="CJ1" s="134">
        <v>1986</v>
      </c>
      <c r="CK1" s="134">
        <v>1987</v>
      </c>
      <c r="CL1" s="134">
        <v>1988</v>
      </c>
      <c r="CM1" s="134">
        <v>1989</v>
      </c>
      <c r="CN1" s="134">
        <v>1990</v>
      </c>
      <c r="CO1" s="134">
        <v>1991</v>
      </c>
      <c r="CP1" s="134">
        <v>1992</v>
      </c>
      <c r="CQ1" s="134">
        <v>1993</v>
      </c>
      <c r="CR1" s="134">
        <v>1994</v>
      </c>
      <c r="CS1" s="134">
        <v>1995</v>
      </c>
      <c r="CT1" s="134">
        <v>1996</v>
      </c>
      <c r="CU1" s="134">
        <v>1997</v>
      </c>
      <c r="CV1" s="134">
        <v>1998</v>
      </c>
      <c r="CW1" s="134">
        <v>1999</v>
      </c>
      <c r="CX1" s="134">
        <v>2000</v>
      </c>
      <c r="CY1" s="134">
        <v>2001</v>
      </c>
      <c r="CZ1" s="134">
        <v>2002</v>
      </c>
      <c r="DA1" s="134">
        <v>2003</v>
      </c>
      <c r="DB1" s="134">
        <v>2004</v>
      </c>
      <c r="DC1" s="134">
        <v>2005</v>
      </c>
      <c r="DD1" s="134">
        <v>2006</v>
      </c>
      <c r="DE1" s="134">
        <v>2007</v>
      </c>
      <c r="DF1" s="134">
        <v>2008</v>
      </c>
      <c r="DG1" s="134">
        <v>2009</v>
      </c>
      <c r="DH1" s="134">
        <v>2010</v>
      </c>
      <c r="DI1" s="134">
        <v>2011</v>
      </c>
      <c r="DJ1" s="134">
        <v>2012</v>
      </c>
      <c r="DK1" s="134">
        <v>2013</v>
      </c>
      <c r="DL1" s="134">
        <v>2014</v>
      </c>
      <c r="DM1" s="134">
        <v>2015</v>
      </c>
      <c r="DN1" s="134">
        <v>2016</v>
      </c>
      <c r="DO1" s="134">
        <v>2017</v>
      </c>
    </row>
    <row r="2" spans="1:121">
      <c r="A2" s="140">
        <v>0</v>
      </c>
      <c r="B2" s="142"/>
      <c r="C2" s="142"/>
      <c r="D2" s="142"/>
      <c r="E2" s="142"/>
      <c r="F2" s="142"/>
      <c r="G2" s="142"/>
      <c r="H2" s="142"/>
      <c r="I2" s="142"/>
      <c r="J2" s="142"/>
      <c r="K2" s="142"/>
      <c r="L2" s="142"/>
      <c r="M2" s="142"/>
      <c r="N2" s="142"/>
      <c r="O2" s="142"/>
      <c r="P2" s="142"/>
      <c r="Q2" s="142"/>
      <c r="R2" s="142"/>
      <c r="S2" s="142"/>
      <c r="T2" s="142"/>
      <c r="U2" s="142"/>
      <c r="V2" s="142"/>
      <c r="W2" s="142">
        <v>100000</v>
      </c>
      <c r="X2" s="142">
        <v>100000</v>
      </c>
      <c r="Y2" s="142">
        <v>100000</v>
      </c>
      <c r="Z2" s="142">
        <v>100000</v>
      </c>
      <c r="AA2" s="142">
        <v>100000</v>
      </c>
      <c r="AB2" s="142">
        <v>100000</v>
      </c>
      <c r="AC2" s="142">
        <v>100000</v>
      </c>
      <c r="AD2" s="142">
        <v>100000</v>
      </c>
      <c r="AE2" s="142">
        <v>100000</v>
      </c>
      <c r="AF2" s="142">
        <v>100000</v>
      </c>
      <c r="AG2" s="142">
        <v>100000</v>
      </c>
      <c r="AH2" s="142">
        <v>100000</v>
      </c>
      <c r="AI2" s="142">
        <v>100000</v>
      </c>
      <c r="AJ2" s="142">
        <v>100000</v>
      </c>
      <c r="AK2" s="142">
        <v>100000</v>
      </c>
      <c r="AL2" s="142">
        <v>100000</v>
      </c>
      <c r="AM2" s="142">
        <v>100000</v>
      </c>
      <c r="AN2" s="142">
        <v>100000</v>
      </c>
      <c r="AO2" s="142">
        <v>100000</v>
      </c>
      <c r="AP2" s="142">
        <v>100000</v>
      </c>
      <c r="AQ2" s="142">
        <v>100000</v>
      </c>
      <c r="AR2" s="142">
        <v>100000</v>
      </c>
      <c r="AS2" s="142">
        <v>100000</v>
      </c>
      <c r="AT2" s="142">
        <v>100000</v>
      </c>
      <c r="AU2" s="142">
        <v>100000</v>
      </c>
      <c r="AV2" s="142">
        <v>100000</v>
      </c>
      <c r="AW2" s="142">
        <v>100000</v>
      </c>
      <c r="AX2" s="142">
        <v>100000</v>
      </c>
      <c r="AY2" s="142">
        <v>100000</v>
      </c>
      <c r="AZ2" s="142">
        <v>100000</v>
      </c>
      <c r="BA2" s="142">
        <v>100000</v>
      </c>
      <c r="BB2" s="142">
        <v>100000</v>
      </c>
      <c r="BC2" s="142">
        <v>100000</v>
      </c>
      <c r="BD2" s="142">
        <v>100000</v>
      </c>
      <c r="BE2" s="142">
        <v>100000</v>
      </c>
      <c r="BF2" s="142">
        <v>100000</v>
      </c>
      <c r="BG2" s="142">
        <v>100000</v>
      </c>
      <c r="BH2" s="142">
        <v>100000</v>
      </c>
      <c r="BI2" s="142">
        <v>100000</v>
      </c>
      <c r="BJ2" s="142">
        <v>100000</v>
      </c>
      <c r="BK2" s="142">
        <v>100000</v>
      </c>
      <c r="BL2" s="142">
        <v>100000</v>
      </c>
      <c r="BM2" s="142">
        <v>100000</v>
      </c>
      <c r="BN2" s="142">
        <v>100000</v>
      </c>
      <c r="BO2" s="142">
        <v>100000</v>
      </c>
      <c r="BP2" s="142">
        <v>100000</v>
      </c>
      <c r="BQ2" s="142">
        <v>100000</v>
      </c>
      <c r="BR2" s="142">
        <v>100000</v>
      </c>
      <c r="BS2" s="142">
        <v>100000</v>
      </c>
      <c r="BT2" s="142">
        <v>100000</v>
      </c>
      <c r="BU2" s="142">
        <v>100000</v>
      </c>
      <c r="BV2" s="142">
        <v>100000</v>
      </c>
      <c r="BW2" s="142">
        <v>100000</v>
      </c>
      <c r="BX2" s="142">
        <v>100000</v>
      </c>
      <c r="BY2" s="142">
        <v>100000</v>
      </c>
      <c r="BZ2" s="142">
        <v>100000</v>
      </c>
      <c r="CA2" s="142">
        <v>100000</v>
      </c>
      <c r="CB2" s="142">
        <v>100000</v>
      </c>
      <c r="CC2" s="142">
        <v>100000</v>
      </c>
      <c r="CD2" s="142">
        <v>100000</v>
      </c>
      <c r="CE2" s="142">
        <v>100000</v>
      </c>
      <c r="CF2" s="142">
        <v>100000</v>
      </c>
      <c r="CG2" s="142">
        <v>100000</v>
      </c>
      <c r="CH2" s="142">
        <v>100000</v>
      </c>
      <c r="CI2" s="142">
        <v>100000</v>
      </c>
      <c r="CJ2" s="142">
        <v>100000</v>
      </c>
      <c r="CK2" s="142">
        <v>100000</v>
      </c>
      <c r="CL2" s="142">
        <v>100000</v>
      </c>
      <c r="CM2" s="142">
        <v>100000</v>
      </c>
      <c r="CN2" s="142">
        <v>100000</v>
      </c>
      <c r="CO2" s="142">
        <v>100000</v>
      </c>
      <c r="CP2" s="142">
        <v>100000</v>
      </c>
      <c r="CQ2" s="142">
        <v>100000</v>
      </c>
      <c r="CR2" s="142">
        <v>100000</v>
      </c>
      <c r="CS2" s="142">
        <v>100000</v>
      </c>
      <c r="CT2" s="142">
        <v>100000</v>
      </c>
      <c r="CU2" s="142">
        <v>100000</v>
      </c>
      <c r="CV2" s="142">
        <v>100000</v>
      </c>
      <c r="CW2" s="142">
        <v>100000</v>
      </c>
      <c r="CX2" s="142">
        <v>100000</v>
      </c>
      <c r="CY2" s="142">
        <v>100000</v>
      </c>
      <c r="CZ2" s="142">
        <v>100000</v>
      </c>
      <c r="DA2" s="142">
        <v>100000</v>
      </c>
      <c r="DB2" s="142">
        <v>100000</v>
      </c>
      <c r="DC2" s="142">
        <v>100000</v>
      </c>
      <c r="DD2" s="142">
        <v>100000</v>
      </c>
      <c r="DE2" s="142">
        <v>100000</v>
      </c>
      <c r="DF2" s="142">
        <v>100000</v>
      </c>
      <c r="DG2" s="142">
        <v>100000</v>
      </c>
      <c r="DH2" s="142">
        <v>100000</v>
      </c>
      <c r="DI2" s="142">
        <v>100000</v>
      </c>
      <c r="DJ2" s="142">
        <v>100000</v>
      </c>
      <c r="DK2" s="142">
        <v>100000</v>
      </c>
      <c r="DL2" s="142">
        <v>100000</v>
      </c>
      <c r="DM2" s="142">
        <v>100000</v>
      </c>
      <c r="DN2" s="142">
        <v>100000</v>
      </c>
      <c r="DO2" s="142">
        <v>100000</v>
      </c>
      <c r="DP2" s="142"/>
      <c r="DQ2" s="142"/>
    </row>
    <row r="3" spans="1:121">
      <c r="A3" s="140">
        <v>1</v>
      </c>
      <c r="B3" s="142"/>
      <c r="C3" s="142"/>
      <c r="D3" s="142"/>
      <c r="E3" s="142"/>
      <c r="F3" s="142"/>
      <c r="G3" s="142"/>
      <c r="H3" s="142"/>
      <c r="I3" s="142"/>
      <c r="J3" s="142"/>
      <c r="K3" s="142"/>
      <c r="L3" s="142"/>
      <c r="M3" s="142"/>
      <c r="N3" s="142"/>
      <c r="O3" s="142"/>
      <c r="P3" s="142"/>
      <c r="Q3" s="142"/>
      <c r="R3" s="142"/>
      <c r="S3" s="142"/>
      <c r="T3" s="142"/>
      <c r="U3" s="142"/>
      <c r="V3" s="142"/>
      <c r="W3" s="142">
        <v>86672</v>
      </c>
      <c r="X3" s="142">
        <v>87100</v>
      </c>
      <c r="Y3" s="142">
        <v>86850</v>
      </c>
      <c r="Z3" s="142">
        <v>89150</v>
      </c>
      <c r="AA3" s="142">
        <v>89500</v>
      </c>
      <c r="AB3" s="142">
        <v>89850</v>
      </c>
      <c r="AC3" s="142">
        <v>90350</v>
      </c>
      <c r="AD3" s="142">
        <v>91100</v>
      </c>
      <c r="AE3" s="142">
        <v>90501</v>
      </c>
      <c r="AF3" s="142">
        <v>91585.5</v>
      </c>
      <c r="AG3" s="142">
        <v>91894.5</v>
      </c>
      <c r="AH3" s="142">
        <v>92100</v>
      </c>
      <c r="AI3" s="142">
        <v>92350</v>
      </c>
      <c r="AJ3" s="142">
        <v>93400</v>
      </c>
      <c r="AK3" s="142">
        <v>93189.5</v>
      </c>
      <c r="AL3" s="142">
        <v>93400</v>
      </c>
      <c r="AM3" s="142">
        <v>93574</v>
      </c>
      <c r="AN3" s="142">
        <v>93967.5</v>
      </c>
      <c r="AO3" s="142">
        <v>93841</v>
      </c>
      <c r="AP3" s="142">
        <v>93841</v>
      </c>
      <c r="AQ3" s="142">
        <v>93841</v>
      </c>
      <c r="AR3" s="142">
        <v>93841</v>
      </c>
      <c r="AS3" s="142">
        <v>93225</v>
      </c>
      <c r="AT3" s="142">
        <v>92301.5</v>
      </c>
      <c r="AU3" s="142">
        <v>90762</v>
      </c>
      <c r="AV3" s="142">
        <v>90889</v>
      </c>
      <c r="AW3" s="142">
        <v>90889</v>
      </c>
      <c r="AX3" s="142">
        <v>92673.5</v>
      </c>
      <c r="AY3" s="142">
        <v>94457</v>
      </c>
      <c r="AZ3" s="142">
        <v>94457</v>
      </c>
      <c r="BA3" s="142">
        <v>94457</v>
      </c>
      <c r="BB3" s="142">
        <v>95091.5</v>
      </c>
      <c r="BC3" s="142">
        <v>95283.5</v>
      </c>
      <c r="BD3" s="142">
        <v>95660</v>
      </c>
      <c r="BE3" s="142">
        <v>95710.5</v>
      </c>
      <c r="BF3" s="142">
        <v>96027</v>
      </c>
      <c r="BG3" s="142">
        <v>96092</v>
      </c>
      <c r="BH3" s="142">
        <v>96312</v>
      </c>
      <c r="BI3" s="142">
        <v>96441</v>
      </c>
      <c r="BJ3" s="142">
        <v>96561.5</v>
      </c>
      <c r="BK3" s="142">
        <v>96814</v>
      </c>
      <c r="BL3" s="142">
        <v>97057</v>
      </c>
      <c r="BM3" s="142">
        <v>97247.5</v>
      </c>
      <c r="BN3" s="142">
        <v>97485</v>
      </c>
      <c r="BO3" s="142">
        <v>97620.5</v>
      </c>
      <c r="BP3" s="142">
        <v>97695.5</v>
      </c>
      <c r="BQ3" s="142">
        <v>97746.5</v>
      </c>
      <c r="BR3" s="142">
        <v>97815.5</v>
      </c>
      <c r="BS3" s="142">
        <v>97745.5</v>
      </c>
      <c r="BT3" s="142">
        <v>97773.5</v>
      </c>
      <c r="BU3" s="142">
        <v>97823</v>
      </c>
      <c r="BV3" s="142">
        <v>97879</v>
      </c>
      <c r="BW3" s="142">
        <v>97918</v>
      </c>
      <c r="BX3" s="142">
        <v>98009</v>
      </c>
      <c r="BY3" s="142">
        <v>98124</v>
      </c>
      <c r="BZ3" s="142">
        <v>98370.5</v>
      </c>
      <c r="CA3" s="142">
        <v>98521.5</v>
      </c>
      <c r="CB3" s="142">
        <v>98578.5</v>
      </c>
      <c r="CC3" s="142">
        <v>98688.5</v>
      </c>
      <c r="CD3" s="142">
        <v>98749.5</v>
      </c>
      <c r="CE3" s="142">
        <v>98820</v>
      </c>
      <c r="CF3" s="142">
        <v>98914</v>
      </c>
      <c r="CG3" s="142">
        <v>98979.5</v>
      </c>
      <c r="CH3" s="142">
        <v>99034.5</v>
      </c>
      <c r="CI3" s="142">
        <v>99092</v>
      </c>
      <c r="CJ3" s="142">
        <v>99134</v>
      </c>
      <c r="CK3" s="142">
        <v>99165.5</v>
      </c>
      <c r="CL3" s="142">
        <v>99238.5</v>
      </c>
      <c r="CM3" s="142">
        <v>99254.5</v>
      </c>
      <c r="CN3" s="142">
        <v>99295</v>
      </c>
      <c r="CO3" s="142">
        <v>99346.5</v>
      </c>
      <c r="CP3" s="142">
        <v>99395</v>
      </c>
      <c r="CQ3" s="142">
        <v>99437</v>
      </c>
      <c r="CR3" s="142">
        <v>99450</v>
      </c>
      <c r="CS3" s="142">
        <v>99479</v>
      </c>
      <c r="CT3" s="142">
        <v>99501.5</v>
      </c>
      <c r="CU3" s="142">
        <v>99522.5</v>
      </c>
      <c r="CV3" s="142">
        <v>99538.5</v>
      </c>
      <c r="CW3" s="142">
        <v>99551</v>
      </c>
      <c r="CX3" s="142">
        <v>99574</v>
      </c>
      <c r="CY3" s="142">
        <v>99575.5</v>
      </c>
      <c r="CZ3" s="142">
        <v>99580</v>
      </c>
      <c r="DA3" s="142">
        <v>99574</v>
      </c>
      <c r="DB3" s="142">
        <v>99595</v>
      </c>
      <c r="DC3" s="142">
        <v>99617.5</v>
      </c>
      <c r="DD3" s="142">
        <v>99615</v>
      </c>
      <c r="DE3" s="142">
        <v>99617</v>
      </c>
      <c r="DF3" s="142">
        <v>99650.5</v>
      </c>
      <c r="DG3" s="142">
        <v>99649</v>
      </c>
      <c r="DH3" s="142">
        <v>99654.5</v>
      </c>
      <c r="DI3" s="142">
        <v>99644</v>
      </c>
      <c r="DJ3" s="142">
        <v>99674.5</v>
      </c>
      <c r="DK3" s="142">
        <v>99677.5</v>
      </c>
      <c r="DL3" s="142">
        <v>99674</v>
      </c>
      <c r="DM3" s="142">
        <v>99689</v>
      </c>
      <c r="DN3" s="142">
        <v>99702.5</v>
      </c>
      <c r="DO3" s="142">
        <v>99716.5</v>
      </c>
      <c r="DP3" s="142"/>
      <c r="DQ3" s="142"/>
    </row>
    <row r="4" spans="1:121">
      <c r="A4" s="140">
        <v>2</v>
      </c>
      <c r="B4" s="142"/>
      <c r="C4" s="142"/>
      <c r="D4" s="142"/>
      <c r="E4" s="142"/>
      <c r="F4" s="142"/>
      <c r="G4" s="142"/>
      <c r="H4" s="142"/>
      <c r="I4" s="142"/>
      <c r="J4" s="142"/>
      <c r="K4" s="142"/>
      <c r="L4" s="142"/>
      <c r="M4" s="142"/>
      <c r="N4" s="142"/>
      <c r="O4" s="142"/>
      <c r="P4" s="142"/>
      <c r="Q4" s="142"/>
      <c r="R4" s="142"/>
      <c r="S4" s="142"/>
      <c r="T4" s="142"/>
      <c r="U4" s="142"/>
      <c r="V4" s="142"/>
      <c r="W4" s="142">
        <v>85010.5</v>
      </c>
      <c r="X4" s="142">
        <v>85397</v>
      </c>
      <c r="Y4" s="142">
        <v>85499.5</v>
      </c>
      <c r="Z4" s="142">
        <v>87763.5</v>
      </c>
      <c r="AA4" s="142">
        <v>88108</v>
      </c>
      <c r="AB4" s="142">
        <v>88562</v>
      </c>
      <c r="AC4" s="142">
        <v>89296</v>
      </c>
      <c r="AD4" s="142">
        <v>89965.5</v>
      </c>
      <c r="AE4" s="142">
        <v>89635</v>
      </c>
      <c r="AF4" s="142">
        <v>90741.5</v>
      </c>
      <c r="AG4" s="142">
        <v>91091.5</v>
      </c>
      <c r="AH4" s="142">
        <v>91295</v>
      </c>
      <c r="AI4" s="142">
        <v>91543</v>
      </c>
      <c r="AJ4" s="142">
        <v>92677</v>
      </c>
      <c r="AK4" s="142">
        <v>92490.5</v>
      </c>
      <c r="AL4" s="142">
        <v>92718</v>
      </c>
      <c r="AM4" s="142">
        <v>92933</v>
      </c>
      <c r="AN4" s="142">
        <v>93310</v>
      </c>
      <c r="AO4" s="142">
        <v>93185</v>
      </c>
      <c r="AP4" s="142">
        <v>93185</v>
      </c>
      <c r="AQ4" s="142">
        <v>93185</v>
      </c>
      <c r="AR4" s="142">
        <v>93119</v>
      </c>
      <c r="AS4" s="142">
        <v>92410</v>
      </c>
      <c r="AT4" s="142">
        <v>91333</v>
      </c>
      <c r="AU4" s="142">
        <v>89863</v>
      </c>
      <c r="AV4" s="142">
        <v>89989</v>
      </c>
      <c r="AW4" s="142">
        <v>90165.5</v>
      </c>
      <c r="AX4" s="142">
        <v>92313.5</v>
      </c>
      <c r="AY4" s="142">
        <v>94091</v>
      </c>
      <c r="AZ4" s="142">
        <v>94091</v>
      </c>
      <c r="BA4" s="142">
        <v>94118</v>
      </c>
      <c r="BB4" s="142">
        <v>94770.5</v>
      </c>
      <c r="BC4" s="142">
        <v>94996</v>
      </c>
      <c r="BD4" s="142">
        <v>95360.5</v>
      </c>
      <c r="BE4" s="142">
        <v>95432</v>
      </c>
      <c r="BF4" s="142">
        <v>95746</v>
      </c>
      <c r="BG4" s="142">
        <v>95838.5</v>
      </c>
      <c r="BH4" s="142">
        <v>96055</v>
      </c>
      <c r="BI4" s="142">
        <v>96210</v>
      </c>
      <c r="BJ4" s="142">
        <v>96341</v>
      </c>
      <c r="BK4" s="142">
        <v>96601.5</v>
      </c>
      <c r="BL4" s="142">
        <v>96860</v>
      </c>
      <c r="BM4" s="142">
        <v>97073</v>
      </c>
      <c r="BN4" s="142">
        <v>97307.5</v>
      </c>
      <c r="BO4" s="142">
        <v>97453</v>
      </c>
      <c r="BP4" s="142">
        <v>97532.5</v>
      </c>
      <c r="BQ4" s="142">
        <v>97593.5</v>
      </c>
      <c r="BR4" s="142">
        <v>97648.5</v>
      </c>
      <c r="BS4" s="142">
        <v>97599</v>
      </c>
      <c r="BT4" s="142">
        <v>97639.5</v>
      </c>
      <c r="BU4" s="142">
        <v>97696.5</v>
      </c>
      <c r="BV4" s="142">
        <v>97762.5</v>
      </c>
      <c r="BW4" s="142">
        <v>97801</v>
      </c>
      <c r="BX4" s="142">
        <v>97893.5</v>
      </c>
      <c r="BY4" s="142">
        <v>98020</v>
      </c>
      <c r="BZ4" s="142">
        <v>98269</v>
      </c>
      <c r="CA4" s="142">
        <v>98421.5</v>
      </c>
      <c r="CB4" s="142">
        <v>98483</v>
      </c>
      <c r="CC4" s="142">
        <v>98596.5</v>
      </c>
      <c r="CD4" s="142">
        <v>98660</v>
      </c>
      <c r="CE4" s="142">
        <v>98730.5</v>
      </c>
      <c r="CF4" s="142">
        <v>98830.5</v>
      </c>
      <c r="CG4" s="142">
        <v>98900.5</v>
      </c>
      <c r="CH4" s="142">
        <v>98954.5</v>
      </c>
      <c r="CI4" s="142">
        <v>99023</v>
      </c>
      <c r="CJ4" s="142">
        <v>99061</v>
      </c>
      <c r="CK4" s="142">
        <v>99099</v>
      </c>
      <c r="CL4" s="142">
        <v>99175.5</v>
      </c>
      <c r="CM4" s="142">
        <v>99191</v>
      </c>
      <c r="CN4" s="142">
        <v>99237.5</v>
      </c>
      <c r="CO4" s="142">
        <v>99294.5</v>
      </c>
      <c r="CP4" s="142">
        <v>99342.5</v>
      </c>
      <c r="CQ4" s="142">
        <v>99384.5</v>
      </c>
      <c r="CR4" s="142">
        <v>99401</v>
      </c>
      <c r="CS4" s="142">
        <v>99439</v>
      </c>
      <c r="CT4" s="142">
        <v>99454.5</v>
      </c>
      <c r="CU4" s="142">
        <v>99480.5</v>
      </c>
      <c r="CV4" s="142">
        <v>99500.5</v>
      </c>
      <c r="CW4" s="142">
        <v>99509</v>
      </c>
      <c r="CX4" s="142">
        <v>99535.5</v>
      </c>
      <c r="CY4" s="142">
        <v>99534</v>
      </c>
      <c r="CZ4" s="142">
        <v>99541.5</v>
      </c>
      <c r="DA4" s="142">
        <v>99539</v>
      </c>
      <c r="DB4" s="142">
        <v>99565.5</v>
      </c>
      <c r="DC4" s="142">
        <v>99583.5</v>
      </c>
      <c r="DD4" s="142">
        <v>99584</v>
      </c>
      <c r="DE4" s="142">
        <v>99587.5</v>
      </c>
      <c r="DF4" s="142">
        <v>99622</v>
      </c>
      <c r="DG4" s="142">
        <v>99617</v>
      </c>
      <c r="DH4" s="142">
        <v>99630</v>
      </c>
      <c r="DI4" s="142">
        <v>99617</v>
      </c>
      <c r="DJ4" s="142">
        <v>99648</v>
      </c>
      <c r="DK4" s="142">
        <v>99653</v>
      </c>
      <c r="DL4" s="142">
        <v>99653</v>
      </c>
      <c r="DM4" s="142">
        <v>99669</v>
      </c>
      <c r="DN4" s="142">
        <v>99683.5</v>
      </c>
      <c r="DO4" s="142">
        <v>99698</v>
      </c>
      <c r="DP4" s="142"/>
      <c r="DQ4" s="142"/>
    </row>
    <row r="5" spans="1:121">
      <c r="A5" s="140">
        <v>3</v>
      </c>
      <c r="B5" s="142"/>
      <c r="C5" s="142"/>
      <c r="D5" s="142"/>
      <c r="E5" s="142"/>
      <c r="F5" s="142"/>
      <c r="G5" s="142"/>
      <c r="H5" s="142"/>
      <c r="I5" s="142"/>
      <c r="J5" s="142"/>
      <c r="K5" s="142"/>
      <c r="L5" s="142"/>
      <c r="M5" s="142"/>
      <c r="N5" s="142"/>
      <c r="O5" s="142"/>
      <c r="P5" s="142"/>
      <c r="Q5" s="142"/>
      <c r="R5" s="142"/>
      <c r="S5" s="142"/>
      <c r="T5" s="142"/>
      <c r="U5" s="142"/>
      <c r="V5" s="142"/>
      <c r="W5" s="142">
        <v>84076.5</v>
      </c>
      <c r="X5" s="142">
        <v>84881</v>
      </c>
      <c r="Y5" s="142">
        <v>84983</v>
      </c>
      <c r="Z5" s="142">
        <v>87232.5</v>
      </c>
      <c r="AA5" s="142">
        <v>87542</v>
      </c>
      <c r="AB5" s="142">
        <v>88059</v>
      </c>
      <c r="AC5" s="142">
        <v>88718</v>
      </c>
      <c r="AD5" s="142">
        <v>89486</v>
      </c>
      <c r="AE5" s="142">
        <v>89224</v>
      </c>
      <c r="AF5" s="142">
        <v>90357</v>
      </c>
      <c r="AG5" s="142">
        <v>90705</v>
      </c>
      <c r="AH5" s="142">
        <v>90908.5</v>
      </c>
      <c r="AI5" s="142">
        <v>91091.5</v>
      </c>
      <c r="AJ5" s="142">
        <v>92196.5</v>
      </c>
      <c r="AK5" s="142">
        <v>92061.5</v>
      </c>
      <c r="AL5" s="142">
        <v>92315.5</v>
      </c>
      <c r="AM5" s="142">
        <v>92502.5</v>
      </c>
      <c r="AN5" s="142">
        <v>92877.5</v>
      </c>
      <c r="AO5" s="142">
        <v>92753</v>
      </c>
      <c r="AP5" s="142">
        <v>92753</v>
      </c>
      <c r="AQ5" s="142">
        <v>92709.5</v>
      </c>
      <c r="AR5" s="142">
        <v>92579.5</v>
      </c>
      <c r="AS5" s="142">
        <v>91768</v>
      </c>
      <c r="AT5" s="142">
        <v>90851.5</v>
      </c>
      <c r="AU5" s="142">
        <v>89389</v>
      </c>
      <c r="AV5" s="142">
        <v>89679.5</v>
      </c>
      <c r="AW5" s="142">
        <v>89957.5</v>
      </c>
      <c r="AX5" s="142">
        <v>92101.5</v>
      </c>
      <c r="AY5" s="142">
        <v>93874</v>
      </c>
      <c r="AZ5" s="142">
        <v>93923</v>
      </c>
      <c r="BA5" s="142">
        <v>93957.5</v>
      </c>
      <c r="BB5" s="142">
        <v>94612</v>
      </c>
      <c r="BC5" s="142">
        <v>94840</v>
      </c>
      <c r="BD5" s="142">
        <v>95219</v>
      </c>
      <c r="BE5" s="142">
        <v>95289</v>
      </c>
      <c r="BF5" s="142">
        <v>95617</v>
      </c>
      <c r="BG5" s="142">
        <v>95703</v>
      </c>
      <c r="BH5" s="142">
        <v>95930.5</v>
      </c>
      <c r="BI5" s="142">
        <v>96091</v>
      </c>
      <c r="BJ5" s="142">
        <v>96220</v>
      </c>
      <c r="BK5" s="142">
        <v>96490</v>
      </c>
      <c r="BL5" s="142">
        <v>96758</v>
      </c>
      <c r="BM5" s="142">
        <v>96973.5</v>
      </c>
      <c r="BN5" s="142">
        <v>97207</v>
      </c>
      <c r="BO5" s="142">
        <v>97364</v>
      </c>
      <c r="BP5" s="142">
        <v>97442</v>
      </c>
      <c r="BQ5" s="142">
        <v>97498.5</v>
      </c>
      <c r="BR5" s="142">
        <v>97563.5</v>
      </c>
      <c r="BS5" s="142">
        <v>97514</v>
      </c>
      <c r="BT5" s="142">
        <v>97563</v>
      </c>
      <c r="BU5" s="142">
        <v>97619.5</v>
      </c>
      <c r="BV5" s="142">
        <v>97684</v>
      </c>
      <c r="BW5" s="142">
        <v>97729.5</v>
      </c>
      <c r="BX5" s="142">
        <v>97826.5</v>
      </c>
      <c r="BY5" s="142">
        <v>97955.5</v>
      </c>
      <c r="BZ5" s="142">
        <v>98205</v>
      </c>
      <c r="CA5" s="142">
        <v>98361.5</v>
      </c>
      <c r="CB5" s="142">
        <v>98427</v>
      </c>
      <c r="CC5" s="142">
        <v>98539.5</v>
      </c>
      <c r="CD5" s="142">
        <v>98609.5</v>
      </c>
      <c r="CE5" s="142">
        <v>98683.5</v>
      </c>
      <c r="CF5" s="142">
        <v>98784.5</v>
      </c>
      <c r="CG5" s="142">
        <v>98855</v>
      </c>
      <c r="CH5" s="142">
        <v>98910.5</v>
      </c>
      <c r="CI5" s="142">
        <v>98981</v>
      </c>
      <c r="CJ5" s="142">
        <v>99015</v>
      </c>
      <c r="CK5" s="142">
        <v>99060</v>
      </c>
      <c r="CL5" s="142">
        <v>99137</v>
      </c>
      <c r="CM5" s="142">
        <v>99152.5</v>
      </c>
      <c r="CN5" s="142">
        <v>99207</v>
      </c>
      <c r="CO5" s="142">
        <v>99261.5</v>
      </c>
      <c r="CP5" s="142">
        <v>99308.5</v>
      </c>
      <c r="CQ5" s="142">
        <v>99354.5</v>
      </c>
      <c r="CR5" s="142">
        <v>99375.5</v>
      </c>
      <c r="CS5" s="142">
        <v>99412</v>
      </c>
      <c r="CT5" s="142">
        <v>99427</v>
      </c>
      <c r="CU5" s="142">
        <v>99456</v>
      </c>
      <c r="CV5" s="142">
        <v>99474</v>
      </c>
      <c r="CW5" s="142">
        <v>99486.5</v>
      </c>
      <c r="CX5" s="142">
        <v>99517.5</v>
      </c>
      <c r="CY5" s="142">
        <v>99513</v>
      </c>
      <c r="CZ5" s="142">
        <v>99521.5</v>
      </c>
      <c r="DA5" s="142">
        <v>99520</v>
      </c>
      <c r="DB5" s="142">
        <v>99548.5</v>
      </c>
      <c r="DC5" s="142">
        <v>99563.5</v>
      </c>
      <c r="DD5" s="142">
        <v>99565.5</v>
      </c>
      <c r="DE5" s="142">
        <v>99571</v>
      </c>
      <c r="DF5" s="142">
        <v>99605</v>
      </c>
      <c r="DG5" s="142">
        <v>99601</v>
      </c>
      <c r="DH5" s="142">
        <v>99615</v>
      </c>
      <c r="DI5" s="142">
        <v>99607</v>
      </c>
      <c r="DJ5" s="142">
        <v>99634</v>
      </c>
      <c r="DK5" s="142">
        <v>99637.5</v>
      </c>
      <c r="DL5" s="142">
        <v>99638</v>
      </c>
      <c r="DM5" s="142">
        <v>99654.5</v>
      </c>
      <c r="DN5" s="142">
        <v>99670</v>
      </c>
      <c r="DO5" s="142">
        <v>99684.5</v>
      </c>
      <c r="DP5" s="142"/>
      <c r="DQ5" s="142"/>
    </row>
    <row r="6" spans="1:121">
      <c r="A6" s="140">
        <v>4</v>
      </c>
      <c r="B6" s="142"/>
      <c r="C6" s="142"/>
      <c r="D6" s="142"/>
      <c r="E6" s="142"/>
      <c r="F6" s="142"/>
      <c r="G6" s="142"/>
      <c r="H6" s="142"/>
      <c r="I6" s="142"/>
      <c r="J6" s="142"/>
      <c r="K6" s="142"/>
      <c r="L6" s="142"/>
      <c r="M6" s="142"/>
      <c r="N6" s="142"/>
      <c r="O6" s="142"/>
      <c r="P6" s="142"/>
      <c r="Q6" s="142"/>
      <c r="R6" s="142"/>
      <c r="S6" s="142"/>
      <c r="T6" s="142"/>
      <c r="U6" s="142"/>
      <c r="V6" s="142"/>
      <c r="W6" s="142">
        <v>83755</v>
      </c>
      <c r="X6" s="142">
        <v>84556</v>
      </c>
      <c r="Y6" s="142">
        <v>84657</v>
      </c>
      <c r="Z6" s="142">
        <v>86878</v>
      </c>
      <c r="AA6" s="142">
        <v>87199.5</v>
      </c>
      <c r="AB6" s="142">
        <v>87666</v>
      </c>
      <c r="AC6" s="142">
        <v>88365.5</v>
      </c>
      <c r="AD6" s="142">
        <v>89180</v>
      </c>
      <c r="AE6" s="142">
        <v>88942.5</v>
      </c>
      <c r="AF6" s="142">
        <v>90072</v>
      </c>
      <c r="AG6" s="142">
        <v>90419</v>
      </c>
      <c r="AH6" s="142">
        <v>90574</v>
      </c>
      <c r="AI6" s="142">
        <v>90739.5</v>
      </c>
      <c r="AJ6" s="142">
        <v>91878.5</v>
      </c>
      <c r="AK6" s="142">
        <v>91764.5</v>
      </c>
      <c r="AL6" s="142">
        <v>91997</v>
      </c>
      <c r="AM6" s="142">
        <v>92182</v>
      </c>
      <c r="AN6" s="142">
        <v>92556.5</v>
      </c>
      <c r="AO6" s="142">
        <v>92432.5</v>
      </c>
      <c r="AP6" s="142">
        <v>92400</v>
      </c>
      <c r="AQ6" s="142">
        <v>92309</v>
      </c>
      <c r="AR6" s="142">
        <v>92099.5</v>
      </c>
      <c r="AS6" s="142">
        <v>91414</v>
      </c>
      <c r="AT6" s="142">
        <v>90501</v>
      </c>
      <c r="AU6" s="142">
        <v>89164.5</v>
      </c>
      <c r="AV6" s="142">
        <v>89519</v>
      </c>
      <c r="AW6" s="142">
        <v>89797</v>
      </c>
      <c r="AX6" s="142">
        <v>91936.5</v>
      </c>
      <c r="AY6" s="142">
        <v>93751.5</v>
      </c>
      <c r="AZ6" s="142">
        <v>93805</v>
      </c>
      <c r="BA6" s="142">
        <v>93850.5</v>
      </c>
      <c r="BB6" s="142">
        <v>94505</v>
      </c>
      <c r="BC6" s="142">
        <v>94735</v>
      </c>
      <c r="BD6" s="142">
        <v>95116.5</v>
      </c>
      <c r="BE6" s="142">
        <v>95199</v>
      </c>
      <c r="BF6" s="142">
        <v>95519</v>
      </c>
      <c r="BG6" s="142">
        <v>95609.5</v>
      </c>
      <c r="BH6" s="142">
        <v>95838</v>
      </c>
      <c r="BI6" s="142">
        <v>96007</v>
      </c>
      <c r="BJ6" s="142">
        <v>96139.5</v>
      </c>
      <c r="BK6" s="142">
        <v>96414</v>
      </c>
      <c r="BL6" s="142">
        <v>96681</v>
      </c>
      <c r="BM6" s="142">
        <v>96894.5</v>
      </c>
      <c r="BN6" s="142">
        <v>97132.5</v>
      </c>
      <c r="BO6" s="142">
        <v>97291.5</v>
      </c>
      <c r="BP6" s="142">
        <v>97368</v>
      </c>
      <c r="BQ6" s="142">
        <v>97427</v>
      </c>
      <c r="BR6" s="142">
        <v>97493</v>
      </c>
      <c r="BS6" s="142">
        <v>97445</v>
      </c>
      <c r="BT6" s="142">
        <v>97501</v>
      </c>
      <c r="BU6" s="142">
        <v>97558</v>
      </c>
      <c r="BV6" s="142">
        <v>97626.5</v>
      </c>
      <c r="BW6" s="142">
        <v>97672.5</v>
      </c>
      <c r="BX6" s="142">
        <v>97772.5</v>
      </c>
      <c r="BY6" s="142">
        <v>97903</v>
      </c>
      <c r="BZ6" s="142">
        <v>98155.5</v>
      </c>
      <c r="CA6" s="142">
        <v>98313.5</v>
      </c>
      <c r="CB6" s="142">
        <v>98382</v>
      </c>
      <c r="CC6" s="142">
        <v>98495</v>
      </c>
      <c r="CD6" s="142">
        <v>98572</v>
      </c>
      <c r="CE6" s="142">
        <v>98646.5</v>
      </c>
      <c r="CF6" s="142">
        <v>98751</v>
      </c>
      <c r="CG6" s="142">
        <v>98822.5</v>
      </c>
      <c r="CH6" s="142">
        <v>98879.5</v>
      </c>
      <c r="CI6" s="142">
        <v>98948</v>
      </c>
      <c r="CJ6" s="142">
        <v>98983.5</v>
      </c>
      <c r="CK6" s="142">
        <v>99024</v>
      </c>
      <c r="CL6" s="142">
        <v>99107.5</v>
      </c>
      <c r="CM6" s="142">
        <v>99125</v>
      </c>
      <c r="CN6" s="142">
        <v>99181.5</v>
      </c>
      <c r="CO6" s="142">
        <v>99239</v>
      </c>
      <c r="CP6" s="142">
        <v>99285.5</v>
      </c>
      <c r="CQ6" s="142">
        <v>99333</v>
      </c>
      <c r="CR6" s="142">
        <v>99356</v>
      </c>
      <c r="CS6" s="142">
        <v>99393</v>
      </c>
      <c r="CT6" s="142">
        <v>99409.5</v>
      </c>
      <c r="CU6" s="142">
        <v>99437</v>
      </c>
      <c r="CV6" s="142">
        <v>99455</v>
      </c>
      <c r="CW6" s="142">
        <v>99467</v>
      </c>
      <c r="CX6" s="142">
        <v>99501</v>
      </c>
      <c r="CY6" s="142">
        <v>99497</v>
      </c>
      <c r="CZ6" s="142">
        <v>99507.5</v>
      </c>
      <c r="DA6" s="142">
        <v>99505.5</v>
      </c>
      <c r="DB6" s="142">
        <v>99533.5</v>
      </c>
      <c r="DC6" s="142">
        <v>99549.5</v>
      </c>
      <c r="DD6" s="142">
        <v>99554</v>
      </c>
      <c r="DE6" s="142">
        <v>99557</v>
      </c>
      <c r="DF6" s="142">
        <v>99594.5</v>
      </c>
      <c r="DG6" s="142">
        <v>99587.5</v>
      </c>
      <c r="DH6" s="142">
        <v>99603</v>
      </c>
      <c r="DI6" s="142">
        <v>99594.5</v>
      </c>
      <c r="DJ6" s="142">
        <v>99622</v>
      </c>
      <c r="DK6" s="142">
        <v>99626.5</v>
      </c>
      <c r="DL6" s="142">
        <v>99627</v>
      </c>
      <c r="DM6" s="142">
        <v>99643.5</v>
      </c>
      <c r="DN6" s="142">
        <v>99660</v>
      </c>
      <c r="DO6" s="142">
        <v>99675</v>
      </c>
      <c r="DP6" s="142"/>
      <c r="DQ6" s="142"/>
    </row>
    <row r="7" spans="1:121">
      <c r="A7" s="140">
        <v>5</v>
      </c>
      <c r="B7" s="142"/>
      <c r="C7" s="142"/>
      <c r="D7" s="142"/>
      <c r="E7" s="142"/>
      <c r="F7" s="142"/>
      <c r="G7" s="142"/>
      <c r="H7" s="142"/>
      <c r="I7" s="142"/>
      <c r="J7" s="142"/>
      <c r="K7" s="142"/>
      <c r="L7" s="142"/>
      <c r="M7" s="142"/>
      <c r="N7" s="142"/>
      <c r="O7" s="142"/>
      <c r="P7" s="142"/>
      <c r="Q7" s="142"/>
      <c r="R7" s="142"/>
      <c r="S7" s="142"/>
      <c r="T7" s="142"/>
      <c r="U7" s="142"/>
      <c r="V7" s="142"/>
      <c r="W7" s="142">
        <v>83503</v>
      </c>
      <c r="X7" s="142">
        <v>84301.5</v>
      </c>
      <c r="Y7" s="142">
        <v>84387</v>
      </c>
      <c r="Z7" s="142">
        <v>86604</v>
      </c>
      <c r="AA7" s="142">
        <v>86886</v>
      </c>
      <c r="AB7" s="142">
        <v>87379</v>
      </c>
      <c r="AC7" s="142">
        <v>88116.5</v>
      </c>
      <c r="AD7" s="142">
        <v>88947.5</v>
      </c>
      <c r="AE7" s="142">
        <v>88711</v>
      </c>
      <c r="AF7" s="142">
        <v>89837.5</v>
      </c>
      <c r="AG7" s="142">
        <v>90145</v>
      </c>
      <c r="AH7" s="142">
        <v>90285.5</v>
      </c>
      <c r="AI7" s="142">
        <v>90481.5</v>
      </c>
      <c r="AJ7" s="142">
        <v>91633.5</v>
      </c>
      <c r="AK7" s="142">
        <v>91503</v>
      </c>
      <c r="AL7" s="142">
        <v>91735</v>
      </c>
      <c r="AM7" s="142">
        <v>91920</v>
      </c>
      <c r="AN7" s="142">
        <v>92293</v>
      </c>
      <c r="AO7" s="142">
        <v>92142.5</v>
      </c>
      <c r="AP7" s="142">
        <v>92071.5</v>
      </c>
      <c r="AQ7" s="142">
        <v>91914.5</v>
      </c>
      <c r="AR7" s="142">
        <v>91851</v>
      </c>
      <c r="AS7" s="142">
        <v>91167.5</v>
      </c>
      <c r="AT7" s="142">
        <v>90341.5</v>
      </c>
      <c r="AU7" s="142">
        <v>89039.5</v>
      </c>
      <c r="AV7" s="142">
        <v>89394</v>
      </c>
      <c r="AW7" s="142">
        <v>89671</v>
      </c>
      <c r="AX7" s="142">
        <v>91840</v>
      </c>
      <c r="AY7" s="142">
        <v>93656</v>
      </c>
      <c r="AZ7" s="142">
        <v>93715</v>
      </c>
      <c r="BA7" s="142">
        <v>93770</v>
      </c>
      <c r="BB7" s="142">
        <v>94424</v>
      </c>
      <c r="BC7" s="142">
        <v>94653.5</v>
      </c>
      <c r="BD7" s="142">
        <v>95038.5</v>
      </c>
      <c r="BE7" s="142">
        <v>95123.5</v>
      </c>
      <c r="BF7" s="142">
        <v>95445</v>
      </c>
      <c r="BG7" s="142">
        <v>95536.5</v>
      </c>
      <c r="BH7" s="142">
        <v>95775.5</v>
      </c>
      <c r="BI7" s="142">
        <v>95939.5</v>
      </c>
      <c r="BJ7" s="142">
        <v>96073</v>
      </c>
      <c r="BK7" s="142">
        <v>96347.5</v>
      </c>
      <c r="BL7" s="142">
        <v>96616.5</v>
      </c>
      <c r="BM7" s="142">
        <v>96827.5</v>
      </c>
      <c r="BN7" s="142">
        <v>97068</v>
      </c>
      <c r="BO7" s="142">
        <v>97225</v>
      </c>
      <c r="BP7" s="142">
        <v>97305.5</v>
      </c>
      <c r="BQ7" s="142">
        <v>97368</v>
      </c>
      <c r="BR7" s="142">
        <v>97432.5</v>
      </c>
      <c r="BS7" s="142">
        <v>97393</v>
      </c>
      <c r="BT7" s="142">
        <v>97450</v>
      </c>
      <c r="BU7" s="142">
        <v>97506</v>
      </c>
      <c r="BV7" s="142">
        <v>97579</v>
      </c>
      <c r="BW7" s="142">
        <v>97625.5</v>
      </c>
      <c r="BX7" s="142">
        <v>97728</v>
      </c>
      <c r="BY7" s="142">
        <v>97857.5</v>
      </c>
      <c r="BZ7" s="142">
        <v>98116</v>
      </c>
      <c r="CA7" s="142">
        <v>98277.5</v>
      </c>
      <c r="CB7" s="142">
        <v>98346.5</v>
      </c>
      <c r="CC7" s="142">
        <v>98464</v>
      </c>
      <c r="CD7" s="142">
        <v>98540.5</v>
      </c>
      <c r="CE7" s="142">
        <v>98616</v>
      </c>
      <c r="CF7" s="142">
        <v>98722.5</v>
      </c>
      <c r="CG7" s="142">
        <v>98797</v>
      </c>
      <c r="CH7" s="142">
        <v>98852.5</v>
      </c>
      <c r="CI7" s="142">
        <v>98923</v>
      </c>
      <c r="CJ7" s="142">
        <v>98958.5</v>
      </c>
      <c r="CK7" s="142">
        <v>99000</v>
      </c>
      <c r="CL7" s="142">
        <v>99084.5</v>
      </c>
      <c r="CM7" s="142">
        <v>99103.5</v>
      </c>
      <c r="CN7" s="142">
        <v>99160.5</v>
      </c>
      <c r="CO7" s="142">
        <v>99220</v>
      </c>
      <c r="CP7" s="142">
        <v>99268</v>
      </c>
      <c r="CQ7" s="142">
        <v>99316</v>
      </c>
      <c r="CR7" s="142">
        <v>99340</v>
      </c>
      <c r="CS7" s="142">
        <v>99377.5</v>
      </c>
      <c r="CT7" s="142">
        <v>99394.5</v>
      </c>
      <c r="CU7" s="142">
        <v>99424</v>
      </c>
      <c r="CV7" s="142">
        <v>99441</v>
      </c>
      <c r="CW7" s="142">
        <v>99454</v>
      </c>
      <c r="CX7" s="142">
        <v>99487</v>
      </c>
      <c r="CY7" s="142">
        <v>99485.5</v>
      </c>
      <c r="CZ7" s="142">
        <v>99495</v>
      </c>
      <c r="DA7" s="142">
        <v>99492</v>
      </c>
      <c r="DB7" s="142">
        <v>99521</v>
      </c>
      <c r="DC7" s="142">
        <v>99536.5</v>
      </c>
      <c r="DD7" s="142">
        <v>99541</v>
      </c>
      <c r="DE7" s="142">
        <v>99545.5</v>
      </c>
      <c r="DF7" s="142">
        <v>99584.5</v>
      </c>
      <c r="DG7" s="142">
        <v>99578.5</v>
      </c>
      <c r="DH7" s="142">
        <v>99592.5</v>
      </c>
      <c r="DI7" s="142">
        <v>99585</v>
      </c>
      <c r="DJ7" s="142">
        <v>99612.5</v>
      </c>
      <c r="DK7" s="142">
        <v>99617.5</v>
      </c>
      <c r="DL7" s="142">
        <v>99618.5</v>
      </c>
      <c r="DM7" s="142">
        <v>99635.5</v>
      </c>
      <c r="DN7" s="142">
        <v>99652</v>
      </c>
      <c r="DO7" s="142">
        <v>99668</v>
      </c>
      <c r="DP7" s="142"/>
      <c r="DQ7" s="142"/>
    </row>
    <row r="8" spans="1:121">
      <c r="A8" s="140">
        <v>6</v>
      </c>
      <c r="B8" s="142"/>
      <c r="C8" s="142"/>
      <c r="D8" s="142"/>
      <c r="E8" s="142"/>
      <c r="F8" s="142"/>
      <c r="G8" s="142"/>
      <c r="H8" s="142"/>
      <c r="I8" s="142"/>
      <c r="J8" s="142"/>
      <c r="K8" s="142"/>
      <c r="L8" s="142"/>
      <c r="M8" s="142"/>
      <c r="N8" s="142"/>
      <c r="O8" s="142"/>
      <c r="P8" s="142"/>
      <c r="Q8" s="142"/>
      <c r="R8" s="142"/>
      <c r="S8" s="142"/>
      <c r="T8" s="142"/>
      <c r="U8" s="142"/>
      <c r="V8" s="142"/>
      <c r="W8" s="142">
        <v>83311</v>
      </c>
      <c r="X8" s="142">
        <v>84095</v>
      </c>
      <c r="Y8" s="142">
        <v>84170.5</v>
      </c>
      <c r="Z8" s="142">
        <v>86351.5</v>
      </c>
      <c r="AA8" s="142">
        <v>86642</v>
      </c>
      <c r="AB8" s="142">
        <v>87167.5</v>
      </c>
      <c r="AC8" s="142">
        <v>87919.5</v>
      </c>
      <c r="AD8" s="142">
        <v>88749</v>
      </c>
      <c r="AE8" s="142">
        <v>88513</v>
      </c>
      <c r="AF8" s="142">
        <v>89604</v>
      </c>
      <c r="AG8" s="142">
        <v>89898.5</v>
      </c>
      <c r="AH8" s="142">
        <v>90065</v>
      </c>
      <c r="AI8" s="142">
        <v>90274</v>
      </c>
      <c r="AJ8" s="142">
        <v>91409.5</v>
      </c>
      <c r="AK8" s="142">
        <v>91279.5</v>
      </c>
      <c r="AL8" s="142">
        <v>91510.5</v>
      </c>
      <c r="AM8" s="142">
        <v>91695.5</v>
      </c>
      <c r="AN8" s="142">
        <v>92045.5</v>
      </c>
      <c r="AO8" s="142">
        <v>91861.5</v>
      </c>
      <c r="AP8" s="142">
        <v>91734</v>
      </c>
      <c r="AQ8" s="142">
        <v>91727.5</v>
      </c>
      <c r="AR8" s="142">
        <v>91664</v>
      </c>
      <c r="AS8" s="142">
        <v>91046</v>
      </c>
      <c r="AT8" s="142">
        <v>90242.5</v>
      </c>
      <c r="AU8" s="142">
        <v>88941.5</v>
      </c>
      <c r="AV8" s="142">
        <v>89296</v>
      </c>
      <c r="AW8" s="142">
        <v>89596</v>
      </c>
      <c r="AX8" s="142">
        <v>91766.5</v>
      </c>
      <c r="AY8" s="142">
        <v>93578</v>
      </c>
      <c r="AZ8" s="142">
        <v>93642</v>
      </c>
      <c r="BA8" s="142">
        <v>93699.5</v>
      </c>
      <c r="BB8" s="142">
        <v>94352.5</v>
      </c>
      <c r="BC8" s="142">
        <v>94592.5</v>
      </c>
      <c r="BD8" s="142">
        <v>94976</v>
      </c>
      <c r="BE8" s="142">
        <v>95059</v>
      </c>
      <c r="BF8" s="142">
        <v>95383.5</v>
      </c>
      <c r="BG8" s="142">
        <v>95476.5</v>
      </c>
      <c r="BH8" s="142">
        <v>95717</v>
      </c>
      <c r="BI8" s="142">
        <v>95884.5</v>
      </c>
      <c r="BJ8" s="142">
        <v>96016.5</v>
      </c>
      <c r="BK8" s="142">
        <v>96288</v>
      </c>
      <c r="BL8" s="142">
        <v>96557</v>
      </c>
      <c r="BM8" s="142">
        <v>96772.5</v>
      </c>
      <c r="BN8" s="142">
        <v>97005.5</v>
      </c>
      <c r="BO8" s="142">
        <v>97168</v>
      </c>
      <c r="BP8" s="142">
        <v>97251</v>
      </c>
      <c r="BQ8" s="142">
        <v>97316</v>
      </c>
      <c r="BR8" s="142">
        <v>97383</v>
      </c>
      <c r="BS8" s="142">
        <v>97341.5</v>
      </c>
      <c r="BT8" s="142">
        <v>97403</v>
      </c>
      <c r="BU8" s="142">
        <v>97461</v>
      </c>
      <c r="BV8" s="142">
        <v>97539.5</v>
      </c>
      <c r="BW8" s="142">
        <v>97583</v>
      </c>
      <c r="BX8" s="142">
        <v>97690.5</v>
      </c>
      <c r="BY8" s="142">
        <v>97820</v>
      </c>
      <c r="BZ8" s="142">
        <v>98079</v>
      </c>
      <c r="CA8" s="142">
        <v>98246.5</v>
      </c>
      <c r="CB8" s="142">
        <v>98318</v>
      </c>
      <c r="CC8" s="142">
        <v>98434</v>
      </c>
      <c r="CD8" s="142">
        <v>98516.5</v>
      </c>
      <c r="CE8" s="142">
        <v>98591</v>
      </c>
      <c r="CF8" s="142">
        <v>98696.5</v>
      </c>
      <c r="CG8" s="142">
        <v>98772.5</v>
      </c>
      <c r="CH8" s="142">
        <v>98827.5</v>
      </c>
      <c r="CI8" s="142">
        <v>98899</v>
      </c>
      <c r="CJ8" s="142">
        <v>98935</v>
      </c>
      <c r="CK8" s="142">
        <v>98981.5</v>
      </c>
      <c r="CL8" s="142">
        <v>99068</v>
      </c>
      <c r="CM8" s="142">
        <v>99084</v>
      </c>
      <c r="CN8" s="142">
        <v>99143.5</v>
      </c>
      <c r="CO8" s="142">
        <v>99207.5</v>
      </c>
      <c r="CP8" s="142">
        <v>99254.5</v>
      </c>
      <c r="CQ8" s="142">
        <v>99305</v>
      </c>
      <c r="CR8" s="142">
        <v>99329</v>
      </c>
      <c r="CS8" s="142">
        <v>99365.5</v>
      </c>
      <c r="CT8" s="142">
        <v>99381.5</v>
      </c>
      <c r="CU8" s="142">
        <v>99410.5</v>
      </c>
      <c r="CV8" s="142">
        <v>99427.5</v>
      </c>
      <c r="CW8" s="142">
        <v>99442</v>
      </c>
      <c r="CX8" s="142">
        <v>99477</v>
      </c>
      <c r="CY8" s="142">
        <v>99474</v>
      </c>
      <c r="CZ8" s="142">
        <v>99484.5</v>
      </c>
      <c r="DA8" s="142">
        <v>99482.5</v>
      </c>
      <c r="DB8" s="142">
        <v>99511</v>
      </c>
      <c r="DC8" s="142">
        <v>99525</v>
      </c>
      <c r="DD8" s="142">
        <v>99529.5</v>
      </c>
      <c r="DE8" s="142">
        <v>99535.5</v>
      </c>
      <c r="DF8" s="142">
        <v>99576.5</v>
      </c>
      <c r="DG8" s="142">
        <v>99570.5</v>
      </c>
      <c r="DH8" s="142">
        <v>99584</v>
      </c>
      <c r="DI8" s="142">
        <v>99577</v>
      </c>
      <c r="DJ8" s="142">
        <v>99605.5</v>
      </c>
      <c r="DK8" s="142">
        <v>99610</v>
      </c>
      <c r="DL8" s="142">
        <v>99612</v>
      </c>
      <c r="DM8" s="142">
        <v>99629</v>
      </c>
      <c r="DN8" s="142">
        <v>99646</v>
      </c>
      <c r="DO8" s="142">
        <v>99661.5</v>
      </c>
      <c r="DP8" s="142"/>
      <c r="DQ8" s="142"/>
    </row>
    <row r="9" spans="1:121">
      <c r="A9" s="140">
        <v>7</v>
      </c>
      <c r="B9" s="142"/>
      <c r="C9" s="142"/>
      <c r="D9" s="142"/>
      <c r="E9" s="142"/>
      <c r="F9" s="142"/>
      <c r="G9" s="142"/>
      <c r="H9" s="142"/>
      <c r="I9" s="142"/>
      <c r="J9" s="142"/>
      <c r="K9" s="142"/>
      <c r="L9" s="142"/>
      <c r="M9" s="142"/>
      <c r="N9" s="142"/>
      <c r="O9" s="142"/>
      <c r="P9" s="142"/>
      <c r="Q9" s="142"/>
      <c r="R9" s="142"/>
      <c r="S9" s="142"/>
      <c r="T9" s="142"/>
      <c r="U9" s="142"/>
      <c r="V9" s="142"/>
      <c r="W9" s="142">
        <v>83143</v>
      </c>
      <c r="X9" s="142">
        <v>83908.5</v>
      </c>
      <c r="Y9" s="142">
        <v>83957.5</v>
      </c>
      <c r="Z9" s="142">
        <v>86130</v>
      </c>
      <c r="AA9" s="142">
        <v>86450.5</v>
      </c>
      <c r="AB9" s="142">
        <v>86990</v>
      </c>
      <c r="AC9" s="142">
        <v>87740.5</v>
      </c>
      <c r="AD9" s="142">
        <v>88568.5</v>
      </c>
      <c r="AE9" s="142">
        <v>88302.5</v>
      </c>
      <c r="AF9" s="142">
        <v>89380.5</v>
      </c>
      <c r="AG9" s="142">
        <v>89698</v>
      </c>
      <c r="AH9" s="142">
        <v>89877</v>
      </c>
      <c r="AI9" s="142">
        <v>90073</v>
      </c>
      <c r="AJ9" s="142">
        <v>91206</v>
      </c>
      <c r="AK9" s="142">
        <v>91076</v>
      </c>
      <c r="AL9" s="142">
        <v>91306.5</v>
      </c>
      <c r="AM9" s="142">
        <v>91471</v>
      </c>
      <c r="AN9" s="142">
        <v>91789</v>
      </c>
      <c r="AO9" s="142">
        <v>91554.5</v>
      </c>
      <c r="AP9" s="142">
        <v>91583</v>
      </c>
      <c r="AQ9" s="142">
        <v>91576.5</v>
      </c>
      <c r="AR9" s="142">
        <v>91565.5</v>
      </c>
      <c r="AS9" s="142">
        <v>90962.5</v>
      </c>
      <c r="AT9" s="142">
        <v>90160</v>
      </c>
      <c r="AU9" s="142">
        <v>88860</v>
      </c>
      <c r="AV9" s="142">
        <v>89231.5</v>
      </c>
      <c r="AW9" s="142">
        <v>89534.5</v>
      </c>
      <c r="AX9" s="142">
        <v>91705</v>
      </c>
      <c r="AY9" s="142">
        <v>93517.5</v>
      </c>
      <c r="AZ9" s="142">
        <v>93579.5</v>
      </c>
      <c r="BA9" s="142">
        <v>93642</v>
      </c>
      <c r="BB9" s="142">
        <v>94299.5</v>
      </c>
      <c r="BC9" s="142">
        <v>94540.5</v>
      </c>
      <c r="BD9" s="142">
        <v>94919</v>
      </c>
      <c r="BE9" s="142">
        <v>95003.5</v>
      </c>
      <c r="BF9" s="142">
        <v>95332.5</v>
      </c>
      <c r="BG9" s="142">
        <v>95422.5</v>
      </c>
      <c r="BH9" s="142">
        <v>95666</v>
      </c>
      <c r="BI9" s="142">
        <v>95833</v>
      </c>
      <c r="BJ9" s="142">
        <v>95965</v>
      </c>
      <c r="BK9" s="142">
        <v>96233.5</v>
      </c>
      <c r="BL9" s="142">
        <v>96502</v>
      </c>
      <c r="BM9" s="142">
        <v>96719</v>
      </c>
      <c r="BN9" s="142">
        <v>96953</v>
      </c>
      <c r="BO9" s="142">
        <v>97113</v>
      </c>
      <c r="BP9" s="142">
        <v>97198</v>
      </c>
      <c r="BQ9" s="142">
        <v>97271</v>
      </c>
      <c r="BR9" s="142">
        <v>97338.5</v>
      </c>
      <c r="BS9" s="142">
        <v>97298.5</v>
      </c>
      <c r="BT9" s="142">
        <v>97362</v>
      </c>
      <c r="BU9" s="142">
        <v>97421</v>
      </c>
      <c r="BV9" s="142">
        <v>97501.5</v>
      </c>
      <c r="BW9" s="142">
        <v>97547.5</v>
      </c>
      <c r="BX9" s="142">
        <v>97659</v>
      </c>
      <c r="BY9" s="142">
        <v>97788.5</v>
      </c>
      <c r="BZ9" s="142">
        <v>98049.5</v>
      </c>
      <c r="CA9" s="142">
        <v>98220</v>
      </c>
      <c r="CB9" s="142">
        <v>98293</v>
      </c>
      <c r="CC9" s="142">
        <v>98408.5</v>
      </c>
      <c r="CD9" s="142">
        <v>98494</v>
      </c>
      <c r="CE9" s="142">
        <v>98569.5</v>
      </c>
      <c r="CF9" s="142">
        <v>98672.5</v>
      </c>
      <c r="CG9" s="142">
        <v>98753.5</v>
      </c>
      <c r="CH9" s="142">
        <v>98807</v>
      </c>
      <c r="CI9" s="142">
        <v>98880</v>
      </c>
      <c r="CJ9" s="142">
        <v>98915.5</v>
      </c>
      <c r="CK9" s="142">
        <v>98965.5</v>
      </c>
      <c r="CL9" s="142">
        <v>99052.5</v>
      </c>
      <c r="CM9" s="142">
        <v>99067.5</v>
      </c>
      <c r="CN9" s="142">
        <v>99128.5</v>
      </c>
      <c r="CO9" s="142">
        <v>99194</v>
      </c>
      <c r="CP9" s="142">
        <v>99242.5</v>
      </c>
      <c r="CQ9" s="142">
        <v>99292</v>
      </c>
      <c r="CR9" s="142">
        <v>99314</v>
      </c>
      <c r="CS9" s="142">
        <v>99355</v>
      </c>
      <c r="CT9" s="142">
        <v>99369</v>
      </c>
      <c r="CU9" s="142">
        <v>99401.5</v>
      </c>
      <c r="CV9" s="142">
        <v>99416.5</v>
      </c>
      <c r="CW9" s="142">
        <v>99431</v>
      </c>
      <c r="CX9" s="142">
        <v>99469.5</v>
      </c>
      <c r="CY9" s="142">
        <v>99465</v>
      </c>
      <c r="CZ9" s="142">
        <v>99473.5</v>
      </c>
      <c r="DA9" s="142">
        <v>99474.5</v>
      </c>
      <c r="DB9" s="142">
        <v>99500</v>
      </c>
      <c r="DC9" s="142">
        <v>99517</v>
      </c>
      <c r="DD9" s="142">
        <v>99522</v>
      </c>
      <c r="DE9" s="142">
        <v>99527.5</v>
      </c>
      <c r="DF9" s="142">
        <v>99569</v>
      </c>
      <c r="DG9" s="142">
        <v>99563.5</v>
      </c>
      <c r="DH9" s="142">
        <v>99577</v>
      </c>
      <c r="DI9" s="142">
        <v>99570</v>
      </c>
      <c r="DJ9" s="142">
        <v>99599</v>
      </c>
      <c r="DK9" s="142">
        <v>99604</v>
      </c>
      <c r="DL9" s="142">
        <v>99606</v>
      </c>
      <c r="DM9" s="142">
        <v>99623.5</v>
      </c>
      <c r="DN9" s="142">
        <v>99640</v>
      </c>
      <c r="DO9" s="142">
        <v>99656.5</v>
      </c>
      <c r="DP9" s="142"/>
      <c r="DQ9" s="142"/>
    </row>
    <row r="10" spans="1:121">
      <c r="A10" s="140">
        <v>8</v>
      </c>
      <c r="B10" s="142"/>
      <c r="C10" s="142"/>
      <c r="D10" s="142"/>
      <c r="E10" s="142"/>
      <c r="F10" s="142"/>
      <c r="G10" s="142"/>
      <c r="H10" s="142"/>
      <c r="I10" s="142"/>
      <c r="J10" s="142"/>
      <c r="K10" s="142"/>
      <c r="L10" s="142"/>
      <c r="M10" s="142"/>
      <c r="N10" s="142"/>
      <c r="O10" s="142"/>
      <c r="P10" s="142"/>
      <c r="Q10" s="142"/>
      <c r="R10" s="142"/>
      <c r="S10" s="142"/>
      <c r="T10" s="142"/>
      <c r="U10" s="142"/>
      <c r="V10" s="142"/>
      <c r="W10" s="142">
        <v>82985.5</v>
      </c>
      <c r="X10" s="142">
        <v>83736.5</v>
      </c>
      <c r="Y10" s="142">
        <v>83790</v>
      </c>
      <c r="Z10" s="142">
        <v>85983.5</v>
      </c>
      <c r="AA10" s="142">
        <v>86292</v>
      </c>
      <c r="AB10" s="142">
        <v>86830.5</v>
      </c>
      <c r="AC10" s="142">
        <v>87579.5</v>
      </c>
      <c r="AD10" s="142">
        <v>88373.5</v>
      </c>
      <c r="AE10" s="142">
        <v>88118</v>
      </c>
      <c r="AF10" s="142">
        <v>89211</v>
      </c>
      <c r="AG10" s="142">
        <v>89532.5</v>
      </c>
      <c r="AH10" s="142">
        <v>89701.5</v>
      </c>
      <c r="AI10" s="142">
        <v>89897.5</v>
      </c>
      <c r="AJ10" s="142">
        <v>91028.5</v>
      </c>
      <c r="AK10" s="142">
        <v>90898.5</v>
      </c>
      <c r="AL10" s="142">
        <v>91111.5</v>
      </c>
      <c r="AM10" s="142">
        <v>91248</v>
      </c>
      <c r="AN10" s="142">
        <v>91521</v>
      </c>
      <c r="AO10" s="142">
        <v>91426.5</v>
      </c>
      <c r="AP10" s="142">
        <v>91455</v>
      </c>
      <c r="AQ10" s="142">
        <v>91476</v>
      </c>
      <c r="AR10" s="142">
        <v>91494</v>
      </c>
      <c r="AS10" s="142">
        <v>90891</v>
      </c>
      <c r="AT10" s="142">
        <v>90089</v>
      </c>
      <c r="AU10" s="142">
        <v>88805</v>
      </c>
      <c r="AV10" s="142">
        <v>89177.5</v>
      </c>
      <c r="AW10" s="142">
        <v>89481</v>
      </c>
      <c r="AX10" s="142">
        <v>91654</v>
      </c>
      <c r="AY10" s="142">
        <v>93463.5</v>
      </c>
      <c r="AZ10" s="142">
        <v>93525</v>
      </c>
      <c r="BA10" s="142">
        <v>93592.5</v>
      </c>
      <c r="BB10" s="142">
        <v>94245</v>
      </c>
      <c r="BC10" s="142">
        <v>94494.5</v>
      </c>
      <c r="BD10" s="142">
        <v>94870.5</v>
      </c>
      <c r="BE10" s="142">
        <v>94955.5</v>
      </c>
      <c r="BF10" s="142">
        <v>95284.5</v>
      </c>
      <c r="BG10" s="142">
        <v>95380.5</v>
      </c>
      <c r="BH10" s="142">
        <v>95617.5</v>
      </c>
      <c r="BI10" s="142">
        <v>95785</v>
      </c>
      <c r="BJ10" s="142">
        <v>95915</v>
      </c>
      <c r="BK10" s="142">
        <v>96189.5</v>
      </c>
      <c r="BL10" s="142">
        <v>96454</v>
      </c>
      <c r="BM10" s="142">
        <v>96670</v>
      </c>
      <c r="BN10" s="142">
        <v>96907.5</v>
      </c>
      <c r="BO10" s="142">
        <v>97066</v>
      </c>
      <c r="BP10" s="142">
        <v>97155</v>
      </c>
      <c r="BQ10" s="142">
        <v>97230.5</v>
      </c>
      <c r="BR10" s="142">
        <v>97297</v>
      </c>
      <c r="BS10" s="142">
        <v>97260</v>
      </c>
      <c r="BT10" s="142">
        <v>97324</v>
      </c>
      <c r="BU10" s="142">
        <v>97386</v>
      </c>
      <c r="BV10" s="142">
        <v>97467</v>
      </c>
      <c r="BW10" s="142">
        <v>97515</v>
      </c>
      <c r="BX10" s="142">
        <v>97628</v>
      </c>
      <c r="BY10" s="142">
        <v>97759.5</v>
      </c>
      <c r="BZ10" s="142">
        <v>98025.5</v>
      </c>
      <c r="CA10" s="142">
        <v>98196.5</v>
      </c>
      <c r="CB10" s="142">
        <v>98269.5</v>
      </c>
      <c r="CC10" s="142">
        <v>98386</v>
      </c>
      <c r="CD10" s="142">
        <v>98474</v>
      </c>
      <c r="CE10" s="142">
        <v>98546</v>
      </c>
      <c r="CF10" s="142">
        <v>98652</v>
      </c>
      <c r="CG10" s="142">
        <v>98731.5</v>
      </c>
      <c r="CH10" s="142">
        <v>98791</v>
      </c>
      <c r="CI10" s="142">
        <v>98864.5</v>
      </c>
      <c r="CJ10" s="142">
        <v>98899.5</v>
      </c>
      <c r="CK10" s="142">
        <v>98949.5</v>
      </c>
      <c r="CL10" s="142">
        <v>99037.5</v>
      </c>
      <c r="CM10" s="142">
        <v>99056</v>
      </c>
      <c r="CN10" s="142">
        <v>99116.5</v>
      </c>
      <c r="CO10" s="142">
        <v>99182</v>
      </c>
      <c r="CP10" s="142">
        <v>99229.5</v>
      </c>
      <c r="CQ10" s="142">
        <v>99282</v>
      </c>
      <c r="CR10" s="142">
        <v>99305.5</v>
      </c>
      <c r="CS10" s="142">
        <v>99343.5</v>
      </c>
      <c r="CT10" s="142">
        <v>99358</v>
      </c>
      <c r="CU10" s="142">
        <v>99393.5</v>
      </c>
      <c r="CV10" s="142">
        <v>99406.5</v>
      </c>
      <c r="CW10" s="142">
        <v>99422</v>
      </c>
      <c r="CX10" s="142">
        <v>99460</v>
      </c>
      <c r="CY10" s="142">
        <v>99457.5</v>
      </c>
      <c r="CZ10" s="142">
        <v>99464.5</v>
      </c>
      <c r="DA10" s="142">
        <v>99468</v>
      </c>
      <c r="DB10" s="142">
        <v>99492</v>
      </c>
      <c r="DC10" s="142">
        <v>99506.5</v>
      </c>
      <c r="DD10" s="142">
        <v>99516.5</v>
      </c>
      <c r="DE10" s="142">
        <v>99520.5</v>
      </c>
      <c r="DF10" s="142">
        <v>99563</v>
      </c>
      <c r="DG10" s="142">
        <v>99557</v>
      </c>
      <c r="DH10" s="142">
        <v>99571</v>
      </c>
      <c r="DI10" s="142">
        <v>99564.5</v>
      </c>
      <c r="DJ10" s="142">
        <v>99593</v>
      </c>
      <c r="DK10" s="142">
        <v>99599</v>
      </c>
      <c r="DL10" s="142">
        <v>99600.5</v>
      </c>
      <c r="DM10" s="142">
        <v>99618.5</v>
      </c>
      <c r="DN10" s="142">
        <v>99635.5</v>
      </c>
      <c r="DO10" s="142">
        <v>99651.5</v>
      </c>
      <c r="DP10" s="142"/>
      <c r="DQ10" s="142"/>
    </row>
    <row r="11" spans="1:121">
      <c r="A11" s="140">
        <v>9</v>
      </c>
      <c r="B11" s="142"/>
      <c r="C11" s="142"/>
      <c r="D11" s="142"/>
      <c r="E11" s="142"/>
      <c r="F11" s="142"/>
      <c r="G11" s="142"/>
      <c r="H11" s="142"/>
      <c r="I11" s="142"/>
      <c r="J11" s="142"/>
      <c r="K11" s="142"/>
      <c r="L11" s="142"/>
      <c r="M11" s="142"/>
      <c r="N11" s="142"/>
      <c r="O11" s="142"/>
      <c r="P11" s="142"/>
      <c r="Q11" s="142"/>
      <c r="R11" s="142"/>
      <c r="S11" s="142"/>
      <c r="T11" s="142"/>
      <c r="U11" s="142"/>
      <c r="V11" s="142"/>
      <c r="W11" s="142">
        <v>82835</v>
      </c>
      <c r="X11" s="142">
        <v>83591.5</v>
      </c>
      <c r="Y11" s="142">
        <v>83666</v>
      </c>
      <c r="Z11" s="142">
        <v>85846</v>
      </c>
      <c r="AA11" s="142">
        <v>86154.5</v>
      </c>
      <c r="AB11" s="142">
        <v>86691.5</v>
      </c>
      <c r="AC11" s="142">
        <v>87412</v>
      </c>
      <c r="AD11" s="142">
        <v>88212.5</v>
      </c>
      <c r="AE11" s="142">
        <v>87972</v>
      </c>
      <c r="AF11" s="142">
        <v>89067</v>
      </c>
      <c r="AG11" s="142">
        <v>89380.5</v>
      </c>
      <c r="AH11" s="142">
        <v>89549.5</v>
      </c>
      <c r="AI11" s="142">
        <v>89745.5</v>
      </c>
      <c r="AJ11" s="142">
        <v>90874</v>
      </c>
      <c r="AK11" s="142">
        <v>90729</v>
      </c>
      <c r="AL11" s="142">
        <v>90918</v>
      </c>
      <c r="AM11" s="142">
        <v>91015.5</v>
      </c>
      <c r="AN11" s="142">
        <v>91405.5</v>
      </c>
      <c r="AO11" s="142">
        <v>91311</v>
      </c>
      <c r="AP11" s="142">
        <v>91364.5</v>
      </c>
      <c r="AQ11" s="142">
        <v>91413</v>
      </c>
      <c r="AR11" s="142">
        <v>91431</v>
      </c>
      <c r="AS11" s="142">
        <v>90829</v>
      </c>
      <c r="AT11" s="142">
        <v>90041</v>
      </c>
      <c r="AU11" s="142">
        <v>88759</v>
      </c>
      <c r="AV11" s="142">
        <v>89132</v>
      </c>
      <c r="AW11" s="142">
        <v>89440.5</v>
      </c>
      <c r="AX11" s="142">
        <v>91608.5</v>
      </c>
      <c r="AY11" s="142">
        <v>93417</v>
      </c>
      <c r="AZ11" s="142">
        <v>93483.5</v>
      </c>
      <c r="BA11" s="142">
        <v>93548.5</v>
      </c>
      <c r="BB11" s="142">
        <v>94202.5</v>
      </c>
      <c r="BC11" s="142">
        <v>94448.5</v>
      </c>
      <c r="BD11" s="142">
        <v>94826.5</v>
      </c>
      <c r="BE11" s="142">
        <v>94913</v>
      </c>
      <c r="BF11" s="142">
        <v>95243.5</v>
      </c>
      <c r="BG11" s="142">
        <v>95338</v>
      </c>
      <c r="BH11" s="142">
        <v>95574</v>
      </c>
      <c r="BI11" s="142">
        <v>95740.5</v>
      </c>
      <c r="BJ11" s="142">
        <v>95872</v>
      </c>
      <c r="BK11" s="142">
        <v>96147.5</v>
      </c>
      <c r="BL11" s="142">
        <v>96408</v>
      </c>
      <c r="BM11" s="142">
        <v>96627.5</v>
      </c>
      <c r="BN11" s="142">
        <v>96867</v>
      </c>
      <c r="BO11" s="142">
        <v>97032</v>
      </c>
      <c r="BP11" s="142">
        <v>97119.5</v>
      </c>
      <c r="BQ11" s="142">
        <v>97195</v>
      </c>
      <c r="BR11" s="142">
        <v>97266.5</v>
      </c>
      <c r="BS11" s="142">
        <v>97229</v>
      </c>
      <c r="BT11" s="142">
        <v>97290</v>
      </c>
      <c r="BU11" s="142">
        <v>97356.5</v>
      </c>
      <c r="BV11" s="142">
        <v>97437.5</v>
      </c>
      <c r="BW11" s="142">
        <v>97489</v>
      </c>
      <c r="BX11" s="142">
        <v>97603</v>
      </c>
      <c r="BY11" s="142">
        <v>97736</v>
      </c>
      <c r="BZ11" s="142">
        <v>98003</v>
      </c>
      <c r="CA11" s="142">
        <v>98173</v>
      </c>
      <c r="CB11" s="142">
        <v>98247</v>
      </c>
      <c r="CC11" s="142">
        <v>98368</v>
      </c>
      <c r="CD11" s="142">
        <v>98454.5</v>
      </c>
      <c r="CE11" s="142">
        <v>98520.5</v>
      </c>
      <c r="CF11" s="142">
        <v>98632.5</v>
      </c>
      <c r="CG11" s="142">
        <v>98712.5</v>
      </c>
      <c r="CH11" s="142">
        <v>98776</v>
      </c>
      <c r="CI11" s="142">
        <v>98850</v>
      </c>
      <c r="CJ11" s="142">
        <v>98886.5</v>
      </c>
      <c r="CK11" s="142">
        <v>98936.5</v>
      </c>
      <c r="CL11" s="142">
        <v>99027</v>
      </c>
      <c r="CM11" s="142">
        <v>99044</v>
      </c>
      <c r="CN11" s="142">
        <v>99104.5</v>
      </c>
      <c r="CO11" s="142">
        <v>99169</v>
      </c>
      <c r="CP11" s="142">
        <v>99220.5</v>
      </c>
      <c r="CQ11" s="142">
        <v>99273</v>
      </c>
      <c r="CR11" s="142">
        <v>99295</v>
      </c>
      <c r="CS11" s="142">
        <v>99330</v>
      </c>
      <c r="CT11" s="142">
        <v>99348.5</v>
      </c>
      <c r="CU11" s="142">
        <v>99384.5</v>
      </c>
      <c r="CV11" s="142">
        <v>99398.5</v>
      </c>
      <c r="CW11" s="142">
        <v>99412.5</v>
      </c>
      <c r="CX11" s="142">
        <v>99453.5</v>
      </c>
      <c r="CY11" s="142">
        <v>99450.5</v>
      </c>
      <c r="CZ11" s="142">
        <v>99455</v>
      </c>
      <c r="DA11" s="142">
        <v>99459</v>
      </c>
      <c r="DB11" s="142">
        <v>99484</v>
      </c>
      <c r="DC11" s="142">
        <v>99501</v>
      </c>
      <c r="DD11" s="142">
        <v>99509.5</v>
      </c>
      <c r="DE11" s="142">
        <v>99514</v>
      </c>
      <c r="DF11" s="142">
        <v>99556</v>
      </c>
      <c r="DG11" s="142">
        <v>99551</v>
      </c>
      <c r="DH11" s="142">
        <v>99565.5</v>
      </c>
      <c r="DI11" s="142">
        <v>99559</v>
      </c>
      <c r="DJ11" s="142">
        <v>99588.5</v>
      </c>
      <c r="DK11" s="142">
        <v>99593.5</v>
      </c>
      <c r="DL11" s="142">
        <v>99595.5</v>
      </c>
      <c r="DM11" s="142">
        <v>99614</v>
      </c>
      <c r="DN11" s="142">
        <v>99631.5</v>
      </c>
      <c r="DO11" s="142">
        <v>99647.5</v>
      </c>
      <c r="DP11" s="142"/>
      <c r="DQ11" s="142"/>
    </row>
    <row r="12" spans="1:121">
      <c r="A12" s="140">
        <v>10</v>
      </c>
      <c r="B12" s="142"/>
      <c r="C12" s="142"/>
      <c r="D12" s="142"/>
      <c r="E12" s="142"/>
      <c r="F12" s="142"/>
      <c r="G12" s="142"/>
      <c r="H12" s="142"/>
      <c r="I12" s="142"/>
      <c r="J12" s="142"/>
      <c r="K12" s="142"/>
      <c r="L12" s="142"/>
      <c r="M12" s="142"/>
      <c r="N12" s="142"/>
      <c r="O12" s="142"/>
      <c r="P12" s="142"/>
      <c r="Q12" s="142"/>
      <c r="R12" s="142"/>
      <c r="S12" s="142"/>
      <c r="T12" s="142"/>
      <c r="U12" s="142"/>
      <c r="V12" s="142"/>
      <c r="W12" s="142">
        <v>82709</v>
      </c>
      <c r="X12" s="142">
        <v>83483.5</v>
      </c>
      <c r="Y12" s="142">
        <v>83549.5</v>
      </c>
      <c r="Z12" s="142">
        <v>85727</v>
      </c>
      <c r="AA12" s="142">
        <v>86034.5</v>
      </c>
      <c r="AB12" s="142">
        <v>86547</v>
      </c>
      <c r="AC12" s="142">
        <v>87272.5</v>
      </c>
      <c r="AD12" s="142">
        <v>88085</v>
      </c>
      <c r="AE12" s="142">
        <v>87848.5</v>
      </c>
      <c r="AF12" s="142">
        <v>88935.5</v>
      </c>
      <c r="AG12" s="142">
        <v>89248</v>
      </c>
      <c r="AH12" s="142">
        <v>89417</v>
      </c>
      <c r="AI12" s="142">
        <v>89612.5</v>
      </c>
      <c r="AJ12" s="142">
        <v>90726</v>
      </c>
      <c r="AK12" s="142">
        <v>90561.5</v>
      </c>
      <c r="AL12" s="142">
        <v>90716</v>
      </c>
      <c r="AM12" s="142">
        <v>90906</v>
      </c>
      <c r="AN12" s="142">
        <v>91295</v>
      </c>
      <c r="AO12" s="142">
        <v>91224.5</v>
      </c>
      <c r="AP12" s="142">
        <v>91306.5</v>
      </c>
      <c r="AQ12" s="142">
        <v>91355.5</v>
      </c>
      <c r="AR12" s="142">
        <v>91373</v>
      </c>
      <c r="AS12" s="142">
        <v>90781.5</v>
      </c>
      <c r="AT12" s="142">
        <v>89996.5</v>
      </c>
      <c r="AU12" s="142">
        <v>88718</v>
      </c>
      <c r="AV12" s="142">
        <v>89089.5</v>
      </c>
      <c r="AW12" s="142">
        <v>89398</v>
      </c>
      <c r="AX12" s="142">
        <v>91567</v>
      </c>
      <c r="AY12" s="142">
        <v>93374.5</v>
      </c>
      <c r="AZ12" s="142">
        <v>93442</v>
      </c>
      <c r="BA12" s="142">
        <v>93509.5</v>
      </c>
      <c r="BB12" s="142">
        <v>94161.5</v>
      </c>
      <c r="BC12" s="142">
        <v>94410.5</v>
      </c>
      <c r="BD12" s="142">
        <v>94786.5</v>
      </c>
      <c r="BE12" s="142">
        <v>94874</v>
      </c>
      <c r="BF12" s="142">
        <v>95206</v>
      </c>
      <c r="BG12" s="142">
        <v>95300</v>
      </c>
      <c r="BH12" s="142">
        <v>95535</v>
      </c>
      <c r="BI12" s="142">
        <v>95701.5</v>
      </c>
      <c r="BJ12" s="142">
        <v>95831.5</v>
      </c>
      <c r="BK12" s="142">
        <v>96109</v>
      </c>
      <c r="BL12" s="142">
        <v>96372</v>
      </c>
      <c r="BM12" s="142">
        <v>96591</v>
      </c>
      <c r="BN12" s="142">
        <v>96834</v>
      </c>
      <c r="BO12" s="142">
        <v>97002.5</v>
      </c>
      <c r="BP12" s="142">
        <v>97088.5</v>
      </c>
      <c r="BQ12" s="142">
        <v>97166.5</v>
      </c>
      <c r="BR12" s="142">
        <v>97234.5</v>
      </c>
      <c r="BS12" s="142">
        <v>97200</v>
      </c>
      <c r="BT12" s="142">
        <v>97263</v>
      </c>
      <c r="BU12" s="142">
        <v>97332</v>
      </c>
      <c r="BV12" s="142">
        <v>97414</v>
      </c>
      <c r="BW12" s="142">
        <v>97468</v>
      </c>
      <c r="BX12" s="142">
        <v>97579</v>
      </c>
      <c r="BY12" s="142">
        <v>97714</v>
      </c>
      <c r="BZ12" s="142">
        <v>97985</v>
      </c>
      <c r="CA12" s="142">
        <v>98154</v>
      </c>
      <c r="CB12" s="142">
        <v>98227</v>
      </c>
      <c r="CC12" s="142">
        <v>98348.5</v>
      </c>
      <c r="CD12" s="142">
        <v>98439.5</v>
      </c>
      <c r="CE12" s="142">
        <v>98503</v>
      </c>
      <c r="CF12" s="142">
        <v>98617</v>
      </c>
      <c r="CG12" s="142">
        <v>98699</v>
      </c>
      <c r="CH12" s="142">
        <v>98763.5</v>
      </c>
      <c r="CI12" s="142">
        <v>98835</v>
      </c>
      <c r="CJ12" s="142">
        <v>98874</v>
      </c>
      <c r="CK12" s="142">
        <v>98923.5</v>
      </c>
      <c r="CL12" s="142">
        <v>99017</v>
      </c>
      <c r="CM12" s="142">
        <v>99033.5</v>
      </c>
      <c r="CN12" s="142">
        <v>99093.5</v>
      </c>
      <c r="CO12" s="142">
        <v>99157.5</v>
      </c>
      <c r="CP12" s="142">
        <v>99210.5</v>
      </c>
      <c r="CQ12" s="142">
        <v>99264.5</v>
      </c>
      <c r="CR12" s="142">
        <v>99286</v>
      </c>
      <c r="CS12" s="142">
        <v>99322</v>
      </c>
      <c r="CT12" s="142">
        <v>99340.5</v>
      </c>
      <c r="CU12" s="142">
        <v>99376.5</v>
      </c>
      <c r="CV12" s="142">
        <v>99390.5</v>
      </c>
      <c r="CW12" s="142">
        <v>99405</v>
      </c>
      <c r="CX12" s="142">
        <v>99446.5</v>
      </c>
      <c r="CY12" s="142">
        <v>99442.5</v>
      </c>
      <c r="CZ12" s="142">
        <v>99448</v>
      </c>
      <c r="DA12" s="142">
        <v>99451</v>
      </c>
      <c r="DB12" s="142">
        <v>99475.5</v>
      </c>
      <c r="DC12" s="142">
        <v>99494.5</v>
      </c>
      <c r="DD12" s="142">
        <v>99503.5</v>
      </c>
      <c r="DE12" s="142">
        <v>99508.5</v>
      </c>
      <c r="DF12" s="142">
        <v>99550.5</v>
      </c>
      <c r="DG12" s="142">
        <v>99545.5</v>
      </c>
      <c r="DH12" s="142">
        <v>99560</v>
      </c>
      <c r="DI12" s="142">
        <v>99554</v>
      </c>
      <c r="DJ12" s="142">
        <v>99583</v>
      </c>
      <c r="DK12" s="142">
        <v>99589</v>
      </c>
      <c r="DL12" s="142">
        <v>99591</v>
      </c>
      <c r="DM12" s="142">
        <v>99609.5</v>
      </c>
      <c r="DN12" s="142">
        <v>99627</v>
      </c>
      <c r="DO12" s="142">
        <v>99643.5</v>
      </c>
      <c r="DP12" s="142"/>
      <c r="DQ12" s="142"/>
    </row>
    <row r="13" spans="1:121">
      <c r="A13" s="140">
        <v>11</v>
      </c>
      <c r="B13" s="142"/>
      <c r="C13" s="142"/>
      <c r="D13" s="142"/>
      <c r="E13" s="142"/>
      <c r="F13" s="142"/>
      <c r="G13" s="142"/>
      <c r="H13" s="142"/>
      <c r="I13" s="142"/>
      <c r="J13" s="142"/>
      <c r="K13" s="142"/>
      <c r="L13" s="142"/>
      <c r="M13" s="142"/>
      <c r="N13" s="142"/>
      <c r="O13" s="142"/>
      <c r="P13" s="142"/>
      <c r="Q13" s="142"/>
      <c r="R13" s="142"/>
      <c r="S13" s="142"/>
      <c r="T13" s="142"/>
      <c r="U13" s="142"/>
      <c r="V13" s="142"/>
      <c r="W13" s="142">
        <v>82614.5</v>
      </c>
      <c r="X13" s="142">
        <v>83380.5</v>
      </c>
      <c r="Y13" s="142">
        <v>83446.5</v>
      </c>
      <c r="Z13" s="142">
        <v>85621</v>
      </c>
      <c r="AA13" s="142">
        <v>85907</v>
      </c>
      <c r="AB13" s="142">
        <v>86425</v>
      </c>
      <c r="AC13" s="142">
        <v>87161</v>
      </c>
      <c r="AD13" s="142">
        <v>87975.5</v>
      </c>
      <c r="AE13" s="142">
        <v>87733.5</v>
      </c>
      <c r="AF13" s="142">
        <v>88819</v>
      </c>
      <c r="AG13" s="142">
        <v>89131.5</v>
      </c>
      <c r="AH13" s="142">
        <v>89300</v>
      </c>
      <c r="AI13" s="142">
        <v>89483</v>
      </c>
      <c r="AJ13" s="142">
        <v>90577</v>
      </c>
      <c r="AK13" s="142">
        <v>90383.5</v>
      </c>
      <c r="AL13" s="142">
        <v>90609.5</v>
      </c>
      <c r="AM13" s="142">
        <v>90799</v>
      </c>
      <c r="AN13" s="142">
        <v>91210.5</v>
      </c>
      <c r="AO13" s="142">
        <v>91171</v>
      </c>
      <c r="AP13" s="142">
        <v>91253.5</v>
      </c>
      <c r="AQ13" s="142">
        <v>91302</v>
      </c>
      <c r="AR13" s="142">
        <v>91328.5</v>
      </c>
      <c r="AS13" s="142">
        <v>90741</v>
      </c>
      <c r="AT13" s="142">
        <v>89958.5</v>
      </c>
      <c r="AU13" s="142">
        <v>88681</v>
      </c>
      <c r="AV13" s="142">
        <v>89052</v>
      </c>
      <c r="AW13" s="142">
        <v>89358</v>
      </c>
      <c r="AX13" s="142">
        <v>91532.5</v>
      </c>
      <c r="AY13" s="142">
        <v>93338</v>
      </c>
      <c r="AZ13" s="142">
        <v>93409.5</v>
      </c>
      <c r="BA13" s="142">
        <v>93473.5</v>
      </c>
      <c r="BB13" s="142">
        <v>94128</v>
      </c>
      <c r="BC13" s="142">
        <v>94379</v>
      </c>
      <c r="BD13" s="142">
        <v>94749</v>
      </c>
      <c r="BE13" s="142">
        <v>94838</v>
      </c>
      <c r="BF13" s="142">
        <v>95169</v>
      </c>
      <c r="BG13" s="142">
        <v>95262.5</v>
      </c>
      <c r="BH13" s="142">
        <v>95497</v>
      </c>
      <c r="BI13" s="142">
        <v>95661</v>
      </c>
      <c r="BJ13" s="142">
        <v>95795.5</v>
      </c>
      <c r="BK13" s="142">
        <v>96073</v>
      </c>
      <c r="BL13" s="142">
        <v>96338.5</v>
      </c>
      <c r="BM13" s="142">
        <v>96561.5</v>
      </c>
      <c r="BN13" s="142">
        <v>96807.5</v>
      </c>
      <c r="BO13" s="142">
        <v>96973.5</v>
      </c>
      <c r="BP13" s="142">
        <v>97061.5</v>
      </c>
      <c r="BQ13" s="142">
        <v>97141</v>
      </c>
      <c r="BR13" s="142">
        <v>97210.5</v>
      </c>
      <c r="BS13" s="142">
        <v>97175.5</v>
      </c>
      <c r="BT13" s="142">
        <v>97236.5</v>
      </c>
      <c r="BU13" s="142">
        <v>97311</v>
      </c>
      <c r="BV13" s="142">
        <v>97395</v>
      </c>
      <c r="BW13" s="142">
        <v>97448.5</v>
      </c>
      <c r="BX13" s="142">
        <v>97561.5</v>
      </c>
      <c r="BY13" s="142">
        <v>97696</v>
      </c>
      <c r="BZ13" s="142">
        <v>97965</v>
      </c>
      <c r="CA13" s="142">
        <v>98137.5</v>
      </c>
      <c r="CB13" s="142">
        <v>98212</v>
      </c>
      <c r="CC13" s="142">
        <v>98331</v>
      </c>
      <c r="CD13" s="142">
        <v>98424</v>
      </c>
      <c r="CE13" s="142">
        <v>98488.5</v>
      </c>
      <c r="CF13" s="142">
        <v>98601.5</v>
      </c>
      <c r="CG13" s="142">
        <v>98683.5</v>
      </c>
      <c r="CH13" s="142">
        <v>98751.5</v>
      </c>
      <c r="CI13" s="142">
        <v>98822.5</v>
      </c>
      <c r="CJ13" s="142">
        <v>98863</v>
      </c>
      <c r="CK13" s="142">
        <v>98912</v>
      </c>
      <c r="CL13" s="142">
        <v>99006.5</v>
      </c>
      <c r="CM13" s="142">
        <v>99022.5</v>
      </c>
      <c r="CN13" s="142">
        <v>99083.5</v>
      </c>
      <c r="CO13" s="142">
        <v>99148.5</v>
      </c>
      <c r="CP13" s="142">
        <v>99200.5</v>
      </c>
      <c r="CQ13" s="142">
        <v>99257.5</v>
      </c>
      <c r="CR13" s="142">
        <v>99277</v>
      </c>
      <c r="CS13" s="142">
        <v>99314.5</v>
      </c>
      <c r="CT13" s="142">
        <v>99333.5</v>
      </c>
      <c r="CU13" s="142">
        <v>99367</v>
      </c>
      <c r="CV13" s="142">
        <v>99382.5</v>
      </c>
      <c r="CW13" s="142">
        <v>99397.5</v>
      </c>
      <c r="CX13" s="142">
        <v>99437.5</v>
      </c>
      <c r="CY13" s="142">
        <v>99436</v>
      </c>
      <c r="CZ13" s="142">
        <v>99441.5</v>
      </c>
      <c r="DA13" s="142">
        <v>99445.5</v>
      </c>
      <c r="DB13" s="142">
        <v>99469</v>
      </c>
      <c r="DC13" s="142">
        <v>99488</v>
      </c>
      <c r="DD13" s="142">
        <v>99497</v>
      </c>
      <c r="DE13" s="142">
        <v>99502</v>
      </c>
      <c r="DF13" s="142">
        <v>99545</v>
      </c>
      <c r="DG13" s="142">
        <v>99540</v>
      </c>
      <c r="DH13" s="142">
        <v>99555</v>
      </c>
      <c r="DI13" s="142">
        <v>99548.5</v>
      </c>
      <c r="DJ13" s="142">
        <v>99578.5</v>
      </c>
      <c r="DK13" s="142">
        <v>99584.5</v>
      </c>
      <c r="DL13" s="142">
        <v>99586.5</v>
      </c>
      <c r="DM13" s="142">
        <v>99605</v>
      </c>
      <c r="DN13" s="142">
        <v>99623</v>
      </c>
      <c r="DO13" s="142">
        <v>99639.5</v>
      </c>
      <c r="DP13" s="142"/>
      <c r="DQ13" s="142"/>
    </row>
    <row r="14" spans="1:121">
      <c r="A14" s="140">
        <v>12</v>
      </c>
      <c r="B14" s="142"/>
      <c r="C14" s="142"/>
      <c r="D14" s="142"/>
      <c r="E14" s="142"/>
      <c r="F14" s="142"/>
      <c r="G14" s="142"/>
      <c r="H14" s="142"/>
      <c r="I14" s="142"/>
      <c r="J14" s="142"/>
      <c r="K14" s="142"/>
      <c r="L14" s="142"/>
      <c r="M14" s="142"/>
      <c r="N14" s="142"/>
      <c r="O14" s="142"/>
      <c r="P14" s="142"/>
      <c r="Q14" s="142"/>
      <c r="R14" s="142"/>
      <c r="S14" s="142"/>
      <c r="T14" s="142"/>
      <c r="U14" s="142"/>
      <c r="V14" s="142"/>
      <c r="W14" s="142">
        <v>82521.5</v>
      </c>
      <c r="X14" s="142">
        <v>83286.5</v>
      </c>
      <c r="Y14" s="142">
        <v>83352</v>
      </c>
      <c r="Z14" s="142">
        <v>85505</v>
      </c>
      <c r="AA14" s="142">
        <v>85796.5</v>
      </c>
      <c r="AB14" s="142">
        <v>86324</v>
      </c>
      <c r="AC14" s="142">
        <v>87062.5</v>
      </c>
      <c r="AD14" s="142">
        <v>87870</v>
      </c>
      <c r="AE14" s="142">
        <v>87628</v>
      </c>
      <c r="AF14" s="142">
        <v>88712.5</v>
      </c>
      <c r="AG14" s="142">
        <v>89024.5</v>
      </c>
      <c r="AH14" s="142">
        <v>89182</v>
      </c>
      <c r="AI14" s="142">
        <v>89349</v>
      </c>
      <c r="AJ14" s="142">
        <v>90414.5</v>
      </c>
      <c r="AK14" s="142">
        <v>90279.5</v>
      </c>
      <c r="AL14" s="142">
        <v>90505.5</v>
      </c>
      <c r="AM14" s="142">
        <v>90716.5</v>
      </c>
      <c r="AN14" s="142">
        <v>91158.5</v>
      </c>
      <c r="AO14" s="142">
        <v>91119</v>
      </c>
      <c r="AP14" s="142">
        <v>91200.5</v>
      </c>
      <c r="AQ14" s="142">
        <v>91257.5</v>
      </c>
      <c r="AR14" s="142">
        <v>91290</v>
      </c>
      <c r="AS14" s="142">
        <v>90701.5</v>
      </c>
      <c r="AT14" s="142">
        <v>89919.5</v>
      </c>
      <c r="AU14" s="142">
        <v>88641.5</v>
      </c>
      <c r="AV14" s="142">
        <v>89018</v>
      </c>
      <c r="AW14" s="142">
        <v>89323.5</v>
      </c>
      <c r="AX14" s="142">
        <v>91498</v>
      </c>
      <c r="AY14" s="142">
        <v>93304</v>
      </c>
      <c r="AZ14" s="142">
        <v>93372.5</v>
      </c>
      <c r="BA14" s="142">
        <v>93441</v>
      </c>
      <c r="BB14" s="142">
        <v>94095.5</v>
      </c>
      <c r="BC14" s="142">
        <v>94345</v>
      </c>
      <c r="BD14" s="142">
        <v>94712.5</v>
      </c>
      <c r="BE14" s="142">
        <v>94802.5</v>
      </c>
      <c r="BF14" s="142">
        <v>95132</v>
      </c>
      <c r="BG14" s="142">
        <v>95230.5</v>
      </c>
      <c r="BH14" s="142">
        <v>95464</v>
      </c>
      <c r="BI14" s="142">
        <v>95628</v>
      </c>
      <c r="BJ14" s="142">
        <v>95764.5</v>
      </c>
      <c r="BK14" s="142">
        <v>96041.5</v>
      </c>
      <c r="BL14" s="142">
        <v>96310.5</v>
      </c>
      <c r="BM14" s="142">
        <v>96534</v>
      </c>
      <c r="BN14" s="142">
        <v>96778</v>
      </c>
      <c r="BO14" s="142">
        <v>96944.5</v>
      </c>
      <c r="BP14" s="142">
        <v>97035.5</v>
      </c>
      <c r="BQ14" s="142">
        <v>97115.5</v>
      </c>
      <c r="BR14" s="142">
        <v>97187.5</v>
      </c>
      <c r="BS14" s="142">
        <v>97151</v>
      </c>
      <c r="BT14" s="142">
        <v>97211</v>
      </c>
      <c r="BU14" s="142">
        <v>97290</v>
      </c>
      <c r="BV14" s="142">
        <v>97375.5</v>
      </c>
      <c r="BW14" s="142">
        <v>97432</v>
      </c>
      <c r="BX14" s="142">
        <v>97542.5</v>
      </c>
      <c r="BY14" s="142">
        <v>97681</v>
      </c>
      <c r="BZ14" s="142">
        <v>97944.5</v>
      </c>
      <c r="CA14" s="142">
        <v>98123</v>
      </c>
      <c r="CB14" s="142">
        <v>98193.5</v>
      </c>
      <c r="CC14" s="142">
        <v>98312</v>
      </c>
      <c r="CD14" s="142">
        <v>98408</v>
      </c>
      <c r="CE14" s="142">
        <v>98474</v>
      </c>
      <c r="CF14" s="142">
        <v>98584.5</v>
      </c>
      <c r="CG14" s="142">
        <v>98669</v>
      </c>
      <c r="CH14" s="142">
        <v>98739</v>
      </c>
      <c r="CI14" s="142">
        <v>98811.5</v>
      </c>
      <c r="CJ14" s="142">
        <v>98850.5</v>
      </c>
      <c r="CK14" s="142">
        <v>98899.5</v>
      </c>
      <c r="CL14" s="142">
        <v>98994.5</v>
      </c>
      <c r="CM14" s="142">
        <v>99012</v>
      </c>
      <c r="CN14" s="142">
        <v>99071.5</v>
      </c>
      <c r="CO14" s="142">
        <v>99137</v>
      </c>
      <c r="CP14" s="142">
        <v>99188</v>
      </c>
      <c r="CQ14" s="142">
        <v>99246.5</v>
      </c>
      <c r="CR14" s="142">
        <v>99266.5</v>
      </c>
      <c r="CS14" s="142">
        <v>99307</v>
      </c>
      <c r="CT14" s="142">
        <v>99323.5</v>
      </c>
      <c r="CU14" s="142">
        <v>99359</v>
      </c>
      <c r="CV14" s="142">
        <v>99373.5</v>
      </c>
      <c r="CW14" s="142">
        <v>99390.5</v>
      </c>
      <c r="CX14" s="142">
        <v>99429</v>
      </c>
      <c r="CY14" s="142">
        <v>99429.5</v>
      </c>
      <c r="CZ14" s="142">
        <v>99434.5</v>
      </c>
      <c r="DA14" s="142">
        <v>99437</v>
      </c>
      <c r="DB14" s="142">
        <v>99462.5</v>
      </c>
      <c r="DC14" s="142">
        <v>99481.5</v>
      </c>
      <c r="DD14" s="142">
        <v>99491</v>
      </c>
      <c r="DE14" s="142">
        <v>99496.5</v>
      </c>
      <c r="DF14" s="142">
        <v>99539.5</v>
      </c>
      <c r="DG14" s="142">
        <v>99534.5</v>
      </c>
      <c r="DH14" s="142">
        <v>99549.5</v>
      </c>
      <c r="DI14" s="142">
        <v>99543.5</v>
      </c>
      <c r="DJ14" s="142">
        <v>99573.5</v>
      </c>
      <c r="DK14" s="142">
        <v>99579.5</v>
      </c>
      <c r="DL14" s="142">
        <v>99582.5</v>
      </c>
      <c r="DM14" s="142">
        <v>99600.5</v>
      </c>
      <c r="DN14" s="142">
        <v>99618.5</v>
      </c>
      <c r="DO14" s="142">
        <v>99635.5</v>
      </c>
      <c r="DP14" s="142"/>
      <c r="DQ14" s="142"/>
    </row>
    <row r="15" spans="1:121">
      <c r="A15" s="140">
        <v>13</v>
      </c>
      <c r="B15" s="142"/>
      <c r="C15" s="142"/>
      <c r="D15" s="142"/>
      <c r="E15" s="142"/>
      <c r="F15" s="142"/>
      <c r="G15" s="142"/>
      <c r="H15" s="142"/>
      <c r="I15" s="142"/>
      <c r="J15" s="142"/>
      <c r="K15" s="142"/>
      <c r="L15" s="142"/>
      <c r="M15" s="142"/>
      <c r="N15" s="142"/>
      <c r="O15" s="142"/>
      <c r="P15" s="142"/>
      <c r="Q15" s="142"/>
      <c r="R15" s="142"/>
      <c r="S15" s="142"/>
      <c r="T15" s="142"/>
      <c r="U15" s="142"/>
      <c r="V15" s="142"/>
      <c r="W15" s="142">
        <v>82433</v>
      </c>
      <c r="X15" s="142">
        <v>83197</v>
      </c>
      <c r="Y15" s="142">
        <v>83236</v>
      </c>
      <c r="Z15" s="142">
        <v>85385.5</v>
      </c>
      <c r="AA15" s="142">
        <v>85685</v>
      </c>
      <c r="AB15" s="142">
        <v>86220.5</v>
      </c>
      <c r="AC15" s="142">
        <v>86949</v>
      </c>
      <c r="AD15" s="142">
        <v>87756</v>
      </c>
      <c r="AE15" s="142">
        <v>87514.5</v>
      </c>
      <c r="AF15" s="142">
        <v>88597</v>
      </c>
      <c r="AG15" s="142">
        <v>88897.5</v>
      </c>
      <c r="AH15" s="142">
        <v>89037.5</v>
      </c>
      <c r="AI15" s="142">
        <v>89175.5</v>
      </c>
      <c r="AJ15" s="142">
        <v>90313</v>
      </c>
      <c r="AK15" s="142">
        <v>90178</v>
      </c>
      <c r="AL15" s="142">
        <v>90428.5</v>
      </c>
      <c r="AM15" s="142">
        <v>90663.5</v>
      </c>
      <c r="AN15" s="142">
        <v>91104.5</v>
      </c>
      <c r="AO15" s="142">
        <v>91065.5</v>
      </c>
      <c r="AP15" s="142">
        <v>91158.5</v>
      </c>
      <c r="AQ15" s="142">
        <v>91216</v>
      </c>
      <c r="AR15" s="142">
        <v>91252</v>
      </c>
      <c r="AS15" s="142">
        <v>90663</v>
      </c>
      <c r="AT15" s="142">
        <v>89882</v>
      </c>
      <c r="AU15" s="142">
        <v>88606.5</v>
      </c>
      <c r="AV15" s="142">
        <v>88982.5</v>
      </c>
      <c r="AW15" s="142">
        <v>89288.5</v>
      </c>
      <c r="AX15" s="142">
        <v>91467</v>
      </c>
      <c r="AY15" s="142">
        <v>93268.5</v>
      </c>
      <c r="AZ15" s="142">
        <v>93339.5</v>
      </c>
      <c r="BA15" s="142">
        <v>93405</v>
      </c>
      <c r="BB15" s="142">
        <v>94060</v>
      </c>
      <c r="BC15" s="142">
        <v>94308.5</v>
      </c>
      <c r="BD15" s="142">
        <v>94677.5</v>
      </c>
      <c r="BE15" s="142">
        <v>94768.5</v>
      </c>
      <c r="BF15" s="142">
        <v>95102</v>
      </c>
      <c r="BG15" s="142">
        <v>95196</v>
      </c>
      <c r="BH15" s="142">
        <v>95426</v>
      </c>
      <c r="BI15" s="142">
        <v>95595</v>
      </c>
      <c r="BJ15" s="142">
        <v>95729</v>
      </c>
      <c r="BK15" s="142">
        <v>96013</v>
      </c>
      <c r="BL15" s="142">
        <v>96280.5</v>
      </c>
      <c r="BM15" s="142">
        <v>96503.5</v>
      </c>
      <c r="BN15" s="142">
        <v>96748</v>
      </c>
      <c r="BO15" s="142">
        <v>96916.5</v>
      </c>
      <c r="BP15" s="142">
        <v>97009.5</v>
      </c>
      <c r="BQ15" s="142">
        <v>97091.5</v>
      </c>
      <c r="BR15" s="142">
        <v>97162.5</v>
      </c>
      <c r="BS15" s="142">
        <v>97129.5</v>
      </c>
      <c r="BT15" s="142">
        <v>97189.5</v>
      </c>
      <c r="BU15" s="142">
        <v>97269</v>
      </c>
      <c r="BV15" s="142">
        <v>97357.5</v>
      </c>
      <c r="BW15" s="142">
        <v>97412.5</v>
      </c>
      <c r="BX15" s="142">
        <v>97525</v>
      </c>
      <c r="BY15" s="142">
        <v>97663.5</v>
      </c>
      <c r="BZ15" s="142">
        <v>97928.5</v>
      </c>
      <c r="CA15" s="142">
        <v>98107</v>
      </c>
      <c r="CB15" s="142">
        <v>98177.5</v>
      </c>
      <c r="CC15" s="142">
        <v>98295</v>
      </c>
      <c r="CD15" s="142">
        <v>98391</v>
      </c>
      <c r="CE15" s="142">
        <v>98457.5</v>
      </c>
      <c r="CF15" s="142">
        <v>98571.5</v>
      </c>
      <c r="CG15" s="142">
        <v>98656</v>
      </c>
      <c r="CH15" s="142">
        <v>98724.5</v>
      </c>
      <c r="CI15" s="142">
        <v>98799.5</v>
      </c>
      <c r="CJ15" s="142">
        <v>98837.5</v>
      </c>
      <c r="CK15" s="142">
        <v>98887.5</v>
      </c>
      <c r="CL15" s="142">
        <v>98981</v>
      </c>
      <c r="CM15" s="142">
        <v>98998.5</v>
      </c>
      <c r="CN15" s="142">
        <v>99060.5</v>
      </c>
      <c r="CO15" s="142">
        <v>99128</v>
      </c>
      <c r="CP15" s="142">
        <v>99177</v>
      </c>
      <c r="CQ15" s="142">
        <v>99235.5</v>
      </c>
      <c r="CR15" s="142">
        <v>99256.5</v>
      </c>
      <c r="CS15" s="142">
        <v>99297.5</v>
      </c>
      <c r="CT15" s="142">
        <v>99316</v>
      </c>
      <c r="CU15" s="142">
        <v>99350</v>
      </c>
      <c r="CV15" s="142">
        <v>99364</v>
      </c>
      <c r="CW15" s="142">
        <v>99380.5</v>
      </c>
      <c r="CX15" s="142">
        <v>99421.5</v>
      </c>
      <c r="CY15" s="142">
        <v>99422</v>
      </c>
      <c r="CZ15" s="142">
        <v>99426</v>
      </c>
      <c r="DA15" s="142">
        <v>99429</v>
      </c>
      <c r="DB15" s="142">
        <v>99454.5</v>
      </c>
      <c r="DC15" s="142">
        <v>99474.5</v>
      </c>
      <c r="DD15" s="142">
        <v>99484</v>
      </c>
      <c r="DE15" s="142">
        <v>99489.5</v>
      </c>
      <c r="DF15" s="142">
        <v>99532.5</v>
      </c>
      <c r="DG15" s="142">
        <v>99528.5</v>
      </c>
      <c r="DH15" s="142">
        <v>99543.5</v>
      </c>
      <c r="DI15" s="142">
        <v>99537.5</v>
      </c>
      <c r="DJ15" s="142">
        <v>99568</v>
      </c>
      <c r="DK15" s="142">
        <v>99574</v>
      </c>
      <c r="DL15" s="142">
        <v>99577</v>
      </c>
      <c r="DM15" s="142">
        <v>99596</v>
      </c>
      <c r="DN15" s="142">
        <v>99613.5</v>
      </c>
      <c r="DO15" s="142">
        <v>99631</v>
      </c>
      <c r="DP15" s="142"/>
      <c r="DQ15" s="142"/>
    </row>
    <row r="16" spans="1:121">
      <c r="A16" s="140">
        <v>14</v>
      </c>
      <c r="B16" s="142"/>
      <c r="C16" s="142"/>
      <c r="D16" s="142"/>
      <c r="E16" s="142"/>
      <c r="F16" s="142"/>
      <c r="G16" s="142"/>
      <c r="H16" s="142"/>
      <c r="I16" s="142"/>
      <c r="J16" s="142"/>
      <c r="K16" s="142"/>
      <c r="L16" s="142"/>
      <c r="M16" s="142"/>
      <c r="N16" s="142"/>
      <c r="O16" s="142"/>
      <c r="P16" s="142"/>
      <c r="Q16" s="142"/>
      <c r="R16" s="142"/>
      <c r="S16" s="142"/>
      <c r="T16" s="142"/>
      <c r="U16" s="142"/>
      <c r="V16" s="142"/>
      <c r="W16" s="142">
        <v>82341.5</v>
      </c>
      <c r="X16" s="142">
        <v>83070.5</v>
      </c>
      <c r="Y16" s="142">
        <v>83111</v>
      </c>
      <c r="Z16" s="142">
        <v>85270.5</v>
      </c>
      <c r="AA16" s="142">
        <v>85577</v>
      </c>
      <c r="AB16" s="142">
        <v>86104</v>
      </c>
      <c r="AC16" s="142">
        <v>86831.5</v>
      </c>
      <c r="AD16" s="142">
        <v>87637.5</v>
      </c>
      <c r="AE16" s="142">
        <v>87396</v>
      </c>
      <c r="AF16" s="142">
        <v>88465.5</v>
      </c>
      <c r="AG16" s="142">
        <v>88747</v>
      </c>
      <c r="AH16" s="142">
        <v>88857.5</v>
      </c>
      <c r="AI16" s="142">
        <v>89073</v>
      </c>
      <c r="AJ16" s="142">
        <v>90209</v>
      </c>
      <c r="AK16" s="142">
        <v>90099.5</v>
      </c>
      <c r="AL16" s="142">
        <v>90370</v>
      </c>
      <c r="AM16" s="142">
        <v>90605</v>
      </c>
      <c r="AN16" s="142">
        <v>91045.5</v>
      </c>
      <c r="AO16" s="142">
        <v>91018.5</v>
      </c>
      <c r="AP16" s="142">
        <v>91113</v>
      </c>
      <c r="AQ16" s="142">
        <v>91175.5</v>
      </c>
      <c r="AR16" s="142">
        <v>91211</v>
      </c>
      <c r="AS16" s="142">
        <v>90623.5</v>
      </c>
      <c r="AT16" s="142">
        <v>89844</v>
      </c>
      <c r="AU16" s="142">
        <v>88568</v>
      </c>
      <c r="AV16" s="142">
        <v>88945</v>
      </c>
      <c r="AW16" s="142">
        <v>89251.5</v>
      </c>
      <c r="AX16" s="142">
        <v>91427</v>
      </c>
      <c r="AY16" s="142">
        <v>93234</v>
      </c>
      <c r="AZ16" s="142">
        <v>93304</v>
      </c>
      <c r="BA16" s="142">
        <v>93370</v>
      </c>
      <c r="BB16" s="142">
        <v>94023</v>
      </c>
      <c r="BC16" s="142">
        <v>94271.5</v>
      </c>
      <c r="BD16" s="142">
        <v>94640.5</v>
      </c>
      <c r="BE16" s="142">
        <v>94732.5</v>
      </c>
      <c r="BF16" s="142">
        <v>95065</v>
      </c>
      <c r="BG16" s="142">
        <v>95158.5</v>
      </c>
      <c r="BH16" s="142">
        <v>95390</v>
      </c>
      <c r="BI16" s="142">
        <v>95560.5</v>
      </c>
      <c r="BJ16" s="142">
        <v>95697</v>
      </c>
      <c r="BK16" s="142">
        <v>95981.5</v>
      </c>
      <c r="BL16" s="142">
        <v>96250.5</v>
      </c>
      <c r="BM16" s="142">
        <v>96474</v>
      </c>
      <c r="BN16" s="142">
        <v>96718</v>
      </c>
      <c r="BO16" s="142">
        <v>96889</v>
      </c>
      <c r="BP16" s="142">
        <v>96980.5</v>
      </c>
      <c r="BQ16" s="142">
        <v>97066.5</v>
      </c>
      <c r="BR16" s="142">
        <v>97139</v>
      </c>
      <c r="BS16" s="142">
        <v>97105.5</v>
      </c>
      <c r="BT16" s="142">
        <v>97166</v>
      </c>
      <c r="BU16" s="142">
        <v>97246</v>
      </c>
      <c r="BV16" s="142">
        <v>97336.5</v>
      </c>
      <c r="BW16" s="142">
        <v>97391.5</v>
      </c>
      <c r="BX16" s="142">
        <v>97506.5</v>
      </c>
      <c r="BY16" s="142">
        <v>97644.5</v>
      </c>
      <c r="BZ16" s="142">
        <v>97908</v>
      </c>
      <c r="CA16" s="142">
        <v>98090</v>
      </c>
      <c r="CB16" s="142">
        <v>98160</v>
      </c>
      <c r="CC16" s="142">
        <v>98277.5</v>
      </c>
      <c r="CD16" s="142">
        <v>98373</v>
      </c>
      <c r="CE16" s="142">
        <v>98441.5</v>
      </c>
      <c r="CF16" s="142">
        <v>98555.5</v>
      </c>
      <c r="CG16" s="142">
        <v>98642.5</v>
      </c>
      <c r="CH16" s="142">
        <v>98706</v>
      </c>
      <c r="CI16" s="142">
        <v>98786</v>
      </c>
      <c r="CJ16" s="142">
        <v>98824.5</v>
      </c>
      <c r="CK16" s="142">
        <v>98872.5</v>
      </c>
      <c r="CL16" s="142">
        <v>98965</v>
      </c>
      <c r="CM16" s="142">
        <v>98987</v>
      </c>
      <c r="CN16" s="142">
        <v>99051.5</v>
      </c>
      <c r="CO16" s="142">
        <v>99117</v>
      </c>
      <c r="CP16" s="142">
        <v>99163</v>
      </c>
      <c r="CQ16" s="142">
        <v>99224.5</v>
      </c>
      <c r="CR16" s="142">
        <v>99247</v>
      </c>
      <c r="CS16" s="142">
        <v>99288</v>
      </c>
      <c r="CT16" s="142">
        <v>99306</v>
      </c>
      <c r="CU16" s="142">
        <v>99342</v>
      </c>
      <c r="CV16" s="142">
        <v>99349.5</v>
      </c>
      <c r="CW16" s="142">
        <v>99372.5</v>
      </c>
      <c r="CX16" s="142">
        <v>99413</v>
      </c>
      <c r="CY16" s="142">
        <v>99414</v>
      </c>
      <c r="CZ16" s="142">
        <v>99417.5</v>
      </c>
      <c r="DA16" s="142">
        <v>99420.5</v>
      </c>
      <c r="DB16" s="142">
        <v>99446</v>
      </c>
      <c r="DC16" s="142">
        <v>99466</v>
      </c>
      <c r="DD16" s="142">
        <v>99476</v>
      </c>
      <c r="DE16" s="142">
        <v>99482</v>
      </c>
      <c r="DF16" s="142">
        <v>99525.5</v>
      </c>
      <c r="DG16" s="142">
        <v>99521.5</v>
      </c>
      <c r="DH16" s="142">
        <v>99537</v>
      </c>
      <c r="DI16" s="142">
        <v>99531.5</v>
      </c>
      <c r="DJ16" s="142">
        <v>99562</v>
      </c>
      <c r="DK16" s="142">
        <v>99568</v>
      </c>
      <c r="DL16" s="142">
        <v>99571</v>
      </c>
      <c r="DM16" s="142">
        <v>99590</v>
      </c>
      <c r="DN16" s="142">
        <v>99608.5</v>
      </c>
      <c r="DO16" s="142">
        <v>99626</v>
      </c>
      <c r="DP16" s="142"/>
      <c r="DQ16" s="142"/>
    </row>
    <row r="17" spans="1:121">
      <c r="A17" s="140">
        <v>15</v>
      </c>
      <c r="B17" s="142"/>
      <c r="C17" s="142"/>
      <c r="D17" s="142"/>
      <c r="E17" s="142"/>
      <c r="F17" s="142"/>
      <c r="G17" s="142"/>
      <c r="H17" s="142"/>
      <c r="I17" s="142"/>
      <c r="J17" s="142"/>
      <c r="K17" s="142"/>
      <c r="L17" s="142"/>
      <c r="M17" s="142"/>
      <c r="N17" s="142"/>
      <c r="O17" s="142"/>
      <c r="P17" s="142"/>
      <c r="Q17" s="142"/>
      <c r="R17" s="142"/>
      <c r="S17" s="142"/>
      <c r="T17" s="142"/>
      <c r="U17" s="142"/>
      <c r="V17" s="142"/>
      <c r="W17" s="142">
        <v>82207</v>
      </c>
      <c r="X17" s="142">
        <v>82938</v>
      </c>
      <c r="Y17" s="142">
        <v>82989.5</v>
      </c>
      <c r="Z17" s="142">
        <v>85152.5</v>
      </c>
      <c r="AA17" s="142">
        <v>85451.5</v>
      </c>
      <c r="AB17" s="142">
        <v>85978</v>
      </c>
      <c r="AC17" s="142">
        <v>86704</v>
      </c>
      <c r="AD17" s="142">
        <v>87509</v>
      </c>
      <c r="AE17" s="142">
        <v>87255.5</v>
      </c>
      <c r="AF17" s="142">
        <v>88303.5</v>
      </c>
      <c r="AG17" s="142">
        <v>88552</v>
      </c>
      <c r="AH17" s="142">
        <v>88742</v>
      </c>
      <c r="AI17" s="142">
        <v>88957.5</v>
      </c>
      <c r="AJ17" s="142">
        <v>90120.5</v>
      </c>
      <c r="AK17" s="142">
        <v>90034</v>
      </c>
      <c r="AL17" s="142">
        <v>90303.5</v>
      </c>
      <c r="AM17" s="142">
        <v>90538</v>
      </c>
      <c r="AN17" s="142">
        <v>90992</v>
      </c>
      <c r="AO17" s="142">
        <v>90971</v>
      </c>
      <c r="AP17" s="142">
        <v>91067.5</v>
      </c>
      <c r="AQ17" s="142">
        <v>91129</v>
      </c>
      <c r="AR17" s="142">
        <v>91165.5</v>
      </c>
      <c r="AS17" s="142">
        <v>90575</v>
      </c>
      <c r="AT17" s="142">
        <v>89795.5</v>
      </c>
      <c r="AU17" s="142">
        <v>88528</v>
      </c>
      <c r="AV17" s="142">
        <v>88907</v>
      </c>
      <c r="AW17" s="142">
        <v>89211.5</v>
      </c>
      <c r="AX17" s="142">
        <v>91384.5</v>
      </c>
      <c r="AY17" s="142">
        <v>93194.5</v>
      </c>
      <c r="AZ17" s="142">
        <v>93261</v>
      </c>
      <c r="BA17" s="142">
        <v>93327</v>
      </c>
      <c r="BB17" s="142">
        <v>93979</v>
      </c>
      <c r="BC17" s="142">
        <v>94227.5</v>
      </c>
      <c r="BD17" s="142">
        <v>94600</v>
      </c>
      <c r="BE17" s="142">
        <v>94687</v>
      </c>
      <c r="BF17" s="142">
        <v>95023</v>
      </c>
      <c r="BG17" s="142">
        <v>95115.5</v>
      </c>
      <c r="BH17" s="142">
        <v>95351.5</v>
      </c>
      <c r="BI17" s="142">
        <v>95523.5</v>
      </c>
      <c r="BJ17" s="142">
        <v>95659</v>
      </c>
      <c r="BK17" s="142">
        <v>95941</v>
      </c>
      <c r="BL17" s="142">
        <v>96216</v>
      </c>
      <c r="BM17" s="142">
        <v>96437</v>
      </c>
      <c r="BN17" s="142">
        <v>96684</v>
      </c>
      <c r="BO17" s="142">
        <v>96855.5</v>
      </c>
      <c r="BP17" s="142">
        <v>96948.5</v>
      </c>
      <c r="BQ17" s="142">
        <v>97038.5</v>
      </c>
      <c r="BR17" s="142">
        <v>97109.5</v>
      </c>
      <c r="BS17" s="142">
        <v>97080.5</v>
      </c>
      <c r="BT17" s="142">
        <v>97140.5</v>
      </c>
      <c r="BU17" s="142">
        <v>97221</v>
      </c>
      <c r="BV17" s="142">
        <v>97314</v>
      </c>
      <c r="BW17" s="142">
        <v>97368</v>
      </c>
      <c r="BX17" s="142">
        <v>97485</v>
      </c>
      <c r="BY17" s="142">
        <v>97624.5</v>
      </c>
      <c r="BZ17" s="142">
        <v>97879</v>
      </c>
      <c r="CA17" s="142">
        <v>98071.5</v>
      </c>
      <c r="CB17" s="142">
        <v>98139.5</v>
      </c>
      <c r="CC17" s="142">
        <v>98258</v>
      </c>
      <c r="CD17" s="142">
        <v>98353.5</v>
      </c>
      <c r="CE17" s="142">
        <v>98421</v>
      </c>
      <c r="CF17" s="142">
        <v>98537.5</v>
      </c>
      <c r="CG17" s="142">
        <v>98625</v>
      </c>
      <c r="CH17" s="142">
        <v>98687</v>
      </c>
      <c r="CI17" s="142">
        <v>98769</v>
      </c>
      <c r="CJ17" s="142">
        <v>98806.5</v>
      </c>
      <c r="CK17" s="142">
        <v>98857</v>
      </c>
      <c r="CL17" s="142">
        <v>98949.5</v>
      </c>
      <c r="CM17" s="142">
        <v>98972.5</v>
      </c>
      <c r="CN17" s="142">
        <v>99037.5</v>
      </c>
      <c r="CO17" s="142">
        <v>99103.5</v>
      </c>
      <c r="CP17" s="142">
        <v>99149</v>
      </c>
      <c r="CQ17" s="142">
        <v>99212</v>
      </c>
      <c r="CR17" s="142">
        <v>99231</v>
      </c>
      <c r="CS17" s="142">
        <v>99276</v>
      </c>
      <c r="CT17" s="142">
        <v>99293.5</v>
      </c>
      <c r="CU17" s="142">
        <v>99331.5</v>
      </c>
      <c r="CV17" s="142">
        <v>99340</v>
      </c>
      <c r="CW17" s="142">
        <v>99361.5</v>
      </c>
      <c r="CX17" s="142">
        <v>99401</v>
      </c>
      <c r="CY17" s="142">
        <v>99402.5</v>
      </c>
      <c r="CZ17" s="142">
        <v>99406.5</v>
      </c>
      <c r="DA17" s="142">
        <v>99410.5</v>
      </c>
      <c r="DB17" s="142">
        <v>99436</v>
      </c>
      <c r="DC17" s="142">
        <v>99457</v>
      </c>
      <c r="DD17" s="142">
        <v>99467</v>
      </c>
      <c r="DE17" s="142">
        <v>99473.5</v>
      </c>
      <c r="DF17" s="142">
        <v>99517</v>
      </c>
      <c r="DG17" s="142">
        <v>99513.5</v>
      </c>
      <c r="DH17" s="142">
        <v>99528.5</v>
      </c>
      <c r="DI17" s="142">
        <v>99523.5</v>
      </c>
      <c r="DJ17" s="142">
        <v>99554.5</v>
      </c>
      <c r="DK17" s="142">
        <v>99561</v>
      </c>
      <c r="DL17" s="142">
        <v>99564.5</v>
      </c>
      <c r="DM17" s="142">
        <v>99583.5</v>
      </c>
      <c r="DN17" s="142">
        <v>99602</v>
      </c>
      <c r="DO17" s="142">
        <v>99619.5</v>
      </c>
      <c r="DP17" s="142"/>
      <c r="DQ17" s="142"/>
    </row>
    <row r="18" spans="1:121">
      <c r="A18" s="140">
        <v>16</v>
      </c>
      <c r="B18" s="142"/>
      <c r="C18" s="142"/>
      <c r="D18" s="142"/>
      <c r="E18" s="142"/>
      <c r="F18" s="142"/>
      <c r="G18" s="142"/>
      <c r="H18" s="142"/>
      <c r="I18" s="142"/>
      <c r="J18" s="142"/>
      <c r="K18" s="142"/>
      <c r="L18" s="142"/>
      <c r="M18" s="142"/>
      <c r="N18" s="142"/>
      <c r="O18" s="142"/>
      <c r="P18" s="142"/>
      <c r="Q18" s="142"/>
      <c r="R18" s="142"/>
      <c r="S18" s="142"/>
      <c r="T18" s="142"/>
      <c r="U18" s="142"/>
      <c r="V18" s="142"/>
      <c r="W18" s="142">
        <v>82067.5</v>
      </c>
      <c r="X18" s="142">
        <v>82800.5</v>
      </c>
      <c r="Y18" s="142">
        <v>82858.5</v>
      </c>
      <c r="Z18" s="142">
        <v>85011</v>
      </c>
      <c r="AA18" s="142">
        <v>85309.5</v>
      </c>
      <c r="AB18" s="142">
        <v>85834.5</v>
      </c>
      <c r="AC18" s="142">
        <v>86560</v>
      </c>
      <c r="AD18" s="142">
        <v>87348.5</v>
      </c>
      <c r="AE18" s="142">
        <v>87074</v>
      </c>
      <c r="AF18" s="142">
        <v>88076.5</v>
      </c>
      <c r="AG18" s="142">
        <v>88414.5</v>
      </c>
      <c r="AH18" s="142">
        <v>88604</v>
      </c>
      <c r="AI18" s="142">
        <v>88852.5</v>
      </c>
      <c r="AJ18" s="142">
        <v>90043</v>
      </c>
      <c r="AK18" s="142">
        <v>89956.5</v>
      </c>
      <c r="AL18" s="142">
        <v>90226</v>
      </c>
      <c r="AM18" s="142">
        <v>90475</v>
      </c>
      <c r="AN18" s="142">
        <v>90934.5</v>
      </c>
      <c r="AO18" s="142">
        <v>90911</v>
      </c>
      <c r="AP18" s="142">
        <v>91009</v>
      </c>
      <c r="AQ18" s="142">
        <v>91069</v>
      </c>
      <c r="AR18" s="142">
        <v>91108</v>
      </c>
      <c r="AS18" s="142">
        <v>90520</v>
      </c>
      <c r="AT18" s="142">
        <v>89744</v>
      </c>
      <c r="AU18" s="142">
        <v>88480.5</v>
      </c>
      <c r="AV18" s="142">
        <v>88857</v>
      </c>
      <c r="AW18" s="142">
        <v>89163.5</v>
      </c>
      <c r="AX18" s="142">
        <v>91335.5</v>
      </c>
      <c r="AY18" s="142">
        <v>93147</v>
      </c>
      <c r="AZ18" s="142">
        <v>93212.5</v>
      </c>
      <c r="BA18" s="142">
        <v>93278.5</v>
      </c>
      <c r="BB18" s="142">
        <v>93929.5</v>
      </c>
      <c r="BC18" s="142">
        <v>94176.5</v>
      </c>
      <c r="BD18" s="142">
        <v>94547</v>
      </c>
      <c r="BE18" s="142">
        <v>94630</v>
      </c>
      <c r="BF18" s="142">
        <v>94969</v>
      </c>
      <c r="BG18" s="142">
        <v>95062.5</v>
      </c>
      <c r="BH18" s="142">
        <v>95302.5</v>
      </c>
      <c r="BI18" s="142">
        <v>95473</v>
      </c>
      <c r="BJ18" s="142">
        <v>95607.5</v>
      </c>
      <c r="BK18" s="142">
        <v>95889</v>
      </c>
      <c r="BL18" s="142">
        <v>96163.5</v>
      </c>
      <c r="BM18" s="142">
        <v>96389.5</v>
      </c>
      <c r="BN18" s="142">
        <v>96638</v>
      </c>
      <c r="BO18" s="142">
        <v>96811</v>
      </c>
      <c r="BP18" s="142">
        <v>96905</v>
      </c>
      <c r="BQ18" s="142">
        <v>97000.5</v>
      </c>
      <c r="BR18" s="142">
        <v>97071.5</v>
      </c>
      <c r="BS18" s="142">
        <v>97047</v>
      </c>
      <c r="BT18" s="142">
        <v>97107</v>
      </c>
      <c r="BU18" s="142">
        <v>97189</v>
      </c>
      <c r="BV18" s="142">
        <v>97282</v>
      </c>
      <c r="BW18" s="142">
        <v>97338.5</v>
      </c>
      <c r="BX18" s="142">
        <v>97456.5</v>
      </c>
      <c r="BY18" s="142">
        <v>97593.5</v>
      </c>
      <c r="BZ18" s="142">
        <v>97853.5</v>
      </c>
      <c r="CA18" s="142">
        <v>98042.5</v>
      </c>
      <c r="CB18" s="142">
        <v>98112</v>
      </c>
      <c r="CC18" s="142">
        <v>98230</v>
      </c>
      <c r="CD18" s="142">
        <v>98323.5</v>
      </c>
      <c r="CE18" s="142">
        <v>98398.5</v>
      </c>
      <c r="CF18" s="142">
        <v>98513.5</v>
      </c>
      <c r="CG18" s="142">
        <v>98600</v>
      </c>
      <c r="CH18" s="142">
        <v>98666</v>
      </c>
      <c r="CI18" s="142">
        <v>98749.5</v>
      </c>
      <c r="CJ18" s="142">
        <v>98785</v>
      </c>
      <c r="CK18" s="142">
        <v>98836.5</v>
      </c>
      <c r="CL18" s="142">
        <v>98928</v>
      </c>
      <c r="CM18" s="142">
        <v>98954.5</v>
      </c>
      <c r="CN18" s="142">
        <v>99021</v>
      </c>
      <c r="CO18" s="142">
        <v>99088</v>
      </c>
      <c r="CP18" s="142">
        <v>99132</v>
      </c>
      <c r="CQ18" s="142">
        <v>99194.5</v>
      </c>
      <c r="CR18" s="142">
        <v>99212.5</v>
      </c>
      <c r="CS18" s="142">
        <v>99261.5</v>
      </c>
      <c r="CT18" s="142">
        <v>99282.5</v>
      </c>
      <c r="CU18" s="142">
        <v>99316</v>
      </c>
      <c r="CV18" s="142">
        <v>99325</v>
      </c>
      <c r="CW18" s="142">
        <v>99348.5</v>
      </c>
      <c r="CX18" s="142">
        <v>99387</v>
      </c>
      <c r="CY18" s="142">
        <v>99389.5</v>
      </c>
      <c r="CZ18" s="142">
        <v>99393.5</v>
      </c>
      <c r="DA18" s="142">
        <v>99397.5</v>
      </c>
      <c r="DB18" s="142">
        <v>99424</v>
      </c>
      <c r="DC18" s="142">
        <v>99445.5</v>
      </c>
      <c r="DD18" s="142">
        <v>99455.5</v>
      </c>
      <c r="DE18" s="142">
        <v>99462.5</v>
      </c>
      <c r="DF18" s="142">
        <v>99506.5</v>
      </c>
      <c r="DG18" s="142">
        <v>99503</v>
      </c>
      <c r="DH18" s="142">
        <v>99519</v>
      </c>
      <c r="DI18" s="142">
        <v>99514</v>
      </c>
      <c r="DJ18" s="142">
        <v>99545</v>
      </c>
      <c r="DK18" s="142">
        <v>99552</v>
      </c>
      <c r="DL18" s="142">
        <v>99555.5</v>
      </c>
      <c r="DM18" s="142">
        <v>99575.5</v>
      </c>
      <c r="DN18" s="142">
        <v>99594</v>
      </c>
      <c r="DO18" s="142">
        <v>99611.5</v>
      </c>
      <c r="DP18" s="142"/>
      <c r="DQ18" s="142"/>
    </row>
    <row r="19" spans="1:121">
      <c r="A19" s="140">
        <v>17</v>
      </c>
      <c r="B19" s="142"/>
      <c r="C19" s="142"/>
      <c r="D19" s="142"/>
      <c r="E19" s="142"/>
      <c r="F19" s="142"/>
      <c r="G19" s="142"/>
      <c r="H19" s="142"/>
      <c r="I19" s="142"/>
      <c r="J19" s="142"/>
      <c r="K19" s="142"/>
      <c r="L19" s="142"/>
      <c r="M19" s="142"/>
      <c r="N19" s="142"/>
      <c r="O19" s="142"/>
      <c r="P19" s="142"/>
      <c r="Q19" s="142"/>
      <c r="R19" s="142"/>
      <c r="S19" s="142"/>
      <c r="T19" s="142"/>
      <c r="U19" s="142"/>
      <c r="V19" s="142"/>
      <c r="W19" s="142">
        <v>81912.5</v>
      </c>
      <c r="X19" s="142">
        <v>82651</v>
      </c>
      <c r="Y19" s="142">
        <v>82702</v>
      </c>
      <c r="Z19" s="142">
        <v>84850</v>
      </c>
      <c r="AA19" s="142">
        <v>85148</v>
      </c>
      <c r="AB19" s="142">
        <v>85672.5</v>
      </c>
      <c r="AC19" s="142">
        <v>86379.5</v>
      </c>
      <c r="AD19" s="142">
        <v>87142</v>
      </c>
      <c r="AE19" s="142">
        <v>86813.5</v>
      </c>
      <c r="AF19" s="142">
        <v>87915.5</v>
      </c>
      <c r="AG19" s="142">
        <v>88252.5</v>
      </c>
      <c r="AH19" s="142">
        <v>88481.5</v>
      </c>
      <c r="AI19" s="142">
        <v>88766</v>
      </c>
      <c r="AJ19" s="142">
        <v>89955</v>
      </c>
      <c r="AK19" s="142">
        <v>89868.5</v>
      </c>
      <c r="AL19" s="142">
        <v>90150</v>
      </c>
      <c r="AM19" s="142">
        <v>90405</v>
      </c>
      <c r="AN19" s="142">
        <v>90868</v>
      </c>
      <c r="AO19" s="142">
        <v>90846</v>
      </c>
      <c r="AP19" s="142">
        <v>90944</v>
      </c>
      <c r="AQ19" s="142">
        <v>90998.5</v>
      </c>
      <c r="AR19" s="142">
        <v>91043</v>
      </c>
      <c r="AS19" s="142">
        <v>90452.5</v>
      </c>
      <c r="AT19" s="142">
        <v>89679</v>
      </c>
      <c r="AU19" s="142">
        <v>88419</v>
      </c>
      <c r="AV19" s="142">
        <v>88793</v>
      </c>
      <c r="AW19" s="142">
        <v>89099.5</v>
      </c>
      <c r="AX19" s="142">
        <v>91269</v>
      </c>
      <c r="AY19" s="142">
        <v>93079</v>
      </c>
      <c r="AZ19" s="142">
        <v>93140</v>
      </c>
      <c r="BA19" s="142">
        <v>93203</v>
      </c>
      <c r="BB19" s="142">
        <v>93860.5</v>
      </c>
      <c r="BC19" s="142">
        <v>94096</v>
      </c>
      <c r="BD19" s="142">
        <v>94467</v>
      </c>
      <c r="BE19" s="142">
        <v>94544.5</v>
      </c>
      <c r="BF19" s="142">
        <v>94887.5</v>
      </c>
      <c r="BG19" s="142">
        <v>94986.5</v>
      </c>
      <c r="BH19" s="142">
        <v>95223</v>
      </c>
      <c r="BI19" s="142">
        <v>95396</v>
      </c>
      <c r="BJ19" s="142">
        <v>95529.5</v>
      </c>
      <c r="BK19" s="142">
        <v>95810.5</v>
      </c>
      <c r="BL19" s="142">
        <v>96093.5</v>
      </c>
      <c r="BM19" s="142">
        <v>96319</v>
      </c>
      <c r="BN19" s="142">
        <v>96572.5</v>
      </c>
      <c r="BO19" s="142">
        <v>96752</v>
      </c>
      <c r="BP19" s="142">
        <v>96844.5</v>
      </c>
      <c r="BQ19" s="142">
        <v>96943.5</v>
      </c>
      <c r="BR19" s="142">
        <v>97021.5</v>
      </c>
      <c r="BS19" s="142">
        <v>97003</v>
      </c>
      <c r="BT19" s="142">
        <v>97061.5</v>
      </c>
      <c r="BU19" s="142">
        <v>97147.5</v>
      </c>
      <c r="BV19" s="142">
        <v>97240</v>
      </c>
      <c r="BW19" s="142">
        <v>97301</v>
      </c>
      <c r="BX19" s="142">
        <v>97416.5</v>
      </c>
      <c r="BY19" s="142">
        <v>97551</v>
      </c>
      <c r="BZ19" s="142">
        <v>97816.5</v>
      </c>
      <c r="CA19" s="142">
        <v>98000.5</v>
      </c>
      <c r="CB19" s="142">
        <v>98072</v>
      </c>
      <c r="CC19" s="142">
        <v>98190.5</v>
      </c>
      <c r="CD19" s="142">
        <v>98284</v>
      </c>
      <c r="CE19" s="142">
        <v>98362</v>
      </c>
      <c r="CF19" s="142">
        <v>98483</v>
      </c>
      <c r="CG19" s="142">
        <v>98568.5</v>
      </c>
      <c r="CH19" s="142">
        <v>98634</v>
      </c>
      <c r="CI19" s="142">
        <v>98717</v>
      </c>
      <c r="CJ19" s="142">
        <v>98755</v>
      </c>
      <c r="CK19" s="142">
        <v>98809.5</v>
      </c>
      <c r="CL19" s="142">
        <v>98903.5</v>
      </c>
      <c r="CM19" s="142">
        <v>98931.5</v>
      </c>
      <c r="CN19" s="142">
        <v>98996.5</v>
      </c>
      <c r="CO19" s="142">
        <v>99065</v>
      </c>
      <c r="CP19" s="142">
        <v>99111</v>
      </c>
      <c r="CQ19" s="142">
        <v>99175</v>
      </c>
      <c r="CR19" s="142">
        <v>99191.5</v>
      </c>
      <c r="CS19" s="142">
        <v>99244.5</v>
      </c>
      <c r="CT19" s="142">
        <v>99264.5</v>
      </c>
      <c r="CU19" s="142">
        <v>99295</v>
      </c>
      <c r="CV19" s="142">
        <v>99305.5</v>
      </c>
      <c r="CW19" s="142">
        <v>99331</v>
      </c>
      <c r="CX19" s="142">
        <v>99370.5</v>
      </c>
      <c r="CY19" s="142">
        <v>99373</v>
      </c>
      <c r="CZ19" s="142">
        <v>99377.5</v>
      </c>
      <c r="DA19" s="142">
        <v>99383</v>
      </c>
      <c r="DB19" s="142">
        <v>99409.5</v>
      </c>
      <c r="DC19" s="142">
        <v>99431</v>
      </c>
      <c r="DD19" s="142">
        <v>99442</v>
      </c>
      <c r="DE19" s="142">
        <v>99449.5</v>
      </c>
      <c r="DF19" s="142">
        <v>99494</v>
      </c>
      <c r="DG19" s="142">
        <v>99491</v>
      </c>
      <c r="DH19" s="142">
        <v>99507.5</v>
      </c>
      <c r="DI19" s="142">
        <v>99502.5</v>
      </c>
      <c r="DJ19" s="142">
        <v>99534.5</v>
      </c>
      <c r="DK19" s="142">
        <v>99541.5</v>
      </c>
      <c r="DL19" s="142">
        <v>99545.5</v>
      </c>
      <c r="DM19" s="142">
        <v>99565</v>
      </c>
      <c r="DN19" s="142">
        <v>99584.5</v>
      </c>
      <c r="DO19" s="142">
        <v>99602.5</v>
      </c>
      <c r="DP19" s="142"/>
      <c r="DQ19" s="142"/>
    </row>
    <row r="20" spans="1:121">
      <c r="A20" s="140">
        <v>18</v>
      </c>
      <c r="B20" s="142"/>
      <c r="C20" s="142"/>
      <c r="D20" s="142"/>
      <c r="E20" s="142"/>
      <c r="F20" s="142"/>
      <c r="G20" s="142"/>
      <c r="H20" s="142"/>
      <c r="I20" s="142"/>
      <c r="J20" s="142"/>
      <c r="K20" s="142"/>
      <c r="L20" s="142"/>
      <c r="M20" s="142"/>
      <c r="N20" s="142"/>
      <c r="O20" s="142"/>
      <c r="P20" s="142"/>
      <c r="Q20" s="142"/>
      <c r="R20" s="142"/>
      <c r="S20" s="142"/>
      <c r="T20" s="142"/>
      <c r="U20" s="142"/>
      <c r="V20" s="142"/>
      <c r="W20" s="142">
        <v>81757.5</v>
      </c>
      <c r="X20" s="142">
        <v>82490.5</v>
      </c>
      <c r="Y20" s="142">
        <v>82541</v>
      </c>
      <c r="Z20" s="142">
        <v>84685.5</v>
      </c>
      <c r="AA20" s="142">
        <v>84982.5</v>
      </c>
      <c r="AB20" s="142">
        <v>85489</v>
      </c>
      <c r="AC20" s="142">
        <v>86170</v>
      </c>
      <c r="AD20" s="142">
        <v>86837.5</v>
      </c>
      <c r="AE20" s="142">
        <v>86628.5</v>
      </c>
      <c r="AF20" s="142">
        <v>87728</v>
      </c>
      <c r="AG20" s="142">
        <v>88112</v>
      </c>
      <c r="AH20" s="142">
        <v>88383.5</v>
      </c>
      <c r="AI20" s="142">
        <v>88668</v>
      </c>
      <c r="AJ20" s="142">
        <v>89856</v>
      </c>
      <c r="AK20" s="142">
        <v>89782.5</v>
      </c>
      <c r="AL20" s="142">
        <v>90070.5</v>
      </c>
      <c r="AM20" s="142">
        <v>90331.5</v>
      </c>
      <c r="AN20" s="142">
        <v>90789.5</v>
      </c>
      <c r="AO20" s="142">
        <v>90773</v>
      </c>
      <c r="AP20" s="142">
        <v>90870</v>
      </c>
      <c r="AQ20" s="142">
        <v>90923.5</v>
      </c>
      <c r="AR20" s="142">
        <v>90969.5</v>
      </c>
      <c r="AS20" s="142">
        <v>90377.5</v>
      </c>
      <c r="AT20" s="142">
        <v>89602</v>
      </c>
      <c r="AU20" s="142">
        <v>88351.5</v>
      </c>
      <c r="AV20" s="142">
        <v>88713</v>
      </c>
      <c r="AW20" s="142">
        <v>89030</v>
      </c>
      <c r="AX20" s="142">
        <v>91191.5</v>
      </c>
      <c r="AY20" s="142">
        <v>92996</v>
      </c>
      <c r="AZ20" s="142">
        <v>93057.5</v>
      </c>
      <c r="BA20" s="142">
        <v>93115</v>
      </c>
      <c r="BB20" s="142">
        <v>93768</v>
      </c>
      <c r="BC20" s="142">
        <v>94004</v>
      </c>
      <c r="BD20" s="142">
        <v>94373</v>
      </c>
      <c r="BE20" s="142">
        <v>94452.5</v>
      </c>
      <c r="BF20" s="142">
        <v>94804</v>
      </c>
      <c r="BG20" s="142">
        <v>94899</v>
      </c>
      <c r="BH20" s="142">
        <v>95131.5</v>
      </c>
      <c r="BI20" s="142">
        <v>95304.5</v>
      </c>
      <c r="BJ20" s="142">
        <v>95442.5</v>
      </c>
      <c r="BK20" s="142">
        <v>95731.5</v>
      </c>
      <c r="BL20" s="142">
        <v>96013.5</v>
      </c>
      <c r="BM20" s="142">
        <v>96242</v>
      </c>
      <c r="BN20" s="142">
        <v>96496.5</v>
      </c>
      <c r="BO20" s="142">
        <v>96680.5</v>
      </c>
      <c r="BP20" s="142">
        <v>96780</v>
      </c>
      <c r="BQ20" s="142">
        <v>96883</v>
      </c>
      <c r="BR20" s="142">
        <v>96964</v>
      </c>
      <c r="BS20" s="142">
        <v>96949.5</v>
      </c>
      <c r="BT20" s="142">
        <v>97010</v>
      </c>
      <c r="BU20" s="142">
        <v>97097.5</v>
      </c>
      <c r="BV20" s="142">
        <v>97192</v>
      </c>
      <c r="BW20" s="142">
        <v>97250.5</v>
      </c>
      <c r="BX20" s="142">
        <v>97364.5</v>
      </c>
      <c r="BY20" s="142">
        <v>97502</v>
      </c>
      <c r="BZ20" s="142">
        <v>97771.5</v>
      </c>
      <c r="CA20" s="142">
        <v>97952.5</v>
      </c>
      <c r="CB20" s="142">
        <v>98024.5</v>
      </c>
      <c r="CC20" s="142">
        <v>98148.5</v>
      </c>
      <c r="CD20" s="142">
        <v>98241.5</v>
      </c>
      <c r="CE20" s="142">
        <v>98316.5</v>
      </c>
      <c r="CF20" s="142">
        <v>98439</v>
      </c>
      <c r="CG20" s="142">
        <v>98532.5</v>
      </c>
      <c r="CH20" s="142">
        <v>98597.5</v>
      </c>
      <c r="CI20" s="142">
        <v>98680</v>
      </c>
      <c r="CJ20" s="142">
        <v>98720.5</v>
      </c>
      <c r="CK20" s="142">
        <v>98779</v>
      </c>
      <c r="CL20" s="142">
        <v>98875</v>
      </c>
      <c r="CM20" s="142">
        <v>98904.5</v>
      </c>
      <c r="CN20" s="142">
        <v>98973.5</v>
      </c>
      <c r="CO20" s="142">
        <v>99038.5</v>
      </c>
      <c r="CP20" s="142">
        <v>99085.5</v>
      </c>
      <c r="CQ20" s="142">
        <v>99149</v>
      </c>
      <c r="CR20" s="142">
        <v>99166.5</v>
      </c>
      <c r="CS20" s="142">
        <v>99220.5</v>
      </c>
      <c r="CT20" s="142">
        <v>99242.5</v>
      </c>
      <c r="CU20" s="142">
        <v>99275</v>
      </c>
      <c r="CV20" s="142">
        <v>99284</v>
      </c>
      <c r="CW20" s="142">
        <v>99310</v>
      </c>
      <c r="CX20" s="142">
        <v>99350</v>
      </c>
      <c r="CY20" s="142">
        <v>99354</v>
      </c>
      <c r="CZ20" s="142">
        <v>99359</v>
      </c>
      <c r="DA20" s="142">
        <v>99364</v>
      </c>
      <c r="DB20" s="142">
        <v>99392</v>
      </c>
      <c r="DC20" s="142">
        <v>99414</v>
      </c>
      <c r="DD20" s="142">
        <v>99426</v>
      </c>
      <c r="DE20" s="142">
        <v>99433.5</v>
      </c>
      <c r="DF20" s="142">
        <v>99478</v>
      </c>
      <c r="DG20" s="142">
        <v>99475.5</v>
      </c>
      <c r="DH20" s="142">
        <v>99493</v>
      </c>
      <c r="DI20" s="142">
        <v>99489</v>
      </c>
      <c r="DJ20" s="142">
        <v>99520.5</v>
      </c>
      <c r="DK20" s="142">
        <v>99528.5</v>
      </c>
      <c r="DL20" s="142">
        <v>99533</v>
      </c>
      <c r="DM20" s="142">
        <v>99553.5</v>
      </c>
      <c r="DN20" s="142">
        <v>99573</v>
      </c>
      <c r="DO20" s="142">
        <v>99591</v>
      </c>
      <c r="DP20" s="142"/>
      <c r="DQ20" s="142"/>
    </row>
    <row r="21" spans="1:121">
      <c r="A21" s="140">
        <v>19</v>
      </c>
      <c r="B21" s="142"/>
      <c r="C21" s="142"/>
      <c r="D21" s="142"/>
      <c r="E21" s="142"/>
      <c r="F21" s="142"/>
      <c r="G21" s="142"/>
      <c r="H21" s="142"/>
      <c r="I21" s="142"/>
      <c r="J21" s="142"/>
      <c r="K21" s="142"/>
      <c r="L21" s="142"/>
      <c r="M21" s="142"/>
      <c r="N21" s="142"/>
      <c r="O21" s="142"/>
      <c r="P21" s="142"/>
      <c r="Q21" s="142"/>
      <c r="R21" s="142"/>
      <c r="S21" s="142"/>
      <c r="T21" s="142"/>
      <c r="U21" s="142"/>
      <c r="V21" s="142"/>
      <c r="W21" s="142">
        <v>81579.5</v>
      </c>
      <c r="X21" s="142">
        <v>82311.5</v>
      </c>
      <c r="Y21" s="142">
        <v>82362</v>
      </c>
      <c r="Z21" s="142">
        <v>84501</v>
      </c>
      <c r="AA21" s="142">
        <v>84779</v>
      </c>
      <c r="AB21" s="142">
        <v>85257</v>
      </c>
      <c r="AC21" s="142">
        <v>85832.5</v>
      </c>
      <c r="AD21" s="142">
        <v>86621</v>
      </c>
      <c r="AE21" s="142">
        <v>86412.5</v>
      </c>
      <c r="AF21" s="142">
        <v>87564</v>
      </c>
      <c r="AG21" s="142">
        <v>88001.5</v>
      </c>
      <c r="AH21" s="142">
        <v>88273</v>
      </c>
      <c r="AI21" s="142">
        <v>88557</v>
      </c>
      <c r="AJ21" s="142">
        <v>89759.5</v>
      </c>
      <c r="AK21" s="142">
        <v>89691</v>
      </c>
      <c r="AL21" s="142">
        <v>89976</v>
      </c>
      <c r="AM21" s="142">
        <v>90240</v>
      </c>
      <c r="AN21" s="142">
        <v>90693.5</v>
      </c>
      <c r="AO21" s="142">
        <v>90679</v>
      </c>
      <c r="AP21" s="142">
        <v>90779</v>
      </c>
      <c r="AQ21" s="142">
        <v>90829.5</v>
      </c>
      <c r="AR21" s="142">
        <v>90876.5</v>
      </c>
      <c r="AS21" s="142">
        <v>90285.5</v>
      </c>
      <c r="AT21" s="142">
        <v>89509</v>
      </c>
      <c r="AU21" s="142">
        <v>88263.5</v>
      </c>
      <c r="AV21" s="142">
        <v>88618.5</v>
      </c>
      <c r="AW21" s="142">
        <v>88938.5</v>
      </c>
      <c r="AX21" s="142">
        <v>91092</v>
      </c>
      <c r="AY21" s="142">
        <v>92896</v>
      </c>
      <c r="AZ21" s="142">
        <v>92957</v>
      </c>
      <c r="BA21" s="142">
        <v>92999.5</v>
      </c>
      <c r="BB21" s="142">
        <v>93652</v>
      </c>
      <c r="BC21" s="142">
        <v>93884</v>
      </c>
      <c r="BD21" s="142">
        <v>94258</v>
      </c>
      <c r="BE21" s="142">
        <v>94346.5</v>
      </c>
      <c r="BF21" s="142">
        <v>94693</v>
      </c>
      <c r="BG21" s="142">
        <v>94783.5</v>
      </c>
      <c r="BH21" s="142">
        <v>95015.5</v>
      </c>
      <c r="BI21" s="142">
        <v>95190.5</v>
      </c>
      <c r="BJ21" s="142">
        <v>95333</v>
      </c>
      <c r="BK21" s="142">
        <v>95627.5</v>
      </c>
      <c r="BL21" s="142">
        <v>95915</v>
      </c>
      <c r="BM21" s="142">
        <v>96147.5</v>
      </c>
      <c r="BN21" s="142">
        <v>96402</v>
      </c>
      <c r="BO21" s="142">
        <v>96593</v>
      </c>
      <c r="BP21" s="142">
        <v>96705.5</v>
      </c>
      <c r="BQ21" s="142">
        <v>96810</v>
      </c>
      <c r="BR21" s="142">
        <v>96897.5</v>
      </c>
      <c r="BS21" s="142">
        <v>96878</v>
      </c>
      <c r="BT21" s="142">
        <v>96945.5</v>
      </c>
      <c r="BU21" s="142">
        <v>97028</v>
      </c>
      <c r="BV21" s="142">
        <v>97119</v>
      </c>
      <c r="BW21" s="142">
        <v>97179.5</v>
      </c>
      <c r="BX21" s="142">
        <v>97294.5</v>
      </c>
      <c r="BY21" s="142">
        <v>97430.5</v>
      </c>
      <c r="BZ21" s="142">
        <v>97695.5</v>
      </c>
      <c r="CA21" s="142">
        <v>97878.5</v>
      </c>
      <c r="CB21" s="142">
        <v>97949</v>
      </c>
      <c r="CC21" s="142">
        <v>98075.5</v>
      </c>
      <c r="CD21" s="142">
        <v>98176.5</v>
      </c>
      <c r="CE21" s="142">
        <v>98252</v>
      </c>
      <c r="CF21" s="142">
        <v>98375</v>
      </c>
      <c r="CG21" s="142">
        <v>98473</v>
      </c>
      <c r="CH21" s="142">
        <v>98542</v>
      </c>
      <c r="CI21" s="142">
        <v>98632.5</v>
      </c>
      <c r="CJ21" s="142">
        <v>98676</v>
      </c>
      <c r="CK21" s="142">
        <v>98734</v>
      </c>
      <c r="CL21" s="142">
        <v>98835</v>
      </c>
      <c r="CM21" s="142">
        <v>98867</v>
      </c>
      <c r="CN21" s="142">
        <v>98937.5</v>
      </c>
      <c r="CO21" s="142">
        <v>99001</v>
      </c>
      <c r="CP21" s="142">
        <v>99049.5</v>
      </c>
      <c r="CQ21" s="142">
        <v>99114.5</v>
      </c>
      <c r="CR21" s="142">
        <v>99134</v>
      </c>
      <c r="CS21" s="142">
        <v>99191</v>
      </c>
      <c r="CT21" s="142">
        <v>99216</v>
      </c>
      <c r="CU21" s="142">
        <v>99248.5</v>
      </c>
      <c r="CV21" s="142">
        <v>99258.5</v>
      </c>
      <c r="CW21" s="142">
        <v>99285.5</v>
      </c>
      <c r="CX21" s="142">
        <v>99326</v>
      </c>
      <c r="CY21" s="142">
        <v>99331</v>
      </c>
      <c r="CZ21" s="142">
        <v>99337</v>
      </c>
      <c r="DA21" s="142">
        <v>99343</v>
      </c>
      <c r="DB21" s="142">
        <v>99371</v>
      </c>
      <c r="DC21" s="142">
        <v>99394</v>
      </c>
      <c r="DD21" s="142">
        <v>99406.5</v>
      </c>
      <c r="DE21" s="142">
        <v>99414.5</v>
      </c>
      <c r="DF21" s="142">
        <v>99460.5</v>
      </c>
      <c r="DG21" s="142">
        <v>99459</v>
      </c>
      <c r="DH21" s="142">
        <v>99476.5</v>
      </c>
      <c r="DI21" s="142">
        <v>99473</v>
      </c>
      <c r="DJ21" s="142">
        <v>99505</v>
      </c>
      <c r="DK21" s="142">
        <v>99513</v>
      </c>
      <c r="DL21" s="142">
        <v>99518.5</v>
      </c>
      <c r="DM21" s="142">
        <v>99539</v>
      </c>
      <c r="DN21" s="142">
        <v>99559</v>
      </c>
      <c r="DO21" s="142">
        <v>99578</v>
      </c>
      <c r="DP21" s="142"/>
      <c r="DQ21" s="142"/>
    </row>
    <row r="22" spans="1:121">
      <c r="A22" s="140">
        <v>20</v>
      </c>
      <c r="B22" s="142"/>
      <c r="C22" s="142"/>
      <c r="D22" s="142"/>
      <c r="E22" s="142"/>
      <c r="F22" s="142"/>
      <c r="G22" s="142"/>
      <c r="H22" s="142"/>
      <c r="I22" s="142"/>
      <c r="J22" s="142"/>
      <c r="K22" s="142"/>
      <c r="L22" s="142"/>
      <c r="M22" s="142"/>
      <c r="N22" s="142"/>
      <c r="O22" s="142"/>
      <c r="P22" s="142"/>
      <c r="Q22" s="142"/>
      <c r="R22" s="142"/>
      <c r="S22" s="142"/>
      <c r="T22" s="142"/>
      <c r="U22" s="142"/>
      <c r="V22" s="142"/>
      <c r="W22" s="142">
        <v>81388</v>
      </c>
      <c r="X22" s="142">
        <v>82118</v>
      </c>
      <c r="Y22" s="142">
        <v>82168</v>
      </c>
      <c r="Z22" s="142">
        <v>84282.5</v>
      </c>
      <c r="AA22" s="142">
        <v>84530.5</v>
      </c>
      <c r="AB22" s="142">
        <v>84896</v>
      </c>
      <c r="AC22" s="142">
        <v>85581</v>
      </c>
      <c r="AD22" s="142">
        <v>86366.5</v>
      </c>
      <c r="AE22" s="142">
        <v>86222</v>
      </c>
      <c r="AF22" s="142">
        <v>87442.5</v>
      </c>
      <c r="AG22" s="142">
        <v>87879.5</v>
      </c>
      <c r="AH22" s="142">
        <v>88150</v>
      </c>
      <c r="AI22" s="142">
        <v>88445.5</v>
      </c>
      <c r="AJ22" s="142">
        <v>89652</v>
      </c>
      <c r="AK22" s="142">
        <v>89592</v>
      </c>
      <c r="AL22" s="142">
        <v>89872</v>
      </c>
      <c r="AM22" s="142">
        <v>90130.5</v>
      </c>
      <c r="AN22" s="142">
        <v>90585</v>
      </c>
      <c r="AO22" s="142">
        <v>90574.5</v>
      </c>
      <c r="AP22" s="142">
        <v>90671</v>
      </c>
      <c r="AQ22" s="142">
        <v>90723.5</v>
      </c>
      <c r="AR22" s="142">
        <v>90770.5</v>
      </c>
      <c r="AS22" s="142">
        <v>90181.5</v>
      </c>
      <c r="AT22" s="142">
        <v>89411.5</v>
      </c>
      <c r="AU22" s="142">
        <v>88161.5</v>
      </c>
      <c r="AV22" s="142">
        <v>88514.5</v>
      </c>
      <c r="AW22" s="142">
        <v>88840</v>
      </c>
      <c r="AX22" s="142">
        <v>90992.5</v>
      </c>
      <c r="AY22" s="142">
        <v>92796</v>
      </c>
      <c r="AZ22" s="142">
        <v>92846.5</v>
      </c>
      <c r="BA22" s="142">
        <v>92880</v>
      </c>
      <c r="BB22" s="142">
        <v>93532</v>
      </c>
      <c r="BC22" s="142">
        <v>93766</v>
      </c>
      <c r="BD22" s="142">
        <v>94153</v>
      </c>
      <c r="BE22" s="142">
        <v>94233</v>
      </c>
      <c r="BF22" s="142">
        <v>94579.5</v>
      </c>
      <c r="BG22" s="142">
        <v>94670.5</v>
      </c>
      <c r="BH22" s="142">
        <v>94900</v>
      </c>
      <c r="BI22" s="142">
        <v>95080.5</v>
      </c>
      <c r="BJ22" s="142">
        <v>95231</v>
      </c>
      <c r="BK22" s="142">
        <v>95523.5</v>
      </c>
      <c r="BL22" s="142">
        <v>95813.5</v>
      </c>
      <c r="BM22" s="142">
        <v>96054.5</v>
      </c>
      <c r="BN22" s="142">
        <v>96308.5</v>
      </c>
      <c r="BO22" s="142">
        <v>96516.5</v>
      </c>
      <c r="BP22" s="142">
        <v>96632.5</v>
      </c>
      <c r="BQ22" s="142">
        <v>96735.5</v>
      </c>
      <c r="BR22" s="142">
        <v>96825.5</v>
      </c>
      <c r="BS22" s="142">
        <v>96813</v>
      </c>
      <c r="BT22" s="142">
        <v>96878.5</v>
      </c>
      <c r="BU22" s="142">
        <v>96948</v>
      </c>
      <c r="BV22" s="142">
        <v>97037</v>
      </c>
      <c r="BW22" s="142">
        <v>97103</v>
      </c>
      <c r="BX22" s="142">
        <v>97219</v>
      </c>
      <c r="BY22" s="142">
        <v>97357.5</v>
      </c>
      <c r="BZ22" s="142">
        <v>97625.5</v>
      </c>
      <c r="CA22" s="142">
        <v>97802.5</v>
      </c>
      <c r="CB22" s="142">
        <v>97880</v>
      </c>
      <c r="CC22" s="142">
        <v>98012.5</v>
      </c>
      <c r="CD22" s="142">
        <v>98114.5</v>
      </c>
      <c r="CE22" s="142">
        <v>98187.5</v>
      </c>
      <c r="CF22" s="142">
        <v>98319</v>
      </c>
      <c r="CG22" s="142">
        <v>98416.5</v>
      </c>
      <c r="CH22" s="142">
        <v>98489</v>
      </c>
      <c r="CI22" s="142">
        <v>98588</v>
      </c>
      <c r="CJ22" s="142">
        <v>98634.5</v>
      </c>
      <c r="CK22" s="142">
        <v>98688.5</v>
      </c>
      <c r="CL22" s="142">
        <v>98797</v>
      </c>
      <c r="CM22" s="142">
        <v>98833.5</v>
      </c>
      <c r="CN22" s="142">
        <v>98902.5</v>
      </c>
      <c r="CO22" s="142">
        <v>98964</v>
      </c>
      <c r="CP22" s="142">
        <v>99016.5</v>
      </c>
      <c r="CQ22" s="142">
        <v>99082.5</v>
      </c>
      <c r="CR22" s="142">
        <v>99104</v>
      </c>
      <c r="CS22" s="142">
        <v>99159.5</v>
      </c>
      <c r="CT22" s="142">
        <v>99186</v>
      </c>
      <c r="CU22" s="142">
        <v>99220</v>
      </c>
      <c r="CV22" s="142">
        <v>99231.5</v>
      </c>
      <c r="CW22" s="142">
        <v>99259</v>
      </c>
      <c r="CX22" s="142">
        <v>99300.5</v>
      </c>
      <c r="CY22" s="142">
        <v>99305.5</v>
      </c>
      <c r="CZ22" s="142">
        <v>99312.5</v>
      </c>
      <c r="DA22" s="142">
        <v>99320</v>
      </c>
      <c r="DB22" s="142">
        <v>99348.5</v>
      </c>
      <c r="DC22" s="142">
        <v>99372.5</v>
      </c>
      <c r="DD22" s="142">
        <v>99385</v>
      </c>
      <c r="DE22" s="142">
        <v>99394</v>
      </c>
      <c r="DF22" s="142">
        <v>99441</v>
      </c>
      <c r="DG22" s="142">
        <v>99439</v>
      </c>
      <c r="DH22" s="142">
        <v>99457.5</v>
      </c>
      <c r="DI22" s="142">
        <v>99454.5</v>
      </c>
      <c r="DJ22" s="142">
        <v>99487.5</v>
      </c>
      <c r="DK22" s="142">
        <v>99497</v>
      </c>
      <c r="DL22" s="142">
        <v>99502</v>
      </c>
      <c r="DM22" s="142">
        <v>99523.5</v>
      </c>
      <c r="DN22" s="142">
        <v>99544</v>
      </c>
      <c r="DO22" s="142">
        <v>99563.5</v>
      </c>
      <c r="DP22" s="142"/>
      <c r="DQ22" s="142"/>
    </row>
    <row r="23" spans="1:121">
      <c r="A23" s="140">
        <v>21</v>
      </c>
      <c r="B23" s="142"/>
      <c r="C23" s="142"/>
      <c r="D23" s="142"/>
      <c r="E23" s="142"/>
      <c r="F23" s="142"/>
      <c r="G23" s="142"/>
      <c r="H23" s="142"/>
      <c r="I23" s="142"/>
      <c r="J23" s="142"/>
      <c r="K23" s="142"/>
      <c r="L23" s="142"/>
      <c r="M23" s="142"/>
      <c r="N23" s="142"/>
      <c r="O23" s="142"/>
      <c r="P23" s="142"/>
      <c r="Q23" s="142"/>
      <c r="R23" s="142"/>
      <c r="S23" s="142"/>
      <c r="T23" s="142"/>
      <c r="U23" s="142"/>
      <c r="V23" s="142"/>
      <c r="W23" s="142">
        <v>81184</v>
      </c>
      <c r="X23" s="142">
        <v>81912.5</v>
      </c>
      <c r="Y23" s="142">
        <v>81942</v>
      </c>
      <c r="Z23" s="142">
        <v>84018</v>
      </c>
      <c r="AA23" s="142">
        <v>84148.5</v>
      </c>
      <c r="AB23" s="142">
        <v>84611</v>
      </c>
      <c r="AC23" s="142">
        <v>85294</v>
      </c>
      <c r="AD23" s="142">
        <v>86149.5</v>
      </c>
      <c r="AE23" s="142">
        <v>86092.5</v>
      </c>
      <c r="AF23" s="142">
        <v>87310.5</v>
      </c>
      <c r="AG23" s="142">
        <v>87746.5</v>
      </c>
      <c r="AH23" s="142">
        <v>88032</v>
      </c>
      <c r="AI23" s="142">
        <v>88334</v>
      </c>
      <c r="AJ23" s="142">
        <v>89537.5</v>
      </c>
      <c r="AK23" s="142">
        <v>89480</v>
      </c>
      <c r="AL23" s="142">
        <v>89750.5</v>
      </c>
      <c r="AM23" s="142">
        <v>90016.5</v>
      </c>
      <c r="AN23" s="142">
        <v>90473</v>
      </c>
      <c r="AO23" s="142">
        <v>90459.5</v>
      </c>
      <c r="AP23" s="142">
        <v>90564.5</v>
      </c>
      <c r="AQ23" s="142">
        <v>90611.5</v>
      </c>
      <c r="AR23" s="142">
        <v>90669.5</v>
      </c>
      <c r="AS23" s="142">
        <v>90077</v>
      </c>
      <c r="AT23" s="142">
        <v>89315.5</v>
      </c>
      <c r="AU23" s="142">
        <v>88060</v>
      </c>
      <c r="AV23" s="142">
        <v>88409.5</v>
      </c>
      <c r="AW23" s="142">
        <v>88742</v>
      </c>
      <c r="AX23" s="142">
        <v>90900</v>
      </c>
      <c r="AY23" s="142">
        <v>92689.5</v>
      </c>
      <c r="AZ23" s="142">
        <v>92732.5</v>
      </c>
      <c r="BA23" s="142">
        <v>92760.5</v>
      </c>
      <c r="BB23" s="142">
        <v>93419</v>
      </c>
      <c r="BC23" s="142">
        <v>93662</v>
      </c>
      <c r="BD23" s="142">
        <v>94043</v>
      </c>
      <c r="BE23" s="142">
        <v>94124</v>
      </c>
      <c r="BF23" s="142">
        <v>94466</v>
      </c>
      <c r="BG23" s="142">
        <v>94557</v>
      </c>
      <c r="BH23" s="142">
        <v>94797.5</v>
      </c>
      <c r="BI23" s="142">
        <v>94978</v>
      </c>
      <c r="BJ23" s="142">
        <v>95132.5</v>
      </c>
      <c r="BK23" s="142">
        <v>95434</v>
      </c>
      <c r="BL23" s="142">
        <v>95722</v>
      </c>
      <c r="BM23" s="142">
        <v>95969.5</v>
      </c>
      <c r="BN23" s="142">
        <v>96229</v>
      </c>
      <c r="BO23" s="142">
        <v>96445</v>
      </c>
      <c r="BP23" s="142">
        <v>96561</v>
      </c>
      <c r="BQ23" s="142">
        <v>96662</v>
      </c>
      <c r="BR23" s="142">
        <v>96757</v>
      </c>
      <c r="BS23" s="142">
        <v>96740</v>
      </c>
      <c r="BT23" s="142">
        <v>96803.5</v>
      </c>
      <c r="BU23" s="142">
        <v>96874.5</v>
      </c>
      <c r="BV23" s="142">
        <v>96969</v>
      </c>
      <c r="BW23" s="142">
        <v>97031</v>
      </c>
      <c r="BX23" s="142">
        <v>97155</v>
      </c>
      <c r="BY23" s="142">
        <v>97286.5</v>
      </c>
      <c r="BZ23" s="142">
        <v>97555.5</v>
      </c>
      <c r="CA23" s="142">
        <v>97734.5</v>
      </c>
      <c r="CB23" s="142">
        <v>97816</v>
      </c>
      <c r="CC23" s="142">
        <v>97951</v>
      </c>
      <c r="CD23" s="142">
        <v>98049</v>
      </c>
      <c r="CE23" s="142">
        <v>98128</v>
      </c>
      <c r="CF23" s="142">
        <v>98263.5</v>
      </c>
      <c r="CG23" s="142">
        <v>98365</v>
      </c>
      <c r="CH23" s="142">
        <v>98442</v>
      </c>
      <c r="CI23" s="142">
        <v>98549.5</v>
      </c>
      <c r="CJ23" s="142">
        <v>98592.5</v>
      </c>
      <c r="CK23" s="142">
        <v>98646</v>
      </c>
      <c r="CL23" s="142">
        <v>98760</v>
      </c>
      <c r="CM23" s="142">
        <v>98797</v>
      </c>
      <c r="CN23" s="142">
        <v>98864</v>
      </c>
      <c r="CO23" s="142">
        <v>98927</v>
      </c>
      <c r="CP23" s="142">
        <v>98985.5</v>
      </c>
      <c r="CQ23" s="142">
        <v>99053.5</v>
      </c>
      <c r="CR23" s="142">
        <v>99070</v>
      </c>
      <c r="CS23" s="142">
        <v>99128</v>
      </c>
      <c r="CT23" s="142">
        <v>99155.5</v>
      </c>
      <c r="CU23" s="142">
        <v>99191</v>
      </c>
      <c r="CV23" s="142">
        <v>99202.5</v>
      </c>
      <c r="CW23" s="142">
        <v>99231.5</v>
      </c>
      <c r="CX23" s="142">
        <v>99273.5</v>
      </c>
      <c r="CY23" s="142">
        <v>99280</v>
      </c>
      <c r="CZ23" s="142">
        <v>99287.5</v>
      </c>
      <c r="DA23" s="142">
        <v>99295.5</v>
      </c>
      <c r="DB23" s="142">
        <v>99325</v>
      </c>
      <c r="DC23" s="142">
        <v>99349.5</v>
      </c>
      <c r="DD23" s="142">
        <v>99363</v>
      </c>
      <c r="DE23" s="142">
        <v>99372.5</v>
      </c>
      <c r="DF23" s="142">
        <v>99420</v>
      </c>
      <c r="DG23" s="142">
        <v>99419.5</v>
      </c>
      <c r="DH23" s="142">
        <v>99438.5</v>
      </c>
      <c r="DI23" s="142">
        <v>99436</v>
      </c>
      <c r="DJ23" s="142">
        <v>99469.5</v>
      </c>
      <c r="DK23" s="142">
        <v>99479</v>
      </c>
      <c r="DL23" s="142">
        <v>99485.5</v>
      </c>
      <c r="DM23" s="142">
        <v>99507</v>
      </c>
      <c r="DN23" s="142">
        <v>99528</v>
      </c>
      <c r="DO23" s="142">
        <v>99548</v>
      </c>
      <c r="DP23" s="142"/>
      <c r="DQ23" s="142"/>
    </row>
    <row r="24" spans="1:121">
      <c r="A24" s="140">
        <v>22</v>
      </c>
      <c r="B24" s="142"/>
      <c r="C24" s="142"/>
      <c r="D24" s="142"/>
      <c r="E24" s="142"/>
      <c r="F24" s="142"/>
      <c r="G24" s="142"/>
      <c r="H24" s="142"/>
      <c r="I24" s="142"/>
      <c r="J24" s="142"/>
      <c r="K24" s="142"/>
      <c r="L24" s="142"/>
      <c r="M24" s="142"/>
      <c r="N24" s="142"/>
      <c r="O24" s="142"/>
      <c r="P24" s="142"/>
      <c r="Q24" s="142"/>
      <c r="R24" s="142"/>
      <c r="S24" s="142"/>
      <c r="T24" s="142"/>
      <c r="U24" s="142"/>
      <c r="V24" s="142"/>
      <c r="W24" s="142">
        <v>80971.5</v>
      </c>
      <c r="X24" s="142">
        <v>81675.5</v>
      </c>
      <c r="Y24" s="142">
        <v>81673</v>
      </c>
      <c r="Z24" s="142">
        <v>83621</v>
      </c>
      <c r="AA24" s="142">
        <v>83844</v>
      </c>
      <c r="AB24" s="142">
        <v>84305</v>
      </c>
      <c r="AC24" s="142">
        <v>85062.5</v>
      </c>
      <c r="AD24" s="142">
        <v>86012</v>
      </c>
      <c r="AE24" s="142">
        <v>85954.5</v>
      </c>
      <c r="AF24" s="142">
        <v>87170.5</v>
      </c>
      <c r="AG24" s="142">
        <v>87623</v>
      </c>
      <c r="AH24" s="142">
        <v>87912.5</v>
      </c>
      <c r="AI24" s="142">
        <v>88218.5</v>
      </c>
      <c r="AJ24" s="142">
        <v>89424</v>
      </c>
      <c r="AK24" s="142">
        <v>89354.5</v>
      </c>
      <c r="AL24" s="142">
        <v>89632.5</v>
      </c>
      <c r="AM24" s="142">
        <v>89904.5</v>
      </c>
      <c r="AN24" s="142">
        <v>90364.5</v>
      </c>
      <c r="AO24" s="142">
        <v>90355.5</v>
      </c>
      <c r="AP24" s="142">
        <v>90443</v>
      </c>
      <c r="AQ24" s="142">
        <v>90508</v>
      </c>
      <c r="AR24" s="142">
        <v>90559</v>
      </c>
      <c r="AS24" s="142">
        <v>89977.5</v>
      </c>
      <c r="AT24" s="142">
        <v>89217</v>
      </c>
      <c r="AU24" s="142">
        <v>87961</v>
      </c>
      <c r="AV24" s="142">
        <v>88311</v>
      </c>
      <c r="AW24" s="142">
        <v>88647.5</v>
      </c>
      <c r="AX24" s="142">
        <v>90792.5</v>
      </c>
      <c r="AY24" s="142">
        <v>92581</v>
      </c>
      <c r="AZ24" s="142">
        <v>92619.5</v>
      </c>
      <c r="BA24" s="142">
        <v>92648.5</v>
      </c>
      <c r="BB24" s="142">
        <v>93316.5</v>
      </c>
      <c r="BC24" s="142">
        <v>93558</v>
      </c>
      <c r="BD24" s="142">
        <v>93942.5</v>
      </c>
      <c r="BE24" s="142">
        <v>94013.5</v>
      </c>
      <c r="BF24" s="142">
        <v>94363</v>
      </c>
      <c r="BG24" s="142">
        <v>94454</v>
      </c>
      <c r="BH24" s="142">
        <v>94700</v>
      </c>
      <c r="BI24" s="142">
        <v>94885</v>
      </c>
      <c r="BJ24" s="142">
        <v>95040.5</v>
      </c>
      <c r="BK24" s="142">
        <v>95345.5</v>
      </c>
      <c r="BL24" s="142">
        <v>95637.5</v>
      </c>
      <c r="BM24" s="142">
        <v>95894.5</v>
      </c>
      <c r="BN24" s="142">
        <v>96156</v>
      </c>
      <c r="BO24" s="142">
        <v>96375.5</v>
      </c>
      <c r="BP24" s="142">
        <v>96492.5</v>
      </c>
      <c r="BQ24" s="142">
        <v>96594.5</v>
      </c>
      <c r="BR24" s="142">
        <v>96688</v>
      </c>
      <c r="BS24" s="142">
        <v>96665</v>
      </c>
      <c r="BT24" s="142">
        <v>96731.5</v>
      </c>
      <c r="BU24" s="142">
        <v>96802</v>
      </c>
      <c r="BV24" s="142">
        <v>96903.5</v>
      </c>
      <c r="BW24" s="142">
        <v>96963.5</v>
      </c>
      <c r="BX24" s="142">
        <v>97083</v>
      </c>
      <c r="BY24" s="142">
        <v>97230.5</v>
      </c>
      <c r="BZ24" s="142">
        <v>97491.5</v>
      </c>
      <c r="CA24" s="142">
        <v>97673.5</v>
      </c>
      <c r="CB24" s="142">
        <v>97751</v>
      </c>
      <c r="CC24" s="142">
        <v>97891.5</v>
      </c>
      <c r="CD24" s="142">
        <v>97995.5</v>
      </c>
      <c r="CE24" s="142">
        <v>98075</v>
      </c>
      <c r="CF24" s="142">
        <v>98215.5</v>
      </c>
      <c r="CG24" s="142">
        <v>98319</v>
      </c>
      <c r="CH24" s="142">
        <v>98401.5</v>
      </c>
      <c r="CI24" s="142">
        <v>98508</v>
      </c>
      <c r="CJ24" s="142">
        <v>98552</v>
      </c>
      <c r="CK24" s="142">
        <v>98610.5</v>
      </c>
      <c r="CL24" s="142">
        <v>98722.5</v>
      </c>
      <c r="CM24" s="142">
        <v>98756</v>
      </c>
      <c r="CN24" s="142">
        <v>98829.5</v>
      </c>
      <c r="CO24" s="142">
        <v>98896.5</v>
      </c>
      <c r="CP24" s="142">
        <v>98955.5</v>
      </c>
      <c r="CQ24" s="142">
        <v>99019.5</v>
      </c>
      <c r="CR24" s="142">
        <v>99038</v>
      </c>
      <c r="CS24" s="142">
        <v>99096.5</v>
      </c>
      <c r="CT24" s="142">
        <v>99125.5</v>
      </c>
      <c r="CU24" s="142">
        <v>99161.5</v>
      </c>
      <c r="CV24" s="142">
        <v>99174</v>
      </c>
      <c r="CW24" s="142">
        <v>99204</v>
      </c>
      <c r="CX24" s="142">
        <v>99247</v>
      </c>
      <c r="CY24" s="142">
        <v>99254</v>
      </c>
      <c r="CZ24" s="142">
        <v>99263</v>
      </c>
      <c r="DA24" s="142">
        <v>99271</v>
      </c>
      <c r="DB24" s="142">
        <v>99302</v>
      </c>
      <c r="DC24" s="142">
        <v>99327</v>
      </c>
      <c r="DD24" s="142">
        <v>99341</v>
      </c>
      <c r="DE24" s="142">
        <v>99352</v>
      </c>
      <c r="DF24" s="142">
        <v>99399.5</v>
      </c>
      <c r="DG24" s="142">
        <v>99399.5</v>
      </c>
      <c r="DH24" s="142">
        <v>99419</v>
      </c>
      <c r="DI24" s="142">
        <v>99417</v>
      </c>
      <c r="DJ24" s="142">
        <v>99451.5</v>
      </c>
      <c r="DK24" s="142">
        <v>99461.5</v>
      </c>
      <c r="DL24" s="142">
        <v>99468</v>
      </c>
      <c r="DM24" s="142">
        <v>99490.5</v>
      </c>
      <c r="DN24" s="142">
        <v>99511.5</v>
      </c>
      <c r="DO24" s="142">
        <v>99532</v>
      </c>
      <c r="DP24" s="142"/>
      <c r="DQ24" s="142"/>
    </row>
    <row r="25" spans="1:121">
      <c r="A25" s="140">
        <v>23</v>
      </c>
      <c r="B25" s="142"/>
      <c r="C25" s="142"/>
      <c r="D25" s="142"/>
      <c r="E25" s="142"/>
      <c r="F25" s="142"/>
      <c r="G25" s="142"/>
      <c r="H25" s="142"/>
      <c r="I25" s="142"/>
      <c r="J25" s="142"/>
      <c r="K25" s="142"/>
      <c r="L25" s="142"/>
      <c r="M25" s="142"/>
      <c r="N25" s="142"/>
      <c r="O25" s="142"/>
      <c r="P25" s="142"/>
      <c r="Q25" s="142"/>
      <c r="R25" s="142"/>
      <c r="S25" s="142"/>
      <c r="T25" s="142"/>
      <c r="U25" s="142"/>
      <c r="V25" s="142"/>
      <c r="W25" s="142">
        <v>80740.5</v>
      </c>
      <c r="X25" s="142">
        <v>81411.5</v>
      </c>
      <c r="Y25" s="142">
        <v>81292.5</v>
      </c>
      <c r="Z25" s="142">
        <v>83312.5</v>
      </c>
      <c r="AA25" s="142">
        <v>83535</v>
      </c>
      <c r="AB25" s="142">
        <v>84087.5</v>
      </c>
      <c r="AC25" s="142">
        <v>84921.5</v>
      </c>
      <c r="AD25" s="142">
        <v>85868.5</v>
      </c>
      <c r="AE25" s="142">
        <v>85811.5</v>
      </c>
      <c r="AF25" s="142">
        <v>87041.5</v>
      </c>
      <c r="AG25" s="142">
        <v>87496.5</v>
      </c>
      <c r="AH25" s="142">
        <v>87792</v>
      </c>
      <c r="AI25" s="142">
        <v>88099</v>
      </c>
      <c r="AJ25" s="142">
        <v>89308.5</v>
      </c>
      <c r="AK25" s="142">
        <v>89235</v>
      </c>
      <c r="AL25" s="142">
        <v>89520</v>
      </c>
      <c r="AM25" s="142">
        <v>89791</v>
      </c>
      <c r="AN25" s="142">
        <v>90257.5</v>
      </c>
      <c r="AO25" s="142">
        <v>90247</v>
      </c>
      <c r="AP25" s="142">
        <v>90339.5</v>
      </c>
      <c r="AQ25" s="142">
        <v>90406</v>
      </c>
      <c r="AR25" s="142">
        <v>90456.5</v>
      </c>
      <c r="AS25" s="142">
        <v>89882</v>
      </c>
      <c r="AT25" s="142">
        <v>89116.5</v>
      </c>
      <c r="AU25" s="142">
        <v>87859</v>
      </c>
      <c r="AV25" s="142">
        <v>88214</v>
      </c>
      <c r="AW25" s="142">
        <v>88552</v>
      </c>
      <c r="AX25" s="142">
        <v>90688.5</v>
      </c>
      <c r="AY25" s="142">
        <v>92474.5</v>
      </c>
      <c r="AZ25" s="142">
        <v>92510.5</v>
      </c>
      <c r="BA25" s="142">
        <v>92554.5</v>
      </c>
      <c r="BB25" s="142">
        <v>93223</v>
      </c>
      <c r="BC25" s="142">
        <v>93459.5</v>
      </c>
      <c r="BD25" s="142">
        <v>93843</v>
      </c>
      <c r="BE25" s="142">
        <v>93915</v>
      </c>
      <c r="BF25" s="142">
        <v>94259.5</v>
      </c>
      <c r="BG25" s="142">
        <v>94357</v>
      </c>
      <c r="BH25" s="142">
        <v>94613</v>
      </c>
      <c r="BI25" s="142">
        <v>94804</v>
      </c>
      <c r="BJ25" s="142">
        <v>94956.5</v>
      </c>
      <c r="BK25" s="142">
        <v>95261.5</v>
      </c>
      <c r="BL25" s="142">
        <v>95558.5</v>
      </c>
      <c r="BM25" s="142">
        <v>95823.5</v>
      </c>
      <c r="BN25" s="142">
        <v>96087.5</v>
      </c>
      <c r="BO25" s="142">
        <v>96309</v>
      </c>
      <c r="BP25" s="142">
        <v>96425</v>
      </c>
      <c r="BQ25" s="142">
        <v>96524.5</v>
      </c>
      <c r="BR25" s="142">
        <v>96615.5</v>
      </c>
      <c r="BS25" s="142">
        <v>96593</v>
      </c>
      <c r="BT25" s="142">
        <v>96662.5</v>
      </c>
      <c r="BU25" s="142">
        <v>96734</v>
      </c>
      <c r="BV25" s="142">
        <v>96837.5</v>
      </c>
      <c r="BW25" s="142">
        <v>96900</v>
      </c>
      <c r="BX25" s="142">
        <v>97021</v>
      </c>
      <c r="BY25" s="142">
        <v>97174</v>
      </c>
      <c r="BZ25" s="142">
        <v>97430.5</v>
      </c>
      <c r="CA25" s="142">
        <v>97615</v>
      </c>
      <c r="CB25" s="142">
        <v>97699.5</v>
      </c>
      <c r="CC25" s="142">
        <v>97836.5</v>
      </c>
      <c r="CD25" s="142">
        <v>97946</v>
      </c>
      <c r="CE25" s="142">
        <v>98023.5</v>
      </c>
      <c r="CF25" s="142">
        <v>98172.5</v>
      </c>
      <c r="CG25" s="142">
        <v>98278.5</v>
      </c>
      <c r="CH25" s="142">
        <v>98356</v>
      </c>
      <c r="CI25" s="142">
        <v>98469.5</v>
      </c>
      <c r="CJ25" s="142">
        <v>98515</v>
      </c>
      <c r="CK25" s="142">
        <v>98573</v>
      </c>
      <c r="CL25" s="142">
        <v>98686.5</v>
      </c>
      <c r="CM25" s="142">
        <v>98716.5</v>
      </c>
      <c r="CN25" s="142">
        <v>98797</v>
      </c>
      <c r="CO25" s="142">
        <v>98868.5</v>
      </c>
      <c r="CP25" s="142">
        <v>98927</v>
      </c>
      <c r="CQ25" s="142">
        <v>98987</v>
      </c>
      <c r="CR25" s="142">
        <v>99006.5</v>
      </c>
      <c r="CS25" s="142">
        <v>99066.5</v>
      </c>
      <c r="CT25" s="142">
        <v>99096</v>
      </c>
      <c r="CU25" s="142">
        <v>99133.5</v>
      </c>
      <c r="CV25" s="142">
        <v>99147</v>
      </c>
      <c r="CW25" s="142">
        <v>99177</v>
      </c>
      <c r="CX25" s="142">
        <v>99221</v>
      </c>
      <c r="CY25" s="142">
        <v>99229</v>
      </c>
      <c r="CZ25" s="142">
        <v>99238</v>
      </c>
      <c r="DA25" s="142">
        <v>99247.5</v>
      </c>
      <c r="DB25" s="142">
        <v>99279</v>
      </c>
      <c r="DC25" s="142">
        <v>99304.5</v>
      </c>
      <c r="DD25" s="142">
        <v>99319.5</v>
      </c>
      <c r="DE25" s="142">
        <v>99330.5</v>
      </c>
      <c r="DF25" s="142">
        <v>99379.5</v>
      </c>
      <c r="DG25" s="142">
        <v>99380</v>
      </c>
      <c r="DH25" s="142">
        <v>99400</v>
      </c>
      <c r="DI25" s="142">
        <v>99399</v>
      </c>
      <c r="DJ25" s="142">
        <v>99433.5</v>
      </c>
      <c r="DK25" s="142">
        <v>99444.5</v>
      </c>
      <c r="DL25" s="142">
        <v>99451.5</v>
      </c>
      <c r="DM25" s="142">
        <v>99474.5</v>
      </c>
      <c r="DN25" s="142">
        <v>99496.5</v>
      </c>
      <c r="DO25" s="142">
        <v>99517</v>
      </c>
      <c r="DP25" s="142"/>
      <c r="DQ25" s="142"/>
    </row>
    <row r="26" spans="1:121">
      <c r="A26" s="140">
        <v>24</v>
      </c>
      <c r="B26" s="142"/>
      <c r="C26" s="142"/>
      <c r="D26" s="142"/>
      <c r="E26" s="142"/>
      <c r="F26" s="142"/>
      <c r="G26" s="142"/>
      <c r="H26" s="142"/>
      <c r="I26" s="142"/>
      <c r="J26" s="142"/>
      <c r="K26" s="142"/>
      <c r="L26" s="142"/>
      <c r="M26" s="142"/>
      <c r="N26" s="142"/>
      <c r="O26" s="142"/>
      <c r="P26" s="142"/>
      <c r="Q26" s="142"/>
      <c r="R26" s="142"/>
      <c r="S26" s="142"/>
      <c r="T26" s="142"/>
      <c r="U26" s="142"/>
      <c r="V26" s="142"/>
      <c r="W26" s="142">
        <v>80478</v>
      </c>
      <c r="X26" s="142">
        <v>81030.5</v>
      </c>
      <c r="Y26" s="142">
        <v>80993.5</v>
      </c>
      <c r="Z26" s="142">
        <v>83006</v>
      </c>
      <c r="AA26" s="142">
        <v>83319</v>
      </c>
      <c r="AB26" s="142">
        <v>83943.5</v>
      </c>
      <c r="AC26" s="142">
        <v>84776</v>
      </c>
      <c r="AD26" s="142">
        <v>85722</v>
      </c>
      <c r="AE26" s="142">
        <v>85685</v>
      </c>
      <c r="AF26" s="142">
        <v>86913</v>
      </c>
      <c r="AG26" s="142">
        <v>87376.5</v>
      </c>
      <c r="AH26" s="142">
        <v>87670</v>
      </c>
      <c r="AI26" s="142">
        <v>87979.5</v>
      </c>
      <c r="AJ26" s="142">
        <v>89195</v>
      </c>
      <c r="AK26" s="142">
        <v>89127</v>
      </c>
      <c r="AL26" s="142">
        <v>89415</v>
      </c>
      <c r="AM26" s="142">
        <v>89685.5</v>
      </c>
      <c r="AN26" s="142">
        <v>90147</v>
      </c>
      <c r="AO26" s="142">
        <v>90144.5</v>
      </c>
      <c r="AP26" s="142">
        <v>90237.5</v>
      </c>
      <c r="AQ26" s="142">
        <v>90305.5</v>
      </c>
      <c r="AR26" s="142">
        <v>90356</v>
      </c>
      <c r="AS26" s="142">
        <v>89789</v>
      </c>
      <c r="AT26" s="142">
        <v>89026</v>
      </c>
      <c r="AU26" s="142">
        <v>87767</v>
      </c>
      <c r="AV26" s="142">
        <v>88116</v>
      </c>
      <c r="AW26" s="142">
        <v>88453</v>
      </c>
      <c r="AX26" s="142">
        <v>90587</v>
      </c>
      <c r="AY26" s="142">
        <v>92374.5</v>
      </c>
      <c r="AZ26" s="142">
        <v>92422.5</v>
      </c>
      <c r="BA26" s="142">
        <v>92464</v>
      </c>
      <c r="BB26" s="142">
        <v>93129.5</v>
      </c>
      <c r="BC26" s="142">
        <v>93362.5</v>
      </c>
      <c r="BD26" s="142">
        <v>93745.5</v>
      </c>
      <c r="BE26" s="142">
        <v>93821</v>
      </c>
      <c r="BF26" s="142">
        <v>94168</v>
      </c>
      <c r="BG26" s="142">
        <v>94267.5</v>
      </c>
      <c r="BH26" s="142">
        <v>94528.5</v>
      </c>
      <c r="BI26" s="142">
        <v>94722</v>
      </c>
      <c r="BJ26" s="142">
        <v>94876.5</v>
      </c>
      <c r="BK26" s="142">
        <v>95192</v>
      </c>
      <c r="BL26" s="142">
        <v>95491</v>
      </c>
      <c r="BM26" s="142">
        <v>95759</v>
      </c>
      <c r="BN26" s="142">
        <v>96019.5</v>
      </c>
      <c r="BO26" s="142">
        <v>96240</v>
      </c>
      <c r="BP26" s="142">
        <v>96357.5</v>
      </c>
      <c r="BQ26" s="142">
        <v>96451.5</v>
      </c>
      <c r="BR26" s="142">
        <v>96544.5</v>
      </c>
      <c r="BS26" s="142">
        <v>96526</v>
      </c>
      <c r="BT26" s="142">
        <v>96597</v>
      </c>
      <c r="BU26" s="142">
        <v>96675.5</v>
      </c>
      <c r="BV26" s="142">
        <v>96773.5</v>
      </c>
      <c r="BW26" s="142">
        <v>96835</v>
      </c>
      <c r="BX26" s="142">
        <v>96962.5</v>
      </c>
      <c r="BY26" s="142">
        <v>97120</v>
      </c>
      <c r="BZ26" s="142">
        <v>97373.5</v>
      </c>
      <c r="CA26" s="142">
        <v>97559.5</v>
      </c>
      <c r="CB26" s="142">
        <v>97650.5</v>
      </c>
      <c r="CC26" s="142">
        <v>97782.5</v>
      </c>
      <c r="CD26" s="142">
        <v>97898.5</v>
      </c>
      <c r="CE26" s="142">
        <v>97979.5</v>
      </c>
      <c r="CF26" s="142">
        <v>98130.5</v>
      </c>
      <c r="CG26" s="142">
        <v>98236.5</v>
      </c>
      <c r="CH26" s="142">
        <v>98314.5</v>
      </c>
      <c r="CI26" s="142">
        <v>98433.5</v>
      </c>
      <c r="CJ26" s="142">
        <v>98480</v>
      </c>
      <c r="CK26" s="142">
        <v>98532.5</v>
      </c>
      <c r="CL26" s="142">
        <v>98647</v>
      </c>
      <c r="CM26" s="142">
        <v>98683.5</v>
      </c>
      <c r="CN26" s="142">
        <v>98761.5</v>
      </c>
      <c r="CO26" s="142">
        <v>98832</v>
      </c>
      <c r="CP26" s="142">
        <v>98895.5</v>
      </c>
      <c r="CQ26" s="142">
        <v>98956.5</v>
      </c>
      <c r="CR26" s="142">
        <v>98977</v>
      </c>
      <c r="CS26" s="142">
        <v>99037.5</v>
      </c>
      <c r="CT26" s="142">
        <v>99068.5</v>
      </c>
      <c r="CU26" s="142">
        <v>99106</v>
      </c>
      <c r="CV26" s="142">
        <v>99120.5</v>
      </c>
      <c r="CW26" s="142">
        <v>99151.5</v>
      </c>
      <c r="CX26" s="142">
        <v>99196.5</v>
      </c>
      <c r="CY26" s="142">
        <v>99205</v>
      </c>
      <c r="CZ26" s="142">
        <v>99215</v>
      </c>
      <c r="DA26" s="142">
        <v>99225.5</v>
      </c>
      <c r="DB26" s="142">
        <v>99257</v>
      </c>
      <c r="DC26" s="142">
        <v>99283.5</v>
      </c>
      <c r="DD26" s="142">
        <v>99299.5</v>
      </c>
      <c r="DE26" s="142">
        <v>99311</v>
      </c>
      <c r="DF26" s="142">
        <v>99360</v>
      </c>
      <c r="DG26" s="142">
        <v>99361</v>
      </c>
      <c r="DH26" s="142">
        <v>99382</v>
      </c>
      <c r="DI26" s="142">
        <v>99381</v>
      </c>
      <c r="DJ26" s="142">
        <v>99416.5</v>
      </c>
      <c r="DK26" s="142">
        <v>99427.5</v>
      </c>
      <c r="DL26" s="142">
        <v>99435</v>
      </c>
      <c r="DM26" s="142">
        <v>99458.5</v>
      </c>
      <c r="DN26" s="142">
        <v>99481</v>
      </c>
      <c r="DO26" s="142">
        <v>99502.5</v>
      </c>
      <c r="DP26" s="142"/>
      <c r="DQ26" s="142"/>
    </row>
    <row r="27" spans="1:121">
      <c r="A27" s="140">
        <v>25</v>
      </c>
      <c r="B27" s="142"/>
      <c r="C27" s="142"/>
      <c r="D27" s="142"/>
      <c r="E27" s="142"/>
      <c r="F27" s="142"/>
      <c r="G27" s="142"/>
      <c r="H27" s="142"/>
      <c r="I27" s="142"/>
      <c r="J27" s="142"/>
      <c r="K27" s="142"/>
      <c r="L27" s="142"/>
      <c r="M27" s="142"/>
      <c r="N27" s="142"/>
      <c r="O27" s="142"/>
      <c r="P27" s="142"/>
      <c r="Q27" s="142"/>
      <c r="R27" s="142"/>
      <c r="S27" s="142"/>
      <c r="T27" s="142"/>
      <c r="U27" s="142"/>
      <c r="V27" s="142"/>
      <c r="W27" s="142">
        <v>80098.5</v>
      </c>
      <c r="X27" s="142">
        <v>80736.5</v>
      </c>
      <c r="Y27" s="142">
        <v>80699.5</v>
      </c>
      <c r="Z27" s="142">
        <v>82794</v>
      </c>
      <c r="AA27" s="142">
        <v>83173.5</v>
      </c>
      <c r="AB27" s="142">
        <v>83797</v>
      </c>
      <c r="AC27" s="142">
        <v>84628</v>
      </c>
      <c r="AD27" s="142">
        <v>85601</v>
      </c>
      <c r="AE27" s="142">
        <v>85563</v>
      </c>
      <c r="AF27" s="142">
        <v>86795.5</v>
      </c>
      <c r="AG27" s="142">
        <v>87253</v>
      </c>
      <c r="AH27" s="142">
        <v>87553.5</v>
      </c>
      <c r="AI27" s="142">
        <v>87867.5</v>
      </c>
      <c r="AJ27" s="142">
        <v>89087</v>
      </c>
      <c r="AK27" s="142">
        <v>89015.5</v>
      </c>
      <c r="AL27" s="142">
        <v>89312</v>
      </c>
      <c r="AM27" s="142">
        <v>89581.5</v>
      </c>
      <c r="AN27" s="142">
        <v>90047.5</v>
      </c>
      <c r="AO27" s="142">
        <v>90041.5</v>
      </c>
      <c r="AP27" s="142">
        <v>90137</v>
      </c>
      <c r="AQ27" s="142">
        <v>90209</v>
      </c>
      <c r="AR27" s="142">
        <v>90255.5</v>
      </c>
      <c r="AS27" s="142">
        <v>89693.5</v>
      </c>
      <c r="AT27" s="142">
        <v>88936.5</v>
      </c>
      <c r="AU27" s="142">
        <v>87675</v>
      </c>
      <c r="AV27" s="142">
        <v>88013.5</v>
      </c>
      <c r="AW27" s="142">
        <v>88355</v>
      </c>
      <c r="AX27" s="142">
        <v>90495</v>
      </c>
      <c r="AY27" s="142">
        <v>92286</v>
      </c>
      <c r="AZ27" s="142">
        <v>92338</v>
      </c>
      <c r="BA27" s="142">
        <v>92374.5</v>
      </c>
      <c r="BB27" s="142">
        <v>93039</v>
      </c>
      <c r="BC27" s="142">
        <v>93267.5</v>
      </c>
      <c r="BD27" s="142">
        <v>93654.5</v>
      </c>
      <c r="BE27" s="142">
        <v>93728.5</v>
      </c>
      <c r="BF27" s="142">
        <v>94084.5</v>
      </c>
      <c r="BG27" s="142">
        <v>94185</v>
      </c>
      <c r="BH27" s="142">
        <v>94449.5</v>
      </c>
      <c r="BI27" s="142">
        <v>94645</v>
      </c>
      <c r="BJ27" s="142">
        <v>94803</v>
      </c>
      <c r="BK27" s="142">
        <v>95119.5</v>
      </c>
      <c r="BL27" s="142">
        <v>95421</v>
      </c>
      <c r="BM27" s="142">
        <v>95689</v>
      </c>
      <c r="BN27" s="142">
        <v>95952.5</v>
      </c>
      <c r="BO27" s="142">
        <v>96174</v>
      </c>
      <c r="BP27" s="142">
        <v>96289</v>
      </c>
      <c r="BQ27" s="142">
        <v>96385.5</v>
      </c>
      <c r="BR27" s="142">
        <v>96476.5</v>
      </c>
      <c r="BS27" s="142">
        <v>96459</v>
      </c>
      <c r="BT27" s="142">
        <v>96533.5</v>
      </c>
      <c r="BU27" s="142">
        <v>96609</v>
      </c>
      <c r="BV27" s="142">
        <v>96717</v>
      </c>
      <c r="BW27" s="142">
        <v>96777</v>
      </c>
      <c r="BX27" s="142">
        <v>96907.5</v>
      </c>
      <c r="BY27" s="142">
        <v>97058.5</v>
      </c>
      <c r="BZ27" s="142">
        <v>97320</v>
      </c>
      <c r="CA27" s="142">
        <v>97507.5</v>
      </c>
      <c r="CB27" s="142">
        <v>97604</v>
      </c>
      <c r="CC27" s="142">
        <v>97734</v>
      </c>
      <c r="CD27" s="142">
        <v>97852</v>
      </c>
      <c r="CE27" s="142">
        <v>97940.5</v>
      </c>
      <c r="CF27" s="142">
        <v>98090.5</v>
      </c>
      <c r="CG27" s="142">
        <v>98199.5</v>
      </c>
      <c r="CH27" s="142">
        <v>98275</v>
      </c>
      <c r="CI27" s="142">
        <v>98394.5</v>
      </c>
      <c r="CJ27" s="142">
        <v>98440.5</v>
      </c>
      <c r="CK27" s="142">
        <v>98497</v>
      </c>
      <c r="CL27" s="142">
        <v>98612</v>
      </c>
      <c r="CM27" s="142">
        <v>98651.5</v>
      </c>
      <c r="CN27" s="142">
        <v>98729</v>
      </c>
      <c r="CO27" s="142">
        <v>98800</v>
      </c>
      <c r="CP27" s="142">
        <v>98865</v>
      </c>
      <c r="CQ27" s="142">
        <v>98927</v>
      </c>
      <c r="CR27" s="142">
        <v>98948</v>
      </c>
      <c r="CS27" s="142">
        <v>99009.5</v>
      </c>
      <c r="CT27" s="142">
        <v>99041</v>
      </c>
      <c r="CU27" s="142">
        <v>99079.5</v>
      </c>
      <c r="CV27" s="142">
        <v>99094.5</v>
      </c>
      <c r="CW27" s="142">
        <v>99126.5</v>
      </c>
      <c r="CX27" s="142">
        <v>99172</v>
      </c>
      <c r="CY27" s="142">
        <v>99181.5</v>
      </c>
      <c r="CZ27" s="142">
        <v>99192</v>
      </c>
      <c r="DA27" s="142">
        <v>99203</v>
      </c>
      <c r="DB27" s="142">
        <v>99236</v>
      </c>
      <c r="DC27" s="142">
        <v>99262.5</v>
      </c>
      <c r="DD27" s="142">
        <v>99279</v>
      </c>
      <c r="DE27" s="142">
        <v>99291</v>
      </c>
      <c r="DF27" s="142">
        <v>99340.5</v>
      </c>
      <c r="DG27" s="142">
        <v>99342.5</v>
      </c>
      <c r="DH27" s="142">
        <v>99363.5</v>
      </c>
      <c r="DI27" s="142">
        <v>99363.5</v>
      </c>
      <c r="DJ27" s="142">
        <v>99399.5</v>
      </c>
      <c r="DK27" s="142">
        <v>99411</v>
      </c>
      <c r="DL27" s="142">
        <v>99419</v>
      </c>
      <c r="DM27" s="142">
        <v>99443</v>
      </c>
      <c r="DN27" s="142">
        <v>99466</v>
      </c>
      <c r="DO27" s="142">
        <v>99487.5</v>
      </c>
      <c r="DP27" s="142"/>
      <c r="DQ27" s="142"/>
    </row>
    <row r="28" spans="1:121">
      <c r="A28" s="140">
        <v>26</v>
      </c>
      <c r="B28" s="142"/>
      <c r="C28" s="142"/>
      <c r="D28" s="142"/>
      <c r="E28" s="142"/>
      <c r="F28" s="142"/>
      <c r="G28" s="142"/>
      <c r="H28" s="142"/>
      <c r="I28" s="142"/>
      <c r="J28" s="142"/>
      <c r="K28" s="142"/>
      <c r="L28" s="142"/>
      <c r="M28" s="142"/>
      <c r="N28" s="142"/>
      <c r="O28" s="142"/>
      <c r="P28" s="142"/>
      <c r="Q28" s="142"/>
      <c r="R28" s="142"/>
      <c r="S28" s="142"/>
      <c r="T28" s="142"/>
      <c r="U28" s="142"/>
      <c r="V28" s="142"/>
      <c r="W28" s="142">
        <v>79814.5</v>
      </c>
      <c r="X28" s="142">
        <v>80451</v>
      </c>
      <c r="Y28" s="142">
        <v>80497.5</v>
      </c>
      <c r="Z28" s="142">
        <v>82646.5</v>
      </c>
      <c r="AA28" s="142">
        <v>83025</v>
      </c>
      <c r="AB28" s="142">
        <v>83648</v>
      </c>
      <c r="AC28" s="142">
        <v>84509</v>
      </c>
      <c r="AD28" s="142">
        <v>85481.5</v>
      </c>
      <c r="AE28" s="142">
        <v>85447</v>
      </c>
      <c r="AF28" s="142">
        <v>86677</v>
      </c>
      <c r="AG28" s="142">
        <v>87137</v>
      </c>
      <c r="AH28" s="142">
        <v>87438.5</v>
      </c>
      <c r="AI28" s="142">
        <v>87759</v>
      </c>
      <c r="AJ28" s="142">
        <v>88976</v>
      </c>
      <c r="AK28" s="142">
        <v>88915.5</v>
      </c>
      <c r="AL28" s="142">
        <v>89208</v>
      </c>
      <c r="AM28" s="142">
        <v>89483</v>
      </c>
      <c r="AN28" s="142">
        <v>89950</v>
      </c>
      <c r="AO28" s="142">
        <v>89939.5</v>
      </c>
      <c r="AP28" s="142">
        <v>90035.5</v>
      </c>
      <c r="AQ28" s="142">
        <v>90114.5</v>
      </c>
      <c r="AR28" s="142">
        <v>90153.5</v>
      </c>
      <c r="AS28" s="142">
        <v>89605</v>
      </c>
      <c r="AT28" s="142">
        <v>88845.5</v>
      </c>
      <c r="AU28" s="142">
        <v>87575</v>
      </c>
      <c r="AV28" s="142">
        <v>87920.5</v>
      </c>
      <c r="AW28" s="142">
        <v>88259.5</v>
      </c>
      <c r="AX28" s="142">
        <v>90407.5</v>
      </c>
      <c r="AY28" s="142">
        <v>92202.5</v>
      </c>
      <c r="AZ28" s="142">
        <v>92253</v>
      </c>
      <c r="BA28" s="142">
        <v>92284.5</v>
      </c>
      <c r="BB28" s="142">
        <v>92948.5</v>
      </c>
      <c r="BC28" s="142">
        <v>93177.5</v>
      </c>
      <c r="BD28" s="142">
        <v>93565</v>
      </c>
      <c r="BE28" s="142">
        <v>93642.5</v>
      </c>
      <c r="BF28" s="142">
        <v>94001.5</v>
      </c>
      <c r="BG28" s="142">
        <v>94103</v>
      </c>
      <c r="BH28" s="142">
        <v>94376</v>
      </c>
      <c r="BI28" s="142">
        <v>94573.5</v>
      </c>
      <c r="BJ28" s="142">
        <v>94735</v>
      </c>
      <c r="BK28" s="142">
        <v>95051.5</v>
      </c>
      <c r="BL28" s="142">
        <v>95352</v>
      </c>
      <c r="BM28" s="142">
        <v>95624</v>
      </c>
      <c r="BN28" s="142">
        <v>95885.5</v>
      </c>
      <c r="BO28" s="142">
        <v>96099.5</v>
      </c>
      <c r="BP28" s="142">
        <v>96217</v>
      </c>
      <c r="BQ28" s="142">
        <v>96314</v>
      </c>
      <c r="BR28" s="142">
        <v>96411</v>
      </c>
      <c r="BS28" s="142">
        <v>96398</v>
      </c>
      <c r="BT28" s="142">
        <v>96473</v>
      </c>
      <c r="BU28" s="142">
        <v>96551.5</v>
      </c>
      <c r="BV28" s="142">
        <v>96659</v>
      </c>
      <c r="BW28" s="142">
        <v>96722.5</v>
      </c>
      <c r="BX28" s="142">
        <v>96854</v>
      </c>
      <c r="BY28" s="142">
        <v>97008</v>
      </c>
      <c r="BZ28" s="142">
        <v>97271</v>
      </c>
      <c r="CA28" s="142">
        <v>97456.5</v>
      </c>
      <c r="CB28" s="142">
        <v>97556</v>
      </c>
      <c r="CC28" s="142">
        <v>97694</v>
      </c>
      <c r="CD28" s="142">
        <v>97809</v>
      </c>
      <c r="CE28" s="142">
        <v>97897.5</v>
      </c>
      <c r="CF28" s="142">
        <v>98050.5</v>
      </c>
      <c r="CG28" s="142">
        <v>98160</v>
      </c>
      <c r="CH28" s="142">
        <v>98237</v>
      </c>
      <c r="CI28" s="142">
        <v>98357.5</v>
      </c>
      <c r="CJ28" s="142">
        <v>98401</v>
      </c>
      <c r="CK28" s="142">
        <v>98459.5</v>
      </c>
      <c r="CL28" s="142">
        <v>98576.5</v>
      </c>
      <c r="CM28" s="142">
        <v>98616.5</v>
      </c>
      <c r="CN28" s="142">
        <v>98697.5</v>
      </c>
      <c r="CO28" s="142">
        <v>98769</v>
      </c>
      <c r="CP28" s="142">
        <v>98834</v>
      </c>
      <c r="CQ28" s="142">
        <v>98897.5</v>
      </c>
      <c r="CR28" s="142">
        <v>98919.5</v>
      </c>
      <c r="CS28" s="142">
        <v>98981.5</v>
      </c>
      <c r="CT28" s="142">
        <v>99014</v>
      </c>
      <c r="CU28" s="142">
        <v>99053.5</v>
      </c>
      <c r="CV28" s="142">
        <v>99069</v>
      </c>
      <c r="CW28" s="142">
        <v>99102</v>
      </c>
      <c r="CX28" s="142">
        <v>99148</v>
      </c>
      <c r="CY28" s="142">
        <v>99158</v>
      </c>
      <c r="CZ28" s="142">
        <v>99169.5</v>
      </c>
      <c r="DA28" s="142">
        <v>99180.5</v>
      </c>
      <c r="DB28" s="142">
        <v>99214</v>
      </c>
      <c r="DC28" s="142">
        <v>99242</v>
      </c>
      <c r="DD28" s="142">
        <v>99258.5</v>
      </c>
      <c r="DE28" s="142">
        <v>99271.5</v>
      </c>
      <c r="DF28" s="142">
        <v>99321.5</v>
      </c>
      <c r="DG28" s="142">
        <v>99324</v>
      </c>
      <c r="DH28" s="142">
        <v>99345.5</v>
      </c>
      <c r="DI28" s="142">
        <v>99346</v>
      </c>
      <c r="DJ28" s="142">
        <v>99382</v>
      </c>
      <c r="DK28" s="142">
        <v>99394.5</v>
      </c>
      <c r="DL28" s="142">
        <v>99403.5</v>
      </c>
      <c r="DM28" s="142">
        <v>99427.5</v>
      </c>
      <c r="DN28" s="142">
        <v>99450.5</v>
      </c>
      <c r="DO28" s="142">
        <v>99473</v>
      </c>
      <c r="DP28" s="142"/>
      <c r="DQ28" s="142"/>
    </row>
    <row r="29" spans="1:121">
      <c r="A29" s="140">
        <v>27</v>
      </c>
      <c r="B29" s="142"/>
      <c r="C29" s="142"/>
      <c r="D29" s="142"/>
      <c r="E29" s="142"/>
      <c r="F29" s="142"/>
      <c r="G29" s="142"/>
      <c r="H29" s="142"/>
      <c r="I29" s="142"/>
      <c r="J29" s="142"/>
      <c r="K29" s="142"/>
      <c r="L29" s="142"/>
      <c r="M29" s="142"/>
      <c r="N29" s="142"/>
      <c r="O29" s="142"/>
      <c r="P29" s="142"/>
      <c r="Q29" s="142"/>
      <c r="R29" s="142"/>
      <c r="S29" s="142"/>
      <c r="T29" s="142"/>
      <c r="U29" s="142"/>
      <c r="V29" s="142"/>
      <c r="W29" s="142">
        <v>79538.5</v>
      </c>
      <c r="X29" s="142">
        <v>80254</v>
      </c>
      <c r="Y29" s="142">
        <v>80352</v>
      </c>
      <c r="Z29" s="142">
        <v>82496</v>
      </c>
      <c r="AA29" s="142">
        <v>82874.5</v>
      </c>
      <c r="AB29" s="142">
        <v>83528.5</v>
      </c>
      <c r="AC29" s="142">
        <v>84384.5</v>
      </c>
      <c r="AD29" s="142">
        <v>85354.5</v>
      </c>
      <c r="AE29" s="142">
        <v>85329</v>
      </c>
      <c r="AF29" s="142">
        <v>86557</v>
      </c>
      <c r="AG29" s="142">
        <v>87019.5</v>
      </c>
      <c r="AH29" s="142">
        <v>87328.5</v>
      </c>
      <c r="AI29" s="142">
        <v>87648.5</v>
      </c>
      <c r="AJ29" s="142">
        <v>88865.5</v>
      </c>
      <c r="AK29" s="142">
        <v>88807.5</v>
      </c>
      <c r="AL29" s="142">
        <v>89109</v>
      </c>
      <c r="AM29" s="142">
        <v>89383.5</v>
      </c>
      <c r="AN29" s="142">
        <v>89853.5</v>
      </c>
      <c r="AO29" s="142">
        <v>89839</v>
      </c>
      <c r="AP29" s="142">
        <v>89939</v>
      </c>
      <c r="AQ29" s="142">
        <v>90019.5</v>
      </c>
      <c r="AR29" s="142">
        <v>90061</v>
      </c>
      <c r="AS29" s="142">
        <v>89510</v>
      </c>
      <c r="AT29" s="142">
        <v>88748.5</v>
      </c>
      <c r="AU29" s="142">
        <v>87476.5</v>
      </c>
      <c r="AV29" s="142">
        <v>87824</v>
      </c>
      <c r="AW29" s="142">
        <v>88180</v>
      </c>
      <c r="AX29" s="142">
        <v>90323.5</v>
      </c>
      <c r="AY29" s="142">
        <v>92116.5</v>
      </c>
      <c r="AZ29" s="142">
        <v>92163.5</v>
      </c>
      <c r="BA29" s="142">
        <v>92193</v>
      </c>
      <c r="BB29" s="142">
        <v>92860</v>
      </c>
      <c r="BC29" s="142">
        <v>93093</v>
      </c>
      <c r="BD29" s="142">
        <v>93479</v>
      </c>
      <c r="BE29" s="142">
        <v>93558.5</v>
      </c>
      <c r="BF29" s="142">
        <v>93919</v>
      </c>
      <c r="BG29" s="142">
        <v>94027</v>
      </c>
      <c r="BH29" s="142">
        <v>94302</v>
      </c>
      <c r="BI29" s="142">
        <v>94502.5</v>
      </c>
      <c r="BJ29" s="142">
        <v>94665</v>
      </c>
      <c r="BK29" s="142">
        <v>94982.5</v>
      </c>
      <c r="BL29" s="142">
        <v>95284</v>
      </c>
      <c r="BM29" s="142">
        <v>95557.5</v>
      </c>
      <c r="BN29" s="142">
        <v>95813.5</v>
      </c>
      <c r="BO29" s="142">
        <v>96024</v>
      </c>
      <c r="BP29" s="142">
        <v>96148.5</v>
      </c>
      <c r="BQ29" s="142">
        <v>96250.5</v>
      </c>
      <c r="BR29" s="142">
        <v>96349.5</v>
      </c>
      <c r="BS29" s="142">
        <v>96339.5</v>
      </c>
      <c r="BT29" s="142">
        <v>96415.5</v>
      </c>
      <c r="BU29" s="142">
        <v>96498</v>
      </c>
      <c r="BV29" s="142">
        <v>96601</v>
      </c>
      <c r="BW29" s="142">
        <v>96668.5</v>
      </c>
      <c r="BX29" s="142">
        <v>96805</v>
      </c>
      <c r="BY29" s="142">
        <v>96957.5</v>
      </c>
      <c r="BZ29" s="142">
        <v>97223</v>
      </c>
      <c r="CA29" s="142">
        <v>97407</v>
      </c>
      <c r="CB29" s="142">
        <v>97510</v>
      </c>
      <c r="CC29" s="142">
        <v>97652</v>
      </c>
      <c r="CD29" s="142">
        <v>97764.5</v>
      </c>
      <c r="CE29" s="142">
        <v>97855.5</v>
      </c>
      <c r="CF29" s="142">
        <v>98007.5</v>
      </c>
      <c r="CG29" s="142">
        <v>98116</v>
      </c>
      <c r="CH29" s="142">
        <v>98197.5</v>
      </c>
      <c r="CI29" s="142">
        <v>98319.5</v>
      </c>
      <c r="CJ29" s="142">
        <v>98363.5</v>
      </c>
      <c r="CK29" s="142">
        <v>98425</v>
      </c>
      <c r="CL29" s="142">
        <v>98545.5</v>
      </c>
      <c r="CM29" s="142">
        <v>98583.5</v>
      </c>
      <c r="CN29" s="142">
        <v>98664.5</v>
      </c>
      <c r="CO29" s="142">
        <v>98737</v>
      </c>
      <c r="CP29" s="142">
        <v>98803.5</v>
      </c>
      <c r="CQ29" s="142">
        <v>98867</v>
      </c>
      <c r="CR29" s="142">
        <v>98890.5</v>
      </c>
      <c r="CS29" s="142">
        <v>98953</v>
      </c>
      <c r="CT29" s="142">
        <v>98986</v>
      </c>
      <c r="CU29" s="142">
        <v>99026.5</v>
      </c>
      <c r="CV29" s="142">
        <v>99043</v>
      </c>
      <c r="CW29" s="142">
        <v>99076.5</v>
      </c>
      <c r="CX29" s="142">
        <v>99123</v>
      </c>
      <c r="CY29" s="142">
        <v>99134</v>
      </c>
      <c r="CZ29" s="142">
        <v>99146</v>
      </c>
      <c r="DA29" s="142">
        <v>99158.5</v>
      </c>
      <c r="DB29" s="142">
        <v>99192</v>
      </c>
      <c r="DC29" s="142">
        <v>99220.5</v>
      </c>
      <c r="DD29" s="142">
        <v>99237.5</v>
      </c>
      <c r="DE29" s="142">
        <v>99251.5</v>
      </c>
      <c r="DF29" s="142">
        <v>99301.5</v>
      </c>
      <c r="DG29" s="142">
        <v>99304.5</v>
      </c>
      <c r="DH29" s="142">
        <v>99327</v>
      </c>
      <c r="DI29" s="142">
        <v>99328</v>
      </c>
      <c r="DJ29" s="142">
        <v>99365</v>
      </c>
      <c r="DK29" s="142">
        <v>99377.5</v>
      </c>
      <c r="DL29" s="142">
        <v>99386.5</v>
      </c>
      <c r="DM29" s="142">
        <v>99411</v>
      </c>
      <c r="DN29" s="142">
        <v>99434.5</v>
      </c>
      <c r="DO29" s="142">
        <v>99457.5</v>
      </c>
      <c r="DP29" s="142"/>
      <c r="DQ29" s="142"/>
    </row>
    <row r="30" spans="1:121">
      <c r="A30" s="140">
        <v>28</v>
      </c>
      <c r="B30" s="142"/>
      <c r="C30" s="142"/>
      <c r="D30" s="142"/>
      <c r="E30" s="142"/>
      <c r="F30" s="142"/>
      <c r="G30" s="142"/>
      <c r="H30" s="142"/>
      <c r="I30" s="142"/>
      <c r="J30" s="142"/>
      <c r="K30" s="142"/>
      <c r="L30" s="142"/>
      <c r="M30" s="142"/>
      <c r="N30" s="142"/>
      <c r="O30" s="142"/>
      <c r="P30" s="142"/>
      <c r="Q30" s="142"/>
      <c r="R30" s="142"/>
      <c r="S30" s="142"/>
      <c r="T30" s="142"/>
      <c r="U30" s="142"/>
      <c r="V30" s="142"/>
      <c r="W30" s="142">
        <v>79329.5</v>
      </c>
      <c r="X30" s="142">
        <v>80107</v>
      </c>
      <c r="Y30" s="142">
        <v>80204</v>
      </c>
      <c r="Z30" s="142">
        <v>82344.5</v>
      </c>
      <c r="AA30" s="142">
        <v>82750.5</v>
      </c>
      <c r="AB30" s="142">
        <v>83408</v>
      </c>
      <c r="AC30" s="142">
        <v>84266.5</v>
      </c>
      <c r="AD30" s="142">
        <v>85235</v>
      </c>
      <c r="AE30" s="142">
        <v>85206.5</v>
      </c>
      <c r="AF30" s="142">
        <v>86445.5</v>
      </c>
      <c r="AG30" s="142">
        <v>86903.5</v>
      </c>
      <c r="AH30" s="142">
        <v>87210.5</v>
      </c>
      <c r="AI30" s="142">
        <v>87537.5</v>
      </c>
      <c r="AJ30" s="142">
        <v>88761</v>
      </c>
      <c r="AK30" s="142">
        <v>88704.5</v>
      </c>
      <c r="AL30" s="142">
        <v>89010.5</v>
      </c>
      <c r="AM30" s="142">
        <v>89285</v>
      </c>
      <c r="AN30" s="142">
        <v>89753.5</v>
      </c>
      <c r="AO30" s="142">
        <v>89734</v>
      </c>
      <c r="AP30" s="142">
        <v>89844</v>
      </c>
      <c r="AQ30" s="142">
        <v>89923</v>
      </c>
      <c r="AR30" s="142">
        <v>89958</v>
      </c>
      <c r="AS30" s="142">
        <v>89407.5</v>
      </c>
      <c r="AT30" s="142">
        <v>88654</v>
      </c>
      <c r="AU30" s="142">
        <v>87385</v>
      </c>
      <c r="AV30" s="142">
        <v>87737</v>
      </c>
      <c r="AW30" s="142">
        <v>88096</v>
      </c>
      <c r="AX30" s="142">
        <v>90240.5</v>
      </c>
      <c r="AY30" s="142">
        <v>92031</v>
      </c>
      <c r="AZ30" s="142">
        <v>92063</v>
      </c>
      <c r="BA30" s="142">
        <v>92104</v>
      </c>
      <c r="BB30" s="142">
        <v>92773</v>
      </c>
      <c r="BC30" s="142">
        <v>93012.5</v>
      </c>
      <c r="BD30" s="142">
        <v>93397</v>
      </c>
      <c r="BE30" s="142">
        <v>93474.5</v>
      </c>
      <c r="BF30" s="142">
        <v>93839.5</v>
      </c>
      <c r="BG30" s="142">
        <v>93950</v>
      </c>
      <c r="BH30" s="142">
        <v>94231.5</v>
      </c>
      <c r="BI30" s="142">
        <v>94428</v>
      </c>
      <c r="BJ30" s="142">
        <v>94595.5</v>
      </c>
      <c r="BK30" s="142">
        <v>94915.5</v>
      </c>
      <c r="BL30" s="142">
        <v>95216.5</v>
      </c>
      <c r="BM30" s="142">
        <v>95484</v>
      </c>
      <c r="BN30" s="142">
        <v>95738.5</v>
      </c>
      <c r="BO30" s="142">
        <v>95957</v>
      </c>
      <c r="BP30" s="142">
        <v>96082.5</v>
      </c>
      <c r="BQ30" s="142">
        <v>96185</v>
      </c>
      <c r="BR30" s="142">
        <v>96284.5</v>
      </c>
      <c r="BS30" s="142">
        <v>96278</v>
      </c>
      <c r="BT30" s="142">
        <v>96357.5</v>
      </c>
      <c r="BU30" s="142">
        <v>96446.5</v>
      </c>
      <c r="BV30" s="142">
        <v>96545</v>
      </c>
      <c r="BW30" s="142">
        <v>96610.5</v>
      </c>
      <c r="BX30" s="142">
        <v>96755</v>
      </c>
      <c r="BY30" s="142">
        <v>96909</v>
      </c>
      <c r="BZ30" s="142">
        <v>97175</v>
      </c>
      <c r="CA30" s="142">
        <v>97359</v>
      </c>
      <c r="CB30" s="142">
        <v>97467</v>
      </c>
      <c r="CC30" s="142">
        <v>97610</v>
      </c>
      <c r="CD30" s="142">
        <v>97722</v>
      </c>
      <c r="CE30" s="142">
        <v>97813.5</v>
      </c>
      <c r="CF30" s="142">
        <v>97961.5</v>
      </c>
      <c r="CG30" s="142">
        <v>98069.5</v>
      </c>
      <c r="CH30" s="142">
        <v>98157</v>
      </c>
      <c r="CI30" s="142">
        <v>98284.5</v>
      </c>
      <c r="CJ30" s="142">
        <v>98327</v>
      </c>
      <c r="CK30" s="142">
        <v>98387.5</v>
      </c>
      <c r="CL30" s="142">
        <v>98510</v>
      </c>
      <c r="CM30" s="142">
        <v>98549</v>
      </c>
      <c r="CN30" s="142">
        <v>98630.5</v>
      </c>
      <c r="CO30" s="142">
        <v>98704</v>
      </c>
      <c r="CP30" s="142">
        <v>98771.5</v>
      </c>
      <c r="CQ30" s="142">
        <v>98836</v>
      </c>
      <c r="CR30" s="142">
        <v>98859.5</v>
      </c>
      <c r="CS30" s="142">
        <v>98924</v>
      </c>
      <c r="CT30" s="142">
        <v>98957.5</v>
      </c>
      <c r="CU30" s="142">
        <v>98998.5</v>
      </c>
      <c r="CV30" s="142">
        <v>99016</v>
      </c>
      <c r="CW30" s="142">
        <v>99050</v>
      </c>
      <c r="CX30" s="142">
        <v>99097.5</v>
      </c>
      <c r="CY30" s="142">
        <v>99109.5</v>
      </c>
      <c r="CZ30" s="142">
        <v>99122</v>
      </c>
      <c r="DA30" s="142">
        <v>99134.5</v>
      </c>
      <c r="DB30" s="142">
        <v>99169</v>
      </c>
      <c r="DC30" s="142">
        <v>99198</v>
      </c>
      <c r="DD30" s="142">
        <v>99216</v>
      </c>
      <c r="DE30" s="142">
        <v>99230</v>
      </c>
      <c r="DF30" s="142">
        <v>99281.5</v>
      </c>
      <c r="DG30" s="142">
        <v>99284.5</v>
      </c>
      <c r="DH30" s="142">
        <v>99307.5</v>
      </c>
      <c r="DI30" s="142">
        <v>99309</v>
      </c>
      <c r="DJ30" s="142">
        <v>99346.5</v>
      </c>
      <c r="DK30" s="142">
        <v>99359.5</v>
      </c>
      <c r="DL30" s="142">
        <v>99369</v>
      </c>
      <c r="DM30" s="142">
        <v>99394</v>
      </c>
      <c r="DN30" s="142">
        <v>99418.5</v>
      </c>
      <c r="DO30" s="142">
        <v>99441.5</v>
      </c>
      <c r="DP30" s="142"/>
      <c r="DQ30" s="142"/>
    </row>
    <row r="31" spans="1:121">
      <c r="A31" s="140">
        <v>29</v>
      </c>
      <c r="B31" s="142"/>
      <c r="C31" s="142"/>
      <c r="D31" s="142"/>
      <c r="E31" s="142"/>
      <c r="F31" s="142"/>
      <c r="G31" s="142"/>
      <c r="H31" s="142"/>
      <c r="I31" s="142"/>
      <c r="J31" s="142"/>
      <c r="K31" s="142"/>
      <c r="L31" s="142"/>
      <c r="M31" s="142"/>
      <c r="N31" s="142"/>
      <c r="O31" s="142"/>
      <c r="P31" s="142"/>
      <c r="Q31" s="142"/>
      <c r="R31" s="142"/>
      <c r="S31" s="142"/>
      <c r="T31" s="142"/>
      <c r="U31" s="142"/>
      <c r="V31" s="142"/>
      <c r="W31" s="142">
        <v>79181</v>
      </c>
      <c r="X31" s="142">
        <v>79957</v>
      </c>
      <c r="Y31" s="142">
        <v>80054</v>
      </c>
      <c r="Z31" s="142">
        <v>82224</v>
      </c>
      <c r="AA31" s="142">
        <v>82636</v>
      </c>
      <c r="AB31" s="142">
        <v>83288</v>
      </c>
      <c r="AC31" s="142">
        <v>84148</v>
      </c>
      <c r="AD31" s="142">
        <v>85119</v>
      </c>
      <c r="AE31" s="142">
        <v>85083.5</v>
      </c>
      <c r="AF31" s="142">
        <v>86332</v>
      </c>
      <c r="AG31" s="142">
        <v>86782.5</v>
      </c>
      <c r="AH31" s="142">
        <v>87092.5</v>
      </c>
      <c r="AI31" s="142">
        <v>87428</v>
      </c>
      <c r="AJ31" s="142">
        <v>88660.5</v>
      </c>
      <c r="AK31" s="142">
        <v>88596.5</v>
      </c>
      <c r="AL31" s="142">
        <v>88914.5</v>
      </c>
      <c r="AM31" s="142">
        <v>89186.5</v>
      </c>
      <c r="AN31" s="142">
        <v>89655</v>
      </c>
      <c r="AO31" s="142">
        <v>89633</v>
      </c>
      <c r="AP31" s="142">
        <v>89747</v>
      </c>
      <c r="AQ31" s="142">
        <v>89823</v>
      </c>
      <c r="AR31" s="142">
        <v>89857.5</v>
      </c>
      <c r="AS31" s="142">
        <v>89313.5</v>
      </c>
      <c r="AT31" s="142">
        <v>88558.5</v>
      </c>
      <c r="AU31" s="142">
        <v>87291.5</v>
      </c>
      <c r="AV31" s="142">
        <v>87650</v>
      </c>
      <c r="AW31" s="142">
        <v>88005.5</v>
      </c>
      <c r="AX31" s="142">
        <v>90155</v>
      </c>
      <c r="AY31" s="142">
        <v>91935.5</v>
      </c>
      <c r="AZ31" s="142">
        <v>91978.5</v>
      </c>
      <c r="BA31" s="142">
        <v>92013.5</v>
      </c>
      <c r="BB31" s="142">
        <v>92686.5</v>
      </c>
      <c r="BC31" s="142">
        <v>92924</v>
      </c>
      <c r="BD31" s="142">
        <v>93311.5</v>
      </c>
      <c r="BE31" s="142">
        <v>93389</v>
      </c>
      <c r="BF31" s="142">
        <v>93764</v>
      </c>
      <c r="BG31" s="142">
        <v>93872.5</v>
      </c>
      <c r="BH31" s="142">
        <v>94160.5</v>
      </c>
      <c r="BI31" s="142">
        <v>94357</v>
      </c>
      <c r="BJ31" s="142">
        <v>94523.5</v>
      </c>
      <c r="BK31" s="142">
        <v>94842</v>
      </c>
      <c r="BL31" s="142">
        <v>95144</v>
      </c>
      <c r="BM31" s="142">
        <v>95404</v>
      </c>
      <c r="BN31" s="142">
        <v>95666</v>
      </c>
      <c r="BO31" s="142">
        <v>95887</v>
      </c>
      <c r="BP31" s="142">
        <v>96013.5</v>
      </c>
      <c r="BQ31" s="142">
        <v>96116.5</v>
      </c>
      <c r="BR31" s="142">
        <v>96216</v>
      </c>
      <c r="BS31" s="142">
        <v>96216.5</v>
      </c>
      <c r="BT31" s="142">
        <v>96301.5</v>
      </c>
      <c r="BU31" s="142">
        <v>96386</v>
      </c>
      <c r="BV31" s="142">
        <v>96491</v>
      </c>
      <c r="BW31" s="142">
        <v>96563</v>
      </c>
      <c r="BX31" s="142">
        <v>96704</v>
      </c>
      <c r="BY31" s="142">
        <v>96857.5</v>
      </c>
      <c r="BZ31" s="142">
        <v>97131</v>
      </c>
      <c r="CA31" s="142">
        <v>97317</v>
      </c>
      <c r="CB31" s="142">
        <v>97424</v>
      </c>
      <c r="CC31" s="142">
        <v>97568</v>
      </c>
      <c r="CD31" s="142">
        <v>97679.5</v>
      </c>
      <c r="CE31" s="142">
        <v>97773</v>
      </c>
      <c r="CF31" s="142">
        <v>97918.5</v>
      </c>
      <c r="CG31" s="142">
        <v>98030</v>
      </c>
      <c r="CH31" s="142">
        <v>98116.5</v>
      </c>
      <c r="CI31" s="142">
        <v>98244</v>
      </c>
      <c r="CJ31" s="142">
        <v>98287</v>
      </c>
      <c r="CK31" s="142">
        <v>98349</v>
      </c>
      <c r="CL31" s="142">
        <v>98473</v>
      </c>
      <c r="CM31" s="142">
        <v>98512</v>
      </c>
      <c r="CN31" s="142">
        <v>98595.5</v>
      </c>
      <c r="CO31" s="142">
        <v>98669.5</v>
      </c>
      <c r="CP31" s="142">
        <v>98738</v>
      </c>
      <c r="CQ31" s="142">
        <v>98803.5</v>
      </c>
      <c r="CR31" s="142">
        <v>98828</v>
      </c>
      <c r="CS31" s="142">
        <v>98893</v>
      </c>
      <c r="CT31" s="142">
        <v>98927</v>
      </c>
      <c r="CU31" s="142">
        <v>98969.5</v>
      </c>
      <c r="CV31" s="142">
        <v>98987</v>
      </c>
      <c r="CW31" s="142">
        <v>99022.5</v>
      </c>
      <c r="CX31" s="142">
        <v>99070.5</v>
      </c>
      <c r="CY31" s="142">
        <v>99083</v>
      </c>
      <c r="CZ31" s="142">
        <v>99096.5</v>
      </c>
      <c r="DA31" s="142">
        <v>99109.5</v>
      </c>
      <c r="DB31" s="142">
        <v>99145</v>
      </c>
      <c r="DC31" s="142">
        <v>99174.5</v>
      </c>
      <c r="DD31" s="142">
        <v>99193.5</v>
      </c>
      <c r="DE31" s="142">
        <v>99208</v>
      </c>
      <c r="DF31" s="142">
        <v>99259.5</v>
      </c>
      <c r="DG31" s="142">
        <v>99263.5</v>
      </c>
      <c r="DH31" s="142">
        <v>99287</v>
      </c>
      <c r="DI31" s="142">
        <v>99289.5</v>
      </c>
      <c r="DJ31" s="142">
        <v>99327</v>
      </c>
      <c r="DK31" s="142">
        <v>99341</v>
      </c>
      <c r="DL31" s="142">
        <v>99351</v>
      </c>
      <c r="DM31" s="142">
        <v>99376</v>
      </c>
      <c r="DN31" s="142">
        <v>99401</v>
      </c>
      <c r="DO31" s="142">
        <v>99425</v>
      </c>
      <c r="DP31" s="142"/>
      <c r="DQ31" s="142"/>
    </row>
    <row r="32" spans="1:121">
      <c r="A32" s="140">
        <v>30</v>
      </c>
      <c r="B32" s="142"/>
      <c r="C32" s="142"/>
      <c r="D32" s="142"/>
      <c r="E32" s="142"/>
      <c r="F32" s="142"/>
      <c r="G32" s="142"/>
      <c r="H32" s="142"/>
      <c r="I32" s="142"/>
      <c r="J32" s="142"/>
      <c r="K32" s="142"/>
      <c r="L32" s="142"/>
      <c r="M32" s="142"/>
      <c r="N32" s="142"/>
      <c r="O32" s="142"/>
      <c r="P32" s="142"/>
      <c r="Q32" s="142"/>
      <c r="R32" s="142"/>
      <c r="S32" s="142"/>
      <c r="T32" s="142"/>
      <c r="U32" s="142"/>
      <c r="V32" s="142"/>
      <c r="W32" s="142">
        <v>79030</v>
      </c>
      <c r="X32" s="142">
        <v>79804.5</v>
      </c>
      <c r="Y32" s="142">
        <v>79931.5</v>
      </c>
      <c r="Z32" s="142">
        <v>82095</v>
      </c>
      <c r="AA32" s="142">
        <v>82515</v>
      </c>
      <c r="AB32" s="142">
        <v>83162.5</v>
      </c>
      <c r="AC32" s="142">
        <v>84024.5</v>
      </c>
      <c r="AD32" s="142">
        <v>85001</v>
      </c>
      <c r="AE32" s="142">
        <v>84968</v>
      </c>
      <c r="AF32" s="142">
        <v>86210</v>
      </c>
      <c r="AG32" s="142">
        <v>86664</v>
      </c>
      <c r="AH32" s="142">
        <v>86978</v>
      </c>
      <c r="AI32" s="142">
        <v>87320</v>
      </c>
      <c r="AJ32" s="142">
        <v>88549</v>
      </c>
      <c r="AK32" s="142">
        <v>88490.5</v>
      </c>
      <c r="AL32" s="142">
        <v>88814.5</v>
      </c>
      <c r="AM32" s="142">
        <v>89082</v>
      </c>
      <c r="AN32" s="142">
        <v>89544</v>
      </c>
      <c r="AO32" s="142">
        <v>89533.5</v>
      </c>
      <c r="AP32" s="142">
        <v>89641.5</v>
      </c>
      <c r="AQ32" s="142">
        <v>89716</v>
      </c>
      <c r="AR32" s="142">
        <v>89750</v>
      </c>
      <c r="AS32" s="142">
        <v>89213.5</v>
      </c>
      <c r="AT32" s="142">
        <v>88466</v>
      </c>
      <c r="AU32" s="142">
        <v>87197.5</v>
      </c>
      <c r="AV32" s="142">
        <v>87554</v>
      </c>
      <c r="AW32" s="142">
        <v>87919.5</v>
      </c>
      <c r="AX32" s="142">
        <v>90065.5</v>
      </c>
      <c r="AY32" s="142">
        <v>91839.5</v>
      </c>
      <c r="AZ32" s="142">
        <v>91883.5</v>
      </c>
      <c r="BA32" s="142">
        <v>91922.5</v>
      </c>
      <c r="BB32" s="142">
        <v>92594.5</v>
      </c>
      <c r="BC32" s="142">
        <v>92834</v>
      </c>
      <c r="BD32" s="142">
        <v>93228.5</v>
      </c>
      <c r="BE32" s="142">
        <v>93306.5</v>
      </c>
      <c r="BF32" s="142">
        <v>93684.5</v>
      </c>
      <c r="BG32" s="142">
        <v>93802.5</v>
      </c>
      <c r="BH32" s="142">
        <v>94078.5</v>
      </c>
      <c r="BI32" s="142">
        <v>94276</v>
      </c>
      <c r="BJ32" s="142">
        <v>94443.5</v>
      </c>
      <c r="BK32" s="142">
        <v>94758.5</v>
      </c>
      <c r="BL32" s="142">
        <v>95058</v>
      </c>
      <c r="BM32" s="142">
        <v>95327</v>
      </c>
      <c r="BN32" s="142">
        <v>95592</v>
      </c>
      <c r="BO32" s="142">
        <v>95817</v>
      </c>
      <c r="BP32" s="142">
        <v>95941</v>
      </c>
      <c r="BQ32" s="142">
        <v>96052</v>
      </c>
      <c r="BR32" s="142">
        <v>96156</v>
      </c>
      <c r="BS32" s="142">
        <v>96157.5</v>
      </c>
      <c r="BT32" s="142">
        <v>96243</v>
      </c>
      <c r="BU32" s="142">
        <v>96331.5</v>
      </c>
      <c r="BV32" s="142">
        <v>96439</v>
      </c>
      <c r="BW32" s="142">
        <v>96514</v>
      </c>
      <c r="BX32" s="142">
        <v>96657.5</v>
      </c>
      <c r="BY32" s="142">
        <v>96810.5</v>
      </c>
      <c r="BZ32" s="142">
        <v>97087</v>
      </c>
      <c r="CA32" s="142">
        <v>97271.5</v>
      </c>
      <c r="CB32" s="142">
        <v>97377.5</v>
      </c>
      <c r="CC32" s="142">
        <v>97524</v>
      </c>
      <c r="CD32" s="142">
        <v>97632.5</v>
      </c>
      <c r="CE32" s="142">
        <v>97725</v>
      </c>
      <c r="CF32" s="142">
        <v>97876.5</v>
      </c>
      <c r="CG32" s="142">
        <v>97986.5</v>
      </c>
      <c r="CH32" s="142">
        <v>98075</v>
      </c>
      <c r="CI32" s="142">
        <v>98206</v>
      </c>
      <c r="CJ32" s="142">
        <v>98246</v>
      </c>
      <c r="CK32" s="142">
        <v>98309</v>
      </c>
      <c r="CL32" s="142">
        <v>98434</v>
      </c>
      <c r="CM32" s="142">
        <v>98474.5</v>
      </c>
      <c r="CN32" s="142">
        <v>98558.5</v>
      </c>
      <c r="CO32" s="142">
        <v>98634</v>
      </c>
      <c r="CP32" s="142">
        <v>98702.5</v>
      </c>
      <c r="CQ32" s="142">
        <v>98769.5</v>
      </c>
      <c r="CR32" s="142">
        <v>98795</v>
      </c>
      <c r="CS32" s="142">
        <v>98860.5</v>
      </c>
      <c r="CT32" s="142">
        <v>98896</v>
      </c>
      <c r="CU32" s="142">
        <v>98938.5</v>
      </c>
      <c r="CV32" s="142">
        <v>98957.5</v>
      </c>
      <c r="CW32" s="142">
        <v>98993</v>
      </c>
      <c r="CX32" s="142">
        <v>99042</v>
      </c>
      <c r="CY32" s="142">
        <v>99055</v>
      </c>
      <c r="CZ32" s="142">
        <v>99069.5</v>
      </c>
      <c r="DA32" s="142">
        <v>99083.5</v>
      </c>
      <c r="DB32" s="142">
        <v>99119.5</v>
      </c>
      <c r="DC32" s="142">
        <v>99149.5</v>
      </c>
      <c r="DD32" s="142">
        <v>99169</v>
      </c>
      <c r="DE32" s="142">
        <v>99184</v>
      </c>
      <c r="DF32" s="142">
        <v>99236.5</v>
      </c>
      <c r="DG32" s="142">
        <v>99241.5</v>
      </c>
      <c r="DH32" s="142">
        <v>99265.5</v>
      </c>
      <c r="DI32" s="142">
        <v>99268</v>
      </c>
      <c r="DJ32" s="142">
        <v>99306.5</v>
      </c>
      <c r="DK32" s="142">
        <v>99320.5</v>
      </c>
      <c r="DL32" s="142">
        <v>99331.5</v>
      </c>
      <c r="DM32" s="142">
        <v>99357</v>
      </c>
      <c r="DN32" s="142">
        <v>99382.5</v>
      </c>
      <c r="DO32" s="142">
        <v>99406.5</v>
      </c>
      <c r="DP32" s="142"/>
      <c r="DQ32" s="142"/>
    </row>
    <row r="33" spans="1:121">
      <c r="A33" s="140">
        <v>31</v>
      </c>
      <c r="B33" s="142"/>
      <c r="C33" s="142"/>
      <c r="D33" s="142"/>
      <c r="E33" s="142"/>
      <c r="F33" s="142"/>
      <c r="G33" s="142"/>
      <c r="H33" s="142"/>
      <c r="I33" s="142"/>
      <c r="J33" s="142"/>
      <c r="K33" s="142"/>
      <c r="L33" s="142"/>
      <c r="M33" s="142"/>
      <c r="N33" s="142"/>
      <c r="O33" s="142"/>
      <c r="P33" s="142"/>
      <c r="Q33" s="142"/>
      <c r="R33" s="142"/>
      <c r="S33" s="142"/>
      <c r="T33" s="142"/>
      <c r="U33" s="142"/>
      <c r="V33" s="142"/>
      <c r="W33" s="142">
        <v>78875.5</v>
      </c>
      <c r="X33" s="142">
        <v>79679</v>
      </c>
      <c r="Y33" s="142">
        <v>79809.5</v>
      </c>
      <c r="Z33" s="142">
        <v>81969</v>
      </c>
      <c r="AA33" s="142">
        <v>82396.5</v>
      </c>
      <c r="AB33" s="142">
        <v>83041</v>
      </c>
      <c r="AC33" s="142">
        <v>83900</v>
      </c>
      <c r="AD33" s="142">
        <v>84880.5</v>
      </c>
      <c r="AE33" s="142">
        <v>84847.5</v>
      </c>
      <c r="AF33" s="142">
        <v>86096.5</v>
      </c>
      <c r="AG33" s="142">
        <v>86548.5</v>
      </c>
      <c r="AH33" s="142">
        <v>86867.5</v>
      </c>
      <c r="AI33" s="142">
        <v>87206</v>
      </c>
      <c r="AJ33" s="142">
        <v>88440.5</v>
      </c>
      <c r="AK33" s="142">
        <v>88381</v>
      </c>
      <c r="AL33" s="142">
        <v>88702</v>
      </c>
      <c r="AM33" s="142">
        <v>88975.5</v>
      </c>
      <c r="AN33" s="142">
        <v>89438.5</v>
      </c>
      <c r="AO33" s="142">
        <v>89424.5</v>
      </c>
      <c r="AP33" s="142">
        <v>89533.5</v>
      </c>
      <c r="AQ33" s="142">
        <v>89605</v>
      </c>
      <c r="AR33" s="142">
        <v>89647.5</v>
      </c>
      <c r="AS33" s="142">
        <v>89114.5</v>
      </c>
      <c r="AT33" s="142">
        <v>88367</v>
      </c>
      <c r="AU33" s="142">
        <v>87098.5</v>
      </c>
      <c r="AV33" s="142">
        <v>87456</v>
      </c>
      <c r="AW33" s="142">
        <v>87823</v>
      </c>
      <c r="AX33" s="142">
        <v>89972.5</v>
      </c>
      <c r="AY33" s="142">
        <v>91752.5</v>
      </c>
      <c r="AZ33" s="142">
        <v>91790.5</v>
      </c>
      <c r="BA33" s="142">
        <v>91830.5</v>
      </c>
      <c r="BB33" s="142">
        <v>92501</v>
      </c>
      <c r="BC33" s="142">
        <v>92751.5</v>
      </c>
      <c r="BD33" s="142">
        <v>93145</v>
      </c>
      <c r="BE33" s="142">
        <v>93224.5</v>
      </c>
      <c r="BF33" s="142">
        <v>93602.5</v>
      </c>
      <c r="BG33" s="142">
        <v>93719</v>
      </c>
      <c r="BH33" s="142">
        <v>93998.5</v>
      </c>
      <c r="BI33" s="142">
        <v>94192</v>
      </c>
      <c r="BJ33" s="142">
        <v>94356.5</v>
      </c>
      <c r="BK33" s="142">
        <v>94666</v>
      </c>
      <c r="BL33" s="142">
        <v>94976.5</v>
      </c>
      <c r="BM33" s="142">
        <v>95246.5</v>
      </c>
      <c r="BN33" s="142">
        <v>95512</v>
      </c>
      <c r="BO33" s="142">
        <v>95743.5</v>
      </c>
      <c r="BP33" s="142">
        <v>95873</v>
      </c>
      <c r="BQ33" s="142">
        <v>95988.5</v>
      </c>
      <c r="BR33" s="142">
        <v>96096</v>
      </c>
      <c r="BS33" s="142">
        <v>96097.5</v>
      </c>
      <c r="BT33" s="142">
        <v>96189.5</v>
      </c>
      <c r="BU33" s="142">
        <v>96276</v>
      </c>
      <c r="BV33" s="142">
        <v>96389</v>
      </c>
      <c r="BW33" s="142">
        <v>96464</v>
      </c>
      <c r="BX33" s="142">
        <v>96608</v>
      </c>
      <c r="BY33" s="142">
        <v>96764</v>
      </c>
      <c r="BZ33" s="142">
        <v>97042.5</v>
      </c>
      <c r="CA33" s="142">
        <v>97228</v>
      </c>
      <c r="CB33" s="142">
        <v>97329</v>
      </c>
      <c r="CC33" s="142">
        <v>97479.5</v>
      </c>
      <c r="CD33" s="142">
        <v>97586</v>
      </c>
      <c r="CE33" s="142">
        <v>97682</v>
      </c>
      <c r="CF33" s="142">
        <v>97830</v>
      </c>
      <c r="CG33" s="142">
        <v>97944.5</v>
      </c>
      <c r="CH33" s="142">
        <v>98031</v>
      </c>
      <c r="CI33" s="142">
        <v>98162</v>
      </c>
      <c r="CJ33" s="142">
        <v>98203</v>
      </c>
      <c r="CK33" s="142">
        <v>98267</v>
      </c>
      <c r="CL33" s="142">
        <v>98393</v>
      </c>
      <c r="CM33" s="142">
        <v>98434.5</v>
      </c>
      <c r="CN33" s="142">
        <v>98520</v>
      </c>
      <c r="CO33" s="142">
        <v>98596</v>
      </c>
      <c r="CP33" s="142">
        <v>98666</v>
      </c>
      <c r="CQ33" s="142">
        <v>98733.5</v>
      </c>
      <c r="CR33" s="142">
        <v>98760</v>
      </c>
      <c r="CS33" s="142">
        <v>98826.5</v>
      </c>
      <c r="CT33" s="142">
        <v>98863</v>
      </c>
      <c r="CU33" s="142">
        <v>98906</v>
      </c>
      <c r="CV33" s="142">
        <v>98926</v>
      </c>
      <c r="CW33" s="142">
        <v>98962.5</v>
      </c>
      <c r="CX33" s="142">
        <v>99012</v>
      </c>
      <c r="CY33" s="142">
        <v>99026.5</v>
      </c>
      <c r="CZ33" s="142">
        <v>99041</v>
      </c>
      <c r="DA33" s="142">
        <v>99056</v>
      </c>
      <c r="DB33" s="142">
        <v>99092.5</v>
      </c>
      <c r="DC33" s="142">
        <v>99123.5</v>
      </c>
      <c r="DD33" s="142">
        <v>99143.5</v>
      </c>
      <c r="DE33" s="142">
        <v>99159</v>
      </c>
      <c r="DF33" s="142">
        <v>99212.5</v>
      </c>
      <c r="DG33" s="142">
        <v>99217.5</v>
      </c>
      <c r="DH33" s="142">
        <v>99242</v>
      </c>
      <c r="DI33" s="142">
        <v>99245.5</v>
      </c>
      <c r="DJ33" s="142">
        <v>99284.5</v>
      </c>
      <c r="DK33" s="142">
        <v>99299.5</v>
      </c>
      <c r="DL33" s="142">
        <v>99310</v>
      </c>
      <c r="DM33" s="142">
        <v>99337</v>
      </c>
      <c r="DN33" s="142">
        <v>99363</v>
      </c>
      <c r="DO33" s="142">
        <v>99387.5</v>
      </c>
      <c r="DP33" s="142"/>
      <c r="DQ33" s="142"/>
    </row>
    <row r="34" spans="1:121">
      <c r="A34" s="140">
        <v>32</v>
      </c>
      <c r="B34" s="142"/>
      <c r="C34" s="142"/>
      <c r="D34" s="142"/>
      <c r="E34" s="142"/>
      <c r="F34" s="142"/>
      <c r="G34" s="142"/>
      <c r="H34" s="142"/>
      <c r="I34" s="142"/>
      <c r="J34" s="142"/>
      <c r="K34" s="142"/>
      <c r="L34" s="142"/>
      <c r="M34" s="142"/>
      <c r="N34" s="142"/>
      <c r="O34" s="142"/>
      <c r="P34" s="142"/>
      <c r="Q34" s="142"/>
      <c r="R34" s="142"/>
      <c r="S34" s="142"/>
      <c r="T34" s="142"/>
      <c r="U34" s="142"/>
      <c r="V34" s="142"/>
      <c r="W34" s="142">
        <v>78746.5</v>
      </c>
      <c r="X34" s="142">
        <v>79555</v>
      </c>
      <c r="Y34" s="142">
        <v>79682</v>
      </c>
      <c r="Z34" s="142">
        <v>81843</v>
      </c>
      <c r="AA34" s="142">
        <v>82272</v>
      </c>
      <c r="AB34" s="142">
        <v>82916.5</v>
      </c>
      <c r="AC34" s="142">
        <v>83778</v>
      </c>
      <c r="AD34" s="142">
        <v>84755.5</v>
      </c>
      <c r="AE34" s="142">
        <v>84726.5</v>
      </c>
      <c r="AF34" s="142">
        <v>85979</v>
      </c>
      <c r="AG34" s="142">
        <v>86429</v>
      </c>
      <c r="AH34" s="142">
        <v>86752</v>
      </c>
      <c r="AI34" s="142">
        <v>87090</v>
      </c>
      <c r="AJ34" s="142">
        <v>88319</v>
      </c>
      <c r="AK34" s="142">
        <v>88271</v>
      </c>
      <c r="AL34" s="142">
        <v>88592</v>
      </c>
      <c r="AM34" s="142">
        <v>88867</v>
      </c>
      <c r="AN34" s="142">
        <v>89325</v>
      </c>
      <c r="AO34" s="142">
        <v>89311.5</v>
      </c>
      <c r="AP34" s="142">
        <v>89421</v>
      </c>
      <c r="AQ34" s="142">
        <v>89493.5</v>
      </c>
      <c r="AR34" s="142">
        <v>89543</v>
      </c>
      <c r="AS34" s="142">
        <v>89006</v>
      </c>
      <c r="AT34" s="142">
        <v>88261</v>
      </c>
      <c r="AU34" s="142">
        <v>86994</v>
      </c>
      <c r="AV34" s="142">
        <v>87352.5</v>
      </c>
      <c r="AW34" s="142">
        <v>87727.5</v>
      </c>
      <c r="AX34" s="142">
        <v>89877</v>
      </c>
      <c r="AY34" s="142">
        <v>91659.5</v>
      </c>
      <c r="AZ34" s="142">
        <v>91691.5</v>
      </c>
      <c r="BA34" s="142">
        <v>91734</v>
      </c>
      <c r="BB34" s="142">
        <v>92409.5</v>
      </c>
      <c r="BC34" s="142">
        <v>92665</v>
      </c>
      <c r="BD34" s="142">
        <v>93057</v>
      </c>
      <c r="BE34" s="142">
        <v>93138.5</v>
      </c>
      <c r="BF34" s="142">
        <v>93514.5</v>
      </c>
      <c r="BG34" s="142">
        <v>93633</v>
      </c>
      <c r="BH34" s="142">
        <v>93912</v>
      </c>
      <c r="BI34" s="142">
        <v>94099.5</v>
      </c>
      <c r="BJ34" s="142">
        <v>94264.5</v>
      </c>
      <c r="BK34" s="142">
        <v>94579</v>
      </c>
      <c r="BL34" s="142">
        <v>94897.5</v>
      </c>
      <c r="BM34" s="142">
        <v>95165.5</v>
      </c>
      <c r="BN34" s="142">
        <v>95432</v>
      </c>
      <c r="BO34" s="142">
        <v>95668.5</v>
      </c>
      <c r="BP34" s="142">
        <v>95804.5</v>
      </c>
      <c r="BQ34" s="142">
        <v>95926</v>
      </c>
      <c r="BR34" s="142">
        <v>96035.5</v>
      </c>
      <c r="BS34" s="142">
        <v>96037</v>
      </c>
      <c r="BT34" s="142">
        <v>96135.5</v>
      </c>
      <c r="BU34" s="142">
        <v>96219</v>
      </c>
      <c r="BV34" s="142">
        <v>96334</v>
      </c>
      <c r="BW34" s="142">
        <v>96411</v>
      </c>
      <c r="BX34" s="142">
        <v>96557</v>
      </c>
      <c r="BY34" s="142">
        <v>96714.5</v>
      </c>
      <c r="BZ34" s="142">
        <v>96991</v>
      </c>
      <c r="CA34" s="142">
        <v>97177.5</v>
      </c>
      <c r="CB34" s="142">
        <v>97279.5</v>
      </c>
      <c r="CC34" s="142">
        <v>97429.5</v>
      </c>
      <c r="CD34" s="142">
        <v>97540</v>
      </c>
      <c r="CE34" s="142">
        <v>97636</v>
      </c>
      <c r="CF34" s="142">
        <v>97784.5</v>
      </c>
      <c r="CG34" s="142">
        <v>97891</v>
      </c>
      <c r="CH34" s="142">
        <v>97984</v>
      </c>
      <c r="CI34" s="142">
        <v>98116</v>
      </c>
      <c r="CJ34" s="142">
        <v>98158.5</v>
      </c>
      <c r="CK34" s="142">
        <v>98223.5</v>
      </c>
      <c r="CL34" s="142">
        <v>98350.5</v>
      </c>
      <c r="CM34" s="142">
        <v>98393.5</v>
      </c>
      <c r="CN34" s="142">
        <v>98479.5</v>
      </c>
      <c r="CO34" s="142">
        <v>98556.5</v>
      </c>
      <c r="CP34" s="142">
        <v>98627.5</v>
      </c>
      <c r="CQ34" s="142">
        <v>98696</v>
      </c>
      <c r="CR34" s="142">
        <v>98723.5</v>
      </c>
      <c r="CS34" s="142">
        <v>98791</v>
      </c>
      <c r="CT34" s="142">
        <v>98828</v>
      </c>
      <c r="CU34" s="142">
        <v>98872.5</v>
      </c>
      <c r="CV34" s="142">
        <v>98893</v>
      </c>
      <c r="CW34" s="142">
        <v>98930.5</v>
      </c>
      <c r="CX34" s="142">
        <v>98981</v>
      </c>
      <c r="CY34" s="142">
        <v>98995.5</v>
      </c>
      <c r="CZ34" s="142">
        <v>99011.5</v>
      </c>
      <c r="DA34" s="142">
        <v>99027</v>
      </c>
      <c r="DB34" s="142">
        <v>99064.5</v>
      </c>
      <c r="DC34" s="142">
        <v>99096</v>
      </c>
      <c r="DD34" s="142">
        <v>99116.5</v>
      </c>
      <c r="DE34" s="142">
        <v>99133.5</v>
      </c>
      <c r="DF34" s="142">
        <v>99187</v>
      </c>
      <c r="DG34" s="142">
        <v>99193</v>
      </c>
      <c r="DH34" s="142">
        <v>99218.5</v>
      </c>
      <c r="DI34" s="142">
        <v>99222</v>
      </c>
      <c r="DJ34" s="142">
        <v>99261.5</v>
      </c>
      <c r="DK34" s="142">
        <v>99277</v>
      </c>
      <c r="DL34" s="142">
        <v>99288.5</v>
      </c>
      <c r="DM34" s="142">
        <v>99316</v>
      </c>
      <c r="DN34" s="142">
        <v>99342</v>
      </c>
      <c r="DO34" s="142">
        <v>99367</v>
      </c>
      <c r="DP34" s="142"/>
      <c r="DQ34" s="142"/>
    </row>
    <row r="35" spans="1:121">
      <c r="A35" s="140">
        <v>33</v>
      </c>
      <c r="B35" s="142"/>
      <c r="C35" s="142"/>
      <c r="D35" s="142"/>
      <c r="E35" s="142"/>
      <c r="F35" s="142"/>
      <c r="G35" s="142"/>
      <c r="H35" s="142"/>
      <c r="I35" s="142"/>
      <c r="J35" s="142"/>
      <c r="K35" s="142"/>
      <c r="L35" s="142"/>
      <c r="M35" s="142"/>
      <c r="N35" s="142"/>
      <c r="O35" s="142"/>
      <c r="P35" s="142"/>
      <c r="Q35" s="142"/>
      <c r="R35" s="142"/>
      <c r="S35" s="142"/>
      <c r="T35" s="142"/>
      <c r="U35" s="142"/>
      <c r="V35" s="142"/>
      <c r="W35" s="142">
        <v>78616</v>
      </c>
      <c r="X35" s="142">
        <v>79422</v>
      </c>
      <c r="Y35" s="142">
        <v>79548.5</v>
      </c>
      <c r="Z35" s="142">
        <v>81711.5</v>
      </c>
      <c r="AA35" s="142">
        <v>82136.5</v>
      </c>
      <c r="AB35" s="142">
        <v>82790</v>
      </c>
      <c r="AC35" s="142">
        <v>83652</v>
      </c>
      <c r="AD35" s="142">
        <v>84635</v>
      </c>
      <c r="AE35" s="142">
        <v>84600</v>
      </c>
      <c r="AF35" s="142">
        <v>85856</v>
      </c>
      <c r="AG35" s="142">
        <v>86305</v>
      </c>
      <c r="AH35" s="142">
        <v>86626</v>
      </c>
      <c r="AI35" s="142">
        <v>86970.5</v>
      </c>
      <c r="AJ35" s="142">
        <v>88201</v>
      </c>
      <c r="AK35" s="142">
        <v>88155.5</v>
      </c>
      <c r="AL35" s="142">
        <v>88479.5</v>
      </c>
      <c r="AM35" s="142">
        <v>88751</v>
      </c>
      <c r="AN35" s="142">
        <v>89207</v>
      </c>
      <c r="AO35" s="142">
        <v>89195</v>
      </c>
      <c r="AP35" s="142">
        <v>89305</v>
      </c>
      <c r="AQ35" s="142">
        <v>89382.5</v>
      </c>
      <c r="AR35" s="142">
        <v>89429</v>
      </c>
      <c r="AS35" s="142">
        <v>88893</v>
      </c>
      <c r="AT35" s="142">
        <v>88153</v>
      </c>
      <c r="AU35" s="142">
        <v>86887</v>
      </c>
      <c r="AV35" s="142">
        <v>87248</v>
      </c>
      <c r="AW35" s="142">
        <v>87626.5</v>
      </c>
      <c r="AX35" s="142">
        <v>89778</v>
      </c>
      <c r="AY35" s="142">
        <v>91560.5</v>
      </c>
      <c r="AZ35" s="142">
        <v>91590.5</v>
      </c>
      <c r="BA35" s="142">
        <v>91641</v>
      </c>
      <c r="BB35" s="142">
        <v>92317.5</v>
      </c>
      <c r="BC35" s="142">
        <v>92573</v>
      </c>
      <c r="BD35" s="142">
        <v>92968</v>
      </c>
      <c r="BE35" s="142">
        <v>93040</v>
      </c>
      <c r="BF35" s="142">
        <v>93420</v>
      </c>
      <c r="BG35" s="142">
        <v>93534.5</v>
      </c>
      <c r="BH35" s="142">
        <v>93816.5</v>
      </c>
      <c r="BI35" s="142">
        <v>93998.5</v>
      </c>
      <c r="BJ35" s="142">
        <v>94175</v>
      </c>
      <c r="BK35" s="142">
        <v>94488.5</v>
      </c>
      <c r="BL35" s="142">
        <v>94808.5</v>
      </c>
      <c r="BM35" s="142">
        <v>95083.5</v>
      </c>
      <c r="BN35" s="142">
        <v>95352</v>
      </c>
      <c r="BO35" s="142">
        <v>95597.5</v>
      </c>
      <c r="BP35" s="142">
        <v>95738</v>
      </c>
      <c r="BQ35" s="142">
        <v>95858</v>
      </c>
      <c r="BR35" s="142">
        <v>95972</v>
      </c>
      <c r="BS35" s="142">
        <v>95978</v>
      </c>
      <c r="BT35" s="142">
        <v>96079.5</v>
      </c>
      <c r="BU35" s="142">
        <v>96165.5</v>
      </c>
      <c r="BV35" s="142">
        <v>96276.5</v>
      </c>
      <c r="BW35" s="142">
        <v>96361</v>
      </c>
      <c r="BX35" s="142">
        <v>96505.5</v>
      </c>
      <c r="BY35" s="142">
        <v>96662.5</v>
      </c>
      <c r="BZ35" s="142">
        <v>96938.5</v>
      </c>
      <c r="CA35" s="142">
        <v>97125</v>
      </c>
      <c r="CB35" s="142">
        <v>97225</v>
      </c>
      <c r="CC35" s="142">
        <v>97375.5</v>
      </c>
      <c r="CD35" s="142">
        <v>97493</v>
      </c>
      <c r="CE35" s="142">
        <v>97585</v>
      </c>
      <c r="CF35" s="142">
        <v>97732.5</v>
      </c>
      <c r="CG35" s="142">
        <v>97841.5</v>
      </c>
      <c r="CH35" s="142">
        <v>97935.5</v>
      </c>
      <c r="CI35" s="142">
        <v>98069</v>
      </c>
      <c r="CJ35" s="142">
        <v>98112</v>
      </c>
      <c r="CK35" s="142">
        <v>98178.5</v>
      </c>
      <c r="CL35" s="142">
        <v>98306.5</v>
      </c>
      <c r="CM35" s="142">
        <v>98350</v>
      </c>
      <c r="CN35" s="142">
        <v>98437.5</v>
      </c>
      <c r="CO35" s="142">
        <v>98515.5</v>
      </c>
      <c r="CP35" s="142">
        <v>98588</v>
      </c>
      <c r="CQ35" s="142">
        <v>98657</v>
      </c>
      <c r="CR35" s="142">
        <v>98685.5</v>
      </c>
      <c r="CS35" s="142">
        <v>98753.5</v>
      </c>
      <c r="CT35" s="142">
        <v>98792</v>
      </c>
      <c r="CU35" s="142">
        <v>98837</v>
      </c>
      <c r="CV35" s="142">
        <v>98859</v>
      </c>
      <c r="CW35" s="142">
        <v>98897</v>
      </c>
      <c r="CX35" s="142">
        <v>98948.5</v>
      </c>
      <c r="CY35" s="142">
        <v>98964</v>
      </c>
      <c r="CZ35" s="142">
        <v>98980.5</v>
      </c>
      <c r="DA35" s="142">
        <v>98997</v>
      </c>
      <c r="DB35" s="142">
        <v>99035</v>
      </c>
      <c r="DC35" s="142">
        <v>99067</v>
      </c>
      <c r="DD35" s="142">
        <v>99088.5</v>
      </c>
      <c r="DE35" s="142">
        <v>99106</v>
      </c>
      <c r="DF35" s="142">
        <v>99160.5</v>
      </c>
      <c r="DG35" s="142">
        <v>99167</v>
      </c>
      <c r="DH35" s="142">
        <v>99192.5</v>
      </c>
      <c r="DI35" s="142">
        <v>99197.5</v>
      </c>
      <c r="DJ35" s="142">
        <v>99237</v>
      </c>
      <c r="DK35" s="142">
        <v>99253.5</v>
      </c>
      <c r="DL35" s="142">
        <v>99265.5</v>
      </c>
      <c r="DM35" s="142">
        <v>99293.5</v>
      </c>
      <c r="DN35" s="142">
        <v>99320.5</v>
      </c>
      <c r="DO35" s="142">
        <v>99346</v>
      </c>
      <c r="DP35" s="142"/>
      <c r="DQ35" s="142"/>
    </row>
    <row r="36" spans="1:121">
      <c r="A36" s="140">
        <v>34</v>
      </c>
      <c r="B36" s="142"/>
      <c r="C36" s="142"/>
      <c r="D36" s="142"/>
      <c r="E36" s="142"/>
      <c r="F36" s="142"/>
      <c r="G36" s="142"/>
      <c r="H36" s="142"/>
      <c r="I36" s="142"/>
      <c r="J36" s="142"/>
      <c r="K36" s="142"/>
      <c r="L36" s="142"/>
      <c r="M36" s="142"/>
      <c r="N36" s="142"/>
      <c r="O36" s="142"/>
      <c r="P36" s="142"/>
      <c r="Q36" s="142"/>
      <c r="R36" s="142"/>
      <c r="S36" s="142"/>
      <c r="T36" s="142"/>
      <c r="U36" s="142"/>
      <c r="V36" s="142"/>
      <c r="W36" s="142">
        <v>78484.5</v>
      </c>
      <c r="X36" s="142">
        <v>79284</v>
      </c>
      <c r="Y36" s="142">
        <v>79421.5</v>
      </c>
      <c r="Z36" s="142">
        <v>81582</v>
      </c>
      <c r="AA36" s="142">
        <v>82007.5</v>
      </c>
      <c r="AB36" s="142">
        <v>82658.5</v>
      </c>
      <c r="AC36" s="142">
        <v>83522.5</v>
      </c>
      <c r="AD36" s="142">
        <v>84505</v>
      </c>
      <c r="AE36" s="142">
        <v>84472.5</v>
      </c>
      <c r="AF36" s="142">
        <v>85728</v>
      </c>
      <c r="AG36" s="142">
        <v>86179</v>
      </c>
      <c r="AH36" s="142">
        <v>86500.5</v>
      </c>
      <c r="AI36" s="142">
        <v>86835.5</v>
      </c>
      <c r="AJ36" s="142">
        <v>88080.5</v>
      </c>
      <c r="AK36" s="142">
        <v>88037</v>
      </c>
      <c r="AL36" s="142">
        <v>88357.5</v>
      </c>
      <c r="AM36" s="142">
        <v>88622.5</v>
      </c>
      <c r="AN36" s="142">
        <v>89087.5</v>
      </c>
      <c r="AO36" s="142">
        <v>89069</v>
      </c>
      <c r="AP36" s="142">
        <v>89187.5</v>
      </c>
      <c r="AQ36" s="142">
        <v>89263.5</v>
      </c>
      <c r="AR36" s="142">
        <v>89310</v>
      </c>
      <c r="AS36" s="142">
        <v>88774</v>
      </c>
      <c r="AT36" s="142">
        <v>88036</v>
      </c>
      <c r="AU36" s="142">
        <v>86771.5</v>
      </c>
      <c r="AV36" s="142">
        <v>87135</v>
      </c>
      <c r="AW36" s="142">
        <v>87524.5</v>
      </c>
      <c r="AX36" s="142">
        <v>89679.5</v>
      </c>
      <c r="AY36" s="142">
        <v>91458</v>
      </c>
      <c r="AZ36" s="142">
        <v>91493</v>
      </c>
      <c r="BA36" s="142">
        <v>91544.5</v>
      </c>
      <c r="BB36" s="142">
        <v>92223.5</v>
      </c>
      <c r="BC36" s="142">
        <v>92479.5</v>
      </c>
      <c r="BD36" s="142">
        <v>92874.5</v>
      </c>
      <c r="BE36" s="142">
        <v>92942</v>
      </c>
      <c r="BF36" s="142">
        <v>93319.5</v>
      </c>
      <c r="BG36" s="142">
        <v>93426.5</v>
      </c>
      <c r="BH36" s="142">
        <v>93710.5</v>
      </c>
      <c r="BI36" s="142">
        <v>93896</v>
      </c>
      <c r="BJ36" s="142">
        <v>94068</v>
      </c>
      <c r="BK36" s="142">
        <v>94394</v>
      </c>
      <c r="BL36" s="142">
        <v>94716.5</v>
      </c>
      <c r="BM36" s="142">
        <v>94999.5</v>
      </c>
      <c r="BN36" s="142">
        <v>95273</v>
      </c>
      <c r="BO36" s="142">
        <v>95528.5</v>
      </c>
      <c r="BP36" s="142">
        <v>95666</v>
      </c>
      <c r="BQ36" s="142">
        <v>95792</v>
      </c>
      <c r="BR36" s="142">
        <v>95909.5</v>
      </c>
      <c r="BS36" s="142">
        <v>95915.5</v>
      </c>
      <c r="BT36" s="142">
        <v>96020</v>
      </c>
      <c r="BU36" s="142">
        <v>96104.5</v>
      </c>
      <c r="BV36" s="142">
        <v>96220</v>
      </c>
      <c r="BW36" s="142">
        <v>96306.5</v>
      </c>
      <c r="BX36" s="142">
        <v>96452</v>
      </c>
      <c r="BY36" s="142">
        <v>96608.5</v>
      </c>
      <c r="BZ36" s="142">
        <v>96887</v>
      </c>
      <c r="CA36" s="142">
        <v>97065.5</v>
      </c>
      <c r="CB36" s="142">
        <v>97171</v>
      </c>
      <c r="CC36" s="142">
        <v>97322.5</v>
      </c>
      <c r="CD36" s="142">
        <v>97438.5</v>
      </c>
      <c r="CE36" s="142">
        <v>97533</v>
      </c>
      <c r="CF36" s="142">
        <v>97679.5</v>
      </c>
      <c r="CG36" s="142">
        <v>97790</v>
      </c>
      <c r="CH36" s="142">
        <v>97885</v>
      </c>
      <c r="CI36" s="142">
        <v>98020</v>
      </c>
      <c r="CJ36" s="142">
        <v>98064.5</v>
      </c>
      <c r="CK36" s="142">
        <v>98132</v>
      </c>
      <c r="CL36" s="142">
        <v>98261</v>
      </c>
      <c r="CM36" s="142">
        <v>98306</v>
      </c>
      <c r="CN36" s="142">
        <v>98394</v>
      </c>
      <c r="CO36" s="142">
        <v>98473</v>
      </c>
      <c r="CP36" s="142">
        <v>98546</v>
      </c>
      <c r="CQ36" s="142">
        <v>98616.5</v>
      </c>
      <c r="CR36" s="142">
        <v>98646</v>
      </c>
      <c r="CS36" s="142">
        <v>98715.5</v>
      </c>
      <c r="CT36" s="142">
        <v>98754.5</v>
      </c>
      <c r="CU36" s="142">
        <v>98800.5</v>
      </c>
      <c r="CV36" s="142">
        <v>98823</v>
      </c>
      <c r="CW36" s="142">
        <v>98862</v>
      </c>
      <c r="CX36" s="142">
        <v>98914.5</v>
      </c>
      <c r="CY36" s="142">
        <v>98930.5</v>
      </c>
      <c r="CZ36" s="142">
        <v>98948</v>
      </c>
      <c r="DA36" s="142">
        <v>98965.5</v>
      </c>
      <c r="DB36" s="142">
        <v>99004</v>
      </c>
      <c r="DC36" s="142">
        <v>99037</v>
      </c>
      <c r="DD36" s="142">
        <v>99059.5</v>
      </c>
      <c r="DE36" s="142">
        <v>99077.5</v>
      </c>
      <c r="DF36" s="142">
        <v>99133</v>
      </c>
      <c r="DG36" s="142">
        <v>99139.5</v>
      </c>
      <c r="DH36" s="142">
        <v>99166.5</v>
      </c>
      <c r="DI36" s="142">
        <v>99171.5</v>
      </c>
      <c r="DJ36" s="142">
        <v>99212.5</v>
      </c>
      <c r="DK36" s="142">
        <v>99229</v>
      </c>
      <c r="DL36" s="142">
        <v>99242</v>
      </c>
      <c r="DM36" s="142">
        <v>99270.5</v>
      </c>
      <c r="DN36" s="142">
        <v>99297.5</v>
      </c>
      <c r="DO36" s="142">
        <v>99324</v>
      </c>
      <c r="DP36" s="142"/>
      <c r="DQ36" s="142"/>
    </row>
    <row r="37" spans="1:121">
      <c r="A37" s="140">
        <v>35</v>
      </c>
      <c r="B37" s="142"/>
      <c r="C37" s="142"/>
      <c r="D37" s="142"/>
      <c r="E37" s="142"/>
      <c r="F37" s="142"/>
      <c r="G37" s="142"/>
      <c r="H37" s="142"/>
      <c r="I37" s="142"/>
      <c r="J37" s="142"/>
      <c r="K37" s="142"/>
      <c r="L37" s="142"/>
      <c r="M37" s="142"/>
      <c r="N37" s="142"/>
      <c r="O37" s="142"/>
      <c r="P37" s="142"/>
      <c r="Q37" s="142"/>
      <c r="R37" s="142"/>
      <c r="S37" s="142"/>
      <c r="T37" s="142"/>
      <c r="U37" s="142"/>
      <c r="V37" s="142"/>
      <c r="W37" s="142">
        <v>78346</v>
      </c>
      <c r="X37" s="142">
        <v>79146</v>
      </c>
      <c r="Y37" s="142">
        <v>79283.5</v>
      </c>
      <c r="Z37" s="142">
        <v>81445</v>
      </c>
      <c r="AA37" s="142">
        <v>81873.5</v>
      </c>
      <c r="AB37" s="142">
        <v>82521</v>
      </c>
      <c r="AC37" s="142">
        <v>83392</v>
      </c>
      <c r="AD37" s="142">
        <v>84374</v>
      </c>
      <c r="AE37" s="142">
        <v>84336</v>
      </c>
      <c r="AF37" s="142">
        <v>85597.5</v>
      </c>
      <c r="AG37" s="142">
        <v>86048.5</v>
      </c>
      <c r="AH37" s="142">
        <v>86363.5</v>
      </c>
      <c r="AI37" s="142">
        <v>86701.5</v>
      </c>
      <c r="AJ37" s="142">
        <v>87958</v>
      </c>
      <c r="AK37" s="142">
        <v>87897.5</v>
      </c>
      <c r="AL37" s="142">
        <v>88229</v>
      </c>
      <c r="AM37" s="142">
        <v>88495.5</v>
      </c>
      <c r="AN37" s="142">
        <v>88960.5</v>
      </c>
      <c r="AO37" s="142">
        <v>88941.5</v>
      </c>
      <c r="AP37" s="142">
        <v>89058</v>
      </c>
      <c r="AQ37" s="142">
        <v>89137.5</v>
      </c>
      <c r="AR37" s="142">
        <v>89192.5</v>
      </c>
      <c r="AS37" s="142">
        <v>88647</v>
      </c>
      <c r="AT37" s="142">
        <v>87914</v>
      </c>
      <c r="AU37" s="142">
        <v>86663.5</v>
      </c>
      <c r="AV37" s="142">
        <v>87022.5</v>
      </c>
      <c r="AW37" s="142">
        <v>87421</v>
      </c>
      <c r="AX37" s="142">
        <v>89576</v>
      </c>
      <c r="AY37" s="142">
        <v>91349</v>
      </c>
      <c r="AZ37" s="142">
        <v>91391.5</v>
      </c>
      <c r="BA37" s="142">
        <v>91438</v>
      </c>
      <c r="BB37" s="142">
        <v>92122</v>
      </c>
      <c r="BC37" s="142">
        <v>92379.5</v>
      </c>
      <c r="BD37" s="142">
        <v>92771</v>
      </c>
      <c r="BE37" s="142">
        <v>92830.5</v>
      </c>
      <c r="BF37" s="142">
        <v>93204.5</v>
      </c>
      <c r="BG37" s="142">
        <v>93311.5</v>
      </c>
      <c r="BH37" s="142">
        <v>93601</v>
      </c>
      <c r="BI37" s="142">
        <v>93787</v>
      </c>
      <c r="BJ37" s="142">
        <v>93961</v>
      </c>
      <c r="BK37" s="142">
        <v>94297</v>
      </c>
      <c r="BL37" s="142">
        <v>94625</v>
      </c>
      <c r="BM37" s="142">
        <v>94914</v>
      </c>
      <c r="BN37" s="142">
        <v>95197</v>
      </c>
      <c r="BO37" s="142">
        <v>95447.5</v>
      </c>
      <c r="BP37" s="142">
        <v>95595.5</v>
      </c>
      <c r="BQ37" s="142">
        <v>95723</v>
      </c>
      <c r="BR37" s="142">
        <v>95840</v>
      </c>
      <c r="BS37" s="142">
        <v>95848</v>
      </c>
      <c r="BT37" s="142">
        <v>95959.5</v>
      </c>
      <c r="BU37" s="142">
        <v>96043.5</v>
      </c>
      <c r="BV37" s="142">
        <v>96160</v>
      </c>
      <c r="BW37" s="142">
        <v>96250.5</v>
      </c>
      <c r="BX37" s="142">
        <v>96395.5</v>
      </c>
      <c r="BY37" s="142">
        <v>96546</v>
      </c>
      <c r="BZ37" s="142">
        <v>96827.5</v>
      </c>
      <c r="CA37" s="142">
        <v>97008.5</v>
      </c>
      <c r="CB37" s="142">
        <v>97114</v>
      </c>
      <c r="CC37" s="142">
        <v>97264.5</v>
      </c>
      <c r="CD37" s="142">
        <v>97380.5</v>
      </c>
      <c r="CE37" s="142">
        <v>97477</v>
      </c>
      <c r="CF37" s="142">
        <v>97625.5</v>
      </c>
      <c r="CG37" s="142">
        <v>97737</v>
      </c>
      <c r="CH37" s="142">
        <v>97833</v>
      </c>
      <c r="CI37" s="142">
        <v>97969</v>
      </c>
      <c r="CJ37" s="142">
        <v>98014.5</v>
      </c>
      <c r="CK37" s="142">
        <v>98083</v>
      </c>
      <c r="CL37" s="142">
        <v>98213.5</v>
      </c>
      <c r="CM37" s="142">
        <v>98259.5</v>
      </c>
      <c r="CN37" s="142">
        <v>98348.5</v>
      </c>
      <c r="CO37" s="142">
        <v>98429.5</v>
      </c>
      <c r="CP37" s="142">
        <v>98503.5</v>
      </c>
      <c r="CQ37" s="142">
        <v>98575</v>
      </c>
      <c r="CR37" s="142">
        <v>98605</v>
      </c>
      <c r="CS37" s="142">
        <v>98675</v>
      </c>
      <c r="CT37" s="142">
        <v>98715.5</v>
      </c>
      <c r="CU37" s="142">
        <v>98762.5</v>
      </c>
      <c r="CV37" s="142">
        <v>98786</v>
      </c>
      <c r="CW37" s="142">
        <v>98825.5</v>
      </c>
      <c r="CX37" s="142">
        <v>98879</v>
      </c>
      <c r="CY37" s="142">
        <v>98896</v>
      </c>
      <c r="CZ37" s="142">
        <v>98914.5</v>
      </c>
      <c r="DA37" s="142">
        <v>98932.5</v>
      </c>
      <c r="DB37" s="142">
        <v>98972</v>
      </c>
      <c r="DC37" s="142">
        <v>99005.5</v>
      </c>
      <c r="DD37" s="142">
        <v>99028.5</v>
      </c>
      <c r="DE37" s="142">
        <v>99047.5</v>
      </c>
      <c r="DF37" s="142">
        <v>99103.5</v>
      </c>
      <c r="DG37" s="142">
        <v>99111</v>
      </c>
      <c r="DH37" s="142">
        <v>99138.5</v>
      </c>
      <c r="DI37" s="142">
        <v>99144.5</v>
      </c>
      <c r="DJ37" s="142">
        <v>99185.5</v>
      </c>
      <c r="DK37" s="142">
        <v>99203</v>
      </c>
      <c r="DL37" s="142">
        <v>99216.5</v>
      </c>
      <c r="DM37" s="142">
        <v>99245.5</v>
      </c>
      <c r="DN37" s="142">
        <v>99273.5</v>
      </c>
      <c r="DO37" s="142">
        <v>99300.5</v>
      </c>
      <c r="DP37" s="142"/>
      <c r="DQ37" s="142"/>
    </row>
    <row r="38" spans="1:121">
      <c r="A38" s="140">
        <v>36</v>
      </c>
      <c r="B38" s="142"/>
      <c r="C38" s="142"/>
      <c r="D38" s="142"/>
      <c r="E38" s="142"/>
      <c r="F38" s="142"/>
      <c r="G38" s="142"/>
      <c r="H38" s="142"/>
      <c r="I38" s="142"/>
      <c r="J38" s="142"/>
      <c r="K38" s="142"/>
      <c r="L38" s="142"/>
      <c r="M38" s="142"/>
      <c r="N38" s="142"/>
      <c r="O38" s="142"/>
      <c r="P38" s="142"/>
      <c r="Q38" s="142"/>
      <c r="R38" s="142"/>
      <c r="S38" s="142"/>
      <c r="T38" s="142"/>
      <c r="U38" s="142"/>
      <c r="V38" s="142"/>
      <c r="W38" s="142">
        <v>78197</v>
      </c>
      <c r="X38" s="142">
        <v>79001.5</v>
      </c>
      <c r="Y38" s="142">
        <v>79140.5</v>
      </c>
      <c r="Z38" s="142">
        <v>81295.5</v>
      </c>
      <c r="AA38" s="142">
        <v>81729</v>
      </c>
      <c r="AB38" s="142">
        <v>82380</v>
      </c>
      <c r="AC38" s="142">
        <v>83252</v>
      </c>
      <c r="AD38" s="142">
        <v>84227</v>
      </c>
      <c r="AE38" s="142">
        <v>84195.5</v>
      </c>
      <c r="AF38" s="142">
        <v>85456</v>
      </c>
      <c r="AG38" s="142">
        <v>85912.5</v>
      </c>
      <c r="AH38" s="142">
        <v>86225.5</v>
      </c>
      <c r="AI38" s="142">
        <v>86562</v>
      </c>
      <c r="AJ38" s="142">
        <v>87812</v>
      </c>
      <c r="AK38" s="142">
        <v>87754</v>
      </c>
      <c r="AL38" s="142">
        <v>88088</v>
      </c>
      <c r="AM38" s="142">
        <v>88362</v>
      </c>
      <c r="AN38" s="142">
        <v>88830</v>
      </c>
      <c r="AO38" s="142">
        <v>88809.5</v>
      </c>
      <c r="AP38" s="142">
        <v>88929</v>
      </c>
      <c r="AQ38" s="142">
        <v>89008.5</v>
      </c>
      <c r="AR38" s="142">
        <v>89058</v>
      </c>
      <c r="AS38" s="142">
        <v>88517</v>
      </c>
      <c r="AT38" s="142">
        <v>87793</v>
      </c>
      <c r="AU38" s="142">
        <v>86547</v>
      </c>
      <c r="AV38" s="142">
        <v>86903.5</v>
      </c>
      <c r="AW38" s="142">
        <v>87308.5</v>
      </c>
      <c r="AX38" s="142">
        <v>89464</v>
      </c>
      <c r="AY38" s="142">
        <v>91237.5</v>
      </c>
      <c r="AZ38" s="142">
        <v>91287</v>
      </c>
      <c r="BA38" s="142">
        <v>91328</v>
      </c>
      <c r="BB38" s="142">
        <v>92009.5</v>
      </c>
      <c r="BC38" s="142">
        <v>92270.5</v>
      </c>
      <c r="BD38" s="142">
        <v>92655</v>
      </c>
      <c r="BE38" s="142">
        <v>92709.5</v>
      </c>
      <c r="BF38" s="142">
        <v>93081.5</v>
      </c>
      <c r="BG38" s="142">
        <v>93194.5</v>
      </c>
      <c r="BH38" s="142">
        <v>93490</v>
      </c>
      <c r="BI38" s="142">
        <v>93675.5</v>
      </c>
      <c r="BJ38" s="142">
        <v>93855</v>
      </c>
      <c r="BK38" s="142">
        <v>94194</v>
      </c>
      <c r="BL38" s="142">
        <v>94528</v>
      </c>
      <c r="BM38" s="142">
        <v>94831</v>
      </c>
      <c r="BN38" s="142">
        <v>95117.5</v>
      </c>
      <c r="BO38" s="142">
        <v>95365.5</v>
      </c>
      <c r="BP38" s="142">
        <v>95518</v>
      </c>
      <c r="BQ38" s="142">
        <v>95644.5</v>
      </c>
      <c r="BR38" s="142">
        <v>95767</v>
      </c>
      <c r="BS38" s="142">
        <v>95779</v>
      </c>
      <c r="BT38" s="142">
        <v>95895</v>
      </c>
      <c r="BU38" s="142">
        <v>95978</v>
      </c>
      <c r="BV38" s="142">
        <v>96099.5</v>
      </c>
      <c r="BW38" s="142">
        <v>96186</v>
      </c>
      <c r="BX38" s="142">
        <v>96332</v>
      </c>
      <c r="BY38" s="142">
        <v>96490.5</v>
      </c>
      <c r="BZ38" s="142">
        <v>96768</v>
      </c>
      <c r="CA38" s="142">
        <v>96945.5</v>
      </c>
      <c r="CB38" s="142">
        <v>97054.5</v>
      </c>
      <c r="CC38" s="142">
        <v>97202</v>
      </c>
      <c r="CD38" s="142">
        <v>97321.5</v>
      </c>
      <c r="CE38" s="142">
        <v>97419</v>
      </c>
      <c r="CF38" s="142">
        <v>97569</v>
      </c>
      <c r="CG38" s="142">
        <v>97681</v>
      </c>
      <c r="CH38" s="142">
        <v>97779.5</v>
      </c>
      <c r="CI38" s="142">
        <v>97916</v>
      </c>
      <c r="CJ38" s="142">
        <v>97963.5</v>
      </c>
      <c r="CK38" s="142">
        <v>98033</v>
      </c>
      <c r="CL38" s="142">
        <v>98164</v>
      </c>
      <c r="CM38" s="142">
        <v>98211.5</v>
      </c>
      <c r="CN38" s="142">
        <v>98302</v>
      </c>
      <c r="CO38" s="142">
        <v>98383.5</v>
      </c>
      <c r="CP38" s="142">
        <v>98458.5</v>
      </c>
      <c r="CQ38" s="142">
        <v>98530.5</v>
      </c>
      <c r="CR38" s="142">
        <v>98562</v>
      </c>
      <c r="CS38" s="142">
        <v>98633.5</v>
      </c>
      <c r="CT38" s="142">
        <v>98674.5</v>
      </c>
      <c r="CU38" s="142">
        <v>98722.5</v>
      </c>
      <c r="CV38" s="142">
        <v>98746.5</v>
      </c>
      <c r="CW38" s="142">
        <v>98788</v>
      </c>
      <c r="CX38" s="142">
        <v>98842</v>
      </c>
      <c r="CY38" s="142">
        <v>98860</v>
      </c>
      <c r="CZ38" s="142">
        <v>98878.5</v>
      </c>
      <c r="DA38" s="142">
        <v>98898</v>
      </c>
      <c r="DB38" s="142">
        <v>98938</v>
      </c>
      <c r="DC38" s="142">
        <v>98972.5</v>
      </c>
      <c r="DD38" s="142">
        <v>98997</v>
      </c>
      <c r="DE38" s="142">
        <v>99016</v>
      </c>
      <c r="DF38" s="142">
        <v>99073</v>
      </c>
      <c r="DG38" s="142">
        <v>99081.5</v>
      </c>
      <c r="DH38" s="142">
        <v>99109.5</v>
      </c>
      <c r="DI38" s="142">
        <v>99116</v>
      </c>
      <c r="DJ38" s="142">
        <v>99158</v>
      </c>
      <c r="DK38" s="142">
        <v>99175.5</v>
      </c>
      <c r="DL38" s="142">
        <v>99190</v>
      </c>
      <c r="DM38" s="142">
        <v>99219.5</v>
      </c>
      <c r="DN38" s="142">
        <v>99248</v>
      </c>
      <c r="DO38" s="142">
        <v>99276</v>
      </c>
      <c r="DP38" s="142"/>
      <c r="DQ38" s="142"/>
    </row>
    <row r="39" spans="1:121">
      <c r="A39" s="140">
        <v>37</v>
      </c>
      <c r="B39" s="142"/>
      <c r="C39" s="142"/>
      <c r="D39" s="142"/>
      <c r="E39" s="142"/>
      <c r="F39" s="142"/>
      <c r="G39" s="142"/>
      <c r="H39" s="142"/>
      <c r="I39" s="142"/>
      <c r="J39" s="142"/>
      <c r="K39" s="142"/>
      <c r="L39" s="142"/>
      <c r="M39" s="142"/>
      <c r="N39" s="142"/>
      <c r="O39" s="142"/>
      <c r="P39" s="142"/>
      <c r="Q39" s="142"/>
      <c r="R39" s="142"/>
      <c r="S39" s="142"/>
      <c r="T39" s="142"/>
      <c r="U39" s="142"/>
      <c r="V39" s="142"/>
      <c r="W39" s="142">
        <v>78043.5</v>
      </c>
      <c r="X39" s="142">
        <v>78853</v>
      </c>
      <c r="Y39" s="142">
        <v>78984</v>
      </c>
      <c r="Z39" s="142">
        <v>81144.5</v>
      </c>
      <c r="AA39" s="142">
        <v>81577.5</v>
      </c>
      <c r="AB39" s="142">
        <v>82239</v>
      </c>
      <c r="AC39" s="142">
        <v>83106</v>
      </c>
      <c r="AD39" s="142">
        <v>84080</v>
      </c>
      <c r="AE39" s="142">
        <v>84054</v>
      </c>
      <c r="AF39" s="142">
        <v>85302.5</v>
      </c>
      <c r="AG39" s="142">
        <v>85761</v>
      </c>
      <c r="AH39" s="142">
        <v>86079</v>
      </c>
      <c r="AI39" s="142">
        <v>86413</v>
      </c>
      <c r="AJ39" s="142">
        <v>87662</v>
      </c>
      <c r="AK39" s="142">
        <v>87608</v>
      </c>
      <c r="AL39" s="142">
        <v>87936</v>
      </c>
      <c r="AM39" s="142">
        <v>88222.5</v>
      </c>
      <c r="AN39" s="142">
        <v>88684</v>
      </c>
      <c r="AO39" s="142">
        <v>88659.5</v>
      </c>
      <c r="AP39" s="142">
        <v>88788.5</v>
      </c>
      <c r="AQ39" s="142">
        <v>88868.5</v>
      </c>
      <c r="AR39" s="142">
        <v>88922.5</v>
      </c>
      <c r="AS39" s="142">
        <v>88385</v>
      </c>
      <c r="AT39" s="142">
        <v>87666</v>
      </c>
      <c r="AU39" s="142">
        <v>86421.5</v>
      </c>
      <c r="AV39" s="142">
        <v>86780</v>
      </c>
      <c r="AW39" s="142">
        <v>87189</v>
      </c>
      <c r="AX39" s="142">
        <v>89350.5</v>
      </c>
      <c r="AY39" s="142">
        <v>91121.5</v>
      </c>
      <c r="AZ39" s="142">
        <v>91172.5</v>
      </c>
      <c r="BA39" s="142">
        <v>91211.5</v>
      </c>
      <c r="BB39" s="142">
        <v>91887</v>
      </c>
      <c r="BC39" s="142">
        <v>92144.5</v>
      </c>
      <c r="BD39" s="142">
        <v>92523.5</v>
      </c>
      <c r="BE39" s="142">
        <v>92577.5</v>
      </c>
      <c r="BF39" s="142">
        <v>92960</v>
      </c>
      <c r="BG39" s="142">
        <v>93066.5</v>
      </c>
      <c r="BH39" s="142">
        <v>93367</v>
      </c>
      <c r="BI39" s="142">
        <v>93559</v>
      </c>
      <c r="BJ39" s="142">
        <v>93748.5</v>
      </c>
      <c r="BK39" s="142">
        <v>94087.5</v>
      </c>
      <c r="BL39" s="142">
        <v>94430.5</v>
      </c>
      <c r="BM39" s="142">
        <v>94737.5</v>
      </c>
      <c r="BN39" s="142">
        <v>95029.5</v>
      </c>
      <c r="BO39" s="142">
        <v>95280.5</v>
      </c>
      <c r="BP39" s="142">
        <v>95432.5</v>
      </c>
      <c r="BQ39" s="142">
        <v>95567</v>
      </c>
      <c r="BR39" s="142">
        <v>95691</v>
      </c>
      <c r="BS39" s="142">
        <v>95708</v>
      </c>
      <c r="BT39" s="142">
        <v>95826.5</v>
      </c>
      <c r="BU39" s="142">
        <v>95912</v>
      </c>
      <c r="BV39" s="142">
        <v>96034</v>
      </c>
      <c r="BW39" s="142">
        <v>96118</v>
      </c>
      <c r="BX39" s="142">
        <v>96267.5</v>
      </c>
      <c r="BY39" s="142">
        <v>96426.5</v>
      </c>
      <c r="BZ39" s="142">
        <v>96703.5</v>
      </c>
      <c r="CA39" s="142">
        <v>96881.5</v>
      </c>
      <c r="CB39" s="142">
        <v>96987.5</v>
      </c>
      <c r="CC39" s="142">
        <v>97138.5</v>
      </c>
      <c r="CD39" s="142">
        <v>97259</v>
      </c>
      <c r="CE39" s="142">
        <v>97358.5</v>
      </c>
      <c r="CF39" s="142">
        <v>97509.5</v>
      </c>
      <c r="CG39" s="142">
        <v>97623.5</v>
      </c>
      <c r="CH39" s="142">
        <v>97722.5</v>
      </c>
      <c r="CI39" s="142">
        <v>97860.5</v>
      </c>
      <c r="CJ39" s="142">
        <v>97909</v>
      </c>
      <c r="CK39" s="142">
        <v>97980</v>
      </c>
      <c r="CL39" s="142">
        <v>98112.5</v>
      </c>
      <c r="CM39" s="142">
        <v>98160.5</v>
      </c>
      <c r="CN39" s="142">
        <v>98252.5</v>
      </c>
      <c r="CO39" s="142">
        <v>98335</v>
      </c>
      <c r="CP39" s="142">
        <v>98411.5</v>
      </c>
      <c r="CQ39" s="142">
        <v>98484.5</v>
      </c>
      <c r="CR39" s="142">
        <v>98517.5</v>
      </c>
      <c r="CS39" s="142">
        <v>98589.5</v>
      </c>
      <c r="CT39" s="142">
        <v>98631.5</v>
      </c>
      <c r="CU39" s="142">
        <v>98680.5</v>
      </c>
      <c r="CV39" s="142">
        <v>98706</v>
      </c>
      <c r="CW39" s="142">
        <v>98748</v>
      </c>
      <c r="CX39" s="142">
        <v>98802.5</v>
      </c>
      <c r="CY39" s="142">
        <v>98821.5</v>
      </c>
      <c r="CZ39" s="142">
        <v>98841.5</v>
      </c>
      <c r="DA39" s="142">
        <v>98861</v>
      </c>
      <c r="DB39" s="142">
        <v>98902.5</v>
      </c>
      <c r="DC39" s="142">
        <v>98938</v>
      </c>
      <c r="DD39" s="142">
        <v>98962.5</v>
      </c>
      <c r="DE39" s="142">
        <v>98983</v>
      </c>
      <c r="DF39" s="142">
        <v>99040.5</v>
      </c>
      <c r="DG39" s="142">
        <v>99050</v>
      </c>
      <c r="DH39" s="142">
        <v>99078.5</v>
      </c>
      <c r="DI39" s="142">
        <v>99085.5</v>
      </c>
      <c r="DJ39" s="142">
        <v>99128.5</v>
      </c>
      <c r="DK39" s="142">
        <v>99147</v>
      </c>
      <c r="DL39" s="142">
        <v>99162</v>
      </c>
      <c r="DM39" s="142">
        <v>99192.5</v>
      </c>
      <c r="DN39" s="142">
        <v>99221.5</v>
      </c>
      <c r="DO39" s="142">
        <v>99249.5</v>
      </c>
      <c r="DP39" s="142"/>
      <c r="DQ39" s="142"/>
    </row>
    <row r="40" spans="1:121">
      <c r="A40" s="140">
        <v>38</v>
      </c>
      <c r="B40" s="142"/>
      <c r="C40" s="142"/>
      <c r="D40" s="142"/>
      <c r="E40" s="142"/>
      <c r="F40" s="142"/>
      <c r="G40" s="142"/>
      <c r="H40" s="142"/>
      <c r="I40" s="142"/>
      <c r="J40" s="142"/>
      <c r="K40" s="142"/>
      <c r="L40" s="142"/>
      <c r="M40" s="142"/>
      <c r="N40" s="142"/>
      <c r="O40" s="142"/>
      <c r="P40" s="142"/>
      <c r="Q40" s="142"/>
      <c r="R40" s="142"/>
      <c r="S40" s="142"/>
      <c r="T40" s="142"/>
      <c r="U40" s="142"/>
      <c r="V40" s="142"/>
      <c r="W40" s="142">
        <v>77882</v>
      </c>
      <c r="X40" s="142">
        <v>78695</v>
      </c>
      <c r="Y40" s="142">
        <v>78825.5</v>
      </c>
      <c r="Z40" s="142">
        <v>80988</v>
      </c>
      <c r="AA40" s="142">
        <v>81415.5</v>
      </c>
      <c r="AB40" s="142">
        <v>82081</v>
      </c>
      <c r="AC40" s="142">
        <v>82947.5</v>
      </c>
      <c r="AD40" s="142">
        <v>83911.5</v>
      </c>
      <c r="AE40" s="142">
        <v>83890.5</v>
      </c>
      <c r="AF40" s="142">
        <v>85145</v>
      </c>
      <c r="AG40" s="142">
        <v>85600.5</v>
      </c>
      <c r="AH40" s="142">
        <v>85910</v>
      </c>
      <c r="AI40" s="142">
        <v>86244.5</v>
      </c>
      <c r="AJ40" s="142">
        <v>87490.5</v>
      </c>
      <c r="AK40" s="142">
        <v>87444</v>
      </c>
      <c r="AL40" s="142">
        <v>87781.5</v>
      </c>
      <c r="AM40" s="142">
        <v>88067.5</v>
      </c>
      <c r="AN40" s="142">
        <v>88533.5</v>
      </c>
      <c r="AO40" s="142">
        <v>88505.5</v>
      </c>
      <c r="AP40" s="142">
        <v>88634</v>
      </c>
      <c r="AQ40" s="142">
        <v>88717</v>
      </c>
      <c r="AR40" s="142">
        <v>88777</v>
      </c>
      <c r="AS40" s="142">
        <v>88241.5</v>
      </c>
      <c r="AT40" s="142">
        <v>87521.5</v>
      </c>
      <c r="AU40" s="142">
        <v>86288</v>
      </c>
      <c r="AV40" s="142">
        <v>86649</v>
      </c>
      <c r="AW40" s="142">
        <v>87061.5</v>
      </c>
      <c r="AX40" s="142">
        <v>89228.5</v>
      </c>
      <c r="AY40" s="142">
        <v>90994.5</v>
      </c>
      <c r="AZ40" s="142">
        <v>91045.5</v>
      </c>
      <c r="BA40" s="142">
        <v>91087</v>
      </c>
      <c r="BB40" s="142">
        <v>91753.5</v>
      </c>
      <c r="BC40" s="142">
        <v>91996.5</v>
      </c>
      <c r="BD40" s="142">
        <v>92382.5</v>
      </c>
      <c r="BE40" s="142">
        <v>92439</v>
      </c>
      <c r="BF40" s="142">
        <v>92824.5</v>
      </c>
      <c r="BG40" s="142">
        <v>92932</v>
      </c>
      <c r="BH40" s="142">
        <v>93242</v>
      </c>
      <c r="BI40" s="142">
        <v>93436.5</v>
      </c>
      <c r="BJ40" s="142">
        <v>93638</v>
      </c>
      <c r="BK40" s="142">
        <v>93978</v>
      </c>
      <c r="BL40" s="142">
        <v>94330</v>
      </c>
      <c r="BM40" s="142">
        <v>94640</v>
      </c>
      <c r="BN40" s="142">
        <v>94934.5</v>
      </c>
      <c r="BO40" s="142">
        <v>95191.5</v>
      </c>
      <c r="BP40" s="142">
        <v>95348</v>
      </c>
      <c r="BQ40" s="142">
        <v>95485.5</v>
      </c>
      <c r="BR40" s="142">
        <v>95615.5</v>
      </c>
      <c r="BS40" s="142">
        <v>95632.5</v>
      </c>
      <c r="BT40" s="142">
        <v>95755.5</v>
      </c>
      <c r="BU40" s="142">
        <v>95838</v>
      </c>
      <c r="BV40" s="142">
        <v>95965</v>
      </c>
      <c r="BW40" s="142">
        <v>96043</v>
      </c>
      <c r="BX40" s="142">
        <v>96198</v>
      </c>
      <c r="BY40" s="142">
        <v>96359.5</v>
      </c>
      <c r="BZ40" s="142">
        <v>96640</v>
      </c>
      <c r="CA40" s="142">
        <v>96817</v>
      </c>
      <c r="CB40" s="142">
        <v>96919.5</v>
      </c>
      <c r="CC40" s="142">
        <v>97071.5</v>
      </c>
      <c r="CD40" s="142">
        <v>97193.5</v>
      </c>
      <c r="CE40" s="142">
        <v>97294.5</v>
      </c>
      <c r="CF40" s="142">
        <v>97446.5</v>
      </c>
      <c r="CG40" s="142">
        <v>97562</v>
      </c>
      <c r="CH40" s="142">
        <v>97662.5</v>
      </c>
      <c r="CI40" s="142">
        <v>97802</v>
      </c>
      <c r="CJ40" s="142">
        <v>97851.5</v>
      </c>
      <c r="CK40" s="142">
        <v>97924</v>
      </c>
      <c r="CL40" s="142">
        <v>98058</v>
      </c>
      <c r="CM40" s="142">
        <v>98107.5</v>
      </c>
      <c r="CN40" s="142">
        <v>98200</v>
      </c>
      <c r="CO40" s="142">
        <v>98283.5</v>
      </c>
      <c r="CP40" s="142">
        <v>98361</v>
      </c>
      <c r="CQ40" s="142">
        <v>98435.5</v>
      </c>
      <c r="CR40" s="142">
        <v>98469.5</v>
      </c>
      <c r="CS40" s="142">
        <v>98543</v>
      </c>
      <c r="CT40" s="142">
        <v>98585.5</v>
      </c>
      <c r="CU40" s="142">
        <v>98636</v>
      </c>
      <c r="CV40" s="142">
        <v>98662</v>
      </c>
      <c r="CW40" s="142">
        <v>98705</v>
      </c>
      <c r="CX40" s="142">
        <v>98761</v>
      </c>
      <c r="CY40" s="142">
        <v>98780.5</v>
      </c>
      <c r="CZ40" s="142">
        <v>98802</v>
      </c>
      <c r="DA40" s="142">
        <v>98822.5</v>
      </c>
      <c r="DB40" s="142">
        <v>98864.5</v>
      </c>
      <c r="DC40" s="142">
        <v>98900.5</v>
      </c>
      <c r="DD40" s="142">
        <v>98926.5</v>
      </c>
      <c r="DE40" s="142">
        <v>98947.5</v>
      </c>
      <c r="DF40" s="142">
        <v>99005.5</v>
      </c>
      <c r="DG40" s="142">
        <v>99016</v>
      </c>
      <c r="DH40" s="142">
        <v>99045</v>
      </c>
      <c r="DI40" s="142">
        <v>99053</v>
      </c>
      <c r="DJ40" s="142">
        <v>99096.5</v>
      </c>
      <c r="DK40" s="142">
        <v>99116</v>
      </c>
      <c r="DL40" s="142">
        <v>99132</v>
      </c>
      <c r="DM40" s="142">
        <v>99162.5</v>
      </c>
      <c r="DN40" s="142">
        <v>99192.5</v>
      </c>
      <c r="DO40" s="142">
        <v>99221.5</v>
      </c>
      <c r="DP40" s="142"/>
      <c r="DQ40" s="142"/>
    </row>
    <row r="41" spans="1:121">
      <c r="A41" s="140">
        <v>39</v>
      </c>
      <c r="B41" s="142"/>
      <c r="C41" s="142"/>
      <c r="D41" s="142"/>
      <c r="E41" s="142"/>
      <c r="F41" s="142"/>
      <c r="G41" s="142"/>
      <c r="H41" s="142"/>
      <c r="I41" s="142"/>
      <c r="J41" s="142"/>
      <c r="K41" s="142"/>
      <c r="L41" s="142"/>
      <c r="M41" s="142"/>
      <c r="N41" s="142"/>
      <c r="O41" s="142"/>
      <c r="P41" s="142"/>
      <c r="Q41" s="142"/>
      <c r="R41" s="142"/>
      <c r="S41" s="142"/>
      <c r="T41" s="142"/>
      <c r="U41" s="142"/>
      <c r="V41" s="142"/>
      <c r="W41" s="142">
        <v>77715</v>
      </c>
      <c r="X41" s="142">
        <v>78528</v>
      </c>
      <c r="Y41" s="142">
        <v>78665</v>
      </c>
      <c r="Z41" s="142">
        <v>80821</v>
      </c>
      <c r="AA41" s="142">
        <v>81248.5</v>
      </c>
      <c r="AB41" s="142">
        <v>81919.5</v>
      </c>
      <c r="AC41" s="142">
        <v>82784.5</v>
      </c>
      <c r="AD41" s="142">
        <v>83736</v>
      </c>
      <c r="AE41" s="142">
        <v>83718.5</v>
      </c>
      <c r="AF41" s="142">
        <v>84968</v>
      </c>
      <c r="AG41" s="142">
        <v>85415.5</v>
      </c>
      <c r="AH41" s="142">
        <v>85729</v>
      </c>
      <c r="AI41" s="142">
        <v>86066</v>
      </c>
      <c r="AJ41" s="142">
        <v>87309.5</v>
      </c>
      <c r="AK41" s="142">
        <v>87274</v>
      </c>
      <c r="AL41" s="142">
        <v>87612</v>
      </c>
      <c r="AM41" s="142">
        <v>87892.5</v>
      </c>
      <c r="AN41" s="142">
        <v>88368.5</v>
      </c>
      <c r="AO41" s="142">
        <v>88343.5</v>
      </c>
      <c r="AP41" s="142">
        <v>88475</v>
      </c>
      <c r="AQ41" s="142">
        <v>88559</v>
      </c>
      <c r="AR41" s="142">
        <v>88624</v>
      </c>
      <c r="AS41" s="142">
        <v>88087.5</v>
      </c>
      <c r="AT41" s="142">
        <v>87378</v>
      </c>
      <c r="AU41" s="142">
        <v>86138</v>
      </c>
      <c r="AV41" s="142">
        <v>86508.5</v>
      </c>
      <c r="AW41" s="142">
        <v>86921</v>
      </c>
      <c r="AX41" s="142">
        <v>89097</v>
      </c>
      <c r="AY41" s="142">
        <v>90860</v>
      </c>
      <c r="AZ41" s="142">
        <v>90904</v>
      </c>
      <c r="BA41" s="142">
        <v>90948</v>
      </c>
      <c r="BB41" s="142">
        <v>91603</v>
      </c>
      <c r="BC41" s="142">
        <v>91841</v>
      </c>
      <c r="BD41" s="142">
        <v>92230.5</v>
      </c>
      <c r="BE41" s="142">
        <v>92300.5</v>
      </c>
      <c r="BF41" s="142">
        <v>92687.5</v>
      </c>
      <c r="BG41" s="142">
        <v>92789.5</v>
      </c>
      <c r="BH41" s="142">
        <v>93112</v>
      </c>
      <c r="BI41" s="142">
        <v>93315</v>
      </c>
      <c r="BJ41" s="142">
        <v>93527.5</v>
      </c>
      <c r="BK41" s="142">
        <v>93861.5</v>
      </c>
      <c r="BL41" s="142">
        <v>94218.5</v>
      </c>
      <c r="BM41" s="142">
        <v>94537.5</v>
      </c>
      <c r="BN41" s="142">
        <v>94833.5</v>
      </c>
      <c r="BO41" s="142">
        <v>95096.5</v>
      </c>
      <c r="BP41" s="142">
        <v>95257</v>
      </c>
      <c r="BQ41" s="142">
        <v>95401.5</v>
      </c>
      <c r="BR41" s="142">
        <v>95534</v>
      </c>
      <c r="BS41" s="142">
        <v>95553</v>
      </c>
      <c r="BT41" s="142">
        <v>95674.5</v>
      </c>
      <c r="BU41" s="142">
        <v>95757</v>
      </c>
      <c r="BV41" s="142">
        <v>95881</v>
      </c>
      <c r="BW41" s="142">
        <v>95970.5</v>
      </c>
      <c r="BX41" s="142">
        <v>96121.5</v>
      </c>
      <c r="BY41" s="142">
        <v>96279.5</v>
      </c>
      <c r="BZ41" s="142">
        <v>96563</v>
      </c>
      <c r="CA41" s="142">
        <v>96742.5</v>
      </c>
      <c r="CB41" s="142">
        <v>96847</v>
      </c>
      <c r="CC41" s="142">
        <v>97000.5</v>
      </c>
      <c r="CD41" s="142">
        <v>97124.5</v>
      </c>
      <c r="CE41" s="142">
        <v>97226.5</v>
      </c>
      <c r="CF41" s="142">
        <v>97380</v>
      </c>
      <c r="CG41" s="142">
        <v>97497</v>
      </c>
      <c r="CH41" s="142">
        <v>97599</v>
      </c>
      <c r="CI41" s="142">
        <v>97739.5</v>
      </c>
      <c r="CJ41" s="142">
        <v>97790.5</v>
      </c>
      <c r="CK41" s="142">
        <v>97864.5</v>
      </c>
      <c r="CL41" s="142">
        <v>97999</v>
      </c>
      <c r="CM41" s="142">
        <v>98050</v>
      </c>
      <c r="CN41" s="142">
        <v>98144</v>
      </c>
      <c r="CO41" s="142">
        <v>98229</v>
      </c>
      <c r="CP41" s="142">
        <v>98308</v>
      </c>
      <c r="CQ41" s="142">
        <v>98383</v>
      </c>
      <c r="CR41" s="142">
        <v>98418.5</v>
      </c>
      <c r="CS41" s="142">
        <v>98492.5</v>
      </c>
      <c r="CT41" s="142">
        <v>98536.5</v>
      </c>
      <c r="CU41" s="142">
        <v>98588</v>
      </c>
      <c r="CV41" s="142">
        <v>98615.5</v>
      </c>
      <c r="CW41" s="142">
        <v>98659.5</v>
      </c>
      <c r="CX41" s="142">
        <v>98716</v>
      </c>
      <c r="CY41" s="142">
        <v>98737</v>
      </c>
      <c r="CZ41" s="142">
        <v>98758.5</v>
      </c>
      <c r="DA41" s="142">
        <v>98780.5</v>
      </c>
      <c r="DB41" s="142">
        <v>98823.5</v>
      </c>
      <c r="DC41" s="142">
        <v>98861</v>
      </c>
      <c r="DD41" s="142">
        <v>98887</v>
      </c>
      <c r="DE41" s="142">
        <v>98909.5</v>
      </c>
      <c r="DF41" s="142">
        <v>98968</v>
      </c>
      <c r="DG41" s="142">
        <v>98979.5</v>
      </c>
      <c r="DH41" s="142">
        <v>99010</v>
      </c>
      <c r="DI41" s="142">
        <v>99018.5</v>
      </c>
      <c r="DJ41" s="142">
        <v>99063</v>
      </c>
      <c r="DK41" s="142">
        <v>99083</v>
      </c>
      <c r="DL41" s="142">
        <v>99099</v>
      </c>
      <c r="DM41" s="142">
        <v>99131</v>
      </c>
      <c r="DN41" s="142">
        <v>99161.5</v>
      </c>
      <c r="DO41" s="142">
        <v>99191</v>
      </c>
      <c r="DP41" s="142"/>
      <c r="DQ41" s="142"/>
    </row>
    <row r="42" spans="1:121">
      <c r="A42" s="140">
        <v>40</v>
      </c>
      <c r="B42" s="142"/>
      <c r="C42" s="142"/>
      <c r="D42" s="142"/>
      <c r="E42" s="142"/>
      <c r="F42" s="142"/>
      <c r="G42" s="142"/>
      <c r="H42" s="142"/>
      <c r="I42" s="142"/>
      <c r="J42" s="142"/>
      <c r="K42" s="142"/>
      <c r="L42" s="142"/>
      <c r="M42" s="142"/>
      <c r="N42" s="142"/>
      <c r="O42" s="142"/>
      <c r="P42" s="142"/>
      <c r="Q42" s="142"/>
      <c r="R42" s="142"/>
      <c r="S42" s="142"/>
      <c r="T42" s="142"/>
      <c r="U42" s="142"/>
      <c r="V42" s="142"/>
      <c r="W42" s="142">
        <v>77532.5</v>
      </c>
      <c r="X42" s="142">
        <v>78347</v>
      </c>
      <c r="Y42" s="142">
        <v>78491.5</v>
      </c>
      <c r="Z42" s="142">
        <v>80644.5</v>
      </c>
      <c r="AA42" s="142">
        <v>81066.5</v>
      </c>
      <c r="AB42" s="142">
        <v>81739.5</v>
      </c>
      <c r="AC42" s="142">
        <v>82595.5</v>
      </c>
      <c r="AD42" s="142">
        <v>83553</v>
      </c>
      <c r="AE42" s="142">
        <v>83532</v>
      </c>
      <c r="AF42" s="142">
        <v>84772.5</v>
      </c>
      <c r="AG42" s="142">
        <v>85225</v>
      </c>
      <c r="AH42" s="142">
        <v>85536.5</v>
      </c>
      <c r="AI42" s="142">
        <v>85880</v>
      </c>
      <c r="AJ42" s="142">
        <v>87122.5</v>
      </c>
      <c r="AK42" s="142">
        <v>87088.5</v>
      </c>
      <c r="AL42" s="142">
        <v>87428</v>
      </c>
      <c r="AM42" s="142">
        <v>87716</v>
      </c>
      <c r="AN42" s="142">
        <v>88187</v>
      </c>
      <c r="AO42" s="142">
        <v>88170</v>
      </c>
      <c r="AP42" s="142">
        <v>88299</v>
      </c>
      <c r="AQ42" s="142">
        <v>88385</v>
      </c>
      <c r="AR42" s="142">
        <v>88456.5</v>
      </c>
      <c r="AS42" s="142">
        <v>87920</v>
      </c>
      <c r="AT42" s="142">
        <v>87223.5</v>
      </c>
      <c r="AU42" s="142">
        <v>85995</v>
      </c>
      <c r="AV42" s="142">
        <v>86362.5</v>
      </c>
      <c r="AW42" s="142">
        <v>86779.5</v>
      </c>
      <c r="AX42" s="142">
        <v>88948.5</v>
      </c>
      <c r="AY42" s="142">
        <v>90716.5</v>
      </c>
      <c r="AZ42" s="142">
        <v>90747.5</v>
      </c>
      <c r="BA42" s="142">
        <v>90795</v>
      </c>
      <c r="BB42" s="142">
        <v>91441.5</v>
      </c>
      <c r="BC42" s="142">
        <v>91678.5</v>
      </c>
      <c r="BD42" s="142">
        <v>92073.5</v>
      </c>
      <c r="BE42" s="142">
        <v>92142</v>
      </c>
      <c r="BF42" s="142">
        <v>92542</v>
      </c>
      <c r="BG42" s="142">
        <v>92650</v>
      </c>
      <c r="BH42" s="142">
        <v>92977</v>
      </c>
      <c r="BI42" s="142">
        <v>93184</v>
      </c>
      <c r="BJ42" s="142">
        <v>93399</v>
      </c>
      <c r="BK42" s="142">
        <v>93742.5</v>
      </c>
      <c r="BL42" s="142">
        <v>94102</v>
      </c>
      <c r="BM42" s="142">
        <v>94424</v>
      </c>
      <c r="BN42" s="142">
        <v>94724.5</v>
      </c>
      <c r="BO42" s="142">
        <v>94996.5</v>
      </c>
      <c r="BP42" s="142">
        <v>95155.5</v>
      </c>
      <c r="BQ42" s="142">
        <v>95307</v>
      </c>
      <c r="BR42" s="142">
        <v>95446.5</v>
      </c>
      <c r="BS42" s="142">
        <v>95464.5</v>
      </c>
      <c r="BT42" s="142">
        <v>95588.5</v>
      </c>
      <c r="BU42" s="142">
        <v>95667</v>
      </c>
      <c r="BV42" s="142">
        <v>95798.5</v>
      </c>
      <c r="BW42" s="142">
        <v>95882</v>
      </c>
      <c r="BX42" s="142">
        <v>96040.5</v>
      </c>
      <c r="BY42" s="142">
        <v>96199.5</v>
      </c>
      <c r="BZ42" s="142">
        <v>96482.5</v>
      </c>
      <c r="CA42" s="142">
        <v>96663</v>
      </c>
      <c r="CB42" s="142">
        <v>96769</v>
      </c>
      <c r="CC42" s="142">
        <v>96924.5</v>
      </c>
      <c r="CD42" s="142">
        <v>97050</v>
      </c>
      <c r="CE42" s="142">
        <v>97153.5</v>
      </c>
      <c r="CF42" s="142">
        <v>97308.5</v>
      </c>
      <c r="CG42" s="142">
        <v>97427</v>
      </c>
      <c r="CH42" s="142">
        <v>97530</v>
      </c>
      <c r="CI42" s="142">
        <v>97673</v>
      </c>
      <c r="CJ42" s="142">
        <v>97725</v>
      </c>
      <c r="CK42" s="142">
        <v>97800</v>
      </c>
      <c r="CL42" s="142">
        <v>97936.5</v>
      </c>
      <c r="CM42" s="142">
        <v>97989</v>
      </c>
      <c r="CN42" s="142">
        <v>98084</v>
      </c>
      <c r="CO42" s="142">
        <v>98170.5</v>
      </c>
      <c r="CP42" s="142">
        <v>98250</v>
      </c>
      <c r="CQ42" s="142">
        <v>98327</v>
      </c>
      <c r="CR42" s="142">
        <v>98363.5</v>
      </c>
      <c r="CS42" s="142">
        <v>98439</v>
      </c>
      <c r="CT42" s="142">
        <v>98484</v>
      </c>
      <c r="CU42" s="142">
        <v>98536.5</v>
      </c>
      <c r="CV42" s="142">
        <v>98565</v>
      </c>
      <c r="CW42" s="142">
        <v>98610</v>
      </c>
      <c r="CX42" s="142">
        <v>98668</v>
      </c>
      <c r="CY42" s="142">
        <v>98690</v>
      </c>
      <c r="CZ42" s="142">
        <v>98713</v>
      </c>
      <c r="DA42" s="142">
        <v>98735.5</v>
      </c>
      <c r="DB42" s="142">
        <v>98779.5</v>
      </c>
      <c r="DC42" s="142">
        <v>98817.5</v>
      </c>
      <c r="DD42" s="142">
        <v>98845</v>
      </c>
      <c r="DE42" s="142">
        <v>98868.5</v>
      </c>
      <c r="DF42" s="142">
        <v>98928.5</v>
      </c>
      <c r="DG42" s="142">
        <v>98940.5</v>
      </c>
      <c r="DH42" s="142">
        <v>98971</v>
      </c>
      <c r="DI42" s="142">
        <v>98981</v>
      </c>
      <c r="DJ42" s="142">
        <v>99026</v>
      </c>
      <c r="DK42" s="142">
        <v>99047</v>
      </c>
      <c r="DL42" s="142">
        <v>99064</v>
      </c>
      <c r="DM42" s="142">
        <v>99096.5</v>
      </c>
      <c r="DN42" s="142">
        <v>99128</v>
      </c>
      <c r="DO42" s="142">
        <v>99158</v>
      </c>
      <c r="DP42" s="142"/>
      <c r="DQ42" s="142"/>
    </row>
    <row r="43" spans="1:121">
      <c r="A43" s="140">
        <v>41</v>
      </c>
      <c r="B43" s="142"/>
      <c r="C43" s="142"/>
      <c r="D43" s="142"/>
      <c r="E43" s="142"/>
      <c r="F43" s="142"/>
      <c r="G43" s="142"/>
      <c r="H43" s="142"/>
      <c r="I43" s="142"/>
      <c r="J43" s="142"/>
      <c r="K43" s="142"/>
      <c r="L43" s="142"/>
      <c r="M43" s="142"/>
      <c r="N43" s="142"/>
      <c r="O43" s="142"/>
      <c r="P43" s="142"/>
      <c r="Q43" s="142"/>
      <c r="R43" s="142"/>
      <c r="S43" s="142"/>
      <c r="T43" s="142"/>
      <c r="U43" s="142"/>
      <c r="V43" s="142"/>
      <c r="W43" s="142">
        <v>77346.5</v>
      </c>
      <c r="X43" s="142">
        <v>78156.5</v>
      </c>
      <c r="Y43" s="142">
        <v>78300</v>
      </c>
      <c r="Z43" s="142">
        <v>80452</v>
      </c>
      <c r="AA43" s="142">
        <v>80876.5</v>
      </c>
      <c r="AB43" s="142">
        <v>81541.5</v>
      </c>
      <c r="AC43" s="142">
        <v>82403</v>
      </c>
      <c r="AD43" s="142">
        <v>83358</v>
      </c>
      <c r="AE43" s="142">
        <v>83318</v>
      </c>
      <c r="AF43" s="142">
        <v>84564.5</v>
      </c>
      <c r="AG43" s="142">
        <v>85020.5</v>
      </c>
      <c r="AH43" s="142">
        <v>85339</v>
      </c>
      <c r="AI43" s="142">
        <v>85679</v>
      </c>
      <c r="AJ43" s="142">
        <v>86926</v>
      </c>
      <c r="AK43" s="142">
        <v>86881</v>
      </c>
      <c r="AL43" s="142">
        <v>87226.5</v>
      </c>
      <c r="AM43" s="142">
        <v>87522.5</v>
      </c>
      <c r="AN43" s="142">
        <v>87991</v>
      </c>
      <c r="AO43" s="142">
        <v>87976</v>
      </c>
      <c r="AP43" s="142">
        <v>88114</v>
      </c>
      <c r="AQ43" s="142">
        <v>88200</v>
      </c>
      <c r="AR43" s="142">
        <v>88275</v>
      </c>
      <c r="AS43" s="142">
        <v>87746</v>
      </c>
      <c r="AT43" s="142">
        <v>87058.5</v>
      </c>
      <c r="AU43" s="142">
        <v>85837</v>
      </c>
      <c r="AV43" s="142">
        <v>86208</v>
      </c>
      <c r="AW43" s="142">
        <v>86629.5</v>
      </c>
      <c r="AX43" s="142">
        <v>88790.5</v>
      </c>
      <c r="AY43" s="142">
        <v>90549</v>
      </c>
      <c r="AZ43" s="142">
        <v>90570.5</v>
      </c>
      <c r="BA43" s="142">
        <v>90619.5</v>
      </c>
      <c r="BB43" s="142">
        <v>91271.5</v>
      </c>
      <c r="BC43" s="142">
        <v>91505.5</v>
      </c>
      <c r="BD43" s="142">
        <v>91900.5</v>
      </c>
      <c r="BE43" s="142">
        <v>91980</v>
      </c>
      <c r="BF43" s="142">
        <v>92390</v>
      </c>
      <c r="BG43" s="142">
        <v>92498.5</v>
      </c>
      <c r="BH43" s="142">
        <v>92832.5</v>
      </c>
      <c r="BI43" s="142">
        <v>93045.5</v>
      </c>
      <c r="BJ43" s="142">
        <v>93265</v>
      </c>
      <c r="BK43" s="142">
        <v>93606.5</v>
      </c>
      <c r="BL43" s="142">
        <v>93980.5</v>
      </c>
      <c r="BM43" s="142">
        <v>94308</v>
      </c>
      <c r="BN43" s="142">
        <v>94610.5</v>
      </c>
      <c r="BO43" s="142">
        <v>94884</v>
      </c>
      <c r="BP43" s="142">
        <v>95051</v>
      </c>
      <c r="BQ43" s="142">
        <v>95209.5</v>
      </c>
      <c r="BR43" s="142">
        <v>95347</v>
      </c>
      <c r="BS43" s="142">
        <v>95367</v>
      </c>
      <c r="BT43" s="142">
        <v>95495.5</v>
      </c>
      <c r="BU43" s="142">
        <v>95569.5</v>
      </c>
      <c r="BV43" s="142">
        <v>95709.5</v>
      </c>
      <c r="BW43" s="142">
        <v>95793.5</v>
      </c>
      <c r="BX43" s="142">
        <v>95950.5</v>
      </c>
      <c r="BY43" s="142">
        <v>96110.5</v>
      </c>
      <c r="BZ43" s="142">
        <v>96395</v>
      </c>
      <c r="CA43" s="142">
        <v>96578</v>
      </c>
      <c r="CB43" s="142">
        <v>96686</v>
      </c>
      <c r="CC43" s="142">
        <v>96842.5</v>
      </c>
      <c r="CD43" s="142">
        <v>96969.5</v>
      </c>
      <c r="CE43" s="142">
        <v>97075</v>
      </c>
      <c r="CF43" s="142">
        <v>97232</v>
      </c>
      <c r="CG43" s="142">
        <v>97351.5</v>
      </c>
      <c r="CH43" s="142">
        <v>97457</v>
      </c>
      <c r="CI43" s="142">
        <v>97600.5</v>
      </c>
      <c r="CJ43" s="142">
        <v>97654</v>
      </c>
      <c r="CK43" s="142">
        <v>97731</v>
      </c>
      <c r="CL43" s="142">
        <v>97868.5</v>
      </c>
      <c r="CM43" s="142">
        <v>97922.5</v>
      </c>
      <c r="CN43" s="142">
        <v>98019.5</v>
      </c>
      <c r="CO43" s="142">
        <v>98107</v>
      </c>
      <c r="CP43" s="142">
        <v>98187.5</v>
      </c>
      <c r="CQ43" s="142">
        <v>98266</v>
      </c>
      <c r="CR43" s="142">
        <v>98303.5</v>
      </c>
      <c r="CS43" s="142">
        <v>98380.5</v>
      </c>
      <c r="CT43" s="142">
        <v>98427</v>
      </c>
      <c r="CU43" s="142">
        <v>98481</v>
      </c>
      <c r="CV43" s="142">
        <v>98510.5</v>
      </c>
      <c r="CW43" s="142">
        <v>98557</v>
      </c>
      <c r="CX43" s="142">
        <v>98615.5</v>
      </c>
      <c r="CY43" s="142">
        <v>98639</v>
      </c>
      <c r="CZ43" s="142">
        <v>98663</v>
      </c>
      <c r="DA43" s="142">
        <v>98687</v>
      </c>
      <c r="DB43" s="142">
        <v>98732</v>
      </c>
      <c r="DC43" s="142">
        <v>98771</v>
      </c>
      <c r="DD43" s="142">
        <v>98799.5</v>
      </c>
      <c r="DE43" s="142">
        <v>98823.5</v>
      </c>
      <c r="DF43" s="142">
        <v>98884</v>
      </c>
      <c r="DG43" s="142">
        <v>98897.5</v>
      </c>
      <c r="DH43" s="142">
        <v>98929.5</v>
      </c>
      <c r="DI43" s="142">
        <v>98940</v>
      </c>
      <c r="DJ43" s="142">
        <v>98985.5</v>
      </c>
      <c r="DK43" s="142">
        <v>99008</v>
      </c>
      <c r="DL43" s="142">
        <v>99025.5</v>
      </c>
      <c r="DM43" s="142">
        <v>99059</v>
      </c>
      <c r="DN43" s="142">
        <v>99091</v>
      </c>
      <c r="DO43" s="142">
        <v>99122</v>
      </c>
      <c r="DP43" s="142"/>
      <c r="DQ43" s="142"/>
    </row>
    <row r="44" spans="1:121">
      <c r="A44" s="140">
        <v>42</v>
      </c>
      <c r="B44" s="142"/>
      <c r="C44" s="142"/>
      <c r="D44" s="142"/>
      <c r="E44" s="142"/>
      <c r="F44" s="142"/>
      <c r="G44" s="142"/>
      <c r="H44" s="142"/>
      <c r="I44" s="142"/>
      <c r="J44" s="142"/>
      <c r="K44" s="142"/>
      <c r="L44" s="142"/>
      <c r="M44" s="142"/>
      <c r="N44" s="142"/>
      <c r="O44" s="142"/>
      <c r="P44" s="142"/>
      <c r="Q44" s="142"/>
      <c r="R44" s="142"/>
      <c r="S44" s="142"/>
      <c r="T44" s="142"/>
      <c r="U44" s="142"/>
      <c r="V44" s="142"/>
      <c r="W44" s="142">
        <v>77148</v>
      </c>
      <c r="X44" s="142">
        <v>77948</v>
      </c>
      <c r="Y44" s="142">
        <v>78105</v>
      </c>
      <c r="Z44" s="142">
        <v>80243.5</v>
      </c>
      <c r="AA44" s="142">
        <v>80667.5</v>
      </c>
      <c r="AB44" s="142">
        <v>81335</v>
      </c>
      <c r="AC44" s="142">
        <v>82194</v>
      </c>
      <c r="AD44" s="142">
        <v>83133.5</v>
      </c>
      <c r="AE44" s="142">
        <v>83096</v>
      </c>
      <c r="AF44" s="142">
        <v>84333</v>
      </c>
      <c r="AG44" s="142">
        <v>84795.5</v>
      </c>
      <c r="AH44" s="142">
        <v>85126</v>
      </c>
      <c r="AI44" s="142">
        <v>85460</v>
      </c>
      <c r="AJ44" s="142">
        <v>86699.5</v>
      </c>
      <c r="AK44" s="142">
        <v>86660</v>
      </c>
      <c r="AL44" s="142">
        <v>87009.5</v>
      </c>
      <c r="AM44" s="142">
        <v>87318.5</v>
      </c>
      <c r="AN44" s="142">
        <v>87784.5</v>
      </c>
      <c r="AO44" s="142">
        <v>87778.5</v>
      </c>
      <c r="AP44" s="142">
        <v>87907.5</v>
      </c>
      <c r="AQ44" s="142">
        <v>88004</v>
      </c>
      <c r="AR44" s="142">
        <v>88088.5</v>
      </c>
      <c r="AS44" s="142">
        <v>87563</v>
      </c>
      <c r="AT44" s="142">
        <v>86885</v>
      </c>
      <c r="AU44" s="142">
        <v>85662</v>
      </c>
      <c r="AV44" s="142">
        <v>86041.5</v>
      </c>
      <c r="AW44" s="142">
        <v>86465.5</v>
      </c>
      <c r="AX44" s="142">
        <v>88616.5</v>
      </c>
      <c r="AY44" s="142">
        <v>90370.5</v>
      </c>
      <c r="AZ44" s="142">
        <v>90378.5</v>
      </c>
      <c r="BA44" s="142">
        <v>90430</v>
      </c>
      <c r="BB44" s="142">
        <v>91087</v>
      </c>
      <c r="BC44" s="142">
        <v>91317.5</v>
      </c>
      <c r="BD44" s="142">
        <v>91721</v>
      </c>
      <c r="BE44" s="142">
        <v>91809</v>
      </c>
      <c r="BF44" s="142">
        <v>92223.5</v>
      </c>
      <c r="BG44" s="142">
        <v>92338</v>
      </c>
      <c r="BH44" s="142">
        <v>92676</v>
      </c>
      <c r="BI44" s="142">
        <v>92897.5</v>
      </c>
      <c r="BJ44" s="142">
        <v>93124.5</v>
      </c>
      <c r="BK44" s="142">
        <v>93466</v>
      </c>
      <c r="BL44" s="142">
        <v>93846</v>
      </c>
      <c r="BM44" s="142">
        <v>94184.5</v>
      </c>
      <c r="BN44" s="142">
        <v>94493.5</v>
      </c>
      <c r="BO44" s="142">
        <v>94763.5</v>
      </c>
      <c r="BP44" s="142">
        <v>94941</v>
      </c>
      <c r="BQ44" s="142">
        <v>95104</v>
      </c>
      <c r="BR44" s="142">
        <v>95238.5</v>
      </c>
      <c r="BS44" s="142">
        <v>95263.5</v>
      </c>
      <c r="BT44" s="142">
        <v>95393</v>
      </c>
      <c r="BU44" s="142">
        <v>95469</v>
      </c>
      <c r="BV44" s="142">
        <v>95612</v>
      </c>
      <c r="BW44" s="142">
        <v>95693</v>
      </c>
      <c r="BX44" s="142">
        <v>95853</v>
      </c>
      <c r="BY44" s="142">
        <v>96015</v>
      </c>
      <c r="BZ44" s="142">
        <v>96301</v>
      </c>
      <c r="CA44" s="142">
        <v>96486</v>
      </c>
      <c r="CB44" s="142">
        <v>96595.5</v>
      </c>
      <c r="CC44" s="142">
        <v>96754</v>
      </c>
      <c r="CD44" s="142">
        <v>96883</v>
      </c>
      <c r="CE44" s="142">
        <v>96990</v>
      </c>
      <c r="CF44" s="142">
        <v>97148.5</v>
      </c>
      <c r="CG44" s="142">
        <v>97270.5</v>
      </c>
      <c r="CH44" s="142">
        <v>97376.5</v>
      </c>
      <c r="CI44" s="142">
        <v>97522.5</v>
      </c>
      <c r="CJ44" s="142">
        <v>97577.5</v>
      </c>
      <c r="CK44" s="142">
        <v>97656</v>
      </c>
      <c r="CL44" s="142">
        <v>97795.5</v>
      </c>
      <c r="CM44" s="142">
        <v>97851</v>
      </c>
      <c r="CN44" s="142">
        <v>97948.5</v>
      </c>
      <c r="CO44" s="142">
        <v>98038</v>
      </c>
      <c r="CP44" s="142">
        <v>98120.5</v>
      </c>
      <c r="CQ44" s="142">
        <v>98200</v>
      </c>
      <c r="CR44" s="142">
        <v>98239</v>
      </c>
      <c r="CS44" s="142">
        <v>98317.5</v>
      </c>
      <c r="CT44" s="142">
        <v>98365.5</v>
      </c>
      <c r="CU44" s="142">
        <v>98420</v>
      </c>
      <c r="CV44" s="142">
        <v>98451</v>
      </c>
      <c r="CW44" s="142">
        <v>98498.5</v>
      </c>
      <c r="CX44" s="142">
        <v>98559.5</v>
      </c>
      <c r="CY44" s="142">
        <v>98583.5</v>
      </c>
      <c r="CZ44" s="142">
        <v>98608</v>
      </c>
      <c r="DA44" s="142">
        <v>98633</v>
      </c>
      <c r="DB44" s="142">
        <v>98679.5</v>
      </c>
      <c r="DC44" s="142">
        <v>98720</v>
      </c>
      <c r="DD44" s="142">
        <v>98749.5</v>
      </c>
      <c r="DE44" s="142">
        <v>98774.5</v>
      </c>
      <c r="DF44" s="142">
        <v>98836</v>
      </c>
      <c r="DG44" s="142">
        <v>98850.5</v>
      </c>
      <c r="DH44" s="142">
        <v>98883.5</v>
      </c>
      <c r="DI44" s="142">
        <v>98895</v>
      </c>
      <c r="DJ44" s="142">
        <v>98942</v>
      </c>
      <c r="DK44" s="142">
        <v>98965</v>
      </c>
      <c r="DL44" s="142">
        <v>98983.5</v>
      </c>
      <c r="DM44" s="142">
        <v>99018</v>
      </c>
      <c r="DN44" s="142">
        <v>99051</v>
      </c>
      <c r="DO44" s="142">
        <v>99083</v>
      </c>
      <c r="DP44" s="142"/>
      <c r="DQ44" s="142"/>
    </row>
    <row r="45" spans="1:121">
      <c r="A45" s="140">
        <v>43</v>
      </c>
      <c r="B45" s="142"/>
      <c r="C45" s="142"/>
      <c r="D45" s="142"/>
      <c r="E45" s="142"/>
      <c r="F45" s="142"/>
      <c r="G45" s="142"/>
      <c r="H45" s="142"/>
      <c r="I45" s="142"/>
      <c r="J45" s="142"/>
      <c r="K45" s="142"/>
      <c r="L45" s="142"/>
      <c r="M45" s="142"/>
      <c r="N45" s="142"/>
      <c r="O45" s="142"/>
      <c r="P45" s="142"/>
      <c r="Q45" s="142"/>
      <c r="R45" s="142"/>
      <c r="S45" s="142"/>
      <c r="T45" s="142"/>
      <c r="U45" s="142"/>
      <c r="V45" s="142"/>
      <c r="W45" s="142">
        <v>76926</v>
      </c>
      <c r="X45" s="142">
        <v>77732</v>
      </c>
      <c r="Y45" s="142">
        <v>77881</v>
      </c>
      <c r="Z45" s="142">
        <v>80010</v>
      </c>
      <c r="AA45" s="142">
        <v>80443.5</v>
      </c>
      <c r="AB45" s="142">
        <v>81115.5</v>
      </c>
      <c r="AC45" s="142">
        <v>81948</v>
      </c>
      <c r="AD45" s="142">
        <v>82890</v>
      </c>
      <c r="AE45" s="142">
        <v>82847.5</v>
      </c>
      <c r="AF45" s="142">
        <v>84089.5</v>
      </c>
      <c r="AG45" s="142">
        <v>84556.5</v>
      </c>
      <c r="AH45" s="142">
        <v>84884.5</v>
      </c>
      <c r="AI45" s="142">
        <v>85221</v>
      </c>
      <c r="AJ45" s="142">
        <v>86454</v>
      </c>
      <c r="AK45" s="142">
        <v>86434</v>
      </c>
      <c r="AL45" s="142">
        <v>86787</v>
      </c>
      <c r="AM45" s="142">
        <v>87091.5</v>
      </c>
      <c r="AN45" s="142">
        <v>87564.5</v>
      </c>
      <c r="AO45" s="142">
        <v>87554.5</v>
      </c>
      <c r="AP45" s="142">
        <v>87693</v>
      </c>
      <c r="AQ45" s="142">
        <v>87799</v>
      </c>
      <c r="AR45" s="142">
        <v>87896.5</v>
      </c>
      <c r="AS45" s="142">
        <v>87371.5</v>
      </c>
      <c r="AT45" s="142">
        <v>86689</v>
      </c>
      <c r="AU45" s="142">
        <v>85480.5</v>
      </c>
      <c r="AV45" s="142">
        <v>85851</v>
      </c>
      <c r="AW45" s="142">
        <v>86276</v>
      </c>
      <c r="AX45" s="142">
        <v>88425</v>
      </c>
      <c r="AY45" s="142">
        <v>90173.5</v>
      </c>
      <c r="AZ45" s="142">
        <v>90183</v>
      </c>
      <c r="BA45" s="142">
        <v>90229.5</v>
      </c>
      <c r="BB45" s="142">
        <v>90890</v>
      </c>
      <c r="BC45" s="142">
        <v>91110</v>
      </c>
      <c r="BD45" s="142">
        <v>91532.5</v>
      </c>
      <c r="BE45" s="142">
        <v>91627.5</v>
      </c>
      <c r="BF45" s="142">
        <v>92045</v>
      </c>
      <c r="BG45" s="142">
        <v>92161.5</v>
      </c>
      <c r="BH45" s="142">
        <v>92510.5</v>
      </c>
      <c r="BI45" s="142">
        <v>92737.5</v>
      </c>
      <c r="BJ45" s="142">
        <v>92964</v>
      </c>
      <c r="BK45" s="142">
        <v>93316.5</v>
      </c>
      <c r="BL45" s="142">
        <v>93702</v>
      </c>
      <c r="BM45" s="142">
        <v>94047</v>
      </c>
      <c r="BN45" s="142">
        <v>94362</v>
      </c>
      <c r="BO45" s="142">
        <v>94635</v>
      </c>
      <c r="BP45" s="142">
        <v>94824.5</v>
      </c>
      <c r="BQ45" s="142">
        <v>94990.5</v>
      </c>
      <c r="BR45" s="142">
        <v>95120</v>
      </c>
      <c r="BS45" s="142">
        <v>95150.5</v>
      </c>
      <c r="BT45" s="142">
        <v>95280.5</v>
      </c>
      <c r="BU45" s="142">
        <v>95358</v>
      </c>
      <c r="BV45" s="142">
        <v>95497.5</v>
      </c>
      <c r="BW45" s="142">
        <v>95584.5</v>
      </c>
      <c r="BX45" s="142">
        <v>95747</v>
      </c>
      <c r="BY45" s="142">
        <v>95911</v>
      </c>
      <c r="BZ45" s="142">
        <v>96199</v>
      </c>
      <c r="CA45" s="142">
        <v>96386</v>
      </c>
      <c r="CB45" s="142">
        <v>96497.5</v>
      </c>
      <c r="CC45" s="142">
        <v>96658</v>
      </c>
      <c r="CD45" s="142">
        <v>96788.5</v>
      </c>
      <c r="CE45" s="142">
        <v>96898</v>
      </c>
      <c r="CF45" s="142">
        <v>97058</v>
      </c>
      <c r="CG45" s="142">
        <v>97182</v>
      </c>
      <c r="CH45" s="142">
        <v>97290</v>
      </c>
      <c r="CI45" s="142">
        <v>97437.5</v>
      </c>
      <c r="CJ45" s="142">
        <v>97494.5</v>
      </c>
      <c r="CK45" s="142">
        <v>97574.5</v>
      </c>
      <c r="CL45" s="142">
        <v>97715.5</v>
      </c>
      <c r="CM45" s="142">
        <v>97772</v>
      </c>
      <c r="CN45" s="142">
        <v>97872</v>
      </c>
      <c r="CO45" s="142">
        <v>97962.5</v>
      </c>
      <c r="CP45" s="142">
        <v>98047</v>
      </c>
      <c r="CQ45" s="142">
        <v>98127.5</v>
      </c>
      <c r="CR45" s="142">
        <v>98168.5</v>
      </c>
      <c r="CS45" s="142">
        <v>98248.5</v>
      </c>
      <c r="CT45" s="142">
        <v>98297.5</v>
      </c>
      <c r="CU45" s="142">
        <v>98354</v>
      </c>
      <c r="CV45" s="142">
        <v>98386</v>
      </c>
      <c r="CW45" s="142">
        <v>98435</v>
      </c>
      <c r="CX45" s="142">
        <v>98497</v>
      </c>
      <c r="CY45" s="142">
        <v>98522.5</v>
      </c>
      <c r="CZ45" s="142">
        <v>98548.5</v>
      </c>
      <c r="DA45" s="142">
        <v>98575</v>
      </c>
      <c r="DB45" s="142">
        <v>98622.5</v>
      </c>
      <c r="DC45" s="142">
        <v>98664</v>
      </c>
      <c r="DD45" s="142">
        <v>98694.5</v>
      </c>
      <c r="DE45" s="142">
        <v>98721</v>
      </c>
      <c r="DF45" s="142">
        <v>98783.5</v>
      </c>
      <c r="DG45" s="142">
        <v>98799</v>
      </c>
      <c r="DH45" s="142">
        <v>98833</v>
      </c>
      <c r="DI45" s="142">
        <v>98846</v>
      </c>
      <c r="DJ45" s="142">
        <v>98894</v>
      </c>
      <c r="DK45" s="142">
        <v>98917.5</v>
      </c>
      <c r="DL45" s="142">
        <v>98937.5</v>
      </c>
      <c r="DM45" s="142">
        <v>98972.5</v>
      </c>
      <c r="DN45" s="142">
        <v>99006.5</v>
      </c>
      <c r="DO45" s="142">
        <v>99039.5</v>
      </c>
      <c r="DP45" s="142"/>
      <c r="DQ45" s="142"/>
    </row>
    <row r="46" spans="1:121">
      <c r="A46" s="140">
        <v>44</v>
      </c>
      <c r="B46" s="142"/>
      <c r="C46" s="142"/>
      <c r="D46" s="142"/>
      <c r="E46" s="142"/>
      <c r="F46" s="142"/>
      <c r="G46" s="142"/>
      <c r="H46" s="142"/>
      <c r="I46" s="142"/>
      <c r="J46" s="142"/>
      <c r="K46" s="142"/>
      <c r="L46" s="142"/>
      <c r="M46" s="142"/>
      <c r="N46" s="142"/>
      <c r="O46" s="142"/>
      <c r="P46" s="142"/>
      <c r="Q46" s="142"/>
      <c r="R46" s="142"/>
      <c r="S46" s="142"/>
      <c r="T46" s="142"/>
      <c r="U46" s="142"/>
      <c r="V46" s="142"/>
      <c r="W46" s="142">
        <v>76689</v>
      </c>
      <c r="X46" s="142">
        <v>77495.5</v>
      </c>
      <c r="Y46" s="142">
        <v>77634.5</v>
      </c>
      <c r="Z46" s="142">
        <v>79758.5</v>
      </c>
      <c r="AA46" s="142">
        <v>80193.5</v>
      </c>
      <c r="AB46" s="142">
        <v>80854.5</v>
      </c>
      <c r="AC46" s="142">
        <v>81690.5</v>
      </c>
      <c r="AD46" s="142">
        <v>82630.5</v>
      </c>
      <c r="AE46" s="142">
        <v>82590</v>
      </c>
      <c r="AF46" s="142">
        <v>83829.5</v>
      </c>
      <c r="AG46" s="142">
        <v>84278</v>
      </c>
      <c r="AH46" s="142">
        <v>84616</v>
      </c>
      <c r="AI46" s="142">
        <v>84963.5</v>
      </c>
      <c r="AJ46" s="142">
        <v>86194</v>
      </c>
      <c r="AK46" s="142">
        <v>86176.5</v>
      </c>
      <c r="AL46" s="142">
        <v>86537</v>
      </c>
      <c r="AM46" s="142">
        <v>86849</v>
      </c>
      <c r="AN46" s="142">
        <v>87328</v>
      </c>
      <c r="AO46" s="142">
        <v>87324.5</v>
      </c>
      <c r="AP46" s="142">
        <v>87474.5</v>
      </c>
      <c r="AQ46" s="142">
        <v>87580.5</v>
      </c>
      <c r="AR46" s="142">
        <v>87679</v>
      </c>
      <c r="AS46" s="142">
        <v>87164.5</v>
      </c>
      <c r="AT46" s="142">
        <v>86483.5</v>
      </c>
      <c r="AU46" s="142">
        <v>85286.5</v>
      </c>
      <c r="AV46" s="142">
        <v>85646.5</v>
      </c>
      <c r="AW46" s="142">
        <v>86070.5</v>
      </c>
      <c r="AX46" s="142">
        <v>88212.5</v>
      </c>
      <c r="AY46" s="142">
        <v>89956.5</v>
      </c>
      <c r="AZ46" s="142">
        <v>89973.5</v>
      </c>
      <c r="BA46" s="142">
        <v>90016.5</v>
      </c>
      <c r="BB46" s="142">
        <v>90680.5</v>
      </c>
      <c r="BC46" s="142">
        <v>90901</v>
      </c>
      <c r="BD46" s="142">
        <v>91329.5</v>
      </c>
      <c r="BE46" s="142">
        <v>91427.5</v>
      </c>
      <c r="BF46" s="142">
        <v>91854.5</v>
      </c>
      <c r="BG46" s="142">
        <v>91977.5</v>
      </c>
      <c r="BH46" s="142">
        <v>92331.5</v>
      </c>
      <c r="BI46" s="142">
        <v>92555.5</v>
      </c>
      <c r="BJ46" s="142">
        <v>92795.5</v>
      </c>
      <c r="BK46" s="142">
        <v>93155.5</v>
      </c>
      <c r="BL46" s="142">
        <v>93543.5</v>
      </c>
      <c r="BM46" s="142">
        <v>93898.5</v>
      </c>
      <c r="BN46" s="142">
        <v>94220</v>
      </c>
      <c r="BO46" s="142">
        <v>94498</v>
      </c>
      <c r="BP46" s="142">
        <v>94689</v>
      </c>
      <c r="BQ46" s="142">
        <v>94858.5</v>
      </c>
      <c r="BR46" s="142">
        <v>94991</v>
      </c>
      <c r="BS46" s="142">
        <v>95028.5</v>
      </c>
      <c r="BT46" s="142">
        <v>95157.5</v>
      </c>
      <c r="BU46" s="142">
        <v>95232.5</v>
      </c>
      <c r="BV46" s="142">
        <v>95378</v>
      </c>
      <c r="BW46" s="142">
        <v>95467.5</v>
      </c>
      <c r="BX46" s="142">
        <v>95631.5</v>
      </c>
      <c r="BY46" s="142">
        <v>95798</v>
      </c>
      <c r="BZ46" s="142">
        <v>96088.5</v>
      </c>
      <c r="CA46" s="142">
        <v>96277</v>
      </c>
      <c r="CB46" s="142">
        <v>96391</v>
      </c>
      <c r="CC46" s="142">
        <v>96553.5</v>
      </c>
      <c r="CD46" s="142">
        <v>96686.5</v>
      </c>
      <c r="CE46" s="142">
        <v>96797.5</v>
      </c>
      <c r="CF46" s="142">
        <v>96960</v>
      </c>
      <c r="CG46" s="142">
        <v>97085</v>
      </c>
      <c r="CH46" s="142">
        <v>97195</v>
      </c>
      <c r="CI46" s="142">
        <v>97344.5</v>
      </c>
      <c r="CJ46" s="142">
        <v>97403.5</v>
      </c>
      <c r="CK46" s="142">
        <v>97485.5</v>
      </c>
      <c r="CL46" s="142">
        <v>97628</v>
      </c>
      <c r="CM46" s="142">
        <v>97686.5</v>
      </c>
      <c r="CN46" s="142">
        <v>97788</v>
      </c>
      <c r="CO46" s="142">
        <v>97881</v>
      </c>
      <c r="CP46" s="142">
        <v>97966.5</v>
      </c>
      <c r="CQ46" s="142">
        <v>98049</v>
      </c>
      <c r="CR46" s="142">
        <v>98091</v>
      </c>
      <c r="CS46" s="142">
        <v>98172.5</v>
      </c>
      <c r="CT46" s="142">
        <v>98223.5</v>
      </c>
      <c r="CU46" s="142">
        <v>98281.5</v>
      </c>
      <c r="CV46" s="142">
        <v>98315.5</v>
      </c>
      <c r="CW46" s="142">
        <v>98365.5</v>
      </c>
      <c r="CX46" s="142">
        <v>98428.5</v>
      </c>
      <c r="CY46" s="142">
        <v>98456</v>
      </c>
      <c r="CZ46" s="142">
        <v>98483.5</v>
      </c>
      <c r="DA46" s="142">
        <v>98511</v>
      </c>
      <c r="DB46" s="142">
        <v>98559.5</v>
      </c>
      <c r="DC46" s="142">
        <v>98603</v>
      </c>
      <c r="DD46" s="142">
        <v>98634.5</v>
      </c>
      <c r="DE46" s="142">
        <v>98662.5</v>
      </c>
      <c r="DF46" s="142">
        <v>98726.5</v>
      </c>
      <c r="DG46" s="142">
        <v>98743</v>
      </c>
      <c r="DH46" s="142">
        <v>98778</v>
      </c>
      <c r="DI46" s="142">
        <v>98791.5</v>
      </c>
      <c r="DJ46" s="142">
        <v>98841</v>
      </c>
      <c r="DK46" s="142">
        <v>98866</v>
      </c>
      <c r="DL46" s="142">
        <v>98886.5</v>
      </c>
      <c r="DM46" s="142">
        <v>98923</v>
      </c>
      <c r="DN46" s="142">
        <v>98957.5</v>
      </c>
      <c r="DO46" s="142">
        <v>98991.5</v>
      </c>
      <c r="DP46" s="142"/>
      <c r="DQ46" s="142"/>
    </row>
    <row r="47" spans="1:121">
      <c r="A47" s="140">
        <v>45</v>
      </c>
      <c r="B47" s="142"/>
      <c r="C47" s="142"/>
      <c r="D47" s="142"/>
      <c r="E47" s="142"/>
      <c r="F47" s="142"/>
      <c r="G47" s="142"/>
      <c r="H47" s="142"/>
      <c r="I47" s="142"/>
      <c r="J47" s="142"/>
      <c r="K47" s="142"/>
      <c r="L47" s="142"/>
      <c r="M47" s="142"/>
      <c r="N47" s="142"/>
      <c r="O47" s="142"/>
      <c r="P47" s="142"/>
      <c r="Q47" s="142"/>
      <c r="R47" s="142"/>
      <c r="S47" s="142"/>
      <c r="T47" s="142"/>
      <c r="U47" s="142"/>
      <c r="V47" s="142"/>
      <c r="W47" s="142">
        <v>76433</v>
      </c>
      <c r="X47" s="142">
        <v>77232.5</v>
      </c>
      <c r="Y47" s="142">
        <v>77371</v>
      </c>
      <c r="Z47" s="142">
        <v>79489</v>
      </c>
      <c r="AA47" s="142">
        <v>79912.5</v>
      </c>
      <c r="AB47" s="142">
        <v>80581.5</v>
      </c>
      <c r="AC47" s="142">
        <v>81414</v>
      </c>
      <c r="AD47" s="142">
        <v>82346</v>
      </c>
      <c r="AE47" s="142">
        <v>82304.5</v>
      </c>
      <c r="AF47" s="142">
        <v>83549.5</v>
      </c>
      <c r="AG47" s="142">
        <v>83987</v>
      </c>
      <c r="AH47" s="142">
        <v>84331.5</v>
      </c>
      <c r="AI47" s="142">
        <v>84687.5</v>
      </c>
      <c r="AJ47" s="142">
        <v>85907.5</v>
      </c>
      <c r="AK47" s="142">
        <v>85906.5</v>
      </c>
      <c r="AL47" s="142">
        <v>86267.5</v>
      </c>
      <c r="AM47" s="142">
        <v>86588.5</v>
      </c>
      <c r="AN47" s="142">
        <v>87069</v>
      </c>
      <c r="AO47" s="142">
        <v>87079</v>
      </c>
      <c r="AP47" s="142">
        <v>87243</v>
      </c>
      <c r="AQ47" s="142">
        <v>87349.5</v>
      </c>
      <c r="AR47" s="142">
        <v>87452.5</v>
      </c>
      <c r="AS47" s="142">
        <v>86936.5</v>
      </c>
      <c r="AT47" s="142">
        <v>86258.5</v>
      </c>
      <c r="AU47" s="142">
        <v>85063.5</v>
      </c>
      <c r="AV47" s="142">
        <v>85425</v>
      </c>
      <c r="AW47" s="142">
        <v>85847.5</v>
      </c>
      <c r="AX47" s="142">
        <v>87987.5</v>
      </c>
      <c r="AY47" s="142">
        <v>89722.5</v>
      </c>
      <c r="AZ47" s="142">
        <v>89741.5</v>
      </c>
      <c r="BA47" s="142">
        <v>89781</v>
      </c>
      <c r="BB47" s="142">
        <v>90459.5</v>
      </c>
      <c r="BC47" s="142">
        <v>90684.5</v>
      </c>
      <c r="BD47" s="142">
        <v>91123.5</v>
      </c>
      <c r="BE47" s="142">
        <v>91221</v>
      </c>
      <c r="BF47" s="142">
        <v>91650</v>
      </c>
      <c r="BG47" s="142">
        <v>91785</v>
      </c>
      <c r="BH47" s="142">
        <v>92136</v>
      </c>
      <c r="BI47" s="142">
        <v>92376</v>
      </c>
      <c r="BJ47" s="142">
        <v>92614.5</v>
      </c>
      <c r="BK47" s="142">
        <v>92984.5</v>
      </c>
      <c r="BL47" s="142">
        <v>93378</v>
      </c>
      <c r="BM47" s="142">
        <v>93747.5</v>
      </c>
      <c r="BN47" s="142">
        <v>94068.5</v>
      </c>
      <c r="BO47" s="142">
        <v>94347.5</v>
      </c>
      <c r="BP47" s="142">
        <v>94544.5</v>
      </c>
      <c r="BQ47" s="142">
        <v>94713</v>
      </c>
      <c r="BR47" s="142">
        <v>94853</v>
      </c>
      <c r="BS47" s="142">
        <v>94894.5</v>
      </c>
      <c r="BT47" s="142">
        <v>95026</v>
      </c>
      <c r="BU47" s="142">
        <v>95099.5</v>
      </c>
      <c r="BV47" s="142">
        <v>95247.5</v>
      </c>
      <c r="BW47" s="142">
        <v>95339.5</v>
      </c>
      <c r="BX47" s="142">
        <v>95506.5</v>
      </c>
      <c r="BY47" s="142">
        <v>95675.5</v>
      </c>
      <c r="BZ47" s="142">
        <v>95967.5</v>
      </c>
      <c r="CA47" s="142">
        <v>96158.5</v>
      </c>
      <c r="CB47" s="142">
        <v>96274.5</v>
      </c>
      <c r="CC47" s="142">
        <v>96439.5</v>
      </c>
      <c r="CD47" s="142">
        <v>96574.5</v>
      </c>
      <c r="CE47" s="142">
        <v>96687.5</v>
      </c>
      <c r="CF47" s="142">
        <v>96852</v>
      </c>
      <c r="CG47" s="142">
        <v>96979.5</v>
      </c>
      <c r="CH47" s="142">
        <v>97092</v>
      </c>
      <c r="CI47" s="142">
        <v>97243</v>
      </c>
      <c r="CJ47" s="142">
        <v>97304</v>
      </c>
      <c r="CK47" s="142">
        <v>97388</v>
      </c>
      <c r="CL47" s="142">
        <v>97532</v>
      </c>
      <c r="CM47" s="142">
        <v>97593</v>
      </c>
      <c r="CN47" s="142">
        <v>97696.5</v>
      </c>
      <c r="CO47" s="142">
        <v>97790.5</v>
      </c>
      <c r="CP47" s="142">
        <v>97878.5</v>
      </c>
      <c r="CQ47" s="142">
        <v>97963</v>
      </c>
      <c r="CR47" s="142">
        <v>98007</v>
      </c>
      <c r="CS47" s="142">
        <v>98089.5</v>
      </c>
      <c r="CT47" s="142">
        <v>98142</v>
      </c>
      <c r="CU47" s="142">
        <v>98202</v>
      </c>
      <c r="CV47" s="142">
        <v>98237</v>
      </c>
      <c r="CW47" s="142">
        <v>98289</v>
      </c>
      <c r="CX47" s="142">
        <v>98354</v>
      </c>
      <c r="CY47" s="142">
        <v>98382</v>
      </c>
      <c r="CZ47" s="142">
        <v>98411.5</v>
      </c>
      <c r="DA47" s="142">
        <v>98441</v>
      </c>
      <c r="DB47" s="142">
        <v>98491</v>
      </c>
      <c r="DC47" s="142">
        <v>98535.5</v>
      </c>
      <c r="DD47" s="142">
        <v>98568.5</v>
      </c>
      <c r="DE47" s="142">
        <v>98597.5</v>
      </c>
      <c r="DF47" s="142">
        <v>98662.5</v>
      </c>
      <c r="DG47" s="142">
        <v>98680.5</v>
      </c>
      <c r="DH47" s="142">
        <v>98717</v>
      </c>
      <c r="DI47" s="142">
        <v>98732</v>
      </c>
      <c r="DJ47" s="142">
        <v>98782.5</v>
      </c>
      <c r="DK47" s="142">
        <v>98808.5</v>
      </c>
      <c r="DL47" s="142">
        <v>98830.5</v>
      </c>
      <c r="DM47" s="142">
        <v>98868</v>
      </c>
      <c r="DN47" s="142">
        <v>98904</v>
      </c>
      <c r="DO47" s="142">
        <v>98939</v>
      </c>
      <c r="DP47" s="142"/>
      <c r="DQ47" s="142"/>
    </row>
    <row r="48" spans="1:121">
      <c r="A48" s="140">
        <v>46</v>
      </c>
      <c r="B48" s="142"/>
      <c r="C48" s="142"/>
      <c r="D48" s="142"/>
      <c r="E48" s="142"/>
      <c r="F48" s="142"/>
      <c r="G48" s="142"/>
      <c r="H48" s="142"/>
      <c r="I48" s="142"/>
      <c r="J48" s="142"/>
      <c r="K48" s="142"/>
      <c r="L48" s="142"/>
      <c r="M48" s="142"/>
      <c r="N48" s="142"/>
      <c r="O48" s="142"/>
      <c r="P48" s="142"/>
      <c r="Q48" s="142"/>
      <c r="R48" s="142"/>
      <c r="S48" s="142"/>
      <c r="T48" s="142"/>
      <c r="U48" s="142"/>
      <c r="V48" s="142"/>
      <c r="W48" s="142">
        <v>76155.5</v>
      </c>
      <c r="X48" s="142">
        <v>76944.5</v>
      </c>
      <c r="Y48" s="142">
        <v>77085.5</v>
      </c>
      <c r="Z48" s="142">
        <v>79184.5</v>
      </c>
      <c r="AA48" s="142">
        <v>79622</v>
      </c>
      <c r="AB48" s="142">
        <v>80284</v>
      </c>
      <c r="AC48" s="142">
        <v>81113</v>
      </c>
      <c r="AD48" s="142">
        <v>82042</v>
      </c>
      <c r="AE48" s="142">
        <v>81991.5</v>
      </c>
      <c r="AF48" s="142">
        <v>83236</v>
      </c>
      <c r="AG48" s="142">
        <v>83678.5</v>
      </c>
      <c r="AH48" s="142">
        <v>84022.5</v>
      </c>
      <c r="AI48" s="142">
        <v>84374</v>
      </c>
      <c r="AJ48" s="142">
        <v>85605</v>
      </c>
      <c r="AK48" s="142">
        <v>85607</v>
      </c>
      <c r="AL48" s="142">
        <v>85979</v>
      </c>
      <c r="AM48" s="142">
        <v>86313</v>
      </c>
      <c r="AN48" s="142">
        <v>86800</v>
      </c>
      <c r="AO48" s="142">
        <v>86810</v>
      </c>
      <c r="AP48" s="142">
        <v>86983</v>
      </c>
      <c r="AQ48" s="142">
        <v>87096</v>
      </c>
      <c r="AR48" s="142">
        <v>87204.5</v>
      </c>
      <c r="AS48" s="142">
        <v>86689</v>
      </c>
      <c r="AT48" s="142">
        <v>86014</v>
      </c>
      <c r="AU48" s="142">
        <v>84808</v>
      </c>
      <c r="AV48" s="142">
        <v>85174</v>
      </c>
      <c r="AW48" s="142">
        <v>85611</v>
      </c>
      <c r="AX48" s="142">
        <v>87739</v>
      </c>
      <c r="AY48" s="142">
        <v>89478</v>
      </c>
      <c r="AZ48" s="142">
        <v>89496</v>
      </c>
      <c r="BA48" s="142">
        <v>89534.5</v>
      </c>
      <c r="BB48" s="142">
        <v>90222.5</v>
      </c>
      <c r="BC48" s="142">
        <v>90454</v>
      </c>
      <c r="BD48" s="142">
        <v>90892</v>
      </c>
      <c r="BE48" s="142">
        <v>91000</v>
      </c>
      <c r="BF48" s="142">
        <v>91426.5</v>
      </c>
      <c r="BG48" s="142">
        <v>91561</v>
      </c>
      <c r="BH48" s="142">
        <v>91932.5</v>
      </c>
      <c r="BI48" s="142">
        <v>92176.5</v>
      </c>
      <c r="BJ48" s="142">
        <v>92424.5</v>
      </c>
      <c r="BK48" s="142">
        <v>92796.5</v>
      </c>
      <c r="BL48" s="142">
        <v>93200</v>
      </c>
      <c r="BM48" s="142">
        <v>93574.5</v>
      </c>
      <c r="BN48" s="142">
        <v>93902.5</v>
      </c>
      <c r="BO48" s="142">
        <v>94185</v>
      </c>
      <c r="BP48" s="142">
        <v>94388</v>
      </c>
      <c r="BQ48" s="142">
        <v>94555</v>
      </c>
      <c r="BR48" s="142">
        <v>94703.5</v>
      </c>
      <c r="BS48" s="142">
        <v>94745</v>
      </c>
      <c r="BT48" s="142">
        <v>94878</v>
      </c>
      <c r="BU48" s="142">
        <v>94954.5</v>
      </c>
      <c r="BV48" s="142">
        <v>95104.5</v>
      </c>
      <c r="BW48" s="142">
        <v>95200</v>
      </c>
      <c r="BX48" s="142">
        <v>95369.5</v>
      </c>
      <c r="BY48" s="142">
        <v>95540.5</v>
      </c>
      <c r="BZ48" s="142">
        <v>95835</v>
      </c>
      <c r="CA48" s="142">
        <v>96028.5</v>
      </c>
      <c r="CB48" s="142">
        <v>96147.5</v>
      </c>
      <c r="CC48" s="142">
        <v>96314.5</v>
      </c>
      <c r="CD48" s="142">
        <v>96451.5</v>
      </c>
      <c r="CE48" s="142">
        <v>96568</v>
      </c>
      <c r="CF48" s="142">
        <v>96734</v>
      </c>
      <c r="CG48" s="142">
        <v>96864</v>
      </c>
      <c r="CH48" s="142">
        <v>96978.5</v>
      </c>
      <c r="CI48" s="142">
        <v>97132</v>
      </c>
      <c r="CJ48" s="142">
        <v>97195</v>
      </c>
      <c r="CK48" s="142">
        <v>97281</v>
      </c>
      <c r="CL48" s="142">
        <v>97427.5</v>
      </c>
      <c r="CM48" s="142">
        <v>97490.5</v>
      </c>
      <c r="CN48" s="142">
        <v>97595.5</v>
      </c>
      <c r="CO48" s="142">
        <v>97692</v>
      </c>
      <c r="CP48" s="142">
        <v>97781</v>
      </c>
      <c r="CQ48" s="142">
        <v>97868</v>
      </c>
      <c r="CR48" s="142">
        <v>97913.5</v>
      </c>
      <c r="CS48" s="142">
        <v>97998.5</v>
      </c>
      <c r="CT48" s="142">
        <v>98053</v>
      </c>
      <c r="CU48" s="142">
        <v>98114</v>
      </c>
      <c r="CV48" s="142">
        <v>98151.5</v>
      </c>
      <c r="CW48" s="142">
        <v>98205</v>
      </c>
      <c r="CX48" s="142">
        <v>98271.5</v>
      </c>
      <c r="CY48" s="142">
        <v>98302</v>
      </c>
      <c r="CZ48" s="142">
        <v>98332.5</v>
      </c>
      <c r="DA48" s="142">
        <v>98363</v>
      </c>
      <c r="DB48" s="142">
        <v>98415</v>
      </c>
      <c r="DC48" s="142">
        <v>98460.5</v>
      </c>
      <c r="DD48" s="142">
        <v>98496</v>
      </c>
      <c r="DE48" s="142">
        <v>98525.5</v>
      </c>
      <c r="DF48" s="142">
        <v>98592.5</v>
      </c>
      <c r="DG48" s="142">
        <v>98611.5</v>
      </c>
      <c r="DH48" s="142">
        <v>98650</v>
      </c>
      <c r="DI48" s="142">
        <v>98666.5</v>
      </c>
      <c r="DJ48" s="142">
        <v>98717.5</v>
      </c>
      <c r="DK48" s="142">
        <v>98745.5</v>
      </c>
      <c r="DL48" s="142">
        <v>98768.5</v>
      </c>
      <c r="DM48" s="142">
        <v>98807</v>
      </c>
      <c r="DN48" s="142">
        <v>98845</v>
      </c>
      <c r="DO48" s="142">
        <v>98881</v>
      </c>
      <c r="DP48" s="142"/>
      <c r="DQ48" s="142"/>
    </row>
    <row r="49" spans="1:121">
      <c r="A49" s="140">
        <v>47</v>
      </c>
      <c r="B49" s="142"/>
      <c r="C49" s="142"/>
      <c r="D49" s="142"/>
      <c r="E49" s="142"/>
      <c r="F49" s="142"/>
      <c r="G49" s="142"/>
      <c r="H49" s="142"/>
      <c r="I49" s="142"/>
      <c r="J49" s="142"/>
      <c r="K49" s="142"/>
      <c r="L49" s="142"/>
      <c r="M49" s="142"/>
      <c r="N49" s="142"/>
      <c r="O49" s="142"/>
      <c r="P49" s="142"/>
      <c r="Q49" s="142"/>
      <c r="R49" s="142"/>
      <c r="S49" s="142"/>
      <c r="T49" s="142"/>
      <c r="U49" s="142"/>
      <c r="V49" s="142"/>
      <c r="W49" s="142">
        <v>75848</v>
      </c>
      <c r="X49" s="142">
        <v>76632.5</v>
      </c>
      <c r="Y49" s="142">
        <v>76754</v>
      </c>
      <c r="Z49" s="142">
        <v>78859.5</v>
      </c>
      <c r="AA49" s="142">
        <v>79290</v>
      </c>
      <c r="AB49" s="142">
        <v>79961.5</v>
      </c>
      <c r="AC49" s="142">
        <v>80784.5</v>
      </c>
      <c r="AD49" s="142">
        <v>81708.5</v>
      </c>
      <c r="AE49" s="142">
        <v>81659</v>
      </c>
      <c r="AF49" s="142">
        <v>82900</v>
      </c>
      <c r="AG49" s="142">
        <v>83339.5</v>
      </c>
      <c r="AH49" s="142">
        <v>83697</v>
      </c>
      <c r="AI49" s="142">
        <v>84049</v>
      </c>
      <c r="AJ49" s="142">
        <v>85285.5</v>
      </c>
      <c r="AK49" s="142">
        <v>85291</v>
      </c>
      <c r="AL49" s="142">
        <v>85677.5</v>
      </c>
      <c r="AM49" s="142">
        <v>86024.5</v>
      </c>
      <c r="AN49" s="142">
        <v>86507.5</v>
      </c>
      <c r="AO49" s="142">
        <v>86527.5</v>
      </c>
      <c r="AP49" s="142">
        <v>86704</v>
      </c>
      <c r="AQ49" s="142">
        <v>86819.5</v>
      </c>
      <c r="AR49" s="142">
        <v>86925.5</v>
      </c>
      <c r="AS49" s="142">
        <v>86420</v>
      </c>
      <c r="AT49" s="142">
        <v>85735</v>
      </c>
      <c r="AU49" s="142">
        <v>84534</v>
      </c>
      <c r="AV49" s="142">
        <v>84907.5</v>
      </c>
      <c r="AW49" s="142">
        <v>85355</v>
      </c>
      <c r="AX49" s="142">
        <v>87481</v>
      </c>
      <c r="AY49" s="142">
        <v>89219</v>
      </c>
      <c r="AZ49" s="142">
        <v>89235.5</v>
      </c>
      <c r="BA49" s="142">
        <v>89280</v>
      </c>
      <c r="BB49" s="142">
        <v>89974</v>
      </c>
      <c r="BC49" s="142">
        <v>90207</v>
      </c>
      <c r="BD49" s="142">
        <v>90644.5</v>
      </c>
      <c r="BE49" s="142">
        <v>90764.5</v>
      </c>
      <c r="BF49" s="142">
        <v>91181.5</v>
      </c>
      <c r="BG49" s="142">
        <v>91326.5</v>
      </c>
      <c r="BH49" s="142">
        <v>91711.5</v>
      </c>
      <c r="BI49" s="142">
        <v>91961.5</v>
      </c>
      <c r="BJ49" s="142">
        <v>92221</v>
      </c>
      <c r="BK49" s="142">
        <v>92594</v>
      </c>
      <c r="BL49" s="142">
        <v>93001</v>
      </c>
      <c r="BM49" s="142">
        <v>93388.5</v>
      </c>
      <c r="BN49" s="142">
        <v>93724.5</v>
      </c>
      <c r="BO49" s="142">
        <v>94008</v>
      </c>
      <c r="BP49" s="142">
        <v>94211.5</v>
      </c>
      <c r="BQ49" s="142">
        <v>94390.5</v>
      </c>
      <c r="BR49" s="142">
        <v>94535.5</v>
      </c>
      <c r="BS49" s="142">
        <v>94579.5</v>
      </c>
      <c r="BT49" s="142">
        <v>94716</v>
      </c>
      <c r="BU49" s="142">
        <v>94795.5</v>
      </c>
      <c r="BV49" s="142">
        <v>94948.5</v>
      </c>
      <c r="BW49" s="142">
        <v>95047</v>
      </c>
      <c r="BX49" s="142">
        <v>95219</v>
      </c>
      <c r="BY49" s="142">
        <v>95393.5</v>
      </c>
      <c r="BZ49" s="142">
        <v>95690</v>
      </c>
      <c r="CA49" s="142">
        <v>95886.5</v>
      </c>
      <c r="CB49" s="142">
        <v>96008</v>
      </c>
      <c r="CC49" s="142">
        <v>96177.5</v>
      </c>
      <c r="CD49" s="142">
        <v>96317.5</v>
      </c>
      <c r="CE49" s="142">
        <v>96436</v>
      </c>
      <c r="CF49" s="142">
        <v>96605</v>
      </c>
      <c r="CG49" s="142">
        <v>96737.5</v>
      </c>
      <c r="CH49" s="142">
        <v>96854</v>
      </c>
      <c r="CI49" s="142">
        <v>97009.5</v>
      </c>
      <c r="CJ49" s="142">
        <v>97075.5</v>
      </c>
      <c r="CK49" s="142">
        <v>97164</v>
      </c>
      <c r="CL49" s="142">
        <v>97312.5</v>
      </c>
      <c r="CM49" s="142">
        <v>97377.5</v>
      </c>
      <c r="CN49" s="142">
        <v>97485</v>
      </c>
      <c r="CO49" s="142">
        <v>97583</v>
      </c>
      <c r="CP49" s="142">
        <v>97675</v>
      </c>
      <c r="CQ49" s="142">
        <v>97763.5</v>
      </c>
      <c r="CR49" s="142">
        <v>97811</v>
      </c>
      <c r="CS49" s="142">
        <v>97898</v>
      </c>
      <c r="CT49" s="142">
        <v>97954</v>
      </c>
      <c r="CU49" s="142">
        <v>98017.5</v>
      </c>
      <c r="CV49" s="142">
        <v>98057</v>
      </c>
      <c r="CW49" s="142">
        <v>98112</v>
      </c>
      <c r="CX49" s="142">
        <v>98180.5</v>
      </c>
      <c r="CY49" s="142">
        <v>98213</v>
      </c>
      <c r="CZ49" s="142">
        <v>98245.5</v>
      </c>
      <c r="DA49" s="142">
        <v>98278</v>
      </c>
      <c r="DB49" s="142">
        <v>98331.5</v>
      </c>
      <c r="DC49" s="142">
        <v>98378.5</v>
      </c>
      <c r="DD49" s="142">
        <v>98415</v>
      </c>
      <c r="DE49" s="142">
        <v>98447</v>
      </c>
      <c r="DF49" s="142">
        <v>98515.5</v>
      </c>
      <c r="DG49" s="142">
        <v>98536</v>
      </c>
      <c r="DH49" s="142">
        <v>98575.5</v>
      </c>
      <c r="DI49" s="142">
        <v>98593.5</v>
      </c>
      <c r="DJ49" s="142">
        <v>98646.5</v>
      </c>
      <c r="DK49" s="142">
        <v>98675.5</v>
      </c>
      <c r="DL49" s="142">
        <v>98700</v>
      </c>
      <c r="DM49" s="142">
        <v>98740</v>
      </c>
      <c r="DN49" s="142">
        <v>98779</v>
      </c>
      <c r="DO49" s="142">
        <v>98816.5</v>
      </c>
      <c r="DP49" s="142"/>
      <c r="DQ49" s="142"/>
    </row>
    <row r="50" spans="1:121">
      <c r="A50" s="140">
        <v>48</v>
      </c>
      <c r="B50" s="142"/>
      <c r="C50" s="142"/>
      <c r="D50" s="142"/>
      <c r="E50" s="142"/>
      <c r="F50" s="142"/>
      <c r="G50" s="142"/>
      <c r="H50" s="142"/>
      <c r="I50" s="142"/>
      <c r="J50" s="142"/>
      <c r="K50" s="142"/>
      <c r="L50" s="142"/>
      <c r="M50" s="142"/>
      <c r="N50" s="142"/>
      <c r="O50" s="142"/>
      <c r="P50" s="142"/>
      <c r="Q50" s="142"/>
      <c r="R50" s="142"/>
      <c r="S50" s="142"/>
      <c r="T50" s="142"/>
      <c r="U50" s="142"/>
      <c r="V50" s="142"/>
      <c r="W50" s="142">
        <v>75510.5</v>
      </c>
      <c r="X50" s="142">
        <v>76278.5</v>
      </c>
      <c r="Y50" s="142">
        <v>76415</v>
      </c>
      <c r="Z50" s="142">
        <v>78519.5</v>
      </c>
      <c r="AA50" s="142">
        <v>78945.5</v>
      </c>
      <c r="AB50" s="142">
        <v>79605</v>
      </c>
      <c r="AC50" s="142">
        <v>80430.5</v>
      </c>
      <c r="AD50" s="142">
        <v>81342.5</v>
      </c>
      <c r="AE50" s="142">
        <v>81296.5</v>
      </c>
      <c r="AF50" s="142">
        <v>82532</v>
      </c>
      <c r="AG50" s="142">
        <v>82972.5</v>
      </c>
      <c r="AH50" s="142">
        <v>83335.5</v>
      </c>
      <c r="AI50" s="142">
        <v>83699</v>
      </c>
      <c r="AJ50" s="142">
        <v>84939</v>
      </c>
      <c r="AK50" s="142">
        <v>84958.5</v>
      </c>
      <c r="AL50" s="142">
        <v>85351.5</v>
      </c>
      <c r="AM50" s="142">
        <v>85709</v>
      </c>
      <c r="AN50" s="142">
        <v>86199.5</v>
      </c>
      <c r="AO50" s="142">
        <v>86222.5</v>
      </c>
      <c r="AP50" s="142">
        <v>86401.5</v>
      </c>
      <c r="AQ50" s="142">
        <v>86518</v>
      </c>
      <c r="AR50" s="142">
        <v>86633</v>
      </c>
      <c r="AS50" s="142">
        <v>86122</v>
      </c>
      <c r="AT50" s="142">
        <v>85440.5</v>
      </c>
      <c r="AU50" s="142">
        <v>84244.5</v>
      </c>
      <c r="AV50" s="142">
        <v>84624.5</v>
      </c>
      <c r="AW50" s="142">
        <v>85067.5</v>
      </c>
      <c r="AX50" s="142">
        <v>87197</v>
      </c>
      <c r="AY50" s="142">
        <v>88942</v>
      </c>
      <c r="AZ50" s="142">
        <v>88963.5</v>
      </c>
      <c r="BA50" s="142">
        <v>89018.5</v>
      </c>
      <c r="BB50" s="142">
        <v>89703.5</v>
      </c>
      <c r="BC50" s="142">
        <v>89946.5</v>
      </c>
      <c r="BD50" s="142">
        <v>90378</v>
      </c>
      <c r="BE50" s="142">
        <v>90499</v>
      </c>
      <c r="BF50" s="142">
        <v>90932.5</v>
      </c>
      <c r="BG50" s="142">
        <v>91079</v>
      </c>
      <c r="BH50" s="142">
        <v>91474</v>
      </c>
      <c r="BI50" s="142">
        <v>91730</v>
      </c>
      <c r="BJ50" s="142">
        <v>91994.5</v>
      </c>
      <c r="BK50" s="142">
        <v>92376</v>
      </c>
      <c r="BL50" s="142">
        <v>92789.5</v>
      </c>
      <c r="BM50" s="142">
        <v>93178.5</v>
      </c>
      <c r="BN50" s="142">
        <v>93524.5</v>
      </c>
      <c r="BO50" s="142">
        <v>93809.5</v>
      </c>
      <c r="BP50" s="142">
        <v>94030.5</v>
      </c>
      <c r="BQ50" s="142">
        <v>94198.5</v>
      </c>
      <c r="BR50" s="142">
        <v>94351.5</v>
      </c>
      <c r="BS50" s="142">
        <v>94398.5</v>
      </c>
      <c r="BT50" s="142">
        <v>94538.5</v>
      </c>
      <c r="BU50" s="142">
        <v>94622</v>
      </c>
      <c r="BV50" s="142">
        <v>94778</v>
      </c>
      <c r="BW50" s="142">
        <v>94879.5</v>
      </c>
      <c r="BX50" s="142">
        <v>95055</v>
      </c>
      <c r="BY50" s="142">
        <v>95232</v>
      </c>
      <c r="BZ50" s="142">
        <v>95531.5</v>
      </c>
      <c r="CA50" s="142">
        <v>95730.5</v>
      </c>
      <c r="CB50" s="142">
        <v>95855</v>
      </c>
      <c r="CC50" s="142">
        <v>96028</v>
      </c>
      <c r="CD50" s="142">
        <v>96170.5</v>
      </c>
      <c r="CE50" s="142">
        <v>96291.5</v>
      </c>
      <c r="CF50" s="142">
        <v>96463</v>
      </c>
      <c r="CG50" s="142">
        <v>96598</v>
      </c>
      <c r="CH50" s="142">
        <v>96717.5</v>
      </c>
      <c r="CI50" s="142">
        <v>96875.5</v>
      </c>
      <c r="CJ50" s="142">
        <v>96944</v>
      </c>
      <c r="CK50" s="142">
        <v>97035</v>
      </c>
      <c r="CL50" s="142">
        <v>97186</v>
      </c>
      <c r="CM50" s="142">
        <v>97253.5</v>
      </c>
      <c r="CN50" s="142">
        <v>97363</v>
      </c>
      <c r="CO50" s="142">
        <v>97463.5</v>
      </c>
      <c r="CP50" s="142">
        <v>97557.5</v>
      </c>
      <c r="CQ50" s="142">
        <v>97648.5</v>
      </c>
      <c r="CR50" s="142">
        <v>97698.5</v>
      </c>
      <c r="CS50" s="142">
        <v>97787.5</v>
      </c>
      <c r="CT50" s="142">
        <v>97846</v>
      </c>
      <c r="CU50" s="142">
        <v>97911</v>
      </c>
      <c r="CV50" s="142">
        <v>97952.5</v>
      </c>
      <c r="CW50" s="142">
        <v>98010</v>
      </c>
      <c r="CX50" s="142">
        <v>98080</v>
      </c>
      <c r="CY50" s="142">
        <v>98114.5</v>
      </c>
      <c r="CZ50" s="142">
        <v>98149</v>
      </c>
      <c r="DA50" s="142">
        <v>98183.5</v>
      </c>
      <c r="DB50" s="142">
        <v>98238.5</v>
      </c>
      <c r="DC50" s="142">
        <v>98287.5</v>
      </c>
      <c r="DD50" s="142">
        <v>98326</v>
      </c>
      <c r="DE50" s="142">
        <v>98359.5</v>
      </c>
      <c r="DF50" s="142">
        <v>98429.5</v>
      </c>
      <c r="DG50" s="142">
        <v>98452.5</v>
      </c>
      <c r="DH50" s="142">
        <v>98493</v>
      </c>
      <c r="DI50" s="142">
        <v>98513</v>
      </c>
      <c r="DJ50" s="142">
        <v>98567</v>
      </c>
      <c r="DK50" s="142">
        <v>98598</v>
      </c>
      <c r="DL50" s="142">
        <v>98624</v>
      </c>
      <c r="DM50" s="142">
        <v>98666</v>
      </c>
      <c r="DN50" s="142">
        <v>98706</v>
      </c>
      <c r="DO50" s="142">
        <v>98744.5</v>
      </c>
      <c r="DP50" s="142"/>
      <c r="DQ50" s="142"/>
    </row>
    <row r="51" spans="1:121">
      <c r="A51" s="140">
        <v>49</v>
      </c>
      <c r="B51" s="142"/>
      <c r="C51" s="142"/>
      <c r="D51" s="142"/>
      <c r="E51" s="142"/>
      <c r="F51" s="142"/>
      <c r="G51" s="142"/>
      <c r="H51" s="142"/>
      <c r="I51" s="142"/>
      <c r="J51" s="142"/>
      <c r="K51" s="142"/>
      <c r="L51" s="142"/>
      <c r="M51" s="142"/>
      <c r="N51" s="142"/>
      <c r="O51" s="142"/>
      <c r="P51" s="142"/>
      <c r="Q51" s="142"/>
      <c r="R51" s="142"/>
      <c r="S51" s="142"/>
      <c r="T51" s="142"/>
      <c r="U51" s="142"/>
      <c r="V51" s="142"/>
      <c r="W51" s="142">
        <v>75121.5</v>
      </c>
      <c r="X51" s="142">
        <v>75907</v>
      </c>
      <c r="Y51" s="142">
        <v>76038.5</v>
      </c>
      <c r="Z51" s="142">
        <v>78137.5</v>
      </c>
      <c r="AA51" s="142">
        <v>78568</v>
      </c>
      <c r="AB51" s="142">
        <v>79215.5</v>
      </c>
      <c r="AC51" s="142">
        <v>80049</v>
      </c>
      <c r="AD51" s="142">
        <v>80958.5</v>
      </c>
      <c r="AE51" s="142">
        <v>80905.5</v>
      </c>
      <c r="AF51" s="142">
        <v>82131</v>
      </c>
      <c r="AG51" s="142">
        <v>82589</v>
      </c>
      <c r="AH51" s="142">
        <v>82944.5</v>
      </c>
      <c r="AI51" s="142">
        <v>83325.5</v>
      </c>
      <c r="AJ51" s="142">
        <v>84581.5</v>
      </c>
      <c r="AK51" s="142">
        <v>84605.5</v>
      </c>
      <c r="AL51" s="142">
        <v>85001</v>
      </c>
      <c r="AM51" s="142">
        <v>85369</v>
      </c>
      <c r="AN51" s="142">
        <v>85861</v>
      </c>
      <c r="AO51" s="142">
        <v>85891.5</v>
      </c>
      <c r="AP51" s="142">
        <v>86082.5</v>
      </c>
      <c r="AQ51" s="142">
        <v>86190</v>
      </c>
      <c r="AR51" s="142">
        <v>86309</v>
      </c>
      <c r="AS51" s="142">
        <v>85797.5</v>
      </c>
      <c r="AT51" s="142">
        <v>85113.5</v>
      </c>
      <c r="AU51" s="142">
        <v>83931</v>
      </c>
      <c r="AV51" s="142">
        <v>84321.5</v>
      </c>
      <c r="AW51" s="142">
        <v>84769</v>
      </c>
      <c r="AX51" s="142">
        <v>86904.5</v>
      </c>
      <c r="AY51" s="142">
        <v>88648.5</v>
      </c>
      <c r="AZ51" s="142">
        <v>88668</v>
      </c>
      <c r="BA51" s="142">
        <v>88733</v>
      </c>
      <c r="BB51" s="142">
        <v>89412</v>
      </c>
      <c r="BC51" s="142">
        <v>89661.5</v>
      </c>
      <c r="BD51" s="142">
        <v>90095</v>
      </c>
      <c r="BE51" s="142">
        <v>90221</v>
      </c>
      <c r="BF51" s="142">
        <v>90668.5</v>
      </c>
      <c r="BG51" s="142">
        <v>90814.5</v>
      </c>
      <c r="BH51" s="142">
        <v>91225</v>
      </c>
      <c r="BI51" s="142">
        <v>91480</v>
      </c>
      <c r="BJ51" s="142">
        <v>91756</v>
      </c>
      <c r="BK51" s="142">
        <v>92138.5</v>
      </c>
      <c r="BL51" s="142">
        <v>92559</v>
      </c>
      <c r="BM51" s="142">
        <v>92961.5</v>
      </c>
      <c r="BN51" s="142">
        <v>93312</v>
      </c>
      <c r="BO51" s="142">
        <v>93601</v>
      </c>
      <c r="BP51" s="142">
        <v>93824</v>
      </c>
      <c r="BQ51" s="142">
        <v>93992.5</v>
      </c>
      <c r="BR51" s="142">
        <v>94149.5</v>
      </c>
      <c r="BS51" s="142">
        <v>94201</v>
      </c>
      <c r="BT51" s="142">
        <v>94344.5</v>
      </c>
      <c r="BU51" s="142">
        <v>94431</v>
      </c>
      <c r="BV51" s="142">
        <v>94591</v>
      </c>
      <c r="BW51" s="142">
        <v>94696</v>
      </c>
      <c r="BX51" s="142">
        <v>94874.5</v>
      </c>
      <c r="BY51" s="142">
        <v>95055</v>
      </c>
      <c r="BZ51" s="142">
        <v>95357.5</v>
      </c>
      <c r="CA51" s="142">
        <v>95559.5</v>
      </c>
      <c r="CB51" s="142">
        <v>95687</v>
      </c>
      <c r="CC51" s="142">
        <v>95863</v>
      </c>
      <c r="CD51" s="142">
        <v>96008.5</v>
      </c>
      <c r="CE51" s="142">
        <v>96132.5</v>
      </c>
      <c r="CF51" s="142">
        <v>96307</v>
      </c>
      <c r="CG51" s="142">
        <v>96445</v>
      </c>
      <c r="CH51" s="142">
        <v>96567</v>
      </c>
      <c r="CI51" s="142">
        <v>96728</v>
      </c>
      <c r="CJ51" s="142">
        <v>96799</v>
      </c>
      <c r="CK51" s="142">
        <v>96893</v>
      </c>
      <c r="CL51" s="142">
        <v>97046.5</v>
      </c>
      <c r="CM51" s="142">
        <v>97116.5</v>
      </c>
      <c r="CN51" s="142">
        <v>97229</v>
      </c>
      <c r="CO51" s="142">
        <v>97332</v>
      </c>
      <c r="CP51" s="142">
        <v>97428.5</v>
      </c>
      <c r="CQ51" s="142">
        <v>97521.5</v>
      </c>
      <c r="CR51" s="142">
        <v>97574</v>
      </c>
      <c r="CS51" s="142">
        <v>97665.5</v>
      </c>
      <c r="CT51" s="142">
        <v>97726.5</v>
      </c>
      <c r="CU51" s="142">
        <v>97793.5</v>
      </c>
      <c r="CV51" s="142">
        <v>97837.5</v>
      </c>
      <c r="CW51" s="142">
        <v>97897</v>
      </c>
      <c r="CX51" s="142">
        <v>97970</v>
      </c>
      <c r="CY51" s="142">
        <v>98006</v>
      </c>
      <c r="CZ51" s="142">
        <v>98042.5</v>
      </c>
      <c r="DA51" s="142">
        <v>98078.5</v>
      </c>
      <c r="DB51" s="142">
        <v>98136</v>
      </c>
      <c r="DC51" s="142">
        <v>98187.5</v>
      </c>
      <c r="DD51" s="142">
        <v>98227.5</v>
      </c>
      <c r="DE51" s="142">
        <v>98263</v>
      </c>
      <c r="DF51" s="142">
        <v>98335</v>
      </c>
      <c r="DG51" s="142">
        <v>98359.5</v>
      </c>
      <c r="DH51" s="142">
        <v>98402.5</v>
      </c>
      <c r="DI51" s="142">
        <v>98423.5</v>
      </c>
      <c r="DJ51" s="142">
        <v>98480</v>
      </c>
      <c r="DK51" s="142">
        <v>98512</v>
      </c>
      <c r="DL51" s="142">
        <v>98540.5</v>
      </c>
      <c r="DM51" s="142">
        <v>98583</v>
      </c>
      <c r="DN51" s="142">
        <v>98625</v>
      </c>
      <c r="DO51" s="142">
        <v>98665.5</v>
      </c>
      <c r="DP51" s="142"/>
      <c r="DQ51" s="142"/>
    </row>
    <row r="52" spans="1:121">
      <c r="A52" s="140">
        <v>50</v>
      </c>
      <c r="B52" s="142"/>
      <c r="C52" s="142"/>
      <c r="D52" s="142"/>
      <c r="E52" s="142"/>
      <c r="F52" s="142"/>
      <c r="G52" s="142"/>
      <c r="H52" s="142"/>
      <c r="I52" s="142"/>
      <c r="J52" s="142"/>
      <c r="K52" s="142"/>
      <c r="L52" s="142"/>
      <c r="M52" s="142"/>
      <c r="N52" s="142"/>
      <c r="O52" s="142"/>
      <c r="P52" s="142"/>
      <c r="Q52" s="142"/>
      <c r="R52" s="142"/>
      <c r="S52" s="142"/>
      <c r="T52" s="142"/>
      <c r="U52" s="142"/>
      <c r="V52" s="142"/>
      <c r="W52" s="142">
        <v>74718</v>
      </c>
      <c r="X52" s="142">
        <v>75507.5</v>
      </c>
      <c r="Y52" s="142">
        <v>75633.5</v>
      </c>
      <c r="Z52" s="142">
        <v>77729.5</v>
      </c>
      <c r="AA52" s="142">
        <v>78152.5</v>
      </c>
      <c r="AB52" s="142">
        <v>78803</v>
      </c>
      <c r="AC52" s="142">
        <v>79641</v>
      </c>
      <c r="AD52" s="142">
        <v>80540.5</v>
      </c>
      <c r="AE52" s="142">
        <v>80476</v>
      </c>
      <c r="AF52" s="142">
        <v>81707.5</v>
      </c>
      <c r="AG52" s="142">
        <v>82166.5</v>
      </c>
      <c r="AH52" s="142">
        <v>82531</v>
      </c>
      <c r="AI52" s="142">
        <v>82926</v>
      </c>
      <c r="AJ52" s="142">
        <v>84194</v>
      </c>
      <c r="AK52" s="142">
        <v>84228.5</v>
      </c>
      <c r="AL52" s="142">
        <v>84627.5</v>
      </c>
      <c r="AM52" s="142">
        <v>85008.5</v>
      </c>
      <c r="AN52" s="142">
        <v>85508</v>
      </c>
      <c r="AO52" s="142">
        <v>85541.5</v>
      </c>
      <c r="AP52" s="142">
        <v>85732</v>
      </c>
      <c r="AQ52" s="142">
        <v>85827.5</v>
      </c>
      <c r="AR52" s="142">
        <v>85967</v>
      </c>
      <c r="AS52" s="142">
        <v>85448</v>
      </c>
      <c r="AT52" s="142">
        <v>84777</v>
      </c>
      <c r="AU52" s="142">
        <v>83594</v>
      </c>
      <c r="AV52" s="142">
        <v>83986</v>
      </c>
      <c r="AW52" s="142">
        <v>84455.5</v>
      </c>
      <c r="AX52" s="142">
        <v>86596.5</v>
      </c>
      <c r="AY52" s="142">
        <v>88342.5</v>
      </c>
      <c r="AZ52" s="142">
        <v>88354.5</v>
      </c>
      <c r="BA52" s="142">
        <v>88425.5</v>
      </c>
      <c r="BB52" s="142">
        <v>89103.5</v>
      </c>
      <c r="BC52" s="142">
        <v>89348</v>
      </c>
      <c r="BD52" s="142">
        <v>89788</v>
      </c>
      <c r="BE52" s="142">
        <v>89927</v>
      </c>
      <c r="BF52" s="142">
        <v>90377</v>
      </c>
      <c r="BG52" s="142">
        <v>90533.5</v>
      </c>
      <c r="BH52" s="142">
        <v>90954.5</v>
      </c>
      <c r="BI52" s="142">
        <v>91209</v>
      </c>
      <c r="BJ52" s="142">
        <v>91494.5</v>
      </c>
      <c r="BK52" s="142">
        <v>91878</v>
      </c>
      <c r="BL52" s="142">
        <v>92309</v>
      </c>
      <c r="BM52" s="142">
        <v>92720.5</v>
      </c>
      <c r="BN52" s="142">
        <v>93078</v>
      </c>
      <c r="BO52" s="142">
        <v>93366.5</v>
      </c>
      <c r="BP52" s="142">
        <v>93594.5</v>
      </c>
      <c r="BQ52" s="142">
        <v>93767.5</v>
      </c>
      <c r="BR52" s="142">
        <v>93928.5</v>
      </c>
      <c r="BS52" s="142">
        <v>93984</v>
      </c>
      <c r="BT52" s="142">
        <v>94131.5</v>
      </c>
      <c r="BU52" s="142">
        <v>94222</v>
      </c>
      <c r="BV52" s="142">
        <v>94385.5</v>
      </c>
      <c r="BW52" s="142">
        <v>94494.5</v>
      </c>
      <c r="BX52" s="142">
        <v>94676.5</v>
      </c>
      <c r="BY52" s="142">
        <v>94860.5</v>
      </c>
      <c r="BZ52" s="142">
        <v>95166.5</v>
      </c>
      <c r="CA52" s="142">
        <v>95371.5</v>
      </c>
      <c r="CB52" s="142">
        <v>95503</v>
      </c>
      <c r="CC52" s="142">
        <v>95681.5</v>
      </c>
      <c r="CD52" s="142">
        <v>95830.5</v>
      </c>
      <c r="CE52" s="142">
        <v>95958</v>
      </c>
      <c r="CF52" s="142">
        <v>96135.5</v>
      </c>
      <c r="CG52" s="142">
        <v>96276.5</v>
      </c>
      <c r="CH52" s="142">
        <v>96402</v>
      </c>
      <c r="CI52" s="142">
        <v>96565.5</v>
      </c>
      <c r="CJ52" s="142">
        <v>96640</v>
      </c>
      <c r="CK52" s="142">
        <v>96736.5</v>
      </c>
      <c r="CL52" s="142">
        <v>96893</v>
      </c>
      <c r="CM52" s="142">
        <v>96966</v>
      </c>
      <c r="CN52" s="142">
        <v>97081.5</v>
      </c>
      <c r="CO52" s="142">
        <v>97187</v>
      </c>
      <c r="CP52" s="142">
        <v>97286.5</v>
      </c>
      <c r="CQ52" s="142">
        <v>97382</v>
      </c>
      <c r="CR52" s="142">
        <v>97437</v>
      </c>
      <c r="CS52" s="142">
        <v>97531</v>
      </c>
      <c r="CT52" s="142">
        <v>97595</v>
      </c>
      <c r="CU52" s="142">
        <v>97664.5</v>
      </c>
      <c r="CV52" s="142">
        <v>97710.5</v>
      </c>
      <c r="CW52" s="142">
        <v>97772.5</v>
      </c>
      <c r="CX52" s="142">
        <v>97847.5</v>
      </c>
      <c r="CY52" s="142">
        <v>97886</v>
      </c>
      <c r="CZ52" s="142">
        <v>97925</v>
      </c>
      <c r="DA52" s="142">
        <v>97963.5</v>
      </c>
      <c r="DB52" s="142">
        <v>98023.5</v>
      </c>
      <c r="DC52" s="142">
        <v>98077</v>
      </c>
      <c r="DD52" s="142">
        <v>98119</v>
      </c>
      <c r="DE52" s="142">
        <v>98157</v>
      </c>
      <c r="DF52" s="142">
        <v>98230.5</v>
      </c>
      <c r="DG52" s="142">
        <v>98257</v>
      </c>
      <c r="DH52" s="142">
        <v>98301.5</v>
      </c>
      <c r="DI52" s="142">
        <v>98325</v>
      </c>
      <c r="DJ52" s="142">
        <v>98383.5</v>
      </c>
      <c r="DK52" s="142">
        <v>98417.5</v>
      </c>
      <c r="DL52" s="142">
        <v>98447.5</v>
      </c>
      <c r="DM52" s="142">
        <v>98492.5</v>
      </c>
      <c r="DN52" s="142">
        <v>98535.5</v>
      </c>
      <c r="DO52" s="142">
        <v>98577.5</v>
      </c>
      <c r="DP52" s="142"/>
      <c r="DQ52" s="142"/>
    </row>
    <row r="53" spans="1:121">
      <c r="A53" s="140">
        <v>51</v>
      </c>
      <c r="B53" s="142"/>
      <c r="C53" s="142"/>
      <c r="D53" s="142"/>
      <c r="E53" s="142"/>
      <c r="F53" s="142"/>
      <c r="G53" s="142"/>
      <c r="H53" s="142"/>
      <c r="I53" s="142"/>
      <c r="J53" s="142"/>
      <c r="K53" s="142"/>
      <c r="L53" s="142"/>
      <c r="M53" s="142"/>
      <c r="N53" s="142"/>
      <c r="O53" s="142"/>
      <c r="P53" s="142"/>
      <c r="Q53" s="142"/>
      <c r="R53" s="142"/>
      <c r="S53" s="142"/>
      <c r="T53" s="142"/>
      <c r="U53" s="142"/>
      <c r="V53" s="142"/>
      <c r="W53" s="142">
        <v>74269.5</v>
      </c>
      <c r="X53" s="142">
        <v>75072.5</v>
      </c>
      <c r="Y53" s="142">
        <v>75208</v>
      </c>
      <c r="Z53" s="142">
        <v>77288.5</v>
      </c>
      <c r="AA53" s="142">
        <v>77705.5</v>
      </c>
      <c r="AB53" s="142">
        <v>78358</v>
      </c>
      <c r="AC53" s="142">
        <v>79190</v>
      </c>
      <c r="AD53" s="142">
        <v>80090.5</v>
      </c>
      <c r="AE53" s="142">
        <v>80023</v>
      </c>
      <c r="AF53" s="142">
        <v>81257</v>
      </c>
      <c r="AG53" s="142">
        <v>81721.5</v>
      </c>
      <c r="AH53" s="142">
        <v>82084.5</v>
      </c>
      <c r="AI53" s="142">
        <v>82482</v>
      </c>
      <c r="AJ53" s="142">
        <v>83770.5</v>
      </c>
      <c r="AK53" s="142">
        <v>83818.5</v>
      </c>
      <c r="AL53" s="142">
        <v>84216.5</v>
      </c>
      <c r="AM53" s="142">
        <v>84618</v>
      </c>
      <c r="AN53" s="142">
        <v>85116</v>
      </c>
      <c r="AO53" s="142">
        <v>85156.5</v>
      </c>
      <c r="AP53" s="142">
        <v>85337.5</v>
      </c>
      <c r="AQ53" s="142">
        <v>85439.5</v>
      </c>
      <c r="AR53" s="142">
        <v>85593.5</v>
      </c>
      <c r="AS53" s="142">
        <v>85067.5</v>
      </c>
      <c r="AT53" s="142">
        <v>84409.5</v>
      </c>
      <c r="AU53" s="142">
        <v>83231</v>
      </c>
      <c r="AV53" s="142">
        <v>83643</v>
      </c>
      <c r="AW53" s="142">
        <v>84119.5</v>
      </c>
      <c r="AX53" s="142">
        <v>86267.5</v>
      </c>
      <c r="AY53" s="142">
        <v>88004</v>
      </c>
      <c r="AZ53" s="142">
        <v>88029</v>
      </c>
      <c r="BA53" s="142">
        <v>88091.5</v>
      </c>
      <c r="BB53" s="142">
        <v>88773</v>
      </c>
      <c r="BC53" s="142">
        <v>89016</v>
      </c>
      <c r="BD53" s="142">
        <v>89471</v>
      </c>
      <c r="BE53" s="142">
        <v>89616.5</v>
      </c>
      <c r="BF53" s="142">
        <v>90068</v>
      </c>
      <c r="BG53" s="142">
        <v>90233.5</v>
      </c>
      <c r="BH53" s="142">
        <v>90660</v>
      </c>
      <c r="BI53" s="142">
        <v>90923.5</v>
      </c>
      <c r="BJ53" s="142">
        <v>91213</v>
      </c>
      <c r="BK53" s="142">
        <v>91596.5</v>
      </c>
      <c r="BL53" s="142">
        <v>92040.5</v>
      </c>
      <c r="BM53" s="142">
        <v>92465</v>
      </c>
      <c r="BN53" s="142">
        <v>92820.5</v>
      </c>
      <c r="BO53" s="142">
        <v>93111.5</v>
      </c>
      <c r="BP53" s="142">
        <v>93344</v>
      </c>
      <c r="BQ53" s="142">
        <v>93521</v>
      </c>
      <c r="BR53" s="142">
        <v>93686.5</v>
      </c>
      <c r="BS53" s="142">
        <v>93746.5</v>
      </c>
      <c r="BT53" s="142">
        <v>93898</v>
      </c>
      <c r="BU53" s="142">
        <v>93993</v>
      </c>
      <c r="BV53" s="142">
        <v>94161</v>
      </c>
      <c r="BW53" s="142">
        <v>94274</v>
      </c>
      <c r="BX53" s="142">
        <v>94459.5</v>
      </c>
      <c r="BY53" s="142">
        <v>94647.5</v>
      </c>
      <c r="BZ53" s="142">
        <v>94956.5</v>
      </c>
      <c r="CA53" s="142">
        <v>95165.5</v>
      </c>
      <c r="CB53" s="142">
        <v>95300.5</v>
      </c>
      <c r="CC53" s="142">
        <v>95483.5</v>
      </c>
      <c r="CD53" s="142">
        <v>95635.5</v>
      </c>
      <c r="CE53" s="142">
        <v>95766.5</v>
      </c>
      <c r="CF53" s="142">
        <v>95947.5</v>
      </c>
      <c r="CG53" s="142">
        <v>96091.5</v>
      </c>
      <c r="CH53" s="142">
        <v>96220.5</v>
      </c>
      <c r="CI53" s="142">
        <v>96387.5</v>
      </c>
      <c r="CJ53" s="142">
        <v>96465</v>
      </c>
      <c r="CK53" s="142">
        <v>96565</v>
      </c>
      <c r="CL53" s="142">
        <v>96724</v>
      </c>
      <c r="CM53" s="142">
        <v>96800.5</v>
      </c>
      <c r="CN53" s="142">
        <v>96919</v>
      </c>
      <c r="CO53" s="142">
        <v>97027.5</v>
      </c>
      <c r="CP53" s="142">
        <v>97129.5</v>
      </c>
      <c r="CQ53" s="142">
        <v>97228.5</v>
      </c>
      <c r="CR53" s="142">
        <v>97286.5</v>
      </c>
      <c r="CS53" s="142">
        <v>97383</v>
      </c>
      <c r="CT53" s="142">
        <v>97449.5</v>
      </c>
      <c r="CU53" s="142">
        <v>97522</v>
      </c>
      <c r="CV53" s="142">
        <v>97571</v>
      </c>
      <c r="CW53" s="142">
        <v>97635.5</v>
      </c>
      <c r="CX53" s="142">
        <v>97713</v>
      </c>
      <c r="CY53" s="142">
        <v>97754.5</v>
      </c>
      <c r="CZ53" s="142">
        <v>97795.5</v>
      </c>
      <c r="DA53" s="142">
        <v>97837</v>
      </c>
      <c r="DB53" s="142">
        <v>97899</v>
      </c>
      <c r="DC53" s="142">
        <v>97954.5</v>
      </c>
      <c r="DD53" s="142">
        <v>97999</v>
      </c>
      <c r="DE53" s="142">
        <v>98039.5</v>
      </c>
      <c r="DF53" s="142">
        <v>98115</v>
      </c>
      <c r="DG53" s="142">
        <v>98143.5</v>
      </c>
      <c r="DH53" s="142">
        <v>98190.5</v>
      </c>
      <c r="DI53" s="142">
        <v>98216.5</v>
      </c>
      <c r="DJ53" s="142">
        <v>98276.5</v>
      </c>
      <c r="DK53" s="142">
        <v>98312.5</v>
      </c>
      <c r="DL53" s="142">
        <v>98344.5</v>
      </c>
      <c r="DM53" s="142">
        <v>98391.5</v>
      </c>
      <c r="DN53" s="142">
        <v>98436.5</v>
      </c>
      <c r="DO53" s="142">
        <v>98480.5</v>
      </c>
      <c r="DP53" s="142"/>
      <c r="DQ53" s="142"/>
    </row>
    <row r="54" spans="1:121">
      <c r="A54" s="140">
        <v>52</v>
      </c>
      <c r="B54" s="142"/>
      <c r="C54" s="142"/>
      <c r="D54" s="142"/>
      <c r="E54" s="142"/>
      <c r="F54" s="142"/>
      <c r="G54" s="142"/>
      <c r="H54" s="142"/>
      <c r="I54" s="142"/>
      <c r="J54" s="142"/>
      <c r="K54" s="142"/>
      <c r="L54" s="142"/>
      <c r="M54" s="142"/>
      <c r="N54" s="142"/>
      <c r="O54" s="142"/>
      <c r="P54" s="142"/>
      <c r="Q54" s="142"/>
      <c r="R54" s="142"/>
      <c r="S54" s="142"/>
      <c r="T54" s="142"/>
      <c r="U54" s="142"/>
      <c r="V54" s="142"/>
      <c r="W54" s="142">
        <v>73795.5</v>
      </c>
      <c r="X54" s="142">
        <v>74601.5</v>
      </c>
      <c r="Y54" s="142">
        <v>74710.5</v>
      </c>
      <c r="Z54" s="142">
        <v>76805</v>
      </c>
      <c r="AA54" s="142">
        <v>77231</v>
      </c>
      <c r="AB54" s="142">
        <v>77883.5</v>
      </c>
      <c r="AC54" s="142">
        <v>78720</v>
      </c>
      <c r="AD54" s="142">
        <v>79606</v>
      </c>
      <c r="AE54" s="142">
        <v>79546.5</v>
      </c>
      <c r="AF54" s="142">
        <v>80762.5</v>
      </c>
      <c r="AG54" s="142">
        <v>81248.5</v>
      </c>
      <c r="AH54" s="142">
        <v>81628</v>
      </c>
      <c r="AI54" s="142">
        <v>82028.5</v>
      </c>
      <c r="AJ54" s="142">
        <v>83313</v>
      </c>
      <c r="AK54" s="142">
        <v>83374.5</v>
      </c>
      <c r="AL54" s="142">
        <v>83798</v>
      </c>
      <c r="AM54" s="142">
        <v>84204.5</v>
      </c>
      <c r="AN54" s="142">
        <v>84701.5</v>
      </c>
      <c r="AO54" s="142">
        <v>84728.5</v>
      </c>
      <c r="AP54" s="142">
        <v>84923</v>
      </c>
      <c r="AQ54" s="142">
        <v>85037.5</v>
      </c>
      <c r="AR54" s="142">
        <v>85200</v>
      </c>
      <c r="AS54" s="142">
        <v>84666.5</v>
      </c>
      <c r="AT54" s="142">
        <v>84010</v>
      </c>
      <c r="AU54" s="142">
        <v>82866.5</v>
      </c>
      <c r="AV54" s="142">
        <v>83273.5</v>
      </c>
      <c r="AW54" s="142">
        <v>83770</v>
      </c>
      <c r="AX54" s="142">
        <v>85909</v>
      </c>
      <c r="AY54" s="142">
        <v>87653.5</v>
      </c>
      <c r="AZ54" s="142">
        <v>87667</v>
      </c>
      <c r="BA54" s="142">
        <v>87739.5</v>
      </c>
      <c r="BB54" s="142">
        <v>88428.5</v>
      </c>
      <c r="BC54" s="142">
        <v>88679</v>
      </c>
      <c r="BD54" s="142">
        <v>89125.5</v>
      </c>
      <c r="BE54" s="142">
        <v>89277</v>
      </c>
      <c r="BF54" s="142">
        <v>89740.5</v>
      </c>
      <c r="BG54" s="142">
        <v>89909</v>
      </c>
      <c r="BH54" s="142">
        <v>90339</v>
      </c>
      <c r="BI54" s="142">
        <v>90594.5</v>
      </c>
      <c r="BJ54" s="142">
        <v>90906</v>
      </c>
      <c r="BK54" s="142">
        <v>91295.5</v>
      </c>
      <c r="BL54" s="142">
        <v>91744.5</v>
      </c>
      <c r="BM54" s="142">
        <v>92179.5</v>
      </c>
      <c r="BN54" s="142">
        <v>92536</v>
      </c>
      <c r="BO54" s="142">
        <v>92832</v>
      </c>
      <c r="BP54" s="142">
        <v>93069.5</v>
      </c>
      <c r="BQ54" s="142">
        <v>93251</v>
      </c>
      <c r="BR54" s="142">
        <v>93421.5</v>
      </c>
      <c r="BS54" s="142">
        <v>93486.5</v>
      </c>
      <c r="BT54" s="142">
        <v>93642.5</v>
      </c>
      <c r="BU54" s="142">
        <v>93742.5</v>
      </c>
      <c r="BV54" s="142">
        <v>93914.5</v>
      </c>
      <c r="BW54" s="142">
        <v>94032</v>
      </c>
      <c r="BX54" s="142">
        <v>94222</v>
      </c>
      <c r="BY54" s="142">
        <v>94414</v>
      </c>
      <c r="BZ54" s="142">
        <v>94727</v>
      </c>
      <c r="CA54" s="142">
        <v>94940</v>
      </c>
      <c r="CB54" s="142">
        <v>95079</v>
      </c>
      <c r="CC54" s="142">
        <v>95265</v>
      </c>
      <c r="CD54" s="142">
        <v>95421.5</v>
      </c>
      <c r="CE54" s="142">
        <v>95556.5</v>
      </c>
      <c r="CF54" s="142">
        <v>95741</v>
      </c>
      <c r="CG54" s="142">
        <v>95888.5</v>
      </c>
      <c r="CH54" s="142">
        <v>96021</v>
      </c>
      <c r="CI54" s="142">
        <v>96191.5</v>
      </c>
      <c r="CJ54" s="142">
        <v>96273</v>
      </c>
      <c r="CK54" s="142">
        <v>96376</v>
      </c>
      <c r="CL54" s="142">
        <v>96539</v>
      </c>
      <c r="CM54" s="142">
        <v>96619</v>
      </c>
      <c r="CN54" s="142">
        <v>96740.5</v>
      </c>
      <c r="CO54" s="142">
        <v>96852.5</v>
      </c>
      <c r="CP54" s="142">
        <v>96957.5</v>
      </c>
      <c r="CQ54" s="142">
        <v>97059.5</v>
      </c>
      <c r="CR54" s="142">
        <v>97120.5</v>
      </c>
      <c r="CS54" s="142">
        <v>97220.5</v>
      </c>
      <c r="CT54" s="142">
        <v>97289.5</v>
      </c>
      <c r="CU54" s="142">
        <v>97365.5</v>
      </c>
      <c r="CV54" s="142">
        <v>97417</v>
      </c>
      <c r="CW54" s="142">
        <v>97484.5</v>
      </c>
      <c r="CX54" s="142">
        <v>97564.5</v>
      </c>
      <c r="CY54" s="142">
        <v>97609</v>
      </c>
      <c r="CZ54" s="142">
        <v>97653</v>
      </c>
      <c r="DA54" s="142">
        <v>97697</v>
      </c>
      <c r="DB54" s="142">
        <v>97761.5</v>
      </c>
      <c r="DC54" s="142">
        <v>97819.5</v>
      </c>
      <c r="DD54" s="142">
        <v>97867</v>
      </c>
      <c r="DE54" s="142">
        <v>97909.5</v>
      </c>
      <c r="DF54" s="142">
        <v>97988.5</v>
      </c>
      <c r="DG54" s="142">
        <v>98019</v>
      </c>
      <c r="DH54" s="142">
        <v>98068.5</v>
      </c>
      <c r="DI54" s="142">
        <v>98096</v>
      </c>
      <c r="DJ54" s="142">
        <v>98159</v>
      </c>
      <c r="DK54" s="142">
        <v>98197</v>
      </c>
      <c r="DL54" s="142">
        <v>98231</v>
      </c>
      <c r="DM54" s="142">
        <v>98280</v>
      </c>
      <c r="DN54" s="142">
        <v>98328</v>
      </c>
      <c r="DO54" s="142">
        <v>98373.5</v>
      </c>
      <c r="DP54" s="142"/>
      <c r="DQ54" s="142"/>
    </row>
    <row r="55" spans="1:121">
      <c r="A55" s="140">
        <v>53</v>
      </c>
      <c r="B55" s="142"/>
      <c r="C55" s="142"/>
      <c r="D55" s="142"/>
      <c r="E55" s="142"/>
      <c r="F55" s="142"/>
      <c r="G55" s="142"/>
      <c r="H55" s="142"/>
      <c r="I55" s="142"/>
      <c r="J55" s="142"/>
      <c r="K55" s="142"/>
      <c r="L55" s="142"/>
      <c r="M55" s="142"/>
      <c r="N55" s="142"/>
      <c r="O55" s="142"/>
      <c r="P55" s="142"/>
      <c r="Q55" s="142"/>
      <c r="R55" s="142"/>
      <c r="S55" s="142"/>
      <c r="T55" s="142"/>
      <c r="U55" s="142"/>
      <c r="V55" s="142"/>
      <c r="W55" s="142">
        <v>73291.5</v>
      </c>
      <c r="X55" s="142">
        <v>74090</v>
      </c>
      <c r="Y55" s="142">
        <v>74197.5</v>
      </c>
      <c r="Z55" s="142">
        <v>76295.5</v>
      </c>
      <c r="AA55" s="142">
        <v>76724</v>
      </c>
      <c r="AB55" s="142">
        <v>77380.5</v>
      </c>
      <c r="AC55" s="142">
        <v>78196</v>
      </c>
      <c r="AD55" s="142">
        <v>79080.5</v>
      </c>
      <c r="AE55" s="142">
        <v>79027</v>
      </c>
      <c r="AF55" s="142">
        <v>80252</v>
      </c>
      <c r="AG55" s="142">
        <v>80747</v>
      </c>
      <c r="AH55" s="142">
        <v>81133</v>
      </c>
      <c r="AI55" s="142">
        <v>81536.5</v>
      </c>
      <c r="AJ55" s="142">
        <v>82834</v>
      </c>
      <c r="AK55" s="142">
        <v>82899</v>
      </c>
      <c r="AL55" s="142">
        <v>83347.5</v>
      </c>
      <c r="AM55" s="142">
        <v>83763.5</v>
      </c>
      <c r="AN55" s="142">
        <v>84244.5</v>
      </c>
      <c r="AO55" s="142">
        <v>84286</v>
      </c>
      <c r="AP55" s="142">
        <v>84483</v>
      </c>
      <c r="AQ55" s="142">
        <v>84595.5</v>
      </c>
      <c r="AR55" s="142">
        <v>84768.5</v>
      </c>
      <c r="AS55" s="142">
        <v>84246</v>
      </c>
      <c r="AT55" s="142">
        <v>83591.5</v>
      </c>
      <c r="AU55" s="142">
        <v>82472.5</v>
      </c>
      <c r="AV55" s="142">
        <v>82896.5</v>
      </c>
      <c r="AW55" s="142">
        <v>83388</v>
      </c>
      <c r="AX55" s="142">
        <v>85535</v>
      </c>
      <c r="AY55" s="142">
        <v>87263</v>
      </c>
      <c r="AZ55" s="142">
        <v>87279.5</v>
      </c>
      <c r="BA55" s="142">
        <v>87357.5</v>
      </c>
      <c r="BB55" s="142">
        <v>88049.5</v>
      </c>
      <c r="BC55" s="142">
        <v>88305</v>
      </c>
      <c r="BD55" s="142">
        <v>88763</v>
      </c>
      <c r="BE55" s="142">
        <v>88915</v>
      </c>
      <c r="BF55" s="142">
        <v>89386.5</v>
      </c>
      <c r="BG55" s="142">
        <v>89558</v>
      </c>
      <c r="BH55" s="142">
        <v>89990.5</v>
      </c>
      <c r="BI55" s="142">
        <v>90252</v>
      </c>
      <c r="BJ55" s="142">
        <v>90566.5</v>
      </c>
      <c r="BK55" s="142">
        <v>90972</v>
      </c>
      <c r="BL55" s="142">
        <v>91426.5</v>
      </c>
      <c r="BM55" s="142">
        <v>91864.5</v>
      </c>
      <c r="BN55" s="142">
        <v>92226.5</v>
      </c>
      <c r="BO55" s="142">
        <v>92527</v>
      </c>
      <c r="BP55" s="142">
        <v>92769.5</v>
      </c>
      <c r="BQ55" s="142">
        <v>92956.5</v>
      </c>
      <c r="BR55" s="142">
        <v>93131.5</v>
      </c>
      <c r="BS55" s="142">
        <v>93202.5</v>
      </c>
      <c r="BT55" s="142">
        <v>93363.5</v>
      </c>
      <c r="BU55" s="142">
        <v>93468.5</v>
      </c>
      <c r="BV55" s="142">
        <v>93645</v>
      </c>
      <c r="BW55" s="142">
        <v>93767.5</v>
      </c>
      <c r="BX55" s="142">
        <v>93962</v>
      </c>
      <c r="BY55" s="142">
        <v>94158</v>
      </c>
      <c r="BZ55" s="142">
        <v>94475.5</v>
      </c>
      <c r="CA55" s="142">
        <v>94693</v>
      </c>
      <c r="CB55" s="142">
        <v>94836</v>
      </c>
      <c r="CC55" s="142">
        <v>95026.5</v>
      </c>
      <c r="CD55" s="142">
        <v>95187.5</v>
      </c>
      <c r="CE55" s="142">
        <v>95326</v>
      </c>
      <c r="CF55" s="142">
        <v>95514.5</v>
      </c>
      <c r="CG55" s="142">
        <v>95666.5</v>
      </c>
      <c r="CH55" s="142">
        <v>95803</v>
      </c>
      <c r="CI55" s="142">
        <v>95977.5</v>
      </c>
      <c r="CJ55" s="142">
        <v>96062.5</v>
      </c>
      <c r="CK55" s="142">
        <v>96169.5</v>
      </c>
      <c r="CL55" s="142">
        <v>96336</v>
      </c>
      <c r="CM55" s="142">
        <v>96419.5</v>
      </c>
      <c r="CN55" s="142">
        <v>96545</v>
      </c>
      <c r="CO55" s="142">
        <v>96660</v>
      </c>
      <c r="CP55" s="142">
        <v>96769</v>
      </c>
      <c r="CQ55" s="142">
        <v>96874</v>
      </c>
      <c r="CR55" s="142">
        <v>96939</v>
      </c>
      <c r="CS55" s="142">
        <v>97042</v>
      </c>
      <c r="CT55" s="142">
        <v>97114.5</v>
      </c>
      <c r="CU55" s="142">
        <v>97193.5</v>
      </c>
      <c r="CV55" s="142">
        <v>97248</v>
      </c>
      <c r="CW55" s="142">
        <v>97319</v>
      </c>
      <c r="CX55" s="142">
        <v>97402</v>
      </c>
      <c r="CY55" s="142">
        <v>97449.5</v>
      </c>
      <c r="CZ55" s="142">
        <v>97496.5</v>
      </c>
      <c r="DA55" s="142">
        <v>97543</v>
      </c>
      <c r="DB55" s="142">
        <v>97610.5</v>
      </c>
      <c r="DC55" s="142">
        <v>97672</v>
      </c>
      <c r="DD55" s="142">
        <v>97721.5</v>
      </c>
      <c r="DE55" s="142">
        <v>97767</v>
      </c>
      <c r="DF55" s="142">
        <v>97848.5</v>
      </c>
      <c r="DG55" s="142">
        <v>97882</v>
      </c>
      <c r="DH55" s="142">
        <v>97933.5</v>
      </c>
      <c r="DI55" s="142">
        <v>97964</v>
      </c>
      <c r="DJ55" s="142">
        <v>98029</v>
      </c>
      <c r="DK55" s="142">
        <v>98070</v>
      </c>
      <c r="DL55" s="142">
        <v>98106.5</v>
      </c>
      <c r="DM55" s="142">
        <v>98157.5</v>
      </c>
      <c r="DN55" s="142">
        <v>98207.5</v>
      </c>
      <c r="DO55" s="142">
        <v>98256</v>
      </c>
      <c r="DP55" s="142"/>
      <c r="DQ55" s="142"/>
    </row>
    <row r="56" spans="1:121">
      <c r="A56" s="140">
        <v>54</v>
      </c>
      <c r="B56" s="142"/>
      <c r="C56" s="142"/>
      <c r="D56" s="142"/>
      <c r="E56" s="142"/>
      <c r="F56" s="142"/>
      <c r="G56" s="142"/>
      <c r="H56" s="142"/>
      <c r="I56" s="142"/>
      <c r="J56" s="142"/>
      <c r="K56" s="142"/>
      <c r="L56" s="142"/>
      <c r="M56" s="142"/>
      <c r="N56" s="142"/>
      <c r="O56" s="142"/>
      <c r="P56" s="142"/>
      <c r="Q56" s="142"/>
      <c r="R56" s="142"/>
      <c r="S56" s="142"/>
      <c r="T56" s="142"/>
      <c r="U56" s="142"/>
      <c r="V56" s="142"/>
      <c r="W56" s="142">
        <v>72739</v>
      </c>
      <c r="X56" s="142">
        <v>73539.5</v>
      </c>
      <c r="Y56" s="142">
        <v>73653.5</v>
      </c>
      <c r="Z56" s="142">
        <v>75746.5</v>
      </c>
      <c r="AA56" s="142">
        <v>76183.5</v>
      </c>
      <c r="AB56" s="142">
        <v>76834.5</v>
      </c>
      <c r="AC56" s="142">
        <v>77655</v>
      </c>
      <c r="AD56" s="142">
        <v>78518.5</v>
      </c>
      <c r="AE56" s="142">
        <v>78475</v>
      </c>
      <c r="AF56" s="142">
        <v>79698.5</v>
      </c>
      <c r="AG56" s="142">
        <v>80212</v>
      </c>
      <c r="AH56" s="142">
        <v>80605</v>
      </c>
      <c r="AI56" s="142">
        <v>81024</v>
      </c>
      <c r="AJ56" s="142">
        <v>82312.5</v>
      </c>
      <c r="AK56" s="142">
        <v>82391</v>
      </c>
      <c r="AL56" s="142">
        <v>82849.5</v>
      </c>
      <c r="AM56" s="142">
        <v>83258</v>
      </c>
      <c r="AN56" s="142">
        <v>83763</v>
      </c>
      <c r="AO56" s="142">
        <v>83808</v>
      </c>
      <c r="AP56" s="142">
        <v>84032</v>
      </c>
      <c r="AQ56" s="142">
        <v>84140</v>
      </c>
      <c r="AR56" s="142">
        <v>84313</v>
      </c>
      <c r="AS56" s="142">
        <v>83806</v>
      </c>
      <c r="AT56" s="142">
        <v>83153.5</v>
      </c>
      <c r="AU56" s="142">
        <v>82065.5</v>
      </c>
      <c r="AV56" s="142">
        <v>82474</v>
      </c>
      <c r="AW56" s="142">
        <v>82995</v>
      </c>
      <c r="AX56" s="142">
        <v>85135</v>
      </c>
      <c r="AY56" s="142">
        <v>86848.5</v>
      </c>
      <c r="AZ56" s="142">
        <v>86875.5</v>
      </c>
      <c r="BA56" s="142">
        <v>86955.5</v>
      </c>
      <c r="BB56" s="142">
        <v>87659</v>
      </c>
      <c r="BC56" s="142">
        <v>87917.5</v>
      </c>
      <c r="BD56" s="142">
        <v>88370.5</v>
      </c>
      <c r="BE56" s="142">
        <v>88534</v>
      </c>
      <c r="BF56" s="142">
        <v>89005</v>
      </c>
      <c r="BG56" s="142">
        <v>89170.5</v>
      </c>
      <c r="BH56" s="142">
        <v>89625</v>
      </c>
      <c r="BI56" s="142">
        <v>89885.5</v>
      </c>
      <c r="BJ56" s="142">
        <v>90203</v>
      </c>
      <c r="BK56" s="142">
        <v>90611.5</v>
      </c>
      <c r="BL56" s="142">
        <v>91078.5</v>
      </c>
      <c r="BM56" s="142">
        <v>91521.5</v>
      </c>
      <c r="BN56" s="142">
        <v>91888.5</v>
      </c>
      <c r="BO56" s="142">
        <v>92194.5</v>
      </c>
      <c r="BP56" s="142">
        <v>92443</v>
      </c>
      <c r="BQ56" s="142">
        <v>92635</v>
      </c>
      <c r="BR56" s="142">
        <v>92816</v>
      </c>
      <c r="BS56" s="142">
        <v>92892.5</v>
      </c>
      <c r="BT56" s="142">
        <v>93059</v>
      </c>
      <c r="BU56" s="142">
        <v>93169.5</v>
      </c>
      <c r="BV56" s="142">
        <v>93351.5</v>
      </c>
      <c r="BW56" s="142">
        <v>93478.5</v>
      </c>
      <c r="BX56" s="142">
        <v>93678.5</v>
      </c>
      <c r="BY56" s="142">
        <v>93879.5</v>
      </c>
      <c r="BZ56" s="142">
        <v>94201</v>
      </c>
      <c r="CA56" s="142">
        <v>94423.5</v>
      </c>
      <c r="CB56" s="142">
        <v>94571.5</v>
      </c>
      <c r="CC56" s="142">
        <v>94766</v>
      </c>
      <c r="CD56" s="142">
        <v>94931.5</v>
      </c>
      <c r="CE56" s="142">
        <v>95075</v>
      </c>
      <c r="CF56" s="142">
        <v>95267.5</v>
      </c>
      <c r="CG56" s="142">
        <v>95423.5</v>
      </c>
      <c r="CH56" s="142">
        <v>95564.5</v>
      </c>
      <c r="CI56" s="142">
        <v>95742.5</v>
      </c>
      <c r="CJ56" s="142">
        <v>95832.5</v>
      </c>
      <c r="CK56" s="142">
        <v>95943.5</v>
      </c>
      <c r="CL56" s="142">
        <v>96114</v>
      </c>
      <c r="CM56" s="142">
        <v>96202</v>
      </c>
      <c r="CN56" s="142">
        <v>96330.5</v>
      </c>
      <c r="CO56" s="142">
        <v>96449.5</v>
      </c>
      <c r="CP56" s="142">
        <v>96562.5</v>
      </c>
      <c r="CQ56" s="142">
        <v>96671.5</v>
      </c>
      <c r="CR56" s="142">
        <v>96739.5</v>
      </c>
      <c r="CS56" s="142">
        <v>96846.5</v>
      </c>
      <c r="CT56" s="142">
        <v>96923</v>
      </c>
      <c r="CU56" s="142">
        <v>97005.5</v>
      </c>
      <c r="CV56" s="142">
        <v>97063.5</v>
      </c>
      <c r="CW56" s="142">
        <v>97138</v>
      </c>
      <c r="CX56" s="142">
        <v>97224.5</v>
      </c>
      <c r="CY56" s="142">
        <v>97274.5</v>
      </c>
      <c r="CZ56" s="142">
        <v>97325</v>
      </c>
      <c r="DA56" s="142">
        <v>97375</v>
      </c>
      <c r="DB56" s="142">
        <v>97445.5</v>
      </c>
      <c r="DC56" s="142">
        <v>97510</v>
      </c>
      <c r="DD56" s="142">
        <v>97563</v>
      </c>
      <c r="DE56" s="142">
        <v>97611</v>
      </c>
      <c r="DF56" s="142">
        <v>97695.5</v>
      </c>
      <c r="DG56" s="142">
        <v>97731.5</v>
      </c>
      <c r="DH56" s="142">
        <v>97786.5</v>
      </c>
      <c r="DI56" s="142">
        <v>97819.5</v>
      </c>
      <c r="DJ56" s="142">
        <v>97887</v>
      </c>
      <c r="DK56" s="142">
        <v>97930.5</v>
      </c>
      <c r="DL56" s="142">
        <v>97969.5</v>
      </c>
      <c r="DM56" s="142">
        <v>98023.5</v>
      </c>
      <c r="DN56" s="142">
        <v>98075.5</v>
      </c>
      <c r="DO56" s="142">
        <v>98126.5</v>
      </c>
      <c r="DP56" s="142"/>
      <c r="DQ56" s="142"/>
    </row>
    <row r="57" spans="1:121">
      <c r="A57" s="140">
        <v>55</v>
      </c>
      <c r="B57" s="142"/>
      <c r="C57" s="142"/>
      <c r="D57" s="142"/>
      <c r="E57" s="142"/>
      <c r="F57" s="142"/>
      <c r="G57" s="142"/>
      <c r="H57" s="142"/>
      <c r="I57" s="142"/>
      <c r="J57" s="142"/>
      <c r="K57" s="142"/>
      <c r="L57" s="142"/>
      <c r="M57" s="142"/>
      <c r="N57" s="142"/>
      <c r="O57" s="142"/>
      <c r="P57" s="142"/>
      <c r="Q57" s="142"/>
      <c r="R57" s="142"/>
      <c r="S57" s="142"/>
      <c r="T57" s="142"/>
      <c r="U57" s="142"/>
      <c r="V57" s="142"/>
      <c r="W57" s="142">
        <v>72145</v>
      </c>
      <c r="X57" s="142">
        <v>72956.5</v>
      </c>
      <c r="Y57" s="142">
        <v>73087</v>
      </c>
      <c r="Z57" s="142">
        <v>75161.5</v>
      </c>
      <c r="AA57" s="142">
        <v>75603</v>
      </c>
      <c r="AB57" s="142">
        <v>76244.5</v>
      </c>
      <c r="AC57" s="142">
        <v>77068.5</v>
      </c>
      <c r="AD57" s="142">
        <v>77927</v>
      </c>
      <c r="AE57" s="142">
        <v>77897</v>
      </c>
      <c r="AF57" s="142">
        <v>79112</v>
      </c>
      <c r="AG57" s="142">
        <v>79628</v>
      </c>
      <c r="AH57" s="142">
        <v>80038.5</v>
      </c>
      <c r="AI57" s="142">
        <v>80449</v>
      </c>
      <c r="AJ57" s="142">
        <v>81760.5</v>
      </c>
      <c r="AK57" s="142">
        <v>81837</v>
      </c>
      <c r="AL57" s="142">
        <v>82316</v>
      </c>
      <c r="AM57" s="142">
        <v>82724</v>
      </c>
      <c r="AN57" s="142">
        <v>83248.5</v>
      </c>
      <c r="AO57" s="142">
        <v>83305</v>
      </c>
      <c r="AP57" s="142">
        <v>83528</v>
      </c>
      <c r="AQ57" s="142">
        <v>83648</v>
      </c>
      <c r="AR57" s="142">
        <v>83845.5</v>
      </c>
      <c r="AS57" s="142">
        <v>83351</v>
      </c>
      <c r="AT57" s="142">
        <v>82698.5</v>
      </c>
      <c r="AU57" s="142">
        <v>81612</v>
      </c>
      <c r="AV57" s="142">
        <v>82037</v>
      </c>
      <c r="AW57" s="142">
        <v>82565</v>
      </c>
      <c r="AX57" s="142">
        <v>84690.5</v>
      </c>
      <c r="AY57" s="142">
        <v>86419</v>
      </c>
      <c r="AZ57" s="142">
        <v>86439</v>
      </c>
      <c r="BA57" s="142">
        <v>86525.5</v>
      </c>
      <c r="BB57" s="142">
        <v>87243.5</v>
      </c>
      <c r="BC57" s="142">
        <v>87501.5</v>
      </c>
      <c r="BD57" s="142">
        <v>87951.5</v>
      </c>
      <c r="BE57" s="142">
        <v>88112.5</v>
      </c>
      <c r="BF57" s="142">
        <v>88581</v>
      </c>
      <c r="BG57" s="142">
        <v>88768</v>
      </c>
      <c r="BH57" s="142">
        <v>89216</v>
      </c>
      <c r="BI57" s="142">
        <v>89497.5</v>
      </c>
      <c r="BJ57" s="142">
        <v>89807.5</v>
      </c>
      <c r="BK57" s="142">
        <v>90228</v>
      </c>
      <c r="BL57" s="142">
        <v>90700</v>
      </c>
      <c r="BM57" s="142">
        <v>91148.5</v>
      </c>
      <c r="BN57" s="142">
        <v>91521</v>
      </c>
      <c r="BO57" s="142">
        <v>91833</v>
      </c>
      <c r="BP57" s="142">
        <v>92087</v>
      </c>
      <c r="BQ57" s="142">
        <v>92285.5</v>
      </c>
      <c r="BR57" s="142">
        <v>92472</v>
      </c>
      <c r="BS57" s="142">
        <v>92555</v>
      </c>
      <c r="BT57" s="142">
        <v>92727.5</v>
      </c>
      <c r="BU57" s="142">
        <v>92843.5</v>
      </c>
      <c r="BV57" s="142">
        <v>93031</v>
      </c>
      <c r="BW57" s="142">
        <v>93164.5</v>
      </c>
      <c r="BX57" s="142">
        <v>93369.5</v>
      </c>
      <c r="BY57" s="142">
        <v>93575.5</v>
      </c>
      <c r="BZ57" s="142">
        <v>93902</v>
      </c>
      <c r="CA57" s="142">
        <v>94129.5</v>
      </c>
      <c r="CB57" s="142">
        <v>94282.5</v>
      </c>
      <c r="CC57" s="142">
        <v>94482</v>
      </c>
      <c r="CD57" s="142">
        <v>94652.5</v>
      </c>
      <c r="CE57" s="142">
        <v>94800.5</v>
      </c>
      <c r="CF57" s="142">
        <v>94998</v>
      </c>
      <c r="CG57" s="142">
        <v>95159</v>
      </c>
      <c r="CH57" s="142">
        <v>95304.5</v>
      </c>
      <c r="CI57" s="142">
        <v>95487.5</v>
      </c>
      <c r="CJ57" s="142">
        <v>95581.5</v>
      </c>
      <c r="CK57" s="142">
        <v>95697</v>
      </c>
      <c r="CL57" s="142">
        <v>95872</v>
      </c>
      <c r="CM57" s="142">
        <v>95964</v>
      </c>
      <c r="CN57" s="142">
        <v>96097</v>
      </c>
      <c r="CO57" s="142">
        <v>96220.5</v>
      </c>
      <c r="CP57" s="142">
        <v>96337</v>
      </c>
      <c r="CQ57" s="142">
        <v>96450</v>
      </c>
      <c r="CR57" s="142">
        <v>96523</v>
      </c>
      <c r="CS57" s="142">
        <v>96633.5</v>
      </c>
      <c r="CT57" s="142">
        <v>96714</v>
      </c>
      <c r="CU57" s="142">
        <v>96800</v>
      </c>
      <c r="CV57" s="142">
        <v>96862.5</v>
      </c>
      <c r="CW57" s="142">
        <v>96940</v>
      </c>
      <c r="CX57" s="142">
        <v>97030</v>
      </c>
      <c r="CY57" s="142">
        <v>97084.5</v>
      </c>
      <c r="CZ57" s="142">
        <v>97138</v>
      </c>
      <c r="DA57" s="142">
        <v>97191.5</v>
      </c>
      <c r="DB57" s="142">
        <v>97265.5</v>
      </c>
      <c r="DC57" s="142">
        <v>97333</v>
      </c>
      <c r="DD57" s="142">
        <v>97389</v>
      </c>
      <c r="DE57" s="142">
        <v>97440.5</v>
      </c>
      <c r="DF57" s="142">
        <v>97528</v>
      </c>
      <c r="DG57" s="142">
        <v>97567.5</v>
      </c>
      <c r="DH57" s="142">
        <v>97625</v>
      </c>
      <c r="DI57" s="142">
        <v>97661.5</v>
      </c>
      <c r="DJ57" s="142">
        <v>97732</v>
      </c>
      <c r="DK57" s="142">
        <v>97778</v>
      </c>
      <c r="DL57" s="142">
        <v>97820.5</v>
      </c>
      <c r="DM57" s="142">
        <v>97877</v>
      </c>
      <c r="DN57" s="142">
        <v>97932</v>
      </c>
      <c r="DO57" s="142">
        <v>97985.5</v>
      </c>
      <c r="DP57" s="142"/>
      <c r="DQ57" s="142"/>
    </row>
    <row r="58" spans="1:121">
      <c r="A58" s="140">
        <v>56</v>
      </c>
      <c r="B58" s="142"/>
      <c r="C58" s="142"/>
      <c r="D58" s="142"/>
      <c r="E58" s="142"/>
      <c r="F58" s="142"/>
      <c r="G58" s="142"/>
      <c r="H58" s="142"/>
      <c r="I58" s="142"/>
      <c r="J58" s="142"/>
      <c r="K58" s="142"/>
      <c r="L58" s="142"/>
      <c r="M58" s="142"/>
      <c r="N58" s="142"/>
      <c r="O58" s="142"/>
      <c r="P58" s="142"/>
      <c r="Q58" s="142"/>
      <c r="R58" s="142"/>
      <c r="S58" s="142"/>
      <c r="T58" s="142"/>
      <c r="U58" s="142"/>
      <c r="V58" s="142"/>
      <c r="W58" s="142">
        <v>71521</v>
      </c>
      <c r="X58" s="142">
        <v>72339</v>
      </c>
      <c r="Y58" s="142">
        <v>72472.5</v>
      </c>
      <c r="Z58" s="142">
        <v>74529.5</v>
      </c>
      <c r="AA58" s="142">
        <v>74988.5</v>
      </c>
      <c r="AB58" s="142">
        <v>75619</v>
      </c>
      <c r="AC58" s="142">
        <v>76446</v>
      </c>
      <c r="AD58" s="142">
        <v>77297.5</v>
      </c>
      <c r="AE58" s="142">
        <v>77268.5</v>
      </c>
      <c r="AF58" s="142">
        <v>78490</v>
      </c>
      <c r="AG58" s="142">
        <v>79015.5</v>
      </c>
      <c r="AH58" s="142">
        <v>79432</v>
      </c>
      <c r="AI58" s="142">
        <v>79851.5</v>
      </c>
      <c r="AJ58" s="142">
        <v>81158.5</v>
      </c>
      <c r="AK58" s="142">
        <v>81243.5</v>
      </c>
      <c r="AL58" s="142">
        <v>81741.5</v>
      </c>
      <c r="AM58" s="142">
        <v>82164.5</v>
      </c>
      <c r="AN58" s="142">
        <v>82710</v>
      </c>
      <c r="AO58" s="142">
        <v>82775</v>
      </c>
      <c r="AP58" s="142">
        <v>83000</v>
      </c>
      <c r="AQ58" s="142">
        <v>83141.5</v>
      </c>
      <c r="AR58" s="142">
        <v>83358</v>
      </c>
      <c r="AS58" s="142">
        <v>82865</v>
      </c>
      <c r="AT58" s="142">
        <v>82219.5</v>
      </c>
      <c r="AU58" s="142">
        <v>81145</v>
      </c>
      <c r="AV58" s="142">
        <v>81565.5</v>
      </c>
      <c r="AW58" s="142">
        <v>82100.5</v>
      </c>
      <c r="AX58" s="142">
        <v>84239.5</v>
      </c>
      <c r="AY58" s="142">
        <v>85940</v>
      </c>
      <c r="AZ58" s="142">
        <v>85987.5</v>
      </c>
      <c r="BA58" s="142">
        <v>86066.5</v>
      </c>
      <c r="BB58" s="142">
        <v>86791.5</v>
      </c>
      <c r="BC58" s="142">
        <v>87055</v>
      </c>
      <c r="BD58" s="142">
        <v>87499.5</v>
      </c>
      <c r="BE58" s="142">
        <v>87660</v>
      </c>
      <c r="BF58" s="142">
        <v>88134</v>
      </c>
      <c r="BG58" s="142">
        <v>88327</v>
      </c>
      <c r="BH58" s="142">
        <v>88802</v>
      </c>
      <c r="BI58" s="142">
        <v>89070.5</v>
      </c>
      <c r="BJ58" s="142">
        <v>89385.5</v>
      </c>
      <c r="BK58" s="142">
        <v>89812</v>
      </c>
      <c r="BL58" s="142">
        <v>90290</v>
      </c>
      <c r="BM58" s="142">
        <v>90744</v>
      </c>
      <c r="BN58" s="142">
        <v>91122.5</v>
      </c>
      <c r="BO58" s="142">
        <v>91440.5</v>
      </c>
      <c r="BP58" s="142">
        <v>91701</v>
      </c>
      <c r="BQ58" s="142">
        <v>91906</v>
      </c>
      <c r="BR58" s="142">
        <v>92099</v>
      </c>
      <c r="BS58" s="142">
        <v>92189</v>
      </c>
      <c r="BT58" s="142">
        <v>92368</v>
      </c>
      <c r="BU58" s="142">
        <v>92490.5</v>
      </c>
      <c r="BV58" s="142">
        <v>92684</v>
      </c>
      <c r="BW58" s="142">
        <v>92823.5</v>
      </c>
      <c r="BX58" s="142">
        <v>93034.5</v>
      </c>
      <c r="BY58" s="142">
        <v>93246.5</v>
      </c>
      <c r="BZ58" s="142">
        <v>93578</v>
      </c>
      <c r="CA58" s="142">
        <v>93810</v>
      </c>
      <c r="CB58" s="142">
        <v>93969</v>
      </c>
      <c r="CC58" s="142">
        <v>94174.5</v>
      </c>
      <c r="CD58" s="142">
        <v>94349</v>
      </c>
      <c r="CE58" s="142">
        <v>94503</v>
      </c>
      <c r="CF58" s="142">
        <v>94705.5</v>
      </c>
      <c r="CG58" s="142">
        <v>94871.5</v>
      </c>
      <c r="CH58" s="142">
        <v>95022</v>
      </c>
      <c r="CI58" s="142">
        <v>95210</v>
      </c>
      <c r="CJ58" s="142">
        <v>95309</v>
      </c>
      <c r="CK58" s="142">
        <v>95429.5</v>
      </c>
      <c r="CL58" s="142">
        <v>95609</v>
      </c>
      <c r="CM58" s="142">
        <v>95705.5</v>
      </c>
      <c r="CN58" s="142">
        <v>95843</v>
      </c>
      <c r="CO58" s="142">
        <v>95971</v>
      </c>
      <c r="CP58" s="142">
        <v>96092.5</v>
      </c>
      <c r="CQ58" s="142">
        <v>96210</v>
      </c>
      <c r="CR58" s="142">
        <v>96287</v>
      </c>
      <c r="CS58" s="142">
        <v>96401.5</v>
      </c>
      <c r="CT58" s="142">
        <v>96486</v>
      </c>
      <c r="CU58" s="142">
        <v>96576.5</v>
      </c>
      <c r="CV58" s="142">
        <v>96643</v>
      </c>
      <c r="CW58" s="142">
        <v>96724.5</v>
      </c>
      <c r="CX58" s="142">
        <v>96818.5</v>
      </c>
      <c r="CY58" s="142">
        <v>96876.5</v>
      </c>
      <c r="CZ58" s="142">
        <v>96934.5</v>
      </c>
      <c r="DA58" s="142">
        <v>96991.5</v>
      </c>
      <c r="DB58" s="142">
        <v>97069.5</v>
      </c>
      <c r="DC58" s="142">
        <v>97140.5</v>
      </c>
      <c r="DD58" s="142">
        <v>97200.5</v>
      </c>
      <c r="DE58" s="142">
        <v>97255.5</v>
      </c>
      <c r="DF58" s="142">
        <v>97346</v>
      </c>
      <c r="DG58" s="142">
        <v>97389</v>
      </c>
      <c r="DH58" s="142">
        <v>97450</v>
      </c>
      <c r="DI58" s="142">
        <v>97489.5</v>
      </c>
      <c r="DJ58" s="142">
        <v>97563</v>
      </c>
      <c r="DK58" s="142">
        <v>97612.5</v>
      </c>
      <c r="DL58" s="142">
        <v>97657.5</v>
      </c>
      <c r="DM58" s="142">
        <v>97717.5</v>
      </c>
      <c r="DN58" s="142">
        <v>97775.5</v>
      </c>
      <c r="DO58" s="142">
        <v>97831.5</v>
      </c>
      <c r="DP58" s="142"/>
      <c r="DQ58" s="142"/>
    </row>
    <row r="59" spans="1:121">
      <c r="A59" s="140">
        <v>57</v>
      </c>
      <c r="B59" s="142"/>
      <c r="C59" s="142"/>
      <c r="D59" s="142"/>
      <c r="E59" s="142"/>
      <c r="F59" s="142"/>
      <c r="G59" s="142"/>
      <c r="H59" s="142"/>
      <c r="I59" s="142"/>
      <c r="J59" s="142"/>
      <c r="K59" s="142"/>
      <c r="L59" s="142"/>
      <c r="M59" s="142"/>
      <c r="N59" s="142"/>
      <c r="O59" s="142"/>
      <c r="P59" s="142"/>
      <c r="Q59" s="142"/>
      <c r="R59" s="142"/>
      <c r="S59" s="142"/>
      <c r="T59" s="142"/>
      <c r="U59" s="142"/>
      <c r="V59" s="142"/>
      <c r="W59" s="142">
        <v>70854</v>
      </c>
      <c r="X59" s="142">
        <v>71679</v>
      </c>
      <c r="Y59" s="142">
        <v>71803</v>
      </c>
      <c r="Z59" s="142">
        <v>73847.5</v>
      </c>
      <c r="AA59" s="142">
        <v>74319.5</v>
      </c>
      <c r="AB59" s="142">
        <v>74954</v>
      </c>
      <c r="AC59" s="142">
        <v>75778.5</v>
      </c>
      <c r="AD59" s="142">
        <v>76610</v>
      </c>
      <c r="AE59" s="142">
        <v>76593.5</v>
      </c>
      <c r="AF59" s="142">
        <v>77814</v>
      </c>
      <c r="AG59" s="142">
        <v>78359.5</v>
      </c>
      <c r="AH59" s="142">
        <v>78778</v>
      </c>
      <c r="AI59" s="142">
        <v>79198.5</v>
      </c>
      <c r="AJ59" s="142">
        <v>80508</v>
      </c>
      <c r="AK59" s="142">
        <v>80622.5</v>
      </c>
      <c r="AL59" s="142">
        <v>81133</v>
      </c>
      <c r="AM59" s="142">
        <v>81581</v>
      </c>
      <c r="AN59" s="142">
        <v>82139</v>
      </c>
      <c r="AO59" s="142">
        <v>82197</v>
      </c>
      <c r="AP59" s="142">
        <v>82452</v>
      </c>
      <c r="AQ59" s="142">
        <v>82608.5</v>
      </c>
      <c r="AR59" s="142">
        <v>82842</v>
      </c>
      <c r="AS59" s="142">
        <v>82344</v>
      </c>
      <c r="AT59" s="142">
        <v>81720</v>
      </c>
      <c r="AU59" s="142">
        <v>80656</v>
      </c>
      <c r="AV59" s="142">
        <v>81070</v>
      </c>
      <c r="AW59" s="142">
        <v>81625.5</v>
      </c>
      <c r="AX59" s="142">
        <v>83752.5</v>
      </c>
      <c r="AY59" s="142">
        <v>85444</v>
      </c>
      <c r="AZ59" s="142">
        <v>85498</v>
      </c>
      <c r="BA59" s="142">
        <v>85590.5</v>
      </c>
      <c r="BB59" s="142">
        <v>86302.5</v>
      </c>
      <c r="BC59" s="142">
        <v>86577</v>
      </c>
      <c r="BD59" s="142">
        <v>87015</v>
      </c>
      <c r="BE59" s="142">
        <v>87193</v>
      </c>
      <c r="BF59" s="142">
        <v>87655.5</v>
      </c>
      <c r="BG59" s="142">
        <v>87863</v>
      </c>
      <c r="BH59" s="142">
        <v>88342.5</v>
      </c>
      <c r="BI59" s="142">
        <v>88607.5</v>
      </c>
      <c r="BJ59" s="142">
        <v>88929.5</v>
      </c>
      <c r="BK59" s="142">
        <v>89362</v>
      </c>
      <c r="BL59" s="142">
        <v>89846</v>
      </c>
      <c r="BM59" s="142">
        <v>90306.5</v>
      </c>
      <c r="BN59" s="142">
        <v>90691.5</v>
      </c>
      <c r="BO59" s="142">
        <v>91016</v>
      </c>
      <c r="BP59" s="142">
        <v>91283.5</v>
      </c>
      <c r="BQ59" s="142">
        <v>91496</v>
      </c>
      <c r="BR59" s="142">
        <v>91695.5</v>
      </c>
      <c r="BS59" s="142">
        <v>91792.5</v>
      </c>
      <c r="BT59" s="142">
        <v>91978.5</v>
      </c>
      <c r="BU59" s="142">
        <v>92108</v>
      </c>
      <c r="BV59" s="142">
        <v>92308.5</v>
      </c>
      <c r="BW59" s="142">
        <v>92454.5</v>
      </c>
      <c r="BX59" s="142">
        <v>92671.5</v>
      </c>
      <c r="BY59" s="142">
        <v>92889.5</v>
      </c>
      <c r="BZ59" s="142">
        <v>93226.5</v>
      </c>
      <c r="CA59" s="142">
        <v>93464.5</v>
      </c>
      <c r="CB59" s="142">
        <v>93629.5</v>
      </c>
      <c r="CC59" s="142">
        <v>93840.5</v>
      </c>
      <c r="CD59" s="142">
        <v>94021</v>
      </c>
      <c r="CE59" s="142">
        <v>94181</v>
      </c>
      <c r="CF59" s="142">
        <v>94388.5</v>
      </c>
      <c r="CG59" s="142">
        <v>94560</v>
      </c>
      <c r="CH59" s="142">
        <v>94716</v>
      </c>
      <c r="CI59" s="142">
        <v>94909</v>
      </c>
      <c r="CJ59" s="142">
        <v>95013.5</v>
      </c>
      <c r="CK59" s="142">
        <v>95139.5</v>
      </c>
      <c r="CL59" s="142">
        <v>95324</v>
      </c>
      <c r="CM59" s="142">
        <v>95426</v>
      </c>
      <c r="CN59" s="142">
        <v>95568.5</v>
      </c>
      <c r="CO59" s="142">
        <v>95701.5</v>
      </c>
      <c r="CP59" s="142">
        <v>95827.5</v>
      </c>
      <c r="CQ59" s="142">
        <v>95949.5</v>
      </c>
      <c r="CR59" s="142">
        <v>96031</v>
      </c>
      <c r="CS59" s="142">
        <v>96150.5</v>
      </c>
      <c r="CT59" s="142">
        <v>96239.5</v>
      </c>
      <c r="CU59" s="142">
        <v>96334.5</v>
      </c>
      <c r="CV59" s="142">
        <v>96405.5</v>
      </c>
      <c r="CW59" s="142">
        <v>96491.5</v>
      </c>
      <c r="CX59" s="142">
        <v>96589.5</v>
      </c>
      <c r="CY59" s="142">
        <v>96652</v>
      </c>
      <c r="CZ59" s="142">
        <v>96714</v>
      </c>
      <c r="DA59" s="142">
        <v>96775.5</v>
      </c>
      <c r="DB59" s="142">
        <v>96856.5</v>
      </c>
      <c r="DC59" s="142">
        <v>96932</v>
      </c>
      <c r="DD59" s="142">
        <v>96995.5</v>
      </c>
      <c r="DE59" s="142">
        <v>97054.5</v>
      </c>
      <c r="DF59" s="142">
        <v>97149</v>
      </c>
      <c r="DG59" s="142">
        <v>97195.5</v>
      </c>
      <c r="DH59" s="142">
        <v>97260</v>
      </c>
      <c r="DI59" s="142">
        <v>97303.5</v>
      </c>
      <c r="DJ59" s="142">
        <v>97380.5</v>
      </c>
      <c r="DK59" s="142">
        <v>97433</v>
      </c>
      <c r="DL59" s="142">
        <v>97481.5</v>
      </c>
      <c r="DM59" s="142">
        <v>97544.5</v>
      </c>
      <c r="DN59" s="142">
        <v>97606</v>
      </c>
      <c r="DO59" s="142">
        <v>97665.5</v>
      </c>
      <c r="DP59" s="142"/>
      <c r="DQ59" s="142"/>
    </row>
    <row r="60" spans="1:121">
      <c r="A60" s="140">
        <v>58</v>
      </c>
      <c r="B60" s="142"/>
      <c r="C60" s="142"/>
      <c r="D60" s="142"/>
      <c r="E60" s="142"/>
      <c r="F60" s="142"/>
      <c r="G60" s="142"/>
      <c r="H60" s="142"/>
      <c r="I60" s="142"/>
      <c r="J60" s="142"/>
      <c r="K60" s="142"/>
      <c r="L60" s="142"/>
      <c r="M60" s="142"/>
      <c r="N60" s="142"/>
      <c r="O60" s="142"/>
      <c r="P60" s="142"/>
      <c r="Q60" s="142"/>
      <c r="R60" s="142"/>
      <c r="S60" s="142"/>
      <c r="T60" s="142"/>
      <c r="U60" s="142"/>
      <c r="V60" s="142"/>
      <c r="W60" s="142">
        <v>70128</v>
      </c>
      <c r="X60" s="142">
        <v>70959.5</v>
      </c>
      <c r="Y60" s="142">
        <v>71074</v>
      </c>
      <c r="Z60" s="142">
        <v>73135</v>
      </c>
      <c r="AA60" s="142">
        <v>73600.5</v>
      </c>
      <c r="AB60" s="142">
        <v>74254.5</v>
      </c>
      <c r="AC60" s="142">
        <v>75073.5</v>
      </c>
      <c r="AD60" s="142">
        <v>75899</v>
      </c>
      <c r="AE60" s="142">
        <v>75883.5</v>
      </c>
      <c r="AF60" s="142">
        <v>77106.5</v>
      </c>
      <c r="AG60" s="142">
        <v>77666.5</v>
      </c>
      <c r="AH60" s="142">
        <v>78071.5</v>
      </c>
      <c r="AI60" s="142">
        <v>78495.5</v>
      </c>
      <c r="AJ60" s="142">
        <v>79824.5</v>
      </c>
      <c r="AK60" s="142">
        <v>79962</v>
      </c>
      <c r="AL60" s="142">
        <v>80475</v>
      </c>
      <c r="AM60" s="142">
        <v>80953.5</v>
      </c>
      <c r="AN60" s="142">
        <v>81517</v>
      </c>
      <c r="AO60" s="142">
        <v>81598</v>
      </c>
      <c r="AP60" s="142">
        <v>81868.5</v>
      </c>
      <c r="AQ60" s="142">
        <v>82044.5</v>
      </c>
      <c r="AR60" s="142">
        <v>82285</v>
      </c>
      <c r="AS60" s="142">
        <v>81793.5</v>
      </c>
      <c r="AT60" s="142">
        <v>81172</v>
      </c>
      <c r="AU60" s="142">
        <v>80121.5</v>
      </c>
      <c r="AV60" s="142">
        <v>80541.5</v>
      </c>
      <c r="AW60" s="142">
        <v>81112.5</v>
      </c>
      <c r="AX60" s="142">
        <v>83235</v>
      </c>
      <c r="AY60" s="142">
        <v>84947</v>
      </c>
      <c r="AZ60" s="142">
        <v>84979</v>
      </c>
      <c r="BA60" s="142">
        <v>85082</v>
      </c>
      <c r="BB60" s="142">
        <v>85784</v>
      </c>
      <c r="BC60" s="142">
        <v>86057</v>
      </c>
      <c r="BD60" s="142">
        <v>86501</v>
      </c>
      <c r="BE60" s="142">
        <v>86669.5</v>
      </c>
      <c r="BF60" s="142">
        <v>87157</v>
      </c>
      <c r="BG60" s="142">
        <v>87346.5</v>
      </c>
      <c r="BH60" s="142">
        <v>87835.5</v>
      </c>
      <c r="BI60" s="142">
        <v>88108</v>
      </c>
      <c r="BJ60" s="142">
        <v>88438</v>
      </c>
      <c r="BK60" s="142">
        <v>88877.5</v>
      </c>
      <c r="BL60" s="142">
        <v>89368</v>
      </c>
      <c r="BM60" s="142">
        <v>89835</v>
      </c>
      <c r="BN60" s="142">
        <v>90227</v>
      </c>
      <c r="BO60" s="142">
        <v>90559</v>
      </c>
      <c r="BP60" s="142">
        <v>90833.5</v>
      </c>
      <c r="BQ60" s="142">
        <v>91053.5</v>
      </c>
      <c r="BR60" s="142">
        <v>91261</v>
      </c>
      <c r="BS60" s="142">
        <v>91366</v>
      </c>
      <c r="BT60" s="142">
        <v>91559</v>
      </c>
      <c r="BU60" s="142">
        <v>91696</v>
      </c>
      <c r="BV60" s="142">
        <v>91903</v>
      </c>
      <c r="BW60" s="142">
        <v>92056.5</v>
      </c>
      <c r="BX60" s="142">
        <v>92280</v>
      </c>
      <c r="BY60" s="142">
        <v>92504.5</v>
      </c>
      <c r="BZ60" s="142">
        <v>92847.5</v>
      </c>
      <c r="CA60" s="142">
        <v>93092</v>
      </c>
      <c r="CB60" s="142">
        <v>93263.5</v>
      </c>
      <c r="CC60" s="142">
        <v>93480.5</v>
      </c>
      <c r="CD60" s="142">
        <v>93667.5</v>
      </c>
      <c r="CE60" s="142">
        <v>93833.5</v>
      </c>
      <c r="CF60" s="142">
        <v>94047</v>
      </c>
      <c r="CG60" s="142">
        <v>94224.5</v>
      </c>
      <c r="CH60" s="142">
        <v>94386</v>
      </c>
      <c r="CI60" s="142">
        <v>94585</v>
      </c>
      <c r="CJ60" s="142">
        <v>94695</v>
      </c>
      <c r="CK60" s="142">
        <v>94827</v>
      </c>
      <c r="CL60" s="142">
        <v>95016.5</v>
      </c>
      <c r="CM60" s="142">
        <v>95124</v>
      </c>
      <c r="CN60" s="142">
        <v>95272</v>
      </c>
      <c r="CO60" s="142">
        <v>95410</v>
      </c>
      <c r="CP60" s="142">
        <v>95541.5</v>
      </c>
      <c r="CQ60" s="142">
        <v>95668.5</v>
      </c>
      <c r="CR60" s="142">
        <v>95755.5</v>
      </c>
      <c r="CS60" s="142">
        <v>95880</v>
      </c>
      <c r="CT60" s="142">
        <v>95974</v>
      </c>
      <c r="CU60" s="142">
        <v>96073.5</v>
      </c>
      <c r="CV60" s="142">
        <v>96149</v>
      </c>
      <c r="CW60" s="142">
        <v>96240</v>
      </c>
      <c r="CX60" s="142">
        <v>96342.5</v>
      </c>
      <c r="CY60" s="142">
        <v>96409.5</v>
      </c>
      <c r="CZ60" s="142">
        <v>96476</v>
      </c>
      <c r="DA60" s="142">
        <v>96542</v>
      </c>
      <c r="DB60" s="142">
        <v>96627.5</v>
      </c>
      <c r="DC60" s="142">
        <v>96707</v>
      </c>
      <c r="DD60" s="142">
        <v>96775</v>
      </c>
      <c r="DE60" s="142">
        <v>96838</v>
      </c>
      <c r="DF60" s="142">
        <v>96936</v>
      </c>
      <c r="DG60" s="142">
        <v>96986.5</v>
      </c>
      <c r="DH60" s="142">
        <v>97055</v>
      </c>
      <c r="DI60" s="142">
        <v>97102</v>
      </c>
      <c r="DJ60" s="142">
        <v>97183</v>
      </c>
      <c r="DK60" s="142">
        <v>97239.5</v>
      </c>
      <c r="DL60" s="142">
        <v>97291.5</v>
      </c>
      <c r="DM60" s="142">
        <v>97358</v>
      </c>
      <c r="DN60" s="142">
        <v>97422.5</v>
      </c>
      <c r="DO60" s="142">
        <v>97486</v>
      </c>
      <c r="DP60" s="142"/>
      <c r="DQ60" s="142"/>
    </row>
    <row r="61" spans="1:121">
      <c r="A61" s="140">
        <v>59</v>
      </c>
      <c r="B61" s="142"/>
      <c r="C61" s="142"/>
      <c r="D61" s="142"/>
      <c r="E61" s="142"/>
      <c r="F61" s="142"/>
      <c r="G61" s="142"/>
      <c r="H61" s="142"/>
      <c r="I61" s="142"/>
      <c r="J61" s="142"/>
      <c r="K61" s="142"/>
      <c r="L61" s="142"/>
      <c r="M61" s="142"/>
      <c r="N61" s="142"/>
      <c r="O61" s="142"/>
      <c r="P61" s="142"/>
      <c r="Q61" s="142"/>
      <c r="R61" s="142"/>
      <c r="S61" s="142"/>
      <c r="T61" s="142"/>
      <c r="U61" s="142"/>
      <c r="V61" s="142"/>
      <c r="W61" s="142">
        <v>69350.5</v>
      </c>
      <c r="X61" s="142">
        <v>70185</v>
      </c>
      <c r="Y61" s="142">
        <v>70295.5</v>
      </c>
      <c r="Z61" s="142">
        <v>72368.5</v>
      </c>
      <c r="AA61" s="142">
        <v>72851.5</v>
      </c>
      <c r="AB61" s="142">
        <v>73486</v>
      </c>
      <c r="AC61" s="142">
        <v>74323.5</v>
      </c>
      <c r="AD61" s="142">
        <v>75129</v>
      </c>
      <c r="AE61" s="142">
        <v>75137.5</v>
      </c>
      <c r="AF61" s="142">
        <v>76348.5</v>
      </c>
      <c r="AG61" s="142">
        <v>76910</v>
      </c>
      <c r="AH61" s="142">
        <v>77324.5</v>
      </c>
      <c r="AI61" s="142">
        <v>77753.5</v>
      </c>
      <c r="AJ61" s="142">
        <v>79085.5</v>
      </c>
      <c r="AK61" s="142">
        <v>79247.5</v>
      </c>
      <c r="AL61" s="142">
        <v>79796.5</v>
      </c>
      <c r="AM61" s="142">
        <v>80286.5</v>
      </c>
      <c r="AN61" s="142">
        <v>80883</v>
      </c>
      <c r="AO61" s="142">
        <v>80975.5</v>
      </c>
      <c r="AP61" s="142">
        <v>81274</v>
      </c>
      <c r="AQ61" s="142">
        <v>81446</v>
      </c>
      <c r="AR61" s="142">
        <v>81698</v>
      </c>
      <c r="AS61" s="142">
        <v>81212</v>
      </c>
      <c r="AT61" s="142">
        <v>80583.5</v>
      </c>
      <c r="AU61" s="142">
        <v>79551</v>
      </c>
      <c r="AV61" s="142">
        <v>79974.5</v>
      </c>
      <c r="AW61" s="142">
        <v>80570</v>
      </c>
      <c r="AX61" s="142">
        <v>82671.5</v>
      </c>
      <c r="AY61" s="142">
        <v>84388</v>
      </c>
      <c r="AZ61" s="142">
        <v>84423.5</v>
      </c>
      <c r="BA61" s="142">
        <v>84529.5</v>
      </c>
      <c r="BB61" s="142">
        <v>85213.5</v>
      </c>
      <c r="BC61" s="142">
        <v>85500.5</v>
      </c>
      <c r="BD61" s="142">
        <v>85936.5</v>
      </c>
      <c r="BE61" s="142">
        <v>86121.5</v>
      </c>
      <c r="BF61" s="142">
        <v>86604.5</v>
      </c>
      <c r="BG61" s="142">
        <v>86795</v>
      </c>
      <c r="BH61" s="142">
        <v>87291</v>
      </c>
      <c r="BI61" s="142">
        <v>87572.5</v>
      </c>
      <c r="BJ61" s="142">
        <v>87911</v>
      </c>
      <c r="BK61" s="142">
        <v>88358</v>
      </c>
      <c r="BL61" s="142">
        <v>88855.5</v>
      </c>
      <c r="BM61" s="142">
        <v>89329.5</v>
      </c>
      <c r="BN61" s="142">
        <v>89728.5</v>
      </c>
      <c r="BO61" s="142">
        <v>90068</v>
      </c>
      <c r="BP61" s="142">
        <v>90351</v>
      </c>
      <c r="BQ61" s="142">
        <v>90579</v>
      </c>
      <c r="BR61" s="142">
        <v>90794.5</v>
      </c>
      <c r="BS61" s="142">
        <v>90908</v>
      </c>
      <c r="BT61" s="142">
        <v>91108.5</v>
      </c>
      <c r="BU61" s="142">
        <v>91253.5</v>
      </c>
      <c r="BV61" s="142">
        <v>91468.5</v>
      </c>
      <c r="BW61" s="142">
        <v>91629.5</v>
      </c>
      <c r="BX61" s="142">
        <v>91860.5</v>
      </c>
      <c r="BY61" s="142">
        <v>92091.5</v>
      </c>
      <c r="BZ61" s="142">
        <v>92440.5</v>
      </c>
      <c r="CA61" s="142">
        <v>92692</v>
      </c>
      <c r="CB61" s="142">
        <v>92870.5</v>
      </c>
      <c r="CC61" s="142">
        <v>93094.5</v>
      </c>
      <c r="CD61" s="142">
        <v>93288</v>
      </c>
      <c r="CE61" s="142">
        <v>93460</v>
      </c>
      <c r="CF61" s="142">
        <v>93680</v>
      </c>
      <c r="CG61" s="142">
        <v>93864</v>
      </c>
      <c r="CH61" s="142">
        <v>94032</v>
      </c>
      <c r="CI61" s="142">
        <v>94237</v>
      </c>
      <c r="CJ61" s="142">
        <v>94353.5</v>
      </c>
      <c r="CK61" s="142">
        <v>94491</v>
      </c>
      <c r="CL61" s="142">
        <v>94686.5</v>
      </c>
      <c r="CM61" s="142">
        <v>94800</v>
      </c>
      <c r="CN61" s="142">
        <v>94953.5</v>
      </c>
      <c r="CO61" s="142">
        <v>95097.5</v>
      </c>
      <c r="CP61" s="142">
        <v>95234</v>
      </c>
      <c r="CQ61" s="142">
        <v>95367</v>
      </c>
      <c r="CR61" s="142">
        <v>95459.5</v>
      </c>
      <c r="CS61" s="142">
        <v>95589</v>
      </c>
      <c r="CT61" s="142">
        <v>95688.5</v>
      </c>
      <c r="CU61" s="142">
        <v>95793</v>
      </c>
      <c r="CV61" s="142">
        <v>95874.5</v>
      </c>
      <c r="CW61" s="142">
        <v>95970</v>
      </c>
      <c r="CX61" s="142">
        <v>96077.5</v>
      </c>
      <c r="CY61" s="142">
        <v>96149.5</v>
      </c>
      <c r="CZ61" s="142">
        <v>96220.5</v>
      </c>
      <c r="DA61" s="142">
        <v>96291.5</v>
      </c>
      <c r="DB61" s="142">
        <v>96381.5</v>
      </c>
      <c r="DC61" s="142">
        <v>96465.5</v>
      </c>
      <c r="DD61" s="142">
        <v>96538</v>
      </c>
      <c r="DE61" s="142">
        <v>96605</v>
      </c>
      <c r="DF61" s="142">
        <v>96707.5</v>
      </c>
      <c r="DG61" s="142">
        <v>96762.5</v>
      </c>
      <c r="DH61" s="142">
        <v>96835</v>
      </c>
      <c r="DI61" s="142">
        <v>96886</v>
      </c>
      <c r="DJ61" s="142">
        <v>96971</v>
      </c>
      <c r="DK61" s="142">
        <v>97031.5</v>
      </c>
      <c r="DL61" s="142">
        <v>97087.5</v>
      </c>
      <c r="DM61" s="142">
        <v>97157.5</v>
      </c>
      <c r="DN61" s="142">
        <v>97226.5</v>
      </c>
      <c r="DO61" s="142">
        <v>97293</v>
      </c>
      <c r="DP61" s="142"/>
      <c r="DQ61" s="142"/>
    </row>
    <row r="62" spans="1:121">
      <c r="A62" s="140">
        <v>60</v>
      </c>
      <c r="B62" s="142"/>
      <c r="C62" s="142"/>
      <c r="D62" s="142"/>
      <c r="E62" s="142"/>
      <c r="F62" s="142"/>
      <c r="G62" s="142"/>
      <c r="H62" s="142"/>
      <c r="I62" s="142"/>
      <c r="J62" s="142"/>
      <c r="K62" s="142"/>
      <c r="L62" s="142"/>
      <c r="M62" s="142"/>
      <c r="N62" s="142"/>
      <c r="O62" s="142"/>
      <c r="P62" s="142"/>
      <c r="Q62" s="142"/>
      <c r="R62" s="142"/>
      <c r="S62" s="142"/>
      <c r="T62" s="142"/>
      <c r="U62" s="142"/>
      <c r="V62" s="142"/>
      <c r="W62" s="142">
        <v>68520</v>
      </c>
      <c r="X62" s="142">
        <v>69354</v>
      </c>
      <c r="Y62" s="142">
        <v>69472</v>
      </c>
      <c r="Z62" s="142">
        <v>71560</v>
      </c>
      <c r="AA62" s="142">
        <v>72041.5</v>
      </c>
      <c r="AB62" s="142">
        <v>72686.5</v>
      </c>
      <c r="AC62" s="142">
        <v>73527.5</v>
      </c>
      <c r="AD62" s="142">
        <v>74310.5</v>
      </c>
      <c r="AE62" s="142">
        <v>74334.5</v>
      </c>
      <c r="AF62" s="142">
        <v>75534</v>
      </c>
      <c r="AG62" s="142">
        <v>76090</v>
      </c>
      <c r="AH62" s="142">
        <v>76521</v>
      </c>
      <c r="AI62" s="142">
        <v>76959.5</v>
      </c>
      <c r="AJ62" s="142">
        <v>78321</v>
      </c>
      <c r="AK62" s="142">
        <v>78489</v>
      </c>
      <c r="AL62" s="142">
        <v>79056.5</v>
      </c>
      <c r="AM62" s="142">
        <v>79588</v>
      </c>
      <c r="AN62" s="142">
        <v>80204</v>
      </c>
      <c r="AO62" s="142">
        <v>80315</v>
      </c>
      <c r="AP62" s="142">
        <v>80640.5</v>
      </c>
      <c r="AQ62" s="142">
        <v>80806</v>
      </c>
      <c r="AR62" s="142">
        <v>81083.5</v>
      </c>
      <c r="AS62" s="142">
        <v>80585.5</v>
      </c>
      <c r="AT62" s="142">
        <v>79976.5</v>
      </c>
      <c r="AU62" s="142">
        <v>78951.5</v>
      </c>
      <c r="AV62" s="142">
        <v>79381</v>
      </c>
      <c r="AW62" s="142">
        <v>80004</v>
      </c>
      <c r="AX62" s="142">
        <v>82087.5</v>
      </c>
      <c r="AY62" s="142">
        <v>83781.5</v>
      </c>
      <c r="AZ62" s="142">
        <v>83840.5</v>
      </c>
      <c r="BA62" s="142">
        <v>83931</v>
      </c>
      <c r="BB62" s="142">
        <v>84609.5</v>
      </c>
      <c r="BC62" s="142">
        <v>84887</v>
      </c>
      <c r="BD62" s="142">
        <v>85339.5</v>
      </c>
      <c r="BE62" s="142">
        <v>85514</v>
      </c>
      <c r="BF62" s="142">
        <v>86005.5</v>
      </c>
      <c r="BG62" s="142">
        <v>86206</v>
      </c>
      <c r="BH62" s="142">
        <v>86710</v>
      </c>
      <c r="BI62" s="142">
        <v>87001</v>
      </c>
      <c r="BJ62" s="142">
        <v>87347.5</v>
      </c>
      <c r="BK62" s="142">
        <v>87802.5</v>
      </c>
      <c r="BL62" s="142">
        <v>88307.5</v>
      </c>
      <c r="BM62" s="142">
        <v>88789</v>
      </c>
      <c r="BN62" s="142">
        <v>89196</v>
      </c>
      <c r="BO62" s="142">
        <v>89544</v>
      </c>
      <c r="BP62" s="142">
        <v>89835.5</v>
      </c>
      <c r="BQ62" s="142">
        <v>90071.5</v>
      </c>
      <c r="BR62" s="142">
        <v>90296</v>
      </c>
      <c r="BS62" s="142">
        <v>90418.5</v>
      </c>
      <c r="BT62" s="142">
        <v>90627.5</v>
      </c>
      <c r="BU62" s="142">
        <v>90781</v>
      </c>
      <c r="BV62" s="142">
        <v>91003.5</v>
      </c>
      <c r="BW62" s="142">
        <v>91173</v>
      </c>
      <c r="BX62" s="142">
        <v>91411.5</v>
      </c>
      <c r="BY62" s="142">
        <v>91650.5</v>
      </c>
      <c r="BZ62" s="142">
        <v>92006</v>
      </c>
      <c r="CA62" s="142">
        <v>92264.5</v>
      </c>
      <c r="CB62" s="142">
        <v>92450.5</v>
      </c>
      <c r="CC62" s="142">
        <v>92681</v>
      </c>
      <c r="CD62" s="142">
        <v>92882</v>
      </c>
      <c r="CE62" s="142">
        <v>93061.5</v>
      </c>
      <c r="CF62" s="142">
        <v>93288.5</v>
      </c>
      <c r="CG62" s="142">
        <v>93478.5</v>
      </c>
      <c r="CH62" s="142">
        <v>93653.5</v>
      </c>
      <c r="CI62" s="142">
        <v>93865</v>
      </c>
      <c r="CJ62" s="142">
        <v>93988</v>
      </c>
      <c r="CK62" s="142">
        <v>94132.5</v>
      </c>
      <c r="CL62" s="142">
        <v>94334</v>
      </c>
      <c r="CM62" s="142">
        <v>94453.5</v>
      </c>
      <c r="CN62" s="142">
        <v>94613.5</v>
      </c>
      <c r="CO62" s="142">
        <v>94763.5</v>
      </c>
      <c r="CP62" s="142">
        <v>94906</v>
      </c>
      <c r="CQ62" s="142">
        <v>95045</v>
      </c>
      <c r="CR62" s="142">
        <v>95143.5</v>
      </c>
      <c r="CS62" s="142">
        <v>95278.5</v>
      </c>
      <c r="CT62" s="142">
        <v>95383.5</v>
      </c>
      <c r="CU62" s="142">
        <v>95494</v>
      </c>
      <c r="CV62" s="142">
        <v>95580</v>
      </c>
      <c r="CW62" s="142">
        <v>95681.5</v>
      </c>
      <c r="CX62" s="142">
        <v>95794.5</v>
      </c>
      <c r="CY62" s="142">
        <v>95871.5</v>
      </c>
      <c r="CZ62" s="142">
        <v>95948</v>
      </c>
      <c r="DA62" s="142">
        <v>96023.5</v>
      </c>
      <c r="DB62" s="142">
        <v>96118.5</v>
      </c>
      <c r="DC62" s="142">
        <v>96207.5</v>
      </c>
      <c r="DD62" s="142">
        <v>96285</v>
      </c>
      <c r="DE62" s="142">
        <v>96356.5</v>
      </c>
      <c r="DF62" s="142">
        <v>96464</v>
      </c>
      <c r="DG62" s="142">
        <v>96523</v>
      </c>
      <c r="DH62" s="142">
        <v>96600.5</v>
      </c>
      <c r="DI62" s="142">
        <v>96655.5</v>
      </c>
      <c r="DJ62" s="142">
        <v>96745</v>
      </c>
      <c r="DK62" s="142">
        <v>96809.5</v>
      </c>
      <c r="DL62" s="142">
        <v>96870</v>
      </c>
      <c r="DM62" s="142">
        <v>96944.5</v>
      </c>
      <c r="DN62" s="142">
        <v>97016.5</v>
      </c>
      <c r="DO62" s="142">
        <v>97087</v>
      </c>
      <c r="DP62" s="142"/>
      <c r="DQ62" s="142"/>
    </row>
    <row r="63" spans="1:121">
      <c r="A63" s="140">
        <v>61</v>
      </c>
      <c r="B63" s="142"/>
      <c r="C63" s="142"/>
      <c r="D63" s="142"/>
      <c r="E63" s="142"/>
      <c r="F63" s="142"/>
      <c r="G63" s="142"/>
      <c r="H63" s="142"/>
      <c r="I63" s="142"/>
      <c r="J63" s="142"/>
      <c r="K63" s="142"/>
      <c r="L63" s="142"/>
      <c r="M63" s="142"/>
      <c r="N63" s="142"/>
      <c r="O63" s="142"/>
      <c r="P63" s="142"/>
      <c r="Q63" s="142"/>
      <c r="R63" s="142"/>
      <c r="S63" s="142"/>
      <c r="T63" s="142"/>
      <c r="U63" s="142"/>
      <c r="V63" s="142"/>
      <c r="W63" s="142">
        <v>67632.5</v>
      </c>
      <c r="X63" s="142">
        <v>68474.5</v>
      </c>
      <c r="Y63" s="142">
        <v>68607</v>
      </c>
      <c r="Z63" s="142">
        <v>70685.5</v>
      </c>
      <c r="AA63" s="142">
        <v>71172.5</v>
      </c>
      <c r="AB63" s="142">
        <v>71834</v>
      </c>
      <c r="AC63" s="142">
        <v>72675</v>
      </c>
      <c r="AD63" s="142">
        <v>73437.5</v>
      </c>
      <c r="AE63" s="142">
        <v>73469.5</v>
      </c>
      <c r="AF63" s="142">
        <v>74634.5</v>
      </c>
      <c r="AG63" s="142">
        <v>75225</v>
      </c>
      <c r="AH63" s="142">
        <v>75665.5</v>
      </c>
      <c r="AI63" s="142">
        <v>76129</v>
      </c>
      <c r="AJ63" s="142">
        <v>77497.5</v>
      </c>
      <c r="AK63" s="142">
        <v>77682.5</v>
      </c>
      <c r="AL63" s="142">
        <v>78292</v>
      </c>
      <c r="AM63" s="142">
        <v>78852</v>
      </c>
      <c r="AN63" s="142">
        <v>79491</v>
      </c>
      <c r="AO63" s="142">
        <v>79613.5</v>
      </c>
      <c r="AP63" s="142">
        <v>79957.5</v>
      </c>
      <c r="AQ63" s="142">
        <v>80135.5</v>
      </c>
      <c r="AR63" s="142">
        <v>80419</v>
      </c>
      <c r="AS63" s="142">
        <v>79940</v>
      </c>
      <c r="AT63" s="142">
        <v>79325</v>
      </c>
      <c r="AU63" s="142">
        <v>78324.5</v>
      </c>
      <c r="AV63" s="142">
        <v>78750.5</v>
      </c>
      <c r="AW63" s="142">
        <v>79380.5</v>
      </c>
      <c r="AX63" s="142">
        <v>81441</v>
      </c>
      <c r="AY63" s="142">
        <v>83136</v>
      </c>
      <c r="AZ63" s="142">
        <v>83185.5</v>
      </c>
      <c r="BA63" s="142">
        <v>83273</v>
      </c>
      <c r="BB63" s="142">
        <v>83955</v>
      </c>
      <c r="BC63" s="142">
        <v>84252.5</v>
      </c>
      <c r="BD63" s="142">
        <v>84673</v>
      </c>
      <c r="BE63" s="142">
        <v>84868</v>
      </c>
      <c r="BF63" s="142">
        <v>85368.5</v>
      </c>
      <c r="BG63" s="142">
        <v>85580</v>
      </c>
      <c r="BH63" s="142">
        <v>86092</v>
      </c>
      <c r="BI63" s="142">
        <v>86392</v>
      </c>
      <c r="BJ63" s="142">
        <v>86748.5</v>
      </c>
      <c r="BK63" s="142">
        <v>87212</v>
      </c>
      <c r="BL63" s="142">
        <v>87725</v>
      </c>
      <c r="BM63" s="142">
        <v>88214.5</v>
      </c>
      <c r="BN63" s="142">
        <v>88630</v>
      </c>
      <c r="BO63" s="142">
        <v>88986</v>
      </c>
      <c r="BP63" s="142">
        <v>89287</v>
      </c>
      <c r="BQ63" s="142">
        <v>89532</v>
      </c>
      <c r="BR63" s="142">
        <v>89765.5</v>
      </c>
      <c r="BS63" s="142">
        <v>89897.5</v>
      </c>
      <c r="BT63" s="142">
        <v>90115.5</v>
      </c>
      <c r="BU63" s="142">
        <v>90278</v>
      </c>
      <c r="BV63" s="142">
        <v>90509.5</v>
      </c>
      <c r="BW63" s="142">
        <v>90687</v>
      </c>
      <c r="BX63" s="142">
        <v>90933.5</v>
      </c>
      <c r="BY63" s="142">
        <v>91181</v>
      </c>
      <c r="BZ63" s="142">
        <v>91543.5</v>
      </c>
      <c r="CA63" s="142">
        <v>91810</v>
      </c>
      <c r="CB63" s="142">
        <v>92003.5</v>
      </c>
      <c r="CC63" s="142">
        <v>92242</v>
      </c>
      <c r="CD63" s="142">
        <v>92450.5</v>
      </c>
      <c r="CE63" s="142">
        <v>92637.5</v>
      </c>
      <c r="CF63" s="142">
        <v>92871</v>
      </c>
      <c r="CG63" s="142">
        <v>93069</v>
      </c>
      <c r="CH63" s="142">
        <v>93251</v>
      </c>
      <c r="CI63" s="142">
        <v>93468.5</v>
      </c>
      <c r="CJ63" s="142">
        <v>93599.5</v>
      </c>
      <c r="CK63" s="142">
        <v>93751</v>
      </c>
      <c r="CL63" s="142">
        <v>93959</v>
      </c>
      <c r="CM63" s="142">
        <v>94085.5</v>
      </c>
      <c r="CN63" s="142">
        <v>94252</v>
      </c>
      <c r="CO63" s="142">
        <v>94408</v>
      </c>
      <c r="CP63" s="142">
        <v>94557</v>
      </c>
      <c r="CQ63" s="142">
        <v>94702</v>
      </c>
      <c r="CR63" s="142">
        <v>94806.5</v>
      </c>
      <c r="CS63" s="142">
        <v>94948</v>
      </c>
      <c r="CT63" s="142">
        <v>95059</v>
      </c>
      <c r="CU63" s="142">
        <v>95175.5</v>
      </c>
      <c r="CV63" s="142">
        <v>95268</v>
      </c>
      <c r="CW63" s="142">
        <v>95375</v>
      </c>
      <c r="CX63" s="142">
        <v>95493.5</v>
      </c>
      <c r="CY63" s="142">
        <v>95575.5</v>
      </c>
      <c r="CZ63" s="142">
        <v>95658</v>
      </c>
      <c r="DA63" s="142">
        <v>95738.5</v>
      </c>
      <c r="DB63" s="142">
        <v>95839</v>
      </c>
      <c r="DC63" s="142">
        <v>95933.5</v>
      </c>
      <c r="DD63" s="142">
        <v>96015.5</v>
      </c>
      <c r="DE63" s="142">
        <v>96092.5</v>
      </c>
      <c r="DF63" s="142">
        <v>96204.5</v>
      </c>
      <c r="DG63" s="142">
        <v>96268.5</v>
      </c>
      <c r="DH63" s="142">
        <v>96351</v>
      </c>
      <c r="DI63" s="142">
        <v>96411</v>
      </c>
      <c r="DJ63" s="142">
        <v>96504.5</v>
      </c>
      <c r="DK63" s="142">
        <v>96574</v>
      </c>
      <c r="DL63" s="142">
        <v>96638</v>
      </c>
      <c r="DM63" s="142">
        <v>96717</v>
      </c>
      <c r="DN63" s="142">
        <v>96793.5</v>
      </c>
      <c r="DO63" s="142">
        <v>96868.5</v>
      </c>
      <c r="DP63" s="142"/>
      <c r="DQ63" s="142"/>
    </row>
    <row r="64" spans="1:121">
      <c r="A64" s="140">
        <v>62</v>
      </c>
      <c r="B64" s="142"/>
      <c r="C64" s="142"/>
      <c r="D64" s="142"/>
      <c r="E64" s="142"/>
      <c r="F64" s="142"/>
      <c r="G64" s="142"/>
      <c r="H64" s="142"/>
      <c r="I64" s="142"/>
      <c r="J64" s="142"/>
      <c r="K64" s="142"/>
      <c r="L64" s="142"/>
      <c r="M64" s="142"/>
      <c r="N64" s="142"/>
      <c r="O64" s="142"/>
      <c r="P64" s="142"/>
      <c r="Q64" s="142"/>
      <c r="R64" s="142"/>
      <c r="S64" s="142"/>
      <c r="T64" s="142"/>
      <c r="U64" s="142"/>
      <c r="V64" s="142"/>
      <c r="W64" s="142">
        <v>66693</v>
      </c>
      <c r="X64" s="142">
        <v>67545.5</v>
      </c>
      <c r="Y64" s="142">
        <v>67673.5</v>
      </c>
      <c r="Z64" s="142">
        <v>69746</v>
      </c>
      <c r="AA64" s="142">
        <v>70254</v>
      </c>
      <c r="AB64" s="142">
        <v>70923.5</v>
      </c>
      <c r="AC64" s="142">
        <v>71757.5</v>
      </c>
      <c r="AD64" s="142">
        <v>72484.5</v>
      </c>
      <c r="AE64" s="142">
        <v>72529</v>
      </c>
      <c r="AF64" s="142">
        <v>73697.5</v>
      </c>
      <c r="AG64" s="142">
        <v>74320</v>
      </c>
      <c r="AH64" s="142">
        <v>74766</v>
      </c>
      <c r="AI64" s="142">
        <v>75247.5</v>
      </c>
      <c r="AJ64" s="142">
        <v>76613</v>
      </c>
      <c r="AK64" s="142">
        <v>76834</v>
      </c>
      <c r="AL64" s="142">
        <v>77492.5</v>
      </c>
      <c r="AM64" s="142">
        <v>78082.5</v>
      </c>
      <c r="AN64" s="142">
        <v>78731.5</v>
      </c>
      <c r="AO64" s="142">
        <v>78877.5</v>
      </c>
      <c r="AP64" s="142">
        <v>79238.5</v>
      </c>
      <c r="AQ64" s="142">
        <v>79425</v>
      </c>
      <c r="AR64" s="142">
        <v>79730.5</v>
      </c>
      <c r="AS64" s="142">
        <v>79256.5</v>
      </c>
      <c r="AT64" s="142">
        <v>78647</v>
      </c>
      <c r="AU64" s="142">
        <v>77651</v>
      </c>
      <c r="AV64" s="142">
        <v>78074</v>
      </c>
      <c r="AW64" s="142">
        <v>78712</v>
      </c>
      <c r="AX64" s="142">
        <v>80770.5</v>
      </c>
      <c r="AY64" s="142">
        <v>82427.5</v>
      </c>
      <c r="AZ64" s="142">
        <v>82495</v>
      </c>
      <c r="BA64" s="142">
        <v>82583</v>
      </c>
      <c r="BB64" s="142">
        <v>83279</v>
      </c>
      <c r="BC64" s="142">
        <v>83540.5</v>
      </c>
      <c r="BD64" s="142">
        <v>83977</v>
      </c>
      <c r="BE64" s="142">
        <v>84183.5</v>
      </c>
      <c r="BF64" s="142">
        <v>84693</v>
      </c>
      <c r="BG64" s="142">
        <v>84916.5</v>
      </c>
      <c r="BH64" s="142">
        <v>85437.5</v>
      </c>
      <c r="BI64" s="142">
        <v>85748</v>
      </c>
      <c r="BJ64" s="142">
        <v>86114</v>
      </c>
      <c r="BK64" s="142">
        <v>86586.5</v>
      </c>
      <c r="BL64" s="142">
        <v>87108</v>
      </c>
      <c r="BM64" s="142">
        <v>87605</v>
      </c>
      <c r="BN64" s="142">
        <v>88030</v>
      </c>
      <c r="BO64" s="142">
        <v>88395.5</v>
      </c>
      <c r="BP64" s="142">
        <v>88705.5</v>
      </c>
      <c r="BQ64" s="142">
        <v>88960.5</v>
      </c>
      <c r="BR64" s="142">
        <v>89203.5</v>
      </c>
      <c r="BS64" s="142">
        <v>89346</v>
      </c>
      <c r="BT64" s="142">
        <v>89573</v>
      </c>
      <c r="BU64" s="142">
        <v>89745.5</v>
      </c>
      <c r="BV64" s="142">
        <v>89985.5</v>
      </c>
      <c r="BW64" s="142">
        <v>90172.5</v>
      </c>
      <c r="BX64" s="142">
        <v>90427.5</v>
      </c>
      <c r="BY64" s="142">
        <v>90683</v>
      </c>
      <c r="BZ64" s="142">
        <v>91053.5</v>
      </c>
      <c r="CA64" s="142">
        <v>91328</v>
      </c>
      <c r="CB64" s="142">
        <v>91530</v>
      </c>
      <c r="CC64" s="142">
        <v>91776.5</v>
      </c>
      <c r="CD64" s="142">
        <v>91993</v>
      </c>
      <c r="CE64" s="142">
        <v>92188</v>
      </c>
      <c r="CF64" s="142">
        <v>92429</v>
      </c>
      <c r="CG64" s="142">
        <v>92634.5</v>
      </c>
      <c r="CH64" s="142">
        <v>92824</v>
      </c>
      <c r="CI64" s="142">
        <v>93049.5</v>
      </c>
      <c r="CJ64" s="142">
        <v>93188</v>
      </c>
      <c r="CK64" s="142">
        <v>93346</v>
      </c>
      <c r="CL64" s="142">
        <v>93561</v>
      </c>
      <c r="CM64" s="142">
        <v>93695.5</v>
      </c>
      <c r="CN64" s="142">
        <v>93868.5</v>
      </c>
      <c r="CO64" s="142">
        <v>94031.5</v>
      </c>
      <c r="CP64" s="142">
        <v>94187</v>
      </c>
      <c r="CQ64" s="142">
        <v>94339</v>
      </c>
      <c r="CR64" s="142">
        <v>94450.5</v>
      </c>
      <c r="CS64" s="142">
        <v>94598</v>
      </c>
      <c r="CT64" s="142">
        <v>94716</v>
      </c>
      <c r="CU64" s="142">
        <v>94838.5</v>
      </c>
      <c r="CV64" s="142">
        <v>94936.5</v>
      </c>
      <c r="CW64" s="142">
        <v>95050</v>
      </c>
      <c r="CX64" s="142">
        <v>95174.5</v>
      </c>
      <c r="CY64" s="142">
        <v>95263</v>
      </c>
      <c r="CZ64" s="142">
        <v>95350.5</v>
      </c>
      <c r="DA64" s="142">
        <v>95437.5</v>
      </c>
      <c r="DB64" s="142">
        <v>95543.5</v>
      </c>
      <c r="DC64" s="142">
        <v>95643</v>
      </c>
      <c r="DD64" s="142">
        <v>95730.5</v>
      </c>
      <c r="DE64" s="142">
        <v>95813.5</v>
      </c>
      <c r="DF64" s="142">
        <v>95930</v>
      </c>
      <c r="DG64" s="142">
        <v>95999.5</v>
      </c>
      <c r="DH64" s="142">
        <v>96086.5</v>
      </c>
      <c r="DI64" s="142">
        <v>96151.5</v>
      </c>
      <c r="DJ64" s="142">
        <v>96250</v>
      </c>
      <c r="DK64" s="142">
        <v>96324</v>
      </c>
      <c r="DL64" s="142">
        <v>96393.5</v>
      </c>
      <c r="DM64" s="142">
        <v>96476.5</v>
      </c>
      <c r="DN64" s="142">
        <v>96557.5</v>
      </c>
      <c r="DO64" s="142">
        <v>96636.5</v>
      </c>
      <c r="DP64" s="142"/>
      <c r="DQ64" s="142"/>
    </row>
    <row r="65" spans="1:121">
      <c r="A65" s="140">
        <v>63</v>
      </c>
      <c r="B65" s="142"/>
      <c r="C65" s="142"/>
      <c r="D65" s="142"/>
      <c r="E65" s="142"/>
      <c r="F65" s="142"/>
      <c r="G65" s="142"/>
      <c r="H65" s="142"/>
      <c r="I65" s="142"/>
      <c r="J65" s="142"/>
      <c r="K65" s="142"/>
      <c r="L65" s="142"/>
      <c r="M65" s="142"/>
      <c r="N65" s="142"/>
      <c r="O65" s="142"/>
      <c r="P65" s="142"/>
      <c r="Q65" s="142"/>
      <c r="R65" s="142"/>
      <c r="S65" s="142"/>
      <c r="T65" s="142"/>
      <c r="U65" s="142"/>
      <c r="V65" s="142"/>
      <c r="W65" s="142">
        <v>65692.5</v>
      </c>
      <c r="X65" s="142">
        <v>66551.5</v>
      </c>
      <c r="Y65" s="142">
        <v>66695</v>
      </c>
      <c r="Z65" s="142">
        <v>68748</v>
      </c>
      <c r="AA65" s="142">
        <v>69274</v>
      </c>
      <c r="AB65" s="142">
        <v>69962.5</v>
      </c>
      <c r="AC65" s="142">
        <v>70766.5</v>
      </c>
      <c r="AD65" s="142">
        <v>71476</v>
      </c>
      <c r="AE65" s="142">
        <v>71542</v>
      </c>
      <c r="AF65" s="142">
        <v>72696.5</v>
      </c>
      <c r="AG65" s="142">
        <v>73348</v>
      </c>
      <c r="AH65" s="142">
        <v>73812.5</v>
      </c>
      <c r="AI65" s="142">
        <v>74296</v>
      </c>
      <c r="AJ65" s="142">
        <v>75716</v>
      </c>
      <c r="AK65" s="142">
        <v>75967</v>
      </c>
      <c r="AL65" s="142">
        <v>76644</v>
      </c>
      <c r="AM65" s="142">
        <v>77276</v>
      </c>
      <c r="AN65" s="142">
        <v>77942.5</v>
      </c>
      <c r="AO65" s="142">
        <v>78104</v>
      </c>
      <c r="AP65" s="142">
        <v>78456.5</v>
      </c>
      <c r="AQ65" s="142">
        <v>78676</v>
      </c>
      <c r="AR65" s="142">
        <v>78981.5</v>
      </c>
      <c r="AS65" s="142">
        <v>78527.5</v>
      </c>
      <c r="AT65" s="142">
        <v>77934</v>
      </c>
      <c r="AU65" s="142">
        <v>76935.5</v>
      </c>
      <c r="AV65" s="142">
        <v>77344</v>
      </c>
      <c r="AW65" s="142">
        <v>78012.5</v>
      </c>
      <c r="AX65" s="142">
        <v>80044.5</v>
      </c>
      <c r="AY65" s="142">
        <v>81696</v>
      </c>
      <c r="AZ65" s="142">
        <v>81749</v>
      </c>
      <c r="BA65" s="142">
        <v>81866.5</v>
      </c>
      <c r="BB65" s="142">
        <v>82518.5</v>
      </c>
      <c r="BC65" s="142">
        <v>82795.5</v>
      </c>
      <c r="BD65" s="142">
        <v>83242.5</v>
      </c>
      <c r="BE65" s="142">
        <v>83461.5</v>
      </c>
      <c r="BF65" s="142">
        <v>83980.5</v>
      </c>
      <c r="BG65" s="142">
        <v>84216.5</v>
      </c>
      <c r="BH65" s="142">
        <v>84746</v>
      </c>
      <c r="BI65" s="142">
        <v>85067.5</v>
      </c>
      <c r="BJ65" s="142">
        <v>85444</v>
      </c>
      <c r="BK65" s="142">
        <v>85925.5</v>
      </c>
      <c r="BL65" s="142">
        <v>86455.5</v>
      </c>
      <c r="BM65" s="142">
        <v>86962.5</v>
      </c>
      <c r="BN65" s="142">
        <v>87396.5</v>
      </c>
      <c r="BO65" s="142">
        <v>87771</v>
      </c>
      <c r="BP65" s="142">
        <v>88091.5</v>
      </c>
      <c r="BQ65" s="142">
        <v>88357</v>
      </c>
      <c r="BR65" s="142">
        <v>88610</v>
      </c>
      <c r="BS65" s="142">
        <v>88763</v>
      </c>
      <c r="BT65" s="142">
        <v>88999.5</v>
      </c>
      <c r="BU65" s="142">
        <v>89182.5</v>
      </c>
      <c r="BV65" s="142">
        <v>89432</v>
      </c>
      <c r="BW65" s="142">
        <v>89629</v>
      </c>
      <c r="BX65" s="142">
        <v>89893</v>
      </c>
      <c r="BY65" s="142">
        <v>90157</v>
      </c>
      <c r="BZ65" s="142">
        <v>90536</v>
      </c>
      <c r="CA65" s="142">
        <v>90819</v>
      </c>
      <c r="CB65" s="142">
        <v>91030.5</v>
      </c>
      <c r="CC65" s="142">
        <v>91284.5</v>
      </c>
      <c r="CD65" s="142">
        <v>91509.5</v>
      </c>
      <c r="CE65" s="142">
        <v>91712.5</v>
      </c>
      <c r="CF65" s="142">
        <v>91962.5</v>
      </c>
      <c r="CG65" s="142">
        <v>92176</v>
      </c>
      <c r="CH65" s="142">
        <v>92373.5</v>
      </c>
      <c r="CI65" s="142">
        <v>92606.5</v>
      </c>
      <c r="CJ65" s="142">
        <v>92753</v>
      </c>
      <c r="CK65" s="142">
        <v>92919.5</v>
      </c>
      <c r="CL65" s="142">
        <v>93141.5</v>
      </c>
      <c r="CM65" s="142">
        <v>93283</v>
      </c>
      <c r="CN65" s="142">
        <v>93464</v>
      </c>
      <c r="CO65" s="142">
        <v>93634</v>
      </c>
      <c r="CP65" s="142">
        <v>93797</v>
      </c>
      <c r="CQ65" s="142">
        <v>93955.5</v>
      </c>
      <c r="CR65" s="142">
        <v>94074</v>
      </c>
      <c r="CS65" s="142">
        <v>94228.5</v>
      </c>
      <c r="CT65" s="142">
        <v>94352.5</v>
      </c>
      <c r="CU65" s="142">
        <v>94482</v>
      </c>
      <c r="CV65" s="142">
        <v>94587</v>
      </c>
      <c r="CW65" s="142">
        <v>94707</v>
      </c>
      <c r="CX65" s="142">
        <v>94837.5</v>
      </c>
      <c r="CY65" s="142">
        <v>94932.5</v>
      </c>
      <c r="CZ65" s="142">
        <v>95026.5</v>
      </c>
      <c r="DA65" s="142">
        <v>95119.5</v>
      </c>
      <c r="DB65" s="142">
        <v>95231</v>
      </c>
      <c r="DC65" s="142">
        <v>95337</v>
      </c>
      <c r="DD65" s="142">
        <v>95429.5</v>
      </c>
      <c r="DE65" s="142">
        <v>95518</v>
      </c>
      <c r="DF65" s="142">
        <v>95640.5</v>
      </c>
      <c r="DG65" s="142">
        <v>95715</v>
      </c>
      <c r="DH65" s="142">
        <v>95807.5</v>
      </c>
      <c r="DI65" s="142">
        <v>95878.5</v>
      </c>
      <c r="DJ65" s="142">
        <v>95981.5</v>
      </c>
      <c r="DK65" s="142">
        <v>96061</v>
      </c>
      <c r="DL65" s="142">
        <v>96135</v>
      </c>
      <c r="DM65" s="142">
        <v>96223.5</v>
      </c>
      <c r="DN65" s="142">
        <v>96309</v>
      </c>
      <c r="DO65" s="142">
        <v>96392.5</v>
      </c>
      <c r="DP65" s="142"/>
      <c r="DQ65" s="142"/>
    </row>
    <row r="66" spans="1:121">
      <c r="A66" s="140">
        <v>64</v>
      </c>
      <c r="B66" s="142"/>
      <c r="C66" s="142"/>
      <c r="D66" s="142"/>
      <c r="E66" s="142"/>
      <c r="F66" s="142"/>
      <c r="G66" s="142"/>
      <c r="H66" s="142"/>
      <c r="I66" s="142"/>
      <c r="J66" s="142"/>
      <c r="K66" s="142"/>
      <c r="L66" s="142"/>
      <c r="M66" s="142"/>
      <c r="N66" s="142"/>
      <c r="O66" s="142"/>
      <c r="P66" s="142"/>
      <c r="Q66" s="142"/>
      <c r="R66" s="142"/>
      <c r="S66" s="142"/>
      <c r="T66" s="142"/>
      <c r="U66" s="142"/>
      <c r="V66" s="142"/>
      <c r="W66" s="142">
        <v>64597</v>
      </c>
      <c r="X66" s="142">
        <v>65496.5</v>
      </c>
      <c r="Y66" s="142">
        <v>65654.5</v>
      </c>
      <c r="Z66" s="142">
        <v>67688</v>
      </c>
      <c r="AA66" s="142">
        <v>68250</v>
      </c>
      <c r="AB66" s="142">
        <v>68914</v>
      </c>
      <c r="AC66" s="142">
        <v>69709</v>
      </c>
      <c r="AD66" s="142">
        <v>70408</v>
      </c>
      <c r="AE66" s="142">
        <v>70499</v>
      </c>
      <c r="AF66" s="142">
        <v>71642</v>
      </c>
      <c r="AG66" s="142">
        <v>72322</v>
      </c>
      <c r="AH66" s="142">
        <v>72795.5</v>
      </c>
      <c r="AI66" s="142">
        <v>73321.5</v>
      </c>
      <c r="AJ66" s="142">
        <v>74759.5</v>
      </c>
      <c r="AK66" s="142">
        <v>75053.5</v>
      </c>
      <c r="AL66" s="142">
        <v>75750</v>
      </c>
      <c r="AM66" s="142">
        <v>76437</v>
      </c>
      <c r="AN66" s="142">
        <v>77100</v>
      </c>
      <c r="AO66" s="142">
        <v>77276</v>
      </c>
      <c r="AP66" s="142">
        <v>77657.5</v>
      </c>
      <c r="AQ66" s="142">
        <v>77884.5</v>
      </c>
      <c r="AR66" s="142">
        <v>78218</v>
      </c>
      <c r="AS66" s="142">
        <v>77760.5</v>
      </c>
      <c r="AT66" s="142">
        <v>77161.5</v>
      </c>
      <c r="AU66" s="142">
        <v>76171.5</v>
      </c>
      <c r="AV66" s="142">
        <v>76581.5</v>
      </c>
      <c r="AW66" s="142">
        <v>77257.5</v>
      </c>
      <c r="AX66" s="142">
        <v>79273</v>
      </c>
      <c r="AY66" s="142">
        <v>80904.5</v>
      </c>
      <c r="AZ66" s="142">
        <v>80985.5</v>
      </c>
      <c r="BA66" s="142">
        <v>81065</v>
      </c>
      <c r="BB66" s="142">
        <v>81721</v>
      </c>
      <c r="BC66" s="142">
        <v>82011.5</v>
      </c>
      <c r="BD66" s="142">
        <v>82469</v>
      </c>
      <c r="BE66" s="142">
        <v>82701</v>
      </c>
      <c r="BF66" s="142">
        <v>83230.5</v>
      </c>
      <c r="BG66" s="142">
        <v>83479.5</v>
      </c>
      <c r="BH66" s="142">
        <v>84018.5</v>
      </c>
      <c r="BI66" s="142">
        <v>84350.5</v>
      </c>
      <c r="BJ66" s="142">
        <v>84738</v>
      </c>
      <c r="BK66" s="142">
        <v>85229.5</v>
      </c>
      <c r="BL66" s="142">
        <v>85769.5</v>
      </c>
      <c r="BM66" s="142">
        <v>86285</v>
      </c>
      <c r="BN66" s="142">
        <v>86729</v>
      </c>
      <c r="BO66" s="142">
        <v>87113.5</v>
      </c>
      <c r="BP66" s="142">
        <v>87444.5</v>
      </c>
      <c r="BQ66" s="142">
        <v>87721</v>
      </c>
      <c r="BR66" s="142">
        <v>87984.5</v>
      </c>
      <c r="BS66" s="142">
        <v>88148.5</v>
      </c>
      <c r="BT66" s="142">
        <v>88396.5</v>
      </c>
      <c r="BU66" s="142">
        <v>88589.5</v>
      </c>
      <c r="BV66" s="142">
        <v>88849</v>
      </c>
      <c r="BW66" s="142">
        <v>89056</v>
      </c>
      <c r="BX66" s="142">
        <v>89329.5</v>
      </c>
      <c r="BY66" s="142">
        <v>89603.5</v>
      </c>
      <c r="BZ66" s="142">
        <v>89991</v>
      </c>
      <c r="CA66" s="142">
        <v>90283</v>
      </c>
      <c r="CB66" s="142">
        <v>90503.5</v>
      </c>
      <c r="CC66" s="142">
        <v>90767</v>
      </c>
      <c r="CD66" s="142">
        <v>91000.5</v>
      </c>
      <c r="CE66" s="142">
        <v>91213</v>
      </c>
      <c r="CF66" s="142">
        <v>91470.5</v>
      </c>
      <c r="CG66" s="142">
        <v>91692.5</v>
      </c>
      <c r="CH66" s="142">
        <v>91899</v>
      </c>
      <c r="CI66" s="142">
        <v>92140</v>
      </c>
      <c r="CJ66" s="142">
        <v>92295</v>
      </c>
      <c r="CK66" s="142">
        <v>92469.5</v>
      </c>
      <c r="CL66" s="142">
        <v>92699.5</v>
      </c>
      <c r="CM66" s="142">
        <v>92849</v>
      </c>
      <c r="CN66" s="142">
        <v>93037.5</v>
      </c>
      <c r="CO66" s="142">
        <v>93215</v>
      </c>
      <c r="CP66" s="142">
        <v>93386</v>
      </c>
      <c r="CQ66" s="142">
        <v>93552</v>
      </c>
      <c r="CR66" s="142">
        <v>93677.5</v>
      </c>
      <c r="CS66" s="142">
        <v>93839.5</v>
      </c>
      <c r="CT66" s="142">
        <v>93971</v>
      </c>
      <c r="CU66" s="142">
        <v>94107</v>
      </c>
      <c r="CV66" s="142">
        <v>94219.5</v>
      </c>
      <c r="CW66" s="142">
        <v>94346</v>
      </c>
      <c r="CX66" s="142">
        <v>94483.5</v>
      </c>
      <c r="CY66" s="142">
        <v>94585</v>
      </c>
      <c r="CZ66" s="142">
        <v>94685.5</v>
      </c>
      <c r="DA66" s="142">
        <v>94784.5</v>
      </c>
      <c r="DB66" s="142">
        <v>94902.5</v>
      </c>
      <c r="DC66" s="142">
        <v>95014</v>
      </c>
      <c r="DD66" s="142">
        <v>95113.5</v>
      </c>
      <c r="DE66" s="142">
        <v>95207.5</v>
      </c>
      <c r="DF66" s="142">
        <v>95335.5</v>
      </c>
      <c r="DG66" s="142">
        <v>95416.5</v>
      </c>
      <c r="DH66" s="142">
        <v>95514.5</v>
      </c>
      <c r="DI66" s="142">
        <v>95590.5</v>
      </c>
      <c r="DJ66" s="142">
        <v>95699</v>
      </c>
      <c r="DK66" s="142">
        <v>95784</v>
      </c>
      <c r="DL66" s="142">
        <v>95863.5</v>
      </c>
      <c r="DM66" s="142">
        <v>95956.5</v>
      </c>
      <c r="DN66" s="142">
        <v>96047.5</v>
      </c>
      <c r="DO66" s="142">
        <v>96136</v>
      </c>
      <c r="DP66" s="142"/>
      <c r="DQ66" s="142"/>
    </row>
    <row r="67" spans="1:121">
      <c r="A67" s="140">
        <v>65</v>
      </c>
      <c r="B67" s="142"/>
      <c r="C67" s="142"/>
      <c r="D67" s="142"/>
      <c r="E67" s="142"/>
      <c r="F67" s="142"/>
      <c r="G67" s="142"/>
      <c r="H67" s="142"/>
      <c r="I67" s="142"/>
      <c r="J67" s="142"/>
      <c r="K67" s="142"/>
      <c r="L67" s="142"/>
      <c r="M67" s="142"/>
      <c r="N67" s="142"/>
      <c r="O67" s="142"/>
      <c r="P67" s="142"/>
      <c r="Q67" s="142"/>
      <c r="R67" s="142"/>
      <c r="S67" s="142"/>
      <c r="T67" s="142"/>
      <c r="U67" s="142"/>
      <c r="V67" s="142"/>
      <c r="W67" s="142">
        <v>63479</v>
      </c>
      <c r="X67" s="142">
        <v>64387</v>
      </c>
      <c r="Y67" s="142">
        <v>64563</v>
      </c>
      <c r="Z67" s="142">
        <v>66599</v>
      </c>
      <c r="AA67" s="142">
        <v>67137.5</v>
      </c>
      <c r="AB67" s="142">
        <v>67799.5</v>
      </c>
      <c r="AC67" s="142">
        <v>68585.5</v>
      </c>
      <c r="AD67" s="142">
        <v>69276</v>
      </c>
      <c r="AE67" s="142">
        <v>69383.5</v>
      </c>
      <c r="AF67" s="142">
        <v>70537.5</v>
      </c>
      <c r="AG67" s="142">
        <v>71226.5</v>
      </c>
      <c r="AH67" s="142">
        <v>71747.5</v>
      </c>
      <c r="AI67" s="142">
        <v>72311.5</v>
      </c>
      <c r="AJ67" s="142">
        <v>73779</v>
      </c>
      <c r="AK67" s="142">
        <v>74091</v>
      </c>
      <c r="AL67" s="142">
        <v>74837.5</v>
      </c>
      <c r="AM67" s="142">
        <v>75548.5</v>
      </c>
      <c r="AN67" s="142">
        <v>76213.5</v>
      </c>
      <c r="AO67" s="142">
        <v>76420.5</v>
      </c>
      <c r="AP67" s="142">
        <v>76825.5</v>
      </c>
      <c r="AQ67" s="142">
        <v>77075.5</v>
      </c>
      <c r="AR67" s="142">
        <v>77404.5</v>
      </c>
      <c r="AS67" s="142">
        <v>76948</v>
      </c>
      <c r="AT67" s="142">
        <v>76350.5</v>
      </c>
      <c r="AU67" s="142">
        <v>75363</v>
      </c>
      <c r="AV67" s="142">
        <v>75754</v>
      </c>
      <c r="AW67" s="142">
        <v>76447.5</v>
      </c>
      <c r="AX67" s="142">
        <v>78416.5</v>
      </c>
      <c r="AY67" s="142">
        <v>80071.5</v>
      </c>
      <c r="AZ67" s="142">
        <v>80120.5</v>
      </c>
      <c r="BA67" s="142">
        <v>80217.5</v>
      </c>
      <c r="BB67" s="142">
        <v>80883</v>
      </c>
      <c r="BC67" s="142">
        <v>81187.5</v>
      </c>
      <c r="BD67" s="142">
        <v>81656.5</v>
      </c>
      <c r="BE67" s="142">
        <v>81902</v>
      </c>
      <c r="BF67" s="142">
        <v>82442</v>
      </c>
      <c r="BG67" s="142">
        <v>82704.5</v>
      </c>
      <c r="BH67" s="142">
        <v>83254</v>
      </c>
      <c r="BI67" s="142">
        <v>83598</v>
      </c>
      <c r="BJ67" s="142">
        <v>83996.5</v>
      </c>
      <c r="BK67" s="142">
        <v>84498.5</v>
      </c>
      <c r="BL67" s="142">
        <v>85047</v>
      </c>
      <c r="BM67" s="142">
        <v>85572.5</v>
      </c>
      <c r="BN67" s="142">
        <v>86027</v>
      </c>
      <c r="BO67" s="142">
        <v>86422.5</v>
      </c>
      <c r="BP67" s="142">
        <v>86764.5</v>
      </c>
      <c r="BQ67" s="142">
        <v>87052</v>
      </c>
      <c r="BR67" s="142">
        <v>87327</v>
      </c>
      <c r="BS67" s="142">
        <v>87503</v>
      </c>
      <c r="BT67" s="142">
        <v>87761.5</v>
      </c>
      <c r="BU67" s="142">
        <v>87966</v>
      </c>
      <c r="BV67" s="142">
        <v>88236</v>
      </c>
      <c r="BW67" s="142">
        <v>88453.5</v>
      </c>
      <c r="BX67" s="142">
        <v>88737.5</v>
      </c>
      <c r="BY67" s="142">
        <v>89021</v>
      </c>
      <c r="BZ67" s="142">
        <v>89417.5</v>
      </c>
      <c r="CA67" s="142">
        <v>89719</v>
      </c>
      <c r="CB67" s="142">
        <v>89949.5</v>
      </c>
      <c r="CC67" s="142">
        <v>90222</v>
      </c>
      <c r="CD67" s="142">
        <v>90465</v>
      </c>
      <c r="CE67" s="142">
        <v>90686.5</v>
      </c>
      <c r="CF67" s="142">
        <v>90953.5</v>
      </c>
      <c r="CG67" s="142">
        <v>91184.5</v>
      </c>
      <c r="CH67" s="142">
        <v>91399.5</v>
      </c>
      <c r="CI67" s="142">
        <v>91649</v>
      </c>
      <c r="CJ67" s="142">
        <v>91813</v>
      </c>
      <c r="CK67" s="142">
        <v>91996.5</v>
      </c>
      <c r="CL67" s="142">
        <v>92235</v>
      </c>
      <c r="CM67" s="142">
        <v>92393</v>
      </c>
      <c r="CN67" s="142">
        <v>92589</v>
      </c>
      <c r="CO67" s="142">
        <v>92775</v>
      </c>
      <c r="CP67" s="142">
        <v>92953.5</v>
      </c>
      <c r="CQ67" s="142">
        <v>93127.5</v>
      </c>
      <c r="CR67" s="142">
        <v>93261.5</v>
      </c>
      <c r="CS67" s="142">
        <v>93430.5</v>
      </c>
      <c r="CT67" s="142">
        <v>93569.5</v>
      </c>
      <c r="CU67" s="142">
        <v>93713</v>
      </c>
      <c r="CV67" s="142">
        <v>93832.5</v>
      </c>
      <c r="CW67" s="142">
        <v>93966.5</v>
      </c>
      <c r="CX67" s="142">
        <v>94110.5</v>
      </c>
      <c r="CY67" s="142">
        <v>94219</v>
      </c>
      <c r="CZ67" s="142">
        <v>94326.5</v>
      </c>
      <c r="DA67" s="142">
        <v>94432.5</v>
      </c>
      <c r="DB67" s="142">
        <v>94557.5</v>
      </c>
      <c r="DC67" s="142">
        <v>94675</v>
      </c>
      <c r="DD67" s="142">
        <v>94781</v>
      </c>
      <c r="DE67" s="142">
        <v>94881.5</v>
      </c>
      <c r="DF67" s="142">
        <v>95015.5</v>
      </c>
      <c r="DG67" s="142">
        <v>95102</v>
      </c>
      <c r="DH67" s="142">
        <v>95206</v>
      </c>
      <c r="DI67" s="142">
        <v>95288</v>
      </c>
      <c r="DJ67" s="142">
        <v>95402.5</v>
      </c>
      <c r="DK67" s="142">
        <v>95493</v>
      </c>
      <c r="DL67" s="142">
        <v>95578</v>
      </c>
      <c r="DM67" s="142">
        <v>95676.5</v>
      </c>
      <c r="DN67" s="142">
        <v>95772.5</v>
      </c>
      <c r="DO67" s="142">
        <v>95867</v>
      </c>
      <c r="DP67" s="142"/>
      <c r="DQ67" s="142"/>
    </row>
    <row r="68" spans="1:121">
      <c r="A68" s="140">
        <v>66</v>
      </c>
      <c r="B68" s="142"/>
      <c r="C68" s="142"/>
      <c r="D68" s="142"/>
      <c r="E68" s="142"/>
      <c r="F68" s="142"/>
      <c r="G68" s="142"/>
      <c r="H68" s="142"/>
      <c r="I68" s="142"/>
      <c r="J68" s="142"/>
      <c r="K68" s="142"/>
      <c r="L68" s="142"/>
      <c r="M68" s="142"/>
      <c r="N68" s="142"/>
      <c r="O68" s="142"/>
      <c r="P68" s="142"/>
      <c r="Q68" s="142"/>
      <c r="R68" s="142"/>
      <c r="S68" s="142"/>
      <c r="T68" s="142"/>
      <c r="U68" s="142"/>
      <c r="V68" s="142"/>
      <c r="W68" s="142">
        <v>62264.5</v>
      </c>
      <c r="X68" s="142">
        <v>63220</v>
      </c>
      <c r="Y68" s="142">
        <v>63397</v>
      </c>
      <c r="Z68" s="142">
        <v>65381</v>
      </c>
      <c r="AA68" s="142">
        <v>65944</v>
      </c>
      <c r="AB68" s="142">
        <v>66635.5</v>
      </c>
      <c r="AC68" s="142">
        <v>67420</v>
      </c>
      <c r="AD68" s="142">
        <v>68095</v>
      </c>
      <c r="AE68" s="142">
        <v>68218.5</v>
      </c>
      <c r="AF68" s="142">
        <v>69350.5</v>
      </c>
      <c r="AG68" s="142">
        <v>70078.5</v>
      </c>
      <c r="AH68" s="142">
        <v>70660</v>
      </c>
      <c r="AI68" s="142">
        <v>71247</v>
      </c>
      <c r="AJ68" s="142">
        <v>72730</v>
      </c>
      <c r="AK68" s="142">
        <v>73103</v>
      </c>
      <c r="AL68" s="142">
        <v>73856</v>
      </c>
      <c r="AM68" s="142">
        <v>74577.5</v>
      </c>
      <c r="AN68" s="142">
        <v>75287</v>
      </c>
      <c r="AO68" s="142">
        <v>75512.5</v>
      </c>
      <c r="AP68" s="142">
        <v>75943.5</v>
      </c>
      <c r="AQ68" s="142">
        <v>76197.5</v>
      </c>
      <c r="AR68" s="142">
        <v>76536.5</v>
      </c>
      <c r="AS68" s="142">
        <v>76072.5</v>
      </c>
      <c r="AT68" s="142">
        <v>75498.5</v>
      </c>
      <c r="AU68" s="142">
        <v>74504</v>
      </c>
      <c r="AV68" s="142">
        <v>74869.5</v>
      </c>
      <c r="AW68" s="142">
        <v>75573.5</v>
      </c>
      <c r="AX68" s="142">
        <v>77543.5</v>
      </c>
      <c r="AY68" s="142">
        <v>79150.5</v>
      </c>
      <c r="AZ68" s="142">
        <v>79214.5</v>
      </c>
      <c r="BA68" s="142">
        <v>79329</v>
      </c>
      <c r="BB68" s="142">
        <v>80005</v>
      </c>
      <c r="BC68" s="142">
        <v>80323.5</v>
      </c>
      <c r="BD68" s="142">
        <v>80804.5</v>
      </c>
      <c r="BE68" s="142">
        <v>81065</v>
      </c>
      <c r="BF68" s="142">
        <v>81615</v>
      </c>
      <c r="BG68" s="142">
        <v>81892</v>
      </c>
      <c r="BH68" s="142">
        <v>82451</v>
      </c>
      <c r="BI68" s="142">
        <v>82807.5</v>
      </c>
      <c r="BJ68" s="142">
        <v>83218.5</v>
      </c>
      <c r="BK68" s="142">
        <v>83730.5</v>
      </c>
      <c r="BL68" s="142">
        <v>84290</v>
      </c>
      <c r="BM68" s="142">
        <v>84825.5</v>
      </c>
      <c r="BN68" s="142">
        <v>85290</v>
      </c>
      <c r="BO68" s="142">
        <v>85697</v>
      </c>
      <c r="BP68" s="142">
        <v>86051</v>
      </c>
      <c r="BQ68" s="142">
        <v>86349.5</v>
      </c>
      <c r="BR68" s="142">
        <v>86636.5</v>
      </c>
      <c r="BS68" s="142">
        <v>86824.5</v>
      </c>
      <c r="BT68" s="142">
        <v>87095</v>
      </c>
      <c r="BU68" s="142">
        <v>87311</v>
      </c>
      <c r="BV68" s="142">
        <v>87592</v>
      </c>
      <c r="BW68" s="142">
        <v>87821</v>
      </c>
      <c r="BX68" s="142">
        <v>88115.5</v>
      </c>
      <c r="BY68" s="142">
        <v>88409.5</v>
      </c>
      <c r="BZ68" s="142">
        <v>88815</v>
      </c>
      <c r="CA68" s="142">
        <v>89126.5</v>
      </c>
      <c r="CB68" s="142">
        <v>89367.5</v>
      </c>
      <c r="CC68" s="142">
        <v>89650</v>
      </c>
      <c r="CD68" s="142">
        <v>89902.5</v>
      </c>
      <c r="CE68" s="142">
        <v>90134.5</v>
      </c>
      <c r="CF68" s="142">
        <v>90410</v>
      </c>
      <c r="CG68" s="142">
        <v>90650.5</v>
      </c>
      <c r="CH68" s="142">
        <v>90875</v>
      </c>
      <c r="CI68" s="142">
        <v>91133.5</v>
      </c>
      <c r="CJ68" s="142">
        <v>91307</v>
      </c>
      <c r="CK68" s="142">
        <v>91499</v>
      </c>
      <c r="CL68" s="142">
        <v>91746.5</v>
      </c>
      <c r="CM68" s="142">
        <v>91913</v>
      </c>
      <c r="CN68" s="142">
        <v>92118.5</v>
      </c>
      <c r="CO68" s="142">
        <v>92312.5</v>
      </c>
      <c r="CP68" s="142">
        <v>92499.5</v>
      </c>
      <c r="CQ68" s="142">
        <v>92681.5</v>
      </c>
      <c r="CR68" s="142">
        <v>92823.5</v>
      </c>
      <c r="CS68" s="142">
        <v>93000.5</v>
      </c>
      <c r="CT68" s="142">
        <v>93147.5</v>
      </c>
      <c r="CU68" s="142">
        <v>93299.5</v>
      </c>
      <c r="CV68" s="142">
        <v>93426.5</v>
      </c>
      <c r="CW68" s="142">
        <v>93567.5</v>
      </c>
      <c r="CX68" s="142">
        <v>93719.5</v>
      </c>
      <c r="CY68" s="142">
        <v>93835</v>
      </c>
      <c r="CZ68" s="142">
        <v>93949.5</v>
      </c>
      <c r="DA68" s="142">
        <v>94062.5</v>
      </c>
      <c r="DB68" s="142">
        <v>94194.5</v>
      </c>
      <c r="DC68" s="142">
        <v>94319</v>
      </c>
      <c r="DD68" s="142">
        <v>94431.5</v>
      </c>
      <c r="DE68" s="142">
        <v>94539</v>
      </c>
      <c r="DF68" s="142">
        <v>94679.5</v>
      </c>
      <c r="DG68" s="142">
        <v>94772.5</v>
      </c>
      <c r="DH68" s="142">
        <v>94882.5</v>
      </c>
      <c r="DI68" s="142">
        <v>94971</v>
      </c>
      <c r="DJ68" s="142">
        <v>95091</v>
      </c>
      <c r="DK68" s="142">
        <v>95187.5</v>
      </c>
      <c r="DL68" s="142">
        <v>95278</v>
      </c>
      <c r="DM68" s="142">
        <v>95382.5</v>
      </c>
      <c r="DN68" s="142">
        <v>95484.5</v>
      </c>
      <c r="DO68" s="142">
        <v>95584</v>
      </c>
      <c r="DP68" s="142"/>
      <c r="DQ68" s="142"/>
    </row>
    <row r="69" spans="1:121">
      <c r="A69" s="140">
        <v>67</v>
      </c>
      <c r="B69" s="142"/>
      <c r="C69" s="142"/>
      <c r="D69" s="142"/>
      <c r="E69" s="142"/>
      <c r="F69" s="142"/>
      <c r="G69" s="142"/>
      <c r="H69" s="142"/>
      <c r="I69" s="142"/>
      <c r="J69" s="142"/>
      <c r="K69" s="142"/>
      <c r="L69" s="142"/>
      <c r="M69" s="142"/>
      <c r="N69" s="142"/>
      <c r="O69" s="142"/>
      <c r="P69" s="142"/>
      <c r="Q69" s="142"/>
      <c r="R69" s="142"/>
      <c r="S69" s="142"/>
      <c r="T69" s="142"/>
      <c r="U69" s="142"/>
      <c r="V69" s="142"/>
      <c r="W69" s="142">
        <v>61013.5</v>
      </c>
      <c r="X69" s="142">
        <v>61973.5</v>
      </c>
      <c r="Y69" s="142">
        <v>62137.5</v>
      </c>
      <c r="Z69" s="142">
        <v>64101</v>
      </c>
      <c r="AA69" s="142">
        <v>64695</v>
      </c>
      <c r="AB69" s="142">
        <v>65398</v>
      </c>
      <c r="AC69" s="142">
        <v>66172</v>
      </c>
      <c r="AD69" s="142">
        <v>66856.5</v>
      </c>
      <c r="AE69" s="142">
        <v>66971</v>
      </c>
      <c r="AF69" s="142">
        <v>68171</v>
      </c>
      <c r="AG69" s="142">
        <v>68907</v>
      </c>
      <c r="AH69" s="142">
        <v>69515.5</v>
      </c>
      <c r="AI69" s="142">
        <v>70127</v>
      </c>
      <c r="AJ69" s="142">
        <v>71657.5</v>
      </c>
      <c r="AK69" s="142">
        <v>72034</v>
      </c>
      <c r="AL69" s="142">
        <v>72823.5</v>
      </c>
      <c r="AM69" s="142">
        <v>73574.5</v>
      </c>
      <c r="AN69" s="142">
        <v>74315</v>
      </c>
      <c r="AO69" s="142">
        <v>74574</v>
      </c>
      <c r="AP69" s="142">
        <v>75006.5</v>
      </c>
      <c r="AQ69" s="142">
        <v>75257</v>
      </c>
      <c r="AR69" s="142">
        <v>75608</v>
      </c>
      <c r="AS69" s="142">
        <v>75159.5</v>
      </c>
      <c r="AT69" s="142">
        <v>74551.5</v>
      </c>
      <c r="AU69" s="142">
        <v>73598</v>
      </c>
      <c r="AV69" s="142">
        <v>73924</v>
      </c>
      <c r="AW69" s="142">
        <v>74651.5</v>
      </c>
      <c r="AX69" s="142">
        <v>76572</v>
      </c>
      <c r="AY69" s="142">
        <v>78183.5</v>
      </c>
      <c r="AZ69" s="142">
        <v>78267</v>
      </c>
      <c r="BA69" s="142">
        <v>78399</v>
      </c>
      <c r="BB69" s="142">
        <v>79085.5</v>
      </c>
      <c r="BC69" s="142">
        <v>79418.5</v>
      </c>
      <c r="BD69" s="142">
        <v>79911.5</v>
      </c>
      <c r="BE69" s="142">
        <v>80187</v>
      </c>
      <c r="BF69" s="142">
        <v>80749</v>
      </c>
      <c r="BG69" s="142">
        <v>81040.5</v>
      </c>
      <c r="BH69" s="142">
        <v>81610.5</v>
      </c>
      <c r="BI69" s="142">
        <v>81979.5</v>
      </c>
      <c r="BJ69" s="142">
        <v>82402.5</v>
      </c>
      <c r="BK69" s="142">
        <v>82926</v>
      </c>
      <c r="BL69" s="142">
        <v>83495.5</v>
      </c>
      <c r="BM69" s="142">
        <v>84041.5</v>
      </c>
      <c r="BN69" s="142">
        <v>84518</v>
      </c>
      <c r="BO69" s="142">
        <v>84935.5</v>
      </c>
      <c r="BP69" s="142">
        <v>85301.5</v>
      </c>
      <c r="BQ69" s="142">
        <v>85613</v>
      </c>
      <c r="BR69" s="142">
        <v>85912</v>
      </c>
      <c r="BS69" s="142">
        <v>86113</v>
      </c>
      <c r="BT69" s="142">
        <v>86395.5</v>
      </c>
      <c r="BU69" s="142">
        <v>86623.5</v>
      </c>
      <c r="BV69" s="142">
        <v>86916.5</v>
      </c>
      <c r="BW69" s="142">
        <v>87157</v>
      </c>
      <c r="BX69" s="142">
        <v>87462.5</v>
      </c>
      <c r="BY69" s="142">
        <v>87767</v>
      </c>
      <c r="BZ69" s="142">
        <v>88183</v>
      </c>
      <c r="CA69" s="142">
        <v>88505</v>
      </c>
      <c r="CB69" s="142">
        <v>88756.5</v>
      </c>
      <c r="CC69" s="142">
        <v>89049</v>
      </c>
      <c r="CD69" s="142">
        <v>89312</v>
      </c>
      <c r="CE69" s="142">
        <v>89554</v>
      </c>
      <c r="CF69" s="142">
        <v>89839.5</v>
      </c>
      <c r="CG69" s="142">
        <v>90090</v>
      </c>
      <c r="CH69" s="142">
        <v>90324.5</v>
      </c>
      <c r="CI69" s="142">
        <v>90592.5</v>
      </c>
      <c r="CJ69" s="142">
        <v>90775.5</v>
      </c>
      <c r="CK69" s="142">
        <v>90977.5</v>
      </c>
      <c r="CL69" s="142">
        <v>91234</v>
      </c>
      <c r="CM69" s="142">
        <v>91410</v>
      </c>
      <c r="CN69" s="142">
        <v>91623.5</v>
      </c>
      <c r="CO69" s="142">
        <v>91827</v>
      </c>
      <c r="CP69" s="142">
        <v>92022.5</v>
      </c>
      <c r="CQ69" s="142">
        <v>92213</v>
      </c>
      <c r="CR69" s="142">
        <v>92364</v>
      </c>
      <c r="CS69" s="142">
        <v>92549.5</v>
      </c>
      <c r="CT69" s="142">
        <v>92705</v>
      </c>
      <c r="CU69" s="142">
        <v>92864.5</v>
      </c>
      <c r="CV69" s="142">
        <v>93000</v>
      </c>
      <c r="CW69" s="142">
        <v>93149</v>
      </c>
      <c r="CX69" s="142">
        <v>93308.5</v>
      </c>
      <c r="CY69" s="142">
        <v>93432</v>
      </c>
      <c r="CZ69" s="142">
        <v>93554</v>
      </c>
      <c r="DA69" s="142">
        <v>93675</v>
      </c>
      <c r="DB69" s="142">
        <v>93813.5</v>
      </c>
      <c r="DC69" s="142">
        <v>93945.5</v>
      </c>
      <c r="DD69" s="142">
        <v>94065</v>
      </c>
      <c r="DE69" s="142">
        <v>94179</v>
      </c>
      <c r="DF69" s="142">
        <v>94326.5</v>
      </c>
      <c r="DG69" s="142">
        <v>94426.5</v>
      </c>
      <c r="DH69" s="142">
        <v>94543</v>
      </c>
      <c r="DI69" s="142">
        <v>94637</v>
      </c>
      <c r="DJ69" s="142">
        <v>94764.5</v>
      </c>
      <c r="DK69" s="142">
        <v>94866.5</v>
      </c>
      <c r="DL69" s="142">
        <v>94963.5</v>
      </c>
      <c r="DM69" s="142">
        <v>95074</v>
      </c>
      <c r="DN69" s="142">
        <v>95181.5</v>
      </c>
      <c r="DO69" s="142">
        <v>95287</v>
      </c>
      <c r="DP69" s="142"/>
      <c r="DQ69" s="142"/>
    </row>
    <row r="70" spans="1:121">
      <c r="A70" s="140">
        <v>68</v>
      </c>
      <c r="B70" s="142"/>
      <c r="C70" s="142"/>
      <c r="D70" s="142"/>
      <c r="E70" s="142"/>
      <c r="F70" s="142"/>
      <c r="G70" s="142"/>
      <c r="H70" s="142"/>
      <c r="I70" s="142"/>
      <c r="J70" s="142"/>
      <c r="K70" s="142"/>
      <c r="L70" s="142"/>
      <c r="M70" s="142"/>
      <c r="N70" s="142"/>
      <c r="O70" s="142"/>
      <c r="P70" s="142"/>
      <c r="Q70" s="142"/>
      <c r="R70" s="142"/>
      <c r="S70" s="142"/>
      <c r="T70" s="142"/>
      <c r="U70" s="142"/>
      <c r="V70" s="142"/>
      <c r="W70" s="142">
        <v>59686</v>
      </c>
      <c r="X70" s="142">
        <v>60632</v>
      </c>
      <c r="Y70" s="142">
        <v>60819.5</v>
      </c>
      <c r="Z70" s="142">
        <v>62762.5</v>
      </c>
      <c r="AA70" s="142">
        <v>63385</v>
      </c>
      <c r="AB70" s="142">
        <v>64099.5</v>
      </c>
      <c r="AC70" s="142">
        <v>64847</v>
      </c>
      <c r="AD70" s="142">
        <v>65510.5</v>
      </c>
      <c r="AE70" s="142">
        <v>65705</v>
      </c>
      <c r="AF70" s="142">
        <v>66916.5</v>
      </c>
      <c r="AG70" s="142">
        <v>67674.5</v>
      </c>
      <c r="AH70" s="142">
        <v>68306</v>
      </c>
      <c r="AI70" s="142">
        <v>68974.5</v>
      </c>
      <c r="AJ70" s="142">
        <v>70496</v>
      </c>
      <c r="AK70" s="142">
        <v>70896.5</v>
      </c>
      <c r="AL70" s="142">
        <v>71754.5</v>
      </c>
      <c r="AM70" s="142">
        <v>72525.5</v>
      </c>
      <c r="AN70" s="142">
        <v>73306</v>
      </c>
      <c r="AO70" s="142">
        <v>73593.5</v>
      </c>
      <c r="AP70" s="142">
        <v>74013.5</v>
      </c>
      <c r="AQ70" s="142">
        <v>74266</v>
      </c>
      <c r="AR70" s="142">
        <v>74630</v>
      </c>
      <c r="AS70" s="142">
        <v>74169</v>
      </c>
      <c r="AT70" s="142">
        <v>73572.5</v>
      </c>
      <c r="AU70" s="142">
        <v>72618.5</v>
      </c>
      <c r="AV70" s="142">
        <v>72936.5</v>
      </c>
      <c r="AW70" s="142">
        <v>73662</v>
      </c>
      <c r="AX70" s="142">
        <v>75561.5</v>
      </c>
      <c r="AY70" s="142">
        <v>77172</v>
      </c>
      <c r="AZ70" s="142">
        <v>77275</v>
      </c>
      <c r="BA70" s="142">
        <v>77426</v>
      </c>
      <c r="BB70" s="142">
        <v>78123</v>
      </c>
      <c r="BC70" s="142">
        <v>78472</v>
      </c>
      <c r="BD70" s="142">
        <v>78978</v>
      </c>
      <c r="BE70" s="142">
        <v>79268</v>
      </c>
      <c r="BF70" s="142">
        <v>79841.5</v>
      </c>
      <c r="BG70" s="142">
        <v>80148.5</v>
      </c>
      <c r="BH70" s="142">
        <v>80729</v>
      </c>
      <c r="BI70" s="142">
        <v>81112</v>
      </c>
      <c r="BJ70" s="142">
        <v>81547.5</v>
      </c>
      <c r="BK70" s="142">
        <v>82082.5</v>
      </c>
      <c r="BL70" s="142">
        <v>82663</v>
      </c>
      <c r="BM70" s="142">
        <v>83220</v>
      </c>
      <c r="BN70" s="142">
        <v>83708</v>
      </c>
      <c r="BO70" s="142">
        <v>84138</v>
      </c>
      <c r="BP70" s="142">
        <v>84516.5</v>
      </c>
      <c r="BQ70" s="142">
        <v>84840.5</v>
      </c>
      <c r="BR70" s="142">
        <v>85152</v>
      </c>
      <c r="BS70" s="142">
        <v>85367</v>
      </c>
      <c r="BT70" s="142">
        <v>85661.5</v>
      </c>
      <c r="BU70" s="142">
        <v>85902.5</v>
      </c>
      <c r="BV70" s="142">
        <v>86207</v>
      </c>
      <c r="BW70" s="142">
        <v>86460.5</v>
      </c>
      <c r="BX70" s="142">
        <v>86777.5</v>
      </c>
      <c r="BY70" s="142">
        <v>87093</v>
      </c>
      <c r="BZ70" s="142">
        <v>87519.5</v>
      </c>
      <c r="CA70" s="142">
        <v>87852</v>
      </c>
      <c r="CB70" s="142">
        <v>88115.5</v>
      </c>
      <c r="CC70" s="142">
        <v>88418.5</v>
      </c>
      <c r="CD70" s="142">
        <v>88692</v>
      </c>
      <c r="CE70" s="142">
        <v>88945</v>
      </c>
      <c r="CF70" s="142">
        <v>89240.5</v>
      </c>
      <c r="CG70" s="142">
        <v>89502</v>
      </c>
      <c r="CH70" s="142">
        <v>89746.5</v>
      </c>
      <c r="CI70" s="142">
        <v>90024</v>
      </c>
      <c r="CJ70" s="142">
        <v>90217.5</v>
      </c>
      <c r="CK70" s="142">
        <v>90429.5</v>
      </c>
      <c r="CL70" s="142">
        <v>90695</v>
      </c>
      <c r="CM70" s="142">
        <v>90881</v>
      </c>
      <c r="CN70" s="142">
        <v>91104.5</v>
      </c>
      <c r="CO70" s="142">
        <v>91316.5</v>
      </c>
      <c r="CP70" s="142">
        <v>91522</v>
      </c>
      <c r="CQ70" s="142">
        <v>91721</v>
      </c>
      <c r="CR70" s="142">
        <v>91881</v>
      </c>
      <c r="CS70" s="142">
        <v>92075.5</v>
      </c>
      <c r="CT70" s="142">
        <v>92239.5</v>
      </c>
      <c r="CU70" s="142">
        <v>92407.5</v>
      </c>
      <c r="CV70" s="142">
        <v>92551.5</v>
      </c>
      <c r="CW70" s="142">
        <v>92709</v>
      </c>
      <c r="CX70" s="142">
        <v>92876.5</v>
      </c>
      <c r="CY70" s="142">
        <v>93008.5</v>
      </c>
      <c r="CZ70" s="142">
        <v>93138.5</v>
      </c>
      <c r="DA70" s="142">
        <v>93267</v>
      </c>
      <c r="DB70" s="142">
        <v>93413</v>
      </c>
      <c r="DC70" s="142">
        <v>93553</v>
      </c>
      <c r="DD70" s="142">
        <v>93680</v>
      </c>
      <c r="DE70" s="142">
        <v>93801</v>
      </c>
      <c r="DF70" s="142">
        <v>93955.5</v>
      </c>
      <c r="DG70" s="142">
        <v>94062.5</v>
      </c>
      <c r="DH70" s="142">
        <v>94186</v>
      </c>
      <c r="DI70" s="142">
        <v>94287.5</v>
      </c>
      <c r="DJ70" s="142">
        <v>94420.5</v>
      </c>
      <c r="DK70" s="142">
        <v>94529.5</v>
      </c>
      <c r="DL70" s="142">
        <v>94633</v>
      </c>
      <c r="DM70" s="142">
        <v>94749.5</v>
      </c>
      <c r="DN70" s="142">
        <v>94864</v>
      </c>
      <c r="DO70" s="142">
        <v>94974.5</v>
      </c>
      <c r="DP70" s="142"/>
      <c r="DQ70" s="142"/>
    </row>
    <row r="71" spans="1:121">
      <c r="A71" s="140">
        <v>69</v>
      </c>
      <c r="B71" s="142"/>
      <c r="C71" s="142"/>
      <c r="D71" s="142"/>
      <c r="E71" s="142"/>
      <c r="F71" s="142"/>
      <c r="G71" s="142"/>
      <c r="H71" s="142"/>
      <c r="I71" s="142"/>
      <c r="J71" s="142"/>
      <c r="K71" s="142"/>
      <c r="L71" s="142"/>
      <c r="M71" s="142"/>
      <c r="N71" s="142"/>
      <c r="O71" s="142"/>
      <c r="P71" s="142"/>
      <c r="Q71" s="142"/>
      <c r="R71" s="142"/>
      <c r="S71" s="142"/>
      <c r="T71" s="142"/>
      <c r="U71" s="142"/>
      <c r="V71" s="142"/>
      <c r="W71" s="142">
        <v>58251</v>
      </c>
      <c r="X71" s="142">
        <v>59214</v>
      </c>
      <c r="Y71" s="142">
        <v>59431.5</v>
      </c>
      <c r="Z71" s="142">
        <v>61360.5</v>
      </c>
      <c r="AA71" s="142">
        <v>62005.5</v>
      </c>
      <c r="AB71" s="142">
        <v>62738.5</v>
      </c>
      <c r="AC71" s="142">
        <v>63456</v>
      </c>
      <c r="AD71" s="142">
        <v>64131</v>
      </c>
      <c r="AE71" s="142">
        <v>64370</v>
      </c>
      <c r="AF71" s="142">
        <v>65592.5</v>
      </c>
      <c r="AG71" s="142">
        <v>66373</v>
      </c>
      <c r="AH71" s="142">
        <v>67069</v>
      </c>
      <c r="AI71" s="142">
        <v>67750.5</v>
      </c>
      <c r="AJ71" s="142">
        <v>69250.5</v>
      </c>
      <c r="AK71" s="142">
        <v>69727</v>
      </c>
      <c r="AL71" s="142">
        <v>70626</v>
      </c>
      <c r="AM71" s="142">
        <v>71426</v>
      </c>
      <c r="AN71" s="142">
        <v>72247</v>
      </c>
      <c r="AO71" s="142">
        <v>72527.5</v>
      </c>
      <c r="AP71" s="142">
        <v>72959</v>
      </c>
      <c r="AQ71" s="142">
        <v>73224</v>
      </c>
      <c r="AR71" s="142">
        <v>73570</v>
      </c>
      <c r="AS71" s="142">
        <v>73130.5</v>
      </c>
      <c r="AT71" s="142">
        <v>72490.5</v>
      </c>
      <c r="AU71" s="142">
        <v>71585.5</v>
      </c>
      <c r="AV71" s="142">
        <v>71872.5</v>
      </c>
      <c r="AW71" s="142">
        <v>72613.5</v>
      </c>
      <c r="AX71" s="142">
        <v>74506</v>
      </c>
      <c r="AY71" s="142">
        <v>76115.5</v>
      </c>
      <c r="AZ71" s="142">
        <v>76238.5</v>
      </c>
      <c r="BA71" s="142">
        <v>76409</v>
      </c>
      <c r="BB71" s="142">
        <v>77117</v>
      </c>
      <c r="BC71" s="142">
        <v>77481</v>
      </c>
      <c r="BD71" s="142">
        <v>78000</v>
      </c>
      <c r="BE71" s="142">
        <v>78306</v>
      </c>
      <c r="BF71" s="142">
        <v>78892</v>
      </c>
      <c r="BG71" s="142">
        <v>79214.5</v>
      </c>
      <c r="BH71" s="142">
        <v>79806.5</v>
      </c>
      <c r="BI71" s="142">
        <v>80203.5</v>
      </c>
      <c r="BJ71" s="142">
        <v>80652.5</v>
      </c>
      <c r="BK71" s="142">
        <v>81198.5</v>
      </c>
      <c r="BL71" s="142">
        <v>81790.5</v>
      </c>
      <c r="BM71" s="142">
        <v>82359.5</v>
      </c>
      <c r="BN71" s="142">
        <v>82859.5</v>
      </c>
      <c r="BO71" s="142">
        <v>83301.5</v>
      </c>
      <c r="BP71" s="142">
        <v>83693.5</v>
      </c>
      <c r="BQ71" s="142">
        <v>84030.5</v>
      </c>
      <c r="BR71" s="142">
        <v>84356</v>
      </c>
      <c r="BS71" s="142">
        <v>84584.5</v>
      </c>
      <c r="BT71" s="142">
        <v>84892</v>
      </c>
      <c r="BU71" s="142">
        <v>85146.5</v>
      </c>
      <c r="BV71" s="142">
        <v>85464</v>
      </c>
      <c r="BW71" s="142">
        <v>85729.5</v>
      </c>
      <c r="BX71" s="142">
        <v>86058.5</v>
      </c>
      <c r="BY71" s="142">
        <v>86386</v>
      </c>
      <c r="BZ71" s="142">
        <v>86822.5</v>
      </c>
      <c r="CA71" s="142">
        <v>87167</v>
      </c>
      <c r="CB71" s="142">
        <v>87442</v>
      </c>
      <c r="CC71" s="142">
        <v>87756</v>
      </c>
      <c r="CD71" s="142">
        <v>88041.5</v>
      </c>
      <c r="CE71" s="142">
        <v>88305</v>
      </c>
      <c r="CF71" s="142">
        <v>88612</v>
      </c>
      <c r="CG71" s="142">
        <v>88883.5</v>
      </c>
      <c r="CH71" s="142">
        <v>89139</v>
      </c>
      <c r="CI71" s="142">
        <v>89427</v>
      </c>
      <c r="CJ71" s="142">
        <v>89631.5</v>
      </c>
      <c r="CK71" s="142">
        <v>89853.5</v>
      </c>
      <c r="CL71" s="142">
        <v>90129</v>
      </c>
      <c r="CM71" s="142">
        <v>90325.5</v>
      </c>
      <c r="CN71" s="142">
        <v>90558.5</v>
      </c>
      <c r="CO71" s="142">
        <v>90780.5</v>
      </c>
      <c r="CP71" s="142">
        <v>90995</v>
      </c>
      <c r="CQ71" s="142">
        <v>91204</v>
      </c>
      <c r="CR71" s="142">
        <v>91373.5</v>
      </c>
      <c r="CS71" s="142">
        <v>91577</v>
      </c>
      <c r="CT71" s="142">
        <v>91750</v>
      </c>
      <c r="CU71" s="142">
        <v>91927.5</v>
      </c>
      <c r="CV71" s="142">
        <v>92080</v>
      </c>
      <c r="CW71" s="142">
        <v>92246.5</v>
      </c>
      <c r="CX71" s="142">
        <v>92422.5</v>
      </c>
      <c r="CY71" s="142">
        <v>92562.5</v>
      </c>
      <c r="CZ71" s="142">
        <v>92701.5</v>
      </c>
      <c r="DA71" s="142">
        <v>92838</v>
      </c>
      <c r="DB71" s="142">
        <v>92992</v>
      </c>
      <c r="DC71" s="142">
        <v>93140</v>
      </c>
      <c r="DD71" s="142">
        <v>93274</v>
      </c>
      <c r="DE71" s="142">
        <v>93403.5</v>
      </c>
      <c r="DF71" s="142">
        <v>93565</v>
      </c>
      <c r="DG71" s="142">
        <v>93679.5</v>
      </c>
      <c r="DH71" s="142">
        <v>93810.5</v>
      </c>
      <c r="DI71" s="142">
        <v>93919</v>
      </c>
      <c r="DJ71" s="142">
        <v>94059</v>
      </c>
      <c r="DK71" s="142">
        <v>94175</v>
      </c>
      <c r="DL71" s="142">
        <v>94285.5</v>
      </c>
      <c r="DM71" s="142">
        <v>94408.5</v>
      </c>
      <c r="DN71" s="142">
        <v>94528.5</v>
      </c>
      <c r="DO71" s="142">
        <v>94646.5</v>
      </c>
      <c r="DP71" s="142"/>
      <c r="DQ71" s="142"/>
    </row>
    <row r="72" spans="1:121">
      <c r="A72" s="140">
        <v>70</v>
      </c>
      <c r="B72" s="142"/>
      <c r="C72" s="142"/>
      <c r="D72" s="142"/>
      <c r="E72" s="142"/>
      <c r="F72" s="142"/>
      <c r="G72" s="142"/>
      <c r="H72" s="142"/>
      <c r="I72" s="142"/>
      <c r="J72" s="142"/>
      <c r="K72" s="142"/>
      <c r="L72" s="142"/>
      <c r="M72" s="142"/>
      <c r="N72" s="142"/>
      <c r="O72" s="142"/>
      <c r="P72" s="142"/>
      <c r="Q72" s="142"/>
      <c r="R72" s="142"/>
      <c r="S72" s="142"/>
      <c r="T72" s="142"/>
      <c r="U72" s="142"/>
      <c r="V72" s="142"/>
      <c r="W72" s="142">
        <v>56753.5</v>
      </c>
      <c r="X72" s="142">
        <v>57728.5</v>
      </c>
      <c r="Y72" s="142">
        <v>57980.5</v>
      </c>
      <c r="Z72" s="142">
        <v>59885</v>
      </c>
      <c r="AA72" s="142">
        <v>60551</v>
      </c>
      <c r="AB72" s="142">
        <v>61253</v>
      </c>
      <c r="AC72" s="142">
        <v>62023</v>
      </c>
      <c r="AD72" s="142">
        <v>62712</v>
      </c>
      <c r="AE72" s="142">
        <v>62976</v>
      </c>
      <c r="AF72" s="142">
        <v>64239.5</v>
      </c>
      <c r="AG72" s="142">
        <v>65045.5</v>
      </c>
      <c r="AH72" s="142">
        <v>65765</v>
      </c>
      <c r="AI72" s="142">
        <v>66452.5</v>
      </c>
      <c r="AJ72" s="142">
        <v>67981.5</v>
      </c>
      <c r="AK72" s="142">
        <v>68497</v>
      </c>
      <c r="AL72" s="142">
        <v>69452</v>
      </c>
      <c r="AM72" s="142">
        <v>70286</v>
      </c>
      <c r="AN72" s="142">
        <v>71101</v>
      </c>
      <c r="AO72" s="142">
        <v>71386</v>
      </c>
      <c r="AP72" s="142">
        <v>71845.5</v>
      </c>
      <c r="AQ72" s="142">
        <v>72103.5</v>
      </c>
      <c r="AR72" s="142">
        <v>72456</v>
      </c>
      <c r="AS72" s="142">
        <v>72002</v>
      </c>
      <c r="AT72" s="142">
        <v>71399</v>
      </c>
      <c r="AU72" s="142">
        <v>70466.5</v>
      </c>
      <c r="AV72" s="142">
        <v>70767.5</v>
      </c>
      <c r="AW72" s="142">
        <v>71518.5</v>
      </c>
      <c r="AX72" s="142">
        <v>73404.5</v>
      </c>
      <c r="AY72" s="142">
        <v>75012</v>
      </c>
      <c r="AZ72" s="142">
        <v>75155.5</v>
      </c>
      <c r="BA72" s="142">
        <v>75345.5</v>
      </c>
      <c r="BB72" s="142">
        <v>76065.5</v>
      </c>
      <c r="BC72" s="142">
        <v>76445.5</v>
      </c>
      <c r="BD72" s="142">
        <v>76978</v>
      </c>
      <c r="BE72" s="142">
        <v>77300</v>
      </c>
      <c r="BF72" s="142">
        <v>77898</v>
      </c>
      <c r="BG72" s="142">
        <v>78237</v>
      </c>
      <c r="BH72" s="142">
        <v>78841</v>
      </c>
      <c r="BI72" s="142">
        <v>79252</v>
      </c>
      <c r="BJ72" s="142">
        <v>79714</v>
      </c>
      <c r="BK72" s="142">
        <v>80273</v>
      </c>
      <c r="BL72" s="142">
        <v>80876</v>
      </c>
      <c r="BM72" s="142">
        <v>81457</v>
      </c>
      <c r="BN72" s="142">
        <v>81969.5</v>
      </c>
      <c r="BO72" s="142">
        <v>82424.5</v>
      </c>
      <c r="BP72" s="142">
        <v>82830</v>
      </c>
      <c r="BQ72" s="142">
        <v>83181</v>
      </c>
      <c r="BR72" s="142">
        <v>83520</v>
      </c>
      <c r="BS72" s="142">
        <v>83763.5</v>
      </c>
      <c r="BT72" s="142">
        <v>84084.5</v>
      </c>
      <c r="BU72" s="142">
        <v>84353</v>
      </c>
      <c r="BV72" s="142">
        <v>84683</v>
      </c>
      <c r="BW72" s="142">
        <v>84962</v>
      </c>
      <c r="BX72" s="142">
        <v>85303.5</v>
      </c>
      <c r="BY72" s="142">
        <v>85643.5</v>
      </c>
      <c r="BZ72" s="142">
        <v>86091</v>
      </c>
      <c r="CA72" s="142">
        <v>86447.5</v>
      </c>
      <c r="CB72" s="142">
        <v>86734</v>
      </c>
      <c r="CC72" s="142">
        <v>87060.5</v>
      </c>
      <c r="CD72" s="142">
        <v>87357</v>
      </c>
      <c r="CE72" s="142">
        <v>87632.5</v>
      </c>
      <c r="CF72" s="142">
        <v>87950.5</v>
      </c>
      <c r="CG72" s="142">
        <v>88233.5</v>
      </c>
      <c r="CH72" s="142">
        <v>88500</v>
      </c>
      <c r="CI72" s="142">
        <v>88799</v>
      </c>
      <c r="CJ72" s="142">
        <v>89014.5</v>
      </c>
      <c r="CK72" s="142">
        <v>89247.5</v>
      </c>
      <c r="CL72" s="142">
        <v>89533.5</v>
      </c>
      <c r="CM72" s="142">
        <v>89740.5</v>
      </c>
      <c r="CN72" s="142">
        <v>89984</v>
      </c>
      <c r="CO72" s="142">
        <v>90216</v>
      </c>
      <c r="CP72" s="142">
        <v>90440.5</v>
      </c>
      <c r="CQ72" s="142">
        <v>90660</v>
      </c>
      <c r="CR72" s="142">
        <v>90839</v>
      </c>
      <c r="CS72" s="142">
        <v>91052.5</v>
      </c>
      <c r="CT72" s="142">
        <v>91235</v>
      </c>
      <c r="CU72" s="142">
        <v>91421.5</v>
      </c>
      <c r="CV72" s="142">
        <v>91583.5</v>
      </c>
      <c r="CW72" s="142">
        <v>91759.5</v>
      </c>
      <c r="CX72" s="142">
        <v>91943.5</v>
      </c>
      <c r="CY72" s="142">
        <v>92093.5</v>
      </c>
      <c r="CZ72" s="142">
        <v>92240.5</v>
      </c>
      <c r="DA72" s="142">
        <v>92385.5</v>
      </c>
      <c r="DB72" s="142">
        <v>92548.5</v>
      </c>
      <c r="DC72" s="142">
        <v>92704.5</v>
      </c>
      <c r="DD72" s="142">
        <v>92847</v>
      </c>
      <c r="DE72" s="142">
        <v>92984.5</v>
      </c>
      <c r="DF72" s="142">
        <v>93153.5</v>
      </c>
      <c r="DG72" s="142">
        <v>93276</v>
      </c>
      <c r="DH72" s="142">
        <v>93414.5</v>
      </c>
      <c r="DI72" s="142">
        <v>93530.5</v>
      </c>
      <c r="DJ72" s="142">
        <v>93678</v>
      </c>
      <c r="DK72" s="142">
        <v>93801</v>
      </c>
      <c r="DL72" s="142">
        <v>93918.5</v>
      </c>
      <c r="DM72" s="142">
        <v>94048.5</v>
      </c>
      <c r="DN72" s="142">
        <v>94175.5</v>
      </c>
      <c r="DO72" s="142">
        <v>94300</v>
      </c>
      <c r="DP72" s="142"/>
      <c r="DQ72" s="142"/>
    </row>
    <row r="73" spans="1:121">
      <c r="A73" s="140">
        <v>71</v>
      </c>
      <c r="B73" s="142"/>
      <c r="C73" s="142"/>
      <c r="D73" s="142"/>
      <c r="E73" s="142"/>
      <c r="F73" s="142"/>
      <c r="G73" s="142"/>
      <c r="H73" s="142"/>
      <c r="I73" s="142"/>
      <c r="J73" s="142"/>
      <c r="K73" s="142"/>
      <c r="L73" s="142"/>
      <c r="M73" s="142"/>
      <c r="N73" s="142"/>
      <c r="O73" s="142"/>
      <c r="P73" s="142"/>
      <c r="Q73" s="142"/>
      <c r="R73" s="142"/>
      <c r="S73" s="142"/>
      <c r="T73" s="142"/>
      <c r="U73" s="142"/>
      <c r="V73" s="142"/>
      <c r="W73" s="142">
        <v>55186.5</v>
      </c>
      <c r="X73" s="142">
        <v>56192</v>
      </c>
      <c r="Y73" s="142">
        <v>56444.5</v>
      </c>
      <c r="Z73" s="142">
        <v>58308.5</v>
      </c>
      <c r="AA73" s="142">
        <v>59008</v>
      </c>
      <c r="AB73" s="142">
        <v>59770</v>
      </c>
      <c r="AC73" s="142">
        <v>60534.5</v>
      </c>
      <c r="AD73" s="142">
        <v>61231.5</v>
      </c>
      <c r="AE73" s="142">
        <v>61530.5</v>
      </c>
      <c r="AF73" s="142">
        <v>62799</v>
      </c>
      <c r="AG73" s="142">
        <v>63646</v>
      </c>
      <c r="AH73" s="142">
        <v>64351.5</v>
      </c>
      <c r="AI73" s="142">
        <v>65113</v>
      </c>
      <c r="AJ73" s="142">
        <v>66643.5</v>
      </c>
      <c r="AK73" s="142">
        <v>67241</v>
      </c>
      <c r="AL73" s="142">
        <v>68206</v>
      </c>
      <c r="AM73" s="142">
        <v>69066</v>
      </c>
      <c r="AN73" s="142">
        <v>69891</v>
      </c>
      <c r="AO73" s="142">
        <v>70199.5</v>
      </c>
      <c r="AP73" s="142">
        <v>70635.5</v>
      </c>
      <c r="AQ73" s="142">
        <v>70914</v>
      </c>
      <c r="AR73" s="142">
        <v>71239.5</v>
      </c>
      <c r="AS73" s="142">
        <v>70837</v>
      </c>
      <c r="AT73" s="142">
        <v>70180</v>
      </c>
      <c r="AU73" s="142">
        <v>69296</v>
      </c>
      <c r="AV73" s="142">
        <v>69614.5</v>
      </c>
      <c r="AW73" s="142">
        <v>70376</v>
      </c>
      <c r="AX73" s="142">
        <v>72253.5</v>
      </c>
      <c r="AY73" s="142">
        <v>73859.5</v>
      </c>
      <c r="AZ73" s="142">
        <v>74024</v>
      </c>
      <c r="BA73" s="142">
        <v>74234</v>
      </c>
      <c r="BB73" s="142">
        <v>74965.5</v>
      </c>
      <c r="BC73" s="142">
        <v>75362.5</v>
      </c>
      <c r="BD73" s="142">
        <v>75908.5</v>
      </c>
      <c r="BE73" s="142">
        <v>76247.5</v>
      </c>
      <c r="BF73" s="142">
        <v>76858</v>
      </c>
      <c r="BG73" s="142">
        <v>77213.5</v>
      </c>
      <c r="BH73" s="142">
        <v>77829</v>
      </c>
      <c r="BI73" s="142">
        <v>78255</v>
      </c>
      <c r="BJ73" s="142">
        <v>78731.5</v>
      </c>
      <c r="BK73" s="142">
        <v>79302.5</v>
      </c>
      <c r="BL73" s="142">
        <v>79918</v>
      </c>
      <c r="BM73" s="142">
        <v>80510.5</v>
      </c>
      <c r="BN73" s="142">
        <v>81036</v>
      </c>
      <c r="BO73" s="142">
        <v>81504.5</v>
      </c>
      <c r="BP73" s="142">
        <v>81924</v>
      </c>
      <c r="BQ73" s="142">
        <v>82289.5</v>
      </c>
      <c r="BR73" s="142">
        <v>82642.5</v>
      </c>
      <c r="BS73" s="142">
        <v>82901</v>
      </c>
      <c r="BT73" s="142">
        <v>83235.5</v>
      </c>
      <c r="BU73" s="142">
        <v>83519</v>
      </c>
      <c r="BV73" s="142">
        <v>83862.5</v>
      </c>
      <c r="BW73" s="142">
        <v>84155.5</v>
      </c>
      <c r="BX73" s="142">
        <v>84510</v>
      </c>
      <c r="BY73" s="142">
        <v>84862.5</v>
      </c>
      <c r="BZ73" s="142">
        <v>85321.5</v>
      </c>
      <c r="CA73" s="142">
        <v>85690</v>
      </c>
      <c r="CB73" s="142">
        <v>85990</v>
      </c>
      <c r="CC73" s="142">
        <v>86328</v>
      </c>
      <c r="CD73" s="142">
        <v>86637</v>
      </c>
      <c r="CE73" s="142">
        <v>86925</v>
      </c>
      <c r="CF73" s="142">
        <v>87254</v>
      </c>
      <c r="CG73" s="142">
        <v>87549</v>
      </c>
      <c r="CH73" s="142">
        <v>87827</v>
      </c>
      <c r="CI73" s="142">
        <v>88137.5</v>
      </c>
      <c r="CJ73" s="142">
        <v>88364.5</v>
      </c>
      <c r="CK73" s="142">
        <v>88609</v>
      </c>
      <c r="CL73" s="142">
        <v>88906</v>
      </c>
      <c r="CM73" s="142">
        <v>89124</v>
      </c>
      <c r="CN73" s="142">
        <v>89378</v>
      </c>
      <c r="CO73" s="142">
        <v>89621</v>
      </c>
      <c r="CP73" s="142">
        <v>89856</v>
      </c>
      <c r="CQ73" s="142">
        <v>90085.5</v>
      </c>
      <c r="CR73" s="142">
        <v>90275.5</v>
      </c>
      <c r="CS73" s="142">
        <v>90498</v>
      </c>
      <c r="CT73" s="142">
        <v>90691.5</v>
      </c>
      <c r="CU73" s="142">
        <v>90888</v>
      </c>
      <c r="CV73" s="142">
        <v>91059.5</v>
      </c>
      <c r="CW73" s="142">
        <v>91244.5</v>
      </c>
      <c r="CX73" s="142">
        <v>91438.5</v>
      </c>
      <c r="CY73" s="142">
        <v>91597.5</v>
      </c>
      <c r="CZ73" s="142">
        <v>91754</v>
      </c>
      <c r="DA73" s="142">
        <v>91908.5</v>
      </c>
      <c r="DB73" s="142">
        <v>92080</v>
      </c>
      <c r="DC73" s="142">
        <v>92244.5</v>
      </c>
      <c r="DD73" s="142">
        <v>92396</v>
      </c>
      <c r="DE73" s="142">
        <v>92541.5</v>
      </c>
      <c r="DF73" s="142">
        <v>92719</v>
      </c>
      <c r="DG73" s="142">
        <v>92849.5</v>
      </c>
      <c r="DH73" s="142">
        <v>92995.5</v>
      </c>
      <c r="DI73" s="142">
        <v>93120</v>
      </c>
      <c r="DJ73" s="142">
        <v>93275.5</v>
      </c>
      <c r="DK73" s="142">
        <v>93405.5</v>
      </c>
      <c r="DL73" s="142">
        <v>93531</v>
      </c>
      <c r="DM73" s="142">
        <v>93668</v>
      </c>
      <c r="DN73" s="142">
        <v>93802.5</v>
      </c>
      <c r="DO73" s="142">
        <v>93934</v>
      </c>
      <c r="DP73" s="142"/>
      <c r="DQ73" s="142"/>
    </row>
    <row r="74" spans="1:121">
      <c r="A74" s="140">
        <v>72</v>
      </c>
      <c r="B74" s="142"/>
      <c r="C74" s="142"/>
      <c r="D74" s="142"/>
      <c r="E74" s="142"/>
      <c r="F74" s="142"/>
      <c r="G74" s="142"/>
      <c r="H74" s="142"/>
      <c r="I74" s="142"/>
      <c r="J74" s="142"/>
      <c r="K74" s="142"/>
      <c r="L74" s="142"/>
      <c r="M74" s="142"/>
      <c r="N74" s="142"/>
      <c r="O74" s="142"/>
      <c r="P74" s="142"/>
      <c r="Q74" s="142"/>
      <c r="R74" s="142"/>
      <c r="S74" s="142"/>
      <c r="T74" s="142"/>
      <c r="U74" s="142"/>
      <c r="V74" s="142"/>
      <c r="W74" s="142">
        <v>53536</v>
      </c>
      <c r="X74" s="142">
        <v>54551.5</v>
      </c>
      <c r="Y74" s="142">
        <v>54840</v>
      </c>
      <c r="Z74" s="142">
        <v>56649</v>
      </c>
      <c r="AA74" s="142">
        <v>57407</v>
      </c>
      <c r="AB74" s="142">
        <v>58199</v>
      </c>
      <c r="AC74" s="142">
        <v>58963.5</v>
      </c>
      <c r="AD74" s="142">
        <v>59692.5</v>
      </c>
      <c r="AE74" s="142">
        <v>60031</v>
      </c>
      <c r="AF74" s="142">
        <v>61292</v>
      </c>
      <c r="AG74" s="142">
        <v>62142</v>
      </c>
      <c r="AH74" s="142">
        <v>62913.5</v>
      </c>
      <c r="AI74" s="142">
        <v>63704.5</v>
      </c>
      <c r="AJ74" s="142">
        <v>65255.5</v>
      </c>
      <c r="AK74" s="142">
        <v>65895.5</v>
      </c>
      <c r="AL74" s="142">
        <v>66892</v>
      </c>
      <c r="AM74" s="142">
        <v>67773</v>
      </c>
      <c r="AN74" s="142">
        <v>68618.5</v>
      </c>
      <c r="AO74" s="142">
        <v>68931</v>
      </c>
      <c r="AP74" s="142">
        <v>69364.5</v>
      </c>
      <c r="AQ74" s="142">
        <v>69633</v>
      </c>
      <c r="AR74" s="142">
        <v>69988.5</v>
      </c>
      <c r="AS74" s="142">
        <v>69525.5</v>
      </c>
      <c r="AT74" s="142">
        <v>68916.5</v>
      </c>
      <c r="AU74" s="142">
        <v>68073.5</v>
      </c>
      <c r="AV74" s="142">
        <v>68410</v>
      </c>
      <c r="AW74" s="142">
        <v>69181.5</v>
      </c>
      <c r="AX74" s="142">
        <v>71050</v>
      </c>
      <c r="AY74" s="142">
        <v>72653</v>
      </c>
      <c r="AZ74" s="142">
        <v>72840</v>
      </c>
      <c r="BA74" s="142">
        <v>73070</v>
      </c>
      <c r="BB74" s="142">
        <v>73812.5</v>
      </c>
      <c r="BC74" s="142">
        <v>74226.5</v>
      </c>
      <c r="BD74" s="142">
        <v>74786.5</v>
      </c>
      <c r="BE74" s="142">
        <v>75142</v>
      </c>
      <c r="BF74" s="142">
        <v>75765.5</v>
      </c>
      <c r="BG74" s="142">
        <v>76137.5</v>
      </c>
      <c r="BH74" s="142">
        <v>76765.5</v>
      </c>
      <c r="BI74" s="142">
        <v>77206</v>
      </c>
      <c r="BJ74" s="142">
        <v>77696.5</v>
      </c>
      <c r="BK74" s="142">
        <v>78281</v>
      </c>
      <c r="BL74" s="142">
        <v>78908.5</v>
      </c>
      <c r="BM74" s="142">
        <v>79513</v>
      </c>
      <c r="BN74" s="142">
        <v>80051.5</v>
      </c>
      <c r="BO74" s="142">
        <v>80534</v>
      </c>
      <c r="BP74" s="142">
        <v>80967.5</v>
      </c>
      <c r="BQ74" s="142">
        <v>81348</v>
      </c>
      <c r="BR74" s="142">
        <v>81715.5</v>
      </c>
      <c r="BS74" s="142">
        <v>81989.5</v>
      </c>
      <c r="BT74" s="142">
        <v>82338.5</v>
      </c>
      <c r="BU74" s="142">
        <v>82636</v>
      </c>
      <c r="BV74" s="142">
        <v>82993.5</v>
      </c>
      <c r="BW74" s="142">
        <v>83301</v>
      </c>
      <c r="BX74" s="142">
        <v>83669</v>
      </c>
      <c r="BY74" s="142">
        <v>84034.5</v>
      </c>
      <c r="BZ74" s="142">
        <v>84505.5</v>
      </c>
      <c r="CA74" s="142">
        <v>84886.5</v>
      </c>
      <c r="CB74" s="142">
        <v>85200</v>
      </c>
      <c r="CC74" s="142">
        <v>85550.5</v>
      </c>
      <c r="CD74" s="142">
        <v>85872</v>
      </c>
      <c r="CE74" s="142">
        <v>86172.5</v>
      </c>
      <c r="CF74" s="142">
        <v>86514</v>
      </c>
      <c r="CG74" s="142">
        <v>86821</v>
      </c>
      <c r="CH74" s="142">
        <v>87111</v>
      </c>
      <c r="CI74" s="142">
        <v>87433</v>
      </c>
      <c r="CJ74" s="142">
        <v>87673</v>
      </c>
      <c r="CK74" s="142">
        <v>87929</v>
      </c>
      <c r="CL74" s="142">
        <v>88237</v>
      </c>
      <c r="CM74" s="142">
        <v>88467</v>
      </c>
      <c r="CN74" s="142">
        <v>88732</v>
      </c>
      <c r="CO74" s="142">
        <v>88986</v>
      </c>
      <c r="CP74" s="142">
        <v>89232</v>
      </c>
      <c r="CQ74" s="142">
        <v>89472.5</v>
      </c>
      <c r="CR74" s="142">
        <v>89673</v>
      </c>
      <c r="CS74" s="142">
        <v>89907</v>
      </c>
      <c r="CT74" s="142">
        <v>90110.5</v>
      </c>
      <c r="CU74" s="142">
        <v>90317.5</v>
      </c>
      <c r="CV74" s="142">
        <v>90499.5</v>
      </c>
      <c r="CW74" s="142">
        <v>90694.5</v>
      </c>
      <c r="CX74" s="142">
        <v>90898</v>
      </c>
      <c r="CY74" s="142">
        <v>91067</v>
      </c>
      <c r="CZ74" s="142">
        <v>91233</v>
      </c>
      <c r="DA74" s="142">
        <v>91397</v>
      </c>
      <c r="DB74" s="142">
        <v>91577.5</v>
      </c>
      <c r="DC74" s="142">
        <v>91751.5</v>
      </c>
      <c r="DD74" s="142">
        <v>91912</v>
      </c>
      <c r="DE74" s="142">
        <v>92066.5</v>
      </c>
      <c r="DF74" s="142">
        <v>92252.5</v>
      </c>
      <c r="DG74" s="142">
        <v>92391.5</v>
      </c>
      <c r="DH74" s="142">
        <v>92546</v>
      </c>
      <c r="DI74" s="142">
        <v>92678.5</v>
      </c>
      <c r="DJ74" s="142">
        <v>92842</v>
      </c>
      <c r="DK74" s="142">
        <v>92980.5</v>
      </c>
      <c r="DL74" s="142">
        <v>93113.5</v>
      </c>
      <c r="DM74" s="142">
        <v>93259</v>
      </c>
      <c r="DN74" s="142">
        <v>93401</v>
      </c>
      <c r="DO74" s="142">
        <v>93540</v>
      </c>
      <c r="DP74" s="142"/>
      <c r="DQ74" s="142"/>
    </row>
    <row r="75" spans="1:121">
      <c r="A75" s="140">
        <v>73</v>
      </c>
      <c r="B75" s="142"/>
      <c r="C75" s="142"/>
      <c r="D75" s="142"/>
      <c r="E75" s="142"/>
      <c r="F75" s="142"/>
      <c r="G75" s="142"/>
      <c r="H75" s="142"/>
      <c r="I75" s="142"/>
      <c r="J75" s="142"/>
      <c r="K75" s="142"/>
      <c r="L75" s="142"/>
      <c r="M75" s="142"/>
      <c r="N75" s="142"/>
      <c r="O75" s="142"/>
      <c r="P75" s="142"/>
      <c r="Q75" s="142"/>
      <c r="R75" s="142"/>
      <c r="S75" s="142"/>
      <c r="T75" s="142"/>
      <c r="U75" s="142"/>
      <c r="V75" s="142"/>
      <c r="W75" s="142">
        <v>51796.5</v>
      </c>
      <c r="X75" s="142">
        <v>52844.5</v>
      </c>
      <c r="Y75" s="142">
        <v>53102</v>
      </c>
      <c r="Z75" s="142">
        <v>54970.5</v>
      </c>
      <c r="AA75" s="142">
        <v>55728</v>
      </c>
      <c r="AB75" s="142">
        <v>56541.5</v>
      </c>
      <c r="AC75" s="142">
        <v>57354.5</v>
      </c>
      <c r="AD75" s="142">
        <v>58111</v>
      </c>
      <c r="AE75" s="142">
        <v>58451.5</v>
      </c>
      <c r="AF75" s="142">
        <v>59687</v>
      </c>
      <c r="AG75" s="142">
        <v>60591.5</v>
      </c>
      <c r="AH75" s="142">
        <v>61422.5</v>
      </c>
      <c r="AI75" s="142">
        <v>62228</v>
      </c>
      <c r="AJ75" s="142">
        <v>63804</v>
      </c>
      <c r="AK75" s="142">
        <v>64454</v>
      </c>
      <c r="AL75" s="142">
        <v>65484.5</v>
      </c>
      <c r="AM75" s="142">
        <v>66409.5</v>
      </c>
      <c r="AN75" s="142">
        <v>67251.5</v>
      </c>
      <c r="AO75" s="142">
        <v>67563.5</v>
      </c>
      <c r="AP75" s="142">
        <v>67996</v>
      </c>
      <c r="AQ75" s="142">
        <v>68299.5</v>
      </c>
      <c r="AR75" s="142">
        <v>68610</v>
      </c>
      <c r="AS75" s="142">
        <v>68167</v>
      </c>
      <c r="AT75" s="142">
        <v>67596</v>
      </c>
      <c r="AU75" s="142">
        <v>66796</v>
      </c>
      <c r="AV75" s="142">
        <v>67149.5</v>
      </c>
      <c r="AW75" s="142">
        <v>67931</v>
      </c>
      <c r="AX75" s="142">
        <v>69789</v>
      </c>
      <c r="AY75" s="142">
        <v>71388.5</v>
      </c>
      <c r="AZ75" s="142">
        <v>71597</v>
      </c>
      <c r="BA75" s="142">
        <v>71847.5</v>
      </c>
      <c r="BB75" s="142">
        <v>72602</v>
      </c>
      <c r="BC75" s="142">
        <v>73032</v>
      </c>
      <c r="BD75" s="142">
        <v>73605.5</v>
      </c>
      <c r="BE75" s="142">
        <v>73978.5</v>
      </c>
      <c r="BF75" s="142">
        <v>74614.5</v>
      </c>
      <c r="BG75" s="142">
        <v>75003.5</v>
      </c>
      <c r="BH75" s="142">
        <v>75643.5</v>
      </c>
      <c r="BI75" s="142">
        <v>76099</v>
      </c>
      <c r="BJ75" s="142">
        <v>76604.5</v>
      </c>
      <c r="BK75" s="142">
        <v>77201.5</v>
      </c>
      <c r="BL75" s="142">
        <v>77841.5</v>
      </c>
      <c r="BM75" s="142">
        <v>78458</v>
      </c>
      <c r="BN75" s="142">
        <v>79010.5</v>
      </c>
      <c r="BO75" s="142">
        <v>79506.5</v>
      </c>
      <c r="BP75" s="142">
        <v>79954.5</v>
      </c>
      <c r="BQ75" s="142">
        <v>80349.5</v>
      </c>
      <c r="BR75" s="142">
        <v>80732</v>
      </c>
      <c r="BS75" s="142">
        <v>81022</v>
      </c>
      <c r="BT75" s="142">
        <v>81386</v>
      </c>
      <c r="BU75" s="142">
        <v>81699</v>
      </c>
      <c r="BV75" s="142">
        <v>82070.5</v>
      </c>
      <c r="BW75" s="142">
        <v>82392.5</v>
      </c>
      <c r="BX75" s="142">
        <v>82774</v>
      </c>
      <c r="BY75" s="142">
        <v>83153.5</v>
      </c>
      <c r="BZ75" s="142">
        <v>83636.5</v>
      </c>
      <c r="CA75" s="142">
        <v>84031</v>
      </c>
      <c r="CB75" s="142">
        <v>84357.5</v>
      </c>
      <c r="CC75" s="142">
        <v>84721</v>
      </c>
      <c r="CD75" s="142">
        <v>85055.5</v>
      </c>
      <c r="CE75" s="142">
        <v>85369</v>
      </c>
      <c r="CF75" s="142">
        <v>85723</v>
      </c>
      <c r="CG75" s="142">
        <v>86043</v>
      </c>
      <c r="CH75" s="142">
        <v>86346</v>
      </c>
      <c r="CI75" s="142">
        <v>86680</v>
      </c>
      <c r="CJ75" s="142">
        <v>86932</v>
      </c>
      <c r="CK75" s="142">
        <v>87201</v>
      </c>
      <c r="CL75" s="142">
        <v>87520.5</v>
      </c>
      <c r="CM75" s="142">
        <v>87762.5</v>
      </c>
      <c r="CN75" s="142">
        <v>88040</v>
      </c>
      <c r="CO75" s="142">
        <v>88305</v>
      </c>
      <c r="CP75" s="142">
        <v>88562.5</v>
      </c>
      <c r="CQ75" s="142">
        <v>88814</v>
      </c>
      <c r="CR75" s="142">
        <v>89026</v>
      </c>
      <c r="CS75" s="142">
        <v>89271</v>
      </c>
      <c r="CT75" s="142">
        <v>89485</v>
      </c>
      <c r="CU75" s="142">
        <v>89703</v>
      </c>
      <c r="CV75" s="142">
        <v>89896</v>
      </c>
      <c r="CW75" s="142">
        <v>90102</v>
      </c>
      <c r="CX75" s="142">
        <v>90316</v>
      </c>
      <c r="CY75" s="142">
        <v>90494.5</v>
      </c>
      <c r="CZ75" s="142">
        <v>90671</v>
      </c>
      <c r="DA75" s="142">
        <v>90845</v>
      </c>
      <c r="DB75" s="142">
        <v>91036</v>
      </c>
      <c r="DC75" s="142">
        <v>91218.5</v>
      </c>
      <c r="DD75" s="142">
        <v>91389</v>
      </c>
      <c r="DE75" s="142">
        <v>91552.5</v>
      </c>
      <c r="DF75" s="142">
        <v>91748</v>
      </c>
      <c r="DG75" s="142">
        <v>91896</v>
      </c>
      <c r="DH75" s="142">
        <v>92060</v>
      </c>
      <c r="DI75" s="142">
        <v>92201.5</v>
      </c>
      <c r="DJ75" s="142">
        <v>92373.5</v>
      </c>
      <c r="DK75" s="142">
        <v>92520</v>
      </c>
      <c r="DL75" s="142">
        <v>92661.5</v>
      </c>
      <c r="DM75" s="142">
        <v>92815</v>
      </c>
      <c r="DN75" s="142">
        <v>92965</v>
      </c>
      <c r="DO75" s="142">
        <v>93112</v>
      </c>
      <c r="DP75" s="142"/>
      <c r="DQ75" s="142"/>
    </row>
    <row r="76" spans="1:121">
      <c r="A76" s="140">
        <v>74</v>
      </c>
      <c r="B76" s="142"/>
      <c r="C76" s="142"/>
      <c r="D76" s="142"/>
      <c r="E76" s="142"/>
      <c r="F76" s="142"/>
      <c r="G76" s="142"/>
      <c r="H76" s="142"/>
      <c r="I76" s="142"/>
      <c r="J76" s="142"/>
      <c r="K76" s="142"/>
      <c r="L76" s="142"/>
      <c r="M76" s="142"/>
      <c r="N76" s="142"/>
      <c r="O76" s="142"/>
      <c r="P76" s="142"/>
      <c r="Q76" s="142"/>
      <c r="R76" s="142"/>
      <c r="S76" s="142"/>
      <c r="T76" s="142"/>
      <c r="U76" s="142"/>
      <c r="V76" s="142"/>
      <c r="W76" s="142">
        <v>49992</v>
      </c>
      <c r="X76" s="142">
        <v>51007.5</v>
      </c>
      <c r="Y76" s="142">
        <v>51360.5</v>
      </c>
      <c r="Z76" s="142">
        <v>53248.5</v>
      </c>
      <c r="AA76" s="142">
        <v>53978.5</v>
      </c>
      <c r="AB76" s="142">
        <v>54862</v>
      </c>
      <c r="AC76" s="142">
        <v>55705</v>
      </c>
      <c r="AD76" s="142">
        <v>56435.5</v>
      </c>
      <c r="AE76" s="142">
        <v>56759.5</v>
      </c>
      <c r="AF76" s="142">
        <v>58052.5</v>
      </c>
      <c r="AG76" s="142">
        <v>58964</v>
      </c>
      <c r="AH76" s="142">
        <v>59881.5</v>
      </c>
      <c r="AI76" s="142">
        <v>60693</v>
      </c>
      <c r="AJ76" s="142">
        <v>62268.5</v>
      </c>
      <c r="AK76" s="142">
        <v>62918</v>
      </c>
      <c r="AL76" s="142">
        <v>64006.5</v>
      </c>
      <c r="AM76" s="142">
        <v>64947.5</v>
      </c>
      <c r="AN76" s="142">
        <v>65795.5</v>
      </c>
      <c r="AO76" s="142">
        <v>66099</v>
      </c>
      <c r="AP76" s="142">
        <v>66579.5</v>
      </c>
      <c r="AQ76" s="142">
        <v>66818</v>
      </c>
      <c r="AR76" s="142">
        <v>67149</v>
      </c>
      <c r="AS76" s="142">
        <v>66744.5</v>
      </c>
      <c r="AT76" s="142">
        <v>66211.5</v>
      </c>
      <c r="AU76" s="142">
        <v>65454.5</v>
      </c>
      <c r="AV76" s="142">
        <v>65825.5</v>
      </c>
      <c r="AW76" s="142">
        <v>66616.5</v>
      </c>
      <c r="AX76" s="142">
        <v>68462.5</v>
      </c>
      <c r="AY76" s="142">
        <v>70057</v>
      </c>
      <c r="AZ76" s="142">
        <v>70287.5</v>
      </c>
      <c r="BA76" s="142">
        <v>70559</v>
      </c>
      <c r="BB76" s="142">
        <v>71324.5</v>
      </c>
      <c r="BC76" s="142">
        <v>71771.5</v>
      </c>
      <c r="BD76" s="142">
        <v>72358</v>
      </c>
      <c r="BE76" s="142">
        <v>72748.5</v>
      </c>
      <c r="BF76" s="142">
        <v>73397</v>
      </c>
      <c r="BG76" s="142">
        <v>73803.5</v>
      </c>
      <c r="BH76" s="142">
        <v>74455.5</v>
      </c>
      <c r="BI76" s="142">
        <v>74926</v>
      </c>
      <c r="BJ76" s="142">
        <v>75446</v>
      </c>
      <c r="BK76" s="142">
        <v>76056</v>
      </c>
      <c r="BL76" s="142">
        <v>76708.5</v>
      </c>
      <c r="BM76" s="142">
        <v>77337.5</v>
      </c>
      <c r="BN76" s="142">
        <v>77903</v>
      </c>
      <c r="BO76" s="142">
        <v>78413</v>
      </c>
      <c r="BP76" s="142">
        <v>78876.5</v>
      </c>
      <c r="BQ76" s="142">
        <v>79286.5</v>
      </c>
      <c r="BR76" s="142">
        <v>79684.5</v>
      </c>
      <c r="BS76" s="142">
        <v>79990.5</v>
      </c>
      <c r="BT76" s="142">
        <v>80369.5</v>
      </c>
      <c r="BU76" s="142">
        <v>80698</v>
      </c>
      <c r="BV76" s="142">
        <v>81084</v>
      </c>
      <c r="BW76" s="142">
        <v>81421.5</v>
      </c>
      <c r="BX76" s="142">
        <v>81817</v>
      </c>
      <c r="BY76" s="142">
        <v>82209.5</v>
      </c>
      <c r="BZ76" s="142">
        <v>82706</v>
      </c>
      <c r="CA76" s="142">
        <v>83113.5</v>
      </c>
      <c r="CB76" s="142">
        <v>83454</v>
      </c>
      <c r="CC76" s="142">
        <v>83831</v>
      </c>
      <c r="CD76" s="142">
        <v>84179</v>
      </c>
      <c r="CE76" s="142">
        <v>84506.5</v>
      </c>
      <c r="CF76" s="142">
        <v>84873.5</v>
      </c>
      <c r="CG76" s="142">
        <v>85206</v>
      </c>
      <c r="CH76" s="142">
        <v>85522</v>
      </c>
      <c r="CI76" s="142">
        <v>85869</v>
      </c>
      <c r="CJ76" s="142">
        <v>86134</v>
      </c>
      <c r="CK76" s="142">
        <v>86416</v>
      </c>
      <c r="CL76" s="142">
        <v>86747.5</v>
      </c>
      <c r="CM76" s="142">
        <v>87003</v>
      </c>
      <c r="CN76" s="142">
        <v>87292</v>
      </c>
      <c r="CO76" s="142">
        <v>87569</v>
      </c>
      <c r="CP76" s="142">
        <v>87839</v>
      </c>
      <c r="CQ76" s="142">
        <v>88102</v>
      </c>
      <c r="CR76" s="142">
        <v>88326.5</v>
      </c>
      <c r="CS76" s="142">
        <v>88582.5</v>
      </c>
      <c r="CT76" s="142">
        <v>88809</v>
      </c>
      <c r="CU76" s="142">
        <v>89038</v>
      </c>
      <c r="CV76" s="142">
        <v>89242.5</v>
      </c>
      <c r="CW76" s="142">
        <v>89459</v>
      </c>
      <c r="CX76" s="142">
        <v>89684.5</v>
      </c>
      <c r="CY76" s="142">
        <v>89874</v>
      </c>
      <c r="CZ76" s="142">
        <v>90061</v>
      </c>
      <c r="DA76" s="142">
        <v>90245.5</v>
      </c>
      <c r="DB76" s="142">
        <v>90446.5</v>
      </c>
      <c r="DC76" s="142">
        <v>90640</v>
      </c>
      <c r="DD76" s="142">
        <v>90820.5</v>
      </c>
      <c r="DE76" s="142">
        <v>90994</v>
      </c>
      <c r="DF76" s="142">
        <v>91199</v>
      </c>
      <c r="DG76" s="142">
        <v>91357</v>
      </c>
      <c r="DH76" s="142">
        <v>91530</v>
      </c>
      <c r="DI76" s="142">
        <v>91680.5</v>
      </c>
      <c r="DJ76" s="142">
        <v>91861.5</v>
      </c>
      <c r="DK76" s="142">
        <v>92018</v>
      </c>
      <c r="DL76" s="142">
        <v>92168</v>
      </c>
      <c r="DM76" s="142">
        <v>92330.5</v>
      </c>
      <c r="DN76" s="142">
        <v>92489</v>
      </c>
      <c r="DO76" s="142">
        <v>92644</v>
      </c>
      <c r="DP76" s="142"/>
      <c r="DQ76" s="142"/>
    </row>
    <row r="77" spans="1:121">
      <c r="A77" s="140">
        <v>75</v>
      </c>
      <c r="B77" s="142"/>
      <c r="C77" s="142"/>
      <c r="D77" s="142"/>
      <c r="E77" s="142"/>
      <c r="F77" s="142"/>
      <c r="G77" s="142"/>
      <c r="H77" s="142"/>
      <c r="I77" s="142"/>
      <c r="J77" s="142"/>
      <c r="K77" s="142"/>
      <c r="L77" s="142"/>
      <c r="M77" s="142"/>
      <c r="N77" s="142"/>
      <c r="O77" s="142"/>
      <c r="P77" s="142"/>
      <c r="Q77" s="142"/>
      <c r="R77" s="142"/>
      <c r="S77" s="142"/>
      <c r="T77" s="142"/>
      <c r="U77" s="142"/>
      <c r="V77" s="142"/>
      <c r="W77" s="142">
        <v>48060</v>
      </c>
      <c r="X77" s="142">
        <v>49145.5</v>
      </c>
      <c r="Y77" s="142">
        <v>49542</v>
      </c>
      <c r="Z77" s="142">
        <v>51409</v>
      </c>
      <c r="AA77" s="142">
        <v>52198.5</v>
      </c>
      <c r="AB77" s="142">
        <v>53106</v>
      </c>
      <c r="AC77" s="142">
        <v>53967.5</v>
      </c>
      <c r="AD77" s="142">
        <v>54627.5</v>
      </c>
      <c r="AE77" s="142">
        <v>55029.5</v>
      </c>
      <c r="AF77" s="142">
        <v>56348.5</v>
      </c>
      <c r="AG77" s="142">
        <v>57298.5</v>
      </c>
      <c r="AH77" s="142">
        <v>58231</v>
      </c>
      <c r="AI77" s="142">
        <v>59059</v>
      </c>
      <c r="AJ77" s="142">
        <v>60611</v>
      </c>
      <c r="AK77" s="142">
        <v>61324</v>
      </c>
      <c r="AL77" s="142">
        <v>62408.5</v>
      </c>
      <c r="AM77" s="142">
        <v>63383</v>
      </c>
      <c r="AN77" s="142">
        <v>64227</v>
      </c>
      <c r="AO77" s="142">
        <v>64604.5</v>
      </c>
      <c r="AP77" s="142">
        <v>65000</v>
      </c>
      <c r="AQ77" s="142">
        <v>65262</v>
      </c>
      <c r="AR77" s="142">
        <v>65612.5</v>
      </c>
      <c r="AS77" s="142">
        <v>65246</v>
      </c>
      <c r="AT77" s="142">
        <v>64752.5</v>
      </c>
      <c r="AU77" s="142">
        <v>64039.5</v>
      </c>
      <c r="AV77" s="142">
        <v>64428</v>
      </c>
      <c r="AW77" s="142">
        <v>65228</v>
      </c>
      <c r="AX77" s="142">
        <v>67061</v>
      </c>
      <c r="AY77" s="142">
        <v>68649</v>
      </c>
      <c r="AZ77" s="142">
        <v>68902</v>
      </c>
      <c r="BA77" s="142">
        <v>69194</v>
      </c>
      <c r="BB77" s="142">
        <v>69969.5</v>
      </c>
      <c r="BC77" s="142">
        <v>70434</v>
      </c>
      <c r="BD77" s="142">
        <v>71034</v>
      </c>
      <c r="BE77" s="142">
        <v>71441.5</v>
      </c>
      <c r="BF77" s="142">
        <v>72102.5</v>
      </c>
      <c r="BG77" s="142">
        <v>72526</v>
      </c>
      <c r="BH77" s="142">
        <v>73190.5</v>
      </c>
      <c r="BI77" s="142">
        <v>73676.5</v>
      </c>
      <c r="BJ77" s="142">
        <v>74211</v>
      </c>
      <c r="BK77" s="142">
        <v>74834</v>
      </c>
      <c r="BL77" s="142">
        <v>75498.5</v>
      </c>
      <c r="BM77" s="142">
        <v>76140.5</v>
      </c>
      <c r="BN77" s="142">
        <v>76719</v>
      </c>
      <c r="BO77" s="142">
        <v>77243</v>
      </c>
      <c r="BP77" s="142">
        <v>77722</v>
      </c>
      <c r="BQ77" s="142">
        <v>78147.5</v>
      </c>
      <c r="BR77" s="142">
        <v>78561</v>
      </c>
      <c r="BS77" s="142">
        <v>78883.5</v>
      </c>
      <c r="BT77" s="142">
        <v>79278.5</v>
      </c>
      <c r="BU77" s="142">
        <v>79623</v>
      </c>
      <c r="BV77" s="142">
        <v>80024.5</v>
      </c>
      <c r="BW77" s="142">
        <v>80377</v>
      </c>
      <c r="BX77" s="142">
        <v>80787</v>
      </c>
      <c r="BY77" s="142">
        <v>81194</v>
      </c>
      <c r="BZ77" s="142">
        <v>81703</v>
      </c>
      <c r="CA77" s="142">
        <v>82124.5</v>
      </c>
      <c r="CB77" s="142">
        <v>82480.5</v>
      </c>
      <c r="CC77" s="142">
        <v>82870.5</v>
      </c>
      <c r="CD77" s="142">
        <v>83233.5</v>
      </c>
      <c r="CE77" s="142">
        <v>83574.5</v>
      </c>
      <c r="CF77" s="142">
        <v>83954.5</v>
      </c>
      <c r="CG77" s="142">
        <v>84301.5</v>
      </c>
      <c r="CH77" s="142">
        <v>84630.5</v>
      </c>
      <c r="CI77" s="142">
        <v>84990.5</v>
      </c>
      <c r="CJ77" s="142">
        <v>85270</v>
      </c>
      <c r="CK77" s="142">
        <v>85565</v>
      </c>
      <c r="CL77" s="142">
        <v>85909.5</v>
      </c>
      <c r="CM77" s="142">
        <v>86178</v>
      </c>
      <c r="CN77" s="142">
        <v>86480</v>
      </c>
      <c r="CO77" s="142">
        <v>86770</v>
      </c>
      <c r="CP77" s="142">
        <v>87052</v>
      </c>
      <c r="CQ77" s="142">
        <v>87328</v>
      </c>
      <c r="CR77" s="142">
        <v>87565</v>
      </c>
      <c r="CS77" s="142">
        <v>87833.5</v>
      </c>
      <c r="CT77" s="142">
        <v>88072</v>
      </c>
      <c r="CU77" s="142">
        <v>88313</v>
      </c>
      <c r="CV77" s="142">
        <v>88529</v>
      </c>
      <c r="CW77" s="142">
        <v>88758</v>
      </c>
      <c r="CX77" s="142">
        <v>88994</v>
      </c>
      <c r="CY77" s="142">
        <v>89196</v>
      </c>
      <c r="CZ77" s="142">
        <v>89394</v>
      </c>
      <c r="DA77" s="142">
        <v>89590</v>
      </c>
      <c r="DB77" s="142">
        <v>89801.5</v>
      </c>
      <c r="DC77" s="142">
        <v>90006.5</v>
      </c>
      <c r="DD77" s="142">
        <v>90197</v>
      </c>
      <c r="DE77" s="142">
        <v>90381.5</v>
      </c>
      <c r="DF77" s="142">
        <v>90597</v>
      </c>
      <c r="DG77" s="142">
        <v>90764.5</v>
      </c>
      <c r="DH77" s="142">
        <v>90948</v>
      </c>
      <c r="DI77" s="142">
        <v>91108.5</v>
      </c>
      <c r="DJ77" s="142">
        <v>91299.5</v>
      </c>
      <c r="DK77" s="142">
        <v>91465.5</v>
      </c>
      <c r="DL77" s="142">
        <v>91625.5</v>
      </c>
      <c r="DM77" s="142">
        <v>91797</v>
      </c>
      <c r="DN77" s="142">
        <v>91964.5</v>
      </c>
      <c r="DO77" s="142">
        <v>92129</v>
      </c>
      <c r="DP77" s="142"/>
      <c r="DQ77" s="142"/>
    </row>
    <row r="78" spans="1:121">
      <c r="A78" s="140">
        <v>76</v>
      </c>
      <c r="B78" s="142"/>
      <c r="C78" s="142"/>
      <c r="D78" s="142"/>
      <c r="E78" s="142"/>
      <c r="F78" s="142"/>
      <c r="G78" s="142"/>
      <c r="H78" s="142"/>
      <c r="I78" s="142"/>
      <c r="J78" s="142"/>
      <c r="K78" s="142"/>
      <c r="L78" s="142"/>
      <c r="M78" s="142"/>
      <c r="N78" s="142"/>
      <c r="O78" s="142"/>
      <c r="P78" s="142"/>
      <c r="Q78" s="142"/>
      <c r="R78" s="142"/>
      <c r="S78" s="142"/>
      <c r="T78" s="142"/>
      <c r="U78" s="142"/>
      <c r="V78" s="142"/>
      <c r="W78" s="142">
        <v>46109.5</v>
      </c>
      <c r="X78" s="142">
        <v>47224</v>
      </c>
      <c r="Y78" s="142">
        <v>47639.5</v>
      </c>
      <c r="Z78" s="142">
        <v>49546.5</v>
      </c>
      <c r="AA78" s="142">
        <v>50340</v>
      </c>
      <c r="AB78" s="142">
        <v>51286</v>
      </c>
      <c r="AC78" s="142">
        <v>52061</v>
      </c>
      <c r="AD78" s="142">
        <v>52763</v>
      </c>
      <c r="AE78" s="142">
        <v>53233</v>
      </c>
      <c r="AF78" s="142">
        <v>54580</v>
      </c>
      <c r="AG78" s="142">
        <v>55538</v>
      </c>
      <c r="AH78" s="142">
        <v>56447.5</v>
      </c>
      <c r="AI78" s="142">
        <v>57299.5</v>
      </c>
      <c r="AJ78" s="142">
        <v>58886</v>
      </c>
      <c r="AK78" s="142">
        <v>59593.5</v>
      </c>
      <c r="AL78" s="142">
        <v>60705.5</v>
      </c>
      <c r="AM78" s="142">
        <v>61674.5</v>
      </c>
      <c r="AN78" s="142">
        <v>62609.5</v>
      </c>
      <c r="AO78" s="142">
        <v>62912.5</v>
      </c>
      <c r="AP78" s="142">
        <v>63330.5</v>
      </c>
      <c r="AQ78" s="142">
        <v>63616</v>
      </c>
      <c r="AR78" s="142">
        <v>63985.5</v>
      </c>
      <c r="AS78" s="142">
        <v>63658.5</v>
      </c>
      <c r="AT78" s="142">
        <v>63205</v>
      </c>
      <c r="AU78" s="142">
        <v>62538</v>
      </c>
      <c r="AV78" s="142">
        <v>62943.5</v>
      </c>
      <c r="AW78" s="142">
        <v>63752</v>
      </c>
      <c r="AX78" s="142">
        <v>65569</v>
      </c>
      <c r="AY78" s="142">
        <v>67149.5</v>
      </c>
      <c r="AZ78" s="142">
        <v>67424.5</v>
      </c>
      <c r="BA78" s="142">
        <v>67738</v>
      </c>
      <c r="BB78" s="142">
        <v>68524</v>
      </c>
      <c r="BC78" s="142">
        <v>69005</v>
      </c>
      <c r="BD78" s="142">
        <v>69618.5</v>
      </c>
      <c r="BE78" s="142">
        <v>70043.5</v>
      </c>
      <c r="BF78" s="142">
        <v>70716.5</v>
      </c>
      <c r="BG78" s="142">
        <v>71159</v>
      </c>
      <c r="BH78" s="142">
        <v>71835</v>
      </c>
      <c r="BI78" s="142">
        <v>72336</v>
      </c>
      <c r="BJ78" s="142">
        <v>72885.5</v>
      </c>
      <c r="BK78" s="142">
        <v>73521.5</v>
      </c>
      <c r="BL78" s="142">
        <v>74198</v>
      </c>
      <c r="BM78" s="142">
        <v>74852.5</v>
      </c>
      <c r="BN78" s="142">
        <v>75445</v>
      </c>
      <c r="BO78" s="142">
        <v>75983.5</v>
      </c>
      <c r="BP78" s="142">
        <v>76477.5</v>
      </c>
      <c r="BQ78" s="142">
        <v>76919</v>
      </c>
      <c r="BR78" s="142">
        <v>77348.5</v>
      </c>
      <c r="BS78" s="142">
        <v>77688.5</v>
      </c>
      <c r="BT78" s="142">
        <v>78099.5</v>
      </c>
      <c r="BU78" s="142">
        <v>78460.5</v>
      </c>
      <c r="BV78" s="142">
        <v>78877</v>
      </c>
      <c r="BW78" s="142">
        <v>79246</v>
      </c>
      <c r="BX78" s="142">
        <v>79671</v>
      </c>
      <c r="BY78" s="142">
        <v>80093</v>
      </c>
      <c r="BZ78" s="142">
        <v>80615</v>
      </c>
      <c r="CA78" s="142">
        <v>81051</v>
      </c>
      <c r="CB78" s="142">
        <v>81421.5</v>
      </c>
      <c r="CC78" s="142">
        <v>81827</v>
      </c>
      <c r="CD78" s="142">
        <v>82203.5</v>
      </c>
      <c r="CE78" s="142">
        <v>82560</v>
      </c>
      <c r="CF78" s="142">
        <v>82953.5</v>
      </c>
      <c r="CG78" s="142">
        <v>83315</v>
      </c>
      <c r="CH78" s="142">
        <v>83658.5</v>
      </c>
      <c r="CI78" s="142">
        <v>84032.5</v>
      </c>
      <c r="CJ78" s="142">
        <v>84326</v>
      </c>
      <c r="CK78" s="142">
        <v>84635.5</v>
      </c>
      <c r="CL78" s="142">
        <v>84993.5</v>
      </c>
      <c r="CM78" s="142">
        <v>85276</v>
      </c>
      <c r="CN78" s="142">
        <v>85591</v>
      </c>
      <c r="CO78" s="142">
        <v>85895</v>
      </c>
      <c r="CP78" s="142">
        <v>86190.5</v>
      </c>
      <c r="CQ78" s="142">
        <v>86479.5</v>
      </c>
      <c r="CR78" s="142">
        <v>86729.5</v>
      </c>
      <c r="CS78" s="142">
        <v>87011</v>
      </c>
      <c r="CT78" s="142">
        <v>87262.5</v>
      </c>
      <c r="CU78" s="142">
        <v>87516.5</v>
      </c>
      <c r="CV78" s="142">
        <v>87745.5</v>
      </c>
      <c r="CW78" s="142">
        <v>87986.5</v>
      </c>
      <c r="CX78" s="142">
        <v>88235</v>
      </c>
      <c r="CY78" s="142">
        <v>88449</v>
      </c>
      <c r="CZ78" s="142">
        <v>88659.5</v>
      </c>
      <c r="DA78" s="142">
        <v>88867.5</v>
      </c>
      <c r="DB78" s="142">
        <v>89091</v>
      </c>
      <c r="DC78" s="142">
        <v>89307</v>
      </c>
      <c r="DD78" s="142">
        <v>89509</v>
      </c>
      <c r="DE78" s="142">
        <v>89705</v>
      </c>
      <c r="DF78" s="142">
        <v>89931</v>
      </c>
      <c r="DG78" s="142">
        <v>90110.5</v>
      </c>
      <c r="DH78" s="142">
        <v>90304.5</v>
      </c>
      <c r="DI78" s="142">
        <v>90476</v>
      </c>
      <c r="DJ78" s="142">
        <v>90677</v>
      </c>
      <c r="DK78" s="142">
        <v>90853.5</v>
      </c>
      <c r="DL78" s="142">
        <v>91023.5</v>
      </c>
      <c r="DM78" s="142">
        <v>91205</v>
      </c>
      <c r="DN78" s="142">
        <v>91383</v>
      </c>
      <c r="DO78" s="142">
        <v>91557</v>
      </c>
      <c r="DP78" s="142"/>
      <c r="DQ78" s="142"/>
    </row>
    <row r="79" spans="1:121">
      <c r="A79" s="140">
        <v>77</v>
      </c>
      <c r="B79" s="142"/>
      <c r="C79" s="142"/>
      <c r="D79" s="142"/>
      <c r="E79" s="142"/>
      <c r="F79" s="142"/>
      <c r="G79" s="142"/>
      <c r="H79" s="142"/>
      <c r="I79" s="142"/>
      <c r="J79" s="142"/>
      <c r="K79" s="142"/>
      <c r="L79" s="142"/>
      <c r="M79" s="142"/>
      <c r="N79" s="142"/>
      <c r="O79" s="142"/>
      <c r="P79" s="142"/>
      <c r="Q79" s="142"/>
      <c r="R79" s="142"/>
      <c r="S79" s="142"/>
      <c r="T79" s="142"/>
      <c r="U79" s="142"/>
      <c r="V79" s="142"/>
      <c r="W79" s="142">
        <v>44129.5</v>
      </c>
      <c r="X79" s="142">
        <v>45215.5</v>
      </c>
      <c r="Y79" s="142">
        <v>45713.5</v>
      </c>
      <c r="Z79" s="142">
        <v>47628</v>
      </c>
      <c r="AA79" s="142">
        <v>48409.5</v>
      </c>
      <c r="AB79" s="142">
        <v>49310</v>
      </c>
      <c r="AC79" s="142">
        <v>50137</v>
      </c>
      <c r="AD79" s="142">
        <v>50836.5</v>
      </c>
      <c r="AE79" s="142">
        <v>51341</v>
      </c>
      <c r="AF79" s="142">
        <v>52725.5</v>
      </c>
      <c r="AG79" s="142">
        <v>53657</v>
      </c>
      <c r="AH79" s="142">
        <v>54589.5</v>
      </c>
      <c r="AI79" s="142">
        <v>55455</v>
      </c>
      <c r="AJ79" s="142">
        <v>57024.5</v>
      </c>
      <c r="AK79" s="142">
        <v>57768.5</v>
      </c>
      <c r="AL79" s="142">
        <v>58859</v>
      </c>
      <c r="AM79" s="142">
        <v>59911.5</v>
      </c>
      <c r="AN79" s="142">
        <v>60777</v>
      </c>
      <c r="AO79" s="142">
        <v>61116</v>
      </c>
      <c r="AP79" s="142">
        <v>61554</v>
      </c>
      <c r="AQ79" s="142">
        <v>61861.5</v>
      </c>
      <c r="AR79" s="142">
        <v>62250</v>
      </c>
      <c r="AS79" s="142">
        <v>61963.5</v>
      </c>
      <c r="AT79" s="142">
        <v>61551.5</v>
      </c>
      <c r="AU79" s="142">
        <v>60931.5</v>
      </c>
      <c r="AV79" s="142">
        <v>61355</v>
      </c>
      <c r="AW79" s="142">
        <v>62170.5</v>
      </c>
      <c r="AX79" s="142">
        <v>63970.5</v>
      </c>
      <c r="AY79" s="142">
        <v>65541</v>
      </c>
      <c r="AZ79" s="142">
        <v>65838.5</v>
      </c>
      <c r="BA79" s="142">
        <v>66173.5</v>
      </c>
      <c r="BB79" s="142">
        <v>66968.5</v>
      </c>
      <c r="BC79" s="142">
        <v>67467</v>
      </c>
      <c r="BD79" s="142">
        <v>68093.5</v>
      </c>
      <c r="BE79" s="142">
        <v>68536.5</v>
      </c>
      <c r="BF79" s="142">
        <v>69222</v>
      </c>
      <c r="BG79" s="142">
        <v>69682</v>
      </c>
      <c r="BH79" s="142">
        <v>70369.5</v>
      </c>
      <c r="BI79" s="142">
        <v>70887</v>
      </c>
      <c r="BJ79" s="142">
        <v>71451</v>
      </c>
      <c r="BK79" s="142">
        <v>72100</v>
      </c>
      <c r="BL79" s="142">
        <v>72788.5</v>
      </c>
      <c r="BM79" s="142">
        <v>73456</v>
      </c>
      <c r="BN79" s="142">
        <v>74061.5</v>
      </c>
      <c r="BO79" s="142">
        <v>74615</v>
      </c>
      <c r="BP79" s="142">
        <v>75124.5</v>
      </c>
      <c r="BQ79" s="142">
        <v>75583</v>
      </c>
      <c r="BR79" s="142">
        <v>76029</v>
      </c>
      <c r="BS79" s="142">
        <v>76387</v>
      </c>
      <c r="BT79" s="142">
        <v>76814</v>
      </c>
      <c r="BU79" s="142">
        <v>77192.5</v>
      </c>
      <c r="BV79" s="142">
        <v>77625.5</v>
      </c>
      <c r="BW79" s="142">
        <v>78011</v>
      </c>
      <c r="BX79" s="142">
        <v>78451.5</v>
      </c>
      <c r="BY79" s="142">
        <v>78888.5</v>
      </c>
      <c r="BZ79" s="142">
        <v>79424.5</v>
      </c>
      <c r="CA79" s="142">
        <v>79875.5</v>
      </c>
      <c r="CB79" s="142">
        <v>80262.5</v>
      </c>
      <c r="CC79" s="142">
        <v>80682.5</v>
      </c>
      <c r="CD79" s="142">
        <v>81074.5</v>
      </c>
      <c r="CE79" s="142">
        <v>81446</v>
      </c>
      <c r="CF79" s="142">
        <v>81854.5</v>
      </c>
      <c r="CG79" s="142">
        <v>82230.5</v>
      </c>
      <c r="CH79" s="142">
        <v>82590</v>
      </c>
      <c r="CI79" s="142">
        <v>82978</v>
      </c>
      <c r="CJ79" s="142">
        <v>83287</v>
      </c>
      <c r="CK79" s="142">
        <v>83612</v>
      </c>
      <c r="CL79" s="142">
        <v>83983.5</v>
      </c>
      <c r="CM79" s="142">
        <v>84280.5</v>
      </c>
      <c r="CN79" s="142">
        <v>84610.5</v>
      </c>
      <c r="CO79" s="142">
        <v>84928</v>
      </c>
      <c r="CP79" s="142">
        <v>85238</v>
      </c>
      <c r="CQ79" s="142">
        <v>85541.5</v>
      </c>
      <c r="CR79" s="142">
        <v>85806</v>
      </c>
      <c r="CS79" s="142">
        <v>86100.5</v>
      </c>
      <c r="CT79" s="142">
        <v>86366</v>
      </c>
      <c r="CU79" s="142">
        <v>86633.5</v>
      </c>
      <c r="CV79" s="142">
        <v>86876.5</v>
      </c>
      <c r="CW79" s="142">
        <v>87130.5</v>
      </c>
      <c r="CX79" s="142">
        <v>87392.5</v>
      </c>
      <c r="CY79" s="142">
        <v>87620</v>
      </c>
      <c r="CZ79" s="142">
        <v>87843</v>
      </c>
      <c r="DA79" s="142">
        <v>88064</v>
      </c>
      <c r="DB79" s="142">
        <v>88300</v>
      </c>
      <c r="DC79" s="142">
        <v>88528</v>
      </c>
      <c r="DD79" s="142">
        <v>88743</v>
      </c>
      <c r="DE79" s="142">
        <v>88951</v>
      </c>
      <c r="DF79" s="142">
        <v>89189</v>
      </c>
      <c r="DG79" s="142">
        <v>89380</v>
      </c>
      <c r="DH79" s="142">
        <v>89586</v>
      </c>
      <c r="DI79" s="142">
        <v>89769.5</v>
      </c>
      <c r="DJ79" s="142">
        <v>89981.5</v>
      </c>
      <c r="DK79" s="142">
        <v>90169.5</v>
      </c>
      <c r="DL79" s="142">
        <v>90350.5</v>
      </c>
      <c r="DM79" s="142">
        <v>90543</v>
      </c>
      <c r="DN79" s="142">
        <v>90731.5</v>
      </c>
      <c r="DO79" s="142">
        <v>90916</v>
      </c>
      <c r="DP79" s="142"/>
      <c r="DQ79" s="142"/>
    </row>
    <row r="80" spans="1:121">
      <c r="A80" s="140">
        <v>78</v>
      </c>
      <c r="B80" s="142"/>
      <c r="C80" s="142"/>
      <c r="D80" s="142"/>
      <c r="E80" s="142"/>
      <c r="F80" s="142"/>
      <c r="G80" s="142"/>
      <c r="H80" s="142"/>
      <c r="I80" s="142"/>
      <c r="J80" s="142"/>
      <c r="K80" s="142"/>
      <c r="L80" s="142"/>
      <c r="M80" s="142"/>
      <c r="N80" s="142"/>
      <c r="O80" s="142"/>
      <c r="P80" s="142"/>
      <c r="Q80" s="142"/>
      <c r="R80" s="142"/>
      <c r="S80" s="142"/>
      <c r="T80" s="142"/>
      <c r="U80" s="142"/>
      <c r="V80" s="142"/>
      <c r="W80" s="142">
        <v>42042</v>
      </c>
      <c r="X80" s="142">
        <v>43172.5</v>
      </c>
      <c r="Y80" s="142">
        <v>43715</v>
      </c>
      <c r="Z80" s="142">
        <v>45595</v>
      </c>
      <c r="AA80" s="142">
        <v>46344</v>
      </c>
      <c r="AB80" s="142">
        <v>47296.5</v>
      </c>
      <c r="AC80" s="142">
        <v>48137</v>
      </c>
      <c r="AD80" s="142">
        <v>48848</v>
      </c>
      <c r="AE80" s="142">
        <v>49388</v>
      </c>
      <c r="AF80" s="142">
        <v>50742.5</v>
      </c>
      <c r="AG80" s="142">
        <v>51651</v>
      </c>
      <c r="AH80" s="142">
        <v>52615</v>
      </c>
      <c r="AI80" s="142">
        <v>53474.5</v>
      </c>
      <c r="AJ80" s="142">
        <v>55045.5</v>
      </c>
      <c r="AK80" s="142">
        <v>55775</v>
      </c>
      <c r="AL80" s="142">
        <v>56965.5</v>
      </c>
      <c r="AM80" s="142">
        <v>57975.5</v>
      </c>
      <c r="AN80" s="142">
        <v>58826.5</v>
      </c>
      <c r="AO80" s="142">
        <v>59189.5</v>
      </c>
      <c r="AP80" s="142">
        <v>59646</v>
      </c>
      <c r="AQ80" s="142">
        <v>59977.5</v>
      </c>
      <c r="AR80" s="142">
        <v>60384</v>
      </c>
      <c r="AS80" s="142">
        <v>60139.5</v>
      </c>
      <c r="AT80" s="142">
        <v>59771</v>
      </c>
      <c r="AU80" s="142">
        <v>59200.5</v>
      </c>
      <c r="AV80" s="142">
        <v>59640.5</v>
      </c>
      <c r="AW80" s="142">
        <v>60463.5</v>
      </c>
      <c r="AX80" s="142">
        <v>62242</v>
      </c>
      <c r="AY80" s="142">
        <v>63801</v>
      </c>
      <c r="AZ80" s="142">
        <v>64122</v>
      </c>
      <c r="BA80" s="142">
        <v>64478.5</v>
      </c>
      <c r="BB80" s="142">
        <v>65283</v>
      </c>
      <c r="BC80" s="142">
        <v>65798</v>
      </c>
      <c r="BD80" s="142">
        <v>66438</v>
      </c>
      <c r="BE80" s="142">
        <v>66899</v>
      </c>
      <c r="BF80" s="142">
        <v>67596.5</v>
      </c>
      <c r="BG80" s="142">
        <v>68074.5</v>
      </c>
      <c r="BH80" s="142">
        <v>68774</v>
      </c>
      <c r="BI80" s="142">
        <v>69307</v>
      </c>
      <c r="BJ80" s="142">
        <v>69886.5</v>
      </c>
      <c r="BK80" s="142">
        <v>70548</v>
      </c>
      <c r="BL80" s="142">
        <v>71249</v>
      </c>
      <c r="BM80" s="142">
        <v>71928.5</v>
      </c>
      <c r="BN80" s="142">
        <v>72548.5</v>
      </c>
      <c r="BO80" s="142">
        <v>73117</v>
      </c>
      <c r="BP80" s="142">
        <v>73642.5</v>
      </c>
      <c r="BQ80" s="142">
        <v>74118</v>
      </c>
      <c r="BR80" s="142">
        <v>74581</v>
      </c>
      <c r="BS80" s="142">
        <v>74957.5</v>
      </c>
      <c r="BT80" s="142">
        <v>75402</v>
      </c>
      <c r="BU80" s="142">
        <v>75798</v>
      </c>
      <c r="BV80" s="142">
        <v>76248</v>
      </c>
      <c r="BW80" s="142">
        <v>76650.5</v>
      </c>
      <c r="BX80" s="142">
        <v>77107</v>
      </c>
      <c r="BY80" s="142">
        <v>77561</v>
      </c>
      <c r="BZ80" s="142">
        <v>78111</v>
      </c>
      <c r="CA80" s="142">
        <v>78578</v>
      </c>
      <c r="CB80" s="142">
        <v>78981</v>
      </c>
      <c r="CC80" s="142">
        <v>79416.5</v>
      </c>
      <c r="CD80" s="142">
        <v>79825</v>
      </c>
      <c r="CE80" s="142">
        <v>80213</v>
      </c>
      <c r="CF80" s="142">
        <v>80637</v>
      </c>
      <c r="CG80" s="142">
        <v>81028.5</v>
      </c>
      <c r="CH80" s="142">
        <v>81404</v>
      </c>
      <c r="CI80" s="142">
        <v>81807</v>
      </c>
      <c r="CJ80" s="142">
        <v>82132.5</v>
      </c>
      <c r="CK80" s="142">
        <v>82473.5</v>
      </c>
      <c r="CL80" s="142">
        <v>82860</v>
      </c>
      <c r="CM80" s="142">
        <v>83173.5</v>
      </c>
      <c r="CN80" s="142">
        <v>83518.5</v>
      </c>
      <c r="CO80" s="142">
        <v>83851</v>
      </c>
      <c r="CP80" s="142">
        <v>84176</v>
      </c>
      <c r="CQ80" s="142">
        <v>84494</v>
      </c>
      <c r="CR80" s="142">
        <v>84774</v>
      </c>
      <c r="CS80" s="142">
        <v>85083.5</v>
      </c>
      <c r="CT80" s="142">
        <v>85364</v>
      </c>
      <c r="CU80" s="142">
        <v>85646</v>
      </c>
      <c r="CV80" s="142">
        <v>85903.5</v>
      </c>
      <c r="CW80" s="142">
        <v>86172.5</v>
      </c>
      <c r="CX80" s="142">
        <v>86448</v>
      </c>
      <c r="CY80" s="142">
        <v>86689.5</v>
      </c>
      <c r="CZ80" s="142">
        <v>86927.5</v>
      </c>
      <c r="DA80" s="142">
        <v>87162.5</v>
      </c>
      <c r="DB80" s="142">
        <v>87411.5</v>
      </c>
      <c r="DC80" s="142">
        <v>87653.5</v>
      </c>
      <c r="DD80" s="142">
        <v>87881.5</v>
      </c>
      <c r="DE80" s="142">
        <v>88102.5</v>
      </c>
      <c r="DF80" s="142">
        <v>88353.5</v>
      </c>
      <c r="DG80" s="142">
        <v>88557.5</v>
      </c>
      <c r="DH80" s="142">
        <v>88776.5</v>
      </c>
      <c r="DI80" s="142">
        <v>88972.5</v>
      </c>
      <c r="DJ80" s="142">
        <v>89197</v>
      </c>
      <c r="DK80" s="142">
        <v>89397</v>
      </c>
      <c r="DL80" s="142">
        <v>89590.5</v>
      </c>
      <c r="DM80" s="142">
        <v>89794.5</v>
      </c>
      <c r="DN80" s="142">
        <v>89995</v>
      </c>
      <c r="DO80" s="142">
        <v>90191</v>
      </c>
      <c r="DP80" s="142"/>
      <c r="DQ80" s="142"/>
    </row>
    <row r="81" spans="1:121">
      <c r="A81" s="140">
        <v>79</v>
      </c>
      <c r="B81" s="142"/>
      <c r="C81" s="142"/>
      <c r="D81" s="142"/>
      <c r="E81" s="142"/>
      <c r="F81" s="142"/>
      <c r="G81" s="142"/>
      <c r="H81" s="142"/>
      <c r="I81" s="142"/>
      <c r="J81" s="142"/>
      <c r="K81" s="142"/>
      <c r="L81" s="142"/>
      <c r="M81" s="142"/>
      <c r="N81" s="142"/>
      <c r="O81" s="142"/>
      <c r="P81" s="142"/>
      <c r="Q81" s="142"/>
      <c r="R81" s="142"/>
      <c r="S81" s="142"/>
      <c r="T81" s="142"/>
      <c r="U81" s="142"/>
      <c r="V81" s="142"/>
      <c r="W81" s="142">
        <v>39916</v>
      </c>
      <c r="X81" s="142">
        <v>41097.5</v>
      </c>
      <c r="Y81" s="142">
        <v>41618.5</v>
      </c>
      <c r="Z81" s="142">
        <v>43413.5</v>
      </c>
      <c r="AA81" s="142">
        <v>44222.5</v>
      </c>
      <c r="AB81" s="142">
        <v>45198.5</v>
      </c>
      <c r="AC81" s="142">
        <v>46052</v>
      </c>
      <c r="AD81" s="142">
        <v>46778</v>
      </c>
      <c r="AE81" s="142">
        <v>47274</v>
      </c>
      <c r="AF81" s="142">
        <v>48604.5</v>
      </c>
      <c r="AG81" s="142">
        <v>49554</v>
      </c>
      <c r="AH81" s="142">
        <v>50492.5</v>
      </c>
      <c r="AI81" s="142">
        <v>51360.5</v>
      </c>
      <c r="AJ81" s="142">
        <v>52902.5</v>
      </c>
      <c r="AK81" s="142">
        <v>53755.5</v>
      </c>
      <c r="AL81" s="142">
        <v>54861.5</v>
      </c>
      <c r="AM81" s="142">
        <v>55870.5</v>
      </c>
      <c r="AN81" s="142">
        <v>56726.5</v>
      </c>
      <c r="AO81" s="142">
        <v>57113</v>
      </c>
      <c r="AP81" s="142">
        <v>57588</v>
      </c>
      <c r="AQ81" s="142">
        <v>57941.5</v>
      </c>
      <c r="AR81" s="142">
        <v>58367</v>
      </c>
      <c r="AS81" s="142">
        <v>58165.5</v>
      </c>
      <c r="AT81" s="142">
        <v>57842</v>
      </c>
      <c r="AU81" s="142">
        <v>57323.5</v>
      </c>
      <c r="AV81" s="142">
        <v>57781</v>
      </c>
      <c r="AW81" s="142">
        <v>58609</v>
      </c>
      <c r="AX81" s="142">
        <v>60364</v>
      </c>
      <c r="AY81" s="142">
        <v>61908</v>
      </c>
      <c r="AZ81" s="142">
        <v>62252.5</v>
      </c>
      <c r="BA81" s="142">
        <v>62631</v>
      </c>
      <c r="BB81" s="142">
        <v>63443.5</v>
      </c>
      <c r="BC81" s="142">
        <v>63976</v>
      </c>
      <c r="BD81" s="142">
        <v>64629</v>
      </c>
      <c r="BE81" s="142">
        <v>65108</v>
      </c>
      <c r="BF81" s="142">
        <v>65817.5</v>
      </c>
      <c r="BG81" s="142">
        <v>66314</v>
      </c>
      <c r="BH81" s="142">
        <v>67025</v>
      </c>
      <c r="BI81" s="142">
        <v>67573.5</v>
      </c>
      <c r="BJ81" s="142">
        <v>68168</v>
      </c>
      <c r="BK81" s="142">
        <v>68843</v>
      </c>
      <c r="BL81" s="142">
        <v>69555.5</v>
      </c>
      <c r="BM81" s="142">
        <v>70248</v>
      </c>
      <c r="BN81" s="142">
        <v>70882</v>
      </c>
      <c r="BO81" s="142">
        <v>71465.5</v>
      </c>
      <c r="BP81" s="142">
        <v>72008</v>
      </c>
      <c r="BQ81" s="142">
        <v>72500.5</v>
      </c>
      <c r="BR81" s="142">
        <v>72981</v>
      </c>
      <c r="BS81" s="142">
        <v>73377</v>
      </c>
      <c r="BT81" s="142">
        <v>73839.5</v>
      </c>
      <c r="BU81" s="142">
        <v>74254</v>
      </c>
      <c r="BV81" s="142">
        <v>74721</v>
      </c>
      <c r="BW81" s="142">
        <v>75142.5</v>
      </c>
      <c r="BX81" s="142">
        <v>75616</v>
      </c>
      <c r="BY81" s="142">
        <v>76086</v>
      </c>
      <c r="BZ81" s="142">
        <v>76651</v>
      </c>
      <c r="CA81" s="142">
        <v>77134</v>
      </c>
      <c r="CB81" s="142">
        <v>77555.5</v>
      </c>
      <c r="CC81" s="142">
        <v>78007.5</v>
      </c>
      <c r="CD81" s="142">
        <v>78432.5</v>
      </c>
      <c r="CE81" s="142">
        <v>78838</v>
      </c>
      <c r="CF81" s="142">
        <v>79278</v>
      </c>
      <c r="CG81" s="142">
        <v>79686.5</v>
      </c>
      <c r="CH81" s="142">
        <v>80078.5</v>
      </c>
      <c r="CI81" s="142">
        <v>80498.5</v>
      </c>
      <c r="CJ81" s="142">
        <v>80841.5</v>
      </c>
      <c r="CK81" s="142">
        <v>81199</v>
      </c>
      <c r="CL81" s="142">
        <v>81601.5</v>
      </c>
      <c r="CM81" s="142">
        <v>81932</v>
      </c>
      <c r="CN81" s="142">
        <v>82293</v>
      </c>
      <c r="CO81" s="142">
        <v>82642</v>
      </c>
      <c r="CP81" s="142">
        <v>82983</v>
      </c>
      <c r="CQ81" s="142">
        <v>83317.5</v>
      </c>
      <c r="CR81" s="142">
        <v>83614</v>
      </c>
      <c r="CS81" s="142">
        <v>83939</v>
      </c>
      <c r="CT81" s="142">
        <v>84235.5</v>
      </c>
      <c r="CU81" s="142">
        <v>84533.5</v>
      </c>
      <c r="CV81" s="142">
        <v>84807</v>
      </c>
      <c r="CW81" s="142">
        <v>85091</v>
      </c>
      <c r="CX81" s="142">
        <v>85382.5</v>
      </c>
      <c r="CY81" s="142">
        <v>85639</v>
      </c>
      <c r="CZ81" s="142">
        <v>85892</v>
      </c>
      <c r="DA81" s="142">
        <v>86142.5</v>
      </c>
      <c r="DB81" s="142">
        <v>86406.5</v>
      </c>
      <c r="DC81" s="142">
        <v>86663</v>
      </c>
      <c r="DD81" s="142">
        <v>86905.5</v>
      </c>
      <c r="DE81" s="142">
        <v>87141.5</v>
      </c>
      <c r="DF81" s="142">
        <v>87406</v>
      </c>
      <c r="DG81" s="142">
        <v>87624.5</v>
      </c>
      <c r="DH81" s="142">
        <v>87857</v>
      </c>
      <c r="DI81" s="142">
        <v>88067</v>
      </c>
      <c r="DJ81" s="142">
        <v>88305</v>
      </c>
      <c r="DK81" s="142">
        <v>88518.5</v>
      </c>
      <c r="DL81" s="142">
        <v>88725.5</v>
      </c>
      <c r="DM81" s="142">
        <v>88942.5</v>
      </c>
      <c r="DN81" s="142">
        <v>89155.5</v>
      </c>
      <c r="DO81" s="142">
        <v>89364.5</v>
      </c>
      <c r="DP81" s="142"/>
      <c r="DQ81" s="142"/>
    </row>
    <row r="82" spans="1:121">
      <c r="A82" s="140">
        <v>80</v>
      </c>
      <c r="B82" s="142"/>
      <c r="C82" s="142"/>
      <c r="D82" s="142"/>
      <c r="E82" s="142"/>
      <c r="F82" s="142"/>
      <c r="G82" s="142"/>
      <c r="H82" s="142"/>
      <c r="I82" s="142"/>
      <c r="J82" s="142"/>
      <c r="K82" s="142"/>
      <c r="L82" s="142"/>
      <c r="M82" s="142"/>
      <c r="N82" s="142"/>
      <c r="O82" s="142"/>
      <c r="P82" s="142"/>
      <c r="Q82" s="142"/>
      <c r="R82" s="142"/>
      <c r="S82" s="142"/>
      <c r="T82" s="142"/>
      <c r="U82" s="142"/>
      <c r="V82" s="142"/>
      <c r="W82" s="142">
        <v>37761.5</v>
      </c>
      <c r="X82" s="142">
        <v>38911</v>
      </c>
      <c r="Y82" s="142">
        <v>39396.5</v>
      </c>
      <c r="Z82" s="142">
        <v>41215.5</v>
      </c>
      <c r="AA82" s="142">
        <v>42013</v>
      </c>
      <c r="AB82" s="142">
        <v>43016</v>
      </c>
      <c r="AC82" s="142">
        <v>43916</v>
      </c>
      <c r="AD82" s="142">
        <v>44571.5</v>
      </c>
      <c r="AE82" s="142">
        <v>45054</v>
      </c>
      <c r="AF82" s="142">
        <v>46399</v>
      </c>
      <c r="AG82" s="142">
        <v>47320</v>
      </c>
      <c r="AH82" s="142">
        <v>48260</v>
      </c>
      <c r="AI82" s="142">
        <v>49069</v>
      </c>
      <c r="AJ82" s="142">
        <v>50704</v>
      </c>
      <c r="AK82" s="142">
        <v>51501</v>
      </c>
      <c r="AL82" s="142">
        <v>52596</v>
      </c>
      <c r="AM82" s="142">
        <v>53599.5</v>
      </c>
      <c r="AN82" s="142">
        <v>54458.5</v>
      </c>
      <c r="AO82" s="142">
        <v>54868</v>
      </c>
      <c r="AP82" s="142">
        <v>55361</v>
      </c>
      <c r="AQ82" s="142">
        <v>55737.5</v>
      </c>
      <c r="AR82" s="142">
        <v>56181</v>
      </c>
      <c r="AS82" s="142">
        <v>56024</v>
      </c>
      <c r="AT82" s="142">
        <v>55747</v>
      </c>
      <c r="AU82" s="142">
        <v>55283</v>
      </c>
      <c r="AV82" s="142">
        <v>55756.5</v>
      </c>
      <c r="AW82" s="142">
        <v>56589</v>
      </c>
      <c r="AX82" s="142">
        <v>58316.5</v>
      </c>
      <c r="AY82" s="142">
        <v>59842</v>
      </c>
      <c r="AZ82" s="142">
        <v>60210.5</v>
      </c>
      <c r="BA82" s="142">
        <v>60611.5</v>
      </c>
      <c r="BB82" s="142">
        <v>61431.5</v>
      </c>
      <c r="BC82" s="142">
        <v>61981</v>
      </c>
      <c r="BD82" s="142">
        <v>62646</v>
      </c>
      <c r="BE82" s="142">
        <v>63143.5</v>
      </c>
      <c r="BF82" s="142">
        <v>63864</v>
      </c>
      <c r="BG82" s="142">
        <v>64379.5</v>
      </c>
      <c r="BH82" s="142">
        <v>65101</v>
      </c>
      <c r="BI82" s="142">
        <v>65665.5</v>
      </c>
      <c r="BJ82" s="142">
        <v>66275.5</v>
      </c>
      <c r="BK82" s="142">
        <v>66962.5</v>
      </c>
      <c r="BL82" s="142">
        <v>67687</v>
      </c>
      <c r="BM82" s="142">
        <v>68391.5</v>
      </c>
      <c r="BN82" s="142">
        <v>69040</v>
      </c>
      <c r="BO82" s="142">
        <v>69639</v>
      </c>
      <c r="BP82" s="142">
        <v>70198</v>
      </c>
      <c r="BQ82" s="142">
        <v>70708.5</v>
      </c>
      <c r="BR82" s="142">
        <v>71207</v>
      </c>
      <c r="BS82" s="142">
        <v>71623.5</v>
      </c>
      <c r="BT82" s="142">
        <v>72103.5</v>
      </c>
      <c r="BU82" s="142">
        <v>72538</v>
      </c>
      <c r="BV82" s="142">
        <v>73022.5</v>
      </c>
      <c r="BW82" s="142">
        <v>73463</v>
      </c>
      <c r="BX82" s="142">
        <v>73954</v>
      </c>
      <c r="BY82" s="142">
        <v>74442</v>
      </c>
      <c r="BZ82" s="142">
        <v>75022</v>
      </c>
      <c r="CA82" s="142">
        <v>75522.5</v>
      </c>
      <c r="CB82" s="142">
        <v>75962</v>
      </c>
      <c r="CC82" s="142">
        <v>76431</v>
      </c>
      <c r="CD82" s="142">
        <v>76874</v>
      </c>
      <c r="CE82" s="142">
        <v>77298</v>
      </c>
      <c r="CF82" s="142">
        <v>77755.5</v>
      </c>
      <c r="CG82" s="142">
        <v>78182</v>
      </c>
      <c r="CH82" s="142">
        <v>78591.5</v>
      </c>
      <c r="CI82" s="142">
        <v>79028.5</v>
      </c>
      <c r="CJ82" s="142">
        <v>79390</v>
      </c>
      <c r="CK82" s="142">
        <v>79765.5</v>
      </c>
      <c r="CL82" s="142">
        <v>80185.5</v>
      </c>
      <c r="CM82" s="142">
        <v>80533.5</v>
      </c>
      <c r="CN82" s="142">
        <v>80912.5</v>
      </c>
      <c r="CO82" s="142">
        <v>81278.5</v>
      </c>
      <c r="CP82" s="142">
        <v>81637.5</v>
      </c>
      <c r="CQ82" s="142">
        <v>81989</v>
      </c>
      <c r="CR82" s="142">
        <v>82302.5</v>
      </c>
      <c r="CS82" s="142">
        <v>82645.5</v>
      </c>
      <c r="CT82" s="142">
        <v>82959</v>
      </c>
      <c r="CU82" s="142">
        <v>83273.5</v>
      </c>
      <c r="CV82" s="142">
        <v>83564.5</v>
      </c>
      <c r="CW82" s="142">
        <v>83866</v>
      </c>
      <c r="CX82" s="142">
        <v>84173.5</v>
      </c>
      <c r="CY82" s="142">
        <v>84447</v>
      </c>
      <c r="CZ82" s="142">
        <v>84716.5</v>
      </c>
      <c r="DA82" s="142">
        <v>84983.5</v>
      </c>
      <c r="DB82" s="142">
        <v>85263.5</v>
      </c>
      <c r="DC82" s="142">
        <v>85536</v>
      </c>
      <c r="DD82" s="142">
        <v>85794.5</v>
      </c>
      <c r="DE82" s="142">
        <v>86046</v>
      </c>
      <c r="DF82" s="142">
        <v>86326</v>
      </c>
      <c r="DG82" s="142">
        <v>86560</v>
      </c>
      <c r="DH82" s="142">
        <v>86808</v>
      </c>
      <c r="DI82" s="142">
        <v>87033</v>
      </c>
      <c r="DJ82" s="142">
        <v>87285.5</v>
      </c>
      <c r="DK82" s="142">
        <v>87514</v>
      </c>
      <c r="DL82" s="142">
        <v>87735.5</v>
      </c>
      <c r="DM82" s="142">
        <v>87967</v>
      </c>
      <c r="DN82" s="142">
        <v>88194.5</v>
      </c>
      <c r="DO82" s="142">
        <v>88418</v>
      </c>
      <c r="DP82" s="142"/>
      <c r="DQ82" s="142"/>
    </row>
    <row r="83" spans="1:121">
      <c r="A83" s="140">
        <v>81</v>
      </c>
      <c r="B83" s="142"/>
      <c r="C83" s="142"/>
      <c r="D83" s="142"/>
      <c r="E83" s="142"/>
      <c r="F83" s="142"/>
      <c r="G83" s="142"/>
      <c r="H83" s="142"/>
      <c r="I83" s="142"/>
      <c r="J83" s="142"/>
      <c r="K83" s="142"/>
      <c r="L83" s="142"/>
      <c r="M83" s="142"/>
      <c r="N83" s="142"/>
      <c r="O83" s="142"/>
      <c r="P83" s="142"/>
      <c r="Q83" s="142"/>
      <c r="R83" s="142"/>
      <c r="S83" s="142"/>
      <c r="T83" s="142"/>
      <c r="U83" s="142"/>
      <c r="V83" s="142"/>
      <c r="W83" s="142">
        <v>35502.5</v>
      </c>
      <c r="X83" s="142">
        <v>36552.5</v>
      </c>
      <c r="Y83" s="142">
        <v>37138.5</v>
      </c>
      <c r="Z83" s="142">
        <v>38925.5</v>
      </c>
      <c r="AA83" s="142">
        <v>39747</v>
      </c>
      <c r="AB83" s="142">
        <v>40715.5</v>
      </c>
      <c r="AC83" s="142">
        <v>41577.5</v>
      </c>
      <c r="AD83" s="142">
        <v>42205</v>
      </c>
      <c r="AE83" s="142">
        <v>42751</v>
      </c>
      <c r="AF83" s="142">
        <v>44067.5</v>
      </c>
      <c r="AG83" s="142">
        <v>44976.5</v>
      </c>
      <c r="AH83" s="142">
        <v>45851.5</v>
      </c>
      <c r="AI83" s="142">
        <v>46761</v>
      </c>
      <c r="AJ83" s="142">
        <v>48269</v>
      </c>
      <c r="AK83" s="142">
        <v>49075</v>
      </c>
      <c r="AL83" s="142">
        <v>50156</v>
      </c>
      <c r="AM83" s="142">
        <v>51151</v>
      </c>
      <c r="AN83" s="142">
        <v>52011</v>
      </c>
      <c r="AO83" s="142">
        <v>52443</v>
      </c>
      <c r="AP83" s="142">
        <v>52953</v>
      </c>
      <c r="AQ83" s="142">
        <v>53350.5</v>
      </c>
      <c r="AR83" s="142">
        <v>53812</v>
      </c>
      <c r="AS83" s="142">
        <v>53701</v>
      </c>
      <c r="AT83" s="142">
        <v>53472.5</v>
      </c>
      <c r="AU83" s="142">
        <v>53064.5</v>
      </c>
      <c r="AV83" s="142">
        <v>53554.5</v>
      </c>
      <c r="AW83" s="142">
        <v>54389.5</v>
      </c>
      <c r="AX83" s="142">
        <v>56084</v>
      </c>
      <c r="AY83" s="142">
        <v>57588</v>
      </c>
      <c r="AZ83" s="142">
        <v>57980.5</v>
      </c>
      <c r="BA83" s="142">
        <v>58403.5</v>
      </c>
      <c r="BB83" s="142">
        <v>59229.5</v>
      </c>
      <c r="BC83" s="142">
        <v>59795</v>
      </c>
      <c r="BD83" s="142">
        <v>60472</v>
      </c>
      <c r="BE83" s="142">
        <v>60987.5</v>
      </c>
      <c r="BF83" s="142">
        <v>61718</v>
      </c>
      <c r="BG83" s="142">
        <v>62252</v>
      </c>
      <c r="BH83" s="142">
        <v>62983.5</v>
      </c>
      <c r="BI83" s="142">
        <v>63564</v>
      </c>
      <c r="BJ83" s="142">
        <v>64188</v>
      </c>
      <c r="BK83" s="142">
        <v>64888</v>
      </c>
      <c r="BL83" s="142">
        <v>65623</v>
      </c>
      <c r="BM83" s="142">
        <v>66339.5</v>
      </c>
      <c r="BN83" s="142">
        <v>67002</v>
      </c>
      <c r="BO83" s="142">
        <v>67616</v>
      </c>
      <c r="BP83" s="142">
        <v>68192</v>
      </c>
      <c r="BQ83" s="142">
        <v>68720.5</v>
      </c>
      <c r="BR83" s="142">
        <v>69237.5</v>
      </c>
      <c r="BS83" s="142">
        <v>69675</v>
      </c>
      <c r="BT83" s="142">
        <v>70174</v>
      </c>
      <c r="BU83" s="142">
        <v>70628.5</v>
      </c>
      <c r="BV83" s="142">
        <v>71131.5</v>
      </c>
      <c r="BW83" s="142">
        <v>71591</v>
      </c>
      <c r="BX83" s="142">
        <v>72100.5</v>
      </c>
      <c r="BY83" s="142">
        <v>72606.5</v>
      </c>
      <c r="BZ83" s="142">
        <v>73202</v>
      </c>
      <c r="CA83" s="142">
        <v>73720</v>
      </c>
      <c r="CB83" s="142">
        <v>74178.5</v>
      </c>
      <c r="CC83" s="142">
        <v>74666.5</v>
      </c>
      <c r="CD83" s="142">
        <v>75128.5</v>
      </c>
      <c r="CE83" s="142">
        <v>75570.5</v>
      </c>
      <c r="CF83" s="142">
        <v>76046</v>
      </c>
      <c r="CG83" s="142">
        <v>76491</v>
      </c>
      <c r="CH83" s="142">
        <v>76920</v>
      </c>
      <c r="CI83" s="142">
        <v>77375</v>
      </c>
      <c r="CJ83" s="142">
        <v>77756.5</v>
      </c>
      <c r="CK83" s="142">
        <v>78150.5</v>
      </c>
      <c r="CL83" s="142">
        <v>78589</v>
      </c>
      <c r="CM83" s="142">
        <v>78956.5</v>
      </c>
      <c r="CN83" s="142">
        <v>79354</v>
      </c>
      <c r="CO83" s="142">
        <v>79738</v>
      </c>
      <c r="CP83" s="142">
        <v>80116</v>
      </c>
      <c r="CQ83" s="142">
        <v>80485.5</v>
      </c>
      <c r="CR83" s="142">
        <v>80818.5</v>
      </c>
      <c r="CS83" s="142">
        <v>81179.5</v>
      </c>
      <c r="CT83" s="142">
        <v>81512</v>
      </c>
      <c r="CU83" s="142">
        <v>81845</v>
      </c>
      <c r="CV83" s="142">
        <v>82154</v>
      </c>
      <c r="CW83" s="142">
        <v>82474</v>
      </c>
      <c r="CX83" s="142">
        <v>82799</v>
      </c>
      <c r="CY83" s="142">
        <v>83091.5</v>
      </c>
      <c r="CZ83" s="142">
        <v>83379</v>
      </c>
      <c r="DA83" s="142">
        <v>83663.5</v>
      </c>
      <c r="DB83" s="142">
        <v>83961</v>
      </c>
      <c r="DC83" s="142">
        <v>84251</v>
      </c>
      <c r="DD83" s="142">
        <v>84526.5</v>
      </c>
      <c r="DE83" s="142">
        <v>84795.5</v>
      </c>
      <c r="DF83" s="142">
        <v>85092.5</v>
      </c>
      <c r="DG83" s="142">
        <v>85343</v>
      </c>
      <c r="DH83" s="142">
        <v>85607.5</v>
      </c>
      <c r="DI83" s="142">
        <v>85849.5</v>
      </c>
      <c r="DJ83" s="142">
        <v>86118.5</v>
      </c>
      <c r="DK83" s="142">
        <v>86363</v>
      </c>
      <c r="DL83" s="142">
        <v>86600.5</v>
      </c>
      <c r="DM83" s="142">
        <v>86848</v>
      </c>
      <c r="DN83" s="142">
        <v>87091</v>
      </c>
      <c r="DO83" s="142">
        <v>87329.5</v>
      </c>
      <c r="DP83" s="142"/>
      <c r="DQ83" s="142"/>
    </row>
    <row r="84" spans="1:121">
      <c r="A84" s="140">
        <v>82</v>
      </c>
      <c r="B84" s="142"/>
      <c r="C84" s="142"/>
      <c r="D84" s="142"/>
      <c r="E84" s="142"/>
      <c r="F84" s="142"/>
      <c r="G84" s="142"/>
      <c r="H84" s="142"/>
      <c r="I84" s="142"/>
      <c r="J84" s="142"/>
      <c r="K84" s="142"/>
      <c r="L84" s="142"/>
      <c r="M84" s="142"/>
      <c r="N84" s="142"/>
      <c r="O84" s="142"/>
      <c r="P84" s="142"/>
      <c r="Q84" s="142"/>
      <c r="R84" s="142"/>
      <c r="S84" s="142"/>
      <c r="T84" s="142"/>
      <c r="U84" s="142"/>
      <c r="V84" s="142"/>
      <c r="W84" s="142">
        <v>33107</v>
      </c>
      <c r="X84" s="142">
        <v>34207</v>
      </c>
      <c r="Y84" s="142">
        <v>34806.5</v>
      </c>
      <c r="Z84" s="142">
        <v>36572.5</v>
      </c>
      <c r="AA84" s="142">
        <v>37366.5</v>
      </c>
      <c r="AB84" s="142">
        <v>38294</v>
      </c>
      <c r="AC84" s="142">
        <v>39107.5</v>
      </c>
      <c r="AD84" s="142">
        <v>39777.5</v>
      </c>
      <c r="AE84" s="142">
        <v>40314.5</v>
      </c>
      <c r="AF84" s="142">
        <v>41600</v>
      </c>
      <c r="AG84" s="142">
        <v>42419.5</v>
      </c>
      <c r="AH84" s="142">
        <v>43404.5</v>
      </c>
      <c r="AI84" s="142">
        <v>44198.5</v>
      </c>
      <c r="AJ84" s="142">
        <v>45672</v>
      </c>
      <c r="AK84" s="142">
        <v>46475</v>
      </c>
      <c r="AL84" s="142">
        <v>47538.5</v>
      </c>
      <c r="AM84" s="142">
        <v>48522</v>
      </c>
      <c r="AN84" s="142">
        <v>49379.5</v>
      </c>
      <c r="AO84" s="142">
        <v>49832</v>
      </c>
      <c r="AP84" s="142">
        <v>50357.5</v>
      </c>
      <c r="AQ84" s="142">
        <v>50776</v>
      </c>
      <c r="AR84" s="142">
        <v>51253</v>
      </c>
      <c r="AS84" s="142">
        <v>51188.5</v>
      </c>
      <c r="AT84" s="142">
        <v>51010.5</v>
      </c>
      <c r="AU84" s="142">
        <v>50661</v>
      </c>
      <c r="AV84" s="142">
        <v>51165.5</v>
      </c>
      <c r="AW84" s="142">
        <v>52000.5</v>
      </c>
      <c r="AX84" s="142">
        <v>53658</v>
      </c>
      <c r="AY84" s="142">
        <v>55136</v>
      </c>
      <c r="AZ84" s="142">
        <v>55551</v>
      </c>
      <c r="BA84" s="142">
        <v>55995.5</v>
      </c>
      <c r="BB84" s="142">
        <v>56826</v>
      </c>
      <c r="BC84" s="142">
        <v>57407</v>
      </c>
      <c r="BD84" s="142">
        <v>58094</v>
      </c>
      <c r="BE84" s="142">
        <v>58627</v>
      </c>
      <c r="BF84" s="142">
        <v>59367</v>
      </c>
      <c r="BG84" s="142">
        <v>59918</v>
      </c>
      <c r="BH84" s="142">
        <v>60659</v>
      </c>
      <c r="BI84" s="142">
        <v>61254</v>
      </c>
      <c r="BJ84" s="142">
        <v>61892</v>
      </c>
      <c r="BK84" s="142">
        <v>62603</v>
      </c>
      <c r="BL84" s="142">
        <v>63349</v>
      </c>
      <c r="BM84" s="142">
        <v>64076</v>
      </c>
      <c r="BN84" s="142">
        <v>64751.5</v>
      </c>
      <c r="BO84" s="142">
        <v>65380.5</v>
      </c>
      <c r="BP84" s="142">
        <v>65973.5</v>
      </c>
      <c r="BQ84" s="142">
        <v>66520</v>
      </c>
      <c r="BR84" s="142">
        <v>67055</v>
      </c>
      <c r="BS84" s="142">
        <v>67513.5</v>
      </c>
      <c r="BT84" s="142">
        <v>68031.5</v>
      </c>
      <c r="BU84" s="142">
        <v>68506</v>
      </c>
      <c r="BV84" s="142">
        <v>69028</v>
      </c>
      <c r="BW84" s="142">
        <v>69508</v>
      </c>
      <c r="BX84" s="142">
        <v>70035.5</v>
      </c>
      <c r="BY84" s="142">
        <v>70559.5</v>
      </c>
      <c r="BZ84" s="142">
        <v>71171</v>
      </c>
      <c r="CA84" s="142">
        <v>71707.5</v>
      </c>
      <c r="CB84" s="142">
        <v>72186</v>
      </c>
      <c r="CC84" s="142">
        <v>72692.5</v>
      </c>
      <c r="CD84" s="142">
        <v>73173.5</v>
      </c>
      <c r="CE84" s="142">
        <v>73635.5</v>
      </c>
      <c r="CF84" s="142">
        <v>74129.5</v>
      </c>
      <c r="CG84" s="142">
        <v>74594</v>
      </c>
      <c r="CH84" s="142">
        <v>75042.5</v>
      </c>
      <c r="CI84" s="142">
        <v>75516.5</v>
      </c>
      <c r="CJ84" s="142">
        <v>75918.5</v>
      </c>
      <c r="CK84" s="142">
        <v>76333</v>
      </c>
      <c r="CL84" s="142">
        <v>76790.5</v>
      </c>
      <c r="CM84" s="142">
        <v>77178.5</v>
      </c>
      <c r="CN84" s="142">
        <v>77595</v>
      </c>
      <c r="CO84" s="142">
        <v>77999</v>
      </c>
      <c r="CP84" s="142">
        <v>78397</v>
      </c>
      <c r="CQ84" s="142">
        <v>78786</v>
      </c>
      <c r="CR84" s="142">
        <v>79139.5</v>
      </c>
      <c r="CS84" s="142">
        <v>79519.5</v>
      </c>
      <c r="CT84" s="142">
        <v>79872</v>
      </c>
      <c r="CU84" s="142">
        <v>80224.5</v>
      </c>
      <c r="CV84" s="142">
        <v>80553.5</v>
      </c>
      <c r="CW84" s="142">
        <v>80893</v>
      </c>
      <c r="CX84" s="142">
        <v>81237.5</v>
      </c>
      <c r="CY84" s="142">
        <v>81549.5</v>
      </c>
      <c r="CZ84" s="142">
        <v>81856.5</v>
      </c>
      <c r="DA84" s="142">
        <v>82160</v>
      </c>
      <c r="DB84" s="142">
        <v>82476.5</v>
      </c>
      <c r="DC84" s="142">
        <v>82785</v>
      </c>
      <c r="DD84" s="142">
        <v>83080</v>
      </c>
      <c r="DE84" s="142">
        <v>83367.5</v>
      </c>
      <c r="DF84" s="142">
        <v>83682</v>
      </c>
      <c r="DG84" s="142">
        <v>83951.5</v>
      </c>
      <c r="DH84" s="142">
        <v>84234.5</v>
      </c>
      <c r="DI84" s="142">
        <v>84494.5</v>
      </c>
      <c r="DJ84" s="142">
        <v>84781</v>
      </c>
      <c r="DK84" s="142">
        <v>85043.5</v>
      </c>
      <c r="DL84" s="142">
        <v>85298.5</v>
      </c>
      <c r="DM84" s="142">
        <v>85563</v>
      </c>
      <c r="DN84" s="142">
        <v>85823.5</v>
      </c>
      <c r="DO84" s="142">
        <v>86079</v>
      </c>
      <c r="DP84" s="142"/>
      <c r="DQ84" s="142"/>
    </row>
    <row r="85" spans="1:121">
      <c r="A85" s="140">
        <v>83</v>
      </c>
      <c r="B85" s="142"/>
      <c r="C85" s="142"/>
      <c r="D85" s="142"/>
      <c r="E85" s="142"/>
      <c r="F85" s="142"/>
      <c r="G85" s="142"/>
      <c r="H85" s="142"/>
      <c r="I85" s="142"/>
      <c r="J85" s="142"/>
      <c r="K85" s="142"/>
      <c r="L85" s="142"/>
      <c r="M85" s="142"/>
      <c r="N85" s="142"/>
      <c r="O85" s="142"/>
      <c r="P85" s="142"/>
      <c r="Q85" s="142"/>
      <c r="R85" s="142"/>
      <c r="S85" s="142"/>
      <c r="T85" s="142"/>
      <c r="U85" s="142"/>
      <c r="V85" s="142"/>
      <c r="W85" s="142">
        <v>30742.5</v>
      </c>
      <c r="X85" s="142">
        <v>31803.5</v>
      </c>
      <c r="Y85" s="142">
        <v>32415.5</v>
      </c>
      <c r="Z85" s="142">
        <v>34141</v>
      </c>
      <c r="AA85" s="142">
        <v>34868.5</v>
      </c>
      <c r="AB85" s="142">
        <v>35721</v>
      </c>
      <c r="AC85" s="142">
        <v>36606.5</v>
      </c>
      <c r="AD85" s="142">
        <v>37197</v>
      </c>
      <c r="AE85" s="142">
        <v>37741</v>
      </c>
      <c r="AF85" s="142">
        <v>38911.5</v>
      </c>
      <c r="AG85" s="142">
        <v>39844.5</v>
      </c>
      <c r="AH85" s="142">
        <v>40706</v>
      </c>
      <c r="AI85" s="142">
        <v>41487.5</v>
      </c>
      <c r="AJ85" s="142">
        <v>42912.5</v>
      </c>
      <c r="AK85" s="142">
        <v>43708.5</v>
      </c>
      <c r="AL85" s="142">
        <v>44750.5</v>
      </c>
      <c r="AM85" s="142">
        <v>45718.5</v>
      </c>
      <c r="AN85" s="142">
        <v>46569</v>
      </c>
      <c r="AO85" s="142">
        <v>47041</v>
      </c>
      <c r="AP85" s="142">
        <v>47579</v>
      </c>
      <c r="AQ85" s="142">
        <v>48016.5</v>
      </c>
      <c r="AR85" s="142">
        <v>48507.5</v>
      </c>
      <c r="AS85" s="142">
        <v>48490</v>
      </c>
      <c r="AT85" s="142">
        <v>48361.5</v>
      </c>
      <c r="AU85" s="142">
        <v>48072.5</v>
      </c>
      <c r="AV85" s="142">
        <v>48590</v>
      </c>
      <c r="AW85" s="142">
        <v>49422</v>
      </c>
      <c r="AX85" s="142">
        <v>51036.5</v>
      </c>
      <c r="AY85" s="142">
        <v>52483.5</v>
      </c>
      <c r="AZ85" s="142">
        <v>52920</v>
      </c>
      <c r="BA85" s="142">
        <v>53385.5</v>
      </c>
      <c r="BB85" s="142">
        <v>54217</v>
      </c>
      <c r="BC85" s="142">
        <v>54812</v>
      </c>
      <c r="BD85" s="142">
        <v>55508.5</v>
      </c>
      <c r="BE85" s="142">
        <v>56057</v>
      </c>
      <c r="BF85" s="142">
        <v>56803.5</v>
      </c>
      <c r="BG85" s="142">
        <v>57372</v>
      </c>
      <c r="BH85" s="142">
        <v>58119.5</v>
      </c>
      <c r="BI85" s="142">
        <v>58728.5</v>
      </c>
      <c r="BJ85" s="142">
        <v>59379.5</v>
      </c>
      <c r="BK85" s="142">
        <v>60100</v>
      </c>
      <c r="BL85" s="142">
        <v>60854</v>
      </c>
      <c r="BM85" s="142">
        <v>61591</v>
      </c>
      <c r="BN85" s="142">
        <v>62278.5</v>
      </c>
      <c r="BO85" s="142">
        <v>62921.5</v>
      </c>
      <c r="BP85" s="142">
        <v>63530.5</v>
      </c>
      <c r="BQ85" s="142">
        <v>64094.5</v>
      </c>
      <c r="BR85" s="142">
        <v>64648.5</v>
      </c>
      <c r="BS85" s="142">
        <v>65127.5</v>
      </c>
      <c r="BT85" s="142">
        <v>65664</v>
      </c>
      <c r="BU85" s="142">
        <v>66159</v>
      </c>
      <c r="BV85" s="142">
        <v>66700</v>
      </c>
      <c r="BW85" s="142">
        <v>67199.5</v>
      </c>
      <c r="BX85" s="142">
        <v>67745.5</v>
      </c>
      <c r="BY85" s="142">
        <v>68288</v>
      </c>
      <c r="BZ85" s="142">
        <v>68915</v>
      </c>
      <c r="CA85" s="142">
        <v>69469.5</v>
      </c>
      <c r="CB85" s="142">
        <v>69968</v>
      </c>
      <c r="CC85" s="142">
        <v>70493</v>
      </c>
      <c r="CD85" s="142">
        <v>70993.5</v>
      </c>
      <c r="CE85" s="142">
        <v>71476</v>
      </c>
      <c r="CF85" s="142">
        <v>71989</v>
      </c>
      <c r="CG85" s="142">
        <v>72473.5</v>
      </c>
      <c r="CH85" s="142">
        <v>72942.5</v>
      </c>
      <c r="CI85" s="142">
        <v>73436</v>
      </c>
      <c r="CJ85" s="142">
        <v>73859</v>
      </c>
      <c r="CK85" s="142">
        <v>74294.5</v>
      </c>
      <c r="CL85" s="142">
        <v>74771</v>
      </c>
      <c r="CM85" s="142">
        <v>75180.5</v>
      </c>
      <c r="CN85" s="142">
        <v>75618</v>
      </c>
      <c r="CO85" s="142">
        <v>76042.5</v>
      </c>
      <c r="CP85" s="142">
        <v>76460.5</v>
      </c>
      <c r="CQ85" s="142">
        <v>76870.5</v>
      </c>
      <c r="CR85" s="142">
        <v>77245.5</v>
      </c>
      <c r="CS85" s="142">
        <v>77646.5</v>
      </c>
      <c r="CT85" s="142">
        <v>78019.5</v>
      </c>
      <c r="CU85" s="142">
        <v>78393</v>
      </c>
      <c r="CV85" s="142">
        <v>78743.5</v>
      </c>
      <c r="CW85" s="142">
        <v>79103</v>
      </c>
      <c r="CX85" s="142">
        <v>79468.5</v>
      </c>
      <c r="CY85" s="142">
        <v>79801</v>
      </c>
      <c r="CZ85" s="142">
        <v>80128.5</v>
      </c>
      <c r="DA85" s="142">
        <v>80453</v>
      </c>
      <c r="DB85" s="142">
        <v>80789.5</v>
      </c>
      <c r="DC85" s="142">
        <v>81118.5</v>
      </c>
      <c r="DD85" s="142">
        <v>81433.5</v>
      </c>
      <c r="DE85" s="142">
        <v>81742</v>
      </c>
      <c r="DF85" s="142">
        <v>82075.5</v>
      </c>
      <c r="DG85" s="142">
        <v>82365</v>
      </c>
      <c r="DH85" s="142">
        <v>82667.5</v>
      </c>
      <c r="DI85" s="142">
        <v>82947</v>
      </c>
      <c r="DJ85" s="142">
        <v>83252.5</v>
      </c>
      <c r="DK85" s="142">
        <v>83534</v>
      </c>
      <c r="DL85" s="142">
        <v>83808.5</v>
      </c>
      <c r="DM85" s="142">
        <v>84092</v>
      </c>
      <c r="DN85" s="142">
        <v>84371</v>
      </c>
      <c r="DO85" s="142">
        <v>84645</v>
      </c>
      <c r="DP85" s="142"/>
      <c r="DQ85" s="142"/>
    </row>
    <row r="86" spans="1:121">
      <c r="A86" s="140">
        <v>84</v>
      </c>
      <c r="B86" s="142"/>
      <c r="C86" s="142"/>
      <c r="D86" s="142"/>
      <c r="E86" s="142"/>
      <c r="F86" s="142"/>
      <c r="G86" s="142"/>
      <c r="H86" s="142"/>
      <c r="I86" s="142"/>
      <c r="J86" s="142"/>
      <c r="K86" s="142"/>
      <c r="L86" s="142"/>
      <c r="M86" s="142"/>
      <c r="N86" s="142"/>
      <c r="O86" s="142"/>
      <c r="P86" s="142"/>
      <c r="Q86" s="142"/>
      <c r="R86" s="142"/>
      <c r="S86" s="142"/>
      <c r="T86" s="142"/>
      <c r="U86" s="142"/>
      <c r="V86" s="142"/>
      <c r="W86" s="142">
        <v>28300.5</v>
      </c>
      <c r="X86" s="142">
        <v>29328.5</v>
      </c>
      <c r="Y86" s="142">
        <v>29975</v>
      </c>
      <c r="Z86" s="142">
        <v>31596</v>
      </c>
      <c r="AA86" s="142">
        <v>32260.5</v>
      </c>
      <c r="AB86" s="142">
        <v>33136.5</v>
      </c>
      <c r="AC86" s="142">
        <v>33957</v>
      </c>
      <c r="AD86" s="142">
        <v>34529</v>
      </c>
      <c r="AE86" s="142">
        <v>34983.5</v>
      </c>
      <c r="AF86" s="142">
        <v>36244</v>
      </c>
      <c r="AG86" s="142">
        <v>37046.5</v>
      </c>
      <c r="AH86" s="142">
        <v>37869</v>
      </c>
      <c r="AI86" s="142">
        <v>38638</v>
      </c>
      <c r="AJ86" s="142">
        <v>40007.5</v>
      </c>
      <c r="AK86" s="142">
        <v>40792</v>
      </c>
      <c r="AL86" s="142">
        <v>41807.5</v>
      </c>
      <c r="AM86" s="142">
        <v>42754.5</v>
      </c>
      <c r="AN86" s="142">
        <v>43594.5</v>
      </c>
      <c r="AO86" s="142">
        <v>44082.5</v>
      </c>
      <c r="AP86" s="142">
        <v>44630.5</v>
      </c>
      <c r="AQ86" s="142">
        <v>45084.5</v>
      </c>
      <c r="AR86" s="142">
        <v>45587.5</v>
      </c>
      <c r="AS86" s="142">
        <v>45615</v>
      </c>
      <c r="AT86" s="142">
        <v>45537</v>
      </c>
      <c r="AU86" s="142">
        <v>45307.5</v>
      </c>
      <c r="AV86" s="142">
        <v>45836</v>
      </c>
      <c r="AW86" s="142">
        <v>46662.5</v>
      </c>
      <c r="AX86" s="142">
        <v>48227</v>
      </c>
      <c r="AY86" s="142">
        <v>49637</v>
      </c>
      <c r="AZ86" s="142">
        <v>50094</v>
      </c>
      <c r="BA86" s="142">
        <v>50577.5</v>
      </c>
      <c r="BB86" s="142">
        <v>51407.5</v>
      </c>
      <c r="BC86" s="142">
        <v>52014.5</v>
      </c>
      <c r="BD86" s="142">
        <v>52716.5</v>
      </c>
      <c r="BE86" s="142">
        <v>53279.5</v>
      </c>
      <c r="BF86" s="142">
        <v>54030.5</v>
      </c>
      <c r="BG86" s="142">
        <v>54613</v>
      </c>
      <c r="BH86" s="142">
        <v>55365.5</v>
      </c>
      <c r="BI86" s="142">
        <v>55987</v>
      </c>
      <c r="BJ86" s="142">
        <v>56648.5</v>
      </c>
      <c r="BK86" s="142">
        <v>57376.5</v>
      </c>
      <c r="BL86" s="142">
        <v>58138</v>
      </c>
      <c r="BM86" s="142">
        <v>58882</v>
      </c>
      <c r="BN86" s="142">
        <v>59580</v>
      </c>
      <c r="BO86" s="142">
        <v>60235.5</v>
      </c>
      <c r="BP86" s="142">
        <v>60859</v>
      </c>
      <c r="BQ86" s="142">
        <v>61439.5</v>
      </c>
      <c r="BR86" s="142">
        <v>62010.5</v>
      </c>
      <c r="BS86" s="142">
        <v>62509.5</v>
      </c>
      <c r="BT86" s="142">
        <v>63064</v>
      </c>
      <c r="BU86" s="142">
        <v>63579</v>
      </c>
      <c r="BV86" s="142">
        <v>64137.5</v>
      </c>
      <c r="BW86" s="142">
        <v>64657</v>
      </c>
      <c r="BX86" s="142">
        <v>65220.5</v>
      </c>
      <c r="BY86" s="142">
        <v>65781</v>
      </c>
      <c r="BZ86" s="142">
        <v>66422.5</v>
      </c>
      <c r="CA86" s="142">
        <v>66994.5</v>
      </c>
      <c r="CB86" s="142">
        <v>67513.5</v>
      </c>
      <c r="CC86" s="142">
        <v>68057</v>
      </c>
      <c r="CD86" s="142">
        <v>68577</v>
      </c>
      <c r="CE86" s="142">
        <v>69079.5</v>
      </c>
      <c r="CF86" s="142">
        <v>69611.5</v>
      </c>
      <c r="CG86" s="142">
        <v>70116</v>
      </c>
      <c r="CH86" s="142">
        <v>70605</v>
      </c>
      <c r="CI86" s="142">
        <v>71118.5</v>
      </c>
      <c r="CJ86" s="142">
        <v>71563.5</v>
      </c>
      <c r="CK86" s="142">
        <v>72020.5</v>
      </c>
      <c r="CL86" s="142">
        <v>72517</v>
      </c>
      <c r="CM86" s="142">
        <v>72948.5</v>
      </c>
      <c r="CN86" s="142">
        <v>73406.5</v>
      </c>
      <c r="CO86" s="142">
        <v>73852.5</v>
      </c>
      <c r="CP86" s="142">
        <v>74291.5</v>
      </c>
      <c r="CQ86" s="142">
        <v>74723</v>
      </c>
      <c r="CR86" s="142">
        <v>75120.5</v>
      </c>
      <c r="CS86" s="142">
        <v>75542.5</v>
      </c>
      <c r="CT86" s="142">
        <v>75937.5</v>
      </c>
      <c r="CU86" s="142">
        <v>76333</v>
      </c>
      <c r="CV86" s="142">
        <v>76705</v>
      </c>
      <c r="CW86" s="142">
        <v>77087</v>
      </c>
      <c r="CX86" s="142">
        <v>77473</v>
      </c>
      <c r="CY86" s="142">
        <v>77828</v>
      </c>
      <c r="CZ86" s="142">
        <v>78177</v>
      </c>
      <c r="DA86" s="142">
        <v>78524</v>
      </c>
      <c r="DB86" s="142">
        <v>78881.5</v>
      </c>
      <c r="DC86" s="142">
        <v>79232.5</v>
      </c>
      <c r="DD86" s="142">
        <v>79568.5</v>
      </c>
      <c r="DE86" s="142">
        <v>79898</v>
      </c>
      <c r="DF86" s="142">
        <v>80252.5</v>
      </c>
      <c r="DG86" s="142">
        <v>80563</v>
      </c>
      <c r="DH86" s="142">
        <v>80886.5</v>
      </c>
      <c r="DI86" s="142">
        <v>81187</v>
      </c>
      <c r="DJ86" s="142">
        <v>81513.5</v>
      </c>
      <c r="DK86" s="142">
        <v>81815.5</v>
      </c>
      <c r="DL86" s="142">
        <v>82110.5</v>
      </c>
      <c r="DM86" s="142">
        <v>82414.5</v>
      </c>
      <c r="DN86" s="142">
        <v>82713.5</v>
      </c>
      <c r="DO86" s="142">
        <v>83007</v>
      </c>
      <c r="DP86" s="142"/>
      <c r="DQ86" s="142"/>
    </row>
    <row r="87" spans="1:121">
      <c r="A87" s="140">
        <v>85</v>
      </c>
      <c r="B87" s="142"/>
      <c r="C87" s="142"/>
      <c r="D87" s="142"/>
      <c r="E87" s="142"/>
      <c r="F87" s="142"/>
      <c r="G87" s="142"/>
      <c r="H87" s="142"/>
      <c r="I87" s="142"/>
      <c r="J87" s="142"/>
      <c r="K87" s="142"/>
      <c r="L87" s="142"/>
      <c r="M87" s="142"/>
      <c r="N87" s="142"/>
      <c r="O87" s="142"/>
      <c r="P87" s="142"/>
      <c r="Q87" s="142"/>
      <c r="R87" s="142"/>
      <c r="S87" s="142"/>
      <c r="T87" s="142"/>
      <c r="U87" s="142"/>
      <c r="V87" s="142"/>
      <c r="W87" s="142">
        <v>25854</v>
      </c>
      <c r="X87" s="142">
        <v>26877</v>
      </c>
      <c r="Y87" s="142">
        <v>27464.5</v>
      </c>
      <c r="Z87" s="142">
        <v>28930</v>
      </c>
      <c r="AA87" s="142">
        <v>29600</v>
      </c>
      <c r="AB87" s="142">
        <v>30437.5</v>
      </c>
      <c r="AC87" s="142">
        <v>31215.5</v>
      </c>
      <c r="AD87" s="142">
        <v>31676.5</v>
      </c>
      <c r="AE87" s="142">
        <v>32271</v>
      </c>
      <c r="AF87" s="142">
        <v>33347</v>
      </c>
      <c r="AG87" s="142">
        <v>34123</v>
      </c>
      <c r="AH87" s="142">
        <v>34920.5</v>
      </c>
      <c r="AI87" s="142">
        <v>35670.5</v>
      </c>
      <c r="AJ87" s="142">
        <v>36978.5</v>
      </c>
      <c r="AK87" s="142">
        <v>37747</v>
      </c>
      <c r="AL87" s="142">
        <v>38730</v>
      </c>
      <c r="AM87" s="142">
        <v>39651.5</v>
      </c>
      <c r="AN87" s="142">
        <v>40476.5</v>
      </c>
      <c r="AO87" s="142">
        <v>40975.5</v>
      </c>
      <c r="AP87" s="142">
        <v>41530</v>
      </c>
      <c r="AQ87" s="142">
        <v>41997</v>
      </c>
      <c r="AR87" s="142">
        <v>42508</v>
      </c>
      <c r="AS87" s="142">
        <v>42580</v>
      </c>
      <c r="AT87" s="142">
        <v>42550.5</v>
      </c>
      <c r="AU87" s="142">
        <v>42380.5</v>
      </c>
      <c r="AV87" s="142">
        <v>42916.5</v>
      </c>
      <c r="AW87" s="142">
        <v>43732.5</v>
      </c>
      <c r="AX87" s="142">
        <v>45241</v>
      </c>
      <c r="AY87" s="142">
        <v>46608</v>
      </c>
      <c r="AZ87" s="142">
        <v>47082</v>
      </c>
      <c r="BA87" s="142">
        <v>47581.5</v>
      </c>
      <c r="BB87" s="142">
        <v>48406.5</v>
      </c>
      <c r="BC87" s="142">
        <v>49022</v>
      </c>
      <c r="BD87" s="142">
        <v>49726</v>
      </c>
      <c r="BE87" s="142">
        <v>50301</v>
      </c>
      <c r="BF87" s="142">
        <v>51053.5</v>
      </c>
      <c r="BG87" s="142">
        <v>51648</v>
      </c>
      <c r="BH87" s="142">
        <v>52402</v>
      </c>
      <c r="BI87" s="142">
        <v>53033</v>
      </c>
      <c r="BJ87" s="142">
        <v>53702.5</v>
      </c>
      <c r="BK87" s="142">
        <v>54436</v>
      </c>
      <c r="BL87" s="142">
        <v>55200.5</v>
      </c>
      <c r="BM87" s="142">
        <v>55950</v>
      </c>
      <c r="BN87" s="142">
        <v>56656</v>
      </c>
      <c r="BO87" s="142">
        <v>57321.5</v>
      </c>
      <c r="BP87" s="142">
        <v>57957.5</v>
      </c>
      <c r="BQ87" s="142">
        <v>58553</v>
      </c>
      <c r="BR87" s="142">
        <v>59138.5</v>
      </c>
      <c r="BS87" s="142">
        <v>59657</v>
      </c>
      <c r="BT87" s="142">
        <v>60228.5</v>
      </c>
      <c r="BU87" s="142">
        <v>60761.5</v>
      </c>
      <c r="BV87" s="142">
        <v>61336.5</v>
      </c>
      <c r="BW87" s="142">
        <v>61874.5</v>
      </c>
      <c r="BX87" s="142">
        <v>62455</v>
      </c>
      <c r="BY87" s="142">
        <v>63031.5</v>
      </c>
      <c r="BZ87" s="142">
        <v>63687</v>
      </c>
      <c r="CA87" s="142">
        <v>64275.5</v>
      </c>
      <c r="CB87" s="142">
        <v>64813.5</v>
      </c>
      <c r="CC87" s="142">
        <v>65375</v>
      </c>
      <c r="CD87" s="142">
        <v>65913.5</v>
      </c>
      <c r="CE87" s="142">
        <v>66436</v>
      </c>
      <c r="CF87" s="142">
        <v>66986</v>
      </c>
      <c r="CG87" s="142">
        <v>67510.5</v>
      </c>
      <c r="CH87" s="142">
        <v>68020</v>
      </c>
      <c r="CI87" s="142">
        <v>68552</v>
      </c>
      <c r="CJ87" s="142">
        <v>69019</v>
      </c>
      <c r="CK87" s="142">
        <v>69497.5</v>
      </c>
      <c r="CL87" s="142">
        <v>70013.5</v>
      </c>
      <c r="CM87" s="142">
        <v>70467.5</v>
      </c>
      <c r="CN87" s="142">
        <v>70946.5</v>
      </c>
      <c r="CO87" s="142">
        <v>71413.5</v>
      </c>
      <c r="CP87" s="142">
        <v>71874</v>
      </c>
      <c r="CQ87" s="142">
        <v>72327</v>
      </c>
      <c r="CR87" s="142">
        <v>72747</v>
      </c>
      <c r="CS87" s="142">
        <v>73190.5</v>
      </c>
      <c r="CT87" s="142">
        <v>73608.5</v>
      </c>
      <c r="CU87" s="142">
        <v>74026</v>
      </c>
      <c r="CV87" s="142">
        <v>74421.5</v>
      </c>
      <c r="CW87" s="142">
        <v>74825.5</v>
      </c>
      <c r="CX87" s="142">
        <v>75233.5</v>
      </c>
      <c r="CY87" s="142">
        <v>75611.5</v>
      </c>
      <c r="CZ87" s="142">
        <v>75984</v>
      </c>
      <c r="DA87" s="142">
        <v>76353</v>
      </c>
      <c r="DB87" s="142">
        <v>76733.5</v>
      </c>
      <c r="DC87" s="142">
        <v>77106</v>
      </c>
      <c r="DD87" s="142">
        <v>77465</v>
      </c>
      <c r="DE87" s="142">
        <v>77816.5</v>
      </c>
      <c r="DF87" s="142">
        <v>78193</v>
      </c>
      <c r="DG87" s="142">
        <v>78526.5</v>
      </c>
      <c r="DH87" s="142">
        <v>78871.5</v>
      </c>
      <c r="DI87" s="142">
        <v>79195</v>
      </c>
      <c r="DJ87" s="142">
        <v>79542</v>
      </c>
      <c r="DK87" s="142">
        <v>79867</v>
      </c>
      <c r="DL87" s="142">
        <v>80183.5</v>
      </c>
      <c r="DM87" s="142">
        <v>80509</v>
      </c>
      <c r="DN87" s="142">
        <v>80829</v>
      </c>
      <c r="DO87" s="142">
        <v>81144.5</v>
      </c>
      <c r="DP87" s="142"/>
      <c r="DQ87" s="142"/>
    </row>
    <row r="88" spans="1:121">
      <c r="A88" s="140">
        <v>86</v>
      </c>
      <c r="B88" s="142"/>
      <c r="C88" s="142"/>
      <c r="D88" s="142"/>
      <c r="E88" s="142"/>
      <c r="F88" s="142"/>
      <c r="G88" s="142"/>
      <c r="H88" s="142"/>
      <c r="I88" s="142"/>
      <c r="J88" s="142"/>
      <c r="K88" s="142"/>
      <c r="L88" s="142"/>
      <c r="M88" s="142"/>
      <c r="N88" s="142"/>
      <c r="O88" s="142"/>
      <c r="P88" s="142"/>
      <c r="Q88" s="142"/>
      <c r="R88" s="142"/>
      <c r="S88" s="142"/>
      <c r="T88" s="142"/>
      <c r="U88" s="142"/>
      <c r="V88" s="142"/>
      <c r="W88" s="142">
        <v>23416.5</v>
      </c>
      <c r="X88" s="142">
        <v>24314</v>
      </c>
      <c r="Y88" s="142">
        <v>24822.5</v>
      </c>
      <c r="Z88" s="142">
        <v>26277</v>
      </c>
      <c r="AA88" s="142">
        <v>26884</v>
      </c>
      <c r="AB88" s="142">
        <v>27659.5</v>
      </c>
      <c r="AC88" s="142">
        <v>28319.5</v>
      </c>
      <c r="AD88" s="142">
        <v>28897</v>
      </c>
      <c r="AE88" s="142">
        <v>29356.5</v>
      </c>
      <c r="AF88" s="142">
        <v>30372</v>
      </c>
      <c r="AG88" s="142">
        <v>31119.5</v>
      </c>
      <c r="AH88" s="142">
        <v>31886.5</v>
      </c>
      <c r="AI88" s="142">
        <v>32613.5</v>
      </c>
      <c r="AJ88" s="142">
        <v>33852.5</v>
      </c>
      <c r="AK88" s="142">
        <v>34600</v>
      </c>
      <c r="AL88" s="142">
        <v>35545</v>
      </c>
      <c r="AM88" s="142">
        <v>36435</v>
      </c>
      <c r="AN88" s="142">
        <v>37238</v>
      </c>
      <c r="AO88" s="142">
        <v>37744.5</v>
      </c>
      <c r="AP88" s="142">
        <v>38300.5</v>
      </c>
      <c r="AQ88" s="142">
        <v>38776.5</v>
      </c>
      <c r="AR88" s="142">
        <v>39292</v>
      </c>
      <c r="AS88" s="142">
        <v>39405</v>
      </c>
      <c r="AT88" s="142">
        <v>39422</v>
      </c>
      <c r="AU88" s="142">
        <v>39309.5</v>
      </c>
      <c r="AV88" s="142">
        <v>39849.5</v>
      </c>
      <c r="AW88" s="142">
        <v>40650.5</v>
      </c>
      <c r="AX88" s="142">
        <v>42095</v>
      </c>
      <c r="AY88" s="142">
        <v>43412.5</v>
      </c>
      <c r="AZ88" s="142">
        <v>43900</v>
      </c>
      <c r="BA88" s="142">
        <v>44411</v>
      </c>
      <c r="BB88" s="142">
        <v>45226</v>
      </c>
      <c r="BC88" s="142">
        <v>45846.5</v>
      </c>
      <c r="BD88" s="142">
        <v>46549.5</v>
      </c>
      <c r="BE88" s="142">
        <v>47132.5</v>
      </c>
      <c r="BF88" s="142">
        <v>47882</v>
      </c>
      <c r="BG88" s="142">
        <v>48486</v>
      </c>
      <c r="BH88" s="142">
        <v>49237</v>
      </c>
      <c r="BI88" s="142">
        <v>49874</v>
      </c>
      <c r="BJ88" s="142">
        <v>50548.5</v>
      </c>
      <c r="BK88" s="142">
        <v>51283</v>
      </c>
      <c r="BL88" s="142">
        <v>52048</v>
      </c>
      <c r="BM88" s="142">
        <v>52799.5</v>
      </c>
      <c r="BN88" s="142">
        <v>53510</v>
      </c>
      <c r="BO88" s="142">
        <v>54182.5</v>
      </c>
      <c r="BP88" s="142">
        <v>54829</v>
      </c>
      <c r="BQ88" s="142">
        <v>55436</v>
      </c>
      <c r="BR88" s="142">
        <v>56035</v>
      </c>
      <c r="BS88" s="142">
        <v>56570.5</v>
      </c>
      <c r="BT88" s="142">
        <v>57155.5</v>
      </c>
      <c r="BU88" s="142">
        <v>57706</v>
      </c>
      <c r="BV88" s="142">
        <v>58295</v>
      </c>
      <c r="BW88" s="142">
        <v>58850.5</v>
      </c>
      <c r="BX88" s="142">
        <v>59444.5</v>
      </c>
      <c r="BY88" s="142">
        <v>60036.5</v>
      </c>
      <c r="BZ88" s="142">
        <v>60703.5</v>
      </c>
      <c r="CA88" s="142">
        <v>61307</v>
      </c>
      <c r="CB88" s="142">
        <v>61862.5</v>
      </c>
      <c r="CC88" s="142">
        <v>62440.5</v>
      </c>
      <c r="CD88" s="142">
        <v>62996.5</v>
      </c>
      <c r="CE88" s="142">
        <v>63537.5</v>
      </c>
      <c r="CF88" s="142">
        <v>64105</v>
      </c>
      <c r="CG88" s="142">
        <v>64647.5</v>
      </c>
      <c r="CH88" s="142">
        <v>65176.5</v>
      </c>
      <c r="CI88" s="142">
        <v>65727</v>
      </c>
      <c r="CJ88" s="142">
        <v>66215</v>
      </c>
      <c r="CK88" s="142">
        <v>66714</v>
      </c>
      <c r="CL88" s="142">
        <v>67249.5</v>
      </c>
      <c r="CM88" s="142">
        <v>67724.5</v>
      </c>
      <c r="CN88" s="142">
        <v>68224.5</v>
      </c>
      <c r="CO88" s="142">
        <v>68712.5</v>
      </c>
      <c r="CP88" s="142">
        <v>69194.5</v>
      </c>
      <c r="CQ88" s="142">
        <v>69669</v>
      </c>
      <c r="CR88" s="142">
        <v>70111.5</v>
      </c>
      <c r="CS88" s="142">
        <v>70577</v>
      </c>
      <c r="CT88" s="142">
        <v>71017.5</v>
      </c>
      <c r="CU88" s="142">
        <v>71457.5</v>
      </c>
      <c r="CV88" s="142">
        <v>71876</v>
      </c>
      <c r="CW88" s="142">
        <v>72302.5</v>
      </c>
      <c r="CX88" s="142">
        <v>72733</v>
      </c>
      <c r="CY88" s="142">
        <v>73134</v>
      </c>
      <c r="CZ88" s="142">
        <v>73530</v>
      </c>
      <c r="DA88" s="142">
        <v>73923</v>
      </c>
      <c r="DB88" s="142">
        <v>74325.5</v>
      </c>
      <c r="DC88" s="142">
        <v>74721</v>
      </c>
      <c r="DD88" s="142">
        <v>75103</v>
      </c>
      <c r="DE88" s="142">
        <v>75478.5</v>
      </c>
      <c r="DF88" s="142">
        <v>75876.5</v>
      </c>
      <c r="DG88" s="142">
        <v>76233.5</v>
      </c>
      <c r="DH88" s="142">
        <v>76601.5</v>
      </c>
      <c r="DI88" s="142">
        <v>76948</v>
      </c>
      <c r="DJ88" s="142">
        <v>77318</v>
      </c>
      <c r="DK88" s="142">
        <v>77665.5</v>
      </c>
      <c r="DL88" s="142">
        <v>78005.5</v>
      </c>
      <c r="DM88" s="142">
        <v>78353</v>
      </c>
      <c r="DN88" s="142">
        <v>78696</v>
      </c>
      <c r="DO88" s="142">
        <v>79034</v>
      </c>
      <c r="DP88" s="142"/>
      <c r="DQ88" s="142"/>
    </row>
    <row r="89" spans="1:121">
      <c r="A89" s="140">
        <v>87</v>
      </c>
      <c r="B89" s="142"/>
      <c r="C89" s="142"/>
      <c r="D89" s="142"/>
      <c r="E89" s="142"/>
      <c r="F89" s="142"/>
      <c r="G89" s="142"/>
      <c r="H89" s="142"/>
      <c r="I89" s="142"/>
      <c r="J89" s="142"/>
      <c r="K89" s="142"/>
      <c r="L89" s="142"/>
      <c r="M89" s="142"/>
      <c r="N89" s="142"/>
      <c r="O89" s="142"/>
      <c r="P89" s="142"/>
      <c r="Q89" s="142"/>
      <c r="R89" s="142"/>
      <c r="S89" s="142"/>
      <c r="T89" s="142"/>
      <c r="U89" s="142"/>
      <c r="V89" s="142"/>
      <c r="W89" s="142">
        <v>20910</v>
      </c>
      <c r="X89" s="142">
        <v>21705.5</v>
      </c>
      <c r="Y89" s="142">
        <v>22242</v>
      </c>
      <c r="Z89" s="142">
        <v>23548</v>
      </c>
      <c r="AA89" s="142">
        <v>24090</v>
      </c>
      <c r="AB89" s="142">
        <v>24767</v>
      </c>
      <c r="AC89" s="142">
        <v>25514.5</v>
      </c>
      <c r="AD89" s="142">
        <v>25921</v>
      </c>
      <c r="AE89" s="142">
        <v>26401</v>
      </c>
      <c r="AF89" s="142">
        <v>27354</v>
      </c>
      <c r="AG89" s="142">
        <v>28067.5</v>
      </c>
      <c r="AH89" s="142">
        <v>28798.5</v>
      </c>
      <c r="AI89" s="142">
        <v>29496.5</v>
      </c>
      <c r="AJ89" s="142">
        <v>30660</v>
      </c>
      <c r="AK89" s="142">
        <v>31380</v>
      </c>
      <c r="AL89" s="142">
        <v>32281</v>
      </c>
      <c r="AM89" s="142">
        <v>33133.5</v>
      </c>
      <c r="AN89" s="142">
        <v>33909.5</v>
      </c>
      <c r="AO89" s="142">
        <v>34418.5</v>
      </c>
      <c r="AP89" s="142">
        <v>34970</v>
      </c>
      <c r="AQ89" s="142">
        <v>35450</v>
      </c>
      <c r="AR89" s="142">
        <v>35965</v>
      </c>
      <c r="AS89" s="142">
        <v>36115.5</v>
      </c>
      <c r="AT89" s="142">
        <v>36175.5</v>
      </c>
      <c r="AU89" s="142">
        <v>36117.5</v>
      </c>
      <c r="AV89" s="142">
        <v>36656</v>
      </c>
      <c r="AW89" s="142">
        <v>37436.5</v>
      </c>
      <c r="AX89" s="142">
        <v>38810.5</v>
      </c>
      <c r="AY89" s="142">
        <v>40070.5</v>
      </c>
      <c r="AZ89" s="142">
        <v>40567.5</v>
      </c>
      <c r="BA89" s="142">
        <v>41086</v>
      </c>
      <c r="BB89" s="142">
        <v>41885.5</v>
      </c>
      <c r="BC89" s="142">
        <v>42506</v>
      </c>
      <c r="BD89" s="142">
        <v>43203</v>
      </c>
      <c r="BE89" s="142">
        <v>43790</v>
      </c>
      <c r="BF89" s="142">
        <v>44532</v>
      </c>
      <c r="BG89" s="142">
        <v>45140</v>
      </c>
      <c r="BH89" s="142">
        <v>45884.5</v>
      </c>
      <c r="BI89" s="142">
        <v>46524</v>
      </c>
      <c r="BJ89" s="142">
        <v>47199</v>
      </c>
      <c r="BK89" s="142">
        <v>47930.5</v>
      </c>
      <c r="BL89" s="142">
        <v>48691.5</v>
      </c>
      <c r="BM89" s="142">
        <v>49439.5</v>
      </c>
      <c r="BN89" s="142">
        <v>50150.5</v>
      </c>
      <c r="BO89" s="142">
        <v>50827.5</v>
      </c>
      <c r="BP89" s="142">
        <v>51480</v>
      </c>
      <c r="BQ89" s="142">
        <v>52095.5</v>
      </c>
      <c r="BR89" s="142">
        <v>52704.5</v>
      </c>
      <c r="BS89" s="142">
        <v>53254</v>
      </c>
      <c r="BT89" s="142">
        <v>53850.5</v>
      </c>
      <c r="BU89" s="142">
        <v>54414.5</v>
      </c>
      <c r="BV89" s="142">
        <v>55015.5</v>
      </c>
      <c r="BW89" s="142">
        <v>55585</v>
      </c>
      <c r="BX89" s="142">
        <v>56191</v>
      </c>
      <c r="BY89" s="142">
        <v>56795.5</v>
      </c>
      <c r="BZ89" s="142">
        <v>57470.5</v>
      </c>
      <c r="CA89" s="142">
        <v>58087</v>
      </c>
      <c r="CB89" s="142">
        <v>58657.5</v>
      </c>
      <c r="CC89" s="142">
        <v>59249.5</v>
      </c>
      <c r="CD89" s="142">
        <v>59821.5</v>
      </c>
      <c r="CE89" s="142">
        <v>60379</v>
      </c>
      <c r="CF89" s="142">
        <v>60961.5</v>
      </c>
      <c r="CG89" s="142">
        <v>61521.5</v>
      </c>
      <c r="CH89" s="142">
        <v>62068</v>
      </c>
      <c r="CI89" s="142">
        <v>62635</v>
      </c>
      <c r="CJ89" s="142">
        <v>63143.5</v>
      </c>
      <c r="CK89" s="142">
        <v>63662</v>
      </c>
      <c r="CL89" s="142">
        <v>64214.5</v>
      </c>
      <c r="CM89" s="142">
        <v>64710.5</v>
      </c>
      <c r="CN89" s="142">
        <v>65229.5</v>
      </c>
      <c r="CO89" s="142">
        <v>65738</v>
      </c>
      <c r="CP89" s="142">
        <v>66240</v>
      </c>
      <c r="CQ89" s="142">
        <v>66735.5</v>
      </c>
      <c r="CR89" s="142">
        <v>67200</v>
      </c>
      <c r="CS89" s="142">
        <v>67686.5</v>
      </c>
      <c r="CT89" s="142">
        <v>68149</v>
      </c>
      <c r="CU89" s="142">
        <v>68611</v>
      </c>
      <c r="CV89" s="142">
        <v>69052.5</v>
      </c>
      <c r="CW89" s="142">
        <v>69502</v>
      </c>
      <c r="CX89" s="142">
        <v>69954.5</v>
      </c>
      <c r="CY89" s="142">
        <v>70379</v>
      </c>
      <c r="CZ89" s="142">
        <v>70798</v>
      </c>
      <c r="DA89" s="142">
        <v>71214</v>
      </c>
      <c r="DB89" s="142">
        <v>71639.5</v>
      </c>
      <c r="DC89" s="142">
        <v>72059</v>
      </c>
      <c r="DD89" s="142">
        <v>72464</v>
      </c>
      <c r="DE89" s="142">
        <v>72863</v>
      </c>
      <c r="DF89" s="142">
        <v>73284</v>
      </c>
      <c r="DG89" s="142">
        <v>73664.5</v>
      </c>
      <c r="DH89" s="142">
        <v>74056.5</v>
      </c>
      <c r="DI89" s="142">
        <v>74426.5</v>
      </c>
      <c r="DJ89" s="142">
        <v>74819.5</v>
      </c>
      <c r="DK89" s="142">
        <v>75190.5</v>
      </c>
      <c r="DL89" s="142">
        <v>75554</v>
      </c>
      <c r="DM89" s="142">
        <v>75925</v>
      </c>
      <c r="DN89" s="142">
        <v>76291</v>
      </c>
      <c r="DO89" s="142">
        <v>76652</v>
      </c>
      <c r="DP89" s="142"/>
      <c r="DQ89" s="142"/>
    </row>
    <row r="90" spans="1:121">
      <c r="A90" s="140">
        <v>88</v>
      </c>
      <c r="B90" s="142"/>
      <c r="C90" s="142"/>
      <c r="D90" s="142"/>
      <c r="E90" s="142"/>
      <c r="F90" s="142"/>
      <c r="G90" s="142"/>
      <c r="H90" s="142"/>
      <c r="I90" s="142"/>
      <c r="J90" s="142"/>
      <c r="K90" s="142"/>
      <c r="L90" s="142"/>
      <c r="M90" s="142"/>
      <c r="N90" s="142"/>
      <c r="O90" s="142"/>
      <c r="P90" s="142"/>
      <c r="Q90" s="142"/>
      <c r="R90" s="142"/>
      <c r="S90" s="142"/>
      <c r="T90" s="142"/>
      <c r="U90" s="142"/>
      <c r="V90" s="142"/>
      <c r="W90" s="142">
        <v>18366.5</v>
      </c>
      <c r="X90" s="142">
        <v>19161</v>
      </c>
      <c r="Y90" s="142">
        <v>19631.5</v>
      </c>
      <c r="Z90" s="142">
        <v>20806</v>
      </c>
      <c r="AA90" s="142">
        <v>21239.5</v>
      </c>
      <c r="AB90" s="142">
        <v>22022</v>
      </c>
      <c r="AC90" s="142">
        <v>22567.5</v>
      </c>
      <c r="AD90" s="142">
        <v>22975.5</v>
      </c>
      <c r="AE90" s="142">
        <v>23443</v>
      </c>
      <c r="AF90" s="142">
        <v>24327.5</v>
      </c>
      <c r="AG90" s="142">
        <v>25001.5</v>
      </c>
      <c r="AH90" s="142">
        <v>25691.5</v>
      </c>
      <c r="AI90" s="142">
        <v>26354</v>
      </c>
      <c r="AJ90" s="142">
        <v>27436</v>
      </c>
      <c r="AK90" s="142">
        <v>28123</v>
      </c>
      <c r="AL90" s="142">
        <v>28973.5</v>
      </c>
      <c r="AM90" s="142">
        <v>29782</v>
      </c>
      <c r="AN90" s="142">
        <v>30525</v>
      </c>
      <c r="AO90" s="142">
        <v>31029</v>
      </c>
      <c r="AP90" s="142">
        <v>31571.5</v>
      </c>
      <c r="AQ90" s="142">
        <v>32049.5</v>
      </c>
      <c r="AR90" s="142">
        <v>32558.5</v>
      </c>
      <c r="AS90" s="142">
        <v>32740.5</v>
      </c>
      <c r="AT90" s="142">
        <v>32839.5</v>
      </c>
      <c r="AU90" s="142">
        <v>32831.5</v>
      </c>
      <c r="AV90" s="142">
        <v>33364</v>
      </c>
      <c r="AW90" s="142">
        <v>34118</v>
      </c>
      <c r="AX90" s="142">
        <v>35413</v>
      </c>
      <c r="AY90" s="142">
        <v>36608.5</v>
      </c>
      <c r="AZ90" s="142">
        <v>37109</v>
      </c>
      <c r="BA90" s="142">
        <v>37630.5</v>
      </c>
      <c r="BB90" s="142">
        <v>38408.5</v>
      </c>
      <c r="BC90" s="142">
        <v>39024</v>
      </c>
      <c r="BD90" s="142">
        <v>39709.5</v>
      </c>
      <c r="BE90" s="142">
        <v>40295</v>
      </c>
      <c r="BF90" s="142">
        <v>41023.5</v>
      </c>
      <c r="BG90" s="142">
        <v>41631</v>
      </c>
      <c r="BH90" s="142">
        <v>42363.5</v>
      </c>
      <c r="BI90" s="142">
        <v>43000</v>
      </c>
      <c r="BJ90" s="142">
        <v>43671</v>
      </c>
      <c r="BK90" s="142">
        <v>44394.5</v>
      </c>
      <c r="BL90" s="142">
        <v>45145.5</v>
      </c>
      <c r="BM90" s="142">
        <v>45886</v>
      </c>
      <c r="BN90" s="142">
        <v>46593</v>
      </c>
      <c r="BO90" s="142">
        <v>47268</v>
      </c>
      <c r="BP90" s="142">
        <v>47922.5</v>
      </c>
      <c r="BQ90" s="142">
        <v>48543.5</v>
      </c>
      <c r="BR90" s="142">
        <v>49157.5</v>
      </c>
      <c r="BS90" s="142">
        <v>49718</v>
      </c>
      <c r="BT90" s="142">
        <v>50322</v>
      </c>
      <c r="BU90" s="142">
        <v>50895.5</v>
      </c>
      <c r="BV90" s="142">
        <v>51505</v>
      </c>
      <c r="BW90" s="142">
        <v>52084</v>
      </c>
      <c r="BX90" s="142">
        <v>52699</v>
      </c>
      <c r="BY90" s="142">
        <v>53312</v>
      </c>
      <c r="BZ90" s="142">
        <v>53992.5</v>
      </c>
      <c r="CA90" s="142">
        <v>54617.5</v>
      </c>
      <c r="CB90" s="142">
        <v>55201.5</v>
      </c>
      <c r="CC90" s="142">
        <v>55804</v>
      </c>
      <c r="CD90" s="142">
        <v>56389</v>
      </c>
      <c r="CE90" s="142">
        <v>56960.5</v>
      </c>
      <c r="CF90" s="142">
        <v>57555</v>
      </c>
      <c r="CG90" s="142">
        <v>58129.5</v>
      </c>
      <c r="CH90" s="142">
        <v>58691</v>
      </c>
      <c r="CI90" s="142">
        <v>59272.5</v>
      </c>
      <c r="CJ90" s="142">
        <v>59798.5</v>
      </c>
      <c r="CK90" s="142">
        <v>60334</v>
      </c>
      <c r="CL90" s="142">
        <v>60902.5</v>
      </c>
      <c r="CM90" s="142">
        <v>61417.5</v>
      </c>
      <c r="CN90" s="142">
        <v>61954.5</v>
      </c>
      <c r="CO90" s="142">
        <v>62480.5</v>
      </c>
      <c r="CP90" s="142">
        <v>63002</v>
      </c>
      <c r="CQ90" s="142">
        <v>63516.5</v>
      </c>
      <c r="CR90" s="142">
        <v>64002</v>
      </c>
      <c r="CS90" s="142">
        <v>64508</v>
      </c>
      <c r="CT90" s="142">
        <v>64991.5</v>
      </c>
      <c r="CU90" s="142">
        <v>65474.5</v>
      </c>
      <c r="CV90" s="142">
        <v>65937.5</v>
      </c>
      <c r="CW90" s="142">
        <v>66408.5</v>
      </c>
      <c r="CX90" s="142">
        <v>66883</v>
      </c>
      <c r="CY90" s="142">
        <v>67330</v>
      </c>
      <c r="CZ90" s="142">
        <v>67772</v>
      </c>
      <c r="DA90" s="142">
        <v>68211</v>
      </c>
      <c r="DB90" s="142">
        <v>68659</v>
      </c>
      <c r="DC90" s="142">
        <v>69100.5</v>
      </c>
      <c r="DD90" s="142">
        <v>69529.5</v>
      </c>
      <c r="DE90" s="142">
        <v>69951.5</v>
      </c>
      <c r="DF90" s="142">
        <v>70394.5</v>
      </c>
      <c r="DG90" s="142">
        <v>70799</v>
      </c>
      <c r="DH90" s="142">
        <v>71214</v>
      </c>
      <c r="DI90" s="142">
        <v>71608.5</v>
      </c>
      <c r="DJ90" s="142">
        <v>72024.5</v>
      </c>
      <c r="DK90" s="142">
        <v>72419.5</v>
      </c>
      <c r="DL90" s="142">
        <v>72807</v>
      </c>
      <c r="DM90" s="142">
        <v>73201</v>
      </c>
      <c r="DN90" s="142">
        <v>73591</v>
      </c>
      <c r="DO90" s="142">
        <v>73975.5</v>
      </c>
      <c r="DP90" s="142"/>
      <c r="DQ90" s="142"/>
    </row>
    <row r="91" spans="1:121">
      <c r="A91" s="140">
        <v>89</v>
      </c>
      <c r="B91" s="142"/>
      <c r="C91" s="142"/>
      <c r="D91" s="142"/>
      <c r="E91" s="142"/>
      <c r="F91" s="142"/>
      <c r="G91" s="142"/>
      <c r="H91" s="142"/>
      <c r="I91" s="142"/>
      <c r="J91" s="142"/>
      <c r="K91" s="142"/>
      <c r="L91" s="142"/>
      <c r="M91" s="142"/>
      <c r="N91" s="142"/>
      <c r="O91" s="142"/>
      <c r="P91" s="142"/>
      <c r="Q91" s="142"/>
      <c r="R91" s="142"/>
      <c r="S91" s="142"/>
      <c r="T91" s="142"/>
      <c r="U91" s="142"/>
      <c r="V91" s="142"/>
      <c r="W91" s="142">
        <v>15979.5</v>
      </c>
      <c r="X91" s="142">
        <v>16632.5</v>
      </c>
      <c r="Y91" s="142">
        <v>17079</v>
      </c>
      <c r="Z91" s="142">
        <v>18015</v>
      </c>
      <c r="AA91" s="142">
        <v>18589.5</v>
      </c>
      <c r="AB91" s="142">
        <v>19169.5</v>
      </c>
      <c r="AC91" s="142">
        <v>19673.5</v>
      </c>
      <c r="AD91" s="142">
        <v>20070.5</v>
      </c>
      <c r="AE91" s="142">
        <v>20519.5</v>
      </c>
      <c r="AF91" s="142">
        <v>21331</v>
      </c>
      <c r="AG91" s="142">
        <v>21959</v>
      </c>
      <c r="AH91" s="142">
        <v>22602</v>
      </c>
      <c r="AI91" s="142">
        <v>23224.5</v>
      </c>
      <c r="AJ91" s="142">
        <v>24218.5</v>
      </c>
      <c r="AK91" s="142">
        <v>24866.5</v>
      </c>
      <c r="AL91" s="142">
        <v>25660.5</v>
      </c>
      <c r="AM91" s="142">
        <v>26418.5</v>
      </c>
      <c r="AN91" s="142">
        <v>27121.5</v>
      </c>
      <c r="AO91" s="142">
        <v>27615</v>
      </c>
      <c r="AP91" s="142">
        <v>28141.5</v>
      </c>
      <c r="AQ91" s="142">
        <v>28611.5</v>
      </c>
      <c r="AR91" s="142">
        <v>29108.5</v>
      </c>
      <c r="AS91" s="142">
        <v>29316.5</v>
      </c>
      <c r="AT91" s="142">
        <v>29448.5</v>
      </c>
      <c r="AU91" s="142">
        <v>29485</v>
      </c>
      <c r="AV91" s="142">
        <v>30005</v>
      </c>
      <c r="AW91" s="142">
        <v>30725.5</v>
      </c>
      <c r="AX91" s="142">
        <v>31935</v>
      </c>
      <c r="AY91" s="142">
        <v>33058.5</v>
      </c>
      <c r="AZ91" s="142">
        <v>33556.5</v>
      </c>
      <c r="BA91" s="142">
        <v>34074</v>
      </c>
      <c r="BB91" s="142">
        <v>34824</v>
      </c>
      <c r="BC91" s="142">
        <v>35428</v>
      </c>
      <c r="BD91" s="142">
        <v>36096.5</v>
      </c>
      <c r="BE91" s="142">
        <v>36674.5</v>
      </c>
      <c r="BF91" s="142">
        <v>37384</v>
      </c>
      <c r="BG91" s="142">
        <v>37985</v>
      </c>
      <c r="BH91" s="142">
        <v>38699</v>
      </c>
      <c r="BI91" s="142">
        <v>39327</v>
      </c>
      <c r="BJ91" s="142">
        <v>39987.5</v>
      </c>
      <c r="BK91" s="142">
        <v>40697</v>
      </c>
      <c r="BL91" s="142">
        <v>41432.5</v>
      </c>
      <c r="BM91" s="142">
        <v>42159.5</v>
      </c>
      <c r="BN91" s="142">
        <v>42856.5</v>
      </c>
      <c r="BO91" s="142">
        <v>43525.5</v>
      </c>
      <c r="BP91" s="142">
        <v>44176.5</v>
      </c>
      <c r="BQ91" s="142">
        <v>44796.5</v>
      </c>
      <c r="BR91" s="142">
        <v>45411.5</v>
      </c>
      <c r="BS91" s="142">
        <v>45977</v>
      </c>
      <c r="BT91" s="142">
        <v>46583.5</v>
      </c>
      <c r="BU91" s="142">
        <v>47162.5</v>
      </c>
      <c r="BV91" s="142">
        <v>47775.5</v>
      </c>
      <c r="BW91" s="142">
        <v>48361</v>
      </c>
      <c r="BX91" s="142">
        <v>48980</v>
      </c>
      <c r="BY91" s="142">
        <v>49597.5</v>
      </c>
      <c r="BZ91" s="142">
        <v>50278</v>
      </c>
      <c r="CA91" s="142">
        <v>50908.5</v>
      </c>
      <c r="CB91" s="142">
        <v>51500</v>
      </c>
      <c r="CC91" s="142">
        <v>52109.5</v>
      </c>
      <c r="CD91" s="142">
        <v>52703.5</v>
      </c>
      <c r="CE91" s="142">
        <v>53285</v>
      </c>
      <c r="CF91" s="142">
        <v>53889</v>
      </c>
      <c r="CG91" s="142">
        <v>54474</v>
      </c>
      <c r="CH91" s="142">
        <v>55047.5</v>
      </c>
      <c r="CI91" s="142">
        <v>55640</v>
      </c>
      <c r="CJ91" s="142">
        <v>56180.5</v>
      </c>
      <c r="CK91" s="142">
        <v>56730.5</v>
      </c>
      <c r="CL91" s="142">
        <v>57312</v>
      </c>
      <c r="CM91" s="142">
        <v>57843</v>
      </c>
      <c r="CN91" s="142">
        <v>58394.5</v>
      </c>
      <c r="CO91" s="142">
        <v>58936.5</v>
      </c>
      <c r="CP91" s="142">
        <v>59474.5</v>
      </c>
      <c r="CQ91" s="142">
        <v>60005.5</v>
      </c>
      <c r="CR91" s="142">
        <v>60509.5</v>
      </c>
      <c r="CS91" s="142">
        <v>61033.5</v>
      </c>
      <c r="CT91" s="142">
        <v>61536</v>
      </c>
      <c r="CU91" s="142">
        <v>62038.5</v>
      </c>
      <c r="CV91" s="142">
        <v>62521.5</v>
      </c>
      <c r="CW91" s="142">
        <v>63012</v>
      </c>
      <c r="CX91" s="142">
        <v>63506.5</v>
      </c>
      <c r="CY91" s="142">
        <v>63975</v>
      </c>
      <c r="CZ91" s="142">
        <v>64438</v>
      </c>
      <c r="DA91" s="142">
        <v>64898.5</v>
      </c>
      <c r="DB91" s="142">
        <v>65368</v>
      </c>
      <c r="DC91" s="142">
        <v>65831.5</v>
      </c>
      <c r="DD91" s="142">
        <v>66282</v>
      </c>
      <c r="DE91" s="142">
        <v>66726.5</v>
      </c>
      <c r="DF91" s="142">
        <v>67191.5</v>
      </c>
      <c r="DG91" s="142">
        <v>67619</v>
      </c>
      <c r="DH91" s="142">
        <v>68056.5</v>
      </c>
      <c r="DI91" s="142">
        <v>68475</v>
      </c>
      <c r="DJ91" s="142">
        <v>68913.5</v>
      </c>
      <c r="DK91" s="142">
        <v>69331.5</v>
      </c>
      <c r="DL91" s="142">
        <v>69742.5</v>
      </c>
      <c r="DM91" s="142">
        <v>70160.5</v>
      </c>
      <c r="DN91" s="142">
        <v>70573.5</v>
      </c>
      <c r="DO91" s="142">
        <v>70981.5</v>
      </c>
      <c r="DP91" s="142"/>
      <c r="DQ91" s="142"/>
    </row>
    <row r="92" spans="1:121">
      <c r="A92" s="140">
        <v>90</v>
      </c>
      <c r="B92" s="142"/>
      <c r="C92" s="142"/>
      <c r="D92" s="142"/>
      <c r="E92" s="142"/>
      <c r="F92" s="142"/>
      <c r="G92" s="142"/>
      <c r="H92" s="142"/>
      <c r="I92" s="142"/>
      <c r="J92" s="142"/>
      <c r="K92" s="142"/>
      <c r="L92" s="142"/>
      <c r="M92" s="142"/>
      <c r="N92" s="142"/>
      <c r="O92" s="142"/>
      <c r="P92" s="142"/>
      <c r="Q92" s="142"/>
      <c r="R92" s="142"/>
      <c r="S92" s="142"/>
      <c r="T92" s="142"/>
      <c r="U92" s="142"/>
      <c r="V92" s="142"/>
      <c r="W92" s="142">
        <v>13617</v>
      </c>
      <c r="X92" s="142">
        <v>14181</v>
      </c>
      <c r="Y92" s="142">
        <v>14510</v>
      </c>
      <c r="Z92" s="142">
        <v>15508.5</v>
      </c>
      <c r="AA92" s="142">
        <v>15881.5</v>
      </c>
      <c r="AB92" s="142">
        <v>16398</v>
      </c>
      <c r="AC92" s="142">
        <v>16868.5</v>
      </c>
      <c r="AD92" s="142">
        <v>17247.5</v>
      </c>
      <c r="AE92" s="142">
        <v>17671</v>
      </c>
      <c r="AF92" s="142">
        <v>18405</v>
      </c>
      <c r="AG92" s="142">
        <v>18983</v>
      </c>
      <c r="AH92" s="142">
        <v>19574.5</v>
      </c>
      <c r="AI92" s="142">
        <v>20151</v>
      </c>
      <c r="AJ92" s="142">
        <v>21052.5</v>
      </c>
      <c r="AK92" s="142">
        <v>21655.5</v>
      </c>
      <c r="AL92" s="142">
        <v>22386</v>
      </c>
      <c r="AM92" s="142">
        <v>23088</v>
      </c>
      <c r="AN92" s="142">
        <v>23745.5</v>
      </c>
      <c r="AO92" s="142">
        <v>24220.5</v>
      </c>
      <c r="AP92" s="142">
        <v>24724.5</v>
      </c>
      <c r="AQ92" s="142">
        <v>25179.5</v>
      </c>
      <c r="AR92" s="142">
        <v>25658</v>
      </c>
      <c r="AS92" s="142">
        <v>25884.5</v>
      </c>
      <c r="AT92" s="142">
        <v>26042.5</v>
      </c>
      <c r="AU92" s="142">
        <v>26118</v>
      </c>
      <c r="AV92" s="142">
        <v>26619</v>
      </c>
      <c r="AW92" s="142">
        <v>27300</v>
      </c>
      <c r="AX92" s="142">
        <v>28416.5</v>
      </c>
      <c r="AY92" s="142">
        <v>29459.5</v>
      </c>
      <c r="AZ92" s="142">
        <v>29949.5</v>
      </c>
      <c r="BA92" s="142">
        <v>30456</v>
      </c>
      <c r="BB92" s="142">
        <v>31171</v>
      </c>
      <c r="BC92" s="142">
        <v>31757.5</v>
      </c>
      <c r="BD92" s="142">
        <v>32401</v>
      </c>
      <c r="BE92" s="142">
        <v>32965</v>
      </c>
      <c r="BF92" s="142">
        <v>33649</v>
      </c>
      <c r="BG92" s="142">
        <v>34236.5</v>
      </c>
      <c r="BH92" s="142">
        <v>34926</v>
      </c>
      <c r="BI92" s="142">
        <v>35538.5</v>
      </c>
      <c r="BJ92" s="142">
        <v>36182.5</v>
      </c>
      <c r="BK92" s="142">
        <v>36870.5</v>
      </c>
      <c r="BL92" s="142">
        <v>37584.5</v>
      </c>
      <c r="BM92" s="142">
        <v>38291</v>
      </c>
      <c r="BN92" s="142">
        <v>38972</v>
      </c>
      <c r="BO92" s="142">
        <v>39628</v>
      </c>
      <c r="BP92" s="142">
        <v>40269</v>
      </c>
      <c r="BQ92" s="142">
        <v>40882.5</v>
      </c>
      <c r="BR92" s="142">
        <v>41492</v>
      </c>
      <c r="BS92" s="142">
        <v>42057.5</v>
      </c>
      <c r="BT92" s="142">
        <v>42661</v>
      </c>
      <c r="BU92" s="142">
        <v>43240</v>
      </c>
      <c r="BV92" s="142">
        <v>43850.5</v>
      </c>
      <c r="BW92" s="142">
        <v>44437</v>
      </c>
      <c r="BX92" s="142">
        <v>45054</v>
      </c>
      <c r="BY92" s="142">
        <v>45670.5</v>
      </c>
      <c r="BZ92" s="142">
        <v>46346</v>
      </c>
      <c r="CA92" s="142">
        <v>46976</v>
      </c>
      <c r="CB92" s="142">
        <v>47570.5</v>
      </c>
      <c r="CC92" s="142">
        <v>48183</v>
      </c>
      <c r="CD92" s="142">
        <v>48780.5</v>
      </c>
      <c r="CE92" s="142">
        <v>49368</v>
      </c>
      <c r="CF92" s="142">
        <v>49976</v>
      </c>
      <c r="CG92" s="142">
        <v>50567</v>
      </c>
      <c r="CH92" s="142">
        <v>51147.5</v>
      </c>
      <c r="CI92" s="142">
        <v>51746.5</v>
      </c>
      <c r="CJ92" s="142">
        <v>52298.5</v>
      </c>
      <c r="CK92" s="142">
        <v>52859</v>
      </c>
      <c r="CL92" s="142">
        <v>53448</v>
      </c>
      <c r="CM92" s="142">
        <v>53991.5</v>
      </c>
      <c r="CN92" s="142">
        <v>54555</v>
      </c>
      <c r="CO92" s="142">
        <v>55108.5</v>
      </c>
      <c r="CP92" s="142">
        <v>55659.5</v>
      </c>
      <c r="CQ92" s="142">
        <v>56204</v>
      </c>
      <c r="CR92" s="142">
        <v>56723.5</v>
      </c>
      <c r="CS92" s="142">
        <v>57262</v>
      </c>
      <c r="CT92" s="142">
        <v>57780.5</v>
      </c>
      <c r="CU92" s="142">
        <v>58299</v>
      </c>
      <c r="CV92" s="142">
        <v>58799.5</v>
      </c>
      <c r="CW92" s="142">
        <v>59308</v>
      </c>
      <c r="CX92" s="142">
        <v>59819</v>
      </c>
      <c r="CY92" s="142">
        <v>60306.5</v>
      </c>
      <c r="CZ92" s="142">
        <v>60788.5</v>
      </c>
      <c r="DA92" s="142">
        <v>61269.5</v>
      </c>
      <c r="DB92" s="142">
        <v>61757.5</v>
      </c>
      <c r="DC92" s="142">
        <v>62241</v>
      </c>
      <c r="DD92" s="142">
        <v>62712</v>
      </c>
      <c r="DE92" s="142">
        <v>63177.5</v>
      </c>
      <c r="DF92" s="142">
        <v>63661.5</v>
      </c>
      <c r="DG92" s="142">
        <v>64111</v>
      </c>
      <c r="DH92" s="142">
        <v>64570</v>
      </c>
      <c r="DI92" s="142">
        <v>65010</v>
      </c>
      <c r="DJ92" s="142">
        <v>65469.5</v>
      </c>
      <c r="DK92" s="142">
        <v>65910.5</v>
      </c>
      <c r="DL92" s="142">
        <v>66344</v>
      </c>
      <c r="DM92" s="142">
        <v>66784</v>
      </c>
      <c r="DN92" s="142">
        <v>67219.5</v>
      </c>
      <c r="DO92" s="142">
        <v>67650</v>
      </c>
      <c r="DP92" s="142"/>
      <c r="DQ92" s="142"/>
    </row>
    <row r="93" spans="1:121">
      <c r="A93" s="140">
        <v>91</v>
      </c>
      <c r="B93" s="142"/>
      <c r="C93" s="142"/>
      <c r="D93" s="142"/>
      <c r="E93" s="142"/>
      <c r="F93" s="142"/>
      <c r="G93" s="142"/>
      <c r="H93" s="142"/>
      <c r="I93" s="142"/>
      <c r="J93" s="142"/>
      <c r="K93" s="142"/>
      <c r="L93" s="142"/>
      <c r="M93" s="142"/>
      <c r="N93" s="142"/>
      <c r="O93" s="142"/>
      <c r="P93" s="142"/>
      <c r="Q93" s="142"/>
      <c r="R93" s="142"/>
      <c r="S93" s="142"/>
      <c r="T93" s="142"/>
      <c r="U93" s="142"/>
      <c r="V93" s="142"/>
      <c r="W93" s="142">
        <v>11371</v>
      </c>
      <c r="X93" s="142">
        <v>11810</v>
      </c>
      <c r="Y93" s="142">
        <v>12248.5</v>
      </c>
      <c r="Z93" s="142">
        <v>12974.5</v>
      </c>
      <c r="AA93" s="142">
        <v>13301.5</v>
      </c>
      <c r="AB93" s="142">
        <v>13767</v>
      </c>
      <c r="AC93" s="142">
        <v>14197.5</v>
      </c>
      <c r="AD93" s="142">
        <v>14552.5</v>
      </c>
      <c r="AE93" s="142">
        <v>14944.5</v>
      </c>
      <c r="AF93" s="142">
        <v>15598</v>
      </c>
      <c r="AG93" s="142">
        <v>16121</v>
      </c>
      <c r="AH93" s="142">
        <v>16657</v>
      </c>
      <c r="AI93" s="142">
        <v>17182.5</v>
      </c>
      <c r="AJ93" s="142">
        <v>17987.5</v>
      </c>
      <c r="AK93" s="142">
        <v>18539.5</v>
      </c>
      <c r="AL93" s="142">
        <v>19203</v>
      </c>
      <c r="AM93" s="142">
        <v>19843.5</v>
      </c>
      <c r="AN93" s="142">
        <v>20448</v>
      </c>
      <c r="AO93" s="142">
        <v>20898</v>
      </c>
      <c r="AP93" s="142">
        <v>21373</v>
      </c>
      <c r="AQ93" s="142">
        <v>21806.5</v>
      </c>
      <c r="AR93" s="142">
        <v>22259</v>
      </c>
      <c r="AS93" s="142">
        <v>22496.5</v>
      </c>
      <c r="AT93" s="142">
        <v>22673.5</v>
      </c>
      <c r="AU93" s="142">
        <v>22779</v>
      </c>
      <c r="AV93" s="142">
        <v>23255.5</v>
      </c>
      <c r="AW93" s="142">
        <v>23890</v>
      </c>
      <c r="AX93" s="142">
        <v>24907</v>
      </c>
      <c r="AY93" s="142">
        <v>25864</v>
      </c>
      <c r="AZ93" s="142">
        <v>26337.5</v>
      </c>
      <c r="BA93" s="142">
        <v>26826.5</v>
      </c>
      <c r="BB93" s="142">
        <v>27499.5</v>
      </c>
      <c r="BC93" s="142">
        <v>28060.5</v>
      </c>
      <c r="BD93" s="142">
        <v>28673</v>
      </c>
      <c r="BE93" s="142">
        <v>29216.5</v>
      </c>
      <c r="BF93" s="142">
        <v>29866</v>
      </c>
      <c r="BG93" s="142">
        <v>30433.5</v>
      </c>
      <c r="BH93" s="142">
        <v>31090.5</v>
      </c>
      <c r="BI93" s="142">
        <v>31681.5</v>
      </c>
      <c r="BJ93" s="142">
        <v>32301.5</v>
      </c>
      <c r="BK93" s="142">
        <v>32962</v>
      </c>
      <c r="BL93" s="142">
        <v>33646.5</v>
      </c>
      <c r="BM93" s="142">
        <v>34325.5</v>
      </c>
      <c r="BN93" s="142">
        <v>34982.5</v>
      </c>
      <c r="BO93" s="142">
        <v>35619</v>
      </c>
      <c r="BP93" s="142">
        <v>36243</v>
      </c>
      <c r="BQ93" s="142">
        <v>36842.5</v>
      </c>
      <c r="BR93" s="142">
        <v>37440.5</v>
      </c>
      <c r="BS93" s="142">
        <v>37999</v>
      </c>
      <c r="BT93" s="142">
        <v>38592.5</v>
      </c>
      <c r="BU93" s="142">
        <v>39165</v>
      </c>
      <c r="BV93" s="142">
        <v>39766.5</v>
      </c>
      <c r="BW93" s="142">
        <v>40347</v>
      </c>
      <c r="BX93" s="142">
        <v>40956.5</v>
      </c>
      <c r="BY93" s="142">
        <v>41565.5</v>
      </c>
      <c r="BZ93" s="142">
        <v>42229</v>
      </c>
      <c r="CA93" s="142">
        <v>42852</v>
      </c>
      <c r="CB93" s="142">
        <v>43444.5</v>
      </c>
      <c r="CC93" s="142">
        <v>44052.5</v>
      </c>
      <c r="CD93" s="142">
        <v>44648</v>
      </c>
      <c r="CE93" s="142">
        <v>45235</v>
      </c>
      <c r="CF93" s="142">
        <v>45841.5</v>
      </c>
      <c r="CG93" s="142">
        <v>46433</v>
      </c>
      <c r="CH93" s="142">
        <v>47016</v>
      </c>
      <c r="CI93" s="142">
        <v>47616</v>
      </c>
      <c r="CJ93" s="142">
        <v>48172.5</v>
      </c>
      <c r="CK93" s="142">
        <v>48739</v>
      </c>
      <c r="CL93" s="142">
        <v>49331.5</v>
      </c>
      <c r="CM93" s="142">
        <v>49882.5</v>
      </c>
      <c r="CN93" s="142">
        <v>50452</v>
      </c>
      <c r="CO93" s="142">
        <v>51013.5</v>
      </c>
      <c r="CP93" s="142">
        <v>51572</v>
      </c>
      <c r="CQ93" s="142">
        <v>52125.5</v>
      </c>
      <c r="CR93" s="142">
        <v>52657</v>
      </c>
      <c r="CS93" s="142">
        <v>53205.5</v>
      </c>
      <c r="CT93" s="142">
        <v>53736</v>
      </c>
      <c r="CU93" s="142">
        <v>54266.5</v>
      </c>
      <c r="CV93" s="142">
        <v>54781</v>
      </c>
      <c r="CW93" s="142">
        <v>55302.5</v>
      </c>
      <c r="CX93" s="142">
        <v>55828</v>
      </c>
      <c r="CY93" s="142">
        <v>56330.5</v>
      </c>
      <c r="CZ93" s="142">
        <v>56829</v>
      </c>
      <c r="DA93" s="142">
        <v>57325.5</v>
      </c>
      <c r="DB93" s="142">
        <v>57830</v>
      </c>
      <c r="DC93" s="142">
        <v>58329.5</v>
      </c>
      <c r="DD93" s="142">
        <v>58818</v>
      </c>
      <c r="DE93" s="142">
        <v>59301</v>
      </c>
      <c r="DF93" s="142">
        <v>59803</v>
      </c>
      <c r="DG93" s="142">
        <v>60271</v>
      </c>
      <c r="DH93" s="142">
        <v>60749</v>
      </c>
      <c r="DI93" s="142">
        <v>61209</v>
      </c>
      <c r="DJ93" s="142">
        <v>61688</v>
      </c>
      <c r="DK93" s="142">
        <v>62148.5</v>
      </c>
      <c r="DL93" s="142">
        <v>62602</v>
      </c>
      <c r="DM93" s="142">
        <v>63063</v>
      </c>
      <c r="DN93" s="142">
        <v>63518.5</v>
      </c>
      <c r="DO93" s="142">
        <v>63970</v>
      </c>
      <c r="DP93" s="142"/>
      <c r="DQ93" s="142"/>
    </row>
    <row r="94" spans="1:121">
      <c r="A94" s="140">
        <v>92</v>
      </c>
      <c r="B94" s="142"/>
      <c r="C94" s="142"/>
      <c r="D94" s="142"/>
      <c r="E94" s="142"/>
      <c r="F94" s="142"/>
      <c r="G94" s="142"/>
      <c r="H94" s="142"/>
      <c r="I94" s="142"/>
      <c r="J94" s="142"/>
      <c r="K94" s="142"/>
      <c r="L94" s="142"/>
      <c r="M94" s="142"/>
      <c r="N94" s="142"/>
      <c r="O94" s="142"/>
      <c r="P94" s="142"/>
      <c r="Q94" s="142"/>
      <c r="R94" s="142"/>
      <c r="S94" s="142"/>
      <c r="T94" s="142"/>
      <c r="U94" s="142"/>
      <c r="V94" s="142"/>
      <c r="W94" s="142">
        <v>9247</v>
      </c>
      <c r="X94" s="142">
        <v>9720.5</v>
      </c>
      <c r="Y94" s="142">
        <v>9983.5</v>
      </c>
      <c r="Z94" s="142">
        <v>10614</v>
      </c>
      <c r="AA94" s="142">
        <v>10911</v>
      </c>
      <c r="AB94" s="142">
        <v>11321.5</v>
      </c>
      <c r="AC94" s="142">
        <v>11707.5</v>
      </c>
      <c r="AD94" s="142">
        <v>12032</v>
      </c>
      <c r="AE94" s="142">
        <v>12388</v>
      </c>
      <c r="AF94" s="142">
        <v>12959</v>
      </c>
      <c r="AG94" s="142">
        <v>13424.5</v>
      </c>
      <c r="AH94" s="142">
        <v>13900.5</v>
      </c>
      <c r="AI94" s="142">
        <v>14371.5</v>
      </c>
      <c r="AJ94" s="142">
        <v>15078.5</v>
      </c>
      <c r="AK94" s="142">
        <v>15575</v>
      </c>
      <c r="AL94" s="142">
        <v>16166.5</v>
      </c>
      <c r="AM94" s="142">
        <v>16741.5</v>
      </c>
      <c r="AN94" s="142">
        <v>17288.5</v>
      </c>
      <c r="AO94" s="142">
        <v>17706.5</v>
      </c>
      <c r="AP94" s="142">
        <v>18145.5</v>
      </c>
      <c r="AQ94" s="142">
        <v>18549.5</v>
      </c>
      <c r="AR94" s="142">
        <v>18970.5</v>
      </c>
      <c r="AS94" s="142">
        <v>19211</v>
      </c>
      <c r="AT94" s="142">
        <v>19399</v>
      </c>
      <c r="AU94" s="142">
        <v>19527.5</v>
      </c>
      <c r="AV94" s="142">
        <v>19972</v>
      </c>
      <c r="AW94" s="142">
        <v>20554.5</v>
      </c>
      <c r="AX94" s="142">
        <v>21467.5</v>
      </c>
      <c r="AY94" s="142">
        <v>22332</v>
      </c>
      <c r="AZ94" s="142">
        <v>22781</v>
      </c>
      <c r="BA94" s="142">
        <v>23245</v>
      </c>
      <c r="BB94" s="142">
        <v>23869.5</v>
      </c>
      <c r="BC94" s="142">
        <v>24398</v>
      </c>
      <c r="BD94" s="142">
        <v>24972</v>
      </c>
      <c r="BE94" s="142">
        <v>25487</v>
      </c>
      <c r="BF94" s="142">
        <v>26096.5</v>
      </c>
      <c r="BG94" s="142">
        <v>26635.5</v>
      </c>
      <c r="BH94" s="142">
        <v>27254</v>
      </c>
      <c r="BI94" s="142">
        <v>27815</v>
      </c>
      <c r="BJ94" s="142">
        <v>28403</v>
      </c>
      <c r="BK94" s="142">
        <v>29029</v>
      </c>
      <c r="BL94" s="142">
        <v>29676</v>
      </c>
      <c r="BM94" s="142">
        <v>30320</v>
      </c>
      <c r="BN94" s="142">
        <v>30946.5</v>
      </c>
      <c r="BO94" s="142">
        <v>31554.5</v>
      </c>
      <c r="BP94" s="142">
        <v>32154.5</v>
      </c>
      <c r="BQ94" s="142">
        <v>32733</v>
      </c>
      <c r="BR94" s="142">
        <v>33311</v>
      </c>
      <c r="BS94" s="142">
        <v>33855.5</v>
      </c>
      <c r="BT94" s="142">
        <v>34431.5</v>
      </c>
      <c r="BU94" s="142">
        <v>34990</v>
      </c>
      <c r="BV94" s="142">
        <v>35575</v>
      </c>
      <c r="BW94" s="142">
        <v>36142.5</v>
      </c>
      <c r="BX94" s="142">
        <v>36736.5</v>
      </c>
      <c r="BY94" s="142">
        <v>37331</v>
      </c>
      <c r="BZ94" s="142">
        <v>37975.5</v>
      </c>
      <c r="CA94" s="142">
        <v>38584.5</v>
      </c>
      <c r="CB94" s="142">
        <v>39167</v>
      </c>
      <c r="CC94" s="142">
        <v>39764</v>
      </c>
      <c r="CD94" s="142">
        <v>40350.5</v>
      </c>
      <c r="CE94" s="142">
        <v>40930.5</v>
      </c>
      <c r="CF94" s="142">
        <v>41528.5</v>
      </c>
      <c r="CG94" s="142">
        <v>42114</v>
      </c>
      <c r="CH94" s="142">
        <v>42692</v>
      </c>
      <c r="CI94" s="142">
        <v>43287</v>
      </c>
      <c r="CJ94" s="142">
        <v>43843</v>
      </c>
      <c r="CK94" s="142">
        <v>44407.5</v>
      </c>
      <c r="CL94" s="142">
        <v>44997.5</v>
      </c>
      <c r="CM94" s="142">
        <v>45550</v>
      </c>
      <c r="CN94" s="142">
        <v>46119.5</v>
      </c>
      <c r="CO94" s="142">
        <v>46682.5</v>
      </c>
      <c r="CP94" s="142">
        <v>47243.5</v>
      </c>
      <c r="CQ94" s="142">
        <v>47800.5</v>
      </c>
      <c r="CR94" s="142">
        <v>48337.5</v>
      </c>
      <c r="CS94" s="142">
        <v>48890.5</v>
      </c>
      <c r="CT94" s="142">
        <v>49427.5</v>
      </c>
      <c r="CU94" s="142">
        <v>49965.5</v>
      </c>
      <c r="CV94" s="142">
        <v>50488.5</v>
      </c>
      <c r="CW94" s="142">
        <v>51019</v>
      </c>
      <c r="CX94" s="142">
        <v>51552.5</v>
      </c>
      <c r="CY94" s="142">
        <v>52066.5</v>
      </c>
      <c r="CZ94" s="142">
        <v>52576</v>
      </c>
      <c r="DA94" s="142">
        <v>53084.5</v>
      </c>
      <c r="DB94" s="142">
        <v>53600.5</v>
      </c>
      <c r="DC94" s="142">
        <v>54112.5</v>
      </c>
      <c r="DD94" s="142">
        <v>54614</v>
      </c>
      <c r="DE94" s="142">
        <v>55111.5</v>
      </c>
      <c r="DF94" s="142">
        <v>55625.5</v>
      </c>
      <c r="DG94" s="142">
        <v>56109.5</v>
      </c>
      <c r="DH94" s="142">
        <v>56602.5</v>
      </c>
      <c r="DI94" s="142">
        <v>57079</v>
      </c>
      <c r="DJ94" s="142">
        <v>57573</v>
      </c>
      <c r="DK94" s="142">
        <v>58050.5</v>
      </c>
      <c r="DL94" s="142">
        <v>58522</v>
      </c>
      <c r="DM94" s="142">
        <v>58999</v>
      </c>
      <c r="DN94" s="142">
        <v>59473</v>
      </c>
      <c r="DO94" s="142">
        <v>59942.5</v>
      </c>
      <c r="DP94" s="142"/>
      <c r="DQ94" s="142"/>
    </row>
    <row r="95" spans="1:121">
      <c r="A95" s="140">
        <v>93</v>
      </c>
      <c r="B95" s="142"/>
      <c r="C95" s="142"/>
      <c r="D95" s="142"/>
      <c r="E95" s="142"/>
      <c r="F95" s="142"/>
      <c r="G95" s="142"/>
      <c r="H95" s="142"/>
      <c r="I95" s="142"/>
      <c r="J95" s="142"/>
      <c r="K95" s="142"/>
      <c r="L95" s="142"/>
      <c r="M95" s="142"/>
      <c r="N95" s="142"/>
      <c r="O95" s="142"/>
      <c r="P95" s="142"/>
      <c r="Q95" s="142"/>
      <c r="R95" s="142"/>
      <c r="S95" s="142"/>
      <c r="T95" s="142"/>
      <c r="U95" s="142"/>
      <c r="V95" s="142"/>
      <c r="W95" s="142">
        <v>7443</v>
      </c>
      <c r="X95" s="142">
        <v>7720</v>
      </c>
      <c r="Y95" s="142">
        <v>7961</v>
      </c>
      <c r="Z95" s="142">
        <v>8486</v>
      </c>
      <c r="AA95" s="142">
        <v>8749</v>
      </c>
      <c r="AB95" s="142">
        <v>9103.5</v>
      </c>
      <c r="AC95" s="142">
        <v>9442</v>
      </c>
      <c r="AD95" s="142">
        <v>9731.5</v>
      </c>
      <c r="AE95" s="142">
        <v>10046</v>
      </c>
      <c r="AF95" s="142">
        <v>10536</v>
      </c>
      <c r="AG95" s="142">
        <v>10941</v>
      </c>
      <c r="AH95" s="142">
        <v>11357</v>
      </c>
      <c r="AI95" s="142">
        <v>11770</v>
      </c>
      <c r="AJ95" s="142">
        <v>12378</v>
      </c>
      <c r="AK95" s="142">
        <v>12816.5</v>
      </c>
      <c r="AL95" s="142">
        <v>13335</v>
      </c>
      <c r="AM95" s="142">
        <v>13840.5</v>
      </c>
      <c r="AN95" s="142">
        <v>14325.5</v>
      </c>
      <c r="AO95" s="142">
        <v>14705</v>
      </c>
      <c r="AP95" s="142">
        <v>15102.5</v>
      </c>
      <c r="AQ95" s="142">
        <v>15472</v>
      </c>
      <c r="AR95" s="142">
        <v>15855</v>
      </c>
      <c r="AS95" s="142">
        <v>16091</v>
      </c>
      <c r="AT95" s="142">
        <v>16282</v>
      </c>
      <c r="AU95" s="142">
        <v>16424</v>
      </c>
      <c r="AV95" s="142">
        <v>16831</v>
      </c>
      <c r="AW95" s="142">
        <v>17356</v>
      </c>
      <c r="AX95" s="142">
        <v>18162</v>
      </c>
      <c r="AY95" s="142">
        <v>18930</v>
      </c>
      <c r="AZ95" s="142">
        <v>19348.5</v>
      </c>
      <c r="BA95" s="142">
        <v>19780</v>
      </c>
      <c r="BB95" s="142">
        <v>20349</v>
      </c>
      <c r="BC95" s="142">
        <v>20838.5</v>
      </c>
      <c r="BD95" s="142">
        <v>21367</v>
      </c>
      <c r="BE95" s="142">
        <v>21847.5</v>
      </c>
      <c r="BF95" s="142">
        <v>22409.5</v>
      </c>
      <c r="BG95" s="142">
        <v>22913</v>
      </c>
      <c r="BH95" s="142">
        <v>23485</v>
      </c>
      <c r="BI95" s="142">
        <v>24009.5</v>
      </c>
      <c r="BJ95" s="142">
        <v>24558.5</v>
      </c>
      <c r="BK95" s="142">
        <v>25141</v>
      </c>
      <c r="BL95" s="142">
        <v>25744</v>
      </c>
      <c r="BM95" s="142">
        <v>26345.5</v>
      </c>
      <c r="BN95" s="142">
        <v>26933</v>
      </c>
      <c r="BO95" s="142">
        <v>27506</v>
      </c>
      <c r="BP95" s="142">
        <v>28073</v>
      </c>
      <c r="BQ95" s="142">
        <v>28623.5</v>
      </c>
      <c r="BR95" s="142">
        <v>29174</v>
      </c>
      <c r="BS95" s="142">
        <v>29695.5</v>
      </c>
      <c r="BT95" s="142">
        <v>30246</v>
      </c>
      <c r="BU95" s="142">
        <v>30783</v>
      </c>
      <c r="BV95" s="142">
        <v>31343.5</v>
      </c>
      <c r="BW95" s="142">
        <v>31890</v>
      </c>
      <c r="BX95" s="142">
        <v>32460.5</v>
      </c>
      <c r="BY95" s="142">
        <v>33032.5</v>
      </c>
      <c r="BZ95" s="142">
        <v>33650</v>
      </c>
      <c r="CA95" s="142">
        <v>34237</v>
      </c>
      <c r="CB95" s="142">
        <v>34801.5</v>
      </c>
      <c r="CC95" s="142">
        <v>35380</v>
      </c>
      <c r="CD95" s="142">
        <v>35950</v>
      </c>
      <c r="CE95" s="142">
        <v>36514.5</v>
      </c>
      <c r="CF95" s="142">
        <v>37096.5</v>
      </c>
      <c r="CG95" s="142">
        <v>37668</v>
      </c>
      <c r="CH95" s="142">
        <v>38234</v>
      </c>
      <c r="CI95" s="142">
        <v>38815.5</v>
      </c>
      <c r="CJ95" s="142">
        <v>39363.5</v>
      </c>
      <c r="CK95" s="142">
        <v>39919</v>
      </c>
      <c r="CL95" s="142">
        <v>40499</v>
      </c>
      <c r="CM95" s="142">
        <v>41045.5</v>
      </c>
      <c r="CN95" s="142">
        <v>41608.5</v>
      </c>
      <c r="CO95" s="142">
        <v>42165.5</v>
      </c>
      <c r="CP95" s="142">
        <v>42722.5</v>
      </c>
      <c r="CQ95" s="142">
        <v>43275.5</v>
      </c>
      <c r="CR95" s="142">
        <v>43811.5</v>
      </c>
      <c r="CS95" s="142">
        <v>44363</v>
      </c>
      <c r="CT95" s="142">
        <v>44900</v>
      </c>
      <c r="CU95" s="142">
        <v>45438</v>
      </c>
      <c r="CV95" s="142">
        <v>45964</v>
      </c>
      <c r="CW95" s="142">
        <v>46496.5</v>
      </c>
      <c r="CX95" s="142">
        <v>47032.5</v>
      </c>
      <c r="CY95" s="142">
        <v>47551</v>
      </c>
      <c r="CZ95" s="142">
        <v>48066</v>
      </c>
      <c r="DA95" s="142">
        <v>48581</v>
      </c>
      <c r="DB95" s="142">
        <v>49102.5</v>
      </c>
      <c r="DC95" s="142">
        <v>49621</v>
      </c>
      <c r="DD95" s="142">
        <v>50130.5</v>
      </c>
      <c r="DE95" s="142">
        <v>50637</v>
      </c>
      <c r="DF95" s="142">
        <v>51159</v>
      </c>
      <c r="DG95" s="142">
        <v>51653</v>
      </c>
      <c r="DH95" s="142">
        <v>52156</v>
      </c>
      <c r="DI95" s="142">
        <v>52644</v>
      </c>
      <c r="DJ95" s="142">
        <v>53148.5</v>
      </c>
      <c r="DK95" s="142">
        <v>53638</v>
      </c>
      <c r="DL95" s="142">
        <v>54122.5</v>
      </c>
      <c r="DM95" s="142">
        <v>54613</v>
      </c>
      <c r="DN95" s="142">
        <v>55099</v>
      </c>
      <c r="DO95" s="142">
        <v>55582.5</v>
      </c>
      <c r="DP95" s="142"/>
      <c r="DQ95" s="142"/>
    </row>
    <row r="96" spans="1:121">
      <c r="A96" s="140">
        <v>94</v>
      </c>
      <c r="B96" s="142"/>
      <c r="C96" s="142"/>
      <c r="D96" s="142"/>
      <c r="E96" s="142"/>
      <c r="F96" s="142"/>
      <c r="G96" s="142"/>
      <c r="H96" s="142"/>
      <c r="I96" s="142"/>
      <c r="J96" s="142"/>
      <c r="K96" s="142"/>
      <c r="L96" s="142"/>
      <c r="M96" s="142"/>
      <c r="N96" s="142"/>
      <c r="O96" s="142"/>
      <c r="P96" s="142"/>
      <c r="Q96" s="142"/>
      <c r="R96" s="142"/>
      <c r="S96" s="142"/>
      <c r="T96" s="142"/>
      <c r="U96" s="142"/>
      <c r="V96" s="142"/>
      <c r="W96" s="142">
        <v>5750.5</v>
      </c>
      <c r="X96" s="142">
        <v>5987</v>
      </c>
      <c r="Y96" s="142">
        <v>6193.5</v>
      </c>
      <c r="Z96" s="142">
        <v>6620.5</v>
      </c>
      <c r="AA96" s="142">
        <v>6847</v>
      </c>
      <c r="AB96" s="142">
        <v>7145.5</v>
      </c>
      <c r="AC96" s="142">
        <v>7434.5</v>
      </c>
      <c r="AD96" s="142">
        <v>7686.5</v>
      </c>
      <c r="AE96" s="142">
        <v>7958.5</v>
      </c>
      <c r="AF96" s="142">
        <v>8369</v>
      </c>
      <c r="AG96" s="142">
        <v>8714.5</v>
      </c>
      <c r="AH96" s="142">
        <v>9069</v>
      </c>
      <c r="AI96" s="142">
        <v>9423</v>
      </c>
      <c r="AJ96" s="142">
        <v>9936.5</v>
      </c>
      <c r="AK96" s="142">
        <v>10314.5</v>
      </c>
      <c r="AL96" s="142">
        <v>10758.5</v>
      </c>
      <c r="AM96" s="142">
        <v>11194</v>
      </c>
      <c r="AN96" s="142">
        <v>11614.5</v>
      </c>
      <c r="AO96" s="142">
        <v>11951</v>
      </c>
      <c r="AP96" s="142">
        <v>12302</v>
      </c>
      <c r="AQ96" s="142">
        <v>12632.5</v>
      </c>
      <c r="AR96" s="142">
        <v>12974</v>
      </c>
      <c r="AS96" s="142">
        <v>13197</v>
      </c>
      <c r="AT96" s="142">
        <v>13383</v>
      </c>
      <c r="AU96" s="142">
        <v>13530</v>
      </c>
      <c r="AV96" s="142">
        <v>13895.5</v>
      </c>
      <c r="AW96" s="142">
        <v>14359.5</v>
      </c>
      <c r="AX96" s="142">
        <v>15057</v>
      </c>
      <c r="AY96" s="142">
        <v>15726.5</v>
      </c>
      <c r="AZ96" s="142">
        <v>16107.5</v>
      </c>
      <c r="BA96" s="142">
        <v>16502</v>
      </c>
      <c r="BB96" s="142">
        <v>17010.5</v>
      </c>
      <c r="BC96" s="142">
        <v>17454.5</v>
      </c>
      <c r="BD96" s="142">
        <v>17932</v>
      </c>
      <c r="BE96" s="142">
        <v>18370.5</v>
      </c>
      <c r="BF96" s="142">
        <v>18879.5</v>
      </c>
      <c r="BG96" s="142">
        <v>19341</v>
      </c>
      <c r="BH96" s="142">
        <v>19860</v>
      </c>
      <c r="BI96" s="142">
        <v>20341</v>
      </c>
      <c r="BJ96" s="142">
        <v>20844.5</v>
      </c>
      <c r="BK96" s="142">
        <v>21377</v>
      </c>
      <c r="BL96" s="142">
        <v>21929</v>
      </c>
      <c r="BM96" s="142">
        <v>22481</v>
      </c>
      <c r="BN96" s="142">
        <v>23022.5</v>
      </c>
      <c r="BO96" s="142">
        <v>23552.5</v>
      </c>
      <c r="BP96" s="142">
        <v>24079.5</v>
      </c>
      <c r="BQ96" s="142">
        <v>24593</v>
      </c>
      <c r="BR96" s="142">
        <v>25108</v>
      </c>
      <c r="BS96" s="142">
        <v>25599.5</v>
      </c>
      <c r="BT96" s="142">
        <v>26116.5</v>
      </c>
      <c r="BU96" s="142">
        <v>26623</v>
      </c>
      <c r="BV96" s="142">
        <v>27151</v>
      </c>
      <c r="BW96" s="142">
        <v>27668</v>
      </c>
      <c r="BX96" s="142">
        <v>28207.5</v>
      </c>
      <c r="BY96" s="142">
        <v>28749</v>
      </c>
      <c r="BZ96" s="142">
        <v>29330.5</v>
      </c>
      <c r="CA96" s="142">
        <v>29887.5</v>
      </c>
      <c r="CB96" s="142">
        <v>30426</v>
      </c>
      <c r="CC96" s="142">
        <v>30977.5</v>
      </c>
      <c r="CD96" s="142">
        <v>31522</v>
      </c>
      <c r="CE96" s="142">
        <v>32064</v>
      </c>
      <c r="CF96" s="142">
        <v>32621</v>
      </c>
      <c r="CG96" s="142">
        <v>33170.5</v>
      </c>
      <c r="CH96" s="142">
        <v>33715.5</v>
      </c>
      <c r="CI96" s="142">
        <v>34275.5</v>
      </c>
      <c r="CJ96" s="142">
        <v>34807</v>
      </c>
      <c r="CK96" s="142">
        <v>35346.5</v>
      </c>
      <c r="CL96" s="142">
        <v>35908</v>
      </c>
      <c r="CM96" s="142">
        <v>36440.5</v>
      </c>
      <c r="CN96" s="142">
        <v>36988</v>
      </c>
      <c r="CO96" s="142">
        <v>37531.5</v>
      </c>
      <c r="CP96" s="142">
        <v>38076</v>
      </c>
      <c r="CQ96" s="142">
        <v>38618</v>
      </c>
      <c r="CR96" s="142">
        <v>39144.5</v>
      </c>
      <c r="CS96" s="142">
        <v>39686.5</v>
      </c>
      <c r="CT96" s="142">
        <v>40215.5</v>
      </c>
      <c r="CU96" s="142">
        <v>40747</v>
      </c>
      <c r="CV96" s="142">
        <v>41267.5</v>
      </c>
      <c r="CW96" s="142">
        <v>41795</v>
      </c>
      <c r="CX96" s="142">
        <v>42326</v>
      </c>
      <c r="CY96" s="142">
        <v>42842.5</v>
      </c>
      <c r="CZ96" s="142">
        <v>43355.5</v>
      </c>
      <c r="DA96" s="142">
        <v>43869.5</v>
      </c>
      <c r="DB96" s="142">
        <v>44390</v>
      </c>
      <c r="DC96" s="142">
        <v>44908.5</v>
      </c>
      <c r="DD96" s="142">
        <v>45419</v>
      </c>
      <c r="DE96" s="142">
        <v>45927</v>
      </c>
      <c r="DF96" s="142">
        <v>46450</v>
      </c>
      <c r="DG96" s="142">
        <v>46948.5</v>
      </c>
      <c r="DH96" s="142">
        <v>47455</v>
      </c>
      <c r="DI96" s="142">
        <v>47948</v>
      </c>
      <c r="DJ96" s="142">
        <v>48457</v>
      </c>
      <c r="DK96" s="142">
        <v>48952.5</v>
      </c>
      <c r="DL96" s="142">
        <v>49443.5</v>
      </c>
      <c r="DM96" s="142">
        <v>49941</v>
      </c>
      <c r="DN96" s="142">
        <v>50435</v>
      </c>
      <c r="DO96" s="142">
        <v>50926.5</v>
      </c>
      <c r="DP96" s="142"/>
      <c r="DQ96" s="142"/>
    </row>
    <row r="97" spans="1:121">
      <c r="A97" s="140">
        <v>95</v>
      </c>
      <c r="B97" s="142"/>
      <c r="C97" s="142"/>
      <c r="D97" s="142"/>
      <c r="E97" s="142"/>
      <c r="F97" s="142"/>
      <c r="G97" s="142"/>
      <c r="H97" s="142"/>
      <c r="I97" s="142"/>
      <c r="J97" s="142"/>
      <c r="K97" s="142"/>
      <c r="L97" s="142"/>
      <c r="M97" s="142"/>
      <c r="N97" s="142"/>
      <c r="O97" s="142"/>
      <c r="P97" s="142"/>
      <c r="Q97" s="142"/>
      <c r="R97" s="142"/>
      <c r="S97" s="142"/>
      <c r="T97" s="142"/>
      <c r="U97" s="142"/>
      <c r="V97" s="142"/>
      <c r="W97" s="142">
        <v>4331</v>
      </c>
      <c r="X97" s="142">
        <v>4523.5</v>
      </c>
      <c r="Y97" s="142">
        <v>4695.5</v>
      </c>
      <c r="Z97" s="142">
        <v>5034.5</v>
      </c>
      <c r="AA97" s="142">
        <v>5223.5</v>
      </c>
      <c r="AB97" s="142">
        <v>5469</v>
      </c>
      <c r="AC97" s="142">
        <v>5709.5</v>
      </c>
      <c r="AD97" s="142">
        <v>5922.5</v>
      </c>
      <c r="AE97" s="142">
        <v>6151.5</v>
      </c>
      <c r="AF97" s="142">
        <v>6487.5</v>
      </c>
      <c r="AG97" s="142">
        <v>6774.5</v>
      </c>
      <c r="AH97" s="142">
        <v>7069.5</v>
      </c>
      <c r="AI97" s="142">
        <v>7366</v>
      </c>
      <c r="AJ97" s="142">
        <v>7789</v>
      </c>
      <c r="AK97" s="142">
        <v>8107</v>
      </c>
      <c r="AL97" s="142">
        <v>8479</v>
      </c>
      <c r="AM97" s="142">
        <v>8845</v>
      </c>
      <c r="AN97" s="142">
        <v>9200.5</v>
      </c>
      <c r="AO97" s="142">
        <v>9491.5</v>
      </c>
      <c r="AP97" s="142">
        <v>9795</v>
      </c>
      <c r="AQ97" s="142">
        <v>10082</v>
      </c>
      <c r="AR97" s="142">
        <v>10379</v>
      </c>
      <c r="AS97" s="142">
        <v>10583</v>
      </c>
      <c r="AT97" s="142">
        <v>10758</v>
      </c>
      <c r="AU97" s="142">
        <v>10902.5</v>
      </c>
      <c r="AV97" s="142">
        <v>11222</v>
      </c>
      <c r="AW97" s="142">
        <v>11623</v>
      </c>
      <c r="AX97" s="142">
        <v>12214.5</v>
      </c>
      <c r="AY97" s="142">
        <v>12786.5</v>
      </c>
      <c r="AZ97" s="142">
        <v>13125.5</v>
      </c>
      <c r="BA97" s="142">
        <v>13476.5</v>
      </c>
      <c r="BB97" s="142">
        <v>13921.5</v>
      </c>
      <c r="BC97" s="142">
        <v>14315.5</v>
      </c>
      <c r="BD97" s="142">
        <v>14738</v>
      </c>
      <c r="BE97" s="142">
        <v>15130</v>
      </c>
      <c r="BF97" s="142">
        <v>15580</v>
      </c>
      <c r="BG97" s="142">
        <v>15994</v>
      </c>
      <c r="BH97" s="142">
        <v>16456</v>
      </c>
      <c r="BI97" s="142">
        <v>16888</v>
      </c>
      <c r="BJ97" s="142">
        <v>17340</v>
      </c>
      <c r="BK97" s="142">
        <v>17817.5</v>
      </c>
      <c r="BL97" s="142">
        <v>18312.5</v>
      </c>
      <c r="BM97" s="142">
        <v>18809</v>
      </c>
      <c r="BN97" s="142">
        <v>19298</v>
      </c>
      <c r="BO97" s="142">
        <v>19779</v>
      </c>
      <c r="BP97" s="142">
        <v>20259</v>
      </c>
      <c r="BQ97" s="142">
        <v>20728.5</v>
      </c>
      <c r="BR97" s="142">
        <v>21200.5</v>
      </c>
      <c r="BS97" s="142">
        <v>21654</v>
      </c>
      <c r="BT97" s="142">
        <v>22131</v>
      </c>
      <c r="BU97" s="142">
        <v>22599.5</v>
      </c>
      <c r="BV97" s="142">
        <v>23088</v>
      </c>
      <c r="BW97" s="142">
        <v>23567.5</v>
      </c>
      <c r="BX97" s="142">
        <v>24067.5</v>
      </c>
      <c r="BY97" s="142">
        <v>24570.5</v>
      </c>
      <c r="BZ97" s="142">
        <v>25108.5</v>
      </c>
      <c r="CA97" s="142">
        <v>25627.5</v>
      </c>
      <c r="CB97" s="142">
        <v>26131</v>
      </c>
      <c r="CC97" s="142">
        <v>26647</v>
      </c>
      <c r="CD97" s="142">
        <v>27158.5</v>
      </c>
      <c r="CE97" s="142">
        <v>27668.5</v>
      </c>
      <c r="CF97" s="142">
        <v>28192.5</v>
      </c>
      <c r="CG97" s="142">
        <v>28711.5</v>
      </c>
      <c r="CH97" s="142">
        <v>29227.5</v>
      </c>
      <c r="CI97" s="142">
        <v>29757.5</v>
      </c>
      <c r="CJ97" s="142">
        <v>30263.5</v>
      </c>
      <c r="CK97" s="142">
        <v>30778</v>
      </c>
      <c r="CL97" s="142">
        <v>31311.5</v>
      </c>
      <c r="CM97" s="142">
        <v>31822</v>
      </c>
      <c r="CN97" s="142">
        <v>32346</v>
      </c>
      <c r="CO97" s="142">
        <v>32867.5</v>
      </c>
      <c r="CP97" s="142">
        <v>33390.5</v>
      </c>
      <c r="CQ97" s="142">
        <v>33912.5</v>
      </c>
      <c r="CR97" s="142">
        <v>34421.5</v>
      </c>
      <c r="CS97" s="142">
        <v>34945</v>
      </c>
      <c r="CT97" s="142">
        <v>35458.5</v>
      </c>
      <c r="CU97" s="142">
        <v>35974</v>
      </c>
      <c r="CV97" s="142">
        <v>36481</v>
      </c>
      <c r="CW97" s="142">
        <v>36995</v>
      </c>
      <c r="CX97" s="142">
        <v>37512.5</v>
      </c>
      <c r="CY97" s="142">
        <v>38018</v>
      </c>
      <c r="CZ97" s="142">
        <v>38521.5</v>
      </c>
      <c r="DA97" s="142">
        <v>39026</v>
      </c>
      <c r="DB97" s="142">
        <v>39537.5</v>
      </c>
      <c r="DC97" s="142">
        <v>40047.5</v>
      </c>
      <c r="DD97" s="142">
        <v>40551</v>
      </c>
      <c r="DE97" s="142">
        <v>41053</v>
      </c>
      <c r="DF97" s="142">
        <v>41569</v>
      </c>
      <c r="DG97" s="142">
        <v>42063.5</v>
      </c>
      <c r="DH97" s="142">
        <v>42566.5</v>
      </c>
      <c r="DI97" s="142">
        <v>43057</v>
      </c>
      <c r="DJ97" s="142">
        <v>43563</v>
      </c>
      <c r="DK97" s="142">
        <v>44057.5</v>
      </c>
      <c r="DL97" s="142">
        <v>44548.5</v>
      </c>
      <c r="DM97" s="142">
        <v>45045</v>
      </c>
      <c r="DN97" s="142">
        <v>45539.5</v>
      </c>
      <c r="DO97" s="142">
        <v>46032</v>
      </c>
      <c r="DP97" s="142"/>
      <c r="DQ97" s="142"/>
    </row>
    <row r="98" spans="1:121">
      <c r="A98" s="140">
        <v>96</v>
      </c>
      <c r="B98" s="142"/>
      <c r="C98" s="142"/>
      <c r="D98" s="142"/>
      <c r="E98" s="142"/>
      <c r="F98" s="142"/>
      <c r="G98" s="142"/>
      <c r="H98" s="142"/>
      <c r="I98" s="142"/>
      <c r="J98" s="142"/>
      <c r="K98" s="142"/>
      <c r="L98" s="142"/>
      <c r="M98" s="142"/>
      <c r="N98" s="142"/>
      <c r="O98" s="142"/>
      <c r="P98" s="142"/>
      <c r="Q98" s="142"/>
      <c r="R98" s="142"/>
      <c r="S98" s="142"/>
      <c r="T98" s="142"/>
      <c r="U98" s="142"/>
      <c r="V98" s="142"/>
      <c r="W98" s="142">
        <v>3170</v>
      </c>
      <c r="X98" s="142">
        <v>3322</v>
      </c>
      <c r="Y98" s="142">
        <v>3460.5</v>
      </c>
      <c r="Z98" s="142">
        <v>3721.5</v>
      </c>
      <c r="AA98" s="142">
        <v>3875</v>
      </c>
      <c r="AB98" s="142">
        <v>4070</v>
      </c>
      <c r="AC98" s="142">
        <v>4264</v>
      </c>
      <c r="AD98" s="142">
        <v>4438</v>
      </c>
      <c r="AE98" s="142">
        <v>4625</v>
      </c>
      <c r="AF98" s="142">
        <v>4892</v>
      </c>
      <c r="AG98" s="142">
        <v>5123</v>
      </c>
      <c r="AH98" s="142">
        <v>5361.5</v>
      </c>
      <c r="AI98" s="142">
        <v>5602.5</v>
      </c>
      <c r="AJ98" s="142">
        <v>5941</v>
      </c>
      <c r="AK98" s="142">
        <v>6201.5</v>
      </c>
      <c r="AL98" s="142">
        <v>6504</v>
      </c>
      <c r="AM98" s="142">
        <v>6802.5</v>
      </c>
      <c r="AN98" s="142">
        <v>7094</v>
      </c>
      <c r="AO98" s="142">
        <v>7338</v>
      </c>
      <c r="AP98" s="142">
        <v>7591.5</v>
      </c>
      <c r="AQ98" s="142">
        <v>7833.5</v>
      </c>
      <c r="AR98" s="142">
        <v>8083.5</v>
      </c>
      <c r="AS98" s="142">
        <v>8263.5</v>
      </c>
      <c r="AT98" s="142">
        <v>8420.5</v>
      </c>
      <c r="AU98" s="142">
        <v>8554</v>
      </c>
      <c r="AV98" s="142">
        <v>8825.5</v>
      </c>
      <c r="AW98" s="142">
        <v>9162</v>
      </c>
      <c r="AX98" s="142">
        <v>9649.5</v>
      </c>
      <c r="AY98" s="142">
        <v>10124.5</v>
      </c>
      <c r="AZ98" s="142">
        <v>10417</v>
      </c>
      <c r="BA98" s="142">
        <v>10719.5</v>
      </c>
      <c r="BB98" s="142">
        <v>11098.5</v>
      </c>
      <c r="BC98" s="142">
        <v>11437</v>
      </c>
      <c r="BD98" s="142">
        <v>11799.5</v>
      </c>
      <c r="BE98" s="142">
        <v>12139.5</v>
      </c>
      <c r="BF98" s="142">
        <v>12527</v>
      </c>
      <c r="BG98" s="142">
        <v>12887</v>
      </c>
      <c r="BH98" s="142">
        <v>13286</v>
      </c>
      <c r="BI98" s="142">
        <v>13662</v>
      </c>
      <c r="BJ98" s="142">
        <v>14056</v>
      </c>
      <c r="BK98" s="142">
        <v>14472</v>
      </c>
      <c r="BL98" s="142">
        <v>14903</v>
      </c>
      <c r="BM98" s="142">
        <v>15336.5</v>
      </c>
      <c r="BN98" s="142">
        <v>15765</v>
      </c>
      <c r="BO98" s="142">
        <v>16188.5</v>
      </c>
      <c r="BP98" s="142">
        <v>16613</v>
      </c>
      <c r="BQ98" s="142">
        <v>17029.5</v>
      </c>
      <c r="BR98" s="142">
        <v>17449.5</v>
      </c>
      <c r="BS98" s="142">
        <v>17855</v>
      </c>
      <c r="BT98" s="142">
        <v>18281.5</v>
      </c>
      <c r="BU98" s="142">
        <v>18701.5</v>
      </c>
      <c r="BV98" s="142">
        <v>19139</v>
      </c>
      <c r="BW98" s="142">
        <v>19571.5</v>
      </c>
      <c r="BX98" s="142">
        <v>20020.5</v>
      </c>
      <c r="BY98" s="142">
        <v>20473.5</v>
      </c>
      <c r="BZ98" s="142">
        <v>20957.5</v>
      </c>
      <c r="CA98" s="142">
        <v>21426.5</v>
      </c>
      <c r="CB98" s="142">
        <v>21884</v>
      </c>
      <c r="CC98" s="142">
        <v>22352.5</v>
      </c>
      <c r="CD98" s="142">
        <v>22818</v>
      </c>
      <c r="CE98" s="142">
        <v>23283.5</v>
      </c>
      <c r="CF98" s="142">
        <v>23762</v>
      </c>
      <c r="CG98" s="142">
        <v>24237.5</v>
      </c>
      <c r="CH98" s="142">
        <v>24711.5</v>
      </c>
      <c r="CI98" s="142">
        <v>25197.5</v>
      </c>
      <c r="CJ98" s="142">
        <v>25665</v>
      </c>
      <c r="CK98" s="142">
        <v>26140.5</v>
      </c>
      <c r="CL98" s="142">
        <v>26633</v>
      </c>
      <c r="CM98" s="142">
        <v>27107</v>
      </c>
      <c r="CN98" s="142">
        <v>27593.5</v>
      </c>
      <c r="CO98" s="142">
        <v>28078.5</v>
      </c>
      <c r="CP98" s="142">
        <v>28565.5</v>
      </c>
      <c r="CQ98" s="142">
        <v>29052.5</v>
      </c>
      <c r="CR98" s="142">
        <v>29530</v>
      </c>
      <c r="CS98" s="142">
        <v>30020</v>
      </c>
      <c r="CT98" s="142">
        <v>30502.5</v>
      </c>
      <c r="CU98" s="142">
        <v>30987.5</v>
      </c>
      <c r="CV98" s="142">
        <v>31466.5</v>
      </c>
      <c r="CW98" s="142">
        <v>31951.5</v>
      </c>
      <c r="CX98" s="142">
        <v>32441</v>
      </c>
      <c r="CY98" s="142">
        <v>32920.5</v>
      </c>
      <c r="CZ98" s="142">
        <v>33399</v>
      </c>
      <c r="DA98" s="142">
        <v>33879</v>
      </c>
      <c r="DB98" s="142">
        <v>34365.5</v>
      </c>
      <c r="DC98" s="142">
        <v>34852</v>
      </c>
      <c r="DD98" s="142">
        <v>35333.5</v>
      </c>
      <c r="DE98" s="142">
        <v>35814</v>
      </c>
      <c r="DF98" s="142">
        <v>36307.5</v>
      </c>
      <c r="DG98" s="142">
        <v>36782.5</v>
      </c>
      <c r="DH98" s="142">
        <v>37266</v>
      </c>
      <c r="DI98" s="142">
        <v>37739.5</v>
      </c>
      <c r="DJ98" s="142">
        <v>38226.5</v>
      </c>
      <c r="DK98" s="142">
        <v>38704.5</v>
      </c>
      <c r="DL98" s="142">
        <v>39179.5</v>
      </c>
      <c r="DM98" s="142">
        <v>39660</v>
      </c>
      <c r="DN98" s="142">
        <v>40139</v>
      </c>
      <c r="DO98" s="142">
        <v>40617.5</v>
      </c>
      <c r="DP98" s="142"/>
      <c r="DQ98" s="142"/>
    </row>
    <row r="99" spans="1:121">
      <c r="A99" s="140">
        <v>97</v>
      </c>
      <c r="B99" s="142"/>
      <c r="C99" s="142"/>
      <c r="D99" s="142"/>
      <c r="E99" s="142"/>
      <c r="F99" s="142"/>
      <c r="G99" s="142"/>
      <c r="H99" s="142"/>
      <c r="I99" s="142"/>
      <c r="J99" s="142"/>
      <c r="K99" s="142"/>
      <c r="L99" s="142"/>
      <c r="M99" s="142"/>
      <c r="N99" s="142"/>
      <c r="O99" s="142"/>
      <c r="P99" s="142"/>
      <c r="Q99" s="142"/>
      <c r="R99" s="142"/>
      <c r="S99" s="142"/>
      <c r="T99" s="142"/>
      <c r="U99" s="142"/>
      <c r="V99" s="142"/>
      <c r="W99" s="142">
        <v>2252</v>
      </c>
      <c r="X99" s="142">
        <v>2368.5</v>
      </c>
      <c r="Y99" s="142">
        <v>2476</v>
      </c>
      <c r="Z99" s="142">
        <v>2671</v>
      </c>
      <c r="AA99" s="142">
        <v>2791.5</v>
      </c>
      <c r="AB99" s="142">
        <v>2942</v>
      </c>
      <c r="AC99" s="142">
        <v>3093</v>
      </c>
      <c r="AD99" s="142">
        <v>3230.5</v>
      </c>
      <c r="AE99" s="142">
        <v>3377.5</v>
      </c>
      <c r="AF99" s="142">
        <v>3583.5</v>
      </c>
      <c r="AG99" s="142">
        <v>3764.5</v>
      </c>
      <c r="AH99" s="142">
        <v>3951</v>
      </c>
      <c r="AI99" s="142">
        <v>4140.5</v>
      </c>
      <c r="AJ99" s="142">
        <v>4404</v>
      </c>
      <c r="AK99" s="142">
        <v>4610.5</v>
      </c>
      <c r="AL99" s="142">
        <v>4849.5</v>
      </c>
      <c r="AM99" s="142">
        <v>5085</v>
      </c>
      <c r="AN99" s="142">
        <v>5317.5</v>
      </c>
      <c r="AO99" s="142">
        <v>5515</v>
      </c>
      <c r="AP99" s="142">
        <v>5720.5</v>
      </c>
      <c r="AQ99" s="142">
        <v>5918</v>
      </c>
      <c r="AR99" s="142">
        <v>6122</v>
      </c>
      <c r="AS99" s="142">
        <v>6274</v>
      </c>
      <c r="AT99" s="142">
        <v>6409.5</v>
      </c>
      <c r="AU99" s="142">
        <v>6527.5</v>
      </c>
      <c r="AV99" s="142">
        <v>6751</v>
      </c>
      <c r="AW99" s="142">
        <v>7024.5</v>
      </c>
      <c r="AX99" s="142">
        <v>7415.5</v>
      </c>
      <c r="AY99" s="142">
        <v>7798.5</v>
      </c>
      <c r="AZ99" s="142">
        <v>8043</v>
      </c>
      <c r="BA99" s="142">
        <v>8295.5</v>
      </c>
      <c r="BB99" s="142">
        <v>8608</v>
      </c>
      <c r="BC99" s="142">
        <v>8890.5</v>
      </c>
      <c r="BD99" s="142">
        <v>9192.5</v>
      </c>
      <c r="BE99" s="142">
        <v>9477.5</v>
      </c>
      <c r="BF99" s="142">
        <v>9801</v>
      </c>
      <c r="BG99" s="142">
        <v>10104.5</v>
      </c>
      <c r="BH99" s="142">
        <v>10439</v>
      </c>
      <c r="BI99" s="142">
        <v>10757</v>
      </c>
      <c r="BJ99" s="142">
        <v>11090</v>
      </c>
      <c r="BK99" s="142">
        <v>11441</v>
      </c>
      <c r="BL99" s="142">
        <v>11805.5</v>
      </c>
      <c r="BM99" s="142">
        <v>12172.5</v>
      </c>
      <c r="BN99" s="142">
        <v>12537.5</v>
      </c>
      <c r="BO99" s="142">
        <v>12899.5</v>
      </c>
      <c r="BP99" s="142">
        <v>13263</v>
      </c>
      <c r="BQ99" s="142">
        <v>13621.5</v>
      </c>
      <c r="BR99" s="142">
        <v>13983.5</v>
      </c>
      <c r="BS99" s="142">
        <v>14335.5</v>
      </c>
      <c r="BT99" s="142">
        <v>14704.5</v>
      </c>
      <c r="BU99" s="142">
        <v>15070.5</v>
      </c>
      <c r="BV99" s="142">
        <v>15450.5</v>
      </c>
      <c r="BW99" s="142">
        <v>15827.5</v>
      </c>
      <c r="BX99" s="142">
        <v>16220</v>
      </c>
      <c r="BY99" s="142">
        <v>16615.5</v>
      </c>
      <c r="BZ99" s="142">
        <v>17038</v>
      </c>
      <c r="CA99" s="142">
        <v>17449</v>
      </c>
      <c r="CB99" s="142">
        <v>17851.5</v>
      </c>
      <c r="CC99" s="142">
        <v>18264</v>
      </c>
      <c r="CD99" s="142">
        <v>18675.5</v>
      </c>
      <c r="CE99" s="142">
        <v>19087.5</v>
      </c>
      <c r="CF99" s="142">
        <v>19511.5</v>
      </c>
      <c r="CG99" s="142">
        <v>19933.5</v>
      </c>
      <c r="CH99" s="142">
        <v>20355</v>
      </c>
      <c r="CI99" s="142">
        <v>20788</v>
      </c>
      <c r="CJ99" s="142">
        <v>21206.5</v>
      </c>
      <c r="CK99" s="142">
        <v>21632.5</v>
      </c>
      <c r="CL99" s="142">
        <v>22074</v>
      </c>
      <c r="CM99" s="142">
        <v>22500</v>
      </c>
      <c r="CN99" s="142">
        <v>22938</v>
      </c>
      <c r="CO99" s="142">
        <v>23375.5</v>
      </c>
      <c r="CP99" s="142">
        <v>23815.5</v>
      </c>
      <c r="CQ99" s="142">
        <v>24256</v>
      </c>
      <c r="CR99" s="142">
        <v>24690</v>
      </c>
      <c r="CS99" s="142">
        <v>25135</v>
      </c>
      <c r="CT99" s="142">
        <v>25575</v>
      </c>
      <c r="CU99" s="142">
        <v>26017.5</v>
      </c>
      <c r="CV99" s="142">
        <v>26455</v>
      </c>
      <c r="CW99" s="142">
        <v>26899.5</v>
      </c>
      <c r="CX99" s="142">
        <v>27347.5</v>
      </c>
      <c r="CY99" s="142">
        <v>27788</v>
      </c>
      <c r="CZ99" s="142">
        <v>28228.5</v>
      </c>
      <c r="DA99" s="142">
        <v>28672</v>
      </c>
      <c r="DB99" s="142">
        <v>29120.5</v>
      </c>
      <c r="DC99" s="142">
        <v>29570</v>
      </c>
      <c r="DD99" s="142">
        <v>30016</v>
      </c>
      <c r="DE99" s="142">
        <v>30462</v>
      </c>
      <c r="DF99" s="142">
        <v>30919.5</v>
      </c>
      <c r="DG99" s="142">
        <v>31362</v>
      </c>
      <c r="DH99" s="142">
        <v>31812</v>
      </c>
      <c r="DI99" s="142">
        <v>32254</v>
      </c>
      <c r="DJ99" s="142">
        <v>32708.5</v>
      </c>
      <c r="DK99" s="142">
        <v>33156</v>
      </c>
      <c r="DL99" s="142">
        <v>33602</v>
      </c>
      <c r="DM99" s="142">
        <v>34052.5</v>
      </c>
      <c r="DN99" s="142">
        <v>34502.5</v>
      </c>
      <c r="DO99" s="142">
        <v>34952.5</v>
      </c>
      <c r="DP99" s="142"/>
      <c r="DQ99" s="142"/>
    </row>
    <row r="100" spans="1:121">
      <c r="A100" s="140">
        <v>98</v>
      </c>
      <c r="B100" s="142"/>
      <c r="C100" s="142"/>
      <c r="D100" s="142"/>
      <c r="E100" s="142"/>
      <c r="F100" s="142"/>
      <c r="G100" s="142"/>
      <c r="H100" s="142"/>
      <c r="I100" s="142"/>
      <c r="J100" s="142"/>
      <c r="K100" s="142"/>
      <c r="L100" s="142"/>
      <c r="M100" s="142"/>
      <c r="N100" s="142"/>
      <c r="O100" s="142"/>
      <c r="P100" s="142"/>
      <c r="Q100" s="142"/>
      <c r="R100" s="142"/>
      <c r="S100" s="142"/>
      <c r="T100" s="142"/>
      <c r="U100" s="142"/>
      <c r="V100" s="142"/>
      <c r="W100" s="142">
        <v>1551</v>
      </c>
      <c r="X100" s="142">
        <v>1637</v>
      </c>
      <c r="Y100" s="142">
        <v>1718</v>
      </c>
      <c r="Z100" s="142">
        <v>1859.5</v>
      </c>
      <c r="AA100" s="142">
        <v>1950</v>
      </c>
      <c r="AB100" s="142">
        <v>2062</v>
      </c>
      <c r="AC100" s="142">
        <v>2176.5</v>
      </c>
      <c r="AD100" s="142">
        <v>2281.5</v>
      </c>
      <c r="AE100" s="142">
        <v>2393.5</v>
      </c>
      <c r="AF100" s="142">
        <v>2548</v>
      </c>
      <c r="AG100" s="142">
        <v>2685</v>
      </c>
      <c r="AH100" s="142">
        <v>2826</v>
      </c>
      <c r="AI100" s="142">
        <v>2971.5</v>
      </c>
      <c r="AJ100" s="142">
        <v>3170</v>
      </c>
      <c r="AK100" s="142">
        <v>3328</v>
      </c>
      <c r="AL100" s="142">
        <v>3510.5</v>
      </c>
      <c r="AM100" s="142">
        <v>3692</v>
      </c>
      <c r="AN100" s="142">
        <v>3871</v>
      </c>
      <c r="AO100" s="142">
        <v>4026</v>
      </c>
      <c r="AP100" s="142">
        <v>4187</v>
      </c>
      <c r="AQ100" s="142">
        <v>4342.5</v>
      </c>
      <c r="AR100" s="142">
        <v>4504</v>
      </c>
      <c r="AS100" s="142">
        <v>4628</v>
      </c>
      <c r="AT100" s="142">
        <v>4740</v>
      </c>
      <c r="AU100" s="142">
        <v>4839.5</v>
      </c>
      <c r="AV100" s="142">
        <v>5017</v>
      </c>
      <c r="AW100" s="142">
        <v>5233.5</v>
      </c>
      <c r="AX100" s="142">
        <v>5538</v>
      </c>
      <c r="AY100" s="142">
        <v>5838</v>
      </c>
      <c r="AZ100" s="142">
        <v>6035</v>
      </c>
      <c r="BA100" s="142">
        <v>6239.5</v>
      </c>
      <c r="BB100" s="142">
        <v>6489.5</v>
      </c>
      <c r="BC100" s="142">
        <v>6718</v>
      </c>
      <c r="BD100" s="142">
        <v>6961.5</v>
      </c>
      <c r="BE100" s="142">
        <v>7193.5</v>
      </c>
      <c r="BF100" s="142">
        <v>7455.5</v>
      </c>
      <c r="BG100" s="142">
        <v>7703.5</v>
      </c>
      <c r="BH100" s="142">
        <v>7975.5</v>
      </c>
      <c r="BI100" s="142">
        <v>8235.5</v>
      </c>
      <c r="BJ100" s="142">
        <v>8508</v>
      </c>
      <c r="BK100" s="142">
        <v>8795.5</v>
      </c>
      <c r="BL100" s="142">
        <v>9095</v>
      </c>
      <c r="BM100" s="142">
        <v>9396.5</v>
      </c>
      <c r="BN100" s="142">
        <v>9697.5</v>
      </c>
      <c r="BO100" s="142">
        <v>9997.5</v>
      </c>
      <c r="BP100" s="142">
        <v>10299.5</v>
      </c>
      <c r="BQ100" s="142">
        <v>10598.5</v>
      </c>
      <c r="BR100" s="142">
        <v>10901.5</v>
      </c>
      <c r="BS100" s="142">
        <v>11197</v>
      </c>
      <c r="BT100" s="142">
        <v>11507</v>
      </c>
      <c r="BU100" s="142">
        <v>11815</v>
      </c>
      <c r="BV100" s="142">
        <v>12136</v>
      </c>
      <c r="BW100" s="142">
        <v>12455</v>
      </c>
      <c r="BX100" s="142">
        <v>12786.5</v>
      </c>
      <c r="BY100" s="142">
        <v>13122</v>
      </c>
      <c r="BZ100" s="142">
        <v>13479</v>
      </c>
      <c r="CA100" s="142">
        <v>13828</v>
      </c>
      <c r="CB100" s="142">
        <v>14171.5</v>
      </c>
      <c r="CC100" s="142">
        <v>14523.5</v>
      </c>
      <c r="CD100" s="142">
        <v>14876.5</v>
      </c>
      <c r="CE100" s="142">
        <v>15230.5</v>
      </c>
      <c r="CF100" s="142">
        <v>15594</v>
      </c>
      <c r="CG100" s="142">
        <v>15957</v>
      </c>
      <c r="CH100" s="142">
        <v>16321.5</v>
      </c>
      <c r="CI100" s="142">
        <v>16695.5</v>
      </c>
      <c r="CJ100" s="142">
        <v>17058.5</v>
      </c>
      <c r="CK100" s="142">
        <v>17428.5</v>
      </c>
      <c r="CL100" s="142">
        <v>17811.5</v>
      </c>
      <c r="CM100" s="142">
        <v>18183.5</v>
      </c>
      <c r="CN100" s="142">
        <v>18565.5</v>
      </c>
      <c r="CO100" s="142">
        <v>18947.5</v>
      </c>
      <c r="CP100" s="142">
        <v>19333.5</v>
      </c>
      <c r="CQ100" s="142">
        <v>19720.5</v>
      </c>
      <c r="CR100" s="142">
        <v>20102</v>
      </c>
      <c r="CS100" s="142">
        <v>20494</v>
      </c>
      <c r="CT100" s="142">
        <v>20881.5</v>
      </c>
      <c r="CU100" s="142">
        <v>21273</v>
      </c>
      <c r="CV100" s="142">
        <v>21661</v>
      </c>
      <c r="CW100" s="142">
        <v>22055.5</v>
      </c>
      <c r="CX100" s="142">
        <v>22454</v>
      </c>
      <c r="CY100" s="142">
        <v>22846.5</v>
      </c>
      <c r="CZ100" s="142">
        <v>23239.5</v>
      </c>
      <c r="DA100" s="142">
        <v>23635.5</v>
      </c>
      <c r="DB100" s="142">
        <v>24037</v>
      </c>
      <c r="DC100" s="142">
        <v>24439.5</v>
      </c>
      <c r="DD100" s="142">
        <v>24839.5</v>
      </c>
      <c r="DE100" s="142">
        <v>25240.5</v>
      </c>
      <c r="DF100" s="142">
        <v>25652</v>
      </c>
      <c r="DG100" s="142">
        <v>26051.5</v>
      </c>
      <c r="DH100" s="142">
        <v>26457.5</v>
      </c>
      <c r="DI100" s="142">
        <v>26857.5</v>
      </c>
      <c r="DJ100" s="142">
        <v>27268.5</v>
      </c>
      <c r="DK100" s="142">
        <v>27674.5</v>
      </c>
      <c r="DL100" s="142">
        <v>28079.5</v>
      </c>
      <c r="DM100" s="142">
        <v>28489</v>
      </c>
      <c r="DN100" s="142">
        <v>28898.5</v>
      </c>
      <c r="DO100" s="142">
        <v>29308.5</v>
      </c>
      <c r="DP100" s="142"/>
      <c r="DQ100" s="142"/>
    </row>
    <row r="101" spans="1:121">
      <c r="A101" s="140">
        <v>99</v>
      </c>
      <c r="B101" s="142"/>
      <c r="C101" s="142"/>
      <c r="D101" s="142"/>
      <c r="E101" s="142"/>
      <c r="F101" s="142"/>
      <c r="G101" s="142"/>
      <c r="H101" s="142"/>
      <c r="I101" s="142"/>
      <c r="J101" s="142"/>
      <c r="K101" s="142"/>
      <c r="L101" s="142"/>
      <c r="M101" s="142"/>
      <c r="N101" s="142"/>
      <c r="O101" s="142"/>
      <c r="P101" s="142"/>
      <c r="Q101" s="142"/>
      <c r="R101" s="142"/>
      <c r="S101" s="142"/>
      <c r="T101" s="142"/>
      <c r="U101" s="142"/>
      <c r="V101" s="142"/>
      <c r="W101" s="142">
        <v>1035</v>
      </c>
      <c r="X101" s="142">
        <v>1096.5</v>
      </c>
      <c r="Y101" s="142">
        <v>1154.5</v>
      </c>
      <c r="Z101" s="142">
        <v>1254</v>
      </c>
      <c r="AA101" s="142">
        <v>1320</v>
      </c>
      <c r="AB101" s="142">
        <v>1401</v>
      </c>
      <c r="AC101" s="142">
        <v>1484.5</v>
      </c>
      <c r="AD101" s="142">
        <v>1562</v>
      </c>
      <c r="AE101" s="142">
        <v>1644.5</v>
      </c>
      <c r="AF101" s="142">
        <v>1756</v>
      </c>
      <c r="AG101" s="142">
        <v>1856.5</v>
      </c>
      <c r="AH101" s="142">
        <v>1960.5</v>
      </c>
      <c r="AI101" s="142">
        <v>2068</v>
      </c>
      <c r="AJ101" s="142">
        <v>2213</v>
      </c>
      <c r="AK101" s="142">
        <v>2331</v>
      </c>
      <c r="AL101" s="142">
        <v>2466</v>
      </c>
      <c r="AM101" s="142">
        <v>2600.5</v>
      </c>
      <c r="AN101" s="142">
        <v>2734.5</v>
      </c>
      <c r="AO101" s="142">
        <v>2852.5</v>
      </c>
      <c r="AP101" s="142">
        <v>2974.5</v>
      </c>
      <c r="AQ101" s="142">
        <v>3093.5</v>
      </c>
      <c r="AR101" s="142">
        <v>3216.5</v>
      </c>
      <c r="AS101" s="142">
        <v>3314</v>
      </c>
      <c r="AT101" s="142">
        <v>3402.5</v>
      </c>
      <c r="AU101" s="142">
        <v>3483.5</v>
      </c>
      <c r="AV101" s="142">
        <v>3620.5</v>
      </c>
      <c r="AW101" s="142">
        <v>3786</v>
      </c>
      <c r="AX101" s="142">
        <v>4016</v>
      </c>
      <c r="AY101" s="142">
        <v>4244</v>
      </c>
      <c r="AZ101" s="142">
        <v>4398.5</v>
      </c>
      <c r="BA101" s="142">
        <v>4558</v>
      </c>
      <c r="BB101" s="142">
        <v>4752</v>
      </c>
      <c r="BC101" s="142">
        <v>4930.5</v>
      </c>
      <c r="BD101" s="142">
        <v>5121.5</v>
      </c>
      <c r="BE101" s="142">
        <v>5304</v>
      </c>
      <c r="BF101" s="142">
        <v>5509.5</v>
      </c>
      <c r="BG101" s="142">
        <v>5706</v>
      </c>
      <c r="BH101" s="142">
        <v>5920</v>
      </c>
      <c r="BI101" s="142">
        <v>6126.5</v>
      </c>
      <c r="BJ101" s="142">
        <v>6343</v>
      </c>
      <c r="BK101" s="142">
        <v>6571.5</v>
      </c>
      <c r="BL101" s="142">
        <v>6809</v>
      </c>
      <c r="BM101" s="142">
        <v>7049.5</v>
      </c>
      <c r="BN101" s="142">
        <v>7290.5</v>
      </c>
      <c r="BO101" s="142">
        <v>7531</v>
      </c>
      <c r="BP101" s="142">
        <v>7774.5</v>
      </c>
      <c r="BQ101" s="142">
        <v>8016</v>
      </c>
      <c r="BR101" s="142">
        <v>8261</v>
      </c>
      <c r="BS101" s="142">
        <v>8502</v>
      </c>
      <c r="BT101" s="142">
        <v>8754.5</v>
      </c>
      <c r="BU101" s="142">
        <v>9006</v>
      </c>
      <c r="BV101" s="142">
        <v>9268</v>
      </c>
      <c r="BW101" s="142">
        <v>9529.5</v>
      </c>
      <c r="BX101" s="142">
        <v>9801</v>
      </c>
      <c r="BY101" s="142">
        <v>10077</v>
      </c>
      <c r="BZ101" s="142">
        <v>10369.5</v>
      </c>
      <c r="CA101" s="142">
        <v>10657</v>
      </c>
      <c r="CB101" s="142">
        <v>10942</v>
      </c>
      <c r="CC101" s="142">
        <v>11233.5</v>
      </c>
      <c r="CD101" s="142">
        <v>11525.5</v>
      </c>
      <c r="CE101" s="142">
        <v>11820.5</v>
      </c>
      <c r="CF101" s="142">
        <v>12123</v>
      </c>
      <c r="CG101" s="142">
        <v>12426.5</v>
      </c>
      <c r="CH101" s="142">
        <v>12731</v>
      </c>
      <c r="CI101" s="142">
        <v>13044</v>
      </c>
      <c r="CJ101" s="142">
        <v>13349.5</v>
      </c>
      <c r="CK101" s="142">
        <v>13661</v>
      </c>
      <c r="CL101" s="142">
        <v>13983</v>
      </c>
      <c r="CM101" s="142">
        <v>14298</v>
      </c>
      <c r="CN101" s="142">
        <v>14621.5</v>
      </c>
      <c r="CO101" s="142">
        <v>14945</v>
      </c>
      <c r="CP101" s="142">
        <v>15272.5</v>
      </c>
      <c r="CQ101" s="142">
        <v>15601.5</v>
      </c>
      <c r="CR101" s="142">
        <v>15927</v>
      </c>
      <c r="CS101" s="142">
        <v>16261.5</v>
      </c>
      <c r="CT101" s="142">
        <v>16593.5</v>
      </c>
      <c r="CU101" s="142">
        <v>16929</v>
      </c>
      <c r="CV101" s="142">
        <v>17262.5</v>
      </c>
      <c r="CW101" s="142">
        <v>17602</v>
      </c>
      <c r="CX101" s="142">
        <v>17944.5</v>
      </c>
      <c r="CY101" s="142">
        <v>18283.5</v>
      </c>
      <c r="CZ101" s="142">
        <v>18623.5</v>
      </c>
      <c r="DA101" s="142">
        <v>18966.5</v>
      </c>
      <c r="DB101" s="142">
        <v>19314.5</v>
      </c>
      <c r="DC101" s="142">
        <v>19664</v>
      </c>
      <c r="DD101" s="142">
        <v>20012.5</v>
      </c>
      <c r="DE101" s="142">
        <v>20362</v>
      </c>
      <c r="DF101" s="142">
        <v>20720</v>
      </c>
      <c r="DG101" s="142">
        <v>21069.5</v>
      </c>
      <c r="DH101" s="142">
        <v>21425</v>
      </c>
      <c r="DI101" s="142">
        <v>21776</v>
      </c>
      <c r="DJ101" s="142">
        <v>22136.5</v>
      </c>
      <c r="DK101" s="142">
        <v>22493</v>
      </c>
      <c r="DL101" s="142">
        <v>22849.5</v>
      </c>
      <c r="DM101" s="142">
        <v>23210.5</v>
      </c>
      <c r="DN101" s="142">
        <v>23572</v>
      </c>
      <c r="DO101" s="142">
        <v>23934</v>
      </c>
      <c r="DP101" s="142"/>
      <c r="DQ101" s="142"/>
    </row>
    <row r="102" spans="1:121">
      <c r="A102" s="140">
        <v>100</v>
      </c>
      <c r="B102" s="142"/>
      <c r="C102" s="142"/>
      <c r="D102" s="142"/>
      <c r="E102" s="142"/>
      <c r="F102" s="142"/>
      <c r="G102" s="142"/>
      <c r="H102" s="142"/>
      <c r="I102" s="142"/>
      <c r="J102" s="142"/>
      <c r="K102" s="142"/>
      <c r="L102" s="142"/>
      <c r="M102" s="142"/>
      <c r="N102" s="142"/>
      <c r="O102" s="142"/>
      <c r="P102" s="142"/>
      <c r="Q102" s="142"/>
      <c r="R102" s="142"/>
      <c r="S102" s="142"/>
      <c r="T102" s="142"/>
      <c r="U102" s="142"/>
      <c r="V102" s="142"/>
      <c r="W102" s="142">
        <v>668</v>
      </c>
      <c r="X102" s="142">
        <v>710.5</v>
      </c>
      <c r="Y102" s="142">
        <v>751.5</v>
      </c>
      <c r="Z102" s="142">
        <v>819</v>
      </c>
      <c r="AA102" s="142">
        <v>866</v>
      </c>
      <c r="AB102" s="142">
        <v>922.5</v>
      </c>
      <c r="AC102" s="142">
        <v>981</v>
      </c>
      <c r="AD102" s="142">
        <v>1036</v>
      </c>
      <c r="AE102" s="142">
        <v>1095</v>
      </c>
      <c r="AF102" s="142">
        <v>1173</v>
      </c>
      <c r="AG102" s="142">
        <v>1244.5</v>
      </c>
      <c r="AH102" s="142">
        <v>1318.5</v>
      </c>
      <c r="AI102" s="142">
        <v>1395</v>
      </c>
      <c r="AJ102" s="142">
        <v>1498</v>
      </c>
      <c r="AK102" s="142">
        <v>1582.5</v>
      </c>
      <c r="AL102" s="142">
        <v>1680</v>
      </c>
      <c r="AM102" s="142">
        <v>1776</v>
      </c>
      <c r="AN102" s="142">
        <v>1873</v>
      </c>
      <c r="AO102" s="142">
        <v>1960</v>
      </c>
      <c r="AP102" s="142">
        <v>2049.5</v>
      </c>
      <c r="AQ102" s="142">
        <v>2137</v>
      </c>
      <c r="AR102" s="142">
        <v>2228.5</v>
      </c>
      <c r="AS102" s="142">
        <v>2302</v>
      </c>
      <c r="AT102" s="142">
        <v>2370.5</v>
      </c>
      <c r="AU102" s="142">
        <v>2433</v>
      </c>
      <c r="AV102" s="142">
        <v>2535.5</v>
      </c>
      <c r="AW102" s="142">
        <v>2658</v>
      </c>
      <c r="AX102" s="142">
        <v>2826.5</v>
      </c>
      <c r="AY102" s="142">
        <v>2994</v>
      </c>
      <c r="AZ102" s="142">
        <v>3111</v>
      </c>
      <c r="BA102" s="142">
        <v>3232.5</v>
      </c>
      <c r="BB102" s="142">
        <v>3377.5</v>
      </c>
      <c r="BC102" s="142">
        <v>3513.5</v>
      </c>
      <c r="BD102" s="142">
        <v>3658</v>
      </c>
      <c r="BE102" s="142">
        <v>3797</v>
      </c>
      <c r="BF102" s="142">
        <v>3953.5</v>
      </c>
      <c r="BG102" s="142">
        <v>4104</v>
      </c>
      <c r="BH102" s="142">
        <v>4267</v>
      </c>
      <c r="BI102" s="142">
        <v>4426</v>
      </c>
      <c r="BJ102" s="142">
        <v>4592.5</v>
      </c>
      <c r="BK102" s="142">
        <v>4768.5</v>
      </c>
      <c r="BL102" s="142">
        <v>4951.5</v>
      </c>
      <c r="BM102" s="142">
        <v>5137.5</v>
      </c>
      <c r="BN102" s="142">
        <v>5324</v>
      </c>
      <c r="BO102" s="142">
        <v>5511.5</v>
      </c>
      <c r="BP102" s="142">
        <v>5701</v>
      </c>
      <c r="BQ102" s="142">
        <v>5890.5</v>
      </c>
      <c r="BR102" s="142">
        <v>6083.5</v>
      </c>
      <c r="BS102" s="142">
        <v>6273</v>
      </c>
      <c r="BT102" s="142">
        <v>6472</v>
      </c>
      <c r="BU102" s="142">
        <v>6671.5</v>
      </c>
      <c r="BV102" s="142">
        <v>6878.5</v>
      </c>
      <c r="BW102" s="142">
        <v>7086.5</v>
      </c>
      <c r="BX102" s="142">
        <v>7302.5</v>
      </c>
      <c r="BY102" s="142">
        <v>7521.5</v>
      </c>
      <c r="BZ102" s="142">
        <v>7754.5</v>
      </c>
      <c r="CA102" s="142">
        <v>7984</v>
      </c>
      <c r="CB102" s="142">
        <v>8212.5</v>
      </c>
      <c r="CC102" s="142">
        <v>8446.5</v>
      </c>
      <c r="CD102" s="142">
        <v>8682</v>
      </c>
      <c r="CE102" s="142">
        <v>8919.5</v>
      </c>
      <c r="CF102" s="142">
        <v>9163.5</v>
      </c>
      <c r="CG102" s="142">
        <v>9409</v>
      </c>
      <c r="CH102" s="142">
        <v>9656</v>
      </c>
      <c r="CI102" s="142">
        <v>9910</v>
      </c>
      <c r="CJ102" s="142">
        <v>10159.5</v>
      </c>
      <c r="CK102" s="142">
        <v>10413.5</v>
      </c>
      <c r="CL102" s="142">
        <v>10676.5</v>
      </c>
      <c r="CM102" s="142">
        <v>10934.5</v>
      </c>
      <c r="CN102" s="142">
        <v>11199.5</v>
      </c>
      <c r="CO102" s="142">
        <v>11465.5</v>
      </c>
      <c r="CP102" s="142">
        <v>11735</v>
      </c>
      <c r="CQ102" s="142">
        <v>12006.5</v>
      </c>
      <c r="CR102" s="142">
        <v>12276</v>
      </c>
      <c r="CS102" s="142">
        <v>12552.5</v>
      </c>
      <c r="CT102" s="142">
        <v>12828</v>
      </c>
      <c r="CU102" s="142">
        <v>13107</v>
      </c>
      <c r="CV102" s="142">
        <v>13384.5</v>
      </c>
      <c r="CW102" s="142">
        <v>13667</v>
      </c>
      <c r="CX102" s="142">
        <v>13953</v>
      </c>
      <c r="CY102" s="142">
        <v>14237.5</v>
      </c>
      <c r="CZ102" s="142">
        <v>14522</v>
      </c>
      <c r="DA102" s="142">
        <v>14810</v>
      </c>
      <c r="DB102" s="142">
        <v>15103</v>
      </c>
      <c r="DC102" s="142">
        <v>15397</v>
      </c>
      <c r="DD102" s="142">
        <v>15691</v>
      </c>
      <c r="DE102" s="142">
        <v>15986</v>
      </c>
      <c r="DF102" s="142">
        <v>16288.5</v>
      </c>
      <c r="DG102" s="142">
        <v>16585</v>
      </c>
      <c r="DH102" s="142">
        <v>16886.5</v>
      </c>
      <c r="DI102" s="142">
        <v>17184.5</v>
      </c>
      <c r="DJ102" s="142">
        <v>17491</v>
      </c>
      <c r="DK102" s="142">
        <v>17795.5</v>
      </c>
      <c r="DL102" s="142">
        <v>18099</v>
      </c>
      <c r="DM102" s="142">
        <v>18408</v>
      </c>
      <c r="DN102" s="142">
        <v>18717</v>
      </c>
      <c r="DO102" s="142">
        <v>19027.5</v>
      </c>
      <c r="DP102" s="142"/>
      <c r="DQ102" s="142"/>
    </row>
  </sheetData>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3">
    <pageSetUpPr fitToPage="1"/>
  </sheetPr>
  <dimension ref="A1:L48"/>
  <sheetViews>
    <sheetView showGridLines="0" showRowColHeaders="0" tabSelected="1" topLeftCell="A4" zoomScale="115" zoomScaleNormal="115" workbookViewId="0">
      <selection activeCell="C12" sqref="C12:I12"/>
    </sheetView>
  </sheetViews>
  <sheetFormatPr baseColWidth="10" defaultColWidth="0" defaultRowHeight="14.25" zeroHeight="1"/>
  <cols>
    <col min="1" max="1" width="3.25" customWidth="1"/>
    <col min="2" max="2" width="10.625" customWidth="1"/>
    <col min="3" max="3" width="2" customWidth="1"/>
    <col min="4" max="4" width="25.75" customWidth="1"/>
    <col min="5" max="5" width="23.5" customWidth="1"/>
    <col min="6" max="6" width="27.625" customWidth="1"/>
    <col min="7" max="7" width="25.5" customWidth="1"/>
    <col min="8" max="9" width="24.625" customWidth="1"/>
    <col min="10" max="10" width="10.625" customWidth="1"/>
    <col min="11" max="11" width="17.25" hidden="1" customWidth="1"/>
    <col min="12" max="12" width="0" hidden="1" customWidth="1"/>
    <col min="13" max="16384" width="10.625" hidden="1"/>
  </cols>
  <sheetData>
    <row r="1" spans="3:11" ht="64.349999999999994" hidden="1" customHeight="1"/>
    <row r="2" spans="3:11" ht="64.349999999999994" hidden="1" customHeight="1"/>
    <row r="3" spans="3:11" ht="64.349999999999994" hidden="1" customHeight="1"/>
    <row r="4" spans="3:11" ht="15" customHeight="1"/>
    <row r="5" spans="3:11" s="1400" customFormat="1" ht="32.25" customHeight="1">
      <c r="C5" s="2148" t="s">
        <v>1784</v>
      </c>
      <c r="D5" s="2148"/>
      <c r="E5" s="2148"/>
      <c r="F5" s="2148"/>
      <c r="G5" s="2148"/>
      <c r="H5" s="2148"/>
      <c r="I5" s="2148"/>
      <c r="J5" s="1399"/>
    </row>
    <row r="6" spans="3:11" ht="18">
      <c r="C6" s="2149" t="s">
        <v>218</v>
      </c>
      <c r="D6" s="2149"/>
      <c r="E6" s="2149"/>
      <c r="F6" s="2149"/>
      <c r="G6" s="2149"/>
      <c r="H6" s="2149"/>
      <c r="I6" s="2149"/>
      <c r="J6" s="1164"/>
    </row>
    <row r="7" spans="3:11" ht="23.25">
      <c r="C7" s="2150" t="s">
        <v>351</v>
      </c>
      <c r="D7" s="2150"/>
      <c r="E7" s="2150"/>
      <c r="F7" s="2150"/>
      <c r="G7" s="2150"/>
      <c r="H7" s="2150"/>
      <c r="I7" s="2150"/>
      <c r="J7" s="1165"/>
      <c r="K7" s="1165"/>
    </row>
    <row r="8" spans="3:11" ht="18">
      <c r="C8" s="2149" t="s">
        <v>219</v>
      </c>
      <c r="D8" s="2149"/>
      <c r="E8" s="2149"/>
      <c r="F8" s="2149"/>
      <c r="G8" s="2149"/>
      <c r="H8" s="2149"/>
      <c r="I8" s="2149"/>
      <c r="J8" s="1164"/>
    </row>
    <row r="9" spans="3:11" s="131" customFormat="1" ht="12.75">
      <c r="C9" s="2132" t="s">
        <v>220</v>
      </c>
      <c r="D9" s="2132"/>
      <c r="E9" s="2132"/>
      <c r="F9" s="2132"/>
      <c r="G9" s="2132"/>
      <c r="H9" s="2132"/>
      <c r="I9" s="2132"/>
    </row>
    <row r="10" spans="3:11" s="131" customFormat="1" ht="12.75">
      <c r="C10" s="2132" t="s">
        <v>221</v>
      </c>
      <c r="D10" s="2132"/>
      <c r="E10" s="2132"/>
      <c r="F10" s="2132"/>
      <c r="G10" s="2132"/>
      <c r="H10" s="2132"/>
      <c r="I10" s="2132"/>
    </row>
    <row r="11" spans="3:11" s="131" customFormat="1" ht="12.75">
      <c r="C11" s="2164" t="s">
        <v>222</v>
      </c>
      <c r="D11" s="2164"/>
      <c r="E11" s="2164"/>
      <c r="F11" s="2164"/>
      <c r="G11" s="2164"/>
      <c r="H11" s="2164"/>
      <c r="I11" s="2164"/>
      <c r="J11" s="1166"/>
    </row>
    <row r="12" spans="3:11" s="131" customFormat="1" ht="12.75">
      <c r="C12" s="2132" t="s">
        <v>1256</v>
      </c>
      <c r="D12" s="2132"/>
      <c r="E12" s="2132"/>
      <c r="F12" s="2132"/>
      <c r="G12" s="2132"/>
      <c r="H12" s="2132"/>
      <c r="I12" s="2132"/>
    </row>
    <row r="13" spans="3:11" s="131" customFormat="1" ht="12.75">
      <c r="C13" s="2132"/>
      <c r="D13" s="2132"/>
      <c r="E13" s="2132"/>
      <c r="F13" s="1167" t="s">
        <v>1255</v>
      </c>
      <c r="G13" s="1167" t="s">
        <v>1257</v>
      </c>
      <c r="H13" s="2132"/>
      <c r="I13" s="2132"/>
    </row>
    <row r="14" spans="3:11" s="131" customFormat="1" ht="13.5" thickBot="1">
      <c r="C14" s="1168"/>
      <c r="D14" s="1168"/>
      <c r="E14" s="1168"/>
      <c r="F14" s="1169"/>
      <c r="G14" s="1169"/>
      <c r="H14" s="1168"/>
      <c r="I14" s="1168"/>
    </row>
    <row r="15" spans="3:11" ht="24" customHeight="1" thickBot="1">
      <c r="C15" s="1191" t="str">
        <f>"Version "&amp;TEXT(MONTH(Enddatum),"00")&amp;"/"&amp;TEXT(YEAR(Enddatum),"####")</f>
        <v>Version 04/2024</v>
      </c>
      <c r="D15" s="1098"/>
      <c r="E15" s="2151" t="s">
        <v>1216</v>
      </c>
      <c r="F15" s="2151"/>
      <c r="G15" s="1120" t="s">
        <v>1211</v>
      </c>
      <c r="H15" s="2152" t="s">
        <v>1212</v>
      </c>
      <c r="I15" s="2153"/>
    </row>
    <row r="16" spans="3:11" ht="7.5" customHeight="1" thickBot="1">
      <c r="C16" s="1170"/>
      <c r="D16" s="1170"/>
      <c r="E16" s="1171"/>
      <c r="F16" s="1171"/>
      <c r="G16" s="1172"/>
      <c r="H16" s="1172"/>
      <c r="I16" s="1172"/>
    </row>
    <row r="17" spans="2:11" s="1163" customFormat="1" ht="24" customHeight="1" thickTop="1">
      <c r="C17" s="2165" t="s">
        <v>549</v>
      </c>
      <c r="D17" s="2165"/>
      <c r="E17" s="2165"/>
      <c r="F17" s="2165"/>
      <c r="G17" s="2165"/>
      <c r="H17" s="2166" t="s">
        <v>1250</v>
      </c>
      <c r="I17" s="2167"/>
    </row>
    <row r="18" spans="2:11" s="1163" customFormat="1" ht="24" customHeight="1">
      <c r="B18" s="1388" t="s">
        <v>1159</v>
      </c>
      <c r="C18" s="2178" t="s">
        <v>1450</v>
      </c>
      <c r="D18" s="2178"/>
      <c r="E18" s="2178"/>
      <c r="F18" s="2178"/>
      <c r="G18" s="1257"/>
      <c r="H18" s="1259"/>
      <c r="I18" s="1260"/>
    </row>
    <row r="19" spans="2:11" s="331" customFormat="1" ht="21" customHeight="1">
      <c r="C19" s="2158" t="s">
        <v>332</v>
      </c>
      <c r="D19" s="2158"/>
      <c r="E19" s="2158"/>
      <c r="F19" s="2158"/>
      <c r="G19" s="2159"/>
      <c r="H19" s="2168" t="s">
        <v>1330</v>
      </c>
      <c r="I19" s="2169"/>
    </row>
    <row r="20" spans="2:11" s="331" customFormat="1" ht="22.5" customHeight="1">
      <c r="C20" s="2158" t="s">
        <v>331</v>
      </c>
      <c r="D20" s="2158"/>
      <c r="E20" s="2158"/>
      <c r="F20" s="2158"/>
      <c r="G20" s="2159"/>
      <c r="H20" s="2171" t="s">
        <v>1331</v>
      </c>
      <c r="I20" s="2172"/>
    </row>
    <row r="21" spans="2:11" s="331" customFormat="1" ht="22.5" customHeight="1">
      <c r="C21" s="2158" t="s">
        <v>352</v>
      </c>
      <c r="D21" s="2158"/>
      <c r="E21" s="2158"/>
      <c r="F21" s="2158"/>
      <c r="G21" s="2159"/>
      <c r="H21" s="2171"/>
      <c r="I21" s="2172"/>
    </row>
    <row r="22" spans="2:11" s="331" customFormat="1" ht="21" customHeight="1">
      <c r="C22" s="2158" t="s">
        <v>1251</v>
      </c>
      <c r="D22" s="2158"/>
      <c r="E22" s="2158"/>
      <c r="F22" s="2158"/>
      <c r="G22" s="2159"/>
      <c r="H22" s="2171" t="s">
        <v>1260</v>
      </c>
      <c r="I22" s="2172"/>
    </row>
    <row r="23" spans="2:11" s="331" customFormat="1" ht="21" customHeight="1">
      <c r="C23" s="2160" t="s">
        <v>1248</v>
      </c>
      <c r="D23" s="2160"/>
      <c r="E23" s="2160"/>
      <c r="F23" s="2160"/>
      <c r="G23" s="2161"/>
      <c r="H23" s="2173" t="s">
        <v>1249</v>
      </c>
      <c r="I23" s="2169"/>
      <c r="J23"/>
    </row>
    <row r="24" spans="2:11" s="331" customFormat="1" ht="21" customHeight="1">
      <c r="B24" s="1387"/>
      <c r="C24" s="2160" t="s">
        <v>1158</v>
      </c>
      <c r="D24" s="2160"/>
      <c r="E24" s="2160"/>
      <c r="F24" s="2160"/>
      <c r="G24" s="2161"/>
      <c r="H24" s="2174" t="s">
        <v>1261</v>
      </c>
      <c r="I24" s="2175"/>
      <c r="J24" s="1161"/>
    </row>
    <row r="25" spans="2:11" s="331" customFormat="1" ht="21" customHeight="1">
      <c r="B25" s="1388" t="s">
        <v>1159</v>
      </c>
      <c r="C25" s="2160" t="s">
        <v>1853</v>
      </c>
      <c r="D25" s="2160"/>
      <c r="E25" s="2160"/>
      <c r="F25" s="1952" t="s">
        <v>1854</v>
      </c>
      <c r="G25" s="1953" t="s">
        <v>1855</v>
      </c>
      <c r="H25" s="2176"/>
      <c r="I25" s="2175"/>
    </row>
    <row r="26" spans="2:11" s="331" customFormat="1" ht="21" customHeight="1">
      <c r="C26" s="2158" t="s">
        <v>1252</v>
      </c>
      <c r="D26" s="2158"/>
      <c r="E26" s="2158"/>
      <c r="F26" s="2158"/>
      <c r="G26" s="2159"/>
      <c r="H26" s="2176"/>
      <c r="I26" s="2175"/>
      <c r="J26"/>
    </row>
    <row r="27" spans="2:11" s="331" customFormat="1" ht="21" customHeight="1">
      <c r="C27" s="2158" t="s">
        <v>1253</v>
      </c>
      <c r="D27" s="2158"/>
      <c r="E27" s="2158"/>
      <c r="F27" s="2158"/>
      <c r="G27" s="2159"/>
      <c r="H27" s="2176"/>
      <c r="I27" s="2175"/>
      <c r="J27"/>
    </row>
    <row r="28" spans="2:11" s="331" customFormat="1" ht="21" customHeight="1">
      <c r="C28" s="2160" t="s">
        <v>1111</v>
      </c>
      <c r="D28" s="2160"/>
      <c r="E28" s="2160"/>
      <c r="F28" s="2160"/>
      <c r="G28" s="2161"/>
      <c r="H28" s="2176"/>
      <c r="I28" s="2175"/>
      <c r="J28"/>
      <c r="K28"/>
    </row>
    <row r="29" spans="2:11" s="331" customFormat="1" ht="21" customHeight="1">
      <c r="C29" s="1206" t="s">
        <v>1254</v>
      </c>
      <c r="D29" s="1206"/>
      <c r="E29" s="1379"/>
      <c r="F29" s="2177" t="s">
        <v>1312</v>
      </c>
      <c r="G29" s="2177"/>
      <c r="H29" s="2176"/>
      <c r="I29" s="2175"/>
      <c r="J29" s="903"/>
      <c r="K29" s="980"/>
    </row>
    <row r="30" spans="2:11" s="331" customFormat="1" ht="21" customHeight="1" thickBot="1">
      <c r="C30" s="2170" t="s">
        <v>1258</v>
      </c>
      <c r="D30" s="2170"/>
      <c r="E30" s="2170"/>
      <c r="F30" s="2170"/>
      <c r="G30" s="2170"/>
      <c r="H30" s="2162" t="s">
        <v>1255</v>
      </c>
      <c r="I30" s="2163"/>
    </row>
    <row r="31" spans="2:11" s="332" customFormat="1" ht="21" customHeight="1" thickTop="1">
      <c r="B31" s="330"/>
      <c r="D31" s="1173" t="s">
        <v>1112</v>
      </c>
      <c r="E31" s="1173" t="s">
        <v>1113</v>
      </c>
      <c r="F31" s="1173" t="s">
        <v>1114</v>
      </c>
      <c r="G31" s="1173" t="s">
        <v>1115</v>
      </c>
      <c r="H31" s="1173" t="s">
        <v>1116</v>
      </c>
      <c r="I31" s="1173" t="s">
        <v>1117</v>
      </c>
    </row>
    <row r="32" spans="2:11" s="332" customFormat="1" ht="21" customHeight="1">
      <c r="B32" s="330"/>
      <c r="D32" s="1174" t="s">
        <v>1118</v>
      </c>
      <c r="E32" s="1175" t="s">
        <v>1119</v>
      </c>
      <c r="F32" s="1175" t="s">
        <v>1120</v>
      </c>
      <c r="G32" s="1996" t="s">
        <v>1917</v>
      </c>
      <c r="H32" s="1173"/>
      <c r="I32" s="1173"/>
      <c r="J32" s="5"/>
      <c r="K32" s="5"/>
    </row>
    <row r="33" spans="1:12" s="331" customFormat="1" ht="21" customHeight="1">
      <c r="C33" s="2157" t="str">
        <f ca="1">"13. Berechnungsparameter für die gesetzliche Rentenversicherung und den Versorgungsausgleich von 1970 bis "&amp;YEAR(TODAY())</f>
        <v>13. Berechnungsparameter für die gesetzliche Rentenversicherung und den Versorgungsausgleich von 1970 bis 2024</v>
      </c>
      <c r="D33" s="2157"/>
      <c r="E33" s="2157"/>
      <c r="F33" s="2157"/>
      <c r="G33" s="2157"/>
      <c r="H33" s="2157"/>
      <c r="I33" s="2157"/>
      <c r="J33" s="1162"/>
      <c r="K33" s="1162"/>
    </row>
    <row r="34" spans="1:12" ht="18">
      <c r="C34" s="2185"/>
      <c r="D34" s="2185"/>
      <c r="E34" s="2185"/>
      <c r="F34" s="2185" t="s">
        <v>1548</v>
      </c>
      <c r="G34" s="2185"/>
      <c r="H34" s="1405"/>
      <c r="I34" s="1405"/>
      <c r="J34" s="1405"/>
      <c r="K34" s="1405"/>
    </row>
    <row r="35" spans="1:12" ht="15.6" hidden="1" customHeight="1">
      <c r="C35" s="2184"/>
      <c r="D35" s="2184"/>
      <c r="E35" s="2184"/>
      <c r="F35" s="2184"/>
      <c r="G35" s="2184"/>
      <c r="H35" s="2184"/>
      <c r="I35" s="2184"/>
      <c r="J35" s="2184"/>
      <c r="K35" s="2184"/>
      <c r="L35" s="385"/>
    </row>
    <row r="36" spans="1:12">
      <c r="C36" s="2154" t="s">
        <v>1259</v>
      </c>
      <c r="D36" s="2155"/>
      <c r="E36" s="2155"/>
      <c r="F36" s="2155"/>
      <c r="G36" s="2155"/>
      <c r="H36" s="2155"/>
      <c r="I36" s="2155"/>
    </row>
    <row r="37" spans="1:12">
      <c r="C37" s="2156"/>
      <c r="D37" s="2156"/>
      <c r="E37" s="2156"/>
      <c r="F37" s="2156"/>
      <c r="G37" s="2156"/>
      <c r="H37" s="2156"/>
      <c r="I37" s="2156"/>
    </row>
    <row r="38" spans="1:12" ht="15.75">
      <c r="C38" s="2181" t="s">
        <v>1190</v>
      </c>
      <c r="D38" s="2182"/>
      <c r="E38" s="2182"/>
      <c r="F38" s="2182"/>
      <c r="G38" s="2182"/>
      <c r="H38" s="2182"/>
      <c r="I38" s="2183"/>
    </row>
    <row r="39" spans="1:12" s="1397" customFormat="1" ht="14.25" customHeight="1">
      <c r="B39" s="1398"/>
      <c r="C39" s="2179" t="s">
        <v>1542</v>
      </c>
      <c r="D39" s="2179"/>
      <c r="E39" s="2179"/>
      <c r="F39" s="2179"/>
      <c r="G39" s="2179"/>
      <c r="H39" s="2179"/>
      <c r="I39" s="2179"/>
      <c r="J39" s="1398"/>
      <c r="K39" s="1398"/>
      <c r="L39" s="1398"/>
    </row>
    <row r="40" spans="1:12" s="1397" customFormat="1">
      <c r="A40" s="1398"/>
      <c r="B40" s="1398"/>
      <c r="C40" s="2180"/>
      <c r="D40" s="2180"/>
      <c r="E40" s="2180"/>
      <c r="F40" s="2180"/>
      <c r="G40" s="2180"/>
      <c r="H40" s="2180"/>
      <c r="I40" s="2180"/>
      <c r="J40" s="1398"/>
      <c r="K40" s="1398"/>
      <c r="L40" s="1398"/>
    </row>
    <row r="41" spans="1:12" s="1397" customFormat="1">
      <c r="A41" s="1398"/>
      <c r="B41" s="1398"/>
      <c r="C41" s="2180"/>
      <c r="D41" s="2180"/>
      <c r="E41" s="2180"/>
      <c r="F41" s="2180"/>
      <c r="G41" s="2180"/>
      <c r="H41" s="2180"/>
      <c r="I41" s="2180"/>
      <c r="J41" s="1398"/>
      <c r="K41" s="1398"/>
      <c r="L41" s="1398"/>
    </row>
    <row r="42" spans="1:12" s="1397" customFormat="1">
      <c r="A42" s="1398"/>
      <c r="B42" s="1398"/>
      <c r="C42" s="2180"/>
      <c r="D42" s="2180"/>
      <c r="E42" s="2180"/>
      <c r="F42" s="2180"/>
      <c r="G42" s="2180"/>
      <c r="H42" s="2180"/>
      <c r="I42" s="2180"/>
      <c r="J42" s="1398"/>
      <c r="K42" s="1398"/>
      <c r="L42" s="1398"/>
    </row>
    <row r="43" spans="1:12" s="1397" customFormat="1">
      <c r="A43" s="1398"/>
      <c r="B43" s="1398"/>
      <c r="C43" s="2180"/>
      <c r="D43" s="2180"/>
      <c r="E43" s="2180"/>
      <c r="F43" s="2180"/>
      <c r="G43" s="2180"/>
      <c r="H43" s="2180"/>
      <c r="I43" s="2180"/>
      <c r="J43" s="1398"/>
      <c r="K43" s="1398"/>
      <c r="L43" s="1398"/>
    </row>
    <row r="44" spans="1:12" s="1397" customFormat="1">
      <c r="A44" s="1398"/>
      <c r="B44" s="1398"/>
      <c r="C44" s="2180"/>
      <c r="D44" s="2180"/>
      <c r="E44" s="2180"/>
      <c r="F44" s="2180"/>
      <c r="G44" s="2180"/>
      <c r="H44" s="2180"/>
      <c r="I44" s="2180"/>
      <c r="J44" s="1398"/>
      <c r="K44" s="1398"/>
      <c r="L44" s="1398"/>
    </row>
    <row r="45" spans="1:12" s="1397" customFormat="1">
      <c r="A45" s="1398"/>
      <c r="B45" s="1398"/>
      <c r="C45" s="2180"/>
      <c r="D45" s="2180"/>
      <c r="E45" s="2180"/>
      <c r="F45" s="2180"/>
      <c r="G45" s="2180"/>
      <c r="H45" s="2180"/>
      <c r="I45" s="2180"/>
      <c r="J45" s="1398"/>
      <c r="K45" s="1398"/>
      <c r="L45" s="1398"/>
    </row>
    <row r="46" spans="1:12" s="1397" customFormat="1">
      <c r="A46" s="1398"/>
      <c r="B46" s="1398"/>
      <c r="C46" s="2180"/>
      <c r="D46" s="2180"/>
      <c r="E46" s="2180"/>
      <c r="F46" s="2180"/>
      <c r="G46" s="2180"/>
      <c r="H46" s="2180"/>
      <c r="I46" s="2180"/>
      <c r="J46" s="1398"/>
      <c r="K46" s="1398"/>
      <c r="L46" s="1398"/>
    </row>
    <row r="47" spans="1:12" s="1397" customFormat="1">
      <c r="A47" s="1398"/>
      <c r="B47" s="1398"/>
      <c r="C47" s="2180"/>
      <c r="D47" s="2180"/>
      <c r="E47" s="2180"/>
      <c r="F47" s="2180"/>
      <c r="G47" s="2180"/>
      <c r="H47" s="2180"/>
      <c r="I47" s="2180"/>
      <c r="J47" s="1398"/>
      <c r="K47" s="1398"/>
      <c r="L47" s="1398"/>
    </row>
    <row r="48" spans="1:12">
      <c r="C48" s="2180"/>
      <c r="D48" s="2180"/>
      <c r="E48" s="2180"/>
      <c r="F48" s="2180"/>
      <c r="G48" s="2180"/>
      <c r="H48" s="2180"/>
      <c r="I48" s="2180"/>
    </row>
  </sheetData>
  <sheetProtection algorithmName="SHA-512" hashValue="MG+kGBx5FSn0h3Ofpzl22O2Wli2A3x36i+WKgfq2wCye75b339Ett8gjDDYZSKSCQWXLPuRe+hVwjpIMO0Lb/w==" saltValue="i4Pkc6qWenwpt+RXTs9aVA==" spinCount="100000" sheet="1" objects="1" scenarios="1"/>
  <mergeCells count="40">
    <mergeCell ref="C39:I48"/>
    <mergeCell ref="C38:I38"/>
    <mergeCell ref="C35:K35"/>
    <mergeCell ref="C24:G24"/>
    <mergeCell ref="C34:E34"/>
    <mergeCell ref="F34:G34"/>
    <mergeCell ref="H17:I17"/>
    <mergeCell ref="H19:I19"/>
    <mergeCell ref="C28:G28"/>
    <mergeCell ref="C30:G30"/>
    <mergeCell ref="H20:I21"/>
    <mergeCell ref="H22:I22"/>
    <mergeCell ref="H23:I23"/>
    <mergeCell ref="H24:I29"/>
    <mergeCell ref="F29:G29"/>
    <mergeCell ref="C18:F18"/>
    <mergeCell ref="C25:E25"/>
    <mergeCell ref="E15:F15"/>
    <mergeCell ref="C9:I9"/>
    <mergeCell ref="C10:I10"/>
    <mergeCell ref="H15:I15"/>
    <mergeCell ref="C36:I37"/>
    <mergeCell ref="C33:I33"/>
    <mergeCell ref="C19:G19"/>
    <mergeCell ref="C20:G20"/>
    <mergeCell ref="C21:G21"/>
    <mergeCell ref="C22:G22"/>
    <mergeCell ref="C23:G23"/>
    <mergeCell ref="C26:G26"/>
    <mergeCell ref="C27:G27"/>
    <mergeCell ref="H30:I30"/>
    <mergeCell ref="C11:I11"/>
    <mergeCell ref="C17:G17"/>
    <mergeCell ref="C12:I12"/>
    <mergeCell ref="C13:E13"/>
    <mergeCell ref="H13:I13"/>
    <mergeCell ref="C5:I5"/>
    <mergeCell ref="C6:I6"/>
    <mergeCell ref="C7:I7"/>
    <mergeCell ref="C8:I8"/>
  </mergeCells>
  <phoneticPr fontId="47" type="noConversion"/>
  <hyperlinks>
    <hyperlink ref="D31" location="Berechnungsparameter" display="Berechnungsoarameter" xr:uid="{E65E74E1-B894-477F-8442-CEE3C616590D}"/>
    <hyperlink ref="E31" location="Umrechnungen" display="Umrechnungen" xr:uid="{AA88DA0A-3B16-4A96-84AA-BA1F6A2C2B81}"/>
    <hyperlink ref="F31" location="Barwertberechnung" display="Barwertberechnung" xr:uid="{EFE0D682-48AC-4315-ABA4-1DAA697986AD}"/>
    <hyperlink ref="G31" location="Höchstrechnungszins" display="Höchstrechnungszins" xr:uid="{B4704884-9A8B-4CC4-B196-FD58FD6B8F74}"/>
    <hyperlink ref="H31" location="Verrentung" display="Verrentung" xr:uid="{EA41976C-58CD-41D2-A34C-7D70AD8DC940}"/>
    <hyperlink ref="I31" location="Aufzinsung" display="Aufzinsung" xr:uid="{07AC8C0B-C420-464C-8E4E-9E9DFE51BBE9}"/>
    <hyperlink ref="D32" location="Dynamisierung" display="Dynamisierung VPI &amp; aktRW" xr:uid="{263A5081-E762-4B4A-AF6E-AA731C8BA83C}"/>
    <hyperlink ref="C38:H38" r:id="rId1" display="Rechtsanwalt Hauß, Hauss@Anwaelte-DU.de" xr:uid="{9750FAF6-6709-4DF9-B09C-C6707F46D74F}"/>
    <hyperlink ref="F32" location="BeamtV_Dienstzeit" display="(9) Dienstzeitverlängerung &amp; Pension" xr:uid="{A4051110-E2A0-43B8-8385-A8CB4DD84A97}"/>
    <hyperlink ref="E32" location="AltersgrenzeBerechnen" display="(8) Altersgrenze bestimmen" xr:uid="{8C368647-DA22-493B-828F-CC8C79846152}"/>
    <hyperlink ref="G15" r:id="rId2" xr:uid="{017C6885-E9BE-4701-BA5F-CF51AC03560F}"/>
    <hyperlink ref="H15" r:id="rId3" xr:uid="{34A3C1BD-D646-46BA-897F-7895238081D4}"/>
    <hyperlink ref="H23" r:id="rId4" xr:uid="{91536C53-D0C7-46FA-B614-92FB08390EEB}"/>
    <hyperlink ref="C19:G19" location="E_Datum1" display="1. Berechnung &amp; Kontrolle von Kapitalwerten einzelner Versorgungen (Rentenbewertung)" xr:uid="{C37B4215-8BA0-4C14-A05E-5B9C5D6E1DFF}"/>
    <hyperlink ref="C20:G20" location="E_Bezeichnung" display="2. Textdarstellung der Berechnung zu Ziff. 1." xr:uid="{7592DA75-4817-4A19-86B8-C27E483FFCA3}"/>
    <hyperlink ref="C21:G21" location="Ehevon" display="3. zeitratierliche Berechnung des Ehezeitanteils einer Versorgung" xr:uid="{3974839F-A36B-4BAE-8C5F-A203CA836BBB}"/>
    <hyperlink ref="C22:G22" location="B_Dat" display="4. Vergleichende Bewertung von Versorgungen (Adäquanzprüfung nach BVerfG 1 BvL 5/18)" xr:uid="{D3B2D348-B970-4877-9BDB-5AFEE66152E1}"/>
    <hyperlink ref="C23:G23" location="Transfergewinnverteilung" display="5. Verteilung von Transfergewinnen oder Verlusten bei externer Teilung" xr:uid="{4A30FF2D-5321-4586-AAB9-1E195620563D}"/>
    <hyperlink ref="C24:G24" location="Teilungsordnungsprüfung" display="6. Prüfung der Teilungsordnungen der Versorgungsträger" xr:uid="{DE6D8579-7D66-418F-8087-0CD4BD8339E7}"/>
    <hyperlink ref="C26:G26" location="VerzinsungAusgleichswert" display="7. Verzinsung eines Ausgleichswerts" xr:uid="{17CEF363-EB11-4D9A-92CA-D04C1904B6C2}"/>
    <hyperlink ref="C27:G27" location="Anpassung33" display="8. Anpassung, § 33 VersAusglG" xr:uid="{D12A337E-6A6F-4437-8D1A-EFD86F70A78D}"/>
    <hyperlink ref="C33:I33" location="Rentenparameter" display="Rentenparameter" xr:uid="{7F1B7FEC-3A48-4E56-82EA-0CA56663D6C7}"/>
    <hyperlink ref="H30" r:id="rId5" xr:uid="{0119AB39-938D-4DE6-B771-416C820554EA}"/>
    <hyperlink ref="H30:I30" r:id="rId6" display="Hauss@Anwaelte-DU.de" xr:uid="{837B76D2-14CE-42D1-8ACE-1DC1E7F22D94}"/>
    <hyperlink ref="C30:G30" location="'Dies &amp; Das'!A1" display="11. &quot;Dies &amp; Das&quot; - hilfreiche kleine Berechnungstools für Familienrechtleriinen und Familienrechtler" xr:uid="{AF3B49A6-5CE4-460B-9CCE-F9A03B3281BD}"/>
    <hyperlink ref="F13" r:id="rId7" xr:uid="{812EBF93-BC9B-46C1-BD13-07D4EE3C25D0}"/>
    <hyperlink ref="G13" r:id="rId8" xr:uid="{0AB836E0-9CBE-4EEE-987F-3768138E3B61}"/>
    <hyperlink ref="C38:I38" r:id="rId9" display="Rechtsanwalt Hauß, Hauss@Anwaelte-DU.de" xr:uid="{185182D1-0E71-4E69-B34B-BE695456DB3A}"/>
    <hyperlink ref="C28:G28" location="Grundrentenrechner" display="10. Grundrenten EP im Versorgungsausgleich - Berechnungshilfe" xr:uid="{2AAD075B-F402-4520-8FDC-8EECBCC47EED}"/>
    <hyperlink ref="C29:D29" location="Abänderung_Datum" display="11. Abänderungsampel" xr:uid="{0531EE0E-1174-4D92-96AA-3DF97B47E889}"/>
    <hyperlink ref="C18:F18" location="Dat_EzE" display="Datenerfassung &amp; Kontrolle" xr:uid="{EC03BA46-1A2C-4FEB-BD7C-3A2FE3975DE9}"/>
    <hyperlink ref="B18" location="Stammdatenerfassung" display="neu!" xr:uid="{53B4DB9F-DE14-4E79-A8EA-399041B00E6F}"/>
    <hyperlink ref="B25" location="sVA_Stammdaten" display="neu!" xr:uid="{8D837D07-4E77-4926-BAEB-F30273E3B6BA}"/>
    <hyperlink ref="F34:G34" location="Unbesetzt" display="Zum freien Arbeitsblatt" xr:uid="{76040B36-59B2-47C2-AF9B-2EBD888DC240}"/>
    <hyperlink ref="F29:G29" location="Abänderungsgründe" display="11. a) Abänderungsgründe zeitlich gestaffelt" xr:uid="{57141606-089E-4586-8370-EB68D281F669}"/>
    <hyperlink ref="G25" location="Abfindung§22" display="7b) Ausgl. Kap.zahlung § 22" xr:uid="{B2E4C86A-0064-4F67-A7CC-7DBC038571A7}"/>
    <hyperlink ref="F25" location="Abfindung" display="7a) §§ 23, 24 Abfindung sVA" xr:uid="{78D86537-8836-4146-A821-C88A7C6C73EE}"/>
    <hyperlink ref="G32" location="DuD_SummeAR" display="(10) Summe der Altersrenten" xr:uid="{AE0B07C3-A1EE-4953-BE94-8AD9940C625B}"/>
  </hyperlinks>
  <printOptions horizontalCentered="1" verticalCentered="1"/>
  <pageMargins left="0.31496062992125984" right="0.31496062992125984" top="0.39370078740157483" bottom="0.39370078740157483" header="0.31496062992125984" footer="0.31496062992125984"/>
  <pageSetup paperSize="9" scale="76" orientation="landscape" r:id="rId1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40183-AC28-41BE-8283-D7D53CFA947D}">
  <sheetPr codeName="Tabelle35">
    <tabColor theme="8" tint="0.59999389629810485"/>
    <outlinePr showOutlineSymbols="0"/>
    <pageSetUpPr fitToPage="1"/>
  </sheetPr>
  <dimension ref="A1:BM49"/>
  <sheetViews>
    <sheetView showGridLines="0" showRowColHeaders="0" showZeros="0" showOutlineSymbols="0" zoomScaleNormal="100" workbookViewId="0">
      <selection activeCell="O27" sqref="B27:O27"/>
    </sheetView>
  </sheetViews>
  <sheetFormatPr baseColWidth="10" defaultColWidth="0" defaultRowHeight="12.75" zeroHeight="1"/>
  <cols>
    <col min="1" max="1" width="3.25" style="131" customWidth="1"/>
    <col min="2" max="3" width="4.25" style="131" customWidth="1"/>
    <col min="4" max="4" width="24.625" style="131" customWidth="1"/>
    <col min="5" max="5" width="12.75" style="131" customWidth="1"/>
    <col min="6" max="7" width="11.75" style="131" customWidth="1"/>
    <col min="8" max="8" width="4.75" style="131" customWidth="1"/>
    <col min="9" max="11" width="6.25" style="131" customWidth="1"/>
    <col min="12" max="12" width="7.125" style="131" customWidth="1"/>
    <col min="13" max="14" width="6.25" style="131" customWidth="1"/>
    <col min="15" max="16" width="6.75" style="131" customWidth="1"/>
    <col min="17" max="17" width="6.25" style="131" customWidth="1"/>
    <col min="18" max="18" width="3.5" style="131" customWidth="1"/>
    <col min="19" max="19" width="11.75" style="131" customWidth="1"/>
    <col min="20" max="20" width="11.625" style="131" customWidth="1"/>
    <col min="21" max="22" width="11.75" style="131" customWidth="1"/>
    <col min="23" max="23" width="1" style="131" hidden="1" customWidth="1"/>
    <col min="24" max="24" width="3.25" style="131" hidden="1" customWidth="1"/>
    <col min="25" max="25" width="13.75" style="131" customWidth="1"/>
    <col min="26" max="27" width="11.625" style="131" customWidth="1"/>
    <col min="28" max="28" width="3" style="131" customWidth="1"/>
    <col min="29" max="32" width="6.75" style="131" hidden="1" customWidth="1"/>
    <col min="33" max="33" width="6.75" style="1601" hidden="1" customWidth="1"/>
    <col min="34" max="35" width="10.625" style="131" hidden="1" customWidth="1"/>
    <col min="36" max="36" width="12.125" style="131" hidden="1" customWidth="1"/>
    <col min="37" max="40" width="10.625" style="152" hidden="1" customWidth="1"/>
    <col min="41" max="53" width="10.625" style="1298" hidden="1" customWidth="1"/>
    <col min="54" max="59" width="10.625" style="131" hidden="1" customWidth="1"/>
    <col min="60" max="65" width="0" style="131" hidden="1" customWidth="1"/>
    <col min="66" max="16384" width="10.625" style="131" hidden="1"/>
  </cols>
  <sheetData>
    <row r="1" spans="1:59" s="1659" customFormat="1" ht="17.100000000000001" customHeight="1" thickBot="1">
      <c r="A1" s="1619">
        <v>1.06</v>
      </c>
      <c r="B1" s="2226" t="s">
        <v>1433</v>
      </c>
      <c r="C1" s="2226"/>
      <c r="D1" s="2226"/>
      <c r="E1" s="2226"/>
      <c r="F1" s="2226"/>
      <c r="G1" s="2226"/>
      <c r="H1" s="2226"/>
      <c r="I1" s="2226"/>
      <c r="J1" s="2226"/>
      <c r="K1" s="2226"/>
      <c r="L1" s="2226"/>
      <c r="M1" s="2226"/>
      <c r="N1" s="2226"/>
      <c r="O1" s="2226"/>
      <c r="P1" s="2226"/>
      <c r="Q1" s="2226"/>
      <c r="R1" s="2226"/>
      <c r="S1" s="2226"/>
      <c r="T1" s="2226"/>
      <c r="U1" s="2226"/>
      <c r="V1" s="2226"/>
      <c r="W1" s="25"/>
      <c r="X1" s="25"/>
      <c r="AC1" s="1663"/>
      <c r="AD1" s="1663"/>
      <c r="AE1" s="1663"/>
      <c r="AF1" s="1664"/>
      <c r="AG1" s="1009"/>
      <c r="AH1" s="2223" t="s">
        <v>1568</v>
      </c>
      <c r="AI1" s="2223" t="s">
        <v>1569</v>
      </c>
      <c r="AJ1" s="1665"/>
      <c r="AL1" s="1659" t="s">
        <v>180</v>
      </c>
      <c r="AM1" s="1666" t="s">
        <v>181</v>
      </c>
      <c r="AN1" s="1666"/>
      <c r="AO1" s="2225" t="s">
        <v>1512</v>
      </c>
      <c r="AP1" s="2225"/>
      <c r="AQ1" s="2225"/>
      <c r="AR1" s="2225"/>
    </row>
    <row r="2" spans="1:59" s="1620" customFormat="1" ht="16.899999999999999" customHeight="1" thickTop="1" thickBot="1">
      <c r="B2" s="2229" t="s">
        <v>1611</v>
      </c>
      <c r="C2" s="2230"/>
      <c r="D2" s="2230"/>
      <c r="E2" s="2230"/>
      <c r="F2" s="2230"/>
      <c r="G2" s="2230"/>
      <c r="H2" s="2230"/>
      <c r="I2" s="2230"/>
      <c r="J2" s="2230"/>
      <c r="K2" s="2230"/>
      <c r="L2" s="2230"/>
      <c r="M2" s="2230"/>
      <c r="N2" s="2230"/>
      <c r="O2" s="2265" t="str">
        <f>"Aktualisierungsstand:  "&amp;TEXT(Enddatum,"TT.MM.JJJJ")</f>
        <v>Aktualisierungsstand:  30.04.2024</v>
      </c>
      <c r="P2" s="2265"/>
      <c r="Q2" s="2266"/>
      <c r="R2" s="2249" t="str">
        <f>"2. Ehezeitl. Versorgungserwerb"&amp;IF(AND(Dat_EzA&gt;0,Dat_EzE&gt;0)," in "&amp;TEXT(YEARFRAC(Dat_EzA,Dat_EzE,3),"0,00")&amp;" Ehejahren","")</f>
        <v>2. Ehezeitl. Versorgungserwerb</v>
      </c>
      <c r="S2" s="2250"/>
      <c r="T2" s="2250"/>
      <c r="U2" s="2250"/>
      <c r="V2" s="2251"/>
      <c r="W2" s="1229"/>
      <c r="X2" s="2426" t="s">
        <v>1484</v>
      </c>
      <c r="Y2" s="2429" t="s">
        <v>1614</v>
      </c>
      <c r="Z2" s="2430"/>
      <c r="AA2" s="2431"/>
      <c r="AC2" s="2262" t="s">
        <v>1616</v>
      </c>
      <c r="AD2" s="2263"/>
      <c r="AE2" s="2264"/>
      <c r="AF2" s="1664"/>
      <c r="AG2" s="1009"/>
      <c r="AH2" s="2224"/>
      <c r="AI2" s="2223"/>
      <c r="AJ2" s="1665"/>
      <c r="AK2" s="1620" t="s">
        <v>7</v>
      </c>
      <c r="AL2" s="1620" t="e">
        <f>ROUND(YEARFRAC(T6,V3,3),2)</f>
        <v>#VALUE!</v>
      </c>
      <c r="AM2" s="1667" t="e">
        <f>ROUND(YEARFRAC(Dat_GebDat_F,Dat_EzE,3),2)</f>
        <v>#VALUE!</v>
      </c>
      <c r="AN2" s="1667"/>
      <c r="AO2" s="1668" t="s">
        <v>1507</v>
      </c>
      <c r="AP2" s="1523" t="s">
        <v>1509</v>
      </c>
      <c r="AQ2" s="1523" t="s">
        <v>510</v>
      </c>
      <c r="AR2" s="1668" t="s">
        <v>1511</v>
      </c>
    </row>
    <row r="3" spans="1:59" s="1620" customFormat="1" ht="16.899999999999999" customHeight="1">
      <c r="B3" s="2231"/>
      <c r="C3" s="2232"/>
      <c r="D3" s="2232"/>
      <c r="E3" s="2232"/>
      <c r="F3" s="2232"/>
      <c r="G3" s="2232"/>
      <c r="H3" s="2232"/>
      <c r="I3" s="2232"/>
      <c r="J3" s="2232"/>
      <c r="K3" s="2232"/>
      <c r="L3" s="2232"/>
      <c r="M3" s="2232"/>
      <c r="N3" s="2232"/>
      <c r="O3" s="2267"/>
      <c r="P3" s="2267"/>
      <c r="Q3" s="2268"/>
      <c r="R3" s="2243"/>
      <c r="S3" s="1777" t="s">
        <v>1394</v>
      </c>
      <c r="T3" s="1237"/>
      <c r="U3" s="1770" t="s">
        <v>1393</v>
      </c>
      <c r="V3" s="1340"/>
      <c r="W3" s="1229"/>
      <c r="X3" s="2426"/>
      <c r="Y3" s="2291" t="s">
        <v>1505</v>
      </c>
      <c r="Z3" s="2292"/>
      <c r="AA3" s="2293"/>
      <c r="AC3" s="2436" t="str">
        <f>"aus einem Euro KoKa werden "&amp;CHAR(10)&amp;"… € Barwert generiert"</f>
        <v>aus einem Euro KoKa werden 
… € Barwert generiert</v>
      </c>
      <c r="AD3" s="2242" t="str">
        <f>AC3</f>
        <v>aus einem Euro KoKa werden 
… € Barwert generiert</v>
      </c>
      <c r="AE3" s="1669"/>
      <c r="AF3" s="1664"/>
      <c r="AG3" s="1620">
        <v>23</v>
      </c>
      <c r="AH3" s="2224"/>
      <c r="AI3" s="2223"/>
      <c r="AJ3" s="1670"/>
      <c r="AK3" s="1668" t="s">
        <v>1508</v>
      </c>
      <c r="AL3" s="1671">
        <v>2</v>
      </c>
      <c r="AM3" s="1667"/>
      <c r="AN3" s="1667"/>
      <c r="AO3" s="1672" t="s">
        <v>225</v>
      </c>
      <c r="AP3" s="1673" t="s">
        <v>1405</v>
      </c>
      <c r="AQ3" s="1673" t="s">
        <v>1389</v>
      </c>
      <c r="AR3" s="1672" t="s">
        <v>1414</v>
      </c>
      <c r="AS3" s="2187" t="s">
        <v>1439</v>
      </c>
      <c r="AT3" s="2188"/>
      <c r="AU3" s="2188"/>
      <c r="AV3" s="2188"/>
      <c r="AW3" s="2188"/>
      <c r="AX3" s="2188"/>
      <c r="AY3" s="2188"/>
      <c r="AZ3" s="2188"/>
      <c r="BA3" s="2188"/>
      <c r="BB3" s="2188"/>
      <c r="BC3" s="2188"/>
      <c r="BD3" s="2188"/>
      <c r="BE3" s="2188"/>
      <c r="BF3" s="2189"/>
      <c r="BG3" s="2186" t="s">
        <v>1711</v>
      </c>
    </row>
    <row r="4" spans="1:59" s="1620" customFormat="1" ht="18" customHeight="1">
      <c r="B4" s="2203" t="s">
        <v>1531</v>
      </c>
      <c r="C4" s="2204"/>
      <c r="D4" s="2204"/>
      <c r="E4" s="2233" t="s">
        <v>1952</v>
      </c>
      <c r="F4" s="2234"/>
      <c r="G4" s="2235"/>
      <c r="H4" s="2194" t="str">
        <f>IF(OR(Dat_EzE="",T6="",V6=""),"Achtung, solange Ehezeitende und Geburtstage nicht eingegeben sind, können keine Barwertberechnungen oder -kontrollen erfolgen!","")</f>
        <v>Achtung, solange Ehezeitende und Geburtstage nicht eingegeben sind, können keine Barwertberechnungen oder -kontrollen erfolgen!</v>
      </c>
      <c r="I4" s="2195"/>
      <c r="J4" s="2195"/>
      <c r="K4" s="2195"/>
      <c r="L4" s="2195"/>
      <c r="M4" s="2195"/>
      <c r="N4" s="2195"/>
      <c r="O4" s="2195"/>
      <c r="P4" s="2195"/>
      <c r="Q4" s="2196"/>
      <c r="R4" s="2243"/>
      <c r="S4" s="2239" t="s">
        <v>1534</v>
      </c>
      <c r="T4" s="2239"/>
      <c r="U4" s="2427" t="s">
        <v>1535</v>
      </c>
      <c r="V4" s="2428"/>
      <c r="W4" s="1229"/>
      <c r="X4" s="2426"/>
      <c r="Y4" s="2291"/>
      <c r="Z4" s="2292"/>
      <c r="AA4" s="2293"/>
      <c r="AC4" s="2436"/>
      <c r="AD4" s="2242"/>
      <c r="AE4" s="1669"/>
      <c r="AF4" s="1664"/>
      <c r="AG4" s="1620">
        <v>50</v>
      </c>
      <c r="AH4" s="2224"/>
      <c r="AI4" s="2223"/>
      <c r="AJ4" s="1670"/>
      <c r="AK4" s="1668" t="s">
        <v>1436</v>
      </c>
      <c r="AL4" s="1668" t="e">
        <f>VLOOKUP(V3,aktRW,2)</f>
        <v>#N/A</v>
      </c>
      <c r="AM4" s="1667"/>
      <c r="AN4" s="1667"/>
      <c r="AO4" s="1668" t="s">
        <v>271</v>
      </c>
      <c r="AP4" s="1523" t="s">
        <v>1423</v>
      </c>
      <c r="AQ4" s="1523" t="s">
        <v>1391</v>
      </c>
      <c r="AR4" s="1674" t="s">
        <v>1411</v>
      </c>
      <c r="AS4" s="1675" t="s">
        <v>1388</v>
      </c>
      <c r="AT4" s="1668"/>
      <c r="AU4" s="1668"/>
      <c r="AV4" s="1523" t="s">
        <v>7</v>
      </c>
      <c r="AW4" s="1523"/>
      <c r="AX4" s="1523" t="s">
        <v>287</v>
      </c>
      <c r="AY4" s="1523" t="s">
        <v>288</v>
      </c>
      <c r="AZ4" s="1523" t="s">
        <v>179</v>
      </c>
      <c r="BA4" s="1523" t="s">
        <v>1437</v>
      </c>
      <c r="BB4" s="1523" t="s">
        <v>1438</v>
      </c>
      <c r="BC4" s="1523" t="s">
        <v>1523</v>
      </c>
      <c r="BD4" s="1523" t="s">
        <v>1522</v>
      </c>
      <c r="BE4" s="1523" t="s">
        <v>1384</v>
      </c>
      <c r="BF4" s="1676" t="s">
        <v>1440</v>
      </c>
      <c r="BG4" s="2186"/>
    </row>
    <row r="5" spans="1:59" s="1620" customFormat="1" ht="18" customHeight="1" thickBot="1">
      <c r="B5" s="2203" t="s">
        <v>1532</v>
      </c>
      <c r="C5" s="2204"/>
      <c r="D5" s="2204"/>
      <c r="E5" s="2236" t="s">
        <v>1953</v>
      </c>
      <c r="F5" s="2237"/>
      <c r="G5" s="2238"/>
      <c r="H5" s="2197"/>
      <c r="I5" s="2198"/>
      <c r="J5" s="2198"/>
      <c r="K5" s="2198"/>
      <c r="L5" s="2198"/>
      <c r="M5" s="2198"/>
      <c r="N5" s="2198"/>
      <c r="O5" s="2198"/>
      <c r="P5" s="2198"/>
      <c r="Q5" s="2199"/>
      <c r="R5" s="2243"/>
      <c r="S5" s="1382" t="s">
        <v>625</v>
      </c>
      <c r="T5" s="1382" t="str">
        <f>IFERROR("Alter: "&amp;IF(Dat_EzE="","",IF(T6="","",TEXT(Dat_AlterM,"0,00"))),"")</f>
        <v xml:space="preserve">Alter: </v>
      </c>
      <c r="U5" s="1383" t="s">
        <v>625</v>
      </c>
      <c r="V5" s="1384" t="str">
        <f>IFERROR("Alter: "&amp;IF(Dat_EzE="","",IF(V6="","",TEXT(Dat_AlterF,"0,00"))),"")</f>
        <v xml:space="preserve">Alter: </v>
      </c>
      <c r="W5" s="1013"/>
      <c r="X5" s="2426"/>
      <c r="Y5" s="2291"/>
      <c r="Z5" s="2292"/>
      <c r="AA5" s="2293"/>
      <c r="AC5" s="2436"/>
      <c r="AD5" s="2242"/>
      <c r="AE5" s="1669"/>
      <c r="AF5" s="1664"/>
      <c r="AG5" s="1009"/>
      <c r="AH5" s="2224"/>
      <c r="AI5" s="2223"/>
      <c r="AJ5" s="1670"/>
      <c r="AK5" s="1668" t="s">
        <v>1503</v>
      </c>
      <c r="AL5" s="1668" t="e">
        <f>VLOOKUP(Dat_EzE,Umrechnungsfaktoren_BeitraginEP,2)</f>
        <v>#N/A</v>
      </c>
      <c r="AM5" s="1667"/>
      <c r="AN5" s="1667"/>
      <c r="AO5" s="1668"/>
      <c r="AP5" s="1523" t="s">
        <v>1424</v>
      </c>
      <c r="AQ5" s="1523" t="s">
        <v>1510</v>
      </c>
      <c r="AR5" s="1674"/>
      <c r="AS5" s="1675" t="s">
        <v>180</v>
      </c>
      <c r="AT5" s="1668" t="s">
        <v>1476</v>
      </c>
      <c r="AU5" s="1671" t="b">
        <v>0</v>
      </c>
      <c r="AV5" s="1677" t="str">
        <f>IF(T6="","",ROUND(YEARFRAC(T6,V3,0),2))</f>
        <v/>
      </c>
      <c r="AW5" s="1678" t="str">
        <f>IF(OR(T6="",V3=""),"",DATE(YEAR(T6)+65,MONTH(T6)+VLOOKUP(YEAR(T6),Renteneintrittstabelle,2),DAY(T6)+1))</f>
        <v/>
      </c>
      <c r="AX5" s="1679" t="e">
        <f>ROUND(VLOOKUP(AV$5,CHOOSE(IF(IF(Dat_RentnerM,AV5,AR10)&lt;60,60,IF(AR10&gt;67,67,AR10))-59,HRIR60,HRIR61,HRIR62,HRIR63,HRIR64,HRIR,HRIR66,HRIR67),IF(Dat_Unisex,26,8))*0.55,4)</f>
        <v>#VALUE!</v>
      </c>
      <c r="AY5" s="1679" t="e">
        <f>ROUND(IF(Dat_RentnerM,0,VLOOKUP(AV$5,CHOOSE(IF(AR10&lt;60,60,IF(AR10&gt;67,67,AR10))-59,HRIR60,HRIR61,HRIR62,HRIR63,HRIR64,HRIR,HRIR66,HRIR67),IF(Dat_Unisex,25,7))),4)</f>
        <v>#VALUE!</v>
      </c>
      <c r="AZ5" s="1523" t="e">
        <f>IF(Dat_RentnerM,AV5,VLOOKUP(YEAR(T6),Renteneintrittstabelle,3))</f>
        <v>#VALUE!</v>
      </c>
      <c r="BA5" s="1523">
        <f>IF(V3&lt;AW5,AZ5-AV5,0)</f>
        <v>0</v>
      </c>
      <c r="BB5" s="1680" t="e">
        <f>VLOOKUP(IF(AZ5&gt;AV5,AZ5,AV5),IF(Dat_Unisex,Lebenserwartung_N_V2,Lebenserwartung_M_V2),YEAR(T6)+IF(MONTH(T6)&gt;6,1,0)-1900+2)</f>
        <v>#VALUE!</v>
      </c>
      <c r="BC5" s="1523" t="e">
        <f>VLOOKUP(ROUND(AZ5,0),IF(Dat_Unisex,G_Kohorte_N,G_Kohorte_M),YEAR(T6)+IF(MONTH(T6)&gt;6,1,0)-1900+2)</f>
        <v>#VALUE!</v>
      </c>
      <c r="BD5" s="1681" t="e">
        <f>VLOOKUP(ROUND(AV5,0),IF(Dat_Unisex,G_Kohorte_N,G_Kohorte_M),YEAR(T$6)+IF(MONTH(T6)&gt;6,1,0)-1900+2)</f>
        <v>#VALUE!</v>
      </c>
      <c r="BE5" s="1682" t="e">
        <f>ROUND(IF(AV5&gt;AZ5,1,BC5/BD5),4)</f>
        <v>#VALUE!</v>
      </c>
      <c r="BF5" s="1683" t="e">
        <f>-PV(BilMoG-RententrendDRV,BA5,,-PV(BilMoG-RententrendDRV,Fallerfassung!BB5,1*12))*(1+AY5+AX5)*BE5</f>
        <v>#VALUE!</v>
      </c>
    </row>
    <row r="6" spans="1:59" s="1620" customFormat="1" ht="18" customHeight="1" thickBot="1">
      <c r="B6" s="2203" t="s">
        <v>1407</v>
      </c>
      <c r="C6" s="2204"/>
      <c r="D6" s="2204"/>
      <c r="E6" s="2221"/>
      <c r="F6" s="2222"/>
      <c r="G6" s="1614" t="s">
        <v>1408</v>
      </c>
      <c r="H6" s="2221"/>
      <c r="I6" s="2222"/>
      <c r="J6" s="2222"/>
      <c r="K6" s="2222"/>
      <c r="L6" s="2295" t="s">
        <v>1412</v>
      </c>
      <c r="M6" s="2295"/>
      <c r="N6" s="2295"/>
      <c r="O6" s="2283"/>
      <c r="P6" s="2284"/>
      <c r="Q6" s="2284"/>
      <c r="R6" s="2243"/>
      <c r="S6" s="1393"/>
      <c r="T6" s="1553" t="str">
        <f>IFERROR(IF(S6&gt;0,S6,IFERROR(IF(L9="","",VALUE(MID(L9,4,2)&amp;"."&amp;MID(L9,6,2)&amp;"."&amp;MID(L9,8,2))),VALUE(MID(L9,3,2)&amp;"."&amp;MID(L9,5,2)&amp;"."&amp;MID(L9,7,2)))),"")</f>
        <v/>
      </c>
      <c r="U6" s="1393"/>
      <c r="V6" s="1910" t="str">
        <f>IFERROR(IF(U6&gt;0,U6,IFERROR(IF(L10="","",VALUE(MID(L10,4,2)&amp;"."&amp;MID(L10,6,2)&amp;"."&amp;MID(L10,8,2))),VALUE(MID(L10,3,2)&amp;"."&amp;MID(L10,5,2)&amp;"."&amp;MID(L10,7,2)))),"")</f>
        <v/>
      </c>
      <c r="W6" s="1229"/>
      <c r="X6" s="2426"/>
      <c r="Y6" s="2434" t="str">
        <f>IF(AA10&gt;0,"alt.ReZi",IF(Dat_EzE&lt;BilMoGAnfang,"kein BilMoG",IF(AA10&gt;0,"manueller ReZins",IF(Bilanz_BilMoG10,IF(Dat_EzE&lt;BilMoG10Anfang,"n. vorhanden","BilMoG-10"),IF(Dat_EzE&lt;BilMoGAnfang,"kein BilMoG-7","BilMoG-7")))))</f>
        <v>kein BilMoG</v>
      </c>
      <c r="Z6" s="2435"/>
      <c r="AA6" s="1623">
        <f>+BilMoG</f>
        <v>5.5E-2</v>
      </c>
      <c r="AC6" s="2436"/>
      <c r="AD6" s="2242"/>
      <c r="AE6" s="1669"/>
      <c r="AF6" s="1664"/>
      <c r="AG6" s="1009"/>
      <c r="AH6" s="2224"/>
      <c r="AI6" s="2223"/>
      <c r="AJ6" s="1684"/>
      <c r="AK6" s="2278" t="s">
        <v>1565</v>
      </c>
      <c r="AL6" s="2278"/>
      <c r="AM6" s="1667"/>
      <c r="AN6" s="1667"/>
      <c r="AO6" s="1668"/>
      <c r="AP6" s="1523"/>
      <c r="AQ6" s="1523" t="s">
        <v>13</v>
      </c>
      <c r="AR6" s="1674"/>
      <c r="AS6" s="1685" t="s">
        <v>181</v>
      </c>
      <c r="AT6" s="1686" t="s">
        <v>1477</v>
      </c>
      <c r="AU6" s="1687" t="b">
        <v>0</v>
      </c>
      <c r="AV6" s="1688" t="str">
        <f>IF(Dat_EzE="","",IF(V6="","",ROUND(YEARFRAC(V6,V3,0),2)))</f>
        <v/>
      </c>
      <c r="AW6" s="1689" t="str">
        <f>IF(OR(V6="",V3=""),"",DATE(YEAR(V6)+65,MONTH(V6)+VLOOKUP(YEAR(V6),Renteneintrittstabelle,2),DAY(V6)+1))</f>
        <v/>
      </c>
      <c r="AX6" s="1690" t="e">
        <f>ROUND(VLOOKUP(AV$6,CHOOSE(IF(IF(Dat_RentnerF,AV6,AS10)&lt;60,60,IF(AS10&gt;67,67,AS10))-59,HRIR60,HRIR61,HRIR62,HRIR63,HRIR64,HRIR,HRIR66,HRIR67),IF(Dat_Unisex,26,17))*0.55,4)</f>
        <v>#VALUE!</v>
      </c>
      <c r="AY6" s="1690" t="e">
        <f>ROUND(IF(Dat_RentnerF,0,VLOOKUP(AV6,CHOOSE(IF(AS10&lt;60,60,IF(AS10&gt;67,67,AS10))-59,HRIR60,HRIR61,HRIR62,HRIR63,HRIR64,HRIR,HRIR66,HRIR67),IF(Dat_Unisex,25,16))),4)</f>
        <v>#VALUE!</v>
      </c>
      <c r="AZ6" s="1691" t="e">
        <f>IF(Dat_RentnerF,AV6,VLOOKUP(YEAR(V6),Renteneintrittstabelle,3))</f>
        <v>#VALUE!</v>
      </c>
      <c r="BA6" s="1523">
        <f>IF(V3&lt;AW6,AZ6-AV6,0)</f>
        <v>0</v>
      </c>
      <c r="BB6" s="1692" t="e">
        <f>VLOOKUP(IF(AZ6&gt;AV6,AZ6,AV6),IF(Dat_Unisex,Lebenserwartung_N_V2,Lebenserwartung_F_V2),YEAR(V6)+IF(MONTH(V6)&gt;6,1,0)-1900+2)</f>
        <v>#VALUE!</v>
      </c>
      <c r="BC6" s="1691" t="e">
        <f>VLOOKUP(ROUND(AZ6,0),IF(Dat_Unisex,G_Kohorte_N,G_Kohorte_F),YEAR(V6)+IF(MONTH(V6)&gt;6,1,0)-1900+2)</f>
        <v>#VALUE!</v>
      </c>
      <c r="BD6" s="1693" t="e">
        <f>VLOOKUP(ROUND(AV6,0),IF(Dat_Unisex,G_Kohorte_N,G_Kohorte_F),YEAR(V$6)+IF(MONTH(V6)&gt;6,1,0)-1900+2)</f>
        <v>#VALUE!</v>
      </c>
      <c r="BE6" s="1694" t="e">
        <f>ROUND(IF(AV6&gt;AZ6,1,BC6/BD6),4)</f>
        <v>#VALUE!</v>
      </c>
      <c r="BF6" s="1695" t="e">
        <f>-PV(BilMoG-RententrendDRV,BA6,,-PV(BilMoG-RententrendDRV,Fallerfassung!BB6,1*12))*(1+AY6+AX6)*BE6</f>
        <v>#VALUE!</v>
      </c>
    </row>
    <row r="7" spans="1:59" s="1620" customFormat="1" ht="18" customHeight="1" thickBot="1">
      <c r="A7" s="1621"/>
      <c r="B7" s="2240" t="s">
        <v>1409</v>
      </c>
      <c r="C7" s="2241"/>
      <c r="D7" s="2241"/>
      <c r="E7" s="2200"/>
      <c r="F7" s="2201"/>
      <c r="G7" s="1615" t="s">
        <v>1408</v>
      </c>
      <c r="H7" s="2200"/>
      <c r="I7" s="2201"/>
      <c r="J7" s="2202"/>
      <c r="K7" s="2202"/>
      <c r="L7" s="2212" t="s">
        <v>1413</v>
      </c>
      <c r="M7" s="2212"/>
      <c r="N7" s="2212"/>
      <c r="O7" s="2219"/>
      <c r="P7" s="2220"/>
      <c r="Q7" s="2220"/>
      <c r="R7" s="2244"/>
      <c r="S7" s="1563" t="str">
        <f>IFERROR("Rente ab: 6"&amp;TEXT(5+VLOOKUP(YEAR(T6),Renteneintrittstabelle,2)/12,"#0,00"),"")</f>
        <v/>
      </c>
      <c r="T7" s="1394" t="str">
        <f>+AW5</f>
        <v/>
      </c>
      <c r="U7" s="1564" t="str">
        <f>IFERROR("Rente ab: 6"&amp;TEXT(5+VLOOKUP(YEAR(V6),Renteneintrittstabelle,2)/12,"#0,00"),"")</f>
        <v/>
      </c>
      <c r="V7" s="1381" t="str">
        <f>+AW6</f>
        <v/>
      </c>
      <c r="W7" s="1229"/>
      <c r="X7" s="2426"/>
      <c r="Y7" s="1624"/>
      <c r="Z7" s="1625"/>
      <c r="AA7" s="1626"/>
      <c r="AC7" s="2436"/>
      <c r="AD7" s="2242"/>
      <c r="AE7" s="1669"/>
      <c r="AF7" s="1664"/>
      <c r="AG7" s="1009"/>
      <c r="AH7" s="2224"/>
      <c r="AI7" s="2223"/>
      <c r="AJ7" s="1665"/>
      <c r="AK7" s="2279"/>
      <c r="AL7" s="2279"/>
      <c r="AM7" s="1667"/>
      <c r="AN7" s="1667"/>
      <c r="BB7" s="1620" t="e">
        <f>VLOOKUP(IF(AZ5&gt;AV5,AZ5,AV5),IF(Dat_Unisex,Lebenserwartung_N_V2,Lebenserwartung_M_V2),YEAR(T6)-1900+2)</f>
        <v>#VALUE!</v>
      </c>
      <c r="BC7" s="1620">
        <f>VLOOKUP(65,Lebenserwartung_F_V2,50+2)</f>
        <v>22.6</v>
      </c>
    </row>
    <row r="8" spans="1:59" s="1620" customFormat="1" ht="18" customHeight="1" thickTop="1">
      <c r="A8" s="2341" t="s">
        <v>1418</v>
      </c>
      <c r="B8" s="2410" t="s">
        <v>653</v>
      </c>
      <c r="C8" s="2411"/>
      <c r="D8" s="2411"/>
      <c r="E8" s="2411"/>
      <c r="F8" s="2411"/>
      <c r="G8" s="2411"/>
      <c r="H8" s="2411"/>
      <c r="I8" s="2412"/>
      <c r="J8" s="2254" t="str">
        <f>"3. gesetzliche Rentenversicherung, Dyn: "&amp;TEXT('Dies &amp; Das'!E3,"0,00%")</f>
        <v>3. gesetzliche Rentenversicherung, Dyn: 2,60%</v>
      </c>
      <c r="K8" s="2255"/>
      <c r="L8" s="2255"/>
      <c r="M8" s="2255"/>
      <c r="N8" s="2255"/>
      <c r="O8" s="2255"/>
      <c r="P8" s="2255"/>
      <c r="Q8" s="2256"/>
      <c r="R8" s="1964" t="s">
        <v>1415</v>
      </c>
      <c r="S8" s="2249" t="str">
        <f>IFERROR(IF(Dat_EzE&gt;Enddatum,"kein aktRW vorhanden","3. AusglW DRV aktRW EzE: "&amp;TEXT(VLOOKUP(V3,aktRW,2),"#0,00 €")&amp;" / "&amp;TEXT(VLOOKUP(V3,aktRW,3),"#0,00 €")),"ges.Rentenversicherung")</f>
        <v>ges.Rentenversicherung</v>
      </c>
      <c r="T8" s="2250"/>
      <c r="U8" s="2250"/>
      <c r="V8" s="2251"/>
      <c r="W8" s="1229"/>
      <c r="X8" s="2426"/>
      <c r="Y8" s="2271" t="s">
        <v>1533</v>
      </c>
      <c r="Z8" s="2272"/>
      <c r="AA8" s="2273"/>
      <c r="AC8" s="2436"/>
      <c r="AD8" s="2242"/>
      <c r="AE8" s="1669"/>
      <c r="AF8" s="1664"/>
      <c r="AG8" s="1009"/>
      <c r="AH8" s="2224"/>
      <c r="AI8" s="2223"/>
      <c r="AJ8" s="1696"/>
      <c r="AK8" s="2280"/>
      <c r="AL8" s="2280"/>
      <c r="AM8" s="1697"/>
      <c r="AN8" s="1697"/>
      <c r="AO8" s="2190" t="s">
        <v>1431</v>
      </c>
      <c r="AP8" s="2298"/>
      <c r="AQ8" s="1668"/>
      <c r="AR8" s="2190" t="s">
        <v>265</v>
      </c>
      <c r="AS8" s="2444"/>
      <c r="AT8" s="1698"/>
      <c r="AU8" s="1698"/>
      <c r="AV8" s="2437" t="s">
        <v>1435</v>
      </c>
      <c r="AW8" s="2437"/>
      <c r="AX8" s="2437"/>
      <c r="AZ8" s="1699" t="e">
        <f>PV(BilMoG-RententrendDRV,AS12,AX10*12)</f>
        <v>#VALUE!</v>
      </c>
    </row>
    <row r="9" spans="1:59" s="1620" customFormat="1" ht="18" customHeight="1">
      <c r="A9" s="2341"/>
      <c r="B9" s="2211"/>
      <c r="C9" s="2206"/>
      <c r="D9" s="2206"/>
      <c r="E9" s="2206"/>
      <c r="F9" s="2206"/>
      <c r="G9" s="2206"/>
      <c r="H9" s="2206"/>
      <c r="I9" s="2207"/>
      <c r="J9" s="2257" t="s">
        <v>1425</v>
      </c>
      <c r="K9" s="2258"/>
      <c r="L9" s="2245"/>
      <c r="M9" s="2246"/>
      <c r="N9" s="2247"/>
      <c r="O9" s="2259" t="s">
        <v>1430</v>
      </c>
      <c r="P9" s="2260"/>
      <c r="Q9" s="2261"/>
      <c r="R9" s="1771">
        <f>+AK9</f>
        <v>0</v>
      </c>
      <c r="S9" s="2248"/>
      <c r="T9" s="2248"/>
      <c r="U9" s="2248"/>
      <c r="V9" s="2425"/>
      <c r="W9" s="1229"/>
      <c r="X9" s="2426"/>
      <c r="Y9" s="2274"/>
      <c r="Z9" s="2275"/>
      <c r="AA9" s="2276"/>
      <c r="AC9" s="2436"/>
      <c r="AD9" s="2242"/>
      <c r="AE9" s="1669"/>
      <c r="AF9" s="1664"/>
      <c r="AG9" s="1009"/>
      <c r="AH9" s="2224"/>
      <c r="AI9" s="2223"/>
      <c r="AJ9" s="1665"/>
      <c r="AK9" s="1667">
        <f>IF(U9+S9&gt;0,1,0)</f>
        <v>0</v>
      </c>
      <c r="AL9" s="1667" t="s">
        <v>593</v>
      </c>
      <c r="AM9" s="1697" t="b">
        <v>0</v>
      </c>
      <c r="AN9" s="1697"/>
      <c r="AO9" s="1668" t="s">
        <v>1427</v>
      </c>
      <c r="AP9" s="1700" t="e">
        <f>TEXT(DAY(T6),"00")&amp;TEXT(MONTH(T6),"00")&amp;RIGHT(YEAR(T6),2)</f>
        <v>#VALUE!</v>
      </c>
      <c r="AQ9" s="1668"/>
      <c r="AR9" s="1523" t="s">
        <v>180</v>
      </c>
      <c r="AS9" s="1701" t="s">
        <v>181</v>
      </c>
      <c r="AT9" s="1701"/>
      <c r="AU9" s="1701"/>
      <c r="AV9" s="1668"/>
      <c r="AW9" s="1668" t="s">
        <v>180</v>
      </c>
      <c r="AX9" s="1668" t="s">
        <v>181</v>
      </c>
      <c r="BB9" s="2190" t="s">
        <v>1434</v>
      </c>
      <c r="BC9" s="2190"/>
      <c r="BE9" s="1702"/>
    </row>
    <row r="10" spans="1:59" s="1620" customFormat="1" ht="18" customHeight="1" thickBot="1">
      <c r="A10" s="2382" t="s">
        <v>1419</v>
      </c>
      <c r="B10" s="2205"/>
      <c r="C10" s="2206"/>
      <c r="D10" s="2206"/>
      <c r="E10" s="2206"/>
      <c r="F10" s="2206"/>
      <c r="G10" s="2206"/>
      <c r="H10" s="2206"/>
      <c r="I10" s="2207"/>
      <c r="J10" s="2257" t="s">
        <v>1426</v>
      </c>
      <c r="K10" s="2258"/>
      <c r="L10" s="2245"/>
      <c r="M10" s="2246"/>
      <c r="N10" s="2247"/>
      <c r="O10" s="2259" t="s">
        <v>1429</v>
      </c>
      <c r="P10" s="2260"/>
      <c r="Q10" s="2261"/>
      <c r="R10" s="1771" t="str">
        <f>IF(+AK10=0,"",AK10)</f>
        <v/>
      </c>
      <c r="S10" s="2252"/>
      <c r="T10" s="2307"/>
      <c r="U10" s="2252"/>
      <c r="V10" s="2253"/>
      <c r="W10" s="1229"/>
      <c r="X10" s="2426"/>
      <c r="Y10" s="2432" t="s">
        <v>1537</v>
      </c>
      <c r="Z10" s="2433"/>
      <c r="AA10" s="1372"/>
      <c r="AC10" s="2436"/>
      <c r="AD10" s="2242"/>
      <c r="AE10" s="1669"/>
      <c r="AF10" s="1664"/>
      <c r="AG10" s="1009"/>
      <c r="AH10" s="2224"/>
      <c r="AI10" s="2223"/>
      <c r="AJ10" s="1665"/>
      <c r="AK10" s="1667">
        <f>IF(U10+S10&gt;0,MAX(AK$9:AK9)+1,0)</f>
        <v>0</v>
      </c>
      <c r="AL10" s="2279" t="str">
        <f>+AM13</f>
        <v>ausglpfl. Person (M, 50), Rente ab 67: 500 €, ReZins BilMoG-7 ab 2008
Rentenerwerb aus Ausgl.Wert der Quellversorgung in DRV</v>
      </c>
      <c r="AM10" s="2279"/>
      <c r="AN10" s="2329"/>
      <c r="AO10" s="1668" t="s">
        <v>1428</v>
      </c>
      <c r="AP10" s="1703" t="e">
        <f>TEXT(DAY(V6),"00")&amp;TEXT(MONTH(V6),"00")&amp;RIGHT(YEAR(V6),2)</f>
        <v>#VALUE!</v>
      </c>
      <c r="AQ10" s="1668" t="s">
        <v>1401</v>
      </c>
      <c r="AR10" s="1704" t="e">
        <f>VLOOKUP(YEAR(T6),Renteneintrittstabelle,3)</f>
        <v>#VALUE!</v>
      </c>
      <c r="AS10" s="1705" t="e">
        <f>VLOOKUP(YEAR(V6),Renteneintrittstabelle,3)</f>
        <v>#VALUE!</v>
      </c>
      <c r="AT10" s="1674"/>
      <c r="AU10" s="1674"/>
      <c r="AV10" s="1668" t="s">
        <v>126</v>
      </c>
      <c r="AW10" s="1706">
        <f>IFERROR(S13*(1+RententrendDRV)^Fallerfassung!AR11,0)</f>
        <v>0</v>
      </c>
      <c r="AX10" s="1706">
        <f>IFERROR(U13*(1+RententrendDRV)^Fallerfassung!AS11,0)</f>
        <v>0</v>
      </c>
      <c r="AY10" s="1699"/>
      <c r="AZ10" s="1699"/>
      <c r="BB10" s="1668" t="s">
        <v>1027</v>
      </c>
      <c r="BC10" s="1706" t="e">
        <f>VLOOKUP(YEAR(V3),MonatlicheBezugsgroesse,2)*1.2</f>
        <v>#N/A</v>
      </c>
      <c r="BE10" s="1702"/>
    </row>
    <row r="11" spans="1:59" s="1620" customFormat="1" ht="18" customHeight="1" thickBot="1">
      <c r="A11" s="2382"/>
      <c r="B11" s="2205"/>
      <c r="C11" s="2206"/>
      <c r="D11" s="2206"/>
      <c r="E11" s="2206"/>
      <c r="F11" s="2206"/>
      <c r="G11" s="2206"/>
      <c r="H11" s="2206"/>
      <c r="I11" s="2207"/>
      <c r="J11" s="2203" t="s">
        <v>1504</v>
      </c>
      <c r="K11" s="2204"/>
      <c r="L11" s="2204"/>
      <c r="M11" s="2204"/>
      <c r="N11" s="2204"/>
      <c r="O11" s="2204"/>
      <c r="P11" s="2204"/>
      <c r="Q11" s="2204"/>
      <c r="R11" s="1771" t="str">
        <f>IF(+AK11=0,"",AK11)</f>
        <v/>
      </c>
      <c r="S11" s="2252"/>
      <c r="T11" s="2307"/>
      <c r="U11" s="2252"/>
      <c r="V11" s="2253"/>
      <c r="W11" s="1229"/>
      <c r="X11" s="2426"/>
      <c r="Y11" s="2314" t="s">
        <v>1669</v>
      </c>
      <c r="Z11" s="2315"/>
      <c r="AA11" s="2316"/>
      <c r="AC11" s="2436"/>
      <c r="AD11" s="2242"/>
      <c r="AE11" s="1669"/>
      <c r="AF11" s="1664"/>
      <c r="AG11" s="1009"/>
      <c r="AH11" s="2224"/>
      <c r="AI11" s="2223"/>
      <c r="AJ11" s="1665"/>
      <c r="AK11" s="1667">
        <f>IF(U11+S11&gt;0,MAX(AK$9:AK10)+1,0)</f>
        <v>0</v>
      </c>
      <c r="AL11" s="2279"/>
      <c r="AM11" s="2279"/>
      <c r="AN11" s="2329"/>
      <c r="AO11" s="1668" t="s">
        <v>1432</v>
      </c>
      <c r="AP11" s="1668"/>
      <c r="AQ11" s="1668" t="s">
        <v>265</v>
      </c>
      <c r="AR11" s="1707" t="e">
        <f>IF(OR(AR10&lt;AV5,Dat_RentnerM),0,AR10-AV5)</f>
        <v>#VALUE!</v>
      </c>
      <c r="AS11" s="1705" t="e">
        <f>ROUND(IF(OR(Dat_RentnerF,AS10&lt;AV6),0,AS10-AV6),2)</f>
        <v>#VALUE!</v>
      </c>
      <c r="AT11" s="1674"/>
      <c r="AU11" s="1674"/>
      <c r="AV11" s="1668" t="s">
        <v>1445</v>
      </c>
      <c r="AW11" s="1706" t="e">
        <f>PV(BilMoG,AR11,,PV(BilMoG-RententrendDRV,AR12,AW10*12)*BE5)*(1+AX5+AY5)</f>
        <v>#VALUE!</v>
      </c>
      <c r="AX11" s="1706" t="e">
        <f>PV(BilMoG,AS11,,PV(BilMoG-RententrendDRV,AS12,AX10*12))*BE6*(1+AX6+AY6)</f>
        <v>#VALUE!</v>
      </c>
      <c r="AY11" s="1708" t="s">
        <v>1447</v>
      </c>
      <c r="AZ11" s="1602" t="s">
        <v>1448</v>
      </c>
      <c r="BB11" s="1668" t="s">
        <v>1406</v>
      </c>
      <c r="BC11" s="1706" t="e">
        <f>VLOOKUP(YEAR(V3),Beitragsbemessungsgrenze,4)</f>
        <v>#N/A</v>
      </c>
    </row>
    <row r="12" spans="1:59" s="1620" customFormat="1" ht="18" customHeight="1">
      <c r="A12" s="2382"/>
      <c r="B12" s="2413"/>
      <c r="C12" s="2414"/>
      <c r="D12" s="2414"/>
      <c r="E12" s="2414"/>
      <c r="F12" s="2414"/>
      <c r="G12" s="2414"/>
      <c r="H12" s="2414"/>
      <c r="I12" s="2415"/>
      <c r="J12" s="2213" t="s">
        <v>1541</v>
      </c>
      <c r="K12" s="2214"/>
      <c r="L12" s="2214"/>
      <c r="M12" s="2214"/>
      <c r="N12" s="2214"/>
      <c r="O12" s="2214"/>
      <c r="P12" s="2214"/>
      <c r="Q12" s="2215"/>
      <c r="R12" s="1772"/>
      <c r="S12" s="1890" t="s">
        <v>21</v>
      </c>
      <c r="T12" s="1890" t="str">
        <f>"Barwert "&amp;IF(Dat_Unisex,divers,"")</f>
        <v xml:space="preserve">Barwert </v>
      </c>
      <c r="U12" s="1891" t="s">
        <v>21</v>
      </c>
      <c r="V12" s="1892" t="str">
        <f>"Barwert "&amp;IF(Dat_Unisex,divers,"")</f>
        <v xml:space="preserve">Barwert </v>
      </c>
      <c r="W12" s="1229"/>
      <c r="X12" s="2426"/>
      <c r="Y12" s="1627" t="s">
        <v>126</v>
      </c>
      <c r="Z12" s="1628" t="s">
        <v>180</v>
      </c>
      <c r="AA12" s="1629" t="s">
        <v>181</v>
      </c>
      <c r="AC12" s="1709" t="s">
        <v>180</v>
      </c>
      <c r="AD12" s="1710" t="s">
        <v>181</v>
      </c>
      <c r="AE12" s="1669"/>
      <c r="AF12" s="1664"/>
      <c r="AG12" s="1009"/>
      <c r="AH12" s="2224"/>
      <c r="AI12" s="2223"/>
      <c r="AJ12" s="1711" t="str">
        <f>TEXT(AL12,"0000")</f>
        <v>0000</v>
      </c>
      <c r="AK12" s="1667"/>
      <c r="AL12" s="1712">
        <v>5.5E-2</v>
      </c>
      <c r="AM12" s="1667"/>
      <c r="AN12" s="1667"/>
      <c r="AO12" s="1668" t="e">
        <f>IF(OR(VALUE(RIGHT(L9,3))&gt;499,AP9&lt;&gt;AP12),1,0)</f>
        <v>#VALUE!</v>
      </c>
      <c r="AP12" s="1668" t="str">
        <f>MID(L9,IF(MID(L9,3,1)=" ",4,3),6)</f>
        <v/>
      </c>
      <c r="AQ12" s="1668" t="s">
        <v>264</v>
      </c>
      <c r="AR12" s="1707" t="e">
        <f>VLOOKUP(AV5+IF(Dat_RentnerM,0,AR11),IF(Dat_Unisex,Lebenserwartung_N_V2,Lebenserwartung_M_V2),YEAR(T6)+IF(MONTH(T6)&gt;6,1,0)-1900+2)</f>
        <v>#VALUE!</v>
      </c>
      <c r="AS12" s="1713" t="e">
        <f>VLOOKUP(AV6+IF(Dat_RentnerF,0,AS11),IF(Dat_Unisex,Lebenserwartung_N_V2,Lebenserwartung_F_V2),YEAR(V6)+IF(MONTH(V6)&gt;6,1,0)-1900+2)</f>
        <v>#VALUE!</v>
      </c>
      <c r="AT12" s="1705"/>
      <c r="AU12" s="1705"/>
      <c r="AV12" s="1668" t="s">
        <v>1285</v>
      </c>
      <c r="AW12" s="1706" t="e">
        <f>+S15*(1+RententrendDRV)^AR11</f>
        <v>#VALUE!</v>
      </c>
      <c r="AX12" s="1706" t="e">
        <f>U15*(1+RententrendDRV)^AS11</f>
        <v>#VALUE!</v>
      </c>
      <c r="AY12" s="1714" t="e">
        <f>+S16*(1+RententrendDRV)^Fallerfassung!AR11</f>
        <v>#VALUE!</v>
      </c>
      <c r="AZ12" s="1715" t="e">
        <f>+U16*(1+RententrendDRV)^Fallerfassung!AS11</f>
        <v>#VALUE!</v>
      </c>
      <c r="BB12" s="1668" t="s">
        <v>1410</v>
      </c>
      <c r="BC12" s="1706" t="e">
        <f>VLOOKUP(YEAR(V3),MonatlicheBezugsgroesse,2)*2.4</f>
        <v>#N/A</v>
      </c>
    </row>
    <row r="13" spans="1:59" s="1620" customFormat="1" ht="18" customHeight="1" thickBot="1">
      <c r="A13" s="2382"/>
      <c r="B13" s="2205"/>
      <c r="C13" s="2206"/>
      <c r="D13" s="2206"/>
      <c r="E13" s="2206"/>
      <c r="F13" s="2206"/>
      <c r="G13" s="2206"/>
      <c r="H13" s="2206"/>
      <c r="I13" s="2207"/>
      <c r="J13" s="2216"/>
      <c r="K13" s="2217"/>
      <c r="L13" s="2217"/>
      <c r="M13" s="2217"/>
      <c r="N13" s="2217"/>
      <c r="O13" s="2217"/>
      <c r="P13" s="2217"/>
      <c r="Q13" s="2218"/>
      <c r="R13" s="1773"/>
      <c r="S13" s="1413" t="str">
        <f>IFERROR(ROUND((S9+IF(StDat_GrusiAdd,S11,0))*VLOOKUP(V3,aktRW,2)+S10*VLOOKUP(V3,aktRW,3),2),"")</f>
        <v/>
      </c>
      <c r="T13" s="1476">
        <f>IFERROR(AW11,0)</f>
        <v>0</v>
      </c>
      <c r="U13" s="1414" t="str">
        <f>IFERROR(ROUND((U9+IF(StDat_GrusiAdd,U11,0))*VLOOKUP(V3,aktRW,2)+U10*VLOOKUP(V3,aktRW,3),2),"")</f>
        <v/>
      </c>
      <c r="V13" s="1477">
        <f>IFERROR(AX11,0)</f>
        <v>0</v>
      </c>
      <c r="W13" s="1395"/>
      <c r="X13" s="1258"/>
      <c r="Y13" s="1630" t="s">
        <v>1606</v>
      </c>
      <c r="Z13" s="1631" t="str">
        <f>IFERROR(S$9*VLOOKUP(V3,UmrechnungEP_Kap,2)+S10*VLOOKUP(V3,UmrechnungEP_Kap,3)+IF(StDat_GrusiAdd,S11,0)*VLOOKUP(V3,UmrechnungEP_Kap,2),"")</f>
        <v/>
      </c>
      <c r="AA13" s="1632" t="str">
        <f>IFERROR(U$9*VLOOKUP(V3,UmrechnungEP_Kap,2)+U10*VLOOKUP(V3,UmrechnungEP_Kap,3)+IF(StDat_GrusiAdd,U11,0)*VLOOKUP(V3,UmrechnungEP_Kap,2),"")</f>
        <v/>
      </c>
      <c r="AB13" s="1699"/>
      <c r="AC13" s="1716">
        <f>IFERROR(BWDRV_M/KoKaDRV,0)</f>
        <v>0</v>
      </c>
      <c r="AD13" s="1717">
        <f>IFERROR(BWDRV_F/KoKaDRV_F,0)</f>
        <v>0</v>
      </c>
      <c r="AE13" s="1669"/>
      <c r="AF13" s="1664"/>
      <c r="AG13" s="1009"/>
      <c r="AH13" s="1718"/>
      <c r="AI13" s="1699"/>
      <c r="AJ13" s="1719"/>
      <c r="AK13" s="1697"/>
      <c r="AL13" s="1697"/>
      <c r="AM13" s="2328" t="str">
        <f>IF(AM18&lt;&gt;"",AM18,"Alter der ausglpfl. Person: "&amp;TEXT(AG4,"##")&amp;" ReZins: "&amp;TEXT(P28,"0,00%")&amp;CHAR(10)&amp;AM17&amp;" Rentenertrag (Barwert) aus Ausgl.wert in DRV: "&amp;TEXT(AJ38,"0,00%")&amp;" der auszugleichenden Versorgung")</f>
        <v>ausglpfl. Person (M, 50), Rente ab 67: 500 €, ReZins BilMoG-7 ab 2008
Rentenerwerb aus Ausgl.Wert der Quellversorgung in DRV</v>
      </c>
      <c r="AN13" s="1720"/>
      <c r="AO13" s="1668" t="e">
        <f>IF(OR(VALUE(RIGHT(L10,3))&lt;500,AP13&lt;&gt;AP10),1,0)</f>
        <v>#VALUE!</v>
      </c>
      <c r="AP13" s="1668" t="str">
        <f>MID(L10,IF(MID(L10,3,1)=" ",4,3),6)</f>
        <v/>
      </c>
      <c r="AQ13" s="1668" t="s">
        <v>277</v>
      </c>
      <c r="AR13" s="1721">
        <f>IF(AA10&lt;&gt;"",AA10,IFERROR(VLOOKUP(V3,IF(Bilanz_BilMoG10,BilMoG10,BilmoGZins),16)/100,5.5%))</f>
        <v>5.5E-2</v>
      </c>
      <c r="AS13" s="1722"/>
      <c r="AT13" s="1722"/>
      <c r="AU13" s="1722"/>
      <c r="AV13" s="1668" t="s">
        <v>1446</v>
      </c>
      <c r="AW13" s="1706" t="e">
        <f>PV(BilMoG,AR11,,PV(BilMoG-RententrendDRV,Fallerfassung!AR12,AW12*12))*BE5*(1+AX5+AY5)</f>
        <v>#VALUE!</v>
      </c>
      <c r="AX13" s="1706" t="e">
        <f>PV(BilMoG,AS11,,PV(BilMoG-RententrendDRV,Fallerfassung!AS12,AX12*12))*BE6*(1+AX6+AY6)</f>
        <v>#VALUE!</v>
      </c>
      <c r="AY13" s="1723" t="e">
        <f>PV(BilMoG,AR11,,PV(BilMoG-RententrendDRV,Fallerfassung!AR12,AY12*12))*BE5*(1+AX5+AY5)</f>
        <v>#VALUE!</v>
      </c>
      <c r="AZ13" s="1724" t="e">
        <f>PV(BilMoG,AS11,,PV(BilMoG-RententrendDRV,Fallerfassung!AS12,AZ12*12))*BE6*(1+AX6+AY6)</f>
        <v>#VALUE!</v>
      </c>
      <c r="BB13" s="1668" t="s">
        <v>1396</v>
      </c>
      <c r="BC13" s="1671" t="b">
        <v>1</v>
      </c>
    </row>
    <row r="14" spans="1:59" s="1620" customFormat="1" ht="18" customHeight="1" thickTop="1" thickBot="1">
      <c r="A14" s="2382"/>
      <c r="B14" s="2208"/>
      <c r="C14" s="2209"/>
      <c r="D14" s="2209"/>
      <c r="E14" s="2209"/>
      <c r="F14" s="2209"/>
      <c r="G14" s="2209"/>
      <c r="H14" s="2209"/>
      <c r="I14" s="2210"/>
      <c r="J14" s="2296" t="str">
        <f>"4. Beamtenversorgung, Dynamik  "&amp;TEXT('Dies &amp; Das'!E3,"0,00%")</f>
        <v>4. Beamtenversorgung, Dynamik  2,60%</v>
      </c>
      <c r="K14" s="2297"/>
      <c r="L14" s="2297"/>
      <c r="M14" s="2297"/>
      <c r="N14" s="2297"/>
      <c r="O14" s="2297"/>
      <c r="P14" s="2297"/>
      <c r="Q14" s="2297"/>
      <c r="R14" s="1774"/>
      <c r="S14" s="1893" t="s">
        <v>1395</v>
      </c>
      <c r="T14" s="1893" t="str">
        <f>"Barwert "&amp;IF(Dat_Unisex,divers,"")</f>
        <v xml:space="preserve">Barwert </v>
      </c>
      <c r="U14" s="1894" t="s">
        <v>1395</v>
      </c>
      <c r="V14" s="1895" t="str">
        <f>"Barwert "&amp;IF(Dat_Unisex,divers,"")</f>
        <v xml:space="preserve">Barwert </v>
      </c>
      <c r="W14" s="1229"/>
      <c r="X14" s="1258"/>
      <c r="Y14" s="1633" t="s">
        <v>1285</v>
      </c>
      <c r="Z14" s="1634" t="s">
        <v>180</v>
      </c>
      <c r="AA14" s="1635" t="s">
        <v>181</v>
      </c>
      <c r="AC14" s="2317" t="s">
        <v>1615</v>
      </c>
      <c r="AD14" s="2318"/>
      <c r="AE14" s="1669"/>
      <c r="AF14" s="1664"/>
      <c r="AG14" s="1009">
        <v>2000</v>
      </c>
      <c r="AH14" s="1725">
        <v>53086.508000000002</v>
      </c>
      <c r="AI14" s="1725">
        <v>51732.500999999997</v>
      </c>
      <c r="AJ14" s="1726">
        <f>+AI14/AH14</f>
        <v>0.97449432914291512</v>
      </c>
      <c r="AK14" s="1697"/>
      <c r="AL14" s="1727">
        <f t="shared" ref="AL14:AL37" si="0">IFERROR(VLOOKUP(DATE(AG14,11,30),BilmoGZins,16)/100,5.5%)</f>
        <v>5.5E-2</v>
      </c>
      <c r="AM14" s="2328"/>
      <c r="AN14" s="1720" t="str">
        <f>TEXT(AG14,"####")&amp;" / "&amp;TEXT(AL14,"###,##%")</f>
        <v>2000 / 5,5%</v>
      </c>
      <c r="AP14" s="1620" t="str">
        <f>LEFT(L9,6)</f>
        <v/>
      </c>
      <c r="AV14" s="1668" t="s">
        <v>1399</v>
      </c>
      <c r="AW14" s="1728" t="e">
        <f>+S19*(1+DynamikBerstdV)^AR11</f>
        <v>#VALUE!</v>
      </c>
      <c r="AX14" s="1706" t="e">
        <f>U19*(1+DynamikBerstdV)^AS11</f>
        <v>#VALUE!</v>
      </c>
    </row>
    <row r="15" spans="1:59" s="1620" customFormat="1" ht="18" customHeight="1" thickTop="1">
      <c r="A15" s="2382"/>
      <c r="B15" s="2389" t="str">
        <f>IF(TO_vorhanden&gt;12,"Eine TO eines Versorgungsträgers könnte gelistet sein!","(15) Kontrolle der Teilungsordnung (TO)")</f>
        <v>(15) Kontrolle der Teilungsordnung (TO)</v>
      </c>
      <c r="C15" s="2390"/>
      <c r="D15" s="2390"/>
      <c r="E15" s="2390"/>
      <c r="F15" s="2390"/>
      <c r="G15" s="2393" t="s">
        <v>1456</v>
      </c>
      <c r="H15" s="2394"/>
      <c r="I15" s="2395"/>
      <c r="J15" s="2281"/>
      <c r="K15" s="2282"/>
      <c r="L15" s="2282"/>
      <c r="M15" s="2282"/>
      <c r="N15" s="2282"/>
      <c r="O15" s="2282"/>
      <c r="P15" s="2282"/>
      <c r="Q15" s="2282"/>
      <c r="R15" s="1771" t="str">
        <f>IF(AK15=0,"",AK15)</f>
        <v/>
      </c>
      <c r="S15" s="1373"/>
      <c r="T15" s="1478">
        <f>IFERROR(AW13,0)</f>
        <v>0</v>
      </c>
      <c r="U15" s="1373"/>
      <c r="V15" s="1479">
        <f>IFERROR(AX13,0)</f>
        <v>0</v>
      </c>
      <c r="W15" s="1229"/>
      <c r="X15" s="1258"/>
      <c r="Y15" s="1636">
        <v>1</v>
      </c>
      <c r="Z15" s="1637" t="str">
        <f>IFERROR(S15/VLOOKUP(V$3,aktRW,2)*VLOOKUP(V$3,UmrechnungEP_Kap,2),"")</f>
        <v/>
      </c>
      <c r="AA15" s="1638" t="str">
        <f>IFERROR(U15/VLOOKUP(V$3,aktRW,2)*VLOOKUP(V$3,UmrechnungEP_Kap,2),"")</f>
        <v/>
      </c>
      <c r="AC15" s="2319"/>
      <c r="AD15" s="2320"/>
      <c r="AE15" s="1669"/>
      <c r="AF15" s="1664"/>
      <c r="AG15" s="1009">
        <v>2001</v>
      </c>
      <c r="AH15" s="1725">
        <v>53086.508000000002</v>
      </c>
      <c r="AI15" s="1725">
        <v>53442.151700000002</v>
      </c>
      <c r="AJ15" s="1726">
        <f t="shared" ref="AJ15:AJ37" si="1">+AI15/AH15</f>
        <v>1.0066993236774964</v>
      </c>
      <c r="AK15" s="1697">
        <f>IF(U15+S15&gt;0,MAX(AK$9:AK14)+1,0)</f>
        <v>0</v>
      </c>
      <c r="AL15" s="1727">
        <f t="shared" si="0"/>
        <v>5.5E-2</v>
      </c>
      <c r="AM15" s="2328"/>
      <c r="AN15" s="1720" t="str">
        <f t="shared" ref="AN15:AN37" si="2">TEXT(AG15,"####")&amp;" / "&amp;TEXT(AL15,"###,##%")</f>
        <v>2001 / 5,5%</v>
      </c>
      <c r="AP15" s="1620">
        <f>RententrendDRV</f>
        <v>2.5999999999999999E-2</v>
      </c>
      <c r="AV15" s="1668" t="s">
        <v>1449</v>
      </c>
      <c r="AW15" s="1706" t="e">
        <f>PV(BilMoG,AR11,,PV(BilMoG-DynamikBerstdV,AR12,AW14*12))*BE5*(1+AX5+AY5)</f>
        <v>#VALUE!</v>
      </c>
      <c r="AX15" s="1706" t="e">
        <f>PV(BilMoG,AS11,,PV(BilMoG-DynamikBerstdV,AS12,AX14*12))*BE6*(1+AX6+AY6)</f>
        <v>#VALUE!</v>
      </c>
      <c r="BD15" s="1699"/>
    </row>
    <row r="16" spans="1:59" s="1620" customFormat="1" ht="18" customHeight="1" thickBot="1">
      <c r="A16" s="2382"/>
      <c r="B16" s="2391"/>
      <c r="C16" s="2392"/>
      <c r="D16" s="2392"/>
      <c r="E16" s="2392"/>
      <c r="F16" s="2392"/>
      <c r="G16" s="2396"/>
      <c r="H16" s="2397"/>
      <c r="I16" s="2398"/>
      <c r="J16" s="2227"/>
      <c r="K16" s="2228"/>
      <c r="L16" s="2228"/>
      <c r="M16" s="2228"/>
      <c r="N16" s="2228"/>
      <c r="O16" s="2228"/>
      <c r="P16" s="2228"/>
      <c r="Q16" s="2228"/>
      <c r="R16" s="1771" t="str">
        <f>IF(AK16=0,"",AK16)</f>
        <v/>
      </c>
      <c r="S16" s="1403"/>
      <c r="T16" s="1476">
        <f>IFERROR(AY13,0)</f>
        <v>0</v>
      </c>
      <c r="U16" s="1403"/>
      <c r="V16" s="1477">
        <f>IFERROR(AZ13,0)</f>
        <v>0</v>
      </c>
      <c r="W16" s="1229"/>
      <c r="X16" s="1258"/>
      <c r="Y16" s="1639">
        <v>2</v>
      </c>
      <c r="Z16" s="1631" t="str">
        <f>IFERROR(+S16/VLOOKUP(V$3,aktRW,2)*VLOOKUP(V$3,UmrechnungEP_Kap,2),"")</f>
        <v/>
      </c>
      <c r="AA16" s="1632" t="str">
        <f>IFERROR(U16/VLOOKUP(V$3,aktRW,2)*VLOOKUP(V$3,UmrechnungEP_Kap,2),"")</f>
        <v/>
      </c>
      <c r="AC16" s="2319"/>
      <c r="AD16" s="2320"/>
      <c r="AE16" s="1669"/>
      <c r="AF16" s="1664"/>
      <c r="AG16" s="1009">
        <v>2002</v>
      </c>
      <c r="AH16" s="1725">
        <v>53086.508000000002</v>
      </c>
      <c r="AI16" s="1725">
        <v>53154.326999999997</v>
      </c>
      <c r="AJ16" s="1726">
        <f t="shared" si="1"/>
        <v>1.0012775185740226</v>
      </c>
      <c r="AK16" s="1697">
        <f>IF(U16+S16&gt;0,MAX(AK$9:AK15)+1,0)</f>
        <v>0</v>
      </c>
      <c r="AL16" s="1727">
        <f t="shared" si="0"/>
        <v>5.5E-2</v>
      </c>
      <c r="AM16" s="2328"/>
      <c r="AN16" s="1720" t="str">
        <f t="shared" si="2"/>
        <v>2002 / 5,5%</v>
      </c>
      <c r="BD16" s="1699"/>
    </row>
    <row r="17" spans="1:65" s="1620" customFormat="1" ht="18" customHeight="1" thickTop="1" thickBot="1">
      <c r="A17" s="2382"/>
      <c r="B17" s="2402"/>
      <c r="C17" s="2403"/>
      <c r="D17" s="2403"/>
      <c r="E17" s="2403"/>
      <c r="F17" s="2403"/>
      <c r="G17" s="2399" t="str">
        <f>IFERROR('TO-Prüfung'!H7,"")</f>
        <v/>
      </c>
      <c r="H17" s="2400"/>
      <c r="I17" s="2401"/>
      <c r="J17" s="2296" t="str">
        <f>"5. Berufsständische Versorgungen, Dyn: "&amp;TEXT('Dies &amp; Das'!E9,"0,00%")</f>
        <v>5. Berufsständische Versorgungen, Dyn: 0,50%</v>
      </c>
      <c r="K17" s="2297"/>
      <c r="L17" s="2297"/>
      <c r="M17" s="2297"/>
      <c r="N17" s="2297"/>
      <c r="O17" s="2297"/>
      <c r="P17" s="2297"/>
      <c r="Q17" s="2297"/>
      <c r="R17" s="1774"/>
      <c r="S17" s="2379" t="s">
        <v>1400</v>
      </c>
      <c r="T17" s="2380"/>
      <c r="U17" s="2380"/>
      <c r="V17" s="2381"/>
      <c r="W17" s="1229"/>
      <c r="X17" s="1258"/>
      <c r="Y17" s="2323" t="str">
        <f>"10. KoKa d. berufsstd. Versorg.:"</f>
        <v>10. KoKa d. berufsstd. Versorg.:</v>
      </c>
      <c r="Z17" s="2324"/>
      <c r="AA17" s="2325"/>
      <c r="AC17" s="2321"/>
      <c r="AD17" s="2322"/>
      <c r="AE17" s="1669"/>
      <c r="AF17" s="1664"/>
      <c r="AG17" s="1009">
        <v>2003</v>
      </c>
      <c r="AH17" s="1725">
        <v>53086.508000000002</v>
      </c>
      <c r="AI17" s="1729">
        <v>51735.291299999997</v>
      </c>
      <c r="AJ17" s="1726">
        <f t="shared" si="1"/>
        <v>0.97454689052065724</v>
      </c>
      <c r="AK17" s="1697"/>
      <c r="AL17" s="1727">
        <f t="shared" si="0"/>
        <v>5.5E-2</v>
      </c>
      <c r="AM17" s="1697" t="s">
        <v>837</v>
      </c>
      <c r="AN17" s="1720" t="str">
        <f t="shared" si="2"/>
        <v>2003 / 5,5%</v>
      </c>
      <c r="AO17" s="2190" t="s">
        <v>1502</v>
      </c>
      <c r="AP17" s="2190"/>
      <c r="AQ17" s="2190"/>
      <c r="AR17" s="2190"/>
      <c r="AS17" s="2190"/>
      <c r="AT17" s="1523"/>
      <c r="AU17" s="1523"/>
      <c r="AV17" s="2340" t="s">
        <v>1387</v>
      </c>
      <c r="AW17" s="2340" t="s">
        <v>1385</v>
      </c>
      <c r="AX17" s="2340" t="s">
        <v>1390</v>
      </c>
      <c r="AY17" s="1668"/>
      <c r="AZ17" s="1668"/>
      <c r="BA17" s="2190" t="s">
        <v>1545</v>
      </c>
      <c r="BB17" s="2190"/>
      <c r="BC17" s="2190"/>
      <c r="BD17" s="1699"/>
    </row>
    <row r="18" spans="1:65" s="1620" customFormat="1" ht="18" customHeight="1">
      <c r="A18" s="2382"/>
      <c r="B18" s="2404" t="str">
        <f>IFERROR('TO-Prüfung'!O13,"")</f>
        <v/>
      </c>
      <c r="C18" s="2405"/>
      <c r="D18" s="2405"/>
      <c r="E18" s="2405"/>
      <c r="F18" s="2405"/>
      <c r="G18" s="2405"/>
      <c r="H18" s="2405"/>
      <c r="I18" s="2406"/>
      <c r="J18" s="2332"/>
      <c r="K18" s="2333"/>
      <c r="L18" s="2333"/>
      <c r="M18" s="2333"/>
      <c r="N18" s="2333"/>
      <c r="O18" s="2333"/>
      <c r="P18" s="2333"/>
      <c r="Q18" s="2333"/>
      <c r="R18" s="1771"/>
      <c r="S18" s="1890" t="s">
        <v>21</v>
      </c>
      <c r="T18" s="1890" t="s">
        <v>1566</v>
      </c>
      <c r="U18" s="1891" t="s">
        <v>21</v>
      </c>
      <c r="V18" s="1892" t="s">
        <v>1567</v>
      </c>
      <c r="W18" s="1229"/>
      <c r="X18" s="1258"/>
      <c r="Y18" s="1640" t="s">
        <v>1572</v>
      </c>
      <c r="Z18" s="1641">
        <f>+BC19</f>
        <v>0</v>
      </c>
      <c r="AA18" s="1642">
        <f>+BC20</f>
        <v>0</v>
      </c>
      <c r="AC18" s="1730">
        <f>+Dat_bstdKoKa_M*Z19</f>
        <v>0</v>
      </c>
      <c r="AD18" s="1731">
        <f>+Dat_bstdKoKa_F*AA19</f>
        <v>0</v>
      </c>
      <c r="AE18" s="1669"/>
      <c r="AF18" s="1664"/>
      <c r="AG18" s="1009">
        <v>2004</v>
      </c>
      <c r="AH18" s="1725">
        <v>53086.508000000002</v>
      </c>
      <c r="AI18" s="1729">
        <v>51809.852299999999</v>
      </c>
      <c r="AJ18" s="1726">
        <f t="shared" si="1"/>
        <v>0.97595140934868041</v>
      </c>
      <c r="AK18" s="1697"/>
      <c r="AL18" s="1727">
        <f t="shared" si="0"/>
        <v>5.5E-2</v>
      </c>
      <c r="AM18" s="1720" t="s">
        <v>1692</v>
      </c>
      <c r="AN18" s="1720" t="str">
        <f t="shared" si="2"/>
        <v>2004 / 5,5%</v>
      </c>
      <c r="AO18" s="1732" t="s">
        <v>264</v>
      </c>
      <c r="AP18" s="1732" t="s">
        <v>1386</v>
      </c>
      <c r="AQ18" s="1668" t="s">
        <v>1517</v>
      </c>
      <c r="AR18" s="1668" t="s">
        <v>1518</v>
      </c>
      <c r="AS18" s="1732" t="s">
        <v>1384</v>
      </c>
      <c r="AT18" s="1732" t="s">
        <v>287</v>
      </c>
      <c r="AU18" s="1732" t="s">
        <v>288</v>
      </c>
      <c r="AV18" s="2340"/>
      <c r="AW18" s="2340"/>
      <c r="AX18" s="2340"/>
      <c r="AY18" s="1668" t="s">
        <v>180</v>
      </c>
      <c r="AZ18" s="1668" t="s">
        <v>181</v>
      </c>
      <c r="BA18" s="1668"/>
      <c r="BB18" s="1733"/>
      <c r="BC18" s="1668"/>
    </row>
    <row r="19" spans="1:65" s="1620" customFormat="1" ht="18" customHeight="1" thickBot="1">
      <c r="A19" s="2382"/>
      <c r="B19" s="2407"/>
      <c r="C19" s="2408"/>
      <c r="D19" s="2408"/>
      <c r="E19" s="2408"/>
      <c r="F19" s="2408"/>
      <c r="G19" s="2408"/>
      <c r="H19" s="2408"/>
      <c r="I19" s="2409"/>
      <c r="J19" s="2281"/>
      <c r="K19" s="2282"/>
      <c r="L19" s="2282"/>
      <c r="M19" s="2282"/>
      <c r="N19" s="2282"/>
      <c r="O19" s="2282"/>
      <c r="P19" s="2282"/>
      <c r="Q19" s="2282"/>
      <c r="R19" s="1771" t="str">
        <f>IF(AK19=0,"",AK19)</f>
        <v/>
      </c>
      <c r="S19" s="1558"/>
      <c r="T19" s="1559"/>
      <c r="U19" s="1558"/>
      <c r="V19" s="1560"/>
      <c r="W19" s="1229"/>
      <c r="X19" s="1229"/>
      <c r="Y19" s="1640" t="s">
        <v>1573</v>
      </c>
      <c r="Z19" s="1643">
        <f>IFERROR(T20/Z18,0)</f>
        <v>0</v>
      </c>
      <c r="AA19" s="1644">
        <f>IFERROR(V20/AA18,0)</f>
        <v>0</v>
      </c>
      <c r="AC19" s="1734">
        <f>IFERROR(ROUND(AC18*VLOOKUP(Dat_EzE,Umrechnungsfaktoren_BeitraginEP,2),4),0)</f>
        <v>0</v>
      </c>
      <c r="AD19" s="1735">
        <f>IFERROR(ROUND(AD18*VLOOKUP(Dat_EzE,Umrechnungsfaktoren_BeitraginEP,2),4),0)</f>
        <v>0</v>
      </c>
      <c r="AE19" s="1736"/>
      <c r="AF19" s="1664"/>
      <c r="AG19" s="1009">
        <v>2005</v>
      </c>
      <c r="AH19" s="1725">
        <v>53086.508000000002</v>
      </c>
      <c r="AI19" s="1729">
        <v>51991.378599999996</v>
      </c>
      <c r="AJ19" s="1726">
        <f t="shared" si="1"/>
        <v>0.9793708525714292</v>
      </c>
      <c r="AK19" s="1697">
        <f>IF(U19+S19&gt;0,MAX(AK$9:AK18)+1,0)</f>
        <v>0</v>
      </c>
      <c r="AL19" s="1727">
        <f t="shared" si="0"/>
        <v>5.5E-2</v>
      </c>
      <c r="AM19" s="1697"/>
      <c r="AN19" s="1720" t="str">
        <f t="shared" si="2"/>
        <v>2005 / 5,5%</v>
      </c>
      <c r="AO19" s="1677" t="e">
        <f>+AR12</f>
        <v>#VALUE!</v>
      </c>
      <c r="AP19" s="1523" t="e">
        <f>+AR11</f>
        <v>#VALUE!</v>
      </c>
      <c r="AQ19" s="1668"/>
      <c r="AR19" s="1668"/>
      <c r="AS19" s="1682" t="e">
        <f>+BE5</f>
        <v>#VALUE!</v>
      </c>
      <c r="AT19" s="1679">
        <f>IFERROR(VLOOKUP(AV$5,CHOOSE(IF(IF(Dat_RentnerM,AV5,AR10)&lt;60,60,IF(AR10&gt;67,67,AR10))-59,HRIR60,HRIR61,HRIR62,HRIR63,HRIR64,HRIR,HRIR66,HRIR67),IF(Dat_Unisex,26,8))*0.6,0)</f>
        <v>0</v>
      </c>
      <c r="AU19" s="1679">
        <f>IFERROR(IF(Dat_RentnerM,0,VLOOKUP(AV$5,CHOOSE(IF(AR10&lt;60,60,IF(AR10&gt;67,67,AR10))-59,HRIR60,HRIR61,HRIR62,HRIR63,HRIR64,HRIR,HRIR66,HRIR67),IF(Dat_Unisex,25,7))),0)</f>
        <v>0</v>
      </c>
      <c r="AV19" s="1737" t="e">
        <f>-PV(BilMoG-DynamikBerstdV,AO19,AW14*12)</f>
        <v>#VALUE!</v>
      </c>
      <c r="AW19" s="1737" t="e">
        <f>-PV(BilMoG,Fallerfassung!AR11,,AV19)</f>
        <v>#VALUE!</v>
      </c>
      <c r="AX19" s="1738" t="e">
        <f>+AW19*(1+(AT19+AU19))*AS19</f>
        <v>#VALUE!</v>
      </c>
      <c r="AY19" s="1706" t="e">
        <f>+AX19</f>
        <v>#VALUE!</v>
      </c>
      <c r="AZ19" s="1706" t="str">
        <f>IFERROR(-PV(P15-J15,I15-AV$5,,AX19),"")</f>
        <v/>
      </c>
      <c r="BA19" s="1706" t="e">
        <f>IFERROR(T19*Dat_UFaktorEzE,0)*aktRW_DatErf</f>
        <v>#N/A</v>
      </c>
      <c r="BB19" s="1706">
        <f>IFERROR(BA19*(1+DynamikBerstdV)^Fallerfassung!AR11,0)</f>
        <v>0</v>
      </c>
      <c r="BC19" s="1706">
        <f>IFERROR(PV(BilMoG,AR11,,PV(Dat_BilMoG-RententrendDRV,Fallerfassung!AR12,Fallerfassung!BB19*12))*BE5*(1+AX5/0.55*0.6+AY5),0)</f>
        <v>0</v>
      </c>
    </row>
    <row r="20" spans="1:65" s="1620" customFormat="1" ht="16.899999999999999" customHeight="1" thickBot="1">
      <c r="A20" s="2382"/>
      <c r="B20" s="2419" t="s">
        <v>1527</v>
      </c>
      <c r="C20" s="2420"/>
      <c r="D20" s="2420"/>
      <c r="E20" s="2420"/>
      <c r="F20" s="2420"/>
      <c r="G20" s="2420"/>
      <c r="H20" s="2420"/>
      <c r="I20" s="2421"/>
      <c r="J20" s="2372"/>
      <c r="K20" s="2373"/>
      <c r="L20" s="2373"/>
      <c r="M20" s="2373"/>
      <c r="N20" s="2373"/>
      <c r="O20" s="2373"/>
      <c r="P20" s="2373"/>
      <c r="Q20" s="2373"/>
      <c r="R20" s="1775" t="str">
        <f>IF(AK20=0,"",AK20)</f>
        <v/>
      </c>
      <c r="S20" s="1483" t="str">
        <f>"Barwert "&amp;IF(Dat_Unisex,divers,"")</f>
        <v xml:space="preserve">Barwert </v>
      </c>
      <c r="T20" s="1484" t="str">
        <f>IFERROR(AY19,"")</f>
        <v/>
      </c>
      <c r="U20" s="1483" t="str">
        <f>+S20</f>
        <v xml:space="preserve">Barwert </v>
      </c>
      <c r="V20" s="1485" t="str">
        <f>IFERROR(AZ20,"")</f>
        <v/>
      </c>
      <c r="W20" s="1229"/>
      <c r="X20" s="1258"/>
      <c r="Y20" s="2299" t="s">
        <v>1665</v>
      </c>
      <c r="Z20" s="2300"/>
      <c r="AA20" s="2301"/>
      <c r="AB20" s="1739"/>
      <c r="AC20" s="2308" t="s">
        <v>1617</v>
      </c>
      <c r="AD20" s="2311" t="s">
        <v>1618</v>
      </c>
      <c r="AE20" s="2368" t="s">
        <v>1619</v>
      </c>
      <c r="AF20" s="1740"/>
      <c r="AG20" s="1009">
        <v>2006</v>
      </c>
      <c r="AH20" s="1725">
        <v>53086.508000000002</v>
      </c>
      <c r="AI20" s="1729">
        <v>52850.847000000002</v>
      </c>
      <c r="AJ20" s="1726">
        <f t="shared" si="1"/>
        <v>0.99556081179798073</v>
      </c>
      <c r="AK20" s="1697"/>
      <c r="AL20" s="1727">
        <f t="shared" si="0"/>
        <v>5.5E-2</v>
      </c>
      <c r="AM20" s="1697"/>
      <c r="AN20" s="1720" t="str">
        <f t="shared" si="2"/>
        <v>2006 / 5,5%</v>
      </c>
      <c r="AO20" s="1677" t="e">
        <f>AS12</f>
        <v>#VALUE!</v>
      </c>
      <c r="AP20" s="1523" t="e">
        <f>AS11</f>
        <v>#VALUE!</v>
      </c>
      <c r="AQ20" s="1668"/>
      <c r="AR20" s="1668"/>
      <c r="AS20" s="1682" t="e">
        <f>+BE6</f>
        <v>#VALUE!</v>
      </c>
      <c r="AT20" s="1679">
        <f>IFERROR(VLOOKUP(AV$6,CHOOSE(IF(IF(Dat_RentnerF,AV6,AS10)&lt;60,60,IF(AS10&gt;67,67,AS10))-59,HRIR60,HRIR61,HRIR62,HRIR63,HRIR64,HRIR,HRIR66,HRIR67),IF(Dat_Unisex,26,17))*0.6,0)</f>
        <v>0</v>
      </c>
      <c r="AU20" s="1679">
        <f>IFERROR(IF(Dat_RentnerF,0,VLOOKUP(AV$6,CHOOSE(IF(AS10&lt;60,60,IF(AS10&gt;67,67,AS10))-59,HRIR60,HRIR61,HRIR62,HRIR63,HRIR64,HRIR,HRIR66,HRIR67),IF(Dat_Unisex,25,16))),0)</f>
        <v>0</v>
      </c>
      <c r="AV20" s="1737" t="e">
        <f>-PV(BilMoG-DynamikBerstdV,AO20,AX14*12)</f>
        <v>#VALUE!</v>
      </c>
      <c r="AW20" s="1737" t="e">
        <f>-PV(BilMoG,Fallerfassung!AS11,,AV20)</f>
        <v>#VALUE!</v>
      </c>
      <c r="AX20" s="1738" t="e">
        <f>+AW20*(1+(AT20+AU20))*AS20</f>
        <v>#VALUE!</v>
      </c>
      <c r="AY20" s="1668"/>
      <c r="AZ20" s="1706" t="e">
        <f>+AX20</f>
        <v>#VALUE!</v>
      </c>
      <c r="BA20" s="1706" t="e">
        <f>IFERROR(V19*Dat_UFaktorEzE,0)*aktRW_DatErf</f>
        <v>#N/A</v>
      </c>
      <c r="BB20" s="1706">
        <f>IFERROR(BA20*(1+DynamikBerstdV)^Fallerfassung!AS11,0)</f>
        <v>0</v>
      </c>
      <c r="BC20" s="1706">
        <f>IFERROR(PV(BilMoG,AS11,,PV(Dat_BilMoG-RententrendDRV,Fallerfassung!AS12,Fallerfassung!BB20*12))*BE6*(1+AX6/0.55*0.6+AY6),0)</f>
        <v>0</v>
      </c>
    </row>
    <row r="21" spans="1:65" s="1620" customFormat="1" ht="17.25" customHeight="1" thickTop="1">
      <c r="A21" s="1622"/>
      <c r="B21" s="2416" t="s">
        <v>1612</v>
      </c>
      <c r="C21" s="2417"/>
      <c r="D21" s="2417"/>
      <c r="E21" s="2417"/>
      <c r="F21" s="2417"/>
      <c r="G21" s="2417"/>
      <c r="H21" s="2417"/>
      <c r="I21" s="2417"/>
      <c r="J21" s="2417"/>
      <c r="K21" s="2417"/>
      <c r="L21" s="2417"/>
      <c r="M21" s="2417"/>
      <c r="N21" s="2417"/>
      <c r="O21" s="2417"/>
      <c r="P21" s="2417"/>
      <c r="Q21" s="2418"/>
      <c r="R21" s="1776"/>
      <c r="S21" s="2360" t="s">
        <v>1609</v>
      </c>
      <c r="T21" s="2360"/>
      <c r="U21" s="2360"/>
      <c r="V21" s="2361"/>
      <c r="W21" s="1229"/>
      <c r="X21" s="2443" t="s">
        <v>1484</v>
      </c>
      <c r="Y21" s="2302"/>
      <c r="Z21" s="2303"/>
      <c r="AA21" s="2304"/>
      <c r="AB21" s="1741"/>
      <c r="AC21" s="2309"/>
      <c r="AD21" s="2312"/>
      <c r="AE21" s="2369"/>
      <c r="AF21" s="1740"/>
      <c r="AG21" s="1009">
        <v>2007</v>
      </c>
      <c r="AH21" s="1725">
        <v>53086.508000000002</v>
      </c>
      <c r="AI21" s="1729">
        <v>52212.732300000003</v>
      </c>
      <c r="AJ21" s="1726">
        <f t="shared" si="1"/>
        <v>0.98354053161680932</v>
      </c>
      <c r="AK21" s="1697"/>
      <c r="AL21" s="1727">
        <f t="shared" si="0"/>
        <v>5.5E-2</v>
      </c>
      <c r="AM21" s="1697"/>
      <c r="AN21" s="1720" t="str">
        <f t="shared" si="2"/>
        <v>2007 / 5,5%</v>
      </c>
      <c r="AO21" s="1742"/>
      <c r="AP21" s="1667"/>
      <c r="AQ21" s="1743"/>
      <c r="AR21" s="1744"/>
      <c r="AS21" s="1745"/>
      <c r="AT21" s="1744"/>
      <c r="AU21" s="1744"/>
      <c r="AV21" s="1746"/>
      <c r="AW21" s="1746"/>
      <c r="AX21" s="1747"/>
      <c r="AZ21" s="1699"/>
      <c r="BB21" s="1699"/>
      <c r="BC21" s="1699"/>
      <c r="BG21" s="1699" t="e">
        <f>ROUND(-PV(P27-RententrendDRV,IF(AP27=1,BB$5,BB$6),Y27*12),2)</f>
        <v>#VALUE!</v>
      </c>
    </row>
    <row r="22" spans="1:65" s="1620" customFormat="1" ht="17.25" customHeight="1">
      <c r="A22" s="2341"/>
      <c r="B22" s="2384" t="s">
        <v>1493</v>
      </c>
      <c r="C22" s="2351" t="s">
        <v>1494</v>
      </c>
      <c r="D22" s="2388" t="s">
        <v>1490</v>
      </c>
      <c r="E22" s="2383" t="s">
        <v>1663</v>
      </c>
      <c r="F22" s="2386" t="s">
        <v>1664</v>
      </c>
      <c r="G22" s="2388" t="s">
        <v>1495</v>
      </c>
      <c r="H22" s="2371" t="s">
        <v>1521</v>
      </c>
      <c r="I22" s="2351" t="s">
        <v>1506</v>
      </c>
      <c r="J22" s="2351" t="s">
        <v>1492</v>
      </c>
      <c r="K22" s="2423" t="s">
        <v>1691</v>
      </c>
      <c r="L22" s="2424" t="s">
        <v>1910</v>
      </c>
      <c r="M22" s="2336" t="s">
        <v>1543</v>
      </c>
      <c r="N22" s="2336" t="s">
        <v>1544</v>
      </c>
      <c r="O22" s="2277" t="s">
        <v>1491</v>
      </c>
      <c r="P22" s="2277"/>
      <c r="Q22" s="2338" t="s">
        <v>1848</v>
      </c>
      <c r="R22" s="2362" t="s">
        <v>1417</v>
      </c>
      <c r="S22" s="2438" t="s">
        <v>1613</v>
      </c>
      <c r="T22" s="2438"/>
      <c r="U22" s="2438"/>
      <c r="V22" s="2439"/>
      <c r="W22" s="1229"/>
      <c r="X22" s="2443"/>
      <c r="Y22" s="2345" t="s">
        <v>1666</v>
      </c>
      <c r="Z22" s="2346"/>
      <c r="AA22" s="2347"/>
      <c r="AB22" s="1748"/>
      <c r="AC22" s="2309"/>
      <c r="AD22" s="2312"/>
      <c r="AE22" s="2369"/>
      <c r="AF22" s="1740"/>
      <c r="AG22" s="1009">
        <v>2008</v>
      </c>
      <c r="AH22" s="1725">
        <v>53086.508000000002</v>
      </c>
      <c r="AI22" s="1729">
        <v>51348.516300000003</v>
      </c>
      <c r="AJ22" s="1726">
        <f t="shared" si="1"/>
        <v>0.96726114100403815</v>
      </c>
      <c r="AK22" s="1697"/>
      <c r="AL22" s="1727">
        <f t="shared" si="0"/>
        <v>5.5E-2</v>
      </c>
      <c r="AM22" s="1697"/>
      <c r="AN22" s="1720" t="str">
        <f t="shared" si="2"/>
        <v>2008 / 5,5%</v>
      </c>
      <c r="AO22" s="1668" t="s">
        <v>1676</v>
      </c>
      <c r="AP22" s="1671">
        <v>19.715199999999999</v>
      </c>
      <c r="AU22" s="1749"/>
      <c r="AV22" s="1747"/>
      <c r="AW22" s="1746"/>
      <c r="AX22" s="1750"/>
      <c r="AY22" s="1699">
        <f>-PV(1.5%,16.89,500*12)</f>
        <v>88936.869951674089</v>
      </c>
    </row>
    <row r="23" spans="1:65" s="1620" customFormat="1" ht="17.25" customHeight="1">
      <c r="A23" s="2341"/>
      <c r="B23" s="2385"/>
      <c r="C23" s="2337"/>
      <c r="D23" s="2387"/>
      <c r="E23" s="2337"/>
      <c r="F23" s="2387"/>
      <c r="G23" s="2387"/>
      <c r="H23" s="2337"/>
      <c r="I23" s="2337"/>
      <c r="J23" s="2337"/>
      <c r="K23" s="2337"/>
      <c r="L23" s="2337"/>
      <c r="M23" s="2337"/>
      <c r="N23" s="2337"/>
      <c r="O23" s="2422" t="str">
        <f>IF(Dat_EzE&lt;BilMoGAnfang,"kein BilMoG",IF(AA10&gt;0,"manueller ReZins",IF(Bilanz_BilMoG10,IF(Dat_EzE&lt;BilMoG10Anfang,"kein BilMoG-10","BilMoG-10"),IF(Dat_EzE&lt;BilMoGAnfang,"kein BilMoG-7","BilMoG-7"))))</f>
        <v>kein BilMoG</v>
      </c>
      <c r="P23" s="2258"/>
      <c r="Q23" s="2339"/>
      <c r="R23" s="2363"/>
      <c r="S23" s="2438"/>
      <c r="T23" s="2438"/>
      <c r="U23" s="2438"/>
      <c r="V23" s="2439"/>
      <c r="W23" s="1229"/>
      <c r="X23" s="2443"/>
      <c r="Y23" s="2348"/>
      <c r="Z23" s="2349"/>
      <c r="AA23" s="2350"/>
      <c r="AB23" s="1751"/>
      <c r="AC23" s="2309"/>
      <c r="AD23" s="2312"/>
      <c r="AE23" s="2369"/>
      <c r="AF23" s="1740"/>
      <c r="AG23" s="1009">
        <v>2009</v>
      </c>
      <c r="AH23" s="1725">
        <v>53086.508000000002</v>
      </c>
      <c r="AI23" s="1729">
        <v>51622.173900000002</v>
      </c>
      <c r="AJ23" s="1726">
        <f t="shared" si="1"/>
        <v>0.97241607792322671</v>
      </c>
      <c r="AK23" s="1697"/>
      <c r="AL23" s="1727">
        <f t="shared" si="0"/>
        <v>5.2499999999999998E-2</v>
      </c>
      <c r="AM23" s="1697"/>
      <c r="AN23" s="1720" t="str">
        <f t="shared" si="2"/>
        <v>2009 / 5,25%</v>
      </c>
      <c r="AY23" s="1699"/>
      <c r="BA23" s="1699"/>
    </row>
    <row r="24" spans="1:65" s="1620" customFormat="1" ht="17.25" customHeight="1">
      <c r="A24" s="2342"/>
      <c r="B24" s="2385"/>
      <c r="C24" s="2337"/>
      <c r="D24" s="2387"/>
      <c r="E24" s="2337"/>
      <c r="F24" s="2387"/>
      <c r="G24" s="2387"/>
      <c r="H24" s="2337"/>
      <c r="I24" s="2337"/>
      <c r="J24" s="2337"/>
      <c r="K24" s="2337"/>
      <c r="L24" s="2337"/>
      <c r="M24" s="2337"/>
      <c r="N24" s="2337"/>
      <c r="O24" s="2366">
        <f>+AA6</f>
        <v>5.5E-2</v>
      </c>
      <c r="P24" s="2367"/>
      <c r="Q24" s="2339"/>
      <c r="R24" s="2363"/>
      <c r="S24" s="2440" t="s">
        <v>1530</v>
      </c>
      <c r="T24" s="2441"/>
      <c r="U24" s="2441"/>
      <c r="V24" s="2442"/>
      <c r="W24" s="1229"/>
      <c r="X24" s="2443"/>
      <c r="Y24" s="2305" t="s">
        <v>1453</v>
      </c>
      <c r="Z24" s="2326" t="s">
        <v>1487</v>
      </c>
      <c r="AA24" s="2334" t="s">
        <v>1454</v>
      </c>
      <c r="AB24" s="1751"/>
      <c r="AC24" s="2309"/>
      <c r="AD24" s="2312"/>
      <c r="AE24" s="2369"/>
      <c r="AF24" s="1740"/>
      <c r="AG24" s="1009">
        <v>2010</v>
      </c>
      <c r="AH24" s="1725">
        <v>53086.508000000002</v>
      </c>
      <c r="AI24" s="1729">
        <v>50175.5867</v>
      </c>
      <c r="AJ24" s="1726">
        <f t="shared" si="1"/>
        <v>0.94516645736050298</v>
      </c>
      <c r="AK24" s="1697"/>
      <c r="AL24" s="1727">
        <f t="shared" si="0"/>
        <v>5.1500000000000004E-2</v>
      </c>
      <c r="AM24" s="1697"/>
      <c r="AN24" s="1720" t="str">
        <f t="shared" si="2"/>
        <v>2010 / 5,15%</v>
      </c>
      <c r="AO24" s="2190" t="s">
        <v>1485</v>
      </c>
      <c r="AP24" s="2190"/>
      <c r="AQ24" s="2190"/>
      <c r="AR24" s="2190"/>
      <c r="AS24" s="2190"/>
      <c r="AT24" s="2190"/>
      <c r="AU24" s="2190"/>
      <c r="AV24" s="2190"/>
      <c r="AW24" s="2190"/>
      <c r="AX24" s="2190"/>
      <c r="AY24" s="2190"/>
      <c r="AZ24" s="2190"/>
      <c r="BA24" s="2190"/>
      <c r="BB24" s="2190"/>
      <c r="BC24" s="2190"/>
      <c r="BD24" s="2191" t="s">
        <v>1202</v>
      </c>
      <c r="BE24" s="2192"/>
      <c r="BF24" s="2192"/>
      <c r="BG24" s="2193"/>
      <c r="BH24" s="1752" t="s">
        <v>1496</v>
      </c>
    </row>
    <row r="25" spans="1:65" s="1620" customFormat="1" ht="17.25" customHeight="1">
      <c r="A25" s="2342"/>
      <c r="B25" s="2385"/>
      <c r="C25" s="2337"/>
      <c r="D25" s="2387"/>
      <c r="E25" s="2337"/>
      <c r="F25" s="2387"/>
      <c r="G25" s="2387"/>
      <c r="H25" s="2337"/>
      <c r="I25" s="2337"/>
      <c r="J25" s="2337"/>
      <c r="K25" s="2337"/>
      <c r="L25" s="2337"/>
      <c r="M25" s="2337"/>
      <c r="N25" s="2337"/>
      <c r="O25" s="2365" t="s">
        <v>1421</v>
      </c>
      <c r="P25" s="2365"/>
      <c r="Q25" s="2339"/>
      <c r="R25" s="2363"/>
      <c r="S25" s="2440" t="s">
        <v>1416</v>
      </c>
      <c r="T25" s="2441"/>
      <c r="U25" s="2441"/>
      <c r="V25" s="2442"/>
      <c r="W25" s="1229"/>
      <c r="X25" s="2443"/>
      <c r="Y25" s="2306"/>
      <c r="Z25" s="2327"/>
      <c r="AA25" s="2335"/>
      <c r="AB25" s="1751"/>
      <c r="AC25" s="2309"/>
      <c r="AD25" s="2312"/>
      <c r="AE25" s="2369"/>
      <c r="AF25" s="1740"/>
      <c r="AG25" s="1009">
        <v>2011</v>
      </c>
      <c r="AH25" s="1725">
        <v>53086.508000000002</v>
      </c>
      <c r="AI25" s="1729">
        <v>53305.087699999996</v>
      </c>
      <c r="AJ25" s="1726">
        <f t="shared" si="1"/>
        <v>1.0041174247136391</v>
      </c>
      <c r="AK25" s="1697"/>
      <c r="AL25" s="1727">
        <f t="shared" si="0"/>
        <v>5.1399999999999994E-2</v>
      </c>
      <c r="AM25" s="1697"/>
      <c r="AN25" s="1720" t="str">
        <f t="shared" si="2"/>
        <v>2011 / 5,14%</v>
      </c>
      <c r="AO25" s="1668"/>
      <c r="AP25" s="1668"/>
      <c r="AQ25" s="1668" t="s">
        <v>1392</v>
      </c>
      <c r="AR25" s="1671" t="b">
        <v>1</v>
      </c>
      <c r="AS25" s="1668"/>
      <c r="AT25" s="2377" t="s">
        <v>1517</v>
      </c>
      <c r="AU25" s="2377" t="s">
        <v>1518</v>
      </c>
      <c r="AV25" s="1668"/>
      <c r="AW25" s="1668"/>
      <c r="AX25" s="1668"/>
      <c r="AY25" s="2340" t="s">
        <v>1524</v>
      </c>
      <c r="AZ25" s="2340" t="s">
        <v>1630</v>
      </c>
      <c r="BA25" s="2340" t="s">
        <v>1631</v>
      </c>
      <c r="BB25" s="2190" t="s">
        <v>1629</v>
      </c>
      <c r="BC25" s="2190"/>
      <c r="BD25" s="1668"/>
      <c r="BE25" s="1668"/>
      <c r="BF25" s="1668" t="s">
        <v>180</v>
      </c>
      <c r="BG25" s="1668" t="s">
        <v>1444</v>
      </c>
      <c r="BH25" s="1721">
        <f t="shared" ref="BH25:BH38" si="3">IF(V25+T25=0,0,ABS(IF(V25+T25&gt;0,(V25+T25)/F25-1,1)))</f>
        <v>0</v>
      </c>
      <c r="BI25" s="1753"/>
      <c r="BK25" s="1699">
        <v>68376</v>
      </c>
    </row>
    <row r="26" spans="1:65" s="1620" customFormat="1" ht="17.25" customHeight="1">
      <c r="A26" s="2342"/>
      <c r="B26" s="2385"/>
      <c r="C26" s="2337"/>
      <c r="D26" s="2387"/>
      <c r="E26" s="2337" t="s">
        <v>508</v>
      </c>
      <c r="F26" s="2387"/>
      <c r="G26" s="2387"/>
      <c r="H26" s="2337"/>
      <c r="I26" s="2337"/>
      <c r="J26" s="2337"/>
      <c r="K26" s="2337"/>
      <c r="L26" s="2337"/>
      <c r="M26" s="2337"/>
      <c r="N26" s="2337" t="s">
        <v>287</v>
      </c>
      <c r="O26" s="1616" t="s">
        <v>1420</v>
      </c>
      <c r="P26" s="1616" t="s">
        <v>1397</v>
      </c>
      <c r="Q26" s="2339"/>
      <c r="R26" s="2364"/>
      <c r="S26" s="1256" t="s">
        <v>21</v>
      </c>
      <c r="T26" s="1256" t="s">
        <v>567</v>
      </c>
      <c r="U26" s="1255" t="s">
        <v>21</v>
      </c>
      <c r="V26" s="1341" t="s">
        <v>567</v>
      </c>
      <c r="W26" s="1229"/>
      <c r="X26" s="2443"/>
      <c r="Y26" s="2306"/>
      <c r="Z26" s="2327"/>
      <c r="AA26" s="2335"/>
      <c r="AB26" s="1751"/>
      <c r="AC26" s="2310"/>
      <c r="AD26" s="2313"/>
      <c r="AE26" s="2370"/>
      <c r="AF26" s="1740"/>
      <c r="AG26" s="1009">
        <v>2012</v>
      </c>
      <c r="AH26" s="1725">
        <v>53086.508000000002</v>
      </c>
      <c r="AI26" s="1729">
        <v>51992.227400000003</v>
      </c>
      <c r="AJ26" s="1726">
        <f t="shared" si="1"/>
        <v>0.97938684156810618</v>
      </c>
      <c r="AK26" s="1697"/>
      <c r="AL26" s="1727">
        <f t="shared" si="0"/>
        <v>5.0499999999999996E-2</v>
      </c>
      <c r="AM26" s="1697"/>
      <c r="AN26" s="1720" t="str">
        <f t="shared" si="2"/>
        <v>2012 / 5,05%</v>
      </c>
      <c r="AO26" s="1668" t="s">
        <v>1422</v>
      </c>
      <c r="AP26" s="1668" t="s">
        <v>621</v>
      </c>
      <c r="AQ26" s="1732" t="s">
        <v>1388</v>
      </c>
      <c r="AR26" s="1732" t="s">
        <v>264</v>
      </c>
      <c r="AS26" s="1732" t="s">
        <v>1386</v>
      </c>
      <c r="AT26" s="2378"/>
      <c r="AU26" s="2378"/>
      <c r="AV26" s="1732" t="s">
        <v>1384</v>
      </c>
      <c r="AW26" s="1732" t="s">
        <v>287</v>
      </c>
      <c r="AX26" s="1732" t="s">
        <v>288</v>
      </c>
      <c r="AY26" s="2340"/>
      <c r="AZ26" s="2340"/>
      <c r="BA26" s="2340"/>
      <c r="BB26" s="1668" t="s">
        <v>180</v>
      </c>
      <c r="BC26" s="1668" t="s">
        <v>181</v>
      </c>
      <c r="BD26" s="1523" t="s">
        <v>287</v>
      </c>
      <c r="BE26" s="1523" t="s">
        <v>288</v>
      </c>
      <c r="BF26" s="1668"/>
      <c r="BG26" s="1706"/>
      <c r="BH26" s="1721"/>
      <c r="BI26" s="1620" t="s">
        <v>1525</v>
      </c>
    </row>
    <row r="27" spans="1:65" s="1620" customFormat="1" ht="18" customHeight="1">
      <c r="A27" s="2342"/>
      <c r="B27" s="1401"/>
      <c r="C27" s="1232"/>
      <c r="D27" s="1409"/>
      <c r="E27" s="1233"/>
      <c r="F27" s="1233"/>
      <c r="G27" s="1233"/>
      <c r="H27" s="1423"/>
      <c r="I27" s="1424"/>
      <c r="J27" s="1425"/>
      <c r="K27" s="1425"/>
      <c r="L27" s="1426"/>
      <c r="M27" s="1412"/>
      <c r="N27" s="1427"/>
      <c r="O27" s="1475"/>
      <c r="P27" s="1618" t="str">
        <f t="shared" ref="P27:P38" si="4">IF(B27="","",IF(O27&lt;&gt;"",O27,BilMoG))</f>
        <v/>
      </c>
      <c r="Q27" s="1617" t="str">
        <f>IFERROR(IF(F27=0,"",1-(IF(B27="m",T27,V27))/F27),"")</f>
        <v/>
      </c>
      <c r="R27" s="1772" t="str">
        <f>IF(+AK27&gt;0,AK27,"")</f>
        <v/>
      </c>
      <c r="S27" s="1230" t="str">
        <f>IF(OR(B27="",B27="w",L27="x"),"",IF(AND(B27="M",SUM(E27:G27)&gt;0,I27=""),"Renteneintritt?",IF(B27="m",IF(AND(OR(H27="K",H27="u"),E27=""),BK27,E27),0)))</f>
        <v/>
      </c>
      <c r="T27" s="1236">
        <f>IF(OR(B27="w",B27="",L27="x"),,IFERROR(IF(AND(T$6="",B27="m"),"GebDat Mann?",IF(H27="K",CHOOSE(AP27,G27,0),IF(I27=0,0,IF(AND(G27&gt;0,AP27=1),G27,IF(B27="m",+BA27,0))))),""))</f>
        <v>0</v>
      </c>
      <c r="U27" s="1231" t="str">
        <f>IF(OR(B27="",B27="m",L27="x"),"",IF(AND(SUM(E27:G27)&gt;0,I27="",B27="w"),"Renteneintritt?",IF(B27="W",IF(AND(OR(H27="K",H27="u"),E27=""),BK27,E27),0)))</f>
        <v/>
      </c>
      <c r="V27" s="1490">
        <f>IF(OR(B27="",B27="m",L27="x"),0,IFERROR(IF(AND($V$6="",B27="w"),"GebDat Frau?",IF(H27="K",CHOOSE(AP27,0,G27),IF(I27=0,0,IF(AND(G27&gt;0,AP27=2),G27,IF(B27="w",BA27,0))))),0))</f>
        <v>0</v>
      </c>
      <c r="W27" s="1321"/>
      <c r="X27" s="1229"/>
      <c r="Y27" s="1645" t="str">
        <f t="shared" ref="Y27:Y38" si="5">IF(B27="","",IFERROR(ROUND(VLOOKUP(V$3,Umrechnungsfaktoren_BeitraginEP,2)*IF(B27="m",T27,V27)*$AL$4,2),0))</f>
        <v/>
      </c>
      <c r="Z27" s="1646" t="str">
        <f t="shared" ref="Z27:Z38" si="6">IF(B27="","",IFERROR(Y27*(1+RententrendDRV)^IF(B27="M",Dat_AZeit_M,Dat_AZeit_F),0))</f>
        <v/>
      </c>
      <c r="AA27" s="1642" t="str">
        <f>IF(B27="","",IF(SUM(S27:V27)=0,0,TEXT(BG27,"#.##0 €")&amp;IF(H27="u","**)","")))</f>
        <v/>
      </c>
      <c r="AB27" s="1613"/>
      <c r="AC27" s="1754" t="str">
        <f>IF(B27="","",+IFERROR(IF(B27="m",T27,V27)/AA27,0))</f>
        <v/>
      </c>
      <c r="AD27" s="1755" t="str">
        <f>IF(B27="","",IFERROR(IF(B27="M",T27,V27)*AC27,0))</f>
        <v/>
      </c>
      <c r="AE27" s="1756" t="str">
        <f t="shared" ref="AE27:AE38" si="7">IF(B27="","",IFERROR(ROUND(IF(B27="m",T27,V27)*VLOOKUP(Dat_EzE,Umrechnungsfaktoren_BeitraginEP,2),4),0))</f>
        <v/>
      </c>
      <c r="AF27" s="1757"/>
      <c r="AG27" s="1009">
        <v>2013</v>
      </c>
      <c r="AH27" s="1725">
        <v>53086.508000000002</v>
      </c>
      <c r="AI27" s="1729">
        <v>51818.584900000002</v>
      </c>
      <c r="AJ27" s="1726">
        <f t="shared" si="1"/>
        <v>0.97611590688918548</v>
      </c>
      <c r="AK27" s="1697">
        <f>IF(SUM(S27:V27)&gt;0,MAX(AK$9:AK26)+1,0)</f>
        <v>0</v>
      </c>
      <c r="AL27" s="1727">
        <f t="shared" si="0"/>
        <v>4.8899999999999999E-2</v>
      </c>
      <c r="AM27" s="1697" t="str">
        <f>IF(AR27+AS27=0,"","AZeit: "&amp;TEXT(AS27,"0,0")&amp;" /  Lzeit: "&amp;TEXT(AR27,"0,0"))</f>
        <v/>
      </c>
      <c r="AN27" s="1720" t="str">
        <f t="shared" si="2"/>
        <v>2013 / 4,89%</v>
      </c>
      <c r="AO27" s="1677">
        <f t="shared" ref="AO27:AO38" si="8">IFERROR(CHOOSE(AP27,AV$5,AV$6),0)</f>
        <v>0</v>
      </c>
      <c r="AP27" s="1523">
        <f t="shared" ref="AP27:AP38" si="9">IF(B27="M",1,IF(B27="w",2,0))</f>
        <v>0</v>
      </c>
      <c r="AQ27" s="1523">
        <f t="shared" ref="AQ27:AQ38" si="10">IF(H27="u",3,IF(B27="m",1,IF(B27="w",2,)))</f>
        <v>0</v>
      </c>
      <c r="AR27" s="1677">
        <f>IFERROR(VLOOKUP(IF(I27&lt;CHOOSE(AP27,$AV$5,$AV$6),CHOOSE(AP27,$AV$5,$AV$6),I27),CHOOSE(AQ27,Lebenserwartung_M_V2,Lebenserwartung_F_V2,Lebenserwartung_N_V2),CHOOSE(AP27,YEAR(T$6)+IF(MONTH($T$6)&gt;6,1,0),YEAR(V$6)+IF(MONTH($V$6)&gt;6,1,0))-1900+2),0)</f>
        <v>0</v>
      </c>
      <c r="AS27" s="1677">
        <f t="shared" ref="AS27:AS38" si="11">IF(B27="",0,IF(I27-IF(AP27=1,AV$5,AV$6)&lt;0,0,I27-IF(AP27=1,AV$5,AV$6)))</f>
        <v>0</v>
      </c>
      <c r="AT27" s="1681">
        <f t="shared" ref="AT27:AT38" si="12">IFERROR(VLOOKUP(ROUND(I27,0),CHOOSE(AQ27,G_Kohorte_M,G_Kohorte_F,G_Kohorte_N),CHOOSE(AP27,YEAR(T$6)+IF(MONTH($T$6)&gt;6,1,0),YEAR(V$6)+IF(MONTH($V$6)&gt;6,1,0))-1900+2),0)</f>
        <v>0</v>
      </c>
      <c r="AU27" s="1681">
        <f t="shared" ref="AU27:AU38" si="13">IFERROR(VLOOKUP(ROUND(CHOOSE(AP27,AV$5,AV$6),0),CHOOSE(AQ27,G_Kohorte_M,G_Kohorte_F,G_Kohorte_N),CHOOSE(AP27,YEAR(T$6)+IF(MONTH($T$6)&gt;6,1,0),YEAR(V$6)+IF(MONTH($V$6)&gt;6,1,0))-1900+2),0)</f>
        <v>0</v>
      </c>
      <c r="AV27" s="1680">
        <f>+IFERROR(ROUND(IF(AT27/AU27&gt;1,1,AT27/AU27),4),0)</f>
        <v>0</v>
      </c>
      <c r="AW27" s="1758">
        <f t="shared" ref="AW27:AW38" si="14">IFERROR(ROUND(VLOOKUP(CHOOSE(AP27,AV$5,AV$6),CHOOSE(IF(I27&lt;60,60,IF(I27&gt;67,67,I27))-59,HRIR60,HRIR61,HRIR62,HRIR63,HRIR64,HRIR,HRIR66,HRIR67),CHOOSE(AQ27,8,17,26))*N27,4),0)</f>
        <v>0</v>
      </c>
      <c r="AX27" s="1758">
        <f t="shared" ref="AX27:AX38" si="15">ROUND(IF(I27&lt;=IF(AP27=2,$AV$6,$AV$5),0,IFERROR(VLOOKUP(CHOOSE(AP27,AV$5,AV$6),CHOOSE(IF(I27&lt;60,60,IF(I27&gt;67,67,I27))-59,HRIR60,HRIR61,HRIR62,HRIR63,HRIR64,HRIR,HRIR66,HRIR67),CHOOSE(AQ27,7,16,25))*M27,0)),4)</f>
        <v>0</v>
      </c>
      <c r="AY27" s="1738" t="e">
        <f>-PV(P27-K27,AR27,E27*(1+J27)^AS27*12)</f>
        <v>#VALUE!</v>
      </c>
      <c r="AZ27" s="1706" t="str">
        <f t="shared" ref="AZ27:AZ38" si="16">IFERROR(-PV(P27,AS27,,AY27),"")</f>
        <v/>
      </c>
      <c r="BA27" s="1706" t="str">
        <f t="shared" ref="BA27:BA38" si="17">IFERROR(IF(G27&gt;0,G27,+AZ27*(1+AX27+AW27)*AV27),"")</f>
        <v/>
      </c>
      <c r="BB27" s="1706">
        <f t="shared" ref="BB27:BB38" si="18">IFERROR(CHOOSE(AP27,S27,0)*(1+J27)^AS27,0)</f>
        <v>0</v>
      </c>
      <c r="BC27" s="1706" t="str">
        <f t="shared" ref="BC27:BC38" si="19">IFERROR(CHOOSE(AP27,0,U27)*(1+J27)^AS27,"")</f>
        <v/>
      </c>
      <c r="BD27" s="1679">
        <f t="shared" ref="BD27:BD38" si="20">IFERROR(ROUND(VLOOKUP(CHOOSE(AP27,AV$5,AV$6),CHOOSE(IF(I27&lt;60,60,IF(I27&gt;67,67,I27))-59,HRIR60,HRIR61,HRIR62,HRIR63,HRIR64,HRIR,HRIR66,HRIR67),CHOOSE(AQ27,8,17,26))*0.55,4),0)</f>
        <v>0</v>
      </c>
      <c r="BE27" s="1679">
        <f t="shared" ref="BE27:BE38" si="21">ROUND(IF(I27&lt;=IF(AP27=2,$AV$6,$AV$5),0,IFERROR(VLOOKUP(CHOOSE(AP27,AV$5,AV$6),CHOOSE(IF(I27&lt;60,60,IF(I27&gt;67,67,I27))-59,HRIR60,HRIR61,HRIR62,HRIR63,HRIR64,HRIR,HRIR66,HRIR67),CHOOSE(AQ27,7,16,25))*1,0)),4)</f>
        <v>0</v>
      </c>
      <c r="BF27" s="1668"/>
      <c r="BG27" s="1706">
        <f>IFERROR(-PV(P27-RententrendDRV,CHOOSE(AP27,Dat_AZeit_M,Dat_AZeit_F),,ROUND(-PV(P27-RententrendDRV,IF(AP27=1,BB$5,BB$6),Y27*12)*(1+CHOOSE(AP27,AX$5+AY$5,AX$6+AY$6)),2)*CHOOSE(AP27,BE$5,BE$6)),0)</f>
        <v>0</v>
      </c>
      <c r="BH27" s="1721">
        <f t="shared" si="3"/>
        <v>0</v>
      </c>
      <c r="BI27" s="1699" t="e">
        <f>BA27/(1+AW27+AX27)</f>
        <v>#VALUE!</v>
      </c>
      <c r="BJ27" s="1699" t="e">
        <f t="shared" ref="BJ27:BJ38" si="22">-FV(P27-J27,AS27,,-PMT(P27-K27,AR27,BI27)*(1)^-AS27/AV27)</f>
        <v>#VALUE!</v>
      </c>
      <c r="BK27" s="1699" t="e">
        <f>+BJ27/12</f>
        <v>#VALUE!</v>
      </c>
    </row>
    <row r="28" spans="1:65" s="1620" customFormat="1" ht="18" customHeight="1">
      <c r="A28" s="2342"/>
      <c r="B28" s="1401"/>
      <c r="C28" s="1232"/>
      <c r="D28" s="1409"/>
      <c r="E28" s="1233"/>
      <c r="F28" s="1233"/>
      <c r="G28" s="1233"/>
      <c r="H28" s="1423"/>
      <c r="I28" s="1424"/>
      <c r="J28" s="1425"/>
      <c r="K28" s="1425"/>
      <c r="L28" s="1426"/>
      <c r="M28" s="1412"/>
      <c r="N28" s="1427"/>
      <c r="O28" s="1475"/>
      <c r="P28" s="1618" t="str">
        <f t="shared" si="4"/>
        <v/>
      </c>
      <c r="Q28" s="1617" t="str">
        <f t="shared" ref="Q28:Q38" si="23">IFERROR(IF(F28=0,"",1-(IF(B28="m",T28,V28))/F28),"")</f>
        <v/>
      </c>
      <c r="R28" s="1772" t="str">
        <f>IF(+AK28&gt;0,AK28,"")</f>
        <v/>
      </c>
      <c r="S28" s="1230" t="str">
        <f t="shared" ref="S28:S38" si="24">IF(OR(B28="",B28="w",L28="x"),"",IF(AND(B28="M",SUM(E28:G28)&gt;0,I28=""),"Renteneintritt?",IF(B28="m",IF(AND(OR(H28="K",H28="u"),E28=""),BK28,E28),0)))</f>
        <v/>
      </c>
      <c r="T28" s="1236">
        <f t="shared" ref="T28:T38" si="25">IF(OR(B28="w",B28="",L28="x"),,IFERROR(IF(AND(T$6="",B28="m"),"GebDat Mann?",IF(H28="K",CHOOSE(AP28,G28,0),IF(I28=0,0,IF(AND(G28&gt;0,AP28=1),G28,IF(B28="m",+BA28,0))))),""))</f>
        <v>0</v>
      </c>
      <c r="U28" s="1231" t="str">
        <f t="shared" ref="U28:U38" si="26">IF(OR(B28="",B28="m",L28="x"),"",IF(AND(SUM(E28:G28)&gt;0,I28="",B28="w"),"Renteneintritt?",IF(B28="W",IF(AND(OR(H28="K",H28="u"),E28=""),BK28,E28),0)))</f>
        <v/>
      </c>
      <c r="V28" s="1490">
        <f t="shared" ref="V28:V38" si="27">IF(OR(B28="",B28="m",L28="x"),0,IFERROR(IF(AND($V$6="",B28="w"),"GebDat Frau?",IF(H28="K",CHOOSE(AP28,0,G28),IF(I28=0,0,IF(AND(G28&gt;0,AP28=2),G28,IF(B28="w",BA28,0))))),0))</f>
        <v>0</v>
      </c>
      <c r="W28" s="1395"/>
      <c r="X28" s="1229"/>
      <c r="Y28" s="1645" t="str">
        <f t="shared" si="5"/>
        <v/>
      </c>
      <c r="Z28" s="1646" t="str">
        <f t="shared" si="6"/>
        <v/>
      </c>
      <c r="AA28" s="1642" t="str">
        <f>IF(B28="","",IF(SUM(S28:V28)=0,0,BG28))</f>
        <v/>
      </c>
      <c r="AB28" s="1708"/>
      <c r="AC28" s="1754" t="str">
        <f t="shared" ref="AC28:AC38" si="28">IF(B28="","",+IFERROR(IF(B28="m",T28,V28)/AA28,0))</f>
        <v/>
      </c>
      <c r="AD28" s="1755" t="str">
        <f t="shared" ref="AD28:AD38" si="29">IF(B28="","",IFERROR(IF(B28="M",T28,V28)*AC28,0))</f>
        <v/>
      </c>
      <c r="AE28" s="1756" t="str">
        <f t="shared" si="7"/>
        <v/>
      </c>
      <c r="AF28" s="1757"/>
      <c r="AG28" s="1009">
        <v>2014</v>
      </c>
      <c r="AH28" s="1725">
        <v>53086.508000000002</v>
      </c>
      <c r="AI28" s="1729">
        <v>51656.880899999996</v>
      </c>
      <c r="AJ28" s="1726">
        <f t="shared" si="1"/>
        <v>0.97306985985968397</v>
      </c>
      <c r="AK28" s="1697">
        <f>IF(SUM(S28:V28)&gt;0,MAX(AK$9:AK27)+1,0)</f>
        <v>0</v>
      </c>
      <c r="AL28" s="1727">
        <f t="shared" si="0"/>
        <v>4.58E-2</v>
      </c>
      <c r="AM28" s="1697" t="str">
        <f t="shared" ref="AM28:AM38" si="30">IF(AR28+AS28=0,"","AZeit: "&amp;TEXT(AS28,"0,0")&amp;" /  Lzeit: "&amp;TEXT(AR28,"0,0"))</f>
        <v/>
      </c>
      <c r="AN28" s="1720" t="str">
        <f t="shared" si="2"/>
        <v>2014 / 4,58%</v>
      </c>
      <c r="AO28" s="1677">
        <f t="shared" si="8"/>
        <v>0</v>
      </c>
      <c r="AP28" s="1523">
        <f t="shared" si="9"/>
        <v>0</v>
      </c>
      <c r="AQ28" s="1523">
        <f t="shared" si="10"/>
        <v>0</v>
      </c>
      <c r="AR28" s="1677">
        <f t="shared" ref="AR28:AR38" si="31">IFERROR(VLOOKUP(IF(I28&lt;CHOOSE(AP28,$AV$5,$AV$6),CHOOSE(AP28,$AV$5,$AV$6),I28),CHOOSE(AQ28,Lebenserwartung_M_V2,Lebenserwartung_F_V2,Lebenserwartung_N_V2),CHOOSE(AP28,YEAR(T$6)+IF(MONTH($T$6)&gt;6,1,0),YEAR(V$6)+IF(MONTH($V$6)&gt;6,1,0))-1900+2),0)</f>
        <v>0</v>
      </c>
      <c r="AS28" s="1677">
        <f t="shared" si="11"/>
        <v>0</v>
      </c>
      <c r="AT28" s="1681">
        <f t="shared" si="12"/>
        <v>0</v>
      </c>
      <c r="AU28" s="1681">
        <f t="shared" si="13"/>
        <v>0</v>
      </c>
      <c r="AV28" s="1680">
        <f t="shared" ref="AV28:AV38" si="32">+IFERROR(ROUND(IF(AT28/AU28&gt;1,1,AT28/AU28),4),0)</f>
        <v>0</v>
      </c>
      <c r="AW28" s="1758">
        <f t="shared" si="14"/>
        <v>0</v>
      </c>
      <c r="AX28" s="1758">
        <f t="shared" si="15"/>
        <v>0</v>
      </c>
      <c r="AY28" s="1738" t="e">
        <f t="shared" ref="AY28:AY38" si="33">-PV(P28-K28,AR28,E28*(1+J28)^AS28*12)</f>
        <v>#VALUE!</v>
      </c>
      <c r="AZ28" s="1706" t="str">
        <f t="shared" si="16"/>
        <v/>
      </c>
      <c r="BA28" s="1706" t="str">
        <f t="shared" si="17"/>
        <v/>
      </c>
      <c r="BB28" s="1706">
        <f t="shared" si="18"/>
        <v>0</v>
      </c>
      <c r="BC28" s="1706" t="str">
        <f t="shared" si="19"/>
        <v/>
      </c>
      <c r="BD28" s="1679">
        <f t="shared" si="20"/>
        <v>0</v>
      </c>
      <c r="BE28" s="1679">
        <f t="shared" si="21"/>
        <v>0</v>
      </c>
      <c r="BF28" s="1668"/>
      <c r="BG28" s="1706">
        <f t="shared" ref="BG28:BG38" si="34">IFERROR(-PV(P28-RententrendDRV,CHOOSE(AP28,Dat_AZeit_M,Dat_AZeit_F),,-PV(P28-RententrendDRV,IF(AP28=1,BB$5,BB$6),Y28*12)*(1+CHOOSE(AP28,AX$5+AY$5,AX$6+AY$6))*CHOOSE(AP28,BE$5,BE$6)),0)</f>
        <v>0</v>
      </c>
      <c r="BH28" s="1721">
        <f t="shared" si="3"/>
        <v>0</v>
      </c>
      <c r="BI28" s="1699" t="e">
        <f>BA28/(1+AW28+AX28)</f>
        <v>#VALUE!</v>
      </c>
      <c r="BJ28" s="1699" t="e">
        <f t="shared" si="22"/>
        <v>#VALUE!</v>
      </c>
      <c r="BK28" s="1699" t="e">
        <f t="shared" ref="BK28:BK38" si="35">+BJ28/12</f>
        <v>#VALUE!</v>
      </c>
    </row>
    <row r="29" spans="1:65" s="1620" customFormat="1" ht="18" customHeight="1">
      <c r="A29" s="2342"/>
      <c r="B29" s="1401"/>
      <c r="C29" s="1232"/>
      <c r="D29" s="1409"/>
      <c r="E29" s="1233"/>
      <c r="F29" s="1233"/>
      <c r="G29" s="1233"/>
      <c r="H29" s="1423"/>
      <c r="I29" s="1424"/>
      <c r="J29" s="1425"/>
      <c r="K29" s="1425"/>
      <c r="L29" s="1426"/>
      <c r="M29" s="1412"/>
      <c r="N29" s="1427"/>
      <c r="O29" s="1475"/>
      <c r="P29" s="1618" t="str">
        <f t="shared" si="4"/>
        <v/>
      </c>
      <c r="Q29" s="1617" t="str">
        <f t="shared" si="23"/>
        <v/>
      </c>
      <c r="R29" s="1772" t="str">
        <f t="shared" ref="R29:R38" si="36">IF(+AK29&gt;0,AK29,"")</f>
        <v/>
      </c>
      <c r="S29" s="1230" t="str">
        <f t="shared" si="24"/>
        <v/>
      </c>
      <c r="T29" s="1236">
        <f t="shared" si="25"/>
        <v>0</v>
      </c>
      <c r="U29" s="1231" t="str">
        <f t="shared" si="26"/>
        <v/>
      </c>
      <c r="V29" s="1490">
        <f t="shared" si="27"/>
        <v>0</v>
      </c>
      <c r="W29" s="1229"/>
      <c r="X29" s="1229"/>
      <c r="Y29" s="1645" t="str">
        <f t="shared" si="5"/>
        <v/>
      </c>
      <c r="Z29" s="1646" t="str">
        <f t="shared" si="6"/>
        <v/>
      </c>
      <c r="AA29" s="1642" t="str">
        <f t="shared" ref="AA29:AA38" si="37">IF(B29="","",IF(SUM(S29:V29)=0,0,TEXT(BG29,"#.##0 €")&amp;IF(H29="u","**)","")))</f>
        <v/>
      </c>
      <c r="AB29" s="1708"/>
      <c r="AC29" s="1754" t="str">
        <f t="shared" si="28"/>
        <v/>
      </c>
      <c r="AD29" s="1755" t="str">
        <f t="shared" si="29"/>
        <v/>
      </c>
      <c r="AE29" s="1756" t="str">
        <f t="shared" si="7"/>
        <v/>
      </c>
      <c r="AF29" s="1757"/>
      <c r="AG29" s="1009">
        <v>2015</v>
      </c>
      <c r="AH29" s="1725">
        <v>53086.508000000002</v>
      </c>
      <c r="AI29" s="1729">
        <v>52997.950100000002</v>
      </c>
      <c r="AJ29" s="1726">
        <f t="shared" si="1"/>
        <v>0.99833181907538537</v>
      </c>
      <c r="AK29" s="1697">
        <f>IF(SUM(S29:V29)&gt;0,MAX(AK$9:AK28)+1,0)</f>
        <v>0</v>
      </c>
      <c r="AL29" s="1727">
        <f t="shared" si="0"/>
        <v>3.9399999999999998E-2</v>
      </c>
      <c r="AM29" s="1697" t="str">
        <f t="shared" si="30"/>
        <v/>
      </c>
      <c r="AN29" s="1720" t="str">
        <f t="shared" si="2"/>
        <v>2015 / 3,94%</v>
      </c>
      <c r="AO29" s="1677">
        <f t="shared" si="8"/>
        <v>0</v>
      </c>
      <c r="AP29" s="1523">
        <f t="shared" si="9"/>
        <v>0</v>
      </c>
      <c r="AQ29" s="1523">
        <f t="shared" si="10"/>
        <v>0</v>
      </c>
      <c r="AR29" s="1680">
        <f t="shared" si="31"/>
        <v>0</v>
      </c>
      <c r="AS29" s="1680">
        <f t="shared" si="11"/>
        <v>0</v>
      </c>
      <c r="AT29" s="1681">
        <f t="shared" si="12"/>
        <v>0</v>
      </c>
      <c r="AU29" s="1681">
        <f t="shared" si="13"/>
        <v>0</v>
      </c>
      <c r="AV29" s="1680">
        <f t="shared" si="32"/>
        <v>0</v>
      </c>
      <c r="AW29" s="1758">
        <f t="shared" si="14"/>
        <v>0</v>
      </c>
      <c r="AX29" s="1758">
        <f t="shared" si="15"/>
        <v>0</v>
      </c>
      <c r="AY29" s="1738" t="e">
        <f t="shared" si="33"/>
        <v>#VALUE!</v>
      </c>
      <c r="AZ29" s="1706" t="str">
        <f t="shared" si="16"/>
        <v/>
      </c>
      <c r="BA29" s="1706" t="str">
        <f t="shared" si="17"/>
        <v/>
      </c>
      <c r="BB29" s="1706">
        <f t="shared" si="18"/>
        <v>0</v>
      </c>
      <c r="BC29" s="1706" t="str">
        <f t="shared" si="19"/>
        <v/>
      </c>
      <c r="BD29" s="1679">
        <f t="shared" si="20"/>
        <v>0</v>
      </c>
      <c r="BE29" s="1679">
        <f t="shared" si="21"/>
        <v>0</v>
      </c>
      <c r="BF29" s="1668"/>
      <c r="BG29" s="1706">
        <f t="shared" si="34"/>
        <v>0</v>
      </c>
      <c r="BH29" s="1721">
        <f t="shared" si="3"/>
        <v>0</v>
      </c>
      <c r="BI29" s="1699" t="e">
        <f>BA29/(1+AW29+AX29)</f>
        <v>#VALUE!</v>
      </c>
      <c r="BJ29" s="1699" t="e">
        <f>-FV(P29-J29,AS29,,(-PMT(P29-K29,AR29,BI29))/AV29)</f>
        <v>#VALUE!</v>
      </c>
      <c r="BK29" s="1699" t="e">
        <f t="shared" si="35"/>
        <v>#VALUE!</v>
      </c>
      <c r="BL29" s="1699" t="e">
        <f>-PMT(P29-J29,AR29,BA29,,0)</f>
        <v>#VALUE!</v>
      </c>
      <c r="BM29" s="1620" t="e">
        <f>+BL29/12</f>
        <v>#VALUE!</v>
      </c>
    </row>
    <row r="30" spans="1:65" s="1620" customFormat="1" ht="18" customHeight="1">
      <c r="A30" s="2342"/>
      <c r="B30" s="1401"/>
      <c r="C30" s="1232"/>
      <c r="D30" s="1409"/>
      <c r="E30" s="1233"/>
      <c r="F30" s="1233"/>
      <c r="G30" s="1233"/>
      <c r="H30" s="1423"/>
      <c r="I30" s="1424"/>
      <c r="J30" s="1425"/>
      <c r="K30" s="1425"/>
      <c r="L30" s="1426"/>
      <c r="M30" s="1412"/>
      <c r="N30" s="1427"/>
      <c r="O30" s="1475"/>
      <c r="P30" s="1618" t="str">
        <f t="shared" si="4"/>
        <v/>
      </c>
      <c r="Q30" s="1617" t="str">
        <f t="shared" si="23"/>
        <v/>
      </c>
      <c r="R30" s="1772" t="str">
        <f t="shared" si="36"/>
        <v/>
      </c>
      <c r="S30" s="1230" t="str">
        <f t="shared" si="24"/>
        <v/>
      </c>
      <c r="T30" s="1236">
        <f t="shared" si="25"/>
        <v>0</v>
      </c>
      <c r="U30" s="1231" t="str">
        <f t="shared" si="26"/>
        <v/>
      </c>
      <c r="V30" s="1490">
        <f t="shared" si="27"/>
        <v>0</v>
      </c>
      <c r="W30" s="1229"/>
      <c r="X30" s="1229"/>
      <c r="Y30" s="1645" t="str">
        <f t="shared" si="5"/>
        <v/>
      </c>
      <c r="Z30" s="1646" t="str">
        <f t="shared" si="6"/>
        <v/>
      </c>
      <c r="AA30" s="1642" t="str">
        <f t="shared" si="37"/>
        <v/>
      </c>
      <c r="AB30" s="1708"/>
      <c r="AC30" s="1754" t="str">
        <f t="shared" si="28"/>
        <v/>
      </c>
      <c r="AD30" s="1755" t="str">
        <f t="shared" si="29"/>
        <v/>
      </c>
      <c r="AE30" s="1756" t="str">
        <f t="shared" si="7"/>
        <v/>
      </c>
      <c r="AF30" s="1757"/>
      <c r="AG30" s="1009">
        <v>2016</v>
      </c>
      <c r="AH30" s="1725">
        <v>53086.508000000002</v>
      </c>
      <c r="AI30" s="1729">
        <v>53750.841699999997</v>
      </c>
      <c r="AJ30" s="1726">
        <f t="shared" si="1"/>
        <v>1.0125141721508597</v>
      </c>
      <c r="AK30" s="1697">
        <f>IF(SUM(S30:V30)&gt;0,MAX(AK$9:AK29)+1,0)</f>
        <v>0</v>
      </c>
      <c r="AL30" s="1727">
        <f t="shared" si="0"/>
        <v>3.2799999999999996E-2</v>
      </c>
      <c r="AM30" s="1697" t="str">
        <f t="shared" si="30"/>
        <v/>
      </c>
      <c r="AN30" s="1720" t="str">
        <f t="shared" si="2"/>
        <v>2016 / 3,28%</v>
      </c>
      <c r="AO30" s="1677">
        <f t="shared" si="8"/>
        <v>0</v>
      </c>
      <c r="AP30" s="1523">
        <f t="shared" si="9"/>
        <v>0</v>
      </c>
      <c r="AQ30" s="1523">
        <f t="shared" si="10"/>
        <v>0</v>
      </c>
      <c r="AR30" s="1677">
        <f t="shared" si="31"/>
        <v>0</v>
      </c>
      <c r="AS30" s="1677">
        <f t="shared" si="11"/>
        <v>0</v>
      </c>
      <c r="AT30" s="1681">
        <f t="shared" si="12"/>
        <v>0</v>
      </c>
      <c r="AU30" s="1681">
        <f t="shared" si="13"/>
        <v>0</v>
      </c>
      <c r="AV30" s="1680">
        <f t="shared" si="32"/>
        <v>0</v>
      </c>
      <c r="AW30" s="1758">
        <f t="shared" si="14"/>
        <v>0</v>
      </c>
      <c r="AX30" s="1758">
        <f t="shared" si="15"/>
        <v>0</v>
      </c>
      <c r="AY30" s="1738" t="e">
        <f t="shared" si="33"/>
        <v>#VALUE!</v>
      </c>
      <c r="AZ30" s="1706" t="str">
        <f t="shared" si="16"/>
        <v/>
      </c>
      <c r="BA30" s="1706" t="str">
        <f t="shared" si="17"/>
        <v/>
      </c>
      <c r="BB30" s="1706">
        <f t="shared" si="18"/>
        <v>0</v>
      </c>
      <c r="BC30" s="1706" t="str">
        <f t="shared" si="19"/>
        <v/>
      </c>
      <c r="BD30" s="1679">
        <f t="shared" si="20"/>
        <v>0</v>
      </c>
      <c r="BE30" s="1679">
        <f t="shared" si="21"/>
        <v>0</v>
      </c>
      <c r="BF30" s="1668"/>
      <c r="BG30" s="1706">
        <f t="shared" si="34"/>
        <v>0</v>
      </c>
      <c r="BH30" s="1721">
        <f t="shared" si="3"/>
        <v>0</v>
      </c>
      <c r="BI30" s="1699" t="e">
        <f t="shared" ref="BI30:BI38" si="38">BA30/(1+AW30+AX30)</f>
        <v>#VALUE!</v>
      </c>
      <c r="BJ30" s="1699" t="e">
        <f t="shared" si="22"/>
        <v>#VALUE!</v>
      </c>
      <c r="BK30" s="1699" t="e">
        <f t="shared" si="35"/>
        <v>#VALUE!</v>
      </c>
    </row>
    <row r="31" spans="1:65" s="1620" customFormat="1" ht="18" customHeight="1">
      <c r="A31" s="2342"/>
      <c r="B31" s="1401"/>
      <c r="C31" s="1494"/>
      <c r="D31" s="1409"/>
      <c r="E31" s="1233"/>
      <c r="F31" s="1233"/>
      <c r="G31" s="1233"/>
      <c r="H31" s="1423"/>
      <c r="I31" s="1424"/>
      <c r="J31" s="1425"/>
      <c r="K31" s="1425"/>
      <c r="L31" s="1426"/>
      <c r="M31" s="1412"/>
      <c r="N31" s="1427"/>
      <c r="O31" s="1475"/>
      <c r="P31" s="1618" t="str">
        <f t="shared" si="4"/>
        <v/>
      </c>
      <c r="Q31" s="1617" t="str">
        <f t="shared" si="23"/>
        <v/>
      </c>
      <c r="R31" s="1772" t="str">
        <f t="shared" si="36"/>
        <v/>
      </c>
      <c r="S31" s="1230" t="str">
        <f t="shared" si="24"/>
        <v/>
      </c>
      <c r="T31" s="1236">
        <f t="shared" si="25"/>
        <v>0</v>
      </c>
      <c r="U31" s="1231" t="str">
        <f t="shared" si="26"/>
        <v/>
      </c>
      <c r="V31" s="1490">
        <f t="shared" si="27"/>
        <v>0</v>
      </c>
      <c r="W31" s="1229"/>
      <c r="X31" s="1229"/>
      <c r="Y31" s="1645" t="str">
        <f t="shared" si="5"/>
        <v/>
      </c>
      <c r="Z31" s="1646" t="str">
        <f t="shared" si="6"/>
        <v/>
      </c>
      <c r="AA31" s="1642" t="str">
        <f t="shared" si="37"/>
        <v/>
      </c>
      <c r="AB31" s="1708"/>
      <c r="AC31" s="1754" t="str">
        <f t="shared" si="28"/>
        <v/>
      </c>
      <c r="AD31" s="1755" t="str">
        <f t="shared" si="29"/>
        <v/>
      </c>
      <c r="AE31" s="1756" t="str">
        <f t="shared" si="7"/>
        <v/>
      </c>
      <c r="AF31" s="1757"/>
      <c r="AG31" s="1009">
        <v>2017</v>
      </c>
      <c r="AH31" s="1725">
        <v>53086.508000000002</v>
      </c>
      <c r="AI31" s="1729">
        <v>53969.843399999998</v>
      </c>
      <c r="AJ31" s="1726">
        <f t="shared" si="1"/>
        <v>1.0166395461536102</v>
      </c>
      <c r="AK31" s="1697">
        <f>IF(SUM(S31:V31)&gt;0,MAX(AK$9:AK30)+1,0)</f>
        <v>0</v>
      </c>
      <c r="AL31" s="1727">
        <f t="shared" si="0"/>
        <v>2.8399999999999998E-2</v>
      </c>
      <c r="AM31" s="1697" t="str">
        <f t="shared" si="30"/>
        <v/>
      </c>
      <c r="AN31" s="1720" t="str">
        <f t="shared" si="2"/>
        <v>2017 / 2,84%</v>
      </c>
      <c r="AO31" s="1677">
        <f t="shared" si="8"/>
        <v>0</v>
      </c>
      <c r="AP31" s="1523">
        <f t="shared" si="9"/>
        <v>0</v>
      </c>
      <c r="AQ31" s="1523">
        <f t="shared" si="10"/>
        <v>0</v>
      </c>
      <c r="AR31" s="1677">
        <f t="shared" si="31"/>
        <v>0</v>
      </c>
      <c r="AS31" s="1677">
        <f t="shared" si="11"/>
        <v>0</v>
      </c>
      <c r="AT31" s="1681">
        <f t="shared" si="12"/>
        <v>0</v>
      </c>
      <c r="AU31" s="1681">
        <f t="shared" si="13"/>
        <v>0</v>
      </c>
      <c r="AV31" s="1680">
        <f t="shared" si="32"/>
        <v>0</v>
      </c>
      <c r="AW31" s="1758">
        <f t="shared" si="14"/>
        <v>0</v>
      </c>
      <c r="AX31" s="1758">
        <f t="shared" si="15"/>
        <v>0</v>
      </c>
      <c r="AY31" s="1738" t="e">
        <f t="shared" si="33"/>
        <v>#VALUE!</v>
      </c>
      <c r="AZ31" s="1706" t="str">
        <f t="shared" si="16"/>
        <v/>
      </c>
      <c r="BA31" s="1706" t="str">
        <f t="shared" si="17"/>
        <v/>
      </c>
      <c r="BB31" s="1706">
        <f t="shared" si="18"/>
        <v>0</v>
      </c>
      <c r="BC31" s="1706" t="str">
        <f t="shared" si="19"/>
        <v/>
      </c>
      <c r="BD31" s="1679">
        <f t="shared" si="20"/>
        <v>0</v>
      </c>
      <c r="BE31" s="1679">
        <f t="shared" si="21"/>
        <v>0</v>
      </c>
      <c r="BF31" s="1668"/>
      <c r="BG31" s="1706">
        <f t="shared" si="34"/>
        <v>0</v>
      </c>
      <c r="BH31" s="1721">
        <f t="shared" si="3"/>
        <v>0</v>
      </c>
      <c r="BI31" s="1699" t="e">
        <f t="shared" si="38"/>
        <v>#VALUE!</v>
      </c>
      <c r="BJ31" s="1699" t="e">
        <f t="shared" si="22"/>
        <v>#VALUE!</v>
      </c>
      <c r="BK31" s="1699" t="e">
        <f t="shared" si="35"/>
        <v>#VALUE!</v>
      </c>
    </row>
    <row r="32" spans="1:65" s="1620" customFormat="1" ht="18" customHeight="1">
      <c r="A32" s="2342"/>
      <c r="B32" s="1401"/>
      <c r="C32" s="1232"/>
      <c r="D32" s="1409"/>
      <c r="E32" s="1233"/>
      <c r="F32" s="1233"/>
      <c r="G32" s="1233"/>
      <c r="H32" s="1423"/>
      <c r="I32" s="1424"/>
      <c r="J32" s="1425"/>
      <c r="K32" s="1425"/>
      <c r="L32" s="1426"/>
      <c r="M32" s="1412"/>
      <c r="N32" s="1427"/>
      <c r="O32" s="1475"/>
      <c r="P32" s="1618" t="str">
        <f t="shared" si="4"/>
        <v/>
      </c>
      <c r="Q32" s="1617" t="str">
        <f t="shared" si="23"/>
        <v/>
      </c>
      <c r="R32" s="1772" t="str">
        <f t="shared" si="36"/>
        <v/>
      </c>
      <c r="S32" s="1230" t="str">
        <f t="shared" si="24"/>
        <v/>
      </c>
      <c r="T32" s="1236">
        <f t="shared" si="25"/>
        <v>0</v>
      </c>
      <c r="U32" s="1231" t="str">
        <f t="shared" si="26"/>
        <v/>
      </c>
      <c r="V32" s="1490">
        <f t="shared" si="27"/>
        <v>0</v>
      </c>
      <c r="W32" s="1229"/>
      <c r="X32" s="1229"/>
      <c r="Y32" s="1645" t="str">
        <f t="shared" si="5"/>
        <v/>
      </c>
      <c r="Z32" s="1646" t="str">
        <f t="shared" si="6"/>
        <v/>
      </c>
      <c r="AA32" s="1642" t="str">
        <f t="shared" si="37"/>
        <v/>
      </c>
      <c r="AB32" s="1708"/>
      <c r="AC32" s="1754" t="str">
        <f t="shared" si="28"/>
        <v/>
      </c>
      <c r="AD32" s="1755" t="str">
        <f t="shared" si="29"/>
        <v/>
      </c>
      <c r="AE32" s="1756" t="str">
        <f t="shared" si="7"/>
        <v/>
      </c>
      <c r="AF32" s="1757"/>
      <c r="AG32" s="1009">
        <v>2018</v>
      </c>
      <c r="AH32" s="1725">
        <v>53086.508000000002</v>
      </c>
      <c r="AI32" s="1729">
        <v>55307.095200000003</v>
      </c>
      <c r="AJ32" s="1726">
        <f t="shared" si="1"/>
        <v>1.0418295963260571</v>
      </c>
      <c r="AK32" s="1697">
        <f>IF(SUM(S32:V32)&gt;0,MAX(AK$9:AK31)+1,0)</f>
        <v>0</v>
      </c>
      <c r="AL32" s="1727">
        <f t="shared" si="0"/>
        <v>2.3599999999999999E-2</v>
      </c>
      <c r="AM32" s="1697" t="str">
        <f t="shared" si="30"/>
        <v/>
      </c>
      <c r="AN32" s="1720" t="str">
        <f t="shared" si="2"/>
        <v>2018 / 2,36%</v>
      </c>
      <c r="AO32" s="1677">
        <f t="shared" si="8"/>
        <v>0</v>
      </c>
      <c r="AP32" s="1523">
        <f t="shared" si="9"/>
        <v>0</v>
      </c>
      <c r="AQ32" s="1523">
        <f t="shared" si="10"/>
        <v>0</v>
      </c>
      <c r="AR32" s="1677">
        <f t="shared" si="31"/>
        <v>0</v>
      </c>
      <c r="AS32" s="1677">
        <f t="shared" si="11"/>
        <v>0</v>
      </c>
      <c r="AT32" s="1681">
        <f t="shared" si="12"/>
        <v>0</v>
      </c>
      <c r="AU32" s="1681">
        <f t="shared" si="13"/>
        <v>0</v>
      </c>
      <c r="AV32" s="1680">
        <f t="shared" si="32"/>
        <v>0</v>
      </c>
      <c r="AW32" s="1758">
        <f t="shared" si="14"/>
        <v>0</v>
      </c>
      <c r="AX32" s="1758">
        <f t="shared" si="15"/>
        <v>0</v>
      </c>
      <c r="AY32" s="1738" t="e">
        <f t="shared" si="33"/>
        <v>#VALUE!</v>
      </c>
      <c r="AZ32" s="1706" t="str">
        <f t="shared" si="16"/>
        <v/>
      </c>
      <c r="BA32" s="1706" t="str">
        <f t="shared" si="17"/>
        <v/>
      </c>
      <c r="BB32" s="1706">
        <f t="shared" si="18"/>
        <v>0</v>
      </c>
      <c r="BC32" s="1706" t="str">
        <f t="shared" si="19"/>
        <v/>
      </c>
      <c r="BD32" s="1679">
        <f t="shared" si="20"/>
        <v>0</v>
      </c>
      <c r="BE32" s="1679">
        <f t="shared" si="21"/>
        <v>0</v>
      </c>
      <c r="BF32" s="1668"/>
      <c r="BG32" s="1706">
        <f t="shared" si="34"/>
        <v>0</v>
      </c>
      <c r="BH32" s="1721">
        <f t="shared" si="3"/>
        <v>0</v>
      </c>
      <c r="BI32" s="1699" t="e">
        <f t="shared" si="38"/>
        <v>#VALUE!</v>
      </c>
      <c r="BJ32" s="1699" t="e">
        <f t="shared" si="22"/>
        <v>#VALUE!</v>
      </c>
      <c r="BK32" s="1699" t="e">
        <f t="shared" si="35"/>
        <v>#VALUE!</v>
      </c>
    </row>
    <row r="33" spans="1:63" s="1620" customFormat="1" ht="18" customHeight="1">
      <c r="A33" s="2342"/>
      <c r="B33" s="1401"/>
      <c r="C33" s="1232"/>
      <c r="D33" s="1409"/>
      <c r="E33" s="1233"/>
      <c r="F33" s="1233"/>
      <c r="G33" s="1233"/>
      <c r="H33" s="1423"/>
      <c r="I33" s="1424"/>
      <c r="J33" s="1425"/>
      <c r="K33" s="1425"/>
      <c r="L33" s="1426"/>
      <c r="M33" s="1412"/>
      <c r="N33" s="1412"/>
      <c r="O33" s="1475"/>
      <c r="P33" s="1618" t="str">
        <f t="shared" si="4"/>
        <v/>
      </c>
      <c r="Q33" s="1617" t="str">
        <f t="shared" si="23"/>
        <v/>
      </c>
      <c r="R33" s="1772" t="str">
        <f t="shared" si="36"/>
        <v/>
      </c>
      <c r="S33" s="1230" t="str">
        <f t="shared" si="24"/>
        <v/>
      </c>
      <c r="T33" s="1236">
        <f t="shared" si="25"/>
        <v>0</v>
      </c>
      <c r="U33" s="1231" t="str">
        <f t="shared" si="26"/>
        <v/>
      </c>
      <c r="V33" s="1490">
        <f t="shared" si="27"/>
        <v>0</v>
      </c>
      <c r="W33" s="1229"/>
      <c r="X33" s="1229"/>
      <c r="Y33" s="1645" t="str">
        <f t="shared" si="5"/>
        <v/>
      </c>
      <c r="Z33" s="1646" t="str">
        <f t="shared" si="6"/>
        <v/>
      </c>
      <c r="AA33" s="1642" t="str">
        <f t="shared" si="37"/>
        <v/>
      </c>
      <c r="AB33" s="1708"/>
      <c r="AC33" s="1754" t="str">
        <f t="shared" si="28"/>
        <v/>
      </c>
      <c r="AD33" s="1755" t="str">
        <f t="shared" si="29"/>
        <v/>
      </c>
      <c r="AE33" s="1756" t="str">
        <f t="shared" si="7"/>
        <v/>
      </c>
      <c r="AF33" s="1757"/>
      <c r="AG33" s="1009">
        <v>2019</v>
      </c>
      <c r="AH33" s="1725">
        <v>53086.508000000002</v>
      </c>
      <c r="AI33" s="1729">
        <v>55993.125200000002</v>
      </c>
      <c r="AJ33" s="1726">
        <f t="shared" si="1"/>
        <v>1.0547524655417155</v>
      </c>
      <c r="AK33" s="1697">
        <f>IF(SUM(S33:V33)&gt;0,MAX(AK$9:AK32)+1,0)</f>
        <v>0</v>
      </c>
      <c r="AL33" s="1727">
        <f t="shared" si="0"/>
        <v>0.02</v>
      </c>
      <c r="AM33" s="1697" t="str">
        <f t="shared" si="30"/>
        <v/>
      </c>
      <c r="AN33" s="1720" t="str">
        <f t="shared" si="2"/>
        <v>2019 / 2,%</v>
      </c>
      <c r="AO33" s="1677">
        <f t="shared" si="8"/>
        <v>0</v>
      </c>
      <c r="AP33" s="1523">
        <f t="shared" si="9"/>
        <v>0</v>
      </c>
      <c r="AQ33" s="1523">
        <f t="shared" si="10"/>
        <v>0</v>
      </c>
      <c r="AR33" s="1677">
        <f t="shared" si="31"/>
        <v>0</v>
      </c>
      <c r="AS33" s="1677">
        <f t="shared" si="11"/>
        <v>0</v>
      </c>
      <c r="AT33" s="1681">
        <f t="shared" si="12"/>
        <v>0</v>
      </c>
      <c r="AU33" s="1681">
        <f t="shared" si="13"/>
        <v>0</v>
      </c>
      <c r="AV33" s="1680">
        <f t="shared" si="32"/>
        <v>0</v>
      </c>
      <c r="AW33" s="1758">
        <f t="shared" si="14"/>
        <v>0</v>
      </c>
      <c r="AX33" s="1758">
        <f t="shared" si="15"/>
        <v>0</v>
      </c>
      <c r="AY33" s="1738" t="e">
        <f t="shared" si="33"/>
        <v>#VALUE!</v>
      </c>
      <c r="AZ33" s="1706" t="str">
        <f t="shared" si="16"/>
        <v/>
      </c>
      <c r="BA33" s="1706" t="str">
        <f t="shared" si="17"/>
        <v/>
      </c>
      <c r="BB33" s="1706">
        <f t="shared" si="18"/>
        <v>0</v>
      </c>
      <c r="BC33" s="1706" t="str">
        <f t="shared" si="19"/>
        <v/>
      </c>
      <c r="BD33" s="1679">
        <f t="shared" si="20"/>
        <v>0</v>
      </c>
      <c r="BE33" s="1679">
        <f t="shared" si="21"/>
        <v>0</v>
      </c>
      <c r="BF33" s="1668"/>
      <c r="BG33" s="1706">
        <f t="shared" si="34"/>
        <v>0</v>
      </c>
      <c r="BH33" s="1721">
        <f t="shared" si="3"/>
        <v>0</v>
      </c>
      <c r="BI33" s="1699" t="e">
        <f t="shared" si="38"/>
        <v>#VALUE!</v>
      </c>
      <c r="BJ33" s="1699" t="e">
        <f t="shared" si="22"/>
        <v>#VALUE!</v>
      </c>
      <c r="BK33" s="1699" t="e">
        <f t="shared" si="35"/>
        <v>#VALUE!</v>
      </c>
    </row>
    <row r="34" spans="1:63" s="1620" customFormat="1" ht="18" customHeight="1">
      <c r="A34" s="2342"/>
      <c r="B34" s="1401"/>
      <c r="C34" s="1232"/>
      <c r="D34" s="1409"/>
      <c r="E34" s="1233"/>
      <c r="F34" s="1233"/>
      <c r="G34" s="1233"/>
      <c r="H34" s="1423"/>
      <c r="I34" s="1424"/>
      <c r="J34" s="1425"/>
      <c r="K34" s="1425"/>
      <c r="L34" s="1426"/>
      <c r="M34" s="1412"/>
      <c r="N34" s="1412"/>
      <c r="O34" s="1475"/>
      <c r="P34" s="1618" t="str">
        <f t="shared" si="4"/>
        <v/>
      </c>
      <c r="Q34" s="1617" t="str">
        <f t="shared" si="23"/>
        <v/>
      </c>
      <c r="R34" s="1772" t="str">
        <f t="shared" si="36"/>
        <v/>
      </c>
      <c r="S34" s="1230" t="str">
        <f t="shared" si="24"/>
        <v/>
      </c>
      <c r="T34" s="1236">
        <f t="shared" si="25"/>
        <v>0</v>
      </c>
      <c r="U34" s="1231" t="str">
        <f t="shared" si="26"/>
        <v/>
      </c>
      <c r="V34" s="1490">
        <f t="shared" si="27"/>
        <v>0</v>
      </c>
      <c r="W34" s="1229"/>
      <c r="X34" s="1229"/>
      <c r="Y34" s="1645" t="str">
        <f t="shared" si="5"/>
        <v/>
      </c>
      <c r="Z34" s="1646" t="str">
        <f t="shared" si="6"/>
        <v/>
      </c>
      <c r="AA34" s="1642" t="str">
        <f t="shared" si="37"/>
        <v/>
      </c>
      <c r="AB34" s="1708"/>
      <c r="AC34" s="1754" t="str">
        <f t="shared" si="28"/>
        <v/>
      </c>
      <c r="AD34" s="1755" t="str">
        <f t="shared" si="29"/>
        <v/>
      </c>
      <c r="AE34" s="1756" t="str">
        <f t="shared" si="7"/>
        <v/>
      </c>
      <c r="AF34" s="1757"/>
      <c r="AG34" s="1009">
        <v>2020</v>
      </c>
      <c r="AH34" s="1725">
        <v>53086.508000000002</v>
      </c>
      <c r="AI34" s="1729">
        <v>56000.048199999997</v>
      </c>
      <c r="AJ34" s="1726">
        <f t="shared" si="1"/>
        <v>1.0548828753249317</v>
      </c>
      <c r="AK34" s="1697">
        <f>IF(SUM(S34:V34)&gt;0,MAX(AK$9:AK33)+1,0)</f>
        <v>0</v>
      </c>
      <c r="AL34" s="1727">
        <f t="shared" si="0"/>
        <v>1.6399999999999998E-2</v>
      </c>
      <c r="AM34" s="1697" t="str">
        <f t="shared" si="30"/>
        <v/>
      </c>
      <c r="AN34" s="1720" t="str">
        <f t="shared" si="2"/>
        <v>2020 / 1,64%</v>
      </c>
      <c r="AO34" s="1677">
        <f t="shared" si="8"/>
        <v>0</v>
      </c>
      <c r="AP34" s="1523">
        <f t="shared" si="9"/>
        <v>0</v>
      </c>
      <c r="AQ34" s="1523">
        <f t="shared" si="10"/>
        <v>0</v>
      </c>
      <c r="AR34" s="1677">
        <f t="shared" si="31"/>
        <v>0</v>
      </c>
      <c r="AS34" s="1677">
        <f t="shared" si="11"/>
        <v>0</v>
      </c>
      <c r="AT34" s="1681">
        <f t="shared" si="12"/>
        <v>0</v>
      </c>
      <c r="AU34" s="1681">
        <f t="shared" si="13"/>
        <v>0</v>
      </c>
      <c r="AV34" s="1680">
        <f t="shared" si="32"/>
        <v>0</v>
      </c>
      <c r="AW34" s="1758">
        <f t="shared" si="14"/>
        <v>0</v>
      </c>
      <c r="AX34" s="1758">
        <f t="shared" si="15"/>
        <v>0</v>
      </c>
      <c r="AY34" s="1738" t="e">
        <f t="shared" si="33"/>
        <v>#VALUE!</v>
      </c>
      <c r="AZ34" s="1706" t="str">
        <f t="shared" si="16"/>
        <v/>
      </c>
      <c r="BA34" s="1706" t="str">
        <f t="shared" si="17"/>
        <v/>
      </c>
      <c r="BB34" s="1706">
        <f t="shared" si="18"/>
        <v>0</v>
      </c>
      <c r="BC34" s="1706" t="str">
        <f t="shared" si="19"/>
        <v/>
      </c>
      <c r="BD34" s="1679">
        <f t="shared" si="20"/>
        <v>0</v>
      </c>
      <c r="BE34" s="1679">
        <f t="shared" si="21"/>
        <v>0</v>
      </c>
      <c r="BF34" s="1668"/>
      <c r="BG34" s="1706">
        <f t="shared" si="34"/>
        <v>0</v>
      </c>
      <c r="BH34" s="1721">
        <f t="shared" si="3"/>
        <v>0</v>
      </c>
      <c r="BI34" s="1699" t="e">
        <f t="shared" si="38"/>
        <v>#VALUE!</v>
      </c>
      <c r="BJ34" s="1699" t="e">
        <f t="shared" si="22"/>
        <v>#VALUE!</v>
      </c>
      <c r="BK34" s="1699" t="e">
        <f t="shared" si="35"/>
        <v>#VALUE!</v>
      </c>
    </row>
    <row r="35" spans="1:63" s="1620" customFormat="1" ht="18" customHeight="1">
      <c r="A35" s="2342"/>
      <c r="B35" s="1401"/>
      <c r="C35" s="1232"/>
      <c r="D35" s="1409"/>
      <c r="E35" s="1233"/>
      <c r="F35" s="1233"/>
      <c r="G35" s="1233"/>
      <c r="H35" s="1423"/>
      <c r="I35" s="1424"/>
      <c r="J35" s="1425"/>
      <c r="K35" s="1425"/>
      <c r="L35" s="1426"/>
      <c r="M35" s="1412"/>
      <c r="N35" s="1412"/>
      <c r="O35" s="1475"/>
      <c r="P35" s="1618" t="str">
        <f t="shared" si="4"/>
        <v/>
      </c>
      <c r="Q35" s="1617" t="str">
        <f t="shared" si="23"/>
        <v/>
      </c>
      <c r="R35" s="1772" t="str">
        <f t="shared" si="36"/>
        <v/>
      </c>
      <c r="S35" s="1230" t="str">
        <f t="shared" si="24"/>
        <v/>
      </c>
      <c r="T35" s="1236">
        <f t="shared" si="25"/>
        <v>0</v>
      </c>
      <c r="U35" s="1231" t="str">
        <f t="shared" si="26"/>
        <v/>
      </c>
      <c r="V35" s="1490">
        <f t="shared" si="27"/>
        <v>0</v>
      </c>
      <c r="W35" s="1229"/>
      <c r="X35" s="1229"/>
      <c r="Y35" s="1645" t="str">
        <f t="shared" si="5"/>
        <v/>
      </c>
      <c r="Z35" s="1646" t="str">
        <f t="shared" si="6"/>
        <v/>
      </c>
      <c r="AA35" s="1642" t="str">
        <f t="shared" si="37"/>
        <v/>
      </c>
      <c r="AB35" s="1708"/>
      <c r="AC35" s="1754" t="str">
        <f t="shared" si="28"/>
        <v/>
      </c>
      <c r="AD35" s="1755" t="str">
        <f t="shared" si="29"/>
        <v/>
      </c>
      <c r="AE35" s="1756" t="str">
        <f t="shared" si="7"/>
        <v/>
      </c>
      <c r="AF35" s="1757"/>
      <c r="AG35" s="1009">
        <v>2021</v>
      </c>
      <c r="AH35" s="1725">
        <v>53086.508000000002</v>
      </c>
      <c r="AI35" s="1729">
        <v>55089.223599999998</v>
      </c>
      <c r="AJ35" s="1726">
        <f t="shared" si="1"/>
        <v>1.0377255102181517</v>
      </c>
      <c r="AK35" s="1697">
        <f>IF(SUM(S35:V35)&gt;0,MAX(AK$9:AK34)+1,0)</f>
        <v>0</v>
      </c>
      <c r="AL35" s="1727">
        <f t="shared" si="0"/>
        <v>1.3600000000000001E-2</v>
      </c>
      <c r="AM35" s="1697" t="str">
        <f t="shared" si="30"/>
        <v/>
      </c>
      <c r="AN35" s="1720" t="str">
        <f t="shared" si="2"/>
        <v>2021 / 1,36%</v>
      </c>
      <c r="AO35" s="1677">
        <f t="shared" si="8"/>
        <v>0</v>
      </c>
      <c r="AP35" s="1523">
        <f t="shared" si="9"/>
        <v>0</v>
      </c>
      <c r="AQ35" s="1523">
        <f t="shared" si="10"/>
        <v>0</v>
      </c>
      <c r="AR35" s="1677">
        <f t="shared" si="31"/>
        <v>0</v>
      </c>
      <c r="AS35" s="1677">
        <f t="shared" si="11"/>
        <v>0</v>
      </c>
      <c r="AT35" s="1681">
        <f t="shared" si="12"/>
        <v>0</v>
      </c>
      <c r="AU35" s="1681">
        <f t="shared" si="13"/>
        <v>0</v>
      </c>
      <c r="AV35" s="1680">
        <f t="shared" si="32"/>
        <v>0</v>
      </c>
      <c r="AW35" s="1758">
        <f t="shared" si="14"/>
        <v>0</v>
      </c>
      <c r="AX35" s="1758">
        <f t="shared" si="15"/>
        <v>0</v>
      </c>
      <c r="AY35" s="1738" t="e">
        <f t="shared" si="33"/>
        <v>#VALUE!</v>
      </c>
      <c r="AZ35" s="1706" t="str">
        <f t="shared" si="16"/>
        <v/>
      </c>
      <c r="BA35" s="1706" t="str">
        <f t="shared" si="17"/>
        <v/>
      </c>
      <c r="BB35" s="1706">
        <f t="shared" si="18"/>
        <v>0</v>
      </c>
      <c r="BC35" s="1706" t="str">
        <f t="shared" si="19"/>
        <v/>
      </c>
      <c r="BD35" s="1679">
        <f t="shared" si="20"/>
        <v>0</v>
      </c>
      <c r="BE35" s="1679">
        <f t="shared" si="21"/>
        <v>0</v>
      </c>
      <c r="BF35" s="1668"/>
      <c r="BG35" s="1706">
        <f t="shared" si="34"/>
        <v>0</v>
      </c>
      <c r="BH35" s="1721">
        <f t="shared" si="3"/>
        <v>0</v>
      </c>
      <c r="BI35" s="1699" t="e">
        <f t="shared" si="38"/>
        <v>#VALUE!</v>
      </c>
      <c r="BJ35" s="1699" t="e">
        <f t="shared" si="22"/>
        <v>#VALUE!</v>
      </c>
      <c r="BK35" s="1699" t="e">
        <f t="shared" si="35"/>
        <v>#VALUE!</v>
      </c>
    </row>
    <row r="36" spans="1:63" s="1620" customFormat="1" ht="18" customHeight="1">
      <c r="A36" s="2342"/>
      <c r="B36" s="1401"/>
      <c r="C36" s="1232"/>
      <c r="D36" s="1409"/>
      <c r="E36" s="1233"/>
      <c r="F36" s="1233"/>
      <c r="G36" s="1233"/>
      <c r="H36" s="1423"/>
      <c r="I36" s="1424"/>
      <c r="J36" s="1425"/>
      <c r="K36" s="1425"/>
      <c r="L36" s="1426"/>
      <c r="M36" s="1412"/>
      <c r="N36" s="1412"/>
      <c r="O36" s="1475"/>
      <c r="P36" s="1618" t="str">
        <f t="shared" si="4"/>
        <v/>
      </c>
      <c r="Q36" s="1617" t="str">
        <f t="shared" si="23"/>
        <v/>
      </c>
      <c r="R36" s="1772" t="str">
        <f t="shared" si="36"/>
        <v/>
      </c>
      <c r="S36" s="1230" t="str">
        <f t="shared" si="24"/>
        <v/>
      </c>
      <c r="T36" s="1236">
        <f t="shared" si="25"/>
        <v>0</v>
      </c>
      <c r="U36" s="1231" t="str">
        <f t="shared" si="26"/>
        <v/>
      </c>
      <c r="V36" s="1490">
        <f t="shared" si="27"/>
        <v>0</v>
      </c>
      <c r="W36" s="1229"/>
      <c r="X36" s="1229"/>
      <c r="Y36" s="1645" t="str">
        <f t="shared" si="5"/>
        <v/>
      </c>
      <c r="Z36" s="1646" t="str">
        <f t="shared" si="6"/>
        <v/>
      </c>
      <c r="AA36" s="1642" t="str">
        <f t="shared" si="37"/>
        <v/>
      </c>
      <c r="AB36" s="1708"/>
      <c r="AC36" s="1754" t="str">
        <f t="shared" si="28"/>
        <v/>
      </c>
      <c r="AD36" s="1755" t="str">
        <f t="shared" si="29"/>
        <v/>
      </c>
      <c r="AE36" s="1756" t="str">
        <f t="shared" si="7"/>
        <v/>
      </c>
      <c r="AF36" s="1757"/>
      <c r="AG36" s="1009">
        <v>2022</v>
      </c>
      <c r="AH36" s="1725">
        <v>53086.508000000002</v>
      </c>
      <c r="AI36" s="1729">
        <v>57765.682000000001</v>
      </c>
      <c r="AJ36" s="1726">
        <f t="shared" si="1"/>
        <v>1.0881424334785781</v>
      </c>
      <c r="AK36" s="1697">
        <f>IF(SUM(S36:V36)&gt;0,MAX(AK$9:AK35)+1,0)</f>
        <v>0</v>
      </c>
      <c r="AL36" s="1727">
        <f t="shared" si="0"/>
        <v>1.43E-2</v>
      </c>
      <c r="AM36" s="1697" t="str">
        <f t="shared" si="30"/>
        <v/>
      </c>
      <c r="AN36" s="1720" t="str">
        <f t="shared" si="2"/>
        <v>2022 / 1,43%</v>
      </c>
      <c r="AO36" s="1677">
        <f t="shared" si="8"/>
        <v>0</v>
      </c>
      <c r="AP36" s="1523">
        <f t="shared" si="9"/>
        <v>0</v>
      </c>
      <c r="AQ36" s="1523">
        <f t="shared" si="10"/>
        <v>0</v>
      </c>
      <c r="AR36" s="1677">
        <f t="shared" si="31"/>
        <v>0</v>
      </c>
      <c r="AS36" s="1677">
        <f t="shared" si="11"/>
        <v>0</v>
      </c>
      <c r="AT36" s="1681">
        <f t="shared" si="12"/>
        <v>0</v>
      </c>
      <c r="AU36" s="1681">
        <f t="shared" si="13"/>
        <v>0</v>
      </c>
      <c r="AV36" s="1680">
        <f t="shared" si="32"/>
        <v>0</v>
      </c>
      <c r="AW36" s="1758">
        <f t="shared" si="14"/>
        <v>0</v>
      </c>
      <c r="AX36" s="1758">
        <f t="shared" si="15"/>
        <v>0</v>
      </c>
      <c r="AY36" s="1738" t="e">
        <f t="shared" si="33"/>
        <v>#VALUE!</v>
      </c>
      <c r="AZ36" s="1706" t="str">
        <f t="shared" si="16"/>
        <v/>
      </c>
      <c r="BA36" s="1706" t="str">
        <f t="shared" si="17"/>
        <v/>
      </c>
      <c r="BB36" s="1706">
        <f t="shared" si="18"/>
        <v>0</v>
      </c>
      <c r="BC36" s="1706" t="str">
        <f t="shared" si="19"/>
        <v/>
      </c>
      <c r="BD36" s="1679">
        <f t="shared" si="20"/>
        <v>0</v>
      </c>
      <c r="BE36" s="1679">
        <f t="shared" si="21"/>
        <v>0</v>
      </c>
      <c r="BF36" s="1668"/>
      <c r="BG36" s="1706">
        <f t="shared" si="34"/>
        <v>0</v>
      </c>
      <c r="BH36" s="1721">
        <f t="shared" si="3"/>
        <v>0</v>
      </c>
      <c r="BI36" s="1699" t="e">
        <f t="shared" si="38"/>
        <v>#VALUE!</v>
      </c>
      <c r="BJ36" s="1699" t="e">
        <f t="shared" si="22"/>
        <v>#VALUE!</v>
      </c>
      <c r="BK36" s="1699" t="e">
        <f t="shared" si="35"/>
        <v>#VALUE!</v>
      </c>
    </row>
    <row r="37" spans="1:63" s="1620" customFormat="1" ht="18" customHeight="1">
      <c r="A37" s="2342"/>
      <c r="B37" s="1401"/>
      <c r="C37" s="1232"/>
      <c r="D37" s="1409"/>
      <c r="E37" s="1233"/>
      <c r="F37" s="1233"/>
      <c r="G37" s="1233"/>
      <c r="H37" s="1423"/>
      <c r="I37" s="1424"/>
      <c r="J37" s="1425"/>
      <c r="K37" s="1425"/>
      <c r="L37" s="1426"/>
      <c r="M37" s="1412"/>
      <c r="N37" s="1412"/>
      <c r="O37" s="1475"/>
      <c r="P37" s="1618" t="str">
        <f t="shared" si="4"/>
        <v/>
      </c>
      <c r="Q37" s="1617" t="str">
        <f t="shared" si="23"/>
        <v/>
      </c>
      <c r="R37" s="1772" t="str">
        <f t="shared" si="36"/>
        <v/>
      </c>
      <c r="S37" s="1230" t="str">
        <f t="shared" si="24"/>
        <v/>
      </c>
      <c r="T37" s="1236">
        <f t="shared" si="25"/>
        <v>0</v>
      </c>
      <c r="U37" s="1231" t="str">
        <f t="shared" si="26"/>
        <v/>
      </c>
      <c r="V37" s="1490">
        <f t="shared" si="27"/>
        <v>0</v>
      </c>
      <c r="W37" s="1229"/>
      <c r="X37" s="1229"/>
      <c r="Y37" s="1645" t="str">
        <f t="shared" si="5"/>
        <v/>
      </c>
      <c r="Z37" s="1646" t="str">
        <f t="shared" si="6"/>
        <v/>
      </c>
      <c r="AA37" s="1642" t="str">
        <f t="shared" si="37"/>
        <v/>
      </c>
      <c r="AB37" s="1708"/>
      <c r="AC37" s="1754" t="str">
        <f t="shared" si="28"/>
        <v/>
      </c>
      <c r="AD37" s="1755" t="str">
        <f t="shared" si="29"/>
        <v/>
      </c>
      <c r="AE37" s="1756" t="str">
        <f t="shared" si="7"/>
        <v/>
      </c>
      <c r="AF37" s="1757"/>
      <c r="AG37" s="1009">
        <v>2023</v>
      </c>
      <c r="AH37" s="1725">
        <v>53086.508000000002</v>
      </c>
      <c r="AI37" s="1729">
        <v>59220.2114</v>
      </c>
      <c r="AJ37" s="1726">
        <f t="shared" si="1"/>
        <v>1.1155416626763244</v>
      </c>
      <c r="AK37" s="1697">
        <f>IF(SUM(S37:V37)&gt;0,MAX(AK$9:AK36)+1,0)</f>
        <v>0</v>
      </c>
      <c r="AL37" s="1727">
        <f t="shared" si="0"/>
        <v>1.72E-2</v>
      </c>
      <c r="AM37" s="1697" t="str">
        <f t="shared" si="30"/>
        <v/>
      </c>
      <c r="AN37" s="1720" t="str">
        <f t="shared" si="2"/>
        <v>2023 / 1,72%</v>
      </c>
      <c r="AO37" s="1677">
        <f t="shared" si="8"/>
        <v>0</v>
      </c>
      <c r="AP37" s="1523">
        <f t="shared" si="9"/>
        <v>0</v>
      </c>
      <c r="AQ37" s="1523">
        <f t="shared" si="10"/>
        <v>0</v>
      </c>
      <c r="AR37" s="1677">
        <f t="shared" si="31"/>
        <v>0</v>
      </c>
      <c r="AS37" s="1677">
        <f t="shared" si="11"/>
        <v>0</v>
      </c>
      <c r="AT37" s="1681">
        <f t="shared" si="12"/>
        <v>0</v>
      </c>
      <c r="AU37" s="1681">
        <f t="shared" si="13"/>
        <v>0</v>
      </c>
      <c r="AV37" s="1680">
        <f t="shared" si="32"/>
        <v>0</v>
      </c>
      <c r="AW37" s="1758">
        <f t="shared" si="14"/>
        <v>0</v>
      </c>
      <c r="AX37" s="1758">
        <f t="shared" si="15"/>
        <v>0</v>
      </c>
      <c r="AY37" s="1738" t="e">
        <f t="shared" si="33"/>
        <v>#VALUE!</v>
      </c>
      <c r="AZ37" s="1706" t="str">
        <f t="shared" si="16"/>
        <v/>
      </c>
      <c r="BA37" s="1706" t="str">
        <f t="shared" si="17"/>
        <v/>
      </c>
      <c r="BB37" s="1706">
        <f t="shared" si="18"/>
        <v>0</v>
      </c>
      <c r="BC37" s="1706" t="str">
        <f t="shared" si="19"/>
        <v/>
      </c>
      <c r="BD37" s="1679">
        <f t="shared" si="20"/>
        <v>0</v>
      </c>
      <c r="BE37" s="1679">
        <f t="shared" si="21"/>
        <v>0</v>
      </c>
      <c r="BF37" s="1668"/>
      <c r="BG37" s="1706">
        <f t="shared" si="34"/>
        <v>0</v>
      </c>
      <c r="BH37" s="1721">
        <f t="shared" si="3"/>
        <v>0</v>
      </c>
      <c r="BI37" s="1699" t="e">
        <f t="shared" si="38"/>
        <v>#VALUE!</v>
      </c>
      <c r="BJ37" s="1699" t="e">
        <f t="shared" si="22"/>
        <v>#VALUE!</v>
      </c>
      <c r="BK37" s="1699" t="e">
        <f t="shared" si="35"/>
        <v>#VALUE!</v>
      </c>
    </row>
    <row r="38" spans="1:63" s="1620" customFormat="1" ht="16.899999999999999" customHeight="1" thickBot="1">
      <c r="A38" s="2342"/>
      <c r="B38" s="1401"/>
      <c r="C38" s="1402"/>
      <c r="D38" s="1409"/>
      <c r="E38" s="1233"/>
      <c r="F38" s="1233"/>
      <c r="G38" s="1233"/>
      <c r="H38" s="1423"/>
      <c r="I38" s="1424"/>
      <c r="J38" s="1428"/>
      <c r="K38" s="1428"/>
      <c r="L38" s="1429"/>
      <c r="M38" s="1493"/>
      <c r="N38" s="1493"/>
      <c r="O38" s="1475"/>
      <c r="P38" s="1618" t="str">
        <f t="shared" si="4"/>
        <v/>
      </c>
      <c r="Q38" s="1617" t="str">
        <f t="shared" si="23"/>
        <v/>
      </c>
      <c r="R38" s="1772" t="str">
        <f t="shared" si="36"/>
        <v/>
      </c>
      <c r="S38" s="1230" t="str">
        <f t="shared" si="24"/>
        <v/>
      </c>
      <c r="T38" s="1236">
        <f t="shared" si="25"/>
        <v>0</v>
      </c>
      <c r="U38" s="1231" t="str">
        <f t="shared" si="26"/>
        <v/>
      </c>
      <c r="V38" s="1490">
        <f t="shared" si="27"/>
        <v>0</v>
      </c>
      <c r="W38" s="1229"/>
      <c r="X38" s="1229"/>
      <c r="Y38" s="1645" t="str">
        <f t="shared" si="5"/>
        <v/>
      </c>
      <c r="Z38" s="1646" t="str">
        <f t="shared" si="6"/>
        <v/>
      </c>
      <c r="AA38" s="1642" t="str">
        <f t="shared" si="37"/>
        <v/>
      </c>
      <c r="AB38" s="1708"/>
      <c r="AC38" s="1759" t="str">
        <f t="shared" si="28"/>
        <v/>
      </c>
      <c r="AD38" s="1760" t="str">
        <f t="shared" si="29"/>
        <v/>
      </c>
      <c r="AE38" s="1761" t="str">
        <f t="shared" si="7"/>
        <v/>
      </c>
      <c r="AF38" s="1757"/>
      <c r="AG38" s="1757"/>
      <c r="AH38" s="1762" t="str">
        <f>IFERROR(V38/U38,"")</f>
        <v/>
      </c>
      <c r="AI38" s="1699"/>
      <c r="AJ38" s="1763">
        <f>AVERAGE(AJ14:AJ37)</f>
        <v>1.005388977396416</v>
      </c>
      <c r="AK38" s="1697">
        <f>IF(SUM(S38:V38)&gt;0,MAX(AK$9:AK37)+1,0)</f>
        <v>0</v>
      </c>
      <c r="AL38" s="1697"/>
      <c r="AM38" s="1697" t="str">
        <f t="shared" si="30"/>
        <v/>
      </c>
      <c r="AN38" s="1697"/>
      <c r="AO38" s="1677">
        <f t="shared" si="8"/>
        <v>0</v>
      </c>
      <c r="AP38" s="1523">
        <f t="shared" si="9"/>
        <v>0</v>
      </c>
      <c r="AQ38" s="1523">
        <f t="shared" si="10"/>
        <v>0</v>
      </c>
      <c r="AR38" s="1677">
        <f t="shared" si="31"/>
        <v>0</v>
      </c>
      <c r="AS38" s="1677">
        <f t="shared" si="11"/>
        <v>0</v>
      </c>
      <c r="AT38" s="1681">
        <f t="shared" si="12"/>
        <v>0</v>
      </c>
      <c r="AU38" s="1681">
        <f t="shared" si="13"/>
        <v>0</v>
      </c>
      <c r="AV38" s="1680">
        <f t="shared" si="32"/>
        <v>0</v>
      </c>
      <c r="AW38" s="1758">
        <f t="shared" si="14"/>
        <v>0</v>
      </c>
      <c r="AX38" s="1758">
        <f t="shared" si="15"/>
        <v>0</v>
      </c>
      <c r="AY38" s="1738" t="e">
        <f t="shared" si="33"/>
        <v>#VALUE!</v>
      </c>
      <c r="AZ38" s="1706" t="str">
        <f t="shared" si="16"/>
        <v/>
      </c>
      <c r="BA38" s="1706" t="str">
        <f t="shared" si="17"/>
        <v/>
      </c>
      <c r="BB38" s="1706">
        <f t="shared" si="18"/>
        <v>0</v>
      </c>
      <c r="BC38" s="1706" t="str">
        <f t="shared" si="19"/>
        <v/>
      </c>
      <c r="BD38" s="1679">
        <f t="shared" si="20"/>
        <v>0</v>
      </c>
      <c r="BE38" s="1764">
        <f t="shared" si="21"/>
        <v>0</v>
      </c>
      <c r="BF38" s="1668"/>
      <c r="BG38" s="1706">
        <f t="shared" si="34"/>
        <v>0</v>
      </c>
      <c r="BH38" s="1721">
        <f t="shared" si="3"/>
        <v>0</v>
      </c>
      <c r="BI38" s="1699" t="e">
        <f t="shared" si="38"/>
        <v>#VALUE!</v>
      </c>
      <c r="BJ38" s="1699" t="e">
        <f t="shared" si="22"/>
        <v>#VALUE!</v>
      </c>
      <c r="BK38" s="1699" t="e">
        <f t="shared" si="35"/>
        <v>#VALUE!</v>
      </c>
    </row>
    <row r="39" spans="1:63" s="1620" customFormat="1" ht="16.899999999999999" customHeight="1" thickTop="1">
      <c r="A39" s="1647"/>
      <c r="B39" s="2343" t="s">
        <v>1559</v>
      </c>
      <c r="C39" s="2344"/>
      <c r="D39" s="2344"/>
      <c r="E39" s="1950">
        <f>SUMIF($B$27:$B$38,"m",E$27:E$38)</f>
        <v>0</v>
      </c>
      <c r="F39" s="1648">
        <f>SUMIF($B$27:$B$38,"m",F$27:F$38)</f>
        <v>0</v>
      </c>
      <c r="G39" s="1649">
        <f>SUMIF($B$27:$B$38,"m",G$27:G$38)</f>
        <v>0</v>
      </c>
      <c r="H39" s="2354" t="s">
        <v>1539</v>
      </c>
      <c r="I39" s="2355"/>
      <c r="J39" s="2355"/>
      <c r="K39" s="2355"/>
      <c r="L39" s="2356"/>
      <c r="M39" s="2289" t="s">
        <v>1538</v>
      </c>
      <c r="N39" s="2289"/>
      <c r="O39" s="2289"/>
      <c r="P39" s="2289"/>
      <c r="Q39" s="2289"/>
      <c r="R39" s="2290"/>
      <c r="S39" s="1650">
        <f>SUM(S27:S38,S15:S16,S13,S19)</f>
        <v>0</v>
      </c>
      <c r="T39" s="1650">
        <f>SUM(T27:T38,T15:T16,T13,T20)</f>
        <v>0</v>
      </c>
      <c r="U39" s="1650">
        <f>SUM(U27:U38,U15:U16,U13,U19)</f>
        <v>0</v>
      </c>
      <c r="V39" s="1651">
        <f>SUM(V27:V38,V15:V16,V13,V20)</f>
        <v>0</v>
      </c>
      <c r="W39" s="1652"/>
      <c r="Y39" s="2286" t="s">
        <v>1515</v>
      </c>
      <c r="Z39" s="2287"/>
      <c r="AA39" s="2288"/>
      <c r="AC39" s="2270" t="s">
        <v>1578</v>
      </c>
      <c r="AD39" s="2270"/>
      <c r="AE39" s="1765"/>
      <c r="AF39" s="1664"/>
      <c r="AG39" s="1009"/>
      <c r="AK39" s="1667"/>
      <c r="AL39" s="1667"/>
      <c r="AM39" s="1667"/>
      <c r="AN39" s="1667"/>
      <c r="BA39" s="1620" t="s">
        <v>143</v>
      </c>
      <c r="BB39" s="1699" t="e">
        <f>+SUM(BB27:BB38)+AW10+AW12+AW14</f>
        <v>#VALUE!</v>
      </c>
      <c r="BC39" s="1699" t="e">
        <f>+SUM(BC27:BC38)+AX10+AX12+AX14</f>
        <v>#VALUE!</v>
      </c>
    </row>
    <row r="40" spans="1:63" s="1620" customFormat="1" ht="16.899999999999999" customHeight="1" thickBot="1">
      <c r="A40" s="1653"/>
      <c r="B40" s="2330" t="s">
        <v>1560</v>
      </c>
      <c r="C40" s="2331"/>
      <c r="D40" s="2331"/>
      <c r="E40" s="1654">
        <f>SUMIF($B$27:$B$38,"w",E$27:E$38)</f>
        <v>0</v>
      </c>
      <c r="F40" s="1654">
        <f>SUMIF($B$27:$B$38,"w",F$27:F$38)</f>
        <v>0</v>
      </c>
      <c r="G40" s="1655">
        <f>SUMIF($B$27:$B$38,"w",G$27:G$38)</f>
        <v>0</v>
      </c>
      <c r="H40" s="2357"/>
      <c r="I40" s="2358"/>
      <c r="J40" s="2358"/>
      <c r="K40" s="2358"/>
      <c r="L40" s="2359"/>
      <c r="M40" s="2352" t="s">
        <v>1561</v>
      </c>
      <c r="N40" s="2352"/>
      <c r="O40" s="2352"/>
      <c r="P40" s="2352"/>
      <c r="Q40" s="2352"/>
      <c r="R40" s="2353"/>
      <c r="S40" s="1656" t="str">
        <f>IFERROR(BB39,"")</f>
        <v/>
      </c>
      <c r="T40" s="1657"/>
      <c r="U40" s="1656" t="str">
        <f>IFERROR(BC39,"")</f>
        <v/>
      </c>
      <c r="V40" s="1658"/>
      <c r="Y40" s="2374" t="s">
        <v>1516</v>
      </c>
      <c r="Z40" s="2375"/>
      <c r="AA40" s="2376"/>
      <c r="AC40" s="1766">
        <f>+T39-V39</f>
        <v>0</v>
      </c>
      <c r="AD40" s="1767" t="str">
        <f>IFERROR(Barwertdifferenz*VLOOKUP(Dat_EzE,Umrechnungsfaktoren_BinEP,2),"")</f>
        <v/>
      </c>
      <c r="AE40" s="1664"/>
      <c r="AF40" s="1664"/>
      <c r="AG40" s="1009"/>
      <c r="AH40" s="1746"/>
      <c r="AI40" s="1768"/>
      <c r="AJ40" s="1768"/>
      <c r="AK40" s="1667"/>
      <c r="AL40" s="1667"/>
      <c r="AM40" s="1667"/>
      <c r="AN40" s="1667"/>
      <c r="AO40" s="1668"/>
      <c r="AP40" s="1672" t="s">
        <v>1402</v>
      </c>
      <c r="AQ40" s="1769">
        <v>203</v>
      </c>
      <c r="AR40" s="1672" t="s">
        <v>1455</v>
      </c>
      <c r="AS40" s="1672" t="str">
        <f>VLOOKUP(TOs+4,'TO Ziff.5'!$B$7:$P$409,4)</f>
        <v>5.3.</v>
      </c>
      <c r="AT40" s="1672"/>
      <c r="AU40" s="1672"/>
      <c r="AV40" s="1672" t="s">
        <v>1054</v>
      </c>
      <c r="AW40" s="1672" t="s">
        <v>1055</v>
      </c>
      <c r="AX40" s="1672" t="s">
        <v>1403</v>
      </c>
      <c r="AY40" s="1672" t="s">
        <v>1404</v>
      </c>
      <c r="AZ40" s="1672"/>
      <c r="BA40" s="1668"/>
    </row>
    <row r="41" spans="1:63" ht="17.100000000000001" customHeight="1" thickTop="1">
      <c r="A41" s="1659"/>
      <c r="B41" s="1660" t="s">
        <v>854</v>
      </c>
      <c r="C41" s="1660"/>
      <c r="D41" s="1660"/>
      <c r="E41" s="1660"/>
      <c r="F41" s="1660"/>
      <c r="G41" s="1660"/>
      <c r="H41" s="1661" t="s">
        <v>1674</v>
      </c>
      <c r="I41" s="1659"/>
      <c r="J41" s="1660"/>
      <c r="K41" s="2294" t="str">
        <f>IFERROR(ABS(AR41),"")</f>
        <v/>
      </c>
      <c r="L41" s="2294"/>
      <c r="M41" s="1660"/>
      <c r="N41" s="1660"/>
      <c r="O41" s="1660"/>
      <c r="P41" s="1660"/>
      <c r="Q41" s="1660"/>
      <c r="R41" s="1660"/>
      <c r="S41" s="2285" t="s">
        <v>1673</v>
      </c>
      <c r="T41" s="2285"/>
      <c r="U41" s="1662">
        <f>ABS(T39-V39)</f>
        <v>0</v>
      </c>
      <c r="V41" s="1660"/>
      <c r="W41" s="1011"/>
      <c r="X41" s="1011"/>
      <c r="Y41" s="1602" t="s">
        <v>1935</v>
      </c>
      <c r="Z41" s="1708" t="e">
        <f>VLOOKUP(YEAR(Dat_EzE),MonatlicheBezugsgroesse,4)</f>
        <v>#N/A</v>
      </c>
      <c r="AA41" s="1708" t="e">
        <f>VLOOKUP(YEAR(Dat_EzE),MonatlicheBezugsgroesse,5)</f>
        <v>#N/A</v>
      </c>
      <c r="AB41" s="1659"/>
      <c r="AC41" s="2269">
        <v>3.75</v>
      </c>
      <c r="AD41" s="2269"/>
      <c r="AE41" s="1482"/>
      <c r="AF41" s="1482"/>
      <c r="AG41" s="1524"/>
      <c r="AH41" s="491"/>
      <c r="AK41" s="1238"/>
      <c r="AL41" s="1238"/>
      <c r="AM41" s="1238"/>
      <c r="AN41" s="1238"/>
      <c r="AO41" s="1298" t="s">
        <v>1675</v>
      </c>
      <c r="AP41" s="1562" t="e">
        <f>+KoKaDRV+Z15+Z16+Dat_bstdKoKa_M+F39</f>
        <v>#VALUE!</v>
      </c>
      <c r="AQ41" s="1562" t="e">
        <f>KoKaDRV_F+AA15+AA16+Dat_bstdKoKa_F+F40</f>
        <v>#VALUE!</v>
      </c>
      <c r="AR41" s="1562" t="e">
        <f>+AP41-AQ41</f>
        <v>#VALUE!</v>
      </c>
      <c r="AV41" s="1298">
        <f>VLOOKUP(TOs+4,'TO Ziff.5'!$B$7:$P$409,10)</f>
        <v>0</v>
      </c>
      <c r="AW41" s="1298">
        <f>VLOOKUP(TOs+4,'TO Ziff.5'!$B$7:$P$409,11)</f>
        <v>2</v>
      </c>
      <c r="AX41" s="1298">
        <f>VLOOKUP(TOs,'TO Ziff.5'!$B$7:$P$409,12)</f>
        <v>0</v>
      </c>
      <c r="AY41" s="1298">
        <f>VLOOKUP(TOs+4,'TO Ziff.5'!$B$7:$P$409,13)</f>
        <v>4</v>
      </c>
      <c r="AZ41" s="1298">
        <f>SUM(AV41:AY41)</f>
        <v>6</v>
      </c>
      <c r="BC41" s="491" t="e">
        <f>+BA27/AW11</f>
        <v>#VALUE!</v>
      </c>
    </row>
    <row r="42" spans="1:63" ht="14.25" hidden="1" customHeight="1">
      <c r="AL42" s="1238"/>
      <c r="AP42" s="1298" t="str">
        <f>IFERROR(IF(AZ41=0,"","TO "&amp;IF(AZ41&gt;0,"ermöglicht u.a.","")&amp;": "&amp;IF(AV41&gt;0,"Tarifwechel"&amp;IF(AW41+AX41+AY41&gt;0,"; ","."),"")&amp;IF(AW41&gt;0,"doppelten Kostenabzug"&amp;IF(AX41+AY41&gt;0,"; ","."),"")&amp;IF(AX41&gt;0," Abweichungen vom gerichtl. festgelegten Ausgleichswert"&amp;IF(AY41&gt;0,"; ","."),"")&amp;IF(AY41&gt;0," eine Verzinsung d. AusglWerts zwischen EzE und RK ist ggfls. geltend zu machen","")),"")</f>
        <v>TO ermöglicht u.a.: doppelten Kostenabzug;  eine Verzinsung d. AusglWerts zwischen EzE und RK ist ggfls. geltend zu machen</v>
      </c>
    </row>
    <row r="43" spans="1:63" ht="14.25" hidden="1" customHeight="1">
      <c r="AL43" s="1238"/>
    </row>
    <row r="44" spans="1:63" ht="14.25" hidden="1" customHeight="1">
      <c r="AL44" s="1238"/>
    </row>
    <row r="45" spans="1:63" ht="14.25" hidden="1" customHeight="1">
      <c r="AL45" s="1238"/>
    </row>
    <row r="46" spans="1:63" ht="14.25" hidden="1" customHeight="1">
      <c r="AL46" s="1238"/>
    </row>
    <row r="47" spans="1:63" ht="14.25" hidden="1" customHeight="1">
      <c r="AL47" s="1238"/>
    </row>
    <row r="48" spans="1:63" ht="14.25" hidden="1" customHeight="1">
      <c r="AL48" s="1238"/>
    </row>
    <row r="49" spans="38:38" ht="14.25" hidden="1" customHeight="1">
      <c r="AL49" s="1238"/>
    </row>
  </sheetData>
  <sheetProtection algorithmName="SHA-512" hashValue="4F2wXPcMSDC1kQYCzdyzx92Y6FhUtknGaO7UdOgEtyfPODMDjmrk1KR/R7F7LSWciEue5obHuN3lkHskKaQ+5g==" saltValue="Z0gcslRVUjkAGaph9TTFNA==" spinCount="100000" sheet="1" objects="1" scenarios="1" selectLockedCells="1"/>
  <mergeCells count="144">
    <mergeCell ref="BA25:BA26"/>
    <mergeCell ref="S11:T11"/>
    <mergeCell ref="U9:V9"/>
    <mergeCell ref="AY25:AY26"/>
    <mergeCell ref="X2:X12"/>
    <mergeCell ref="U4:V4"/>
    <mergeCell ref="Y2:AA2"/>
    <mergeCell ref="Y10:Z10"/>
    <mergeCell ref="Y6:Z6"/>
    <mergeCell ref="AU25:AU26"/>
    <mergeCell ref="R2:V2"/>
    <mergeCell ref="AC3:AC11"/>
    <mergeCell ref="AO24:BC24"/>
    <mergeCell ref="AV8:AX8"/>
    <mergeCell ref="BB25:BC25"/>
    <mergeCell ref="BA17:BC17"/>
    <mergeCell ref="AW17:AW18"/>
    <mergeCell ref="AZ25:AZ26"/>
    <mergeCell ref="S22:V23"/>
    <mergeCell ref="S24:V24"/>
    <mergeCell ref="S25:V25"/>
    <mergeCell ref="X21:X26"/>
    <mergeCell ref="AR8:AS8"/>
    <mergeCell ref="AX17:AX18"/>
    <mergeCell ref="A8:A9"/>
    <mergeCell ref="A10:A20"/>
    <mergeCell ref="E22:E26"/>
    <mergeCell ref="I22:I26"/>
    <mergeCell ref="B22:B26"/>
    <mergeCell ref="C22:C26"/>
    <mergeCell ref="F22:F26"/>
    <mergeCell ref="G22:G26"/>
    <mergeCell ref="B15:F16"/>
    <mergeCell ref="G15:I16"/>
    <mergeCell ref="G17:I17"/>
    <mergeCell ref="D22:D26"/>
    <mergeCell ref="B17:F17"/>
    <mergeCell ref="B18:I19"/>
    <mergeCell ref="B8:I8"/>
    <mergeCell ref="B11:I11"/>
    <mergeCell ref="B12:I12"/>
    <mergeCell ref="B21:Q21"/>
    <mergeCell ref="B20:I20"/>
    <mergeCell ref="O23:P23"/>
    <mergeCell ref="K22:K26"/>
    <mergeCell ref="L9:N9"/>
    <mergeCell ref="L22:L26"/>
    <mergeCell ref="J19:Q19"/>
    <mergeCell ref="B40:D40"/>
    <mergeCell ref="J18:Q18"/>
    <mergeCell ref="AA24:AA26"/>
    <mergeCell ref="M22:M26"/>
    <mergeCell ref="Q22:Q26"/>
    <mergeCell ref="AV17:AV18"/>
    <mergeCell ref="A22:A23"/>
    <mergeCell ref="A24:A38"/>
    <mergeCell ref="B39:D39"/>
    <mergeCell ref="Y22:AA23"/>
    <mergeCell ref="J22:J26"/>
    <mergeCell ref="M40:R40"/>
    <mergeCell ref="H39:L40"/>
    <mergeCell ref="S21:V21"/>
    <mergeCell ref="R22:R26"/>
    <mergeCell ref="O25:P25"/>
    <mergeCell ref="N22:N26"/>
    <mergeCell ref="O24:P24"/>
    <mergeCell ref="AE20:AE26"/>
    <mergeCell ref="H22:H26"/>
    <mergeCell ref="J20:Q20"/>
    <mergeCell ref="Y40:AA40"/>
    <mergeCell ref="AT25:AT26"/>
    <mergeCell ref="S17:V17"/>
    <mergeCell ref="AO8:AP8"/>
    <mergeCell ref="Y20:AA21"/>
    <mergeCell ref="U10:V10"/>
    <mergeCell ref="Y24:Y26"/>
    <mergeCell ref="S10:T10"/>
    <mergeCell ref="AC20:AC26"/>
    <mergeCell ref="AD20:AD26"/>
    <mergeCell ref="Y11:AA11"/>
    <mergeCell ref="AC14:AD17"/>
    <mergeCell ref="Y17:AA17"/>
    <mergeCell ref="Z24:Z26"/>
    <mergeCell ref="AM13:AM16"/>
    <mergeCell ref="AL10:AN11"/>
    <mergeCell ref="AC2:AE2"/>
    <mergeCell ref="O2:Q3"/>
    <mergeCell ref="AC41:AD41"/>
    <mergeCell ref="AC39:AD39"/>
    <mergeCell ref="Y8:AA9"/>
    <mergeCell ref="O22:P22"/>
    <mergeCell ref="AK6:AL8"/>
    <mergeCell ref="J15:Q15"/>
    <mergeCell ref="O6:Q6"/>
    <mergeCell ref="S41:T41"/>
    <mergeCell ref="Y39:AA39"/>
    <mergeCell ref="M39:R39"/>
    <mergeCell ref="H6:K6"/>
    <mergeCell ref="Y3:AA5"/>
    <mergeCell ref="K41:L41"/>
    <mergeCell ref="L6:N6"/>
    <mergeCell ref="J17:Q17"/>
    <mergeCell ref="J14:Q14"/>
    <mergeCell ref="B4:D4"/>
    <mergeCell ref="E4:G4"/>
    <mergeCell ref="E5:G5"/>
    <mergeCell ref="S4:T4"/>
    <mergeCell ref="B7:D7"/>
    <mergeCell ref="AD3:AD11"/>
    <mergeCell ref="R3:R7"/>
    <mergeCell ref="L10:N10"/>
    <mergeCell ref="S9:T9"/>
    <mergeCell ref="S8:V8"/>
    <mergeCell ref="U11:V11"/>
    <mergeCell ref="J8:Q8"/>
    <mergeCell ref="J11:Q11"/>
    <mergeCell ref="J10:K10"/>
    <mergeCell ref="O9:Q9"/>
    <mergeCell ref="O10:Q10"/>
    <mergeCell ref="J9:K9"/>
    <mergeCell ref="BG3:BG4"/>
    <mergeCell ref="AS3:BF3"/>
    <mergeCell ref="BB9:BC9"/>
    <mergeCell ref="BD24:BG24"/>
    <mergeCell ref="H4:Q5"/>
    <mergeCell ref="E7:F7"/>
    <mergeCell ref="H7:K7"/>
    <mergeCell ref="B5:D5"/>
    <mergeCell ref="B13:I13"/>
    <mergeCell ref="B14:I14"/>
    <mergeCell ref="B9:I9"/>
    <mergeCell ref="B10:I10"/>
    <mergeCell ref="L7:N7"/>
    <mergeCell ref="B6:D6"/>
    <mergeCell ref="J12:Q13"/>
    <mergeCell ref="AO17:AS17"/>
    <mergeCell ref="O7:Q7"/>
    <mergeCell ref="E6:F6"/>
    <mergeCell ref="AH1:AH12"/>
    <mergeCell ref="AI1:AI12"/>
    <mergeCell ref="AO1:AR1"/>
    <mergeCell ref="B1:V1"/>
    <mergeCell ref="J16:Q16"/>
    <mergeCell ref="B2:N3"/>
  </mergeCells>
  <conditionalFormatting sqref="B39:B40 E39:V40">
    <cfRule type="expression" dxfId="700" priority="633">
      <formula>$A$21=1</formula>
    </cfRule>
  </conditionalFormatting>
  <conditionalFormatting sqref="B27:C38">
    <cfRule type="expression" dxfId="699" priority="1115">
      <formula>OR(B27="w",B27="f")</formula>
    </cfRule>
    <cfRule type="expression" dxfId="698" priority="1116">
      <formula>B27="m"</formula>
    </cfRule>
  </conditionalFormatting>
  <conditionalFormatting sqref="B4:E4 H4">
    <cfRule type="expression" dxfId="697" priority="1728">
      <formula>$AL$3=1</formula>
    </cfRule>
  </conditionalFormatting>
  <conditionalFormatting sqref="B5:E5">
    <cfRule type="expression" dxfId="696" priority="1730">
      <formula>$AL$3=2</formula>
    </cfRule>
  </conditionalFormatting>
  <conditionalFormatting sqref="B15:F16">
    <cfRule type="expression" dxfId="695" priority="455">
      <formula>TO_vorhanden&gt;12</formula>
    </cfRule>
  </conditionalFormatting>
  <conditionalFormatting sqref="E27:E38">
    <cfRule type="expression" dxfId="694" priority="1">
      <formula>AND(D27&gt;0,E27=0,$H27&lt;&gt;"K")</formula>
    </cfRule>
    <cfRule type="expression" dxfId="693" priority="2">
      <formula>AND($BH27&lt;=5%,E27&gt;0,$T27+$V27&gt;0,$H27&lt;&gt;"K")</formula>
    </cfRule>
    <cfRule type="expression" dxfId="692" priority="3">
      <formula>AND($BH27&gt;5%,$BH27&lt;10%,$T27+$V27&gt;0,$H27&lt;&gt;"K")</formula>
    </cfRule>
  </conditionalFormatting>
  <conditionalFormatting sqref="E39:H39 B39:B40 M39:M40 S39:V40 E40:G40">
    <cfRule type="expression" dxfId="691" priority="902">
      <formula>b_p_AVverbergen</formula>
    </cfRule>
  </conditionalFormatting>
  <conditionalFormatting sqref="F27:F38">
    <cfRule type="expression" dxfId="690" priority="604">
      <formula>AND(F27&gt;0,$BH27&gt;10%,$T27+$V27&gt;0,$H27&lt;&gt;"K")</formula>
    </cfRule>
    <cfRule type="expression" dxfId="689" priority="619">
      <formula>AND(E27&gt;0,F27=0,$H27&lt;&gt;"K")</formula>
    </cfRule>
    <cfRule type="expression" dxfId="688" priority="620">
      <formula>AND($BH27&lt;=5%,F27&gt;0,$T27+$V27&gt;0,$H27&lt;&gt;"K")</formula>
    </cfRule>
    <cfRule type="expression" dxfId="687" priority="621">
      <formula>AND($BH27&gt;5%,$BH27&lt;10%,$T27+$V27&gt;0,$H27&lt;&gt;"K")</formula>
    </cfRule>
    <cfRule type="expression" dxfId="686" priority="622">
      <formula>AND(F27&gt;0,$BH27&gt;10%,$T27+$V27&gt;0,$H27&lt;&gt;"K")</formula>
    </cfRule>
    <cfRule type="expression" dxfId="685" priority="623">
      <formula>AND(F27&gt;0,$BH27&gt;10%,$T27+$V27&gt;0,$H27&lt;&gt;"K")</formula>
    </cfRule>
    <cfRule type="expression" dxfId="684" priority="625">
      <formula>AND(F27&gt;0,$BH27&gt;10%,$T27+$V27&gt;0,$H27&lt;&gt;"K",L27&lt;&gt;"i")</formula>
    </cfRule>
  </conditionalFormatting>
  <conditionalFormatting sqref="F28">
    <cfRule type="expression" dxfId="683" priority="589">
      <formula>AND(E28&gt;0,F28=0,$H28&lt;&gt;"K")</formula>
    </cfRule>
    <cfRule type="expression" dxfId="682" priority="590">
      <formula>AND($BH28&lt;=5%,F28&gt;0,$T28+$V28&gt;0,$H28&lt;&gt;"K")</formula>
    </cfRule>
    <cfRule type="expression" dxfId="681" priority="591">
      <formula>AND($BH28&gt;5%,$BH28&lt;10%,$T28+$V28&gt;0,$H28&lt;&gt;"K")</formula>
    </cfRule>
    <cfRule type="expression" dxfId="680" priority="592">
      <formula>AND(F28&gt;0,$BH28&gt;10%,$T28+$V28&gt;0,$H28&lt;&gt;"K")</formula>
    </cfRule>
    <cfRule type="expression" dxfId="679" priority="593">
      <formula>AND(F28&gt;0,$BH28&gt;10%,$T28+$V28&gt;0,$H28&lt;&gt;"K")</formula>
    </cfRule>
    <cfRule type="expression" dxfId="678" priority="595">
      <formula>AND(F28&gt;0,$BH28&gt;10%,$T28+$V28&gt;0,$H28&lt;&gt;"K",L28&lt;&gt;"i")</formula>
    </cfRule>
  </conditionalFormatting>
  <conditionalFormatting sqref="F28:F29">
    <cfRule type="expression" dxfId="677" priority="580">
      <formula>AND(F28&gt;0,$BH28&gt;10%,$T28+$V28&gt;0,$H28&lt;&gt;"K")</formula>
    </cfRule>
  </conditionalFormatting>
  <conditionalFormatting sqref="F28:F38">
    <cfRule type="expression" dxfId="676" priority="513">
      <formula>$A$21=1</formula>
    </cfRule>
    <cfRule type="expression" dxfId="675" priority="514">
      <formula>b_p_AVverbergen</formula>
    </cfRule>
  </conditionalFormatting>
  <conditionalFormatting sqref="F29">
    <cfRule type="expression" dxfId="674" priority="577">
      <formula>AND(E29&gt;0,F29=0,$H29&lt;&gt;"K")</formula>
    </cfRule>
    <cfRule type="expression" dxfId="673" priority="578">
      <formula>AND($BH29&lt;=5%,F29&gt;0,$T29+$V29&gt;0,$H29&lt;&gt;"K")</formula>
    </cfRule>
    <cfRule type="expression" dxfId="672" priority="579">
      <formula>AND($BH29&gt;5%,$BH29&lt;10%,$T29+$V29&gt;0,$H29&lt;&gt;"K")</formula>
    </cfRule>
    <cfRule type="expression" dxfId="671" priority="581">
      <formula>AND(F29&gt;0,$BH29&gt;10%,$T29+$V29&gt;0,$H29&lt;&gt;"K")</formula>
    </cfRule>
    <cfRule type="expression" dxfId="670" priority="583">
      <formula>AND(F29&gt;0,$BH29&gt;10%,$T29+$V29&gt;0,$H29&lt;&gt;"K",L29&lt;&gt;"i")</formula>
    </cfRule>
  </conditionalFormatting>
  <conditionalFormatting sqref="F29:F30">
    <cfRule type="expression" dxfId="669" priority="332">
      <formula>AND(E29&gt;0,F29=0,$H29&lt;&gt;"K")</formula>
    </cfRule>
    <cfRule type="expression" dxfId="668" priority="333">
      <formula>AND($BH29&lt;=5%,F29&gt;0,$T29+$V29&gt;0,$H29&lt;&gt;"K")</formula>
    </cfRule>
    <cfRule type="expression" dxfId="667" priority="334">
      <formula>AND($BH29&gt;5%,$BH29&lt;10%,$T29+$V29&gt;0,$H29&lt;&gt;"K")</formula>
    </cfRule>
    <cfRule type="expression" dxfId="666" priority="335">
      <formula>AND(F29&gt;0,$BH29&gt;10%,$T29+$V29&gt;0,$H29&lt;&gt;"K")</formula>
    </cfRule>
    <cfRule type="expression" dxfId="665" priority="336">
      <formula>AND(F29&gt;0,$BH29&gt;10%,$T29+$V29&gt;0,$H29&lt;&gt;"K")</formula>
    </cfRule>
    <cfRule type="expression" dxfId="664" priority="337">
      <formula>AND(F29&gt;0,$BH29&gt;10%,$T29+$V29&gt;0,$H29&lt;&gt;"K",L29&lt;&gt;"i")</formula>
    </cfRule>
    <cfRule type="expression" dxfId="663" priority="568">
      <formula>AND(F29&gt;0,$BH29&gt;10%,$T29+$V29&gt;0,$H29&lt;&gt;"K")</formula>
    </cfRule>
  </conditionalFormatting>
  <conditionalFormatting sqref="F30">
    <cfRule type="expression" dxfId="662" priority="565">
      <formula>AND(E30&gt;0,F30=0,$H30&lt;&gt;"K")</formula>
    </cfRule>
    <cfRule type="expression" dxfId="661" priority="566">
      <formula>AND($BH30&lt;=5%,F30&gt;0,$T30+$V30&gt;0,$H30&lt;&gt;"K")</formula>
    </cfRule>
    <cfRule type="expression" dxfId="660" priority="567">
      <formula>AND($BH30&gt;5%,$BH30&lt;10%,$T30+$V30&gt;0,$H30&lt;&gt;"K")</formula>
    </cfRule>
    <cfRule type="expression" dxfId="659" priority="569">
      <formula>AND(F30&gt;0,$BH30&gt;10%,$T30+$V30&gt;0,$H30&lt;&gt;"K")</formula>
    </cfRule>
    <cfRule type="expression" dxfId="658" priority="571">
      <formula>AND(F30&gt;0,$BH30&gt;10%,$T30+$V30&gt;0,$H30&lt;&gt;"K",L30&lt;&gt;"i")</formula>
    </cfRule>
  </conditionalFormatting>
  <conditionalFormatting sqref="F30:F31">
    <cfRule type="expression" dxfId="657" priority="320">
      <formula>AND(E30&gt;0,F30=0,$H30&lt;&gt;"K")</formula>
    </cfRule>
    <cfRule type="expression" dxfId="656" priority="321">
      <formula>AND($BH30&lt;=5%,F30&gt;0,$T30+$V30&gt;0,$H30&lt;&gt;"K")</formula>
    </cfRule>
    <cfRule type="expression" dxfId="655" priority="322">
      <formula>AND($BH30&gt;5%,$BH30&lt;10%,$T30+$V30&gt;0,$H30&lt;&gt;"K")</formula>
    </cfRule>
    <cfRule type="expression" dxfId="654" priority="323">
      <formula>AND(F30&gt;0,$BH30&gt;10%,$T30+$V30&gt;0,$H30&lt;&gt;"K")</formula>
    </cfRule>
    <cfRule type="expression" dxfId="653" priority="324">
      <formula>AND(F30&gt;0,$BH30&gt;10%,$T30+$V30&gt;0,$H30&lt;&gt;"K")</formula>
    </cfRule>
    <cfRule type="expression" dxfId="652" priority="325">
      <formula>AND(F30&gt;0,$BH30&gt;10%,$T30+$V30&gt;0,$H30&lt;&gt;"K",L30&lt;&gt;"i")</formula>
    </cfRule>
  </conditionalFormatting>
  <conditionalFormatting sqref="F30:F32">
    <cfRule type="expression" dxfId="651" priority="556">
      <formula>AND(F30&gt;0,$BH30&gt;10%,$T30+$V30&gt;0,$H30&lt;&gt;"K")</formula>
    </cfRule>
  </conditionalFormatting>
  <conditionalFormatting sqref="F31">
    <cfRule type="expression" dxfId="650" priority="311">
      <formula>AND(F31&gt;0,$BH31&gt;10%,$T31+$V31&gt;0,$H31&lt;&gt;"K")</formula>
    </cfRule>
    <cfRule type="expression" dxfId="649" priority="314">
      <formula>AND(E31&gt;0,F31=0,$H31&lt;&gt;"K")</formula>
    </cfRule>
    <cfRule type="expression" dxfId="648" priority="315">
      <formula>AND($BH31&lt;=5%,F31&gt;0,$T31+$V31&gt;0,$H31&lt;&gt;"K")</formula>
    </cfRule>
    <cfRule type="expression" dxfId="647" priority="316">
      <formula>AND($BH31&gt;5%,$BH31&lt;10%,$T31+$V31&gt;0,$H31&lt;&gt;"K")</formula>
    </cfRule>
    <cfRule type="expression" dxfId="646" priority="317">
      <formula>AND(F31&gt;0,$BH31&gt;10%,$T31+$V31&gt;0,$H31&lt;&gt;"K")</formula>
    </cfRule>
    <cfRule type="expression" dxfId="645" priority="318">
      <formula>AND(F31&gt;0,$BH31&gt;10%,$T31+$V31&gt;0,$H31&lt;&gt;"K")</formula>
    </cfRule>
    <cfRule type="expression" dxfId="644" priority="319">
      <formula>AND(F31&gt;0,$BH31&gt;10%,$T31+$V31&gt;0,$H31&lt;&gt;"K",L31&lt;&gt;"i")</formula>
    </cfRule>
    <cfRule type="expression" dxfId="643" priority="552">
      <formula>AND(F31&gt;0,$BH31&gt;10%,$T31+$V31&gt;0,$H31&lt;&gt;"K")</formula>
    </cfRule>
    <cfRule type="expression" dxfId="642" priority="553">
      <formula>AND(E31&gt;0,F31=0,$H31&lt;&gt;"K")</formula>
    </cfRule>
    <cfRule type="expression" dxfId="641" priority="554">
      <formula>AND($BH31&lt;=5%,F31&gt;0,$T31+$V31&gt;0,$H31&lt;&gt;"K")</formula>
    </cfRule>
    <cfRule type="expression" dxfId="640" priority="555">
      <formula>AND($BH31&gt;5%,$BH31&lt;10%,$T31+$V31&gt;0,$H31&lt;&gt;"K")</formula>
    </cfRule>
    <cfRule type="expression" dxfId="639" priority="557">
      <formula>AND(F31&gt;0,$BH31&gt;10%,$T31+$V31&gt;0,$H31&lt;&gt;"K")</formula>
    </cfRule>
    <cfRule type="expression" dxfId="638" priority="559">
      <formula>AND(F31&gt;0,$BH31&gt;10%,$T31+$V31&gt;0,$H31&lt;&gt;"K",L31&lt;&gt;"i")</formula>
    </cfRule>
  </conditionalFormatting>
  <conditionalFormatting sqref="F31:F32">
    <cfRule type="expression" dxfId="637" priority="303">
      <formula>AND(E31&gt;0,F31=0,$H31&lt;&gt;"K")</formula>
    </cfRule>
    <cfRule type="expression" dxfId="636" priority="304">
      <formula>AND($BH31&lt;=5%,F31&gt;0,$T31+$V31&gt;0,$H31&lt;&gt;"K")</formula>
    </cfRule>
    <cfRule type="expression" dxfId="635" priority="305">
      <formula>AND($BH31&gt;5%,$BH31&lt;10%,$T31+$V31&gt;0,$H31&lt;&gt;"K")</formula>
    </cfRule>
    <cfRule type="expression" dxfId="634" priority="306">
      <formula>AND(F31&gt;0,$BH31&gt;10%,$T31+$V31&gt;0,$H31&lt;&gt;"K")</formula>
    </cfRule>
    <cfRule type="expression" dxfId="633" priority="307">
      <formula>AND(F31&gt;0,$BH31&gt;10%,$T31+$V31&gt;0,$H31&lt;&gt;"K",L31&lt;&gt;"i")</formula>
    </cfRule>
  </conditionalFormatting>
  <conditionalFormatting sqref="F32">
    <cfRule type="expression" dxfId="632" priority="290">
      <formula>AND(E32&gt;0,F32=0,$H32&lt;&gt;"K")</formula>
    </cfRule>
    <cfRule type="expression" dxfId="631" priority="291">
      <formula>AND($BH32&lt;=5%,F32&gt;0,$T32+$V32&gt;0,$H32&lt;&gt;"K")</formula>
    </cfRule>
    <cfRule type="expression" dxfId="630" priority="292">
      <formula>AND($BH32&gt;5%,$BH32&lt;10%,$T32+$V32&gt;0,$H32&lt;&gt;"K")</formula>
    </cfRule>
    <cfRule type="expression" dxfId="629" priority="293">
      <formula>AND(F32&gt;0,$BH32&gt;10%,$T32+$V32&gt;0,$H32&lt;&gt;"K")</formula>
    </cfRule>
    <cfRule type="expression" dxfId="628" priority="294">
      <formula>AND(F32&gt;0,$BH32&gt;10%,$T32+$V32&gt;0,$H32&lt;&gt;"K")</formula>
    </cfRule>
    <cfRule type="expression" dxfId="627" priority="295">
      <formula>AND(F32&gt;0,$BH32&gt;10%,$T32+$V32&gt;0,$H32&lt;&gt;"K",L32&lt;&gt;"i")</formula>
    </cfRule>
    <cfRule type="expression" dxfId="626" priority="296">
      <formula>AND(E32&gt;0,F32=0,$H32&lt;&gt;"K")</formula>
    </cfRule>
    <cfRule type="expression" dxfId="625" priority="297">
      <formula>AND($BH32&lt;=5%,F32&gt;0,$T32+$V32&gt;0,$H32&lt;&gt;"K")</formula>
    </cfRule>
    <cfRule type="expression" dxfId="624" priority="298">
      <formula>AND($BH32&gt;5%,$BH32&lt;10%,$T32+$V32&gt;0,$H32&lt;&gt;"K")</formula>
    </cfRule>
    <cfRule type="expression" dxfId="623" priority="299">
      <formula>AND(F32&gt;0,$BH32&gt;10%,$T32+$V32&gt;0,$H32&lt;&gt;"K")</formula>
    </cfRule>
    <cfRule type="expression" dxfId="622" priority="300">
      <formula>AND(F32&gt;0,$BH32&gt;10%,$T32+$V32&gt;0,$H32&lt;&gt;"K")</formula>
    </cfRule>
    <cfRule type="expression" dxfId="621" priority="301">
      <formula>AND(F32&gt;0,$BH32&gt;10%,$T32+$V32&gt;0,$H32&lt;&gt;"K",L32&lt;&gt;"i")</formula>
    </cfRule>
    <cfRule type="expression" dxfId="620" priority="601">
      <formula>AND(E32&gt;0,F32=0,$H32&lt;&gt;"K")</formula>
    </cfRule>
    <cfRule type="expression" dxfId="619" priority="602">
      <formula>AND($BH32&lt;=5%,F32&gt;0,$T32+$V32&gt;0,$H32&lt;&gt;"K")</formula>
    </cfRule>
    <cfRule type="expression" dxfId="618" priority="603">
      <formula>AND($BH32&gt;5%,$BH32&lt;10%,$T32+$V32&gt;0,$H32&lt;&gt;"K")</formula>
    </cfRule>
    <cfRule type="expression" dxfId="617" priority="605">
      <formula>AND(F32&gt;0,$BH32&gt;10%,$T32+$V32&gt;0,$H32&lt;&gt;"K")</formula>
    </cfRule>
    <cfRule type="expression" dxfId="616" priority="607">
      <formula>AND(F32&gt;0,$BH32&gt;10%,$T32+$V32&gt;0,$H32&lt;&gt;"K",L32&lt;&gt;"i")</formula>
    </cfRule>
  </conditionalFormatting>
  <conditionalFormatting sqref="F32:F33">
    <cfRule type="expression" dxfId="615" priority="278">
      <formula>AND(E32&gt;0,F32=0,$H32&lt;&gt;"K")</formula>
    </cfRule>
    <cfRule type="expression" dxfId="614" priority="279">
      <formula>AND($BH32&lt;=5%,F32&gt;0,$T32+$V32&gt;0,$H32&lt;&gt;"K")</formula>
    </cfRule>
    <cfRule type="expression" dxfId="613" priority="280">
      <formula>AND($BH32&gt;5%,$BH32&lt;10%,$T32+$V32&gt;0,$H32&lt;&gt;"K")</formula>
    </cfRule>
    <cfRule type="expression" dxfId="612" priority="281">
      <formula>AND(F32&gt;0,$BH32&gt;10%,$T32+$V32&gt;0,$H32&lt;&gt;"K")</formula>
    </cfRule>
    <cfRule type="expression" dxfId="611" priority="282">
      <formula>AND(F32&gt;0,$BH32&gt;10%,$T32+$V32&gt;0,$H32&lt;&gt;"K")</formula>
    </cfRule>
    <cfRule type="expression" dxfId="610" priority="283">
      <formula>AND(F32&gt;0,$BH32&gt;10%,$T32+$V32&gt;0,$H32&lt;&gt;"K",L32&lt;&gt;"i")</formula>
    </cfRule>
  </conditionalFormatting>
  <conditionalFormatting sqref="F33">
    <cfRule type="expression" dxfId="609" priority="259">
      <formula>AND(E33&gt;0,F33=0,$H33&lt;&gt;"K")</formula>
    </cfRule>
    <cfRule type="expression" dxfId="608" priority="260">
      <formula>AND($BH33&lt;=5%,F33&gt;0,$T33+$V33&gt;0,$H33&lt;&gt;"K")</formula>
    </cfRule>
    <cfRule type="expression" dxfId="607" priority="261">
      <formula>AND($BH33&gt;5%,$BH33&lt;10%,$T33+$V33&gt;0,$H33&lt;&gt;"K")</formula>
    </cfRule>
    <cfRule type="expression" dxfId="606" priority="262">
      <formula>AND(F33&gt;0,$BH33&gt;10%,$T33+$V33&gt;0,$H33&lt;&gt;"K")</formula>
    </cfRule>
    <cfRule type="expression" dxfId="605" priority="263">
      <formula>AND(F33&gt;0,$BH33&gt;10%,$T33+$V33&gt;0,$H33&lt;&gt;"K")</formula>
    </cfRule>
    <cfRule type="expression" dxfId="604" priority="264">
      <formula>AND(F33&gt;0,$BH33&gt;10%,$T33+$V33&gt;0,$H33&lt;&gt;"K",L33&lt;&gt;"i")</formula>
    </cfRule>
    <cfRule type="expression" dxfId="603" priority="265">
      <formula>AND(E33&gt;0,F33=0,$H33&lt;&gt;"K")</formula>
    </cfRule>
    <cfRule type="expression" dxfId="602" priority="266">
      <formula>AND($BH33&lt;=5%,F33&gt;0,$T33+$V33&gt;0,$H33&lt;&gt;"K")</formula>
    </cfRule>
    <cfRule type="expression" dxfId="601" priority="267">
      <formula>AND($BH33&gt;5%,$BH33&lt;10%,$T33+$V33&gt;0,$H33&lt;&gt;"K")</formula>
    </cfRule>
    <cfRule type="expression" dxfId="600" priority="268">
      <formula>AND(F33&gt;0,$BH33&gt;10%,$T33+$V33&gt;0,$H33&lt;&gt;"K")</formula>
    </cfRule>
    <cfRule type="expression" dxfId="599" priority="269">
      <formula>AND(F33&gt;0,$BH33&gt;10%,$T33+$V33&gt;0,$H33&lt;&gt;"K")</formula>
    </cfRule>
    <cfRule type="expression" dxfId="598" priority="270">
      <formula>AND(F33&gt;0,$BH33&gt;10%,$T33+$V33&gt;0,$H33&lt;&gt;"K",L33&lt;&gt;"i")</formula>
    </cfRule>
    <cfRule type="expression" dxfId="597" priority="272">
      <formula>AND(E33&gt;0,F33=0,$H33&lt;&gt;"K")</formula>
    </cfRule>
    <cfRule type="expression" dxfId="596" priority="273">
      <formula>AND($BH33&lt;=5%,F33&gt;0,$T33+$V33&gt;0,$H33&lt;&gt;"K")</formula>
    </cfRule>
    <cfRule type="expression" dxfId="595" priority="274">
      <formula>AND($BH33&gt;5%,$BH33&lt;10%,$T33+$V33&gt;0,$H33&lt;&gt;"K")</formula>
    </cfRule>
    <cfRule type="expression" dxfId="594" priority="275">
      <formula>AND(F33&gt;0,$BH33&gt;10%,$T33+$V33&gt;0,$H33&lt;&gt;"K")</formula>
    </cfRule>
    <cfRule type="expression" dxfId="593" priority="276">
      <formula>AND(F33&gt;0,$BH33&gt;10%,$T33+$V33&gt;0,$H33&lt;&gt;"K",L33&lt;&gt;"i")</formula>
    </cfRule>
    <cfRule type="expression" dxfId="592" priority="277">
      <formula>AND(F33&gt;0,$BH33&gt;10%,$T33+$V33&gt;0,$H33&lt;&gt;"K")</formula>
    </cfRule>
    <cfRule type="expression" dxfId="591" priority="541">
      <formula>AND(E33&gt;0,F33=0,$H33&lt;&gt;"K")</formula>
    </cfRule>
    <cfRule type="expression" dxfId="590" priority="542">
      <formula>AND($BH33&lt;=5%,F33&gt;0,$T33+$V33&gt;0,$H33&lt;&gt;"K")</formula>
    </cfRule>
    <cfRule type="expression" dxfId="589" priority="543">
      <formula>AND($BH33&gt;5%,$BH33&lt;10%,$T33+$V33&gt;0,$H33&lt;&gt;"K")</formula>
    </cfRule>
    <cfRule type="expression" dxfId="588" priority="544">
      <formula>AND(F33&gt;0,$BH33&gt;10%,$T33+$V33&gt;0,$H33&lt;&gt;"K")</formula>
    </cfRule>
    <cfRule type="expression" dxfId="587" priority="545">
      <formula>AND(F33&gt;0,$BH33&gt;10%,$T33+$V33&gt;0,$H33&lt;&gt;"K")</formula>
    </cfRule>
    <cfRule type="expression" dxfId="586" priority="547">
      <formula>AND(F33&gt;0,$BH33&gt;10%,$T33+$V33&gt;0,$H33&lt;&gt;"K",L33&lt;&gt;"i")</formula>
    </cfRule>
  </conditionalFormatting>
  <conditionalFormatting sqref="F33:F34">
    <cfRule type="expression" dxfId="585" priority="247">
      <formula>AND(E33&gt;0,F33=0,$H33&lt;&gt;"K")</formula>
    </cfRule>
    <cfRule type="expression" dxfId="584" priority="248">
      <formula>AND($BH33&lt;=5%,F33&gt;0,$T33+$V33&gt;0,$H33&lt;&gt;"K")</formula>
    </cfRule>
    <cfRule type="expression" dxfId="583" priority="249">
      <formula>AND($BH33&gt;5%,$BH33&lt;10%,$T33+$V33&gt;0,$H33&lt;&gt;"K")</formula>
    </cfRule>
    <cfRule type="expression" dxfId="582" priority="250">
      <formula>AND(F33&gt;0,$BH33&gt;10%,$T33+$V33&gt;0,$H33&lt;&gt;"K")</formula>
    </cfRule>
    <cfRule type="expression" dxfId="581" priority="251">
      <formula>AND(F33&gt;0,$BH33&gt;10%,$T33+$V33&gt;0,$H33&lt;&gt;"K")</formula>
    </cfRule>
    <cfRule type="expression" dxfId="580" priority="252">
      <formula>AND(F33&gt;0,$BH33&gt;10%,$T33+$V33&gt;0,$H33&lt;&gt;"K",L33&lt;&gt;"i")</formula>
    </cfRule>
    <cfRule type="expression" dxfId="579" priority="532">
      <formula>AND(F33&gt;0,$BH33&gt;10%,$T33+$V33&gt;0,$H33&lt;&gt;"K")</formula>
    </cfRule>
  </conditionalFormatting>
  <conditionalFormatting sqref="F34">
    <cfRule type="expression" dxfId="578" priority="222">
      <formula>AND(E34&gt;0,F34=0,$H34&lt;&gt;"K")</formula>
    </cfRule>
    <cfRule type="expression" dxfId="577" priority="223">
      <formula>AND($BH34&lt;=5%,F34&gt;0,$T34+$V34&gt;0,$H34&lt;&gt;"K")</formula>
    </cfRule>
    <cfRule type="expression" dxfId="576" priority="224">
      <formula>AND($BH34&gt;5%,$BH34&lt;10%,$T34+$V34&gt;0,$H34&lt;&gt;"K")</formula>
    </cfRule>
    <cfRule type="expression" dxfId="575" priority="225">
      <formula>AND(F34&gt;0,$BH34&gt;10%,$T34+$V34&gt;0,$H34&lt;&gt;"K")</formula>
    </cfRule>
    <cfRule type="expression" dxfId="574" priority="226">
      <formula>AND(F34&gt;0,$BH34&gt;10%,$T34+$V34&gt;0,$H34&lt;&gt;"K")</formula>
    </cfRule>
    <cfRule type="expression" dxfId="573" priority="227">
      <formula>AND(F34&gt;0,$BH34&gt;10%,$T34+$V34&gt;0,$H34&lt;&gt;"K",L34&lt;&gt;"i")</formula>
    </cfRule>
    <cfRule type="expression" dxfId="572" priority="228">
      <formula>AND(E34&gt;0,F34=0,$H34&lt;&gt;"K")</formula>
    </cfRule>
    <cfRule type="expression" dxfId="571" priority="229">
      <formula>AND($BH34&lt;=5%,F34&gt;0,$T34+$V34&gt;0,$H34&lt;&gt;"K")</formula>
    </cfRule>
    <cfRule type="expression" dxfId="570" priority="230">
      <formula>AND($BH34&gt;5%,$BH34&lt;10%,$T34+$V34&gt;0,$H34&lt;&gt;"K")</formula>
    </cfRule>
    <cfRule type="expression" dxfId="569" priority="231">
      <formula>AND(F34&gt;0,$BH34&gt;10%,$T34+$V34&gt;0,$H34&lt;&gt;"K")</formula>
    </cfRule>
    <cfRule type="expression" dxfId="568" priority="232">
      <formula>AND(F34&gt;0,$BH34&gt;10%,$T34+$V34&gt;0,$H34&lt;&gt;"K")</formula>
    </cfRule>
    <cfRule type="expression" dxfId="567" priority="233">
      <formula>AND(F34&gt;0,$BH34&gt;10%,$T34+$V34&gt;0,$H34&lt;&gt;"K",L34&lt;&gt;"i")</formula>
    </cfRule>
    <cfRule type="expression" dxfId="566" priority="235">
      <formula>AND(E34&gt;0,F34=0,$H34&lt;&gt;"K")</formula>
    </cfRule>
    <cfRule type="expression" dxfId="565" priority="236">
      <formula>AND($BH34&lt;=5%,F34&gt;0,$T34+$V34&gt;0,$H34&lt;&gt;"K")</formula>
    </cfRule>
    <cfRule type="expression" dxfId="564" priority="237">
      <formula>AND($BH34&gt;5%,$BH34&lt;10%,$T34+$V34&gt;0,$H34&lt;&gt;"K")</formula>
    </cfRule>
    <cfRule type="expression" dxfId="563" priority="238">
      <formula>AND(F34&gt;0,$BH34&gt;10%,$T34+$V34&gt;0,$H34&lt;&gt;"K")</formula>
    </cfRule>
    <cfRule type="expression" dxfId="562" priority="239">
      <formula>AND(F34&gt;0,$BH34&gt;10%,$T34+$V34&gt;0,$H34&lt;&gt;"K",L34&lt;&gt;"i")</formula>
    </cfRule>
    <cfRule type="expression" dxfId="561" priority="240">
      <formula>AND(F34&gt;0,$BH34&gt;10%,$T34+$V34&gt;0,$H34&lt;&gt;"K")</formula>
    </cfRule>
    <cfRule type="expression" dxfId="560" priority="241">
      <formula>AND(E34&gt;0,F34=0,$H34&lt;&gt;"K")</formula>
    </cfRule>
    <cfRule type="expression" dxfId="559" priority="242">
      <formula>AND($BH34&lt;=5%,F34&gt;0,$T34+$V34&gt;0,$H34&lt;&gt;"K")</formula>
    </cfRule>
    <cfRule type="expression" dxfId="558" priority="243">
      <formula>AND($BH34&gt;5%,$BH34&lt;10%,$T34+$V34&gt;0,$H34&lt;&gt;"K")</formula>
    </cfRule>
    <cfRule type="expression" dxfId="557" priority="244">
      <formula>AND(F34&gt;0,$BH34&gt;10%,$T34+$V34&gt;0,$H34&lt;&gt;"K")</formula>
    </cfRule>
    <cfRule type="expression" dxfId="556" priority="245">
      <formula>AND(F34&gt;0,$BH34&gt;10%,$T34+$V34&gt;0,$H34&lt;&gt;"K")</formula>
    </cfRule>
    <cfRule type="expression" dxfId="555" priority="246">
      <formula>AND(F34&gt;0,$BH34&gt;10%,$T34+$V34&gt;0,$H34&lt;&gt;"K",L34&lt;&gt;"i")</formula>
    </cfRule>
    <cfRule type="expression" dxfId="554" priority="529">
      <formula>AND(E34&gt;0,F34=0,$H34&lt;&gt;"K")</formula>
    </cfRule>
    <cfRule type="expression" dxfId="553" priority="530">
      <formula>AND($BH34&lt;=5%,F34&gt;0,$T34+$V34&gt;0,$H34&lt;&gt;"K")</formula>
    </cfRule>
    <cfRule type="expression" dxfId="552" priority="531">
      <formula>AND($BH34&gt;5%,$BH34&lt;10%,$T34+$V34&gt;0,$H34&lt;&gt;"K")</formula>
    </cfRule>
    <cfRule type="expression" dxfId="551" priority="533">
      <formula>AND(F34&gt;0,$BH34&gt;10%,$T34+$V34&gt;0,$H34&lt;&gt;"K")</formula>
    </cfRule>
    <cfRule type="expression" dxfId="550" priority="535">
      <formula>AND(F34&gt;0,$BH34&gt;10%,$T34+$V34&gt;0,$H34&lt;&gt;"K",L34&lt;&gt;"i")</formula>
    </cfRule>
  </conditionalFormatting>
  <conditionalFormatting sqref="F34:F35">
    <cfRule type="expression" dxfId="549" priority="210">
      <formula>AND(E34&gt;0,F34=0,$H34&lt;&gt;"K")</formula>
    </cfRule>
    <cfRule type="expression" dxfId="548" priority="211">
      <formula>AND($BH34&lt;=5%,F34&gt;0,$T34+$V34&gt;0,$H34&lt;&gt;"K")</formula>
    </cfRule>
    <cfRule type="expression" dxfId="547" priority="212">
      <formula>AND($BH34&gt;5%,$BH34&lt;10%,$T34+$V34&gt;0,$H34&lt;&gt;"K")</formula>
    </cfRule>
    <cfRule type="expression" dxfId="546" priority="213">
      <formula>AND(F34&gt;0,$BH34&gt;10%,$T34+$V34&gt;0,$H34&lt;&gt;"K")</formula>
    </cfRule>
    <cfRule type="expression" dxfId="545" priority="214">
      <formula>AND(F34&gt;0,$BH34&gt;10%,$T34+$V34&gt;0,$H34&lt;&gt;"K")</formula>
    </cfRule>
    <cfRule type="expression" dxfId="544" priority="215">
      <formula>AND(F34&gt;0,$BH34&gt;10%,$T34+$V34&gt;0,$H34&lt;&gt;"K",L34&lt;&gt;"i")</formula>
    </cfRule>
  </conditionalFormatting>
  <conditionalFormatting sqref="F34:F38">
    <cfRule type="expression" dxfId="543" priority="520">
      <formula>AND(F34&gt;0,$BH34&gt;10%,$T34+$V34&gt;0,$H34&lt;&gt;"K")</formula>
    </cfRule>
  </conditionalFormatting>
  <conditionalFormatting sqref="F35">
    <cfRule type="expression" dxfId="542" priority="179">
      <formula>AND(E35&gt;0,F35=0,$H35&lt;&gt;"K")</formula>
    </cfRule>
    <cfRule type="expression" dxfId="541" priority="180">
      <formula>AND($BH35&lt;=5%,F35&gt;0,$T35+$V35&gt;0,$H35&lt;&gt;"K")</formula>
    </cfRule>
    <cfRule type="expression" dxfId="540" priority="181">
      <formula>AND($BH35&gt;5%,$BH35&lt;10%,$T35+$V35&gt;0,$H35&lt;&gt;"K")</formula>
    </cfRule>
    <cfRule type="expression" dxfId="539" priority="182">
      <formula>AND(F35&gt;0,$BH35&gt;10%,$T35+$V35&gt;0,$H35&lt;&gt;"K")</formula>
    </cfRule>
    <cfRule type="expression" dxfId="538" priority="183">
      <formula>AND(F35&gt;0,$BH35&gt;10%,$T35+$V35&gt;0,$H35&lt;&gt;"K")</formula>
    </cfRule>
    <cfRule type="expression" dxfId="537" priority="184">
      <formula>AND(F35&gt;0,$BH35&gt;10%,$T35+$V35&gt;0,$H35&lt;&gt;"K",L35&lt;&gt;"i")</formula>
    </cfRule>
    <cfRule type="expression" dxfId="536" priority="185">
      <formula>AND(E35&gt;0,F35=0,$H35&lt;&gt;"K")</formula>
    </cfRule>
    <cfRule type="expression" dxfId="535" priority="186">
      <formula>AND($BH35&lt;=5%,F35&gt;0,$T35+$V35&gt;0,$H35&lt;&gt;"K")</formula>
    </cfRule>
    <cfRule type="expression" dxfId="534" priority="187">
      <formula>AND($BH35&gt;5%,$BH35&lt;10%,$T35+$V35&gt;0,$H35&lt;&gt;"K")</formula>
    </cfRule>
    <cfRule type="expression" dxfId="533" priority="188">
      <formula>AND(F35&gt;0,$BH35&gt;10%,$T35+$V35&gt;0,$H35&lt;&gt;"K")</formula>
    </cfRule>
    <cfRule type="expression" dxfId="532" priority="189">
      <formula>AND(F35&gt;0,$BH35&gt;10%,$T35+$V35&gt;0,$H35&lt;&gt;"K")</formula>
    </cfRule>
    <cfRule type="expression" dxfId="531" priority="190">
      <formula>AND(F35&gt;0,$BH35&gt;10%,$T35+$V35&gt;0,$H35&lt;&gt;"K",L35&lt;&gt;"i")</formula>
    </cfRule>
    <cfRule type="expression" dxfId="530" priority="192">
      <formula>AND(E35&gt;0,F35=0,$H35&lt;&gt;"K")</formula>
    </cfRule>
    <cfRule type="expression" dxfId="529" priority="193">
      <formula>AND($BH35&lt;=5%,F35&gt;0,$T35+$V35&gt;0,$H35&lt;&gt;"K")</formula>
    </cfRule>
    <cfRule type="expression" dxfId="528" priority="194">
      <formula>AND($BH35&gt;5%,$BH35&lt;10%,$T35+$V35&gt;0,$H35&lt;&gt;"K")</formula>
    </cfRule>
    <cfRule type="expression" dxfId="527" priority="195">
      <formula>AND(F35&gt;0,$BH35&gt;10%,$T35+$V35&gt;0,$H35&lt;&gt;"K")</formula>
    </cfRule>
    <cfRule type="expression" dxfId="526" priority="196">
      <formula>AND(F35&gt;0,$BH35&gt;10%,$T35+$V35&gt;0,$H35&lt;&gt;"K",L35&lt;&gt;"i")</formula>
    </cfRule>
    <cfRule type="expression" dxfId="525" priority="197">
      <formula>AND(F35&gt;0,$BH35&gt;10%,$T35+$V35&gt;0,$H35&lt;&gt;"K")</formula>
    </cfRule>
    <cfRule type="expression" dxfId="524" priority="198">
      <formula>AND(E35&gt;0,F35=0,$H35&lt;&gt;"K")</formula>
    </cfRule>
    <cfRule type="expression" dxfId="523" priority="199">
      <formula>AND($BH35&lt;=5%,F35&gt;0,$T35+$V35&gt;0,$H35&lt;&gt;"K")</formula>
    </cfRule>
    <cfRule type="expression" dxfId="522" priority="200">
      <formula>AND($BH35&gt;5%,$BH35&lt;10%,$T35+$V35&gt;0,$H35&lt;&gt;"K")</formula>
    </cfRule>
    <cfRule type="expression" dxfId="521" priority="201">
      <formula>AND(F35&gt;0,$BH35&gt;10%,$T35+$V35&gt;0,$H35&lt;&gt;"K")</formula>
    </cfRule>
    <cfRule type="expression" dxfId="520" priority="202">
      <formula>AND(F35&gt;0,$BH35&gt;10%,$T35+$V35&gt;0,$H35&lt;&gt;"K")</formula>
    </cfRule>
    <cfRule type="expression" dxfId="519" priority="203">
      <formula>AND(F35&gt;0,$BH35&gt;10%,$T35+$V35&gt;0,$H35&lt;&gt;"K",L35&lt;&gt;"i")</formula>
    </cfRule>
    <cfRule type="expression" dxfId="518" priority="204">
      <formula>AND(E35&gt;0,F35=0,$H35&lt;&gt;"K")</formula>
    </cfRule>
    <cfRule type="expression" dxfId="517" priority="205">
      <formula>AND($BH35&lt;=5%,F35&gt;0,$T35+$V35&gt;0,$H35&lt;&gt;"K")</formula>
    </cfRule>
    <cfRule type="expression" dxfId="516" priority="206">
      <formula>AND($BH35&gt;5%,$BH35&lt;10%,$T35+$V35&gt;0,$H35&lt;&gt;"K")</formula>
    </cfRule>
    <cfRule type="expression" dxfId="515" priority="207">
      <formula>AND(F35&gt;0,$BH35&gt;10%,$T35+$V35&gt;0,$H35&lt;&gt;"K")</formula>
    </cfRule>
    <cfRule type="expression" dxfId="514" priority="208">
      <formula>AND(F35&gt;0,$BH35&gt;10%,$T35+$V35&gt;0,$H35&lt;&gt;"K")</formula>
    </cfRule>
    <cfRule type="expression" dxfId="513" priority="209">
      <formula>AND(F35&gt;0,$BH35&gt;10%,$T35+$V35&gt;0,$H35&lt;&gt;"K",L35&lt;&gt;"i")</formula>
    </cfRule>
  </conditionalFormatting>
  <conditionalFormatting sqref="F35:F36">
    <cfRule type="expression" dxfId="512" priority="167">
      <formula>AND(E35&gt;0,F35=0,$H35&lt;&gt;"K")</formula>
    </cfRule>
    <cfRule type="expression" dxfId="511" priority="168">
      <formula>AND($BH35&lt;=5%,F35&gt;0,$T35+$V35&gt;0,$H35&lt;&gt;"K")</formula>
    </cfRule>
    <cfRule type="expression" dxfId="510" priority="169">
      <formula>AND($BH35&gt;5%,$BH35&lt;10%,$T35+$V35&gt;0,$H35&lt;&gt;"K")</formula>
    </cfRule>
    <cfRule type="expression" dxfId="509" priority="170">
      <formula>AND(F35&gt;0,$BH35&gt;10%,$T35+$V35&gt;0,$H35&lt;&gt;"K")</formula>
    </cfRule>
    <cfRule type="expression" dxfId="508" priority="171">
      <formula>AND(F35&gt;0,$BH35&gt;10%,$T35+$V35&gt;0,$H35&lt;&gt;"K")</formula>
    </cfRule>
    <cfRule type="expression" dxfId="507" priority="172">
      <formula>AND(F35&gt;0,$BH35&gt;10%,$T35+$V35&gt;0,$H35&lt;&gt;"K",L35&lt;&gt;"i")</formula>
    </cfRule>
  </conditionalFormatting>
  <conditionalFormatting sqref="F35:F38">
    <cfRule type="expression" dxfId="506" priority="516">
      <formula>AND(F35&gt;0,$BH35&gt;10%,$T35+$V35&gt;0,$H35&lt;&gt;"K")</formula>
    </cfRule>
    <cfRule type="expression" dxfId="505" priority="517">
      <formula>AND(E35&gt;0,F35=0,$H35&lt;&gt;"K")</formula>
    </cfRule>
    <cfRule type="expression" dxfId="504" priority="518">
      <formula>AND($BH35&lt;=5%,F35&gt;0,$T35+$V35&gt;0,$H35&lt;&gt;"K")</formula>
    </cfRule>
    <cfRule type="expression" dxfId="503" priority="519">
      <formula>AND($BH35&gt;5%,$BH35&lt;10%,$T35+$V35&gt;0,$H35&lt;&gt;"K")</formula>
    </cfRule>
    <cfRule type="expression" dxfId="502" priority="521">
      <formula>AND(F35&gt;0,$BH35&gt;10%,$T35+$V35&gt;0,$H35&lt;&gt;"K")</formula>
    </cfRule>
    <cfRule type="expression" dxfId="501" priority="523">
      <formula>AND(F35&gt;0,$BH35&gt;10%,$T35+$V35&gt;0,$H35&lt;&gt;"K",L35&lt;&gt;"i")</formula>
    </cfRule>
  </conditionalFormatting>
  <conditionalFormatting sqref="F36">
    <cfRule type="expression" dxfId="500" priority="136">
      <formula>AND(E36&gt;0,F36=0,$H36&lt;&gt;"K")</formula>
    </cfRule>
    <cfRule type="expression" dxfId="499" priority="137">
      <formula>AND($BH36&lt;=5%,F36&gt;0,$T36+$V36&gt;0,$H36&lt;&gt;"K")</formula>
    </cfRule>
    <cfRule type="expression" dxfId="498" priority="138">
      <formula>AND($BH36&gt;5%,$BH36&lt;10%,$T36+$V36&gt;0,$H36&lt;&gt;"K")</formula>
    </cfRule>
    <cfRule type="expression" dxfId="497" priority="139">
      <formula>AND(F36&gt;0,$BH36&gt;10%,$T36+$V36&gt;0,$H36&lt;&gt;"K")</formula>
    </cfRule>
    <cfRule type="expression" dxfId="496" priority="140">
      <formula>AND(F36&gt;0,$BH36&gt;10%,$T36+$V36&gt;0,$H36&lt;&gt;"K")</formula>
    </cfRule>
    <cfRule type="expression" dxfId="495" priority="141">
      <formula>AND(F36&gt;0,$BH36&gt;10%,$T36+$V36&gt;0,$H36&lt;&gt;"K",L36&lt;&gt;"i")</formula>
    </cfRule>
    <cfRule type="expression" dxfId="494" priority="142">
      <formula>AND(E36&gt;0,F36=0,$H36&lt;&gt;"K")</formula>
    </cfRule>
    <cfRule type="expression" dxfId="493" priority="143">
      <formula>AND($BH36&lt;=5%,F36&gt;0,$T36+$V36&gt;0,$H36&lt;&gt;"K")</formula>
    </cfRule>
    <cfRule type="expression" dxfId="492" priority="144">
      <formula>AND($BH36&gt;5%,$BH36&lt;10%,$T36+$V36&gt;0,$H36&lt;&gt;"K")</formula>
    </cfRule>
    <cfRule type="expression" dxfId="491" priority="145">
      <formula>AND(F36&gt;0,$BH36&gt;10%,$T36+$V36&gt;0,$H36&lt;&gt;"K")</formula>
    </cfRule>
    <cfRule type="expression" dxfId="490" priority="146">
      <formula>AND(F36&gt;0,$BH36&gt;10%,$T36+$V36&gt;0,$H36&lt;&gt;"K")</formula>
    </cfRule>
    <cfRule type="expression" dxfId="489" priority="147">
      <formula>AND(F36&gt;0,$BH36&gt;10%,$T36+$V36&gt;0,$H36&lt;&gt;"K",L36&lt;&gt;"i")</formula>
    </cfRule>
    <cfRule type="expression" dxfId="488" priority="149">
      <formula>AND(E36&gt;0,F36=0,$H36&lt;&gt;"K")</formula>
    </cfRule>
    <cfRule type="expression" dxfId="487" priority="150">
      <formula>AND($BH36&lt;=5%,F36&gt;0,$T36+$V36&gt;0,$H36&lt;&gt;"K")</formula>
    </cfRule>
    <cfRule type="expression" dxfId="486" priority="151">
      <formula>AND($BH36&gt;5%,$BH36&lt;10%,$T36+$V36&gt;0,$H36&lt;&gt;"K")</formula>
    </cfRule>
    <cfRule type="expression" dxfId="485" priority="152">
      <formula>AND(F36&gt;0,$BH36&gt;10%,$T36+$V36&gt;0,$H36&lt;&gt;"K")</formula>
    </cfRule>
    <cfRule type="expression" dxfId="484" priority="153">
      <formula>AND(F36&gt;0,$BH36&gt;10%,$T36+$V36&gt;0,$H36&lt;&gt;"K",L36&lt;&gt;"i")</formula>
    </cfRule>
    <cfRule type="expression" dxfId="483" priority="154">
      <formula>AND(F36&gt;0,$BH36&gt;10%,$T36+$V36&gt;0,$H36&lt;&gt;"K")</formula>
    </cfRule>
    <cfRule type="expression" dxfId="482" priority="155">
      <formula>AND(E36&gt;0,F36=0,$H36&lt;&gt;"K")</formula>
    </cfRule>
    <cfRule type="expression" dxfId="481" priority="156">
      <formula>AND($BH36&lt;=5%,F36&gt;0,$T36+$V36&gt;0,$H36&lt;&gt;"K")</formula>
    </cfRule>
    <cfRule type="expression" dxfId="480" priority="157">
      <formula>AND($BH36&gt;5%,$BH36&lt;10%,$T36+$V36&gt;0,$H36&lt;&gt;"K")</formula>
    </cfRule>
    <cfRule type="expression" dxfId="479" priority="158">
      <formula>AND(F36&gt;0,$BH36&gt;10%,$T36+$V36&gt;0,$H36&lt;&gt;"K")</formula>
    </cfRule>
    <cfRule type="expression" dxfId="478" priority="159">
      <formula>AND(F36&gt;0,$BH36&gt;10%,$T36+$V36&gt;0,$H36&lt;&gt;"K")</formula>
    </cfRule>
    <cfRule type="expression" dxfId="477" priority="160">
      <formula>AND(F36&gt;0,$BH36&gt;10%,$T36+$V36&gt;0,$H36&lt;&gt;"K",L36&lt;&gt;"i")</formula>
    </cfRule>
    <cfRule type="expression" dxfId="476" priority="161">
      <formula>AND(E36&gt;0,F36=0,$H36&lt;&gt;"K")</formula>
    </cfRule>
    <cfRule type="expression" dxfId="475" priority="162">
      <formula>AND($BH36&lt;=5%,F36&gt;0,$T36+$V36&gt;0,$H36&lt;&gt;"K")</formula>
    </cfRule>
    <cfRule type="expression" dxfId="474" priority="163">
      <formula>AND($BH36&gt;5%,$BH36&lt;10%,$T36+$V36&gt;0,$H36&lt;&gt;"K")</formula>
    </cfRule>
    <cfRule type="expression" dxfId="473" priority="164">
      <formula>AND(F36&gt;0,$BH36&gt;10%,$T36+$V36&gt;0,$H36&lt;&gt;"K")</formula>
    </cfRule>
    <cfRule type="expression" dxfId="472" priority="165">
      <formula>AND(F36&gt;0,$BH36&gt;10%,$T36+$V36&gt;0,$H36&lt;&gt;"K")</formula>
    </cfRule>
    <cfRule type="expression" dxfId="471" priority="166">
      <formula>AND(F36&gt;0,$BH36&gt;10%,$T36+$V36&gt;0,$H36&lt;&gt;"K",L36&lt;&gt;"i")</formula>
    </cfRule>
  </conditionalFormatting>
  <conditionalFormatting sqref="F36:F37">
    <cfRule type="expression" dxfId="470" priority="124">
      <formula>AND(E36&gt;0,F36=0,$H36&lt;&gt;"K")</formula>
    </cfRule>
    <cfRule type="expression" dxfId="469" priority="125">
      <formula>AND($BH36&lt;=5%,F36&gt;0,$T36+$V36&gt;0,$H36&lt;&gt;"K")</formula>
    </cfRule>
    <cfRule type="expression" dxfId="468" priority="126">
      <formula>AND($BH36&gt;5%,$BH36&lt;10%,$T36+$V36&gt;0,$H36&lt;&gt;"K")</formula>
    </cfRule>
    <cfRule type="expression" dxfId="467" priority="127">
      <formula>AND(F36&gt;0,$BH36&gt;10%,$T36+$V36&gt;0,$H36&lt;&gt;"K")</formula>
    </cfRule>
    <cfRule type="expression" dxfId="466" priority="128">
      <formula>AND(F36&gt;0,$BH36&gt;10%,$T36+$V36&gt;0,$H36&lt;&gt;"K")</formula>
    </cfRule>
    <cfRule type="expression" dxfId="465" priority="129">
      <formula>AND(F36&gt;0,$BH36&gt;10%,$T36+$V36&gt;0,$H36&lt;&gt;"K",L36&lt;&gt;"i")</formula>
    </cfRule>
  </conditionalFormatting>
  <conditionalFormatting sqref="F37">
    <cfRule type="expression" dxfId="464" priority="93">
      <formula>AND(E37&gt;0,F37=0,$H37&lt;&gt;"K")</formula>
    </cfRule>
    <cfRule type="expression" dxfId="463" priority="94">
      <formula>AND($BH37&lt;=5%,F37&gt;0,$T37+$V37&gt;0,$H37&lt;&gt;"K")</formula>
    </cfRule>
    <cfRule type="expression" dxfId="462" priority="95">
      <formula>AND($BH37&gt;5%,$BH37&lt;10%,$T37+$V37&gt;0,$H37&lt;&gt;"K")</formula>
    </cfRule>
    <cfRule type="expression" dxfId="461" priority="96">
      <formula>AND(F37&gt;0,$BH37&gt;10%,$T37+$V37&gt;0,$H37&lt;&gt;"K")</formula>
    </cfRule>
    <cfRule type="expression" dxfId="460" priority="97">
      <formula>AND(F37&gt;0,$BH37&gt;10%,$T37+$V37&gt;0,$H37&lt;&gt;"K")</formula>
    </cfRule>
    <cfRule type="expression" dxfId="459" priority="98">
      <formula>AND(F37&gt;0,$BH37&gt;10%,$T37+$V37&gt;0,$H37&lt;&gt;"K",L37&lt;&gt;"i")</formula>
    </cfRule>
    <cfRule type="expression" dxfId="458" priority="99">
      <formula>AND(E37&gt;0,F37=0,$H37&lt;&gt;"K")</formula>
    </cfRule>
    <cfRule type="expression" dxfId="457" priority="100">
      <formula>AND($BH37&lt;=5%,F37&gt;0,$T37+$V37&gt;0,$H37&lt;&gt;"K")</formula>
    </cfRule>
    <cfRule type="expression" dxfId="456" priority="101">
      <formula>AND($BH37&gt;5%,$BH37&lt;10%,$T37+$V37&gt;0,$H37&lt;&gt;"K")</formula>
    </cfRule>
    <cfRule type="expression" dxfId="455" priority="102">
      <formula>AND(F37&gt;0,$BH37&gt;10%,$T37+$V37&gt;0,$H37&lt;&gt;"K")</formula>
    </cfRule>
    <cfRule type="expression" dxfId="454" priority="103">
      <formula>AND(F37&gt;0,$BH37&gt;10%,$T37+$V37&gt;0,$H37&lt;&gt;"K")</formula>
    </cfRule>
    <cfRule type="expression" dxfId="453" priority="104">
      <formula>AND(F37&gt;0,$BH37&gt;10%,$T37+$V37&gt;0,$H37&lt;&gt;"K",L37&lt;&gt;"i")</formula>
    </cfRule>
    <cfRule type="expression" dxfId="452" priority="106">
      <formula>AND(E37&gt;0,F37=0,$H37&lt;&gt;"K")</formula>
    </cfRule>
    <cfRule type="expression" dxfId="451" priority="107">
      <formula>AND($BH37&lt;=5%,F37&gt;0,$T37+$V37&gt;0,$H37&lt;&gt;"K")</formula>
    </cfRule>
    <cfRule type="expression" dxfId="450" priority="108">
      <formula>AND($BH37&gt;5%,$BH37&lt;10%,$T37+$V37&gt;0,$H37&lt;&gt;"K")</formula>
    </cfRule>
    <cfRule type="expression" dxfId="449" priority="109">
      <formula>AND(F37&gt;0,$BH37&gt;10%,$T37+$V37&gt;0,$H37&lt;&gt;"K")</formula>
    </cfRule>
    <cfRule type="expression" dxfId="448" priority="110">
      <formula>AND(F37&gt;0,$BH37&gt;10%,$T37+$V37&gt;0,$H37&lt;&gt;"K",L37&lt;&gt;"i")</formula>
    </cfRule>
    <cfRule type="expression" dxfId="447" priority="111">
      <formula>AND(F37&gt;0,$BH37&gt;10%,$T37+$V37&gt;0,$H37&lt;&gt;"K")</formula>
    </cfRule>
    <cfRule type="expression" dxfId="446" priority="112">
      <formula>AND(E37&gt;0,F37=0,$H37&lt;&gt;"K")</formula>
    </cfRule>
    <cfRule type="expression" dxfId="445" priority="113">
      <formula>AND($BH37&lt;=5%,F37&gt;0,$T37+$V37&gt;0,$H37&lt;&gt;"K")</formula>
    </cfRule>
    <cfRule type="expression" dxfId="444" priority="114">
      <formula>AND($BH37&gt;5%,$BH37&lt;10%,$T37+$V37&gt;0,$H37&lt;&gt;"K")</formula>
    </cfRule>
    <cfRule type="expression" dxfId="443" priority="115">
      <formula>AND(F37&gt;0,$BH37&gt;10%,$T37+$V37&gt;0,$H37&lt;&gt;"K")</formula>
    </cfRule>
    <cfRule type="expression" dxfId="442" priority="116">
      <formula>AND(F37&gt;0,$BH37&gt;10%,$T37+$V37&gt;0,$H37&lt;&gt;"K")</formula>
    </cfRule>
    <cfRule type="expression" dxfId="441" priority="117">
      <formula>AND(F37&gt;0,$BH37&gt;10%,$T37+$V37&gt;0,$H37&lt;&gt;"K",L37&lt;&gt;"i")</formula>
    </cfRule>
    <cfRule type="expression" dxfId="440" priority="118">
      <formula>AND(E37&gt;0,F37=0,$H37&lt;&gt;"K")</formula>
    </cfRule>
    <cfRule type="expression" dxfId="439" priority="119">
      <formula>AND($BH37&lt;=5%,F37&gt;0,$T37+$V37&gt;0,$H37&lt;&gt;"K")</formula>
    </cfRule>
    <cfRule type="expression" dxfId="438" priority="120">
      <formula>AND($BH37&gt;5%,$BH37&lt;10%,$T37+$V37&gt;0,$H37&lt;&gt;"K")</formula>
    </cfRule>
    <cfRule type="expression" dxfId="437" priority="121">
      <formula>AND(F37&gt;0,$BH37&gt;10%,$T37+$V37&gt;0,$H37&lt;&gt;"K")</formula>
    </cfRule>
    <cfRule type="expression" dxfId="436" priority="122">
      <formula>AND(F37&gt;0,$BH37&gt;10%,$T37+$V37&gt;0,$H37&lt;&gt;"K")</formula>
    </cfRule>
    <cfRule type="expression" dxfId="435" priority="123">
      <formula>AND(F37&gt;0,$BH37&gt;10%,$T37+$V37&gt;0,$H37&lt;&gt;"K",L37&lt;&gt;"i")</formula>
    </cfRule>
  </conditionalFormatting>
  <conditionalFormatting sqref="F37:F38">
    <cfRule type="expression" dxfId="434" priority="81">
      <formula>AND(E37&gt;0,F37=0,$H37&lt;&gt;"K")</formula>
    </cfRule>
    <cfRule type="expression" dxfId="433" priority="82">
      <formula>AND($BH37&lt;=5%,F37&gt;0,$T37+$V37&gt;0,$H37&lt;&gt;"K")</formula>
    </cfRule>
    <cfRule type="expression" dxfId="432" priority="83">
      <formula>AND($BH37&gt;5%,$BH37&lt;10%,$T37+$V37&gt;0,$H37&lt;&gt;"K")</formula>
    </cfRule>
    <cfRule type="expression" dxfId="431" priority="84">
      <formula>AND(F37&gt;0,$BH37&gt;10%,$T37+$V37&gt;0,$H37&lt;&gt;"K")</formula>
    </cfRule>
    <cfRule type="expression" dxfId="430" priority="85">
      <formula>AND(F37&gt;0,$BH37&gt;10%,$T37+$V37&gt;0,$H37&lt;&gt;"K")</formula>
    </cfRule>
    <cfRule type="expression" dxfId="429" priority="86">
      <formula>AND(F37&gt;0,$BH37&gt;10%,$T37+$V37&gt;0,$H37&lt;&gt;"K",L37&lt;&gt;"i")</formula>
    </cfRule>
  </conditionalFormatting>
  <conditionalFormatting sqref="F38">
    <cfRule type="expression" dxfId="428" priority="44">
      <formula>AND(E38&gt;0,F38=0,$H38&lt;&gt;"K")</formula>
    </cfRule>
    <cfRule type="expression" dxfId="427" priority="45">
      <formula>AND($BH38&lt;=5%,F38&gt;0,$T38+$V38&gt;0,$H38&lt;&gt;"K")</formula>
    </cfRule>
    <cfRule type="expression" dxfId="426" priority="46">
      <formula>AND($BH38&gt;5%,$BH38&lt;10%,$T38+$V38&gt;0,$H38&lt;&gt;"K")</formula>
    </cfRule>
    <cfRule type="expression" dxfId="425" priority="47">
      <formula>AND(F38&gt;0,$BH38&gt;10%,$T38+$V38&gt;0,$H38&lt;&gt;"K")</formula>
    </cfRule>
    <cfRule type="expression" dxfId="424" priority="48">
      <formula>AND(F38&gt;0,$BH38&gt;10%,$T38+$V38&gt;0,$H38&lt;&gt;"K")</formula>
    </cfRule>
    <cfRule type="expression" dxfId="423" priority="49">
      <formula>AND(F38&gt;0,$BH38&gt;10%,$T38+$V38&gt;0,$H38&lt;&gt;"K",L38&lt;&gt;"i")</formula>
    </cfRule>
    <cfRule type="expression" dxfId="422" priority="50">
      <formula>AND(E38&gt;0,F38=0,$H38&lt;&gt;"K")</formula>
    </cfRule>
    <cfRule type="expression" dxfId="421" priority="51">
      <formula>AND($BH38&lt;=5%,F38&gt;0,$T38+$V38&gt;0,$H38&lt;&gt;"K")</formula>
    </cfRule>
    <cfRule type="expression" dxfId="420" priority="52">
      <formula>AND($BH38&gt;5%,$BH38&lt;10%,$T38+$V38&gt;0,$H38&lt;&gt;"K")</formula>
    </cfRule>
    <cfRule type="expression" dxfId="419" priority="53">
      <formula>AND(F38&gt;0,$BH38&gt;10%,$T38+$V38&gt;0,$H38&lt;&gt;"K")</formula>
    </cfRule>
    <cfRule type="expression" dxfId="418" priority="54">
      <formula>AND(F38&gt;0,$BH38&gt;10%,$T38+$V38&gt;0,$H38&lt;&gt;"K")</formula>
    </cfRule>
    <cfRule type="expression" dxfId="417" priority="55">
      <formula>AND(F38&gt;0,$BH38&gt;10%,$T38+$V38&gt;0,$H38&lt;&gt;"K",L38&lt;&gt;"i")</formula>
    </cfRule>
    <cfRule type="expression" dxfId="416" priority="56">
      <formula>AND(E38&gt;0,F38=0,$H38&lt;&gt;"K")</formula>
    </cfRule>
    <cfRule type="expression" dxfId="415" priority="57">
      <formula>AND($BH38&lt;=5%,F38&gt;0,$T38+$V38&gt;0,$H38&lt;&gt;"K")</formula>
    </cfRule>
    <cfRule type="expression" dxfId="414" priority="58">
      <formula>AND($BH38&gt;5%,$BH38&lt;10%,$T38+$V38&gt;0,$H38&lt;&gt;"K")</formula>
    </cfRule>
    <cfRule type="expression" dxfId="413" priority="59">
      <formula>AND(F38&gt;0,$BH38&gt;10%,$T38+$V38&gt;0,$H38&lt;&gt;"K")</formula>
    </cfRule>
    <cfRule type="expression" dxfId="412" priority="60">
      <formula>AND(F38&gt;0,$BH38&gt;10%,$T38+$V38&gt;0,$H38&lt;&gt;"K")</formula>
    </cfRule>
    <cfRule type="expression" dxfId="411" priority="61">
      <formula>AND(F38&gt;0,$BH38&gt;10%,$T38+$V38&gt;0,$H38&lt;&gt;"K",L38&lt;&gt;"i")</formula>
    </cfRule>
    <cfRule type="expression" dxfId="410" priority="63">
      <formula>AND(E38&gt;0,F38=0,$H38&lt;&gt;"K")</formula>
    </cfRule>
    <cfRule type="expression" dxfId="409" priority="64">
      <formula>AND($BH38&lt;=5%,F38&gt;0,$T38+$V38&gt;0,$H38&lt;&gt;"K")</formula>
    </cfRule>
    <cfRule type="expression" dxfId="408" priority="65">
      <formula>AND($BH38&gt;5%,$BH38&lt;10%,$T38+$V38&gt;0,$H38&lt;&gt;"K")</formula>
    </cfRule>
    <cfRule type="expression" dxfId="407" priority="66">
      <formula>AND(F38&gt;0,$BH38&gt;10%,$T38+$V38&gt;0,$H38&lt;&gt;"K")</formula>
    </cfRule>
    <cfRule type="expression" dxfId="406" priority="67">
      <formula>AND(F38&gt;0,$BH38&gt;10%,$T38+$V38&gt;0,$H38&lt;&gt;"K",L38&lt;&gt;"i")</formula>
    </cfRule>
    <cfRule type="expression" dxfId="405" priority="68">
      <formula>AND(F38&gt;0,$BH38&gt;10%,$T38+$V38&gt;0,$H38&lt;&gt;"K")</formula>
    </cfRule>
    <cfRule type="expression" dxfId="404" priority="69">
      <formula>AND(E38&gt;0,F38=0,$H38&lt;&gt;"K")</formula>
    </cfRule>
    <cfRule type="expression" dxfId="403" priority="70">
      <formula>AND($BH38&lt;=5%,F38&gt;0,$T38+$V38&gt;0,$H38&lt;&gt;"K")</formula>
    </cfRule>
    <cfRule type="expression" dxfId="402" priority="71">
      <formula>AND($BH38&gt;5%,$BH38&lt;10%,$T38+$V38&gt;0,$H38&lt;&gt;"K")</formula>
    </cfRule>
    <cfRule type="expression" dxfId="401" priority="72">
      <formula>AND(F38&gt;0,$BH38&gt;10%,$T38+$V38&gt;0,$H38&lt;&gt;"K")</formula>
    </cfRule>
    <cfRule type="expression" dxfId="400" priority="73">
      <formula>AND(F38&gt;0,$BH38&gt;10%,$T38+$V38&gt;0,$H38&lt;&gt;"K")</formula>
    </cfRule>
    <cfRule type="expression" dxfId="399" priority="74">
      <formula>AND(F38&gt;0,$BH38&gt;10%,$T38+$V38&gt;0,$H38&lt;&gt;"K",L38&lt;&gt;"i")</formula>
    </cfRule>
    <cfRule type="expression" dxfId="398" priority="75">
      <formula>AND(E38&gt;0,F38=0,$H38&lt;&gt;"K")</formula>
    </cfRule>
    <cfRule type="expression" dxfId="397" priority="76">
      <formula>AND($BH38&lt;=5%,F38&gt;0,$T38+$V38&gt;0,$H38&lt;&gt;"K")</formula>
    </cfRule>
    <cfRule type="expression" dxfId="396" priority="77">
      <formula>AND($BH38&gt;5%,$BH38&lt;10%,$T38+$V38&gt;0,$H38&lt;&gt;"K")</formula>
    </cfRule>
    <cfRule type="expression" dxfId="395" priority="78">
      <formula>AND(F38&gt;0,$BH38&gt;10%,$T38+$V38&gt;0,$H38&lt;&gt;"K")</formula>
    </cfRule>
    <cfRule type="expression" dxfId="394" priority="79">
      <formula>AND(F38&gt;0,$BH38&gt;10%,$T38+$V38&gt;0,$H38&lt;&gt;"K")</formula>
    </cfRule>
    <cfRule type="expression" dxfId="393" priority="80">
      <formula>AND(F38&gt;0,$BH38&gt;10%,$T38+$V38&gt;0,$H38&lt;&gt;"K",L38&lt;&gt;"i")</formula>
    </cfRule>
  </conditionalFormatting>
  <conditionalFormatting sqref="G27:G38">
    <cfRule type="expression" dxfId="392" priority="453">
      <formula>AND(G27="",H27="K")</formula>
    </cfRule>
    <cfRule type="expression" dxfId="391" priority="1820">
      <formula>AND($I27&gt;0,$F28&gt;0,$E27=0,G27=0)</formula>
    </cfRule>
  </conditionalFormatting>
  <conditionalFormatting sqref="G28">
    <cfRule type="expression" dxfId="390" priority="1821">
      <formula>AND($I28&gt;0,#REF!&gt;0,$E28=0,G28=0)</formula>
    </cfRule>
  </conditionalFormatting>
  <conditionalFormatting sqref="G29">
    <cfRule type="expression" dxfId="389" priority="43">
      <formula>AND($I29&gt;0,#REF!&gt;0,$E29=0,G29=0)</formula>
    </cfRule>
  </conditionalFormatting>
  <conditionalFormatting sqref="G29:G38">
    <cfRule type="expression" dxfId="388" priority="1091">
      <formula>AND($I29&gt;0,$F29&gt;0,$E29=0,G29=0)</formula>
    </cfRule>
  </conditionalFormatting>
  <conditionalFormatting sqref="G30:G38">
    <cfRule type="expression" dxfId="387" priority="34">
      <formula>AND($I30&gt;0,#REF!&gt;0,$E30=0,G30=0)</formula>
    </cfRule>
  </conditionalFormatting>
  <conditionalFormatting sqref="H27:H38">
    <cfRule type="expression" dxfId="386" priority="462">
      <formula>H27="u"</formula>
    </cfRule>
    <cfRule type="expression" dxfId="385" priority="476">
      <formula>AND(E27=0,F27+G27&gt;0,H27&lt;&gt;"k")</formula>
    </cfRule>
  </conditionalFormatting>
  <conditionalFormatting sqref="I27:I38">
    <cfRule type="expression" dxfId="384" priority="1126">
      <formula>AND(B27&lt;&gt;"",I27="")</formula>
    </cfRule>
  </conditionalFormatting>
  <conditionalFormatting sqref="J9:R10">
    <cfRule type="expression" dxfId="383" priority="444">
      <formula>DRV_VersorgungenVerbergen</formula>
    </cfRule>
  </conditionalFormatting>
  <conditionalFormatting sqref="J11:S13 T12 V12 Z13:AA13">
    <cfRule type="expression" dxfId="382" priority="900">
      <formula>DRV_VersorgungenVerbergen</formula>
    </cfRule>
  </conditionalFormatting>
  <conditionalFormatting sqref="J15:S16 U15:U16 Z15:AA16">
    <cfRule type="expression" dxfId="381" priority="899">
      <formula>BeamtV_Verbergen</formula>
    </cfRule>
  </conditionalFormatting>
  <conditionalFormatting sqref="J18:V18 J19:Q19 S19:V19 J20 T20 V20">
    <cfRule type="expression" dxfId="380" priority="898">
      <formula>BerstdV_verbergen</formula>
    </cfRule>
  </conditionalFormatting>
  <conditionalFormatting sqref="L27:L38">
    <cfRule type="expression" dxfId="379" priority="1597">
      <formula>AND(L27="e",$T27+$V27&gt;$BC$12,C27="p")</formula>
    </cfRule>
    <cfRule type="expression" dxfId="378" priority="1598">
      <formula>OR(AND(C27="p",IF(AP27=1,T27,V27)&gt;$BC$12,,L27="e"),AND(C27="b",IF(AP27=1,T27,V27)&gt;$BC$11,L27="e"))</formula>
    </cfRule>
  </conditionalFormatting>
  <conditionalFormatting sqref="L9:N9">
    <cfRule type="expression" dxfId="377" priority="445">
      <formula>AND($AO$12=1,$T$6&gt;0)</formula>
    </cfRule>
  </conditionalFormatting>
  <conditionalFormatting sqref="L10:N10">
    <cfRule type="expression" dxfId="376" priority="446">
      <formula>AND($AO$13=1,$V$6&gt;0)</formula>
    </cfRule>
  </conditionalFormatting>
  <conditionalFormatting sqref="Q27:Q38">
    <cfRule type="expression" dxfId="375" priority="1077">
      <formula>AND(ABS(Q27)&lt;0.1,ABS(Q27)&gt;0.05,L27="e")</formula>
    </cfRule>
    <cfRule type="expression" dxfId="374" priority="1078">
      <formula>ABS(Q27)&lt;=0.05</formula>
    </cfRule>
    <cfRule type="expression" dxfId="373" priority="1079">
      <formula>AND(ABS(Q27)&gt;0.1,L27="e")</formula>
    </cfRule>
  </conditionalFormatting>
  <conditionalFormatting sqref="R19:R20">
    <cfRule type="expression" dxfId="372" priority="461">
      <formula>BeamtV_Verbergen</formula>
    </cfRule>
  </conditionalFormatting>
  <conditionalFormatting sqref="S6">
    <cfRule type="expression" dxfId="371" priority="928">
      <formula>AND(T6="",S6="")</formula>
    </cfRule>
  </conditionalFormatting>
  <conditionalFormatting sqref="S10">
    <cfRule type="expression" dxfId="370" priority="451">
      <formula>DRV_VersorgungenVerbergen</formula>
    </cfRule>
  </conditionalFormatting>
  <conditionalFormatting sqref="S27:S38 U27:U38">
    <cfRule type="expression" dxfId="369" priority="915">
      <formula>AND($E27="",$H27="K")</formula>
    </cfRule>
  </conditionalFormatting>
  <conditionalFormatting sqref="S9:V9">
    <cfRule type="expression" dxfId="368" priority="443">
      <formula>DRV_VersorgungenVerbergen</formula>
    </cfRule>
  </conditionalFormatting>
  <conditionalFormatting sqref="T27:T38">
    <cfRule type="expression" dxfId="367" priority="464">
      <formula>AND(E27&gt;0,G27=0)</formula>
    </cfRule>
    <cfRule type="expression" dxfId="366" priority="1707">
      <formula>AND($B27="m",$T$6="")</formula>
    </cfRule>
    <cfRule type="expression" dxfId="365" priority="1708">
      <formula>AND(L27="e",T27&gt;$BC$11)</formula>
    </cfRule>
    <cfRule type="expression" dxfId="364" priority="1709">
      <formula>AND(T27&lt;$BC$10,T27&gt;0)</formula>
    </cfRule>
  </conditionalFormatting>
  <conditionalFormatting sqref="U6">
    <cfRule type="expression" dxfId="363" priority="627">
      <formula>AND(V6="",U6="")</formula>
    </cfRule>
  </conditionalFormatting>
  <conditionalFormatting sqref="U10:U13">
    <cfRule type="expression" dxfId="362" priority="447">
      <formula>DRV_VersorgungenVerbergen</formula>
    </cfRule>
  </conditionalFormatting>
  <conditionalFormatting sqref="V3">
    <cfRule type="expression" dxfId="361" priority="1719">
      <formula>AND($T$6+$V$6&gt;0,$V$3="")</formula>
    </cfRule>
    <cfRule type="expression" dxfId="360" priority="1720">
      <formula>V3=""</formula>
    </cfRule>
  </conditionalFormatting>
  <conditionalFormatting sqref="V27:V38">
    <cfRule type="expression" dxfId="359" priority="463">
      <formula>AND(E27&gt;0,G27=0)</formula>
    </cfRule>
    <cfRule type="expression" dxfId="358" priority="1715">
      <formula>AND(B27="w",$V$6="")</formula>
    </cfRule>
    <cfRule type="expression" dxfId="357" priority="1716">
      <formula>AND(L27="e",V27&gt;$BC$11)</formula>
    </cfRule>
    <cfRule type="expression" dxfId="356" priority="1717">
      <formula>AND(V27&lt;$BC$10,V27&gt;0)</formula>
    </cfRule>
  </conditionalFormatting>
  <conditionalFormatting sqref="X13">
    <cfRule type="expression" dxfId="355" priority="1915">
      <formula>OR($Z$13&gt;$T$13,$AA$13,$V$13)</formula>
    </cfRule>
    <cfRule type="expression" dxfId="354" priority="1916">
      <formula>OR($Z$13&lt;T13,$AA$13&lt;V13)</formula>
    </cfRule>
  </conditionalFormatting>
  <conditionalFormatting sqref="X15:X16">
    <cfRule type="expression" dxfId="353" priority="1987">
      <formula>OR(Z15&gt;T15,AA15&gt;V15)</formula>
    </cfRule>
    <cfRule type="expression" dxfId="352" priority="1988">
      <formula>OR($Z$16&lt;$T$16,$AA$16&lt;$V$16)</formula>
    </cfRule>
  </conditionalFormatting>
  <conditionalFormatting sqref="X19">
    <cfRule type="expression" dxfId="351" priority="1104">
      <formula>OR($T$19&lt;$AW$15,$V$19&lt;$AX$15)</formula>
    </cfRule>
  </conditionalFormatting>
  <conditionalFormatting sqref="X20">
    <cfRule type="expression" dxfId="350" priority="1989">
      <formula>OR(#REF!&gt;#REF!,#REF!&gt;#REF!)</formula>
    </cfRule>
    <cfRule type="expression" dxfId="349" priority="1990">
      <formula>OR($Z$16&lt;$T$16,$AA$16&lt;$V$16)</formula>
    </cfRule>
  </conditionalFormatting>
  <conditionalFormatting sqref="X27:X38">
    <cfRule type="expression" dxfId="348" priority="1108">
      <formula>$T27+$V27&lt;$AA27</formula>
    </cfRule>
  </conditionalFormatting>
  <conditionalFormatting sqref="AA27:AA38">
    <cfRule type="expression" dxfId="347" priority="1813">
      <formula>AND(BG27&lt;V27+T27,L27="e")</formula>
    </cfRule>
    <cfRule type="expression" dxfId="346" priority="1814">
      <formula>BG27&gt;V27+T27</formula>
    </cfRule>
  </conditionalFormatting>
  <conditionalFormatting sqref="AJ14:AJ37">
    <cfRule type="expression" dxfId="345" priority="435">
      <formula>AND(BO14&lt;AD14+AB14,T14="e")</formula>
    </cfRule>
    <cfRule type="expression" dxfId="344" priority="436">
      <formula>BO14&gt;AD14+AB14</formula>
    </cfRule>
  </conditionalFormatting>
  <dataValidations count="23">
    <dataValidation type="date" allowBlank="1" showInputMessage="1" showErrorMessage="1" errorTitle="Nur Datumseingaben möglich" error="Nur Daten zwischen 1.7.1977 und dem Versionsdatum möglich. Das Programm wird i.d.R. monatlich aktualisiert. Bitte aktalisieren Sie die aktuelle Version über die Schaltfläche im Inhaltsverzeichnis." sqref="V3" xr:uid="{D34E5700-FAC3-48E1-8115-A425D314A6C8}">
      <formula1>28307</formula1>
      <formula2>47848</formula2>
    </dataValidation>
    <dataValidation type="date" allowBlank="1" showInputMessage="1" showErrorMessage="1" errorTitle="ungültige Datumseingabe" error="Es sind nur Daten zwischen 1.1.1920 und Heute zulässig" sqref="T3" xr:uid="{56E78E8C-B30A-46B3-98D0-C470BF743124}">
      <formula1>7306</formula1>
      <formula2>TODAY()</formula2>
    </dataValidation>
    <dataValidation type="decimal" allowBlank="1" showInputMessage="1" showErrorMessage="1" errorTitle="Fehleingabe" error="Es sind nur positive Zahlen bis 10.000 € erlaubt" sqref="S15:S16" xr:uid="{C2B68139-7B49-49F3-A215-15FBCF938F18}">
      <formula1>0</formula1>
      <formula2>10000</formula2>
    </dataValidation>
    <dataValidation type="decimal" operator="greaterThanOrEqual" allowBlank="1" showInputMessage="1" showErrorMessage="1" errorTitle="unzulässige Dateneingabe" error="Es sind nur Zahlen &gt;= 0 zugelassen" sqref="U15:U16 S19 U19" xr:uid="{1EFE6BC1-C43D-42D8-9D89-C64F5CB8EC5C}">
      <formula1>0</formula1>
    </dataValidation>
    <dataValidation type="list" allowBlank="1" showInputMessage="1" showErrorMessage="1" error="Es ist nur die Eingabe von &quot;U&quot; und &quot;K&quot; zulässig" sqref="H27:H28 H30:H38" xr:uid="{8F14694B-E889-4B6A-97A8-2F84AB66C97B}">
      <formula1>$AP$3:$AP$4</formula1>
    </dataValidation>
    <dataValidation type="list" allowBlank="1" showInputMessage="1" showErrorMessage="1" errorTitle="unzulässige Dateneingabe" error="Es ist nur die Eingabe von &quot;i&quot; für interne und &quot;e&quot; für externe Teilung erlaubt" sqref="L27:L28 L30:L38" xr:uid="{D5D96568-6479-49C5-AA5C-1C5DF9B9D066}">
      <formula1>$AQ$3:$AQ$6</formula1>
    </dataValidation>
    <dataValidation type="list" allowBlank="1" showInputMessage="1" showErrorMessage="1" error="Eingabe nur &quot;b&quot; für betriebliche und &quot;p&quot; für private Versorgung zulässig" sqref="C27:C38" xr:uid="{A8C7F609-9D7A-49E1-942E-0DACA979A17D}">
      <formula1>$AR$3:$AR$4</formula1>
    </dataValidation>
    <dataValidation type="decimal" allowBlank="1" showInputMessage="1" showErrorMessage="1" errorTitle="Fehleingabe" error="Es sind nur Eingaben zwischen 0 und 5% zulässig" sqref="J27:J28 J30:J36" xr:uid="{28E79C5E-61E8-428C-AB5B-DD565BCF8C2A}">
      <formula1>0</formula1>
      <formula2>0.05</formula2>
    </dataValidation>
    <dataValidation type="decimal" allowBlank="1" showInputMessage="1" showErrorMessage="1" errorTitle="Fehleingabe!" error="Es sind nur Eingaben zwischen 0 und 5% zulässig" sqref="K27:K28 K30:K36" xr:uid="{FCC071FE-D127-4AC0-AEFB-53ACF68CD003}">
      <formula1>0</formula1>
      <formula2>0.05</formula2>
    </dataValidation>
    <dataValidation type="decimal" allowBlank="1" showInputMessage="1" showErrorMessage="1" errorTitle="Fehleingabe" error="Es sind nur Eingaben zwischen 0 und 100% zulässig" sqref="M27:N36" xr:uid="{17E042FD-8000-45C7-B96F-F39B8F5F61BC}">
      <formula1>0</formula1>
      <formula2>1</formula2>
    </dataValidation>
    <dataValidation type="decimal" allowBlank="1" showInputMessage="1" showErrorMessage="1" errorTitle="Fehleingabe" error="Nur Eingaben zwischen 0 und 100 zulässig" sqref="I27:I28 I30:I38" xr:uid="{40146927-CEA5-42DC-9A76-D977E2A8C420}">
      <formula1>0</formula1>
      <formula2>100</formula2>
    </dataValidation>
    <dataValidation type="date" allowBlank="1" showInputMessage="1" showErrorMessage="1" error="Nur Datumseingaben zulässig!" sqref="S6 U6" xr:uid="{CE25FDD1-0690-4D89-8721-39AD34695BFE}">
      <formula1>10959</formula1>
      <formula2>TODAY()</formula2>
    </dataValidation>
    <dataValidation type="decimal" allowBlank="1" showInputMessage="1" showErrorMessage="1" errorTitle="Eingabebeschränkung" error="Nur Werte zwischen 0,001% und 10% zulässig" sqref="O27" xr:uid="{68CAC070-FD28-4507-931B-624241B23AB7}">
      <formula1>0</formula1>
      <formula2>0.1</formula2>
    </dataValidation>
    <dataValidation type="decimal" allowBlank="1" showInputMessage="1" showErrorMessage="1" errorTitle="Eingabebeschränkung" error="Es sind nur Eingaben zwischen 0,01 und 10% zulässig." sqref="O28" xr:uid="{B85E4F0D-0935-4F41-80A4-62C8D8D65670}">
      <formula1>0</formula1>
      <formula2>0.1</formula2>
    </dataValidation>
    <dataValidation type="decimal" allowBlank="1" showInputMessage="1" showErrorMessage="1" errorTitle="Eingabebeschränkung" error="Es sind nur Eingaben zwischen 0,001 und 10% zulässig." sqref="O30:O38" xr:uid="{A04E7AE9-1896-485A-B17B-49627DE724CC}">
      <formula1>0</formula1>
      <formula2>0.1</formula2>
    </dataValidation>
    <dataValidation type="decimal" allowBlank="1" showInputMessage="1" showErrorMessage="1" errorTitle="Fehleingabe" error="Es sind nur Zahleneingaben zwischen 0 und 10.000 zulässig" sqref="E27:E38 I29:K29" xr:uid="{E1019326-E8F0-4F9C-9172-5FDE3DC7527D}">
      <formula1>0</formula1>
      <formula2>2000000</formula2>
    </dataValidation>
    <dataValidation type="list" allowBlank="1" showInputMessage="1" showErrorMessage="1" errorTitle="Fehlermeldurn Geschlechtseingabe" error="Nur Eingabe M und W erlaubt._x000a_" sqref="B27:B38" xr:uid="{B3CAAEFA-7088-45BF-B532-B9C2C20229A5}">
      <formula1>$AO$3:$AO$4</formula1>
    </dataValidation>
    <dataValidation type="list" allowBlank="1" showInputMessage="1" showErrorMessage="1" errorTitle="Fehleingabe" sqref="H29" xr:uid="{E6F425FF-39C2-4DBC-9D5F-9D6BCF0FCC0A}">
      <formula1>$AP$3:$AP$4</formula1>
    </dataValidation>
    <dataValidation type="list" allowBlank="1" showInputMessage="1" showErrorMessage="1" sqref="L29" xr:uid="{B15DE409-674C-48F4-8B96-539A36BC7B5D}">
      <formula1>$AQ$3:$AQ$6</formula1>
    </dataValidation>
    <dataValidation type="decimal" allowBlank="1" showInputMessage="1" showErrorMessage="1" errorTitle="Fehleingabe" error="Es sind nur Zahleneingaben zwischen 0 und 10.000 zulässig" sqref="O29" xr:uid="{03DD6242-D1C9-4F76-B899-2FCF06FE045C}">
      <formula1>0</formula1>
      <formula2>0.1</formula2>
    </dataValidation>
    <dataValidation type="decimal" allowBlank="1" showInputMessage="1" showErrorMessage="1" sqref="F27:G38" xr:uid="{47878577-9F4B-4154-85B4-42F97BD869CE}">
      <formula1>0</formula1>
      <formula2>20000000</formula2>
    </dataValidation>
    <dataValidation allowBlank="1" showInputMessage="1" showErrorMessage="1" errorTitle="unzulässige Dateneingabe" error="Nur positive Zahlen bis 1000 zulässig" sqref="Z13:AA13" xr:uid="{01216812-D676-4AC9-AF3C-3FD98E966620}"/>
    <dataValidation type="decimal" allowBlank="1" showInputMessage="1" showErrorMessage="1" errorTitle="unzulässige Dateneingabe" error="Nur positive Zahlen bis 1000 zulässig" sqref="S9:V11" xr:uid="{BCA22D5F-DBF2-4E91-A779-D76040A4CFD5}">
      <formula1>-100</formula1>
      <formula2>100</formula2>
    </dataValidation>
  </dataValidations>
  <hyperlinks>
    <hyperlink ref="B20:I20" location="Tenorierungsvorschlag" display="Link zum rechtswahrenden Tenorierungsvorschlag" xr:uid="{D0886C71-3C3D-4D91-B20C-3DCF583A816A}"/>
    <hyperlink ref="J12:Q13" location="Berechnungsparameter" display="Zum Ändern der Dynamikannahmen hier klicken" xr:uid="{F5879CA7-1ABD-4789-9855-5BFBA7F34A72}"/>
  </hyperlinks>
  <printOptions horizontalCentered="1" verticalCentered="1"/>
  <pageMargins left="0" right="0" top="0" bottom="0" header="0.31496062992125984" footer="0.31496062992125984"/>
  <pageSetup paperSize="9" scale="60" orientation="landscape" r:id="rId1"/>
  <headerFooter>
    <oddHeader>&amp;L© Jörn Hauß, FA-FamR, Duisburg/Augsburg&amp;C&amp;"Arial,Fett"&amp;14Stammdatenerfassung&amp;RProgramm Kapitalwertkontrolle 2023</oddHeader>
    <oddFooter>&amp;L&amp;F&amp;   [Register]&amp;C&amp;Z  &amp;  [Datei]&amp;R  &amp;D  &amp;  [Zeit]</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931285" r:id="rId4" name="Check Box 21">
              <controlPr defaultSize="0" autoFill="0" autoLine="0" autoPict="0">
                <anchor moveWithCells="1">
                  <from>
                    <xdr:col>9</xdr:col>
                    <xdr:colOff>57150</xdr:colOff>
                    <xdr:row>10</xdr:row>
                    <xdr:rowOff>19050</xdr:rowOff>
                  </from>
                  <to>
                    <xdr:col>12</xdr:col>
                    <xdr:colOff>228600</xdr:colOff>
                    <xdr:row>10</xdr:row>
                    <xdr:rowOff>209550</xdr:rowOff>
                  </to>
                </anchor>
              </controlPr>
            </control>
          </mc:Choice>
        </mc:AlternateContent>
        <mc:AlternateContent xmlns:mc="http://schemas.openxmlformats.org/markup-compatibility/2006">
          <mc:Choice Requires="x14">
            <control shapeId="1931394" r:id="rId5" name="TO_Auswahl">
              <controlPr defaultSize="0" autoLine="0" autoPict="0">
                <anchor>
                  <from>
                    <xdr:col>1</xdr:col>
                    <xdr:colOff>19050</xdr:colOff>
                    <xdr:row>15</xdr:row>
                    <xdr:rowOff>142875</xdr:rowOff>
                  </from>
                  <to>
                    <xdr:col>6</xdr:col>
                    <xdr:colOff>19050</xdr:colOff>
                    <xdr:row>16</xdr:row>
                    <xdr:rowOff>190500</xdr:rowOff>
                  </to>
                </anchor>
              </controlPr>
            </control>
          </mc:Choice>
        </mc:AlternateContent>
        <mc:AlternateContent xmlns:mc="http://schemas.openxmlformats.org/markup-compatibility/2006">
          <mc:Choice Requires="x14">
            <control shapeId="1931403" r:id="rId6" name="Option Button 139">
              <controlPr defaultSize="0" autoFill="0" autoLine="0" autoPict="0">
                <anchor moveWithCells="1">
                  <from>
                    <xdr:col>1</xdr:col>
                    <xdr:colOff>38100</xdr:colOff>
                    <xdr:row>3</xdr:row>
                    <xdr:rowOff>19050</xdr:rowOff>
                  </from>
                  <to>
                    <xdr:col>3</xdr:col>
                    <xdr:colOff>19050</xdr:colOff>
                    <xdr:row>4</xdr:row>
                    <xdr:rowOff>0</xdr:rowOff>
                  </to>
                </anchor>
              </controlPr>
            </control>
          </mc:Choice>
        </mc:AlternateContent>
        <mc:AlternateContent xmlns:mc="http://schemas.openxmlformats.org/markup-compatibility/2006">
          <mc:Choice Requires="x14">
            <control shapeId="1931404" r:id="rId7" name="Option Button 140">
              <controlPr defaultSize="0" autoFill="0" autoLine="0" autoPict="0">
                <anchor moveWithCells="1">
                  <from>
                    <xdr:col>1</xdr:col>
                    <xdr:colOff>57150</xdr:colOff>
                    <xdr:row>4</xdr:row>
                    <xdr:rowOff>19050</xdr:rowOff>
                  </from>
                  <to>
                    <xdr:col>3</xdr:col>
                    <xdr:colOff>28575</xdr:colOff>
                    <xdr:row>5</xdr:row>
                    <xdr:rowOff>19050</xdr:rowOff>
                  </to>
                </anchor>
              </controlPr>
            </control>
          </mc:Choice>
        </mc:AlternateContent>
        <mc:AlternateContent xmlns:mc="http://schemas.openxmlformats.org/markup-compatibility/2006">
          <mc:Choice Requires="x14">
            <control shapeId="1931265" r:id="rId8" name="Check Box 1">
              <controlPr defaultSize="0" autoFill="0" autoLine="0" autoPict="0">
                <anchor moveWithCells="1">
                  <from>
                    <xdr:col>24</xdr:col>
                    <xdr:colOff>19050</xdr:colOff>
                    <xdr:row>5</xdr:row>
                    <xdr:rowOff>19050</xdr:rowOff>
                  </from>
                  <to>
                    <xdr:col>24</xdr:col>
                    <xdr:colOff>704850</xdr:colOff>
                    <xdr:row>5</xdr:row>
                    <xdr:rowOff>209550</xdr:rowOff>
                  </to>
                </anchor>
              </controlPr>
            </control>
          </mc:Choice>
        </mc:AlternateContent>
        <mc:AlternateContent xmlns:mc="http://schemas.openxmlformats.org/markup-compatibility/2006">
          <mc:Choice Requires="x14">
            <control shapeId="1931406" r:id="rId9" name="Check Box 142">
              <controlPr defaultSize="0" autoFill="0" autoLine="0" autoPict="0">
                <anchor moveWithCells="1">
                  <from>
                    <xdr:col>20</xdr:col>
                    <xdr:colOff>638175</xdr:colOff>
                    <xdr:row>3</xdr:row>
                    <xdr:rowOff>19050</xdr:rowOff>
                  </from>
                  <to>
                    <xdr:col>21</xdr:col>
                    <xdr:colOff>857250</xdr:colOff>
                    <xdr:row>3</xdr:row>
                    <xdr:rowOff>219075</xdr:rowOff>
                  </to>
                </anchor>
              </controlPr>
            </control>
          </mc:Choice>
        </mc:AlternateContent>
        <mc:AlternateContent xmlns:mc="http://schemas.openxmlformats.org/markup-compatibility/2006">
          <mc:Choice Requires="x14">
            <control shapeId="1931407" r:id="rId10" name="Check Box 143">
              <controlPr defaultSize="0" autoFill="0" autoLine="0" autoPict="0">
                <anchor moveWithCells="1">
                  <from>
                    <xdr:col>18</xdr:col>
                    <xdr:colOff>666750</xdr:colOff>
                    <xdr:row>3</xdr:row>
                    <xdr:rowOff>19050</xdr:rowOff>
                  </from>
                  <to>
                    <xdr:col>20</xdr:col>
                    <xdr:colOff>19050</xdr:colOff>
                    <xdr:row>3</xdr:row>
                    <xdr:rowOff>219075</xdr:rowOff>
                  </to>
                </anchor>
              </controlPr>
            </control>
          </mc:Choice>
        </mc:AlternateContent>
        <mc:AlternateContent xmlns:mc="http://schemas.openxmlformats.org/markup-compatibility/2006">
          <mc:Choice Requires="x14">
            <control shapeId="1931420" r:id="rId11" name="Check Box 156">
              <controlPr defaultSize="0" autoFill="0" autoLine="0" autoPict="0">
                <anchor moveWithCells="1">
                  <from>
                    <xdr:col>24</xdr:col>
                    <xdr:colOff>19050</xdr:colOff>
                    <xdr:row>5</xdr:row>
                    <xdr:rowOff>209550</xdr:rowOff>
                  </from>
                  <to>
                    <xdr:col>26</xdr:col>
                    <xdr:colOff>876300</xdr:colOff>
                    <xdr:row>6</xdr:row>
                    <xdr:rowOff>209550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54" id="{2BF23E20-C735-4183-A008-C0B1B224E4A8}">
            <xm:f>AND($L27="i",'TO Ziff.5'!$S7&gt;1)</xm:f>
            <x14:dxf>
              <fill>
                <patternFill>
                  <bgColor theme="7" tint="0.59996337778862885"/>
                </patternFill>
              </fill>
            </x14:dxf>
          </x14:cfRule>
          <xm:sqref>D27:D33</xm:sqref>
        </x14:conditionalFormatting>
        <x14:conditionalFormatting xmlns:xm="http://schemas.microsoft.com/office/excel/2006/main">
          <x14:cfRule type="expression" priority="460" id="{5B9C2ED8-C039-486F-85DC-93C2A5022499}">
            <xm:f>AND($L$28="i",'TO Ziff.5'!$S$8&gt;1)</xm:f>
            <x14:dxf>
              <fill>
                <patternFill>
                  <bgColor theme="7"/>
                </patternFill>
              </fill>
            </x14:dxf>
          </x14:cfRule>
          <xm:sqref>D28</xm:sqref>
        </x14:conditionalFormatting>
        <x14:conditionalFormatting xmlns:xm="http://schemas.microsoft.com/office/excel/2006/main">
          <x14:cfRule type="expression" priority="456" id="{DFCF0D40-BDA7-407F-96A2-18C93856D1B4}">
            <xm:f>AND($L29="i",'TO Ziff.5'!$S9&gt;1)</xm:f>
            <x14:dxf>
              <fill>
                <patternFill>
                  <bgColor theme="7"/>
                </patternFill>
              </fill>
            </x14:dxf>
          </x14:cfRule>
          <xm:sqref>D29:D33</xm:sqref>
        </x14:conditionalFormatting>
        <x14:conditionalFormatting xmlns:xm="http://schemas.microsoft.com/office/excel/2006/main">
          <x14:cfRule type="expression" priority="2173" id="{2BF23E20-C735-4183-A008-C0B1B224E4A8}">
            <xm:f>AND($L34="i",'TO Ziff.5'!$S15&gt;1)</xm:f>
            <x14:dxf>
              <fill>
                <patternFill>
                  <bgColor theme="7" tint="0.59996337778862885"/>
                </patternFill>
              </fill>
            </x14:dxf>
          </x14:cfRule>
          <x14:cfRule type="expression" priority="2175" id="{DFCF0D40-BDA7-407F-96A2-18C93856D1B4}">
            <xm:f>AND($L34="i",'TO Ziff.5'!$S15&gt;1)</xm:f>
            <x14:dxf>
              <fill>
                <patternFill>
                  <bgColor theme="7"/>
                </patternFill>
              </fill>
            </x14:dxf>
          </x14:cfRule>
          <xm:sqref>D34:D38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tabColor rgb="FF92D050"/>
    <pageSetUpPr fitToPage="1"/>
  </sheetPr>
  <dimension ref="A1:AI50"/>
  <sheetViews>
    <sheetView showGridLines="0" showRowColHeaders="0" showZeros="0" showOutlineSymbols="0" zoomScale="115" zoomScaleNormal="115" workbookViewId="0">
      <selection activeCell="E15" sqref="E15"/>
    </sheetView>
  </sheetViews>
  <sheetFormatPr baseColWidth="10" defaultColWidth="0" defaultRowHeight="14.25" zeroHeight="1"/>
  <cols>
    <col min="1" max="1" width="2.25" customWidth="1"/>
    <col min="2" max="2" width="48" customWidth="1"/>
    <col min="3" max="3" width="14" customWidth="1"/>
    <col min="4" max="4" width="10.75" customWidth="1"/>
    <col min="5" max="5" width="16.125" customWidth="1"/>
    <col min="6" max="6" width="9.125" customWidth="1"/>
    <col min="7" max="7" width="23.25" customWidth="1"/>
    <col min="8" max="8" width="18.125" customWidth="1"/>
    <col min="9" max="9" width="20.5" customWidth="1"/>
    <col min="10" max="10" width="6" style="110" customWidth="1"/>
    <col min="11" max="11" width="2.125" style="110" customWidth="1"/>
    <col min="12" max="12" width="18.75" style="110" hidden="1" customWidth="1"/>
    <col min="13" max="13" width="11.75" style="110" hidden="1" customWidth="1"/>
    <col min="14" max="14" width="2.5" style="110" hidden="1" customWidth="1"/>
    <col min="15" max="15" width="10" style="110" hidden="1" customWidth="1"/>
    <col min="16" max="16" width="22.25" hidden="1" customWidth="1"/>
    <col min="17" max="22" width="15.25" hidden="1" customWidth="1"/>
    <col min="23" max="26" width="16.625" hidden="1" customWidth="1"/>
    <col min="27" max="28" width="12.625" hidden="1" customWidth="1"/>
    <col min="29" max="31" width="6.5" hidden="1" customWidth="1"/>
    <col min="32" max="35" width="15.625" hidden="1" customWidth="1"/>
    <col min="36" max="16384" width="11" hidden="1"/>
  </cols>
  <sheetData>
    <row r="1" spans="1:34" ht="16.5" thickBot="1">
      <c r="A1" s="2043">
        <v>140</v>
      </c>
      <c r="B1" s="2527" t="s">
        <v>348</v>
      </c>
      <c r="C1" s="2527"/>
      <c r="D1" s="2527"/>
      <c r="E1" s="2527"/>
      <c r="F1" s="2527"/>
      <c r="G1" s="2527"/>
      <c r="H1" s="2527"/>
      <c r="I1" s="55"/>
      <c r="J1" s="55"/>
      <c r="K1" s="55"/>
      <c r="L1" s="2445" t="s">
        <v>1605</v>
      </c>
      <c r="M1" s="2446"/>
      <c r="N1" s="55"/>
      <c r="O1" s="55"/>
      <c r="P1" t="e">
        <f>VLOOKUP(E_Alter,CHOOSE(IF(E_Rentenalter&lt;60,60,IF(E_Rentenalter&gt;67,67,E_Rentenalter))-59,HRIR60,HRIR61,HRIR62,HRIR63,HRIR62,HRIR,HRIR66,HRIR67),2)</f>
        <v>#VALUE!</v>
      </c>
      <c r="R1" t="s">
        <v>175</v>
      </c>
      <c r="S1" s="15">
        <v>2</v>
      </c>
      <c r="U1" t="s">
        <v>1222</v>
      </c>
      <c r="V1" t="e">
        <f>YEAR(E_Datum1)+IF(MONTH(E_Datum1)&gt;6,1,0)</f>
        <v>#VALUE!</v>
      </c>
      <c r="W1" t="s">
        <v>1230</v>
      </c>
      <c r="X1" t="e">
        <f>+V1-1900+2</f>
        <v>#VALUE!</v>
      </c>
      <c r="AA1" t="s">
        <v>21</v>
      </c>
      <c r="AB1" t="s">
        <v>61</v>
      </c>
    </row>
    <row r="2" spans="1:34" ht="36" customHeight="1" thickBot="1">
      <c r="A2" s="31"/>
      <c r="B2" s="2528" t="s">
        <v>1622</v>
      </c>
      <c r="C2" s="2529"/>
      <c r="D2" s="2529"/>
      <c r="E2" s="2529"/>
      <c r="F2" s="2529"/>
      <c r="G2" s="2529"/>
      <c r="H2" s="2530"/>
      <c r="I2" s="2532" t="s">
        <v>1246</v>
      </c>
      <c r="J2" s="2533"/>
      <c r="K2" s="918"/>
      <c r="L2" s="2450" t="s">
        <v>1604</v>
      </c>
      <c r="M2" s="2450"/>
      <c r="N2" s="918"/>
      <c r="O2" s="918"/>
      <c r="P2" s="59">
        <f ca="1">TODAY()</f>
        <v>45414</v>
      </c>
      <c r="Q2" t="str">
        <f ca="1">IF(TODAY()&gt;Laufzeitbegrenzung,"Die Laufzeit des Programms ist vorerst auf den "&amp;TEXT(Laufzeitbegrenzung,"TT.MM.JJJJ")&amp;" begrenzt. Kontaktieren Sie bitte Austor oder Verlag.","Das Programm ermöglicht die Kontrolle der von einem Versorgungsträger im Versorgungsausgleich mitgeteilten Kapitalwerte einer Versorgung und die für die ausgleichsberechtigte Person aus einem Ausgleichswert resultierende Rentenerwartung.")</f>
        <v>Das Programm ermöglicht die Kontrolle der von einem Versorgungsträger im Versorgungsausgleich mitgeteilten Kapitalwerte einer Versorgung und die für die ausgleichsberechtigte Person aus einem Ausgleichswert resultierende Rentenerwartung.</v>
      </c>
      <c r="U2" t="s">
        <v>1223</v>
      </c>
      <c r="V2" t="e">
        <f>YEAR(E_BerDat2)+IF(MONTH(E_BerDat2)&gt;6,1,0)</f>
        <v>#VALUE!</v>
      </c>
      <c r="W2" t="e">
        <f>+V2-1900+2</f>
        <v>#VALUE!</v>
      </c>
      <c r="Z2" t="s">
        <v>1027</v>
      </c>
      <c r="AA2" s="157" t="e">
        <f>VLOOKUP(YEAR(E_BerDat1),MonatlicheBezugsgröße,4)</f>
        <v>#VALUE!</v>
      </c>
      <c r="AB2" s="157" t="e">
        <f>VLOOKUP(YEAR(E_BerDat1),MonatlicheBezugsgröße,5)</f>
        <v>#VALUE!</v>
      </c>
    </row>
    <row r="3" spans="1:34" ht="24" customHeight="1">
      <c r="A3" s="31"/>
      <c r="B3" s="2541" t="s">
        <v>1621</v>
      </c>
      <c r="C3" s="2542"/>
      <c r="D3" s="2542"/>
      <c r="E3" s="2542"/>
      <c r="F3" s="2542"/>
      <c r="G3" s="2542"/>
      <c r="H3" s="2543"/>
      <c r="I3" s="32"/>
      <c r="J3" s="1253"/>
      <c r="K3" s="32"/>
      <c r="L3" s="2451" t="str">
        <f>IF(E_RenteKapital=1,"Berechnung nur bei Barwertberechnung möglich","nach BGH XII ZB 443/14 (Flugsicherung)")</f>
        <v>nach BGH XII ZB 443/14 (Flugsicherung)</v>
      </c>
      <c r="M3" s="2451"/>
      <c r="N3" s="32"/>
      <c r="O3" s="32"/>
      <c r="P3" s="3" t="s">
        <v>114</v>
      </c>
      <c r="Q3" s="1357">
        <v>44926</v>
      </c>
      <c r="R3" s="156">
        <v>45657</v>
      </c>
      <c r="S3" s="3"/>
      <c r="T3" s="3" t="str">
        <f ca="1">LEFT(CELL("dateiname",T3),FIND("[",CELL("Dateiname",T3))-1)</f>
        <v>C:\Daten Jörn\Plausibilitätsprüfung\Excel-Programm\</v>
      </c>
      <c r="U3" s="3"/>
      <c r="V3" s="3"/>
      <c r="AF3" s="75" t="s">
        <v>1202</v>
      </c>
      <c r="AH3" t="s">
        <v>1584</v>
      </c>
    </row>
    <row r="4" spans="1:34" ht="12" hidden="1" customHeight="1" thickBot="1">
      <c r="A4" s="19"/>
      <c r="B4" s="647"/>
      <c r="C4" s="648"/>
      <c r="D4" s="648"/>
      <c r="E4" s="648"/>
      <c r="F4" s="648"/>
      <c r="G4" s="648"/>
      <c r="H4" s="649"/>
      <c r="I4" s="32"/>
      <c r="J4" s="1254"/>
      <c r="K4" s="21"/>
      <c r="N4" s="21"/>
      <c r="O4" s="21"/>
      <c r="P4" s="3"/>
      <c r="Q4" s="3"/>
      <c r="R4" s="3"/>
      <c r="S4" s="3"/>
      <c r="T4" s="3"/>
      <c r="U4" s="3"/>
      <c r="V4" s="3"/>
    </row>
    <row r="5" spans="1:34" s="75" customFormat="1" ht="27" customHeight="1">
      <c r="A5" s="20"/>
      <c r="B5" s="1271" t="str">
        <f>"1. Geburtsdatum des Inhabers der Versorgung "</f>
        <v xml:space="preserve">1. Geburtsdatum des Inhabers der Versorgung </v>
      </c>
      <c r="C5" s="1488" t="str">
        <f>IFERROR(IF(Dat_GebDat_M+Dat_GebDat_F=0,"",IF(E5&lt;&gt;"","","Übernahme aus Datenerfassung:")),"")</f>
        <v/>
      </c>
      <c r="D5" s="1489" t="str">
        <f>IF(E5&lt;&gt;"",E5,IF(AND(Dat_GebDat_M="",+Dat_GebDat_F=""),"",IF(E_sex=1,Dat_GebDat_M,IF(E_sex=2,Dat_GebDat_F,IF(E_sex=3,E5)))))</f>
        <v/>
      </c>
      <c r="E5" s="1274"/>
      <c r="F5" s="1276"/>
      <c r="G5" s="1276"/>
      <c r="H5" s="1276" t="str">
        <f>"Version "&amp;TEXT(MONTH(Enddatum),"00")&amp;"/"&amp;TEXT(YEAR(Enddatum),"####")</f>
        <v>Version 04/2024</v>
      </c>
      <c r="I5" s="2525" t="str">
        <f>IFERROR("aktueller RW im EzE: "&amp;TEXT(VLOOKUP(E_BerDat1,aktRW,IF(Ost,3,2)),"#0,00 €")&amp;CHAR(10)&amp;"Kosten 1 EP DRV: "&amp;TEXT(VLOOKUP(E_BerDat1,UmrechnungEP_Kap,IF(Ost,3,2)),"#.##0,0000 €"),"")</f>
        <v/>
      </c>
      <c r="J5" s="2526"/>
      <c r="K5" s="52"/>
      <c r="L5" s="1452" t="s">
        <v>1598</v>
      </c>
      <c r="M5" s="1451">
        <f>DATE(YEAR(E6),12,31)</f>
        <v>366</v>
      </c>
      <c r="N5" s="1435"/>
      <c r="O5" s="1435"/>
      <c r="P5" s="562" t="s">
        <v>77</v>
      </c>
      <c r="Q5" s="1358">
        <v>2</v>
      </c>
      <c r="R5" s="562" t="s">
        <v>91</v>
      </c>
      <c r="S5" s="1375" t="e">
        <f>IF(Rentenalter&gt;E_Alter,ROUND(Rentenalter-E_Alter,2),0)</f>
        <v>#VALUE!</v>
      </c>
      <c r="T5" s="562" t="s">
        <v>160</v>
      </c>
      <c r="U5" s="1359">
        <f>IF(E_RenteKapital=2,IF(E_KapWert&gt;0,E_KapWert,E_Ergebnis),E_Kapital)*VLOOKUP(IF(EzE_P&gt;0,EzE_P,E_BerDat1),Umrechnungsfaktoren,IF(Ost,3,2))</f>
        <v>0</v>
      </c>
      <c r="V5" s="562" t="e">
        <f>VLOOKUP(E_BerDat1,aktRW,IF(Ost,3,2))</f>
        <v>#N/A</v>
      </c>
      <c r="W5" s="813" t="e">
        <f>+V5*Entgeltpunkte1</f>
        <v>#N/A</v>
      </c>
      <c r="X5" s="813" t="e">
        <f>IF(E_BerDat1&gt;E_Renteneintritt,W5,-FV(RententrendDRV,YEARFRAC(E_BerDat1,E_Renteneintritt,3),,'Einzel-Bewertung'!W5))*IF(KV_Beitrag,(1+KV_Beitragssatz),1)</f>
        <v>#VALUE!</v>
      </c>
      <c r="Z5" s="75" t="s">
        <v>192</v>
      </c>
      <c r="AF5" s="75" t="s">
        <v>1205</v>
      </c>
      <c r="AG5" s="820" t="e">
        <f>DATE(YEAR(E_Datum1)+65,MONTH(E_Datum1)+VLOOKUP(YEAR(E_Datum1),Renteneintrittstabelle,2)+1,1)</f>
        <v>#VALUE!</v>
      </c>
    </row>
    <row r="6" spans="1:34" s="75" customFormat="1" ht="27" customHeight="1">
      <c r="A6" s="20"/>
      <c r="B6" s="1272" t="s">
        <v>119</v>
      </c>
      <c r="C6" s="1275" t="str">
        <f>IF(AND(Dat_EzE&gt;0,E6=0),"Übernahme aus Datenerfassung:","")</f>
        <v/>
      </c>
      <c r="D6" s="1331" t="str">
        <f>IF(E6&lt;&gt;"",E6,IF(Dat_EzE=0,"",Dat_EzE))</f>
        <v/>
      </c>
      <c r="E6" s="1274"/>
      <c r="F6" s="2531" t="str">
        <f>IFERROR(IF(E_BerDat1&gt;0," Versicherungsalter im Berechnungszeitpunkt: "&amp;TEXT(E_Alter,"#0,00") &amp;" bzw. "&amp;TEXT(INT(E_Alter),"0")&amp;"/"&amp;TEXT((E_Alter-INT(E_Alter))*12,"0")&amp;" Monate",""),"")</f>
        <v/>
      </c>
      <c r="G6" s="2531"/>
      <c r="H6" s="2531"/>
      <c r="I6" s="2535" t="str">
        <f>IFERROR("Kosten 1 € Rente: "&amp;TEXT(VLOOKUP(E_BerDat1,UmrechnungEP_Kap,IF(Ost,3,2))/VLOOKUP(E_BerDat1,aktRW,IF(Ost,3,2)),"#.##0,00 €")&amp;CHAR(10)&amp;"Beitragskosten (KoKa) DRV für "&amp;TEXT(E_Kapital,"#.##0,00 €")&amp;" Rente: "&amp;TEXT(E_Kapital*VLOOKUP(E_BerDat1,UmrechnungEP_Kap,IF(Ost,3,2))/VLOOKUP(E_BerDat1,aktRW,IF(Ost,3,2)),"#.##0 €")&amp;CHAR(10)&amp;"Barwert der DRV-Rente: "&amp;TEXT(E_BarwertDRV,"#.##0 €"),"")</f>
        <v/>
      </c>
      <c r="J6" s="2536"/>
      <c r="K6" s="22"/>
      <c r="L6" s="1465" t="s">
        <v>263</v>
      </c>
      <c r="M6" s="1469" t="str">
        <f>CHOOSE(E_sex,"w","m","u")</f>
        <v>w</v>
      </c>
      <c r="N6" s="1467"/>
      <c r="O6" s="1467"/>
      <c r="P6" s="562" t="s">
        <v>78</v>
      </c>
      <c r="Q6" s="1358" t="e">
        <f>YEARFRAC(E_Datum1,E_BerDat1,0)</f>
        <v>#VALUE!</v>
      </c>
      <c r="R6" s="562" t="s">
        <v>81</v>
      </c>
      <c r="S6" s="69" t="e">
        <f>ROUND(YEARFRAC(E_Datum1,E_BerDat1,0),2)</f>
        <v>#VALUE!</v>
      </c>
      <c r="T6" s="562" t="s">
        <v>161</v>
      </c>
      <c r="U6" s="1359"/>
      <c r="V6" s="562" t="e">
        <f>VLOOKUP(E_BerDat1,aktRW,IF(Ost,3,2))</f>
        <v>#N/A</v>
      </c>
      <c r="W6" s="813" t="e">
        <f>+V6*Entgeltpunkte1</f>
        <v>#N/A</v>
      </c>
      <c r="X6" s="813" t="e">
        <f>IF(E_BerDat1&gt;Q41,W6,-FV(RententrendDRV,YEARFRAC(E_BerDat1,Q41,3),,'Einzel-Bewertung'!W6))*IF(KV_Beitrag,(1+KV_Beitragssatz),1)</f>
        <v>#VALUE!</v>
      </c>
      <c r="Z6" s="16" t="b">
        <v>0</v>
      </c>
      <c r="AA6" s="75" t="s">
        <v>190</v>
      </c>
      <c r="AB6" s="16" t="b">
        <v>0</v>
      </c>
      <c r="AF6" s="75" t="s">
        <v>1206</v>
      </c>
      <c r="AG6" s="75" t="e">
        <f>IF(YEARFRAC(E_Datum1,AG5,3)&gt;67,67,YEARFRAC(E_Datum1,AG5,3))</f>
        <v>#VALUE!</v>
      </c>
    </row>
    <row r="7" spans="1:34" s="75" customFormat="1" ht="27" customHeight="1" thickBot="1">
      <c r="A7" s="20"/>
      <c r="B7" s="2455" t="s">
        <v>120</v>
      </c>
      <c r="C7" s="2456"/>
      <c r="D7" s="2456"/>
      <c r="E7" s="1888"/>
      <c r="F7" s="1888"/>
      <c r="G7" s="1888"/>
      <c r="H7" s="1889" t="str">
        <f>CHOOSE(E_sex,männlich,weiblich,divers)</f>
        <v>♂</v>
      </c>
      <c r="I7" s="2537"/>
      <c r="J7" s="2538"/>
      <c r="K7" s="22"/>
      <c r="L7" s="1452" t="s">
        <v>1599</v>
      </c>
      <c r="M7" s="1453">
        <f>YEARFRAC(E6,M5,3)</f>
        <v>1.0027397260273974</v>
      </c>
      <c r="N7" s="1433"/>
      <c r="O7" s="1433"/>
      <c r="P7" s="1361" t="str">
        <f>CHOOSE(E_sex=1,Dat_GebDat_M,6,"")</f>
        <v/>
      </c>
      <c r="Q7" s="1361"/>
      <c r="R7" s="1361" t="s">
        <v>79</v>
      </c>
      <c r="S7" s="1362">
        <v>1</v>
      </c>
      <c r="T7" s="1361"/>
      <c r="U7" s="1363"/>
      <c r="V7" s="562"/>
      <c r="W7" s="813"/>
      <c r="X7" s="813"/>
      <c r="Z7" s="75" t="s">
        <v>193</v>
      </c>
      <c r="AA7" s="75" t="e">
        <f>YEAR(E_Datum1)</f>
        <v>#VALUE!</v>
      </c>
      <c r="AB7" s="814">
        <f>IF(Längerlebigkeitszuschlag,_xlfn.IFNA(VLOOKUP(AA7,AA9:AB30,2),0),0)</f>
        <v>0</v>
      </c>
      <c r="AF7" s="75" t="s">
        <v>264</v>
      </c>
      <c r="AG7" s="644" t="e">
        <f>VLOOKUP(IF(E_Alter&gt;AG6,E_Alter,AG6),CHOOSE(E_sex,Lebenserwartung_M_V2,Lebenserwartung_F_V2,Lebenserwartung_N_V2),E_Versicherungsjahrgang-1900+2)</f>
        <v>#VALUE!</v>
      </c>
    </row>
    <row r="8" spans="1:34" s="75" customFormat="1" ht="27" customHeight="1">
      <c r="A8" s="20"/>
      <c r="B8" s="2470" t="s">
        <v>115</v>
      </c>
      <c r="C8" s="2471"/>
      <c r="D8" s="2471"/>
      <c r="E8" s="2534"/>
      <c r="F8" s="2534"/>
      <c r="G8" s="2534"/>
      <c r="H8" s="2534"/>
      <c r="I8" s="2539" t="str">
        <f>IFERROR(IF(E_RenteKapital=2,IF(E_BerDat1&gt;0,IF(AND(E_Kapital&gt;0,E_Kapital&lt;AA2),"Ausgl.Wert &lt;= "&amp;TEXT(AA2,"0,00 €") &amp;" § 18 III VersAusglG","")&amp;IF(AND(E_Ergebnis&gt;0,E_Ergebnis&lt;AB2),CHAR(10)&amp;"Kapitalwert &lt;= "&amp;TEXT(AB2,"#.##0,00")&amp;" § 18 III VersAusglG",""),""),""),"")</f>
        <v/>
      </c>
      <c r="J8" s="2540"/>
      <c r="K8" s="67"/>
      <c r="L8" s="1452" t="str">
        <f>"mit "&amp;TEXT(E_Rezins/100,"0,00%")&amp;" auf-gezinster AusglW:"</f>
        <v>mit 0,00% auf-gezinster AusglW:</v>
      </c>
      <c r="M8" s="1454">
        <f>E_Ergebnis*(1+E_Rezins/100)^RK_Zeitabstand_EzE</f>
        <v>0</v>
      </c>
      <c r="N8" s="1434"/>
      <c r="O8" s="1434"/>
      <c r="P8" s="1364" t="s">
        <v>85</v>
      </c>
      <c r="Q8" s="1365" t="b">
        <v>1</v>
      </c>
      <c r="R8" s="1366" t="s">
        <v>86</v>
      </c>
      <c r="S8" s="1481" t="str">
        <f>IFERROR(ROUND(IF(OR(E_Datum1="",E_BerDat1=""),"",IF(AND(E_Invalidität,F9&lt;&gt;"Rentner!"),VLOOKUP(E_Alter,CHOOSE(IF(E_Rentenalter&lt;60,60,IF(E_Rentenalter&gt;67,67,E_Rentenalter))-59,HRIR60,HRIR61,HRIR62,HRIR63,HRIR64,HRIR,HRIR66,HRIR67),CHOOSE(E_sex,7,16,25),1)*J11,0)),4),"")</f>
        <v/>
      </c>
      <c r="T8" s="2473" t="s">
        <v>1224</v>
      </c>
      <c r="U8" s="2452" t="e">
        <f>+E_Ifaktor+E_HFaktor</f>
        <v>#VALUE!</v>
      </c>
      <c r="X8" s="813" t="e">
        <f>-FV(E_ReTrend1,E_LXYAlterABer/2,,E_RenteausKapitalAglBer)</f>
        <v>#VALUE!</v>
      </c>
      <c r="AF8" s="75" t="s">
        <v>265</v>
      </c>
      <c r="AG8" s="75" t="e">
        <f>IF(AG6-E_Alter&lt;0,0,AG6-E_Alter)</f>
        <v>#VALUE!</v>
      </c>
    </row>
    <row r="9" spans="1:34" s="75" customFormat="1" ht="27" customHeight="1" thickBot="1">
      <c r="A9" s="20"/>
      <c r="B9" s="2455" t="str">
        <f>IF(E_RenteKapital=2,"5. Höhe des Ehezeitanteils (Ausgleichswert) der Monatsrente eingeben","5. Zu verrentenden Kapitalbetrag eingeben")</f>
        <v>5. Höhe des Ehezeitanteils (Ausgleichswert) der Monatsrente eingeben</v>
      </c>
      <c r="C9" s="2456"/>
      <c r="D9" s="2457"/>
      <c r="E9" s="1228"/>
      <c r="F9" s="2490" t="str">
        <f>IFERROR(IF(E_BerDat1="","",IF(E_Alter&gt;=IF(E_Rentenaltereingabe&gt;0,E_Rentenaltereingabe,E_Rentenalter),"Rentner"&amp;CHOOSE(E_sex,"","in","")&amp;"! Bitte Kapitalverzehr beachten","")),"")</f>
        <v/>
      </c>
      <c r="G9" s="2490"/>
      <c r="H9" s="2491"/>
      <c r="I9" s="2468" t="str">
        <f>IF(F9&lt;&gt;"","BGH XII ZB 447/13 v. 17.2.2016 - FamRB 2016, 176","")</f>
        <v/>
      </c>
      <c r="J9" s="2469"/>
      <c r="K9" s="82"/>
      <c r="L9" s="1463" t="s">
        <v>1580</v>
      </c>
      <c r="M9" s="365" t="e">
        <f>ROUND(E_Alterswahl+YEARFRAC(E_BerDat1,RK_Datum,3),4)</f>
        <v>#VALUE!</v>
      </c>
      <c r="N9" s="1445"/>
      <c r="O9" s="1445"/>
      <c r="P9" s="1367" t="s">
        <v>87</v>
      </c>
      <c r="Q9" s="1368" t="b">
        <v>1</v>
      </c>
      <c r="R9" s="1369" t="s">
        <v>88</v>
      </c>
      <c r="S9" s="1480" t="str">
        <f>IFERROR(ROUND(IF(OR(E_Datum1="",E_BerDat1=""),"",IF(E_Hinterbliebene,VLOOKUP(E_Alter,CHOOSE(IF(E_Rentenalter&lt;60,60,IF(E_Rentenalter&gt;67,67,E_Rentenalter))-59,HRIR60,HRIR61,HRIR62,HRIR63,HRIR64,HRIR,HRIR66,HRIR67),CHOOSE(E_sex,8,17,26),1)*J12,0)),4),"")</f>
        <v/>
      </c>
      <c r="T9" s="2474"/>
      <c r="U9" s="2453"/>
      <c r="V9" s="2448" t="s">
        <v>1587</v>
      </c>
      <c r="W9" s="2448"/>
      <c r="X9" s="2448"/>
      <c r="Y9" s="2448"/>
      <c r="AB9" s="815"/>
      <c r="AF9" s="75" t="s">
        <v>1203</v>
      </c>
      <c r="AG9" s="823" t="str">
        <f>+Berechnungstext!C19</f>
        <v/>
      </c>
    </row>
    <row r="10" spans="1:34" s="75" customFormat="1" ht="27" customHeight="1" thickBot="1">
      <c r="A10" s="20"/>
      <c r="B10" s="2470" t="s">
        <v>121</v>
      </c>
      <c r="C10" s="2471"/>
      <c r="D10" s="2472"/>
      <c r="E10" s="57"/>
      <c r="F10" s="2458" t="str">
        <f>IF(OR(E_Datum1="",E_BerDat1=""),"",IF(AND(E_Datum1&gt;0,E_BerDat1&gt;0,E_Rentenaltereingabe=0),"Programm rechnet mit Regelaltersgrenze (§ 235 SGB VI): " &amp; TEXT(VLOOKUP(YEAR(E_Datum1),Renteneintrittstabelle,3),"#0,0#") &amp; " Jahre","Programm rechnet mit Renteneintrittsalter " &amp; TEXT(E_Rentenaltereingabe,"#0,00") &amp; " Jahre"))</f>
        <v/>
      </c>
      <c r="G10" s="2459"/>
      <c r="H10" s="2460"/>
      <c r="I10" s="2475" t="str">
        <f>IFERROR("Regel-Renteneintritt Pflicht.: "&amp;IF(E_Datum1&gt;0,TEXT(DATE(YEAR(E_Datum1)+IF(E_Rentenaltereingabe="",65,E_Rentenaltereingabe),MONTH(E_Datum1)+IF(E_Rentenaltereingabe="",VLOOKUP(YEAR(E_Datum1),Renteneintrittstabelle,2),(E_Rentenaltereingabe-INT(E_Rentenaltereingabe))*12)+1,1),"TT.MM.JJJJ"),""),"")</f>
        <v/>
      </c>
      <c r="J10" s="2476"/>
      <c r="K10" s="85"/>
      <c r="L10" s="1455" t="str">
        <f>"Biometrische Korrektur VVR"&amp;CHOOSE(E_sex,"m","w","u")&amp;"EZE zu RK"</f>
        <v>Biometrische Korrektur VVRmEZE zu RK</v>
      </c>
      <c r="M10" s="1456" t="e">
        <f>+U13</f>
        <v>#VALUE!</v>
      </c>
      <c r="N10" s="1441"/>
      <c r="O10" s="1441"/>
      <c r="P10" s="75" t="s">
        <v>156</v>
      </c>
      <c r="Q10" s="816" t="e">
        <f>VLOOKUP(ROUND(E_Alter,0),CHOOSE(E_sex,G_Kohorte_M,G_Kohorte_F,G_Kohorte_N),E_Tabschritt)</f>
        <v>#VALUE!</v>
      </c>
      <c r="R10" s="817"/>
      <c r="T10" s="562" t="s">
        <v>1581</v>
      </c>
      <c r="U10" s="1446" t="e">
        <f>VLOOKUP(ROUND(RK_AlterAusglBer,0),CHOOSE(E_sex,G_Kohorte_M,G_Kohorte_F,G_Kohorte_N),E_Tabschritt)</f>
        <v>#VALUE!</v>
      </c>
      <c r="V10" s="1449" t="s">
        <v>1586</v>
      </c>
      <c r="W10" s="638" t="e">
        <f>ROUND(IF(OR(E_Datum1="",E_BerDat1=""),"",IF(AND(E_InvaliditätAusglBer,F9&lt;&gt;"Rentner!"),VLOOKUP(RK_AlterAusglBer,CHOOSE(IF(E_Rentenalter&lt;60,60,IF(E_Rentenalter&gt;67,67,E_Rentenalter))-59,HRIR60,HRIR61,HRIR62,HRIR63,HRIR64,HRIR,HRIR66,HRIR67),CHOOSE(E_sex,16,7,25),1)*J11,0)),4)</f>
        <v>#VALUE!</v>
      </c>
      <c r="X10" s="2447" t="e">
        <f>ROUND(W10+W11,4)</f>
        <v>#VALUE!</v>
      </c>
      <c r="Y10" s="69" t="s">
        <v>1583</v>
      </c>
      <c r="AB10" s="815"/>
      <c r="AF10" s="75" t="s">
        <v>1204</v>
      </c>
      <c r="AG10" s="823" t="str">
        <f>+Berechnungstext!C20</f>
        <v/>
      </c>
    </row>
    <row r="11" spans="1:34" s="75" customFormat="1" ht="27" customHeight="1">
      <c r="A11" s="20"/>
      <c r="B11" s="2455" t="s">
        <v>122</v>
      </c>
      <c r="C11" s="2456"/>
      <c r="D11" s="2456"/>
      <c r="E11" s="27"/>
      <c r="F11" s="2459" t="str">
        <f>IFERROR(IF(OR(E_Rentenalter&lt;60,E_Rentenalter&gt;67),"Der Invaliditätswert kann nur zwischen Renteneintrittsalter 60 und 67 sicher berechnet werden. Deaktivieren Sie bitte die Checkbox.",IF(E_Invalidität=TRUE,IF(E_Rentner=0,"Programm rechnet mit einer Invaliditätsversorgung in Höhe von "&amp;TEXT(J11,"###%")&amp;" der Altersversorgung. Invaliditätssatz: "&amp;TEXT(E_Ifaktor,"#0,00%")&amp;".","Da ein 'Rentnerfall' vorliegt, wird keine Invaliditätsversicherung berechnet."),"")),"")</f>
        <v>Der Invaliditätswert kann nur zwischen Renteneintrittsalter 60 und 67 sicher berechnet werden. Deaktivieren Sie bitte die Checkbox.</v>
      </c>
      <c r="G11" s="2459"/>
      <c r="H11" s="2460"/>
      <c r="I11" s="664" t="s">
        <v>702</v>
      </c>
      <c r="J11" s="665">
        <v>1</v>
      </c>
      <c r="K11" s="1287"/>
      <c r="L11" s="1457" t="str">
        <f>"aufgezinster korr. AusglWert RK"</f>
        <v>aufgezinster korr. AusglWert RK</v>
      </c>
      <c r="M11" s="1458" t="e">
        <f>RK_aufgezinsterBW*(1+RK_biometrKorrektur)</f>
        <v>#VALUE!</v>
      </c>
      <c r="N11" s="1445"/>
      <c r="O11" s="1445"/>
      <c r="P11" s="75" t="s">
        <v>155</v>
      </c>
      <c r="Q11" s="816" t="e">
        <f>VLOOKUP(ROUND(E_Rentenalter,0),CHOOSE(E_sex,G_Kohorte_M,G_Kohorte_F,G_Kohorte_N),E_Tabschritt)</f>
        <v>#VALUE!</v>
      </c>
      <c r="R11" s="75" t="s">
        <v>101</v>
      </c>
      <c r="S11" s="75" t="e">
        <f>TEXT(E_VVR2,"###.##0")&amp;" / "&amp;TEXT(E_VVR1,"###.##0")</f>
        <v>#VALUE!</v>
      </c>
      <c r="T11" s="562"/>
      <c r="U11" s="563" t="e">
        <f>+E_VVR2</f>
        <v>#VALUE!</v>
      </c>
      <c r="V11" s="1449" t="s">
        <v>1588</v>
      </c>
      <c r="W11" s="638" t="str">
        <f>IFERROR(ROUND(IF(OR(E_Datum1="",E_BerDat1=""),"",IF(E_HinterbliebeneAusglBer,VLOOKUP(RK_AlterAusglBer,CHOOSE(IF(E_Rentenalter&lt;60,60,IF(E_Rentenalter&gt;67,67,E_Rentenalter))-59,HRIR60,HRIR61,HRIR62,HRIR63,HRIR64,HRIR,HRIR66,HRIR67),CHOOSE(E_sex,17,8,26),1)*J12,0)),4),"")</f>
        <v/>
      </c>
      <c r="X11" s="2448"/>
      <c r="Y11" s="69" t="e">
        <f>ROUND(X10/HRIR_Zuschlag,4)</f>
        <v>#VALUE!</v>
      </c>
      <c r="Z11" s="823" t="e">
        <f>+RK_Nebenleistungen-T22</f>
        <v>#VALUE!</v>
      </c>
      <c r="AB11" s="815"/>
      <c r="AF11" s="75" t="s">
        <v>1207</v>
      </c>
      <c r="AG11" s="1097" t="e">
        <f>-PV(E_Rezins/100-RententrendDRV,AG7,E_Kapital*12)</f>
        <v>#VALUE!</v>
      </c>
    </row>
    <row r="12" spans="1:34" s="75" customFormat="1" ht="27" customHeight="1">
      <c r="A12" s="2492"/>
      <c r="B12" s="2455" t="s">
        <v>123</v>
      </c>
      <c r="C12" s="2456"/>
      <c r="D12" s="2456"/>
      <c r="E12" s="27"/>
      <c r="F12" s="2459" t="str">
        <f>IFERROR(IF(OR(E_Rentenalter&lt;60,E_Rentenalter&gt;67),"Der Hinterbliebenenwert kann nur zwischen Renteneintrittsalter 60 und 67 sicher berechnet werden. Deaktivieren Sie bitte die Checkbox.",IF(E_Hinterbliebene=TRUE,"Höhe d. "&amp;CHOOSE(E_sex,"Witwenversorgung","Witwerversorgung","Hinterbliebenenversorgung")&amp;": "  &amp; TEXT(J12,"#0,00%")&amp; ". Alternativen rechts eingeben. Hinterbliebenenfaktor = "&amp;TEXT(E_HFaktor,"#0,00%"),"")),"")</f>
        <v>Der Hinterbliebenenwert kann nur zwischen Renteneintrittsalter 60 und 67 sicher berechnet werden. Deaktivieren Sie bitte die Checkbox.</v>
      </c>
      <c r="G12" s="2459"/>
      <c r="H12" s="2460"/>
      <c r="I12" s="629" t="s">
        <v>703</v>
      </c>
      <c r="J12" s="92">
        <v>0.6</v>
      </c>
      <c r="K12" s="1287"/>
      <c r="L12" s="1457" t="s">
        <v>1590</v>
      </c>
      <c r="M12" s="1456" t="e">
        <f>+Z13</f>
        <v>#VALUE!</v>
      </c>
      <c r="N12" s="1441"/>
      <c r="O12" s="1441"/>
      <c r="P12" s="75" t="s">
        <v>80</v>
      </c>
      <c r="Q12" s="1473" t="e">
        <f>ROUND(IF(E_Alter&gt;=E_Rentenalter,1,E_VVR2/E_VVR1),4)</f>
        <v>#VALUE!</v>
      </c>
      <c r="S12" s="817">
        <v>100</v>
      </c>
      <c r="T12" s="562" t="s">
        <v>1582</v>
      </c>
      <c r="U12" s="563" t="e">
        <f>ROUND(IF(E_RelegalterABer&lt;=RK_AlterAusglBer,1,U11/U10),4)</f>
        <v>#VALUE!</v>
      </c>
      <c r="V12" s="2448" t="s">
        <v>1589</v>
      </c>
      <c r="W12" s="2448"/>
      <c r="X12" s="2448"/>
      <c r="Y12" s="2448"/>
      <c r="AB12" s="815"/>
      <c r="AF12" s="75" t="s">
        <v>1208</v>
      </c>
      <c r="AG12" s="162" t="e">
        <f>-PV(E_Rezins/100-RententrendDRV,AG8,,AG11)</f>
        <v>#VALUE!</v>
      </c>
    </row>
    <row r="13" spans="1:34" s="75" customFormat="1" ht="27" customHeight="1">
      <c r="A13" s="2492"/>
      <c r="B13" s="2455" t="str">
        <f>IFERROR(IF(E_RezinsAngabe="",IF(E_Rezins&gt;0,"9. Rechnungszins: "&amp;TEXT(E_Rezins/100,"#0,00%")&amp;". Anderen Wunschzinssatz rechts eingeben","9. Ermittlung des BilMoG-Zinssatzes erforderlich. Ggfls. neue Version laden"),"9. Programm rechnet mit eingegebenem Rechnungszins von "&amp;TEXT(E_RezinsAngabe,"#0,0#%")),"")</f>
        <v>9. Ermittlung des BilMoG-Zinssatzes erforderlich. Ggfls. neue Version laden</v>
      </c>
      <c r="C13" s="2456"/>
      <c r="D13" s="2457"/>
      <c r="E13" s="58"/>
      <c r="F13" s="2481" t="str">
        <f>IFERROR(IF(E_BerDat1="","",IF(E_Rezins=0,"Kein Zinssatz vorhanden. Bitte BilMoG-Zins ermitteln!",IF(E_BerDat1&lt;BilMoGAnfang,"Kein BilMoG-Zins für diesen Zeitraum vorhanden, Vorschlag 5,5% (BGH XII ZB 230/16 Rn. 60)","Das Programm rechnet mit dem vom BGH (XII ZB 84/13, FamRB 2016, 455)  gebilligten BilMoG-7-Zins von "&amp;TEXT(E_Rezins,"#0,00")&amp;"%, falls keine andere Eingabe erfolgt."))),"")</f>
        <v/>
      </c>
      <c r="G13" s="2481"/>
      <c r="H13" s="2482"/>
      <c r="I13" s="2477" t="str">
        <f>IF(E_Bilmog10_test=0,"","BliMoG-10: "&amp;TEXT(VLOOKUP(E_BerDat1,BilMoG10,16)/100,"#0,00%"))</f>
        <v/>
      </c>
      <c r="J13" s="2478"/>
      <c r="K13" s="53"/>
      <c r="L13" s="1457" t="s">
        <v>1591</v>
      </c>
      <c r="M13" s="1458" t="e">
        <f>+RK_AusgW*(1+M12)</f>
        <v>#VALUE!</v>
      </c>
      <c r="N13" s="1442"/>
      <c r="O13" s="1442"/>
      <c r="P13" s="75" t="s">
        <v>128</v>
      </c>
      <c r="Q13" s="75">
        <f>IF(OR(E_BerDat1&lt;BilMoGMin,E_BerDat1&gt;BilMoGmax),0,1)</f>
        <v>0</v>
      </c>
      <c r="R13" s="75" t="s">
        <v>837</v>
      </c>
      <c r="S13" s="819"/>
      <c r="T13" s="562" t="s">
        <v>1583</v>
      </c>
      <c r="U13" s="1450" t="e">
        <f>+U12/E_VVR-1</f>
        <v>#VALUE!</v>
      </c>
      <c r="V13" s="1448" t="str">
        <f>+V10</f>
        <v>Invaliditätskorrektur</v>
      </c>
      <c r="W13" s="1447" t="e">
        <f>ROUND(IF(OR(E_Datum1="",E_BerDat1=""),"",IF(AND(E_Invalidität,F9&lt;&gt;"Rentner!"),VLOOKUP(E_Alter+RK_Zeitabstand_EzE,CHOOSE(IF(E_Rentenalter&lt;60,60,IF(E_Rentenalter&gt;67,67,E_Rentenalter))-59,HRIR60,HRIR61,HRIR62,HRIR63,HRIR64,HRIR,HRIR66,HRIR67),CHOOSE(E_sex,7,16,25),1)*J11,0)),4)</f>
        <v>#VALUE!</v>
      </c>
      <c r="X13" s="2447" t="e">
        <f>ROUND(W14+W13,4)</f>
        <v>#VALUE!</v>
      </c>
      <c r="Y13" s="562"/>
      <c r="Z13" s="823" t="e">
        <f>ROUND(X13-HRIR_Zuschlag,4)</f>
        <v>#VALUE!</v>
      </c>
      <c r="AB13" s="815"/>
      <c r="AF13" s="817" t="s">
        <v>1209</v>
      </c>
      <c r="AG13" s="75" t="e">
        <f>+AG12*(1+(AG10+AG9))</f>
        <v>#VALUE!</v>
      </c>
    </row>
    <row r="14" spans="1:34" s="75" customFormat="1" ht="27" customHeight="1">
      <c r="A14" s="2492"/>
      <c r="B14" s="2455" t="str">
        <f>"10. Annahme eines Rententrends (Leistungsdynamik) in Höhe von (in %)?"</f>
        <v>10. Annahme eines Rententrends (Leistungsdynamik) in Höhe von (in %)?</v>
      </c>
      <c r="C14" s="2456"/>
      <c r="D14" s="2457"/>
      <c r="E14" s="79">
        <v>0.01</v>
      </c>
      <c r="F14" s="2511" t="str">
        <f>IF(E_Kapital="","","Bei Betriebsrenten ist nach BGH XII ZB 408/14 (FamRB 2018, 218) ein Rententrend anzugeben (§ 16 BetrAVG); i.d.R.ein Satz zwischen 1 bis 2%. ")</f>
        <v/>
      </c>
      <c r="G14" s="2512"/>
      <c r="H14" s="2513"/>
      <c r="I14" s="2479" t="str">
        <f ca="1">R13&amp;" Dynamisierung letzte 10 Jahre: "&amp;CHAR(10)&amp;"VPI: "&amp;TEXT(_xlfn.RRI(10,VLOOKUP(VPI_10,VPI_Jahr,2),VLOOKUP(Heute,VPI_Jahr,2)),"0,00%")&amp;" / DRV: "&amp;TEXT(DRV_10,"0,00%")</f>
        <v>Ø Dynamisierung letzte 10 Jahre: 
VPI: 2,42% / DRV: 2,94%</v>
      </c>
      <c r="J14" s="2480"/>
      <c r="K14" s="86"/>
      <c r="L14" s="1459" t="s">
        <v>1600</v>
      </c>
      <c r="M14" s="1466" t="e">
        <f>IF(+S36&lt;0,0,S36)</f>
        <v>#VALUE!</v>
      </c>
      <c r="N14" s="1442"/>
      <c r="O14" s="1442"/>
      <c r="P14" s="75" t="s">
        <v>83</v>
      </c>
      <c r="Q14" s="813" t="e">
        <f>IF(E_ReZins1-E_ReTrend1=0,E_Kapital/E_LxyRAlter/12,((E_Kapital*IF(E_Anwartschaftszeit&gt;0,(1+(E_ReZins1))^(E_Anwartschaftszeit),1)*(E_ReZins1-E_ReTrend1))/(1-1/(1+(E_ReZins1-E_ReTrend1))^E_LxyRAlter)/E_VVR/12)/IF(OR(E_Invalidität,E_Hinterbliebene),(1+U8),1))</f>
        <v>#VALUE!</v>
      </c>
      <c r="R14" s="817" t="s">
        <v>836</v>
      </c>
      <c r="S14" s="820">
        <f ca="1">DATE(YEAR(Heute)-10,MONTH(Heute),DAY(Heute))</f>
        <v>41761</v>
      </c>
      <c r="T14" s="821" t="s">
        <v>838</v>
      </c>
      <c r="U14" s="822">
        <f ca="1">_xlfn.RRI(10,VLOOKUP(VPI_10,aktRW,IF(Ost,3,2)),VLOOKUP(Heute,aktRW,IF(Ost,3,2)))</f>
        <v>2.9405241341839528E-2</v>
      </c>
      <c r="V14" s="1448" t="str">
        <f>+V11</f>
        <v>Hinterbliebenenkorrektur</v>
      </c>
      <c r="W14" s="1447" t="e">
        <f>ROUND(IFERROR(IF(OR(E_Datum1="",E_BerDat1=""),"",IF(E_Hinterbliebene,VLOOKUP(E_Alter+RK_Zeitabstand_EzE,CHOOSE(IF(E_Rentenalter&lt;60,60,IF(E_Rentenalter&gt;67,67,E_Rentenalter))-59,HRIR60,HRIR61,HRIR62,HRIR63,HRIR64,HRIR,HRIR66,HRIR67),CHOOSE(E_sex,8,17,26),1)*J12,0)),""),4)</f>
        <v>#VALUE!</v>
      </c>
      <c r="X14" s="2448"/>
      <c r="Y14" s="69" t="e">
        <f>ROUND(+X13/HRIR_Zuschlag,4)</f>
        <v>#VALUE!</v>
      </c>
      <c r="Z14" s="75" t="e">
        <f>RK_AlterAusglBer+RK_Zeitabstand_EzE</f>
        <v>#VALUE!</v>
      </c>
      <c r="AB14" s="815"/>
      <c r="AF14" s="817" t="s">
        <v>1210</v>
      </c>
      <c r="AG14" s="75" t="e">
        <f>IF(E_Alter&gt;AG6,1,VLOOKUP(AG6,G_Kohorte_M,YEAR(E_Datum1)-1900+2)/E_VVR1)</f>
        <v>#VALUE!</v>
      </c>
    </row>
    <row r="15" spans="1:34" s="75" customFormat="1" ht="32.1" customHeight="1" thickBot="1">
      <c r="A15" s="20"/>
      <c r="B15" s="2508" t="str">
        <f>IF(E_RenteKapital=1,"11. Monatsrente aus dem Kapital nach Mitteilung des Versorgungsträgers:","11. Kapitalwert der Versorgung nach Mitteilung des Versorgungsträgers")</f>
        <v>11. Kapitalwert der Versorgung nach Mitteilung des Versorgungsträgers</v>
      </c>
      <c r="C15" s="2509"/>
      <c r="D15" s="2510"/>
      <c r="E15" s="1779"/>
      <c r="F15" s="2464" t="str">
        <f>IF(E_Kapital="","",IF(E_RenteKapital=1,"zu erwartende Monatsrente bei interner Teilung:","Barwert der Monatsrente:"))</f>
        <v/>
      </c>
      <c r="G15" s="2465"/>
      <c r="H15" s="1780">
        <f>IF(E_Datum1=0,"",IFERROR(ROUND(IF(E_Kapital=0,0,IF(E_RenteKapital=1,E_RenteausKapital,E_BarwertderRente)),0),""))</f>
        <v>0</v>
      </c>
      <c r="I15" s="2483" t="str">
        <f>IFERROR(IF(X6&gt;ErgebnisABer,"Externe Teilung in DRV kann günstiger als die interne sein.",""),"")</f>
        <v/>
      </c>
      <c r="J15" s="2484"/>
      <c r="K15" s="87"/>
      <c r="L15" s="1459" t="s">
        <v>1601</v>
      </c>
      <c r="M15" s="1466" t="e">
        <f>+S35</f>
        <v>#VALUE!</v>
      </c>
      <c r="N15" s="1444"/>
      <c r="O15" s="1444"/>
      <c r="P15" s="75" t="s">
        <v>84</v>
      </c>
      <c r="Q15" s="1338" t="e">
        <f>Z17</f>
        <v>#VALUE!</v>
      </c>
      <c r="W15" s="2454" t="s">
        <v>1585</v>
      </c>
      <c r="X15" s="2454"/>
      <c r="Y15" s="2454"/>
      <c r="Z15" s="2448"/>
      <c r="AB15" s="815"/>
      <c r="AF15" s="75" t="s">
        <v>567</v>
      </c>
      <c r="AG15" s="162" t="e">
        <f>+AG13*AG14</f>
        <v>#VALUE!</v>
      </c>
    </row>
    <row r="16" spans="1:34" s="75" customFormat="1" ht="27" customHeight="1" thickTop="1">
      <c r="A16" s="20"/>
      <c r="B16" s="2520" t="s">
        <v>137</v>
      </c>
      <c r="C16" s="2521"/>
      <c r="D16" s="2521"/>
      <c r="E16" s="2521"/>
      <c r="F16" s="2521"/>
      <c r="G16" s="1781"/>
      <c r="H16" s="1782"/>
      <c r="I16" s="2525" t="str">
        <f>IFERROR(IF(E_Ergebnis=0,"",IF(E_RenteKapital=1,"",IF(E_Ergebnis&gt;VLOOKUP(YEAR(E_BerDat1),BBMG,IF(Ost,5,4)),"nur interne Teilung möglich"&amp;CHAR(10)&amp;"§ 17, extern d. Vereinbarung","externe Teilung möglich, § 17 "))),"")</f>
        <v/>
      </c>
      <c r="J16" s="2526"/>
      <c r="K16" s="88"/>
      <c r="L16" s="1464" t="s">
        <v>1602</v>
      </c>
      <c r="M16" s="1460" t="e">
        <f>+RK_Nebenleistungen</f>
        <v>#VALUE!</v>
      </c>
      <c r="N16" s="1443"/>
      <c r="O16" s="1443"/>
      <c r="P16" s="75" t="s">
        <v>102</v>
      </c>
      <c r="Q16" s="1436" t="e">
        <f>((IF(E_RenteKapital=2,IF(E_KapWert&gt;0,E_KapWert,E_Ergebnis),E_Kapital)*IF(E_AnwartschaftszeitABer&gt;0,(1+E_ReZins1)^(E_AnwartschaftszeitABer),1)*(E_ReZins1-E_ReTrend1))/(1-1/(1+(E_ReZins1-E_ReTrend1))^E_LXYAlterABer)/E_VVRAusglBer/12)/IF(OR(E_InvaliditätAusglBer,E_HinterbliebeneAusglBer),(1+T22),1)</f>
        <v>#VALUE!</v>
      </c>
      <c r="S16" s="16">
        <f>E_Kapital*12*IF(E_Volldynamik,(1+E_ReTrend1)^E_Anwartschaftszeit,1)</f>
        <v>0</v>
      </c>
      <c r="W16" s="69" t="s">
        <v>1498</v>
      </c>
      <c r="X16" s="1214" t="s">
        <v>1499</v>
      </c>
      <c r="Y16" s="69" t="s">
        <v>1500</v>
      </c>
      <c r="Z16" s="69" t="s">
        <v>1501</v>
      </c>
      <c r="AB16" s="815"/>
    </row>
    <row r="17" spans="1:33" s="75" customFormat="1" ht="26.25" customHeight="1" thickBot="1">
      <c r="A17" s="20"/>
      <c r="B17" s="2466" t="str">
        <f>"13. Geburtsdatum der ausgleichsberechtigten Person ("&amp;CHOOSE(E_sex,"weiblich","männlich","unisex")&amp;")"</f>
        <v>13. Geburtsdatum der ausgleichsberechtigten Person (weiblich)</v>
      </c>
      <c r="C17" s="2467"/>
      <c r="D17" s="1385" t="str">
        <f>IF(E17&lt;&gt;"",E17,IF(E_sex=1,Dat_GebDat_F,IF(E_sex=2,Dat_GebDat_M,IF(AND(E_sex=3,E17&lt;&gt;""),E17,""))))</f>
        <v/>
      </c>
      <c r="E17" s="1386"/>
      <c r="F17" s="2518"/>
      <c r="G17" s="2519"/>
      <c r="H17" s="1783" t="str">
        <f>IFERROR(IF(E_RenteKapital=1,E_RenteausKapitalAglBer,IF(E_BerDat2="","",+E_RenteausKapitalAglBer))/IF(E_Halbteilung,2,1),"")</f>
        <v/>
      </c>
      <c r="I17" s="2551" t="str">
        <f>IFERROR("Rentenerwerb in DRV für AusglBer. zum "&amp;TEXT(E_BerDat1,"T.M.JJ")&amp;": "&amp;TEXT(IF(E_RenteKapital=2,IF(E_KapWert&gt;0,E_KapWert,E_Ergebnis),E_Kapital)/VLOOKUP(E_BerDat1,UmrechnungEP_Kap,IF(Ost,3,2))*VLOOKUP(E_BerDat1,aktRW,IF(Ost,3,2)),"#.##0,00 €"),"")</f>
        <v/>
      </c>
      <c r="J17" s="2552"/>
      <c r="K17" s="89"/>
      <c r="L17" s="1462" t="s">
        <v>1603</v>
      </c>
      <c r="M17" s="1461" t="e">
        <f>IF(E_ReZins1-E_ReTrend1=0,M13/RK_Leistungszeit/12,M13*IF(RK_AnwZeit&gt;0,(1+E_ReZins1)^(RK_AnwZeit),1)*(E_ReZins1-E_ReTrend1)/(1-1/(1+(E_ReZins1-E_ReTrend1))^RK_Leistungezeit)/RK_VVRAglBer_Faktor/12/IF(OR(E_InvaliditätAusglBer,E_HinterbliebeneAusglBer),(1+RK_Nebenleistungen),1))</f>
        <v>#VALUE!</v>
      </c>
      <c r="N17" s="1468"/>
      <c r="O17" s="1468"/>
      <c r="P17" s="75" t="s">
        <v>1671</v>
      </c>
      <c r="Q17" s="16" t="b">
        <v>0</v>
      </c>
      <c r="W17" s="1339" t="e">
        <f>ROUND(-PV(E_Rezins/100-E_ReTrend1,E_LxyRAlter,E_Kapital*12*IF(E_Volldynamik,(1+E_ReTrend1)^E_Anwartschaftszeit,1)),2)</f>
        <v>#VALUE!</v>
      </c>
      <c r="X17" s="1339" t="e">
        <f>ROUND(-PV(E_Rezins/100,E_Anwartschaftszeit,,W17),2)</f>
        <v>#VALUE!</v>
      </c>
      <c r="Y17" s="1339" t="e">
        <f>ROUND(X17*(1+HRIR_Zuschlag),2)</f>
        <v>#VALUE!</v>
      </c>
      <c r="Z17" s="1339" t="e">
        <f>ROUND(Y17*E_VVR,2)</f>
        <v>#VALUE!</v>
      </c>
      <c r="AB17" s="815"/>
    </row>
    <row r="18" spans="1:33" ht="19.5" customHeight="1" thickTop="1" thickBot="1">
      <c r="A18" s="18"/>
      <c r="B18" s="2461" t="str">
        <f ca="1">IF(TODAY()&gt;Laufzeitbegrenzung,"Die Laufzeit des Programms ist vorerst auf den "&amp;TEXT(Laufzeitbegrenzung,"TT.MM.JJJJ")&amp;" begrenzt. Kontaktieren Sie bitte Autor oder Verlag.",IF(E15="","","Die Abweichung beträgt ca. "&amp;TEXT(E_Abweichung,"##0%")&amp;IF(E_Abweichung &gt;5%,". Je nachdem, für wen Sie die Berechnung vornehmen, sollten Sie sie prüfen lassen.","")))</f>
        <v/>
      </c>
      <c r="C18" s="2462"/>
      <c r="D18" s="2462"/>
      <c r="E18" s="2462"/>
      <c r="F18" s="2462"/>
      <c r="G18" s="2462"/>
      <c r="H18" s="2463"/>
      <c r="I18" s="2549" t="str">
        <f>IFERROR(IF(E_AlterABer&gt;E_Rentenalter,"DRV als ZV nur bis zur Bewilligung einer Volltente wg. Alters (§ 187 SGV VI)",""),"")</f>
        <v/>
      </c>
      <c r="J18" s="2550"/>
      <c r="K18" s="90"/>
      <c r="L18" s="2449"/>
      <c r="M18" s="2449"/>
      <c r="N18" s="2449"/>
      <c r="O18" s="2449"/>
      <c r="P18" s="75" t="s">
        <v>93</v>
      </c>
      <c r="Q18" s="75" t="e">
        <f>"Monatsrente = {["&amp;TEXT(E_Kapital,"###.###")&amp;IF(E_Anwartschaftszeit&gt;0," x (1 + "&amp;TEXT(E_ReZins1,"##0,00%")&amp;")^"&amp;TEXT(E_Anwartschaftszeit,"#0,00"),"")&amp;" x ("&amp;TEXT(E_ReZins1,"#0,00%")&amp;IF(E_ReTrend1&gt;0," - "&amp;TEXT(E_ReTrend1,"#0,00%"),"")&amp;"] / [1-1/(1+"&amp;TEXT(E_ReZins1,"#0,00%")&amp;IF(E_ReTrend1&gt;0," - "&amp;TEXT(E_ReTrend1,"#0,00%"),"")&amp;")^"&amp;TEXT(E_LxyRAlterI,"#0,0")&amp;"]} "&amp;IF(E_VVR&lt;1,"/ "&amp;TEXT(E_VVR,"0,####"),"")&amp;IF(U8&gt;0," / (1 + "&amp;TEXT(U8,"#0,00%")&amp;")","")&amp;" / 12 "</f>
        <v>#VALUE!</v>
      </c>
      <c r="T18" t="s">
        <v>162</v>
      </c>
      <c r="U18" s="15" t="b">
        <v>0</v>
      </c>
      <c r="W18" s="1437"/>
      <c r="X18" s="1437"/>
      <c r="Y18" s="1437"/>
      <c r="Z18" s="1437"/>
      <c r="AA18" s="75"/>
      <c r="AB18" s="824"/>
    </row>
    <row r="19" spans="1:33" ht="16.5" hidden="1" customHeight="1">
      <c r="A19" s="18"/>
      <c r="B19" s="2514" t="str">
        <f>IFERROR(IF(B20="","","Darstellung der finanzmathematischen Berechnungsparameter. Geringe Ergebnisabweichungen beruhen auf Rundungs- und Interpolationsdifferenzen:"),"")</f>
        <v/>
      </c>
      <c r="C19" s="2515"/>
      <c r="D19" s="2515"/>
      <c r="E19" s="2515"/>
      <c r="F19" s="2515"/>
      <c r="G19" s="2515"/>
      <c r="H19" s="2516"/>
      <c r="I19" s="2545" t="str">
        <f>IFERROR("Barwertfaktor (Jahr): "&amp;TEXT(IF(E_RenteKapital=2,+E_Ergebnis/E_Kapital/12,E_Kapital/E_Ergebnis/12),"###,####"),"")</f>
        <v/>
      </c>
      <c r="J19" s="2546"/>
      <c r="K19" s="54"/>
      <c r="L19" s="2449"/>
      <c r="M19" s="2449"/>
      <c r="N19" s="2449"/>
      <c r="O19" s="2449"/>
      <c r="P19" s="75" t="s">
        <v>94</v>
      </c>
      <c r="Q19" s="75" t="e">
        <f>"Monatsrente = {["&amp;"Kapital "&amp;IF(E_Anwartschaftszeit&gt;0," x (1 + "&amp;"Rezins"&amp;")^Anw.zeit","")&amp;" x ("&amp;"Rezins"&amp;IF(E_ReTrend1&gt;0," - "&amp;"Retrend)","")&amp;"] / [1-1/(1+("&amp;"Rezins"&amp;IF(E_ReTrend1&gt;0," - "&amp;"Retrend","")&amp;")^"&amp;"Lebenserw."&amp;"]}"&amp;IF(E_Anwartschaftszeit&gt;0," / Vorversterbensfaktor","")&amp;IF(U8&gt;0," / (1 + "&amp;IF(E_Ifaktor&gt;0,"Invaliditätsfator ","")&amp;IF(AND(E_Ifaktor&gt;0,E_HFaktor&gt;0),"+","")&amp;IF(E_HFaktor&gt;0," Hinterbliebenenfaktor)",")"),"")&amp;" / 12 "</f>
        <v>#VALUE!</v>
      </c>
      <c r="AA19" s="75"/>
      <c r="AB19" s="824"/>
    </row>
    <row r="20" spans="1:33" ht="32.25" hidden="1" customHeight="1">
      <c r="A20" s="18"/>
      <c r="B20" s="2522" t="str">
        <f>IFERROR(IF(E_RenteKapital=1,Q19,E_BarwertText),"")</f>
        <v/>
      </c>
      <c r="C20" s="2523"/>
      <c r="D20" s="2523"/>
      <c r="E20" s="2523"/>
      <c r="F20" s="2523"/>
      <c r="G20" s="2523"/>
      <c r="H20" s="2524"/>
      <c r="I20" s="1422"/>
      <c r="J20" s="1430"/>
      <c r="K20" s="23"/>
      <c r="L20" s="2449"/>
      <c r="M20" s="2449"/>
      <c r="N20" s="2449"/>
      <c r="O20" s="2449"/>
      <c r="P20" t="s">
        <v>89</v>
      </c>
      <c r="Q20" s="825" t="e">
        <f>ABS(1-H15/E15)</f>
        <v>#DIV/0!</v>
      </c>
      <c r="AA20" s="75"/>
      <c r="AB20" s="824"/>
    </row>
    <row r="21" spans="1:33" ht="17.25" hidden="1" customHeight="1">
      <c r="A21" s="18"/>
      <c r="B21" s="2505" t="str">
        <f>IFERROR(IF(E_RenteKapital=2,T_Barwert,T_Verrentung),"")</f>
        <v/>
      </c>
      <c r="C21" s="2506"/>
      <c r="D21" s="2506"/>
      <c r="E21" s="2506"/>
      <c r="F21" s="2506"/>
      <c r="G21" s="2506"/>
      <c r="H21" s="2507"/>
      <c r="I21" s="1431"/>
      <c r="J21" s="1432"/>
      <c r="K21" s="21"/>
      <c r="L21" s="21"/>
      <c r="M21" s="21"/>
      <c r="N21" s="21"/>
      <c r="O21" s="21"/>
      <c r="P21" t="s">
        <v>90</v>
      </c>
      <c r="AA21" s="75"/>
      <c r="AB21" s="824"/>
    </row>
    <row r="22" spans="1:33" ht="20.25" hidden="1" customHeight="1" thickBot="1">
      <c r="A22" s="18"/>
      <c r="B22" s="24" t="s">
        <v>117</v>
      </c>
      <c r="C22" s="1273"/>
      <c r="D22" s="2496" t="s">
        <v>856</v>
      </c>
      <c r="E22" s="2496"/>
      <c r="F22" s="2496" t="s">
        <v>118</v>
      </c>
      <c r="G22" s="2496"/>
      <c r="H22" s="2497"/>
      <c r="I22" s="2553" t="s">
        <v>116</v>
      </c>
      <c r="J22" s="2554"/>
      <c r="K22" s="91"/>
      <c r="L22" s="91"/>
      <c r="M22" s="91"/>
      <c r="N22" s="91"/>
      <c r="O22" s="91"/>
      <c r="P22" t="s">
        <v>110</v>
      </c>
      <c r="Q22" s="15" t="b">
        <v>0</v>
      </c>
      <c r="R22" s="3" t="s">
        <v>111</v>
      </c>
      <c r="S22" s="1439">
        <f>IF(E_InvaliditätAusglBer,VLOOKUP(E_AlterABer,CHOOSE(IF(E_RelegalterABer&lt;60,60,IF(E_RelegalterABer&gt;67,67,E_RelegalterABer))-59,HRIR60,HRIR61,HRIR62,HRIR63,HRIR64,HRIR,HRIR66,HRIR67),CHOOSE(E_sex,16,7,25),1),0)*J11</f>
        <v>0</v>
      </c>
      <c r="T22" s="2544">
        <f>ROUND(E_IFaktorAusglBer+E_HfaktorAusglBer,4)</f>
        <v>0</v>
      </c>
      <c r="W22" s="75"/>
      <c r="X22" s="75"/>
      <c r="AA22" s="75"/>
      <c r="AB22" s="824"/>
    </row>
    <row r="23" spans="1:33" s="75" customFormat="1" ht="19.5" hidden="1" customHeight="1">
      <c r="A23" s="20"/>
      <c r="B23" s="2493" t="s">
        <v>159</v>
      </c>
      <c r="C23" s="2494"/>
      <c r="D23" s="2494"/>
      <c r="E23" s="2494"/>
      <c r="F23" s="2494"/>
      <c r="G23" s="2494"/>
      <c r="H23" s="2495"/>
      <c r="I23" s="2547" t="str">
        <f>IF(E_BerDat2="","","Renten-Barwerte Berecht.")</f>
        <v/>
      </c>
      <c r="J23" s="2548"/>
      <c r="K23" s="684"/>
      <c r="L23" s="684"/>
      <c r="M23" s="684"/>
      <c r="N23" s="684"/>
      <c r="O23" s="684"/>
      <c r="P23" s="75" t="s">
        <v>112</v>
      </c>
      <c r="Q23" s="16" t="b">
        <v>0</v>
      </c>
      <c r="R23" s="562" t="s">
        <v>113</v>
      </c>
      <c r="S23" s="1440">
        <f>IF(E_HinterbliebeneAusglBer,VLOOKUP(E_AlterABer,CHOOSE(IF(E_RelegalterABer&lt;60,60,IF(E_RelegalterABer&gt;67,67,E_RelegalterABer))-59,HRIR60,HRIR61,HRIR62,HRIR63,HRIR64,HRIR,HRIR66,HRIR67),CHOOSE(E_sex,17,8,26),1)*J12,0)</f>
        <v>0</v>
      </c>
      <c r="T23" s="2544"/>
      <c r="X23" s="1360" t="str">
        <f>" x "&amp;"(1 + "&amp;IF(E_Ifaktor&gt;0,TEXT(E_Ifaktor,"##0,00%"),"")&amp;IF(AND(E_Ifaktor&gt;0,E_HFaktor&gt;0)," + ","")&amp;IF(E_HFaktor&gt;0,TEXT(E_HFaktor,"##0,00%")&amp;IF(AND(E_Ifaktor&gt;0,E_HFaktor&gt;0),")",")"),")")</f>
        <v xml:space="preserve"> x (1 +  + )</v>
      </c>
      <c r="AB23" s="815"/>
    </row>
    <row r="24" spans="1:33" s="331" customFormat="1" ht="17.25" hidden="1" customHeight="1">
      <c r="A24" s="56"/>
      <c r="B24" s="2499" t="str">
        <f>IFERROR(IF(E_Kapital+E_Ergebnis=0,"","Bei Einzahlung des Kapitalbetrags von "&amp;TEXT(IF(E_RenteKapital=2,IF(E_KapWert&gt;0,E_KapWert,E_Ergebnis),E_Kapital),"###.##0")&amp;" zum "&amp;TEXT(E_BerDat1,"TT.MM.JJJJ")&amp;" in die DRV, werden "&amp;TEXT(Entgeltpunkte1,"##0,0000")&amp;" EP begründet. Daraus resultiert im Renteneintrittsalter bzw. bei einem Rentenbezieher im Berechnungszeitpunkt bei Annahme einer Dynamik von "&amp;TEXT(RententrendDRV,"0,00%")&amp;" eine Rente der ausgleichspflichtigen Person in Höhe von: "&amp;TEXT(X5,"#.##0 €")&amp;"."&amp;"."),"")</f>
        <v/>
      </c>
      <c r="C24" s="2500"/>
      <c r="D24" s="2500"/>
      <c r="E24" s="2500"/>
      <c r="F24" s="2500"/>
      <c r="G24" s="2500"/>
      <c r="H24" s="2501"/>
      <c r="I24" s="2487" t="str">
        <f>IFERROR("Quellversorgung: "&amp;TEXT(E33,"#.##0 €"),"")</f>
        <v/>
      </c>
      <c r="J24" s="2488"/>
      <c r="K24" s="83"/>
      <c r="L24" s="83"/>
      <c r="M24" s="83"/>
      <c r="N24" s="83"/>
      <c r="O24" s="83"/>
      <c r="P24" s="331" t="s">
        <v>92</v>
      </c>
      <c r="Q24" s="331" t="e">
        <f>IF(E_RenteKapital=2,"Barwert der Rente = ["&amp;TEXT(E_Kapital*12,"#.##0,00 €")&amp;"/"&amp;TEXT(E_ReZins1-E_ReTrend1,"#0,00%")&amp;" × (1-1/(1+"&amp;TEXT(E_ReZins1-E_ReTrend1,"#0,00%")&amp;")^"&amp;TEXT(E_LxyRAlter,"#0,00")&amp;")]"&amp;IF(E_Anwartschaftszeit&gt;0," / [( 1+"&amp;TEXT(E_ReZins1-IF(E_Volldynamik,E_ReTrend1,0),"#0,00%")&amp;")^"&amp;TEXT(E_Anwartschaftszeit,"#0,00")&amp;"]"&amp;E_T_VVR&amp;IF(U8&gt;0,E_T_HRIR,""),IF(U8&gt;0,E_T_HRIR,"")),"")</f>
        <v>#VALUE!</v>
      </c>
      <c r="AA24" s="75"/>
      <c r="AB24" s="826"/>
      <c r="AG24" s="827"/>
    </row>
    <row r="25" spans="1:33" ht="17.25" hidden="1" customHeight="1" thickBot="1">
      <c r="A25" s="18"/>
      <c r="B25" s="2502"/>
      <c r="C25" s="2503"/>
      <c r="D25" s="2503"/>
      <c r="E25" s="2503"/>
      <c r="F25" s="2503"/>
      <c r="G25" s="2503"/>
      <c r="H25" s="2504"/>
      <c r="I25" s="2485" t="str">
        <f>IFERROR("DRV: "&amp;+TEXT(E30/IF(E_Halbteilung,2,1),"#.##0 €"),"")</f>
        <v/>
      </c>
      <c r="J25" s="2486"/>
      <c r="K25" s="84"/>
      <c r="L25" s="84"/>
      <c r="M25" s="84"/>
      <c r="N25" s="84"/>
      <c r="O25" s="84"/>
      <c r="Q25" t="e">
        <f>IF(E_RenteKapital=2,"Barwert der Rente = ["&amp;"Jahresrente"&amp;"/( Rechnungszins - Rententrend)  × (1-1 / (1+Rechnungszins - Rententrend)^Restlebenserwartung "&amp;")]"&amp;IF(E_Anwartschaftszeit&gt;0," / [( 1 + Rechnungszins)^Anwartschaftszeit]"&amp;IF(E_T_VVR&lt;&gt;""," x Vorversterbensrisikofaktor ",""),"")&amp;IF(E_Ifaktor&gt;0," x (1 + Invaliditätsfaktor)","")&amp;IF(E_HFaktor&gt;0," x (1 + Hinterbliebenenfaktor)",""),"")</f>
        <v>#VALUE!</v>
      </c>
      <c r="AA25" s="75"/>
      <c r="AB25" s="824"/>
    </row>
    <row r="26" spans="1:33" ht="15" customHeight="1">
      <c r="A26" s="25"/>
      <c r="B26" s="2517" t="str">
        <f>"Datenpflege bis "&amp;TEXT(Enddatum,"TT.MM.JJ")&amp;" Aktualisierung unter &lt;Parameter&gt; möglich. Laufzeitbegrenzung bis: "&amp;TEXT(Laufzeitbegrenzung,"TT.MM.JJ")</f>
        <v>Datenpflege bis 30.04.24 Aktualisierung unter &lt;Parameter&gt; möglich. Laufzeitbegrenzung bis: 31.12.24</v>
      </c>
      <c r="C26" s="2517"/>
      <c r="D26" s="2517"/>
      <c r="E26" s="2517"/>
      <c r="F26" s="2517"/>
      <c r="G26" s="2517"/>
      <c r="H26" s="2517"/>
      <c r="I26" s="2489"/>
      <c r="J26" s="2489"/>
      <c r="K26" s="21"/>
      <c r="L26" s="21"/>
      <c r="M26" s="21"/>
      <c r="N26" s="21"/>
      <c r="O26" s="21"/>
      <c r="P26" s="426" t="s">
        <v>95</v>
      </c>
      <c r="Q26" s="1374">
        <f>IF(E_RezinsAngabe&lt;&gt;"",E_RezinsAngabe*100,IF(E_BerDat1&lt;IF(E_BilMoG10,BilMoG10Anfang,BilMoGAnfang),5.5,IF(E_BerDat1&lt;=BilMogEnde,VLOOKUP(E_BerDat1,IF(E_BilMoG10,BilMoG10,BilmoGZins),IF(AND(Realdauer=TRUE,E_LxyRAlter&lt;15),E_LxyRAlter+1,16)),0)))</f>
        <v>0</v>
      </c>
      <c r="R26" s="59">
        <f>BilMogEnde</f>
        <v>45412</v>
      </c>
      <c r="S26" s="828" t="e">
        <f>IF(E_Anwartschaftszeit&gt;0," x "&amp;TEXT(E_VVR2,"###.###")&amp;" / "&amp;TEXT(E_VVR1,"###.###"),"")</f>
        <v>#VALUE!</v>
      </c>
      <c r="T26" t="e">
        <f>VLOOKUP(E_BerDat1,BilmoGZins,16)</f>
        <v>#N/A</v>
      </c>
      <c r="U26" t="s">
        <v>405</v>
      </c>
      <c r="V26" s="15" t="b">
        <v>0</v>
      </c>
      <c r="AA26" s="75"/>
      <c r="AB26" s="824"/>
    </row>
    <row r="27" spans="1:33" ht="14.25" customHeight="1">
      <c r="A27" s="25"/>
      <c r="B27" s="2498"/>
      <c r="C27" s="2498"/>
      <c r="D27" s="2498"/>
      <c r="E27" s="2498"/>
      <c r="F27" s="2498"/>
      <c r="G27" s="2498"/>
      <c r="H27" s="2498"/>
      <c r="I27" s="2489"/>
      <c r="J27" s="2489"/>
      <c r="K27" s="21"/>
      <c r="L27" s="21"/>
      <c r="M27" s="21"/>
      <c r="N27" s="21"/>
      <c r="O27" s="21"/>
      <c r="P27" t="s">
        <v>97</v>
      </c>
      <c r="Q27" s="59" t="e">
        <f>DATE(YEAR(E_Datum1)+E_Rentenalter,MONTH(E_Datum1)+(E_Rentenalter-INT(E_Rentenalter))*12,DAY(E_Datum1))</f>
        <v>#VALUE!</v>
      </c>
      <c r="AA27" s="75"/>
      <c r="AB27" s="824"/>
    </row>
    <row r="28" spans="1:33" ht="18" hidden="1" customHeight="1">
      <c r="B28" s="663"/>
      <c r="C28" s="663"/>
      <c r="D28" s="663"/>
      <c r="E28" s="663"/>
      <c r="F28" s="663"/>
      <c r="G28" s="663"/>
      <c r="H28" s="663"/>
      <c r="I28" s="663"/>
      <c r="J28" s="663"/>
      <c r="K28" s="642"/>
      <c r="L28" s="642"/>
      <c r="M28" s="642"/>
      <c r="N28" s="642"/>
      <c r="O28" s="642"/>
      <c r="P28" t="s">
        <v>96</v>
      </c>
      <c r="Q28">
        <f>IF(F9="Rentner!",1,0)</f>
        <v>0</v>
      </c>
      <c r="U28" s="418" t="e">
        <f>E_Kapital*IF(E_AnwartschaftszeitABer&gt;0,(1+E_ReZins1)^(E_AnwartschaftszeitABer),1)*((E_ReZins1-E_ReTrend1)/(1-1/(1+(E_ReZins1-E_ReTrend1))^E_LXYAlterABer))/E_VVRAusglBer/12/IF(OR(E_InvaliditätAusglBer,E_HinterbliebeneAusglBer),(1+T22),1)</f>
        <v>#VALUE!</v>
      </c>
      <c r="AA28" s="75"/>
      <c r="AB28" s="824"/>
    </row>
    <row r="29" spans="1:33" ht="18" hidden="1" customHeight="1">
      <c r="B29" t="s">
        <v>832</v>
      </c>
      <c r="E29" s="157" t="e">
        <f>IF(E_RenteKapital=2,E_Ergebnis,E_Kapital)/VLOOKUP(E_BerDat1,UmrechnungEP_Kap,IF(Ost,3,2))*VLOOKUP(E_BerDat1,aktRW,IF(Ost,3,2))</f>
        <v>#N/A</v>
      </c>
      <c r="P29" t="s">
        <v>863</v>
      </c>
      <c r="Q29" s="95" t="str">
        <f>IF(E_Datum1="","",IF(E_Rentenaltereingabe="",VLOOKUP(YEAR(E_Datum1),Renteneintrittstabelle,3),E_Rentenaltereingabe))</f>
        <v/>
      </c>
      <c r="U29" s="418" t="s">
        <v>1592</v>
      </c>
      <c r="AA29" s="75"/>
      <c r="AB29" s="824"/>
    </row>
    <row r="30" spans="1:33" ht="18" hidden="1" customHeight="1">
      <c r="B30" t="s">
        <v>831</v>
      </c>
      <c r="E30" s="157" t="e">
        <f>-PV(E_ReZins1-RententrendDRV,E_AnwartschaftszeitABer,,-PV(E_ReZins1-RententrendDRV,E_LXYAlterABer,E29*12))</f>
        <v>#VALUE!</v>
      </c>
      <c r="I30" s="157"/>
      <c r="U30" t="s">
        <v>1593</v>
      </c>
      <c r="V30">
        <v>66534</v>
      </c>
      <c r="W30">
        <v>66534</v>
      </c>
      <c r="X30">
        <v>66556</v>
      </c>
      <c r="AA30" s="75"/>
      <c r="AB30" s="824"/>
    </row>
    <row r="31" spans="1:33" ht="18" hidden="1" customHeight="1">
      <c r="B31" t="s">
        <v>833</v>
      </c>
      <c r="I31" s="157"/>
      <c r="P31" t="s">
        <v>98</v>
      </c>
      <c r="Q31" s="643">
        <f>IF(E_RezinsAngabe&lt;&gt;"",E_RezinsAngabe,IF(E_Rezins/100&gt;0,E_Rezins/100,0))</f>
        <v>0</v>
      </c>
      <c r="U31" t="s">
        <v>104</v>
      </c>
      <c r="V31" t="e">
        <f>E_AnwartschaftszeitABer</f>
        <v>#VALUE!</v>
      </c>
      <c r="W31">
        <v>20</v>
      </c>
      <c r="X31">
        <v>20</v>
      </c>
    </row>
    <row r="32" spans="1:33" ht="18" hidden="1" customHeight="1">
      <c r="P32" t="s">
        <v>866</v>
      </c>
      <c r="Q32" t="e">
        <f>YEAR(E_Datum1)+IF(MONTH(E_Datum1)&gt;6,1,0)</f>
        <v>#VALUE!</v>
      </c>
      <c r="R32" s="418"/>
      <c r="S32" s="75"/>
      <c r="T32" s="75"/>
      <c r="U32" t="s">
        <v>1594</v>
      </c>
      <c r="V32" t="e">
        <f>(1+E_ReZins1)^(E_AnwartschaftszeitABer)</f>
        <v>#VALUE!</v>
      </c>
      <c r="W32">
        <v>1.485947396</v>
      </c>
      <c r="X32" t="e">
        <f>(1+E_ReZins1)^(E_AnwartschaftszeitABer)</f>
        <v>#VALUE!</v>
      </c>
    </row>
    <row r="33" spans="2:24" ht="18" hidden="1" customHeight="1">
      <c r="B33" t="s">
        <v>834</v>
      </c>
      <c r="E33" s="157" t="e">
        <f>-PV(E_ReZins1,E_AnwartschaftszeitABer,,-PV(E_ReZins1-E_ReTrend1,E_LXYAlterABer,ErgebnisABer*12))</f>
        <v>#VALUE!</v>
      </c>
      <c r="P33" s="75" t="s">
        <v>82</v>
      </c>
      <c r="Q33" s="1438" t="e">
        <f>ROUND(VLOOKUP(IF(E_Rentenalter&gt;E_Alter,ROUND(E_Rentenalter,2),ROUND(E_Alter,2)),CHOOSE(E_sex,Lebenserwartung_M_V2,Lebenserwartung_F_V2,Lebenserwartung_N_V2),E_Tabschritt),2)</f>
        <v>#VALUE!</v>
      </c>
      <c r="R33" s="1474" t="s">
        <v>1579</v>
      </c>
      <c r="V33" t="e">
        <f>+V32*V30</f>
        <v>#VALUE!</v>
      </c>
      <c r="W33">
        <f>+W32*W30</f>
        <v>98866.024045464001</v>
      </c>
      <c r="X33" t="e">
        <f>+X32*X30</f>
        <v>#VALUE!</v>
      </c>
    </row>
    <row r="34" spans="2:24" ht="18" hidden="1" customHeight="1">
      <c r="P34" s="75" t="s">
        <v>105</v>
      </c>
      <c r="Q34" s="75" t="e">
        <f>ROUND(IF(E_BerDat2="","",IF(E_Rentenaltereingabe="",VLOOKUP(YEAR(E_BerDat2),Renteneintrittstabelle,3),E_Rentenaltereingabe)),4)</f>
        <v>#VALUE!</v>
      </c>
      <c r="R34" s="780" t="s">
        <v>1579</v>
      </c>
      <c r="U34" s="418" t="s">
        <v>1595</v>
      </c>
      <c r="V34" t="e">
        <f>(E_ReZins1-E_ReTrend1)/(1-1/(1+(E_ReZins1-E_ReTrend1))^E_LXYAlterABer)/E_VVRAusglBer/12</f>
        <v>#VALUE!</v>
      </c>
      <c r="W34">
        <v>5.0570600000000004E-3</v>
      </c>
      <c r="X34" t="e">
        <f>(E_ReZins1-E_ReTrend1)/(1-1/(1+(E_ReZins1-E_ReTrend1))^E_LXYAlterABer)/E_VVRAusglBer/12</f>
        <v>#VALUE!</v>
      </c>
    </row>
    <row r="35" spans="2:24" ht="18" hidden="1" customHeight="1">
      <c r="P35" s="75" t="s">
        <v>106</v>
      </c>
      <c r="Q35" s="75" t="e">
        <f>VLOOKUP(IF(E_RelegalterABer&gt;E_AlterABer,ROUND(E_RelegalterABer,2),ROUND(E_AlterABer,2)),CHOOSE(E_sex,Lebenserwartung_F_V2,Lebenserwartung_M_V2,Lebenserwartung_N_V2),E_Tabschritt2)</f>
        <v>#VALUE!</v>
      </c>
      <c r="R35" s="780" t="s">
        <v>1579</v>
      </c>
      <c r="S35" t="e">
        <f>VLOOKUP(IF(E_RelegalterABer&gt;M9,E_RelegalterABer,M9),CHOOSE(E_sex,Lebenserwartung_F_V2,Lebenserwartung_M_V2,Lebenserwartung_N_V2),E_Tabschritt2)</f>
        <v>#VALUE!</v>
      </c>
      <c r="V35" t="e">
        <f>+V34*V33</f>
        <v>#VALUE!</v>
      </c>
      <c r="W35">
        <f>+W34*W33</f>
        <v>499.97141555935423</v>
      </c>
    </row>
    <row r="36" spans="2:24" ht="18" hidden="1" customHeight="1">
      <c r="E36" s="157"/>
      <c r="P36" s="75" t="s">
        <v>104</v>
      </c>
      <c r="Q36" s="1473" t="e">
        <f>ROUND(IF(E_RelegalterABer-E_AlterABer&lt;0,0,E_RelegalterABer-E_AlterABer),4)</f>
        <v>#VALUE!</v>
      </c>
      <c r="R36" s="780" t="str">
        <f>+R35</f>
        <v>RK</v>
      </c>
      <c r="S36" s="1472" t="e">
        <f>ROUND(E_AnwartschaftszeitABer-M7,4)</f>
        <v>#VALUE!</v>
      </c>
    </row>
    <row r="37" spans="2:24" ht="18" hidden="1" customHeight="1">
      <c r="B37" t="s">
        <v>1226</v>
      </c>
      <c r="E37" s="157"/>
      <c r="P37" s="75" t="s">
        <v>109</v>
      </c>
      <c r="Q37" s="818" t="e">
        <f>IF(+E_VVR2AglBer/E_VVR1AglBer&gt;1,1,+E_VVR2AglBer/E_VVR1AglBer)</f>
        <v>#VALUE!</v>
      </c>
    </row>
    <row r="38" spans="2:24" ht="18" hidden="1" customHeight="1">
      <c r="B38" t="s">
        <v>1227</v>
      </c>
      <c r="E38" s="157"/>
      <c r="G38" t="e">
        <f>E37*(1+E_ReZins1)^-Anwartschaftszeit</f>
        <v>#VALUE!</v>
      </c>
      <c r="P38" s="75" t="s">
        <v>109</v>
      </c>
      <c r="Q38" s="75" t="e">
        <f>TEXT(E_VVR2AglBer,"###.##0")&amp;" / "&amp;TEXT(E_VVR1AglBer,"###.##0")</f>
        <v>#VALUE!</v>
      </c>
    </row>
    <row r="39" spans="2:24" ht="18" hidden="1" customHeight="1">
      <c r="B39" t="s">
        <v>1228</v>
      </c>
      <c r="E39" s="157"/>
      <c r="P39" s="75" t="s">
        <v>108</v>
      </c>
      <c r="Q39" s="816" t="e">
        <f>VLOOKUP(E_RelegalterABer,CHOOSE(E_sex,G_Kohorte_F,G_Kohorte_M,G_Kohorte_N),E_Tabschritt2)</f>
        <v>#VALUE!</v>
      </c>
      <c r="R39" s="75" t="s">
        <v>107</v>
      </c>
      <c r="S39" s="816" t="e">
        <f>VLOOKUP(E_AlterABer,CHOOSE(E_sex,G_Kohorte_F,G_Kohorte_M,G_Kohorte_N),E_Tabschritt2)</f>
        <v>#VALUE!</v>
      </c>
      <c r="T39" t="s">
        <v>1596</v>
      </c>
      <c r="U39" t="e">
        <f>VLOOKUP(RK_AlterAusglBer,CHOOSE(E_sex,G_Kohorte_F,G_Kohorte_M,G_Kohorte_N),E_Tabschritt2)</f>
        <v>#VALUE!</v>
      </c>
      <c r="V39" t="s">
        <v>1597</v>
      </c>
      <c r="W39" t="e">
        <f>+E_VVR2AglBer/RK_VVAAusglBer</f>
        <v>#VALUE!</v>
      </c>
    </row>
    <row r="40" spans="2:24" ht="18" hidden="1" customHeight="1">
      <c r="B40" s="426" t="s">
        <v>1229</v>
      </c>
      <c r="C40" s="426"/>
      <c r="D40" s="426"/>
      <c r="E40" s="524"/>
      <c r="G40" t="e">
        <f>+G38*E_VVR</f>
        <v>#VALUE!</v>
      </c>
      <c r="P40" s="75" t="s">
        <v>103</v>
      </c>
      <c r="Q40" s="644" t="e">
        <f>ROUND(IF(E_BerDat2="","",YEARFRAC(E_BerDat2,E_BerDat1,3)),4)</f>
        <v>#VALUE!</v>
      </c>
      <c r="R40" t="e">
        <f>+(E_RelegalterABer-INT(E_RelegalterABer))*12</f>
        <v>#VALUE!</v>
      </c>
    </row>
    <row r="41" spans="2:24" ht="18" hidden="1" customHeight="1">
      <c r="P41" t="s">
        <v>157</v>
      </c>
      <c r="Q41" s="59" t="e">
        <f>DATE(YEAR(E_BerDat2)+E_RelegalterABer,MONTH(E_BerDat2+1)+R40,1)</f>
        <v>#VALUE!</v>
      </c>
      <c r="R41" t="e">
        <f>YEARFRAC(E_BerDat1,Q41,3)</f>
        <v>#VALUE!</v>
      </c>
    </row>
    <row r="42" spans="2:24" ht="18" hidden="1" customHeight="1">
      <c r="R42" s="829" t="e">
        <f>-FV(2.2%,R41,,50000)</f>
        <v>#VALUE!</v>
      </c>
    </row>
    <row r="43" spans="2:24" ht="18" hidden="1" customHeight="1">
      <c r="P43" t="s">
        <v>179</v>
      </c>
      <c r="Q43" t="str">
        <f>IF(E_Rentenalter&gt;0,E_Rentenalter,VLOOKUP(Geburtsjahr,Renteneintrittstabelle,3))</f>
        <v/>
      </c>
    </row>
    <row r="44" spans="2:24" ht="18" hidden="1" customHeight="1">
      <c r="P44" t="s">
        <v>68</v>
      </c>
      <c r="Q44" s="15" t="b">
        <v>0</v>
      </c>
    </row>
    <row r="45" spans="2:24" ht="18" hidden="1" customHeight="1">
      <c r="P45" t="s">
        <v>57</v>
      </c>
      <c r="Q45" s="15" t="b">
        <v>0</v>
      </c>
    </row>
    <row r="46" spans="2:24" ht="18" hidden="1" customHeight="1"/>
    <row r="47" spans="2:24" ht="18" hidden="1" customHeight="1"/>
    <row r="50" customFormat="1" hidden="1"/>
  </sheetData>
  <sheetProtection algorithmName="SHA-512" hashValue="lauLUXmfxZmCtFGHLwMG6WUj/flw4Hz7cTDjF3LkGhcsKVzrRvtaxK1HVc3qecdnNzfAxA4zE2MvUxoiV3ArYA==" saltValue="POtKsOhgq7jwG+ab23WMvQ==" spinCount="100000" sheet="1" objects="1" scenarios="1" selectLockedCells="1"/>
  <scenarios current="0" show="0">
    <scenario name="Nullstellung" locked="1" count="8" user="Hauß" comment="Erstellt von Hauß am 22.10.2021">
      <inputCells r="D5" val="" numFmtId="14"/>
      <inputCells r="D6" val="" numFmtId="14"/>
      <inputCells r="E9" val="" numFmtId="8"/>
      <inputCells r="E10" val="" numFmtId="179"/>
      <inputCells r="E13" val=""/>
      <inputCells r="E14" val="" numFmtId="10"/>
      <inputCells r="E15" val="" numFmtId="8"/>
      <inputCells r="D17" val="" numFmtId="171"/>
    </scenario>
    <scenario name="5-10-22" locked="1" count="8" user="Jörn Hauß" comment="Erstellt von Jörn Hauß am 23.09.2022">
      <inputCells r="D5" val="26298" numFmtId="14"/>
      <inputCells r="D6" val="44804" numFmtId="14"/>
      <inputCells r="E9" val="250" numFmtId="8"/>
      <inputCells r="E10" val="65" numFmtId="179"/>
      <inputCells r="E13" val=""/>
      <inputCells r="E14" val="0,01" numFmtId="10"/>
      <inputCells r="E15" val="55000" numFmtId="8"/>
      <inputCells r="D17" val="25203" numFmtId="171"/>
    </scenario>
  </scenarios>
  <dataConsolidate/>
  <mergeCells count="65">
    <mergeCell ref="T22:T23"/>
    <mergeCell ref="I19:J19"/>
    <mergeCell ref="I23:J23"/>
    <mergeCell ref="I16:J16"/>
    <mergeCell ref="I18:J18"/>
    <mergeCell ref="I17:J17"/>
    <mergeCell ref="I22:J22"/>
    <mergeCell ref="I5:J5"/>
    <mergeCell ref="B1:H1"/>
    <mergeCell ref="B2:H2"/>
    <mergeCell ref="B8:D8"/>
    <mergeCell ref="F6:H6"/>
    <mergeCell ref="I2:J2"/>
    <mergeCell ref="E8:H8"/>
    <mergeCell ref="I6:J7"/>
    <mergeCell ref="I8:J8"/>
    <mergeCell ref="B3:H3"/>
    <mergeCell ref="B7:D7"/>
    <mergeCell ref="B26:H26"/>
    <mergeCell ref="B14:D14"/>
    <mergeCell ref="F17:G17"/>
    <mergeCell ref="B16:F16"/>
    <mergeCell ref="B20:H20"/>
    <mergeCell ref="I25:J25"/>
    <mergeCell ref="I24:J24"/>
    <mergeCell ref="I26:J27"/>
    <mergeCell ref="F9:H9"/>
    <mergeCell ref="A12:A14"/>
    <mergeCell ref="B23:H23"/>
    <mergeCell ref="D22:E22"/>
    <mergeCell ref="F22:H22"/>
    <mergeCell ref="B9:D9"/>
    <mergeCell ref="B27:H27"/>
    <mergeCell ref="B24:H25"/>
    <mergeCell ref="B21:H21"/>
    <mergeCell ref="F11:H11"/>
    <mergeCell ref="B15:D15"/>
    <mergeCell ref="F14:H14"/>
    <mergeCell ref="B19:H19"/>
    <mergeCell ref="I13:J13"/>
    <mergeCell ref="I14:J14"/>
    <mergeCell ref="F13:H13"/>
    <mergeCell ref="F12:H12"/>
    <mergeCell ref="I15:J15"/>
    <mergeCell ref="I9:J9"/>
    <mergeCell ref="B11:D11"/>
    <mergeCell ref="B10:D10"/>
    <mergeCell ref="T8:T9"/>
    <mergeCell ref="I10:J10"/>
    <mergeCell ref="B13:D13"/>
    <mergeCell ref="B12:D12"/>
    <mergeCell ref="F10:H10"/>
    <mergeCell ref="B18:H18"/>
    <mergeCell ref="F15:G15"/>
    <mergeCell ref="B17:C17"/>
    <mergeCell ref="L1:M1"/>
    <mergeCell ref="X13:X14"/>
    <mergeCell ref="L18:O20"/>
    <mergeCell ref="L2:M2"/>
    <mergeCell ref="L3:M3"/>
    <mergeCell ref="V9:Y9"/>
    <mergeCell ref="X10:X11"/>
    <mergeCell ref="V12:Y12"/>
    <mergeCell ref="U8:U9"/>
    <mergeCell ref="W15:Z15"/>
  </mergeCells>
  <phoneticPr fontId="47" type="noConversion"/>
  <conditionalFormatting sqref="B7 E7:H7">
    <cfRule type="expression" dxfId="338" priority="13">
      <formula>E_sex=2</formula>
    </cfRule>
    <cfRule type="expression" dxfId="337" priority="14">
      <formula>E_sex=1</formula>
    </cfRule>
  </conditionalFormatting>
  <conditionalFormatting sqref="B18:D18">
    <cfRule type="expression" dxfId="336" priority="53">
      <formula>AND(E_Abweichung&gt;5%,E_Abweichung&lt;10%)</formula>
    </cfRule>
    <cfRule type="expression" dxfId="335" priority="54">
      <formula>ABS(E_Abweichung)&lt;5%</formula>
    </cfRule>
    <cfRule type="expression" dxfId="334" priority="55">
      <formula>E_Abweichung&gt;0.05</formula>
    </cfRule>
  </conditionalFormatting>
  <conditionalFormatting sqref="B7:H7">
    <cfRule type="expression" dxfId="333" priority="1">
      <formula>E_sex=3</formula>
    </cfRule>
  </conditionalFormatting>
  <conditionalFormatting sqref="D17">
    <cfRule type="expression" dxfId="332" priority="11">
      <formula>E_sex=2</formula>
    </cfRule>
    <cfRule type="expression" dxfId="331" priority="12">
      <formula>E_sex=1</formula>
    </cfRule>
  </conditionalFormatting>
  <conditionalFormatting sqref="E5">
    <cfRule type="expression" dxfId="330" priority="19">
      <formula>AND($E$5="",$D$5="")</formula>
    </cfRule>
  </conditionalFormatting>
  <conditionalFormatting sqref="E6">
    <cfRule type="expression" dxfId="329" priority="18">
      <formula>AND($E$6="",$D$6="")</formula>
    </cfRule>
  </conditionalFormatting>
  <conditionalFormatting sqref="E9">
    <cfRule type="expression" dxfId="328" priority="4">
      <formula>E_Rente_Kapital=1</formula>
    </cfRule>
    <cfRule type="expression" dxfId="327" priority="21">
      <formula>AND(E9&gt;0,E9&lt;=$AA$2)</formula>
    </cfRule>
    <cfRule type="expression" dxfId="326" priority="25">
      <formula>E9=""</formula>
    </cfRule>
  </conditionalFormatting>
  <conditionalFormatting sqref="E13">
    <cfRule type="expression" dxfId="325" priority="46">
      <formula>AND(E_Rezins=0,E13=0)</formula>
    </cfRule>
  </conditionalFormatting>
  <conditionalFormatting sqref="E14">
    <cfRule type="expression" dxfId="324" priority="2">
      <formula>AND(E_Volldynamik,E14="")</formula>
    </cfRule>
  </conditionalFormatting>
  <conditionalFormatting sqref="H15">
    <cfRule type="expression" dxfId="323" priority="20">
      <formula>IF(E_RenteKapital=2,AND($H$15&gt;0,$H$15&lt;=$AB$2))</formula>
    </cfRule>
  </conditionalFormatting>
  <conditionalFormatting sqref="H17">
    <cfRule type="expression" dxfId="322" priority="7" stopIfTrue="1">
      <formula>AND(E_Invalidität=TRUE,OR(E_Rentenalter&lt;60,E_Rentenalter&gt;67),$E$9&gt;0)</formula>
    </cfRule>
  </conditionalFormatting>
  <conditionalFormatting sqref="I2:J2">
    <cfRule type="expression" dxfId="321" priority="538">
      <formula>$D$6&gt;Enddatum</formula>
    </cfRule>
  </conditionalFormatting>
  <conditionalFormatting sqref="I8:J8">
    <cfRule type="expression" dxfId="320" priority="22">
      <formula>$I$8&lt;&gt;""</formula>
    </cfRule>
  </conditionalFormatting>
  <conditionalFormatting sqref="L4:M17">
    <cfRule type="expression" dxfId="319" priority="3">
      <formula>E_RenteKapital=1</formula>
    </cfRule>
  </conditionalFormatting>
  <dataValidations count="6">
    <dataValidation type="decimal" allowBlank="1" showInputMessage="1" showErrorMessage="1" error="Werte nur zwischen 0 und 10.000.000 möglich" sqref="E9" xr:uid="{00000000-0002-0000-0C00-000002000000}">
      <formula1>0</formula1>
      <formula2>10000000</formula2>
    </dataValidation>
    <dataValidation type="decimal" allowBlank="1" showInputMessage="1" showErrorMessage="1" sqref="E14" xr:uid="{00000000-0002-0000-0C00-000004000000}">
      <formula1>0</formula1>
      <formula2>0.1</formula2>
    </dataValidation>
    <dataValidation allowBlank="1" showInputMessage="1" showErrorMessage="1" error="Es sind nur Berechnungen zwischen Renteneintrittsalter 60 und 67 zulässig!" sqref="E10" xr:uid="{00000000-0002-0000-0C00-000005000000}"/>
    <dataValidation type="decimal" allowBlank="1" showInputMessage="1" showErrorMessage="1" sqref="E13" xr:uid="{BC72D73A-92F3-42EF-84E7-98FD39C2A865}">
      <formula1>-0.1</formula1>
      <formula2>0.1</formula2>
    </dataValidation>
    <dataValidation type="date" allowBlank="1" showInputMessage="1" showErrorMessage="1" errorTitle="Eingabebeschränkung" error="Es sind nur Eingaben zwischen dem 1.1.1920 und dem Datum der Programmpflege zulässig" sqref="E5" xr:uid="{19B95D2D-59C4-4028-96C5-86ECE426FAB4}">
      <formula1>7306</formula1>
      <formula2>Enddatum</formula2>
    </dataValidation>
    <dataValidation type="date" allowBlank="1" showInputMessage="1" showErrorMessage="1" errorTitle="Eingabebeschränkung" error="Es sind nur Datumsangaben zwischen dem 1.7.1977 und dem Pflegedatum der Version zulässing" sqref="E6" xr:uid="{6B871CDD-4932-44A4-91EB-3B131C937E4F}">
      <formula1>28307</formula1>
      <formula2>Enddatum</formula2>
    </dataValidation>
  </dataValidations>
  <hyperlinks>
    <hyperlink ref="B22" r:id="rId1" display="© Rechtsanwalt Jörn Hauß, Vom-Rath-Str. 10, 47051 Duisburg" xr:uid="{00000000-0004-0000-0C00-000001000000}"/>
    <hyperlink ref="I22" r:id="rId2" display="VersAusglKasse" xr:uid="{00000000-0004-0000-0C00-000002000000}"/>
    <hyperlink ref="D22:E22" r:id="rId3" display="Mail an Rechtsanwalt Hauß" xr:uid="{7D38EC7A-F71C-4675-9D08-6D1BFA9F6A0B}"/>
    <hyperlink ref="I2:J2" r:id="rId4" display="Download über Rechtsanwalt Hauß" xr:uid="{A1297554-8864-43E1-80C8-1114560511D0}"/>
    <hyperlink ref="I18:J18" r:id="rId5" display="https://www.gesetze-im-internet.de/sgb_6/__187.html" xr:uid="{C61B8869-DCCE-411F-9A8C-646FAE9EBF0B}"/>
    <hyperlink ref="I9:J9" r:id="rId6" display="https://juris.bundesgerichtshof.de/cgi-bin/rechtsprechung/document.py?Gericht=bgh&amp;Art=en&amp;sid=71f83d96929445805a9bb9d022abe257&amp;nr=74127&amp;pos=0&amp;anz=1" xr:uid="{A6D19D5A-4909-4942-B3E4-2EAF8E9EA3CB}"/>
    <hyperlink ref="F14:H14" r:id="rId7" display="https://juris.bundesgerichtshof.de/cgi-bin/rechtsprechung/document.py?Gericht=bgh&amp;Art=en&amp;sid=112808a87d072f9363b1a5b84dc00e67&amp;nr=82918&amp;pos=0&amp;anz=1" xr:uid="{0ECF0E3F-0D41-4609-855B-29EC9909C645}"/>
    <hyperlink ref="F13:H13" r:id="rId8" display="https://juris.bundesgerichtshof.de/cgi-bin/rechtsprechung/document.py?Gericht=bgh&amp;Art=en&amp;sid=53c3a989ad9cee0d8b28cc75365b87c0&amp;nr=76197&amp;pos=0&amp;anz=1" xr:uid="{D31AC216-BAF0-4FA1-9FD0-98498B0429B8}"/>
  </hyperlinks>
  <printOptions horizontalCentered="1" verticalCentered="1"/>
  <pageMargins left="0.11811023622047245" right="0.11811023622047245" top="0.39370078740157483" bottom="0.39370078740157483" header="0.31496062992125984" footer="0.31496062992125984"/>
  <pageSetup paperSize="9" scale="80" orientation="landscape" r:id="rId9"/>
  <drawing r:id="rId10"/>
  <legacyDrawing r:id="rId11"/>
  <mc:AlternateContent xmlns:mc="http://schemas.openxmlformats.org/markup-compatibility/2006">
    <mc:Choice Requires="x14">
      <controls>
        <mc:AlternateContent xmlns:mc="http://schemas.openxmlformats.org/markup-compatibility/2006">
          <mc:Choice Requires="x14">
            <control shapeId="5121" r:id="rId12" name="Kontrollkästchen 1">
              <controlPr defaultSize="0" autoFill="0" autoLine="0" autoPict="0">
                <anchor moveWithCells="1">
                  <from>
                    <xdr:col>4</xdr:col>
                    <xdr:colOff>333375</xdr:colOff>
                    <xdr:row>10</xdr:row>
                    <xdr:rowOff>104775</xdr:rowOff>
                  </from>
                  <to>
                    <xdr:col>4</xdr:col>
                    <xdr:colOff>723900</xdr:colOff>
                    <xdr:row>10</xdr:row>
                    <xdr:rowOff>295275</xdr:rowOff>
                  </to>
                </anchor>
              </controlPr>
            </control>
          </mc:Choice>
        </mc:AlternateContent>
        <mc:AlternateContent xmlns:mc="http://schemas.openxmlformats.org/markup-compatibility/2006">
          <mc:Choice Requires="x14">
            <control shapeId="5122" r:id="rId13" name="Kontrollkästchen 2">
              <controlPr defaultSize="0" autoFill="0" autoLine="0" autoPict="0">
                <anchor moveWithCells="1">
                  <from>
                    <xdr:col>4</xdr:col>
                    <xdr:colOff>333375</xdr:colOff>
                    <xdr:row>11</xdr:row>
                    <xdr:rowOff>104775</xdr:rowOff>
                  </from>
                  <to>
                    <xdr:col>4</xdr:col>
                    <xdr:colOff>723900</xdr:colOff>
                    <xdr:row>11</xdr:row>
                    <xdr:rowOff>295275</xdr:rowOff>
                  </to>
                </anchor>
              </controlPr>
            </control>
          </mc:Choice>
        </mc:AlternateContent>
        <mc:AlternateContent xmlns:mc="http://schemas.openxmlformats.org/markup-compatibility/2006">
          <mc:Choice Requires="x14">
            <control shapeId="5143" r:id="rId14" name="Optionsfeld 23">
              <controlPr defaultSize="0" autoFill="0" autoLine="0" autoPict="0">
                <anchor moveWithCells="1">
                  <from>
                    <xdr:col>4</xdr:col>
                    <xdr:colOff>76200</xdr:colOff>
                    <xdr:row>6</xdr:row>
                    <xdr:rowOff>104775</xdr:rowOff>
                  </from>
                  <to>
                    <xdr:col>4</xdr:col>
                    <xdr:colOff>942975</xdr:colOff>
                    <xdr:row>6</xdr:row>
                    <xdr:rowOff>295275</xdr:rowOff>
                  </to>
                </anchor>
              </controlPr>
            </control>
          </mc:Choice>
        </mc:AlternateContent>
        <mc:AlternateContent xmlns:mc="http://schemas.openxmlformats.org/markup-compatibility/2006">
          <mc:Choice Requires="x14">
            <control shapeId="5147" r:id="rId15" name="Optionsfeld 27">
              <controlPr defaultSize="0" autoFill="0" autoLine="0" autoPict="0">
                <anchor moveWithCells="1">
                  <from>
                    <xdr:col>5</xdr:col>
                    <xdr:colOff>285750</xdr:colOff>
                    <xdr:row>6</xdr:row>
                    <xdr:rowOff>95250</xdr:rowOff>
                  </from>
                  <to>
                    <xdr:col>6</xdr:col>
                    <xdr:colOff>342900</xdr:colOff>
                    <xdr:row>6</xdr:row>
                    <xdr:rowOff>295275</xdr:rowOff>
                  </to>
                </anchor>
              </controlPr>
            </control>
          </mc:Choice>
        </mc:AlternateContent>
        <mc:AlternateContent xmlns:mc="http://schemas.openxmlformats.org/markup-compatibility/2006">
          <mc:Choice Requires="x14">
            <control shapeId="5149" r:id="rId16" name="Gruppenfeld 29">
              <controlPr defaultSize="0" autoFill="0" autoPict="0">
                <anchor moveWithCells="1">
                  <from>
                    <xdr:col>4</xdr:col>
                    <xdr:colOff>0</xdr:colOff>
                    <xdr:row>6</xdr:row>
                    <xdr:rowOff>28575</xdr:rowOff>
                  </from>
                  <to>
                    <xdr:col>7</xdr:col>
                    <xdr:colOff>485775</xdr:colOff>
                    <xdr:row>7</xdr:row>
                    <xdr:rowOff>0</xdr:rowOff>
                  </to>
                </anchor>
              </controlPr>
            </control>
          </mc:Choice>
        </mc:AlternateContent>
        <mc:AlternateContent xmlns:mc="http://schemas.openxmlformats.org/markup-compatibility/2006">
          <mc:Choice Requires="x14">
            <control shapeId="5150" r:id="rId17" name="Gruppenfeld 30">
              <controlPr defaultSize="0" autoFill="0" autoPict="0">
                <anchor moveWithCells="1">
                  <from>
                    <xdr:col>4</xdr:col>
                    <xdr:colOff>0</xdr:colOff>
                    <xdr:row>7</xdr:row>
                    <xdr:rowOff>19050</xdr:rowOff>
                  </from>
                  <to>
                    <xdr:col>7</xdr:col>
                    <xdr:colOff>485775</xdr:colOff>
                    <xdr:row>7</xdr:row>
                    <xdr:rowOff>333375</xdr:rowOff>
                  </to>
                </anchor>
              </controlPr>
            </control>
          </mc:Choice>
        </mc:AlternateContent>
        <mc:AlternateContent xmlns:mc="http://schemas.openxmlformats.org/markup-compatibility/2006">
          <mc:Choice Requires="x14">
            <control shapeId="5207" r:id="rId18" name="Kontrollkästchen 87">
              <controlPr defaultSize="0" autoFill="0" autoLine="0" autoPict="0">
                <anchor moveWithCells="1">
                  <from>
                    <xdr:col>6</xdr:col>
                    <xdr:colOff>790575</xdr:colOff>
                    <xdr:row>15</xdr:row>
                    <xdr:rowOff>38100</xdr:rowOff>
                  </from>
                  <to>
                    <xdr:col>7</xdr:col>
                    <xdr:colOff>295275</xdr:colOff>
                    <xdr:row>15</xdr:row>
                    <xdr:rowOff>295275</xdr:rowOff>
                  </to>
                </anchor>
              </controlPr>
            </control>
          </mc:Choice>
        </mc:AlternateContent>
        <mc:AlternateContent xmlns:mc="http://schemas.openxmlformats.org/markup-compatibility/2006">
          <mc:Choice Requires="x14">
            <control shapeId="5208" r:id="rId19" name="Kontrollkästchen 88">
              <controlPr defaultSize="0" autoFill="0" autoLine="0" autoPict="0">
                <anchor moveWithCells="1">
                  <from>
                    <xdr:col>5</xdr:col>
                    <xdr:colOff>66675</xdr:colOff>
                    <xdr:row>15</xdr:row>
                    <xdr:rowOff>66675</xdr:rowOff>
                  </from>
                  <to>
                    <xdr:col>6</xdr:col>
                    <xdr:colOff>752475</xdr:colOff>
                    <xdr:row>15</xdr:row>
                    <xdr:rowOff>295275</xdr:rowOff>
                  </to>
                </anchor>
              </controlPr>
            </control>
          </mc:Choice>
        </mc:AlternateContent>
        <mc:AlternateContent xmlns:mc="http://schemas.openxmlformats.org/markup-compatibility/2006">
          <mc:Choice Requires="x14">
            <control shapeId="5342" r:id="rId20" name="Option Button 222">
              <controlPr defaultSize="0" autoFill="0" autoLine="0" autoPict="0">
                <anchor moveWithCells="1">
                  <from>
                    <xdr:col>6</xdr:col>
                    <xdr:colOff>762000</xdr:colOff>
                    <xdr:row>7</xdr:row>
                    <xdr:rowOff>66675</xdr:rowOff>
                  </from>
                  <to>
                    <xdr:col>7</xdr:col>
                    <xdr:colOff>152400</xdr:colOff>
                    <xdr:row>7</xdr:row>
                    <xdr:rowOff>295275</xdr:rowOff>
                  </to>
                </anchor>
              </controlPr>
            </control>
          </mc:Choice>
        </mc:AlternateContent>
        <mc:AlternateContent xmlns:mc="http://schemas.openxmlformats.org/markup-compatibility/2006">
          <mc:Choice Requires="x14">
            <control shapeId="5801" r:id="rId21" name="Check Box 681">
              <controlPr defaultSize="0" autoFill="0" autoLine="0" autoPict="0">
                <anchor moveWithCells="1">
                  <from>
                    <xdr:col>5</xdr:col>
                    <xdr:colOff>66675</xdr:colOff>
                    <xdr:row>16</xdr:row>
                    <xdr:rowOff>66675</xdr:rowOff>
                  </from>
                  <to>
                    <xdr:col>7</xdr:col>
                    <xdr:colOff>38100</xdr:colOff>
                    <xdr:row>16</xdr:row>
                    <xdr:rowOff>295275</xdr:rowOff>
                  </to>
                </anchor>
              </controlPr>
            </control>
          </mc:Choice>
        </mc:AlternateContent>
        <mc:AlternateContent xmlns:mc="http://schemas.openxmlformats.org/markup-compatibility/2006">
          <mc:Choice Requires="x14">
            <control shapeId="589771" r:id="rId22" name="Optionsfeld 26">
              <controlPr defaultSize="0" autoFill="0" autoLine="0" autoPict="0">
                <anchor moveWithCells="1">
                  <from>
                    <xdr:col>4</xdr:col>
                    <xdr:colOff>66675</xdr:colOff>
                    <xdr:row>7</xdr:row>
                    <xdr:rowOff>95250</xdr:rowOff>
                  </from>
                  <to>
                    <xdr:col>5</xdr:col>
                    <xdr:colOff>514350</xdr:colOff>
                    <xdr:row>7</xdr:row>
                    <xdr:rowOff>257175</xdr:rowOff>
                  </to>
                </anchor>
              </controlPr>
            </control>
          </mc:Choice>
        </mc:AlternateContent>
        <mc:AlternateContent xmlns:mc="http://schemas.openxmlformats.org/markup-compatibility/2006">
          <mc:Choice Requires="x14">
            <control shapeId="589777" r:id="rId23" name="Check Box 2001">
              <controlPr defaultSize="0" autoFill="0" autoLine="0" autoPict="0">
                <anchor moveWithCells="1">
                  <from>
                    <xdr:col>8</xdr:col>
                    <xdr:colOff>28575</xdr:colOff>
                    <xdr:row>12</xdr:row>
                    <xdr:rowOff>66675</xdr:rowOff>
                  </from>
                  <to>
                    <xdr:col>8</xdr:col>
                    <xdr:colOff>828675</xdr:colOff>
                    <xdr:row>12</xdr:row>
                    <xdr:rowOff>295275</xdr:rowOff>
                  </to>
                </anchor>
              </controlPr>
            </control>
          </mc:Choice>
        </mc:AlternateContent>
        <mc:AlternateContent xmlns:mc="http://schemas.openxmlformats.org/markup-compatibility/2006">
          <mc:Choice Requires="x14">
            <control shapeId="589782" r:id="rId24" name="Check Box 2006">
              <controlPr defaultSize="0" autoFill="0" autoLine="0" autoPict="0">
                <anchor moveWithCells="1">
                  <from>
                    <xdr:col>8</xdr:col>
                    <xdr:colOff>19050</xdr:colOff>
                    <xdr:row>2</xdr:row>
                    <xdr:rowOff>57150</xdr:rowOff>
                  </from>
                  <to>
                    <xdr:col>10</xdr:col>
                    <xdr:colOff>0</xdr:colOff>
                    <xdr:row>2</xdr:row>
                    <xdr:rowOff>295275</xdr:rowOff>
                  </to>
                </anchor>
              </controlPr>
            </control>
          </mc:Choice>
        </mc:AlternateContent>
        <mc:AlternateContent xmlns:mc="http://schemas.openxmlformats.org/markup-compatibility/2006">
          <mc:Choice Requires="x14">
            <control shapeId="589784" r:id="rId25" name="Option Button 2008">
              <controlPr defaultSize="0" autoFill="0" autoLine="0" autoPict="0">
                <anchor moveWithCells="1">
                  <from>
                    <xdr:col>6</xdr:col>
                    <xdr:colOff>752475</xdr:colOff>
                    <xdr:row>6</xdr:row>
                    <xdr:rowOff>95250</xdr:rowOff>
                  </from>
                  <to>
                    <xdr:col>7</xdr:col>
                    <xdr:colOff>0</xdr:colOff>
                    <xdr:row>6</xdr:row>
                    <xdr:rowOff>323850</xdr:rowOff>
                  </to>
                </anchor>
              </controlPr>
            </control>
          </mc:Choice>
        </mc:AlternateContent>
        <mc:AlternateContent xmlns:mc="http://schemas.openxmlformats.org/markup-compatibility/2006">
          <mc:Choice Requires="x14">
            <control shapeId="589785" r:id="rId26" name="Check Box 2009">
              <controlPr defaultSize="0" autoFill="0" autoLine="0" autoPict="0">
                <anchor moveWithCells="1">
                  <from>
                    <xdr:col>2</xdr:col>
                    <xdr:colOff>1047750</xdr:colOff>
                    <xdr:row>13</xdr:row>
                    <xdr:rowOff>66675</xdr:rowOff>
                  </from>
                  <to>
                    <xdr:col>3</xdr:col>
                    <xdr:colOff>752475</xdr:colOff>
                    <xdr:row>13</xdr:row>
                    <xdr:rowOff>295275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810" id="{2A8AAC1E-14AF-40B0-808F-B0DF6A2130C3}">
            <xm:f>AND($E$5="",Fallerfassung!$T$6+Fallerfassung!$V$6&gt;0,E5="",D5&gt;0)</xm:f>
            <x14:dxf>
              <fill>
                <patternFill>
                  <bgColor theme="4" tint="0.59996337778862885"/>
                </patternFill>
              </fill>
            </x14:dxf>
          </x14:cfRule>
          <xm:sqref>D5</xm:sqref>
        </x14:conditionalFormatting>
        <x14:conditionalFormatting xmlns:xm="http://schemas.microsoft.com/office/excel/2006/main">
          <x14:cfRule type="expression" priority="15" id="{D08C7B7F-78CA-4677-8516-1267111F4976}">
            <xm:f>AND($E$6=0,Fallerfassung!$V$3&gt;0)</xm:f>
            <x14:dxf>
              <fill>
                <patternFill>
                  <bgColor theme="4" tint="0.59996337778862885"/>
                </patternFill>
              </fill>
            </x14:dxf>
          </x14:cfRule>
          <xm:sqref>D6</xm:sqref>
        </x14:conditionalFormatting>
        <x14:conditionalFormatting xmlns:xm="http://schemas.microsoft.com/office/excel/2006/main">
          <x14:cfRule type="expression" priority="10" id="{F654F09B-7D2C-4102-B355-CAFF4446EA28}">
            <xm:f>Fallerfassung!$U$6+Fallerfassung!$S$6=0</xm:f>
            <x14:dxf>
              <fill>
                <patternFill>
                  <bgColor theme="0" tint="-0.14996795556505021"/>
                </patternFill>
              </fill>
            </x14:dxf>
          </x14:cfRule>
          <xm:sqref>D17</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7BF4D4-B316-4A8D-B439-9B207984C03B}">
  <sheetPr codeName="Tabelle60"/>
  <dimension ref="B3:D3"/>
  <sheetViews>
    <sheetView workbookViewId="0">
      <selection activeCell="D7" sqref="D7"/>
    </sheetView>
  </sheetViews>
  <sheetFormatPr baseColWidth="10" defaultRowHeight="14.25"/>
  <cols>
    <col min="2" max="2" width="24.25" customWidth="1"/>
    <col min="3" max="3" width="17.5" customWidth="1"/>
    <col min="4" max="4" width="27.125" customWidth="1"/>
  </cols>
  <sheetData>
    <row r="3" spans="2:4">
      <c r="B3" t="s">
        <v>1679</v>
      </c>
      <c r="C3" t="s">
        <v>1680</v>
      </c>
      <c r="D3" s="5" t="s">
        <v>1681</v>
      </c>
    </row>
  </sheetData>
  <hyperlinks>
    <hyperlink ref="D3" r:id="rId1" display="https://www.kmkoll.de/TabelleHGBZins.aspx?AspxAutoDetectCookieSupport=1" xr:uid="{D2F32082-002F-4EEB-A64A-D71E36288C00}"/>
  </hyperlinks>
  <pageMargins left="0.7" right="0.7" top="0.78740157499999996" bottom="0.78740157499999996"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8">
    <pageSetUpPr fitToPage="1"/>
  </sheetPr>
  <dimension ref="A1:J33"/>
  <sheetViews>
    <sheetView showGridLines="0" showRowColHeaders="0" showZeros="0" zoomScale="160" zoomScaleNormal="160" workbookViewId="0">
      <selection activeCell="B8" sqref="B8"/>
    </sheetView>
  </sheetViews>
  <sheetFormatPr baseColWidth="10" defaultColWidth="11" defaultRowHeight="14.25" zeroHeight="1"/>
  <cols>
    <col min="1" max="1" width="11" customWidth="1"/>
    <col min="2" max="2" width="71" customWidth="1"/>
    <col min="3" max="3" width="14.625" customWidth="1"/>
    <col min="4" max="9" width="11" customWidth="1"/>
    <col min="10" max="10" width="11.75" customWidth="1"/>
  </cols>
  <sheetData>
    <row r="1" spans="1:10"/>
    <row r="2" spans="1:10" ht="15" thickBot="1">
      <c r="A2" s="2044">
        <v>160</v>
      </c>
    </row>
    <row r="3" spans="1:10" ht="36.75" customHeight="1">
      <c r="B3" s="2564" t="s">
        <v>1189</v>
      </c>
      <c r="C3" s="2565"/>
    </row>
    <row r="4" spans="1:10" ht="36.75" customHeight="1" thickBot="1">
      <c r="B4" s="2566" t="s">
        <v>69</v>
      </c>
      <c r="C4" s="2567"/>
    </row>
    <row r="5" spans="1:10" ht="18" hidden="1">
      <c r="B5" s="2568" t="e">
        <f>Name &amp;IF(Aktennummer&lt;&gt;""," / " &amp; Aktennummer,"")&amp; IF(#NAME?&lt;&gt;""," / " &amp;#NAME?,"")</f>
        <v>#NAME?</v>
      </c>
      <c r="C5" s="2569"/>
    </row>
    <row r="6" spans="1:10" ht="18" hidden="1">
      <c r="B6" s="2570" t="e">
        <f>"Versorgungsträger: "&amp;VT_Name</f>
        <v>#NAME?</v>
      </c>
      <c r="C6" s="2571"/>
    </row>
    <row r="7" spans="1:10" ht="18" hidden="1">
      <c r="B7" s="2572" t="s">
        <v>67</v>
      </c>
      <c r="C7" s="2573"/>
    </row>
    <row r="8" spans="1:10" ht="15.75" thickBot="1">
      <c r="B8" s="74"/>
      <c r="C8" s="1411"/>
    </row>
    <row r="9" spans="1:10">
      <c r="B9" s="33" t="str">
        <f>"Geburtsdatum"&amp;IF(E_sex=1," des Versorungsinhabers (m): ","der Versorgungsinhaberin (w):")</f>
        <v xml:space="preserve">Geburtsdatum des Versorungsinhabers (m): </v>
      </c>
      <c r="C9" s="34" t="str">
        <f>IF(E_Datum1="","",E_Datum1)</f>
        <v/>
      </c>
    </row>
    <row r="10" spans="1:10">
      <c r="B10" s="6" t="str">
        <f>"Berechnungszeitpunkt:"</f>
        <v>Berechnungszeitpunkt:</v>
      </c>
      <c r="C10" s="7" t="str">
        <f>IF(E_BerDat1=0,"",E_BerDat1)</f>
        <v/>
      </c>
    </row>
    <row r="11" spans="1:10" ht="15">
      <c r="B11" s="8" t="str">
        <f>IF(E_RenteKapital=1,"zu verrentender Kapitalbetrag:","zu kapitalisierende Monatsrente:")</f>
        <v>zu kapitalisierende Monatsrente:</v>
      </c>
      <c r="C11" s="650" t="str">
        <f>IF(E_Kapital="","",E_Kapital)</f>
        <v/>
      </c>
    </row>
    <row r="12" spans="1:10">
      <c r="B12" s="6" t="str">
        <f>"Alter "&amp;CHOOSE(E_sex,"des Versorgungsinhabers","der Versorgungsinhaberin","der/des Versorgungsinhabenden")&amp;" im Berechnungszeitpunkt:"</f>
        <v>Alter des Versorgungsinhabers im Berechnungszeitpunkt:</v>
      </c>
      <c r="C12" s="9" t="str">
        <f>IFERROR(IF(E_BerDat1="","",E_Alter),"")</f>
        <v/>
      </c>
    </row>
    <row r="13" spans="1:10">
      <c r="B13" s="13" t="s">
        <v>66</v>
      </c>
      <c r="C13" s="10" t="str">
        <f>IFERROR(IF(E_BerDat1="","",IF(E_RezinsAngabe="",E_ReZins1,E_RezinsAngabe)),"")</f>
        <v/>
      </c>
    </row>
    <row r="14" spans="1:10">
      <c r="B14" s="13" t="s">
        <v>214</v>
      </c>
      <c r="C14" s="10" t="str">
        <f>IF(C10="","",E_ReTrend1)</f>
        <v/>
      </c>
      <c r="J14" s="157"/>
    </row>
    <row r="15" spans="1:10">
      <c r="B15" s="13" t="s">
        <v>65</v>
      </c>
      <c r="C15" s="11" t="str">
        <f>IF(C10="","",IF(E_Rentenaltereingabe="",E_Rentenalter,E_Rentenaltereingabe))</f>
        <v/>
      </c>
      <c r="J15" s="157"/>
    </row>
    <row r="16" spans="1:10">
      <c r="B16" s="13" t="str">
        <f>"Lebenserwartung "&amp;IF(E_sex=3," - unisex ","")&amp;"im "&amp;IF(C12&gt;C15,"Berechnungszeitpunkt: ","Renteneintritt: ")&amp;" Generationensterbetafel DESTATIS 2020"</f>
        <v>Lebenserwartung im Renteneintritt:  Generationensterbetafel DESTATIS 2020</v>
      </c>
      <c r="C16" s="11" t="str">
        <f>IFERROR(IF(E_BerDat1="","",E_LxyRAlter),"")</f>
        <v/>
      </c>
    </row>
    <row r="17" spans="2:3">
      <c r="B17" s="13" t="s">
        <v>64</v>
      </c>
      <c r="C17" s="11" t="str">
        <f>IFERROR(IF(C12="","",IF(C15-C12&lt;0,"keine",ROUND(E_Rentenalter-E_Alterswahl,2))),"")</f>
        <v/>
      </c>
    </row>
    <row r="18" spans="2:3">
      <c r="B18" s="6" t="str">
        <f>IFERROR(IF(C12&gt;=C15,"kein Vorversterbensrisiko, da Renteneintrittsalter erreicht","Vorversterbensrisiko  (Kohortensterbetafel DESTATIS 2020"&amp;IF(E_sex=3," - unisex","")&amp;"): "&amp;IF(E_BerDat1="","",IF(E_Rentner="Rentner!","",E_VVR_T))),"")</f>
        <v>kein Vorversterbensrisiko, da Renteneintrittsalter erreicht</v>
      </c>
      <c r="C18" s="17" t="str">
        <f>IFERROR(IF(E_BerDat1="","",IF(C12&gt;=C15,"",E_VVR)),"")</f>
        <v/>
      </c>
    </row>
    <row r="19" spans="2:3">
      <c r="B19" s="13" t="str">
        <f>IF(C12&gt;=C15,"Invaliditätszuschlag entfällt, da Rentenbezug","Invaliditätszuschlag"&amp;IF(E_sex=3," - unisex","")&amp;": ")</f>
        <v>Invaliditätszuschlag entfällt, da Rentenbezug</v>
      </c>
      <c r="C19" s="10" t="str">
        <f>IF(E_BerDat1="","",IF(E_Rentner=1,"",E_Ifaktor))</f>
        <v/>
      </c>
    </row>
    <row r="20" spans="2:3" ht="15" thickBot="1">
      <c r="B20" s="14" t="str">
        <f>"Hinterbliebenenzuschlag"&amp;IF(E_sex=3," - unisex","")&amp;": "</f>
        <v xml:space="preserve">Hinterbliebenenzuschlag: </v>
      </c>
      <c r="C20" s="12" t="str">
        <f>IF(E_BerDat1="","",E_HFaktor)</f>
        <v/>
      </c>
    </row>
    <row r="21" spans="2:3" ht="29.25" customHeight="1" thickTop="1" thickBot="1">
      <c r="B21" s="1216" t="str">
        <f>IF(E_RenteKapital=1,"zu erwartende Monatsrente:","Barwert der Rente:")</f>
        <v>Barwert der Rente:</v>
      </c>
      <c r="C21" s="1370">
        <f>E_Ergebnis</f>
        <v>0</v>
      </c>
    </row>
    <row r="22" spans="2:3" ht="29.25" customHeight="1" thickBot="1">
      <c r="B22" s="1217" t="str">
        <f>IF(E_BerDat2=0,"","Rentenerwartung der am "&amp;TEXT(E_BerDat2,"TT.MM.JJJJ")&amp;" geborenen auglber.Person bei Renteneintritt im Alter "&amp;TEXT(Berechnungstext!C15,"0,00"))</f>
        <v xml:space="preserve">Rentenerwartung der am  geborenen auglber.Person bei Renteneintritt im Alter </v>
      </c>
      <c r="C22" s="1218" t="str">
        <f>IF(ErgebnisABer&gt;0,ErgebnisABer,"")</f>
        <v/>
      </c>
    </row>
    <row r="23" spans="2:3" ht="25.5" customHeight="1">
      <c r="B23" s="2556" t="str">
        <f>IF(E_BerDat1="","",'Einzel-Bewertung'!B20)</f>
        <v/>
      </c>
      <c r="C23" s="2557"/>
    </row>
    <row r="24" spans="2:3" ht="25.5" customHeight="1">
      <c r="B24" s="2558"/>
      <c r="C24" s="2559"/>
    </row>
    <row r="25" spans="2:3">
      <c r="B25" s="2560" t="str">
        <f>IF(E_BerDat1="","",'Einzel-Bewertung'!B21)</f>
        <v/>
      </c>
      <c r="C25" s="2561"/>
    </row>
    <row r="26" spans="2:3" ht="15" thickBot="1">
      <c r="B26" s="2562"/>
      <c r="C26" s="2563"/>
    </row>
    <row r="27" spans="2:3">
      <c r="B27" s="2555"/>
      <c r="C27" s="2555"/>
    </row>
    <row r="33" ht="15" hidden="1" customHeight="1"/>
  </sheetData>
  <sheetProtection algorithmName="SHA-512" hashValue="Ls5MnR0JS1EvSH9GvJM4tdeQT3Yen2d2sR9zAvGEDlirbXijsrmz+fgHkSK29PIQw6SDTAXgmjw/JzDjR3o0eg==" saltValue="HFtiJcQqrxctX6nPmq2SkA==" spinCount="100000" sheet="1" objects="1" scenarios="1" selectLockedCells="1"/>
  <mergeCells count="8">
    <mergeCell ref="B27:C27"/>
    <mergeCell ref="B23:C24"/>
    <mergeCell ref="B25:C26"/>
    <mergeCell ref="B3:C3"/>
    <mergeCell ref="B4:C4"/>
    <mergeCell ref="B5:C5"/>
    <mergeCell ref="B6:C6"/>
    <mergeCell ref="B7:C7"/>
  </mergeCells>
  <phoneticPr fontId="47" type="noConversion"/>
  <printOptions horizontalCentered="1" verticalCentered="1"/>
  <pageMargins left="0.70866141732283472" right="0.70866141732283472" top="0.78740157480314965" bottom="0.78740157480314965" header="0.31496062992125984" footer="0.31496062992125984"/>
  <pageSetup paperSize="9" orientation="landscape"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23">
    <pageSetUpPr fitToPage="1"/>
  </sheetPr>
  <dimension ref="A1:AE65"/>
  <sheetViews>
    <sheetView showGridLines="0" zoomScale="145" zoomScaleNormal="145" workbookViewId="0">
      <selection activeCell="D9" sqref="D9"/>
    </sheetView>
  </sheetViews>
  <sheetFormatPr baseColWidth="10" defaultColWidth="0" defaultRowHeight="14.25" zeroHeight="1"/>
  <cols>
    <col min="1" max="1" width="2.625" customWidth="1"/>
    <col min="2" max="3" width="11.625" style="4" customWidth="1"/>
    <col min="4" max="4" width="6.5" style="4" customWidth="1"/>
    <col min="5" max="5" width="10.75" style="276" customWidth="1"/>
    <col min="6" max="6" width="1.625" hidden="1" customWidth="1"/>
    <col min="7" max="7" width="8" style="4" customWidth="1"/>
    <col min="8" max="8" width="2.25" customWidth="1"/>
    <col min="9" max="21" width="5.625" hidden="1" customWidth="1"/>
    <col min="22" max="23" width="11.625" customWidth="1"/>
    <col min="24" max="24" width="9.75" customWidth="1"/>
    <col min="25" max="25" width="2.25" hidden="1" customWidth="1"/>
    <col min="26" max="26" width="8.5" hidden="1" customWidth="1"/>
    <col min="27" max="27" width="10.25" customWidth="1"/>
    <col min="28" max="28" width="2.625" customWidth="1"/>
    <col min="29" max="16384" width="10.5" hidden="1"/>
  </cols>
  <sheetData>
    <row r="1" spans="1:31" ht="15.75" thickBot="1">
      <c r="A1" s="25"/>
      <c r="B1" s="2612"/>
      <c r="C1" s="2612"/>
      <c r="D1" s="2612"/>
      <c r="E1" s="2612"/>
      <c r="F1" s="2612"/>
      <c r="G1" s="2612"/>
      <c r="H1" s="25"/>
      <c r="I1" s="25"/>
      <c r="J1" s="25"/>
      <c r="K1" s="25"/>
      <c r="L1" s="25"/>
      <c r="M1" s="25"/>
      <c r="N1" s="25"/>
      <c r="O1" s="25"/>
      <c r="P1" s="25"/>
      <c r="Q1" s="25"/>
      <c r="R1" s="25"/>
      <c r="S1" s="25"/>
      <c r="T1" s="25"/>
      <c r="U1" s="25"/>
      <c r="V1" s="25"/>
      <c r="W1" s="25"/>
      <c r="X1" s="25"/>
      <c r="Y1" s="25"/>
      <c r="Z1" s="25"/>
      <c r="AA1" s="2588"/>
      <c r="AB1" s="2589"/>
      <c r="AE1" t="s">
        <v>828</v>
      </c>
    </row>
    <row r="2" spans="1:31" ht="18">
      <c r="A2" s="18"/>
      <c r="B2" s="2603" t="s">
        <v>1662</v>
      </c>
      <c r="C2" s="2604"/>
      <c r="D2" s="2604"/>
      <c r="E2" s="2604"/>
      <c r="F2" s="2604"/>
      <c r="G2" s="2605"/>
      <c r="H2" s="328"/>
      <c r="I2" s="681"/>
      <c r="J2" s="681"/>
      <c r="K2" s="681"/>
      <c r="L2" s="682" t="s">
        <v>139</v>
      </c>
      <c r="M2" s="681"/>
      <c r="N2" s="681"/>
      <c r="O2" s="681"/>
      <c r="P2" s="681"/>
      <c r="Q2" s="681"/>
      <c r="R2" s="681"/>
      <c r="S2" s="681"/>
      <c r="T2" s="681"/>
      <c r="U2" s="681"/>
      <c r="V2" s="2577" t="s">
        <v>140</v>
      </c>
      <c r="W2" s="2578"/>
      <c r="X2" s="2578"/>
      <c r="Y2" s="2578"/>
      <c r="Z2" s="2578"/>
      <c r="AA2" s="2579"/>
      <c r="AB2" s="25"/>
      <c r="AE2" t="s">
        <v>829</v>
      </c>
    </row>
    <row r="3" spans="1:31" ht="14.85" customHeight="1" thickBot="1">
      <c r="A3" s="18"/>
      <c r="B3" s="2606" t="str">
        <f>IF(OR(Ehevon="",Ehebis=""),"Bitte zunächst die Ehezeit ausfüllen →→→→→→→→→→→→→→→→→→→→→","Ehezeit wird in rosa angezeigt")</f>
        <v>Ehezeit wird in rosa angezeigt</v>
      </c>
      <c r="C3" s="2607"/>
      <c r="D3" s="2607"/>
      <c r="E3" s="2607"/>
      <c r="F3" s="2607"/>
      <c r="G3" s="2608"/>
      <c r="H3" s="2613" t="s">
        <v>835</v>
      </c>
      <c r="L3" s="676" t="s">
        <v>141</v>
      </c>
      <c r="V3" s="2580" t="s">
        <v>174</v>
      </c>
      <c r="W3" s="2581"/>
      <c r="X3" s="25"/>
      <c r="Y3" s="25"/>
      <c r="Z3" s="25"/>
      <c r="AA3" s="62"/>
      <c r="AB3" s="25"/>
      <c r="AD3" s="15" t="b">
        <v>0</v>
      </c>
      <c r="AE3" t="s">
        <v>545</v>
      </c>
    </row>
    <row r="4" spans="1:31" ht="14.85" customHeight="1" thickBot="1">
      <c r="A4" s="18"/>
      <c r="B4" s="2609" t="s">
        <v>142</v>
      </c>
      <c r="C4" s="2610"/>
      <c r="D4" s="2610"/>
      <c r="E4" s="2610"/>
      <c r="F4" s="2610"/>
      <c r="G4" s="2611"/>
      <c r="H4" s="2613"/>
      <c r="L4" s="15">
        <v>2</v>
      </c>
      <c r="V4" s="1407">
        <v>43831</v>
      </c>
      <c r="W4" s="1408">
        <v>45291</v>
      </c>
      <c r="X4" s="2614" t="s">
        <v>1478</v>
      </c>
      <c r="Y4" s="2615"/>
      <c r="Z4" s="2615"/>
      <c r="AA4" s="2616"/>
      <c r="AB4" s="25"/>
      <c r="AE4" s="15">
        <v>3</v>
      </c>
    </row>
    <row r="5" spans="1:31" ht="14.85" customHeight="1" thickBot="1">
      <c r="A5" s="18"/>
      <c r="B5" s="2590" t="s">
        <v>1623</v>
      </c>
      <c r="C5" s="2592" t="s">
        <v>1624</v>
      </c>
      <c r="D5" s="2594" t="s">
        <v>1625</v>
      </c>
      <c r="E5" s="2596" t="s">
        <v>1626</v>
      </c>
      <c r="F5" s="1268"/>
      <c r="G5" s="2598" t="str">
        <f>CHOOSE(BerBasis,"5. Tage","5. volle Monate","5. Jahre")</f>
        <v>5. Jahre</v>
      </c>
      <c r="H5" s="1267"/>
      <c r="L5" s="15"/>
      <c r="V5" s="1270">
        <f>IF(V4&gt;0,V4,IF(Dat_EzA&lt;&gt;"",Dat_EzA,""))</f>
        <v>43831</v>
      </c>
      <c r="W5" s="1270">
        <f>IF(W4&gt;0,W4,IF(Dat_EzE&lt;&gt;"",Dat_EzE,""))</f>
        <v>45291</v>
      </c>
      <c r="X5" s="2617" t="s">
        <v>1479</v>
      </c>
      <c r="Y5" s="2618"/>
      <c r="Z5" s="2618"/>
      <c r="AA5" s="2619"/>
      <c r="AB5" s="25"/>
      <c r="AE5" s="15"/>
    </row>
    <row r="6" spans="1:31" ht="14.85" customHeight="1" thickBot="1">
      <c r="A6" s="18"/>
      <c r="B6" s="2591"/>
      <c r="C6" s="2593"/>
      <c r="D6" s="2595"/>
      <c r="E6" s="2597"/>
      <c r="F6" s="1269"/>
      <c r="G6" s="2599"/>
      <c r="H6" s="25"/>
      <c r="L6">
        <f>IF(L4=1,360,365)</f>
        <v>365</v>
      </c>
      <c r="V6" s="2582" t="s">
        <v>1627</v>
      </c>
      <c r="W6" s="2583"/>
      <c r="X6" s="2600" t="str">
        <f>CHOOSE(BerBasis,"7. Tage","7. volle Monate","7. Jahre")</f>
        <v>7. Jahre</v>
      </c>
      <c r="Y6" s="2601"/>
      <c r="Z6" s="2602"/>
      <c r="AA6" s="1396" t="str">
        <f>CHOOSE(BerBasis,"8. Tage","8. volle Monate","8. Jahre")</f>
        <v>8. Jahre</v>
      </c>
      <c r="AB6" s="25"/>
      <c r="AC6" t="s">
        <v>830</v>
      </c>
      <c r="AD6" s="15" t="b">
        <v>0</v>
      </c>
    </row>
    <row r="7" spans="1:31" ht="15" thickTop="1">
      <c r="A7" s="18"/>
      <c r="B7" s="63">
        <v>36526</v>
      </c>
      <c r="C7" s="65">
        <v>38352</v>
      </c>
      <c r="D7" s="49"/>
      <c r="E7" s="1082" t="str">
        <f t="shared" ref="E7:E15" si="0">IFERROR(IF(C7+B7=0,"",IF(TZ_Faktor,CHOOSE(BerBasis,C7-B7+1,DATEDIF(B7,C7+1,"M"),YEARFRAC(B7,C7,3))*IF(D7&lt;&gt;0,D7,1),"")),"")</f>
        <v/>
      </c>
      <c r="F7" s="1082">
        <f t="shared" ref="F7:F26" si="1">IF(K7=0,"",ABS((DATE(YEAR(B7)+1,1,1)-B7)/Berechnungsmethode+YEAR(C7)-(YEAR(B7)+1)+(C7-DATE(YEAR(C7),1,1))/Berechnungsmethode))</f>
        <v>5.0027397260273574</v>
      </c>
      <c r="G7" s="1492">
        <f t="shared" ref="G7:G26" si="2">IF(OR(B7="",C7=""),"",CHOOSE(BerBasis,C7-B7+1,DATEDIF(B7,C7+1,"M"),YEARFRAC(B7,C7,3)))</f>
        <v>5.0027397260273974</v>
      </c>
      <c r="H7" s="683"/>
      <c r="K7">
        <f t="shared" ref="K7:K26" si="3">IF(OR(B7="",C7=""),0,1)</f>
        <v>1</v>
      </c>
      <c r="V7" s="661" t="str">
        <f t="shared" ref="V7:V26" si="4">IF(OR(Ehevon="",Ehebis="",B7=""),"",IF(AND(Ehevon&gt;=B7,Ehevon&lt;=C7),Ehevon,IF(AND(Ehevon&lt;B7,Ehebis&gt;=B7),B7,"")))</f>
        <v/>
      </c>
      <c r="W7" s="662" t="str">
        <f>IFERROR(IF(OR(Ehevon="",Ehebis="",C7=""),"",IF(AND(Ehebis&lt;=C7,Ehebis&gt;=B7),Ehebis,IF(AND(Ehebis&gt;=C7,V7&lt;&gt;""),C7,""))),"")</f>
        <v/>
      </c>
      <c r="X7" s="2584" t="str">
        <f t="shared" ref="X7:X15" si="5">IF(OR(V7="",W7=""),"",CHOOSE(BerBasis,W7-V7+1,DATEDIF(V7,W7+1,"m"),YEARFRAC(V7,W7,3)))</f>
        <v/>
      </c>
      <c r="Y7" s="2585"/>
      <c r="Z7" s="2586"/>
      <c r="AA7" s="1088" t="str">
        <f t="shared" ref="AA7:AA15" si="6">IF(OR(V7="",W7=""),"",CHOOSE(BerBasis,W7-V7+1,DATEDIF(V7,W7+1,"m"),YEARFRAC(V7,W7,3)))</f>
        <v/>
      </c>
      <c r="AB7" s="25"/>
    </row>
    <row r="8" spans="1:31">
      <c r="A8" s="18"/>
      <c r="B8" s="64">
        <v>38353</v>
      </c>
      <c r="C8" s="65">
        <v>44196</v>
      </c>
      <c r="D8" s="50"/>
      <c r="E8" s="1082" t="str">
        <f t="shared" si="0"/>
        <v/>
      </c>
      <c r="F8" s="1082">
        <f t="shared" si="1"/>
        <v>16</v>
      </c>
      <c r="G8" s="1083">
        <f t="shared" si="2"/>
        <v>16.008219178082193</v>
      </c>
      <c r="H8" s="683"/>
      <c r="K8">
        <f t="shared" si="3"/>
        <v>1</v>
      </c>
      <c r="V8" s="661">
        <f t="shared" si="4"/>
        <v>43831</v>
      </c>
      <c r="W8" s="662">
        <f t="shared" ref="W8:W26" si="7">IF(OR(Ehevon="",Ehebis="",C8=""),"",IF(AND(Ehebis&lt;=C8,Ehebis&gt;=B8),Ehebis,IF(AND(Ehebis&gt;=C8,V8&lt;&gt;""),C8,"")))</f>
        <v>44196</v>
      </c>
      <c r="X8" s="2574">
        <f t="shared" si="5"/>
        <v>1</v>
      </c>
      <c r="Y8" s="2575"/>
      <c r="Z8" s="2576"/>
      <c r="AA8" s="1088">
        <f t="shared" si="6"/>
        <v>1</v>
      </c>
      <c r="AB8" s="25"/>
    </row>
    <row r="9" spans="1:31">
      <c r="A9" s="18"/>
      <c r="B9" s="64">
        <v>44197</v>
      </c>
      <c r="C9" s="65">
        <v>45322</v>
      </c>
      <c r="D9" s="40">
        <v>0.2</v>
      </c>
      <c r="E9" s="1082" t="str">
        <f t="shared" si="0"/>
        <v/>
      </c>
      <c r="F9" s="1082">
        <f t="shared" si="1"/>
        <v>3.0821917808219177</v>
      </c>
      <c r="G9" s="1083">
        <f t="shared" si="2"/>
        <v>3.0821917808219177</v>
      </c>
      <c r="H9" s="683"/>
      <c r="K9">
        <f t="shared" si="3"/>
        <v>1</v>
      </c>
      <c r="V9" s="661">
        <f t="shared" si="4"/>
        <v>44197</v>
      </c>
      <c r="W9" s="662">
        <f t="shared" si="7"/>
        <v>45291</v>
      </c>
      <c r="X9" s="2574">
        <f t="shared" si="5"/>
        <v>2.9972602739726026</v>
      </c>
      <c r="Y9" s="2575"/>
      <c r="Z9" s="2576"/>
      <c r="AA9" s="1088">
        <f t="shared" si="6"/>
        <v>2.9972602739726026</v>
      </c>
      <c r="AB9" s="26"/>
    </row>
    <row r="10" spans="1:31">
      <c r="A10" s="18"/>
      <c r="B10" s="64">
        <v>45323</v>
      </c>
      <c r="C10" s="65">
        <v>45808</v>
      </c>
      <c r="D10" s="50"/>
      <c r="E10" s="1082" t="str">
        <f t="shared" si="0"/>
        <v/>
      </c>
      <c r="F10" s="1082">
        <f t="shared" si="1"/>
        <v>1.3287671232877303</v>
      </c>
      <c r="G10" s="1083">
        <f t="shared" si="2"/>
        <v>1.3287671232876712</v>
      </c>
      <c r="H10" s="683"/>
      <c r="K10">
        <f t="shared" si="3"/>
        <v>1</v>
      </c>
      <c r="V10" s="661" t="str">
        <f t="shared" si="4"/>
        <v/>
      </c>
      <c r="W10" s="662" t="str">
        <f t="shared" si="7"/>
        <v/>
      </c>
      <c r="X10" s="2574" t="str">
        <f t="shared" si="5"/>
        <v/>
      </c>
      <c r="Y10" s="2575"/>
      <c r="Z10" s="2576"/>
      <c r="AA10" s="1088" t="str">
        <f t="shared" si="6"/>
        <v/>
      </c>
      <c r="AB10" s="26"/>
    </row>
    <row r="11" spans="1:31">
      <c r="A11" s="18"/>
      <c r="B11" s="1969">
        <v>45809</v>
      </c>
      <c r="C11" s="1970">
        <v>51532</v>
      </c>
      <c r="D11" s="1971"/>
      <c r="E11" s="1082" t="str">
        <f t="shared" si="0"/>
        <v/>
      </c>
      <c r="F11" s="1082">
        <f t="shared" si="1"/>
        <v>15.668493150685039</v>
      </c>
      <c r="G11" s="1083">
        <f t="shared" si="2"/>
        <v>15.67945205479452</v>
      </c>
      <c r="H11" s="683"/>
      <c r="K11">
        <f t="shared" si="3"/>
        <v>1</v>
      </c>
      <c r="V11" s="661" t="str">
        <f t="shared" si="4"/>
        <v/>
      </c>
      <c r="W11" s="662" t="str">
        <f t="shared" si="7"/>
        <v/>
      </c>
      <c r="X11" s="2574" t="str">
        <f t="shared" si="5"/>
        <v/>
      </c>
      <c r="Y11" s="2575"/>
      <c r="Z11" s="2576"/>
      <c r="AA11" s="1088" t="str">
        <f t="shared" si="6"/>
        <v/>
      </c>
      <c r="AB11" s="41"/>
    </row>
    <row r="12" spans="1:31">
      <c r="A12" s="18"/>
      <c r="B12" s="64"/>
      <c r="C12" s="65"/>
      <c r="D12" s="50"/>
      <c r="E12" s="1082" t="str">
        <f t="shared" si="0"/>
        <v/>
      </c>
      <c r="F12" s="1084" t="str">
        <f t="shared" si="1"/>
        <v/>
      </c>
      <c r="G12" s="1083" t="str">
        <f t="shared" si="2"/>
        <v/>
      </c>
      <c r="H12" s="683"/>
      <c r="K12">
        <f t="shared" si="3"/>
        <v>0</v>
      </c>
      <c r="V12" s="29" t="str">
        <f t="shared" si="4"/>
        <v/>
      </c>
      <c r="W12" s="36" t="str">
        <f t="shared" si="7"/>
        <v/>
      </c>
      <c r="X12" s="2574" t="str">
        <f t="shared" si="5"/>
        <v/>
      </c>
      <c r="Y12" s="2575"/>
      <c r="Z12" s="2576"/>
      <c r="AA12" s="1088" t="str">
        <f t="shared" si="6"/>
        <v/>
      </c>
      <c r="AB12" s="25"/>
    </row>
    <row r="13" spans="1:31">
      <c r="A13" s="18"/>
      <c r="B13" s="64"/>
      <c r="C13" s="65"/>
      <c r="D13" s="50"/>
      <c r="E13" s="1082" t="str">
        <f t="shared" si="0"/>
        <v/>
      </c>
      <c r="F13" s="1084" t="str">
        <f t="shared" si="1"/>
        <v/>
      </c>
      <c r="G13" s="1083" t="str">
        <f t="shared" si="2"/>
        <v/>
      </c>
      <c r="H13" s="683"/>
      <c r="K13">
        <f t="shared" si="3"/>
        <v>0</v>
      </c>
      <c r="V13" s="29" t="str">
        <f t="shared" si="4"/>
        <v/>
      </c>
      <c r="W13" s="36" t="str">
        <f t="shared" si="7"/>
        <v/>
      </c>
      <c r="X13" s="2574" t="str">
        <f t="shared" si="5"/>
        <v/>
      </c>
      <c r="Y13" s="2575"/>
      <c r="Z13" s="2576"/>
      <c r="AA13" s="1088" t="str">
        <f t="shared" si="6"/>
        <v/>
      </c>
      <c r="AB13" s="25"/>
    </row>
    <row r="14" spans="1:31">
      <c r="A14" s="18"/>
      <c r="B14" s="64"/>
      <c r="C14" s="65"/>
      <c r="D14" s="50"/>
      <c r="E14" s="1082" t="str">
        <f t="shared" si="0"/>
        <v/>
      </c>
      <c r="F14" s="1084" t="str">
        <f t="shared" si="1"/>
        <v/>
      </c>
      <c r="G14" s="1083" t="str">
        <f t="shared" si="2"/>
        <v/>
      </c>
      <c r="H14" s="683"/>
      <c r="K14">
        <f t="shared" si="3"/>
        <v>0</v>
      </c>
      <c r="V14" s="29" t="str">
        <f t="shared" si="4"/>
        <v/>
      </c>
      <c r="W14" s="36" t="str">
        <f t="shared" si="7"/>
        <v/>
      </c>
      <c r="X14" s="2574" t="str">
        <f t="shared" si="5"/>
        <v/>
      </c>
      <c r="Y14" s="2575"/>
      <c r="Z14" s="2576"/>
      <c r="AA14" s="1088" t="str">
        <f t="shared" si="6"/>
        <v/>
      </c>
      <c r="AB14" s="25"/>
    </row>
    <row r="15" spans="1:31" ht="15" thickBot="1">
      <c r="A15" s="18"/>
      <c r="B15" s="64"/>
      <c r="C15" s="65"/>
      <c r="D15" s="50"/>
      <c r="E15" s="1082" t="str">
        <f t="shared" si="0"/>
        <v/>
      </c>
      <c r="F15" s="1084" t="str">
        <f t="shared" si="1"/>
        <v/>
      </c>
      <c r="G15" s="1083" t="str">
        <f t="shared" si="2"/>
        <v/>
      </c>
      <c r="H15" s="683"/>
      <c r="K15">
        <f t="shared" si="3"/>
        <v>0</v>
      </c>
      <c r="V15" s="29" t="str">
        <f t="shared" si="4"/>
        <v/>
      </c>
      <c r="W15" s="36" t="str">
        <f t="shared" si="7"/>
        <v/>
      </c>
      <c r="X15" s="2574" t="str">
        <f t="shared" si="5"/>
        <v/>
      </c>
      <c r="Y15" s="2575"/>
      <c r="Z15" s="2576"/>
      <c r="AA15" s="1088" t="str">
        <f t="shared" si="6"/>
        <v/>
      </c>
      <c r="AB15" s="25"/>
    </row>
    <row r="16" spans="1:31" hidden="1">
      <c r="A16" s="18"/>
      <c r="B16" s="37"/>
      <c r="C16" s="38"/>
      <c r="D16" s="39"/>
      <c r="E16" s="1082" t="str">
        <f t="shared" ref="E16:E26" si="8">IF(C16+B16=0,"",IF(TZ_Faktor,CHOOSE(BerBasis,C16-B16+1,DATEDIF(B16,C16+1,"M"),YEARFRAC(B16,C16,3))*IF(D16&lt;&gt;0,D16,1),""))</f>
        <v/>
      </c>
      <c r="F16" s="1084" t="str">
        <f t="shared" si="1"/>
        <v/>
      </c>
      <c r="G16" s="1083" t="str">
        <f t="shared" si="2"/>
        <v/>
      </c>
      <c r="H16" s="683"/>
      <c r="K16">
        <f t="shared" si="3"/>
        <v>0</v>
      </c>
      <c r="V16" s="29" t="str">
        <f t="shared" si="4"/>
        <v/>
      </c>
      <c r="W16" s="36" t="str">
        <f t="shared" si="7"/>
        <v/>
      </c>
      <c r="X16" s="1089" t="str">
        <f t="shared" ref="X16:X26" si="9">IF(OR(V16="",Tage),"",ROUND(YEARFRAC(V16,W16+1,1),3)*IF(D16&gt;0,D16,1))</f>
        <v/>
      </c>
      <c r="Y16" s="1090"/>
      <c r="Z16" s="1091"/>
      <c r="AA16" s="1088" t="str">
        <f t="shared" ref="AA16:AA26" si="10">IF(OR(V16="",Tage),"",DATEDIF(V16,W16+1,"m")*IF(D16&gt;0,D16,1))</f>
        <v/>
      </c>
      <c r="AB16" s="25"/>
    </row>
    <row r="17" spans="1:30" hidden="1">
      <c r="A17" s="18"/>
      <c r="B17" s="37"/>
      <c r="C17" s="38"/>
      <c r="D17" s="39"/>
      <c r="E17" s="1082" t="str">
        <f t="shared" si="8"/>
        <v/>
      </c>
      <c r="F17" s="1084" t="str">
        <f t="shared" si="1"/>
        <v/>
      </c>
      <c r="G17" s="1083" t="str">
        <f t="shared" si="2"/>
        <v/>
      </c>
      <c r="H17" s="683"/>
      <c r="K17">
        <f t="shared" si="3"/>
        <v>0</v>
      </c>
      <c r="V17" s="29" t="str">
        <f t="shared" si="4"/>
        <v/>
      </c>
      <c r="W17" s="36" t="str">
        <f t="shared" si="7"/>
        <v/>
      </c>
      <c r="X17" s="1089" t="str">
        <f t="shared" si="9"/>
        <v/>
      </c>
      <c r="Y17" s="1090"/>
      <c r="Z17" s="1091"/>
      <c r="AA17" s="1088" t="str">
        <f t="shared" si="10"/>
        <v/>
      </c>
      <c r="AB17" s="25"/>
    </row>
    <row r="18" spans="1:30" hidden="1">
      <c r="A18" s="18"/>
      <c r="B18" s="37"/>
      <c r="C18" s="38"/>
      <c r="D18" s="39"/>
      <c r="E18" s="1082" t="str">
        <f t="shared" si="8"/>
        <v/>
      </c>
      <c r="F18" s="1084" t="str">
        <f t="shared" si="1"/>
        <v/>
      </c>
      <c r="G18" s="1083" t="str">
        <f t="shared" si="2"/>
        <v/>
      </c>
      <c r="H18" s="683"/>
      <c r="K18">
        <f t="shared" si="3"/>
        <v>0</v>
      </c>
      <c r="V18" s="29" t="str">
        <f t="shared" si="4"/>
        <v/>
      </c>
      <c r="W18" s="36" t="str">
        <f t="shared" si="7"/>
        <v/>
      </c>
      <c r="X18" s="1089" t="str">
        <f t="shared" si="9"/>
        <v/>
      </c>
      <c r="Y18" s="1090"/>
      <c r="Z18" s="1091"/>
      <c r="AA18" s="1088" t="str">
        <f t="shared" si="10"/>
        <v/>
      </c>
      <c r="AB18" s="25"/>
    </row>
    <row r="19" spans="1:30" hidden="1">
      <c r="A19" s="25"/>
      <c r="B19" s="37"/>
      <c r="C19" s="38"/>
      <c r="D19" s="39"/>
      <c r="E19" s="1082" t="str">
        <f t="shared" si="8"/>
        <v/>
      </c>
      <c r="F19" s="1084" t="str">
        <f t="shared" si="1"/>
        <v/>
      </c>
      <c r="G19" s="1083" t="str">
        <f t="shared" si="2"/>
        <v/>
      </c>
      <c r="H19" s="683"/>
      <c r="K19">
        <f t="shared" si="3"/>
        <v>0</v>
      </c>
      <c r="V19" s="29" t="str">
        <f t="shared" si="4"/>
        <v/>
      </c>
      <c r="W19" s="36" t="str">
        <f t="shared" si="7"/>
        <v/>
      </c>
      <c r="X19" s="1089" t="str">
        <f t="shared" si="9"/>
        <v/>
      </c>
      <c r="Y19" s="1090"/>
      <c r="Z19" s="1091"/>
      <c r="AA19" s="1088" t="str">
        <f t="shared" si="10"/>
        <v/>
      </c>
      <c r="AB19" s="25"/>
    </row>
    <row r="20" spans="1:30" hidden="1">
      <c r="A20" s="25"/>
      <c r="B20" s="37"/>
      <c r="C20" s="38"/>
      <c r="D20" s="39"/>
      <c r="E20" s="1082" t="str">
        <f t="shared" si="8"/>
        <v/>
      </c>
      <c r="F20" s="1084" t="str">
        <f t="shared" si="1"/>
        <v/>
      </c>
      <c r="G20" s="1083" t="str">
        <f t="shared" si="2"/>
        <v/>
      </c>
      <c r="H20" s="683"/>
      <c r="K20">
        <f t="shared" si="3"/>
        <v>0</v>
      </c>
      <c r="V20" s="29" t="str">
        <f t="shared" si="4"/>
        <v/>
      </c>
      <c r="W20" s="36" t="str">
        <f t="shared" si="7"/>
        <v/>
      </c>
      <c r="X20" s="1089" t="str">
        <f t="shared" si="9"/>
        <v/>
      </c>
      <c r="Y20" s="1090"/>
      <c r="Z20" s="1091"/>
      <c r="AA20" s="1088" t="str">
        <f t="shared" si="10"/>
        <v/>
      </c>
      <c r="AB20" s="25"/>
    </row>
    <row r="21" spans="1:30" hidden="1">
      <c r="A21" s="25"/>
      <c r="B21" s="37"/>
      <c r="C21" s="38"/>
      <c r="D21" s="39"/>
      <c r="E21" s="1082" t="str">
        <f t="shared" si="8"/>
        <v/>
      </c>
      <c r="F21" s="1084" t="str">
        <f t="shared" si="1"/>
        <v/>
      </c>
      <c r="G21" s="1083" t="str">
        <f t="shared" si="2"/>
        <v/>
      </c>
      <c r="H21" s="683"/>
      <c r="K21">
        <f t="shared" si="3"/>
        <v>0</v>
      </c>
      <c r="V21" s="29" t="str">
        <f t="shared" si="4"/>
        <v/>
      </c>
      <c r="W21" s="36" t="str">
        <f t="shared" si="7"/>
        <v/>
      </c>
      <c r="X21" s="1089" t="str">
        <f t="shared" si="9"/>
        <v/>
      </c>
      <c r="Y21" s="1090"/>
      <c r="Z21" s="1091"/>
      <c r="AA21" s="1088" t="str">
        <f t="shared" si="10"/>
        <v/>
      </c>
      <c r="AB21" s="25"/>
    </row>
    <row r="22" spans="1:30" hidden="1">
      <c r="A22" s="25"/>
      <c r="B22" s="37"/>
      <c r="C22" s="38"/>
      <c r="D22" s="39"/>
      <c r="E22" s="1082" t="str">
        <f t="shared" si="8"/>
        <v/>
      </c>
      <c r="F22" s="1084" t="str">
        <f t="shared" si="1"/>
        <v/>
      </c>
      <c r="G22" s="1083" t="str">
        <f t="shared" si="2"/>
        <v/>
      </c>
      <c r="H22" s="683"/>
      <c r="K22">
        <f t="shared" si="3"/>
        <v>0</v>
      </c>
      <c r="V22" s="29" t="str">
        <f t="shared" si="4"/>
        <v/>
      </c>
      <c r="W22" s="36" t="str">
        <f t="shared" si="7"/>
        <v/>
      </c>
      <c r="X22" s="1089" t="str">
        <f t="shared" si="9"/>
        <v/>
      </c>
      <c r="Y22" s="1090"/>
      <c r="Z22" s="1091"/>
      <c r="AA22" s="1088" t="str">
        <f t="shared" si="10"/>
        <v/>
      </c>
      <c r="AB22" s="25"/>
    </row>
    <row r="23" spans="1:30" hidden="1">
      <c r="A23" s="25"/>
      <c r="B23" s="37"/>
      <c r="C23" s="38"/>
      <c r="D23" s="39"/>
      <c r="E23" s="1082" t="str">
        <f t="shared" si="8"/>
        <v/>
      </c>
      <c r="F23" s="1084" t="str">
        <f t="shared" si="1"/>
        <v/>
      </c>
      <c r="G23" s="1083" t="str">
        <f t="shared" si="2"/>
        <v/>
      </c>
      <c r="H23" s="683"/>
      <c r="K23">
        <f t="shared" si="3"/>
        <v>0</v>
      </c>
      <c r="V23" s="29" t="str">
        <f t="shared" si="4"/>
        <v/>
      </c>
      <c r="W23" s="36" t="str">
        <f t="shared" si="7"/>
        <v/>
      </c>
      <c r="X23" s="1089" t="str">
        <f t="shared" si="9"/>
        <v/>
      </c>
      <c r="Y23" s="1090"/>
      <c r="Z23" s="1091"/>
      <c r="AA23" s="1088" t="str">
        <f t="shared" si="10"/>
        <v/>
      </c>
      <c r="AB23" s="25"/>
    </row>
    <row r="24" spans="1:30" hidden="1">
      <c r="A24" s="25"/>
      <c r="B24" s="37"/>
      <c r="C24" s="38"/>
      <c r="D24" s="39"/>
      <c r="E24" s="1082" t="str">
        <f t="shared" si="8"/>
        <v/>
      </c>
      <c r="F24" s="1084" t="str">
        <f t="shared" si="1"/>
        <v/>
      </c>
      <c r="G24" s="1083" t="str">
        <f t="shared" si="2"/>
        <v/>
      </c>
      <c r="H24" s="683"/>
      <c r="K24">
        <f t="shared" si="3"/>
        <v>0</v>
      </c>
      <c r="V24" s="29" t="str">
        <f t="shared" si="4"/>
        <v/>
      </c>
      <c r="W24" s="36" t="str">
        <f t="shared" si="7"/>
        <v/>
      </c>
      <c r="X24" s="1089" t="str">
        <f t="shared" si="9"/>
        <v/>
      </c>
      <c r="Y24" s="1090"/>
      <c r="Z24" s="1091"/>
      <c r="AA24" s="1088" t="str">
        <f t="shared" si="10"/>
        <v/>
      </c>
      <c r="AB24" s="42"/>
    </row>
    <row r="25" spans="1:30" hidden="1">
      <c r="A25" s="25"/>
      <c r="B25" s="43"/>
      <c r="C25" s="44"/>
      <c r="D25" s="45"/>
      <c r="E25" s="1082" t="str">
        <f t="shared" si="8"/>
        <v/>
      </c>
      <c r="F25" s="1084" t="str">
        <f t="shared" si="1"/>
        <v/>
      </c>
      <c r="G25" s="1083" t="str">
        <f t="shared" si="2"/>
        <v/>
      </c>
      <c r="H25" s="683"/>
      <c r="K25">
        <f t="shared" si="3"/>
        <v>0</v>
      </c>
      <c r="V25" s="29" t="str">
        <f t="shared" si="4"/>
        <v/>
      </c>
      <c r="W25" s="36" t="str">
        <f t="shared" si="7"/>
        <v/>
      </c>
      <c r="X25" s="1089" t="str">
        <f t="shared" si="9"/>
        <v/>
      </c>
      <c r="Y25" s="1090"/>
      <c r="Z25" s="1091"/>
      <c r="AA25" s="1088" t="str">
        <f t="shared" si="10"/>
        <v/>
      </c>
      <c r="AB25" s="25"/>
    </row>
    <row r="26" spans="1:30" ht="15" hidden="1" thickBot="1">
      <c r="A26" s="25"/>
      <c r="B26" s="46"/>
      <c r="C26" s="47"/>
      <c r="D26" s="48"/>
      <c r="E26" s="1082" t="str">
        <f t="shared" si="8"/>
        <v/>
      </c>
      <c r="F26" s="1084" t="str">
        <f t="shared" si="1"/>
        <v/>
      </c>
      <c r="G26" s="1083" t="str">
        <f t="shared" si="2"/>
        <v/>
      </c>
      <c r="H26" s="683"/>
      <c r="K26">
        <f t="shared" si="3"/>
        <v>0</v>
      </c>
      <c r="V26" s="29" t="str">
        <f t="shared" si="4"/>
        <v/>
      </c>
      <c r="W26" s="36" t="str">
        <f t="shared" si="7"/>
        <v/>
      </c>
      <c r="X26" s="1089" t="str">
        <f t="shared" si="9"/>
        <v/>
      </c>
      <c r="Y26" s="1090"/>
      <c r="Z26" s="1091"/>
      <c r="AA26" s="1088" t="str">
        <f t="shared" si="10"/>
        <v/>
      </c>
      <c r="AB26" s="25"/>
    </row>
    <row r="27" spans="1:30" ht="20.85" customHeight="1" thickTop="1" thickBot="1">
      <c r="A27" s="25"/>
      <c r="B27" s="2627" t="s">
        <v>143</v>
      </c>
      <c r="C27" s="2628"/>
      <c r="D27" s="2629"/>
      <c r="E27" s="1085" t="str">
        <f>IF(SUM(E7:E26)=0,"",SUM(E7:E26))</f>
        <v/>
      </c>
      <c r="F27" s="2643">
        <f>SUM(F7:F24)</f>
        <v>41.082191780822043</v>
      </c>
      <c r="G27" s="2646">
        <f>IF(SUM(G7:G26)=0,"",SUM(G7:G26))</f>
        <v>41.101369863013701</v>
      </c>
      <c r="H27" s="25"/>
      <c r="Q27">
        <f>+X27/G27</f>
        <v>9.7253699506732433E-2</v>
      </c>
      <c r="V27" s="2651" t="s">
        <v>143</v>
      </c>
      <c r="W27" s="2652"/>
      <c r="X27" s="2653">
        <f>IF(SUM(X7:X26)&gt;0,SUM(X7:X26),"")</f>
        <v>3.9972602739726026</v>
      </c>
      <c r="Y27" s="2654"/>
      <c r="Z27" s="2655"/>
      <c r="AA27" s="1966">
        <f>IF(SUM(AA7:AA26)=0,"",SUM(AA7:AA26))</f>
        <v>3.9972602739726026</v>
      </c>
      <c r="AB27" s="25"/>
    </row>
    <row r="28" spans="1:30" ht="14.25" customHeight="1">
      <c r="A28" s="25"/>
      <c r="B28" s="2630"/>
      <c r="C28" s="2631"/>
      <c r="D28" s="2632"/>
      <c r="E28" s="1086" t="str">
        <f>IF(BerBasis=3,"Ruhegehaltsquote","")</f>
        <v>Ruhegehaltsquote</v>
      </c>
      <c r="F28" s="2644"/>
      <c r="G28" s="2647"/>
      <c r="H28" s="25"/>
      <c r="V28" s="2639" t="str">
        <f>"9.   Ehezeitanteil: "&amp;TEXT(AA27,"#.##0,00")&amp;" / "&amp;TEXT(G27,"#.##0,00")</f>
        <v>9.   Ehezeitanteil: 4,00 / 41,10</v>
      </c>
      <c r="W28" s="2640"/>
      <c r="X28" s="1967">
        <f>IFERROR(IF(G27&gt;0,ROUND(AA27/G27,4),""),"")</f>
        <v>9.7299999999999998E-2</v>
      </c>
      <c r="Y28" s="2641" t="s">
        <v>177</v>
      </c>
      <c r="Z28" s="2641"/>
      <c r="AA28" s="66"/>
      <c r="AB28" s="25"/>
      <c r="AC28" t="s">
        <v>176</v>
      </c>
      <c r="AD28" s="15">
        <v>1</v>
      </c>
    </row>
    <row r="29" spans="1:30" ht="17.850000000000001" customHeight="1" thickBot="1">
      <c r="A29" s="25"/>
      <c r="B29" s="2633"/>
      <c r="C29" s="2634"/>
      <c r="D29" s="2635"/>
      <c r="E29" s="1087" t="str">
        <f>IFERROR(IF(BerBasis=3,IF(71.75/40*E27/100&gt;0.7175,0.7175,71.75/40*E27/100),""),"")</f>
        <v/>
      </c>
      <c r="F29" s="2645"/>
      <c r="G29" s="2648"/>
      <c r="H29" s="25"/>
      <c r="V29" s="2656" t="s">
        <v>1911</v>
      </c>
      <c r="W29" s="2656"/>
      <c r="X29" s="2587">
        <v>4200</v>
      </c>
      <c r="Y29" s="2587"/>
      <c r="Z29" s="1968"/>
      <c r="AB29" s="25"/>
    </row>
    <row r="30" spans="1:30">
      <c r="A30" s="25"/>
      <c r="B30" s="2621" t="s">
        <v>144</v>
      </c>
      <c r="C30" s="2622"/>
      <c r="D30" s="2622"/>
      <c r="E30" s="2622"/>
      <c r="F30" s="2622"/>
      <c r="G30" s="2622"/>
      <c r="H30" s="25"/>
      <c r="I30" s="25"/>
      <c r="J30" s="25"/>
      <c r="K30" s="25"/>
      <c r="L30" s="25"/>
      <c r="M30" s="25"/>
      <c r="N30" s="25"/>
      <c r="O30" s="25"/>
      <c r="P30" s="25"/>
      <c r="Q30" s="25"/>
      <c r="R30" s="25"/>
      <c r="S30" s="25"/>
      <c r="T30" s="25"/>
      <c r="U30" s="25"/>
      <c r="V30" s="2657" t="s">
        <v>1912</v>
      </c>
      <c r="W30" s="2658"/>
      <c r="X30" s="2659">
        <f>+X29*X28</f>
        <v>408.65999999999997</v>
      </c>
      <c r="Y30" s="2659"/>
      <c r="Z30" s="131"/>
      <c r="AB30" s="25"/>
    </row>
    <row r="31" spans="1:30">
      <c r="A31" s="25"/>
      <c r="B31" s="2623"/>
      <c r="C31" s="2624"/>
      <c r="D31" s="2624"/>
      <c r="E31" s="2624"/>
      <c r="F31" s="2624"/>
      <c r="G31" s="2624"/>
      <c r="H31" s="25"/>
      <c r="I31" s="25"/>
      <c r="J31" s="25"/>
      <c r="K31" s="25"/>
      <c r="L31" s="25"/>
      <c r="M31" s="25"/>
      <c r="N31" s="25"/>
      <c r="O31" s="25"/>
      <c r="P31" s="25"/>
      <c r="Q31" s="25"/>
      <c r="R31" s="25"/>
      <c r="S31" s="25"/>
      <c r="T31" s="25"/>
      <c r="U31" s="25"/>
      <c r="V31" s="2642" t="s">
        <v>1913</v>
      </c>
      <c r="W31" s="2642"/>
      <c r="X31" s="2649">
        <v>3000</v>
      </c>
      <c r="Y31" s="2650"/>
      <c r="Z31" s="1962" t="str">
        <f>"KV&amp;PV x "&amp;TEXT(X28,"##,0%")</f>
        <v>KV&amp;PV x 9,7%</v>
      </c>
      <c r="AA31" s="1092">
        <f>IFERROR(-AA28*IF(X32&gt;0,X32,0),"")</f>
        <v>0</v>
      </c>
      <c r="AB31" s="25"/>
    </row>
    <row r="32" spans="1:30" ht="15" thickBot="1">
      <c r="A32" s="25"/>
      <c r="B32" s="2625"/>
      <c r="C32" s="2626"/>
      <c r="D32" s="2626"/>
      <c r="E32" s="2626"/>
      <c r="F32" s="2626"/>
      <c r="G32" s="2626"/>
      <c r="H32" s="329"/>
      <c r="I32" s="329"/>
      <c r="J32" s="329"/>
      <c r="K32" s="329"/>
      <c r="L32" s="329"/>
      <c r="M32" s="329"/>
      <c r="N32" s="329"/>
      <c r="O32" s="329"/>
      <c r="P32" s="329"/>
      <c r="Q32" s="329"/>
      <c r="R32" s="329"/>
      <c r="S32" s="329"/>
      <c r="T32" s="329"/>
      <c r="U32" s="329"/>
      <c r="V32" s="2638" t="s">
        <v>1628</v>
      </c>
      <c r="W32" s="2638"/>
      <c r="X32" s="2636">
        <f>IFERROR(+X31*X28,"")</f>
        <v>291.89999999999998</v>
      </c>
      <c r="Y32" s="2637"/>
      <c r="Z32" s="1093" t="s">
        <v>145</v>
      </c>
      <c r="AA32" s="1491">
        <f>IFERROR(X32+AA31,"")</f>
        <v>291.89999999999998</v>
      </c>
      <c r="AB32" s="25"/>
    </row>
    <row r="33" spans="1:28">
      <c r="A33" s="25"/>
      <c r="B33" s="2620" t="s">
        <v>146</v>
      </c>
      <c r="C33" s="2620"/>
      <c r="D33" s="2620"/>
      <c r="E33" s="2620"/>
      <c r="F33" s="2620"/>
      <c r="G33" s="2620"/>
      <c r="H33" s="2620"/>
      <c r="I33" s="2620"/>
      <c r="J33" s="2620"/>
      <c r="K33" s="2620"/>
      <c r="L33" s="2620"/>
      <c r="M33" s="2620"/>
      <c r="N33" s="2620"/>
      <c r="O33" s="2620"/>
      <c r="P33" s="2620"/>
      <c r="Q33" s="2620"/>
      <c r="R33" s="2620"/>
      <c r="S33" s="2620"/>
      <c r="T33" s="2620"/>
      <c r="U33" s="2620"/>
      <c r="V33" s="2620"/>
      <c r="W33" s="2620"/>
      <c r="X33" s="2620"/>
      <c r="Y33" s="2620"/>
      <c r="Z33" s="2620"/>
      <c r="AA33" s="2620"/>
      <c r="AB33" s="25"/>
    </row>
    <row r="34" spans="1:28" hidden="1">
      <c r="B34" s="666"/>
      <c r="C34" s="666"/>
      <c r="D34" s="666"/>
      <c r="E34" s="667"/>
      <c r="F34" s="666"/>
      <c r="G34" s="668"/>
    </row>
    <row r="35" spans="1:28" hidden="1">
      <c r="B35" s="669"/>
      <c r="C35" s="669"/>
      <c r="D35" s="669"/>
      <c r="E35" s="670"/>
      <c r="F35" s="671"/>
    </row>
    <row r="36" spans="1:28" hidden="1">
      <c r="B36" s="669"/>
      <c r="C36" s="669"/>
      <c r="D36" s="669"/>
      <c r="E36" s="670"/>
      <c r="F36" s="671"/>
    </row>
    <row r="37" spans="1:28" hidden="1">
      <c r="B37" s="669"/>
      <c r="C37" s="669"/>
      <c r="D37" s="669"/>
      <c r="E37" s="670"/>
      <c r="F37" s="671"/>
    </row>
    <row r="38" spans="1:28" hidden="1">
      <c r="B38" s="669"/>
      <c r="C38" s="669"/>
      <c r="D38" s="669"/>
      <c r="E38" s="670"/>
      <c r="F38" s="671"/>
    </row>
    <row r="39" spans="1:28" hidden="1">
      <c r="B39" s="669"/>
      <c r="C39" s="669"/>
      <c r="D39" s="669"/>
      <c r="E39" s="670"/>
      <c r="F39" s="671"/>
    </row>
    <row r="40" spans="1:28" hidden="1">
      <c r="B40" s="669"/>
      <c r="C40" s="669"/>
      <c r="D40" s="669"/>
      <c r="E40" s="670"/>
      <c r="F40" s="671"/>
    </row>
    <row r="41" spans="1:28" hidden="1">
      <c r="B41" s="669"/>
      <c r="C41" s="669"/>
      <c r="D41" s="669"/>
      <c r="E41" s="670"/>
      <c r="F41" s="671"/>
    </row>
    <row r="42" spans="1:28" hidden="1">
      <c r="B42" s="669"/>
      <c r="C42" s="669"/>
      <c r="D42" s="669"/>
      <c r="E42" s="670"/>
      <c r="F42" s="671"/>
    </row>
    <row r="43" spans="1:28" hidden="1">
      <c r="B43" s="669"/>
      <c r="C43" s="669"/>
      <c r="D43" s="669"/>
      <c r="E43" s="670"/>
      <c r="F43" s="671"/>
    </row>
    <row r="44" spans="1:28" hidden="1">
      <c r="B44" s="669"/>
      <c r="C44" s="669"/>
      <c r="D44" s="669"/>
      <c r="E44" s="670"/>
      <c r="F44" s="671"/>
    </row>
    <row r="45" spans="1:28" hidden="1">
      <c r="B45" s="669"/>
      <c r="C45" s="669"/>
      <c r="D45" s="669"/>
      <c r="E45" s="670"/>
      <c r="F45" s="671"/>
    </row>
    <row r="46" spans="1:28" hidden="1">
      <c r="B46" s="669"/>
      <c r="C46" s="669"/>
      <c r="D46" s="669"/>
      <c r="E46" s="670"/>
      <c r="F46" s="671"/>
    </row>
    <row r="47" spans="1:28" hidden="1">
      <c r="B47" s="669"/>
      <c r="C47" s="669"/>
      <c r="D47" s="669"/>
      <c r="E47" s="670"/>
      <c r="F47" s="671"/>
    </row>
    <row r="48" spans="1:28" hidden="1">
      <c r="B48" s="669"/>
      <c r="C48" s="669"/>
      <c r="D48" s="669"/>
      <c r="E48" s="670"/>
      <c r="F48" s="671"/>
    </row>
    <row r="49" spans="1:30" hidden="1">
      <c r="B49" s="669"/>
      <c r="C49" s="669"/>
      <c r="D49" s="669"/>
      <c r="E49" s="670"/>
      <c r="F49" s="671"/>
    </row>
    <row r="50" spans="1:30" hidden="1">
      <c r="B50" s="669"/>
      <c r="C50" s="669"/>
      <c r="D50" s="669"/>
      <c r="E50" s="670"/>
      <c r="F50" s="671"/>
    </row>
    <row r="51" spans="1:30" hidden="1">
      <c r="B51" s="669"/>
      <c r="C51" s="669"/>
      <c r="D51" s="669"/>
      <c r="E51" s="670"/>
      <c r="F51" s="671"/>
    </row>
    <row r="52" spans="1:30" hidden="1">
      <c r="B52" s="669"/>
      <c r="C52" s="669"/>
      <c r="D52" s="669"/>
      <c r="E52" s="670"/>
      <c r="F52" s="671"/>
    </row>
    <row r="53" spans="1:30" hidden="1">
      <c r="B53" s="669"/>
      <c r="C53" s="669"/>
      <c r="D53" s="669"/>
      <c r="E53" s="670"/>
      <c r="F53" s="671"/>
    </row>
    <row r="54" spans="1:30" hidden="1">
      <c r="B54" s="669"/>
      <c r="C54" s="669"/>
      <c r="D54" s="669"/>
      <c r="E54" s="670"/>
      <c r="F54" s="671"/>
    </row>
    <row r="55" spans="1:30" ht="27" hidden="1">
      <c r="B55" s="672"/>
      <c r="C55" s="672"/>
      <c r="D55" s="673"/>
      <c r="E55" s="674"/>
      <c r="F55" s="675"/>
      <c r="G55" s="666"/>
    </row>
    <row r="56" spans="1:30" ht="27" hidden="1">
      <c r="B56" s="672"/>
      <c r="C56" s="672"/>
      <c r="D56" s="673"/>
      <c r="E56" s="674"/>
      <c r="F56" s="675"/>
    </row>
    <row r="57" spans="1:30" ht="27" hidden="1">
      <c r="B57" s="672"/>
      <c r="C57" s="672"/>
      <c r="D57" s="673"/>
      <c r="E57" s="674"/>
      <c r="F57" s="675"/>
    </row>
    <row r="59" spans="1:30" s="25" customFormat="1" hidden="1">
      <c r="A59"/>
      <c r="B59" s="4"/>
      <c r="C59" s="4"/>
      <c r="D59" s="4"/>
      <c r="E59" s="276"/>
      <c r="F59"/>
      <c r="G59" s="4"/>
      <c r="H59"/>
      <c r="I59"/>
      <c r="J59"/>
      <c r="K59"/>
      <c r="L59"/>
      <c r="M59"/>
      <c r="N59"/>
      <c r="O59"/>
      <c r="P59"/>
      <c r="Q59"/>
      <c r="R59"/>
      <c r="S59"/>
      <c r="T59"/>
      <c r="U59"/>
      <c r="V59" s="676"/>
      <c r="W59" s="677"/>
      <c r="X59" s="677"/>
      <c r="Y59"/>
      <c r="Z59"/>
      <c r="AA59"/>
      <c r="AB59"/>
      <c r="AC59"/>
      <c r="AD59"/>
    </row>
    <row r="60" spans="1:30" s="25" customFormat="1" hidden="1">
      <c r="A60"/>
      <c r="B60" s="4"/>
      <c r="C60" s="4"/>
      <c r="D60" s="4"/>
      <c r="E60" s="276"/>
      <c r="F60"/>
      <c r="G60" s="4"/>
      <c r="H60"/>
      <c r="I60"/>
      <c r="J60"/>
      <c r="K60"/>
      <c r="L60"/>
      <c r="M60"/>
      <c r="N60"/>
      <c r="O60"/>
      <c r="P60"/>
      <c r="Q60"/>
      <c r="R60"/>
      <c r="S60"/>
      <c r="T60"/>
      <c r="U60"/>
      <c r="V60"/>
      <c r="W60"/>
      <c r="X60"/>
      <c r="Y60"/>
      <c r="Z60"/>
      <c r="AA60"/>
      <c r="AB60"/>
      <c r="AC60"/>
      <c r="AD60"/>
    </row>
    <row r="61" spans="1:30" hidden="1">
      <c r="B61" s="678"/>
      <c r="C61" s="678"/>
      <c r="D61" s="678"/>
      <c r="E61" s="679"/>
      <c r="F61" s="680"/>
      <c r="G61" s="678"/>
      <c r="H61" s="680"/>
      <c r="I61" s="680"/>
      <c r="J61" s="680"/>
      <c r="K61" s="680"/>
      <c r="L61" s="680"/>
      <c r="M61" s="680"/>
      <c r="N61" s="680"/>
      <c r="O61" s="680"/>
      <c r="P61" s="680"/>
      <c r="Q61" s="680"/>
      <c r="R61" s="680"/>
      <c r="S61" s="680"/>
      <c r="T61" s="680"/>
      <c r="U61" s="680"/>
      <c r="V61" s="680"/>
      <c r="W61" s="680"/>
      <c r="X61" s="680"/>
      <c r="Y61" s="680"/>
      <c r="Z61" s="680"/>
      <c r="AA61" s="680"/>
    </row>
    <row r="62" spans="1:30" hidden="1">
      <c r="B62" s="678"/>
      <c r="C62" s="678"/>
      <c r="D62" s="678"/>
      <c r="E62" s="679"/>
      <c r="F62" s="680"/>
      <c r="G62" s="678"/>
      <c r="H62" s="680"/>
      <c r="I62" s="680"/>
      <c r="J62" s="680"/>
      <c r="K62" s="680"/>
      <c r="L62" s="680"/>
      <c r="M62" s="680"/>
      <c r="N62" s="680"/>
      <c r="O62" s="680"/>
      <c r="P62" s="680"/>
      <c r="Q62" s="680"/>
      <c r="R62" s="680"/>
      <c r="S62" s="680"/>
      <c r="T62" s="680"/>
      <c r="U62" s="680"/>
      <c r="V62" s="680"/>
      <c r="W62" s="680"/>
      <c r="X62" s="680"/>
      <c r="Y62" s="680"/>
      <c r="Z62" s="680"/>
      <c r="AA62" s="680"/>
    </row>
    <row r="63" spans="1:30" hidden="1">
      <c r="B63" s="678"/>
      <c r="C63" s="678"/>
      <c r="D63" s="678"/>
      <c r="E63" s="679"/>
      <c r="F63" s="680"/>
      <c r="G63" s="678"/>
      <c r="H63" s="680"/>
      <c r="I63" s="680"/>
      <c r="J63" s="680"/>
      <c r="K63" s="680"/>
      <c r="L63" s="680"/>
      <c r="M63" s="680"/>
      <c r="N63" s="680"/>
      <c r="O63" s="680"/>
      <c r="P63" s="680"/>
      <c r="Q63" s="680"/>
      <c r="R63" s="680"/>
      <c r="S63" s="680"/>
      <c r="T63" s="680"/>
      <c r="U63" s="680"/>
      <c r="V63" s="680"/>
      <c r="W63" s="680"/>
      <c r="X63" s="680"/>
      <c r="Y63" s="680"/>
      <c r="Z63" s="680"/>
      <c r="AA63" s="680"/>
    </row>
    <row r="64" spans="1:30" hidden="1">
      <c r="B64" s="678"/>
      <c r="C64" s="678"/>
      <c r="D64" s="678"/>
      <c r="E64" s="679"/>
      <c r="F64" s="680"/>
      <c r="G64" s="678"/>
      <c r="H64" s="680"/>
      <c r="I64" s="680"/>
      <c r="J64" s="680"/>
      <c r="K64" s="680"/>
      <c r="L64" s="680"/>
      <c r="M64" s="680"/>
      <c r="N64" s="680"/>
      <c r="O64" s="680"/>
      <c r="P64" s="680"/>
      <c r="Q64" s="680"/>
      <c r="R64" s="680"/>
      <c r="S64" s="680"/>
      <c r="T64" s="680"/>
      <c r="U64" s="680"/>
      <c r="V64" s="680"/>
      <c r="W64" s="680"/>
      <c r="X64" s="680"/>
      <c r="Y64" s="680"/>
      <c r="Z64" s="680"/>
      <c r="AA64" s="680"/>
    </row>
    <row r="65" spans="2:27" hidden="1">
      <c r="B65" s="678"/>
      <c r="C65" s="678"/>
      <c r="D65" s="678"/>
      <c r="E65" s="679"/>
      <c r="F65" s="680"/>
      <c r="G65" s="678"/>
      <c r="H65" s="680"/>
      <c r="I65" s="680"/>
      <c r="J65" s="680"/>
      <c r="K65" s="680"/>
      <c r="L65" s="680"/>
      <c r="M65" s="680"/>
      <c r="N65" s="680"/>
      <c r="O65" s="680"/>
      <c r="P65" s="680"/>
      <c r="Q65" s="680"/>
      <c r="R65" s="680"/>
      <c r="S65" s="680"/>
      <c r="T65" s="680"/>
      <c r="U65" s="680"/>
      <c r="V65" s="680"/>
      <c r="W65" s="680"/>
      <c r="X65" s="680"/>
      <c r="Y65" s="680"/>
      <c r="Z65" s="680"/>
      <c r="AA65" s="680"/>
    </row>
  </sheetData>
  <sheetProtection selectLockedCells="1"/>
  <scenarios current="0" show="0">
    <scenario name="Nullstellung Ehezeitanteil" locked="1" count="30" user="Hauß" comment="Erstellt von Hauß am 14.07.2022_x000a_Modifiziert von Hauß am 14.07.2022_x000a_Modifiziert von Hauß am 26.07.2022_x000a_Modifiziert von Hauß am 01.10.2022">
      <inputCells r="B7" val=""/>
      <inputCells r="C7" val=""/>
      <inputCells r="D7" val=""/>
      <inputCells r="B8" val=""/>
      <inputCells r="C8" val=""/>
      <inputCells r="D8" val=""/>
      <inputCells r="B9" val=""/>
      <inputCells r="C9" val=""/>
      <inputCells r="D9" val=""/>
      <inputCells r="B10" val=""/>
      <inputCells r="C10" val=""/>
      <inputCells r="D10" val=""/>
      <inputCells r="B11" val=""/>
      <inputCells r="C11" val=""/>
      <inputCells r="D11" val=""/>
      <inputCells r="B12" val=""/>
      <inputCells r="C12" val=""/>
      <inputCells r="D12" val=""/>
      <inputCells r="B13" val=""/>
      <inputCells r="C13" val=""/>
      <inputCells r="D13" val=""/>
      <inputCells r="B14" val=""/>
      <inputCells r="C14" val=""/>
      <inputCells r="D14" val=""/>
      <inputCells r="B15" val=""/>
      <inputCells r="C15" val=""/>
      <inputCells r="D15" val=""/>
      <inputCells r="V5" val=""/>
      <inputCells r="W5" val=""/>
      <inputCells r="AA28" val=""/>
    </scenario>
    <scenario name="5-10-22" locked="1" count="30" user="Hauß" comment="Erstellt von Jörn Hauß am 23.09.2022_x000a_Modifiziert von Hauß am 01.10.2022">
      <inputCells r="B7" val="29221" numFmtId="14"/>
      <inputCells r="C7" val="32539" numFmtId="14"/>
      <inputCells r="D7" val=""/>
      <inputCells r="B8" val="36281" numFmtId="14"/>
      <inputCells r="C8" val="42369" numFmtId="14"/>
      <inputCells r="D8" val=""/>
      <inputCells r="B9" val="42736"/>
      <inputCells r="C9" val="47118"/>
      <inputCells r="D9" val=""/>
      <inputCells r="B10" val=""/>
      <inputCells r="C10" val=""/>
      <inputCells r="D10" val=""/>
      <inputCells r="B11" val=""/>
      <inputCells r="C11" val=""/>
      <inputCells r="D11" val=""/>
      <inputCells r="B12" val=""/>
      <inputCells r="C12" val=""/>
      <inputCells r="D12" val=""/>
      <inputCells r="B13" val=""/>
      <inputCells r="C13" val=""/>
      <inputCells r="D13" val=""/>
      <inputCells r="B14" val=""/>
      <inputCells r="C14" val=""/>
      <inputCells r="D14" val=""/>
      <inputCells r="B15" val=""/>
      <inputCells r="C15" val=""/>
      <inputCells r="D15" val=""/>
      <inputCells r="V5" val="32874" numFmtId="14"/>
      <inputCells r="W5" val="44804"/>
      <inputCells r="AA28" val=""/>
    </scenario>
  </scenarios>
  <dataConsolidate/>
  <mergeCells count="43">
    <mergeCell ref="B33:AA33"/>
    <mergeCell ref="B30:G32"/>
    <mergeCell ref="B27:D29"/>
    <mergeCell ref="X32:Y32"/>
    <mergeCell ref="V32:W32"/>
    <mergeCell ref="V28:W28"/>
    <mergeCell ref="Y28:Z28"/>
    <mergeCell ref="V31:W31"/>
    <mergeCell ref="F27:F29"/>
    <mergeCell ref="G27:G29"/>
    <mergeCell ref="X31:Y31"/>
    <mergeCell ref="V27:W27"/>
    <mergeCell ref="X27:Z27"/>
    <mergeCell ref="V29:W29"/>
    <mergeCell ref="V30:W30"/>
    <mergeCell ref="X30:Y30"/>
    <mergeCell ref="X29:Y29"/>
    <mergeCell ref="AA1:AB1"/>
    <mergeCell ref="B5:B6"/>
    <mergeCell ref="C5:C6"/>
    <mergeCell ref="D5:D6"/>
    <mergeCell ref="E5:E6"/>
    <mergeCell ref="G5:G6"/>
    <mergeCell ref="X6:Z6"/>
    <mergeCell ref="B2:G2"/>
    <mergeCell ref="B3:G3"/>
    <mergeCell ref="B4:G4"/>
    <mergeCell ref="B1:G1"/>
    <mergeCell ref="H3:H4"/>
    <mergeCell ref="X4:AA4"/>
    <mergeCell ref="X5:AA5"/>
    <mergeCell ref="X13:Z13"/>
    <mergeCell ref="X14:Z14"/>
    <mergeCell ref="X15:Z15"/>
    <mergeCell ref="X11:Z11"/>
    <mergeCell ref="V2:AA2"/>
    <mergeCell ref="V3:W3"/>
    <mergeCell ref="V6:W6"/>
    <mergeCell ref="X7:Z7"/>
    <mergeCell ref="X8:Z8"/>
    <mergeCell ref="X9:Z9"/>
    <mergeCell ref="X10:Z10"/>
    <mergeCell ref="X12:Z12"/>
  </mergeCells>
  <conditionalFormatting sqref="B7:C7">
    <cfRule type="expression" dxfId="315" priority="18">
      <formula>B7=""</formula>
    </cfRule>
  </conditionalFormatting>
  <conditionalFormatting sqref="B7:C15">
    <cfRule type="expression" dxfId="314" priority="520">
      <formula>AND(B7&gt;=$V$5,B7&lt;=$W$5)</formula>
    </cfRule>
  </conditionalFormatting>
  <conditionalFormatting sqref="B11:D15">
    <cfRule type="expression" dxfId="313" priority="5">
      <formula>OR(Ehevon="",Ehebis="")</formula>
    </cfRule>
  </conditionalFormatting>
  <conditionalFormatting sqref="B3:G3">
    <cfRule type="expression" dxfId="312" priority="12">
      <formula>"WENN(ODER(Ehevon&lt;&gt;"""";Ehebis&lt;&gt;"""")"</formula>
    </cfRule>
  </conditionalFormatting>
  <conditionalFormatting sqref="B7:G10 E8:E26 G8:G26 E11:G11">
    <cfRule type="expression" dxfId="311" priority="13">
      <formula>OR(Ehevon="",Ehebis="")</formula>
    </cfRule>
  </conditionalFormatting>
  <conditionalFormatting sqref="E7:G11 E8:E26">
    <cfRule type="expression" dxfId="310" priority="8">
      <formula>$AE$4&lt;3</formula>
    </cfRule>
  </conditionalFormatting>
  <conditionalFormatting sqref="E7:G28 X7:AA26 X27 AA27 Y28:AA28 F29:G29">
    <cfRule type="expression" dxfId="309" priority="14">
      <formula>BerBasis=3</formula>
    </cfRule>
  </conditionalFormatting>
  <conditionalFormatting sqref="H3:H5">
    <cfRule type="expression" dxfId="308" priority="9">
      <formula>OR(Ehevon&lt;&gt;"",Ehebis&lt;&gt;"")</formula>
    </cfRule>
  </conditionalFormatting>
  <conditionalFormatting sqref="V4">
    <cfRule type="expression" dxfId="307" priority="4">
      <formula>AND($V$4="",V5="")</formula>
    </cfRule>
  </conditionalFormatting>
  <conditionalFormatting sqref="W4">
    <cfRule type="expression" dxfId="306" priority="3">
      <formula>AND(W4="",W5="")</formula>
    </cfRule>
  </conditionalFormatting>
  <dataValidations count="6">
    <dataValidation type="date" operator="greaterThan" allowBlank="1" showInputMessage="1" showErrorMessage="1" sqref="C7:C24" xr:uid="{00000000-0002-0000-0E00-000000000000}">
      <formula1>B7</formula1>
    </dataValidation>
    <dataValidation type="date" operator="lessThan" allowBlank="1" showInputMessage="1" showErrorMessage="1" sqref="B16:B24" xr:uid="{00000000-0002-0000-0E00-000001000000}">
      <formula1>TODAY()</formula1>
    </dataValidation>
    <dataValidation type="decimal" operator="lessThan" allowBlank="1" showInputMessage="1" showErrorMessage="1" sqref="D7:D24" xr:uid="{00000000-0002-0000-0E00-000002000000}">
      <formula1>1</formula1>
    </dataValidation>
    <dataValidation type="date" allowBlank="1" showInputMessage="1" showErrorMessage="1" sqref="B7" xr:uid="{00000000-0002-0000-0E00-000003000000}">
      <formula1>18264</formula1>
      <formula2>73415</formula2>
    </dataValidation>
    <dataValidation type="date" operator="greaterThan" allowBlank="1" showInputMessage="1" showErrorMessage="1" sqref="B8:B15" xr:uid="{00000000-0002-0000-0E00-000004000000}">
      <formula1>C7</formula1>
    </dataValidation>
    <dataValidation type="date" allowBlank="1" showInputMessage="1" showErrorMessage="1" sqref="V4:W4" xr:uid="{C1CB8DEC-9B8B-4E9E-9F4F-F0EC8A272E34}">
      <formula1>18264</formula1>
      <formula2>51501</formula2>
    </dataValidation>
  </dataValidations>
  <printOptions horizontalCentered="1" verticalCentered="1"/>
  <pageMargins left="0.31496062992125984" right="0.31496062992125984" top="0.78740157480314965" bottom="0.39370078740157483" header="0.31496062992125984" footer="0.51181102362204722"/>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1773" r:id="rId4" name="Drop Down 29">
              <controlPr defaultSize="0" autoLine="0" autoPict="0">
                <anchor moveWithCells="1">
                  <from>
                    <xdr:col>4</xdr:col>
                    <xdr:colOff>857250</xdr:colOff>
                    <xdr:row>1</xdr:row>
                    <xdr:rowOff>19050</xdr:rowOff>
                  </from>
                  <to>
                    <xdr:col>7</xdr:col>
                    <xdr:colOff>66675</xdr:colOff>
                    <xdr:row>1</xdr:row>
                    <xdr:rowOff>209550</xdr:rowOff>
                  </to>
                </anchor>
              </controlPr>
            </control>
          </mc:Choice>
        </mc:AlternateContent>
        <mc:AlternateContent xmlns:mc="http://schemas.openxmlformats.org/markup-compatibility/2006">
          <mc:Choice Requires="x14">
            <control shapeId="31779" r:id="rId5" name="Check Box 35">
              <controlPr defaultSize="0" autoFill="0" autoLine="0" autoPict="0">
                <anchor moveWithCells="1">
                  <from>
                    <xdr:col>4</xdr:col>
                    <xdr:colOff>0</xdr:colOff>
                    <xdr:row>4</xdr:row>
                    <xdr:rowOff>142875</xdr:rowOff>
                  </from>
                  <to>
                    <xdr:col>4</xdr:col>
                    <xdr:colOff>742950</xdr:colOff>
                    <xdr:row>5</xdr:row>
                    <xdr:rowOff>171450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5390D795-4DC5-4BC6-99F9-4F200C2B4F08}">
            <xm:f>AND($V$4="",Fallerfassung!$T$3&gt;0)</xm:f>
            <x14:dxf>
              <fill>
                <patternFill>
                  <bgColor theme="4" tint="0.59996337778862885"/>
                </patternFill>
              </fill>
            </x14:dxf>
          </x14:cfRule>
          <xm:sqref>V5</xm:sqref>
        </x14:conditionalFormatting>
        <x14:conditionalFormatting xmlns:xm="http://schemas.microsoft.com/office/excel/2006/main">
          <x14:cfRule type="expression" priority="1" id="{2BACB859-F008-4D7E-8608-742AB5C3CC29}">
            <xm:f>AND($W$4="",Fallerfassung!$V$3&gt;0)</xm:f>
            <x14:dxf>
              <fill>
                <patternFill>
                  <bgColor theme="4" tint="0.59996337778862885"/>
                </patternFill>
              </fill>
            </x14:dxf>
          </x14:cfRule>
          <xm:sqref>W5</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9"/>
  <dimension ref="A1:DQ113"/>
  <sheetViews>
    <sheetView topLeftCell="A16" workbookViewId="0">
      <selection activeCell="B63" sqref="B63"/>
    </sheetView>
  </sheetViews>
  <sheetFormatPr baseColWidth="10" defaultColWidth="11.125" defaultRowHeight="15"/>
  <cols>
    <col min="1" max="1" width="3.625" customWidth="1"/>
    <col min="2" max="2" width="7.125" customWidth="1"/>
    <col min="3" max="3" width="8.125" customWidth="1"/>
    <col min="4" max="4" width="3.625" customWidth="1"/>
    <col min="5" max="5" width="7.125" customWidth="1"/>
    <col min="6" max="6" width="8.125" customWidth="1"/>
    <col min="7" max="7" width="1.625" hidden="1" customWidth="1"/>
    <col min="8" max="8" width="3.625" customWidth="1"/>
    <col min="9" max="9" width="7.125" customWidth="1"/>
    <col min="10" max="10" width="8.125" customWidth="1"/>
    <col min="11" max="11" width="3.625" customWidth="1"/>
    <col min="12" max="12" width="7.125" customWidth="1"/>
    <col min="13" max="13" width="8.125" customWidth="1"/>
    <col min="14" max="14" width="7" style="25" hidden="1" customWidth="1"/>
    <col min="15" max="18" width="11.125" customWidth="1"/>
    <col min="19" max="19" width="49.125" customWidth="1"/>
    <col min="22" max="22" width="2.625" customWidth="1"/>
    <col min="23" max="23" width="3.125" customWidth="1"/>
    <col min="24" max="24" width="3.625" style="132" customWidth="1"/>
    <col min="25" max="52" width="4.125" style="132" customWidth="1"/>
    <col min="53" max="59" width="4.125" style="132" hidden="1" customWidth="1"/>
    <col min="60" max="60" width="4.125" hidden="1" customWidth="1"/>
    <col min="64" max="64" width="9.125" style="4" customWidth="1"/>
    <col min="65" max="71" width="9.125" customWidth="1"/>
    <col min="76" max="76" width="11.125" style="159"/>
    <col min="77" max="77" width="11.625" style="157" bestFit="1" customWidth="1"/>
    <col min="81" max="81" width="4.125" style="537" customWidth="1"/>
    <col min="82" max="82" width="4.125" style="132" customWidth="1"/>
    <col min="83" max="101" width="4.125" style="541" customWidth="1"/>
    <col min="102" max="102" width="4.125" style="383" customWidth="1"/>
    <col min="103" max="118" width="4.75" style="383" customWidth="1"/>
    <col min="119" max="121" width="4.25" style="383" customWidth="1"/>
  </cols>
  <sheetData>
    <row r="1" spans="1:121" s="75" customFormat="1" ht="15" customHeight="1" thickBot="1">
      <c r="A1" s="2746" t="s">
        <v>598</v>
      </c>
      <c r="B1" s="2747"/>
      <c r="C1" s="2747"/>
      <c r="D1" s="2747"/>
      <c r="E1" s="2747"/>
      <c r="F1" s="2747"/>
      <c r="G1" s="2747"/>
      <c r="H1" s="2747"/>
      <c r="I1" s="2747"/>
      <c r="J1" s="2747"/>
      <c r="K1" s="2747"/>
      <c r="L1" s="2747"/>
      <c r="M1" s="2747"/>
      <c r="N1" s="1415"/>
      <c r="O1" s="1415"/>
      <c r="P1" s="1416"/>
      <c r="X1" s="132"/>
      <c r="Y1" s="132"/>
      <c r="Z1" s="132"/>
      <c r="AA1" s="132"/>
      <c r="AB1" s="132"/>
      <c r="AC1" s="132"/>
      <c r="AD1" s="132"/>
      <c r="AE1" s="132"/>
      <c r="AF1" s="132"/>
      <c r="AG1" s="132"/>
      <c r="AH1" s="132"/>
      <c r="AI1" s="132"/>
      <c r="AJ1" s="132"/>
      <c r="AK1" s="132"/>
      <c r="AL1" s="132"/>
      <c r="AM1" s="132"/>
      <c r="AN1" s="132"/>
      <c r="AO1" s="132"/>
      <c r="AP1" s="132"/>
      <c r="AQ1" s="132"/>
      <c r="AR1" s="132"/>
      <c r="AS1" s="132"/>
      <c r="AT1" s="132"/>
      <c r="AU1" s="132"/>
      <c r="AV1" s="132"/>
      <c r="AW1" s="132"/>
      <c r="AX1" s="132"/>
      <c r="AY1" s="132"/>
      <c r="AZ1" s="132"/>
      <c r="BA1" s="132"/>
      <c r="BB1" s="132"/>
      <c r="BC1" s="132"/>
      <c r="BD1" s="132"/>
      <c r="BE1" s="132"/>
      <c r="BF1" s="132"/>
      <c r="BG1" s="132"/>
      <c r="BL1" s="132"/>
      <c r="BX1" s="161"/>
      <c r="BY1" s="162"/>
      <c r="CC1" s="830"/>
      <c r="CD1" s="132"/>
      <c r="CE1" s="541"/>
      <c r="CF1" s="541"/>
      <c r="CG1" s="541"/>
      <c r="CH1" s="541"/>
      <c r="CI1" s="541"/>
      <c r="CJ1" s="541"/>
      <c r="CK1" s="541"/>
      <c r="CL1" s="541"/>
      <c r="CM1" s="541"/>
      <c r="CN1" s="541"/>
      <c r="CO1" s="541"/>
      <c r="CP1" s="541"/>
      <c r="CQ1" s="541"/>
      <c r="CR1" s="541"/>
      <c r="CS1" s="541"/>
      <c r="CT1" s="541"/>
      <c r="CU1" s="541"/>
      <c r="CV1" s="541"/>
      <c r="CW1" s="541"/>
      <c r="CX1" s="368"/>
      <c r="CY1" s="368"/>
      <c r="CZ1" s="368"/>
      <c r="DA1" s="368"/>
      <c r="DB1" s="368"/>
      <c r="DC1" s="368"/>
      <c r="DD1" s="368"/>
      <c r="DE1" s="368"/>
      <c r="DF1" s="368"/>
      <c r="DG1" s="368"/>
      <c r="DH1" s="368"/>
      <c r="DI1" s="368"/>
      <c r="DJ1" s="368"/>
      <c r="DK1" s="368"/>
      <c r="DL1" s="368"/>
      <c r="DM1" s="368"/>
      <c r="DN1" s="368"/>
      <c r="DO1" s="368"/>
      <c r="DP1" s="368"/>
      <c r="DQ1" s="368"/>
    </row>
    <row r="2" spans="1:121" s="75" customFormat="1" ht="15" customHeight="1">
      <c r="A2" s="2748"/>
      <c r="B2" s="2749"/>
      <c r="C2" s="2749"/>
      <c r="D2" s="2749"/>
      <c r="E2" s="2749"/>
      <c r="F2" s="2749"/>
      <c r="G2" s="2749"/>
      <c r="H2" s="2749"/>
      <c r="I2" s="2749"/>
      <c r="J2" s="2749"/>
      <c r="K2" s="2749"/>
      <c r="L2" s="2749"/>
      <c r="M2" s="2749"/>
      <c r="N2" s="1417"/>
      <c r="O2" s="1417"/>
      <c r="P2" s="1418"/>
      <c r="X2" s="132"/>
      <c r="Y2" s="132"/>
      <c r="Z2" s="132"/>
      <c r="AA2" s="132"/>
      <c r="AB2" s="132"/>
      <c r="AC2" s="132"/>
      <c r="AD2" s="132"/>
      <c r="AE2" s="132"/>
      <c r="AF2" s="132"/>
      <c r="AG2" s="132"/>
      <c r="AH2" s="132"/>
      <c r="AI2" s="132"/>
      <c r="AJ2" s="132"/>
      <c r="AK2" s="132"/>
      <c r="AL2" s="132"/>
      <c r="AM2" s="132"/>
      <c r="AN2" s="132"/>
      <c r="AO2" s="132"/>
      <c r="AP2" s="132"/>
      <c r="AQ2" s="132"/>
      <c r="AR2" s="132"/>
      <c r="AS2" s="132"/>
      <c r="AT2" s="132"/>
      <c r="AU2" s="132"/>
      <c r="AV2" s="132"/>
      <c r="AW2" s="132"/>
      <c r="AX2" s="132"/>
      <c r="AY2" s="132"/>
      <c r="AZ2" s="132"/>
      <c r="BA2" s="132"/>
      <c r="BB2" s="132"/>
      <c r="BC2" s="132"/>
      <c r="BD2" s="132"/>
      <c r="BE2" s="132"/>
      <c r="BF2" s="132"/>
      <c r="BG2" s="132"/>
      <c r="BL2" s="132"/>
      <c r="BX2" s="161"/>
      <c r="BY2" s="162"/>
      <c r="CC2" s="2664" t="s">
        <v>599</v>
      </c>
      <c r="CD2" s="2665"/>
      <c r="CE2" s="2665"/>
      <c r="CF2" s="2665"/>
      <c r="CG2" s="2665"/>
      <c r="CH2" s="2665"/>
      <c r="CI2" s="2665"/>
      <c r="CJ2" s="2665"/>
      <c r="CK2" s="2665"/>
      <c r="CL2" s="2665"/>
      <c r="CM2" s="2665"/>
      <c r="CN2" s="2665"/>
      <c r="CO2" s="2665"/>
      <c r="CP2" s="2665"/>
      <c r="CQ2" s="2665"/>
      <c r="CR2" s="2665"/>
      <c r="CS2" s="2665"/>
      <c r="CT2" s="2665"/>
      <c r="CU2" s="2665"/>
      <c r="CV2" s="2665"/>
      <c r="CW2" s="2666"/>
      <c r="CX2" s="338"/>
      <c r="CY2" s="368"/>
      <c r="CZ2" s="368"/>
      <c r="DA2" s="368"/>
      <c r="DB2" s="368"/>
      <c r="DC2" s="368"/>
      <c r="DD2" s="368"/>
      <c r="DE2" s="368"/>
      <c r="DF2" s="368"/>
      <c r="DG2" s="368"/>
      <c r="DH2" s="368"/>
      <c r="DI2" s="368"/>
      <c r="DJ2" s="368"/>
      <c r="DK2" s="368"/>
      <c r="DL2" s="368"/>
      <c r="DM2" s="368"/>
      <c r="DN2" s="368"/>
      <c r="DO2" s="368"/>
      <c r="DP2" s="368"/>
      <c r="DQ2" s="368"/>
    </row>
    <row r="3" spans="1:121" ht="9.75" hidden="1" customHeight="1">
      <c r="A3" s="2750" t="s">
        <v>11</v>
      </c>
      <c r="B3" s="2751"/>
      <c r="C3" s="2751"/>
      <c r="D3" s="2751"/>
      <c r="E3" s="2751"/>
      <c r="F3" s="2752"/>
      <c r="G3" s="160"/>
      <c r="H3" s="2750" t="s">
        <v>11</v>
      </c>
      <c r="I3" s="2751"/>
      <c r="J3" s="2751"/>
      <c r="K3" s="2751"/>
      <c r="L3" s="2751"/>
      <c r="M3" s="2752"/>
      <c r="P3" s="641"/>
      <c r="CC3" s="2667"/>
      <c r="CD3" s="2668"/>
      <c r="CE3" s="2668"/>
      <c r="CF3" s="2668"/>
      <c r="CG3" s="2668"/>
      <c r="CH3" s="2668"/>
      <c r="CI3" s="2668"/>
      <c r="CJ3" s="2668"/>
      <c r="CK3" s="2668"/>
      <c r="CL3" s="2668"/>
      <c r="CM3" s="2668"/>
      <c r="CN3" s="2668"/>
      <c r="CO3" s="2668"/>
      <c r="CP3" s="2668"/>
      <c r="CQ3" s="2668"/>
      <c r="CR3" s="2668"/>
      <c r="CS3" s="2668"/>
      <c r="CT3" s="2668"/>
      <c r="CU3" s="2668"/>
      <c r="CV3" s="2668"/>
      <c r="CW3" s="2669"/>
      <c r="CX3" s="558"/>
    </row>
    <row r="4" spans="1:121" ht="15.75" customHeight="1" thickBot="1">
      <c r="A4" s="2753" t="s">
        <v>226</v>
      </c>
      <c r="B4" s="2754"/>
      <c r="C4" s="2754"/>
      <c r="D4" s="2754"/>
      <c r="E4" s="2754"/>
      <c r="F4" s="2755"/>
      <c r="G4" s="160"/>
      <c r="H4" s="2753" t="s">
        <v>227</v>
      </c>
      <c r="I4" s="2754"/>
      <c r="J4" s="2754"/>
      <c r="K4" s="2754"/>
      <c r="L4" s="2754"/>
      <c r="M4" s="2755"/>
      <c r="O4" s="2131" t="s">
        <v>593</v>
      </c>
      <c r="P4" s="2673"/>
      <c r="CC4" s="2667"/>
      <c r="CD4" s="2668"/>
      <c r="CE4" s="2668"/>
      <c r="CF4" s="2668"/>
      <c r="CG4" s="2668"/>
      <c r="CH4" s="2668"/>
      <c r="CI4" s="2668"/>
      <c r="CJ4" s="2668"/>
      <c r="CK4" s="2668"/>
      <c r="CL4" s="2668"/>
      <c r="CM4" s="2668"/>
      <c r="CN4" s="2668"/>
      <c r="CO4" s="2668"/>
      <c r="CP4" s="2668"/>
      <c r="CQ4" s="2668"/>
      <c r="CR4" s="2668"/>
      <c r="CS4" s="2668"/>
      <c r="CT4" s="2668"/>
      <c r="CU4" s="2668"/>
      <c r="CV4" s="2668"/>
      <c r="CW4" s="2669"/>
      <c r="CX4" s="558"/>
    </row>
    <row r="5" spans="1:121" ht="15.75" hidden="1" customHeight="1" thickBot="1">
      <c r="A5" s="2706" t="s">
        <v>228</v>
      </c>
      <c r="B5" s="2707"/>
      <c r="C5" s="2707"/>
      <c r="D5" s="2707"/>
      <c r="E5" s="2707"/>
      <c r="F5" s="2708"/>
      <c r="G5" s="160"/>
      <c r="H5" s="2706" t="s">
        <v>228</v>
      </c>
      <c r="I5" s="2707"/>
      <c r="J5" s="2707"/>
      <c r="K5" s="2707"/>
      <c r="L5" s="2707"/>
      <c r="M5" s="2708"/>
      <c r="P5" s="641"/>
      <c r="CC5" s="2667"/>
      <c r="CD5" s="2668"/>
      <c r="CE5" s="2668"/>
      <c r="CF5" s="2668"/>
      <c r="CG5" s="2668"/>
      <c r="CH5" s="2668"/>
      <c r="CI5" s="2668"/>
      <c r="CJ5" s="2668"/>
      <c r="CK5" s="2668"/>
      <c r="CL5" s="2668"/>
      <c r="CM5" s="2668"/>
      <c r="CN5" s="2668"/>
      <c r="CO5" s="2668"/>
      <c r="CP5" s="2668"/>
      <c r="CQ5" s="2668"/>
      <c r="CR5" s="2668"/>
      <c r="CS5" s="2668"/>
      <c r="CT5" s="2668"/>
      <c r="CU5" s="2668"/>
      <c r="CV5" s="2668"/>
      <c r="CW5" s="2669"/>
      <c r="CX5" s="558"/>
    </row>
    <row r="6" spans="1:121" ht="7.5" customHeight="1" thickBot="1">
      <c r="A6" s="2744" t="s">
        <v>229</v>
      </c>
      <c r="B6" s="2674" t="s">
        <v>230</v>
      </c>
      <c r="C6" s="2676" t="s">
        <v>231</v>
      </c>
      <c r="D6" s="2695" t="s">
        <v>229</v>
      </c>
      <c r="E6" s="2674" t="s">
        <v>230</v>
      </c>
      <c r="F6" s="2676" t="str">
        <f>+C6</f>
        <v>Durchschn. Lebenserwar-tung im Alter x</v>
      </c>
      <c r="G6" s="892"/>
      <c r="H6" s="2744" t="s">
        <v>229</v>
      </c>
      <c r="I6" s="2674" t="s">
        <v>230</v>
      </c>
      <c r="J6" s="2676" t="str">
        <f>+F6</f>
        <v>Durchschn. Lebenserwar-tung im Alter x</v>
      </c>
      <c r="K6" s="2695" t="s">
        <v>229</v>
      </c>
      <c r="L6" s="2674" t="s">
        <v>230</v>
      </c>
      <c r="M6" s="2676" t="str">
        <f>+J6</f>
        <v>Durchschn. Lebenserwar-tung im Alter x</v>
      </c>
      <c r="O6" s="2674" t="s">
        <v>230</v>
      </c>
      <c r="P6" s="2676" t="str">
        <f>+L6</f>
        <v>Überlebende im Alter x</v>
      </c>
      <c r="CC6" s="2667"/>
      <c r="CD6" s="2668"/>
      <c r="CE6" s="2668"/>
      <c r="CF6" s="2668"/>
      <c r="CG6" s="2668"/>
      <c r="CH6" s="2668"/>
      <c r="CI6" s="2668"/>
      <c r="CJ6" s="2668"/>
      <c r="CK6" s="2668"/>
      <c r="CL6" s="2668"/>
      <c r="CM6" s="2668"/>
      <c r="CN6" s="2668"/>
      <c r="CO6" s="2668"/>
      <c r="CP6" s="2668"/>
      <c r="CQ6" s="2668"/>
      <c r="CR6" s="2668"/>
      <c r="CS6" s="2668"/>
      <c r="CT6" s="2668"/>
      <c r="CU6" s="2668"/>
      <c r="CV6" s="2668"/>
      <c r="CW6" s="2669"/>
      <c r="CX6" s="558"/>
    </row>
    <row r="7" spans="1:121" s="75" customFormat="1" ht="11.25" customHeight="1" thickBot="1">
      <c r="A7" s="2745"/>
      <c r="B7" s="2675" t="s">
        <v>232</v>
      </c>
      <c r="C7" s="2677" t="s">
        <v>233</v>
      </c>
      <c r="D7" s="2696"/>
      <c r="E7" s="2675" t="s">
        <v>232</v>
      </c>
      <c r="F7" s="2677" t="s">
        <v>233</v>
      </c>
      <c r="G7" s="893"/>
      <c r="H7" s="2745"/>
      <c r="I7" s="2675" t="s">
        <v>232</v>
      </c>
      <c r="J7" s="2677" t="s">
        <v>233</v>
      </c>
      <c r="K7" s="2696"/>
      <c r="L7" s="2675" t="s">
        <v>232</v>
      </c>
      <c r="M7" s="2677" t="s">
        <v>233</v>
      </c>
      <c r="N7" s="67"/>
      <c r="O7" s="2675" t="s">
        <v>232</v>
      </c>
      <c r="P7" s="2677" t="s">
        <v>233</v>
      </c>
      <c r="W7" s="2678" t="s">
        <v>234</v>
      </c>
      <c r="X7" s="2679"/>
      <c r="Y7" s="2679"/>
      <c r="Z7" s="2679"/>
      <c r="AA7" s="2679"/>
      <c r="AB7" s="2679"/>
      <c r="AC7" s="2679"/>
      <c r="AD7" s="2679"/>
      <c r="AE7" s="2679"/>
      <c r="AF7" s="2679"/>
      <c r="AG7" s="2679"/>
      <c r="AH7" s="2679"/>
      <c r="AI7" s="2679"/>
      <c r="AJ7" s="2679"/>
      <c r="AK7" s="2679"/>
      <c r="AL7" s="2679"/>
      <c r="AM7" s="2679"/>
      <c r="AN7" s="2679"/>
      <c r="AO7" s="2679"/>
      <c r="AP7" s="2679"/>
      <c r="AQ7" s="2679"/>
      <c r="AR7" s="2679"/>
      <c r="AS7" s="2679"/>
      <c r="AT7" s="2679"/>
      <c r="AU7" s="2679"/>
      <c r="AV7" s="2679"/>
      <c r="AW7" s="2679"/>
      <c r="AX7" s="2679"/>
      <c r="AY7" s="2679"/>
      <c r="AZ7" s="2679"/>
      <c r="BA7" s="2679"/>
      <c r="BB7" s="2679"/>
      <c r="BC7" s="2679"/>
      <c r="BD7" s="2679"/>
      <c r="BE7" s="2679"/>
      <c r="BF7" s="2679"/>
      <c r="BG7" s="2679"/>
      <c r="BH7" s="2680"/>
      <c r="BL7" s="132"/>
      <c r="BX7" s="161"/>
      <c r="BY7" s="162"/>
      <c r="CC7" s="2667"/>
      <c r="CD7" s="2668"/>
      <c r="CE7" s="2668"/>
      <c r="CF7" s="2668"/>
      <c r="CG7" s="2668"/>
      <c r="CH7" s="2668"/>
      <c r="CI7" s="2668"/>
      <c r="CJ7" s="2668"/>
      <c r="CK7" s="2668"/>
      <c r="CL7" s="2668"/>
      <c r="CM7" s="2668"/>
      <c r="CN7" s="2668"/>
      <c r="CO7" s="2668"/>
      <c r="CP7" s="2668"/>
      <c r="CQ7" s="2668"/>
      <c r="CR7" s="2668"/>
      <c r="CS7" s="2668"/>
      <c r="CT7" s="2668"/>
      <c r="CU7" s="2668"/>
      <c r="CV7" s="2668"/>
      <c r="CW7" s="2669"/>
      <c r="CX7" s="338"/>
      <c r="CY7" s="368"/>
      <c r="CZ7" s="368"/>
      <c r="DA7" s="368"/>
      <c r="DB7" s="368"/>
      <c r="DC7" s="368"/>
      <c r="DD7" s="368"/>
      <c r="DE7" s="368"/>
      <c r="DF7" s="368"/>
      <c r="DG7" s="368"/>
      <c r="DH7" s="368"/>
      <c r="DI7" s="368"/>
      <c r="DJ7" s="368"/>
      <c r="DK7" s="368"/>
      <c r="DL7" s="368"/>
      <c r="DM7" s="368"/>
      <c r="DN7" s="368"/>
      <c r="DO7" s="368"/>
      <c r="DP7" s="368"/>
      <c r="DQ7" s="368"/>
    </row>
    <row r="8" spans="1:121" s="75" customFormat="1" ht="11.25" customHeight="1" thickBot="1">
      <c r="A8" s="2745"/>
      <c r="B8" s="2675" t="s">
        <v>235</v>
      </c>
      <c r="C8" s="2677" t="s">
        <v>236</v>
      </c>
      <c r="D8" s="2696"/>
      <c r="E8" s="2675" t="s">
        <v>235</v>
      </c>
      <c r="F8" s="2677" t="s">
        <v>236</v>
      </c>
      <c r="G8" s="893"/>
      <c r="H8" s="2745"/>
      <c r="I8" s="2675" t="s">
        <v>235</v>
      </c>
      <c r="J8" s="2677" t="s">
        <v>236</v>
      </c>
      <c r="K8" s="2696"/>
      <c r="L8" s="2675" t="s">
        <v>235</v>
      </c>
      <c r="M8" s="2677" t="s">
        <v>236</v>
      </c>
      <c r="N8" s="67"/>
      <c r="O8" s="2675" t="s">
        <v>235</v>
      </c>
      <c r="P8" s="2677" t="s">
        <v>236</v>
      </c>
      <c r="S8" s="2697" t="s">
        <v>237</v>
      </c>
      <c r="T8" s="2698"/>
      <c r="U8" s="2699"/>
      <c r="W8" s="2681"/>
      <c r="X8" s="2682"/>
      <c r="Y8" s="2682"/>
      <c r="Z8" s="2682"/>
      <c r="AA8" s="2682"/>
      <c r="AB8" s="2682"/>
      <c r="AC8" s="2682"/>
      <c r="AD8" s="2682"/>
      <c r="AE8" s="2682"/>
      <c r="AF8" s="2682"/>
      <c r="AG8" s="2682"/>
      <c r="AH8" s="2682"/>
      <c r="AI8" s="2682"/>
      <c r="AJ8" s="2682"/>
      <c r="AK8" s="2682"/>
      <c r="AL8" s="2682"/>
      <c r="AM8" s="2682"/>
      <c r="AN8" s="2682"/>
      <c r="AO8" s="2682"/>
      <c r="AP8" s="2682"/>
      <c r="AQ8" s="2682"/>
      <c r="AR8" s="2682"/>
      <c r="AS8" s="2682"/>
      <c r="AT8" s="2682"/>
      <c r="AU8" s="2682"/>
      <c r="AV8" s="2682"/>
      <c r="AW8" s="2682"/>
      <c r="AX8" s="2682"/>
      <c r="AY8" s="2682"/>
      <c r="AZ8" s="2682"/>
      <c r="BA8" s="2682"/>
      <c r="BB8" s="2682"/>
      <c r="BC8" s="2682"/>
      <c r="BD8" s="2682"/>
      <c r="BE8" s="2682"/>
      <c r="BF8" s="2682"/>
      <c r="BG8" s="2682"/>
      <c r="BH8" s="2683"/>
      <c r="BL8" s="132"/>
      <c r="BX8" s="161"/>
      <c r="BY8" s="162"/>
      <c r="CC8" s="2670"/>
      <c r="CD8" s="2671"/>
      <c r="CE8" s="2671"/>
      <c r="CF8" s="2671"/>
      <c r="CG8" s="2671"/>
      <c r="CH8" s="2671"/>
      <c r="CI8" s="2671"/>
      <c r="CJ8" s="2671"/>
      <c r="CK8" s="2671"/>
      <c r="CL8" s="2671"/>
      <c r="CM8" s="2671"/>
      <c r="CN8" s="2671"/>
      <c r="CO8" s="2671"/>
      <c r="CP8" s="2671"/>
      <c r="CQ8" s="2671"/>
      <c r="CR8" s="2671"/>
      <c r="CS8" s="2671"/>
      <c r="CT8" s="2671"/>
      <c r="CU8" s="2671"/>
      <c r="CV8" s="2671"/>
      <c r="CW8" s="2672"/>
      <c r="CX8" s="338"/>
      <c r="CY8" s="368"/>
      <c r="CZ8" s="368"/>
      <c r="DA8" s="368"/>
      <c r="DB8" s="368"/>
      <c r="DC8" s="368"/>
      <c r="DD8" s="368"/>
      <c r="DE8" s="368"/>
      <c r="DF8" s="368"/>
      <c r="DG8" s="368"/>
      <c r="DH8" s="368"/>
      <c r="DI8" s="368"/>
      <c r="DJ8" s="368"/>
      <c r="DK8" s="368"/>
      <c r="DL8" s="368"/>
      <c r="DM8" s="368"/>
      <c r="DN8" s="368"/>
      <c r="DO8" s="368"/>
      <c r="DP8" s="368"/>
      <c r="DQ8" s="368"/>
    </row>
    <row r="9" spans="1:121" ht="7.5" customHeight="1">
      <c r="A9" s="2745"/>
      <c r="B9" s="2675"/>
      <c r="C9" s="2677" t="s">
        <v>235</v>
      </c>
      <c r="D9" s="2696"/>
      <c r="E9" s="2675"/>
      <c r="F9" s="2677" t="s">
        <v>235</v>
      </c>
      <c r="G9" s="892"/>
      <c r="H9" s="2745"/>
      <c r="I9" s="2675"/>
      <c r="J9" s="2677" t="s">
        <v>235</v>
      </c>
      <c r="K9" s="2696"/>
      <c r="L9" s="2675"/>
      <c r="M9" s="2677" t="s">
        <v>235</v>
      </c>
      <c r="O9" s="2675"/>
      <c r="P9" s="2677" t="s">
        <v>235</v>
      </c>
      <c r="S9" s="2700"/>
      <c r="T9" s="2701"/>
      <c r="U9" s="2702"/>
      <c r="W9" s="2709" t="s">
        <v>238</v>
      </c>
      <c r="X9" s="2710"/>
      <c r="Y9" s="2710"/>
      <c r="Z9" s="2710"/>
      <c r="AA9" s="2710"/>
      <c r="AB9" s="2710"/>
      <c r="AC9" s="2710"/>
      <c r="AD9" s="2710"/>
      <c r="AE9" s="2710"/>
      <c r="AF9" s="2710"/>
      <c r="AG9" s="2710"/>
      <c r="AH9" s="2710"/>
      <c r="AI9" s="2710"/>
      <c r="AJ9" s="2710"/>
      <c r="AK9" s="2710"/>
      <c r="AL9" s="2710"/>
      <c r="AM9" s="2710"/>
      <c r="AN9" s="2710"/>
      <c r="AO9" s="2710"/>
      <c r="AP9" s="2710"/>
      <c r="AQ9" s="2710"/>
      <c r="AR9" s="2710"/>
      <c r="AS9" s="2710"/>
      <c r="AT9" s="2710"/>
      <c r="AU9" s="2710"/>
      <c r="AV9" s="2710"/>
      <c r="AW9" s="2710"/>
      <c r="AX9" s="2710"/>
      <c r="AY9" s="2710"/>
      <c r="AZ9" s="2710"/>
      <c r="BA9" s="2710"/>
      <c r="BB9" s="2710"/>
      <c r="BC9" s="2710"/>
      <c r="BD9" s="2710"/>
      <c r="BE9" s="2710"/>
      <c r="BF9" s="2710"/>
      <c r="BG9" s="2710"/>
      <c r="BH9" s="2711"/>
      <c r="CC9" s="2660" t="s">
        <v>606</v>
      </c>
      <c r="CD9" s="2661"/>
      <c r="CE9" s="2661"/>
      <c r="CF9" s="2661"/>
      <c r="CG9" s="2661"/>
      <c r="CH9" s="2661"/>
      <c r="CI9" s="2661"/>
      <c r="CJ9" s="2661"/>
      <c r="CK9" s="2661"/>
      <c r="CL9" s="2661"/>
      <c r="CM9" s="2661"/>
      <c r="CN9" s="2661"/>
      <c r="CO9" s="2661"/>
      <c r="CP9" s="2661"/>
      <c r="CQ9" s="2661"/>
      <c r="CR9" s="2661"/>
      <c r="CS9" s="2661"/>
      <c r="CT9" s="2661"/>
      <c r="CU9" s="2661"/>
      <c r="CV9" s="2661"/>
      <c r="CW9" s="2662"/>
      <c r="CX9" s="558"/>
    </row>
    <row r="10" spans="1:121" ht="7.5" customHeight="1">
      <c r="A10" s="2745"/>
      <c r="B10" s="2675"/>
      <c r="C10" s="2677" t="s">
        <v>239</v>
      </c>
      <c r="D10" s="2696"/>
      <c r="E10" s="2675"/>
      <c r="F10" s="2677" t="s">
        <v>239</v>
      </c>
      <c r="G10" s="892"/>
      <c r="H10" s="2745"/>
      <c r="I10" s="2675"/>
      <c r="J10" s="2677" t="s">
        <v>239</v>
      </c>
      <c r="K10" s="2696"/>
      <c r="L10" s="2675"/>
      <c r="M10" s="2677" t="s">
        <v>239</v>
      </c>
      <c r="O10" s="2675"/>
      <c r="P10" s="2677" t="s">
        <v>239</v>
      </c>
      <c r="S10" s="2703"/>
      <c r="T10" s="2704"/>
      <c r="U10" s="2705"/>
      <c r="W10" s="2712"/>
      <c r="X10" s="2713"/>
      <c r="Y10" s="2713"/>
      <c r="Z10" s="2713"/>
      <c r="AA10" s="2713"/>
      <c r="AB10" s="2713"/>
      <c r="AC10" s="2713"/>
      <c r="AD10" s="2713"/>
      <c r="AE10" s="2713"/>
      <c r="AF10" s="2713"/>
      <c r="AG10" s="2713"/>
      <c r="AH10" s="2713"/>
      <c r="AI10" s="2713"/>
      <c r="AJ10" s="2713"/>
      <c r="AK10" s="2713"/>
      <c r="AL10" s="2713"/>
      <c r="AM10" s="2713"/>
      <c r="AN10" s="2713"/>
      <c r="AO10" s="2713"/>
      <c r="AP10" s="2713"/>
      <c r="AQ10" s="2713"/>
      <c r="AR10" s="2713"/>
      <c r="AS10" s="2713"/>
      <c r="AT10" s="2713"/>
      <c r="AU10" s="2713"/>
      <c r="AV10" s="2713"/>
      <c r="AW10" s="2713"/>
      <c r="AX10" s="2713"/>
      <c r="AY10" s="2713"/>
      <c r="AZ10" s="2713"/>
      <c r="BA10" s="2713"/>
      <c r="BB10" s="2713"/>
      <c r="BC10" s="2713"/>
      <c r="BD10" s="2713"/>
      <c r="BE10" s="2713"/>
      <c r="BF10" s="2713"/>
      <c r="BG10" s="2713"/>
      <c r="BH10" s="2714"/>
      <c r="CC10" s="2660"/>
      <c r="CD10" s="2661"/>
      <c r="CE10" s="2661"/>
      <c r="CF10" s="2661"/>
      <c r="CG10" s="2661"/>
      <c r="CH10" s="2661"/>
      <c r="CI10" s="2661"/>
      <c r="CJ10" s="2661"/>
      <c r="CK10" s="2661"/>
      <c r="CL10" s="2661"/>
      <c r="CM10" s="2661"/>
      <c r="CN10" s="2661"/>
      <c r="CO10" s="2661"/>
      <c r="CP10" s="2661"/>
      <c r="CQ10" s="2661"/>
      <c r="CR10" s="2661"/>
      <c r="CS10" s="2661"/>
      <c r="CT10" s="2661"/>
      <c r="CU10" s="2661"/>
      <c r="CV10" s="2661"/>
      <c r="CW10" s="2662"/>
      <c r="CX10" s="558"/>
    </row>
    <row r="11" spans="1:121">
      <c r="A11" s="2745"/>
      <c r="B11" s="163" t="s">
        <v>240</v>
      </c>
      <c r="C11" s="164" t="s">
        <v>241</v>
      </c>
      <c r="D11" s="2696"/>
      <c r="E11" s="163" t="s">
        <v>240</v>
      </c>
      <c r="F11" s="164" t="s">
        <v>241</v>
      </c>
      <c r="G11" s="894"/>
      <c r="H11" s="2745"/>
      <c r="I11" s="163" t="s">
        <v>594</v>
      </c>
      <c r="J11" s="164" t="s">
        <v>595</v>
      </c>
      <c r="K11" s="2696"/>
      <c r="L11" s="163" t="s">
        <v>594</v>
      </c>
      <c r="M11" s="164" t="s">
        <v>595</v>
      </c>
      <c r="O11" s="163" t="s">
        <v>596</v>
      </c>
      <c r="P11" s="164" t="s">
        <v>597</v>
      </c>
      <c r="S11" s="165"/>
      <c r="T11" s="166" t="s">
        <v>180</v>
      </c>
      <c r="U11" s="167" t="s">
        <v>181</v>
      </c>
      <c r="W11" s="168"/>
      <c r="X11" s="30"/>
      <c r="Y11" s="169">
        <v>40</v>
      </c>
      <c r="Z11" s="169">
        <f>+Y11+1</f>
        <v>41</v>
      </c>
      <c r="AA11" s="169">
        <f t="shared" ref="AA11:BH11" si="0">+Z11+1</f>
        <v>42</v>
      </c>
      <c r="AB11" s="169">
        <f t="shared" si="0"/>
        <v>43</v>
      </c>
      <c r="AC11" s="169">
        <f t="shared" si="0"/>
        <v>44</v>
      </c>
      <c r="AD11" s="169">
        <f t="shared" si="0"/>
        <v>45</v>
      </c>
      <c r="AE11" s="169">
        <f t="shared" si="0"/>
        <v>46</v>
      </c>
      <c r="AF11" s="169">
        <f t="shared" si="0"/>
        <v>47</v>
      </c>
      <c r="AG11" s="169">
        <f t="shared" si="0"/>
        <v>48</v>
      </c>
      <c r="AH11" s="169">
        <f t="shared" si="0"/>
        <v>49</v>
      </c>
      <c r="AI11" s="169">
        <f t="shared" si="0"/>
        <v>50</v>
      </c>
      <c r="AJ11" s="169">
        <f t="shared" si="0"/>
        <v>51</v>
      </c>
      <c r="AK11" s="169">
        <f t="shared" si="0"/>
        <v>52</v>
      </c>
      <c r="AL11" s="169">
        <f t="shared" si="0"/>
        <v>53</v>
      </c>
      <c r="AM11" s="169">
        <f t="shared" si="0"/>
        <v>54</v>
      </c>
      <c r="AN11" s="169">
        <f t="shared" si="0"/>
        <v>55</v>
      </c>
      <c r="AO11" s="169">
        <f t="shared" si="0"/>
        <v>56</v>
      </c>
      <c r="AP11" s="169">
        <f t="shared" si="0"/>
        <v>57</v>
      </c>
      <c r="AQ11" s="169">
        <f t="shared" si="0"/>
        <v>58</v>
      </c>
      <c r="AR11" s="169">
        <f t="shared" si="0"/>
        <v>59</v>
      </c>
      <c r="AS11" s="169">
        <f t="shared" si="0"/>
        <v>60</v>
      </c>
      <c r="AT11" s="169">
        <f t="shared" si="0"/>
        <v>61</v>
      </c>
      <c r="AU11" s="169">
        <f t="shared" si="0"/>
        <v>62</v>
      </c>
      <c r="AV11" s="169">
        <f t="shared" si="0"/>
        <v>63</v>
      </c>
      <c r="AW11" s="169">
        <f t="shared" si="0"/>
        <v>64</v>
      </c>
      <c r="AX11" s="169">
        <f t="shared" si="0"/>
        <v>65</v>
      </c>
      <c r="AY11" s="169">
        <f t="shared" si="0"/>
        <v>66</v>
      </c>
      <c r="AZ11" s="169">
        <f t="shared" si="0"/>
        <v>67</v>
      </c>
      <c r="BA11" s="169">
        <f t="shared" si="0"/>
        <v>68</v>
      </c>
      <c r="BB11" s="169">
        <f t="shared" si="0"/>
        <v>69</v>
      </c>
      <c r="BC11" s="169">
        <f t="shared" si="0"/>
        <v>70</v>
      </c>
      <c r="BD11" s="169">
        <f t="shared" si="0"/>
        <v>71</v>
      </c>
      <c r="BE11" s="169">
        <f t="shared" si="0"/>
        <v>72</v>
      </c>
      <c r="BF11" s="169">
        <f t="shared" si="0"/>
        <v>73</v>
      </c>
      <c r="BG11" s="169">
        <f t="shared" si="0"/>
        <v>74</v>
      </c>
      <c r="BH11" s="170">
        <f t="shared" si="0"/>
        <v>75</v>
      </c>
      <c r="CC11" s="2693" t="s">
        <v>600</v>
      </c>
      <c r="CD11" s="2694"/>
      <c r="CE11" s="2694"/>
      <c r="CF11" s="2694"/>
      <c r="CG11" s="2694"/>
      <c r="CH11" s="552">
        <v>67</v>
      </c>
      <c r="CI11" s="2692" t="s">
        <v>601</v>
      </c>
      <c r="CJ11" s="2692"/>
      <c r="CK11" s="2692"/>
      <c r="CL11" s="2692"/>
      <c r="CM11" s="2692"/>
      <c r="CN11" s="2692"/>
      <c r="CO11" s="552" t="s">
        <v>393</v>
      </c>
      <c r="CP11" s="2692" t="s">
        <v>603</v>
      </c>
      <c r="CQ11" s="2692"/>
      <c r="CR11" s="2692"/>
      <c r="CS11" s="2692"/>
      <c r="CT11" s="2663">
        <v>18255</v>
      </c>
      <c r="CU11" s="2663"/>
      <c r="CV11" s="2663"/>
      <c r="CW11" s="553"/>
      <c r="CX11" s="558"/>
    </row>
    <row r="12" spans="1:121" ht="14.25">
      <c r="A12" s="171"/>
      <c r="B12" s="172"/>
      <c r="C12" s="173"/>
      <c r="D12" s="174"/>
      <c r="E12" s="172"/>
      <c r="F12" s="173"/>
      <c r="G12" s="160"/>
      <c r="H12" s="171"/>
      <c r="I12" s="172"/>
      <c r="J12" s="173"/>
      <c r="K12" s="174"/>
      <c r="L12" s="172"/>
      <c r="M12" s="173"/>
      <c r="O12" s="172"/>
      <c r="P12" s="173"/>
      <c r="S12" s="175" t="s">
        <v>7</v>
      </c>
      <c r="T12" s="51">
        <v>50</v>
      </c>
      <c r="U12" s="176">
        <v>50</v>
      </c>
      <c r="W12" s="2716" t="s">
        <v>242</v>
      </c>
      <c r="X12" s="30">
        <v>40</v>
      </c>
      <c r="Y12" s="177"/>
      <c r="Z12" s="178">
        <f t="shared" ref="Z12:BH12" si="1">VLOOKUP(Z$11,Sterbetafel,2)/VLOOKUP($X12,Sterbetafel,2)</f>
        <v>0.99876721819219172</v>
      </c>
      <c r="AA12" s="178">
        <f t="shared" si="1"/>
        <v>0.99731029423750917</v>
      </c>
      <c r="AB12" s="178">
        <f t="shared" si="1"/>
        <v>0.9959043116798435</v>
      </c>
      <c r="AC12" s="178">
        <f t="shared" si="1"/>
        <v>0.9943149400929171</v>
      </c>
      <c r="AD12" s="178">
        <f t="shared" si="1"/>
        <v>0.99259312087374685</v>
      </c>
      <c r="AE12" s="178">
        <f t="shared" si="1"/>
        <v>0.99072866574292928</v>
      </c>
      <c r="AF12" s="178">
        <f t="shared" si="1"/>
        <v>0.98868082158285109</v>
      </c>
      <c r="AG12" s="178">
        <f t="shared" si="1"/>
        <v>0.98637827043768844</v>
      </c>
      <c r="AH12" s="178">
        <f t="shared" si="1"/>
        <v>0.98379044746923139</v>
      </c>
      <c r="AI12" s="178">
        <f t="shared" si="1"/>
        <v>0.9808969761186731</v>
      </c>
      <c r="AJ12" s="178">
        <f t="shared" si="1"/>
        <v>0.97774879778303037</v>
      </c>
      <c r="AK12" s="178">
        <f t="shared" si="1"/>
        <v>0.97424402966826962</v>
      </c>
      <c r="AL12" s="178">
        <f t="shared" si="1"/>
        <v>0.97035210693618057</v>
      </c>
      <c r="AM12" s="178">
        <f t="shared" si="1"/>
        <v>0.96597114679272966</v>
      </c>
      <c r="AN12" s="178">
        <f t="shared" si="1"/>
        <v>0.96114190235553021</v>
      </c>
      <c r="AO12" s="178">
        <f t="shared" si="1"/>
        <v>0.95567079631591811</v>
      </c>
      <c r="AP12" s="178">
        <f t="shared" si="1"/>
        <v>0.94961895835031385</v>
      </c>
      <c r="AQ12" s="178">
        <f t="shared" si="1"/>
        <v>0.94290488222349012</v>
      </c>
      <c r="AR12" s="178">
        <f t="shared" si="1"/>
        <v>0.93562026245007746</v>
      </c>
      <c r="AS12" s="178">
        <f t="shared" si="1"/>
        <v>0.9274900154861847</v>
      </c>
      <c r="AT12" s="178">
        <f t="shared" si="1"/>
        <v>0.918626212405249</v>
      </c>
      <c r="AU12" s="178">
        <f t="shared" si="1"/>
        <v>0.90889640557502649</v>
      </c>
      <c r="AV12" s="178">
        <f t="shared" si="1"/>
        <v>0.89821908876029011</v>
      </c>
      <c r="AW12" s="178">
        <f t="shared" si="1"/>
        <v>0.88658407368163661</v>
      </c>
      <c r="AX12" s="178">
        <f t="shared" si="1"/>
        <v>0.87405249001548624</v>
      </c>
      <c r="AY12" s="178">
        <f t="shared" si="1"/>
        <v>0.86063452604124213</v>
      </c>
      <c r="AZ12" s="178">
        <f t="shared" si="1"/>
        <v>0.84617735756785395</v>
      </c>
      <c r="BA12" s="178">
        <f t="shared" si="1"/>
        <v>0.83087456190398568</v>
      </c>
      <c r="BB12" s="178">
        <f t="shared" si="1"/>
        <v>0.81456312657918328</v>
      </c>
      <c r="BC12" s="178">
        <f t="shared" si="1"/>
        <v>0.79738568750509409</v>
      </c>
      <c r="BD12" s="178">
        <f t="shared" si="1"/>
        <v>0.77943393919634851</v>
      </c>
      <c r="BE12" s="178">
        <f t="shared" si="1"/>
        <v>0.75999470209471021</v>
      </c>
      <c r="BF12" s="178">
        <f t="shared" si="1"/>
        <v>0.74002567446409651</v>
      </c>
      <c r="BG12" s="178">
        <f t="shared" si="1"/>
        <v>0.71869141739343056</v>
      </c>
      <c r="BH12" s="179">
        <f t="shared" si="1"/>
        <v>0.69627720270600701</v>
      </c>
      <c r="CC12" s="545" t="s">
        <v>7</v>
      </c>
      <c r="CD12" s="542">
        <v>5.0000000000000001E-3</v>
      </c>
      <c r="CE12" s="542">
        <v>6.0000000000000001E-3</v>
      </c>
      <c r="CF12" s="542">
        <v>7.0000000000000001E-3</v>
      </c>
      <c r="CG12" s="542">
        <v>8.0000000000000002E-3</v>
      </c>
      <c r="CH12" s="542">
        <v>8.9999999999999993E-3</v>
      </c>
      <c r="CI12" s="542">
        <v>0.01</v>
      </c>
      <c r="CJ12" s="542">
        <v>1.0999999999999999E-2</v>
      </c>
      <c r="CK12" s="542">
        <v>1.2E-2</v>
      </c>
      <c r="CL12" s="542">
        <v>1.2999999999999999E-2</v>
      </c>
      <c r="CM12" s="542">
        <v>1.4E-2</v>
      </c>
      <c r="CN12" s="542">
        <v>1.4999999999999999E-2</v>
      </c>
      <c r="CO12" s="542">
        <v>1.6E-2</v>
      </c>
      <c r="CP12" s="542">
        <v>1.7000000000000001E-2</v>
      </c>
      <c r="CQ12" s="542">
        <v>1.7999999999999999E-2</v>
      </c>
      <c r="CR12" s="542">
        <v>1.9E-2</v>
      </c>
      <c r="CS12" s="542">
        <v>0.02</v>
      </c>
      <c r="CT12" s="542">
        <v>2.1000000000000001E-2</v>
      </c>
      <c r="CU12" s="542">
        <v>2.1999999999999999E-2</v>
      </c>
      <c r="CV12" s="542">
        <v>2.3E-2</v>
      </c>
      <c r="CW12" s="546">
        <v>2.4E-2</v>
      </c>
      <c r="CX12" s="558"/>
    </row>
    <row r="13" spans="1:121" thickBot="1">
      <c r="A13" s="180">
        <v>0</v>
      </c>
      <c r="B13" s="181">
        <v>100000</v>
      </c>
      <c r="C13" s="182">
        <v>78.64</v>
      </c>
      <c r="D13" s="183"/>
      <c r="E13" s="181"/>
      <c r="F13" s="182"/>
      <c r="G13" s="160"/>
      <c r="H13" s="180">
        <v>0</v>
      </c>
      <c r="I13" s="181">
        <v>100000</v>
      </c>
      <c r="J13" s="182">
        <v>83.4</v>
      </c>
      <c r="K13" s="183"/>
      <c r="L13" s="181"/>
      <c r="M13" s="182"/>
      <c r="O13" s="181">
        <f>+(I13+B13)/2</f>
        <v>100000</v>
      </c>
      <c r="P13" s="182">
        <f>+(J13+C13)/2</f>
        <v>81.02000000000001</v>
      </c>
      <c r="S13" s="184" t="s">
        <v>243</v>
      </c>
      <c r="T13" s="185">
        <f>VLOOKUP(T12,Sterbetafel,2)</f>
        <v>96277</v>
      </c>
      <c r="U13" s="186">
        <f>VLOOKUP(U12,Sterbetafel,9)</f>
        <v>97841</v>
      </c>
      <c r="W13" s="2716"/>
      <c r="X13" s="30">
        <v>41</v>
      </c>
      <c r="Y13" s="187">
        <f t="shared" ref="Y13:Y47" si="2">VLOOKUP($X13,Sterbetafel,9)/VLOOKUP(Y$11,Sterbetafel,9)</f>
        <v>0.99937311048422162</v>
      </c>
      <c r="Z13" s="177"/>
      <c r="AA13" s="178">
        <f t="shared" ref="AA13:BH13" si="3">VLOOKUP(AA$11,Sterbetafel,2)/VLOOKUP($X13,Sterbetafel,2)</f>
        <v>0.9985412777590762</v>
      </c>
      <c r="AB13" s="178">
        <f t="shared" si="3"/>
        <v>0.99713355979231055</v>
      </c>
      <c r="AC13" s="178">
        <f t="shared" si="3"/>
        <v>0.99554222643857559</v>
      </c>
      <c r="AD13" s="178">
        <f t="shared" si="3"/>
        <v>0.99381828197202926</v>
      </c>
      <c r="AE13" s="178">
        <f t="shared" si="3"/>
        <v>0.99195152553784005</v>
      </c>
      <c r="AF13" s="178">
        <f t="shared" si="3"/>
        <v>0.98990115371668141</v>
      </c>
      <c r="AG13" s="178">
        <f t="shared" si="3"/>
        <v>0.98759576052473197</v>
      </c>
      <c r="AH13" s="178">
        <f t="shared" si="3"/>
        <v>0.98500474339749666</v>
      </c>
      <c r="AI13" s="178">
        <f t="shared" si="3"/>
        <v>0.98210770062531239</v>
      </c>
      <c r="AJ13" s="178">
        <f t="shared" si="3"/>
        <v>0.97895563648233719</v>
      </c>
      <c r="AK13" s="178">
        <f t="shared" si="3"/>
        <v>0.97544654242025486</v>
      </c>
      <c r="AL13" s="178">
        <f t="shared" si="3"/>
        <v>0.97154981587457034</v>
      </c>
      <c r="AM13" s="178">
        <f t="shared" si="3"/>
        <v>0.96716344829696732</v>
      </c>
      <c r="AN13" s="178">
        <f t="shared" si="3"/>
        <v>0.96232824310677234</v>
      </c>
      <c r="AO13" s="178">
        <f t="shared" si="3"/>
        <v>0.95685038406218437</v>
      </c>
      <c r="AP13" s="178">
        <f t="shared" si="3"/>
        <v>0.95079107629219328</v>
      </c>
      <c r="AQ13" s="178">
        <f t="shared" si="3"/>
        <v>0.94406871295814587</v>
      </c>
      <c r="AR13" s="178">
        <f t="shared" si="3"/>
        <v>0.93677510175352696</v>
      </c>
      <c r="AS13" s="178">
        <f t="shared" si="3"/>
        <v>0.9286348195978823</v>
      </c>
      <c r="AT13" s="178">
        <f t="shared" si="3"/>
        <v>0.91976007589435993</v>
      </c>
      <c r="AU13" s="178">
        <f t="shared" si="3"/>
        <v>0.91001825953014859</v>
      </c>
      <c r="AV13" s="178">
        <f t="shared" si="3"/>
        <v>0.89932776366659528</v>
      </c>
      <c r="AW13" s="178">
        <f t="shared" si="3"/>
        <v>0.88767838744886818</v>
      </c>
      <c r="AX13" s="178">
        <f t="shared" si="3"/>
        <v>0.87513133600595727</v>
      </c>
      <c r="AY13" s="178">
        <f t="shared" si="3"/>
        <v>0.86169681019269417</v>
      </c>
      <c r="AZ13" s="178">
        <f t="shared" si="3"/>
        <v>0.84722179718660429</v>
      </c>
      <c r="BA13" s="178">
        <f t="shared" si="3"/>
        <v>0.83190011322948865</v>
      </c>
      <c r="BB13" s="178">
        <f t="shared" si="3"/>
        <v>0.81556854464404116</v>
      </c>
      <c r="BC13" s="178">
        <f t="shared" si="3"/>
        <v>0.7983699033979047</v>
      </c>
      <c r="BD13" s="178">
        <f t="shared" si="3"/>
        <v>0.78039599718456409</v>
      </c>
      <c r="BE13" s="178">
        <f t="shared" si="3"/>
        <v>0.76093276616580474</v>
      </c>
      <c r="BF13" s="178">
        <f t="shared" si="3"/>
        <v>0.74093909069580033</v>
      </c>
      <c r="BG13" s="178">
        <f t="shared" si="3"/>
        <v>0.71957850067835682</v>
      </c>
      <c r="BH13" s="179">
        <f t="shared" si="3"/>
        <v>0.69713662004876009</v>
      </c>
      <c r="CC13" s="545">
        <v>30</v>
      </c>
      <c r="CD13" s="543">
        <f t="shared" ref="CD13:CM22" si="4">(((1+CD$12)^$CA$15-1)/CD$12)*$CA$18*(1+CD$12)^($CH$11-$CC13)*12</f>
        <v>265.9232392165593</v>
      </c>
      <c r="CE13" s="543">
        <f t="shared" si="4"/>
        <v>278.2266779897472</v>
      </c>
      <c r="CF13" s="543">
        <f t="shared" si="4"/>
        <v>291.09372978359448</v>
      </c>
      <c r="CG13" s="543">
        <f t="shared" si="4"/>
        <v>304.54995309756288</v>
      </c>
      <c r="CH13" s="543">
        <f t="shared" si="4"/>
        <v>318.6220532952558</v>
      </c>
      <c r="CI13" s="543">
        <f t="shared" si="4"/>
        <v>333.3379334960465</v>
      </c>
      <c r="CJ13" s="543">
        <f t="shared" si="4"/>
        <v>348.72674769800022</v>
      </c>
      <c r="CK13" s="543">
        <f t="shared" si="4"/>
        <v>364.81895622905074</v>
      </c>
      <c r="CL13" s="543">
        <f t="shared" si="4"/>
        <v>381.64638362680489</v>
      </c>
      <c r="CM13" s="543">
        <f t="shared" si="4"/>
        <v>399.24227905230873</v>
      </c>
      <c r="CN13" s="543">
        <f t="shared" ref="CN13:CW22" si="5">(((1+CN$12)^$CA$15-1)/CN$12)*$CA$18*(1+CN$12)^($CH$11-$CC13)*12</f>
        <v>417.641379346966</v>
      </c>
      <c r="CO13" s="543">
        <f t="shared" si="5"/>
        <v>436.87997484707296</v>
      </c>
      <c r="CP13" s="543">
        <f t="shared" si="5"/>
        <v>456.99597807465352</v>
      </c>
      <c r="CQ13" s="543">
        <f t="shared" si="5"/>
        <v>478.02899542904026</v>
      </c>
      <c r="CR13" s="543">
        <f t="shared" si="5"/>
        <v>500.02040200819783</v>
      </c>
      <c r="CS13" s="543">
        <f t="shared" si="5"/>
        <v>523.01341969500049</v>
      </c>
      <c r="CT13" s="543">
        <f t="shared" si="5"/>
        <v>547.05319864871979</v>
      </c>
      <c r="CU13" s="543">
        <f t="shared" si="5"/>
        <v>572.18690234859946</v>
      </c>
      <c r="CV13" s="543">
        <f t="shared" si="5"/>
        <v>598.46379634197001</v>
      </c>
      <c r="CW13" s="547">
        <f t="shared" si="5"/>
        <v>625.93534085650276</v>
      </c>
      <c r="CX13" s="558"/>
      <c r="CY13" s="540"/>
      <c r="CZ13" s="540"/>
      <c r="DA13" s="540"/>
      <c r="DB13" s="540"/>
      <c r="DC13" s="540"/>
      <c r="DD13" s="540"/>
      <c r="DE13" s="540"/>
      <c r="DF13" s="540"/>
      <c r="DG13" s="540"/>
      <c r="DH13" s="540"/>
      <c r="DI13" s="540"/>
      <c r="DJ13" s="540"/>
      <c r="DK13" s="540"/>
      <c r="DL13" s="539">
        <v>3.9E-2</v>
      </c>
      <c r="DM13" s="539">
        <v>0.04</v>
      </c>
      <c r="DN13" s="539">
        <v>4.1000000000000002E-2</v>
      </c>
      <c r="DO13" s="539">
        <v>4.2000000000000003E-2</v>
      </c>
      <c r="DP13" s="539">
        <v>4.2999999999999997E-2</v>
      </c>
      <c r="DQ13" s="539">
        <v>4.3999999999999997E-2</v>
      </c>
    </row>
    <row r="14" spans="1:121" ht="14.25">
      <c r="A14" s="171">
        <v>1</v>
      </c>
      <c r="B14" s="188">
        <v>99661</v>
      </c>
      <c r="C14" s="189">
        <v>77.900000000000006</v>
      </c>
      <c r="D14" s="171">
        <v>51</v>
      </c>
      <c r="E14" s="188">
        <f>+B64</f>
        <v>95968</v>
      </c>
      <c r="F14" s="189">
        <f>+C64</f>
        <v>29.44</v>
      </c>
      <c r="G14" s="160"/>
      <c r="H14" s="171">
        <v>1</v>
      </c>
      <c r="I14" s="188">
        <v>99711</v>
      </c>
      <c r="J14" s="189">
        <v>82.64</v>
      </c>
      <c r="K14" s="171">
        <v>51</v>
      </c>
      <c r="L14" s="188">
        <f>+I64</f>
        <v>97661</v>
      </c>
      <c r="M14" s="189">
        <f>+J64</f>
        <v>33.58</v>
      </c>
      <c r="O14" s="188">
        <f t="shared" ref="O14:O77" si="6">+(I14+B14)/2</f>
        <v>99686</v>
      </c>
      <c r="P14" s="189">
        <f t="shared" ref="P14:P77" si="7">+(J14+C14)/2</f>
        <v>80.27000000000001</v>
      </c>
      <c r="S14" s="175" t="s">
        <v>179</v>
      </c>
      <c r="T14" s="51">
        <v>67</v>
      </c>
      <c r="U14" s="176">
        <v>67</v>
      </c>
      <c r="W14" s="2716"/>
      <c r="X14" s="30">
        <v>42</v>
      </c>
      <c r="Y14" s="187">
        <f t="shared" si="2"/>
        <v>0.99863499863499861</v>
      </c>
      <c r="Z14" s="187">
        <f t="shared" ref="Z14:Z47" si="8">VLOOKUP($X14,Sterbetafel,9)/VLOOKUP(Z$11,Sterbetafel,9)</f>
        <v>0.9992614251459444</v>
      </c>
      <c r="AA14" s="177"/>
      <c r="AB14" s="178">
        <f t="shared" ref="AB14:BH14" si="9">VLOOKUP(AB$11,Sterbetafel,2)/VLOOKUP($X14,Sterbetafel,2)</f>
        <v>0.99859022556390975</v>
      </c>
      <c r="AC14" s="178">
        <f t="shared" si="9"/>
        <v>0.99699656750572085</v>
      </c>
      <c r="AD14" s="178">
        <f t="shared" si="9"/>
        <v>0.9952701046093495</v>
      </c>
      <c r="AE14" s="178">
        <f t="shared" si="9"/>
        <v>0.99340062111801242</v>
      </c>
      <c r="AF14" s="178">
        <f t="shared" si="9"/>
        <v>0.99134725400457668</v>
      </c>
      <c r="AG14" s="178">
        <f t="shared" si="9"/>
        <v>0.98903849297155932</v>
      </c>
      <c r="AH14" s="178">
        <f t="shared" si="9"/>
        <v>0.9864436907486106</v>
      </c>
      <c r="AI14" s="178">
        <f t="shared" si="9"/>
        <v>0.98354241582216406</v>
      </c>
      <c r="AJ14" s="178">
        <f t="shared" si="9"/>
        <v>0.98038574697613601</v>
      </c>
      <c r="AK14" s="178">
        <f t="shared" si="9"/>
        <v>0.97687152664269372</v>
      </c>
      <c r="AL14" s="178">
        <f t="shared" si="9"/>
        <v>0.97296910755148747</v>
      </c>
      <c r="AM14" s="178">
        <f t="shared" si="9"/>
        <v>0.96857633213468453</v>
      </c>
      <c r="AN14" s="178">
        <f t="shared" si="9"/>
        <v>0.96373406341941814</v>
      </c>
      <c r="AO14" s="178">
        <f t="shared" si="9"/>
        <v>0.95824820202680616</v>
      </c>
      <c r="AP14" s="178">
        <f t="shared" si="9"/>
        <v>0.95218004249754817</v>
      </c>
      <c r="AQ14" s="178">
        <f t="shared" si="9"/>
        <v>0.94544785877737825</v>
      </c>
      <c r="AR14" s="178">
        <f t="shared" si="9"/>
        <v>0.93814359267734548</v>
      </c>
      <c r="AS14" s="178">
        <f t="shared" si="9"/>
        <v>0.92999141876430202</v>
      </c>
      <c r="AT14" s="178">
        <f t="shared" si="9"/>
        <v>0.92110371036286365</v>
      </c>
      <c r="AU14" s="178">
        <f t="shared" si="9"/>
        <v>0.91134766263484801</v>
      </c>
      <c r="AV14" s="178">
        <f t="shared" si="9"/>
        <v>0.90064154952598885</v>
      </c>
      <c r="AW14" s="178">
        <f t="shared" si="9"/>
        <v>0.8889751552795031</v>
      </c>
      <c r="AX14" s="178">
        <f t="shared" si="9"/>
        <v>0.87640977443609025</v>
      </c>
      <c r="AY14" s="178">
        <f t="shared" si="9"/>
        <v>0.86295562275253346</v>
      </c>
      <c r="AZ14" s="178">
        <f t="shared" si="9"/>
        <v>0.84845946387708404</v>
      </c>
      <c r="BA14" s="178">
        <f t="shared" si="9"/>
        <v>0.83311539718862371</v>
      </c>
      <c r="BB14" s="178">
        <f t="shared" si="9"/>
        <v>0.81675997057862049</v>
      </c>
      <c r="BC14" s="178">
        <f t="shared" si="9"/>
        <v>0.79953620464203989</v>
      </c>
      <c r="BD14" s="178">
        <f t="shared" si="9"/>
        <v>0.78153604118993136</v>
      </c>
      <c r="BE14" s="178">
        <f t="shared" si="9"/>
        <v>0.76204437724746654</v>
      </c>
      <c r="BF14" s="178">
        <f t="shared" si="9"/>
        <v>0.74202149395227202</v>
      </c>
      <c r="BG14" s="178">
        <f t="shared" si="9"/>
        <v>0.72062969924812026</v>
      </c>
      <c r="BH14" s="179">
        <f t="shared" si="9"/>
        <v>0.69815503432494275</v>
      </c>
      <c r="BZ14" s="2690" t="s">
        <v>602</v>
      </c>
      <c r="CA14" s="2691"/>
      <c r="CC14" s="545">
        <v>31</v>
      </c>
      <c r="CD14" s="544">
        <f t="shared" si="4"/>
        <v>264.60023802642723</v>
      </c>
      <c r="CE14" s="544">
        <f t="shared" si="4"/>
        <v>276.56727434368509</v>
      </c>
      <c r="CF14" s="544">
        <f t="shared" si="4"/>
        <v>289.07023811677698</v>
      </c>
      <c r="CG14" s="544">
        <f t="shared" si="4"/>
        <v>302.13288997774089</v>
      </c>
      <c r="CH14" s="544">
        <f t="shared" si="4"/>
        <v>315.78003299827139</v>
      </c>
      <c r="CI14" s="544">
        <f t="shared" si="4"/>
        <v>330.03755791687763</v>
      </c>
      <c r="CJ14" s="544">
        <f t="shared" si="4"/>
        <v>344.93249030464909</v>
      </c>
      <c r="CK14" s="544">
        <f t="shared" si="4"/>
        <v>360.49303975202645</v>
      </c>
      <c r="CL14" s="544">
        <f t="shared" si="4"/>
        <v>376.74865116170281</v>
      </c>
      <c r="CM14" s="544">
        <f t="shared" si="4"/>
        <v>393.73005823699077</v>
      </c>
      <c r="CN14" s="544">
        <f t="shared" si="5"/>
        <v>411.46933925809469</v>
      </c>
      <c r="CO14" s="544">
        <f t="shared" si="5"/>
        <v>429.99997524318195</v>
      </c>
      <c r="CP14" s="544">
        <f t="shared" si="5"/>
        <v>449.35691059454626</v>
      </c>
      <c r="CQ14" s="544">
        <f t="shared" si="5"/>
        <v>469.57661633501016</v>
      </c>
      <c r="CR14" s="544">
        <f t="shared" si="5"/>
        <v>490.69715604337398</v>
      </c>
      <c r="CS14" s="544">
        <f t="shared" si="5"/>
        <v>512.75825460294163</v>
      </c>
      <c r="CT14" s="544">
        <f t="shared" si="5"/>
        <v>535.80136988121433</v>
      </c>
      <c r="CU14" s="544">
        <f t="shared" si="5"/>
        <v>559.8697674643829</v>
      </c>
      <c r="CV14" s="544">
        <f t="shared" si="5"/>
        <v>585.00859857475075</v>
      </c>
      <c r="CW14" s="548">
        <f t="shared" si="5"/>
        <v>611.26498130517848</v>
      </c>
      <c r="CX14" s="559"/>
    </row>
    <row r="15" spans="1:121" ht="14.25">
      <c r="A15" s="180">
        <v>2</v>
      </c>
      <c r="B15" s="181">
        <v>99637</v>
      </c>
      <c r="C15" s="182">
        <v>76.92</v>
      </c>
      <c r="D15" s="180">
        <v>52</v>
      </c>
      <c r="E15" s="181">
        <f t="shared" ref="E15:F63" si="10">+B65</f>
        <v>95624</v>
      </c>
      <c r="F15" s="182">
        <f t="shared" si="10"/>
        <v>28.54</v>
      </c>
      <c r="G15" s="160"/>
      <c r="H15" s="180">
        <v>2</v>
      </c>
      <c r="I15" s="181">
        <v>99689</v>
      </c>
      <c r="J15" s="182">
        <v>81.66</v>
      </c>
      <c r="K15" s="180">
        <v>52</v>
      </c>
      <c r="L15" s="181">
        <f t="shared" ref="L15:M63" si="11">+I65</f>
        <v>97458</v>
      </c>
      <c r="M15" s="182">
        <f t="shared" si="11"/>
        <v>32.65</v>
      </c>
      <c r="O15" s="181">
        <f t="shared" si="6"/>
        <v>99663</v>
      </c>
      <c r="P15" s="182">
        <f t="shared" si="7"/>
        <v>79.289999999999992</v>
      </c>
      <c r="S15" s="165" t="s">
        <v>244</v>
      </c>
      <c r="T15" s="191">
        <f>IF(T12&gt;S12,T14+(T12-S12),T14)</f>
        <v>67</v>
      </c>
      <c r="U15" s="191">
        <f>IF(U12&gt;T12,U14+(U12-T12),U14)</f>
        <v>67</v>
      </c>
      <c r="W15" s="2716"/>
      <c r="X15" s="30">
        <v>43</v>
      </c>
      <c r="Y15" s="187">
        <f t="shared" si="2"/>
        <v>0.9978362200584423</v>
      </c>
      <c r="Z15" s="187">
        <f t="shared" si="8"/>
        <v>0.99846214550936374</v>
      </c>
      <c r="AA15" s="187">
        <f t="shared" ref="AA15:AA47" si="12">VLOOKUP($X15,Sterbetafel,9)/VLOOKUP(AA$11,Sterbetafel,9)</f>
        <v>0.99920012959925475</v>
      </c>
      <c r="AB15" s="177"/>
      <c r="AC15" s="178">
        <f t="shared" ref="AC15:BH15" si="13">VLOOKUP(AC$11,Sterbetafel,2)/VLOOKUP($X15,Sterbetafel,2)</f>
        <v>0.99840409207161129</v>
      </c>
      <c r="AD15" s="178">
        <f t="shared" si="13"/>
        <v>0.99667519181585673</v>
      </c>
      <c r="AE15" s="178">
        <f t="shared" si="13"/>
        <v>0.99480306905370841</v>
      </c>
      <c r="AF15" s="178">
        <f t="shared" si="13"/>
        <v>0.99274680306905372</v>
      </c>
      <c r="AG15" s="178">
        <f t="shared" si="13"/>
        <v>0.99043478260869566</v>
      </c>
      <c r="AH15" s="178">
        <f t="shared" si="13"/>
        <v>0.98783631713554987</v>
      </c>
      <c r="AI15" s="178">
        <f t="shared" si="13"/>
        <v>0.98493094629156008</v>
      </c>
      <c r="AJ15" s="178">
        <f t="shared" si="13"/>
        <v>0.98176982097186705</v>
      </c>
      <c r="AK15" s="178">
        <f t="shared" si="13"/>
        <v>0.97825063938618928</v>
      </c>
      <c r="AL15" s="178">
        <f t="shared" si="13"/>
        <v>0.97434271099744241</v>
      </c>
      <c r="AM15" s="178">
        <f t="shared" si="13"/>
        <v>0.96994373401534528</v>
      </c>
      <c r="AN15" s="178">
        <f t="shared" si="13"/>
        <v>0.96509462915601019</v>
      </c>
      <c r="AO15" s="178">
        <f t="shared" si="13"/>
        <v>0.95960102301790284</v>
      </c>
      <c r="AP15" s="178">
        <f t="shared" si="13"/>
        <v>0.95352429667519178</v>
      </c>
      <c r="AQ15" s="178">
        <f t="shared" si="13"/>
        <v>0.94678260869565223</v>
      </c>
      <c r="AR15" s="178">
        <f t="shared" si="13"/>
        <v>0.93946803069053708</v>
      </c>
      <c r="AS15" s="178">
        <f t="shared" si="13"/>
        <v>0.93130434782608695</v>
      </c>
      <c r="AT15" s="178">
        <f t="shared" si="13"/>
        <v>0.92240409207161123</v>
      </c>
      <c r="AU15" s="178">
        <f t="shared" si="13"/>
        <v>0.91263427109974427</v>
      </c>
      <c r="AV15" s="178">
        <f t="shared" si="13"/>
        <v>0.90191304347826085</v>
      </c>
      <c r="AW15" s="178">
        <f t="shared" si="13"/>
        <v>0.89023017902813295</v>
      </c>
      <c r="AX15" s="178">
        <f t="shared" si="13"/>
        <v>0.87764705882352945</v>
      </c>
      <c r="AY15" s="178">
        <f t="shared" si="13"/>
        <v>0.86417391304347824</v>
      </c>
      <c r="AZ15" s="178">
        <f t="shared" si="13"/>
        <v>0.84965728900255755</v>
      </c>
      <c r="BA15" s="178">
        <f t="shared" si="13"/>
        <v>0.83429156010230177</v>
      </c>
      <c r="BB15" s="178">
        <f t="shared" si="13"/>
        <v>0.81791304347826088</v>
      </c>
      <c r="BC15" s="178">
        <f t="shared" si="13"/>
        <v>0.80066496163682865</v>
      </c>
      <c r="BD15" s="178">
        <f t="shared" si="13"/>
        <v>0.78263938618925832</v>
      </c>
      <c r="BE15" s="178">
        <f t="shared" si="13"/>
        <v>0.76312020460358054</v>
      </c>
      <c r="BF15" s="178">
        <f t="shared" si="13"/>
        <v>0.7430690537084399</v>
      </c>
      <c r="BG15" s="178">
        <f t="shared" si="13"/>
        <v>0.72164705882352942</v>
      </c>
      <c r="BH15" s="179">
        <f t="shared" si="13"/>
        <v>0.69914066496163685</v>
      </c>
      <c r="BZ15" s="554" t="s">
        <v>604</v>
      </c>
      <c r="CA15" s="555">
        <f>IF(CT11&lt;&gt;"",CA16,CA17)</f>
        <v>17.670000000000002</v>
      </c>
      <c r="CC15" s="545">
        <v>32</v>
      </c>
      <c r="CD15" s="543">
        <f t="shared" si="4"/>
        <v>263.28381893176851</v>
      </c>
      <c r="CE15" s="543">
        <f t="shared" si="4"/>
        <v>274.9177677372615</v>
      </c>
      <c r="CF15" s="543">
        <f t="shared" si="4"/>
        <v>287.06081242976859</v>
      </c>
      <c r="CG15" s="543">
        <f t="shared" si="4"/>
        <v>299.73500989855251</v>
      </c>
      <c r="CH15" s="543">
        <f t="shared" si="4"/>
        <v>312.96336273366836</v>
      </c>
      <c r="CI15" s="543">
        <f t="shared" si="4"/>
        <v>326.76985932364124</v>
      </c>
      <c r="CJ15" s="543">
        <f t="shared" si="4"/>
        <v>341.17951563268957</v>
      </c>
      <c r="CK15" s="543">
        <f t="shared" si="4"/>
        <v>356.21841872729885</v>
      </c>
      <c r="CL15" s="543">
        <f t="shared" si="4"/>
        <v>371.91377212408963</v>
      </c>
      <c r="CM15" s="543">
        <f t="shared" si="4"/>
        <v>388.29394303450761</v>
      </c>
      <c r="CN15" s="543">
        <f t="shared" si="5"/>
        <v>405.38851158432976</v>
      </c>
      <c r="CO15" s="543">
        <f t="shared" si="5"/>
        <v>423.22832208974603</v>
      </c>
      <c r="CP15" s="543">
        <f t="shared" si="5"/>
        <v>441.84553647448013</v>
      </c>
      <c r="CQ15" s="543">
        <f t="shared" si="5"/>
        <v>461.27368991651286</v>
      </c>
      <c r="CR15" s="543">
        <f t="shared" si="5"/>
        <v>481.54774881587235</v>
      </c>
      <c r="CS15" s="543">
        <f t="shared" si="5"/>
        <v>502.70417117935455</v>
      </c>
      <c r="CT15" s="543">
        <f t="shared" si="5"/>
        <v>524.78096952126782</v>
      </c>
      <c r="CU15" s="543">
        <f t="shared" si="5"/>
        <v>547.81777638393635</v>
      </c>
      <c r="CV15" s="543">
        <f t="shared" si="5"/>
        <v>571.85591258528916</v>
      </c>
      <c r="CW15" s="547">
        <f t="shared" si="5"/>
        <v>596.93845830583837</v>
      </c>
      <c r="CX15" s="559"/>
    </row>
    <row r="16" spans="1:121" ht="14.25">
      <c r="A16" s="171">
        <v>3</v>
      </c>
      <c r="B16" s="188">
        <v>99624</v>
      </c>
      <c r="C16" s="189">
        <v>75.930000000000007</v>
      </c>
      <c r="D16" s="171">
        <v>53</v>
      </c>
      <c r="E16" s="188">
        <f t="shared" si="10"/>
        <v>95242</v>
      </c>
      <c r="F16" s="189">
        <f t="shared" si="10"/>
        <v>27.66</v>
      </c>
      <c r="G16" s="160"/>
      <c r="H16" s="171">
        <v>3</v>
      </c>
      <c r="I16" s="188">
        <v>99676</v>
      </c>
      <c r="J16" s="189">
        <v>80.67</v>
      </c>
      <c r="K16" s="171">
        <v>53</v>
      </c>
      <c r="L16" s="188">
        <f t="shared" si="11"/>
        <v>97243</v>
      </c>
      <c r="M16" s="189">
        <f t="shared" si="11"/>
        <v>31.72</v>
      </c>
      <c r="O16" s="188">
        <f t="shared" si="6"/>
        <v>99650</v>
      </c>
      <c r="P16" s="189">
        <f t="shared" si="7"/>
        <v>78.300000000000011</v>
      </c>
      <c r="S16" s="184" t="s">
        <v>245</v>
      </c>
      <c r="T16" s="185">
        <f>VLOOKUP(T15,Sterbetafel,2)</f>
        <v>83054</v>
      </c>
      <c r="U16" s="186">
        <f>VLOOKUP(U15,Sterbetafel,9)</f>
        <v>90462</v>
      </c>
      <c r="W16" s="2716"/>
      <c r="X16" s="30">
        <v>44</v>
      </c>
      <c r="Y16" s="187">
        <f t="shared" si="2"/>
        <v>0.99693633026966355</v>
      </c>
      <c r="Z16" s="187">
        <f t="shared" si="8"/>
        <v>0.99756169123524119</v>
      </c>
      <c r="AA16" s="187">
        <f t="shared" si="12"/>
        <v>0.99829900978069375</v>
      </c>
      <c r="AB16" s="187">
        <f t="shared" ref="AB16:AB47" si="14">VLOOKUP($X16,Sterbetafel,9)/VLOOKUP(AB$11,Sterbetafel,9)</f>
        <v>0.99909815882537722</v>
      </c>
      <c r="AC16" s="177"/>
      <c r="AD16" s="178">
        <f t="shared" ref="AD16:BH16" si="15">VLOOKUP(AD$11,Sterbetafel,2)/VLOOKUP($X16,Sterbetafel,2)</f>
        <v>0.99826833616820709</v>
      </c>
      <c r="AE16" s="178">
        <f t="shared" si="15"/>
        <v>0.99639322089472715</v>
      </c>
      <c r="AF16" s="178">
        <f t="shared" si="15"/>
        <v>0.99433366805336398</v>
      </c>
      <c r="AG16" s="178">
        <f t="shared" si="15"/>
        <v>0.99201795192327402</v>
      </c>
      <c r="AH16" s="178">
        <f t="shared" si="15"/>
        <v>0.98941533290980999</v>
      </c>
      <c r="AI16" s="178">
        <f t="shared" si="15"/>
        <v>0.98650531794987395</v>
      </c>
      <c r="AJ16" s="178">
        <f t="shared" si="15"/>
        <v>0.98333913970121112</v>
      </c>
      <c r="AK16" s="178">
        <f t="shared" si="15"/>
        <v>0.97981433284833086</v>
      </c>
      <c r="AL16" s="178">
        <f t="shared" si="15"/>
        <v>0.9759001577965859</v>
      </c>
      <c r="AM16" s="178">
        <f t="shared" si="15"/>
        <v>0.97149414923048549</v>
      </c>
      <c r="AN16" s="178">
        <f t="shared" si="15"/>
        <v>0.96663729327622605</v>
      </c>
      <c r="AO16" s="178">
        <f t="shared" si="15"/>
        <v>0.96113490583437511</v>
      </c>
      <c r="AP16" s="178">
        <f t="shared" si="15"/>
        <v>0.95504846609422711</v>
      </c>
      <c r="AQ16" s="178">
        <f t="shared" si="15"/>
        <v>0.94829600180338958</v>
      </c>
      <c r="AR16" s="178">
        <f t="shared" si="15"/>
        <v>0.94096973174580401</v>
      </c>
      <c r="AS16" s="178">
        <f t="shared" si="15"/>
        <v>0.93279299956964568</v>
      </c>
      <c r="AT16" s="178">
        <f t="shared" si="15"/>
        <v>0.92387851712195423</v>
      </c>
      <c r="AU16" s="178">
        <f t="shared" si="15"/>
        <v>0.91409307949259178</v>
      </c>
      <c r="AV16" s="178">
        <f t="shared" si="15"/>
        <v>0.90335471442916571</v>
      </c>
      <c r="AW16" s="178">
        <f t="shared" si="15"/>
        <v>0.89165317540012701</v>
      </c>
      <c r="AX16" s="178">
        <f t="shared" si="15"/>
        <v>0.87904994159477012</v>
      </c>
      <c r="AY16" s="178">
        <f t="shared" si="15"/>
        <v>0.86555525954464418</v>
      </c>
      <c r="AZ16" s="178">
        <f t="shared" si="15"/>
        <v>0.85101543127651291</v>
      </c>
      <c r="BA16" s="178">
        <f t="shared" si="15"/>
        <v>0.83562514088980877</v>
      </c>
      <c r="BB16" s="178">
        <f t="shared" si="15"/>
        <v>0.81922044387974668</v>
      </c>
      <c r="BC16" s="178">
        <f t="shared" si="15"/>
        <v>0.80194479168801358</v>
      </c>
      <c r="BD16" s="178">
        <f t="shared" si="15"/>
        <v>0.78389040309855118</v>
      </c>
      <c r="BE16" s="178">
        <f t="shared" si="15"/>
        <v>0.76434002090292441</v>
      </c>
      <c r="BF16" s="178">
        <f t="shared" si="15"/>
        <v>0.7442568190667459</v>
      </c>
      <c r="BG16" s="178">
        <f t="shared" si="15"/>
        <v>0.72280058200299202</v>
      </c>
      <c r="BH16" s="179">
        <f t="shared" si="15"/>
        <v>0.70025821259503662</v>
      </c>
      <c r="BZ16" s="554" t="s">
        <v>605</v>
      </c>
      <c r="CA16" s="555">
        <f>VLOOKUP(CH11,Lebenserwartung_M_V2,YEAR(CT11)-1900+2)</f>
        <v>17.670000000000002</v>
      </c>
      <c r="CC16" s="545">
        <v>33</v>
      </c>
      <c r="CD16" s="544">
        <f t="shared" si="4"/>
        <v>261.97394918583933</v>
      </c>
      <c r="CE16" s="544">
        <f t="shared" si="4"/>
        <v>273.27809914240709</v>
      </c>
      <c r="CF16" s="544">
        <f t="shared" si="4"/>
        <v>285.06535494515265</v>
      </c>
      <c r="CG16" s="544">
        <f t="shared" si="4"/>
        <v>297.35616061364328</v>
      </c>
      <c r="CH16" s="544">
        <f t="shared" si="4"/>
        <v>310.17181638619269</v>
      </c>
      <c r="CI16" s="544">
        <f t="shared" si="4"/>
        <v>323.53451418182306</v>
      </c>
      <c r="CJ16" s="544">
        <f t="shared" si="4"/>
        <v>337.46737451304608</v>
      </c>
      <c r="CK16" s="544">
        <f t="shared" si="4"/>
        <v>351.99448490839808</v>
      </c>
      <c r="CL16" s="544">
        <f t="shared" si="4"/>
        <v>367.14093990532047</v>
      </c>
      <c r="CM16" s="544">
        <f t="shared" si="4"/>
        <v>382.93288267702923</v>
      </c>
      <c r="CN16" s="544">
        <f t="shared" si="5"/>
        <v>399.39754835894558</v>
      </c>
      <c r="CO16" s="544">
        <f t="shared" si="5"/>
        <v>416.56330914345079</v>
      </c>
      <c r="CP16" s="544">
        <f t="shared" si="5"/>
        <v>434.45972121384489</v>
      </c>
      <c r="CQ16" s="544">
        <f t="shared" si="5"/>
        <v>453.11757359185935</v>
      </c>
      <c r="CR16" s="544">
        <f t="shared" si="5"/>
        <v>472.56893897534087</v>
      </c>
      <c r="CS16" s="544">
        <f t="shared" si="5"/>
        <v>492.84722664642607</v>
      </c>
      <c r="CT16" s="544">
        <f t="shared" si="5"/>
        <v>513.98723753307331</v>
      </c>
      <c r="CU16" s="544">
        <f t="shared" si="5"/>
        <v>536.02522151070082</v>
      </c>
      <c r="CV16" s="544">
        <f t="shared" si="5"/>
        <v>558.99893703351836</v>
      </c>
      <c r="CW16" s="548">
        <f t="shared" si="5"/>
        <v>582.9477131892952</v>
      </c>
      <c r="CX16" s="559"/>
    </row>
    <row r="17" spans="1:102" ht="14.25">
      <c r="A17" s="180">
        <v>4</v>
      </c>
      <c r="B17" s="181">
        <v>99612</v>
      </c>
      <c r="C17" s="182">
        <v>74.94</v>
      </c>
      <c r="D17" s="180">
        <v>54</v>
      </c>
      <c r="E17" s="181">
        <f t="shared" si="10"/>
        <v>94812</v>
      </c>
      <c r="F17" s="182">
        <f t="shared" si="10"/>
        <v>26.78</v>
      </c>
      <c r="G17" s="160"/>
      <c r="H17" s="180">
        <v>4</v>
      </c>
      <c r="I17" s="181">
        <v>99666</v>
      </c>
      <c r="J17" s="182">
        <v>79.680000000000007</v>
      </c>
      <c r="K17" s="180">
        <v>54</v>
      </c>
      <c r="L17" s="181">
        <f t="shared" si="11"/>
        <v>97002</v>
      </c>
      <c r="M17" s="182">
        <f t="shared" si="11"/>
        <v>30.8</v>
      </c>
      <c r="O17" s="181">
        <f t="shared" si="6"/>
        <v>99639</v>
      </c>
      <c r="P17" s="182">
        <f t="shared" si="7"/>
        <v>77.31</v>
      </c>
      <c r="S17" s="165" t="s">
        <v>246</v>
      </c>
      <c r="T17" s="190">
        <f>+T16/T13</f>
        <v>0.86265670928674554</v>
      </c>
      <c r="U17" s="191">
        <f>+U16/U13</f>
        <v>0.92458171932012145</v>
      </c>
      <c r="W17" s="2716"/>
      <c r="X17" s="30">
        <v>45</v>
      </c>
      <c r="Y17" s="187">
        <f t="shared" si="2"/>
        <v>0.99599599599599598</v>
      </c>
      <c r="Z17" s="187">
        <f t="shared" si="8"/>
        <v>0.99662076710610181</v>
      </c>
      <c r="AA17" s="187">
        <f t="shared" si="12"/>
        <v>0.99735739019500635</v>
      </c>
      <c r="AB17" s="187">
        <f t="shared" si="14"/>
        <v>0.99815578546313088</v>
      </c>
      <c r="AC17" s="187">
        <f t="shared" ref="AC17:AC47" si="16">VLOOKUP($X17,Sterbetafel,9)/VLOOKUP(AC$11,Sterbetafel,9)</f>
        <v>0.99905677599951315</v>
      </c>
      <c r="AD17" s="177"/>
      <c r="AE17" s="178">
        <f t="shared" ref="AE17:BH17" si="17">VLOOKUP(AE$11,Sterbetafel,2)/VLOOKUP($X17,Sterbetafel,2)</f>
        <v>0.99812163202463433</v>
      </c>
      <c r="AF17" s="178">
        <f t="shared" si="17"/>
        <v>0.99605850654349504</v>
      </c>
      <c r="AG17" s="178">
        <f t="shared" si="17"/>
        <v>0.99373877341544781</v>
      </c>
      <c r="AH17" s="178">
        <f t="shared" si="17"/>
        <v>0.99113163972286378</v>
      </c>
      <c r="AI17" s="178">
        <f t="shared" si="17"/>
        <v>0.98821657685399023</v>
      </c>
      <c r="AJ17" s="178">
        <f t="shared" si="17"/>
        <v>0.98504490633820885</v>
      </c>
      <c r="AK17" s="178">
        <f t="shared" si="17"/>
        <v>0.98151398511675647</v>
      </c>
      <c r="AL17" s="178">
        <f t="shared" si="17"/>
        <v>0.97759302027200412</v>
      </c>
      <c r="AM17" s="178">
        <f t="shared" si="17"/>
        <v>0.97317936874518862</v>
      </c>
      <c r="AN17" s="178">
        <f t="shared" si="17"/>
        <v>0.9683140877598152</v>
      </c>
      <c r="AO17" s="178">
        <f t="shared" si="17"/>
        <v>0.96280215550423398</v>
      </c>
      <c r="AP17" s="178">
        <f t="shared" si="17"/>
        <v>0.9567051578137028</v>
      </c>
      <c r="AQ17" s="178">
        <f t="shared" si="17"/>
        <v>0.94994098024121121</v>
      </c>
      <c r="AR17" s="178">
        <f t="shared" si="17"/>
        <v>0.94260200153964591</v>
      </c>
      <c r="AS17" s="178">
        <f t="shared" si="17"/>
        <v>0.93441108545034646</v>
      </c>
      <c r="AT17" s="178">
        <f t="shared" si="17"/>
        <v>0.92548113933795229</v>
      </c>
      <c r="AU17" s="178">
        <f t="shared" si="17"/>
        <v>0.91567872722607135</v>
      </c>
      <c r="AV17" s="178">
        <f t="shared" si="17"/>
        <v>0.9049217346676931</v>
      </c>
      <c r="AW17" s="178">
        <f t="shared" si="17"/>
        <v>0.89319989735694127</v>
      </c>
      <c r="AX17" s="178">
        <f t="shared" si="17"/>
        <v>0.8805748011290736</v>
      </c>
      <c r="AY17" s="178">
        <f t="shared" si="17"/>
        <v>0.86705671028996667</v>
      </c>
      <c r="AZ17" s="178">
        <f t="shared" si="17"/>
        <v>0.85249166025147549</v>
      </c>
      <c r="BA17" s="178">
        <f t="shared" si="17"/>
        <v>0.83707467282525017</v>
      </c>
      <c r="BB17" s="178">
        <f t="shared" si="17"/>
        <v>0.82064151911726968</v>
      </c>
      <c r="BC17" s="178">
        <f t="shared" si="17"/>
        <v>0.80333589940980243</v>
      </c>
      <c r="BD17" s="178">
        <f t="shared" si="17"/>
        <v>0.78525019245573513</v>
      </c>
      <c r="BE17" s="178">
        <f t="shared" si="17"/>
        <v>0.76566589684372599</v>
      </c>
      <c r="BF17" s="178">
        <f t="shared" si="17"/>
        <v>0.74554785732614837</v>
      </c>
      <c r="BG17" s="178">
        <f t="shared" si="17"/>
        <v>0.72405440082114447</v>
      </c>
      <c r="BH17" s="179">
        <f t="shared" si="17"/>
        <v>0.70147292789325122</v>
      </c>
      <c r="BZ17" s="554" t="s">
        <v>604</v>
      </c>
      <c r="CA17" s="555">
        <f>VLOOKUP($CH$11,Sterbetafel,IF(CO11="m",3,IF(CO11="w",10,IF(CO11="d",16))))</f>
        <v>17.975000000000001</v>
      </c>
      <c r="CC17" s="545">
        <v>34</v>
      </c>
      <c r="CD17" s="543">
        <f t="shared" si="4"/>
        <v>260.6705962048153</v>
      </c>
      <c r="CE17" s="543">
        <f t="shared" si="4"/>
        <v>271.64820988310845</v>
      </c>
      <c r="CF17" s="543">
        <f t="shared" si="4"/>
        <v>283.08376856519624</v>
      </c>
      <c r="CG17" s="543">
        <f t="shared" si="4"/>
        <v>294.99619108496358</v>
      </c>
      <c r="CH17" s="543">
        <f t="shared" si="4"/>
        <v>307.40516985747547</v>
      </c>
      <c r="CI17" s="543">
        <f t="shared" si="4"/>
        <v>320.33120216022087</v>
      </c>
      <c r="CJ17" s="543">
        <f t="shared" si="4"/>
        <v>333.79562266374489</v>
      </c>
      <c r="CK17" s="543">
        <f t="shared" si="4"/>
        <v>347.82063726126296</v>
      </c>
      <c r="CL17" s="543">
        <f t="shared" si="4"/>
        <v>362.42935824809524</v>
      </c>
      <c r="CM17" s="543">
        <f t="shared" si="4"/>
        <v>377.64584090436807</v>
      </c>
      <c r="CN17" s="543">
        <f t="shared" si="5"/>
        <v>393.49512153590706</v>
      </c>
      <c r="CO17" s="543">
        <f t="shared" si="5"/>
        <v>410.00325703095552</v>
      </c>
      <c r="CP17" s="543">
        <f t="shared" si="5"/>
        <v>427.1973659919812</v>
      </c>
      <c r="CQ17" s="543">
        <f t="shared" si="5"/>
        <v>445.10567150477345</v>
      </c>
      <c r="CR17" s="543">
        <f t="shared" si="5"/>
        <v>463.75754560877419</v>
      </c>
      <c r="CS17" s="543">
        <f t="shared" si="5"/>
        <v>483.18355553571183</v>
      </c>
      <c r="CT17" s="543">
        <f t="shared" si="5"/>
        <v>503.41551178557631</v>
      </c>
      <c r="CU17" s="543">
        <f t="shared" si="5"/>
        <v>524.48651811223192</v>
      </c>
      <c r="CV17" s="543">
        <f t="shared" si="5"/>
        <v>546.4310234931753</v>
      </c>
      <c r="CW17" s="547">
        <f t="shared" si="5"/>
        <v>569.28487616142115</v>
      </c>
      <c r="CX17" s="559"/>
    </row>
    <row r="18" spans="1:102" ht="15.75" thickBot="1">
      <c r="A18" s="171">
        <v>5</v>
      </c>
      <c r="B18" s="188">
        <v>99601</v>
      </c>
      <c r="C18" s="189">
        <v>73.95</v>
      </c>
      <c r="D18" s="171">
        <v>55</v>
      </c>
      <c r="E18" s="188">
        <f t="shared" si="10"/>
        <v>94338</v>
      </c>
      <c r="F18" s="189">
        <f t="shared" si="10"/>
        <v>25.91</v>
      </c>
      <c r="G18" s="160"/>
      <c r="H18" s="171">
        <v>5</v>
      </c>
      <c r="I18" s="188">
        <v>99656</v>
      </c>
      <c r="J18" s="189">
        <v>78.69</v>
      </c>
      <c r="K18" s="171">
        <v>55</v>
      </c>
      <c r="L18" s="188">
        <f t="shared" si="11"/>
        <v>96735</v>
      </c>
      <c r="M18" s="189">
        <f t="shared" si="11"/>
        <v>29.88</v>
      </c>
      <c r="O18" s="188">
        <f t="shared" si="6"/>
        <v>99628.5</v>
      </c>
      <c r="P18" s="189">
        <f t="shared" si="7"/>
        <v>76.319999999999993</v>
      </c>
      <c r="S18" s="165" t="s">
        <v>247</v>
      </c>
      <c r="T18" s="2718">
        <f>+T17*U17</f>
        <v>0.79759662345537741</v>
      </c>
      <c r="U18" s="2719"/>
      <c r="W18" s="2716"/>
      <c r="X18" s="30">
        <v>46</v>
      </c>
      <c r="Y18" s="187">
        <f t="shared" si="2"/>
        <v>0.99492421714643942</v>
      </c>
      <c r="Z18" s="187">
        <f t="shared" si="8"/>
        <v>0.99554831594815807</v>
      </c>
      <c r="AA18" s="187">
        <f t="shared" si="12"/>
        <v>0.99628414636615836</v>
      </c>
      <c r="AB18" s="187">
        <f t="shared" si="14"/>
        <v>0.99708168249110829</v>
      </c>
      <c r="AC18" s="187">
        <f t="shared" si="16"/>
        <v>0.99798170348282922</v>
      </c>
      <c r="AD18" s="187">
        <f t="shared" ref="AD18:AD47" si="18">VLOOKUP($X18,Sterbetafel,9)/VLOOKUP(AD$11,Sterbetafel,9)</f>
        <v>0.99892391249175172</v>
      </c>
      <c r="AE18" s="177"/>
      <c r="AF18" s="178">
        <f t="shared" ref="AF18:BH18" si="19">VLOOKUP(AF$11,Sterbetafel,2)/VLOOKUP($X18,Sterbetafel,2)</f>
        <v>0.99793299191707285</v>
      </c>
      <c r="AG18" s="178">
        <f t="shared" si="19"/>
        <v>0.99560889327656776</v>
      </c>
      <c r="AH18" s="178">
        <f t="shared" si="19"/>
        <v>0.99299685321157527</v>
      </c>
      <c r="AI18" s="178">
        <f t="shared" si="19"/>
        <v>0.99007630447748918</v>
      </c>
      <c r="AJ18" s="178">
        <f t="shared" si="19"/>
        <v>0.98689866518582503</v>
      </c>
      <c r="AK18" s="178">
        <f t="shared" si="19"/>
        <v>0.98336109911355174</v>
      </c>
      <c r="AL18" s="178">
        <f t="shared" si="19"/>
        <v>0.97943275539375985</v>
      </c>
      <c r="AM18" s="178">
        <f t="shared" si="19"/>
        <v>0.97501079780341826</v>
      </c>
      <c r="AN18" s="178">
        <f t="shared" si="19"/>
        <v>0.97013636083173937</v>
      </c>
      <c r="AO18" s="178">
        <f t="shared" si="19"/>
        <v>0.96461405565496394</v>
      </c>
      <c r="AP18" s="178">
        <f t="shared" si="19"/>
        <v>0.95850558400691055</v>
      </c>
      <c r="AQ18" s="178">
        <f t="shared" si="19"/>
        <v>0.95172867690915453</v>
      </c>
      <c r="AR18" s="178">
        <f t="shared" si="19"/>
        <v>0.94437588696242369</v>
      </c>
      <c r="AS18" s="178">
        <f t="shared" si="19"/>
        <v>0.93616955636453381</v>
      </c>
      <c r="AT18" s="178">
        <f t="shared" si="19"/>
        <v>0.92722280496081944</v>
      </c>
      <c r="AU18" s="178">
        <f t="shared" si="19"/>
        <v>0.9174019456613397</v>
      </c>
      <c r="AV18" s="178">
        <f t="shared" si="19"/>
        <v>0.90662470948766993</v>
      </c>
      <c r="AW18" s="178">
        <f t="shared" si="19"/>
        <v>0.89488081281750687</v>
      </c>
      <c r="AX18" s="178">
        <f t="shared" si="19"/>
        <v>0.8822319573846692</v>
      </c>
      <c r="AY18" s="178">
        <f t="shared" si="19"/>
        <v>0.86868842681146008</v>
      </c>
      <c r="AZ18" s="178">
        <f t="shared" si="19"/>
        <v>0.85409596676333277</v>
      </c>
      <c r="BA18" s="178">
        <f t="shared" si="19"/>
        <v>0.8386499660640464</v>
      </c>
      <c r="BB18" s="178">
        <f t="shared" si="19"/>
        <v>0.82218588675675119</v>
      </c>
      <c r="BC18" s="178">
        <f t="shared" si="19"/>
        <v>0.80484769955369084</v>
      </c>
      <c r="BD18" s="178">
        <f t="shared" si="19"/>
        <v>0.78672795705559329</v>
      </c>
      <c r="BE18" s="178">
        <f t="shared" si="19"/>
        <v>0.76710680570124024</v>
      </c>
      <c r="BF18" s="178">
        <f t="shared" si="19"/>
        <v>0.74695090598712488</v>
      </c>
      <c r="BG18" s="178">
        <f t="shared" si="19"/>
        <v>0.72541700088439154</v>
      </c>
      <c r="BH18" s="179">
        <f t="shared" si="19"/>
        <v>0.70279303181752739</v>
      </c>
      <c r="BZ18" s="556" t="s">
        <v>607</v>
      </c>
      <c r="CA18" s="557">
        <v>1</v>
      </c>
      <c r="CC18" s="545">
        <v>35</v>
      </c>
      <c r="CD18" s="544">
        <f t="shared" si="4"/>
        <v>259.37372756698039</v>
      </c>
      <c r="CE18" s="544">
        <f t="shared" si="4"/>
        <v>270.02804163330859</v>
      </c>
      <c r="CF18" s="544">
        <f t="shared" si="4"/>
        <v>281.11595686712644</v>
      </c>
      <c r="CG18" s="544">
        <f t="shared" si="4"/>
        <v>292.65495147317819</v>
      </c>
      <c r="CH18" s="544">
        <f t="shared" si="4"/>
        <v>304.66320104804305</v>
      </c>
      <c r="CI18" s="544">
        <f t="shared" si="4"/>
        <v>317.15960609922854</v>
      </c>
      <c r="CJ18" s="544">
        <f t="shared" si="4"/>
        <v>330.16382063674075</v>
      </c>
      <c r="CK18" s="544">
        <f t="shared" si="4"/>
        <v>343.69628187871831</v>
      </c>
      <c r="CL18" s="544">
        <f t="shared" si="4"/>
        <v>357.77824111361826</v>
      </c>
      <c r="CM18" s="544">
        <f t="shared" si="4"/>
        <v>372.43179576367652</v>
      </c>
      <c r="CN18" s="544">
        <f t="shared" si="5"/>
        <v>387.679922695475</v>
      </c>
      <c r="CO18" s="544">
        <f t="shared" si="5"/>
        <v>403.54651282574366</v>
      </c>
      <c r="CP18" s="544">
        <f t="shared" si="5"/>
        <v>420.05640707176133</v>
      </c>
      <c r="CQ18" s="544">
        <f t="shared" si="5"/>
        <v>437.23543369820572</v>
      </c>
      <c r="CR18" s="544">
        <f t="shared" si="5"/>
        <v>455.11044711361558</v>
      </c>
      <c r="CS18" s="544">
        <f t="shared" si="5"/>
        <v>473.70936817226652</v>
      </c>
      <c r="CT18" s="544">
        <f t="shared" si="5"/>
        <v>493.06122603876236</v>
      </c>
      <c r="CU18" s="544">
        <f t="shared" si="5"/>
        <v>513.19620167537357</v>
      </c>
      <c r="CV18" s="544">
        <f t="shared" si="5"/>
        <v>534.14567301385659</v>
      </c>
      <c r="CW18" s="548">
        <f t="shared" si="5"/>
        <v>555.94226187638787</v>
      </c>
      <c r="CX18" s="559"/>
    </row>
    <row r="19" spans="1:102" ht="14.25">
      <c r="A19" s="180">
        <v>6</v>
      </c>
      <c r="B19" s="181">
        <v>99592</v>
      </c>
      <c r="C19" s="182">
        <v>72.95</v>
      </c>
      <c r="D19" s="180">
        <v>56</v>
      </c>
      <c r="E19" s="181">
        <f t="shared" si="10"/>
        <v>93801</v>
      </c>
      <c r="F19" s="182">
        <f t="shared" si="10"/>
        <v>25.06</v>
      </c>
      <c r="G19" s="160"/>
      <c r="H19" s="180">
        <v>6</v>
      </c>
      <c r="I19" s="181">
        <v>99650</v>
      </c>
      <c r="J19" s="182">
        <v>77.69</v>
      </c>
      <c r="K19" s="180">
        <v>56</v>
      </c>
      <c r="L19" s="181">
        <f t="shared" si="11"/>
        <v>96434</v>
      </c>
      <c r="M19" s="182">
        <f t="shared" si="11"/>
        <v>28.97</v>
      </c>
      <c r="O19" s="181">
        <f t="shared" si="6"/>
        <v>99621</v>
      </c>
      <c r="P19" s="182">
        <f t="shared" si="7"/>
        <v>75.319999999999993</v>
      </c>
      <c r="S19" s="192" t="s">
        <v>248</v>
      </c>
      <c r="T19" s="193">
        <f>VLOOKUP(T15,Sterbetafel,3)</f>
        <v>16.48</v>
      </c>
      <c r="U19" s="194">
        <f>VLOOKUP(U15,Sterbetafel,10)</f>
        <v>19.47</v>
      </c>
      <c r="W19" s="2716"/>
      <c r="X19" s="30">
        <v>47</v>
      </c>
      <c r="Y19" s="187">
        <f t="shared" si="2"/>
        <v>0.99375132708466041</v>
      </c>
      <c r="Z19" s="187">
        <f t="shared" si="8"/>
        <v>0.99437469015267255</v>
      </c>
      <c r="AA19" s="187">
        <f t="shared" si="12"/>
        <v>0.99510965311949451</v>
      </c>
      <c r="AB19" s="187">
        <f t="shared" si="14"/>
        <v>0.99590624905002689</v>
      </c>
      <c r="AC19" s="187">
        <f t="shared" si="16"/>
        <v>0.9968052090306091</v>
      </c>
      <c r="AD19" s="187">
        <f t="shared" si="18"/>
        <v>0.99774630729404601</v>
      </c>
      <c r="AE19" s="187">
        <f t="shared" ref="AE19:AE47" si="20">VLOOKUP($X19,Sterbetafel,9)/VLOOKUP(AE$11,Sterbetafel,9)</f>
        <v>0.99882112623095765</v>
      </c>
      <c r="AF19" s="177"/>
      <c r="AG19" s="178">
        <f t="shared" ref="AG19:BH19" si="21">VLOOKUP(AG$11,Sterbetafel,2)/VLOOKUP($X19,Sterbetafel,2)</f>
        <v>0.99767108747848843</v>
      </c>
      <c r="AH19" s="178">
        <f t="shared" si="21"/>
        <v>0.99505363712245343</v>
      </c>
      <c r="AI19" s="178">
        <f t="shared" si="21"/>
        <v>0.99212703908657163</v>
      </c>
      <c r="AJ19" s="178">
        <f t="shared" si="21"/>
        <v>0.98894281798415107</v>
      </c>
      <c r="AK19" s="178">
        <f t="shared" si="21"/>
        <v>0.985397924588576</v>
      </c>
      <c r="AL19" s="178">
        <f t="shared" si="21"/>
        <v>0.98146144413186176</v>
      </c>
      <c r="AM19" s="178">
        <f t="shared" si="21"/>
        <v>0.97703032738739293</v>
      </c>
      <c r="AN19" s="178">
        <f t="shared" si="21"/>
        <v>0.97214579404581569</v>
      </c>
      <c r="AO19" s="178">
        <f t="shared" si="21"/>
        <v>0.96661205057656041</v>
      </c>
      <c r="AP19" s="178">
        <f t="shared" si="21"/>
        <v>0.96049092651559653</v>
      </c>
      <c r="AQ19" s="178">
        <f t="shared" si="21"/>
        <v>0.95369998248163146</v>
      </c>
      <c r="AR19" s="178">
        <f t="shared" si="21"/>
        <v>0.94633196277861931</v>
      </c>
      <c r="AS19" s="178">
        <f t="shared" si="21"/>
        <v>0.93810863449469817</v>
      </c>
      <c r="AT19" s="178">
        <f t="shared" si="21"/>
        <v>0.92914335177914487</v>
      </c>
      <c r="AU19" s="178">
        <f t="shared" si="21"/>
        <v>0.91930215063735943</v>
      </c>
      <c r="AV19" s="178">
        <f t="shared" si="21"/>
        <v>0.90850259168804937</v>
      </c>
      <c r="AW19" s="178">
        <f t="shared" si="21"/>
        <v>0.89673437000855305</v>
      </c>
      <c r="AX19" s="178">
        <f t="shared" si="21"/>
        <v>0.88405931513483993</v>
      </c>
      <c r="AY19" s="178">
        <f t="shared" si="21"/>
        <v>0.87048773198957141</v>
      </c>
      <c r="AZ19" s="178">
        <f t="shared" si="21"/>
        <v>0.85586504673282426</v>
      </c>
      <c r="BA19" s="178">
        <f t="shared" si="21"/>
        <v>0.84038705289516802</v>
      </c>
      <c r="BB19" s="178">
        <f t="shared" si="21"/>
        <v>0.82388887171401781</v>
      </c>
      <c r="BC19" s="178">
        <f t="shared" si="21"/>
        <v>0.80651477210663536</v>
      </c>
      <c r="BD19" s="178">
        <f t="shared" si="21"/>
        <v>0.78835749837697466</v>
      </c>
      <c r="BE19" s="178">
        <f t="shared" si="21"/>
        <v>0.76869570593872694</v>
      </c>
      <c r="BF19" s="178">
        <f t="shared" si="21"/>
        <v>0.74849805752207832</v>
      </c>
      <c r="BG19" s="178">
        <f t="shared" si="21"/>
        <v>0.72691954946878123</v>
      </c>
      <c r="BH19" s="179">
        <f t="shared" si="21"/>
        <v>0.70424871961335933</v>
      </c>
      <c r="CC19" s="545">
        <v>36</v>
      </c>
      <c r="CD19" s="543">
        <f t="shared" si="4"/>
        <v>258.08331101192084</v>
      </c>
      <c r="CE19" s="543">
        <f t="shared" si="4"/>
        <v>268.41753641481966</v>
      </c>
      <c r="CF19" s="543">
        <f t="shared" si="4"/>
        <v>279.16182409843736</v>
      </c>
      <c r="CG19" s="543">
        <f t="shared" si="4"/>
        <v>290.33229312815297</v>
      </c>
      <c r="CH19" s="543">
        <f t="shared" si="4"/>
        <v>301.94568983948773</v>
      </c>
      <c r="CI19" s="543">
        <f t="shared" si="4"/>
        <v>314.01941197943415</v>
      </c>
      <c r="CJ19" s="543">
        <f t="shared" si="4"/>
        <v>326.57153376532222</v>
      </c>
      <c r="CK19" s="543">
        <f t="shared" si="4"/>
        <v>339.62083189596683</v>
      </c>
      <c r="CL19" s="543">
        <f t="shared" si="4"/>
        <v>353.18681255046226</v>
      </c>
      <c r="CM19" s="543">
        <f t="shared" si="4"/>
        <v>367.28973941190975</v>
      </c>
      <c r="CN19" s="543">
        <f t="shared" si="5"/>
        <v>381.95066275416264</v>
      </c>
      <c r="CO19" s="543">
        <f t="shared" si="5"/>
        <v>397.1914496316374</v>
      </c>
      <c r="CP19" s="543">
        <f t="shared" si="5"/>
        <v>413.03481521313802</v>
      </c>
      <c r="CQ19" s="543">
        <f t="shared" si="5"/>
        <v>429.50435530275615</v>
      </c>
      <c r="CR19" s="543">
        <f t="shared" si="5"/>
        <v>446.62458009187003</v>
      </c>
      <c r="CS19" s="543">
        <f t="shared" si="5"/>
        <v>464.42094918849648</v>
      </c>
      <c r="CT19" s="543">
        <f t="shared" si="5"/>
        <v>482.91990797136367</v>
      </c>
      <c r="CU19" s="543">
        <f t="shared" si="5"/>
        <v>502.14892531836955</v>
      </c>
      <c r="CV19" s="543">
        <f t="shared" si="5"/>
        <v>522.13653276036814</v>
      </c>
      <c r="CW19" s="547">
        <f t="shared" si="5"/>
        <v>542.91236511366003</v>
      </c>
      <c r="CX19" s="559"/>
    </row>
    <row r="20" spans="1:102" ht="14.25">
      <c r="A20" s="171">
        <v>7</v>
      </c>
      <c r="B20" s="188">
        <v>99583</v>
      </c>
      <c r="C20" s="189">
        <v>71.959999999999994</v>
      </c>
      <c r="D20" s="171">
        <v>57</v>
      </c>
      <c r="E20" s="188">
        <f t="shared" si="10"/>
        <v>93207</v>
      </c>
      <c r="F20" s="189">
        <f t="shared" si="10"/>
        <v>24.21</v>
      </c>
      <c r="G20" s="160"/>
      <c r="H20" s="171">
        <v>7</v>
      </c>
      <c r="I20" s="188">
        <v>99642</v>
      </c>
      <c r="J20" s="189">
        <v>76.7</v>
      </c>
      <c r="K20" s="171">
        <v>57</v>
      </c>
      <c r="L20" s="188">
        <f t="shared" si="11"/>
        <v>96108</v>
      </c>
      <c r="M20" s="189">
        <f t="shared" si="11"/>
        <v>28.07</v>
      </c>
      <c r="O20" s="188">
        <f t="shared" si="6"/>
        <v>99612.5</v>
      </c>
      <c r="P20" s="189">
        <f t="shared" si="7"/>
        <v>74.33</v>
      </c>
      <c r="S20" s="165" t="s">
        <v>249</v>
      </c>
      <c r="T20" s="2720">
        <f>IF(T19&gt;U19,U19,T19)</f>
        <v>16.48</v>
      </c>
      <c r="U20" s="2721"/>
      <c r="W20" s="2716"/>
      <c r="X20" s="30">
        <v>48</v>
      </c>
      <c r="Y20" s="187">
        <f t="shared" si="2"/>
        <v>0.9924571035682147</v>
      </c>
      <c r="Z20" s="187">
        <f t="shared" si="8"/>
        <v>0.99307965479213667</v>
      </c>
      <c r="AA20" s="187">
        <f t="shared" si="12"/>
        <v>0.99381366057145171</v>
      </c>
      <c r="AB20" s="187">
        <f t="shared" si="14"/>
        <v>0.99460921904607491</v>
      </c>
      <c r="AC20" s="187">
        <f t="shared" si="16"/>
        <v>0.99550700825574556</v>
      </c>
      <c r="AD20" s="187">
        <f t="shared" si="18"/>
        <v>0.99644688086899147</v>
      </c>
      <c r="AE20" s="187">
        <f t="shared" si="20"/>
        <v>0.99752030000304881</v>
      </c>
      <c r="AF20" s="187">
        <f t="shared" ref="AF20:AF47" si="22">VLOOKUP($X20,Sterbetafel,9)/VLOOKUP(AF$11,Sterbetafel,9)</f>
        <v>0.9986976384522247</v>
      </c>
      <c r="AG20" s="177"/>
      <c r="AH20" s="178">
        <f t="shared" ref="AH20:BH20" si="23">VLOOKUP(AH$11,Sterbetafel,2)/VLOOKUP($X20,Sterbetafel,2)</f>
        <v>0.9973764396013014</v>
      </c>
      <c r="AI20" s="178">
        <f t="shared" si="23"/>
        <v>0.99444300986417389</v>
      </c>
      <c r="AJ20" s="178">
        <f t="shared" si="23"/>
        <v>0.99125135567835565</v>
      </c>
      <c r="AK20" s="178">
        <f t="shared" si="23"/>
        <v>0.9876981872643702</v>
      </c>
      <c r="AL20" s="178">
        <f t="shared" si="23"/>
        <v>0.98375251768837468</v>
      </c>
      <c r="AM20" s="178">
        <f t="shared" si="23"/>
        <v>0.97931105717089295</v>
      </c>
      <c r="AN20" s="178">
        <f t="shared" si="23"/>
        <v>0.97441512162371535</v>
      </c>
      <c r="AO20" s="178">
        <f t="shared" si="23"/>
        <v>0.96886846046583686</v>
      </c>
      <c r="AP20" s="178">
        <f t="shared" si="23"/>
        <v>0.96273304756494349</v>
      </c>
      <c r="AQ20" s="178">
        <f t="shared" si="23"/>
        <v>0.95592625109745388</v>
      </c>
      <c r="AR20" s="178">
        <f t="shared" si="23"/>
        <v>0.94854103186489702</v>
      </c>
      <c r="AS20" s="178">
        <f t="shared" si="23"/>
        <v>0.94029850746268662</v>
      </c>
      <c r="AT20" s="178">
        <f t="shared" si="23"/>
        <v>0.93131229664824666</v>
      </c>
      <c r="AU20" s="178">
        <f t="shared" si="23"/>
        <v>0.92144812270825804</v>
      </c>
      <c r="AV20" s="178">
        <f t="shared" si="23"/>
        <v>0.91062335381913961</v>
      </c>
      <c r="AW20" s="178">
        <f t="shared" si="23"/>
        <v>0.89882766100294376</v>
      </c>
      <c r="AX20" s="178">
        <f t="shared" si="23"/>
        <v>0.88612301812735628</v>
      </c>
      <c r="AY20" s="178">
        <f t="shared" si="23"/>
        <v>0.8725197541703249</v>
      </c>
      <c r="AZ20" s="178">
        <f t="shared" si="23"/>
        <v>0.85786293446263495</v>
      </c>
      <c r="BA20" s="178">
        <f t="shared" si="23"/>
        <v>0.84234880958529157</v>
      </c>
      <c r="BB20" s="178">
        <f t="shared" si="23"/>
        <v>0.82581211589113257</v>
      </c>
      <c r="BC20" s="178">
        <f t="shared" si="23"/>
        <v>0.80839745907142491</v>
      </c>
      <c r="BD20" s="178">
        <f t="shared" si="23"/>
        <v>0.79019779992769712</v>
      </c>
      <c r="BE20" s="178">
        <f t="shared" si="23"/>
        <v>0.77049011000361511</v>
      </c>
      <c r="BF20" s="178">
        <f t="shared" si="23"/>
        <v>0.75024531322625632</v>
      </c>
      <c r="BG20" s="178">
        <f t="shared" si="23"/>
        <v>0.72861643340391469</v>
      </c>
      <c r="BH20" s="179">
        <f t="shared" si="23"/>
        <v>0.70589268191912413</v>
      </c>
      <c r="CC20" s="545">
        <v>37</v>
      </c>
      <c r="CD20" s="544">
        <f t="shared" si="4"/>
        <v>256.79931443972231</v>
      </c>
      <c r="CE20" s="544">
        <f t="shared" si="4"/>
        <v>266.81663659524821</v>
      </c>
      <c r="CF20" s="544">
        <f t="shared" si="4"/>
        <v>277.2212751722318</v>
      </c>
      <c r="CG20" s="544">
        <f t="shared" si="4"/>
        <v>288.02806857951674</v>
      </c>
      <c r="CH20" s="544">
        <f t="shared" si="4"/>
        <v>299.25241807679663</v>
      </c>
      <c r="CI20" s="544">
        <f t="shared" si="4"/>
        <v>310.91030889052894</v>
      </c>
      <c r="CJ20" s="544">
        <f t="shared" si="4"/>
        <v>323.0183321120893</v>
      </c>
      <c r="CK20" s="544">
        <f t="shared" si="4"/>
        <v>335.59370740708175</v>
      </c>
      <c r="CL20" s="544">
        <f t="shared" si="4"/>
        <v>348.6543065651158</v>
      </c>
      <c r="CM20" s="544">
        <f t="shared" si="4"/>
        <v>362.21867792101557</v>
      </c>
      <c r="CN20" s="544">
        <f t="shared" si="5"/>
        <v>376.30607167897796</v>
      </c>
      <c r="CO20" s="544">
        <f t="shared" si="5"/>
        <v>390.93646617287152</v>
      </c>
      <c r="CP20" s="544">
        <f t="shared" si="5"/>
        <v>406.13059509649759</v>
      </c>
      <c r="CQ20" s="544">
        <f t="shared" si="5"/>
        <v>421.90997573944605</v>
      </c>
      <c r="CR20" s="544">
        <f t="shared" si="5"/>
        <v>438.2969382648381</v>
      </c>
      <c r="CS20" s="544">
        <f t="shared" si="5"/>
        <v>455.31465606715346</v>
      </c>
      <c r="CT20" s="544">
        <f t="shared" si="5"/>
        <v>472.98717724913206</v>
      </c>
      <c r="CU20" s="544">
        <f t="shared" si="5"/>
        <v>491.33945725867852</v>
      </c>
      <c r="CV20" s="544">
        <f t="shared" si="5"/>
        <v>510.39739272763279</v>
      </c>
      <c r="CW20" s="548">
        <f t="shared" si="5"/>
        <v>530.18785655630859</v>
      </c>
      <c r="CX20" s="559"/>
    </row>
    <row r="21" spans="1:102" ht="15.75" thickBot="1">
      <c r="A21" s="180">
        <v>8</v>
      </c>
      <c r="B21" s="181">
        <v>99573</v>
      </c>
      <c r="C21" s="182">
        <v>70.97</v>
      </c>
      <c r="D21" s="180">
        <v>58</v>
      </c>
      <c r="E21" s="181">
        <f t="shared" si="10"/>
        <v>92548</v>
      </c>
      <c r="F21" s="182">
        <f t="shared" si="10"/>
        <v>23.38</v>
      </c>
      <c r="G21" s="160"/>
      <c r="H21" s="180">
        <v>8</v>
      </c>
      <c r="I21" s="181">
        <v>99638</v>
      </c>
      <c r="J21" s="182">
        <v>75.7</v>
      </c>
      <c r="K21" s="180">
        <v>58</v>
      </c>
      <c r="L21" s="181">
        <f t="shared" si="11"/>
        <v>95747</v>
      </c>
      <c r="M21" s="182">
        <f t="shared" si="11"/>
        <v>27.17</v>
      </c>
      <c r="O21" s="181">
        <f t="shared" si="6"/>
        <v>99605.5</v>
      </c>
      <c r="P21" s="182">
        <f t="shared" si="7"/>
        <v>73.335000000000008</v>
      </c>
      <c r="S21" s="195" t="str">
        <f>"Wahrscheinlich gemeinsame Zeit: "&amp;TEXT(T20,"#0,00")&amp;" x "&amp;TEXT(T18,"#0,00%")</f>
        <v>Wahrscheinlich gemeinsame Zeit: 16,48 x 79,76%</v>
      </c>
      <c r="T21" s="2722">
        <f>+T20*T18</f>
        <v>13.144392354544619</v>
      </c>
      <c r="U21" s="2723"/>
      <c r="W21" s="2716"/>
      <c r="X21" s="30">
        <v>49</v>
      </c>
      <c r="Y21" s="187">
        <f t="shared" si="2"/>
        <v>0.99095054650610204</v>
      </c>
      <c r="Z21" s="187">
        <f t="shared" si="8"/>
        <v>0.991572152692763</v>
      </c>
      <c r="AA21" s="187">
        <f t="shared" si="12"/>
        <v>0.99230504424599564</v>
      </c>
      <c r="AB21" s="187">
        <f t="shared" si="14"/>
        <v>0.99309939505709977</v>
      </c>
      <c r="AC21" s="187">
        <f t="shared" si="16"/>
        <v>0.99399582141625586</v>
      </c>
      <c r="AD21" s="187">
        <f t="shared" si="18"/>
        <v>0.99493426729607637</v>
      </c>
      <c r="AE21" s="187">
        <f t="shared" si="20"/>
        <v>0.99600605697212374</v>
      </c>
      <c r="AF21" s="187">
        <f t="shared" si="22"/>
        <v>0.99718160821301749</v>
      </c>
      <c r="AG21" s="187">
        <f t="shared" ref="AG21:AG47" si="24">VLOOKUP($X21,Sterbetafel,9)/VLOOKUP(AG$11,Sterbetafel,9)</f>
        <v>0.9984819927665427</v>
      </c>
      <c r="AH21" s="177"/>
      <c r="AI21" s="178">
        <f t="shared" ref="AI21:BH21" si="25">VLOOKUP(AI$11,Sterbetafel,2)/VLOOKUP($X21,Sterbetafel,2)</f>
        <v>0.99705885398867033</v>
      </c>
      <c r="AJ21" s="178">
        <f t="shared" si="25"/>
        <v>0.99385880427916029</v>
      </c>
      <c r="AK21" s="178">
        <f t="shared" si="25"/>
        <v>0.99029628939219771</v>
      </c>
      <c r="AL21" s="178">
        <f t="shared" si="25"/>
        <v>0.98634024088400074</v>
      </c>
      <c r="AM21" s="178">
        <f t="shared" si="25"/>
        <v>0.98188709727529744</v>
      </c>
      <c r="AN21" s="178">
        <f t="shared" si="25"/>
        <v>0.97697828315779667</v>
      </c>
      <c r="AO21" s="178">
        <f t="shared" si="25"/>
        <v>0.97141703172088112</v>
      </c>
      <c r="AP21" s="178">
        <f t="shared" si="25"/>
        <v>0.96526547985211419</v>
      </c>
      <c r="AQ21" s="178">
        <f t="shared" si="25"/>
        <v>0.95844077836807817</v>
      </c>
      <c r="AR21" s="178">
        <f t="shared" si="25"/>
        <v>0.9510361326001181</v>
      </c>
      <c r="AS21" s="178">
        <f t="shared" si="25"/>
        <v>0.94277192655419895</v>
      </c>
      <c r="AT21" s="178">
        <f t="shared" si="25"/>
        <v>0.93376207785752008</v>
      </c>
      <c r="AU21" s="178">
        <f t="shared" si="25"/>
        <v>0.92387195658702792</v>
      </c>
      <c r="AV21" s="178">
        <f t="shared" si="25"/>
        <v>0.91301871355930453</v>
      </c>
      <c r="AW21" s="178">
        <f t="shared" si="25"/>
        <v>0.90119199262642269</v>
      </c>
      <c r="AX21" s="178">
        <f t="shared" si="25"/>
        <v>0.8884539306759458</v>
      </c>
      <c r="AY21" s="178">
        <f t="shared" si="25"/>
        <v>0.87481488385580097</v>
      </c>
      <c r="AZ21" s="178">
        <f t="shared" si="25"/>
        <v>0.86011950994708009</v>
      </c>
      <c r="BA21" s="178">
        <f t="shared" si="25"/>
        <v>0.84456457576040012</v>
      </c>
      <c r="BB21" s="178">
        <f t="shared" si="25"/>
        <v>0.82798438292892573</v>
      </c>
      <c r="BC21" s="178">
        <f t="shared" si="25"/>
        <v>0.81052391752363795</v>
      </c>
      <c r="BD21" s="178">
        <f t="shared" si="25"/>
        <v>0.79227638487588159</v>
      </c>
      <c r="BE21" s="178">
        <f t="shared" si="25"/>
        <v>0.77251685463075159</v>
      </c>
      <c r="BF21" s="178">
        <f t="shared" si="25"/>
        <v>0.7522188046934063</v>
      </c>
      <c r="BG21" s="178">
        <f t="shared" si="25"/>
        <v>0.73053303093381383</v>
      </c>
      <c r="BH21" s="179">
        <f t="shared" si="25"/>
        <v>0.70774950549393645</v>
      </c>
      <c r="CC21" s="545">
        <v>38</v>
      </c>
      <c r="CD21" s="543">
        <f t="shared" si="4"/>
        <v>255.52170591017148</v>
      </c>
      <c r="CE21" s="543">
        <f t="shared" si="4"/>
        <v>265.22528488593264</v>
      </c>
      <c r="CF21" s="543">
        <f t="shared" si="4"/>
        <v>275.29421566259373</v>
      </c>
      <c r="CG21" s="543">
        <f t="shared" si="4"/>
        <v>285.74213152729834</v>
      </c>
      <c r="CH21" s="543">
        <f t="shared" si="4"/>
        <v>296.5831695508391</v>
      </c>
      <c r="CI21" s="543">
        <f t="shared" si="4"/>
        <v>307.83198900052366</v>
      </c>
      <c r="CJ21" s="543">
        <f t="shared" si="4"/>
        <v>319.50379041749682</v>
      </c>
      <c r="CK21" s="543">
        <f t="shared" si="4"/>
        <v>331.61433538249179</v>
      </c>
      <c r="CL21" s="543">
        <f t="shared" si="4"/>
        <v>344.17996699419126</v>
      </c>
      <c r="CM21" s="543">
        <f t="shared" si="4"/>
        <v>357.21763108581411</v>
      </c>
      <c r="CN21" s="543">
        <f t="shared" si="5"/>
        <v>370.74489820588974</v>
      </c>
      <c r="CO21" s="543">
        <f t="shared" si="5"/>
        <v>384.77998639062156</v>
      </c>
      <c r="CP21" s="543">
        <f t="shared" si="5"/>
        <v>399.34178475565147</v>
      </c>
      <c r="CQ21" s="543">
        <f t="shared" si="5"/>
        <v>414.44987793658754</v>
      </c>
      <c r="CR21" s="543">
        <f t="shared" si="5"/>
        <v>430.12457140808442</v>
      </c>
      <c r="CS21" s="543">
        <f t="shared" si="5"/>
        <v>446.38691771289558</v>
      </c>
      <c r="CT21" s="543">
        <f t="shared" si="5"/>
        <v>463.25874363284231</v>
      </c>
      <c r="CU21" s="543">
        <f t="shared" si="5"/>
        <v>480.76267833530198</v>
      </c>
      <c r="CV21" s="543">
        <f t="shared" si="5"/>
        <v>498.92218252945543</v>
      </c>
      <c r="CW21" s="547">
        <f t="shared" si="5"/>
        <v>517.76157866827009</v>
      </c>
      <c r="CX21" s="559"/>
    </row>
    <row r="22" spans="1:102" ht="14.25">
      <c r="A22" s="171">
        <v>9</v>
      </c>
      <c r="B22" s="188">
        <v>99566</v>
      </c>
      <c r="C22" s="189">
        <v>69.97</v>
      </c>
      <c r="D22" s="171">
        <v>59</v>
      </c>
      <c r="E22" s="188">
        <f t="shared" si="10"/>
        <v>91833</v>
      </c>
      <c r="F22" s="189">
        <f t="shared" si="10"/>
        <v>22.56</v>
      </c>
      <c r="G22" s="160"/>
      <c r="H22" s="171">
        <v>9</v>
      </c>
      <c r="I22" s="188">
        <v>99630</v>
      </c>
      <c r="J22" s="189">
        <v>74.709999999999994</v>
      </c>
      <c r="K22" s="171">
        <v>59</v>
      </c>
      <c r="L22" s="188">
        <f t="shared" si="11"/>
        <v>95347</v>
      </c>
      <c r="M22" s="189">
        <f t="shared" si="11"/>
        <v>26.29</v>
      </c>
      <c r="O22" s="188">
        <f t="shared" si="6"/>
        <v>99598</v>
      </c>
      <c r="P22" s="189">
        <f t="shared" si="7"/>
        <v>72.34</v>
      </c>
      <c r="W22" s="2716"/>
      <c r="X22" s="30">
        <v>50</v>
      </c>
      <c r="Y22" s="187">
        <f t="shared" si="2"/>
        <v>0.98928221150443374</v>
      </c>
      <c r="Z22" s="187">
        <f t="shared" si="8"/>
        <v>0.98990277117332226</v>
      </c>
      <c r="AA22" s="187">
        <f t="shared" si="12"/>
        <v>0.99063442885203412</v>
      </c>
      <c r="AB22" s="187">
        <f t="shared" si="14"/>
        <v>0.99142744231763047</v>
      </c>
      <c r="AC22" s="187">
        <f t="shared" si="16"/>
        <v>0.99232235947990832</v>
      </c>
      <c r="AD22" s="187">
        <f t="shared" si="18"/>
        <v>0.99325922542002942</v>
      </c>
      <c r="AE22" s="187">
        <f t="shared" si="20"/>
        <v>0.99432921066270996</v>
      </c>
      <c r="AF22" s="187">
        <f t="shared" si="22"/>
        <v>0.99550278278033844</v>
      </c>
      <c r="AG22" s="187">
        <f t="shared" si="24"/>
        <v>0.99680097804492895</v>
      </c>
      <c r="AH22" s="187">
        <f t="shared" ref="AH22:AH47" si="26">VLOOKUP($X22,Sterbetafel,9)/VLOOKUP(AH$11,Sterbetafel,9)</f>
        <v>0.99831642960635059</v>
      </c>
      <c r="AI22" s="177"/>
      <c r="AJ22" s="178">
        <f t="shared" ref="AJ22:BH22" si="27">VLOOKUP(AJ$11,Sterbetafel,2)/VLOOKUP($X22,Sterbetafel,2)</f>
        <v>0.9967905107138777</v>
      </c>
      <c r="AK22" s="178">
        <f t="shared" si="27"/>
        <v>0.99321748704259583</v>
      </c>
      <c r="AL22" s="178">
        <f t="shared" si="27"/>
        <v>0.98924976889599803</v>
      </c>
      <c r="AM22" s="178">
        <f t="shared" si="27"/>
        <v>0.98478348930689574</v>
      </c>
      <c r="AN22" s="178">
        <f t="shared" si="27"/>
        <v>0.97986019506216437</v>
      </c>
      <c r="AO22" s="178">
        <f t="shared" si="27"/>
        <v>0.97428253892414596</v>
      </c>
      <c r="AP22" s="178">
        <f t="shared" si="27"/>
        <v>0.96811284107315354</v>
      </c>
      <c r="AQ22" s="178">
        <f t="shared" si="27"/>
        <v>0.96126800793543632</v>
      </c>
      <c r="AR22" s="178">
        <f t="shared" si="27"/>
        <v>0.95384151978146392</v>
      </c>
      <c r="AS22" s="178">
        <f t="shared" si="27"/>
        <v>0.94555293579982758</v>
      </c>
      <c r="AT22" s="178">
        <f t="shared" si="27"/>
        <v>0.93651650965443456</v>
      </c>
      <c r="AU22" s="178">
        <f t="shared" si="27"/>
        <v>0.92659721428793995</v>
      </c>
      <c r="AV22" s="178">
        <f t="shared" si="27"/>
        <v>0.91571195612659306</v>
      </c>
      <c r="AW22" s="178">
        <f t="shared" si="27"/>
        <v>0.90385034847367496</v>
      </c>
      <c r="AX22" s="178">
        <f t="shared" si="27"/>
        <v>0.89107471150949868</v>
      </c>
      <c r="AY22" s="178">
        <f t="shared" si="27"/>
        <v>0.87739543193078307</v>
      </c>
      <c r="AZ22" s="178">
        <f t="shared" si="27"/>
        <v>0.86265670928674554</v>
      </c>
      <c r="BA22" s="178">
        <f t="shared" si="27"/>
        <v>0.84705589081504407</v>
      </c>
      <c r="BB22" s="178">
        <f t="shared" si="27"/>
        <v>0.83042678936817726</v>
      </c>
      <c r="BC22" s="178">
        <f t="shared" si="27"/>
        <v>0.81291481870020876</v>
      </c>
      <c r="BD22" s="178">
        <f t="shared" si="27"/>
        <v>0.7946134590816083</v>
      </c>
      <c r="BE22" s="178">
        <f t="shared" si="27"/>
        <v>0.77479564174205673</v>
      </c>
      <c r="BF22" s="178">
        <f t="shared" si="27"/>
        <v>0.75443771617312549</v>
      </c>
      <c r="BG22" s="178">
        <f t="shared" si="27"/>
        <v>0.73268797324386925</v>
      </c>
      <c r="BH22" s="179">
        <f t="shared" si="27"/>
        <v>0.7098372404624157</v>
      </c>
      <c r="CC22" s="545">
        <v>39</v>
      </c>
      <c r="CD22" s="544">
        <f t="shared" si="4"/>
        <v>254.25045364196171</v>
      </c>
      <c r="CE22" s="544">
        <f t="shared" si="4"/>
        <v>263.64342433989322</v>
      </c>
      <c r="CF22" s="544">
        <f t="shared" si="4"/>
        <v>273.38055179999378</v>
      </c>
      <c r="CG22" s="544">
        <f t="shared" si="4"/>
        <v>283.47433683263728</v>
      </c>
      <c r="CH22" s="544">
        <f t="shared" si="4"/>
        <v>293.93772998101002</v>
      </c>
      <c r="CI22" s="544">
        <f t="shared" si="4"/>
        <v>304.78414752527095</v>
      </c>
      <c r="CJ22" s="544">
        <f t="shared" si="4"/>
        <v>316.02748804895839</v>
      </c>
      <c r="CK22" s="544">
        <f t="shared" si="4"/>
        <v>327.6821495874425</v>
      </c>
      <c r="CL22" s="544">
        <f t="shared" si="4"/>
        <v>339.76304737827371</v>
      </c>
      <c r="CM22" s="544">
        <f t="shared" si="4"/>
        <v>352.28563223453068</v>
      </c>
      <c r="CN22" s="544">
        <f t="shared" si="5"/>
        <v>365.26590956245298</v>
      </c>
      <c r="CO22" s="544">
        <f t="shared" si="5"/>
        <v>378.72045904588731</v>
      </c>
      <c r="CP22" s="544">
        <f t="shared" si="5"/>
        <v>392.66645502030633</v>
      </c>
      <c r="CQ22" s="544">
        <f t="shared" si="5"/>
        <v>407.12168756049846</v>
      </c>
      <c r="CR22" s="544">
        <f t="shared" si="5"/>
        <v>422.10458430626545</v>
      </c>
      <c r="CS22" s="544">
        <f t="shared" si="5"/>
        <v>437.63423305185847</v>
      </c>
      <c r="CT22" s="544">
        <f t="shared" si="5"/>
        <v>453.730405125213</v>
      </c>
      <c r="CU22" s="544">
        <f t="shared" si="5"/>
        <v>470.41357958444416</v>
      </c>
      <c r="CV22" s="544">
        <f t="shared" si="5"/>
        <v>487.70496825948715</v>
      </c>
      <c r="CW22" s="548">
        <f t="shared" si="5"/>
        <v>505.62654166823256</v>
      </c>
      <c r="CX22" s="559"/>
    </row>
    <row r="23" spans="1:102" thickBot="1">
      <c r="A23" s="180">
        <v>10</v>
      </c>
      <c r="B23" s="181">
        <v>99558</v>
      </c>
      <c r="C23" s="182">
        <v>68.98</v>
      </c>
      <c r="D23" s="180">
        <v>60</v>
      </c>
      <c r="E23" s="181">
        <f t="shared" si="10"/>
        <v>91035</v>
      </c>
      <c r="F23" s="182">
        <f t="shared" si="10"/>
        <v>21.75</v>
      </c>
      <c r="G23" s="160"/>
      <c r="H23" s="180">
        <v>10</v>
      </c>
      <c r="I23" s="181">
        <v>99625</v>
      </c>
      <c r="J23" s="182">
        <v>73.709999999999994</v>
      </c>
      <c r="K23" s="180">
        <v>60</v>
      </c>
      <c r="L23" s="181">
        <f t="shared" si="11"/>
        <v>94905</v>
      </c>
      <c r="M23" s="182">
        <f t="shared" si="11"/>
        <v>25.41</v>
      </c>
      <c r="O23" s="181">
        <f t="shared" si="6"/>
        <v>99591.5</v>
      </c>
      <c r="P23" s="182">
        <f t="shared" si="7"/>
        <v>71.344999999999999</v>
      </c>
      <c r="W23" s="2716"/>
      <c r="X23" s="30">
        <v>51</v>
      </c>
      <c r="Y23" s="187">
        <f t="shared" si="2"/>
        <v>0.98746220968443188</v>
      </c>
      <c r="Z23" s="187">
        <f t="shared" si="8"/>
        <v>0.9880816276975688</v>
      </c>
      <c r="AA23" s="187">
        <f t="shared" si="12"/>
        <v>0.98881193933134881</v>
      </c>
      <c r="AB23" s="187">
        <f t="shared" si="14"/>
        <v>0.98960349387457314</v>
      </c>
      <c r="AC23" s="187">
        <f t="shared" si="16"/>
        <v>0.99049676464025638</v>
      </c>
      <c r="AD23" s="187">
        <f t="shared" si="18"/>
        <v>0.99143190700979644</v>
      </c>
      <c r="AE23" s="187">
        <f t="shared" si="20"/>
        <v>0.99249992377971319</v>
      </c>
      <c r="AF23" s="187">
        <f t="shared" si="22"/>
        <v>0.9936713368537794</v>
      </c>
      <c r="AG23" s="187">
        <f t="shared" si="24"/>
        <v>0.99496714380316842</v>
      </c>
      <c r="AH23" s="187">
        <f t="shared" si="26"/>
        <v>0.99647980735873309</v>
      </c>
      <c r="AI23" s="187">
        <f t="shared" ref="AI23:AI47" si="28">VLOOKUP($X23,Sterbetafel,9)/VLOOKUP(AI$11,Sterbetafel,9)</f>
        <v>0.99816028045502392</v>
      </c>
      <c r="AJ23" s="177"/>
      <c r="AK23" s="178">
        <f t="shared" ref="AK23:BH23" si="29">VLOOKUP(AK$11,Sterbetafel,2)/VLOOKUP($X23,Sterbetafel,2)</f>
        <v>0.9964154718239413</v>
      </c>
      <c r="AL23" s="178">
        <f t="shared" si="29"/>
        <v>0.99243497832610872</v>
      </c>
      <c r="AM23" s="178">
        <f t="shared" si="29"/>
        <v>0.98795431810603529</v>
      </c>
      <c r="AN23" s="178">
        <f t="shared" si="29"/>
        <v>0.98301517172390795</v>
      </c>
      <c r="AO23" s="178">
        <f t="shared" si="29"/>
        <v>0.97741955651883961</v>
      </c>
      <c r="AP23" s="178">
        <f t="shared" si="29"/>
        <v>0.97122999333111038</v>
      </c>
      <c r="AQ23" s="178">
        <f t="shared" si="29"/>
        <v>0.96436312104034683</v>
      </c>
      <c r="AR23" s="178">
        <f t="shared" si="29"/>
        <v>0.95691272090696899</v>
      </c>
      <c r="AS23" s="178">
        <f t="shared" si="29"/>
        <v>0.94859744914971655</v>
      </c>
      <c r="AT23" s="178">
        <f t="shared" si="29"/>
        <v>0.93953192730910307</v>
      </c>
      <c r="AU23" s="178">
        <f t="shared" si="29"/>
        <v>0.92958069356452155</v>
      </c>
      <c r="AV23" s="178">
        <f t="shared" si="29"/>
        <v>0.91866038679559858</v>
      </c>
      <c r="AW23" s="178">
        <f t="shared" si="29"/>
        <v>0.90676058686228744</v>
      </c>
      <c r="AX23" s="178">
        <f t="shared" si="29"/>
        <v>0.89394381460486827</v>
      </c>
      <c r="AY23" s="178">
        <f t="shared" si="29"/>
        <v>0.88022049016338777</v>
      </c>
      <c r="AZ23" s="178">
        <f t="shared" si="29"/>
        <v>0.86543431143714566</v>
      </c>
      <c r="BA23" s="178">
        <f t="shared" si="29"/>
        <v>0.84978326108702906</v>
      </c>
      <c r="BB23" s="178">
        <f t="shared" si="29"/>
        <v>0.83310061687229076</v>
      </c>
      <c r="BC23" s="178">
        <f t="shared" si="29"/>
        <v>0.81553226075358454</v>
      </c>
      <c r="BD23" s="178">
        <f t="shared" si="29"/>
        <v>0.79717197399133044</v>
      </c>
      <c r="BE23" s="178">
        <f t="shared" si="29"/>
        <v>0.77729034678226072</v>
      </c>
      <c r="BF23" s="178">
        <f t="shared" si="29"/>
        <v>0.75686687229076355</v>
      </c>
      <c r="BG23" s="178">
        <f t="shared" si="29"/>
        <v>0.73504709903301102</v>
      </c>
      <c r="BH23" s="179">
        <f t="shared" si="29"/>
        <v>0.71212279093031006</v>
      </c>
      <c r="CC23" s="545">
        <v>40</v>
      </c>
      <c r="CD23" s="543">
        <f t="shared" ref="CD23:CM32" si="30">(((1+CD$12)^$CA$15-1)/CD$12)*$CA$18*(1+CD$12)^($CH$11-$CC23)*12</f>
        <v>252.98552601190227</v>
      </c>
      <c r="CE23" s="543">
        <f t="shared" si="30"/>
        <v>262.07099834979442</v>
      </c>
      <c r="CF23" s="543">
        <f t="shared" si="30"/>
        <v>271.4801904667267</v>
      </c>
      <c r="CG23" s="543">
        <f t="shared" si="30"/>
        <v>281.22454050856874</v>
      </c>
      <c r="CH23" s="543">
        <f t="shared" si="30"/>
        <v>291.31588699802774</v>
      </c>
      <c r="CI23" s="543">
        <f t="shared" si="30"/>
        <v>301.76648269828803</v>
      </c>
      <c r="CJ23" s="543">
        <f t="shared" si="30"/>
        <v>312.58900895050283</v>
      </c>
      <c r="CK23" s="543">
        <f t="shared" si="30"/>
        <v>323.7965905014255</v>
      </c>
      <c r="CL23" s="543">
        <f t="shared" si="30"/>
        <v>335.40281083738768</v>
      </c>
      <c r="CM23" s="543">
        <f t="shared" si="30"/>
        <v>347.42172804194342</v>
      </c>
      <c r="CN23" s="543">
        <f t="shared" ref="CN23:CW32" si="31">(((1+CN$12)^$CA$15-1)/CN$12)*$CA$18*(1+CN$12)^($CH$11-$CC23)*12</f>
        <v>359.86789119453499</v>
      </c>
      <c r="CO23" s="543">
        <f t="shared" si="31"/>
        <v>372.75635732862924</v>
      </c>
      <c r="CP23" s="543">
        <f t="shared" si="31"/>
        <v>386.10270896785289</v>
      </c>
      <c r="CQ23" s="543">
        <f t="shared" si="31"/>
        <v>399.92307225982171</v>
      </c>
      <c r="CR23" s="543">
        <f t="shared" si="31"/>
        <v>414.23413572744403</v>
      </c>
      <c r="CS23" s="543">
        <f t="shared" si="31"/>
        <v>429.05316965868468</v>
      </c>
      <c r="CT23" s="543">
        <f t="shared" si="31"/>
        <v>444.39804615593835</v>
      </c>
      <c r="CU23" s="543">
        <f t="shared" si="31"/>
        <v>460.2872598673622</v>
      </c>
      <c r="CV23" s="543">
        <f t="shared" si="31"/>
        <v>476.73994942276363</v>
      </c>
      <c r="CW23" s="547">
        <f t="shared" si="31"/>
        <v>493.77591959788333</v>
      </c>
      <c r="CX23" s="559"/>
    </row>
    <row r="24" spans="1:102" ht="14.25">
      <c r="A24" s="171">
        <v>11</v>
      </c>
      <c r="B24" s="188">
        <v>99550</v>
      </c>
      <c r="C24" s="189">
        <v>67.98</v>
      </c>
      <c r="D24" s="171">
        <v>61</v>
      </c>
      <c r="E24" s="188">
        <f t="shared" si="10"/>
        <v>90165</v>
      </c>
      <c r="F24" s="189">
        <f t="shared" si="10"/>
        <v>20.96</v>
      </c>
      <c r="G24" s="160"/>
      <c r="H24" s="171">
        <v>11</v>
      </c>
      <c r="I24" s="188">
        <v>99620</v>
      </c>
      <c r="J24" s="189">
        <v>72.709999999999994</v>
      </c>
      <c r="K24" s="171">
        <v>61</v>
      </c>
      <c r="L24" s="188">
        <f t="shared" si="11"/>
        <v>94418</v>
      </c>
      <c r="M24" s="189">
        <f t="shared" si="11"/>
        <v>24.53</v>
      </c>
      <c r="O24" s="188">
        <f t="shared" si="6"/>
        <v>99585</v>
      </c>
      <c r="P24" s="189">
        <f t="shared" si="7"/>
        <v>70.344999999999999</v>
      </c>
      <c r="S24" s="2724" t="s">
        <v>250</v>
      </c>
      <c r="T24" s="2725"/>
      <c r="U24" s="2726"/>
      <c r="W24" s="2716"/>
      <c r="X24" s="30">
        <v>52</v>
      </c>
      <c r="Y24" s="187">
        <f t="shared" si="2"/>
        <v>0.9854096520763187</v>
      </c>
      <c r="Z24" s="187">
        <f t="shared" si="8"/>
        <v>0.98602778255546897</v>
      </c>
      <c r="AA24" s="187">
        <f t="shared" si="12"/>
        <v>0.98675657614968715</v>
      </c>
      <c r="AB24" s="187">
        <f t="shared" si="14"/>
        <v>0.98754648535268075</v>
      </c>
      <c r="AC24" s="187">
        <f t="shared" si="16"/>
        <v>0.98843789934887116</v>
      </c>
      <c r="AD24" s="187">
        <f t="shared" si="18"/>
        <v>0.9893710979138115</v>
      </c>
      <c r="AE24" s="187">
        <f t="shared" si="20"/>
        <v>0.99043689468388907</v>
      </c>
      <c r="AF24" s="187">
        <f t="shared" si="22"/>
        <v>0.99160587283660451</v>
      </c>
      <c r="AG24" s="187">
        <f t="shared" si="24"/>
        <v>0.99289898629718298</v>
      </c>
      <c r="AH24" s="187">
        <f t="shared" si="26"/>
        <v>0.9944085056016978</v>
      </c>
      <c r="AI24" s="187">
        <f t="shared" si="28"/>
        <v>0.99608548563485655</v>
      </c>
      <c r="AJ24" s="187">
        <f t="shared" ref="AJ24:AJ47" si="32">VLOOKUP($X24,Sterbetafel,9)/VLOOKUP(AJ$11,Sterbetafel,9)</f>
        <v>0.99792138110402306</v>
      </c>
      <c r="AK24" s="177"/>
      <c r="AL24" s="178">
        <f t="shared" ref="AL24:BH24" si="33">VLOOKUP(AL$11,Sterbetafel,2)/VLOOKUP($X24,Sterbetafel,2)</f>
        <v>0.99600518698234752</v>
      </c>
      <c r="AM24" s="178">
        <f t="shared" si="33"/>
        <v>0.99150840793106332</v>
      </c>
      <c r="AN24" s="178">
        <f t="shared" si="33"/>
        <v>0.98655149334895009</v>
      </c>
      <c r="AO24" s="178">
        <f t="shared" si="33"/>
        <v>0.98093574834769515</v>
      </c>
      <c r="AP24" s="178">
        <f t="shared" si="33"/>
        <v>0.97472391868150254</v>
      </c>
      <c r="AQ24" s="178">
        <f t="shared" si="33"/>
        <v>0.96783234334476698</v>
      </c>
      <c r="AR24" s="178">
        <f t="shared" si="33"/>
        <v>0.96035514096879449</v>
      </c>
      <c r="AS24" s="178">
        <f t="shared" si="33"/>
        <v>0.95200995565966706</v>
      </c>
      <c r="AT24" s="178">
        <f t="shared" si="33"/>
        <v>0.94291182130009199</v>
      </c>
      <c r="AU24" s="178">
        <f t="shared" si="33"/>
        <v>0.93292478875596085</v>
      </c>
      <c r="AV24" s="178">
        <f t="shared" si="33"/>
        <v>0.92196519702166824</v>
      </c>
      <c r="AW24" s="178">
        <f t="shared" si="33"/>
        <v>0.91002258847151341</v>
      </c>
      <c r="AX24" s="178">
        <f t="shared" si="33"/>
        <v>0.89715970885970053</v>
      </c>
      <c r="AY24" s="178">
        <f t="shared" si="33"/>
        <v>0.88338701581193002</v>
      </c>
      <c r="AZ24" s="178">
        <f t="shared" si="33"/>
        <v>0.86854764494269221</v>
      </c>
      <c r="BA24" s="178">
        <f t="shared" si="33"/>
        <v>0.85284029114029947</v>
      </c>
      <c r="BB24" s="178">
        <f t="shared" si="33"/>
        <v>0.8360976323935414</v>
      </c>
      <c r="BC24" s="178">
        <f t="shared" si="33"/>
        <v>0.81846607546222705</v>
      </c>
      <c r="BD24" s="178">
        <f t="shared" si="33"/>
        <v>0.80003973897766256</v>
      </c>
      <c r="BE24" s="178">
        <f t="shared" si="33"/>
        <v>0.78008658914080142</v>
      </c>
      <c r="BF24" s="178">
        <f t="shared" si="33"/>
        <v>0.75958964276750607</v>
      </c>
      <c r="BG24" s="178">
        <f t="shared" si="33"/>
        <v>0.73769137455032208</v>
      </c>
      <c r="BH24" s="179">
        <f t="shared" si="33"/>
        <v>0.71468459800886808</v>
      </c>
      <c r="CC24" s="545">
        <v>41</v>
      </c>
      <c r="CD24" s="544">
        <f t="shared" si="30"/>
        <v>251.72689155413161</v>
      </c>
      <c r="CE24" s="544">
        <f t="shared" si="30"/>
        <v>260.50795064591892</v>
      </c>
      <c r="CF24" s="544">
        <f t="shared" si="30"/>
        <v>269.59303919238005</v>
      </c>
      <c r="CG24" s="544">
        <f t="shared" si="30"/>
        <v>278.99259971088168</v>
      </c>
      <c r="CH24" s="544">
        <f t="shared" si="30"/>
        <v>288.71743012688574</v>
      </c>
      <c r="CI24" s="544">
        <f t="shared" si="30"/>
        <v>298.77869574087936</v>
      </c>
      <c r="CJ24" s="544">
        <f t="shared" si="30"/>
        <v>309.18794159298005</v>
      </c>
      <c r="CK24" s="544">
        <f t="shared" si="30"/>
        <v>319.95710523856269</v>
      </c>
      <c r="CL24" s="544">
        <f t="shared" si="30"/>
        <v>331.09852994806289</v>
      </c>
      <c r="CM24" s="544">
        <f t="shared" si="30"/>
        <v>342.62497834511186</v>
      </c>
      <c r="CN24" s="544">
        <f t="shared" si="31"/>
        <v>354.54964649707887</v>
      </c>
      <c r="CO24" s="544">
        <f t="shared" si="31"/>
        <v>366.88617847306034</v>
      </c>
      <c r="CP24" s="544">
        <f t="shared" si="31"/>
        <v>379.6486813843195</v>
      </c>
      <c r="CQ24" s="544">
        <f t="shared" si="31"/>
        <v>392.85174092320409</v>
      </c>
      <c r="CR24" s="544">
        <f t="shared" si="31"/>
        <v>406.51043741653007</v>
      </c>
      <c r="CS24" s="544">
        <f t="shared" si="31"/>
        <v>420.64036241047523</v>
      </c>
      <c r="CT24" s="544">
        <f t="shared" si="31"/>
        <v>435.25763580405328</v>
      </c>
      <c r="CU24" s="544">
        <f t="shared" si="31"/>
        <v>450.37892354927811</v>
      </c>
      <c r="CV24" s="544">
        <f t="shared" si="31"/>
        <v>466.02145593623038</v>
      </c>
      <c r="CW24" s="548">
        <f t="shared" si="31"/>
        <v>482.20304648230797</v>
      </c>
      <c r="CX24" s="559"/>
    </row>
    <row r="25" spans="1:102" ht="14.25">
      <c r="A25" s="180">
        <v>12</v>
      </c>
      <c r="B25" s="181">
        <v>99543</v>
      </c>
      <c r="C25" s="182">
        <v>66.989999999999995</v>
      </c>
      <c r="D25" s="180">
        <v>62</v>
      </c>
      <c r="E25" s="181">
        <f t="shared" si="10"/>
        <v>89210</v>
      </c>
      <c r="F25" s="182">
        <f t="shared" si="10"/>
        <v>20.18</v>
      </c>
      <c r="G25" s="160"/>
      <c r="H25" s="180">
        <v>12</v>
      </c>
      <c r="I25" s="181">
        <v>99612</v>
      </c>
      <c r="J25" s="182">
        <v>71.72</v>
      </c>
      <c r="K25" s="180">
        <v>62</v>
      </c>
      <c r="L25" s="181">
        <f t="shared" si="11"/>
        <v>93891</v>
      </c>
      <c r="M25" s="182">
        <f t="shared" si="11"/>
        <v>23.67</v>
      </c>
      <c r="O25" s="181">
        <f t="shared" si="6"/>
        <v>99577.5</v>
      </c>
      <c r="P25" s="182">
        <f t="shared" si="7"/>
        <v>69.35499999999999</v>
      </c>
      <c r="S25" s="2727"/>
      <c r="T25" s="2728"/>
      <c r="U25" s="2729"/>
      <c r="W25" s="2716"/>
      <c r="X25" s="30">
        <v>53</v>
      </c>
      <c r="Y25" s="187">
        <f t="shared" si="2"/>
        <v>0.98323576101353882</v>
      </c>
      <c r="Z25" s="187">
        <f t="shared" si="8"/>
        <v>0.983852527848319</v>
      </c>
      <c r="AA25" s="187">
        <f t="shared" si="12"/>
        <v>0.98457971366664643</v>
      </c>
      <c r="AB25" s="187">
        <f t="shared" si="14"/>
        <v>0.98536788026791777</v>
      </c>
      <c r="AC25" s="187">
        <f t="shared" si="16"/>
        <v>0.98625732773484254</v>
      </c>
      <c r="AD25" s="187">
        <f t="shared" si="18"/>
        <v>0.98718846759047763</v>
      </c>
      <c r="AE25" s="187">
        <f t="shared" si="20"/>
        <v>0.98825191312919847</v>
      </c>
      <c r="AF25" s="187">
        <f t="shared" si="22"/>
        <v>0.98941831242432565</v>
      </c>
      <c r="AG25" s="187">
        <f t="shared" si="24"/>
        <v>0.99070857317508021</v>
      </c>
      <c r="AH25" s="187">
        <f t="shared" si="26"/>
        <v>0.99221476236148809</v>
      </c>
      <c r="AI25" s="187">
        <f t="shared" si="28"/>
        <v>0.99388804284502408</v>
      </c>
      <c r="AJ25" s="187">
        <f t="shared" si="32"/>
        <v>0.99571988818463875</v>
      </c>
      <c r="AK25" s="187">
        <f t="shared" ref="AK25:AK47" si="34">VLOOKUP($X25,Sterbetafel,9)/VLOOKUP(AK$11,Sterbetafel,9)</f>
        <v>0.99779392148412649</v>
      </c>
      <c r="AL25" s="177"/>
      <c r="AM25" s="178">
        <f t="shared" ref="AM25:BH25" si="35">VLOOKUP(AM$11,Sterbetafel,2)/VLOOKUP($X25,Sterbetafel,2)</f>
        <v>0.99548518510741058</v>
      </c>
      <c r="AN25" s="178">
        <f t="shared" si="35"/>
        <v>0.99050838915604456</v>
      </c>
      <c r="AO25" s="178">
        <f t="shared" si="35"/>
        <v>0.98487012032506671</v>
      </c>
      <c r="AP25" s="178">
        <f t="shared" si="35"/>
        <v>0.97863337603158274</v>
      </c>
      <c r="AQ25" s="178">
        <f t="shared" si="35"/>
        <v>0.97171415971945152</v>
      </c>
      <c r="AR25" s="178">
        <f t="shared" si="35"/>
        <v>0.96420696751433188</v>
      </c>
      <c r="AS25" s="178">
        <f t="shared" si="35"/>
        <v>0.95582831103924737</v>
      </c>
      <c r="AT25" s="178">
        <f t="shared" si="35"/>
        <v>0.94669368555889211</v>
      </c>
      <c r="AU25" s="178">
        <f t="shared" si="35"/>
        <v>0.93666659666953656</v>
      </c>
      <c r="AV25" s="178">
        <f t="shared" si="35"/>
        <v>0.92566304781503961</v>
      </c>
      <c r="AW25" s="178">
        <f t="shared" si="35"/>
        <v>0.91367253942588356</v>
      </c>
      <c r="AX25" s="178">
        <f t="shared" si="35"/>
        <v>0.90075806891917432</v>
      </c>
      <c r="AY25" s="178">
        <f t="shared" si="35"/>
        <v>0.88693013586442959</v>
      </c>
      <c r="AZ25" s="178">
        <f t="shared" si="35"/>
        <v>0.87203124671888455</v>
      </c>
      <c r="BA25" s="178">
        <f t="shared" si="35"/>
        <v>0.85626089330337452</v>
      </c>
      <c r="BB25" s="178">
        <f t="shared" si="35"/>
        <v>0.83945108250561729</v>
      </c>
      <c r="BC25" s="178">
        <f t="shared" si="35"/>
        <v>0.82174880829885977</v>
      </c>
      <c r="BD25" s="178">
        <f t="shared" si="35"/>
        <v>0.80324856680876089</v>
      </c>
      <c r="BE25" s="178">
        <f t="shared" si="35"/>
        <v>0.78321538816908509</v>
      </c>
      <c r="BF25" s="178">
        <f t="shared" si="35"/>
        <v>0.76263623191449148</v>
      </c>
      <c r="BG25" s="178">
        <f t="shared" si="35"/>
        <v>0.74065013334453289</v>
      </c>
      <c r="BH25" s="179">
        <f t="shared" si="35"/>
        <v>0.71755108040570337</v>
      </c>
      <c r="BY25" s="157">
        <f>SUM(BY26:BY72)</f>
        <v>121590.63291752957</v>
      </c>
      <c r="CC25" s="545">
        <v>42</v>
      </c>
      <c r="CD25" s="543">
        <f t="shared" si="30"/>
        <v>250.474518959335</v>
      </c>
      <c r="CE25" s="543">
        <f t="shared" si="30"/>
        <v>258.95422529415407</v>
      </c>
      <c r="CF25" s="543">
        <f t="shared" si="30"/>
        <v>267.71900614933475</v>
      </c>
      <c r="CG25" s="543">
        <f t="shared" si="30"/>
        <v>276.77837272904924</v>
      </c>
      <c r="CH25" s="543">
        <f t="shared" si="30"/>
        <v>286.14215076995623</v>
      </c>
      <c r="CI25" s="543">
        <f t="shared" si="30"/>
        <v>295.82049083255379</v>
      </c>
      <c r="CJ25" s="543">
        <f t="shared" si="30"/>
        <v>305.82387892480722</v>
      </c>
      <c r="CK25" s="543">
        <f t="shared" si="30"/>
        <v>316.16314746893545</v>
      </c>
      <c r="CL25" s="543">
        <f t="shared" si="30"/>
        <v>326.84948662197723</v>
      </c>
      <c r="CM25" s="543">
        <f t="shared" si="30"/>
        <v>337.8944559616487</v>
      </c>
      <c r="CN25" s="543">
        <f t="shared" si="31"/>
        <v>349.30999654884624</v>
      </c>
      <c r="CO25" s="543">
        <f t="shared" si="31"/>
        <v>361.10844337899636</v>
      </c>
      <c r="CP25" s="543">
        <f t="shared" si="31"/>
        <v>373.30253823433588</v>
      </c>
      <c r="CQ25" s="543">
        <f t="shared" si="31"/>
        <v>385.90544295010221</v>
      </c>
      <c r="CR25" s="543">
        <f t="shared" si="31"/>
        <v>398.9307531074877</v>
      </c>
      <c r="CS25" s="543">
        <f t="shared" si="31"/>
        <v>412.39251216713251</v>
      </c>
      <c r="CT25" s="543">
        <f t="shared" si="31"/>
        <v>426.30522605685923</v>
      </c>
      <c r="CU25" s="543">
        <f t="shared" si="31"/>
        <v>440.68387822825639</v>
      </c>
      <c r="CV25" s="543">
        <f t="shared" si="31"/>
        <v>455.5439451967062</v>
      </c>
      <c r="CW25" s="547">
        <f t="shared" si="31"/>
        <v>470.90141258037875</v>
      </c>
      <c r="CX25" s="559"/>
    </row>
    <row r="26" spans="1:102" ht="14.25">
      <c r="A26" s="171">
        <v>13</v>
      </c>
      <c r="B26" s="188">
        <v>99535</v>
      </c>
      <c r="C26" s="189">
        <v>65.989999999999995</v>
      </c>
      <c r="D26" s="171">
        <v>63</v>
      </c>
      <c r="E26" s="188">
        <f t="shared" si="10"/>
        <v>88162</v>
      </c>
      <c r="F26" s="189">
        <f t="shared" si="10"/>
        <v>19.41</v>
      </c>
      <c r="G26" s="160"/>
      <c r="H26" s="171">
        <v>13</v>
      </c>
      <c r="I26" s="188">
        <v>99606</v>
      </c>
      <c r="J26" s="189">
        <v>70.73</v>
      </c>
      <c r="K26" s="171">
        <v>63</v>
      </c>
      <c r="L26" s="188">
        <f t="shared" si="11"/>
        <v>93316</v>
      </c>
      <c r="M26" s="189">
        <f t="shared" si="11"/>
        <v>22.81</v>
      </c>
      <c r="O26" s="188">
        <f t="shared" si="6"/>
        <v>99570.5</v>
      </c>
      <c r="P26" s="189">
        <f t="shared" si="7"/>
        <v>68.36</v>
      </c>
      <c r="S26" s="196" t="s">
        <v>251</v>
      </c>
      <c r="T26" s="2730">
        <v>70</v>
      </c>
      <c r="U26" s="2731"/>
      <c r="W26" s="2716"/>
      <c r="X26" s="30">
        <v>54</v>
      </c>
      <c r="Y26" s="187">
        <f t="shared" si="2"/>
        <v>0.98079898079898076</v>
      </c>
      <c r="Z26" s="187">
        <f t="shared" si="8"/>
        <v>0.98141421908356008</v>
      </c>
      <c r="AA26" s="187">
        <f t="shared" si="12"/>
        <v>0.98213960269728451</v>
      </c>
      <c r="AB26" s="187">
        <f t="shared" si="14"/>
        <v>0.98292581596360207</v>
      </c>
      <c r="AC26" s="187">
        <f t="shared" si="16"/>
        <v>0.98381305908841965</v>
      </c>
      <c r="AD26" s="187">
        <f t="shared" si="18"/>
        <v>0.98474189127455458</v>
      </c>
      <c r="AE26" s="187">
        <f t="shared" si="20"/>
        <v>0.9858027012469639</v>
      </c>
      <c r="AF26" s="187">
        <f t="shared" si="22"/>
        <v>0.98696620982265504</v>
      </c>
      <c r="AG26" s="187">
        <f t="shared" si="24"/>
        <v>0.98825327288472309</v>
      </c>
      <c r="AH26" s="187">
        <f t="shared" si="26"/>
        <v>0.98975572924106692</v>
      </c>
      <c r="AI26" s="187">
        <f t="shared" si="28"/>
        <v>0.9914248627875839</v>
      </c>
      <c r="AJ26" s="187">
        <f t="shared" si="32"/>
        <v>0.9932521682145381</v>
      </c>
      <c r="AK26" s="187">
        <f t="shared" si="34"/>
        <v>0.99532106138028686</v>
      </c>
      <c r="AL26" s="187">
        <f t="shared" ref="AL26:AL47" si="36">VLOOKUP($X26,Sterbetafel,9)/VLOOKUP(AL$11,Sterbetafel,9)</f>
        <v>0.99752167251113188</v>
      </c>
      <c r="AM26" s="177"/>
      <c r="AN26" s="178">
        <f t="shared" ref="AN26:BH26" si="37">VLOOKUP(AN$11,Sterbetafel,2)/VLOOKUP($X26,Sterbetafel,2)</f>
        <v>0.99500063283128715</v>
      </c>
      <c r="AO26" s="178">
        <f t="shared" si="37"/>
        <v>0.98933679281103659</v>
      </c>
      <c r="AP26" s="178">
        <f t="shared" si="37"/>
        <v>0.98307176306796606</v>
      </c>
      <c r="AQ26" s="178">
        <f t="shared" si="37"/>
        <v>0.97612116609711852</v>
      </c>
      <c r="AR26" s="178">
        <f t="shared" si="37"/>
        <v>0.96857992659157066</v>
      </c>
      <c r="AS26" s="178">
        <f t="shared" si="37"/>
        <v>0.96016327047209216</v>
      </c>
      <c r="AT26" s="178">
        <f t="shared" si="37"/>
        <v>0.95098721680799903</v>
      </c>
      <c r="AU26" s="178">
        <f t="shared" si="37"/>
        <v>0.94091465215373582</v>
      </c>
      <c r="AV26" s="178">
        <f t="shared" si="37"/>
        <v>0.9298611990043455</v>
      </c>
      <c r="AW26" s="178">
        <f t="shared" si="37"/>
        <v>0.91781631017170817</v>
      </c>
      <c r="AX26" s="178">
        <f t="shared" si="37"/>
        <v>0.90484326878454202</v>
      </c>
      <c r="AY26" s="178">
        <f t="shared" si="37"/>
        <v>0.89095262203096659</v>
      </c>
      <c r="AZ26" s="178">
        <f t="shared" si="37"/>
        <v>0.875986162089187</v>
      </c>
      <c r="BA26" s="178">
        <f t="shared" si="37"/>
        <v>0.86014428553347677</v>
      </c>
      <c r="BB26" s="178">
        <f t="shared" si="37"/>
        <v>0.84325823735392147</v>
      </c>
      <c r="BC26" s="178">
        <f t="shared" si="37"/>
        <v>0.82547567818419609</v>
      </c>
      <c r="BD26" s="178">
        <f t="shared" si="37"/>
        <v>0.80689153271737757</v>
      </c>
      <c r="BE26" s="178">
        <f t="shared" si="37"/>
        <v>0.78676749778509047</v>
      </c>
      <c r="BF26" s="178">
        <f t="shared" si="37"/>
        <v>0.76609500907058181</v>
      </c>
      <c r="BG26" s="178">
        <f t="shared" si="37"/>
        <v>0.74400919714804037</v>
      </c>
      <c r="BH26" s="179">
        <f t="shared" si="37"/>
        <v>0.72080538328481625</v>
      </c>
      <c r="BV26">
        <f>T26</f>
        <v>70</v>
      </c>
      <c r="BW26">
        <f t="shared" ref="BW26:BW72" si="38">VLOOKUP(BV26,Sterbetafel,IF(St_Sex="m",2,9))</f>
        <v>87677</v>
      </c>
      <c r="BY26" s="157">
        <f>+T29</f>
        <v>12000</v>
      </c>
      <c r="CC26" s="545">
        <v>43</v>
      </c>
      <c r="CD26" s="544">
        <f t="shared" si="30"/>
        <v>249.22837707396519</v>
      </c>
      <c r="CE26" s="544">
        <f t="shared" si="30"/>
        <v>257.40976669399015</v>
      </c>
      <c r="CF26" s="544">
        <f t="shared" si="30"/>
        <v>265.8580001482967</v>
      </c>
      <c r="CG26" s="544">
        <f t="shared" si="30"/>
        <v>274.58171897723139</v>
      </c>
      <c r="CH26" s="544">
        <f t="shared" si="30"/>
        <v>283.5898421902441</v>
      </c>
      <c r="CI26" s="544">
        <f t="shared" si="30"/>
        <v>292.89157508173639</v>
      </c>
      <c r="CJ26" s="544">
        <f t="shared" si="30"/>
        <v>302.49641832325148</v>
      </c>
      <c r="CK26" s="544">
        <f t="shared" si="30"/>
        <v>312.4141773408453</v>
      </c>
      <c r="CL26" s="544">
        <f t="shared" si="30"/>
        <v>322.65497198615719</v>
      </c>
      <c r="CM26" s="544">
        <f t="shared" si="30"/>
        <v>333.22924651050164</v>
      </c>
      <c r="CN26" s="544">
        <f t="shared" si="31"/>
        <v>344.14777985108003</v>
      </c>
      <c r="CO26" s="544">
        <f t="shared" si="31"/>
        <v>355.42169623916965</v>
      </c>
      <c r="CP26" s="544">
        <f t="shared" si="31"/>
        <v>367.06247613995663</v>
      </c>
      <c r="CQ26" s="544">
        <f t="shared" si="31"/>
        <v>379.08196753448152</v>
      </c>
      <c r="CR26" s="544">
        <f t="shared" si="31"/>
        <v>391.49239755396252</v>
      </c>
      <c r="CS26" s="544">
        <f t="shared" si="31"/>
        <v>404.30638447758093</v>
      </c>
      <c r="CT26" s="544">
        <f t="shared" si="31"/>
        <v>417.53695010466146</v>
      </c>
      <c r="CU26" s="544">
        <f t="shared" si="31"/>
        <v>431.19753251297107</v>
      </c>
      <c r="CV26" s="544">
        <f t="shared" si="31"/>
        <v>445.30199921476662</v>
      </c>
      <c r="CW26" s="548">
        <f t="shared" si="31"/>
        <v>459.86466072302619</v>
      </c>
      <c r="CX26" s="559"/>
    </row>
    <row r="27" spans="1:102" ht="14.25">
      <c r="A27" s="180">
        <v>14</v>
      </c>
      <c r="B27" s="181">
        <v>99525</v>
      </c>
      <c r="C27" s="182">
        <v>65</v>
      </c>
      <c r="D27" s="180">
        <v>64</v>
      </c>
      <c r="E27" s="181">
        <f t="shared" si="10"/>
        <v>87020</v>
      </c>
      <c r="F27" s="182">
        <f t="shared" si="10"/>
        <v>18.66</v>
      </c>
      <c r="G27" s="160"/>
      <c r="H27" s="180">
        <v>14</v>
      </c>
      <c r="I27" s="181">
        <v>99598</v>
      </c>
      <c r="J27" s="182">
        <v>69.73</v>
      </c>
      <c r="K27" s="180">
        <v>64</v>
      </c>
      <c r="L27" s="181">
        <f t="shared" si="11"/>
        <v>92685</v>
      </c>
      <c r="M27" s="182">
        <f t="shared" si="11"/>
        <v>21.96</v>
      </c>
      <c r="O27" s="181">
        <f t="shared" si="6"/>
        <v>99561.5</v>
      </c>
      <c r="P27" s="182">
        <f t="shared" si="7"/>
        <v>67.365000000000009</v>
      </c>
      <c r="S27" s="196" t="s">
        <v>252</v>
      </c>
      <c r="T27" s="2730" t="s">
        <v>253</v>
      </c>
      <c r="U27" s="2731"/>
      <c r="W27" s="2716"/>
      <c r="X27" s="30">
        <v>55</v>
      </c>
      <c r="Y27" s="187">
        <f t="shared" si="2"/>
        <v>0.97809931143264472</v>
      </c>
      <c r="Z27" s="187">
        <f t="shared" si="8"/>
        <v>0.97871285626119242</v>
      </c>
      <c r="AA27" s="187">
        <f t="shared" si="12"/>
        <v>0.97943624324160139</v>
      </c>
      <c r="AB27" s="187">
        <f t="shared" si="14"/>
        <v>0.98022029243973374</v>
      </c>
      <c r="AC27" s="187">
        <f t="shared" si="16"/>
        <v>0.98110509340960261</v>
      </c>
      <c r="AD27" s="187">
        <f t="shared" si="18"/>
        <v>0.98203136896604237</v>
      </c>
      <c r="AE27" s="187">
        <f t="shared" si="20"/>
        <v>0.98308925903718536</v>
      </c>
      <c r="AF27" s="187">
        <f t="shared" si="22"/>
        <v>0.98424956503159244</v>
      </c>
      <c r="AG27" s="187">
        <f t="shared" si="24"/>
        <v>0.98553308542611173</v>
      </c>
      <c r="AH27" s="187">
        <f t="shared" si="26"/>
        <v>0.98703140624043428</v>
      </c>
      <c r="AI27" s="187">
        <f t="shared" si="28"/>
        <v>0.98869594546253614</v>
      </c>
      <c r="AJ27" s="187">
        <f t="shared" si="32"/>
        <v>0.99051822119372113</v>
      </c>
      <c r="AK27" s="187">
        <f t="shared" si="34"/>
        <v>0.99258141968848124</v>
      </c>
      <c r="AL27" s="187">
        <f t="shared" si="36"/>
        <v>0.99477597359192949</v>
      </c>
      <c r="AM27" s="187">
        <f t="shared" ref="AM27:AM47" si="39">VLOOKUP($X27,Sterbetafel,9)/VLOOKUP(AM$11,Sterbetafel,9)</f>
        <v>0.99724747943341374</v>
      </c>
      <c r="AN27" s="177"/>
      <c r="AO27" s="178">
        <f t="shared" ref="AO27:BH27" si="40">VLOOKUP(AO$11,Sterbetafel,2)/VLOOKUP($X27,Sterbetafel,2)</f>
        <v>0.99430770209247599</v>
      </c>
      <c r="AP27" s="178">
        <f t="shared" si="40"/>
        <v>0.98801119379253322</v>
      </c>
      <c r="AQ27" s="178">
        <f t="shared" si="40"/>
        <v>0.98102567364158666</v>
      </c>
      <c r="AR27" s="178">
        <f t="shared" si="40"/>
        <v>0.97344654328054447</v>
      </c>
      <c r="AS27" s="178">
        <f t="shared" si="40"/>
        <v>0.96498759778668197</v>
      </c>
      <c r="AT27" s="178">
        <f t="shared" si="40"/>
        <v>0.95576543916555368</v>
      </c>
      <c r="AU27" s="178">
        <f t="shared" si="40"/>
        <v>0.94564226504695881</v>
      </c>
      <c r="AV27" s="178">
        <f t="shared" si="40"/>
        <v>0.93453327397231234</v>
      </c>
      <c r="AW27" s="178">
        <f t="shared" si="40"/>
        <v>0.92242786575929103</v>
      </c>
      <c r="AX27" s="178">
        <f t="shared" si="40"/>
        <v>0.90938964150183388</v>
      </c>
      <c r="AY27" s="178">
        <f t="shared" si="40"/>
        <v>0.89542920138226378</v>
      </c>
      <c r="AZ27" s="178">
        <f t="shared" si="40"/>
        <v>0.88038754266573382</v>
      </c>
      <c r="BA27" s="178">
        <f t="shared" si="40"/>
        <v>0.86446606881638366</v>
      </c>
      <c r="BB27" s="178">
        <f t="shared" si="40"/>
        <v>0.84749517691704301</v>
      </c>
      <c r="BC27" s="178">
        <f t="shared" si="40"/>
        <v>0.8296232695202358</v>
      </c>
      <c r="BD27" s="178">
        <f t="shared" si="40"/>
        <v>0.81094574826687016</v>
      </c>
      <c r="BE27" s="178">
        <f t="shared" si="40"/>
        <v>0.79072060039432679</v>
      </c>
      <c r="BF27" s="178">
        <f t="shared" si="40"/>
        <v>0.7699442430409803</v>
      </c>
      <c r="BG27" s="178">
        <f t="shared" si="40"/>
        <v>0.74774746125633362</v>
      </c>
      <c r="BH27" s="179">
        <f t="shared" si="40"/>
        <v>0.72442706014543445</v>
      </c>
      <c r="BV27">
        <f>+BV26+1</f>
        <v>71</v>
      </c>
      <c r="BW27">
        <f t="shared" si="38"/>
        <v>86577</v>
      </c>
      <c r="BX27" s="159">
        <f>+BW27/BW$26</f>
        <v>0.98745395029483218</v>
      </c>
      <c r="BY27" s="157">
        <f>IF(BV27&lt;=BV$26+T$28-1,-PV(+T$30,BV27-BV$26,,T$29*BX27,1)*BX27,0)</f>
        <v>11250.753507148487</v>
      </c>
      <c r="CC27" s="545">
        <v>44</v>
      </c>
      <c r="CD27" s="543">
        <f t="shared" si="30"/>
        <v>247.98843489946785</v>
      </c>
      <c r="CE27" s="543">
        <f t="shared" si="30"/>
        <v>255.8745195765309</v>
      </c>
      <c r="CF27" s="543">
        <f t="shared" si="30"/>
        <v>264.00993063385965</v>
      </c>
      <c r="CG27" s="543">
        <f t="shared" si="30"/>
        <v>272.40249898534859</v>
      </c>
      <c r="CH27" s="543">
        <f t="shared" si="30"/>
        <v>281.06029949479091</v>
      </c>
      <c r="CI27" s="543">
        <f t="shared" si="30"/>
        <v>289.99165849676865</v>
      </c>
      <c r="CJ27" s="543">
        <f t="shared" si="30"/>
        <v>299.20516154624278</v>
      </c>
      <c r="CK27" s="543">
        <f t="shared" si="30"/>
        <v>308.70966140399742</v>
      </c>
      <c r="CL27" s="543">
        <f t="shared" si="30"/>
        <v>318.51428626471591</v>
      </c>
      <c r="CM27" s="543">
        <f t="shared" si="30"/>
        <v>328.62844823520868</v>
      </c>
      <c r="CN27" s="543">
        <f t="shared" si="31"/>
        <v>339.06185207002966</v>
      </c>
      <c r="CO27" s="543">
        <f t="shared" si="31"/>
        <v>349.82450417241103</v>
      </c>
      <c r="CP27" s="543">
        <f t="shared" si="31"/>
        <v>360.92672186819721</v>
      </c>
      <c r="CQ27" s="543">
        <f t="shared" si="31"/>
        <v>372.37914296118038</v>
      </c>
      <c r="CR27" s="543">
        <f t="shared" si="31"/>
        <v>384.19273557798084</v>
      </c>
      <c r="CS27" s="543">
        <f t="shared" si="31"/>
        <v>396.37880831135385</v>
      </c>
      <c r="CT27" s="543">
        <f t="shared" si="31"/>
        <v>408.94902067057933</v>
      </c>
      <c r="CU27" s="543">
        <f t="shared" si="31"/>
        <v>421.91539384830821</v>
      </c>
      <c r="CV27" s="543">
        <f t="shared" si="31"/>
        <v>435.29032181306616</v>
      </c>
      <c r="CW27" s="547">
        <f t="shared" si="31"/>
        <v>449.08658273733033</v>
      </c>
      <c r="CX27" s="559"/>
    </row>
    <row r="28" spans="1:102" ht="14.25">
      <c r="A28" s="171">
        <v>15</v>
      </c>
      <c r="B28" s="188">
        <v>99513</v>
      </c>
      <c r="C28" s="189">
        <v>64.010000000000005</v>
      </c>
      <c r="D28" s="171">
        <v>65</v>
      </c>
      <c r="E28" s="188">
        <f t="shared" si="10"/>
        <v>85790</v>
      </c>
      <c r="F28" s="189">
        <f t="shared" si="10"/>
        <v>17.920000000000002</v>
      </c>
      <c r="G28" s="160"/>
      <c r="H28" s="171">
        <v>15</v>
      </c>
      <c r="I28" s="188">
        <v>99589</v>
      </c>
      <c r="J28" s="189">
        <v>68.739999999999995</v>
      </c>
      <c r="K28" s="171">
        <v>65</v>
      </c>
      <c r="L28" s="188">
        <f t="shared" si="11"/>
        <v>91999</v>
      </c>
      <c r="M28" s="189">
        <f t="shared" si="11"/>
        <v>21.12</v>
      </c>
      <c r="O28" s="188">
        <f t="shared" si="6"/>
        <v>99551</v>
      </c>
      <c r="P28" s="189">
        <f t="shared" si="7"/>
        <v>66.375</v>
      </c>
      <c r="S28" s="196" t="s">
        <v>254</v>
      </c>
      <c r="T28" s="2730">
        <v>30</v>
      </c>
      <c r="U28" s="2731"/>
      <c r="W28" s="2716"/>
      <c r="X28" s="30">
        <v>56</v>
      </c>
      <c r="Y28" s="187">
        <f t="shared" si="2"/>
        <v>0.97505586394475285</v>
      </c>
      <c r="Z28" s="187">
        <f t="shared" si="8"/>
        <v>0.97566749967118238</v>
      </c>
      <c r="AA28" s="187">
        <f t="shared" si="12"/>
        <v>0.9763886357653444</v>
      </c>
      <c r="AB28" s="187">
        <f t="shared" si="14"/>
        <v>0.97717024532106556</v>
      </c>
      <c r="AC28" s="187">
        <f t="shared" si="16"/>
        <v>0.97805229314996245</v>
      </c>
      <c r="AD28" s="187">
        <f t="shared" si="18"/>
        <v>0.97897568651337497</v>
      </c>
      <c r="AE28" s="187">
        <f t="shared" si="20"/>
        <v>0.98003028486061849</v>
      </c>
      <c r="AF28" s="187">
        <f t="shared" si="22"/>
        <v>0.98118698045440211</v>
      </c>
      <c r="AG28" s="187">
        <f t="shared" si="24"/>
        <v>0.9824665070551678</v>
      </c>
      <c r="AH28" s="187">
        <f t="shared" si="26"/>
        <v>0.98396016570414058</v>
      </c>
      <c r="AI28" s="187">
        <f t="shared" si="28"/>
        <v>0.98561952555677068</v>
      </c>
      <c r="AJ28" s="187">
        <f t="shared" si="32"/>
        <v>0.98743613110658301</v>
      </c>
      <c r="AK28" s="187">
        <f t="shared" si="34"/>
        <v>0.98949290976625826</v>
      </c>
      <c r="AL28" s="187">
        <f t="shared" si="36"/>
        <v>0.99168063510998217</v>
      </c>
      <c r="AM28" s="187">
        <f t="shared" si="39"/>
        <v>0.99414445062988388</v>
      </c>
      <c r="AN28" s="187">
        <f t="shared" ref="AN28:AN47" si="41">VLOOKUP($X28,Sterbetafel,9)/VLOOKUP(AN$11,Sterbetafel,9)</f>
        <v>0.99688840647128751</v>
      </c>
      <c r="AO28" s="177"/>
      <c r="AP28" s="178">
        <f t="shared" ref="AP28:BH28" si="42">VLOOKUP(AP$11,Sterbetafel,2)/VLOOKUP($X28,Sterbetafel,2)</f>
        <v>0.99366744490996894</v>
      </c>
      <c r="AQ28" s="178">
        <f t="shared" si="42"/>
        <v>0.98664193345486717</v>
      </c>
      <c r="AR28" s="178">
        <f t="shared" si="42"/>
        <v>0.97901941343908916</v>
      </c>
      <c r="AS28" s="178">
        <f t="shared" si="42"/>
        <v>0.97051204144945147</v>
      </c>
      <c r="AT28" s="178">
        <f t="shared" si="42"/>
        <v>0.9612370870246586</v>
      </c>
      <c r="AU28" s="178">
        <f t="shared" si="42"/>
        <v>0.95105595889169625</v>
      </c>
      <c r="AV28" s="178">
        <f t="shared" si="42"/>
        <v>0.93988337011332501</v>
      </c>
      <c r="AW28" s="178">
        <f t="shared" si="42"/>
        <v>0.92770865982238992</v>
      </c>
      <c r="AX28" s="178">
        <f t="shared" si="42"/>
        <v>0.91459579322182061</v>
      </c>
      <c r="AY28" s="178">
        <f t="shared" si="42"/>
        <v>0.90055543117877213</v>
      </c>
      <c r="AZ28" s="178">
        <f t="shared" si="42"/>
        <v>0.88542766068592016</v>
      </c>
      <c r="BA28" s="178">
        <f t="shared" si="42"/>
        <v>0.86941503821920874</v>
      </c>
      <c r="BB28" s="178">
        <f t="shared" si="42"/>
        <v>0.8523469899041588</v>
      </c>
      <c r="BC28" s="178">
        <f t="shared" si="42"/>
        <v>0.83437276788093939</v>
      </c>
      <c r="BD28" s="178">
        <f t="shared" si="42"/>
        <v>0.8155883199539451</v>
      </c>
      <c r="BE28" s="178">
        <f t="shared" si="42"/>
        <v>0.7952473854223302</v>
      </c>
      <c r="BF28" s="178">
        <f t="shared" si="42"/>
        <v>0.77435208579865888</v>
      </c>
      <c r="BG28" s="178">
        <f t="shared" si="42"/>
        <v>0.75202822997622631</v>
      </c>
      <c r="BH28" s="179">
        <f t="shared" si="42"/>
        <v>0.72857432223537066</v>
      </c>
      <c r="BV28">
        <f t="shared" ref="BV28:BV72" si="43">+BV27+1</f>
        <v>72</v>
      </c>
      <c r="BW28">
        <f t="shared" si="38"/>
        <v>85381</v>
      </c>
      <c r="BX28" s="159">
        <f t="shared" ref="BX28:BX72" si="44">+BW28/BW$26</f>
        <v>0.97381297261539512</v>
      </c>
      <c r="BY28" s="157">
        <f t="shared" ref="BY28:BY72" si="45">IF(BV28&lt;=BV$26+T$28-1,-PV(+T$30,BV28-BV$26,,T$29*BX28,1)*BX28,0)</f>
        <v>10521.209751856866</v>
      </c>
      <c r="CC28" s="545">
        <v>45</v>
      </c>
      <c r="CD28" s="544">
        <f t="shared" si="30"/>
        <v>246.75466159151037</v>
      </c>
      <c r="CE28" s="544">
        <f t="shared" si="30"/>
        <v>254.34842900251584</v>
      </c>
      <c r="CF28" s="544">
        <f t="shared" si="30"/>
        <v>262.17470768009906</v>
      </c>
      <c r="CG28" s="544">
        <f t="shared" si="30"/>
        <v>270.2405743902267</v>
      </c>
      <c r="CH28" s="544">
        <f t="shared" si="30"/>
        <v>278.55331961822696</v>
      </c>
      <c r="CI28" s="544">
        <f t="shared" si="30"/>
        <v>287.12045395719673</v>
      </c>
      <c r="CJ28" s="544">
        <f t="shared" si="30"/>
        <v>295.94971468471095</v>
      </c>
      <c r="CK28" s="544">
        <f t="shared" si="30"/>
        <v>305.0490725335942</v>
      </c>
      <c r="CL28" s="544">
        <f t="shared" si="30"/>
        <v>314.42673866210845</v>
      </c>
      <c r="CM28" s="544">
        <f t="shared" si="30"/>
        <v>324.09117182959437</v>
      </c>
      <c r="CN28" s="544">
        <f t="shared" si="31"/>
        <v>334.05108578328048</v>
      </c>
      <c r="CO28" s="544">
        <f t="shared" si="31"/>
        <v>344.31545686260927</v>
      </c>
      <c r="CP28" s="544">
        <f t="shared" si="31"/>
        <v>354.89353182713592</v>
      </c>
      <c r="CQ28" s="544">
        <f t="shared" si="31"/>
        <v>365.79483591471535</v>
      </c>
      <c r="CR28" s="544">
        <f t="shared" si="31"/>
        <v>377.02918113638952</v>
      </c>
      <c r="CS28" s="544">
        <f t="shared" si="31"/>
        <v>388.60667481505277</v>
      </c>
      <c r="CT28" s="544">
        <f t="shared" si="31"/>
        <v>400.53772837471047</v>
      </c>
      <c r="CU28" s="544">
        <f t="shared" si="31"/>
        <v>412.83306638777719</v>
      </c>
      <c r="CV28" s="544">
        <f t="shared" si="31"/>
        <v>425.50373588765029</v>
      </c>
      <c r="CW28" s="548">
        <f t="shared" si="31"/>
        <v>438.56111595442405</v>
      </c>
      <c r="CX28" s="559"/>
    </row>
    <row r="29" spans="1:102" ht="14.25">
      <c r="A29" s="180">
        <v>16</v>
      </c>
      <c r="B29" s="181">
        <v>99497</v>
      </c>
      <c r="C29" s="182">
        <v>63.02</v>
      </c>
      <c r="D29" s="180">
        <v>66</v>
      </c>
      <c r="E29" s="181">
        <f t="shared" si="10"/>
        <v>84473</v>
      </c>
      <c r="F29" s="182">
        <f t="shared" si="10"/>
        <v>17.190000000000001</v>
      </c>
      <c r="G29" s="160"/>
      <c r="H29" s="180">
        <v>16</v>
      </c>
      <c r="I29" s="181">
        <v>99577</v>
      </c>
      <c r="J29" s="182">
        <v>67.739999999999995</v>
      </c>
      <c r="K29" s="180">
        <v>66</v>
      </c>
      <c r="L29" s="181">
        <f t="shared" si="11"/>
        <v>91261</v>
      </c>
      <c r="M29" s="182">
        <f t="shared" si="11"/>
        <v>20.29</v>
      </c>
      <c r="O29" s="181">
        <f t="shared" si="6"/>
        <v>99537</v>
      </c>
      <c r="P29" s="182">
        <f t="shared" si="7"/>
        <v>65.38</v>
      </c>
      <c r="S29" s="196" t="s">
        <v>255</v>
      </c>
      <c r="T29" s="2732">
        <v>12000</v>
      </c>
      <c r="U29" s="2733"/>
      <c r="W29" s="2716"/>
      <c r="X29" s="30">
        <v>57</v>
      </c>
      <c r="Y29" s="187">
        <f t="shared" si="2"/>
        <v>0.97175963842630508</v>
      </c>
      <c r="Z29" s="187">
        <f t="shared" si="8"/>
        <v>0.97236920648731773</v>
      </c>
      <c r="AA29" s="187">
        <f t="shared" si="12"/>
        <v>0.97308790474454776</v>
      </c>
      <c r="AB29" s="187">
        <f t="shared" si="14"/>
        <v>0.97386687202975064</v>
      </c>
      <c r="AC29" s="187">
        <f t="shared" si="16"/>
        <v>0.9747459380514818</v>
      </c>
      <c r="AD29" s="187">
        <f t="shared" si="18"/>
        <v>0.97566620983706409</v>
      </c>
      <c r="AE29" s="187">
        <f t="shared" si="20"/>
        <v>0.97671724306141328</v>
      </c>
      <c r="AF29" s="187">
        <f t="shared" si="22"/>
        <v>0.97787002838741188</v>
      </c>
      <c r="AG29" s="187">
        <f t="shared" si="24"/>
        <v>0.97914522948397942</v>
      </c>
      <c r="AH29" s="187">
        <f t="shared" si="26"/>
        <v>0.98063383874456667</v>
      </c>
      <c r="AI29" s="187">
        <f t="shared" si="28"/>
        <v>0.98228758904753632</v>
      </c>
      <c r="AJ29" s="187">
        <f t="shared" si="32"/>
        <v>0.98409805347067913</v>
      </c>
      <c r="AK29" s="187">
        <f t="shared" si="34"/>
        <v>0.98614787908637569</v>
      </c>
      <c r="AL29" s="187">
        <f t="shared" si="36"/>
        <v>0.98832820871425198</v>
      </c>
      <c r="AM29" s="187">
        <f t="shared" si="39"/>
        <v>0.99078369518154263</v>
      </c>
      <c r="AN29" s="187">
        <f t="shared" si="41"/>
        <v>0.99351837494185147</v>
      </c>
      <c r="AO29" s="187">
        <f t="shared" ref="AO29:AO47" si="46">VLOOKUP($X29,Sterbetafel,9)/VLOOKUP(AO$11,Sterbetafel,9)</f>
        <v>0.99661944957172777</v>
      </c>
      <c r="AP29" s="197"/>
      <c r="AQ29" s="178">
        <f t="shared" ref="AQ29:BH29" si="47">VLOOKUP(AQ$11,Sterbetafel,2)/VLOOKUP($X29,Sterbetafel,2)</f>
        <v>0.99292971557930199</v>
      </c>
      <c r="AR29" s="178">
        <f t="shared" si="47"/>
        <v>0.9852586179149635</v>
      </c>
      <c r="AS29" s="178">
        <f t="shared" si="47"/>
        <v>0.97669702919308632</v>
      </c>
      <c r="AT29" s="178">
        <f t="shared" si="47"/>
        <v>0.96736296630081431</v>
      </c>
      <c r="AU29" s="178">
        <f t="shared" si="47"/>
        <v>0.95711695473515934</v>
      </c>
      <c r="AV29" s="178">
        <f t="shared" si="47"/>
        <v>0.94587316403274435</v>
      </c>
      <c r="AW29" s="178">
        <f t="shared" si="47"/>
        <v>0.93362086538564704</v>
      </c>
      <c r="AX29" s="178">
        <f t="shared" si="47"/>
        <v>0.92042443164140031</v>
      </c>
      <c r="AY29" s="178">
        <f t="shared" si="47"/>
        <v>0.90629459160792647</v>
      </c>
      <c r="AZ29" s="178">
        <f t="shared" si="47"/>
        <v>0.89107041316639313</v>
      </c>
      <c r="BA29" s="178">
        <f t="shared" si="47"/>
        <v>0.8749557436673211</v>
      </c>
      <c r="BB29" s="178">
        <f t="shared" si="47"/>
        <v>0.85777892218395613</v>
      </c>
      <c r="BC29" s="178">
        <f t="shared" si="47"/>
        <v>0.8396901520272082</v>
      </c>
      <c r="BD29" s="178">
        <f t="shared" si="47"/>
        <v>0.8207859924683768</v>
      </c>
      <c r="BE29" s="178">
        <f t="shared" si="47"/>
        <v>0.80031542695291125</v>
      </c>
      <c r="BF29" s="178">
        <f t="shared" si="47"/>
        <v>0.77928696342549375</v>
      </c>
      <c r="BG29" s="178">
        <f t="shared" si="47"/>
        <v>0.75682083963650804</v>
      </c>
      <c r="BH29" s="179">
        <f t="shared" si="47"/>
        <v>0.73321746220777406</v>
      </c>
      <c r="BV29">
        <f t="shared" si="43"/>
        <v>73</v>
      </c>
      <c r="BW29">
        <f t="shared" si="38"/>
        <v>84104</v>
      </c>
      <c r="BX29" s="159">
        <f t="shared" si="44"/>
        <v>0.95924814945766845</v>
      </c>
      <c r="BY29" s="157">
        <f t="shared" si="45"/>
        <v>9816.1947994206748</v>
      </c>
      <c r="CC29" s="545">
        <v>46</v>
      </c>
      <c r="CD29" s="543">
        <f t="shared" si="30"/>
        <v>245.52702645921431</v>
      </c>
      <c r="CE29" s="543">
        <f t="shared" si="30"/>
        <v>252.83144036035372</v>
      </c>
      <c r="CF29" s="543">
        <f t="shared" si="30"/>
        <v>260.35224198619574</v>
      </c>
      <c r="CG29" s="543">
        <f t="shared" si="30"/>
        <v>268.09580792681226</v>
      </c>
      <c r="CH29" s="543">
        <f t="shared" si="30"/>
        <v>276.06870130646877</v>
      </c>
      <c r="CI29" s="543">
        <f t="shared" si="30"/>
        <v>284.27767718534324</v>
      </c>
      <c r="CJ29" s="543">
        <f t="shared" si="30"/>
        <v>292.72968811544115</v>
      </c>
      <c r="CK29" s="543">
        <f t="shared" si="30"/>
        <v>301.43188985533027</v>
      </c>
      <c r="CL29" s="543">
        <f t="shared" si="30"/>
        <v>310.39164724788594</v>
      </c>
      <c r="CM29" s="543">
        <f t="shared" si="30"/>
        <v>319.61654026587212</v>
      </c>
      <c r="CN29" s="543">
        <f t="shared" si="31"/>
        <v>329.11437022983307</v>
      </c>
      <c r="CO29" s="543">
        <f t="shared" si="31"/>
        <v>338.89316620335558</v>
      </c>
      <c r="CP29" s="543">
        <f t="shared" si="31"/>
        <v>348.96119157043853</v>
      </c>
      <c r="CQ29" s="543">
        <f t="shared" si="31"/>
        <v>359.32695080030982</v>
      </c>
      <c r="CR29" s="543">
        <f t="shared" si="31"/>
        <v>369.99919640470023</v>
      </c>
      <c r="CS29" s="543">
        <f t="shared" si="31"/>
        <v>380.986936093189</v>
      </c>
      <c r="CT29" s="543">
        <f t="shared" si="31"/>
        <v>392.29944013193978</v>
      </c>
      <c r="CU29" s="543">
        <f t="shared" si="31"/>
        <v>403.94624891171929</v>
      </c>
      <c r="CV29" s="543">
        <f t="shared" si="31"/>
        <v>415.93718073084091</v>
      </c>
      <c r="CW29" s="547">
        <f t="shared" si="31"/>
        <v>428.28233979924232</v>
      </c>
      <c r="CX29" s="559"/>
    </row>
    <row r="30" spans="1:102" ht="14.25">
      <c r="A30" s="171">
        <v>17</v>
      </c>
      <c r="B30" s="188">
        <v>99475</v>
      </c>
      <c r="C30" s="189">
        <v>62.03</v>
      </c>
      <c r="D30" s="171">
        <v>67</v>
      </c>
      <c r="E30" s="188">
        <f t="shared" si="10"/>
        <v>83054</v>
      </c>
      <c r="F30" s="189">
        <f t="shared" si="10"/>
        <v>16.48</v>
      </c>
      <c r="G30" s="160"/>
      <c r="H30" s="171">
        <v>17</v>
      </c>
      <c r="I30" s="188">
        <v>99564</v>
      </c>
      <c r="J30" s="189">
        <v>66.75</v>
      </c>
      <c r="K30" s="171">
        <v>67</v>
      </c>
      <c r="L30" s="188">
        <f t="shared" si="11"/>
        <v>90462</v>
      </c>
      <c r="M30" s="189">
        <f t="shared" si="11"/>
        <v>19.47</v>
      </c>
      <c r="O30" s="188">
        <f t="shared" si="6"/>
        <v>99519.5</v>
      </c>
      <c r="P30" s="189">
        <f t="shared" si="7"/>
        <v>64.39</v>
      </c>
      <c r="S30" s="196" t="s">
        <v>256</v>
      </c>
      <c r="T30" s="2734">
        <v>0.04</v>
      </c>
      <c r="U30" s="2735"/>
      <c r="W30" s="2716"/>
      <c r="X30" s="30">
        <v>58</v>
      </c>
      <c r="Y30" s="187">
        <f t="shared" si="2"/>
        <v>0.96810952366507919</v>
      </c>
      <c r="Z30" s="187">
        <f t="shared" si="8"/>
        <v>0.96871680207205657</v>
      </c>
      <c r="AA30" s="187">
        <f t="shared" si="12"/>
        <v>0.9694328007613956</v>
      </c>
      <c r="AB30" s="187">
        <f t="shared" si="14"/>
        <v>0.97020884209673008</v>
      </c>
      <c r="AC30" s="187">
        <f t="shared" si="16"/>
        <v>0.97108460617862435</v>
      </c>
      <c r="AD30" s="187">
        <f t="shared" si="18"/>
        <v>0.97200142124765243</v>
      </c>
      <c r="AE30" s="187">
        <f t="shared" si="20"/>
        <v>0.97304850659051412</v>
      </c>
      <c r="AF30" s="187">
        <f t="shared" si="22"/>
        <v>0.97419696183470184</v>
      </c>
      <c r="AG30" s="187">
        <f t="shared" si="24"/>
        <v>0.97546737303244868</v>
      </c>
      <c r="AH30" s="187">
        <f t="shared" si="26"/>
        <v>0.97695039079240042</v>
      </c>
      <c r="AI30" s="187">
        <f t="shared" si="28"/>
        <v>0.97859792929344547</v>
      </c>
      <c r="AJ30" s="187">
        <f t="shared" si="32"/>
        <v>0.98040159326650356</v>
      </c>
      <c r="AK30" s="187">
        <f t="shared" si="34"/>
        <v>0.98244371934576946</v>
      </c>
      <c r="AL30" s="187">
        <f t="shared" si="36"/>
        <v>0.98461585923922545</v>
      </c>
      <c r="AM30" s="187">
        <f t="shared" si="39"/>
        <v>0.98706212243046532</v>
      </c>
      <c r="AN30" s="187">
        <f t="shared" si="41"/>
        <v>0.98978653021140228</v>
      </c>
      <c r="AO30" s="187">
        <f t="shared" si="46"/>
        <v>0.99287595661281292</v>
      </c>
      <c r="AP30" s="187">
        <f t="shared" ref="AP30:AP47" si="48">VLOOKUP($X30,Sterbetafel,9)/VLOOKUP(AP$11,Sterbetafel,9)</f>
        <v>0.99624380904815413</v>
      </c>
      <c r="AQ30" s="177"/>
      <c r="AR30" s="178">
        <f t="shared" ref="AR30:BH30" si="49">VLOOKUP(AR$11,Sterbetafel,2)/VLOOKUP($X30,Sterbetafel,2)</f>
        <v>0.99227427929290746</v>
      </c>
      <c r="AS30" s="178">
        <f t="shared" si="49"/>
        <v>0.98365172667156497</v>
      </c>
      <c r="AT30" s="178">
        <f t="shared" si="49"/>
        <v>0.97425119937762028</v>
      </c>
      <c r="AU30" s="178">
        <f t="shared" si="49"/>
        <v>0.96393222976185333</v>
      </c>
      <c r="AV30" s="178">
        <f t="shared" si="49"/>
        <v>0.95260837619397498</v>
      </c>
      <c r="AW30" s="178">
        <f t="shared" si="49"/>
        <v>0.94026883347019929</v>
      </c>
      <c r="AX30" s="178">
        <f t="shared" si="49"/>
        <v>0.92697843281324288</v>
      </c>
      <c r="AY30" s="178">
        <f t="shared" si="49"/>
        <v>0.91274797942689201</v>
      </c>
      <c r="AZ30" s="178">
        <f t="shared" si="49"/>
        <v>0.89741539525435454</v>
      </c>
      <c r="BA30" s="178">
        <f t="shared" si="49"/>
        <v>0.88118597916756713</v>
      </c>
      <c r="BB30" s="178">
        <f t="shared" si="49"/>
        <v>0.86388684790595149</v>
      </c>
      <c r="BC30" s="178">
        <f t="shared" si="49"/>
        <v>0.84566927432251371</v>
      </c>
      <c r="BD30" s="178">
        <f t="shared" si="49"/>
        <v>0.82663050525132908</v>
      </c>
      <c r="BE30" s="178">
        <f t="shared" si="49"/>
        <v>0.80601417642736739</v>
      </c>
      <c r="BF30" s="178">
        <f t="shared" si="49"/>
        <v>0.7848359770065263</v>
      </c>
      <c r="BG30" s="178">
        <f t="shared" si="49"/>
        <v>0.76220988027834202</v>
      </c>
      <c r="BH30" s="179">
        <f t="shared" si="49"/>
        <v>0.73843843194882652</v>
      </c>
      <c r="BV30">
        <f t="shared" si="43"/>
        <v>74</v>
      </c>
      <c r="BW30">
        <f t="shared" si="38"/>
        <v>82697</v>
      </c>
      <c r="BX30" s="159">
        <f t="shared" si="44"/>
        <v>0.94320061133478561</v>
      </c>
      <c r="BY30" s="157">
        <f t="shared" si="45"/>
        <v>9125.4866901753994</v>
      </c>
      <c r="CC30" s="545">
        <v>47</v>
      </c>
      <c r="CD30" s="544">
        <f t="shared" si="30"/>
        <v>244.30549896439243</v>
      </c>
      <c r="CE30" s="544">
        <f t="shared" si="30"/>
        <v>251.3234993641687</v>
      </c>
      <c r="CF30" s="544">
        <f t="shared" si="30"/>
        <v>258.5424448720911</v>
      </c>
      <c r="CG30" s="544">
        <f t="shared" si="30"/>
        <v>265.9680634194566</v>
      </c>
      <c r="CH30" s="544">
        <f t="shared" si="30"/>
        <v>273.60624510056374</v>
      </c>
      <c r="CI30" s="544">
        <f t="shared" si="30"/>
        <v>281.46304671816165</v>
      </c>
      <c r="CJ30" s="544">
        <f t="shared" si="30"/>
        <v>289.54469645444232</v>
      </c>
      <c r="CK30" s="544">
        <f t="shared" si="30"/>
        <v>297.85759867127496</v>
      </c>
      <c r="CL30" s="544">
        <f t="shared" si="30"/>
        <v>306.40833884292795</v>
      </c>
      <c r="CM30" s="544">
        <f t="shared" si="30"/>
        <v>315.20368862512044</v>
      </c>
      <c r="CN30" s="544">
        <f t="shared" si="31"/>
        <v>324.25061106387494</v>
      </c>
      <c r="CO30" s="544">
        <f t="shared" si="31"/>
        <v>333.5562659481846</v>
      </c>
      <c r="CP30" s="544">
        <f t="shared" si="31"/>
        <v>343.12801531016572</v>
      </c>
      <c r="CQ30" s="544">
        <f t="shared" si="31"/>
        <v>352.97342907692519</v>
      </c>
      <c r="CR30" s="544">
        <f t="shared" si="31"/>
        <v>363.10029087801786</v>
      </c>
      <c r="CS30" s="544">
        <f t="shared" si="31"/>
        <v>373.51660401293043</v>
      </c>
      <c r="CT30" s="544">
        <f t="shared" si="31"/>
        <v>384.23059758270301</v>
      </c>
      <c r="CU30" s="544">
        <f t="shared" si="31"/>
        <v>395.25073279033205</v>
      </c>
      <c r="CV30" s="544">
        <f t="shared" si="31"/>
        <v>406.58570941431179</v>
      </c>
      <c r="CW30" s="548">
        <f t="shared" si="31"/>
        <v>418.24447246019758</v>
      </c>
      <c r="CX30" s="559"/>
    </row>
    <row r="31" spans="1:102" ht="14.25">
      <c r="A31" s="180">
        <v>18</v>
      </c>
      <c r="B31" s="181">
        <v>99448</v>
      </c>
      <c r="C31" s="182">
        <v>61.05</v>
      </c>
      <c r="D31" s="180">
        <v>68</v>
      </c>
      <c r="E31" s="181">
        <f t="shared" si="10"/>
        <v>81552</v>
      </c>
      <c r="F31" s="182">
        <f t="shared" si="10"/>
        <v>15.77</v>
      </c>
      <c r="G31" s="160"/>
      <c r="H31" s="180">
        <v>18</v>
      </c>
      <c r="I31" s="181">
        <v>99551</v>
      </c>
      <c r="J31" s="182">
        <v>65.760000000000005</v>
      </c>
      <c r="K31" s="180">
        <v>68</v>
      </c>
      <c r="L31" s="181">
        <f t="shared" si="11"/>
        <v>89616</v>
      </c>
      <c r="M31" s="182">
        <f t="shared" si="11"/>
        <v>18.64</v>
      </c>
      <c r="O31" s="181">
        <f t="shared" si="6"/>
        <v>99499.5</v>
      </c>
      <c r="P31" s="182">
        <f t="shared" si="7"/>
        <v>63.405000000000001</v>
      </c>
      <c r="S31" s="196" t="s">
        <v>257</v>
      </c>
      <c r="T31" s="2736">
        <f>+T29*T28</f>
        <v>360000</v>
      </c>
      <c r="U31" s="2737"/>
      <c r="W31" s="2716"/>
      <c r="X31" s="30">
        <v>59</v>
      </c>
      <c r="Y31" s="187">
        <f t="shared" si="2"/>
        <v>0.96406507517618634</v>
      </c>
      <c r="Z31" s="187">
        <f t="shared" si="8"/>
        <v>0.96466981657038209</v>
      </c>
      <c r="AA31" s="187">
        <f t="shared" si="12"/>
        <v>0.96538282404876175</v>
      </c>
      <c r="AB31" s="187">
        <f t="shared" si="14"/>
        <v>0.96615562333438043</v>
      </c>
      <c r="AC31" s="187">
        <f t="shared" si="16"/>
        <v>0.96702772875717558</v>
      </c>
      <c r="AD31" s="187">
        <f t="shared" si="18"/>
        <v>0.96794071366935686</v>
      </c>
      <c r="AE31" s="187">
        <f t="shared" si="20"/>
        <v>0.96898342462829912</v>
      </c>
      <c r="AF31" s="187">
        <f t="shared" si="22"/>
        <v>0.97012708199790398</v>
      </c>
      <c r="AG31" s="187">
        <f t="shared" si="24"/>
        <v>0.97139218582853648</v>
      </c>
      <c r="AH31" s="187">
        <f t="shared" si="26"/>
        <v>0.97286900801991716</v>
      </c>
      <c r="AI31" s="187">
        <f t="shared" si="28"/>
        <v>0.97450966363794322</v>
      </c>
      <c r="AJ31" s="187">
        <f t="shared" si="32"/>
        <v>0.97630579248625349</v>
      </c>
      <c r="AK31" s="187">
        <f t="shared" si="34"/>
        <v>0.97833938722321412</v>
      </c>
      <c r="AL31" s="187">
        <f t="shared" si="36"/>
        <v>0.98050245261869751</v>
      </c>
      <c r="AM31" s="187">
        <f t="shared" si="39"/>
        <v>0.98293849611348216</v>
      </c>
      <c r="AN31" s="187">
        <f t="shared" si="41"/>
        <v>0.98565152219982421</v>
      </c>
      <c r="AO31" s="187">
        <f t="shared" si="46"/>
        <v>0.98872804197689612</v>
      </c>
      <c r="AP31" s="187">
        <f t="shared" si="48"/>
        <v>0.99208182461397598</v>
      </c>
      <c r="AQ31" s="187">
        <f t="shared" ref="AQ31:AQ47" si="50">VLOOKUP($X31,Sterbetafel,9)/VLOOKUP(AQ$11,Sterbetafel,9)</f>
        <v>0.99582232341483279</v>
      </c>
      <c r="AR31" s="177"/>
      <c r="AS31" s="178">
        <f t="shared" ref="AS31:BH31" si="51">VLOOKUP(AS$11,Sterbetafel,2)/VLOOKUP($X31,Sterbetafel,2)</f>
        <v>0.99131031328607366</v>
      </c>
      <c r="AT31" s="178">
        <f t="shared" si="51"/>
        <v>0.98183659468818396</v>
      </c>
      <c r="AU31" s="178">
        <f t="shared" si="51"/>
        <v>0.97143728289394882</v>
      </c>
      <c r="AV31" s="178">
        <f t="shared" si="51"/>
        <v>0.96002526324959436</v>
      </c>
      <c r="AW31" s="178">
        <f t="shared" si="51"/>
        <v>0.94758964642339905</v>
      </c>
      <c r="AX31" s="178">
        <f t="shared" si="51"/>
        <v>0.93419576840569296</v>
      </c>
      <c r="AY31" s="178">
        <f t="shared" si="51"/>
        <v>0.91985451852819788</v>
      </c>
      <c r="AZ31" s="178">
        <f t="shared" si="51"/>
        <v>0.9044025568150883</v>
      </c>
      <c r="BA31" s="178">
        <f t="shared" si="51"/>
        <v>0.88804678056907649</v>
      </c>
      <c r="BB31" s="178">
        <f t="shared" si="51"/>
        <v>0.87061296048261516</v>
      </c>
      <c r="BC31" s="178">
        <f t="shared" si="51"/>
        <v>0.85225354719980839</v>
      </c>
      <c r="BD31" s="178">
        <f t="shared" si="51"/>
        <v>0.83306654470615138</v>
      </c>
      <c r="BE31" s="178">
        <f t="shared" si="51"/>
        <v>0.81228969978112442</v>
      </c>
      <c r="BF31" s="178">
        <f t="shared" si="51"/>
        <v>0.79094660960656848</v>
      </c>
      <c r="BG31" s="178">
        <f t="shared" si="51"/>
        <v>0.76814434898130302</v>
      </c>
      <c r="BH31" s="179">
        <f t="shared" si="51"/>
        <v>0.74418781919353605</v>
      </c>
      <c r="BV31">
        <f t="shared" si="43"/>
        <v>75</v>
      </c>
      <c r="BW31">
        <f t="shared" si="38"/>
        <v>81192</v>
      </c>
      <c r="BX31" s="159">
        <f t="shared" si="44"/>
        <v>0.92603533423816964</v>
      </c>
      <c r="BY31" s="157">
        <f t="shared" si="45"/>
        <v>8458.0386590061044</v>
      </c>
      <c r="CC31" s="545">
        <v>48</v>
      </c>
      <c r="CD31" s="543">
        <f t="shared" si="30"/>
        <v>243.0900487207885</v>
      </c>
      <c r="CE31" s="543">
        <f t="shared" si="30"/>
        <v>249.82455205185755</v>
      </c>
      <c r="CF31" s="543">
        <f t="shared" si="30"/>
        <v>256.74522827417189</v>
      </c>
      <c r="CG31" s="543">
        <f t="shared" si="30"/>
        <v>263.85720577327038</v>
      </c>
      <c r="CH31" s="543">
        <f t="shared" si="30"/>
        <v>271.1657533206776</v>
      </c>
      <c r="CI31" s="543">
        <f t="shared" si="30"/>
        <v>278.67628387936793</v>
      </c>
      <c r="CJ31" s="543">
        <f t="shared" si="30"/>
        <v>286.39435851082328</v>
      </c>
      <c r="CK31" s="543">
        <f t="shared" si="30"/>
        <v>294.32569038663536</v>
      </c>
      <c r="CL31" s="543">
        <f t="shared" si="30"/>
        <v>302.47614890713521</v>
      </c>
      <c r="CM31" s="543">
        <f t="shared" si="30"/>
        <v>310.85176393009903</v>
      </c>
      <c r="CN31" s="543">
        <f t="shared" si="31"/>
        <v>319.45873011219214</v>
      </c>
      <c r="CO31" s="543">
        <f t="shared" si="31"/>
        <v>328.30341136632342</v>
      </c>
      <c r="CP31" s="543">
        <f t="shared" si="31"/>
        <v>337.39234543772443</v>
      </c>
      <c r="CQ31" s="543">
        <f t="shared" si="31"/>
        <v>346.73224860208757</v>
      </c>
      <c r="CR31" s="543">
        <f t="shared" si="31"/>
        <v>356.33002048873198</v>
      </c>
      <c r="CS31" s="543">
        <f t="shared" si="31"/>
        <v>366.19274903228472</v>
      </c>
      <c r="CT31" s="543">
        <f t="shared" si="31"/>
        <v>376.32771555602653</v>
      </c>
      <c r="CU31" s="543">
        <f t="shared" si="31"/>
        <v>386.74239999054015</v>
      </c>
      <c r="CV31" s="543">
        <f t="shared" si="31"/>
        <v>397.44448623099879</v>
      </c>
      <c r="CW31" s="547">
        <f t="shared" si="31"/>
        <v>408.44186763691175</v>
      </c>
      <c r="CX31" s="559"/>
    </row>
    <row r="32" spans="1:102" ht="14.25">
      <c r="A32" s="171">
        <v>19</v>
      </c>
      <c r="B32" s="188">
        <v>99410</v>
      </c>
      <c r="C32" s="189">
        <v>60.07</v>
      </c>
      <c r="D32" s="171">
        <v>69</v>
      </c>
      <c r="E32" s="188">
        <f t="shared" si="10"/>
        <v>79951</v>
      </c>
      <c r="F32" s="189">
        <f t="shared" si="10"/>
        <v>15.08</v>
      </c>
      <c r="G32" s="160"/>
      <c r="H32" s="171">
        <v>19</v>
      </c>
      <c r="I32" s="188">
        <v>99535</v>
      </c>
      <c r="J32" s="189">
        <v>64.77</v>
      </c>
      <c r="K32" s="171">
        <v>69</v>
      </c>
      <c r="L32" s="188">
        <f t="shared" si="11"/>
        <v>88701</v>
      </c>
      <c r="M32" s="189">
        <f t="shared" si="11"/>
        <v>17.829999999999998</v>
      </c>
      <c r="O32" s="188">
        <f t="shared" si="6"/>
        <v>99472.5</v>
      </c>
      <c r="P32" s="189">
        <f t="shared" si="7"/>
        <v>62.42</v>
      </c>
      <c r="S32" s="196" t="s">
        <v>258</v>
      </c>
      <c r="T32" s="2736">
        <f>-PV(St_Zins,T28,St_Forderung,,1)</f>
        <v>215804.57559229282</v>
      </c>
      <c r="U32" s="2737"/>
      <c r="W32" s="2716"/>
      <c r="X32" s="30">
        <v>60</v>
      </c>
      <c r="Y32" s="187">
        <f t="shared" si="2"/>
        <v>0.95959595959595956</v>
      </c>
      <c r="Z32" s="187">
        <f t="shared" si="8"/>
        <v>0.96019789759103191</v>
      </c>
      <c r="AA32" s="187">
        <f t="shared" si="12"/>
        <v>0.96090759978130125</v>
      </c>
      <c r="AB32" s="187">
        <f t="shared" si="14"/>
        <v>0.96167681660198401</v>
      </c>
      <c r="AC32" s="187">
        <f t="shared" si="16"/>
        <v>0.9625448792064748</v>
      </c>
      <c r="AD32" s="187">
        <f t="shared" si="18"/>
        <v>0.96345363179534038</v>
      </c>
      <c r="AE32" s="187">
        <f t="shared" si="20"/>
        <v>0.96449150906005143</v>
      </c>
      <c r="AF32" s="187">
        <f t="shared" si="22"/>
        <v>0.96562986477824242</v>
      </c>
      <c r="AG32" s="187">
        <f t="shared" si="24"/>
        <v>0.96688910396821359</v>
      </c>
      <c r="AH32" s="187">
        <f t="shared" si="26"/>
        <v>0.9683590800563231</v>
      </c>
      <c r="AI32" s="187">
        <f t="shared" si="28"/>
        <v>0.96999213008861318</v>
      </c>
      <c r="AJ32" s="187">
        <f t="shared" si="32"/>
        <v>0.97177993262407714</v>
      </c>
      <c r="AK32" s="187">
        <f t="shared" si="34"/>
        <v>0.9738041002277904</v>
      </c>
      <c r="AL32" s="187">
        <f t="shared" si="36"/>
        <v>0.97595713830301412</v>
      </c>
      <c r="AM32" s="187">
        <f t="shared" si="39"/>
        <v>0.97838188903321577</v>
      </c>
      <c r="AN32" s="187">
        <f t="shared" si="41"/>
        <v>0.98108233834703051</v>
      </c>
      <c r="AO32" s="187">
        <f t="shared" si="46"/>
        <v>0.98414459630420803</v>
      </c>
      <c r="AP32" s="187">
        <f t="shared" si="48"/>
        <v>0.98748283181420904</v>
      </c>
      <c r="AQ32" s="187">
        <f t="shared" si="50"/>
        <v>0.99120599078822313</v>
      </c>
      <c r="AR32" s="187">
        <f t="shared" ref="AR32:AR47" si="52">VLOOKUP($X32,Sterbetafel,9)/VLOOKUP(AR$11,Sterbetafel,9)</f>
        <v>0.99536430092189576</v>
      </c>
      <c r="AS32" s="177"/>
      <c r="AT32" s="178">
        <f t="shared" ref="AT32:BH32" si="53">VLOOKUP(AT$11,Sterbetafel,2)/VLOOKUP($X32,Sterbetafel,2)</f>
        <v>0.99044323611797658</v>
      </c>
      <c r="AU32" s="178">
        <f t="shared" si="53"/>
        <v>0.9799527654198934</v>
      </c>
      <c r="AV32" s="178">
        <f t="shared" si="53"/>
        <v>0.96844070961718021</v>
      </c>
      <c r="AW32" s="178">
        <f t="shared" si="53"/>
        <v>0.95589608392376557</v>
      </c>
      <c r="AX32" s="178">
        <f t="shared" si="53"/>
        <v>0.94238479705607736</v>
      </c>
      <c r="AY32" s="178">
        <f t="shared" si="53"/>
        <v>0.92791783380018678</v>
      </c>
      <c r="AZ32" s="178">
        <f t="shared" si="53"/>
        <v>0.91233042236502448</v>
      </c>
      <c r="BA32" s="178">
        <f t="shared" si="53"/>
        <v>0.89583127368594495</v>
      </c>
      <c r="BB32" s="178">
        <f t="shared" si="53"/>
        <v>0.87824463118580764</v>
      </c>
      <c r="BC32" s="178">
        <f t="shared" si="53"/>
        <v>0.85972428186961058</v>
      </c>
      <c r="BD32" s="178">
        <f t="shared" si="53"/>
        <v>0.84036908881199535</v>
      </c>
      <c r="BE32" s="178">
        <f t="shared" si="53"/>
        <v>0.81941011698797162</v>
      </c>
      <c r="BF32" s="178">
        <f t="shared" si="53"/>
        <v>0.79787993628824083</v>
      </c>
      <c r="BG32" s="178">
        <f t="shared" si="53"/>
        <v>0.77487779425495684</v>
      </c>
      <c r="BH32" s="179">
        <f t="shared" si="53"/>
        <v>0.75071126489811613</v>
      </c>
      <c r="BV32">
        <f t="shared" si="43"/>
        <v>76</v>
      </c>
      <c r="BW32">
        <f t="shared" si="38"/>
        <v>79559</v>
      </c>
      <c r="BX32" s="159">
        <f t="shared" si="44"/>
        <v>0.90741015317586138</v>
      </c>
      <c r="BY32" s="157">
        <f t="shared" si="45"/>
        <v>7808.87514421796</v>
      </c>
      <c r="CC32" s="545">
        <v>49</v>
      </c>
      <c r="CD32" s="544">
        <f t="shared" si="30"/>
        <v>241.88064549332194</v>
      </c>
      <c r="CE32" s="544">
        <f t="shared" si="30"/>
        <v>248.33454478315861</v>
      </c>
      <c r="CF32" s="544">
        <f t="shared" si="30"/>
        <v>254.96050474098504</v>
      </c>
      <c r="CG32" s="544">
        <f t="shared" si="30"/>
        <v>261.76310096554602</v>
      </c>
      <c r="CH32" s="544">
        <f t="shared" si="30"/>
        <v>268.74703005022559</v>
      </c>
      <c r="CI32" s="544">
        <f t="shared" si="30"/>
        <v>275.91711275184952</v>
      </c>
      <c r="CJ32" s="544">
        <f t="shared" si="30"/>
        <v>283.27829724117043</v>
      </c>
      <c r="CK32" s="544">
        <f t="shared" si="30"/>
        <v>290.83566243738665</v>
      </c>
      <c r="CL32" s="544">
        <f t="shared" si="30"/>
        <v>298.59442142856386</v>
      </c>
      <c r="CM32" s="544">
        <f t="shared" si="30"/>
        <v>306.55992498037381</v>
      </c>
      <c r="CN32" s="544">
        <f t="shared" si="31"/>
        <v>314.73766513516472</v>
      </c>
      <c r="CO32" s="544">
        <f t="shared" si="31"/>
        <v>323.13327890386165</v>
      </c>
      <c r="CP32" s="544">
        <f t="shared" si="31"/>
        <v>331.75255205282645</v>
      </c>
      <c r="CQ32" s="544">
        <f t="shared" si="31"/>
        <v>340.60142298829817</v>
      </c>
      <c r="CR32" s="544">
        <f t="shared" si="31"/>
        <v>349.68598674065947</v>
      </c>
      <c r="CS32" s="544">
        <f t="shared" si="31"/>
        <v>359.01249905125951</v>
      </c>
      <c r="CT32" s="544">
        <f t="shared" si="31"/>
        <v>368.58738056417883</v>
      </c>
      <c r="CU32" s="544">
        <f t="shared" si="31"/>
        <v>378.41722112577315</v>
      </c>
      <c r="CV32" s="544">
        <f t="shared" si="31"/>
        <v>388.50878419452488</v>
      </c>
      <c r="CW32" s="548">
        <f t="shared" si="31"/>
        <v>398.86901136417151</v>
      </c>
      <c r="CX32" s="559"/>
    </row>
    <row r="33" spans="1:102" ht="14.25">
      <c r="A33" s="180">
        <v>20</v>
      </c>
      <c r="B33" s="181">
        <v>99370</v>
      </c>
      <c r="C33" s="182">
        <v>59.1</v>
      </c>
      <c r="D33" s="180">
        <v>70</v>
      </c>
      <c r="E33" s="181">
        <f t="shared" si="10"/>
        <v>78265</v>
      </c>
      <c r="F33" s="182">
        <f t="shared" si="10"/>
        <v>14.39</v>
      </c>
      <c r="G33" s="160"/>
      <c r="H33" s="180">
        <v>20</v>
      </c>
      <c r="I33" s="181">
        <v>99519</v>
      </c>
      <c r="J33" s="182">
        <v>63.78</v>
      </c>
      <c r="K33" s="180">
        <v>70</v>
      </c>
      <c r="L33" s="181">
        <f t="shared" si="11"/>
        <v>87677</v>
      </c>
      <c r="M33" s="182">
        <f t="shared" si="11"/>
        <v>17.03</v>
      </c>
      <c r="O33" s="181">
        <f t="shared" si="6"/>
        <v>99444.5</v>
      </c>
      <c r="P33" s="182">
        <f t="shared" si="7"/>
        <v>61.44</v>
      </c>
      <c r="S33" s="2742" t="s">
        <v>259</v>
      </c>
      <c r="T33" s="2738">
        <f>+BY25</f>
        <v>121590.63291752957</v>
      </c>
      <c r="U33" s="2739"/>
      <c r="W33" s="2716"/>
      <c r="X33" s="30">
        <v>61</v>
      </c>
      <c r="Y33" s="187">
        <f t="shared" si="2"/>
        <v>0.95467184356073242</v>
      </c>
      <c r="Z33" s="187">
        <f t="shared" si="8"/>
        <v>0.95527069274274323</v>
      </c>
      <c r="AA33" s="187">
        <f t="shared" si="12"/>
        <v>0.95597675313366948</v>
      </c>
      <c r="AB33" s="187">
        <f t="shared" si="14"/>
        <v>0.95674202275882336</v>
      </c>
      <c r="AC33" s="187">
        <f t="shared" si="16"/>
        <v>0.95760563094586093</v>
      </c>
      <c r="AD33" s="187">
        <f t="shared" si="18"/>
        <v>0.95850972031876558</v>
      </c>
      <c r="AE33" s="187">
        <f t="shared" si="20"/>
        <v>0.95954227177105456</v>
      </c>
      <c r="AF33" s="187">
        <f t="shared" si="22"/>
        <v>0.96067478607694112</v>
      </c>
      <c r="AG33" s="187">
        <f t="shared" si="24"/>
        <v>0.96192756354745046</v>
      </c>
      <c r="AH33" s="187">
        <f t="shared" si="26"/>
        <v>0.96338999653082469</v>
      </c>
      <c r="AI33" s="187">
        <f t="shared" si="28"/>
        <v>0.96501466665303914</v>
      </c>
      <c r="AJ33" s="187">
        <f t="shared" si="32"/>
        <v>0.96679329517412271</v>
      </c>
      <c r="AK33" s="187">
        <f t="shared" si="34"/>
        <v>0.96880707586857928</v>
      </c>
      <c r="AL33" s="187">
        <f t="shared" si="36"/>
        <v>0.97094906574252127</v>
      </c>
      <c r="AM33" s="187">
        <f t="shared" si="39"/>
        <v>0.97336137399228884</v>
      </c>
      <c r="AN33" s="187">
        <f t="shared" si="41"/>
        <v>0.97604796609293432</v>
      </c>
      <c r="AO33" s="187">
        <f t="shared" si="46"/>
        <v>0.9790945102349794</v>
      </c>
      <c r="AP33" s="187">
        <f t="shared" si="48"/>
        <v>0.98241561576559699</v>
      </c>
      <c r="AQ33" s="187">
        <f t="shared" si="50"/>
        <v>0.98611966954578212</v>
      </c>
      <c r="AR33" s="187">
        <f t="shared" si="52"/>
        <v>0.99025664153040993</v>
      </c>
      <c r="AS33" s="187">
        <f t="shared" ref="AS33:AS47" si="54">VLOOKUP($X33,Sterbetafel,9)/VLOOKUP(AS$11,Sterbetafel,9)</f>
        <v>0.99486855276328956</v>
      </c>
      <c r="AT33" s="177"/>
      <c r="AU33" s="178">
        <f t="shared" ref="AU33:BH33" si="55">VLOOKUP(AU$11,Sterbetafel,2)/VLOOKUP($X33,Sterbetafel,2)</f>
        <v>0.98940830699273552</v>
      </c>
      <c r="AV33" s="178">
        <f t="shared" si="55"/>
        <v>0.97778517162978984</v>
      </c>
      <c r="AW33" s="178">
        <f t="shared" si="55"/>
        <v>0.96511950313314476</v>
      </c>
      <c r="AX33" s="178">
        <f t="shared" si="55"/>
        <v>0.95147784617090891</v>
      </c>
      <c r="AY33" s="178">
        <f t="shared" si="55"/>
        <v>0.93687129152110016</v>
      </c>
      <c r="AZ33" s="178">
        <f t="shared" si="55"/>
        <v>0.92113347751344754</v>
      </c>
      <c r="BA33" s="178">
        <f t="shared" si="55"/>
        <v>0.90447512893029447</v>
      </c>
      <c r="BB33" s="178">
        <f t="shared" si="55"/>
        <v>0.88671879332335168</v>
      </c>
      <c r="BC33" s="178">
        <f t="shared" si="55"/>
        <v>0.86801974158487216</v>
      </c>
      <c r="BD33" s="178">
        <f t="shared" si="55"/>
        <v>0.84847779071701879</v>
      </c>
      <c r="BE33" s="178">
        <f t="shared" si="55"/>
        <v>0.827316586258526</v>
      </c>
      <c r="BF33" s="178">
        <f t="shared" si="55"/>
        <v>0.80557866134309319</v>
      </c>
      <c r="BG33" s="178">
        <f t="shared" si="55"/>
        <v>0.78235457217323801</v>
      </c>
      <c r="BH33" s="179">
        <f t="shared" si="55"/>
        <v>0.75795486053346639</v>
      </c>
      <c r="BV33">
        <f t="shared" si="43"/>
        <v>77</v>
      </c>
      <c r="BW33">
        <f t="shared" si="38"/>
        <v>77797</v>
      </c>
      <c r="BX33" s="159">
        <f t="shared" si="44"/>
        <v>0.88731366264812894</v>
      </c>
      <c r="BY33" s="157">
        <f t="shared" si="45"/>
        <v>7179.6323944322085</v>
      </c>
      <c r="CC33" s="545">
        <v>50</v>
      </c>
      <c r="CD33" s="543">
        <f t="shared" ref="CD33:CM42" si="56">(((1+CD$12)^$CA$15-1)/CD$12)*$CA$18*(1+CD$12)^($CH$11-$CC33)*12</f>
        <v>240.6772591973353</v>
      </c>
      <c r="CE33" s="543">
        <f t="shared" si="56"/>
        <v>246.85342423773218</v>
      </c>
      <c r="CF33" s="543">
        <f t="shared" si="56"/>
        <v>253.18818742898225</v>
      </c>
      <c r="CG33" s="543">
        <f t="shared" si="56"/>
        <v>259.685616037248</v>
      </c>
      <c r="CH33" s="543">
        <f t="shared" si="56"/>
        <v>266.34988112014435</v>
      </c>
      <c r="CI33" s="543">
        <f t="shared" si="56"/>
        <v>273.18526015034604</v>
      </c>
      <c r="CJ33" s="543">
        <f t="shared" si="56"/>
        <v>280.19613970442185</v>
      </c>
      <c r="CK33" s="543">
        <f t="shared" si="56"/>
        <v>287.38701821876163</v>
      </c>
      <c r="CL33" s="543">
        <f t="shared" si="56"/>
        <v>294.76250881398209</v>
      </c>
      <c r="CM33" s="543">
        <f t="shared" si="56"/>
        <v>302.32734218971768</v>
      </c>
      <c r="CN33" s="543">
        <f t="shared" ref="CN33:CW42" si="57">(((1+CN$12)^$CA$15-1)/CN$12)*$CA$18*(1+CN$12)^($CH$11-$CC33)*12</f>
        <v>310.08636959129535</v>
      </c>
      <c r="CO33" s="543">
        <f t="shared" si="57"/>
        <v>318.04456585025753</v>
      </c>
      <c r="CP33" s="543">
        <f t="shared" si="57"/>
        <v>326.20703250032102</v>
      </c>
      <c r="CQ33" s="543">
        <f t="shared" si="57"/>
        <v>334.57900097082342</v>
      </c>
      <c r="CR33" s="543">
        <f t="shared" si="57"/>
        <v>343.16583585933216</v>
      </c>
      <c r="CS33" s="543">
        <f t="shared" si="57"/>
        <v>351.97303828554863</v>
      </c>
      <c r="CT33" s="543">
        <f t="shared" si="57"/>
        <v>361.00624932828492</v>
      </c>
      <c r="CU33" s="543">
        <f t="shared" si="57"/>
        <v>370.27125354772323</v>
      </c>
      <c r="CV33" s="543">
        <f t="shared" si="57"/>
        <v>379.77398259484346</v>
      </c>
      <c r="CW33" s="547">
        <f t="shared" si="57"/>
        <v>389.52051891032386</v>
      </c>
      <c r="CX33" s="559"/>
    </row>
    <row r="34" spans="1:102" ht="14.25">
      <c r="A34" s="171">
        <v>21</v>
      </c>
      <c r="B34" s="188">
        <v>99329</v>
      </c>
      <c r="C34" s="189">
        <v>58.12</v>
      </c>
      <c r="D34" s="171">
        <v>71</v>
      </c>
      <c r="E34" s="188">
        <f t="shared" si="10"/>
        <v>76503</v>
      </c>
      <c r="F34" s="189">
        <f t="shared" si="10"/>
        <v>13.71</v>
      </c>
      <c r="G34" s="160"/>
      <c r="H34" s="171">
        <v>21</v>
      </c>
      <c r="I34" s="188">
        <v>99503</v>
      </c>
      <c r="J34" s="189">
        <v>62.79</v>
      </c>
      <c r="K34" s="171">
        <v>71</v>
      </c>
      <c r="L34" s="188">
        <f t="shared" si="11"/>
        <v>86577</v>
      </c>
      <c r="M34" s="189">
        <f t="shared" si="11"/>
        <v>16.239999999999998</v>
      </c>
      <c r="O34" s="188">
        <f t="shared" si="6"/>
        <v>99416</v>
      </c>
      <c r="P34" s="189">
        <f t="shared" si="7"/>
        <v>60.454999999999998</v>
      </c>
      <c r="S34" s="2743"/>
      <c r="T34" s="2740"/>
      <c r="U34" s="2741"/>
      <c r="W34" s="2716"/>
      <c r="X34" s="30">
        <v>62</v>
      </c>
      <c r="Y34" s="187">
        <f t="shared" si="2"/>
        <v>0.94934328267661605</v>
      </c>
      <c r="Z34" s="187">
        <f t="shared" si="8"/>
        <v>0.94993878934428722</v>
      </c>
      <c r="AA34" s="187">
        <f t="shared" si="12"/>
        <v>0.95064090881477437</v>
      </c>
      <c r="AB34" s="187">
        <f t="shared" si="14"/>
        <v>0.95140190703942773</v>
      </c>
      <c r="AC34" s="187">
        <f t="shared" si="16"/>
        <v>0.95226069494310228</v>
      </c>
      <c r="AD34" s="187">
        <f t="shared" si="18"/>
        <v>0.95315973808436116</v>
      </c>
      <c r="AE34" s="187">
        <f t="shared" si="20"/>
        <v>0.95418652628583622</v>
      </c>
      <c r="AF34" s="187">
        <f t="shared" si="22"/>
        <v>0.95531271939195994</v>
      </c>
      <c r="AG34" s="187">
        <f t="shared" si="24"/>
        <v>0.9565585044062962</v>
      </c>
      <c r="AH34" s="187">
        <f t="shared" si="26"/>
        <v>0.95801277472807789</v>
      </c>
      <c r="AI34" s="187">
        <f t="shared" si="28"/>
        <v>0.95962837665191481</v>
      </c>
      <c r="AJ34" s="187">
        <f t="shared" si="32"/>
        <v>0.96139707764614324</v>
      </c>
      <c r="AK34" s="187">
        <f t="shared" si="34"/>
        <v>0.96339961829711263</v>
      </c>
      <c r="AL34" s="187">
        <f t="shared" si="36"/>
        <v>0.96552965251997569</v>
      </c>
      <c r="AM34" s="187">
        <f t="shared" si="39"/>
        <v>0.96792849631966349</v>
      </c>
      <c r="AN34" s="187">
        <f t="shared" si="41"/>
        <v>0.97060009303768024</v>
      </c>
      <c r="AO34" s="187">
        <f t="shared" si="46"/>
        <v>0.97362963270215896</v>
      </c>
      <c r="AP34" s="187">
        <f t="shared" si="48"/>
        <v>0.97693220127356728</v>
      </c>
      <c r="AQ34" s="187">
        <f t="shared" si="50"/>
        <v>0.98061558064482435</v>
      </c>
      <c r="AR34" s="187">
        <f t="shared" si="52"/>
        <v>0.9847294618603627</v>
      </c>
      <c r="AS34" s="187">
        <f t="shared" si="54"/>
        <v>0.98931563142089463</v>
      </c>
      <c r="AT34" s="187">
        <f t="shared" ref="AT34:AT47" si="58">VLOOKUP($X34,Sterbetafel,9)/VLOOKUP(AT$11,Sterbetafel,9)</f>
        <v>0.99441843716240552</v>
      </c>
      <c r="AU34" s="177"/>
      <c r="AV34" s="178">
        <f t="shared" ref="AV34:BH34" si="59">VLOOKUP(AV$11,Sterbetafel,2)/VLOOKUP($X34,Sterbetafel,2)</f>
        <v>0.9882524380674812</v>
      </c>
      <c r="AW34" s="178">
        <f t="shared" si="59"/>
        <v>0.97545118260284724</v>
      </c>
      <c r="AX34" s="178">
        <f t="shared" si="59"/>
        <v>0.96166349064006273</v>
      </c>
      <c r="AY34" s="178">
        <f t="shared" si="59"/>
        <v>0.94690057168478869</v>
      </c>
      <c r="AZ34" s="178">
        <f t="shared" si="59"/>
        <v>0.93099428315211297</v>
      </c>
      <c r="BA34" s="178">
        <f t="shared" si="59"/>
        <v>0.91415760564959081</v>
      </c>
      <c r="BB34" s="178">
        <f t="shared" si="59"/>
        <v>0.89621118708664949</v>
      </c>
      <c r="BC34" s="178">
        <f t="shared" si="59"/>
        <v>0.87731196054254013</v>
      </c>
      <c r="BD34" s="178">
        <f t="shared" si="59"/>
        <v>0.85756081156820985</v>
      </c>
      <c r="BE34" s="178">
        <f t="shared" si="59"/>
        <v>0.83617307476740277</v>
      </c>
      <c r="BF34" s="178">
        <f t="shared" si="59"/>
        <v>0.81420244367223404</v>
      </c>
      <c r="BG34" s="178">
        <f t="shared" si="59"/>
        <v>0.79072973881851816</v>
      </c>
      <c r="BH34" s="179">
        <f t="shared" si="59"/>
        <v>0.76606882636475726</v>
      </c>
      <c r="BV34">
        <f t="shared" si="43"/>
        <v>78</v>
      </c>
      <c r="BW34">
        <f t="shared" si="38"/>
        <v>75934</v>
      </c>
      <c r="BX34" s="159">
        <f t="shared" si="44"/>
        <v>0.86606521664746738</v>
      </c>
      <c r="BY34" s="157">
        <f t="shared" si="45"/>
        <v>6576.8165012748777</v>
      </c>
      <c r="CC34" s="545">
        <v>51</v>
      </c>
      <c r="CD34" s="544">
        <f t="shared" si="56"/>
        <v>239.4798598978461</v>
      </c>
      <c r="CE34" s="544">
        <f t="shared" si="56"/>
        <v>245.3811374132527</v>
      </c>
      <c r="CF34" s="544">
        <f t="shared" si="56"/>
        <v>251.42819009829421</v>
      </c>
      <c r="CG34" s="544">
        <f t="shared" si="56"/>
        <v>257.62461908457146</v>
      </c>
      <c r="CH34" s="544">
        <f t="shared" si="56"/>
        <v>263.97411409330465</v>
      </c>
      <c r="CI34" s="544">
        <f t="shared" si="56"/>
        <v>270.48045559440197</v>
      </c>
      <c r="CJ34" s="544">
        <f t="shared" si="56"/>
        <v>277.1475170172323</v>
      </c>
      <c r="CK34" s="544">
        <f t="shared" si="56"/>
        <v>283.97926701458653</v>
      </c>
      <c r="CL34" s="544">
        <f t="shared" si="56"/>
        <v>290.97977178083124</v>
      </c>
      <c r="CM34" s="544">
        <f t="shared" si="56"/>
        <v>298.15319742575707</v>
      </c>
      <c r="CN34" s="544">
        <f t="shared" si="57"/>
        <v>305.5038124052171</v>
      </c>
      <c r="CO34" s="544">
        <f t="shared" si="57"/>
        <v>313.03599001009599</v>
      </c>
      <c r="CP34" s="544">
        <f t="shared" si="57"/>
        <v>320.75421091476994</v>
      </c>
      <c r="CQ34" s="544">
        <f t="shared" si="57"/>
        <v>328.66306578666342</v>
      </c>
      <c r="CR34" s="544">
        <f t="shared" si="57"/>
        <v>336.7672579581278</v>
      </c>
      <c r="CS34" s="544">
        <f t="shared" si="57"/>
        <v>345.07160616230254</v>
      </c>
      <c r="CT34" s="544">
        <f t="shared" si="57"/>
        <v>353.58104733426535</v>
      </c>
      <c r="CU34" s="544">
        <f t="shared" si="57"/>
        <v>362.30063947918126</v>
      </c>
      <c r="CV34" s="544">
        <f t="shared" si="57"/>
        <v>371.23556460884015</v>
      </c>
      <c r="CW34" s="548">
        <f t="shared" si="57"/>
        <v>380.39113174836308</v>
      </c>
      <c r="CX34" s="559"/>
    </row>
    <row r="35" spans="1:102" ht="14.25">
      <c r="A35" s="180">
        <v>22</v>
      </c>
      <c r="B35" s="181">
        <v>99289</v>
      </c>
      <c r="C35" s="182">
        <v>57.14</v>
      </c>
      <c r="D35" s="180">
        <v>72</v>
      </c>
      <c r="E35" s="181">
        <f t="shared" si="10"/>
        <v>74595</v>
      </c>
      <c r="F35" s="182">
        <f t="shared" si="10"/>
        <v>13.05</v>
      </c>
      <c r="G35" s="160"/>
      <c r="H35" s="180">
        <v>22</v>
      </c>
      <c r="I35" s="181">
        <v>99486</v>
      </c>
      <c r="J35" s="182">
        <v>61.8</v>
      </c>
      <c r="K35" s="180">
        <v>72</v>
      </c>
      <c r="L35" s="181">
        <f t="shared" si="11"/>
        <v>85381</v>
      </c>
      <c r="M35" s="182">
        <f t="shared" si="11"/>
        <v>15.46</v>
      </c>
      <c r="O35" s="181">
        <f t="shared" si="6"/>
        <v>99387.5</v>
      </c>
      <c r="P35" s="182">
        <f t="shared" si="7"/>
        <v>59.47</v>
      </c>
      <c r="W35" s="2716"/>
      <c r="X35" s="30">
        <v>63</v>
      </c>
      <c r="Y35" s="187">
        <f t="shared" si="2"/>
        <v>0.94352938797383246</v>
      </c>
      <c r="Z35" s="187">
        <f t="shared" si="8"/>
        <v>0.94412124768563022</v>
      </c>
      <c r="AA35" s="187">
        <f t="shared" si="12"/>
        <v>0.94481906729036313</v>
      </c>
      <c r="AB35" s="187">
        <f t="shared" si="14"/>
        <v>0.94557540506855009</v>
      </c>
      <c r="AC35" s="187">
        <f t="shared" si="16"/>
        <v>0.94642893364976977</v>
      </c>
      <c r="AD35" s="187">
        <f t="shared" si="18"/>
        <v>0.94732247094056143</v>
      </c>
      <c r="AE35" s="187">
        <f t="shared" si="20"/>
        <v>0.94834297096515208</v>
      </c>
      <c r="AF35" s="187">
        <f t="shared" si="22"/>
        <v>0.94946226712656312</v>
      </c>
      <c r="AG35" s="187">
        <f t="shared" si="24"/>
        <v>0.95070042280067235</v>
      </c>
      <c r="AH35" s="187">
        <f t="shared" si="26"/>
        <v>0.95214578699263308</v>
      </c>
      <c r="AI35" s="187">
        <f t="shared" si="28"/>
        <v>0.95375149477213028</v>
      </c>
      <c r="AJ35" s="187">
        <f t="shared" si="32"/>
        <v>0.95550936402453379</v>
      </c>
      <c r="AK35" s="187">
        <f t="shared" si="34"/>
        <v>0.95749964087093931</v>
      </c>
      <c r="AL35" s="187">
        <f t="shared" si="36"/>
        <v>0.95961663050296675</v>
      </c>
      <c r="AM35" s="187">
        <f t="shared" si="39"/>
        <v>0.9620007834890002</v>
      </c>
      <c r="AN35" s="187">
        <f t="shared" si="41"/>
        <v>0.96465601902103681</v>
      </c>
      <c r="AO35" s="187">
        <f t="shared" si="46"/>
        <v>0.96766700541302864</v>
      </c>
      <c r="AP35" s="187">
        <f t="shared" si="48"/>
        <v>0.97094934864943605</v>
      </c>
      <c r="AQ35" s="187">
        <f t="shared" si="50"/>
        <v>0.97461017055364663</v>
      </c>
      <c r="AR35" s="187">
        <f t="shared" si="52"/>
        <v>0.9786988578560416</v>
      </c>
      <c r="AS35" s="187">
        <f t="shared" si="54"/>
        <v>0.98325694115167794</v>
      </c>
      <c r="AT35" s="187">
        <f t="shared" si="58"/>
        <v>0.98832849668495415</v>
      </c>
      <c r="AU35" s="187">
        <f t="shared" ref="AU35:AU47" si="60">VLOOKUP($X35,Sterbetafel,9)/VLOOKUP(AU$11,Sterbetafel,9)</f>
        <v>0.99387587734713656</v>
      </c>
      <c r="AV35" s="177"/>
      <c r="AW35" s="178">
        <f t="shared" ref="AW35:BH35" si="61">VLOOKUP(AW$11,Sterbetafel,2)/VLOOKUP($X35,Sterbetafel,2)</f>
        <v>0.98704657335359902</v>
      </c>
      <c r="AX35" s="178">
        <f t="shared" si="61"/>
        <v>0.97309498423356999</v>
      </c>
      <c r="AY35" s="178">
        <f t="shared" si="61"/>
        <v>0.95815657539529497</v>
      </c>
      <c r="AZ35" s="178">
        <f t="shared" si="61"/>
        <v>0.94206120550804207</v>
      </c>
      <c r="BA35" s="178">
        <f t="shared" si="61"/>
        <v>0.92502438692407163</v>
      </c>
      <c r="BB35" s="178">
        <f t="shared" si="61"/>
        <v>0.90686463555726959</v>
      </c>
      <c r="BC35" s="178">
        <f t="shared" si="61"/>
        <v>0.88774074998298591</v>
      </c>
      <c r="BD35" s="178">
        <f t="shared" si="61"/>
        <v>0.86775481499965967</v>
      </c>
      <c r="BE35" s="178">
        <f t="shared" si="61"/>
        <v>0.84611283773054147</v>
      </c>
      <c r="BF35" s="178">
        <f t="shared" si="61"/>
        <v>0.82388103718155214</v>
      </c>
      <c r="BG35" s="178">
        <f t="shared" si="61"/>
        <v>0.80012930741135635</v>
      </c>
      <c r="BH35" s="179">
        <f t="shared" si="61"/>
        <v>0.77517524557065398</v>
      </c>
      <c r="BV35">
        <f t="shared" si="43"/>
        <v>79</v>
      </c>
      <c r="BW35">
        <f t="shared" si="38"/>
        <v>73868</v>
      </c>
      <c r="BX35" s="159">
        <f t="shared" si="44"/>
        <v>0.8425014542012158</v>
      </c>
      <c r="BY35" s="157">
        <f t="shared" si="45"/>
        <v>5984.4261318134922</v>
      </c>
      <c r="CC35" s="545">
        <v>52</v>
      </c>
      <c r="CD35" s="543">
        <f t="shared" si="56"/>
        <v>238.28841780880214</v>
      </c>
      <c r="CE35" s="543">
        <f t="shared" si="56"/>
        <v>243.9176316235116</v>
      </c>
      <c r="CF35" s="543">
        <f t="shared" si="56"/>
        <v>249.68042710853445</v>
      </c>
      <c r="CG35" s="543">
        <f t="shared" si="56"/>
        <v>255.57997925056688</v>
      </c>
      <c r="CH35" s="543">
        <f t="shared" si="56"/>
        <v>261.619538249063</v>
      </c>
      <c r="CI35" s="543">
        <f t="shared" si="56"/>
        <v>267.80243128158605</v>
      </c>
      <c r="CJ35" s="543">
        <f t="shared" si="56"/>
        <v>274.13206430982422</v>
      </c>
      <c r="CK35" s="543">
        <f t="shared" si="56"/>
        <v>280.61192392745704</v>
      </c>
      <c r="CL35" s="543">
        <f t="shared" si="56"/>
        <v>287.24557925057383</v>
      </c>
      <c r="CM35" s="543">
        <f t="shared" si="56"/>
        <v>294.03668385183141</v>
      </c>
      <c r="CN35" s="543">
        <f t="shared" si="57"/>
        <v>300.98897773913018</v>
      </c>
      <c r="CO35" s="543">
        <f t="shared" si="57"/>
        <v>308.10628938001577</v>
      </c>
      <c r="CP35" s="543">
        <f t="shared" si="57"/>
        <v>315.39253777263519</v>
      </c>
      <c r="CQ35" s="543">
        <f t="shared" si="57"/>
        <v>322.85173456450241</v>
      </c>
      <c r="CR35" s="543">
        <f t="shared" si="57"/>
        <v>330.48798621994877</v>
      </c>
      <c r="CS35" s="543">
        <f t="shared" si="57"/>
        <v>338.30549623755144</v>
      </c>
      <c r="CT35" s="543">
        <f t="shared" si="57"/>
        <v>346.30856741847731</v>
      </c>
      <c r="CU35" s="543">
        <f t="shared" si="57"/>
        <v>354.50160418706577</v>
      </c>
      <c r="CV35" s="543">
        <f t="shared" si="57"/>
        <v>362.88911496465317</v>
      </c>
      <c r="CW35" s="547">
        <f t="shared" si="57"/>
        <v>371.47571459801088</v>
      </c>
      <c r="CX35" s="559"/>
    </row>
    <row r="36" spans="1:102" ht="14.25">
      <c r="A36" s="171">
        <v>23</v>
      </c>
      <c r="B36" s="188">
        <v>99247</v>
      </c>
      <c r="C36" s="189">
        <v>56.17</v>
      </c>
      <c r="D36" s="171">
        <v>73</v>
      </c>
      <c r="E36" s="188">
        <f t="shared" si="10"/>
        <v>72635</v>
      </c>
      <c r="F36" s="189">
        <f t="shared" si="10"/>
        <v>12.39</v>
      </c>
      <c r="G36" s="160"/>
      <c r="H36" s="171">
        <v>23</v>
      </c>
      <c r="I36" s="188">
        <v>99469</v>
      </c>
      <c r="J36" s="189">
        <v>60.81</v>
      </c>
      <c r="K36" s="171">
        <v>73</v>
      </c>
      <c r="L36" s="188">
        <f t="shared" si="11"/>
        <v>84104</v>
      </c>
      <c r="M36" s="189">
        <f t="shared" si="11"/>
        <v>14.69</v>
      </c>
      <c r="O36" s="188">
        <f t="shared" si="6"/>
        <v>99358</v>
      </c>
      <c r="P36" s="189">
        <f t="shared" si="7"/>
        <v>58.49</v>
      </c>
      <c r="W36" s="2716"/>
      <c r="X36" s="30">
        <v>64</v>
      </c>
      <c r="Y36" s="187">
        <f t="shared" si="2"/>
        <v>0.93714927048260377</v>
      </c>
      <c r="Z36" s="187">
        <f t="shared" si="8"/>
        <v>0.9377371280567387</v>
      </c>
      <c r="AA36" s="187">
        <f t="shared" si="12"/>
        <v>0.93843022902618312</v>
      </c>
      <c r="AB36" s="187">
        <f t="shared" si="14"/>
        <v>0.93918145247094353</v>
      </c>
      <c r="AC36" s="187">
        <f t="shared" si="16"/>
        <v>0.94002920951743441</v>
      </c>
      <c r="AD36" s="187">
        <f t="shared" si="18"/>
        <v>0.94091670473580025</v>
      </c>
      <c r="AE36" s="187">
        <f t="shared" si="20"/>
        <v>0.94193030416975787</v>
      </c>
      <c r="AF36" s="187">
        <f t="shared" si="22"/>
        <v>0.94304203168401457</v>
      </c>
      <c r="AG36" s="187">
        <f t="shared" si="24"/>
        <v>0.94427181498650092</v>
      </c>
      <c r="AH36" s="187">
        <f t="shared" si="26"/>
        <v>0.94570740566904066</v>
      </c>
      <c r="AI36" s="187">
        <f t="shared" si="28"/>
        <v>0.94730225570057547</v>
      </c>
      <c r="AJ36" s="187">
        <f t="shared" si="32"/>
        <v>0.94904823829368945</v>
      </c>
      <c r="AK36" s="187">
        <f t="shared" si="34"/>
        <v>0.95102505694760819</v>
      </c>
      <c r="AL36" s="187">
        <f t="shared" si="36"/>
        <v>0.95312773155908392</v>
      </c>
      <c r="AM36" s="187">
        <f t="shared" si="39"/>
        <v>0.95549576297395933</v>
      </c>
      <c r="AN36" s="187">
        <f t="shared" si="41"/>
        <v>0.95813304388277254</v>
      </c>
      <c r="AO36" s="187">
        <f t="shared" si="46"/>
        <v>0.96112367007486987</v>
      </c>
      <c r="AP36" s="187">
        <f t="shared" si="48"/>
        <v>0.9643838182045199</v>
      </c>
      <c r="AQ36" s="187">
        <f t="shared" si="50"/>
        <v>0.96801988574054543</v>
      </c>
      <c r="AR36" s="187">
        <f t="shared" si="52"/>
        <v>0.97208092546173452</v>
      </c>
      <c r="AS36" s="187">
        <f t="shared" si="54"/>
        <v>0.97660818713450293</v>
      </c>
      <c r="AT36" s="187">
        <f t="shared" si="58"/>
        <v>0.98164544896100325</v>
      </c>
      <c r="AU36" s="187">
        <f t="shared" si="60"/>
        <v>0.98715531840112469</v>
      </c>
      <c r="AV36" s="187">
        <f t="shared" ref="AV36:AV47" si="62">VLOOKUP($X36,Sterbetafel,9)/VLOOKUP(AV$11,Sterbetafel,9)</f>
        <v>0.99323802991984222</v>
      </c>
      <c r="AW36" s="177"/>
      <c r="AX36" s="178">
        <f t="shared" ref="AX36:BH36" si="63">VLOOKUP(AX$11,Sterbetafel,2)/VLOOKUP($X36,Sterbetafel,2)</f>
        <v>0.98586531831762814</v>
      </c>
      <c r="AY36" s="178">
        <f t="shared" si="63"/>
        <v>0.97073086646747875</v>
      </c>
      <c r="AZ36" s="178">
        <f t="shared" si="63"/>
        <v>0.95442427028269361</v>
      </c>
      <c r="BA36" s="178">
        <f t="shared" si="63"/>
        <v>0.93716387037462656</v>
      </c>
      <c r="BB36" s="178">
        <f t="shared" si="63"/>
        <v>0.91876580096529537</v>
      </c>
      <c r="BC36" s="178">
        <f t="shared" si="63"/>
        <v>0.89939094461043434</v>
      </c>
      <c r="BD36" s="178">
        <f t="shared" si="63"/>
        <v>0.87914272581015862</v>
      </c>
      <c r="BE36" s="178">
        <f t="shared" si="63"/>
        <v>0.85721673178579638</v>
      </c>
      <c r="BF36" s="178">
        <f t="shared" si="63"/>
        <v>0.83469317398299236</v>
      </c>
      <c r="BG36" s="178">
        <f t="shared" si="63"/>
        <v>0.81062974028958856</v>
      </c>
      <c r="BH36" s="179">
        <f t="shared" si="63"/>
        <v>0.78534819581705351</v>
      </c>
      <c r="BV36">
        <f t="shared" si="43"/>
        <v>80</v>
      </c>
      <c r="BW36">
        <f t="shared" si="38"/>
        <v>71592</v>
      </c>
      <c r="BX36" s="159">
        <f t="shared" si="44"/>
        <v>0.81654253681125033</v>
      </c>
      <c r="BY36" s="157">
        <f t="shared" si="45"/>
        <v>5405.1217455010701</v>
      </c>
      <c r="CC36" s="545">
        <v>53</v>
      </c>
      <c r="CD36" s="544">
        <f t="shared" si="56"/>
        <v>237.1029032923405</v>
      </c>
      <c r="CE36" s="544">
        <f t="shared" si="56"/>
        <v>242.46285449653246</v>
      </c>
      <c r="CF36" s="544">
        <f t="shared" si="56"/>
        <v>247.94481341463211</v>
      </c>
      <c r="CG36" s="544">
        <f t="shared" si="56"/>
        <v>253.55156671683221</v>
      </c>
      <c r="CH36" s="544">
        <f t="shared" si="56"/>
        <v>259.28596456795157</v>
      </c>
      <c r="CI36" s="544">
        <f t="shared" si="56"/>
        <v>265.15092206097637</v>
      </c>
      <c r="CJ36" s="544">
        <f t="shared" si="56"/>
        <v>271.14942068231875</v>
      </c>
      <c r="CK36" s="544">
        <f t="shared" si="56"/>
        <v>277.28450980974009</v>
      </c>
      <c r="CL36" s="544">
        <f t="shared" si="56"/>
        <v>283.55930824340953</v>
      </c>
      <c r="CM36" s="544">
        <f t="shared" si="56"/>
        <v>289.97700577103683</v>
      </c>
      <c r="CN36" s="544">
        <f t="shared" si="57"/>
        <v>296.54086476761597</v>
      </c>
      <c r="CO36" s="544">
        <f t="shared" si="57"/>
        <v>303.25422183072413</v>
      </c>
      <c r="CP36" s="544">
        <f t="shared" si="57"/>
        <v>310.12048945195204</v>
      </c>
      <c r="CQ36" s="544">
        <f t="shared" si="57"/>
        <v>317.14315772544438</v>
      </c>
      <c r="CR36" s="544">
        <f t="shared" si="57"/>
        <v>324.32579609415978</v>
      </c>
      <c r="CS36" s="544">
        <f t="shared" si="57"/>
        <v>331.67205513485447</v>
      </c>
      <c r="CT36" s="544">
        <f t="shared" si="57"/>
        <v>339.18566838244607</v>
      </c>
      <c r="CU36" s="544">
        <f t="shared" si="57"/>
        <v>346.87045419478056</v>
      </c>
      <c r="CV36" s="544">
        <f t="shared" si="57"/>
        <v>354.7303176585076</v>
      </c>
      <c r="CW36" s="548">
        <f t="shared" si="57"/>
        <v>362.76925253712</v>
      </c>
      <c r="CX36" s="559"/>
    </row>
    <row r="37" spans="1:102" ht="14.25">
      <c r="A37" s="180">
        <v>24</v>
      </c>
      <c r="B37" s="181">
        <v>99205</v>
      </c>
      <c r="C37" s="182">
        <v>55.19</v>
      </c>
      <c r="D37" s="180">
        <v>74</v>
      </c>
      <c r="E37" s="181">
        <f t="shared" si="10"/>
        <v>70541</v>
      </c>
      <c r="F37" s="182">
        <f t="shared" si="10"/>
        <v>11.74</v>
      </c>
      <c r="G37" s="160"/>
      <c r="H37" s="180">
        <v>24</v>
      </c>
      <c r="I37" s="181">
        <v>99453</v>
      </c>
      <c r="J37" s="182">
        <v>59.82</v>
      </c>
      <c r="K37" s="180">
        <v>74</v>
      </c>
      <c r="L37" s="181">
        <f t="shared" si="11"/>
        <v>82697</v>
      </c>
      <c r="M37" s="182">
        <f t="shared" si="11"/>
        <v>13.93</v>
      </c>
      <c r="O37" s="181">
        <f t="shared" si="6"/>
        <v>99329</v>
      </c>
      <c r="P37" s="182">
        <f t="shared" si="7"/>
        <v>57.504999999999995</v>
      </c>
      <c r="T37">
        <v>40</v>
      </c>
      <c r="U37">
        <v>38</v>
      </c>
      <c r="W37" s="2716"/>
      <c r="X37" s="30">
        <v>65</v>
      </c>
      <c r="Y37" s="187">
        <f t="shared" si="2"/>
        <v>0.93021304132415239</v>
      </c>
      <c r="Z37" s="187">
        <f t="shared" si="8"/>
        <v>0.93079654792136712</v>
      </c>
      <c r="AA37" s="187">
        <f t="shared" si="12"/>
        <v>0.93148451896401596</v>
      </c>
      <c r="AB37" s="187">
        <f t="shared" si="14"/>
        <v>0.93223018229351384</v>
      </c>
      <c r="AC37" s="187">
        <f t="shared" si="16"/>
        <v>0.93307166473964986</v>
      </c>
      <c r="AD37" s="187">
        <f t="shared" si="18"/>
        <v>0.93395259123902341</v>
      </c>
      <c r="AE37" s="187">
        <f t="shared" si="20"/>
        <v>0.934958688604559</v>
      </c>
      <c r="AF37" s="187">
        <f t="shared" si="22"/>
        <v>0.93606218776390626</v>
      </c>
      <c r="AG37" s="187">
        <f t="shared" si="24"/>
        <v>0.93728286893179158</v>
      </c>
      <c r="AH37" s="187">
        <f t="shared" si="26"/>
        <v>0.93870783421423176</v>
      </c>
      <c r="AI37" s="187">
        <f t="shared" si="28"/>
        <v>0.94029088010138895</v>
      </c>
      <c r="AJ37" s="187">
        <f t="shared" si="32"/>
        <v>0.94202393995556055</v>
      </c>
      <c r="AK37" s="187">
        <f t="shared" si="34"/>
        <v>0.94398612735742571</v>
      </c>
      <c r="AL37" s="187">
        <f t="shared" si="36"/>
        <v>0.94607323920487851</v>
      </c>
      <c r="AM37" s="187">
        <f t="shared" si="39"/>
        <v>0.94842374384033323</v>
      </c>
      <c r="AN37" s="187">
        <f t="shared" si="41"/>
        <v>0.95104150514291619</v>
      </c>
      <c r="AO37" s="187">
        <f t="shared" si="46"/>
        <v>0.95400999647427254</v>
      </c>
      <c r="AP37" s="187">
        <f t="shared" si="48"/>
        <v>0.95724601489990424</v>
      </c>
      <c r="AQ37" s="187">
        <f t="shared" si="50"/>
        <v>0.96085517039698376</v>
      </c>
      <c r="AR37" s="187">
        <f t="shared" si="52"/>
        <v>0.96488615268440536</v>
      </c>
      <c r="AS37" s="187">
        <f t="shared" si="54"/>
        <v>0.96937990622201153</v>
      </c>
      <c r="AT37" s="187">
        <f t="shared" si="58"/>
        <v>0.97437988519138297</v>
      </c>
      <c r="AU37" s="187">
        <f t="shared" si="60"/>
        <v>0.97984897381005631</v>
      </c>
      <c r="AV37" s="187">
        <f t="shared" si="62"/>
        <v>0.98588666466629515</v>
      </c>
      <c r="AW37" s="187">
        <f t="shared" ref="AW37:AW47" si="64">VLOOKUP($X37,Sterbetafel,9)/VLOOKUP(AW$11,Sterbetafel,9)</f>
        <v>0.99259858661056266</v>
      </c>
      <c r="AX37" s="177"/>
      <c r="AY37" s="178">
        <f t="shared" ref="AY37:BH37" si="65">VLOOKUP(AY$11,Sterbetafel,2)/VLOOKUP($X37,Sterbetafel,2)</f>
        <v>0.98464856043827953</v>
      </c>
      <c r="AZ37" s="178">
        <f t="shared" si="65"/>
        <v>0.96810817111551462</v>
      </c>
      <c r="BA37" s="178">
        <f t="shared" si="65"/>
        <v>0.95060030306562537</v>
      </c>
      <c r="BB37" s="178">
        <f t="shared" si="65"/>
        <v>0.93193845436531064</v>
      </c>
      <c r="BC37" s="178">
        <f t="shared" si="65"/>
        <v>0.91228581419745891</v>
      </c>
      <c r="BD37" s="178">
        <f t="shared" si="65"/>
        <v>0.89174728989392704</v>
      </c>
      <c r="BE37" s="178">
        <f t="shared" si="65"/>
        <v>0.86950693554027281</v>
      </c>
      <c r="BF37" s="178">
        <f t="shared" si="65"/>
        <v>0.84666044993588996</v>
      </c>
      <c r="BG37" s="178">
        <f t="shared" si="65"/>
        <v>0.82225201072386056</v>
      </c>
      <c r="BH37" s="179">
        <f t="shared" si="65"/>
        <v>0.79660799626996148</v>
      </c>
      <c r="BV37">
        <f t="shared" si="43"/>
        <v>81</v>
      </c>
      <c r="BW37">
        <f t="shared" si="38"/>
        <v>69068</v>
      </c>
      <c r="BX37" s="159">
        <f t="shared" si="44"/>
        <v>0.78775505548775615</v>
      </c>
      <c r="BY37" s="157">
        <f t="shared" si="45"/>
        <v>4837.2319386932759</v>
      </c>
      <c r="CC37" s="545">
        <v>54</v>
      </c>
      <c r="CD37" s="543">
        <f t="shared" si="56"/>
        <v>235.92328685805023</v>
      </c>
      <c r="CE37" s="543">
        <f t="shared" si="56"/>
        <v>241.01675397269625</v>
      </c>
      <c r="CF37" s="543">
        <f t="shared" si="56"/>
        <v>246.22126456269331</v>
      </c>
      <c r="CG37" s="543">
        <f t="shared" si="56"/>
        <v>251.53925269527002</v>
      </c>
      <c r="CH37" s="543">
        <f t="shared" si="56"/>
        <v>256.97320571650306</v>
      </c>
      <c r="CI37" s="543">
        <f t="shared" si="56"/>
        <v>262.52566540690725</v>
      </c>
      <c r="CJ37" s="543">
        <f t="shared" si="56"/>
        <v>268.19922916154184</v>
      </c>
      <c r="CK37" s="543">
        <f t="shared" si="56"/>
        <v>273.9965511953954</v>
      </c>
      <c r="CL37" s="543">
        <f t="shared" si="56"/>
        <v>279.92034377434305</v>
      </c>
      <c r="CM37" s="543">
        <f t="shared" si="56"/>
        <v>285.97337847242295</v>
      </c>
      <c r="CN37" s="543">
        <f t="shared" si="57"/>
        <v>292.15848745577938</v>
      </c>
      <c r="CO37" s="543">
        <f t="shared" si="57"/>
        <v>298.47856479401992</v>
      </c>
      <c r="CP37" s="543">
        <f t="shared" si="57"/>
        <v>304.93656779936293</v>
      </c>
      <c r="CQ37" s="543">
        <f t="shared" si="57"/>
        <v>311.53551839434613</v>
      </c>
      <c r="CR37" s="543">
        <f t="shared" si="57"/>
        <v>318.27850450849826</v>
      </c>
      <c r="CS37" s="543">
        <f t="shared" si="57"/>
        <v>325.16868150475926</v>
      </c>
      <c r="CT37" s="543">
        <f t="shared" si="57"/>
        <v>332.20927363608814</v>
      </c>
      <c r="CU37" s="543">
        <f t="shared" si="57"/>
        <v>339.40357553305341</v>
      </c>
      <c r="CV37" s="543">
        <f t="shared" si="57"/>
        <v>346.75495372288134</v>
      </c>
      <c r="CW37" s="547">
        <f t="shared" si="57"/>
        <v>354.26684818078127</v>
      </c>
      <c r="CX37" s="559"/>
    </row>
    <row r="38" spans="1:102" ht="14.25">
      <c r="A38" s="171">
        <v>25</v>
      </c>
      <c r="B38" s="188">
        <v>99160</v>
      </c>
      <c r="C38" s="189">
        <v>54.22</v>
      </c>
      <c r="D38" s="171">
        <v>75</v>
      </c>
      <c r="E38" s="188">
        <f t="shared" si="10"/>
        <v>68341</v>
      </c>
      <c r="F38" s="189">
        <f t="shared" si="10"/>
        <v>11.1</v>
      </c>
      <c r="G38" s="160"/>
      <c r="H38" s="171">
        <v>25</v>
      </c>
      <c r="I38" s="188">
        <v>99436</v>
      </c>
      <c r="J38" s="189">
        <v>58.83</v>
      </c>
      <c r="K38" s="171">
        <v>75</v>
      </c>
      <c r="L38" s="188">
        <f t="shared" si="11"/>
        <v>81192</v>
      </c>
      <c r="M38" s="189">
        <f t="shared" si="11"/>
        <v>13.18</v>
      </c>
      <c r="O38" s="188">
        <f t="shared" si="6"/>
        <v>99298</v>
      </c>
      <c r="P38" s="189">
        <f t="shared" si="7"/>
        <v>56.524999999999999</v>
      </c>
      <c r="S38" t="s">
        <v>236</v>
      </c>
      <c r="T38">
        <f>VLOOKUP(T37,Sterbetafel,3)</f>
        <v>39.68</v>
      </c>
      <c r="U38">
        <f>VLOOKUP(U37,Sterbetafel,10)</f>
        <v>46.05</v>
      </c>
      <c r="W38" s="2716"/>
      <c r="X38" s="30">
        <v>66</v>
      </c>
      <c r="Y38" s="187">
        <f t="shared" si="2"/>
        <v>0.92275103386214496</v>
      </c>
      <c r="Z38" s="187">
        <f t="shared" si="8"/>
        <v>0.92332985967077774</v>
      </c>
      <c r="AA38" s="187">
        <f t="shared" si="12"/>
        <v>0.92401231192920641</v>
      </c>
      <c r="AB38" s="187">
        <f t="shared" si="14"/>
        <v>0.92475199367697869</v>
      </c>
      <c r="AC38" s="187">
        <f t="shared" si="16"/>
        <v>0.92558672589707702</v>
      </c>
      <c r="AD38" s="187">
        <f t="shared" si="18"/>
        <v>0.92646058575706813</v>
      </c>
      <c r="AE38" s="187">
        <f t="shared" si="20"/>
        <v>0.92745861238427219</v>
      </c>
      <c r="AF38" s="187">
        <f t="shared" si="22"/>
        <v>0.92855325946501432</v>
      </c>
      <c r="AG38" s="187">
        <f t="shared" si="24"/>
        <v>0.92976414854057354</v>
      </c>
      <c r="AH38" s="187">
        <f t="shared" si="26"/>
        <v>0.93117768299900006</v>
      </c>
      <c r="AI38" s="187">
        <f t="shared" si="28"/>
        <v>0.93274802996698725</v>
      </c>
      <c r="AJ38" s="187">
        <f t="shared" si="32"/>
        <v>0.93446718751599922</v>
      </c>
      <c r="AK38" s="187">
        <f t="shared" si="34"/>
        <v>0.93641363459131111</v>
      </c>
      <c r="AL38" s="187">
        <f t="shared" si="36"/>
        <v>0.93848400399000442</v>
      </c>
      <c r="AM38" s="187">
        <f t="shared" si="39"/>
        <v>0.94081565328549932</v>
      </c>
      <c r="AN38" s="187">
        <f t="shared" si="41"/>
        <v>0.94341241536155473</v>
      </c>
      <c r="AO38" s="187">
        <f t="shared" si="46"/>
        <v>0.94635709397100609</v>
      </c>
      <c r="AP38" s="187">
        <f t="shared" si="48"/>
        <v>0.94956715361884547</v>
      </c>
      <c r="AQ38" s="187">
        <f t="shared" si="50"/>
        <v>0.95314735709735032</v>
      </c>
      <c r="AR38" s="187">
        <f t="shared" si="52"/>
        <v>0.95714600354494639</v>
      </c>
      <c r="AS38" s="187">
        <f t="shared" si="54"/>
        <v>0.96160370897212999</v>
      </c>
      <c r="AT38" s="187">
        <f t="shared" si="58"/>
        <v>0.96656357897858458</v>
      </c>
      <c r="AU38" s="187">
        <f t="shared" si="60"/>
        <v>0.97198879551820727</v>
      </c>
      <c r="AV38" s="187">
        <f t="shared" si="62"/>
        <v>0.97797805306699814</v>
      </c>
      <c r="AW38" s="187">
        <f t="shared" si="64"/>
        <v>0.98463613313912712</v>
      </c>
      <c r="AX38" s="187">
        <f t="shared" ref="AX38:AX47" si="66">VLOOKUP($X38,Sterbetafel,9)/VLOOKUP(AX$11,Sterbetafel,9)</f>
        <v>0.99197817367580088</v>
      </c>
      <c r="AY38" s="177"/>
      <c r="AZ38" s="178">
        <f t="shared" ref="AZ38:BH38" si="67">VLOOKUP(AZ$11,Sterbetafel,2)/VLOOKUP($X38,Sterbetafel,2)</f>
        <v>0.98320173309814973</v>
      </c>
      <c r="BA38" s="178">
        <f t="shared" si="67"/>
        <v>0.96542090372071554</v>
      </c>
      <c r="BB38" s="178">
        <f t="shared" si="67"/>
        <v>0.94646810223384992</v>
      </c>
      <c r="BC38" s="178">
        <f t="shared" si="67"/>
        <v>0.92650906206716943</v>
      </c>
      <c r="BD38" s="178">
        <f t="shared" si="67"/>
        <v>0.9056503261397133</v>
      </c>
      <c r="BE38" s="178">
        <f t="shared" si="67"/>
        <v>0.8830632273033987</v>
      </c>
      <c r="BF38" s="178">
        <f t="shared" si="67"/>
        <v>0.85986054715707982</v>
      </c>
      <c r="BG38" s="178">
        <f t="shared" si="67"/>
        <v>0.83507156132728799</v>
      </c>
      <c r="BH38" s="179">
        <f t="shared" si="67"/>
        <v>0.80902773667325656</v>
      </c>
      <c r="BV38">
        <f t="shared" si="43"/>
        <v>82</v>
      </c>
      <c r="BW38">
        <f t="shared" si="38"/>
        <v>66277</v>
      </c>
      <c r="BX38" s="159">
        <f t="shared" si="44"/>
        <v>0.75592230573582586</v>
      </c>
      <c r="BY38" s="157">
        <f t="shared" si="45"/>
        <v>4282.875952266626</v>
      </c>
      <c r="CC38" s="545">
        <v>55</v>
      </c>
      <c r="CD38" s="544">
        <f t="shared" si="56"/>
        <v>234.7495391622391</v>
      </c>
      <c r="CE38" s="544">
        <f t="shared" si="56"/>
        <v>239.579278302879</v>
      </c>
      <c r="CF38" s="544">
        <f t="shared" si="56"/>
        <v>244.50969668589204</v>
      </c>
      <c r="CG38" s="544">
        <f t="shared" si="56"/>
        <v>249.54290941991076</v>
      </c>
      <c r="CH38" s="544">
        <f t="shared" si="56"/>
        <v>254.68107603221318</v>
      </c>
      <c r="CI38" s="544">
        <f t="shared" si="56"/>
        <v>259.92640139297748</v>
      </c>
      <c r="CJ38" s="544">
        <f t="shared" si="56"/>
        <v>265.28113665830057</v>
      </c>
      <c r="CK38" s="544">
        <f t="shared" si="56"/>
        <v>270.74758023260415</v>
      </c>
      <c r="CL38" s="544">
        <f t="shared" si="56"/>
        <v>276.32807875058552</v>
      </c>
      <c r="CM38" s="544">
        <f t="shared" si="56"/>
        <v>282.02502807931256</v>
      </c>
      <c r="CN38" s="544">
        <f t="shared" si="57"/>
        <v>287.84087434066936</v>
      </c>
      <c r="CO38" s="544">
        <f t="shared" si="57"/>
        <v>293.77811495474396</v>
      </c>
      <c r="CP38" s="544">
        <f t="shared" si="57"/>
        <v>299.83929970438834</v>
      </c>
      <c r="CQ38" s="544">
        <f t="shared" si="57"/>
        <v>306.02703182155801</v>
      </c>
      <c r="CR38" s="544">
        <f t="shared" si="57"/>
        <v>312.34396909568034</v>
      </c>
      <c r="CS38" s="544">
        <f t="shared" si="57"/>
        <v>318.79282500466593</v>
      </c>
      <c r="CT38" s="544">
        <f t="shared" si="57"/>
        <v>325.37636986884252</v>
      </c>
      <c r="CU38" s="544">
        <f t="shared" si="57"/>
        <v>332.09743202842799</v>
      </c>
      <c r="CV38" s="544">
        <f t="shared" si="57"/>
        <v>338.95889904484983</v>
      </c>
      <c r="CW38" s="548">
        <f t="shared" si="57"/>
        <v>345.96371892654417</v>
      </c>
      <c r="CX38" s="559"/>
    </row>
    <row r="39" spans="1:102" ht="14.25">
      <c r="A39" s="180">
        <v>26</v>
      </c>
      <c r="B39" s="181">
        <v>99116</v>
      </c>
      <c r="C39" s="182">
        <v>53.24</v>
      </c>
      <c r="D39" s="180">
        <v>76</v>
      </c>
      <c r="E39" s="181">
        <f t="shared" si="10"/>
        <v>66001</v>
      </c>
      <c r="F39" s="182">
        <f t="shared" si="10"/>
        <v>10.48</v>
      </c>
      <c r="G39" s="160"/>
      <c r="H39" s="180">
        <v>26</v>
      </c>
      <c r="I39" s="181">
        <v>99417</v>
      </c>
      <c r="J39" s="182">
        <v>57.85</v>
      </c>
      <c r="K39" s="180">
        <v>76</v>
      </c>
      <c r="L39" s="181">
        <f t="shared" si="11"/>
        <v>79559</v>
      </c>
      <c r="M39" s="182">
        <f t="shared" si="11"/>
        <v>12.44</v>
      </c>
      <c r="O39" s="181">
        <f t="shared" si="6"/>
        <v>99266.5</v>
      </c>
      <c r="P39" s="182">
        <f t="shared" si="7"/>
        <v>55.545000000000002</v>
      </c>
      <c r="T39">
        <f>+T38+T37</f>
        <v>79.680000000000007</v>
      </c>
      <c r="U39">
        <f>+U38+U37</f>
        <v>84.05</v>
      </c>
      <c r="W39" s="2716"/>
      <c r="X39" s="30">
        <v>67</v>
      </c>
      <c r="Y39" s="187">
        <f t="shared" si="2"/>
        <v>0.91467224800558133</v>
      </c>
      <c r="Z39" s="187">
        <f t="shared" si="8"/>
        <v>0.91524600613118301</v>
      </c>
      <c r="AA39" s="187">
        <f t="shared" si="12"/>
        <v>0.91592248344572014</v>
      </c>
      <c r="AB39" s="187">
        <f t="shared" si="14"/>
        <v>0.91665568919918528</v>
      </c>
      <c r="AC39" s="187">
        <f t="shared" si="16"/>
        <v>0.91748311324773324</v>
      </c>
      <c r="AD39" s="187">
        <f t="shared" si="18"/>
        <v>0.9183493223694229</v>
      </c>
      <c r="AE39" s="187">
        <f t="shared" si="20"/>
        <v>0.91933861116474758</v>
      </c>
      <c r="AF39" s="187">
        <f t="shared" si="22"/>
        <v>0.9204236744910107</v>
      </c>
      <c r="AG39" s="187">
        <f t="shared" si="24"/>
        <v>0.92162396210075903</v>
      </c>
      <c r="AH39" s="187">
        <f t="shared" si="26"/>
        <v>0.92302512091096467</v>
      </c>
      <c r="AI39" s="187">
        <f t="shared" si="28"/>
        <v>0.92458171932012145</v>
      </c>
      <c r="AJ39" s="187">
        <f t="shared" si="32"/>
        <v>0.92628582545744975</v>
      </c>
      <c r="AK39" s="187">
        <f t="shared" si="34"/>
        <v>0.92821523117650684</v>
      </c>
      <c r="AL39" s="187">
        <f t="shared" si="36"/>
        <v>0.93026747426549983</v>
      </c>
      <c r="AM39" s="187">
        <f t="shared" si="39"/>
        <v>0.93257870971732537</v>
      </c>
      <c r="AN39" s="187">
        <f t="shared" si="41"/>
        <v>0.9351527368584277</v>
      </c>
      <c r="AO39" s="187">
        <f t="shared" si="46"/>
        <v>0.93807163448576225</v>
      </c>
      <c r="AP39" s="187">
        <f t="shared" si="48"/>
        <v>0.94125358971157447</v>
      </c>
      <c r="AQ39" s="187">
        <f t="shared" si="50"/>
        <v>0.94480244811847891</v>
      </c>
      <c r="AR39" s="187">
        <f t="shared" si="52"/>
        <v>0.94876608598068113</v>
      </c>
      <c r="AS39" s="187">
        <f t="shared" si="54"/>
        <v>0.95318476371107952</v>
      </c>
      <c r="AT39" s="187">
        <f t="shared" si="58"/>
        <v>0.95810120951513478</v>
      </c>
      <c r="AU39" s="187">
        <f t="shared" si="60"/>
        <v>0.96347892769275012</v>
      </c>
      <c r="AV39" s="187">
        <f t="shared" si="62"/>
        <v>0.96941574863903301</v>
      </c>
      <c r="AW39" s="187">
        <f t="shared" si="64"/>
        <v>0.9760155364945784</v>
      </c>
      <c r="AX39" s="187">
        <f t="shared" si="66"/>
        <v>0.98329329666626808</v>
      </c>
      <c r="AY39" s="187">
        <f t="shared" ref="AY39:AY47" si="68">VLOOKUP($X39,Sterbetafel,9)/VLOOKUP(AY$11,Sterbetafel,9)</f>
        <v>0.99124489102683511</v>
      </c>
      <c r="AZ39" s="177"/>
      <c r="BA39" s="178">
        <f t="shared" ref="BA39:BH39" si="69">VLOOKUP(BA$11,Sterbetafel,2)/VLOOKUP($X39,Sterbetafel,2)</f>
        <v>0.98191538035494974</v>
      </c>
      <c r="BB39" s="178">
        <f t="shared" si="69"/>
        <v>0.96263876514075175</v>
      </c>
      <c r="BC39" s="178">
        <f t="shared" si="69"/>
        <v>0.94233871938738656</v>
      </c>
      <c r="BD39" s="178">
        <f t="shared" si="69"/>
        <v>0.92112360632841284</v>
      </c>
      <c r="BE39" s="178">
        <f t="shared" si="69"/>
        <v>0.89815060081392828</v>
      </c>
      <c r="BF39" s="178">
        <f t="shared" si="69"/>
        <v>0.8745514966166591</v>
      </c>
      <c r="BG39" s="178">
        <f t="shared" si="69"/>
        <v>0.84933898427529075</v>
      </c>
      <c r="BH39" s="179">
        <f t="shared" si="69"/>
        <v>0.82285019384978453</v>
      </c>
      <c r="BV39">
        <f t="shared" si="43"/>
        <v>83</v>
      </c>
      <c r="BW39">
        <f t="shared" si="38"/>
        <v>63161</v>
      </c>
      <c r="BX39" s="159">
        <f t="shared" si="44"/>
        <v>0.72038276857100492</v>
      </c>
      <c r="BY39" s="157">
        <f t="shared" si="45"/>
        <v>3740.0246726089135</v>
      </c>
      <c r="CC39" s="545">
        <v>56</v>
      </c>
      <c r="CD39" s="543">
        <f t="shared" si="56"/>
        <v>233.58163100720313</v>
      </c>
      <c r="CE39" s="543">
        <f t="shared" si="56"/>
        <v>238.15037604659938</v>
      </c>
      <c r="CF39" s="543">
        <f t="shared" si="56"/>
        <v>242.81002650038934</v>
      </c>
      <c r="CG39" s="543">
        <f t="shared" si="56"/>
        <v>247.56241013880037</v>
      </c>
      <c r="CH39" s="543">
        <f t="shared" si="56"/>
        <v>252.40939150863539</v>
      </c>
      <c r="CI39" s="543">
        <f t="shared" si="56"/>
        <v>257.35287266631428</v>
      </c>
      <c r="CJ39" s="543">
        <f t="shared" si="56"/>
        <v>262.39479392512419</v>
      </c>
      <c r="CK39" s="543">
        <f t="shared" si="56"/>
        <v>267.53713461719781</v>
      </c>
      <c r="CL39" s="543">
        <f t="shared" si="56"/>
        <v>272.78191387027192</v>
      </c>
      <c r="CM39" s="543">
        <f t="shared" si="56"/>
        <v>278.1311913997165</v>
      </c>
      <c r="CN39" s="543">
        <f t="shared" si="57"/>
        <v>283.58706831593042</v>
      </c>
      <c r="CO39" s="543">
        <f t="shared" si="57"/>
        <v>289.15168794758262</v>
      </c>
      <c r="CP39" s="543">
        <f t="shared" si="57"/>
        <v>294.82723668081451</v>
      </c>
      <c r="CQ39" s="543">
        <f t="shared" si="57"/>
        <v>300.61594481489004</v>
      </c>
      <c r="CR39" s="543">
        <f t="shared" si="57"/>
        <v>306.52008743442627</v>
      </c>
      <c r="CS39" s="543">
        <f t="shared" si="57"/>
        <v>312.54198529869205</v>
      </c>
      <c r="CT39" s="543">
        <f t="shared" si="57"/>
        <v>318.68400574813188</v>
      </c>
      <c r="CU39" s="543">
        <f t="shared" si="57"/>
        <v>324.94856362859889</v>
      </c>
      <c r="CV39" s="543">
        <f t="shared" si="57"/>
        <v>331.33812223347979</v>
      </c>
      <c r="CW39" s="547">
        <f t="shared" si="57"/>
        <v>337.85519426420331</v>
      </c>
      <c r="CX39" s="559"/>
    </row>
    <row r="40" spans="1:102" ht="14.25">
      <c r="A40" s="171">
        <v>27</v>
      </c>
      <c r="B40" s="188">
        <v>99072</v>
      </c>
      <c r="C40" s="189">
        <v>52.26</v>
      </c>
      <c r="D40" s="171">
        <v>77</v>
      </c>
      <c r="E40" s="188">
        <f t="shared" si="10"/>
        <v>63529</v>
      </c>
      <c r="F40" s="189">
        <f t="shared" si="10"/>
        <v>9.8699999999999992</v>
      </c>
      <c r="G40" s="160"/>
      <c r="H40" s="171">
        <v>27</v>
      </c>
      <c r="I40" s="188">
        <v>99399</v>
      </c>
      <c r="J40" s="189">
        <v>56.86</v>
      </c>
      <c r="K40" s="171">
        <v>77</v>
      </c>
      <c r="L40" s="188">
        <f t="shared" si="11"/>
        <v>77797</v>
      </c>
      <c r="M40" s="189">
        <f t="shared" si="11"/>
        <v>11.71</v>
      </c>
      <c r="O40" s="188">
        <f t="shared" si="6"/>
        <v>99235.5</v>
      </c>
      <c r="P40" s="189">
        <f t="shared" si="7"/>
        <v>54.56</v>
      </c>
      <c r="U40">
        <f>VLOOKUP(U37,Sterbetafel,9)</f>
        <v>99021</v>
      </c>
      <c r="W40" s="2716"/>
      <c r="X40" s="30">
        <v>68</v>
      </c>
      <c r="Y40" s="187">
        <f t="shared" si="2"/>
        <v>0.90611823945157277</v>
      </c>
      <c r="Z40" s="187">
        <f t="shared" si="8"/>
        <v>0.90668663179514164</v>
      </c>
      <c r="AA40" s="187">
        <f t="shared" si="12"/>
        <v>0.90735678269849951</v>
      </c>
      <c r="AB40" s="187">
        <f t="shared" si="14"/>
        <v>0.90808313151681574</v>
      </c>
      <c r="AC40" s="187">
        <f t="shared" si="16"/>
        <v>0.90890281750136914</v>
      </c>
      <c r="AD40" s="187">
        <f t="shared" si="18"/>
        <v>0.90976092584132784</v>
      </c>
      <c r="AE40" s="187">
        <f t="shared" si="20"/>
        <v>0.91074096281466277</v>
      </c>
      <c r="AF40" s="187">
        <f t="shared" si="22"/>
        <v>0.9118158786361833</v>
      </c>
      <c r="AG40" s="187">
        <f t="shared" si="24"/>
        <v>0.91300494116448472</v>
      </c>
      <c r="AH40" s="187">
        <f t="shared" si="26"/>
        <v>0.91439299634716242</v>
      </c>
      <c r="AI40" s="187">
        <f t="shared" si="28"/>
        <v>0.91593503745873406</v>
      </c>
      <c r="AJ40" s="187">
        <f t="shared" si="32"/>
        <v>0.91762320680722087</v>
      </c>
      <c r="AK40" s="187">
        <f t="shared" si="34"/>
        <v>0.91953456873730222</v>
      </c>
      <c r="AL40" s="187">
        <f t="shared" si="36"/>
        <v>0.92156761926308317</v>
      </c>
      <c r="AM40" s="187">
        <f t="shared" si="39"/>
        <v>0.92385724005690606</v>
      </c>
      <c r="AN40" s="187">
        <f t="shared" si="41"/>
        <v>0.92640719491394019</v>
      </c>
      <c r="AO40" s="187">
        <f t="shared" si="46"/>
        <v>0.92929879503079826</v>
      </c>
      <c r="AP40" s="187">
        <f t="shared" si="48"/>
        <v>0.93245099263328757</v>
      </c>
      <c r="AQ40" s="187">
        <f t="shared" si="50"/>
        <v>0.93596666214085034</v>
      </c>
      <c r="AR40" s="187">
        <f t="shared" si="52"/>
        <v>0.93989323208910613</v>
      </c>
      <c r="AS40" s="187">
        <f t="shared" si="54"/>
        <v>0.94427058637584949</v>
      </c>
      <c r="AT40" s="187">
        <f t="shared" si="58"/>
        <v>0.94914105361265866</v>
      </c>
      <c r="AU40" s="187">
        <f t="shared" si="60"/>
        <v>0.95446847940697188</v>
      </c>
      <c r="AV40" s="187">
        <f t="shared" si="62"/>
        <v>0.96034977924471687</v>
      </c>
      <c r="AW40" s="187">
        <f t="shared" si="64"/>
        <v>0.96688784592976207</v>
      </c>
      <c r="AX40" s="187">
        <f t="shared" si="66"/>
        <v>0.97409754453852759</v>
      </c>
      <c r="AY40" s="187">
        <f t="shared" si="68"/>
        <v>0.98197477564348412</v>
      </c>
      <c r="AZ40" s="187">
        <f t="shared" ref="AZ40:AZ47" si="70">VLOOKUP($X40,Sterbetafel,9)/VLOOKUP(AZ$11,Sterbetafel,9)</f>
        <v>0.99064800689792398</v>
      </c>
      <c r="BA40" s="177"/>
      <c r="BB40" s="178">
        <f t="shared" ref="BB40:BH40" si="71">VLOOKUP(BB$11,Sterbetafel,2)/VLOOKUP($X40,Sterbetafel,2)</f>
        <v>0.98036835393368649</v>
      </c>
      <c r="BC40" s="178">
        <f t="shared" si="71"/>
        <v>0.95969442809495786</v>
      </c>
      <c r="BD40" s="178">
        <f t="shared" si="71"/>
        <v>0.93808858151854035</v>
      </c>
      <c r="BE40" s="178">
        <f t="shared" si="71"/>
        <v>0.91469246615656263</v>
      </c>
      <c r="BF40" s="178">
        <f t="shared" si="71"/>
        <v>0.89065872081616637</v>
      </c>
      <c r="BG40" s="178">
        <f t="shared" si="71"/>
        <v>0.86498185206984501</v>
      </c>
      <c r="BH40" s="179">
        <f t="shared" si="71"/>
        <v>0.83800519913674709</v>
      </c>
      <c r="BV40">
        <f t="shared" si="43"/>
        <v>84</v>
      </c>
      <c r="BW40">
        <f t="shared" si="38"/>
        <v>59675</v>
      </c>
      <c r="BX40" s="159">
        <f t="shared" si="44"/>
        <v>0.68062319650535485</v>
      </c>
      <c r="BY40" s="157">
        <f t="shared" si="45"/>
        <v>3210.1696798783669</v>
      </c>
      <c r="CC40" s="545">
        <v>57</v>
      </c>
      <c r="CD40" s="544">
        <f t="shared" si="56"/>
        <v>232.41953334050066</v>
      </c>
      <c r="CE40" s="544">
        <f t="shared" si="56"/>
        <v>236.72999607017832</v>
      </c>
      <c r="CF40" s="544">
        <f t="shared" si="56"/>
        <v>241.12217130128045</v>
      </c>
      <c r="CG40" s="544">
        <f t="shared" si="56"/>
        <v>245.59762910595271</v>
      </c>
      <c r="CH40" s="544">
        <f t="shared" si="56"/>
        <v>250.15796978060996</v>
      </c>
      <c r="CI40" s="544">
        <f t="shared" si="56"/>
        <v>254.80482442209345</v>
      </c>
      <c r="CJ40" s="544">
        <f t="shared" si="56"/>
        <v>259.53985551446505</v>
      </c>
      <c r="CK40" s="544">
        <f t="shared" si="56"/>
        <v>264.36475752687528</v>
      </c>
      <c r="CL40" s="544">
        <f t="shared" si="56"/>
        <v>269.28125752247973</v>
      </c>
      <c r="CM40" s="544">
        <f t="shared" si="56"/>
        <v>274.29111577881304</v>
      </c>
      <c r="CN40" s="544">
        <f t="shared" si="57"/>
        <v>279.39612641963595</v>
      </c>
      <c r="CO40" s="544">
        <f t="shared" si="57"/>
        <v>284.59811805864433</v>
      </c>
      <c r="CP40" s="544">
        <f t="shared" si="57"/>
        <v>289.89895445507824</v>
      </c>
      <c r="CQ40" s="544">
        <f t="shared" si="57"/>
        <v>295.30053518162089</v>
      </c>
      <c r="CR40" s="544">
        <f t="shared" si="57"/>
        <v>300.80479630463816</v>
      </c>
      <c r="CS40" s="544">
        <f t="shared" si="57"/>
        <v>306.41371107714912</v>
      </c>
      <c r="CT40" s="544">
        <f t="shared" si="57"/>
        <v>312.12929064459536</v>
      </c>
      <c r="CU40" s="544">
        <f t="shared" si="57"/>
        <v>317.95358476379533</v>
      </c>
      <c r="CV40" s="544">
        <f t="shared" si="57"/>
        <v>323.88868253517091</v>
      </c>
      <c r="CW40" s="548">
        <f t="shared" si="57"/>
        <v>329.93671314863604</v>
      </c>
      <c r="CX40" s="559"/>
    </row>
    <row r="41" spans="1:102">
      <c r="A41" s="180">
        <v>28</v>
      </c>
      <c r="B41" s="181">
        <v>99028</v>
      </c>
      <c r="C41" s="182">
        <v>51.29</v>
      </c>
      <c r="D41" s="180">
        <v>78</v>
      </c>
      <c r="E41" s="181">
        <f t="shared" si="10"/>
        <v>60972</v>
      </c>
      <c r="F41" s="182">
        <f t="shared" si="10"/>
        <v>9.26</v>
      </c>
      <c r="G41" s="160"/>
      <c r="H41" s="180">
        <v>28</v>
      </c>
      <c r="I41" s="181">
        <v>99379</v>
      </c>
      <c r="J41" s="182">
        <v>55.87</v>
      </c>
      <c r="K41" s="180">
        <v>78</v>
      </c>
      <c r="L41" s="181">
        <f t="shared" si="11"/>
        <v>75934</v>
      </c>
      <c r="M41" s="182">
        <f t="shared" si="11"/>
        <v>10.99</v>
      </c>
      <c r="O41" s="181">
        <f t="shared" si="6"/>
        <v>99203.5</v>
      </c>
      <c r="P41" s="182">
        <f t="shared" si="7"/>
        <v>53.58</v>
      </c>
      <c r="U41">
        <f>VLOOKUP(T37+T38,Sterbetafel,9)</f>
        <v>73868</v>
      </c>
      <c r="W41" s="2716"/>
      <c r="X41" s="30">
        <v>69</v>
      </c>
      <c r="Y41" s="187">
        <f t="shared" si="2"/>
        <v>0.89686656353323024</v>
      </c>
      <c r="Z41" s="187">
        <f t="shared" si="8"/>
        <v>0.89742915246006127</v>
      </c>
      <c r="AA41" s="187">
        <f t="shared" si="12"/>
        <v>0.89809246096834938</v>
      </c>
      <c r="AB41" s="187">
        <f t="shared" si="14"/>
        <v>0.89881139359794093</v>
      </c>
      <c r="AC41" s="187">
        <f t="shared" si="16"/>
        <v>0.89962271039980524</v>
      </c>
      <c r="AD41" s="187">
        <f t="shared" si="18"/>
        <v>0.9004720572559769</v>
      </c>
      <c r="AE41" s="187">
        <f t="shared" si="20"/>
        <v>0.90144208782609581</v>
      </c>
      <c r="AF41" s="187">
        <f t="shared" si="22"/>
        <v>0.90250602850950823</v>
      </c>
      <c r="AG41" s="187">
        <f t="shared" si="24"/>
        <v>0.90368295043553559</v>
      </c>
      <c r="AH41" s="187">
        <f t="shared" si="26"/>
        <v>0.90505683325510689</v>
      </c>
      <c r="AI41" s="187">
        <f t="shared" si="28"/>
        <v>0.90658312977177258</v>
      </c>
      <c r="AJ41" s="187">
        <f t="shared" si="32"/>
        <v>0.90825406252239893</v>
      </c>
      <c r="AK41" s="187">
        <f t="shared" si="34"/>
        <v>0.9101459090069568</v>
      </c>
      <c r="AL41" s="187">
        <f t="shared" si="36"/>
        <v>0.91215820161862549</v>
      </c>
      <c r="AM41" s="187">
        <f t="shared" si="39"/>
        <v>0.91442444485680707</v>
      </c>
      <c r="AN41" s="187">
        <f t="shared" si="41"/>
        <v>0.91694836408745539</v>
      </c>
      <c r="AO41" s="187">
        <f t="shared" si="46"/>
        <v>0.91981044030113857</v>
      </c>
      <c r="AP41" s="187">
        <f t="shared" si="48"/>
        <v>0.92293045324010492</v>
      </c>
      <c r="AQ41" s="187">
        <f t="shared" si="50"/>
        <v>0.92641022695228048</v>
      </c>
      <c r="AR41" s="187">
        <f t="shared" si="52"/>
        <v>0.93029670571701262</v>
      </c>
      <c r="AS41" s="187">
        <f t="shared" si="54"/>
        <v>0.93462936620831361</v>
      </c>
      <c r="AT41" s="187">
        <f t="shared" si="58"/>
        <v>0.93945010485288827</v>
      </c>
      <c r="AU41" s="187">
        <f t="shared" si="60"/>
        <v>0.94472313640285011</v>
      </c>
      <c r="AV41" s="187">
        <f t="shared" si="62"/>
        <v>0.95054438681469411</v>
      </c>
      <c r="AW41" s="187">
        <f t="shared" si="64"/>
        <v>0.95701569833306366</v>
      </c>
      <c r="AX41" s="187">
        <f t="shared" si="66"/>
        <v>0.96415178425852455</v>
      </c>
      <c r="AY41" s="187">
        <f t="shared" si="68"/>
        <v>0.97194858701964693</v>
      </c>
      <c r="AZ41" s="187">
        <f t="shared" si="70"/>
        <v>0.98053326258539497</v>
      </c>
      <c r="BA41" s="187">
        <f t="shared" ref="BA41:BA47" si="72">VLOOKUP($X41,Sterbetafel,9)/VLOOKUP(BA$11,Sterbetafel,9)</f>
        <v>0.98978976968398502</v>
      </c>
      <c r="BB41" s="177"/>
      <c r="BC41" s="178">
        <f t="shared" ref="BC41:BH41" si="73">VLOOKUP(BC$11,Sterbetafel,2)/VLOOKUP($X41,Sterbetafel,2)</f>
        <v>0.97891208365123639</v>
      </c>
      <c r="BD41" s="178">
        <f t="shared" si="73"/>
        <v>0.95687358507085585</v>
      </c>
      <c r="BE41" s="178">
        <f t="shared" si="73"/>
        <v>0.93300896799289568</v>
      </c>
      <c r="BF41" s="178">
        <f t="shared" si="73"/>
        <v>0.90849395254593435</v>
      </c>
      <c r="BG41" s="178">
        <f t="shared" si="73"/>
        <v>0.88230291053270127</v>
      </c>
      <c r="BH41" s="179">
        <f t="shared" si="73"/>
        <v>0.8547860564595815</v>
      </c>
      <c r="BL41" s="2715" t="s">
        <v>260</v>
      </c>
      <c r="BM41" s="2715"/>
      <c r="BN41" s="2715"/>
      <c r="BO41" s="2715"/>
      <c r="BP41" s="2715" t="s">
        <v>261</v>
      </c>
      <c r="BQ41" s="2715"/>
      <c r="BR41" s="2715"/>
      <c r="BS41" s="2715"/>
      <c r="BV41">
        <f t="shared" si="43"/>
        <v>85</v>
      </c>
      <c r="BW41">
        <f t="shared" si="38"/>
        <v>55869</v>
      </c>
      <c r="BX41" s="159">
        <f t="shared" si="44"/>
        <v>0.63721386452547424</v>
      </c>
      <c r="BY41" s="157">
        <f t="shared" si="45"/>
        <v>2705.5252398660873</v>
      </c>
      <c r="CC41" s="545">
        <v>58</v>
      </c>
      <c r="CD41" s="543">
        <f t="shared" si="56"/>
        <v>231.26321725422957</v>
      </c>
      <c r="CE41" s="543">
        <f t="shared" si="56"/>
        <v>235.31808754490891</v>
      </c>
      <c r="CF41" s="543">
        <f t="shared" si="56"/>
        <v>239.44604895857049</v>
      </c>
      <c r="CG41" s="543">
        <f t="shared" si="56"/>
        <v>243.6484415733658</v>
      </c>
      <c r="CH41" s="543">
        <f t="shared" si="56"/>
        <v>247.92663010962335</v>
      </c>
      <c r="CI41" s="543">
        <f t="shared" si="56"/>
        <v>252.28200437831035</v>
      </c>
      <c r="CJ41" s="543">
        <f t="shared" si="56"/>
        <v>256.71597973735425</v>
      </c>
      <c r="CK41" s="543">
        <f t="shared" si="56"/>
        <v>261.22999755620083</v>
      </c>
      <c r="CL41" s="543">
        <f t="shared" si="56"/>
        <v>265.82552568852884</v>
      </c>
      <c r="CM41" s="543">
        <f t="shared" si="56"/>
        <v>270.50405895346455</v>
      </c>
      <c r="CN41" s="543">
        <f t="shared" si="57"/>
        <v>275.26711962525712</v>
      </c>
      <c r="CO41" s="543">
        <f t="shared" si="57"/>
        <v>280.11625793173653</v>
      </c>
      <c r="CP41" s="543">
        <f t="shared" si="57"/>
        <v>285.05305256153224</v>
      </c>
      <c r="CQ41" s="543">
        <f t="shared" si="57"/>
        <v>290.07911118037413</v>
      </c>
      <c r="CR41" s="543">
        <f t="shared" si="57"/>
        <v>295.19607095646535</v>
      </c>
      <c r="CS41" s="543">
        <f t="shared" si="57"/>
        <v>300.40559909524421</v>
      </c>
      <c r="CT41" s="543">
        <f t="shared" si="57"/>
        <v>305.709393383541</v>
      </c>
      <c r="CU41" s="543">
        <f t="shared" si="57"/>
        <v>311.10918274343965</v>
      </c>
      <c r="CV41" s="543">
        <f t="shared" si="57"/>
        <v>316.60672779586605</v>
      </c>
      <c r="CW41" s="547">
        <f t="shared" si="57"/>
        <v>322.20382143421483</v>
      </c>
      <c r="CX41" s="559"/>
    </row>
    <row r="42" spans="1:102" ht="14.25">
      <c r="A42" s="171">
        <v>29</v>
      </c>
      <c r="B42" s="188">
        <v>98982</v>
      </c>
      <c r="C42" s="189">
        <v>50.31</v>
      </c>
      <c r="D42" s="171">
        <v>79</v>
      </c>
      <c r="E42" s="188">
        <f t="shared" si="10"/>
        <v>58245</v>
      </c>
      <c r="F42" s="189">
        <f t="shared" si="10"/>
        <v>8.67</v>
      </c>
      <c r="G42" s="160"/>
      <c r="H42" s="171">
        <v>29</v>
      </c>
      <c r="I42" s="188">
        <v>99355</v>
      </c>
      <c r="J42" s="189">
        <v>54.88</v>
      </c>
      <c r="K42" s="171">
        <v>79</v>
      </c>
      <c r="L42" s="188">
        <f t="shared" si="11"/>
        <v>73868</v>
      </c>
      <c r="M42" s="189">
        <f t="shared" si="11"/>
        <v>10.28</v>
      </c>
      <c r="O42" s="188">
        <f t="shared" si="6"/>
        <v>99168.5</v>
      </c>
      <c r="P42" s="189">
        <f t="shared" si="7"/>
        <v>52.594999999999999</v>
      </c>
      <c r="T42">
        <f>+T38*U42</f>
        <v>29.600612395350481</v>
      </c>
      <c r="U42">
        <f>+U41/U40</f>
        <v>0.7459831752860504</v>
      </c>
      <c r="W42" s="2716"/>
      <c r="X42" s="30">
        <v>70</v>
      </c>
      <c r="Y42" s="187">
        <f t="shared" si="2"/>
        <v>0.88651277540166429</v>
      </c>
      <c r="Z42" s="187">
        <f t="shared" si="8"/>
        <v>0.8870688695757748</v>
      </c>
      <c r="AA42" s="187">
        <f t="shared" si="12"/>
        <v>0.88772452058400664</v>
      </c>
      <c r="AB42" s="187">
        <f t="shared" si="14"/>
        <v>0.88843515356632585</v>
      </c>
      <c r="AC42" s="187">
        <f t="shared" si="16"/>
        <v>0.88923710420089652</v>
      </c>
      <c r="AD42" s="187">
        <f t="shared" si="18"/>
        <v>0.89007664585554036</v>
      </c>
      <c r="AE42" s="187">
        <f t="shared" si="20"/>
        <v>0.89103547800282523</v>
      </c>
      <c r="AF42" s="187">
        <f t="shared" si="22"/>
        <v>0.89208713612730584</v>
      </c>
      <c r="AG42" s="187">
        <f t="shared" si="24"/>
        <v>0.89325047119352041</v>
      </c>
      <c r="AH42" s="187">
        <f t="shared" si="26"/>
        <v>0.89460849335754955</v>
      </c>
      <c r="AI42" s="187">
        <f t="shared" si="28"/>
        <v>0.89611716969368671</v>
      </c>
      <c r="AJ42" s="187">
        <f t="shared" si="32"/>
        <v>0.89776881252495877</v>
      </c>
      <c r="AK42" s="187">
        <f t="shared" si="34"/>
        <v>0.89963881877321517</v>
      </c>
      <c r="AL42" s="187">
        <f t="shared" si="36"/>
        <v>0.90162788067007393</v>
      </c>
      <c r="AM42" s="187">
        <f t="shared" si="39"/>
        <v>0.90386796148533022</v>
      </c>
      <c r="AN42" s="187">
        <f t="shared" si="41"/>
        <v>0.90636274357781565</v>
      </c>
      <c r="AO42" s="187">
        <f t="shared" si="46"/>
        <v>0.90919177883319158</v>
      </c>
      <c r="AP42" s="187">
        <f t="shared" si="48"/>
        <v>0.91227577308860863</v>
      </c>
      <c r="AQ42" s="187">
        <f t="shared" si="50"/>
        <v>0.91571537489425259</v>
      </c>
      <c r="AR42" s="187">
        <f t="shared" si="52"/>
        <v>0.91955698658583906</v>
      </c>
      <c r="AS42" s="187">
        <f t="shared" si="54"/>
        <v>0.92383962910278705</v>
      </c>
      <c r="AT42" s="187">
        <f t="shared" si="58"/>
        <v>0.92860471520260968</v>
      </c>
      <c r="AU42" s="187">
        <f t="shared" si="60"/>
        <v>0.93381687275670722</v>
      </c>
      <c r="AV42" s="187">
        <f t="shared" si="62"/>
        <v>0.93957092031377254</v>
      </c>
      <c r="AW42" s="187">
        <f t="shared" si="64"/>
        <v>0.94596752441063814</v>
      </c>
      <c r="AX42" s="187">
        <f t="shared" si="66"/>
        <v>0.95302122849161408</v>
      </c>
      <c r="AY42" s="187">
        <f t="shared" si="68"/>
        <v>0.96072802182750572</v>
      </c>
      <c r="AZ42" s="187">
        <f t="shared" si="70"/>
        <v>0.96921359244765759</v>
      </c>
      <c r="BA42" s="187">
        <f t="shared" si="72"/>
        <v>0.97836323870737363</v>
      </c>
      <c r="BB42" s="187">
        <f t="shared" ref="BB42:BB47" si="74">VLOOKUP($X42,Sterbetafel,9)/VLOOKUP(BB$11,Sterbetafel,9)</f>
        <v>0.98845559802031546</v>
      </c>
      <c r="BC42" s="177"/>
      <c r="BD42" s="178">
        <f>VLOOKUP(BD$11,Sterbetafel,2)/VLOOKUP($X42,Sterbetafel,2)</f>
        <v>0.97748674375519073</v>
      </c>
      <c r="BE42" s="178">
        <f>VLOOKUP(BE$11,Sterbetafel,2)/VLOOKUP($X42,Sterbetafel,2)</f>
        <v>0.9531080304095062</v>
      </c>
      <c r="BF42" s="178">
        <f>VLOOKUP(BF$11,Sterbetafel,2)/VLOOKUP($X42,Sterbetafel,2)</f>
        <v>0.92806490768542771</v>
      </c>
      <c r="BG42" s="178">
        <f>VLOOKUP(BG$11,Sterbetafel,2)/VLOOKUP($X42,Sterbetafel,2)</f>
        <v>0.90130965310164191</v>
      </c>
      <c r="BH42" s="179">
        <f>VLOOKUP(BH$11,Sterbetafel,2)/VLOOKUP($X42,Sterbetafel,2)</f>
        <v>0.87320002555420684</v>
      </c>
      <c r="BL42" s="51" t="s">
        <v>7</v>
      </c>
      <c r="BM42" s="51">
        <v>65</v>
      </c>
      <c r="BN42" s="51">
        <v>66</v>
      </c>
      <c r="BO42" s="51">
        <v>67</v>
      </c>
      <c r="BP42" s="51" t="s">
        <v>7</v>
      </c>
      <c r="BQ42" s="51">
        <v>65</v>
      </c>
      <c r="BR42" s="51">
        <v>66</v>
      </c>
      <c r="BS42" s="51">
        <v>67</v>
      </c>
      <c r="BV42">
        <f t="shared" si="43"/>
        <v>86</v>
      </c>
      <c r="BW42">
        <f t="shared" si="38"/>
        <v>51751</v>
      </c>
      <c r="BX42" s="159">
        <f t="shared" si="44"/>
        <v>0.59024601662921861</v>
      </c>
      <c r="BY42" s="157">
        <f t="shared" si="45"/>
        <v>2232.1015393492353</v>
      </c>
      <c r="CC42" s="545">
        <v>59</v>
      </c>
      <c r="CD42" s="544">
        <f t="shared" si="56"/>
        <v>230.112653984308</v>
      </c>
      <c r="CE42" s="544">
        <f t="shared" si="56"/>
        <v>233.91459994523743</v>
      </c>
      <c r="CF42" s="544">
        <f t="shared" si="56"/>
        <v>237.78157791317824</v>
      </c>
      <c r="CG42" s="544">
        <f t="shared" si="56"/>
        <v>241.71472378310096</v>
      </c>
      <c r="CH42" s="544">
        <f t="shared" si="56"/>
        <v>245.7151933692997</v>
      </c>
      <c r="CI42" s="544">
        <f t="shared" si="56"/>
        <v>249.7841627508023</v>
      </c>
      <c r="CJ42" s="544">
        <f t="shared" si="56"/>
        <v>253.92282862250664</v>
      </c>
      <c r="CK42" s="544">
        <f t="shared" si="56"/>
        <v>258.13240865237242</v>
      </c>
      <c r="CL42" s="544">
        <f t="shared" si="56"/>
        <v>262.4141418445497</v>
      </c>
      <c r="CM42" s="544">
        <f t="shared" si="56"/>
        <v>266.76928890874217</v>
      </c>
      <c r="CN42" s="544">
        <f t="shared" si="57"/>
        <v>271.19913263572136</v>
      </c>
      <c r="CO42" s="544">
        <f t="shared" si="57"/>
        <v>275.70497827926823</v>
      </c>
      <c r="CP42" s="544">
        <f t="shared" si="57"/>
        <v>280.28815394447616</v>
      </c>
      <c r="CQ42" s="544">
        <f t="shared" si="57"/>
        <v>284.9500109826858</v>
      </c>
      <c r="CR42" s="544">
        <f t="shared" si="57"/>
        <v>289.69192439299837</v>
      </c>
      <c r="CS42" s="544">
        <f t="shared" si="57"/>
        <v>294.51529323063158</v>
      </c>
      <c r="CT42" s="544">
        <f t="shared" si="57"/>
        <v>299.42154102207746</v>
      </c>
      <c r="CU42" s="544">
        <f t="shared" si="57"/>
        <v>304.41211618731865</v>
      </c>
      <c r="CV42" s="544">
        <f t="shared" si="57"/>
        <v>309.4884924690773</v>
      </c>
      <c r="CW42" s="548">
        <f t="shared" si="57"/>
        <v>314.65216936935047</v>
      </c>
      <c r="CX42" s="559"/>
    </row>
    <row r="43" spans="1:102" ht="14.25">
      <c r="A43" s="180">
        <v>30</v>
      </c>
      <c r="B43" s="181">
        <v>98933</v>
      </c>
      <c r="C43" s="182">
        <v>49.33</v>
      </c>
      <c r="D43" s="180">
        <v>80</v>
      </c>
      <c r="E43" s="181">
        <f t="shared" si="10"/>
        <v>55363</v>
      </c>
      <c r="F43" s="182">
        <f t="shared" si="10"/>
        <v>8.09</v>
      </c>
      <c r="G43" s="160"/>
      <c r="H43" s="180">
        <v>30</v>
      </c>
      <c r="I43" s="181">
        <v>99330</v>
      </c>
      <c r="J43" s="182">
        <v>53.89</v>
      </c>
      <c r="K43" s="180">
        <v>80</v>
      </c>
      <c r="L43" s="181">
        <f t="shared" si="11"/>
        <v>71592</v>
      </c>
      <c r="M43" s="182">
        <f t="shared" si="11"/>
        <v>9.59</v>
      </c>
      <c r="O43" s="181">
        <f t="shared" si="6"/>
        <v>99131.5</v>
      </c>
      <c r="P43" s="182">
        <f t="shared" si="7"/>
        <v>51.61</v>
      </c>
      <c r="W43" s="2716"/>
      <c r="X43" s="30">
        <v>71</v>
      </c>
      <c r="Y43" s="187">
        <f t="shared" si="2"/>
        <v>0.87539054205720868</v>
      </c>
      <c r="Z43" s="187">
        <f t="shared" si="8"/>
        <v>0.87593965944617003</v>
      </c>
      <c r="AA43" s="187">
        <f t="shared" si="12"/>
        <v>0.87658708462426338</v>
      </c>
      <c r="AB43" s="187">
        <f t="shared" si="14"/>
        <v>0.87728880196986436</v>
      </c>
      <c r="AC43" s="187">
        <f t="shared" si="16"/>
        <v>0.87808069129191257</v>
      </c>
      <c r="AD43" s="187">
        <f t="shared" si="18"/>
        <v>0.87890970001522761</v>
      </c>
      <c r="AE43" s="187">
        <f t="shared" si="20"/>
        <v>0.87985650260673376</v>
      </c>
      <c r="AF43" s="187">
        <f t="shared" si="22"/>
        <v>0.88089496657611188</v>
      </c>
      <c r="AG43" s="187">
        <f t="shared" si="24"/>
        <v>0.88204370638276197</v>
      </c>
      <c r="AH43" s="187">
        <f t="shared" si="26"/>
        <v>0.88338469073322046</v>
      </c>
      <c r="AI43" s="187">
        <f t="shared" si="28"/>
        <v>0.88487443914105535</v>
      </c>
      <c r="AJ43" s="187">
        <f t="shared" si="32"/>
        <v>0.88650536037927119</v>
      </c>
      <c r="AK43" s="187">
        <f t="shared" si="34"/>
        <v>0.88835190543618792</v>
      </c>
      <c r="AL43" s="187">
        <f t="shared" si="36"/>
        <v>0.89031601246362202</v>
      </c>
      <c r="AM43" s="187">
        <f t="shared" si="39"/>
        <v>0.89252798911362652</v>
      </c>
      <c r="AN43" s="187">
        <f t="shared" si="41"/>
        <v>0.89499147154597614</v>
      </c>
      <c r="AO43" s="187">
        <f t="shared" si="46"/>
        <v>0.89778501358442042</v>
      </c>
      <c r="AP43" s="187">
        <f t="shared" si="48"/>
        <v>0.90083031589461859</v>
      </c>
      <c r="AQ43" s="187">
        <f t="shared" si="50"/>
        <v>0.90422676428504289</v>
      </c>
      <c r="AR43" s="187">
        <f t="shared" si="52"/>
        <v>0.90802017892539877</v>
      </c>
      <c r="AS43" s="187">
        <f t="shared" si="54"/>
        <v>0.91224909119645958</v>
      </c>
      <c r="AT43" s="187">
        <f t="shared" si="58"/>
        <v>0.91695439428922454</v>
      </c>
      <c r="AU43" s="187">
        <f t="shared" si="60"/>
        <v>0.92210115985557717</v>
      </c>
      <c r="AV43" s="187">
        <f t="shared" si="62"/>
        <v>0.92778301684598563</v>
      </c>
      <c r="AW43" s="187">
        <f t="shared" si="64"/>
        <v>0.93409936882990774</v>
      </c>
      <c r="AX43" s="187">
        <f t="shared" si="66"/>
        <v>0.94106457678887812</v>
      </c>
      <c r="AY43" s="187">
        <f t="shared" si="68"/>
        <v>0.94867468031251023</v>
      </c>
      <c r="AZ43" s="187">
        <f t="shared" si="70"/>
        <v>0.957053790541885</v>
      </c>
      <c r="BA43" s="187">
        <f t="shared" si="72"/>
        <v>0.96608864488484203</v>
      </c>
      <c r="BB43" s="187">
        <f t="shared" si="74"/>
        <v>0.97605438495620112</v>
      </c>
      <c r="BC43" s="187">
        <f>VLOOKUP($X43,Sterbetafel,9)/VLOOKUP(BC$11,Sterbetafel,9)</f>
        <v>0.98745395029483218</v>
      </c>
      <c r="BD43" s="177"/>
      <c r="BE43" s="178">
        <f>VLOOKUP(BE$11,Sterbetafel,2)/VLOOKUP($X43,Sterbetafel,2)</f>
        <v>0.97505980157640881</v>
      </c>
      <c r="BF43" s="178">
        <f>VLOOKUP(BF$11,Sterbetafel,2)/VLOOKUP($X43,Sterbetafel,2)</f>
        <v>0.94943989124609496</v>
      </c>
      <c r="BG43" s="178">
        <f>VLOOKUP(BG$11,Sterbetafel,2)/VLOOKUP($X43,Sterbetafel,2)</f>
        <v>0.92206841561768815</v>
      </c>
      <c r="BH43" s="179">
        <f>VLOOKUP(BH$11,Sterbetafel,2)/VLOOKUP($X43,Sterbetafel,2)</f>
        <v>0.89331137341019307</v>
      </c>
      <c r="BL43" s="51">
        <f>+A43</f>
        <v>30</v>
      </c>
      <c r="BM43" s="73">
        <f t="shared" ref="BM43:BM62" si="75">1000/-PV(2%,BM$42-$BL43,,-PV(2%,$F$28,12))*$E$28/B43</f>
        <v>9.6754376209080419</v>
      </c>
      <c r="BN43" s="73">
        <f>1000/-PV(2%,BN$42-$BL43,,-PV(2%,$F$29,12))*$E$29/B43</f>
        <v>10.061358287860624</v>
      </c>
      <c r="BO43" s="73">
        <f>1000/-PV(2%,BO$42-$BL43,,-PV(2%,$F$30,12))*$E$30/B43</f>
        <v>10.455248352683617</v>
      </c>
      <c r="BP43" s="51">
        <v>30</v>
      </c>
      <c r="BQ43" s="73">
        <f>1000/-PV(2%,BQ$42-$BL43,,-PV(2%,$M$28,12))*L28/I43</f>
        <v>9.0322901585751829</v>
      </c>
      <c r="BR43" s="73">
        <f>1000/-PV(2%,BR$42-$BL43,,-PV(2%,$M$29,12))</f>
        <v>10.274989584829166</v>
      </c>
      <c r="BS43" s="73">
        <f>1000/-PV(2%,BS$42-$BL43,,-PV(2%,$M$30,12))</f>
        <v>10.839327706417345</v>
      </c>
      <c r="BV43">
        <f t="shared" si="43"/>
        <v>87</v>
      </c>
      <c r="BW43">
        <f t="shared" si="38"/>
        <v>47338</v>
      </c>
      <c r="BX43" s="159">
        <f t="shared" si="44"/>
        <v>0.5399135463120317</v>
      </c>
      <c r="BY43" s="157">
        <f t="shared" si="45"/>
        <v>1795.8205041145241</v>
      </c>
      <c r="CC43" s="545">
        <v>60</v>
      </c>
      <c r="CD43" s="543">
        <f t="shared" ref="CD43:CM53" si="76">(((1+CD$12)^$CA$15-1)/CD$12)*$CA$18*(1+CD$12)^($CH$11-$CC43)*12</f>
        <v>228.96781490975926</v>
      </c>
      <c r="CE43" s="543">
        <f t="shared" si="76"/>
        <v>232.51948304695568</v>
      </c>
      <c r="CF43" s="543">
        <f t="shared" si="76"/>
        <v>236.12867717296746</v>
      </c>
      <c r="CG43" s="543">
        <f t="shared" si="76"/>
        <v>239.79635295942558</v>
      </c>
      <c r="CH43" s="543">
        <f t="shared" si="76"/>
        <v>243.52348203102051</v>
      </c>
      <c r="CI43" s="543">
        <f t="shared" si="76"/>
        <v>247.31105222851704</v>
      </c>
      <c r="CJ43" s="543">
        <f t="shared" si="76"/>
        <v>251.16006787587207</v>
      </c>
      <c r="CK43" s="543">
        <f t="shared" si="76"/>
        <v>255.07155005175139</v>
      </c>
      <c r="CL43" s="543">
        <f t="shared" si="76"/>
        <v>259.04653686530082</v>
      </c>
      <c r="CM43" s="543">
        <f t="shared" si="76"/>
        <v>263.08608373643204</v>
      </c>
      <c r="CN43" s="543">
        <f t="shared" ref="CN43:CW53" si="77">(((1+CN$12)^$CA$15-1)/CN$12)*$CA$18*(1+CN$12)^($CH$11-$CC43)*12</f>
        <v>267.19126368051366</v>
      </c>
      <c r="CO43" s="543">
        <f t="shared" si="77"/>
        <v>271.36316759770494</v>
      </c>
      <c r="CP43" s="543">
        <f t="shared" si="77"/>
        <v>275.60290456683981</v>
      </c>
      <c r="CQ43" s="543">
        <f t="shared" si="77"/>
        <v>279.91160214409217</v>
      </c>
      <c r="CR43" s="543">
        <f t="shared" si="77"/>
        <v>284.29040666633796</v>
      </c>
      <c r="CS43" s="543">
        <f t="shared" si="77"/>
        <v>288.74048355944268</v>
      </c>
      <c r="CT43" s="543">
        <f t="shared" si="77"/>
        <v>293.26301765139812</v>
      </c>
      <c r="CU43" s="543">
        <f t="shared" si="77"/>
        <v>297.859213490527</v>
      </c>
      <c r="CV43" s="543">
        <f t="shared" si="77"/>
        <v>302.53029566869725</v>
      </c>
      <c r="CW43" s="547">
        <f t="shared" si="77"/>
        <v>307.27750914975638</v>
      </c>
      <c r="CX43" s="559"/>
    </row>
    <row r="44" spans="1:102" ht="14.25">
      <c r="A44" s="171">
        <v>31</v>
      </c>
      <c r="B44" s="188">
        <v>98881</v>
      </c>
      <c r="C44" s="189">
        <v>48.36</v>
      </c>
      <c r="D44" s="171">
        <v>81</v>
      </c>
      <c r="E44" s="188">
        <f t="shared" si="10"/>
        <v>52275</v>
      </c>
      <c r="F44" s="189">
        <f t="shared" si="10"/>
        <v>7.54</v>
      </c>
      <c r="G44" s="160"/>
      <c r="H44" s="171">
        <v>31</v>
      </c>
      <c r="I44" s="188">
        <v>99302</v>
      </c>
      <c r="J44" s="189">
        <v>52.91</v>
      </c>
      <c r="K44" s="171">
        <v>81</v>
      </c>
      <c r="L44" s="188">
        <f t="shared" si="11"/>
        <v>69068</v>
      </c>
      <c r="M44" s="189">
        <f t="shared" si="11"/>
        <v>8.92</v>
      </c>
      <c r="O44" s="188">
        <f t="shared" si="6"/>
        <v>99091.5</v>
      </c>
      <c r="P44" s="189">
        <f t="shared" si="7"/>
        <v>50.634999999999998</v>
      </c>
      <c r="W44" s="2716"/>
      <c r="X44" s="30">
        <v>72</v>
      </c>
      <c r="Y44" s="187">
        <f t="shared" si="2"/>
        <v>0.86329764107541884</v>
      </c>
      <c r="Z44" s="187">
        <f t="shared" si="8"/>
        <v>0.86383917279616351</v>
      </c>
      <c r="AA44" s="187">
        <f t="shared" si="12"/>
        <v>0.86447765425348799</v>
      </c>
      <c r="AB44" s="187">
        <f t="shared" si="14"/>
        <v>0.86516967787043886</v>
      </c>
      <c r="AC44" s="187">
        <f t="shared" si="16"/>
        <v>0.865950627801781</v>
      </c>
      <c r="AD44" s="187">
        <f t="shared" si="18"/>
        <v>0.86676818435612402</v>
      </c>
      <c r="AE44" s="187">
        <f t="shared" si="20"/>
        <v>0.86770190753971077</v>
      </c>
      <c r="AF44" s="187">
        <f t="shared" si="22"/>
        <v>0.86872602586408632</v>
      </c>
      <c r="AG44" s="187">
        <f t="shared" si="24"/>
        <v>0.86985889664306459</v>
      </c>
      <c r="AH44" s="187">
        <f t="shared" si="26"/>
        <v>0.87118135624349524</v>
      </c>
      <c r="AI44" s="187">
        <f t="shared" si="28"/>
        <v>0.8726505248311035</v>
      </c>
      <c r="AJ44" s="187">
        <f t="shared" si="32"/>
        <v>0.87425891604632355</v>
      </c>
      <c r="AK44" s="187">
        <f t="shared" si="34"/>
        <v>0.87607995238974734</v>
      </c>
      <c r="AL44" s="187">
        <f t="shared" si="36"/>
        <v>0.87801692666824349</v>
      </c>
      <c r="AM44" s="187">
        <f t="shared" si="39"/>
        <v>0.88019834642584693</v>
      </c>
      <c r="AN44" s="187">
        <f t="shared" si="41"/>
        <v>0.88262779759135779</v>
      </c>
      <c r="AO44" s="187">
        <f t="shared" si="46"/>
        <v>0.88538274882302925</v>
      </c>
      <c r="AP44" s="187">
        <f t="shared" si="48"/>
        <v>0.88838598243642564</v>
      </c>
      <c r="AQ44" s="187">
        <f t="shared" si="50"/>
        <v>0.89173551129539308</v>
      </c>
      <c r="AR44" s="187">
        <f t="shared" si="52"/>
        <v>0.89547652259641097</v>
      </c>
      <c r="AS44" s="187">
        <f t="shared" si="54"/>
        <v>0.89964701543648917</v>
      </c>
      <c r="AT44" s="187">
        <f t="shared" si="58"/>
        <v>0.90428731809612573</v>
      </c>
      <c r="AU44" s="187">
        <f t="shared" si="60"/>
        <v>0.90936298473762134</v>
      </c>
      <c r="AV44" s="187">
        <f t="shared" si="62"/>
        <v>0.91496635089373746</v>
      </c>
      <c r="AW44" s="187">
        <f t="shared" si="64"/>
        <v>0.92119544694394995</v>
      </c>
      <c r="AX44" s="187">
        <f t="shared" si="66"/>
        <v>0.92806443548299433</v>
      </c>
      <c r="AY44" s="187">
        <f t="shared" si="68"/>
        <v>0.93556941081075162</v>
      </c>
      <c r="AZ44" s="187">
        <f t="shared" si="70"/>
        <v>0.9438327695606995</v>
      </c>
      <c r="BA44" s="187">
        <f t="shared" si="72"/>
        <v>0.95274281378325298</v>
      </c>
      <c r="BB44" s="187">
        <f t="shared" si="74"/>
        <v>0.96257088420649151</v>
      </c>
      <c r="BC44" s="187">
        <f>VLOOKUP($X44,Sterbetafel,9)/VLOOKUP(BC$11,Sterbetafel,9)</f>
        <v>0.97381297261539512</v>
      </c>
      <c r="BD44" s="187">
        <f>VLOOKUP($X44,Sterbetafel,9)/VLOOKUP(BD$11,Sterbetafel,9)</f>
        <v>0.98618570752047308</v>
      </c>
      <c r="BE44" s="177"/>
      <c r="BF44" s="178">
        <f>VLOOKUP(BF$11,Sterbetafel,2)/VLOOKUP($X44,Sterbetafel,2)</f>
        <v>0.97372478048126554</v>
      </c>
      <c r="BG44" s="178">
        <f>VLOOKUP(BG$11,Sterbetafel,2)/VLOOKUP($X44,Sterbetafel,2)</f>
        <v>0.9456531939138012</v>
      </c>
      <c r="BH44" s="179">
        <f>VLOOKUP(BH$11,Sterbetafel,2)/VLOOKUP($X44,Sterbetafel,2)</f>
        <v>0.9161606005764461</v>
      </c>
      <c r="BL44" s="51">
        <f t="shared" ref="BL44:BL83" si="78">+A44</f>
        <v>31</v>
      </c>
      <c r="BM44" s="73">
        <f t="shared" si="75"/>
        <v>9.4907115539484419</v>
      </c>
      <c r="BN44" s="73">
        <f t="shared" ref="BN44:BN79" si="79">1000/-PV(2%,BN$42-$BL44,,-PV(2%,$F$29,12))*$E$29/B44</f>
        <v>9.8692641193476103</v>
      </c>
      <c r="BO44" s="73">
        <f t="shared" ref="BO44:BO80" si="80">1000/-PV(2%,BO$42-$BL44,,-PV(2%,$F$30,12))*$E$30/B44</f>
        <v>10.255633928721691</v>
      </c>
      <c r="BP44" s="51">
        <v>31</v>
      </c>
      <c r="BQ44" s="73">
        <f t="shared" ref="BQ44:BQ83" si="81">1000/-PV(2%,BQ$42-$BL44,,-PV(2%,$F$28,12))</f>
        <v>10.938932849585917</v>
      </c>
      <c r="BR44" s="73">
        <f t="shared" ref="BR44:BR83" si="82">1000/-PV(2%,BR$42-$BL44,,-PV(2%,$F$29,12))</f>
        <v>11.552599119070129</v>
      </c>
      <c r="BS44" s="73">
        <f t="shared" ref="BS44:BS83" si="83">1000/-PV(2%,BS$42-$BL44,,-PV(2%,$F$30,12))</f>
        <v>12.209975901292287</v>
      </c>
      <c r="BV44">
        <f t="shared" si="43"/>
        <v>88</v>
      </c>
      <c r="BW44">
        <f t="shared" si="38"/>
        <v>42647</v>
      </c>
      <c r="BX44" s="159">
        <f t="shared" si="44"/>
        <v>0.48641034706935682</v>
      </c>
      <c r="BY44" s="157">
        <f t="shared" si="45"/>
        <v>1401.4794959370147</v>
      </c>
      <c r="CC44" s="545">
        <v>61</v>
      </c>
      <c r="CD44" s="544">
        <f t="shared" si="76"/>
        <v>227.82867155199929</v>
      </c>
      <c r="CE44" s="544">
        <f t="shared" si="76"/>
        <v>231.13268692540328</v>
      </c>
      <c r="CF44" s="544">
        <f t="shared" si="76"/>
        <v>234.48726630880589</v>
      </c>
      <c r="CG44" s="544">
        <f t="shared" si="76"/>
        <v>237.89320730101736</v>
      </c>
      <c r="CH44" s="544">
        <f t="shared" si="76"/>
        <v>241.35132014967351</v>
      </c>
      <c r="CI44" s="544">
        <f t="shared" si="76"/>
        <v>244.86242794902688</v>
      </c>
      <c r="CJ44" s="544">
        <f t="shared" si="76"/>
        <v>248.42736684062521</v>
      </c>
      <c r="CK44" s="544">
        <f t="shared" si="76"/>
        <v>252.04698621714562</v>
      </c>
      <c r="CL44" s="544">
        <f t="shared" si="76"/>
        <v>255.72214892922096</v>
      </c>
      <c r="CM44" s="544">
        <f t="shared" si="76"/>
        <v>259.45373149549511</v>
      </c>
      <c r="CN44" s="544">
        <f t="shared" si="77"/>
        <v>263.24262431577705</v>
      </c>
      <c r="CO44" s="544">
        <f t="shared" si="77"/>
        <v>267.08973188750485</v>
      </c>
      <c r="CP44" s="544">
        <f t="shared" si="77"/>
        <v>270.99597302540792</v>
      </c>
      <c r="CQ44" s="544">
        <f t="shared" si="77"/>
        <v>274.96228108456984</v>
      </c>
      <c r="CR44" s="544">
        <f t="shared" si="77"/>
        <v>278.98960418678905</v>
      </c>
      <c r="CS44" s="544">
        <f t="shared" si="77"/>
        <v>283.07890545043409</v>
      </c>
      <c r="CT44" s="544">
        <f t="shared" si="77"/>
        <v>287.23116322370049</v>
      </c>
      <c r="CU44" s="544">
        <f t="shared" si="77"/>
        <v>291.44737132145497</v>
      </c>
      <c r="CV44" s="544">
        <f t="shared" si="77"/>
        <v>295.72853926558878</v>
      </c>
      <c r="CW44" s="548">
        <f t="shared" si="77"/>
        <v>300.07569252905887</v>
      </c>
      <c r="CX44" s="559"/>
    </row>
    <row r="45" spans="1:102" ht="14.25">
      <c r="A45" s="180">
        <v>32</v>
      </c>
      <c r="B45" s="181">
        <v>98824</v>
      </c>
      <c r="C45" s="182">
        <v>47.39</v>
      </c>
      <c r="D45" s="180">
        <v>82</v>
      </c>
      <c r="E45" s="181">
        <f t="shared" si="10"/>
        <v>49023</v>
      </c>
      <c r="F45" s="182">
        <f t="shared" si="10"/>
        <v>7.01</v>
      </c>
      <c r="G45" s="160"/>
      <c r="H45" s="180">
        <v>32</v>
      </c>
      <c r="I45" s="181">
        <v>99270</v>
      </c>
      <c r="J45" s="182">
        <v>51.93</v>
      </c>
      <c r="K45" s="180">
        <v>82</v>
      </c>
      <c r="L45" s="181">
        <f t="shared" si="11"/>
        <v>66277</v>
      </c>
      <c r="M45" s="182">
        <f t="shared" si="11"/>
        <v>8.2799999999999994</v>
      </c>
      <c r="O45" s="181">
        <f t="shared" si="6"/>
        <v>99047</v>
      </c>
      <c r="P45" s="182">
        <f t="shared" si="7"/>
        <v>49.66</v>
      </c>
      <c r="W45" s="2716"/>
      <c r="X45" s="30">
        <v>73</v>
      </c>
      <c r="Y45" s="187">
        <f t="shared" si="2"/>
        <v>0.85038573927462813</v>
      </c>
      <c r="Z45" s="187">
        <f t="shared" si="8"/>
        <v>0.85091917158206776</v>
      </c>
      <c r="AA45" s="187">
        <f t="shared" si="12"/>
        <v>0.85154810359840427</v>
      </c>
      <c r="AB45" s="187">
        <f t="shared" si="14"/>
        <v>0.8522297769716376</v>
      </c>
      <c r="AC45" s="187">
        <f t="shared" si="16"/>
        <v>0.85299904663380599</v>
      </c>
      <c r="AD45" s="187">
        <f t="shared" si="18"/>
        <v>0.85380437541241561</v>
      </c>
      <c r="AE45" s="187">
        <f t="shared" si="20"/>
        <v>0.85472413337533915</v>
      </c>
      <c r="AF45" s="187">
        <f t="shared" si="22"/>
        <v>0.85573293448510934</v>
      </c>
      <c r="AG45" s="187">
        <f t="shared" si="24"/>
        <v>0.85684886149457495</v>
      </c>
      <c r="AH45" s="187">
        <f t="shared" si="26"/>
        <v>0.85815154174234232</v>
      </c>
      <c r="AI45" s="187">
        <f t="shared" si="28"/>
        <v>0.85959873672591247</v>
      </c>
      <c r="AJ45" s="187">
        <f t="shared" si="32"/>
        <v>0.86118307205537525</v>
      </c>
      <c r="AK45" s="187">
        <f t="shared" si="34"/>
        <v>0.86297687208848939</v>
      </c>
      <c r="AL45" s="187">
        <f t="shared" si="36"/>
        <v>0.86488487603220798</v>
      </c>
      <c r="AM45" s="187">
        <f t="shared" si="39"/>
        <v>0.86703366940887816</v>
      </c>
      <c r="AN45" s="187">
        <f t="shared" si="41"/>
        <v>0.86942678451439503</v>
      </c>
      <c r="AO45" s="187">
        <f t="shared" si="46"/>
        <v>0.87214053134786484</v>
      </c>
      <c r="AP45" s="187">
        <f t="shared" si="48"/>
        <v>0.87509884713031172</v>
      </c>
      <c r="AQ45" s="187">
        <f t="shared" si="50"/>
        <v>0.87839827879724686</v>
      </c>
      <c r="AR45" s="187">
        <f t="shared" si="52"/>
        <v>0.88208333770333625</v>
      </c>
      <c r="AS45" s="187">
        <f t="shared" si="54"/>
        <v>0.88619145461250726</v>
      </c>
      <c r="AT45" s="187">
        <f t="shared" si="58"/>
        <v>0.89076235463576858</v>
      </c>
      <c r="AU45" s="187">
        <f t="shared" si="60"/>
        <v>0.89576210712421855</v>
      </c>
      <c r="AV45" s="187">
        <f t="shared" si="62"/>
        <v>0.9012816665952248</v>
      </c>
      <c r="AW45" s="187">
        <f t="shared" si="64"/>
        <v>0.90741759723795656</v>
      </c>
      <c r="AX45" s="187">
        <f t="shared" si="66"/>
        <v>0.91418384982445466</v>
      </c>
      <c r="AY45" s="187">
        <f t="shared" si="68"/>
        <v>0.92157657707016138</v>
      </c>
      <c r="AZ45" s="187">
        <f t="shared" si="70"/>
        <v>0.9297163449846344</v>
      </c>
      <c r="BA45" s="187">
        <f t="shared" si="72"/>
        <v>0.9384931262274594</v>
      </c>
      <c r="BB45" s="187">
        <f t="shared" si="74"/>
        <v>0.94817420322206059</v>
      </c>
      <c r="BC45" s="187">
        <f>VLOOKUP($X45,Sterbetafel,9)/VLOOKUP(BC$11,Sterbetafel,9)</f>
        <v>0.95924814945766845</v>
      </c>
      <c r="BD45" s="187">
        <f>VLOOKUP($X45,Sterbetafel,9)/VLOOKUP(BD$11,Sterbetafel,9)</f>
        <v>0.97143583168739966</v>
      </c>
      <c r="BE45" s="187">
        <f>VLOOKUP($X45,Sterbetafel,9)/VLOOKUP(BE$11,Sterbetafel,9)</f>
        <v>0.98504351085136033</v>
      </c>
      <c r="BF45" s="177"/>
      <c r="BG45" s="178">
        <f>VLOOKUP(BG$11,Sterbetafel,2)/VLOOKUP($X45,Sterbetafel,2)</f>
        <v>0.97117092310869413</v>
      </c>
      <c r="BH45" s="179">
        <f>VLOOKUP(BH$11,Sterbetafel,2)/VLOOKUP($X45,Sterbetafel,2)</f>
        <v>0.94088249466510632</v>
      </c>
      <c r="BL45" s="51">
        <f t="shared" si="78"/>
        <v>32</v>
      </c>
      <c r="BM45" s="73">
        <f t="shared" si="75"/>
        <v>9.309985916396192</v>
      </c>
      <c r="BN45" s="73">
        <f t="shared" si="79"/>
        <v>9.6813299439170422</v>
      </c>
      <c r="BO45" s="73">
        <f t="shared" si="80"/>
        <v>10.060342356563476</v>
      </c>
      <c r="BP45" s="51">
        <v>32</v>
      </c>
      <c r="BQ45" s="73">
        <f t="shared" si="81"/>
        <v>10.724443970182273</v>
      </c>
      <c r="BR45" s="73">
        <f t="shared" si="82"/>
        <v>11.326077567715812</v>
      </c>
      <c r="BS45" s="73">
        <f t="shared" si="83"/>
        <v>11.970564609110085</v>
      </c>
      <c r="BV45">
        <f t="shared" si="43"/>
        <v>89</v>
      </c>
      <c r="BW45">
        <f t="shared" si="38"/>
        <v>37815</v>
      </c>
      <c r="BX45" s="159">
        <f t="shared" si="44"/>
        <v>0.43129897236447418</v>
      </c>
      <c r="BY45" s="157">
        <f t="shared" si="45"/>
        <v>1059.5089901008271</v>
      </c>
      <c r="CC45" s="545">
        <v>62</v>
      </c>
      <c r="CD45" s="543">
        <f t="shared" si="76"/>
        <v>226.69519557412866</v>
      </c>
      <c r="CE45" s="543">
        <f t="shared" si="76"/>
        <v>229.7541619536812</v>
      </c>
      <c r="CF45" s="543">
        <f t="shared" si="76"/>
        <v>232.85726545065137</v>
      </c>
      <c r="CG45" s="543">
        <f t="shared" si="76"/>
        <v>236.0051659732315</v>
      </c>
      <c r="CH45" s="543">
        <f t="shared" si="76"/>
        <v>239.19853334952776</v>
      </c>
      <c r="CI45" s="543">
        <f t="shared" si="76"/>
        <v>242.43804747428396</v>
      </c>
      <c r="CJ45" s="543">
        <f t="shared" si="76"/>
        <v>245.72439845759169</v>
      </c>
      <c r="CK45" s="543">
        <f t="shared" si="76"/>
        <v>249.0582867758356</v>
      </c>
      <c r="CL45" s="543">
        <f t="shared" si="76"/>
        <v>252.44042342469982</v>
      </c>
      <c r="CM45" s="543">
        <f t="shared" si="76"/>
        <v>255.87153007445278</v>
      </c>
      <c r="CN45" s="543">
        <f t="shared" si="77"/>
        <v>259.3523392273666</v>
      </c>
      <c r="CO45" s="543">
        <f t="shared" si="77"/>
        <v>262.88359437746539</v>
      </c>
      <c r="CP45" s="543">
        <f t="shared" si="77"/>
        <v>266.46605017247589</v>
      </c>
      <c r="CQ45" s="543">
        <f t="shared" si="77"/>
        <v>270.10047257816296</v>
      </c>
      <c r="CR45" s="543">
        <f t="shared" si="77"/>
        <v>273.78763904493519</v>
      </c>
      <c r="CS45" s="543">
        <f t="shared" si="77"/>
        <v>277.52833867689617</v>
      </c>
      <c r="CT45" s="543">
        <f t="shared" si="77"/>
        <v>281.32337240323261</v>
      </c>
      <c r="CU45" s="543">
        <f t="shared" si="77"/>
        <v>285.17355315210864</v>
      </c>
      <c r="CV45" s="543">
        <f t="shared" si="77"/>
        <v>289.07970602696855</v>
      </c>
      <c r="CW45" s="547">
        <f t="shared" si="77"/>
        <v>293.04266848540908</v>
      </c>
      <c r="CX45" s="559"/>
    </row>
    <row r="46" spans="1:102" ht="14.25">
      <c r="A46" s="171">
        <v>33</v>
      </c>
      <c r="B46" s="188">
        <v>98764</v>
      </c>
      <c r="C46" s="189">
        <v>46.42</v>
      </c>
      <c r="D46" s="171">
        <v>83</v>
      </c>
      <c r="E46" s="188">
        <f t="shared" si="10"/>
        <v>45621</v>
      </c>
      <c r="F46" s="189">
        <f t="shared" si="10"/>
        <v>6.49</v>
      </c>
      <c r="G46" s="160"/>
      <c r="H46" s="171">
        <v>33</v>
      </c>
      <c r="I46" s="188">
        <v>99237</v>
      </c>
      <c r="J46" s="189">
        <v>50.94</v>
      </c>
      <c r="K46" s="171">
        <v>83</v>
      </c>
      <c r="L46" s="188">
        <f t="shared" si="11"/>
        <v>63161</v>
      </c>
      <c r="M46" s="189">
        <f t="shared" si="11"/>
        <v>7.66</v>
      </c>
      <c r="O46" s="188">
        <f t="shared" si="6"/>
        <v>99000.5</v>
      </c>
      <c r="P46" s="189">
        <f t="shared" si="7"/>
        <v>48.68</v>
      </c>
      <c r="W46" s="2716"/>
      <c r="X46" s="30">
        <v>74</v>
      </c>
      <c r="Y46" s="187">
        <f t="shared" si="2"/>
        <v>0.83615939171494724</v>
      </c>
      <c r="Z46" s="187">
        <f t="shared" si="8"/>
        <v>0.83668390007992799</v>
      </c>
      <c r="AA46" s="187">
        <f t="shared" si="12"/>
        <v>0.83730231051171455</v>
      </c>
      <c r="AB46" s="187">
        <f t="shared" si="14"/>
        <v>0.83797257997507268</v>
      </c>
      <c r="AC46" s="187">
        <f t="shared" si="16"/>
        <v>0.83872898030386012</v>
      </c>
      <c r="AD46" s="187">
        <f t="shared" si="18"/>
        <v>0.83952083650576115</v>
      </c>
      <c r="AE46" s="187">
        <f t="shared" si="20"/>
        <v>0.84042520757324768</v>
      </c>
      <c r="AF46" s="187">
        <f t="shared" si="22"/>
        <v>0.84141713215917302</v>
      </c>
      <c r="AG46" s="187">
        <f t="shared" si="24"/>
        <v>0.8425143905048138</v>
      </c>
      <c r="AH46" s="187">
        <f t="shared" si="26"/>
        <v>0.8437952778401322</v>
      </c>
      <c r="AI46" s="187">
        <f t="shared" si="28"/>
        <v>0.84521826228268315</v>
      </c>
      <c r="AJ46" s="187">
        <f t="shared" si="32"/>
        <v>0.84677609281084565</v>
      </c>
      <c r="AK46" s="187">
        <f t="shared" si="34"/>
        <v>0.84853988384740098</v>
      </c>
      <c r="AL46" s="187">
        <f t="shared" si="36"/>
        <v>0.85041596824450094</v>
      </c>
      <c r="AM46" s="187">
        <f t="shared" si="39"/>
        <v>0.8525288138388899</v>
      </c>
      <c r="AN46" s="187">
        <f t="shared" si="41"/>
        <v>0.8548818938336693</v>
      </c>
      <c r="AO46" s="187">
        <f t="shared" si="46"/>
        <v>0.85755024161602755</v>
      </c>
      <c r="AP46" s="187">
        <f t="shared" si="48"/>
        <v>0.86045906688308982</v>
      </c>
      <c r="AQ46" s="187">
        <f t="shared" si="50"/>
        <v>0.86370330140892138</v>
      </c>
      <c r="AR46" s="187">
        <f t="shared" si="52"/>
        <v>0.86732671190493671</v>
      </c>
      <c r="AS46" s="187">
        <f t="shared" si="54"/>
        <v>0.87136610294505035</v>
      </c>
      <c r="AT46" s="187">
        <f t="shared" si="58"/>
        <v>0.87586053506746597</v>
      </c>
      <c r="AU46" s="187">
        <f t="shared" si="60"/>
        <v>0.88077664525886401</v>
      </c>
      <c r="AV46" s="187">
        <f t="shared" si="62"/>
        <v>0.88620386643233739</v>
      </c>
      <c r="AW46" s="187">
        <f t="shared" si="64"/>
        <v>0.89223714732696768</v>
      </c>
      <c r="AX46" s="187">
        <f t="shared" si="66"/>
        <v>0.89889020532831876</v>
      </c>
      <c r="AY46" s="187">
        <f t="shared" si="68"/>
        <v>0.90615925751416271</v>
      </c>
      <c r="AZ46" s="187">
        <f t="shared" si="70"/>
        <v>0.91416285291061439</v>
      </c>
      <c r="BA46" s="187">
        <f t="shared" si="72"/>
        <v>0.92279280485627568</v>
      </c>
      <c r="BB46" s="187">
        <f t="shared" si="74"/>
        <v>0.93231192433005261</v>
      </c>
      <c r="BC46" s="187">
        <f>VLOOKUP($X46,Sterbetafel,9)/VLOOKUP(BC$11,Sterbetafel,9)</f>
        <v>0.94320061133478561</v>
      </c>
      <c r="BD46" s="187">
        <f>VLOOKUP($X46,Sterbetafel,9)/VLOOKUP(BD$11,Sterbetafel,9)</f>
        <v>0.95518440232394286</v>
      </c>
      <c r="BE46" s="187">
        <f>VLOOKUP($X46,Sterbetafel,9)/VLOOKUP(BE$11,Sterbetafel,9)</f>
        <v>0.96856443471029852</v>
      </c>
      <c r="BF46" s="187">
        <f>VLOOKUP($X46,Sterbetafel,9)/VLOOKUP(BF$11,Sterbetafel,9)</f>
        <v>0.98327071245125086</v>
      </c>
      <c r="BG46" s="177"/>
      <c r="BH46" s="179">
        <f>VLOOKUP(BH$11,Sterbetafel,2)/VLOOKUP($X46,Sterbetafel,2)</f>
        <v>0.96881246367360829</v>
      </c>
      <c r="BL46" s="51">
        <f t="shared" si="78"/>
        <v>33</v>
      </c>
      <c r="BM46" s="73">
        <f t="shared" si="75"/>
        <v>9.1329821714224799</v>
      </c>
      <c r="BN46" s="73">
        <f t="shared" si="79"/>
        <v>9.4972661148427697</v>
      </c>
      <c r="BO46" s="73">
        <f t="shared" si="80"/>
        <v>9.8690726501621722</v>
      </c>
      <c r="BP46" s="51">
        <v>33</v>
      </c>
      <c r="BQ46" s="73">
        <f t="shared" si="81"/>
        <v>10.51416075508066</v>
      </c>
      <c r="BR46" s="73">
        <f t="shared" si="82"/>
        <v>11.103997615407661</v>
      </c>
      <c r="BS46" s="73">
        <f t="shared" si="83"/>
        <v>11.73584765599028</v>
      </c>
      <c r="BV46">
        <f t="shared" si="43"/>
        <v>90</v>
      </c>
      <c r="BW46">
        <f t="shared" si="38"/>
        <v>32944</v>
      </c>
      <c r="BX46" s="159">
        <f t="shared" si="44"/>
        <v>0.37574278317004461</v>
      </c>
      <c r="BY46" s="157">
        <f t="shared" si="45"/>
        <v>773.20696220979687</v>
      </c>
      <c r="CC46" s="545">
        <v>63</v>
      </c>
      <c r="CD46" s="544">
        <f t="shared" si="76"/>
        <v>225.56735878022755</v>
      </c>
      <c r="CE46" s="544">
        <f t="shared" si="76"/>
        <v>228.38385880087597</v>
      </c>
      <c r="CF46" s="544">
        <f t="shared" si="76"/>
        <v>231.23859528366569</v>
      </c>
      <c r="CG46" s="544">
        <f t="shared" si="76"/>
        <v>234.1321091004281</v>
      </c>
      <c r="CH46" s="544">
        <f t="shared" si="76"/>
        <v>237.06494881023565</v>
      </c>
      <c r="CI46" s="544">
        <f t="shared" si="76"/>
        <v>240.03767076661779</v>
      </c>
      <c r="CJ46" s="544">
        <f t="shared" si="76"/>
        <v>243.05083922610459</v>
      </c>
      <c r="CK46" s="544">
        <f t="shared" si="76"/>
        <v>246.1050264583356</v>
      </c>
      <c r="CL46" s="544">
        <f t="shared" si="76"/>
        <v>249.20081285755171</v>
      </c>
      <c r="CM46" s="544">
        <f t="shared" si="76"/>
        <v>252.33878705567332</v>
      </c>
      <c r="CN46" s="544">
        <f t="shared" si="77"/>
        <v>255.5195460368144</v>
      </c>
      <c r="CO46" s="544">
        <f t="shared" si="77"/>
        <v>258.74369525341081</v>
      </c>
      <c r="CP46" s="544">
        <f t="shared" si="77"/>
        <v>262.0118487438308</v>
      </c>
      <c r="CQ46" s="544">
        <f t="shared" si="77"/>
        <v>265.32462925163355</v>
      </c>
      <c r="CR46" s="544">
        <f t="shared" si="77"/>
        <v>268.68266834635449</v>
      </c>
      <c r="CS46" s="544">
        <f t="shared" si="77"/>
        <v>272.08660654597657</v>
      </c>
      <c r="CT46" s="544">
        <f t="shared" si="77"/>
        <v>275.53709344097223</v>
      </c>
      <c r="CU46" s="544">
        <f t="shared" si="77"/>
        <v>279.03478782006715</v>
      </c>
      <c r="CV46" s="544">
        <f t="shared" si="77"/>
        <v>282.58035779762326</v>
      </c>
      <c r="CW46" s="548">
        <f t="shared" si="77"/>
        <v>286.17448094278234</v>
      </c>
      <c r="CX46" s="559"/>
    </row>
    <row r="47" spans="1:102" thickBot="1">
      <c r="A47" s="180">
        <v>34</v>
      </c>
      <c r="B47" s="181">
        <v>98695</v>
      </c>
      <c r="C47" s="182">
        <v>45.45</v>
      </c>
      <c r="D47" s="180">
        <v>84</v>
      </c>
      <c r="E47" s="181">
        <f t="shared" si="10"/>
        <v>42017</v>
      </c>
      <c r="F47" s="182">
        <f t="shared" si="10"/>
        <v>6.01</v>
      </c>
      <c r="G47" s="160"/>
      <c r="H47" s="180">
        <v>34</v>
      </c>
      <c r="I47" s="181">
        <v>99202</v>
      </c>
      <c r="J47" s="182">
        <v>49.96</v>
      </c>
      <c r="K47" s="180">
        <v>84</v>
      </c>
      <c r="L47" s="181">
        <f t="shared" si="11"/>
        <v>59675</v>
      </c>
      <c r="M47" s="182">
        <f t="shared" si="11"/>
        <v>7.08</v>
      </c>
      <c r="O47" s="181">
        <f t="shared" si="6"/>
        <v>98948.5</v>
      </c>
      <c r="P47" s="182">
        <f t="shared" si="7"/>
        <v>47.704999999999998</v>
      </c>
      <c r="W47" s="2717"/>
      <c r="X47" s="198">
        <v>75</v>
      </c>
      <c r="Y47" s="199">
        <f t="shared" si="2"/>
        <v>0.82094215427548756</v>
      </c>
      <c r="Z47" s="199">
        <f t="shared" si="8"/>
        <v>0.8214571171298779</v>
      </c>
      <c r="AA47" s="199">
        <f t="shared" si="12"/>
        <v>0.82206427313042951</v>
      </c>
      <c r="AB47" s="199">
        <f t="shared" si="14"/>
        <v>0.8227223443817322</v>
      </c>
      <c r="AC47" s="199">
        <f t="shared" si="16"/>
        <v>0.82346497900565929</v>
      </c>
      <c r="AD47" s="199">
        <f t="shared" si="18"/>
        <v>0.82424242424242422</v>
      </c>
      <c r="AE47" s="199">
        <f t="shared" si="20"/>
        <v>0.82513033669041347</v>
      </c>
      <c r="AF47" s="199">
        <f t="shared" si="22"/>
        <v>0.82610420927322126</v>
      </c>
      <c r="AG47" s="199">
        <f t="shared" si="24"/>
        <v>0.82718149865009427</v>
      </c>
      <c r="AH47" s="199">
        <f t="shared" si="26"/>
        <v>0.82843907515866377</v>
      </c>
      <c r="AI47" s="199">
        <f t="shared" si="28"/>
        <v>0.82983616275385574</v>
      </c>
      <c r="AJ47" s="199">
        <f t="shared" si="32"/>
        <v>0.83136564237515487</v>
      </c>
      <c r="AK47" s="199">
        <f t="shared" si="34"/>
        <v>0.8330973342362864</v>
      </c>
      <c r="AL47" s="199">
        <f t="shared" si="36"/>
        <v>0.83493927583476446</v>
      </c>
      <c r="AM47" s="199">
        <f t="shared" si="39"/>
        <v>0.83701366982124081</v>
      </c>
      <c r="AN47" s="199">
        <f t="shared" si="41"/>
        <v>0.83932392619010698</v>
      </c>
      <c r="AO47" s="199">
        <f t="shared" si="46"/>
        <v>0.84194371279839064</v>
      </c>
      <c r="AP47" s="199">
        <f t="shared" si="48"/>
        <v>0.84479960044949431</v>
      </c>
      <c r="AQ47" s="199">
        <f t="shared" si="50"/>
        <v>0.84798479325722997</v>
      </c>
      <c r="AR47" s="199">
        <f t="shared" si="52"/>
        <v>0.85154226142406153</v>
      </c>
      <c r="AS47" s="199">
        <f t="shared" si="54"/>
        <v>0.85550813971866602</v>
      </c>
      <c r="AT47" s="199">
        <f t="shared" si="58"/>
        <v>0.85992077781778897</v>
      </c>
      <c r="AU47" s="199">
        <f t="shared" si="60"/>
        <v>0.86474741988049975</v>
      </c>
      <c r="AV47" s="199">
        <f t="shared" si="62"/>
        <v>0.87007587123322905</v>
      </c>
      <c r="AW47" s="199">
        <f t="shared" si="64"/>
        <v>0.87599935264605922</v>
      </c>
      <c r="AX47" s="199">
        <f t="shared" si="66"/>
        <v>0.88253133186230281</v>
      </c>
      <c r="AY47" s="199">
        <f t="shared" si="68"/>
        <v>0.88966809480500986</v>
      </c>
      <c r="AZ47" s="199">
        <f t="shared" si="70"/>
        <v>0.89752603303044376</v>
      </c>
      <c r="BA47" s="199">
        <f t="shared" si="72"/>
        <v>0.90599892876272092</v>
      </c>
      <c r="BB47" s="199">
        <f t="shared" si="74"/>
        <v>0.91534481009233271</v>
      </c>
      <c r="BC47" s="199">
        <f>VLOOKUP($X47,Sterbetafel,9)/VLOOKUP(BC$11,Sterbetafel,9)</f>
        <v>0.92603533423816964</v>
      </c>
      <c r="BD47" s="199">
        <f>VLOOKUP($X47,Sterbetafel,9)/VLOOKUP(BD$11,Sterbetafel,9)</f>
        <v>0.93780103260681247</v>
      </c>
      <c r="BE47" s="199">
        <f>VLOOKUP($X47,Sterbetafel,9)/VLOOKUP(BE$11,Sterbetafel,9)</f>
        <v>0.95093756222110304</v>
      </c>
      <c r="BF47" s="199">
        <f>VLOOKUP($X47,Sterbetafel,9)/VLOOKUP(BF$11,Sterbetafel,9)</f>
        <v>0.96537620089413112</v>
      </c>
      <c r="BG47" s="199">
        <f>VLOOKUP($X47,Sterbetafel,9)/VLOOKUP(BG$11,Sterbetafel,9)</f>
        <v>0.98180103268558716</v>
      </c>
      <c r="BH47" s="200"/>
      <c r="BL47" s="51">
        <f t="shared" si="78"/>
        <v>34</v>
      </c>
      <c r="BM47" s="73">
        <f t="shared" si="75"/>
        <v>8.9601639749552202</v>
      </c>
      <c r="BN47" s="73">
        <f t="shared" si="79"/>
        <v>9.3175547817283313</v>
      </c>
      <c r="BO47" s="73">
        <f t="shared" si="80"/>
        <v>9.682325834697874</v>
      </c>
      <c r="BP47" s="51">
        <v>34</v>
      </c>
      <c r="BQ47" s="73">
        <f t="shared" si="81"/>
        <v>10.308000740275155</v>
      </c>
      <c r="BR47" s="73">
        <f t="shared" si="82"/>
        <v>10.886272171968294</v>
      </c>
      <c r="BS47" s="73">
        <f t="shared" si="83"/>
        <v>11.505732996068902</v>
      </c>
      <c r="BV47">
        <f t="shared" si="43"/>
        <v>91</v>
      </c>
      <c r="BW47">
        <f t="shared" si="38"/>
        <v>28098</v>
      </c>
      <c r="BX47" s="159">
        <f t="shared" si="44"/>
        <v>0.32047173146891433</v>
      </c>
      <c r="BY47" s="157">
        <f t="shared" si="45"/>
        <v>540.82975136722484</v>
      </c>
      <c r="CC47" s="545">
        <v>64</v>
      </c>
      <c r="CD47" s="543">
        <f t="shared" si="76"/>
        <v>224.44513311465437</v>
      </c>
      <c r="CE47" s="543">
        <f t="shared" si="76"/>
        <v>227.02172843029416</v>
      </c>
      <c r="CF47" s="543">
        <f t="shared" si="76"/>
        <v>229.63117704435524</v>
      </c>
      <c r="CG47" s="543">
        <f t="shared" si="76"/>
        <v>232.27391775836122</v>
      </c>
      <c r="CH47" s="543">
        <f t="shared" si="76"/>
        <v>234.95039525295903</v>
      </c>
      <c r="CI47" s="543">
        <f t="shared" si="76"/>
        <v>237.66106016496812</v>
      </c>
      <c r="CJ47" s="543">
        <f t="shared" si="76"/>
        <v>240.40636916528643</v>
      </c>
      <c r="CK47" s="543">
        <f t="shared" si="76"/>
        <v>243.18678503788101</v>
      </c>
      <c r="CL47" s="543">
        <f t="shared" si="76"/>
        <v>246.0027767596759</v>
      </c>
      <c r="CM47" s="543">
        <f t="shared" si="76"/>
        <v>248.85481958153187</v>
      </c>
      <c r="CN47" s="543">
        <f t="shared" si="77"/>
        <v>251.743395110162</v>
      </c>
      <c r="CO47" s="543">
        <f t="shared" si="77"/>
        <v>254.66899139115236</v>
      </c>
      <c r="CP47" s="543">
        <f t="shared" si="77"/>
        <v>257.63210299295065</v>
      </c>
      <c r="CQ47" s="543">
        <f t="shared" si="77"/>
        <v>260.6332310919779</v>
      </c>
      <c r="CR47" s="543">
        <f t="shared" si="77"/>
        <v>263.67288355873848</v>
      </c>
      <c r="CS47" s="543">
        <f t="shared" si="77"/>
        <v>266.75157504507507</v>
      </c>
      <c r="CT47" s="543">
        <f t="shared" si="77"/>
        <v>269.86982707245079</v>
      </c>
      <c r="CU47" s="543">
        <f t="shared" si="77"/>
        <v>273.02816812139645</v>
      </c>
      <c r="CV47" s="543">
        <f t="shared" si="77"/>
        <v>276.2271337220169</v>
      </c>
      <c r="CW47" s="547">
        <f t="shared" si="77"/>
        <v>279.4672665456859</v>
      </c>
      <c r="CX47" s="559"/>
    </row>
    <row r="48" spans="1:102" ht="14.25">
      <c r="A48" s="171">
        <v>35</v>
      </c>
      <c r="B48" s="188">
        <v>98625</v>
      </c>
      <c r="C48" s="189">
        <v>44.48</v>
      </c>
      <c r="D48" s="171">
        <v>85</v>
      </c>
      <c r="E48" s="188">
        <f t="shared" si="10"/>
        <v>38253</v>
      </c>
      <c r="F48" s="189">
        <f t="shared" si="10"/>
        <v>5.55</v>
      </c>
      <c r="G48" s="160"/>
      <c r="H48" s="171">
        <v>35</v>
      </c>
      <c r="I48" s="188">
        <v>99164</v>
      </c>
      <c r="J48" s="189">
        <v>48.98</v>
      </c>
      <c r="K48" s="171">
        <v>85</v>
      </c>
      <c r="L48" s="188">
        <f t="shared" si="11"/>
        <v>55869</v>
      </c>
      <c r="M48" s="189">
        <f t="shared" si="11"/>
        <v>6.53</v>
      </c>
      <c r="O48" s="188">
        <f t="shared" si="6"/>
        <v>98894.5</v>
      </c>
      <c r="P48" s="189">
        <f t="shared" si="7"/>
        <v>46.73</v>
      </c>
      <c r="BG48" s="201"/>
      <c r="BL48" s="51">
        <f t="shared" si="78"/>
        <v>35</v>
      </c>
      <c r="BM48" s="73">
        <f t="shared" si="75"/>
        <v>8.7907093467353121</v>
      </c>
      <c r="BN48" s="73">
        <f t="shared" si="79"/>
        <v>9.1413411782865133</v>
      </c>
      <c r="BO48" s="73">
        <f t="shared" si="80"/>
        <v>9.499213680812213</v>
      </c>
      <c r="BP48" s="51">
        <v>35</v>
      </c>
      <c r="BQ48" s="73">
        <f t="shared" si="81"/>
        <v>10.105883078701133</v>
      </c>
      <c r="BR48" s="73">
        <f t="shared" si="82"/>
        <v>10.672815854870874</v>
      </c>
      <c r="BS48" s="73">
        <f t="shared" si="83"/>
        <v>11.280130388302846</v>
      </c>
      <c r="BV48">
        <f t="shared" si="43"/>
        <v>92</v>
      </c>
      <c r="BW48">
        <f t="shared" si="38"/>
        <v>23435</v>
      </c>
      <c r="BX48" s="159">
        <f t="shared" si="44"/>
        <v>0.26728788621873467</v>
      </c>
      <c r="BY48" s="157">
        <f t="shared" si="45"/>
        <v>361.74816306129145</v>
      </c>
      <c r="CC48" s="545">
        <v>65</v>
      </c>
      <c r="CD48" s="544">
        <f t="shared" si="76"/>
        <v>223.32849066134767</v>
      </c>
      <c r="CE48" s="544">
        <f t="shared" si="76"/>
        <v>225.66772209770795</v>
      </c>
      <c r="CF48" s="544">
        <f t="shared" si="76"/>
        <v>228.03493251673811</v>
      </c>
      <c r="CG48" s="544">
        <f t="shared" si="76"/>
        <v>230.43047396662817</v>
      </c>
      <c r="CH48" s="544">
        <f t="shared" si="76"/>
        <v>232.8547029266195</v>
      </c>
      <c r="CI48" s="544">
        <f t="shared" si="76"/>
        <v>235.30798036135457</v>
      </c>
      <c r="CJ48" s="544">
        <f t="shared" si="76"/>
        <v>237.79067177575314</v>
      </c>
      <c r="CK48" s="544">
        <f t="shared" si="76"/>
        <v>240.30314727063342</v>
      </c>
      <c r="CL48" s="544">
        <f t="shared" si="76"/>
        <v>242.84578159889037</v>
      </c>
      <c r="CM48" s="544">
        <f t="shared" si="76"/>
        <v>245.41895422241799</v>
      </c>
      <c r="CN48" s="544">
        <f t="shared" si="77"/>
        <v>248.02304936961778</v>
      </c>
      <c r="CO48" s="544">
        <f t="shared" si="77"/>
        <v>250.65845609365394</v>
      </c>
      <c r="CP48" s="544">
        <f t="shared" si="77"/>
        <v>253.32556833131827</v>
      </c>
      <c r="CQ48" s="544">
        <f t="shared" si="77"/>
        <v>256.02478496265019</v>
      </c>
      <c r="CR48" s="544">
        <f t="shared" si="77"/>
        <v>258.75650987118593</v>
      </c>
      <c r="CS48" s="544">
        <f t="shared" si="77"/>
        <v>261.52115200497559</v>
      </c>
      <c r="CT48" s="544">
        <f t="shared" si="77"/>
        <v>264.31912543824762</v>
      </c>
      <c r="CU48" s="544">
        <f t="shared" si="77"/>
        <v>267.1508494338517</v>
      </c>
      <c r="CV48" s="544">
        <f t="shared" si="77"/>
        <v>270.01674850637039</v>
      </c>
      <c r="CW48" s="548">
        <f t="shared" si="77"/>
        <v>272.91725248602137</v>
      </c>
      <c r="CX48" s="559"/>
    </row>
    <row r="49" spans="1:102" ht="14.25">
      <c r="A49" s="180">
        <v>36</v>
      </c>
      <c r="B49" s="181">
        <v>98551</v>
      </c>
      <c r="C49" s="182">
        <v>43.51</v>
      </c>
      <c r="D49" s="180">
        <v>86</v>
      </c>
      <c r="E49" s="181">
        <f t="shared" si="10"/>
        <v>34355</v>
      </c>
      <c r="F49" s="182">
        <f t="shared" si="10"/>
        <v>5.12</v>
      </c>
      <c r="G49" s="160"/>
      <c r="H49" s="180">
        <v>36</v>
      </c>
      <c r="I49" s="181">
        <v>99118</v>
      </c>
      <c r="J49" s="182">
        <v>48</v>
      </c>
      <c r="K49" s="180">
        <v>86</v>
      </c>
      <c r="L49" s="181">
        <f t="shared" si="11"/>
        <v>51751</v>
      </c>
      <c r="M49" s="182">
        <f t="shared" si="11"/>
        <v>6.01</v>
      </c>
      <c r="O49" s="181">
        <f t="shared" si="6"/>
        <v>98834.5</v>
      </c>
      <c r="P49" s="182">
        <f t="shared" si="7"/>
        <v>45.754999999999995</v>
      </c>
      <c r="BL49" s="51">
        <f t="shared" si="78"/>
        <v>36</v>
      </c>
      <c r="BM49" s="73">
        <f t="shared" si="75"/>
        <v>8.6248138400100824</v>
      </c>
      <c r="BN49" s="73">
        <f t="shared" si="79"/>
        <v>8.9688286577260143</v>
      </c>
      <c r="BO49" s="73">
        <f t="shared" si="80"/>
        <v>9.3199475027472012</v>
      </c>
      <c r="BP49" s="51">
        <v>36</v>
      </c>
      <c r="BQ49" s="73">
        <f t="shared" si="81"/>
        <v>9.9077285085305231</v>
      </c>
      <c r="BR49" s="73">
        <f t="shared" si="82"/>
        <v>10.463544955755761</v>
      </c>
      <c r="BS49" s="73">
        <f t="shared" si="83"/>
        <v>11.058951361081217</v>
      </c>
      <c r="BV49">
        <f t="shared" si="43"/>
        <v>93</v>
      </c>
      <c r="BW49">
        <f t="shared" si="38"/>
        <v>19031</v>
      </c>
      <c r="BX49" s="159">
        <f t="shared" si="44"/>
        <v>0.21705806539913547</v>
      </c>
      <c r="BY49" s="157">
        <f t="shared" si="45"/>
        <v>229.38567763959696</v>
      </c>
      <c r="CC49" s="545">
        <v>66</v>
      </c>
      <c r="CD49" s="543">
        <f t="shared" si="76"/>
        <v>222.217403643132</v>
      </c>
      <c r="CE49" s="543">
        <f t="shared" si="76"/>
        <v>224.32179134961029</v>
      </c>
      <c r="CF49" s="543">
        <f t="shared" si="76"/>
        <v>226.44978402853837</v>
      </c>
      <c r="CG49" s="543">
        <f t="shared" si="76"/>
        <v>228.60166068117871</v>
      </c>
      <c r="CH49" s="543">
        <f t="shared" si="76"/>
        <v>230.77770359427109</v>
      </c>
      <c r="CI49" s="543">
        <f t="shared" si="76"/>
        <v>232.97819837757879</v>
      </c>
      <c r="CJ49" s="543">
        <f t="shared" si="76"/>
        <v>235.20343400173414</v>
      </c>
      <c r="CK49" s="543">
        <f t="shared" si="76"/>
        <v>237.45370283659429</v>
      </c>
      <c r="CL49" s="543">
        <f t="shared" si="76"/>
        <v>239.72930068992139</v>
      </c>
      <c r="CM49" s="543">
        <f t="shared" si="76"/>
        <v>242.03052684656603</v>
      </c>
      <c r="CN49" s="543">
        <f t="shared" si="77"/>
        <v>244.35768410799784</v>
      </c>
      <c r="CO49" s="543">
        <f t="shared" si="77"/>
        <v>246.71107883233651</v>
      </c>
      <c r="CP49" s="543">
        <f t="shared" si="77"/>
        <v>249.09102097474761</v>
      </c>
      <c r="CQ49" s="543">
        <f t="shared" si="77"/>
        <v>251.49782412834008</v>
      </c>
      <c r="CR49" s="543">
        <f t="shared" si="77"/>
        <v>253.93180556544257</v>
      </c>
      <c r="CS49" s="543">
        <f t="shared" si="77"/>
        <v>256.39328627938784</v>
      </c>
      <c r="CT49" s="543">
        <f t="shared" si="77"/>
        <v>258.88259102668724</v>
      </c>
      <c r="CU49" s="543">
        <f t="shared" si="77"/>
        <v>261.40004836971787</v>
      </c>
      <c r="CV49" s="543">
        <f t="shared" si="77"/>
        <v>263.94599071981469</v>
      </c>
      <c r="CW49" s="547">
        <f t="shared" si="77"/>
        <v>266.52075438088025</v>
      </c>
      <c r="CX49" s="559"/>
    </row>
    <row r="50" spans="1:102" ht="14.25">
      <c r="A50" s="171">
        <v>37</v>
      </c>
      <c r="B50" s="188">
        <v>98464</v>
      </c>
      <c r="C50" s="189">
        <v>42.55</v>
      </c>
      <c r="D50" s="171">
        <v>87</v>
      </c>
      <c r="E50" s="188">
        <f t="shared" si="10"/>
        <v>30415</v>
      </c>
      <c r="F50" s="189">
        <f t="shared" si="10"/>
        <v>4.72</v>
      </c>
      <c r="G50" s="160"/>
      <c r="H50" s="171">
        <v>37</v>
      </c>
      <c r="I50" s="188">
        <v>99071</v>
      </c>
      <c r="J50" s="189">
        <v>47.03</v>
      </c>
      <c r="K50" s="171">
        <v>87</v>
      </c>
      <c r="L50" s="188">
        <f t="shared" si="11"/>
        <v>47338</v>
      </c>
      <c r="M50" s="189">
        <f t="shared" si="11"/>
        <v>5.52</v>
      </c>
      <c r="O50" s="188">
        <f t="shared" si="6"/>
        <v>98767.5</v>
      </c>
      <c r="P50" s="189">
        <f t="shared" si="7"/>
        <v>44.79</v>
      </c>
      <c r="BL50" s="51">
        <f t="shared" si="78"/>
        <v>37</v>
      </c>
      <c r="BM50" s="73">
        <f t="shared" si="75"/>
        <v>8.4631710599000023</v>
      </c>
      <c r="BN50" s="73">
        <f t="shared" si="79"/>
        <v>8.800738490742873</v>
      </c>
      <c r="BO50" s="73">
        <f t="shared" si="80"/>
        <v>9.1452768080783535</v>
      </c>
      <c r="BP50" s="51">
        <v>37</v>
      </c>
      <c r="BQ50" s="73">
        <f t="shared" si="81"/>
        <v>9.7134593220887488</v>
      </c>
      <c r="BR50" s="73">
        <f t="shared" si="82"/>
        <v>10.258377407603687</v>
      </c>
      <c r="BS50" s="73">
        <f t="shared" si="83"/>
        <v>10.842109177530608</v>
      </c>
      <c r="BV50">
        <f t="shared" si="43"/>
        <v>94</v>
      </c>
      <c r="BW50">
        <f t="shared" si="38"/>
        <v>15045</v>
      </c>
      <c r="BX50" s="159">
        <f t="shared" si="44"/>
        <v>0.17159574346750003</v>
      </c>
      <c r="BY50" s="157">
        <f t="shared" si="45"/>
        <v>137.84598603376841</v>
      </c>
      <c r="CC50" s="545">
        <v>67</v>
      </c>
      <c r="CD50" s="544">
        <f t="shared" si="76"/>
        <v>221.11184442102692</v>
      </c>
      <c r="CE50" s="544">
        <f t="shared" si="76"/>
        <v>222.98388802148139</v>
      </c>
      <c r="CF50" s="544">
        <f t="shared" si="76"/>
        <v>224.87565444740653</v>
      </c>
      <c r="CG50" s="544">
        <f t="shared" si="76"/>
        <v>226.78736178688365</v>
      </c>
      <c r="CH50" s="544">
        <f t="shared" si="76"/>
        <v>228.71923051959476</v>
      </c>
      <c r="CI50" s="544">
        <f t="shared" si="76"/>
        <v>230.6714835421572</v>
      </c>
      <c r="CJ50" s="544">
        <f t="shared" si="76"/>
        <v>232.64434619360446</v>
      </c>
      <c r="CK50" s="544">
        <f t="shared" si="76"/>
        <v>234.63804628121966</v>
      </c>
      <c r="CL50" s="544">
        <f t="shared" si="76"/>
        <v>236.65281410653643</v>
      </c>
      <c r="CM50" s="544">
        <f t="shared" si="76"/>
        <v>238.68888249168248</v>
      </c>
      <c r="CN50" s="544">
        <f t="shared" si="77"/>
        <v>240.74648680590923</v>
      </c>
      <c r="CO50" s="544">
        <f t="shared" si="77"/>
        <v>242.82586499245721</v>
      </c>
      <c r="CP50" s="544">
        <f t="shared" si="77"/>
        <v>244.92725759562205</v>
      </c>
      <c r="CQ50" s="544">
        <f t="shared" si="77"/>
        <v>247.05090778815332</v>
      </c>
      <c r="CR50" s="544">
        <f t="shared" si="77"/>
        <v>249.19706139886415</v>
      </c>
      <c r="CS50" s="544">
        <f t="shared" si="77"/>
        <v>251.3659669405763</v>
      </c>
      <c r="CT50" s="544">
        <f t="shared" si="77"/>
        <v>253.55787563828329</v>
      </c>
      <c r="CU50" s="544">
        <f t="shared" si="77"/>
        <v>255.77304145764958</v>
      </c>
      <c r="CV50" s="544">
        <f t="shared" si="77"/>
        <v>258.01172113373866</v>
      </c>
      <c r="CW50" s="548">
        <f t="shared" si="77"/>
        <v>260.27417420007833</v>
      </c>
      <c r="CX50" s="559"/>
    </row>
    <row r="51" spans="1:102" ht="14.25">
      <c r="A51" s="180">
        <v>38</v>
      </c>
      <c r="B51" s="181">
        <v>98365</v>
      </c>
      <c r="C51" s="182">
        <v>41.59</v>
      </c>
      <c r="D51" s="180">
        <v>88</v>
      </c>
      <c r="E51" s="181">
        <f t="shared" si="10"/>
        <v>26491</v>
      </c>
      <c r="F51" s="182">
        <f t="shared" si="10"/>
        <v>4.3499999999999996</v>
      </c>
      <c r="G51" s="160"/>
      <c r="H51" s="180">
        <v>38</v>
      </c>
      <c r="I51" s="181">
        <v>99021</v>
      </c>
      <c r="J51" s="182">
        <v>46.05</v>
      </c>
      <c r="K51" s="180">
        <v>88</v>
      </c>
      <c r="L51" s="181">
        <f t="shared" si="11"/>
        <v>42647</v>
      </c>
      <c r="M51" s="182">
        <f t="shared" si="11"/>
        <v>5.08</v>
      </c>
      <c r="O51" s="181">
        <f t="shared" si="6"/>
        <v>98693</v>
      </c>
      <c r="P51" s="182">
        <f t="shared" si="7"/>
        <v>43.82</v>
      </c>
      <c r="BL51" s="51">
        <f t="shared" si="78"/>
        <v>38</v>
      </c>
      <c r="BM51" s="73">
        <f t="shared" si="75"/>
        <v>8.3055773189889361</v>
      </c>
      <c r="BN51" s="73">
        <f t="shared" si="79"/>
        <v>8.6368588655149576</v>
      </c>
      <c r="BO51" s="73">
        <f t="shared" si="80"/>
        <v>8.9749814928056786</v>
      </c>
      <c r="BP51" s="51">
        <v>38</v>
      </c>
      <c r="BQ51" s="73">
        <f t="shared" si="81"/>
        <v>9.5229993353811242</v>
      </c>
      <c r="BR51" s="73">
        <f t="shared" si="82"/>
        <v>10.057232752552636</v>
      </c>
      <c r="BS51" s="73">
        <f t="shared" si="83"/>
        <v>10.629518801500597</v>
      </c>
      <c r="BV51">
        <f t="shared" si="43"/>
        <v>95</v>
      </c>
      <c r="BW51">
        <f t="shared" si="38"/>
        <v>11593</v>
      </c>
      <c r="BX51" s="159">
        <f t="shared" si="44"/>
        <v>0.13222395839273698</v>
      </c>
      <c r="BY51" s="157">
        <f t="shared" si="45"/>
        <v>78.698793169898948</v>
      </c>
      <c r="CC51" s="545">
        <v>68</v>
      </c>
      <c r="CD51" s="543">
        <f t="shared" si="76"/>
        <v>220.01178549355916</v>
      </c>
      <c r="CE51" s="543">
        <f t="shared" si="76"/>
        <v>221.65396423606501</v>
      </c>
      <c r="CF51" s="543">
        <f t="shared" si="76"/>
        <v>223.31246717716641</v>
      </c>
      <c r="CG51" s="543">
        <f t="shared" si="76"/>
        <v>224.98746209016235</v>
      </c>
      <c r="CH51" s="543">
        <f t="shared" si="76"/>
        <v>226.67911845351318</v>
      </c>
      <c r="CI51" s="543">
        <f t="shared" si="76"/>
        <v>228.38760746748241</v>
      </c>
      <c r="CJ51" s="543">
        <f t="shared" si="76"/>
        <v>230.11310207082545</v>
      </c>
      <c r="CK51" s="543">
        <f t="shared" si="76"/>
        <v>231.85577695772696</v>
      </c>
      <c r="CL51" s="543">
        <f t="shared" si="76"/>
        <v>233.61580859480401</v>
      </c>
      <c r="CM51" s="543">
        <f t="shared" si="76"/>
        <v>235.39337523834564</v>
      </c>
      <c r="CN51" s="543">
        <f t="shared" si="77"/>
        <v>237.18865695163475</v>
      </c>
      <c r="CO51" s="543">
        <f t="shared" si="77"/>
        <v>239.00183562249728</v>
      </c>
      <c r="CP51" s="543">
        <f t="shared" si="77"/>
        <v>240.83309498094599</v>
      </c>
      <c r="CQ51" s="543">
        <f t="shared" si="77"/>
        <v>242.6826206170465</v>
      </c>
      <c r="CR51" s="543">
        <f t="shared" si="77"/>
        <v>244.55059999888539</v>
      </c>
      <c r="CS51" s="543">
        <f t="shared" si="77"/>
        <v>246.43722249076109</v>
      </c>
      <c r="CT51" s="543">
        <f t="shared" si="77"/>
        <v>248.34267937148218</v>
      </c>
      <c r="CU51" s="543">
        <f t="shared" si="77"/>
        <v>250.26716385288609</v>
      </c>
      <c r="CV51" s="543">
        <f t="shared" si="77"/>
        <v>252.21087109847383</v>
      </c>
      <c r="CW51" s="547">
        <f t="shared" si="77"/>
        <v>254.17399824226402</v>
      </c>
      <c r="CX51" s="559"/>
    </row>
    <row r="52" spans="1:102" ht="14.25">
      <c r="A52" s="171">
        <v>39</v>
      </c>
      <c r="B52" s="188">
        <v>98266</v>
      </c>
      <c r="C52" s="189">
        <v>40.64</v>
      </c>
      <c r="D52" s="171">
        <v>89</v>
      </c>
      <c r="E52" s="188">
        <f t="shared" si="10"/>
        <v>22604</v>
      </c>
      <c r="F52" s="189">
        <f t="shared" si="10"/>
        <v>4.01</v>
      </c>
      <c r="G52" s="160"/>
      <c r="H52" s="171">
        <v>39</v>
      </c>
      <c r="I52" s="188">
        <v>98966</v>
      </c>
      <c r="J52" s="189">
        <v>45.07</v>
      </c>
      <c r="K52" s="171">
        <v>89</v>
      </c>
      <c r="L52" s="188">
        <f t="shared" si="11"/>
        <v>37815</v>
      </c>
      <c r="M52" s="189">
        <f t="shared" si="11"/>
        <v>4.66</v>
      </c>
      <c r="O52" s="188">
        <f t="shared" si="6"/>
        <v>98616</v>
      </c>
      <c r="P52" s="189">
        <f t="shared" si="7"/>
        <v>42.855000000000004</v>
      </c>
      <c r="BL52" s="51">
        <f t="shared" si="78"/>
        <v>39</v>
      </c>
      <c r="BM52" s="73">
        <f t="shared" si="75"/>
        <v>8.1509264068591225</v>
      </c>
      <c r="BN52" s="73">
        <f t="shared" si="79"/>
        <v>8.4760394486112585</v>
      </c>
      <c r="BO52" s="73">
        <f t="shared" si="80"/>
        <v>8.8078661893291503</v>
      </c>
      <c r="BP52" s="51">
        <v>39</v>
      </c>
      <c r="BQ52" s="73">
        <f t="shared" si="81"/>
        <v>9.3362738582167903</v>
      </c>
      <c r="BR52" s="73">
        <f t="shared" si="82"/>
        <v>9.8600321103457187</v>
      </c>
      <c r="BS52" s="73">
        <f t="shared" si="83"/>
        <v>10.421096864216272</v>
      </c>
      <c r="BV52">
        <f t="shared" si="43"/>
        <v>96</v>
      </c>
      <c r="BW52">
        <f t="shared" si="38"/>
        <v>8645</v>
      </c>
      <c r="BX52" s="159">
        <f t="shared" si="44"/>
        <v>9.8600545182887189E-2</v>
      </c>
      <c r="BY52" s="157">
        <f t="shared" si="45"/>
        <v>42.079740874434989</v>
      </c>
      <c r="CC52" s="545">
        <v>69</v>
      </c>
      <c r="CD52" s="544">
        <f t="shared" si="76"/>
        <v>218.91719949607881</v>
      </c>
      <c r="CE52" s="544">
        <f t="shared" si="76"/>
        <v>220.33197240165509</v>
      </c>
      <c r="CF52" s="544">
        <f t="shared" si="76"/>
        <v>221.76014615408783</v>
      </c>
      <c r="CG52" s="544">
        <f t="shared" si="76"/>
        <v>223.20184731166898</v>
      </c>
      <c r="CH52" s="544">
        <f t="shared" si="76"/>
        <v>224.65720362092483</v>
      </c>
      <c r="CI52" s="544">
        <f t="shared" si="76"/>
        <v>226.12634402721028</v>
      </c>
      <c r="CJ52" s="544">
        <f t="shared" si="76"/>
        <v>227.60939868528732</v>
      </c>
      <c r="CK52" s="544">
        <f t="shared" si="76"/>
        <v>229.10649897008591</v>
      </c>
      <c r="CL52" s="544">
        <f t="shared" si="76"/>
        <v>230.61777748746692</v>
      </c>
      <c r="CM52" s="544">
        <f t="shared" si="76"/>
        <v>232.14336808515344</v>
      </c>
      <c r="CN52" s="544">
        <f t="shared" si="77"/>
        <v>233.68340586367961</v>
      </c>
      <c r="CO52" s="544">
        <f t="shared" si="77"/>
        <v>235.23802718749727</v>
      </c>
      <c r="CP52" s="544">
        <f t="shared" si="77"/>
        <v>236.80736969611209</v>
      </c>
      <c r="CQ52" s="544">
        <f t="shared" si="77"/>
        <v>238.39157231536984</v>
      </c>
      <c r="CR52" s="544">
        <f t="shared" si="77"/>
        <v>239.99077526877858</v>
      </c>
      <c r="CS52" s="544">
        <f t="shared" si="77"/>
        <v>241.60512008898149</v>
      </c>
      <c r="CT52" s="544">
        <f t="shared" si="77"/>
        <v>243.23474962926764</v>
      </c>
      <c r="CU52" s="544">
        <f t="shared" si="77"/>
        <v>244.87980807523101</v>
      </c>
      <c r="CV52" s="544">
        <f t="shared" si="77"/>
        <v>246.54044095647492</v>
      </c>
      <c r="CW52" s="548">
        <f t="shared" si="77"/>
        <v>248.21679515846097</v>
      </c>
      <c r="CX52" s="559"/>
    </row>
    <row r="53" spans="1:102" thickBot="1">
      <c r="A53" s="180">
        <v>40</v>
      </c>
      <c r="B53" s="181">
        <v>98152</v>
      </c>
      <c r="C53" s="182">
        <v>39.68</v>
      </c>
      <c r="D53" s="180">
        <v>90</v>
      </c>
      <c r="E53" s="181">
        <f t="shared" si="10"/>
        <v>18870</v>
      </c>
      <c r="F53" s="182">
        <f t="shared" si="10"/>
        <v>3.71</v>
      </c>
      <c r="G53" s="160"/>
      <c r="H53" s="180">
        <v>40</v>
      </c>
      <c r="I53" s="181">
        <v>98901</v>
      </c>
      <c r="J53" s="182">
        <v>44.1</v>
      </c>
      <c r="K53" s="180">
        <v>90</v>
      </c>
      <c r="L53" s="181">
        <f t="shared" si="11"/>
        <v>32944</v>
      </c>
      <c r="M53" s="182">
        <f t="shared" si="11"/>
        <v>4.28</v>
      </c>
      <c r="O53" s="181">
        <f t="shared" si="6"/>
        <v>98526.5</v>
      </c>
      <c r="P53" s="182">
        <f t="shared" si="7"/>
        <v>41.89</v>
      </c>
      <c r="BL53" s="51">
        <f t="shared" si="78"/>
        <v>40</v>
      </c>
      <c r="BM53" s="73">
        <f t="shared" si="75"/>
        <v>8.0003856992557587</v>
      </c>
      <c r="BN53" s="73">
        <f t="shared" si="79"/>
        <v>8.3194941784694301</v>
      </c>
      <c r="BO53" s="73">
        <f t="shared" si="80"/>
        <v>8.6451923603148746</v>
      </c>
      <c r="BP53" s="51">
        <v>40</v>
      </c>
      <c r="BQ53" s="73">
        <f t="shared" si="81"/>
        <v>9.1532096649184211</v>
      </c>
      <c r="BR53" s="73">
        <f t="shared" si="82"/>
        <v>9.6666981473977653</v>
      </c>
      <c r="BS53" s="73">
        <f t="shared" si="83"/>
        <v>10.216761631584578</v>
      </c>
      <c r="BV53">
        <f t="shared" si="43"/>
        <v>97</v>
      </c>
      <c r="BW53">
        <f t="shared" si="38"/>
        <v>6230</v>
      </c>
      <c r="BX53" s="159">
        <f t="shared" si="44"/>
        <v>7.105626333017781E-2</v>
      </c>
      <c r="BY53" s="157">
        <f t="shared" si="45"/>
        <v>21.012891380868112</v>
      </c>
      <c r="CC53" s="549">
        <v>70</v>
      </c>
      <c r="CD53" s="550">
        <f t="shared" si="76"/>
        <v>217.82805920007843</v>
      </c>
      <c r="CE53" s="550">
        <f t="shared" si="76"/>
        <v>219.01786521039273</v>
      </c>
      <c r="CF53" s="550">
        <f t="shared" si="76"/>
        <v>220.21861584318557</v>
      </c>
      <c r="CG53" s="550">
        <f t="shared" si="76"/>
        <v>221.43040407903663</v>
      </c>
      <c r="CH53" s="550">
        <f t="shared" si="76"/>
        <v>222.65332370755692</v>
      </c>
      <c r="CI53" s="550">
        <f t="shared" si="76"/>
        <v>223.88746933387159</v>
      </c>
      <c r="CJ53" s="550">
        <f t="shared" si="76"/>
        <v>225.13293638505172</v>
      </c>
      <c r="CK53" s="550">
        <f t="shared" si="76"/>
        <v>226.38982111668565</v>
      </c>
      <c r="CL53" s="550">
        <f t="shared" si="76"/>
        <v>227.65822061941458</v>
      </c>
      <c r="CM53" s="550">
        <f t="shared" si="76"/>
        <v>228.93823282559509</v>
      </c>
      <c r="CN53" s="550">
        <f t="shared" si="77"/>
        <v>230.22995651594053</v>
      </c>
      <c r="CO53" s="550">
        <f t="shared" si="77"/>
        <v>231.53349132627687</v>
      </c>
      <c r="CP53" s="550">
        <f t="shared" si="77"/>
        <v>232.84893775428924</v>
      </c>
      <c r="CQ53" s="550">
        <f t="shared" si="77"/>
        <v>234.17639716637507</v>
      </c>
      <c r="CR53" s="550">
        <f t="shared" si="77"/>
        <v>235.5159718044932</v>
      </c>
      <c r="CS53" s="550">
        <f t="shared" si="77"/>
        <v>236.86776479311908</v>
      </c>
      <c r="CT53" s="550">
        <f t="shared" si="77"/>
        <v>238.23188014619748</v>
      </c>
      <c r="CU53" s="550">
        <f t="shared" si="77"/>
        <v>239.60842277419863</v>
      </c>
      <c r="CV53" s="550">
        <f t="shared" si="77"/>
        <v>240.99749849117785</v>
      </c>
      <c r="CW53" s="551">
        <f t="shared" si="77"/>
        <v>242.39921402193451</v>
      </c>
      <c r="CX53" s="559"/>
    </row>
    <row r="54" spans="1:102" ht="14.25" customHeight="1">
      <c r="A54" s="171">
        <v>41</v>
      </c>
      <c r="B54" s="188">
        <v>98031</v>
      </c>
      <c r="C54" s="189">
        <v>38.729999999999997</v>
      </c>
      <c r="D54" s="171">
        <v>91</v>
      </c>
      <c r="E54" s="188">
        <f t="shared" si="10"/>
        <v>15409</v>
      </c>
      <c r="F54" s="189">
        <f t="shared" si="10"/>
        <v>3.43</v>
      </c>
      <c r="G54" s="160"/>
      <c r="H54" s="171">
        <v>41</v>
      </c>
      <c r="I54" s="188">
        <v>98839</v>
      </c>
      <c r="J54" s="189">
        <v>43.13</v>
      </c>
      <c r="K54" s="171">
        <v>91</v>
      </c>
      <c r="L54" s="188">
        <f t="shared" si="11"/>
        <v>28098</v>
      </c>
      <c r="M54" s="189">
        <f t="shared" si="11"/>
        <v>3.93</v>
      </c>
      <c r="O54" s="188">
        <f t="shared" si="6"/>
        <v>98435</v>
      </c>
      <c r="P54" s="189">
        <f t="shared" si="7"/>
        <v>40.93</v>
      </c>
      <c r="BL54" s="51">
        <f t="shared" si="78"/>
        <v>41</v>
      </c>
      <c r="BM54" s="73">
        <f t="shared" si="75"/>
        <v>7.8531966694144106</v>
      </c>
      <c r="BN54" s="73">
        <f t="shared" si="79"/>
        <v>8.1664342732434108</v>
      </c>
      <c r="BO54" s="73">
        <f t="shared" si="80"/>
        <v>8.4861403440570893</v>
      </c>
      <c r="BP54" s="51">
        <v>41</v>
      </c>
      <c r="BQ54" s="73">
        <f t="shared" si="81"/>
        <v>8.9737349656062957</v>
      </c>
      <c r="BR54" s="73">
        <f t="shared" si="82"/>
        <v>9.4771550464683969</v>
      </c>
      <c r="BS54" s="73">
        <f t="shared" si="83"/>
        <v>10.016432972141745</v>
      </c>
      <c r="BV54">
        <f t="shared" si="43"/>
        <v>98</v>
      </c>
      <c r="BW54">
        <f t="shared" si="38"/>
        <v>4394</v>
      </c>
      <c r="BX54" s="159">
        <f t="shared" si="44"/>
        <v>5.0115765822279501E-2</v>
      </c>
      <c r="BY54" s="157">
        <f t="shared" si="45"/>
        <v>10.05070412089365</v>
      </c>
      <c r="CC54" s="2684" t="s">
        <v>608</v>
      </c>
      <c r="CD54" s="2685"/>
      <c r="CE54" s="2685"/>
      <c r="CF54" s="2685"/>
      <c r="CG54" s="2685"/>
      <c r="CH54" s="2685"/>
      <c r="CI54" s="2685"/>
      <c r="CJ54" s="2685"/>
      <c r="CK54" s="2685"/>
      <c r="CL54" s="2685"/>
      <c r="CM54" s="2685"/>
      <c r="CN54" s="2685"/>
      <c r="CO54" s="2685"/>
      <c r="CP54" s="2685"/>
      <c r="CQ54" s="2685"/>
      <c r="CR54" s="2685"/>
      <c r="CS54" s="2685"/>
      <c r="CT54" s="2685"/>
      <c r="CU54" s="2685"/>
      <c r="CV54" s="2685"/>
      <c r="CW54" s="2686"/>
      <c r="CX54" s="558"/>
    </row>
    <row r="55" spans="1:102" ht="15" customHeight="1" thickBot="1">
      <c r="A55" s="180">
        <v>42</v>
      </c>
      <c r="B55" s="181">
        <v>97888</v>
      </c>
      <c r="C55" s="182">
        <v>37.79</v>
      </c>
      <c r="D55" s="180">
        <v>92</v>
      </c>
      <c r="E55" s="181">
        <f t="shared" si="10"/>
        <v>12317</v>
      </c>
      <c r="F55" s="182">
        <f t="shared" si="10"/>
        <v>3.16</v>
      </c>
      <c r="G55" s="160"/>
      <c r="H55" s="180">
        <v>42</v>
      </c>
      <c r="I55" s="181">
        <v>98766</v>
      </c>
      <c r="J55" s="182">
        <v>42.16</v>
      </c>
      <c r="K55" s="180">
        <v>92</v>
      </c>
      <c r="L55" s="181">
        <f t="shared" si="11"/>
        <v>23435</v>
      </c>
      <c r="M55" s="182">
        <f t="shared" si="11"/>
        <v>3.61</v>
      </c>
      <c r="O55" s="181">
        <f t="shared" si="6"/>
        <v>98327</v>
      </c>
      <c r="P55" s="182">
        <f t="shared" si="7"/>
        <v>39.974999999999994</v>
      </c>
      <c r="BL55" s="51">
        <f t="shared" si="78"/>
        <v>42</v>
      </c>
      <c r="BM55" s="73">
        <f t="shared" si="75"/>
        <v>7.7104598402512439</v>
      </c>
      <c r="BN55" s="73">
        <f t="shared" si="79"/>
        <v>8.0180041520073058</v>
      </c>
      <c r="BO55" s="73">
        <f t="shared" si="80"/>
        <v>8.3318993622589517</v>
      </c>
      <c r="BP55" s="51">
        <v>42</v>
      </c>
      <c r="BQ55" s="73">
        <f t="shared" si="81"/>
        <v>8.7977793780453872</v>
      </c>
      <c r="BR55" s="73">
        <f t="shared" si="82"/>
        <v>9.2913284769298006</v>
      </c>
      <c r="BS55" s="73">
        <f t="shared" si="83"/>
        <v>9.8200323256291604</v>
      </c>
      <c r="BV55">
        <f t="shared" si="43"/>
        <v>99</v>
      </c>
      <c r="BW55">
        <f t="shared" si="38"/>
        <v>2992</v>
      </c>
      <c r="BX55" s="159">
        <f t="shared" si="44"/>
        <v>3.4125255198056502E-2</v>
      </c>
      <c r="BY55" s="157">
        <f t="shared" si="45"/>
        <v>4.4809100097588601</v>
      </c>
      <c r="CC55" s="2687"/>
      <c r="CD55" s="2688"/>
      <c r="CE55" s="2688"/>
      <c r="CF55" s="2688"/>
      <c r="CG55" s="2688"/>
      <c r="CH55" s="2688"/>
      <c r="CI55" s="2688"/>
      <c r="CJ55" s="2688"/>
      <c r="CK55" s="2688"/>
      <c r="CL55" s="2688"/>
      <c r="CM55" s="2688"/>
      <c r="CN55" s="2688"/>
      <c r="CO55" s="2688"/>
      <c r="CP55" s="2688"/>
      <c r="CQ55" s="2688"/>
      <c r="CR55" s="2688"/>
      <c r="CS55" s="2688"/>
      <c r="CT55" s="2688"/>
      <c r="CU55" s="2688"/>
      <c r="CV55" s="2688"/>
      <c r="CW55" s="2689"/>
      <c r="CX55" s="558"/>
    </row>
    <row r="56" spans="1:102">
      <c r="A56" s="171">
        <v>43</v>
      </c>
      <c r="B56" s="188">
        <v>97750</v>
      </c>
      <c r="C56" s="189">
        <v>36.840000000000003</v>
      </c>
      <c r="D56" s="171">
        <v>93</v>
      </c>
      <c r="E56" s="188">
        <f t="shared" si="10"/>
        <v>9559</v>
      </c>
      <c r="F56" s="189">
        <f t="shared" si="10"/>
        <v>2.93</v>
      </c>
      <c r="G56" s="160"/>
      <c r="H56" s="171">
        <v>43</v>
      </c>
      <c r="I56" s="188">
        <v>98687</v>
      </c>
      <c r="J56" s="189">
        <v>41.2</v>
      </c>
      <c r="K56" s="171">
        <v>93</v>
      </c>
      <c r="L56" s="188">
        <f t="shared" si="11"/>
        <v>19031</v>
      </c>
      <c r="M56" s="189">
        <f t="shared" si="11"/>
        <v>3.33</v>
      </c>
      <c r="O56" s="188">
        <f t="shared" si="6"/>
        <v>98218.5</v>
      </c>
      <c r="P56" s="189">
        <f t="shared" si="7"/>
        <v>39.020000000000003</v>
      </c>
      <c r="S56" s="157"/>
      <c r="BL56" s="51">
        <f t="shared" si="78"/>
        <v>43</v>
      </c>
      <c r="BM56" s="73">
        <f t="shared" si="75"/>
        <v>7.5699462699214086</v>
      </c>
      <c r="BN56" s="73">
        <f t="shared" si="79"/>
        <v>7.8718859679222817</v>
      </c>
      <c r="BO56" s="73">
        <f t="shared" si="80"/>
        <v>8.1800608271681874</v>
      </c>
      <c r="BP56" s="51">
        <v>43</v>
      </c>
      <c r="BQ56" s="73">
        <f t="shared" si="81"/>
        <v>8.6252739000444993</v>
      </c>
      <c r="BR56" s="73">
        <f t="shared" si="82"/>
        <v>9.1091455656174514</v>
      </c>
      <c r="BS56" s="73">
        <f t="shared" si="83"/>
        <v>9.627482672185451</v>
      </c>
      <c r="BV56">
        <f t="shared" si="43"/>
        <v>100</v>
      </c>
      <c r="BW56">
        <f t="shared" si="38"/>
        <v>1965</v>
      </c>
      <c r="BX56" s="159">
        <f t="shared" si="44"/>
        <v>2.2411806973322537E-2</v>
      </c>
      <c r="BY56" s="157">
        <f t="shared" si="45"/>
        <v>0</v>
      </c>
    </row>
    <row r="57" spans="1:102">
      <c r="A57" s="180">
        <v>44</v>
      </c>
      <c r="B57" s="181">
        <v>97594</v>
      </c>
      <c r="C57" s="182">
        <v>35.9</v>
      </c>
      <c r="D57" s="180">
        <v>94</v>
      </c>
      <c r="E57" s="181">
        <f t="shared" si="10"/>
        <v>7217</v>
      </c>
      <c r="F57" s="182">
        <f t="shared" si="10"/>
        <v>2.71</v>
      </c>
      <c r="G57" s="160"/>
      <c r="H57" s="180">
        <v>44</v>
      </c>
      <c r="I57" s="181">
        <v>98598</v>
      </c>
      <c r="J57" s="182">
        <v>40.229999999999997</v>
      </c>
      <c r="K57" s="180">
        <v>94</v>
      </c>
      <c r="L57" s="181">
        <f t="shared" si="11"/>
        <v>15045</v>
      </c>
      <c r="M57" s="182">
        <f t="shared" si="11"/>
        <v>3.08</v>
      </c>
      <c r="O57" s="181">
        <f t="shared" si="6"/>
        <v>98096</v>
      </c>
      <c r="P57" s="182">
        <f t="shared" si="7"/>
        <v>38.064999999999998</v>
      </c>
      <c r="BL57" s="51">
        <f t="shared" si="78"/>
        <v>44</v>
      </c>
      <c r="BM57" s="73">
        <f t="shared" si="75"/>
        <v>7.4333789392872669</v>
      </c>
      <c r="BN57" s="73">
        <f t="shared" si="79"/>
        <v>7.7298714257627044</v>
      </c>
      <c r="BO57" s="73">
        <f t="shared" si="80"/>
        <v>8.0324865866441737</v>
      </c>
      <c r="BP57" s="51">
        <v>44</v>
      </c>
      <c r="BQ57" s="73">
        <f t="shared" si="81"/>
        <v>8.4561508823965674</v>
      </c>
      <c r="BR57" s="73">
        <f t="shared" si="82"/>
        <v>8.9305348682524048</v>
      </c>
      <c r="BS57" s="73">
        <f t="shared" si="83"/>
        <v>9.4387085021425996</v>
      </c>
      <c r="BV57">
        <f t="shared" si="43"/>
        <v>101</v>
      </c>
      <c r="BW57">
        <f t="shared" si="38"/>
        <v>1965</v>
      </c>
      <c r="BX57" s="159">
        <f t="shared" si="44"/>
        <v>2.2411806973322537E-2</v>
      </c>
      <c r="BY57" s="157">
        <f t="shared" si="45"/>
        <v>0</v>
      </c>
    </row>
    <row r="58" spans="1:102">
      <c r="A58" s="171">
        <v>45</v>
      </c>
      <c r="B58" s="188">
        <v>97425</v>
      </c>
      <c r="C58" s="189">
        <v>34.96</v>
      </c>
      <c r="D58" s="171">
        <v>95</v>
      </c>
      <c r="E58" s="188">
        <f t="shared" si="10"/>
        <v>5269</v>
      </c>
      <c r="F58" s="189">
        <f t="shared" si="10"/>
        <v>2.5299999999999998</v>
      </c>
      <c r="G58" s="160"/>
      <c r="H58" s="171">
        <v>45</v>
      </c>
      <c r="I58" s="188">
        <v>98505</v>
      </c>
      <c r="J58" s="189">
        <v>39.270000000000003</v>
      </c>
      <c r="K58" s="171">
        <v>95</v>
      </c>
      <c r="L58" s="188">
        <f t="shared" si="11"/>
        <v>11593</v>
      </c>
      <c r="M58" s="189">
        <f t="shared" si="11"/>
        <v>2.85</v>
      </c>
      <c r="O58" s="188">
        <f t="shared" si="6"/>
        <v>97965</v>
      </c>
      <c r="P58" s="189">
        <f t="shared" si="7"/>
        <v>37.115000000000002</v>
      </c>
      <c r="R58">
        <v>30.34</v>
      </c>
      <c r="S58">
        <v>34.520000000000003</v>
      </c>
      <c r="BL58" s="51">
        <f t="shared" si="78"/>
        <v>45</v>
      </c>
      <c r="BM58" s="73">
        <f t="shared" si="75"/>
        <v>7.3002680211605862</v>
      </c>
      <c r="BN58" s="73">
        <f t="shared" si="79"/>
        <v>7.5914511607811468</v>
      </c>
      <c r="BO58" s="73">
        <f t="shared" si="80"/>
        <v>7.8886473349228066</v>
      </c>
      <c r="BP58" s="51">
        <v>45</v>
      </c>
      <c r="BQ58" s="73">
        <f t="shared" si="81"/>
        <v>8.2903440023495758</v>
      </c>
      <c r="BR58" s="73">
        <f t="shared" si="82"/>
        <v>8.7554263414239255</v>
      </c>
      <c r="BS58" s="73">
        <f t="shared" si="83"/>
        <v>9.2536357864143142</v>
      </c>
      <c r="BV58">
        <f t="shared" si="43"/>
        <v>102</v>
      </c>
      <c r="BW58">
        <f t="shared" si="38"/>
        <v>1965</v>
      </c>
      <c r="BX58" s="159">
        <f t="shared" si="44"/>
        <v>2.2411806973322537E-2</v>
      </c>
      <c r="BY58" s="157">
        <f t="shared" si="45"/>
        <v>0</v>
      </c>
    </row>
    <row r="59" spans="1:102">
      <c r="A59" s="180">
        <v>46</v>
      </c>
      <c r="B59" s="181">
        <v>97242</v>
      </c>
      <c r="C59" s="182">
        <v>34.020000000000003</v>
      </c>
      <c r="D59" s="180">
        <v>96</v>
      </c>
      <c r="E59" s="181">
        <f t="shared" si="10"/>
        <v>3736</v>
      </c>
      <c r="F59" s="182">
        <f t="shared" si="10"/>
        <v>2.37</v>
      </c>
      <c r="G59" s="160"/>
      <c r="H59" s="180">
        <v>46</v>
      </c>
      <c r="I59" s="181">
        <v>98399</v>
      </c>
      <c r="J59" s="182">
        <v>38.31</v>
      </c>
      <c r="K59" s="180">
        <v>96</v>
      </c>
      <c r="L59" s="181">
        <f t="shared" si="11"/>
        <v>8645</v>
      </c>
      <c r="M59" s="182">
        <f t="shared" si="11"/>
        <v>2.65</v>
      </c>
      <c r="O59" s="181">
        <f t="shared" si="6"/>
        <v>97820.5</v>
      </c>
      <c r="P59" s="182">
        <f t="shared" si="7"/>
        <v>36.165000000000006</v>
      </c>
      <c r="R59">
        <v>34.630000000000003</v>
      </c>
      <c r="S59">
        <v>38.590000000000003</v>
      </c>
      <c r="T59">
        <v>500</v>
      </c>
      <c r="BL59" s="51">
        <f t="shared" si="78"/>
        <v>46</v>
      </c>
      <c r="BM59" s="73">
        <f t="shared" si="75"/>
        <v>7.1705945260638426</v>
      </c>
      <c r="BN59" s="73">
        <f t="shared" si="79"/>
        <v>7.4566054260736943</v>
      </c>
      <c r="BO59" s="73">
        <f t="shared" si="80"/>
        <v>7.7485225520326528</v>
      </c>
      <c r="BP59" s="51">
        <v>46</v>
      </c>
      <c r="BQ59" s="73">
        <f t="shared" si="81"/>
        <v>8.127788237597624</v>
      </c>
      <c r="BR59" s="73">
        <f t="shared" si="82"/>
        <v>8.5837513151214964</v>
      </c>
      <c r="BS59" s="73">
        <f t="shared" si="83"/>
        <v>9.0721919474650132</v>
      </c>
      <c r="BV59">
        <f t="shared" si="43"/>
        <v>103</v>
      </c>
      <c r="BW59">
        <f t="shared" si="38"/>
        <v>1965</v>
      </c>
      <c r="BX59" s="159">
        <f t="shared" si="44"/>
        <v>2.2411806973322537E-2</v>
      </c>
      <c r="BY59" s="157">
        <f t="shared" si="45"/>
        <v>0</v>
      </c>
    </row>
    <row r="60" spans="1:102">
      <c r="A60" s="171">
        <v>47</v>
      </c>
      <c r="B60" s="188">
        <v>97041</v>
      </c>
      <c r="C60" s="189">
        <v>33.090000000000003</v>
      </c>
      <c r="D60" s="171">
        <v>97</v>
      </c>
      <c r="E60" s="188">
        <f t="shared" si="10"/>
        <v>2561</v>
      </c>
      <c r="F60" s="189">
        <f t="shared" si="10"/>
        <v>2.2200000000000002</v>
      </c>
      <c r="G60" s="160"/>
      <c r="H60" s="171">
        <v>47</v>
      </c>
      <c r="I60" s="188">
        <v>98283</v>
      </c>
      <c r="J60" s="189">
        <v>37.36</v>
      </c>
      <c r="K60" s="171">
        <v>97</v>
      </c>
      <c r="L60" s="188">
        <f t="shared" si="11"/>
        <v>6230</v>
      </c>
      <c r="M60" s="189">
        <f t="shared" si="11"/>
        <v>2.48</v>
      </c>
      <c r="O60" s="188">
        <f t="shared" si="6"/>
        <v>97662</v>
      </c>
      <c r="P60" s="189">
        <f t="shared" si="7"/>
        <v>35.225000000000001</v>
      </c>
      <c r="R60">
        <f>+R59/R58</f>
        <v>1.1413974950560317</v>
      </c>
      <c r="S60">
        <f>+S59/S58</f>
        <v>1.1179026651216686</v>
      </c>
      <c r="T60">
        <v>16.48</v>
      </c>
      <c r="BL60" s="51">
        <f t="shared" si="78"/>
        <v>47</v>
      </c>
      <c r="BM60" s="73">
        <f t="shared" si="75"/>
        <v>7.0445557871485907</v>
      </c>
      <c r="BN60" s="73">
        <f t="shared" si="79"/>
        <v>7.3255394257476585</v>
      </c>
      <c r="BO60" s="73">
        <f t="shared" si="80"/>
        <v>7.612325475574802</v>
      </c>
      <c r="BP60" s="51">
        <v>47</v>
      </c>
      <c r="BQ60" s="73">
        <f t="shared" si="81"/>
        <v>7.9684198407819835</v>
      </c>
      <c r="BR60" s="73">
        <f t="shared" si="82"/>
        <v>8.4154424658053877</v>
      </c>
      <c r="BS60" s="73">
        <f t="shared" si="83"/>
        <v>8.8943058308480545</v>
      </c>
      <c r="BV60">
        <f t="shared" si="43"/>
        <v>104</v>
      </c>
      <c r="BW60">
        <f t="shared" si="38"/>
        <v>1965</v>
      </c>
      <c r="BX60" s="159">
        <f t="shared" si="44"/>
        <v>2.2411806973322537E-2</v>
      </c>
      <c r="BY60" s="157">
        <f t="shared" si="45"/>
        <v>0</v>
      </c>
    </row>
    <row r="61" spans="1:102">
      <c r="A61" s="180">
        <v>48</v>
      </c>
      <c r="B61" s="181">
        <v>96815</v>
      </c>
      <c r="C61" s="182">
        <v>32.17</v>
      </c>
      <c r="D61" s="180">
        <v>98</v>
      </c>
      <c r="E61" s="181">
        <f t="shared" si="10"/>
        <v>1708</v>
      </c>
      <c r="F61" s="182">
        <f t="shared" si="10"/>
        <v>2.09</v>
      </c>
      <c r="G61" s="160"/>
      <c r="H61" s="180">
        <v>48</v>
      </c>
      <c r="I61" s="181">
        <v>98155</v>
      </c>
      <c r="J61" s="182">
        <v>36.4</v>
      </c>
      <c r="K61" s="180">
        <v>98</v>
      </c>
      <c r="L61" s="181">
        <f t="shared" si="11"/>
        <v>4394</v>
      </c>
      <c r="M61" s="182">
        <f t="shared" si="11"/>
        <v>2.31</v>
      </c>
      <c r="O61" s="181">
        <f t="shared" si="6"/>
        <v>97485</v>
      </c>
      <c r="P61" s="182">
        <f t="shared" si="7"/>
        <v>34.284999999999997</v>
      </c>
      <c r="T61" s="433">
        <v>0.05</v>
      </c>
      <c r="BL61" s="51">
        <f t="shared" si="78"/>
        <v>48</v>
      </c>
      <c r="BM61" s="73">
        <f t="shared" si="75"/>
        <v>6.922549253940824</v>
      </c>
      <c r="BN61" s="73">
        <f t="shared" si="79"/>
        <v>7.1986664622539509</v>
      </c>
      <c r="BO61" s="73">
        <f t="shared" si="80"/>
        <v>7.4804855882935639</v>
      </c>
      <c r="BP61" s="51">
        <v>48</v>
      </c>
      <c r="BQ61" s="73">
        <f t="shared" si="81"/>
        <v>7.8121763144921417</v>
      </c>
      <c r="BR61" s="73">
        <f t="shared" si="82"/>
        <v>8.2504337900052835</v>
      </c>
      <c r="BS61" s="73">
        <f t="shared" si="83"/>
        <v>8.7199076773020128</v>
      </c>
      <c r="BV61">
        <f t="shared" si="43"/>
        <v>105</v>
      </c>
      <c r="BW61">
        <f t="shared" si="38"/>
        <v>1965</v>
      </c>
      <c r="BX61" s="159">
        <f t="shared" si="44"/>
        <v>2.2411806973322537E-2</v>
      </c>
      <c r="BY61" s="157">
        <f t="shared" si="45"/>
        <v>0</v>
      </c>
    </row>
    <row r="62" spans="1:102">
      <c r="A62" s="171">
        <v>49</v>
      </c>
      <c r="B62" s="188">
        <v>96561</v>
      </c>
      <c r="C62" s="189">
        <v>31.25</v>
      </c>
      <c r="D62" s="171">
        <v>99</v>
      </c>
      <c r="E62" s="188">
        <f t="shared" si="10"/>
        <v>1107</v>
      </c>
      <c r="F62" s="189">
        <f t="shared" si="10"/>
        <v>1.95</v>
      </c>
      <c r="G62" s="160"/>
      <c r="H62" s="171">
        <v>49</v>
      </c>
      <c r="I62" s="188">
        <v>98006</v>
      </c>
      <c r="J62" s="189">
        <v>35.46</v>
      </c>
      <c r="K62" s="171">
        <v>99</v>
      </c>
      <c r="L62" s="188">
        <f t="shared" si="11"/>
        <v>2992</v>
      </c>
      <c r="M62" s="189">
        <f t="shared" si="11"/>
        <v>2.15</v>
      </c>
      <c r="O62" s="188">
        <f t="shared" si="6"/>
        <v>97283.5</v>
      </c>
      <c r="P62" s="189">
        <f t="shared" si="7"/>
        <v>33.355000000000004</v>
      </c>
      <c r="T62" s="157">
        <f>-PV(T61/12,T60*12,T59)</f>
        <v>67268.992729267484</v>
      </c>
      <c r="BL62" s="51">
        <f t="shared" si="78"/>
        <v>49</v>
      </c>
      <c r="BM62" s="73">
        <f t="shared" si="75"/>
        <v>6.8046654448471227</v>
      </c>
      <c r="BN62" s="73">
        <f t="shared" si="79"/>
        <v>7.0760806644739693</v>
      </c>
      <c r="BO62" s="73">
        <f t="shared" si="80"/>
        <v>7.353100704102733</v>
      </c>
      <c r="BP62" s="51">
        <v>49</v>
      </c>
      <c r="BQ62" s="73">
        <f t="shared" si="81"/>
        <v>7.6589963867569999</v>
      </c>
      <c r="BR62" s="73">
        <f t="shared" si="82"/>
        <v>8.0886605784365528</v>
      </c>
      <c r="BS62" s="73">
        <f t="shared" si="83"/>
        <v>8.5489290953941293</v>
      </c>
      <c r="BV62">
        <f t="shared" si="43"/>
        <v>106</v>
      </c>
      <c r="BW62">
        <f t="shared" si="38"/>
        <v>1965</v>
      </c>
      <c r="BX62" s="159">
        <f t="shared" si="44"/>
        <v>2.2411806973322537E-2</v>
      </c>
      <c r="BY62" s="157">
        <f t="shared" si="45"/>
        <v>0</v>
      </c>
    </row>
    <row r="63" spans="1:102" ht="15.75" thickBot="1">
      <c r="A63" s="202">
        <v>50</v>
      </c>
      <c r="B63" s="203">
        <v>96277</v>
      </c>
      <c r="C63" s="204">
        <v>30.34</v>
      </c>
      <c r="D63" s="202">
        <v>100</v>
      </c>
      <c r="E63" s="203">
        <f t="shared" si="10"/>
        <v>686</v>
      </c>
      <c r="F63" s="204">
        <f t="shared" si="10"/>
        <v>1.84</v>
      </c>
      <c r="G63" s="895"/>
      <c r="H63" s="202">
        <v>50</v>
      </c>
      <c r="I63" s="203">
        <v>97841</v>
      </c>
      <c r="J63" s="204">
        <v>34.520000000000003</v>
      </c>
      <c r="K63" s="202">
        <v>100</v>
      </c>
      <c r="L63" s="203">
        <f t="shared" si="11"/>
        <v>1965</v>
      </c>
      <c r="M63" s="204">
        <f t="shared" si="11"/>
        <v>2.02</v>
      </c>
      <c r="N63" s="329"/>
      <c r="O63" s="203">
        <f t="shared" si="6"/>
        <v>97059</v>
      </c>
      <c r="P63" s="204">
        <f t="shared" si="7"/>
        <v>32.43</v>
      </c>
      <c r="T63">
        <v>10</v>
      </c>
      <c r="BL63" s="51">
        <f t="shared" si="78"/>
        <v>50</v>
      </c>
      <c r="BM63" s="73">
        <f>1000/-PV(2%,BM$42-$BL63,,-PV(2%,$F$28,12))*$E$28/B63</f>
        <v>6.6909196037076333</v>
      </c>
      <c r="BN63" s="73">
        <f t="shared" si="79"/>
        <v>6.9577978842733694</v>
      </c>
      <c r="BO63" s="73">
        <f t="shared" si="80"/>
        <v>7.2301872954494266</v>
      </c>
      <c r="BP63" s="51">
        <v>50</v>
      </c>
      <c r="BQ63" s="73">
        <f t="shared" si="81"/>
        <v>7.5088199870166665</v>
      </c>
      <c r="BR63" s="73">
        <f t="shared" si="82"/>
        <v>7.9300593906240708</v>
      </c>
      <c r="BS63" s="73">
        <f t="shared" si="83"/>
        <v>8.3813030347001281</v>
      </c>
      <c r="BV63">
        <f t="shared" si="43"/>
        <v>107</v>
      </c>
      <c r="BW63">
        <f t="shared" si="38"/>
        <v>1965</v>
      </c>
      <c r="BX63" s="159">
        <f t="shared" si="44"/>
        <v>2.2411806973322537E-2</v>
      </c>
      <c r="BY63" s="157">
        <f t="shared" si="45"/>
        <v>0</v>
      </c>
    </row>
    <row r="64" spans="1:102">
      <c r="A64" s="889">
        <v>51</v>
      </c>
      <c r="B64" s="890">
        <v>95968</v>
      </c>
      <c r="C64" s="891">
        <v>29.44</v>
      </c>
      <c r="D64" s="205"/>
      <c r="E64" s="206"/>
      <c r="F64" s="160"/>
      <c r="G64" s="160"/>
      <c r="H64" s="889">
        <f>+H63+1</f>
        <v>51</v>
      </c>
      <c r="I64" s="890">
        <v>97661</v>
      </c>
      <c r="J64" s="891">
        <v>33.58</v>
      </c>
      <c r="K64" s="160"/>
      <c r="L64" s="160"/>
      <c r="M64" s="160"/>
      <c r="O64" s="890">
        <f t="shared" si="6"/>
        <v>96814.5</v>
      </c>
      <c r="P64" s="891">
        <f t="shared" si="7"/>
        <v>31.509999999999998</v>
      </c>
      <c r="T64" s="157">
        <f>-PV(T61,T63,,T62)</f>
        <v>41297.326188834282</v>
      </c>
      <c r="U64" t="s">
        <v>1262</v>
      </c>
      <c r="BL64" s="51">
        <f t="shared" si="78"/>
        <v>51</v>
      </c>
      <c r="BM64" s="73">
        <f t="shared" ref="BM64:BM78" si="84">1000/-PV(2%,BM$42-$BL64,,-PV(2%,$F$28,12))*$E$28/B64</f>
        <v>6.5808462572303519</v>
      </c>
      <c r="BN64" s="73">
        <f t="shared" si="79"/>
        <v>6.8433340821959749</v>
      </c>
      <c r="BO64" s="73">
        <f t="shared" si="80"/>
        <v>7.1112423733154566</v>
      </c>
      <c r="BP64" s="51">
        <v>51</v>
      </c>
      <c r="BQ64" s="73">
        <f t="shared" si="81"/>
        <v>7.3615882225653611</v>
      </c>
      <c r="BR64" s="73">
        <f t="shared" si="82"/>
        <v>7.7745680300235973</v>
      </c>
      <c r="BS64" s="73">
        <f t="shared" si="83"/>
        <v>8.2169637595099303</v>
      </c>
      <c r="BV64">
        <f t="shared" si="43"/>
        <v>108</v>
      </c>
      <c r="BW64">
        <f t="shared" si="38"/>
        <v>1965</v>
      </c>
      <c r="BX64" s="159">
        <f t="shared" si="44"/>
        <v>2.2411806973322537E-2</v>
      </c>
      <c r="BY64" s="157">
        <f t="shared" si="45"/>
        <v>0</v>
      </c>
    </row>
    <row r="65" spans="1:77">
      <c r="A65" s="180">
        <v>52</v>
      </c>
      <c r="B65" s="181">
        <v>95624</v>
      </c>
      <c r="C65" s="182">
        <v>28.54</v>
      </c>
      <c r="D65" s="205"/>
      <c r="E65" s="206"/>
      <c r="F65" s="160"/>
      <c r="G65" s="160"/>
      <c r="H65" s="180">
        <f t="shared" ref="H65:H113" si="85">+H64+1</f>
        <v>52</v>
      </c>
      <c r="I65" s="181">
        <v>97458</v>
      </c>
      <c r="J65" s="182">
        <v>32.65</v>
      </c>
      <c r="K65" s="160"/>
      <c r="L65" s="160"/>
      <c r="M65" s="160"/>
      <c r="O65" s="181">
        <f t="shared" si="6"/>
        <v>96541</v>
      </c>
      <c r="P65" s="182">
        <f t="shared" si="7"/>
        <v>30.594999999999999</v>
      </c>
      <c r="T65">
        <f>T62*(1+T61)^-T63</f>
        <v>41297.326188834282</v>
      </c>
      <c r="U65" t="s">
        <v>1263</v>
      </c>
      <c r="BL65" s="51">
        <f t="shared" si="78"/>
        <v>52</v>
      </c>
      <c r="BM65" s="73">
        <f t="shared" si="84"/>
        <v>6.4750199475507246</v>
      </c>
      <c r="BN65" s="73">
        <f t="shared" si="79"/>
        <v>6.7332867169307686</v>
      </c>
      <c r="BO65" s="73">
        <f t="shared" si="80"/>
        <v>6.9968867861782336</v>
      </c>
      <c r="BP65" s="51">
        <v>52</v>
      </c>
      <c r="BQ65" s="73">
        <f t="shared" si="81"/>
        <v>7.2172433554562359</v>
      </c>
      <c r="BR65" s="73">
        <f t="shared" si="82"/>
        <v>7.6221255196309805</v>
      </c>
      <c r="BS65" s="73">
        <f t="shared" si="83"/>
        <v>8.0558468230489488</v>
      </c>
      <c r="BV65">
        <f t="shared" si="43"/>
        <v>109</v>
      </c>
      <c r="BW65">
        <f t="shared" si="38"/>
        <v>1965</v>
      </c>
      <c r="BX65" s="159">
        <f t="shared" si="44"/>
        <v>2.2411806973322537E-2</v>
      </c>
      <c r="BY65" s="157">
        <f t="shared" si="45"/>
        <v>0</v>
      </c>
    </row>
    <row r="66" spans="1:77">
      <c r="A66" s="171">
        <v>53</v>
      </c>
      <c r="B66" s="188">
        <v>95242</v>
      </c>
      <c r="C66" s="189">
        <v>27.66</v>
      </c>
      <c r="D66" s="205"/>
      <c r="E66" s="206"/>
      <c r="F66" s="160"/>
      <c r="G66" s="160"/>
      <c r="H66" s="171">
        <f t="shared" si="85"/>
        <v>53</v>
      </c>
      <c r="I66" s="188">
        <v>97243</v>
      </c>
      <c r="J66" s="189">
        <v>31.72</v>
      </c>
      <c r="K66" s="160"/>
      <c r="L66" s="160"/>
      <c r="M66" s="160"/>
      <c r="O66" s="188">
        <f t="shared" si="6"/>
        <v>96242.5</v>
      </c>
      <c r="P66" s="189">
        <f t="shared" si="7"/>
        <v>29.689999999999998</v>
      </c>
      <c r="BL66" s="51">
        <f t="shared" si="78"/>
        <v>53</v>
      </c>
      <c r="BM66" s="73">
        <f t="shared" si="84"/>
        <v>6.3735197919416677</v>
      </c>
      <c r="BN66" s="73">
        <f t="shared" si="79"/>
        <v>6.6277380614725869</v>
      </c>
      <c r="BO66" s="73">
        <f t="shared" si="80"/>
        <v>6.8872060279213159</v>
      </c>
      <c r="BP66" s="51">
        <v>53</v>
      </c>
      <c r="BQ66" s="73">
        <f t="shared" si="81"/>
        <v>7.0757287798590545</v>
      </c>
      <c r="BR66" s="73">
        <f t="shared" si="82"/>
        <v>7.4726720780695866</v>
      </c>
      <c r="BS66" s="73">
        <f t="shared" si="83"/>
        <v>7.897889042204854</v>
      </c>
      <c r="BV66">
        <f t="shared" si="43"/>
        <v>110</v>
      </c>
      <c r="BW66">
        <f t="shared" si="38"/>
        <v>1965</v>
      </c>
      <c r="BX66" s="159">
        <f t="shared" si="44"/>
        <v>2.2411806973322537E-2</v>
      </c>
      <c r="BY66" s="157">
        <f t="shared" si="45"/>
        <v>0</v>
      </c>
    </row>
    <row r="67" spans="1:77">
      <c r="A67" s="180">
        <v>54</v>
      </c>
      <c r="B67" s="181">
        <v>94812</v>
      </c>
      <c r="C67" s="182">
        <v>26.78</v>
      </c>
      <c r="D67" s="205"/>
      <c r="E67" s="206"/>
      <c r="F67" s="160"/>
      <c r="G67" s="160"/>
      <c r="H67" s="180">
        <f t="shared" si="85"/>
        <v>54</v>
      </c>
      <c r="I67" s="181">
        <v>97002</v>
      </c>
      <c r="J67" s="182">
        <v>30.8</v>
      </c>
      <c r="K67" s="160"/>
      <c r="L67" s="160"/>
      <c r="M67" s="160"/>
      <c r="O67" s="181">
        <f t="shared" si="6"/>
        <v>95907</v>
      </c>
      <c r="P67" s="182">
        <f t="shared" si="7"/>
        <v>28.79</v>
      </c>
      <c r="T67" s="157"/>
      <c r="BL67" s="51">
        <f t="shared" si="78"/>
        <v>54</v>
      </c>
      <c r="BM67" s="73">
        <f t="shared" si="84"/>
        <v>6.2768878021573782</v>
      </c>
      <c r="BN67" s="73">
        <f t="shared" si="79"/>
        <v>6.5272517466016566</v>
      </c>
      <c r="BO67" s="73">
        <f t="shared" si="80"/>
        <v>6.7827857947914465</v>
      </c>
      <c r="BP67" s="51">
        <v>54</v>
      </c>
      <c r="BQ67" s="73">
        <f t="shared" si="81"/>
        <v>6.9369889998618177</v>
      </c>
      <c r="BR67" s="73">
        <f t="shared" si="82"/>
        <v>7.3261490961466542</v>
      </c>
      <c r="BS67" s="73">
        <f t="shared" si="83"/>
        <v>7.743028472749856</v>
      </c>
      <c r="BV67">
        <f t="shared" si="43"/>
        <v>111</v>
      </c>
      <c r="BW67">
        <f t="shared" si="38"/>
        <v>1965</v>
      </c>
      <c r="BX67" s="159">
        <f t="shared" si="44"/>
        <v>2.2411806973322537E-2</v>
      </c>
      <c r="BY67" s="157">
        <f t="shared" si="45"/>
        <v>0</v>
      </c>
    </row>
    <row r="68" spans="1:77">
      <c r="A68" s="171">
        <v>55</v>
      </c>
      <c r="B68" s="188">
        <v>94338</v>
      </c>
      <c r="C68" s="189">
        <v>25.91</v>
      </c>
      <c r="D68" s="205"/>
      <c r="E68" s="206"/>
      <c r="F68" s="160"/>
      <c r="G68" s="160"/>
      <c r="H68" s="171">
        <f t="shared" si="85"/>
        <v>55</v>
      </c>
      <c r="I68" s="188">
        <v>96735</v>
      </c>
      <c r="J68" s="189">
        <v>29.88</v>
      </c>
      <c r="K68" s="160"/>
      <c r="L68" s="160"/>
      <c r="M68" s="160"/>
      <c r="O68" s="188">
        <f t="shared" si="6"/>
        <v>95536.5</v>
      </c>
      <c r="P68" s="189">
        <f t="shared" si="7"/>
        <v>27.895</v>
      </c>
      <c r="BL68" s="51">
        <f t="shared" si="78"/>
        <v>55</v>
      </c>
      <c r="BM68" s="73">
        <f t="shared" si="84"/>
        <v>6.1847313134181423</v>
      </c>
      <c r="BN68" s="73">
        <f t="shared" si="79"/>
        <v>6.4314194454607749</v>
      </c>
      <c r="BO68" s="73">
        <f t="shared" si="80"/>
        <v>6.6832017744265251</v>
      </c>
      <c r="BP68" s="51">
        <v>55</v>
      </c>
      <c r="BQ68" s="73">
        <f t="shared" si="81"/>
        <v>6.8009696077076658</v>
      </c>
      <c r="BR68" s="73">
        <f t="shared" si="82"/>
        <v>7.1824991138692669</v>
      </c>
      <c r="BS68" s="73">
        <f t="shared" si="83"/>
        <v>7.5912043850488784</v>
      </c>
      <c r="BV68">
        <f t="shared" si="43"/>
        <v>112</v>
      </c>
      <c r="BW68">
        <f t="shared" si="38"/>
        <v>1965</v>
      </c>
      <c r="BX68" s="159">
        <f t="shared" si="44"/>
        <v>2.2411806973322537E-2</v>
      </c>
      <c r="BY68" s="157">
        <f t="shared" si="45"/>
        <v>0</v>
      </c>
    </row>
    <row r="69" spans="1:77">
      <c r="A69" s="180">
        <v>56</v>
      </c>
      <c r="B69" s="181">
        <v>93801</v>
      </c>
      <c r="C69" s="182">
        <v>25.06</v>
      </c>
      <c r="D69" s="205"/>
      <c r="E69" s="206"/>
      <c r="F69" s="160"/>
      <c r="G69" s="160"/>
      <c r="H69" s="180">
        <f t="shared" si="85"/>
        <v>56</v>
      </c>
      <c r="I69" s="181">
        <v>96434</v>
      </c>
      <c r="J69" s="182">
        <v>28.97</v>
      </c>
      <c r="K69" s="160"/>
      <c r="L69" s="160"/>
      <c r="M69" s="160"/>
      <c r="O69" s="181">
        <f t="shared" si="6"/>
        <v>95117.5</v>
      </c>
      <c r="P69" s="182">
        <f t="shared" si="7"/>
        <v>27.015000000000001</v>
      </c>
      <c r="BL69" s="51">
        <f t="shared" si="78"/>
        <v>56</v>
      </c>
      <c r="BM69" s="73">
        <f t="shared" si="84"/>
        <v>6.098174699057731</v>
      </c>
      <c r="BN69" s="73">
        <f t="shared" si="79"/>
        <v>6.3414103788545955</v>
      </c>
      <c r="BO69" s="73">
        <f t="shared" si="80"/>
        <v>6.5896689612181625</v>
      </c>
      <c r="BP69" s="51">
        <v>56</v>
      </c>
      <c r="BQ69" s="73">
        <f t="shared" si="81"/>
        <v>6.6676172624584948</v>
      </c>
      <c r="BR69" s="73">
        <f t="shared" si="82"/>
        <v>7.0416657979110475</v>
      </c>
      <c r="BS69" s="73">
        <f t="shared" si="83"/>
        <v>7.4423572402439966</v>
      </c>
      <c r="BV69">
        <f t="shared" si="43"/>
        <v>113</v>
      </c>
      <c r="BW69">
        <f t="shared" si="38"/>
        <v>1965</v>
      </c>
      <c r="BX69" s="159">
        <f t="shared" si="44"/>
        <v>2.2411806973322537E-2</v>
      </c>
      <c r="BY69" s="157">
        <f t="shared" si="45"/>
        <v>0</v>
      </c>
    </row>
    <row r="70" spans="1:77">
      <c r="A70" s="171">
        <v>57</v>
      </c>
      <c r="B70" s="188">
        <v>93207</v>
      </c>
      <c r="C70" s="189">
        <v>24.21</v>
      </c>
      <c r="D70" s="205"/>
      <c r="E70" s="206"/>
      <c r="F70" s="160"/>
      <c r="G70" s="160"/>
      <c r="H70" s="171">
        <f t="shared" si="85"/>
        <v>57</v>
      </c>
      <c r="I70" s="188">
        <v>96108</v>
      </c>
      <c r="J70" s="189">
        <v>28.07</v>
      </c>
      <c r="K70" s="160"/>
      <c r="L70" s="160"/>
      <c r="M70" s="160"/>
      <c r="O70" s="188">
        <f t="shared" si="6"/>
        <v>94657.5</v>
      </c>
      <c r="P70" s="189">
        <f t="shared" si="7"/>
        <v>26.14</v>
      </c>
      <c r="BL70" s="51">
        <f t="shared" si="78"/>
        <v>57</v>
      </c>
      <c r="BM70" s="73">
        <f t="shared" si="84"/>
        <v>6.0167037541183825</v>
      </c>
      <c r="BN70" s="73">
        <f t="shared" si="79"/>
        <v>6.2566898319189175</v>
      </c>
      <c r="BO70" s="73">
        <f t="shared" si="80"/>
        <v>6.5016317068589382</v>
      </c>
      <c r="BP70" s="51">
        <v>57</v>
      </c>
      <c r="BQ70" s="73">
        <f t="shared" si="81"/>
        <v>6.5368796690769555</v>
      </c>
      <c r="BR70" s="73">
        <f t="shared" si="82"/>
        <v>6.9035939195206346</v>
      </c>
      <c r="BS70" s="73">
        <f t="shared" si="83"/>
        <v>7.2964286669058813</v>
      </c>
      <c r="BV70">
        <f t="shared" si="43"/>
        <v>114</v>
      </c>
      <c r="BW70">
        <f t="shared" si="38"/>
        <v>1965</v>
      </c>
      <c r="BX70" s="159">
        <f t="shared" si="44"/>
        <v>2.2411806973322537E-2</v>
      </c>
      <c r="BY70" s="157">
        <f t="shared" si="45"/>
        <v>0</v>
      </c>
    </row>
    <row r="71" spans="1:77">
      <c r="A71" s="180">
        <v>58</v>
      </c>
      <c r="B71" s="181">
        <v>92548</v>
      </c>
      <c r="C71" s="182">
        <v>23.38</v>
      </c>
      <c r="D71" s="205"/>
      <c r="E71" s="206"/>
      <c r="F71" s="160"/>
      <c r="G71" s="160"/>
      <c r="H71" s="180">
        <f t="shared" si="85"/>
        <v>58</v>
      </c>
      <c r="I71" s="181">
        <v>95747</v>
      </c>
      <c r="J71" s="182">
        <v>27.17</v>
      </c>
      <c r="K71" s="160"/>
      <c r="L71" s="160"/>
      <c r="M71" s="160"/>
      <c r="O71" s="181">
        <f t="shared" si="6"/>
        <v>94147.5</v>
      </c>
      <c r="P71" s="182">
        <f t="shared" si="7"/>
        <v>25.274999999999999</v>
      </c>
      <c r="BL71" s="51">
        <f t="shared" si="78"/>
        <v>58</v>
      </c>
      <c r="BM71" s="73">
        <f t="shared" si="84"/>
        <v>5.9407318344408884</v>
      </c>
      <c r="BN71" s="73">
        <f t="shared" si="79"/>
        <v>6.1776876478688605</v>
      </c>
      <c r="BO71" s="73">
        <f t="shared" si="80"/>
        <v>6.4195366824083759</v>
      </c>
      <c r="BP71" s="51">
        <v>58</v>
      </c>
      <c r="BQ71" s="73">
        <f t="shared" si="81"/>
        <v>6.4087055579185837</v>
      </c>
      <c r="BR71" s="73">
        <f t="shared" si="82"/>
        <v>6.7682293328633678</v>
      </c>
      <c r="BS71" s="73">
        <f t="shared" si="83"/>
        <v>7.1533614381430199</v>
      </c>
      <c r="BV71">
        <f t="shared" si="43"/>
        <v>115</v>
      </c>
      <c r="BW71">
        <f t="shared" si="38"/>
        <v>1965</v>
      </c>
      <c r="BX71" s="159">
        <f t="shared" si="44"/>
        <v>2.2411806973322537E-2</v>
      </c>
      <c r="BY71" s="157">
        <f t="shared" si="45"/>
        <v>0</v>
      </c>
    </row>
    <row r="72" spans="1:77">
      <c r="A72" s="171">
        <v>59</v>
      </c>
      <c r="B72" s="188">
        <v>91833</v>
      </c>
      <c r="C72" s="189">
        <v>22.56</v>
      </c>
      <c r="D72" s="205"/>
      <c r="E72" s="206"/>
      <c r="F72" s="160"/>
      <c r="G72" s="160"/>
      <c r="H72" s="171">
        <f t="shared" si="85"/>
        <v>59</v>
      </c>
      <c r="I72" s="188">
        <v>95347</v>
      </c>
      <c r="J72" s="189">
        <v>26.29</v>
      </c>
      <c r="K72" s="160"/>
      <c r="L72" s="160"/>
      <c r="M72" s="160"/>
      <c r="O72" s="188">
        <f t="shared" si="6"/>
        <v>93590</v>
      </c>
      <c r="P72" s="189">
        <f t="shared" si="7"/>
        <v>24.424999999999997</v>
      </c>
      <c r="BL72" s="51">
        <f t="shared" si="78"/>
        <v>59</v>
      </c>
      <c r="BM72" s="73">
        <f t="shared" si="84"/>
        <v>5.8695937383976355</v>
      </c>
      <c r="BN72" s="73">
        <f t="shared" si="79"/>
        <v>6.1037120924210386</v>
      </c>
      <c r="BO72" s="73">
        <f t="shared" si="80"/>
        <v>6.3426650730186314</v>
      </c>
      <c r="BP72" s="51">
        <v>59</v>
      </c>
      <c r="BQ72" s="73">
        <f t="shared" si="81"/>
        <v>6.2830446646260638</v>
      </c>
      <c r="BR72" s="73">
        <f t="shared" si="82"/>
        <v>6.6355189537876154</v>
      </c>
      <c r="BS72" s="73">
        <f t="shared" si="83"/>
        <v>7.0130994491598235</v>
      </c>
      <c r="BV72">
        <f t="shared" si="43"/>
        <v>116</v>
      </c>
      <c r="BW72">
        <f t="shared" si="38"/>
        <v>1965</v>
      </c>
      <c r="BX72" s="159">
        <f t="shared" si="44"/>
        <v>2.2411806973322537E-2</v>
      </c>
      <c r="BY72" s="157">
        <f t="shared" si="45"/>
        <v>0</v>
      </c>
    </row>
    <row r="73" spans="1:77">
      <c r="A73" s="180">
        <v>60</v>
      </c>
      <c r="B73" s="181">
        <v>91035</v>
      </c>
      <c r="C73" s="182">
        <v>21.75</v>
      </c>
      <c r="D73" s="205"/>
      <c r="E73" s="206"/>
      <c r="F73" s="160"/>
      <c r="G73" s="160"/>
      <c r="H73" s="180">
        <f t="shared" si="85"/>
        <v>60</v>
      </c>
      <c r="I73" s="181">
        <v>94905</v>
      </c>
      <c r="J73" s="182">
        <v>25.41</v>
      </c>
      <c r="K73" s="160"/>
      <c r="M73" s="160"/>
      <c r="O73" s="181">
        <f t="shared" si="6"/>
        <v>92970</v>
      </c>
      <c r="P73" s="182">
        <f t="shared" si="7"/>
        <v>23.58</v>
      </c>
      <c r="Q73" s="416"/>
      <c r="R73" s="416"/>
      <c r="BL73" s="51">
        <f t="shared" si="78"/>
        <v>60</v>
      </c>
      <c r="BM73" s="73">
        <f t="shared" si="84"/>
        <v>5.8049468344783364</v>
      </c>
      <c r="BN73" s="73">
        <f t="shared" si="79"/>
        <v>6.0364866409202813</v>
      </c>
      <c r="BO73" s="73">
        <f t="shared" si="80"/>
        <v>6.2728078260195108</v>
      </c>
      <c r="BP73" s="51">
        <v>60</v>
      </c>
      <c r="BQ73" s="73">
        <f t="shared" si="81"/>
        <v>6.1598477104177096</v>
      </c>
      <c r="BR73" s="73">
        <f t="shared" si="82"/>
        <v>6.5054107390074671</v>
      </c>
      <c r="BS73" s="73">
        <f t="shared" si="83"/>
        <v>6.8755876952547288</v>
      </c>
    </row>
    <row r="74" spans="1:77">
      <c r="A74" s="171">
        <v>61</v>
      </c>
      <c r="B74" s="188">
        <v>90165</v>
      </c>
      <c r="C74" s="189">
        <v>20.96</v>
      </c>
      <c r="D74" s="205"/>
      <c r="E74" s="206"/>
      <c r="F74" s="160"/>
      <c r="G74" s="160"/>
      <c r="H74" s="171">
        <f t="shared" si="85"/>
        <v>61</v>
      </c>
      <c r="I74" s="188">
        <v>94418</v>
      </c>
      <c r="J74" s="189">
        <v>24.53</v>
      </c>
      <c r="K74" s="160"/>
      <c r="L74" s="160"/>
      <c r="M74" s="160"/>
      <c r="O74" s="188">
        <f t="shared" si="6"/>
        <v>92291.5</v>
      </c>
      <c r="P74" s="189">
        <f t="shared" si="7"/>
        <v>22.745000000000001</v>
      </c>
      <c r="Q74" s="160"/>
      <c r="R74" s="160"/>
      <c r="BL74" s="51">
        <f t="shared" si="78"/>
        <v>61</v>
      </c>
      <c r="BM74" s="73">
        <f t="shared" si="84"/>
        <v>5.7460378747539673</v>
      </c>
      <c r="BN74" s="73">
        <f t="shared" si="79"/>
        <v>5.975228000910942</v>
      </c>
      <c r="BO74" s="73">
        <f t="shared" si="80"/>
        <v>6.2091509839986863</v>
      </c>
      <c r="BP74" s="51">
        <v>61</v>
      </c>
      <c r="BQ74" s="73">
        <f t="shared" si="81"/>
        <v>6.03906638276246</v>
      </c>
      <c r="BR74" s="73">
        <f t="shared" si="82"/>
        <v>6.3778536656935945</v>
      </c>
      <c r="BS74" s="73">
        <f t="shared" si="83"/>
        <v>6.7407722502497363</v>
      </c>
    </row>
    <row r="75" spans="1:77">
      <c r="A75" s="180">
        <v>62</v>
      </c>
      <c r="B75" s="181">
        <v>89210</v>
      </c>
      <c r="C75" s="182">
        <v>20.18</v>
      </c>
      <c r="D75" s="205"/>
      <c r="E75" s="206"/>
      <c r="F75" s="160"/>
      <c r="G75" s="160"/>
      <c r="H75" s="180">
        <f t="shared" si="85"/>
        <v>62</v>
      </c>
      <c r="I75" s="181">
        <v>93891</v>
      </c>
      <c r="J75" s="182">
        <v>23.67</v>
      </c>
      <c r="K75" s="160"/>
      <c r="L75" s="160"/>
      <c r="M75" s="160"/>
      <c r="O75" s="181">
        <f t="shared" si="6"/>
        <v>91550.5</v>
      </c>
      <c r="P75" s="182">
        <f t="shared" si="7"/>
        <v>21.925000000000001</v>
      </c>
      <c r="Q75" s="160"/>
      <c r="R75" s="160"/>
      <c r="BL75" s="51">
        <f t="shared" si="78"/>
        <v>62</v>
      </c>
      <c r="BM75" s="73">
        <f t="shared" si="84"/>
        <v>5.6936761351513772</v>
      </c>
      <c r="BN75" s="73">
        <f t="shared" si="79"/>
        <v>5.920777727614893</v>
      </c>
      <c r="BO75" s="73">
        <f t="shared" si="80"/>
        <v>6.1525690480518698</v>
      </c>
      <c r="BP75" s="51">
        <v>62</v>
      </c>
      <c r="BQ75" s="73">
        <f t="shared" si="81"/>
        <v>5.9206533164337847</v>
      </c>
      <c r="BR75" s="73">
        <f t="shared" si="82"/>
        <v>6.252797711464309</v>
      </c>
      <c r="BS75" s="73">
        <f t="shared" si="83"/>
        <v>6.6086002453428776</v>
      </c>
    </row>
    <row r="76" spans="1:77">
      <c r="A76" s="171">
        <v>63</v>
      </c>
      <c r="B76" s="188">
        <v>88162</v>
      </c>
      <c r="C76" s="189">
        <v>19.41</v>
      </c>
      <c r="D76" s="205"/>
      <c r="E76" s="206"/>
      <c r="F76" s="160"/>
      <c r="G76" s="160"/>
      <c r="H76" s="171">
        <f t="shared" si="85"/>
        <v>63</v>
      </c>
      <c r="I76" s="188">
        <v>93316</v>
      </c>
      <c r="J76" s="189">
        <v>22.81</v>
      </c>
      <c r="K76" s="160"/>
      <c r="L76" s="160"/>
      <c r="M76" s="160"/>
      <c r="O76" s="188">
        <f t="shared" si="6"/>
        <v>90739</v>
      </c>
      <c r="P76" s="189">
        <f t="shared" si="7"/>
        <v>21.11</v>
      </c>
      <c r="Q76" s="160"/>
      <c r="R76" s="160"/>
      <c r="BL76" s="51">
        <f t="shared" si="78"/>
        <v>63</v>
      </c>
      <c r="BM76" s="73">
        <f t="shared" si="84"/>
        <v>5.6483902407917332</v>
      </c>
      <c r="BN76" s="73">
        <f t="shared" si="79"/>
        <v>5.8736855312315477</v>
      </c>
      <c r="BO76" s="73">
        <f t="shared" si="80"/>
        <v>6.1036332488710325</v>
      </c>
      <c r="BP76" s="51">
        <v>63</v>
      </c>
      <c r="BQ76" s="73">
        <f t="shared" si="81"/>
        <v>5.8045620749350828</v>
      </c>
      <c r="BR76" s="73">
        <f t="shared" si="82"/>
        <v>6.1301938347689289</v>
      </c>
      <c r="BS76" s="73">
        <f t="shared" si="83"/>
        <v>6.47901984837537</v>
      </c>
    </row>
    <row r="77" spans="1:77">
      <c r="A77" s="180">
        <v>64</v>
      </c>
      <c r="B77" s="181">
        <v>87020</v>
      </c>
      <c r="C77" s="182">
        <v>18.66</v>
      </c>
      <c r="D77" s="205"/>
      <c r="E77" s="206"/>
      <c r="F77" s="207"/>
      <c r="G77" s="160"/>
      <c r="H77" s="180">
        <f t="shared" si="85"/>
        <v>64</v>
      </c>
      <c r="I77" s="181">
        <v>92685</v>
      </c>
      <c r="J77" s="182">
        <v>21.96</v>
      </c>
      <c r="K77" s="160"/>
      <c r="L77" s="160"/>
      <c r="M77" s="160"/>
      <c r="O77" s="181">
        <f t="shared" si="6"/>
        <v>89852.5</v>
      </c>
      <c r="P77" s="182">
        <f t="shared" si="7"/>
        <v>20.310000000000002</v>
      </c>
      <c r="Q77" s="160"/>
      <c r="R77" s="160"/>
      <c r="BL77" s="51">
        <f t="shared" si="78"/>
        <v>64</v>
      </c>
      <c r="BM77" s="73">
        <f t="shared" si="84"/>
        <v>5.6103102330395185</v>
      </c>
      <c r="BN77" s="73">
        <f t="shared" si="79"/>
        <v>5.8340866400380786</v>
      </c>
      <c r="BO77" s="73">
        <f t="shared" si="80"/>
        <v>6.062484108757598</v>
      </c>
      <c r="BP77" s="51">
        <v>64</v>
      </c>
      <c r="BQ77" s="73">
        <f t="shared" si="81"/>
        <v>5.6907471322892977</v>
      </c>
      <c r="BR77" s="73">
        <f t="shared" si="82"/>
        <v>6.0099939556558137</v>
      </c>
      <c r="BS77" s="73">
        <f t="shared" si="83"/>
        <v>6.3519802435052641</v>
      </c>
    </row>
    <row r="78" spans="1:77">
      <c r="A78" s="171">
        <v>65</v>
      </c>
      <c r="B78" s="188">
        <v>85790</v>
      </c>
      <c r="C78" s="189">
        <v>17.920000000000002</v>
      </c>
      <c r="D78" s="205"/>
      <c r="E78" s="206"/>
      <c r="F78" s="160"/>
      <c r="G78" s="160"/>
      <c r="H78" s="171">
        <f t="shared" si="85"/>
        <v>65</v>
      </c>
      <c r="I78" s="188">
        <v>91999</v>
      </c>
      <c r="J78" s="189">
        <v>21.12</v>
      </c>
      <c r="K78" s="160"/>
      <c r="L78" s="160"/>
      <c r="M78" s="160"/>
      <c r="O78" s="188">
        <f t="shared" ref="O78:O113" si="86">+(I78+B78)/2</f>
        <v>88894.5</v>
      </c>
      <c r="P78" s="189">
        <f t="shared" ref="P78:P113" si="87">+(J78+C78)/2</f>
        <v>19.520000000000003</v>
      </c>
      <c r="Q78" s="160"/>
      <c r="R78" s="160"/>
      <c r="BL78" s="51">
        <f t="shared" si="78"/>
        <v>65</v>
      </c>
      <c r="BM78" s="73">
        <f t="shared" si="84"/>
        <v>5.5791638551855849</v>
      </c>
      <c r="BN78" s="73">
        <f t="shared" si="79"/>
        <v>5.8016979379208413</v>
      </c>
      <c r="BO78" s="73">
        <f t="shared" si="80"/>
        <v>6.0288274279429057</v>
      </c>
      <c r="BP78" s="51">
        <v>65</v>
      </c>
      <c r="BQ78" s="73">
        <f t="shared" si="81"/>
        <v>5.5791638551855849</v>
      </c>
      <c r="BR78" s="73">
        <f t="shared" si="82"/>
        <v>5.8921509369174645</v>
      </c>
      <c r="BS78" s="73">
        <f t="shared" si="83"/>
        <v>6.2274316112796715</v>
      </c>
    </row>
    <row r="79" spans="1:77">
      <c r="A79" s="180">
        <v>66</v>
      </c>
      <c r="B79" s="181">
        <v>84473</v>
      </c>
      <c r="C79" s="182">
        <v>17.190000000000001</v>
      </c>
      <c r="D79" s="205"/>
      <c r="E79" s="206"/>
      <c r="F79" s="207"/>
      <c r="G79" s="160"/>
      <c r="H79" s="180">
        <f t="shared" si="85"/>
        <v>66</v>
      </c>
      <c r="I79" s="181">
        <v>91261</v>
      </c>
      <c r="J79" s="182">
        <v>20.29</v>
      </c>
      <c r="K79" s="160"/>
      <c r="L79" s="160"/>
      <c r="M79" s="160"/>
      <c r="O79" s="181">
        <f t="shared" si="86"/>
        <v>87867</v>
      </c>
      <c r="P79" s="182">
        <f t="shared" si="87"/>
        <v>18.740000000000002</v>
      </c>
      <c r="Q79" s="160"/>
      <c r="R79" s="160"/>
      <c r="BL79" s="51">
        <f t="shared" si="78"/>
        <v>66</v>
      </c>
      <c r="BM79" s="73">
        <f>1000/-PV(2%,BM$42-$BL79,,-PV(2%,$F$28,12))</f>
        <v>5.4697684854760631</v>
      </c>
      <c r="BN79" s="73">
        <f t="shared" si="79"/>
        <v>5.7766185656053572</v>
      </c>
      <c r="BO79" s="73">
        <f t="shared" si="80"/>
        <v>6.0027662283925265</v>
      </c>
      <c r="BP79" s="51">
        <v>66</v>
      </c>
      <c r="BQ79" s="73">
        <f t="shared" si="81"/>
        <v>5.4697684854760631</v>
      </c>
      <c r="BR79" s="73">
        <f t="shared" si="82"/>
        <v>5.7766185656053572</v>
      </c>
      <c r="BS79" s="73">
        <f t="shared" si="83"/>
        <v>6.1053251090977181</v>
      </c>
    </row>
    <row r="80" spans="1:77">
      <c r="A80" s="171">
        <v>67</v>
      </c>
      <c r="B80" s="188">
        <v>83054</v>
      </c>
      <c r="C80" s="189">
        <v>16.48</v>
      </c>
      <c r="D80" s="205"/>
      <c r="E80" s="206"/>
      <c r="F80" s="207"/>
      <c r="G80" s="160"/>
      <c r="H80" s="171">
        <f t="shared" si="85"/>
        <v>67</v>
      </c>
      <c r="I80" s="188">
        <v>90462</v>
      </c>
      <c r="J80" s="189">
        <v>19.47</v>
      </c>
      <c r="K80" s="160"/>
      <c r="L80" s="160"/>
      <c r="M80" s="160"/>
      <c r="O80" s="188">
        <f t="shared" si="86"/>
        <v>86758</v>
      </c>
      <c r="P80" s="189">
        <f t="shared" si="87"/>
        <v>17.975000000000001</v>
      </c>
      <c r="Q80" s="160"/>
      <c r="R80" s="160"/>
      <c r="BL80" s="51">
        <f t="shared" si="78"/>
        <v>67</v>
      </c>
      <c r="BM80" s="73">
        <f>1000/-PV(2%,BM$42-$BL80,,-PV(2%,$F$28,12))</f>
        <v>5.3625181230157493</v>
      </c>
      <c r="BN80" s="73">
        <f>1000/-PV(2%,BN$42-$BL80,,-PV(2%,$F$29,12))</f>
        <v>5.6633515349072123</v>
      </c>
      <c r="BO80" s="73">
        <f t="shared" si="80"/>
        <v>5.9856128520565859</v>
      </c>
      <c r="BP80" s="51">
        <v>67</v>
      </c>
      <c r="BQ80" s="73">
        <f t="shared" si="81"/>
        <v>5.3625181230157493</v>
      </c>
      <c r="BR80" s="73">
        <f t="shared" si="82"/>
        <v>5.6633515349072123</v>
      </c>
      <c r="BS80" s="73">
        <f t="shared" si="83"/>
        <v>5.9856128520565859</v>
      </c>
    </row>
    <row r="81" spans="1:71">
      <c r="A81" s="180">
        <v>68</v>
      </c>
      <c r="B81" s="181">
        <v>81552</v>
      </c>
      <c r="C81" s="182">
        <v>15.77</v>
      </c>
      <c r="D81" s="205"/>
      <c r="E81" s="206"/>
      <c r="F81" s="160"/>
      <c r="G81" s="160"/>
      <c r="H81" s="180">
        <f t="shared" si="85"/>
        <v>68</v>
      </c>
      <c r="I81" s="181">
        <v>89616</v>
      </c>
      <c r="J81" s="182">
        <v>18.64</v>
      </c>
      <c r="K81" s="160"/>
      <c r="L81" s="160"/>
      <c r="M81" s="160"/>
      <c r="O81" s="181">
        <f t="shared" si="86"/>
        <v>85584</v>
      </c>
      <c r="P81" s="182">
        <f t="shared" si="87"/>
        <v>17.204999999999998</v>
      </c>
      <c r="Q81" s="160"/>
      <c r="R81" s="160"/>
      <c r="BL81" s="51">
        <f t="shared" si="78"/>
        <v>68</v>
      </c>
      <c r="BM81" s="73">
        <f>1000/-PV(2%,BM$42-$BL81,,-PV(2%,$F$28,12))</f>
        <v>5.2573707088389705</v>
      </c>
      <c r="BN81" s="73">
        <f>1000/-PV(2%,BN$42-$BL81,,-PV(2%,$F$29,12))</f>
        <v>5.552305426379621</v>
      </c>
      <c r="BO81" s="73">
        <f>1000/-PV(2%,BO$42-$BL81,,-PV(2%,$F$30,12))</f>
        <v>5.8682478941731233</v>
      </c>
      <c r="BP81" s="51">
        <v>68</v>
      </c>
      <c r="BQ81" s="73">
        <f t="shared" si="81"/>
        <v>5.2573707088389705</v>
      </c>
      <c r="BR81" s="73">
        <f t="shared" si="82"/>
        <v>5.552305426379621</v>
      </c>
      <c r="BS81" s="73">
        <f t="shared" si="83"/>
        <v>5.8682478941731233</v>
      </c>
    </row>
    <row r="82" spans="1:71">
      <c r="A82" s="171">
        <v>69</v>
      </c>
      <c r="B82" s="188">
        <v>79951</v>
      </c>
      <c r="C82" s="189">
        <v>15.08</v>
      </c>
      <c r="D82" s="205"/>
      <c r="E82" s="206"/>
      <c r="F82" s="160"/>
      <c r="G82" s="160"/>
      <c r="H82" s="171">
        <f t="shared" si="85"/>
        <v>69</v>
      </c>
      <c r="I82" s="188">
        <v>88701</v>
      </c>
      <c r="J82" s="189">
        <v>17.829999999999998</v>
      </c>
      <c r="K82" s="160"/>
      <c r="L82" s="160"/>
      <c r="M82" s="160"/>
      <c r="O82" s="188">
        <f t="shared" si="86"/>
        <v>84326</v>
      </c>
      <c r="P82" s="189">
        <f t="shared" si="87"/>
        <v>16.454999999999998</v>
      </c>
      <c r="Q82" s="160"/>
      <c r="R82" s="160"/>
      <c r="BL82" s="51">
        <f t="shared" si="78"/>
        <v>69</v>
      </c>
      <c r="BM82" s="73">
        <f>1000/-PV(2%,BM$42-$BL82,,-PV(2%,$F$28,12))</f>
        <v>5.1542850086656564</v>
      </c>
      <c r="BN82" s="73">
        <f>1000/-PV(2%,BN$42-$BL82,,-PV(2%,$F$29,12))</f>
        <v>5.4434366925290405</v>
      </c>
      <c r="BO82" s="73">
        <f>1000/-PV(2%,BO$42-$BL82,,-PV(2%,$F$30,12))</f>
        <v>5.7531842099736501</v>
      </c>
      <c r="BP82" s="51">
        <v>69</v>
      </c>
      <c r="BQ82" s="73">
        <f t="shared" si="81"/>
        <v>5.1542850086656564</v>
      </c>
      <c r="BR82" s="73">
        <f t="shared" si="82"/>
        <v>5.4434366925290405</v>
      </c>
      <c r="BS82" s="73">
        <f t="shared" si="83"/>
        <v>5.7531842099736501</v>
      </c>
    </row>
    <row r="83" spans="1:71">
      <c r="A83" s="180">
        <v>70</v>
      </c>
      <c r="B83" s="181">
        <v>78265</v>
      </c>
      <c r="C83" s="182">
        <v>14.39</v>
      </c>
      <c r="D83" s="205"/>
      <c r="E83" s="206"/>
      <c r="F83" s="160"/>
      <c r="G83" s="160"/>
      <c r="H83" s="180">
        <f t="shared" si="85"/>
        <v>70</v>
      </c>
      <c r="I83" s="181">
        <v>87677</v>
      </c>
      <c r="J83" s="182">
        <v>17.03</v>
      </c>
      <c r="K83" s="160"/>
      <c r="L83" s="160"/>
      <c r="M83" s="160"/>
      <c r="O83" s="181">
        <f t="shared" si="86"/>
        <v>82971</v>
      </c>
      <c r="P83" s="182">
        <f t="shared" si="87"/>
        <v>15.71</v>
      </c>
      <c r="Q83" s="160"/>
      <c r="R83" s="160"/>
      <c r="BL83" s="51">
        <f t="shared" si="78"/>
        <v>70</v>
      </c>
      <c r="BM83" s="73">
        <f>1000/-PV(2%,BM$42-$BL83,,-PV(2%,$F$28,12))</f>
        <v>5.0532205967310366</v>
      </c>
      <c r="BN83" s="73">
        <f>1000/-PV(2%,BN$42-$BL83,,-PV(2%,$F$29,12))</f>
        <v>5.3367026397343524</v>
      </c>
      <c r="BO83" s="73">
        <f>1000/-PV(2%,BO$42-$BL83,,-PV(2%,$F$30,12))</f>
        <v>5.640376676444756</v>
      </c>
      <c r="BP83" s="51">
        <v>70</v>
      </c>
      <c r="BQ83" s="73">
        <f t="shared" si="81"/>
        <v>5.0532205967310366</v>
      </c>
      <c r="BR83" s="73">
        <f t="shared" si="82"/>
        <v>5.3367026397343524</v>
      </c>
      <c r="BS83" s="73">
        <f t="shared" si="83"/>
        <v>5.640376676444756</v>
      </c>
    </row>
    <row r="84" spans="1:71">
      <c r="A84" s="171">
        <v>71</v>
      </c>
      <c r="B84" s="188">
        <v>76503</v>
      </c>
      <c r="C84" s="189">
        <v>13.71</v>
      </c>
      <c r="D84" s="205"/>
      <c r="E84" s="206"/>
      <c r="F84" s="160"/>
      <c r="G84" s="160"/>
      <c r="H84" s="171">
        <f t="shared" si="85"/>
        <v>71</v>
      </c>
      <c r="I84" s="188">
        <v>86577</v>
      </c>
      <c r="J84" s="189">
        <v>16.239999999999998</v>
      </c>
      <c r="K84" s="160"/>
      <c r="L84" s="160"/>
      <c r="M84" s="160"/>
      <c r="O84" s="188">
        <f t="shared" si="86"/>
        <v>81540</v>
      </c>
      <c r="P84" s="189">
        <f t="shared" si="87"/>
        <v>14.975</v>
      </c>
      <c r="Q84" s="160"/>
      <c r="R84" s="160"/>
    </row>
    <row r="85" spans="1:71">
      <c r="A85" s="180">
        <v>72</v>
      </c>
      <c r="B85" s="181">
        <v>74595</v>
      </c>
      <c r="C85" s="182">
        <v>13.05</v>
      </c>
      <c r="D85" s="205"/>
      <c r="E85" s="206"/>
      <c r="F85" s="160"/>
      <c r="G85" s="160"/>
      <c r="H85" s="180">
        <f t="shared" si="85"/>
        <v>72</v>
      </c>
      <c r="I85" s="181">
        <v>85381</v>
      </c>
      <c r="J85" s="182">
        <v>15.46</v>
      </c>
      <c r="K85" s="160"/>
      <c r="L85" s="160"/>
      <c r="M85" s="160"/>
      <c r="O85" s="181">
        <f t="shared" si="86"/>
        <v>79988</v>
      </c>
      <c r="P85" s="182">
        <f t="shared" si="87"/>
        <v>14.255000000000001</v>
      </c>
      <c r="Q85" s="160"/>
      <c r="R85" s="160"/>
    </row>
    <row r="86" spans="1:71">
      <c r="A86" s="171">
        <v>73</v>
      </c>
      <c r="B86" s="188">
        <v>72635</v>
      </c>
      <c r="C86" s="189">
        <v>12.39</v>
      </c>
      <c r="D86" s="205"/>
      <c r="E86" s="206"/>
      <c r="F86" s="160"/>
      <c r="G86" s="160"/>
      <c r="H86" s="171">
        <f t="shared" si="85"/>
        <v>73</v>
      </c>
      <c r="I86" s="188">
        <v>84104</v>
      </c>
      <c r="J86" s="189">
        <v>14.69</v>
      </c>
      <c r="K86" s="160"/>
      <c r="L86" s="160"/>
      <c r="M86" s="160"/>
      <c r="O86" s="188">
        <f t="shared" si="86"/>
        <v>78369.5</v>
      </c>
      <c r="P86" s="189">
        <f t="shared" si="87"/>
        <v>13.54</v>
      </c>
      <c r="Q86" s="160"/>
      <c r="R86" s="160"/>
    </row>
    <row r="87" spans="1:71">
      <c r="A87" s="180">
        <v>74</v>
      </c>
      <c r="B87" s="181">
        <v>70541</v>
      </c>
      <c r="C87" s="182">
        <v>11.74</v>
      </c>
      <c r="D87" s="205"/>
      <c r="E87" s="206"/>
      <c r="F87" s="160"/>
      <c r="G87" s="160"/>
      <c r="H87" s="180">
        <f t="shared" si="85"/>
        <v>74</v>
      </c>
      <c r="I87" s="181">
        <v>82697</v>
      </c>
      <c r="J87" s="182">
        <v>13.93</v>
      </c>
      <c r="K87" s="160"/>
      <c r="L87" s="160"/>
      <c r="M87" s="160"/>
      <c r="O87" s="181">
        <f t="shared" si="86"/>
        <v>76619</v>
      </c>
      <c r="P87" s="182">
        <f t="shared" si="87"/>
        <v>12.835000000000001</v>
      </c>
      <c r="Q87" s="160"/>
      <c r="R87" s="160"/>
    </row>
    <row r="88" spans="1:71">
      <c r="A88" s="171">
        <v>75</v>
      </c>
      <c r="B88" s="188">
        <v>68341</v>
      </c>
      <c r="C88" s="189">
        <v>11.1</v>
      </c>
      <c r="D88" s="205"/>
      <c r="E88" s="206"/>
      <c r="F88" s="160"/>
      <c r="G88" s="160"/>
      <c r="H88" s="171">
        <f t="shared" si="85"/>
        <v>75</v>
      </c>
      <c r="I88" s="188">
        <v>81192</v>
      </c>
      <c r="J88" s="189">
        <v>13.18</v>
      </c>
      <c r="K88" s="160"/>
      <c r="L88" s="160"/>
      <c r="M88" s="160"/>
      <c r="O88" s="188">
        <f t="shared" si="86"/>
        <v>74766.5</v>
      </c>
      <c r="P88" s="189">
        <f t="shared" si="87"/>
        <v>12.14</v>
      </c>
      <c r="Q88" s="160"/>
      <c r="R88" s="160"/>
    </row>
    <row r="89" spans="1:71">
      <c r="A89" s="180">
        <v>76</v>
      </c>
      <c r="B89" s="181">
        <v>66001</v>
      </c>
      <c r="C89" s="182">
        <v>10.48</v>
      </c>
      <c r="D89" s="205"/>
      <c r="E89" s="206"/>
      <c r="F89" s="160"/>
      <c r="G89" s="160"/>
      <c r="H89" s="180">
        <f t="shared" si="85"/>
        <v>76</v>
      </c>
      <c r="I89" s="181">
        <v>79559</v>
      </c>
      <c r="J89" s="182">
        <v>12.44</v>
      </c>
      <c r="K89" s="160"/>
      <c r="L89" s="160"/>
      <c r="M89" s="160"/>
      <c r="O89" s="181">
        <f t="shared" si="86"/>
        <v>72780</v>
      </c>
      <c r="P89" s="182">
        <f t="shared" si="87"/>
        <v>11.46</v>
      </c>
      <c r="Q89" s="160"/>
      <c r="R89" s="160"/>
    </row>
    <row r="90" spans="1:71">
      <c r="A90" s="171">
        <v>77</v>
      </c>
      <c r="B90" s="188">
        <v>63529</v>
      </c>
      <c r="C90" s="189">
        <v>9.8699999999999992</v>
      </c>
      <c r="D90" s="205"/>
      <c r="E90" s="206"/>
      <c r="F90" s="160"/>
      <c r="G90" s="160"/>
      <c r="H90" s="171">
        <f t="shared" si="85"/>
        <v>77</v>
      </c>
      <c r="I90" s="188">
        <v>77797</v>
      </c>
      <c r="J90" s="189">
        <v>11.71</v>
      </c>
      <c r="K90" s="160"/>
      <c r="L90" s="160"/>
      <c r="M90" s="160"/>
      <c r="O90" s="188">
        <f t="shared" si="86"/>
        <v>70663</v>
      </c>
      <c r="P90" s="189">
        <f t="shared" si="87"/>
        <v>10.79</v>
      </c>
      <c r="Q90" s="160"/>
      <c r="R90" s="160"/>
    </row>
    <row r="91" spans="1:71">
      <c r="A91" s="180">
        <v>78</v>
      </c>
      <c r="B91" s="181">
        <v>60972</v>
      </c>
      <c r="C91" s="182">
        <v>9.26</v>
      </c>
      <c r="D91" s="205"/>
      <c r="E91" s="206"/>
      <c r="F91" s="160"/>
      <c r="G91" s="160"/>
      <c r="H91" s="180">
        <f t="shared" si="85"/>
        <v>78</v>
      </c>
      <c r="I91" s="181">
        <v>75934</v>
      </c>
      <c r="J91" s="182">
        <v>10.99</v>
      </c>
      <c r="K91" s="160"/>
      <c r="L91" s="160"/>
      <c r="M91" s="160"/>
      <c r="O91" s="181">
        <f t="shared" si="86"/>
        <v>68453</v>
      </c>
      <c r="P91" s="182">
        <f t="shared" si="87"/>
        <v>10.125</v>
      </c>
      <c r="Q91" s="160"/>
      <c r="R91" s="160"/>
    </row>
    <row r="92" spans="1:71">
      <c r="A92" s="171">
        <v>79</v>
      </c>
      <c r="B92" s="188">
        <v>58245</v>
      </c>
      <c r="C92" s="189">
        <v>8.67</v>
      </c>
      <c r="D92" s="205"/>
      <c r="E92" s="206"/>
      <c r="F92" s="160"/>
      <c r="G92" s="160"/>
      <c r="H92" s="171">
        <f t="shared" si="85"/>
        <v>79</v>
      </c>
      <c r="I92" s="188">
        <v>73868</v>
      </c>
      <c r="J92" s="189">
        <v>10.28</v>
      </c>
      <c r="K92" s="160"/>
      <c r="L92" s="160"/>
      <c r="M92" s="160"/>
      <c r="O92" s="188">
        <f t="shared" si="86"/>
        <v>66056.5</v>
      </c>
      <c r="P92" s="189">
        <f t="shared" si="87"/>
        <v>9.4749999999999996</v>
      </c>
      <c r="Q92" s="160"/>
      <c r="R92" s="160"/>
    </row>
    <row r="93" spans="1:71">
      <c r="A93" s="180">
        <v>80</v>
      </c>
      <c r="B93" s="181">
        <v>55363</v>
      </c>
      <c r="C93" s="182">
        <v>8.09</v>
      </c>
      <c r="D93" s="208"/>
      <c r="E93" s="206"/>
      <c r="F93" s="160"/>
      <c r="G93" s="160"/>
      <c r="H93" s="180">
        <f t="shared" si="85"/>
        <v>80</v>
      </c>
      <c r="I93" s="181">
        <v>71592</v>
      </c>
      <c r="J93" s="182">
        <v>9.59</v>
      </c>
      <c r="K93" s="160"/>
      <c r="L93" s="160"/>
      <c r="M93" s="160"/>
      <c r="O93" s="181">
        <f t="shared" si="86"/>
        <v>63477.5</v>
      </c>
      <c r="P93" s="182">
        <f t="shared" si="87"/>
        <v>8.84</v>
      </c>
      <c r="Q93" s="160"/>
      <c r="R93" s="160"/>
    </row>
    <row r="94" spans="1:71">
      <c r="A94" s="171">
        <v>81</v>
      </c>
      <c r="B94" s="188">
        <v>52275</v>
      </c>
      <c r="C94" s="189">
        <v>7.54</v>
      </c>
      <c r="D94" s="208"/>
      <c r="E94" s="206"/>
      <c r="F94" s="160"/>
      <c r="G94" s="160"/>
      <c r="H94" s="171">
        <f t="shared" si="85"/>
        <v>81</v>
      </c>
      <c r="I94" s="188">
        <v>69068</v>
      </c>
      <c r="J94" s="189">
        <v>8.92</v>
      </c>
      <c r="K94" s="160"/>
      <c r="L94" s="160"/>
      <c r="M94" s="160"/>
      <c r="O94" s="188">
        <f t="shared" si="86"/>
        <v>60671.5</v>
      </c>
      <c r="P94" s="189">
        <f t="shared" si="87"/>
        <v>8.23</v>
      </c>
      <c r="Q94" s="160"/>
      <c r="R94" s="160"/>
    </row>
    <row r="95" spans="1:71">
      <c r="A95" s="180">
        <v>82</v>
      </c>
      <c r="B95" s="181">
        <v>49023</v>
      </c>
      <c r="C95" s="182">
        <v>7.01</v>
      </c>
      <c r="D95" s="208"/>
      <c r="E95" s="206"/>
      <c r="F95" s="160"/>
      <c r="G95" s="160"/>
      <c r="H95" s="180">
        <f t="shared" si="85"/>
        <v>82</v>
      </c>
      <c r="I95" s="181">
        <v>66277</v>
      </c>
      <c r="J95" s="182">
        <v>8.2799999999999994</v>
      </c>
      <c r="K95" s="160"/>
      <c r="L95" s="160"/>
      <c r="M95" s="160"/>
      <c r="O95" s="181">
        <f t="shared" si="86"/>
        <v>57650</v>
      </c>
      <c r="P95" s="182">
        <f t="shared" si="87"/>
        <v>7.6449999999999996</v>
      </c>
      <c r="Q95" s="160"/>
      <c r="R95" s="160"/>
    </row>
    <row r="96" spans="1:71">
      <c r="A96" s="171">
        <v>83</v>
      </c>
      <c r="B96" s="188">
        <v>45621</v>
      </c>
      <c r="C96" s="189">
        <v>6.49</v>
      </c>
      <c r="D96" s="208"/>
      <c r="E96" s="206"/>
      <c r="F96" s="160"/>
      <c r="G96" s="160"/>
      <c r="H96" s="171">
        <f t="shared" si="85"/>
        <v>83</v>
      </c>
      <c r="I96" s="188">
        <v>63161</v>
      </c>
      <c r="J96" s="189">
        <v>7.66</v>
      </c>
      <c r="K96" s="160"/>
      <c r="L96" s="160"/>
      <c r="M96" s="160"/>
      <c r="O96" s="188">
        <f t="shared" si="86"/>
        <v>54391</v>
      </c>
      <c r="P96" s="189">
        <f t="shared" si="87"/>
        <v>7.0750000000000002</v>
      </c>
      <c r="Q96" s="160"/>
      <c r="R96" s="160"/>
    </row>
    <row r="97" spans="1:18">
      <c r="A97" s="180">
        <v>84</v>
      </c>
      <c r="B97" s="181">
        <v>42017</v>
      </c>
      <c r="C97" s="182">
        <v>6.01</v>
      </c>
      <c r="D97" s="208"/>
      <c r="E97" s="206"/>
      <c r="F97" s="160"/>
      <c r="G97" s="160"/>
      <c r="H97" s="180">
        <f t="shared" si="85"/>
        <v>84</v>
      </c>
      <c r="I97" s="181">
        <v>59675</v>
      </c>
      <c r="J97" s="182">
        <v>7.08</v>
      </c>
      <c r="K97" s="160"/>
      <c r="L97" s="160"/>
      <c r="M97" s="160"/>
      <c r="O97" s="181">
        <f t="shared" si="86"/>
        <v>50846</v>
      </c>
      <c r="P97" s="182">
        <f t="shared" si="87"/>
        <v>6.5449999999999999</v>
      </c>
      <c r="Q97" s="160"/>
      <c r="R97" s="160"/>
    </row>
    <row r="98" spans="1:18">
      <c r="A98" s="171">
        <v>85</v>
      </c>
      <c r="B98" s="188">
        <v>38253</v>
      </c>
      <c r="C98" s="189">
        <v>5.55</v>
      </c>
      <c r="D98" s="208"/>
      <c r="E98" s="206"/>
      <c r="F98" s="160"/>
      <c r="G98" s="160"/>
      <c r="H98" s="171">
        <f t="shared" si="85"/>
        <v>85</v>
      </c>
      <c r="I98" s="188">
        <v>55869</v>
      </c>
      <c r="J98" s="189">
        <v>6.53</v>
      </c>
      <c r="K98" s="160"/>
      <c r="L98" s="160"/>
      <c r="M98" s="160"/>
      <c r="O98" s="188">
        <f t="shared" si="86"/>
        <v>47061</v>
      </c>
      <c r="P98" s="189">
        <f t="shared" si="87"/>
        <v>6.04</v>
      </c>
      <c r="Q98" s="160"/>
      <c r="R98" s="160"/>
    </row>
    <row r="99" spans="1:18">
      <c r="A99" s="180">
        <v>86</v>
      </c>
      <c r="B99" s="181">
        <v>34355</v>
      </c>
      <c r="C99" s="182">
        <v>5.12</v>
      </c>
      <c r="D99" s="208"/>
      <c r="E99" s="206"/>
      <c r="F99" s="160"/>
      <c r="G99" s="160"/>
      <c r="H99" s="180">
        <f t="shared" si="85"/>
        <v>86</v>
      </c>
      <c r="I99" s="181">
        <v>51751</v>
      </c>
      <c r="J99" s="182">
        <v>6.01</v>
      </c>
      <c r="K99" s="160"/>
      <c r="L99" s="160"/>
      <c r="M99" s="160"/>
      <c r="O99" s="181">
        <f t="shared" si="86"/>
        <v>43053</v>
      </c>
      <c r="P99" s="182">
        <f t="shared" si="87"/>
        <v>5.5649999999999995</v>
      </c>
      <c r="Q99" s="160"/>
      <c r="R99" s="160"/>
    </row>
    <row r="100" spans="1:18">
      <c r="A100" s="171">
        <v>87</v>
      </c>
      <c r="B100" s="188">
        <v>30415</v>
      </c>
      <c r="C100" s="189">
        <v>4.72</v>
      </c>
      <c r="D100" s="208"/>
      <c r="E100" s="206"/>
      <c r="F100" s="160"/>
      <c r="G100" s="160"/>
      <c r="H100" s="171">
        <f t="shared" si="85"/>
        <v>87</v>
      </c>
      <c r="I100" s="188">
        <v>47338</v>
      </c>
      <c r="J100" s="189">
        <v>5.52</v>
      </c>
      <c r="K100" s="160"/>
      <c r="L100" s="160"/>
      <c r="M100" s="160"/>
      <c r="O100" s="188">
        <f t="shared" si="86"/>
        <v>38876.5</v>
      </c>
      <c r="P100" s="189">
        <f t="shared" si="87"/>
        <v>5.1199999999999992</v>
      </c>
      <c r="Q100" s="160"/>
      <c r="R100" s="160"/>
    </row>
    <row r="101" spans="1:18">
      <c r="A101" s="180">
        <v>88</v>
      </c>
      <c r="B101" s="181">
        <v>26491</v>
      </c>
      <c r="C101" s="182">
        <v>4.3499999999999996</v>
      </c>
      <c r="D101" s="208"/>
      <c r="E101" s="206"/>
      <c r="F101" s="160"/>
      <c r="G101" s="160"/>
      <c r="H101" s="180">
        <f t="shared" si="85"/>
        <v>88</v>
      </c>
      <c r="I101" s="181">
        <v>42647</v>
      </c>
      <c r="J101" s="182">
        <v>5.08</v>
      </c>
      <c r="K101" s="160"/>
      <c r="L101" s="160"/>
      <c r="M101" s="160"/>
      <c r="O101" s="181">
        <f t="shared" si="86"/>
        <v>34569</v>
      </c>
      <c r="P101" s="182">
        <f t="shared" si="87"/>
        <v>4.7149999999999999</v>
      </c>
      <c r="Q101" s="160"/>
      <c r="R101" s="160"/>
    </row>
    <row r="102" spans="1:18">
      <c r="A102" s="171">
        <v>89</v>
      </c>
      <c r="B102" s="188">
        <v>22604</v>
      </c>
      <c r="C102" s="189">
        <v>4.01</v>
      </c>
      <c r="D102" s="208"/>
      <c r="E102" s="206"/>
      <c r="F102" s="160"/>
      <c r="G102" s="160"/>
      <c r="H102" s="171">
        <f t="shared" si="85"/>
        <v>89</v>
      </c>
      <c r="I102" s="188">
        <v>37815</v>
      </c>
      <c r="J102" s="189">
        <v>4.66</v>
      </c>
      <c r="K102" s="160"/>
      <c r="L102" s="160"/>
      <c r="M102" s="160"/>
      <c r="O102" s="188">
        <f t="shared" si="86"/>
        <v>30209.5</v>
      </c>
      <c r="P102" s="189">
        <f t="shared" si="87"/>
        <v>4.335</v>
      </c>
      <c r="Q102" s="417"/>
      <c r="R102" s="417"/>
    </row>
    <row r="103" spans="1:18">
      <c r="A103" s="180">
        <v>90</v>
      </c>
      <c r="B103" s="181">
        <v>18870</v>
      </c>
      <c r="C103" s="182">
        <v>3.71</v>
      </c>
      <c r="D103" s="208"/>
      <c r="E103" s="206"/>
      <c r="F103" s="160"/>
      <c r="G103" s="160"/>
      <c r="H103" s="180">
        <f t="shared" si="85"/>
        <v>90</v>
      </c>
      <c r="I103" s="181">
        <v>32944</v>
      </c>
      <c r="J103" s="182">
        <v>4.28</v>
      </c>
      <c r="K103" s="160"/>
      <c r="L103" s="160"/>
      <c r="M103" s="160"/>
      <c r="O103" s="181">
        <f t="shared" si="86"/>
        <v>25907</v>
      </c>
      <c r="P103" s="182">
        <f t="shared" si="87"/>
        <v>3.9950000000000001</v>
      </c>
    </row>
    <row r="104" spans="1:18">
      <c r="A104" s="171">
        <v>91</v>
      </c>
      <c r="B104" s="188">
        <v>15409</v>
      </c>
      <c r="C104" s="189">
        <v>3.43</v>
      </c>
      <c r="D104" s="205"/>
      <c r="E104" s="206"/>
      <c r="F104" s="160"/>
      <c r="G104" s="160"/>
      <c r="H104" s="171">
        <f t="shared" si="85"/>
        <v>91</v>
      </c>
      <c r="I104" s="188">
        <v>28098</v>
      </c>
      <c r="J104" s="189">
        <v>3.93</v>
      </c>
      <c r="K104" s="160"/>
      <c r="L104" s="160"/>
      <c r="M104" s="160"/>
      <c r="O104" s="188">
        <f t="shared" si="86"/>
        <v>21753.5</v>
      </c>
      <c r="P104" s="189">
        <f t="shared" si="87"/>
        <v>3.68</v>
      </c>
    </row>
    <row r="105" spans="1:18">
      <c r="A105" s="180">
        <v>92</v>
      </c>
      <c r="B105" s="181">
        <v>12317</v>
      </c>
      <c r="C105" s="182">
        <v>3.16</v>
      </c>
      <c r="D105" s="205"/>
      <c r="E105" s="206"/>
      <c r="F105" s="160"/>
      <c r="G105" s="160"/>
      <c r="H105" s="180">
        <f t="shared" si="85"/>
        <v>92</v>
      </c>
      <c r="I105" s="181">
        <v>23435</v>
      </c>
      <c r="J105" s="182">
        <v>3.61</v>
      </c>
      <c r="K105" s="160"/>
      <c r="L105" s="160"/>
      <c r="M105" s="160"/>
      <c r="O105" s="181">
        <f t="shared" si="86"/>
        <v>17876</v>
      </c>
      <c r="P105" s="182">
        <f t="shared" si="87"/>
        <v>3.3849999999999998</v>
      </c>
    </row>
    <row r="106" spans="1:18">
      <c r="A106" s="171">
        <v>93</v>
      </c>
      <c r="B106" s="188">
        <v>9559</v>
      </c>
      <c r="C106" s="189">
        <v>2.93</v>
      </c>
      <c r="D106" s="205"/>
      <c r="E106" s="206"/>
      <c r="F106" s="160"/>
      <c r="G106" s="160"/>
      <c r="H106" s="171">
        <f t="shared" si="85"/>
        <v>93</v>
      </c>
      <c r="I106" s="188">
        <v>19031</v>
      </c>
      <c r="J106" s="189">
        <v>3.33</v>
      </c>
      <c r="K106" s="160"/>
      <c r="L106" s="160"/>
      <c r="M106" s="160"/>
      <c r="O106" s="188">
        <f t="shared" si="86"/>
        <v>14295</v>
      </c>
      <c r="P106" s="189">
        <f t="shared" si="87"/>
        <v>3.13</v>
      </c>
    </row>
    <row r="107" spans="1:18">
      <c r="A107" s="180">
        <v>94</v>
      </c>
      <c r="B107" s="181">
        <v>7217</v>
      </c>
      <c r="C107" s="182">
        <v>2.71</v>
      </c>
      <c r="D107" s="205"/>
      <c r="E107" s="206"/>
      <c r="F107" s="160"/>
      <c r="G107" s="160"/>
      <c r="H107" s="180">
        <f t="shared" si="85"/>
        <v>94</v>
      </c>
      <c r="I107" s="181">
        <v>15045</v>
      </c>
      <c r="J107" s="182">
        <v>3.08</v>
      </c>
      <c r="K107" s="160"/>
      <c r="L107" s="160"/>
      <c r="M107" s="160"/>
      <c r="O107" s="181">
        <f t="shared" si="86"/>
        <v>11131</v>
      </c>
      <c r="P107" s="182">
        <f t="shared" si="87"/>
        <v>2.895</v>
      </c>
    </row>
    <row r="108" spans="1:18">
      <c r="A108" s="171">
        <v>95</v>
      </c>
      <c r="B108" s="188">
        <v>5269</v>
      </c>
      <c r="C108" s="189">
        <v>2.5299999999999998</v>
      </c>
      <c r="D108" s="205"/>
      <c r="E108" s="206"/>
      <c r="F108" s="160"/>
      <c r="G108" s="160"/>
      <c r="H108" s="171">
        <f t="shared" si="85"/>
        <v>95</v>
      </c>
      <c r="I108" s="188">
        <v>11593</v>
      </c>
      <c r="J108" s="189">
        <v>2.85</v>
      </c>
      <c r="K108" s="160"/>
      <c r="L108" s="160"/>
      <c r="M108" s="160"/>
      <c r="O108" s="188">
        <f t="shared" si="86"/>
        <v>8431</v>
      </c>
      <c r="P108" s="189">
        <f t="shared" si="87"/>
        <v>2.69</v>
      </c>
    </row>
    <row r="109" spans="1:18">
      <c r="A109" s="180">
        <v>96</v>
      </c>
      <c r="B109" s="181">
        <v>3736</v>
      </c>
      <c r="C109" s="182">
        <v>2.37</v>
      </c>
      <c r="D109" s="205"/>
      <c r="E109" s="206"/>
      <c r="F109" s="160"/>
      <c r="G109" s="160"/>
      <c r="H109" s="180">
        <f t="shared" si="85"/>
        <v>96</v>
      </c>
      <c r="I109" s="181">
        <v>8645</v>
      </c>
      <c r="J109" s="182">
        <v>2.65</v>
      </c>
      <c r="K109" s="160"/>
      <c r="L109" s="160"/>
      <c r="M109" s="160"/>
      <c r="O109" s="181">
        <f t="shared" si="86"/>
        <v>6190.5</v>
      </c>
      <c r="P109" s="182">
        <f t="shared" si="87"/>
        <v>2.5099999999999998</v>
      </c>
    </row>
    <row r="110" spans="1:18">
      <c r="A110" s="171">
        <v>97</v>
      </c>
      <c r="B110" s="188">
        <v>2561</v>
      </c>
      <c r="C110" s="189">
        <v>2.2200000000000002</v>
      </c>
      <c r="D110" s="205"/>
      <c r="E110" s="206"/>
      <c r="F110" s="160"/>
      <c r="G110" s="160"/>
      <c r="H110" s="171">
        <f t="shared" si="85"/>
        <v>97</v>
      </c>
      <c r="I110" s="188">
        <v>6230</v>
      </c>
      <c r="J110" s="189">
        <v>2.48</v>
      </c>
      <c r="K110" s="160"/>
      <c r="L110" s="160"/>
      <c r="M110" s="160"/>
      <c r="O110" s="188">
        <f t="shared" si="86"/>
        <v>4395.5</v>
      </c>
      <c r="P110" s="189">
        <f t="shared" si="87"/>
        <v>2.35</v>
      </c>
    </row>
    <row r="111" spans="1:18">
      <c r="A111" s="180">
        <v>98</v>
      </c>
      <c r="B111" s="181">
        <v>1708</v>
      </c>
      <c r="C111" s="182">
        <v>2.09</v>
      </c>
      <c r="D111" s="205"/>
      <c r="E111" s="206"/>
      <c r="F111" s="160"/>
      <c r="G111" s="160"/>
      <c r="H111" s="180">
        <f t="shared" si="85"/>
        <v>98</v>
      </c>
      <c r="I111" s="181">
        <v>4394</v>
      </c>
      <c r="J111" s="182">
        <v>2.31</v>
      </c>
      <c r="K111" s="160"/>
      <c r="L111" s="160"/>
      <c r="M111" s="160"/>
      <c r="O111" s="181">
        <f t="shared" si="86"/>
        <v>3051</v>
      </c>
      <c r="P111" s="182">
        <f t="shared" si="87"/>
        <v>2.2000000000000002</v>
      </c>
    </row>
    <row r="112" spans="1:18">
      <c r="A112" s="171">
        <v>99</v>
      </c>
      <c r="B112" s="188">
        <v>1107</v>
      </c>
      <c r="C112" s="189">
        <v>1.95</v>
      </c>
      <c r="D112" s="205"/>
      <c r="E112" s="206"/>
      <c r="F112" s="160"/>
      <c r="G112" s="160"/>
      <c r="H112" s="171">
        <f t="shared" si="85"/>
        <v>99</v>
      </c>
      <c r="I112" s="188">
        <v>2992</v>
      </c>
      <c r="J112" s="189">
        <v>2.15</v>
      </c>
      <c r="K112" s="160"/>
      <c r="L112" s="160"/>
      <c r="M112" s="160"/>
      <c r="O112" s="188">
        <f t="shared" si="86"/>
        <v>2049.5</v>
      </c>
      <c r="P112" s="189">
        <f t="shared" si="87"/>
        <v>2.0499999999999998</v>
      </c>
    </row>
    <row r="113" spans="1:16">
      <c r="A113" s="180">
        <v>100</v>
      </c>
      <c r="B113" s="181">
        <v>686</v>
      </c>
      <c r="C113" s="182">
        <v>1.84</v>
      </c>
      <c r="D113" s="205"/>
      <c r="E113" s="206"/>
      <c r="F113" s="160"/>
      <c r="G113" s="160"/>
      <c r="H113" s="180">
        <f t="shared" si="85"/>
        <v>100</v>
      </c>
      <c r="I113" s="181">
        <v>1965</v>
      </c>
      <c r="J113" s="182">
        <v>2.02</v>
      </c>
      <c r="K113" s="160"/>
      <c r="L113" s="160"/>
      <c r="M113" s="160"/>
      <c r="O113" s="181">
        <f t="shared" si="86"/>
        <v>1325.5</v>
      </c>
      <c r="P113" s="182">
        <f t="shared" si="87"/>
        <v>1.9300000000000002</v>
      </c>
    </row>
  </sheetData>
  <mergeCells count="49">
    <mergeCell ref="A5:F5"/>
    <mergeCell ref="S33:S34"/>
    <mergeCell ref="A6:A11"/>
    <mergeCell ref="BL41:BO41"/>
    <mergeCell ref="A1:M2"/>
    <mergeCell ref="K6:K11"/>
    <mergeCell ref="L6:L10"/>
    <mergeCell ref="M6:M10"/>
    <mergeCell ref="A3:F3"/>
    <mergeCell ref="H3:M3"/>
    <mergeCell ref="A4:F4"/>
    <mergeCell ref="H4:M4"/>
    <mergeCell ref="E6:E10"/>
    <mergeCell ref="F6:F10"/>
    <mergeCell ref="H6:H11"/>
    <mergeCell ref="I6:I10"/>
    <mergeCell ref="H5:M5"/>
    <mergeCell ref="W9:BH10"/>
    <mergeCell ref="BP41:BS41"/>
    <mergeCell ref="W12:W47"/>
    <mergeCell ref="T18:U18"/>
    <mergeCell ref="T20:U20"/>
    <mergeCell ref="T21:U21"/>
    <mergeCell ref="S24:U25"/>
    <mergeCell ref="T26:U26"/>
    <mergeCell ref="T27:U27"/>
    <mergeCell ref="T28:U28"/>
    <mergeCell ref="T29:U29"/>
    <mergeCell ref="T30:U30"/>
    <mergeCell ref="T31:U31"/>
    <mergeCell ref="T32:U32"/>
    <mergeCell ref="T33:U34"/>
    <mergeCell ref="B6:B10"/>
    <mergeCell ref="C6:C10"/>
    <mergeCell ref="D6:D11"/>
    <mergeCell ref="J6:J10"/>
    <mergeCell ref="S8:U10"/>
    <mergeCell ref="CC54:CW55"/>
    <mergeCell ref="BZ14:CA14"/>
    <mergeCell ref="CI11:CN11"/>
    <mergeCell ref="CP11:CS11"/>
    <mergeCell ref="CC11:CG11"/>
    <mergeCell ref="CC9:CW10"/>
    <mergeCell ref="CT11:CV11"/>
    <mergeCell ref="CC2:CW8"/>
    <mergeCell ref="O4:P4"/>
    <mergeCell ref="O6:O10"/>
    <mergeCell ref="P6:P10"/>
    <mergeCell ref="W7:BH8"/>
  </mergeCells>
  <pageMargins left="0.7" right="0.7" top="0.78740157499999996" bottom="0.78740157499999996"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2581D-C2D9-4567-B96F-E89482734C0B}">
  <sheetPr codeName="Tabelle29"/>
  <dimension ref="A3:H33"/>
  <sheetViews>
    <sheetView workbookViewId="0">
      <selection activeCell="D3" sqref="D3:H21"/>
    </sheetView>
  </sheetViews>
  <sheetFormatPr baseColWidth="10" defaultColWidth="10.625" defaultRowHeight="14.25"/>
  <cols>
    <col min="2" max="2" width="41.125" style="105" customWidth="1"/>
    <col min="3" max="3" width="32.5" style="105" customWidth="1"/>
    <col min="5" max="5" width="32.625" customWidth="1"/>
    <col min="6" max="6" width="42" customWidth="1"/>
    <col min="8" max="8" width="13.5" customWidth="1"/>
  </cols>
  <sheetData>
    <row r="3" spans="1:8" ht="22.5">
      <c r="A3" s="361">
        <v>2</v>
      </c>
      <c r="B3" s="362" t="s">
        <v>417</v>
      </c>
      <c r="C3" s="362" t="s">
        <v>418</v>
      </c>
      <c r="D3" s="368">
        <v>1</v>
      </c>
      <c r="E3" s="1603" t="s">
        <v>473</v>
      </c>
      <c r="F3" s="1603" t="s">
        <v>474</v>
      </c>
      <c r="G3" s="1604" t="s">
        <v>475</v>
      </c>
      <c r="H3" s="1604" t="s">
        <v>476</v>
      </c>
    </row>
    <row r="4" spans="1:8">
      <c r="A4" s="361">
        <v>3</v>
      </c>
      <c r="B4" s="362" t="s">
        <v>419</v>
      </c>
      <c r="C4" s="362" t="s">
        <v>420</v>
      </c>
      <c r="D4" s="368">
        <v>2</v>
      </c>
      <c r="E4" s="1603" t="s">
        <v>477</v>
      </c>
      <c r="F4" s="1603" t="s">
        <v>478</v>
      </c>
      <c r="G4" s="1604"/>
      <c r="H4" s="1604" t="s">
        <v>476</v>
      </c>
    </row>
    <row r="5" spans="1:8" ht="22.5">
      <c r="A5" s="361">
        <v>4</v>
      </c>
      <c r="B5" s="362" t="s">
        <v>421</v>
      </c>
      <c r="C5" s="362" t="s">
        <v>422</v>
      </c>
      <c r="D5" s="368">
        <v>3</v>
      </c>
      <c r="E5" s="1603" t="s">
        <v>479</v>
      </c>
      <c r="F5" s="1603" t="s">
        <v>480</v>
      </c>
      <c r="G5" s="1604" t="s">
        <v>481</v>
      </c>
      <c r="H5" s="1604" t="s">
        <v>507</v>
      </c>
    </row>
    <row r="6" spans="1:8" ht="28.5">
      <c r="A6" s="361">
        <v>8</v>
      </c>
      <c r="B6" s="363" t="s">
        <v>423</v>
      </c>
      <c r="C6" s="362" t="s">
        <v>424</v>
      </c>
      <c r="D6" s="368">
        <v>4</v>
      </c>
      <c r="E6" s="1603" t="s">
        <v>483</v>
      </c>
      <c r="F6" s="1603" t="s">
        <v>480</v>
      </c>
      <c r="G6" s="1604" t="s">
        <v>481</v>
      </c>
      <c r="H6" s="1604" t="s">
        <v>507</v>
      </c>
    </row>
    <row r="7" spans="1:8" ht="28.5">
      <c r="A7" s="361">
        <v>9</v>
      </c>
      <c r="B7" s="363" t="s">
        <v>425</v>
      </c>
      <c r="C7" s="362" t="s">
        <v>426</v>
      </c>
      <c r="D7" s="368">
        <v>5</v>
      </c>
      <c r="E7" s="1603" t="s">
        <v>484</v>
      </c>
      <c r="F7" s="1603" t="s">
        <v>485</v>
      </c>
      <c r="G7" s="1604" t="s">
        <v>486</v>
      </c>
      <c r="H7" s="1604" t="s">
        <v>487</v>
      </c>
    </row>
    <row r="8" spans="1:8" ht="22.5">
      <c r="A8" s="361">
        <v>10</v>
      </c>
      <c r="B8" s="362" t="s">
        <v>427</v>
      </c>
      <c r="C8" s="362" t="s">
        <v>428</v>
      </c>
      <c r="D8" s="368">
        <v>6</v>
      </c>
      <c r="E8" s="1603" t="s">
        <v>488</v>
      </c>
      <c r="F8" s="1603" t="s">
        <v>489</v>
      </c>
      <c r="G8" s="1604" t="s">
        <v>490</v>
      </c>
      <c r="H8" s="1604" t="s">
        <v>476</v>
      </c>
    </row>
    <row r="9" spans="1:8" ht="22.5">
      <c r="A9" s="361">
        <v>11</v>
      </c>
      <c r="B9" s="362" t="s">
        <v>429</v>
      </c>
      <c r="C9" s="362" t="s">
        <v>430</v>
      </c>
      <c r="D9" s="368">
        <v>7</v>
      </c>
      <c r="E9" s="1603" t="s">
        <v>491</v>
      </c>
      <c r="F9" s="1603" t="s">
        <v>492</v>
      </c>
      <c r="G9" s="1604" t="s">
        <v>493</v>
      </c>
      <c r="H9" s="1604" t="s">
        <v>507</v>
      </c>
    </row>
    <row r="10" spans="1:8" ht="22.5">
      <c r="A10" s="361">
        <v>12</v>
      </c>
      <c r="B10" s="362" t="s">
        <v>431</v>
      </c>
      <c r="C10" s="362" t="s">
        <v>432</v>
      </c>
      <c r="D10" s="368">
        <v>8</v>
      </c>
      <c r="E10" s="1603" t="s">
        <v>494</v>
      </c>
      <c r="F10" s="1603" t="s">
        <v>480</v>
      </c>
      <c r="G10" s="1604" t="s">
        <v>493</v>
      </c>
      <c r="H10" s="1604" t="s">
        <v>507</v>
      </c>
    </row>
    <row r="11" spans="1:8" ht="22.5">
      <c r="A11" s="361">
        <v>13</v>
      </c>
      <c r="B11" s="362" t="s">
        <v>433</v>
      </c>
      <c r="C11" s="362" t="s">
        <v>434</v>
      </c>
      <c r="D11" s="368">
        <v>9</v>
      </c>
      <c r="E11" s="1603" t="s">
        <v>495</v>
      </c>
      <c r="F11" s="1603" t="s">
        <v>480</v>
      </c>
      <c r="G11" s="1604" t="s">
        <v>493</v>
      </c>
      <c r="H11" s="1604" t="s">
        <v>507</v>
      </c>
    </row>
    <row r="12" spans="1:8" ht="22.5">
      <c r="A12" s="361">
        <v>14</v>
      </c>
      <c r="B12" s="362" t="s">
        <v>435</v>
      </c>
      <c r="C12" s="362" t="s">
        <v>436</v>
      </c>
      <c r="D12" s="368">
        <v>10</v>
      </c>
      <c r="E12" s="1603" t="s">
        <v>496</v>
      </c>
      <c r="F12" s="1603" t="s">
        <v>480</v>
      </c>
      <c r="G12" s="1604"/>
      <c r="H12" s="1604" t="s">
        <v>497</v>
      </c>
    </row>
    <row r="13" spans="1:8" ht="28.5">
      <c r="A13" s="361">
        <v>15</v>
      </c>
      <c r="B13" s="363" t="s">
        <v>437</v>
      </c>
      <c r="C13" s="362" t="s">
        <v>438</v>
      </c>
      <c r="D13" s="368">
        <v>11</v>
      </c>
      <c r="E13" s="1603" t="s">
        <v>498</v>
      </c>
      <c r="F13" s="1603" t="s">
        <v>480</v>
      </c>
      <c r="G13" s="1604" t="s">
        <v>493</v>
      </c>
      <c r="H13" s="1604" t="s">
        <v>507</v>
      </c>
    </row>
    <row r="14" spans="1:8" ht="22.5">
      <c r="A14" s="361">
        <v>16</v>
      </c>
      <c r="B14" s="362" t="s">
        <v>439</v>
      </c>
      <c r="C14" s="362" t="s">
        <v>440</v>
      </c>
      <c r="D14" s="368">
        <v>12</v>
      </c>
      <c r="E14" s="1603" t="s">
        <v>499</v>
      </c>
      <c r="F14" s="1603" t="s">
        <v>500</v>
      </c>
      <c r="G14" s="1604" t="s">
        <v>493</v>
      </c>
      <c r="H14" s="1604" t="s">
        <v>507</v>
      </c>
    </row>
    <row r="15" spans="1:8" ht="22.5">
      <c r="A15" s="361">
        <v>17</v>
      </c>
      <c r="B15" s="362" t="s">
        <v>441</v>
      </c>
      <c r="C15" s="362" t="s">
        <v>442</v>
      </c>
      <c r="D15" s="368">
        <v>13</v>
      </c>
      <c r="E15" s="1603" t="s">
        <v>501</v>
      </c>
      <c r="F15" s="1603" t="s">
        <v>480</v>
      </c>
      <c r="G15" s="1604" t="s">
        <v>493</v>
      </c>
      <c r="H15" s="1604" t="s">
        <v>507</v>
      </c>
    </row>
    <row r="16" spans="1:8" ht="22.5">
      <c r="A16" s="361">
        <v>18</v>
      </c>
      <c r="B16" s="362" t="s">
        <v>443</v>
      </c>
      <c r="C16" s="362" t="s">
        <v>444</v>
      </c>
      <c r="D16" s="368">
        <v>14</v>
      </c>
      <c r="E16" s="1603" t="s">
        <v>502</v>
      </c>
      <c r="F16" s="1603" t="s">
        <v>480</v>
      </c>
      <c r="G16" s="1604" t="s">
        <v>493</v>
      </c>
      <c r="H16" s="1604" t="s">
        <v>507</v>
      </c>
    </row>
    <row r="17" spans="1:8">
      <c r="A17" s="361">
        <v>19</v>
      </c>
      <c r="B17" s="363" t="s">
        <v>445</v>
      </c>
      <c r="C17" s="362" t="s">
        <v>446</v>
      </c>
      <c r="D17" s="368">
        <v>15</v>
      </c>
      <c r="E17" s="1603" t="s">
        <v>503</v>
      </c>
      <c r="F17" s="1603" t="s">
        <v>504</v>
      </c>
      <c r="G17" s="1604" t="s">
        <v>490</v>
      </c>
      <c r="H17" s="1604" t="s">
        <v>505</v>
      </c>
    </row>
    <row r="18" spans="1:8" ht="28.5">
      <c r="A18" s="361">
        <v>20</v>
      </c>
      <c r="B18" s="363" t="s">
        <v>447</v>
      </c>
      <c r="C18" s="362" t="s">
        <v>448</v>
      </c>
      <c r="D18" s="368">
        <v>16</v>
      </c>
      <c r="E18" s="1603" t="s">
        <v>506</v>
      </c>
      <c r="F18" s="1603" t="s">
        <v>480</v>
      </c>
      <c r="G18" s="1604" t="s">
        <v>493</v>
      </c>
      <c r="H18" s="1604" t="s">
        <v>507</v>
      </c>
    </row>
    <row r="19" spans="1:8">
      <c r="A19" s="361">
        <v>21</v>
      </c>
      <c r="B19" s="362" t="s">
        <v>449</v>
      </c>
      <c r="C19" s="362" t="s">
        <v>450</v>
      </c>
      <c r="D19" s="368">
        <v>17</v>
      </c>
      <c r="E19" s="1603" t="s">
        <v>512</v>
      </c>
      <c r="F19" s="1603" t="s">
        <v>513</v>
      </c>
      <c r="G19" s="1604"/>
      <c r="H19" s="1604" t="s">
        <v>476</v>
      </c>
    </row>
    <row r="20" spans="1:8">
      <c r="A20" s="361">
        <v>23</v>
      </c>
      <c r="B20" s="362" t="s">
        <v>451</v>
      </c>
      <c r="C20" s="362" t="s">
        <v>452</v>
      </c>
    </row>
    <row r="21" spans="1:8" ht="28.5">
      <c r="A21" s="361">
        <v>24</v>
      </c>
      <c r="B21" s="363" t="s">
        <v>453</v>
      </c>
      <c r="C21" s="362" t="s">
        <v>452</v>
      </c>
    </row>
    <row r="22" spans="1:8" ht="28.5">
      <c r="A22" s="361">
        <v>25</v>
      </c>
      <c r="B22" s="363" t="s">
        <v>454</v>
      </c>
      <c r="C22" s="362" t="s">
        <v>455</v>
      </c>
    </row>
    <row r="23" spans="1:8" ht="28.5">
      <c r="A23" s="361">
        <v>26</v>
      </c>
      <c r="B23" s="363" t="s">
        <v>456</v>
      </c>
      <c r="C23" s="362" t="s">
        <v>457</v>
      </c>
    </row>
    <row r="24" spans="1:8">
      <c r="A24" s="361">
        <v>28</v>
      </c>
      <c r="B24" s="362" t="s">
        <v>458</v>
      </c>
      <c r="C24" s="362" t="s">
        <v>459</v>
      </c>
    </row>
    <row r="25" spans="1:8" ht="28.5">
      <c r="A25" s="361">
        <v>29</v>
      </c>
      <c r="B25" s="363" t="s">
        <v>460</v>
      </c>
      <c r="C25" s="362" t="s">
        <v>461</v>
      </c>
    </row>
    <row r="26" spans="1:8">
      <c r="A26" s="361">
        <v>38</v>
      </c>
      <c r="B26" s="362" t="s">
        <v>462</v>
      </c>
      <c r="C26" s="362" t="s">
        <v>463</v>
      </c>
    </row>
    <row r="27" spans="1:8" ht="28.5">
      <c r="A27" s="361">
        <v>39</v>
      </c>
      <c r="B27" s="363" t="s">
        <v>464</v>
      </c>
      <c r="C27" s="362"/>
    </row>
    <row r="28" spans="1:8" ht="42.75">
      <c r="A28" s="361">
        <v>40</v>
      </c>
      <c r="B28" s="363" t="s">
        <v>465</v>
      </c>
      <c r="C28" s="362"/>
    </row>
    <row r="29" spans="1:8">
      <c r="A29" s="361">
        <v>42</v>
      </c>
      <c r="B29" s="362" t="s">
        <v>466</v>
      </c>
      <c r="C29" s="362" t="s">
        <v>467</v>
      </c>
    </row>
    <row r="30" spans="1:8" ht="57">
      <c r="A30" s="361">
        <v>80</v>
      </c>
      <c r="B30" s="363" t="s">
        <v>468</v>
      </c>
      <c r="C30" s="362"/>
    </row>
    <row r="31" spans="1:8" ht="28.5">
      <c r="A31" s="361">
        <v>81</v>
      </c>
      <c r="B31" s="363" t="s">
        <v>469</v>
      </c>
      <c r="C31" s="362"/>
    </row>
    <row r="32" spans="1:8" ht="42.75">
      <c r="A32" s="361">
        <v>82</v>
      </c>
      <c r="B32" s="363" t="s">
        <v>470</v>
      </c>
      <c r="C32" s="362"/>
    </row>
    <row r="33" spans="1:3" ht="57">
      <c r="A33" s="361">
        <v>89</v>
      </c>
      <c r="B33" s="363" t="s">
        <v>471</v>
      </c>
      <c r="C33" s="362"/>
    </row>
  </sheetData>
  <pageMargins left="0.7" right="0.7" top="0.78740157499999996" bottom="0.78740157499999996"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92999-809B-4105-B14F-B903B612C8E8}">
  <sheetPr codeName="Tabelle3"/>
  <dimension ref="B2:C8"/>
  <sheetViews>
    <sheetView workbookViewId="0">
      <selection activeCell="C4" sqref="C4"/>
    </sheetView>
  </sheetViews>
  <sheetFormatPr baseColWidth="10" defaultRowHeight="14.25"/>
  <cols>
    <col min="2" max="2" width="19.125" customWidth="1"/>
    <col min="3" max="3" width="15.125" customWidth="1"/>
  </cols>
  <sheetData>
    <row r="2" spans="2:3">
      <c r="B2" s="25" t="s">
        <v>416</v>
      </c>
      <c r="C2" s="360" t="b">
        <v>1</v>
      </c>
    </row>
    <row r="3" spans="2:3">
      <c r="B3" s="25" t="s">
        <v>414</v>
      </c>
      <c r="C3" s="25"/>
    </row>
    <row r="4" spans="2:3">
      <c r="B4" s="25" t="s">
        <v>294</v>
      </c>
      <c r="C4" s="277">
        <f>IF(GrafikSchalter,Adaequanz_errechneterKapWert,Adaequanz_Ausgleichswert1)</f>
        <v>0</v>
      </c>
    </row>
    <row r="5" spans="2:3">
      <c r="B5" s="25" t="s">
        <v>126</v>
      </c>
      <c r="C5" s="277" t="str">
        <f>IF(GrafikSchalter,'BVerfG 1 BvL 5-18'!E61,'BVerfG 1 BvL 5-18'!E22)</f>
        <v/>
      </c>
    </row>
    <row r="6" spans="2:3">
      <c r="B6" s="25" t="s">
        <v>295</v>
      </c>
      <c r="C6" s="277" t="str">
        <f>IF(GrafikSchalter,'BVerfG 1 BvL 5-18'!F61,'BVerfG 1 BvL 5-18'!F22)</f>
        <v/>
      </c>
    </row>
    <row r="7" spans="2:3">
      <c r="B7" s="25" t="s">
        <v>296</v>
      </c>
      <c r="C7" s="277" t="str">
        <f>IF(GrafikSchalter,'BVerfG 1 BvL 5-18'!G61,Adaequanz_RVolumenBer)</f>
        <v/>
      </c>
    </row>
    <row r="8" spans="2:3">
      <c r="B8" s="25" t="s">
        <v>415</v>
      </c>
      <c r="C8" s="277" t="str">
        <f>IF(VersBer,IF(GrafikSchalter,'BVerfG 1 BvL 5-18'!H61,'BVerfG 1 BvL 5-18'!H22),0)</f>
        <v/>
      </c>
    </row>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49"/>
  <dimension ref="A1:BE867"/>
  <sheetViews>
    <sheetView zoomScale="130" zoomScaleNormal="130" workbookViewId="0"/>
  </sheetViews>
  <sheetFormatPr baseColWidth="10" defaultRowHeight="14.25"/>
  <cols>
    <col min="1" max="1" width="4.25" customWidth="1"/>
    <col min="2" max="2" width="10.75" customWidth="1"/>
    <col min="3" max="3" width="10.75" style="671" customWidth="1"/>
    <col min="4" max="4" width="11" style="1565"/>
    <col min="5" max="5" width="11" style="152"/>
    <col min="6" max="6" width="11" style="131"/>
    <col min="7" max="7" width="11.25" style="131" bestFit="1" customWidth="1"/>
    <col min="8" max="9" width="11" style="131"/>
    <col min="12" max="12" width="11" style="154"/>
    <col min="13" max="13" width="13" customWidth="1"/>
    <col min="15" max="15" width="14.25" customWidth="1"/>
    <col min="17" max="17" width="11.625" style="219" customWidth="1"/>
    <col min="18" max="18" width="11.625" customWidth="1"/>
    <col min="19" max="19" width="10.25" customWidth="1"/>
    <col min="20" max="20" width="6.75" style="68" hidden="1" customWidth="1"/>
    <col min="21" max="21" width="6.75" style="68" customWidth="1"/>
    <col min="22" max="32" width="6.75" style="276" customWidth="1"/>
    <col min="33" max="37" width="6.75" customWidth="1"/>
    <col min="38" max="57" width="5.625" customWidth="1"/>
  </cols>
  <sheetData>
    <row r="1" spans="1:39" ht="30" customHeight="1">
      <c r="A1" t="s">
        <v>196</v>
      </c>
      <c r="B1" s="645" t="s">
        <v>210</v>
      </c>
      <c r="L1"/>
      <c r="O1" s="2133" t="s">
        <v>880</v>
      </c>
      <c r="P1" s="2133"/>
      <c r="Q1" s="2133"/>
      <c r="R1" s="2133"/>
    </row>
    <row r="2" spans="1:39">
      <c r="B2" s="2131" t="s">
        <v>196</v>
      </c>
      <c r="C2" s="2131"/>
      <c r="E2" s="2137" t="s">
        <v>212</v>
      </c>
      <c r="F2" s="2137"/>
      <c r="G2" s="2137"/>
      <c r="L2"/>
      <c r="O2" s="333" t="s">
        <v>879</v>
      </c>
      <c r="P2" s="806">
        <v>29586</v>
      </c>
      <c r="Q2" s="806">
        <v>44926</v>
      </c>
      <c r="R2" s="169" t="s">
        <v>878</v>
      </c>
    </row>
    <row r="3" spans="1:39" ht="26.25">
      <c r="B3" s="646">
        <v>21367</v>
      </c>
      <c r="C3" s="1322">
        <v>22.396000000000001</v>
      </c>
      <c r="E3" s="1295" t="s">
        <v>205</v>
      </c>
      <c r="F3" s="1296" t="s">
        <v>211</v>
      </c>
      <c r="G3" s="1235" t="s">
        <v>198</v>
      </c>
      <c r="H3" s="2134" t="s">
        <v>206</v>
      </c>
      <c r="I3" s="2135"/>
      <c r="K3" s="2136" t="s">
        <v>208</v>
      </c>
      <c r="L3" s="2136"/>
      <c r="M3" s="2136"/>
      <c r="O3" s="169" t="s">
        <v>877</v>
      </c>
      <c r="P3" s="169">
        <f>VLOOKUP(P2,VPI,2)</f>
        <v>49.674999999999997</v>
      </c>
      <c r="Q3" s="169">
        <f>VLOOKUP(Q2,VPI,2)</f>
        <v>120.6</v>
      </c>
      <c r="R3" s="805">
        <f>_xlfn.RRI(YEARFRAC(P2,Q2,3),P3,Q3)</f>
        <v>2.1329024989711121E-2</v>
      </c>
    </row>
    <row r="4" spans="1:39" ht="15.75">
      <c r="B4" s="646">
        <v>21398</v>
      </c>
      <c r="C4" s="1322">
        <v>22.227</v>
      </c>
      <c r="E4" s="367">
        <v>8402</v>
      </c>
      <c r="F4" s="1297">
        <v>0.04</v>
      </c>
      <c r="G4" s="1298" t="e">
        <f t="shared" ref="G4:G10" si="0">VLOOKUP(E4,BilmoGZins,16)</f>
        <v>#N/A</v>
      </c>
      <c r="H4" s="1299" t="s">
        <v>60</v>
      </c>
      <c r="I4" s="1290" t="s">
        <v>207</v>
      </c>
      <c r="K4" s="51" t="s">
        <v>205</v>
      </c>
      <c r="L4" s="51" t="s">
        <v>208</v>
      </c>
      <c r="M4" s="51" t="s">
        <v>209</v>
      </c>
      <c r="O4" s="153">
        <v>21367</v>
      </c>
      <c r="P4" s="881">
        <f t="shared" ref="P4:P35" si="1">VLOOKUP(O4,VPI,2)</f>
        <v>22.396000000000001</v>
      </c>
      <c r="Q4"/>
      <c r="T4" s="922"/>
      <c r="U4" s="922"/>
      <c r="V4" s="922"/>
      <c r="W4" s="922"/>
      <c r="X4" s="922"/>
      <c r="Y4" s="922"/>
      <c r="Z4" s="922"/>
      <c r="AA4" s="922"/>
      <c r="AB4" s="922"/>
      <c r="AC4" s="922"/>
      <c r="AD4" s="922"/>
      <c r="AE4" s="922"/>
      <c r="AF4" s="922"/>
      <c r="AG4" s="922"/>
      <c r="AH4" s="922"/>
      <c r="AI4" s="922"/>
      <c r="AJ4" s="922"/>
      <c r="AK4" s="922"/>
    </row>
    <row r="5" spans="1:39" ht="16.5" thickBot="1">
      <c r="B5" s="646">
        <v>21429</v>
      </c>
      <c r="C5" s="1322">
        <v>22.227</v>
      </c>
      <c r="E5" s="1300">
        <v>15342</v>
      </c>
      <c r="F5" s="1301">
        <v>0.03</v>
      </c>
      <c r="G5" s="1298" t="e">
        <f t="shared" si="0"/>
        <v>#N/A</v>
      </c>
      <c r="H5" s="1302">
        <v>37622</v>
      </c>
      <c r="I5" s="1291">
        <f>2.2%+15.5%</f>
        <v>0.17699999999999999</v>
      </c>
      <c r="K5" s="80">
        <v>40544</v>
      </c>
      <c r="L5" s="81">
        <v>1.1999999999999999E-3</v>
      </c>
      <c r="M5" s="81">
        <v>5.1200000000000002E-2</v>
      </c>
      <c r="O5" s="153">
        <v>21732</v>
      </c>
      <c r="P5" s="881">
        <f t="shared" si="1"/>
        <v>22.564</v>
      </c>
      <c r="Q5"/>
    </row>
    <row r="6" spans="1:39" ht="15.75" customHeight="1">
      <c r="B6" s="646">
        <v>21459</v>
      </c>
      <c r="C6" s="1322">
        <v>22.227</v>
      </c>
      <c r="E6" s="1300">
        <v>31594</v>
      </c>
      <c r="F6" s="1303">
        <v>3.5000000000000003E-2</v>
      </c>
      <c r="G6" s="1298" t="e">
        <f t="shared" si="0"/>
        <v>#N/A</v>
      </c>
      <c r="H6" s="1302">
        <v>41456</v>
      </c>
      <c r="I6" s="1291">
        <f>0.155+0.0205+0.0025</f>
        <v>0.17799999999999999</v>
      </c>
      <c r="K6" s="80">
        <v>40725</v>
      </c>
      <c r="L6" s="81">
        <v>3.7000000000000002E-3</v>
      </c>
      <c r="M6" s="81">
        <v>5.3699999999999998E-2</v>
      </c>
      <c r="O6" s="153">
        <v>22098</v>
      </c>
      <c r="P6" s="881">
        <f t="shared" si="1"/>
        <v>22.901</v>
      </c>
      <c r="Q6"/>
      <c r="R6" s="68"/>
      <c r="S6" s="2138" t="s">
        <v>1329</v>
      </c>
      <c r="T6" s="2139"/>
      <c r="U6" s="2139"/>
      <c r="V6" s="2139"/>
      <c r="W6" s="2139"/>
      <c r="X6" s="2139"/>
      <c r="Y6" s="2139"/>
      <c r="Z6" s="2139"/>
      <c r="AA6" s="2139"/>
      <c r="AB6" s="2139"/>
      <c r="AC6" s="2139"/>
      <c r="AD6" s="2139"/>
      <c r="AE6" s="2139"/>
      <c r="AF6" s="2139"/>
      <c r="AG6" s="2139"/>
      <c r="AH6" s="2139"/>
      <c r="AI6" s="2139"/>
      <c r="AJ6" s="2139"/>
      <c r="AK6" s="2140"/>
    </row>
    <row r="7" spans="1:39" ht="16.5" customHeight="1">
      <c r="B7" s="646">
        <v>21490</v>
      </c>
      <c r="C7" s="1322">
        <v>22.396000000000001</v>
      </c>
      <c r="E7" s="1300">
        <v>34516</v>
      </c>
      <c r="F7" s="1301">
        <v>0.04</v>
      </c>
      <c r="G7" s="1298" t="e">
        <f t="shared" si="0"/>
        <v>#N/A</v>
      </c>
      <c r="H7" s="1302">
        <v>42005</v>
      </c>
      <c r="I7" s="1291">
        <f>0.146+0.0235+0.0025+0.009</f>
        <v>0.18099999999999999</v>
      </c>
      <c r="K7" s="80">
        <v>40909</v>
      </c>
      <c r="L7" s="81">
        <v>1.1999999999999999E-3</v>
      </c>
      <c r="M7" s="81">
        <v>5.1200000000000002E-2</v>
      </c>
      <c r="O7" s="153">
        <v>22463</v>
      </c>
      <c r="P7" s="881">
        <f t="shared" si="1"/>
        <v>23.49</v>
      </c>
      <c r="Q7"/>
      <c r="R7" s="68"/>
      <c r="S7" s="2141"/>
      <c r="T7" s="2142"/>
      <c r="U7" s="2142"/>
      <c r="V7" s="2142"/>
      <c r="W7" s="2142"/>
      <c r="X7" s="2142"/>
      <c r="Y7" s="2142"/>
      <c r="Z7" s="2142"/>
      <c r="AA7" s="2142"/>
      <c r="AB7" s="2142"/>
      <c r="AC7" s="2142"/>
      <c r="AD7" s="2142"/>
      <c r="AE7" s="2142"/>
      <c r="AF7" s="2142"/>
      <c r="AG7" s="2142"/>
      <c r="AH7" s="2142"/>
      <c r="AI7" s="2142"/>
      <c r="AJ7" s="2142"/>
      <c r="AK7" s="2143"/>
    </row>
    <row r="8" spans="1:39" ht="15.75">
      <c r="B8" s="646">
        <v>21520</v>
      </c>
      <c r="C8" s="1322">
        <v>22.48</v>
      </c>
      <c r="E8" s="1300">
        <v>36708</v>
      </c>
      <c r="F8" s="1303">
        <v>3.2500000000000001E-2</v>
      </c>
      <c r="G8" s="1298" t="e">
        <f t="shared" si="0"/>
        <v>#N/A</v>
      </c>
      <c r="H8" s="1302">
        <v>42430</v>
      </c>
      <c r="I8" s="1291">
        <f>0.146+0.009+0.0235+0.0025</f>
        <v>0.18099999999999999</v>
      </c>
      <c r="K8" s="80">
        <v>41091</v>
      </c>
      <c r="L8" s="81">
        <v>1.1999999999999999E-3</v>
      </c>
      <c r="M8" s="81">
        <v>5.1200000000000002E-2</v>
      </c>
      <c r="O8" s="153">
        <v>22828</v>
      </c>
      <c r="P8" s="881">
        <f t="shared" si="1"/>
        <v>24.248000000000001</v>
      </c>
      <c r="Q8"/>
      <c r="R8" s="68"/>
      <c r="S8" s="2144" t="s">
        <v>942</v>
      </c>
      <c r="T8" s="2145"/>
      <c r="U8" s="2146"/>
      <c r="V8" s="923">
        <f>V9/U9-1</f>
        <v>3.7700282752120673E-2</v>
      </c>
      <c r="W8" s="60">
        <f>W9/V9-1</f>
        <v>7.5386012715713102E-2</v>
      </c>
      <c r="X8" s="1105">
        <f>VLOOKUP(X10,$O$4:$Q$765,3)</f>
        <v>6.2E-2</v>
      </c>
      <c r="Y8" s="1527">
        <f t="shared" ref="Y8:AK8" si="2">VLOOKUP(Y10,$O$4:$Q$765,3)</f>
        <v>0.05</v>
      </c>
      <c r="Z8" s="1527">
        <f t="shared" si="2"/>
        <v>0.04</v>
      </c>
      <c r="AA8" s="1527">
        <f t="shared" si="2"/>
        <v>0.03</v>
      </c>
      <c r="AB8" s="1527">
        <f t="shared" si="2"/>
        <v>2.5000000000000001E-2</v>
      </c>
      <c r="AC8" s="1527">
        <f t="shared" si="2"/>
        <v>2.1999999999999999E-2</v>
      </c>
      <c r="AD8" s="1527">
        <f t="shared" si="2"/>
        <v>0.02</v>
      </c>
      <c r="AE8" s="1527">
        <f t="shared" si="2"/>
        <v>0.02</v>
      </c>
      <c r="AF8" s="1527">
        <f t="shared" si="2"/>
        <v>0.02</v>
      </c>
      <c r="AG8" s="1527">
        <f t="shared" si="2"/>
        <v>0.02</v>
      </c>
      <c r="AH8" s="1527">
        <f t="shared" si="2"/>
        <v>0.02</v>
      </c>
      <c r="AI8" s="1527">
        <f t="shared" si="2"/>
        <v>0.02</v>
      </c>
      <c r="AJ8" s="1527">
        <f t="shared" si="2"/>
        <v>0.02</v>
      </c>
      <c r="AK8" s="1527">
        <f t="shared" si="2"/>
        <v>0.02</v>
      </c>
      <c r="AL8" s="60"/>
    </row>
    <row r="9" spans="1:39" ht="15.75">
      <c r="B9" s="646">
        <v>21551</v>
      </c>
      <c r="C9" s="1322">
        <v>22.564</v>
      </c>
      <c r="E9" s="1300">
        <v>37987</v>
      </c>
      <c r="F9" s="1303">
        <v>2.75E-2</v>
      </c>
      <c r="G9" s="1298" t="e">
        <f t="shared" si="0"/>
        <v>#N/A</v>
      </c>
      <c r="H9" s="1302">
        <v>42736</v>
      </c>
      <c r="I9" s="1291">
        <f>0.146+0.009+0.0255+0.0025</f>
        <v>0.183</v>
      </c>
      <c r="K9" s="80">
        <v>41275</v>
      </c>
      <c r="L9" s="81">
        <v>-1.2999999999999999E-3</v>
      </c>
      <c r="M9" s="81">
        <v>4.87E-2</v>
      </c>
      <c r="O9" s="153">
        <v>23193</v>
      </c>
      <c r="P9" s="881">
        <f t="shared" si="1"/>
        <v>24.753</v>
      </c>
      <c r="Q9"/>
      <c r="R9" s="68"/>
      <c r="S9" s="995" t="s">
        <v>196</v>
      </c>
      <c r="T9" s="996">
        <v>102.5</v>
      </c>
      <c r="U9" s="996">
        <f>VLOOKUP(U10,$O$4:$P$765,2)</f>
        <v>106.1</v>
      </c>
      <c r="V9" s="996">
        <f t="shared" ref="V9:AK9" si="3">VLOOKUP(V10,$O$4:$P$765,2)</f>
        <v>110.1</v>
      </c>
      <c r="W9" s="996">
        <f t="shared" si="3"/>
        <v>118.4</v>
      </c>
      <c r="X9" s="996">
        <f t="shared" si="3"/>
        <v>125.74080000000001</v>
      </c>
      <c r="Y9" s="996">
        <f t="shared" si="3"/>
        <v>132.02784000000003</v>
      </c>
      <c r="Z9" s="1528">
        <f t="shared" si="3"/>
        <v>137.30895360000002</v>
      </c>
      <c r="AA9" s="1528">
        <f t="shared" si="3"/>
        <v>141.42822220800002</v>
      </c>
      <c r="AB9" s="1528">
        <f t="shared" si="3"/>
        <v>144.96392776320002</v>
      </c>
      <c r="AC9" s="1528">
        <f t="shared" si="3"/>
        <v>148.15313417399042</v>
      </c>
      <c r="AD9" s="1528">
        <f t="shared" si="3"/>
        <v>151.11619685747024</v>
      </c>
      <c r="AE9" s="1528">
        <f t="shared" si="3"/>
        <v>154.13852079461964</v>
      </c>
      <c r="AF9" s="1528">
        <f t="shared" si="3"/>
        <v>157.22129121051202</v>
      </c>
      <c r="AG9" s="1528">
        <f t="shared" si="3"/>
        <v>160.36571703472225</v>
      </c>
      <c r="AH9" s="1528">
        <f t="shared" si="3"/>
        <v>163.57303137541669</v>
      </c>
      <c r="AI9" s="1528">
        <f t="shared" si="3"/>
        <v>166.84449200292502</v>
      </c>
      <c r="AJ9" s="1528">
        <f t="shared" si="3"/>
        <v>170.18138184298351</v>
      </c>
      <c r="AK9" s="1529">
        <f t="shared" si="3"/>
        <v>173.58500947984319</v>
      </c>
    </row>
    <row r="10" spans="1:39" ht="59.25">
      <c r="B10" s="646">
        <v>21582</v>
      </c>
      <c r="C10" s="1322">
        <v>22.648</v>
      </c>
      <c r="E10" s="1300">
        <v>39083</v>
      </c>
      <c r="F10" s="1303">
        <v>2.2499999999999999E-2</v>
      </c>
      <c r="G10" s="1298" t="e">
        <f t="shared" si="0"/>
        <v>#N/A</v>
      </c>
      <c r="H10" s="1302">
        <v>43466</v>
      </c>
      <c r="I10" s="1291">
        <f>0.146+0.009+0.0305+0.0025</f>
        <v>0.188</v>
      </c>
      <c r="K10" s="80">
        <v>41456</v>
      </c>
      <c r="L10" s="81">
        <v>-3.8E-3</v>
      </c>
      <c r="M10" s="81">
        <v>4.6199999999999998E-2</v>
      </c>
      <c r="O10" s="153">
        <v>23559</v>
      </c>
      <c r="P10" s="881">
        <f t="shared" si="1"/>
        <v>25.427</v>
      </c>
      <c r="Q10"/>
      <c r="R10" s="68"/>
      <c r="S10" s="1246" t="s">
        <v>1441</v>
      </c>
      <c r="T10" s="997">
        <v>42917</v>
      </c>
      <c r="U10" s="1525">
        <v>44013</v>
      </c>
      <c r="V10" s="1525">
        <v>44378</v>
      </c>
      <c r="W10" s="1525">
        <v>44743</v>
      </c>
      <c r="X10" s="1525">
        <v>45108</v>
      </c>
      <c r="Y10" s="1525">
        <v>45474</v>
      </c>
      <c r="Z10" s="1525">
        <v>45839</v>
      </c>
      <c r="AA10" s="1525">
        <v>46204</v>
      </c>
      <c r="AB10" s="1525">
        <v>46569</v>
      </c>
      <c r="AC10" s="1525">
        <v>46935</v>
      </c>
      <c r="AD10" s="1525">
        <v>47300</v>
      </c>
      <c r="AE10" s="1525">
        <v>47665</v>
      </c>
      <c r="AF10" s="1525">
        <v>48030</v>
      </c>
      <c r="AG10" s="1525">
        <v>48396</v>
      </c>
      <c r="AH10" s="1525">
        <v>48761</v>
      </c>
      <c r="AI10" s="1525">
        <v>49126</v>
      </c>
      <c r="AJ10" s="1525">
        <v>49491</v>
      </c>
      <c r="AK10" s="1526">
        <v>49857</v>
      </c>
      <c r="AM10" s="1247"/>
    </row>
    <row r="11" spans="1:39" ht="15.75">
      <c r="B11" s="646">
        <v>21610</v>
      </c>
      <c r="C11" s="1322">
        <v>22.564</v>
      </c>
      <c r="E11" s="367">
        <v>40057</v>
      </c>
      <c r="F11" s="1304">
        <v>2.2499999999999999E-2</v>
      </c>
      <c r="G11" s="1305">
        <f t="shared" ref="G11:G16" si="4">VLOOKUP(E11,BilmoGZins,16)/100</f>
        <v>5.28E-2</v>
      </c>
      <c r="H11" s="1302">
        <v>37622</v>
      </c>
      <c r="I11" s="1291">
        <v>0.17699999999999999</v>
      </c>
      <c r="K11" s="80">
        <v>41640</v>
      </c>
      <c r="L11" s="81">
        <v>-6.3E-3</v>
      </c>
      <c r="M11" s="81">
        <v>4.3700000000000003E-2</v>
      </c>
      <c r="O11" s="153">
        <v>23924</v>
      </c>
      <c r="P11" s="881">
        <f t="shared" si="1"/>
        <v>26.437000000000001</v>
      </c>
      <c r="Q11"/>
      <c r="R11" s="998">
        <f t="shared" ref="R11:R27" si="5">VLOOKUP(S11,$O$4:$P$765,2)</f>
        <v>106.1</v>
      </c>
      <c r="S11" s="1244">
        <v>44013</v>
      </c>
      <c r="T11" s="999"/>
      <c r="U11" s="1000"/>
      <c r="V11" s="1000">
        <f t="shared" ref="V11:AK11" si="6">_xlfn.RRI(YEARFRAC($S11,V$10,3),$R11,V$9)</f>
        <v>3.7700282752120673E-2</v>
      </c>
      <c r="W11" s="1000">
        <f t="shared" si="6"/>
        <v>5.637510831274839E-2</v>
      </c>
      <c r="X11" s="1000">
        <f t="shared" si="6"/>
        <v>5.8246754138118195E-2</v>
      </c>
      <c r="Y11" s="1000">
        <f t="shared" si="6"/>
        <v>5.6139501026753358E-2</v>
      </c>
      <c r="Z11" s="1000">
        <f t="shared" si="6"/>
        <v>5.2893462872684927E-2</v>
      </c>
      <c r="AA11" s="1000">
        <f t="shared" si="6"/>
        <v>4.9044605312466238E-2</v>
      </c>
      <c r="AB11" s="1000">
        <f t="shared" si="6"/>
        <v>4.5576788315034866E-2</v>
      </c>
      <c r="AC11" s="1000">
        <f t="shared" si="6"/>
        <v>4.2586331480383599E-2</v>
      </c>
      <c r="AD11" s="1000">
        <f t="shared" si="6"/>
        <v>4.0053781077355577E-2</v>
      </c>
      <c r="AE11" s="1000">
        <f t="shared" si="6"/>
        <v>3.8031894276686851E-2</v>
      </c>
      <c r="AF11" s="1000">
        <f t="shared" si="6"/>
        <v>3.638036462175287E-2</v>
      </c>
      <c r="AG11" s="1000">
        <f t="shared" si="6"/>
        <v>3.4997847013136907E-2</v>
      </c>
      <c r="AH11" s="1000">
        <f t="shared" si="6"/>
        <v>3.3837111655732999E-2</v>
      </c>
      <c r="AI11" s="1000">
        <f t="shared" si="6"/>
        <v>3.2843134631017179E-2</v>
      </c>
      <c r="AJ11" s="1000">
        <f t="shared" si="6"/>
        <v>3.1982388442814091E-2</v>
      </c>
      <c r="AK11" s="1001">
        <f t="shared" si="6"/>
        <v>3.1224342322476284E-2</v>
      </c>
      <c r="AM11" s="1247"/>
    </row>
    <row r="12" spans="1:39" ht="15.75">
      <c r="B12" s="646">
        <v>21641</v>
      </c>
      <c r="C12" s="1322">
        <v>22.48</v>
      </c>
      <c r="E12" s="1300">
        <v>40909</v>
      </c>
      <c r="F12" s="1303">
        <v>1.7500000000000002E-2</v>
      </c>
      <c r="G12" s="1305">
        <f t="shared" si="4"/>
        <v>5.1399999999999994E-2</v>
      </c>
      <c r="H12" s="1302">
        <v>41456</v>
      </c>
      <c r="I12" s="1291">
        <v>0.17799999999999999</v>
      </c>
      <c r="K12" s="80">
        <v>41821</v>
      </c>
      <c r="L12" s="81">
        <v>-7.3000000000000001E-3</v>
      </c>
      <c r="M12" s="81">
        <v>4.2700000000000002E-2</v>
      </c>
      <c r="O12" s="153">
        <v>24289</v>
      </c>
      <c r="P12" s="881">
        <f t="shared" si="1"/>
        <v>27.279</v>
      </c>
      <c r="Q12"/>
      <c r="R12" s="998">
        <f t="shared" si="5"/>
        <v>110.1</v>
      </c>
      <c r="S12" s="1244">
        <v>44378</v>
      </c>
      <c r="T12" s="999"/>
      <c r="U12" s="1000"/>
      <c r="V12" s="1000"/>
      <c r="W12" s="1000">
        <f t="shared" ref="W12:AK12" si="7">_xlfn.RRI(YEARFRAC($S12,W$10,3),$R12,W$9)</f>
        <v>7.5386012715713102E-2</v>
      </c>
      <c r="X12" s="1000">
        <f t="shared" si="7"/>
        <v>6.867204768539148E-2</v>
      </c>
      <c r="Y12" s="1000">
        <f t="shared" si="7"/>
        <v>6.2352742444915288E-2</v>
      </c>
      <c r="Z12" s="1000">
        <f t="shared" si="7"/>
        <v>5.6723760482785712E-2</v>
      </c>
      <c r="AA12" s="1000">
        <f t="shared" si="7"/>
        <v>5.1327056809049365E-2</v>
      </c>
      <c r="AB12" s="1000">
        <f t="shared" si="7"/>
        <v>4.68947373176547E-2</v>
      </c>
      <c r="AC12" s="1000">
        <f t="shared" si="7"/>
        <v>4.3285666364058395E-2</v>
      </c>
      <c r="AD12" s="1000">
        <f t="shared" si="7"/>
        <v>4.0348141783030478E-2</v>
      </c>
      <c r="AE12" s="1000">
        <f t="shared" si="7"/>
        <v>3.8068724119005637E-2</v>
      </c>
      <c r="AF12" s="1000">
        <f t="shared" si="7"/>
        <v>3.6248537412373549E-2</v>
      </c>
      <c r="AG12" s="1000">
        <f t="shared" si="7"/>
        <v>3.4752703445031452E-2</v>
      </c>
      <c r="AH12" s="1000">
        <f t="shared" si="7"/>
        <v>3.3516050524046825E-2</v>
      </c>
      <c r="AI12" s="1000">
        <f t="shared" si="7"/>
        <v>3.2470686324924225E-2</v>
      </c>
      <c r="AJ12" s="1000">
        <f t="shared" si="7"/>
        <v>3.1575413969796351E-2</v>
      </c>
      <c r="AK12" s="1001">
        <f t="shared" si="7"/>
        <v>3.0794366779243854E-2</v>
      </c>
    </row>
    <row r="13" spans="1:39" ht="15.75">
      <c r="B13" s="646">
        <v>21671</v>
      </c>
      <c r="C13" s="1322">
        <v>22.48</v>
      </c>
      <c r="E13" s="1300">
        <v>42005</v>
      </c>
      <c r="F13" s="1303">
        <v>1.2500000000000001E-2</v>
      </c>
      <c r="G13" s="1305">
        <f t="shared" si="4"/>
        <v>4.53E-2</v>
      </c>
      <c r="H13" s="1302">
        <v>42005</v>
      </c>
      <c r="I13" s="1291">
        <v>0.18099999999999999</v>
      </c>
      <c r="K13" s="80">
        <v>41849</v>
      </c>
      <c r="L13" s="81">
        <v>-7.3000000000000001E-3</v>
      </c>
      <c r="M13" s="81">
        <v>4.2700000000000002E-2</v>
      </c>
      <c r="O13" s="153">
        <v>24654</v>
      </c>
      <c r="P13" s="881">
        <f t="shared" si="1"/>
        <v>27.783999999999999</v>
      </c>
      <c r="Q13"/>
      <c r="R13" s="998">
        <f t="shared" si="5"/>
        <v>118.4</v>
      </c>
      <c r="S13" s="1244">
        <v>44743</v>
      </c>
      <c r="T13" s="999"/>
      <c r="U13" s="1000"/>
      <c r="V13" s="1000"/>
      <c r="W13" s="1000"/>
      <c r="X13" s="1000">
        <f t="shared" ref="X13:AK13" si="8">_xlfn.RRI(YEARFRAC($S13,X$10,3),$R13,X$9)</f>
        <v>6.2000000000000055E-2</v>
      </c>
      <c r="Y13" s="1000">
        <f t="shared" si="8"/>
        <v>5.5904268489545883E-2</v>
      </c>
      <c r="Z13" s="1000">
        <f t="shared" si="8"/>
        <v>5.0580852873158832E-2</v>
      </c>
      <c r="AA13" s="1000">
        <f t="shared" si="8"/>
        <v>4.5400942956739021E-2</v>
      </c>
      <c r="AB13" s="1000">
        <f t="shared" si="8"/>
        <v>4.1290774112929363E-2</v>
      </c>
      <c r="AC13" s="1000">
        <f t="shared" si="8"/>
        <v>3.8034333557957156E-2</v>
      </c>
      <c r="AD13" s="1000">
        <f t="shared" si="8"/>
        <v>3.5440636162554995E-2</v>
      </c>
      <c r="AE13" s="1000">
        <f t="shared" si="8"/>
        <v>3.3499174574067148E-2</v>
      </c>
      <c r="AF13" s="1000">
        <f t="shared" si="8"/>
        <v>3.1991404085223829E-2</v>
      </c>
      <c r="AG13" s="1000">
        <f t="shared" si="8"/>
        <v>3.0778050645227317E-2</v>
      </c>
      <c r="AH13" s="1000">
        <f t="shared" si="8"/>
        <v>2.9794274426968803E-2</v>
      </c>
      <c r="AI13" s="1000">
        <f t="shared" si="8"/>
        <v>2.897506609495637E-2</v>
      </c>
      <c r="AJ13" s="1000">
        <f t="shared" si="8"/>
        <v>2.8282319296359715E-2</v>
      </c>
      <c r="AK13" s="1001">
        <f t="shared" si="8"/>
        <v>2.7683360944696922E-2</v>
      </c>
    </row>
    <row r="14" spans="1:39" ht="15.75">
      <c r="B14" s="646">
        <v>21702</v>
      </c>
      <c r="C14" s="1322">
        <v>22.48</v>
      </c>
      <c r="E14" s="1300">
        <v>42736</v>
      </c>
      <c r="F14" s="1303">
        <v>8.9999999999999993E-3</v>
      </c>
      <c r="G14" s="1305">
        <f t="shared" si="4"/>
        <v>3.2400000000000005E-2</v>
      </c>
      <c r="H14" s="1302">
        <v>42430</v>
      </c>
      <c r="I14" s="1291">
        <v>0.18099999999999999</v>
      </c>
      <c r="K14" s="80">
        <v>42005</v>
      </c>
      <c r="L14" s="81">
        <v>-8.3000000000000001E-3</v>
      </c>
      <c r="M14" s="81">
        <v>4.1700000000000001E-2</v>
      </c>
      <c r="O14" s="153">
        <v>25020</v>
      </c>
      <c r="P14" s="881">
        <f t="shared" si="1"/>
        <v>28.120999999999999</v>
      </c>
      <c r="Q14"/>
      <c r="R14" s="998">
        <f t="shared" si="5"/>
        <v>125.74080000000001</v>
      </c>
      <c r="S14" s="1244">
        <v>45108</v>
      </c>
      <c r="T14" s="999"/>
      <c r="U14" s="1000"/>
      <c r="V14" s="1000"/>
      <c r="W14" s="1000"/>
      <c r="X14" s="1000"/>
      <c r="Y14" s="1000">
        <f t="shared" ref="Y14:AK14" si="9">_xlfn.RRI(YEARFRAC($S14,Y$10,3),$R14,Y$9)</f>
        <v>4.9860037546703539E-2</v>
      </c>
      <c r="Z14" s="1000">
        <f t="shared" si="9"/>
        <v>4.4925132910944132E-2</v>
      </c>
      <c r="AA14" s="1000">
        <f t="shared" si="9"/>
        <v>3.9930762051169078E-2</v>
      </c>
      <c r="AB14" s="1000">
        <f t="shared" si="9"/>
        <v>3.6180368684857633E-2</v>
      </c>
      <c r="AC14" s="1000">
        <f t="shared" si="9"/>
        <v>3.3311657224463831E-2</v>
      </c>
      <c r="AD14" s="1000">
        <f t="shared" si="9"/>
        <v>3.1083077236585765E-2</v>
      </c>
      <c r="AE14" s="1000">
        <f t="shared" si="9"/>
        <v>2.9493680991855786E-2</v>
      </c>
      <c r="AF14" s="1000">
        <f t="shared" si="9"/>
        <v>2.8302970397954041E-2</v>
      </c>
      <c r="AG14" s="1000">
        <f t="shared" si="9"/>
        <v>2.736921414194704E-2</v>
      </c>
      <c r="AH14" s="1000">
        <f t="shared" si="9"/>
        <v>2.6630510163106802E-2</v>
      </c>
      <c r="AI14" s="1000">
        <f t="shared" si="9"/>
        <v>2.6026410897417085E-2</v>
      </c>
      <c r="AJ14" s="1000">
        <f t="shared" si="9"/>
        <v>2.5523197530985087E-2</v>
      </c>
      <c r="AK14" s="1001">
        <f t="shared" si="9"/>
        <v>2.5092194931708667E-2</v>
      </c>
    </row>
    <row r="15" spans="1:39" ht="15.75">
      <c r="B15" s="646">
        <v>21732</v>
      </c>
      <c r="C15" s="1322">
        <v>22.564</v>
      </c>
      <c r="E15" s="1300">
        <v>43466</v>
      </c>
      <c r="F15" s="1303">
        <v>8.9999999999999993E-3</v>
      </c>
      <c r="G15" s="1305">
        <f t="shared" si="4"/>
        <v>2.3199999999999998E-2</v>
      </c>
      <c r="H15" s="1302">
        <v>42736</v>
      </c>
      <c r="I15" s="1291">
        <v>0.183</v>
      </c>
      <c r="K15" s="80">
        <v>42186</v>
      </c>
      <c r="L15" s="81">
        <v>-8.3000000000000001E-3</v>
      </c>
      <c r="M15" s="81">
        <v>4.1700000000000001E-2</v>
      </c>
      <c r="O15" s="153">
        <v>25385</v>
      </c>
      <c r="P15" s="881">
        <f t="shared" si="1"/>
        <v>28.71</v>
      </c>
      <c r="Q15"/>
      <c r="R15" s="998">
        <f t="shared" si="5"/>
        <v>132.02784000000003</v>
      </c>
      <c r="S15" s="1244">
        <v>45474</v>
      </c>
      <c r="T15" s="999"/>
      <c r="U15" s="1000"/>
      <c r="V15" s="1000"/>
      <c r="W15" s="1000"/>
      <c r="X15" s="1000"/>
      <c r="Y15" s="1000"/>
      <c r="Z15" s="1000">
        <f t="shared" ref="Z15:AK15" si="10">_xlfn.RRI(YEARFRAC($S15,Z$10,3),$R15,Z$9)</f>
        <v>4.0000000000000036E-2</v>
      </c>
      <c r="AA15" s="1000">
        <f t="shared" si="10"/>
        <v>3.4987922634848845E-2</v>
      </c>
      <c r="AB15" s="1000">
        <f t="shared" si="10"/>
        <v>3.1647847718268673E-2</v>
      </c>
      <c r="AC15" s="1000">
        <f t="shared" si="10"/>
        <v>2.9207086311024977E-2</v>
      </c>
      <c r="AD15" s="1000">
        <f t="shared" si="10"/>
        <v>2.7360055436830288E-2</v>
      </c>
      <c r="AE15" s="1000">
        <f t="shared" si="10"/>
        <v>2.6130262979300101E-2</v>
      </c>
      <c r="AF15" s="1000">
        <f t="shared" si="10"/>
        <v>2.5252603922845784E-2</v>
      </c>
      <c r="AG15" s="1000">
        <f t="shared" si="10"/>
        <v>2.4586257518486532E-2</v>
      </c>
      <c r="AH15" s="1000">
        <f t="shared" si="10"/>
        <v>2.4075967305791313E-2</v>
      </c>
      <c r="AI15" s="1000">
        <f t="shared" si="10"/>
        <v>2.366786227255524E-2</v>
      </c>
      <c r="AJ15" s="1000">
        <f t="shared" si="10"/>
        <v>2.3334042200878313E-2</v>
      </c>
      <c r="AK15" s="1001">
        <f t="shared" si="10"/>
        <v>2.3050596112598853E-2</v>
      </c>
    </row>
    <row r="16" spans="1:39" ht="15.75">
      <c r="B16" s="646">
        <v>21763</v>
      </c>
      <c r="C16" s="1322">
        <v>22.648</v>
      </c>
      <c r="E16" s="1300">
        <v>44562</v>
      </c>
      <c r="F16" s="1303">
        <v>2.5000000000000001E-3</v>
      </c>
      <c r="G16" s="1305">
        <f t="shared" si="4"/>
        <v>1.3500000000000002E-2</v>
      </c>
      <c r="H16" s="1302">
        <v>43466</v>
      </c>
      <c r="I16" s="1291">
        <v>0.188</v>
      </c>
      <c r="K16" s="80">
        <v>42370</v>
      </c>
      <c r="L16" s="81">
        <v>-8.3000000000000001E-3</v>
      </c>
      <c r="M16" s="81">
        <v>4.1700000000000001E-2</v>
      </c>
      <c r="O16" s="153">
        <v>25750</v>
      </c>
      <c r="P16" s="881">
        <f t="shared" si="1"/>
        <v>29.721</v>
      </c>
      <c r="Q16"/>
      <c r="R16" s="998">
        <f t="shared" si="5"/>
        <v>137.30895360000002</v>
      </c>
      <c r="S16" s="1244">
        <v>45839</v>
      </c>
      <c r="T16" s="999"/>
      <c r="U16" s="1000"/>
      <c r="V16" s="1000"/>
      <c r="W16" s="1000"/>
      <c r="X16" s="1000"/>
      <c r="Y16" s="1000"/>
      <c r="Z16" s="1000"/>
      <c r="AA16" s="1000">
        <f t="shared" ref="AA16:AK16" si="11">_xlfn.RRI(YEARFRAC($S16,AA$10,3),$R16,AA$9)</f>
        <v>3.0000000000000027E-2</v>
      </c>
      <c r="AB16" s="1000">
        <f t="shared" si="11"/>
        <v>2.7496958632968305E-2</v>
      </c>
      <c r="AC16" s="1000">
        <f t="shared" si="11"/>
        <v>2.5637650541880941E-2</v>
      </c>
      <c r="AD16" s="1000">
        <f t="shared" si="11"/>
        <v>2.422628939177307E-2</v>
      </c>
      <c r="AE16" s="1000">
        <f t="shared" si="11"/>
        <v>2.3380096401964812E-2</v>
      </c>
      <c r="AF16" s="1000">
        <f t="shared" si="11"/>
        <v>2.2816227556263557E-2</v>
      </c>
      <c r="AG16" s="1000">
        <f t="shared" si="11"/>
        <v>2.2404728280640995E-2</v>
      </c>
      <c r="AH16" s="1000">
        <f t="shared" si="11"/>
        <v>2.2104033402843726E-2</v>
      </c>
      <c r="AI16" s="1000">
        <f t="shared" si="11"/>
        <v>2.1870180108774839E-2</v>
      </c>
      <c r="AJ16" s="1000">
        <f t="shared" si="11"/>
        <v>2.168311039138171E-2</v>
      </c>
      <c r="AK16" s="1001">
        <f t="shared" si="11"/>
        <v>2.1524646230094202E-2</v>
      </c>
    </row>
    <row r="17" spans="2:37" ht="15.75">
      <c r="B17" s="646">
        <v>21794</v>
      </c>
      <c r="C17" s="1322">
        <v>22.731999999999999</v>
      </c>
      <c r="E17" s="1306"/>
      <c r="F17" s="1306"/>
      <c r="G17" s="1298"/>
      <c r="H17" s="1302">
        <v>43831</v>
      </c>
      <c r="I17" s="1291">
        <v>0.188</v>
      </c>
      <c r="K17" s="80">
        <v>42552</v>
      </c>
      <c r="L17" s="81">
        <v>-8.8000000000000005E-3</v>
      </c>
      <c r="M17" s="81">
        <v>4.1200000000000001E-2</v>
      </c>
      <c r="O17" s="153">
        <v>26115</v>
      </c>
      <c r="P17" s="881">
        <f t="shared" si="1"/>
        <v>31.32</v>
      </c>
      <c r="Q17"/>
      <c r="R17" s="998">
        <f t="shared" si="5"/>
        <v>141.42822220800002</v>
      </c>
      <c r="S17" s="1244">
        <v>46204</v>
      </c>
      <c r="T17" s="999"/>
      <c r="U17" s="1000"/>
      <c r="V17" s="1000"/>
      <c r="W17" s="1000"/>
      <c r="X17" s="1000"/>
      <c r="Y17" s="1000"/>
      <c r="Z17" s="1000"/>
      <c r="AA17" s="1000"/>
      <c r="AB17" s="1000">
        <f t="shared" ref="AB17:AK17" si="12">_xlfn.RRI(YEARFRAC($S17,AB$10,3),$R17,AB$9)</f>
        <v>2.4999999999999911E-2</v>
      </c>
      <c r="AC17" s="1000">
        <f t="shared" si="12"/>
        <v>2.3466380330984915E-2</v>
      </c>
      <c r="AD17" s="1000">
        <f t="shared" si="12"/>
        <v>2.2310668132112133E-2</v>
      </c>
      <c r="AE17" s="1000">
        <f t="shared" si="12"/>
        <v>2.1732906442843092E-2</v>
      </c>
      <c r="AF17" s="1000">
        <f t="shared" si="12"/>
        <v>2.1386279687765519E-2</v>
      </c>
      <c r="AG17" s="1000">
        <f t="shared" si="12"/>
        <v>2.1145455378004829E-2</v>
      </c>
      <c r="AH17" s="1000">
        <f t="shared" si="12"/>
        <v>2.0981868215828703E-2</v>
      </c>
      <c r="AI17" s="1000">
        <f t="shared" si="12"/>
        <v>2.0859167055791605E-2</v>
      </c>
      <c r="AJ17" s="1000">
        <f t="shared" si="12"/>
        <v>2.0763726426964002E-2</v>
      </c>
      <c r="AK17" s="1001">
        <f t="shared" si="12"/>
        <v>2.0681648616484694E-2</v>
      </c>
    </row>
    <row r="18" spans="2:37" ht="15.75">
      <c r="B18" s="646">
        <v>21824</v>
      </c>
      <c r="C18" s="1322">
        <v>22.731999999999999</v>
      </c>
      <c r="E18" s="1306"/>
      <c r="F18" s="1306"/>
      <c r="G18" s="1298"/>
      <c r="H18" s="1302">
        <v>44197</v>
      </c>
      <c r="I18" s="1291">
        <v>0.188</v>
      </c>
      <c r="K18" s="80">
        <v>42736</v>
      </c>
      <c r="L18" s="81">
        <v>-8.8000000000000005E-3</v>
      </c>
      <c r="M18" s="81">
        <v>4.1200000000000001E-2</v>
      </c>
      <c r="O18" s="153">
        <v>26481</v>
      </c>
      <c r="P18" s="881">
        <f t="shared" si="1"/>
        <v>33.003999999999998</v>
      </c>
      <c r="Q18"/>
      <c r="R18" s="998">
        <f t="shared" si="5"/>
        <v>144.96392776320002</v>
      </c>
      <c r="S18" s="1244">
        <v>46569</v>
      </c>
      <c r="T18" s="999"/>
      <c r="U18" s="1000"/>
      <c r="V18" s="1000"/>
      <c r="W18" s="1000"/>
      <c r="X18" s="1000"/>
      <c r="Y18" s="1000"/>
      <c r="Z18" s="1000"/>
      <c r="AA18" s="1000"/>
      <c r="AB18" s="1000"/>
      <c r="AC18" s="1000">
        <f t="shared" ref="AC18:AK18" si="13">_xlfn.RRI(YEARFRAC($S18,AC$10,3),$R18,AC$9)</f>
        <v>2.1939236110825933E-2</v>
      </c>
      <c r="AD18" s="1000">
        <f t="shared" si="13"/>
        <v>2.0970484058202343E-2</v>
      </c>
      <c r="AE18" s="1000">
        <f t="shared" si="13"/>
        <v>2.0647182024824628E-2</v>
      </c>
      <c r="AF18" s="1000">
        <f t="shared" si="13"/>
        <v>2.0485458792603328E-2</v>
      </c>
      <c r="AG18" s="1000">
        <f t="shared" si="13"/>
        <v>2.0377129301152541E-2</v>
      </c>
      <c r="AH18" s="1000">
        <f t="shared" si="13"/>
        <v>2.0314322092256587E-2</v>
      </c>
      <c r="AI18" s="1000">
        <f t="shared" si="13"/>
        <v>2.0269448132255619E-2</v>
      </c>
      <c r="AJ18" s="1000">
        <f t="shared" si="13"/>
        <v>2.023578627920597E-2</v>
      </c>
      <c r="AK18" s="1001">
        <f t="shared" si="13"/>
        <v>2.0203392906347206E-2</v>
      </c>
    </row>
    <row r="19" spans="2:37" ht="15.75">
      <c r="B19" s="646">
        <v>21855</v>
      </c>
      <c r="C19" s="1322">
        <v>22.984999999999999</v>
      </c>
      <c r="E19" s="1306"/>
      <c r="F19" s="1306"/>
      <c r="G19" s="1298"/>
      <c r="H19" s="1302">
        <v>44562</v>
      </c>
      <c r="I19" s="1291">
        <v>0.188</v>
      </c>
      <c r="K19" s="80">
        <v>42917</v>
      </c>
      <c r="L19" s="81">
        <v>-8.8000000000000005E-3</v>
      </c>
      <c r="M19" s="81">
        <v>4.1200000000000001E-2</v>
      </c>
      <c r="O19" s="153">
        <v>26846</v>
      </c>
      <c r="P19" s="881">
        <f t="shared" si="1"/>
        <v>35.362000000000002</v>
      </c>
      <c r="Q19"/>
      <c r="R19" s="998">
        <f t="shared" si="5"/>
        <v>148.15313417399042</v>
      </c>
      <c r="S19" s="1244">
        <v>46935</v>
      </c>
      <c r="T19" s="999"/>
      <c r="U19" s="1000"/>
      <c r="V19" s="1000"/>
      <c r="W19" s="1000"/>
      <c r="X19" s="1000"/>
      <c r="Y19" s="1000"/>
      <c r="Z19" s="1000"/>
      <c r="AA19" s="1000"/>
      <c r="AB19" s="1000"/>
      <c r="AC19" s="1000"/>
      <c r="AD19" s="1000">
        <f t="shared" ref="AD19:AK19" si="14">_xlfn.RRI(YEARFRAC($S19,AD$10,3),$R19,AD$9)</f>
        <v>2.0000000000000018E-2</v>
      </c>
      <c r="AE19" s="1000">
        <f t="shared" si="14"/>
        <v>2.0000000000000018E-2</v>
      </c>
      <c r="AF19" s="1000">
        <f t="shared" si="14"/>
        <v>2.0000000000000018E-2</v>
      </c>
      <c r="AG19" s="1000">
        <f t="shared" si="14"/>
        <v>1.9986174850818106E-2</v>
      </c>
      <c r="AH19" s="1000">
        <f t="shared" si="14"/>
        <v>1.9988938351414465E-2</v>
      </c>
      <c r="AI19" s="1000">
        <f t="shared" si="14"/>
        <v>1.999078110973862E-2</v>
      </c>
      <c r="AJ19" s="1000">
        <f t="shared" si="14"/>
        <v>1.9992097573709788E-2</v>
      </c>
      <c r="AK19" s="1001">
        <f t="shared" si="14"/>
        <v>1.9986174850818106E-2</v>
      </c>
    </row>
    <row r="20" spans="2:37" ht="15.75">
      <c r="B20" s="646">
        <v>21885</v>
      </c>
      <c r="C20" s="1322">
        <v>22.901</v>
      </c>
      <c r="E20" s="1306"/>
      <c r="F20" s="1306"/>
      <c r="G20" s="1298"/>
      <c r="H20" s="1307"/>
      <c r="I20" s="1292"/>
      <c r="K20" s="80">
        <v>43101</v>
      </c>
      <c r="L20" s="81">
        <v>-8.8000000000000005E-3</v>
      </c>
      <c r="M20" s="81">
        <v>4.1200000000000001E-2</v>
      </c>
      <c r="O20" s="153">
        <v>27211</v>
      </c>
      <c r="P20" s="881">
        <f t="shared" si="1"/>
        <v>37.802999999999997</v>
      </c>
      <c r="Q20"/>
      <c r="R20" s="998">
        <f t="shared" si="5"/>
        <v>151.11619685747024</v>
      </c>
      <c r="S20" s="1244">
        <v>47300</v>
      </c>
      <c r="T20" s="999"/>
      <c r="U20" s="1000"/>
      <c r="V20" s="1000"/>
      <c r="W20" s="1000"/>
      <c r="X20" s="1000"/>
      <c r="Y20" s="1000"/>
      <c r="Z20" s="1000"/>
      <c r="AA20" s="1000"/>
      <c r="AB20" s="1000"/>
      <c r="AC20" s="1000"/>
      <c r="AD20" s="1000"/>
      <c r="AE20" s="1000">
        <f t="shared" ref="AE20:AK20" si="15">_xlfn.RRI(YEARFRAC($S20,AE$10,3),$R20,AE$9)</f>
        <v>2.0000000000000018E-2</v>
      </c>
      <c r="AF20" s="1000">
        <f t="shared" si="15"/>
        <v>1.9999999999999796E-2</v>
      </c>
      <c r="AG20" s="1000">
        <f t="shared" si="15"/>
        <v>1.9981570714080688E-2</v>
      </c>
      <c r="AH20" s="1000">
        <f t="shared" si="15"/>
        <v>1.9986174850818106E-2</v>
      </c>
      <c r="AI20" s="1000">
        <f t="shared" si="15"/>
        <v>1.9988938351414465E-2</v>
      </c>
      <c r="AJ20" s="1000">
        <f t="shared" si="15"/>
        <v>1.9990781109738398E-2</v>
      </c>
      <c r="AK20" s="1001">
        <f t="shared" si="15"/>
        <v>1.9984201389585676E-2</v>
      </c>
    </row>
    <row r="21" spans="2:37" ht="15.75">
      <c r="B21" s="646">
        <v>21916</v>
      </c>
      <c r="C21" s="1322">
        <v>22.984999999999999</v>
      </c>
      <c r="E21" s="1306"/>
      <c r="F21" s="1306"/>
      <c r="G21" s="1298"/>
      <c r="H21" s="1307"/>
      <c r="I21" s="1292"/>
      <c r="K21" s="80">
        <v>43282</v>
      </c>
      <c r="L21" s="81">
        <v>-8.8000000000000005E-3</v>
      </c>
      <c r="M21" s="81">
        <v>4.1200000000000001E-2</v>
      </c>
      <c r="O21" s="153">
        <v>27576</v>
      </c>
      <c r="P21" s="881">
        <f t="shared" si="1"/>
        <v>40.161000000000001</v>
      </c>
      <c r="Q21"/>
      <c r="R21" s="998">
        <f t="shared" si="5"/>
        <v>154.13852079461964</v>
      </c>
      <c r="S21" s="1244">
        <v>47665</v>
      </c>
      <c r="T21" s="999"/>
      <c r="U21" s="1000"/>
      <c r="V21" s="1000"/>
      <c r="W21" s="1000"/>
      <c r="X21" s="1000"/>
      <c r="Y21" s="1000"/>
      <c r="Z21" s="1000"/>
      <c r="AA21" s="1000"/>
      <c r="AB21" s="1000"/>
      <c r="AC21" s="1000"/>
      <c r="AD21" s="1000"/>
      <c r="AE21" s="1000"/>
      <c r="AF21" s="1000">
        <f t="shared" ref="AF21:AK21" si="16">_xlfn.RRI(YEARFRAC($S21,AF$10,3),$R21,AF$9)</f>
        <v>2.0000000000000018E-2</v>
      </c>
      <c r="AG21" s="1000">
        <f t="shared" si="16"/>
        <v>1.9972368801291607E-2</v>
      </c>
      <c r="AH21" s="1000">
        <f t="shared" si="16"/>
        <v>1.998157071408091E-2</v>
      </c>
      <c r="AI21" s="1000">
        <f t="shared" si="16"/>
        <v>1.9986174850818106E-2</v>
      </c>
      <c r="AJ21" s="1000">
        <f t="shared" si="16"/>
        <v>1.9988938351414465E-2</v>
      </c>
      <c r="AK21" s="1001">
        <f t="shared" si="16"/>
        <v>1.998157071408091E-2</v>
      </c>
    </row>
    <row r="22" spans="2:37" ht="15.75">
      <c r="B22" s="646">
        <v>21947</v>
      </c>
      <c r="C22" s="1322">
        <v>23.068999999999999</v>
      </c>
      <c r="E22" s="1306"/>
      <c r="F22" s="1306"/>
      <c r="G22" s="1298"/>
      <c r="H22" s="1307"/>
      <c r="I22" s="1292"/>
      <c r="K22" s="80">
        <v>43466</v>
      </c>
      <c r="L22" s="81">
        <v>-8.8000000000000005E-3</v>
      </c>
      <c r="M22" s="81">
        <v>4.1200000000000001E-2</v>
      </c>
      <c r="O22" s="153">
        <v>27942</v>
      </c>
      <c r="P22" s="881">
        <f t="shared" si="1"/>
        <v>41.676000000000002</v>
      </c>
      <c r="Q22"/>
      <c r="R22" s="998">
        <f t="shared" si="5"/>
        <v>157.22129121051202</v>
      </c>
      <c r="S22" s="1244">
        <v>48030</v>
      </c>
      <c r="T22" s="999"/>
      <c r="U22" s="1000"/>
      <c r="V22" s="1000"/>
      <c r="W22" s="1000"/>
      <c r="X22" s="1000"/>
      <c r="Y22" s="1000"/>
      <c r="Z22" s="1000"/>
      <c r="AA22" s="1000"/>
      <c r="AB22" s="1000"/>
      <c r="AC22" s="1000"/>
      <c r="AD22" s="1000"/>
      <c r="AE22" s="1000"/>
      <c r="AF22" s="1000"/>
      <c r="AG22" s="1000">
        <f>_xlfn.RRI(YEARFRAC($S22,AG$10,3),$R22,AG$9)</f>
        <v>1.9944813843109976E-2</v>
      </c>
      <c r="AH22" s="1000">
        <f>_xlfn.RRI(YEARFRAC($S22,AH$10,3),$R22,AH$9)</f>
        <v>1.9972368801291829E-2</v>
      </c>
      <c r="AI22" s="1000">
        <f>_xlfn.RRI(YEARFRAC($S22,AI$10,3),$R22,AI$9)</f>
        <v>1.998157071408091E-2</v>
      </c>
      <c r="AJ22" s="1000">
        <f>_xlfn.RRI(YEARFRAC($S22,AJ$10,3),$R22,AJ$9)</f>
        <v>1.9986174850818106E-2</v>
      </c>
      <c r="AK22" s="1001">
        <f>_xlfn.RRI(YEARFRAC($S22,AK$10,3),$R22,AK$9)</f>
        <v>1.997788893167729E-2</v>
      </c>
    </row>
    <row r="23" spans="2:37" ht="15.75">
      <c r="B23" s="646">
        <v>21976</v>
      </c>
      <c r="C23" s="1322">
        <v>22.984999999999999</v>
      </c>
      <c r="E23" s="1306"/>
      <c r="F23" s="1306"/>
      <c r="G23" s="1298"/>
      <c r="H23" s="1307"/>
      <c r="I23" s="1292"/>
      <c r="K23" s="156">
        <v>44927</v>
      </c>
      <c r="L23" s="81">
        <v>1.6199999999999999E-2</v>
      </c>
      <c r="M23" s="81">
        <f>5%+L23</f>
        <v>6.6200000000000009E-2</v>
      </c>
      <c r="O23" s="153">
        <v>28307</v>
      </c>
      <c r="P23" s="881">
        <f t="shared" si="1"/>
        <v>43.276000000000003</v>
      </c>
      <c r="Q23"/>
      <c r="R23" s="998">
        <f t="shared" si="5"/>
        <v>160.36571703472225</v>
      </c>
      <c r="S23" s="1244">
        <v>48396</v>
      </c>
      <c r="T23" s="999"/>
      <c r="U23" s="1000"/>
      <c r="V23" s="1000"/>
      <c r="W23" s="1000"/>
      <c r="X23" s="1000"/>
      <c r="Y23" s="1000"/>
      <c r="Z23" s="1000"/>
      <c r="AA23" s="1000"/>
      <c r="AB23" s="1000"/>
      <c r="AC23" s="1000"/>
      <c r="AD23" s="1000"/>
      <c r="AE23" s="1000"/>
      <c r="AF23" s="1000"/>
      <c r="AG23" s="1000"/>
      <c r="AH23" s="1000">
        <f>_xlfn.RRI(YEARFRAC($S23,AH$10,3),$R23,AH$9)</f>
        <v>2.0000000000000018E-2</v>
      </c>
      <c r="AI23" s="1000">
        <f>_xlfn.RRI(YEARFRAC($S23,AI$10,3),$R23,AI$9)</f>
        <v>2.0000000000000018E-2</v>
      </c>
      <c r="AJ23" s="1000">
        <f>_xlfn.RRI(YEARFRAC($S23,AJ$10,3),$R23,AJ$9)</f>
        <v>2.0000000000000018E-2</v>
      </c>
      <c r="AK23" s="1001">
        <f>_xlfn.RRI(YEARFRAC($S23,AK$10,3),$R23,AK$9)</f>
        <v>1.9986174850818106E-2</v>
      </c>
    </row>
    <row r="24" spans="2:37" ht="15.75">
      <c r="B24" s="646">
        <v>22007</v>
      </c>
      <c r="C24" s="1322">
        <v>22.984999999999999</v>
      </c>
      <c r="E24" s="1306"/>
      <c r="F24" s="1306"/>
      <c r="G24" s="1298"/>
      <c r="H24" s="1307"/>
      <c r="I24" s="1292"/>
      <c r="K24" s="640"/>
      <c r="L24" s="640"/>
      <c r="M24" s="640"/>
      <c r="O24" s="153">
        <v>28672</v>
      </c>
      <c r="P24" s="881">
        <f t="shared" si="1"/>
        <v>44.454999999999998</v>
      </c>
      <c r="Q24"/>
      <c r="R24" s="998">
        <f t="shared" si="5"/>
        <v>163.57303137541669</v>
      </c>
      <c r="S24" s="1244">
        <v>48761</v>
      </c>
      <c r="T24" s="999"/>
      <c r="U24" s="1000"/>
      <c r="V24" s="1000"/>
      <c r="W24" s="1000"/>
      <c r="X24" s="1000"/>
      <c r="Y24" s="1000"/>
      <c r="Z24" s="1000"/>
      <c r="AA24" s="1000"/>
      <c r="AB24" s="1000"/>
      <c r="AC24" s="1000"/>
      <c r="AD24" s="1000"/>
      <c r="AE24" s="1000"/>
      <c r="AF24" s="1000"/>
      <c r="AG24" s="1000"/>
      <c r="AH24" s="1000"/>
      <c r="AI24" s="1000">
        <f>_xlfn.RRI(YEARFRAC($S24,AI$10,3),$R24,AI$9)</f>
        <v>2.0000000000000018E-2</v>
      </c>
      <c r="AJ24" s="1000">
        <f>_xlfn.RRI(YEARFRAC($S24,AJ$10,3),$R24,AJ$9)</f>
        <v>2.0000000000000018E-2</v>
      </c>
      <c r="AK24" s="1001">
        <f>_xlfn.RRI(YEARFRAC($S24,AK$10,3),$R24,AK$9)</f>
        <v>1.998157071408091E-2</v>
      </c>
    </row>
    <row r="25" spans="2:37" ht="15.75">
      <c r="B25" s="646">
        <v>22037</v>
      </c>
      <c r="C25" s="1322">
        <v>22.984999999999999</v>
      </c>
      <c r="E25" s="1306"/>
      <c r="F25" s="1306"/>
      <c r="G25" s="1298"/>
      <c r="H25" s="1307"/>
      <c r="I25" s="1292"/>
      <c r="L25"/>
      <c r="O25" s="153">
        <v>29037</v>
      </c>
      <c r="P25" s="881">
        <f t="shared" si="1"/>
        <v>46.475000000000001</v>
      </c>
      <c r="Q25"/>
      <c r="R25" s="998">
        <f t="shared" si="5"/>
        <v>166.84449200292502</v>
      </c>
      <c r="S25" s="1244">
        <v>49126</v>
      </c>
      <c r="T25" s="999"/>
      <c r="U25" s="1000"/>
      <c r="V25" s="1000"/>
      <c r="W25" s="1000"/>
      <c r="X25" s="1000"/>
      <c r="Y25" s="1000"/>
      <c r="Z25" s="1000"/>
      <c r="AA25" s="1000"/>
      <c r="AB25" s="1000"/>
      <c r="AC25" s="1000"/>
      <c r="AD25" s="1000"/>
      <c r="AE25" s="1000"/>
      <c r="AF25" s="1000"/>
      <c r="AG25" s="1000"/>
      <c r="AH25" s="1000"/>
      <c r="AI25" s="1000"/>
      <c r="AJ25" s="1000">
        <f>_xlfn.RRI(YEARFRAC($S25,AJ$10,3),$R25,AJ$9)</f>
        <v>2.0000000000000018E-2</v>
      </c>
      <c r="AK25" s="1001">
        <f>_xlfn.RRI(YEARFRAC($S25,AK$10,3),$R25,AK$9)</f>
        <v>1.9972368801291829E-2</v>
      </c>
    </row>
    <row r="26" spans="2:37" ht="15.75">
      <c r="B26" s="646">
        <v>22068</v>
      </c>
      <c r="C26" s="1322">
        <v>22.817</v>
      </c>
      <c r="L26"/>
      <c r="O26" s="153">
        <v>29403</v>
      </c>
      <c r="P26" s="881">
        <f t="shared" si="1"/>
        <v>48.832999999999998</v>
      </c>
      <c r="Q26"/>
      <c r="R26" s="998">
        <f t="shared" si="5"/>
        <v>170.18138184298351</v>
      </c>
      <c r="S26" s="1244">
        <v>49491</v>
      </c>
      <c r="T26" s="999"/>
      <c r="U26" s="1000"/>
      <c r="V26" s="1000"/>
      <c r="W26" s="1000"/>
      <c r="X26" s="1000"/>
      <c r="Y26" s="1000"/>
      <c r="Z26" s="1000"/>
      <c r="AA26" s="1000"/>
      <c r="AB26" s="1000"/>
      <c r="AC26" s="1000"/>
      <c r="AD26" s="1000"/>
      <c r="AE26" s="1000"/>
      <c r="AF26" s="1000"/>
      <c r="AG26" s="1000"/>
      <c r="AH26" s="1000"/>
      <c r="AI26" s="1000"/>
      <c r="AJ26" s="1000"/>
      <c r="AK26" s="1001">
        <f>_xlfn.RRI(YEARFRAC($S26,AK$10,3),$R26,AK$9)</f>
        <v>1.9944813843109976E-2</v>
      </c>
    </row>
    <row r="27" spans="2:37" ht="16.5" thickBot="1">
      <c r="B27" s="646">
        <v>22098</v>
      </c>
      <c r="C27" s="1322">
        <v>22.901</v>
      </c>
      <c r="L27"/>
      <c r="O27" s="153">
        <v>29768</v>
      </c>
      <c r="P27" s="881">
        <f t="shared" si="1"/>
        <v>52.031999999999996</v>
      </c>
      <c r="Q27"/>
      <c r="R27" s="998">
        <f t="shared" si="5"/>
        <v>173.58500947984319</v>
      </c>
      <c r="S27" s="1245">
        <v>49857</v>
      </c>
      <c r="T27" s="1002"/>
      <c r="U27" s="1003"/>
      <c r="V27" s="1003"/>
      <c r="W27" s="1003"/>
      <c r="X27" s="1003"/>
      <c r="Y27" s="1003"/>
      <c r="Z27" s="1003"/>
      <c r="AA27" s="1003"/>
      <c r="AB27" s="1003"/>
      <c r="AC27" s="1003"/>
      <c r="AD27" s="1003"/>
      <c r="AE27" s="1003"/>
      <c r="AF27" s="1003"/>
      <c r="AG27" s="1003"/>
      <c r="AH27" s="1003"/>
      <c r="AI27" s="1003"/>
      <c r="AJ27" s="1003"/>
      <c r="AK27" s="1004"/>
    </row>
    <row r="28" spans="2:37" ht="16.5" thickBot="1">
      <c r="B28" s="646">
        <v>22129</v>
      </c>
      <c r="C28" s="1322">
        <v>22.817</v>
      </c>
      <c r="L28"/>
      <c r="O28" s="153">
        <v>30133</v>
      </c>
      <c r="P28" s="881">
        <f t="shared" si="1"/>
        <v>54.811</v>
      </c>
      <c r="Q28"/>
      <c r="R28" s="998">
        <f>AK9</f>
        <v>173.58500947984319</v>
      </c>
      <c r="T28" s="1241"/>
      <c r="U28" s="1242"/>
      <c r="V28" s="1242"/>
      <c r="W28" s="1242"/>
      <c r="X28" s="1242"/>
      <c r="Y28" s="1242"/>
      <c r="Z28" s="1242"/>
      <c r="AA28" s="1242"/>
      <c r="AB28" s="1242"/>
      <c r="AC28" s="1242"/>
      <c r="AD28" s="1242"/>
      <c r="AE28" s="1242"/>
      <c r="AF28" s="1242"/>
      <c r="AG28" s="1242"/>
      <c r="AH28" s="1242"/>
      <c r="AI28" s="1242"/>
      <c r="AJ28" s="1242"/>
      <c r="AK28" s="1243"/>
    </row>
    <row r="29" spans="2:37" ht="15.75">
      <c r="B29" s="646">
        <v>22160</v>
      </c>
      <c r="C29" s="1322">
        <v>22.901</v>
      </c>
      <c r="E29" s="2132"/>
      <c r="F29" s="2132"/>
      <c r="G29" s="2132"/>
      <c r="L29"/>
      <c r="O29" s="153">
        <v>30498</v>
      </c>
      <c r="P29" s="881">
        <f t="shared" si="1"/>
        <v>56.326000000000001</v>
      </c>
      <c r="Q29"/>
      <c r="S29" s="59"/>
    </row>
    <row r="30" spans="2:37" ht="15.75">
      <c r="B30" s="646">
        <v>22190</v>
      </c>
      <c r="C30" s="1322">
        <v>22.984999999999999</v>
      </c>
      <c r="L30" s="157"/>
      <c r="O30" s="153">
        <v>30864</v>
      </c>
      <c r="P30" s="881">
        <f t="shared" si="1"/>
        <v>57.588999999999999</v>
      </c>
      <c r="Q30"/>
      <c r="S30" s="59"/>
    </row>
    <row r="31" spans="2:37" ht="15.75">
      <c r="B31" s="646">
        <v>22221</v>
      </c>
      <c r="C31" s="1322">
        <v>23.152999999999999</v>
      </c>
      <c r="L31"/>
      <c r="O31" s="153">
        <v>31229</v>
      </c>
      <c r="P31" s="881">
        <f t="shared" si="1"/>
        <v>58.768000000000001</v>
      </c>
      <c r="Q31"/>
      <c r="S31" s="59"/>
    </row>
    <row r="32" spans="2:37" ht="15.75">
      <c r="B32" s="646">
        <v>22251</v>
      </c>
      <c r="C32" s="1322">
        <v>23.152999999999999</v>
      </c>
      <c r="L32"/>
      <c r="O32" s="153">
        <v>31594</v>
      </c>
      <c r="P32" s="881">
        <f t="shared" si="1"/>
        <v>58.598999999999997</v>
      </c>
      <c r="Q32" s="157">
        <f>PV(5.5%,2,,200000)</f>
        <v>-179690.48314278657</v>
      </c>
      <c r="S32" s="59"/>
    </row>
    <row r="33" spans="2:57" ht="15.75">
      <c r="B33" s="646">
        <v>22282</v>
      </c>
      <c r="C33" s="1322">
        <v>23.321999999999999</v>
      </c>
      <c r="L33"/>
      <c r="O33" s="153">
        <v>31959</v>
      </c>
      <c r="P33" s="881">
        <f t="shared" si="1"/>
        <v>58.936</v>
      </c>
      <c r="Q33"/>
    </row>
    <row r="34" spans="2:57" ht="15.75">
      <c r="B34" s="646">
        <v>22313</v>
      </c>
      <c r="C34" s="1322">
        <v>23.49</v>
      </c>
      <c r="L34"/>
      <c r="O34" s="153">
        <v>32325</v>
      </c>
      <c r="P34" s="881">
        <f t="shared" si="1"/>
        <v>59.61</v>
      </c>
      <c r="Q34"/>
    </row>
    <row r="35" spans="2:57" ht="15.75">
      <c r="B35" s="646">
        <v>22341</v>
      </c>
      <c r="C35" s="1322">
        <v>23.405999999999999</v>
      </c>
      <c r="L35"/>
      <c r="O35" s="153">
        <v>32690</v>
      </c>
      <c r="P35" s="881">
        <f t="shared" si="1"/>
        <v>61.292999999999999</v>
      </c>
      <c r="Q35"/>
    </row>
    <row r="36" spans="2:57" ht="15.75">
      <c r="B36" s="646">
        <v>22372</v>
      </c>
      <c r="C36" s="1322">
        <v>23.405999999999999</v>
      </c>
      <c r="L36"/>
      <c r="O36" s="153">
        <v>33055</v>
      </c>
      <c r="P36" s="881">
        <f t="shared" ref="P36:P67" si="17">VLOOKUP(O36,VPI,2)</f>
        <v>62.725000000000001</v>
      </c>
      <c r="Q36"/>
    </row>
    <row r="37" spans="2:57" ht="15.75">
      <c r="B37" s="646">
        <v>22402</v>
      </c>
      <c r="C37" s="1322">
        <v>23.405999999999999</v>
      </c>
      <c r="L37"/>
      <c r="O37" s="153">
        <v>33420</v>
      </c>
      <c r="P37" s="881">
        <f t="shared" si="17"/>
        <v>65.852999999999994</v>
      </c>
      <c r="Q37"/>
    </row>
    <row r="38" spans="2:57" ht="15.75">
      <c r="B38" s="646">
        <v>22433</v>
      </c>
      <c r="C38" s="1322">
        <v>23.405999999999999</v>
      </c>
      <c r="L38"/>
      <c r="O38" s="153">
        <v>33786</v>
      </c>
      <c r="P38" s="881">
        <f t="shared" si="17"/>
        <v>69.117999999999995</v>
      </c>
      <c r="Q38"/>
    </row>
    <row r="39" spans="2:57" ht="15.75">
      <c r="B39" s="646">
        <v>22463</v>
      </c>
      <c r="C39" s="1322">
        <v>23.49</v>
      </c>
      <c r="L39"/>
      <c r="O39" s="153">
        <v>34151</v>
      </c>
      <c r="P39" s="881">
        <f t="shared" si="17"/>
        <v>72.289000000000001</v>
      </c>
      <c r="Q39"/>
    </row>
    <row r="40" spans="2:57" ht="15.75">
      <c r="B40" s="646">
        <v>22494</v>
      </c>
      <c r="C40" s="1322">
        <v>23.49</v>
      </c>
      <c r="L40"/>
      <c r="O40" s="153">
        <v>34516</v>
      </c>
      <c r="P40" s="881">
        <f t="shared" si="17"/>
        <v>74.061999999999998</v>
      </c>
      <c r="Q40"/>
    </row>
    <row r="41" spans="2:57" ht="15.75">
      <c r="B41" s="646">
        <v>22525</v>
      </c>
      <c r="C41" s="1322">
        <v>23.574000000000002</v>
      </c>
      <c r="L41"/>
      <c r="O41" s="153">
        <v>34881</v>
      </c>
      <c r="P41" s="881">
        <f t="shared" si="17"/>
        <v>75.274000000000001</v>
      </c>
      <c r="Q41"/>
    </row>
    <row r="42" spans="2:57" ht="15.75">
      <c r="B42" s="646">
        <v>22555</v>
      </c>
      <c r="C42" s="1322">
        <v>23.574000000000002</v>
      </c>
      <c r="L42"/>
      <c r="O42" s="153">
        <v>35247</v>
      </c>
      <c r="P42" s="881">
        <f t="shared" si="17"/>
        <v>76.3</v>
      </c>
      <c r="Q42"/>
    </row>
    <row r="43" spans="2:57" ht="15.75">
      <c r="B43" s="646">
        <v>22586</v>
      </c>
      <c r="C43" s="1322">
        <v>23.742999999999999</v>
      </c>
      <c r="L43"/>
      <c r="O43" s="153">
        <v>35612</v>
      </c>
      <c r="P43" s="881">
        <f t="shared" si="17"/>
        <v>78.072000000000003</v>
      </c>
      <c r="Q43"/>
      <c r="S43" s="59"/>
      <c r="U43" s="937"/>
      <c r="V43" s="937"/>
      <c r="W43" s="937"/>
      <c r="X43" s="937"/>
      <c r="Y43" s="937"/>
      <c r="Z43" s="937"/>
      <c r="AA43" s="937"/>
      <c r="AB43" s="937"/>
      <c r="AC43" s="937"/>
      <c r="AD43" s="937"/>
      <c r="AE43" s="937"/>
      <c r="AF43" s="937"/>
      <c r="AG43" s="937"/>
      <c r="AH43" s="937"/>
      <c r="AI43" s="937"/>
      <c r="AJ43" s="937"/>
      <c r="AK43" s="937"/>
      <c r="AL43" s="937"/>
      <c r="AM43" s="937"/>
      <c r="AN43" s="937"/>
      <c r="AO43" s="937"/>
      <c r="AP43" s="937"/>
      <c r="AQ43" s="937"/>
      <c r="AR43" s="937"/>
      <c r="AS43" s="937"/>
      <c r="AT43" s="937"/>
      <c r="AU43" s="937"/>
      <c r="AV43" s="937"/>
      <c r="AW43" s="937"/>
      <c r="AX43" s="937"/>
      <c r="AY43" s="937"/>
      <c r="AZ43" s="937"/>
      <c r="BA43" s="937"/>
      <c r="BB43" s="937"/>
      <c r="BC43" s="937"/>
      <c r="BD43" s="937"/>
      <c r="BE43" s="937"/>
    </row>
    <row r="44" spans="2:57" ht="15.75">
      <c r="B44" s="646">
        <v>22616</v>
      </c>
      <c r="C44" s="1322">
        <v>23.827000000000002</v>
      </c>
      <c r="L44"/>
      <c r="O44" s="153">
        <v>35977</v>
      </c>
      <c r="P44" s="881">
        <f t="shared" si="17"/>
        <v>78.724999999999994</v>
      </c>
      <c r="Q44"/>
      <c r="S44" s="938"/>
      <c r="T44" s="938"/>
      <c r="U44" s="938"/>
      <c r="V44" s="938"/>
      <c r="W44" s="938"/>
      <c r="X44" s="938"/>
      <c r="Y44" s="938"/>
      <c r="Z44" s="938"/>
      <c r="AA44" s="938"/>
      <c r="AB44" s="938"/>
      <c r="AC44" s="938"/>
      <c r="AD44" s="938"/>
      <c r="AE44" s="938"/>
      <c r="AF44" s="938"/>
      <c r="AG44" s="938"/>
      <c r="AH44" s="938"/>
      <c r="AI44" s="938"/>
      <c r="AJ44" s="938"/>
      <c r="AK44" s="938"/>
      <c r="AL44" s="938"/>
      <c r="AM44" s="938"/>
      <c r="AN44" s="938"/>
      <c r="AO44" s="938"/>
      <c r="AP44" s="938"/>
      <c r="AQ44" s="938"/>
      <c r="AR44" s="938"/>
      <c r="AS44" s="938"/>
      <c r="AT44" s="938"/>
      <c r="AU44" s="938"/>
      <c r="AV44" s="938"/>
      <c r="AW44" s="938"/>
      <c r="AX44" s="938"/>
      <c r="AY44" s="938"/>
      <c r="AZ44" s="938"/>
      <c r="BA44" s="938"/>
      <c r="BB44" s="938"/>
      <c r="BC44" s="938"/>
      <c r="BD44" s="938"/>
      <c r="BE44" s="938"/>
    </row>
    <row r="45" spans="2:57" ht="15.75">
      <c r="B45" s="646">
        <v>22647</v>
      </c>
      <c r="C45" s="1322">
        <v>23.995000000000001</v>
      </c>
      <c r="L45"/>
      <c r="O45" s="153">
        <v>36342</v>
      </c>
      <c r="P45" s="881">
        <f t="shared" si="17"/>
        <v>79.191999999999993</v>
      </c>
      <c r="Q45"/>
      <c r="S45" s="939"/>
      <c r="T45" s="939"/>
      <c r="U45" s="938"/>
      <c r="V45" s="938"/>
      <c r="W45" s="938"/>
      <c r="X45" s="938"/>
      <c r="Y45" s="938"/>
      <c r="Z45" s="938"/>
      <c r="AA45" s="938"/>
      <c r="AB45" s="938"/>
      <c r="AC45" s="938"/>
      <c r="AD45" s="938"/>
      <c r="AE45" s="938"/>
      <c r="AF45" s="938"/>
      <c r="AG45" s="938"/>
      <c r="AH45" s="938"/>
      <c r="AI45" s="938"/>
      <c r="AJ45" s="938"/>
      <c r="AK45" s="938"/>
      <c r="AL45" s="938"/>
      <c r="AM45" s="938"/>
      <c r="AN45" s="938"/>
      <c r="AO45" s="938"/>
      <c r="AP45" s="938"/>
      <c r="AQ45" s="938"/>
      <c r="AR45" s="938"/>
      <c r="AS45" s="938"/>
      <c r="AT45" s="938"/>
      <c r="AU45" s="938"/>
      <c r="AV45" s="938"/>
      <c r="AW45" s="938"/>
      <c r="AX45" s="938"/>
      <c r="AY45" s="938"/>
      <c r="AZ45" s="938"/>
      <c r="BA45" s="938"/>
      <c r="BB45" s="938"/>
      <c r="BC45" s="938"/>
      <c r="BD45" s="938"/>
      <c r="BE45" s="938"/>
    </row>
    <row r="46" spans="2:57" ht="15.75">
      <c r="B46" s="646">
        <v>22678</v>
      </c>
      <c r="C46" s="1322">
        <v>24.164000000000001</v>
      </c>
      <c r="L46"/>
      <c r="O46" s="153">
        <v>36708</v>
      </c>
      <c r="P46" s="881">
        <f t="shared" si="17"/>
        <v>80.218000000000004</v>
      </c>
      <c r="Q46" s="154"/>
      <c r="U46" s="938"/>
      <c r="V46" s="938"/>
      <c r="W46" s="938"/>
      <c r="X46" s="938"/>
      <c r="Y46" s="938"/>
      <c r="Z46" s="938"/>
      <c r="AA46" s="938"/>
      <c r="AB46" s="938"/>
      <c r="AC46" s="938"/>
      <c r="AD46" s="938"/>
      <c r="AE46" s="938"/>
      <c r="AF46" s="938"/>
      <c r="AG46" s="938"/>
      <c r="AH46" s="938"/>
      <c r="AI46" s="938"/>
      <c r="AJ46" s="938"/>
      <c r="AK46" s="938"/>
      <c r="AL46" s="938"/>
      <c r="AM46" s="938"/>
      <c r="AN46" s="938"/>
      <c r="AO46" s="938"/>
      <c r="AP46" s="938"/>
      <c r="AQ46" s="938"/>
      <c r="AR46" s="938"/>
      <c r="AS46" s="938"/>
      <c r="AT46" s="938"/>
      <c r="AU46" s="938"/>
      <c r="AV46" s="938"/>
      <c r="AW46" s="938"/>
      <c r="AX46" s="938"/>
      <c r="AY46" s="938"/>
      <c r="AZ46" s="938"/>
      <c r="BA46" s="938"/>
      <c r="BB46" s="938"/>
      <c r="BC46" s="938"/>
      <c r="BD46" s="938"/>
      <c r="BE46" s="938"/>
    </row>
    <row r="47" spans="2:57" ht="15.75">
      <c r="B47" s="646">
        <v>22706</v>
      </c>
      <c r="C47" s="1322">
        <v>24.164000000000001</v>
      </c>
      <c r="L47"/>
      <c r="O47" s="153">
        <v>37073</v>
      </c>
      <c r="P47" s="881">
        <f t="shared" si="17"/>
        <v>81.897000000000006</v>
      </c>
      <c r="Q47" s="154"/>
    </row>
    <row r="48" spans="2:57" ht="15.75">
      <c r="B48" s="646">
        <v>22737</v>
      </c>
      <c r="C48" s="1322">
        <v>24.248000000000001</v>
      </c>
      <c r="L48"/>
      <c r="O48" s="153">
        <v>37438</v>
      </c>
      <c r="P48" s="881">
        <f t="shared" si="17"/>
        <v>82.83</v>
      </c>
      <c r="Q48" s="154"/>
    </row>
    <row r="49" spans="2:17" ht="15.75">
      <c r="B49" s="646">
        <v>22767</v>
      </c>
      <c r="C49" s="1322">
        <v>24.164000000000001</v>
      </c>
      <c r="L49"/>
      <c r="O49" s="153">
        <v>37803</v>
      </c>
      <c r="P49" s="881">
        <f t="shared" si="17"/>
        <v>83.668999999999997</v>
      </c>
      <c r="Q49" s="154"/>
    </row>
    <row r="50" spans="2:17" ht="15.75">
      <c r="B50" s="646">
        <v>22798</v>
      </c>
      <c r="C50" s="1322">
        <v>24.164000000000001</v>
      </c>
      <c r="L50"/>
      <c r="O50" s="153">
        <v>38169</v>
      </c>
      <c r="P50" s="881">
        <f t="shared" si="17"/>
        <v>85.161000000000001</v>
      </c>
      <c r="Q50" s="154"/>
    </row>
    <row r="51" spans="2:17" ht="15.75">
      <c r="B51" s="646">
        <v>22828</v>
      </c>
      <c r="C51" s="1322">
        <v>24.248000000000001</v>
      </c>
      <c r="L51"/>
      <c r="O51" s="153">
        <v>38534</v>
      </c>
      <c r="P51" s="881">
        <f t="shared" si="17"/>
        <v>86.466999999999999</v>
      </c>
      <c r="Q51" s="154"/>
    </row>
    <row r="52" spans="2:17" ht="15.75">
      <c r="B52" s="646">
        <v>22859</v>
      </c>
      <c r="C52" s="1322">
        <v>24.08</v>
      </c>
      <c r="L52"/>
      <c r="O52" s="153">
        <v>38899</v>
      </c>
      <c r="P52" s="881">
        <f t="shared" si="17"/>
        <v>88.052999999999997</v>
      </c>
      <c r="Q52" s="154"/>
    </row>
    <row r="53" spans="2:17" ht="15.75">
      <c r="B53" s="646">
        <v>22890</v>
      </c>
      <c r="C53" s="1322">
        <v>24.164000000000001</v>
      </c>
      <c r="L53"/>
      <c r="O53" s="153">
        <v>39264</v>
      </c>
      <c r="P53" s="881">
        <f t="shared" si="17"/>
        <v>89.825000000000003</v>
      </c>
      <c r="Q53" s="154"/>
    </row>
    <row r="54" spans="2:17" ht="15.75">
      <c r="B54" s="646">
        <v>22920</v>
      </c>
      <c r="C54" s="1322">
        <v>24.164000000000001</v>
      </c>
      <c r="L54"/>
      <c r="O54" s="153">
        <v>39630</v>
      </c>
      <c r="P54" s="881">
        <f t="shared" si="17"/>
        <v>92.81</v>
      </c>
      <c r="Q54" s="154"/>
    </row>
    <row r="55" spans="2:17" ht="15.75">
      <c r="B55" s="646">
        <v>22951</v>
      </c>
      <c r="C55" s="1322">
        <v>24.332000000000001</v>
      </c>
      <c r="L55"/>
      <c r="O55" s="153">
        <v>39995</v>
      </c>
      <c r="P55" s="881">
        <f t="shared" si="17"/>
        <v>92.343999999999994</v>
      </c>
      <c r="Q55" s="154"/>
    </row>
    <row r="56" spans="2:17" ht="15.75">
      <c r="B56" s="646">
        <v>22981</v>
      </c>
      <c r="C56" s="1322">
        <v>24.416</v>
      </c>
      <c r="L56"/>
      <c r="O56" s="153">
        <v>40360</v>
      </c>
      <c r="P56" s="881">
        <f t="shared" si="17"/>
        <v>93.37</v>
      </c>
      <c r="Q56" s="154"/>
    </row>
    <row r="57" spans="2:17" ht="15.75">
      <c r="B57" s="646">
        <v>23012</v>
      </c>
      <c r="C57" s="1322">
        <v>24.669</v>
      </c>
      <c r="L57"/>
      <c r="O57" s="153">
        <v>40725</v>
      </c>
      <c r="P57" s="881">
        <f t="shared" si="17"/>
        <v>95.328999999999994</v>
      </c>
      <c r="Q57" s="154"/>
    </row>
    <row r="58" spans="2:17" ht="15.75">
      <c r="B58" s="646">
        <v>23043</v>
      </c>
      <c r="C58" s="1322">
        <v>25.006</v>
      </c>
      <c r="L58"/>
      <c r="O58" s="153">
        <v>41091</v>
      </c>
      <c r="P58" s="881">
        <f t="shared" si="17"/>
        <v>97.100999999999999</v>
      </c>
      <c r="Q58" s="154"/>
    </row>
    <row r="59" spans="2:17" ht="15.75">
      <c r="B59" s="646">
        <v>23071</v>
      </c>
      <c r="C59" s="1322">
        <v>24.922000000000001</v>
      </c>
      <c r="L59"/>
      <c r="O59" s="153">
        <v>41456</v>
      </c>
      <c r="P59" s="881">
        <f t="shared" si="17"/>
        <v>98.965999999999994</v>
      </c>
      <c r="Q59" s="154"/>
    </row>
    <row r="60" spans="2:17" ht="15.75">
      <c r="B60" s="646">
        <v>23102</v>
      </c>
      <c r="C60" s="1322">
        <v>25.006</v>
      </c>
      <c r="L60"/>
      <c r="O60" s="153">
        <v>41821</v>
      </c>
      <c r="P60" s="881">
        <f t="shared" si="17"/>
        <v>99.805999999999997</v>
      </c>
      <c r="Q60" s="154"/>
    </row>
    <row r="61" spans="2:17" ht="15.75">
      <c r="B61" s="646">
        <v>23132</v>
      </c>
      <c r="C61" s="1322">
        <v>24.922000000000001</v>
      </c>
      <c r="L61"/>
      <c r="O61" s="153">
        <v>42186</v>
      </c>
      <c r="P61" s="881">
        <f t="shared" si="17"/>
        <v>100.6</v>
      </c>
      <c r="Q61" s="154"/>
    </row>
    <row r="62" spans="2:17" ht="15.75">
      <c r="B62" s="646">
        <v>23163</v>
      </c>
      <c r="C62" s="1322">
        <v>24.753</v>
      </c>
      <c r="L62"/>
      <c r="O62" s="153">
        <v>42552</v>
      </c>
      <c r="P62" s="881">
        <f t="shared" si="17"/>
        <v>101.1</v>
      </c>
      <c r="Q62" s="154"/>
    </row>
    <row r="63" spans="2:17" ht="15.75">
      <c r="B63" s="646">
        <v>23193</v>
      </c>
      <c r="C63" s="1322">
        <v>24.753</v>
      </c>
      <c r="L63"/>
      <c r="O63" s="153">
        <v>42917</v>
      </c>
      <c r="P63" s="881">
        <f t="shared" si="17"/>
        <v>102.5</v>
      </c>
      <c r="Q63" s="154"/>
    </row>
    <row r="64" spans="2:17" ht="15.75">
      <c r="B64" s="646">
        <v>23224</v>
      </c>
      <c r="C64" s="1322">
        <v>24.753</v>
      </c>
      <c r="L64"/>
      <c r="O64" s="153">
        <v>43282</v>
      </c>
      <c r="P64" s="881">
        <f t="shared" si="17"/>
        <v>104.4</v>
      </c>
      <c r="Q64" s="154"/>
    </row>
    <row r="65" spans="2:18" ht="15.75">
      <c r="B65" s="646">
        <v>23255</v>
      </c>
      <c r="C65" s="1322">
        <v>24.922000000000001</v>
      </c>
      <c r="L65"/>
      <c r="O65" s="153">
        <v>43647</v>
      </c>
      <c r="P65" s="881">
        <f t="shared" si="17"/>
        <v>106.2</v>
      </c>
      <c r="Q65" s="154"/>
    </row>
    <row r="66" spans="2:18" ht="15.75">
      <c r="B66" s="646">
        <v>23285</v>
      </c>
      <c r="C66" s="1322">
        <v>24.922000000000001</v>
      </c>
      <c r="L66"/>
      <c r="O66" s="153">
        <v>44013</v>
      </c>
      <c r="P66" s="881">
        <f t="shared" si="17"/>
        <v>106.1</v>
      </c>
      <c r="Q66" s="154"/>
    </row>
    <row r="67" spans="2:18" ht="15.75">
      <c r="B67" s="646">
        <v>23316</v>
      </c>
      <c r="C67" s="1322">
        <v>25.09</v>
      </c>
      <c r="L67"/>
      <c r="O67" s="153">
        <v>44378</v>
      </c>
      <c r="P67" s="881">
        <f t="shared" si="17"/>
        <v>110.1</v>
      </c>
      <c r="Q67" s="154"/>
    </row>
    <row r="68" spans="2:18" ht="15.75">
      <c r="B68" s="646">
        <v>23346</v>
      </c>
      <c r="C68" s="1322">
        <v>25.257999999999999</v>
      </c>
      <c r="L68"/>
      <c r="O68" s="153">
        <v>44743</v>
      </c>
      <c r="P68" s="881">
        <f>VLOOKUP(O68,VPI,2)</f>
        <v>118.4</v>
      </c>
      <c r="Q68" s="154"/>
    </row>
    <row r="69" spans="2:18" ht="15.75">
      <c r="B69" s="646">
        <v>23377</v>
      </c>
      <c r="C69" s="1322">
        <v>25.427</v>
      </c>
      <c r="L69"/>
      <c r="O69" s="153">
        <v>45108</v>
      </c>
      <c r="P69" s="881">
        <f>P68*(1+Q69)</f>
        <v>125.74080000000001</v>
      </c>
      <c r="Q69" s="60">
        <v>6.2E-2</v>
      </c>
    </row>
    <row r="70" spans="2:18" ht="15.75">
      <c r="B70" s="646">
        <v>23408</v>
      </c>
      <c r="C70" s="1322">
        <v>25.510999999999999</v>
      </c>
      <c r="L70"/>
      <c r="O70" s="153">
        <v>45474</v>
      </c>
      <c r="P70" s="881">
        <f t="shared" ref="P70:P86" si="18">P69*(1+Q70)</f>
        <v>132.02784000000003</v>
      </c>
      <c r="Q70" s="60">
        <v>0.05</v>
      </c>
    </row>
    <row r="71" spans="2:18" ht="15.75">
      <c r="B71" s="646">
        <v>23437</v>
      </c>
      <c r="C71" s="1322">
        <v>25.427</v>
      </c>
      <c r="L71"/>
      <c r="O71" s="153">
        <v>45839</v>
      </c>
      <c r="P71" s="881">
        <f t="shared" si="18"/>
        <v>137.30895360000002</v>
      </c>
      <c r="Q71" s="60">
        <v>0.04</v>
      </c>
    </row>
    <row r="72" spans="2:18" ht="15.75">
      <c r="B72" s="646">
        <v>23468</v>
      </c>
      <c r="C72" s="1322">
        <v>25.427</v>
      </c>
      <c r="G72" s="1308"/>
      <c r="L72"/>
      <c r="O72" s="153">
        <v>46204</v>
      </c>
      <c r="P72" s="881">
        <f t="shared" si="18"/>
        <v>141.42822220800002</v>
      </c>
      <c r="Q72" s="60">
        <v>0.03</v>
      </c>
    </row>
    <row r="73" spans="2:18" ht="15.75">
      <c r="B73" s="646">
        <v>23498</v>
      </c>
      <c r="C73" s="1322">
        <v>25.427</v>
      </c>
      <c r="G73" s="1308"/>
      <c r="L73"/>
      <c r="O73" s="153">
        <v>46569</v>
      </c>
      <c r="P73" s="881">
        <f t="shared" si="18"/>
        <v>144.96392776320002</v>
      </c>
      <c r="Q73" s="60">
        <v>2.5000000000000001E-2</v>
      </c>
    </row>
    <row r="74" spans="2:18" ht="15.75">
      <c r="B74" s="646">
        <v>23529</v>
      </c>
      <c r="C74" s="1322">
        <v>25.341999999999999</v>
      </c>
      <c r="G74" s="1308"/>
      <c r="L74"/>
      <c r="O74" s="153">
        <v>46935</v>
      </c>
      <c r="P74" s="881">
        <f t="shared" si="18"/>
        <v>148.15313417399042</v>
      </c>
      <c r="Q74" s="60">
        <v>2.1999999999999999E-2</v>
      </c>
    </row>
    <row r="75" spans="2:18" ht="15.75">
      <c r="B75" s="646">
        <v>23559</v>
      </c>
      <c r="C75" s="1322">
        <v>25.427</v>
      </c>
      <c r="G75" s="1308"/>
      <c r="L75"/>
      <c r="O75" s="153">
        <v>47300</v>
      </c>
      <c r="P75" s="881">
        <f t="shared" si="18"/>
        <v>151.11619685747024</v>
      </c>
      <c r="Q75" s="60">
        <v>0.02</v>
      </c>
    </row>
    <row r="76" spans="2:18" ht="15.75">
      <c r="B76" s="646">
        <v>23590</v>
      </c>
      <c r="C76" s="1322">
        <v>25.427</v>
      </c>
      <c r="G76" s="1308"/>
      <c r="L76"/>
      <c r="O76" s="153">
        <v>47665</v>
      </c>
      <c r="P76" s="881">
        <f t="shared" si="18"/>
        <v>154.13852079461964</v>
      </c>
      <c r="Q76" s="60">
        <v>0.02</v>
      </c>
    </row>
    <row r="77" spans="2:18" ht="15.75">
      <c r="B77" s="646">
        <v>23621</v>
      </c>
      <c r="C77" s="1322">
        <v>25.510999999999999</v>
      </c>
      <c r="G77" s="1308"/>
      <c r="L77"/>
      <c r="O77" s="153">
        <v>48030</v>
      </c>
      <c r="P77" s="881">
        <f t="shared" si="18"/>
        <v>157.22129121051202</v>
      </c>
      <c r="Q77" s="60">
        <v>0.02</v>
      </c>
    </row>
    <row r="78" spans="2:18" ht="15.75">
      <c r="B78" s="646">
        <v>23651</v>
      </c>
      <c r="C78" s="1322">
        <v>25.510999999999999</v>
      </c>
      <c r="G78" s="1308"/>
      <c r="L78"/>
      <c r="O78" s="153">
        <v>48396</v>
      </c>
      <c r="P78" s="881">
        <f t="shared" si="18"/>
        <v>160.36571703472225</v>
      </c>
      <c r="Q78" s="60">
        <v>0.02</v>
      </c>
    </row>
    <row r="79" spans="2:18" ht="15.75">
      <c r="B79" s="646">
        <v>23682</v>
      </c>
      <c r="C79" s="1322">
        <v>25.678999999999998</v>
      </c>
      <c r="G79" s="1308"/>
      <c r="L79"/>
      <c r="O79" s="153">
        <v>48761</v>
      </c>
      <c r="P79" s="881">
        <f t="shared" si="18"/>
        <v>163.57303137541669</v>
      </c>
      <c r="Q79" s="60">
        <v>0.02</v>
      </c>
    </row>
    <row r="80" spans="2:18" ht="15.75">
      <c r="B80" s="646">
        <v>23712</v>
      </c>
      <c r="C80" s="1322">
        <v>25.763000000000002</v>
      </c>
      <c r="G80" s="1308"/>
      <c r="L80"/>
      <c r="O80" s="153">
        <v>49126</v>
      </c>
      <c r="P80" s="881">
        <f t="shared" si="18"/>
        <v>166.84449200292502</v>
      </c>
      <c r="Q80" s="60">
        <v>0.02</v>
      </c>
      <c r="R80">
        <f>_xlfn.RRI(14,P67,P80)</f>
        <v>3.0136110093019308E-2</v>
      </c>
    </row>
    <row r="81" spans="2:21" ht="15.75">
      <c r="B81" s="646">
        <v>23743</v>
      </c>
      <c r="C81" s="1322">
        <v>25.931999999999999</v>
      </c>
      <c r="G81" s="1308"/>
      <c r="L81"/>
      <c r="O81" s="153">
        <v>49491</v>
      </c>
      <c r="P81" s="881">
        <f t="shared" si="18"/>
        <v>170.18138184298351</v>
      </c>
      <c r="Q81" s="60">
        <v>0.02</v>
      </c>
    </row>
    <row r="82" spans="2:21" ht="15.75">
      <c r="B82" s="646">
        <v>23774</v>
      </c>
      <c r="C82" s="1322">
        <v>26.015999999999998</v>
      </c>
      <c r="G82" s="1308"/>
      <c r="L82"/>
      <c r="O82" s="153">
        <v>49857</v>
      </c>
      <c r="P82" s="881">
        <f t="shared" si="18"/>
        <v>173.58500947984319</v>
      </c>
      <c r="Q82" s="60">
        <v>0.02</v>
      </c>
    </row>
    <row r="83" spans="2:21" ht="15.75">
      <c r="B83" s="646">
        <v>23802</v>
      </c>
      <c r="C83" s="1322">
        <v>25.931999999999999</v>
      </c>
      <c r="G83" s="1308"/>
      <c r="L83"/>
      <c r="O83" s="153">
        <v>50222</v>
      </c>
      <c r="P83" s="881">
        <f t="shared" si="18"/>
        <v>177.05670966944007</v>
      </c>
      <c r="Q83" s="60">
        <v>0.02</v>
      </c>
    </row>
    <row r="84" spans="2:21" ht="15.75">
      <c r="B84" s="646">
        <v>23833</v>
      </c>
      <c r="C84" s="1322">
        <v>26.1</v>
      </c>
      <c r="G84" s="1308"/>
      <c r="L84"/>
      <c r="O84" s="153">
        <v>50587</v>
      </c>
      <c r="P84" s="881">
        <f t="shared" si="18"/>
        <v>177.05670966944007</v>
      </c>
      <c r="Q84"/>
    </row>
    <row r="85" spans="2:21" ht="15.75">
      <c r="B85" s="646">
        <v>23863</v>
      </c>
      <c r="C85" s="1322">
        <v>26.184000000000001</v>
      </c>
      <c r="G85" s="1308"/>
      <c r="L85"/>
      <c r="O85" s="153">
        <v>50952</v>
      </c>
      <c r="P85" s="881">
        <f t="shared" si="18"/>
        <v>177.05670966944007</v>
      </c>
      <c r="Q85"/>
    </row>
    <row r="86" spans="2:21" ht="15.75">
      <c r="B86" s="646">
        <v>23894</v>
      </c>
      <c r="C86" s="1322">
        <v>26.268999999999998</v>
      </c>
      <c r="G86" s="1308"/>
      <c r="L86"/>
      <c r="O86" s="153">
        <v>51318</v>
      </c>
      <c r="P86" s="881">
        <f t="shared" si="18"/>
        <v>177.05670966944007</v>
      </c>
      <c r="Q86"/>
    </row>
    <row r="87" spans="2:21" ht="15.75">
      <c r="B87" s="646">
        <v>23924</v>
      </c>
      <c r="C87" s="1322">
        <v>26.437000000000001</v>
      </c>
      <c r="G87" s="1308"/>
      <c r="L87"/>
      <c r="S87" s="59">
        <v>44952</v>
      </c>
    </row>
    <row r="88" spans="2:21" ht="15.75">
      <c r="B88" s="646">
        <v>23955</v>
      </c>
      <c r="C88" s="1322">
        <v>26.353000000000002</v>
      </c>
      <c r="G88" s="1308"/>
      <c r="L88"/>
      <c r="S88" s="59">
        <v>45283</v>
      </c>
      <c r="T88" s="896">
        <f>+S88-S87</f>
        <v>331</v>
      </c>
      <c r="U88" s="59">
        <f>+DATE(YEAR(S88),1,DAY(S87)+T88/2)</f>
        <v>45117</v>
      </c>
    </row>
    <row r="89" spans="2:21" ht="15.75">
      <c r="B89" s="646">
        <v>23986</v>
      </c>
      <c r="C89" s="1322">
        <v>26.437000000000001</v>
      </c>
      <c r="G89" s="1308"/>
      <c r="L89"/>
    </row>
    <row r="90" spans="2:21" ht="15.75">
      <c r="B90" s="646">
        <v>24016</v>
      </c>
      <c r="C90" s="1322">
        <v>26.521000000000001</v>
      </c>
      <c r="G90" s="1308"/>
      <c r="L90"/>
    </row>
    <row r="91" spans="2:21" ht="15.75">
      <c r="B91" s="646">
        <v>24047</v>
      </c>
      <c r="C91" s="1322">
        <v>26.69</v>
      </c>
      <c r="G91" s="1308"/>
      <c r="L91"/>
    </row>
    <row r="92" spans="2:21" ht="15.75">
      <c r="B92" s="646">
        <v>24077</v>
      </c>
      <c r="C92" s="1322">
        <v>26.774000000000001</v>
      </c>
      <c r="G92" s="1308"/>
      <c r="L92"/>
    </row>
    <row r="93" spans="2:21" ht="15.75">
      <c r="B93" s="646">
        <v>24108</v>
      </c>
      <c r="C93" s="1322">
        <v>26.942</v>
      </c>
      <c r="G93" s="1308"/>
      <c r="L93"/>
    </row>
    <row r="94" spans="2:21" ht="15.75">
      <c r="B94" s="646">
        <v>24139</v>
      </c>
      <c r="C94" s="1322">
        <v>27.111000000000001</v>
      </c>
      <c r="G94" s="1308"/>
      <c r="L94"/>
    </row>
    <row r="95" spans="2:21" ht="15.75">
      <c r="B95" s="646">
        <v>24167</v>
      </c>
      <c r="C95" s="1322">
        <v>27.026</v>
      </c>
      <c r="L95"/>
    </row>
    <row r="96" spans="2:21" ht="15.75">
      <c r="B96" s="646">
        <v>24198</v>
      </c>
      <c r="C96" s="1322">
        <v>27.279</v>
      </c>
      <c r="L96"/>
    </row>
    <row r="97" spans="2:12" ht="15.75">
      <c r="B97" s="646">
        <v>24228</v>
      </c>
      <c r="C97" s="1322">
        <v>27.279</v>
      </c>
      <c r="L97"/>
    </row>
    <row r="98" spans="2:12" ht="15.75">
      <c r="B98" s="646">
        <v>24259</v>
      </c>
      <c r="C98" s="1322">
        <v>27.195</v>
      </c>
      <c r="L98"/>
    </row>
    <row r="99" spans="2:12" ht="15.75">
      <c r="B99" s="646">
        <v>24289</v>
      </c>
      <c r="C99" s="1322">
        <v>27.279</v>
      </c>
      <c r="L99"/>
    </row>
    <row r="100" spans="2:12" ht="15.75">
      <c r="B100" s="646">
        <v>24320</v>
      </c>
      <c r="C100" s="1322">
        <v>27.279</v>
      </c>
      <c r="L100"/>
    </row>
    <row r="101" spans="2:12" ht="15.75">
      <c r="B101" s="646">
        <v>24351</v>
      </c>
      <c r="C101" s="1322">
        <v>27.279</v>
      </c>
      <c r="L101"/>
    </row>
    <row r="102" spans="2:12" ht="15.75">
      <c r="B102" s="646">
        <v>24381</v>
      </c>
      <c r="C102" s="1322">
        <v>27.363</v>
      </c>
      <c r="L102"/>
    </row>
    <row r="103" spans="2:12" ht="15.75">
      <c r="B103" s="646">
        <v>24412</v>
      </c>
      <c r="C103" s="1322">
        <v>27.532</v>
      </c>
      <c r="L103"/>
    </row>
    <row r="104" spans="2:12" ht="15.75">
      <c r="B104" s="646">
        <v>24442</v>
      </c>
      <c r="C104" s="1322">
        <v>27.532</v>
      </c>
      <c r="L104"/>
    </row>
    <row r="105" spans="2:12" ht="15.75">
      <c r="B105" s="646">
        <v>24473</v>
      </c>
      <c r="C105" s="1322">
        <v>27.616</v>
      </c>
      <c r="L105"/>
    </row>
    <row r="106" spans="2:12" ht="15.75">
      <c r="B106" s="646">
        <v>24504</v>
      </c>
      <c r="C106" s="1322">
        <v>27.7</v>
      </c>
      <c r="L106"/>
    </row>
    <row r="107" spans="2:12" ht="15.75">
      <c r="B107" s="646">
        <v>24532</v>
      </c>
      <c r="C107" s="1322">
        <v>27.7</v>
      </c>
      <c r="L107"/>
    </row>
    <row r="108" spans="2:12" ht="15.75">
      <c r="B108" s="646">
        <v>24563</v>
      </c>
      <c r="C108" s="1322">
        <v>27.7</v>
      </c>
      <c r="L108"/>
    </row>
    <row r="109" spans="2:12" ht="15.75">
      <c r="B109" s="646">
        <v>24593</v>
      </c>
      <c r="C109" s="1322">
        <v>27.7</v>
      </c>
      <c r="L109"/>
    </row>
    <row r="110" spans="2:12" ht="15.75">
      <c r="B110" s="646">
        <v>24624</v>
      </c>
      <c r="C110" s="1322">
        <v>27.7</v>
      </c>
      <c r="L110"/>
    </row>
    <row r="111" spans="2:12" ht="15.75">
      <c r="B111" s="646">
        <v>24654</v>
      </c>
      <c r="C111" s="1322">
        <v>27.783999999999999</v>
      </c>
      <c r="L111"/>
    </row>
    <row r="112" spans="2:12" ht="15.75">
      <c r="B112" s="646">
        <v>24685</v>
      </c>
      <c r="C112" s="1322">
        <v>27.7</v>
      </c>
      <c r="L112"/>
    </row>
    <row r="113" spans="2:12" ht="15.75">
      <c r="B113" s="646">
        <v>24716</v>
      </c>
      <c r="C113" s="1322">
        <v>27.7</v>
      </c>
      <c r="G113" s="1309"/>
      <c r="L113"/>
    </row>
    <row r="114" spans="2:12" ht="15.75">
      <c r="B114" s="646">
        <v>24746</v>
      </c>
      <c r="C114" s="1322">
        <v>27.7</v>
      </c>
      <c r="L114"/>
    </row>
    <row r="115" spans="2:12" ht="15.75">
      <c r="B115" s="646">
        <v>24777</v>
      </c>
      <c r="C115" s="1322">
        <v>27.783999999999999</v>
      </c>
      <c r="L115"/>
    </row>
    <row r="116" spans="2:12" ht="15.75">
      <c r="B116" s="646">
        <v>24807</v>
      </c>
      <c r="C116" s="1322">
        <v>27.7</v>
      </c>
      <c r="L116"/>
    </row>
    <row r="117" spans="2:12" ht="15.75">
      <c r="B117" s="646">
        <v>24838</v>
      </c>
      <c r="C117" s="1322">
        <v>28.120999999999999</v>
      </c>
      <c r="L117"/>
    </row>
    <row r="118" spans="2:12" ht="15.75">
      <c r="B118" s="646">
        <v>24869</v>
      </c>
      <c r="C118" s="1322">
        <v>28.204999999999998</v>
      </c>
      <c r="L118"/>
    </row>
    <row r="119" spans="2:12" ht="15.75">
      <c r="B119" s="646">
        <v>24898</v>
      </c>
      <c r="C119" s="1322">
        <v>28.120999999999999</v>
      </c>
      <c r="L119"/>
    </row>
    <row r="120" spans="2:12" ht="15.75">
      <c r="B120" s="646">
        <v>24929</v>
      </c>
      <c r="C120" s="1322">
        <v>28.120999999999999</v>
      </c>
      <c r="L120"/>
    </row>
    <row r="121" spans="2:12" ht="15.75">
      <c r="B121" s="646">
        <v>24959</v>
      </c>
      <c r="C121" s="1322">
        <v>28.120999999999999</v>
      </c>
      <c r="L121"/>
    </row>
    <row r="122" spans="2:12" ht="15.75">
      <c r="B122" s="646">
        <v>24990</v>
      </c>
      <c r="C122" s="1322">
        <v>28.120999999999999</v>
      </c>
      <c r="L122"/>
    </row>
    <row r="123" spans="2:12" ht="15.75">
      <c r="B123" s="646">
        <v>25020</v>
      </c>
      <c r="C123" s="1322">
        <v>28.120999999999999</v>
      </c>
      <c r="L123"/>
    </row>
    <row r="124" spans="2:12" ht="15.75">
      <c r="B124" s="646">
        <v>25051</v>
      </c>
      <c r="C124" s="1322">
        <v>28.120999999999999</v>
      </c>
      <c r="L124"/>
    </row>
    <row r="125" spans="2:12" ht="15.75">
      <c r="B125" s="646">
        <v>25082</v>
      </c>
      <c r="C125" s="1322">
        <v>28.120999999999999</v>
      </c>
      <c r="L125"/>
    </row>
    <row r="126" spans="2:12" ht="15.75">
      <c r="B126" s="646">
        <v>25112</v>
      </c>
      <c r="C126" s="1322">
        <v>28.120999999999999</v>
      </c>
      <c r="L126"/>
    </row>
    <row r="127" spans="2:12" ht="15.75">
      <c r="B127" s="646">
        <v>25143</v>
      </c>
      <c r="C127" s="1322">
        <v>28.289000000000001</v>
      </c>
      <c r="L127"/>
    </row>
    <row r="128" spans="2:12" ht="15.75">
      <c r="B128" s="646">
        <v>25173</v>
      </c>
      <c r="C128" s="1322">
        <v>28.289000000000001</v>
      </c>
      <c r="L128"/>
    </row>
    <row r="129" spans="2:12" ht="15.75">
      <c r="B129" s="646">
        <v>25204</v>
      </c>
      <c r="C129" s="1322">
        <v>28.542000000000002</v>
      </c>
      <c r="L129"/>
    </row>
    <row r="130" spans="2:12" ht="15.75">
      <c r="B130" s="646">
        <v>25235</v>
      </c>
      <c r="C130" s="1322">
        <v>28.71</v>
      </c>
      <c r="L130"/>
    </row>
    <row r="131" spans="2:12" ht="15.75">
      <c r="B131" s="646">
        <v>25263</v>
      </c>
      <c r="C131" s="1322">
        <v>28.626000000000001</v>
      </c>
      <c r="L131"/>
    </row>
    <row r="132" spans="2:12" ht="15.75">
      <c r="B132" s="646">
        <v>25294</v>
      </c>
      <c r="C132" s="1322">
        <v>28.626000000000001</v>
      </c>
      <c r="L132"/>
    </row>
    <row r="133" spans="2:12" ht="15.75">
      <c r="B133" s="646">
        <v>25324</v>
      </c>
      <c r="C133" s="1322">
        <v>28.626000000000001</v>
      </c>
      <c r="L133"/>
    </row>
    <row r="134" spans="2:12" ht="15.75">
      <c r="B134" s="646">
        <v>25355</v>
      </c>
      <c r="C134" s="1322">
        <v>28.71</v>
      </c>
      <c r="L134"/>
    </row>
    <row r="135" spans="2:12" ht="15.75">
      <c r="B135" s="646">
        <v>25385</v>
      </c>
      <c r="C135" s="1322">
        <v>28.71</v>
      </c>
      <c r="L135"/>
    </row>
    <row r="136" spans="2:12" ht="15.75">
      <c r="B136" s="646">
        <v>25416</v>
      </c>
      <c r="C136" s="1322">
        <v>28.626000000000001</v>
      </c>
      <c r="L136"/>
    </row>
    <row r="137" spans="2:12" ht="15.75">
      <c r="B137" s="646">
        <v>25447</v>
      </c>
      <c r="C137" s="1322">
        <v>28.71</v>
      </c>
      <c r="L137"/>
    </row>
    <row r="138" spans="2:12" ht="15.75">
      <c r="B138" s="646">
        <v>25477</v>
      </c>
      <c r="C138" s="1322">
        <v>28.71</v>
      </c>
      <c r="L138"/>
    </row>
    <row r="139" spans="2:12" ht="15.75">
      <c r="B139" s="646">
        <v>25508</v>
      </c>
      <c r="C139" s="1322">
        <v>28.879000000000001</v>
      </c>
      <c r="L139"/>
    </row>
    <row r="140" spans="2:12" ht="15.75">
      <c r="B140" s="646">
        <v>25538</v>
      </c>
      <c r="C140" s="1322">
        <v>28.879000000000001</v>
      </c>
      <c r="L140"/>
    </row>
    <row r="141" spans="2:12" ht="15.75">
      <c r="B141" s="646">
        <v>25569</v>
      </c>
      <c r="C141" s="1322">
        <v>29.3</v>
      </c>
      <c r="L141"/>
    </row>
    <row r="142" spans="2:12" ht="15.75">
      <c r="B142" s="646">
        <v>25600</v>
      </c>
      <c r="C142" s="1322">
        <v>29.468</v>
      </c>
      <c r="L142"/>
    </row>
    <row r="143" spans="2:12" ht="15.75">
      <c r="B143" s="646">
        <v>25628</v>
      </c>
      <c r="C143" s="1322">
        <v>29.468</v>
      </c>
      <c r="L143"/>
    </row>
    <row r="144" spans="2:12" ht="15.75">
      <c r="B144" s="646">
        <v>25659</v>
      </c>
      <c r="C144" s="1322">
        <v>29.552</v>
      </c>
      <c r="L144"/>
    </row>
    <row r="145" spans="2:12" ht="15.75">
      <c r="B145" s="646">
        <v>25689</v>
      </c>
      <c r="C145" s="1322">
        <v>29.552</v>
      </c>
      <c r="L145"/>
    </row>
    <row r="146" spans="2:12" ht="15.75">
      <c r="B146" s="646">
        <v>25720</v>
      </c>
      <c r="C146" s="1322">
        <v>29.635999999999999</v>
      </c>
      <c r="L146"/>
    </row>
    <row r="147" spans="2:12" ht="15.75">
      <c r="B147" s="646">
        <v>25750</v>
      </c>
      <c r="C147" s="1322">
        <v>29.721</v>
      </c>
      <c r="L147"/>
    </row>
    <row r="148" spans="2:12" ht="15.75">
      <c r="B148" s="646">
        <v>25781</v>
      </c>
      <c r="C148" s="1322">
        <v>29.721</v>
      </c>
      <c r="L148"/>
    </row>
    <row r="149" spans="2:12" ht="15.75">
      <c r="B149" s="646">
        <v>25812</v>
      </c>
      <c r="C149" s="1322">
        <v>29.721</v>
      </c>
      <c r="L149"/>
    </row>
    <row r="150" spans="2:12" ht="15.75">
      <c r="B150" s="646">
        <v>25842</v>
      </c>
      <c r="C150" s="1322">
        <v>29.805</v>
      </c>
      <c r="L150"/>
    </row>
    <row r="151" spans="2:12" ht="15.75">
      <c r="B151" s="646">
        <v>25873</v>
      </c>
      <c r="C151" s="1322">
        <v>29.972999999999999</v>
      </c>
      <c r="L151"/>
    </row>
    <row r="152" spans="2:12" ht="15.75">
      <c r="B152" s="646">
        <v>25903</v>
      </c>
      <c r="C152" s="1322">
        <v>30.056999999999999</v>
      </c>
      <c r="L152"/>
    </row>
    <row r="153" spans="2:12" ht="15.75">
      <c r="B153" s="646">
        <v>25934</v>
      </c>
      <c r="C153" s="1322">
        <v>30.478000000000002</v>
      </c>
      <c r="L153"/>
    </row>
    <row r="154" spans="2:12" ht="15.75">
      <c r="B154" s="646">
        <v>25965</v>
      </c>
      <c r="C154" s="1322">
        <v>30.815000000000001</v>
      </c>
      <c r="L154"/>
    </row>
    <row r="155" spans="2:12" ht="15.75">
      <c r="B155" s="646">
        <v>25993</v>
      </c>
      <c r="C155" s="1322">
        <v>30.899000000000001</v>
      </c>
      <c r="L155"/>
    </row>
    <row r="156" spans="2:12" ht="15.75">
      <c r="B156" s="646">
        <v>26024</v>
      </c>
      <c r="C156" s="1322">
        <v>31.068000000000001</v>
      </c>
      <c r="L156"/>
    </row>
    <row r="157" spans="2:12" ht="15.75">
      <c r="B157" s="646">
        <v>26054</v>
      </c>
      <c r="C157" s="1322">
        <v>31.068000000000001</v>
      </c>
      <c r="L157"/>
    </row>
    <row r="158" spans="2:12" ht="15.75">
      <c r="B158" s="646">
        <v>26085</v>
      </c>
      <c r="C158" s="1322">
        <v>31.152000000000001</v>
      </c>
      <c r="L158"/>
    </row>
    <row r="159" spans="2:12" ht="15.75">
      <c r="B159" s="646">
        <v>26115</v>
      </c>
      <c r="C159" s="1322">
        <v>31.32</v>
      </c>
      <c r="L159"/>
    </row>
    <row r="160" spans="2:12" ht="15.75">
      <c r="B160" s="646">
        <v>26146</v>
      </c>
      <c r="C160" s="1322">
        <v>31.32</v>
      </c>
      <c r="L160"/>
    </row>
    <row r="161" spans="2:12" ht="15.75">
      <c r="B161" s="646">
        <v>26177</v>
      </c>
      <c r="C161" s="1322">
        <v>31.489000000000001</v>
      </c>
      <c r="L161"/>
    </row>
    <row r="162" spans="2:12" ht="15.75">
      <c r="B162" s="646">
        <v>26207</v>
      </c>
      <c r="C162" s="1322">
        <v>31.573</v>
      </c>
      <c r="L162"/>
    </row>
    <row r="163" spans="2:12" ht="15.75">
      <c r="B163" s="646">
        <v>26238</v>
      </c>
      <c r="C163" s="1322">
        <v>31.741</v>
      </c>
      <c r="L163"/>
    </row>
    <row r="164" spans="2:12" ht="15.75">
      <c r="B164" s="646">
        <v>26268</v>
      </c>
      <c r="C164" s="1322">
        <v>31.741</v>
      </c>
      <c r="L164"/>
    </row>
    <row r="165" spans="2:12" ht="15.75">
      <c r="B165" s="646">
        <v>26299</v>
      </c>
      <c r="C165" s="1322">
        <v>32.161999999999999</v>
      </c>
      <c r="L165"/>
    </row>
    <row r="166" spans="2:12" ht="15.75">
      <c r="B166" s="646">
        <v>26330</v>
      </c>
      <c r="C166" s="1322">
        <v>32.414999999999999</v>
      </c>
      <c r="L166"/>
    </row>
    <row r="167" spans="2:12" ht="15.75">
      <c r="B167" s="646">
        <v>26359</v>
      </c>
      <c r="C167" s="1322">
        <v>32.414999999999999</v>
      </c>
      <c r="L167"/>
    </row>
    <row r="168" spans="2:12" ht="15.75">
      <c r="B168" s="646">
        <v>26390</v>
      </c>
      <c r="C168" s="1322">
        <v>32.582999999999998</v>
      </c>
      <c r="L168"/>
    </row>
    <row r="169" spans="2:12" ht="15.75">
      <c r="B169" s="646">
        <v>26420</v>
      </c>
      <c r="C169" s="1322">
        <v>32.582999999999998</v>
      </c>
      <c r="L169"/>
    </row>
    <row r="170" spans="2:12" ht="15.75">
      <c r="B170" s="646">
        <v>26451</v>
      </c>
      <c r="C170" s="1322">
        <v>32.752000000000002</v>
      </c>
      <c r="L170"/>
    </row>
    <row r="171" spans="2:12" ht="15.75">
      <c r="B171" s="646">
        <v>26481</v>
      </c>
      <c r="C171" s="1322">
        <v>33.003999999999998</v>
      </c>
      <c r="L171"/>
    </row>
    <row r="172" spans="2:12" ht="15.75">
      <c r="B172" s="646">
        <v>26512</v>
      </c>
      <c r="C172" s="1322">
        <v>33.003999999999998</v>
      </c>
      <c r="L172"/>
    </row>
    <row r="173" spans="2:12" ht="15.75">
      <c r="B173" s="646">
        <v>26543</v>
      </c>
      <c r="C173" s="1322">
        <v>33.424999999999997</v>
      </c>
      <c r="L173"/>
    </row>
    <row r="174" spans="2:12" ht="15.75">
      <c r="B174" s="646">
        <v>26573</v>
      </c>
      <c r="C174" s="1322">
        <v>33.509</v>
      </c>
      <c r="L174"/>
    </row>
    <row r="175" spans="2:12" ht="15.75">
      <c r="B175" s="646">
        <v>26604</v>
      </c>
      <c r="C175" s="1322">
        <v>33.677999999999997</v>
      </c>
      <c r="L175"/>
    </row>
    <row r="176" spans="2:12" ht="15.75">
      <c r="B176" s="646">
        <v>26634</v>
      </c>
      <c r="C176" s="1322">
        <v>33.762</v>
      </c>
      <c r="L176"/>
    </row>
    <row r="177" spans="2:12" ht="15.75">
      <c r="B177" s="646">
        <v>26665</v>
      </c>
      <c r="C177" s="1322">
        <v>34.183</v>
      </c>
      <c r="L177"/>
    </row>
    <row r="178" spans="2:12" ht="15.75">
      <c r="B178" s="646">
        <v>26696</v>
      </c>
      <c r="C178" s="1322">
        <v>34.520000000000003</v>
      </c>
      <c r="L178"/>
    </row>
    <row r="179" spans="2:12" ht="15.75">
      <c r="B179" s="646">
        <v>26724</v>
      </c>
      <c r="C179" s="1322">
        <v>34.603999999999999</v>
      </c>
      <c r="L179"/>
    </row>
    <row r="180" spans="2:12" ht="15.75">
      <c r="B180" s="646">
        <v>26755</v>
      </c>
      <c r="C180" s="1322">
        <v>34.856000000000002</v>
      </c>
      <c r="L180"/>
    </row>
    <row r="181" spans="2:12" ht="15.75">
      <c r="B181" s="646">
        <v>26785</v>
      </c>
      <c r="C181" s="1322">
        <v>35.024999999999999</v>
      </c>
      <c r="L181"/>
    </row>
    <row r="182" spans="2:12" ht="15.75">
      <c r="B182" s="646">
        <v>26816</v>
      </c>
      <c r="C182" s="1322">
        <v>35.192999999999998</v>
      </c>
      <c r="L182"/>
    </row>
    <row r="183" spans="2:12" ht="15.75">
      <c r="B183" s="646">
        <v>26846</v>
      </c>
      <c r="C183" s="1322">
        <v>35.362000000000002</v>
      </c>
      <c r="L183"/>
    </row>
    <row r="184" spans="2:12" ht="15.75">
      <c r="B184" s="646">
        <v>26877</v>
      </c>
      <c r="C184" s="1322">
        <v>35.362000000000002</v>
      </c>
      <c r="L184"/>
    </row>
    <row r="185" spans="2:12" ht="15.75">
      <c r="B185" s="646">
        <v>26908</v>
      </c>
      <c r="C185" s="1322">
        <v>35.445999999999998</v>
      </c>
      <c r="L185"/>
    </row>
    <row r="186" spans="2:12" ht="15.75">
      <c r="B186" s="646">
        <v>26938</v>
      </c>
      <c r="C186" s="1322">
        <v>35.698</v>
      </c>
      <c r="L186"/>
    </row>
    <row r="187" spans="2:12" ht="15.75">
      <c r="B187" s="646">
        <v>26969</v>
      </c>
      <c r="C187" s="1322">
        <v>36.204000000000001</v>
      </c>
      <c r="L187"/>
    </row>
    <row r="188" spans="2:12" ht="15.75">
      <c r="B188" s="646">
        <v>26999</v>
      </c>
      <c r="C188" s="1322">
        <v>36.372</v>
      </c>
      <c r="L188"/>
    </row>
    <row r="189" spans="2:12" ht="15.75">
      <c r="B189" s="646">
        <v>27030</v>
      </c>
      <c r="C189" s="1322">
        <v>36.709000000000003</v>
      </c>
      <c r="L189"/>
    </row>
    <row r="190" spans="2:12" ht="15.75">
      <c r="B190" s="646">
        <v>27061</v>
      </c>
      <c r="C190" s="1322">
        <v>37.130000000000003</v>
      </c>
      <c r="L190"/>
    </row>
    <row r="191" spans="2:12" ht="15.75">
      <c r="B191" s="646">
        <v>27089</v>
      </c>
      <c r="C191" s="1322">
        <v>37.130000000000003</v>
      </c>
      <c r="L191"/>
    </row>
    <row r="192" spans="2:12" ht="15.75">
      <c r="B192" s="646">
        <v>27120</v>
      </c>
      <c r="C192" s="1322">
        <v>37.298000000000002</v>
      </c>
      <c r="L192"/>
    </row>
    <row r="193" spans="2:12" ht="15.75">
      <c r="B193" s="646">
        <v>27150</v>
      </c>
      <c r="C193" s="1322">
        <v>37.551000000000002</v>
      </c>
      <c r="L193"/>
    </row>
    <row r="194" spans="2:12" ht="15.75">
      <c r="B194" s="646">
        <v>27181</v>
      </c>
      <c r="C194" s="1322">
        <v>37.634999999999998</v>
      </c>
      <c r="L194"/>
    </row>
    <row r="195" spans="2:12" ht="15.75">
      <c r="B195" s="646">
        <v>27211</v>
      </c>
      <c r="C195" s="1322">
        <v>37.802999999999997</v>
      </c>
      <c r="L195"/>
    </row>
    <row r="196" spans="2:12" ht="15.75">
      <c r="B196" s="646">
        <v>27242</v>
      </c>
      <c r="C196" s="1322">
        <v>37.887</v>
      </c>
      <c r="L196"/>
    </row>
    <row r="197" spans="2:12" ht="15.75">
      <c r="B197" s="646">
        <v>27273</v>
      </c>
      <c r="C197" s="1322">
        <v>38.055999999999997</v>
      </c>
      <c r="L197"/>
    </row>
    <row r="198" spans="2:12" ht="15.75">
      <c r="B198" s="646">
        <v>27303</v>
      </c>
      <c r="C198" s="1322">
        <v>38.223999999999997</v>
      </c>
      <c r="L198"/>
    </row>
    <row r="199" spans="2:12" ht="15.75">
      <c r="B199" s="646">
        <v>27334</v>
      </c>
      <c r="C199" s="1322">
        <v>38.561</v>
      </c>
      <c r="L199"/>
    </row>
    <row r="200" spans="2:12" ht="15.75">
      <c r="B200" s="646">
        <v>27364</v>
      </c>
      <c r="C200" s="1322">
        <v>38.561</v>
      </c>
      <c r="L200"/>
    </row>
    <row r="201" spans="2:12" ht="15.75">
      <c r="B201" s="646">
        <v>27395</v>
      </c>
      <c r="C201" s="1322">
        <v>38.981999999999999</v>
      </c>
      <c r="L201"/>
    </row>
    <row r="202" spans="2:12" ht="15.75">
      <c r="B202" s="646">
        <v>27426</v>
      </c>
      <c r="C202" s="1322">
        <v>39.234999999999999</v>
      </c>
      <c r="L202"/>
    </row>
    <row r="203" spans="2:12" ht="15.75">
      <c r="B203" s="646">
        <v>27454</v>
      </c>
      <c r="C203" s="1322">
        <v>39.319000000000003</v>
      </c>
      <c r="L203"/>
    </row>
    <row r="204" spans="2:12" ht="15.75">
      <c r="B204" s="646">
        <v>27485</v>
      </c>
      <c r="C204" s="1322">
        <v>39.570999999999998</v>
      </c>
      <c r="L204"/>
    </row>
    <row r="205" spans="2:12" ht="15.75">
      <c r="B205" s="646">
        <v>27515</v>
      </c>
      <c r="C205" s="1322">
        <v>39.823999999999998</v>
      </c>
      <c r="L205"/>
    </row>
    <row r="206" spans="2:12" ht="15.75">
      <c r="B206" s="646">
        <v>27546</v>
      </c>
      <c r="C206" s="1322">
        <v>40.076999999999998</v>
      </c>
      <c r="L206"/>
    </row>
    <row r="207" spans="2:12" ht="15.75">
      <c r="B207" s="646">
        <v>27576</v>
      </c>
      <c r="C207" s="1322">
        <v>40.161000000000001</v>
      </c>
      <c r="L207"/>
    </row>
    <row r="208" spans="2:12" ht="15.75">
      <c r="B208" s="646">
        <v>27607</v>
      </c>
      <c r="C208" s="1322">
        <v>40.076999999999998</v>
      </c>
      <c r="L208"/>
    </row>
    <row r="209" spans="2:12" ht="15.75">
      <c r="B209" s="646">
        <v>27638</v>
      </c>
      <c r="C209" s="1322">
        <v>40.412999999999997</v>
      </c>
      <c r="L209"/>
    </row>
    <row r="210" spans="2:12" ht="15.75">
      <c r="B210" s="646">
        <v>27668</v>
      </c>
      <c r="C210" s="1322">
        <v>40.412999999999997</v>
      </c>
      <c r="L210"/>
    </row>
    <row r="211" spans="2:12" ht="15.75">
      <c r="B211" s="646">
        <v>27699</v>
      </c>
      <c r="C211" s="1322">
        <v>40.582000000000001</v>
      </c>
      <c r="L211"/>
    </row>
    <row r="212" spans="2:12" ht="15.75">
      <c r="B212" s="646">
        <v>27729</v>
      </c>
      <c r="C212" s="1322">
        <v>40.582000000000001</v>
      </c>
      <c r="L212"/>
    </row>
    <row r="213" spans="2:12" ht="15.75">
      <c r="B213" s="646">
        <v>27760</v>
      </c>
      <c r="C213" s="1322">
        <v>41.003</v>
      </c>
      <c r="L213"/>
    </row>
    <row r="214" spans="2:12" ht="15.75">
      <c r="B214" s="646">
        <v>27791</v>
      </c>
      <c r="C214" s="1322">
        <v>41.338999999999999</v>
      </c>
      <c r="L214"/>
    </row>
    <row r="215" spans="2:12" ht="15.75">
      <c r="B215" s="646">
        <v>27820</v>
      </c>
      <c r="C215" s="1322">
        <v>41.338999999999999</v>
      </c>
      <c r="L215"/>
    </row>
    <row r="216" spans="2:12" ht="15.75">
      <c r="B216" s="646">
        <v>27851</v>
      </c>
      <c r="C216" s="1322">
        <v>41.508000000000003</v>
      </c>
      <c r="L216"/>
    </row>
    <row r="217" spans="2:12" ht="15.75">
      <c r="B217" s="646">
        <v>27881</v>
      </c>
      <c r="C217" s="1322">
        <v>41.591999999999999</v>
      </c>
      <c r="L217"/>
    </row>
    <row r="218" spans="2:12" ht="15.75">
      <c r="B218" s="646">
        <v>27912</v>
      </c>
      <c r="C218" s="1322">
        <v>41.676000000000002</v>
      </c>
      <c r="L218"/>
    </row>
    <row r="219" spans="2:12" ht="15.75">
      <c r="B219" s="646">
        <v>27942</v>
      </c>
      <c r="C219" s="1322">
        <v>41.676000000000002</v>
      </c>
      <c r="L219"/>
    </row>
    <row r="220" spans="2:12" ht="15.75">
      <c r="B220" s="646">
        <v>27973</v>
      </c>
      <c r="C220" s="1322">
        <v>41.76</v>
      </c>
      <c r="L220"/>
    </row>
    <row r="221" spans="2:12" ht="15.75">
      <c r="B221" s="646">
        <v>28004</v>
      </c>
      <c r="C221" s="1322">
        <v>41.844999999999999</v>
      </c>
      <c r="L221"/>
    </row>
    <row r="222" spans="2:12" ht="15.75">
      <c r="B222" s="646">
        <v>28034</v>
      </c>
      <c r="C222" s="1322">
        <v>41.929000000000002</v>
      </c>
      <c r="L222"/>
    </row>
    <row r="223" spans="2:12" ht="15.75">
      <c r="B223" s="646">
        <v>28065</v>
      </c>
      <c r="C223" s="1322">
        <v>42.097000000000001</v>
      </c>
      <c r="L223"/>
    </row>
    <row r="224" spans="2:12" ht="15.75">
      <c r="B224" s="646">
        <v>28095</v>
      </c>
      <c r="C224" s="1322">
        <v>42.097000000000001</v>
      </c>
      <c r="L224"/>
    </row>
    <row r="225" spans="2:12" ht="15.75">
      <c r="B225" s="646">
        <v>28126</v>
      </c>
      <c r="C225" s="1322">
        <v>42.601999999999997</v>
      </c>
      <c r="L225"/>
    </row>
    <row r="226" spans="2:12" ht="15.75">
      <c r="B226" s="646">
        <v>28157</v>
      </c>
      <c r="C226" s="1322">
        <v>42.854999999999997</v>
      </c>
      <c r="L226"/>
    </row>
    <row r="227" spans="2:12" ht="15.75">
      <c r="B227" s="646">
        <v>28185</v>
      </c>
      <c r="C227" s="1322">
        <v>42.854999999999997</v>
      </c>
      <c r="L227"/>
    </row>
    <row r="228" spans="2:12" ht="15.75">
      <c r="B228" s="646">
        <v>28216</v>
      </c>
      <c r="C228" s="1322">
        <v>43.023000000000003</v>
      </c>
      <c r="L228"/>
    </row>
    <row r="229" spans="2:12" ht="15.75">
      <c r="B229" s="646">
        <v>28246</v>
      </c>
      <c r="C229" s="1322">
        <v>43.192</v>
      </c>
      <c r="L229"/>
    </row>
    <row r="230" spans="2:12" ht="15.75">
      <c r="B230" s="646">
        <v>28277</v>
      </c>
      <c r="C230" s="1322">
        <v>43.276000000000003</v>
      </c>
      <c r="L230"/>
    </row>
    <row r="231" spans="2:12" ht="15.75">
      <c r="B231" s="646">
        <v>28307</v>
      </c>
      <c r="C231" s="1322">
        <v>43.276000000000003</v>
      </c>
      <c r="L231"/>
    </row>
    <row r="232" spans="2:12" ht="15.75">
      <c r="B232" s="646">
        <v>28338</v>
      </c>
      <c r="C232" s="1322">
        <v>43.36</v>
      </c>
      <c r="L232"/>
    </row>
    <row r="233" spans="2:12" ht="15.75">
      <c r="B233" s="646">
        <v>28369</v>
      </c>
      <c r="C233" s="1322">
        <v>43.444000000000003</v>
      </c>
      <c r="L233"/>
    </row>
    <row r="234" spans="2:12" ht="15.75">
      <c r="B234" s="646">
        <v>28399</v>
      </c>
      <c r="C234" s="1322">
        <v>43.444000000000003</v>
      </c>
      <c r="L234"/>
    </row>
    <row r="235" spans="2:12" ht="15.75">
      <c r="B235" s="646">
        <v>28430</v>
      </c>
      <c r="C235" s="1322">
        <v>43.613</v>
      </c>
      <c r="L235"/>
    </row>
    <row r="236" spans="2:12" ht="15.75">
      <c r="B236" s="646">
        <v>28460</v>
      </c>
      <c r="C236" s="1322">
        <v>43.613</v>
      </c>
      <c r="L236"/>
    </row>
    <row r="237" spans="2:12" ht="15.75">
      <c r="B237" s="646">
        <v>28491</v>
      </c>
      <c r="C237" s="1322">
        <v>43.865000000000002</v>
      </c>
      <c r="L237"/>
    </row>
    <row r="238" spans="2:12" ht="15.75">
      <c r="B238" s="646">
        <v>28522</v>
      </c>
      <c r="C238" s="1322">
        <v>44.118000000000002</v>
      </c>
      <c r="L238"/>
    </row>
    <row r="239" spans="2:12" ht="15.75">
      <c r="B239" s="646">
        <v>28550</v>
      </c>
      <c r="C239" s="1322">
        <v>44.118000000000002</v>
      </c>
      <c r="L239"/>
    </row>
    <row r="240" spans="2:12" ht="15.75">
      <c r="B240" s="646">
        <v>28581</v>
      </c>
      <c r="C240" s="1322">
        <v>44.286000000000001</v>
      </c>
      <c r="L240"/>
    </row>
    <row r="241" spans="2:12" ht="15.75">
      <c r="B241" s="646">
        <v>28611</v>
      </c>
      <c r="C241" s="1322">
        <v>44.37</v>
      </c>
      <c r="L241"/>
    </row>
    <row r="242" spans="2:12" ht="15.75">
      <c r="B242" s="646">
        <v>28642</v>
      </c>
      <c r="C242" s="1322">
        <v>44.454999999999998</v>
      </c>
      <c r="L242"/>
    </row>
    <row r="243" spans="2:12" ht="15.75">
      <c r="B243" s="646">
        <v>28672</v>
      </c>
      <c r="C243" s="1322">
        <v>44.454999999999998</v>
      </c>
      <c r="L243"/>
    </row>
    <row r="244" spans="2:12" ht="15.75">
      <c r="B244" s="646">
        <v>28703</v>
      </c>
      <c r="C244" s="1322">
        <v>44.37</v>
      </c>
      <c r="L244"/>
    </row>
    <row r="245" spans="2:12" ht="15.75">
      <c r="B245" s="646">
        <v>28734</v>
      </c>
      <c r="C245" s="1322">
        <v>44.454999999999998</v>
      </c>
      <c r="L245"/>
    </row>
    <row r="246" spans="2:12" ht="15.75">
      <c r="B246" s="646">
        <v>28764</v>
      </c>
      <c r="C246" s="1322">
        <v>44.454999999999998</v>
      </c>
      <c r="L246"/>
    </row>
    <row r="247" spans="2:12" ht="15.75">
      <c r="B247" s="646">
        <v>28795</v>
      </c>
      <c r="C247" s="1322">
        <v>44.622999999999998</v>
      </c>
      <c r="L247"/>
    </row>
    <row r="248" spans="2:12" ht="15.75">
      <c r="B248" s="646">
        <v>28825</v>
      </c>
      <c r="C248" s="1322">
        <v>44.707000000000001</v>
      </c>
      <c r="L248"/>
    </row>
    <row r="249" spans="2:12" ht="15.75">
      <c r="B249" s="646">
        <v>28856</v>
      </c>
      <c r="C249" s="1322">
        <v>45.128</v>
      </c>
      <c r="L249"/>
    </row>
    <row r="250" spans="2:12" ht="15.75">
      <c r="B250" s="646">
        <v>28887</v>
      </c>
      <c r="C250" s="1322">
        <v>45.381</v>
      </c>
      <c r="L250"/>
    </row>
    <row r="251" spans="2:12" ht="15.75">
      <c r="B251" s="646">
        <v>28915</v>
      </c>
      <c r="C251" s="1322">
        <v>45.465000000000003</v>
      </c>
      <c r="L251"/>
    </row>
    <row r="252" spans="2:12" ht="15.75">
      <c r="B252" s="646">
        <v>28946</v>
      </c>
      <c r="C252" s="1322">
        <v>45.718000000000004</v>
      </c>
      <c r="L252"/>
    </row>
    <row r="253" spans="2:12" ht="15.75">
      <c r="B253" s="646">
        <v>28976</v>
      </c>
      <c r="C253" s="1322">
        <v>45.886000000000003</v>
      </c>
      <c r="L253"/>
    </row>
    <row r="254" spans="2:12" ht="15.75">
      <c r="B254" s="646">
        <v>29007</v>
      </c>
      <c r="C254" s="1322">
        <v>46.054000000000002</v>
      </c>
      <c r="L254"/>
    </row>
    <row r="255" spans="2:12" ht="15.75">
      <c r="B255" s="646">
        <v>29037</v>
      </c>
      <c r="C255" s="1322">
        <v>46.475000000000001</v>
      </c>
      <c r="L255"/>
    </row>
    <row r="256" spans="2:12" ht="15.75">
      <c r="B256" s="646">
        <v>29068</v>
      </c>
      <c r="C256" s="1322">
        <v>46.475000000000001</v>
      </c>
      <c r="L256"/>
    </row>
    <row r="257" spans="2:12" ht="15.75">
      <c r="B257" s="646">
        <v>29099</v>
      </c>
      <c r="C257" s="1322">
        <v>46.643999999999998</v>
      </c>
      <c r="L257"/>
    </row>
    <row r="258" spans="2:12" ht="15.75">
      <c r="B258" s="646">
        <v>29129</v>
      </c>
      <c r="C258" s="1322">
        <v>46.811999999999998</v>
      </c>
      <c r="L258"/>
    </row>
    <row r="259" spans="2:12" ht="15.75">
      <c r="B259" s="646">
        <v>29160</v>
      </c>
      <c r="C259" s="1322">
        <v>46.98</v>
      </c>
      <c r="L259"/>
    </row>
    <row r="260" spans="2:12" ht="15.75">
      <c r="B260" s="646">
        <v>29190</v>
      </c>
      <c r="C260" s="1322">
        <v>47.064999999999998</v>
      </c>
      <c r="L260"/>
    </row>
    <row r="261" spans="2:12" ht="15.75">
      <c r="B261" s="646">
        <v>29221</v>
      </c>
      <c r="C261" s="1322">
        <v>47.317</v>
      </c>
      <c r="L261"/>
    </row>
    <row r="262" spans="2:12" ht="15.75">
      <c r="B262" s="646">
        <v>29252</v>
      </c>
      <c r="C262" s="1322">
        <v>47.991</v>
      </c>
      <c r="L262"/>
    </row>
    <row r="263" spans="2:12" ht="15.75">
      <c r="B263" s="646">
        <v>29281</v>
      </c>
      <c r="C263" s="1322">
        <v>48.158999999999999</v>
      </c>
      <c r="L263"/>
    </row>
    <row r="264" spans="2:12" ht="15.75">
      <c r="B264" s="646">
        <v>29312</v>
      </c>
      <c r="C264" s="1322">
        <v>48.328000000000003</v>
      </c>
      <c r="L264"/>
    </row>
    <row r="265" spans="2:12" ht="15.75">
      <c r="B265" s="646">
        <v>29342</v>
      </c>
      <c r="C265" s="1322">
        <v>48.58</v>
      </c>
      <c r="L265"/>
    </row>
    <row r="266" spans="2:12" ht="15.75">
      <c r="B266" s="646">
        <v>29373</v>
      </c>
      <c r="C266" s="1322">
        <v>48.664000000000001</v>
      </c>
      <c r="L266"/>
    </row>
    <row r="267" spans="2:12" ht="15.75">
      <c r="B267" s="646">
        <v>29403</v>
      </c>
      <c r="C267" s="1322">
        <v>48.832999999999998</v>
      </c>
      <c r="L267"/>
    </row>
    <row r="268" spans="2:12" ht="15.75">
      <c r="B268" s="646">
        <v>29434</v>
      </c>
      <c r="C268" s="1322">
        <v>48.917000000000002</v>
      </c>
      <c r="L268"/>
    </row>
    <row r="269" spans="2:12" ht="15.75">
      <c r="B269" s="646">
        <v>29465</v>
      </c>
      <c r="C269" s="1322">
        <v>49.000999999999998</v>
      </c>
      <c r="L269"/>
    </row>
    <row r="270" spans="2:12" ht="15.75">
      <c r="B270" s="646">
        <v>29495</v>
      </c>
      <c r="C270" s="1322">
        <v>49.085000000000001</v>
      </c>
      <c r="L270"/>
    </row>
    <row r="271" spans="2:12" ht="15.75">
      <c r="B271" s="646">
        <v>29526</v>
      </c>
      <c r="C271" s="1322">
        <v>49.421999999999997</v>
      </c>
      <c r="L271"/>
    </row>
    <row r="272" spans="2:12" ht="15.75">
      <c r="B272" s="646">
        <v>29556</v>
      </c>
      <c r="C272" s="1322">
        <v>49.674999999999997</v>
      </c>
      <c r="L272"/>
    </row>
    <row r="273" spans="2:12" ht="15.75">
      <c r="B273" s="646">
        <v>29587</v>
      </c>
      <c r="C273" s="1322">
        <v>50.18</v>
      </c>
      <c r="L273"/>
    </row>
    <row r="274" spans="2:12" ht="15.75">
      <c r="B274" s="646">
        <v>29618</v>
      </c>
      <c r="C274" s="1322">
        <v>50.600999999999999</v>
      </c>
      <c r="L274"/>
    </row>
    <row r="275" spans="2:12" ht="15.75">
      <c r="B275" s="646">
        <v>29646</v>
      </c>
      <c r="C275" s="1322">
        <v>50.938000000000002</v>
      </c>
      <c r="L275"/>
    </row>
    <row r="276" spans="2:12" ht="15.75">
      <c r="B276" s="646">
        <v>29677</v>
      </c>
      <c r="C276" s="1322">
        <v>51.19</v>
      </c>
      <c r="L276"/>
    </row>
    <row r="277" spans="2:12" ht="15.75">
      <c r="B277" s="646">
        <v>29707</v>
      </c>
      <c r="C277" s="1322">
        <v>51.442999999999998</v>
      </c>
      <c r="L277"/>
    </row>
    <row r="278" spans="2:12" ht="15.75">
      <c r="B278" s="646">
        <v>29738</v>
      </c>
      <c r="C278" s="1322">
        <v>51.527000000000001</v>
      </c>
      <c r="L278"/>
    </row>
    <row r="279" spans="2:12" ht="15.75">
      <c r="B279" s="646">
        <v>29768</v>
      </c>
      <c r="C279" s="1322">
        <v>52.031999999999996</v>
      </c>
      <c r="L279"/>
    </row>
    <row r="280" spans="2:12" ht="15.75">
      <c r="B280" s="646">
        <v>29799</v>
      </c>
      <c r="C280" s="1322">
        <v>52.116</v>
      </c>
      <c r="L280"/>
    </row>
    <row r="281" spans="2:12" ht="15.75">
      <c r="B281" s="646">
        <v>29830</v>
      </c>
      <c r="C281" s="1322">
        <v>52.453000000000003</v>
      </c>
      <c r="L281"/>
    </row>
    <row r="282" spans="2:12" ht="15.75">
      <c r="B282" s="646">
        <v>29860</v>
      </c>
      <c r="C282" s="1322">
        <v>52.706000000000003</v>
      </c>
      <c r="L282"/>
    </row>
    <row r="283" spans="2:12" ht="15.75">
      <c r="B283" s="646">
        <v>29891</v>
      </c>
      <c r="C283" s="1322">
        <v>52.957999999999998</v>
      </c>
      <c r="L283"/>
    </row>
    <row r="284" spans="2:12" ht="15.75">
      <c r="B284" s="646">
        <v>29921</v>
      </c>
      <c r="C284" s="1322">
        <v>53.042000000000002</v>
      </c>
      <c r="L284"/>
    </row>
    <row r="285" spans="2:12" ht="15.75">
      <c r="B285" s="646">
        <v>29952</v>
      </c>
      <c r="C285" s="1322">
        <v>53.463000000000001</v>
      </c>
      <c r="L285"/>
    </row>
    <row r="286" spans="2:12" ht="15.75">
      <c r="B286" s="646">
        <v>29983</v>
      </c>
      <c r="C286" s="1322">
        <v>53.716000000000001</v>
      </c>
      <c r="L286"/>
    </row>
    <row r="287" spans="2:12" ht="15.75">
      <c r="B287" s="646">
        <v>30011</v>
      </c>
      <c r="C287" s="1322">
        <v>53.631999999999998</v>
      </c>
      <c r="L287"/>
    </row>
    <row r="288" spans="2:12" ht="15.75">
      <c r="B288" s="646">
        <v>30042</v>
      </c>
      <c r="C288" s="1322">
        <v>53.631999999999998</v>
      </c>
      <c r="L288"/>
    </row>
    <row r="289" spans="2:12" ht="15.75">
      <c r="B289" s="646">
        <v>30072</v>
      </c>
      <c r="C289" s="1322">
        <v>54.052999999999997</v>
      </c>
      <c r="L289"/>
    </row>
    <row r="290" spans="2:12" ht="15.75">
      <c r="B290" s="646">
        <v>30103</v>
      </c>
      <c r="C290" s="1322">
        <v>54.558</v>
      </c>
      <c r="L290"/>
    </row>
    <row r="291" spans="2:12" ht="15.75">
      <c r="B291" s="646">
        <v>30133</v>
      </c>
      <c r="C291" s="1322">
        <v>54.811</v>
      </c>
      <c r="L291"/>
    </row>
    <row r="292" spans="2:12" ht="15.75">
      <c r="B292" s="646">
        <v>30164</v>
      </c>
      <c r="C292" s="1322">
        <v>54.725999999999999</v>
      </c>
      <c r="L292"/>
    </row>
    <row r="293" spans="2:12" ht="15.75">
      <c r="B293" s="646">
        <v>30195</v>
      </c>
      <c r="C293" s="1322">
        <v>54.978999999999999</v>
      </c>
      <c r="L293"/>
    </row>
    <row r="294" spans="2:12" ht="15.75">
      <c r="B294" s="646">
        <v>30225</v>
      </c>
      <c r="C294" s="1322">
        <v>55.231000000000002</v>
      </c>
      <c r="L294"/>
    </row>
    <row r="295" spans="2:12" ht="15.75">
      <c r="B295" s="646">
        <v>30256</v>
      </c>
      <c r="C295" s="1322">
        <v>55.4</v>
      </c>
      <c r="L295"/>
    </row>
    <row r="296" spans="2:12" ht="15.75">
      <c r="B296" s="646">
        <v>30286</v>
      </c>
      <c r="C296" s="1322">
        <v>55.484000000000002</v>
      </c>
      <c r="L296"/>
    </row>
    <row r="297" spans="2:12" ht="15.75">
      <c r="B297" s="646">
        <v>30317</v>
      </c>
      <c r="C297" s="1322">
        <v>55.737000000000002</v>
      </c>
      <c r="L297"/>
    </row>
    <row r="298" spans="2:12" ht="15.75">
      <c r="B298" s="646">
        <v>30348</v>
      </c>
      <c r="C298" s="1322">
        <v>55.820999999999998</v>
      </c>
      <c r="L298"/>
    </row>
    <row r="299" spans="2:12" ht="15.75">
      <c r="B299" s="646">
        <v>30376</v>
      </c>
      <c r="C299" s="1322">
        <v>55.737000000000002</v>
      </c>
      <c r="L299"/>
    </row>
    <row r="300" spans="2:12" ht="15.75">
      <c r="B300" s="646">
        <v>30407</v>
      </c>
      <c r="C300" s="1322">
        <v>55.737000000000002</v>
      </c>
      <c r="L300"/>
    </row>
    <row r="301" spans="2:12" ht="15.75">
      <c r="B301" s="646">
        <v>30437</v>
      </c>
      <c r="C301" s="1322">
        <v>55.905000000000001</v>
      </c>
      <c r="L301"/>
    </row>
    <row r="302" spans="2:12" ht="15.75">
      <c r="B302" s="646">
        <v>30468</v>
      </c>
      <c r="C302" s="1322">
        <v>56.073</v>
      </c>
      <c r="L302"/>
    </row>
    <row r="303" spans="2:12" ht="15.75">
      <c r="B303" s="646">
        <v>30498</v>
      </c>
      <c r="C303" s="1322">
        <v>56.326000000000001</v>
      </c>
      <c r="L303"/>
    </row>
    <row r="304" spans="2:12" ht="15.75">
      <c r="B304" s="646">
        <v>30529</v>
      </c>
      <c r="C304" s="1322">
        <v>56.579000000000001</v>
      </c>
      <c r="L304"/>
    </row>
    <row r="305" spans="2:12" ht="15.75">
      <c r="B305" s="646">
        <v>30560</v>
      </c>
      <c r="C305" s="1322">
        <v>56.747</v>
      </c>
      <c r="L305"/>
    </row>
    <row r="306" spans="2:12" ht="15.75">
      <c r="B306" s="646">
        <v>30590</v>
      </c>
      <c r="C306" s="1322">
        <v>56.747</v>
      </c>
      <c r="L306"/>
    </row>
    <row r="307" spans="2:12" ht="15.75">
      <c r="B307" s="646">
        <v>30621</v>
      </c>
      <c r="C307" s="1322">
        <v>56.831000000000003</v>
      </c>
      <c r="L307"/>
    </row>
    <row r="308" spans="2:12" ht="15.75">
      <c r="B308" s="646">
        <v>30651</v>
      </c>
      <c r="C308" s="1322">
        <v>56.914999999999999</v>
      </c>
      <c r="L308"/>
    </row>
    <row r="309" spans="2:12" ht="15.75">
      <c r="B309" s="646">
        <v>30682</v>
      </c>
      <c r="C309" s="1322">
        <v>57.167999999999999</v>
      </c>
      <c r="L309"/>
    </row>
    <row r="310" spans="2:12" ht="15.75">
      <c r="B310" s="646">
        <v>30713</v>
      </c>
      <c r="C310" s="1322">
        <v>57.505000000000003</v>
      </c>
      <c r="L310"/>
    </row>
    <row r="311" spans="2:12" ht="15.75">
      <c r="B311" s="646">
        <v>30742</v>
      </c>
      <c r="C311" s="1322">
        <v>57.420999999999999</v>
      </c>
      <c r="L311"/>
    </row>
    <row r="312" spans="2:12" ht="15.75">
      <c r="B312" s="646">
        <v>30773</v>
      </c>
      <c r="C312" s="1322">
        <v>57.420999999999999</v>
      </c>
      <c r="L312"/>
    </row>
    <row r="313" spans="2:12" ht="15.75">
      <c r="B313" s="646">
        <v>30803</v>
      </c>
      <c r="C313" s="1322">
        <v>57.505000000000003</v>
      </c>
      <c r="L313"/>
    </row>
    <row r="314" spans="2:12" ht="15.75">
      <c r="B314" s="646">
        <v>30834</v>
      </c>
      <c r="C314" s="1322">
        <v>57.588999999999999</v>
      </c>
      <c r="L314"/>
    </row>
    <row r="315" spans="2:12" ht="15.75">
      <c r="B315" s="646">
        <v>30864</v>
      </c>
      <c r="C315" s="1322">
        <v>57.588999999999999</v>
      </c>
      <c r="L315"/>
    </row>
    <row r="316" spans="2:12" ht="15.75">
      <c r="B316" s="646">
        <v>30895</v>
      </c>
      <c r="C316" s="1322">
        <v>57.505000000000003</v>
      </c>
      <c r="L316"/>
    </row>
    <row r="317" spans="2:12" ht="15.75">
      <c r="B317" s="646">
        <v>30926</v>
      </c>
      <c r="C317" s="1322">
        <v>57.588999999999999</v>
      </c>
      <c r="L317"/>
    </row>
    <row r="318" spans="2:12" ht="15.75">
      <c r="B318" s="646">
        <v>30956</v>
      </c>
      <c r="C318" s="1322">
        <v>57.926000000000002</v>
      </c>
      <c r="L318"/>
    </row>
    <row r="319" spans="2:12" ht="15.75">
      <c r="B319" s="646">
        <v>30987</v>
      </c>
      <c r="C319" s="1322">
        <v>58.094000000000001</v>
      </c>
      <c r="L319"/>
    </row>
    <row r="320" spans="2:12" ht="15.75">
      <c r="B320" s="646">
        <v>31017</v>
      </c>
      <c r="C320" s="1322">
        <v>58.094000000000001</v>
      </c>
      <c r="L320"/>
    </row>
    <row r="321" spans="2:12" ht="15.75">
      <c r="B321" s="646">
        <v>31048</v>
      </c>
      <c r="C321" s="1322">
        <v>58.430999999999997</v>
      </c>
      <c r="L321"/>
    </row>
    <row r="322" spans="2:12" ht="15.75">
      <c r="B322" s="646">
        <v>31079</v>
      </c>
      <c r="C322" s="1322">
        <v>58.768000000000001</v>
      </c>
      <c r="L322"/>
    </row>
    <row r="323" spans="2:12" ht="15.75">
      <c r="B323" s="646">
        <v>31107</v>
      </c>
      <c r="C323" s="1322">
        <v>58.851999999999997</v>
      </c>
      <c r="L323"/>
    </row>
    <row r="324" spans="2:12" ht="15.75">
      <c r="B324" s="646">
        <v>31138</v>
      </c>
      <c r="C324" s="1322">
        <v>58.936</v>
      </c>
      <c r="L324"/>
    </row>
    <row r="325" spans="2:12" ht="15.75">
      <c r="B325" s="646">
        <v>31168</v>
      </c>
      <c r="C325" s="1322">
        <v>58.936</v>
      </c>
      <c r="L325"/>
    </row>
    <row r="326" spans="2:12" ht="15.75">
      <c r="B326" s="646">
        <v>31199</v>
      </c>
      <c r="C326" s="1322">
        <v>58.851999999999997</v>
      </c>
      <c r="L326"/>
    </row>
    <row r="327" spans="2:12" ht="15.75">
      <c r="B327" s="646">
        <v>31229</v>
      </c>
      <c r="C327" s="1322">
        <v>58.768000000000001</v>
      </c>
      <c r="L327"/>
    </row>
    <row r="328" spans="2:12" ht="15.75">
      <c r="B328" s="646">
        <v>31260</v>
      </c>
      <c r="C328" s="1322">
        <v>58.683</v>
      </c>
      <c r="L328"/>
    </row>
    <row r="329" spans="2:12" ht="15.75">
      <c r="B329" s="646">
        <v>31291</v>
      </c>
      <c r="C329" s="1322">
        <v>58.768000000000001</v>
      </c>
      <c r="L329"/>
    </row>
    <row r="330" spans="2:12" ht="15.75">
      <c r="B330" s="646">
        <v>31321</v>
      </c>
      <c r="C330" s="1322">
        <v>58.851999999999997</v>
      </c>
      <c r="L330"/>
    </row>
    <row r="331" spans="2:12" ht="15.75">
      <c r="B331" s="646">
        <v>31352</v>
      </c>
      <c r="C331" s="1322">
        <v>59.02</v>
      </c>
      <c r="L331"/>
    </row>
    <row r="332" spans="2:12" ht="15.75">
      <c r="B332" s="646">
        <v>31382</v>
      </c>
      <c r="C332" s="1322">
        <v>59.02</v>
      </c>
      <c r="L332"/>
    </row>
    <row r="333" spans="2:12" ht="15.75">
      <c r="B333" s="646">
        <v>31413</v>
      </c>
      <c r="C333" s="1322">
        <v>59.189</v>
      </c>
      <c r="L333"/>
    </row>
    <row r="334" spans="2:12" ht="15.75">
      <c r="B334" s="646">
        <v>31444</v>
      </c>
      <c r="C334" s="1322">
        <v>59.273000000000003</v>
      </c>
      <c r="L334"/>
    </row>
    <row r="335" spans="2:12" ht="15.75">
      <c r="B335" s="646">
        <v>31472</v>
      </c>
      <c r="C335" s="1322">
        <v>58.936</v>
      </c>
      <c r="L335"/>
    </row>
    <row r="336" spans="2:12" ht="15.75">
      <c r="B336" s="646">
        <v>31503</v>
      </c>
      <c r="C336" s="1322">
        <v>58.851999999999997</v>
      </c>
      <c r="L336"/>
    </row>
    <row r="337" spans="2:12" ht="15.75">
      <c r="B337" s="646">
        <v>31533</v>
      </c>
      <c r="C337" s="1322">
        <v>58.851999999999997</v>
      </c>
      <c r="L337"/>
    </row>
    <row r="338" spans="2:12" ht="15.75">
      <c r="B338" s="646">
        <v>31564</v>
      </c>
      <c r="C338" s="1322">
        <v>58.851999999999997</v>
      </c>
      <c r="L338"/>
    </row>
    <row r="339" spans="2:12" ht="15.75">
      <c r="B339" s="646">
        <v>31594</v>
      </c>
      <c r="C339" s="1322">
        <v>58.598999999999997</v>
      </c>
      <c r="L339"/>
    </row>
    <row r="340" spans="2:12" ht="15.75">
      <c r="B340" s="646">
        <v>31625</v>
      </c>
      <c r="C340" s="1322">
        <v>58.515000000000001</v>
      </c>
      <c r="L340"/>
    </row>
    <row r="341" spans="2:12" ht="15.75">
      <c r="B341" s="646">
        <v>31656</v>
      </c>
      <c r="C341" s="1322">
        <v>58.598999999999997</v>
      </c>
      <c r="L341"/>
    </row>
    <row r="342" spans="2:12" ht="15.75">
      <c r="B342" s="646">
        <v>31686</v>
      </c>
      <c r="C342" s="1322">
        <v>58.430999999999997</v>
      </c>
      <c r="L342"/>
    </row>
    <row r="343" spans="2:12" ht="15.75">
      <c r="B343" s="646">
        <v>31717</v>
      </c>
      <c r="C343" s="1322">
        <v>58.430999999999997</v>
      </c>
      <c r="L343"/>
    </row>
    <row r="344" spans="2:12" ht="15.75">
      <c r="B344" s="646">
        <v>31747</v>
      </c>
      <c r="C344" s="1322">
        <v>58.430999999999997</v>
      </c>
      <c r="L344"/>
    </row>
    <row r="345" spans="2:12" ht="15.75">
      <c r="B345" s="646">
        <v>31778</v>
      </c>
      <c r="C345" s="1322">
        <v>58.768000000000001</v>
      </c>
      <c r="L345"/>
    </row>
    <row r="346" spans="2:12" ht="15.75">
      <c r="B346" s="646">
        <v>31809</v>
      </c>
      <c r="C346" s="1322">
        <v>58.936</v>
      </c>
      <c r="L346"/>
    </row>
    <row r="347" spans="2:12" ht="15.75">
      <c r="B347" s="646">
        <v>31837</v>
      </c>
      <c r="C347" s="1322">
        <v>58.768000000000001</v>
      </c>
      <c r="L347"/>
    </row>
    <row r="348" spans="2:12" ht="15.75">
      <c r="B348" s="646">
        <v>31868</v>
      </c>
      <c r="C348" s="1322">
        <v>58.851999999999997</v>
      </c>
      <c r="L348"/>
    </row>
    <row r="349" spans="2:12" ht="15.75">
      <c r="B349" s="646">
        <v>31898</v>
      </c>
      <c r="C349" s="1322">
        <v>58.936</v>
      </c>
      <c r="L349"/>
    </row>
    <row r="350" spans="2:12" ht="15.75">
      <c r="B350" s="646">
        <v>31929</v>
      </c>
      <c r="C350" s="1322">
        <v>58.851999999999997</v>
      </c>
      <c r="L350"/>
    </row>
    <row r="351" spans="2:12" ht="15.75">
      <c r="B351" s="646">
        <v>31959</v>
      </c>
      <c r="C351" s="1322">
        <v>58.936</v>
      </c>
      <c r="L351"/>
    </row>
    <row r="352" spans="2:12" ht="15.75">
      <c r="B352" s="646">
        <v>31990</v>
      </c>
      <c r="C352" s="1322">
        <v>58.936</v>
      </c>
      <c r="L352"/>
    </row>
    <row r="353" spans="2:12" ht="15.75">
      <c r="B353" s="646">
        <v>32021</v>
      </c>
      <c r="C353" s="1322">
        <v>58.851999999999997</v>
      </c>
      <c r="L353"/>
    </row>
    <row r="354" spans="2:12" ht="15.75">
      <c r="B354" s="646">
        <v>32051</v>
      </c>
      <c r="C354" s="1322">
        <v>58.851999999999997</v>
      </c>
      <c r="L354"/>
    </row>
    <row r="355" spans="2:12" ht="15.75">
      <c r="B355" s="646">
        <v>32082</v>
      </c>
      <c r="C355" s="1322">
        <v>59.02</v>
      </c>
      <c r="L355"/>
    </row>
    <row r="356" spans="2:12" ht="15.75">
      <c r="B356" s="646">
        <v>32112</v>
      </c>
      <c r="C356" s="1322">
        <v>59.02</v>
      </c>
      <c r="L356"/>
    </row>
    <row r="357" spans="2:12" ht="15.75">
      <c r="B357" s="646">
        <v>32143</v>
      </c>
      <c r="C357" s="1322">
        <v>59.273000000000003</v>
      </c>
      <c r="L357"/>
    </row>
    <row r="358" spans="2:12" ht="15.75">
      <c r="B358" s="646">
        <v>32174</v>
      </c>
      <c r="C358" s="1322">
        <v>59.524999999999999</v>
      </c>
      <c r="L358"/>
    </row>
    <row r="359" spans="2:12" ht="15.75">
      <c r="B359" s="646">
        <v>32203</v>
      </c>
      <c r="C359" s="1322">
        <v>59.356999999999999</v>
      </c>
      <c r="L359"/>
    </row>
    <row r="360" spans="2:12" ht="15.75">
      <c r="B360" s="646">
        <v>32234</v>
      </c>
      <c r="C360" s="1322">
        <v>59.524999999999999</v>
      </c>
      <c r="L360"/>
    </row>
    <row r="361" spans="2:12" ht="15.75">
      <c r="B361" s="646">
        <v>32264</v>
      </c>
      <c r="C361" s="1322">
        <v>59.61</v>
      </c>
      <c r="L361"/>
    </row>
    <row r="362" spans="2:12" ht="15.75">
      <c r="B362" s="646">
        <v>32295</v>
      </c>
      <c r="C362" s="1322">
        <v>59.61</v>
      </c>
      <c r="L362"/>
    </row>
    <row r="363" spans="2:12" ht="15.75">
      <c r="B363" s="646">
        <v>32325</v>
      </c>
      <c r="C363" s="1322">
        <v>59.61</v>
      </c>
      <c r="L363"/>
    </row>
    <row r="364" spans="2:12" ht="15.75">
      <c r="B364" s="646">
        <v>32356</v>
      </c>
      <c r="C364" s="1322">
        <v>59.61</v>
      </c>
      <c r="L364"/>
    </row>
    <row r="365" spans="2:12" ht="15.75">
      <c r="B365" s="646">
        <v>32387</v>
      </c>
      <c r="C365" s="1322">
        <v>59.694000000000003</v>
      </c>
      <c r="L365"/>
    </row>
    <row r="366" spans="2:12" ht="15.75">
      <c r="B366" s="646">
        <v>32417</v>
      </c>
      <c r="C366" s="1322">
        <v>59.777999999999999</v>
      </c>
      <c r="L366"/>
    </row>
    <row r="367" spans="2:12" ht="15.75">
      <c r="B367" s="646">
        <v>32448</v>
      </c>
      <c r="C367" s="1322">
        <v>60.030999999999999</v>
      </c>
      <c r="L367"/>
    </row>
    <row r="368" spans="2:12" ht="15.75">
      <c r="B368" s="646">
        <v>32478</v>
      </c>
      <c r="C368" s="1322">
        <v>60.115000000000002</v>
      </c>
      <c r="L368"/>
    </row>
    <row r="369" spans="2:12" ht="15.75">
      <c r="B369" s="646">
        <v>32509</v>
      </c>
      <c r="C369" s="1322">
        <v>60.62</v>
      </c>
      <c r="L369"/>
    </row>
    <row r="370" spans="2:12" ht="15.75">
      <c r="B370" s="646">
        <v>32540</v>
      </c>
      <c r="C370" s="1322">
        <v>60.957000000000001</v>
      </c>
      <c r="L370"/>
    </row>
    <row r="371" spans="2:12" ht="15.75">
      <c r="B371" s="646">
        <v>32568</v>
      </c>
      <c r="C371" s="1322">
        <v>60.957000000000001</v>
      </c>
      <c r="L371"/>
    </row>
    <row r="372" spans="2:12" ht="15.75">
      <c r="B372" s="646">
        <v>32599</v>
      </c>
      <c r="C372" s="1322">
        <v>61.209000000000003</v>
      </c>
      <c r="L372"/>
    </row>
    <row r="373" spans="2:12" ht="15.75">
      <c r="B373" s="646">
        <v>32629</v>
      </c>
      <c r="C373" s="1322">
        <v>61.378</v>
      </c>
      <c r="L373"/>
    </row>
    <row r="374" spans="2:12" ht="15.75">
      <c r="B374" s="646">
        <v>32660</v>
      </c>
      <c r="C374" s="1322">
        <v>61.292999999999999</v>
      </c>
      <c r="L374"/>
    </row>
    <row r="375" spans="2:12" ht="15.75">
      <c r="B375" s="646">
        <v>32690</v>
      </c>
      <c r="C375" s="1322">
        <v>61.292999999999999</v>
      </c>
      <c r="L375"/>
    </row>
    <row r="376" spans="2:12" ht="15.75">
      <c r="B376" s="646">
        <v>32721</v>
      </c>
      <c r="C376" s="1322">
        <v>61.292999999999999</v>
      </c>
      <c r="L376"/>
    </row>
    <row r="377" spans="2:12" ht="15.75">
      <c r="B377" s="646">
        <v>32752</v>
      </c>
      <c r="C377" s="1322">
        <v>61.462000000000003</v>
      </c>
      <c r="L377"/>
    </row>
    <row r="378" spans="2:12" ht="15.75">
      <c r="B378" s="646">
        <v>32782</v>
      </c>
      <c r="C378" s="1322">
        <v>61.63</v>
      </c>
      <c r="L378"/>
    </row>
    <row r="379" spans="2:12" ht="15.75">
      <c r="B379" s="646">
        <v>32813</v>
      </c>
      <c r="C379" s="1322">
        <v>61.713999999999999</v>
      </c>
      <c r="L379"/>
    </row>
    <row r="380" spans="2:12" ht="15.75">
      <c r="B380" s="646">
        <v>32843</v>
      </c>
      <c r="C380" s="1322">
        <v>61.883000000000003</v>
      </c>
      <c r="L380"/>
    </row>
    <row r="381" spans="2:12" ht="15.75">
      <c r="B381" s="646">
        <v>32874</v>
      </c>
      <c r="C381" s="1322">
        <v>62.304000000000002</v>
      </c>
      <c r="L381"/>
    </row>
    <row r="382" spans="2:12" ht="15.75">
      <c r="B382" s="646">
        <v>32905</v>
      </c>
      <c r="C382" s="1322">
        <v>62.640999999999998</v>
      </c>
      <c r="L382"/>
    </row>
    <row r="383" spans="2:12" ht="15.75">
      <c r="B383" s="646">
        <v>32933</v>
      </c>
      <c r="C383" s="1322">
        <v>62.555999999999997</v>
      </c>
      <c r="L383"/>
    </row>
    <row r="384" spans="2:12" ht="15.75">
      <c r="B384" s="646">
        <v>32964</v>
      </c>
      <c r="C384" s="1322">
        <v>62.640999999999998</v>
      </c>
      <c r="L384"/>
    </row>
    <row r="385" spans="2:12" ht="15.75">
      <c r="B385" s="646">
        <v>32994</v>
      </c>
      <c r="C385" s="1322">
        <v>62.808999999999997</v>
      </c>
      <c r="L385"/>
    </row>
    <row r="386" spans="2:12" ht="15.75">
      <c r="B386" s="646">
        <v>33025</v>
      </c>
      <c r="C386" s="1322">
        <v>62.725000000000001</v>
      </c>
      <c r="L386"/>
    </row>
    <row r="387" spans="2:12" ht="15.75">
      <c r="B387" s="646">
        <v>33055</v>
      </c>
      <c r="C387" s="1322">
        <v>62.725000000000001</v>
      </c>
      <c r="L387"/>
    </row>
    <row r="388" spans="2:12" ht="15.75">
      <c r="B388" s="646">
        <v>33086</v>
      </c>
      <c r="C388" s="1322">
        <v>62.976999999999997</v>
      </c>
      <c r="L388"/>
    </row>
    <row r="389" spans="2:12" ht="15.75">
      <c r="B389" s="646">
        <v>33117</v>
      </c>
      <c r="C389" s="1322">
        <v>63.314</v>
      </c>
      <c r="L389"/>
    </row>
    <row r="390" spans="2:12" ht="15.75">
      <c r="B390" s="646">
        <v>33147</v>
      </c>
      <c r="C390" s="1322">
        <v>63.651000000000003</v>
      </c>
      <c r="L390"/>
    </row>
    <row r="391" spans="2:12" ht="15.75">
      <c r="B391" s="646">
        <v>33178</v>
      </c>
      <c r="C391" s="1322">
        <v>63.567</v>
      </c>
      <c r="L391"/>
    </row>
    <row r="392" spans="2:12" ht="15.75">
      <c r="B392" s="646">
        <v>33208</v>
      </c>
      <c r="C392" s="1322">
        <v>63.651000000000003</v>
      </c>
      <c r="L392"/>
    </row>
    <row r="393" spans="2:12" ht="15.75">
      <c r="B393" s="646">
        <v>33239</v>
      </c>
      <c r="C393" s="1322">
        <v>63.988</v>
      </c>
      <c r="D393" s="1566">
        <v>60.5</v>
      </c>
      <c r="L393"/>
    </row>
    <row r="394" spans="2:12" ht="15.75">
      <c r="B394" s="646">
        <v>33270</v>
      </c>
      <c r="C394" s="1322">
        <v>64.268000000000001</v>
      </c>
      <c r="D394" s="1566">
        <v>60.8</v>
      </c>
      <c r="L394"/>
    </row>
    <row r="395" spans="2:12" ht="15.75">
      <c r="B395" s="646">
        <v>33298</v>
      </c>
      <c r="C395" s="1322">
        <v>64.268000000000001</v>
      </c>
      <c r="D395" s="1566">
        <v>60.8</v>
      </c>
      <c r="L395"/>
    </row>
    <row r="396" spans="2:12" ht="15.75">
      <c r="B396" s="646">
        <v>33329</v>
      </c>
      <c r="C396" s="1322">
        <v>64.546999999999997</v>
      </c>
      <c r="D396" s="1566">
        <v>61</v>
      </c>
      <c r="L396"/>
    </row>
    <row r="397" spans="2:12" ht="15.75">
      <c r="B397" s="646">
        <v>33359</v>
      </c>
      <c r="C397" s="1322">
        <v>64.733999999999995</v>
      </c>
      <c r="D397" s="1566">
        <v>61.1</v>
      </c>
      <c r="L397"/>
    </row>
    <row r="398" spans="2:12" ht="15.75">
      <c r="B398" s="646">
        <v>33390</v>
      </c>
      <c r="C398" s="1322">
        <v>65.106999999999999</v>
      </c>
      <c r="D398" s="1566">
        <v>61.5</v>
      </c>
      <c r="L398"/>
    </row>
    <row r="399" spans="2:12" ht="15.75">
      <c r="B399" s="646">
        <v>33420</v>
      </c>
      <c r="C399" s="1322">
        <v>65.852999999999994</v>
      </c>
      <c r="D399" s="1566">
        <v>62.2</v>
      </c>
      <c r="L399"/>
    </row>
    <row r="400" spans="2:12" ht="15.75">
      <c r="B400" s="646">
        <v>33451</v>
      </c>
      <c r="C400" s="1322">
        <v>65.852999999999994</v>
      </c>
      <c r="D400" s="1566">
        <v>62.2</v>
      </c>
      <c r="L400"/>
    </row>
    <row r="401" spans="2:12" ht="15.75">
      <c r="B401" s="646">
        <v>33482</v>
      </c>
      <c r="C401" s="1322">
        <v>65.852999999999994</v>
      </c>
      <c r="D401" s="1566">
        <v>62.2</v>
      </c>
      <c r="L401"/>
    </row>
    <row r="402" spans="2:12" ht="15.75">
      <c r="B402" s="646">
        <v>33512</v>
      </c>
      <c r="C402" s="1322">
        <v>66.879000000000005</v>
      </c>
      <c r="D402" s="1566">
        <v>63.2</v>
      </c>
      <c r="L402"/>
    </row>
    <row r="403" spans="2:12" ht="15.75">
      <c r="B403" s="646">
        <v>33543</v>
      </c>
      <c r="C403" s="1322">
        <v>67.159000000000006</v>
      </c>
      <c r="D403" s="1566">
        <v>63.4</v>
      </c>
      <c r="L403"/>
    </row>
    <row r="404" spans="2:12" ht="15.75">
      <c r="B404" s="646">
        <v>33573</v>
      </c>
      <c r="C404" s="1322">
        <v>67.251999999999995</v>
      </c>
      <c r="D404" s="1566">
        <v>63.5</v>
      </c>
      <c r="L404"/>
    </row>
    <row r="405" spans="2:12" ht="15.75">
      <c r="B405" s="646">
        <v>33604</v>
      </c>
      <c r="C405" s="1322">
        <v>67.625</v>
      </c>
      <c r="D405" s="1566">
        <v>63.9</v>
      </c>
      <c r="L405"/>
    </row>
    <row r="406" spans="2:12" ht="15.75">
      <c r="B406" s="646">
        <v>33635</v>
      </c>
      <c r="C406" s="1322">
        <v>67.998999999999995</v>
      </c>
      <c r="D406" s="1566">
        <v>64.3</v>
      </c>
      <c r="L406"/>
    </row>
    <row r="407" spans="2:12" ht="15.75">
      <c r="B407" s="646">
        <v>33664</v>
      </c>
      <c r="C407" s="1322">
        <v>68.278000000000006</v>
      </c>
      <c r="D407" s="1566">
        <v>64.5</v>
      </c>
      <c r="L407"/>
    </row>
    <row r="408" spans="2:12" ht="15.75">
      <c r="B408" s="646">
        <v>33695</v>
      </c>
      <c r="C408" s="1322">
        <v>68.558000000000007</v>
      </c>
      <c r="D408" s="1566">
        <v>64.7</v>
      </c>
      <c r="L408"/>
    </row>
    <row r="409" spans="2:12" ht="15.75">
      <c r="B409" s="646">
        <v>33725</v>
      </c>
      <c r="C409" s="1322">
        <v>68.745000000000005</v>
      </c>
      <c r="D409" s="1566">
        <v>64.900000000000006</v>
      </c>
      <c r="L409"/>
    </row>
    <row r="410" spans="2:12" ht="15.75">
      <c r="B410" s="646">
        <v>33756</v>
      </c>
      <c r="C410" s="1322">
        <v>68.930999999999997</v>
      </c>
      <c r="D410" s="1566">
        <v>65.099999999999994</v>
      </c>
      <c r="L410"/>
    </row>
    <row r="411" spans="2:12" ht="15.75">
      <c r="B411" s="646">
        <v>33786</v>
      </c>
      <c r="C411" s="1322">
        <v>69.117999999999995</v>
      </c>
      <c r="D411" s="1566">
        <v>65.3</v>
      </c>
      <c r="L411"/>
    </row>
    <row r="412" spans="2:12" ht="15.75">
      <c r="B412" s="646">
        <v>33817</v>
      </c>
      <c r="C412" s="1322">
        <v>69.117999999999995</v>
      </c>
      <c r="D412" s="1566">
        <v>65.3</v>
      </c>
      <c r="L412"/>
    </row>
    <row r="413" spans="2:12" ht="15.75">
      <c r="B413" s="646">
        <v>33848</v>
      </c>
      <c r="C413" s="1322">
        <v>69.117999999999995</v>
      </c>
      <c r="D413" s="1566">
        <v>65.3</v>
      </c>
      <c r="L413"/>
    </row>
    <row r="414" spans="2:12" ht="15.75">
      <c r="B414" s="646">
        <v>33878</v>
      </c>
      <c r="C414" s="1322">
        <v>69.117999999999995</v>
      </c>
      <c r="D414" s="1566">
        <v>65.3</v>
      </c>
      <c r="L414"/>
    </row>
    <row r="415" spans="2:12" ht="15.75">
      <c r="B415" s="646">
        <v>33909</v>
      </c>
      <c r="C415" s="1322">
        <v>69.397999999999996</v>
      </c>
      <c r="D415" s="1566">
        <v>65.599999999999994</v>
      </c>
      <c r="L415"/>
    </row>
    <row r="416" spans="2:12" ht="15.75">
      <c r="B416" s="646">
        <v>33939</v>
      </c>
      <c r="C416" s="1322">
        <v>69.491</v>
      </c>
      <c r="D416" s="1566">
        <v>65.7</v>
      </c>
      <c r="L416"/>
    </row>
    <row r="417" spans="2:12" ht="15.75">
      <c r="B417" s="646">
        <v>33970</v>
      </c>
      <c r="C417" s="1322">
        <v>70.703999999999994</v>
      </c>
      <c r="D417" s="1566">
        <v>66.8</v>
      </c>
      <c r="L417"/>
    </row>
    <row r="418" spans="2:12" ht="15.75">
      <c r="B418" s="646">
        <v>34001</v>
      </c>
      <c r="C418" s="1322">
        <v>71.263000000000005</v>
      </c>
      <c r="D418" s="1566">
        <v>67.3</v>
      </c>
      <c r="L418"/>
    </row>
    <row r="419" spans="2:12" ht="15.75">
      <c r="B419" s="646">
        <v>34029</v>
      </c>
      <c r="C419" s="1322">
        <v>71.45</v>
      </c>
      <c r="D419" s="1566">
        <v>67.5</v>
      </c>
      <c r="L419"/>
    </row>
    <row r="420" spans="2:12" ht="15.75">
      <c r="B420" s="646">
        <v>34060</v>
      </c>
      <c r="C420" s="1322">
        <v>71.635999999999996</v>
      </c>
      <c r="D420" s="1566">
        <v>67.7</v>
      </c>
      <c r="L420"/>
    </row>
    <row r="421" spans="2:12" ht="15.75">
      <c r="B421" s="646">
        <v>34090</v>
      </c>
      <c r="C421" s="1322">
        <v>71.73</v>
      </c>
      <c r="D421" s="1566">
        <v>67.8</v>
      </c>
      <c r="L421"/>
    </row>
    <row r="422" spans="2:12" ht="15.75">
      <c r="B422" s="646">
        <v>34121</v>
      </c>
      <c r="C422" s="1322">
        <v>71.915999999999997</v>
      </c>
      <c r="D422" s="1566">
        <v>68</v>
      </c>
      <c r="L422"/>
    </row>
    <row r="423" spans="2:12" ht="15.75">
      <c r="B423" s="646">
        <v>34151</v>
      </c>
      <c r="C423" s="1322">
        <v>72.289000000000001</v>
      </c>
      <c r="D423" s="1566">
        <v>68.3</v>
      </c>
      <c r="L423"/>
    </row>
    <row r="424" spans="2:12" ht="15.75">
      <c r="B424" s="646">
        <v>34182</v>
      </c>
      <c r="C424" s="1322">
        <v>72.289000000000001</v>
      </c>
      <c r="D424" s="1566">
        <v>68.3</v>
      </c>
      <c r="L424"/>
    </row>
    <row r="425" spans="2:12" ht="15.75">
      <c r="B425" s="646">
        <v>34213</v>
      </c>
      <c r="C425" s="1322">
        <v>72.195999999999998</v>
      </c>
      <c r="D425" s="1566">
        <v>68.2</v>
      </c>
      <c r="L425"/>
    </row>
    <row r="426" spans="2:12" ht="15.75">
      <c r="B426" s="646">
        <v>34243</v>
      </c>
      <c r="C426" s="1322">
        <v>72.195999999999998</v>
      </c>
      <c r="D426" s="1566">
        <v>68.2</v>
      </c>
      <c r="L426"/>
    </row>
    <row r="427" spans="2:12" ht="15.75">
      <c r="B427" s="646">
        <v>34274</v>
      </c>
      <c r="C427" s="1322">
        <v>72.289000000000001</v>
      </c>
      <c r="D427" s="1566">
        <v>68.3</v>
      </c>
      <c r="L427"/>
    </row>
    <row r="428" spans="2:12" ht="15.75">
      <c r="B428" s="646">
        <v>34304</v>
      </c>
      <c r="C428" s="1322">
        <v>72.475999999999999</v>
      </c>
      <c r="D428" s="1566">
        <v>68.5</v>
      </c>
      <c r="L428"/>
    </row>
    <row r="429" spans="2:12" ht="15.75">
      <c r="B429" s="646">
        <v>34335</v>
      </c>
      <c r="C429" s="1322">
        <v>72.849000000000004</v>
      </c>
      <c r="D429" s="1566">
        <v>68.8</v>
      </c>
      <c r="L429"/>
    </row>
    <row r="430" spans="2:12" ht="15.75">
      <c r="B430" s="646">
        <v>34366</v>
      </c>
      <c r="C430" s="1322">
        <v>73.409000000000006</v>
      </c>
      <c r="D430" s="1566">
        <v>69.400000000000006</v>
      </c>
      <c r="L430"/>
    </row>
    <row r="431" spans="2:12" ht="15.75">
      <c r="B431" s="646">
        <v>34394</v>
      </c>
      <c r="C431" s="1322">
        <v>73.501999999999995</v>
      </c>
      <c r="D431" s="1566">
        <v>69.5</v>
      </c>
      <c r="L431"/>
    </row>
    <row r="432" spans="2:12" ht="15.75">
      <c r="B432" s="646">
        <v>34425</v>
      </c>
      <c r="C432" s="1322">
        <v>73.594999999999999</v>
      </c>
      <c r="D432" s="1566">
        <v>69.599999999999994</v>
      </c>
      <c r="L432"/>
    </row>
    <row r="433" spans="2:12" ht="15.75">
      <c r="B433" s="646">
        <v>34455</v>
      </c>
      <c r="C433" s="1322">
        <v>73.781999999999996</v>
      </c>
      <c r="D433" s="1566">
        <v>69.7</v>
      </c>
      <c r="L433"/>
    </row>
    <row r="434" spans="2:12" ht="15.75">
      <c r="B434" s="646">
        <v>34486</v>
      </c>
      <c r="C434" s="1322">
        <v>73.875</v>
      </c>
      <c r="D434" s="1566">
        <v>69.8</v>
      </c>
      <c r="L434"/>
    </row>
    <row r="435" spans="2:12" ht="15.75">
      <c r="B435" s="646">
        <v>34516</v>
      </c>
      <c r="C435" s="1322">
        <v>74.061999999999998</v>
      </c>
      <c r="D435" s="1566">
        <v>69.900000000000006</v>
      </c>
      <c r="L435"/>
    </row>
    <row r="436" spans="2:12" ht="15.75">
      <c r="B436" s="646">
        <v>34547</v>
      </c>
      <c r="C436" s="1322">
        <v>74.248000000000005</v>
      </c>
      <c r="D436" s="1566">
        <v>70.099999999999994</v>
      </c>
      <c r="L436"/>
    </row>
    <row r="437" spans="2:12" ht="15.75">
      <c r="B437" s="646">
        <v>34578</v>
      </c>
      <c r="C437" s="1322">
        <v>74.061999999999998</v>
      </c>
      <c r="D437" s="1566">
        <v>69.900000000000006</v>
      </c>
      <c r="L437"/>
    </row>
    <row r="438" spans="2:12" ht="15.75">
      <c r="B438" s="646">
        <v>34608</v>
      </c>
      <c r="C438" s="1322">
        <v>73.968000000000004</v>
      </c>
      <c r="D438" s="1566">
        <v>69.8</v>
      </c>
      <c r="L438"/>
    </row>
    <row r="439" spans="2:12" ht="15.75">
      <c r="B439" s="646">
        <v>34639</v>
      </c>
      <c r="C439" s="1322">
        <v>74.061999999999998</v>
      </c>
      <c r="D439" s="1566">
        <v>69.900000000000006</v>
      </c>
      <c r="L439"/>
    </row>
    <row r="440" spans="2:12" ht="15.75">
      <c r="B440" s="646">
        <v>34669</v>
      </c>
      <c r="C440" s="1322">
        <v>74.248000000000005</v>
      </c>
      <c r="D440" s="1566">
        <v>70.099999999999994</v>
      </c>
      <c r="L440"/>
    </row>
    <row r="441" spans="2:12" ht="15.75">
      <c r="B441" s="646">
        <v>34700</v>
      </c>
      <c r="C441" s="1322">
        <v>74.528000000000006</v>
      </c>
      <c r="D441" s="1566">
        <v>70.400000000000006</v>
      </c>
      <c r="L441"/>
    </row>
    <row r="442" spans="2:12" ht="15.75">
      <c r="B442" s="646">
        <v>34731</v>
      </c>
      <c r="C442" s="1322">
        <v>74.900999999999996</v>
      </c>
      <c r="D442" s="1566">
        <v>70.8</v>
      </c>
      <c r="L442"/>
    </row>
    <row r="443" spans="2:12" ht="15.75">
      <c r="B443" s="646">
        <v>34759</v>
      </c>
      <c r="C443" s="1322">
        <v>74.900999999999996</v>
      </c>
      <c r="D443" s="1566">
        <v>70.8</v>
      </c>
      <c r="L443"/>
    </row>
    <row r="444" spans="2:12" ht="15.75">
      <c r="B444" s="646">
        <v>34790</v>
      </c>
      <c r="C444" s="1322">
        <v>74.994</v>
      </c>
      <c r="D444" s="1566">
        <v>70.900000000000006</v>
      </c>
      <c r="L444"/>
    </row>
    <row r="445" spans="2:12" ht="15.75">
      <c r="B445" s="646">
        <v>34820</v>
      </c>
      <c r="C445" s="1322">
        <v>74.994</v>
      </c>
      <c r="D445" s="1566">
        <v>70.900000000000006</v>
      </c>
      <c r="L445"/>
    </row>
    <row r="446" spans="2:12" ht="15.75">
      <c r="B446" s="646">
        <v>34851</v>
      </c>
      <c r="C446" s="1322">
        <v>75.087999999999994</v>
      </c>
      <c r="D446" s="1566">
        <v>71</v>
      </c>
      <c r="L446"/>
    </row>
    <row r="447" spans="2:12" ht="15.75">
      <c r="B447" s="646">
        <v>34881</v>
      </c>
      <c r="C447" s="1322">
        <v>75.274000000000001</v>
      </c>
      <c r="D447" s="1566">
        <v>71.2</v>
      </c>
      <c r="L447"/>
    </row>
    <row r="448" spans="2:12" ht="15.75">
      <c r="B448" s="646">
        <v>34912</v>
      </c>
      <c r="C448" s="1322">
        <v>75.274000000000001</v>
      </c>
      <c r="D448" s="1566">
        <v>71.2</v>
      </c>
      <c r="L448"/>
    </row>
    <row r="449" spans="2:12" ht="15.75">
      <c r="B449" s="646">
        <v>34943</v>
      </c>
      <c r="C449" s="1322">
        <v>75.274000000000001</v>
      </c>
      <c r="D449" s="1566">
        <v>71.2</v>
      </c>
      <c r="L449"/>
    </row>
    <row r="450" spans="2:12" ht="15.75">
      <c r="B450" s="646">
        <v>34973</v>
      </c>
      <c r="C450" s="1322">
        <v>75.087999999999994</v>
      </c>
      <c r="D450" s="1566">
        <v>71</v>
      </c>
      <c r="L450"/>
    </row>
    <row r="451" spans="2:12" ht="15.75">
      <c r="B451" s="646">
        <v>35004</v>
      </c>
      <c r="C451" s="1322">
        <v>75.087999999999994</v>
      </c>
      <c r="D451" s="1566">
        <v>71</v>
      </c>
      <c r="L451"/>
    </row>
    <row r="452" spans="2:12" ht="15.75">
      <c r="B452" s="646">
        <v>35034</v>
      </c>
      <c r="C452" s="1322">
        <v>75.367000000000004</v>
      </c>
      <c r="D452" s="1566">
        <v>71.2</v>
      </c>
      <c r="L452"/>
    </row>
    <row r="453" spans="2:12" ht="15.75">
      <c r="B453" s="646">
        <v>35065</v>
      </c>
      <c r="C453" s="1322">
        <v>75.554000000000002</v>
      </c>
      <c r="D453" s="1566">
        <v>71.400000000000006</v>
      </c>
      <c r="L453"/>
    </row>
    <row r="454" spans="2:12" ht="15.75">
      <c r="B454" s="646">
        <v>35096</v>
      </c>
      <c r="C454" s="1322">
        <v>76.02</v>
      </c>
      <c r="D454" s="1566">
        <v>71.8</v>
      </c>
      <c r="L454"/>
    </row>
    <row r="455" spans="2:12" ht="15.75">
      <c r="B455" s="646">
        <v>35125</v>
      </c>
      <c r="C455" s="1322">
        <v>76.02</v>
      </c>
      <c r="D455" s="1566">
        <v>71.8</v>
      </c>
      <c r="L455"/>
    </row>
    <row r="456" spans="2:12" ht="15.75">
      <c r="B456" s="646">
        <v>35156</v>
      </c>
      <c r="C456" s="1322">
        <v>76.02</v>
      </c>
      <c r="D456" s="1566">
        <v>71.8</v>
      </c>
      <c r="L456"/>
    </row>
    <row r="457" spans="2:12" ht="15.75">
      <c r="B457" s="646">
        <v>35186</v>
      </c>
      <c r="C457" s="1322">
        <v>76.114000000000004</v>
      </c>
      <c r="D457" s="1566">
        <v>71.900000000000006</v>
      </c>
      <c r="L457"/>
    </row>
    <row r="458" spans="2:12" ht="15.75">
      <c r="B458" s="646">
        <v>35217</v>
      </c>
      <c r="C458" s="1322">
        <v>76.206999999999994</v>
      </c>
      <c r="D458" s="1566">
        <v>72</v>
      </c>
      <c r="L458"/>
    </row>
    <row r="459" spans="2:12" ht="15.75">
      <c r="B459" s="646">
        <v>35247</v>
      </c>
      <c r="C459" s="1322">
        <v>76.3</v>
      </c>
      <c r="D459" s="1566">
        <v>72.099999999999994</v>
      </c>
      <c r="L459"/>
    </row>
    <row r="460" spans="2:12" ht="15.75">
      <c r="B460" s="646">
        <v>35278</v>
      </c>
      <c r="C460" s="1322">
        <v>76.3</v>
      </c>
      <c r="D460" s="1566">
        <v>72.099999999999994</v>
      </c>
      <c r="L460"/>
    </row>
    <row r="461" spans="2:12" ht="15.75">
      <c r="B461" s="646">
        <v>35309</v>
      </c>
      <c r="C461" s="1322">
        <v>76.3</v>
      </c>
      <c r="D461" s="1566">
        <v>72.099999999999994</v>
      </c>
      <c r="L461"/>
    </row>
    <row r="462" spans="2:12" ht="15.75">
      <c r="B462" s="646">
        <v>35339</v>
      </c>
      <c r="C462" s="1322">
        <v>76.3</v>
      </c>
      <c r="D462" s="1566">
        <v>72.099999999999994</v>
      </c>
      <c r="L462"/>
    </row>
    <row r="463" spans="2:12" ht="15.75">
      <c r="B463" s="646">
        <v>35370</v>
      </c>
      <c r="C463" s="1322">
        <v>76.206999999999994</v>
      </c>
      <c r="D463" s="1566">
        <v>72</v>
      </c>
      <c r="L463"/>
    </row>
    <row r="464" spans="2:12" ht="15.75">
      <c r="B464" s="646">
        <v>35400</v>
      </c>
      <c r="C464" s="1322">
        <v>76.486999999999995</v>
      </c>
      <c r="D464" s="1566">
        <v>72.3</v>
      </c>
      <c r="L464"/>
    </row>
    <row r="465" spans="2:12" ht="15.75">
      <c r="B465" s="646">
        <v>35431</v>
      </c>
      <c r="C465" s="1322">
        <v>77.14</v>
      </c>
      <c r="D465" s="1566">
        <v>72.900000000000006</v>
      </c>
      <c r="L465"/>
    </row>
    <row r="466" spans="2:12" ht="15.75">
      <c r="B466" s="646">
        <v>35462</v>
      </c>
      <c r="C466" s="1322">
        <v>77.233000000000004</v>
      </c>
      <c r="D466" s="1566">
        <v>73</v>
      </c>
      <c r="L466"/>
    </row>
    <row r="467" spans="2:12" ht="15.75">
      <c r="B467" s="646">
        <v>35490</v>
      </c>
      <c r="C467" s="1322">
        <v>77.233000000000004</v>
      </c>
      <c r="D467" s="1566">
        <v>73</v>
      </c>
      <c r="L467"/>
    </row>
    <row r="468" spans="2:12" ht="15.75">
      <c r="B468" s="646">
        <v>35521</v>
      </c>
      <c r="C468" s="1322">
        <v>77.14</v>
      </c>
      <c r="D468" s="1566">
        <v>72.900000000000006</v>
      </c>
      <c r="L468"/>
    </row>
    <row r="469" spans="2:12" ht="15.75">
      <c r="B469" s="646">
        <v>35551</v>
      </c>
      <c r="C469" s="1322">
        <v>77.325999999999993</v>
      </c>
      <c r="D469" s="1566">
        <v>73.099999999999994</v>
      </c>
      <c r="L469"/>
    </row>
    <row r="470" spans="2:12" ht="15.75">
      <c r="B470" s="646">
        <v>35582</v>
      </c>
      <c r="C470" s="1322">
        <v>77.42</v>
      </c>
      <c r="D470" s="1566">
        <v>73.099999999999994</v>
      </c>
      <c r="L470"/>
    </row>
    <row r="471" spans="2:12" ht="15.75">
      <c r="B471" s="646">
        <v>35612</v>
      </c>
      <c r="C471" s="1322">
        <v>78.072000000000003</v>
      </c>
      <c r="D471" s="1566">
        <v>73.8</v>
      </c>
      <c r="L471"/>
    </row>
    <row r="472" spans="2:12" ht="15.75">
      <c r="B472" s="646">
        <v>35643</v>
      </c>
      <c r="C472" s="1322">
        <v>78.165999999999997</v>
      </c>
      <c r="D472" s="1566">
        <v>73.8</v>
      </c>
      <c r="L472"/>
    </row>
    <row r="473" spans="2:12" ht="15.75">
      <c r="B473" s="646">
        <v>35674</v>
      </c>
      <c r="C473" s="1322">
        <v>77.978999999999999</v>
      </c>
      <c r="D473" s="1566">
        <v>73.7</v>
      </c>
      <c r="L473"/>
    </row>
    <row r="474" spans="2:12" ht="15.75">
      <c r="B474" s="646">
        <v>35704</v>
      </c>
      <c r="C474" s="1322">
        <v>77.885999999999996</v>
      </c>
      <c r="D474" s="1566">
        <v>73.599999999999994</v>
      </c>
      <c r="L474"/>
    </row>
    <row r="475" spans="2:12" ht="15.75">
      <c r="B475" s="646">
        <v>35735</v>
      </c>
      <c r="C475" s="1322">
        <v>77.885999999999996</v>
      </c>
      <c r="D475" s="1566">
        <v>73.599999999999994</v>
      </c>
      <c r="L475"/>
    </row>
    <row r="476" spans="2:12" ht="15.75">
      <c r="B476" s="646">
        <v>35765</v>
      </c>
      <c r="C476" s="1322">
        <v>78.072000000000003</v>
      </c>
      <c r="D476" s="1566">
        <v>73.8</v>
      </c>
      <c r="L476"/>
    </row>
    <row r="477" spans="2:12" ht="15.75">
      <c r="B477" s="646">
        <v>35796</v>
      </c>
      <c r="C477" s="1322">
        <v>78.072000000000003</v>
      </c>
      <c r="D477" s="1566">
        <v>73.8</v>
      </c>
      <c r="L477"/>
    </row>
    <row r="478" spans="2:12" ht="15.75">
      <c r="B478" s="646">
        <v>35827</v>
      </c>
      <c r="C478" s="1322">
        <v>78.259</v>
      </c>
      <c r="D478" s="1566">
        <v>73.900000000000006</v>
      </c>
      <c r="L478"/>
    </row>
    <row r="479" spans="2:12" ht="15.75">
      <c r="B479" s="646">
        <v>35855</v>
      </c>
      <c r="C479" s="1322">
        <v>78.165999999999997</v>
      </c>
      <c r="D479" s="1566">
        <v>73.8</v>
      </c>
      <c r="L479"/>
    </row>
    <row r="480" spans="2:12" ht="15.75">
      <c r="B480" s="646">
        <v>35886</v>
      </c>
      <c r="C480" s="1322">
        <v>78.259</v>
      </c>
      <c r="D480" s="1566">
        <v>73.900000000000006</v>
      </c>
      <c r="L480"/>
    </row>
    <row r="481" spans="2:12" ht="15.75">
      <c r="B481" s="646">
        <v>35916</v>
      </c>
      <c r="C481" s="1322">
        <v>78.352000000000004</v>
      </c>
      <c r="D481" s="1566">
        <v>74</v>
      </c>
      <c r="L481"/>
    </row>
    <row r="482" spans="2:12" ht="15.75">
      <c r="B482" s="646">
        <v>35947</v>
      </c>
      <c r="C482" s="1322">
        <v>78.445999999999998</v>
      </c>
      <c r="D482" s="1566">
        <v>74.099999999999994</v>
      </c>
      <c r="L482"/>
    </row>
    <row r="483" spans="2:12" ht="15.75">
      <c r="B483" s="646">
        <v>35977</v>
      </c>
      <c r="C483" s="1322">
        <v>78.724999999999994</v>
      </c>
      <c r="D483" s="1566">
        <v>74.400000000000006</v>
      </c>
      <c r="L483"/>
    </row>
    <row r="484" spans="2:12" ht="15.75">
      <c r="B484" s="646">
        <v>36008</v>
      </c>
      <c r="C484" s="1322">
        <v>78.539000000000001</v>
      </c>
      <c r="D484" s="1566">
        <v>74.2</v>
      </c>
      <c r="L484"/>
    </row>
    <row r="485" spans="2:12" ht="15.75">
      <c r="B485" s="646">
        <v>36039</v>
      </c>
      <c r="C485" s="1322">
        <v>78.352000000000004</v>
      </c>
      <c r="D485" s="1566">
        <v>74</v>
      </c>
      <c r="L485"/>
    </row>
    <row r="486" spans="2:12" ht="15.75">
      <c r="B486" s="646">
        <v>36069</v>
      </c>
      <c r="C486" s="1322">
        <v>78.259</v>
      </c>
      <c r="D486" s="1566">
        <v>73.900000000000006</v>
      </c>
      <c r="L486"/>
    </row>
    <row r="487" spans="2:12" ht="15.75">
      <c r="B487" s="646">
        <v>36100</v>
      </c>
      <c r="C487" s="1322">
        <v>78.259</v>
      </c>
      <c r="D487" s="1566">
        <v>73.900000000000006</v>
      </c>
      <c r="L487"/>
    </row>
    <row r="488" spans="2:12" ht="15.75">
      <c r="B488" s="646">
        <v>36130</v>
      </c>
      <c r="C488" s="1322">
        <v>78.352000000000004</v>
      </c>
      <c r="D488" s="1566">
        <v>74</v>
      </c>
      <c r="L488"/>
    </row>
    <row r="489" spans="2:12" ht="15.75">
      <c r="B489" s="646">
        <v>36161</v>
      </c>
      <c r="C489" s="1322">
        <v>78.259</v>
      </c>
      <c r="D489" s="1566">
        <v>73.900000000000006</v>
      </c>
      <c r="L489"/>
    </row>
    <row r="490" spans="2:12" ht="15.75">
      <c r="B490" s="646">
        <v>36192</v>
      </c>
      <c r="C490" s="1322">
        <v>78.352000000000004</v>
      </c>
      <c r="D490" s="1566">
        <v>74</v>
      </c>
      <c r="L490"/>
    </row>
    <row r="491" spans="2:12" ht="15.75">
      <c r="B491" s="646">
        <v>36220</v>
      </c>
      <c r="C491" s="1322">
        <v>78.352000000000004</v>
      </c>
      <c r="D491" s="1566">
        <v>74</v>
      </c>
      <c r="L491"/>
    </row>
    <row r="492" spans="2:12" ht="15.75">
      <c r="B492" s="646">
        <v>36251</v>
      </c>
      <c r="C492" s="1322">
        <v>78.724999999999994</v>
      </c>
      <c r="D492" s="1566">
        <v>74.400000000000006</v>
      </c>
      <c r="L492"/>
    </row>
    <row r="493" spans="2:12" ht="15.75">
      <c r="B493" s="646">
        <v>36281</v>
      </c>
      <c r="C493" s="1322">
        <v>78.724999999999994</v>
      </c>
      <c r="D493" s="1566">
        <v>74.400000000000006</v>
      </c>
      <c r="L493"/>
    </row>
    <row r="494" spans="2:12" ht="15.75">
      <c r="B494" s="646">
        <v>36312</v>
      </c>
      <c r="C494" s="1322">
        <v>78.819000000000003</v>
      </c>
      <c r="D494" s="1566">
        <v>74.5</v>
      </c>
      <c r="L494"/>
    </row>
    <row r="495" spans="2:12" ht="15.75">
      <c r="B495" s="646">
        <v>36342</v>
      </c>
      <c r="C495" s="1322">
        <v>79.191999999999993</v>
      </c>
      <c r="D495" s="1566">
        <v>74.8</v>
      </c>
      <c r="L495"/>
    </row>
    <row r="496" spans="2:12" ht="15.75">
      <c r="B496" s="646">
        <v>36373</v>
      </c>
      <c r="C496" s="1322">
        <v>79.097999999999999</v>
      </c>
      <c r="D496" s="1566">
        <v>74.8</v>
      </c>
      <c r="L496"/>
    </row>
    <row r="497" spans="2:12" ht="15.75">
      <c r="B497" s="646">
        <v>36404</v>
      </c>
      <c r="C497" s="1322">
        <v>78.912000000000006</v>
      </c>
      <c r="D497" s="1566">
        <v>74.599999999999994</v>
      </c>
      <c r="L497"/>
    </row>
    <row r="498" spans="2:12" ht="15.75">
      <c r="B498" s="646">
        <v>36434</v>
      </c>
      <c r="C498" s="1322">
        <v>78.819000000000003</v>
      </c>
      <c r="D498" s="1566">
        <v>74.5</v>
      </c>
      <c r="L498"/>
    </row>
    <row r="499" spans="2:12" ht="15.75">
      <c r="B499" s="646">
        <v>36465</v>
      </c>
      <c r="C499" s="1322">
        <v>79.004999999999995</v>
      </c>
      <c r="D499" s="1566">
        <v>74.7</v>
      </c>
      <c r="L499"/>
    </row>
    <row r="500" spans="2:12" ht="15.75">
      <c r="B500" s="646">
        <v>36495</v>
      </c>
      <c r="C500" s="1322">
        <v>79.284999999999997</v>
      </c>
      <c r="D500" s="1566">
        <v>74.900000000000006</v>
      </c>
      <c r="L500"/>
    </row>
    <row r="501" spans="2:12" ht="15.75">
      <c r="B501" s="646">
        <v>36526</v>
      </c>
      <c r="C501" s="1322">
        <v>79.471999999999994</v>
      </c>
      <c r="D501" s="1566">
        <v>75.099999999999994</v>
      </c>
      <c r="L501"/>
    </row>
    <row r="502" spans="2:12" ht="15.75">
      <c r="B502" s="646">
        <v>36557</v>
      </c>
      <c r="C502" s="1322">
        <v>79.564999999999998</v>
      </c>
      <c r="D502" s="1566">
        <v>75.099999999999994</v>
      </c>
      <c r="L502"/>
    </row>
    <row r="503" spans="2:12" ht="15.75">
      <c r="B503" s="646">
        <v>36586</v>
      </c>
      <c r="C503" s="1322">
        <v>79.564999999999998</v>
      </c>
      <c r="D503" s="1566">
        <v>75.099999999999994</v>
      </c>
      <c r="L503"/>
    </row>
    <row r="504" spans="2:12" ht="15.75">
      <c r="B504" s="646">
        <v>36617</v>
      </c>
      <c r="C504" s="1322">
        <v>79.564999999999998</v>
      </c>
      <c r="D504" s="1566">
        <v>75.099999999999994</v>
      </c>
      <c r="L504"/>
    </row>
    <row r="505" spans="2:12" ht="15.75">
      <c r="B505" s="646">
        <v>36647</v>
      </c>
      <c r="C505" s="1322">
        <v>79.471999999999994</v>
      </c>
      <c r="D505" s="1566">
        <v>75.099999999999994</v>
      </c>
      <c r="L505"/>
    </row>
    <row r="506" spans="2:12" ht="15.75">
      <c r="B506" s="646">
        <v>36678</v>
      </c>
      <c r="C506" s="1322">
        <v>79.844999999999999</v>
      </c>
      <c r="D506" s="1566">
        <v>75.400000000000006</v>
      </c>
      <c r="L506"/>
    </row>
    <row r="507" spans="2:12" ht="15.75">
      <c r="B507" s="646">
        <v>36708</v>
      </c>
      <c r="C507" s="1322">
        <v>80.218000000000004</v>
      </c>
      <c r="D507" s="1566">
        <v>75.8</v>
      </c>
      <c r="L507"/>
    </row>
    <row r="508" spans="2:12" ht="15.75">
      <c r="B508" s="646">
        <v>36739</v>
      </c>
      <c r="C508" s="1322">
        <v>80.031000000000006</v>
      </c>
      <c r="D508" s="1566">
        <v>75.599999999999994</v>
      </c>
      <c r="L508"/>
    </row>
    <row r="509" spans="2:12" ht="15.75">
      <c r="B509" s="646">
        <v>36770</v>
      </c>
      <c r="C509" s="1322">
        <v>80.218000000000004</v>
      </c>
      <c r="D509" s="1566">
        <v>75.8</v>
      </c>
      <c r="L509"/>
    </row>
    <row r="510" spans="2:12" ht="15.75">
      <c r="B510" s="646">
        <v>36800</v>
      </c>
      <c r="C510" s="1322">
        <v>80.125</v>
      </c>
      <c r="D510" s="1566">
        <v>75.7</v>
      </c>
      <c r="L510"/>
    </row>
    <row r="511" spans="2:12" ht="15.75">
      <c r="B511" s="646">
        <v>36831</v>
      </c>
      <c r="C511" s="1322">
        <v>80.218000000000004</v>
      </c>
      <c r="D511" s="1566">
        <v>75.8</v>
      </c>
      <c r="L511"/>
    </row>
    <row r="512" spans="2:12" ht="15.75">
      <c r="B512" s="646">
        <v>36861</v>
      </c>
      <c r="C512" s="1322">
        <v>80.870999999999995</v>
      </c>
      <c r="D512" s="1566">
        <v>76.400000000000006</v>
      </c>
      <c r="L512"/>
    </row>
    <row r="513" spans="2:12" ht="15.75">
      <c r="B513" s="646">
        <v>36892</v>
      </c>
      <c r="C513" s="1322">
        <v>80.590999999999994</v>
      </c>
      <c r="D513" s="1566">
        <v>76.2</v>
      </c>
      <c r="L513"/>
    </row>
    <row r="514" spans="2:12" ht="15.75">
      <c r="B514" s="646">
        <v>36923</v>
      </c>
      <c r="C514" s="1322">
        <v>81.057000000000002</v>
      </c>
      <c r="D514" s="1566">
        <v>76.599999999999994</v>
      </c>
      <c r="L514"/>
    </row>
    <row r="515" spans="2:12" ht="15.75">
      <c r="B515" s="646">
        <v>36951</v>
      </c>
      <c r="C515" s="1322">
        <v>81.057000000000002</v>
      </c>
      <c r="D515" s="1566">
        <v>76.599999999999994</v>
      </c>
      <c r="L515"/>
    </row>
    <row r="516" spans="2:12" ht="15.75">
      <c r="B516" s="646">
        <v>36982</v>
      </c>
      <c r="C516" s="1322">
        <v>81.430000000000007</v>
      </c>
      <c r="D516" s="1566">
        <v>76.900000000000006</v>
      </c>
      <c r="L516"/>
    </row>
    <row r="517" spans="2:12" ht="15.75">
      <c r="B517" s="646">
        <v>37012</v>
      </c>
      <c r="C517" s="1322">
        <v>81.709999999999994</v>
      </c>
      <c r="D517" s="1566">
        <v>77.2</v>
      </c>
      <c r="L517"/>
    </row>
    <row r="518" spans="2:12" ht="15.75">
      <c r="B518" s="646">
        <v>37043</v>
      </c>
      <c r="C518" s="1322">
        <v>81.804000000000002</v>
      </c>
      <c r="D518" s="1566">
        <v>77.3</v>
      </c>
      <c r="L518"/>
    </row>
    <row r="519" spans="2:12" ht="15.75">
      <c r="B519" s="646">
        <v>37073</v>
      </c>
      <c r="C519" s="1322">
        <v>81.897000000000006</v>
      </c>
      <c r="D519" s="1566">
        <v>77.400000000000006</v>
      </c>
      <c r="L519"/>
    </row>
    <row r="520" spans="2:12" ht="15.75">
      <c r="B520" s="646">
        <v>37104</v>
      </c>
      <c r="C520" s="1322">
        <v>81.709999999999994</v>
      </c>
      <c r="D520" s="1566">
        <v>77.2</v>
      </c>
      <c r="L520"/>
    </row>
    <row r="521" spans="2:12" ht="15.75">
      <c r="B521" s="646">
        <v>37135</v>
      </c>
      <c r="C521" s="1322">
        <v>81.709999999999994</v>
      </c>
      <c r="D521" s="1566">
        <v>77.2</v>
      </c>
      <c r="L521"/>
    </row>
    <row r="522" spans="2:12" ht="15.75">
      <c r="B522" s="646">
        <v>37165</v>
      </c>
      <c r="C522" s="1322">
        <v>81.617000000000004</v>
      </c>
      <c r="D522" s="1566">
        <v>77.099999999999994</v>
      </c>
      <c r="L522"/>
    </row>
    <row r="523" spans="2:12" ht="15.75">
      <c r="B523" s="646">
        <v>37196</v>
      </c>
      <c r="C523" s="1322">
        <v>81.430000000000007</v>
      </c>
      <c r="D523" s="1566">
        <v>76.900000000000006</v>
      </c>
      <c r="L523"/>
    </row>
    <row r="524" spans="2:12" ht="15.75">
      <c r="B524" s="646">
        <v>37226</v>
      </c>
      <c r="C524" s="1322">
        <v>82.177000000000007</v>
      </c>
      <c r="D524" s="1566">
        <v>77.7</v>
      </c>
      <c r="L524"/>
    </row>
    <row r="525" spans="2:12" ht="15.75">
      <c r="B525" s="646">
        <v>37257</v>
      </c>
      <c r="C525" s="1322">
        <v>82.27</v>
      </c>
      <c r="D525" s="1566">
        <v>77.7</v>
      </c>
      <c r="L525"/>
    </row>
    <row r="526" spans="2:12" ht="15.75">
      <c r="B526" s="646">
        <v>37288</v>
      </c>
      <c r="C526" s="1322">
        <v>82.55</v>
      </c>
      <c r="D526" s="1566">
        <v>78</v>
      </c>
      <c r="L526"/>
    </row>
    <row r="527" spans="2:12" ht="15.75">
      <c r="B527" s="646">
        <v>37316</v>
      </c>
      <c r="C527" s="1322">
        <v>82.736000000000004</v>
      </c>
      <c r="D527" s="1566">
        <v>78.2</v>
      </c>
      <c r="L527"/>
    </row>
    <row r="528" spans="2:12" ht="15.75">
      <c r="B528" s="646">
        <v>37347</v>
      </c>
      <c r="C528" s="1322">
        <v>82.643000000000001</v>
      </c>
      <c r="D528" s="1566">
        <v>78.099999999999994</v>
      </c>
      <c r="L528"/>
    </row>
    <row r="529" spans="2:12" ht="15.75">
      <c r="B529" s="646">
        <v>37377</v>
      </c>
      <c r="C529" s="1322">
        <v>82.736000000000004</v>
      </c>
      <c r="D529" s="1566">
        <v>78.2</v>
      </c>
      <c r="L529"/>
    </row>
    <row r="530" spans="2:12" ht="15.75">
      <c r="B530" s="646">
        <v>37408</v>
      </c>
      <c r="C530" s="1322">
        <v>82.736000000000004</v>
      </c>
      <c r="D530" s="1566">
        <v>78.2</v>
      </c>
      <c r="L530"/>
    </row>
    <row r="531" spans="2:12" ht="15.75">
      <c r="B531" s="646">
        <v>37438</v>
      </c>
      <c r="C531" s="1322">
        <v>82.83</v>
      </c>
      <c r="D531" s="1566">
        <v>78.3</v>
      </c>
      <c r="L531"/>
    </row>
    <row r="532" spans="2:12" ht="15.75">
      <c r="B532" s="646">
        <v>37469</v>
      </c>
      <c r="C532" s="1322">
        <v>82.736000000000004</v>
      </c>
      <c r="D532" s="1566">
        <v>78.2</v>
      </c>
      <c r="L532"/>
    </row>
    <row r="533" spans="2:12" ht="15.75">
      <c r="B533" s="646">
        <v>37500</v>
      </c>
      <c r="C533" s="1322">
        <v>82.736000000000004</v>
      </c>
      <c r="D533" s="1566">
        <v>78.2</v>
      </c>
      <c r="L533"/>
    </row>
    <row r="534" spans="2:12" ht="15.75">
      <c r="B534" s="646">
        <v>37530</v>
      </c>
      <c r="C534" s="1322">
        <v>82.643000000000001</v>
      </c>
      <c r="D534" s="1566">
        <v>78.099999999999994</v>
      </c>
      <c r="L534"/>
    </row>
    <row r="535" spans="2:12" ht="15.75">
      <c r="B535" s="646">
        <v>37561</v>
      </c>
      <c r="C535" s="1322">
        <v>82.363</v>
      </c>
      <c r="D535" s="1566">
        <v>77.8</v>
      </c>
      <c r="L535"/>
    </row>
    <row r="536" spans="2:12" ht="15.75">
      <c r="B536" s="646">
        <v>37591</v>
      </c>
      <c r="C536" s="1322">
        <v>83.108999999999995</v>
      </c>
      <c r="D536" s="1566">
        <v>78.5</v>
      </c>
      <c r="L536"/>
    </row>
    <row r="537" spans="2:12" ht="15.75">
      <c r="B537" s="646">
        <v>37622</v>
      </c>
      <c r="C537" s="1322">
        <v>83.108999999999995</v>
      </c>
      <c r="D537" s="1566">
        <v>78.5</v>
      </c>
      <c r="L537"/>
    </row>
    <row r="538" spans="2:12" ht="15.75">
      <c r="B538" s="646">
        <v>37653</v>
      </c>
      <c r="C538" s="1322">
        <v>83.575999999999993</v>
      </c>
      <c r="D538" s="1566">
        <v>79</v>
      </c>
      <c r="L538"/>
    </row>
    <row r="539" spans="2:12" ht="15.75">
      <c r="B539" s="646">
        <v>37681</v>
      </c>
      <c r="C539" s="1322">
        <v>83.668999999999997</v>
      </c>
      <c r="D539" s="1566">
        <v>79</v>
      </c>
      <c r="L539"/>
    </row>
    <row r="540" spans="2:12" ht="15.75">
      <c r="B540" s="646">
        <v>37712</v>
      </c>
      <c r="C540" s="1322">
        <v>83.388999999999996</v>
      </c>
      <c r="D540" s="1566">
        <v>78.8</v>
      </c>
      <c r="L540"/>
    </row>
    <row r="541" spans="2:12" ht="15.75">
      <c r="B541" s="646">
        <v>37742</v>
      </c>
      <c r="C541" s="1322">
        <v>83.203000000000003</v>
      </c>
      <c r="D541" s="1566">
        <v>78.599999999999994</v>
      </c>
      <c r="L541"/>
    </row>
    <row r="542" spans="2:12" ht="15.75">
      <c r="B542" s="646">
        <v>37773</v>
      </c>
      <c r="C542" s="1322">
        <v>83.481999999999999</v>
      </c>
      <c r="D542" s="1566">
        <v>78.900000000000006</v>
      </c>
      <c r="L542"/>
    </row>
    <row r="543" spans="2:12" ht="15.75">
      <c r="B543" s="646">
        <v>37803</v>
      </c>
      <c r="C543" s="1322">
        <v>83.668999999999997</v>
      </c>
      <c r="D543" s="1566">
        <v>79</v>
      </c>
      <c r="L543"/>
    </row>
    <row r="544" spans="2:12" ht="15.75">
      <c r="B544" s="646">
        <v>37834</v>
      </c>
      <c r="C544" s="1322">
        <v>83.668999999999997</v>
      </c>
      <c r="D544" s="1566">
        <v>79</v>
      </c>
      <c r="L544"/>
    </row>
    <row r="545" spans="2:12" ht="15.75">
      <c r="B545" s="646">
        <v>37865</v>
      </c>
      <c r="C545" s="1322">
        <v>83.575999999999993</v>
      </c>
      <c r="D545" s="1566">
        <v>79</v>
      </c>
      <c r="L545"/>
    </row>
    <row r="546" spans="2:12" ht="15.75">
      <c r="B546" s="646">
        <v>37895</v>
      </c>
      <c r="C546" s="1322">
        <v>83.575999999999993</v>
      </c>
      <c r="D546" s="1566">
        <v>79</v>
      </c>
      <c r="L546"/>
    </row>
    <row r="547" spans="2:12" ht="15.75">
      <c r="B547" s="646">
        <v>37926</v>
      </c>
      <c r="C547" s="1322">
        <v>83.388999999999996</v>
      </c>
      <c r="D547" s="1566">
        <v>78.8</v>
      </c>
      <c r="L547"/>
    </row>
    <row r="548" spans="2:12" ht="15.75">
      <c r="B548" s="646">
        <v>37956</v>
      </c>
      <c r="C548" s="1322">
        <v>84.042000000000002</v>
      </c>
      <c r="D548" s="1566">
        <v>79.400000000000006</v>
      </c>
      <c r="L548"/>
    </row>
    <row r="549" spans="2:12" ht="15.75">
      <c r="B549" s="646">
        <v>37987</v>
      </c>
      <c r="C549" s="1322">
        <v>84.042000000000002</v>
      </c>
      <c r="D549" s="1566">
        <v>79.400000000000006</v>
      </c>
      <c r="L549"/>
    </row>
    <row r="550" spans="2:12" ht="15.75">
      <c r="B550" s="646">
        <v>38018</v>
      </c>
      <c r="C550" s="1322">
        <v>84.228999999999999</v>
      </c>
      <c r="D550" s="1566">
        <v>79.599999999999994</v>
      </c>
      <c r="L550"/>
    </row>
    <row r="551" spans="2:12" ht="15.75">
      <c r="B551" s="646">
        <v>38047</v>
      </c>
      <c r="C551" s="1322">
        <v>84.509</v>
      </c>
      <c r="D551" s="1566">
        <v>79.900000000000006</v>
      </c>
      <c r="L551"/>
    </row>
    <row r="552" spans="2:12" ht="15.75">
      <c r="B552" s="646">
        <v>38078</v>
      </c>
      <c r="C552" s="1322">
        <v>84.787999999999997</v>
      </c>
      <c r="D552" s="1566">
        <v>80.099999999999994</v>
      </c>
      <c r="L552"/>
    </row>
    <row r="553" spans="2:12" ht="15.75">
      <c r="B553" s="646">
        <v>38108</v>
      </c>
      <c r="C553" s="1322">
        <v>84.974999999999994</v>
      </c>
      <c r="D553" s="1566">
        <v>80.3</v>
      </c>
      <c r="L553"/>
    </row>
    <row r="554" spans="2:12" ht="15.75">
      <c r="B554" s="646">
        <v>38139</v>
      </c>
      <c r="C554" s="1322">
        <v>84.974999999999994</v>
      </c>
      <c r="D554" s="1566">
        <v>80.3</v>
      </c>
      <c r="L554"/>
    </row>
    <row r="555" spans="2:12" ht="15.75">
      <c r="B555" s="646">
        <v>38169</v>
      </c>
      <c r="C555" s="1322">
        <v>85.161000000000001</v>
      </c>
      <c r="D555" s="1566">
        <v>80.400000000000006</v>
      </c>
      <c r="L555"/>
    </row>
    <row r="556" spans="2:12" ht="15.75">
      <c r="B556" s="646">
        <v>38200</v>
      </c>
      <c r="C556" s="1322">
        <v>85.254999999999995</v>
      </c>
      <c r="D556" s="1566">
        <v>80.5</v>
      </c>
      <c r="L556"/>
    </row>
    <row r="557" spans="2:12" ht="15.75">
      <c r="B557" s="646">
        <v>38231</v>
      </c>
      <c r="C557" s="1322">
        <v>85.067999999999998</v>
      </c>
      <c r="D557" s="1566">
        <v>80.3</v>
      </c>
      <c r="L557"/>
    </row>
    <row r="558" spans="2:12" ht="15.75">
      <c r="B558" s="646">
        <v>38261</v>
      </c>
      <c r="C558" s="1322">
        <v>85.161000000000001</v>
      </c>
      <c r="D558" s="1566">
        <v>80.400000000000006</v>
      </c>
      <c r="L558"/>
    </row>
    <row r="559" spans="2:12" ht="15.75">
      <c r="B559" s="646">
        <v>38292</v>
      </c>
      <c r="C559" s="1322">
        <v>84.974999999999994</v>
      </c>
      <c r="D559" s="1566">
        <v>80.3</v>
      </c>
      <c r="L559"/>
    </row>
    <row r="560" spans="2:12" ht="15.75">
      <c r="B560" s="646">
        <v>38322</v>
      </c>
      <c r="C560" s="1322">
        <v>85.908000000000001</v>
      </c>
      <c r="D560" s="1566">
        <v>81.2</v>
      </c>
      <c r="L560"/>
    </row>
    <row r="561" spans="2:12" ht="15.75">
      <c r="B561" s="646">
        <v>38353</v>
      </c>
      <c r="C561" s="1322">
        <v>85.254999999999995</v>
      </c>
      <c r="D561" s="1566">
        <v>80.599999999999994</v>
      </c>
      <c r="L561"/>
    </row>
    <row r="562" spans="2:12" ht="15.75">
      <c r="B562" s="646">
        <v>38384</v>
      </c>
      <c r="C562" s="1322">
        <v>85.628</v>
      </c>
      <c r="D562" s="1566">
        <v>80.900000000000006</v>
      </c>
      <c r="L562"/>
    </row>
    <row r="563" spans="2:12" ht="15.75">
      <c r="B563" s="646">
        <v>38412</v>
      </c>
      <c r="C563" s="1322">
        <v>86.001000000000005</v>
      </c>
      <c r="D563" s="1566">
        <v>81.3</v>
      </c>
      <c r="L563"/>
    </row>
    <row r="564" spans="2:12" ht="15.75">
      <c r="B564" s="646">
        <v>38443</v>
      </c>
      <c r="C564" s="1322">
        <v>85.813999999999993</v>
      </c>
      <c r="D564" s="1566">
        <v>81</v>
      </c>
      <c r="L564"/>
    </row>
    <row r="565" spans="2:12" ht="15.75">
      <c r="B565" s="646">
        <v>38473</v>
      </c>
      <c r="C565" s="1322">
        <v>86.001000000000005</v>
      </c>
      <c r="D565" s="1566">
        <v>81.2</v>
      </c>
      <c r="L565"/>
    </row>
    <row r="566" spans="2:12" ht="15.75">
      <c r="B566" s="646">
        <v>38504</v>
      </c>
      <c r="C566" s="1322">
        <v>86.093999999999994</v>
      </c>
      <c r="D566" s="1566">
        <v>81.3</v>
      </c>
      <c r="L566"/>
    </row>
    <row r="567" spans="2:12" ht="15.75">
      <c r="B567" s="646">
        <v>38534</v>
      </c>
      <c r="C567" s="1322">
        <v>86.466999999999999</v>
      </c>
      <c r="D567" s="1566">
        <v>81.7</v>
      </c>
      <c r="L567"/>
    </row>
    <row r="568" spans="2:12" ht="15.75">
      <c r="B568" s="646">
        <v>38565</v>
      </c>
      <c r="C568" s="1322">
        <v>86.561000000000007</v>
      </c>
      <c r="D568" s="1566">
        <v>81.8</v>
      </c>
      <c r="L568"/>
    </row>
    <row r="569" spans="2:12" ht="15.75">
      <c r="B569" s="646">
        <v>38596</v>
      </c>
      <c r="C569" s="1322">
        <v>86.653999999999996</v>
      </c>
      <c r="D569" s="1566">
        <v>81.900000000000006</v>
      </c>
      <c r="L569"/>
    </row>
    <row r="570" spans="2:12" ht="15.75">
      <c r="B570" s="646">
        <v>38626</v>
      </c>
      <c r="C570" s="1322">
        <v>86.747</v>
      </c>
      <c r="D570" s="1566">
        <v>81.900000000000006</v>
      </c>
      <c r="L570"/>
    </row>
    <row r="571" spans="2:12" ht="15.75">
      <c r="B571" s="646">
        <v>38657</v>
      </c>
      <c r="C571" s="1322">
        <v>86.466999999999999</v>
      </c>
      <c r="D571" s="1566">
        <v>81.7</v>
      </c>
      <c r="L571"/>
    </row>
    <row r="572" spans="2:12" ht="15.75">
      <c r="B572" s="646">
        <v>38687</v>
      </c>
      <c r="C572" s="1322">
        <v>87.12</v>
      </c>
      <c r="D572" s="1566">
        <v>82.3</v>
      </c>
      <c r="L572"/>
    </row>
    <row r="573" spans="2:12" ht="15.75">
      <c r="B573" s="646">
        <v>38718</v>
      </c>
      <c r="C573" s="1322">
        <v>86.84</v>
      </c>
      <c r="D573" s="1566">
        <v>82</v>
      </c>
      <c r="L573"/>
    </row>
    <row r="574" spans="2:12" ht="15.75">
      <c r="B574" s="646">
        <v>38749</v>
      </c>
      <c r="C574" s="1322">
        <v>87.213999999999999</v>
      </c>
      <c r="D574" s="1566">
        <v>82.4</v>
      </c>
      <c r="L574"/>
    </row>
    <row r="575" spans="2:12" ht="15.75">
      <c r="B575" s="646">
        <v>38777</v>
      </c>
      <c r="C575" s="1322">
        <v>87.213999999999999</v>
      </c>
      <c r="D575" s="1566">
        <v>82.4</v>
      </c>
      <c r="L575"/>
    </row>
    <row r="576" spans="2:12" ht="15.75">
      <c r="B576" s="646">
        <v>38808</v>
      </c>
      <c r="C576" s="1322">
        <v>87.492999999999995</v>
      </c>
      <c r="D576" s="1566">
        <v>82.7</v>
      </c>
      <c r="L576"/>
    </row>
    <row r="577" spans="2:12" ht="15.75">
      <c r="B577" s="646">
        <v>38838</v>
      </c>
      <c r="C577" s="1322">
        <v>87.492999999999995</v>
      </c>
      <c r="D577" s="1566">
        <v>82.7</v>
      </c>
      <c r="L577"/>
    </row>
    <row r="578" spans="2:12" ht="15.75">
      <c r="B578" s="646">
        <v>38869</v>
      </c>
      <c r="C578" s="1322">
        <v>87.68</v>
      </c>
      <c r="D578" s="1566">
        <v>82.9</v>
      </c>
      <c r="L578"/>
    </row>
    <row r="579" spans="2:12" ht="15.75">
      <c r="B579" s="646">
        <v>38899</v>
      </c>
      <c r="C579" s="1322">
        <v>88.052999999999997</v>
      </c>
      <c r="D579" s="1566">
        <v>83.2</v>
      </c>
      <c r="L579"/>
    </row>
    <row r="580" spans="2:12" ht="15.75">
      <c r="B580" s="646">
        <v>38930</v>
      </c>
      <c r="C580" s="1322">
        <v>87.866</v>
      </c>
      <c r="D580" s="1566">
        <v>83</v>
      </c>
      <c r="L580"/>
    </row>
    <row r="581" spans="2:12" ht="15.75">
      <c r="B581" s="646">
        <v>38961</v>
      </c>
      <c r="C581" s="1322">
        <v>87.587000000000003</v>
      </c>
      <c r="D581" s="1566">
        <v>82.7</v>
      </c>
      <c r="L581"/>
    </row>
    <row r="582" spans="2:12" ht="15.75">
      <c r="B582" s="646">
        <v>38991</v>
      </c>
      <c r="C582" s="1322">
        <v>87.68</v>
      </c>
      <c r="D582" s="1566">
        <v>82.8</v>
      </c>
      <c r="L582"/>
    </row>
    <row r="583" spans="2:12" ht="15.75">
      <c r="B583" s="646">
        <v>39022</v>
      </c>
      <c r="C583" s="1322">
        <v>87.68</v>
      </c>
      <c r="D583" s="1566">
        <v>82.8</v>
      </c>
      <c r="L583"/>
    </row>
    <row r="584" spans="2:12" ht="15.75">
      <c r="B584" s="646">
        <v>39052</v>
      </c>
      <c r="C584" s="1322">
        <v>88.332999999999998</v>
      </c>
      <c r="D584" s="1566">
        <v>83.5</v>
      </c>
      <c r="L584"/>
    </row>
    <row r="585" spans="2:12" ht="15.75">
      <c r="B585" s="646">
        <v>39083</v>
      </c>
      <c r="C585" s="1322">
        <v>88.332999999999998</v>
      </c>
      <c r="D585" s="1566">
        <v>83.5</v>
      </c>
      <c r="L585"/>
    </row>
    <row r="586" spans="2:12" ht="15.75">
      <c r="B586" s="646">
        <v>39114</v>
      </c>
      <c r="C586" s="1322">
        <v>88.706000000000003</v>
      </c>
      <c r="D586" s="1566">
        <v>83.8</v>
      </c>
      <c r="L586"/>
    </row>
    <row r="587" spans="2:12" ht="15.75">
      <c r="B587" s="646">
        <v>39142</v>
      </c>
      <c r="C587" s="1322">
        <v>88.893000000000001</v>
      </c>
      <c r="D587" s="1566">
        <v>84</v>
      </c>
      <c r="L587"/>
    </row>
    <row r="588" spans="2:12" ht="15.75">
      <c r="B588" s="646">
        <v>39173</v>
      </c>
      <c r="C588" s="1322">
        <v>89.358999999999995</v>
      </c>
      <c r="D588" s="1566">
        <v>84.4</v>
      </c>
      <c r="L588"/>
    </row>
    <row r="589" spans="2:12" ht="15.75">
      <c r="B589" s="646">
        <v>39203</v>
      </c>
      <c r="C589" s="1322">
        <v>89.358999999999995</v>
      </c>
      <c r="D589" s="1566">
        <v>84.4</v>
      </c>
      <c r="L589"/>
    </row>
    <row r="590" spans="2:12" ht="15.75">
      <c r="B590" s="646">
        <v>39234</v>
      </c>
      <c r="C590" s="1322">
        <v>89.358999999999995</v>
      </c>
      <c r="D590" s="1566">
        <v>84.5</v>
      </c>
      <c r="L590"/>
    </row>
    <row r="591" spans="2:12" ht="15.75">
      <c r="B591" s="646">
        <v>39264</v>
      </c>
      <c r="C591" s="1322">
        <v>89.825000000000003</v>
      </c>
      <c r="D591" s="1566">
        <v>84.9</v>
      </c>
      <c r="L591"/>
    </row>
    <row r="592" spans="2:12" ht="15.75">
      <c r="B592" s="646">
        <v>39295</v>
      </c>
      <c r="C592" s="1322">
        <v>89.731999999999999</v>
      </c>
      <c r="D592" s="1566">
        <v>84.8</v>
      </c>
      <c r="L592"/>
    </row>
    <row r="593" spans="2:12" ht="15.75">
      <c r="B593" s="646">
        <v>39326</v>
      </c>
      <c r="C593" s="1322">
        <v>89.918999999999997</v>
      </c>
      <c r="D593" s="1566">
        <v>84.9</v>
      </c>
      <c r="L593"/>
    </row>
    <row r="594" spans="2:12" ht="15.75">
      <c r="B594" s="646">
        <v>39356</v>
      </c>
      <c r="C594" s="1322">
        <v>90.105000000000004</v>
      </c>
      <c r="D594" s="1566">
        <v>85.1</v>
      </c>
      <c r="L594"/>
    </row>
    <row r="595" spans="2:12" ht="15.75">
      <c r="B595" s="646">
        <v>39387</v>
      </c>
      <c r="C595" s="1322">
        <v>90.570999999999998</v>
      </c>
      <c r="D595" s="1566">
        <v>85.6</v>
      </c>
      <c r="L595"/>
    </row>
    <row r="596" spans="2:12" ht="15.75">
      <c r="B596" s="646">
        <v>39417</v>
      </c>
      <c r="C596" s="1322">
        <v>91.131</v>
      </c>
      <c r="D596" s="1566">
        <v>86.1</v>
      </c>
      <c r="L596"/>
    </row>
    <row r="597" spans="2:12" ht="15.75">
      <c r="B597" s="646">
        <v>39448</v>
      </c>
      <c r="C597" s="1322">
        <v>90.850999999999999</v>
      </c>
      <c r="D597" s="1566">
        <v>85.8</v>
      </c>
      <c r="L597"/>
    </row>
    <row r="598" spans="2:12" ht="15.75">
      <c r="B598" s="646">
        <v>39479</v>
      </c>
      <c r="C598" s="1322">
        <v>91.224000000000004</v>
      </c>
      <c r="D598" s="1566">
        <v>86.2</v>
      </c>
      <c r="L598"/>
    </row>
    <row r="599" spans="2:12" ht="15.75">
      <c r="B599" s="646">
        <v>39508</v>
      </c>
      <c r="C599" s="1322">
        <v>91.691000000000003</v>
      </c>
      <c r="D599" s="1566">
        <v>86.6</v>
      </c>
      <c r="L599"/>
    </row>
    <row r="600" spans="2:12" ht="15.75">
      <c r="B600" s="646">
        <v>39539</v>
      </c>
      <c r="C600" s="1322">
        <v>91.504000000000005</v>
      </c>
      <c r="D600" s="1566">
        <v>86.4</v>
      </c>
      <c r="L600"/>
    </row>
    <row r="601" spans="2:12" ht="15.75">
      <c r="B601" s="646">
        <v>39569</v>
      </c>
      <c r="C601" s="1322">
        <v>92.063999999999993</v>
      </c>
      <c r="D601" s="1566">
        <v>86.9</v>
      </c>
      <c r="L601"/>
    </row>
    <row r="602" spans="2:12" ht="15.75">
      <c r="B602" s="646">
        <v>39600</v>
      </c>
      <c r="C602" s="1322">
        <v>92.25</v>
      </c>
      <c r="D602" s="1566">
        <v>87.2</v>
      </c>
      <c r="L602"/>
    </row>
    <row r="603" spans="2:12" ht="15.75">
      <c r="B603" s="646">
        <v>39630</v>
      </c>
      <c r="C603" s="1322">
        <v>92.81</v>
      </c>
      <c r="D603" s="1566">
        <v>87.7</v>
      </c>
      <c r="L603"/>
    </row>
    <row r="604" spans="2:12" ht="15.75">
      <c r="B604" s="646">
        <v>39661</v>
      </c>
      <c r="C604" s="1322">
        <v>92.53</v>
      </c>
      <c r="D604" s="1566">
        <v>87.4</v>
      </c>
      <c r="L604"/>
    </row>
    <row r="605" spans="2:12" ht="15.75">
      <c r="B605" s="646">
        <v>39692</v>
      </c>
      <c r="C605" s="1322">
        <v>92.436999999999998</v>
      </c>
      <c r="D605" s="1566">
        <v>87.4</v>
      </c>
      <c r="L605"/>
    </row>
    <row r="606" spans="2:12" ht="15.75">
      <c r="B606" s="646">
        <v>39722</v>
      </c>
      <c r="C606" s="1322">
        <v>92.25</v>
      </c>
      <c r="D606" s="1566">
        <v>87.2</v>
      </c>
      <c r="L606"/>
    </row>
    <row r="607" spans="2:12" ht="15.75">
      <c r="B607" s="646">
        <v>39753</v>
      </c>
      <c r="C607" s="1322">
        <v>91.784000000000006</v>
      </c>
      <c r="D607" s="1566">
        <v>86.8</v>
      </c>
      <c r="L607"/>
    </row>
    <row r="608" spans="2:12" ht="15.75">
      <c r="B608" s="646">
        <v>39783</v>
      </c>
      <c r="C608" s="1322">
        <v>92.156999999999996</v>
      </c>
      <c r="D608" s="1566">
        <v>87</v>
      </c>
      <c r="L608"/>
    </row>
    <row r="609" spans="2:12" ht="15.75">
      <c r="B609" s="646">
        <v>39814</v>
      </c>
      <c r="C609" s="1322">
        <v>91.691000000000003</v>
      </c>
      <c r="D609" s="1566">
        <v>86.6</v>
      </c>
      <c r="L609"/>
    </row>
    <row r="610" spans="2:12" ht="15.75">
      <c r="B610" s="646">
        <v>39845</v>
      </c>
      <c r="C610" s="1322">
        <v>92.25</v>
      </c>
      <c r="D610" s="1566">
        <v>87.1</v>
      </c>
      <c r="L610"/>
    </row>
    <row r="611" spans="2:12" ht="15.75">
      <c r="B611" s="646">
        <v>39873</v>
      </c>
      <c r="C611" s="1322">
        <v>92.063999999999993</v>
      </c>
      <c r="D611" s="1566">
        <v>87</v>
      </c>
      <c r="L611"/>
    </row>
    <row r="612" spans="2:12" ht="15.75">
      <c r="B612" s="646">
        <v>39904</v>
      </c>
      <c r="C612" s="1322">
        <v>92.156999999999996</v>
      </c>
      <c r="D612" s="1566">
        <v>87</v>
      </c>
      <c r="L612"/>
    </row>
    <row r="613" spans="2:12" ht="15.75">
      <c r="B613" s="646">
        <v>39934</v>
      </c>
      <c r="C613" s="1322">
        <v>92.063999999999993</v>
      </c>
      <c r="D613" s="1566">
        <v>87</v>
      </c>
      <c r="L613"/>
    </row>
    <row r="614" spans="2:12" ht="15.75">
      <c r="B614" s="646">
        <v>39965</v>
      </c>
      <c r="C614" s="1322">
        <v>92.343999999999994</v>
      </c>
      <c r="D614" s="1566">
        <v>87.3</v>
      </c>
      <c r="L614"/>
    </row>
    <row r="615" spans="2:12" ht="15.75">
      <c r="B615" s="646">
        <v>39995</v>
      </c>
      <c r="C615" s="1322">
        <v>92.343999999999994</v>
      </c>
      <c r="D615" s="1566">
        <v>87.3</v>
      </c>
      <c r="L615"/>
    </row>
    <row r="616" spans="2:12" ht="15.75">
      <c r="B616" s="646">
        <v>40026</v>
      </c>
      <c r="C616" s="1322">
        <v>92.53</v>
      </c>
      <c r="D616" s="1566">
        <v>87.5</v>
      </c>
      <c r="L616"/>
    </row>
    <row r="617" spans="2:12" ht="15.75">
      <c r="B617" s="646">
        <v>40057</v>
      </c>
      <c r="C617" s="1322">
        <v>92.25</v>
      </c>
      <c r="D617" s="1566">
        <v>87.1</v>
      </c>
      <c r="L617"/>
    </row>
    <row r="618" spans="2:12" ht="15.75">
      <c r="B618" s="646">
        <v>40087</v>
      </c>
      <c r="C618" s="1322">
        <v>92.25</v>
      </c>
      <c r="D618" s="1566">
        <v>87.2</v>
      </c>
      <c r="L618"/>
    </row>
    <row r="619" spans="2:12" ht="15.75">
      <c r="B619" s="646">
        <v>40118</v>
      </c>
      <c r="C619" s="1322">
        <v>92.156999999999996</v>
      </c>
      <c r="D619" s="1566">
        <v>87.1</v>
      </c>
      <c r="L619"/>
    </row>
    <row r="620" spans="2:12" ht="15.75">
      <c r="B620" s="646">
        <v>40148</v>
      </c>
      <c r="C620" s="1322">
        <v>92.903000000000006</v>
      </c>
      <c r="D620" s="1566">
        <v>87.8</v>
      </c>
      <c r="L620"/>
    </row>
    <row r="621" spans="2:12" ht="15.75">
      <c r="B621" s="646">
        <v>40179</v>
      </c>
      <c r="C621" s="1322">
        <v>92.343999999999994</v>
      </c>
      <c r="D621" s="1566">
        <v>87.3</v>
      </c>
      <c r="L621"/>
    </row>
    <row r="622" spans="2:12" ht="15.75">
      <c r="B622" s="646">
        <v>40210</v>
      </c>
      <c r="C622" s="1322">
        <v>92.716999999999999</v>
      </c>
      <c r="D622" s="1566">
        <v>87.6</v>
      </c>
      <c r="L622"/>
    </row>
    <row r="623" spans="2:12" ht="15.75">
      <c r="B623" s="646">
        <v>40238</v>
      </c>
      <c r="C623" s="1322">
        <v>93.183000000000007</v>
      </c>
      <c r="D623" s="1566">
        <v>88.1</v>
      </c>
      <c r="L623"/>
    </row>
    <row r="624" spans="2:12" ht="15.75">
      <c r="B624" s="646">
        <v>40269</v>
      </c>
      <c r="C624" s="1322">
        <v>93.277000000000001</v>
      </c>
      <c r="D624" s="1566">
        <v>88.1</v>
      </c>
      <c r="L624"/>
    </row>
    <row r="625" spans="2:12" ht="15.75">
      <c r="B625" s="646">
        <v>40299</v>
      </c>
      <c r="C625" s="1322">
        <v>93.183000000000007</v>
      </c>
      <c r="D625" s="1566">
        <v>88.1</v>
      </c>
      <c r="L625"/>
    </row>
    <row r="626" spans="2:12" ht="15.75">
      <c r="B626" s="646">
        <v>40330</v>
      </c>
      <c r="C626" s="1322">
        <v>93.183000000000007</v>
      </c>
      <c r="D626" s="1566">
        <v>88.1</v>
      </c>
      <c r="L626"/>
    </row>
    <row r="627" spans="2:12" ht="15.75">
      <c r="B627" s="646">
        <v>40360</v>
      </c>
      <c r="C627" s="1322">
        <v>93.37</v>
      </c>
      <c r="D627" s="1566">
        <v>88.2</v>
      </c>
      <c r="L627"/>
    </row>
    <row r="628" spans="2:12" ht="15.75">
      <c r="B628" s="646">
        <v>40391</v>
      </c>
      <c r="C628" s="1322">
        <v>93.462999999999994</v>
      </c>
      <c r="D628" s="1566">
        <v>88.3</v>
      </c>
      <c r="L628"/>
    </row>
    <row r="629" spans="2:12" ht="15.75">
      <c r="B629" s="646">
        <v>40422</v>
      </c>
      <c r="C629" s="1322">
        <v>93.37</v>
      </c>
      <c r="D629" s="1566">
        <v>88.2</v>
      </c>
      <c r="L629"/>
    </row>
    <row r="630" spans="2:12" ht="15.75">
      <c r="B630" s="646">
        <v>40452</v>
      </c>
      <c r="C630" s="1322">
        <v>93.462999999999994</v>
      </c>
      <c r="D630" s="1566">
        <v>88.3</v>
      </c>
      <c r="L630"/>
    </row>
    <row r="631" spans="2:12" ht="15.75">
      <c r="B631" s="646">
        <v>40483</v>
      </c>
      <c r="C631" s="1322">
        <v>93.555999999999997</v>
      </c>
      <c r="D631" s="1566">
        <v>88.4</v>
      </c>
      <c r="L631"/>
    </row>
    <row r="632" spans="2:12" ht="15.75">
      <c r="B632" s="646">
        <v>40513</v>
      </c>
      <c r="C632" s="1322">
        <v>94.116</v>
      </c>
      <c r="D632" s="1566">
        <v>89</v>
      </c>
      <c r="L632"/>
    </row>
    <row r="633" spans="2:12" ht="15.75">
      <c r="B633" s="646">
        <v>40544</v>
      </c>
      <c r="C633" s="1322">
        <v>93.929000000000002</v>
      </c>
      <c r="D633" s="1566">
        <v>88.7</v>
      </c>
      <c r="L633"/>
    </row>
    <row r="634" spans="2:12" ht="15.75">
      <c r="B634" s="646">
        <v>40575</v>
      </c>
      <c r="C634" s="1322">
        <v>94.489000000000004</v>
      </c>
      <c r="D634" s="1566">
        <v>89.3</v>
      </c>
      <c r="L634"/>
    </row>
    <row r="635" spans="2:12" ht="15.75">
      <c r="B635" s="646">
        <v>40603</v>
      </c>
      <c r="C635" s="1322">
        <v>95.049000000000007</v>
      </c>
      <c r="D635" s="1566">
        <v>89.8</v>
      </c>
      <c r="L635"/>
    </row>
    <row r="636" spans="2:12" ht="15.75">
      <c r="B636" s="646">
        <v>40634</v>
      </c>
      <c r="C636" s="1322">
        <v>95.049000000000007</v>
      </c>
      <c r="D636" s="1566">
        <v>89.8</v>
      </c>
      <c r="L636"/>
    </row>
    <row r="637" spans="2:12" ht="15.75">
      <c r="B637" s="646">
        <v>40664</v>
      </c>
      <c r="C637" s="1322">
        <v>95.049000000000007</v>
      </c>
      <c r="D637" s="1566">
        <v>89.8</v>
      </c>
      <c r="L637"/>
    </row>
    <row r="638" spans="2:12" ht="15.75">
      <c r="B638" s="646">
        <v>40695</v>
      </c>
      <c r="C638" s="1322">
        <v>95.141999999999996</v>
      </c>
      <c r="D638" s="1566">
        <v>89.9</v>
      </c>
      <c r="L638"/>
    </row>
    <row r="639" spans="2:12" ht="15.75">
      <c r="B639" s="646">
        <v>40725</v>
      </c>
      <c r="C639" s="1322">
        <v>95.328999999999994</v>
      </c>
      <c r="D639" s="1566">
        <v>90.1</v>
      </c>
      <c r="L639"/>
    </row>
    <row r="640" spans="2:12" ht="15.75">
      <c r="B640" s="646">
        <v>40756</v>
      </c>
      <c r="C640" s="1322">
        <v>95.421999999999997</v>
      </c>
      <c r="D640" s="1566">
        <v>90.2</v>
      </c>
      <c r="L640"/>
    </row>
    <row r="641" spans="2:12" ht="15.75">
      <c r="B641" s="646">
        <v>40787</v>
      </c>
      <c r="C641" s="1322">
        <v>95.608000000000004</v>
      </c>
      <c r="D641" s="1566">
        <v>90.3</v>
      </c>
      <c r="L641"/>
    </row>
    <row r="642" spans="2:12" ht="15.75">
      <c r="B642" s="646">
        <v>40817</v>
      </c>
      <c r="C642" s="1322">
        <v>95.608000000000004</v>
      </c>
      <c r="D642" s="1566">
        <v>90.4</v>
      </c>
      <c r="L642"/>
    </row>
    <row r="643" spans="2:12" ht="15.75">
      <c r="B643" s="646">
        <v>40848</v>
      </c>
      <c r="C643" s="1322">
        <v>95.795000000000002</v>
      </c>
      <c r="D643" s="1566">
        <v>90.5</v>
      </c>
      <c r="L643"/>
    </row>
    <row r="644" spans="2:12" ht="15.75">
      <c r="B644" s="646">
        <v>40878</v>
      </c>
      <c r="C644" s="1322">
        <v>95.981999999999999</v>
      </c>
      <c r="D644" s="1566">
        <v>90.7</v>
      </c>
      <c r="L644"/>
    </row>
    <row r="645" spans="2:12" ht="15.75">
      <c r="B645" s="646">
        <v>40909</v>
      </c>
      <c r="C645" s="1322">
        <v>95.888000000000005</v>
      </c>
      <c r="D645" s="1566">
        <v>90.6</v>
      </c>
      <c r="L645"/>
    </row>
    <row r="646" spans="2:12" ht="15.75">
      <c r="B646" s="646">
        <v>40940</v>
      </c>
      <c r="C646" s="1322">
        <v>96.540999999999997</v>
      </c>
      <c r="D646" s="1566">
        <v>91.2</v>
      </c>
      <c r="L646"/>
    </row>
    <row r="647" spans="2:12" ht="15.75">
      <c r="B647" s="646">
        <v>40969</v>
      </c>
      <c r="C647" s="1322">
        <v>97.100999999999999</v>
      </c>
      <c r="D647" s="1566">
        <v>91.7</v>
      </c>
      <c r="L647"/>
    </row>
    <row r="648" spans="2:12" ht="15.75">
      <c r="B648" s="646">
        <v>41000</v>
      </c>
      <c r="C648" s="1322">
        <v>96.914000000000001</v>
      </c>
      <c r="D648" s="1566">
        <v>91.6</v>
      </c>
      <c r="L648"/>
    </row>
    <row r="649" spans="2:12" ht="15.75">
      <c r="B649" s="646">
        <v>41030</v>
      </c>
      <c r="C649" s="1322">
        <v>96.914000000000001</v>
      </c>
      <c r="D649" s="1566">
        <v>91.5</v>
      </c>
      <c r="L649"/>
    </row>
    <row r="650" spans="2:12" ht="15.75">
      <c r="B650" s="646">
        <v>41061</v>
      </c>
      <c r="C650" s="1322">
        <v>96.727999999999994</v>
      </c>
      <c r="D650" s="1566">
        <v>91.4</v>
      </c>
      <c r="L650"/>
    </row>
    <row r="651" spans="2:12" ht="15.75">
      <c r="B651" s="646">
        <v>41091</v>
      </c>
      <c r="C651" s="1322">
        <v>97.100999999999999</v>
      </c>
      <c r="D651" s="1566">
        <v>91.7</v>
      </c>
      <c r="L651"/>
    </row>
    <row r="652" spans="2:12" ht="15.75">
      <c r="B652" s="646">
        <v>41122</v>
      </c>
      <c r="C652" s="1322">
        <v>97.474000000000004</v>
      </c>
      <c r="D652" s="1566">
        <v>92.1</v>
      </c>
      <c r="L652"/>
    </row>
    <row r="653" spans="2:12" ht="15.75">
      <c r="B653" s="646">
        <v>41153</v>
      </c>
      <c r="C653" s="1322">
        <v>97.566999999999993</v>
      </c>
      <c r="D653" s="1566">
        <v>92.2</v>
      </c>
      <c r="L653"/>
    </row>
    <row r="654" spans="2:12" ht="15.75">
      <c r="B654" s="646">
        <v>41183</v>
      </c>
      <c r="C654" s="1322">
        <v>97.566999999999993</v>
      </c>
      <c r="D654" s="1566">
        <v>92.2</v>
      </c>
      <c r="L654"/>
    </row>
    <row r="655" spans="2:12" ht="15.75">
      <c r="B655" s="646">
        <v>41214</v>
      </c>
      <c r="C655" s="1322">
        <v>97.661000000000001</v>
      </c>
      <c r="D655" s="1566">
        <v>92.2</v>
      </c>
      <c r="L655"/>
    </row>
    <row r="656" spans="2:12" ht="15.75">
      <c r="B656" s="646">
        <v>41244</v>
      </c>
      <c r="C656" s="1322">
        <v>97.94</v>
      </c>
      <c r="D656" s="1566">
        <v>92.5</v>
      </c>
      <c r="L656"/>
    </row>
    <row r="657" spans="2:12" ht="15.75">
      <c r="B657" s="646">
        <v>41275</v>
      </c>
      <c r="C657" s="1322">
        <v>97.474000000000004</v>
      </c>
      <c r="D657" s="1566">
        <v>92.1</v>
      </c>
      <c r="L657"/>
    </row>
    <row r="658" spans="2:12" ht="15.75">
      <c r="B658" s="646">
        <v>41306</v>
      </c>
      <c r="C658" s="1322">
        <v>98.034000000000006</v>
      </c>
      <c r="D658" s="1566">
        <v>92.6</v>
      </c>
      <c r="L658"/>
    </row>
    <row r="659" spans="2:12" ht="15.75">
      <c r="B659" s="646">
        <v>41334</v>
      </c>
      <c r="C659" s="1322">
        <v>98.5</v>
      </c>
      <c r="D659" s="1566">
        <v>93</v>
      </c>
      <c r="L659"/>
    </row>
    <row r="660" spans="2:12" ht="15.75">
      <c r="B660" s="646">
        <v>41365</v>
      </c>
      <c r="C660" s="1322">
        <v>98.034000000000006</v>
      </c>
      <c r="D660" s="1566">
        <v>92.6</v>
      </c>
      <c r="L660"/>
    </row>
    <row r="661" spans="2:12" ht="15.75">
      <c r="B661" s="646">
        <v>41395</v>
      </c>
      <c r="C661" s="1322">
        <v>98.406999999999996</v>
      </c>
      <c r="D661" s="1566">
        <v>93</v>
      </c>
      <c r="L661"/>
    </row>
    <row r="662" spans="2:12" ht="15.75">
      <c r="B662" s="646">
        <v>41426</v>
      </c>
      <c r="C662" s="1322">
        <v>98.5</v>
      </c>
      <c r="D662" s="1566">
        <v>93.1</v>
      </c>
      <c r="L662"/>
    </row>
    <row r="663" spans="2:12" ht="15.75">
      <c r="B663" s="646">
        <v>41456</v>
      </c>
      <c r="C663" s="1322">
        <v>98.965999999999994</v>
      </c>
      <c r="D663" s="1566">
        <v>93.5</v>
      </c>
      <c r="L663"/>
    </row>
    <row r="664" spans="2:12" ht="15.75">
      <c r="B664" s="646">
        <v>41487</v>
      </c>
      <c r="C664" s="1322">
        <v>98.965999999999994</v>
      </c>
      <c r="D664" s="1566">
        <v>93.5</v>
      </c>
      <c r="L664"/>
    </row>
    <row r="665" spans="2:12" ht="15.75">
      <c r="B665" s="646">
        <v>41518</v>
      </c>
      <c r="C665" s="1322">
        <v>98.965999999999994</v>
      </c>
      <c r="D665" s="1566">
        <v>93.5</v>
      </c>
      <c r="L665"/>
    </row>
    <row r="666" spans="2:12" ht="15.75">
      <c r="B666" s="646">
        <v>41548</v>
      </c>
      <c r="C666" s="1322">
        <v>98.78</v>
      </c>
      <c r="D666" s="1566">
        <v>93.3</v>
      </c>
      <c r="L666"/>
    </row>
    <row r="667" spans="2:12" ht="15.75">
      <c r="B667" s="646">
        <v>41579</v>
      </c>
      <c r="C667" s="1322">
        <v>98.965999999999994</v>
      </c>
      <c r="D667" s="1566">
        <v>93.5</v>
      </c>
      <c r="L667"/>
    </row>
    <row r="668" spans="2:12" ht="15.75">
      <c r="B668" s="646">
        <v>41609</v>
      </c>
      <c r="C668" s="1322">
        <v>99.338999999999999</v>
      </c>
      <c r="D668" s="1566">
        <v>93.9</v>
      </c>
      <c r="L668"/>
    </row>
    <row r="669" spans="2:12" ht="15.75">
      <c r="B669" s="646">
        <v>41640</v>
      </c>
      <c r="C669" s="1322">
        <v>98.78</v>
      </c>
      <c r="D669" s="1566">
        <v>93.3</v>
      </c>
      <c r="L669"/>
    </row>
    <row r="670" spans="2:12" ht="15.75">
      <c r="B670" s="646">
        <v>41671</v>
      </c>
      <c r="C670" s="1322">
        <v>99.245999999999995</v>
      </c>
      <c r="D670" s="1566">
        <v>93.8</v>
      </c>
      <c r="L670"/>
    </row>
    <row r="671" spans="2:12" ht="15.75">
      <c r="B671" s="646">
        <v>41699</v>
      </c>
      <c r="C671" s="1322">
        <v>99.525999999999996</v>
      </c>
      <c r="D671" s="1566">
        <v>94</v>
      </c>
      <c r="L671"/>
    </row>
    <row r="672" spans="2:12" ht="15.75">
      <c r="B672" s="646">
        <v>41730</v>
      </c>
      <c r="C672" s="1322">
        <v>99.338999999999999</v>
      </c>
      <c r="D672" s="1566">
        <v>93.9</v>
      </c>
      <c r="L672"/>
    </row>
    <row r="673" spans="2:12" ht="15.75">
      <c r="B673" s="646">
        <v>41760</v>
      </c>
      <c r="C673" s="1322">
        <v>99.245999999999995</v>
      </c>
      <c r="D673" s="1566">
        <v>93.8</v>
      </c>
      <c r="L673"/>
    </row>
    <row r="674" spans="2:12" ht="15.75">
      <c r="B674" s="646">
        <v>41791</v>
      </c>
      <c r="C674" s="1322">
        <v>99.525999999999996</v>
      </c>
      <c r="D674" s="1566">
        <v>94</v>
      </c>
      <c r="L674"/>
    </row>
    <row r="675" spans="2:12" ht="15.75">
      <c r="B675" s="646">
        <v>41821</v>
      </c>
      <c r="C675" s="1322">
        <v>99.805999999999997</v>
      </c>
      <c r="D675" s="1566">
        <v>94.3</v>
      </c>
      <c r="L675"/>
    </row>
    <row r="676" spans="2:12" ht="15.75">
      <c r="B676" s="646">
        <v>41852</v>
      </c>
      <c r="C676" s="1322">
        <v>99.805999999999997</v>
      </c>
      <c r="D676" s="1566">
        <v>94.3</v>
      </c>
      <c r="L676"/>
    </row>
    <row r="677" spans="2:12" ht="15.75">
      <c r="B677" s="646">
        <v>41883</v>
      </c>
      <c r="C677" s="1322">
        <v>99.805999999999997</v>
      </c>
      <c r="D677" s="1566">
        <v>94.3</v>
      </c>
      <c r="L677"/>
    </row>
    <row r="678" spans="2:12" ht="15.75">
      <c r="B678" s="646">
        <v>41913</v>
      </c>
      <c r="C678" s="1322">
        <v>99.525999999999996</v>
      </c>
      <c r="D678" s="1566">
        <v>94.1</v>
      </c>
      <c r="L678"/>
    </row>
    <row r="679" spans="2:12" ht="15.75">
      <c r="B679" s="646">
        <v>41944</v>
      </c>
      <c r="C679" s="1322">
        <v>99.525999999999996</v>
      </c>
      <c r="D679" s="1566">
        <v>94.1</v>
      </c>
      <c r="L679"/>
    </row>
    <row r="680" spans="2:12" ht="15.75">
      <c r="B680" s="646">
        <v>41974</v>
      </c>
      <c r="C680" s="1322">
        <v>99.525999999999996</v>
      </c>
      <c r="D680" s="1566">
        <v>94</v>
      </c>
      <c r="L680"/>
    </row>
    <row r="681" spans="2:12" ht="15.75">
      <c r="B681" s="646">
        <v>42005</v>
      </c>
      <c r="C681" s="1322">
        <v>98.5</v>
      </c>
      <c r="D681" s="1566">
        <v>93.1</v>
      </c>
      <c r="L681"/>
    </row>
    <row r="682" spans="2:12" ht="15.75">
      <c r="B682" s="646">
        <v>42036</v>
      </c>
      <c r="C682" s="1322">
        <v>99.2</v>
      </c>
      <c r="D682" s="1566">
        <v>93.8</v>
      </c>
      <c r="L682"/>
    </row>
    <row r="683" spans="2:12" ht="15.75">
      <c r="B683" s="646">
        <v>42064</v>
      </c>
      <c r="C683" s="1322">
        <v>99.7</v>
      </c>
      <c r="D683" s="1566">
        <v>94.3</v>
      </c>
      <c r="L683"/>
    </row>
    <row r="684" spans="2:12" ht="15.75">
      <c r="B684" s="646">
        <v>42095</v>
      </c>
      <c r="C684" s="1322">
        <v>100.2</v>
      </c>
      <c r="D684" s="1566">
        <v>94.7</v>
      </c>
      <c r="L684"/>
    </row>
    <row r="685" spans="2:12" ht="15.75">
      <c r="B685" s="646">
        <v>42125</v>
      </c>
      <c r="C685" s="1322">
        <v>100.4</v>
      </c>
      <c r="D685" s="1566">
        <v>94.9</v>
      </c>
      <c r="L685"/>
    </row>
    <row r="686" spans="2:12" ht="15.75">
      <c r="B686" s="646">
        <v>42156</v>
      </c>
      <c r="C686" s="1322">
        <v>100.4</v>
      </c>
      <c r="D686" s="1566">
        <v>94.9</v>
      </c>
      <c r="L686"/>
    </row>
    <row r="687" spans="2:12" ht="15.75">
      <c r="B687" s="646">
        <v>42186</v>
      </c>
      <c r="C687" s="1322">
        <v>100.6</v>
      </c>
      <c r="D687" s="1566">
        <v>95.1</v>
      </c>
      <c r="L687"/>
    </row>
    <row r="688" spans="2:12" ht="15.75">
      <c r="B688" s="646">
        <v>42217</v>
      </c>
      <c r="C688" s="1322">
        <v>100.6</v>
      </c>
      <c r="D688" s="1566">
        <v>95</v>
      </c>
      <c r="L688"/>
    </row>
    <row r="689" spans="2:12" ht="15.75">
      <c r="B689" s="646">
        <v>42248</v>
      </c>
      <c r="C689" s="1322">
        <v>100.4</v>
      </c>
      <c r="D689" s="1566">
        <v>94.9</v>
      </c>
      <c r="L689"/>
    </row>
    <row r="690" spans="2:12" ht="15.75">
      <c r="B690" s="646">
        <v>42278</v>
      </c>
      <c r="C690" s="1322">
        <v>100.4</v>
      </c>
      <c r="D690" s="1566">
        <v>94.9</v>
      </c>
      <c r="L690"/>
    </row>
    <row r="691" spans="2:12" ht="15.75">
      <c r="B691" s="646">
        <v>42309</v>
      </c>
      <c r="C691" s="1322">
        <v>99.7</v>
      </c>
      <c r="D691" s="1566">
        <v>94.3</v>
      </c>
      <c r="L691"/>
    </row>
    <row r="692" spans="2:12" ht="15.75">
      <c r="B692" s="646">
        <v>42339</v>
      </c>
      <c r="C692" s="1322">
        <v>99.7</v>
      </c>
      <c r="D692" s="1566">
        <v>94.3</v>
      </c>
      <c r="L692"/>
    </row>
    <row r="693" spans="2:12" ht="15.75">
      <c r="B693" s="646">
        <v>42370</v>
      </c>
      <c r="C693" s="1322">
        <v>99</v>
      </c>
      <c r="D693" s="1566">
        <v>93.6</v>
      </c>
      <c r="L693"/>
    </row>
    <row r="694" spans="2:12" ht="15.75">
      <c r="B694" s="646">
        <v>42401</v>
      </c>
      <c r="C694" s="1322">
        <v>99.3</v>
      </c>
      <c r="D694" s="1566">
        <v>93.9</v>
      </c>
      <c r="L694"/>
    </row>
    <row r="695" spans="2:12" ht="15.75">
      <c r="B695" s="646">
        <v>42430</v>
      </c>
      <c r="C695" s="1322">
        <v>100</v>
      </c>
      <c r="D695" s="1566">
        <v>94.5</v>
      </c>
      <c r="L695"/>
    </row>
    <row r="696" spans="2:12" ht="15.75">
      <c r="B696" s="646">
        <v>42461</v>
      </c>
      <c r="C696" s="1322">
        <v>100.1</v>
      </c>
      <c r="D696" s="1566">
        <v>94.6</v>
      </c>
      <c r="L696"/>
    </row>
    <row r="697" spans="2:12" ht="15.75">
      <c r="B697" s="646">
        <v>42491</v>
      </c>
      <c r="C697" s="1322">
        <v>100.6</v>
      </c>
      <c r="D697" s="1566">
        <v>95.1</v>
      </c>
      <c r="L697"/>
    </row>
    <row r="698" spans="2:12" ht="15.75">
      <c r="B698" s="646">
        <v>42522</v>
      </c>
      <c r="C698" s="1322">
        <v>100.7</v>
      </c>
      <c r="D698" s="1566">
        <v>95.2</v>
      </c>
      <c r="L698"/>
    </row>
    <row r="699" spans="2:12" ht="15.75">
      <c r="B699" s="646">
        <v>42552</v>
      </c>
      <c r="C699" s="1322">
        <v>101.1</v>
      </c>
      <c r="D699" s="1566">
        <v>95.5</v>
      </c>
      <c r="L699"/>
    </row>
    <row r="700" spans="2:12" ht="15.75">
      <c r="B700" s="646">
        <v>42583</v>
      </c>
      <c r="C700" s="1322">
        <v>101</v>
      </c>
      <c r="D700" s="1566">
        <v>95.4</v>
      </c>
      <c r="L700"/>
    </row>
    <row r="701" spans="2:12" ht="15.75">
      <c r="B701" s="646">
        <v>42614</v>
      </c>
      <c r="C701" s="1322">
        <v>101</v>
      </c>
      <c r="D701" s="1566">
        <v>95.5</v>
      </c>
      <c r="L701"/>
    </row>
    <row r="702" spans="2:12" ht="15.75">
      <c r="B702" s="646">
        <v>42644</v>
      </c>
      <c r="C702" s="1322">
        <v>101.2</v>
      </c>
      <c r="D702" s="1566">
        <v>95.6</v>
      </c>
      <c r="L702"/>
    </row>
    <row r="703" spans="2:12" ht="15.75">
      <c r="B703" s="646">
        <v>42675</v>
      </c>
      <c r="C703" s="1322">
        <v>100.5</v>
      </c>
      <c r="D703" s="1566">
        <v>95</v>
      </c>
      <c r="L703"/>
    </row>
    <row r="704" spans="2:12" ht="15.75">
      <c r="B704" s="646">
        <v>42705</v>
      </c>
      <c r="C704" s="1322">
        <v>101.2</v>
      </c>
      <c r="D704" s="1566">
        <v>95.6</v>
      </c>
      <c r="L704"/>
    </row>
    <row r="705" spans="2:12" ht="15.75">
      <c r="B705" s="646">
        <v>42736</v>
      </c>
      <c r="C705" s="1322">
        <v>100.6</v>
      </c>
      <c r="D705" s="1566">
        <v>95.1</v>
      </c>
      <c r="L705"/>
    </row>
    <row r="706" spans="2:12" ht="15.75">
      <c r="B706" s="646">
        <v>42767</v>
      </c>
      <c r="C706" s="1322">
        <v>101.2</v>
      </c>
      <c r="D706" s="1566">
        <v>95.6</v>
      </c>
      <c r="L706"/>
    </row>
    <row r="707" spans="2:12" ht="15.75">
      <c r="B707" s="646">
        <v>42795</v>
      </c>
      <c r="C707" s="1322">
        <v>101.4</v>
      </c>
      <c r="D707" s="1566">
        <v>95.8</v>
      </c>
      <c r="L707"/>
    </row>
    <row r="708" spans="2:12" ht="15.75">
      <c r="B708" s="646">
        <v>42826</v>
      </c>
      <c r="C708" s="1322">
        <v>101.8</v>
      </c>
      <c r="D708" s="1566">
        <v>96.2</v>
      </c>
      <c r="L708"/>
    </row>
    <row r="709" spans="2:12" ht="15.75">
      <c r="B709" s="646">
        <v>42856</v>
      </c>
      <c r="C709" s="1322">
        <v>101.8</v>
      </c>
      <c r="D709" s="1566">
        <v>96.2</v>
      </c>
      <c r="L709"/>
    </row>
    <row r="710" spans="2:12" ht="15.75">
      <c r="B710" s="646">
        <v>42887</v>
      </c>
      <c r="C710" s="1322">
        <v>102.1</v>
      </c>
      <c r="D710" s="1566">
        <v>96.5</v>
      </c>
      <c r="L710"/>
    </row>
    <row r="711" spans="2:12" ht="15.75">
      <c r="B711" s="646">
        <v>42917</v>
      </c>
      <c r="C711" s="1322">
        <v>102.5</v>
      </c>
      <c r="D711" s="1566">
        <v>96.9</v>
      </c>
      <c r="L711"/>
    </row>
    <row r="712" spans="2:12" ht="15.75">
      <c r="B712" s="646">
        <v>42948</v>
      </c>
      <c r="C712" s="1322">
        <v>102.6</v>
      </c>
      <c r="D712" s="1566">
        <v>97</v>
      </c>
      <c r="L712"/>
    </row>
    <row r="713" spans="2:12" ht="15.75">
      <c r="B713" s="646">
        <v>42979</v>
      </c>
      <c r="C713" s="1322">
        <v>102.7</v>
      </c>
      <c r="D713" s="1566">
        <v>97</v>
      </c>
      <c r="L713"/>
    </row>
    <row r="714" spans="2:12" ht="15.75">
      <c r="B714" s="646">
        <v>43009</v>
      </c>
      <c r="C714" s="1322">
        <v>102.5</v>
      </c>
      <c r="D714" s="1566">
        <v>96.9</v>
      </c>
      <c r="L714"/>
    </row>
    <row r="715" spans="2:12" ht="15.75">
      <c r="B715" s="646">
        <v>43040</v>
      </c>
      <c r="C715" s="1322">
        <v>102.1</v>
      </c>
      <c r="D715" s="1566">
        <v>96.5</v>
      </c>
      <c r="L715"/>
    </row>
    <row r="716" spans="2:12" ht="15.75">
      <c r="B716" s="646">
        <v>43070</v>
      </c>
      <c r="C716" s="1322">
        <v>102.6</v>
      </c>
      <c r="D716" s="1566">
        <v>96.9</v>
      </c>
      <c r="L716"/>
    </row>
    <row r="717" spans="2:12" ht="15.75">
      <c r="B717" s="646">
        <v>43101</v>
      </c>
      <c r="C717" s="1322">
        <v>102</v>
      </c>
      <c r="D717" s="1566">
        <v>96.4</v>
      </c>
      <c r="L717"/>
    </row>
    <row r="718" spans="2:12" ht="15.75">
      <c r="B718" s="646">
        <v>43132</v>
      </c>
      <c r="C718" s="1322">
        <v>102.3</v>
      </c>
      <c r="D718" s="1566">
        <v>96.7</v>
      </c>
      <c r="L718"/>
    </row>
    <row r="719" spans="2:12" ht="15.75">
      <c r="B719" s="646">
        <v>43160</v>
      </c>
      <c r="C719" s="1322">
        <v>102.9</v>
      </c>
      <c r="D719" s="1566">
        <v>97.2</v>
      </c>
      <c r="L719"/>
    </row>
    <row r="720" spans="2:12" ht="15.75">
      <c r="B720" s="646">
        <v>43191</v>
      </c>
      <c r="C720" s="1322">
        <v>103.1</v>
      </c>
      <c r="D720" s="1566">
        <v>97.5</v>
      </c>
      <c r="L720"/>
    </row>
    <row r="721" spans="2:21" ht="15.75">
      <c r="B721" s="646">
        <v>43221</v>
      </c>
      <c r="C721" s="1322">
        <v>103.9</v>
      </c>
      <c r="D721" s="1566">
        <v>98.2</v>
      </c>
      <c r="L721"/>
    </row>
    <row r="722" spans="2:21" ht="15.75">
      <c r="B722" s="646">
        <v>43252</v>
      </c>
      <c r="C722" s="1322">
        <v>104</v>
      </c>
      <c r="D722" s="1566">
        <v>98.3</v>
      </c>
      <c r="L722"/>
    </row>
    <row r="723" spans="2:21" ht="15.75">
      <c r="B723" s="646">
        <v>43282</v>
      </c>
      <c r="C723" s="1322">
        <v>104.4</v>
      </c>
      <c r="D723" s="1566">
        <v>98.7</v>
      </c>
      <c r="L723"/>
    </row>
    <row r="724" spans="2:21" ht="15.75">
      <c r="B724" s="646">
        <v>43313</v>
      </c>
      <c r="C724" s="1322">
        <v>104.5</v>
      </c>
      <c r="D724" s="1566">
        <v>98.8</v>
      </c>
      <c r="L724"/>
    </row>
    <row r="725" spans="2:21" ht="15.75">
      <c r="B725" s="646">
        <v>43344</v>
      </c>
      <c r="C725" s="1322">
        <v>104.7</v>
      </c>
      <c r="D725" s="1566">
        <v>99</v>
      </c>
      <c r="L725"/>
    </row>
    <row r="726" spans="2:21" ht="15.75">
      <c r="B726" s="646">
        <v>43374</v>
      </c>
      <c r="C726" s="1322">
        <v>104.9</v>
      </c>
      <c r="D726" s="1566">
        <v>99.1</v>
      </c>
      <c r="L726"/>
    </row>
    <row r="727" spans="2:21" ht="15.75">
      <c r="B727" s="646">
        <v>43405</v>
      </c>
      <c r="C727" s="1322">
        <v>104.2</v>
      </c>
      <c r="D727" s="1566">
        <v>98.5</v>
      </c>
      <c r="L727"/>
    </row>
    <row r="728" spans="2:21" ht="15.75">
      <c r="B728" s="646">
        <v>43435</v>
      </c>
      <c r="C728" s="1322">
        <v>104.2</v>
      </c>
      <c r="D728" s="1566">
        <v>98.5</v>
      </c>
      <c r="L728"/>
    </row>
    <row r="729" spans="2:21" ht="15.75">
      <c r="B729" s="646">
        <v>43466</v>
      </c>
      <c r="C729" s="1322">
        <v>103.4</v>
      </c>
      <c r="D729" s="1566">
        <v>97.7</v>
      </c>
      <c r="L729"/>
    </row>
    <row r="730" spans="2:21" ht="15.75">
      <c r="B730" s="646">
        <v>43497</v>
      </c>
      <c r="C730" s="1323">
        <v>103.8</v>
      </c>
      <c r="D730" s="1566">
        <v>98.1</v>
      </c>
      <c r="L730"/>
      <c r="P730" s="2131"/>
      <c r="Q730" s="2131"/>
      <c r="R730" s="2131"/>
      <c r="S730" s="2131"/>
      <c r="T730" s="2131"/>
      <c r="U730" s="2131"/>
    </row>
    <row r="731" spans="2:21" ht="15.75">
      <c r="B731" s="646">
        <v>43525</v>
      </c>
      <c r="C731" s="1323">
        <v>104.2</v>
      </c>
      <c r="D731" s="1566">
        <v>98.5</v>
      </c>
      <c r="L731"/>
    </row>
    <row r="732" spans="2:21" ht="15.75">
      <c r="B732" s="646">
        <v>43556</v>
      </c>
      <c r="C732" s="1323">
        <v>105.2</v>
      </c>
      <c r="D732" s="1566">
        <v>99.4</v>
      </c>
      <c r="L732"/>
      <c r="P732" s="59"/>
      <c r="S732" s="59"/>
    </row>
    <row r="733" spans="2:21" ht="15.75">
      <c r="B733" s="646">
        <v>43586</v>
      </c>
      <c r="C733" s="1323">
        <v>105.4</v>
      </c>
      <c r="D733" s="1566">
        <v>99.6</v>
      </c>
      <c r="L733"/>
      <c r="P733" s="59"/>
      <c r="S733" s="59"/>
    </row>
    <row r="734" spans="2:21" ht="15.75">
      <c r="B734" s="646">
        <v>43617</v>
      </c>
      <c r="C734" s="1324">
        <v>105.7</v>
      </c>
      <c r="D734" s="1566">
        <v>99.9</v>
      </c>
      <c r="L734"/>
      <c r="P734" s="59"/>
      <c r="S734" s="59"/>
    </row>
    <row r="735" spans="2:21" ht="15.75">
      <c r="B735" s="646">
        <v>43647</v>
      </c>
      <c r="C735" s="1324">
        <v>106.2</v>
      </c>
      <c r="D735" s="1566">
        <v>100.3</v>
      </c>
      <c r="L735"/>
      <c r="P735" s="59"/>
      <c r="S735" s="59"/>
    </row>
    <row r="736" spans="2:21" ht="15.75">
      <c r="B736" s="646">
        <v>43678</v>
      </c>
      <c r="C736" s="1324">
        <v>106</v>
      </c>
      <c r="D736" s="1566">
        <v>100.2</v>
      </c>
      <c r="L736"/>
      <c r="P736" s="59"/>
      <c r="S736" s="59"/>
    </row>
    <row r="737" spans="2:19" ht="15.75">
      <c r="B737" s="646">
        <v>43709</v>
      </c>
      <c r="C737" s="1324">
        <v>106</v>
      </c>
      <c r="D737" s="1566">
        <v>100.2</v>
      </c>
      <c r="L737"/>
      <c r="P737" s="59"/>
      <c r="S737" s="59"/>
    </row>
    <row r="738" spans="2:19" ht="15.75">
      <c r="B738" s="646">
        <v>43739</v>
      </c>
      <c r="C738" s="1324">
        <v>106.1</v>
      </c>
      <c r="D738" s="1566">
        <v>100.2</v>
      </c>
      <c r="L738"/>
      <c r="P738" s="59"/>
      <c r="S738" s="59"/>
    </row>
    <row r="739" spans="2:19" ht="15.75">
      <c r="B739" s="646">
        <v>43770</v>
      </c>
      <c r="C739" s="1324">
        <v>105.3</v>
      </c>
      <c r="D739" s="1566">
        <v>99.5</v>
      </c>
      <c r="L739"/>
      <c r="P739" s="59"/>
      <c r="S739" s="59"/>
    </row>
    <row r="740" spans="2:19" ht="16.5" thickBot="1">
      <c r="B740" s="646">
        <v>43800</v>
      </c>
      <c r="C740" s="1324">
        <v>105.8</v>
      </c>
      <c r="D740" s="1566">
        <v>100</v>
      </c>
      <c r="L740"/>
      <c r="P740" s="59"/>
      <c r="S740" s="59"/>
    </row>
    <row r="741" spans="2:19" ht="16.5" thickBot="1">
      <c r="B741" s="646">
        <v>43831</v>
      </c>
      <c r="C741" s="1324">
        <v>105.2</v>
      </c>
      <c r="D741" s="1566">
        <v>99.8</v>
      </c>
      <c r="E741" s="1310">
        <v>43831</v>
      </c>
      <c r="F741" s="1311">
        <v>99.8</v>
      </c>
      <c r="G741" s="1312" t="s">
        <v>1482</v>
      </c>
      <c r="H741" s="1293" t="s">
        <v>1482</v>
      </c>
      <c r="L741"/>
      <c r="P741" s="59"/>
      <c r="S741" s="59"/>
    </row>
    <row r="742" spans="2:19" ht="16.5" thickBot="1">
      <c r="B742" s="646">
        <v>43862</v>
      </c>
      <c r="C742" s="1324">
        <v>105.6</v>
      </c>
      <c r="D742" s="1566">
        <v>100.1</v>
      </c>
      <c r="E742" s="1310">
        <v>43862</v>
      </c>
      <c r="F742" s="1311">
        <v>100.1</v>
      </c>
      <c r="G742" s="1312" t="s">
        <v>1482</v>
      </c>
      <c r="H742" s="1293">
        <v>0.3</v>
      </c>
      <c r="L742"/>
      <c r="P742" s="59"/>
      <c r="S742" s="59"/>
    </row>
    <row r="743" spans="2:19" ht="16.5" thickBot="1">
      <c r="B743" s="646">
        <v>43891</v>
      </c>
      <c r="C743" s="1324">
        <v>105.7</v>
      </c>
      <c r="D743" s="1566">
        <v>100.3</v>
      </c>
      <c r="E743" s="1310">
        <v>43891</v>
      </c>
      <c r="F743" s="1311">
        <v>100.3</v>
      </c>
      <c r="G743" s="1312" t="s">
        <v>1482</v>
      </c>
      <c r="H743" s="1293">
        <v>0.2</v>
      </c>
      <c r="L743"/>
      <c r="P743" s="59"/>
      <c r="S743" s="59"/>
    </row>
    <row r="744" spans="2:19" ht="16.5" thickBot="1">
      <c r="B744" s="646">
        <v>43922</v>
      </c>
      <c r="C744" s="1324">
        <v>106.1</v>
      </c>
      <c r="D744" s="1566">
        <v>100.4</v>
      </c>
      <c r="E744" s="1310">
        <v>43922</v>
      </c>
      <c r="F744" s="1311">
        <v>100.4</v>
      </c>
      <c r="G744" s="1312" t="s">
        <v>1482</v>
      </c>
      <c r="H744" s="1293">
        <v>0.1</v>
      </c>
      <c r="L744"/>
      <c r="P744" s="59"/>
      <c r="S744" s="59"/>
    </row>
    <row r="745" spans="2:19" ht="16.5" thickBot="1">
      <c r="B745" s="646">
        <v>43952</v>
      </c>
      <c r="C745" s="1324">
        <v>106</v>
      </c>
      <c r="D745" s="1566">
        <v>100.4</v>
      </c>
      <c r="E745" s="1310">
        <v>43952</v>
      </c>
      <c r="F745" s="1311">
        <v>100.4</v>
      </c>
      <c r="G745" s="1312" t="s">
        <v>1482</v>
      </c>
      <c r="H745" s="1293" t="s">
        <v>1483</v>
      </c>
      <c r="L745"/>
      <c r="P745" s="59"/>
      <c r="S745" s="59"/>
    </row>
    <row r="746" spans="2:19" ht="16.5" thickBot="1">
      <c r="B746" s="646">
        <v>43983</v>
      </c>
      <c r="C746" s="1324">
        <v>106.6</v>
      </c>
      <c r="D746" s="1566">
        <v>100.5</v>
      </c>
      <c r="E746" s="1310">
        <v>43983</v>
      </c>
      <c r="F746" s="1311">
        <v>100.5</v>
      </c>
      <c r="G746" s="1312" t="s">
        <v>1482</v>
      </c>
      <c r="H746" s="1293">
        <v>0.1</v>
      </c>
      <c r="L746"/>
      <c r="P746" s="59"/>
      <c r="S746" s="59"/>
    </row>
    <row r="747" spans="2:19" ht="16.5" thickBot="1">
      <c r="B747" s="646">
        <v>44013</v>
      </c>
      <c r="C747" s="1324">
        <v>106.1</v>
      </c>
      <c r="D747" s="1566">
        <v>99.7</v>
      </c>
      <c r="E747" s="1310">
        <v>44013</v>
      </c>
      <c r="F747" s="1311">
        <v>99.7</v>
      </c>
      <c r="G747" s="1312" t="s">
        <v>1482</v>
      </c>
      <c r="H747" s="1293">
        <v>-0.8</v>
      </c>
      <c r="L747"/>
      <c r="P747" s="59"/>
      <c r="S747" s="59"/>
    </row>
    <row r="748" spans="2:19" ht="16.5" thickBot="1">
      <c r="B748" s="646">
        <v>44044</v>
      </c>
      <c r="C748" s="1324">
        <v>106</v>
      </c>
      <c r="D748" s="1566">
        <v>99.7</v>
      </c>
      <c r="E748" s="1310">
        <v>44044</v>
      </c>
      <c r="F748" s="1311">
        <v>99.7</v>
      </c>
      <c r="G748" s="1312" t="s">
        <v>1482</v>
      </c>
      <c r="H748" s="1293" t="s">
        <v>1483</v>
      </c>
      <c r="L748"/>
      <c r="P748" s="59"/>
      <c r="S748" s="59"/>
    </row>
    <row r="749" spans="2:19" ht="16.5" thickBot="1">
      <c r="B749" s="646">
        <v>44075</v>
      </c>
      <c r="C749" s="1324">
        <v>105.8</v>
      </c>
      <c r="D749" s="1566">
        <v>99.7</v>
      </c>
      <c r="E749" s="1310">
        <v>44075</v>
      </c>
      <c r="F749" s="1311">
        <v>99.7</v>
      </c>
      <c r="G749" s="1312" t="s">
        <v>1482</v>
      </c>
      <c r="H749" s="1293" t="s">
        <v>1483</v>
      </c>
      <c r="L749"/>
      <c r="P749" s="59"/>
      <c r="S749" s="59"/>
    </row>
    <row r="750" spans="2:19" ht="16.5" thickBot="1">
      <c r="B750" s="646">
        <v>44105</v>
      </c>
      <c r="C750" s="1324">
        <v>105.9</v>
      </c>
      <c r="D750" s="1566">
        <v>99.9</v>
      </c>
      <c r="E750" s="1310">
        <v>44105</v>
      </c>
      <c r="F750" s="1311">
        <v>99.9</v>
      </c>
      <c r="G750" s="1312" t="s">
        <v>1482</v>
      </c>
      <c r="H750" s="1293">
        <v>0.2</v>
      </c>
      <c r="L750"/>
      <c r="P750" s="59"/>
      <c r="S750" s="59"/>
    </row>
    <row r="751" spans="2:19" ht="16.5" thickBot="1">
      <c r="B751" s="646">
        <v>44136</v>
      </c>
      <c r="C751" s="1324">
        <v>105</v>
      </c>
      <c r="D751" s="1566">
        <v>99.7</v>
      </c>
      <c r="E751" s="1310">
        <v>44136</v>
      </c>
      <c r="F751" s="1311">
        <v>99.7</v>
      </c>
      <c r="G751" s="1312" t="s">
        <v>1482</v>
      </c>
      <c r="H751" s="1293">
        <v>-0.2</v>
      </c>
      <c r="L751"/>
      <c r="P751" s="59"/>
      <c r="S751" s="59"/>
    </row>
    <row r="752" spans="2:19" ht="16.5" thickBot="1">
      <c r="B752" s="646">
        <v>44166</v>
      </c>
      <c r="C752" s="1325">
        <v>105.5</v>
      </c>
      <c r="D752" s="1566">
        <v>99.8</v>
      </c>
      <c r="E752" s="1310">
        <v>44166</v>
      </c>
      <c r="F752" s="1311">
        <v>99.8</v>
      </c>
      <c r="G752" s="1312" t="s">
        <v>1482</v>
      </c>
      <c r="H752" s="1293">
        <v>0.1</v>
      </c>
      <c r="L752"/>
      <c r="P752" s="59"/>
      <c r="S752" s="59"/>
    </row>
    <row r="753" spans="2:19" ht="16.5" thickBot="1">
      <c r="B753" s="646">
        <v>44197</v>
      </c>
      <c r="C753" s="1325">
        <v>106.3</v>
      </c>
      <c r="D753" s="1566">
        <v>101</v>
      </c>
      <c r="E753" s="1310">
        <v>44197</v>
      </c>
      <c r="F753" s="1311">
        <v>101</v>
      </c>
      <c r="G753" s="1312">
        <v>1.2</v>
      </c>
      <c r="H753" s="1293">
        <v>1.2</v>
      </c>
      <c r="L753"/>
      <c r="P753" s="59"/>
      <c r="S753" s="59"/>
    </row>
    <row r="754" spans="2:19" ht="16.5" thickBot="1">
      <c r="B754" s="646">
        <v>44228</v>
      </c>
      <c r="C754" s="1325">
        <v>107</v>
      </c>
      <c r="D754" s="1566">
        <v>101.6</v>
      </c>
      <c r="E754" s="1310">
        <v>44228</v>
      </c>
      <c r="F754" s="1311">
        <v>101.6</v>
      </c>
      <c r="G754" s="1312">
        <v>1.5</v>
      </c>
      <c r="H754" s="1293">
        <v>0.6</v>
      </c>
      <c r="L754"/>
      <c r="P754" s="59"/>
      <c r="S754" s="59"/>
    </row>
    <row r="755" spans="2:19" ht="16.5" thickBot="1">
      <c r="B755" s="646">
        <v>44256</v>
      </c>
      <c r="C755" s="1325">
        <v>107.5</v>
      </c>
      <c r="D755" s="1566">
        <v>102.1</v>
      </c>
      <c r="E755" s="1310">
        <v>44256</v>
      </c>
      <c r="F755" s="1311">
        <v>102.1</v>
      </c>
      <c r="G755" s="1312">
        <v>1.8</v>
      </c>
      <c r="H755" s="1293">
        <v>0.5</v>
      </c>
      <c r="L755"/>
      <c r="P755" s="59"/>
      <c r="S755" s="59"/>
    </row>
    <row r="756" spans="2:19" ht="16.5" thickBot="1">
      <c r="B756" s="646">
        <v>44287</v>
      </c>
      <c r="C756" s="1325">
        <v>108.2</v>
      </c>
      <c r="D756" s="1566">
        <v>102.4</v>
      </c>
      <c r="E756" s="1310">
        <v>44287</v>
      </c>
      <c r="F756" s="1311">
        <v>102.4</v>
      </c>
      <c r="G756" s="1312">
        <v>2</v>
      </c>
      <c r="H756" s="1293">
        <v>0.3</v>
      </c>
      <c r="L756"/>
      <c r="P756" s="59"/>
      <c r="S756" s="59"/>
    </row>
    <row r="757" spans="2:19" ht="16.5" thickBot="1">
      <c r="B757" s="646">
        <v>44317</v>
      </c>
      <c r="C757" s="1325">
        <v>108.7</v>
      </c>
      <c r="D757" s="1566">
        <v>102.6</v>
      </c>
      <c r="E757" s="1310">
        <v>44317</v>
      </c>
      <c r="F757" s="1311">
        <v>102.6</v>
      </c>
      <c r="G757" s="1312">
        <v>2.2000000000000002</v>
      </c>
      <c r="H757" s="1293">
        <v>0.2</v>
      </c>
      <c r="L757"/>
      <c r="P757" s="59"/>
      <c r="S757" s="59"/>
    </row>
    <row r="758" spans="2:19" ht="16.5" thickBot="1">
      <c r="B758" s="646">
        <v>44348</v>
      </c>
      <c r="C758" s="1325">
        <v>109.1</v>
      </c>
      <c r="D758" s="1566">
        <v>102.9</v>
      </c>
      <c r="E758" s="1310">
        <v>44348</v>
      </c>
      <c r="F758" s="1311">
        <v>102.9</v>
      </c>
      <c r="G758" s="1312">
        <v>2.4</v>
      </c>
      <c r="H758" s="1293">
        <v>0.3</v>
      </c>
      <c r="L758"/>
      <c r="P758" s="59"/>
      <c r="S758" s="59"/>
    </row>
    <row r="759" spans="2:19" ht="16.5" thickBot="1">
      <c r="B759" s="646">
        <v>44378</v>
      </c>
      <c r="C759" s="1325">
        <v>110.1</v>
      </c>
      <c r="D759" s="1566">
        <v>103.4</v>
      </c>
      <c r="E759" s="1310">
        <v>44378</v>
      </c>
      <c r="F759" s="1311">
        <v>103.4</v>
      </c>
      <c r="G759" s="1312">
        <v>3.7</v>
      </c>
      <c r="H759" s="1293">
        <v>0.5</v>
      </c>
      <c r="L759"/>
      <c r="P759" s="59"/>
      <c r="S759" s="59"/>
    </row>
    <row r="760" spans="2:19" ht="16.5" thickBot="1">
      <c r="B760" s="646">
        <v>44409</v>
      </c>
      <c r="C760" s="1325">
        <v>110.1</v>
      </c>
      <c r="D760" s="1566">
        <v>103.5</v>
      </c>
      <c r="E760" s="1310">
        <v>44409</v>
      </c>
      <c r="F760" s="1311">
        <v>103.5</v>
      </c>
      <c r="G760" s="1312">
        <v>3.8</v>
      </c>
      <c r="H760" s="1293">
        <v>0.1</v>
      </c>
      <c r="L760"/>
      <c r="P760" s="59"/>
      <c r="S760" s="59"/>
    </row>
    <row r="761" spans="2:19" ht="16.5" thickBot="1">
      <c r="B761" s="646">
        <v>44440</v>
      </c>
      <c r="C761" s="1325">
        <v>110.1</v>
      </c>
      <c r="D761" s="1566">
        <v>103.8</v>
      </c>
      <c r="E761" s="1310">
        <v>44440</v>
      </c>
      <c r="F761" s="1311">
        <v>103.8</v>
      </c>
      <c r="G761" s="1312">
        <v>4.0999999999999996</v>
      </c>
      <c r="H761" s="1293">
        <v>0.3</v>
      </c>
      <c r="L761"/>
      <c r="P761" s="59"/>
      <c r="S761" s="59"/>
    </row>
    <row r="762" spans="2:19" ht="16.5" thickBot="1">
      <c r="B762" s="646">
        <v>44470</v>
      </c>
      <c r="C762" s="1325">
        <v>110.7</v>
      </c>
      <c r="D762" s="1566">
        <v>104.3</v>
      </c>
      <c r="E762" s="1310">
        <v>44470</v>
      </c>
      <c r="F762" s="1311">
        <v>104.3</v>
      </c>
      <c r="G762" s="1312">
        <v>4.4000000000000004</v>
      </c>
      <c r="H762" s="1293">
        <v>0.5</v>
      </c>
      <c r="L762"/>
      <c r="P762" s="59"/>
      <c r="S762" s="59"/>
    </row>
    <row r="763" spans="2:19" ht="16.5" thickBot="1">
      <c r="B763" s="646">
        <v>44501</v>
      </c>
      <c r="C763" s="1325">
        <v>110.5</v>
      </c>
      <c r="D763" s="1566">
        <v>104.5</v>
      </c>
      <c r="E763" s="1310">
        <v>44501</v>
      </c>
      <c r="F763" s="1311">
        <v>104.5</v>
      </c>
      <c r="G763" s="1312">
        <v>4.8</v>
      </c>
      <c r="H763" s="1293">
        <v>0.2</v>
      </c>
      <c r="L763"/>
      <c r="P763" s="59"/>
      <c r="S763" s="59"/>
    </row>
    <row r="764" spans="2:19" ht="16.5" thickBot="1">
      <c r="B764" s="646">
        <v>44531</v>
      </c>
      <c r="C764" s="1325">
        <v>111.1</v>
      </c>
      <c r="D764" s="1566">
        <v>104.7</v>
      </c>
      <c r="E764" s="1310">
        <v>44531</v>
      </c>
      <c r="F764" s="1311">
        <v>104.7</v>
      </c>
      <c r="G764" s="1312">
        <v>4.9000000000000004</v>
      </c>
      <c r="H764" s="1293">
        <v>0.2</v>
      </c>
      <c r="L764" s="72"/>
      <c r="M764">
        <v>100</v>
      </c>
      <c r="P764" s="59"/>
      <c r="S764" s="59"/>
    </row>
    <row r="765" spans="2:19" ht="16.5" thickBot="1">
      <c r="B765" s="646">
        <v>44562</v>
      </c>
      <c r="C765" s="1325">
        <v>111.5</v>
      </c>
      <c r="D765" s="1566">
        <v>105.2</v>
      </c>
      <c r="E765" s="1310">
        <v>44562</v>
      </c>
      <c r="F765" s="1311">
        <v>105.2</v>
      </c>
      <c r="G765" s="1312">
        <v>4.2</v>
      </c>
      <c r="H765" s="1293">
        <v>0.5</v>
      </c>
      <c r="K765">
        <v>1</v>
      </c>
      <c r="L765" s="154">
        <v>0.06</v>
      </c>
      <c r="M765" s="95">
        <f>+M764*(1-L765)</f>
        <v>94</v>
      </c>
      <c r="P765" s="59"/>
      <c r="S765" s="59"/>
    </row>
    <row r="766" spans="2:19" ht="16.5" thickBot="1">
      <c r="B766" s="646">
        <v>44593</v>
      </c>
      <c r="C766" s="1325">
        <v>112.5</v>
      </c>
      <c r="D766" s="1566">
        <v>106</v>
      </c>
      <c r="E766" s="1310">
        <v>44593</v>
      </c>
      <c r="F766" s="1311">
        <v>106</v>
      </c>
      <c r="G766" s="1312">
        <v>4.3</v>
      </c>
      <c r="H766" s="1293">
        <v>0.8</v>
      </c>
      <c r="K766">
        <v>2</v>
      </c>
      <c r="L766" s="154">
        <v>0.05</v>
      </c>
      <c r="M766" s="95">
        <f t="shared" ref="M766:M802" si="19">+M765*(1-L766)</f>
        <v>89.3</v>
      </c>
      <c r="P766" s="59"/>
      <c r="S766" s="59"/>
    </row>
    <row r="767" spans="2:19" ht="16.5" thickBot="1">
      <c r="B767" s="646">
        <v>44621</v>
      </c>
      <c r="C767" s="1325">
        <v>115.3</v>
      </c>
      <c r="D767" s="1566">
        <v>108.1</v>
      </c>
      <c r="E767" s="1310">
        <v>44621</v>
      </c>
      <c r="F767" s="1311">
        <v>108.1</v>
      </c>
      <c r="G767" s="1312">
        <v>5.9</v>
      </c>
      <c r="H767" s="1293">
        <v>2</v>
      </c>
      <c r="K767">
        <v>3</v>
      </c>
      <c r="L767" s="154">
        <v>0.06</v>
      </c>
      <c r="M767" s="95">
        <f t="shared" si="19"/>
        <v>83.941999999999993</v>
      </c>
      <c r="P767" s="59"/>
      <c r="S767" s="59"/>
    </row>
    <row r="768" spans="2:19" ht="16.5" thickBot="1">
      <c r="B768" s="646">
        <v>44652</v>
      </c>
      <c r="C768" s="1325">
        <v>116.2</v>
      </c>
      <c r="D768" s="1566">
        <v>108.8</v>
      </c>
      <c r="E768" s="1310">
        <v>44652</v>
      </c>
      <c r="F768" s="1311">
        <v>108.8</v>
      </c>
      <c r="G768" s="1312">
        <v>6.3</v>
      </c>
      <c r="H768" s="1293">
        <v>0.6</v>
      </c>
      <c r="K768">
        <v>4</v>
      </c>
      <c r="L768" s="154">
        <v>0.03</v>
      </c>
      <c r="M768" s="95">
        <f t="shared" si="19"/>
        <v>81.423739999999995</v>
      </c>
      <c r="P768" s="59"/>
      <c r="S768" s="59"/>
    </row>
    <row r="769" spans="1:19" ht="16.5" thickBot="1">
      <c r="B769" s="646">
        <v>44682</v>
      </c>
      <c r="C769" s="1325">
        <v>117.3</v>
      </c>
      <c r="D769" s="1566">
        <v>109.8</v>
      </c>
      <c r="E769" s="1310">
        <v>44682</v>
      </c>
      <c r="F769" s="1311">
        <v>109.8</v>
      </c>
      <c r="G769" s="1312">
        <v>7</v>
      </c>
      <c r="H769" s="1293">
        <v>0.9</v>
      </c>
      <c r="K769">
        <v>5</v>
      </c>
      <c r="L769" s="154">
        <v>2.5000000000000001E-2</v>
      </c>
      <c r="M769" s="95">
        <f t="shared" si="19"/>
        <v>79.388146499999991</v>
      </c>
      <c r="P769" s="59"/>
      <c r="S769" s="59"/>
    </row>
    <row r="770" spans="1:19" ht="16.5" thickBot="1">
      <c r="B770" s="646">
        <v>44713</v>
      </c>
      <c r="C770" s="1325">
        <v>117.4</v>
      </c>
      <c r="D770" s="1566">
        <v>109.8</v>
      </c>
      <c r="E770" s="1310">
        <v>44713</v>
      </c>
      <c r="F770" s="1311">
        <v>109.8</v>
      </c>
      <c r="G770" s="1312">
        <v>6.7</v>
      </c>
      <c r="H770" s="1293" t="s">
        <v>1483</v>
      </c>
      <c r="K770">
        <v>6</v>
      </c>
      <c r="L770" s="154">
        <v>2.5000000000000001E-2</v>
      </c>
      <c r="M770" s="95">
        <f t="shared" si="19"/>
        <v>77.403442837499995</v>
      </c>
      <c r="P770" s="59"/>
      <c r="S770" s="59"/>
    </row>
    <row r="771" spans="1:19" ht="16.5" thickBot="1">
      <c r="B771" s="646">
        <v>44743</v>
      </c>
      <c r="C771" s="1325">
        <v>118.4</v>
      </c>
      <c r="D771" s="1566">
        <v>110.3</v>
      </c>
      <c r="E771" s="1310">
        <v>44743</v>
      </c>
      <c r="F771" s="1311">
        <v>110.3</v>
      </c>
      <c r="G771" s="1312">
        <v>6.7</v>
      </c>
      <c r="H771" s="1293">
        <v>0.5</v>
      </c>
      <c r="K771">
        <v>7</v>
      </c>
      <c r="L771" s="154">
        <v>2.5000000000000001E-2</v>
      </c>
      <c r="M771" s="95">
        <f t="shared" si="19"/>
        <v>75.468356766562493</v>
      </c>
      <c r="P771" s="59"/>
      <c r="S771" s="59"/>
    </row>
    <row r="772" spans="1:19" ht="16.5" thickBot="1">
      <c r="B772" s="646">
        <v>44774</v>
      </c>
      <c r="C772" s="1325">
        <v>118.8</v>
      </c>
      <c r="D772" s="1566">
        <v>110.7</v>
      </c>
      <c r="E772" s="1310">
        <v>44774</v>
      </c>
      <c r="F772" s="1311">
        <v>110.7</v>
      </c>
      <c r="G772" s="1312">
        <v>7</v>
      </c>
      <c r="H772" s="1293">
        <v>0.4</v>
      </c>
      <c r="K772">
        <v>8</v>
      </c>
      <c r="L772" s="154">
        <v>2.3E-2</v>
      </c>
      <c r="M772" s="95">
        <f t="shared" si="19"/>
        <v>73.732584560931556</v>
      </c>
      <c r="P772" s="59"/>
      <c r="S772" s="59"/>
    </row>
    <row r="773" spans="1:19" ht="16.5" thickBot="1">
      <c r="B773" s="646">
        <v>44805</v>
      </c>
      <c r="C773" s="1325">
        <v>121.1</v>
      </c>
      <c r="D773" s="1566">
        <v>112.7</v>
      </c>
      <c r="E773" s="1310">
        <v>44805</v>
      </c>
      <c r="F773" s="1311">
        <v>112.7</v>
      </c>
      <c r="G773" s="1312">
        <v>8.6</v>
      </c>
      <c r="H773" s="1293">
        <v>1.8</v>
      </c>
      <c r="K773">
        <v>9</v>
      </c>
      <c r="L773" s="154">
        <v>2.1999999999999999E-2</v>
      </c>
      <c r="M773" s="95">
        <f t="shared" si="19"/>
        <v>72.110467700591059</v>
      </c>
      <c r="P773" s="59"/>
      <c r="S773" s="59"/>
    </row>
    <row r="774" spans="1:19" ht="16.5" thickBot="1">
      <c r="B774" s="646">
        <v>44835</v>
      </c>
      <c r="C774" s="1325">
        <v>122.2</v>
      </c>
      <c r="D774" s="1566">
        <v>113.5</v>
      </c>
      <c r="E774" s="1310">
        <v>44835</v>
      </c>
      <c r="F774" s="1311">
        <v>113.5</v>
      </c>
      <c r="G774" s="1312">
        <v>8.8000000000000007</v>
      </c>
      <c r="H774" s="1293">
        <v>0.7</v>
      </c>
      <c r="K774">
        <v>10</v>
      </c>
      <c r="L774" s="154">
        <v>2.1999999999999999E-2</v>
      </c>
      <c r="M774" s="95">
        <f t="shared" si="19"/>
        <v>70.524037411178057</v>
      </c>
      <c r="P774" s="59"/>
      <c r="S774" s="59"/>
    </row>
    <row r="775" spans="1:19" ht="16.5" thickBot="1">
      <c r="B775" s="646">
        <v>44866</v>
      </c>
      <c r="C775" s="1325">
        <v>121.6</v>
      </c>
      <c r="D775" s="1566">
        <v>113.7</v>
      </c>
      <c r="E775" s="1310">
        <v>44866</v>
      </c>
      <c r="F775" s="1311">
        <v>113.7</v>
      </c>
      <c r="G775" s="1312">
        <v>8.8000000000000007</v>
      </c>
      <c r="H775" s="1293">
        <v>0.2</v>
      </c>
      <c r="K775">
        <v>11</v>
      </c>
      <c r="L775" s="154">
        <v>2.1999999999999999E-2</v>
      </c>
      <c r="M775" s="95">
        <f t="shared" si="19"/>
        <v>68.972508588132143</v>
      </c>
      <c r="P775" s="59"/>
      <c r="S775" s="59"/>
    </row>
    <row r="776" spans="1:19" ht="16.5" thickBot="1">
      <c r="B776" s="646">
        <v>44896</v>
      </c>
      <c r="C776" s="1325">
        <v>120.6</v>
      </c>
      <c r="D776" s="1566">
        <v>113.2</v>
      </c>
      <c r="E776" s="1310">
        <v>44896</v>
      </c>
      <c r="F776" s="1311">
        <v>113.2</v>
      </c>
      <c r="G776" s="1312">
        <v>8.1</v>
      </c>
      <c r="H776" s="1293">
        <v>-0.4</v>
      </c>
      <c r="J776" s="154">
        <f>_xlfn.RRI(37,C321,C776)</f>
        <v>1.9777705672038293E-2</v>
      </c>
      <c r="K776">
        <v>12</v>
      </c>
      <c r="L776" s="154">
        <v>2.1999999999999999E-2</v>
      </c>
      <c r="M776" s="95">
        <f t="shared" si="19"/>
        <v>67.455113399193237</v>
      </c>
      <c r="P776" s="59"/>
      <c r="S776" s="59"/>
    </row>
    <row r="777" spans="1:19" ht="16.5" thickBot="1">
      <c r="A777" s="35"/>
      <c r="B777" s="1554">
        <v>44927</v>
      </c>
      <c r="C777" s="1555">
        <f>ROUND(C776*D777/D776,2)</f>
        <v>121.77</v>
      </c>
      <c r="D777" s="1566">
        <v>114.3</v>
      </c>
      <c r="E777" s="1310">
        <v>44927</v>
      </c>
      <c r="F777" s="1313">
        <v>114.3</v>
      </c>
      <c r="G777" s="1314"/>
      <c r="H777" s="1294"/>
      <c r="K777">
        <v>13</v>
      </c>
      <c r="L777" s="154">
        <v>2.1999999999999999E-2</v>
      </c>
      <c r="M777" s="95">
        <f t="shared" si="19"/>
        <v>65.971100904410989</v>
      </c>
      <c r="P777" s="59"/>
      <c r="S777" s="59"/>
    </row>
    <row r="778" spans="1:19" ht="15.75">
      <c r="B778" s="646">
        <v>44958</v>
      </c>
      <c r="C778" s="1555">
        <f t="shared" ref="C778:C788" si="20">ROUND(C777*D778/D777,2)</f>
        <v>122.73</v>
      </c>
      <c r="D778" s="1566">
        <v>115.2</v>
      </c>
      <c r="K778">
        <v>14</v>
      </c>
      <c r="L778" s="154">
        <v>2.1999999999999999E-2</v>
      </c>
      <c r="M778" s="95">
        <f t="shared" si="19"/>
        <v>64.519736684513944</v>
      </c>
      <c r="P778" s="59"/>
      <c r="S778" s="59"/>
    </row>
    <row r="779" spans="1:19" ht="15.75">
      <c r="B779" s="646">
        <v>44986</v>
      </c>
      <c r="C779" s="1555">
        <f t="shared" si="20"/>
        <v>123.69</v>
      </c>
      <c r="D779" s="1566">
        <v>116.1</v>
      </c>
      <c r="K779">
        <v>15</v>
      </c>
      <c r="L779" s="154">
        <v>2.1999999999999999E-2</v>
      </c>
      <c r="M779" s="95">
        <f t="shared" si="19"/>
        <v>63.100302477454633</v>
      </c>
      <c r="P779" s="59"/>
      <c r="S779" s="59"/>
    </row>
    <row r="780" spans="1:19" ht="15.75">
      <c r="B780" s="646">
        <v>45017</v>
      </c>
      <c r="C780" s="1555">
        <f t="shared" si="20"/>
        <v>124.22</v>
      </c>
      <c r="D780" s="1566">
        <v>116.6</v>
      </c>
      <c r="K780">
        <v>16</v>
      </c>
      <c r="L780" s="154">
        <v>2.1999999999999999E-2</v>
      </c>
      <c r="M780" s="95">
        <f t="shared" si="19"/>
        <v>61.71209582295063</v>
      </c>
      <c r="P780" s="59"/>
      <c r="S780" s="59"/>
    </row>
    <row r="781" spans="1:19" ht="15.75">
      <c r="B781" s="646">
        <v>45047</v>
      </c>
      <c r="C781" s="1555">
        <f t="shared" si="20"/>
        <v>124.11</v>
      </c>
      <c r="D781" s="1566">
        <v>116.5</v>
      </c>
      <c r="K781">
        <v>17</v>
      </c>
      <c r="L781" s="154">
        <v>2.1999999999999999E-2</v>
      </c>
      <c r="M781" s="95">
        <f t="shared" si="19"/>
        <v>60.354429714845715</v>
      </c>
      <c r="P781" s="59"/>
      <c r="S781" s="59"/>
    </row>
    <row r="782" spans="1:19" ht="15.75">
      <c r="B782" s="646">
        <v>45078</v>
      </c>
      <c r="C782" s="1555">
        <f t="shared" si="20"/>
        <v>124.43</v>
      </c>
      <c r="D782" s="1566">
        <v>116.8</v>
      </c>
      <c r="K782">
        <v>18</v>
      </c>
      <c r="L782" s="154">
        <v>2.1999999999999999E-2</v>
      </c>
      <c r="M782" s="95">
        <f t="shared" si="19"/>
        <v>59.026632261119104</v>
      </c>
      <c r="P782" s="59"/>
      <c r="S782" s="59"/>
    </row>
    <row r="783" spans="1:19" ht="15.75">
      <c r="B783" s="646">
        <v>45108</v>
      </c>
      <c r="C783" s="1555">
        <f t="shared" si="20"/>
        <v>124.75</v>
      </c>
      <c r="D783" s="1566">
        <v>117.1</v>
      </c>
      <c r="K783">
        <v>19</v>
      </c>
      <c r="L783" s="154">
        <v>2.1999999999999999E-2</v>
      </c>
      <c r="M783" s="95">
        <f t="shared" si="19"/>
        <v>57.728046351374481</v>
      </c>
      <c r="P783" s="59"/>
      <c r="S783" s="59"/>
    </row>
    <row r="784" spans="1:19" ht="15.75">
      <c r="B784" s="646">
        <v>45139</v>
      </c>
      <c r="C784" s="1555">
        <f t="shared" si="20"/>
        <v>125.18</v>
      </c>
      <c r="D784" s="1566">
        <v>117.5</v>
      </c>
      <c r="K784">
        <v>20</v>
      </c>
      <c r="L784" s="154">
        <v>2.1999999999999999E-2</v>
      </c>
      <c r="M784" s="95">
        <f t="shared" si="19"/>
        <v>56.458029331644241</v>
      </c>
      <c r="P784" s="59"/>
      <c r="R784" s="276"/>
      <c r="S784" s="59"/>
    </row>
    <row r="785" spans="2:19" ht="15.75">
      <c r="B785" s="646">
        <v>45170</v>
      </c>
      <c r="C785" s="1555">
        <f t="shared" si="20"/>
        <v>125.5</v>
      </c>
      <c r="D785" s="1566">
        <v>117.8</v>
      </c>
      <c r="K785">
        <v>21</v>
      </c>
      <c r="L785" s="154">
        <v>2.1999999999999999E-2</v>
      </c>
      <c r="M785" s="95">
        <f t="shared" si="19"/>
        <v>55.215952686348068</v>
      </c>
      <c r="P785" s="59"/>
      <c r="S785" s="59"/>
    </row>
    <row r="786" spans="2:19" ht="15.75">
      <c r="B786" s="646">
        <v>45200</v>
      </c>
      <c r="C786" s="1555">
        <f t="shared" si="20"/>
        <v>125.5</v>
      </c>
      <c r="D786" s="1566">
        <v>117.8</v>
      </c>
      <c r="K786">
        <v>22</v>
      </c>
      <c r="L786" s="154">
        <v>2.1999999999999999E-2</v>
      </c>
      <c r="M786" s="95">
        <f t="shared" si="19"/>
        <v>54.001201727248407</v>
      </c>
      <c r="P786" s="59"/>
      <c r="S786" s="59"/>
    </row>
    <row r="787" spans="2:19" ht="15.75">
      <c r="B787" s="646">
        <v>45231</v>
      </c>
      <c r="C787" s="1555">
        <f t="shared" si="20"/>
        <v>124.97</v>
      </c>
      <c r="D787" s="1566">
        <v>117.3</v>
      </c>
      <c r="K787">
        <v>23</v>
      </c>
      <c r="L787" s="154">
        <v>2.1999999999999999E-2</v>
      </c>
      <c r="M787" s="95">
        <f t="shared" si="19"/>
        <v>52.813175289248939</v>
      </c>
      <c r="P787" s="59"/>
      <c r="S787" s="59"/>
    </row>
    <row r="788" spans="2:19" ht="15.75">
      <c r="B788" s="646">
        <v>45261</v>
      </c>
      <c r="C788" s="1555">
        <f t="shared" si="20"/>
        <v>125.08</v>
      </c>
      <c r="D788" s="1566">
        <v>117.4</v>
      </c>
      <c r="K788">
        <v>24</v>
      </c>
      <c r="L788" s="154">
        <v>2.1999999999999999E-2</v>
      </c>
      <c r="M788" s="95">
        <f t="shared" si="19"/>
        <v>51.651285432885459</v>
      </c>
      <c r="P788" s="59"/>
      <c r="S788" s="59"/>
    </row>
    <row r="789" spans="2:19" ht="15.75">
      <c r="B789" s="646"/>
      <c r="C789" s="1555"/>
      <c r="D789" s="1566"/>
      <c r="K789">
        <v>25</v>
      </c>
      <c r="L789" s="154">
        <v>2.1999999999999999E-2</v>
      </c>
      <c r="M789" s="95">
        <f t="shared" si="19"/>
        <v>50.514957153361976</v>
      </c>
      <c r="P789" s="59"/>
      <c r="S789" s="59"/>
    </row>
    <row r="790" spans="2:19" ht="15.75">
      <c r="B790" s="646"/>
      <c r="C790" s="1555"/>
      <c r="D790" s="1566"/>
      <c r="K790">
        <v>26</v>
      </c>
      <c r="L790" s="154">
        <v>2.1999999999999999E-2</v>
      </c>
      <c r="M790" s="95">
        <f t="shared" si="19"/>
        <v>49.403628095988012</v>
      </c>
      <c r="P790" s="59"/>
      <c r="S790" s="59"/>
    </row>
    <row r="791" spans="2:19" ht="15.75">
      <c r="B791" s="646"/>
      <c r="C791" s="1555"/>
      <c r="D791" s="1566"/>
      <c r="K791">
        <v>27</v>
      </c>
      <c r="L791" s="154">
        <v>2.1999999999999999E-2</v>
      </c>
      <c r="M791" s="95">
        <f t="shared" si="19"/>
        <v>48.316748277876272</v>
      </c>
      <c r="P791" s="59"/>
      <c r="S791" s="59"/>
    </row>
    <row r="792" spans="2:19" ht="15.75">
      <c r="B792" s="646"/>
      <c r="C792" s="1555"/>
      <c r="D792" s="1566"/>
      <c r="K792">
        <v>28</v>
      </c>
      <c r="L792" s="154">
        <v>2.1999999999999999E-2</v>
      </c>
      <c r="M792" s="95">
        <f t="shared" si="19"/>
        <v>47.253779815762989</v>
      </c>
      <c r="P792" s="59"/>
      <c r="S792" s="59"/>
    </row>
    <row r="793" spans="2:19" ht="15.75">
      <c r="B793" s="646"/>
      <c r="C793" s="1555"/>
      <c r="D793" s="1566"/>
      <c r="K793">
        <v>29</v>
      </c>
      <c r="L793" s="154">
        <v>2.1999999999999999E-2</v>
      </c>
      <c r="M793" s="95">
        <f t="shared" si="19"/>
        <v>46.214196659816203</v>
      </c>
      <c r="P793" s="59"/>
      <c r="S793" s="59"/>
    </row>
    <row r="794" spans="2:19" ht="15.75">
      <c r="B794" s="646"/>
      <c r="C794" s="1555"/>
      <c r="D794" s="1566"/>
      <c r="K794">
        <v>30</v>
      </c>
      <c r="L794" s="154">
        <v>2.1999999999999999E-2</v>
      </c>
      <c r="M794" s="95">
        <f t="shared" si="19"/>
        <v>45.197484333300245</v>
      </c>
    </row>
    <row r="795" spans="2:19" ht="15.75">
      <c r="B795" s="646"/>
      <c r="C795" s="1555"/>
      <c r="D795" s="1566"/>
      <c r="K795">
        <v>31</v>
      </c>
      <c r="L795" s="154">
        <v>2.1999999999999999E-2</v>
      </c>
      <c r="M795" s="95">
        <f t="shared" si="19"/>
        <v>44.203139677967641</v>
      </c>
    </row>
    <row r="796" spans="2:19" ht="15.75">
      <c r="B796" s="646"/>
      <c r="C796" s="1555"/>
      <c r="D796" s="1566"/>
      <c r="K796">
        <v>32</v>
      </c>
      <c r="L796" s="154">
        <v>2.1999999999999999E-2</v>
      </c>
      <c r="M796" s="95">
        <f t="shared" si="19"/>
        <v>43.230670605052353</v>
      </c>
    </row>
    <row r="797" spans="2:19" ht="15.75">
      <c r="B797" s="646"/>
      <c r="C797" s="1555"/>
      <c r="D797" s="1566"/>
      <c r="K797">
        <v>33</v>
      </c>
      <c r="L797" s="154">
        <v>2.1999999999999999E-2</v>
      </c>
      <c r="M797" s="95">
        <f t="shared" si="19"/>
        <v>42.279595851741199</v>
      </c>
    </row>
    <row r="798" spans="2:19" ht="15.75">
      <c r="B798" s="646"/>
      <c r="C798" s="1555"/>
      <c r="D798" s="1566"/>
      <c r="K798">
        <v>34</v>
      </c>
      <c r="L798" s="154">
        <v>2.1999999999999999E-2</v>
      </c>
      <c r="M798" s="95">
        <f t="shared" si="19"/>
        <v>41.349444743002891</v>
      </c>
    </row>
    <row r="799" spans="2:19" ht="15.75">
      <c r="B799" s="646"/>
      <c r="C799" s="1555"/>
      <c r="D799" s="1566"/>
      <c r="K799">
        <v>35</v>
      </c>
      <c r="L799" s="154">
        <v>2.1999999999999999E-2</v>
      </c>
      <c r="M799" s="95">
        <f t="shared" si="19"/>
        <v>40.43975695865683</v>
      </c>
    </row>
    <row r="800" spans="2:19" ht="15.75">
      <c r="B800" s="646"/>
      <c r="C800" s="1555"/>
      <c r="D800" s="1566"/>
      <c r="K800">
        <v>36</v>
      </c>
      <c r="L800" s="154">
        <v>2.1999999999999999E-2</v>
      </c>
      <c r="M800" s="95">
        <f t="shared" si="19"/>
        <v>39.550082305566377</v>
      </c>
    </row>
    <row r="801" spans="2:14" ht="15">
      <c r="B801" s="76"/>
      <c r="C801" s="1325"/>
      <c r="D801" s="1566"/>
      <c r="K801">
        <v>37</v>
      </c>
      <c r="L801" s="154">
        <v>2.1999999999999999E-2</v>
      </c>
      <c r="M801" s="95">
        <f t="shared" si="19"/>
        <v>38.679980494843917</v>
      </c>
    </row>
    <row r="802" spans="2:14" ht="15">
      <c r="B802" s="76"/>
      <c r="C802" s="1325"/>
      <c r="D802" s="1566"/>
      <c r="K802">
        <v>38</v>
      </c>
      <c r="L802" s="154">
        <v>2.1999999999999999E-2</v>
      </c>
      <c r="M802" s="95">
        <f t="shared" si="19"/>
        <v>37.829020923957351</v>
      </c>
      <c r="N802" s="154">
        <f>_xlfn.RRI(K802,M764,M802)</f>
        <v>-2.5256979341022001E-2</v>
      </c>
    </row>
    <row r="803" spans="2:14" ht="15">
      <c r="B803" s="76"/>
      <c r="C803" s="1325"/>
      <c r="K803">
        <v>39</v>
      </c>
    </row>
    <row r="804" spans="2:14" ht="15">
      <c r="B804" s="76"/>
      <c r="C804" s="1325"/>
      <c r="K804">
        <v>40</v>
      </c>
    </row>
    <row r="805" spans="2:14" ht="15">
      <c r="B805" s="76"/>
      <c r="C805" s="1325"/>
      <c r="K805">
        <v>41</v>
      </c>
    </row>
    <row r="806" spans="2:14" ht="15">
      <c r="B806" s="76"/>
      <c r="C806" s="1325"/>
      <c r="K806">
        <v>42</v>
      </c>
    </row>
    <row r="807" spans="2:14" ht="15">
      <c r="B807" s="76"/>
      <c r="C807" s="1325"/>
      <c r="K807">
        <v>43</v>
      </c>
    </row>
    <row r="808" spans="2:14" ht="15">
      <c r="B808" s="76"/>
      <c r="C808" s="1325"/>
      <c r="K808">
        <v>44</v>
      </c>
    </row>
    <row r="809" spans="2:14" ht="15">
      <c r="B809" s="76"/>
      <c r="C809" s="1325"/>
      <c r="K809">
        <v>45</v>
      </c>
    </row>
    <row r="810" spans="2:14" ht="15">
      <c r="B810" s="76"/>
      <c r="C810" s="1325"/>
      <c r="K810">
        <v>46</v>
      </c>
    </row>
    <row r="811" spans="2:14" ht="15">
      <c r="B811" s="76"/>
      <c r="C811" s="1325"/>
      <c r="K811">
        <v>47</v>
      </c>
    </row>
    <row r="812" spans="2:14" ht="15">
      <c r="B812" s="76"/>
      <c r="C812" s="1325"/>
      <c r="K812">
        <v>48</v>
      </c>
    </row>
    <row r="813" spans="2:14" ht="15">
      <c r="B813" s="76"/>
      <c r="C813" s="1325"/>
    </row>
    <row r="814" spans="2:14" ht="15">
      <c r="B814" s="76"/>
      <c r="C814" s="1325"/>
    </row>
    <row r="815" spans="2:14" ht="15">
      <c r="B815" s="76"/>
      <c r="C815" s="1325"/>
    </row>
    <row r="816" spans="2:14" ht="15">
      <c r="B816" s="76"/>
      <c r="C816" s="1325"/>
    </row>
    <row r="817" spans="2:3" ht="15">
      <c r="B817" s="76"/>
      <c r="C817" s="1325"/>
    </row>
    <row r="818" spans="2:3" ht="15">
      <c r="B818" s="76"/>
      <c r="C818" s="1325"/>
    </row>
    <row r="819" spans="2:3" ht="15">
      <c r="B819" s="76"/>
      <c r="C819" s="1325"/>
    </row>
    <row r="820" spans="2:3" ht="15">
      <c r="B820" s="76"/>
      <c r="C820" s="1325"/>
    </row>
    <row r="821" spans="2:3" ht="15">
      <c r="B821" s="76"/>
      <c r="C821" s="1325"/>
    </row>
    <row r="822" spans="2:3" ht="15">
      <c r="B822" s="76"/>
      <c r="C822" s="1325"/>
    </row>
    <row r="823" spans="2:3" ht="15">
      <c r="B823" s="76"/>
      <c r="C823" s="1325"/>
    </row>
    <row r="824" spans="2:3" ht="15">
      <c r="B824" s="76"/>
      <c r="C824" s="1325"/>
    </row>
    <row r="825" spans="2:3" ht="15">
      <c r="B825" s="76"/>
      <c r="C825" s="1325"/>
    </row>
    <row r="826" spans="2:3" ht="15">
      <c r="B826" s="76"/>
      <c r="C826" s="1325"/>
    </row>
    <row r="827" spans="2:3" ht="15">
      <c r="B827" s="76"/>
      <c r="C827" s="1325"/>
    </row>
    <row r="828" spans="2:3" ht="15">
      <c r="B828" s="76"/>
      <c r="C828" s="1325"/>
    </row>
    <row r="829" spans="2:3" ht="15">
      <c r="B829" s="76"/>
      <c r="C829" s="1325"/>
    </row>
    <row r="830" spans="2:3" ht="15">
      <c r="B830" s="76"/>
      <c r="C830" s="1325"/>
    </row>
    <row r="831" spans="2:3" ht="15">
      <c r="B831" s="76"/>
      <c r="C831" s="1325"/>
    </row>
    <row r="832" spans="2:3" ht="15">
      <c r="B832" s="76"/>
      <c r="C832" s="1325"/>
    </row>
    <row r="833" spans="2:3" ht="15">
      <c r="B833" s="76"/>
      <c r="C833" s="1325"/>
    </row>
    <row r="834" spans="2:3" ht="15">
      <c r="B834" s="76"/>
      <c r="C834" s="1325"/>
    </row>
    <row r="835" spans="2:3" ht="15">
      <c r="B835" s="76"/>
      <c r="C835" s="1325"/>
    </row>
    <row r="836" spans="2:3" ht="15">
      <c r="B836" s="76"/>
      <c r="C836" s="1325"/>
    </row>
    <row r="837" spans="2:3" ht="15">
      <c r="B837" s="76"/>
      <c r="C837" s="1325"/>
    </row>
    <row r="838" spans="2:3" ht="15">
      <c r="B838" s="76"/>
      <c r="C838" s="1325"/>
    </row>
    <row r="839" spans="2:3" ht="15">
      <c r="B839" s="76"/>
      <c r="C839" s="1325"/>
    </row>
    <row r="840" spans="2:3" ht="15">
      <c r="B840" s="76"/>
      <c r="C840" s="1325"/>
    </row>
    <row r="841" spans="2:3" ht="15">
      <c r="B841" s="76"/>
      <c r="C841" s="1325"/>
    </row>
    <row r="842" spans="2:3" ht="15">
      <c r="B842" s="76"/>
      <c r="C842" s="1325"/>
    </row>
    <row r="843" spans="2:3" ht="15">
      <c r="B843" s="76"/>
      <c r="C843" s="1325"/>
    </row>
    <row r="844" spans="2:3" ht="15">
      <c r="B844" s="76"/>
      <c r="C844" s="1325"/>
    </row>
    <row r="845" spans="2:3" ht="15">
      <c r="B845" s="76"/>
      <c r="C845" s="1325"/>
    </row>
    <row r="846" spans="2:3" ht="15">
      <c r="B846" s="76"/>
      <c r="C846" s="1325"/>
    </row>
    <row r="847" spans="2:3" ht="15">
      <c r="B847" s="76"/>
      <c r="C847" s="1325"/>
    </row>
    <row r="848" spans="2:3" ht="15">
      <c r="B848" s="76"/>
      <c r="C848" s="1325"/>
    </row>
    <row r="849" spans="2:3" ht="15">
      <c r="B849" s="76"/>
      <c r="C849" s="1325"/>
    </row>
    <row r="850" spans="2:3" ht="15">
      <c r="B850" s="76"/>
      <c r="C850" s="1325"/>
    </row>
    <row r="851" spans="2:3" ht="15">
      <c r="B851" s="76"/>
      <c r="C851" s="1325"/>
    </row>
    <row r="852" spans="2:3" ht="15">
      <c r="B852" s="76"/>
      <c r="C852" s="1325"/>
    </row>
    <row r="853" spans="2:3" ht="15">
      <c r="B853" s="76"/>
      <c r="C853" s="1325"/>
    </row>
    <row r="854" spans="2:3" ht="15">
      <c r="B854" s="76"/>
      <c r="C854" s="1325"/>
    </row>
    <row r="855" spans="2:3" ht="15">
      <c r="B855" s="76"/>
      <c r="C855" s="1325"/>
    </row>
    <row r="856" spans="2:3" ht="15">
      <c r="B856" s="76"/>
      <c r="C856" s="1325"/>
    </row>
    <row r="857" spans="2:3" ht="15">
      <c r="B857" s="76"/>
      <c r="C857" s="1325"/>
    </row>
    <row r="858" spans="2:3" ht="15">
      <c r="B858" s="76"/>
      <c r="C858" s="1325"/>
    </row>
    <row r="859" spans="2:3" ht="15">
      <c r="B859" s="76"/>
      <c r="C859" s="1325"/>
    </row>
    <row r="860" spans="2:3" ht="15">
      <c r="B860" s="76"/>
      <c r="C860" s="1325"/>
    </row>
    <row r="861" spans="2:3" ht="15">
      <c r="B861" s="76"/>
      <c r="C861" s="1325"/>
    </row>
    <row r="862" spans="2:3" ht="15">
      <c r="B862" s="76"/>
      <c r="C862" s="1325"/>
    </row>
    <row r="863" spans="2:3" ht="15">
      <c r="B863" s="76"/>
      <c r="C863" s="1325"/>
    </row>
    <row r="864" spans="2:3" ht="15">
      <c r="B864" s="76"/>
      <c r="C864" s="1325"/>
    </row>
    <row r="865" spans="2:3" ht="15">
      <c r="B865" s="76"/>
      <c r="C865" s="1325"/>
    </row>
    <row r="866" spans="2:3" ht="15">
      <c r="B866" s="76"/>
      <c r="C866" s="1325"/>
    </row>
    <row r="867" spans="2:3" ht="15">
      <c r="B867" s="76"/>
      <c r="C867" s="1325"/>
    </row>
  </sheetData>
  <sortState ref="B3:C867">
    <sortCondition ref="B3"/>
  </sortState>
  <mergeCells count="10">
    <mergeCell ref="S730:U730"/>
    <mergeCell ref="P730:R730"/>
    <mergeCell ref="E29:G29"/>
    <mergeCell ref="O1:R1"/>
    <mergeCell ref="B2:C2"/>
    <mergeCell ref="H3:I3"/>
    <mergeCell ref="K3:M3"/>
    <mergeCell ref="E2:G2"/>
    <mergeCell ref="S6:AK7"/>
    <mergeCell ref="S8:U8"/>
  </mergeCells>
  <conditionalFormatting sqref="T11:T28">
    <cfRule type="colorScale" priority="1">
      <colorScale>
        <cfvo type="min"/>
        <cfvo type="percentile" val="50"/>
        <cfvo type="max"/>
        <color rgb="FF63BE7B"/>
        <color rgb="FFFFEB84"/>
        <color rgb="FFF8696B"/>
      </colorScale>
    </cfRule>
  </conditionalFormatting>
  <hyperlinks>
    <hyperlink ref="B1" r:id="rId1" xr:uid="{00000000-0004-0000-0900-000000000000}"/>
  </hyperlinks>
  <pageMargins left="0.7" right="0.7" top="0.78740157499999996" bottom="0.78740157499999996" header="0.3" footer="0.3"/>
  <pageSetup paperSize="9"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6">
    <pageSetUpPr fitToPage="1"/>
  </sheetPr>
  <dimension ref="A1:AA95"/>
  <sheetViews>
    <sheetView showGridLines="0" showZeros="0" topLeftCell="A15" zoomScale="85" zoomScaleNormal="85" workbookViewId="0">
      <selection activeCell="I20" sqref="I20"/>
    </sheetView>
  </sheetViews>
  <sheetFormatPr baseColWidth="10" defaultColWidth="0.25" defaultRowHeight="14.25" zeroHeight="1" outlineLevelCol="1"/>
  <cols>
    <col min="1" max="1" width="4.75" style="227" customWidth="1"/>
    <col min="2" max="2" width="7.25" style="251" customWidth="1"/>
    <col min="3" max="6" width="15.625" style="231" customWidth="1"/>
    <col min="7" max="7" width="0" style="231" hidden="1" customWidth="1"/>
    <col min="8" max="11" width="14.5" style="231" customWidth="1"/>
    <col min="12" max="12" width="9.125" style="231" hidden="1" customWidth="1"/>
    <col min="13" max="13" width="9.125" style="231" customWidth="1"/>
    <col min="14" max="15" width="14.5" style="231" customWidth="1"/>
    <col min="16" max="16" width="14.5" style="231" customWidth="1" outlineLevel="1"/>
    <col min="17" max="17" width="14.75" style="231" customWidth="1" outlineLevel="1"/>
    <col min="18" max="18" width="14.5" style="231" customWidth="1" outlineLevel="1"/>
    <col min="19" max="19" width="3" style="231" customWidth="1"/>
    <col min="20" max="20" width="8.125" style="231" customWidth="1"/>
    <col min="21" max="21" width="12.75" style="231" customWidth="1"/>
    <col min="22" max="22" width="11.25" style="231" customWidth="1"/>
    <col min="23" max="23" width="10.125" style="231" customWidth="1"/>
    <col min="24" max="24" width="6.625" style="231" customWidth="1"/>
    <col min="25" max="25" width="10.625" style="231" customWidth="1"/>
    <col min="26" max="27" width="10.625" customWidth="1"/>
    <col min="28" max="28" width="10.625" style="231" customWidth="1"/>
    <col min="29" max="32" width="7.25" style="231" customWidth="1"/>
    <col min="33" max="204" width="3" style="231" customWidth="1"/>
    <col min="205" max="16384" width="0.25" style="231"/>
  </cols>
  <sheetData>
    <row r="1" spans="1:27" ht="28.9" customHeight="1">
      <c r="A1" s="355"/>
      <c r="B1" s="2778"/>
      <c r="C1" s="2778"/>
      <c r="D1" s="2778"/>
      <c r="E1" s="2778"/>
      <c r="F1" s="2779"/>
      <c r="G1" s="228"/>
      <c r="H1" s="348" t="s">
        <v>336</v>
      </c>
      <c r="I1" s="229" t="s">
        <v>126</v>
      </c>
      <c r="J1" s="229" t="s">
        <v>295</v>
      </c>
      <c r="K1" s="230" t="s">
        <v>296</v>
      </c>
      <c r="L1" s="356"/>
      <c r="M1" s="355"/>
      <c r="N1" s="2775" t="s">
        <v>388</v>
      </c>
      <c r="O1" s="230" t="s">
        <v>126</v>
      </c>
      <c r="P1" s="230" t="s">
        <v>575</v>
      </c>
      <c r="Q1" s="230" t="s">
        <v>576</v>
      </c>
      <c r="R1" s="230" t="s">
        <v>577</v>
      </c>
      <c r="S1" s="227"/>
      <c r="T1" s="226" t="str">
        <f>"$B$1:$O$"&amp;COUNTIF(B:B,"&gt;0")+18</f>
        <v>$B$1:$O$18</v>
      </c>
      <c r="U1" s="227" t="s">
        <v>312</v>
      </c>
      <c r="V1" s="227" t="s">
        <v>313</v>
      </c>
      <c r="W1" s="227" t="s">
        <v>314</v>
      </c>
      <c r="X1" t="s">
        <v>389</v>
      </c>
      <c r="Y1" s="231" t="s">
        <v>843</v>
      </c>
    </row>
    <row r="2" spans="1:27">
      <c r="A2" s="357"/>
      <c r="B2" s="2772" t="s">
        <v>306</v>
      </c>
      <c r="C2" s="2772"/>
      <c r="D2" s="2772"/>
      <c r="E2" s="2772"/>
      <c r="F2" s="2773"/>
      <c r="G2" s="232"/>
      <c r="H2" s="233" t="str">
        <f>+'BVerfG 1 BvL 5-18'!D8</f>
        <v/>
      </c>
      <c r="I2" s="233" t="str">
        <f>+H2</f>
        <v/>
      </c>
      <c r="J2" s="233" t="str">
        <f>+I2</f>
        <v/>
      </c>
      <c r="K2" s="233" t="str">
        <f>+J2</f>
        <v/>
      </c>
      <c r="L2" s="227"/>
      <c r="M2" s="357"/>
      <c r="N2" s="2776"/>
      <c r="O2" s="349">
        <f>IF(Adaequanz_GebDatAglBer=0,0,'BVerfG 1 BvL 5-18'!H8)</f>
        <v>0</v>
      </c>
      <c r="P2" s="349">
        <f>IF(Adaequanz_GebDatAglBer=0,0,IF(Adaequanz_Sondertaste,'BVerfG 1 BvL 5-18'!I8,0))</f>
        <v>0</v>
      </c>
      <c r="Q2" s="349">
        <f>IF(Adaequanz_GebDatAglBer=0,0,IF(Adaequanz_Sondertaste,'BVerfG 1 BvL 5-18'!J8,0))</f>
        <v>0</v>
      </c>
      <c r="R2" s="349">
        <f>IF(Adaequanz_GebDatAglBer=0,0,IF(Adaequanz_Sondertaste,'BVerfG 1 BvL 5-18'!K8,0))</f>
        <v>0</v>
      </c>
      <c r="S2" s="227"/>
      <c r="T2" s="231" t="s">
        <v>571</v>
      </c>
      <c r="U2" s="274" t="b">
        <v>1</v>
      </c>
      <c r="V2" s="274" t="b">
        <v>0</v>
      </c>
      <c r="W2" s="274" t="b">
        <v>0</v>
      </c>
      <c r="X2" s="15" t="b">
        <v>0</v>
      </c>
      <c r="Y2" s="15" t="b">
        <v>1</v>
      </c>
    </row>
    <row r="3" spans="1:27">
      <c r="A3" s="357"/>
      <c r="B3" s="2772" t="s">
        <v>823</v>
      </c>
      <c r="C3" s="2772"/>
      <c r="D3" s="2772"/>
      <c r="E3" s="2772"/>
      <c r="F3" s="2773"/>
      <c r="H3" s="233">
        <f>IFERROR(+H4+IF(H5&lt;H2,H2,H5),0)</f>
        <v>0</v>
      </c>
      <c r="I3" s="233">
        <f>IFERROR(+I4+IF(I5&lt;I2,I2,I5),0)</f>
        <v>0</v>
      </c>
      <c r="J3" s="233">
        <f>IFERROR(+J4+IF(J5&lt;J2,J2,J5),0)</f>
        <v>0</v>
      </c>
      <c r="K3" s="233">
        <f>IFERROR(+K4+IF(K5&lt;K2,K2,K5),0)</f>
        <v>0</v>
      </c>
      <c r="L3" s="227"/>
      <c r="M3" s="357"/>
      <c r="N3" s="2776"/>
      <c r="O3" s="235">
        <f>IFERROR(+O4+IF(O5&lt;'BVerfG 1 BvL 5-18'!H8,O2,O5),0)</f>
        <v>0</v>
      </c>
      <c r="P3" s="235">
        <f>IF(Adaequanz_Sondertaste,IFERROR(+P4+IF(P5&lt;'BVerfG 1 BvL 5-18'!I8,P2,P5),0),0)</f>
        <v>0</v>
      </c>
      <c r="Q3" s="235">
        <f>IF(Adaequanz_Sondertaste,IFERROR(+Q4+IF(Q5&lt;'BVerfG 1 BvL 5-18'!J8,Q2,Q5),0),0)</f>
        <v>0</v>
      </c>
      <c r="R3" s="235">
        <f>IF(Adaequanz_Sondertaste,IFERROR(+R4+IF(R5&lt;'BVerfG 1 BvL 5-18'!K8,R2,R5),0),0)</f>
        <v>0</v>
      </c>
      <c r="S3" s="227"/>
      <c r="T3" s="231">
        <f>MAX(U3:X3)</f>
        <v>1</v>
      </c>
      <c r="U3" s="231">
        <f>IF(DRVJa,1,0)</f>
        <v>1</v>
      </c>
      <c r="V3" s="231">
        <f>IF(V2,1,0)</f>
        <v>0</v>
      </c>
      <c r="W3" s="231">
        <f>IF(W2,1,0)</f>
        <v>0</v>
      </c>
      <c r="X3" s="231">
        <f>IF(X2,4,0)</f>
        <v>0</v>
      </c>
    </row>
    <row r="4" spans="1:27" ht="15">
      <c r="A4" s="357"/>
      <c r="B4" s="2772" t="s">
        <v>824</v>
      </c>
      <c r="C4" s="2772"/>
      <c r="D4" s="2772"/>
      <c r="E4" s="2772"/>
      <c r="F4" s="2773"/>
      <c r="H4" s="234">
        <f>+'BVerfG 1 BvL 5-18'!D10</f>
        <v>0</v>
      </c>
      <c r="I4" s="233">
        <f>+'BVerfG 1 BvL 5-18'!E10</f>
        <v>0</v>
      </c>
      <c r="J4" s="233">
        <f>+'BVerfG 1 BvL 5-18'!F10</f>
        <v>0</v>
      </c>
      <c r="K4" s="233">
        <f>+'BVerfG 1 BvL 5-18'!G10</f>
        <v>0</v>
      </c>
      <c r="L4" s="227"/>
      <c r="M4" s="357"/>
      <c r="N4" s="2776"/>
      <c r="O4" s="235">
        <f>IF(Adaequanz_GebDatAglBer=0,0,'BVerfG 1 BvL 5-18'!H10)</f>
        <v>0</v>
      </c>
      <c r="P4" s="235">
        <f>IF(Adaequanz_GebDatAglBer=0,0,'BVerfG 1 BvL 5-18'!I10)</f>
        <v>0</v>
      </c>
      <c r="Q4" s="235">
        <f>IF(Adaequanz_GebDatAglBer=0,0,'BVerfG 1 BvL 5-18'!J10)</f>
        <v>0</v>
      </c>
      <c r="R4" s="235">
        <f>IF(Adaequanz_GebDatAglBer=0,0,'BVerfG 1 BvL 5-18'!K10)</f>
        <v>0</v>
      </c>
      <c r="S4" s="227"/>
      <c r="U4" s="2774">
        <f>+U3+V3+W3</f>
        <v>1</v>
      </c>
      <c r="V4" s="2774"/>
      <c r="W4" s="2774"/>
    </row>
    <row r="5" spans="1:27">
      <c r="A5" s="357"/>
      <c r="B5" s="2772" t="s">
        <v>297</v>
      </c>
      <c r="C5" s="2772"/>
      <c r="D5" s="2772"/>
      <c r="E5" s="2772"/>
      <c r="F5" s="2773"/>
      <c r="H5" s="233">
        <f>+Adaequanz_ReEintrittPfl</f>
        <v>0</v>
      </c>
      <c r="I5" s="233" t="str">
        <f>+'BVerfG 1 BvL 5-18'!E9</f>
        <v/>
      </c>
      <c r="J5" s="233">
        <f>+'BVerfG 1 BvL 5-18'!F9</f>
        <v>0</v>
      </c>
      <c r="K5" s="235">
        <f>+'BVerfG 1 BvL 5-18'!G9</f>
        <v>0</v>
      </c>
      <c r="L5" s="227"/>
      <c r="M5" s="357"/>
      <c r="N5" s="2776"/>
      <c r="O5" s="216">
        <f>IF(Adaequanz_GebDatAglBer=0,0,+'BVerfG 1 BvL 5-18'!H9)</f>
        <v>0</v>
      </c>
      <c r="P5" s="216">
        <f>IF(Adaequanz_GebDatAglBer=0,0,+'BVerfG 1 BvL 5-18'!I9)</f>
        <v>0</v>
      </c>
      <c r="Q5" s="216">
        <f>IF(Adaequanz_GebDatAglBer=0,0,+'BVerfG 1 BvL 5-18'!J9)</f>
        <v>0</v>
      </c>
      <c r="R5" s="216">
        <f>IF(Adaequanz_GebDatAglBer=0,0,+'BVerfG 1 BvL 5-18'!K9)</f>
        <v>0</v>
      </c>
      <c r="S5" s="227"/>
    </row>
    <row r="6" spans="1:27">
      <c r="A6" s="357"/>
      <c r="B6" s="2772" t="s">
        <v>822</v>
      </c>
      <c r="C6" s="2772"/>
      <c r="D6" s="2772"/>
      <c r="E6" s="2772"/>
      <c r="F6" s="2773"/>
      <c r="H6" s="686">
        <f>IF(QVersJa,+Adaequanz_RentePfl,0)</f>
        <v>0</v>
      </c>
      <c r="I6" s="686">
        <f>IFERROR(IF(DRVJa,'BVerfG 1 BvL 5-18'!E12,0)/Adaequanz_Zugangsfaktor,0)</f>
        <v>0</v>
      </c>
      <c r="J6" s="686">
        <f>IF(VersAusglKJa,'BVerfG 1 BvL 5-18'!F12,0)</f>
        <v>0</v>
      </c>
      <c r="K6" s="687">
        <f>IF(VersAusglKJa,'BVerfG 1 BvL 5-18'!G12,0)</f>
        <v>0</v>
      </c>
      <c r="L6" s="227"/>
      <c r="M6" s="357"/>
      <c r="N6" s="2776"/>
      <c r="O6" s="236">
        <f>IF(Adaequanz_GebDatAglBer=0,0,'BVerfG 1 BvL 5-18'!H12)</f>
        <v>0</v>
      </c>
      <c r="P6" s="236">
        <f>IF(Adaequanz_GebDatAglBer=0,0,'BVerfG 1 BvL 5-18'!I11)</f>
        <v>0</v>
      </c>
      <c r="Q6" s="236">
        <f>IF(Adaequanz_GebDatAglBer=0,0,'BVerfG 1 BvL 5-18'!J12)</f>
        <v>0</v>
      </c>
      <c r="R6" s="236">
        <f>IF(Adaequanz_GebDatAglBer=0,0,'BVerfG 1 BvL 5-18'!K12)</f>
        <v>0</v>
      </c>
      <c r="S6" s="227"/>
      <c r="Y6" s="231" t="s">
        <v>309</v>
      </c>
      <c r="Z6" s="231" t="s">
        <v>310</v>
      </c>
      <c r="AA6" s="231" t="s">
        <v>311</v>
      </c>
    </row>
    <row r="7" spans="1:27">
      <c r="A7" s="357"/>
      <c r="B7" s="2772" t="s">
        <v>266</v>
      </c>
      <c r="C7" s="2772"/>
      <c r="D7" s="2772"/>
      <c r="E7" s="2772"/>
      <c r="F7" s="2773"/>
      <c r="H7" s="237">
        <f>+Adaequanz_ADynPfl</f>
        <v>0</v>
      </c>
      <c r="I7" s="237">
        <f>'BVerfG 1 BvL 5-18'!E13</f>
        <v>2.5999999999999999E-2</v>
      </c>
      <c r="J7" s="237">
        <f>'BVerfG 1 BvL 5-18'!F13</f>
        <v>0.01</v>
      </c>
      <c r="K7" s="238">
        <f>'BVerfG 1 BvL 5-18'!G13</f>
        <v>0</v>
      </c>
      <c r="L7" s="227"/>
      <c r="M7" s="357"/>
      <c r="N7" s="2776"/>
      <c r="O7" s="238">
        <f>+'BVerfG 1 BvL 5-18'!H13</f>
        <v>2.5999999999999999E-2</v>
      </c>
      <c r="P7" s="238">
        <f>+'BVerfG 1 BvL 5-18'!I13</f>
        <v>0</v>
      </c>
      <c r="Q7" s="238">
        <f>+'BVerfG 1 BvL 5-18'!J13</f>
        <v>0</v>
      </c>
      <c r="R7" s="238">
        <f>+'BVerfG 1 BvL 5-18'!K13</f>
        <v>0</v>
      </c>
      <c r="S7" s="227"/>
      <c r="Y7" s="231">
        <f>1-Redifferenz</f>
        <v>0.89200000000000002</v>
      </c>
      <c r="Z7" s="231"/>
      <c r="AA7" s="231"/>
    </row>
    <row r="8" spans="1:27">
      <c r="A8" s="357"/>
      <c r="B8" s="2772" t="s">
        <v>265</v>
      </c>
      <c r="C8" s="2772"/>
      <c r="D8" s="2772"/>
      <c r="E8" s="2772"/>
      <c r="F8" s="2773"/>
      <c r="H8" s="233" t="str">
        <f>+'BVerfG 1 BvL 5-18'!D11</f>
        <v/>
      </c>
      <c r="I8" s="233" t="str">
        <f>+'BVerfG 1 BvL 5-18'!E11</f>
        <v/>
      </c>
      <c r="J8" s="233" t="str">
        <f>+'BVerfG 1 BvL 5-18'!F11</f>
        <v/>
      </c>
      <c r="K8" s="235" t="str">
        <f>+'BVerfG 1 BvL 5-18'!G11</f>
        <v/>
      </c>
      <c r="L8" s="227"/>
      <c r="M8" s="357"/>
      <c r="N8" s="2776"/>
      <c r="O8" s="235" t="str">
        <f>+'BVerfG 1 BvL 5-18'!H11</f>
        <v/>
      </c>
      <c r="P8" s="235">
        <f>+'BVerfG 1 BvL 5-18'!I10</f>
        <v>0</v>
      </c>
      <c r="Q8" s="235" t="str">
        <f>+'BVerfG 1 BvL 5-18'!J11</f>
        <v/>
      </c>
      <c r="R8" s="235" t="str">
        <f>+'BVerfG 1 BvL 5-18'!K11</f>
        <v/>
      </c>
      <c r="S8" s="227"/>
      <c r="Y8" s="231">
        <f>IF(Y9*0.3%&gt;0.108,0.108,Y9*0.3%)</f>
        <v>0.108</v>
      </c>
      <c r="Z8" s="231"/>
      <c r="AA8" s="231"/>
    </row>
    <row r="9" spans="1:27">
      <c r="A9" s="357"/>
      <c r="B9" s="2772" t="s">
        <v>267</v>
      </c>
      <c r="C9" s="2772"/>
      <c r="D9" s="2772"/>
      <c r="E9" s="2772"/>
      <c r="F9" s="2773"/>
      <c r="H9" s="237">
        <f>+Adaequanz_LDynPfl</f>
        <v>0</v>
      </c>
      <c r="I9" s="237">
        <f>'BVerfG 1 BvL 5-18'!E14</f>
        <v>2.5999999999999999E-2</v>
      </c>
      <c r="J9" s="237">
        <f>'BVerfG 1 BvL 5-18'!F14</f>
        <v>0.01</v>
      </c>
      <c r="K9" s="238">
        <f>'BVerfG 1 BvL 5-18'!G14</f>
        <v>0</v>
      </c>
      <c r="L9" s="227"/>
      <c r="M9" s="357"/>
      <c r="N9" s="2776"/>
      <c r="O9" s="238">
        <f>+'BVerfG 1 BvL 5-18'!H14</f>
        <v>2.5999999999999999E-2</v>
      </c>
      <c r="P9" s="238">
        <f>+'BVerfG 1 BvL 5-18'!I14</f>
        <v>0</v>
      </c>
      <c r="Q9" s="238">
        <f>+'BVerfG 1 BvL 5-18'!J14</f>
        <v>0</v>
      </c>
      <c r="R9" s="238">
        <f>+'BVerfG 1 BvL 5-18'!K14</f>
        <v>0</v>
      </c>
      <c r="S9" s="227"/>
      <c r="T9" s="259"/>
      <c r="Y9" s="253">
        <f>(Z15-AA15)*12</f>
        <v>780</v>
      </c>
      <c r="Z9" s="231"/>
      <c r="AA9" s="231"/>
    </row>
    <row r="10" spans="1:27" ht="15">
      <c r="A10" s="357"/>
      <c r="B10" s="2772" t="s">
        <v>824</v>
      </c>
      <c r="C10" s="2772"/>
      <c r="D10" s="2772"/>
      <c r="E10" s="2772"/>
      <c r="F10" s="2773"/>
      <c r="H10" s="234">
        <f>IFERROR(ROUND(+'BVerfG 1 BvL 5-18'!D10,2),0)</f>
        <v>0</v>
      </c>
      <c r="I10" s="234">
        <f>+'BVerfG 1 BvL 5-18'!E10</f>
        <v>0</v>
      </c>
      <c r="J10" s="234">
        <f>+'BVerfG 1 BvL 5-18'!F10</f>
        <v>0</v>
      </c>
      <c r="K10" s="239">
        <f>+'BVerfG 1 BvL 5-18'!G10</f>
        <v>0</v>
      </c>
      <c r="L10" s="227"/>
      <c r="M10" s="357"/>
      <c r="N10" s="2776"/>
      <c r="O10" s="239">
        <f>+O4</f>
        <v>0</v>
      </c>
      <c r="P10" s="239">
        <f>+P4</f>
        <v>0</v>
      </c>
      <c r="Q10" s="239">
        <f>+Q4</f>
        <v>0</v>
      </c>
      <c r="R10" s="239">
        <f>+R4</f>
        <v>0</v>
      </c>
      <c r="S10" s="227"/>
      <c r="X10" s="231" t="s">
        <v>384</v>
      </c>
      <c r="Z10" s="253">
        <f>O10-INT(O10)</f>
        <v>0</v>
      </c>
    </row>
    <row r="11" spans="1:27" ht="15">
      <c r="A11" s="357"/>
      <c r="B11" s="2772" t="s">
        <v>825</v>
      </c>
      <c r="C11" s="2772"/>
      <c r="D11" s="2772"/>
      <c r="E11" s="2772"/>
      <c r="F11" s="2773"/>
      <c r="H11" s="237">
        <f>+'BVerfG 1 BvL 5-18'!D19</f>
        <v>0</v>
      </c>
      <c r="I11" s="237">
        <f>+'BVerfG 1 BvL 5-18'!E19</f>
        <v>0</v>
      </c>
      <c r="J11" s="237">
        <f>+'BVerfG 1 BvL 5-18'!F19</f>
        <v>0</v>
      </c>
      <c r="K11" s="238" t="str">
        <f>+'BVerfG 1 BvL 5-18'!G19</f>
        <v/>
      </c>
      <c r="L11" s="227"/>
      <c r="M11" s="357"/>
      <c r="N11" s="2776"/>
      <c r="O11" s="238">
        <f>IF(Adaequanz_GebDatAglBer=0,0,+'BVerfG 1 BvL 5-18'!H19)</f>
        <v>0</v>
      </c>
      <c r="P11" s="238">
        <f>IF(Adaequanz_GebDatAglBer=0,0,+'BVerfG 1 BvL 5-18'!I18)</f>
        <v>0</v>
      </c>
      <c r="Q11" s="238">
        <f>IF(Adaequanz_GebDatAglBer=0,0,+'BVerfG 1 BvL 5-18'!J19)</f>
        <v>0</v>
      </c>
      <c r="R11" s="238">
        <f>IF(Adaequanz_GebDatAglBer=0,0,+'BVerfG 1 BvL 5-18'!K19)</f>
        <v>0</v>
      </c>
      <c r="S11" s="227"/>
      <c r="U11" s="231">
        <f>(1+P$9)^(IF(M18-P$5&gt;0,M18-P$5,1))</f>
        <v>1</v>
      </c>
      <c r="X11" s="246">
        <f>ROUND(B18-1,0)</f>
        <v>-1</v>
      </c>
      <c r="Y11" s="490">
        <f>ROUND(M18-1,0)</f>
        <v>-1</v>
      </c>
      <c r="Z11" s="231"/>
      <c r="AA11" s="231"/>
    </row>
    <row r="12" spans="1:27" ht="15" thickBot="1">
      <c r="A12" s="357"/>
      <c r="B12" s="2780" t="str">
        <f>"Rente im ReAlter bzw. im EzE "&amp;IF(DifferenzfaktorDRV&lt;1,"ggfls. bei DRV Rentenabschlag wg. vorz. Bezugs, § 77 SGB VI","")</f>
        <v>Rente im ReAlter bzw. im EzE ggfls. bei DRV Rentenabschlag wg. vorz. Bezugs, § 77 SGB VI</v>
      </c>
      <c r="C12" s="2780"/>
      <c r="D12" s="2780"/>
      <c r="E12" s="2780"/>
      <c r="F12" s="2781"/>
      <c r="H12" s="240" t="str">
        <f>IF(QVersJa,'BVerfG 1 BvL 5-18'!D15,0)</f>
        <v/>
      </c>
      <c r="I12" s="240">
        <f>IFERROR(ROUND(+I6*Adaequanz_Zugangsfaktor*(1+I7)^I8,2),0)</f>
        <v>0</v>
      </c>
      <c r="J12" s="240">
        <f>IF('BVerfG 1 BvL 5-18'!F15=0,0,IF(VersAusglKJa,'BVerfG 1 BvL 5-18'!F15,0))</f>
        <v>0</v>
      </c>
      <c r="K12" s="241">
        <f>IFERROR(ROUND(IF(SonstJa,'BVerfG 1 BvL 5-18'!G15,0),2),"")</f>
        <v>0</v>
      </c>
      <c r="L12" s="227"/>
      <c r="M12" s="357"/>
      <c r="N12" s="2776"/>
      <c r="O12" s="241">
        <f>IF(Adaequanz_GebDatAglBer=0,0,'BVerfG 1 BvL 5-18'!H15)</f>
        <v>0</v>
      </c>
      <c r="P12" s="241">
        <f>IF(Adaequanz_GebDatAglBer=0,0,'BVerfG 1 BvL 5-18'!I15)</f>
        <v>0</v>
      </c>
      <c r="Q12" s="241">
        <f>IF(Adaequanz_GebDatAglBer=0,0,'BVerfG 1 BvL 5-18'!J15)</f>
        <v>0</v>
      </c>
      <c r="R12" s="241">
        <f>IF(Adaequanz_GebDatAglBer=0,0,'BVerfG 1 BvL 5-18'!K15)</f>
        <v>0</v>
      </c>
      <c r="S12" s="227"/>
      <c r="U12" s="476">
        <f>P$12*(1+P$7)^P$8</f>
        <v>0</v>
      </c>
      <c r="X12" s="350">
        <f>ROUND(M18-1,0)</f>
        <v>-1</v>
      </c>
      <c r="Y12" s="251"/>
      <c r="Z12" s="251"/>
      <c r="AA12" s="251"/>
    </row>
    <row r="13" spans="1:27" ht="38.65" customHeight="1" thickTop="1" thickBot="1">
      <c r="A13" s="357"/>
      <c r="B13" s="2777"/>
      <c r="C13" s="2777"/>
      <c r="D13" s="2777"/>
      <c r="E13" s="2777"/>
      <c r="F13" s="2777"/>
      <c r="G13" s="242"/>
      <c r="H13" s="270">
        <f>SUM(H17:H93)</f>
        <v>0</v>
      </c>
      <c r="I13" s="270" t="e">
        <f>SUM(I18:I94)</f>
        <v>#VALUE!</v>
      </c>
      <c r="J13" s="270">
        <f>SUM(J18:J94)</f>
        <v>0</v>
      </c>
      <c r="K13" s="270">
        <f>SUM(K18:K94)</f>
        <v>0</v>
      </c>
      <c r="L13" s="227"/>
      <c r="M13" s="357"/>
      <c r="N13" s="2776"/>
      <c r="O13" s="343">
        <f>SUM(O18:O93)</f>
        <v>0</v>
      </c>
      <c r="P13" s="343">
        <f>SUM(P18:P93)</f>
        <v>0</v>
      </c>
      <c r="Q13" s="343">
        <f>SUM(Q18:Q93)</f>
        <v>0</v>
      </c>
      <c r="R13" s="343">
        <f>SUM(R18:R93)</f>
        <v>0</v>
      </c>
      <c r="S13" s="227"/>
      <c r="U13" s="476">
        <f>P$12*(1+P$7)^P$8</f>
        <v>0</v>
      </c>
      <c r="X13" s="231" t="s">
        <v>298</v>
      </c>
      <c r="Y13" s="253">
        <f>H10-INT(H10)</f>
        <v>0</v>
      </c>
      <c r="Z13" s="253">
        <f>I10-INT(I10)</f>
        <v>0</v>
      </c>
      <c r="AA13" s="231"/>
    </row>
    <row r="14" spans="1:27" ht="15.75" thickBot="1">
      <c r="A14" s="357"/>
      <c r="B14" s="231"/>
      <c r="E14" s="2771" t="s">
        <v>857</v>
      </c>
      <c r="F14" s="2771"/>
      <c r="G14" s="2771"/>
      <c r="H14" s="2771"/>
      <c r="L14" s="227"/>
      <c r="M14" s="357"/>
      <c r="N14" s="2757" t="s">
        <v>387</v>
      </c>
      <c r="O14" s="2758"/>
      <c r="P14" s="690"/>
      <c r="Q14" s="690"/>
      <c r="R14" s="685"/>
      <c r="S14" s="227"/>
      <c r="U14" s="253">
        <f>(1+P$9)^(M18-P$5)</f>
        <v>1</v>
      </c>
      <c r="X14" s="231" t="s">
        <v>390</v>
      </c>
      <c r="Y14" s="253">
        <f>O10-INT(O10)</f>
        <v>0</v>
      </c>
      <c r="Z14" s="231"/>
      <c r="AA14" s="231"/>
    </row>
    <row r="15" spans="1:27" ht="31.5" customHeight="1">
      <c r="A15" s="357"/>
      <c r="B15" s="2766" t="s">
        <v>307</v>
      </c>
      <c r="C15" s="2764" t="s">
        <v>304</v>
      </c>
      <c r="D15" s="2764"/>
      <c r="E15" s="2764"/>
      <c r="F15" s="2765"/>
      <c r="G15" s="243"/>
      <c r="H15" s="2761" t="s">
        <v>305</v>
      </c>
      <c r="I15" s="2762"/>
      <c r="J15" s="2762"/>
      <c r="K15" s="2763"/>
      <c r="L15" s="227"/>
      <c r="M15" s="357"/>
      <c r="N15" s="2759"/>
      <c r="O15" s="2760"/>
      <c r="P15" s="690"/>
      <c r="Q15" s="690"/>
      <c r="R15" s="685"/>
      <c r="S15" s="227"/>
      <c r="U15" s="2756" t="s">
        <v>820</v>
      </c>
      <c r="V15" s="2756"/>
      <c r="W15" s="2756"/>
      <c r="X15" s="231" t="s">
        <v>308</v>
      </c>
      <c r="Z15" s="231">
        <f>Adaequanz_Renteneintritt</f>
        <v>65</v>
      </c>
      <c r="AA15" s="253">
        <f>IF('BVerfG 1 BvL 5-18'!E9="",0,'BVerfG 1 BvL 5-18'!E9)</f>
        <v>0</v>
      </c>
    </row>
    <row r="16" spans="1:27" ht="61.9" customHeight="1">
      <c r="A16" s="357"/>
      <c r="B16" s="2767"/>
      <c r="C16" s="425" t="str">
        <f>+'BVerfG 1 BvL 5-18'!$D$3</f>
        <v>Quell-Versorgung</v>
      </c>
      <c r="D16" s="425" t="str">
        <f>+'BVerfG 1 BvL 5-18'!$E$3</f>
        <v>DRV
 aus 0 €</v>
      </c>
      <c r="E16" s="425" t="str">
        <f>+'BVerfG 1 BvL 5-18'!$F$3</f>
        <v>VerAusglK</v>
      </c>
      <c r="F16" s="244" t="str">
        <f>+'BVerfG 1 BvL 5-18'!$G$3</f>
        <v>Sonstige Versorgung</v>
      </c>
      <c r="H16" s="245" t="str">
        <f>+C16</f>
        <v>Quell-Versorgung</v>
      </c>
      <c r="I16" s="425" t="str">
        <f>+D16</f>
        <v>DRV
 aus 0 €</v>
      </c>
      <c r="J16" s="425" t="str">
        <f>+E16</f>
        <v>VerAusglK</v>
      </c>
      <c r="K16" s="244" t="str">
        <f>+F16</f>
        <v>Sonstige Versorgung</v>
      </c>
      <c r="L16" s="227"/>
      <c r="M16" s="656" t="s">
        <v>821</v>
      </c>
      <c r="N16" s="346" t="s">
        <v>385</v>
      </c>
      <c r="O16" s="347" t="s">
        <v>386</v>
      </c>
      <c r="P16" s="2768"/>
      <c r="Q16" s="2769"/>
      <c r="R16" s="2770"/>
      <c r="S16" s="227"/>
      <c r="T16" s="231" t="s">
        <v>143</v>
      </c>
    </row>
    <row r="17" spans="1:23" s="251" customFormat="1" ht="28.35" hidden="1" customHeight="1">
      <c r="A17" s="344"/>
      <c r="B17" s="248" t="s">
        <v>7</v>
      </c>
      <c r="C17" s="249" t="s">
        <v>299</v>
      </c>
      <c r="D17" s="249" t="s">
        <v>300</v>
      </c>
      <c r="E17" s="249" t="s">
        <v>301</v>
      </c>
      <c r="F17" s="250" t="s">
        <v>302</v>
      </c>
      <c r="H17" s="428"/>
      <c r="I17" s="427"/>
      <c r="J17" s="427"/>
      <c r="K17" s="429"/>
      <c r="L17" s="247"/>
      <c r="M17" s="344">
        <f>+O2-1</f>
        <v>-1</v>
      </c>
      <c r="N17" s="344"/>
      <c r="O17" s="345"/>
      <c r="P17" s="247"/>
      <c r="Q17" s="247"/>
      <c r="R17" s="345"/>
      <c r="S17" s="247"/>
    </row>
    <row r="18" spans="1:23">
      <c r="A18" s="357"/>
      <c r="B18" s="252">
        <f>IFERROR(ROUNDDOWN(IF(H2&lt;&gt;"",H2),0),0)</f>
        <v>0</v>
      </c>
      <c r="C18" s="461">
        <f t="shared" ref="C18:C49" si="0">IFERROR(IF(QuellVersrg,IF($B18&lt;INT(H$5),0,IF($B18=INT(H$2),H$12,IF($B18&gt;INT(H$2),H$12*(1+H$9)^(IF($B18-H$5&lt;=0,0,$B18-IF(H$5&lt;H$2,H$2,H$5))),0))),0),0)</f>
        <v>0</v>
      </c>
      <c r="D18" s="461">
        <f t="shared" ref="D18:D49" si="1">IFERROR(IF(DRVPfl,IF($B18&lt;INT(I$5),0,IF($B18=INT(I$2),I$12,IF($B18&gt;INT(I$2),I$12*(1+I$9)^(IF($B18-I$5&lt;=0,0,$B18-IF(I$5&lt;I$2,I$2,I$5))),0))),0),0)</f>
        <v>0</v>
      </c>
      <c r="E18" s="461">
        <f t="shared" ref="E18:E49" si="2">IFERROR(IF(VersAusglKPfl,IF($B18&lt;INT(J$5),0,IF($B18=INT(J$2),J$12,IF($B18&gt;INT(J$2),J$12*(1+J$9)^(IF($B18-J$5&lt;=0,0,$B18-IF(J$5&lt;J$2,J$2,J$5))),0))),0),0)</f>
        <v>0</v>
      </c>
      <c r="F18" s="461">
        <f t="shared" ref="F18:F49" si="3">IFERROR(IF(SonstPfl,IF($B18&lt;INT(K$5),0,IF($B18=INT(K$2),K$12,IF($B18&gt;INT(K$2),K$12*(1+K$9)^(IF($B18-K$5&lt;=0,0,$B18-IF(K$5&lt;K$2,K$2,K$5))),0))),0),0)</f>
        <v>0</v>
      </c>
      <c r="G18" s="251"/>
      <c r="H18" s="462">
        <f t="shared" ref="H18:H49" si="4">C18*12*IF(AND(INT(H$5)=B18,H$5&gt;INT(H$5)),1-(H$5-INT(H$5)),1)</f>
        <v>0</v>
      </c>
      <c r="I18" s="462" t="e">
        <f t="shared" ref="I18:I49" si="5">D18*12*IF(AND(INT(I$5)=$B18,I$5&gt;INT(I$5)),1-(I$5-INT(I$5)),1)</f>
        <v>#VALUE!</v>
      </c>
      <c r="J18" s="462">
        <f t="shared" ref="J18:J49" si="6">E18*12*IF(AND(INT(J$5)=$B18,J$5&gt;INT(J$5)),1-(J$5-INT(J$5)),1)</f>
        <v>0</v>
      </c>
      <c r="K18" s="462">
        <f t="shared" ref="K18:K49" si="7">F18*12*IF(AND(INT(K$5)=$B18,K$5&gt;INT(K$5)),1-(K$5-INT(K$5)),1)</f>
        <v>0</v>
      </c>
      <c r="L18" s="657"/>
      <c r="M18" s="691">
        <f>IF(DRVAusglBerJa,IFERROR(ROUNDDOWN(IF(O$2&lt;&gt;"",O$2),0),0),0)</f>
        <v>0</v>
      </c>
      <c r="N18" s="462">
        <f t="shared" ref="N18:N49" si="8">IFERROR(IF(AND(VersBer,DRVAusglBerJa),IF($M18&lt;INT(O$5),0,IF($M18=INT(O$2),O$12,IF($M18&gt;INT(O$2),O$12*(1+O$9)^(IF($M18-O$5&lt;=0,0,$M18-IF(O$5&lt;O$2,O$2,O$5))),0))),0),0)</f>
        <v>0</v>
      </c>
      <c r="O18" s="462">
        <f t="shared" ref="O18:O25" si="9">N18*12*IF(AND(INT(O$5)=$M18,O$5&gt;INT(O$5)),(1-(O$5-INT(O$5))),1)</f>
        <v>0</v>
      </c>
      <c r="P18" s="462">
        <f t="shared" ref="P18:Q37" si="10">IFERROR(IF(VersBer,IF($M18&lt;INT(P$5),0,IF($M18=INT(P$2),P$12,IF($M18&gt;INT(P$2),P$12*(1+P$9)^(IF($M18-P$5&lt;=0,0,$M18-IF(P$5&lt;P$2,P$2,P$5))),0))),0),0)</f>
        <v>0</v>
      </c>
      <c r="Q18" s="462">
        <f t="shared" si="10"/>
        <v>0</v>
      </c>
      <c r="R18" s="462">
        <f>IFERROR(IF(VerBer,IF($M18&lt;INT(R$5),0,IF($M18=INT(R$2),R$12,IF($M18&gt;INT(R$2),R$12*(1+R$9)^(IF($M18-R$5&lt;=0,0,$M18-IF(R$5&lt;R$2,R$2,R$5))),0))),0),0)</f>
        <v>0</v>
      </c>
      <c r="S18" s="227"/>
      <c r="U18" s="476">
        <f t="shared" ref="U18:U28" si="11">+P18*12*IF(AND(INT(P$5)=$M18,P$5&gt;INT(P$5)),1-(P$5-INT(P$5)),1)</f>
        <v>0</v>
      </c>
      <c r="V18" s="476">
        <f>+Q18*12*IF(AND(INT(Q$5)=$M18,Q$5&gt;INT(Q$5)),1-(Q$5-INT(Q$5)),1)</f>
        <v>0</v>
      </c>
      <c r="W18" s="476">
        <f>+R18*12*IF(AND(INT(R$5)=$M18,R$5&gt;INT(R$5)),1-(R$5-INT(R$5)),1)</f>
        <v>0</v>
      </c>
    </row>
    <row r="19" spans="1:23">
      <c r="A19" s="357"/>
      <c r="B19" s="252" t="str">
        <f t="shared" ref="B19:B50" si="12">IFERROR(IF(B18+1&lt;IF(Endalter=0,EndalterDRV,Endalter),B18+1,""),"")</f>
        <v/>
      </c>
      <c r="C19" s="461">
        <f t="shared" si="0"/>
        <v>0</v>
      </c>
      <c r="D19" s="461">
        <f t="shared" si="1"/>
        <v>0</v>
      </c>
      <c r="E19" s="461">
        <f t="shared" si="2"/>
        <v>0</v>
      </c>
      <c r="F19" s="461">
        <f t="shared" si="3"/>
        <v>0</v>
      </c>
      <c r="G19" s="251"/>
      <c r="H19" s="463">
        <f t="shared" si="4"/>
        <v>0</v>
      </c>
      <c r="I19" s="463" t="e">
        <f t="shared" si="5"/>
        <v>#VALUE!</v>
      </c>
      <c r="J19" s="463">
        <f t="shared" si="6"/>
        <v>0</v>
      </c>
      <c r="K19" s="463">
        <f t="shared" si="7"/>
        <v>0</v>
      </c>
      <c r="L19" s="658"/>
      <c r="M19" s="693" t="str">
        <f>IFERROR(IF(M18+1&lt;O$3,M18+1,""),"")</f>
        <v/>
      </c>
      <c r="N19" s="463">
        <f t="shared" si="8"/>
        <v>0</v>
      </c>
      <c r="O19" s="463">
        <f t="shared" si="9"/>
        <v>0</v>
      </c>
      <c r="P19" s="463">
        <f t="shared" si="10"/>
        <v>0</v>
      </c>
      <c r="Q19" s="463">
        <f t="shared" si="10"/>
        <v>0</v>
      </c>
      <c r="R19" s="463">
        <f>IFERROR(IF(VerBer,IF($M19&lt;INT(R$5),0,IF($M19=INT(R$2),R$12,IF($M19&gt;INT(R$2),R$12*(1+R$9)^(IF($M19-R$5&lt;=0,0,$M19-IF(R$5&lt;R$2,R$2,R$5))),0))),0),0)</f>
        <v>0</v>
      </c>
      <c r="S19" s="227"/>
      <c r="U19" s="476">
        <f t="shared" si="11"/>
        <v>0</v>
      </c>
      <c r="V19" s="476">
        <f t="shared" ref="V19:V82" si="13">+Q19*12*IF(AND(INT(Q$5)=$M19,Q$5&gt;INT(Q$5)),1-(Q$5-INT(Q$5)),1)</f>
        <v>0</v>
      </c>
      <c r="W19" s="476">
        <f t="shared" ref="W19:W82" si="14">+R19*12*IF(AND(INT(R$5)=$M19,R$5&gt;INT(R$5)),1-(R$5-INT(R$5)),1)</f>
        <v>0</v>
      </c>
    </row>
    <row r="20" spans="1:23">
      <c r="A20" s="357"/>
      <c r="B20" s="252" t="str">
        <f t="shared" si="12"/>
        <v/>
      </c>
      <c r="C20" s="461">
        <f t="shared" si="0"/>
        <v>0</v>
      </c>
      <c r="D20" s="461">
        <f t="shared" si="1"/>
        <v>0</v>
      </c>
      <c r="E20" s="461">
        <f t="shared" si="2"/>
        <v>0</v>
      </c>
      <c r="F20" s="461">
        <f t="shared" si="3"/>
        <v>0</v>
      </c>
      <c r="G20" s="251"/>
      <c r="H20" s="462">
        <f t="shared" si="4"/>
        <v>0</v>
      </c>
      <c r="I20" s="462" t="e">
        <f t="shared" si="5"/>
        <v>#VALUE!</v>
      </c>
      <c r="J20" s="462">
        <f t="shared" si="6"/>
        <v>0</v>
      </c>
      <c r="K20" s="462">
        <f t="shared" si="7"/>
        <v>0</v>
      </c>
      <c r="L20" s="657"/>
      <c r="M20" s="691" t="str">
        <f t="shared" ref="M20:M83" si="15">IFERROR(IF(M19+1&lt;O$3,M19+1,""),"")</f>
        <v/>
      </c>
      <c r="N20" s="462">
        <f t="shared" si="8"/>
        <v>0</v>
      </c>
      <c r="O20" s="462">
        <f t="shared" si="9"/>
        <v>0</v>
      </c>
      <c r="P20" s="462">
        <f t="shared" si="10"/>
        <v>0</v>
      </c>
      <c r="Q20" s="462">
        <f t="shared" si="10"/>
        <v>0</v>
      </c>
      <c r="R20" s="462">
        <f>IFERROR(IF(VerBer,IF($M20&lt;INT(R$5),0,IF($M20=INT(R$2),R$12,IF($M20&gt;INT(R$2),R$12*(1+R$9)^(IF($M20-R$5&lt;=0,0,$M20-IF(R$5&lt;R$2,R$2,R$5))),0))),0),0)</f>
        <v>0</v>
      </c>
      <c r="S20" s="227"/>
      <c r="U20" s="476">
        <f t="shared" si="11"/>
        <v>0</v>
      </c>
      <c r="V20" s="476">
        <f t="shared" si="13"/>
        <v>0</v>
      </c>
      <c r="W20" s="476">
        <f t="shared" si="14"/>
        <v>0</v>
      </c>
    </row>
    <row r="21" spans="1:23">
      <c r="A21" s="357"/>
      <c r="B21" s="252" t="str">
        <f t="shared" si="12"/>
        <v/>
      </c>
      <c r="C21" s="461">
        <f t="shared" si="0"/>
        <v>0</v>
      </c>
      <c r="D21" s="461">
        <f t="shared" si="1"/>
        <v>0</v>
      </c>
      <c r="E21" s="461">
        <f t="shared" si="2"/>
        <v>0</v>
      </c>
      <c r="F21" s="461">
        <f t="shared" si="3"/>
        <v>0</v>
      </c>
      <c r="G21" s="251"/>
      <c r="H21" s="463">
        <f t="shared" si="4"/>
        <v>0</v>
      </c>
      <c r="I21" s="463" t="e">
        <f t="shared" si="5"/>
        <v>#VALUE!</v>
      </c>
      <c r="J21" s="463">
        <f t="shared" si="6"/>
        <v>0</v>
      </c>
      <c r="K21" s="463">
        <f t="shared" si="7"/>
        <v>0</v>
      </c>
      <c r="L21" s="658"/>
      <c r="M21" s="693" t="str">
        <f t="shared" si="15"/>
        <v/>
      </c>
      <c r="N21" s="463">
        <f t="shared" si="8"/>
        <v>0</v>
      </c>
      <c r="O21" s="463">
        <f t="shared" si="9"/>
        <v>0</v>
      </c>
      <c r="P21" s="463">
        <f t="shared" si="10"/>
        <v>0</v>
      </c>
      <c r="Q21" s="463">
        <f t="shared" si="10"/>
        <v>0</v>
      </c>
      <c r="R21" s="463">
        <f>IFERROR(IF(VerBer,IF($M21&lt;INT(R$5),0,IF($M21=INT(R$2),R$12,IF($M21&gt;INT(R$2),R$12*(1+R$9)^(IF($M21-R$5&lt;=0,0,$M21-IF(R$5&lt;R$2,R$2,R$5))),0))),0),0)</f>
        <v>0</v>
      </c>
      <c r="S21" s="227"/>
      <c r="U21" s="476">
        <f t="shared" si="11"/>
        <v>0</v>
      </c>
      <c r="V21" s="476">
        <f t="shared" si="13"/>
        <v>0</v>
      </c>
      <c r="W21" s="476">
        <f t="shared" si="14"/>
        <v>0</v>
      </c>
    </row>
    <row r="22" spans="1:23">
      <c r="A22" s="357"/>
      <c r="B22" s="252" t="str">
        <f t="shared" si="12"/>
        <v/>
      </c>
      <c r="C22" s="461">
        <f t="shared" si="0"/>
        <v>0</v>
      </c>
      <c r="D22" s="461">
        <f t="shared" si="1"/>
        <v>0</v>
      </c>
      <c r="E22" s="461">
        <f t="shared" si="2"/>
        <v>0</v>
      </c>
      <c r="F22" s="461">
        <f t="shared" si="3"/>
        <v>0</v>
      </c>
      <c r="G22" s="251"/>
      <c r="H22" s="462">
        <f t="shared" si="4"/>
        <v>0</v>
      </c>
      <c r="I22" s="462" t="e">
        <f t="shared" si="5"/>
        <v>#VALUE!</v>
      </c>
      <c r="J22" s="462">
        <f t="shared" si="6"/>
        <v>0</v>
      </c>
      <c r="K22" s="462">
        <f t="shared" si="7"/>
        <v>0</v>
      </c>
      <c r="L22" s="657"/>
      <c r="M22" s="691" t="str">
        <f t="shared" si="15"/>
        <v/>
      </c>
      <c r="N22" s="462">
        <f t="shared" si="8"/>
        <v>0</v>
      </c>
      <c r="O22" s="462">
        <f t="shared" si="9"/>
        <v>0</v>
      </c>
      <c r="P22" s="462">
        <f t="shared" si="10"/>
        <v>0</v>
      </c>
      <c r="Q22" s="462">
        <f t="shared" si="10"/>
        <v>0</v>
      </c>
      <c r="R22" s="462">
        <f>IFERROR(IF(VerBer,IF($M22&lt;INT(R$5),0,IF($M22=INT(R$2),R$12,IF($M22&gt;INT(R$2),R$12*(1+R$9)^(IF($M22-R$5&lt;=0,0,$M22-IF(R$5&lt;R$2,R$2,R$5))),0))),0),0)</f>
        <v>0</v>
      </c>
      <c r="S22" s="227"/>
      <c r="U22" s="476">
        <f t="shared" si="11"/>
        <v>0</v>
      </c>
      <c r="V22" s="476">
        <f t="shared" si="13"/>
        <v>0</v>
      </c>
      <c r="W22" s="476">
        <f t="shared" si="14"/>
        <v>0</v>
      </c>
    </row>
    <row r="23" spans="1:23">
      <c r="A23" s="357"/>
      <c r="B23" s="252" t="str">
        <f t="shared" si="12"/>
        <v/>
      </c>
      <c r="C23" s="461">
        <f t="shared" si="0"/>
        <v>0</v>
      </c>
      <c r="D23" s="461">
        <f t="shared" si="1"/>
        <v>0</v>
      </c>
      <c r="E23" s="461">
        <f t="shared" si="2"/>
        <v>0</v>
      </c>
      <c r="F23" s="461">
        <f t="shared" si="3"/>
        <v>0</v>
      </c>
      <c r="G23" s="251"/>
      <c r="H23" s="463">
        <f t="shared" si="4"/>
        <v>0</v>
      </c>
      <c r="I23" s="463" t="e">
        <f t="shared" si="5"/>
        <v>#VALUE!</v>
      </c>
      <c r="J23" s="463">
        <f t="shared" si="6"/>
        <v>0</v>
      </c>
      <c r="K23" s="463">
        <f t="shared" si="7"/>
        <v>0</v>
      </c>
      <c r="L23" s="658"/>
      <c r="M23" s="693" t="str">
        <f t="shared" si="15"/>
        <v/>
      </c>
      <c r="N23" s="463">
        <f t="shared" si="8"/>
        <v>0</v>
      </c>
      <c r="O23" s="463">
        <f t="shared" si="9"/>
        <v>0</v>
      </c>
      <c r="P23" s="463">
        <f t="shared" si="10"/>
        <v>0</v>
      </c>
      <c r="Q23" s="463">
        <f t="shared" si="10"/>
        <v>0</v>
      </c>
      <c r="R23" s="463">
        <f>IFERROR(IF(VerBer,IF($M23&lt;INT(R$5),0,IF($M23=INT(R$2),R$12,IF($M23&gt;INT(R$2),R$12*(1+R$9)^(IF($M23-R$5&lt;=0,0,$M23-IF(R$5&lt;R$2,R$2,R$5))),0))),0),0)</f>
        <v>0</v>
      </c>
      <c r="S23" s="227"/>
      <c r="U23" s="476">
        <f t="shared" si="11"/>
        <v>0</v>
      </c>
      <c r="V23" s="476">
        <f t="shared" si="13"/>
        <v>0</v>
      </c>
      <c r="W23" s="476">
        <f t="shared" si="14"/>
        <v>0</v>
      </c>
    </row>
    <row r="24" spans="1:23">
      <c r="A24" s="357"/>
      <c r="B24" s="252" t="str">
        <f t="shared" si="12"/>
        <v/>
      </c>
      <c r="C24" s="461">
        <f t="shared" si="0"/>
        <v>0</v>
      </c>
      <c r="D24" s="461">
        <f t="shared" si="1"/>
        <v>0</v>
      </c>
      <c r="E24" s="461">
        <f t="shared" si="2"/>
        <v>0</v>
      </c>
      <c r="F24" s="461">
        <f t="shared" si="3"/>
        <v>0</v>
      </c>
      <c r="G24" s="251"/>
      <c r="H24" s="462">
        <f t="shared" si="4"/>
        <v>0</v>
      </c>
      <c r="I24" s="462" t="e">
        <f t="shared" si="5"/>
        <v>#VALUE!</v>
      </c>
      <c r="J24" s="462">
        <f t="shared" si="6"/>
        <v>0</v>
      </c>
      <c r="K24" s="462">
        <f t="shared" si="7"/>
        <v>0</v>
      </c>
      <c r="L24" s="657"/>
      <c r="M24" s="691" t="str">
        <f t="shared" si="15"/>
        <v/>
      </c>
      <c r="N24" s="462">
        <f t="shared" si="8"/>
        <v>0</v>
      </c>
      <c r="O24" s="462">
        <f t="shared" si="9"/>
        <v>0</v>
      </c>
      <c r="P24" s="462">
        <f t="shared" si="10"/>
        <v>0</v>
      </c>
      <c r="Q24" s="462">
        <f t="shared" si="10"/>
        <v>0</v>
      </c>
      <c r="R24" s="462">
        <f>IFERROR(IF(VerBer,IF($M24&lt;INT(R$5),0,IF($M24=INT(R$2),R$12,IF($M24&gt;INT(R$2),R$12*(1+R$9)^(IF($M24-R$5&lt;=0,0,$M24-IF(R$5&lt;R$2,R$2,R$5))),0))),0),0)</f>
        <v>0</v>
      </c>
      <c r="S24" s="227"/>
      <c r="U24" s="476">
        <f t="shared" si="11"/>
        <v>0</v>
      </c>
      <c r="V24" s="476">
        <f t="shared" si="13"/>
        <v>0</v>
      </c>
      <c r="W24" s="476">
        <f t="shared" si="14"/>
        <v>0</v>
      </c>
    </row>
    <row r="25" spans="1:23">
      <c r="A25" s="357"/>
      <c r="B25" s="252" t="str">
        <f t="shared" si="12"/>
        <v/>
      </c>
      <c r="C25" s="461">
        <f t="shared" si="0"/>
        <v>0</v>
      </c>
      <c r="D25" s="461">
        <f t="shared" si="1"/>
        <v>0</v>
      </c>
      <c r="E25" s="461">
        <f t="shared" si="2"/>
        <v>0</v>
      </c>
      <c r="F25" s="461">
        <f t="shared" si="3"/>
        <v>0</v>
      </c>
      <c r="G25" s="251"/>
      <c r="H25" s="463">
        <f t="shared" si="4"/>
        <v>0</v>
      </c>
      <c r="I25" s="463" t="e">
        <f t="shared" si="5"/>
        <v>#VALUE!</v>
      </c>
      <c r="J25" s="463">
        <f t="shared" si="6"/>
        <v>0</v>
      </c>
      <c r="K25" s="463">
        <f t="shared" si="7"/>
        <v>0</v>
      </c>
      <c r="L25" s="658"/>
      <c r="M25" s="693" t="str">
        <f t="shared" si="15"/>
        <v/>
      </c>
      <c r="N25" s="463">
        <f t="shared" si="8"/>
        <v>0</v>
      </c>
      <c r="O25" s="463">
        <f t="shared" si="9"/>
        <v>0</v>
      </c>
      <c r="P25" s="463">
        <f t="shared" si="10"/>
        <v>0</v>
      </c>
      <c r="Q25" s="463">
        <f t="shared" si="10"/>
        <v>0</v>
      </c>
      <c r="R25" s="463">
        <f>IFERROR(IF(VerBer,IF($M25&lt;INT(R$5),0,IF($M25=INT(R$2),R$12,IF($M25&gt;INT(R$2),R$12*(1+R$9)^(IF($M25-R$5&lt;=0,0,$M25-IF(R$5&lt;R$2,R$2,R$5))),0))),0),0)</f>
        <v>0</v>
      </c>
      <c r="S25" s="227"/>
      <c r="U25" s="476">
        <f t="shared" si="11"/>
        <v>0</v>
      </c>
      <c r="V25" s="476">
        <f t="shared" si="13"/>
        <v>0</v>
      </c>
      <c r="W25" s="476">
        <f t="shared" si="14"/>
        <v>0</v>
      </c>
    </row>
    <row r="26" spans="1:23">
      <c r="A26" s="357"/>
      <c r="B26" s="252" t="str">
        <f t="shared" si="12"/>
        <v/>
      </c>
      <c r="C26" s="461">
        <f t="shared" si="0"/>
        <v>0</v>
      </c>
      <c r="D26" s="461">
        <f t="shared" si="1"/>
        <v>0</v>
      </c>
      <c r="E26" s="461">
        <f t="shared" si="2"/>
        <v>0</v>
      </c>
      <c r="F26" s="461">
        <f t="shared" si="3"/>
        <v>0</v>
      </c>
      <c r="G26" s="251"/>
      <c r="H26" s="462">
        <f t="shared" si="4"/>
        <v>0</v>
      </c>
      <c r="I26" s="462" t="e">
        <f t="shared" si="5"/>
        <v>#VALUE!</v>
      </c>
      <c r="J26" s="462">
        <f t="shared" si="6"/>
        <v>0</v>
      </c>
      <c r="K26" s="462">
        <f t="shared" si="7"/>
        <v>0</v>
      </c>
      <c r="L26" s="657"/>
      <c r="M26" s="691" t="str">
        <f t="shared" si="15"/>
        <v/>
      </c>
      <c r="N26" s="462">
        <f t="shared" si="8"/>
        <v>0</v>
      </c>
      <c r="O26" s="462">
        <f>N26*12*IF(AND(INT(O$5)=$M26,O$5&gt;INT(O$5)),(1-(O$5-INT(O$5))),1)</f>
        <v>0</v>
      </c>
      <c r="P26" s="462">
        <f t="shared" si="10"/>
        <v>0</v>
      </c>
      <c r="Q26" s="462">
        <f t="shared" si="10"/>
        <v>0</v>
      </c>
      <c r="R26" s="462">
        <f>IFERROR(IF(VerBer,IF($M26&lt;INT(R$5),0,IF($M26=INT(R$2),R$12,IF($M26&gt;INT(R$2),R$12*(1+R$9)^(IF($M26-R$5&lt;=0,0,$M26-IF(R$5&lt;R$2,R$2,R$5))),0))),0),0)</f>
        <v>0</v>
      </c>
      <c r="S26" s="227"/>
      <c r="U26" s="476">
        <f t="shared" si="11"/>
        <v>0</v>
      </c>
      <c r="V26" s="476">
        <f t="shared" si="13"/>
        <v>0</v>
      </c>
      <c r="W26" s="476">
        <f t="shared" si="14"/>
        <v>0</v>
      </c>
    </row>
    <row r="27" spans="1:23">
      <c r="A27" s="357"/>
      <c r="B27" s="252" t="str">
        <f t="shared" si="12"/>
        <v/>
      </c>
      <c r="C27" s="461">
        <f t="shared" si="0"/>
        <v>0</v>
      </c>
      <c r="D27" s="461">
        <f t="shared" si="1"/>
        <v>0</v>
      </c>
      <c r="E27" s="461">
        <f t="shared" si="2"/>
        <v>0</v>
      </c>
      <c r="F27" s="461">
        <f t="shared" si="3"/>
        <v>0</v>
      </c>
      <c r="G27" s="251"/>
      <c r="H27" s="463">
        <f t="shared" si="4"/>
        <v>0</v>
      </c>
      <c r="I27" s="463" t="e">
        <f t="shared" si="5"/>
        <v>#VALUE!</v>
      </c>
      <c r="J27" s="463">
        <f t="shared" si="6"/>
        <v>0</v>
      </c>
      <c r="K27" s="463">
        <f t="shared" si="7"/>
        <v>0</v>
      </c>
      <c r="L27" s="658"/>
      <c r="M27" s="693" t="str">
        <f t="shared" si="15"/>
        <v/>
      </c>
      <c r="N27" s="463">
        <f t="shared" si="8"/>
        <v>0</v>
      </c>
      <c r="O27" s="463">
        <f t="shared" ref="O27:O90" si="16">N27*12*IF(AND(INT(O$5)=$M27,O$5&gt;INT(O$5)),(1-(O$5-INT(O$5))),1)</f>
        <v>0</v>
      </c>
      <c r="P27" s="463">
        <f t="shared" si="10"/>
        <v>0</v>
      </c>
      <c r="Q27" s="463">
        <f t="shared" si="10"/>
        <v>0</v>
      </c>
      <c r="R27" s="463">
        <f>IFERROR(IF(VerBer,IF($M27&lt;INT(R$5),0,IF($M27=INT(R$2),R$12,IF($M27&gt;INT(R$2),R$12*(1+R$9)^(IF($M27-R$5&lt;=0,0,$M27-IF(R$5&lt;R$2,R$2,R$5))),0))),0),0)</f>
        <v>0</v>
      </c>
      <c r="S27" s="227"/>
      <c r="U27" s="476">
        <f t="shared" si="11"/>
        <v>0</v>
      </c>
      <c r="V27" s="476">
        <f t="shared" si="13"/>
        <v>0</v>
      </c>
      <c r="W27" s="476">
        <f t="shared" si="14"/>
        <v>0</v>
      </c>
    </row>
    <row r="28" spans="1:23">
      <c r="A28" s="357"/>
      <c r="B28" s="252" t="str">
        <f t="shared" si="12"/>
        <v/>
      </c>
      <c r="C28" s="461">
        <f t="shared" si="0"/>
        <v>0</v>
      </c>
      <c r="D28" s="461">
        <f t="shared" si="1"/>
        <v>0</v>
      </c>
      <c r="E28" s="461">
        <f t="shared" si="2"/>
        <v>0</v>
      </c>
      <c r="F28" s="461">
        <f t="shared" si="3"/>
        <v>0</v>
      </c>
      <c r="G28" s="251"/>
      <c r="H28" s="462">
        <f t="shared" si="4"/>
        <v>0</v>
      </c>
      <c r="I28" s="462" t="e">
        <f t="shared" si="5"/>
        <v>#VALUE!</v>
      </c>
      <c r="J28" s="462">
        <f t="shared" si="6"/>
        <v>0</v>
      </c>
      <c r="K28" s="462">
        <f t="shared" si="7"/>
        <v>0</v>
      </c>
      <c r="L28" s="657"/>
      <c r="M28" s="691" t="str">
        <f t="shared" si="15"/>
        <v/>
      </c>
      <c r="N28" s="462">
        <f t="shared" si="8"/>
        <v>0</v>
      </c>
      <c r="O28" s="462">
        <f t="shared" si="16"/>
        <v>0</v>
      </c>
      <c r="P28" s="462">
        <f t="shared" si="10"/>
        <v>0</v>
      </c>
      <c r="Q28" s="462">
        <f t="shared" si="10"/>
        <v>0</v>
      </c>
      <c r="R28" s="462">
        <f>IFERROR(IF(VerBer,IF($M28&lt;INT(R$5),0,IF($M28=INT(R$2),R$12,IF($M28&gt;INT(R$2),R$12*(1+R$9)^(IF($M28-R$5&lt;=0,0,$M28-IF(R$5&lt;R$2,R$2,R$5))),0))),0),0)</f>
        <v>0</v>
      </c>
      <c r="S28" s="227"/>
      <c r="U28" s="476">
        <f t="shared" si="11"/>
        <v>0</v>
      </c>
      <c r="V28" s="476">
        <f t="shared" si="13"/>
        <v>0</v>
      </c>
      <c r="W28" s="476">
        <f t="shared" si="14"/>
        <v>0</v>
      </c>
    </row>
    <row r="29" spans="1:23">
      <c r="A29" s="357"/>
      <c r="B29" s="252" t="str">
        <f t="shared" si="12"/>
        <v/>
      </c>
      <c r="C29" s="461">
        <f t="shared" si="0"/>
        <v>0</v>
      </c>
      <c r="D29" s="461">
        <f t="shared" si="1"/>
        <v>0</v>
      </c>
      <c r="E29" s="461">
        <f t="shared" si="2"/>
        <v>0</v>
      </c>
      <c r="F29" s="461">
        <f t="shared" si="3"/>
        <v>0</v>
      </c>
      <c r="G29" s="251"/>
      <c r="H29" s="463">
        <f t="shared" si="4"/>
        <v>0</v>
      </c>
      <c r="I29" s="463" t="e">
        <f t="shared" si="5"/>
        <v>#VALUE!</v>
      </c>
      <c r="J29" s="463">
        <f t="shared" si="6"/>
        <v>0</v>
      </c>
      <c r="K29" s="463">
        <f t="shared" si="7"/>
        <v>0</v>
      </c>
      <c r="L29" s="658"/>
      <c r="M29" s="693" t="str">
        <f t="shared" si="15"/>
        <v/>
      </c>
      <c r="N29" s="463">
        <f t="shared" si="8"/>
        <v>0</v>
      </c>
      <c r="O29" s="463">
        <f t="shared" si="16"/>
        <v>0</v>
      </c>
      <c r="P29" s="463">
        <f t="shared" si="10"/>
        <v>0</v>
      </c>
      <c r="Q29" s="463">
        <f t="shared" si="10"/>
        <v>0</v>
      </c>
      <c r="R29" s="463">
        <f>IFERROR(IF(VerBer,IF($M29&lt;INT(R$5),0,IF($M29=INT(R$2),R$12,IF($M29&gt;INT(R$2),R$12*(1+R$9)^(IF($M29-R$5&lt;=0,0,$M29-IF(R$5&lt;R$2,R$2,R$5))),0))),0),0)</f>
        <v>0</v>
      </c>
      <c r="S29" s="227"/>
      <c r="U29" s="476">
        <f>+P29*12*IF(AND(INT(P$5)=$M29,P$5&gt;INT(P$5)),1-(P$5-INT(P$5)),1)</f>
        <v>0</v>
      </c>
      <c r="V29" s="476">
        <f t="shared" si="13"/>
        <v>0</v>
      </c>
      <c r="W29" s="476">
        <f t="shared" si="14"/>
        <v>0</v>
      </c>
    </row>
    <row r="30" spans="1:23">
      <c r="A30" s="357"/>
      <c r="B30" s="252" t="str">
        <f t="shared" si="12"/>
        <v/>
      </c>
      <c r="C30" s="461">
        <f t="shared" si="0"/>
        <v>0</v>
      </c>
      <c r="D30" s="461">
        <f t="shared" si="1"/>
        <v>0</v>
      </c>
      <c r="E30" s="461">
        <f t="shared" si="2"/>
        <v>0</v>
      </c>
      <c r="F30" s="461">
        <f t="shared" si="3"/>
        <v>0</v>
      </c>
      <c r="G30" s="251"/>
      <c r="H30" s="462">
        <f t="shared" si="4"/>
        <v>0</v>
      </c>
      <c r="I30" s="462" t="e">
        <f t="shared" si="5"/>
        <v>#VALUE!</v>
      </c>
      <c r="J30" s="462">
        <f t="shared" si="6"/>
        <v>0</v>
      </c>
      <c r="K30" s="462">
        <f t="shared" si="7"/>
        <v>0</v>
      </c>
      <c r="L30" s="657"/>
      <c r="M30" s="691" t="str">
        <f t="shared" si="15"/>
        <v/>
      </c>
      <c r="N30" s="462">
        <f t="shared" si="8"/>
        <v>0</v>
      </c>
      <c r="O30" s="462">
        <f t="shared" si="16"/>
        <v>0</v>
      </c>
      <c r="P30" s="462">
        <f t="shared" si="10"/>
        <v>0</v>
      </c>
      <c r="Q30" s="462">
        <f t="shared" si="10"/>
        <v>0</v>
      </c>
      <c r="R30" s="462">
        <f>IFERROR(IF(VerBer,IF($M30&lt;INT(R$5),0,IF($M30=INT(R$2),R$12,IF($M30&gt;INT(R$2),R$12*(1+R$9)^(IF($M30-R$5&lt;=0,0,$M30-IF(R$5&lt;R$2,R$2,R$5))),0))),0),0)</f>
        <v>0</v>
      </c>
      <c r="S30" s="227"/>
      <c r="U30" s="476">
        <f>+P30*12*IF(AND(INT(P$5)=$M30,P$5&gt;INT(P$5)),1-(P$5-INT(P$5)),1)</f>
        <v>0</v>
      </c>
      <c r="V30" s="476">
        <f t="shared" si="13"/>
        <v>0</v>
      </c>
      <c r="W30" s="476">
        <f t="shared" si="14"/>
        <v>0</v>
      </c>
    </row>
    <row r="31" spans="1:23">
      <c r="A31" s="357"/>
      <c r="B31" s="252" t="str">
        <f t="shared" si="12"/>
        <v/>
      </c>
      <c r="C31" s="461">
        <f t="shared" si="0"/>
        <v>0</v>
      </c>
      <c r="D31" s="461">
        <f t="shared" si="1"/>
        <v>0</v>
      </c>
      <c r="E31" s="461">
        <f t="shared" si="2"/>
        <v>0</v>
      </c>
      <c r="F31" s="461">
        <f t="shared" si="3"/>
        <v>0</v>
      </c>
      <c r="G31" s="251"/>
      <c r="H31" s="463">
        <f t="shared" si="4"/>
        <v>0</v>
      </c>
      <c r="I31" s="463" t="e">
        <f t="shared" si="5"/>
        <v>#VALUE!</v>
      </c>
      <c r="J31" s="463">
        <f t="shared" si="6"/>
        <v>0</v>
      </c>
      <c r="K31" s="463">
        <f t="shared" si="7"/>
        <v>0</v>
      </c>
      <c r="L31" s="658"/>
      <c r="M31" s="693" t="str">
        <f t="shared" si="15"/>
        <v/>
      </c>
      <c r="N31" s="463">
        <f t="shared" si="8"/>
        <v>0</v>
      </c>
      <c r="O31" s="463">
        <f t="shared" si="16"/>
        <v>0</v>
      </c>
      <c r="P31" s="463">
        <f t="shared" si="10"/>
        <v>0</v>
      </c>
      <c r="Q31" s="463">
        <f t="shared" si="10"/>
        <v>0</v>
      </c>
      <c r="R31" s="463">
        <f>IFERROR(IF(VerBer,IF($M31&lt;INT(R$5),0,IF($M31=INT(R$2),R$12,IF($M31&gt;INT(R$2),R$12*(1+R$9)^(IF($M31-R$5&lt;=0,0,$M31-IF(R$5&lt;R$2,R$2,R$5))),0))),0),0)</f>
        <v>0</v>
      </c>
      <c r="S31" s="227"/>
      <c r="U31" s="476">
        <f t="shared" ref="U31:U93" si="17">+P31*12*IF(AND(INT(P$5)=$M31,P$5&gt;INT(P$5)),1-(P$5-INT(P$5)),1)</f>
        <v>0</v>
      </c>
      <c r="V31" s="476">
        <f t="shared" si="13"/>
        <v>0</v>
      </c>
      <c r="W31" s="476">
        <f t="shared" si="14"/>
        <v>0</v>
      </c>
    </row>
    <row r="32" spans="1:23">
      <c r="A32" s="357"/>
      <c r="B32" s="252" t="str">
        <f t="shared" si="12"/>
        <v/>
      </c>
      <c r="C32" s="461">
        <f t="shared" si="0"/>
        <v>0</v>
      </c>
      <c r="D32" s="461">
        <f t="shared" si="1"/>
        <v>0</v>
      </c>
      <c r="E32" s="461">
        <f t="shared" si="2"/>
        <v>0</v>
      </c>
      <c r="F32" s="461">
        <f t="shared" si="3"/>
        <v>0</v>
      </c>
      <c r="G32" s="251"/>
      <c r="H32" s="462">
        <f t="shared" si="4"/>
        <v>0</v>
      </c>
      <c r="I32" s="462" t="e">
        <f t="shared" si="5"/>
        <v>#VALUE!</v>
      </c>
      <c r="J32" s="462">
        <f t="shared" si="6"/>
        <v>0</v>
      </c>
      <c r="K32" s="462">
        <f t="shared" si="7"/>
        <v>0</v>
      </c>
      <c r="L32" s="657"/>
      <c r="M32" s="691" t="str">
        <f t="shared" si="15"/>
        <v/>
      </c>
      <c r="N32" s="462">
        <f t="shared" si="8"/>
        <v>0</v>
      </c>
      <c r="O32" s="462">
        <f t="shared" si="16"/>
        <v>0</v>
      </c>
      <c r="P32" s="462">
        <f t="shared" si="10"/>
        <v>0</v>
      </c>
      <c r="Q32" s="462">
        <f t="shared" si="10"/>
        <v>0</v>
      </c>
      <c r="R32" s="462">
        <f>IFERROR(IF(VerBer,IF($M32&lt;INT(R$5),0,IF($M32=INT(R$2),R$12,IF($M32&gt;INT(R$2),R$12*(1+R$9)^(IF($M32-R$5&lt;=0,0,$M32-IF(R$5&lt;R$2,R$2,R$5))),0))),0),0)</f>
        <v>0</v>
      </c>
      <c r="S32" s="227"/>
      <c r="U32" s="476">
        <f t="shared" si="17"/>
        <v>0</v>
      </c>
      <c r="V32" s="476">
        <f t="shared" si="13"/>
        <v>0</v>
      </c>
      <c r="W32" s="476">
        <f t="shared" si="14"/>
        <v>0</v>
      </c>
    </row>
    <row r="33" spans="1:23">
      <c r="A33" s="357"/>
      <c r="B33" s="252" t="str">
        <f t="shared" si="12"/>
        <v/>
      </c>
      <c r="C33" s="461">
        <f t="shared" si="0"/>
        <v>0</v>
      </c>
      <c r="D33" s="461">
        <f t="shared" si="1"/>
        <v>0</v>
      </c>
      <c r="E33" s="461">
        <f t="shared" si="2"/>
        <v>0</v>
      </c>
      <c r="F33" s="461">
        <f t="shared" si="3"/>
        <v>0</v>
      </c>
      <c r="G33" s="251"/>
      <c r="H33" s="463">
        <f t="shared" si="4"/>
        <v>0</v>
      </c>
      <c r="I33" s="463" t="e">
        <f t="shared" si="5"/>
        <v>#VALUE!</v>
      </c>
      <c r="J33" s="463">
        <f t="shared" si="6"/>
        <v>0</v>
      </c>
      <c r="K33" s="463">
        <f t="shared" si="7"/>
        <v>0</v>
      </c>
      <c r="L33" s="658"/>
      <c r="M33" s="693" t="str">
        <f t="shared" si="15"/>
        <v/>
      </c>
      <c r="N33" s="463">
        <f t="shared" si="8"/>
        <v>0</v>
      </c>
      <c r="O33" s="463">
        <f t="shared" si="16"/>
        <v>0</v>
      </c>
      <c r="P33" s="463">
        <f t="shared" si="10"/>
        <v>0</v>
      </c>
      <c r="Q33" s="463">
        <f t="shared" si="10"/>
        <v>0</v>
      </c>
      <c r="R33" s="463">
        <f>IFERROR(IF(VerBer,IF($M33&lt;INT(R$5),0,IF($M33=INT(R$2),R$12,IF($M33&gt;INT(R$2),R$12*(1+R$9)^(IF($M33-R$5&lt;=0,0,$M33-IF(R$5&lt;R$2,R$2,R$5))),0))),0),0)</f>
        <v>0</v>
      </c>
      <c r="S33" s="227"/>
      <c r="U33" s="476">
        <f t="shared" si="17"/>
        <v>0</v>
      </c>
      <c r="V33" s="476">
        <f t="shared" si="13"/>
        <v>0</v>
      </c>
      <c r="W33" s="476">
        <f t="shared" si="14"/>
        <v>0</v>
      </c>
    </row>
    <row r="34" spans="1:23">
      <c r="A34" s="357"/>
      <c r="B34" s="252" t="str">
        <f t="shared" si="12"/>
        <v/>
      </c>
      <c r="C34" s="461">
        <f t="shared" si="0"/>
        <v>0</v>
      </c>
      <c r="D34" s="461">
        <f t="shared" si="1"/>
        <v>0</v>
      </c>
      <c r="E34" s="461">
        <f t="shared" si="2"/>
        <v>0</v>
      </c>
      <c r="F34" s="461">
        <f t="shared" si="3"/>
        <v>0</v>
      </c>
      <c r="G34" s="251"/>
      <c r="H34" s="462">
        <f t="shared" si="4"/>
        <v>0</v>
      </c>
      <c r="I34" s="462" t="e">
        <f t="shared" si="5"/>
        <v>#VALUE!</v>
      </c>
      <c r="J34" s="462">
        <f t="shared" si="6"/>
        <v>0</v>
      </c>
      <c r="K34" s="462">
        <f t="shared" si="7"/>
        <v>0</v>
      </c>
      <c r="L34" s="657"/>
      <c r="M34" s="691" t="str">
        <f t="shared" si="15"/>
        <v/>
      </c>
      <c r="N34" s="462">
        <f t="shared" si="8"/>
        <v>0</v>
      </c>
      <c r="O34" s="462">
        <f t="shared" si="16"/>
        <v>0</v>
      </c>
      <c r="P34" s="462">
        <f t="shared" si="10"/>
        <v>0</v>
      </c>
      <c r="Q34" s="462">
        <f t="shared" si="10"/>
        <v>0</v>
      </c>
      <c r="R34" s="462">
        <f>IFERROR(IF(VerBer,IF($M34&lt;INT(R$5),0,IF($M34=INT(R$2),R$12,IF($M34&gt;INT(R$2),R$12*(1+R$9)^(IF($M34-R$5&lt;=0,0,$M34-IF(R$5&lt;R$2,R$2,R$5))),0))),0),0)</f>
        <v>0</v>
      </c>
      <c r="S34" s="227"/>
      <c r="U34" s="476">
        <f t="shared" si="17"/>
        <v>0</v>
      </c>
      <c r="V34" s="476">
        <f t="shared" si="13"/>
        <v>0</v>
      </c>
      <c r="W34" s="476">
        <f t="shared" si="14"/>
        <v>0</v>
      </c>
    </row>
    <row r="35" spans="1:23">
      <c r="A35" s="357"/>
      <c r="B35" s="252" t="str">
        <f t="shared" si="12"/>
        <v/>
      </c>
      <c r="C35" s="461">
        <f t="shared" si="0"/>
        <v>0</v>
      </c>
      <c r="D35" s="461">
        <f t="shared" si="1"/>
        <v>0</v>
      </c>
      <c r="E35" s="461">
        <f t="shared" si="2"/>
        <v>0</v>
      </c>
      <c r="F35" s="461">
        <f t="shared" si="3"/>
        <v>0</v>
      </c>
      <c r="G35" s="251"/>
      <c r="H35" s="463">
        <f t="shared" si="4"/>
        <v>0</v>
      </c>
      <c r="I35" s="463" t="e">
        <f t="shared" si="5"/>
        <v>#VALUE!</v>
      </c>
      <c r="J35" s="463">
        <f t="shared" si="6"/>
        <v>0</v>
      </c>
      <c r="K35" s="463">
        <f t="shared" si="7"/>
        <v>0</v>
      </c>
      <c r="L35" s="658"/>
      <c r="M35" s="693" t="str">
        <f t="shared" si="15"/>
        <v/>
      </c>
      <c r="N35" s="463">
        <f t="shared" si="8"/>
        <v>0</v>
      </c>
      <c r="O35" s="463">
        <f t="shared" si="16"/>
        <v>0</v>
      </c>
      <c r="P35" s="463">
        <f t="shared" si="10"/>
        <v>0</v>
      </c>
      <c r="Q35" s="463">
        <f t="shared" si="10"/>
        <v>0</v>
      </c>
      <c r="R35" s="463">
        <f>IFERROR(IF(VerBer,IF($M35&lt;INT(R$5),0,IF($M35=INT(R$2),R$12,IF($M35&gt;INT(R$2),R$12*(1+R$9)^(IF($M35-R$5&lt;=0,0,$M35-IF(R$5&lt;R$2,R$2,R$5))),0))),0),0)</f>
        <v>0</v>
      </c>
      <c r="S35" s="227"/>
      <c r="U35" s="476">
        <f t="shared" si="17"/>
        <v>0</v>
      </c>
      <c r="V35" s="476">
        <f t="shared" si="13"/>
        <v>0</v>
      </c>
      <c r="W35" s="476">
        <f t="shared" si="14"/>
        <v>0</v>
      </c>
    </row>
    <row r="36" spans="1:23">
      <c r="A36" s="357"/>
      <c r="B36" s="252" t="str">
        <f t="shared" si="12"/>
        <v/>
      </c>
      <c r="C36" s="461">
        <f t="shared" si="0"/>
        <v>0</v>
      </c>
      <c r="D36" s="461">
        <f t="shared" si="1"/>
        <v>0</v>
      </c>
      <c r="E36" s="461">
        <f t="shared" si="2"/>
        <v>0</v>
      </c>
      <c r="F36" s="461">
        <f t="shared" si="3"/>
        <v>0</v>
      </c>
      <c r="G36" s="251"/>
      <c r="H36" s="462">
        <f t="shared" si="4"/>
        <v>0</v>
      </c>
      <c r="I36" s="462" t="e">
        <f t="shared" si="5"/>
        <v>#VALUE!</v>
      </c>
      <c r="J36" s="462">
        <f t="shared" si="6"/>
        <v>0</v>
      </c>
      <c r="K36" s="462">
        <f t="shared" si="7"/>
        <v>0</v>
      </c>
      <c r="L36" s="657"/>
      <c r="M36" s="691" t="str">
        <f t="shared" si="15"/>
        <v/>
      </c>
      <c r="N36" s="462">
        <f t="shared" si="8"/>
        <v>0</v>
      </c>
      <c r="O36" s="462">
        <f t="shared" si="16"/>
        <v>0</v>
      </c>
      <c r="P36" s="462">
        <f t="shared" si="10"/>
        <v>0</v>
      </c>
      <c r="Q36" s="462">
        <f t="shared" si="10"/>
        <v>0</v>
      </c>
      <c r="R36" s="462">
        <f>IFERROR(IF(VerBer,IF($M36&lt;INT(R$5),0,IF($M36=INT(R$2),R$12,IF($M36&gt;INT(R$2),R$12*(1+R$9)^(IF($M36-R$5&lt;=0,0,$M36-IF(R$5&lt;R$2,R$2,R$5))),0))),0),0)</f>
        <v>0</v>
      </c>
      <c r="S36" s="227"/>
      <c r="U36" s="476">
        <f t="shared" si="17"/>
        <v>0</v>
      </c>
      <c r="V36" s="476">
        <f t="shared" si="13"/>
        <v>0</v>
      </c>
      <c r="W36" s="476">
        <f t="shared" si="14"/>
        <v>0</v>
      </c>
    </row>
    <row r="37" spans="1:23">
      <c r="A37" s="357"/>
      <c r="B37" s="252" t="str">
        <f t="shared" si="12"/>
        <v/>
      </c>
      <c r="C37" s="461">
        <f t="shared" si="0"/>
        <v>0</v>
      </c>
      <c r="D37" s="461">
        <f t="shared" si="1"/>
        <v>0</v>
      </c>
      <c r="E37" s="461">
        <f t="shared" si="2"/>
        <v>0</v>
      </c>
      <c r="F37" s="461">
        <f t="shared" si="3"/>
        <v>0</v>
      </c>
      <c r="G37" s="251"/>
      <c r="H37" s="463">
        <f t="shared" si="4"/>
        <v>0</v>
      </c>
      <c r="I37" s="463" t="e">
        <f t="shared" si="5"/>
        <v>#VALUE!</v>
      </c>
      <c r="J37" s="463">
        <f t="shared" si="6"/>
        <v>0</v>
      </c>
      <c r="K37" s="463">
        <f t="shared" si="7"/>
        <v>0</v>
      </c>
      <c r="L37" s="658"/>
      <c r="M37" s="693" t="str">
        <f t="shared" si="15"/>
        <v/>
      </c>
      <c r="N37" s="463">
        <f t="shared" si="8"/>
        <v>0</v>
      </c>
      <c r="O37" s="463">
        <f t="shared" si="16"/>
        <v>0</v>
      </c>
      <c r="P37" s="463">
        <f t="shared" si="10"/>
        <v>0</v>
      </c>
      <c r="Q37" s="463">
        <f t="shared" si="10"/>
        <v>0</v>
      </c>
      <c r="R37" s="463">
        <f>IFERROR(IF(VerBer,IF($M37&lt;INT(R$5),0,IF($M37=INT(R$2),R$12,IF($M37&gt;INT(R$2),R$12*(1+R$9)^(IF($M37-R$5&lt;=0,0,$M37-IF(R$5&lt;R$2,R$2,R$5))),0))),0),0)</f>
        <v>0</v>
      </c>
      <c r="S37" s="227"/>
      <c r="U37" s="476">
        <f t="shared" si="17"/>
        <v>0</v>
      </c>
      <c r="V37" s="476">
        <f t="shared" si="13"/>
        <v>0</v>
      </c>
      <c r="W37" s="476">
        <f t="shared" si="14"/>
        <v>0</v>
      </c>
    </row>
    <row r="38" spans="1:23">
      <c r="A38" s="357"/>
      <c r="B38" s="252" t="str">
        <f t="shared" si="12"/>
        <v/>
      </c>
      <c r="C38" s="461">
        <f t="shared" si="0"/>
        <v>0</v>
      </c>
      <c r="D38" s="461">
        <f t="shared" si="1"/>
        <v>0</v>
      </c>
      <c r="E38" s="461">
        <f t="shared" si="2"/>
        <v>0</v>
      </c>
      <c r="F38" s="461">
        <f t="shared" si="3"/>
        <v>0</v>
      </c>
      <c r="G38" s="251"/>
      <c r="H38" s="462">
        <f t="shared" si="4"/>
        <v>0</v>
      </c>
      <c r="I38" s="462" t="e">
        <f t="shared" si="5"/>
        <v>#VALUE!</v>
      </c>
      <c r="J38" s="462">
        <f t="shared" si="6"/>
        <v>0</v>
      </c>
      <c r="K38" s="462">
        <f t="shared" si="7"/>
        <v>0</v>
      </c>
      <c r="L38" s="657"/>
      <c r="M38" s="691" t="str">
        <f t="shared" si="15"/>
        <v/>
      </c>
      <c r="N38" s="462">
        <f t="shared" si="8"/>
        <v>0</v>
      </c>
      <c r="O38" s="462">
        <f t="shared" si="16"/>
        <v>0</v>
      </c>
      <c r="P38" s="462">
        <f t="shared" ref="P38:Q57" si="18">IFERROR(IF(VersBer,IF($M38&lt;INT(P$5),0,IF($M38=INT(P$2),P$12,IF($M38&gt;INT(P$2),P$12*(1+P$9)^(IF($M38-P$5&lt;=0,0,$M38-IF(P$5&lt;P$2,P$2,P$5))),0))),0),0)</f>
        <v>0</v>
      </c>
      <c r="Q38" s="462">
        <f t="shared" si="18"/>
        <v>0</v>
      </c>
      <c r="R38" s="462">
        <f>IFERROR(IF(VerBer,IF($M38&lt;INT(R$5),0,IF($M38=INT(R$2),R$12,IF($M38&gt;INT(R$2),R$12*(1+R$9)^(IF($M38-R$5&lt;=0,0,$M38-IF(R$5&lt;R$2,R$2,R$5))),0))),0),0)</f>
        <v>0</v>
      </c>
      <c r="S38" s="227"/>
      <c r="U38" s="476">
        <f t="shared" si="17"/>
        <v>0</v>
      </c>
      <c r="V38" s="476">
        <f t="shared" si="13"/>
        <v>0</v>
      </c>
      <c r="W38" s="476">
        <f t="shared" si="14"/>
        <v>0</v>
      </c>
    </row>
    <row r="39" spans="1:23">
      <c r="A39" s="357"/>
      <c r="B39" s="252" t="str">
        <f t="shared" si="12"/>
        <v/>
      </c>
      <c r="C39" s="461">
        <f t="shared" si="0"/>
        <v>0</v>
      </c>
      <c r="D39" s="461">
        <f t="shared" si="1"/>
        <v>0</v>
      </c>
      <c r="E39" s="461">
        <f t="shared" si="2"/>
        <v>0</v>
      </c>
      <c r="F39" s="461">
        <f t="shared" si="3"/>
        <v>0</v>
      </c>
      <c r="G39" s="251"/>
      <c r="H39" s="463">
        <f t="shared" si="4"/>
        <v>0</v>
      </c>
      <c r="I39" s="463" t="e">
        <f t="shared" si="5"/>
        <v>#VALUE!</v>
      </c>
      <c r="J39" s="463">
        <f t="shared" si="6"/>
        <v>0</v>
      </c>
      <c r="K39" s="463">
        <f t="shared" si="7"/>
        <v>0</v>
      </c>
      <c r="L39" s="658"/>
      <c r="M39" s="693" t="str">
        <f t="shared" si="15"/>
        <v/>
      </c>
      <c r="N39" s="463">
        <f t="shared" si="8"/>
        <v>0</v>
      </c>
      <c r="O39" s="463">
        <f t="shared" si="16"/>
        <v>0</v>
      </c>
      <c r="P39" s="463">
        <f t="shared" si="18"/>
        <v>0</v>
      </c>
      <c r="Q39" s="463">
        <f t="shared" si="18"/>
        <v>0</v>
      </c>
      <c r="R39" s="463">
        <f>IFERROR(IF(VerBer,IF($M39&lt;INT(R$5),0,IF($M39=INT(R$2),R$12,IF($M39&gt;INT(R$2),R$12*(1+R$9)^(IF($M39-R$5&lt;=0,0,$M39-IF(R$5&lt;R$2,R$2,R$5))),0))),0),0)</f>
        <v>0</v>
      </c>
      <c r="S39" s="227"/>
      <c r="U39" s="476">
        <f t="shared" si="17"/>
        <v>0</v>
      </c>
      <c r="V39" s="476">
        <f t="shared" si="13"/>
        <v>0</v>
      </c>
      <c r="W39" s="476">
        <f t="shared" si="14"/>
        <v>0</v>
      </c>
    </row>
    <row r="40" spans="1:23">
      <c r="A40" s="357"/>
      <c r="B40" s="252" t="str">
        <f t="shared" si="12"/>
        <v/>
      </c>
      <c r="C40" s="461">
        <f t="shared" si="0"/>
        <v>0</v>
      </c>
      <c r="D40" s="461">
        <f t="shared" si="1"/>
        <v>0</v>
      </c>
      <c r="E40" s="461">
        <f t="shared" si="2"/>
        <v>0</v>
      </c>
      <c r="F40" s="461">
        <f t="shared" si="3"/>
        <v>0</v>
      </c>
      <c r="G40" s="251"/>
      <c r="H40" s="462">
        <f t="shared" si="4"/>
        <v>0</v>
      </c>
      <c r="I40" s="462" t="e">
        <f t="shared" si="5"/>
        <v>#VALUE!</v>
      </c>
      <c r="J40" s="462">
        <f t="shared" si="6"/>
        <v>0</v>
      </c>
      <c r="K40" s="462">
        <f t="shared" si="7"/>
        <v>0</v>
      </c>
      <c r="L40" s="657"/>
      <c r="M40" s="691" t="str">
        <f t="shared" si="15"/>
        <v/>
      </c>
      <c r="N40" s="462">
        <f t="shared" si="8"/>
        <v>0</v>
      </c>
      <c r="O40" s="462">
        <f t="shared" si="16"/>
        <v>0</v>
      </c>
      <c r="P40" s="462">
        <f t="shared" si="18"/>
        <v>0</v>
      </c>
      <c r="Q40" s="462">
        <f t="shared" si="18"/>
        <v>0</v>
      </c>
      <c r="R40" s="462">
        <f>IFERROR(IF(VerBer,IF($M40&lt;INT(R$5),0,IF($M40=INT(R$2),R$12,IF($M40&gt;INT(R$2),R$12*(1+R$9)^(IF($M40-R$5&lt;=0,0,$M40-IF(R$5&lt;R$2,R$2,R$5))),0))),0),0)</f>
        <v>0</v>
      </c>
      <c r="S40" s="227"/>
      <c r="U40" s="476">
        <f t="shared" si="17"/>
        <v>0</v>
      </c>
      <c r="V40" s="476">
        <f t="shared" si="13"/>
        <v>0</v>
      </c>
      <c r="W40" s="476">
        <f t="shared" si="14"/>
        <v>0</v>
      </c>
    </row>
    <row r="41" spans="1:23">
      <c r="A41" s="357"/>
      <c r="B41" s="252" t="str">
        <f t="shared" si="12"/>
        <v/>
      </c>
      <c r="C41" s="461">
        <f t="shared" si="0"/>
        <v>0</v>
      </c>
      <c r="D41" s="461">
        <f t="shared" si="1"/>
        <v>0</v>
      </c>
      <c r="E41" s="461">
        <f t="shared" si="2"/>
        <v>0</v>
      </c>
      <c r="F41" s="461">
        <f t="shared" si="3"/>
        <v>0</v>
      </c>
      <c r="G41" s="251"/>
      <c r="H41" s="463">
        <f t="shared" si="4"/>
        <v>0</v>
      </c>
      <c r="I41" s="463" t="e">
        <f t="shared" si="5"/>
        <v>#VALUE!</v>
      </c>
      <c r="J41" s="463">
        <f t="shared" si="6"/>
        <v>0</v>
      </c>
      <c r="K41" s="463">
        <f t="shared" si="7"/>
        <v>0</v>
      </c>
      <c r="L41" s="658"/>
      <c r="M41" s="693" t="str">
        <f t="shared" si="15"/>
        <v/>
      </c>
      <c r="N41" s="463">
        <f t="shared" si="8"/>
        <v>0</v>
      </c>
      <c r="O41" s="463">
        <f t="shared" si="16"/>
        <v>0</v>
      </c>
      <c r="P41" s="463">
        <f t="shared" si="18"/>
        <v>0</v>
      </c>
      <c r="Q41" s="463">
        <f t="shared" si="18"/>
        <v>0</v>
      </c>
      <c r="R41" s="463">
        <f>IFERROR(IF(VerBer,IF($M41&lt;INT(R$5),0,IF($M41=INT(R$2),R$12,IF($M41&gt;INT(R$2),R$12*(1+R$9)^(IF($M41-R$5&lt;=0,0,$M41-IF(R$5&lt;R$2,R$2,R$5))),0))),0),0)</f>
        <v>0</v>
      </c>
      <c r="S41" s="227"/>
      <c r="U41" s="476">
        <f t="shared" si="17"/>
        <v>0</v>
      </c>
      <c r="V41" s="476">
        <f t="shared" si="13"/>
        <v>0</v>
      </c>
      <c r="W41" s="476">
        <f t="shared" si="14"/>
        <v>0</v>
      </c>
    </row>
    <row r="42" spans="1:23">
      <c r="A42" s="357"/>
      <c r="B42" s="252" t="str">
        <f t="shared" si="12"/>
        <v/>
      </c>
      <c r="C42" s="461">
        <f t="shared" si="0"/>
        <v>0</v>
      </c>
      <c r="D42" s="461">
        <f t="shared" si="1"/>
        <v>0</v>
      </c>
      <c r="E42" s="461">
        <f t="shared" si="2"/>
        <v>0</v>
      </c>
      <c r="F42" s="461">
        <f t="shared" si="3"/>
        <v>0</v>
      </c>
      <c r="G42" s="251"/>
      <c r="H42" s="462">
        <f t="shared" si="4"/>
        <v>0</v>
      </c>
      <c r="I42" s="462" t="e">
        <f t="shared" si="5"/>
        <v>#VALUE!</v>
      </c>
      <c r="J42" s="462">
        <f t="shared" si="6"/>
        <v>0</v>
      </c>
      <c r="K42" s="462">
        <f t="shared" si="7"/>
        <v>0</v>
      </c>
      <c r="L42" s="657"/>
      <c r="M42" s="691" t="str">
        <f t="shared" si="15"/>
        <v/>
      </c>
      <c r="N42" s="462">
        <f t="shared" si="8"/>
        <v>0</v>
      </c>
      <c r="O42" s="462">
        <f t="shared" si="16"/>
        <v>0</v>
      </c>
      <c r="P42" s="462">
        <f t="shared" si="18"/>
        <v>0</v>
      </c>
      <c r="Q42" s="462">
        <f t="shared" si="18"/>
        <v>0</v>
      </c>
      <c r="R42" s="462">
        <f>IFERROR(IF(VerBer,IF($M42&lt;INT(R$5),0,IF($M42=INT(R$2),R$12,IF($M42&gt;INT(R$2),R$12*(1+R$9)^(IF($M42-R$5&lt;=0,0,$M42-IF(R$5&lt;R$2,R$2,R$5))),0))),0),0)</f>
        <v>0</v>
      </c>
      <c r="S42" s="227"/>
      <c r="T42" s="342"/>
      <c r="U42" s="476">
        <f t="shared" si="17"/>
        <v>0</v>
      </c>
      <c r="V42" s="476">
        <f t="shared" si="13"/>
        <v>0</v>
      </c>
      <c r="W42" s="476">
        <f t="shared" si="14"/>
        <v>0</v>
      </c>
    </row>
    <row r="43" spans="1:23">
      <c r="A43" s="357"/>
      <c r="B43" s="252" t="str">
        <f t="shared" si="12"/>
        <v/>
      </c>
      <c r="C43" s="461">
        <f t="shared" si="0"/>
        <v>0</v>
      </c>
      <c r="D43" s="461">
        <f t="shared" si="1"/>
        <v>0</v>
      </c>
      <c r="E43" s="461">
        <f t="shared" si="2"/>
        <v>0</v>
      </c>
      <c r="F43" s="461">
        <f t="shared" si="3"/>
        <v>0</v>
      </c>
      <c r="G43" s="251"/>
      <c r="H43" s="463">
        <f t="shared" si="4"/>
        <v>0</v>
      </c>
      <c r="I43" s="463" t="e">
        <f t="shared" si="5"/>
        <v>#VALUE!</v>
      </c>
      <c r="J43" s="463">
        <f t="shared" si="6"/>
        <v>0</v>
      </c>
      <c r="K43" s="463">
        <f t="shared" si="7"/>
        <v>0</v>
      </c>
      <c r="L43" s="658"/>
      <c r="M43" s="693" t="str">
        <f t="shared" si="15"/>
        <v/>
      </c>
      <c r="N43" s="463">
        <f t="shared" si="8"/>
        <v>0</v>
      </c>
      <c r="O43" s="463">
        <f t="shared" si="16"/>
        <v>0</v>
      </c>
      <c r="P43" s="463">
        <f t="shared" si="18"/>
        <v>0</v>
      </c>
      <c r="Q43" s="463">
        <f t="shared" si="18"/>
        <v>0</v>
      </c>
      <c r="R43" s="463">
        <f>IFERROR(IF(VerBer,IF($M43&lt;INT(R$5),0,IF($M43=INT(R$2),R$12,IF($M43&gt;INT(R$2),R$12*(1+R$9)^(IF($M43-R$5&lt;=0,0,$M43-IF(R$5&lt;R$2,R$2,R$5))),0))),0),0)</f>
        <v>0</v>
      </c>
      <c r="S43" s="227"/>
      <c r="U43" s="476">
        <f t="shared" si="17"/>
        <v>0</v>
      </c>
      <c r="V43" s="476">
        <f t="shared" si="13"/>
        <v>0</v>
      </c>
      <c r="W43" s="476">
        <f t="shared" si="14"/>
        <v>0</v>
      </c>
    </row>
    <row r="44" spans="1:23">
      <c r="A44" s="357"/>
      <c r="B44" s="252" t="str">
        <f t="shared" si="12"/>
        <v/>
      </c>
      <c r="C44" s="461">
        <f t="shared" si="0"/>
        <v>0</v>
      </c>
      <c r="D44" s="461">
        <f t="shared" si="1"/>
        <v>0</v>
      </c>
      <c r="E44" s="461">
        <f t="shared" si="2"/>
        <v>0</v>
      </c>
      <c r="F44" s="461">
        <f t="shared" si="3"/>
        <v>0</v>
      </c>
      <c r="G44" s="251"/>
      <c r="H44" s="462">
        <f t="shared" si="4"/>
        <v>0</v>
      </c>
      <c r="I44" s="462" t="e">
        <f t="shared" si="5"/>
        <v>#VALUE!</v>
      </c>
      <c r="J44" s="462">
        <f t="shared" si="6"/>
        <v>0</v>
      </c>
      <c r="K44" s="462">
        <f t="shared" si="7"/>
        <v>0</v>
      </c>
      <c r="L44" s="657"/>
      <c r="M44" s="691" t="str">
        <f t="shared" si="15"/>
        <v/>
      </c>
      <c r="N44" s="462">
        <f t="shared" si="8"/>
        <v>0</v>
      </c>
      <c r="O44" s="462">
        <f t="shared" si="16"/>
        <v>0</v>
      </c>
      <c r="P44" s="462">
        <f t="shared" si="18"/>
        <v>0</v>
      </c>
      <c r="Q44" s="462">
        <f t="shared" si="18"/>
        <v>0</v>
      </c>
      <c r="R44" s="462">
        <f>IFERROR(IF(VerBer,IF($M44&lt;INT(R$5),0,IF($M44=INT(R$2),R$12,IF($M44&gt;INT(R$2),R$12*(1+R$9)^(IF($M44-R$5&lt;=0,0,$M44-IF(R$5&lt;R$2,R$2,R$5))),0))),0),0)</f>
        <v>0</v>
      </c>
      <c r="S44" s="227"/>
      <c r="U44" s="476">
        <f t="shared" si="17"/>
        <v>0</v>
      </c>
      <c r="V44" s="476">
        <f t="shared" si="13"/>
        <v>0</v>
      </c>
      <c r="W44" s="476">
        <f t="shared" si="14"/>
        <v>0</v>
      </c>
    </row>
    <row r="45" spans="1:23">
      <c r="A45" s="357"/>
      <c r="B45" s="252" t="str">
        <f t="shared" si="12"/>
        <v/>
      </c>
      <c r="C45" s="461">
        <f t="shared" si="0"/>
        <v>0</v>
      </c>
      <c r="D45" s="461">
        <f t="shared" si="1"/>
        <v>0</v>
      </c>
      <c r="E45" s="461">
        <f t="shared" si="2"/>
        <v>0</v>
      </c>
      <c r="F45" s="461">
        <f t="shared" si="3"/>
        <v>0</v>
      </c>
      <c r="G45" s="251"/>
      <c r="H45" s="463">
        <f t="shared" si="4"/>
        <v>0</v>
      </c>
      <c r="I45" s="463" t="e">
        <f t="shared" si="5"/>
        <v>#VALUE!</v>
      </c>
      <c r="J45" s="463">
        <f t="shared" si="6"/>
        <v>0</v>
      </c>
      <c r="K45" s="463">
        <f t="shared" si="7"/>
        <v>0</v>
      </c>
      <c r="L45" s="658"/>
      <c r="M45" s="693" t="str">
        <f t="shared" si="15"/>
        <v/>
      </c>
      <c r="N45" s="463">
        <f t="shared" si="8"/>
        <v>0</v>
      </c>
      <c r="O45" s="463">
        <f t="shared" si="16"/>
        <v>0</v>
      </c>
      <c r="P45" s="463">
        <f t="shared" si="18"/>
        <v>0</v>
      </c>
      <c r="Q45" s="463">
        <f t="shared" si="18"/>
        <v>0</v>
      </c>
      <c r="R45" s="463">
        <f>IFERROR(IF(VerBer,IF($M45&lt;INT(R$5),0,IF($M45=INT(R$2),R$12,IF($M45&gt;INT(R$2),R$12*(1+R$9)^(IF($M45-R$5&lt;=0,0,$M45-IF(R$5&lt;R$2,R$2,R$5))),0))),0),0)</f>
        <v>0</v>
      </c>
      <c r="S45" s="227"/>
      <c r="U45" s="476">
        <f t="shared" si="17"/>
        <v>0</v>
      </c>
      <c r="V45" s="476">
        <f t="shared" si="13"/>
        <v>0</v>
      </c>
      <c r="W45" s="476">
        <f t="shared" si="14"/>
        <v>0</v>
      </c>
    </row>
    <row r="46" spans="1:23">
      <c r="A46" s="357"/>
      <c r="B46" s="252" t="str">
        <f t="shared" si="12"/>
        <v/>
      </c>
      <c r="C46" s="461">
        <f t="shared" si="0"/>
        <v>0</v>
      </c>
      <c r="D46" s="461">
        <f t="shared" si="1"/>
        <v>0</v>
      </c>
      <c r="E46" s="461">
        <f t="shared" si="2"/>
        <v>0</v>
      </c>
      <c r="F46" s="461">
        <f t="shared" si="3"/>
        <v>0</v>
      </c>
      <c r="G46" s="251"/>
      <c r="H46" s="462">
        <f t="shared" si="4"/>
        <v>0</v>
      </c>
      <c r="I46" s="462" t="e">
        <f t="shared" si="5"/>
        <v>#VALUE!</v>
      </c>
      <c r="J46" s="462">
        <f t="shared" si="6"/>
        <v>0</v>
      </c>
      <c r="K46" s="462">
        <f t="shared" si="7"/>
        <v>0</v>
      </c>
      <c r="L46" s="657"/>
      <c r="M46" s="691" t="str">
        <f t="shared" si="15"/>
        <v/>
      </c>
      <c r="N46" s="462">
        <f t="shared" si="8"/>
        <v>0</v>
      </c>
      <c r="O46" s="462">
        <f t="shared" si="16"/>
        <v>0</v>
      </c>
      <c r="P46" s="462">
        <f t="shared" si="18"/>
        <v>0</v>
      </c>
      <c r="Q46" s="462">
        <f t="shared" si="18"/>
        <v>0</v>
      </c>
      <c r="R46" s="462">
        <f>IFERROR(IF(VerBer,IF($M46&lt;INT(R$5),0,IF($M46=INT(R$2),R$12,IF($M46&gt;INT(R$2),R$12*(1+R$9)^(IF($M46-R$5&lt;=0,0,$M46-IF(R$5&lt;R$2,R$2,R$5))),0))),0),0)</f>
        <v>0</v>
      </c>
      <c r="S46" s="227"/>
      <c r="U46" s="476">
        <f t="shared" si="17"/>
        <v>0</v>
      </c>
      <c r="V46" s="476">
        <f t="shared" si="13"/>
        <v>0</v>
      </c>
      <c r="W46" s="476">
        <f t="shared" si="14"/>
        <v>0</v>
      </c>
    </row>
    <row r="47" spans="1:23">
      <c r="A47" s="357"/>
      <c r="B47" s="252" t="str">
        <f t="shared" si="12"/>
        <v/>
      </c>
      <c r="C47" s="461">
        <f t="shared" si="0"/>
        <v>0</v>
      </c>
      <c r="D47" s="461">
        <f t="shared" si="1"/>
        <v>0</v>
      </c>
      <c r="E47" s="461">
        <f t="shared" si="2"/>
        <v>0</v>
      </c>
      <c r="F47" s="461">
        <f t="shared" si="3"/>
        <v>0</v>
      </c>
      <c r="G47" s="251"/>
      <c r="H47" s="463">
        <f t="shared" si="4"/>
        <v>0</v>
      </c>
      <c r="I47" s="463" t="e">
        <f t="shared" si="5"/>
        <v>#VALUE!</v>
      </c>
      <c r="J47" s="463">
        <f t="shared" si="6"/>
        <v>0</v>
      </c>
      <c r="K47" s="463">
        <f t="shared" si="7"/>
        <v>0</v>
      </c>
      <c r="L47" s="658"/>
      <c r="M47" s="693" t="str">
        <f t="shared" si="15"/>
        <v/>
      </c>
      <c r="N47" s="463">
        <f t="shared" si="8"/>
        <v>0</v>
      </c>
      <c r="O47" s="463">
        <f t="shared" si="16"/>
        <v>0</v>
      </c>
      <c r="P47" s="463">
        <f t="shared" si="18"/>
        <v>0</v>
      </c>
      <c r="Q47" s="463">
        <f t="shared" si="18"/>
        <v>0</v>
      </c>
      <c r="R47" s="463">
        <f>IFERROR(IF(VerBer,IF($M47&lt;INT(R$5),0,IF($M47=INT(R$2),R$12,IF($M47&gt;INT(R$2),R$12*(1+R$9)^(IF($M47-R$5&lt;=0,0,$M47-IF(R$5&lt;R$2,R$2,R$5))),0))),0),0)</f>
        <v>0</v>
      </c>
      <c r="S47" s="227"/>
      <c r="U47" s="476">
        <f t="shared" si="17"/>
        <v>0</v>
      </c>
      <c r="V47" s="476">
        <f t="shared" si="13"/>
        <v>0</v>
      </c>
      <c r="W47" s="476">
        <f t="shared" si="14"/>
        <v>0</v>
      </c>
    </row>
    <row r="48" spans="1:23">
      <c r="A48" s="357"/>
      <c r="B48" s="252" t="str">
        <f t="shared" si="12"/>
        <v/>
      </c>
      <c r="C48" s="461">
        <f t="shared" si="0"/>
        <v>0</v>
      </c>
      <c r="D48" s="461">
        <f t="shared" si="1"/>
        <v>0</v>
      </c>
      <c r="E48" s="461">
        <f t="shared" si="2"/>
        <v>0</v>
      </c>
      <c r="F48" s="461">
        <f t="shared" si="3"/>
        <v>0</v>
      </c>
      <c r="G48" s="251"/>
      <c r="H48" s="462">
        <f t="shared" si="4"/>
        <v>0</v>
      </c>
      <c r="I48" s="462" t="e">
        <f t="shared" si="5"/>
        <v>#VALUE!</v>
      </c>
      <c r="J48" s="462">
        <f t="shared" si="6"/>
        <v>0</v>
      </c>
      <c r="K48" s="462">
        <f t="shared" si="7"/>
        <v>0</v>
      </c>
      <c r="L48" s="657"/>
      <c r="M48" s="691" t="str">
        <f t="shared" si="15"/>
        <v/>
      </c>
      <c r="N48" s="462">
        <f t="shared" si="8"/>
        <v>0</v>
      </c>
      <c r="O48" s="462">
        <f t="shared" si="16"/>
        <v>0</v>
      </c>
      <c r="P48" s="462">
        <f t="shared" si="18"/>
        <v>0</v>
      </c>
      <c r="Q48" s="462">
        <f t="shared" si="18"/>
        <v>0</v>
      </c>
      <c r="R48" s="462">
        <f>IFERROR(IF(VerBer,IF($M48&lt;INT(R$5),0,IF($M48=INT(R$2),R$12,IF($M48&gt;INT(R$2),R$12*(1+R$9)^(IF($M48-R$5&lt;=0,0,$M48-IF(R$5&lt;R$2,R$2,R$5))),0))),0),0)</f>
        <v>0</v>
      </c>
      <c r="S48" s="227"/>
      <c r="U48" s="476">
        <f t="shared" si="17"/>
        <v>0</v>
      </c>
      <c r="V48" s="476">
        <f t="shared" si="13"/>
        <v>0</v>
      </c>
      <c r="W48" s="476">
        <f t="shared" si="14"/>
        <v>0</v>
      </c>
    </row>
    <row r="49" spans="1:23">
      <c r="A49" s="357"/>
      <c r="B49" s="252" t="str">
        <f t="shared" si="12"/>
        <v/>
      </c>
      <c r="C49" s="461">
        <f t="shared" si="0"/>
        <v>0</v>
      </c>
      <c r="D49" s="461">
        <f t="shared" si="1"/>
        <v>0</v>
      </c>
      <c r="E49" s="461">
        <f t="shared" si="2"/>
        <v>0</v>
      </c>
      <c r="F49" s="461">
        <f t="shared" si="3"/>
        <v>0</v>
      </c>
      <c r="G49" s="251"/>
      <c r="H49" s="463">
        <f t="shared" si="4"/>
        <v>0</v>
      </c>
      <c r="I49" s="463" t="e">
        <f t="shared" si="5"/>
        <v>#VALUE!</v>
      </c>
      <c r="J49" s="463">
        <f t="shared" si="6"/>
        <v>0</v>
      </c>
      <c r="K49" s="463">
        <f t="shared" si="7"/>
        <v>0</v>
      </c>
      <c r="L49" s="658"/>
      <c r="M49" s="693" t="str">
        <f t="shared" si="15"/>
        <v/>
      </c>
      <c r="N49" s="463">
        <f t="shared" si="8"/>
        <v>0</v>
      </c>
      <c r="O49" s="463">
        <f t="shared" si="16"/>
        <v>0</v>
      </c>
      <c r="P49" s="463">
        <f t="shared" si="18"/>
        <v>0</v>
      </c>
      <c r="Q49" s="463">
        <f t="shared" si="18"/>
        <v>0</v>
      </c>
      <c r="R49" s="463">
        <f>IFERROR(IF(VerBer,IF($M49&lt;INT(R$5),0,IF($M49=INT(R$2),R$12,IF($M49&gt;INT(R$2),R$12*(1+R$9)^(IF($M49-R$5&lt;=0,0,$M49-IF(R$5&lt;R$2,R$2,R$5))),0))),0),0)</f>
        <v>0</v>
      </c>
      <c r="S49" s="227"/>
      <c r="U49" s="476">
        <f t="shared" si="17"/>
        <v>0</v>
      </c>
      <c r="V49" s="476">
        <f t="shared" si="13"/>
        <v>0</v>
      </c>
      <c r="W49" s="476">
        <f t="shared" si="14"/>
        <v>0</v>
      </c>
    </row>
    <row r="50" spans="1:23">
      <c r="A50" s="357"/>
      <c r="B50" s="252" t="str">
        <f t="shared" si="12"/>
        <v/>
      </c>
      <c r="C50" s="461">
        <f t="shared" ref="C50:C81" si="19">IFERROR(IF(QuellVersrg,IF($B50&lt;INT(H$5),0,IF($B50=INT(H$2),H$12,IF($B50&gt;INT(H$2),H$12*(1+H$9)^(IF($B50-H$5&lt;=0,0,$B50-IF(H$5&lt;H$2,H$2,H$5))),0))),0),0)</f>
        <v>0</v>
      </c>
      <c r="D50" s="461">
        <f t="shared" ref="D50:D81" si="20">IFERROR(IF(DRVPfl,IF($B50&lt;INT(I$5),0,IF($B50=INT(I$2),I$12,IF($B50&gt;INT(I$2),I$12*(1+I$9)^(IF($B50-I$5&lt;=0,0,$B50-IF(I$5&lt;I$2,I$2,I$5))),0))),0),0)</f>
        <v>0</v>
      </c>
      <c r="E50" s="461">
        <f t="shared" ref="E50:E81" si="21">IFERROR(IF(VersAusglKPfl,IF($B50&lt;INT(J$5),0,IF($B50=INT(J$2),J$12,IF($B50&gt;INT(J$2),J$12*(1+J$9)^(IF($B50-J$5&lt;=0,0,$B50-IF(J$5&lt;J$2,J$2,J$5))),0))),0),0)</f>
        <v>0</v>
      </c>
      <c r="F50" s="461">
        <f t="shared" ref="F50:F81" si="22">IFERROR(IF(SonstPfl,IF($B50&lt;INT(K$5),0,IF($B50=INT(K$2),K$12,IF($B50&gt;INT(K$2),K$12*(1+K$9)^(IF($B50-K$5&lt;=0,0,$B50-IF(K$5&lt;K$2,K$2,K$5))),0))),0),0)</f>
        <v>0</v>
      </c>
      <c r="G50" s="251"/>
      <c r="H50" s="462">
        <f t="shared" ref="H50:H81" si="23">C50*12*IF(AND(INT(H$5)=B50,H$5&gt;INT(H$5)),1-(H$5-INT(H$5)),1)</f>
        <v>0</v>
      </c>
      <c r="I50" s="462" t="e">
        <f t="shared" ref="I50:I81" si="24">D50*12*IF(AND(INT(I$5)=$B50,I$5&gt;INT(I$5)),1-(I$5-INT(I$5)),1)</f>
        <v>#VALUE!</v>
      </c>
      <c r="J50" s="462">
        <f t="shared" ref="J50:J81" si="25">E50*12*IF(AND(INT(J$5)=$B50,J$5&gt;INT(J$5)),1-(J$5-INT(J$5)),1)</f>
        <v>0</v>
      </c>
      <c r="K50" s="462">
        <f t="shared" ref="K50:K81" si="26">F50*12*IF(AND(INT(K$5)=$B50,K$5&gt;INT(K$5)),1-(K$5-INT(K$5)),1)</f>
        <v>0</v>
      </c>
      <c r="L50" s="657"/>
      <c r="M50" s="691" t="str">
        <f t="shared" si="15"/>
        <v/>
      </c>
      <c r="N50" s="462">
        <f t="shared" ref="N50:N81" si="27">IFERROR(IF(AND(VersBer,DRVAusglBerJa),IF($M50&lt;INT(O$5),0,IF($M50=INT(O$2),O$12,IF($M50&gt;INT(O$2),O$12*(1+O$9)^(IF($M50-O$5&lt;=0,0,$M50-IF(O$5&lt;O$2,O$2,O$5))),0))),0),0)</f>
        <v>0</v>
      </c>
      <c r="O50" s="462">
        <f t="shared" si="16"/>
        <v>0</v>
      </c>
      <c r="P50" s="462">
        <f t="shared" si="18"/>
        <v>0</v>
      </c>
      <c r="Q50" s="462">
        <f t="shared" si="18"/>
        <v>0</v>
      </c>
      <c r="R50" s="462">
        <f>IFERROR(IF(VerBer,IF($M50&lt;INT(R$5),0,IF($M50=INT(R$2),R$12,IF($M50&gt;INT(R$2),R$12*(1+R$9)^(IF($M50-R$5&lt;=0,0,$M50-IF(R$5&lt;R$2,R$2,R$5))),0))),0),0)</f>
        <v>0</v>
      </c>
      <c r="S50" s="227"/>
      <c r="U50" s="476">
        <f t="shared" si="17"/>
        <v>0</v>
      </c>
      <c r="V50" s="476">
        <f t="shared" si="13"/>
        <v>0</v>
      </c>
      <c r="W50" s="476">
        <f t="shared" si="14"/>
        <v>0</v>
      </c>
    </row>
    <row r="51" spans="1:23">
      <c r="A51" s="357"/>
      <c r="B51" s="252" t="str">
        <f t="shared" ref="B51:B82" si="28">IFERROR(IF(B50+1&lt;IF(Endalter=0,EndalterDRV,Endalter),B50+1,""),"")</f>
        <v/>
      </c>
      <c r="C51" s="461">
        <f t="shared" si="19"/>
        <v>0</v>
      </c>
      <c r="D51" s="461">
        <f t="shared" si="20"/>
        <v>0</v>
      </c>
      <c r="E51" s="461">
        <f t="shared" si="21"/>
        <v>0</v>
      </c>
      <c r="F51" s="461">
        <f t="shared" si="22"/>
        <v>0</v>
      </c>
      <c r="G51" s="251"/>
      <c r="H51" s="463">
        <f t="shared" si="23"/>
        <v>0</v>
      </c>
      <c r="I51" s="463" t="e">
        <f t="shared" si="24"/>
        <v>#VALUE!</v>
      </c>
      <c r="J51" s="463">
        <f t="shared" si="25"/>
        <v>0</v>
      </c>
      <c r="K51" s="463">
        <f t="shared" si="26"/>
        <v>0</v>
      </c>
      <c r="L51" s="658"/>
      <c r="M51" s="693" t="str">
        <f t="shared" si="15"/>
        <v/>
      </c>
      <c r="N51" s="463">
        <f t="shared" si="27"/>
        <v>0</v>
      </c>
      <c r="O51" s="463">
        <f t="shared" si="16"/>
        <v>0</v>
      </c>
      <c r="P51" s="463">
        <f t="shared" si="18"/>
        <v>0</v>
      </c>
      <c r="Q51" s="463">
        <f t="shared" si="18"/>
        <v>0</v>
      </c>
      <c r="R51" s="463">
        <f>IFERROR(IF(VerBer,IF($M51&lt;INT(R$5),0,IF($M51=INT(R$2),R$12,IF($M51&gt;INT(R$2),R$12*(1+R$9)^(IF($M51-R$5&lt;=0,0,$M51-IF(R$5&lt;R$2,R$2,R$5))),0))),0),0)</f>
        <v>0</v>
      </c>
      <c r="S51" s="227"/>
      <c r="U51" s="476">
        <f t="shared" si="17"/>
        <v>0</v>
      </c>
      <c r="V51" s="476">
        <f t="shared" si="13"/>
        <v>0</v>
      </c>
      <c r="W51" s="476">
        <f t="shared" si="14"/>
        <v>0</v>
      </c>
    </row>
    <row r="52" spans="1:23">
      <c r="A52" s="357"/>
      <c r="B52" s="252" t="str">
        <f t="shared" si="28"/>
        <v/>
      </c>
      <c r="C52" s="461">
        <f t="shared" si="19"/>
        <v>0</v>
      </c>
      <c r="D52" s="461">
        <f t="shared" si="20"/>
        <v>0</v>
      </c>
      <c r="E52" s="461">
        <f t="shared" si="21"/>
        <v>0</v>
      </c>
      <c r="F52" s="461">
        <f t="shared" si="22"/>
        <v>0</v>
      </c>
      <c r="G52" s="251"/>
      <c r="H52" s="462">
        <f t="shared" si="23"/>
        <v>0</v>
      </c>
      <c r="I52" s="462" t="e">
        <f t="shared" si="24"/>
        <v>#VALUE!</v>
      </c>
      <c r="J52" s="462">
        <f t="shared" si="25"/>
        <v>0</v>
      </c>
      <c r="K52" s="462">
        <f t="shared" si="26"/>
        <v>0</v>
      </c>
      <c r="L52" s="657"/>
      <c r="M52" s="691" t="str">
        <f t="shared" si="15"/>
        <v/>
      </c>
      <c r="N52" s="462">
        <f t="shared" si="27"/>
        <v>0</v>
      </c>
      <c r="O52" s="462">
        <f t="shared" si="16"/>
        <v>0</v>
      </c>
      <c r="P52" s="462">
        <f t="shared" si="18"/>
        <v>0</v>
      </c>
      <c r="Q52" s="462">
        <f t="shared" si="18"/>
        <v>0</v>
      </c>
      <c r="R52" s="462">
        <f>IFERROR(IF(VerBer,IF($M52&lt;INT(R$5),0,IF($M52=INT(R$2),R$12,IF($M52&gt;INT(R$2),R$12*(1+R$9)^(IF($M52-R$5&lt;=0,0,$M52-IF(R$5&lt;R$2,R$2,R$5))),0))),0),0)</f>
        <v>0</v>
      </c>
      <c r="S52" s="227"/>
      <c r="U52" s="476">
        <f t="shared" si="17"/>
        <v>0</v>
      </c>
      <c r="V52" s="476">
        <f t="shared" si="13"/>
        <v>0</v>
      </c>
      <c r="W52" s="476">
        <f t="shared" si="14"/>
        <v>0</v>
      </c>
    </row>
    <row r="53" spans="1:23">
      <c r="A53" s="357"/>
      <c r="B53" s="252" t="str">
        <f t="shared" si="28"/>
        <v/>
      </c>
      <c r="C53" s="461">
        <f t="shared" si="19"/>
        <v>0</v>
      </c>
      <c r="D53" s="461">
        <f t="shared" si="20"/>
        <v>0</v>
      </c>
      <c r="E53" s="461">
        <f t="shared" si="21"/>
        <v>0</v>
      </c>
      <c r="F53" s="461">
        <f t="shared" si="22"/>
        <v>0</v>
      </c>
      <c r="G53" s="251"/>
      <c r="H53" s="463">
        <f t="shared" si="23"/>
        <v>0</v>
      </c>
      <c r="I53" s="463" t="e">
        <f t="shared" si="24"/>
        <v>#VALUE!</v>
      </c>
      <c r="J53" s="463">
        <f t="shared" si="25"/>
        <v>0</v>
      </c>
      <c r="K53" s="463">
        <f t="shared" si="26"/>
        <v>0</v>
      </c>
      <c r="L53" s="658"/>
      <c r="M53" s="693" t="str">
        <f t="shared" si="15"/>
        <v/>
      </c>
      <c r="N53" s="463">
        <f t="shared" si="27"/>
        <v>0</v>
      </c>
      <c r="O53" s="463">
        <f t="shared" si="16"/>
        <v>0</v>
      </c>
      <c r="P53" s="463">
        <f t="shared" si="18"/>
        <v>0</v>
      </c>
      <c r="Q53" s="463">
        <f t="shared" si="18"/>
        <v>0</v>
      </c>
      <c r="R53" s="463">
        <f>IFERROR(IF(VerBer,IF($M53&lt;INT(R$5),0,IF($M53=INT(R$2),R$12,IF($M53&gt;INT(R$2),R$12*(1+R$9)^(IF($M53-R$5&lt;=0,0,$M53-IF(R$5&lt;R$2,R$2,R$5))),0))),0),0)</f>
        <v>0</v>
      </c>
      <c r="S53" s="227"/>
      <c r="U53" s="476">
        <f t="shared" si="17"/>
        <v>0</v>
      </c>
      <c r="V53" s="476">
        <f t="shared" si="13"/>
        <v>0</v>
      </c>
      <c r="W53" s="476">
        <f t="shared" si="14"/>
        <v>0</v>
      </c>
    </row>
    <row r="54" spans="1:23">
      <c r="A54" s="357"/>
      <c r="B54" s="252" t="str">
        <f t="shared" si="28"/>
        <v/>
      </c>
      <c r="C54" s="461">
        <f t="shared" si="19"/>
        <v>0</v>
      </c>
      <c r="D54" s="461">
        <f t="shared" si="20"/>
        <v>0</v>
      </c>
      <c r="E54" s="461">
        <f t="shared" si="21"/>
        <v>0</v>
      </c>
      <c r="F54" s="461">
        <f t="shared" si="22"/>
        <v>0</v>
      </c>
      <c r="G54" s="251"/>
      <c r="H54" s="462">
        <f t="shared" si="23"/>
        <v>0</v>
      </c>
      <c r="I54" s="462" t="e">
        <f t="shared" si="24"/>
        <v>#VALUE!</v>
      </c>
      <c r="J54" s="462">
        <f t="shared" si="25"/>
        <v>0</v>
      </c>
      <c r="K54" s="462">
        <f t="shared" si="26"/>
        <v>0</v>
      </c>
      <c r="L54" s="657"/>
      <c r="M54" s="691" t="str">
        <f t="shared" si="15"/>
        <v/>
      </c>
      <c r="N54" s="462">
        <f t="shared" si="27"/>
        <v>0</v>
      </c>
      <c r="O54" s="462">
        <f t="shared" si="16"/>
        <v>0</v>
      </c>
      <c r="P54" s="462">
        <f t="shared" si="18"/>
        <v>0</v>
      </c>
      <c r="Q54" s="462">
        <f t="shared" si="18"/>
        <v>0</v>
      </c>
      <c r="R54" s="462">
        <f>IFERROR(IF(VerBer,IF($M54&lt;INT(R$5),0,IF($M54=INT(R$2),R$12,IF($M54&gt;INT(R$2),R$12*(1+R$9)^(IF($M54-R$5&lt;=0,0,$M54-IF(R$5&lt;R$2,R$2,R$5))),0))),0),0)</f>
        <v>0</v>
      </c>
      <c r="S54" s="227"/>
      <c r="U54" s="476">
        <f t="shared" si="17"/>
        <v>0</v>
      </c>
      <c r="V54" s="476">
        <f t="shared" si="13"/>
        <v>0</v>
      </c>
      <c r="W54" s="476">
        <f t="shared" si="14"/>
        <v>0</v>
      </c>
    </row>
    <row r="55" spans="1:23">
      <c r="A55" s="357"/>
      <c r="B55" s="252" t="str">
        <f t="shared" si="28"/>
        <v/>
      </c>
      <c r="C55" s="461">
        <f t="shared" si="19"/>
        <v>0</v>
      </c>
      <c r="D55" s="461">
        <f t="shared" si="20"/>
        <v>0</v>
      </c>
      <c r="E55" s="461">
        <f t="shared" si="21"/>
        <v>0</v>
      </c>
      <c r="F55" s="461">
        <f t="shared" si="22"/>
        <v>0</v>
      </c>
      <c r="G55" s="251"/>
      <c r="H55" s="463">
        <f t="shared" si="23"/>
        <v>0</v>
      </c>
      <c r="I55" s="463" t="e">
        <f t="shared" si="24"/>
        <v>#VALUE!</v>
      </c>
      <c r="J55" s="463">
        <f t="shared" si="25"/>
        <v>0</v>
      </c>
      <c r="K55" s="463">
        <f t="shared" si="26"/>
        <v>0</v>
      </c>
      <c r="L55" s="658"/>
      <c r="M55" s="693" t="str">
        <f t="shared" si="15"/>
        <v/>
      </c>
      <c r="N55" s="463">
        <f t="shared" si="27"/>
        <v>0</v>
      </c>
      <c r="O55" s="463">
        <f t="shared" si="16"/>
        <v>0</v>
      </c>
      <c r="P55" s="463">
        <f t="shared" si="18"/>
        <v>0</v>
      </c>
      <c r="Q55" s="463">
        <f t="shared" si="18"/>
        <v>0</v>
      </c>
      <c r="R55" s="463">
        <f>IFERROR(IF(VerBer,IF($M55&lt;INT(R$5),0,IF($M55=INT(R$2),R$12,IF($M55&gt;INT(R$2),R$12*(1+R$9)^(IF($M55-R$5&lt;=0,0,$M55-IF(R$5&lt;R$2,R$2,R$5))),0))),0),0)</f>
        <v>0</v>
      </c>
      <c r="S55" s="227"/>
      <c r="U55" s="476">
        <f t="shared" si="17"/>
        <v>0</v>
      </c>
      <c r="V55" s="476">
        <f t="shared" si="13"/>
        <v>0</v>
      </c>
      <c r="W55" s="476">
        <f t="shared" si="14"/>
        <v>0</v>
      </c>
    </row>
    <row r="56" spans="1:23">
      <c r="A56" s="357"/>
      <c r="B56" s="252" t="str">
        <f t="shared" si="28"/>
        <v/>
      </c>
      <c r="C56" s="461">
        <f t="shared" si="19"/>
        <v>0</v>
      </c>
      <c r="D56" s="461">
        <f t="shared" si="20"/>
        <v>0</v>
      </c>
      <c r="E56" s="461">
        <f t="shared" si="21"/>
        <v>0</v>
      </c>
      <c r="F56" s="461">
        <f t="shared" si="22"/>
        <v>0</v>
      </c>
      <c r="G56" s="251"/>
      <c r="H56" s="462">
        <f t="shared" si="23"/>
        <v>0</v>
      </c>
      <c r="I56" s="462" t="e">
        <f t="shared" si="24"/>
        <v>#VALUE!</v>
      </c>
      <c r="J56" s="462">
        <f t="shared" si="25"/>
        <v>0</v>
      </c>
      <c r="K56" s="462">
        <f t="shared" si="26"/>
        <v>0</v>
      </c>
      <c r="L56" s="657"/>
      <c r="M56" s="691" t="str">
        <f t="shared" si="15"/>
        <v/>
      </c>
      <c r="N56" s="462">
        <f t="shared" si="27"/>
        <v>0</v>
      </c>
      <c r="O56" s="462">
        <f t="shared" si="16"/>
        <v>0</v>
      </c>
      <c r="P56" s="462">
        <f t="shared" si="18"/>
        <v>0</v>
      </c>
      <c r="Q56" s="462">
        <f t="shared" si="18"/>
        <v>0</v>
      </c>
      <c r="R56" s="462">
        <f>IFERROR(IF(VerBer,IF($M56&lt;INT(R$5),0,IF($M56=INT(R$2),R$12,IF($M56&gt;INT(R$2),R$12*(1+R$9)^(IF($M56-R$5&lt;=0,0,$M56-IF(R$5&lt;R$2,R$2,R$5))),0))),0),0)</f>
        <v>0</v>
      </c>
      <c r="S56" s="227"/>
      <c r="U56" s="476">
        <f t="shared" si="17"/>
        <v>0</v>
      </c>
      <c r="V56" s="476">
        <f t="shared" si="13"/>
        <v>0</v>
      </c>
      <c r="W56" s="476">
        <f t="shared" si="14"/>
        <v>0</v>
      </c>
    </row>
    <row r="57" spans="1:23">
      <c r="A57" s="357"/>
      <c r="B57" s="252" t="str">
        <f t="shared" si="28"/>
        <v/>
      </c>
      <c r="C57" s="461">
        <f t="shared" si="19"/>
        <v>0</v>
      </c>
      <c r="D57" s="461">
        <f t="shared" si="20"/>
        <v>0</v>
      </c>
      <c r="E57" s="461">
        <f t="shared" si="21"/>
        <v>0</v>
      </c>
      <c r="F57" s="461">
        <f t="shared" si="22"/>
        <v>0</v>
      </c>
      <c r="G57" s="251"/>
      <c r="H57" s="463">
        <f t="shared" si="23"/>
        <v>0</v>
      </c>
      <c r="I57" s="463" t="e">
        <f t="shared" si="24"/>
        <v>#VALUE!</v>
      </c>
      <c r="J57" s="463">
        <f t="shared" si="25"/>
        <v>0</v>
      </c>
      <c r="K57" s="463">
        <f t="shared" si="26"/>
        <v>0</v>
      </c>
      <c r="L57" s="658"/>
      <c r="M57" s="693" t="str">
        <f t="shared" si="15"/>
        <v/>
      </c>
      <c r="N57" s="463">
        <f t="shared" si="27"/>
        <v>0</v>
      </c>
      <c r="O57" s="463">
        <f t="shared" si="16"/>
        <v>0</v>
      </c>
      <c r="P57" s="463">
        <f t="shared" si="18"/>
        <v>0</v>
      </c>
      <c r="Q57" s="463">
        <f t="shared" si="18"/>
        <v>0</v>
      </c>
      <c r="R57" s="463">
        <f>IFERROR(IF(VerBer,IF($M57&lt;INT(R$5),0,IF($M57=INT(R$2),R$12,IF($M57&gt;INT(R$2),R$12*(1+R$9)^(IF($M57-R$5&lt;=0,0,$M57-IF(R$5&lt;R$2,R$2,R$5))),0))),0),0)</f>
        <v>0</v>
      </c>
      <c r="S57" s="227"/>
      <c r="U57" s="476">
        <f t="shared" si="17"/>
        <v>0</v>
      </c>
      <c r="V57" s="476">
        <f t="shared" si="13"/>
        <v>0</v>
      </c>
      <c r="W57" s="476">
        <f t="shared" si="14"/>
        <v>0</v>
      </c>
    </row>
    <row r="58" spans="1:23">
      <c r="A58" s="357"/>
      <c r="B58" s="252" t="str">
        <f t="shared" si="28"/>
        <v/>
      </c>
      <c r="C58" s="461">
        <f t="shared" si="19"/>
        <v>0</v>
      </c>
      <c r="D58" s="461">
        <f t="shared" si="20"/>
        <v>0</v>
      </c>
      <c r="E58" s="461">
        <f t="shared" si="21"/>
        <v>0</v>
      </c>
      <c r="F58" s="461">
        <f t="shared" si="22"/>
        <v>0</v>
      </c>
      <c r="G58" s="251"/>
      <c r="H58" s="462">
        <f t="shared" si="23"/>
        <v>0</v>
      </c>
      <c r="I58" s="462" t="e">
        <f t="shared" si="24"/>
        <v>#VALUE!</v>
      </c>
      <c r="J58" s="462">
        <f t="shared" si="25"/>
        <v>0</v>
      </c>
      <c r="K58" s="462">
        <f t="shared" si="26"/>
        <v>0</v>
      </c>
      <c r="L58" s="657"/>
      <c r="M58" s="691" t="str">
        <f t="shared" si="15"/>
        <v/>
      </c>
      <c r="N58" s="462">
        <f t="shared" si="27"/>
        <v>0</v>
      </c>
      <c r="O58" s="462">
        <f t="shared" si="16"/>
        <v>0</v>
      </c>
      <c r="P58" s="462">
        <f t="shared" ref="P58:Q70" si="29">IFERROR(IF(VersBer,IF($M58&lt;INT(P$5),0,IF($M58=INT(P$2),P$12,IF($M58&gt;INT(P$2),P$12*(1+P$9)^(IF($M58-P$5&lt;=0,0,$M58-IF(P$5&lt;P$2,P$2,P$5))),0))),0),0)</f>
        <v>0</v>
      </c>
      <c r="Q58" s="462">
        <f t="shared" si="29"/>
        <v>0</v>
      </c>
      <c r="R58" s="462">
        <f>IFERROR(IF(VerBer,IF($M58&lt;INT(R$5),0,IF($M58=INT(R$2),R$12,IF($M58&gt;INT(R$2),R$12*(1+R$9)^(IF($M58-R$5&lt;=0,0,$M58-IF(R$5&lt;R$2,R$2,R$5))),0))),0),0)</f>
        <v>0</v>
      </c>
      <c r="S58" s="227"/>
      <c r="U58" s="476">
        <f t="shared" si="17"/>
        <v>0</v>
      </c>
      <c r="V58" s="476">
        <f t="shared" si="13"/>
        <v>0</v>
      </c>
      <c r="W58" s="476">
        <f t="shared" si="14"/>
        <v>0</v>
      </c>
    </row>
    <row r="59" spans="1:23">
      <c r="A59" s="357"/>
      <c r="B59" s="252" t="str">
        <f t="shared" si="28"/>
        <v/>
      </c>
      <c r="C59" s="461">
        <f t="shared" si="19"/>
        <v>0</v>
      </c>
      <c r="D59" s="461">
        <f t="shared" si="20"/>
        <v>0</v>
      </c>
      <c r="E59" s="461">
        <f t="shared" si="21"/>
        <v>0</v>
      </c>
      <c r="F59" s="461">
        <f t="shared" si="22"/>
        <v>0</v>
      </c>
      <c r="G59" s="251"/>
      <c r="H59" s="463">
        <f t="shared" si="23"/>
        <v>0</v>
      </c>
      <c r="I59" s="463" t="e">
        <f t="shared" si="24"/>
        <v>#VALUE!</v>
      </c>
      <c r="J59" s="463">
        <f t="shared" si="25"/>
        <v>0</v>
      </c>
      <c r="K59" s="463">
        <f t="shared" si="26"/>
        <v>0</v>
      </c>
      <c r="L59" s="658"/>
      <c r="M59" s="693" t="str">
        <f t="shared" si="15"/>
        <v/>
      </c>
      <c r="N59" s="463">
        <f t="shared" si="27"/>
        <v>0</v>
      </c>
      <c r="O59" s="463">
        <f t="shared" si="16"/>
        <v>0</v>
      </c>
      <c r="P59" s="463">
        <f t="shared" si="29"/>
        <v>0</v>
      </c>
      <c r="Q59" s="463">
        <f t="shared" si="29"/>
        <v>0</v>
      </c>
      <c r="R59" s="463">
        <f>IFERROR(IF(VerBer,IF($M59&lt;INT(R$5),0,IF($M59=INT(R$2),R$12,IF($M59&gt;INT(R$2),R$12*(1+R$9)^(IF($M59-R$5&lt;=0,0,$M59-IF(R$5&lt;R$2,R$2,R$5))),0))),0),0)</f>
        <v>0</v>
      </c>
      <c r="S59" s="227"/>
      <c r="U59" s="476">
        <f t="shared" si="17"/>
        <v>0</v>
      </c>
      <c r="V59" s="476">
        <f t="shared" si="13"/>
        <v>0</v>
      </c>
      <c r="W59" s="476">
        <f t="shared" si="14"/>
        <v>0</v>
      </c>
    </row>
    <row r="60" spans="1:23">
      <c r="A60" s="357"/>
      <c r="B60" s="252" t="str">
        <f t="shared" si="28"/>
        <v/>
      </c>
      <c r="C60" s="461">
        <f t="shared" si="19"/>
        <v>0</v>
      </c>
      <c r="D60" s="461">
        <f t="shared" si="20"/>
        <v>0</v>
      </c>
      <c r="E60" s="461">
        <f t="shared" si="21"/>
        <v>0</v>
      </c>
      <c r="F60" s="461">
        <f t="shared" si="22"/>
        <v>0</v>
      </c>
      <c r="G60" s="251"/>
      <c r="H60" s="462">
        <f t="shared" si="23"/>
        <v>0</v>
      </c>
      <c r="I60" s="462" t="e">
        <f t="shared" si="24"/>
        <v>#VALUE!</v>
      </c>
      <c r="J60" s="462">
        <f t="shared" si="25"/>
        <v>0</v>
      </c>
      <c r="K60" s="462">
        <f t="shared" si="26"/>
        <v>0</v>
      </c>
      <c r="L60" s="657"/>
      <c r="M60" s="691" t="str">
        <f t="shared" si="15"/>
        <v/>
      </c>
      <c r="N60" s="462">
        <f t="shared" si="27"/>
        <v>0</v>
      </c>
      <c r="O60" s="462">
        <f t="shared" si="16"/>
        <v>0</v>
      </c>
      <c r="P60" s="462">
        <f t="shared" si="29"/>
        <v>0</v>
      </c>
      <c r="Q60" s="462">
        <f t="shared" si="29"/>
        <v>0</v>
      </c>
      <c r="R60" s="462">
        <f>IFERROR(IF(VerBer,IF($M60&lt;INT(R$5),0,IF($M60=INT(R$2),R$12,IF($M60&gt;INT(R$2),R$12*(1+R$9)^(IF($M60-R$5&lt;=0,0,$M60-IF(R$5&lt;R$2,R$2,R$5))),0))),0),0)</f>
        <v>0</v>
      </c>
      <c r="S60" s="227"/>
      <c r="U60" s="476">
        <f t="shared" si="17"/>
        <v>0</v>
      </c>
      <c r="V60" s="476">
        <f t="shared" si="13"/>
        <v>0</v>
      </c>
      <c r="W60" s="476">
        <f t="shared" si="14"/>
        <v>0</v>
      </c>
    </row>
    <row r="61" spans="1:23">
      <c r="A61" s="357"/>
      <c r="B61" s="252" t="str">
        <f t="shared" si="28"/>
        <v/>
      </c>
      <c r="C61" s="461">
        <f t="shared" si="19"/>
        <v>0</v>
      </c>
      <c r="D61" s="461">
        <f t="shared" si="20"/>
        <v>0</v>
      </c>
      <c r="E61" s="461">
        <f t="shared" si="21"/>
        <v>0</v>
      </c>
      <c r="F61" s="461">
        <f t="shared" si="22"/>
        <v>0</v>
      </c>
      <c r="G61" s="251"/>
      <c r="H61" s="463">
        <f t="shared" si="23"/>
        <v>0</v>
      </c>
      <c r="I61" s="463" t="e">
        <f t="shared" si="24"/>
        <v>#VALUE!</v>
      </c>
      <c r="J61" s="463">
        <f t="shared" si="25"/>
        <v>0</v>
      </c>
      <c r="K61" s="463">
        <f t="shared" si="26"/>
        <v>0</v>
      </c>
      <c r="L61" s="658"/>
      <c r="M61" s="693" t="str">
        <f t="shared" si="15"/>
        <v/>
      </c>
      <c r="N61" s="463">
        <f t="shared" si="27"/>
        <v>0</v>
      </c>
      <c r="O61" s="463">
        <f t="shared" si="16"/>
        <v>0</v>
      </c>
      <c r="P61" s="463">
        <f t="shared" si="29"/>
        <v>0</v>
      </c>
      <c r="Q61" s="463">
        <f t="shared" si="29"/>
        <v>0</v>
      </c>
      <c r="R61" s="463">
        <f>IFERROR(IF(VerBer,IF($M61&lt;INT(R$5),0,IF($M61=INT(R$2),R$12,IF($M61&gt;INT(R$2),R$12*(1+R$9)^(IF($M61-R$5&lt;=0,0,$M61-IF(R$5&lt;R$2,R$2,R$5))),0))),0),0)</f>
        <v>0</v>
      </c>
      <c r="S61" s="227"/>
      <c r="U61" s="476">
        <f t="shared" si="17"/>
        <v>0</v>
      </c>
      <c r="V61" s="476">
        <f t="shared" si="13"/>
        <v>0</v>
      </c>
      <c r="W61" s="476">
        <f t="shared" si="14"/>
        <v>0</v>
      </c>
    </row>
    <row r="62" spans="1:23">
      <c r="A62" s="357"/>
      <c r="B62" s="252" t="str">
        <f t="shared" si="28"/>
        <v/>
      </c>
      <c r="C62" s="461">
        <f t="shared" si="19"/>
        <v>0</v>
      </c>
      <c r="D62" s="461">
        <f t="shared" si="20"/>
        <v>0</v>
      </c>
      <c r="E62" s="461">
        <f t="shared" si="21"/>
        <v>0</v>
      </c>
      <c r="F62" s="461">
        <f t="shared" si="22"/>
        <v>0</v>
      </c>
      <c r="G62" s="251"/>
      <c r="H62" s="462">
        <f t="shared" si="23"/>
        <v>0</v>
      </c>
      <c r="I62" s="462" t="e">
        <f t="shared" si="24"/>
        <v>#VALUE!</v>
      </c>
      <c r="J62" s="462">
        <f t="shared" si="25"/>
        <v>0</v>
      </c>
      <c r="K62" s="462">
        <f t="shared" si="26"/>
        <v>0</v>
      </c>
      <c r="L62" s="657"/>
      <c r="M62" s="691" t="str">
        <f t="shared" si="15"/>
        <v/>
      </c>
      <c r="N62" s="462">
        <f t="shared" si="27"/>
        <v>0</v>
      </c>
      <c r="O62" s="462">
        <f t="shared" si="16"/>
        <v>0</v>
      </c>
      <c r="P62" s="462">
        <f t="shared" si="29"/>
        <v>0</v>
      </c>
      <c r="Q62" s="462">
        <f t="shared" si="29"/>
        <v>0</v>
      </c>
      <c r="R62" s="462">
        <f>IFERROR(IF(VerBer,IF($M62&lt;INT(R$5),0,IF($M62=INT(R$2),R$12,IF($M62&gt;INT(R$2),R$12*(1+R$9)^(IF($M62-R$5&lt;=0,0,$M62-IF(R$5&lt;R$2,R$2,R$5))),0))),0),0)</f>
        <v>0</v>
      </c>
      <c r="S62" s="227"/>
      <c r="U62" s="476">
        <f t="shared" si="17"/>
        <v>0</v>
      </c>
      <c r="V62" s="476">
        <f t="shared" si="13"/>
        <v>0</v>
      </c>
      <c r="W62" s="476">
        <f t="shared" si="14"/>
        <v>0</v>
      </c>
    </row>
    <row r="63" spans="1:23">
      <c r="A63" s="357"/>
      <c r="B63" s="252" t="str">
        <f t="shared" si="28"/>
        <v/>
      </c>
      <c r="C63" s="461">
        <f t="shared" si="19"/>
        <v>0</v>
      </c>
      <c r="D63" s="461">
        <f t="shared" si="20"/>
        <v>0</v>
      </c>
      <c r="E63" s="461">
        <f t="shared" si="21"/>
        <v>0</v>
      </c>
      <c r="F63" s="461">
        <f t="shared" si="22"/>
        <v>0</v>
      </c>
      <c r="G63" s="251"/>
      <c r="H63" s="463">
        <f t="shared" si="23"/>
        <v>0</v>
      </c>
      <c r="I63" s="463" t="e">
        <f t="shared" si="24"/>
        <v>#VALUE!</v>
      </c>
      <c r="J63" s="463">
        <f t="shared" si="25"/>
        <v>0</v>
      </c>
      <c r="K63" s="463">
        <f t="shared" si="26"/>
        <v>0</v>
      </c>
      <c r="L63" s="658"/>
      <c r="M63" s="693" t="str">
        <f t="shared" si="15"/>
        <v/>
      </c>
      <c r="N63" s="463">
        <f t="shared" si="27"/>
        <v>0</v>
      </c>
      <c r="O63" s="463">
        <f t="shared" si="16"/>
        <v>0</v>
      </c>
      <c r="P63" s="463">
        <f t="shared" si="29"/>
        <v>0</v>
      </c>
      <c r="Q63" s="463">
        <f t="shared" si="29"/>
        <v>0</v>
      </c>
      <c r="R63" s="463">
        <f>IFERROR(IF(VerBer,IF($M63&lt;INT(R$5),0,IF($M63=INT(R$2),R$12,IF($M63&gt;INT(R$2),R$12*(1+R$9)^(IF($M63-R$5&lt;=0,0,$M63-IF(R$5&lt;R$2,R$2,R$5))),0))),0),0)</f>
        <v>0</v>
      </c>
      <c r="S63" s="227"/>
      <c r="U63" s="476">
        <f t="shared" si="17"/>
        <v>0</v>
      </c>
      <c r="V63" s="476">
        <f t="shared" si="13"/>
        <v>0</v>
      </c>
      <c r="W63" s="476">
        <f t="shared" si="14"/>
        <v>0</v>
      </c>
    </row>
    <row r="64" spans="1:23">
      <c r="A64" s="357"/>
      <c r="B64" s="252" t="str">
        <f t="shared" si="28"/>
        <v/>
      </c>
      <c r="C64" s="461">
        <f t="shared" si="19"/>
        <v>0</v>
      </c>
      <c r="D64" s="461">
        <f t="shared" si="20"/>
        <v>0</v>
      </c>
      <c r="E64" s="461">
        <f t="shared" si="21"/>
        <v>0</v>
      </c>
      <c r="F64" s="461">
        <f t="shared" si="22"/>
        <v>0</v>
      </c>
      <c r="G64" s="251"/>
      <c r="H64" s="462">
        <f t="shared" si="23"/>
        <v>0</v>
      </c>
      <c r="I64" s="462" t="e">
        <f t="shared" si="24"/>
        <v>#VALUE!</v>
      </c>
      <c r="J64" s="462">
        <f t="shared" si="25"/>
        <v>0</v>
      </c>
      <c r="K64" s="462">
        <f t="shared" si="26"/>
        <v>0</v>
      </c>
      <c r="L64" s="657"/>
      <c r="M64" s="691" t="str">
        <f t="shared" si="15"/>
        <v/>
      </c>
      <c r="N64" s="462">
        <f t="shared" si="27"/>
        <v>0</v>
      </c>
      <c r="O64" s="462">
        <f t="shared" si="16"/>
        <v>0</v>
      </c>
      <c r="P64" s="462">
        <f t="shared" si="29"/>
        <v>0</v>
      </c>
      <c r="Q64" s="462">
        <f t="shared" si="29"/>
        <v>0</v>
      </c>
      <c r="R64" s="462">
        <f>IFERROR(IF(VerBer,IF($M64&lt;INT(R$5),0,IF($M64=INT(R$2),R$12,IF($M64&gt;INT(R$2),R$12*(1+R$9)^(IF($M64-R$5&lt;=0,0,$M64-IF(R$5&lt;R$2,R$2,R$5))),0))),0),0)</f>
        <v>0</v>
      </c>
      <c r="S64" s="227"/>
      <c r="U64" s="476">
        <f t="shared" si="17"/>
        <v>0</v>
      </c>
      <c r="V64" s="476">
        <f t="shared" si="13"/>
        <v>0</v>
      </c>
      <c r="W64" s="476">
        <f t="shared" si="14"/>
        <v>0</v>
      </c>
    </row>
    <row r="65" spans="1:23">
      <c r="A65" s="357"/>
      <c r="B65" s="252" t="str">
        <f t="shared" si="28"/>
        <v/>
      </c>
      <c r="C65" s="461">
        <f t="shared" si="19"/>
        <v>0</v>
      </c>
      <c r="D65" s="461">
        <f t="shared" si="20"/>
        <v>0</v>
      </c>
      <c r="E65" s="461">
        <f t="shared" si="21"/>
        <v>0</v>
      </c>
      <c r="F65" s="461">
        <f t="shared" si="22"/>
        <v>0</v>
      </c>
      <c r="G65" s="251"/>
      <c r="H65" s="463">
        <f t="shared" si="23"/>
        <v>0</v>
      </c>
      <c r="I65" s="463" t="e">
        <f t="shared" si="24"/>
        <v>#VALUE!</v>
      </c>
      <c r="J65" s="463">
        <f t="shared" si="25"/>
        <v>0</v>
      </c>
      <c r="K65" s="463">
        <f t="shared" si="26"/>
        <v>0</v>
      </c>
      <c r="L65" s="658"/>
      <c r="M65" s="693" t="str">
        <f t="shared" si="15"/>
        <v/>
      </c>
      <c r="N65" s="463">
        <f t="shared" si="27"/>
        <v>0</v>
      </c>
      <c r="O65" s="463">
        <f t="shared" si="16"/>
        <v>0</v>
      </c>
      <c r="P65" s="463">
        <f t="shared" si="29"/>
        <v>0</v>
      </c>
      <c r="Q65" s="463">
        <f t="shared" si="29"/>
        <v>0</v>
      </c>
      <c r="R65" s="463">
        <f>IFERROR(IF(VerBer,IF($M65&lt;INT(R$5),0,IF($M65=INT(R$2),R$12,IF($M65&gt;INT(R$2),R$12*(1+R$9)^(IF($M65-R$5&lt;=0,0,$M65-IF(R$5&lt;R$2,R$2,R$5))),0))),0),0)</f>
        <v>0</v>
      </c>
      <c r="S65" s="227"/>
      <c r="U65" s="476">
        <f t="shared" si="17"/>
        <v>0</v>
      </c>
      <c r="V65" s="476">
        <f t="shared" si="13"/>
        <v>0</v>
      </c>
      <c r="W65" s="476">
        <f t="shared" si="14"/>
        <v>0</v>
      </c>
    </row>
    <row r="66" spans="1:23">
      <c r="A66" s="357"/>
      <c r="B66" s="252" t="str">
        <f t="shared" si="28"/>
        <v/>
      </c>
      <c r="C66" s="461">
        <f t="shared" si="19"/>
        <v>0</v>
      </c>
      <c r="D66" s="461">
        <f t="shared" si="20"/>
        <v>0</v>
      </c>
      <c r="E66" s="461">
        <f t="shared" si="21"/>
        <v>0</v>
      </c>
      <c r="F66" s="461">
        <f t="shared" si="22"/>
        <v>0</v>
      </c>
      <c r="G66" s="251"/>
      <c r="H66" s="462">
        <f t="shared" si="23"/>
        <v>0</v>
      </c>
      <c r="I66" s="462" t="e">
        <f t="shared" si="24"/>
        <v>#VALUE!</v>
      </c>
      <c r="J66" s="462">
        <f t="shared" si="25"/>
        <v>0</v>
      </c>
      <c r="K66" s="462">
        <f t="shared" si="26"/>
        <v>0</v>
      </c>
      <c r="L66" s="657"/>
      <c r="M66" s="691" t="str">
        <f t="shared" si="15"/>
        <v/>
      </c>
      <c r="N66" s="462">
        <f t="shared" si="27"/>
        <v>0</v>
      </c>
      <c r="O66" s="462">
        <f t="shared" si="16"/>
        <v>0</v>
      </c>
      <c r="P66" s="462">
        <f t="shared" si="29"/>
        <v>0</v>
      </c>
      <c r="Q66" s="462">
        <f t="shared" si="29"/>
        <v>0</v>
      </c>
      <c r="R66" s="462">
        <f>IFERROR(IF(VerBer,IF($M66&lt;INT(R$5),0,IF($M66=INT(R$2),R$12,IF($M66&gt;INT(R$2),R$12*(1+R$9)^(IF($M66-R$5&lt;=0,0,$M66-IF(R$5&lt;R$2,R$2,R$5))),0))),0),0)</f>
        <v>0</v>
      </c>
      <c r="S66" s="227"/>
      <c r="U66" s="476">
        <f t="shared" si="17"/>
        <v>0</v>
      </c>
      <c r="V66" s="476">
        <f t="shared" si="13"/>
        <v>0</v>
      </c>
      <c r="W66" s="476">
        <f t="shared" si="14"/>
        <v>0</v>
      </c>
    </row>
    <row r="67" spans="1:23">
      <c r="A67" s="357"/>
      <c r="B67" s="252" t="str">
        <f t="shared" si="28"/>
        <v/>
      </c>
      <c r="C67" s="461">
        <f t="shared" si="19"/>
        <v>0</v>
      </c>
      <c r="D67" s="461">
        <f t="shared" si="20"/>
        <v>0</v>
      </c>
      <c r="E67" s="461">
        <f t="shared" si="21"/>
        <v>0</v>
      </c>
      <c r="F67" s="461">
        <f t="shared" si="22"/>
        <v>0</v>
      </c>
      <c r="G67" s="251"/>
      <c r="H67" s="463">
        <f t="shared" si="23"/>
        <v>0</v>
      </c>
      <c r="I67" s="463" t="e">
        <f t="shared" si="24"/>
        <v>#VALUE!</v>
      </c>
      <c r="J67" s="463">
        <f t="shared" si="25"/>
        <v>0</v>
      </c>
      <c r="K67" s="463">
        <f t="shared" si="26"/>
        <v>0</v>
      </c>
      <c r="L67" s="658"/>
      <c r="M67" s="693" t="str">
        <f t="shared" si="15"/>
        <v/>
      </c>
      <c r="N67" s="463">
        <f t="shared" si="27"/>
        <v>0</v>
      </c>
      <c r="O67" s="463">
        <f t="shared" si="16"/>
        <v>0</v>
      </c>
      <c r="P67" s="463">
        <f t="shared" si="29"/>
        <v>0</v>
      </c>
      <c r="Q67" s="463">
        <f t="shared" si="29"/>
        <v>0</v>
      </c>
      <c r="R67" s="463">
        <f>IFERROR(IF(VerBer,IF($M67&lt;INT(R$5),0,IF($M67=INT(R$2),R$12,IF($M67&gt;INT(R$2),R$12*(1+R$9)^(IF($M67-R$5&lt;=0,0,$M67-IF(R$5&lt;R$2,R$2,R$5))),0))),0),0)</f>
        <v>0</v>
      </c>
      <c r="S67" s="227"/>
      <c r="U67" s="476">
        <f t="shared" si="17"/>
        <v>0</v>
      </c>
      <c r="V67" s="476">
        <f t="shared" si="13"/>
        <v>0</v>
      </c>
      <c r="W67" s="476">
        <f t="shared" si="14"/>
        <v>0</v>
      </c>
    </row>
    <row r="68" spans="1:23">
      <c r="A68" s="357"/>
      <c r="B68" s="252" t="str">
        <f t="shared" si="28"/>
        <v/>
      </c>
      <c r="C68" s="461">
        <f t="shared" si="19"/>
        <v>0</v>
      </c>
      <c r="D68" s="461">
        <f t="shared" si="20"/>
        <v>0</v>
      </c>
      <c r="E68" s="461">
        <f t="shared" si="21"/>
        <v>0</v>
      </c>
      <c r="F68" s="461">
        <f t="shared" si="22"/>
        <v>0</v>
      </c>
      <c r="G68" s="251"/>
      <c r="H68" s="462">
        <f t="shared" si="23"/>
        <v>0</v>
      </c>
      <c r="I68" s="462" t="e">
        <f t="shared" si="24"/>
        <v>#VALUE!</v>
      </c>
      <c r="J68" s="462">
        <f t="shared" si="25"/>
        <v>0</v>
      </c>
      <c r="K68" s="462">
        <f t="shared" si="26"/>
        <v>0</v>
      </c>
      <c r="L68" s="657"/>
      <c r="M68" s="691" t="str">
        <f t="shared" si="15"/>
        <v/>
      </c>
      <c r="N68" s="462">
        <f t="shared" si="27"/>
        <v>0</v>
      </c>
      <c r="O68" s="462">
        <f t="shared" si="16"/>
        <v>0</v>
      </c>
      <c r="P68" s="462">
        <f t="shared" si="29"/>
        <v>0</v>
      </c>
      <c r="Q68" s="462">
        <f t="shared" si="29"/>
        <v>0</v>
      </c>
      <c r="R68" s="462">
        <f>IFERROR(IF(VerBer,IF($M68&lt;INT(R$5),0,IF($M68=INT(R$2),R$12,IF($M68&gt;INT(R$2),R$12*(1+R$9)^(IF($M68-R$5&lt;=0,0,$M68-IF(R$5&lt;R$2,R$2,R$5))),0))),0),0)</f>
        <v>0</v>
      </c>
      <c r="S68" s="227"/>
      <c r="U68" s="476">
        <f t="shared" si="17"/>
        <v>0</v>
      </c>
      <c r="V68" s="476">
        <f t="shared" si="13"/>
        <v>0</v>
      </c>
      <c r="W68" s="476">
        <f t="shared" si="14"/>
        <v>0</v>
      </c>
    </row>
    <row r="69" spans="1:23">
      <c r="A69" s="357"/>
      <c r="B69" s="252" t="str">
        <f t="shared" si="28"/>
        <v/>
      </c>
      <c r="C69" s="461">
        <f t="shared" si="19"/>
        <v>0</v>
      </c>
      <c r="D69" s="461">
        <f t="shared" si="20"/>
        <v>0</v>
      </c>
      <c r="E69" s="461">
        <f t="shared" si="21"/>
        <v>0</v>
      </c>
      <c r="F69" s="461">
        <f t="shared" si="22"/>
        <v>0</v>
      </c>
      <c r="G69" s="251"/>
      <c r="H69" s="463">
        <f t="shared" si="23"/>
        <v>0</v>
      </c>
      <c r="I69" s="463" t="e">
        <f t="shared" si="24"/>
        <v>#VALUE!</v>
      </c>
      <c r="J69" s="463">
        <f t="shared" si="25"/>
        <v>0</v>
      </c>
      <c r="K69" s="463">
        <f t="shared" si="26"/>
        <v>0</v>
      </c>
      <c r="L69" s="658"/>
      <c r="M69" s="693" t="str">
        <f t="shared" si="15"/>
        <v/>
      </c>
      <c r="N69" s="463">
        <f t="shared" si="27"/>
        <v>0</v>
      </c>
      <c r="O69" s="463">
        <f t="shared" si="16"/>
        <v>0</v>
      </c>
      <c r="P69" s="463">
        <f t="shared" si="29"/>
        <v>0</v>
      </c>
      <c r="Q69" s="463">
        <f t="shared" si="29"/>
        <v>0</v>
      </c>
      <c r="R69" s="463">
        <f>IFERROR(IF(VerBer,IF($M69&lt;INT(R$5),0,IF($M69=INT(R$2),R$12,IF($M69&gt;INT(R$2),R$12*(1+R$9)^(IF($M69-R$5&lt;=0,0,$M69-IF(R$5&lt;R$2,R$2,R$5))),0))),0),0)</f>
        <v>0</v>
      </c>
      <c r="S69" s="227"/>
      <c r="U69" s="476">
        <f t="shared" si="17"/>
        <v>0</v>
      </c>
      <c r="V69" s="476">
        <f t="shared" si="13"/>
        <v>0</v>
      </c>
      <c r="W69" s="476">
        <f t="shared" si="14"/>
        <v>0</v>
      </c>
    </row>
    <row r="70" spans="1:23">
      <c r="A70" s="357"/>
      <c r="B70" s="252" t="str">
        <f t="shared" si="28"/>
        <v/>
      </c>
      <c r="C70" s="461">
        <f t="shared" si="19"/>
        <v>0</v>
      </c>
      <c r="D70" s="461">
        <f t="shared" si="20"/>
        <v>0</v>
      </c>
      <c r="E70" s="461">
        <f t="shared" si="21"/>
        <v>0</v>
      </c>
      <c r="F70" s="461">
        <f t="shared" si="22"/>
        <v>0</v>
      </c>
      <c r="G70" s="251"/>
      <c r="H70" s="462">
        <f t="shared" si="23"/>
        <v>0</v>
      </c>
      <c r="I70" s="462" t="e">
        <f t="shared" si="24"/>
        <v>#VALUE!</v>
      </c>
      <c r="J70" s="462">
        <f t="shared" si="25"/>
        <v>0</v>
      </c>
      <c r="K70" s="462">
        <f t="shared" si="26"/>
        <v>0</v>
      </c>
      <c r="L70" s="657"/>
      <c r="M70" s="691" t="str">
        <f t="shared" si="15"/>
        <v/>
      </c>
      <c r="N70" s="462">
        <f t="shared" si="27"/>
        <v>0</v>
      </c>
      <c r="O70" s="462">
        <f t="shared" si="16"/>
        <v>0</v>
      </c>
      <c r="P70" s="462">
        <f t="shared" si="29"/>
        <v>0</v>
      </c>
      <c r="Q70" s="462">
        <f t="shared" si="29"/>
        <v>0</v>
      </c>
      <c r="R70" s="462">
        <f>IFERROR(IF(VerBer,IF($M70&lt;INT(R$5),0,IF($M70=INT(R$2),R$12,IF($M70&gt;INT(R$2),R$12*(1+R$9)^(IF($M70-R$5&lt;=0,0,$M70-IF(R$5&lt;R$2,R$2,R$5))),0))),0),0)</f>
        <v>0</v>
      </c>
      <c r="S70" s="227"/>
      <c r="U70" s="476">
        <f t="shared" si="17"/>
        <v>0</v>
      </c>
      <c r="V70" s="476">
        <f t="shared" si="13"/>
        <v>0</v>
      </c>
      <c r="W70" s="476">
        <f t="shared" si="14"/>
        <v>0</v>
      </c>
    </row>
    <row r="71" spans="1:23">
      <c r="A71" s="357"/>
      <c r="B71" s="252" t="str">
        <f t="shared" si="28"/>
        <v/>
      </c>
      <c r="C71" s="461">
        <f t="shared" si="19"/>
        <v>0</v>
      </c>
      <c r="D71" s="461">
        <f t="shared" si="20"/>
        <v>0</v>
      </c>
      <c r="E71" s="461">
        <f t="shared" si="21"/>
        <v>0</v>
      </c>
      <c r="F71" s="461">
        <f t="shared" si="22"/>
        <v>0</v>
      </c>
      <c r="G71" s="251"/>
      <c r="H71" s="463">
        <f t="shared" si="23"/>
        <v>0</v>
      </c>
      <c r="I71" s="463" t="e">
        <f t="shared" si="24"/>
        <v>#VALUE!</v>
      </c>
      <c r="J71" s="463">
        <f t="shared" si="25"/>
        <v>0</v>
      </c>
      <c r="K71" s="463">
        <f t="shared" si="26"/>
        <v>0</v>
      </c>
      <c r="L71" s="658"/>
      <c r="M71" s="693" t="str">
        <f t="shared" si="15"/>
        <v/>
      </c>
      <c r="N71" s="463">
        <f t="shared" si="27"/>
        <v>0</v>
      </c>
      <c r="O71" s="463">
        <f t="shared" si="16"/>
        <v>0</v>
      </c>
      <c r="P71" s="462">
        <f t="shared" ref="P71:R93" si="30">IFERROR(IF($M71&lt;INT(P$5),0,IF($M71=INT(P$2),P$12,IF($M71&gt;INT(P$2),P$12*(1+P$9)^(IF($M71-P$5&lt;=0,0,$M71-IF(P$5&lt;P$2,P$2,P$5))),0))),0)</f>
        <v>0</v>
      </c>
      <c r="Q71" s="462">
        <f t="shared" si="30"/>
        <v>0</v>
      </c>
      <c r="R71" s="462">
        <f t="shared" si="30"/>
        <v>0</v>
      </c>
      <c r="S71" s="227"/>
      <c r="U71" s="476">
        <f t="shared" si="17"/>
        <v>0</v>
      </c>
      <c r="V71" s="476">
        <f t="shared" si="13"/>
        <v>0</v>
      </c>
      <c r="W71" s="476">
        <f t="shared" si="14"/>
        <v>0</v>
      </c>
    </row>
    <row r="72" spans="1:23">
      <c r="A72" s="357"/>
      <c r="B72" s="252" t="str">
        <f t="shared" si="28"/>
        <v/>
      </c>
      <c r="C72" s="461">
        <f t="shared" si="19"/>
        <v>0</v>
      </c>
      <c r="D72" s="461">
        <f t="shared" si="20"/>
        <v>0</v>
      </c>
      <c r="E72" s="461">
        <f t="shared" si="21"/>
        <v>0</v>
      </c>
      <c r="F72" s="461">
        <f t="shared" si="22"/>
        <v>0</v>
      </c>
      <c r="G72" s="251"/>
      <c r="H72" s="462">
        <f t="shared" si="23"/>
        <v>0</v>
      </c>
      <c r="I72" s="462" t="e">
        <f t="shared" si="24"/>
        <v>#VALUE!</v>
      </c>
      <c r="J72" s="462">
        <f t="shared" si="25"/>
        <v>0</v>
      </c>
      <c r="K72" s="462">
        <f t="shared" si="26"/>
        <v>0</v>
      </c>
      <c r="L72" s="657"/>
      <c r="M72" s="691" t="str">
        <f t="shared" si="15"/>
        <v/>
      </c>
      <c r="N72" s="462">
        <f t="shared" si="27"/>
        <v>0</v>
      </c>
      <c r="O72" s="462">
        <f t="shared" si="16"/>
        <v>0</v>
      </c>
      <c r="P72" s="462">
        <f t="shared" si="30"/>
        <v>0</v>
      </c>
      <c r="Q72" s="462">
        <f t="shared" si="30"/>
        <v>0</v>
      </c>
      <c r="R72" s="692">
        <f t="shared" si="30"/>
        <v>0</v>
      </c>
      <c r="S72" s="227"/>
      <c r="U72" s="476">
        <f t="shared" si="17"/>
        <v>0</v>
      </c>
      <c r="V72" s="476">
        <f t="shared" si="13"/>
        <v>0</v>
      </c>
      <c r="W72" s="476">
        <f t="shared" si="14"/>
        <v>0</v>
      </c>
    </row>
    <row r="73" spans="1:23">
      <c r="A73" s="357"/>
      <c r="B73" s="252" t="str">
        <f t="shared" si="28"/>
        <v/>
      </c>
      <c r="C73" s="461">
        <f t="shared" si="19"/>
        <v>0</v>
      </c>
      <c r="D73" s="461">
        <f t="shared" si="20"/>
        <v>0</v>
      </c>
      <c r="E73" s="461">
        <f t="shared" si="21"/>
        <v>0</v>
      </c>
      <c r="F73" s="461">
        <f t="shared" si="22"/>
        <v>0</v>
      </c>
      <c r="G73" s="251"/>
      <c r="H73" s="463">
        <f t="shared" si="23"/>
        <v>0</v>
      </c>
      <c r="I73" s="463" t="e">
        <f t="shared" si="24"/>
        <v>#VALUE!</v>
      </c>
      <c r="J73" s="463">
        <f t="shared" si="25"/>
        <v>0</v>
      </c>
      <c r="K73" s="463">
        <f t="shared" si="26"/>
        <v>0</v>
      </c>
      <c r="L73" s="658"/>
      <c r="M73" s="693" t="str">
        <f t="shared" si="15"/>
        <v/>
      </c>
      <c r="N73" s="463">
        <f t="shared" si="27"/>
        <v>0</v>
      </c>
      <c r="O73" s="463">
        <f t="shared" si="16"/>
        <v>0</v>
      </c>
      <c r="P73" s="463">
        <f t="shared" si="30"/>
        <v>0</v>
      </c>
      <c r="Q73" s="463">
        <f t="shared" si="30"/>
        <v>0</v>
      </c>
      <c r="R73" s="694">
        <f t="shared" si="30"/>
        <v>0</v>
      </c>
      <c r="S73" s="227"/>
      <c r="U73" s="476">
        <f t="shared" si="17"/>
        <v>0</v>
      </c>
      <c r="V73" s="476">
        <f t="shared" si="13"/>
        <v>0</v>
      </c>
      <c r="W73" s="476">
        <f t="shared" si="14"/>
        <v>0</v>
      </c>
    </row>
    <row r="74" spans="1:23">
      <c r="A74" s="357"/>
      <c r="B74" s="252" t="str">
        <f t="shared" si="28"/>
        <v/>
      </c>
      <c r="C74" s="461">
        <f t="shared" si="19"/>
        <v>0</v>
      </c>
      <c r="D74" s="461">
        <f t="shared" si="20"/>
        <v>0</v>
      </c>
      <c r="E74" s="461">
        <f t="shared" si="21"/>
        <v>0</v>
      </c>
      <c r="F74" s="461">
        <f t="shared" si="22"/>
        <v>0</v>
      </c>
      <c r="G74" s="251"/>
      <c r="H74" s="462">
        <f t="shared" si="23"/>
        <v>0</v>
      </c>
      <c r="I74" s="462" t="e">
        <f t="shared" si="24"/>
        <v>#VALUE!</v>
      </c>
      <c r="J74" s="462">
        <f t="shared" si="25"/>
        <v>0</v>
      </c>
      <c r="K74" s="462">
        <f t="shared" si="26"/>
        <v>0</v>
      </c>
      <c r="L74" s="657"/>
      <c r="M74" s="691" t="str">
        <f t="shared" si="15"/>
        <v/>
      </c>
      <c r="N74" s="462">
        <f t="shared" si="27"/>
        <v>0</v>
      </c>
      <c r="O74" s="462">
        <f t="shared" si="16"/>
        <v>0</v>
      </c>
      <c r="P74" s="462">
        <f t="shared" si="30"/>
        <v>0</v>
      </c>
      <c r="Q74" s="462">
        <f t="shared" si="30"/>
        <v>0</v>
      </c>
      <c r="R74" s="692">
        <f t="shared" si="30"/>
        <v>0</v>
      </c>
      <c r="S74" s="227"/>
      <c r="U74" s="476">
        <f t="shared" si="17"/>
        <v>0</v>
      </c>
      <c r="V74" s="476">
        <f t="shared" si="13"/>
        <v>0</v>
      </c>
      <c r="W74" s="476">
        <f t="shared" si="14"/>
        <v>0</v>
      </c>
    </row>
    <row r="75" spans="1:23">
      <c r="A75" s="357"/>
      <c r="B75" s="252" t="str">
        <f t="shared" si="28"/>
        <v/>
      </c>
      <c r="C75" s="461">
        <f t="shared" si="19"/>
        <v>0</v>
      </c>
      <c r="D75" s="461">
        <f t="shared" si="20"/>
        <v>0</v>
      </c>
      <c r="E75" s="461">
        <f t="shared" si="21"/>
        <v>0</v>
      </c>
      <c r="F75" s="461">
        <f t="shared" si="22"/>
        <v>0</v>
      </c>
      <c r="G75" s="251"/>
      <c r="H75" s="463">
        <f t="shared" si="23"/>
        <v>0</v>
      </c>
      <c r="I75" s="463" t="e">
        <f t="shared" si="24"/>
        <v>#VALUE!</v>
      </c>
      <c r="J75" s="463">
        <f t="shared" si="25"/>
        <v>0</v>
      </c>
      <c r="K75" s="463">
        <f t="shared" si="26"/>
        <v>0</v>
      </c>
      <c r="L75" s="658"/>
      <c r="M75" s="693" t="str">
        <f t="shared" si="15"/>
        <v/>
      </c>
      <c r="N75" s="463">
        <f t="shared" si="27"/>
        <v>0</v>
      </c>
      <c r="O75" s="463">
        <f t="shared" si="16"/>
        <v>0</v>
      </c>
      <c r="P75" s="463">
        <f t="shared" si="30"/>
        <v>0</v>
      </c>
      <c r="Q75" s="463">
        <f t="shared" si="30"/>
        <v>0</v>
      </c>
      <c r="R75" s="694">
        <f t="shared" si="30"/>
        <v>0</v>
      </c>
      <c r="S75" s="227"/>
      <c r="U75" s="476">
        <f t="shared" si="17"/>
        <v>0</v>
      </c>
      <c r="V75" s="476">
        <f t="shared" si="13"/>
        <v>0</v>
      </c>
      <c r="W75" s="476">
        <f t="shared" si="14"/>
        <v>0</v>
      </c>
    </row>
    <row r="76" spans="1:23">
      <c r="A76" s="357"/>
      <c r="B76" s="252" t="str">
        <f t="shared" si="28"/>
        <v/>
      </c>
      <c r="C76" s="461">
        <f t="shared" si="19"/>
        <v>0</v>
      </c>
      <c r="D76" s="461">
        <f t="shared" si="20"/>
        <v>0</v>
      </c>
      <c r="E76" s="461">
        <f t="shared" si="21"/>
        <v>0</v>
      </c>
      <c r="F76" s="461">
        <f t="shared" si="22"/>
        <v>0</v>
      </c>
      <c r="G76" s="251"/>
      <c r="H76" s="462">
        <f t="shared" si="23"/>
        <v>0</v>
      </c>
      <c r="I76" s="462" t="e">
        <f t="shared" si="24"/>
        <v>#VALUE!</v>
      </c>
      <c r="J76" s="462">
        <f t="shared" si="25"/>
        <v>0</v>
      </c>
      <c r="K76" s="462">
        <f t="shared" si="26"/>
        <v>0</v>
      </c>
      <c r="L76" s="657"/>
      <c r="M76" s="691" t="str">
        <f t="shared" si="15"/>
        <v/>
      </c>
      <c r="N76" s="462">
        <f t="shared" si="27"/>
        <v>0</v>
      </c>
      <c r="O76" s="462">
        <f t="shared" si="16"/>
        <v>0</v>
      </c>
      <c r="P76" s="462">
        <f t="shared" si="30"/>
        <v>0</v>
      </c>
      <c r="Q76" s="462">
        <f t="shared" si="30"/>
        <v>0</v>
      </c>
      <c r="R76" s="692">
        <f t="shared" si="30"/>
        <v>0</v>
      </c>
      <c r="S76" s="227"/>
      <c r="U76" s="476">
        <f t="shared" si="17"/>
        <v>0</v>
      </c>
      <c r="V76" s="476">
        <f t="shared" si="13"/>
        <v>0</v>
      </c>
      <c r="W76" s="476">
        <f t="shared" si="14"/>
        <v>0</v>
      </c>
    </row>
    <row r="77" spans="1:23">
      <c r="A77" s="357"/>
      <c r="B77" s="252" t="str">
        <f t="shared" si="28"/>
        <v/>
      </c>
      <c r="C77" s="461">
        <f t="shared" si="19"/>
        <v>0</v>
      </c>
      <c r="D77" s="461">
        <f t="shared" si="20"/>
        <v>0</v>
      </c>
      <c r="E77" s="461">
        <f t="shared" si="21"/>
        <v>0</v>
      </c>
      <c r="F77" s="461">
        <f t="shared" si="22"/>
        <v>0</v>
      </c>
      <c r="G77" s="251"/>
      <c r="H77" s="463">
        <f t="shared" si="23"/>
        <v>0</v>
      </c>
      <c r="I77" s="463" t="e">
        <f t="shared" si="24"/>
        <v>#VALUE!</v>
      </c>
      <c r="J77" s="463">
        <f t="shared" si="25"/>
        <v>0</v>
      </c>
      <c r="K77" s="463">
        <f t="shared" si="26"/>
        <v>0</v>
      </c>
      <c r="L77" s="658"/>
      <c r="M77" s="693" t="str">
        <f t="shared" si="15"/>
        <v/>
      </c>
      <c r="N77" s="463">
        <f t="shared" si="27"/>
        <v>0</v>
      </c>
      <c r="O77" s="463">
        <f t="shared" si="16"/>
        <v>0</v>
      </c>
      <c r="P77" s="463">
        <f t="shared" si="30"/>
        <v>0</v>
      </c>
      <c r="Q77" s="463">
        <f t="shared" si="30"/>
        <v>0</v>
      </c>
      <c r="R77" s="694">
        <f t="shared" si="30"/>
        <v>0</v>
      </c>
      <c r="S77" s="227"/>
      <c r="U77" s="476">
        <f t="shared" si="17"/>
        <v>0</v>
      </c>
      <c r="V77" s="476">
        <f t="shared" si="13"/>
        <v>0</v>
      </c>
      <c r="W77" s="476">
        <f t="shared" si="14"/>
        <v>0</v>
      </c>
    </row>
    <row r="78" spans="1:23">
      <c r="A78" s="357"/>
      <c r="B78" s="252" t="str">
        <f t="shared" si="28"/>
        <v/>
      </c>
      <c r="C78" s="461">
        <f t="shared" si="19"/>
        <v>0</v>
      </c>
      <c r="D78" s="461">
        <f t="shared" si="20"/>
        <v>0</v>
      </c>
      <c r="E78" s="461">
        <f t="shared" si="21"/>
        <v>0</v>
      </c>
      <c r="F78" s="461">
        <f t="shared" si="22"/>
        <v>0</v>
      </c>
      <c r="G78" s="251"/>
      <c r="H78" s="462">
        <f t="shared" si="23"/>
        <v>0</v>
      </c>
      <c r="I78" s="462" t="e">
        <f t="shared" si="24"/>
        <v>#VALUE!</v>
      </c>
      <c r="J78" s="462">
        <f t="shared" si="25"/>
        <v>0</v>
      </c>
      <c r="K78" s="462">
        <f t="shared" si="26"/>
        <v>0</v>
      </c>
      <c r="L78" s="657"/>
      <c r="M78" s="691" t="str">
        <f t="shared" si="15"/>
        <v/>
      </c>
      <c r="N78" s="462">
        <f t="shared" si="27"/>
        <v>0</v>
      </c>
      <c r="O78" s="462">
        <f t="shared" si="16"/>
        <v>0</v>
      </c>
      <c r="P78" s="462">
        <f t="shared" si="30"/>
        <v>0</v>
      </c>
      <c r="Q78" s="462">
        <f t="shared" si="30"/>
        <v>0</v>
      </c>
      <c r="R78" s="692">
        <f t="shared" si="30"/>
        <v>0</v>
      </c>
      <c r="S78" s="227"/>
      <c r="U78" s="476">
        <f t="shared" si="17"/>
        <v>0</v>
      </c>
      <c r="V78" s="476">
        <f t="shared" si="13"/>
        <v>0</v>
      </c>
      <c r="W78" s="476">
        <f t="shared" si="14"/>
        <v>0</v>
      </c>
    </row>
    <row r="79" spans="1:23">
      <c r="A79" s="357"/>
      <c r="B79" s="252" t="str">
        <f t="shared" si="28"/>
        <v/>
      </c>
      <c r="C79" s="461">
        <f t="shared" si="19"/>
        <v>0</v>
      </c>
      <c r="D79" s="461">
        <f t="shared" si="20"/>
        <v>0</v>
      </c>
      <c r="E79" s="461">
        <f t="shared" si="21"/>
        <v>0</v>
      </c>
      <c r="F79" s="461">
        <f t="shared" si="22"/>
        <v>0</v>
      </c>
      <c r="G79" s="251"/>
      <c r="H79" s="463">
        <f t="shared" si="23"/>
        <v>0</v>
      </c>
      <c r="I79" s="463" t="e">
        <f t="shared" si="24"/>
        <v>#VALUE!</v>
      </c>
      <c r="J79" s="463">
        <f t="shared" si="25"/>
        <v>0</v>
      </c>
      <c r="K79" s="463">
        <f t="shared" si="26"/>
        <v>0</v>
      </c>
      <c r="L79" s="658"/>
      <c r="M79" s="693" t="str">
        <f t="shared" si="15"/>
        <v/>
      </c>
      <c r="N79" s="463">
        <f t="shared" si="27"/>
        <v>0</v>
      </c>
      <c r="O79" s="463">
        <f t="shared" si="16"/>
        <v>0</v>
      </c>
      <c r="P79" s="463">
        <f t="shared" si="30"/>
        <v>0</v>
      </c>
      <c r="Q79" s="463">
        <f t="shared" si="30"/>
        <v>0</v>
      </c>
      <c r="R79" s="694">
        <f t="shared" si="30"/>
        <v>0</v>
      </c>
      <c r="S79" s="227"/>
      <c r="U79" s="476">
        <f t="shared" si="17"/>
        <v>0</v>
      </c>
      <c r="V79" s="476">
        <f t="shared" si="13"/>
        <v>0</v>
      </c>
      <c r="W79" s="476">
        <f t="shared" si="14"/>
        <v>0</v>
      </c>
    </row>
    <row r="80" spans="1:23">
      <c r="A80" s="357"/>
      <c r="B80" s="252" t="str">
        <f t="shared" si="28"/>
        <v/>
      </c>
      <c r="C80" s="461">
        <f t="shared" si="19"/>
        <v>0</v>
      </c>
      <c r="D80" s="461">
        <f t="shared" si="20"/>
        <v>0</v>
      </c>
      <c r="E80" s="461">
        <f t="shared" si="21"/>
        <v>0</v>
      </c>
      <c r="F80" s="461">
        <f t="shared" si="22"/>
        <v>0</v>
      </c>
      <c r="G80" s="251"/>
      <c r="H80" s="462">
        <f t="shared" si="23"/>
        <v>0</v>
      </c>
      <c r="I80" s="462" t="e">
        <f t="shared" si="24"/>
        <v>#VALUE!</v>
      </c>
      <c r="J80" s="462">
        <f t="shared" si="25"/>
        <v>0</v>
      </c>
      <c r="K80" s="462">
        <f t="shared" si="26"/>
        <v>0</v>
      </c>
      <c r="L80" s="657"/>
      <c r="M80" s="691" t="str">
        <f t="shared" si="15"/>
        <v/>
      </c>
      <c r="N80" s="462">
        <f t="shared" si="27"/>
        <v>0</v>
      </c>
      <c r="O80" s="462">
        <f t="shared" si="16"/>
        <v>0</v>
      </c>
      <c r="P80" s="462">
        <f t="shared" si="30"/>
        <v>0</v>
      </c>
      <c r="Q80" s="462">
        <f t="shared" si="30"/>
        <v>0</v>
      </c>
      <c r="R80" s="692">
        <f t="shared" si="30"/>
        <v>0</v>
      </c>
      <c r="S80" s="227"/>
      <c r="U80" s="476">
        <f t="shared" si="17"/>
        <v>0</v>
      </c>
      <c r="V80" s="476">
        <f t="shared" si="13"/>
        <v>0</v>
      </c>
      <c r="W80" s="476">
        <f t="shared" si="14"/>
        <v>0</v>
      </c>
    </row>
    <row r="81" spans="1:23">
      <c r="A81" s="357"/>
      <c r="B81" s="252" t="str">
        <f t="shared" si="28"/>
        <v/>
      </c>
      <c r="C81" s="461">
        <f t="shared" si="19"/>
        <v>0</v>
      </c>
      <c r="D81" s="461">
        <f t="shared" si="20"/>
        <v>0</v>
      </c>
      <c r="E81" s="461">
        <f t="shared" si="21"/>
        <v>0</v>
      </c>
      <c r="F81" s="461">
        <f t="shared" si="22"/>
        <v>0</v>
      </c>
      <c r="G81" s="251"/>
      <c r="H81" s="463">
        <f t="shared" si="23"/>
        <v>0</v>
      </c>
      <c r="I81" s="463" t="e">
        <f t="shared" si="24"/>
        <v>#VALUE!</v>
      </c>
      <c r="J81" s="463">
        <f t="shared" si="25"/>
        <v>0</v>
      </c>
      <c r="K81" s="463">
        <f t="shared" si="26"/>
        <v>0</v>
      </c>
      <c r="L81" s="658"/>
      <c r="M81" s="693" t="str">
        <f t="shared" si="15"/>
        <v/>
      </c>
      <c r="N81" s="463">
        <f t="shared" si="27"/>
        <v>0</v>
      </c>
      <c r="O81" s="463">
        <f t="shared" si="16"/>
        <v>0</v>
      </c>
      <c r="P81" s="463">
        <f t="shared" si="30"/>
        <v>0</v>
      </c>
      <c r="Q81" s="463">
        <f t="shared" si="30"/>
        <v>0</v>
      </c>
      <c r="R81" s="694">
        <f t="shared" si="30"/>
        <v>0</v>
      </c>
      <c r="S81" s="227"/>
      <c r="U81" s="476">
        <f t="shared" si="17"/>
        <v>0</v>
      </c>
      <c r="V81" s="476">
        <f t="shared" si="13"/>
        <v>0</v>
      </c>
      <c r="W81" s="476">
        <f t="shared" si="14"/>
        <v>0</v>
      </c>
    </row>
    <row r="82" spans="1:23">
      <c r="A82" s="357"/>
      <c r="B82" s="252" t="str">
        <f t="shared" si="28"/>
        <v/>
      </c>
      <c r="C82" s="461">
        <f t="shared" ref="C82:C94" si="31">IFERROR(IF(QuellVersrg,IF($B82&lt;INT(H$5),0,IF($B82=INT(H$2),H$12,IF($B82&gt;INT(H$2),H$12*(1+H$9)^(IF($B82-H$5&lt;=0,0,$B82-IF(H$5&lt;H$2,H$2,H$5))),0))),0),0)</f>
        <v>0</v>
      </c>
      <c r="D82" s="461">
        <f t="shared" ref="D82:D93" si="32">IFERROR(IF(DRVPfl,IF($B82&lt;INT(I$5),0,IF($B82=INT(I$2),I$12,IF($B82&gt;INT(I$2),I$12*(1+I$9)^(IF($B82-I$5&lt;=0,0,$B82-IF(I$5&lt;I$2,I$2,I$5))),0))),0),0)</f>
        <v>0</v>
      </c>
      <c r="E82" s="461">
        <f t="shared" ref="E82:E93" si="33">IFERROR(IF(VersAusglKPfl,IF($B82&lt;INT(J$5),0,IF($B82=INT(J$2),J$12,IF($B82&gt;INT(J$2),J$12*(1+J$9)^(IF($B82-J$5&lt;=0,0,$B82-IF(J$5&lt;J$2,J$2,J$5))),0))),0),0)</f>
        <v>0</v>
      </c>
      <c r="F82" s="461">
        <f t="shared" ref="F82:F93" si="34">IFERROR(IF(SonstPfl,IF($B82&lt;INT(K$5),0,IF($B82=INT(K$2),K$12,IF($B82&gt;INT(K$2),K$12*(1+K$9)^(IF($B82-K$5&lt;=0,0,$B82-IF(K$5&lt;K$2,K$2,K$5))),0))),0),0)</f>
        <v>0</v>
      </c>
      <c r="G82" s="251"/>
      <c r="H82" s="462">
        <f t="shared" ref="H82:H93" si="35">C82*12*IF(AND(INT(H$5)=B82,H$5&gt;INT(H$5)),1-(H$5-INT(H$5)),1)</f>
        <v>0</v>
      </c>
      <c r="I82" s="462" t="e">
        <f t="shared" ref="I82:I93" si="36">D82*12*IF(AND(INT(I$5)=$B82,I$5&gt;INT(I$5)),1-(I$5-INT(I$5)),1)</f>
        <v>#VALUE!</v>
      </c>
      <c r="J82" s="462">
        <f t="shared" ref="J82:J93" si="37">E82*12*IF(AND(INT(J$5)=$B82,J$5&gt;INT(J$5)),1-(J$5-INT(J$5)),1)</f>
        <v>0</v>
      </c>
      <c r="K82" s="462">
        <f t="shared" ref="K82:K93" si="38">F82*12*IF(AND(INT(K$5)=$B82,K$5&gt;INT(K$5)),1-(K$5-INT(K$5)),1)</f>
        <v>0</v>
      </c>
      <c r="L82" s="657"/>
      <c r="M82" s="691" t="str">
        <f t="shared" si="15"/>
        <v/>
      </c>
      <c r="N82" s="462">
        <f t="shared" ref="N82:N93" si="39">IFERROR(IF(AND(VersBer,DRVAusglBerJa),IF($M82&lt;INT(O$5),0,IF($M82=INT(O$2),O$12,IF($M82&gt;INT(O$2),O$12*(1+O$9)^(IF($M82-O$5&lt;=0,0,$M82-IF(O$5&lt;O$2,O$2,O$5))),0))),0),0)</f>
        <v>0</v>
      </c>
      <c r="O82" s="462">
        <f t="shared" si="16"/>
        <v>0</v>
      </c>
      <c r="P82" s="462">
        <f t="shared" si="30"/>
        <v>0</v>
      </c>
      <c r="Q82" s="462">
        <f t="shared" si="30"/>
        <v>0</v>
      </c>
      <c r="R82" s="692">
        <f t="shared" si="30"/>
        <v>0</v>
      </c>
      <c r="S82" s="227"/>
      <c r="U82" s="476">
        <f t="shared" si="17"/>
        <v>0</v>
      </c>
      <c r="V82" s="476">
        <f t="shared" si="13"/>
        <v>0</v>
      </c>
      <c r="W82" s="476">
        <f t="shared" si="14"/>
        <v>0</v>
      </c>
    </row>
    <row r="83" spans="1:23">
      <c r="A83" s="357"/>
      <c r="B83" s="252" t="str">
        <f t="shared" ref="B83:B94" si="40">IFERROR(IF(B82+1&lt;IF(Endalter=0,EndalterDRV,Endalter),B82+1,""),"")</f>
        <v/>
      </c>
      <c r="C83" s="461">
        <f t="shared" si="31"/>
        <v>0</v>
      </c>
      <c r="D83" s="461">
        <f t="shared" si="32"/>
        <v>0</v>
      </c>
      <c r="E83" s="461">
        <f t="shared" si="33"/>
        <v>0</v>
      </c>
      <c r="F83" s="461">
        <f t="shared" si="34"/>
        <v>0</v>
      </c>
      <c r="G83" s="251"/>
      <c r="H83" s="463">
        <f t="shared" si="35"/>
        <v>0</v>
      </c>
      <c r="I83" s="463" t="e">
        <f t="shared" si="36"/>
        <v>#VALUE!</v>
      </c>
      <c r="J83" s="463">
        <f t="shared" si="37"/>
        <v>0</v>
      </c>
      <c r="K83" s="463">
        <f t="shared" si="38"/>
        <v>0</v>
      </c>
      <c r="L83" s="658"/>
      <c r="M83" s="693" t="str">
        <f t="shared" si="15"/>
        <v/>
      </c>
      <c r="N83" s="463">
        <f t="shared" si="39"/>
        <v>0</v>
      </c>
      <c r="O83" s="463">
        <f t="shared" si="16"/>
        <v>0</v>
      </c>
      <c r="P83" s="463">
        <f t="shared" si="30"/>
        <v>0</v>
      </c>
      <c r="Q83" s="463">
        <f t="shared" si="30"/>
        <v>0</v>
      </c>
      <c r="R83" s="694">
        <f t="shared" si="30"/>
        <v>0</v>
      </c>
      <c r="S83" s="227"/>
      <c r="U83" s="476">
        <f t="shared" si="17"/>
        <v>0</v>
      </c>
      <c r="V83" s="476">
        <f t="shared" ref="V83:V93" si="41">+Q83*12*IF(AND(INT(Q$5)=$M83,Q$5&gt;INT(Q$5)),1-(Q$5-INT(Q$5)),1)</f>
        <v>0</v>
      </c>
      <c r="W83" s="476">
        <f t="shared" ref="W83:W93" si="42">+R83*12*IF(AND(INT(R$5)=$M83,R$5&gt;INT(R$5)),1-(R$5-INT(R$5)),1)</f>
        <v>0</v>
      </c>
    </row>
    <row r="84" spans="1:23">
      <c r="A84" s="357"/>
      <c r="B84" s="252" t="str">
        <f t="shared" si="40"/>
        <v/>
      </c>
      <c r="C84" s="461">
        <f t="shared" si="31"/>
        <v>0</v>
      </c>
      <c r="D84" s="461">
        <f t="shared" si="32"/>
        <v>0</v>
      </c>
      <c r="E84" s="461">
        <f t="shared" si="33"/>
        <v>0</v>
      </c>
      <c r="F84" s="461">
        <f t="shared" si="34"/>
        <v>0</v>
      </c>
      <c r="G84" s="251"/>
      <c r="H84" s="462">
        <f t="shared" si="35"/>
        <v>0</v>
      </c>
      <c r="I84" s="462" t="e">
        <f t="shared" si="36"/>
        <v>#VALUE!</v>
      </c>
      <c r="J84" s="462">
        <f t="shared" si="37"/>
        <v>0</v>
      </c>
      <c r="K84" s="462">
        <f t="shared" si="38"/>
        <v>0</v>
      </c>
      <c r="L84" s="657"/>
      <c r="M84" s="691" t="str">
        <f t="shared" ref="M84:M93" si="43">IFERROR(IF(M83+1&lt;O$3,M83+1,""),"")</f>
        <v/>
      </c>
      <c r="N84" s="462">
        <f t="shared" si="39"/>
        <v>0</v>
      </c>
      <c r="O84" s="462">
        <f t="shared" si="16"/>
        <v>0</v>
      </c>
      <c r="P84" s="462">
        <f t="shared" si="30"/>
        <v>0</v>
      </c>
      <c r="Q84" s="462">
        <f t="shared" si="30"/>
        <v>0</v>
      </c>
      <c r="R84" s="692">
        <f t="shared" si="30"/>
        <v>0</v>
      </c>
      <c r="S84" s="227"/>
      <c r="U84" s="476">
        <f t="shared" si="17"/>
        <v>0</v>
      </c>
      <c r="V84" s="476">
        <f t="shared" si="41"/>
        <v>0</v>
      </c>
      <c r="W84" s="476">
        <f t="shared" si="42"/>
        <v>0</v>
      </c>
    </row>
    <row r="85" spans="1:23">
      <c r="A85" s="357"/>
      <c r="B85" s="252" t="str">
        <f t="shared" si="40"/>
        <v/>
      </c>
      <c r="C85" s="461">
        <f t="shared" si="31"/>
        <v>0</v>
      </c>
      <c r="D85" s="461">
        <f t="shared" si="32"/>
        <v>0</v>
      </c>
      <c r="E85" s="461">
        <f t="shared" si="33"/>
        <v>0</v>
      </c>
      <c r="F85" s="461">
        <f t="shared" si="34"/>
        <v>0</v>
      </c>
      <c r="G85" s="251"/>
      <c r="H85" s="463">
        <f t="shared" si="35"/>
        <v>0</v>
      </c>
      <c r="I85" s="463" t="e">
        <f t="shared" si="36"/>
        <v>#VALUE!</v>
      </c>
      <c r="J85" s="463">
        <f t="shared" si="37"/>
        <v>0</v>
      </c>
      <c r="K85" s="463">
        <f t="shared" si="38"/>
        <v>0</v>
      </c>
      <c r="L85" s="658"/>
      <c r="M85" s="693" t="str">
        <f t="shared" si="43"/>
        <v/>
      </c>
      <c r="N85" s="463">
        <f t="shared" si="39"/>
        <v>0</v>
      </c>
      <c r="O85" s="463">
        <f t="shared" si="16"/>
        <v>0</v>
      </c>
      <c r="P85" s="463">
        <f t="shared" si="30"/>
        <v>0</v>
      </c>
      <c r="Q85" s="463">
        <f t="shared" si="30"/>
        <v>0</v>
      </c>
      <c r="R85" s="694">
        <f t="shared" si="30"/>
        <v>0</v>
      </c>
      <c r="S85" s="227"/>
      <c r="U85" s="476">
        <f t="shared" si="17"/>
        <v>0</v>
      </c>
      <c r="V85" s="476">
        <f t="shared" si="41"/>
        <v>0</v>
      </c>
      <c r="W85" s="476">
        <f t="shared" si="42"/>
        <v>0</v>
      </c>
    </row>
    <row r="86" spans="1:23">
      <c r="A86" s="357"/>
      <c r="B86" s="252" t="str">
        <f t="shared" si="40"/>
        <v/>
      </c>
      <c r="C86" s="461">
        <f t="shared" si="31"/>
        <v>0</v>
      </c>
      <c r="D86" s="461">
        <f t="shared" si="32"/>
        <v>0</v>
      </c>
      <c r="E86" s="461">
        <f t="shared" si="33"/>
        <v>0</v>
      </c>
      <c r="F86" s="461">
        <f t="shared" si="34"/>
        <v>0</v>
      </c>
      <c r="G86" s="251"/>
      <c r="H86" s="462">
        <f t="shared" si="35"/>
        <v>0</v>
      </c>
      <c r="I86" s="462" t="e">
        <f t="shared" si="36"/>
        <v>#VALUE!</v>
      </c>
      <c r="J86" s="462">
        <f t="shared" si="37"/>
        <v>0</v>
      </c>
      <c r="K86" s="462">
        <f t="shared" si="38"/>
        <v>0</v>
      </c>
      <c r="L86" s="657"/>
      <c r="M86" s="691" t="str">
        <f t="shared" si="43"/>
        <v/>
      </c>
      <c r="N86" s="462">
        <f t="shared" si="39"/>
        <v>0</v>
      </c>
      <c r="O86" s="462">
        <f t="shared" si="16"/>
        <v>0</v>
      </c>
      <c r="P86" s="462">
        <f t="shared" si="30"/>
        <v>0</v>
      </c>
      <c r="Q86" s="462">
        <f t="shared" si="30"/>
        <v>0</v>
      </c>
      <c r="R86" s="692">
        <f t="shared" si="30"/>
        <v>0</v>
      </c>
      <c r="S86" s="227"/>
      <c r="U86" s="476">
        <f t="shared" si="17"/>
        <v>0</v>
      </c>
      <c r="V86" s="476">
        <f t="shared" si="41"/>
        <v>0</v>
      </c>
      <c r="W86" s="476">
        <f t="shared" si="42"/>
        <v>0</v>
      </c>
    </row>
    <row r="87" spans="1:23">
      <c r="A87" s="357"/>
      <c r="B87" s="252" t="str">
        <f t="shared" si="40"/>
        <v/>
      </c>
      <c r="C87" s="461">
        <f t="shared" si="31"/>
        <v>0</v>
      </c>
      <c r="D87" s="461">
        <f t="shared" si="32"/>
        <v>0</v>
      </c>
      <c r="E87" s="461">
        <f t="shared" si="33"/>
        <v>0</v>
      </c>
      <c r="F87" s="461">
        <f t="shared" si="34"/>
        <v>0</v>
      </c>
      <c r="G87" s="251"/>
      <c r="H87" s="463">
        <f t="shared" si="35"/>
        <v>0</v>
      </c>
      <c r="I87" s="463" t="e">
        <f t="shared" si="36"/>
        <v>#VALUE!</v>
      </c>
      <c r="J87" s="463">
        <f t="shared" si="37"/>
        <v>0</v>
      </c>
      <c r="K87" s="463">
        <f t="shared" si="38"/>
        <v>0</v>
      </c>
      <c r="L87" s="658"/>
      <c r="M87" s="693" t="str">
        <f t="shared" si="43"/>
        <v/>
      </c>
      <c r="N87" s="463">
        <f t="shared" si="39"/>
        <v>0</v>
      </c>
      <c r="O87" s="463">
        <f t="shared" si="16"/>
        <v>0</v>
      </c>
      <c r="P87" s="463">
        <f t="shared" si="30"/>
        <v>0</v>
      </c>
      <c r="Q87" s="463">
        <f t="shared" si="30"/>
        <v>0</v>
      </c>
      <c r="R87" s="694">
        <f t="shared" si="30"/>
        <v>0</v>
      </c>
      <c r="S87" s="227"/>
      <c r="U87" s="476">
        <f t="shared" si="17"/>
        <v>0</v>
      </c>
      <c r="V87" s="476">
        <f t="shared" si="41"/>
        <v>0</v>
      </c>
      <c r="W87" s="476">
        <f t="shared" si="42"/>
        <v>0</v>
      </c>
    </row>
    <row r="88" spans="1:23">
      <c r="A88" s="357"/>
      <c r="B88" s="252" t="str">
        <f t="shared" si="40"/>
        <v/>
      </c>
      <c r="C88" s="461">
        <f t="shared" si="31"/>
        <v>0</v>
      </c>
      <c r="D88" s="461">
        <f t="shared" si="32"/>
        <v>0</v>
      </c>
      <c r="E88" s="461">
        <f t="shared" si="33"/>
        <v>0</v>
      </c>
      <c r="F88" s="461">
        <f t="shared" si="34"/>
        <v>0</v>
      </c>
      <c r="G88" s="251"/>
      <c r="H88" s="462">
        <f t="shared" si="35"/>
        <v>0</v>
      </c>
      <c r="I88" s="462" t="e">
        <f t="shared" si="36"/>
        <v>#VALUE!</v>
      </c>
      <c r="J88" s="462">
        <f t="shared" si="37"/>
        <v>0</v>
      </c>
      <c r="K88" s="462">
        <f t="shared" si="38"/>
        <v>0</v>
      </c>
      <c r="L88" s="657"/>
      <c r="M88" s="691" t="str">
        <f t="shared" si="43"/>
        <v/>
      </c>
      <c r="N88" s="462">
        <f t="shared" si="39"/>
        <v>0</v>
      </c>
      <c r="O88" s="462">
        <f t="shared" si="16"/>
        <v>0</v>
      </c>
      <c r="P88" s="462">
        <f t="shared" si="30"/>
        <v>0</v>
      </c>
      <c r="Q88" s="462">
        <f t="shared" si="30"/>
        <v>0</v>
      </c>
      <c r="R88" s="692">
        <f t="shared" si="30"/>
        <v>0</v>
      </c>
      <c r="S88" s="227"/>
      <c r="U88" s="476">
        <f t="shared" si="17"/>
        <v>0</v>
      </c>
      <c r="V88" s="476">
        <f t="shared" si="41"/>
        <v>0</v>
      </c>
      <c r="W88" s="476">
        <f t="shared" si="42"/>
        <v>0</v>
      </c>
    </row>
    <row r="89" spans="1:23">
      <c r="A89" s="357"/>
      <c r="B89" s="252" t="str">
        <f t="shared" si="40"/>
        <v/>
      </c>
      <c r="C89" s="461">
        <f t="shared" si="31"/>
        <v>0</v>
      </c>
      <c r="D89" s="461">
        <f t="shared" si="32"/>
        <v>0</v>
      </c>
      <c r="E89" s="461">
        <f t="shared" si="33"/>
        <v>0</v>
      </c>
      <c r="F89" s="461">
        <f t="shared" si="34"/>
        <v>0</v>
      </c>
      <c r="G89" s="251"/>
      <c r="H89" s="463">
        <f t="shared" si="35"/>
        <v>0</v>
      </c>
      <c r="I89" s="463" t="e">
        <f t="shared" si="36"/>
        <v>#VALUE!</v>
      </c>
      <c r="J89" s="463">
        <f t="shared" si="37"/>
        <v>0</v>
      </c>
      <c r="K89" s="463">
        <f t="shared" si="38"/>
        <v>0</v>
      </c>
      <c r="L89" s="658"/>
      <c r="M89" s="693" t="str">
        <f t="shared" si="43"/>
        <v/>
      </c>
      <c r="N89" s="463">
        <f t="shared" si="39"/>
        <v>0</v>
      </c>
      <c r="O89" s="463">
        <f t="shared" si="16"/>
        <v>0</v>
      </c>
      <c r="P89" s="463">
        <f t="shared" si="30"/>
        <v>0</v>
      </c>
      <c r="Q89" s="463">
        <f t="shared" si="30"/>
        <v>0</v>
      </c>
      <c r="R89" s="694">
        <f t="shared" si="30"/>
        <v>0</v>
      </c>
      <c r="S89" s="227"/>
      <c r="U89" s="476">
        <f t="shared" si="17"/>
        <v>0</v>
      </c>
      <c r="V89" s="476">
        <f t="shared" si="41"/>
        <v>0</v>
      </c>
      <c r="W89" s="476">
        <f t="shared" si="42"/>
        <v>0</v>
      </c>
    </row>
    <row r="90" spans="1:23">
      <c r="A90" s="357"/>
      <c r="B90" s="252" t="str">
        <f t="shared" si="40"/>
        <v/>
      </c>
      <c r="C90" s="461">
        <f t="shared" si="31"/>
        <v>0</v>
      </c>
      <c r="D90" s="461">
        <f t="shared" si="32"/>
        <v>0</v>
      </c>
      <c r="E90" s="461">
        <f t="shared" si="33"/>
        <v>0</v>
      </c>
      <c r="F90" s="461">
        <f t="shared" si="34"/>
        <v>0</v>
      </c>
      <c r="G90" s="251"/>
      <c r="H90" s="462">
        <f t="shared" si="35"/>
        <v>0</v>
      </c>
      <c r="I90" s="462" t="e">
        <f t="shared" si="36"/>
        <v>#VALUE!</v>
      </c>
      <c r="J90" s="462">
        <f t="shared" si="37"/>
        <v>0</v>
      </c>
      <c r="K90" s="462">
        <f t="shared" si="38"/>
        <v>0</v>
      </c>
      <c r="L90" s="657"/>
      <c r="M90" s="691" t="str">
        <f t="shared" si="43"/>
        <v/>
      </c>
      <c r="N90" s="462">
        <f t="shared" si="39"/>
        <v>0</v>
      </c>
      <c r="O90" s="462">
        <f t="shared" si="16"/>
        <v>0</v>
      </c>
      <c r="P90" s="462">
        <f t="shared" si="30"/>
        <v>0</v>
      </c>
      <c r="Q90" s="462">
        <f t="shared" si="30"/>
        <v>0</v>
      </c>
      <c r="R90" s="692">
        <f t="shared" si="30"/>
        <v>0</v>
      </c>
      <c r="S90" s="227"/>
      <c r="U90" s="476">
        <f t="shared" si="17"/>
        <v>0</v>
      </c>
      <c r="V90" s="476">
        <f t="shared" si="41"/>
        <v>0</v>
      </c>
      <c r="W90" s="476">
        <f t="shared" si="42"/>
        <v>0</v>
      </c>
    </row>
    <row r="91" spans="1:23">
      <c r="A91" s="357"/>
      <c r="B91" s="252" t="str">
        <f t="shared" si="40"/>
        <v/>
      </c>
      <c r="C91" s="461">
        <f t="shared" si="31"/>
        <v>0</v>
      </c>
      <c r="D91" s="461">
        <f t="shared" si="32"/>
        <v>0</v>
      </c>
      <c r="E91" s="461">
        <f t="shared" si="33"/>
        <v>0</v>
      </c>
      <c r="F91" s="461">
        <f t="shared" si="34"/>
        <v>0</v>
      </c>
      <c r="G91" s="251"/>
      <c r="H91" s="463">
        <f t="shared" si="35"/>
        <v>0</v>
      </c>
      <c r="I91" s="463" t="e">
        <f t="shared" si="36"/>
        <v>#VALUE!</v>
      </c>
      <c r="J91" s="463">
        <f t="shared" si="37"/>
        <v>0</v>
      </c>
      <c r="K91" s="463">
        <f t="shared" si="38"/>
        <v>0</v>
      </c>
      <c r="L91" s="658"/>
      <c r="M91" s="693" t="str">
        <f t="shared" si="43"/>
        <v/>
      </c>
      <c r="N91" s="463">
        <f t="shared" si="39"/>
        <v>0</v>
      </c>
      <c r="O91" s="463">
        <f>N91*12*IF(AND(INT(O$5)=$M91,O$5&gt;INT(O$5)),(1-(O$5-INT(O$5))),1)</f>
        <v>0</v>
      </c>
      <c r="P91" s="463">
        <f t="shared" si="30"/>
        <v>0</v>
      </c>
      <c r="Q91" s="463">
        <f t="shared" si="30"/>
        <v>0</v>
      </c>
      <c r="R91" s="694">
        <f t="shared" si="30"/>
        <v>0</v>
      </c>
      <c r="S91" s="227"/>
      <c r="U91" s="476">
        <f t="shared" si="17"/>
        <v>0</v>
      </c>
      <c r="V91" s="476">
        <f t="shared" si="41"/>
        <v>0</v>
      </c>
      <c r="W91" s="476">
        <f t="shared" si="42"/>
        <v>0</v>
      </c>
    </row>
    <row r="92" spans="1:23">
      <c r="A92" s="357"/>
      <c r="B92" s="252" t="str">
        <f t="shared" si="40"/>
        <v/>
      </c>
      <c r="C92" s="461">
        <f t="shared" si="31"/>
        <v>0</v>
      </c>
      <c r="D92" s="461">
        <f t="shared" si="32"/>
        <v>0</v>
      </c>
      <c r="E92" s="461">
        <f t="shared" si="33"/>
        <v>0</v>
      </c>
      <c r="F92" s="461">
        <f t="shared" si="34"/>
        <v>0</v>
      </c>
      <c r="G92" s="251"/>
      <c r="H92" s="462">
        <f t="shared" si="35"/>
        <v>0</v>
      </c>
      <c r="I92" s="462" t="e">
        <f t="shared" si="36"/>
        <v>#VALUE!</v>
      </c>
      <c r="J92" s="462">
        <f t="shared" si="37"/>
        <v>0</v>
      </c>
      <c r="K92" s="462">
        <f t="shared" si="38"/>
        <v>0</v>
      </c>
      <c r="L92" s="657"/>
      <c r="M92" s="691" t="str">
        <f t="shared" si="43"/>
        <v/>
      </c>
      <c r="N92" s="462">
        <f t="shared" si="39"/>
        <v>0</v>
      </c>
      <c r="O92" s="462">
        <f>N92*12*IF(AND(INT(O$5)=$M92,O$5&gt;INT(O$5)),(1-(O$5-INT(O$5))),1)</f>
        <v>0</v>
      </c>
      <c r="P92" s="462">
        <f t="shared" si="30"/>
        <v>0</v>
      </c>
      <c r="Q92" s="462">
        <f t="shared" si="30"/>
        <v>0</v>
      </c>
      <c r="R92" s="692">
        <f t="shared" si="30"/>
        <v>0</v>
      </c>
      <c r="S92" s="227"/>
      <c r="U92" s="476">
        <f t="shared" si="17"/>
        <v>0</v>
      </c>
      <c r="V92" s="476">
        <f t="shared" si="41"/>
        <v>0</v>
      </c>
      <c r="W92" s="476">
        <f t="shared" si="42"/>
        <v>0</v>
      </c>
    </row>
    <row r="93" spans="1:23" ht="15" thickBot="1">
      <c r="A93" s="357"/>
      <c r="B93" s="269" t="str">
        <f t="shared" si="40"/>
        <v/>
      </c>
      <c r="C93" s="461">
        <f t="shared" si="31"/>
        <v>0</v>
      </c>
      <c r="D93" s="461">
        <f t="shared" si="32"/>
        <v>0</v>
      </c>
      <c r="E93" s="461">
        <f t="shared" si="33"/>
        <v>0</v>
      </c>
      <c r="F93" s="461">
        <f t="shared" si="34"/>
        <v>0</v>
      </c>
      <c r="G93" s="464"/>
      <c r="H93" s="463">
        <f t="shared" si="35"/>
        <v>0</v>
      </c>
      <c r="I93" s="463" t="e">
        <f t="shared" si="36"/>
        <v>#VALUE!</v>
      </c>
      <c r="J93" s="463">
        <f t="shared" si="37"/>
        <v>0</v>
      </c>
      <c r="K93" s="463">
        <f t="shared" si="38"/>
        <v>0</v>
      </c>
      <c r="L93" s="658"/>
      <c r="M93" s="695" t="str">
        <f t="shared" si="43"/>
        <v/>
      </c>
      <c r="N93" s="463">
        <f t="shared" si="39"/>
        <v>0</v>
      </c>
      <c r="O93" s="463">
        <f>N93*12*IF(AND(INT(O$5)=$M93,O$5&gt;INT(O$5)),(1-(O$5-INT(O$5))),1)</f>
        <v>0</v>
      </c>
      <c r="P93" s="463">
        <f t="shared" si="30"/>
        <v>0</v>
      </c>
      <c r="Q93" s="463">
        <f t="shared" si="30"/>
        <v>0</v>
      </c>
      <c r="R93" s="694">
        <f t="shared" si="30"/>
        <v>0</v>
      </c>
      <c r="S93" s="227"/>
      <c r="U93" s="476">
        <f t="shared" si="17"/>
        <v>0</v>
      </c>
      <c r="V93" s="476">
        <f t="shared" si="41"/>
        <v>0</v>
      </c>
      <c r="W93" s="476">
        <f t="shared" si="42"/>
        <v>0</v>
      </c>
    </row>
    <row r="94" spans="1:23" ht="15" thickBot="1">
      <c r="A94" s="256"/>
      <c r="B94" s="358" t="str">
        <f t="shared" si="40"/>
        <v/>
      </c>
      <c r="C94" s="359">
        <f t="shared" si="31"/>
        <v>0</v>
      </c>
      <c r="D94" s="359"/>
      <c r="E94" s="359"/>
      <c r="F94" s="359"/>
      <c r="G94" s="255"/>
      <c r="H94" s="256"/>
      <c r="I94" s="255"/>
      <c r="J94" s="255"/>
      <c r="K94" s="257"/>
      <c r="L94" s="254"/>
      <c r="M94" s="358"/>
      <c r="N94" s="255"/>
      <c r="O94" s="257"/>
      <c r="P94" s="255"/>
      <c r="Q94" s="255"/>
      <c r="R94" s="257"/>
      <c r="S94" s="227"/>
    </row>
    <row r="95" spans="1:23"/>
  </sheetData>
  <sheetProtection selectLockedCells="1"/>
  <mergeCells count="22">
    <mergeCell ref="B10:F10"/>
    <mergeCell ref="U4:W4"/>
    <mergeCell ref="B8:F8"/>
    <mergeCell ref="B9:F9"/>
    <mergeCell ref="B11:F11"/>
    <mergeCell ref="N1:N13"/>
    <mergeCell ref="B13:F13"/>
    <mergeCell ref="B1:F1"/>
    <mergeCell ref="B2:F2"/>
    <mergeCell ref="B3:F3"/>
    <mergeCell ref="B4:F4"/>
    <mergeCell ref="B5:F5"/>
    <mergeCell ref="B12:F12"/>
    <mergeCell ref="B6:F6"/>
    <mergeCell ref="B7:F7"/>
    <mergeCell ref="U15:W15"/>
    <mergeCell ref="N14:O15"/>
    <mergeCell ref="H15:K15"/>
    <mergeCell ref="C15:F15"/>
    <mergeCell ref="B15:B16"/>
    <mergeCell ref="P16:R16"/>
    <mergeCell ref="E14:H14"/>
  </mergeCells>
  <phoneticPr fontId="47" type="noConversion"/>
  <pageMargins left="0.70866141732283472" right="0.70866141732283472" top="0.78740157480314965" bottom="0.78740157480314965" header="0.31496062992125984" footer="0.31496062992125984"/>
  <pageSetup paperSize="9" scale="58" orientation="portrait" r:id="rId1"/>
  <tableParts count="1">
    <tablePart r:id="rId2"/>
  </tablePar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30">
    <tabColor rgb="FFFF0000"/>
    <pageSetUpPr fitToPage="1"/>
  </sheetPr>
  <dimension ref="A1:AP71"/>
  <sheetViews>
    <sheetView showGridLines="0" showRowColHeaders="0" topLeftCell="C1" zoomScale="85" zoomScaleNormal="85" workbookViewId="0">
      <selection activeCell="Y26" sqref="Y26"/>
    </sheetView>
  </sheetViews>
  <sheetFormatPr baseColWidth="10" defaultColWidth="0" defaultRowHeight="14.25" zeroHeight="1"/>
  <cols>
    <col min="1" max="1" width="2.25" style="541" customWidth="1"/>
    <col min="2" max="2" width="72.125" style="223" customWidth="1"/>
    <col min="3" max="4" width="14.625" style="223" customWidth="1"/>
    <col min="5" max="5" width="15.625" style="224" customWidth="1"/>
    <col min="6" max="7" width="14.625" customWidth="1"/>
    <col min="8" max="8" width="15.625" customWidth="1"/>
    <col min="9" max="10" width="13.625" hidden="1" customWidth="1"/>
    <col min="11" max="11" width="13.75" hidden="1" customWidth="1"/>
    <col min="12" max="12" width="2.25" customWidth="1"/>
    <col min="13" max="13" width="10.25" hidden="1" customWidth="1"/>
    <col min="14" max="14" width="14.75" hidden="1" customWidth="1"/>
    <col min="15" max="15" width="20.625" hidden="1" customWidth="1"/>
    <col min="16" max="23" width="15.75" hidden="1" customWidth="1"/>
    <col min="24" max="24" width="15.75" customWidth="1"/>
    <col min="25" max="25" width="83.625" customWidth="1"/>
    <col min="26" max="26" width="1.25" customWidth="1"/>
    <col min="27" max="27" width="32.75" customWidth="1"/>
    <col min="28" max="28" width="1.25" customWidth="1"/>
    <col min="29" max="32" width="13.125" hidden="1" customWidth="1"/>
    <col min="33" max="33" width="16.75" hidden="1" customWidth="1"/>
    <col min="34" max="35" width="13.125" hidden="1" customWidth="1"/>
    <col min="36" max="36" width="14.75" hidden="1" customWidth="1"/>
    <col min="37" max="39" width="11.25" hidden="1" customWidth="1"/>
    <col min="40" max="42" width="0" hidden="1" customWidth="1"/>
    <col min="43" max="16384" width="13.125" hidden="1"/>
  </cols>
  <sheetData>
    <row r="1" spans="1:42" ht="25.5" customHeight="1" thickBot="1">
      <c r="A1" s="2782"/>
      <c r="B1" s="2782"/>
      <c r="C1" s="2782"/>
      <c r="D1" s="2782"/>
      <c r="E1" s="2782"/>
      <c r="F1" s="2782"/>
      <c r="G1" s="2782"/>
      <c r="H1" s="2782"/>
      <c r="I1" s="2782"/>
      <c r="J1" s="2782"/>
      <c r="K1" s="2782"/>
      <c r="L1" s="2782"/>
      <c r="M1" s="2782"/>
      <c r="N1" s="2782"/>
      <c r="O1" s="2782"/>
      <c r="P1" s="2782"/>
      <c r="Q1" s="2782"/>
      <c r="R1" s="2782"/>
      <c r="S1" s="2782"/>
      <c r="T1" s="2782"/>
      <c r="U1" s="2782"/>
      <c r="V1" s="2782"/>
      <c r="W1" s="2782"/>
      <c r="X1" s="2782"/>
      <c r="Y1" s="2782"/>
      <c r="Z1" s="2782"/>
      <c r="AA1" s="2782"/>
    </row>
    <row r="2" spans="1:42" ht="38.25" customHeight="1" thickBot="1">
      <c r="A2" s="1582">
        <v>1</v>
      </c>
      <c r="B2" s="1249" t="s">
        <v>1153</v>
      </c>
      <c r="C2" s="1248" t="s">
        <v>1154</v>
      </c>
      <c r="D2" s="2800" t="str">
        <f>"Zur Anzeige der Werte bitte die Check-Boxen für die einzelnen Versorgungen aktivieren"</f>
        <v>Zur Anzeige der Werte bitte die Check-Boxen für die einzelnen Versorgungen aktivieren</v>
      </c>
      <c r="E2" s="2801"/>
      <c r="F2" s="1965"/>
      <c r="G2" s="1965"/>
      <c r="H2" s="2783" t="s">
        <v>893</v>
      </c>
      <c r="I2" s="2783"/>
      <c r="J2" s="2783"/>
      <c r="K2" s="2784"/>
      <c r="L2" s="639"/>
      <c r="M2" s="69"/>
      <c r="N2" s="69" t="s">
        <v>865</v>
      </c>
      <c r="O2" s="69" t="s">
        <v>1513</v>
      </c>
      <c r="P2" s="681"/>
      <c r="Q2" s="681"/>
      <c r="R2" s="681" t="s">
        <v>225</v>
      </c>
      <c r="T2" t="s">
        <v>21</v>
      </c>
      <c r="U2" t="s">
        <v>61</v>
      </c>
      <c r="V2" s="681"/>
      <c r="W2" s="681"/>
      <c r="X2" s="681"/>
      <c r="AA2" s="2798" t="s">
        <v>887</v>
      </c>
      <c r="AC2" s="796"/>
    </row>
    <row r="3" spans="1:42" ht="45" customHeight="1" thickBot="1">
      <c r="A3" s="1583">
        <v>2</v>
      </c>
      <c r="B3" s="1240" t="s">
        <v>1155</v>
      </c>
      <c r="C3" s="1014" t="s">
        <v>391</v>
      </c>
      <c r="D3" s="526" t="s">
        <v>1672</v>
      </c>
      <c r="E3" s="713" t="str">
        <f>"DRV"&amp;CHAR(10)&amp;IF(SUM(K4:K5)&gt;0,"",IF(E6+K4+K5&gt;0,"manuell eingegeben"," aus "&amp;IF(E20&gt;0,TEXT(IF(D21&gt;0,D21,D20),"#.###.##0 €"),"")))</f>
        <v>DRV
 aus 0 €</v>
      </c>
      <c r="F3" s="730" t="str">
        <f>"VerAusglK"&amp;IF(_xlfn.ISFORMULA(Adaequanz_RentenhoeheVersAusglK),"",IF(VersAusglKJa,IF(Adaequanz_RentenhoeheVersAusglK&gt;0," aus "&amp;TEXT(IF(Adaequanz_AusglWertQuelle&gt;0,Adaequanz_AusglWertQuelle,Adaequanz_errechneterKapWert),"#.##0,00 €"),""),""))</f>
        <v>VerAusglK</v>
      </c>
      <c r="G3" s="527" t="s">
        <v>1685</v>
      </c>
      <c r="H3" s="1109" t="s">
        <v>894</v>
      </c>
      <c r="I3" s="797"/>
      <c r="J3" s="620" t="s">
        <v>591</v>
      </c>
      <c r="K3" s="621" t="s">
        <v>592</v>
      </c>
      <c r="L3" s="25"/>
      <c r="M3" s="69" t="s">
        <v>578</v>
      </c>
      <c r="N3" s="69">
        <f>YEAR(Adaequanz_GebDat)+IF(MONTH(Adaequanz_GebDat)&gt;6,1,0)</f>
        <v>1900</v>
      </c>
      <c r="O3" s="69">
        <f>+VersGebJahrgPfl-1900+2</f>
        <v>2</v>
      </c>
      <c r="R3" t="s">
        <v>271</v>
      </c>
      <c r="S3" t="s">
        <v>1027</v>
      </c>
      <c r="T3" s="157" t="e">
        <f>VLOOKUP(YEAR(B_Dat),MonatlicheBezugsgröße,4)</f>
        <v>#VALUE!</v>
      </c>
      <c r="U3" s="157" t="e">
        <f>VLOOKUP(YEAR(B_Dat),MonatlicheBezugsgröße,5)</f>
        <v>#VALUE!</v>
      </c>
      <c r="AA3" s="2799"/>
      <c r="AB3" s="144"/>
    </row>
    <row r="4" spans="1:42" ht="17.100000000000001" customHeight="1">
      <c r="A4" s="1583">
        <v>3</v>
      </c>
      <c r="B4" s="1348" t="s">
        <v>1514</v>
      </c>
      <c r="C4" s="1347" t="str">
        <f>IF(D4&gt;0,D4,IF(Dat_EzE&gt;0,Dat_EzE,""))</f>
        <v/>
      </c>
      <c r="D4" s="1330"/>
      <c r="E4" s="1190" t="str">
        <f>IF(B_Dat="","",IF(AND(Adaequanz_Zugangsfaktor&lt;1,E9&gt;0),"Rentenabschl. § 77 SGB VI",IF(Adaequanz_DRV_Alter&gt;E9,"§ 187 IV SGB VI beachten","")))</f>
        <v/>
      </c>
      <c r="F4" s="2791" t="s">
        <v>396</v>
      </c>
      <c r="G4" s="2785" t="s">
        <v>323</v>
      </c>
      <c r="H4" s="837"/>
      <c r="I4" s="798" t="s">
        <v>846</v>
      </c>
      <c r="J4" s="497"/>
      <c r="K4" s="622"/>
      <c r="L4" s="25"/>
      <c r="M4" s="3" t="s">
        <v>579</v>
      </c>
      <c r="N4" s="69">
        <f>YEAR(Adaequanz_GebDatAglBer)+IF(MONTH(Adaequanz_GebDatAglBer)&gt;6,1,0)</f>
        <v>1900</v>
      </c>
      <c r="O4" s="69">
        <f>+N4-1900+2</f>
        <v>2</v>
      </c>
      <c r="P4" s="15"/>
      <c r="R4" t="s">
        <v>393</v>
      </c>
      <c r="S4" s="157"/>
      <c r="V4" s="157"/>
      <c r="AA4" s="877" t="str">
        <f>+AE10</f>
        <v xml:space="preserve">Quell-Versorgung </v>
      </c>
      <c r="AB4" s="780"/>
      <c r="AE4" t="s">
        <v>383</v>
      </c>
    </row>
    <row r="5" spans="1:42" ht="17.25" customHeight="1" thickBot="1">
      <c r="A5" s="1583">
        <v>4</v>
      </c>
      <c r="B5" s="2803" t="s">
        <v>320</v>
      </c>
      <c r="C5" s="2804"/>
      <c r="D5" s="351"/>
      <c r="E5" s="1203" t="str">
        <f>"Rentenerwerb"&amp;Zeichen!B7</f>
        <v>Rentenerwerb↓</v>
      </c>
      <c r="F5" s="2792"/>
      <c r="G5" s="2786"/>
      <c r="H5" s="1203" t="str">
        <f>"Rentenerwerb"&amp;Zeichen!B7</f>
        <v>Rentenerwerb↓</v>
      </c>
      <c r="I5" s="799" t="s">
        <v>847</v>
      </c>
      <c r="J5" s="623"/>
      <c r="K5" s="624"/>
      <c r="L5" s="25"/>
      <c r="M5" t="s">
        <v>325</v>
      </c>
      <c r="N5" s="15">
        <v>1</v>
      </c>
      <c r="O5" s="389" t="str">
        <f>IF(BerechnetAuf=1,B_Dat,D5)</f>
        <v/>
      </c>
      <c r="P5" s="15"/>
      <c r="AA5" s="877" t="str">
        <f>+AF10</f>
        <v xml:space="preserve">DRV </v>
      </c>
      <c r="AB5" s="780"/>
      <c r="AE5" s="25" t="e">
        <f>(VLOOKUP(B_Dat,VPI,2)/VLOOKUP(DATE(YEAR(B_Dat)-10,MONTH(B_Dat),DAY(B_Dat)),VPI,2))-1</f>
        <v>#N/A</v>
      </c>
    </row>
    <row r="6" spans="1:42" ht="17.25" customHeight="1">
      <c r="A6" s="1583">
        <v>5</v>
      </c>
      <c r="B6" s="1239" t="str">
        <f>"Geschlecht "&amp;IF(BGHXIIZB23016,"ausgleichsber.","ausgleichspfl.")&amp;" Person eingeben (m/w/d)"</f>
        <v>Geschlecht ausgleichspfl. Person eingeben (m/w/d)</v>
      </c>
      <c r="C6" s="52"/>
      <c r="D6" s="833"/>
      <c r="E6" s="832"/>
      <c r="F6" s="2792"/>
      <c r="G6" s="2787"/>
      <c r="H6" s="832"/>
      <c r="I6" s="627"/>
      <c r="J6" s="625"/>
      <c r="K6" s="626"/>
      <c r="L6" s="25"/>
      <c r="M6" t="s">
        <v>328</v>
      </c>
      <c r="N6" s="15" t="b">
        <v>0</v>
      </c>
      <c r="AA6" s="877" t="str">
        <f>+AG10</f>
        <v xml:space="preserve">VersAusglK </v>
      </c>
      <c r="AB6" s="780"/>
      <c r="AE6" s="354" t="e">
        <f>_xlfn.RRI(YEARFRAC(DATE(YEAR(B_Dat)-10,MONTH(B_Dat),DAY(B_Dat)),B_Dat,0),VLOOKUP(DATE(YEAR(B_Dat)-10,MONTH(B_Dat),DAY(B_Dat)),VPI,2),VLOOKUP(DATE(YEAR(B_Dat),MONTH(B_Dat),DAY(B_Dat)),VPI,2))</f>
        <v>#VALUE!</v>
      </c>
      <c r="AF6" t="s">
        <v>391</v>
      </c>
      <c r="AG6" s="15" t="b">
        <v>0</v>
      </c>
    </row>
    <row r="7" spans="1:42" ht="17.25" customHeight="1">
      <c r="A7" s="1583">
        <v>6</v>
      </c>
      <c r="B7" s="1266" t="str">
        <f>"Geburtsdatum der "&amp;IF(BGHXIIZB23016,"ausgleichsberechtigten ","ausgleichspflichtigen ")&amp;"Person eingeben: (ggfls. aus Datenerfassung)"</f>
        <v>Geburtsdatum der ausgleichspflichtigen Person eingeben: (ggfls. aus Datenerfassung)</v>
      </c>
      <c r="C7" s="1349">
        <f>IF(D7&gt;0,D7,IF(D7="",IF(D6="m",Dat_GebDat_M,IF(D6="w",Dat_GebDat_F,IF(D6="d","Gebdat Eingabe!",0)))))</f>
        <v>0</v>
      </c>
      <c r="D7" s="1330"/>
      <c r="E7" s="714" t="str">
        <f>IF(Adaequanz_GebDat=0,"",Adaequanz_GebDat)</f>
        <v/>
      </c>
      <c r="F7" s="714" t="str">
        <f>+E7</f>
        <v/>
      </c>
      <c r="G7" s="1346" t="str">
        <f>+F7</f>
        <v/>
      </c>
      <c r="H7" s="776"/>
      <c r="I7" s="528">
        <f>+Adaequanz_GebDatAglBer</f>
        <v>0</v>
      </c>
      <c r="J7" s="506">
        <f>+I7</f>
        <v>0</v>
      </c>
      <c r="K7" s="507">
        <f>+J7</f>
        <v>0</v>
      </c>
      <c r="L7" s="25"/>
      <c r="M7" t="s">
        <v>699</v>
      </c>
      <c r="N7" t="e">
        <f>VLOOKUP(B_Dat,aktRW,WO_Schalter)</f>
        <v>#N/A</v>
      </c>
      <c r="AA7" s="877" t="str">
        <f>+AH10</f>
        <v xml:space="preserve">Sonstige </v>
      </c>
      <c r="AB7" s="780"/>
    </row>
    <row r="8" spans="1:42" ht="17.25" customHeight="1">
      <c r="A8" s="1583">
        <v>7</v>
      </c>
      <c r="B8" s="2805" t="str">
        <f>IF(D5="","Alter im Ehezeitende "&amp;IF(Adaequanz_GebDat="","",TEXT(B_Dat,"TT.MM.JJJJ")),"Alter im Berechnungszeitpunkt "&amp;IF(Adaequanz_GebDat="","",TEXT(D5,"TT.MM.JJJJ")))</f>
        <v xml:space="preserve">Alter im Ehezeitende </v>
      </c>
      <c r="C8" s="2806"/>
      <c r="D8" s="1350" t="str">
        <f>IFERROR(IF(D7+Adaequanz_GebDat=0,"",IFERROR(IF(AND(Adaequanz_GebDat="",Adaequanz_GebDatDRV=""),"",ROUND(YEARFRAC(Adaequanz_GebDat,IF(AND(BerechnetAuf=2,D5&gt;0),D5,B_Dat),0),2)),"")),"")</f>
        <v/>
      </c>
      <c r="E8" s="1351" t="str">
        <f>IFERROR(IF(E7="","",ROUND(YEARFRAC(E7,IF(AND(BerechnetAuf=2,D5&gt;0),$D5,B_Dat),0),2)),"")</f>
        <v/>
      </c>
      <c r="F8" s="1351" t="str">
        <f>IFERROR(IF(F7="","",ROUND(YEARFRAC(F7,IF(AND(BerechnetAuf=2,E5&gt;0),$D5,B_Dat),0),2)),"")</f>
        <v/>
      </c>
      <c r="G8" s="1352" t="str">
        <f>IFERROR(IF(G7="","",ROUND(YEARFRAC(G7,IF(AND(BerechnetAuf=2,F5&gt;0),$D5,B_Dat),0),2)),"")</f>
        <v/>
      </c>
      <c r="H8" s="1353" t="str">
        <f>IFERROR(IF(AND(Adaequanz_GebDat="",H7=""),"",ROUND(YEARFRAC(H7,IF(AND(BerechnetAuf=2,$D5&gt;0),$D5,B_Dat),0),2)),"")</f>
        <v/>
      </c>
      <c r="I8" s="1354" t="str">
        <f>IFERROR(IF(AND(Adaequanz_GebDat="",I7=""),"",ROUND(YEARFRAC(I7,IF(AND(BerechnetAuf=2,$D5&gt;0),$D5,B_Dat),0),2)),"")</f>
        <v/>
      </c>
      <c r="J8" s="1355" t="str">
        <f>IFERROR(IF(AND(Adaequanz_GebDat="",J7=""),"",ROUND(YEARFRAC(J7,IF(AND(BerechnetAuf=2,$D5&gt;0),$D5,B_Dat),0),2)),"")</f>
        <v/>
      </c>
      <c r="K8" s="1356" t="str">
        <f>IFERROR(IF(AND(Adaequanz_GebDat="",K7=""),"",ROUND(YEARFRAC(K7,IF(AND(BerechnetAuf=2,$D5&gt;0),$D5,B_Dat),0),2)),"")</f>
        <v/>
      </c>
      <c r="L8" s="25"/>
      <c r="M8" t="s">
        <v>392</v>
      </c>
      <c r="N8">
        <f>IF(D6="M",1,IF(D6="W",2,IF(D6="D",3,1)))</f>
        <v>1</v>
      </c>
      <c r="P8" s="15">
        <f>IFERROR(VLOOKUP(IF(Adaequanz_ReEintrittPfl&lt;Adaequanz_QV_Alter,Adaequanz_QV_Alter,Adaequanz_ReEintrittPfl),CHOOSE(Sexwahl,Lebenserwartung_M_V2,Lebenserwartung_F_V2,Lebenserwartung_N_V2),YEAR(Adaequanz_GebDat)+IF(MONTH(Adaequanz_GebDat)&gt;6,1,0)-1900+2),0)</f>
        <v>0</v>
      </c>
      <c r="R8" s="15"/>
      <c r="AA8" s="877" t="str">
        <f>+AI10</f>
        <v xml:space="preserve">∑ Versorg. </v>
      </c>
      <c r="AB8" s="780"/>
      <c r="AE8" t="s">
        <v>394</v>
      </c>
      <c r="AF8" t="s">
        <v>395</v>
      </c>
      <c r="AO8" t="s">
        <v>890</v>
      </c>
      <c r="AP8" t="s">
        <v>891</v>
      </c>
    </row>
    <row r="9" spans="1:42" ht="17.25" customHeight="1">
      <c r="A9" s="1583">
        <v>8</v>
      </c>
      <c r="B9" s="712" t="str">
        <f>IFERROR(IF(D9="","Renteneintrittsalter der Quellversorgung eingeben: ","Renteneintritt (in Quellversorgung mit "&amp;TEXT(Adaequanz_ReEintrittPfl,"#0,00")&amp;" Jahren am "&amp;TEXT(DATE(YEAR(Adaequanz_GebDat)+INT(Adaequanz_ReEintrittPfl),MONTH(Adaequanz_GebDat)+(Adaequanz_ReEintrittPfl-INT(Adaequanz_ReEintrittPfl))*12+1,1),"TT.MM.JJJJ")&amp;")"),"")</f>
        <v xml:space="preserve">Renteneintrittsalter der Quellversorgung eingeben: </v>
      </c>
      <c r="C9" s="707"/>
      <c r="D9" s="352"/>
      <c r="E9" s="715" t="str">
        <f>IFERROR(IF(E7="","",IF(Invaliditätsrente,Adaequanz_ReEintrittPfl,Adaequanz_Renteneintritt)),"")</f>
        <v/>
      </c>
      <c r="F9" s="275"/>
      <c r="G9" s="560"/>
      <c r="H9" s="739" t="str">
        <f>IF(H7="","",VLOOKUP(YEAR(Adaequanz_GebDatAglBer),Renteneintrittstabelle,3))</f>
        <v/>
      </c>
      <c r="I9" s="529"/>
      <c r="J9" s="492"/>
      <c r="K9" s="499"/>
      <c r="L9" s="25"/>
      <c r="O9" s="15"/>
      <c r="AA9" s="877" t="str">
        <f>+AJ10</f>
        <v>DRV-Ber.</v>
      </c>
      <c r="AB9" s="780"/>
      <c r="AE9" s="15" t="b">
        <v>1</v>
      </c>
      <c r="AF9" s="15" t="b">
        <v>1</v>
      </c>
      <c r="AG9" s="15" t="b">
        <v>1</v>
      </c>
      <c r="AH9" s="15" t="b">
        <v>1</v>
      </c>
      <c r="AI9" s="15" t="b">
        <v>1</v>
      </c>
      <c r="AJ9" s="15" t="b">
        <v>1</v>
      </c>
      <c r="AO9" s="15" t="b">
        <v>0</v>
      </c>
      <c r="AP9" s="15" t="b">
        <v>0</v>
      </c>
    </row>
    <row r="10" spans="1:42" ht="17.25" customHeight="1">
      <c r="A10" s="1583">
        <v>9</v>
      </c>
      <c r="B10" s="1239" t="s">
        <v>264</v>
      </c>
      <c r="C10" s="706"/>
      <c r="D10" s="217">
        <f>IFERROR(+P11,"")</f>
        <v>0</v>
      </c>
      <c r="E10" s="716">
        <f>IFERROR(Q11,"")</f>
        <v>0</v>
      </c>
      <c r="F10" s="1116">
        <f>IFERROR(R11,"")</f>
        <v>0</v>
      </c>
      <c r="G10" s="1096">
        <f>IFERROR(+S11,"")</f>
        <v>0</v>
      </c>
      <c r="H10" s="739">
        <f>+T11</f>
        <v>0</v>
      </c>
      <c r="I10" s="800">
        <f>+U11</f>
        <v>0</v>
      </c>
      <c r="J10" s="765">
        <f>+V11</f>
        <v>0</v>
      </c>
      <c r="K10" s="764">
        <f>+W11</f>
        <v>0</v>
      </c>
      <c r="L10" s="25"/>
      <c r="M10" t="s">
        <v>303</v>
      </c>
      <c r="N10" s="15" t="b">
        <v>0</v>
      </c>
      <c r="O10" s="3"/>
      <c r="P10" s="69" t="s">
        <v>294</v>
      </c>
      <c r="Q10" s="69" t="s">
        <v>126</v>
      </c>
      <c r="R10" s="69" t="s">
        <v>295</v>
      </c>
      <c r="S10" s="69" t="s">
        <v>315</v>
      </c>
      <c r="T10" s="69" t="s">
        <v>337</v>
      </c>
      <c r="U10" s="69" t="s">
        <v>573</v>
      </c>
      <c r="V10" s="69" t="s">
        <v>574</v>
      </c>
      <c r="W10" s="69" t="s">
        <v>574</v>
      </c>
      <c r="X10" s="3"/>
      <c r="AA10" s="641"/>
      <c r="AE10" s="4" t="str">
        <f>D3&amp;" "&amp;IF(D6&lt;&gt;"",CHOOSE(Sexwahl,männlich,weiblich,"AusglPfl. "),"")</f>
        <v xml:space="preserve">Quell-Versorgung </v>
      </c>
      <c r="AF10" s="4" t="str">
        <f>"DRV "&amp;IF(D6&lt;&gt;"",CHOOSE(Sexwahl,männlich,weiblich,"AusglPfl. "),"")</f>
        <v xml:space="preserve">DRV </v>
      </c>
      <c r="AG10" s="4" t="str">
        <f>"VersAusglK "&amp;IF(D6&lt;&gt;"",CHOOSE(Sexwahl,männlich,weiblich,"AusglPfl. "),"")</f>
        <v xml:space="preserve">VersAusglK </v>
      </c>
      <c r="AH10" s="4" t="str">
        <f>"Sonstige "&amp;IF(D6&lt;&gt;"",CHOOSE(Sexwahl,männlich,Zeichen!B15,"AusglPfl. "),"")</f>
        <v xml:space="preserve">Sonstige </v>
      </c>
      <c r="AI10" s="4" t="str">
        <f>Summenzeichen&amp;" Versorg. "&amp;IF(D6&lt;&gt;"",CHOOSE(Sexwahl,männlich,weiblich,"AusglPfl."),"")</f>
        <v xml:space="preserve">∑ Versorg. </v>
      </c>
      <c r="AJ10" s="4" t="str">
        <f>IF(SUM(I12:K12)=0,"DRV-Ber.",Summenzeichen&amp;" Versorg. ")&amp;IF(D6&lt;&gt;"",CHOOSE(Sexwahl,weiblich,männlich,"Ausglber. "),"")</f>
        <v>DRV-Ber.</v>
      </c>
      <c r="AK10" s="4" t="str">
        <f>"DRV "&amp;IF(D6&lt;&gt;"",CHOOSE(Sexwahl,Zeichen!B15,Zeichen!#REF!,"AusglBer. "),"")</f>
        <v xml:space="preserve">DRV </v>
      </c>
      <c r="AL10" t="str">
        <f>I6&amp;" "&amp;CHOOSE(Sexwahl,Zeichen!B15,Zeichen!#REF!,"AusglBer. ")</f>
        <v xml:space="preserve"> </v>
      </c>
      <c r="AM10" t="str">
        <f>J6&amp;" "&amp;CHOOSE(Sexwahl,Zeichen!B15,Zeichen!#REF!,"AusglBer. ")</f>
        <v xml:space="preserve"> </v>
      </c>
      <c r="AN10" t="str">
        <f>K6&amp;" "&amp;CHOOSE(Sexwahl,Zeichen!B15,Zeichen!#REF!,"AusglBer. ")</f>
        <v xml:space="preserve"> </v>
      </c>
    </row>
    <row r="11" spans="1:42" ht="17.25" customHeight="1" thickBot="1">
      <c r="A11" s="1583">
        <v>10</v>
      </c>
      <c r="B11" s="1239" t="s">
        <v>265</v>
      </c>
      <c r="C11" s="706"/>
      <c r="D11" s="217" t="str">
        <f>IF(D8="","",IF(D9&gt;D8,D9-D8,0))</f>
        <v/>
      </c>
      <c r="E11" s="716" t="str">
        <f>IF(E8="","",IF(E9&gt;E8,E9-E8,0))</f>
        <v/>
      </c>
      <c r="F11" s="716" t="str">
        <f>IF(F8="","",IF(F9&gt;F8,F9-F8,0))</f>
        <v/>
      </c>
      <c r="G11" s="716" t="str">
        <f>IF(G8="","",IF(G9&gt;G8,G9-G8,0))</f>
        <v/>
      </c>
      <c r="H11" s="739" t="str">
        <f>IFERROR(IF(H8="","",IF(H9&gt;H8,H9-H8,0)),"")</f>
        <v/>
      </c>
      <c r="I11" s="530" t="str">
        <f>IF(I8="","",IF(I9&gt;I8,I9-I8,0))</f>
        <v/>
      </c>
      <c r="J11" s="325" t="str">
        <f>IF(J8="","",IF(J9&gt;J8,J9-J8,0))</f>
        <v/>
      </c>
      <c r="K11" s="498" t="str">
        <f>IF(K8="","",IF(K9&gt;K8,K9-K8,0))</f>
        <v/>
      </c>
      <c r="L11" s="25"/>
      <c r="N11" s="15"/>
      <c r="O11" s="3" t="s">
        <v>864</v>
      </c>
      <c r="P11" s="1094">
        <f>IF(Adaequanz_ReEintrittPfl="",0,IFERROR(VLOOKUP(IF(Adaequanz_ReEintrittPfl&lt;Adaequanz_QV_Alter,Adaequanz_QV_Alter,Adaequanz_ReEintrittPfl),CHOOSE(Sexwahl,Lebenserwartung_M_V2,Lebenserwartung_F_V2,Lebenserwartung_N_V2),YEAR(Adaequanz_GebDat)+IF(MONTH(Adaequanz_GebDat)&gt;6,1,0)-1900+2),0))</f>
        <v>0</v>
      </c>
      <c r="Q11" s="1094">
        <f>IF(E9="",0,IFERROR(VLOOKUP(IF(E9&lt;Adaequanz_DRV_Alter,Adaequanz_DRV_Alter,E9),CHOOSE(Sexwahl,Lebenserwartung_M_V2,Lebenserwartung_F_V2,Lebenserwartung_N_V2),YEAR(Adaequanz_GebDat)+IF(MONTH(Adaequanz_GebDat)&gt;6,1,0)-1900+2),0))</f>
        <v>0</v>
      </c>
      <c r="R11" s="1094">
        <f>IF(Adaequanz_RenteneintrittVersAusglK="",0,IFERROR(VLOOKUP(IF(F9&lt;F8,F8,F9),CHOOSE(Sexwahl,Lebenserwartung_M_V2,Lebenserwartung_F_V2,Lebenserwartung_N_V2),YEAR(Adaequanz_GebDat)+IF(MONTH(Adaequanz_GebDat)&gt;6,1,0)-1900+2),0))</f>
        <v>0</v>
      </c>
      <c r="S11" s="1094">
        <f>IF(Adaequanz_Reintritt="",0,IFERROR(VLOOKUP(IF(G9&lt;G8,G8,G9),CHOOSE(Sexwahl,Lebenserwartung_M_V2,Lebenserwartung_F_V2,Lebenserwartung_N_V2),YEAR(Adaequanz_GebDat)+IF(MONTH(Adaequanz_GebDat)&gt;6,1,0)-1900+2),0))</f>
        <v>0</v>
      </c>
      <c r="T11" s="1094">
        <f>IF(H9="",0,IFERROR(VLOOKUP(IF(H9&lt;H8,H8,H9),CHOOSE(IF(Sexwahl=1,2,IF(Sexwahl=2,1,3)),Lebenserwartung_M_V2,Lebenserwartung_F_V2,Lebenserwartung_N_V2),YEAR(Adaequanz_GebDatAglBer)+IF(MONTH(Adaequanz_GebDatAglBer)&gt;6,1,0)-1900+2),0))</f>
        <v>0</v>
      </c>
      <c r="U11" s="1094">
        <f>IF(I9="",0,IFERROR(VLOOKUP(IF(I9&lt;I8,I8,I9),CHOOSE(IF(Sexwahl=1,2,IF(Sexwahl=2,1,3)),Lebenserwartung_M_V2,Lebenserwartung_F_V2,Lebenserwartung_N_V2),YEAR(Adaequanz_GebDatAglBer)+IF(MONTH(Adaequanz_GebDatAglBer)&gt;6,1,0)-1900+2),0))</f>
        <v>0</v>
      </c>
      <c r="V11" s="1094">
        <f>IF(J9="",0,IFERROR(VLOOKUP(IF(J9&lt;J8,J8,J9),CHOOSE(IF(Sexwahl=1,2,IF(Sexwahl=2,1,3)),Lebenserwartung_M_V2,Lebenserwartung_F_V2,Lebenserwartung_N_V2),YEAR(Adaequanz_GebDatAglBer)+IF(MONTH(Adaequanz_GebDatAglBer)&gt;6,1,0)-1900+2),0))</f>
        <v>0</v>
      </c>
      <c r="W11" s="1094">
        <f>IF(K9="",0,IFERROR(VLOOKUP(IF(K9&lt;K8,K8,K9),CHOOSE(IF(Sexwahl=1,2,IF(Sexwahl=2,1,3)),Lebenserwartung_M_V2,Lebenserwartung_F_V2,Lebenserwartung_N_V2),YEAR(Adaequanz_GebDatAglBer)+IF(MONTH(Adaequanz_GebDatAglBer)&gt;6,1,0)-1900+2),0))</f>
        <v>0</v>
      </c>
      <c r="X11" s="1106"/>
      <c r="AA11" s="641"/>
    </row>
    <row r="12" spans="1:42" ht="17.25" customHeight="1" thickBot="1">
      <c r="A12" s="1583">
        <v>11</v>
      </c>
      <c r="B12" s="1219" t="str">
        <f>"hälftiger ehezeitl. Versorgungserwerb (Ausgleichswert) am "&amp;IF(D5="",IF(B_Dat&gt;0,TEXT(B_Dat,"T.M.JJ"),""),IF(BerechnetAuf=2,TEXT(D5,"TT.MM.JJJJ"),TEXT(C4,"TT.MM.JJJJ"))&amp;":")</f>
        <v xml:space="preserve">hälftiger ehezeitl. Versorgungserwerb (Ausgleichswert) am </v>
      </c>
      <c r="C12" s="1222" t="str">
        <f>IFERROR(IF(D12&gt;0,IF(AND(Adaequanz_RentePfl&lt;BagatellgrenzeRente,Adaequanz_RentePfl&gt;0),"Bagatellwert!",""),""),"")</f>
        <v/>
      </c>
      <c r="D12" s="410"/>
      <c r="E12" s="717" t="str">
        <f>IFERROR(IF(AND(RentenerwerbDRV,E6&gt;0),E6,ROUND(IF(K4&gt;0,K4,IF(K5&gt;0,K5,IF(Adaequanz_AusglWertQuelle&gt;0,Adaequanz_AusglWertQuelle,IF(Adaequanz_VerzinsungAusglW&gt;1,P23,Adaequanz_Ausgleichswert1)))*VLOOKUP(IF(AND(D5&gt;0,OR(BerechnetAuf=2,Adaequanz_VerzinsungAusglW&gt;1)),D5,B_Dat),Umrechnungsfaktoren,WO_Schalter)*VLOOKUP(IF(AND(D5&gt;0,OR(BerechnetAuf=2,N18&gt;1)),D5,B_Dat),aktRW,WO_Schalter)*Adaequanz_Zugangsfaktor),2)),"")</f>
        <v/>
      </c>
      <c r="F12" s="1117"/>
      <c r="G12" s="1115"/>
      <c r="H12" s="783" t="str">
        <f>IF(AND(H6&gt;0,RentenerwerbDRVBer),H6,IFERROR(IF(J4&gt;0,J4,ROUND(IF(J5&gt;0,J5,IF(Adaequanz_AusglWertQuelle&gt;0,Adaequanz_AusglWertQuelle,Adaequanz_Ausgleichswert1))*VLOOKUP(IF(AND(D5&gt;0,BerechnetAuf=2),D5,B_Dat),Umrechnungsfaktoren,WO_Schalter)*VLOOKUP(IF(AND(D5&gt;0,BerechnetAuf=2),D5,B_Dat),aktRW,WO_Schalter)*Adaequanz_Zugangsfaktor,2)),""))</f>
        <v/>
      </c>
      <c r="I12" s="801"/>
      <c r="J12" s="493"/>
      <c r="K12" s="500"/>
      <c r="L12" s="277"/>
      <c r="M12" t="s">
        <v>268</v>
      </c>
      <c r="N12" s="95">
        <f>VLOOKUP(YEAR(Adaequanz_GebDat),Renteneintrittstabelle,3)</f>
        <v>65</v>
      </c>
      <c r="O12" s="225" t="s">
        <v>1236</v>
      </c>
      <c r="P12" s="638" t="e">
        <f>IF(Invaliditätsrente,0,VLOOKUP(D8,CHOOSE(IF(D9&lt;60,60,IF(D9&gt;67,67,D9))-59,HRIR60,HRIR61,HRIR62,HRIR63,HRIR64,HRIR,HRIR66,HRIR67),CHOOSE(Sexwahl,7,16,25))*Adaequanz_IRPfl)</f>
        <v>#N/A</v>
      </c>
      <c r="Q12" s="923">
        <f>IFERROR(ROUND(VLOOKUP(E8,CHOOSE(IF(E9&lt;60,60,IF(E9&gt;67,67,E9))-59,HRIR60,HRIR61,HRIR62,HRIR63,HRIR64,HRIR,HRIR66,HRIR67),CHOOSE(Sexwahl,7,16,25)),4)*E17,0)</f>
        <v>0</v>
      </c>
      <c r="R12" s="923">
        <v>0</v>
      </c>
      <c r="S12" s="923">
        <f>IFERROR(ROUND(VLOOKUP(G8,CHOOSE(IF(G9&lt;60,60,IF(G9&gt;67,67,G9))-59,HRIR60,HRIR61,HRIR62,HRIR63,HRIR64,HRIR,HRIR66,HRIR67),CHOOSE(Sexwahl,7,16,25)),4)*G17,0)</f>
        <v>0</v>
      </c>
      <c r="T12" s="278">
        <f>IFERROR(ROUND(VLOOKUP(H8,CHOOSE(IF(H9&lt;60,60,IF(H9&gt;67,67,H9))-59,HRIR60,HRIR61,HRIR62,HRIR63,HRIR64,HRIR,HRIR66,HRIR67),CHOOSE(Sexwahl,16,7,25)),4)*H17,0)</f>
        <v>0</v>
      </c>
      <c r="U12" s="278">
        <f>IFERROR(ROUND(VLOOKUP(I8,CHOOSE(IF(I9&lt;60,60,IF(I9&gt;67,67,I9))-59,HRIR60,HRIR61,HRIR62,HRIR63,HRIR64,HRIR,HRIR66,HRIR67),CHOOSE(Sexwahl,16,7,25)),4)*I17,0)</f>
        <v>0</v>
      </c>
      <c r="V12" s="278">
        <f>IFERROR(ROUND(VLOOKUP(J8,CHOOSE(IF(J9&lt;60,60,IF(J9&gt;67,67,J9))-59,HRIR60,HRIR61,HRIR62,HRIR63,HRIR64,HRIR,HRIR66,HRIR67),CHOOSE(Sexwahl,16,7,25)),4)*J17,0)</f>
        <v>0</v>
      </c>
      <c r="W12" s="278">
        <f>IFERROR(ROUND(VLOOKUP(K8,CHOOSE(IF(K9&lt;60,60,IF(K9&gt;67,67,K9))-59,HRIR60,HRIR61,HRIR62,HRIR63,HRIR64,HRIR,HRIR66,HRIR67),CHOOSE(Sexwahl,16,7,25)),4)*K17,0)</f>
        <v>0</v>
      </c>
      <c r="X12" s="3"/>
      <c r="AA12" s="641"/>
      <c r="AE12" t="s">
        <v>397</v>
      </c>
      <c r="AF12" t="str">
        <f>IF(BGHXIIZB23016,"Alter AusglBer.","AlterAusglPfl.")</f>
        <v>AlterAusglPfl.</v>
      </c>
      <c r="AG12" t="str">
        <f>IF(AF12="AlterAusglPfl.","AlterAusglBer.","AlterAusglPfl.")</f>
        <v>AlterAusglBer.</v>
      </c>
    </row>
    <row r="13" spans="1:42" ht="17.25" customHeight="1">
      <c r="A13" s="1583">
        <v>12</v>
      </c>
      <c r="B13" s="708" t="s">
        <v>266</v>
      </c>
      <c r="C13" s="709"/>
      <c r="D13" s="353"/>
      <c r="E13" s="718">
        <f>+RententrendDRV</f>
        <v>2.5999999999999999E-2</v>
      </c>
      <c r="F13" s="718">
        <f>+AW_DynamikVersAusglK</f>
        <v>0.01</v>
      </c>
      <c r="G13" s="1118"/>
      <c r="H13" s="741">
        <f>+E13</f>
        <v>2.5999999999999999E-2</v>
      </c>
      <c r="I13" s="531"/>
      <c r="J13" s="494"/>
      <c r="K13" s="501"/>
      <c r="L13" s="277"/>
      <c r="M13" t="s">
        <v>1739</v>
      </c>
      <c r="O13" s="225" t="s">
        <v>1237</v>
      </c>
      <c r="P13" s="1095">
        <f>IFERROR(ROUND(VLOOKUP(D8,CHOOSE(IF(D9&lt;60,60,IF(D9&gt;67,67,D9))-59,HRIR60,HRIR61,HRIR62,HRIR63,HRIR64,HRIR,HRIR66,HRIR67),CHOOSE(Sexwahl,8,17,26)),4)*Adaequanz_HRPfl,0)</f>
        <v>0</v>
      </c>
      <c r="Q13" s="638">
        <f>IFERROR(ROUND(VLOOKUP(E8,CHOOSE(IF(E9&lt;60,60,IF(E9&gt;67,67,E9))-59,HRIR60,HRIR61,HRIR62,HRIR63,HRIR64,HRIR,HRIR66,HRIR67),CHOOSE(Sexwahl,8,17,26)),4)*E18,0)</f>
        <v>0</v>
      </c>
      <c r="R13" s="638">
        <v>0</v>
      </c>
      <c r="S13" s="638">
        <f>IFERROR(ROUND(VLOOKUP(G8,CHOOSE(IF(G9&lt;60,60,IF(G9&gt;67,67,G9))-59,HRIR60,HRIR61,HRIR62,HRIR63,HRIR64,HRIR,HRIR66,HRIR67),CHOOSE(Sexwahl,8,17,26)),4)*G18,0)</f>
        <v>0</v>
      </c>
      <c r="T13" s="638">
        <f>IFERROR(ROUND(VLOOKUP(H8,CHOOSE(IF(H9&lt;60,60,IF(H9&gt;67,67,H9))-59,HRIR60,HRIR61,HRIR62,HRIR63,HRIR64,HRIR,HRIR66,HRIR67),CHOOSE(Sexwahl,17,8,26)),4)*H18,0)</f>
        <v>0</v>
      </c>
      <c r="U13" s="638">
        <f>IFERROR(ROUND(VLOOKUP(I8,CHOOSE(IF(I9&lt;60,60,IF(I9&gt;67,67,I9))-59,HRIR60,HRIR61,HRIR62,HRIR63,HRIR64,HRIR,HRIR66,HRIR67),CHOOSE(Sexwahl,17,8,26)),4)*I18,0)</f>
        <v>0</v>
      </c>
      <c r="V13" s="638">
        <f>IFERROR(ROUND(VLOOKUP(J8,CHOOSE(IF(J9&lt;60,60,IF(J9&gt;67,67,J9))-59,HRIR60,HRIR61,HRIR62,HRIR63,HRIR64,HRIR,HRIR66,HRIR67),CHOOSE(Sexwahl,17,8,26)),4)*J18,0)</f>
        <v>0</v>
      </c>
      <c r="W13" s="638">
        <f>IFERROR(ROUND(VLOOKUP(K8,CHOOSE(IF(K9&lt;60,60,IF(K9&gt;67,67,K9))-59,HRIR60,HRIR61,HRIR62,HRIR63,HRIR64,HRIR,HRIR66,HRIR67),CHOOSE(Sexwahl,17,8,26)),4)*K18,0)</f>
        <v>0</v>
      </c>
      <c r="X13" s="3"/>
      <c r="AA13" s="641"/>
      <c r="AL13" s="433" t="e">
        <f>E31-(E29-E33)</f>
        <v>#VALUE!</v>
      </c>
    </row>
    <row r="14" spans="1:42" ht="17.25" customHeight="1">
      <c r="A14" s="1583">
        <v>13</v>
      </c>
      <c r="B14" s="1336" t="s">
        <v>324</v>
      </c>
      <c r="C14" s="1337"/>
      <c r="D14" s="353"/>
      <c r="E14" s="718">
        <f>+RententrendDRV</f>
        <v>2.5999999999999999E-2</v>
      </c>
      <c r="F14" s="718">
        <f>+L_DynamikVersAusglK</f>
        <v>0.01</v>
      </c>
      <c r="G14" s="1118"/>
      <c r="H14" s="742">
        <f>+E13</f>
        <v>2.5999999999999999E-2</v>
      </c>
      <c r="I14" s="531"/>
      <c r="J14" s="494"/>
      <c r="K14" s="501"/>
      <c r="L14" s="277"/>
      <c r="M14" s="72"/>
      <c r="O14" s="3" t="s">
        <v>316</v>
      </c>
      <c r="P14" s="1316">
        <f>IFERROR(ROUND(P13+P12,4),0)</f>
        <v>0</v>
      </c>
      <c r="Q14" s="1316">
        <f>ROUND(Q13+Q12,4)</f>
        <v>0</v>
      </c>
      <c r="R14" s="278">
        <v>0</v>
      </c>
      <c r="S14" s="278">
        <f>+S13+S12</f>
        <v>0</v>
      </c>
      <c r="T14" s="278">
        <f>+T13+T12</f>
        <v>0</v>
      </c>
      <c r="U14" s="278">
        <f>+U13+U12</f>
        <v>0</v>
      </c>
      <c r="V14" s="278">
        <f>+V13+V12</f>
        <v>0</v>
      </c>
      <c r="W14" s="278">
        <f>+W13+W12</f>
        <v>0</v>
      </c>
      <c r="X14" s="3"/>
      <c r="AA14" s="641"/>
      <c r="AL14" s="60">
        <f>((IF(C20&gt;0,C20,P15/100)-AJ29)/0.25)*100</f>
        <v>0.40000000000000036</v>
      </c>
    </row>
    <row r="15" spans="1:42" ht="17.25" customHeight="1">
      <c r="A15" s="1583">
        <v>14</v>
      </c>
      <c r="B15" s="1239" t="str">
        <f>"Rente bei Renteneintritt bzw im Ehezeitende: "&amp;IF(AND(Adaequanz_ReEintrittPfl&gt;D8,D13&gt;0),TEXT(E12,"#.##0,00")&amp;" x (1 + "&amp;TEXT(Adaequanz_ADynPfl,"0,00%")&amp;")^"&amp;TEXT(Adaequanz_ReEintrittPfl-D8,"0,00"),"")</f>
        <v xml:space="preserve">Rente bei Renteneintritt bzw im Ehezeitende: </v>
      </c>
      <c r="C15" s="706"/>
      <c r="D15" s="218" t="str">
        <f>IFERROR(D12*(1+(D13))^D11,"")</f>
        <v/>
      </c>
      <c r="E15" s="719" t="str">
        <f>IFERROR(E12*(1+(E13))^E11,"")</f>
        <v/>
      </c>
      <c r="F15" s="1114" t="str">
        <f>IFERROR(F12*(1+(F13))^F11,"")</f>
        <v/>
      </c>
      <c r="G15" s="1205" t="str">
        <f>IFERROR(G12*(1+(G13))^G11,"")</f>
        <v/>
      </c>
      <c r="H15" s="740" t="str">
        <f>IFERROR(H12*(1+(H13))^H11,"")</f>
        <v/>
      </c>
      <c r="I15" s="532" t="str">
        <f>IFERROR(I12*(1+I13)^I11,"")</f>
        <v/>
      </c>
      <c r="J15" s="326" t="str">
        <f>IFERROR(J12*(1+J13)^J11,"")</f>
        <v/>
      </c>
      <c r="K15" s="502" t="str">
        <f>IFERROR(K12*(1+K13)^K11,"")</f>
        <v/>
      </c>
      <c r="L15" s="25"/>
      <c r="N15" s="154"/>
      <c r="O15" s="3" t="s">
        <v>289</v>
      </c>
      <c r="P15" s="3">
        <f>IFERROR(IF(C20&gt;0,C20*100,IF(AND(D5&gt;0,BerechnetAuf=2),VLOOKUP(D5,IF(C_BilMoG10,BilMoG10,BilmoGZins),16),VLOOKUP(B_Dat,IF(C_BilMoG10,BilMoG10,BilmoGZins),16))),5.5)</f>
        <v>1.6</v>
      </c>
      <c r="Q15" s="3" t="s">
        <v>404</v>
      </c>
      <c r="R15" s="432" t="b">
        <v>1</v>
      </c>
      <c r="S15" s="3"/>
      <c r="T15" s="3"/>
      <c r="U15" s="3"/>
      <c r="V15" s="432"/>
      <c r="W15" s="3"/>
      <c r="X15" s="3"/>
      <c r="AA15" s="641"/>
    </row>
    <row r="16" spans="1:42" s="414" customFormat="1" ht="34.15" customHeight="1">
      <c r="A16" s="1583">
        <v>15</v>
      </c>
      <c r="B16" s="2809" t="s">
        <v>1903</v>
      </c>
      <c r="C16" s="2810"/>
      <c r="D16" s="1419">
        <f>IFERROR(ROUND(IF((Adaequanz_LDynPfl)=0,Adaequanz_RentePfl*D10*12,(((1+(Adaequanz_LDynPfl))^D10-1)/(Adaequanz_LDynPfl))*D15*12),0),"")</f>
        <v>0</v>
      </c>
      <c r="E16" s="720" t="str">
        <f>IFERROR(ROUND(IF(E14=0,E15*12*E10,(((1+E14)^E10-1)/E14)*E15*12),0),"")</f>
        <v/>
      </c>
      <c r="F16" s="720" t="str">
        <f>IFERROR(IF(F12=0,"kalkuliert ca.: "&amp;TEXT(ROUND(IF(F14=0,IF(F12=0,#REF!,F15)*12*F10,(((1+F14)^F10-1)/F14)*IF(F12=0,#REF!,F15)*12),0),"#.##0,00"),ROUND(IF(F14=0,IF(F12=0,#REF!,F15)*12*F10,(((1+F14)^F10-1)/F14)*IF(F12=0,#REF!,F15)*12),0)),"")</f>
        <v/>
      </c>
      <c r="G16" s="733" t="str">
        <f>IFERROR(ROUND(IF(Adaequanz_Kapitalleistung,G52,IF(G14=0,G15*12*G10,(((1+G14)^G10-1)/G14)*G15*12)),0),"")</f>
        <v/>
      </c>
      <c r="H16" s="743" t="str">
        <f>IFERROR(ROUND(IF(H14=0,H15*12*H10,(((1+H14)^H10-1)/H14)*H15*12),0),"")</f>
        <v/>
      </c>
      <c r="I16" s="533" t="str">
        <f>IFERROR(ROUND(IF(I14=0,I15*I10*12,(((1+I14)^I10-1)/I14)*I15*12),0),"")</f>
        <v/>
      </c>
      <c r="J16" s="370" t="str">
        <f>IFERROR(ROUND(IF(J14=0,J15*J10*12,(((1+J14)^J10-1)/J14)*J15*12),0),"")</f>
        <v/>
      </c>
      <c r="K16" s="503" t="str">
        <f>IFERROR(ROUND(IF(K14=0,K15*12*K10,(((1+K14)^K10-1)/K14)*K15*12),0),"")</f>
        <v/>
      </c>
      <c r="L16" s="697"/>
      <c r="N16" s="415"/>
      <c r="O16" s="784" t="s">
        <v>290</v>
      </c>
      <c r="P16" s="1342">
        <f>IFERROR(-PV($P15/100-Adaequanz_LDynPfl,D10,D15*12,,0),0)</f>
        <v>0</v>
      </c>
      <c r="Q16" s="1342">
        <f t="shared" ref="Q16:W16" si="0">IFERROR(-PV($P15/100-E14,E10,E15*12,,0),0)</f>
        <v>0</v>
      </c>
      <c r="R16" s="1342">
        <f t="shared" si="0"/>
        <v>0</v>
      </c>
      <c r="S16" s="1342">
        <f t="shared" si="0"/>
        <v>0</v>
      </c>
      <c r="T16" s="1342">
        <f t="shared" si="0"/>
        <v>0</v>
      </c>
      <c r="U16" s="1342">
        <f t="shared" si="0"/>
        <v>0</v>
      </c>
      <c r="V16" s="1342">
        <f t="shared" si="0"/>
        <v>0</v>
      </c>
      <c r="W16" s="1342">
        <f t="shared" si="0"/>
        <v>0</v>
      </c>
      <c r="X16" s="784"/>
      <c r="AA16" s="878"/>
      <c r="AC16" s="437"/>
      <c r="AD16" s="437"/>
      <c r="AE16" t="str">
        <f>IF(AA28&lt;&gt;"",AA28,AG2&amp;"Rentenhöhe in unterschiedlichen Versorgungssystemen aus einem Ausgleichswert i.H.v. "&amp;TEXT(IF(D21&gt;0,D21,D20),"#.##0 €")&amp;IF(B_Dat="","",", EzE "&amp;TEXT(B_Dat,"TT.MM.JJ")&amp;IF(AND(D5&gt;0,BerechnetAuf=2),", Berechnungstag: "&amp;TEXT(D5,"TT.MM.JJ"),"")))</f>
        <v>Rentenhöhe in unterschiedlichen Versorgungssystemen aus einem Ausgleichswert i.H.v. 0 €</v>
      </c>
    </row>
    <row r="17" spans="1:41" ht="17.25" customHeight="1" thickBot="1">
      <c r="A17" s="1583">
        <v>16</v>
      </c>
      <c r="B17" s="1239" t="str">
        <f>"Invaliditätsabsicherung in Quellversorgung in %: Zuschlag "&amp;IFERROR(TEXT(P12,"0,00%"),"")</f>
        <v xml:space="preserve">Invaliditätsabsicherung in Quellversorgung in %: Zuschlag </v>
      </c>
      <c r="C17" s="706"/>
      <c r="D17" s="411">
        <v>1</v>
      </c>
      <c r="E17" s="412">
        <f>IF(KeineInvaliditätinDRV,0,100%)</f>
        <v>1</v>
      </c>
      <c r="F17" s="2807" t="str">
        <f>IFERROR(IF(AND(VersAusglKJa,Adaequanz_RentenhoeheVersAusglK="",E20&gt;0),"Info: aus AusglWert DRV von "&amp;TEXT(E22,"#.##0 €")&amp;" in VersAusglK ca.: "&amp;TEXT(#REF!,"#.##0,00 €")&amp;" reine AV","Versorgungen aus der VersAusglK sind reine Altersversorgungen"),"")</f>
        <v>Versorgungen aus der VersAusglK sind reine Altersversorgungen</v>
      </c>
      <c r="G17" s="1119"/>
      <c r="H17" s="744">
        <f>+E17</f>
        <v>1</v>
      </c>
      <c r="I17" s="534">
        <v>1</v>
      </c>
      <c r="J17" s="495">
        <v>1</v>
      </c>
      <c r="K17" s="504"/>
      <c r="L17" s="698"/>
      <c r="N17" s="209"/>
      <c r="O17" s="3" t="s">
        <v>291</v>
      </c>
      <c r="P17" s="3">
        <f>VLOOKUP(ROUND(Adaequanz_ReEintrittPfl,0),CHOOSE(Sexwahl,G_Kohorte_M,G_Kohorte_F,G_Kohorte_N),TabSchrittePfl)</f>
        <v>0</v>
      </c>
      <c r="Q17" s="3" t="e">
        <f>VLOOKUP(ROUND(E9,0),CHOOSE(Sexwahl,G_Kohorte_M,G_Kohorte_F,G_Kohorte_N),TabSchrittePfl)</f>
        <v>#VALUE!</v>
      </c>
      <c r="R17" s="3">
        <f>VLOOKUP(ROUND(F9,0),CHOOSE(Sexwahl,G_Kohorte_M,G_Kohorte_F,G_Kohorte_N),TabSchrittePfl)</f>
        <v>0</v>
      </c>
      <c r="S17" s="3">
        <f>VLOOKUP(ROUND(G9,0),CHOOSE(Sexwahl,G_Kohorte_M,G_Kohorte_F,G_Kohorte_N),TabSchrittePfl)</f>
        <v>0</v>
      </c>
      <c r="T17" s="3" t="e">
        <f>VLOOKUP(ROUND(H9,0),CHOOSE(CHOOSE(Sexwahl,2,1,3),G_Kohorte_M,G_Kohorte_F,G_Kohorte_N),TabSchritteBer)</f>
        <v>#VALUE!</v>
      </c>
      <c r="U17" s="3">
        <f>VLOOKUP(ROUND(I9,0),CHOOSE(CHOOSE(Sexwahl,2,1,3),G_Kohorte_M,G_Kohorte_F,G_Kohorte_N),TabSchritteBer)</f>
        <v>0</v>
      </c>
      <c r="V17" s="3">
        <f>VLOOKUP(ROUND(J9,0),CHOOSE(CHOOSE(Sexwahl,2,1,3),G_Kohorte_M,G_Kohorte_F,G_Kohorte_N),TabSchritteBer)</f>
        <v>0</v>
      </c>
      <c r="W17" s="3">
        <f>VLOOKUP(ROUND(K9,0),CHOOSE(CHOOSE(Sexwahl,2,1,3),G_Kohorte_M,G_Kohorte_F,G_Kohorte_N),TabSchritteBer)</f>
        <v>0</v>
      </c>
      <c r="X17" s="3"/>
      <c r="Z17" s="880"/>
      <c r="AA17" s="879"/>
      <c r="AC17" s="157"/>
      <c r="AD17" s="157"/>
      <c r="AE17" t="str">
        <f>IF(GrafikSchalter,"Barwerte ","Barwerte ")&amp;"aus Ausgleichswert von "&amp;TEXT(IF(D21&gt;0,D21,Adaequanz_errechneterKapWert),"#.##0 €")&amp;" in unterschiedlichen Versorgungssystemen, "&amp;IF(B_Dat="","","EzE "&amp;TEXT(B_Dat,"TT.MM.JJ")&amp;IF(AND(D5&gt;0,BerechnetAuf=2),", Berechnungstag: "&amp;TEXT(D5,"TT.MM.JJ"),""))</f>
        <v xml:space="preserve">Barwerte aus Ausgleichswert von 0 € in unterschiedlichen Versorgungssystemen, </v>
      </c>
    </row>
    <row r="18" spans="1:41" ht="17.25" customHeight="1">
      <c r="A18" s="1583">
        <v>17</v>
      </c>
      <c r="B18" s="1239" t="str">
        <f>"Hinterbliebenenversorgung in Quellversorgung in %: Zuschlag: "&amp;IFERROR(TEXT(P13,"0,00%"),"")</f>
        <v>Hinterbliebenenversorgung in Quellversorgung in %: Zuschlag: 0,00%</v>
      </c>
      <c r="C18" s="706"/>
      <c r="D18" s="411">
        <v>0.6</v>
      </c>
      <c r="E18" s="412">
        <v>0.55000000000000004</v>
      </c>
      <c r="F18" s="2808"/>
      <c r="G18" s="1119"/>
      <c r="H18" s="744">
        <f>+E18</f>
        <v>0.55000000000000004</v>
      </c>
      <c r="I18" s="538">
        <v>0.6</v>
      </c>
      <c r="J18" s="495">
        <v>0.6</v>
      </c>
      <c r="K18" s="504"/>
      <c r="L18" s="25"/>
      <c r="M18" s="214" t="s">
        <v>321</v>
      </c>
      <c r="N18" s="15">
        <v>1</v>
      </c>
      <c r="O18" s="3" t="s">
        <v>292</v>
      </c>
      <c r="P18" s="3">
        <f>IFERROR(VLOOKUP(ROUND(D8,0),CHOOSE(Sexwahl,G_Kohorte_M,G_Kohorte_F,G_Kohorte_N),TabSchrittePfl),0)</f>
        <v>0</v>
      </c>
      <c r="Q18" s="3" t="e">
        <f>VLOOKUP(ROUND(E8,0),CHOOSE(Sexwahl,G_Kohorte_M,G_Kohorte_F,G_Kohorte_N),TabSchrittePfl)</f>
        <v>#VALUE!</v>
      </c>
      <c r="R18" s="3" t="e">
        <f>VLOOKUP(ROUND(F8,0),CHOOSE(Sexwahl,G_Kohorte_M,G_Kohorte_F,G_Kohorte_N),TabSchrittePfl)</f>
        <v>#VALUE!</v>
      </c>
      <c r="S18" s="3" t="e">
        <f>VLOOKUP(ROUND(G8,0),CHOOSE(Sexwahl,G_Kohorte_M,G_Kohorte_F,G_Kohorte_N),TabSchrittePfl)</f>
        <v>#VALUE!</v>
      </c>
      <c r="T18" s="3" t="e">
        <f>VLOOKUP(ROUND(H8,0),CHOOSE(CHOOSE(Sexwahl,2,1,3),G_Kohorte_M,G_Kohorte_F,G_Kohorte_N),TabSchritteBer)</f>
        <v>#VALUE!</v>
      </c>
      <c r="U18" s="3" t="e">
        <f>VLOOKUP(ROUND(I8,0),CHOOSE(CHOOSE(Sexwahl,2,1,3),G_Kohorte_M,G_Kohorte_F,G_Kohorte_N),TabSchritteBer)</f>
        <v>#VALUE!</v>
      </c>
      <c r="V18" s="3" t="e">
        <f>VLOOKUP(ROUND(J8,0),CHOOSE(CHOOSE(Sexwahl,2,1,3),G_Kohorte_M,G_Kohorte_F,G_Kohorte_N),TabSchritteBer)</f>
        <v>#VALUE!</v>
      </c>
      <c r="W18" s="3" t="e">
        <f>VLOOKUP(ROUND(K8,0),CHOOSE(CHOOSE(Sexwahl,2,1,3),G_Kohorte_M,G_Kohorte_F,G_Kohorte_N),TabSchritteBer)</f>
        <v>#VALUE!</v>
      </c>
      <c r="X18" s="2846" t="str">
        <f>IF(Tenorschalter=0,"Tenorierungsvorschlag:"&amp;CHAR(10)&amp;"Wählen Sie eine Zielversorgung über die Checkbox aus (Zeile 2)",IF(Tenorschalter&gt;1,"Tenorierungsvorschlag nur für eine einzelne Zielversorgung möglich!","Tenorierungsvorschlag:"))</f>
        <v>Tenorierungsvorschlag:</v>
      </c>
      <c r="Y18" s="2847"/>
      <c r="AC18" s="2802"/>
      <c r="AD18" s="2802"/>
      <c r="AE18" s="213"/>
    </row>
    <row r="19" spans="1:41" ht="17.25" customHeight="1" thickBot="1">
      <c r="A19" s="1583">
        <v>18</v>
      </c>
      <c r="B19" s="710" t="s">
        <v>547</v>
      </c>
      <c r="C19" s="711" t="s">
        <v>845</v>
      </c>
      <c r="D19" s="413">
        <f>IF(Adaequanz_HRPfl+Adaequanz_IRPfl=0,,ROUND(P14,4))</f>
        <v>0</v>
      </c>
      <c r="E19" s="721">
        <f>+ROUND(Q14,4)</f>
        <v>0</v>
      </c>
      <c r="F19" s="2791"/>
      <c r="G19" s="734" t="str">
        <f>IF(SonstJa=FALSE,"",ROUND(S14,4))</f>
        <v/>
      </c>
      <c r="H19" s="742">
        <f>ROUND(T14,4)</f>
        <v>0</v>
      </c>
      <c r="I19" s="536">
        <f>ROUND(U14,4)</f>
        <v>0</v>
      </c>
      <c r="J19" s="496">
        <f>ROUND(V14,4)</f>
        <v>0</v>
      </c>
      <c r="K19" s="505">
        <f>ROUND(W14,4)</f>
        <v>0</v>
      </c>
      <c r="L19" s="697"/>
      <c r="M19" t="s">
        <v>317</v>
      </c>
      <c r="N19" t="e">
        <f>VLOOKUP(YEAR(E7),Renteneintrittstabelle,3)</f>
        <v>#VALUE!</v>
      </c>
      <c r="O19" s="3" t="s">
        <v>1231</v>
      </c>
      <c r="P19" s="1343" t="e">
        <f t="shared" ref="P19:W19" si="1">IF(P17/P18&gt;1,1,ROUND(P17/P18,4))</f>
        <v>#DIV/0!</v>
      </c>
      <c r="Q19" s="3" t="e">
        <f>IF(Q17/Q18&gt;1,1,ROUND(Q17/Q18,3))</f>
        <v>#VALUE!</v>
      </c>
      <c r="R19" s="3" t="e">
        <f t="shared" si="1"/>
        <v>#VALUE!</v>
      </c>
      <c r="S19" s="1343" t="e">
        <f t="shared" si="1"/>
        <v>#VALUE!</v>
      </c>
      <c r="T19" s="1343" t="e">
        <f t="shared" si="1"/>
        <v>#VALUE!</v>
      </c>
      <c r="U19" s="1343" t="e">
        <f t="shared" si="1"/>
        <v>#VALUE!</v>
      </c>
      <c r="V19" s="1343" t="e">
        <f t="shared" si="1"/>
        <v>#VALUE!</v>
      </c>
      <c r="W19" s="1343" t="e">
        <f t="shared" si="1"/>
        <v>#VALUE!</v>
      </c>
      <c r="X19" s="2848"/>
      <c r="Y19" s="2849"/>
      <c r="AA19" s="830" t="s">
        <v>1934</v>
      </c>
      <c r="AC19" s="390"/>
      <c r="AD19" s="390"/>
      <c r="AE19" s="440"/>
    </row>
    <row r="20" spans="1:41" ht="17.25" customHeight="1" thickTop="1" thickBot="1">
      <c r="A20" s="1583">
        <v>19</v>
      </c>
      <c r="B20" s="712" t="str">
        <f>IFERROR("berechneter Barwert d. Versorg., "&amp;IF(C20&gt;0,"Rezins: "&amp;TEXT(C20,"0,00%"),IF(AND(C_BilMoG10,N26&lt;&gt;10),"BilMoG-10:",IF(AND(N24&lt;&gt;10,C_BilMoG10=FALSE),"BilMoG-7:","BilMoG NV"))&amp; " "&amp;TEXT(P15/100,"0,00%")),"")</f>
        <v>berechneter Barwert d. Versorg., Rezins: 1,60%</v>
      </c>
      <c r="C20" s="1250">
        <v>1.6E-2</v>
      </c>
      <c r="D20" s="804">
        <f>IFERROR(P22,"")</f>
        <v>0</v>
      </c>
      <c r="E20" s="731" t="str">
        <f>IF(Q23=0,"",IF(DRVJa,Q23,""))</f>
        <v/>
      </c>
      <c r="F20" s="731" t="str">
        <f>IFERROR(IF(R23=0,"",IF(VersAusglKJa,IFERROR(IF(R23=0,"",ROUND(R23,0)),""),0)),"")</f>
        <v/>
      </c>
      <c r="G20" s="735" t="str">
        <f>IF(S23=0,"",IF(SonstJa,S23,0))</f>
        <v/>
      </c>
      <c r="H20" s="745">
        <f>IF(DRVAusglBerJa,T23,0)</f>
        <v>0</v>
      </c>
      <c r="I20" s="535">
        <f>+U23</f>
        <v>0</v>
      </c>
      <c r="J20" s="508">
        <f>+V23</f>
        <v>0</v>
      </c>
      <c r="K20" s="509">
        <f>W23</f>
        <v>0</v>
      </c>
      <c r="L20" s="25"/>
      <c r="M20" s="213" t="s">
        <v>319</v>
      </c>
      <c r="N20" s="15" t="b">
        <v>0</v>
      </c>
      <c r="O20" s="3" t="s">
        <v>293</v>
      </c>
      <c r="P20" s="1344">
        <f t="shared" ref="P20:W20" si="2">1+D19</f>
        <v>1</v>
      </c>
      <c r="Q20" s="1344">
        <f t="shared" si="2"/>
        <v>1</v>
      </c>
      <c r="R20" s="1344">
        <f t="shared" si="2"/>
        <v>1</v>
      </c>
      <c r="S20" s="1345" t="e">
        <f t="shared" si="2"/>
        <v>#VALUE!</v>
      </c>
      <c r="T20" s="1344">
        <f t="shared" si="2"/>
        <v>1</v>
      </c>
      <c r="U20" s="1344">
        <f t="shared" si="2"/>
        <v>1</v>
      </c>
      <c r="V20" s="1344">
        <f t="shared" si="2"/>
        <v>1</v>
      </c>
      <c r="W20" s="1344">
        <f t="shared" si="2"/>
        <v>1</v>
      </c>
      <c r="X20" s="2850" t="str">
        <f>IF(Tenorschalter=1,"Zu Lasten des Anrechts "&amp;AE33&amp;" bei der &lt;"&amp;D3&amp;", VersNr.: ...&gt; wird im Wege der externen Teilung zu Gunsten"&amp;AE34&amp;"in der "&amp;IF(DRVJa,"DRV, VersNr. .....",IF(VersAusglKJa,"Versorgungsausgleichskasse","&lt;"&amp;G3&amp;"&gt;"))&amp;" ein Anrecht aus einem Ausgleichswert in Höhe von "&amp;TEXT(IF(Adaequanz_AusglWertQuelle&gt;0,Adaequanz_AusglWertQuelle,Adaequanz_errechneterKapWert),"#.##0 €")&amp;AE29&amp;", bezogen auf den "&amp;TEXT(IF(BerechnetAuf=1,B_Dat,D5),"TT.MM.JJ")&amp;" begründet. "&amp;IF(AND(BerechnetAuf=1,D5&gt;0)," Der Versorgungsträger der Quellversorgung wird verpflichtet, den Betrag in Höhe von "&amp;TEXT(IF(D21&lt;&gt;"",D21,D20)+E27,"#.##0 €")&amp;" nebst "&amp;TEXT(ReZins/100,"0,00%")&amp;" Zinsen vom "&amp;TEXT(B_Dat,"TT.MM.JJ")&amp;" bis zum Zeitpunkt der Rechtskraft der Entscheidung an den Träger der Zielversorgung zu zahlen.",""),"")</f>
        <v xml:space="preserve">Zu Lasten des Anrechts  der Ehefrau  bei der &lt;Quell-Versorgung, VersNr.: ...&gt; wird im Wege der externen Teilung zu Gunsten des Ehemannes in der DRV, VersNr. ..... ein Anrecht aus einem Ausgleichswert in Höhe von 0 €, bezogen auf den  begründet. </v>
      </c>
      <c r="Y20" s="2851"/>
      <c r="AC20" s="2131"/>
      <c r="AD20" s="2131"/>
      <c r="AE20" s="157"/>
    </row>
    <row r="21" spans="1:41" ht="17.25" customHeight="1" thickTop="1" thickBot="1">
      <c r="A21" s="1583">
        <v>20</v>
      </c>
      <c r="B21" s="1220" t="str">
        <f>IFERROR("anderen Ausgleichswert als: "&amp;TEXT(D20,"#.##0 €")&amp;" hier eintragen: (bei DRV mitgeteilter Kapitalwert)","")</f>
        <v>anderen Ausgleichswert als: 0 € hier eintragen: (bei DRV mitgeteilter Kapitalwert)</v>
      </c>
      <c r="C21" s="1221" t="str">
        <f>IF(Adaequanz_errechneterKapWert+Adaequanz_AusglWertQuelle&gt;0,IF(OR(Adaequanz_errechneterKapWert&lt;BagatellgrenzeKapital,AND(Adaequanz_AusglWertQuelle&gt;0,Adaequanz_AusglWertQuelle&lt;BagatellgrenzeKapital)),"Bagatelle § 18",""),"")</f>
        <v/>
      </c>
      <c r="D21" s="450"/>
      <c r="E21" s="525" t="str">
        <f>IF(BerechnetAuf=1,IF(Adaequanz_VerzinsungAusglW&gt;1,"v. "&amp;TEXT(B_Dat,"T.M.JJ")&amp; " b. "&amp;TEXT(D5,"T.M.JJ")&amp;" mit "&amp;TEXT(P15/100,"0,00%")&amp;CHOOSE(Adaequanz_VerzinsungAusglW,""," aufgezinst: "&amp;TEXT(P23,"0.00# €")," verzinst: "&amp;TEXT(P23,"0.00# €")),""),"")</f>
        <v/>
      </c>
      <c r="F21" s="525"/>
      <c r="G21" s="561"/>
      <c r="H21" s="631"/>
      <c r="I21" s="632" t="str">
        <f>IFERROR(I20/I12,"")</f>
        <v/>
      </c>
      <c r="J21" s="25"/>
      <c r="K21" s="699"/>
      <c r="L21" s="25"/>
      <c r="O21" s="3" t="s">
        <v>1232</v>
      </c>
      <c r="P21" s="267">
        <f>IFERROR(-PV($P$15/100,D11,,P16,0),0)</f>
        <v>0</v>
      </c>
      <c r="Q21" s="267" t="e">
        <f>-PV($P$15/100,E11,,Q16,1)</f>
        <v>#VALUE!</v>
      </c>
      <c r="R21" s="267" t="e">
        <f>-PV($P$15/100,F11,,R16,1)*R17/R18</f>
        <v>#VALUE!</v>
      </c>
      <c r="S21" s="267">
        <f>IFERROR(-PV($P$15/100,G11,,R16,1)*S17/S18,0)</f>
        <v>0</v>
      </c>
      <c r="T21" s="267">
        <f>IFERROR(-PV($P$15/100,H11,,T16,1)*T17/T18,0)</f>
        <v>0</v>
      </c>
      <c r="U21" s="267">
        <f t="shared" ref="S21:W22" si="3">IFERROR(-PV($P$15/100,I10,,U15,1)*U18*U19,0)</f>
        <v>0</v>
      </c>
      <c r="V21" s="267">
        <f t="shared" si="3"/>
        <v>0</v>
      </c>
      <c r="W21" s="267">
        <f t="shared" si="3"/>
        <v>0</v>
      </c>
      <c r="X21" s="2850"/>
      <c r="Y21" s="2851"/>
      <c r="AC21" s="157"/>
      <c r="AD21" s="157"/>
      <c r="AE21" s="157"/>
    </row>
    <row r="22" spans="1:41" ht="17.25" customHeight="1" thickTop="1" thickBot="1">
      <c r="A22" s="1583">
        <v>21</v>
      </c>
      <c r="B22" s="2793" t="str">
        <f>IFERROR(IF(SUM(D22:G22)=0,"",IF(Adaequanz_AusglWertQuelle&gt;0,"Ausgleichswert der Quellversorgung bzw. Barwert der Versorgungen ","Barwert der Versorgung: ")),"")</f>
        <v/>
      </c>
      <c r="C22" s="2794"/>
      <c r="D22" s="408">
        <f>IF(Adaequanz_AusglWertQuelle&gt;0,Adaequanz_AusglWertQuelle,IF(Adaequanz_VerzinsungAusglW&gt;1,ROUND(P23,0),ROUND(Adaequanz_errechneterKapWert,0)))</f>
        <v>0</v>
      </c>
      <c r="E22" s="722">
        <f>IF(DRVJa,IFERROR(IF(Adaequanz_Kapitalleistung,ROUND(E60,0),ROUND(Q23,0)),""),"")</f>
        <v>0</v>
      </c>
      <c r="F22" s="722" t="str">
        <f>IFERROR(IF(R23=0,"",IF(VersAusglKJa,IFERROR(ROUND(R23,0),""),"")),"")</f>
        <v/>
      </c>
      <c r="G22" s="736" t="str">
        <f>IF(S23=0,"",IF(SonstJa,IFERROR(ROUND(S23,0),0),""))</f>
        <v/>
      </c>
      <c r="H22" s="746">
        <f>IF(DRVAusglBerJa,ROUND(T23,0),0)</f>
        <v>0</v>
      </c>
      <c r="I22" s="689" t="str">
        <f>IFERROR(Adaequanz_Ausgleichswert1/Adaequanz_RentePfl,"")</f>
        <v/>
      </c>
      <c r="J22" s="619" t="str">
        <f>"∑ Barwerte "&amp;CHOOSE(Sexwahl,Zeichen!B15,Zeichen!#REF!,"AuslgBer.")</f>
        <v>∑ Barwerte </v>
      </c>
      <c r="K22" s="510">
        <f>SUM(H20:K20)</f>
        <v>0</v>
      </c>
      <c r="L22" s="25"/>
      <c r="N22" s="15"/>
      <c r="O22" s="3" t="s">
        <v>1233</v>
      </c>
      <c r="P22" s="267">
        <f>IFERROR(-PV(P15/100,D11,,P16,0)*P19*P20,0)</f>
        <v>0</v>
      </c>
      <c r="Q22" s="267">
        <f>IFERROR(-PV($P15/100,E11,,Q16,1)*Q19*Q20,0)</f>
        <v>0</v>
      </c>
      <c r="R22" s="267" t="e">
        <f>-PV($P15/100,F11,,R16,1)*R19*R20</f>
        <v>#VALUE!</v>
      </c>
      <c r="S22" s="267">
        <f t="shared" si="3"/>
        <v>0</v>
      </c>
      <c r="T22" s="267">
        <f t="shared" si="3"/>
        <v>0</v>
      </c>
      <c r="U22" s="267">
        <f t="shared" si="3"/>
        <v>0</v>
      </c>
      <c r="V22" s="267">
        <f t="shared" si="3"/>
        <v>0</v>
      </c>
      <c r="W22" s="267">
        <f t="shared" si="3"/>
        <v>0</v>
      </c>
      <c r="X22" s="2850"/>
      <c r="Y22" s="2851"/>
      <c r="AC22" s="439"/>
      <c r="AD22" s="439"/>
      <c r="AE22" s="209"/>
    </row>
    <row r="23" spans="1:41" ht="17.25" customHeight="1" thickTop="1">
      <c r="A23" s="1583">
        <v>22</v>
      </c>
      <c r="B23" s="2825" t="s">
        <v>844</v>
      </c>
      <c r="C23" s="2826"/>
      <c r="D23" s="2827"/>
      <c r="E23" s="723" t="str">
        <f>IF(AND(DRVJa,D20&gt;0),ROUND((E20/$D20)-1,4),"")</f>
        <v/>
      </c>
      <c r="F23" s="723" t="str">
        <f>IF(OR(Adaequanz_RentenhoeheVersAusglK=0,Adaequanz_RenteneintrittVersAusglK=0),"",IFERROR(1-ROUND(($D20/F20),4),""))</f>
        <v/>
      </c>
      <c r="G23" s="737" t="str">
        <f>IF(SonstJa,IF(Adaequanz_RenteBer=0,0,IFERROR(1-ROUND((D20/$G20),4),"")),"")</f>
        <v/>
      </c>
      <c r="H23" s="747" t="str">
        <f>IFERROR(ROUND((H22/$D20),4)-1,"")</f>
        <v/>
      </c>
      <c r="I23" s="157" t="str">
        <f>IFERROR(+Adaequanz_errechneterKapWert/Adaequanz_RentePfl,"")</f>
        <v/>
      </c>
      <c r="J23" s="619" t="e">
        <f>"∑ Barwerte "&amp;CHOOSE(Sexwahl,Zeichen!#REF!,Zeichen!B15,"AuslgPflr.")</f>
        <v>#REF!</v>
      </c>
      <c r="K23" s="512">
        <f>SUM(D20:G20)</f>
        <v>0</v>
      </c>
      <c r="L23" s="25"/>
      <c r="O23" s="3" t="s">
        <v>322</v>
      </c>
      <c r="P23" s="267">
        <f>ROUND(IF(AND(BerechnetAuf=1,Adaequanz_VerzinsungAusglW=1),P22,IF(AND(BerechnetAuf=2,D5&gt;0),CHOOSE(Adaequanz_VerzinsungAusglW,P22,P22*(1+P15/100)^YEARFRAC(B_Dat,D5,0),P22+P22*P15/100*YEARFRAC(B_Dat,D5,0)),P22)),0)</f>
        <v>0</v>
      </c>
      <c r="Q23" s="267">
        <f t="shared" ref="Q23:W23" si="4">+Q22</f>
        <v>0</v>
      </c>
      <c r="R23" s="267" t="e">
        <f t="shared" si="4"/>
        <v>#VALUE!</v>
      </c>
      <c r="S23" s="267">
        <f t="shared" si="4"/>
        <v>0</v>
      </c>
      <c r="T23" s="267">
        <f t="shared" si="4"/>
        <v>0</v>
      </c>
      <c r="U23" s="267">
        <f t="shared" si="4"/>
        <v>0</v>
      </c>
      <c r="V23" s="267">
        <f t="shared" si="4"/>
        <v>0</v>
      </c>
      <c r="W23" s="267">
        <f t="shared" si="4"/>
        <v>0</v>
      </c>
      <c r="X23" s="2850"/>
      <c r="Y23" s="2851"/>
      <c r="AC23" s="157"/>
      <c r="AD23" s="157"/>
      <c r="AE23" s="209"/>
    </row>
    <row r="24" spans="1:41" ht="80.25" customHeight="1" thickBot="1">
      <c r="A24" s="1583">
        <v>23</v>
      </c>
      <c r="B24" s="2840" t="s">
        <v>1036</v>
      </c>
      <c r="C24" s="2841"/>
      <c r="D24" s="2842" t="str">
        <f>IFERROR(IF(SUM(K4:K5)&gt;0,"manuelle Eingabe der Versorgungshöhe DRV veranlasst. Keine Berechnung sinnvoll.",IF(AND(DRVJa,E23&lt;-0.1),IFERROR(IF(Adaequanz_errechneterKapWert+E22=0,"",IF(AND(E22=0,Adaequanz_errechneterKapWert=0),"",IF(E23&gt;=0,"Ext. Teilung in DRV besser/gleich int. Teilung! Versorgungs-gewinn "&amp;TEXT(E23,"0,0%"),"Transfer-Verlust (BVerfG 1 BvL 5/16): "&amp;CHAR(10)&amp;TEXT(E23,"0,00%")&amp;CHAR(10)&amp;"Ausgleichswert zu Lasten der ausglpfl. Person: "&amp;TEXT(IF(D21&gt;0,D21,Adaequanz_errechneterKapWert),"#.##0 €")&amp;" und zu Lasten des Versorgungsträgers zusätzlich "&amp;TEXT(E27,"#.##0 €")&amp;" auf insgesamt "&amp;TEXT(E26,"#.##0 €")))),"#.##0,00 €")&amp;" anheben.",IF(AND(E23&gt;0.1,Adaequanz_RentePfl&lt;&gt;'Gewinn &amp; Verlust'!C21,Adaequanz_AusglWertQuelle&lt;&gt;'Gewinn &amp; Verlust'!D23),"Transfer-Gewinn ca. "&amp;TEXT(E23,"0%")&amp;CHAR(10)&amp;IF(AND(SUM(K4:K5)=0,E23&gt;0)," 'Barwertgleiche' entsteht, wenn in Q-Versorgung "&amp;TEXT('Gewinn &amp; Verlust'!C21,"#.##0,00 €")&amp;" aus dem ehezeitl. Versorg-Erwerb belassen werden und der Ausgleich auf "&amp;TEXT(Adaequanz_RentePfl*2-'Gewinn &amp; Verlust'!C21,"#.##0,00")&amp;" "&amp;_xlfn.UNICHAR(8793)&amp;" "&amp;TEXT('Gewinn &amp; Verlust'!D23,"#.##0,00 €")&amp;" verringert wird."&amp;" Bitte ggfls. diese Zahlen notieren und in Zeile 11 und 20 eintragen.",""),""))),"")</f>
        <v/>
      </c>
      <c r="E24" s="2843"/>
      <c r="F24" s="732" t="str">
        <f>IF(AND(VersAusglKJa,F23&lt;-0.1),IF(Adaequanz_RentenhoeheVersAusglK=0,"",IFERROR(IF(Adaequanz_errechneterKapWert=0,"",IF(F23&gt;=0,"Ex. Teilung in VersAusglK besser/gleich int. Teilung! Versor-gungsgewinn "&amp;TEXT(F23,"0,0%"),"Anhebung d. AusglW bzw. der Rente: "&amp;TEXT(Adaequanz_errechneterKapWert,"#.##0")&amp;" / "&amp;TEXT(F22,"#.##0")&amp;" = auf "&amp;TEXT(Adaequanz_errechneterKapWert/F22,"0,00%"))),"")),"")</f>
        <v/>
      </c>
      <c r="G24" s="738" t="str">
        <f>IF(AND(SonstJa,G23&lt;-0.1),IF(Adaequanz_RenteBer=0,"",IFERROR(IF(Adaequanz_errechneterKapWert=0,"",IF(G23&gt;=0,"Ext. Teilung in gewählte ZV besser/gleich int. Teilung! Versor-gungsgewinn "&amp;TEXT(G23,"0,0%"),"Anhebung d. Ausgleichswerts bzw. der Rente: "&amp;TEXT(Adaequanz_errechneterKapWert,"#.##0")&amp;" / "&amp;TEXT(G22,"#.##0")&amp;" = auf "&amp;TEXT(Adaequanz_errechneterKapWert/Adaequanz_RVolumenBer,"0,00%"))),"")),"")</f>
        <v/>
      </c>
      <c r="H24" s="748" t="str">
        <f>IFERROR("Verhältnis Barw./Beitragsw.: "&amp;CHAR(10)&amp;TEXT(H20,"#.##0,00")&amp;" / "&amp;TEXT((H12/N7*VLOOKUP(B_Dat,Umrechnung,2)),"#.##0,00")&amp;" = "&amp;TEXT(H20/(H12/N7*VLOOKUP(B_Dat,Umrechnung,2)),"0,00"),"")</f>
        <v/>
      </c>
      <c r="I24" s="688" t="str">
        <f>IFERROR(Adaequanz_AusglWertQuelle/Adaequanz_RentePfl,"")</f>
        <v/>
      </c>
      <c r="J24" s="565" t="str">
        <f>"Barwert-Differenz "&amp;TEXT(ABS(K22-K23),"#.##0,00")&amp;" = Barwertteilung: "&amp;TEXT((K23+K22)/2,"#.##0")</f>
        <v>Barwert-Differenz 0,00 = Barwertteilung: 0</v>
      </c>
      <c r="K24" s="630">
        <f>+(K23-K22)/2</f>
        <v>0</v>
      </c>
      <c r="L24" s="25"/>
      <c r="M24" s="75" t="s">
        <v>409</v>
      </c>
      <c r="N24" s="132">
        <f>_xlfn.IFNA(N27,10)</f>
        <v>10</v>
      </c>
      <c r="Q24" s="157"/>
      <c r="X24" s="2852"/>
      <c r="Y24" s="2853"/>
      <c r="AC24" s="439"/>
      <c r="AD24" s="439"/>
      <c r="AE24" s="439"/>
      <c r="AI24" s="60"/>
    </row>
    <row r="25" spans="1:41" ht="17.25" customHeight="1" thickBot="1">
      <c r="A25" s="1583">
        <v>24</v>
      </c>
      <c r="B25" s="2795" t="s">
        <v>1243</v>
      </c>
      <c r="C25" s="2796"/>
      <c r="D25" s="2797"/>
      <c r="E25" s="724" t="str">
        <f>IF(AND(DRVJa,E23&lt;-0.1),IFERROR(IF(Adaequanz_AusglWertQuelle=0,Adaequanz_errechneterKapWert,Adaequanz_AusglWertQuelle)*Adaequanz_errechneterKapWert/E22,0),"")</f>
        <v/>
      </c>
      <c r="F25" s="725" t="str">
        <f>IF(AND(VersAusglKJa,F23&lt;-0.1),IFERROR(IF(Adaequanz_AusglWertQuelle=0,Adaequanz_errechneterKapWert,Adaequanz_AusglWertQuelle)*Adaequanz_errechneterKapWert/F22,0),"")</f>
        <v/>
      </c>
      <c r="G25" s="726" t="str">
        <f>IF(AND(SonstJa,G23&lt;-0.1),IFERROR(IF(Adaequanz_AusglWertQuelle=0,Adaequanz_errechneterKapWert,Adaequanz_AusglWertQuelle)*Adaequanz_errechneterKapWert/G22,0),"")</f>
        <v/>
      </c>
      <c r="H25" s="2828"/>
      <c r="I25" s="696" t="str">
        <f>IFERROR(+I20/I15,"")</f>
        <v/>
      </c>
      <c r="J25" s="513" t="s">
        <v>578</v>
      </c>
      <c r="K25" s="514" t="s">
        <v>579</v>
      </c>
      <c r="L25" s="25"/>
      <c r="M25" t="str">
        <f>IF(F26&gt;0,F26,"")</f>
        <v/>
      </c>
      <c r="P25" s="265" t="s">
        <v>552</v>
      </c>
      <c r="Q25" s="60"/>
      <c r="R25" s="1189"/>
      <c r="X25" s="25"/>
      <c r="Y25" s="25"/>
    </row>
    <row r="26" spans="1:41" ht="30" customHeight="1" thickTop="1" thickBot="1">
      <c r="A26" s="1583">
        <v>25</v>
      </c>
      <c r="B26" s="2788" t="s">
        <v>909</v>
      </c>
      <c r="C26" s="2789"/>
      <c r="D26" s="2790"/>
      <c r="E26" s="727">
        <f>IF(DRVJa,IF(E23&gt;0,0,IFERROR(+E25*0.9,"")),"")</f>
        <v>0</v>
      </c>
      <c r="F26" s="727" t="str">
        <f>IFERROR(IF(+F25*0.9&lt;=IF(D21&gt;0,D21,Adaequanz_errechneterKapWert),0,+F25*0.9),"")</f>
        <v/>
      </c>
      <c r="G26" s="728" t="str">
        <f>IFERROR(IF(+G25*0.9&lt;=IF(D21&gt;0,D21,Adaequanz_errechneterKapWert),0,+G25*0.9),"")</f>
        <v/>
      </c>
      <c r="H26" s="2829"/>
      <c r="I26" s="700" t="str">
        <f>IFERROR(H20/(H12/N7*VLOOKUP(B_Dat,UmrechnungEP_Kap,2)),"")</f>
        <v/>
      </c>
      <c r="J26" s="511">
        <f>SUM(D16:G16)</f>
        <v>0</v>
      </c>
      <c r="K26" s="518">
        <f>SUM(H16:K16)</f>
        <v>0</v>
      </c>
      <c r="L26" s="25"/>
      <c r="M26" s="75" t="s">
        <v>408</v>
      </c>
      <c r="N26" s="132">
        <f>_xlfn.IFNA(N28,10)</f>
        <v>10</v>
      </c>
      <c r="P26" s="266" t="s">
        <v>1244</v>
      </c>
      <c r="X26" s="25"/>
      <c r="Y26" s="25"/>
      <c r="AN26" t="s">
        <v>638</v>
      </c>
      <c r="AO26">
        <f>IF(Rentner=1,10,8)</f>
        <v>8</v>
      </c>
    </row>
    <row r="27" spans="1:41" ht="17.25" customHeight="1" thickBot="1">
      <c r="A27" s="1583">
        <v>26</v>
      </c>
      <c r="B27" s="2863" t="s">
        <v>402</v>
      </c>
      <c r="C27" s="2863"/>
      <c r="D27" s="2863"/>
      <c r="E27" s="802">
        <f>IFERROR(IF(AND(DRVJa,E26-IF(Adaequanz_AusglWertQuelle&gt;0,Adaequanz_AusglWertQuelle,Adaequanz_errechneterKapWert)&gt;0),E26-IF(Adaequanz_AusglWertQuelle&gt;0,Adaequanz_AusglWertQuelle,Adaequanz_errechneterKapWert),0),"")</f>
        <v>0</v>
      </c>
      <c r="F27" s="802">
        <f>IF(AND(VersAusglKJa,F23&lt;-0.1),IF(AND(VersAusglKJa,+F26-IF(D21&gt;0,D21,Adaequanz_errechneterKapWert)&gt;0),+F26-IF(D21&gt;0,D21,Adaequanz_errechneterKapWert),0),0)</f>
        <v>0</v>
      </c>
      <c r="G27" s="803" t="str">
        <f>IFERROR(IF(AND(SonstJa,G26-IF(D21&gt;0,D21,Adaequanz_errechneterKapWert)&gt;0),+G26-IF(D21&gt;0,D21,Adaequanz_errechneterKapWert),""),"")</f>
        <v/>
      </c>
      <c r="H27" s="2830"/>
      <c r="I27" s="25"/>
      <c r="J27" s="515"/>
      <c r="K27" s="516"/>
      <c r="L27" s="25"/>
      <c r="M27" s="75" t="s">
        <v>406</v>
      </c>
      <c r="N27" s="132" t="e">
        <f>VLOOKUP(IF(BerechnetAuf=1,B_Dat,D5),BilmoGZins,16)</f>
        <v>#N/A</v>
      </c>
      <c r="P27" s="266" t="s">
        <v>1245</v>
      </c>
      <c r="X27" s="25"/>
      <c r="Y27" s="25"/>
      <c r="AF27" s="157"/>
      <c r="AN27" t="s">
        <v>637</v>
      </c>
      <c r="AO27">
        <f>IF(Adaequanz_ReEintrittPfl&lt;Adaequanz_QV_Alter,1,0)</f>
        <v>0</v>
      </c>
    </row>
    <row r="28" spans="1:41" ht="21.6" customHeight="1" thickBot="1">
      <c r="A28" s="1583">
        <v>27</v>
      </c>
      <c r="B28" s="2866" t="s">
        <v>817</v>
      </c>
      <c r="C28" s="2867"/>
      <c r="D28" s="2867"/>
      <c r="E28" s="2867"/>
      <c r="F28" s="2867"/>
      <c r="G28" s="2867"/>
      <c r="H28" s="2868"/>
      <c r="I28" s="25"/>
      <c r="J28" s="25"/>
      <c r="K28" s="25"/>
      <c r="L28" s="227"/>
      <c r="M28" s="75" t="s">
        <v>407</v>
      </c>
      <c r="N28" s="132" t="e">
        <f>VLOOKUP(IF(BerechnetAuf=1,B_Dat,D5),BilMoG10,16)</f>
        <v>#N/A</v>
      </c>
      <c r="R28" s="231"/>
      <c r="S28" s="231"/>
      <c r="T28" s="231"/>
      <c r="U28" s="231"/>
      <c r="V28" s="231"/>
      <c r="W28" s="231"/>
      <c r="X28" s="25"/>
      <c r="Y28" s="25"/>
      <c r="Z28" s="831"/>
      <c r="AA28" s="1594"/>
      <c r="AB28" s="831"/>
      <c r="AF28" s="157"/>
      <c r="AG28" s="834" t="s">
        <v>618</v>
      </c>
      <c r="AH28" s="834"/>
      <c r="AI28" s="15" t="b">
        <v>0</v>
      </c>
      <c r="AM28" t="s">
        <v>632</v>
      </c>
      <c r="AN28" t="s">
        <v>634</v>
      </c>
      <c r="AO28" t="s">
        <v>636</v>
      </c>
    </row>
    <row r="29" spans="1:41" ht="17.25" customHeight="1">
      <c r="A29" s="1583">
        <v>28</v>
      </c>
      <c r="B29" s="2864" t="str">
        <f>IFERROR("Tabellenwert: Rechnungszins: "&amp;TEXT(AJ29,"0,00%")&amp;" / Alter aus DFG-Tabelle:"&amp;TEXT(AH34,"##"),"")</f>
        <v/>
      </c>
      <c r="C29" s="2865"/>
      <c r="D29" s="2865"/>
      <c r="E29" s="579" t="str">
        <f>IFERROR(IF(Rentner,AO29,ROUND(VLOOKUP(AJ29,IF(Adaequanz_IRPfl&gt;0,IF($D$6="m",BWVergl_M_DRVIR,BWVergl_F_DRVIR),IF($D$6="M",BWVergl_M_DRV,BWVergl_F_DRV)),$AH$39,TRUE),2)),"")</f>
        <v/>
      </c>
      <c r="F29" s="2857" t="str">
        <f>IF(Rentner,"Rentnerfall, Versorgungsbegründung in DRV nicht möglich!","")</f>
        <v/>
      </c>
      <c r="G29" s="2857"/>
      <c r="H29" s="2857"/>
      <c r="I29" s="2844"/>
      <c r="J29" s="2845"/>
      <c r="K29" s="628"/>
      <c r="L29" s="357"/>
      <c r="M29" s="231" t="s">
        <v>609</v>
      </c>
      <c r="N29" s="15" t="b">
        <v>0</v>
      </c>
      <c r="Q29" s="231"/>
      <c r="R29" s="231"/>
      <c r="S29" s="231"/>
      <c r="T29" s="231"/>
      <c r="U29" s="231"/>
      <c r="V29" s="231"/>
      <c r="W29" s="231"/>
      <c r="X29" s="25"/>
      <c r="Y29" s="25"/>
      <c r="Z29" s="835"/>
      <c r="AA29" s="835"/>
      <c r="AB29" s="835"/>
      <c r="AD29" t="s">
        <v>403</v>
      </c>
      <c r="AE29" t="str">
        <f>IF(AE30&lt;&gt;"",AE30,IF(AE31&lt;&gt;"",AE31,IF(AE32&lt;&gt;"",AE32,"")))</f>
        <v/>
      </c>
      <c r="AG29" s="834"/>
      <c r="AH29" s="834"/>
      <c r="AI29" t="s">
        <v>623</v>
      </c>
      <c r="AJ29" s="576">
        <f>VLOOKUP(IF(C20&gt;0,C20,P15/100),BWVergl_F_DRVIR,1,TRUE)</f>
        <v>1.4999999999999999E-2</v>
      </c>
      <c r="AK29" s="575">
        <f>ROUND(AJ29/0.025%,0)</f>
        <v>60</v>
      </c>
      <c r="AL29" s="60">
        <f>+AK29*0.25/100</f>
        <v>0.15</v>
      </c>
      <c r="AM29" s="264">
        <v>0.01</v>
      </c>
      <c r="AN29" s="4">
        <v>35</v>
      </c>
      <c r="AO29" s="578" t="e">
        <f>ROUND(VLOOKUP(AJ29,IF(D6="w",BWVergl_F_VersAusglK,BWVergl_M_VersAusglK),$AH$39,TRUE),2)</f>
        <v>#REF!</v>
      </c>
    </row>
    <row r="30" spans="1:41" ht="17.25" customHeight="1">
      <c r="A30" s="1583">
        <v>29</v>
      </c>
      <c r="B30" s="2864" t="str">
        <f>IFERROR("Tabellenwert: Rechnungszins: "&amp;TEXT(AJ29,"0,00%")&amp;" / Alter aus DFG-Tabelle:"&amp;TEXT(AH35,"##"),"")</f>
        <v/>
      </c>
      <c r="C30" s="2865"/>
      <c r="D30" s="2865"/>
      <c r="E30" s="579" t="str">
        <f>IFERROR(IF(Rentner,AO30,ROUND(VLOOKUP(AJ29,IF(Adaequanz_IRPfl&gt;0,IF($D$6="m",BWVergl_M_DRVIR,BWVergl_F_DRVIR),IF($D$6="m",BWVergl_M_DRV,BWVergl_F_DRV)),$AI$39),2)),"")</f>
        <v/>
      </c>
      <c r="F30" s="2857"/>
      <c r="G30" s="2857"/>
      <c r="H30" s="2858"/>
      <c r="I30" s="2844"/>
      <c r="J30" s="2845"/>
      <c r="K30" s="628"/>
      <c r="L30" s="227"/>
      <c r="M30" t="s">
        <v>327</v>
      </c>
      <c r="N30">
        <f>IF(EP_Ost,3,2)</f>
        <v>2</v>
      </c>
      <c r="O30" s="231"/>
      <c r="P30" s="231"/>
      <c r="Q30" s="231"/>
      <c r="R30" s="231"/>
      <c r="S30" s="231"/>
      <c r="T30" s="231"/>
      <c r="U30" s="231"/>
      <c r="V30" s="231"/>
      <c r="W30" s="231"/>
      <c r="X30" s="25"/>
      <c r="Y30" s="25"/>
      <c r="Z30" s="835"/>
      <c r="AA30" s="835"/>
      <c r="AB30" s="835"/>
      <c r="AD30">
        <v>1</v>
      </c>
      <c r="AE30" t="str">
        <f>IF(AND(E27&lt;&gt;"",E27&gt;0),IF(DRVJa," sowie zu Lasten des &lt;Trägers der Quellversorgung&gt; aus einem weiteren Betrag in Höhe von "&amp;TEXT(IF(GrafikSchalter,E65,E27),"#.##0 €"),""),"")</f>
        <v/>
      </c>
      <c r="AG30" t="s">
        <v>619</v>
      </c>
      <c r="AH30" t="str">
        <f>IF(Adaequanz_IRPfl&gt;0,IF(D6="m","BWVergl_M_DRVIR","BWVergl_M_DRV"),IF(Adaequanz_IRPfl&gt;0,BWVergl_F_DRVIR,BWVergl_F_DRV))</f>
        <v>BWVergl_M_DRV</v>
      </c>
      <c r="AM30" s="577">
        <v>1.2500000000000001E-2</v>
      </c>
      <c r="AN30" s="4">
        <v>40</v>
      </c>
      <c r="AO30" s="578" t="e">
        <f>ROUND(VLOOKUP(AJ29,IF(D6="w",BWVergl_F_VersAusglK,BWVergl_M_VersAusglK),$AI$39,TRUE),2)</f>
        <v>#REF!</v>
      </c>
    </row>
    <row r="31" spans="1:41" ht="17.25" customHeight="1">
      <c r="A31" s="1583">
        <v>30</v>
      </c>
      <c r="B31" s="2838" t="str">
        <f>IFERROR("Tatsächliches Alter: "&amp;TEXT(Adaequanz_QV_Alter,"0,00")&amp;" / lin. Interpolation: "&amp;TEXT(E29,"###%")&amp;" - ("&amp;TEXT(E29,"#%")&amp;" - "&amp;TEXT(E30,"#%")&amp;") x ("&amp;TEXT(AH36,"#,00")&amp;" / 5): ","")</f>
        <v/>
      </c>
      <c r="C31" s="2839"/>
      <c r="D31" s="2839"/>
      <c r="E31" s="580" t="str">
        <f>IFERROR(E29-(E29-E30)*(AH33-INT(AH33)),"")</f>
        <v/>
      </c>
      <c r="F31" s="2859" t="str">
        <f>IF(DFGT,"In der "&amp;IF(Rentner,"VersAusglK","Deutschen Rentenversicherung")&amp;" wird aus dem Ausgleichswert von "&amp;TEXT(IF(Adaequanz_AusglWertQuelle&gt;0,Adaequanz_AusglWertQuelle,Adaequanz_Ausgleichswert1),"#.##0 €")&amp;IF(E34&lt;1," lediglich","")&amp;" ein Versorgungsvolumen von rd. "&amp;TEXT(E34,"0%")&amp;" der Quellversorgung erworben."&amp;IF(E34&lt;1," Die Aufstockung des Ausgleichswert ist erforderlich.",""),"")</f>
        <v/>
      </c>
      <c r="G31" s="2859"/>
      <c r="H31" s="2860"/>
      <c r="I31" s="2844"/>
      <c r="J31" s="2845"/>
      <c r="K31" s="628"/>
      <c r="L31" s="581"/>
      <c r="M31" s="231"/>
      <c r="N31" s="231"/>
      <c r="O31" s="231"/>
      <c r="P31" s="231"/>
      <c r="Q31" s="231"/>
      <c r="R31" s="231"/>
      <c r="S31" s="231"/>
      <c r="T31" s="231"/>
      <c r="U31" s="231"/>
      <c r="V31" s="231"/>
      <c r="W31" s="231"/>
      <c r="X31" s="25"/>
      <c r="Y31" s="25"/>
      <c r="Z31" s="835"/>
      <c r="AA31" s="835"/>
      <c r="AB31" s="835"/>
      <c r="AD31">
        <v>2</v>
      </c>
      <c r="AE31" t="str">
        <f>IF(AND(VersAusglKJa,F27&gt;0)," sowie zu Lasten d. &lt;"&amp;D3&amp;"&gt; aus einem weiteren Betrag in Höhe von "&amp;TEXT(F27,"#.##0 €"),"")</f>
        <v/>
      </c>
      <c r="AG31" t="s">
        <v>619</v>
      </c>
      <c r="AH31" t="str">
        <f>IF(Adaequanz_IRPfl&gt;0,"BWVergl_F_DRVIR","BWVerrgl_F_DRV")</f>
        <v>BWVergl_F_DRVIR</v>
      </c>
      <c r="AM31" s="264">
        <v>1.4999999999999999E-2</v>
      </c>
      <c r="AN31" s="4">
        <v>45</v>
      </c>
      <c r="AO31" s="564" t="e">
        <f>AO29-(AO29-AO30)*(AH33-INT(AH33))</f>
        <v>#REF!</v>
      </c>
    </row>
    <row r="32" spans="1:41" ht="17.25" customHeight="1">
      <c r="A32" s="1583">
        <v>31</v>
      </c>
      <c r="B32" s="2838" t="str">
        <f>IF(DFGT=FALSE,"","tatsächlicher Rechnungszins: "&amp;TEXT(P15/100,"0,00%"))</f>
        <v/>
      </c>
      <c r="C32" s="2839"/>
      <c r="D32" s="2839"/>
      <c r="E32" s="580"/>
      <c r="F32" s="2859"/>
      <c r="G32" s="2859"/>
      <c r="H32" s="2860"/>
      <c r="I32" s="2844"/>
      <c r="J32" s="2845"/>
      <c r="K32" s="628"/>
      <c r="L32" s="454"/>
      <c r="M32" s="231"/>
      <c r="N32" s="231"/>
      <c r="O32" s="231"/>
      <c r="P32" s="476"/>
      <c r="Q32" s="231"/>
      <c r="R32" s="231"/>
      <c r="S32" s="231"/>
      <c r="T32" s="231"/>
      <c r="U32" s="231"/>
      <c r="V32" s="231"/>
      <c r="W32" s="231"/>
      <c r="X32" s="25"/>
      <c r="Y32" s="25"/>
      <c r="Z32" s="835"/>
      <c r="AA32" s="835"/>
      <c r="AB32" s="835"/>
      <c r="AD32">
        <v>3</v>
      </c>
      <c r="AE32" t="str">
        <f>IF(AND(SonstJa,G27&gt;0)," sowie zu Lasten d. &lt;"&amp;G3&amp;"&gt; aus einem weiteren Betrag in Höhe von "&amp;TEXT(G27,"#.##0 €"),"")</f>
        <v/>
      </c>
      <c r="AG32" t="s">
        <v>620</v>
      </c>
      <c r="AH32" t="str">
        <f>IF(D6="M",AH30,AH31)</f>
        <v>BWVergl_F_DRVIR</v>
      </c>
      <c r="AM32" s="577">
        <v>1.7500000000000002E-2</v>
      </c>
      <c r="AN32" s="4">
        <v>50</v>
      </c>
    </row>
    <row r="33" spans="1:41" ht="17.25" customHeight="1">
      <c r="A33" s="1583">
        <v>27</v>
      </c>
      <c r="B33" s="2838" t="str">
        <f>IFERROR("Tabellenwert Rechnungszins: "&amp;TEXT(IF(AJ29+0.025&gt;0.04,0.04,AJ29+0.0025),"0,00%")&amp;" /  Alter aus DFG-Tabelle: "&amp;TEXT(AH34,"##"),"")</f>
        <v/>
      </c>
      <c r="C33" s="2839"/>
      <c r="D33" s="2839"/>
      <c r="E33" s="580" t="str">
        <f>IFERROR(IF(Rentner,AO33,ROUND(VLOOKUP(AJ29+0.25%,IF(Adaequanz_IRPfl&gt;0,IF($D$6="m",BWVergl_M_DRVIR,BWVergl_F_DRVIR),IF($D$6="m",BWVergl_M_DRV,BWVergl_F_DRV)),$AH$39),2)),"")</f>
        <v/>
      </c>
      <c r="F33" s="2859"/>
      <c r="G33" s="2859"/>
      <c r="H33" s="2860"/>
      <c r="L33" s="454"/>
      <c r="M33" s="231"/>
      <c r="N33" s="231"/>
      <c r="O33" s="231"/>
      <c r="P33" s="231"/>
      <c r="Q33" s="231"/>
      <c r="R33" s="231"/>
      <c r="S33" s="231"/>
      <c r="T33" s="231"/>
      <c r="U33" s="231"/>
      <c r="V33" s="231"/>
      <c r="W33" s="231"/>
      <c r="X33" s="25"/>
      <c r="Y33" s="25"/>
      <c r="Z33" s="835"/>
      <c r="AA33" s="835"/>
      <c r="AB33" s="835"/>
      <c r="AE33" t="str">
        <f>IF(D6="M"," des Ehemannes "," der Ehefrau ")</f>
        <v xml:space="preserve"> der Ehefrau </v>
      </c>
      <c r="AG33" t="s">
        <v>621</v>
      </c>
      <c r="AH33" t="e">
        <f>IF((Adaequanz_QV_Alter-35)/5+2&gt;Spalten,Spalten,(Adaequanz_QV_Alter-35)/5+2)</f>
        <v>#VALUE!</v>
      </c>
      <c r="AI33" t="e">
        <f>IF(Adaequanz_QV_Alter&lt;Adaequanz_ReEintrittPfl,IF(AH33+1&gt;8,8,AH33+1),IF(AH33+1&gt;10,10,AH33+1))</f>
        <v>#VALUE!</v>
      </c>
      <c r="AM33" s="264">
        <v>0.02</v>
      </c>
      <c r="AN33" s="4">
        <v>55</v>
      </c>
      <c r="AO33" s="578" t="e">
        <f>ROUND(VLOOKUP(AJ29+0.25%,IF($D$6="m",BWVergl_M_VersAusglK,BWVergl_F_VersAusglK),$AH$39),2)</f>
        <v>#REF!</v>
      </c>
    </row>
    <row r="34" spans="1:41" ht="17.25" customHeight="1" thickBot="1">
      <c r="A34" s="1583">
        <v>28</v>
      </c>
      <c r="B34" s="2869" t="str">
        <f>IF(DFGT,IFERROR("Interpolation Rechnungszins: "&amp;TEXT(E31,"0%")&amp;" - ("&amp;TEXT(E29,"# %")&amp;" - "&amp;TEXT(E33,"# %")&amp;") x ("&amp;TEXT(IF(C20&gt;0,C20,P15/100)-AJ29,"0,00%")&amp;" / 0,25%)",""),"")</f>
        <v/>
      </c>
      <c r="C34" s="2870"/>
      <c r="D34" s="2870"/>
      <c r="E34" s="729" t="str">
        <f>IFERROR(ROUND(E31-(E29-E33)*((IF(C20&gt;0,C20,P15/100)-AJ29)/0.25)*100,2),"")</f>
        <v/>
      </c>
      <c r="F34" s="2861"/>
      <c r="G34" s="2861"/>
      <c r="H34" s="2862"/>
      <c r="I34" s="2844"/>
      <c r="J34" s="2845"/>
      <c r="K34" s="628"/>
      <c r="L34" s="227"/>
      <c r="M34" s="476"/>
      <c r="N34" s="476"/>
      <c r="O34" s="231"/>
      <c r="P34" s="231"/>
      <c r="Q34" s="231"/>
      <c r="R34" s="231"/>
      <c r="S34" s="231"/>
      <c r="T34" s="231"/>
      <c r="U34" s="231"/>
      <c r="V34" s="231"/>
      <c r="W34" s="231"/>
      <c r="X34" s="25"/>
      <c r="Y34" s="25"/>
      <c r="Z34" s="836"/>
      <c r="AA34" s="836"/>
      <c r="AB34" s="836"/>
      <c r="AE34" t="str">
        <f>IF(AE33=" des Ehemannes "," der Ehefrau "," des Ehemannes ")</f>
        <v xml:space="preserve"> des Ehemannes </v>
      </c>
      <c r="AG34" t="s">
        <v>633</v>
      </c>
      <c r="AH34" t="e">
        <f>VLOOKUP(Adaequanz_QV_Alter,Altersstaffel,1)</f>
        <v>#N/A</v>
      </c>
      <c r="AM34" s="577">
        <v>2.2499999999999999E-2</v>
      </c>
      <c r="AN34" s="4">
        <v>60</v>
      </c>
    </row>
    <row r="35" spans="1:41" ht="17.25" hidden="1" customHeight="1">
      <c r="A35" s="1583"/>
      <c r="B35" s="2854" t="str">
        <f>IF(MAX(E23:H23)&gt;0,"Wenn ein Teilungsgewinn auf die Gatten hälftig aufgeteilt werden soll, ist der in Zeile 32 Spaltenwerte als Kapital-Ausgleichswert in Zeile 20 Spalte D und der Spaltenwert aus Zeile 33 als neuer Rentenwert in Zeile 11 einzutragen."&amp;" Bitte die Werte vor Übertragung handschriftlich notieren und erst danach eintragen, weil sich durch den Eintrag die Korrekturwerte wiederum ändern.","")</f>
        <v/>
      </c>
      <c r="C35" s="2855"/>
      <c r="D35" s="2855"/>
      <c r="E35" s="2855"/>
      <c r="F35" s="2855"/>
      <c r="G35" s="2855"/>
      <c r="H35" s="2856"/>
      <c r="I35" s="477"/>
      <c r="J35" s="477"/>
      <c r="K35" s="477"/>
      <c r="L35" s="227"/>
      <c r="M35" s="231"/>
      <c r="N35" s="231" t="e">
        <f>1-N34/M34</f>
        <v>#DIV/0!</v>
      </c>
      <c r="O35" s="231"/>
      <c r="P35" s="231"/>
      <c r="Q35" s="231"/>
      <c r="R35" s="231"/>
      <c r="S35" s="231"/>
      <c r="T35" s="231"/>
      <c r="U35" s="231"/>
      <c r="V35" s="231"/>
      <c r="W35" s="231"/>
      <c r="X35" s="452"/>
      <c r="Y35" s="452"/>
      <c r="Z35" s="836"/>
      <c r="AA35" s="836"/>
      <c r="AB35" s="836"/>
      <c r="AG35" t="s">
        <v>635</v>
      </c>
      <c r="AH35" t="e">
        <f>+AH34+5</f>
        <v>#N/A</v>
      </c>
      <c r="AM35" s="264">
        <v>2.5000000000000001E-2</v>
      </c>
      <c r="AN35" s="4">
        <v>65</v>
      </c>
    </row>
    <row r="36" spans="1:41" ht="17.25" hidden="1" customHeight="1">
      <c r="A36" s="1583"/>
      <c r="B36" s="2854"/>
      <c r="C36" s="2855"/>
      <c r="D36" s="2855"/>
      <c r="E36" s="2855"/>
      <c r="F36" s="2855"/>
      <c r="G36" s="2855"/>
      <c r="H36" s="2856"/>
      <c r="I36" s="477"/>
      <c r="J36" s="477"/>
      <c r="K36" s="477"/>
      <c r="L36" s="227"/>
      <c r="M36" s="231"/>
      <c r="N36" s="231"/>
      <c r="O36" s="231"/>
      <c r="P36" s="231"/>
      <c r="Q36" s="231"/>
      <c r="R36" s="231"/>
      <c r="S36" s="231"/>
      <c r="T36" s="231"/>
      <c r="U36" s="231"/>
      <c r="V36" s="231"/>
      <c r="W36" s="231"/>
      <c r="X36" s="452"/>
      <c r="Y36" s="452"/>
      <c r="Z36" s="836"/>
      <c r="AA36" s="836"/>
      <c r="AB36" s="836"/>
      <c r="AH36" t="e">
        <f>(Adaequanz_QV_Alter/10-INT(Adaequanz_QV_Alter/10))*10</f>
        <v>#VALUE!</v>
      </c>
      <c r="AM36" s="577">
        <v>2.75E-2</v>
      </c>
      <c r="AN36" s="4">
        <v>70</v>
      </c>
    </row>
    <row r="37" spans="1:41" ht="17.25" hidden="1" customHeight="1">
      <c r="A37" s="1583"/>
      <c r="B37" s="2854"/>
      <c r="C37" s="2855"/>
      <c r="D37" s="2855"/>
      <c r="E37" s="2855"/>
      <c r="F37" s="2855"/>
      <c r="G37" s="2855"/>
      <c r="H37" s="2856"/>
      <c r="I37" s="477"/>
      <c r="J37" s="477"/>
      <c r="K37" s="477"/>
      <c r="L37" s="227"/>
      <c r="M37" s="231"/>
      <c r="N37" s="231"/>
      <c r="O37" s="231"/>
      <c r="P37" s="231"/>
      <c r="Q37" s="231"/>
      <c r="R37" s="231"/>
      <c r="S37" s="231"/>
      <c r="T37" s="231"/>
      <c r="U37" s="231"/>
      <c r="V37" s="231"/>
      <c r="W37" s="231"/>
      <c r="X37" s="452"/>
      <c r="Y37" s="452"/>
      <c r="Z37" s="836"/>
      <c r="AA37" s="836"/>
      <c r="AB37" s="836"/>
      <c r="AM37" s="264">
        <v>0.03</v>
      </c>
      <c r="AN37" s="4">
        <v>75</v>
      </c>
    </row>
    <row r="38" spans="1:41" ht="17.25" hidden="1" customHeight="1">
      <c r="A38" s="1583"/>
      <c r="B38" s="2854"/>
      <c r="C38" s="2855"/>
      <c r="D38" s="2855"/>
      <c r="E38" s="2855"/>
      <c r="F38" s="2855"/>
      <c r="G38" s="2855"/>
      <c r="H38" s="2856"/>
      <c r="I38" s="477"/>
      <c r="J38" s="477"/>
      <c r="K38" s="477"/>
      <c r="L38" s="227"/>
      <c r="M38" s="231"/>
      <c r="N38" s="231"/>
      <c r="O38" s="231"/>
      <c r="P38" s="231"/>
      <c r="Q38" s="231"/>
      <c r="R38" s="231"/>
      <c r="S38" s="231"/>
      <c r="T38" s="231"/>
      <c r="U38" s="231"/>
      <c r="V38" s="231"/>
      <c r="W38" s="231"/>
      <c r="X38" s="452"/>
      <c r="Y38" s="452"/>
      <c r="Z38" s="836"/>
      <c r="AA38" s="836"/>
      <c r="AB38" s="836"/>
      <c r="AM38" s="577">
        <v>3.2500000000000001E-2</v>
      </c>
    </row>
    <row r="39" spans="1:41">
      <c r="A39" s="1583"/>
      <c r="B39" s="25" t="s">
        <v>117</v>
      </c>
      <c r="C39" s="1012" t="str">
        <f>"Version "&amp;TEXT(MONTH(Enddatum),"00")&amp;"/"&amp;TEXT(YEAR(Enddatum),"####")</f>
        <v>Version 04/2024</v>
      </c>
      <c r="D39" s="1012"/>
      <c r="E39" s="1013" t="s">
        <v>854</v>
      </c>
      <c r="F39" s="1013"/>
      <c r="G39" s="1013"/>
      <c r="H39" s="1013"/>
      <c r="I39" s="478"/>
      <c r="J39" s="478"/>
      <c r="K39" s="478"/>
      <c r="L39" s="227"/>
      <c r="M39" s="231"/>
      <c r="N39" s="231"/>
      <c r="O39" s="231"/>
      <c r="P39" s="231"/>
      <c r="Q39" s="231"/>
      <c r="R39" s="231"/>
      <c r="S39" s="231"/>
      <c r="T39" s="231"/>
      <c r="U39" s="231"/>
      <c r="V39" s="231"/>
      <c r="W39" s="231"/>
      <c r="X39" s="452"/>
      <c r="Y39" s="452"/>
      <c r="Z39" s="836"/>
      <c r="AA39" s="836"/>
      <c r="AB39" s="836"/>
      <c r="AD39" t="s">
        <v>294</v>
      </c>
      <c r="AE39" t="s">
        <v>511</v>
      </c>
      <c r="AG39" t="s">
        <v>622</v>
      </c>
      <c r="AH39" t="e">
        <f>INT(AH33)</f>
        <v>#VALUE!</v>
      </c>
      <c r="AI39" t="e">
        <f>INT(AI33)</f>
        <v>#VALUE!</v>
      </c>
      <c r="AM39" s="264">
        <v>3.5000000000000003E-2</v>
      </c>
    </row>
    <row r="40" spans="1:41" ht="15" hidden="1">
      <c r="B40" s="807" t="s">
        <v>330</v>
      </c>
      <c r="C40" s="808"/>
      <c r="D40" s="809" t="str">
        <f>IFERROR(D20/D12,"")</f>
        <v/>
      </c>
      <c r="E40" s="809" t="str">
        <f t="shared" ref="E40:K40" si="5">IFERROR(E20/E12,"")</f>
        <v/>
      </c>
      <c r="F40" s="809" t="str">
        <f t="shared" si="5"/>
        <v/>
      </c>
      <c r="G40" s="809" t="str">
        <f t="shared" si="5"/>
        <v/>
      </c>
      <c r="H40" s="809" t="str">
        <f t="shared" si="5"/>
        <v/>
      </c>
      <c r="I40" s="809" t="str">
        <f t="shared" si="5"/>
        <v/>
      </c>
      <c r="J40" s="809" t="str">
        <f t="shared" si="5"/>
        <v/>
      </c>
      <c r="K40" s="809" t="str">
        <f t="shared" si="5"/>
        <v/>
      </c>
      <c r="L40" s="25"/>
      <c r="AC40" t="s">
        <v>567</v>
      </c>
      <c r="AD40" s="157">
        <v>150027</v>
      </c>
      <c r="AE40" s="157">
        <v>98164</v>
      </c>
      <c r="AM40" s="577">
        <v>3.7499999999999999E-2</v>
      </c>
    </row>
    <row r="41" spans="1:41" ht="15" hidden="1">
      <c r="B41" s="807"/>
      <c r="C41" s="808"/>
      <c r="D41" s="809" t="s">
        <v>13</v>
      </c>
      <c r="E41" s="809"/>
      <c r="F41" s="809"/>
      <c r="G41" s="809"/>
      <c r="H41" s="809"/>
      <c r="I41" s="809" t="s">
        <v>13</v>
      </c>
      <c r="J41" s="809"/>
      <c r="K41" s="809"/>
      <c r="L41" s="25"/>
      <c r="AD41" s="157"/>
      <c r="AE41" s="157"/>
      <c r="AM41" s="577"/>
    </row>
    <row r="42" spans="1:41" ht="15" hidden="1">
      <c r="B42" s="807"/>
      <c r="C42" s="808"/>
      <c r="D42" s="811"/>
      <c r="E42" s="811"/>
      <c r="F42" s="811"/>
      <c r="G42" s="811"/>
      <c r="H42" s="811"/>
      <c r="I42" s="812" t="e">
        <f>+I40/D40</f>
        <v>#VALUE!</v>
      </c>
      <c r="J42" s="811"/>
      <c r="K42" s="811"/>
      <c r="L42" s="25"/>
      <c r="AD42" s="157"/>
      <c r="AE42" s="157"/>
      <c r="AM42" s="577"/>
    </row>
    <row r="43" spans="1:41" ht="15" hidden="1">
      <c r="B43" s="2832" t="str">
        <f>"Alters-Rentenertrag / Kapitalwert: "&amp;TEXT(D16,"#.##0,00")&amp;" / "&amp;TEXT(Adaequanz_errechneterKapWert,"#.##0,00")</f>
        <v>Alters-Rentenertrag / Kapitalwert: 0,00 / 0,00</v>
      </c>
      <c r="C43" s="2833"/>
      <c r="D43" s="810" t="e">
        <f>+D16/D20</f>
        <v>#DIV/0!</v>
      </c>
      <c r="E43" s="810" t="e">
        <f>+E16/E20</f>
        <v>#VALUE!</v>
      </c>
      <c r="G43">
        <v>51863</v>
      </c>
      <c r="L43" s="25"/>
      <c r="AC43" t="s">
        <v>21</v>
      </c>
      <c r="AD43" s="157">
        <v>571</v>
      </c>
      <c r="AE43" s="157">
        <v>434.37</v>
      </c>
      <c r="AM43" s="264">
        <v>0.04</v>
      </c>
    </row>
    <row r="44" spans="1:41" ht="15" hidden="1">
      <c r="B44" s="2832" t="s">
        <v>329</v>
      </c>
      <c r="C44" s="2833"/>
      <c r="D44" s="2831" t="e">
        <f>(E43/D43)</f>
        <v>#VALUE!</v>
      </c>
      <c r="E44" s="2831"/>
      <c r="F44">
        <v>150027</v>
      </c>
      <c r="G44">
        <v>229290</v>
      </c>
      <c r="H44">
        <f>+G44+F44</f>
        <v>379317</v>
      </c>
      <c r="L44" s="25"/>
      <c r="O44" s="263"/>
      <c r="P44" s="157"/>
      <c r="Q44" s="157"/>
      <c r="R44" s="157"/>
      <c r="S44" s="261"/>
      <c r="V44" s="261"/>
      <c r="AC44" t="s">
        <v>568</v>
      </c>
      <c r="AD44" s="157">
        <f>+AD40/AD43</f>
        <v>262.74430823117336</v>
      </c>
      <c r="AE44" s="157">
        <f>+AE40/AE43</f>
        <v>225.99166609112046</v>
      </c>
    </row>
    <row r="45" spans="1:41" ht="15" hidden="1">
      <c r="B45" s="2832" t="str">
        <f>"Alters- &amp; Nebenleistungs-Rentenertrag / Kapitalwert: "&amp;TEXT(D18,"#.##0,00")&amp;" / "&amp;TEXT(Adaequanz_errechneterKapWert,"#.##0,00")</f>
        <v>Alters- &amp; Nebenleistungs-Rentenertrag / Kapitalwert: 0,60 / 0,00</v>
      </c>
      <c r="C45" s="2833"/>
      <c r="D45" s="268" t="e">
        <f>+D22/D20</f>
        <v>#DIV/0!</v>
      </c>
      <c r="E45" s="268" t="e">
        <f>+E22/E20</f>
        <v>#VALUE!</v>
      </c>
      <c r="F45">
        <f>+F44/H44</f>
        <v>0.39551878771581556</v>
      </c>
      <c r="G45">
        <f>+G44/H44</f>
        <v>0.6044812122841845</v>
      </c>
      <c r="L45" s="25"/>
      <c r="O45" s="263"/>
      <c r="P45" s="157"/>
      <c r="Q45" s="157"/>
      <c r="R45" s="157"/>
      <c r="AC45" t="s">
        <v>569</v>
      </c>
      <c r="AD45" s="213">
        <f>1-AE45+1</f>
        <v>1.1398798793681819</v>
      </c>
      <c r="AE45" s="438">
        <f>+AE44/AD44</f>
        <v>0.8601201206318182</v>
      </c>
    </row>
    <row r="46" spans="1:41" ht="15" hidden="1">
      <c r="B46" s="2832" t="s">
        <v>329</v>
      </c>
      <c r="C46" s="2833"/>
      <c r="D46" s="2831" t="e">
        <f>(E45/D45)</f>
        <v>#VALUE!</v>
      </c>
      <c r="E46" s="2831"/>
      <c r="L46" s="25"/>
    </row>
    <row r="47" spans="1:41" hidden="1">
      <c r="E47" s="387" t="e">
        <f>+E61/Adaequanz_errechneterKapWert-1</f>
        <v>#VALUE!</v>
      </c>
      <c r="L47" s="25"/>
    </row>
    <row r="48" spans="1:41" hidden="1">
      <c r="B48" s="2837" t="str">
        <f>"Beitrag von "&amp;TEXT(Adaequanz_Ausgleichswert1,"#.##0 €")&amp;" führt bez. auf den "&amp;TEXT(B_Dat,"T.M.J")&amp;" zu DRV-Rentenbarwert i.H.v. "&amp;TEXT(E60,"#.##0 €")&amp;"."</f>
        <v>Beitrag von 0 € führt bez. auf den  zu DRV-Rentenbarwert i.H.v. 0 €.</v>
      </c>
      <c r="C48" s="2837"/>
      <c r="D48" s="2837"/>
      <c r="F48" t="e">
        <f>E15*12/5.19%+1/(1.0519^19.92)</f>
        <v>#VALUE!</v>
      </c>
      <c r="L48" s="25"/>
    </row>
    <row r="49" spans="2:24" hidden="1">
      <c r="E49" s="224" t="e">
        <f>(E15*12)*(1/(P15/100)-1/5.16%*(1+5.16%)^19.92)</f>
        <v>#VALUE!</v>
      </c>
      <c r="L49" s="25"/>
    </row>
    <row r="50" spans="2:24" hidden="1">
      <c r="E50" s="258">
        <f>PV(5.19%-2%,19.92,409.41*12)</f>
        <v>-71617.514554685782</v>
      </c>
      <c r="F50">
        <f>409.41*(1/5%-1/(5%*(1+5%)^19))</f>
        <v>4947.851213156262</v>
      </c>
      <c r="L50" s="25"/>
    </row>
    <row r="51" spans="2:24" ht="22.5" hidden="1">
      <c r="B51" s="223" t="s">
        <v>335</v>
      </c>
      <c r="C51" s="273" t="b">
        <v>0</v>
      </c>
      <c r="F51" t="e">
        <f>VLOOKUP(IF(AND(D5&gt;0,BerechnetAuf=2),D5,B_Dat),Umrechnungsfaktoren,WO_Schalter)</f>
        <v>#N/A</v>
      </c>
      <c r="L51" s="25"/>
    </row>
    <row r="52" spans="2:24" hidden="1">
      <c r="B52" s="143" t="s">
        <v>333</v>
      </c>
      <c r="C52" s="143"/>
      <c r="D52" s="272">
        <f>+D10</f>
        <v>0</v>
      </c>
      <c r="E52" s="271">
        <f>IFERROR(+E53-E9,0)</f>
        <v>0</v>
      </c>
      <c r="F52" s="157">
        <f>(((1+F14)^F10-1)/F14)*Adaequanz_RentenhoeheVersAusglK*12</f>
        <v>0</v>
      </c>
      <c r="G52" t="e">
        <f>VLOOKUP(IF(AND(D5&gt;0,BerechnetAuf=2),D5,B_Dat),Umrechnungsfaktoren,WO_Schalter)</f>
        <v>#N/A</v>
      </c>
      <c r="H52" s="157" t="e">
        <f>-PV(P15/100-H14,H10,H15*12)*(1+H19)</f>
        <v>#VALUE!</v>
      </c>
      <c r="I52" s="157"/>
      <c r="J52" s="157"/>
      <c r="K52" s="157"/>
      <c r="L52" s="25"/>
      <c r="Q52" s="260"/>
      <c r="R52" s="260"/>
    </row>
    <row r="53" spans="2:24" hidden="1">
      <c r="B53" s="143" t="s">
        <v>334</v>
      </c>
      <c r="C53" s="143"/>
      <c r="D53" s="272">
        <f>D9+D10</f>
        <v>0</v>
      </c>
      <c r="E53" s="272">
        <f>IFERROR(IF(E9+E10&gt;D53,D53,E9+E10),0)</f>
        <v>0</v>
      </c>
      <c r="H53" s="157" t="e">
        <f>-PV(P15/100,H11,,H52)</f>
        <v>#VALUE!</v>
      </c>
      <c r="I53" s="157"/>
      <c r="J53" s="157"/>
      <c r="K53" s="157"/>
      <c r="L53" s="25"/>
      <c r="Q53" s="157"/>
      <c r="R53" s="157"/>
    </row>
    <row r="54" spans="2:24" hidden="1">
      <c r="H54" t="e">
        <f>IF(VLOOKUP(H9,CHOOSE(Sexwahl,G_Kohorte_F,G_Kohorte_M,G_Kohorte_N),YEAR(H7)-1900+1)/VLOOKUP(H8,CHOOSE(Sexwahl,G_Kohorte_F,G_Kohorte_M,G_Kohorte_N),YEAR(H7)-1900+1)&gt;1,1,VLOOKUP(H9,CHOOSE(Sexwahl,G_Kohorte_F,G_Kohorte_M,G_Kohorte_N),YEAR(H7)-1900+1)/VLOOKUP(H8,CHOOSE(Sexwahl,G_Kohorte_F,G_Kohorte_M,G_Kohorte_N),YEAR(H7)-1900+1))</f>
        <v>#N/A</v>
      </c>
      <c r="L54" s="25"/>
    </row>
    <row r="55" spans="2:24" ht="15" hidden="1">
      <c r="B55" s="2836"/>
      <c r="C55" s="2836"/>
      <c r="D55" s="392"/>
      <c r="H55" s="279" t="e">
        <f>+H54*H53</f>
        <v>#N/A</v>
      </c>
      <c r="I55" s="479"/>
      <c r="J55" s="479"/>
      <c r="K55" s="479"/>
      <c r="L55" s="25"/>
    </row>
    <row r="56" spans="2:24" ht="20.25" hidden="1">
      <c r="B56" s="2834" t="s">
        <v>514</v>
      </c>
      <c r="C56" s="2835"/>
      <c r="D56" s="2835"/>
      <c r="E56" s="2835"/>
      <c r="F56" s="406"/>
      <c r="G56" s="406"/>
      <c r="H56" s="407"/>
      <c r="I56" s="480"/>
      <c r="J56" s="480"/>
      <c r="K56" s="480"/>
      <c r="L56" s="25"/>
      <c r="O56" s="157"/>
    </row>
    <row r="57" spans="2:24" hidden="1">
      <c r="B57" s="2813" t="s">
        <v>410</v>
      </c>
      <c r="C57" s="2814"/>
      <c r="D57" s="2814"/>
      <c r="E57" s="370">
        <f>+Q16</f>
        <v>0</v>
      </c>
      <c r="F57" s="370">
        <f>+R16</f>
        <v>0</v>
      </c>
      <c r="G57" s="393">
        <f>ROUND(S16,0)</f>
        <v>0</v>
      </c>
      <c r="H57" s="393">
        <f>ROUND(T16,0)</f>
        <v>0</v>
      </c>
      <c r="I57" s="481"/>
      <c r="J57" s="481"/>
      <c r="K57" s="481"/>
      <c r="L57" s="25"/>
      <c r="O57" s="157"/>
    </row>
    <row r="58" spans="2:24" hidden="1">
      <c r="B58" s="2813" t="s">
        <v>532</v>
      </c>
      <c r="C58" s="2814"/>
      <c r="D58" s="2814"/>
      <c r="E58" s="370" t="str">
        <f>IFERROR(IF(E11&gt;0,-PV($P$15/100,E11,,E57),E57),"")</f>
        <v/>
      </c>
      <c r="F58" s="370" t="str">
        <f>IFERROR(IF(F11&gt;0,-PV($P$15/100,F11,,F57),F57),"")</f>
        <v/>
      </c>
      <c r="G58" s="393" t="str">
        <f>IFERROR(IF(G11&gt;0,-PV($P$15/100,G11,,G57),G57),"")</f>
        <v/>
      </c>
      <c r="H58" s="393" t="str">
        <f>IFERROR(IF(H11&gt;0,-PV($P$15/100,H11,,H57),H57),"")</f>
        <v/>
      </c>
      <c r="I58" s="481"/>
      <c r="J58" s="481"/>
      <c r="K58" s="481"/>
      <c r="L58" s="25"/>
    </row>
    <row r="59" spans="2:24" hidden="1">
      <c r="B59" s="2813" t="s">
        <v>411</v>
      </c>
      <c r="C59" s="2814"/>
      <c r="D59" s="2814"/>
      <c r="E59" s="371" t="str">
        <f>IFERROR(+Q19,"")</f>
        <v/>
      </c>
      <c r="F59" s="371" t="str">
        <f>IFERROR(+R19,"")</f>
        <v/>
      </c>
      <c r="G59" s="394" t="str">
        <f>IFERROR(+S19,"")</f>
        <v/>
      </c>
      <c r="H59" s="400" t="e">
        <f>T19</f>
        <v>#VALUE!</v>
      </c>
      <c r="I59" s="482"/>
      <c r="J59" s="482"/>
      <c r="K59" s="482"/>
      <c r="L59" s="25"/>
      <c r="O59" s="263"/>
      <c r="P59" s="157"/>
      <c r="Q59" s="157"/>
      <c r="R59" s="157"/>
      <c r="S59" s="157"/>
      <c r="V59" s="157"/>
      <c r="X59" s="262"/>
    </row>
    <row r="60" spans="2:24" hidden="1">
      <c r="B60" s="2813" t="s">
        <v>412</v>
      </c>
      <c r="C60" s="2814"/>
      <c r="D60" s="2814"/>
      <c r="E60" s="372">
        <f>+IFERROR(E19,"")</f>
        <v>0</v>
      </c>
      <c r="F60" s="372">
        <f>+F19</f>
        <v>0</v>
      </c>
      <c r="G60" s="395" t="str">
        <f>+G19</f>
        <v/>
      </c>
      <c r="H60" s="401">
        <f>+H19</f>
        <v>0</v>
      </c>
      <c r="I60" s="483"/>
      <c r="J60" s="483"/>
      <c r="K60" s="483"/>
      <c r="L60" s="25"/>
    </row>
    <row r="61" spans="2:24" ht="15" hidden="1">
      <c r="B61" s="2820" t="s">
        <v>544</v>
      </c>
      <c r="C61" s="2821"/>
      <c r="D61" s="2821"/>
      <c r="E61" s="373" t="str">
        <f>IFERROR(IF(DRVJa,ROUND(E58*E59*(1+E60),0),""),"")</f>
        <v/>
      </c>
      <c r="F61" s="373" t="str">
        <f>IFERROR(IF(VersAusglKJa,ROUND(F58*F59*(1+F60),0),""),"")</f>
        <v/>
      </c>
      <c r="G61" s="396" t="str">
        <f>IFERROR(IF(SonstJa,ROUND(G58*G59*(1+G60),0),""),"")</f>
        <v/>
      </c>
      <c r="H61" s="402" t="str">
        <f>IFERROR(IF(DRVAusglBerJa,ROUND(H58*H59*(1+H60),0),"")+SUM(I20:K20),"")</f>
        <v/>
      </c>
      <c r="I61" s="484"/>
      <c r="J61" s="484"/>
      <c r="K61" s="484"/>
      <c r="L61" s="25"/>
    </row>
    <row r="62" spans="2:24" ht="15" hidden="1">
      <c r="B62" s="2822" t="s">
        <v>543</v>
      </c>
      <c r="C62" s="2823"/>
      <c r="D62" s="2824"/>
      <c r="E62" s="388" t="str">
        <f>IFERROR(IF(E61&gt;0,E61/Adaequanz_errechneterKapWert-1,""),"")</f>
        <v/>
      </c>
      <c r="F62" s="388" t="str">
        <f>IFERROR(IF(F61&gt;0,F61/Adaequanz_errechneterKapWert-1,""),"")</f>
        <v/>
      </c>
      <c r="G62" s="397" t="str">
        <f>IFERROR(IF(G61&gt;0,G61/Adaequanz_errechneterKapWert-1,""),"")</f>
        <v/>
      </c>
      <c r="H62" s="403" t="str">
        <f>IFERROR(IF(H61&gt;0,H61/Adaequanz_errechneterKapWert-1,""),"")</f>
        <v/>
      </c>
      <c r="I62" s="485"/>
      <c r="J62" s="485"/>
      <c r="K62" s="485"/>
      <c r="L62" s="25"/>
    </row>
    <row r="63" spans="2:24" hidden="1">
      <c r="B63" s="2813" t="s">
        <v>413</v>
      </c>
      <c r="C63" s="2814"/>
      <c r="D63" s="2814"/>
      <c r="E63" s="388" t="str">
        <f>IFERROR(IF(+Adaequanz_errechneterKapWert/E61&gt;1,+Adaequanz_errechneterKapWert/E61,0),"")</f>
        <v/>
      </c>
      <c r="F63" s="388" t="str">
        <f>IFERROR(IF(+Adaequanz_errechneterKapWert/F61&gt;1,+Adaequanz_errechneterKapWert/F61,0),"")</f>
        <v/>
      </c>
      <c r="G63" s="397" t="str">
        <f>IFERROR(IF(+Adaequanz_errechneterKapWert/G61&gt;1,+Adaequanz_errechneterKapWert/G61,0),"")</f>
        <v/>
      </c>
      <c r="H63" s="409" t="str">
        <f>IFERROR(IF(+Adaequanz_errechneterKapWert/H61&gt;1,+Adaequanz_errechneterKapWert/H61,0),"")</f>
        <v/>
      </c>
      <c r="I63" s="486"/>
      <c r="J63" s="486"/>
      <c r="K63" s="486"/>
      <c r="L63" s="25"/>
    </row>
    <row r="64" spans="2:24" ht="15" hidden="1" thickBot="1">
      <c r="B64" s="2818" t="str">
        <f>"Aufstockung des Ausgleichswerts von "&amp;TEXT(Adaequanz_errechneterKapWert,"#.##0")&amp;" zur Erreichung von 90% des Barwerts der Quellversorgung auf:"</f>
        <v>Aufstockung des Ausgleichswerts von 0 zur Erreichung von 90% des Barwerts der Quellversorgung auf:</v>
      </c>
      <c r="C64" s="2819"/>
      <c r="D64" s="2819"/>
      <c r="E64" s="374" t="str">
        <f>IFERROR(IF(E63&gt;1,E63*Adaequanz_errechneterKapWert*0.9,""),"")</f>
        <v/>
      </c>
      <c r="F64" s="374" t="str">
        <f>IFERROR(IF(F63&gt;1,F63*Adaequanz_errechneterKapWert*0.9,""),"")</f>
        <v/>
      </c>
      <c r="G64" s="398" t="str">
        <f>IFERROR(IF(G63&gt;1,G63*Adaequanz_errechneterKapWert*0.9,""),"")</f>
        <v/>
      </c>
      <c r="H64" s="404" t="str">
        <f>IFERROR(IF(H63&gt;1,H63*Adaequanz_errechneterKapWert*0.9,""),"")</f>
        <v/>
      </c>
      <c r="I64" s="481"/>
      <c r="J64" s="481"/>
      <c r="K64" s="481"/>
      <c r="L64" s="25"/>
    </row>
    <row r="65" spans="1:12" ht="15.75" hidden="1" thickBot="1">
      <c r="B65" s="2815" t="str">
        <f>+B27</f>
        <v>Zuschlag zum Ausgleichswert zur Erreichung einer adäquaten Versorgung in der Zielversorgung:</v>
      </c>
      <c r="C65" s="2816"/>
      <c r="D65" s="2817"/>
      <c r="E65" s="375" t="str">
        <f>IFERROR(IF(AND(DRVJa,E64-Adaequanz_errechneterKapWert&gt;0),E64-Adaequanz_errechneterKapWert,0),"")</f>
        <v/>
      </c>
      <c r="F65" s="376" t="str">
        <f>IFERROR(IF(AND(VersAusglKJa,+F64-Adaequanz_errechneterKapWert&gt;0),+F64-Adaequanz_errechneterKapWert,0),"")</f>
        <v/>
      </c>
      <c r="G65" s="399" t="str">
        <f>IFERROR(IF(AND(SonstJa,G64-Adaequanz_errechneterKapWert&gt;0),+G64-Adaequanz_errechneterKapWert,0),"")</f>
        <v/>
      </c>
      <c r="H65" s="405"/>
      <c r="I65" s="484"/>
      <c r="J65" s="484"/>
      <c r="K65" s="484"/>
      <c r="L65" s="25"/>
    </row>
    <row r="66" spans="1:12" hidden="1">
      <c r="L66" s="25"/>
    </row>
    <row r="67" spans="1:12" hidden="1">
      <c r="L67" s="25"/>
    </row>
    <row r="68" spans="1:12" hidden="1">
      <c r="A68" s="1583">
        <v>28</v>
      </c>
      <c r="B68" s="2811" t="s">
        <v>570</v>
      </c>
      <c r="C68" s="2812"/>
      <c r="D68" s="469">
        <f>IFERROR(IF(E23&gt;0,(Adaequanz_Ausgleichswert1+E22)/2,""),"")</f>
        <v>0</v>
      </c>
      <c r="E68" s="469"/>
      <c r="F68" s="470"/>
      <c r="G68" s="470"/>
      <c r="H68" s="473"/>
      <c r="I68" s="487"/>
      <c r="J68" s="487"/>
      <c r="K68" s="487"/>
      <c r="L68" s="25"/>
    </row>
    <row r="69" spans="1:12" hidden="1">
      <c r="A69" s="1583">
        <v>29</v>
      </c>
      <c r="B69" s="2811"/>
      <c r="C69" s="2812"/>
      <c r="D69" s="466" t="str">
        <f>IFERROR(IF(F23&gt;0,(Adaequanz_Ausgleichswert1+F22)/2,""),"")</f>
        <v/>
      </c>
      <c r="E69" s="466"/>
      <c r="F69" s="466"/>
      <c r="G69" s="471"/>
      <c r="H69" s="453"/>
      <c r="I69" s="488"/>
      <c r="J69" s="488"/>
      <c r="K69" s="488"/>
      <c r="L69" s="25"/>
    </row>
    <row r="70" spans="1:12" hidden="1">
      <c r="A70" s="1583">
        <v>30</v>
      </c>
      <c r="B70" s="2811"/>
      <c r="C70" s="2812"/>
      <c r="D70" s="467" t="str">
        <f>IFERROR(IF(G23&gt;0,(Adaequanz_errechneterKapWert+G22)/2,""),"")</f>
        <v/>
      </c>
      <c r="E70" s="468"/>
      <c r="F70" s="468"/>
      <c r="G70" s="468"/>
      <c r="H70" s="453"/>
      <c r="I70" s="488"/>
      <c r="J70" s="488"/>
      <c r="K70" s="488"/>
      <c r="L70" s="25"/>
    </row>
    <row r="71" spans="1:12" hidden="1">
      <c r="A71" s="1583">
        <v>31</v>
      </c>
      <c r="B71" s="2811"/>
      <c r="C71" s="2812"/>
      <c r="D71" s="472">
        <f>IFERROR(IF(H23&gt;0,(Adaequanz_errechneterKapWert+H22)/2,""),"")</f>
        <v>0</v>
      </c>
      <c r="E71" s="472"/>
      <c r="F71" s="472"/>
      <c r="G71" s="472"/>
      <c r="H71" s="474"/>
      <c r="I71" s="489"/>
      <c r="J71" s="489"/>
      <c r="K71" s="489"/>
      <c r="L71" s="25"/>
    </row>
  </sheetData>
  <sheetProtection algorithmName="SHA-512" hashValue="QKiscIBzk49qDijHowFYG5fcCjZeKIoX5ekDS+KLmoVhmJw+n5MKlsgPDglQ0eCKusOCfRCDZrlbkNbT1v521Q==" saltValue="XWtu7Uc3zy3TdiTGL+n0/g==" spinCount="100000" sheet="1" objects="1" scenarios="1"/>
  <scenarios current="0" show="0">
    <scenario name="Nullstellung des Blattes" locked="1" count="32" user="Jörn Hauß" comment="Erstellt von Hauß am 23.05.2021_x000a_Modifiziert von Hauß am 23.05.2021_x000a_Modifiziert von Hauß am 05.06.2021_x000a_Modifiziert von Hauß am 20.10.2021_x000a_Modifiziert von Hauß am 29.12.2021_x000a_Modifiziert von Hauß am 09.07.2022_x000a_Modifiziert von Hauß am 14.07.2022_x000a_Modifizie">
      <inputCells r="C4" val=""/>
      <inputCells r="D6" val=""/>
      <inputCells r="C7" val=""/>
      <inputCells r="D9" val=""/>
      <inputCells r="D12" val=""/>
      <inputCells r="D13" val=""/>
      <inputCells r="D14" val=""/>
      <inputCells r="D17" val=""/>
      <inputCells r="D18" val=""/>
      <inputCells r="C20" val=""/>
      <inputCells r="F12" val=""/>
      <inputCells r="F9" val=""/>
      <inputCells r="G9" val=""/>
      <inputCells r="G12" val=""/>
      <inputCells r="G13" val=""/>
      <inputCells r="G14" val=""/>
      <inputCells r="G17" val=""/>
      <inputCells r="G18" val=""/>
      <inputCells r="H6" val=""/>
      <inputCells r="H7" val=""/>
      <inputCells r="AG6" val="FALSCH"/>
      <inputCells r="N10" val="FALSCH"/>
      <inputCells r="N20" val="FALSCH"/>
      <inputCells r="N5" val="1"/>
      <inputCells r="D21" val=""/>
      <inputCells r="J4" val=""/>
      <inputCells r="K4" val=""/>
      <inputCells r="J5" val=""/>
      <inputCells r="K5" val=""/>
      <inputCells r="I6" val=""/>
      <inputCells r="J6" val=""/>
      <inputCells r="K6" val=""/>
    </scenario>
    <scenario name="Frau" locked="1" count="25" user="Hauß" comment="Erstellt von Hauß am 19.10.2021_x000a_Modifiziert von Hauß am 19.10.2021_x000a_Modifiziert von Hauß am 20.10.2021">
      <inputCells r="C4" val="44286" numFmtId="14"/>
      <inputCells r="D5" val=""/>
      <inputCells r="D6" val="w"/>
      <inputCells r="C7" val="27119" numFmtId="14"/>
      <inputCells r="D9" val="67" numFmtId="2"/>
      <inputCells r="D12" val="700"/>
      <inputCells r="D13" val="0,02" numFmtId="10"/>
      <inputCells r="D14" val="0,02" numFmtId="10"/>
      <inputCells r="D17" val="1" numFmtId="9"/>
      <inputCells r="D18" val="0,55" numFmtId="9"/>
      <inputCells r="C20" val=""/>
      <inputCells r="F12" val=""/>
      <inputCells r="F9" val=""/>
      <inputCells r="G9" val=""/>
      <inputCells r="G12" val=""/>
      <inputCells r="G13" val=""/>
      <inputCells r="G14" val=""/>
      <inputCells r="G17" val=""/>
      <inputCells r="G18" val=""/>
      <inputCells r="H7" val=""/>
      <inputCells r="AG6" val=""/>
      <inputCells r="N10" val=""/>
      <inputCells r="N20" val=""/>
      <inputCells r="N5" val=""/>
      <inputCells r="D20" undone="1" val=""/>
    </scenario>
    <scenario name="NullstellungExpert" locked="1" count="25" user="Hauß" comment="Erstellt von Hauß am 29.12.2021_x000a_Modifiziert von Hauß am 14.07.2022">
      <inputCells r="J4" val="" numFmtId="184"/>
      <inputCells r="K4" val="" numFmtId="184"/>
      <inputCells r="J5" val=""/>
      <inputCells r="K5" val=""/>
      <inputCells r="J6" val=""/>
      <inputCells r="K6" val=""/>
      <inputCells r="I6" val=""/>
      <inputCells r="I9" val=""/>
      <inputCells r="J9" val="" numFmtId="2"/>
      <inputCells r="K9" val=""/>
      <inputCells r="I12" val=""/>
      <inputCells r="J12" val=""/>
      <inputCells r="K12" val=""/>
      <inputCells r="I13" val="" numFmtId="10"/>
      <inputCells r="J13" val=""/>
      <inputCells r="K13" val=""/>
      <inputCells r="I14" val=""/>
      <inputCells r="J14" val="" numFmtId="10"/>
      <inputCells r="K14" val=""/>
      <inputCells r="I17" val="" numFmtId="9"/>
      <inputCells r="J17" val="" numFmtId="9"/>
      <inputCells r="K17" val=""/>
      <inputCells r="I18" val=""/>
      <inputCells r="J18" val="" numFmtId="9"/>
      <inputCells r="K18" val=""/>
    </scenario>
  </scenarios>
  <dataConsolidate/>
  <mergeCells count="59">
    <mergeCell ref="B35:H38"/>
    <mergeCell ref="F29:H30"/>
    <mergeCell ref="F31:H34"/>
    <mergeCell ref="B27:D27"/>
    <mergeCell ref="B29:D29"/>
    <mergeCell ref="B28:H28"/>
    <mergeCell ref="B30:D30"/>
    <mergeCell ref="B31:D31"/>
    <mergeCell ref="B32:D32"/>
    <mergeCell ref="B34:D34"/>
    <mergeCell ref="I30:J30"/>
    <mergeCell ref="I34:J34"/>
    <mergeCell ref="I31:J31"/>
    <mergeCell ref="I32:J32"/>
    <mergeCell ref="X18:Y19"/>
    <mergeCell ref="I29:J29"/>
    <mergeCell ref="X20:Y24"/>
    <mergeCell ref="B57:D57"/>
    <mergeCell ref="B58:D58"/>
    <mergeCell ref="B23:D23"/>
    <mergeCell ref="H25:H27"/>
    <mergeCell ref="D46:E46"/>
    <mergeCell ref="B43:C43"/>
    <mergeCell ref="B56:E56"/>
    <mergeCell ref="B44:C44"/>
    <mergeCell ref="B55:C55"/>
    <mergeCell ref="B45:C45"/>
    <mergeCell ref="B46:C46"/>
    <mergeCell ref="B48:D48"/>
    <mergeCell ref="B33:D33"/>
    <mergeCell ref="B24:C24"/>
    <mergeCell ref="D24:E24"/>
    <mergeCell ref="D44:E44"/>
    <mergeCell ref="B71:C71"/>
    <mergeCell ref="B68:C68"/>
    <mergeCell ref="B59:D59"/>
    <mergeCell ref="B60:D60"/>
    <mergeCell ref="B65:D65"/>
    <mergeCell ref="B69:C69"/>
    <mergeCell ref="B64:D64"/>
    <mergeCell ref="B63:D63"/>
    <mergeCell ref="B61:D61"/>
    <mergeCell ref="B62:D62"/>
    <mergeCell ref="B70:C70"/>
    <mergeCell ref="AC18:AD18"/>
    <mergeCell ref="AC20:AD20"/>
    <mergeCell ref="B5:C5"/>
    <mergeCell ref="B8:C8"/>
    <mergeCell ref="F17:F19"/>
    <mergeCell ref="B16:C16"/>
    <mergeCell ref="A1:AA1"/>
    <mergeCell ref="H2:K2"/>
    <mergeCell ref="G4:G6"/>
    <mergeCell ref="B26:D26"/>
    <mergeCell ref="F4:F6"/>
    <mergeCell ref="B22:C22"/>
    <mergeCell ref="B25:D25"/>
    <mergeCell ref="AA2:AA3"/>
    <mergeCell ref="D2:E2"/>
  </mergeCells>
  <conditionalFormatting sqref="B27">
    <cfRule type="expression" dxfId="303" priority="312">
      <formula>SUM(E23:H23&lt;=0)</formula>
    </cfRule>
  </conditionalFormatting>
  <conditionalFormatting sqref="B29:B30">
    <cfRule type="expression" dxfId="302" priority="97">
      <formula>Algleichsgewinn=FALSE</formula>
    </cfRule>
  </conditionalFormatting>
  <conditionalFormatting sqref="B56">
    <cfRule type="expression" dxfId="301" priority="135">
      <formula>AND(Adaequanz_Kapitalleistung,D21=0)</formula>
    </cfRule>
  </conditionalFormatting>
  <conditionalFormatting sqref="B29:H34">
    <cfRule type="expression" dxfId="300" priority="540">
      <formula>AND(DFGT=TRUE,$C$4&gt;0,$D$6&lt;&gt;"",$C$7&gt;0,$D$9&gt;0,$D$12&gt;0)</formula>
    </cfRule>
  </conditionalFormatting>
  <conditionalFormatting sqref="B35:K38">
    <cfRule type="expression" dxfId="299" priority="98">
      <formula>Ausgleichsgewinn</formula>
    </cfRule>
  </conditionalFormatting>
  <conditionalFormatting sqref="B60:K60">
    <cfRule type="expression" dxfId="298" priority="136">
      <formula>Adaequanz_Kapitalleistung</formula>
    </cfRule>
  </conditionalFormatting>
  <conditionalFormatting sqref="B61:K61 B62 E62:K62">
    <cfRule type="expression" dxfId="297" priority="129">
      <formula>GrafikSchalter</formula>
    </cfRule>
  </conditionalFormatting>
  <conditionalFormatting sqref="C4">
    <cfRule type="expression" dxfId="296" priority="3">
      <formula>D4&lt;&gt;""</formula>
    </cfRule>
  </conditionalFormatting>
  <conditionalFormatting sqref="C7">
    <cfRule type="expression" dxfId="295" priority="5">
      <formula>AND($D$7="",$C$7&gt;0)</formula>
    </cfRule>
    <cfRule type="expression" dxfId="294" priority="8">
      <formula>OR(C7=0,C7=FALSE,D7&lt;&gt;"")</formula>
    </cfRule>
  </conditionalFormatting>
  <conditionalFormatting sqref="C12">
    <cfRule type="expression" dxfId="293" priority="12">
      <formula>AND(D12&gt;0,$D$12&lt;$T$3)</formula>
    </cfRule>
  </conditionalFormatting>
  <conditionalFormatting sqref="C21">
    <cfRule type="expression" dxfId="292" priority="11">
      <formula>AND(($D$20+$D$21)&gt;0,OR($D$20&lt;U3,AND(D21&gt;0,D21&lt;U3)))</formula>
    </cfRule>
  </conditionalFormatting>
  <conditionalFormatting sqref="C27">
    <cfRule type="expression" dxfId="291" priority="320">
      <formula>SUM(F23:K23&lt;=0)</formula>
    </cfRule>
  </conditionalFormatting>
  <conditionalFormatting sqref="D2">
    <cfRule type="expression" dxfId="290" priority="439">
      <formula>#REF!="Jein"</formula>
    </cfRule>
    <cfRule type="expression" dxfId="289" priority="440">
      <formula>#REF!=""</formula>
    </cfRule>
    <cfRule type="expression" dxfId="288" priority="441">
      <formula>#REF!="Ja"</formula>
    </cfRule>
    <cfRule type="expression" dxfId="287" priority="442">
      <formula>#REF!="nein"</formula>
    </cfRule>
  </conditionalFormatting>
  <conditionalFormatting sqref="D4">
    <cfRule type="expression" dxfId="286" priority="1">
      <formula>BerechnetAuf = 2</formula>
    </cfRule>
    <cfRule type="expression" dxfId="285" priority="2">
      <formula>AND($C$4="",$D$4=0)</formula>
    </cfRule>
  </conditionalFormatting>
  <conditionalFormatting sqref="D5">
    <cfRule type="expression" dxfId="284" priority="67">
      <formula>BerechnetAuf=1</formula>
    </cfRule>
    <cfRule type="expression" dxfId="283" priority="119">
      <formula>AND(N5=2,D5="")</formula>
    </cfRule>
  </conditionalFormatting>
  <conditionalFormatting sqref="D6">
    <cfRule type="expression" dxfId="282" priority="148">
      <formula>D6=""</formula>
    </cfRule>
  </conditionalFormatting>
  <conditionalFormatting sqref="D7">
    <cfRule type="expression" dxfId="281" priority="7">
      <formula>AND(D7="",C7=0)</formula>
    </cfRule>
  </conditionalFormatting>
  <conditionalFormatting sqref="D9">
    <cfRule type="expression" dxfId="280" priority="116">
      <formula>D9=""</formula>
    </cfRule>
    <cfRule type="expression" dxfId="279" priority="208">
      <formula>D9=""</formula>
    </cfRule>
  </conditionalFormatting>
  <conditionalFormatting sqref="D12">
    <cfRule type="expression" dxfId="278" priority="13">
      <formula>AND(D12&gt;0,$D$12&lt;$T$3)</formula>
    </cfRule>
    <cfRule type="expression" dxfId="277" priority="115">
      <formula>D12=""</formula>
    </cfRule>
  </conditionalFormatting>
  <conditionalFormatting sqref="D12:D14">
    <cfRule type="expression" dxfId="276" priority="205">
      <formula>D12=""</formula>
    </cfRule>
  </conditionalFormatting>
  <conditionalFormatting sqref="D17:D18">
    <cfRule type="expression" dxfId="275" priority="203">
      <formula>D17=""</formula>
    </cfRule>
  </conditionalFormatting>
  <conditionalFormatting sqref="D20">
    <cfRule type="expression" dxfId="274" priority="10">
      <formula>AND(D20&gt;0,$D$20&lt;BagatellgrenzeKapital)</formula>
    </cfRule>
    <cfRule type="colorScale" priority="59">
      <colorScale>
        <cfvo type="min"/>
        <cfvo type="max"/>
        <color rgb="FFFF0000"/>
        <color rgb="FF92D050"/>
      </colorScale>
    </cfRule>
    <cfRule type="colorScale" priority="60">
      <colorScale>
        <cfvo type="min"/>
        <cfvo type="percentile" val="50"/>
        <cfvo type="max"/>
        <color rgb="FFFF0000"/>
        <color rgb="FFFFEB84"/>
        <color rgb="FF00B050"/>
      </colorScale>
    </cfRule>
  </conditionalFormatting>
  <conditionalFormatting sqref="D21">
    <cfRule type="expression" dxfId="273" priority="9">
      <formula>AND($D$21&gt;0,$D$21&lt;$U$3)</formula>
    </cfRule>
  </conditionalFormatting>
  <conditionalFormatting sqref="D22">
    <cfRule type="colorScale" priority="162">
      <colorScale>
        <cfvo type="min"/>
        <cfvo type="max"/>
        <color rgb="FFFF0000"/>
        <color rgb="FF92D050"/>
      </colorScale>
    </cfRule>
    <cfRule type="colorScale" priority="163">
      <colorScale>
        <cfvo type="min"/>
        <cfvo type="percentile" val="50"/>
        <cfvo type="max"/>
        <color rgb="FFFF0000"/>
        <color rgb="FFFFEB84"/>
        <color rgb="FF00B050"/>
      </colorScale>
    </cfRule>
  </conditionalFormatting>
  <conditionalFormatting sqref="D24">
    <cfRule type="expression" dxfId="272" priority="153">
      <formula>AND(E8&lt;E9,E8&lt;&gt;"",E23&lt;-0.1,DRVJa)</formula>
    </cfRule>
  </conditionalFormatting>
  <conditionalFormatting sqref="D24:E24">
    <cfRule type="expression" dxfId="271" priority="55">
      <formula>AND($E$23&gt;0.1,$E$20&gt;0,DRVJa,$D$22+$E$22&gt;0)</formula>
    </cfRule>
  </conditionalFormatting>
  <conditionalFormatting sqref="D27:E27">
    <cfRule type="expression" dxfId="270" priority="294">
      <formula>SUM(G23:M23&lt;=0)</formula>
    </cfRule>
  </conditionalFormatting>
  <conditionalFormatting sqref="D20:G20">
    <cfRule type="colorScale" priority="18">
      <colorScale>
        <cfvo type="min"/>
        <cfvo type="percentile" val="50"/>
        <cfvo type="max"/>
        <color rgb="FFF8696B"/>
        <color rgb="FFFFEB84"/>
        <color rgb="FF63BE7B"/>
      </colorScale>
    </cfRule>
  </conditionalFormatting>
  <conditionalFormatting sqref="D22:G22">
    <cfRule type="colorScale" priority="17">
      <colorScale>
        <cfvo type="min"/>
        <cfvo type="percentile" val="50"/>
        <cfvo type="max"/>
        <color rgb="FFF8696B"/>
        <color rgb="FFFFEB84"/>
        <color rgb="FF63BE7B"/>
      </colorScale>
    </cfRule>
  </conditionalFormatting>
  <conditionalFormatting sqref="E3">
    <cfRule type="expression" dxfId="269" priority="454">
      <formula>E20=0</formula>
    </cfRule>
    <cfRule type="expression" dxfId="268" priority="455">
      <formula>AND(E22&gt;0,E26=#REF!)</formula>
    </cfRule>
  </conditionalFormatting>
  <conditionalFormatting sqref="E4">
    <cfRule type="expression" dxfId="267" priority="75">
      <formula>DRVJa=FALSE</formula>
    </cfRule>
    <cfRule type="expression" dxfId="266" priority="120">
      <formula>AND(E8&gt;=E9,E8&lt;&gt;"",DRVJa)</formula>
    </cfRule>
  </conditionalFormatting>
  <conditionalFormatting sqref="E6">
    <cfRule type="expression" dxfId="265" priority="46">
      <formula>OR(RentenerwerbDRV,$E$6&gt;0)</formula>
    </cfRule>
  </conditionalFormatting>
  <conditionalFormatting sqref="E7:E9 E11:E19">
    <cfRule type="expression" dxfId="264" priority="70">
      <formula>DRVJa=FALSE</formula>
    </cfRule>
  </conditionalFormatting>
  <conditionalFormatting sqref="E10">
    <cfRule type="expression" dxfId="263" priority="54">
      <formula>DRVJa=FALSE</formula>
    </cfRule>
  </conditionalFormatting>
  <conditionalFormatting sqref="E17:E18">
    <cfRule type="expression" dxfId="262" priority="191">
      <formula>E17=""</formula>
    </cfRule>
  </conditionalFormatting>
  <conditionalFormatting sqref="E20:E21">
    <cfRule type="expression" dxfId="261" priority="19">
      <formula>DRVJa=FALSE</formula>
    </cfRule>
  </conditionalFormatting>
  <conditionalFormatting sqref="E26">
    <cfRule type="expression" dxfId="260" priority="155">
      <formula>$E$22=0</formula>
    </cfRule>
  </conditionalFormatting>
  <conditionalFormatting sqref="E26:F26">
    <cfRule type="expression" dxfId="259" priority="123">
      <formula>E26=0</formula>
    </cfRule>
  </conditionalFormatting>
  <conditionalFormatting sqref="E26:G26">
    <cfRule type="colorScale" priority="158">
      <colorScale>
        <cfvo type="min"/>
        <cfvo type="percent" val="50"/>
        <cfvo type="max"/>
        <color rgb="FF00B050"/>
        <color rgb="FFFFEB84"/>
        <color rgb="FFFF3300"/>
      </colorScale>
    </cfRule>
  </conditionalFormatting>
  <conditionalFormatting sqref="E58:K58">
    <cfRule type="expression" dxfId="258" priority="137">
      <formula>Adaequanz_Kapitalleistung</formula>
    </cfRule>
  </conditionalFormatting>
  <conditionalFormatting sqref="F4">
    <cfRule type="expression" dxfId="257" priority="78">
      <formula>VersAusglKJa=FALSE</formula>
    </cfRule>
  </conditionalFormatting>
  <conditionalFormatting sqref="F7">
    <cfRule type="expression" dxfId="256" priority="74" stopIfTrue="1">
      <formula>VersAusglKJa=FALSE</formula>
    </cfRule>
  </conditionalFormatting>
  <conditionalFormatting sqref="F8">
    <cfRule type="expression" dxfId="255" priority="33">
      <formula>VersAusglKJa=FALSE</formula>
    </cfRule>
  </conditionalFormatting>
  <conditionalFormatting sqref="F9">
    <cfRule type="expression" dxfId="254" priority="29">
      <formula>VersAusglKJa=FALSE</formula>
    </cfRule>
  </conditionalFormatting>
  <conditionalFormatting sqref="F10">
    <cfRule type="expression" dxfId="253" priority="22">
      <formula>VersAusglKJa=FALSE</formula>
    </cfRule>
  </conditionalFormatting>
  <conditionalFormatting sqref="F11">
    <cfRule type="expression" dxfId="252" priority="21">
      <formula>VersAusglKJa=FALSE</formula>
    </cfRule>
  </conditionalFormatting>
  <conditionalFormatting sqref="F12">
    <cfRule type="expression" dxfId="251" priority="23">
      <formula>VersAusglKJa=FALSE</formula>
    </cfRule>
  </conditionalFormatting>
  <conditionalFormatting sqref="F13:F21">
    <cfRule type="expression" dxfId="250" priority="34">
      <formula>VersAusglKJa=FALSE</formula>
    </cfRule>
  </conditionalFormatting>
  <conditionalFormatting sqref="F27">
    <cfRule type="expression" dxfId="249" priority="122">
      <formula>F27=0</formula>
    </cfRule>
    <cfRule type="expression" dxfId="248" priority="453">
      <formula>SUM(I23:N23&lt;=0)</formula>
    </cfRule>
  </conditionalFormatting>
  <conditionalFormatting sqref="F9:G9">
    <cfRule type="expression" dxfId="247" priority="131">
      <formula>F9=""</formula>
    </cfRule>
  </conditionalFormatting>
  <conditionalFormatting sqref="F12:G12">
    <cfRule type="expression" dxfId="246" priority="27">
      <formula>F12=""</formula>
    </cfRule>
  </conditionalFormatting>
  <conditionalFormatting sqref="G4:G8">
    <cfRule type="expression" dxfId="245" priority="31">
      <formula>SonstJa=FALSE</formula>
    </cfRule>
  </conditionalFormatting>
  <conditionalFormatting sqref="G9">
    <cfRule type="expression" dxfId="244" priority="30">
      <formula>SonstJa=FALSE</formula>
    </cfRule>
  </conditionalFormatting>
  <conditionalFormatting sqref="G10">
    <cfRule type="expression" dxfId="243" priority="49">
      <formula>SonstJa=FALSE</formula>
    </cfRule>
  </conditionalFormatting>
  <conditionalFormatting sqref="G11">
    <cfRule type="expression" dxfId="242" priority="26">
      <formula>SonstJa=FALSE</formula>
    </cfRule>
  </conditionalFormatting>
  <conditionalFormatting sqref="G12">
    <cfRule type="expression" dxfId="241" priority="24">
      <formula>SonstJa=FALSE</formula>
    </cfRule>
  </conditionalFormatting>
  <conditionalFormatting sqref="G13:G14">
    <cfRule type="expression" dxfId="240" priority="16">
      <formula>SonstJa</formula>
    </cfRule>
  </conditionalFormatting>
  <conditionalFormatting sqref="G15">
    <cfRule type="expression" dxfId="239" priority="14">
      <formula>SonstJa</formula>
    </cfRule>
  </conditionalFormatting>
  <conditionalFormatting sqref="G17:G18">
    <cfRule type="expression" dxfId="238" priority="15">
      <formula>SonstJa</formula>
    </cfRule>
  </conditionalFormatting>
  <conditionalFormatting sqref="G26">
    <cfRule type="expression" dxfId="237" priority="157">
      <formula>$G$26=0</formula>
    </cfRule>
  </conditionalFormatting>
  <conditionalFormatting sqref="G27">
    <cfRule type="expression" dxfId="236" priority="121">
      <formula>G26=0</formula>
    </cfRule>
    <cfRule type="expression" dxfId="235" priority="451">
      <formula>SUM(M23:N23&lt;=0)</formula>
    </cfRule>
  </conditionalFormatting>
  <conditionalFormatting sqref="H6">
    <cfRule type="expression" dxfId="234" priority="44">
      <formula>RentenerwerbDRVBer</formula>
    </cfRule>
  </conditionalFormatting>
  <conditionalFormatting sqref="H7">
    <cfRule type="expression" dxfId="233" priority="264">
      <formula>AND(A2=1,H7&lt;&gt;"")</formula>
    </cfRule>
    <cfRule type="expression" dxfId="232" priority="265">
      <formula>AND(A2=1,H7="")</formula>
    </cfRule>
  </conditionalFormatting>
  <conditionalFormatting sqref="H7:H23 I10:K10">
    <cfRule type="expression" dxfId="231" priority="76">
      <formula>DRVAusglBerJa=FALSE</formula>
    </cfRule>
  </conditionalFormatting>
  <conditionalFormatting sqref="H8:H20 I10:K11 H22:H25 I8:K8 I15:K15 I18:I19 J19:K20 J25:K26">
    <cfRule type="expression" dxfId="230" priority="298">
      <formula>AND($H$7&gt;0,DRVAusglBerJa)</formula>
    </cfRule>
  </conditionalFormatting>
  <conditionalFormatting sqref="I5">
    <cfRule type="expression" dxfId="229" priority="390">
      <formula>#REF!=1</formula>
    </cfRule>
  </conditionalFormatting>
  <conditionalFormatting sqref="I9:K9">
    <cfRule type="expression" dxfId="228" priority="68">
      <formula>I9=""</formula>
    </cfRule>
  </conditionalFormatting>
  <conditionalFormatting sqref="I12:K12">
    <cfRule type="expression" dxfId="227" priority="61">
      <formula>I12=""</formula>
    </cfRule>
  </conditionalFormatting>
  <conditionalFormatting sqref="J27">
    <cfRule type="expression" dxfId="226" priority="449">
      <formula>SUM(#REF!&lt;=0)</formula>
    </cfRule>
  </conditionalFormatting>
  <conditionalFormatting sqref="J6:K6">
    <cfRule type="expression" dxfId="225" priority="392">
      <formula>#REF!=1</formula>
    </cfRule>
  </conditionalFormatting>
  <conditionalFormatting sqref="K27">
    <cfRule type="expression" dxfId="224" priority="450">
      <formula>SUM(#REF!&lt;=0)</formula>
    </cfRule>
  </conditionalFormatting>
  <dataValidations xWindow="1052" yWindow="1102" count="10">
    <dataValidation type="date" allowBlank="1" showInputMessage="1" showErrorMessage="1" errorTitle="Kapitalwertkontrolle" error="Es sind nur Datumsangaben zischen dem 1.1.1920 und dem letzten Tag des für diese Version des Programms maßgeblichen Pflegemonats zulässig. " prompt="Es sind nur Datumsangaben zischen dem 1.1.1920 und dem letzten Tag des für diese Version des Programms maßgeblichen Pflegemonats zulässig. " sqref="D5" xr:uid="{32456123-035C-4C08-B776-C64B8D090D04}">
      <formula1>7306</formula1>
      <formula2>Enddatum</formula2>
    </dataValidation>
    <dataValidation type="decimal" allowBlank="1" showInputMessage="1" showErrorMessage="1" errorTitle="Adaequanzprüfung" error="Renteneintrittsalter &lt;40 und &gt;70 ist unzulässig" sqref="D9" xr:uid="{FE581511-1E5E-478B-9CEB-36D431F34A9A}">
      <formula1>20</formula1>
      <formula2>75</formula2>
    </dataValidation>
    <dataValidation type="decimal" allowBlank="1" showInputMessage="1" showErrorMessage="1" errorTitle="Eingabefehler" error="Renteneintrittsalter muss &gt;=40 und &lt;=70 sein" sqref="F9" xr:uid="{2D8D3497-0EE5-4D34-AE88-5D03149CFA74}">
      <formula1>40</formula1>
      <formula2>70</formula2>
    </dataValidation>
    <dataValidation type="decimal" allowBlank="1" showInputMessage="1" showErrorMessage="1" errorTitle="Eingabebeschränkung" error="Rentenalter nur zwischen 40 und 70 möglich" sqref="G9" xr:uid="{132D12B0-BC36-4356-9F44-3CFC0A84E4BA}">
      <formula1>40</formula1>
      <formula2>70</formula2>
    </dataValidation>
    <dataValidation type="decimal" allowBlank="1" showInputMessage="1" showErrorMessage="1" errorTitle="Eingabebeschränkung" error="Werte &gt; 100% unzulässig" sqref="D17" xr:uid="{037F95BF-4295-4281-882D-5B4A6C88D9D5}">
      <formula1>0</formula1>
      <formula2>1</formula2>
    </dataValidation>
    <dataValidation type="decimal" allowBlank="1" showInputMessage="1" showErrorMessage="1" promptTitle="Eingabebeschränkung" prompt="Werte &gt;60% unzulässig" sqref="D18" xr:uid="{158B017E-B3C5-40F5-AD68-537898251C5F}">
      <formula1>0</formula1>
      <formula2>1</formula2>
    </dataValidation>
    <dataValidation type="decimal" allowBlank="1" showInputMessage="1" showErrorMessage="1" errorTitle="Eingabebeschränkung" error="Werte &gt;100% sind unzulässig" sqref="G17" xr:uid="{B5E499D9-15B6-45CB-9202-3A43A46C3CD0}">
      <formula1>0</formula1>
      <formula2>1</formula2>
    </dataValidation>
    <dataValidation type="decimal" allowBlank="1" showInputMessage="1" showErrorMessage="1" errorTitle="Eingabebeschränkung" error="Der Wert darf 60% nicht übersteigen" sqref="G18" xr:uid="{10CAC93B-627E-4D90-9ECE-2DD57D52FAB4}">
      <formula1>0</formula1>
      <formula2>0.6</formula2>
    </dataValidation>
    <dataValidation type="list" allowBlank="1" showInputMessage="1" showErrorMessage="1" promptTitle="Eingabebeschränkung" prompt="Eingaben m, w, d sind zulässig" sqref="D6" xr:uid="{5CA176B4-DF1A-40F4-9626-4A5EA29F16A3}">
      <formula1>$R$2:$R$4</formula1>
    </dataValidation>
    <dataValidation type="decimal" allowBlank="1" showInputMessage="1" showErrorMessage="1" errorTitle="Falscheingabe" error="Es sind nur eingaben zwischen 0 und 10% zulässig!" sqref="D13 D14" xr:uid="{B4AF1384-7588-4CA5-A412-CD0EE05D4F70}">
      <formula1>0</formula1>
      <formula2>0.1</formula2>
    </dataValidation>
  </dataValidations>
  <hyperlinks>
    <hyperlink ref="F3" r:id="rId1" display="https://alms.allianz.de/anonym/pages/start.xhtml?esales=VAUKAS" xr:uid="{4A00AC96-D6F4-405E-B0AA-F7BF936198BE}"/>
    <hyperlink ref="E39:H39" r:id="rId2" display="Mail an Rechtsanwalt Hauß: Hauss@Anwaelte-DU.de" xr:uid="{814CC854-1AE6-4E27-ACBF-9A5B77D36051}"/>
    <hyperlink ref="B28:H28" r:id="rId3" display="coming soon: Adäquanzprüfung nach Versorgungsausgleichskommission des DFGT, FamRZ 2022, 154" xr:uid="{577E6C51-AAE5-44AA-A9F2-200D374CE1C6}"/>
    <hyperlink ref="C21" r:id="rId4" display="https://www.gesetze-im-internet.de/versausglg/__18.html" xr:uid="{EA7A932E-A74E-4B9A-BBA0-5CD35A8F20B4}"/>
    <hyperlink ref="C12" r:id="rId5" display="https://www.gesetze-im-internet.de/versausglg/__18.html" xr:uid="{C88E6F04-A674-4112-B385-9E64ED3ABD69}"/>
    <hyperlink ref="C3" r:id="rId6" xr:uid="{DF82C3F5-0B70-47AA-98C3-074BDE5E42E6}"/>
    <hyperlink ref="C2" r:id="rId7" xr:uid="{5CF43212-F3FB-42A1-9168-4F83C4634F0A}"/>
  </hyperlinks>
  <printOptions horizontalCentered="1" verticalCentered="1"/>
  <pageMargins left="0" right="0" top="0.78740157480314965" bottom="0.78740157480314965" header="0.31496062992125984" footer="0.31496062992125984"/>
  <pageSetup paperSize="9" scale="84" orientation="landscape" r:id="rId8"/>
  <rowBreaks count="1" manualBreakCount="1">
    <brk id="24" min="1" max="17" man="1"/>
  </rowBreaks>
  <colBreaks count="2" manualBreakCount="2">
    <brk id="4" min="1" max="26" man="1"/>
    <brk id="23" max="1048575" man="1"/>
  </colBreaks>
  <cellWatches>
    <cellWatch r="D12"/>
  </cellWatches>
  <drawing r:id="rId9"/>
  <legacyDrawing r:id="rId10"/>
  <mc:AlternateContent xmlns:mc="http://schemas.openxmlformats.org/markup-compatibility/2006">
    <mc:Choice Requires="x14">
      <controls>
        <mc:AlternateContent xmlns:mc="http://schemas.openxmlformats.org/markup-compatibility/2006">
          <mc:Choice Requires="x14">
            <control shapeId="1787994" r:id="rId11" name="Check Box 90">
              <controlPr defaultSize="0" autoFill="0" autoLine="0" autoPict="0">
                <anchor moveWithCells="1">
                  <from>
                    <xdr:col>5</xdr:col>
                    <xdr:colOff>19050</xdr:colOff>
                    <xdr:row>2</xdr:row>
                    <xdr:rowOff>371475</xdr:rowOff>
                  </from>
                  <to>
                    <xdr:col>5</xdr:col>
                    <xdr:colOff>228600</xdr:colOff>
                    <xdr:row>3</xdr:row>
                    <xdr:rowOff>19050</xdr:rowOff>
                  </to>
                </anchor>
              </controlPr>
            </control>
          </mc:Choice>
        </mc:AlternateContent>
        <mc:AlternateContent xmlns:mc="http://schemas.openxmlformats.org/markup-compatibility/2006">
          <mc:Choice Requires="x14">
            <control shapeId="1787995" r:id="rId12" name="Check Box 91">
              <controlPr defaultSize="0" autoFill="0" autoLine="0" autoPict="0">
                <anchor moveWithCells="1">
                  <from>
                    <xdr:col>6</xdr:col>
                    <xdr:colOff>19050</xdr:colOff>
                    <xdr:row>2</xdr:row>
                    <xdr:rowOff>371475</xdr:rowOff>
                  </from>
                  <to>
                    <xdr:col>6</xdr:col>
                    <xdr:colOff>266700</xdr:colOff>
                    <xdr:row>3</xdr:row>
                    <xdr:rowOff>19050</xdr:rowOff>
                  </to>
                </anchor>
              </controlPr>
            </control>
          </mc:Choice>
        </mc:AlternateContent>
        <mc:AlternateContent xmlns:mc="http://schemas.openxmlformats.org/markup-compatibility/2006">
          <mc:Choice Requires="x14">
            <control shapeId="1788042" r:id="rId13" name="Check Box 138">
              <controlPr defaultSize="0" autoFill="0" autoLine="0" autoPict="0">
                <anchor moveWithCells="1">
                  <from>
                    <xdr:col>6</xdr:col>
                    <xdr:colOff>1104900</xdr:colOff>
                    <xdr:row>3</xdr:row>
                    <xdr:rowOff>19050</xdr:rowOff>
                  </from>
                  <to>
                    <xdr:col>7</xdr:col>
                    <xdr:colOff>1009650</xdr:colOff>
                    <xdr:row>4</xdr:row>
                    <xdr:rowOff>0</xdr:rowOff>
                  </to>
                </anchor>
              </controlPr>
            </control>
          </mc:Choice>
        </mc:AlternateContent>
        <mc:AlternateContent xmlns:mc="http://schemas.openxmlformats.org/markup-compatibility/2006">
          <mc:Choice Requires="x14">
            <control shapeId="1788044" r:id="rId14" name="Check Box 140">
              <controlPr defaultSize="0" autoFill="0" autoLine="0" autoPict="0">
                <anchor moveWithCells="1">
                  <from>
                    <xdr:col>6</xdr:col>
                    <xdr:colOff>1104900</xdr:colOff>
                    <xdr:row>2</xdr:row>
                    <xdr:rowOff>371475</xdr:rowOff>
                  </from>
                  <to>
                    <xdr:col>7</xdr:col>
                    <xdr:colOff>1019175</xdr:colOff>
                    <xdr:row>3</xdr:row>
                    <xdr:rowOff>19050</xdr:rowOff>
                  </to>
                </anchor>
              </controlPr>
            </control>
          </mc:Choice>
        </mc:AlternateContent>
        <mc:AlternateContent xmlns:mc="http://schemas.openxmlformats.org/markup-compatibility/2006">
          <mc:Choice Requires="x14">
            <control shapeId="1788161" r:id="rId15" name="Check Box 257">
              <controlPr defaultSize="0" autoFill="0" autoLine="0" autoPict="0">
                <anchor moveWithCells="1">
                  <from>
                    <xdr:col>1</xdr:col>
                    <xdr:colOff>209550</xdr:colOff>
                    <xdr:row>27</xdr:row>
                    <xdr:rowOff>28575</xdr:rowOff>
                  </from>
                  <to>
                    <xdr:col>1</xdr:col>
                    <xdr:colOff>571500</xdr:colOff>
                    <xdr:row>28</xdr:row>
                    <xdr:rowOff>0</xdr:rowOff>
                  </to>
                </anchor>
              </controlPr>
            </control>
          </mc:Choice>
        </mc:AlternateContent>
        <mc:AlternateContent xmlns:mc="http://schemas.openxmlformats.org/markup-compatibility/2006">
          <mc:Choice Requires="x14">
            <control shapeId="1788204" r:id="rId16" name="Check Box 300">
              <controlPr defaultSize="0" autoFill="0" autoLine="0" autoPict="0">
                <anchor moveWithCells="1">
                  <from>
                    <xdr:col>26</xdr:col>
                    <xdr:colOff>28575</xdr:colOff>
                    <xdr:row>2</xdr:row>
                    <xdr:rowOff>561975</xdr:rowOff>
                  </from>
                  <to>
                    <xdr:col>26</xdr:col>
                    <xdr:colOff>247650</xdr:colOff>
                    <xdr:row>4</xdr:row>
                    <xdr:rowOff>19050</xdr:rowOff>
                  </to>
                </anchor>
              </controlPr>
            </control>
          </mc:Choice>
        </mc:AlternateContent>
        <mc:AlternateContent xmlns:mc="http://schemas.openxmlformats.org/markup-compatibility/2006">
          <mc:Choice Requires="x14">
            <control shapeId="1788205" r:id="rId17" name="Check Box 301">
              <controlPr defaultSize="0" autoFill="0" autoLine="0" autoPict="0">
                <anchor moveWithCells="1">
                  <from>
                    <xdr:col>6</xdr:col>
                    <xdr:colOff>1104900</xdr:colOff>
                    <xdr:row>4</xdr:row>
                    <xdr:rowOff>19050</xdr:rowOff>
                  </from>
                  <to>
                    <xdr:col>7</xdr:col>
                    <xdr:colOff>228600</xdr:colOff>
                    <xdr:row>5</xdr:row>
                    <xdr:rowOff>0</xdr:rowOff>
                  </to>
                </anchor>
              </controlPr>
            </control>
          </mc:Choice>
        </mc:AlternateContent>
        <mc:AlternateContent xmlns:mc="http://schemas.openxmlformats.org/markup-compatibility/2006">
          <mc:Choice Requires="x14">
            <control shapeId="1788206" r:id="rId18" name="Check Box 302">
              <controlPr defaultSize="0" autoFill="0" autoLine="0" autoPict="0">
                <anchor moveWithCells="1" sizeWithCells="1">
                  <from>
                    <xdr:col>26</xdr:col>
                    <xdr:colOff>19050</xdr:colOff>
                    <xdr:row>4</xdr:row>
                    <xdr:rowOff>19050</xdr:rowOff>
                  </from>
                  <to>
                    <xdr:col>26</xdr:col>
                    <xdr:colOff>266700</xdr:colOff>
                    <xdr:row>5</xdr:row>
                    <xdr:rowOff>19050</xdr:rowOff>
                  </to>
                </anchor>
              </controlPr>
            </control>
          </mc:Choice>
        </mc:AlternateContent>
        <mc:AlternateContent xmlns:mc="http://schemas.openxmlformats.org/markup-compatibility/2006">
          <mc:Choice Requires="x14">
            <control shapeId="1788207" r:id="rId19" name="Check Box 303">
              <controlPr defaultSize="0" autoFill="0" autoLine="0" autoPict="0">
                <anchor moveWithCells="1" sizeWithCells="1">
                  <from>
                    <xdr:col>26</xdr:col>
                    <xdr:colOff>19050</xdr:colOff>
                    <xdr:row>6</xdr:row>
                    <xdr:rowOff>209550</xdr:rowOff>
                  </from>
                  <to>
                    <xdr:col>26</xdr:col>
                    <xdr:colOff>285750</xdr:colOff>
                    <xdr:row>7</xdr:row>
                    <xdr:rowOff>209550</xdr:rowOff>
                  </to>
                </anchor>
              </controlPr>
            </control>
          </mc:Choice>
        </mc:AlternateContent>
        <mc:AlternateContent xmlns:mc="http://schemas.openxmlformats.org/markup-compatibility/2006">
          <mc:Choice Requires="x14">
            <control shapeId="1788208" r:id="rId20" name="Check Box 304">
              <controlPr defaultSize="0" autoFill="0" autoLine="0" autoPict="0">
                <anchor moveWithCells="1" sizeWithCells="1">
                  <from>
                    <xdr:col>26</xdr:col>
                    <xdr:colOff>19050</xdr:colOff>
                    <xdr:row>5</xdr:row>
                    <xdr:rowOff>209550</xdr:rowOff>
                  </from>
                  <to>
                    <xdr:col>26</xdr:col>
                    <xdr:colOff>266700</xdr:colOff>
                    <xdr:row>6</xdr:row>
                    <xdr:rowOff>219075</xdr:rowOff>
                  </to>
                </anchor>
              </controlPr>
            </control>
          </mc:Choice>
        </mc:AlternateContent>
        <mc:AlternateContent xmlns:mc="http://schemas.openxmlformats.org/markup-compatibility/2006">
          <mc:Choice Requires="x14">
            <control shapeId="1788209" r:id="rId21" name="Check Box 305">
              <controlPr defaultSize="0" autoFill="0" autoLine="0" autoPict="0">
                <anchor moveWithCells="1" sizeWithCells="1">
                  <from>
                    <xdr:col>26</xdr:col>
                    <xdr:colOff>19050</xdr:colOff>
                    <xdr:row>7</xdr:row>
                    <xdr:rowOff>209550</xdr:rowOff>
                  </from>
                  <to>
                    <xdr:col>26</xdr:col>
                    <xdr:colOff>285750</xdr:colOff>
                    <xdr:row>9</xdr:row>
                    <xdr:rowOff>0</xdr:rowOff>
                  </to>
                </anchor>
              </controlPr>
            </control>
          </mc:Choice>
        </mc:AlternateContent>
        <mc:AlternateContent xmlns:mc="http://schemas.openxmlformats.org/markup-compatibility/2006">
          <mc:Choice Requires="x14">
            <control shapeId="1788210" r:id="rId22" name="Check Box 306">
              <controlPr defaultSize="0" autoFill="0" autoLine="0" autoPict="0">
                <anchor moveWithCells="1" sizeWithCells="1">
                  <from>
                    <xdr:col>26</xdr:col>
                    <xdr:colOff>19050</xdr:colOff>
                    <xdr:row>5</xdr:row>
                    <xdr:rowOff>19050</xdr:rowOff>
                  </from>
                  <to>
                    <xdr:col>26</xdr:col>
                    <xdr:colOff>219075</xdr:colOff>
                    <xdr:row>5</xdr:row>
                    <xdr:rowOff>219075</xdr:rowOff>
                  </to>
                </anchor>
              </controlPr>
            </control>
          </mc:Choice>
        </mc:AlternateContent>
        <mc:AlternateContent xmlns:mc="http://schemas.openxmlformats.org/markup-compatibility/2006">
          <mc:Choice Requires="x14">
            <control shapeId="1787987" r:id="rId23" name="Check Box 83">
              <controlPr defaultSize="0" autoFill="0" autoLine="0" autoPict="0">
                <anchor moveWithCells="1">
                  <from>
                    <xdr:col>1</xdr:col>
                    <xdr:colOff>2362200</xdr:colOff>
                    <xdr:row>17</xdr:row>
                    <xdr:rowOff>171450</xdr:rowOff>
                  </from>
                  <to>
                    <xdr:col>1</xdr:col>
                    <xdr:colOff>3800475</xdr:colOff>
                    <xdr:row>18</xdr:row>
                    <xdr:rowOff>152400</xdr:rowOff>
                  </to>
                </anchor>
              </controlPr>
            </control>
          </mc:Choice>
        </mc:AlternateContent>
        <mc:AlternateContent xmlns:mc="http://schemas.openxmlformats.org/markup-compatibility/2006">
          <mc:Choice Requires="x14">
            <control shapeId="1787992" r:id="rId24" name="Check Box 88">
              <controlPr defaultSize="0" autoFill="0" autoLine="0" autoPict="0">
                <anchor moveWithCells="1">
                  <from>
                    <xdr:col>1</xdr:col>
                    <xdr:colOff>4676775</xdr:colOff>
                    <xdr:row>8</xdr:row>
                    <xdr:rowOff>0</xdr:rowOff>
                  </from>
                  <to>
                    <xdr:col>2</xdr:col>
                    <xdr:colOff>800100</xdr:colOff>
                    <xdr:row>9</xdr:row>
                    <xdr:rowOff>19050</xdr:rowOff>
                  </to>
                </anchor>
              </controlPr>
            </control>
          </mc:Choice>
        </mc:AlternateContent>
        <mc:AlternateContent xmlns:mc="http://schemas.openxmlformats.org/markup-compatibility/2006">
          <mc:Choice Requires="x14">
            <control shapeId="1787993" r:id="rId25" name="Check Box 89">
              <controlPr defaultSize="0" autoFill="0" autoLine="0" autoPict="0">
                <anchor moveWithCells="1">
                  <from>
                    <xdr:col>4</xdr:col>
                    <xdr:colOff>0</xdr:colOff>
                    <xdr:row>2</xdr:row>
                    <xdr:rowOff>361950</xdr:rowOff>
                  </from>
                  <to>
                    <xdr:col>4</xdr:col>
                    <xdr:colOff>247650</xdr:colOff>
                    <xdr:row>3</xdr:row>
                    <xdr:rowOff>38100</xdr:rowOff>
                  </to>
                </anchor>
              </controlPr>
            </control>
          </mc:Choice>
        </mc:AlternateContent>
        <mc:AlternateContent xmlns:mc="http://schemas.openxmlformats.org/markup-compatibility/2006">
          <mc:Choice Requires="x14">
            <control shapeId="1788010" r:id="rId26" name="Drop Down 106">
              <controlPr defaultSize="0" autoLine="0" autoPict="0">
                <anchor moveWithCells="1">
                  <from>
                    <xdr:col>1</xdr:col>
                    <xdr:colOff>4286250</xdr:colOff>
                    <xdr:row>19</xdr:row>
                    <xdr:rowOff>19050</xdr:rowOff>
                  </from>
                  <to>
                    <xdr:col>2</xdr:col>
                    <xdr:colOff>0</xdr:colOff>
                    <xdr:row>19</xdr:row>
                    <xdr:rowOff>190500</xdr:rowOff>
                  </to>
                </anchor>
              </controlPr>
            </control>
          </mc:Choice>
        </mc:AlternateContent>
        <mc:AlternateContent xmlns:mc="http://schemas.openxmlformats.org/markup-compatibility/2006">
          <mc:Choice Requires="x14">
            <control shapeId="1788029" r:id="rId27" name="Option Button 125">
              <controlPr defaultSize="0" autoFill="0" autoLine="0" autoPict="0">
                <anchor moveWithCells="1">
                  <from>
                    <xdr:col>1</xdr:col>
                    <xdr:colOff>57150</xdr:colOff>
                    <xdr:row>3</xdr:row>
                    <xdr:rowOff>57150</xdr:rowOff>
                  </from>
                  <to>
                    <xdr:col>1</xdr:col>
                    <xdr:colOff>1476375</xdr:colOff>
                    <xdr:row>3</xdr:row>
                    <xdr:rowOff>180975</xdr:rowOff>
                  </to>
                </anchor>
              </controlPr>
            </control>
          </mc:Choice>
        </mc:AlternateContent>
        <mc:AlternateContent xmlns:mc="http://schemas.openxmlformats.org/markup-compatibility/2006">
          <mc:Choice Requires="x14">
            <control shapeId="1788030" r:id="rId28" name="Option Button 126">
              <controlPr defaultSize="0" autoFill="0" autoLine="0" autoPict="0">
                <anchor moveWithCells="1">
                  <from>
                    <xdr:col>1</xdr:col>
                    <xdr:colOff>38100</xdr:colOff>
                    <xdr:row>4</xdr:row>
                    <xdr:rowOff>19050</xdr:rowOff>
                  </from>
                  <to>
                    <xdr:col>1</xdr:col>
                    <xdr:colOff>1866900</xdr:colOff>
                    <xdr:row>5</xdr:row>
                    <xdr:rowOff>0</xdr:rowOff>
                  </to>
                </anchor>
              </controlPr>
            </control>
          </mc:Choice>
        </mc:AlternateContent>
        <mc:AlternateContent xmlns:mc="http://schemas.openxmlformats.org/markup-compatibility/2006">
          <mc:Choice Requires="x14">
            <control shapeId="1788047" r:id="rId29" name="Check Box 143">
              <controlPr defaultSize="0" autoFill="0" autoLine="0" autoPict="0">
                <anchor moveWithCells="1">
                  <from>
                    <xdr:col>1</xdr:col>
                    <xdr:colOff>4438650</xdr:colOff>
                    <xdr:row>4</xdr:row>
                    <xdr:rowOff>190500</xdr:rowOff>
                  </from>
                  <to>
                    <xdr:col>2</xdr:col>
                    <xdr:colOff>990600</xdr:colOff>
                    <xdr:row>6</xdr:row>
                    <xdr:rowOff>38100</xdr:rowOff>
                  </to>
                </anchor>
              </controlPr>
            </control>
          </mc:Choice>
        </mc:AlternateContent>
        <mc:AlternateContent xmlns:mc="http://schemas.openxmlformats.org/markup-compatibility/2006">
          <mc:Choice Requires="x14">
            <control shapeId="1788102" r:id="rId30" name="Check Box 198">
              <controlPr defaultSize="0" autoFill="0" autoLine="0" autoPict="0">
                <anchor moveWithCells="1">
                  <from>
                    <xdr:col>1</xdr:col>
                    <xdr:colOff>2362200</xdr:colOff>
                    <xdr:row>17</xdr:row>
                    <xdr:rowOff>171450</xdr:rowOff>
                  </from>
                  <to>
                    <xdr:col>1</xdr:col>
                    <xdr:colOff>3810000</xdr:colOff>
                    <xdr:row>18</xdr:row>
                    <xdr:rowOff>152400</xdr:rowOff>
                  </to>
                </anchor>
              </controlPr>
            </control>
          </mc:Choice>
        </mc:AlternateContent>
        <mc:AlternateContent xmlns:mc="http://schemas.openxmlformats.org/markup-compatibility/2006">
          <mc:Choice Requires="x14">
            <control shapeId="1788106" r:id="rId31" name="Drop Down 202">
              <controlPr defaultSize="0" autoLine="0" autoPict="0">
                <anchor moveWithCells="1">
                  <from>
                    <xdr:col>1</xdr:col>
                    <xdr:colOff>4286250</xdr:colOff>
                    <xdr:row>19</xdr:row>
                    <xdr:rowOff>19050</xdr:rowOff>
                  </from>
                  <to>
                    <xdr:col>2</xdr:col>
                    <xdr:colOff>0</xdr:colOff>
                    <xdr:row>19</xdr:row>
                    <xdr:rowOff>190500</xdr:rowOff>
                  </to>
                </anchor>
              </controlPr>
            </control>
          </mc:Choice>
        </mc:AlternateContent>
        <mc:AlternateContent xmlns:mc="http://schemas.openxmlformats.org/markup-compatibility/2006">
          <mc:Choice Requires="x14">
            <control shapeId="1788112" r:id="rId32" name="Check Box 208">
              <controlPr defaultSize="0" autoFill="0" autoLine="0" autoPict="0">
                <anchor moveWithCells="1">
                  <from>
                    <xdr:col>1</xdr:col>
                    <xdr:colOff>4705350</xdr:colOff>
                    <xdr:row>16</xdr:row>
                    <xdr:rowOff>19050</xdr:rowOff>
                  </from>
                  <to>
                    <xdr:col>2</xdr:col>
                    <xdr:colOff>485775</xdr:colOff>
                    <xdr:row>17</xdr:row>
                    <xdr:rowOff>19050</xdr:rowOff>
                  </to>
                </anchor>
              </controlPr>
            </control>
          </mc:Choice>
        </mc:AlternateContent>
        <mc:AlternateContent xmlns:mc="http://schemas.openxmlformats.org/markup-compatibility/2006">
          <mc:Choice Requires="x14">
            <control shapeId="1788183" r:id="rId33" name="Check Box 279">
              <controlPr defaultSize="0" autoFill="0" autoLine="0" autoPict="0">
                <anchor moveWithCells="1">
                  <from>
                    <xdr:col>3</xdr:col>
                    <xdr:colOff>0</xdr:colOff>
                    <xdr:row>2</xdr:row>
                    <xdr:rowOff>381000</xdr:rowOff>
                  </from>
                  <to>
                    <xdr:col>3</xdr:col>
                    <xdr:colOff>209550</xdr:colOff>
                    <xdr:row>3</xdr:row>
                    <xdr:rowOff>0</xdr:rowOff>
                  </to>
                </anchor>
              </controlPr>
            </control>
          </mc:Choice>
        </mc:AlternateContent>
        <mc:AlternateContent xmlns:mc="http://schemas.openxmlformats.org/markup-compatibility/2006">
          <mc:Choice Requires="x14">
            <control shapeId="1788201" r:id="rId34" name="Check Box 297">
              <controlPr defaultSize="0" autoFill="0" autoLine="0" autoPict="0">
                <anchor moveWithCells="1">
                  <from>
                    <xdr:col>1</xdr:col>
                    <xdr:colOff>3571875</xdr:colOff>
                    <xdr:row>19</xdr:row>
                    <xdr:rowOff>0</xdr:rowOff>
                  </from>
                  <to>
                    <xdr:col>1</xdr:col>
                    <xdr:colOff>4295775</xdr:colOff>
                    <xdr:row>20</xdr:row>
                    <xdr:rowOff>0</xdr:rowOff>
                  </to>
                </anchor>
              </controlPr>
            </control>
          </mc:Choice>
        </mc:AlternateContent>
        <mc:AlternateContent xmlns:mc="http://schemas.openxmlformats.org/markup-compatibility/2006">
          <mc:Choice Requires="x14">
            <control shapeId="1788203" r:id="rId35" name="Check Box 299">
              <controlPr defaultSize="0" autoFill="0" autoLine="0" autoPict="0">
                <anchor moveWithCells="1">
                  <from>
                    <xdr:col>4</xdr:col>
                    <xdr:colOff>0</xdr:colOff>
                    <xdr:row>4</xdr:row>
                    <xdr:rowOff>19050</xdr:rowOff>
                  </from>
                  <to>
                    <xdr:col>4</xdr:col>
                    <xdr:colOff>180975</xdr:colOff>
                    <xdr:row>5</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 id="{4535CA48-DB1D-434D-8A15-80125E447C19}">
            <xm:f>AND($D$4="",Fallerfassung!$V$3&gt;0)</xm:f>
            <x14:dxf>
              <fill>
                <patternFill>
                  <bgColor theme="4" tint="0.59996337778862885"/>
                </patternFill>
              </fill>
            </x14:dxf>
          </x14:cfRule>
          <xm:sqref>C4</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8DA2D-2C18-4ED8-93DE-C2A0C3D70BBD}">
  <dimension ref="A11:P94"/>
  <sheetViews>
    <sheetView topLeftCell="A14" workbookViewId="0">
      <selection activeCell="A66" sqref="A66"/>
    </sheetView>
  </sheetViews>
  <sheetFormatPr baseColWidth="10" defaultRowHeight="14.25"/>
  <cols>
    <col min="1" max="3" width="10.25" style="231" customWidth="1"/>
    <col min="6" max="7" width="11.25" bestFit="1" customWidth="1"/>
    <col min="10" max="10" width="12.25" customWidth="1"/>
    <col min="11" max="11" width="11.25" customWidth="1"/>
  </cols>
  <sheetData>
    <row r="11" spans="1:16">
      <c r="A11" s="15" t="b">
        <v>1</v>
      </c>
    </row>
    <row r="12" spans="1:16">
      <c r="A12" s="15" t="b">
        <v>1</v>
      </c>
    </row>
    <row r="16" spans="1:16" ht="28.5">
      <c r="A16" s="2079" t="s">
        <v>1954</v>
      </c>
      <c r="B16" s="2079" t="s">
        <v>1955</v>
      </c>
      <c r="C16" s="2079"/>
      <c r="L16" s="830" t="e">
        <f>+'[8]BVerfG 1 BvL 5-18'!$D$3</f>
        <v>#REF!</v>
      </c>
      <c r="M16" s="830" t="s">
        <v>126</v>
      </c>
      <c r="N16" s="830" t="s">
        <v>295</v>
      </c>
      <c r="O16" s="830" t="s">
        <v>1956</v>
      </c>
      <c r="P16" s="830" t="s">
        <v>195</v>
      </c>
    </row>
    <row r="17" spans="1:16">
      <c r="A17" s="251"/>
      <c r="B17" s="251"/>
      <c r="C17" s="251"/>
    </row>
    <row r="18" spans="1:16">
      <c r="A18" s="2080" t="e">
        <f>IF(PflGesamt,IF(GesVersrgPfl,SUM(Tabelle2[[#This Row],[Spalte2]:[Spalte8]]),0),0)</f>
        <v>#REF!</v>
      </c>
      <c r="B18" s="2080" t="e">
        <f>IF(BerGesamt,SUM('[8]Berechnungen BVerfG'!P18:R18)+'[8]Berechnungen BVerfG'!N18,0)</f>
        <v>#REF!</v>
      </c>
      <c r="C18" s="2080">
        <f t="shared" ref="C18:C49" si="0">IF(GesVersrgPfl,P18,0)</f>
        <v>0</v>
      </c>
      <c r="D18" s="2080" t="e">
        <f>SUM('[8]Berechnungen BVerfG'!P18:R18)+'[8]Berechnungen BVerfG'!N18</f>
        <v>#REF!</v>
      </c>
      <c r="K18" t="e">
        <f>+[8]!Tabelle2[[#This Row],[Alter]]</f>
        <v>#REF!</v>
      </c>
      <c r="L18" s="95">
        <f>IFERROR(IF($K18&lt;INT('[8]Berechnungen BVerfG'!H$5),0,IF($K18=INT('[8]Berechnungen BVerfG'!H$2),'[8]Berechnungen BVerfG'!H$12,IF($K18&gt;INT('[8]Berechnungen BVerfG'!H$2),'[8]Berechnungen BVerfG'!H$12*(1+'[8]Berechnungen BVerfG'!H$9)^(IF($K18-'[8]Berechnungen BVerfG'!H$5&lt;=0,0,$K18-IF('[8]Berechnungen BVerfG'!H$5&lt;'[8]Berechnungen BVerfG'!H$2,'[8]Berechnungen BVerfG'!H$2,'[8]Berechnungen BVerfG'!H$5))),0))),0)</f>
        <v>0</v>
      </c>
      <c r="M18" s="2081">
        <f>IFERROR(IF(K18&lt;INT('[8]Berechnungen BVerfG'!I$5),0,IF(K18=INT('[8]Berechnungen BVerfG'!I$2),'[8]Berechnungen BVerfG'!I$12,IF(K18&gt;INT('[8]Berechnungen BVerfG'!I$2),'[8]Berechnungen BVerfG'!I$12*(1+'[8]Berechnungen BVerfG'!I$9)^(IF(K18-'[8]Berechnungen BVerfG'!I$5&lt;=0,0,K18-IF('[8]Berechnungen BVerfG'!I$5&lt;'[8]Berechnungen BVerfG'!I$2,'[8]Berechnungen BVerfG'!I$2,'[8]Berechnungen BVerfG'!I$5))),0))),0)</f>
        <v>0</v>
      </c>
      <c r="N18" s="2081">
        <f>IFERROR(IF($K18&lt;INT('[8]Berechnungen BVerfG'!J$5),0,IF($K18=INT('[8]Berechnungen BVerfG'!J$2),'[8]Berechnungen BVerfG'!J$12,IF($K18&gt;INT('[8]Berechnungen BVerfG'!J$2),'[8]Berechnungen BVerfG'!J$12*(1+'[8]Berechnungen BVerfG'!J$9)^(IF($K18-'[8]Berechnungen BVerfG'!J$5&lt;=0,0,$K18-IF('[8]Berechnungen BVerfG'!J$5&lt;'[8]Berechnungen BVerfG'!J$2,'[8]Berechnungen BVerfG'!J$2,'[8]Berechnungen BVerfG'!K$5))),0))),0)</f>
        <v>0</v>
      </c>
      <c r="O18" s="2081">
        <f>IFERROR(IF($K18&lt;INT('[8]Berechnungen BVerfG'!K$5),0,IF($K18=INT('[8]Berechnungen BVerfG'!K$2),'[8]Berechnungen BVerfG'!K$12,IF($K18&gt;INT('[8]Berechnungen BVerfG'!K$2),'[8]Berechnungen BVerfG'!K$12*(1+'[8]Berechnungen BVerfG'!K$9)^(IF($K18-'[8]Berechnungen BVerfG'!K$5&lt;=0,0,$K18-IF('[8]Berechnungen BVerfG'!K$5&lt;'[8]Berechnungen BVerfG'!K$2,'[8]Berechnungen BVerfG'!K$2,'[8]Berechnungen BVerfG'!K$5))),0))),0)</f>
        <v>0</v>
      </c>
      <c r="P18" s="95">
        <f t="shared" ref="P18:P49" si="1">IF(GesVersrgPfl,SUM(L18:O18),0)</f>
        <v>0</v>
      </c>
    </row>
    <row r="19" spans="1:16">
      <c r="A19" s="2080" t="e">
        <f>IF(PflGesamt,IF(GesVersrgPfl,SUM([8]!Tabelle2[[#This Row],[Spalte2]:[Spalte8]]),0),0)</f>
        <v>#REF!</v>
      </c>
      <c r="B19" s="2080" t="e">
        <f>IF(BerGesamt,SUM('[8]Berechnungen BVerfG'!P19:R19)+'[8]Berechnungen BVerfG'!N19,0)</f>
        <v>#REF!</v>
      </c>
      <c r="C19" s="2080">
        <f t="shared" si="0"/>
        <v>0</v>
      </c>
      <c r="D19" s="2080" t="e">
        <f>SUM('[8]Berechnungen BVerfG'!P19:R19)+'[8]Berechnungen BVerfG'!N19</f>
        <v>#REF!</v>
      </c>
      <c r="K19" t="e">
        <f>+[8]!Tabelle2[[#This Row],[Alter]]</f>
        <v>#REF!</v>
      </c>
      <c r="L19" s="95">
        <f>IFERROR(IF($K19&lt;INT('[8]Berechnungen BVerfG'!H$5),0,IF($K19=INT('[8]Berechnungen BVerfG'!H$2),'[8]Berechnungen BVerfG'!H$12,IF($K19&gt;INT('[8]Berechnungen BVerfG'!H$2),'[8]Berechnungen BVerfG'!H$12*(1+'[8]Berechnungen BVerfG'!H$9)^(IF($K19-'[8]Berechnungen BVerfG'!H$5&lt;=0,0,$K19-IF('[8]Berechnungen BVerfG'!H$5&lt;'[8]Berechnungen BVerfG'!H$2,'[8]Berechnungen BVerfG'!H$2,'[8]Berechnungen BVerfG'!H$5))),0))),0)</f>
        <v>0</v>
      </c>
      <c r="M19" s="2081">
        <f>IFERROR(IF(K19&lt;INT('[8]Berechnungen BVerfG'!I$5),0,IF(K19=INT('[8]Berechnungen BVerfG'!I$2),'[8]Berechnungen BVerfG'!I$12,IF(K19&gt;INT('[8]Berechnungen BVerfG'!I$2),'[8]Berechnungen BVerfG'!I$12*(1+'[8]Berechnungen BVerfG'!I$9)^(IF(K19-'[8]Berechnungen BVerfG'!I$5&lt;=0,0,K19-IF('[8]Berechnungen BVerfG'!I$5&lt;'[8]Berechnungen BVerfG'!I$2,'[8]Berechnungen BVerfG'!I$2,'[8]Berechnungen BVerfG'!I$5))),0))),0)</f>
        <v>0</v>
      </c>
      <c r="N19" s="2081">
        <f>IFERROR(IF($K19&lt;INT('[8]Berechnungen BVerfG'!J$5),0,IF($K19=INT('[8]Berechnungen BVerfG'!J$2),'[8]Berechnungen BVerfG'!J$12,IF($K19&gt;INT('[8]Berechnungen BVerfG'!J$2),'[8]Berechnungen BVerfG'!J$12*(1+'[8]Berechnungen BVerfG'!J$9)^(IF($K19-'[8]Berechnungen BVerfG'!J$5&lt;=0,0,$K19-IF('[8]Berechnungen BVerfG'!J$5&lt;'[8]Berechnungen BVerfG'!J$2,'[8]Berechnungen BVerfG'!J$2,'[8]Berechnungen BVerfG'!K$5))),0))),0)</f>
        <v>0</v>
      </c>
      <c r="O19" s="2081">
        <f>IFERROR(IF($K19&lt;INT('[8]Berechnungen BVerfG'!K$5),0,IF($K19=INT('[8]Berechnungen BVerfG'!K$2),'[8]Berechnungen BVerfG'!K$12,IF($K19&gt;INT('[8]Berechnungen BVerfG'!K$2),'[8]Berechnungen BVerfG'!K$12*(1+'[8]Berechnungen BVerfG'!K$9)^(IF($K19-'[8]Berechnungen BVerfG'!K$5&lt;=0,0,$K19-IF('[8]Berechnungen BVerfG'!K$5&lt;'[8]Berechnungen BVerfG'!K$2,'[8]Berechnungen BVerfG'!K$2,'[8]Berechnungen BVerfG'!K$5))),0))),0)</f>
        <v>0</v>
      </c>
      <c r="P19" s="95">
        <f t="shared" si="1"/>
        <v>0</v>
      </c>
    </row>
    <row r="20" spans="1:16">
      <c r="A20" s="2080" t="e">
        <f>IF(PflGesamt,IF(GesVersrgPfl,SUM([8]!Tabelle2[[#This Row],[Spalte2]:[Spalte8]]),0),0)</f>
        <v>#REF!</v>
      </c>
      <c r="B20" s="2080" t="e">
        <f>IF(BerGesamt,SUM('[8]Berechnungen BVerfG'!P20:R20)+'[8]Berechnungen BVerfG'!N20,0)</f>
        <v>#REF!</v>
      </c>
      <c r="C20" s="2080">
        <f t="shared" si="0"/>
        <v>0</v>
      </c>
      <c r="D20" s="2080" t="e">
        <f>SUM('[8]Berechnungen BVerfG'!P20:R20)+'[8]Berechnungen BVerfG'!N20</f>
        <v>#REF!</v>
      </c>
      <c r="K20" t="e">
        <f>+[8]!Tabelle2[[#This Row],[Alter]]</f>
        <v>#REF!</v>
      </c>
      <c r="L20" s="95">
        <f>IFERROR(IF($K20&lt;INT('[8]Berechnungen BVerfG'!H$5),0,IF($K20=INT('[8]Berechnungen BVerfG'!H$2),'[8]Berechnungen BVerfG'!H$12,IF($K20&gt;INT('[8]Berechnungen BVerfG'!H$2),'[8]Berechnungen BVerfG'!H$12*(1+'[8]Berechnungen BVerfG'!H$9)^(IF($K20-'[8]Berechnungen BVerfG'!H$5&lt;=0,0,$K20-IF('[8]Berechnungen BVerfG'!H$5&lt;'[8]Berechnungen BVerfG'!H$2,'[8]Berechnungen BVerfG'!H$2,'[8]Berechnungen BVerfG'!H$5))),0))),0)</f>
        <v>0</v>
      </c>
      <c r="M20" s="2081">
        <f>IFERROR(IF(K20&lt;INT('[8]Berechnungen BVerfG'!I$5),0,IF(K20=INT('[8]Berechnungen BVerfG'!I$2),'[8]Berechnungen BVerfG'!I$12,IF(K20&gt;INT('[8]Berechnungen BVerfG'!I$2),'[8]Berechnungen BVerfG'!I$12*(1+'[8]Berechnungen BVerfG'!I$9)^(IF(K20-'[8]Berechnungen BVerfG'!I$5&lt;=0,0,K20-IF('[8]Berechnungen BVerfG'!I$5&lt;'[8]Berechnungen BVerfG'!I$2,'[8]Berechnungen BVerfG'!I$2,'[8]Berechnungen BVerfG'!I$5))),0))),0)</f>
        <v>0</v>
      </c>
      <c r="N20" s="2081">
        <f>IFERROR(IF($K20&lt;INT('[8]Berechnungen BVerfG'!J$5),0,IF($K20=INT('[8]Berechnungen BVerfG'!J$2),'[8]Berechnungen BVerfG'!J$12,IF($K20&gt;INT('[8]Berechnungen BVerfG'!J$2),'[8]Berechnungen BVerfG'!J$12*(1+'[8]Berechnungen BVerfG'!J$9)^(IF($K20-'[8]Berechnungen BVerfG'!J$5&lt;=0,0,$K20-IF('[8]Berechnungen BVerfG'!J$5&lt;'[8]Berechnungen BVerfG'!J$2,'[8]Berechnungen BVerfG'!J$2,'[8]Berechnungen BVerfG'!K$5))),0))),0)</f>
        <v>0</v>
      </c>
      <c r="O20" s="2081">
        <f>IFERROR(IF($K20&lt;INT('[8]Berechnungen BVerfG'!K$5),0,IF($K20=INT('[8]Berechnungen BVerfG'!K$2),'[8]Berechnungen BVerfG'!K$12,IF($K20&gt;INT('[8]Berechnungen BVerfG'!K$2),'[8]Berechnungen BVerfG'!K$12*(1+'[8]Berechnungen BVerfG'!K$9)^(IF($K20-'[8]Berechnungen BVerfG'!K$5&lt;=0,0,$K20-IF('[8]Berechnungen BVerfG'!K$5&lt;'[8]Berechnungen BVerfG'!K$2,'[8]Berechnungen BVerfG'!K$2,'[8]Berechnungen BVerfG'!K$5))),0))),0)</f>
        <v>0</v>
      </c>
      <c r="P20" s="95">
        <f t="shared" si="1"/>
        <v>0</v>
      </c>
    </row>
    <row r="21" spans="1:16">
      <c r="A21" s="2080" t="e">
        <f>IF(PflGesamt,IF(GesVersrgPfl,SUM([8]!Tabelle2[[#This Row],[Spalte2]:[Spalte8]]),0),0)</f>
        <v>#REF!</v>
      </c>
      <c r="B21" s="2080" t="e">
        <f>IF(BerGesamt,SUM('[8]Berechnungen BVerfG'!P21:R21)+'[8]Berechnungen BVerfG'!N21,0)</f>
        <v>#REF!</v>
      </c>
      <c r="C21" s="2080">
        <f t="shared" si="0"/>
        <v>0</v>
      </c>
      <c r="D21" s="2080" t="e">
        <f>SUM('[8]Berechnungen BVerfG'!P21:R21)+'[8]Berechnungen BVerfG'!N21</f>
        <v>#REF!</v>
      </c>
      <c r="K21" t="e">
        <f>+[8]!Tabelle2[[#This Row],[Alter]]</f>
        <v>#REF!</v>
      </c>
      <c r="L21" s="95">
        <f>IFERROR(IF($K21&lt;INT('[8]Berechnungen BVerfG'!H$5),0,IF($K21=INT('[8]Berechnungen BVerfG'!H$2),'[8]Berechnungen BVerfG'!H$12,IF($K21&gt;INT('[8]Berechnungen BVerfG'!H$2),'[8]Berechnungen BVerfG'!H$12*(1+'[8]Berechnungen BVerfG'!H$9)^(IF($K21-'[8]Berechnungen BVerfG'!H$5&lt;=0,0,$K21-IF('[8]Berechnungen BVerfG'!H$5&lt;'[8]Berechnungen BVerfG'!H$2,'[8]Berechnungen BVerfG'!H$2,'[8]Berechnungen BVerfG'!H$5))),0))),0)</f>
        <v>0</v>
      </c>
      <c r="M21" s="2081">
        <f>IFERROR(IF(K21&lt;INT('[8]Berechnungen BVerfG'!I$5),0,IF(K21=INT('[8]Berechnungen BVerfG'!I$2),'[8]Berechnungen BVerfG'!I$12,IF(K21&gt;INT('[8]Berechnungen BVerfG'!I$2),'[8]Berechnungen BVerfG'!I$12*(1+'[8]Berechnungen BVerfG'!I$9)^(IF(K21-'[8]Berechnungen BVerfG'!I$5&lt;=0,0,K21-IF('[8]Berechnungen BVerfG'!I$5&lt;'[8]Berechnungen BVerfG'!I$2,'[8]Berechnungen BVerfG'!I$2,'[8]Berechnungen BVerfG'!I$5))),0))),0)</f>
        <v>0</v>
      </c>
      <c r="N21" s="2081">
        <f>IFERROR(IF($K21&lt;INT('[8]Berechnungen BVerfG'!J$5),0,IF($K21=INT('[8]Berechnungen BVerfG'!J$2),'[8]Berechnungen BVerfG'!J$12,IF($K21&gt;INT('[8]Berechnungen BVerfG'!J$2),'[8]Berechnungen BVerfG'!J$12*(1+'[8]Berechnungen BVerfG'!J$9)^(IF($K21-'[8]Berechnungen BVerfG'!J$5&lt;=0,0,$K21-IF('[8]Berechnungen BVerfG'!J$5&lt;'[8]Berechnungen BVerfG'!J$2,'[8]Berechnungen BVerfG'!J$2,'[8]Berechnungen BVerfG'!K$5))),0))),0)</f>
        <v>0</v>
      </c>
      <c r="O21" s="2081">
        <f>IFERROR(IF($K21&lt;INT('[8]Berechnungen BVerfG'!K$5),0,IF($K21=INT('[8]Berechnungen BVerfG'!K$2),'[8]Berechnungen BVerfG'!K$12,IF($K21&gt;INT('[8]Berechnungen BVerfG'!K$2),'[8]Berechnungen BVerfG'!K$12*(1+'[8]Berechnungen BVerfG'!K$9)^(IF($K21-'[8]Berechnungen BVerfG'!K$5&lt;=0,0,$K21-IF('[8]Berechnungen BVerfG'!K$5&lt;'[8]Berechnungen BVerfG'!K$2,'[8]Berechnungen BVerfG'!K$2,'[8]Berechnungen BVerfG'!K$5))),0))),0)</f>
        <v>0</v>
      </c>
      <c r="P21" s="95">
        <f t="shared" si="1"/>
        <v>0</v>
      </c>
    </row>
    <row r="22" spans="1:16">
      <c r="A22" s="2080" t="e">
        <f>IF(PflGesamt,IF(GesVersrgPfl,SUM([8]!Tabelle2[[#This Row],[Spalte2]:[Spalte8]]),0),0)</f>
        <v>#REF!</v>
      </c>
      <c r="B22" s="2080" t="e">
        <f>IF(BerGesamt,SUM('[8]Berechnungen BVerfG'!P22:R22)+'[8]Berechnungen BVerfG'!N22,0)</f>
        <v>#REF!</v>
      </c>
      <c r="C22" s="2080">
        <f t="shared" si="0"/>
        <v>0</v>
      </c>
      <c r="D22" s="2080" t="e">
        <f>SUM('[8]Berechnungen BVerfG'!P22:R22)+'[8]Berechnungen BVerfG'!N22</f>
        <v>#REF!</v>
      </c>
      <c r="F22">
        <v>1</v>
      </c>
      <c r="G22">
        <v>2</v>
      </c>
      <c r="H22">
        <v>3</v>
      </c>
      <c r="I22">
        <v>4</v>
      </c>
      <c r="K22" t="e">
        <f>+[8]!Tabelle2[[#This Row],[Alter]]</f>
        <v>#REF!</v>
      </c>
      <c r="L22" s="95">
        <f>IFERROR(IF($K22&lt;INT('[8]Berechnungen BVerfG'!H$5),0,IF($K22=INT('[8]Berechnungen BVerfG'!H$2),'[8]Berechnungen BVerfG'!H$12,IF($K22&gt;INT('[8]Berechnungen BVerfG'!H$2),'[8]Berechnungen BVerfG'!H$12*(1+'[8]Berechnungen BVerfG'!H$9)^(IF($K22-'[8]Berechnungen BVerfG'!H$5&lt;=0,0,$K22-IF('[8]Berechnungen BVerfG'!H$5&lt;'[8]Berechnungen BVerfG'!H$2,'[8]Berechnungen BVerfG'!H$2,'[8]Berechnungen BVerfG'!H$5))),0))),0)</f>
        <v>0</v>
      </c>
      <c r="M22" s="2081">
        <f>IFERROR(IF(K22&lt;INT('[8]Berechnungen BVerfG'!I$5),0,IF(K22=INT('[8]Berechnungen BVerfG'!I$2),'[8]Berechnungen BVerfG'!I$12,IF(K22&gt;INT('[8]Berechnungen BVerfG'!I$2),'[8]Berechnungen BVerfG'!I$12*(1+'[8]Berechnungen BVerfG'!I$9)^(IF(K22-'[8]Berechnungen BVerfG'!I$5&lt;=0,0,K22-IF('[8]Berechnungen BVerfG'!I$5&lt;'[8]Berechnungen BVerfG'!I$2,'[8]Berechnungen BVerfG'!I$2,'[8]Berechnungen BVerfG'!I$5))),0))),0)</f>
        <v>0</v>
      </c>
      <c r="N22" s="2081">
        <f>IFERROR(IF($K22&lt;INT('[8]Berechnungen BVerfG'!J$5),0,IF($K22=INT('[8]Berechnungen BVerfG'!J$2),'[8]Berechnungen BVerfG'!J$12,IF($K22&gt;INT('[8]Berechnungen BVerfG'!J$2),'[8]Berechnungen BVerfG'!J$12*(1+'[8]Berechnungen BVerfG'!J$9)^(IF($K22-'[8]Berechnungen BVerfG'!J$5&lt;=0,0,$K22-IF('[8]Berechnungen BVerfG'!J$5&lt;'[8]Berechnungen BVerfG'!J$2,'[8]Berechnungen BVerfG'!J$2,'[8]Berechnungen BVerfG'!K$5))),0))),0)</f>
        <v>0</v>
      </c>
      <c r="O22" s="2081">
        <f>IFERROR(IF($K22&lt;INT('[8]Berechnungen BVerfG'!K$5),0,IF($K22=INT('[8]Berechnungen BVerfG'!K$2),'[8]Berechnungen BVerfG'!K$12,IF($K22&gt;INT('[8]Berechnungen BVerfG'!K$2),'[8]Berechnungen BVerfG'!K$12*(1+'[8]Berechnungen BVerfG'!K$9)^(IF($K22-'[8]Berechnungen BVerfG'!K$5&lt;=0,0,$K22-IF('[8]Berechnungen BVerfG'!K$5&lt;'[8]Berechnungen BVerfG'!K$2,'[8]Berechnungen BVerfG'!K$2,'[8]Berechnungen BVerfG'!K$5))),0))),0)</f>
        <v>0</v>
      </c>
      <c r="P22" s="95">
        <f t="shared" si="1"/>
        <v>0</v>
      </c>
    </row>
    <row r="23" spans="1:16">
      <c r="A23" s="2080" t="e">
        <f>IF(PflGesamt,IF(GesVersrgPfl,SUM([8]!Tabelle2[[#This Row],[Spalte2]:[Spalte8]]),0),0)</f>
        <v>#REF!</v>
      </c>
      <c r="B23" s="2080" t="e">
        <f>IF(BerGesamt,SUM('[8]Berechnungen BVerfG'!P23:R23)+'[8]Berechnungen BVerfG'!N23,0)</f>
        <v>#REF!</v>
      </c>
      <c r="C23" s="2080">
        <f t="shared" si="0"/>
        <v>0</v>
      </c>
      <c r="D23" s="2080" t="e">
        <f>SUM('[8]Berechnungen BVerfG'!P23:R23)+'[8]Berechnungen BVerfG'!N23</f>
        <v>#REF!</v>
      </c>
      <c r="F23" s="491">
        <f>Adaequanz_errechneterKapWert</f>
        <v>0</v>
      </c>
      <c r="G23" s="491" t="e">
        <f>+'[8]BVerfG 1 BvL 5-18'!E20</f>
        <v>#REF!</v>
      </c>
      <c r="H23" s="491" t="e">
        <f>+'[8]BVerfG 1 BvL 5-18'!F20</f>
        <v>#REF!</v>
      </c>
      <c r="I23" s="491" t="e">
        <f>+'[8]BVerfG 1 BvL 5-18'!G20</f>
        <v>#REF!</v>
      </c>
      <c r="J23" s="157" t="e">
        <f>SUM(F23:I23)</f>
        <v>#REF!</v>
      </c>
      <c r="K23" t="e">
        <f>+[8]!Tabelle2[[#This Row],[Alter]]</f>
        <v>#REF!</v>
      </c>
      <c r="L23" s="95">
        <f>IFERROR(IF($K23&lt;INT('[8]Berechnungen BVerfG'!H$5),0,IF($K23=INT('[8]Berechnungen BVerfG'!H$2),'[8]Berechnungen BVerfG'!H$12,IF($K23&gt;INT('[8]Berechnungen BVerfG'!H$2),'[8]Berechnungen BVerfG'!H$12*(1+'[8]Berechnungen BVerfG'!H$9)^(IF($K23-'[8]Berechnungen BVerfG'!H$5&lt;=0,0,$K23-IF('[8]Berechnungen BVerfG'!H$5&lt;'[8]Berechnungen BVerfG'!H$2,'[8]Berechnungen BVerfG'!H$2,'[8]Berechnungen BVerfG'!H$5))),0))),0)</f>
        <v>0</v>
      </c>
      <c r="M23" s="2081">
        <f>IFERROR(IF(K23&lt;INT('[8]Berechnungen BVerfG'!I$5),0,IF(K23=INT('[8]Berechnungen BVerfG'!I$2),'[8]Berechnungen BVerfG'!I$12,IF(K23&gt;INT('[8]Berechnungen BVerfG'!I$2),'[8]Berechnungen BVerfG'!I$12*(1+'[8]Berechnungen BVerfG'!I$9)^(IF(K23-'[8]Berechnungen BVerfG'!I$5&lt;=0,0,K23-IF('[8]Berechnungen BVerfG'!I$5&lt;'[8]Berechnungen BVerfG'!I$2,'[8]Berechnungen BVerfG'!I$2,'[8]Berechnungen BVerfG'!I$5))),0))),0)</f>
        <v>0</v>
      </c>
      <c r="N23" s="2081">
        <f>IFERROR(IF($K23&lt;INT('[8]Berechnungen BVerfG'!J$5),0,IF($K23=INT('[8]Berechnungen BVerfG'!J$2),'[8]Berechnungen BVerfG'!J$12,IF($K23&gt;INT('[8]Berechnungen BVerfG'!J$2),'[8]Berechnungen BVerfG'!J$12*(1+'[8]Berechnungen BVerfG'!J$9)^(IF($K23-'[8]Berechnungen BVerfG'!J$5&lt;=0,0,$K23-IF('[8]Berechnungen BVerfG'!J$5&lt;'[8]Berechnungen BVerfG'!J$2,'[8]Berechnungen BVerfG'!J$2,'[8]Berechnungen BVerfG'!K$5))),0))),0)</f>
        <v>0</v>
      </c>
      <c r="O23" s="2081">
        <f>IFERROR(IF($K23&lt;INT('[8]Berechnungen BVerfG'!K$5),0,IF($K23=INT('[8]Berechnungen BVerfG'!K$2),'[8]Berechnungen BVerfG'!K$12,IF($K23&gt;INT('[8]Berechnungen BVerfG'!K$2),'[8]Berechnungen BVerfG'!K$12*(1+'[8]Berechnungen BVerfG'!K$9)^(IF($K23-'[8]Berechnungen BVerfG'!K$5&lt;=0,0,$K23-IF('[8]Berechnungen BVerfG'!K$5&lt;'[8]Berechnungen BVerfG'!K$2,'[8]Berechnungen BVerfG'!K$2,'[8]Berechnungen BVerfG'!K$5))),0))),0)</f>
        <v>0</v>
      </c>
      <c r="P23" s="95">
        <f t="shared" si="1"/>
        <v>0</v>
      </c>
    </row>
    <row r="24" spans="1:16">
      <c r="A24" s="2080" t="e">
        <f>IF(PflGesamt,IF(GesVersrgPfl,SUM([8]!Tabelle2[[#This Row],[Spalte2]:[Spalte8]]),0),0)</f>
        <v>#REF!</v>
      </c>
      <c r="B24" s="2080" t="e">
        <f>IF(BerGesamt,SUM('[8]Berechnungen BVerfG'!P24:R24)+'[8]Berechnungen BVerfG'!N24,0)</f>
        <v>#REF!</v>
      </c>
      <c r="C24" s="2080">
        <f t="shared" si="0"/>
        <v>0</v>
      </c>
      <c r="D24" s="2080" t="e">
        <f>SUM('[8]Berechnungen BVerfG'!P24:R24)+'[8]Berechnungen BVerfG'!N24</f>
        <v>#REF!</v>
      </c>
      <c r="F24" s="491" t="e">
        <f>'[8]BVerfG 1 BvL 5-18'!I20</f>
        <v>#REF!</v>
      </c>
      <c r="G24" s="491" t="e">
        <f>+'[8]BVerfG 1 BvL 5-18'!H20</f>
        <v>#REF!</v>
      </c>
      <c r="H24" s="491" t="e">
        <f>'[8]BVerfG 1 BvL 5-18'!J20</f>
        <v>#REF!</v>
      </c>
      <c r="I24" s="491" t="e">
        <f>'[8]BVerfG 1 BvL 5-18'!K20</f>
        <v>#REF!</v>
      </c>
      <c r="J24" s="157" t="e">
        <f>SUM(F24:I24)</f>
        <v>#REF!</v>
      </c>
      <c r="K24" t="e">
        <f>+[8]!Tabelle2[[#This Row],[Alter]]</f>
        <v>#REF!</v>
      </c>
      <c r="L24" s="95">
        <f>IFERROR(IF($K24&lt;INT('[8]Berechnungen BVerfG'!H$5),0,IF($K24=INT('[8]Berechnungen BVerfG'!H$2),'[8]Berechnungen BVerfG'!H$12,IF($K24&gt;INT('[8]Berechnungen BVerfG'!H$2),'[8]Berechnungen BVerfG'!H$12*(1+'[8]Berechnungen BVerfG'!H$9)^(IF($K24-'[8]Berechnungen BVerfG'!H$5&lt;=0,0,$K24-IF('[8]Berechnungen BVerfG'!H$5&lt;'[8]Berechnungen BVerfG'!H$2,'[8]Berechnungen BVerfG'!H$2,'[8]Berechnungen BVerfG'!H$5))),0))),0)</f>
        <v>0</v>
      </c>
      <c r="M24" s="2081">
        <f>IFERROR(IF(K24&lt;INT('[8]Berechnungen BVerfG'!I$5),0,IF(K24=INT('[8]Berechnungen BVerfG'!I$2),'[8]Berechnungen BVerfG'!I$12,IF(K24&gt;INT('[8]Berechnungen BVerfG'!I$2),'[8]Berechnungen BVerfG'!I$12*(1+'[8]Berechnungen BVerfG'!I$9)^(IF(K24-'[8]Berechnungen BVerfG'!I$5&lt;=0,0,K24-IF('[8]Berechnungen BVerfG'!I$5&lt;'[8]Berechnungen BVerfG'!I$2,'[8]Berechnungen BVerfG'!I$2,'[8]Berechnungen BVerfG'!I$5))),0))),0)</f>
        <v>0</v>
      </c>
      <c r="N24" s="2081">
        <f>IFERROR(IF($K24&lt;INT('[8]Berechnungen BVerfG'!J$5),0,IF($K24=INT('[8]Berechnungen BVerfG'!J$2),'[8]Berechnungen BVerfG'!J$12,IF($K24&gt;INT('[8]Berechnungen BVerfG'!J$2),'[8]Berechnungen BVerfG'!J$12*(1+'[8]Berechnungen BVerfG'!J$9)^(IF($K24-'[8]Berechnungen BVerfG'!J$5&lt;=0,0,$K24-IF('[8]Berechnungen BVerfG'!J$5&lt;'[8]Berechnungen BVerfG'!J$2,'[8]Berechnungen BVerfG'!J$2,'[8]Berechnungen BVerfG'!K$5))),0))),0)</f>
        <v>0</v>
      </c>
      <c r="O24" s="2081">
        <f>IFERROR(IF($K24&lt;INT('[8]Berechnungen BVerfG'!K$5),0,IF($K24=INT('[8]Berechnungen BVerfG'!K$2),'[8]Berechnungen BVerfG'!K$12,IF($K24&gt;INT('[8]Berechnungen BVerfG'!K$2),'[8]Berechnungen BVerfG'!K$12*(1+'[8]Berechnungen BVerfG'!K$9)^(IF($K24-'[8]Berechnungen BVerfG'!K$5&lt;=0,0,$K24-IF('[8]Berechnungen BVerfG'!K$5&lt;'[8]Berechnungen BVerfG'!K$2,'[8]Berechnungen BVerfG'!K$2,'[8]Berechnungen BVerfG'!K$5))),0))),0)</f>
        <v>0</v>
      </c>
      <c r="P24" s="95">
        <f t="shared" si="1"/>
        <v>0</v>
      </c>
    </row>
    <row r="25" spans="1:16">
      <c r="A25" s="2080" t="e">
        <f>IF(PflGesamt,IF(GesVersrgPfl,SUM([8]!Tabelle2[[#This Row],[Spalte2]:[Spalte8]]),0),0)</f>
        <v>#REF!</v>
      </c>
      <c r="B25" s="2080" t="e">
        <f>IF(BerGesamt,SUM('[8]Berechnungen BVerfG'!P25:R25)+'[8]Berechnungen BVerfG'!N25,0)</f>
        <v>#REF!</v>
      </c>
      <c r="C25" s="2080">
        <f t="shared" si="0"/>
        <v>0</v>
      </c>
      <c r="D25" s="2080" t="e">
        <f>SUM('[8]Berechnungen BVerfG'!P25:R25)+'[8]Berechnungen BVerfG'!N25</f>
        <v>#REF!</v>
      </c>
      <c r="K25" t="e">
        <f>+[8]!Tabelle2[[#This Row],[Alter]]</f>
        <v>#REF!</v>
      </c>
      <c r="L25" s="95">
        <f>IFERROR(IF($K25&lt;INT('[8]Berechnungen BVerfG'!H$5),0,IF($K25=INT('[8]Berechnungen BVerfG'!H$2),'[8]Berechnungen BVerfG'!H$12,IF($K25&gt;INT('[8]Berechnungen BVerfG'!H$2),'[8]Berechnungen BVerfG'!H$12*(1+'[8]Berechnungen BVerfG'!H$9)^(IF($K25-'[8]Berechnungen BVerfG'!H$5&lt;=0,0,$K25-IF('[8]Berechnungen BVerfG'!H$5&lt;'[8]Berechnungen BVerfG'!H$2,'[8]Berechnungen BVerfG'!H$2,'[8]Berechnungen BVerfG'!H$5))),0))),0)</f>
        <v>0</v>
      </c>
      <c r="M25" s="2081">
        <f>IFERROR(IF(K25&lt;INT('[8]Berechnungen BVerfG'!I$5),0,IF(K25=INT('[8]Berechnungen BVerfG'!I$2),'[8]Berechnungen BVerfG'!I$12,IF(K25&gt;INT('[8]Berechnungen BVerfG'!I$2),'[8]Berechnungen BVerfG'!I$12*(1+'[8]Berechnungen BVerfG'!I$9)^(IF(K25-'[8]Berechnungen BVerfG'!I$5&lt;=0,0,K25-IF('[8]Berechnungen BVerfG'!I$5&lt;'[8]Berechnungen BVerfG'!I$2,'[8]Berechnungen BVerfG'!I$2,'[8]Berechnungen BVerfG'!I$5))),0))),0)</f>
        <v>0</v>
      </c>
      <c r="N25" s="2081">
        <f>IFERROR(IF($K25&lt;INT('[8]Berechnungen BVerfG'!J$5),0,IF($K25=INT('[8]Berechnungen BVerfG'!J$2),'[8]Berechnungen BVerfG'!J$12,IF($K25&gt;INT('[8]Berechnungen BVerfG'!J$2),'[8]Berechnungen BVerfG'!J$12*(1+'[8]Berechnungen BVerfG'!J$9)^(IF($K25-'[8]Berechnungen BVerfG'!J$5&lt;=0,0,$K25-IF('[8]Berechnungen BVerfG'!J$5&lt;'[8]Berechnungen BVerfG'!J$2,'[8]Berechnungen BVerfG'!J$2,'[8]Berechnungen BVerfG'!K$5))),0))),0)</f>
        <v>0</v>
      </c>
      <c r="O25" s="2081">
        <f>IFERROR(IF($K25&lt;INT('[8]Berechnungen BVerfG'!K$5),0,IF($K25=INT('[8]Berechnungen BVerfG'!K$2),'[8]Berechnungen BVerfG'!K$12,IF($K25&gt;INT('[8]Berechnungen BVerfG'!K$2),'[8]Berechnungen BVerfG'!K$12*(1+'[8]Berechnungen BVerfG'!K$9)^(IF($K25-'[8]Berechnungen BVerfG'!K$5&lt;=0,0,$K25-IF('[8]Berechnungen BVerfG'!K$5&lt;'[8]Berechnungen BVerfG'!K$2,'[8]Berechnungen BVerfG'!K$2,'[8]Berechnungen BVerfG'!K$5))),0))),0)</f>
        <v>0</v>
      </c>
      <c r="P25" s="95">
        <f t="shared" si="1"/>
        <v>0</v>
      </c>
    </row>
    <row r="26" spans="1:16">
      <c r="A26" s="2080" t="e">
        <f>IF(PflGesamt,IF(GesVersrgPfl,SUM([8]!Tabelle2[[#This Row],[Spalte2]:[Spalte8]]),0),0)</f>
        <v>#REF!</v>
      </c>
      <c r="B26" s="2080" t="e">
        <f>IF(BerGesamt,SUM('[8]Berechnungen BVerfG'!P26:R26)+'[8]Berechnungen BVerfG'!N26,0)</f>
        <v>#REF!</v>
      </c>
      <c r="C26" s="2080">
        <f t="shared" si="0"/>
        <v>0</v>
      </c>
      <c r="D26" s="2080" t="e">
        <f>SUM('[8]Berechnungen BVerfG'!P26:R26)+'[8]Berechnungen BVerfG'!N26</f>
        <v>#REF!</v>
      </c>
      <c r="F26" s="491">
        <f>Adaequanz_errechneterKapWert</f>
        <v>0</v>
      </c>
      <c r="G26" s="491" t="e">
        <f>+F24</f>
        <v>#REF!</v>
      </c>
      <c r="K26" t="e">
        <f>+[8]!Tabelle2[[#This Row],[Alter]]</f>
        <v>#REF!</v>
      </c>
      <c r="L26" s="95">
        <f>IFERROR(IF($K26&lt;INT('[8]Berechnungen BVerfG'!H$5),0,IF($K26=INT('[8]Berechnungen BVerfG'!H$2),'[8]Berechnungen BVerfG'!H$12,IF($K26&gt;INT('[8]Berechnungen BVerfG'!H$2),'[8]Berechnungen BVerfG'!H$12*(1+'[8]Berechnungen BVerfG'!H$9)^(IF($K26-'[8]Berechnungen BVerfG'!H$5&lt;=0,0,$K26-IF('[8]Berechnungen BVerfG'!H$5&lt;'[8]Berechnungen BVerfG'!H$2,'[8]Berechnungen BVerfG'!H$2,'[8]Berechnungen BVerfG'!H$5))),0))),0)</f>
        <v>0</v>
      </c>
      <c r="M26" s="2081">
        <f>IFERROR(IF(K26&lt;INT('[8]Berechnungen BVerfG'!I$5),0,IF(K26=INT('[8]Berechnungen BVerfG'!I$2),'[8]Berechnungen BVerfG'!I$12,IF(K26&gt;INT('[8]Berechnungen BVerfG'!I$2),'[8]Berechnungen BVerfG'!I$12*(1+'[8]Berechnungen BVerfG'!I$9)^(IF(K26-'[8]Berechnungen BVerfG'!I$5&lt;=0,0,K26-IF('[8]Berechnungen BVerfG'!I$5&lt;'[8]Berechnungen BVerfG'!I$2,'[8]Berechnungen BVerfG'!I$2,'[8]Berechnungen BVerfG'!I$5))),0))),0)</f>
        <v>0</v>
      </c>
      <c r="N26" s="2081">
        <f>IFERROR(IF($K26&lt;INT('[8]Berechnungen BVerfG'!J$5),0,IF($K26=INT('[8]Berechnungen BVerfG'!J$2),'[8]Berechnungen BVerfG'!J$12,IF($K26&gt;INT('[8]Berechnungen BVerfG'!J$2),'[8]Berechnungen BVerfG'!J$12*(1+'[8]Berechnungen BVerfG'!J$9)^(IF($K26-'[8]Berechnungen BVerfG'!J$5&lt;=0,0,$K26-IF('[8]Berechnungen BVerfG'!J$5&lt;'[8]Berechnungen BVerfG'!J$2,'[8]Berechnungen BVerfG'!J$2,'[8]Berechnungen BVerfG'!K$5))),0))),0)</f>
        <v>0</v>
      </c>
      <c r="O26" s="2081">
        <f>IFERROR(IF($K26&lt;INT('[8]Berechnungen BVerfG'!K$5),0,IF($K26=INT('[8]Berechnungen BVerfG'!K$2),'[8]Berechnungen BVerfG'!K$12,IF($K26&gt;INT('[8]Berechnungen BVerfG'!K$2),'[8]Berechnungen BVerfG'!K$12*(1+'[8]Berechnungen BVerfG'!K$9)^(IF($K26-'[8]Berechnungen BVerfG'!K$5&lt;=0,0,$K26-IF('[8]Berechnungen BVerfG'!K$5&lt;'[8]Berechnungen BVerfG'!K$2,'[8]Berechnungen BVerfG'!K$2,'[8]Berechnungen BVerfG'!K$5))),0))),0)</f>
        <v>0</v>
      </c>
      <c r="P26" s="95">
        <f t="shared" si="1"/>
        <v>0</v>
      </c>
    </row>
    <row r="27" spans="1:16">
      <c r="A27" s="2080" t="e">
        <f>IF(PflGesamt,IF(GesVersrgPfl,SUM([8]!Tabelle2[[#This Row],[Spalte2]:[Spalte8]]),0),0)</f>
        <v>#REF!</v>
      </c>
      <c r="B27" s="2080" t="e">
        <f>IF(BerGesamt,SUM('[8]Berechnungen BVerfG'!P27:R27)+'[8]Berechnungen BVerfG'!N27,0)</f>
        <v>#REF!</v>
      </c>
      <c r="C27" s="2080">
        <f t="shared" si="0"/>
        <v>0</v>
      </c>
      <c r="D27" s="2080" t="e">
        <f>SUM('[8]Berechnungen BVerfG'!P27:R27)+'[8]Berechnungen BVerfG'!N27</f>
        <v>#REF!</v>
      </c>
      <c r="F27" s="491" t="e">
        <f>+G23</f>
        <v>#REF!</v>
      </c>
      <c r="G27" s="491" t="e">
        <f>+G24</f>
        <v>#REF!</v>
      </c>
      <c r="K27" t="e">
        <f>+[8]!Tabelle2[[#This Row],[Alter]]</f>
        <v>#REF!</v>
      </c>
      <c r="L27" s="95">
        <f>IFERROR(IF($K27&lt;INT('[8]Berechnungen BVerfG'!H$5),0,IF($K27=INT('[8]Berechnungen BVerfG'!H$2),'[8]Berechnungen BVerfG'!H$12,IF($K27&gt;INT('[8]Berechnungen BVerfG'!H$2),'[8]Berechnungen BVerfG'!H$12*(1+'[8]Berechnungen BVerfG'!H$9)^(IF($K27-'[8]Berechnungen BVerfG'!H$5&lt;=0,0,$K27-IF('[8]Berechnungen BVerfG'!H$5&lt;'[8]Berechnungen BVerfG'!H$2,'[8]Berechnungen BVerfG'!H$2,'[8]Berechnungen BVerfG'!H$5))),0))),0)</f>
        <v>0</v>
      </c>
      <c r="M27" s="2081">
        <f>IFERROR(IF(K27&lt;INT('[8]Berechnungen BVerfG'!I$5),0,IF(K27=INT('[8]Berechnungen BVerfG'!I$2),'[8]Berechnungen BVerfG'!I$12,IF(K27&gt;INT('[8]Berechnungen BVerfG'!I$2),'[8]Berechnungen BVerfG'!I$12*(1+'[8]Berechnungen BVerfG'!I$9)^(IF(K27-'[8]Berechnungen BVerfG'!I$5&lt;=0,0,K27-IF('[8]Berechnungen BVerfG'!I$5&lt;'[8]Berechnungen BVerfG'!I$2,'[8]Berechnungen BVerfG'!I$2,'[8]Berechnungen BVerfG'!I$5))),0))),0)</f>
        <v>0</v>
      </c>
      <c r="N27" s="2081">
        <f>IFERROR(IF($K27&lt;INT('[8]Berechnungen BVerfG'!J$5),0,IF($K27=INT('[8]Berechnungen BVerfG'!J$2),'[8]Berechnungen BVerfG'!J$12,IF($K27&gt;INT('[8]Berechnungen BVerfG'!J$2),'[8]Berechnungen BVerfG'!J$12*(1+'[8]Berechnungen BVerfG'!J$9)^(IF($K27-'[8]Berechnungen BVerfG'!J$5&lt;=0,0,$K27-IF('[8]Berechnungen BVerfG'!J$5&lt;'[8]Berechnungen BVerfG'!J$2,'[8]Berechnungen BVerfG'!J$2,'[8]Berechnungen BVerfG'!K$5))),0))),0)</f>
        <v>0</v>
      </c>
      <c r="O27" s="2081">
        <f>IFERROR(IF($K27&lt;INT('[8]Berechnungen BVerfG'!K$5),0,IF($K27=INT('[8]Berechnungen BVerfG'!K$2),'[8]Berechnungen BVerfG'!K$12,IF($K27&gt;INT('[8]Berechnungen BVerfG'!K$2),'[8]Berechnungen BVerfG'!K$12*(1+'[8]Berechnungen BVerfG'!K$9)^(IF($K27-'[8]Berechnungen BVerfG'!K$5&lt;=0,0,$K27-IF('[8]Berechnungen BVerfG'!K$5&lt;'[8]Berechnungen BVerfG'!K$2,'[8]Berechnungen BVerfG'!K$2,'[8]Berechnungen BVerfG'!K$5))),0))),0)</f>
        <v>0</v>
      </c>
      <c r="P27" s="95">
        <f t="shared" si="1"/>
        <v>0</v>
      </c>
    </row>
    <row r="28" spans="1:16">
      <c r="A28" s="2080" t="e">
        <f>IF(PflGesamt,IF(GesVersrgPfl,SUM([8]!Tabelle2[[#This Row],[Spalte2]:[Spalte8]]),0),0)</f>
        <v>#REF!</v>
      </c>
      <c r="B28" s="2080" t="e">
        <f>IF(BerGesamt,SUM('[8]Berechnungen BVerfG'!P28:R28)+'[8]Berechnungen BVerfG'!N28,0)</f>
        <v>#REF!</v>
      </c>
      <c r="C28" s="2080">
        <f t="shared" si="0"/>
        <v>0</v>
      </c>
      <c r="D28" s="2080" t="e">
        <f>SUM('[8]Berechnungen BVerfG'!P28:R28)+'[8]Berechnungen BVerfG'!N28</f>
        <v>#REF!</v>
      </c>
      <c r="F28" s="491" t="e">
        <f>+H23</f>
        <v>#REF!</v>
      </c>
      <c r="G28" s="491" t="e">
        <f>+H24</f>
        <v>#REF!</v>
      </c>
      <c r="K28" t="e">
        <f>+[8]!Tabelle2[[#This Row],[Alter]]</f>
        <v>#REF!</v>
      </c>
      <c r="L28" s="95">
        <f>IFERROR(IF($K28&lt;INT('[8]Berechnungen BVerfG'!H$5),0,IF($K28=INT('[8]Berechnungen BVerfG'!H$2),'[8]Berechnungen BVerfG'!H$12,IF($K28&gt;INT('[8]Berechnungen BVerfG'!H$2),'[8]Berechnungen BVerfG'!H$12*(1+'[8]Berechnungen BVerfG'!H$9)^(IF($K28-'[8]Berechnungen BVerfG'!H$5&lt;=0,0,$K28-IF('[8]Berechnungen BVerfG'!H$5&lt;'[8]Berechnungen BVerfG'!H$2,'[8]Berechnungen BVerfG'!H$2,'[8]Berechnungen BVerfG'!H$5))),0))),0)</f>
        <v>0</v>
      </c>
      <c r="M28" s="2081">
        <f>IFERROR(IF(K28&lt;INT('[8]Berechnungen BVerfG'!I$5),0,IF(K28=INT('[8]Berechnungen BVerfG'!I$2),'[8]Berechnungen BVerfG'!I$12,IF(K28&gt;INT('[8]Berechnungen BVerfG'!I$2),'[8]Berechnungen BVerfG'!I$12*(1+'[8]Berechnungen BVerfG'!I$9)^(IF(K28-'[8]Berechnungen BVerfG'!I$5&lt;=0,0,K28-IF('[8]Berechnungen BVerfG'!I$5&lt;'[8]Berechnungen BVerfG'!I$2,'[8]Berechnungen BVerfG'!I$2,'[8]Berechnungen BVerfG'!I$5))),0))),0)</f>
        <v>0</v>
      </c>
      <c r="N28" s="2081">
        <f>IFERROR(IF($K28&lt;INT('[8]Berechnungen BVerfG'!J$5),0,IF($K28=INT('[8]Berechnungen BVerfG'!J$2),'[8]Berechnungen BVerfG'!J$12,IF($K28&gt;INT('[8]Berechnungen BVerfG'!J$2),'[8]Berechnungen BVerfG'!J$12*(1+'[8]Berechnungen BVerfG'!J$9)^(IF($K28-'[8]Berechnungen BVerfG'!J$5&lt;=0,0,$K28-IF('[8]Berechnungen BVerfG'!J$5&lt;'[8]Berechnungen BVerfG'!J$2,'[8]Berechnungen BVerfG'!J$2,'[8]Berechnungen BVerfG'!K$5))),0))),0)</f>
        <v>0</v>
      </c>
      <c r="O28" s="2081">
        <f>IFERROR(IF($K28&lt;INT('[8]Berechnungen BVerfG'!K$5),0,IF($K28=INT('[8]Berechnungen BVerfG'!K$2),'[8]Berechnungen BVerfG'!K$12,IF($K28&gt;INT('[8]Berechnungen BVerfG'!K$2),'[8]Berechnungen BVerfG'!K$12*(1+'[8]Berechnungen BVerfG'!K$9)^(IF($K28-'[8]Berechnungen BVerfG'!K$5&lt;=0,0,$K28-IF('[8]Berechnungen BVerfG'!K$5&lt;'[8]Berechnungen BVerfG'!K$2,'[8]Berechnungen BVerfG'!K$2,'[8]Berechnungen BVerfG'!K$5))),0))),0)</f>
        <v>0</v>
      </c>
      <c r="P28" s="95">
        <f t="shared" si="1"/>
        <v>0</v>
      </c>
    </row>
    <row r="29" spans="1:16">
      <c r="A29" s="2080" t="e">
        <f>IF(PflGesamt,IF(GesVersrgPfl,SUM([8]!Tabelle2[[#This Row],[Spalte2]:[Spalte8]]),0),0)</f>
        <v>#REF!</v>
      </c>
      <c r="B29" s="2080" t="e">
        <f>IF(BerGesamt,SUM('[8]Berechnungen BVerfG'!P29:R29)+'[8]Berechnungen BVerfG'!N29,0)</f>
        <v>#REF!</v>
      </c>
      <c r="C29" s="2080">
        <f t="shared" si="0"/>
        <v>0</v>
      </c>
      <c r="D29" s="2080" t="e">
        <f>SUM('[8]Berechnungen BVerfG'!P29:R29)+'[8]Berechnungen BVerfG'!N29</f>
        <v>#REF!</v>
      </c>
      <c r="F29" s="491" t="e">
        <f>+I23</f>
        <v>#REF!</v>
      </c>
      <c r="G29" s="491" t="e">
        <f>+I24</f>
        <v>#REF!</v>
      </c>
      <c r="K29" t="e">
        <f>+[8]!Tabelle2[[#This Row],[Alter]]</f>
        <v>#REF!</v>
      </c>
      <c r="L29" s="95">
        <f>IFERROR(IF($K29&lt;INT('[8]Berechnungen BVerfG'!H$5),0,IF($K29=INT('[8]Berechnungen BVerfG'!H$2),'[8]Berechnungen BVerfG'!H$12,IF($K29&gt;INT('[8]Berechnungen BVerfG'!H$2),'[8]Berechnungen BVerfG'!H$12*(1+'[8]Berechnungen BVerfG'!H$9)^(IF($K29-'[8]Berechnungen BVerfG'!H$5&lt;=0,0,$K29-IF('[8]Berechnungen BVerfG'!H$5&lt;'[8]Berechnungen BVerfG'!H$2,'[8]Berechnungen BVerfG'!H$2,'[8]Berechnungen BVerfG'!H$5))),0))),0)</f>
        <v>0</v>
      </c>
      <c r="M29" s="2081">
        <f>IFERROR(IF(K29&lt;INT('[8]Berechnungen BVerfG'!I$5),0,IF(K29=INT('[8]Berechnungen BVerfG'!I$2),'[8]Berechnungen BVerfG'!I$12,IF(K29&gt;INT('[8]Berechnungen BVerfG'!I$2),'[8]Berechnungen BVerfG'!I$12*(1+'[8]Berechnungen BVerfG'!I$9)^(IF(K29-'[8]Berechnungen BVerfG'!I$5&lt;=0,0,K29-IF('[8]Berechnungen BVerfG'!I$5&lt;'[8]Berechnungen BVerfG'!I$2,'[8]Berechnungen BVerfG'!I$2,'[8]Berechnungen BVerfG'!I$5))),0))),0)</f>
        <v>0</v>
      </c>
      <c r="N29" s="2081">
        <f>IFERROR(IF($K29&lt;INT('[8]Berechnungen BVerfG'!J$5),0,IF($K29=INT('[8]Berechnungen BVerfG'!J$2),'[8]Berechnungen BVerfG'!J$12,IF($K29&gt;INT('[8]Berechnungen BVerfG'!J$2),'[8]Berechnungen BVerfG'!J$12*(1+'[8]Berechnungen BVerfG'!J$9)^(IF($K29-'[8]Berechnungen BVerfG'!J$5&lt;=0,0,$K29-IF('[8]Berechnungen BVerfG'!J$5&lt;'[8]Berechnungen BVerfG'!J$2,'[8]Berechnungen BVerfG'!J$2,'[8]Berechnungen BVerfG'!K$5))),0))),0)</f>
        <v>0</v>
      </c>
      <c r="O29" s="2081">
        <f>IFERROR(IF($K29&lt;INT('[8]Berechnungen BVerfG'!K$5),0,IF($K29=INT('[8]Berechnungen BVerfG'!K$2),'[8]Berechnungen BVerfG'!K$12,IF($K29&gt;INT('[8]Berechnungen BVerfG'!K$2),'[8]Berechnungen BVerfG'!K$12*(1+'[8]Berechnungen BVerfG'!K$9)^(IF($K29-'[8]Berechnungen BVerfG'!K$5&lt;=0,0,$K29-IF('[8]Berechnungen BVerfG'!K$5&lt;'[8]Berechnungen BVerfG'!K$2,'[8]Berechnungen BVerfG'!K$2,'[8]Berechnungen BVerfG'!K$5))),0))),0)</f>
        <v>0</v>
      </c>
      <c r="P29" s="95">
        <f t="shared" si="1"/>
        <v>0</v>
      </c>
    </row>
    <row r="30" spans="1:16">
      <c r="A30" s="2080" t="e">
        <f>IF(PflGesamt,IF(GesVersrgPfl,SUM([8]!Tabelle2[[#This Row],[Spalte2]:[Spalte8]]),0),0)</f>
        <v>#REF!</v>
      </c>
      <c r="B30" s="2080" t="e">
        <f>IF(BerGesamt,SUM('[8]Berechnungen BVerfG'!P30:R30)+'[8]Berechnungen BVerfG'!N30,0)</f>
        <v>#REF!</v>
      </c>
      <c r="C30" s="2080">
        <f t="shared" si="0"/>
        <v>0</v>
      </c>
      <c r="D30" s="2080" t="e">
        <f>SUM('[8]Berechnungen BVerfG'!P30:R30)+'[8]Berechnungen BVerfG'!N30</f>
        <v>#REF!</v>
      </c>
      <c r="K30" t="e">
        <f>+[8]!Tabelle2[[#This Row],[Alter]]</f>
        <v>#REF!</v>
      </c>
      <c r="L30" s="95">
        <f>IFERROR(IF($K30&lt;INT('[8]Berechnungen BVerfG'!H$5),0,IF($K30=INT('[8]Berechnungen BVerfG'!H$2),'[8]Berechnungen BVerfG'!H$12,IF($K30&gt;INT('[8]Berechnungen BVerfG'!H$2),'[8]Berechnungen BVerfG'!H$12*(1+'[8]Berechnungen BVerfG'!H$9)^(IF($K30-'[8]Berechnungen BVerfG'!H$5&lt;=0,0,$K30-IF('[8]Berechnungen BVerfG'!H$5&lt;'[8]Berechnungen BVerfG'!H$2,'[8]Berechnungen BVerfG'!H$2,'[8]Berechnungen BVerfG'!H$5))),0))),0)</f>
        <v>0</v>
      </c>
      <c r="M30" s="2081">
        <f>IFERROR(IF(K30&lt;INT('[8]Berechnungen BVerfG'!I$5),0,IF(K30=INT('[8]Berechnungen BVerfG'!I$2),'[8]Berechnungen BVerfG'!I$12,IF(K30&gt;INT('[8]Berechnungen BVerfG'!I$2),'[8]Berechnungen BVerfG'!I$12*(1+'[8]Berechnungen BVerfG'!I$9)^(IF(K30-'[8]Berechnungen BVerfG'!I$5&lt;=0,0,K30-IF('[8]Berechnungen BVerfG'!I$5&lt;'[8]Berechnungen BVerfG'!I$2,'[8]Berechnungen BVerfG'!I$2,'[8]Berechnungen BVerfG'!I$5))),0))),0)</f>
        <v>0</v>
      </c>
      <c r="N30" s="2081">
        <f>IFERROR(IF($K30&lt;INT('[8]Berechnungen BVerfG'!J$5),0,IF($K30=INT('[8]Berechnungen BVerfG'!J$2),'[8]Berechnungen BVerfG'!J$12,IF($K30&gt;INT('[8]Berechnungen BVerfG'!J$2),'[8]Berechnungen BVerfG'!J$12*(1+'[8]Berechnungen BVerfG'!J$9)^(IF($K30-'[8]Berechnungen BVerfG'!J$5&lt;=0,0,$K30-IF('[8]Berechnungen BVerfG'!J$5&lt;'[8]Berechnungen BVerfG'!J$2,'[8]Berechnungen BVerfG'!J$2,'[8]Berechnungen BVerfG'!K$5))),0))),0)</f>
        <v>0</v>
      </c>
      <c r="O30" s="2081">
        <f>IFERROR(IF($K30&lt;INT('[8]Berechnungen BVerfG'!K$5),0,IF($K30=INT('[8]Berechnungen BVerfG'!K$2),'[8]Berechnungen BVerfG'!K$12,IF($K30&gt;INT('[8]Berechnungen BVerfG'!K$2),'[8]Berechnungen BVerfG'!K$12*(1+'[8]Berechnungen BVerfG'!K$9)^(IF($K30-'[8]Berechnungen BVerfG'!K$5&lt;=0,0,$K30-IF('[8]Berechnungen BVerfG'!K$5&lt;'[8]Berechnungen BVerfG'!K$2,'[8]Berechnungen BVerfG'!K$2,'[8]Berechnungen BVerfG'!K$5))),0))),0)</f>
        <v>0</v>
      </c>
      <c r="P30" s="95">
        <f t="shared" si="1"/>
        <v>0</v>
      </c>
    </row>
    <row r="31" spans="1:16">
      <c r="A31" s="2080" t="e">
        <f>IF(PflGesamt,IF(GesVersrgPfl,SUM([8]!Tabelle2[[#This Row],[Spalte2]:[Spalte8]]),0),0)</f>
        <v>#REF!</v>
      </c>
      <c r="B31" s="2080" t="e">
        <f>IF(BerGesamt,SUM('[8]Berechnungen BVerfG'!P31:R31)+'[8]Berechnungen BVerfG'!N31,0)</f>
        <v>#REF!</v>
      </c>
      <c r="C31" s="2080">
        <f t="shared" si="0"/>
        <v>0</v>
      </c>
      <c r="D31" s="2080" t="e">
        <f>SUM('[8]Berechnungen BVerfG'!P31:R31)+'[8]Berechnungen BVerfG'!N31</f>
        <v>#REF!</v>
      </c>
      <c r="K31" t="e">
        <f>+[8]!Tabelle2[[#This Row],[Alter]]</f>
        <v>#REF!</v>
      </c>
      <c r="L31" s="95">
        <f>IFERROR(IF($K31&lt;INT('[8]Berechnungen BVerfG'!H$5),0,IF($K31=INT('[8]Berechnungen BVerfG'!H$2),'[8]Berechnungen BVerfG'!H$12,IF($K31&gt;INT('[8]Berechnungen BVerfG'!H$2),'[8]Berechnungen BVerfG'!H$12*(1+'[8]Berechnungen BVerfG'!H$9)^(IF($K31-'[8]Berechnungen BVerfG'!H$5&lt;=0,0,$K31-IF('[8]Berechnungen BVerfG'!H$5&lt;'[8]Berechnungen BVerfG'!H$2,'[8]Berechnungen BVerfG'!H$2,'[8]Berechnungen BVerfG'!H$5))),0))),0)</f>
        <v>0</v>
      </c>
      <c r="M31" s="2081">
        <f>IFERROR(IF(K31&lt;INT('[8]Berechnungen BVerfG'!I$5),0,IF(K31=INT('[8]Berechnungen BVerfG'!I$2),'[8]Berechnungen BVerfG'!I$12,IF(K31&gt;INT('[8]Berechnungen BVerfG'!I$2),'[8]Berechnungen BVerfG'!I$12*(1+'[8]Berechnungen BVerfG'!I$9)^(IF(K31-'[8]Berechnungen BVerfG'!I$5&lt;=0,0,K31-IF('[8]Berechnungen BVerfG'!I$5&lt;'[8]Berechnungen BVerfG'!I$2,'[8]Berechnungen BVerfG'!I$2,'[8]Berechnungen BVerfG'!I$5))),0))),0)</f>
        <v>0</v>
      </c>
      <c r="N31" s="2081">
        <f>IFERROR(IF($K31&lt;INT('[8]Berechnungen BVerfG'!J$5),0,IF($K31=INT('[8]Berechnungen BVerfG'!J$2),'[8]Berechnungen BVerfG'!J$12,IF($K31&gt;INT('[8]Berechnungen BVerfG'!J$2),'[8]Berechnungen BVerfG'!J$12*(1+'[8]Berechnungen BVerfG'!J$9)^(IF($K31-'[8]Berechnungen BVerfG'!J$5&lt;=0,0,$K31-IF('[8]Berechnungen BVerfG'!J$5&lt;'[8]Berechnungen BVerfG'!J$2,'[8]Berechnungen BVerfG'!J$2,'[8]Berechnungen BVerfG'!K$5))),0))),0)</f>
        <v>0</v>
      </c>
      <c r="O31" s="2081">
        <f>IFERROR(IF($K31&lt;INT('[8]Berechnungen BVerfG'!K$5),0,IF($K31=INT('[8]Berechnungen BVerfG'!K$2),'[8]Berechnungen BVerfG'!K$12,IF($K31&gt;INT('[8]Berechnungen BVerfG'!K$2),'[8]Berechnungen BVerfG'!K$12*(1+'[8]Berechnungen BVerfG'!K$9)^(IF($K31-'[8]Berechnungen BVerfG'!K$5&lt;=0,0,$K31-IF('[8]Berechnungen BVerfG'!K$5&lt;'[8]Berechnungen BVerfG'!K$2,'[8]Berechnungen BVerfG'!K$2,'[8]Berechnungen BVerfG'!K$5))),0))),0)</f>
        <v>0</v>
      </c>
      <c r="P31" s="95">
        <f t="shared" si="1"/>
        <v>0</v>
      </c>
    </row>
    <row r="32" spans="1:16">
      <c r="A32" s="2080" t="e">
        <f>IF(PflGesamt,IF(GesVersrgPfl,SUM([8]!Tabelle2[[#This Row],[Spalte2]:[Spalte8]]),0),0)</f>
        <v>#REF!</v>
      </c>
      <c r="B32" s="2080" t="e">
        <f>IF(BerGesamt,SUM('[8]Berechnungen BVerfG'!P32:R32)+'[8]Berechnungen BVerfG'!N32,0)</f>
        <v>#REF!</v>
      </c>
      <c r="C32" s="2080">
        <f t="shared" si="0"/>
        <v>0</v>
      </c>
      <c r="D32" s="2080" t="e">
        <f>SUM('[8]Berechnungen BVerfG'!P32:R32)+'[8]Berechnungen BVerfG'!N32</f>
        <v>#REF!</v>
      </c>
      <c r="K32" t="e">
        <f>+[8]!Tabelle2[[#This Row],[Alter]]</f>
        <v>#REF!</v>
      </c>
      <c r="L32" s="95">
        <f>IFERROR(IF($K32&lt;INT('[8]Berechnungen BVerfG'!H$5),0,IF($K32=INT('[8]Berechnungen BVerfG'!H$2),'[8]Berechnungen BVerfG'!H$12,IF($K32&gt;INT('[8]Berechnungen BVerfG'!H$2),'[8]Berechnungen BVerfG'!H$12*(1+'[8]Berechnungen BVerfG'!H$9)^(IF($K32-'[8]Berechnungen BVerfG'!H$5&lt;=0,0,$K32-IF('[8]Berechnungen BVerfG'!H$5&lt;'[8]Berechnungen BVerfG'!H$2,'[8]Berechnungen BVerfG'!H$2,'[8]Berechnungen BVerfG'!H$5))),0))),0)</f>
        <v>0</v>
      </c>
      <c r="M32" s="2081">
        <f>IFERROR(IF(K32&lt;INT('[8]Berechnungen BVerfG'!I$5),0,IF(K32=INT('[8]Berechnungen BVerfG'!I$2),'[8]Berechnungen BVerfG'!I$12,IF(K32&gt;INT('[8]Berechnungen BVerfG'!I$2),'[8]Berechnungen BVerfG'!I$12*(1+'[8]Berechnungen BVerfG'!I$9)^(IF(K32-'[8]Berechnungen BVerfG'!I$5&lt;=0,0,K32-IF('[8]Berechnungen BVerfG'!I$5&lt;'[8]Berechnungen BVerfG'!I$2,'[8]Berechnungen BVerfG'!I$2,'[8]Berechnungen BVerfG'!I$5))),0))),0)</f>
        <v>0</v>
      </c>
      <c r="N32" s="2081">
        <f>IFERROR(IF($K32&lt;INT('[8]Berechnungen BVerfG'!J$5),0,IF($K32=INT('[8]Berechnungen BVerfG'!J$2),'[8]Berechnungen BVerfG'!J$12,IF($K32&gt;INT('[8]Berechnungen BVerfG'!J$2),'[8]Berechnungen BVerfG'!J$12*(1+'[8]Berechnungen BVerfG'!J$9)^(IF($K32-'[8]Berechnungen BVerfG'!J$5&lt;=0,0,$K32-IF('[8]Berechnungen BVerfG'!J$5&lt;'[8]Berechnungen BVerfG'!J$2,'[8]Berechnungen BVerfG'!J$2,'[8]Berechnungen BVerfG'!K$5))),0))),0)</f>
        <v>0</v>
      </c>
      <c r="O32" s="2081">
        <f>IFERROR(IF($K32&lt;INT('[8]Berechnungen BVerfG'!K$5),0,IF($K32=INT('[8]Berechnungen BVerfG'!K$2),'[8]Berechnungen BVerfG'!K$12,IF($K32&gt;INT('[8]Berechnungen BVerfG'!K$2),'[8]Berechnungen BVerfG'!K$12*(1+'[8]Berechnungen BVerfG'!K$9)^(IF($K32-'[8]Berechnungen BVerfG'!K$5&lt;=0,0,$K32-IF('[8]Berechnungen BVerfG'!K$5&lt;'[8]Berechnungen BVerfG'!K$2,'[8]Berechnungen BVerfG'!K$2,'[8]Berechnungen BVerfG'!K$5))),0))),0)</f>
        <v>0</v>
      </c>
      <c r="P32" s="95">
        <f t="shared" si="1"/>
        <v>0</v>
      </c>
    </row>
    <row r="33" spans="1:16">
      <c r="A33" s="2080" t="e">
        <f>IF(PflGesamt,IF(GesVersrgPfl,SUM([8]!Tabelle2[[#This Row],[Spalte2]:[Spalte8]]),0),0)</f>
        <v>#REF!</v>
      </c>
      <c r="B33" s="2080" t="e">
        <f>IF(BerGesamt,SUM('[8]Berechnungen BVerfG'!P33:R33)+'[8]Berechnungen BVerfG'!N33,0)</f>
        <v>#REF!</v>
      </c>
      <c r="C33" s="2080">
        <f t="shared" si="0"/>
        <v>0</v>
      </c>
      <c r="D33" s="2080" t="e">
        <f>SUM('[8]Berechnungen BVerfG'!P33:R33)+'[8]Berechnungen BVerfG'!N33</f>
        <v>#REF!</v>
      </c>
      <c r="K33" t="e">
        <f>+[8]!Tabelle2[[#This Row],[Alter]]</f>
        <v>#REF!</v>
      </c>
      <c r="L33" s="95">
        <f>IFERROR(IF($K33&lt;INT('[8]Berechnungen BVerfG'!H$5),0,IF($K33=INT('[8]Berechnungen BVerfG'!H$2),'[8]Berechnungen BVerfG'!H$12,IF($K33&gt;INT('[8]Berechnungen BVerfG'!H$2),'[8]Berechnungen BVerfG'!H$12*(1+'[8]Berechnungen BVerfG'!H$9)^(IF($K33-'[8]Berechnungen BVerfG'!H$5&lt;=0,0,$K33-IF('[8]Berechnungen BVerfG'!H$5&lt;'[8]Berechnungen BVerfG'!H$2,'[8]Berechnungen BVerfG'!H$2,'[8]Berechnungen BVerfG'!H$5))),0))),0)</f>
        <v>0</v>
      </c>
      <c r="M33" s="2081">
        <f>IFERROR(IF(K33&lt;INT('[8]Berechnungen BVerfG'!I$5),0,IF(K33=INT('[8]Berechnungen BVerfG'!I$2),'[8]Berechnungen BVerfG'!I$12,IF(K33&gt;INT('[8]Berechnungen BVerfG'!I$2),'[8]Berechnungen BVerfG'!I$12*(1+'[8]Berechnungen BVerfG'!I$9)^(IF(K33-'[8]Berechnungen BVerfG'!I$5&lt;=0,0,K33-IF('[8]Berechnungen BVerfG'!I$5&lt;'[8]Berechnungen BVerfG'!I$2,'[8]Berechnungen BVerfG'!I$2,'[8]Berechnungen BVerfG'!I$5))),0))),0)</f>
        <v>0</v>
      </c>
      <c r="N33" s="2081">
        <f>IFERROR(IF($K33&lt;INT('[8]Berechnungen BVerfG'!J$5),0,IF($K33=INT('[8]Berechnungen BVerfG'!J$2),'[8]Berechnungen BVerfG'!J$12,IF($K33&gt;INT('[8]Berechnungen BVerfG'!J$2),'[8]Berechnungen BVerfG'!J$12*(1+'[8]Berechnungen BVerfG'!J$9)^(IF($K33-'[8]Berechnungen BVerfG'!J$5&lt;=0,0,$K33-IF('[8]Berechnungen BVerfG'!J$5&lt;'[8]Berechnungen BVerfG'!J$2,'[8]Berechnungen BVerfG'!J$2,'[8]Berechnungen BVerfG'!K$5))),0))),0)</f>
        <v>0</v>
      </c>
      <c r="O33" s="2081">
        <f>IFERROR(IF($K33&lt;INT('[8]Berechnungen BVerfG'!K$5),0,IF($K33=INT('[8]Berechnungen BVerfG'!K$2),'[8]Berechnungen BVerfG'!K$12,IF($K33&gt;INT('[8]Berechnungen BVerfG'!K$2),'[8]Berechnungen BVerfG'!K$12*(1+'[8]Berechnungen BVerfG'!K$9)^(IF($K33-'[8]Berechnungen BVerfG'!K$5&lt;=0,0,$K33-IF('[8]Berechnungen BVerfG'!K$5&lt;'[8]Berechnungen BVerfG'!K$2,'[8]Berechnungen BVerfG'!K$2,'[8]Berechnungen BVerfG'!K$5))),0))),0)</f>
        <v>0</v>
      </c>
      <c r="P33" s="95">
        <f t="shared" si="1"/>
        <v>0</v>
      </c>
    </row>
    <row r="34" spans="1:16">
      <c r="A34" s="2080" t="e">
        <f>IF(PflGesamt,IF(GesVersrgPfl,SUM([8]!Tabelle2[[#This Row],[Spalte2]:[Spalte8]]),0),0)</f>
        <v>#REF!</v>
      </c>
      <c r="B34" s="2080" t="e">
        <f>IF(BerGesamt,SUM('[8]Berechnungen BVerfG'!P34:R34)+'[8]Berechnungen BVerfG'!N34,0)</f>
        <v>#REF!</v>
      </c>
      <c r="C34" s="2080">
        <f t="shared" si="0"/>
        <v>0</v>
      </c>
      <c r="D34" s="2080" t="e">
        <f>SUM('[8]Berechnungen BVerfG'!P34:R34)+'[8]Berechnungen BVerfG'!N34</f>
        <v>#REF!</v>
      </c>
      <c r="K34" t="e">
        <f>+[8]!Tabelle2[[#This Row],[Alter]]</f>
        <v>#REF!</v>
      </c>
      <c r="L34" s="95">
        <f>IFERROR(IF($K34&lt;INT('[8]Berechnungen BVerfG'!H$5),0,IF($K34=INT('[8]Berechnungen BVerfG'!H$2),'[8]Berechnungen BVerfG'!H$12,IF($K34&gt;INT('[8]Berechnungen BVerfG'!H$2),'[8]Berechnungen BVerfG'!H$12*(1+'[8]Berechnungen BVerfG'!H$9)^(IF($K34-'[8]Berechnungen BVerfG'!H$5&lt;=0,0,$K34-IF('[8]Berechnungen BVerfG'!H$5&lt;'[8]Berechnungen BVerfG'!H$2,'[8]Berechnungen BVerfG'!H$2,'[8]Berechnungen BVerfG'!H$5))),0))),0)</f>
        <v>0</v>
      </c>
      <c r="M34" s="2081">
        <f>IFERROR(IF(K34&lt;INT('[8]Berechnungen BVerfG'!I$5),0,IF(K34=INT('[8]Berechnungen BVerfG'!I$2),'[8]Berechnungen BVerfG'!I$12,IF(K34&gt;INT('[8]Berechnungen BVerfG'!I$2),'[8]Berechnungen BVerfG'!I$12*(1+'[8]Berechnungen BVerfG'!I$9)^(IF(K34-'[8]Berechnungen BVerfG'!I$5&lt;=0,0,K34-IF('[8]Berechnungen BVerfG'!I$5&lt;'[8]Berechnungen BVerfG'!I$2,'[8]Berechnungen BVerfG'!I$2,'[8]Berechnungen BVerfG'!I$5))),0))),0)</f>
        <v>0</v>
      </c>
      <c r="N34" s="2081">
        <f>IFERROR(IF($K34&lt;INT('[8]Berechnungen BVerfG'!J$5),0,IF($K34=INT('[8]Berechnungen BVerfG'!J$2),'[8]Berechnungen BVerfG'!J$12,IF($K34&gt;INT('[8]Berechnungen BVerfG'!J$2),'[8]Berechnungen BVerfG'!J$12*(1+'[8]Berechnungen BVerfG'!J$9)^(IF($K34-'[8]Berechnungen BVerfG'!J$5&lt;=0,0,$K34-IF('[8]Berechnungen BVerfG'!J$5&lt;'[8]Berechnungen BVerfG'!J$2,'[8]Berechnungen BVerfG'!J$2,'[8]Berechnungen BVerfG'!K$5))),0))),0)</f>
        <v>0</v>
      </c>
      <c r="O34" s="2081">
        <f>IFERROR(IF($K34&lt;INT('[8]Berechnungen BVerfG'!K$5),0,IF($K34=INT('[8]Berechnungen BVerfG'!K$2),'[8]Berechnungen BVerfG'!K$12,IF($K34&gt;INT('[8]Berechnungen BVerfG'!K$2),'[8]Berechnungen BVerfG'!K$12*(1+'[8]Berechnungen BVerfG'!K$9)^(IF($K34-'[8]Berechnungen BVerfG'!K$5&lt;=0,0,$K34-IF('[8]Berechnungen BVerfG'!K$5&lt;'[8]Berechnungen BVerfG'!K$2,'[8]Berechnungen BVerfG'!K$2,'[8]Berechnungen BVerfG'!K$5))),0))),0)</f>
        <v>0</v>
      </c>
      <c r="P34" s="95">
        <f t="shared" si="1"/>
        <v>0</v>
      </c>
    </row>
    <row r="35" spans="1:16">
      <c r="A35" s="2080" t="e">
        <f>IF(PflGesamt,IF(GesVersrgPfl,SUM([8]!Tabelle2[[#This Row],[Spalte2]:[Spalte8]]),0),0)</f>
        <v>#REF!</v>
      </c>
      <c r="B35" s="2080" t="e">
        <f>IF(BerGesamt,SUM('[8]Berechnungen BVerfG'!P35:R35)+'[8]Berechnungen BVerfG'!N35,0)</f>
        <v>#REF!</v>
      </c>
      <c r="C35" s="2080">
        <f t="shared" si="0"/>
        <v>0</v>
      </c>
      <c r="D35" s="2080" t="e">
        <f>SUM('[8]Berechnungen BVerfG'!P35:R35)+'[8]Berechnungen BVerfG'!N35</f>
        <v>#REF!</v>
      </c>
      <c r="K35" t="e">
        <f>+[8]!Tabelle2[[#This Row],[Alter]]</f>
        <v>#REF!</v>
      </c>
      <c r="L35" s="95">
        <f>IFERROR(IF($K35&lt;INT('[8]Berechnungen BVerfG'!H$5),0,IF($K35=INT('[8]Berechnungen BVerfG'!H$2),'[8]Berechnungen BVerfG'!H$12,IF($K35&gt;INT('[8]Berechnungen BVerfG'!H$2),'[8]Berechnungen BVerfG'!H$12*(1+'[8]Berechnungen BVerfG'!H$9)^(IF($K35-'[8]Berechnungen BVerfG'!H$5&lt;=0,0,$K35-IF('[8]Berechnungen BVerfG'!H$5&lt;'[8]Berechnungen BVerfG'!H$2,'[8]Berechnungen BVerfG'!H$2,'[8]Berechnungen BVerfG'!H$5))),0))),0)</f>
        <v>0</v>
      </c>
      <c r="M35" s="2081">
        <f>IFERROR(IF(K35&lt;INT('[8]Berechnungen BVerfG'!I$5),0,IF(K35=INT('[8]Berechnungen BVerfG'!I$2),'[8]Berechnungen BVerfG'!I$12,IF(K35&gt;INT('[8]Berechnungen BVerfG'!I$2),'[8]Berechnungen BVerfG'!I$12*(1+'[8]Berechnungen BVerfG'!I$9)^(IF(K35-'[8]Berechnungen BVerfG'!I$5&lt;=0,0,K35-IF('[8]Berechnungen BVerfG'!I$5&lt;'[8]Berechnungen BVerfG'!I$2,'[8]Berechnungen BVerfG'!I$2,'[8]Berechnungen BVerfG'!I$5))),0))),0)</f>
        <v>0</v>
      </c>
      <c r="N35" s="2081">
        <f>IFERROR(IF($K35&lt;INT('[8]Berechnungen BVerfG'!J$5),0,IF($K35=INT('[8]Berechnungen BVerfG'!J$2),'[8]Berechnungen BVerfG'!J$12,IF($K35&gt;INT('[8]Berechnungen BVerfG'!J$2),'[8]Berechnungen BVerfG'!J$12*(1+'[8]Berechnungen BVerfG'!J$9)^(IF($K35-'[8]Berechnungen BVerfG'!J$5&lt;=0,0,$K35-IF('[8]Berechnungen BVerfG'!J$5&lt;'[8]Berechnungen BVerfG'!J$2,'[8]Berechnungen BVerfG'!J$2,'[8]Berechnungen BVerfG'!K$5))),0))),0)</f>
        <v>0</v>
      </c>
      <c r="O35" s="2081">
        <f>IFERROR(IF($K35&lt;INT('[8]Berechnungen BVerfG'!K$5),0,IF($K35=INT('[8]Berechnungen BVerfG'!K$2),'[8]Berechnungen BVerfG'!K$12,IF($K35&gt;INT('[8]Berechnungen BVerfG'!K$2),'[8]Berechnungen BVerfG'!K$12*(1+'[8]Berechnungen BVerfG'!K$9)^(IF($K35-'[8]Berechnungen BVerfG'!K$5&lt;=0,0,$K35-IF('[8]Berechnungen BVerfG'!K$5&lt;'[8]Berechnungen BVerfG'!K$2,'[8]Berechnungen BVerfG'!K$2,'[8]Berechnungen BVerfG'!K$5))),0))),0)</f>
        <v>0</v>
      </c>
      <c r="P35" s="95">
        <f t="shared" si="1"/>
        <v>0</v>
      </c>
    </row>
    <row r="36" spans="1:16">
      <c r="A36" s="2080" t="e">
        <f>IF(PflGesamt,IF(GesVersrgPfl,SUM([8]!Tabelle2[[#This Row],[Spalte2]:[Spalte8]]),0),0)</f>
        <v>#REF!</v>
      </c>
      <c r="B36" s="2080" t="e">
        <f>IF(BerGesamt,SUM('[8]Berechnungen BVerfG'!P36:R36)+'[8]Berechnungen BVerfG'!N36,0)</f>
        <v>#REF!</v>
      </c>
      <c r="C36" s="2080">
        <f t="shared" si="0"/>
        <v>0</v>
      </c>
      <c r="D36" s="2080" t="e">
        <f>SUM('[8]Berechnungen BVerfG'!P36:R36)+'[8]Berechnungen BVerfG'!N36</f>
        <v>#REF!</v>
      </c>
      <c r="K36" t="e">
        <f>+[8]!Tabelle2[[#This Row],[Alter]]</f>
        <v>#REF!</v>
      </c>
      <c r="L36" s="95">
        <f>IFERROR(IF($K36&lt;INT('[8]Berechnungen BVerfG'!H$5),0,IF($K36=INT('[8]Berechnungen BVerfG'!H$2),'[8]Berechnungen BVerfG'!H$12,IF($K36&gt;INT('[8]Berechnungen BVerfG'!H$2),'[8]Berechnungen BVerfG'!H$12*(1+'[8]Berechnungen BVerfG'!H$9)^(IF($K36-'[8]Berechnungen BVerfG'!H$5&lt;=0,0,$K36-IF('[8]Berechnungen BVerfG'!H$5&lt;'[8]Berechnungen BVerfG'!H$2,'[8]Berechnungen BVerfG'!H$2,'[8]Berechnungen BVerfG'!H$5))),0))),0)</f>
        <v>0</v>
      </c>
      <c r="M36" s="2081">
        <f>IFERROR(IF(K36&lt;INT('[8]Berechnungen BVerfG'!I$5),0,IF(K36=INT('[8]Berechnungen BVerfG'!I$2),'[8]Berechnungen BVerfG'!I$12,IF(K36&gt;INT('[8]Berechnungen BVerfG'!I$2),'[8]Berechnungen BVerfG'!I$12*(1+'[8]Berechnungen BVerfG'!I$9)^(IF(K36-'[8]Berechnungen BVerfG'!I$5&lt;=0,0,K36-IF('[8]Berechnungen BVerfG'!I$5&lt;'[8]Berechnungen BVerfG'!I$2,'[8]Berechnungen BVerfG'!I$2,'[8]Berechnungen BVerfG'!I$5))),0))),0)</f>
        <v>0</v>
      </c>
      <c r="N36" s="2081">
        <f>IFERROR(IF($K36&lt;INT('[8]Berechnungen BVerfG'!J$5),0,IF($K36=INT('[8]Berechnungen BVerfG'!J$2),'[8]Berechnungen BVerfG'!J$12,IF($K36&gt;INT('[8]Berechnungen BVerfG'!J$2),'[8]Berechnungen BVerfG'!J$12*(1+'[8]Berechnungen BVerfG'!J$9)^(IF($K36-'[8]Berechnungen BVerfG'!J$5&lt;=0,0,$K36-IF('[8]Berechnungen BVerfG'!J$5&lt;'[8]Berechnungen BVerfG'!J$2,'[8]Berechnungen BVerfG'!J$2,'[8]Berechnungen BVerfG'!K$5))),0))),0)</f>
        <v>0</v>
      </c>
      <c r="O36" s="2081">
        <f>IFERROR(IF($K36&lt;INT('[8]Berechnungen BVerfG'!K$5),0,IF($K36=INT('[8]Berechnungen BVerfG'!K$2),'[8]Berechnungen BVerfG'!K$12,IF($K36&gt;INT('[8]Berechnungen BVerfG'!K$2),'[8]Berechnungen BVerfG'!K$12*(1+'[8]Berechnungen BVerfG'!K$9)^(IF($K36-'[8]Berechnungen BVerfG'!K$5&lt;=0,0,$K36-IF('[8]Berechnungen BVerfG'!K$5&lt;'[8]Berechnungen BVerfG'!K$2,'[8]Berechnungen BVerfG'!K$2,'[8]Berechnungen BVerfG'!K$5))),0))),0)</f>
        <v>0</v>
      </c>
      <c r="P36" s="95">
        <f t="shared" si="1"/>
        <v>0</v>
      </c>
    </row>
    <row r="37" spans="1:16">
      <c r="A37" s="2080" t="e">
        <f>IF(PflGesamt,IF(GesVersrgPfl,SUM([8]!Tabelle2[[#This Row],[Spalte2]:[Spalte8]]),0),0)</f>
        <v>#REF!</v>
      </c>
      <c r="B37" s="2080" t="e">
        <f>IF(BerGesamt,SUM('[8]Berechnungen BVerfG'!P37:R37)+'[8]Berechnungen BVerfG'!N37,0)</f>
        <v>#REF!</v>
      </c>
      <c r="C37" s="2080">
        <f t="shared" si="0"/>
        <v>0</v>
      </c>
      <c r="D37" s="2080" t="e">
        <f>SUM('[8]Berechnungen BVerfG'!P37:R37)+'[8]Berechnungen BVerfG'!N37</f>
        <v>#REF!</v>
      </c>
      <c r="K37" t="e">
        <f>+[8]!Tabelle2[[#This Row],[Alter]]</f>
        <v>#REF!</v>
      </c>
      <c r="L37" s="95">
        <f>IFERROR(IF($K37&lt;INT('[8]Berechnungen BVerfG'!H$5),0,IF($K37=INT('[8]Berechnungen BVerfG'!H$2),'[8]Berechnungen BVerfG'!H$12,IF($K37&gt;INT('[8]Berechnungen BVerfG'!H$2),'[8]Berechnungen BVerfG'!H$12*(1+'[8]Berechnungen BVerfG'!H$9)^(IF($K37-'[8]Berechnungen BVerfG'!H$5&lt;=0,0,$K37-IF('[8]Berechnungen BVerfG'!H$5&lt;'[8]Berechnungen BVerfG'!H$2,'[8]Berechnungen BVerfG'!H$2,'[8]Berechnungen BVerfG'!H$5))),0))),0)</f>
        <v>0</v>
      </c>
      <c r="M37" s="2081">
        <f>IFERROR(IF(K37&lt;INT('[8]Berechnungen BVerfG'!I$5),0,IF(K37=INT('[8]Berechnungen BVerfG'!I$2),'[8]Berechnungen BVerfG'!I$12,IF(K37&gt;INT('[8]Berechnungen BVerfG'!I$2),'[8]Berechnungen BVerfG'!I$12*(1+'[8]Berechnungen BVerfG'!I$9)^(IF(K37-'[8]Berechnungen BVerfG'!I$5&lt;=0,0,K37-IF('[8]Berechnungen BVerfG'!I$5&lt;'[8]Berechnungen BVerfG'!I$2,'[8]Berechnungen BVerfG'!I$2,'[8]Berechnungen BVerfG'!I$5))),0))),0)</f>
        <v>0</v>
      </c>
      <c r="N37" s="2081">
        <f>IFERROR(IF($K37&lt;INT('[8]Berechnungen BVerfG'!J$5),0,IF($K37=INT('[8]Berechnungen BVerfG'!J$2),'[8]Berechnungen BVerfG'!J$12,IF($K37&gt;INT('[8]Berechnungen BVerfG'!J$2),'[8]Berechnungen BVerfG'!J$12*(1+'[8]Berechnungen BVerfG'!J$9)^(IF($K37-'[8]Berechnungen BVerfG'!J$5&lt;=0,0,$K37-IF('[8]Berechnungen BVerfG'!J$5&lt;'[8]Berechnungen BVerfG'!J$2,'[8]Berechnungen BVerfG'!J$2,'[8]Berechnungen BVerfG'!K$5))),0))),0)</f>
        <v>0</v>
      </c>
      <c r="O37" s="2081">
        <f>IFERROR(IF($K37&lt;INT('[8]Berechnungen BVerfG'!K$5),0,IF($K37=INT('[8]Berechnungen BVerfG'!K$2),'[8]Berechnungen BVerfG'!K$12,IF($K37&gt;INT('[8]Berechnungen BVerfG'!K$2),'[8]Berechnungen BVerfG'!K$12*(1+'[8]Berechnungen BVerfG'!K$9)^(IF($K37-'[8]Berechnungen BVerfG'!K$5&lt;=0,0,$K37-IF('[8]Berechnungen BVerfG'!K$5&lt;'[8]Berechnungen BVerfG'!K$2,'[8]Berechnungen BVerfG'!K$2,'[8]Berechnungen BVerfG'!K$5))),0))),0)</f>
        <v>0</v>
      </c>
      <c r="P37" s="95">
        <f t="shared" si="1"/>
        <v>0</v>
      </c>
    </row>
    <row r="38" spans="1:16">
      <c r="A38" s="2080" t="e">
        <f>IF(PflGesamt,IF(GesVersrgPfl,SUM([8]!Tabelle2[[#This Row],[Spalte2]:[Spalte8]]),0),0)</f>
        <v>#REF!</v>
      </c>
      <c r="B38" s="2080" t="e">
        <f>IF(BerGesamt,SUM('[8]Berechnungen BVerfG'!P38:R38)+'[8]Berechnungen BVerfG'!N38,0)</f>
        <v>#REF!</v>
      </c>
      <c r="C38" s="2080">
        <f t="shared" si="0"/>
        <v>0</v>
      </c>
      <c r="D38" s="2080" t="e">
        <f>SUM('[8]Berechnungen BVerfG'!P38:R38)+'[8]Berechnungen BVerfG'!N38</f>
        <v>#REF!</v>
      </c>
      <c r="K38" t="e">
        <f>+[8]!Tabelle2[[#This Row],[Alter]]</f>
        <v>#REF!</v>
      </c>
      <c r="L38" s="95">
        <f>IFERROR(IF($K38&lt;INT('[8]Berechnungen BVerfG'!H$5),0,IF($K38=INT('[8]Berechnungen BVerfG'!H$2),'[8]Berechnungen BVerfG'!H$12,IF($K38&gt;INT('[8]Berechnungen BVerfG'!H$2),'[8]Berechnungen BVerfG'!H$12*(1+'[8]Berechnungen BVerfG'!H$9)^(IF($K38-'[8]Berechnungen BVerfG'!H$5&lt;=0,0,$K38-IF('[8]Berechnungen BVerfG'!H$5&lt;'[8]Berechnungen BVerfG'!H$2,'[8]Berechnungen BVerfG'!H$2,'[8]Berechnungen BVerfG'!H$5))),0))),0)</f>
        <v>0</v>
      </c>
      <c r="M38" s="2081">
        <f>IFERROR(IF(K38&lt;INT('[8]Berechnungen BVerfG'!I$5),0,IF(K38=INT('[8]Berechnungen BVerfG'!I$2),'[8]Berechnungen BVerfG'!I$12,IF(K38&gt;INT('[8]Berechnungen BVerfG'!I$2),'[8]Berechnungen BVerfG'!I$12*(1+'[8]Berechnungen BVerfG'!I$9)^(IF(K38-'[8]Berechnungen BVerfG'!I$5&lt;=0,0,K38-IF('[8]Berechnungen BVerfG'!I$5&lt;'[8]Berechnungen BVerfG'!I$2,'[8]Berechnungen BVerfG'!I$2,'[8]Berechnungen BVerfG'!I$5))),0))),0)</f>
        <v>0</v>
      </c>
      <c r="N38" s="2081">
        <f>IFERROR(IF($K38&lt;INT('[8]Berechnungen BVerfG'!J$5),0,IF($K38=INT('[8]Berechnungen BVerfG'!J$2),'[8]Berechnungen BVerfG'!J$12,IF($K38&gt;INT('[8]Berechnungen BVerfG'!J$2),'[8]Berechnungen BVerfG'!J$12*(1+'[8]Berechnungen BVerfG'!J$9)^(IF($K38-'[8]Berechnungen BVerfG'!J$5&lt;=0,0,$K38-IF('[8]Berechnungen BVerfG'!J$5&lt;'[8]Berechnungen BVerfG'!J$2,'[8]Berechnungen BVerfG'!J$2,'[8]Berechnungen BVerfG'!K$5))),0))),0)</f>
        <v>0</v>
      </c>
      <c r="O38" s="2081">
        <f>IFERROR(IF($K38&lt;INT('[8]Berechnungen BVerfG'!K$5),0,IF($K38=INT('[8]Berechnungen BVerfG'!K$2),'[8]Berechnungen BVerfG'!K$12,IF($K38&gt;INT('[8]Berechnungen BVerfG'!K$2),'[8]Berechnungen BVerfG'!K$12*(1+'[8]Berechnungen BVerfG'!K$9)^(IF($K38-'[8]Berechnungen BVerfG'!K$5&lt;=0,0,$K38-IF('[8]Berechnungen BVerfG'!K$5&lt;'[8]Berechnungen BVerfG'!K$2,'[8]Berechnungen BVerfG'!K$2,'[8]Berechnungen BVerfG'!K$5))),0))),0)</f>
        <v>0</v>
      </c>
      <c r="P38" s="95">
        <f t="shared" si="1"/>
        <v>0</v>
      </c>
    </row>
    <row r="39" spans="1:16">
      <c r="A39" s="2080" t="e">
        <f>IF(PflGesamt,IF(GesVersrgPfl,SUM([8]!Tabelle2[[#This Row],[Spalte2]:[Spalte8]]),0),0)</f>
        <v>#REF!</v>
      </c>
      <c r="B39" s="2080" t="e">
        <f>IF(BerGesamt,SUM('[8]Berechnungen BVerfG'!P39:R39)+'[8]Berechnungen BVerfG'!N39,0)</f>
        <v>#REF!</v>
      </c>
      <c r="C39" s="2080">
        <f t="shared" si="0"/>
        <v>0</v>
      </c>
      <c r="D39" s="2080" t="e">
        <f>SUM('[8]Berechnungen BVerfG'!P39:R39)+'[8]Berechnungen BVerfG'!N39</f>
        <v>#REF!</v>
      </c>
      <c r="K39" t="e">
        <f>+[8]!Tabelle2[[#This Row],[Alter]]</f>
        <v>#REF!</v>
      </c>
      <c r="L39" s="95">
        <f>IFERROR(IF($K39&lt;INT('[8]Berechnungen BVerfG'!H$5),0,IF($K39=INT('[8]Berechnungen BVerfG'!H$2),'[8]Berechnungen BVerfG'!H$12,IF($K39&gt;INT('[8]Berechnungen BVerfG'!H$2),'[8]Berechnungen BVerfG'!H$12*(1+'[8]Berechnungen BVerfG'!H$9)^(IF($K39-'[8]Berechnungen BVerfG'!H$5&lt;=0,0,$K39-IF('[8]Berechnungen BVerfG'!H$5&lt;'[8]Berechnungen BVerfG'!H$2,'[8]Berechnungen BVerfG'!H$2,'[8]Berechnungen BVerfG'!H$5))),0))),0)</f>
        <v>0</v>
      </c>
      <c r="M39" s="2081">
        <f>IFERROR(IF(K39&lt;INT('[8]Berechnungen BVerfG'!I$5),0,IF(K39=INT('[8]Berechnungen BVerfG'!I$2),'[8]Berechnungen BVerfG'!I$12,IF(K39&gt;INT('[8]Berechnungen BVerfG'!I$2),'[8]Berechnungen BVerfG'!I$12*(1+'[8]Berechnungen BVerfG'!I$9)^(IF(K39-'[8]Berechnungen BVerfG'!I$5&lt;=0,0,K39-IF('[8]Berechnungen BVerfG'!I$5&lt;'[8]Berechnungen BVerfG'!I$2,'[8]Berechnungen BVerfG'!I$2,'[8]Berechnungen BVerfG'!I$5))),0))),0)</f>
        <v>0</v>
      </c>
      <c r="N39" s="2081">
        <f>IFERROR(IF($K39&lt;INT('[8]Berechnungen BVerfG'!J$5),0,IF($K39=INT('[8]Berechnungen BVerfG'!J$2),'[8]Berechnungen BVerfG'!J$12,IF($K39&gt;INT('[8]Berechnungen BVerfG'!J$2),'[8]Berechnungen BVerfG'!J$12*(1+'[8]Berechnungen BVerfG'!J$9)^(IF($K39-'[8]Berechnungen BVerfG'!J$5&lt;=0,0,$K39-IF('[8]Berechnungen BVerfG'!J$5&lt;'[8]Berechnungen BVerfG'!J$2,'[8]Berechnungen BVerfG'!J$2,'[8]Berechnungen BVerfG'!K$5))),0))),0)</f>
        <v>0</v>
      </c>
      <c r="O39" s="2081">
        <f>IFERROR(IF($K39&lt;INT('[8]Berechnungen BVerfG'!K$5),0,IF($K39=INT('[8]Berechnungen BVerfG'!K$2),'[8]Berechnungen BVerfG'!K$12,IF($K39&gt;INT('[8]Berechnungen BVerfG'!K$2),'[8]Berechnungen BVerfG'!K$12*(1+'[8]Berechnungen BVerfG'!K$9)^(IF($K39-'[8]Berechnungen BVerfG'!K$5&lt;=0,0,$K39-IF('[8]Berechnungen BVerfG'!K$5&lt;'[8]Berechnungen BVerfG'!K$2,'[8]Berechnungen BVerfG'!K$2,'[8]Berechnungen BVerfG'!K$5))),0))),0)</f>
        <v>0</v>
      </c>
      <c r="P39" s="95">
        <f t="shared" si="1"/>
        <v>0</v>
      </c>
    </row>
    <row r="40" spans="1:16">
      <c r="A40" s="2080" t="e">
        <f>IF(PflGesamt,IF(GesVersrgPfl,SUM([8]!Tabelle2[[#This Row],[Spalte2]:[Spalte8]]),0),0)</f>
        <v>#REF!</v>
      </c>
      <c r="B40" s="2080" t="e">
        <f>IF(BerGesamt,SUM('[8]Berechnungen BVerfG'!P40:R40)+'[8]Berechnungen BVerfG'!N40,0)</f>
        <v>#REF!</v>
      </c>
      <c r="C40" s="2080">
        <f t="shared" si="0"/>
        <v>0</v>
      </c>
      <c r="D40" s="2080" t="e">
        <f>SUM('[8]Berechnungen BVerfG'!P40:R40)+'[8]Berechnungen BVerfG'!N40</f>
        <v>#REF!</v>
      </c>
      <c r="K40" t="e">
        <f>+[8]!Tabelle2[[#This Row],[Alter]]</f>
        <v>#REF!</v>
      </c>
      <c r="L40" s="95">
        <f>IFERROR(IF($K40&lt;INT('[8]Berechnungen BVerfG'!H$5),0,IF($K40=INT('[8]Berechnungen BVerfG'!H$2),'[8]Berechnungen BVerfG'!H$12,IF($K40&gt;INT('[8]Berechnungen BVerfG'!H$2),'[8]Berechnungen BVerfG'!H$12*(1+'[8]Berechnungen BVerfG'!H$9)^(IF($K40-'[8]Berechnungen BVerfG'!H$5&lt;=0,0,$K40-IF('[8]Berechnungen BVerfG'!H$5&lt;'[8]Berechnungen BVerfG'!H$2,'[8]Berechnungen BVerfG'!H$2,'[8]Berechnungen BVerfG'!H$5))),0))),0)</f>
        <v>0</v>
      </c>
      <c r="M40" s="2081">
        <f>IFERROR(IF(K40&lt;INT('[8]Berechnungen BVerfG'!I$5),0,IF(K40=INT('[8]Berechnungen BVerfG'!I$2),'[8]Berechnungen BVerfG'!I$12,IF(K40&gt;INT('[8]Berechnungen BVerfG'!I$2),'[8]Berechnungen BVerfG'!I$12*(1+'[8]Berechnungen BVerfG'!I$9)^(IF(K40-'[8]Berechnungen BVerfG'!I$5&lt;=0,0,K40-IF('[8]Berechnungen BVerfG'!I$5&lt;'[8]Berechnungen BVerfG'!I$2,'[8]Berechnungen BVerfG'!I$2,'[8]Berechnungen BVerfG'!I$5))),0))),0)</f>
        <v>0</v>
      </c>
      <c r="N40" s="2081">
        <f>IFERROR(IF($K40&lt;INT('[8]Berechnungen BVerfG'!J$5),0,IF($K40=INT('[8]Berechnungen BVerfG'!J$2),'[8]Berechnungen BVerfG'!J$12,IF($K40&gt;INT('[8]Berechnungen BVerfG'!J$2),'[8]Berechnungen BVerfG'!J$12*(1+'[8]Berechnungen BVerfG'!J$9)^(IF($K40-'[8]Berechnungen BVerfG'!J$5&lt;=0,0,$K40-IF('[8]Berechnungen BVerfG'!J$5&lt;'[8]Berechnungen BVerfG'!J$2,'[8]Berechnungen BVerfG'!J$2,'[8]Berechnungen BVerfG'!K$5))),0))),0)</f>
        <v>0</v>
      </c>
      <c r="O40" s="2081">
        <f>IFERROR(IF($K40&lt;INT('[8]Berechnungen BVerfG'!K$5),0,IF($K40=INT('[8]Berechnungen BVerfG'!K$2),'[8]Berechnungen BVerfG'!K$12,IF($K40&gt;INT('[8]Berechnungen BVerfG'!K$2),'[8]Berechnungen BVerfG'!K$12*(1+'[8]Berechnungen BVerfG'!K$9)^(IF($K40-'[8]Berechnungen BVerfG'!K$5&lt;=0,0,$K40-IF('[8]Berechnungen BVerfG'!K$5&lt;'[8]Berechnungen BVerfG'!K$2,'[8]Berechnungen BVerfG'!K$2,'[8]Berechnungen BVerfG'!K$5))),0))),0)</f>
        <v>0</v>
      </c>
      <c r="P40" s="95">
        <f t="shared" si="1"/>
        <v>0</v>
      </c>
    </row>
    <row r="41" spans="1:16">
      <c r="A41" s="2080" t="e">
        <f>IF(PflGesamt,IF(GesVersrgPfl,SUM([8]!Tabelle2[[#This Row],[Spalte2]:[Spalte8]]),0),0)</f>
        <v>#REF!</v>
      </c>
      <c r="B41" s="2080" t="e">
        <f>IF(BerGesamt,SUM('[8]Berechnungen BVerfG'!P41:R41)+'[8]Berechnungen BVerfG'!N41,0)</f>
        <v>#REF!</v>
      </c>
      <c r="C41" s="2080">
        <f t="shared" si="0"/>
        <v>0</v>
      </c>
      <c r="D41" s="2080" t="e">
        <f>SUM('[8]Berechnungen BVerfG'!P41:R41)+'[8]Berechnungen BVerfG'!N41</f>
        <v>#REF!</v>
      </c>
      <c r="K41" t="e">
        <f>+[8]!Tabelle2[[#This Row],[Alter]]</f>
        <v>#REF!</v>
      </c>
      <c r="L41" s="95">
        <f>IFERROR(IF($K41&lt;INT('[8]Berechnungen BVerfG'!H$5),0,IF($K41=INT('[8]Berechnungen BVerfG'!H$2),'[8]Berechnungen BVerfG'!H$12,IF($K41&gt;INT('[8]Berechnungen BVerfG'!H$2),'[8]Berechnungen BVerfG'!H$12*(1+'[8]Berechnungen BVerfG'!H$9)^(IF($K41-'[8]Berechnungen BVerfG'!H$5&lt;=0,0,$K41-IF('[8]Berechnungen BVerfG'!H$5&lt;'[8]Berechnungen BVerfG'!H$2,'[8]Berechnungen BVerfG'!H$2,'[8]Berechnungen BVerfG'!H$5))),0))),0)</f>
        <v>0</v>
      </c>
      <c r="M41" s="2081">
        <f>IFERROR(IF(K41&lt;INT('[8]Berechnungen BVerfG'!I$5),0,IF(K41=INT('[8]Berechnungen BVerfG'!I$2),'[8]Berechnungen BVerfG'!I$12,IF(K41&gt;INT('[8]Berechnungen BVerfG'!I$2),'[8]Berechnungen BVerfG'!I$12*(1+'[8]Berechnungen BVerfG'!I$9)^(IF(K41-'[8]Berechnungen BVerfG'!I$5&lt;=0,0,K41-IF('[8]Berechnungen BVerfG'!I$5&lt;'[8]Berechnungen BVerfG'!I$2,'[8]Berechnungen BVerfG'!I$2,'[8]Berechnungen BVerfG'!I$5))),0))),0)</f>
        <v>0</v>
      </c>
      <c r="N41" s="2081">
        <f>IFERROR(IF($K41&lt;INT('[8]Berechnungen BVerfG'!J$5),0,IF($K41=INT('[8]Berechnungen BVerfG'!J$2),'[8]Berechnungen BVerfG'!J$12,IF($K41&gt;INT('[8]Berechnungen BVerfG'!J$2),'[8]Berechnungen BVerfG'!J$12*(1+'[8]Berechnungen BVerfG'!J$9)^(IF($K41-'[8]Berechnungen BVerfG'!J$5&lt;=0,0,$K41-IF('[8]Berechnungen BVerfG'!J$5&lt;'[8]Berechnungen BVerfG'!J$2,'[8]Berechnungen BVerfG'!J$2,'[8]Berechnungen BVerfG'!K$5))),0))),0)</f>
        <v>0</v>
      </c>
      <c r="O41" s="2081">
        <f>IFERROR(IF($K41&lt;INT('[8]Berechnungen BVerfG'!K$5),0,IF($K41=INT('[8]Berechnungen BVerfG'!K$2),'[8]Berechnungen BVerfG'!K$12,IF($K41&gt;INT('[8]Berechnungen BVerfG'!K$2),'[8]Berechnungen BVerfG'!K$12*(1+'[8]Berechnungen BVerfG'!K$9)^(IF($K41-'[8]Berechnungen BVerfG'!K$5&lt;=0,0,$K41-IF('[8]Berechnungen BVerfG'!K$5&lt;'[8]Berechnungen BVerfG'!K$2,'[8]Berechnungen BVerfG'!K$2,'[8]Berechnungen BVerfG'!K$5))),0))),0)</f>
        <v>0</v>
      </c>
      <c r="P41" s="95">
        <f t="shared" si="1"/>
        <v>0</v>
      </c>
    </row>
    <row r="42" spans="1:16">
      <c r="A42" s="2080" t="e">
        <f>IF(PflGesamt,IF(GesVersrgPfl,SUM([8]!Tabelle2[[#This Row],[Spalte2]:[Spalte8]]),0),0)</f>
        <v>#REF!</v>
      </c>
      <c r="B42" s="2080" t="e">
        <f>IF(BerGesamt,SUM('[8]Berechnungen BVerfG'!P42:R42)+'[8]Berechnungen BVerfG'!N42,0)</f>
        <v>#REF!</v>
      </c>
      <c r="C42" s="2080">
        <f t="shared" si="0"/>
        <v>0</v>
      </c>
      <c r="D42" s="2080" t="e">
        <f>SUM('[8]Berechnungen BVerfG'!P42:R42)+'[8]Berechnungen BVerfG'!N42</f>
        <v>#REF!</v>
      </c>
      <c r="K42" t="e">
        <f>+[8]!Tabelle2[[#This Row],[Alter]]</f>
        <v>#REF!</v>
      </c>
      <c r="L42" s="95">
        <f>IFERROR(IF($K42&lt;INT('[8]Berechnungen BVerfG'!H$5),0,IF($K42=INT('[8]Berechnungen BVerfG'!H$2),'[8]Berechnungen BVerfG'!H$12,IF($K42&gt;INT('[8]Berechnungen BVerfG'!H$2),'[8]Berechnungen BVerfG'!H$12*(1+'[8]Berechnungen BVerfG'!H$9)^(IF($K42-'[8]Berechnungen BVerfG'!H$5&lt;=0,0,$K42-IF('[8]Berechnungen BVerfG'!H$5&lt;'[8]Berechnungen BVerfG'!H$2,'[8]Berechnungen BVerfG'!H$2,'[8]Berechnungen BVerfG'!H$5))),0))),0)</f>
        <v>0</v>
      </c>
      <c r="M42" s="2081">
        <f>IFERROR(IF(K42&lt;INT('[8]Berechnungen BVerfG'!I$5),0,IF(K42=INT('[8]Berechnungen BVerfG'!I$2),'[8]Berechnungen BVerfG'!I$12,IF(K42&gt;INT('[8]Berechnungen BVerfG'!I$2),'[8]Berechnungen BVerfG'!I$12*(1+'[8]Berechnungen BVerfG'!I$9)^(IF(K42-'[8]Berechnungen BVerfG'!I$5&lt;=0,0,K42-IF('[8]Berechnungen BVerfG'!I$5&lt;'[8]Berechnungen BVerfG'!I$2,'[8]Berechnungen BVerfG'!I$2,'[8]Berechnungen BVerfG'!I$5))),0))),0)</f>
        <v>0</v>
      </c>
      <c r="N42" s="2081">
        <f>IFERROR(IF($K42&lt;INT('[8]Berechnungen BVerfG'!J$5),0,IF($K42=INT('[8]Berechnungen BVerfG'!J$2),'[8]Berechnungen BVerfG'!J$12,IF($K42&gt;INT('[8]Berechnungen BVerfG'!J$2),'[8]Berechnungen BVerfG'!J$12*(1+'[8]Berechnungen BVerfG'!J$9)^(IF($K42-'[8]Berechnungen BVerfG'!J$5&lt;=0,0,$K42-IF('[8]Berechnungen BVerfG'!J$5&lt;'[8]Berechnungen BVerfG'!J$2,'[8]Berechnungen BVerfG'!J$2,'[8]Berechnungen BVerfG'!K$5))),0))),0)</f>
        <v>0</v>
      </c>
      <c r="O42" s="2081">
        <f>IFERROR(IF($K42&lt;INT('[8]Berechnungen BVerfG'!K$5),0,IF($K42=INT('[8]Berechnungen BVerfG'!K$2),'[8]Berechnungen BVerfG'!K$12,IF($K42&gt;INT('[8]Berechnungen BVerfG'!K$2),'[8]Berechnungen BVerfG'!K$12*(1+'[8]Berechnungen BVerfG'!K$9)^(IF($K42-'[8]Berechnungen BVerfG'!K$5&lt;=0,0,$K42-IF('[8]Berechnungen BVerfG'!K$5&lt;'[8]Berechnungen BVerfG'!K$2,'[8]Berechnungen BVerfG'!K$2,'[8]Berechnungen BVerfG'!K$5))),0))),0)</f>
        <v>0</v>
      </c>
      <c r="P42" s="95">
        <f t="shared" si="1"/>
        <v>0</v>
      </c>
    </row>
    <row r="43" spans="1:16">
      <c r="A43" s="2080" t="e">
        <f>IF(PflGesamt,IF(GesVersrgPfl,SUM([8]!Tabelle2[[#This Row],[Spalte2]:[Spalte8]]),0),0)</f>
        <v>#REF!</v>
      </c>
      <c r="B43" s="2080" t="e">
        <f>IF(BerGesamt,SUM('[8]Berechnungen BVerfG'!P43:R43)+'[8]Berechnungen BVerfG'!N43,0)</f>
        <v>#REF!</v>
      </c>
      <c r="C43" s="2080">
        <f t="shared" si="0"/>
        <v>0</v>
      </c>
      <c r="D43" s="2080" t="e">
        <f>SUM('[8]Berechnungen BVerfG'!P43:R43)+'[8]Berechnungen BVerfG'!N43</f>
        <v>#REF!</v>
      </c>
      <c r="K43" t="e">
        <f>+[8]!Tabelle2[[#This Row],[Alter]]</f>
        <v>#REF!</v>
      </c>
      <c r="L43" s="95">
        <f>IFERROR(IF($K43&lt;INT('[8]Berechnungen BVerfG'!H$5),0,IF($K43=INT('[8]Berechnungen BVerfG'!H$2),'[8]Berechnungen BVerfG'!H$12,IF($K43&gt;INT('[8]Berechnungen BVerfG'!H$2),'[8]Berechnungen BVerfG'!H$12*(1+'[8]Berechnungen BVerfG'!H$9)^(IF($K43-'[8]Berechnungen BVerfG'!H$5&lt;=0,0,$K43-IF('[8]Berechnungen BVerfG'!H$5&lt;'[8]Berechnungen BVerfG'!H$2,'[8]Berechnungen BVerfG'!H$2,'[8]Berechnungen BVerfG'!H$5))),0))),0)</f>
        <v>0</v>
      </c>
      <c r="M43" s="2081">
        <f>IFERROR(IF(K43&lt;INT('[8]Berechnungen BVerfG'!I$5),0,IF(K43=INT('[8]Berechnungen BVerfG'!I$2),'[8]Berechnungen BVerfG'!I$12,IF(K43&gt;INT('[8]Berechnungen BVerfG'!I$2),'[8]Berechnungen BVerfG'!I$12*(1+'[8]Berechnungen BVerfG'!I$9)^(IF(K43-'[8]Berechnungen BVerfG'!I$5&lt;=0,0,K43-IF('[8]Berechnungen BVerfG'!I$5&lt;'[8]Berechnungen BVerfG'!I$2,'[8]Berechnungen BVerfG'!I$2,'[8]Berechnungen BVerfG'!I$5))),0))),0)</f>
        <v>0</v>
      </c>
      <c r="N43" s="2081">
        <f>IFERROR(IF($K43&lt;INT('[8]Berechnungen BVerfG'!J$5),0,IF($K43=INT('[8]Berechnungen BVerfG'!J$2),'[8]Berechnungen BVerfG'!J$12,IF($K43&gt;INT('[8]Berechnungen BVerfG'!J$2),'[8]Berechnungen BVerfG'!J$12*(1+'[8]Berechnungen BVerfG'!J$9)^(IF($K43-'[8]Berechnungen BVerfG'!J$5&lt;=0,0,$K43-IF('[8]Berechnungen BVerfG'!J$5&lt;'[8]Berechnungen BVerfG'!J$2,'[8]Berechnungen BVerfG'!J$2,'[8]Berechnungen BVerfG'!K$5))),0))),0)</f>
        <v>0</v>
      </c>
      <c r="O43" s="2081">
        <f>IFERROR(IF($K43&lt;INT('[8]Berechnungen BVerfG'!K$5),0,IF($K43=INT('[8]Berechnungen BVerfG'!K$2),'[8]Berechnungen BVerfG'!K$12,IF($K43&gt;INT('[8]Berechnungen BVerfG'!K$2),'[8]Berechnungen BVerfG'!K$12*(1+'[8]Berechnungen BVerfG'!K$9)^(IF($K43-'[8]Berechnungen BVerfG'!K$5&lt;=0,0,$K43-IF('[8]Berechnungen BVerfG'!K$5&lt;'[8]Berechnungen BVerfG'!K$2,'[8]Berechnungen BVerfG'!K$2,'[8]Berechnungen BVerfG'!K$5))),0))),0)</f>
        <v>0</v>
      </c>
      <c r="P43" s="95">
        <f t="shared" si="1"/>
        <v>0</v>
      </c>
    </row>
    <row r="44" spans="1:16">
      <c r="A44" s="2080" t="e">
        <f>IF(PflGesamt,IF(GesVersrgPfl,SUM([8]!Tabelle2[[#This Row],[Spalte2]:[Spalte8]]),0),0)</f>
        <v>#REF!</v>
      </c>
      <c r="B44" s="2080" t="e">
        <f>IF(BerGesamt,SUM('[8]Berechnungen BVerfG'!P44:R44)+'[8]Berechnungen BVerfG'!N44,0)</f>
        <v>#REF!</v>
      </c>
      <c r="C44" s="2080">
        <f t="shared" si="0"/>
        <v>0</v>
      </c>
      <c r="D44" s="2080" t="e">
        <f>SUM('[8]Berechnungen BVerfG'!P44:R44)+'[8]Berechnungen BVerfG'!N44</f>
        <v>#REF!</v>
      </c>
      <c r="K44" t="e">
        <f>+[8]!Tabelle2[[#This Row],[Alter]]</f>
        <v>#REF!</v>
      </c>
      <c r="L44" s="95">
        <f>IFERROR(IF($K44&lt;INT('[8]Berechnungen BVerfG'!H$5),0,IF($K44=INT('[8]Berechnungen BVerfG'!H$2),'[8]Berechnungen BVerfG'!H$12,IF($K44&gt;INT('[8]Berechnungen BVerfG'!H$2),'[8]Berechnungen BVerfG'!H$12*(1+'[8]Berechnungen BVerfG'!H$9)^(IF($K44-'[8]Berechnungen BVerfG'!H$5&lt;=0,0,$K44-IF('[8]Berechnungen BVerfG'!H$5&lt;'[8]Berechnungen BVerfG'!H$2,'[8]Berechnungen BVerfG'!H$2,'[8]Berechnungen BVerfG'!H$5))),0))),0)</f>
        <v>0</v>
      </c>
      <c r="M44" s="2081">
        <f>IFERROR(IF(K44&lt;INT('[8]Berechnungen BVerfG'!I$5),0,IF(K44=INT('[8]Berechnungen BVerfG'!I$2),'[8]Berechnungen BVerfG'!I$12,IF(K44&gt;INT('[8]Berechnungen BVerfG'!I$2),'[8]Berechnungen BVerfG'!I$12*(1+'[8]Berechnungen BVerfG'!I$9)^(IF(K44-'[8]Berechnungen BVerfG'!I$5&lt;=0,0,K44-IF('[8]Berechnungen BVerfG'!I$5&lt;'[8]Berechnungen BVerfG'!I$2,'[8]Berechnungen BVerfG'!I$2,'[8]Berechnungen BVerfG'!I$5))),0))),0)</f>
        <v>0</v>
      </c>
      <c r="N44" s="2081">
        <f>IFERROR(IF($K44&lt;INT('[8]Berechnungen BVerfG'!J$5),0,IF($K44=INT('[8]Berechnungen BVerfG'!J$2),'[8]Berechnungen BVerfG'!J$12,IF($K44&gt;INT('[8]Berechnungen BVerfG'!J$2),'[8]Berechnungen BVerfG'!J$12*(1+'[8]Berechnungen BVerfG'!J$9)^(IF($K44-'[8]Berechnungen BVerfG'!J$5&lt;=0,0,$K44-IF('[8]Berechnungen BVerfG'!J$5&lt;'[8]Berechnungen BVerfG'!J$2,'[8]Berechnungen BVerfG'!J$2,'[8]Berechnungen BVerfG'!K$5))),0))),0)</f>
        <v>0</v>
      </c>
      <c r="O44" s="2081">
        <f>IFERROR(IF($K44&lt;INT('[8]Berechnungen BVerfG'!K$5),0,IF($K44=INT('[8]Berechnungen BVerfG'!K$2),'[8]Berechnungen BVerfG'!K$12,IF($K44&gt;INT('[8]Berechnungen BVerfG'!K$2),'[8]Berechnungen BVerfG'!K$12*(1+'[8]Berechnungen BVerfG'!K$9)^(IF($K44-'[8]Berechnungen BVerfG'!K$5&lt;=0,0,$K44-IF('[8]Berechnungen BVerfG'!K$5&lt;'[8]Berechnungen BVerfG'!K$2,'[8]Berechnungen BVerfG'!K$2,'[8]Berechnungen BVerfG'!K$5))),0))),0)</f>
        <v>0</v>
      </c>
      <c r="P44" s="95">
        <f t="shared" si="1"/>
        <v>0</v>
      </c>
    </row>
    <row r="45" spans="1:16">
      <c r="A45" s="2080" t="e">
        <f>IF(PflGesamt,IF(GesVersrgPfl,SUM([8]!Tabelle2[[#This Row],[Spalte2]:[Spalte8]]),0),0)</f>
        <v>#REF!</v>
      </c>
      <c r="B45" s="2080" t="e">
        <f>IF(BerGesamt,SUM('[8]Berechnungen BVerfG'!P45:R45)+'[8]Berechnungen BVerfG'!N45,0)</f>
        <v>#REF!</v>
      </c>
      <c r="C45" s="2080">
        <f t="shared" si="0"/>
        <v>0</v>
      </c>
      <c r="D45" s="2080" t="e">
        <f>SUM('[8]Berechnungen BVerfG'!P45:R45)+'[8]Berechnungen BVerfG'!N45</f>
        <v>#REF!</v>
      </c>
      <c r="K45" t="e">
        <f>+[8]!Tabelle2[[#This Row],[Alter]]</f>
        <v>#REF!</v>
      </c>
      <c r="L45" s="95">
        <f>IFERROR(IF($K45&lt;INT('[8]Berechnungen BVerfG'!H$5),0,IF($K45=INT('[8]Berechnungen BVerfG'!H$2),'[8]Berechnungen BVerfG'!H$12,IF($K45&gt;INT('[8]Berechnungen BVerfG'!H$2),'[8]Berechnungen BVerfG'!H$12*(1+'[8]Berechnungen BVerfG'!H$9)^(IF($K45-'[8]Berechnungen BVerfG'!H$5&lt;=0,0,$K45-IF('[8]Berechnungen BVerfG'!H$5&lt;'[8]Berechnungen BVerfG'!H$2,'[8]Berechnungen BVerfG'!H$2,'[8]Berechnungen BVerfG'!H$5))),0))),0)</f>
        <v>0</v>
      </c>
      <c r="M45" s="2081">
        <f>IFERROR(IF(K45&lt;INT('[8]Berechnungen BVerfG'!I$5),0,IF(K45=INT('[8]Berechnungen BVerfG'!I$2),'[8]Berechnungen BVerfG'!I$12,IF(K45&gt;INT('[8]Berechnungen BVerfG'!I$2),'[8]Berechnungen BVerfG'!I$12*(1+'[8]Berechnungen BVerfG'!I$9)^(IF(K45-'[8]Berechnungen BVerfG'!I$5&lt;=0,0,K45-IF('[8]Berechnungen BVerfG'!I$5&lt;'[8]Berechnungen BVerfG'!I$2,'[8]Berechnungen BVerfG'!I$2,'[8]Berechnungen BVerfG'!I$5))),0))),0)</f>
        <v>0</v>
      </c>
      <c r="N45" s="2081">
        <f>IFERROR(IF($K45&lt;INT('[8]Berechnungen BVerfG'!J$5),0,IF($K45=INT('[8]Berechnungen BVerfG'!J$2),'[8]Berechnungen BVerfG'!J$12,IF($K45&gt;INT('[8]Berechnungen BVerfG'!J$2),'[8]Berechnungen BVerfG'!J$12*(1+'[8]Berechnungen BVerfG'!J$9)^(IF($K45-'[8]Berechnungen BVerfG'!J$5&lt;=0,0,$K45-IF('[8]Berechnungen BVerfG'!J$5&lt;'[8]Berechnungen BVerfG'!J$2,'[8]Berechnungen BVerfG'!J$2,'[8]Berechnungen BVerfG'!K$5))),0))),0)</f>
        <v>0</v>
      </c>
      <c r="O45" s="2081">
        <f>IFERROR(IF($K45&lt;INT('[8]Berechnungen BVerfG'!K$5),0,IF($K45=INT('[8]Berechnungen BVerfG'!K$2),'[8]Berechnungen BVerfG'!K$12,IF($K45&gt;INT('[8]Berechnungen BVerfG'!K$2),'[8]Berechnungen BVerfG'!K$12*(1+'[8]Berechnungen BVerfG'!K$9)^(IF($K45-'[8]Berechnungen BVerfG'!K$5&lt;=0,0,$K45-IF('[8]Berechnungen BVerfG'!K$5&lt;'[8]Berechnungen BVerfG'!K$2,'[8]Berechnungen BVerfG'!K$2,'[8]Berechnungen BVerfG'!K$5))),0))),0)</f>
        <v>0</v>
      </c>
      <c r="P45" s="95">
        <f t="shared" si="1"/>
        <v>0</v>
      </c>
    </row>
    <row r="46" spans="1:16">
      <c r="A46" s="2080" t="e">
        <f>IF(PflGesamt,IF(GesVersrgPfl,SUM([8]!Tabelle2[[#This Row],[Spalte2]:[Spalte8]]),0),0)</f>
        <v>#REF!</v>
      </c>
      <c r="B46" s="2080" t="e">
        <f>IF(BerGesamt,SUM('[8]Berechnungen BVerfG'!P46:R46)+'[8]Berechnungen BVerfG'!N46,0)</f>
        <v>#REF!</v>
      </c>
      <c r="C46" s="2080">
        <f t="shared" si="0"/>
        <v>0</v>
      </c>
      <c r="D46" s="2080" t="e">
        <f>SUM('[8]Berechnungen BVerfG'!P46:R46)+'[8]Berechnungen BVerfG'!N46</f>
        <v>#REF!</v>
      </c>
      <c r="K46" t="e">
        <f>+[8]!Tabelle2[[#This Row],[Alter]]</f>
        <v>#REF!</v>
      </c>
      <c r="L46" s="95">
        <f>IFERROR(IF($K46&lt;INT('[8]Berechnungen BVerfG'!H$5),0,IF($K46=INT('[8]Berechnungen BVerfG'!H$2),'[8]Berechnungen BVerfG'!H$12,IF($K46&gt;INT('[8]Berechnungen BVerfG'!H$2),'[8]Berechnungen BVerfG'!H$12*(1+'[8]Berechnungen BVerfG'!H$9)^(IF($K46-'[8]Berechnungen BVerfG'!H$5&lt;=0,0,$K46-IF('[8]Berechnungen BVerfG'!H$5&lt;'[8]Berechnungen BVerfG'!H$2,'[8]Berechnungen BVerfG'!H$2,'[8]Berechnungen BVerfG'!H$5))),0))),0)</f>
        <v>0</v>
      </c>
      <c r="M46" s="2081">
        <f>IFERROR(IF(K46&lt;INT('[8]Berechnungen BVerfG'!I$5),0,IF(K46=INT('[8]Berechnungen BVerfG'!I$2),'[8]Berechnungen BVerfG'!I$12,IF(K46&gt;INT('[8]Berechnungen BVerfG'!I$2),'[8]Berechnungen BVerfG'!I$12*(1+'[8]Berechnungen BVerfG'!I$9)^(IF(K46-'[8]Berechnungen BVerfG'!I$5&lt;=0,0,K46-IF('[8]Berechnungen BVerfG'!I$5&lt;'[8]Berechnungen BVerfG'!I$2,'[8]Berechnungen BVerfG'!I$2,'[8]Berechnungen BVerfG'!I$5))),0))),0)</f>
        <v>0</v>
      </c>
      <c r="N46" s="2081">
        <f>IFERROR(IF($K46&lt;INT('[8]Berechnungen BVerfG'!J$5),0,IF($K46=INT('[8]Berechnungen BVerfG'!J$2),'[8]Berechnungen BVerfG'!J$12,IF($K46&gt;INT('[8]Berechnungen BVerfG'!J$2),'[8]Berechnungen BVerfG'!J$12*(1+'[8]Berechnungen BVerfG'!J$9)^(IF($K46-'[8]Berechnungen BVerfG'!J$5&lt;=0,0,$K46-IF('[8]Berechnungen BVerfG'!J$5&lt;'[8]Berechnungen BVerfG'!J$2,'[8]Berechnungen BVerfG'!J$2,'[8]Berechnungen BVerfG'!K$5))),0))),0)</f>
        <v>0</v>
      </c>
      <c r="O46" s="2081">
        <f>IFERROR(IF($K46&lt;INT('[8]Berechnungen BVerfG'!K$5),0,IF($K46=INT('[8]Berechnungen BVerfG'!K$2),'[8]Berechnungen BVerfG'!K$12,IF($K46&gt;INT('[8]Berechnungen BVerfG'!K$2),'[8]Berechnungen BVerfG'!K$12*(1+'[8]Berechnungen BVerfG'!K$9)^(IF($K46-'[8]Berechnungen BVerfG'!K$5&lt;=0,0,$K46-IF('[8]Berechnungen BVerfG'!K$5&lt;'[8]Berechnungen BVerfG'!K$2,'[8]Berechnungen BVerfG'!K$2,'[8]Berechnungen BVerfG'!K$5))),0))),0)</f>
        <v>0</v>
      </c>
      <c r="P46" s="95">
        <f t="shared" si="1"/>
        <v>0</v>
      </c>
    </row>
    <row r="47" spans="1:16">
      <c r="A47" s="2080" t="e">
        <f>IF(PflGesamt,IF(GesVersrgPfl,SUM([8]!Tabelle2[[#This Row],[Spalte2]:[Spalte8]]),0),0)</f>
        <v>#REF!</v>
      </c>
      <c r="B47" s="2080" t="e">
        <f>IF(BerGesamt,SUM('[8]Berechnungen BVerfG'!P47:R47)+'[8]Berechnungen BVerfG'!N47,0)</f>
        <v>#REF!</v>
      </c>
      <c r="C47" s="2080">
        <f t="shared" si="0"/>
        <v>0</v>
      </c>
      <c r="D47" s="2080" t="e">
        <f>SUM('[8]Berechnungen BVerfG'!P47:R47)+'[8]Berechnungen BVerfG'!N47</f>
        <v>#REF!</v>
      </c>
      <c r="K47" t="e">
        <f>+[8]!Tabelle2[[#This Row],[Alter]]</f>
        <v>#REF!</v>
      </c>
      <c r="L47" s="95">
        <f>IFERROR(IF($K47&lt;INT('[8]Berechnungen BVerfG'!H$5),0,IF($K47=INT('[8]Berechnungen BVerfG'!H$2),'[8]Berechnungen BVerfG'!H$12,IF($K47&gt;INT('[8]Berechnungen BVerfG'!H$2),'[8]Berechnungen BVerfG'!H$12*(1+'[8]Berechnungen BVerfG'!H$9)^(IF($K47-'[8]Berechnungen BVerfG'!H$5&lt;=0,0,$K47-IF('[8]Berechnungen BVerfG'!H$5&lt;'[8]Berechnungen BVerfG'!H$2,'[8]Berechnungen BVerfG'!H$2,'[8]Berechnungen BVerfG'!H$5))),0))),0)</f>
        <v>0</v>
      </c>
      <c r="M47" s="2081">
        <f>IFERROR(IF(K47&lt;INT('[8]Berechnungen BVerfG'!I$5),0,IF(K47=INT('[8]Berechnungen BVerfG'!I$2),'[8]Berechnungen BVerfG'!I$12,IF(K47&gt;INT('[8]Berechnungen BVerfG'!I$2),'[8]Berechnungen BVerfG'!I$12*(1+'[8]Berechnungen BVerfG'!I$9)^(IF(K47-'[8]Berechnungen BVerfG'!I$5&lt;=0,0,K47-IF('[8]Berechnungen BVerfG'!I$5&lt;'[8]Berechnungen BVerfG'!I$2,'[8]Berechnungen BVerfG'!I$2,'[8]Berechnungen BVerfG'!I$5))),0))),0)</f>
        <v>0</v>
      </c>
      <c r="N47" s="2081">
        <f>IFERROR(IF($K47&lt;INT('[8]Berechnungen BVerfG'!J$5),0,IF($K47=INT('[8]Berechnungen BVerfG'!J$2),'[8]Berechnungen BVerfG'!J$12,IF($K47&gt;INT('[8]Berechnungen BVerfG'!J$2),'[8]Berechnungen BVerfG'!J$12*(1+'[8]Berechnungen BVerfG'!J$9)^(IF($K47-'[8]Berechnungen BVerfG'!J$5&lt;=0,0,$K47-IF('[8]Berechnungen BVerfG'!J$5&lt;'[8]Berechnungen BVerfG'!J$2,'[8]Berechnungen BVerfG'!J$2,'[8]Berechnungen BVerfG'!K$5))),0))),0)</f>
        <v>0</v>
      </c>
      <c r="O47" s="2081">
        <f>IFERROR(IF($K47&lt;INT('[8]Berechnungen BVerfG'!K$5),0,IF($K47=INT('[8]Berechnungen BVerfG'!K$2),'[8]Berechnungen BVerfG'!K$12,IF($K47&gt;INT('[8]Berechnungen BVerfG'!K$2),'[8]Berechnungen BVerfG'!K$12*(1+'[8]Berechnungen BVerfG'!K$9)^(IF($K47-'[8]Berechnungen BVerfG'!K$5&lt;=0,0,$K47-IF('[8]Berechnungen BVerfG'!K$5&lt;'[8]Berechnungen BVerfG'!K$2,'[8]Berechnungen BVerfG'!K$2,'[8]Berechnungen BVerfG'!K$5))),0))),0)</f>
        <v>0</v>
      </c>
      <c r="P47" s="95">
        <f t="shared" si="1"/>
        <v>0</v>
      </c>
    </row>
    <row r="48" spans="1:16">
      <c r="A48" s="2080" t="e">
        <f>IF(PflGesamt,IF(GesVersrgPfl,SUM([8]!Tabelle2[[#This Row],[Spalte2]:[Spalte8]]),0),0)</f>
        <v>#REF!</v>
      </c>
      <c r="B48" s="2080" t="e">
        <f>IF(BerGesamt,SUM('[8]Berechnungen BVerfG'!P48:R48)+'[8]Berechnungen BVerfG'!N48,0)</f>
        <v>#REF!</v>
      </c>
      <c r="C48" s="2080">
        <f t="shared" si="0"/>
        <v>0</v>
      </c>
      <c r="D48" s="2080" t="e">
        <f>SUM('[8]Berechnungen BVerfG'!P48:R48)+'[8]Berechnungen BVerfG'!N48</f>
        <v>#REF!</v>
      </c>
      <c r="K48" t="e">
        <f>+[8]!Tabelle2[[#This Row],[Alter]]</f>
        <v>#REF!</v>
      </c>
      <c r="L48" s="95">
        <f>IFERROR(IF($K48&lt;INT('[8]Berechnungen BVerfG'!H$5),0,IF($K48=INT('[8]Berechnungen BVerfG'!H$2),'[8]Berechnungen BVerfG'!H$12,IF($K48&gt;INT('[8]Berechnungen BVerfG'!H$2),'[8]Berechnungen BVerfG'!H$12*(1+'[8]Berechnungen BVerfG'!H$9)^(IF($K48-'[8]Berechnungen BVerfG'!H$5&lt;=0,0,$K48-IF('[8]Berechnungen BVerfG'!H$5&lt;'[8]Berechnungen BVerfG'!H$2,'[8]Berechnungen BVerfG'!H$2,'[8]Berechnungen BVerfG'!H$5))),0))),0)</f>
        <v>0</v>
      </c>
      <c r="M48" s="2081">
        <f>IFERROR(IF(K48&lt;INT('[8]Berechnungen BVerfG'!I$5),0,IF(K48=INT('[8]Berechnungen BVerfG'!I$2),'[8]Berechnungen BVerfG'!I$12,IF(K48&gt;INT('[8]Berechnungen BVerfG'!I$2),'[8]Berechnungen BVerfG'!I$12*(1+'[8]Berechnungen BVerfG'!I$9)^(IF(K48-'[8]Berechnungen BVerfG'!I$5&lt;=0,0,K48-IF('[8]Berechnungen BVerfG'!I$5&lt;'[8]Berechnungen BVerfG'!I$2,'[8]Berechnungen BVerfG'!I$2,'[8]Berechnungen BVerfG'!I$5))),0))),0)</f>
        <v>0</v>
      </c>
      <c r="N48" s="2081">
        <f>IFERROR(IF($K48&lt;INT('[8]Berechnungen BVerfG'!J$5),0,IF($K48=INT('[8]Berechnungen BVerfG'!J$2),'[8]Berechnungen BVerfG'!J$12,IF($K48&gt;INT('[8]Berechnungen BVerfG'!J$2),'[8]Berechnungen BVerfG'!J$12*(1+'[8]Berechnungen BVerfG'!J$9)^(IF($K48-'[8]Berechnungen BVerfG'!J$5&lt;=0,0,$K48-IF('[8]Berechnungen BVerfG'!J$5&lt;'[8]Berechnungen BVerfG'!J$2,'[8]Berechnungen BVerfG'!J$2,'[8]Berechnungen BVerfG'!K$5))),0))),0)</f>
        <v>0</v>
      </c>
      <c r="O48" s="2081">
        <f>IFERROR(IF($K48&lt;INT('[8]Berechnungen BVerfG'!K$5),0,IF($K48=INT('[8]Berechnungen BVerfG'!K$2),'[8]Berechnungen BVerfG'!K$12,IF($K48&gt;INT('[8]Berechnungen BVerfG'!K$2),'[8]Berechnungen BVerfG'!K$12*(1+'[8]Berechnungen BVerfG'!K$9)^(IF($K48-'[8]Berechnungen BVerfG'!K$5&lt;=0,0,$K48-IF('[8]Berechnungen BVerfG'!K$5&lt;'[8]Berechnungen BVerfG'!K$2,'[8]Berechnungen BVerfG'!K$2,'[8]Berechnungen BVerfG'!K$5))),0))),0)</f>
        <v>0</v>
      </c>
      <c r="P48" s="95">
        <f t="shared" si="1"/>
        <v>0</v>
      </c>
    </row>
    <row r="49" spans="1:16">
      <c r="A49" s="2080" t="e">
        <f>IF(PflGesamt,IF(GesVersrgPfl,SUM([8]!Tabelle2[[#This Row],[Spalte2]:[Spalte8]]),0),0)</f>
        <v>#REF!</v>
      </c>
      <c r="B49" s="2080" t="e">
        <f>IF(BerGesamt,SUM('[8]Berechnungen BVerfG'!P49:R49)+'[8]Berechnungen BVerfG'!N49,0)</f>
        <v>#REF!</v>
      </c>
      <c r="C49" s="2080">
        <f t="shared" si="0"/>
        <v>0</v>
      </c>
      <c r="D49" s="2080" t="e">
        <f>SUM('[8]Berechnungen BVerfG'!P49:R49)+'[8]Berechnungen BVerfG'!N49</f>
        <v>#REF!</v>
      </c>
      <c r="K49" t="e">
        <f>+[8]!Tabelle2[[#This Row],[Alter]]</f>
        <v>#REF!</v>
      </c>
      <c r="L49" s="95">
        <f>IFERROR(IF($K49&lt;INT('[8]Berechnungen BVerfG'!H$5),0,IF($K49=INT('[8]Berechnungen BVerfG'!H$2),'[8]Berechnungen BVerfG'!H$12,IF($K49&gt;INT('[8]Berechnungen BVerfG'!H$2),'[8]Berechnungen BVerfG'!H$12*(1+'[8]Berechnungen BVerfG'!H$9)^(IF($K49-'[8]Berechnungen BVerfG'!H$5&lt;=0,0,$K49-IF('[8]Berechnungen BVerfG'!H$5&lt;'[8]Berechnungen BVerfG'!H$2,'[8]Berechnungen BVerfG'!H$2,'[8]Berechnungen BVerfG'!H$5))),0))),0)</f>
        <v>0</v>
      </c>
      <c r="M49" s="2081">
        <f>IFERROR(IF(K49&lt;INT('[8]Berechnungen BVerfG'!I$5),0,IF(K49=INT('[8]Berechnungen BVerfG'!I$2),'[8]Berechnungen BVerfG'!I$12,IF(K49&gt;INT('[8]Berechnungen BVerfG'!I$2),'[8]Berechnungen BVerfG'!I$12*(1+'[8]Berechnungen BVerfG'!I$9)^(IF(K49-'[8]Berechnungen BVerfG'!I$5&lt;=0,0,K49-IF('[8]Berechnungen BVerfG'!I$5&lt;'[8]Berechnungen BVerfG'!I$2,'[8]Berechnungen BVerfG'!I$2,'[8]Berechnungen BVerfG'!I$5))),0))),0)</f>
        <v>0</v>
      </c>
      <c r="N49" s="2081">
        <f>IFERROR(IF($K49&lt;INT('[8]Berechnungen BVerfG'!J$5),0,IF($K49=INT('[8]Berechnungen BVerfG'!J$2),'[8]Berechnungen BVerfG'!J$12,IF($K49&gt;INT('[8]Berechnungen BVerfG'!J$2),'[8]Berechnungen BVerfG'!J$12*(1+'[8]Berechnungen BVerfG'!J$9)^(IF($K49-'[8]Berechnungen BVerfG'!J$5&lt;=0,0,$K49-IF('[8]Berechnungen BVerfG'!J$5&lt;'[8]Berechnungen BVerfG'!J$2,'[8]Berechnungen BVerfG'!J$2,'[8]Berechnungen BVerfG'!K$5))),0))),0)</f>
        <v>0</v>
      </c>
      <c r="O49" s="2081">
        <f>IFERROR(IF($K49&lt;INT('[8]Berechnungen BVerfG'!K$5),0,IF($K49=INT('[8]Berechnungen BVerfG'!K$2),'[8]Berechnungen BVerfG'!K$12,IF($K49&gt;INT('[8]Berechnungen BVerfG'!K$2),'[8]Berechnungen BVerfG'!K$12*(1+'[8]Berechnungen BVerfG'!K$9)^(IF($K49-'[8]Berechnungen BVerfG'!K$5&lt;=0,0,$K49-IF('[8]Berechnungen BVerfG'!K$5&lt;'[8]Berechnungen BVerfG'!K$2,'[8]Berechnungen BVerfG'!K$2,'[8]Berechnungen BVerfG'!K$5))),0))),0)</f>
        <v>0</v>
      </c>
      <c r="P49" s="95">
        <f t="shared" si="1"/>
        <v>0</v>
      </c>
    </row>
    <row r="50" spans="1:16">
      <c r="A50" s="2080" t="e">
        <f>IF(PflGesamt,IF(GesVersrgPfl,SUM([8]!Tabelle2[[#This Row],[Spalte2]:[Spalte8]]),0),0)</f>
        <v>#REF!</v>
      </c>
      <c r="B50" s="2080" t="e">
        <f>IF(BerGesamt,SUM('[8]Berechnungen BVerfG'!P50:R50)+'[8]Berechnungen BVerfG'!N50,0)</f>
        <v>#REF!</v>
      </c>
      <c r="C50" s="2080">
        <f t="shared" ref="C50:C70" si="2">IF(GesVersrgPfl,P50,0)</f>
        <v>0</v>
      </c>
      <c r="D50" s="2080" t="e">
        <f>SUM('[8]Berechnungen BVerfG'!P50:R50)+'[8]Berechnungen BVerfG'!N50</f>
        <v>#REF!</v>
      </c>
      <c r="K50" t="e">
        <f>+[8]!Tabelle2[[#This Row],[Alter]]</f>
        <v>#REF!</v>
      </c>
      <c r="L50" s="95">
        <f>IFERROR(IF($K50&lt;INT('[8]Berechnungen BVerfG'!H$5),0,IF($K50=INT('[8]Berechnungen BVerfG'!H$2),'[8]Berechnungen BVerfG'!H$12,IF($K50&gt;INT('[8]Berechnungen BVerfG'!H$2),'[8]Berechnungen BVerfG'!H$12*(1+'[8]Berechnungen BVerfG'!H$9)^(IF($K50-'[8]Berechnungen BVerfG'!H$5&lt;=0,0,$K50-IF('[8]Berechnungen BVerfG'!H$5&lt;'[8]Berechnungen BVerfG'!H$2,'[8]Berechnungen BVerfG'!H$2,'[8]Berechnungen BVerfG'!H$5))),0))),0)</f>
        <v>0</v>
      </c>
      <c r="M50" s="2081">
        <f>IFERROR(IF(K50&lt;INT('[8]Berechnungen BVerfG'!I$5),0,IF(K50=INT('[8]Berechnungen BVerfG'!I$2),'[8]Berechnungen BVerfG'!I$12,IF(K50&gt;INT('[8]Berechnungen BVerfG'!I$2),'[8]Berechnungen BVerfG'!I$12*(1+'[8]Berechnungen BVerfG'!I$9)^(IF(K50-'[8]Berechnungen BVerfG'!I$5&lt;=0,0,K50-IF('[8]Berechnungen BVerfG'!I$5&lt;'[8]Berechnungen BVerfG'!I$2,'[8]Berechnungen BVerfG'!I$2,'[8]Berechnungen BVerfG'!I$5))),0))),0)</f>
        <v>0</v>
      </c>
      <c r="N50" s="2081">
        <f>IFERROR(IF($K50&lt;INT('[8]Berechnungen BVerfG'!J$5),0,IF($K50=INT('[8]Berechnungen BVerfG'!J$2),'[8]Berechnungen BVerfG'!J$12,IF($K50&gt;INT('[8]Berechnungen BVerfG'!J$2),'[8]Berechnungen BVerfG'!J$12*(1+'[8]Berechnungen BVerfG'!J$9)^(IF($K50-'[8]Berechnungen BVerfG'!J$5&lt;=0,0,$K50-IF('[8]Berechnungen BVerfG'!J$5&lt;'[8]Berechnungen BVerfG'!J$2,'[8]Berechnungen BVerfG'!J$2,'[8]Berechnungen BVerfG'!K$5))),0))),0)</f>
        <v>0</v>
      </c>
      <c r="O50" s="2081">
        <f>IFERROR(IF($K50&lt;INT('[8]Berechnungen BVerfG'!K$5),0,IF($K50=INT('[8]Berechnungen BVerfG'!K$2),'[8]Berechnungen BVerfG'!K$12,IF($K50&gt;INT('[8]Berechnungen BVerfG'!K$2),'[8]Berechnungen BVerfG'!K$12*(1+'[8]Berechnungen BVerfG'!K$9)^(IF($K50-'[8]Berechnungen BVerfG'!K$5&lt;=0,0,$K50-IF('[8]Berechnungen BVerfG'!K$5&lt;'[8]Berechnungen BVerfG'!K$2,'[8]Berechnungen BVerfG'!K$2,'[8]Berechnungen BVerfG'!K$5))),0))),0)</f>
        <v>0</v>
      </c>
      <c r="P50" s="95">
        <f t="shared" ref="P50:P70" si="3">IF(GesVersrgPfl,SUM(L50:O50),0)</f>
        <v>0</v>
      </c>
    </row>
    <row r="51" spans="1:16">
      <c r="A51" s="2080" t="e">
        <f>IF(PflGesamt,IF(GesVersrgPfl,SUM([8]!Tabelle2[[#This Row],[Spalte2]:[Spalte8]]),0),0)</f>
        <v>#REF!</v>
      </c>
      <c r="B51" s="2080" t="e">
        <f>IF(BerGesamt,SUM('[8]Berechnungen BVerfG'!P51:R51)+'[8]Berechnungen BVerfG'!N51,0)</f>
        <v>#REF!</v>
      </c>
      <c r="C51" s="2080">
        <f t="shared" si="2"/>
        <v>0</v>
      </c>
      <c r="D51" s="2080" t="e">
        <f>SUM('[8]Berechnungen BVerfG'!P51:R51)+'[8]Berechnungen BVerfG'!N51</f>
        <v>#REF!</v>
      </c>
      <c r="K51" t="e">
        <f>+[8]!Tabelle2[[#This Row],[Alter]]</f>
        <v>#REF!</v>
      </c>
      <c r="L51" s="95">
        <f>IFERROR(IF($K51&lt;INT('[8]Berechnungen BVerfG'!H$5),0,IF($K51=INT('[8]Berechnungen BVerfG'!H$2),'[8]Berechnungen BVerfG'!H$12,IF($K51&gt;INT('[8]Berechnungen BVerfG'!H$2),'[8]Berechnungen BVerfG'!H$12*(1+'[8]Berechnungen BVerfG'!H$9)^(IF($K51-'[8]Berechnungen BVerfG'!H$5&lt;=0,0,$K51-IF('[8]Berechnungen BVerfG'!H$5&lt;'[8]Berechnungen BVerfG'!H$2,'[8]Berechnungen BVerfG'!H$2,'[8]Berechnungen BVerfG'!H$5))),0))),0)</f>
        <v>0</v>
      </c>
      <c r="M51" s="2081">
        <f>IFERROR(IF(K51&lt;INT('[8]Berechnungen BVerfG'!I$5),0,IF(K51=INT('[8]Berechnungen BVerfG'!I$2),'[8]Berechnungen BVerfG'!I$12,IF(K51&gt;INT('[8]Berechnungen BVerfG'!I$2),'[8]Berechnungen BVerfG'!I$12*(1+'[8]Berechnungen BVerfG'!I$9)^(IF(K51-'[8]Berechnungen BVerfG'!I$5&lt;=0,0,K51-IF('[8]Berechnungen BVerfG'!I$5&lt;'[8]Berechnungen BVerfG'!I$2,'[8]Berechnungen BVerfG'!I$2,'[8]Berechnungen BVerfG'!I$5))),0))),0)</f>
        <v>0</v>
      </c>
      <c r="N51" s="2081">
        <f>IFERROR(IF($K51&lt;INT('[8]Berechnungen BVerfG'!J$5),0,IF($K51=INT('[8]Berechnungen BVerfG'!J$2),'[8]Berechnungen BVerfG'!J$12,IF($K51&gt;INT('[8]Berechnungen BVerfG'!J$2),'[8]Berechnungen BVerfG'!J$12*(1+'[8]Berechnungen BVerfG'!J$9)^(IF($K51-'[8]Berechnungen BVerfG'!J$5&lt;=0,0,$K51-IF('[8]Berechnungen BVerfG'!J$5&lt;'[8]Berechnungen BVerfG'!J$2,'[8]Berechnungen BVerfG'!J$2,'[8]Berechnungen BVerfG'!K$5))),0))),0)</f>
        <v>0</v>
      </c>
      <c r="O51" s="2081">
        <f>IFERROR(IF($K51&lt;INT('[8]Berechnungen BVerfG'!K$5),0,IF($K51=INT('[8]Berechnungen BVerfG'!K$2),'[8]Berechnungen BVerfG'!K$12,IF($K51&gt;INT('[8]Berechnungen BVerfG'!K$2),'[8]Berechnungen BVerfG'!K$12*(1+'[8]Berechnungen BVerfG'!K$9)^(IF($K51-'[8]Berechnungen BVerfG'!K$5&lt;=0,0,$K51-IF('[8]Berechnungen BVerfG'!K$5&lt;'[8]Berechnungen BVerfG'!K$2,'[8]Berechnungen BVerfG'!K$2,'[8]Berechnungen BVerfG'!K$5))),0))),0)</f>
        <v>0</v>
      </c>
      <c r="P51" s="95">
        <f t="shared" si="3"/>
        <v>0</v>
      </c>
    </row>
    <row r="52" spans="1:16">
      <c r="A52" s="2080" t="e">
        <f>IF(PflGesamt,IF(GesVersrgPfl,SUM([8]!Tabelle2[[#This Row],[Spalte2]:[Spalte8]]),0),0)</f>
        <v>#REF!</v>
      </c>
      <c r="B52" s="2080" t="e">
        <f>IF(BerGesamt,SUM('[8]Berechnungen BVerfG'!P52:R52)+'[8]Berechnungen BVerfG'!N52,0)</f>
        <v>#REF!</v>
      </c>
      <c r="C52" s="2080">
        <f t="shared" si="2"/>
        <v>0</v>
      </c>
      <c r="D52" s="2080" t="e">
        <f>SUM('[8]Berechnungen BVerfG'!P52:R52)+'[8]Berechnungen BVerfG'!N52</f>
        <v>#REF!</v>
      </c>
      <c r="K52" t="e">
        <f>+[8]!Tabelle2[[#This Row],[Alter]]</f>
        <v>#REF!</v>
      </c>
      <c r="L52" s="95">
        <f>IFERROR(IF($K52&lt;INT('[8]Berechnungen BVerfG'!H$5),0,IF($K52=INT('[8]Berechnungen BVerfG'!H$2),'[8]Berechnungen BVerfG'!H$12,IF($K52&gt;INT('[8]Berechnungen BVerfG'!H$2),'[8]Berechnungen BVerfG'!H$12*(1+'[8]Berechnungen BVerfG'!H$9)^(IF($K52-'[8]Berechnungen BVerfG'!H$5&lt;=0,0,$K52-IF('[8]Berechnungen BVerfG'!H$5&lt;'[8]Berechnungen BVerfG'!H$2,'[8]Berechnungen BVerfG'!H$2,'[8]Berechnungen BVerfG'!H$5))),0))),0)</f>
        <v>0</v>
      </c>
      <c r="M52" s="2081">
        <f>IFERROR(IF(K52&lt;INT('[8]Berechnungen BVerfG'!I$5),0,IF(K52=INT('[8]Berechnungen BVerfG'!I$2),'[8]Berechnungen BVerfG'!I$12,IF(K52&gt;INT('[8]Berechnungen BVerfG'!I$2),'[8]Berechnungen BVerfG'!I$12*(1+'[8]Berechnungen BVerfG'!I$9)^(IF(K52-'[8]Berechnungen BVerfG'!I$5&lt;=0,0,K52-IF('[8]Berechnungen BVerfG'!I$5&lt;'[8]Berechnungen BVerfG'!I$2,'[8]Berechnungen BVerfG'!I$2,'[8]Berechnungen BVerfG'!I$5))),0))),0)</f>
        <v>0</v>
      </c>
      <c r="N52" s="2081">
        <f>IFERROR(IF($K52&lt;INT('[8]Berechnungen BVerfG'!J$5),0,IF($K52=INT('[8]Berechnungen BVerfG'!J$2),'[8]Berechnungen BVerfG'!J$12,IF($K52&gt;INT('[8]Berechnungen BVerfG'!J$2),'[8]Berechnungen BVerfG'!J$12*(1+'[8]Berechnungen BVerfG'!J$9)^(IF($K52-'[8]Berechnungen BVerfG'!J$5&lt;=0,0,$K52-IF('[8]Berechnungen BVerfG'!J$5&lt;'[8]Berechnungen BVerfG'!J$2,'[8]Berechnungen BVerfG'!J$2,'[8]Berechnungen BVerfG'!K$5))),0))),0)</f>
        <v>0</v>
      </c>
      <c r="O52" s="2081">
        <f>IFERROR(IF($K52&lt;INT('[8]Berechnungen BVerfG'!K$5),0,IF($K52=INT('[8]Berechnungen BVerfG'!K$2),'[8]Berechnungen BVerfG'!K$12,IF($K52&gt;INT('[8]Berechnungen BVerfG'!K$2),'[8]Berechnungen BVerfG'!K$12*(1+'[8]Berechnungen BVerfG'!K$9)^(IF($K52-'[8]Berechnungen BVerfG'!K$5&lt;=0,0,$K52-IF('[8]Berechnungen BVerfG'!K$5&lt;'[8]Berechnungen BVerfG'!K$2,'[8]Berechnungen BVerfG'!K$2,'[8]Berechnungen BVerfG'!K$5))),0))),0)</f>
        <v>0</v>
      </c>
      <c r="P52" s="95">
        <f t="shared" si="3"/>
        <v>0</v>
      </c>
    </row>
    <row r="53" spans="1:16">
      <c r="A53" s="2080" t="e">
        <f>IF(PflGesamt,IF(GesVersrgPfl,SUM([8]!Tabelle2[[#This Row],[Spalte2]:[Spalte8]]),0),0)</f>
        <v>#REF!</v>
      </c>
      <c r="B53" s="2080" t="e">
        <f>IF(BerGesamt,SUM('[8]Berechnungen BVerfG'!P53:R53)+'[8]Berechnungen BVerfG'!N53,0)</f>
        <v>#REF!</v>
      </c>
      <c r="C53" s="2080">
        <f t="shared" si="2"/>
        <v>0</v>
      </c>
      <c r="D53" s="2080" t="e">
        <f>SUM('[8]Berechnungen BVerfG'!P53:R53)+'[8]Berechnungen BVerfG'!N53</f>
        <v>#REF!</v>
      </c>
      <c r="K53" t="e">
        <f>+[8]!Tabelle2[[#This Row],[Alter]]</f>
        <v>#REF!</v>
      </c>
      <c r="L53" s="95">
        <f>IFERROR(IF($K53&lt;INT('[8]Berechnungen BVerfG'!H$5),0,IF($K53=INT('[8]Berechnungen BVerfG'!H$2),'[8]Berechnungen BVerfG'!H$12,IF($K53&gt;INT('[8]Berechnungen BVerfG'!H$2),'[8]Berechnungen BVerfG'!H$12*(1+'[8]Berechnungen BVerfG'!H$9)^(IF($K53-'[8]Berechnungen BVerfG'!H$5&lt;=0,0,$K53-IF('[8]Berechnungen BVerfG'!H$5&lt;'[8]Berechnungen BVerfG'!H$2,'[8]Berechnungen BVerfG'!H$2,'[8]Berechnungen BVerfG'!H$5))),0))),0)</f>
        <v>0</v>
      </c>
      <c r="M53" s="2081">
        <f>IFERROR(IF(K53&lt;INT('[8]Berechnungen BVerfG'!I$5),0,IF(K53=INT('[8]Berechnungen BVerfG'!I$2),'[8]Berechnungen BVerfG'!I$12,IF(K53&gt;INT('[8]Berechnungen BVerfG'!I$2),'[8]Berechnungen BVerfG'!I$12*(1+'[8]Berechnungen BVerfG'!I$9)^(IF(K53-'[8]Berechnungen BVerfG'!I$5&lt;=0,0,K53-IF('[8]Berechnungen BVerfG'!I$5&lt;'[8]Berechnungen BVerfG'!I$2,'[8]Berechnungen BVerfG'!I$2,'[8]Berechnungen BVerfG'!I$5))),0))),0)</f>
        <v>0</v>
      </c>
      <c r="N53" s="2081">
        <f>IFERROR(IF($K53&lt;INT('[8]Berechnungen BVerfG'!J$5),0,IF($K53=INT('[8]Berechnungen BVerfG'!J$2),'[8]Berechnungen BVerfG'!J$12,IF($K53&gt;INT('[8]Berechnungen BVerfG'!J$2),'[8]Berechnungen BVerfG'!J$12*(1+'[8]Berechnungen BVerfG'!J$9)^(IF($K53-'[8]Berechnungen BVerfG'!J$5&lt;=0,0,$K53-IF('[8]Berechnungen BVerfG'!J$5&lt;'[8]Berechnungen BVerfG'!J$2,'[8]Berechnungen BVerfG'!J$2,'[8]Berechnungen BVerfG'!K$5))),0))),0)</f>
        <v>0</v>
      </c>
      <c r="O53" s="2081">
        <f>IFERROR(IF($K53&lt;INT('[8]Berechnungen BVerfG'!K$5),0,IF($K53=INT('[8]Berechnungen BVerfG'!K$2),'[8]Berechnungen BVerfG'!K$12,IF($K53&gt;INT('[8]Berechnungen BVerfG'!K$2),'[8]Berechnungen BVerfG'!K$12*(1+'[8]Berechnungen BVerfG'!K$9)^(IF($K53-'[8]Berechnungen BVerfG'!K$5&lt;=0,0,$K53-IF('[8]Berechnungen BVerfG'!K$5&lt;'[8]Berechnungen BVerfG'!K$2,'[8]Berechnungen BVerfG'!K$2,'[8]Berechnungen BVerfG'!K$5))),0))),0)</f>
        <v>0</v>
      </c>
      <c r="P53" s="95">
        <f t="shared" si="3"/>
        <v>0</v>
      </c>
    </row>
    <row r="54" spans="1:16">
      <c r="A54" s="2080" t="e">
        <f>IF(PflGesamt,IF(GesVersrgPfl,SUM([8]!Tabelle2[[#This Row],[Spalte2]:[Spalte8]]),0),0)</f>
        <v>#REF!</v>
      </c>
      <c r="B54" s="2080" t="e">
        <f>IF(BerGesamt,SUM('[8]Berechnungen BVerfG'!P54:R54)+'[8]Berechnungen BVerfG'!N54,0)</f>
        <v>#REF!</v>
      </c>
      <c r="C54" s="2080">
        <f t="shared" si="2"/>
        <v>0</v>
      </c>
      <c r="D54" s="2080" t="e">
        <f>SUM('[8]Berechnungen BVerfG'!P54:R54)+'[8]Berechnungen BVerfG'!N54</f>
        <v>#REF!</v>
      </c>
      <c r="K54" t="e">
        <f>+[8]!Tabelle2[[#This Row],[Alter]]</f>
        <v>#REF!</v>
      </c>
      <c r="L54" s="95">
        <f>IFERROR(IF($K54&lt;INT('[8]Berechnungen BVerfG'!H$5),0,IF($K54=INT('[8]Berechnungen BVerfG'!H$2),'[8]Berechnungen BVerfG'!H$12,IF($K54&gt;INT('[8]Berechnungen BVerfG'!H$2),'[8]Berechnungen BVerfG'!H$12*(1+'[8]Berechnungen BVerfG'!H$9)^(IF($K54-'[8]Berechnungen BVerfG'!H$5&lt;=0,0,$K54-IF('[8]Berechnungen BVerfG'!H$5&lt;'[8]Berechnungen BVerfG'!H$2,'[8]Berechnungen BVerfG'!H$2,'[8]Berechnungen BVerfG'!H$5))),0))),0)</f>
        <v>0</v>
      </c>
      <c r="M54" s="2081">
        <f>IFERROR(IF(K54&lt;INT('[8]Berechnungen BVerfG'!I$5),0,IF(K54=INT('[8]Berechnungen BVerfG'!I$2),'[8]Berechnungen BVerfG'!I$12,IF(K54&gt;INT('[8]Berechnungen BVerfG'!I$2),'[8]Berechnungen BVerfG'!I$12*(1+'[8]Berechnungen BVerfG'!I$9)^(IF(K54-'[8]Berechnungen BVerfG'!I$5&lt;=0,0,K54-IF('[8]Berechnungen BVerfG'!I$5&lt;'[8]Berechnungen BVerfG'!I$2,'[8]Berechnungen BVerfG'!I$2,'[8]Berechnungen BVerfG'!I$5))),0))),0)</f>
        <v>0</v>
      </c>
      <c r="N54" s="2081">
        <f>IFERROR(IF($K54&lt;INT('[8]Berechnungen BVerfG'!J$5),0,IF($K54=INT('[8]Berechnungen BVerfG'!J$2),'[8]Berechnungen BVerfG'!J$12,IF($K54&gt;INT('[8]Berechnungen BVerfG'!J$2),'[8]Berechnungen BVerfG'!J$12*(1+'[8]Berechnungen BVerfG'!J$9)^(IF($K54-'[8]Berechnungen BVerfG'!J$5&lt;=0,0,$K54-IF('[8]Berechnungen BVerfG'!J$5&lt;'[8]Berechnungen BVerfG'!J$2,'[8]Berechnungen BVerfG'!J$2,'[8]Berechnungen BVerfG'!K$5))),0))),0)</f>
        <v>0</v>
      </c>
      <c r="O54" s="2081">
        <f>IFERROR(IF($K54&lt;INT('[8]Berechnungen BVerfG'!K$5),0,IF($K54=INT('[8]Berechnungen BVerfG'!K$2),'[8]Berechnungen BVerfG'!K$12,IF($K54&gt;INT('[8]Berechnungen BVerfG'!K$2),'[8]Berechnungen BVerfG'!K$12*(1+'[8]Berechnungen BVerfG'!K$9)^(IF($K54-'[8]Berechnungen BVerfG'!K$5&lt;=0,0,$K54-IF('[8]Berechnungen BVerfG'!K$5&lt;'[8]Berechnungen BVerfG'!K$2,'[8]Berechnungen BVerfG'!K$2,'[8]Berechnungen BVerfG'!K$5))),0))),0)</f>
        <v>0</v>
      </c>
      <c r="P54" s="95">
        <f t="shared" si="3"/>
        <v>0</v>
      </c>
    </row>
    <row r="55" spans="1:16">
      <c r="A55" s="2080" t="e">
        <f>IF(PflGesamt,IF(GesVersrgPfl,SUM([8]!Tabelle2[[#This Row],[Spalte2]:[Spalte8]]),0),0)</f>
        <v>#REF!</v>
      </c>
      <c r="B55" s="2080" t="e">
        <f>IF(BerGesamt,SUM('[8]Berechnungen BVerfG'!P55:R55)+'[8]Berechnungen BVerfG'!N55,0)</f>
        <v>#REF!</v>
      </c>
      <c r="C55" s="2080">
        <f t="shared" si="2"/>
        <v>0</v>
      </c>
      <c r="D55" s="2080" t="e">
        <f>SUM('[8]Berechnungen BVerfG'!P55:R55)+'[8]Berechnungen BVerfG'!N55</f>
        <v>#REF!</v>
      </c>
      <c r="K55" t="e">
        <f>+[8]!Tabelle2[[#This Row],[Alter]]</f>
        <v>#REF!</v>
      </c>
      <c r="L55" s="95">
        <f>IFERROR(IF($K55&lt;INT('[8]Berechnungen BVerfG'!H$5),0,IF($K55=INT('[8]Berechnungen BVerfG'!H$2),'[8]Berechnungen BVerfG'!H$12,IF($K55&gt;INT('[8]Berechnungen BVerfG'!H$2),'[8]Berechnungen BVerfG'!H$12*(1+'[8]Berechnungen BVerfG'!H$9)^(IF($K55-'[8]Berechnungen BVerfG'!H$5&lt;=0,0,$K55-IF('[8]Berechnungen BVerfG'!H$5&lt;'[8]Berechnungen BVerfG'!H$2,'[8]Berechnungen BVerfG'!H$2,'[8]Berechnungen BVerfG'!H$5))),0))),0)</f>
        <v>0</v>
      </c>
      <c r="M55" s="2081">
        <f>IFERROR(IF(K55&lt;INT('[8]Berechnungen BVerfG'!I$5),0,IF(K55=INT('[8]Berechnungen BVerfG'!I$2),'[8]Berechnungen BVerfG'!I$12,IF(K55&gt;INT('[8]Berechnungen BVerfG'!I$2),'[8]Berechnungen BVerfG'!I$12*(1+'[8]Berechnungen BVerfG'!I$9)^(IF(K55-'[8]Berechnungen BVerfG'!I$5&lt;=0,0,K55-IF('[8]Berechnungen BVerfG'!I$5&lt;'[8]Berechnungen BVerfG'!I$2,'[8]Berechnungen BVerfG'!I$2,'[8]Berechnungen BVerfG'!I$5))),0))),0)</f>
        <v>0</v>
      </c>
      <c r="N55" s="2081">
        <f>IFERROR(IF($K55&lt;INT('[8]Berechnungen BVerfG'!J$5),0,IF($K55=INT('[8]Berechnungen BVerfG'!J$2),'[8]Berechnungen BVerfG'!J$12,IF($K55&gt;INT('[8]Berechnungen BVerfG'!J$2),'[8]Berechnungen BVerfG'!J$12*(1+'[8]Berechnungen BVerfG'!J$9)^(IF($K55-'[8]Berechnungen BVerfG'!J$5&lt;=0,0,$K55-IF('[8]Berechnungen BVerfG'!J$5&lt;'[8]Berechnungen BVerfG'!J$2,'[8]Berechnungen BVerfG'!J$2,'[8]Berechnungen BVerfG'!K$5))),0))),0)</f>
        <v>0</v>
      </c>
      <c r="O55" s="2081">
        <f>IFERROR(IF($K55&lt;INT('[8]Berechnungen BVerfG'!K$5),0,IF($K55=INT('[8]Berechnungen BVerfG'!K$2),'[8]Berechnungen BVerfG'!K$12,IF($K55&gt;INT('[8]Berechnungen BVerfG'!K$2),'[8]Berechnungen BVerfG'!K$12*(1+'[8]Berechnungen BVerfG'!K$9)^(IF($K55-'[8]Berechnungen BVerfG'!K$5&lt;=0,0,$K55-IF('[8]Berechnungen BVerfG'!K$5&lt;'[8]Berechnungen BVerfG'!K$2,'[8]Berechnungen BVerfG'!K$2,'[8]Berechnungen BVerfG'!K$5))),0))),0)</f>
        <v>0</v>
      </c>
      <c r="P55" s="95">
        <f t="shared" si="3"/>
        <v>0</v>
      </c>
    </row>
    <row r="56" spans="1:16">
      <c r="A56" s="2080" t="e">
        <f>IF(PflGesamt,IF(GesVersrgPfl,SUM([8]!Tabelle2[[#This Row],[Spalte2]:[Spalte8]]),0),0)</f>
        <v>#REF!</v>
      </c>
      <c r="B56" s="2080" t="e">
        <f>IF(BerGesamt,SUM('[8]Berechnungen BVerfG'!P56:R56)+'[8]Berechnungen BVerfG'!N56,0)</f>
        <v>#REF!</v>
      </c>
      <c r="C56" s="2080">
        <f t="shared" si="2"/>
        <v>0</v>
      </c>
      <c r="D56" s="2080" t="e">
        <f>SUM('[8]Berechnungen BVerfG'!P56:R56)+'[8]Berechnungen BVerfG'!N56</f>
        <v>#REF!</v>
      </c>
      <c r="K56" t="e">
        <f>+[8]!Tabelle2[[#This Row],[Alter]]</f>
        <v>#REF!</v>
      </c>
      <c r="L56" s="95">
        <f>IFERROR(IF($K56&lt;INT('[8]Berechnungen BVerfG'!H$5),0,IF($K56=INT('[8]Berechnungen BVerfG'!H$2),'[8]Berechnungen BVerfG'!H$12,IF($K56&gt;INT('[8]Berechnungen BVerfG'!H$2),'[8]Berechnungen BVerfG'!H$12*(1+'[8]Berechnungen BVerfG'!H$9)^(IF($K56-'[8]Berechnungen BVerfG'!H$5&lt;=0,0,$K56-IF('[8]Berechnungen BVerfG'!H$5&lt;'[8]Berechnungen BVerfG'!H$2,'[8]Berechnungen BVerfG'!H$2,'[8]Berechnungen BVerfG'!H$5))),0))),0)</f>
        <v>0</v>
      </c>
      <c r="M56" s="2081">
        <f>IFERROR(IF(K56&lt;INT('[8]Berechnungen BVerfG'!I$5),0,IF(K56=INT('[8]Berechnungen BVerfG'!I$2),'[8]Berechnungen BVerfG'!I$12,IF(K56&gt;INT('[8]Berechnungen BVerfG'!I$2),'[8]Berechnungen BVerfG'!I$12*(1+'[8]Berechnungen BVerfG'!I$9)^(IF(K56-'[8]Berechnungen BVerfG'!I$5&lt;=0,0,K56-IF('[8]Berechnungen BVerfG'!I$5&lt;'[8]Berechnungen BVerfG'!I$2,'[8]Berechnungen BVerfG'!I$2,'[8]Berechnungen BVerfG'!I$5))),0))),0)</f>
        <v>0</v>
      </c>
      <c r="N56" s="2081">
        <f>IFERROR(IF($K56&lt;INT('[8]Berechnungen BVerfG'!J$5),0,IF($K56=INT('[8]Berechnungen BVerfG'!J$2),'[8]Berechnungen BVerfG'!J$12,IF($K56&gt;INT('[8]Berechnungen BVerfG'!J$2),'[8]Berechnungen BVerfG'!J$12*(1+'[8]Berechnungen BVerfG'!J$9)^(IF($K56-'[8]Berechnungen BVerfG'!J$5&lt;=0,0,$K56-IF('[8]Berechnungen BVerfG'!J$5&lt;'[8]Berechnungen BVerfG'!J$2,'[8]Berechnungen BVerfG'!J$2,'[8]Berechnungen BVerfG'!K$5))),0))),0)</f>
        <v>0</v>
      </c>
      <c r="O56" s="2081">
        <f>IFERROR(IF($K56&lt;INT('[8]Berechnungen BVerfG'!K$5),0,IF($K56=INT('[8]Berechnungen BVerfG'!K$2),'[8]Berechnungen BVerfG'!K$12,IF($K56&gt;INT('[8]Berechnungen BVerfG'!K$2),'[8]Berechnungen BVerfG'!K$12*(1+'[8]Berechnungen BVerfG'!K$9)^(IF($K56-'[8]Berechnungen BVerfG'!K$5&lt;=0,0,$K56-IF('[8]Berechnungen BVerfG'!K$5&lt;'[8]Berechnungen BVerfG'!K$2,'[8]Berechnungen BVerfG'!K$2,'[8]Berechnungen BVerfG'!K$5))),0))),0)</f>
        <v>0</v>
      </c>
      <c r="P56" s="95">
        <f t="shared" si="3"/>
        <v>0</v>
      </c>
    </row>
    <row r="57" spans="1:16">
      <c r="A57" s="2080" t="e">
        <f>IF(PflGesamt,IF(GesVersrgPfl,SUM([8]!Tabelle2[[#This Row],[Spalte2]:[Spalte8]]),0),0)</f>
        <v>#REF!</v>
      </c>
      <c r="B57" s="2080" t="e">
        <f>IF(BerGesamt,SUM('[8]Berechnungen BVerfG'!P57:R57)+'[8]Berechnungen BVerfG'!N57,0)</f>
        <v>#REF!</v>
      </c>
      <c r="C57" s="2080">
        <f t="shared" si="2"/>
        <v>0</v>
      </c>
      <c r="D57" s="2080" t="e">
        <f>SUM('[8]Berechnungen BVerfG'!P57:R57)+'[8]Berechnungen BVerfG'!N57</f>
        <v>#REF!</v>
      </c>
      <c r="K57" t="e">
        <f>+[8]!Tabelle2[[#This Row],[Alter]]</f>
        <v>#REF!</v>
      </c>
      <c r="L57" s="95">
        <f>IFERROR(IF($K57&lt;INT('[8]Berechnungen BVerfG'!H$5),0,IF($K57=INT('[8]Berechnungen BVerfG'!H$2),'[8]Berechnungen BVerfG'!H$12,IF($K57&gt;INT('[8]Berechnungen BVerfG'!H$2),'[8]Berechnungen BVerfG'!H$12*(1+'[8]Berechnungen BVerfG'!H$9)^(IF($K57-'[8]Berechnungen BVerfG'!H$5&lt;=0,0,$K57-IF('[8]Berechnungen BVerfG'!H$5&lt;'[8]Berechnungen BVerfG'!H$2,'[8]Berechnungen BVerfG'!H$2,'[8]Berechnungen BVerfG'!H$5))),0))),0)</f>
        <v>0</v>
      </c>
      <c r="M57" s="2081">
        <f>IFERROR(IF(K57&lt;INT('[8]Berechnungen BVerfG'!I$5),0,IF(K57=INT('[8]Berechnungen BVerfG'!I$2),'[8]Berechnungen BVerfG'!I$12,IF(K57&gt;INT('[8]Berechnungen BVerfG'!I$2),'[8]Berechnungen BVerfG'!I$12*(1+'[8]Berechnungen BVerfG'!I$9)^(IF(K57-'[8]Berechnungen BVerfG'!I$5&lt;=0,0,K57-IF('[8]Berechnungen BVerfG'!I$5&lt;'[8]Berechnungen BVerfG'!I$2,'[8]Berechnungen BVerfG'!I$2,'[8]Berechnungen BVerfG'!I$5))),0))),0)</f>
        <v>0</v>
      </c>
      <c r="N57" s="2081">
        <f>IFERROR(IF($K57&lt;INT('[8]Berechnungen BVerfG'!J$5),0,IF($K57=INT('[8]Berechnungen BVerfG'!J$2),'[8]Berechnungen BVerfG'!J$12,IF($K57&gt;INT('[8]Berechnungen BVerfG'!J$2),'[8]Berechnungen BVerfG'!J$12*(1+'[8]Berechnungen BVerfG'!J$9)^(IF($K57-'[8]Berechnungen BVerfG'!J$5&lt;=0,0,$K57-IF('[8]Berechnungen BVerfG'!J$5&lt;'[8]Berechnungen BVerfG'!J$2,'[8]Berechnungen BVerfG'!J$2,'[8]Berechnungen BVerfG'!K$5))),0))),0)</f>
        <v>0</v>
      </c>
      <c r="O57" s="2081">
        <f>IFERROR(IF($K57&lt;INT('[8]Berechnungen BVerfG'!K$5),0,IF($K57=INT('[8]Berechnungen BVerfG'!K$2),'[8]Berechnungen BVerfG'!K$12,IF($K57&gt;INT('[8]Berechnungen BVerfG'!K$2),'[8]Berechnungen BVerfG'!K$12*(1+'[8]Berechnungen BVerfG'!K$9)^(IF($K57-'[8]Berechnungen BVerfG'!K$5&lt;=0,0,$K57-IF('[8]Berechnungen BVerfG'!K$5&lt;'[8]Berechnungen BVerfG'!K$2,'[8]Berechnungen BVerfG'!K$2,'[8]Berechnungen BVerfG'!K$5))),0))),0)</f>
        <v>0</v>
      </c>
      <c r="P57" s="95">
        <f t="shared" si="3"/>
        <v>0</v>
      </c>
    </row>
    <row r="58" spans="1:16">
      <c r="A58" s="2080" t="e">
        <f>IF(PflGesamt,IF(GesVersrgPfl,SUM([8]!Tabelle2[[#This Row],[Spalte2]:[Spalte8]]),0),0)</f>
        <v>#REF!</v>
      </c>
      <c r="B58" s="2080" t="e">
        <f>IF(BerGesamt,SUM('[8]Berechnungen BVerfG'!P58:R58)+'[8]Berechnungen BVerfG'!N58,0)</f>
        <v>#REF!</v>
      </c>
      <c r="C58" s="2080">
        <f t="shared" si="2"/>
        <v>0</v>
      </c>
      <c r="D58" s="2080" t="e">
        <f>SUM('[8]Berechnungen BVerfG'!P58:R58)+'[8]Berechnungen BVerfG'!N58</f>
        <v>#REF!</v>
      </c>
      <c r="K58" t="e">
        <f>+[8]!Tabelle2[[#This Row],[Alter]]</f>
        <v>#REF!</v>
      </c>
      <c r="L58" s="95">
        <f>IFERROR(IF($K58&lt;INT('[8]Berechnungen BVerfG'!H$5),0,IF($K58=INT('[8]Berechnungen BVerfG'!H$2),'[8]Berechnungen BVerfG'!H$12,IF($K58&gt;INT('[8]Berechnungen BVerfG'!H$2),'[8]Berechnungen BVerfG'!H$12*(1+'[8]Berechnungen BVerfG'!H$9)^(IF($K58-'[8]Berechnungen BVerfG'!H$5&lt;=0,0,$K58-IF('[8]Berechnungen BVerfG'!H$5&lt;'[8]Berechnungen BVerfG'!H$2,'[8]Berechnungen BVerfG'!H$2,'[8]Berechnungen BVerfG'!H$5))),0))),0)</f>
        <v>0</v>
      </c>
      <c r="M58" s="2081">
        <f>IFERROR(IF(K58&lt;INT('[8]Berechnungen BVerfG'!I$5),0,IF(K58=INT('[8]Berechnungen BVerfG'!I$2),'[8]Berechnungen BVerfG'!I$12,IF(K58&gt;INT('[8]Berechnungen BVerfG'!I$2),'[8]Berechnungen BVerfG'!I$12*(1+'[8]Berechnungen BVerfG'!I$9)^(IF(K58-'[8]Berechnungen BVerfG'!I$5&lt;=0,0,K58-IF('[8]Berechnungen BVerfG'!I$5&lt;'[8]Berechnungen BVerfG'!I$2,'[8]Berechnungen BVerfG'!I$2,'[8]Berechnungen BVerfG'!I$5))),0))),0)</f>
        <v>0</v>
      </c>
      <c r="N58" s="2081">
        <f>IFERROR(IF($K58&lt;INT('[8]Berechnungen BVerfG'!J$5),0,IF($K58=INT('[8]Berechnungen BVerfG'!J$2),'[8]Berechnungen BVerfG'!J$12,IF($K58&gt;INT('[8]Berechnungen BVerfG'!J$2),'[8]Berechnungen BVerfG'!J$12*(1+'[8]Berechnungen BVerfG'!J$9)^(IF($K58-'[8]Berechnungen BVerfG'!J$5&lt;=0,0,$K58-IF('[8]Berechnungen BVerfG'!J$5&lt;'[8]Berechnungen BVerfG'!J$2,'[8]Berechnungen BVerfG'!J$2,'[8]Berechnungen BVerfG'!K$5))),0))),0)</f>
        <v>0</v>
      </c>
      <c r="O58" s="2081">
        <f>IFERROR(IF($K58&lt;INT('[8]Berechnungen BVerfG'!K$5),0,IF($K58=INT('[8]Berechnungen BVerfG'!K$2),'[8]Berechnungen BVerfG'!K$12,IF($K58&gt;INT('[8]Berechnungen BVerfG'!K$2),'[8]Berechnungen BVerfG'!K$12*(1+'[8]Berechnungen BVerfG'!K$9)^(IF($K58-'[8]Berechnungen BVerfG'!K$5&lt;=0,0,$K58-IF('[8]Berechnungen BVerfG'!K$5&lt;'[8]Berechnungen BVerfG'!K$2,'[8]Berechnungen BVerfG'!K$2,'[8]Berechnungen BVerfG'!K$5))),0))),0)</f>
        <v>0</v>
      </c>
      <c r="P58" s="95">
        <f t="shared" si="3"/>
        <v>0</v>
      </c>
    </row>
    <row r="59" spans="1:16">
      <c r="A59" s="2080" t="e">
        <f>IF(PflGesamt,IF(GesVersrgPfl,SUM([8]!Tabelle2[[#This Row],[Spalte2]:[Spalte8]]),0),0)</f>
        <v>#REF!</v>
      </c>
      <c r="B59" s="2080" t="e">
        <f>IF(BerGesamt,SUM('[8]Berechnungen BVerfG'!P59:R59)+'[8]Berechnungen BVerfG'!N59,0)</f>
        <v>#REF!</v>
      </c>
      <c r="C59" s="2080">
        <f t="shared" si="2"/>
        <v>0</v>
      </c>
      <c r="D59" s="2080" t="e">
        <f>SUM('[8]Berechnungen BVerfG'!P59:R59)+'[8]Berechnungen BVerfG'!N59</f>
        <v>#REF!</v>
      </c>
      <c r="K59" t="e">
        <f>+[8]!Tabelle2[[#This Row],[Alter]]</f>
        <v>#REF!</v>
      </c>
      <c r="L59" s="95">
        <f>IFERROR(IF($K59&lt;INT('[8]Berechnungen BVerfG'!H$5),0,IF($K59=INT('[8]Berechnungen BVerfG'!H$2),'[8]Berechnungen BVerfG'!H$12,IF($K59&gt;INT('[8]Berechnungen BVerfG'!H$2),'[8]Berechnungen BVerfG'!H$12*(1+'[8]Berechnungen BVerfG'!H$9)^(IF($K59-'[8]Berechnungen BVerfG'!H$5&lt;=0,0,$K59-IF('[8]Berechnungen BVerfG'!H$5&lt;'[8]Berechnungen BVerfG'!H$2,'[8]Berechnungen BVerfG'!H$2,'[8]Berechnungen BVerfG'!H$5))),0))),0)</f>
        <v>0</v>
      </c>
      <c r="M59" s="2081">
        <f>IFERROR(IF(K59&lt;INT('[8]Berechnungen BVerfG'!I$5),0,IF(K59=INT('[8]Berechnungen BVerfG'!I$2),'[8]Berechnungen BVerfG'!I$12,IF(K59&gt;INT('[8]Berechnungen BVerfG'!I$2),'[8]Berechnungen BVerfG'!I$12*(1+'[8]Berechnungen BVerfG'!I$9)^(IF(K59-'[8]Berechnungen BVerfG'!I$5&lt;=0,0,K59-IF('[8]Berechnungen BVerfG'!I$5&lt;'[8]Berechnungen BVerfG'!I$2,'[8]Berechnungen BVerfG'!I$2,'[8]Berechnungen BVerfG'!I$5))),0))),0)</f>
        <v>0</v>
      </c>
      <c r="N59" s="2081">
        <f>IFERROR(IF($K59&lt;INT('[8]Berechnungen BVerfG'!J$5),0,IF($K59=INT('[8]Berechnungen BVerfG'!J$2),'[8]Berechnungen BVerfG'!J$12,IF($K59&gt;INT('[8]Berechnungen BVerfG'!J$2),'[8]Berechnungen BVerfG'!J$12*(1+'[8]Berechnungen BVerfG'!J$9)^(IF($K59-'[8]Berechnungen BVerfG'!J$5&lt;=0,0,$K59-IF('[8]Berechnungen BVerfG'!J$5&lt;'[8]Berechnungen BVerfG'!J$2,'[8]Berechnungen BVerfG'!J$2,'[8]Berechnungen BVerfG'!K$5))),0))),0)</f>
        <v>0</v>
      </c>
      <c r="O59" s="2081">
        <f>IFERROR(IF($K59&lt;INT('[8]Berechnungen BVerfG'!K$5),0,IF($K59=INT('[8]Berechnungen BVerfG'!K$2),'[8]Berechnungen BVerfG'!K$12,IF($K59&gt;INT('[8]Berechnungen BVerfG'!K$2),'[8]Berechnungen BVerfG'!K$12*(1+'[8]Berechnungen BVerfG'!K$9)^(IF($K59-'[8]Berechnungen BVerfG'!K$5&lt;=0,0,$K59-IF('[8]Berechnungen BVerfG'!K$5&lt;'[8]Berechnungen BVerfG'!K$2,'[8]Berechnungen BVerfG'!K$2,'[8]Berechnungen BVerfG'!K$5))),0))),0)</f>
        <v>0</v>
      </c>
      <c r="P59" s="95">
        <f t="shared" si="3"/>
        <v>0</v>
      </c>
    </row>
    <row r="60" spans="1:16">
      <c r="A60" s="2080" t="e">
        <f>IF(PflGesamt,IF(GesVersrgPfl,SUM([8]!Tabelle2[[#This Row],[Spalte2]:[Spalte8]]),0),0)</f>
        <v>#REF!</v>
      </c>
      <c r="B60" s="2080" t="e">
        <f>IF(BerGesamt,SUM('[8]Berechnungen BVerfG'!P60:R60)+'[8]Berechnungen BVerfG'!N60,0)</f>
        <v>#REF!</v>
      </c>
      <c r="C60" s="2080">
        <f t="shared" si="2"/>
        <v>0</v>
      </c>
      <c r="D60" s="2080" t="e">
        <f>SUM('[8]Berechnungen BVerfG'!P60:R60)+'[8]Berechnungen BVerfG'!N60</f>
        <v>#REF!</v>
      </c>
      <c r="K60" t="e">
        <f>+[8]!Tabelle2[[#This Row],[Alter]]</f>
        <v>#REF!</v>
      </c>
      <c r="L60" s="95">
        <f>IFERROR(IF($K60&lt;INT('[8]Berechnungen BVerfG'!H$5),0,IF($K60=INT('[8]Berechnungen BVerfG'!H$2),'[8]Berechnungen BVerfG'!H$12,IF($K60&gt;INT('[8]Berechnungen BVerfG'!H$2),'[8]Berechnungen BVerfG'!H$12*(1+'[8]Berechnungen BVerfG'!H$9)^(IF($K60-'[8]Berechnungen BVerfG'!H$5&lt;=0,0,$K60-IF('[8]Berechnungen BVerfG'!H$5&lt;'[8]Berechnungen BVerfG'!H$2,'[8]Berechnungen BVerfG'!H$2,'[8]Berechnungen BVerfG'!H$5))),0))),0)</f>
        <v>0</v>
      </c>
      <c r="M60" s="2081">
        <f>IFERROR(IF(K60&lt;INT('[8]Berechnungen BVerfG'!I$5),0,IF(K60=INT('[8]Berechnungen BVerfG'!I$2),'[8]Berechnungen BVerfG'!I$12,IF(K60&gt;INT('[8]Berechnungen BVerfG'!I$2),'[8]Berechnungen BVerfG'!I$12*(1+'[8]Berechnungen BVerfG'!I$9)^(IF(K60-'[8]Berechnungen BVerfG'!I$5&lt;=0,0,K60-IF('[8]Berechnungen BVerfG'!I$5&lt;'[8]Berechnungen BVerfG'!I$2,'[8]Berechnungen BVerfG'!I$2,'[8]Berechnungen BVerfG'!I$5))),0))),0)</f>
        <v>0</v>
      </c>
      <c r="N60" s="2081">
        <f>IFERROR(IF($K60&lt;INT('[8]Berechnungen BVerfG'!J$5),0,IF($K60=INT('[8]Berechnungen BVerfG'!J$2),'[8]Berechnungen BVerfG'!J$12,IF($K60&gt;INT('[8]Berechnungen BVerfG'!J$2),'[8]Berechnungen BVerfG'!J$12*(1+'[8]Berechnungen BVerfG'!J$9)^(IF($K60-'[8]Berechnungen BVerfG'!J$5&lt;=0,0,$K60-IF('[8]Berechnungen BVerfG'!J$5&lt;'[8]Berechnungen BVerfG'!J$2,'[8]Berechnungen BVerfG'!J$2,'[8]Berechnungen BVerfG'!K$5))),0))),0)</f>
        <v>0</v>
      </c>
      <c r="O60" s="2081">
        <f>IFERROR(IF($K60&lt;INT('[8]Berechnungen BVerfG'!K$5),0,IF($K60=INT('[8]Berechnungen BVerfG'!K$2),'[8]Berechnungen BVerfG'!K$12,IF($K60&gt;INT('[8]Berechnungen BVerfG'!K$2),'[8]Berechnungen BVerfG'!K$12*(1+'[8]Berechnungen BVerfG'!K$9)^(IF($K60-'[8]Berechnungen BVerfG'!K$5&lt;=0,0,$K60-IF('[8]Berechnungen BVerfG'!K$5&lt;'[8]Berechnungen BVerfG'!K$2,'[8]Berechnungen BVerfG'!K$2,'[8]Berechnungen BVerfG'!K$5))),0))),0)</f>
        <v>0</v>
      </c>
      <c r="P60" s="95">
        <f t="shared" si="3"/>
        <v>0</v>
      </c>
    </row>
    <row r="61" spans="1:16">
      <c r="A61" s="2080" t="e">
        <f>IF(PflGesamt,IF(GesVersrgPfl,SUM([8]!Tabelle2[[#This Row],[Spalte2]:[Spalte8]]),0),0)</f>
        <v>#REF!</v>
      </c>
      <c r="B61" s="2080" t="e">
        <f>IF(BerGesamt,SUM('[8]Berechnungen BVerfG'!P61:R61)+'[8]Berechnungen BVerfG'!N61,0)</f>
        <v>#REF!</v>
      </c>
      <c r="C61" s="2080">
        <f t="shared" si="2"/>
        <v>0</v>
      </c>
      <c r="D61" s="2080" t="e">
        <f>SUM('[8]Berechnungen BVerfG'!P61:R61)+'[8]Berechnungen BVerfG'!N61</f>
        <v>#REF!</v>
      </c>
      <c r="K61" t="e">
        <f>+[8]!Tabelle2[[#This Row],[Alter]]</f>
        <v>#REF!</v>
      </c>
      <c r="L61" s="95">
        <f>IFERROR(IF($K61&lt;INT('[8]Berechnungen BVerfG'!H$5),0,IF($K61=INT('[8]Berechnungen BVerfG'!H$2),'[8]Berechnungen BVerfG'!H$12,IF($K61&gt;INT('[8]Berechnungen BVerfG'!H$2),'[8]Berechnungen BVerfG'!H$12*(1+'[8]Berechnungen BVerfG'!H$9)^(IF($K61-'[8]Berechnungen BVerfG'!H$5&lt;=0,0,$K61-IF('[8]Berechnungen BVerfG'!H$5&lt;'[8]Berechnungen BVerfG'!H$2,'[8]Berechnungen BVerfG'!H$2,'[8]Berechnungen BVerfG'!H$5))),0))),0)</f>
        <v>0</v>
      </c>
      <c r="M61" s="2081">
        <f>IFERROR(IF(K61&lt;INT('[8]Berechnungen BVerfG'!I$5),0,IF(K61=INT('[8]Berechnungen BVerfG'!I$2),'[8]Berechnungen BVerfG'!I$12,IF(K61&gt;INT('[8]Berechnungen BVerfG'!I$2),'[8]Berechnungen BVerfG'!I$12*(1+'[8]Berechnungen BVerfG'!I$9)^(IF(K61-'[8]Berechnungen BVerfG'!I$5&lt;=0,0,K61-IF('[8]Berechnungen BVerfG'!I$5&lt;'[8]Berechnungen BVerfG'!I$2,'[8]Berechnungen BVerfG'!I$2,'[8]Berechnungen BVerfG'!I$5))),0))),0)</f>
        <v>0</v>
      </c>
      <c r="N61" s="2081">
        <f>IFERROR(IF($K61&lt;INT('[8]Berechnungen BVerfG'!J$5),0,IF($K61=INT('[8]Berechnungen BVerfG'!J$2),'[8]Berechnungen BVerfG'!J$12,IF($K61&gt;INT('[8]Berechnungen BVerfG'!J$2),'[8]Berechnungen BVerfG'!J$12*(1+'[8]Berechnungen BVerfG'!J$9)^(IF($K61-'[8]Berechnungen BVerfG'!J$5&lt;=0,0,$K61-IF('[8]Berechnungen BVerfG'!J$5&lt;'[8]Berechnungen BVerfG'!J$2,'[8]Berechnungen BVerfG'!J$2,'[8]Berechnungen BVerfG'!K$5))),0))),0)</f>
        <v>0</v>
      </c>
      <c r="O61" s="2081">
        <f>IFERROR(IF($K61&lt;INT('[8]Berechnungen BVerfG'!K$5),0,IF($K61=INT('[8]Berechnungen BVerfG'!K$2),'[8]Berechnungen BVerfG'!K$12,IF($K61&gt;INT('[8]Berechnungen BVerfG'!K$2),'[8]Berechnungen BVerfG'!K$12*(1+'[8]Berechnungen BVerfG'!K$9)^(IF($K61-'[8]Berechnungen BVerfG'!K$5&lt;=0,0,$K61-IF('[8]Berechnungen BVerfG'!K$5&lt;'[8]Berechnungen BVerfG'!K$2,'[8]Berechnungen BVerfG'!K$2,'[8]Berechnungen BVerfG'!K$5))),0))),0)</f>
        <v>0</v>
      </c>
      <c r="P61" s="95">
        <f t="shared" si="3"/>
        <v>0</v>
      </c>
    </row>
    <row r="62" spans="1:16">
      <c r="A62" s="2080" t="e">
        <f>IF(PflGesamt,IF(GesVersrgPfl,SUM([8]!Tabelle2[[#This Row],[Spalte2]:[Spalte8]]),0),0)</f>
        <v>#REF!</v>
      </c>
      <c r="B62" s="2080" t="e">
        <f>IF(BerGesamt,SUM('[8]Berechnungen BVerfG'!P62:R62)+'[8]Berechnungen BVerfG'!N62,0)</f>
        <v>#REF!</v>
      </c>
      <c r="C62" s="2080">
        <f t="shared" si="2"/>
        <v>0</v>
      </c>
      <c r="D62" s="2080" t="e">
        <f>SUM('[8]Berechnungen BVerfG'!P62:R62)+'[8]Berechnungen BVerfG'!N62</f>
        <v>#REF!</v>
      </c>
      <c r="K62" t="e">
        <f>+[8]!Tabelle2[[#This Row],[Alter]]</f>
        <v>#REF!</v>
      </c>
      <c r="L62" s="95">
        <f>IFERROR(IF($K62&lt;INT('[8]Berechnungen BVerfG'!H$5),0,IF($K62=INT('[8]Berechnungen BVerfG'!H$2),'[8]Berechnungen BVerfG'!H$12,IF($K62&gt;INT('[8]Berechnungen BVerfG'!H$2),'[8]Berechnungen BVerfG'!H$12*(1+'[8]Berechnungen BVerfG'!H$9)^(IF($K62-'[8]Berechnungen BVerfG'!H$5&lt;=0,0,$K62-IF('[8]Berechnungen BVerfG'!H$5&lt;'[8]Berechnungen BVerfG'!H$2,'[8]Berechnungen BVerfG'!H$2,'[8]Berechnungen BVerfG'!H$5))),0))),0)</f>
        <v>0</v>
      </c>
      <c r="M62" s="2081">
        <f>IFERROR(IF(K62&lt;INT('[8]Berechnungen BVerfG'!I$5),0,IF(K62=INT('[8]Berechnungen BVerfG'!I$2),'[8]Berechnungen BVerfG'!I$12,IF(K62&gt;INT('[8]Berechnungen BVerfG'!I$2),'[8]Berechnungen BVerfG'!I$12*(1+'[8]Berechnungen BVerfG'!I$9)^(IF(K62-'[8]Berechnungen BVerfG'!I$5&lt;=0,0,K62-IF('[8]Berechnungen BVerfG'!I$5&lt;'[8]Berechnungen BVerfG'!I$2,'[8]Berechnungen BVerfG'!I$2,'[8]Berechnungen BVerfG'!I$5))),0))),0)</f>
        <v>0</v>
      </c>
      <c r="N62" s="2081">
        <f>IFERROR(IF($K62&lt;INT('[8]Berechnungen BVerfG'!J$5),0,IF($K62=INT('[8]Berechnungen BVerfG'!J$2),'[8]Berechnungen BVerfG'!J$12,IF($K62&gt;INT('[8]Berechnungen BVerfG'!J$2),'[8]Berechnungen BVerfG'!J$12*(1+'[8]Berechnungen BVerfG'!J$9)^(IF($K62-'[8]Berechnungen BVerfG'!J$5&lt;=0,0,$K62-IF('[8]Berechnungen BVerfG'!J$5&lt;'[8]Berechnungen BVerfG'!J$2,'[8]Berechnungen BVerfG'!J$2,'[8]Berechnungen BVerfG'!K$5))),0))),0)</f>
        <v>0</v>
      </c>
      <c r="O62" s="2081">
        <f>IFERROR(IF($K62&lt;INT('[8]Berechnungen BVerfG'!K$5),0,IF($K62=INT('[8]Berechnungen BVerfG'!K$2),'[8]Berechnungen BVerfG'!K$12,IF($K62&gt;INT('[8]Berechnungen BVerfG'!K$2),'[8]Berechnungen BVerfG'!K$12*(1+'[8]Berechnungen BVerfG'!K$9)^(IF($K62-'[8]Berechnungen BVerfG'!K$5&lt;=0,0,$K62-IF('[8]Berechnungen BVerfG'!K$5&lt;'[8]Berechnungen BVerfG'!K$2,'[8]Berechnungen BVerfG'!K$2,'[8]Berechnungen BVerfG'!K$5))),0))),0)</f>
        <v>0</v>
      </c>
      <c r="P62" s="95">
        <f t="shared" si="3"/>
        <v>0</v>
      </c>
    </row>
    <row r="63" spans="1:16">
      <c r="A63" s="2080" t="e">
        <f>IF(PflGesamt,IF(GesVersrgPfl,SUM([8]!Tabelle2[[#This Row],[Spalte2]:[Spalte8]]),0),0)</f>
        <v>#REF!</v>
      </c>
      <c r="B63" s="2080" t="e">
        <f>IF(BerGesamt,SUM('[8]Berechnungen BVerfG'!P63:R63)+'[8]Berechnungen BVerfG'!N63,0)</f>
        <v>#REF!</v>
      </c>
      <c r="C63" s="2080">
        <f t="shared" si="2"/>
        <v>0</v>
      </c>
      <c r="D63" s="2080" t="e">
        <f>SUM('[8]Berechnungen BVerfG'!P63:R63)+'[8]Berechnungen BVerfG'!N63</f>
        <v>#REF!</v>
      </c>
      <c r="K63" t="e">
        <f>+[8]!Tabelle2[[#This Row],[Alter]]</f>
        <v>#REF!</v>
      </c>
      <c r="L63" s="95">
        <f>IFERROR(IF($K63&lt;INT('[8]Berechnungen BVerfG'!H$5),0,IF($K63=INT('[8]Berechnungen BVerfG'!H$2),'[8]Berechnungen BVerfG'!H$12,IF($K63&gt;INT('[8]Berechnungen BVerfG'!H$2),'[8]Berechnungen BVerfG'!H$12*(1+'[8]Berechnungen BVerfG'!H$9)^(IF($K63-'[8]Berechnungen BVerfG'!H$5&lt;=0,0,$K63-IF('[8]Berechnungen BVerfG'!H$5&lt;'[8]Berechnungen BVerfG'!H$2,'[8]Berechnungen BVerfG'!H$2,'[8]Berechnungen BVerfG'!H$5))),0))),0)</f>
        <v>0</v>
      </c>
      <c r="M63" s="2081">
        <f>IFERROR(IF(K63&lt;INT('[8]Berechnungen BVerfG'!I$5),0,IF(K63=INT('[8]Berechnungen BVerfG'!I$2),'[8]Berechnungen BVerfG'!I$12,IF(K63&gt;INT('[8]Berechnungen BVerfG'!I$2),'[8]Berechnungen BVerfG'!I$12*(1+'[8]Berechnungen BVerfG'!I$9)^(IF(K63-'[8]Berechnungen BVerfG'!I$5&lt;=0,0,K63-IF('[8]Berechnungen BVerfG'!I$5&lt;'[8]Berechnungen BVerfG'!I$2,'[8]Berechnungen BVerfG'!I$2,'[8]Berechnungen BVerfG'!I$5))),0))),0)</f>
        <v>0</v>
      </c>
      <c r="N63" s="2081">
        <f>IFERROR(IF($K63&lt;INT('[8]Berechnungen BVerfG'!J$5),0,IF($K63=INT('[8]Berechnungen BVerfG'!J$2),'[8]Berechnungen BVerfG'!J$12,IF($K63&gt;INT('[8]Berechnungen BVerfG'!J$2),'[8]Berechnungen BVerfG'!J$12*(1+'[8]Berechnungen BVerfG'!J$9)^(IF($K63-'[8]Berechnungen BVerfG'!J$5&lt;=0,0,$K63-IF('[8]Berechnungen BVerfG'!J$5&lt;'[8]Berechnungen BVerfG'!J$2,'[8]Berechnungen BVerfG'!J$2,'[8]Berechnungen BVerfG'!K$5))),0))),0)</f>
        <v>0</v>
      </c>
      <c r="O63" s="2081">
        <f>IFERROR(IF($K63&lt;INT('[8]Berechnungen BVerfG'!K$5),0,IF($K63=INT('[8]Berechnungen BVerfG'!K$2),'[8]Berechnungen BVerfG'!K$12,IF($K63&gt;INT('[8]Berechnungen BVerfG'!K$2),'[8]Berechnungen BVerfG'!K$12*(1+'[8]Berechnungen BVerfG'!K$9)^(IF($K63-'[8]Berechnungen BVerfG'!K$5&lt;=0,0,$K63-IF('[8]Berechnungen BVerfG'!K$5&lt;'[8]Berechnungen BVerfG'!K$2,'[8]Berechnungen BVerfG'!K$2,'[8]Berechnungen BVerfG'!K$5))),0))),0)</f>
        <v>0</v>
      </c>
      <c r="P63" s="95">
        <f t="shared" si="3"/>
        <v>0</v>
      </c>
    </row>
    <row r="64" spans="1:16">
      <c r="A64" s="2080" t="e">
        <f>IF(PflGesamt,IF(GesVersrgPfl,SUM([8]!Tabelle2[[#This Row],[Spalte2]:[Spalte8]]),0),0)</f>
        <v>#REF!</v>
      </c>
      <c r="B64" s="2080" t="e">
        <f>IF(BerGesamt,SUM('[8]Berechnungen BVerfG'!P64:R64)+'[8]Berechnungen BVerfG'!N64,0)</f>
        <v>#REF!</v>
      </c>
      <c r="C64" s="2080">
        <f t="shared" si="2"/>
        <v>0</v>
      </c>
      <c r="D64" s="2080" t="e">
        <f>SUM('[8]Berechnungen BVerfG'!P64:R64)+'[8]Berechnungen BVerfG'!N64</f>
        <v>#REF!</v>
      </c>
      <c r="K64" t="e">
        <f>+[8]!Tabelle2[[#This Row],[Alter]]</f>
        <v>#REF!</v>
      </c>
      <c r="L64" s="95">
        <f>IFERROR(IF($K64&lt;INT('[8]Berechnungen BVerfG'!H$5),0,IF($K64=INT('[8]Berechnungen BVerfG'!H$2),'[8]Berechnungen BVerfG'!H$12,IF($K64&gt;INT('[8]Berechnungen BVerfG'!H$2),'[8]Berechnungen BVerfG'!H$12*(1+'[8]Berechnungen BVerfG'!H$9)^(IF($K64-'[8]Berechnungen BVerfG'!H$5&lt;=0,0,$K64-IF('[8]Berechnungen BVerfG'!H$5&lt;'[8]Berechnungen BVerfG'!H$2,'[8]Berechnungen BVerfG'!H$2,'[8]Berechnungen BVerfG'!H$5))),0))),0)</f>
        <v>0</v>
      </c>
      <c r="M64" s="2081">
        <f>IFERROR(IF(K64&lt;INT('[8]Berechnungen BVerfG'!I$5),0,IF(K64=INT('[8]Berechnungen BVerfG'!I$2),'[8]Berechnungen BVerfG'!I$12,IF(K64&gt;INT('[8]Berechnungen BVerfG'!I$2),'[8]Berechnungen BVerfG'!I$12*(1+'[8]Berechnungen BVerfG'!I$9)^(IF(K64-'[8]Berechnungen BVerfG'!I$5&lt;=0,0,K64-IF('[8]Berechnungen BVerfG'!I$5&lt;'[8]Berechnungen BVerfG'!I$2,'[8]Berechnungen BVerfG'!I$2,'[8]Berechnungen BVerfG'!I$5))),0))),0)</f>
        <v>0</v>
      </c>
      <c r="N64" s="2081">
        <f>IFERROR(IF($K64&lt;INT('[8]Berechnungen BVerfG'!J$5),0,IF($K64=INT('[8]Berechnungen BVerfG'!J$2),'[8]Berechnungen BVerfG'!J$12,IF($K64&gt;INT('[8]Berechnungen BVerfG'!J$2),'[8]Berechnungen BVerfG'!J$12*(1+'[8]Berechnungen BVerfG'!J$9)^(IF($K64-'[8]Berechnungen BVerfG'!J$5&lt;=0,0,$K64-IF('[8]Berechnungen BVerfG'!J$5&lt;'[8]Berechnungen BVerfG'!J$2,'[8]Berechnungen BVerfG'!J$2,'[8]Berechnungen BVerfG'!K$5))),0))),0)</f>
        <v>0</v>
      </c>
      <c r="O64" s="2081">
        <f>IFERROR(IF($K64&lt;INT('[8]Berechnungen BVerfG'!K$5),0,IF($K64=INT('[8]Berechnungen BVerfG'!K$2),'[8]Berechnungen BVerfG'!K$12,IF($K64&gt;INT('[8]Berechnungen BVerfG'!K$2),'[8]Berechnungen BVerfG'!K$12*(1+'[8]Berechnungen BVerfG'!K$9)^(IF($K64-'[8]Berechnungen BVerfG'!K$5&lt;=0,0,$K64-IF('[8]Berechnungen BVerfG'!K$5&lt;'[8]Berechnungen BVerfG'!K$2,'[8]Berechnungen BVerfG'!K$2,'[8]Berechnungen BVerfG'!K$5))),0))),0)</f>
        <v>0</v>
      </c>
      <c r="P64" s="95">
        <f t="shared" si="3"/>
        <v>0</v>
      </c>
    </row>
    <row r="65" spans="1:16">
      <c r="A65" s="2080" t="e">
        <f>IF(PflGesamt,IF(GesVersrgPfl,SUM([8]!Tabelle2[[#This Row],[Spalte2]:[Spalte8]]),0),0)</f>
        <v>#REF!</v>
      </c>
      <c r="B65" s="2080" t="e">
        <f>IF(BerGesamt,SUM('[8]Berechnungen BVerfG'!P65:R65)+'[8]Berechnungen BVerfG'!N65,0)</f>
        <v>#REF!</v>
      </c>
      <c r="C65" s="2080">
        <f t="shared" si="2"/>
        <v>0</v>
      </c>
      <c r="D65" s="2080" t="e">
        <f>SUM('[8]Berechnungen BVerfG'!P65:R65)+'[8]Berechnungen BVerfG'!N65</f>
        <v>#REF!</v>
      </c>
      <c r="K65" t="e">
        <f>+[8]!Tabelle2[[#This Row],[Alter]]</f>
        <v>#REF!</v>
      </c>
      <c r="L65" s="95">
        <f>IFERROR(IF($K65&lt;INT('[8]Berechnungen BVerfG'!H$5),0,IF($K65=INT('[8]Berechnungen BVerfG'!H$2),'[8]Berechnungen BVerfG'!H$12,IF($K65&gt;INT('[8]Berechnungen BVerfG'!H$2),'[8]Berechnungen BVerfG'!H$12*(1+'[8]Berechnungen BVerfG'!H$9)^(IF($K65-'[8]Berechnungen BVerfG'!H$5&lt;=0,0,$K65-IF('[8]Berechnungen BVerfG'!H$5&lt;'[8]Berechnungen BVerfG'!H$2,'[8]Berechnungen BVerfG'!H$2,'[8]Berechnungen BVerfG'!H$5))),0))),0)</f>
        <v>0</v>
      </c>
      <c r="M65" s="2081">
        <f>IFERROR(IF(K65&lt;INT('[8]Berechnungen BVerfG'!I$5),0,IF(K65=INT('[8]Berechnungen BVerfG'!I$2),'[8]Berechnungen BVerfG'!I$12,IF(K65&gt;INT('[8]Berechnungen BVerfG'!I$2),'[8]Berechnungen BVerfG'!I$12*(1+'[8]Berechnungen BVerfG'!I$9)^(IF(K65-'[8]Berechnungen BVerfG'!I$5&lt;=0,0,K65-IF('[8]Berechnungen BVerfG'!I$5&lt;'[8]Berechnungen BVerfG'!I$2,'[8]Berechnungen BVerfG'!I$2,'[8]Berechnungen BVerfG'!I$5))),0))),0)</f>
        <v>0</v>
      </c>
      <c r="N65" s="2081">
        <f>IFERROR(IF($K65&lt;INT('[8]Berechnungen BVerfG'!J$5),0,IF($K65=INT('[8]Berechnungen BVerfG'!J$2),'[8]Berechnungen BVerfG'!J$12,IF($K65&gt;INT('[8]Berechnungen BVerfG'!J$2),'[8]Berechnungen BVerfG'!J$12*(1+'[8]Berechnungen BVerfG'!J$9)^(IF($K65-'[8]Berechnungen BVerfG'!J$5&lt;=0,0,$K65-IF('[8]Berechnungen BVerfG'!J$5&lt;'[8]Berechnungen BVerfG'!J$2,'[8]Berechnungen BVerfG'!J$2,'[8]Berechnungen BVerfG'!K$5))),0))),0)</f>
        <v>0</v>
      </c>
      <c r="O65" s="2081">
        <f>IFERROR(IF($K65&lt;INT('[8]Berechnungen BVerfG'!K$5),0,IF($K65=INT('[8]Berechnungen BVerfG'!K$2),'[8]Berechnungen BVerfG'!K$12,IF($K65&gt;INT('[8]Berechnungen BVerfG'!K$2),'[8]Berechnungen BVerfG'!K$12*(1+'[8]Berechnungen BVerfG'!K$9)^(IF($K65-'[8]Berechnungen BVerfG'!K$5&lt;=0,0,$K65-IF('[8]Berechnungen BVerfG'!K$5&lt;'[8]Berechnungen BVerfG'!K$2,'[8]Berechnungen BVerfG'!K$2,'[8]Berechnungen BVerfG'!K$5))),0))),0)</f>
        <v>0</v>
      </c>
      <c r="P65" s="95">
        <f t="shared" si="3"/>
        <v>0</v>
      </c>
    </row>
    <row r="66" spans="1:16">
      <c r="A66" s="2080" t="e">
        <f>IF(PflGesamt,IF(GesVersrgPfl,SUM([8]!Tabelle2[[#This Row],[Spalte2]:[Spalte8]]),0),0)</f>
        <v>#REF!</v>
      </c>
      <c r="B66" s="2080" t="e">
        <f>IF(BerGesamt,SUM('[8]Berechnungen BVerfG'!P66:R66)+'[8]Berechnungen BVerfG'!N66,0)</f>
        <v>#REF!</v>
      </c>
      <c r="C66" s="2080">
        <f t="shared" si="2"/>
        <v>0</v>
      </c>
      <c r="D66" s="2080" t="e">
        <f>SUM('[8]Berechnungen BVerfG'!P66:R66)+'[8]Berechnungen BVerfG'!N66</f>
        <v>#REF!</v>
      </c>
      <c r="K66" t="e">
        <f>+[8]!Tabelle2[[#This Row],[Alter]]</f>
        <v>#REF!</v>
      </c>
      <c r="L66" s="95">
        <f>IFERROR(IF($K66&lt;INT('[8]Berechnungen BVerfG'!H$5),0,IF($K66=INT('[8]Berechnungen BVerfG'!H$2),'[8]Berechnungen BVerfG'!H$12,IF($K66&gt;INT('[8]Berechnungen BVerfG'!H$2),'[8]Berechnungen BVerfG'!H$12*(1+'[8]Berechnungen BVerfG'!H$9)^(IF($K66-'[8]Berechnungen BVerfG'!H$5&lt;=0,0,$K66-IF('[8]Berechnungen BVerfG'!H$5&lt;'[8]Berechnungen BVerfG'!H$2,'[8]Berechnungen BVerfG'!H$2,'[8]Berechnungen BVerfG'!H$5))),0))),0)</f>
        <v>0</v>
      </c>
      <c r="M66" s="2081">
        <f>IFERROR(IF(K66&lt;INT('[8]Berechnungen BVerfG'!I$5),0,IF(K66=INT('[8]Berechnungen BVerfG'!I$2),'[8]Berechnungen BVerfG'!I$12,IF(K66&gt;INT('[8]Berechnungen BVerfG'!I$2),'[8]Berechnungen BVerfG'!I$12*(1+'[8]Berechnungen BVerfG'!I$9)^(IF(K66-'[8]Berechnungen BVerfG'!I$5&lt;=0,0,K66-IF('[8]Berechnungen BVerfG'!I$5&lt;'[8]Berechnungen BVerfG'!I$2,'[8]Berechnungen BVerfG'!I$2,'[8]Berechnungen BVerfG'!I$5))),0))),0)</f>
        <v>0</v>
      </c>
      <c r="N66" s="2081">
        <f>IFERROR(IF($K66&lt;INT('[8]Berechnungen BVerfG'!J$5),0,IF($K66=INT('[8]Berechnungen BVerfG'!J$2),'[8]Berechnungen BVerfG'!J$12,IF($K66&gt;INT('[8]Berechnungen BVerfG'!J$2),'[8]Berechnungen BVerfG'!J$12*(1+'[8]Berechnungen BVerfG'!J$9)^(IF($K66-'[8]Berechnungen BVerfG'!J$5&lt;=0,0,$K66-IF('[8]Berechnungen BVerfG'!J$5&lt;'[8]Berechnungen BVerfG'!J$2,'[8]Berechnungen BVerfG'!J$2,'[8]Berechnungen BVerfG'!K$5))),0))),0)</f>
        <v>0</v>
      </c>
      <c r="O66" s="2081">
        <f>IFERROR(IF($K66&lt;INT('[8]Berechnungen BVerfG'!K$5),0,IF($K66=INT('[8]Berechnungen BVerfG'!K$2),'[8]Berechnungen BVerfG'!K$12,IF($K66&gt;INT('[8]Berechnungen BVerfG'!K$2),'[8]Berechnungen BVerfG'!K$12*(1+'[8]Berechnungen BVerfG'!K$9)^(IF($K66-'[8]Berechnungen BVerfG'!K$5&lt;=0,0,$K66-IF('[8]Berechnungen BVerfG'!K$5&lt;'[8]Berechnungen BVerfG'!K$2,'[8]Berechnungen BVerfG'!K$2,'[8]Berechnungen BVerfG'!K$5))),0))),0)</f>
        <v>0</v>
      </c>
      <c r="P66" s="95">
        <f t="shared" si="3"/>
        <v>0</v>
      </c>
    </row>
    <row r="67" spans="1:16">
      <c r="A67" s="2080" t="e">
        <f>IF(PflGesamt,IF(GesVersrgPfl,SUM([8]!Tabelle2[[#This Row],[Spalte2]:[Spalte8]]),0),0)</f>
        <v>#REF!</v>
      </c>
      <c r="B67" s="2080" t="e">
        <f>IF(BerGesamt,SUM('[8]Berechnungen BVerfG'!P67:R67)+'[8]Berechnungen BVerfG'!N67,0)</f>
        <v>#REF!</v>
      </c>
      <c r="C67" s="2080">
        <f t="shared" si="2"/>
        <v>0</v>
      </c>
      <c r="D67" s="2080" t="e">
        <f>SUM('[8]Berechnungen BVerfG'!P67:R67)+'[8]Berechnungen BVerfG'!N67</f>
        <v>#REF!</v>
      </c>
      <c r="K67" t="e">
        <f>+[8]!Tabelle2[[#This Row],[Alter]]</f>
        <v>#REF!</v>
      </c>
      <c r="L67" s="95">
        <f>IFERROR(IF($K67&lt;INT('[8]Berechnungen BVerfG'!H$5),0,IF($K67=INT('[8]Berechnungen BVerfG'!H$2),'[8]Berechnungen BVerfG'!H$12,IF($K67&gt;INT('[8]Berechnungen BVerfG'!H$2),'[8]Berechnungen BVerfG'!H$12*(1+'[8]Berechnungen BVerfG'!H$9)^(IF($K67-'[8]Berechnungen BVerfG'!H$5&lt;=0,0,$K67-IF('[8]Berechnungen BVerfG'!H$5&lt;'[8]Berechnungen BVerfG'!H$2,'[8]Berechnungen BVerfG'!H$2,'[8]Berechnungen BVerfG'!H$5))),0))),0)</f>
        <v>0</v>
      </c>
      <c r="M67" s="2081">
        <f>IFERROR(IF(K67&lt;INT('[8]Berechnungen BVerfG'!I$5),0,IF(K67=INT('[8]Berechnungen BVerfG'!I$2),'[8]Berechnungen BVerfG'!I$12,IF(K67&gt;INT('[8]Berechnungen BVerfG'!I$2),'[8]Berechnungen BVerfG'!I$12*(1+'[8]Berechnungen BVerfG'!I$9)^(IF(K67-'[8]Berechnungen BVerfG'!I$5&lt;=0,0,K67-IF('[8]Berechnungen BVerfG'!I$5&lt;'[8]Berechnungen BVerfG'!I$2,'[8]Berechnungen BVerfG'!I$2,'[8]Berechnungen BVerfG'!I$5))),0))),0)</f>
        <v>0</v>
      </c>
      <c r="N67" s="2081">
        <f>IFERROR(IF($K67&lt;INT('[8]Berechnungen BVerfG'!J$5),0,IF($K67=INT('[8]Berechnungen BVerfG'!J$2),'[8]Berechnungen BVerfG'!J$12,IF($K67&gt;INT('[8]Berechnungen BVerfG'!J$2),'[8]Berechnungen BVerfG'!J$12*(1+'[8]Berechnungen BVerfG'!J$9)^(IF($K67-'[8]Berechnungen BVerfG'!J$5&lt;=0,0,$K67-IF('[8]Berechnungen BVerfG'!J$5&lt;'[8]Berechnungen BVerfG'!J$2,'[8]Berechnungen BVerfG'!J$2,'[8]Berechnungen BVerfG'!K$5))),0))),0)</f>
        <v>0</v>
      </c>
      <c r="O67" s="2081">
        <f>IFERROR(IF($K67&lt;INT('[8]Berechnungen BVerfG'!K$5),0,IF($K67=INT('[8]Berechnungen BVerfG'!K$2),'[8]Berechnungen BVerfG'!K$12,IF($K67&gt;INT('[8]Berechnungen BVerfG'!K$2),'[8]Berechnungen BVerfG'!K$12*(1+'[8]Berechnungen BVerfG'!K$9)^(IF($K67-'[8]Berechnungen BVerfG'!K$5&lt;=0,0,$K67-IF('[8]Berechnungen BVerfG'!K$5&lt;'[8]Berechnungen BVerfG'!K$2,'[8]Berechnungen BVerfG'!K$2,'[8]Berechnungen BVerfG'!K$5))),0))),0)</f>
        <v>0</v>
      </c>
      <c r="P67" s="95">
        <f t="shared" si="3"/>
        <v>0</v>
      </c>
    </row>
    <row r="68" spans="1:16">
      <c r="A68" s="2080" t="e">
        <f>IF(PflGesamt,IF(GesVersrgPfl,SUM([8]!Tabelle2[[#This Row],[Spalte2]:[Spalte8]]),0),0)</f>
        <v>#REF!</v>
      </c>
      <c r="B68" s="2080" t="e">
        <f>IF(BerGesamt,SUM('[8]Berechnungen BVerfG'!P68:R68)+'[8]Berechnungen BVerfG'!N68,0)</f>
        <v>#REF!</v>
      </c>
      <c r="C68" s="2080">
        <f t="shared" si="2"/>
        <v>0</v>
      </c>
      <c r="D68" s="2080" t="e">
        <f>SUM('[8]Berechnungen BVerfG'!P68:R68)+'[8]Berechnungen BVerfG'!N68</f>
        <v>#REF!</v>
      </c>
      <c r="K68" t="e">
        <f>+[8]!Tabelle2[[#This Row],[Alter]]</f>
        <v>#REF!</v>
      </c>
      <c r="L68" s="95">
        <f>IFERROR(IF($K68&lt;INT('[8]Berechnungen BVerfG'!H$5),0,IF($K68=INT('[8]Berechnungen BVerfG'!H$2),'[8]Berechnungen BVerfG'!H$12,IF($K68&gt;INT('[8]Berechnungen BVerfG'!H$2),'[8]Berechnungen BVerfG'!H$12*(1+'[8]Berechnungen BVerfG'!H$9)^(IF($K68-'[8]Berechnungen BVerfG'!H$5&lt;=0,0,$K68-IF('[8]Berechnungen BVerfG'!H$5&lt;'[8]Berechnungen BVerfG'!H$2,'[8]Berechnungen BVerfG'!H$2,'[8]Berechnungen BVerfG'!H$5))),0))),0)</f>
        <v>0</v>
      </c>
      <c r="M68" s="2081">
        <f>IFERROR(IF(K68&lt;INT('[8]Berechnungen BVerfG'!I$5),0,IF(K68=INT('[8]Berechnungen BVerfG'!I$2),'[8]Berechnungen BVerfG'!I$12,IF(K68&gt;INT('[8]Berechnungen BVerfG'!I$2),'[8]Berechnungen BVerfG'!I$12*(1+'[8]Berechnungen BVerfG'!I$9)^(IF(K68-'[8]Berechnungen BVerfG'!I$5&lt;=0,0,K68-IF('[8]Berechnungen BVerfG'!I$5&lt;'[8]Berechnungen BVerfG'!I$2,'[8]Berechnungen BVerfG'!I$2,'[8]Berechnungen BVerfG'!I$5))),0))),0)</f>
        <v>0</v>
      </c>
      <c r="N68" s="2081">
        <f>IFERROR(IF($K68&lt;INT('[8]Berechnungen BVerfG'!J$5),0,IF($K68=INT('[8]Berechnungen BVerfG'!J$2),'[8]Berechnungen BVerfG'!J$12,IF($K68&gt;INT('[8]Berechnungen BVerfG'!J$2),'[8]Berechnungen BVerfG'!J$12*(1+'[8]Berechnungen BVerfG'!J$9)^(IF($K68-'[8]Berechnungen BVerfG'!J$5&lt;=0,0,$K68-IF('[8]Berechnungen BVerfG'!J$5&lt;'[8]Berechnungen BVerfG'!J$2,'[8]Berechnungen BVerfG'!J$2,'[8]Berechnungen BVerfG'!K$5))),0))),0)</f>
        <v>0</v>
      </c>
      <c r="O68" s="2081">
        <f>IFERROR(IF($K68&lt;INT('[8]Berechnungen BVerfG'!K$5),0,IF($K68=INT('[8]Berechnungen BVerfG'!K$2),'[8]Berechnungen BVerfG'!K$12,IF($K68&gt;INT('[8]Berechnungen BVerfG'!K$2),'[8]Berechnungen BVerfG'!K$12*(1+'[8]Berechnungen BVerfG'!K$9)^(IF($K68-'[8]Berechnungen BVerfG'!K$5&lt;=0,0,$K68-IF('[8]Berechnungen BVerfG'!K$5&lt;'[8]Berechnungen BVerfG'!K$2,'[8]Berechnungen BVerfG'!K$2,'[8]Berechnungen BVerfG'!K$5))),0))),0)</f>
        <v>0</v>
      </c>
      <c r="P68" s="95">
        <f t="shared" si="3"/>
        <v>0</v>
      </c>
    </row>
    <row r="69" spans="1:16">
      <c r="A69" s="2080" t="e">
        <f>IF(PflGesamt,IF(GesVersrgPfl,SUM([8]!Tabelle2[[#This Row],[Spalte2]:[Spalte8]]),0),0)</f>
        <v>#REF!</v>
      </c>
      <c r="B69" s="2080" t="e">
        <f>IF(BerGesamt,SUM('[8]Berechnungen BVerfG'!P69:R69)+'[8]Berechnungen BVerfG'!N69,0)</f>
        <v>#REF!</v>
      </c>
      <c r="C69" s="2080">
        <f t="shared" si="2"/>
        <v>0</v>
      </c>
      <c r="D69" s="2080" t="e">
        <f>SUM('[8]Berechnungen BVerfG'!P69:R69)+'[8]Berechnungen BVerfG'!N69</f>
        <v>#REF!</v>
      </c>
      <c r="K69" t="e">
        <f>+[8]!Tabelle2[[#This Row],[Alter]]</f>
        <v>#REF!</v>
      </c>
      <c r="L69" s="95">
        <f>IFERROR(IF($K69&lt;INT('[8]Berechnungen BVerfG'!H$5),0,IF($K69=INT('[8]Berechnungen BVerfG'!H$2),'[8]Berechnungen BVerfG'!H$12,IF($K69&gt;INT('[8]Berechnungen BVerfG'!H$2),'[8]Berechnungen BVerfG'!H$12*(1+'[8]Berechnungen BVerfG'!H$9)^(IF($K69-'[8]Berechnungen BVerfG'!H$5&lt;=0,0,$K69-IF('[8]Berechnungen BVerfG'!H$5&lt;'[8]Berechnungen BVerfG'!H$2,'[8]Berechnungen BVerfG'!H$2,'[8]Berechnungen BVerfG'!H$5))),0))),0)</f>
        <v>0</v>
      </c>
      <c r="M69" s="2081">
        <f>IFERROR(IF(K69&lt;INT('[8]Berechnungen BVerfG'!I$5),0,IF(K69=INT('[8]Berechnungen BVerfG'!I$2),'[8]Berechnungen BVerfG'!I$12,IF(K69&gt;INT('[8]Berechnungen BVerfG'!I$2),'[8]Berechnungen BVerfG'!I$12*(1+'[8]Berechnungen BVerfG'!I$9)^(IF(K69-'[8]Berechnungen BVerfG'!I$5&lt;=0,0,K69-IF('[8]Berechnungen BVerfG'!I$5&lt;'[8]Berechnungen BVerfG'!I$2,'[8]Berechnungen BVerfG'!I$2,'[8]Berechnungen BVerfG'!I$5))),0))),0)</f>
        <v>0</v>
      </c>
      <c r="N69" s="2081">
        <f>IFERROR(IF($K69&lt;INT('[8]Berechnungen BVerfG'!J$5),0,IF($K69=INT('[8]Berechnungen BVerfG'!J$2),'[8]Berechnungen BVerfG'!J$12,IF($K69&gt;INT('[8]Berechnungen BVerfG'!J$2),'[8]Berechnungen BVerfG'!J$12*(1+'[8]Berechnungen BVerfG'!J$9)^(IF($K69-'[8]Berechnungen BVerfG'!J$5&lt;=0,0,$K69-IF('[8]Berechnungen BVerfG'!J$5&lt;'[8]Berechnungen BVerfG'!J$2,'[8]Berechnungen BVerfG'!J$2,'[8]Berechnungen BVerfG'!K$5))),0))),0)</f>
        <v>0</v>
      </c>
      <c r="O69" s="2081">
        <f>IFERROR(IF($K69&lt;INT('[8]Berechnungen BVerfG'!K$5),0,IF($K69=INT('[8]Berechnungen BVerfG'!K$2),'[8]Berechnungen BVerfG'!K$12,IF($K69&gt;INT('[8]Berechnungen BVerfG'!K$2),'[8]Berechnungen BVerfG'!K$12*(1+'[8]Berechnungen BVerfG'!K$9)^(IF($K69-'[8]Berechnungen BVerfG'!K$5&lt;=0,0,$K69-IF('[8]Berechnungen BVerfG'!K$5&lt;'[8]Berechnungen BVerfG'!K$2,'[8]Berechnungen BVerfG'!K$2,'[8]Berechnungen BVerfG'!K$5))),0))),0)</f>
        <v>0</v>
      </c>
      <c r="P69" s="95">
        <f t="shared" si="3"/>
        <v>0</v>
      </c>
    </row>
    <row r="70" spans="1:16">
      <c r="A70" s="2080" t="e">
        <f>IF(PflGesamt,IF(GesVersrgPfl,SUM([8]!Tabelle2[[#This Row],[Spalte2]:[Spalte8]]),0),0)</f>
        <v>#REF!</v>
      </c>
      <c r="B70" s="2080" t="e">
        <f>IF(BerGesamt,SUM('[8]Berechnungen BVerfG'!P70:R70)+'[8]Berechnungen BVerfG'!N70,0)</f>
        <v>#REF!</v>
      </c>
      <c r="C70" s="2080">
        <f t="shared" si="2"/>
        <v>0</v>
      </c>
      <c r="D70" s="2080" t="e">
        <f>SUM('[8]Berechnungen BVerfG'!P70:R70)+'[8]Berechnungen BVerfG'!N70</f>
        <v>#REF!</v>
      </c>
      <c r="K70" t="e">
        <f>+[8]!Tabelle2[[#This Row],[Alter]]</f>
        <v>#REF!</v>
      </c>
      <c r="L70" s="95">
        <f>IFERROR(IF($K70&lt;INT('[8]Berechnungen BVerfG'!H$5),0,IF($K70=INT('[8]Berechnungen BVerfG'!H$2),'[8]Berechnungen BVerfG'!H$12,IF($K70&gt;INT('[8]Berechnungen BVerfG'!H$2),'[8]Berechnungen BVerfG'!H$12*(1+'[8]Berechnungen BVerfG'!H$9)^(IF($K70-'[8]Berechnungen BVerfG'!H$5&lt;=0,0,$K70-IF('[8]Berechnungen BVerfG'!H$5&lt;'[8]Berechnungen BVerfG'!H$2,'[8]Berechnungen BVerfG'!H$2,'[8]Berechnungen BVerfG'!H$5))),0))),0)</f>
        <v>0</v>
      </c>
      <c r="M70" s="2081">
        <f>IFERROR(IF(K70&lt;INT('[8]Berechnungen BVerfG'!I$5),0,IF(K70=INT('[8]Berechnungen BVerfG'!I$2),'[8]Berechnungen BVerfG'!I$12,IF(K70&gt;INT('[8]Berechnungen BVerfG'!I$2),'[8]Berechnungen BVerfG'!I$12*(1+'[8]Berechnungen BVerfG'!I$9)^(IF(K70-'[8]Berechnungen BVerfG'!I$5&lt;=0,0,K70-IF('[8]Berechnungen BVerfG'!I$5&lt;'[8]Berechnungen BVerfG'!I$2,'[8]Berechnungen BVerfG'!I$2,'[8]Berechnungen BVerfG'!I$5))),0))),0)</f>
        <v>0</v>
      </c>
      <c r="N70" s="2081">
        <f>IFERROR(IF($K70&lt;INT('[8]Berechnungen BVerfG'!J$5),0,IF($K70=INT('[8]Berechnungen BVerfG'!J$2),'[8]Berechnungen BVerfG'!J$12,IF($K70&gt;INT('[8]Berechnungen BVerfG'!J$2),'[8]Berechnungen BVerfG'!J$12*(1+'[8]Berechnungen BVerfG'!J$9)^(IF($K70-'[8]Berechnungen BVerfG'!J$5&lt;=0,0,$K70-IF('[8]Berechnungen BVerfG'!J$5&lt;'[8]Berechnungen BVerfG'!J$2,'[8]Berechnungen BVerfG'!J$2,'[8]Berechnungen BVerfG'!K$5))),0))),0)</f>
        <v>0</v>
      </c>
      <c r="O70" s="2081">
        <f>IFERROR(IF($K70&lt;INT('[8]Berechnungen BVerfG'!K$5),0,IF($K70=INT('[8]Berechnungen BVerfG'!K$2),'[8]Berechnungen BVerfG'!K$12,IF($K70&gt;INT('[8]Berechnungen BVerfG'!K$2),'[8]Berechnungen BVerfG'!K$12*(1+'[8]Berechnungen BVerfG'!K$9)^(IF($K70-'[8]Berechnungen BVerfG'!K$5&lt;=0,0,$K70-IF('[8]Berechnungen BVerfG'!K$5&lt;'[8]Berechnungen BVerfG'!K$2,'[8]Berechnungen BVerfG'!K$2,'[8]Berechnungen BVerfG'!K$5))),0))),0)</f>
        <v>0</v>
      </c>
      <c r="P70" s="95">
        <f t="shared" si="3"/>
        <v>0</v>
      </c>
    </row>
    <row r="71" spans="1:16">
      <c r="A71" s="2080" t="e">
        <f>IF(PflGesamt,IF(GesVersrgPfl,SUM([8]!Tabelle2[[#This Row],[Spalte2]:[Spalte8]]),0),0)</f>
        <v>#REF!</v>
      </c>
      <c r="B71" s="2080" t="e">
        <f>IF(BerGesamt,SUM('[8]Berechnungen BVerfG'!P71:R71)+'[8]Berechnungen BVerfG'!N71,0)</f>
        <v>#REF!</v>
      </c>
      <c r="C71" s="2080" t="e">
        <f>IF(GesVersrgPfl,SUM([8]!Tabelle2[[#This Row],[Spalte2]:[Spalte8]]),0)</f>
        <v>#REF!</v>
      </c>
      <c r="D71" s="2080" t="e">
        <f>SUM('[8]Berechnungen BVerfG'!R71:T71)+'[8]Berechnungen BVerfG'!P71</f>
        <v>#REF!</v>
      </c>
    </row>
    <row r="72" spans="1:16">
      <c r="A72" s="2080" t="e">
        <f>IF(PflGesamt,IF(GesVersrgPfl,SUM([8]!Tabelle2[[#This Row],[Spalte2]:[Spalte8]]),0),0)</f>
        <v>#REF!</v>
      </c>
      <c r="B72" s="2080" t="e">
        <f>IF(BerGesamt,SUM('[8]Berechnungen BVerfG'!P72:R72)+'[8]Berechnungen BVerfG'!N72,0)</f>
        <v>#REF!</v>
      </c>
      <c r="C72" s="2080" t="e">
        <f>IF(GesVersrgPfl,SUM([8]!Tabelle2[[#This Row],[Spalte2]:[Spalte8]]),0)</f>
        <v>#REF!</v>
      </c>
      <c r="D72" s="2080" t="e">
        <f>SUM('[8]Berechnungen BVerfG'!R72:T72)+'[8]Berechnungen BVerfG'!P72</f>
        <v>#REF!</v>
      </c>
    </row>
    <row r="73" spans="1:16">
      <c r="A73" s="2080" t="e">
        <f>IF(PflGesamt,IF(GesVersrgPfl,SUM([8]!Tabelle2[[#This Row],[Spalte2]:[Spalte8]]),0),0)</f>
        <v>#REF!</v>
      </c>
      <c r="B73" s="2080" t="e">
        <f>IF(BerGesamt,SUM('[8]Berechnungen BVerfG'!P73:R73)+'[8]Berechnungen BVerfG'!N73,0)</f>
        <v>#REF!</v>
      </c>
      <c r="C73" s="2080" t="e">
        <f>IF(GesVersrgPfl,SUM([8]!Tabelle2[[#This Row],[Spalte2]:[Spalte8]]),0)</f>
        <v>#REF!</v>
      </c>
      <c r="D73" s="2080" t="e">
        <f>SUM('[8]Berechnungen BVerfG'!R73:T73)+'[8]Berechnungen BVerfG'!P73</f>
        <v>#REF!</v>
      </c>
    </row>
    <row r="74" spans="1:16">
      <c r="A74" s="2080" t="e">
        <f>IF(PflGesamt,IF(GesVersrgPfl,SUM([8]!Tabelle2[[#This Row],[Spalte2]:[Spalte8]]),0),0)</f>
        <v>#REF!</v>
      </c>
      <c r="B74" s="2080" t="e">
        <f>IF(BerGesamt,SUM('[8]Berechnungen BVerfG'!P74:R74)+'[8]Berechnungen BVerfG'!N74,0)</f>
        <v>#REF!</v>
      </c>
      <c r="C74" s="2080" t="e">
        <f>IF(GesVersrgPfl,SUM([8]!Tabelle2[[#This Row],[Spalte2]:[Spalte8]]),0)</f>
        <v>#REF!</v>
      </c>
      <c r="D74" s="2080" t="e">
        <f>SUM('[8]Berechnungen BVerfG'!R74:T74)+'[8]Berechnungen BVerfG'!P74</f>
        <v>#REF!</v>
      </c>
    </row>
    <row r="75" spans="1:16">
      <c r="A75" s="2080" t="e">
        <f>IF(PflGesamt,IF(GesVersrgPfl,SUM([8]!Tabelle2[[#This Row],[Spalte2]:[Spalte8]]),0),0)</f>
        <v>#REF!</v>
      </c>
      <c r="B75" s="2080" t="e">
        <f>IF(BerGesamt,SUM('[8]Berechnungen BVerfG'!P75:R75)+'[8]Berechnungen BVerfG'!N75,0)</f>
        <v>#REF!</v>
      </c>
      <c r="C75" s="2080" t="e">
        <f>IF(GesVersrgPfl,SUM([8]!Tabelle2[[#This Row],[Spalte2]:[Spalte8]]),0)</f>
        <v>#REF!</v>
      </c>
      <c r="D75" s="2080" t="e">
        <f>SUM('[8]Berechnungen BVerfG'!R75:T75)+'[8]Berechnungen BVerfG'!P75</f>
        <v>#REF!</v>
      </c>
    </row>
    <row r="76" spans="1:16">
      <c r="A76" s="2080" t="e">
        <f>IF(PflGesamt,IF(GesVersrgPfl,SUM([8]!Tabelle2[[#This Row],[Spalte2]:[Spalte8]]),0),0)</f>
        <v>#REF!</v>
      </c>
      <c r="B76" s="2080" t="e">
        <f>IF(BerGesamt,SUM('[8]Berechnungen BVerfG'!P76:R76)+'[8]Berechnungen BVerfG'!N76,0)</f>
        <v>#REF!</v>
      </c>
      <c r="C76" s="2080" t="e">
        <f>IF(GesVersrgPfl,SUM([8]!Tabelle2[[#This Row],[Spalte2]:[Spalte8]]),0)</f>
        <v>#REF!</v>
      </c>
      <c r="D76" s="2080" t="e">
        <f>SUM('[8]Berechnungen BVerfG'!R76:T76)+'[8]Berechnungen BVerfG'!P76</f>
        <v>#REF!</v>
      </c>
    </row>
    <row r="77" spans="1:16">
      <c r="A77" s="2080" t="e">
        <f>IF(PflGesamt,IF(GesVersrgPfl,SUM([8]!Tabelle2[[#This Row],[Spalte2]:[Spalte8]]),0),0)</f>
        <v>#REF!</v>
      </c>
      <c r="B77" s="2080" t="e">
        <f>IF(BerGesamt,SUM('[8]Berechnungen BVerfG'!P77:R77)+'[8]Berechnungen BVerfG'!N77,0)</f>
        <v>#REF!</v>
      </c>
      <c r="C77" s="2080" t="e">
        <f>IF(GesVersrgPfl,SUM([8]!Tabelle2[[#This Row],[Spalte2]:[Spalte8]]),0)</f>
        <v>#REF!</v>
      </c>
      <c r="D77" s="2080" t="e">
        <f>SUM('[8]Berechnungen BVerfG'!R77:T77)+'[8]Berechnungen BVerfG'!P77</f>
        <v>#REF!</v>
      </c>
    </row>
    <row r="78" spans="1:16">
      <c r="A78" s="2080" t="e">
        <f>IF(PflGesamt,IF(GesVersrgPfl,SUM([8]!Tabelle2[[#This Row],[Spalte2]:[Spalte8]]),0),0)</f>
        <v>#REF!</v>
      </c>
      <c r="B78" s="2080" t="e">
        <f>IF(BerGesamt,SUM('[8]Berechnungen BVerfG'!P78:R78)+'[8]Berechnungen BVerfG'!N78,0)</f>
        <v>#REF!</v>
      </c>
      <c r="C78" s="2080" t="e">
        <f>IF(GesVersrgPfl,SUM([8]!Tabelle2[[#This Row],[Spalte2]:[Spalte8]]),0)</f>
        <v>#REF!</v>
      </c>
      <c r="D78" s="2080" t="e">
        <f>SUM('[8]Berechnungen BVerfG'!R78:T78)+'[8]Berechnungen BVerfG'!P78</f>
        <v>#REF!</v>
      </c>
    </row>
    <row r="79" spans="1:16">
      <c r="A79" s="2080" t="e">
        <f>IF(PflGesamt,IF(GesVersrgPfl,SUM([8]!Tabelle2[[#This Row],[Spalte2]:[Spalte8]]),0),0)</f>
        <v>#REF!</v>
      </c>
      <c r="B79" s="2080" t="e">
        <f>IF(BerGesamt,SUM('[8]Berechnungen BVerfG'!P79:R79)+'[8]Berechnungen BVerfG'!N79,0)</f>
        <v>#REF!</v>
      </c>
      <c r="C79" s="2080" t="e">
        <f>IF(GesVersrgPfl,SUM([8]!Tabelle2[[#This Row],[Spalte2]:[Spalte8]]),0)</f>
        <v>#REF!</v>
      </c>
      <c r="D79" s="2080" t="e">
        <f>SUM('[8]Berechnungen BVerfG'!R79:T79)+'[8]Berechnungen BVerfG'!P79</f>
        <v>#REF!</v>
      </c>
    </row>
    <row r="80" spans="1:16">
      <c r="A80" s="2080" t="e">
        <f>IF(PflGesamt,IF(GesVersrgPfl,SUM([8]!Tabelle2[[#This Row],[Spalte2]:[Spalte8]]),0),0)</f>
        <v>#REF!</v>
      </c>
      <c r="B80" s="2080" t="e">
        <f>IF(BerGesamt,SUM('[8]Berechnungen BVerfG'!P80:R80)+'[8]Berechnungen BVerfG'!N80,0)</f>
        <v>#REF!</v>
      </c>
      <c r="C80" s="2080" t="e">
        <f>IF(GesVersrgPfl,SUM([8]!Tabelle2[[#This Row],[Spalte2]:[Spalte8]]),0)</f>
        <v>#REF!</v>
      </c>
      <c r="D80" s="2080" t="e">
        <f>SUM('[8]Berechnungen BVerfG'!R80:T80)+'[8]Berechnungen BVerfG'!P80</f>
        <v>#REF!</v>
      </c>
    </row>
    <row r="81" spans="1:4">
      <c r="A81" s="2080" t="e">
        <f>IF(PflGesamt,IF(GesVersrgPfl,SUM([8]!Tabelle2[[#This Row],[Spalte2]:[Spalte8]]),0),0)</f>
        <v>#REF!</v>
      </c>
      <c r="B81" s="2080" t="e">
        <f>IF(BerGesamt,SUM('[8]Berechnungen BVerfG'!P81:R81)+'[8]Berechnungen BVerfG'!N81,0)</f>
        <v>#REF!</v>
      </c>
      <c r="C81" s="2080" t="e">
        <f>IF(GesVersrgPfl,SUM([8]!Tabelle2[[#This Row],[Spalte2]:[Spalte8]]),0)</f>
        <v>#REF!</v>
      </c>
      <c r="D81" s="2080" t="e">
        <f>SUM('[8]Berechnungen BVerfG'!R81:T81)+'[8]Berechnungen BVerfG'!P81</f>
        <v>#REF!</v>
      </c>
    </row>
    <row r="82" spans="1:4">
      <c r="A82" s="2080" t="e">
        <f>IF(PflGesamt,IF(GesVersrgPfl,SUM([8]!Tabelle2[[#This Row],[Spalte2]:[Spalte8]]),0),0)</f>
        <v>#REF!</v>
      </c>
      <c r="B82" s="2080" t="e">
        <f>IF(BerGesamt,SUM('[8]Berechnungen BVerfG'!P82:R82)+'[8]Berechnungen BVerfG'!N82,0)</f>
        <v>#REF!</v>
      </c>
      <c r="C82" s="2080" t="e">
        <f>IF(GesVersrgPfl,SUM([8]!Tabelle2[[#This Row],[Spalte2]:[Spalte8]]),0)</f>
        <v>#REF!</v>
      </c>
      <c r="D82" s="2080" t="e">
        <f>SUM('[8]Berechnungen BVerfG'!R82:T82)+'[8]Berechnungen BVerfG'!P82</f>
        <v>#REF!</v>
      </c>
    </row>
    <row r="83" spans="1:4">
      <c r="A83" s="2080" t="e">
        <f>IF(PflGesamt,IF(GesVersrgPfl,SUM([8]!Tabelle2[[#This Row],[Spalte2]:[Spalte8]]),0),0)</f>
        <v>#REF!</v>
      </c>
      <c r="B83" s="2080" t="e">
        <f>IF(BerGesamt,SUM('[8]Berechnungen BVerfG'!P83:R83)+'[8]Berechnungen BVerfG'!N83,0)</f>
        <v>#REF!</v>
      </c>
      <c r="C83" s="2080" t="e">
        <f>IF(GesVersrgPfl,SUM([8]!Tabelle2[[#This Row],[Spalte2]:[Spalte8]]),0)</f>
        <v>#REF!</v>
      </c>
      <c r="D83" s="2080" t="e">
        <f>SUM('[8]Berechnungen BVerfG'!R83:T83)+'[8]Berechnungen BVerfG'!P83</f>
        <v>#REF!</v>
      </c>
    </row>
    <row r="84" spans="1:4">
      <c r="A84" s="2080" t="e">
        <f>IF(PflGesamt,IF(GesVersrgPfl,SUM([8]!Tabelle2[[#This Row],[Spalte2]:[Spalte8]]),0),0)</f>
        <v>#REF!</v>
      </c>
      <c r="B84" s="2080" t="e">
        <f>IF(BerGesamt,SUM('[8]Berechnungen BVerfG'!P84:R84)+'[8]Berechnungen BVerfG'!N84,0)</f>
        <v>#REF!</v>
      </c>
      <c r="C84" s="2080" t="e">
        <f>IF(GesVersrgPfl,SUM([8]!Tabelle2[[#This Row],[Spalte2]:[Spalte8]]),0)</f>
        <v>#REF!</v>
      </c>
      <c r="D84" s="2080" t="e">
        <f>SUM('[8]Berechnungen BVerfG'!R84:T84)+'[8]Berechnungen BVerfG'!P84</f>
        <v>#REF!</v>
      </c>
    </row>
    <row r="85" spans="1:4">
      <c r="A85" s="2080" t="e">
        <f>IF(PflGesamt,IF(GesVersrgPfl,SUM([8]!Tabelle2[[#This Row],[Spalte2]:[Spalte8]]),0),0)</f>
        <v>#REF!</v>
      </c>
      <c r="B85" s="2080" t="e">
        <f>IF(BerGesamt,SUM('[8]Berechnungen BVerfG'!P85:R85)+'[8]Berechnungen BVerfG'!N85,0)</f>
        <v>#REF!</v>
      </c>
      <c r="C85" s="2080" t="e">
        <f>IF(GesVersrgPfl,SUM([8]!Tabelle2[[#This Row],[Spalte2]:[Spalte8]]),0)</f>
        <v>#REF!</v>
      </c>
      <c r="D85" s="2080" t="e">
        <f>SUM('[8]Berechnungen BVerfG'!R85:T85)+'[8]Berechnungen BVerfG'!P85</f>
        <v>#REF!</v>
      </c>
    </row>
    <row r="86" spans="1:4">
      <c r="A86" s="2080" t="e">
        <f>IF(PflGesamt,IF(GesVersrgPfl,SUM([8]!Tabelle2[[#This Row],[Spalte2]:[Spalte8]]),0),0)</f>
        <v>#REF!</v>
      </c>
      <c r="B86" s="2080" t="e">
        <f>IF(BerGesamt,SUM('[8]Berechnungen BVerfG'!P86:R86)+'[8]Berechnungen BVerfG'!N86,0)</f>
        <v>#REF!</v>
      </c>
      <c r="C86" s="2080" t="e">
        <f>IF(GesVersrgPfl,SUM([8]!Tabelle2[[#This Row],[Spalte2]:[Spalte8]]),0)</f>
        <v>#REF!</v>
      </c>
      <c r="D86" s="2080" t="e">
        <f>SUM('[8]Berechnungen BVerfG'!R86:T86)+'[8]Berechnungen BVerfG'!P86</f>
        <v>#REF!</v>
      </c>
    </row>
    <row r="87" spans="1:4">
      <c r="A87" s="2080" t="e">
        <f>IF(PflGesamt,IF(GesVersrgPfl,SUM([8]!Tabelle2[[#This Row],[Spalte2]:[Spalte8]]),0),0)</f>
        <v>#REF!</v>
      </c>
      <c r="B87" s="2080" t="e">
        <f>IF(BerGesamt,SUM('[8]Berechnungen BVerfG'!P87:R87)+'[8]Berechnungen BVerfG'!N87,0)</f>
        <v>#REF!</v>
      </c>
      <c r="C87" s="2080" t="e">
        <f>IF(GesVersrgPfl,SUM([8]!Tabelle2[[#This Row],[Spalte2]:[Spalte8]]),0)</f>
        <v>#REF!</v>
      </c>
      <c r="D87" s="2080" t="e">
        <f>SUM('[8]Berechnungen BVerfG'!R87:T87)+'[8]Berechnungen BVerfG'!P87</f>
        <v>#REF!</v>
      </c>
    </row>
    <row r="88" spans="1:4">
      <c r="A88" s="2080" t="e">
        <f>IF(PflGesamt,IF(GesVersrgPfl,SUM([8]!Tabelle2[[#This Row],[Spalte2]:[Spalte8]]),0),0)</f>
        <v>#REF!</v>
      </c>
      <c r="B88" s="2080" t="e">
        <f>IF(BerGesamt,SUM('[8]Berechnungen BVerfG'!P88:R88)+'[8]Berechnungen BVerfG'!N88,0)</f>
        <v>#REF!</v>
      </c>
      <c r="C88" s="2080" t="e">
        <f>IF(GesVersrgPfl,SUM([8]!Tabelle2[[#This Row],[Spalte2]:[Spalte8]]),0)</f>
        <v>#REF!</v>
      </c>
      <c r="D88" s="2080" t="e">
        <f>SUM('[8]Berechnungen BVerfG'!R88:T88)+'[8]Berechnungen BVerfG'!P88</f>
        <v>#REF!</v>
      </c>
    </row>
    <row r="89" spans="1:4">
      <c r="A89" s="2080" t="e">
        <f>IF(PflGesamt,IF(GesVersrgPfl,SUM([8]!Tabelle2[[#This Row],[Spalte2]:[Spalte8]]),0),0)</f>
        <v>#REF!</v>
      </c>
      <c r="B89" s="2080" t="e">
        <f>IF(BerGesamt,SUM('[8]Berechnungen BVerfG'!P89:R89)+'[8]Berechnungen BVerfG'!N89,0)</f>
        <v>#REF!</v>
      </c>
      <c r="C89" s="2080" t="e">
        <f>IF(GesVersrgPfl,SUM([8]!Tabelle2[[#This Row],[Spalte2]:[Spalte8]]),0)</f>
        <v>#REF!</v>
      </c>
      <c r="D89" s="2080" t="e">
        <f>SUM('[8]Berechnungen BVerfG'!R89:T89)+'[8]Berechnungen BVerfG'!P89</f>
        <v>#REF!</v>
      </c>
    </row>
    <row r="90" spans="1:4">
      <c r="A90" s="2080" t="e">
        <f>IF(PflGesamt,IF(GesVersrgPfl,SUM([8]!Tabelle2[[#This Row],[Spalte2]:[Spalte8]]),0),0)</f>
        <v>#REF!</v>
      </c>
      <c r="B90" s="2080" t="e">
        <f>IF(BerGesamt,SUM('[8]Berechnungen BVerfG'!P90:R90)+'[8]Berechnungen BVerfG'!N90,0)</f>
        <v>#REF!</v>
      </c>
      <c r="C90" s="2080" t="e">
        <f>IF(GesVersrgPfl,SUM([8]!Tabelle2[[#This Row],[Spalte2]:[Spalte8]]),0)</f>
        <v>#REF!</v>
      </c>
      <c r="D90" s="2080" t="e">
        <f>SUM('[8]Berechnungen BVerfG'!R90:T90)+'[8]Berechnungen BVerfG'!P90</f>
        <v>#REF!</v>
      </c>
    </row>
    <row r="91" spans="1:4">
      <c r="A91" s="2080" t="e">
        <f>IF(PflGesamt,IF(GesVersrgPfl,SUM([8]!Tabelle2[[#This Row],[Spalte2]:[Spalte8]]),0),0)</f>
        <v>#REF!</v>
      </c>
      <c r="B91" s="2080" t="e">
        <f>IF(BerGesamt,SUM('[8]Berechnungen BVerfG'!P91:R91)+'[8]Berechnungen BVerfG'!N91,0)</f>
        <v>#REF!</v>
      </c>
      <c r="C91" s="2080" t="e">
        <f>IF(GesVersrgPfl,SUM([8]!Tabelle2[[#This Row],[Spalte2]:[Spalte8]]),0)</f>
        <v>#REF!</v>
      </c>
      <c r="D91" s="2080" t="e">
        <f>SUM('[8]Berechnungen BVerfG'!R91:T91)+'[8]Berechnungen BVerfG'!P91</f>
        <v>#REF!</v>
      </c>
    </row>
    <row r="92" spans="1:4">
      <c r="A92" s="2080" t="e">
        <f>IF(PflGesamt,IF(GesVersrgPfl,SUM([8]!Tabelle2[[#This Row],[Spalte2]:[Spalte8]]),0),0)</f>
        <v>#REF!</v>
      </c>
      <c r="B92" s="2080" t="e">
        <f>IF(BerGesamt,SUM('[8]Berechnungen BVerfG'!P92:R92)+'[8]Berechnungen BVerfG'!N92,0)</f>
        <v>#REF!</v>
      </c>
      <c r="C92" s="2080" t="e">
        <f>IF(GesVersrgPfl,SUM([8]!Tabelle2[[#This Row],[Spalte2]:[Spalte8]]),0)</f>
        <v>#REF!</v>
      </c>
      <c r="D92" s="2080" t="e">
        <f>SUM('[8]Berechnungen BVerfG'!R92:T92)+'[8]Berechnungen BVerfG'!P92</f>
        <v>#REF!</v>
      </c>
    </row>
    <row r="93" spans="1:4">
      <c r="A93" s="2080" t="e">
        <f>IF(PflGesamt,IF(GesVersrgPfl,SUM([8]!Tabelle2[[#This Row],[Spalte2]:[Spalte8]]),0),0)</f>
        <v>#REF!</v>
      </c>
      <c r="B93" s="2080" t="e">
        <f>IF(BerGesamt,SUM('[8]Berechnungen BVerfG'!P93:R93)+'[8]Berechnungen BVerfG'!N93,0)</f>
        <v>#REF!</v>
      </c>
      <c r="C93" s="2080" t="e">
        <f>IF(GesVersrgPfl,SUM([8]!Tabelle2[[#This Row],[Spalte2]:[Spalte8]]),0)</f>
        <v>#REF!</v>
      </c>
      <c r="D93" s="2080" t="e">
        <f>SUM('[8]Berechnungen BVerfG'!R93:T93)+'[8]Berechnungen BVerfG'!P93</f>
        <v>#REF!</v>
      </c>
    </row>
    <row r="94" spans="1:4">
      <c r="A94" s="2080" t="e">
        <f>IF(PflGesamt,IF(GesVersrgPfl,SUM([8]!Tabelle2[[#This Row],[Spalte2]:[Spalte8]]),0),0)</f>
        <v>#REF!</v>
      </c>
      <c r="B94" s="2080" t="e">
        <f>IF(BerGesamt,SUM('[8]Berechnungen BVerfG'!P94:R94)+'[8]Berechnungen BVerfG'!N94,0)</f>
        <v>#REF!</v>
      </c>
      <c r="C94" s="2080" t="e">
        <f>IF(GesVersrgPfl,SUM([8]!Tabelle2[[#This Row],[Spalte2]:[Spalte8]]),0)</f>
        <v>#REF!</v>
      </c>
      <c r="D94" s="2080" t="e">
        <f>SUM('[8]Berechnungen BVerfG'!R94:T94)+'[8]Berechnungen BVerfG'!P94</f>
        <v>#REF!</v>
      </c>
    </row>
  </sheetData>
  <pageMargins left="0.7" right="0.7" top="0.78740157499999996" bottom="0.78740157499999996"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4BA2F-421D-4BA2-AA9C-BAB89A491486}">
  <dimension ref="B16:B94"/>
  <sheetViews>
    <sheetView workbookViewId="0">
      <selection activeCell="B3" sqref="B3"/>
    </sheetView>
  </sheetViews>
  <sheetFormatPr baseColWidth="10" defaultRowHeight="14.25"/>
  <sheetData>
    <row r="16" spans="2:2" ht="28.5">
      <c r="B16" s="2079" t="s">
        <v>1955</v>
      </c>
    </row>
    <row r="17" spans="2:2">
      <c r="B17" s="251"/>
    </row>
    <row r="18" spans="2:2">
      <c r="B18" s="2080" t="e">
        <f>IF(BerGesamt,SUM('[8]Berechnungen BVerfG'!P18:R18)+'[8]Berechnungen BVerfG'!N18,0)</f>
        <v>#REF!</v>
      </c>
    </row>
    <row r="19" spans="2:2">
      <c r="B19" s="2080" t="e">
        <f>IF(BerGesamt,SUM('[8]Berechnungen BVerfG'!P19:R19)+'[8]Berechnungen BVerfG'!N19,0)</f>
        <v>#REF!</v>
      </c>
    </row>
    <row r="20" spans="2:2">
      <c r="B20" s="2080" t="e">
        <f>IF(BerGesamt,SUM('[8]Berechnungen BVerfG'!P20:R20)+'[8]Berechnungen BVerfG'!N20,0)</f>
        <v>#REF!</v>
      </c>
    </row>
    <row r="21" spans="2:2">
      <c r="B21" s="2080" t="e">
        <f>IF(BerGesamt,SUM('[8]Berechnungen BVerfG'!P21:R21)+'[8]Berechnungen BVerfG'!N21,0)</f>
        <v>#REF!</v>
      </c>
    </row>
    <row r="22" spans="2:2">
      <c r="B22" s="2080" t="e">
        <f>IF(BerGesamt,SUM('[8]Berechnungen BVerfG'!P22:R22)+'[8]Berechnungen BVerfG'!N22,0)</f>
        <v>#REF!</v>
      </c>
    </row>
    <row r="23" spans="2:2">
      <c r="B23" s="2080" t="e">
        <f>IF(BerGesamt,SUM('[8]Berechnungen BVerfG'!P23:R23)+'[8]Berechnungen BVerfG'!N23,0)</f>
        <v>#REF!</v>
      </c>
    </row>
    <row r="24" spans="2:2">
      <c r="B24" s="2080" t="e">
        <f>IF(BerGesamt,SUM('[8]Berechnungen BVerfG'!P24:R24)+'[8]Berechnungen BVerfG'!N24,0)</f>
        <v>#REF!</v>
      </c>
    </row>
    <row r="25" spans="2:2">
      <c r="B25" s="2080" t="e">
        <f>IF(BerGesamt,SUM('[8]Berechnungen BVerfG'!P25:R25)+'[8]Berechnungen BVerfG'!N25,0)</f>
        <v>#REF!</v>
      </c>
    </row>
    <row r="26" spans="2:2">
      <c r="B26" s="2080" t="e">
        <f>IF(BerGesamt,SUM('[8]Berechnungen BVerfG'!P26:R26)+'[8]Berechnungen BVerfG'!N26,0)</f>
        <v>#REF!</v>
      </c>
    </row>
    <row r="27" spans="2:2">
      <c r="B27" s="2080" t="e">
        <f>IF(BerGesamt,SUM('[8]Berechnungen BVerfG'!P27:R27)+'[8]Berechnungen BVerfG'!N27,0)</f>
        <v>#REF!</v>
      </c>
    </row>
    <row r="28" spans="2:2">
      <c r="B28" s="2080" t="e">
        <f>IF(BerGesamt,SUM('[8]Berechnungen BVerfG'!P28:R28)+'[8]Berechnungen BVerfG'!N28,0)</f>
        <v>#REF!</v>
      </c>
    </row>
    <row r="29" spans="2:2">
      <c r="B29" s="2080" t="e">
        <f>IF(BerGesamt,SUM('[8]Berechnungen BVerfG'!P29:R29)+'[8]Berechnungen BVerfG'!N29,0)</f>
        <v>#REF!</v>
      </c>
    </row>
    <row r="30" spans="2:2">
      <c r="B30" s="2080" t="e">
        <f>IF(BerGesamt,SUM('[8]Berechnungen BVerfG'!P30:R30)+'[8]Berechnungen BVerfG'!N30,0)</f>
        <v>#REF!</v>
      </c>
    </row>
    <row r="31" spans="2:2">
      <c r="B31" s="2080" t="e">
        <f>IF(BerGesamt,SUM('[8]Berechnungen BVerfG'!P31:R31)+'[8]Berechnungen BVerfG'!N31,0)</f>
        <v>#REF!</v>
      </c>
    </row>
    <row r="32" spans="2:2">
      <c r="B32" s="2080" t="e">
        <f>IF(BerGesamt,SUM('[8]Berechnungen BVerfG'!P32:R32)+'[8]Berechnungen BVerfG'!N32,0)</f>
        <v>#REF!</v>
      </c>
    </row>
    <row r="33" spans="2:2">
      <c r="B33" s="2080" t="e">
        <f>IF(BerGesamt,SUM('[8]Berechnungen BVerfG'!P33:R33)+'[8]Berechnungen BVerfG'!N33,0)</f>
        <v>#REF!</v>
      </c>
    </row>
    <row r="34" spans="2:2">
      <c r="B34" s="2080" t="e">
        <f>IF(BerGesamt,SUM('[8]Berechnungen BVerfG'!P34:R34)+'[8]Berechnungen BVerfG'!N34,0)</f>
        <v>#REF!</v>
      </c>
    </row>
    <row r="35" spans="2:2">
      <c r="B35" s="2080" t="e">
        <f>IF(BerGesamt,SUM('[8]Berechnungen BVerfG'!P35:R35)+'[8]Berechnungen BVerfG'!N35,0)</f>
        <v>#REF!</v>
      </c>
    </row>
    <row r="36" spans="2:2">
      <c r="B36" s="2080" t="e">
        <f>IF(BerGesamt,SUM('[8]Berechnungen BVerfG'!P36:R36)+'[8]Berechnungen BVerfG'!N36,0)</f>
        <v>#REF!</v>
      </c>
    </row>
    <row r="37" spans="2:2">
      <c r="B37" s="2080" t="e">
        <f>IF(BerGesamt,SUM('[8]Berechnungen BVerfG'!P37:R37)+'[8]Berechnungen BVerfG'!N37,0)</f>
        <v>#REF!</v>
      </c>
    </row>
    <row r="38" spans="2:2">
      <c r="B38" s="2080" t="e">
        <f>IF(BerGesamt,SUM('[8]Berechnungen BVerfG'!P38:R38)+'[8]Berechnungen BVerfG'!N38,0)</f>
        <v>#REF!</v>
      </c>
    </row>
    <row r="39" spans="2:2">
      <c r="B39" s="2080" t="e">
        <f>IF(BerGesamt,SUM('[8]Berechnungen BVerfG'!P39:R39)+'[8]Berechnungen BVerfG'!N39,0)</f>
        <v>#REF!</v>
      </c>
    </row>
    <row r="40" spans="2:2">
      <c r="B40" s="2080" t="e">
        <f>IF(BerGesamt,SUM('[8]Berechnungen BVerfG'!P40:R40)+'[8]Berechnungen BVerfG'!N40,0)</f>
        <v>#REF!</v>
      </c>
    </row>
    <row r="41" spans="2:2">
      <c r="B41" s="2080" t="e">
        <f>IF(BerGesamt,SUM('[8]Berechnungen BVerfG'!P41:R41)+'[8]Berechnungen BVerfG'!N41,0)</f>
        <v>#REF!</v>
      </c>
    </row>
    <row r="42" spans="2:2">
      <c r="B42" s="2080" t="e">
        <f>IF(BerGesamt,SUM('[8]Berechnungen BVerfG'!P42:R42)+'[8]Berechnungen BVerfG'!N42,0)</f>
        <v>#REF!</v>
      </c>
    </row>
    <row r="43" spans="2:2">
      <c r="B43" s="2080" t="e">
        <f>IF(BerGesamt,SUM('[8]Berechnungen BVerfG'!P43:R43)+'[8]Berechnungen BVerfG'!N43,0)</f>
        <v>#REF!</v>
      </c>
    </row>
    <row r="44" spans="2:2">
      <c r="B44" s="2080" t="e">
        <f>IF(BerGesamt,SUM('[8]Berechnungen BVerfG'!P44:R44)+'[8]Berechnungen BVerfG'!N44,0)</f>
        <v>#REF!</v>
      </c>
    </row>
    <row r="45" spans="2:2">
      <c r="B45" s="2080" t="e">
        <f>IF(BerGesamt,SUM('[8]Berechnungen BVerfG'!P45:R45)+'[8]Berechnungen BVerfG'!N45,0)</f>
        <v>#REF!</v>
      </c>
    </row>
    <row r="46" spans="2:2">
      <c r="B46" s="2080" t="e">
        <f>IF(BerGesamt,SUM('[8]Berechnungen BVerfG'!P46:R46)+'[8]Berechnungen BVerfG'!N46,0)</f>
        <v>#REF!</v>
      </c>
    </row>
    <row r="47" spans="2:2">
      <c r="B47" s="2080" t="e">
        <f>IF(BerGesamt,SUM('[8]Berechnungen BVerfG'!P47:R47)+'[8]Berechnungen BVerfG'!N47,0)</f>
        <v>#REF!</v>
      </c>
    </row>
    <row r="48" spans="2:2">
      <c r="B48" s="2080" t="e">
        <f>IF(BerGesamt,SUM('[8]Berechnungen BVerfG'!P48:R48)+'[8]Berechnungen BVerfG'!N48,0)</f>
        <v>#REF!</v>
      </c>
    </row>
    <row r="49" spans="2:2">
      <c r="B49" s="2080" t="e">
        <f>IF(BerGesamt,SUM('[8]Berechnungen BVerfG'!P49:R49)+'[8]Berechnungen BVerfG'!N49,0)</f>
        <v>#REF!</v>
      </c>
    </row>
    <row r="50" spans="2:2">
      <c r="B50" s="2080" t="e">
        <f>IF(BerGesamt,SUM('[8]Berechnungen BVerfG'!P50:R50)+'[8]Berechnungen BVerfG'!N50,0)</f>
        <v>#REF!</v>
      </c>
    </row>
    <row r="51" spans="2:2">
      <c r="B51" s="2080" t="e">
        <f>IF(BerGesamt,SUM('[8]Berechnungen BVerfG'!P51:R51)+'[8]Berechnungen BVerfG'!N51,0)</f>
        <v>#REF!</v>
      </c>
    </row>
    <row r="52" spans="2:2">
      <c r="B52" s="2080" t="e">
        <f>IF(BerGesamt,SUM('[8]Berechnungen BVerfG'!P52:R52)+'[8]Berechnungen BVerfG'!N52,0)</f>
        <v>#REF!</v>
      </c>
    </row>
    <row r="53" spans="2:2">
      <c r="B53" s="2080" t="e">
        <f>IF(BerGesamt,SUM('[8]Berechnungen BVerfG'!P53:R53)+'[8]Berechnungen BVerfG'!N53,0)</f>
        <v>#REF!</v>
      </c>
    </row>
    <row r="54" spans="2:2">
      <c r="B54" s="2080" t="e">
        <f>IF(BerGesamt,SUM('[8]Berechnungen BVerfG'!P54:R54)+'[8]Berechnungen BVerfG'!N54,0)</f>
        <v>#REF!</v>
      </c>
    </row>
    <row r="55" spans="2:2">
      <c r="B55" s="2080" t="e">
        <f>IF(BerGesamt,SUM('[8]Berechnungen BVerfG'!P55:R55)+'[8]Berechnungen BVerfG'!N55,0)</f>
        <v>#REF!</v>
      </c>
    </row>
    <row r="56" spans="2:2">
      <c r="B56" s="2080" t="e">
        <f>IF(BerGesamt,SUM('[8]Berechnungen BVerfG'!P56:R56)+'[8]Berechnungen BVerfG'!N56,0)</f>
        <v>#REF!</v>
      </c>
    </row>
    <row r="57" spans="2:2">
      <c r="B57" s="2080" t="e">
        <f>IF(BerGesamt,SUM('[8]Berechnungen BVerfG'!P57:R57)+'[8]Berechnungen BVerfG'!N57,0)</f>
        <v>#REF!</v>
      </c>
    </row>
    <row r="58" spans="2:2">
      <c r="B58" s="2080" t="e">
        <f>IF(BerGesamt,SUM('[8]Berechnungen BVerfG'!P58:R58)+'[8]Berechnungen BVerfG'!N58,0)</f>
        <v>#REF!</v>
      </c>
    </row>
    <row r="59" spans="2:2">
      <c r="B59" s="2080" t="e">
        <f>IF(BerGesamt,SUM('[8]Berechnungen BVerfG'!P59:R59)+'[8]Berechnungen BVerfG'!N59,0)</f>
        <v>#REF!</v>
      </c>
    </row>
    <row r="60" spans="2:2">
      <c r="B60" s="2080" t="e">
        <f>IF(BerGesamt,SUM('[8]Berechnungen BVerfG'!P60:R60)+'[8]Berechnungen BVerfG'!N60,0)</f>
        <v>#REF!</v>
      </c>
    </row>
    <row r="61" spans="2:2">
      <c r="B61" s="2080" t="e">
        <f>IF(BerGesamt,SUM('[8]Berechnungen BVerfG'!P61:R61)+'[8]Berechnungen BVerfG'!N61,0)</f>
        <v>#REF!</v>
      </c>
    </row>
    <row r="62" spans="2:2">
      <c r="B62" s="2080" t="e">
        <f>IF(BerGesamt,SUM('[8]Berechnungen BVerfG'!P62:R62)+'[8]Berechnungen BVerfG'!N62,0)</f>
        <v>#REF!</v>
      </c>
    </row>
    <row r="63" spans="2:2">
      <c r="B63" s="2080" t="e">
        <f>IF(BerGesamt,SUM('[8]Berechnungen BVerfG'!P63:R63)+'[8]Berechnungen BVerfG'!N63,0)</f>
        <v>#REF!</v>
      </c>
    </row>
    <row r="64" spans="2:2">
      <c r="B64" s="2080" t="e">
        <f>IF(BerGesamt,SUM('[8]Berechnungen BVerfG'!P64:R64)+'[8]Berechnungen BVerfG'!N64,0)</f>
        <v>#REF!</v>
      </c>
    </row>
    <row r="65" spans="2:2">
      <c r="B65" s="2080" t="e">
        <f>IF(BerGesamt,SUM('[8]Berechnungen BVerfG'!P65:R65)+'[8]Berechnungen BVerfG'!N65,0)</f>
        <v>#REF!</v>
      </c>
    </row>
    <row r="66" spans="2:2">
      <c r="B66" s="2080" t="e">
        <f>IF(BerGesamt,SUM('[8]Berechnungen BVerfG'!P66:R66)+'[8]Berechnungen BVerfG'!N66,0)</f>
        <v>#REF!</v>
      </c>
    </row>
    <row r="67" spans="2:2">
      <c r="B67" s="2080" t="e">
        <f>IF(BerGesamt,SUM('[8]Berechnungen BVerfG'!P67:R67)+'[8]Berechnungen BVerfG'!N67,0)</f>
        <v>#REF!</v>
      </c>
    </row>
    <row r="68" spans="2:2">
      <c r="B68" s="2080" t="e">
        <f>IF(BerGesamt,SUM('[8]Berechnungen BVerfG'!P68:R68)+'[8]Berechnungen BVerfG'!N68,0)</f>
        <v>#REF!</v>
      </c>
    </row>
    <row r="69" spans="2:2">
      <c r="B69" s="2080" t="e">
        <f>IF(BerGesamt,SUM('[8]Berechnungen BVerfG'!P69:R69)+'[8]Berechnungen BVerfG'!N69,0)</f>
        <v>#REF!</v>
      </c>
    </row>
    <row r="70" spans="2:2">
      <c r="B70" s="2080" t="e">
        <f>IF(BerGesamt,SUM('[8]Berechnungen BVerfG'!P70:R70)+'[8]Berechnungen BVerfG'!N70,0)</f>
        <v>#REF!</v>
      </c>
    </row>
    <row r="71" spans="2:2">
      <c r="B71" s="2080" t="e">
        <f>IF(BerGesamt,SUM('[8]Berechnungen BVerfG'!P71:R71)+'[8]Berechnungen BVerfG'!N71,0)</f>
        <v>#REF!</v>
      </c>
    </row>
    <row r="72" spans="2:2">
      <c r="B72" s="2080" t="e">
        <f>IF(BerGesamt,SUM('[8]Berechnungen BVerfG'!P72:R72)+'[8]Berechnungen BVerfG'!N72,0)</f>
        <v>#REF!</v>
      </c>
    </row>
    <row r="73" spans="2:2">
      <c r="B73" s="2080" t="e">
        <f>IF(BerGesamt,SUM('[8]Berechnungen BVerfG'!P73:R73)+'[8]Berechnungen BVerfG'!N73,0)</f>
        <v>#REF!</v>
      </c>
    </row>
    <row r="74" spans="2:2">
      <c r="B74" s="2080" t="e">
        <f>IF(BerGesamt,SUM('[8]Berechnungen BVerfG'!P74:R74)+'[8]Berechnungen BVerfG'!N74,0)</f>
        <v>#REF!</v>
      </c>
    </row>
    <row r="75" spans="2:2">
      <c r="B75" s="2080" t="e">
        <f>IF(BerGesamt,SUM('[8]Berechnungen BVerfG'!P75:R75)+'[8]Berechnungen BVerfG'!N75,0)</f>
        <v>#REF!</v>
      </c>
    </row>
    <row r="76" spans="2:2">
      <c r="B76" s="2080" t="e">
        <f>IF(BerGesamt,SUM('[8]Berechnungen BVerfG'!P76:R76)+'[8]Berechnungen BVerfG'!N76,0)</f>
        <v>#REF!</v>
      </c>
    </row>
    <row r="77" spans="2:2">
      <c r="B77" s="2080" t="e">
        <f>IF(BerGesamt,SUM('[8]Berechnungen BVerfG'!P77:R77)+'[8]Berechnungen BVerfG'!N77,0)</f>
        <v>#REF!</v>
      </c>
    </row>
    <row r="78" spans="2:2">
      <c r="B78" s="2080" t="e">
        <f>IF(BerGesamt,SUM('[8]Berechnungen BVerfG'!P78:R78)+'[8]Berechnungen BVerfG'!N78,0)</f>
        <v>#REF!</v>
      </c>
    </row>
    <row r="79" spans="2:2">
      <c r="B79" s="2080" t="e">
        <f>IF(BerGesamt,SUM('[8]Berechnungen BVerfG'!P79:R79)+'[8]Berechnungen BVerfG'!N79,0)</f>
        <v>#REF!</v>
      </c>
    </row>
    <row r="80" spans="2:2">
      <c r="B80" s="2080" t="e">
        <f>IF(BerGesamt,SUM('[8]Berechnungen BVerfG'!P80:R80)+'[8]Berechnungen BVerfG'!N80,0)</f>
        <v>#REF!</v>
      </c>
    </row>
    <row r="81" spans="2:2">
      <c r="B81" s="2080" t="e">
        <f>IF(BerGesamt,SUM('[8]Berechnungen BVerfG'!P81:R81)+'[8]Berechnungen BVerfG'!N81,0)</f>
        <v>#REF!</v>
      </c>
    </row>
    <row r="82" spans="2:2">
      <c r="B82" s="2080" t="e">
        <f>IF(BerGesamt,SUM('[8]Berechnungen BVerfG'!P82:R82)+'[8]Berechnungen BVerfG'!N82,0)</f>
        <v>#REF!</v>
      </c>
    </row>
    <row r="83" spans="2:2">
      <c r="B83" s="2080" t="e">
        <f>IF(BerGesamt,SUM('[8]Berechnungen BVerfG'!P83:R83)+'[8]Berechnungen BVerfG'!N83,0)</f>
        <v>#REF!</v>
      </c>
    </row>
    <row r="84" spans="2:2">
      <c r="B84" s="2080" t="e">
        <f>IF(BerGesamt,SUM('[8]Berechnungen BVerfG'!P84:R84)+'[8]Berechnungen BVerfG'!N84,0)</f>
        <v>#REF!</v>
      </c>
    </row>
    <row r="85" spans="2:2">
      <c r="B85" s="2080" t="e">
        <f>IF(BerGesamt,SUM('[8]Berechnungen BVerfG'!P85:R85)+'[8]Berechnungen BVerfG'!N85,0)</f>
        <v>#REF!</v>
      </c>
    </row>
    <row r="86" spans="2:2">
      <c r="B86" s="2080" t="e">
        <f>IF(BerGesamt,SUM('[8]Berechnungen BVerfG'!P86:R86)+'[8]Berechnungen BVerfG'!N86,0)</f>
        <v>#REF!</v>
      </c>
    </row>
    <row r="87" spans="2:2">
      <c r="B87" s="2080" t="e">
        <f>IF(BerGesamt,SUM('[8]Berechnungen BVerfG'!P87:R87)+'[8]Berechnungen BVerfG'!N87,0)</f>
        <v>#REF!</v>
      </c>
    </row>
    <row r="88" spans="2:2">
      <c r="B88" s="2080" t="e">
        <f>IF(BerGesamt,SUM('[8]Berechnungen BVerfG'!P88:R88)+'[8]Berechnungen BVerfG'!N88,0)</f>
        <v>#REF!</v>
      </c>
    </row>
    <row r="89" spans="2:2">
      <c r="B89" s="2080" t="e">
        <f>IF(BerGesamt,SUM('[8]Berechnungen BVerfG'!P89:R89)+'[8]Berechnungen BVerfG'!N89,0)</f>
        <v>#REF!</v>
      </c>
    </row>
    <row r="90" spans="2:2">
      <c r="B90" s="2080" t="e">
        <f>IF(BerGesamt,SUM('[8]Berechnungen BVerfG'!P90:R90)+'[8]Berechnungen BVerfG'!N90,0)</f>
        <v>#REF!</v>
      </c>
    </row>
    <row r="91" spans="2:2">
      <c r="B91" s="2080" t="e">
        <f>IF(BerGesamt,SUM('[8]Berechnungen BVerfG'!P91:R91)+'[8]Berechnungen BVerfG'!N91,0)</f>
        <v>#REF!</v>
      </c>
    </row>
    <row r="92" spans="2:2">
      <c r="B92" s="2080" t="e">
        <f>IF(BerGesamt,SUM('[8]Berechnungen BVerfG'!P92:R92)+'[8]Berechnungen BVerfG'!N92,0)</f>
        <v>#REF!</v>
      </c>
    </row>
    <row r="93" spans="2:2">
      <c r="B93" s="2080" t="e">
        <f>IF(BerGesamt,SUM('[8]Berechnungen BVerfG'!P93:R93)+'[8]Berechnungen BVerfG'!N93,0)</f>
        <v>#REF!</v>
      </c>
    </row>
    <row r="94" spans="2:2">
      <c r="B94" s="2080" t="e">
        <f>IF(BerGesamt,SUM('[8]Berechnungen BVerfG'!P94:R94)+'[8]Berechnungen BVerfG'!N94,0)</f>
        <v>#REF!</v>
      </c>
    </row>
  </sheetData>
  <pageMargins left="0.7" right="0.7" top="0.78740157499999996" bottom="0.78740157499999996"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773C60-BFFA-4617-8452-FB98773153EA}">
  <sheetPr codeName="Tabelle37">
    <pageSetUpPr fitToPage="1"/>
  </sheetPr>
  <dimension ref="A2:H25"/>
  <sheetViews>
    <sheetView showGridLines="0" showRowColHeaders="0" topLeftCell="A2" zoomScale="160" zoomScaleNormal="160" workbookViewId="0">
      <selection activeCell="A2" sqref="A2"/>
    </sheetView>
  </sheetViews>
  <sheetFormatPr baseColWidth="10" defaultColWidth="0" defaultRowHeight="14.25" zeroHeight="1"/>
  <cols>
    <col min="1" max="1" width="2.75" customWidth="1"/>
    <col min="2" max="2" width="80.125" customWidth="1"/>
    <col min="3" max="4" width="13.75" customWidth="1"/>
    <col min="5" max="5" width="2.75" customWidth="1"/>
    <col min="6" max="6" width="38.5" hidden="1" customWidth="1"/>
    <col min="7" max="16384" width="11" hidden="1"/>
  </cols>
  <sheetData>
    <row r="2" spans="1:8" ht="15" thickBot="1">
      <c r="A2" s="2043">
        <v>160</v>
      </c>
      <c r="B2" s="25"/>
      <c r="C2" s="25"/>
      <c r="D2" s="25"/>
      <c r="E2" s="25"/>
    </row>
    <row r="3" spans="1:8" ht="15.75">
      <c r="A3" s="25"/>
      <c r="B3" s="2878" t="str">
        <f>IF(Gewinn,"Verteilung von Gewinnen der externen Teilung betrieblicher Versorgungen in die DRV","Berechnung des Ausgleichs des Transferverlustes bei externer Teilung in die DRV")</f>
        <v>Verteilung von Gewinnen der externen Teilung betrieblicher Versorgungen in die DRV</v>
      </c>
      <c r="C3" s="2879"/>
      <c r="D3" s="2880"/>
      <c r="E3" s="1031"/>
      <c r="G3" t="s">
        <v>910</v>
      </c>
      <c r="H3" t="b">
        <f>IF('BVerfG 1 BvL 5-18'!E23&lt;0,FALSE,TRUE)</f>
        <v>1</v>
      </c>
    </row>
    <row r="4" spans="1:8" ht="16.5" customHeight="1" thickBot="1">
      <c r="A4" s="25"/>
      <c r="B4" s="2881" t="s">
        <v>850</v>
      </c>
      <c r="C4" s="2882"/>
      <c r="D4" s="2883"/>
      <c r="E4" s="226"/>
    </row>
    <row r="5" spans="1:8">
      <c r="A5" s="25"/>
      <c r="B5" s="757" t="s">
        <v>640</v>
      </c>
      <c r="C5" s="2874" t="str">
        <f>+'BVerfG 1 BvL 5-18'!C4</f>
        <v/>
      </c>
      <c r="D5" s="2875"/>
      <c r="E5" s="226"/>
    </row>
    <row r="6" spans="1:8" ht="36.75" customHeight="1">
      <c r="A6" s="25"/>
      <c r="B6" s="778" t="s">
        <v>867</v>
      </c>
      <c r="C6" s="749" t="str">
        <f>IF(BGHXIIZB23016,"AusglBer.","AusglPfl.")&amp;"("&amp;Adaequanz_QV_Alter&amp;") Quellversorgung"</f>
        <v>AusglPfl.() Quellversorgung</v>
      </c>
      <c r="D6" s="750" t="str">
        <f>IF(BGHXIIZB23016,"AusglBer.","AusglPfl.")&amp;" DRV"</f>
        <v>AusglPfl. DRV</v>
      </c>
      <c r="E6" s="1032"/>
    </row>
    <row r="7" spans="1:8" ht="15">
      <c r="A7" s="25"/>
      <c r="B7" s="752" t="s">
        <v>862</v>
      </c>
      <c r="C7" s="841">
        <f>IF(Adaequanz_AusglWertQuelle=0,Adaequanz_errechneterKapWert,Adaequanz_AusglWertQuelle)</f>
        <v>0</v>
      </c>
      <c r="D7" s="2884" t="s">
        <v>851</v>
      </c>
      <c r="E7" s="1033"/>
    </row>
    <row r="8" spans="1:8" ht="15">
      <c r="A8" s="25"/>
      <c r="B8" s="752" t="s">
        <v>892</v>
      </c>
      <c r="C8" s="841">
        <f>+Adaequanz_RentePfl</f>
        <v>0</v>
      </c>
      <c r="D8" s="2885"/>
      <c r="E8" s="1033"/>
    </row>
    <row r="9" spans="1:8" ht="15">
      <c r="A9" s="25"/>
      <c r="B9" s="753" t="str">
        <f>"errechneter Barwert der vom Versorgungsträger mitgeteilten Rente von "&amp;TEXT(C8,"#.##0,00 €")&amp;" ReZins: "&amp;TEXT('BVerfG 1 BvL 5-18'!P15,"0,00")&amp;" %"</f>
        <v>errechneter Barwert der vom Versorgungsträger mitgeteilten Rente von 0,00 € ReZins: 1,60 %</v>
      </c>
      <c r="C9" s="870">
        <f>+Adaequanz_errechneterKapWert</f>
        <v>0</v>
      </c>
      <c r="D9" s="840" t="s">
        <v>852</v>
      </c>
      <c r="E9" s="1034"/>
    </row>
    <row r="10" spans="1:8" ht="28.5">
      <c r="A10" s="25"/>
      <c r="B10" s="754" t="str">
        <f>IFERROR("DRV-Rente aus dem vom VT der Quellversorgung mitgeteilten Ausgleichswert für F:"&amp;CHAR(10)&amp;"AusglW x U-Faktor x aktRW = "&amp;TEXT(C7,"#.##0,00")&amp;" x "&amp;TEXT(VLOOKUP(C5,Umrechnungsfaktoren,2),"0,0000000000")&amp;" x "&amp;TEXT(VLOOKUP(C5,aktRW,2),"0,00 €"),"")</f>
        <v/>
      </c>
      <c r="C10" s="842"/>
      <c r="D10" s="843" t="str">
        <f>IFERROR(C7*VLOOKUP(C5,Umrechnungsfaktoren,2)*VLOOKUP(C5,aktRW,2),"")</f>
        <v/>
      </c>
      <c r="E10" s="1035"/>
    </row>
    <row r="11" spans="1:8">
      <c r="A11" s="25"/>
      <c r="B11" s="753" t="str">
        <f>"Barwert einer DRV-Rente von "&amp;TEXT(D10,"#.##0,00 €")&amp;" im EzE"</f>
        <v>Barwert einer DRV-Rente von  im EzE</v>
      </c>
      <c r="C11" s="751" t="s">
        <v>852</v>
      </c>
      <c r="D11" s="869" t="str">
        <f>+'BVerfG 1 BvL 5-18'!E20</f>
        <v/>
      </c>
      <c r="E11" s="1036"/>
    </row>
    <row r="12" spans="1:8" ht="28.5">
      <c r="A12" s="25"/>
      <c r="B12" s="754" t="str">
        <f>"Beitrag zur Erlangung eines Barwerts von "&amp;TEXT(C9,"#.##0,00")&amp;" in DRV: "&amp;CHAR(10)&amp;TEXT(C7,"#.##0,00")&amp;" x "&amp;TEXT(C9,"#.##0,00")&amp;" / "&amp;TEXT(D11,"#.##0,00")</f>
        <v xml:space="preserve">Beitrag zur Erlangung eines Barwerts von 0,00 in DRV: 
0,00 x 0,00 / </v>
      </c>
      <c r="C12" s="844"/>
      <c r="D12" s="869" t="str">
        <f>IFERROR(C7*C9/D11,"")</f>
        <v/>
      </c>
      <c r="E12" s="1036"/>
      <c r="F12" s="157"/>
    </row>
    <row r="13" spans="1:8">
      <c r="A13" s="25"/>
      <c r="B13" s="754" t="str">
        <f>IFERROR("DRV-Rente im EzE aus Beitrag von "&amp;TEXT(D12,"#.##0,00 €")&amp;" x "&amp;TEXT(VLOOKUP(C5,Umrechnungsfaktoren,2),"0,0000000000")&amp;" x "&amp;TEXT(VLOOKUP(C5,aktRW,2),"0,00 €"),"")</f>
        <v/>
      </c>
      <c r="C13" s="844"/>
      <c r="D13" s="843" t="str">
        <f>IFERROR(+D12*VLOOKUP(C5,Umrechnungsfaktoren,2)*VLOOKUP(C5,aktRW,2),"")</f>
        <v/>
      </c>
      <c r="E13" s="1035"/>
      <c r="F13" s="157"/>
    </row>
    <row r="14" spans="1:8">
      <c r="A14" s="25"/>
      <c r="B14" s="753" t="str">
        <f>"Barwert einer DRV-Rente zum EzE i.H.v. "&amp;TEXT(D13,"#.##0,00 €")&amp;", Rentenalter: "&amp;TEXT('BVerfG 1 BvL 5-18'!E9,"0,0")&amp;", ReZins: "&amp;TEXT('BVerfG 1 BvL 5-18'!P15,"0,00")&amp;" %"</f>
        <v>Barwert einer DRV-Rente zum EzE i.H.v. , Rentenalter: , ReZins: 1,60 %</v>
      </c>
      <c r="C14" s="839" t="s">
        <v>852</v>
      </c>
      <c r="D14" s="869">
        <f>+C9</f>
        <v>0</v>
      </c>
      <c r="E14" s="1036"/>
      <c r="F14" s="157"/>
    </row>
    <row r="15" spans="1:8">
      <c r="A15" s="25"/>
      <c r="B15" s="753" t="str">
        <f>"die Barwertgleiche "&amp;IF(Gewinn,"überschießender ","unterschreitender ")&amp;"Ausgleichswert: "&amp;TEXT(C7,"#.##0,00")&amp;" - "&amp;TEXT(D12,"#.##0")</f>
        <v xml:space="preserve">die Barwertgleiche überschießender Ausgleichswert: 0,00 - </v>
      </c>
      <c r="C15" s="2876" t="str">
        <f>IFERROR(ROUND(+C7-D12,0),"")</f>
        <v/>
      </c>
      <c r="D15" s="2877"/>
      <c r="E15" s="1035"/>
    </row>
    <row r="16" spans="1:8" ht="28.5" customHeight="1">
      <c r="A16" s="25"/>
      <c r="B16" s="871" t="str">
        <f>IF(Gewinn,"","zur Erreichung von 90% des Barwerts der Quellversorgung sind zu Lasten des Versorgungsträgers "&amp;TEXT(D12*0.9-C7,"#.##0,00")&amp;" erforderlich ("&amp;TEXT(D12,"#.##0,00")&amp;" x 90% - "&amp;TEXT(C7,"#.##0,00")&amp;"), insgesamt mithin:")</f>
        <v/>
      </c>
      <c r="C16" s="848"/>
      <c r="D16" s="849" t="e">
        <f>+D12*0.9</f>
        <v>#VALUE!</v>
      </c>
      <c r="E16" s="1037"/>
    </row>
    <row r="17" spans="1:6">
      <c r="A17" s="25"/>
      <c r="B17" s="753" t="str">
        <f>"Kosten pro Euro Barwert: "&amp;TEXT(C7,"#.##0,00 €")&amp;" / "&amp;TEXT(C9,"#.##0,00")&amp;" bzw. "&amp;TEXT(D12,"#.##0,00")&amp;" / "&amp;TEXT(D14,"#.##0,00")</f>
        <v>Kosten pro Euro Barwert: 0,00 € / 0,00 bzw.  / 0,00</v>
      </c>
      <c r="C17" s="842" t="str">
        <f>IFERROR(+C7/C9,"")</f>
        <v/>
      </c>
      <c r="D17" s="843" t="str">
        <f>IFERROR(D12/D14,"")</f>
        <v/>
      </c>
      <c r="E17" s="1035"/>
      <c r="F17" s="157"/>
    </row>
    <row r="18" spans="1:6">
      <c r="A18" s="25"/>
      <c r="B18" s="753" t="str">
        <f>"Anteile in % am Rest: "&amp;TEXT(C17,"0,00")&amp;" / ("&amp;TEXT(C17,"0,00")&amp;" + "&amp;TEXT(D17,"0,00")&amp;") bzw. "&amp;TEXT(D17,"0,00")&amp;" / ("&amp;TEXT(C17,"0,00")&amp;" + "&amp;TEXT(D17,"0,00")&amp;")"</f>
        <v>Anteile in % am Rest:  / ( + ) bzw.  / ( + )</v>
      </c>
      <c r="C18" s="845" t="str">
        <f>IFERROR(ROUND(C17/SUM(C17:D17),4),"")</f>
        <v/>
      </c>
      <c r="D18" s="846" t="str">
        <f>IFERROR(ROUND(D17/SUM(C17:D17),4),"")</f>
        <v/>
      </c>
      <c r="E18" s="1038"/>
    </row>
    <row r="19" spans="1:6">
      <c r="A19" s="25"/>
      <c r="B19" s="753" t="str">
        <f>"Anteile in € am Rest: "&amp;TEXT(C15,"#.##0,00")&amp;" x "&amp;TEXT(C18,"0,00%")&amp;" bzw. "&amp;TEXT(C15,"#.##0,00")&amp;" x "&amp;TEXT(D18,"0,00%")</f>
        <v xml:space="preserve">Anteile in € am Rest:  x  bzw.  x </v>
      </c>
      <c r="C19" s="1421" t="str">
        <f>IFERROR(C15*C18,"")</f>
        <v/>
      </c>
      <c r="D19" s="869" t="str">
        <f>IFERROR(D18*C15,"")</f>
        <v/>
      </c>
      <c r="E19" s="1035"/>
    </row>
    <row r="20" spans="1:6">
      <c r="A20" s="25"/>
      <c r="B20" s="755" t="str">
        <f>"Rentenwert des Anteils in Q-Versorgung: "&amp;TEXT(C19,"#.##0,00 €")&amp;" / ("&amp;TEXT(C7,"#.##0,00")&amp;" / "&amp;TEXT(C8,"#.##0,00 €")&amp;")"</f>
        <v>Rentenwert des Anteils in Q-Versorgung:  / (0,00 / 0,00 €)</v>
      </c>
      <c r="C20" s="842" t="str">
        <f>IFERROR(C19/(C7/C8),"")</f>
        <v/>
      </c>
      <c r="D20" s="843"/>
      <c r="E20" s="1035"/>
    </row>
    <row r="21" spans="1:6" ht="15">
      <c r="A21" s="25"/>
      <c r="B21" s="753" t="str">
        <f>"Der der ausglpfl. Person verbleibende Quellversorgungsanzeil: "&amp;TEXT(C8,"#.##0,00 €")&amp;" + "&amp;TEXT(C20,"#.##0,00 €")</f>
        <v xml:space="preserve">Der der ausglpfl. Person verbleibende Quellversorgungsanzeil: 0,00 € + </v>
      </c>
      <c r="C21" s="842" t="str">
        <f>IFERROR(ROUND(C8+C20,2),"")</f>
        <v/>
      </c>
      <c r="D21" s="847"/>
      <c r="E21" s="1040"/>
      <c r="F21" s="2871" t="str">
        <f>"Tragen Sie im Blatt 'BVerfG Adäquanzprüfung' in Zeile 11 Spalte D den Wert "&amp;TEXT(C21,"#.##0,00 €")&amp;" ein."</f>
        <v>Tragen Sie im Blatt 'BVerfG Adäquanzprüfung' in Zeile 11 Spalte D den Wert  ein.</v>
      </c>
    </row>
    <row r="22" spans="1:6" ht="15">
      <c r="A22" s="25"/>
      <c r="B22" s="838" t="str">
        <f>"Der Ausgleichswert reduziert sich auf: 2 x "&amp;TEXT(C8,"#.##0,00 €")&amp;" - "&amp;TEXT(C21,"#.##0,00 €")</f>
        <v xml:space="preserve">Der Ausgleichswert reduziert sich auf: 2 x 0,00 € - </v>
      </c>
      <c r="C22" s="848" t="str">
        <f>IFERROR(2*C8-C21,"")</f>
        <v/>
      </c>
      <c r="D22" s="847"/>
      <c r="E22" s="1040"/>
      <c r="F22" s="2871"/>
    </row>
    <row r="23" spans="1:6" ht="15">
      <c r="A23" s="25"/>
      <c r="B23" s="753" t="str">
        <f>"Neuer Beitrag (AusglW) für ausglber. Person: "&amp;TEXT(D12,"#.##0,00 €")&amp;" + "&amp;TEXT(D19,"#.##0,00 €")</f>
        <v xml:space="preserve">Neuer Beitrag (AusglW) für ausglber. Person:  + </v>
      </c>
      <c r="C23" s="842"/>
      <c r="D23" s="1420" t="str">
        <f>IFERROR(ROUND(D12+D19,2),"")</f>
        <v/>
      </c>
      <c r="E23" s="1037"/>
    </row>
    <row r="24" spans="1:6" ht="33.75" customHeight="1" thickBot="1">
      <c r="A24" s="25"/>
      <c r="B24" s="756" t="str">
        <f>IFERROR("aus dem Ausgleichswert in DRV resultierende Rente im EzE (Berechnungszpkt): "&amp;CHAR(10)&amp;TEXT(D23,"#.##0,00")&amp;" x "&amp;TEXT(VLOOKUP(C5,Umrechnungsfaktoren,2),"0,0000000000")&amp;" x "&amp;TEXT(VLOOKUP(C5,aktRW,2),"0,00 €"),"")</f>
        <v/>
      </c>
      <c r="C24" s="850"/>
      <c r="D24" s="851" t="str">
        <f>IFERROR(D23*VLOOKUP(C5,Umrechnungsfaktoren,2)*VLOOKUP(C5,aktRW,2),"")</f>
        <v/>
      </c>
      <c r="E24" s="1035"/>
    </row>
    <row r="25" spans="1:6" ht="22.5" customHeight="1">
      <c r="A25" s="25"/>
      <c r="B25" s="2872" t="s">
        <v>853</v>
      </c>
      <c r="C25" s="2873"/>
      <c r="D25" s="2873"/>
      <c r="E25" s="1039"/>
    </row>
  </sheetData>
  <sheetProtection algorithmName="SHA-512" hashValue="+I6UX4ri//oE8ic4VvZsxPkHoxf46/jqJIwZTqYwk8xd478BzZAsMwRIL4+JawFjSKUtiNIIa+ESdY01eq7KBQ==" saltValue="1gHSnjXObIFGYhNGn2RmEg==" spinCount="100000" sheet="1" selectLockedCells="1" selectUnlockedCells="1"/>
  <mergeCells count="7">
    <mergeCell ref="F21:F22"/>
    <mergeCell ref="B25:D25"/>
    <mergeCell ref="C5:D5"/>
    <mergeCell ref="C15:D15"/>
    <mergeCell ref="B3:D3"/>
    <mergeCell ref="B4:D4"/>
    <mergeCell ref="D7:D8"/>
  </mergeCells>
  <conditionalFormatting sqref="B16:E16">
    <cfRule type="expression" dxfId="222" priority="1">
      <formula>Gewinn</formula>
    </cfRule>
  </conditionalFormatting>
  <conditionalFormatting sqref="B17:E24">
    <cfRule type="expression" dxfId="221" priority="2">
      <formula>Gewinn=FALSE</formula>
    </cfRule>
  </conditionalFormatting>
  <hyperlinks>
    <hyperlink ref="B25:D25" r:id="rId1" display="mailto:Hauss@Anwaelte-DU.de?subject=Programm%20Kapitalwertkontrolle%20hier:%20Transfergewinne" xr:uid="{09587F88-6B83-4A40-8C3A-1FF11724F40C}"/>
  </hyperlinks>
  <printOptions horizontalCentered="1" verticalCentered="1"/>
  <pageMargins left="0.31496062992125984" right="0.31496062992125984" top="0.59055118110236227" bottom="0.59055118110236227" header="0.31496062992125984" footer="0.31496062992125984"/>
  <pageSetup paperSize="9" orientation="landscape" r:id="rId2"/>
  <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54142-2813-46E3-8A14-800CFD6FDF47}">
  <sheetPr codeName="Tabelle47">
    <tabColor rgb="FFFFFF00"/>
    <pageSetUpPr fitToPage="1"/>
  </sheetPr>
  <dimension ref="A1:S29"/>
  <sheetViews>
    <sheetView showGridLines="0" showRowColHeaders="0" zoomScale="130" zoomScaleNormal="130" workbookViewId="0">
      <selection activeCell="C8" sqref="C8"/>
    </sheetView>
  </sheetViews>
  <sheetFormatPr baseColWidth="10" defaultColWidth="0" defaultRowHeight="14.25" zeroHeight="1"/>
  <cols>
    <col min="1" max="1" width="3.75" customWidth="1"/>
    <col min="2" max="2" width="18" customWidth="1"/>
    <col min="3" max="3" width="13.125" customWidth="1"/>
    <col min="4" max="4" width="24.75" customWidth="1"/>
    <col min="5" max="5" width="19.25" customWidth="1"/>
    <col min="6" max="6" width="20.5" customWidth="1"/>
    <col min="7" max="7" width="16.75" customWidth="1"/>
    <col min="8" max="8" width="16.5" customWidth="1"/>
    <col min="9" max="9" width="4" customWidth="1"/>
    <col min="10" max="14" width="12.625" hidden="1" customWidth="1"/>
    <col min="15" max="16384" width="11" hidden="1"/>
  </cols>
  <sheetData>
    <row r="1" spans="1:19" ht="15" thickBot="1">
      <c r="A1" s="1997">
        <v>1.6</v>
      </c>
      <c r="B1" s="1007"/>
      <c r="C1" s="1007"/>
      <c r="D1" s="1007"/>
      <c r="E1" s="1007"/>
      <c r="F1" s="1007"/>
      <c r="G1" s="1007"/>
      <c r="H1" s="1007"/>
      <c r="I1" s="1007"/>
    </row>
    <row r="2" spans="1:19" ht="29.25" customHeight="1">
      <c r="A2" s="1007"/>
      <c r="B2" s="2888" t="s">
        <v>1320</v>
      </c>
      <c r="C2" s="2889"/>
      <c r="D2" s="2889"/>
      <c r="E2" s="2889"/>
      <c r="F2" s="2889"/>
      <c r="G2" s="2889"/>
      <c r="H2" s="2890"/>
      <c r="I2" s="1008"/>
      <c r="K2" s="15">
        <v>1</v>
      </c>
      <c r="Q2" s="59" t="e">
        <f>VLOOKUP($K$2+4,'TO Ziff.5'!$B$7:$P$409,3)</f>
        <v>#N/A</v>
      </c>
    </row>
    <row r="3" spans="1:19" s="75" customFormat="1" ht="19.5" customHeight="1">
      <c r="A3" s="1011"/>
      <c r="B3" s="2917" t="s">
        <v>1127</v>
      </c>
      <c r="C3" s="2918"/>
      <c r="D3" s="2918"/>
      <c r="E3" s="2918"/>
      <c r="F3" s="2918"/>
      <c r="G3" s="2919"/>
      <c r="H3" s="2923" t="s">
        <v>1319</v>
      </c>
      <c r="I3" s="1011"/>
      <c r="K3" s="16">
        <v>1</v>
      </c>
    </row>
    <row r="4" spans="1:19" s="75" customFormat="1" ht="19.5" customHeight="1">
      <c r="A4" s="1011"/>
      <c r="B4" s="2920"/>
      <c r="C4" s="2921"/>
      <c r="D4" s="2921"/>
      <c r="E4" s="2921"/>
      <c r="F4" s="2921"/>
      <c r="G4" s="2922"/>
      <c r="H4" s="2924"/>
      <c r="I4" s="1011"/>
    </row>
    <row r="5" spans="1:19" ht="29.25" customHeight="1">
      <c r="A5" s="1007"/>
      <c r="B5" s="2912"/>
      <c r="C5" s="2913"/>
      <c r="D5" s="2914"/>
      <c r="E5" s="2909" t="s">
        <v>1157</v>
      </c>
      <c r="F5" s="2910"/>
      <c r="G5" s="2910"/>
      <c r="H5" s="2911"/>
      <c r="I5" s="1007"/>
      <c r="K5" s="144"/>
    </row>
    <row r="6" spans="1:19" ht="48.75" customHeight="1">
      <c r="A6" s="1007"/>
      <c r="B6" s="2886" t="str">
        <f>IFERROR(VLOOKUP($K$2+4,'TO Ziff.5'!$B$7:$P$409,2),"")</f>
        <v/>
      </c>
      <c r="C6" s="2887"/>
      <c r="D6" s="2887"/>
      <c r="E6" s="2906" t="str">
        <f>IFERROR(IF(SUM(O11:R11)=0,"","TO "&amp;IF(S11=4,"","ermöglicht u.a.")&amp;": "&amp;IF(O11&gt;0,"Tarifwechel"&amp;IF(P11+Q11+R11&gt;0,"; ","."),"")&amp;IF(P11&gt;0,"doppelten Kostenabzug"&amp;IF(Q11+R11&gt;0,"; ","."),"")&amp;IF(Q11&gt;0," Abweichungen vom gerichtl. festgelegten Ausgleichswert"&amp;IF(R11&gt;0,"; ","."),"")&amp;IF(R11&gt;0," eine Verzinsung d. AusglWerts zwischen EzE und RK ist ggfls. geltend zu machen","")),"")</f>
        <v/>
      </c>
      <c r="F6" s="2907"/>
      <c r="G6" s="2907"/>
      <c r="H6" s="2908"/>
      <c r="I6" s="1009"/>
      <c r="O6" s="132" t="s">
        <v>1054</v>
      </c>
      <c r="P6" s="144" t="s">
        <v>1055</v>
      </c>
      <c r="Q6" s="144" t="s">
        <v>1125</v>
      </c>
      <c r="R6" s="144" t="s">
        <v>1126</v>
      </c>
    </row>
    <row r="7" spans="1:19" ht="14.25" customHeight="1">
      <c r="A7" s="1007"/>
      <c r="B7" s="196" t="s">
        <v>63</v>
      </c>
      <c r="C7" s="935"/>
      <c r="D7" s="1487" t="str">
        <f>IF(C7&gt;0,C7,IF(Dat_EzE="","",Dat_EzE))</f>
        <v/>
      </c>
      <c r="E7" s="2902" t="s">
        <v>1128</v>
      </c>
      <c r="F7" s="2903"/>
      <c r="G7" s="2903"/>
      <c r="H7" s="2900" t="str">
        <f>IFERROR(IF(VLOOKUP($K$2+4,'TO Ziff.5'!$B$7:$P$409,4)=0,"",VLOOKUP($K$2+4,'TO Ziff.5'!$B$7:$P$409,4)),"")</f>
        <v/>
      </c>
      <c r="I7" s="1009"/>
      <c r="O7" s="132"/>
      <c r="P7" s="144"/>
      <c r="Q7" s="144"/>
      <c r="R7" s="144"/>
    </row>
    <row r="8" spans="1:19" ht="14.25" customHeight="1" thickBot="1">
      <c r="A8" s="1007"/>
      <c r="B8" s="1019" t="s">
        <v>509</v>
      </c>
      <c r="C8" s="1020"/>
      <c r="D8" s="1021"/>
      <c r="E8" s="2904"/>
      <c r="F8" s="2905"/>
      <c r="G8" s="2905"/>
      <c r="H8" s="2901"/>
      <c r="I8" s="1009"/>
      <c r="J8" t="s">
        <v>1341</v>
      </c>
      <c r="K8" s="15">
        <v>1</v>
      </c>
      <c r="O8" s="132"/>
      <c r="P8" s="144"/>
      <c r="Q8" s="144"/>
      <c r="R8" s="144"/>
    </row>
    <row r="9" spans="1:19" ht="36.75" customHeight="1" thickBot="1">
      <c r="A9" s="1007"/>
      <c r="B9" s="2928" t="s">
        <v>1171</v>
      </c>
      <c r="C9" s="2929"/>
      <c r="D9" s="1213" t="s">
        <v>1342</v>
      </c>
      <c r="E9" s="1213" t="s">
        <v>1170</v>
      </c>
      <c r="F9" s="1213" t="s">
        <v>1526</v>
      </c>
      <c r="G9" s="2926" t="s">
        <v>1344</v>
      </c>
      <c r="H9" s="2927"/>
      <c r="I9" s="1007"/>
      <c r="J9" t="e">
        <f>VLOOKUP($K$2+4,'TO Ziff.5'!$B$6:$P$409,14)</f>
        <v>#N/A</v>
      </c>
      <c r="O9" s="132"/>
      <c r="P9" s="144"/>
      <c r="Q9" s="144"/>
      <c r="R9" s="144"/>
    </row>
    <row r="10" spans="1:19" ht="30" customHeight="1" thickBot="1">
      <c r="A10" s="1007"/>
      <c r="B10" s="1079" t="s">
        <v>1188</v>
      </c>
      <c r="C10" s="2915" t="str">
        <f>IFERROR(IF(VLOOKUP($K$2+4,'TO Ziff.5'!$B$6:$P$409,8)=0,"",VLOOKUP($K$2+4,'TO Ziff.5'!$B$6:$P$409,8)),"")</f>
        <v/>
      </c>
      <c r="D10" s="2915"/>
      <c r="E10" s="2915"/>
      <c r="F10" s="2915"/>
      <c r="G10" s="2915"/>
      <c r="H10" s="2916"/>
      <c r="I10" s="1007"/>
      <c r="J10" t="s">
        <v>1321</v>
      </c>
      <c r="O10" s="132"/>
      <c r="P10" s="144"/>
      <c r="Q10" s="144"/>
      <c r="R10" s="144"/>
    </row>
    <row r="11" spans="1:19" ht="30.75" customHeight="1">
      <c r="A11" s="1007"/>
      <c r="B11" s="1080" t="s">
        <v>695</v>
      </c>
      <c r="C11" s="1081"/>
      <c r="D11" s="1081"/>
      <c r="E11" s="1215"/>
      <c r="F11" s="2041" t="s">
        <v>1936</v>
      </c>
      <c r="G11" s="2042" t="s">
        <v>1937</v>
      </c>
      <c r="H11" s="1380" t="s">
        <v>1528</v>
      </c>
      <c r="I11" s="1007"/>
      <c r="J11" s="1015" t="s">
        <v>1160</v>
      </c>
      <c r="K11" s="132"/>
      <c r="O11" t="e">
        <f>VLOOKUP($K$2+4,'TO Ziff.5'!$B$7:$P$409,10)</f>
        <v>#N/A</v>
      </c>
      <c r="P11" t="e">
        <f>VLOOKUP($K$2+4,'TO Ziff.5'!$B$7:$P$409,11)</f>
        <v>#N/A</v>
      </c>
      <c r="Q11" t="e">
        <f>VLOOKUP($K$2+4,'TO Ziff.5'!$B$7:$P$409,12)</f>
        <v>#N/A</v>
      </c>
      <c r="R11" t="e">
        <f>VLOOKUP($K$2+4,'TO Ziff.5'!$B$7:$P$409,13)</f>
        <v>#N/A</v>
      </c>
      <c r="S11" t="e">
        <f>SUM(O11:R11)</f>
        <v>#N/A</v>
      </c>
    </row>
    <row r="12" spans="1:19" s="1026" customFormat="1" ht="15" customHeight="1">
      <c r="A12" s="1022"/>
      <c r="B12" s="2891" t="str">
        <f>IFERROR("Im Wege der internen Teilung wird zu Lasten des Anrechts der &lt;ausgleichspflichtigen Person&gt; bei der "&amp;B6 &amp;" &lt;VersNr. ...&gt; zu Gunsten der &lt;ausgleichsberechtigten Person&gt; bezogen auf den "&amp;IF(D7&gt;0,TEXT(D7,"TT.MM.JJJ")&amp;" (Ehezeitende)","&lt;Ehezeitende einsetzen&gt;")&amp;" eine Versorgung aus einem Ausgleichswert in Höhe von "&amp;IF(C8=0,"&lt;Ausgleichswert einsetzen&gt;",TEXT(C8,"#.##0,00 €")&amp;" ("&amp;IF(K3=1,"Kapitalwert","Monatsrente")&amp;")")&amp;" nach Maßgabe der Teilungsordnung des Versorgungsträgers in der Fassung vom "&amp;IF(Q2=0," &lt;Datum der TO eintragen&gt; ",TEXT(Q2,"TT.MM.JJJJ"))&amp;" übertragen"&amp;IF(S11&gt;0,",",".")&amp;B23,"")</f>
        <v/>
      </c>
      <c r="C12" s="2892"/>
      <c r="D12" s="2892"/>
      <c r="E12" s="2892"/>
      <c r="F12" s="2892"/>
      <c r="G12" s="2892"/>
      <c r="H12" s="2893"/>
      <c r="I12" s="1023"/>
      <c r="J12" s="1024" t="s">
        <v>1161</v>
      </c>
      <c r="K12" s="1025"/>
      <c r="O12" s="1026" t="e">
        <f>IF(O11=1,"Tarifwechsel (BGH XII ZB 359/19)  ","")</f>
        <v>#N/A</v>
      </c>
      <c r="P12" s="1026" t="e">
        <f>IF(P11=2,IF(O12&lt;&gt;"",", ","")&amp;"doppelten Kostenabzug","")</f>
        <v>#N/A</v>
      </c>
      <c r="Q12" s="1026" t="e">
        <f>IF(Q11=3,IF(P12&lt;&gt;"",", ","")&amp;"Abweichungen vom Ausgleichswert ","")</f>
        <v>#N/A</v>
      </c>
      <c r="R12" s="1026" t="e">
        <f>IF(R11=4,IF(Q12&lt;&gt;"",", ","")&amp;"Wertteilhabe zwischen EzE und RK nicht gewährleistet","")</f>
        <v>#N/A</v>
      </c>
    </row>
    <row r="13" spans="1:19" s="1026" customFormat="1" ht="15" customHeight="1">
      <c r="A13" s="1022"/>
      <c r="B13" s="2894"/>
      <c r="C13" s="2895"/>
      <c r="D13" s="2895"/>
      <c r="E13" s="2895"/>
      <c r="F13" s="2895"/>
      <c r="G13" s="2895"/>
      <c r="H13" s="2896"/>
      <c r="I13" s="1023"/>
      <c r="J13" s="1024" t="s">
        <v>1162</v>
      </c>
      <c r="K13" s="1027"/>
      <c r="O13" s="1026" t="e">
        <f>IF(S11&gt;0,"Die TO ermöglicht "&amp;O12&amp;P12&amp;Q12&amp;R12,"Die TO hat bei Prüfung auf Tarifwechsel, Kostenabzug, Ausgleichswertabweichung und Wertteilhabe zwischen EzE und RK keine Auffälligkeiten ergeben.")</f>
        <v>#N/A</v>
      </c>
    </row>
    <row r="14" spans="1:19" s="1026" customFormat="1" ht="15" customHeight="1">
      <c r="A14" s="1022"/>
      <c r="B14" s="2894"/>
      <c r="C14" s="2895"/>
      <c r="D14" s="2895"/>
      <c r="E14" s="2895"/>
      <c r="F14" s="2895"/>
      <c r="G14" s="2895"/>
      <c r="H14" s="2896"/>
      <c r="I14" s="1023"/>
      <c r="J14" s="2925" t="s">
        <v>1165</v>
      </c>
      <c r="K14" s="1026" t="s">
        <v>1166</v>
      </c>
    </row>
    <row r="15" spans="1:19" s="1026" customFormat="1" ht="15" customHeight="1">
      <c r="A15" s="1022"/>
      <c r="B15" s="2894"/>
      <c r="C15" s="2895"/>
      <c r="D15" s="2895"/>
      <c r="E15" s="2895"/>
      <c r="F15" s="2895"/>
      <c r="G15" s="2895"/>
      <c r="H15" s="2896"/>
      <c r="I15" s="1023"/>
      <c r="J15" s="2925"/>
    </row>
    <row r="16" spans="1:19" s="1026" customFormat="1" ht="15" customHeight="1">
      <c r="A16" s="1022"/>
      <c r="B16" s="2894"/>
      <c r="C16" s="2895"/>
      <c r="D16" s="2895"/>
      <c r="E16" s="2895"/>
      <c r="F16" s="2895"/>
      <c r="G16" s="2895"/>
      <c r="H16" s="2896"/>
      <c r="I16" s="1023"/>
      <c r="J16" s="1026" t="s">
        <v>1167</v>
      </c>
    </row>
    <row r="17" spans="1:10" s="1026" customFormat="1" ht="15" customHeight="1">
      <c r="A17" s="1022"/>
      <c r="B17" s="2894"/>
      <c r="C17" s="2895"/>
      <c r="D17" s="2895"/>
      <c r="E17" s="2895"/>
      <c r="F17" s="2895"/>
      <c r="G17" s="2895"/>
      <c r="H17" s="2896"/>
      <c r="I17" s="1023"/>
      <c r="J17" s="1024" t="s">
        <v>1163</v>
      </c>
    </row>
    <row r="18" spans="1:10" s="1026" customFormat="1" ht="15" customHeight="1">
      <c r="A18" s="1022"/>
      <c r="B18" s="2894"/>
      <c r="C18" s="2895"/>
      <c r="D18" s="2895"/>
      <c r="E18" s="2895"/>
      <c r="F18" s="2895"/>
      <c r="G18" s="2895"/>
      <c r="H18" s="2896"/>
      <c r="I18" s="1023"/>
      <c r="J18" s="1024" t="s">
        <v>1168</v>
      </c>
    </row>
    <row r="19" spans="1:10" s="1026" customFormat="1" ht="15" customHeight="1">
      <c r="A19" s="1022"/>
      <c r="B19" s="2894"/>
      <c r="C19" s="2895"/>
      <c r="D19" s="2895"/>
      <c r="E19" s="2895"/>
      <c r="F19" s="2895"/>
      <c r="G19" s="2895"/>
      <c r="H19" s="2896"/>
      <c r="I19" s="1023"/>
      <c r="J19" s="1024" t="s">
        <v>1169</v>
      </c>
    </row>
    <row r="20" spans="1:10" s="1026" customFormat="1" ht="15" customHeight="1">
      <c r="A20" s="1022"/>
      <c r="B20" s="2894"/>
      <c r="C20" s="2895"/>
      <c r="D20" s="2895"/>
      <c r="E20" s="2895"/>
      <c r="F20" s="2895"/>
      <c r="G20" s="2895"/>
      <c r="H20" s="2896"/>
      <c r="I20" s="1023"/>
      <c r="J20" s="1024" t="s">
        <v>1164</v>
      </c>
    </row>
    <row r="21" spans="1:10" s="1026" customFormat="1" ht="15" customHeight="1" thickBot="1">
      <c r="A21" s="1022"/>
      <c r="B21" s="2897"/>
      <c r="C21" s="2898"/>
      <c r="D21" s="2898"/>
      <c r="E21" s="2898"/>
      <c r="F21" s="2898"/>
      <c r="G21" s="2898"/>
      <c r="H21" s="2899"/>
      <c r="I21" s="1023"/>
    </row>
    <row r="22" spans="1:10">
      <c r="A22" s="1007"/>
      <c r="B22" s="2930" t="s">
        <v>1156</v>
      </c>
      <c r="C22" s="2930"/>
      <c r="D22" s="2930"/>
      <c r="E22" s="2930"/>
      <c r="F22" s="2930"/>
      <c r="G22" s="2930"/>
      <c r="H22" s="2930"/>
      <c r="I22" s="1010"/>
    </row>
    <row r="23" spans="1:10" ht="14.25" hidden="1" customHeight="1">
      <c r="B23" s="2180" t="e">
        <f>IF(S11=0,"",CHAR(10)&amp;"mit der Maßgabe, dass abweichend von &lt;"&amp;IF(H7=0," "," "&amp;H7&amp;" ")&amp;"&gt; der Teilungsordnung des Versorgungsträgers"&amp;IF(O11=1,CHAR(10)&amp;"- auf das zu begründende Anrecht Rechnungszins und Sterbetafel der auszugleichenden Versorgung anzuwenden sind","")&amp;IF(SUM(P11:R11)&gt;0,",","."))&amp;IF(K3=3,"",IF(P11=0,"",CHAR(10)&amp;"- ein Abzug der Teilungskosten vom titulierten Ausgleichsbetrag unzulässig ist"&amp;IF(Q11+R11&gt;0,",","."))&amp;IF(Q11=0,"",CHAR(10)&amp;"- eine Abweichung vom gerichtlich festgelegten Ausgleichsbetrag unzulässig ist"&amp;IF(R11&gt;0,",","."))&amp;IF(R11=0,"",CHAR(10)&amp;"- der Ausgleichswert zwischen dem "&amp;TEXT(IF(D7&gt;0,D7,"...&lt;Ehezeitende&gt;..."),"TT.MM.JJJ")&amp;" und dem Datum der Rechtskraft der Entscheidung mit dem Zinssatz aufzuzinsen ist (BGH XII ZB 433/14), mit dem auch der Ausgleichswert berechnet wurde."))</f>
        <v>#N/A</v>
      </c>
      <c r="C23" s="2180"/>
      <c r="D23" s="2180"/>
      <c r="E23" s="2180"/>
      <c r="F23" s="2180"/>
      <c r="G23" s="2180"/>
      <c r="H23" s="1006"/>
      <c r="I23" s="1006"/>
    </row>
    <row r="24" spans="1:10" hidden="1">
      <c r="B24" s="2180"/>
      <c r="C24" s="2180"/>
      <c r="D24" s="2180"/>
      <c r="E24" s="2180"/>
      <c r="F24" s="2180"/>
      <c r="G24" s="2180"/>
      <c r="H24" s="1006"/>
      <c r="I24" s="1006"/>
    </row>
    <row r="25" spans="1:10" hidden="1">
      <c r="B25" s="2180"/>
      <c r="C25" s="2180"/>
      <c r="D25" s="2180"/>
      <c r="E25" s="2180"/>
      <c r="F25" s="2180"/>
      <c r="G25" s="2180"/>
      <c r="H25" s="1006"/>
      <c r="I25" s="1006"/>
    </row>
    <row r="26" spans="1:10" hidden="1">
      <c r="B26" s="2180"/>
      <c r="C26" s="2180"/>
      <c r="D26" s="2180"/>
      <c r="E26" s="2180"/>
      <c r="F26" s="2180"/>
      <c r="G26" s="2180"/>
      <c r="H26" s="1006"/>
      <c r="I26" s="1006"/>
    </row>
    <row r="27" spans="1:10" hidden="1">
      <c r="B27" s="2180"/>
      <c r="C27" s="2180"/>
      <c r="D27" s="2180"/>
      <c r="E27" s="2180"/>
      <c r="F27" s="2180"/>
      <c r="G27" s="2180"/>
    </row>
    <row r="28" spans="1:10" hidden="1">
      <c r="B28" s="2180"/>
      <c r="C28" s="2180"/>
      <c r="D28" s="2180"/>
      <c r="E28" s="2180"/>
      <c r="F28" s="2180"/>
      <c r="G28" s="2180"/>
    </row>
    <row r="29" spans="1:10" hidden="1">
      <c r="B29" s="2180"/>
      <c r="C29" s="2180"/>
      <c r="D29" s="2180"/>
      <c r="E29" s="2180"/>
      <c r="F29" s="2180"/>
      <c r="G29" s="2180"/>
    </row>
  </sheetData>
  <sheetProtection algorithmName="SHA-512" hashValue="rgA3+rhppzabjxo8mu/5EWwr3okNyQPOwG7Ws5ydfXN/UfQ/TgS0BuCzpWfUhjI9KrmbhiPqUFrFhfljG73Teg==" saltValue="F4lp4mFk21Dj0CU6piaZxg==" spinCount="100000" sheet="1" selectLockedCells="1"/>
  <mergeCells count="16">
    <mergeCell ref="J14:J15"/>
    <mergeCell ref="G9:H9"/>
    <mergeCell ref="B9:C9"/>
    <mergeCell ref="B22:H22"/>
    <mergeCell ref="B23:G29"/>
    <mergeCell ref="B6:D6"/>
    <mergeCell ref="B2:H2"/>
    <mergeCell ref="B12:H21"/>
    <mergeCell ref="H7:H8"/>
    <mergeCell ref="E7:G8"/>
    <mergeCell ref="E6:H6"/>
    <mergeCell ref="E5:H5"/>
    <mergeCell ref="B5:D5"/>
    <mergeCell ref="C10:H10"/>
    <mergeCell ref="B3:G4"/>
    <mergeCell ref="H3:H4"/>
  </mergeCells>
  <conditionalFormatting sqref="B5">
    <cfRule type="expression" dxfId="220" priority="465">
      <formula>K2&gt;1</formula>
    </cfRule>
  </conditionalFormatting>
  <conditionalFormatting sqref="C5:D5">
    <cfRule type="expression" dxfId="219" priority="4">
      <formula>P2&gt;1</formula>
    </cfRule>
  </conditionalFormatting>
  <conditionalFormatting sqref="C10:H10">
    <cfRule type="expression" dxfId="218" priority="3">
      <formula>$C$10&lt;&gt;""</formula>
    </cfRule>
  </conditionalFormatting>
  <conditionalFormatting sqref="D7">
    <cfRule type="expression" dxfId="217" priority="1">
      <formula>AND(Dat_EzE&gt;0,C7="")</formula>
    </cfRule>
  </conditionalFormatting>
  <conditionalFormatting sqref="D9">
    <cfRule type="expression" dxfId="216" priority="8">
      <formula>$O$11=1</formula>
    </cfRule>
  </conditionalFormatting>
  <conditionalFormatting sqref="E9">
    <cfRule type="expression" dxfId="215" priority="7">
      <formula>$P$11=2</formula>
    </cfRule>
  </conditionalFormatting>
  <conditionalFormatting sqref="E6:H6">
    <cfRule type="expression" dxfId="214" priority="413">
      <formula>$O$11=1</formula>
    </cfRule>
  </conditionalFormatting>
  <conditionalFormatting sqref="F9">
    <cfRule type="expression" dxfId="213" priority="6">
      <formula>$Q$11=3</formula>
    </cfRule>
  </conditionalFormatting>
  <conditionalFormatting sqref="G9:H9">
    <cfRule type="expression" dxfId="212" priority="5">
      <formula>$R$11=4</formula>
    </cfRule>
  </conditionalFormatting>
  <hyperlinks>
    <hyperlink ref="H3:H4" r:id="rId1" display="mailto:Hauss@Anwaelte-du.de?subject=Übersendung%20einer%20Teilungsordnung" xr:uid="{DE6FA788-9333-4A06-85B5-058B77536B61}"/>
    <hyperlink ref="H11" location="Stammdatenerfassung" display="Zurück zur Fallerfassung" xr:uid="{78E1904A-7EB6-4D31-A660-434ACE02B726}"/>
  </hyperlinks>
  <pageMargins left="0.51181102362204722" right="0.51181102362204722" top="0.78740157480314965" bottom="0.78740157480314965" header="0.31496062992125984" footer="0.31496062992125984"/>
  <pageSetup paperSize="9"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1921026" r:id="rId5" name="Drop Down 2">
              <controlPr defaultSize="0" autoLine="0" autoPict="0">
                <anchor>
                  <from>
                    <xdr:col>1</xdr:col>
                    <xdr:colOff>28575</xdr:colOff>
                    <xdr:row>4</xdr:row>
                    <xdr:rowOff>38100</xdr:rowOff>
                  </from>
                  <to>
                    <xdr:col>3</xdr:col>
                    <xdr:colOff>1581150</xdr:colOff>
                    <xdr:row>4</xdr:row>
                    <xdr:rowOff>333375</xdr:rowOff>
                  </to>
                </anchor>
              </controlPr>
            </control>
          </mc:Choice>
        </mc:AlternateContent>
        <mc:AlternateContent xmlns:mc="http://schemas.openxmlformats.org/markup-compatibility/2006">
          <mc:Choice Requires="x14">
            <control shapeId="1921027" r:id="rId6" name="Option Button 3">
              <controlPr defaultSize="0" autoFill="0" autoLine="0" autoPict="0">
                <anchor moveWithCells="1">
                  <from>
                    <xdr:col>3</xdr:col>
                    <xdr:colOff>28575</xdr:colOff>
                    <xdr:row>7</xdr:row>
                    <xdr:rowOff>19050</xdr:rowOff>
                  </from>
                  <to>
                    <xdr:col>3</xdr:col>
                    <xdr:colOff>590550</xdr:colOff>
                    <xdr:row>7</xdr:row>
                    <xdr:rowOff>171450</xdr:rowOff>
                  </to>
                </anchor>
              </controlPr>
            </control>
          </mc:Choice>
        </mc:AlternateContent>
        <mc:AlternateContent xmlns:mc="http://schemas.openxmlformats.org/markup-compatibility/2006">
          <mc:Choice Requires="x14">
            <control shapeId="1921028" r:id="rId7" name="Option Button 4">
              <controlPr defaultSize="0" autoFill="0" autoLine="0" autoPict="0">
                <anchor moveWithCells="1">
                  <from>
                    <xdr:col>3</xdr:col>
                    <xdr:colOff>1323975</xdr:colOff>
                    <xdr:row>7</xdr:row>
                    <xdr:rowOff>19050</xdr:rowOff>
                  </from>
                  <to>
                    <xdr:col>3</xdr:col>
                    <xdr:colOff>1857375</xdr:colOff>
                    <xdr:row>7</xdr:row>
                    <xdr:rowOff>171450</xdr:rowOff>
                  </to>
                </anchor>
              </controlPr>
            </control>
          </mc:Choice>
        </mc:AlternateContent>
        <mc:AlternateContent xmlns:mc="http://schemas.openxmlformats.org/markup-compatibility/2006">
          <mc:Choice Requires="x14">
            <control shapeId="1921029" r:id="rId8" name="Option Button 5">
              <controlPr defaultSize="0" autoFill="0" autoLine="0" autoPict="0">
                <anchor moveWithCells="1">
                  <from>
                    <xdr:col>3</xdr:col>
                    <xdr:colOff>666750</xdr:colOff>
                    <xdr:row>7</xdr:row>
                    <xdr:rowOff>19050</xdr:rowOff>
                  </from>
                  <to>
                    <xdr:col>3</xdr:col>
                    <xdr:colOff>1219200</xdr:colOff>
                    <xdr:row>7</xdr:row>
                    <xdr:rowOff>171450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9E04A-363F-4F51-898F-C13606121EB2}">
  <sheetPr codeName="Tabelle43">
    <pageSetUpPr fitToPage="1"/>
  </sheetPr>
  <dimension ref="A1:Q81"/>
  <sheetViews>
    <sheetView showGridLines="0" showRowColHeaders="0" topLeftCell="B1" zoomScaleNormal="100" workbookViewId="0">
      <selection activeCell="C16" sqref="C16:D16"/>
    </sheetView>
  </sheetViews>
  <sheetFormatPr baseColWidth="10" defaultColWidth="0" defaultRowHeight="14.25" zeroHeight="1"/>
  <cols>
    <col min="1" max="1" width="0" hidden="1" customWidth="1"/>
    <col min="2" max="2" width="4" customWidth="1"/>
    <col min="3" max="3" width="19" customWidth="1"/>
    <col min="4" max="4" width="14.125" customWidth="1"/>
    <col min="5" max="5" width="12.625" customWidth="1"/>
    <col min="6" max="7" width="13.75" customWidth="1"/>
    <col min="8" max="8" width="12.625" customWidth="1"/>
    <col min="9" max="9" width="15.625" customWidth="1"/>
    <col min="10" max="10" width="4.625" customWidth="1"/>
    <col min="11" max="11" width="13.25" hidden="1" customWidth="1"/>
    <col min="12" max="12" width="2.625" hidden="1" customWidth="1"/>
    <col min="13" max="15" width="13.625" hidden="1" customWidth="1"/>
    <col min="16" max="16" width="12.5" hidden="1" customWidth="1"/>
    <col min="17" max="17" width="10.25" hidden="1" customWidth="1"/>
    <col min="18" max="16384" width="6.125" hidden="1"/>
  </cols>
  <sheetData>
    <row r="1" spans="1:15" ht="11.25" customHeight="1" thickBot="1">
      <c r="A1" s="25"/>
      <c r="B1" s="2045">
        <v>1.05</v>
      </c>
      <c r="C1" s="2061"/>
      <c r="D1" s="2034"/>
      <c r="E1" s="2034"/>
      <c r="F1" s="2059"/>
      <c r="G1" s="2034"/>
      <c r="H1" s="1007"/>
      <c r="I1" s="1007"/>
    </row>
    <row r="2" spans="1:15" ht="30.75" customHeight="1" thickTop="1">
      <c r="B2" s="2033">
        <v>2</v>
      </c>
      <c r="C2" s="2951" t="s">
        <v>1643</v>
      </c>
      <c r="D2" s="2952"/>
      <c r="E2" s="2952"/>
      <c r="F2" s="2062" t="s">
        <v>1947</v>
      </c>
      <c r="G2" s="2949" t="s">
        <v>540</v>
      </c>
      <c r="H2" s="2949"/>
      <c r="I2" s="2950"/>
      <c r="J2" s="2100"/>
      <c r="K2" s="1957"/>
    </row>
    <row r="3" spans="1:15" ht="25.5" customHeight="1">
      <c r="B3" s="2033">
        <v>3</v>
      </c>
      <c r="C3" s="2974" t="s">
        <v>1940</v>
      </c>
      <c r="D3" s="2975"/>
      <c r="E3" s="2975"/>
      <c r="F3" s="2976"/>
      <c r="G3" s="2977"/>
      <c r="H3" s="2978"/>
      <c r="I3" s="2979"/>
      <c r="J3" s="368"/>
      <c r="K3" s="1957"/>
    </row>
    <row r="4" spans="1:15" s="75" customFormat="1" ht="18" customHeight="1" thickBot="1">
      <c r="B4" s="2033">
        <v>4</v>
      </c>
      <c r="C4" s="2007" t="s">
        <v>564</v>
      </c>
      <c r="D4" s="2088"/>
      <c r="E4" s="2008" t="str">
        <f>IF(D4&gt;0,D4,IF(Dat_EzE&gt;0,Dat_EzE,""))</f>
        <v/>
      </c>
      <c r="F4" s="2953" t="s">
        <v>1926</v>
      </c>
      <c r="G4" s="2954"/>
      <c r="H4" s="2125"/>
      <c r="I4" s="2032">
        <f ca="1">IF(H4="",TODAY(),H4)</f>
        <v>45414</v>
      </c>
      <c r="J4" s="368"/>
      <c r="K4" s="1957"/>
    </row>
    <row r="5" spans="1:15" s="75" customFormat="1" ht="18" customHeight="1">
      <c r="B5" s="2033">
        <v>5</v>
      </c>
      <c r="C5" s="2063" t="s">
        <v>1924</v>
      </c>
      <c r="D5" s="2046"/>
      <c r="E5" s="2046"/>
      <c r="F5" s="2047"/>
      <c r="G5" s="2047"/>
      <c r="H5" s="2047"/>
      <c r="I5" s="2064"/>
      <c r="J5" s="368"/>
      <c r="K5" s="1957"/>
      <c r="N5" s="75" t="s">
        <v>1654</v>
      </c>
      <c r="O5" s="162" t="e">
        <f>VLOOKUP(YEAR(D4),MonatlicheBezugsgroesse,4)*2</f>
        <v>#N/A</v>
      </c>
    </row>
    <row r="6" spans="1:15" s="75" customFormat="1" ht="18" customHeight="1">
      <c r="B6" s="2033">
        <v>6</v>
      </c>
      <c r="C6" s="2968" t="s">
        <v>1932</v>
      </c>
      <c r="D6" s="2969"/>
      <c r="E6" s="2970"/>
      <c r="F6" s="1521" t="s">
        <v>560</v>
      </c>
      <c r="G6" s="1521" t="s">
        <v>561</v>
      </c>
      <c r="H6" s="1521" t="s">
        <v>563</v>
      </c>
      <c r="I6" s="2065" t="str">
        <f>Summenzeichen&amp;" SV-Abzug: "</f>
        <v xml:space="preserve">∑ SV-Abzug: </v>
      </c>
      <c r="J6" s="2040"/>
      <c r="K6" s="224"/>
      <c r="O6" s="162"/>
    </row>
    <row r="7" spans="1:15" s="75" customFormat="1" ht="18" customHeight="1">
      <c r="B7" s="2033">
        <v>7</v>
      </c>
      <c r="C7" s="2971"/>
      <c r="D7" s="2972"/>
      <c r="E7" s="2973"/>
      <c r="F7" s="2005"/>
      <c r="G7" s="2005"/>
      <c r="H7" s="2006"/>
      <c r="I7" s="2066">
        <f>+H7+G7+F7</f>
        <v>0</v>
      </c>
      <c r="J7" s="2040"/>
      <c r="K7" s="224"/>
      <c r="N7" s="75" t="s">
        <v>1969</v>
      </c>
      <c r="O7" s="162">
        <f>CHOOSE(M37,E16,E17,E18,E19)</f>
        <v>0</v>
      </c>
    </row>
    <row r="8" spans="1:15" s="75" customFormat="1" ht="18" customHeight="1">
      <c r="B8" s="2033">
        <v>8</v>
      </c>
      <c r="C8" s="2962" t="str">
        <f ca="1">"Beitragsbemessungsgrenze der gesetzlichen KV- und PV-Vers. am "&amp;TEXT(I4,"TT.MM.JJJJ")&amp;":"</f>
        <v>Beitragsbemessungsgrenze der gesetzlichen KV- und PV-Vers. am 02.05.2024:</v>
      </c>
      <c r="D8" s="2963"/>
      <c r="E8" s="2963"/>
      <c r="F8" s="2963"/>
      <c r="G8" s="2963"/>
      <c r="H8" s="2964"/>
      <c r="I8" s="2014">
        <f ca="1">IFERROR(VLOOKUP(I4,KVundPV,2),"")</f>
        <v>5775</v>
      </c>
      <c r="J8" s="2040"/>
      <c r="K8" s="224"/>
      <c r="N8" s="75" t="s">
        <v>1968</v>
      </c>
      <c r="O8" s="2122">
        <f>CHOOSE(M37,F16,F17,F18,F19)</f>
        <v>1</v>
      </c>
    </row>
    <row r="9" spans="1:15" s="75" customFormat="1" ht="18" customHeight="1" thickBot="1">
      <c r="B9" s="2033">
        <v>9</v>
      </c>
      <c r="C9" s="2965" t="str">
        <f>IF(sVA_Privat,"kein KV-Freibetrag, da ausglpfl. Person privatversicht ist. Ggfls C-Box in Zeile 23 deaktivieren","Krankenversicherungs-Freigrenze für Betriebsrenten (§ 226 II SGB V) "&amp;YEAR(I4)&amp;":")</f>
        <v>kein KV-Freibetrag, da ausglpfl. Person privatversicht ist. Ggfls C-Box in Zeile 23 deaktivieren</v>
      </c>
      <c r="D9" s="2966"/>
      <c r="E9" s="2966"/>
      <c r="F9" s="2966"/>
      <c r="G9" s="2966"/>
      <c r="H9" s="2967"/>
      <c r="I9" s="2067">
        <f>IF(sVA_Privat,0,IF(FB_Aktiv,IF(YEAR(I4)&lt;2020,0,VLOOKUP(YEAR(I4),MonatlicheBezugsgroesse,2)/20),0))</f>
        <v>0</v>
      </c>
      <c r="J9" s="2040"/>
      <c r="K9" s="224"/>
      <c r="N9" s="75" t="s">
        <v>1967</v>
      </c>
      <c r="O9" s="162">
        <f>+O8*O7</f>
        <v>0</v>
      </c>
    </row>
    <row r="10" spans="1:15" s="75" customFormat="1" ht="18" customHeight="1">
      <c r="B10" s="2033">
        <v>10</v>
      </c>
      <c r="C10" s="2980" t="s">
        <v>1925</v>
      </c>
      <c r="D10" s="2981"/>
      <c r="E10" s="2981"/>
      <c r="F10" s="2981"/>
      <c r="G10" s="2981"/>
      <c r="H10" s="2981"/>
      <c r="I10" s="2982"/>
      <c r="J10" s="2040"/>
      <c r="K10" s="224"/>
      <c r="N10" s="75" t="s">
        <v>1970</v>
      </c>
      <c r="O10" s="162">
        <f>+CHOOSE(M37,H16,H17,H18,H19)</f>
        <v>0</v>
      </c>
    </row>
    <row r="11" spans="1:15" s="75" customFormat="1" ht="18" customHeight="1">
      <c r="B11" s="2033">
        <v>11</v>
      </c>
      <c r="C11" s="2983" t="s">
        <v>1927</v>
      </c>
      <c r="D11" s="2984"/>
      <c r="E11" s="2984"/>
      <c r="F11" s="2984"/>
      <c r="G11" s="2984"/>
      <c r="H11" s="2984"/>
      <c r="I11" s="2985"/>
      <c r="J11" s="2040"/>
      <c r="K11" s="224"/>
      <c r="N11" s="75" t="s">
        <v>1971</v>
      </c>
      <c r="O11" s="162" t="e">
        <f ca="1">+I26*-O10/O7</f>
        <v>#DIV/0!</v>
      </c>
    </row>
    <row r="12" spans="1:15" s="75" customFormat="1" ht="18" customHeight="1" thickBot="1">
      <c r="B12" s="2033">
        <v>12</v>
      </c>
      <c r="C12" s="2986"/>
      <c r="D12" s="2987"/>
      <c r="E12" s="2987"/>
      <c r="F12" s="2987"/>
      <c r="G12" s="2987"/>
      <c r="H12" s="2987"/>
      <c r="I12" s="2988"/>
      <c r="J12" s="2040"/>
      <c r="K12" s="224"/>
      <c r="N12" s="75" t="s">
        <v>1973</v>
      </c>
      <c r="O12" s="162" t="e">
        <f ca="1">+O11*H31</f>
        <v>#DIV/0!</v>
      </c>
    </row>
    <row r="13" spans="1:15" s="75" customFormat="1" ht="18" customHeight="1">
      <c r="B13" s="2033">
        <v>13</v>
      </c>
      <c r="C13" s="3003" t="s">
        <v>1653</v>
      </c>
      <c r="D13" s="3004"/>
      <c r="E13" s="3005"/>
      <c r="F13" s="2060"/>
      <c r="G13" s="2989" t="str">
        <f ca="1">IF(AND(E20&gt;I8,sVA_Privat=FALSE),Summenzeichen&amp;" der Alterseinkünfte &gt; BBG "&amp;YEAR(I4)&amp;" daher:","")</f>
        <v/>
      </c>
      <c r="H13" s="2990"/>
      <c r="I13" s="3000" t="str">
        <f>IFERROR(IF(sVA_Privat,"Einkommen",IF(E20&gt;I8," KV-pfl. Einkommen: "&amp;CHAR(10)&amp;"("&amp;TEXT(CHOOSE(sVA_Einkommensauswahl,E16,E17,IW38,E19),"#.##,00")&amp;" - "&amp;TEXT(ABS(CHOOSE(sVA_Einkommensauswahl,H16,H17,H18,H19)),"#.##0,00")&amp;") x ("&amp;TEXT(I8,"#.##0,00")&amp;" - "&amp;TEXT(ABS(H20),"#.##0,00")&amp;") / ("&amp;TEXT(E20,"#.##0,00")&amp;" - "&amp;TEXT(ABS(H20),"#.##0,00")&amp;") =","KV-versicherungs-pflichtiges Einkommen:"&amp;TEXT(CHOOSE(sVA_Einkommensauswahl,E16,E17,E18,E19),"#.##0,00")&amp;" - "&amp;TEXT(ABS(CHOOSE(sVA_Einkommensauswahl,H16,H17,H18,H19)),"#.##0,00"))),"")</f>
        <v>Einkommen</v>
      </c>
      <c r="J13" s="2040"/>
      <c r="K13" s="224"/>
      <c r="O13" s="162"/>
    </row>
    <row r="14" spans="1:15" s="75" customFormat="1" ht="18" customHeight="1">
      <c r="B14" s="2033">
        <v>14</v>
      </c>
      <c r="C14" s="2958" t="s">
        <v>1652</v>
      </c>
      <c r="D14" s="2959"/>
      <c r="E14" s="2991" t="s">
        <v>1650</v>
      </c>
      <c r="F14" s="2991" t="s">
        <v>1651</v>
      </c>
      <c r="G14" s="2991" t="s">
        <v>1655</v>
      </c>
      <c r="H14" s="2993" t="s">
        <v>1949</v>
      </c>
      <c r="I14" s="3001"/>
      <c r="J14" s="2040"/>
      <c r="K14" s="224"/>
      <c r="O14" s="162"/>
    </row>
    <row r="15" spans="1:15" s="75" customFormat="1" ht="18" customHeight="1">
      <c r="B15" s="2033">
        <v>15</v>
      </c>
      <c r="C15" s="2960"/>
      <c r="D15" s="2961"/>
      <c r="E15" s="2992"/>
      <c r="F15" s="2992"/>
      <c r="G15" s="2992"/>
      <c r="H15" s="2994"/>
      <c r="I15" s="3002"/>
      <c r="J15" s="2040"/>
      <c r="K15" s="224"/>
      <c r="O15" s="162"/>
    </row>
    <row r="16" spans="1:15" s="75" customFormat="1" ht="18" customHeight="1">
      <c r="B16" s="2033">
        <v>16</v>
      </c>
      <c r="C16" s="3764" t="s">
        <v>1976</v>
      </c>
      <c r="D16" s="2955"/>
      <c r="E16" s="2121"/>
      <c r="F16" s="2002">
        <v>1</v>
      </c>
      <c r="G16" s="2117">
        <f>IF(sVA_Privat,0,IFERROR(+E16/SUM(E$16:E$19),""))</f>
        <v>0</v>
      </c>
      <c r="H16" s="2118">
        <f>IFERROR(IF(I$9*G16&gt;E16,-E16,-I$9*G16),"")</f>
        <v>0</v>
      </c>
      <c r="I16" s="2090">
        <f>IF(sVA_Privat,E16,IFERROR((E16+H16)*IF(E$20&gt;I$8,(I$8+H$20)/(E$20+H$20),1),""))</f>
        <v>0</v>
      </c>
      <c r="J16" s="2040"/>
      <c r="K16" s="224"/>
      <c r="O16" s="162"/>
    </row>
    <row r="17" spans="2:15" s="75" customFormat="1" ht="18" customHeight="1">
      <c r="B17" s="2033">
        <v>17</v>
      </c>
      <c r="C17" s="2956" t="s">
        <v>1659</v>
      </c>
      <c r="D17" s="2957"/>
      <c r="E17" s="2121"/>
      <c r="F17" s="2002">
        <v>1</v>
      </c>
      <c r="G17" s="2117">
        <f>IF(sVA_Privat,0,IFERROR(+E17/SUM(E$16:E$19),""))</f>
        <v>0</v>
      </c>
      <c r="H17" s="2118">
        <f>IFERROR(IF(I$9*G17&gt;E17,E17,-I$9*G17),"")</f>
        <v>0</v>
      </c>
      <c r="I17" s="2090">
        <f>IF(sVA_Privat,E17,IFERROR((E17+H17)*IF(E$20&gt;I$8,(I$8+H$20)/(E$20+H$20),1),""))</f>
        <v>0</v>
      </c>
      <c r="J17" s="2040"/>
      <c r="K17" s="224"/>
      <c r="N17" s="75">
        <f>IF(AND(N35,E16&gt;0),1,0)</f>
        <v>0</v>
      </c>
      <c r="O17" s="162"/>
    </row>
    <row r="18" spans="2:15" s="75" customFormat="1" ht="18" customHeight="1">
      <c r="B18" s="2033">
        <v>18</v>
      </c>
      <c r="C18" s="2956" t="s">
        <v>1660</v>
      </c>
      <c r="D18" s="2957"/>
      <c r="E18" s="2121"/>
      <c r="F18" s="2002">
        <v>1</v>
      </c>
      <c r="G18" s="2117">
        <f>IF(sVA_Privat,0,IFERROR(+E18/SUM(E$16:E$19),""))</f>
        <v>0</v>
      </c>
      <c r="H18" s="2118">
        <f>IFERROR(IF(I$9*G18&gt;E18,E18,-I$9*G18),"")</f>
        <v>0</v>
      </c>
      <c r="I18" s="2090">
        <f>IF(sVA_Privat,E18,IFERROR((E18+H18)*IF(E$20&gt;I$8,(I$8+H$20)/(E$20+H$20),1),""))</f>
        <v>0</v>
      </c>
      <c r="J18" s="2040"/>
      <c r="K18" s="224"/>
      <c r="N18" s="75">
        <f>IF(AND(N36,E17&gt;0),1,0)</f>
        <v>0</v>
      </c>
      <c r="O18" s="162"/>
    </row>
    <row r="19" spans="2:15" s="75" customFormat="1" ht="18" customHeight="1">
      <c r="B19" s="2033">
        <v>19</v>
      </c>
      <c r="C19" s="2956" t="s">
        <v>1661</v>
      </c>
      <c r="D19" s="2957"/>
      <c r="E19" s="2121"/>
      <c r="F19" s="2002">
        <v>1</v>
      </c>
      <c r="G19" s="2117">
        <f>IF(sVA_Privat,0,IFERROR(+E19/SUM(E$16:E$19),""))</f>
        <v>0</v>
      </c>
      <c r="H19" s="2118">
        <f>IFERROR(IF(I$9*G19&gt;E19,E19,-I$9*G19),"")</f>
        <v>0</v>
      </c>
      <c r="I19" s="2090">
        <f>IF(sVA_Privat,E19,IFERROR((E19+H19)*IF(E$20&gt;I$8,(I$8+H$20)/(E$20+H$20),1),""))</f>
        <v>0</v>
      </c>
      <c r="J19" s="2040"/>
      <c r="K19" s="224"/>
      <c r="M19" s="75" t="e">
        <f>CHOOSE(12,I16,I17,I18,I19)</f>
        <v>#VALUE!</v>
      </c>
      <c r="N19" s="75">
        <f>IF(AND(N37,E18&gt;0),1,0)</f>
        <v>0</v>
      </c>
      <c r="O19" s="162"/>
    </row>
    <row r="20" spans="2:15" s="75" customFormat="1" ht="18" customHeight="1" thickBot="1">
      <c r="B20" s="2033">
        <v>20</v>
      </c>
      <c r="C20" s="3010" t="s">
        <v>1974</v>
      </c>
      <c r="D20" s="3011"/>
      <c r="E20" s="2126">
        <f>+F13+SUM(E16:E19)</f>
        <v>0</v>
      </c>
      <c r="F20" s="2089">
        <f>IF(N35,F16*E16,0)+IF(N36,F17*E17,0)+IF(N37,F18*E18,0)+IF(N38,F19*E19,0)</f>
        <v>0</v>
      </c>
      <c r="G20" s="2119"/>
      <c r="H20" s="2120">
        <f>SUM(H16:H19)</f>
        <v>0</v>
      </c>
      <c r="I20" s="2091">
        <f>SUM(I16:I19)</f>
        <v>0</v>
      </c>
      <c r="J20" s="2040"/>
      <c r="K20" s="224"/>
      <c r="M20" s="16" t="b">
        <v>1</v>
      </c>
      <c r="N20" s="75">
        <f>IF(AND(N38,E19&gt;0),1,0)</f>
        <v>0</v>
      </c>
      <c r="O20" s="162"/>
    </row>
    <row r="21" spans="2:15" s="75" customFormat="1" ht="18" customHeight="1" thickTop="1" thickBot="1">
      <c r="B21" s="2033">
        <v>21</v>
      </c>
      <c r="C21" s="2946" t="str">
        <f>"maßgebliche Ausgleichsrente (br.): "&amp;TEXT(CHOOSE(sVA_Einkommensauswahl,E16,E17,E18,E19),"#.##0,00")&amp;" x "&amp;TEXT(CHOOSE(sVA_Einkommensauswahl,F16,F17,F18,F19),"#0,0%")&amp;" / 2 ="</f>
        <v>maßgebliche Ausgleichsrente (br.): 0,00 x 100,0% / 2 =</v>
      </c>
      <c r="D21" s="2947"/>
      <c r="E21" s="2947"/>
      <c r="F21" s="2947"/>
      <c r="G21" s="2947"/>
      <c r="H21" s="2948"/>
      <c r="I21" s="2092">
        <f>+O9/2</f>
        <v>0</v>
      </c>
      <c r="J21" s="2040"/>
      <c r="N21" s="75">
        <f>SUM(N17:N20)</f>
        <v>0</v>
      </c>
    </row>
    <row r="22" spans="2:15" s="75" customFormat="1" ht="18" customHeight="1" thickTop="1">
      <c r="B22" s="2033"/>
      <c r="C22" s="3017" t="s">
        <v>1962</v>
      </c>
      <c r="D22" s="3018"/>
      <c r="E22" s="3019"/>
      <c r="F22" s="2109"/>
      <c r="G22" s="3015" t="str">
        <f>IF(sVA20_Anzahl_Renten&gt;0,"anteilig: ","")&amp;TEXT(F22,"0,00")&amp;" x "&amp;TEXT(I21,"#.##0,00")&amp;" / "&amp;TEXT(F20/2,"#.##0,00")&amp;" = "</f>
        <v xml:space="preserve">0,00 x 0,00 / 0,00 = </v>
      </c>
      <c r="H22" s="3016"/>
      <c r="I22" s="2110" t="str">
        <f>IFERROR(ROUND(F22*CHOOSE(M37,P35,P36,P37,P38),2),"")</f>
        <v/>
      </c>
      <c r="J22" s="2040"/>
    </row>
    <row r="23" spans="2:15" s="75" customFormat="1" ht="18" customHeight="1">
      <c r="B23" s="2033"/>
      <c r="C23" s="2097" t="str">
        <f>"aktueller Rentenwert zum Ehezeitende "&amp;IF(E4="","...Ehezeitende eingeben!(Zeile 2)",TEXT(E4,"TT.MM.JJJ"))</f>
        <v>aktueller Rentenwert zum Ehezeitende ...Ehezeitende eingeben!(Zeile 2)</v>
      </c>
      <c r="D23" s="2098"/>
      <c r="E23" s="2098"/>
      <c r="F23" s="2098"/>
      <c r="G23" s="2099"/>
      <c r="H23" s="2012" t="str">
        <f>IFERROR(VLOOKUP(E4,aktRW,IF(sVA_EPOst,3,2)),"")</f>
        <v/>
      </c>
      <c r="I23" s="2111"/>
      <c r="J23" s="2040"/>
    </row>
    <row r="24" spans="2:15" s="75" customFormat="1" ht="18" customHeight="1">
      <c r="B24" s="2033"/>
      <c r="C24" s="2936" t="str">
        <f ca="1">"aktueller Rentenwert zum "&amp;IF(I4="","………Berechnungsdatum eingeben! (Zeile 3)",TEXT(I4,"TT.MM.JJJJ"))</f>
        <v>aktueller Rentenwert zum 02.05.2024</v>
      </c>
      <c r="D24" s="2937"/>
      <c r="E24" s="2937"/>
      <c r="F24" s="2937"/>
      <c r="G24" s="2938"/>
      <c r="H24" s="2012">
        <f ca="1">IFERROR(VLOOKUP(I4,aktRW,IF(sVA_EPOst,3,2)),"")</f>
        <v>37.6</v>
      </c>
      <c r="I24" s="2112"/>
      <c r="J24" s="2040"/>
    </row>
    <row r="25" spans="2:15" s="75" customFormat="1" ht="18" customHeight="1">
      <c r="B25" s="2033"/>
      <c r="C25" s="2936" t="str">
        <f ca="1">IFERROR("aktualisierter ausgeglichener Betrag (§ 51 III S. 3 VersAusglG): "&amp;TEXT(IF(F22&gt;I22,I22,F22),"0,00")&amp;" x "&amp;TEXT(H24,"0,00")&amp;" / "&amp;TEXT(H23,"0,00"),"")</f>
        <v xml:space="preserve">aktualisierter ausgeglichener Betrag (§ 51 III S. 3 VersAusglG): 0,00 x 37,60 / </v>
      </c>
      <c r="D25" s="2937"/>
      <c r="E25" s="2937"/>
      <c r="F25" s="2937"/>
      <c r="G25" s="2938"/>
      <c r="H25" s="2013" t="s">
        <v>1928</v>
      </c>
      <c r="I25" s="2014">
        <f ca="1">IFERROR(IF(I22&gt;0,-I22,-F22)*H24/H23,0)</f>
        <v>0</v>
      </c>
      <c r="J25" s="2040"/>
    </row>
    <row r="26" spans="2:15" s="75" customFormat="1" ht="18" customHeight="1">
      <c r="B26" s="2033"/>
      <c r="C26" s="2939" t="str">
        <f ca="1">"schuldrechtlicher Ausgleichsbetrag (brutto): "&amp;IF(H26&gt;0,"selbst berechnet",TEXT(I21,"#.##0,00 €")&amp;" - "&amp;TEXT(ABS(I25),"#.##0,00"))</f>
        <v>schuldrechtlicher Ausgleichsbetrag (brutto): 0,00 € - 0,00</v>
      </c>
      <c r="D26" s="2940"/>
      <c r="E26" s="2940"/>
      <c r="F26" s="2940"/>
      <c r="G26" s="2941"/>
      <c r="H26" s="2015"/>
      <c r="I26" s="2113">
        <f ca="1">IF(H26&gt;0,H26,IF(I21+I25&lt;0,0,I21+I25))</f>
        <v>0</v>
      </c>
      <c r="J26" s="2040"/>
    </row>
    <row r="27" spans="2:15" s="75" customFormat="1" ht="18" customHeight="1" thickBot="1">
      <c r="B27" s="2033"/>
      <c r="C27" s="3012" t="str">
        <f ca="1">"Bagatellgrenze (1% der mon. Bezugsgröße § 18 I SGB VI) "&amp;IF(I26&gt;I27,"überschritten","nicht überschritten")</f>
        <v>Bagatellgrenze (1% der mon. Bezugsgröße § 18 I SGB VI) nicht überschritten</v>
      </c>
      <c r="D27" s="3013"/>
      <c r="E27" s="3013"/>
      <c r="F27" s="3013"/>
      <c r="G27" s="3013"/>
      <c r="H27" s="3014"/>
      <c r="I27" s="2114">
        <f ca="1">IFERROR(VLOOKUP(YEAR(I4),MonatlicheBezugsgroesse,IF(sVA_EPOst,3,2))*0.01,"")</f>
        <v>35.35</v>
      </c>
      <c r="J27" s="2040"/>
    </row>
    <row r="28" spans="2:15" s="75" customFormat="1" ht="18" customHeight="1" thickBot="1">
      <c r="B28" s="2033"/>
      <c r="C28" s="2115"/>
      <c r="D28" s="2942" t="s">
        <v>1965</v>
      </c>
      <c r="E28" s="2942"/>
      <c r="F28" s="2942"/>
      <c r="G28" s="2942"/>
      <c r="H28" s="2942"/>
      <c r="I28" s="2943"/>
      <c r="J28" s="2040"/>
    </row>
    <row r="29" spans="2:15" s="75" customFormat="1" ht="18" customHeight="1" thickBot="1">
      <c r="B29" s="2033">
        <v>22</v>
      </c>
      <c r="C29" s="3006" t="s">
        <v>1933</v>
      </c>
      <c r="D29" s="3007"/>
      <c r="E29" s="3007"/>
      <c r="F29" s="2093" t="s">
        <v>1975</v>
      </c>
      <c r="G29" s="2094" t="str">
        <f ca="1">TEXT(I26,"#.##0,00")&amp;" / "&amp;TEXT(E30,"#.##0,00")</f>
        <v>0,00 / 0,00</v>
      </c>
      <c r="H29" s="2998" t="str">
        <f>"Sozialabgaben "&amp;IF(sVA_Privat,"(pKV + pPV)","(gKV + gPV)")</f>
        <v>Sozialabgaben (pKV + pPV)</v>
      </c>
      <c r="I29" s="2999"/>
      <c r="J29" s="2040"/>
    </row>
    <row r="30" spans="2:15" s="75" customFormat="1" ht="18" customHeight="1" thickBot="1">
      <c r="B30" s="2033">
        <v>23</v>
      </c>
      <c r="C30" s="2944" t="s">
        <v>1966</v>
      </c>
      <c r="D30" s="2945"/>
      <c r="E30" s="2124"/>
      <c r="F30" s="2009" t="s">
        <v>1923</v>
      </c>
      <c r="G30" s="2010"/>
      <c r="H30" s="2011" t="str">
        <f ca="1">IFERROR(I26/E30,"")</f>
        <v/>
      </c>
      <c r="I30" s="2116" t="str">
        <f ca="1">IFERROR(IF(sVA_Privat=FALSE,0,H30*-G30),"")</f>
        <v/>
      </c>
      <c r="J30" s="2040"/>
      <c r="M30" s="16"/>
    </row>
    <row r="31" spans="2:15" s="75" customFormat="1" ht="18" customHeight="1">
      <c r="B31" s="2033">
        <v>24</v>
      </c>
      <c r="C31" s="2933" t="str">
        <f>IF(sVA_Privat,"","./. KV auf "&amp;TEXT(I26,"#.##,00")&amp;" - "&amp;TEXT(ABS(O10),"#.##0,00")&amp;" x "&amp;TEXT(I26,"#.##0,00")&amp;" / "&amp;TEXT(O9,"#.##,00")&amp;" = "&amp;TEXT(O11,"#.##,00")&amp;" x "&amp;TEXT(H31,"0,00%")&amp;" = ")</f>
        <v/>
      </c>
      <c r="D31" s="2934"/>
      <c r="E31" s="2935"/>
      <c r="F31" s="2935"/>
      <c r="G31" s="2049"/>
      <c r="H31" s="2003">
        <f ca="1">IFERROR(IF(F7&gt;0,F7,IF(SVAbgaben,"",VLOOKUP(I4,KVundPV,4))),"")</f>
        <v>0.14599999999999999</v>
      </c>
      <c r="I31" s="2095">
        <f>IFERROR(ROUND(IF(sVA_Privat,0,IF(H34&lt;&gt;0,0,IF(SVAbgaben,0,-O12))),2),"")</f>
        <v>0</v>
      </c>
      <c r="J31" s="2040"/>
    </row>
    <row r="32" spans="2:15" s="75" customFormat="1" ht="18" customHeight="1">
      <c r="B32" s="2033">
        <v>25</v>
      </c>
      <c r="C32" s="2931" t="str">
        <f>IF(sVA_Privat,"","./. PV-Beiträge § 55 III SGB XI aus "&amp;TEXT(I26*IF(E$20&gt;I$8,I$8/E$20,1),"#.##0,00 €"))</f>
        <v/>
      </c>
      <c r="D32" s="2932"/>
      <c r="E32" s="2108" t="s">
        <v>1921</v>
      </c>
      <c r="F32" s="1999"/>
      <c r="G32" s="2000"/>
      <c r="H32" s="1998">
        <f ca="1">IFERROR(IF(G7&lt;&gt;"",G7,IF(SVAbgaben,"",VLOOKUP(I4,KVundPV,5)+IF(M44=1,VLOOKUP(I4,KVundPV,6),0)-IF(I4&gt;'KV&amp;PV'!C40-1,IF(M44&gt;2,(M44-2)*0.25%,0),0))),"")</f>
        <v>2.9000000000000001E-2</v>
      </c>
      <c r="I32" s="2014">
        <f>IFERROR(ROUND(IF(sVA_Privat,0,IF(H34&lt;&gt;0,0,IF(SVAbgaben,0,IFERROR(-I26*IF(E$20&gt;I$8,I$8/E$20,1)*H32,"")))),2),"")</f>
        <v>0</v>
      </c>
      <c r="J32" s="2040"/>
      <c r="M32" s="16" t="b">
        <v>1</v>
      </c>
    </row>
    <row r="33" spans="2:17" s="75" customFormat="1" ht="18" customHeight="1">
      <c r="B33" s="2033">
        <v>26</v>
      </c>
      <c r="C33" s="3008" t="str">
        <f>IF(sVA_Privat,"","./. Krankenversicherungszusatzbeitrag;  242a II SGB V auf "&amp;TEXT(O11,"#.##,00"))</f>
        <v/>
      </c>
      <c r="D33" s="3009"/>
      <c r="E33" s="3009"/>
      <c r="F33" s="3009"/>
      <c r="G33" s="2048"/>
      <c r="H33" s="1998">
        <f ca="1">IF(SVAbgaben,"",IF(H7="",VLOOKUP(I4,KVundPV,7),H7))</f>
        <v>1.7000000000000001E-2</v>
      </c>
      <c r="I33" s="2014">
        <f>IFERROR(ROUND(IF(sVA_Privat,0,IF(H34&lt;&gt;0,0,IF(SVAbgaben,0,O11*-H33))),2),"")</f>
        <v>0</v>
      </c>
      <c r="J33" s="2040"/>
      <c r="M33" s="414"/>
      <c r="N33" s="414"/>
      <c r="O33" s="414"/>
      <c r="P33" s="414"/>
      <c r="Q33" s="414"/>
    </row>
    <row r="34" spans="2:17" s="75" customFormat="1" ht="18" customHeight="1">
      <c r="B34" s="2033">
        <v>27</v>
      </c>
      <c r="C34" s="2995" t="str">
        <f ca="1">"./.KV- und PV-Abgaben  i.H.v. "&amp;IF(H34&gt;0,"manuell eingegeben: ",IF(sVA_Privat,TEXT(I30,"#.##0,00"),""))</f>
        <v xml:space="preserve">./.KV- und PV-Abgaben  i.H.v. </v>
      </c>
      <c r="D34" s="2996"/>
      <c r="E34" s="2996"/>
      <c r="F34" s="2996"/>
      <c r="G34" s="2997"/>
      <c r="H34" s="2001"/>
      <c r="I34" s="2096" t="str">
        <f ca="1">IF(H34&gt;0,-H34,IF(sVA_Privat,IF(H34&gt;0,-H34,I30),SUM(I31:I33)))</f>
        <v/>
      </c>
      <c r="J34" s="2040"/>
      <c r="L34" s="414"/>
      <c r="M34" s="414"/>
      <c r="N34" s="414"/>
      <c r="O34" s="414"/>
      <c r="P34" s="414"/>
      <c r="Q34" s="414"/>
    </row>
    <row r="35" spans="2:17" s="75" customFormat="1" ht="18" customHeight="1" thickBot="1">
      <c r="B35" s="2033">
        <v>28</v>
      </c>
      <c r="C35" s="3022" t="s">
        <v>1972</v>
      </c>
      <c r="D35" s="3023"/>
      <c r="E35" s="3023"/>
      <c r="F35" s="3023"/>
      <c r="G35" s="3023"/>
      <c r="H35" s="3024"/>
      <c r="I35" s="2123" t="str">
        <f ca="1">IFERROR(IF(+I26+I34&lt;0,0,I26+I34),"")</f>
        <v/>
      </c>
      <c r="J35" s="2040"/>
      <c r="L35" s="414"/>
      <c r="M35" s="75" t="s">
        <v>1642</v>
      </c>
      <c r="N35" s="16" t="b">
        <v>1</v>
      </c>
      <c r="O35" s="162">
        <f>IF(N35,E16*F16,0)</f>
        <v>0</v>
      </c>
      <c r="P35" s="822" t="e">
        <f>+O35/O$39</f>
        <v>#DIV/0!</v>
      </c>
      <c r="Q35" s="75">
        <f>IF(AND(N35=TRUE,O35&gt;0),1,0)</f>
        <v>0</v>
      </c>
    </row>
    <row r="36" spans="2:17" s="75" customFormat="1" ht="18" customHeight="1" thickTop="1">
      <c r="B36" s="2040">
        <v>29</v>
      </c>
      <c r="C36" s="3025"/>
      <c r="D36" s="3025"/>
      <c r="E36" s="3025"/>
      <c r="F36" s="3025"/>
      <c r="G36" s="3025"/>
      <c r="H36" s="3025"/>
      <c r="I36" s="2106"/>
      <c r="J36" s="2040"/>
      <c r="N36" s="16" t="b">
        <v>1</v>
      </c>
      <c r="O36" s="162">
        <f>IF(N36,E17*F17,0)</f>
        <v>0</v>
      </c>
      <c r="P36" s="822" t="e">
        <f>+O36/O$39</f>
        <v>#DIV/0!</v>
      </c>
      <c r="Q36" s="75">
        <f>IF(AND(N36=TRUE,O36&gt;0),1,0)</f>
        <v>0</v>
      </c>
    </row>
    <row r="37" spans="2:17" s="75" customFormat="1" ht="18" hidden="1" customHeight="1">
      <c r="B37" s="2040">
        <v>30</v>
      </c>
      <c r="C37" s="3025"/>
      <c r="D37" s="3025"/>
      <c r="E37" s="3025"/>
      <c r="F37" s="3025"/>
      <c r="G37" s="3025"/>
      <c r="H37" s="3025"/>
      <c r="I37" s="2107"/>
      <c r="J37" s="2040"/>
      <c r="M37" s="16">
        <v>1</v>
      </c>
      <c r="N37" s="16" t="b">
        <v>1</v>
      </c>
      <c r="O37" s="162">
        <f>IF(N37,E18*F18,0)</f>
        <v>0</v>
      </c>
      <c r="P37" s="822" t="e">
        <f>+O37/O$39</f>
        <v>#DIV/0!</v>
      </c>
      <c r="Q37" s="75">
        <f>IF(AND(N37=TRUE,O37&gt;0),1,0)</f>
        <v>0</v>
      </c>
    </row>
    <row r="38" spans="2:17" s="75" customFormat="1" ht="18" hidden="1" customHeight="1">
      <c r="B38" s="2040">
        <v>31</v>
      </c>
      <c r="C38" s="3025"/>
      <c r="D38" s="3025"/>
      <c r="E38" s="3025"/>
      <c r="F38" s="3025"/>
      <c r="G38" s="3025"/>
      <c r="H38" s="3025"/>
      <c r="I38" s="2107"/>
      <c r="J38" s="2040"/>
      <c r="M38" s="75">
        <v>0</v>
      </c>
      <c r="N38" s="16" t="b">
        <v>1</v>
      </c>
      <c r="O38" s="162">
        <f>IF(N38,E19*F19,0)</f>
        <v>0</v>
      </c>
      <c r="P38" s="822" t="e">
        <f>+O38/O$39</f>
        <v>#DIV/0!</v>
      </c>
      <c r="Q38" s="75">
        <f>IF(AND(N38=TRUE,O38&gt;0),1,0)</f>
        <v>0</v>
      </c>
    </row>
    <row r="39" spans="2:17" s="75" customFormat="1" ht="18" hidden="1" customHeight="1">
      <c r="B39" s="2033">
        <v>32</v>
      </c>
      <c r="J39" s="368"/>
      <c r="M39" s="75">
        <v>1</v>
      </c>
      <c r="O39" s="162">
        <f>SUM(O35:O38)</f>
        <v>0</v>
      </c>
      <c r="P39" s="2101" t="e">
        <f>SUM(P35:P38)</f>
        <v>#DIV/0!</v>
      </c>
      <c r="Q39" s="75">
        <f>SUM(Q35:Q38)</f>
        <v>0</v>
      </c>
    </row>
    <row r="40" spans="2:17" s="75" customFormat="1" ht="18" hidden="1" customHeight="1">
      <c r="B40" s="2033">
        <v>33</v>
      </c>
      <c r="J40" s="368"/>
      <c r="M40" s="75">
        <v>2</v>
      </c>
    </row>
    <row r="41" spans="2:17" s="75" customFormat="1" ht="18" hidden="1" customHeight="1">
      <c r="B41" s="2033">
        <v>34</v>
      </c>
      <c r="J41" s="368"/>
      <c r="M41" s="75">
        <v>3</v>
      </c>
    </row>
    <row r="42" spans="2:17" s="75" customFormat="1" ht="18" hidden="1" customHeight="1">
      <c r="B42" s="2033">
        <v>35</v>
      </c>
      <c r="J42" s="368"/>
      <c r="M42" s="75">
        <v>4</v>
      </c>
    </row>
    <row r="43" spans="2:17" s="75" customFormat="1" ht="18" hidden="1" customHeight="1">
      <c r="B43" s="2033">
        <v>36</v>
      </c>
      <c r="J43" s="368"/>
      <c r="M43" s="75">
        <v>5</v>
      </c>
    </row>
    <row r="44" spans="2:17" s="75" customFormat="1" ht="18" hidden="1" customHeight="1">
      <c r="B44" s="2033">
        <v>37</v>
      </c>
      <c r="J44" s="368"/>
      <c r="M44" s="16">
        <v>4</v>
      </c>
    </row>
    <row r="45" spans="2:17" s="75" customFormat="1" ht="18" hidden="1" customHeight="1" thickBot="1">
      <c r="B45" s="2033">
        <v>38</v>
      </c>
      <c r="C45" s="3027" t="str">
        <f ca="1">IF(OR(E4=0,I4=0,+I21=0),"Gelb markierte Felder sind auszufüllen",IF(I26&lt;=I27,"Die Wesentlichkeitsgrenze von §§ 20 III S. 3;  18 VersAusglG wird nicht überschritten!","Die Wesentlichkeitsgrenze von § 18 VersAusglG wird überschritten."))</f>
        <v>Gelb markierte Felder sind auszufüllen</v>
      </c>
      <c r="D45" s="3028"/>
      <c r="E45" s="3028"/>
      <c r="F45" s="3028"/>
      <c r="G45" s="3028"/>
      <c r="H45" s="3028"/>
      <c r="I45" s="3029"/>
      <c r="J45" s="368"/>
    </row>
    <row r="46" spans="2:17" s="75" customFormat="1" ht="16.149999999999999" customHeight="1">
      <c r="B46" s="2033"/>
      <c r="C46" s="1011"/>
      <c r="D46" s="1011"/>
      <c r="E46" s="1011"/>
      <c r="F46" s="1011"/>
      <c r="G46" s="1011"/>
      <c r="H46" s="1011"/>
      <c r="I46" s="1011"/>
      <c r="J46" s="368"/>
    </row>
    <row r="47" spans="2:17" s="75" customFormat="1" ht="16.149999999999999" hidden="1" customHeight="1">
      <c r="B47" s="2035"/>
      <c r="C47" s="2036"/>
      <c r="D47" s="2036"/>
      <c r="E47" s="2036"/>
      <c r="F47" s="2036"/>
      <c r="G47" s="2036"/>
      <c r="H47" s="2036"/>
      <c r="I47" s="2036"/>
      <c r="J47" s="368"/>
    </row>
    <row r="48" spans="2:17" s="75" customFormat="1" ht="16.149999999999999" hidden="1" customHeight="1">
      <c r="B48" s="2037"/>
      <c r="C48" s="2036"/>
      <c r="D48" s="2036"/>
      <c r="E48" s="2036"/>
      <c r="F48" s="2036"/>
      <c r="G48" s="2036"/>
      <c r="H48" s="2036"/>
      <c r="I48" s="2036"/>
      <c r="J48" s="368"/>
      <c r="N48" s="3" t="s">
        <v>565</v>
      </c>
      <c r="O48" s="432" t="b">
        <v>0</v>
      </c>
      <c r="P48" s="3"/>
    </row>
    <row r="49" spans="2:16" ht="15" hidden="1" customHeight="1">
      <c r="B49" s="2037"/>
      <c r="C49" s="2004"/>
      <c r="D49" s="2004"/>
      <c r="E49" s="2004"/>
      <c r="F49" s="2004"/>
      <c r="G49" s="2004"/>
      <c r="H49" s="2004"/>
      <c r="I49" s="2004"/>
      <c r="J49" s="2004"/>
      <c r="N49" s="640" t="s">
        <v>562</v>
      </c>
      <c r="O49" s="2102" t="b">
        <v>0</v>
      </c>
      <c r="P49" s="640"/>
    </row>
    <row r="50" spans="2:16" hidden="1">
      <c r="B50" s="4"/>
      <c r="C50" s="383"/>
      <c r="D50" s="383"/>
      <c r="E50" s="383"/>
      <c r="F50" s="383"/>
      <c r="G50" s="383"/>
      <c r="H50" s="383"/>
      <c r="I50" s="383"/>
      <c r="J50" s="383"/>
      <c r="N50" s="3026"/>
      <c r="O50" s="75"/>
    </row>
    <row r="51" spans="2:16" ht="14.25" hidden="1" customHeight="1">
      <c r="C51" s="1793"/>
      <c r="D51" s="1793"/>
      <c r="E51" s="1793"/>
      <c r="F51" s="1793"/>
      <c r="G51" s="1793"/>
      <c r="H51" s="1793"/>
      <c r="I51" s="1793"/>
      <c r="J51" s="1793"/>
      <c r="N51" s="3026"/>
      <c r="O51" s="75"/>
      <c r="P51" s="75"/>
    </row>
    <row r="52" spans="2:16" ht="15" hidden="1" customHeight="1">
      <c r="C52" s="1793"/>
      <c r="D52" s="1793"/>
      <c r="E52" s="1793"/>
      <c r="F52" s="1793"/>
      <c r="G52" s="1793"/>
      <c r="H52" s="1793"/>
      <c r="I52" s="1793"/>
      <c r="J52" s="1793"/>
      <c r="N52" s="3026"/>
      <c r="O52" s="75"/>
      <c r="P52" s="75"/>
    </row>
    <row r="53" spans="2:16" ht="32.25" hidden="1" customHeight="1">
      <c r="C53" s="243"/>
      <c r="D53" s="243"/>
      <c r="E53" s="243"/>
      <c r="F53" s="243"/>
      <c r="G53" s="243"/>
      <c r="H53" s="243"/>
      <c r="I53" s="243"/>
      <c r="J53" s="1793"/>
      <c r="N53" s="75"/>
      <c r="O53" s="75"/>
      <c r="P53" s="75"/>
    </row>
    <row r="54" spans="2:16" s="75" customFormat="1" ht="18" hidden="1" customHeight="1">
      <c r="B54"/>
      <c r="C54" s="2038"/>
      <c r="D54" s="2038"/>
      <c r="E54" s="2038"/>
      <c r="F54" s="2038"/>
      <c r="G54" s="2038"/>
      <c r="H54" s="1794"/>
      <c r="I54" s="1795"/>
      <c r="J54" s="1793"/>
    </row>
    <row r="55" spans="2:16" s="75" customFormat="1" ht="18" hidden="1" customHeight="1">
      <c r="B55"/>
      <c r="C55" s="2038"/>
      <c r="D55" s="2038"/>
      <c r="E55" s="2038"/>
      <c r="F55" s="2038"/>
      <c r="G55" s="2038"/>
      <c r="H55" s="935"/>
      <c r="I55" s="1794"/>
      <c r="J55" s="1793"/>
      <c r="O55" s="16"/>
    </row>
    <row r="56" spans="2:16" s="75" customFormat="1" ht="18" hidden="1" customHeight="1">
      <c r="B56"/>
      <c r="C56" s="2038"/>
      <c r="D56" s="2038"/>
      <c r="E56" s="2038"/>
      <c r="F56" s="2038"/>
      <c r="G56" s="2038"/>
      <c r="H56" s="781"/>
      <c r="I56" s="1796"/>
      <c r="J56" s="1793"/>
    </row>
    <row r="57" spans="2:16" s="75" customFormat="1" ht="18" hidden="1" customHeight="1">
      <c r="B57"/>
      <c r="C57" s="2038"/>
      <c r="D57" s="2038"/>
      <c r="E57" s="2038"/>
      <c r="F57" s="2038"/>
      <c r="G57" s="2038"/>
      <c r="H57" s="992"/>
      <c r="I57" s="2052"/>
      <c r="J57" s="1793"/>
      <c r="N57" s="3020"/>
      <c r="O57" s="3020"/>
      <c r="P57" s="3020"/>
    </row>
    <row r="58" spans="2:16" s="75" customFormat="1" ht="18" hidden="1" customHeight="1">
      <c r="B58"/>
      <c r="C58" s="2038"/>
      <c r="D58" s="2038"/>
      <c r="E58" s="2038"/>
      <c r="F58" s="2038"/>
      <c r="G58" s="2038"/>
      <c r="H58" s="1798"/>
      <c r="I58" s="2053"/>
      <c r="J58" s="1793"/>
      <c r="O58" s="132"/>
      <c r="P58" s="132"/>
    </row>
    <row r="59" spans="2:16" s="75" customFormat="1" ht="18" hidden="1" customHeight="1">
      <c r="B59"/>
      <c r="C59" s="1803"/>
      <c r="D59" s="2038"/>
      <c r="E59" s="2038"/>
      <c r="F59" s="2038"/>
      <c r="G59" s="2038"/>
      <c r="H59" s="132"/>
      <c r="I59" s="1795"/>
      <c r="J59" s="1793"/>
      <c r="N59" s="368"/>
      <c r="O59" s="1506"/>
      <c r="P59" s="1506"/>
    </row>
    <row r="60" spans="2:16" s="75" customFormat="1" ht="18" hidden="1" customHeight="1">
      <c r="B60"/>
      <c r="C60" s="1803"/>
      <c r="D60" s="2038"/>
      <c r="E60" s="2038"/>
      <c r="F60" s="2038"/>
      <c r="G60" s="2038"/>
      <c r="H60" s="1799"/>
      <c r="I60" s="1799"/>
      <c r="J60" s="1793"/>
      <c r="N60" s="368"/>
      <c r="O60" s="3021"/>
      <c r="P60" s="3021"/>
    </row>
    <row r="61" spans="2:16" s="75" customFormat="1" ht="18" hidden="1" customHeight="1">
      <c r="B61"/>
      <c r="C61" s="2038"/>
      <c r="D61" s="2038"/>
      <c r="E61" s="2038"/>
      <c r="F61" s="2038"/>
      <c r="G61" s="2038"/>
      <c r="H61" s="1800"/>
      <c r="I61" s="1797"/>
      <c r="J61" s="1793"/>
      <c r="N61" s="368"/>
      <c r="O61" s="1506"/>
      <c r="P61" s="1802"/>
    </row>
    <row r="62" spans="2:16" s="75" customFormat="1" ht="18" hidden="1" customHeight="1">
      <c r="B62"/>
      <c r="C62" s="2038"/>
      <c r="D62" s="2038"/>
      <c r="E62" s="2038"/>
      <c r="F62" s="2038"/>
      <c r="G62" s="2038"/>
      <c r="H62" s="1800"/>
      <c r="I62" s="1797"/>
      <c r="J62" s="1793"/>
      <c r="N62" s="368"/>
      <c r="O62" s="3021"/>
      <c r="P62" s="3021"/>
    </row>
    <row r="63" spans="2:16" s="75" customFormat="1" ht="18" hidden="1" customHeight="1">
      <c r="B63"/>
      <c r="C63" s="1803"/>
      <c r="D63" s="1803"/>
      <c r="E63" s="1803"/>
      <c r="F63" s="1803"/>
      <c r="G63" s="1803"/>
      <c r="H63" s="1800"/>
      <c r="I63" s="1804"/>
      <c r="J63" s="1793"/>
      <c r="N63" s="3020"/>
      <c r="O63" s="3020"/>
      <c r="P63" s="3020"/>
    </row>
    <row r="64" spans="2:16" s="75" customFormat="1" ht="18" hidden="1" customHeight="1">
      <c r="B64"/>
      <c r="C64" s="2038"/>
      <c r="D64" s="2038"/>
      <c r="E64" s="2038"/>
      <c r="F64" s="2038"/>
      <c r="G64" s="2038"/>
      <c r="H64" s="1796"/>
      <c r="I64" s="2054"/>
      <c r="J64" s="1793"/>
      <c r="N64" s="830"/>
      <c r="O64" s="830"/>
      <c r="P64" s="830"/>
    </row>
    <row r="65" spans="2:16" s="75" customFormat="1" ht="18" hidden="1" customHeight="1">
      <c r="B65"/>
      <c r="C65" s="2038"/>
      <c r="D65" s="2038"/>
      <c r="E65" s="2038"/>
      <c r="F65" s="2038"/>
      <c r="G65" s="2038"/>
      <c r="H65" s="1795"/>
      <c r="I65" s="2054"/>
      <c r="J65" s="1793"/>
      <c r="O65" s="2104"/>
      <c r="P65" s="2104"/>
    </row>
    <row r="66" spans="2:16" s="75" customFormat="1" ht="18" hidden="1" customHeight="1">
      <c r="B66"/>
      <c r="C66" s="1805"/>
      <c r="D66" s="1805"/>
      <c r="E66" s="1805"/>
      <c r="F66" s="1805"/>
      <c r="G66" s="1805"/>
      <c r="H66" s="1806"/>
      <c r="I66" s="2054"/>
      <c r="J66" s="2105"/>
      <c r="L66" s="644"/>
      <c r="O66" s="2104"/>
      <c r="P66" s="2104"/>
    </row>
    <row r="67" spans="2:16" s="75" customFormat="1" ht="18" hidden="1" customHeight="1">
      <c r="B67"/>
      <c r="C67" s="2056"/>
      <c r="D67" s="2039"/>
      <c r="E67" s="2039"/>
      <c r="F67" s="2039"/>
      <c r="G67" s="2039"/>
      <c r="H67" s="2057"/>
      <c r="I67" s="2058"/>
      <c r="J67" s="2105"/>
      <c r="L67" s="644"/>
    </row>
    <row r="68" spans="2:16" s="75" customFormat="1" ht="18" hidden="1" customHeight="1">
      <c r="B68"/>
      <c r="C68" s="2056"/>
      <c r="D68" s="2039"/>
      <c r="E68" s="2039"/>
      <c r="F68" s="2039"/>
      <c r="G68" s="2039"/>
      <c r="H68" s="2057"/>
      <c r="I68" s="2058"/>
      <c r="J68" s="2103"/>
      <c r="L68" s="644"/>
      <c r="N68"/>
      <c r="O68"/>
      <c r="P68" s="95"/>
    </row>
    <row r="69" spans="2:16" s="75" customFormat="1" ht="27.75" hidden="1" customHeight="1">
      <c r="B69" s="162"/>
      <c r="C69" s="2051"/>
      <c r="D69" s="2051"/>
      <c r="E69" s="2051"/>
      <c r="F69" s="2051"/>
      <c r="G69" s="2051"/>
      <c r="H69" s="2051"/>
      <c r="I69" s="2051"/>
      <c r="J69" s="2103"/>
      <c r="L69" s="644"/>
      <c r="N69"/>
      <c r="O69"/>
      <c r="P69"/>
    </row>
    <row r="70" spans="2:16" s="75" customFormat="1" ht="18" hidden="1" customHeight="1">
      <c r="B70" s="162"/>
      <c r="C70" s="2050"/>
      <c r="D70" s="2050"/>
      <c r="E70" s="2050"/>
      <c r="F70" s="2050"/>
      <c r="G70" s="2050"/>
      <c r="H70" s="2050"/>
      <c r="I70" s="1807"/>
      <c r="J70" s="2103"/>
      <c r="L70" s="644"/>
      <c r="O70" s="162"/>
    </row>
    <row r="71" spans="2:16" s="75" customFormat="1" ht="18" hidden="1" customHeight="1">
      <c r="C71" s="2050"/>
      <c r="D71" s="2050"/>
      <c r="E71" s="2050"/>
      <c r="F71" s="2050"/>
      <c r="G71" s="2050"/>
      <c r="H71" s="2050"/>
      <c r="I71" s="1808"/>
      <c r="J71" s="2103"/>
      <c r="L71" s="644"/>
      <c r="M71" s="162"/>
      <c r="N71" s="823"/>
      <c r="O71" s="162"/>
    </row>
    <row r="72" spans="2:16" ht="18" hidden="1" customHeight="1">
      <c r="C72" s="2050"/>
      <c r="D72" s="2050"/>
      <c r="E72" s="2050"/>
      <c r="F72" s="2050"/>
      <c r="G72" s="2050"/>
      <c r="H72" s="2050"/>
      <c r="I72" s="1808"/>
      <c r="J72" s="1793"/>
      <c r="M72" s="157"/>
      <c r="O72" s="157"/>
    </row>
    <row r="73" spans="2:16" ht="18" hidden="1" customHeight="1">
      <c r="C73" s="2055"/>
      <c r="D73" s="2055"/>
      <c r="E73" s="2055"/>
      <c r="F73" s="2055"/>
      <c r="G73" s="2055"/>
      <c r="H73" s="2055"/>
      <c r="I73" s="1809"/>
      <c r="J73" s="1793"/>
      <c r="O73" s="157"/>
    </row>
    <row r="74" spans="2:16" ht="14.25" hidden="1" customHeight="1">
      <c r="C74" s="101"/>
      <c r="D74" s="101"/>
      <c r="E74" s="101"/>
      <c r="F74" s="101"/>
      <c r="G74" s="101"/>
      <c r="H74" s="101"/>
      <c r="I74" s="101"/>
      <c r="J74" s="101"/>
    </row>
    <row r="75" spans="2:16" ht="14.25" hidden="1" customHeight="1">
      <c r="C75" s="1790"/>
      <c r="D75" s="1790"/>
      <c r="E75" s="1790"/>
      <c r="F75" s="1790"/>
      <c r="G75" s="1790"/>
      <c r="H75" s="1791"/>
      <c r="I75" s="1792"/>
      <c r="J75" s="1793"/>
    </row>
    <row r="76" spans="2:16" ht="14.25" hidden="1" customHeight="1">
      <c r="C76" s="265"/>
      <c r="D76" s="265"/>
      <c r="E76" s="265"/>
      <c r="F76" s="265"/>
      <c r="G76" s="265"/>
      <c r="H76" s="1792"/>
      <c r="I76" s="1792"/>
    </row>
    <row r="77" spans="2:16" ht="14.25" hidden="1" customHeight="1">
      <c r="C77" s="1790"/>
      <c r="D77" s="1790"/>
      <c r="E77" s="1790"/>
      <c r="F77" s="1790"/>
      <c r="G77" s="1790"/>
      <c r="H77" s="1790"/>
      <c r="I77" s="1790"/>
    </row>
    <row r="79" spans="2:16" ht="14.25" hidden="1" customHeight="1"/>
    <row r="81" ht="14.25" hidden="1" customHeight="1"/>
  </sheetData>
  <sheetProtection algorithmName="SHA-512" hashValue="xeuL72LTdMjmc4GP0E876v37Q0dgqeOOOAX8mSANfMECmO0TrhA0OHjuPGGGeHBrXfd8W6AKAi5koGhXhInGdQ==" saltValue="EuoUi179zxe/waXNDCrt1w==" spinCount="100000" sheet="1" objects="1" scenarios="1"/>
  <scenarios current="0" show="0">
    <scenario name="Nullstellung sVA" count="20" user="Jörn Hauß" comment="Erstellt von Hauß am 14.07.2022_x000a_Modifiziert von Hauß am 14.07.2022_x000a_Modifiziert von Jörn Hauß am 16.07.2022_x000a_Modifiziert von Hauß am 26.07.2022_x000a_Modifiziert von Jörn Hauß am 13.08.2022_x000a_Modifiziert von Hauß am 08.11.2022_x000a_Modifiziert von Jörn Hauß am 10.10">
      <inputCells r="H3" val="^"/>
      <inputCells r="D4" val="" numFmtId="14"/>
      <inputCells r="I4" val=""/>
      <inputCells r="H34" val=""/>
      <inputCells r="H35" val=""/>
      <inputCells r="H36" val="" numFmtId="10"/>
      <inputCells r="F22" val=""/>
      <inputCells r="H26" val=""/>
      <inputCells r="C16" val="bAV (1)"/>
      <inputCells r="F16" val="1" numFmtId="10"/>
      <inputCells r="E16" val="" numFmtId="8"/>
      <inputCells r="C17" val="bAV (2)"/>
      <inputCells r="F17" val="1" numFmtId="10"/>
      <inputCells r="E17" val=""/>
      <inputCells r="C18" val="bAV (3)"/>
      <inputCells r="F18" val="1" numFmtId="10"/>
      <inputCells r="E18" val=""/>
      <inputCells r="C19" val="bAV (4)"/>
      <inputCells r="F19" val="1" numFmtId="10"/>
      <inputCells r="E19" val=""/>
    </scenario>
  </scenarios>
  <dataConsolidate/>
  <mergeCells count="48">
    <mergeCell ref="N63:P63"/>
    <mergeCell ref="O62:P62"/>
    <mergeCell ref="O60:P60"/>
    <mergeCell ref="C35:H35"/>
    <mergeCell ref="C37:H37"/>
    <mergeCell ref="C38:H38"/>
    <mergeCell ref="N57:P57"/>
    <mergeCell ref="N50:N52"/>
    <mergeCell ref="C45:I45"/>
    <mergeCell ref="C36:H36"/>
    <mergeCell ref="H14:H15"/>
    <mergeCell ref="C34:G34"/>
    <mergeCell ref="H29:I29"/>
    <mergeCell ref="I13:I15"/>
    <mergeCell ref="F14:F15"/>
    <mergeCell ref="E14:E15"/>
    <mergeCell ref="C13:E13"/>
    <mergeCell ref="C29:E29"/>
    <mergeCell ref="C33:F33"/>
    <mergeCell ref="C18:D18"/>
    <mergeCell ref="C19:D19"/>
    <mergeCell ref="C20:D20"/>
    <mergeCell ref="C27:H27"/>
    <mergeCell ref="C24:G24"/>
    <mergeCell ref="G22:H22"/>
    <mergeCell ref="C22:E22"/>
    <mergeCell ref="C21:H21"/>
    <mergeCell ref="G2:I2"/>
    <mergeCell ref="C2:E2"/>
    <mergeCell ref="F4:G4"/>
    <mergeCell ref="C16:D16"/>
    <mergeCell ref="C17:D17"/>
    <mergeCell ref="C14:D15"/>
    <mergeCell ref="C8:H8"/>
    <mergeCell ref="C9:H9"/>
    <mergeCell ref="C6:E7"/>
    <mergeCell ref="C3:F3"/>
    <mergeCell ref="G3:I3"/>
    <mergeCell ref="C10:I10"/>
    <mergeCell ref="C11:I12"/>
    <mergeCell ref="G13:H13"/>
    <mergeCell ref="G14:G15"/>
    <mergeCell ref="C32:D32"/>
    <mergeCell ref="C31:F31"/>
    <mergeCell ref="C25:G25"/>
    <mergeCell ref="C26:G26"/>
    <mergeCell ref="D28:I28"/>
    <mergeCell ref="C30:D30"/>
  </mergeCells>
  <conditionalFormatting sqref="B29:B30">
    <cfRule type="expression" dxfId="21" priority="4">
      <formula>sVA_Privat=FALSE</formula>
    </cfRule>
  </conditionalFormatting>
  <conditionalFormatting sqref="C16 E16:I16">
    <cfRule type="expression" dxfId="20" priority="13">
      <formula>$M$37=1</formula>
    </cfRule>
  </conditionalFormatting>
  <conditionalFormatting sqref="C17 E17:I17 L37">
    <cfRule type="expression" dxfId="19" priority="1636">
      <formula>$M$37=2</formula>
    </cfRule>
  </conditionalFormatting>
  <conditionalFormatting sqref="C18 E18:I18 M37:Q37 L38">
    <cfRule type="expression" dxfId="18" priority="1642">
      <formula>$M$37=3</formula>
    </cfRule>
  </conditionalFormatting>
  <conditionalFormatting sqref="C19 E19:I19 M38:Q38 L39">
    <cfRule type="expression" dxfId="17" priority="1645">
      <formula>$M$37=4</formula>
    </cfRule>
  </conditionalFormatting>
  <conditionalFormatting sqref="C45">
    <cfRule type="expression" dxfId="16" priority="2395">
      <formula>AND($E$4+$I$21+$H$36&gt;0,$I$26&gt;$I$27)</formula>
    </cfRule>
    <cfRule type="expression" dxfId="15" priority="2396">
      <formula>AND($E$4+$I$21+$H$36&gt;0,$I$26&lt;=$I$27)</formula>
    </cfRule>
  </conditionalFormatting>
  <conditionalFormatting sqref="C49:J49">
    <cfRule type="expression" dxfId="14" priority="2283">
      <formula>AND(FB_Aktiv,COUNT($E$16:$E$19)&gt;1)</formula>
    </cfRule>
  </conditionalFormatting>
  <conditionalFormatting sqref="D4">
    <cfRule type="expression" dxfId="13" priority="59">
      <formula>AND(D4="",E4="")</formula>
    </cfRule>
  </conditionalFormatting>
  <conditionalFormatting sqref="E16:E19">
    <cfRule type="expression" dxfId="12" priority="34">
      <formula>E16=0</formula>
    </cfRule>
  </conditionalFormatting>
  <conditionalFormatting sqref="E30">
    <cfRule type="expression" dxfId="11" priority="7">
      <formula>AND(sVA_Privat,$E$30="")</formula>
    </cfRule>
  </conditionalFormatting>
  <conditionalFormatting sqref="F16:F19">
    <cfRule type="expression" dxfId="10" priority="1648">
      <formula>N35</formula>
    </cfRule>
  </conditionalFormatting>
  <conditionalFormatting sqref="F29:H29 C29:C30 E30:I30">
    <cfRule type="expression" dxfId="9" priority="5">
      <formula>sVA_Privat=FALSE</formula>
    </cfRule>
  </conditionalFormatting>
  <conditionalFormatting sqref="G13">
    <cfRule type="expression" dxfId="8" priority="2381">
      <formula>$E$20&lt;=$I$8</formula>
    </cfRule>
  </conditionalFormatting>
  <conditionalFormatting sqref="G30">
    <cfRule type="expression" dxfId="7" priority="6">
      <formula>AND(sVA_Privat,$E$30&gt;0,$G$30=0)</formula>
    </cfRule>
  </conditionalFormatting>
  <conditionalFormatting sqref="H31:H33">
    <cfRule type="expression" dxfId="6" priority="44">
      <formula>sVA_Privat</formula>
    </cfRule>
  </conditionalFormatting>
  <conditionalFormatting sqref="I8">
    <cfRule type="expression" dxfId="5" priority="9">
      <formula>$E$20&gt;$I$8</formula>
    </cfRule>
  </conditionalFormatting>
  <conditionalFormatting sqref="J29:J30">
    <cfRule type="expression" dxfId="4" priority="3">
      <formula>sVA_Privat=FALSE</formula>
    </cfRule>
  </conditionalFormatting>
  <conditionalFormatting sqref="M36:Q36">
    <cfRule type="expression" dxfId="3" priority="1639">
      <formula>$M$37=2</formula>
    </cfRule>
  </conditionalFormatting>
  <conditionalFormatting sqref="C27:I27">
    <cfRule type="expression" dxfId="2" priority="1">
      <formula>AND($I$21&gt;0,$I$26&gt;=$I$27)</formula>
    </cfRule>
    <cfRule type="expression" dxfId="0" priority="2">
      <formula>AND($I$21&gt;0,$I$26&lt;$I$27)</formula>
    </cfRule>
  </conditionalFormatting>
  <dataValidations xWindow="802" yWindow="929" count="10">
    <dataValidation type="decimal" allowBlank="1" showInputMessage="1" showErrorMessage="1" errorTitle="Fehleingabe" error="Es sind nur negative Zahleneingaben zulässig!" prompt="nur negative Zahleneingabe zulässig" sqref="I34" xr:uid="{D6F1CD66-ABE5-4356-8F2F-1761B0B21762}">
      <formula1>-1000</formula1>
      <formula2>0</formula2>
    </dataValidation>
    <dataValidation type="decimal" allowBlank="1" showInputMessage="1" showErrorMessage="1" sqref="H60:H63" xr:uid="{DBA95F7C-ECAC-41DE-A857-DEA4C3E19BD5}">
      <formula1>0</formula1>
      <formula2>1</formula2>
    </dataValidation>
    <dataValidation type="decimal" allowBlank="1" showInputMessage="1" showErrorMessage="1" errorTitle="Eingabebeschränkung" error="Es sind nur Eingaben bis 10.000 € zulässig." sqref="E16:E19" xr:uid="{98ABA069-65A1-41C6-8005-EC4AA743E0F0}">
      <formula1>0</formula1>
      <formula2>10000</formula2>
    </dataValidation>
    <dataValidation type="decimal" allowBlank="1" showInputMessage="1" showErrorMessage="1" errorTitle="Eingabebeschränkung!" error="Es sind nur Eingaben bis 20% zulässig!" sqref="F7" xr:uid="{1B70DF94-75E8-45F9-BFAC-6899D9526A6F}">
      <formula1>0</formula1>
      <formula2>0.2</formula2>
    </dataValidation>
    <dataValidation type="decimal" allowBlank="1" showInputMessage="1" showErrorMessage="1" errorTitle="Eingabebeschränkung" error="Es sind nur Eingaben bis 5% zulässig" sqref="G7" xr:uid="{51A777F0-CA84-43E0-A2AE-B518B04B6EAA}">
      <formula1>0</formula1>
      <formula2>0.05</formula2>
    </dataValidation>
    <dataValidation type="decimal" allowBlank="1" showInputMessage="1" showErrorMessage="1" errorTitle="Eingabebeschränkung" error="Es sind nur Eingaben bis 3% zulässig!" sqref="H7" xr:uid="{4C82092D-1A74-4FA1-947D-9B1CC71F11F3}">
      <formula1>0</formula1>
      <formula2>0.03</formula2>
    </dataValidation>
    <dataValidation type="date" allowBlank="1" showInputMessage="1" showErrorMessage="1" errorTitle="Eingabebeschränkung" error="Es sind nur Dateneingaben zwischen 1.7.1977 und 31.12.2030 zulässig." sqref="D4" xr:uid="{8D9BC8D7-6EA1-4B16-969B-C9E99973D5AA}">
      <formula1>28307</formula1>
      <formula2>47848</formula2>
    </dataValidation>
    <dataValidation type="decimal" allowBlank="1" showInputMessage="1" showErrorMessage="1" errorTitle="Eingabefehler" error="Der eingegebene Wert ist ungültig, weil er oberhalb des zulässigen Wertes nach § 3b Abs. 1 Nr. 1 VAHRG liegt." sqref="F22" xr:uid="{904DCA88-DE68-4FDD-8679-1C165B23C8A6}">
      <formula1>0</formula1>
      <formula2>1500</formula2>
    </dataValidation>
    <dataValidation type="list" allowBlank="1" showInputMessage="1" showErrorMessage="1" errorTitle="Fehleingabe!" error="Es sind nur die Eingaben &quot;m&quot;, &quot;w&quot; und &quot;d&quot; zulässig" prompt="_x000a_" sqref="H56" xr:uid="{2E34D919-951D-43C4-99DE-5AB95FC0C714}">
      <formula1>$O$50:$O$52</formula1>
    </dataValidation>
    <dataValidation type="date" operator="lessThan" allowBlank="1" showInputMessage="1" showErrorMessage="1" errorTitle="Fehleingabe" error="Das eingegebene Geburtsdatum ist unzulässig. Alter bei Scheidung &lt; 20 Jahre!" promptTitle="Fehleingabe" sqref="I55" xr:uid="{727F4346-E36C-4658-B190-4E55BC8B1644}">
      <formula1>DATE(YEAR(E4)-20,MONTH(E4),DAY(E4))</formula1>
    </dataValidation>
  </dataValidations>
  <hyperlinks>
    <hyperlink ref="F2" r:id="rId1" xr:uid="{6884F722-B71D-4AF2-B7ED-409268BEACA5}"/>
    <hyperlink ref="C33:F33" r:id="rId2" display="https://www.bundesanzeiger.de/pub/de/amtliche-veroeffentlichung?8" xr:uid="{ADBDEC9E-D72A-4403-A65E-16D6FB4E8048}"/>
    <hyperlink ref="C9:G9" r:id="rId3" display="https://www.gesetze-im-internet.de/sgb_5/__226.html" xr:uid="{5F285438-BBD1-48A9-8F47-DB76B7918B0E}"/>
    <hyperlink ref="C8:G8" r:id="rId4" display="https://www.bmas.de/SharedDocs/Downloads/DE/Gesetze/Regierungsentwuerfe/reg-sozialversicherungsrechengroessen-verordnung-2024.pdf?__blob=publicationFile&amp;v=2" xr:uid="{8FE05CA8-9B50-4D63-B50E-54D24CD497D4}"/>
    <hyperlink ref="C32:D32" r:id="rId5" display="https://www.gesetze-im-internet.de/sgb_11/__55.html" xr:uid="{8C65136F-0A2A-4C5B-9AF7-AE9CB9423B51}"/>
  </hyperlinks>
  <printOptions horizontalCentered="1"/>
  <pageMargins left="0.11811023622047245" right="0.11811023622047245" top="0.78740157480314965" bottom="0.78740157480314965" header="0.31496062992125984" footer="0.31496062992125984"/>
  <pageSetup paperSize="9" scale="62" orientation="portrait" r:id="rId6"/>
  <drawing r:id="rId7"/>
  <legacyDrawing r:id="rId8"/>
  <mc:AlternateContent xmlns:mc="http://schemas.openxmlformats.org/markup-compatibility/2006">
    <mc:Choice Requires="x14">
      <controls>
        <mc:AlternateContent xmlns:mc="http://schemas.openxmlformats.org/markup-compatibility/2006">
          <mc:Choice Requires="x14">
            <control shapeId="1886389" r:id="rId9" name="Check Box 181">
              <controlPr defaultSize="0" autoFill="0" autoLine="0" autoPict="0">
                <anchor moveWithCells="1">
                  <from>
                    <xdr:col>2</xdr:col>
                    <xdr:colOff>19050</xdr:colOff>
                    <xdr:row>8</xdr:row>
                    <xdr:rowOff>19050</xdr:rowOff>
                  </from>
                  <to>
                    <xdr:col>2</xdr:col>
                    <xdr:colOff>247650</xdr:colOff>
                    <xdr:row>9</xdr:row>
                    <xdr:rowOff>0</xdr:rowOff>
                  </to>
                </anchor>
              </controlPr>
            </control>
          </mc:Choice>
        </mc:AlternateContent>
        <mc:AlternateContent xmlns:mc="http://schemas.openxmlformats.org/markup-compatibility/2006">
          <mc:Choice Requires="x14">
            <control shapeId="1886209" r:id="rId10" name="Check Box 1">
              <controlPr defaultSize="0" autoFill="0" autoLine="0" autoPict="0">
                <anchor moveWithCells="1">
                  <from>
                    <xdr:col>6</xdr:col>
                    <xdr:colOff>114300</xdr:colOff>
                    <xdr:row>22</xdr:row>
                    <xdr:rowOff>19050</xdr:rowOff>
                  </from>
                  <to>
                    <xdr:col>6</xdr:col>
                    <xdr:colOff>866775</xdr:colOff>
                    <xdr:row>22</xdr:row>
                    <xdr:rowOff>209550</xdr:rowOff>
                  </to>
                </anchor>
              </controlPr>
            </control>
          </mc:Choice>
        </mc:AlternateContent>
        <mc:AlternateContent xmlns:mc="http://schemas.openxmlformats.org/markup-compatibility/2006">
          <mc:Choice Requires="x14">
            <control shapeId="1886220" r:id="rId11" name="Option Button 12">
              <controlPr defaultSize="0" autoFill="0" autoLine="0" autoPict="0">
                <anchor moveWithCells="1">
                  <from>
                    <xdr:col>2</xdr:col>
                    <xdr:colOff>28575</xdr:colOff>
                    <xdr:row>15</xdr:row>
                    <xdr:rowOff>19050</xdr:rowOff>
                  </from>
                  <to>
                    <xdr:col>2</xdr:col>
                    <xdr:colOff>323850</xdr:colOff>
                    <xdr:row>16</xdr:row>
                    <xdr:rowOff>19050</xdr:rowOff>
                  </to>
                </anchor>
              </controlPr>
            </control>
          </mc:Choice>
        </mc:AlternateContent>
        <mc:AlternateContent xmlns:mc="http://schemas.openxmlformats.org/markup-compatibility/2006">
          <mc:Choice Requires="x14">
            <control shapeId="1886221" r:id="rId12" name="Option Button 13">
              <controlPr defaultSize="0" autoFill="0" autoLine="0" autoPict="0">
                <anchor moveWithCells="1">
                  <from>
                    <xdr:col>2</xdr:col>
                    <xdr:colOff>28575</xdr:colOff>
                    <xdr:row>16</xdr:row>
                    <xdr:rowOff>19050</xdr:rowOff>
                  </from>
                  <to>
                    <xdr:col>2</xdr:col>
                    <xdr:colOff>323850</xdr:colOff>
                    <xdr:row>17</xdr:row>
                    <xdr:rowOff>0</xdr:rowOff>
                  </to>
                </anchor>
              </controlPr>
            </control>
          </mc:Choice>
        </mc:AlternateContent>
        <mc:AlternateContent xmlns:mc="http://schemas.openxmlformats.org/markup-compatibility/2006">
          <mc:Choice Requires="x14">
            <control shapeId="1886222" r:id="rId13" name="Option Button 14">
              <controlPr defaultSize="0" autoFill="0" autoLine="0" autoPict="0">
                <anchor moveWithCells="1">
                  <from>
                    <xdr:col>2</xdr:col>
                    <xdr:colOff>19050</xdr:colOff>
                    <xdr:row>16</xdr:row>
                    <xdr:rowOff>219075</xdr:rowOff>
                  </from>
                  <to>
                    <xdr:col>2</xdr:col>
                    <xdr:colOff>314325</xdr:colOff>
                    <xdr:row>17</xdr:row>
                    <xdr:rowOff>219075</xdr:rowOff>
                  </to>
                </anchor>
              </controlPr>
            </control>
          </mc:Choice>
        </mc:AlternateContent>
        <mc:AlternateContent xmlns:mc="http://schemas.openxmlformats.org/markup-compatibility/2006">
          <mc:Choice Requires="x14">
            <control shapeId="1886376" r:id="rId14" name="Check Box 168">
              <controlPr defaultSize="0" autoFill="0" autoLine="0" autoPict="0">
                <anchor moveWithCells="1">
                  <from>
                    <xdr:col>5</xdr:col>
                    <xdr:colOff>28575</xdr:colOff>
                    <xdr:row>16</xdr:row>
                    <xdr:rowOff>19050</xdr:rowOff>
                  </from>
                  <to>
                    <xdr:col>5</xdr:col>
                    <xdr:colOff>285750</xdr:colOff>
                    <xdr:row>17</xdr:row>
                    <xdr:rowOff>0</xdr:rowOff>
                  </to>
                </anchor>
              </controlPr>
            </control>
          </mc:Choice>
        </mc:AlternateContent>
        <mc:AlternateContent xmlns:mc="http://schemas.openxmlformats.org/markup-compatibility/2006">
          <mc:Choice Requires="x14">
            <control shapeId="1886377" r:id="rId15" name="Check Box 169">
              <controlPr defaultSize="0" autoFill="0" autoLine="0" autoPict="0">
                <anchor moveWithCells="1">
                  <from>
                    <xdr:col>5</xdr:col>
                    <xdr:colOff>28575</xdr:colOff>
                    <xdr:row>17</xdr:row>
                    <xdr:rowOff>19050</xdr:rowOff>
                  </from>
                  <to>
                    <xdr:col>5</xdr:col>
                    <xdr:colOff>285750</xdr:colOff>
                    <xdr:row>18</xdr:row>
                    <xdr:rowOff>0</xdr:rowOff>
                  </to>
                </anchor>
              </controlPr>
            </control>
          </mc:Choice>
        </mc:AlternateContent>
        <mc:AlternateContent xmlns:mc="http://schemas.openxmlformats.org/markup-compatibility/2006">
          <mc:Choice Requires="x14">
            <control shapeId="1886378" r:id="rId16" name="Check Box 170">
              <controlPr defaultSize="0" autoFill="0" autoLine="0" autoPict="0">
                <anchor moveWithCells="1">
                  <from>
                    <xdr:col>5</xdr:col>
                    <xdr:colOff>28575</xdr:colOff>
                    <xdr:row>18</xdr:row>
                    <xdr:rowOff>19050</xdr:rowOff>
                  </from>
                  <to>
                    <xdr:col>5</xdr:col>
                    <xdr:colOff>285750</xdr:colOff>
                    <xdr:row>19</xdr:row>
                    <xdr:rowOff>0</xdr:rowOff>
                  </to>
                </anchor>
              </controlPr>
            </control>
          </mc:Choice>
        </mc:AlternateContent>
        <mc:AlternateContent xmlns:mc="http://schemas.openxmlformats.org/markup-compatibility/2006">
          <mc:Choice Requires="x14">
            <control shapeId="1886219" r:id="rId17" name="Option Button 11">
              <controlPr defaultSize="0" autoFill="0" autoLine="0" autoPict="0">
                <anchor moveWithCells="1">
                  <from>
                    <xdr:col>2</xdr:col>
                    <xdr:colOff>38100</xdr:colOff>
                    <xdr:row>18</xdr:row>
                    <xdr:rowOff>0</xdr:rowOff>
                  </from>
                  <to>
                    <xdr:col>2</xdr:col>
                    <xdr:colOff>333375</xdr:colOff>
                    <xdr:row>19</xdr:row>
                    <xdr:rowOff>0</xdr:rowOff>
                  </to>
                </anchor>
              </controlPr>
            </control>
          </mc:Choice>
        </mc:AlternateContent>
        <mc:AlternateContent xmlns:mc="http://schemas.openxmlformats.org/markup-compatibility/2006">
          <mc:Choice Requires="x14">
            <control shapeId="1886375" r:id="rId18" name="Check Box 167">
              <controlPr defaultSize="0" autoFill="0" autoLine="0" autoPict="0">
                <anchor moveWithCells="1">
                  <from>
                    <xdr:col>5</xdr:col>
                    <xdr:colOff>28575</xdr:colOff>
                    <xdr:row>15</xdr:row>
                    <xdr:rowOff>19050</xdr:rowOff>
                  </from>
                  <to>
                    <xdr:col>5</xdr:col>
                    <xdr:colOff>285750</xdr:colOff>
                    <xdr:row>16</xdr:row>
                    <xdr:rowOff>0</xdr:rowOff>
                  </to>
                </anchor>
              </controlPr>
            </control>
          </mc:Choice>
        </mc:AlternateContent>
        <mc:AlternateContent xmlns:mc="http://schemas.openxmlformats.org/markup-compatibility/2006">
          <mc:Choice Requires="x14">
            <control shapeId="1886210" r:id="rId19" name="Check Box 2">
              <controlPr defaultSize="0" print="0" autoFill="0" autoLine="0" autoPict="0">
                <anchor moveWithCells="1">
                  <from>
                    <xdr:col>5</xdr:col>
                    <xdr:colOff>495300</xdr:colOff>
                    <xdr:row>30</xdr:row>
                    <xdr:rowOff>19050</xdr:rowOff>
                  </from>
                  <to>
                    <xdr:col>6</xdr:col>
                    <xdr:colOff>1028700</xdr:colOff>
                    <xdr:row>32</xdr:row>
                    <xdr:rowOff>209550</xdr:rowOff>
                  </to>
                </anchor>
              </controlPr>
            </control>
          </mc:Choice>
        </mc:AlternateContent>
        <mc:AlternateContent xmlns:mc="http://schemas.openxmlformats.org/markup-compatibility/2006">
          <mc:Choice Requires="x14">
            <control shapeId="1886215" r:id="rId20" name="Drop Down 7">
              <controlPr defaultSize="0" autoLine="0" autoPict="0">
                <anchor moveWithCells="1">
                  <from>
                    <xdr:col>4</xdr:col>
                    <xdr:colOff>790575</xdr:colOff>
                    <xdr:row>31</xdr:row>
                    <xdr:rowOff>19050</xdr:rowOff>
                  </from>
                  <to>
                    <xdr:col>5</xdr:col>
                    <xdr:colOff>171450</xdr:colOff>
                    <xdr:row>31</xdr:row>
                    <xdr:rowOff>219075</xdr:rowOff>
                  </to>
                </anchor>
              </controlPr>
            </control>
          </mc:Choice>
        </mc:AlternateContent>
        <mc:AlternateContent xmlns:mc="http://schemas.openxmlformats.org/markup-compatibility/2006">
          <mc:Choice Requires="x14">
            <control shapeId="1886379" r:id="rId21" name="Check Box 171">
              <controlPr defaultSize="0" print="0" autoFill="0" autoLine="0" autoPict="0">
                <anchor moveWithCells="1">
                  <from>
                    <xdr:col>2</xdr:col>
                    <xdr:colOff>47625</xdr:colOff>
                    <xdr:row>27</xdr:row>
                    <xdr:rowOff>9525</xdr:rowOff>
                  </from>
                  <to>
                    <xdr:col>3</xdr:col>
                    <xdr:colOff>38100</xdr:colOff>
                    <xdr:row>27</xdr:row>
                    <xdr:rowOff>200025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57" id="{13DFDB7D-B0A6-4710-B73F-8BA4DE9CC008}">
            <xm:f>AND($D$4="",Fallerfassung!$V$3&gt;0)</xm:f>
            <x14:dxf>
              <fill>
                <patternFill>
                  <bgColor theme="4" tint="0.59996337778862885"/>
                </patternFill>
              </fill>
            </x14:dxf>
          </x14:cfRule>
          <xm:sqref>E4</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457CC-14BC-4580-82DD-F6DECDF8AD88}">
  <sheetPr>
    <pageSetUpPr fitToPage="1"/>
  </sheetPr>
  <dimension ref="A1:AL47"/>
  <sheetViews>
    <sheetView showGridLines="0" showZeros="0" zoomScale="85" zoomScaleNormal="85" workbookViewId="0">
      <selection activeCell="J29" sqref="J29:M29"/>
    </sheetView>
  </sheetViews>
  <sheetFormatPr baseColWidth="10" defaultColWidth="0" defaultRowHeight="14.25" zeroHeight="1"/>
  <cols>
    <col min="1" max="1" width="2.5" style="1832" customWidth="1"/>
    <col min="2" max="2" width="31" style="75" customWidth="1"/>
    <col min="3" max="3" width="7.125" style="75" customWidth="1"/>
    <col min="4" max="6" width="8" style="75" customWidth="1"/>
    <col min="7" max="7" width="9.625" style="75" customWidth="1"/>
    <col min="8" max="8" width="11.5" style="75" customWidth="1"/>
    <col min="9" max="9" width="12.125" style="75" customWidth="1"/>
    <col min="10" max="11" width="7.75" style="75" hidden="1" customWidth="1"/>
    <col min="12" max="13" width="8.75" style="75" customWidth="1"/>
    <col min="14" max="14" width="1.25" style="75" customWidth="1"/>
    <col min="15" max="15" width="49.25" style="75" customWidth="1"/>
    <col min="16" max="17" width="13.25" style="75" customWidth="1"/>
    <col min="18" max="18" width="2.625" style="75" customWidth="1"/>
    <col min="19" max="19" width="11" style="75" hidden="1" customWidth="1"/>
    <col min="20" max="20" width="11.25" style="75" hidden="1" customWidth="1"/>
    <col min="21" max="21" width="19.25" style="75" hidden="1" customWidth="1"/>
    <col min="22" max="25" width="15.625" style="75" hidden="1" customWidth="1"/>
    <col min="26" max="26" width="8.25" style="75" hidden="1" customWidth="1"/>
    <col min="27" max="27" width="14.75" style="75" hidden="1" customWidth="1"/>
    <col min="28" max="29" width="11.125" style="75" hidden="1" customWidth="1"/>
    <col min="30" max="30" width="11" style="75" hidden="1" customWidth="1"/>
    <col min="31" max="31" width="12.625" style="75" hidden="1" customWidth="1"/>
    <col min="32" max="33" width="11.75" style="75" hidden="1" customWidth="1"/>
    <col min="34" max="37" width="11" style="75" hidden="1" customWidth="1"/>
    <col min="38" max="38" width="11.625" style="75" hidden="1" customWidth="1"/>
    <col min="39" max="16384" width="11" style="75" hidden="1"/>
  </cols>
  <sheetData>
    <row r="1" spans="1:36" ht="16.149999999999999" customHeight="1" thickBot="1">
      <c r="A1" s="1828"/>
      <c r="B1" s="1011"/>
      <c r="C1" s="1011"/>
      <c r="D1" s="1011"/>
      <c r="E1" s="1011"/>
      <c r="F1" s="1011"/>
      <c r="G1" s="1011"/>
      <c r="H1" s="1011"/>
      <c r="I1" s="1011"/>
      <c r="J1" s="1011"/>
      <c r="K1" s="1011"/>
      <c r="L1" s="1011"/>
      <c r="M1" s="1011"/>
      <c r="N1" s="1011"/>
      <c r="O1" s="1011"/>
      <c r="P1" s="1011"/>
      <c r="Q1" s="1011"/>
      <c r="R1" s="1011"/>
    </row>
    <row r="2" spans="1:36" s="132" customFormat="1" ht="18.75" customHeight="1" thickTop="1">
      <c r="A2" s="1827">
        <v>2</v>
      </c>
      <c r="B2" s="3140" t="s">
        <v>1831</v>
      </c>
      <c r="C2" s="3141"/>
      <c r="D2" s="3141"/>
      <c r="E2" s="3141"/>
      <c r="F2" s="3141"/>
      <c r="G2" s="3141"/>
      <c r="H2" s="3141"/>
      <c r="I2" s="3142"/>
      <c r="J2" s="3130" t="s">
        <v>540</v>
      </c>
      <c r="K2" s="3131"/>
      <c r="L2" s="3131"/>
      <c r="M2" s="3132"/>
      <c r="N2" s="1011"/>
      <c r="O2" s="3104" t="str">
        <f>"D. Versorgungsertrag der ausgleichsberechtigten Person"&amp;CHAR(10)&amp;"bei Begründung der Versorgung in "&amp;IF(ZVAusglBerAlternativ=1,"ges. RV (DRV) ",J28)</f>
        <v xml:space="preserve">D. Versorgungsertrag der ausgleichsberechtigten Person
bei Begründung der Versorgung in ges. RV (DRV) </v>
      </c>
      <c r="P2" s="3105"/>
      <c r="Q2" s="3106"/>
      <c r="R2" s="1602">
        <v>2</v>
      </c>
      <c r="U2" s="132" t="s">
        <v>1783</v>
      </c>
    </row>
    <row r="3" spans="1:36" s="132" customFormat="1" ht="31.5" customHeight="1">
      <c r="A3" s="1602">
        <f>+A2+1</f>
        <v>3</v>
      </c>
      <c r="B3" s="3143"/>
      <c r="C3" s="3144"/>
      <c r="D3" s="3144"/>
      <c r="E3" s="3144"/>
      <c r="F3" s="3144"/>
      <c r="G3" s="3144"/>
      <c r="H3" s="3144"/>
      <c r="I3" s="3145"/>
      <c r="J3" s="3039" t="str">
        <f>IF(J4="d",IF(X6&gt;0,X6,"")&amp;IF(X5&gt;0,"    "&amp;X5,""),"")</f>
        <v/>
      </c>
      <c r="K3" s="3040"/>
      <c r="L3" s="3040"/>
      <c r="M3" s="3041"/>
      <c r="N3" s="1011"/>
      <c r="O3" s="3107"/>
      <c r="P3" s="3108"/>
      <c r="Q3" s="3109"/>
      <c r="R3" s="1602">
        <f>+R2+1</f>
        <v>3</v>
      </c>
    </row>
    <row r="4" spans="1:36" s="132" customFormat="1" ht="16.149999999999999" customHeight="1">
      <c r="A4" s="1602">
        <f t="shared" ref="A4:A44" si="0">+A3+1</f>
        <v>4</v>
      </c>
      <c r="B4" s="3133" t="s">
        <v>1693</v>
      </c>
      <c r="C4" s="2295"/>
      <c r="D4" s="2295"/>
      <c r="E4" s="2295"/>
      <c r="F4" s="2295"/>
      <c r="G4" s="2295"/>
      <c r="H4" s="2295"/>
      <c r="I4" s="2295"/>
      <c r="J4" s="3121" t="s">
        <v>225</v>
      </c>
      <c r="K4" s="3122"/>
      <c r="L4" s="3122"/>
      <c r="M4" s="3134"/>
      <c r="N4" s="1011"/>
      <c r="O4" s="1839" t="s">
        <v>1773</v>
      </c>
      <c r="P4" s="1834" t="s">
        <v>393</v>
      </c>
      <c r="Q4" s="1840"/>
      <c r="R4" s="1602">
        <f t="shared" ref="R4:R44" si="1">+R3+1</f>
        <v>4</v>
      </c>
      <c r="U4" s="132" t="e">
        <f>"{[(1 + "&amp;TEXT(J13,"0,00%")&amp;")^"&amp;TEXT(V36,"0,0")&amp;" - 1] / "&amp;TEXT(J13,"0,00%")&amp;"}"&amp;" x "&amp;TEXT(J7,"0,00")&amp;IF(J12=0,""," x (1 + "&amp;TEXT(J12,"0,00%")&amp;")^"&amp;TEXT(W36,"0,0"))&amp;" x 12  ="</f>
        <v>#VALUE!</v>
      </c>
    </row>
    <row r="5" spans="1:36" s="132" customFormat="1" ht="16.149999999999999" customHeight="1">
      <c r="A5" s="1602">
        <f t="shared" si="0"/>
        <v>5</v>
      </c>
      <c r="B5" s="3135" t="str">
        <f>IF(AND(J5="",I5&gt;0),"Geburtstag der ausglpfl. Person aus 'Fallerfassung' übernommen","Geburtstag der ausgleichspflichtigen Person eingeben:")</f>
        <v>Geburtstag der ausglpfl. Person aus 'Fallerfassung' übernommen</v>
      </c>
      <c r="C5" s="3136"/>
      <c r="D5" s="3136"/>
      <c r="E5" s="3136"/>
      <c r="F5" s="3136"/>
      <c r="G5" s="3136"/>
      <c r="H5" s="3136"/>
      <c r="I5" s="1810" t="str">
        <f>IFERROR(IF(J5&gt;0,J5,CHOOSE(Y10,Dat_GebDat_M,Dat_GebDatF)),"")</f>
        <v/>
      </c>
      <c r="J5" s="3121"/>
      <c r="K5" s="3122"/>
      <c r="L5" s="3122"/>
      <c r="M5" s="3134"/>
      <c r="N5" s="1011"/>
      <c r="O5" s="1839" t="s">
        <v>1742</v>
      </c>
      <c r="P5" s="1835"/>
      <c r="Q5" s="1520" t="str">
        <f>IFERROR(IF(P5&gt;0,P5,CHOOSE(Y11,Dat_GebDat_M,Dat_GebDat_F,"")),"")</f>
        <v/>
      </c>
      <c r="R5" s="1602">
        <f t="shared" si="1"/>
        <v>5</v>
      </c>
      <c r="X5" s="1798" t="str">
        <f>TEXT(Dat_GebDat_F,"TT.MM.JJJJ")&amp;IF(Dat_GebDat_F&lt;&gt;""," "&amp;weiblich&amp;"(w)","")</f>
        <v/>
      </c>
    </row>
    <row r="6" spans="1:36" s="132" customFormat="1" ht="16.149999999999999" customHeight="1">
      <c r="A6" s="1602">
        <f t="shared" si="0"/>
        <v>6</v>
      </c>
      <c r="B6" s="2070" t="s">
        <v>1951</v>
      </c>
      <c r="C6" s="2071"/>
      <c r="D6" s="2071"/>
      <c r="E6" s="2071"/>
      <c r="F6" s="3121"/>
      <c r="G6" s="3122"/>
      <c r="H6" s="3146" t="str">
        <f>IF(F6&gt;0,F6,IF(Dat_EzE&gt;0,Dat_EzE,""))</f>
        <v/>
      </c>
      <c r="I6" s="3147"/>
      <c r="J6" s="2072"/>
      <c r="K6" s="2073"/>
      <c r="L6" s="2074" t="s">
        <v>1762</v>
      </c>
      <c r="M6" s="1903" t="str">
        <f>V6</f>
        <v/>
      </c>
      <c r="N6" s="1011"/>
      <c r="O6" s="3123" t="str">
        <f>IFERROR("Alter im EzE: "&amp;TEXT(IFERROR(IF(H6="","",ROUND(YEARFRAC(Q5,H6,0),2)),""),"0,00")&amp;" und im Abfindungszeitpunkt:","")</f>
        <v>Alter im EzE:  und im Abfindungszeitpunkt:</v>
      </c>
      <c r="P6" s="3124"/>
      <c r="Q6" s="1841" t="str">
        <f>IFERROR(IF(J14="","",ROUND(YEARFRAC(Q5,J14,0),2)),"")</f>
        <v/>
      </c>
      <c r="R6" s="1602">
        <f t="shared" si="1"/>
        <v>6</v>
      </c>
      <c r="U6" s="1938" t="s">
        <v>306</v>
      </c>
      <c r="V6" s="1939" t="str">
        <f>IFERROR(IF(H6="","",ROUND(YEARFRAC(I5,H6,0),2)),"")</f>
        <v/>
      </c>
      <c r="X6" s="1798" t="str">
        <f>TEXT(Dat_GebDat_M,"TT.MM.JJJJ")&amp;IF(Dat_GebDat_M&lt;&gt;""," "&amp;männlich&amp;"(m)","")</f>
        <v/>
      </c>
    </row>
    <row r="7" spans="1:36" s="132" customFormat="1" ht="22.15" customHeight="1" thickBot="1">
      <c r="A7" s="1602">
        <f t="shared" si="0"/>
        <v>7</v>
      </c>
      <c r="B7" s="3125" t="s">
        <v>1757</v>
      </c>
      <c r="C7" s="3126"/>
      <c r="D7" s="3126"/>
      <c r="E7" s="3126"/>
      <c r="F7" s="3126"/>
      <c r="G7" s="3126"/>
      <c r="H7" s="3126"/>
      <c r="I7" s="3126"/>
      <c r="J7" s="3127"/>
      <c r="K7" s="3128"/>
      <c r="L7" s="3128"/>
      <c r="M7" s="3129"/>
      <c r="N7" s="1011"/>
      <c r="O7" s="1842" t="s">
        <v>1723</v>
      </c>
      <c r="P7" s="1836"/>
      <c r="Q7" s="1843" t="str">
        <f>IFERROR(IF(P7=0,L32,P7),"")</f>
        <v/>
      </c>
      <c r="R7" s="1602">
        <f t="shared" si="1"/>
        <v>7</v>
      </c>
      <c r="X7" s="1798"/>
    </row>
    <row r="8" spans="1:36" s="132" customFormat="1" ht="20.100000000000001" customHeight="1">
      <c r="A8" s="1602">
        <f t="shared" si="0"/>
        <v>8</v>
      </c>
      <c r="B8" s="3115" t="s">
        <v>1749</v>
      </c>
      <c r="C8" s="3116"/>
      <c r="D8" s="3116"/>
      <c r="E8" s="3116"/>
      <c r="F8" s="3116"/>
      <c r="G8" s="3116"/>
      <c r="H8" s="3116"/>
      <c r="I8" s="3116"/>
      <c r="J8" s="3116"/>
      <c r="K8" s="3116"/>
      <c r="L8" s="3116"/>
      <c r="M8" s="3117"/>
      <c r="N8" s="1011"/>
      <c r="O8" s="1839" t="s">
        <v>1782</v>
      </c>
      <c r="P8" s="1856"/>
      <c r="Q8" s="1844" t="str">
        <f>IFERROR(IF(P8&gt;0,P8,IF(L28&gt;0,L28,L26)),"")</f>
        <v/>
      </c>
      <c r="R8" s="1602">
        <f t="shared" si="1"/>
        <v>8</v>
      </c>
    </row>
    <row r="9" spans="1:36" s="132" customFormat="1" ht="16.149999999999999" customHeight="1">
      <c r="A9" s="1602">
        <f t="shared" si="0"/>
        <v>9</v>
      </c>
      <c r="B9" s="3069" t="s">
        <v>1753</v>
      </c>
      <c r="C9" s="3055"/>
      <c r="D9" s="3055"/>
      <c r="E9" s="3055"/>
      <c r="F9" s="3055"/>
      <c r="G9" s="3055"/>
      <c r="H9" s="3055"/>
      <c r="I9" s="1817" t="str">
        <f>IFERROR(ROUND(IFERROR(IF(J9="",AbF_ReEintritt,J9),""),2),"")</f>
        <v/>
      </c>
      <c r="J9" s="3137"/>
      <c r="K9" s="3138"/>
      <c r="L9" s="3138"/>
      <c r="M9" s="3139"/>
      <c r="N9" s="1011"/>
      <c r="O9" s="1839" t="s">
        <v>1743</v>
      </c>
      <c r="P9" s="382"/>
      <c r="Q9" s="1845" t="str">
        <f>IFERROR(ROUND(IF(P9&gt;0,P9,V22),2),"")</f>
        <v/>
      </c>
      <c r="R9" s="1602">
        <f t="shared" si="1"/>
        <v>9</v>
      </c>
      <c r="U9" s="69"/>
      <c r="V9" s="69" t="s">
        <v>1736</v>
      </c>
      <c r="W9" s="69" t="s">
        <v>326</v>
      </c>
      <c r="X9" s="69"/>
      <c r="Y9" s="69"/>
      <c r="Z9" s="69" t="s">
        <v>1733</v>
      </c>
    </row>
    <row r="10" spans="1:36" s="132" customFormat="1" ht="16.149999999999999" customHeight="1">
      <c r="A10" s="1602">
        <f t="shared" si="0"/>
        <v>10</v>
      </c>
      <c r="B10" s="3069" t="s">
        <v>1754</v>
      </c>
      <c r="C10" s="3055"/>
      <c r="D10" s="3055"/>
      <c r="E10" s="3055"/>
      <c r="F10" s="3055"/>
      <c r="G10" s="3055"/>
      <c r="H10" s="3055"/>
      <c r="I10" s="3056"/>
      <c r="J10" s="3070"/>
      <c r="K10" s="3071"/>
      <c r="L10" s="3071"/>
      <c r="M10" s="3072"/>
      <c r="N10" s="1011"/>
      <c r="O10" s="3060" t="s">
        <v>265</v>
      </c>
      <c r="P10" s="3061"/>
      <c r="Q10" s="1846" t="str">
        <f>IFERROR(IF(Q9&lt;Q6,0,Q9-Q6),"")</f>
        <v/>
      </c>
      <c r="R10" s="1602">
        <f t="shared" si="1"/>
        <v>10</v>
      </c>
      <c r="U10" s="69" t="s">
        <v>199</v>
      </c>
      <c r="V10" s="638" t="e">
        <f>VLOOKUP(J14,BilMoG10,16)/100</f>
        <v>#N/A</v>
      </c>
      <c r="W10" s="638" t="e">
        <f>VLOOKUP(F6,BilMoG10,16)/100</f>
        <v>#N/A</v>
      </c>
      <c r="X10" s="69" t="s">
        <v>1731</v>
      </c>
      <c r="Y10" s="69">
        <f>IF(J4="m",1,IF(J4="w",2,3))</f>
        <v>1</v>
      </c>
      <c r="Z10" s="69" t="s">
        <v>225</v>
      </c>
    </row>
    <row r="11" spans="1:36" s="132" customFormat="1" ht="16.149999999999999" customHeight="1">
      <c r="A11" s="1602">
        <f t="shared" si="0"/>
        <v>11</v>
      </c>
      <c r="B11" s="3069" t="s">
        <v>1755</v>
      </c>
      <c r="C11" s="3055"/>
      <c r="D11" s="3055"/>
      <c r="E11" s="3055"/>
      <c r="F11" s="3055"/>
      <c r="G11" s="3055"/>
      <c r="H11" s="3055"/>
      <c r="I11" s="3056"/>
      <c r="J11" s="3070"/>
      <c r="K11" s="3071"/>
      <c r="L11" s="3071"/>
      <c r="M11" s="3072"/>
      <c r="N11" s="1011"/>
      <c r="O11" s="3060" t="s">
        <v>264</v>
      </c>
      <c r="P11" s="3061"/>
      <c r="Q11" s="1845" t="str">
        <f>IFERROR(ROUND(VLOOKUP(ROUND(IF(Q6&lt;Q9,Q9,Q6),0),CHOOSE(Y11,Lebenserwartung_M_V2,Lebenserwartung_F_V2,Lebenserwartung_N_V2),YEAR(Q5)+IF(MONTH(Q5)&gt;6,1,0)-1900+2),2),"")</f>
        <v/>
      </c>
      <c r="R11" s="1602">
        <f t="shared" si="1"/>
        <v>11</v>
      </c>
      <c r="U11" s="69" t="s">
        <v>198</v>
      </c>
      <c r="V11" s="638" t="e">
        <f>VLOOKUP(J14,BilmoGZins,16)/100</f>
        <v>#N/A</v>
      </c>
      <c r="W11" s="638" t="e">
        <f>VLOOKUP(F6,BilmoGZins,16)/100</f>
        <v>#N/A</v>
      </c>
      <c r="X11" s="69" t="s">
        <v>1732</v>
      </c>
      <c r="Y11" s="69">
        <f>IF(P4="m",1,IF(P4="w",2,3))</f>
        <v>3</v>
      </c>
      <c r="Z11" s="69" t="s">
        <v>271</v>
      </c>
    </row>
    <row r="12" spans="1:36" s="132" customFormat="1" ht="16.149999999999999" customHeight="1">
      <c r="A12" s="1602">
        <f t="shared" si="0"/>
        <v>12</v>
      </c>
      <c r="B12" s="3054" t="s">
        <v>266</v>
      </c>
      <c r="C12" s="3055"/>
      <c r="D12" s="3055"/>
      <c r="E12" s="3055"/>
      <c r="F12" s="3055"/>
      <c r="G12" s="3055"/>
      <c r="H12" s="3055"/>
      <c r="I12" s="3056"/>
      <c r="J12" s="3057"/>
      <c r="K12" s="3058"/>
      <c r="L12" s="3058"/>
      <c r="M12" s="3059"/>
      <c r="N12" s="1011"/>
      <c r="O12" s="3060" t="s">
        <v>1721</v>
      </c>
      <c r="P12" s="3061"/>
      <c r="Q12" s="1847" t="str">
        <f>IFERROR(-FV(IF(Abf_VollDyn&gt;0,Abf_VollDyn,Abf_AwDyn),Q10,,Q7),"")</f>
        <v/>
      </c>
      <c r="R12" s="1602">
        <f t="shared" si="1"/>
        <v>12</v>
      </c>
      <c r="S12" s="1900"/>
      <c r="U12" s="69"/>
      <c r="V12" s="638"/>
      <c r="W12" s="69"/>
      <c r="X12" s="69"/>
      <c r="Y12" s="69"/>
      <c r="Z12" s="69" t="s">
        <v>393</v>
      </c>
    </row>
    <row r="13" spans="1:36" s="132" customFormat="1" ht="16.149999999999999" customHeight="1" thickBot="1">
      <c r="A13" s="1602">
        <f t="shared" si="0"/>
        <v>13</v>
      </c>
      <c r="B13" s="3062" t="s">
        <v>1756</v>
      </c>
      <c r="C13" s="2903"/>
      <c r="D13" s="2903"/>
      <c r="E13" s="2903"/>
      <c r="F13" s="2903"/>
      <c r="G13" s="2903"/>
      <c r="H13" s="2903"/>
      <c r="I13" s="3063"/>
      <c r="J13" s="3064"/>
      <c r="K13" s="3065"/>
      <c r="L13" s="3065"/>
      <c r="M13" s="3066"/>
      <c r="N13" s="1011"/>
      <c r="O13" s="3067" t="str">
        <f>IFERROR("Barwert der Zielversorgung "&amp;IF(Q13&gt;Q8,TEXT(Q13/Q8-1,"0,00%")&amp;" &gt; ",IF(Q13&lt;Q8,TEXT(ABS(Q13/Q8-1),"0,00%")&amp;" &lt; ",""))&amp;"als Abfindungsbetrag","")</f>
        <v>Barwert der Zielversorgung als Abfindungsbetrag</v>
      </c>
      <c r="P13" s="3068"/>
      <c r="Q13" s="1848" t="str">
        <f>IFERROR(ROUND(AE39,0),"")</f>
        <v/>
      </c>
      <c r="R13" s="1602">
        <f t="shared" si="1"/>
        <v>13</v>
      </c>
      <c r="U13" s="69" t="s">
        <v>1735</v>
      </c>
      <c r="V13" s="1214" t="e">
        <f>+Q8/J30*M30</f>
        <v>#VALUE!</v>
      </c>
      <c r="W13" s="69"/>
      <c r="X13" s="69"/>
      <c r="Y13" s="69"/>
      <c r="Z13" s="69"/>
    </row>
    <row r="14" spans="1:36" s="132" customFormat="1" ht="29.25" customHeight="1" thickTop="1" thickBot="1">
      <c r="A14" s="1602">
        <f t="shared" si="0"/>
        <v>14</v>
      </c>
      <c r="B14" s="3118" t="str">
        <f>"Datum der Abfindungsberechnung eingeben: "&amp;"(Daten bis "&amp;TEXT(Enddatum,"TT.MM.JJJJ")&amp;" verfügbar)"</f>
        <v>Datum der Abfindungsberechnung eingeben: (Daten bis 30.04.2024 verfügbar)</v>
      </c>
      <c r="C14" s="3119"/>
      <c r="D14" s="3119"/>
      <c r="E14" s="3119"/>
      <c r="F14" s="3119"/>
      <c r="G14" s="3119"/>
      <c r="H14" s="3119"/>
      <c r="I14" s="3120"/>
      <c r="J14" s="3112"/>
      <c r="K14" s="3113"/>
      <c r="L14" s="3113"/>
      <c r="M14" s="3114"/>
      <c r="N14" s="1011"/>
      <c r="O14" s="3110" t="str">
        <f>IFERROR("∑ der über "&amp;TEXT(V39,"0,00")&amp;" Jahre erwartbaren Renten der ausglber. Person in Zielversorgung:","")</f>
        <v/>
      </c>
      <c r="P14" s="3111"/>
      <c r="Q14" s="1907" t="str">
        <f>IFERROR(+AF39,"")</f>
        <v/>
      </c>
      <c r="R14" s="1602">
        <f t="shared" si="1"/>
        <v>14</v>
      </c>
      <c r="U14" s="69" t="s">
        <v>1768</v>
      </c>
      <c r="V14" s="638">
        <f>_xlfn.IFNA(_xlfn.IFNA(VLOOKUP(F6,BilMoG10,16)/100,VLOOKUP(F6,BilmoGZins,16)/100),6%)</f>
        <v>0.06</v>
      </c>
      <c r="W14" s="69"/>
      <c r="X14" s="69"/>
      <c r="Y14" s="69"/>
      <c r="Z14" s="69"/>
    </row>
    <row r="15" spans="1:36" s="132" customFormat="1" ht="32.1" customHeight="1" thickTop="1" thickBot="1">
      <c r="A15" s="1602">
        <f t="shared" si="0"/>
        <v>15</v>
      </c>
      <c r="B15" s="3049" t="str">
        <f>IFERROR("ReZins zum Abfindungszeitpunkt ("&amp;TEXT(J14,"TT.MM.JJJJ")&amp;") eingeben:"&amp;CHAR(10)&amp;"BilMoG-10: "&amp;TEXT(V10,"0,00%")&amp;" / BilMoG-7: "&amp;TEXT(V11,"0,00%")&amp;" / "&amp;AA15&amp;"10-Jahres-Inflation: "&amp;TEXT(Z21,"0,00%"),"Geben Sie den zur Berechnung gewünschten Rechnungszins ein:")</f>
        <v>Geben Sie den zur Berechnung gewünschten Rechnungszins ein:</v>
      </c>
      <c r="C15" s="3050"/>
      <c r="D15" s="3050"/>
      <c r="E15" s="3050"/>
      <c r="F15" s="3050"/>
      <c r="G15" s="3050"/>
      <c r="H15" s="3050"/>
      <c r="I15" s="3050"/>
      <c r="J15" s="3051"/>
      <c r="K15" s="3052"/>
      <c r="L15" s="3052"/>
      <c r="M15" s="3053"/>
      <c r="N15" s="1009"/>
      <c r="O15" s="3046" t="s">
        <v>1843</v>
      </c>
      <c r="P15" s="3047"/>
      <c r="Q15" s="3048"/>
      <c r="R15" s="1602">
        <f t="shared" si="1"/>
        <v>15</v>
      </c>
      <c r="U15" s="132" t="s">
        <v>1929</v>
      </c>
      <c r="V15" s="1904" t="str">
        <f>IFERROR(IF(J14="","",ROUND(YEARFRAC(I5,J14,0),2)),"")</f>
        <v/>
      </c>
      <c r="AA15" s="132" t="s">
        <v>837</v>
      </c>
      <c r="AH15" s="1937" t="s">
        <v>1852</v>
      </c>
      <c r="AI15" s="1009"/>
      <c r="AJ15" s="1009"/>
    </row>
    <row r="16" spans="1:36" s="132" customFormat="1" ht="32.1" customHeight="1" thickTop="1">
      <c r="A16" s="1602">
        <f t="shared" si="0"/>
        <v>16</v>
      </c>
      <c r="B16" s="3216" t="str">
        <f>"ehezeitl. Ausgleichswert unter Beachtung der Dynamik errechnet "&amp;CHAR(10)&amp;" Alternative Eingabe:"</f>
        <v>ehezeitl. Ausgleichswert unter Beachtung der Dynamik errechnet 
 Alternative Eingabe:</v>
      </c>
      <c r="C16" s="3217"/>
      <c r="D16" s="3217"/>
      <c r="E16" s="3217"/>
      <c r="F16" s="3217"/>
      <c r="G16" s="3217"/>
      <c r="H16" s="3218"/>
      <c r="I16" s="1951"/>
      <c r="J16" s="3219" t="str">
        <f>IFERROR(IF(I16&gt;0,I16,AA22),"")</f>
        <v/>
      </c>
      <c r="K16" s="3220"/>
      <c r="L16" s="3220"/>
      <c r="M16" s="3221"/>
      <c r="N16" s="1829"/>
      <c r="O16" s="3175" t="s">
        <v>1838</v>
      </c>
      <c r="P16" s="3175"/>
      <c r="Q16" s="3175"/>
      <c r="R16" s="1602">
        <f t="shared" si="1"/>
        <v>16</v>
      </c>
      <c r="T16" s="830"/>
      <c r="U16" s="1826"/>
      <c r="V16" s="1826" t="s">
        <v>1767</v>
      </c>
      <c r="W16" s="1826" t="s">
        <v>1769</v>
      </c>
      <c r="X16" s="1826" t="s">
        <v>62</v>
      </c>
      <c r="Y16" s="1826" t="s">
        <v>21</v>
      </c>
      <c r="Z16" s="830"/>
      <c r="AA16" s="830"/>
      <c r="AB16" s="830"/>
      <c r="AC16" s="830"/>
      <c r="AD16" s="830"/>
      <c r="AE16" s="830"/>
      <c r="AH16" s="3186" t="s">
        <v>1850</v>
      </c>
      <c r="AI16" s="3186"/>
      <c r="AJ16" s="3186"/>
    </row>
    <row r="17" spans="1:36" s="132" customFormat="1" ht="16.149999999999999" customHeight="1">
      <c r="A17" s="1602">
        <f t="shared" si="0"/>
        <v>17</v>
      </c>
      <c r="B17" s="3148" t="s">
        <v>1741</v>
      </c>
      <c r="C17" s="3149"/>
      <c r="D17" s="3150"/>
      <c r="E17" s="3151" t="s">
        <v>1930</v>
      </c>
      <c r="F17" s="3150"/>
      <c r="G17" s="419"/>
      <c r="H17" s="1851" t="s">
        <v>1931</v>
      </c>
      <c r="I17" s="1207"/>
      <c r="J17" s="3204">
        <f>IF(AND(G17&gt;0,I17&gt;0),"entw. E oder %!",IFERROR(IF(I17&gt;0,-J16*I17,-G17),""))</f>
        <v>0</v>
      </c>
      <c r="K17" s="3205"/>
      <c r="L17" s="3205"/>
      <c r="M17" s="3206"/>
      <c r="N17" s="1011"/>
      <c r="O17" s="3176"/>
      <c r="P17" s="3176"/>
      <c r="Q17" s="3176"/>
      <c r="R17" s="1602">
        <f t="shared" si="1"/>
        <v>17</v>
      </c>
      <c r="T17" s="1798">
        <v>45260</v>
      </c>
      <c r="U17" s="69" t="s">
        <v>1766</v>
      </c>
      <c r="V17" s="1214" t="e">
        <f>-FV(V14,YEARFRAC(F6,T17,0),,L26)</f>
        <v>#VALUE!</v>
      </c>
      <c r="W17" s="1940" t="e">
        <f>VLOOKUP(F6,Umrechnungsfaktoren_BeitraginEP,2)</f>
        <v>#N/A</v>
      </c>
      <c r="X17" s="1941" t="e">
        <f>+V17*W17</f>
        <v>#VALUE!</v>
      </c>
      <c r="Y17" s="1214" t="e">
        <f>X17*M30</f>
        <v>#VALUE!</v>
      </c>
      <c r="AH17" s="3186"/>
      <c r="AI17" s="3186"/>
      <c r="AJ17" s="3186"/>
    </row>
    <row r="18" spans="1:36" s="132" customFormat="1" ht="16.149999999999999" customHeight="1">
      <c r="A18" s="1602">
        <f t="shared" si="0"/>
        <v>18</v>
      </c>
      <c r="B18" s="3133" t="str">
        <f>"./. Steuern pauschal in %: "&amp;TEXT(I18,"0,00%")</f>
        <v>./. Steuern pauschal in %: 0,00%</v>
      </c>
      <c r="C18" s="2295"/>
      <c r="D18" s="2295"/>
      <c r="E18" s="2295"/>
      <c r="F18" s="2295"/>
      <c r="G18" s="2295"/>
      <c r="H18" s="2295"/>
      <c r="I18" s="1207"/>
      <c r="J18" s="3204" t="str">
        <f>IFERROR(-J16*I18,"")</f>
        <v/>
      </c>
      <c r="K18" s="3205"/>
      <c r="L18" s="3205"/>
      <c r="M18" s="3206"/>
      <c r="N18" s="1011"/>
      <c r="O18" s="3176"/>
      <c r="P18" s="3176"/>
      <c r="Q18" s="3176"/>
      <c r="R18" s="1602">
        <f t="shared" si="1"/>
        <v>18</v>
      </c>
      <c r="U18" s="69"/>
      <c r="V18" s="69"/>
      <c r="W18" s="69"/>
      <c r="X18" s="69"/>
      <c r="Y18" s="69"/>
      <c r="AA18" s="3197" t="s">
        <v>1710</v>
      </c>
      <c r="AB18" s="3197" t="s">
        <v>1856</v>
      </c>
      <c r="AH18" s="3186"/>
      <c r="AI18" s="3186"/>
      <c r="AJ18" s="3186"/>
    </row>
    <row r="19" spans="1:36" s="132" customFormat="1" ht="16.149999999999999" customHeight="1" thickBot="1">
      <c r="A19" s="1602">
        <f t="shared" si="0"/>
        <v>19</v>
      </c>
      <c r="B19" s="3244" t="s">
        <v>1829</v>
      </c>
      <c r="C19" s="3245"/>
      <c r="D19" s="3245"/>
      <c r="E19" s="3245"/>
      <c r="F19" s="3245"/>
      <c r="G19" s="3245"/>
      <c r="H19" s="3246"/>
      <c r="I19" s="1906"/>
      <c r="J19" s="3193" t="str">
        <f>IFERROR(IF(I19&gt;0,I19,+J16+J18+J17),"")</f>
        <v/>
      </c>
      <c r="K19" s="3194"/>
      <c r="L19" s="3194"/>
      <c r="M19" s="3195"/>
      <c r="N19" s="1011"/>
      <c r="O19" s="3177"/>
      <c r="P19" s="3177"/>
      <c r="Q19" s="3177"/>
      <c r="R19" s="1602">
        <f t="shared" si="1"/>
        <v>19</v>
      </c>
      <c r="U19" s="69"/>
      <c r="V19" s="69" t="s">
        <v>627</v>
      </c>
      <c r="W19" s="69" t="s">
        <v>1730</v>
      </c>
      <c r="X19" s="69" t="s">
        <v>1706</v>
      </c>
      <c r="Y19" s="69" t="s">
        <v>1707</v>
      </c>
      <c r="Z19" s="69" t="s">
        <v>1708</v>
      </c>
      <c r="AA19" s="3230"/>
      <c r="AB19" s="3230"/>
      <c r="AC19" s="69"/>
      <c r="AH19" s="3176" t="s">
        <v>1849</v>
      </c>
      <c r="AI19" s="3176"/>
      <c r="AJ19" s="3176"/>
    </row>
    <row r="20" spans="1:36" s="132" customFormat="1" ht="15.75" customHeight="1" thickTop="1">
      <c r="A20" s="1602">
        <f t="shared" si="0"/>
        <v>20</v>
      </c>
      <c r="B20" s="3238" t="s">
        <v>1830</v>
      </c>
      <c r="C20" s="3239"/>
      <c r="D20" s="3239"/>
      <c r="E20" s="3239"/>
      <c r="F20" s="3239"/>
      <c r="G20" s="3239"/>
      <c r="H20" s="3239"/>
      <c r="I20" s="3240"/>
      <c r="J20" s="3222" t="str">
        <f>"Barwertberechnung zum "&amp;TEXT(J14,"TT.MM.JJJJ")</f>
        <v>Barwertberechnung zum 00.01.1900</v>
      </c>
      <c r="K20" s="3223"/>
      <c r="L20" s="3223"/>
      <c r="M20" s="3224"/>
      <c r="N20" s="1011"/>
      <c r="R20" s="1602">
        <f t="shared" si="1"/>
        <v>20</v>
      </c>
      <c r="U20" s="69"/>
      <c r="V20" s="69"/>
      <c r="W20" s="69"/>
      <c r="X20" s="69"/>
      <c r="Y20" s="69"/>
      <c r="Z20" s="69"/>
      <c r="AA20" s="69"/>
      <c r="AB20" s="69"/>
      <c r="AC20" s="69"/>
      <c r="AH20" s="3176"/>
      <c r="AI20" s="3176"/>
      <c r="AJ20" s="3176"/>
    </row>
    <row r="21" spans="1:36" s="132" customFormat="1" ht="15.75" customHeight="1">
      <c r="A21" s="1602">
        <f t="shared" si="0"/>
        <v>21</v>
      </c>
      <c r="B21" s="3241"/>
      <c r="C21" s="3242"/>
      <c r="D21" s="3242"/>
      <c r="E21" s="3242"/>
      <c r="F21" s="3242"/>
      <c r="G21" s="3242"/>
      <c r="H21" s="3242"/>
      <c r="I21" s="3243"/>
      <c r="J21" s="3225"/>
      <c r="K21" s="3226"/>
      <c r="L21" s="3226"/>
      <c r="M21" s="3227"/>
      <c r="N21" s="1011"/>
      <c r="R21" s="1602">
        <f t="shared" si="1"/>
        <v>21</v>
      </c>
      <c r="U21" s="69" t="s">
        <v>1720</v>
      </c>
      <c r="V21" s="1942" t="e">
        <f>IF(J9="",VLOOKUP(YEAR(I5),Renteneintrittstabelle,2)/12+65,J9)</f>
        <v>#VALUE!</v>
      </c>
      <c r="W21" s="69" t="e">
        <f>VLOOKUP(J14,VPI,2)</f>
        <v>#N/A</v>
      </c>
      <c r="X21" s="806">
        <f>DATE(YEAR(J14)-10,MONTH(J14),DAY(J14))</f>
        <v>690310</v>
      </c>
      <c r="Y21" s="69">
        <f>VLOOKUP(X21,VPI,2)</f>
        <v>125.08</v>
      </c>
      <c r="Z21" s="638" t="e">
        <f>_xlfn.RRI(10,Y21,W21)</f>
        <v>#N/A</v>
      </c>
      <c r="AA21" s="1943" t="e">
        <f>ROUND(IF(V15&lt;I9,0,ABS(I9-V15)),2)</f>
        <v>#VALUE!</v>
      </c>
      <c r="AB21" s="1943">
        <f>ROUND(IF(AND(V15&gt;M6,I9&gt;M6),V15-M6,0),2)</f>
        <v>0</v>
      </c>
      <c r="AC21" s="69"/>
      <c r="AH21" s="3176"/>
      <c r="AI21" s="3176"/>
      <c r="AJ21" s="3176"/>
    </row>
    <row r="22" spans="1:36" s="132" customFormat="1" ht="16.149999999999999" hidden="1" customHeight="1">
      <c r="A22" s="1602">
        <f t="shared" si="0"/>
        <v>22</v>
      </c>
      <c r="B22" s="1905" t="s">
        <v>1700</v>
      </c>
      <c r="C22" s="3061" t="s">
        <v>1770</v>
      </c>
      <c r="D22" s="3061"/>
      <c r="E22" s="1855" t="s">
        <v>1702</v>
      </c>
      <c r="F22" s="1812">
        <v>14</v>
      </c>
      <c r="G22" s="3061" t="s">
        <v>1701</v>
      </c>
      <c r="H22" s="3061"/>
      <c r="I22" s="382" t="s">
        <v>14</v>
      </c>
      <c r="J22" s="3202"/>
      <c r="K22" s="3203"/>
      <c r="L22" s="2016" t="s">
        <v>1716</v>
      </c>
      <c r="M22" s="2017" t="str">
        <f>IFERROR(+V26,"")</f>
        <v/>
      </c>
      <c r="N22" s="1011"/>
      <c r="R22" s="1602">
        <f t="shared" si="1"/>
        <v>22</v>
      </c>
      <c r="U22" s="1176" t="s">
        <v>1719</v>
      </c>
      <c r="V22" s="1944" t="e">
        <f>IF(P9&gt;0,P9,65+VLOOKUP(YEAR(Q5),Renteneintrittstabelle,2)/12)</f>
        <v>#VALUE!</v>
      </c>
      <c r="W22" s="1176"/>
      <c r="X22" s="1945"/>
      <c r="Y22" s="1176"/>
      <c r="Z22" s="1778"/>
      <c r="AA22" s="1176" t="e">
        <f>ROUND(AB22*(1+J13)^Abfindung_L_Zeit,2)</f>
        <v>#VALUE!</v>
      </c>
      <c r="AB22" s="1946">
        <f>ROUND(J7*(1+J12)^Abfindung_A_Zeit,2)</f>
        <v>0</v>
      </c>
      <c r="AC22" s="1176"/>
      <c r="AD22" s="144"/>
      <c r="AE22" s="144"/>
    </row>
    <row r="23" spans="1:36" s="132" customFormat="1" ht="16.149999999999999" hidden="1" customHeight="1">
      <c r="A23" s="1602">
        <f t="shared" si="0"/>
        <v>23</v>
      </c>
      <c r="B23" s="1905" t="s">
        <v>1722</v>
      </c>
      <c r="C23" s="3061" t="s">
        <v>1704</v>
      </c>
      <c r="D23" s="3061"/>
      <c r="E23" s="1855" t="s">
        <v>1702</v>
      </c>
      <c r="F23" s="1812">
        <v>21</v>
      </c>
      <c r="G23" s="3061" t="s">
        <v>1701</v>
      </c>
      <c r="H23" s="3061"/>
      <c r="I23" s="382" t="s">
        <v>15</v>
      </c>
      <c r="J23" s="3202"/>
      <c r="K23" s="3203"/>
      <c r="L23" s="2016" t="s">
        <v>1717</v>
      </c>
      <c r="M23" s="2017" t="str">
        <f>IFERROR(+V28,"")</f>
        <v/>
      </c>
      <c r="N23" s="1612"/>
      <c r="R23" s="1602">
        <f t="shared" si="1"/>
        <v>23</v>
      </c>
      <c r="U23" s="69" t="s">
        <v>1729</v>
      </c>
      <c r="V23" s="1943" t="e">
        <f>65+VLOOKUP(YEAR(I5),Renteneintrittstabelle,2)/12</f>
        <v>#VALUE!</v>
      </c>
      <c r="W23" s="69"/>
      <c r="X23" s="69"/>
      <c r="Y23" s="69"/>
      <c r="Z23" s="69"/>
      <c r="AA23" s="69"/>
      <c r="AB23" s="69"/>
      <c r="AC23" s="69"/>
    </row>
    <row r="24" spans="1:36" s="132" customFormat="1" ht="16.149999999999999" hidden="1" customHeight="1">
      <c r="A24" s="1602">
        <f t="shared" si="0"/>
        <v>24</v>
      </c>
      <c r="B24" s="1905" t="s">
        <v>1700</v>
      </c>
      <c r="C24" s="3061" t="s">
        <v>1705</v>
      </c>
      <c r="D24" s="3061"/>
      <c r="E24" s="1855" t="s">
        <v>1702</v>
      </c>
      <c r="F24" s="1812">
        <v>29</v>
      </c>
      <c r="G24" s="3061" t="s">
        <v>1701</v>
      </c>
      <c r="H24" s="3061"/>
      <c r="I24" s="382" t="s">
        <v>1703</v>
      </c>
      <c r="J24" s="3202"/>
      <c r="K24" s="3203"/>
      <c r="L24" s="2016" t="s">
        <v>1718</v>
      </c>
      <c r="M24" s="2017" t="str">
        <f>IFERROR(+V29,"")</f>
        <v/>
      </c>
      <c r="N24" s="1011"/>
      <c r="R24" s="1602">
        <f t="shared" si="1"/>
        <v>24</v>
      </c>
      <c r="U24" s="3198" t="s">
        <v>1734</v>
      </c>
      <c r="V24" s="3199"/>
      <c r="X24" s="3231" t="s">
        <v>1779</v>
      </c>
      <c r="Y24" s="3231"/>
    </row>
    <row r="25" spans="1:36" s="132" customFormat="1" ht="21.75" customHeight="1" thickBot="1">
      <c r="A25" s="1602">
        <f t="shared" si="0"/>
        <v>25</v>
      </c>
      <c r="B25" s="3178" t="s">
        <v>1695</v>
      </c>
      <c r="C25" s="3179"/>
      <c r="D25" s="3179"/>
      <c r="E25" s="3179"/>
      <c r="F25" s="3179"/>
      <c r="G25" s="3179"/>
      <c r="H25" s="3179"/>
      <c r="I25" s="3179"/>
      <c r="J25" s="3180" t="str">
        <f>IFERROR(ROUND(IF(SUM(J22:K24)=0,"",SUM(J22:K24)),3),"")</f>
        <v/>
      </c>
      <c r="K25" s="3181"/>
      <c r="L25" s="2018" t="s">
        <v>1712</v>
      </c>
      <c r="M25" s="2019">
        <f>IFERROR(ROUND(SUM(M22:M24),3),"")</f>
        <v>0</v>
      </c>
      <c r="N25" s="1011"/>
      <c r="R25" s="1602">
        <f t="shared" si="1"/>
        <v>25</v>
      </c>
      <c r="V25" s="132" t="s">
        <v>1737</v>
      </c>
      <c r="W25" s="144" t="s">
        <v>326</v>
      </c>
      <c r="X25" s="69" t="s">
        <v>175</v>
      </c>
      <c r="Y25" s="69" t="s">
        <v>1780</v>
      </c>
      <c r="Z25" s="144"/>
      <c r="AA25" s="144"/>
      <c r="AB25" s="144"/>
      <c r="AC25" s="144"/>
      <c r="AD25" s="144"/>
      <c r="AE25" s="144"/>
    </row>
    <row r="26" spans="1:36" s="132" customFormat="1" ht="26.1" customHeight="1" thickTop="1" thickBot="1">
      <c r="A26" s="1602">
        <f t="shared" si="0"/>
        <v>26</v>
      </c>
      <c r="B26" s="3235" t="str">
        <f>"Abfindungsbetrag (BW):"&amp;IF(J26&lt;&gt;"","(1)"&amp;TEXT(J19,"#.##0,00")&amp;" x 12 x "&amp;TEXT(J25,"0,000"),"")&amp;"   "&amp;IF(L26&gt;0,"(2) "&amp;TEXT(J19,"#.##0,00")&amp;" x 12 x "&amp;TEXT(M25,"0,000"),"")&amp;": "</f>
        <v xml:space="preserve">Abfindungsbetrag (BW):   (2)  x 12 x 0,000: </v>
      </c>
      <c r="C26" s="3236"/>
      <c r="D26" s="3236"/>
      <c r="E26" s="3236"/>
      <c r="F26" s="3236"/>
      <c r="G26" s="3236"/>
      <c r="H26" s="3236"/>
      <c r="I26" s="3237"/>
      <c r="J26" s="3200" t="str">
        <f>IFERROR(ROUND(+J25*J19*12,0),"")</f>
        <v/>
      </c>
      <c r="K26" s="3201"/>
      <c r="L26" s="3207" t="str">
        <f>IFERROR(ROUND(SUM(V26:V29)*J19*12,0),"")</f>
        <v/>
      </c>
      <c r="M26" s="3208"/>
      <c r="N26" s="1613"/>
      <c r="O26" s="3154" t="s">
        <v>1837</v>
      </c>
      <c r="P26" s="3155"/>
      <c r="Q26" s="3156"/>
      <c r="R26" s="1602">
        <f t="shared" si="1"/>
        <v>26</v>
      </c>
      <c r="U26" s="69" t="s">
        <v>1709</v>
      </c>
      <c r="V26" s="1947" t="e">
        <f>ROUND(Y36/(J19*12)*AD36,3)</f>
        <v>#VALUE!</v>
      </c>
      <c r="W26" s="144"/>
      <c r="X26" s="1176" t="str">
        <f>IF(J28&gt;0,J28,J26)</f>
        <v/>
      </c>
      <c r="Y26" s="1176" t="str">
        <f>IF(L28&gt;0,L28,L26)</f>
        <v/>
      </c>
      <c r="Z26" s="144"/>
      <c r="AA26" s="144"/>
      <c r="AB26" s="3196" t="e">
        <f>-PV(J15-2.6%,V37,L36*12)</f>
        <v>#VALUE!</v>
      </c>
      <c r="AC26" s="3197"/>
      <c r="AD26" s="144"/>
      <c r="AE26" s="144"/>
    </row>
    <row r="27" spans="1:36" s="132" customFormat="1" ht="28.5" customHeight="1" thickTop="1" thickBot="1">
      <c r="A27" s="1602">
        <f t="shared" si="0"/>
        <v>27</v>
      </c>
      <c r="B27" s="3034" t="str">
        <f>IFERROR("∑ erwartbarer Renten in Quellversrg. über "&amp;TEXT(V36,"0,00")&amp;"Jahre:"&amp;U4&amp;" "&amp;TEXT(ROUND(V31,0),"#.##0")&amp;" oder pro Mon.:"&amp;TEXT(S27/V36/12,"#.##0,00 €"),"")</f>
        <v/>
      </c>
      <c r="C27" s="3035"/>
      <c r="D27" s="3035"/>
      <c r="E27" s="3035"/>
      <c r="F27" s="3035"/>
      <c r="G27" s="3035"/>
      <c r="H27" s="3035"/>
      <c r="I27" s="3035"/>
      <c r="J27" s="3035"/>
      <c r="K27" s="3035"/>
      <c r="L27" s="3035"/>
      <c r="M27" s="3036"/>
      <c r="N27" s="1613"/>
      <c r="O27" s="3157"/>
      <c r="P27" s="3158"/>
      <c r="Q27" s="3159"/>
      <c r="R27" s="1602">
        <f t="shared" si="1"/>
        <v>27</v>
      </c>
      <c r="S27" s="3211" t="str">
        <f>IFERROR(ROUND(V31,0),"")</f>
        <v/>
      </c>
      <c r="T27" s="3212"/>
      <c r="U27" s="69"/>
      <c r="V27" s="1947"/>
      <c r="W27" s="144"/>
      <c r="X27" s="144"/>
      <c r="Y27" s="144"/>
      <c r="Z27" s="144"/>
      <c r="AA27" s="144"/>
      <c r="AB27" s="1948"/>
      <c r="AC27" s="144"/>
      <c r="AD27" s="144"/>
      <c r="AE27" s="144"/>
    </row>
    <row r="28" spans="1:36" s="132" customFormat="1" ht="21" customHeight="1" thickTop="1" thickBot="1">
      <c r="A28" s="1602">
        <f t="shared" si="0"/>
        <v>28</v>
      </c>
      <c r="B28" s="3182" t="s">
        <v>1832</v>
      </c>
      <c r="C28" s="3183"/>
      <c r="D28" s="3183"/>
      <c r="E28" s="3044" t="s">
        <v>126</v>
      </c>
      <c r="F28" s="3044"/>
      <c r="G28" s="2905" t="s">
        <v>1851</v>
      </c>
      <c r="H28" s="2905"/>
      <c r="I28" s="3045"/>
      <c r="J28" s="3213"/>
      <c r="K28" s="3214"/>
      <c r="L28" s="3214" t="str">
        <f>+L26</f>
        <v/>
      </c>
      <c r="M28" s="3215"/>
      <c r="N28" s="1011"/>
      <c r="O28" s="3037" t="str">
        <f>"ehezeitl. Barwert der Versorgung im EzE bei Rechnungszins "&amp;TEXT(V14,"0,00%")&amp;":"</f>
        <v>ehezeitl. Barwert der Versorgung im EzE bei Rechnungszins 6,00%:</v>
      </c>
      <c r="P28" s="3038"/>
      <c r="Q28" s="2020" t="str">
        <f>IFERROR(AE43,"")</f>
        <v/>
      </c>
      <c r="R28" s="1602">
        <f t="shared" si="1"/>
        <v>28</v>
      </c>
      <c r="U28" s="69" t="s">
        <v>288</v>
      </c>
      <c r="V28" s="1947" t="e">
        <f>ROUND(V26*Z36,3)</f>
        <v>#VALUE!</v>
      </c>
      <c r="X28" s="132" t="s">
        <v>1775</v>
      </c>
    </row>
    <row r="29" spans="1:36" s="132" customFormat="1" ht="16.149999999999999" customHeight="1">
      <c r="A29" s="1602">
        <f t="shared" si="0"/>
        <v>29</v>
      </c>
      <c r="B29" s="1813" t="s">
        <v>1774</v>
      </c>
      <c r="C29" s="1833"/>
      <c r="D29" s="3234" t="s">
        <v>1744</v>
      </c>
      <c r="E29" s="3234"/>
      <c r="F29" s="3234"/>
      <c r="G29" s="1833"/>
      <c r="H29" s="3234" t="s">
        <v>1748</v>
      </c>
      <c r="I29" s="3234"/>
      <c r="J29" s="3184">
        <v>2.5999999999999999E-2</v>
      </c>
      <c r="K29" s="3184"/>
      <c r="L29" s="3184"/>
      <c r="M29" s="3185"/>
      <c r="N29" s="1011"/>
      <c r="O29" s="3037" t="str">
        <f>"mit "&amp;TEXT(V14,"0,00%")&amp;" aufgezinster ehezeitlicher Barwert zum "&amp;TEXT(J14,"TT.MM.JJJ")&amp;": "</f>
        <v xml:space="preserve">mit 6,00% aufgezinster ehezeitlicher Barwert zum 00.01.1900: </v>
      </c>
      <c r="P29" s="3038"/>
      <c r="Q29" s="2020" t="str">
        <f>IFERROR(ROUND(+AI43/AH43,0),"")</f>
        <v/>
      </c>
      <c r="R29" s="1602">
        <f t="shared" si="1"/>
        <v>29</v>
      </c>
      <c r="U29" s="1535" t="s">
        <v>287</v>
      </c>
      <c r="V29" s="1949" t="e">
        <f>ROUND(V26*AA36,3)</f>
        <v>#VALUE!</v>
      </c>
      <c r="X29" s="1900"/>
      <c r="AC29" s="132">
        <f>20.36*12*500</f>
        <v>122160</v>
      </c>
    </row>
    <row r="30" spans="1:36" s="132" customFormat="1" ht="16.149999999999999" customHeight="1">
      <c r="A30" s="1602">
        <f t="shared" si="0"/>
        <v>30</v>
      </c>
      <c r="B30" s="1823" t="s">
        <v>1745</v>
      </c>
      <c r="C30" s="1814">
        <v>1</v>
      </c>
      <c r="D30" s="3247" t="s">
        <v>1747</v>
      </c>
      <c r="E30" s="3247"/>
      <c r="F30" s="3247"/>
      <c r="G30" s="1815">
        <v>0.55000000000000004</v>
      </c>
      <c r="H30" s="2728" t="s">
        <v>1746</v>
      </c>
      <c r="I30" s="2728"/>
      <c r="J30" s="3248" t="str">
        <f>IFERROR(VLOOKUP(J14,UmrechnungEP_Kap,2),"")</f>
        <v/>
      </c>
      <c r="K30" s="3248"/>
      <c r="L30" s="1824" t="s">
        <v>1771</v>
      </c>
      <c r="M30" s="1825" t="str">
        <f>IFERROR(VLOOKUP(J14,aktRW,2),"")</f>
        <v/>
      </c>
      <c r="N30" s="1011"/>
      <c r="O30" s="3037" t="s">
        <v>1833</v>
      </c>
      <c r="P30" s="3038"/>
      <c r="Q30" s="2021" t="str">
        <f>IFERROR(AH43,"")</f>
        <v/>
      </c>
      <c r="R30" s="1602">
        <f t="shared" si="1"/>
        <v>30</v>
      </c>
      <c r="U30" s="69"/>
      <c r="V30" s="69" t="s">
        <v>1776</v>
      </c>
      <c r="W30" s="69"/>
      <c r="X30" s="69" t="s">
        <v>1777</v>
      </c>
      <c r="Y30" s="69"/>
      <c r="Z30" s="132" t="s">
        <v>1778</v>
      </c>
      <c r="AA30" s="781" t="b">
        <v>0</v>
      </c>
    </row>
    <row r="31" spans="1:36" s="132" customFormat="1" ht="16.149999999999999" customHeight="1">
      <c r="A31" s="1602">
        <f t="shared" si="0"/>
        <v>31</v>
      </c>
      <c r="B31" s="3084" t="str">
        <f>"Versorgungserwerb in DRVin Entgeltpunkten(EP): "&amp;IF(X26&lt;&gt;"","(1) "&amp;TEXT(X26,"#.##0,00 €"),"")&amp;IF(AND(X26&gt;0,Y26&gt;0)," bzw. ","")&amp;IF(Y26&lt;&gt;0,"(2) "&amp;TEXT(Y26,"#.00,00"),"")&amp;" / "&amp;TEXT(J30,"#.##0,00 €")</f>
        <v xml:space="preserve">Versorgungserwerb in DRVin Entgeltpunkten(EP):  bzw. (2)  / </v>
      </c>
      <c r="C31" s="2295"/>
      <c r="D31" s="2295"/>
      <c r="E31" s="2295"/>
      <c r="F31" s="2295"/>
      <c r="G31" s="2295"/>
      <c r="H31" s="2295"/>
      <c r="I31" s="2295"/>
      <c r="J31" s="3030" t="str">
        <f>IFERROR(ROUND(IF(J28&gt;0,J28,J26)/J30,4),"")</f>
        <v/>
      </c>
      <c r="K31" s="3031"/>
      <c r="L31" s="3032" t="str">
        <f>IFERROR(ROUND(IF(L28&gt;0,L28,L26)/J30,4),"")</f>
        <v/>
      </c>
      <c r="M31" s="3033"/>
      <c r="N31" s="1011"/>
      <c r="O31" s="3187" t="s">
        <v>1835</v>
      </c>
      <c r="P31" s="2022" t="s">
        <v>1836</v>
      </c>
      <c r="Q31" s="2023" t="s">
        <v>1834</v>
      </c>
      <c r="R31" s="1602">
        <f t="shared" si="1"/>
        <v>31</v>
      </c>
      <c r="U31" s="69" t="s">
        <v>1760</v>
      </c>
      <c r="V31" s="1214" t="e">
        <f>IF(J13=0,J16*V36*(1+J12)^W36*12,(((1+J13)^V36-1)/J13)*J16*(1+J12)^W36*12)/IF(Abf_HRIR_Ja,(1+Z36+AA36),1)</f>
        <v>#VALUE!</v>
      </c>
      <c r="W31" s="1837" t="e">
        <f>+V32/V31-1</f>
        <v>#VALUE!</v>
      </c>
      <c r="X31" s="1214" t="e">
        <f>+V31</f>
        <v>#VALUE!</v>
      </c>
      <c r="Y31" s="1837" t="e">
        <f>+X32/X31-1</f>
        <v>#VALUE!</v>
      </c>
    </row>
    <row r="32" spans="1:36" s="132" customFormat="1" ht="16.149999999999999" customHeight="1">
      <c r="A32" s="1602">
        <f t="shared" si="0"/>
        <v>32</v>
      </c>
      <c r="B32" s="3172" t="str">
        <f>IF(ZVAusglBerAlternativ=2,"Geben Sie den in der ZV erwartbaren Versorgungserwerb zum "&amp;TEXT(J14,"TT.MM.JJJJ")&amp;" ein:","Rentenerwerb im Berechnungszeitpunkt: "&amp;IF(J31&lt;&gt;"","(1) "&amp;TEXT(J31,"0,0000")&amp;"EP x "&amp;TEXT(M30,"0,00 €"),"")&amp;IF(L31&gt;0," // (2) "&amp;TEXT(L31,"0,0000")&amp;"EP x "&amp;TEXT(M30,"0,00 €"),""))</f>
        <v xml:space="preserve">Rentenerwerb im Berechnungszeitpunkt:  // (2) EP x </v>
      </c>
      <c r="C32" s="3173"/>
      <c r="D32" s="3173"/>
      <c r="E32" s="3173"/>
      <c r="F32" s="3173"/>
      <c r="G32" s="3173"/>
      <c r="H32" s="3174"/>
      <c r="I32" s="1811"/>
      <c r="J32" s="3170" t="str">
        <f>IFERROR(ROUND(IF(I32&gt;0,I32,+M30*J31),2),"")</f>
        <v/>
      </c>
      <c r="K32" s="3171"/>
      <c r="L32" s="3160" t="str">
        <f>IFERROR(ROUND(IF(I32&gt;0,I32,IF(L28&gt;0,L28/J30*M30,M30*L31)),2),"")</f>
        <v/>
      </c>
      <c r="M32" s="3161"/>
      <c r="N32" s="1011"/>
      <c r="O32" s="3188"/>
      <c r="P32" s="2024"/>
      <c r="Q32" s="2025" t="str">
        <f>IFERROR(IF(P32&gt;0,P32,AI43),"")</f>
        <v/>
      </c>
      <c r="R32" s="1602">
        <f t="shared" si="1"/>
        <v>32</v>
      </c>
      <c r="U32" s="69" t="s">
        <v>1772</v>
      </c>
      <c r="V32" s="1214" t="e">
        <f>(((1+IF(Abf_VollDyn&gt;0,Abf_VollDyn,G29))^V37-1)/IF(Abf_VollDyn&gt;0,Abf_VollDyn,G29)*L36*(1+IF(Abf_VollDyn&gt;0,Abf_VollDyn,Abf_AwDyn))^W37*12)/IF(Abf_HRIR_Ja,(1+Z37+AA37),1)</f>
        <v>#VALUE!</v>
      </c>
      <c r="W32" s="1837"/>
      <c r="X32" s="1214" t="e">
        <f>(((1+IF(Abf_VollDyn&gt;0,Abf_VollDyn,G29))^V37-1)/IF(Abf_VollDyn&gt;0,Abf_VollDyn,G29))*J36*(1+IF(Abf_VollDyn&gt;0,Abf_VollDyn,Abf_AwDyn))^W37*12</f>
        <v>#VALUE!</v>
      </c>
      <c r="Y32" s="1837"/>
    </row>
    <row r="33" spans="1:38" s="132" customFormat="1" ht="16.149999999999999" customHeight="1">
      <c r="A33" s="1602">
        <f t="shared" si="0"/>
        <v>33</v>
      </c>
      <c r="B33" s="3084" t="s">
        <v>1781</v>
      </c>
      <c r="C33" s="2295"/>
      <c r="D33" s="2295"/>
      <c r="E33" s="2295"/>
      <c r="F33" s="2295"/>
      <c r="G33" s="2295"/>
      <c r="H33" s="2295"/>
      <c r="I33" s="1816"/>
      <c r="J33" s="3209" t="str">
        <f>IFERROR(ROUND(IF(I33&gt;0,I33,V23),2),"")</f>
        <v/>
      </c>
      <c r="K33" s="3210"/>
      <c r="L33" s="3168" t="str">
        <f>+J33</f>
        <v/>
      </c>
      <c r="M33" s="3169"/>
      <c r="N33" s="1011"/>
      <c r="O33" s="3037" t="str">
        <f>"Versorgungserwerb aus Abfindung: "&amp;TEXT(Q32,"#.##0,00")&amp;" / "&amp;TEXT(J30,"#.##0,0000")&amp;":"</f>
        <v>Versorgungserwerb aus Abfindung:  / :</v>
      </c>
      <c r="P33" s="3038"/>
      <c r="Q33" s="2026" t="str">
        <f>IFERROR(AJ43,"")</f>
        <v/>
      </c>
      <c r="R33" s="1602">
        <f t="shared" si="1"/>
        <v>33</v>
      </c>
      <c r="U33" s="132" t="s">
        <v>1759</v>
      </c>
      <c r="V33" s="781">
        <v>1</v>
      </c>
      <c r="W33" s="1609"/>
      <c r="Z33" s="1798"/>
    </row>
    <row r="34" spans="1:38" s="132" customFormat="1" ht="16.149999999999999" customHeight="1">
      <c r="A34" s="1602">
        <f t="shared" si="0"/>
        <v>34</v>
      </c>
      <c r="B34" s="3084" t="str">
        <f>"./. Kranken- und Pflegeversicherung in %: "&amp;TEXT(I34,"0,00%")</f>
        <v>./. Kranken- und Pflegeversicherung in %: 0,00%</v>
      </c>
      <c r="C34" s="2295"/>
      <c r="D34" s="2295"/>
      <c r="E34" s="2295"/>
      <c r="F34" s="2295"/>
      <c r="G34" s="2295"/>
      <c r="H34" s="2295"/>
      <c r="I34" s="449"/>
      <c r="J34" s="3170" t="str">
        <f>IFERROR(-I34*J32,"")</f>
        <v/>
      </c>
      <c r="K34" s="3171"/>
      <c r="L34" s="3160" t="str">
        <f>IFERROR(-I34*L32,"")</f>
        <v/>
      </c>
      <c r="M34" s="3161"/>
      <c r="N34" s="1011"/>
      <c r="O34" s="3037" t="str">
        <f>"Rentenerwerb aus Abfindung in Zielversorgung: "&amp;TEXT(Q33,"0,0000")&amp;" x "&amp;TEXT(M30,"0,00")&amp;":"</f>
        <v>Rentenerwerb aus Abfindung in Zielversorgung:  x :</v>
      </c>
      <c r="P34" s="3038"/>
      <c r="Q34" s="2027" t="str">
        <f>IFERROR(AK43,"")</f>
        <v/>
      </c>
      <c r="R34" s="1602">
        <f t="shared" si="1"/>
        <v>34</v>
      </c>
    </row>
    <row r="35" spans="1:38" s="132" customFormat="1" ht="16.149999999999999" customHeight="1">
      <c r="A35" s="1602">
        <f t="shared" si="0"/>
        <v>35</v>
      </c>
      <c r="B35" s="3084" t="str">
        <f>"./. Steuern pauschal in %: "&amp;TEXT(I35,"0,00%")</f>
        <v>./. Steuern pauschal in %: 0,00%</v>
      </c>
      <c r="C35" s="2295"/>
      <c r="D35" s="2295"/>
      <c r="E35" s="2295"/>
      <c r="F35" s="2295"/>
      <c r="G35" s="2295"/>
      <c r="H35" s="2295"/>
      <c r="I35" s="1207"/>
      <c r="J35" s="3170" t="str">
        <f>IFERROR(-I35*J32,"")</f>
        <v/>
      </c>
      <c r="K35" s="3171"/>
      <c r="L35" s="3160" t="str">
        <f>IFERROR(-I35*L32,"")</f>
        <v/>
      </c>
      <c r="M35" s="3161"/>
      <c r="N35" s="1011"/>
      <c r="O35" s="3189" t="str">
        <f>"Barwert des Rentenerwerbs in Zielversorgung bei ReZins "&amp;TEXT(J15,"0,00%")&amp;":"</f>
        <v>Barwert des Rentenerwerbs in Zielversorgung bei ReZins 0,00%:</v>
      </c>
      <c r="P35" s="3190"/>
      <c r="Q35" s="2028" t="str">
        <f>IFERROR(L41*Q34/L32,"")</f>
        <v/>
      </c>
      <c r="R35" s="1602">
        <f t="shared" si="1"/>
        <v>35</v>
      </c>
      <c r="U35" s="69"/>
      <c r="V35" s="1176" t="s">
        <v>264</v>
      </c>
      <c r="W35" s="1176" t="s">
        <v>1696</v>
      </c>
      <c r="X35" s="1176" t="s">
        <v>1498</v>
      </c>
      <c r="Y35" s="1176" t="s">
        <v>1818</v>
      </c>
      <c r="Z35" s="1176" t="s">
        <v>288</v>
      </c>
      <c r="AA35" s="1176" t="s">
        <v>287</v>
      </c>
      <c r="AB35" s="1176" t="s">
        <v>1697</v>
      </c>
      <c r="AC35" s="1176" t="s">
        <v>1698</v>
      </c>
      <c r="AD35" s="1176" t="s">
        <v>1384</v>
      </c>
      <c r="AE35" s="1176" t="s">
        <v>1699</v>
      </c>
    </row>
    <row r="36" spans="1:38" s="132" customFormat="1" ht="16.149999999999999" customHeight="1" thickBot="1">
      <c r="A36" s="1602">
        <f t="shared" si="0"/>
        <v>36</v>
      </c>
      <c r="B36" s="3232" t="s">
        <v>1694</v>
      </c>
      <c r="C36" s="3233"/>
      <c r="D36" s="3233"/>
      <c r="E36" s="3233"/>
      <c r="F36" s="3233"/>
      <c r="G36" s="3233"/>
      <c r="H36" s="3233"/>
      <c r="I36" s="3233"/>
      <c r="J36" s="3170" t="str">
        <f>IFERROR(ROUND(+J35+J34+J32,2),"")</f>
        <v/>
      </c>
      <c r="K36" s="3171"/>
      <c r="L36" s="3160" t="str">
        <f>IFERROR(ROUND(L35+L34+L32,2),"")</f>
        <v/>
      </c>
      <c r="M36" s="3161"/>
      <c r="N36" s="1011"/>
      <c r="O36" s="3191" t="str">
        <f>IF(P32&gt;0,"","Zur Erreichung der Barwertgleiche mit der Quellversorgung zu zahlende Abfindung:")</f>
        <v>Zur Erreichung der Barwertgleiche mit der Quellversorgung zu zahlende Abfindung:</v>
      </c>
      <c r="P36" s="3192"/>
      <c r="Q36" s="2029" t="str">
        <f>IFERROR(IF(P32&gt;0,"",Q32*L26/Q35),"")</f>
        <v/>
      </c>
      <c r="R36" s="1602">
        <f t="shared" si="1"/>
        <v>36</v>
      </c>
      <c r="U36" s="69" t="s">
        <v>1738</v>
      </c>
      <c r="V36" s="1943" t="e">
        <f>ROUND(VLOOKUP(ROUND(IF(V15&gt;V21,V15,V21),0),CHOOSE(Y10,Lebenserwartung_M_V2,Lebenserwartung_F_V2,Lebenserwartung_N_V2),YEAR(I5)+IF(MONTH(I5)&gt;6,1,0)-1900+2),2)</f>
        <v>#VALUE!</v>
      </c>
      <c r="W36" s="1943" t="e">
        <f>ROUND(IF(V21&gt;V15,V21-V15,0),2)</f>
        <v>#VALUE!</v>
      </c>
      <c r="X36" s="1943" t="e">
        <f>-PV(J15-J13,V36,J19*(1+J12)^W36*12)</f>
        <v>#VALUE!</v>
      </c>
      <c r="Y36" s="1943" t="e">
        <f>-PV(J15,W36,,X36)</f>
        <v>#VALUE!</v>
      </c>
      <c r="Z36" s="638" t="e">
        <f>ROUND(VLOOKUP(V15,CHOOSE(68-IF(V21&lt;60,60,IF(V21&gt;67,67,V21)),HRIR67,HRIR66,HRIR,HRIR64,HRIR63,HRIR62,HRIR61,HRIR60),CHOOSE(Y10,7,16,25)),4)*J10</f>
        <v>#VALUE!</v>
      </c>
      <c r="AA36" s="1850" t="e">
        <f>ROUND(VLOOKUP(V15,CHOOSE(68-IF(V21&lt;60,60,IF(V21&gt;67,67,V21)),HRIR67,HRIR66,HRIR,HRIR64,HRIR63,HRIR62,HRIR61,HRIR60),CHOOSE(Y10,8,17,26)),4)*J11</f>
        <v>#VALUE!</v>
      </c>
      <c r="AB36" s="1943">
        <f>IFERROR(VLOOKUP(ROUND(V15,0),CHOOSE(Y10,G_Kohorte_M,G_Kohorte_F,G_Kohorte_N),YEAR(I5)+IF(MONTH(I5)&gt;6,1,0)-1900+2),0)</f>
        <v>0</v>
      </c>
      <c r="AC36" s="1943">
        <f>IFERROR(VLOOKUP(ROUND(V21,0),CHOOSE(Y10,G_Kohorte_M,G_Kohorte_F,G_Kohorte_N),YEAR(I5)+IF(MONTH(I5)&gt;6,1,0)-1900+2),0)</f>
        <v>0</v>
      </c>
      <c r="AD36" s="1849" t="e">
        <f>ROUND(IF(+AC36/AB36&gt;1,1,+AC36/AB36),3)</f>
        <v>#DIV/0!</v>
      </c>
      <c r="AE36" s="1943" t="e">
        <f>ROUND(+Y36*(1+AA36+Z36)*AD36,0)</f>
        <v>#VALUE!</v>
      </c>
    </row>
    <row r="37" spans="1:38" s="132" customFormat="1" ht="16.149999999999999" customHeight="1" thickTop="1">
      <c r="A37" s="1602">
        <f t="shared" si="0"/>
        <v>37</v>
      </c>
      <c r="B37" s="3084" t="s">
        <v>1714</v>
      </c>
      <c r="C37" s="2295"/>
      <c r="D37" s="2295"/>
      <c r="E37" s="2295"/>
      <c r="F37" s="2295"/>
      <c r="G37" s="2295"/>
      <c r="H37" s="2295"/>
      <c r="I37" s="2295"/>
      <c r="J37" s="3082"/>
      <c r="K37" s="3083"/>
      <c r="L37" s="3162" t="str">
        <f>IFERROR(IF(ABS(V46)&gt;10%,"Abweichung d. Ertrags in der DRV &gt;10%. Anpassung des AusglW möglich (BvL 5/18)",IF(AND(ABS(V46)&gt;5%,ABS(V46)&lt;=10%),"Abweichung d. Rentenertrags in DRV kritisch!","")),"")</f>
        <v/>
      </c>
      <c r="M37" s="3163"/>
      <c r="N37" s="1011"/>
      <c r="O37" s="3228" t="str">
        <f>IFERROR(Summenzeichen&amp;" der erwartbaren  Rentenzahlungen über "&amp;TEXT(V37,"0,00")&amp;" Jahre: ","")</f>
        <v/>
      </c>
      <c r="P37" s="3229"/>
      <c r="Q37" s="2030" t="str">
        <f>IFERROR(ROUND((((1+IF(Abf_VollDyn&gt;0,Abf_VollDyn,G29))^V37-1)/IF(Abf_VollDyn&gt;0,Abf_VollDyn,G29))*Q34*(1+IF(Abf_VollDyn&gt;0,Abf_VollDyn,Abf_AwDyn))^W37*12/IF(Abf_HRIR_Ja,(1+Z37+AA37),1),0),"")</f>
        <v/>
      </c>
      <c r="R37" s="1602">
        <f t="shared" si="1"/>
        <v>37</v>
      </c>
      <c r="U37" s="69" t="s">
        <v>1728</v>
      </c>
      <c r="V37" s="1943" t="e">
        <f>VLOOKUP(IF(J33&gt;V15,J33,V15),CHOOSE(Y10,Lebenserwartung_M_V2,Lebenserwartung_F_V2,Lebenserwartung_N_V2),YEAR(I5)+IF(MONTH(I5)&gt;6,1,0)-1900+2)</f>
        <v>#VALUE!</v>
      </c>
      <c r="W37" s="1943">
        <f>ROUND(IF(J33&gt;V15,J33-V15,0),2)</f>
        <v>0</v>
      </c>
      <c r="X37" s="1943" t="e">
        <f>+-PV(J15-IF(J29&gt;0,J29,G29),V37,L36*(1+IF(J29&gt;0,J29,C29))^W37*12)</f>
        <v>#VALUE!</v>
      </c>
      <c r="Y37" s="1943" t="e">
        <f>-PV(J15,W37,,X37)</f>
        <v>#VALUE!</v>
      </c>
      <c r="Z37" s="638" t="e">
        <f>ROUND(VLOOKUP(V15,CHOOSE(IF(68-L33&lt;1,1,68-IF(L33&lt;60,60,L33)),HRIR67,HRIR66,HRIR,HRIR64,HRIR63,HRIR62,HRIR61,HRIR60),CHOOSE(Y10,7,16,25))*C30,4)</f>
        <v>#VALUE!</v>
      </c>
      <c r="AA37" s="1850">
        <f>IFERROR(ROUND(VLOOKUP(V15,CHOOSE(IF(68-V21&lt;1,1,68-L33),HRIR67,HRIR66,HRIR,HRIR64,HRIR63,HRIR62,HRIR61,HRIR60),CHOOSE(Y10,8,17,26)),4)*G30,0)</f>
        <v>0</v>
      </c>
      <c r="AB37" s="1943">
        <f>+AB36</f>
        <v>0</v>
      </c>
      <c r="AC37" s="1943">
        <f>IFERROR(VLOOKUP(ROUND(V23,0),CHOOSE(Y10,G_Kohorte_M,G_Kohorte_F,G_Kohorte_N),YEAR(I5)+IF(MONTH(I5)&gt;6,1,0)-1900+2),0)</f>
        <v>0</v>
      </c>
      <c r="AD37" s="1947" t="e">
        <f>ROUND(IF(+AC37/AB37&gt;1,1,+AC37/AB37),3)</f>
        <v>#DIV/0!</v>
      </c>
      <c r="AE37" s="1943" t="e">
        <f>ROUND(Y37*(1+AA37+Z37)*AD37,0)</f>
        <v>#VALUE!</v>
      </c>
      <c r="AF37" s="1901"/>
      <c r="AH37" s="132" t="e">
        <f>20383*1.06^AF43</f>
        <v>#VALUE!</v>
      </c>
    </row>
    <row r="38" spans="1:38" s="132" customFormat="1" ht="16.149999999999999" customHeight="1" thickBot="1">
      <c r="A38" s="1602">
        <f t="shared" si="0"/>
        <v>38</v>
      </c>
      <c r="B38" s="3084" t="s">
        <v>1713</v>
      </c>
      <c r="C38" s="2295"/>
      <c r="D38" s="2295"/>
      <c r="E38" s="2295"/>
      <c r="F38" s="2295"/>
      <c r="G38" s="2295"/>
      <c r="H38" s="2295"/>
      <c r="I38" s="2295"/>
      <c r="J38" s="3082"/>
      <c r="K38" s="3083"/>
      <c r="L38" s="3164"/>
      <c r="M38" s="3165"/>
      <c r="N38" s="1011"/>
      <c r="O38" s="3152" t="s">
        <v>1844</v>
      </c>
      <c r="P38" s="3153"/>
      <c r="Q38" s="2031" t="str">
        <f>+L44</f>
        <v/>
      </c>
      <c r="R38" s="1602">
        <f t="shared" si="1"/>
        <v>38</v>
      </c>
      <c r="U38" s="1214" t="s">
        <v>1758</v>
      </c>
      <c r="V38" s="1943"/>
      <c r="W38" s="1943" t="e">
        <f>-FV(J15-IF(J29&gt;0,J29,Abf_AwDyn),W37,,-PMT(J15-IF(J29&gt;0,J29,G29),V37,L26)/12)/AD37/(1+Z37+AA37)</f>
        <v>#VALUE!</v>
      </c>
      <c r="X38" s="1943" t="e">
        <f>+-PV(J15-IF(Abf_VollDyn&gt;0,Abf_VollDyn,G29),V37,L36*(1+IF(Abf_VollDyn&gt;0,Abf_VollDyn,C29))^W37*12)</f>
        <v>#VALUE!</v>
      </c>
      <c r="Y38" s="1943" t="e">
        <f>-PV(J15,W37,,X38)</f>
        <v>#VALUE!</v>
      </c>
      <c r="Z38" s="638" t="e">
        <f>+Z37</f>
        <v>#VALUE!</v>
      </c>
      <c r="AA38" s="1850">
        <f>+AA37</f>
        <v>0</v>
      </c>
      <c r="AB38" s="1943"/>
      <c r="AC38" s="1943"/>
      <c r="AD38" s="1947" t="e">
        <f>+AD37</f>
        <v>#DIV/0!</v>
      </c>
      <c r="AE38" s="1943" t="e">
        <f>ROUND(+Y38*(1+AA38+Z38)*AD38,0)</f>
        <v>#VALUE!</v>
      </c>
      <c r="AH38" s="132" t="e">
        <f>+AH37*AH43</f>
        <v>#VALUE!</v>
      </c>
    </row>
    <row r="39" spans="1:38" s="132" customFormat="1" ht="16.149999999999999" customHeight="1" thickTop="1">
      <c r="A39" s="1602">
        <f t="shared" si="0"/>
        <v>39</v>
      </c>
      <c r="B39" s="3084" t="s">
        <v>1715</v>
      </c>
      <c r="C39" s="2295"/>
      <c r="D39" s="2295"/>
      <c r="E39" s="2295"/>
      <c r="F39" s="2295"/>
      <c r="G39" s="2295"/>
      <c r="H39" s="2295"/>
      <c r="I39" s="2295"/>
      <c r="J39" s="3082"/>
      <c r="K39" s="3083"/>
      <c r="L39" s="3166"/>
      <c r="M39" s="3167"/>
      <c r="N39" s="1011"/>
      <c r="O39" s="1009"/>
      <c r="P39" s="1009"/>
      <c r="Q39" s="1009"/>
      <c r="R39" s="1602">
        <f t="shared" si="1"/>
        <v>39</v>
      </c>
      <c r="U39" s="1214" t="s">
        <v>1727</v>
      </c>
      <c r="V39" s="1943" t="e">
        <f>ROUND(VLOOKUP(ROUND(IF(Q6&gt;V22,Q6,V22),0),CHOOSE(Y11,Lebenserwartung_M_V2,Lebenserwartung_F_V2,Lebenserwartung_N_V2),YEAR(Q5)+IF(MONTH(Q5)&gt;6,1,0)-1900+2),2)</f>
        <v>#VALUE!</v>
      </c>
      <c r="W39" s="1943" t="e">
        <f>ROUND(IF(V22&gt;Q6,V22-Q6,0),2)</f>
        <v>#VALUE!</v>
      </c>
      <c r="X39" s="1943" t="e">
        <f>-PV(J15-IF(Abf_VollDyn=0,G29,Abf_VollDyn),Q11,Q12*12,)</f>
        <v>#VALUE!</v>
      </c>
      <c r="Y39" s="1943" t="e">
        <f>-PV(J15,W39,,X39)</f>
        <v>#VALUE!</v>
      </c>
      <c r="Z39" s="638" t="e">
        <f>ROUND(VLOOKUP(Q6,CHOOSE(IF(68-V22&lt;1,1,IF(68-V22&gt;8,8,68-V22)),HRIR67,HRIR66,HRIR,HRIR64,HRIR63,HRIR62,HRIR61,HRIR60),CHOOSE(Y11,7,16,25))*C30,4)</f>
        <v>#VALUE!</v>
      </c>
      <c r="AA39" s="1850" t="e">
        <f>ROUND(VLOOKUP(Q6,CHOOSE(IF(68-V22&lt;1,1,IF(68-V22&gt;8,8,68-V22)),HRIR67,HRIR66,HRIR,HRIR64,HRIR63,HRIR62,HRIR61,HRIR60),CHOOSE(Y11,8,17,26))*G30,4)</f>
        <v>#VALUE!</v>
      </c>
      <c r="AB39" s="1943">
        <f>IFERROR(VLOOKUP(ROUND(Q6,0),CHOOSE(Y11,G_Kohorte_M,G_Kohorte_F,G_Kohorte_N),YEAR(Q5)+IF(MONTH(Q5)&gt;6,1,0)-1900+2),0)</f>
        <v>0</v>
      </c>
      <c r="AC39" s="1943">
        <f>IFERROR(VLOOKUP(ROUND(V22,0),CHOOSE(Y11,G_Kohorte_M,G_Kohorte_F,G_Kohorte_N),YEAR(Q5)+IF(MONTH(Q5)&gt;6,1,0)-1900+2),0)</f>
        <v>0</v>
      </c>
      <c r="AD39" s="1943" t="e">
        <f>ROUND(IF(+AC39/AB39&gt;1,1,+AC39/AB39),3)</f>
        <v>#DIV/0!</v>
      </c>
      <c r="AE39" s="1943" t="e">
        <f>ROUND(Y39*(1+AA39+Z39)*AD39,0)</f>
        <v>#VALUE!</v>
      </c>
      <c r="AF39" s="1900" t="e">
        <f>(((1+IF(Abf_VollDyn&gt;0,Abf_VollDyn,G29))^V39-1)/IF(Abf_VollDyn&gt;0,Abf_VollDyn,G29))*Q7*(1+IF(Abf_VollDyn&gt;0,Abf_VollDyn,Abf_AwDyn))^W39*12</f>
        <v>#VALUE!</v>
      </c>
    </row>
    <row r="40" spans="1:38" s="132" customFormat="1" ht="16.149999999999999" customHeight="1" thickBot="1">
      <c r="A40" s="1602">
        <f t="shared" si="0"/>
        <v>40</v>
      </c>
      <c r="B40" s="3085" t="str">
        <f>+B25&amp;" bei Rechnungszins "&amp;TEXT(J15,"0,00%")</f>
        <v>∑ Barwertfaktoren bei Rechnungszins 0,00%</v>
      </c>
      <c r="C40" s="3086"/>
      <c r="D40" s="3086"/>
      <c r="E40" s="3086"/>
      <c r="F40" s="3086"/>
      <c r="G40" s="3086"/>
      <c r="H40" s="3086"/>
      <c r="I40" s="3086"/>
      <c r="J40" s="3087">
        <f>ROUND(IF(+J39+J37+J38&gt;0,+J39+J37+J38,0),3)</f>
        <v>0</v>
      </c>
      <c r="K40" s="3088"/>
      <c r="L40" s="3074" t="str">
        <f>IFERROR(ROUND(L41/(L32*12),3),"")</f>
        <v/>
      </c>
      <c r="M40" s="3075"/>
      <c r="N40" s="1652"/>
      <c r="O40" s="1009"/>
      <c r="P40" s="1009"/>
      <c r="Q40" s="1009"/>
      <c r="R40" s="1602">
        <f t="shared" si="1"/>
        <v>40</v>
      </c>
    </row>
    <row r="41" spans="1:38" s="132" customFormat="1" ht="36" customHeight="1" thickTop="1" thickBot="1">
      <c r="A41" s="1602">
        <f t="shared" si="0"/>
        <v>41</v>
      </c>
      <c r="B41" s="3076" t="str">
        <f>"Versorgungsertrag (Barwert): "&amp;IF(J40&gt;0,"(1) "&amp;TEXT(J36,"#.##0,00")&amp;" x 12 x "&amp;TEXT(J40,"0,000")&amp;" ("&amp;U47&amp;")"&amp;CHAR(10),"")&amp;IF(L41&lt;&gt;"","(2) "&amp;TEXT(L36,"#.##0,00")&amp;" x 12 x "&amp;TEXT(L40,"0,000")&amp;" ("&amp;V47&amp;")","")</f>
        <v xml:space="preserve">Versorgungsertrag (Barwert): </v>
      </c>
      <c r="C41" s="3077"/>
      <c r="D41" s="3077"/>
      <c r="E41" s="3077"/>
      <c r="F41" s="3077"/>
      <c r="G41" s="3077"/>
      <c r="H41" s="3077"/>
      <c r="I41" s="3077"/>
      <c r="J41" s="3078" t="str">
        <f>IFERROR(+J40*J36*12,"")</f>
        <v/>
      </c>
      <c r="K41" s="3079"/>
      <c r="L41" s="3080" t="str">
        <f>IFERROR(ROUND(IF(ZVAusglBerAlternativ=1,AE37,AE38),0),"")</f>
        <v/>
      </c>
      <c r="M41" s="3081"/>
      <c r="N41" s="1784"/>
      <c r="O41" s="1009"/>
      <c r="P41" s="1009"/>
      <c r="Q41" s="1009"/>
      <c r="R41" s="1827">
        <f t="shared" si="1"/>
        <v>41</v>
      </c>
      <c r="U41" s="143"/>
      <c r="V41" s="143"/>
      <c r="W41" s="143" t="s">
        <v>1819</v>
      </c>
      <c r="X41" s="143" t="s">
        <v>1498</v>
      </c>
      <c r="Y41" s="143" t="s">
        <v>1820</v>
      </c>
      <c r="Z41" s="143" t="s">
        <v>288</v>
      </c>
      <c r="AA41" s="143" t="s">
        <v>287</v>
      </c>
      <c r="AB41" s="143" t="s">
        <v>1821</v>
      </c>
      <c r="AC41" s="143" t="s">
        <v>1823</v>
      </c>
      <c r="AD41" s="143" t="s">
        <v>1824</v>
      </c>
      <c r="AE41" s="143" t="s">
        <v>1820</v>
      </c>
      <c r="AF41" s="143" t="s">
        <v>1822</v>
      </c>
      <c r="AG41" s="143" t="s">
        <v>1826</v>
      </c>
      <c r="AH41" s="143" t="s">
        <v>1824</v>
      </c>
      <c r="AI41" s="143" t="s">
        <v>1825</v>
      </c>
      <c r="AJ41" s="144" t="s">
        <v>1827</v>
      </c>
      <c r="AK41" s="144" t="s">
        <v>1828</v>
      </c>
      <c r="AL41" s="144"/>
    </row>
    <row r="42" spans="1:38" s="132" customFormat="1" ht="25.5" customHeight="1" thickTop="1" thickBot="1">
      <c r="A42" s="1602">
        <f t="shared" si="0"/>
        <v>42</v>
      </c>
      <c r="B42" s="3092" t="str">
        <f>IF(J41&lt;J26,"Aufstockung","Reduktion")&amp;" des Abfindungsbetrags (1) zur Erreichung von Barwertgleiche  erwägen (Zeile 28): "&amp;TEXT(J26,"#.##0")&amp;" x "&amp;TEXT(J26,"#.##0")&amp;" / "&amp;TEXT(J41,"#.##0")&amp;IF(L28&gt;0,"",CHAR(10)&amp;"bzw. "&amp;IF(L41&lt;L26,"Aufstockung","Reduktion")&amp;" des Abfindungsbetrag (2) zur Erreichung von Barwertgleiche erwägen (Zeile 28): "&amp;TEXT(L26,"#.##0")&amp;" x "&amp;TEXT(L26,"#.##0")&amp;" / "&amp;TEXT(L41,"#.##0"))</f>
        <v xml:space="preserve">Reduktion des Abfindungsbetrags (1) zur Erreichung von Barwertgleiche  erwägen (Zeile 28):  x  / </v>
      </c>
      <c r="C42" s="3093"/>
      <c r="D42" s="3093"/>
      <c r="E42" s="3093"/>
      <c r="F42" s="3093"/>
      <c r="G42" s="3093"/>
      <c r="H42" s="3093"/>
      <c r="I42" s="3093"/>
      <c r="J42" s="3089" t="str">
        <f>IFERROR(IF(J28&gt;0,"",IF(X26&gt;0,+X26*X26/J41,"")),"Eingaben prüfen!")</f>
        <v>Eingaben prüfen!</v>
      </c>
      <c r="K42" s="3089"/>
      <c r="L42" s="3090" t="str">
        <f>IFERROR(IF(Y26&gt;0,Y26*Y26/L41,""),"Eingaben Prüfen")</f>
        <v>Eingaben Prüfen</v>
      </c>
      <c r="M42" s="3091"/>
      <c r="N42" s="1784"/>
      <c r="O42" s="1009"/>
      <c r="P42" s="1009"/>
      <c r="Q42" s="1009"/>
      <c r="R42" s="1827">
        <f t="shared" si="1"/>
        <v>42</v>
      </c>
      <c r="U42" s="143"/>
      <c r="V42" s="143"/>
      <c r="W42" s="143"/>
      <c r="X42" s="143"/>
      <c r="Y42" s="143"/>
      <c r="Z42" s="143"/>
      <c r="AA42" s="143"/>
      <c r="AB42" s="143"/>
      <c r="AC42" s="143"/>
      <c r="AD42" s="143"/>
      <c r="AE42" s="143"/>
      <c r="AF42" s="143"/>
      <c r="AG42" s="143"/>
      <c r="AH42" s="143"/>
      <c r="AI42" s="143"/>
      <c r="AJ42" s="144"/>
      <c r="AK42" s="144"/>
      <c r="AL42" s="144"/>
    </row>
    <row r="43" spans="1:38" s="132" customFormat="1" ht="16.149999999999999" customHeight="1" thickTop="1">
      <c r="A43" s="1602">
        <f t="shared" si="0"/>
        <v>43</v>
      </c>
      <c r="B43" s="3099" t="str">
        <f>IFERROR("∑ der über "&amp;TEXT(V37,"0,00")&amp;" Jahre erwartbaren Rentenbezüge der ausglpfl. Person in Zielversorgung (siehe Z. 27): ","")</f>
        <v/>
      </c>
      <c r="C43" s="3100"/>
      <c r="D43" s="3100"/>
      <c r="E43" s="3100"/>
      <c r="F43" s="3100"/>
      <c r="G43" s="3100"/>
      <c r="H43" s="3100"/>
      <c r="I43" s="3100"/>
      <c r="J43" s="3101" t="str">
        <f>IFERROR(X32,"")</f>
        <v/>
      </c>
      <c r="K43" s="3101"/>
      <c r="L43" s="3102" t="str">
        <f>IFERROR(ROUND(V32,0),"")</f>
        <v/>
      </c>
      <c r="M43" s="3103"/>
      <c r="N43" s="1011"/>
      <c r="O43" s="1908"/>
      <c r="P43" s="1908"/>
      <c r="Q43" s="1908"/>
      <c r="R43" s="1827">
        <f t="shared" si="1"/>
        <v>43</v>
      </c>
      <c r="U43" s="144" t="str">
        <f>"Aufzinsungsmethode: EzE ReZins: "&amp;TEXT(V14,"0,00%")</f>
        <v>Aufzinsungsmethode: EzE ReZins: 6,00%</v>
      </c>
      <c r="V43" s="1801" t="e">
        <f>ROUND(VLOOKUP(ROUND(IF(M6&gt;I9,M6,I9),0),CHOOSE(Y10,Lebenserwartung_M_V2,Lebenserwartung_F_V2,Lebenserwartung_N_V2),YEAR(I5)+IF(MONTH(I5)&gt;6,1,0)-1900+2),2)</f>
        <v>#VALUE!</v>
      </c>
      <c r="W43" s="132">
        <f>ROUND(IF(I9&gt;M6,I9-M6,0),2)</f>
        <v>0</v>
      </c>
      <c r="X43" s="1900" t="e">
        <f>-PV(V14-J13,V43,J7*12)</f>
        <v>#VALUE!</v>
      </c>
      <c r="Y43" s="1900" t="e">
        <f>-PV(V14-J12,W43,,X43)</f>
        <v>#VALUE!</v>
      </c>
      <c r="Z43" s="638" t="e">
        <f>ROUND(VLOOKUP(M6,CHOOSE(68-IF(V21&lt;60,60,IF(V21&gt;67,67,V21)),HRIR67,HRIR66,HRIR,HRIR64,HRIR63,HRIR62,HRIR61,HRIR60),CHOOSE(Y10,7,16,25)),4)*J10</f>
        <v>#VALUE!</v>
      </c>
      <c r="AA43" s="1501" t="e">
        <f>ROUND(VLOOKUP(M6,CHOOSE(68-IF(V21&lt;60,60,IF(V21&gt;67,67,V21)),HRIR67,HRIR66,HRIR,HRIR64,HRIR63,HRIR62,HRIR61,HRIR60),CHOOSE(Y10,8,17,26)),4)*J11</f>
        <v>#VALUE!</v>
      </c>
      <c r="AB43" s="1801">
        <f>IFERROR(VLOOKUP(ROUND(M6,0),CHOOSE(Y10,G_Kohorte_M,G_Kohorte_F,G_Kohorte_N),YEAR(I5)+IF(MONTH(I5)&gt;6,1,0)-1900+2),0)</f>
        <v>0</v>
      </c>
      <c r="AC43" s="1801">
        <f>+AC36</f>
        <v>0</v>
      </c>
      <c r="AD43" s="1849">
        <v>1</v>
      </c>
      <c r="AE43" s="1909" t="e">
        <f>ROUND(+Y43*(1+AA43+Z43)*AD43,0)</f>
        <v>#VALUE!</v>
      </c>
      <c r="AF43" s="1801" t="e">
        <f>IF(V15-M6&lt;0,0,V15-M6)</f>
        <v>#VALUE!</v>
      </c>
      <c r="AG43" s="1801">
        <f>+AB36</f>
        <v>0</v>
      </c>
      <c r="AH43" s="1901" t="e">
        <f>ROUND(AG43/AB43,3)</f>
        <v>#DIV/0!</v>
      </c>
      <c r="AI43" s="1900" t="e">
        <f>IF(P32&gt;0,P32,AE43*(1+V14)^AF43*AH43)</f>
        <v>#VALUE!</v>
      </c>
      <c r="AJ43" s="1902" t="e">
        <f>+AI43/J30</f>
        <v>#VALUE!</v>
      </c>
      <c r="AK43" s="1900" t="e">
        <f>+AJ43*M30</f>
        <v>#VALUE!</v>
      </c>
      <c r="AL43" s="1900"/>
    </row>
    <row r="44" spans="1:38" s="132" customFormat="1" ht="16.149999999999999" customHeight="1" thickBot="1">
      <c r="A44" s="1602">
        <f t="shared" si="0"/>
        <v>44</v>
      </c>
      <c r="B44" s="3094" t="s">
        <v>1841</v>
      </c>
      <c r="C44" s="3095"/>
      <c r="D44" s="3095"/>
      <c r="E44" s="3095"/>
      <c r="F44" s="3095"/>
      <c r="G44" s="3095"/>
      <c r="H44" s="3095"/>
      <c r="I44" s="3095"/>
      <c r="J44" s="3096" t="str">
        <f>IFERROR(IF(J28&gt;0,"",J26*S27/J43),"")</f>
        <v/>
      </c>
      <c r="K44" s="3098"/>
      <c r="L44" s="3096" t="str">
        <f>IFERROR(+L26*S27/L43,"")</f>
        <v/>
      </c>
      <c r="M44" s="3097"/>
      <c r="N44" s="1011"/>
      <c r="O44" s="3043" t="s">
        <v>1842</v>
      </c>
      <c r="P44" s="3043"/>
      <c r="Q44" s="3043"/>
      <c r="R44" s="1827">
        <f t="shared" si="1"/>
        <v>44</v>
      </c>
      <c r="U44" s="144"/>
      <c r="V44" s="1801"/>
      <c r="X44" s="1900"/>
      <c r="Y44" s="1900"/>
      <c r="Z44" s="1501"/>
      <c r="AA44" s="1501"/>
      <c r="AB44" s="1801"/>
      <c r="AC44" s="1801"/>
      <c r="AD44" s="1912"/>
      <c r="AE44" s="1913"/>
      <c r="AF44" s="1801"/>
      <c r="AG44" s="1801"/>
      <c r="AH44" s="1901"/>
      <c r="AI44" s="1900"/>
      <c r="AJ44" s="1902"/>
      <c r="AK44" s="1900"/>
      <c r="AL44" s="1900"/>
    </row>
    <row r="45" spans="1:38" s="132" customFormat="1" ht="15.75" thickTop="1">
      <c r="A45" s="1827"/>
      <c r="B45" s="3042" t="s">
        <v>1725</v>
      </c>
      <c r="C45" s="3042"/>
      <c r="D45" s="3042"/>
      <c r="E45" s="3042"/>
      <c r="F45" s="3042"/>
      <c r="G45" s="3042"/>
      <c r="H45" s="3042"/>
      <c r="I45" s="3042"/>
      <c r="J45" s="3042"/>
      <c r="K45" s="3042"/>
      <c r="L45" s="3042"/>
      <c r="M45" s="3042"/>
      <c r="N45" s="3042"/>
      <c r="O45" s="3042"/>
      <c r="P45" s="3042"/>
      <c r="Q45" s="3042"/>
      <c r="R45" s="1827"/>
      <c r="AD45" s="132" t="e">
        <f>ROUND(IF(+AC43/AB43&gt;1,1,+AC43/AB43),3)</f>
        <v>#DIV/0!</v>
      </c>
    </row>
    <row r="46" spans="1:38" ht="15">
      <c r="A46" s="1827"/>
      <c r="B46" s="3073" t="s">
        <v>1726</v>
      </c>
      <c r="C46" s="3073"/>
      <c r="D46" s="3073"/>
      <c r="E46" s="3073"/>
      <c r="F46" s="3073"/>
      <c r="G46" s="3073"/>
      <c r="H46" s="3073"/>
      <c r="I46" s="3073"/>
      <c r="J46" s="3073"/>
      <c r="K46" s="3073"/>
      <c r="L46" s="3073"/>
      <c r="M46" s="3073"/>
      <c r="N46" s="1830"/>
      <c r="O46" s="1831" t="s">
        <v>1724</v>
      </c>
      <c r="P46" s="1830"/>
      <c r="Q46" s="1830"/>
      <c r="R46" s="1011"/>
      <c r="T46" s="75">
        <v>525</v>
      </c>
      <c r="U46" s="577" t="str">
        <f>IFERROR(ROUND(J41/J26-1,2),"")</f>
        <v/>
      </c>
      <c r="V46" s="1802" t="str">
        <f>IFERROR(ABS(ROUND(+L41/L26-1,2)),"")</f>
        <v/>
      </c>
    </row>
    <row r="47" spans="1:38">
      <c r="A47" s="1827"/>
      <c r="B47" s="1785"/>
      <c r="C47" s="1785"/>
      <c r="D47" s="1785"/>
      <c r="E47" s="1785"/>
      <c r="F47" s="1785"/>
      <c r="G47" s="1785"/>
      <c r="H47" s="1785"/>
      <c r="I47" s="1785"/>
      <c r="J47" s="1785"/>
      <c r="K47" s="1785"/>
      <c r="L47" s="1785"/>
      <c r="M47" s="1785"/>
      <c r="N47" s="1785"/>
      <c r="O47" s="1785"/>
      <c r="P47" s="1785"/>
      <c r="Q47" s="1785"/>
      <c r="R47" s="1011"/>
      <c r="U47" s="1801" t="str">
        <f>+IF(J41&lt;J26,"-","+")&amp;TEXT(U46,"0%")</f>
        <v>+</v>
      </c>
      <c r="V47" s="1801" t="str">
        <f>+IF(L41&lt;L26,"-","+")&amp;TEXT(V46,"0%")</f>
        <v>+</v>
      </c>
    </row>
  </sheetData>
  <sheetProtection algorithmName="SHA-512" hashValue="f6B1+nRZdBJgyTdKz49ZYORL+h/d3ybnxglOe7WcHPhzX7BXikQJ91SNA3cJFaKImim6K/BQS/67oiu9jgzDGQ==" saltValue="khbo8GGqK8yoPcG9UWhkXg==" spinCount="100000" sheet="1" objects="1" scenarios="1" selectLockedCells="1"/>
  <mergeCells count="134">
    <mergeCell ref="J20:M21"/>
    <mergeCell ref="O37:P37"/>
    <mergeCell ref="AA18:AA19"/>
    <mergeCell ref="AB18:AB19"/>
    <mergeCell ref="X24:Y24"/>
    <mergeCell ref="B36:I36"/>
    <mergeCell ref="J36:K36"/>
    <mergeCell ref="D29:F29"/>
    <mergeCell ref="H29:I29"/>
    <mergeCell ref="O30:P30"/>
    <mergeCell ref="C22:D22"/>
    <mergeCell ref="G22:H22"/>
    <mergeCell ref="C23:D23"/>
    <mergeCell ref="G23:H23"/>
    <mergeCell ref="B26:I26"/>
    <mergeCell ref="C24:D24"/>
    <mergeCell ref="G24:H24"/>
    <mergeCell ref="B20:I21"/>
    <mergeCell ref="B19:H19"/>
    <mergeCell ref="B18:H18"/>
    <mergeCell ref="B33:H33"/>
    <mergeCell ref="D30:F30"/>
    <mergeCell ref="H30:I30"/>
    <mergeCell ref="J30:K30"/>
    <mergeCell ref="B31:I31"/>
    <mergeCell ref="AH16:AJ18"/>
    <mergeCell ref="AH19:AJ21"/>
    <mergeCell ref="O31:O32"/>
    <mergeCell ref="O33:P33"/>
    <mergeCell ref="O34:P34"/>
    <mergeCell ref="O35:P35"/>
    <mergeCell ref="O36:P36"/>
    <mergeCell ref="J19:M19"/>
    <mergeCell ref="AB26:AC26"/>
    <mergeCell ref="U24:V24"/>
    <mergeCell ref="J26:K26"/>
    <mergeCell ref="J22:K22"/>
    <mergeCell ref="J23:K23"/>
    <mergeCell ref="J24:K24"/>
    <mergeCell ref="J18:M18"/>
    <mergeCell ref="J17:M17"/>
    <mergeCell ref="L26:M26"/>
    <mergeCell ref="J33:K33"/>
    <mergeCell ref="S27:T27"/>
    <mergeCell ref="J28:K28"/>
    <mergeCell ref="L28:M28"/>
    <mergeCell ref="B16:H16"/>
    <mergeCell ref="J16:M16"/>
    <mergeCell ref="B17:D17"/>
    <mergeCell ref="E17:F17"/>
    <mergeCell ref="O38:P38"/>
    <mergeCell ref="O26:Q27"/>
    <mergeCell ref="L36:M36"/>
    <mergeCell ref="B37:I37"/>
    <mergeCell ref="J37:K37"/>
    <mergeCell ref="L37:M39"/>
    <mergeCell ref="B38:I38"/>
    <mergeCell ref="L33:M33"/>
    <mergeCell ref="B34:H34"/>
    <mergeCell ref="J34:K34"/>
    <mergeCell ref="B32:H32"/>
    <mergeCell ref="J32:K32"/>
    <mergeCell ref="L32:M32"/>
    <mergeCell ref="L34:M34"/>
    <mergeCell ref="B35:H35"/>
    <mergeCell ref="J35:K35"/>
    <mergeCell ref="L35:M35"/>
    <mergeCell ref="O16:Q19"/>
    <mergeCell ref="B25:I25"/>
    <mergeCell ref="J25:K25"/>
    <mergeCell ref="B28:D28"/>
    <mergeCell ref="J29:M29"/>
    <mergeCell ref="O11:P11"/>
    <mergeCell ref="O2:Q3"/>
    <mergeCell ref="O14:P14"/>
    <mergeCell ref="J14:M14"/>
    <mergeCell ref="B8:M8"/>
    <mergeCell ref="B14:I14"/>
    <mergeCell ref="F6:G6"/>
    <mergeCell ref="O6:P6"/>
    <mergeCell ref="B7:I7"/>
    <mergeCell ref="J7:M7"/>
    <mergeCell ref="J2:M2"/>
    <mergeCell ref="B4:I4"/>
    <mergeCell ref="J4:M4"/>
    <mergeCell ref="B5:H5"/>
    <mergeCell ref="J5:M5"/>
    <mergeCell ref="B9:H9"/>
    <mergeCell ref="J9:M9"/>
    <mergeCell ref="B2:I3"/>
    <mergeCell ref="H6:I6"/>
    <mergeCell ref="B46:M46"/>
    <mergeCell ref="L40:M40"/>
    <mergeCell ref="B41:I41"/>
    <mergeCell ref="J41:K41"/>
    <mergeCell ref="L41:M41"/>
    <mergeCell ref="J38:K38"/>
    <mergeCell ref="B39:I39"/>
    <mergeCell ref="J39:K39"/>
    <mergeCell ref="B40:I40"/>
    <mergeCell ref="J40:K40"/>
    <mergeCell ref="J42:K42"/>
    <mergeCell ref="L42:M42"/>
    <mergeCell ref="B42:I42"/>
    <mergeCell ref="B44:I44"/>
    <mergeCell ref="L44:M44"/>
    <mergeCell ref="J44:K44"/>
    <mergeCell ref="B43:I43"/>
    <mergeCell ref="J43:K43"/>
    <mergeCell ref="L43:M43"/>
    <mergeCell ref="J31:K31"/>
    <mergeCell ref="L31:M31"/>
    <mergeCell ref="B27:M27"/>
    <mergeCell ref="O28:P28"/>
    <mergeCell ref="O29:P29"/>
    <mergeCell ref="J3:M3"/>
    <mergeCell ref="B45:Q45"/>
    <mergeCell ref="O44:Q44"/>
    <mergeCell ref="E28:F28"/>
    <mergeCell ref="G28:I28"/>
    <mergeCell ref="O15:Q15"/>
    <mergeCell ref="B15:I15"/>
    <mergeCell ref="J15:M15"/>
    <mergeCell ref="B12:I12"/>
    <mergeCell ref="J12:M12"/>
    <mergeCell ref="O12:P12"/>
    <mergeCell ref="B13:I13"/>
    <mergeCell ref="J13:M13"/>
    <mergeCell ref="O13:P13"/>
    <mergeCell ref="B10:I10"/>
    <mergeCell ref="J10:M10"/>
    <mergeCell ref="O10:P10"/>
    <mergeCell ref="B11:I11"/>
    <mergeCell ref="J11:M11"/>
  </mergeCells>
  <conditionalFormatting sqref="C29">
    <cfRule type="expression" dxfId="211" priority="33">
      <formula>J29&gt;0</formula>
    </cfRule>
  </conditionalFormatting>
  <conditionalFormatting sqref="F6:G6">
    <cfRule type="expression" dxfId="210" priority="1">
      <formula>H6=""</formula>
    </cfRule>
  </conditionalFormatting>
  <conditionalFormatting sqref="G29">
    <cfRule type="expression" dxfId="209" priority="34">
      <formula>J29&gt;0</formula>
    </cfRule>
  </conditionalFormatting>
  <conditionalFormatting sqref="H30:M30 B31:M31">
    <cfRule type="expression" dxfId="208" priority="43">
      <formula>$V$33=2</formula>
    </cfRule>
  </conditionalFormatting>
  <conditionalFormatting sqref="I5">
    <cfRule type="expression" dxfId="207" priority="26">
      <formula>J4="d"</formula>
    </cfRule>
    <cfRule type="expression" dxfId="206" priority="40">
      <formula>J4="w"</formula>
    </cfRule>
    <cfRule type="expression" dxfId="205" priority="41">
      <formula>J4="m"</formula>
    </cfRule>
  </conditionalFormatting>
  <conditionalFormatting sqref="J5">
    <cfRule type="expression" dxfId="204" priority="39">
      <formula>I5=""</formula>
    </cfRule>
  </conditionalFormatting>
  <conditionalFormatting sqref="J7">
    <cfRule type="expression" dxfId="203" priority="36">
      <formula>J7=""</formula>
    </cfRule>
  </conditionalFormatting>
  <conditionalFormatting sqref="J14:J15">
    <cfRule type="expression" dxfId="202" priority="37">
      <formula>J14=""</formula>
    </cfRule>
  </conditionalFormatting>
  <conditionalFormatting sqref="J41:K41">
    <cfRule type="iconSet" priority="31">
      <iconSet iconSet="3Arrows">
        <cfvo type="percent" val="0"/>
        <cfvo type="formula" val="$J$26*0.9"/>
        <cfvo type="formula" val="$J$26*1.05"/>
      </iconSet>
    </cfRule>
  </conditionalFormatting>
  <conditionalFormatting sqref="J43:K43">
    <cfRule type="iconSet" priority="2381">
      <iconSet iconSet="3Arrows">
        <cfvo type="percent" val="0"/>
        <cfvo type="formula" val="$S$27*0.9"/>
        <cfvo type="formula" val="$S$27"/>
      </iconSet>
    </cfRule>
  </conditionalFormatting>
  <conditionalFormatting sqref="J4:M4">
    <cfRule type="expression" dxfId="201" priority="23">
      <formula>$J$4:$M$4="d"</formula>
    </cfRule>
    <cfRule type="expression" dxfId="200" priority="24">
      <formula>$J$4:$M$4="w"</formula>
    </cfRule>
    <cfRule type="expression" dxfId="199" priority="25">
      <formula>$J$4:$M$4="m"</formula>
    </cfRule>
    <cfRule type="expression" dxfId="198" priority="35">
      <formula>J4=""</formula>
    </cfRule>
  </conditionalFormatting>
  <conditionalFormatting sqref="J29:M29">
    <cfRule type="expression" dxfId="197" priority="22">
      <formula>AND(ZVAusglBerAlternativ=1,J29="")</formula>
    </cfRule>
    <cfRule type="expression" dxfId="196" priority="42">
      <formula>AND(C29+G29&gt;0,J29=0)</formula>
    </cfRule>
  </conditionalFormatting>
  <conditionalFormatting sqref="J41:M41">
    <cfRule type="expression" priority="27" stopIfTrue="1">
      <formula>J41=0</formula>
    </cfRule>
  </conditionalFormatting>
  <conditionalFormatting sqref="L42">
    <cfRule type="iconSet" priority="29">
      <iconSet iconSet="3Arrows">
        <cfvo type="percent" val="0"/>
        <cfvo type="formula" val="$L$26*0.9"/>
        <cfvo type="formula" val="$L$26"/>
      </iconSet>
    </cfRule>
  </conditionalFormatting>
  <conditionalFormatting sqref="L43:M43">
    <cfRule type="iconSet" priority="2379">
      <iconSet iconSet="3Arrows">
        <cfvo type="percent" val="0"/>
        <cfvo type="formula" val="$S$27*0.9"/>
        <cfvo type="formula" val="$S$27"/>
      </iconSet>
    </cfRule>
    <cfRule type="iconSet" priority="2380">
      <iconSet iconSet="3Arrows">
        <cfvo type="percent" val="0"/>
        <cfvo type="formula" val="$S$27*0.9"/>
        <cfvo type="formula" val="&quot;$J$27&quot;"/>
      </iconSet>
    </cfRule>
  </conditionalFormatting>
  <conditionalFormatting sqref="N9:N13">
    <cfRule type="iconSet" priority="21">
      <iconSet iconSet="3Symbols2">
        <cfvo type="percent" val="0"/>
        <cfvo type="percent" val="33"/>
        <cfvo type="percent" val="67"/>
      </iconSet>
    </cfRule>
  </conditionalFormatting>
  <conditionalFormatting sqref="P4">
    <cfRule type="expression" dxfId="195" priority="9">
      <formula>P4="d"</formula>
    </cfRule>
    <cfRule type="expression" dxfId="194" priority="10">
      <formula>P4="M"</formula>
    </cfRule>
    <cfRule type="expression" dxfId="193" priority="11">
      <formula>P4="w"</formula>
    </cfRule>
  </conditionalFormatting>
  <conditionalFormatting sqref="P7">
    <cfRule type="expression" dxfId="192" priority="14">
      <formula>AND(P7&gt;0,P8&gt;0)</formula>
    </cfRule>
    <cfRule type="expression" dxfId="191" priority="15">
      <formula>P8&gt;0</formula>
    </cfRule>
  </conditionalFormatting>
  <conditionalFormatting sqref="P8">
    <cfRule type="expression" dxfId="190" priority="16">
      <formula>AND(P8&gt;0,P7&gt;0)</formula>
    </cfRule>
    <cfRule type="expression" dxfId="189" priority="17">
      <formula>P7&gt;0</formula>
    </cfRule>
  </conditionalFormatting>
  <conditionalFormatting sqref="Q5">
    <cfRule type="expression" dxfId="188" priority="12">
      <formula>P4="d"</formula>
    </cfRule>
    <cfRule type="expression" dxfId="187" priority="18">
      <formula>P4="w"</formula>
    </cfRule>
    <cfRule type="expression" dxfId="186" priority="19">
      <formula>P4="m"</formula>
    </cfRule>
  </conditionalFormatting>
  <conditionalFormatting sqref="Q13">
    <cfRule type="iconSet" priority="20">
      <iconSet iconSet="3Arrows">
        <cfvo type="percent" val="0"/>
        <cfvo type="formula" val="$L$26*0.9"/>
        <cfvo type="formula" val="$L$26*1.1"/>
      </iconSet>
    </cfRule>
  </conditionalFormatting>
  <conditionalFormatting sqref="Q37">
    <cfRule type="iconSet" priority="2382">
      <iconSet iconSet="3Arrows">
        <cfvo type="percent" val="0"/>
        <cfvo type="formula" val="$S$27*0.9"/>
        <cfvo type="formula" val="$S$27*1.1"/>
      </iconSet>
    </cfRule>
  </conditionalFormatting>
  <dataValidations count="20">
    <dataValidation type="list" allowBlank="1" showInputMessage="1" showErrorMessage="1" sqref="J4 P4" xr:uid="{FF7D9E57-CFDF-4439-A8AB-928E8D5DD551}">
      <formula1>$Z$10:$Z$12</formula1>
    </dataValidation>
    <dataValidation type="decimal" allowBlank="1" showInputMessage="1" showErrorMessage="1" errorTitle="Eingabebegrenzung" error="Es sind nur Eingaben zwischen 0% und 50% erlaubt!" sqref="I17:I18" xr:uid="{8702C5AA-6410-4669-AC74-FC425D74416C}">
      <formula1>0</formula1>
      <formula2>0.5</formula2>
    </dataValidation>
    <dataValidation type="decimal" allowBlank="1" showInputMessage="1" showErrorMessage="1" errorTitle="Eingabebeschränkung" error="Es sind nur Eingaben zwischen 0 und 10.000 € erlaubt!" sqref="I16" xr:uid="{434905FA-A7FE-4072-A382-E85508D8C2B2}">
      <formula1>0</formula1>
      <formula2>10000</formula2>
    </dataValidation>
    <dataValidation type="decimal" allowBlank="1" showInputMessage="1" showErrorMessage="1" errorTitle="Eingabebeschränkung" error="Es sind nur Eingaben zwischen 0 und 100% zulässig!" sqref="J10:M11" xr:uid="{0BA000D3-DDBF-4F4E-8ED1-6F62F09F5BF8}">
      <formula1>0</formula1>
      <formula2>1</formula2>
    </dataValidation>
    <dataValidation type="decimal" allowBlank="1" showInputMessage="1" showErrorMessage="1" errorTitle="Eingabebeschränkung" error="Es sind nur Eingaben zwischen 0% und 5% zulässig!" sqref="J12:M13" xr:uid="{236AF5BC-B7E9-4377-AF8F-EC6D8197C283}">
      <formula1>0</formula1>
      <formula2>0.05</formula2>
    </dataValidation>
    <dataValidation type="decimal" allowBlank="1" showInputMessage="1" showErrorMessage="1" errorTitle="Eingabebeschränkung" error="Es sind nur Eingaben zwischen 0 und 30 zulässig!" sqref="J22:K22 J24:K24" xr:uid="{887C9E75-87DA-47AB-A1E1-822B42432AB9}">
      <formula1>0</formula1>
      <formula2>30</formula2>
    </dataValidation>
    <dataValidation type="decimal" operator="greaterThanOrEqual" allowBlank="1" showInputMessage="1" showErrorMessage="1" errorTitle="Eingabebeschränkung" error="Es sind nur positive Werte &gt;0 zulässig!" sqref="J28:M28" xr:uid="{F571B600-5C3E-4470-8157-DC6D12A91435}">
      <formula1>0</formula1>
    </dataValidation>
    <dataValidation type="decimal" allowBlank="1" showInputMessage="1" showErrorMessage="1" errorTitle="Eingabebeschränkung" error="Es sind nur Eingaben zwischen -2% und +5% zulässig" sqref="J29:M29" xr:uid="{774E780D-6BCF-4886-B1F8-3614CEC3B614}">
      <formula1>-0.02</formula1>
      <formula2>0.05</formula2>
    </dataValidation>
    <dataValidation type="decimal" operator="greaterThanOrEqual" allowBlank="1" showInputMessage="1" showErrorMessage="1" errorTitle="Eingabebeschränkung" error="Es sind nur positive Werte zulässig!" sqref="I32" xr:uid="{D67E9ED2-E455-4414-B547-43E3D80DFB53}">
      <formula1>0</formula1>
    </dataValidation>
    <dataValidation type="decimal" operator="greaterThan" allowBlank="1" showInputMessage="1" showErrorMessage="1" sqref="I33" xr:uid="{4B953C7A-4274-44EF-A463-CB6BBE5E6FF3}">
      <formula1>0</formula1>
    </dataValidation>
    <dataValidation type="decimal" allowBlank="1" showInputMessage="1" showErrorMessage="1" errorTitle="Eingabebeschränkung" error="Es sind nur Werte zwischen 0% und 50% erlaubt!" sqref="I35" xr:uid="{18E4F15C-B6F3-48F4-87C5-03ACDDE5E1D5}">
      <formula1>0</formula1>
      <formula2>0.5</formula2>
    </dataValidation>
    <dataValidation type="decimal" allowBlank="1" showInputMessage="1" showErrorMessage="1" errorTitle="Eongabebeschränkung" error="Es sind nur Werte zwischen 0 und 30 erlaubt!" sqref="J39:K39 J37:K37" xr:uid="{47CCCD48-23B9-4679-AE08-260E30149479}">
      <formula1>0</formula1>
      <formula2>30</formula2>
    </dataValidation>
    <dataValidation type="decimal" operator="greaterThanOrEqual" allowBlank="1" showInputMessage="1" showErrorMessage="1" errorTitle="Eingabebeschränkung" error="Es sind nur positive Werte erlaubt!" sqref="P7" xr:uid="{D06B392E-6294-4513-B1A8-1BB38215DE1F}">
      <formula1>0</formula1>
    </dataValidation>
    <dataValidation type="decimal" allowBlank="1" showInputMessage="1" showErrorMessage="1" errorTitle="Eingabebeschränkung" error="Es sind nur positive Werte zwischen 0 und 2 Millionen € erlaubt" sqref="P32" xr:uid="{184873A1-7656-4933-A62F-1136242F4ED0}">
      <formula1>0</formula1>
      <formula2>2000000</formula2>
    </dataValidation>
    <dataValidation type="decimal" allowBlank="1" showInputMessage="1" showErrorMessage="1" errorTitle="Eingabebeschränkung" error="Es sind nur Eingaben zwischen -30 und +30 zulässig!" sqref="J23:K23" xr:uid="{DB14D00A-9F90-471B-9F90-D7844ED158B4}">
      <formula1>-30</formula1>
      <formula2>30</formula2>
    </dataValidation>
    <dataValidation type="decimal" allowBlank="1" showInputMessage="1" showErrorMessage="1" errorTitle="Eongabebeschränkung" error="Es sind nur Werte zwischen -30 und +30 erlaubt!" sqref="J38:K38" xr:uid="{DE85E8D5-1EC6-4079-8D9C-C166CBD153A7}">
      <formula1>-30</formula1>
      <formula2>30</formula2>
    </dataValidation>
    <dataValidation type="decimal" allowBlank="1" showInputMessage="1" showErrorMessage="1" errorTitle="Eingabebeschränkung" error="Es sind nur Eingaben zwischen 0 und 2 Millinen erlaubt!" sqref="P8" xr:uid="{31997D1E-82C2-447C-884B-B44C0E90319B}">
      <formula1>0</formula1>
      <formula2>2000000</formula2>
    </dataValidation>
    <dataValidation type="decimal" allowBlank="1" showInputMessage="1" showErrorMessage="1" errorTitle="Eingabebeschränkung" error="Nur Eingaben zwischen 0 und 70 zulässig!" sqref="P9" xr:uid="{915C05BE-85AE-4D1D-AE6F-6822FBEB2AC7}">
      <formula1>0</formula1>
      <formula2>70</formula2>
    </dataValidation>
    <dataValidation type="decimal" allowBlank="1" showInputMessage="1" showErrorMessage="1" errorTitle="Eingabebeschränkung" error="Nur Eingaben zwischen 0 und 70 zulässig" sqref="J9:M9" xr:uid="{98D7079F-5B20-4D82-81F1-8B9C5F168617}">
      <formula1>0</formula1>
      <formula2>70</formula2>
    </dataValidation>
    <dataValidation type="date" allowBlank="1" showInputMessage="1" showErrorMessage="1" errorTitle="Eingabebeschränkung" error="Es sind nur Eingaben bis 31.12.2030 zuöässig!" sqref="J14" xr:uid="{9BBF7A75-6EB7-4CF7-BE18-47A7732A2A52}">
      <formula1>H6</formula1>
      <formula2>47848</formula2>
    </dataValidation>
  </dataValidations>
  <hyperlinks>
    <hyperlink ref="O46" r:id="rId1" xr:uid="{956AE4FC-B73B-49AE-8905-5EC16BA7CC90}"/>
  </hyperlinks>
  <printOptions horizontalCentered="1"/>
  <pageMargins left="0.11811023622047245" right="0.11811023622047245" top="0.59055118110236227" bottom="0.59055118110236227" header="0.31496062992125984" footer="0.31496062992125984"/>
  <pageSetup paperSize="9" scale="75" orientation="portrait" r:id="rId2"/>
  <drawing r:id="rId3"/>
  <extLst>
    <ext xmlns:x14="http://schemas.microsoft.com/office/spreadsheetml/2009/9/main" uri="{78C0D931-6437-407d-A8EE-F0AAD7539E65}">
      <x14:conditionalFormattings>
        <x14:conditionalFormatting xmlns:xm="http://schemas.microsoft.com/office/excel/2006/main">
          <x14:cfRule type="iconSet" priority="30" id="{C5957187-E50C-4A44-BDAE-35C29A9A7CB8}">
            <x14:iconSet iconSet="3Arrows" custom="1">
              <x14:cfvo type="percent">
                <xm:f>0</xm:f>
              </x14:cfvo>
              <x14:cfvo type="formula">
                <xm:f>$J$26*0.9</xm:f>
              </x14:cfvo>
              <x14:cfvo type="formula">
                <xm:f>$J$26</xm:f>
              </x14:cfvo>
              <x14:cfIcon iconSet="3Arrows" iconId="0"/>
              <x14:cfIcon iconSet="3Arrows" iconId="1"/>
              <x14:cfIcon iconSet="3Arrows" iconId="2"/>
            </x14:iconSet>
          </x14:cfRule>
          <xm:sqref>J42</xm:sqref>
        </x14:conditionalFormatting>
        <x14:conditionalFormatting xmlns:xm="http://schemas.microsoft.com/office/excel/2006/main">
          <x14:cfRule type="iconSet" priority="32" id="{3660AC89-8B93-4283-A60A-7A165E30E730}">
            <x14:iconSet iconSet="3Arrows" custom="1">
              <x14:cfvo type="percent">
                <xm:f>0</xm:f>
              </x14:cfvo>
              <x14:cfvo type="formula">
                <xm:f>$L$26*0.9</xm:f>
              </x14:cfvo>
              <x14:cfvo type="formula">
                <xm:f>$L$26*1.1</xm:f>
              </x14:cfvo>
              <x14:cfIcon iconSet="3Arrows" iconId="0"/>
              <x14:cfIcon iconSet="3Arrows" iconId="1"/>
              <x14:cfIcon iconSet="3Arrows" iconId="2"/>
            </x14:iconSet>
          </x14:cfRule>
          <xm:sqref>L41:M41</xm:sqref>
        </x14:conditionalFormatting>
      </x14:conditionalFormatting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AC18E-2E1F-425F-B9BB-32E2B615F6E0}">
  <dimension ref="A1:P132"/>
  <sheetViews>
    <sheetView showRowColHeaders="0" zoomScale="130" zoomScaleNormal="130" workbookViewId="0">
      <selection activeCell="B14" sqref="B14"/>
    </sheetView>
  </sheetViews>
  <sheetFormatPr baseColWidth="10" defaultColWidth="0" defaultRowHeight="14.25" customHeight="1" zeroHeight="1"/>
  <cols>
    <col min="1" max="1" width="5.625" customWidth="1"/>
    <col min="2" max="4" width="15.75" customWidth="1"/>
    <col min="5" max="5" width="28.125" customWidth="1"/>
    <col min="6" max="6" width="17.5" customWidth="1"/>
    <col min="7" max="7" width="21.75" customWidth="1"/>
    <col min="8" max="8" width="5.625" customWidth="1"/>
    <col min="9" max="10" width="14" hidden="1" customWidth="1"/>
    <col min="11" max="11" width="13.75" hidden="1" customWidth="1"/>
    <col min="12" max="12" width="11" hidden="1" customWidth="1"/>
    <col min="13" max="13" width="12.75" hidden="1" customWidth="1"/>
    <col min="14" max="14" width="11.5" hidden="1" customWidth="1"/>
    <col min="15" max="16" width="0" hidden="1" customWidth="1"/>
    <col min="17" max="16384" width="11" hidden="1"/>
  </cols>
  <sheetData>
    <row r="1" spans="1:16" ht="18.75" customHeight="1" thickBot="1">
      <c r="A1" s="1007"/>
      <c r="B1" s="1007"/>
      <c r="C1" s="1007"/>
      <c r="D1" s="1007"/>
      <c r="E1" s="1007"/>
      <c r="F1" s="1007"/>
      <c r="G1" s="1007"/>
      <c r="H1" s="1007"/>
    </row>
    <row r="2" spans="1:16" ht="21.75" customHeight="1">
      <c r="A2" s="1007"/>
      <c r="B2" s="3260" t="s">
        <v>1785</v>
      </c>
      <c r="C2" s="3261"/>
      <c r="D2" s="3261"/>
      <c r="E2" s="3261"/>
      <c r="F2" s="3261"/>
      <c r="G2" s="3262"/>
      <c r="H2" s="1007"/>
    </row>
    <row r="3" spans="1:16" ht="21.75" customHeight="1" thickBot="1">
      <c r="A3" s="1007"/>
      <c r="B3" s="3263" t="str">
        <f>IF(D8=0,"für gesetzlich KV- und PV-Versicherte Personen","für privatversicherte Personen")</f>
        <v>für gesetzlich KV- und PV-Versicherte Personen</v>
      </c>
      <c r="C3" s="3264"/>
      <c r="D3" s="3264"/>
      <c r="E3" s="3264"/>
      <c r="F3" s="3264"/>
      <c r="G3" s="3265"/>
      <c r="H3" s="1007"/>
    </row>
    <row r="4" spans="1:16" ht="17.100000000000001" customHeight="1">
      <c r="A4" s="1007"/>
      <c r="B4" s="3266" t="s">
        <v>1786</v>
      </c>
      <c r="C4" s="3267"/>
      <c r="D4" s="1857"/>
      <c r="E4" s="1858" t="s">
        <v>1787</v>
      </c>
      <c r="F4" s="1859"/>
      <c r="G4" s="3268" t="s">
        <v>1788</v>
      </c>
      <c r="H4" s="1007"/>
    </row>
    <row r="5" spans="1:16" s="75" customFormat="1" ht="17.100000000000001" customHeight="1">
      <c r="A5" s="1011"/>
      <c r="B5" s="3269" t="s">
        <v>1797</v>
      </c>
      <c r="C5" s="3270"/>
      <c r="D5" s="1860"/>
      <c r="E5" s="1852" t="str">
        <f>" Pro Monat: "&amp;TEXT(F4,"#.##0,00")&amp;" / 120 ="</f>
        <v xml:space="preserve"> Pro Monat: 0,00 / 120 =</v>
      </c>
      <c r="F5" s="1853">
        <f>+F4/120</f>
        <v>0</v>
      </c>
      <c r="G5" s="3268"/>
      <c r="H5" s="1011"/>
    </row>
    <row r="6" spans="1:16" s="75" customFormat="1" ht="17.100000000000001" customHeight="1">
      <c r="A6" s="1011"/>
      <c r="B6" s="3172" t="s">
        <v>1798</v>
      </c>
      <c r="C6" s="3174"/>
      <c r="D6" s="1816" t="s">
        <v>225</v>
      </c>
      <c r="E6" s="1851" t="s">
        <v>1789</v>
      </c>
      <c r="F6" s="1854" t="str">
        <f>IFERROR(VLOOKUP(D4,KVundPV,2),"")</f>
        <v/>
      </c>
      <c r="G6" s="3268"/>
      <c r="H6" s="1011"/>
      <c r="O6" s="75" t="s">
        <v>1790</v>
      </c>
      <c r="P6" s="75">
        <f>IF(D6="m",1,IF(D6="w",2,3))</f>
        <v>1</v>
      </c>
    </row>
    <row r="7" spans="1:16" s="75" customFormat="1" ht="17.100000000000001" customHeight="1">
      <c r="A7" s="1011"/>
      <c r="B7" s="3084" t="str">
        <f>IF(D8&gt;0,"Beitragssatz deaktiviert","Sozialabgabensatz in %: ")</f>
        <v xml:space="preserve">Sozialabgabensatz in %: </v>
      </c>
      <c r="C7" s="2295"/>
      <c r="D7" s="1861"/>
      <c r="E7" s="1862" t="str">
        <f>IF(D8&gt;0,"sonst. monatl. Einkommen:","sozverspfl. mon. Gesamteink.:")</f>
        <v>sozverspfl. mon. Gesamteink.:</v>
      </c>
      <c r="F7" s="1863"/>
      <c r="G7" s="3268"/>
      <c r="H7" s="1011"/>
      <c r="P7" s="75" t="s">
        <v>225</v>
      </c>
    </row>
    <row r="8" spans="1:16" s="75" customFormat="1" ht="17.100000000000001" customHeight="1">
      <c r="A8" s="1011"/>
      <c r="B8" s="3256" t="s">
        <v>1799</v>
      </c>
      <c r="C8" s="3150"/>
      <c r="D8" s="337"/>
      <c r="E8" s="1864" t="s">
        <v>1791</v>
      </c>
      <c r="F8" s="1853">
        <f>+D8*12</f>
        <v>0</v>
      </c>
      <c r="G8" s="3271" t="str">
        <f>Summenzeichen&amp;" der sonstigen monatl. betrieblichen AV  "&amp;P12</f>
        <v>∑ der sonstigen monatl. betrieblichen AV  ↓</v>
      </c>
      <c r="H8" s="1011"/>
    </row>
    <row r="9" spans="1:16" s="75" customFormat="1" ht="17.100000000000001" customHeight="1">
      <c r="A9" s="1011"/>
      <c r="B9" s="3084" t="str">
        <f>IF(D8&gt;0,"","monatl. Freibetrag nach § 226 II SGB V ("&amp;TEXT(B14,"####")&amp;"):")</f>
        <v>monatl. Freibetrag nach § 226 II SGB V ():</v>
      </c>
      <c r="C9" s="2295"/>
      <c r="D9" s="2295"/>
      <c r="E9" s="2295"/>
      <c r="F9" s="1854" t="str">
        <f>IFERROR(IF(D8&gt;0,"",VLOOKUP(B14,MonatlicheBezugsgroesse,2)/20),"")</f>
        <v/>
      </c>
      <c r="G9" s="3272"/>
      <c r="H9" s="1011"/>
      <c r="P9" s="75" t="s">
        <v>271</v>
      </c>
    </row>
    <row r="10" spans="1:16" s="75" customFormat="1" ht="17.100000000000001" customHeight="1" thickBot="1">
      <c r="A10" s="1011"/>
      <c r="B10" s="3084" t="str">
        <f>IF(D8&gt;0,"","Anteil des sozversrechtl. Freibetrags auf "&amp;TEXT(F5,"#.##0,00")&amp;": "&amp;TEXT(F9,"#.##0,00")&amp;" x "&amp;TEXT(F5,"#.##,00")&amp;" / "&amp;IF(G10&gt;0,"("&amp;TEXT(F5,"#.##,00")&amp;" + "&amp;TEXT(G10,"#.##0,00")&amp;")",TEXT(F5,"#.##0,00")))</f>
        <v>Anteil des sozversrechtl. Freibetrags auf 0,00:  x ,00 / 0,00</v>
      </c>
      <c r="C10" s="2295"/>
      <c r="D10" s="2295"/>
      <c r="E10" s="2295"/>
      <c r="F10" s="1853" t="str">
        <f>IFERROR(F9*F5/(F5+G10),"")</f>
        <v/>
      </c>
      <c r="G10" s="1865"/>
      <c r="H10" s="1011"/>
      <c r="P10" s="75" t="s">
        <v>393</v>
      </c>
    </row>
    <row r="11" spans="1:16" s="75" customFormat="1" ht="17.100000000000001" customHeight="1">
      <c r="A11" s="1011"/>
      <c r="B11" s="3084" t="str">
        <f>IF(D8&gt;0,"","zu verbeitragen: ("&amp;TEXT(F5,"#.##0,00")&amp;" - "&amp;TEXT(F10,"#.##0,00")&amp;")"&amp;IF(F7&gt;F6," x "&amp;TEXT(F6,"#.##0,00")&amp;" /  "&amp;TEXT(F7,"#.##0,00"),""))</f>
        <v>zu verbeitragen: (0,00 - )</v>
      </c>
      <c r="C11" s="2295"/>
      <c r="D11" s="2295"/>
      <c r="E11" s="2295"/>
      <c r="F11" s="1866">
        <f>IF(D8&gt;0,"",IF(F9&gt;F5,0,IFERROR(+(F5-F10)*IF(F6&lt;F7,F6/F7,1),"")))</f>
        <v>0</v>
      </c>
      <c r="G11" s="1867" t="str">
        <f>"Abzinsungszins: "&amp;P12</f>
        <v>Abzinsungszins: ↓</v>
      </c>
      <c r="H11" s="1011"/>
    </row>
    <row r="12" spans="1:16" s="75" customFormat="1" ht="17.100000000000001" customHeight="1">
      <c r="A12" s="1011"/>
      <c r="B12" s="3084" t="str">
        <f>"anteilige jährl. Sozialabgab.: "&amp;IF(D8=0,TEXT(F11,"#.##0,00")&amp;" x 12 x "&amp;TEXT(D7,"0,00%"),TEXT(F8,"#.##0,00")&amp;" x "&amp;TEXT(F5,"#.##0,00")&amp;" /( "&amp;TEXT(F7,"#.##0,00")&amp;" + "&amp;TEXT(F5,"#.##0,00"))&amp;") = "</f>
        <v xml:space="preserve">anteilige jährl. Sozialabgab.: 0,00 x 12 x 0,00%) = </v>
      </c>
      <c r="C12" s="2295"/>
      <c r="D12" s="2295"/>
      <c r="E12" s="2295"/>
      <c r="F12" s="1868">
        <f>IFERROR(IF(D8&gt;0,IF(F8*F5/(F7+F5)&gt;F5*12,F5*12,F8*F5/(F7+F5)),F11*D7*12),"Einkommen?")</f>
        <v>0</v>
      </c>
      <c r="G12" s="1869">
        <v>2.1999999999999999E-2</v>
      </c>
      <c r="H12" s="1011"/>
      <c r="P12" s="1870" t="s">
        <v>889</v>
      </c>
    </row>
    <row r="13" spans="1:16" s="144" customFormat="1" ht="48.75" customHeight="1">
      <c r="A13" s="1871"/>
      <c r="B13" s="1872" t="s">
        <v>59</v>
      </c>
      <c r="C13" s="1817" t="s">
        <v>7</v>
      </c>
      <c r="D13" s="1817" t="s">
        <v>1792</v>
      </c>
      <c r="E13" s="1817" t="str">
        <f>"Versterbensrisiko VVR:"&amp;CHAR(10)&amp;"Überlebende im Alter ... / "&amp;TEXT(D14,"#.##0")</f>
        <v xml:space="preserve">Versterbensrisiko VVR:
Überlebende im Alter ... / </v>
      </c>
      <c r="F13" s="1817" t="str">
        <f>"SozBeitrag unter Berücksichtigung des VVR"&amp;IF(D6="m",männlich,IF(D6="w",weiblich,IF(D6="d",divers,"")))</f>
        <v>SozBeitrag unter Berücksichtigung des VVR♂</v>
      </c>
      <c r="G13" s="1873" t="s">
        <v>1793</v>
      </c>
      <c r="H13" s="1871"/>
      <c r="I13" s="1874"/>
    </row>
    <row r="14" spans="1:16" ht="17.100000000000001" customHeight="1">
      <c r="A14" s="1007"/>
      <c r="B14" s="1875"/>
      <c r="C14" s="190" t="str">
        <f>IF(B14="","",+B14-$D$5)</f>
        <v/>
      </c>
      <c r="D14" s="1876" t="str">
        <f t="shared" ref="D14:D23" si="0">IFERROR(VLOOKUP(C14,CHOOSE(sVA_Geschlecht,G_Kohorte_M,G_Kohorte_F,G_Kohorte_N),D$5-1900+2),"")</f>
        <v/>
      </c>
      <c r="E14" s="1877" t="str">
        <f>IFERROR(D14/D$14,"")</f>
        <v/>
      </c>
      <c r="F14" s="1878" t="str">
        <f t="shared" ref="F14:F23" si="1">IFERROR(+F$12*E14,"")</f>
        <v/>
      </c>
      <c r="G14" s="1879">
        <f>IFERROR(+F12,"")</f>
        <v>0</v>
      </c>
      <c r="H14" s="1007"/>
    </row>
    <row r="15" spans="1:16" ht="17.100000000000001" customHeight="1">
      <c r="A15" s="1007"/>
      <c r="B15" s="1880" t="str">
        <f>IF(B$14="","",+B14+1)</f>
        <v/>
      </c>
      <c r="C15" s="1881" t="str">
        <f>IFERROR(+B15-$D$5,"")</f>
        <v/>
      </c>
      <c r="D15" s="1882" t="str">
        <f t="shared" si="0"/>
        <v/>
      </c>
      <c r="E15" s="1877" t="str">
        <f t="shared" ref="E15:E23" si="2">IFERROR(D15/D$14,"")</f>
        <v/>
      </c>
      <c r="F15" s="1878" t="str">
        <f t="shared" si="1"/>
        <v/>
      </c>
      <c r="G15" s="1879" t="str">
        <f>IFERROR(-PV(G$12,B15-B$14,,F15),"")</f>
        <v/>
      </c>
      <c r="H15" s="1007"/>
    </row>
    <row r="16" spans="1:16" ht="17.100000000000001" customHeight="1">
      <c r="A16" s="1007"/>
      <c r="B16" s="1880" t="str">
        <f t="shared" ref="B16:B23" si="3">IF(B$14="","",+B15+1)</f>
        <v/>
      </c>
      <c r="C16" s="1881" t="str">
        <f t="shared" ref="C16:C23" si="4">IFERROR(+B16-$D$5,"")</f>
        <v/>
      </c>
      <c r="D16" s="1882" t="str">
        <f t="shared" si="0"/>
        <v/>
      </c>
      <c r="E16" s="1877" t="str">
        <f t="shared" si="2"/>
        <v/>
      </c>
      <c r="F16" s="1878" t="str">
        <f t="shared" si="1"/>
        <v/>
      </c>
      <c r="G16" s="1879" t="str">
        <f t="shared" ref="G16:G23" si="5">IFERROR(-PV(G$12,B16-B$14,,F16),"")</f>
        <v/>
      </c>
      <c r="H16" s="1007"/>
      <c r="J16" s="157"/>
      <c r="K16" s="157"/>
    </row>
    <row r="17" spans="1:16" ht="17.100000000000001" customHeight="1">
      <c r="A17" s="1007"/>
      <c r="B17" s="1880" t="str">
        <f t="shared" si="3"/>
        <v/>
      </c>
      <c r="C17" s="1881" t="str">
        <f t="shared" si="4"/>
        <v/>
      </c>
      <c r="D17" s="1882" t="str">
        <f t="shared" si="0"/>
        <v/>
      </c>
      <c r="E17" s="1877" t="str">
        <f t="shared" si="2"/>
        <v/>
      </c>
      <c r="F17" s="1878" t="str">
        <f t="shared" si="1"/>
        <v/>
      </c>
      <c r="G17" s="1879" t="str">
        <f t="shared" si="5"/>
        <v/>
      </c>
      <c r="H17" s="1007"/>
    </row>
    <row r="18" spans="1:16" ht="17.100000000000001" customHeight="1">
      <c r="A18" s="1007"/>
      <c r="B18" s="1880" t="str">
        <f t="shared" si="3"/>
        <v/>
      </c>
      <c r="C18" s="1881" t="str">
        <f t="shared" si="4"/>
        <v/>
      </c>
      <c r="D18" s="1882" t="str">
        <f t="shared" si="0"/>
        <v/>
      </c>
      <c r="E18" s="1877" t="str">
        <f t="shared" si="2"/>
        <v/>
      </c>
      <c r="F18" s="1878" t="str">
        <f t="shared" si="1"/>
        <v/>
      </c>
      <c r="G18" s="1879" t="str">
        <f t="shared" si="5"/>
        <v/>
      </c>
      <c r="H18" s="1007"/>
    </row>
    <row r="19" spans="1:16" ht="17.100000000000001" customHeight="1">
      <c r="A19" s="1007"/>
      <c r="B19" s="1880" t="str">
        <f t="shared" si="3"/>
        <v/>
      </c>
      <c r="C19" s="1881" t="str">
        <f t="shared" si="4"/>
        <v/>
      </c>
      <c r="D19" s="1882" t="str">
        <f t="shared" si="0"/>
        <v/>
      </c>
      <c r="E19" s="1877" t="str">
        <f t="shared" si="2"/>
        <v/>
      </c>
      <c r="F19" s="1878" t="str">
        <f t="shared" si="1"/>
        <v/>
      </c>
      <c r="G19" s="1879" t="str">
        <f t="shared" si="5"/>
        <v/>
      </c>
      <c r="H19" s="1007"/>
    </row>
    <row r="20" spans="1:16" ht="17.100000000000001" customHeight="1">
      <c r="A20" s="1007"/>
      <c r="B20" s="1880" t="str">
        <f t="shared" si="3"/>
        <v/>
      </c>
      <c r="C20" s="1881" t="str">
        <f t="shared" si="4"/>
        <v/>
      </c>
      <c r="D20" s="1882" t="str">
        <f t="shared" si="0"/>
        <v/>
      </c>
      <c r="E20" s="1877" t="str">
        <f t="shared" si="2"/>
        <v/>
      </c>
      <c r="F20" s="1878" t="str">
        <f t="shared" si="1"/>
        <v/>
      </c>
      <c r="G20" s="1879" t="str">
        <f t="shared" si="5"/>
        <v/>
      </c>
      <c r="H20" s="1007"/>
    </row>
    <row r="21" spans="1:16" ht="17.100000000000001" customHeight="1">
      <c r="A21" s="1007"/>
      <c r="B21" s="1880" t="str">
        <f t="shared" si="3"/>
        <v/>
      </c>
      <c r="C21" s="1881" t="str">
        <f t="shared" si="4"/>
        <v/>
      </c>
      <c r="D21" s="1882" t="str">
        <f t="shared" si="0"/>
        <v/>
      </c>
      <c r="E21" s="1877" t="str">
        <f t="shared" si="2"/>
        <v/>
      </c>
      <c r="F21" s="1878" t="str">
        <f t="shared" si="1"/>
        <v/>
      </c>
      <c r="G21" s="1879" t="str">
        <f t="shared" si="5"/>
        <v/>
      </c>
      <c r="H21" s="1007"/>
    </row>
    <row r="22" spans="1:16" ht="17.100000000000001" customHeight="1">
      <c r="A22" s="1007"/>
      <c r="B22" s="1880" t="str">
        <f t="shared" si="3"/>
        <v/>
      </c>
      <c r="C22" s="1881" t="str">
        <f t="shared" si="4"/>
        <v/>
      </c>
      <c r="D22" s="1882" t="str">
        <f t="shared" si="0"/>
        <v/>
      </c>
      <c r="E22" s="1877" t="str">
        <f t="shared" si="2"/>
        <v/>
      </c>
      <c r="F22" s="1878" t="str">
        <f t="shared" si="1"/>
        <v/>
      </c>
      <c r="G22" s="1879" t="str">
        <f t="shared" si="5"/>
        <v/>
      </c>
      <c r="H22" s="1007"/>
    </row>
    <row r="23" spans="1:16" ht="17.100000000000001" customHeight="1">
      <c r="A23" s="1007"/>
      <c r="B23" s="1880" t="str">
        <f t="shared" si="3"/>
        <v/>
      </c>
      <c r="C23" s="1881" t="str">
        <f t="shared" si="4"/>
        <v/>
      </c>
      <c r="D23" s="1882" t="str">
        <f t="shared" si="0"/>
        <v/>
      </c>
      <c r="E23" s="1877" t="str">
        <f t="shared" si="2"/>
        <v/>
      </c>
      <c r="F23" s="1878" t="str">
        <f t="shared" si="1"/>
        <v/>
      </c>
      <c r="G23" s="1879" t="str">
        <f t="shared" si="5"/>
        <v/>
      </c>
      <c r="H23" s="1007"/>
    </row>
    <row r="24" spans="1:16" ht="36" customHeight="1">
      <c r="A24" s="1007"/>
      <c r="B24" s="3250" t="s">
        <v>1794</v>
      </c>
      <c r="C24" s="3251"/>
      <c r="D24" s="3251"/>
      <c r="E24" s="3251"/>
      <c r="F24" s="3252"/>
      <c r="G24" s="1883">
        <f>SUM(G14:G23)</f>
        <v>0</v>
      </c>
      <c r="H24" s="1007"/>
    </row>
    <row r="25" spans="1:16" ht="17.100000000000001" customHeight="1">
      <c r="A25" s="1007"/>
      <c r="B25" s="3253" t="str">
        <f>"Barwert nach Tabelle 9a zu § 13 BewG: "&amp;TEXT(F12,"#.##0,00")&amp;" x 7,745 ="</f>
        <v>Barwert nach Tabelle 9a zu § 13 BewG: 0,00 x 7,745 =</v>
      </c>
      <c r="C25" s="3254"/>
      <c r="D25" s="3254"/>
      <c r="E25" s="3254"/>
      <c r="F25" s="3255"/>
      <c r="G25" s="1883">
        <f>IFERROR(F12*7.745,"")</f>
        <v>0</v>
      </c>
      <c r="H25" s="1007"/>
      <c r="O25" t="s">
        <v>1795</v>
      </c>
      <c r="P25" s="15">
        <v>2</v>
      </c>
    </row>
    <row r="26" spans="1:16" ht="17.100000000000001" customHeight="1">
      <c r="A26" s="1007"/>
      <c r="B26" s="3172" t="str">
        <f>IFERROR("Ehezeitanteil in % der Kapitalzahlung i.H.v. "&amp;TEXT(F4,"#.##0,00")&amp;" - "&amp;TEXT(CHOOSE(O_BewG,G24,G25),"#.##0,00")&amp;" =  "&amp;TEXT(F4-CHOOSE(O_BewG,G24,G25),"#.##0,00")&amp;": ","")</f>
        <v xml:space="preserve">Ehezeitanteil in % der Kapitalzahlung i.H.v. 0,00 - 0,00 =  0,00: </v>
      </c>
      <c r="C26" s="3173"/>
      <c r="D26" s="3173"/>
      <c r="E26" s="3173"/>
      <c r="F26" s="3174"/>
      <c r="G26" s="92">
        <v>0.75</v>
      </c>
      <c r="H26" s="1007"/>
    </row>
    <row r="27" spans="1:16" ht="17.100000000000001" customHeight="1">
      <c r="A27" s="1007"/>
      <c r="B27" s="3256" t="str">
        <f>IFERROR("Ehezeitanteil der Kapitalzahlung: "&amp;TEXT(F4-CHOOSE(O_BewG,G24,G25),"#.##0,00")&amp;" x "&amp;TEXT(G26,"0,00%")&amp;": ","")</f>
        <v xml:space="preserve">Ehezeitanteil der Kapitalzahlung: 0,00 x 75,00%: </v>
      </c>
      <c r="C27" s="3149"/>
      <c r="D27" s="3149"/>
      <c r="E27" s="3149"/>
      <c r="F27" s="3150"/>
      <c r="G27" s="1884">
        <f>IFERROR(+G26*(F4-CHOOSE(O_BewG,G24,G25)),"")</f>
        <v>0</v>
      </c>
      <c r="H27" s="1007"/>
    </row>
    <row r="28" spans="1:16" ht="23.25" customHeight="1" thickBot="1">
      <c r="A28" s="1007"/>
      <c r="B28" s="3257" t="str">
        <f>"schuldrechtlich auszugleichender Anteil: "&amp;TEXT(G27,"#.##0,00")&amp;" / 2 = "</f>
        <v xml:space="preserve">schuldrechtlich auszugleichender Anteil: 0,00 / 2 = </v>
      </c>
      <c r="C28" s="3258"/>
      <c r="D28" s="3258"/>
      <c r="E28" s="3258"/>
      <c r="F28" s="3259"/>
      <c r="G28" s="1885">
        <f>IFERROR(G27/2,"")</f>
        <v>0</v>
      </c>
      <c r="H28" s="1007"/>
    </row>
    <row r="29" spans="1:16" ht="19.5" customHeight="1">
      <c r="A29" s="3249" t="s">
        <v>1800</v>
      </c>
      <c r="B29" s="3249"/>
      <c r="C29" s="3249"/>
      <c r="D29" s="3249"/>
      <c r="E29" s="3249"/>
      <c r="F29" s="3249"/>
      <c r="G29" s="3249"/>
      <c r="H29" s="3249"/>
    </row>
    <row r="129" spans="2:3" hidden="1"/>
    <row r="132" spans="2:3" hidden="1">
      <c r="B132" s="1515" t="s">
        <v>1796</v>
      </c>
      <c r="C132" s="1516">
        <v>18.600000000000001</v>
      </c>
    </row>
  </sheetData>
  <sheetProtection algorithmName="SHA-512" hashValue="5Bd4Te1wWu2KO2qcWwNsqVP1d2RCWl5alm2/owEIid2eNo+DLjHZt6gk2m2WX9hBwLUXU5oYzRPPLr9A5KEeiw==" saltValue="EyM7W5PCuVFGuJhQ1tpS8w==" spinCount="100000" sheet="1" objects="1" scenarios="1"/>
  <mergeCells count="19">
    <mergeCell ref="B12:E12"/>
    <mergeCell ref="B2:G2"/>
    <mergeCell ref="B3:G3"/>
    <mergeCell ref="B4:C4"/>
    <mergeCell ref="G4:G7"/>
    <mergeCell ref="B5:C5"/>
    <mergeCell ref="B6:C6"/>
    <mergeCell ref="B7:C7"/>
    <mergeCell ref="B8:C8"/>
    <mergeCell ref="G8:G9"/>
    <mergeCell ref="B9:E9"/>
    <mergeCell ref="B10:E10"/>
    <mergeCell ref="B11:E11"/>
    <mergeCell ref="A29:H29"/>
    <mergeCell ref="B24:F24"/>
    <mergeCell ref="B25:F25"/>
    <mergeCell ref="B26:F26"/>
    <mergeCell ref="B27:F27"/>
    <mergeCell ref="B28:F28"/>
  </mergeCells>
  <conditionalFormatting sqref="B14">
    <cfRule type="expression" dxfId="185" priority="13">
      <formula>B14=""</formula>
    </cfRule>
  </conditionalFormatting>
  <conditionalFormatting sqref="B24 G24">
    <cfRule type="expression" dxfId="184" priority="19">
      <formula>O_BewG=1</formula>
    </cfRule>
  </conditionalFormatting>
  <conditionalFormatting sqref="B25 G25">
    <cfRule type="expression" dxfId="183" priority="18">
      <formula>O_BewG=2</formula>
    </cfRule>
  </conditionalFormatting>
  <conditionalFormatting sqref="D4:D6">
    <cfRule type="expression" dxfId="182" priority="4">
      <formula>D4=""</formula>
    </cfRule>
  </conditionalFormatting>
  <conditionalFormatting sqref="D6">
    <cfRule type="expression" dxfId="181" priority="1">
      <formula>D6="d"</formula>
    </cfRule>
    <cfRule type="expression" dxfId="180" priority="2">
      <formula>D6="w"</formula>
    </cfRule>
    <cfRule type="expression" dxfId="179" priority="3">
      <formula>D6="m"</formula>
    </cfRule>
  </conditionalFormatting>
  <conditionalFormatting sqref="D7">
    <cfRule type="expression" dxfId="178" priority="12">
      <formula>D8&gt;0</formula>
    </cfRule>
    <cfRule type="expression" dxfId="177" priority="21">
      <formula>D7=""</formula>
    </cfRule>
  </conditionalFormatting>
  <conditionalFormatting sqref="D8">
    <cfRule type="expression" dxfId="176" priority="11">
      <formula>AND(D8="",D7="")</formula>
    </cfRule>
  </conditionalFormatting>
  <conditionalFormatting sqref="E8">
    <cfRule type="expression" dxfId="175" priority="16">
      <formula>D8=""</formula>
    </cfRule>
  </conditionalFormatting>
  <conditionalFormatting sqref="F4">
    <cfRule type="expression" dxfId="174" priority="7">
      <formula>F4=""</formula>
    </cfRule>
  </conditionalFormatting>
  <conditionalFormatting sqref="F7">
    <cfRule type="expression" dxfId="173" priority="14">
      <formula>AND(D8&gt;0,F7=0)</formula>
    </cfRule>
  </conditionalFormatting>
  <conditionalFormatting sqref="F8">
    <cfRule type="expression" dxfId="172" priority="15">
      <formula>D8=""</formula>
    </cfRule>
  </conditionalFormatting>
  <conditionalFormatting sqref="F12">
    <cfRule type="expression" dxfId="171" priority="10">
      <formula>F12="Einkommen?"</formula>
    </cfRule>
  </conditionalFormatting>
  <conditionalFormatting sqref="G8">
    <cfRule type="expression" dxfId="170" priority="22">
      <formula>D12&gt;0</formula>
    </cfRule>
    <cfRule type="expression" dxfId="169" priority="23">
      <formula>D8&gt;0</formula>
    </cfRule>
  </conditionalFormatting>
  <conditionalFormatting sqref="G10 G4">
    <cfRule type="expression" dxfId="168" priority="9">
      <formula>D8&gt;0</formula>
    </cfRule>
  </conditionalFormatting>
  <conditionalFormatting sqref="G10">
    <cfRule type="expression" dxfId="167" priority="8">
      <formula>D8=""</formula>
    </cfRule>
  </conditionalFormatting>
  <conditionalFormatting sqref="G12">
    <cfRule type="expression" dxfId="166" priority="17">
      <formula>G12=""</formula>
    </cfRule>
  </conditionalFormatting>
  <conditionalFormatting sqref="G26">
    <cfRule type="expression" dxfId="165" priority="20">
      <formula>G26=""</formula>
    </cfRule>
  </conditionalFormatting>
  <dataValidations count="7">
    <dataValidation type="decimal" allowBlank="1" showInputMessage="1" showErrorMessage="1" sqref="F4" xr:uid="{FFF37F0B-9B5F-44C7-8216-61492184E248}">
      <formula1>0</formula1>
      <formula2>200000</formula2>
    </dataValidation>
    <dataValidation type="decimal" allowBlank="1" showInputMessage="1" showErrorMessage="1" sqref="G10" xr:uid="{2B793054-B7A1-40A3-8CE1-3A48A3C11731}">
      <formula1>0</formula1>
      <formula2>100000</formula2>
    </dataValidation>
    <dataValidation type="list" allowBlank="1" showInputMessage="1" showErrorMessage="1" sqref="D6" xr:uid="{0D83D2D1-B9A9-454E-B3BA-0E576134DF5A}">
      <formula1>$P$7:$P$10</formula1>
    </dataValidation>
    <dataValidation type="decimal" allowBlank="1" showInputMessage="1" showErrorMessage="1" errorTitle="Eingabebeschränkung" error="Es sind nur Eingaben zwischen 0% und 10% zulässig." sqref="G12" xr:uid="{33C22AEA-CA5F-4020-8B01-63AB2BFE25AE}">
      <formula1>0</formula1>
      <formula2>0.1</formula2>
    </dataValidation>
    <dataValidation type="decimal" allowBlank="1" showInputMessage="1" showErrorMessage="1" errorTitle="Eingabebeschränkung" error="Es sind nur Eingaben zwischen 0% und 100% möglich." sqref="G26" xr:uid="{57619EF0-905F-4182-A7C8-7782D04E3A91}">
      <formula1>0</formula1>
      <formula2>1</formula2>
    </dataValidation>
    <dataValidation type="decimal" allowBlank="1" showInputMessage="1" showErrorMessage="1" errorTitle="Eingabebeschränkung" error="Es sind nur Eingaben zwischen 0% und 20% möglich." sqref="D7" xr:uid="{21985E8C-D7C2-4511-955E-7DFE540FC93E}">
      <formula1>0</formula1>
      <formula2>0.2</formula2>
    </dataValidation>
    <dataValidation type="whole" allowBlank="1" showInputMessage="1" showErrorMessage="1" errorTitle="Eingabebeschränkung" error="Es sind nur Eingaben zwischen 1920 und 2023 möglich." sqref="D5" xr:uid="{38CEDDE6-3676-45EE-9CF3-2247EB0EE8C8}">
      <formula1>1920</formula1>
      <formula2>2023</formula2>
    </dataValidation>
  </dataValidations>
  <hyperlinks>
    <hyperlink ref="A29:H29" r:id="rId1" display="Der Autor übernimmt keine Haftung für die gefundenen Ergebnisse. Korrekturvorschläge, Lob &amp; Tadel an RA Jörn Hauß, Hauss@anwaelte-du.de" xr:uid="{FF9D501F-3275-4C19-B268-8C0B431064B8}"/>
  </hyperlinks>
  <pageMargins left="0.7" right="0.7" top="0.78740157499999996" bottom="0.78740157499999996" header="0.3" footer="0.3"/>
  <drawing r:id="rId2"/>
  <legacyDrawing r:id="rId3"/>
  <mc:AlternateContent xmlns:mc="http://schemas.openxmlformats.org/markup-compatibility/2006">
    <mc:Choice Requires="x14">
      <controls>
        <mc:AlternateContent xmlns:mc="http://schemas.openxmlformats.org/markup-compatibility/2006">
          <mc:Choice Requires="x14">
            <control shapeId="2019329" r:id="rId4" name="Option Button 1">
              <controlPr defaultSize="0" autoFill="0" autoLine="0" autoPict="0">
                <anchor moveWithCells="1">
                  <from>
                    <xdr:col>1</xdr:col>
                    <xdr:colOff>171450</xdr:colOff>
                    <xdr:row>23</xdr:row>
                    <xdr:rowOff>247650</xdr:rowOff>
                  </from>
                  <to>
                    <xdr:col>2</xdr:col>
                    <xdr:colOff>323850</xdr:colOff>
                    <xdr:row>23</xdr:row>
                    <xdr:rowOff>409575</xdr:rowOff>
                  </to>
                </anchor>
              </controlPr>
            </control>
          </mc:Choice>
        </mc:AlternateContent>
        <mc:AlternateContent xmlns:mc="http://schemas.openxmlformats.org/markup-compatibility/2006">
          <mc:Choice Requires="x14">
            <control shapeId="2019330" r:id="rId5" name="Option Button 2">
              <controlPr defaultSize="0" autoFill="0" autoLine="0" autoPict="0">
                <anchor moveWithCells="1">
                  <from>
                    <xdr:col>1</xdr:col>
                    <xdr:colOff>171450</xdr:colOff>
                    <xdr:row>23</xdr:row>
                    <xdr:rowOff>419100</xdr:rowOff>
                  </from>
                  <to>
                    <xdr:col>2</xdr:col>
                    <xdr:colOff>371475</xdr:colOff>
                    <xdr:row>25</xdr:row>
                    <xdr:rowOff>38100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AB3059-4D37-4B37-AFB2-93B73B36B2B4}">
  <sheetPr codeName="Tabelle39">
    <pageSetUpPr fitToPage="1"/>
  </sheetPr>
  <dimension ref="A1:AC41"/>
  <sheetViews>
    <sheetView showGridLines="0" showRowColHeaders="0" topLeftCell="H20" zoomScale="205" zoomScaleNormal="205" workbookViewId="0">
      <selection activeCell="J30" sqref="J30"/>
    </sheetView>
  </sheetViews>
  <sheetFormatPr baseColWidth="10" defaultColWidth="0" defaultRowHeight="14.25" zeroHeight="1"/>
  <cols>
    <col min="1" max="7" width="10.625" hidden="1" customWidth="1"/>
    <col min="8" max="8" width="2" customWidth="1"/>
    <col min="9" max="9" width="45.25" customWidth="1"/>
    <col min="10" max="12" width="14.625" customWidth="1"/>
    <col min="13" max="13" width="2.125" customWidth="1"/>
    <col min="14" max="14" width="9" hidden="1" customWidth="1"/>
    <col min="15" max="15" width="9.625" hidden="1" customWidth="1"/>
    <col min="16" max="16" width="10.25" hidden="1" customWidth="1"/>
    <col min="17" max="17" width="6.25" hidden="1" customWidth="1"/>
    <col min="18" max="18" width="8.625" hidden="1" customWidth="1"/>
    <col min="19" max="19" width="6.25" style="4" hidden="1" customWidth="1"/>
    <col min="20" max="20" width="15.625" style="4" hidden="1" customWidth="1"/>
    <col min="21" max="21" width="1.25" hidden="1" customWidth="1"/>
    <col min="22" max="22" width="10.625" hidden="1" customWidth="1"/>
    <col min="23" max="23" width="11.5" hidden="1" customWidth="1"/>
    <col min="24" max="24" width="10.625" hidden="1" customWidth="1"/>
    <col min="25" max="25" width="11.75" hidden="1" customWidth="1"/>
    <col min="26" max="26" width="11.75" style="422" hidden="1" customWidth="1"/>
    <col min="27" max="29" width="11.75" hidden="1" customWidth="1"/>
    <col min="30" max="16384" width="10.625" hidden="1"/>
  </cols>
  <sheetData>
    <row r="1" spans="1:23" hidden="1">
      <c r="A1" s="25"/>
      <c r="B1" s="25"/>
      <c r="C1" s="25"/>
      <c r="D1" s="25"/>
      <c r="E1" s="25"/>
      <c r="F1" s="25"/>
      <c r="G1" s="25"/>
      <c r="H1" s="25"/>
      <c r="I1" s="25"/>
      <c r="J1" s="25"/>
      <c r="K1" s="25"/>
      <c r="L1" s="25"/>
      <c r="M1" s="25"/>
    </row>
    <row r="2" spans="1:23" ht="20.25" hidden="1" customHeight="1">
      <c r="A2" s="2612"/>
      <c r="B2" s="2612"/>
      <c r="C2" s="2612"/>
      <c r="D2" s="2612"/>
      <c r="E2" s="2612"/>
      <c r="F2" s="2612"/>
      <c r="G2" s="2612"/>
      <c r="H2" s="2612"/>
      <c r="I2" s="475"/>
      <c r="J2" s="475"/>
      <c r="K2" s="475"/>
      <c r="L2" s="475"/>
      <c r="M2" s="475"/>
      <c r="N2" s="475"/>
      <c r="O2" s="475"/>
      <c r="P2" s="475"/>
      <c r="Q2" s="475"/>
      <c r="R2" s="475"/>
      <c r="S2" s="475"/>
      <c r="T2" s="475"/>
      <c r="U2" s="2131"/>
    </row>
    <row r="3" spans="1:23" ht="17.25" hidden="1" customHeight="1">
      <c r="A3" s="2612"/>
      <c r="B3" s="2612"/>
      <c r="C3" s="2612"/>
      <c r="D3" s="2612"/>
      <c r="E3" s="2612"/>
      <c r="F3" s="2612"/>
      <c r="G3" s="2612"/>
      <c r="H3" s="2612"/>
      <c r="I3" s="475"/>
      <c r="J3" s="475"/>
      <c r="K3" s="475"/>
      <c r="L3" s="475"/>
      <c r="M3" s="475"/>
      <c r="N3" s="475"/>
      <c r="O3" s="475"/>
      <c r="P3" s="475"/>
      <c r="Q3" s="475"/>
      <c r="R3" s="475"/>
      <c r="S3" s="475"/>
      <c r="T3" s="475"/>
      <c r="U3" s="2131"/>
    </row>
    <row r="4" spans="1:23" ht="17.25" hidden="1" customHeight="1">
      <c r="A4" s="2612"/>
      <c r="B4" s="2612"/>
      <c r="C4" s="2612"/>
      <c r="D4" s="2612"/>
      <c r="E4" s="2612"/>
      <c r="F4" s="2612"/>
      <c r="G4" s="2612"/>
      <c r="H4" s="2612"/>
      <c r="I4" s="475"/>
      <c r="J4" s="475"/>
      <c r="K4" s="475"/>
      <c r="L4" s="475"/>
      <c r="M4" s="475"/>
      <c r="N4" s="475"/>
      <c r="O4" s="475"/>
      <c r="P4" s="475"/>
      <c r="Q4" s="475"/>
      <c r="R4" s="475"/>
      <c r="S4" s="475"/>
      <c r="T4" s="475"/>
      <c r="U4" s="2131"/>
    </row>
    <row r="5" spans="1:23" ht="17.25" hidden="1" customHeight="1">
      <c r="A5" s="2612"/>
      <c r="B5" s="2612"/>
      <c r="C5" s="2612"/>
      <c r="D5" s="2612"/>
      <c r="E5" s="2612"/>
      <c r="F5" s="2612"/>
      <c r="G5" s="2612"/>
      <c r="H5" s="2612"/>
      <c r="I5" s="475"/>
      <c r="J5" s="475"/>
      <c r="K5" s="475"/>
      <c r="L5" s="475"/>
      <c r="M5" s="475"/>
      <c r="N5" s="475"/>
      <c r="O5" s="475"/>
      <c r="P5" s="475"/>
      <c r="Q5" s="475"/>
      <c r="R5" s="475"/>
      <c r="S5" s="475"/>
      <c r="T5" s="475"/>
      <c r="U5" s="2131"/>
    </row>
    <row r="6" spans="1:23" ht="17.25" hidden="1" customHeight="1">
      <c r="A6" s="2612"/>
      <c r="B6" s="2612"/>
      <c r="C6" s="2612"/>
      <c r="D6" s="2612"/>
      <c r="E6" s="2612"/>
      <c r="F6" s="2612"/>
      <c r="G6" s="2612"/>
      <c r="H6" s="2612"/>
      <c r="I6" s="475"/>
      <c r="J6" s="475"/>
      <c r="K6" s="475"/>
      <c r="L6" s="475"/>
      <c r="M6" s="475"/>
      <c r="N6" s="475"/>
      <c r="O6" s="475"/>
      <c r="P6" s="475"/>
      <c r="Q6" s="475"/>
      <c r="R6" s="475"/>
      <c r="S6" s="475"/>
      <c r="T6" s="475"/>
      <c r="U6" s="2131"/>
    </row>
    <row r="7" spans="1:23" ht="14.1" hidden="1" customHeight="1">
      <c r="H7" s="25"/>
      <c r="I7" s="475"/>
      <c r="J7" s="475"/>
      <c r="K7" s="475"/>
      <c r="L7" s="475"/>
      <c r="M7" s="475"/>
      <c r="N7" s="475"/>
      <c r="O7" s="475"/>
      <c r="P7" s="475"/>
      <c r="Q7" s="475"/>
      <c r="R7" s="475"/>
      <c r="S7" s="475"/>
      <c r="T7" s="475"/>
      <c r="U7" s="2131"/>
    </row>
    <row r="8" spans="1:23" ht="18.75" hidden="1" customHeight="1">
      <c r="H8" s="25"/>
      <c r="I8" s="475"/>
      <c r="J8" s="475"/>
      <c r="K8" s="475"/>
      <c r="L8" s="475"/>
      <c r="M8" s="475"/>
      <c r="N8" s="475"/>
      <c r="O8" s="475"/>
      <c r="P8" s="475"/>
      <c r="Q8" s="475"/>
      <c r="R8" s="475"/>
      <c r="S8" s="475"/>
      <c r="T8" s="475"/>
    </row>
    <row r="9" spans="1:23" ht="18.75" hidden="1" customHeight="1">
      <c r="H9" s="25"/>
      <c r="I9" s="475"/>
      <c r="J9" s="475"/>
      <c r="K9" s="475"/>
      <c r="L9" s="475"/>
      <c r="M9" s="475"/>
      <c r="N9" s="475"/>
      <c r="O9" s="475"/>
      <c r="P9" s="475"/>
      <c r="Q9" s="475"/>
      <c r="R9" s="475"/>
      <c r="S9" s="475"/>
      <c r="T9" s="475"/>
    </row>
    <row r="10" spans="1:23" ht="18" hidden="1" customHeight="1">
      <c r="H10" s="25"/>
      <c r="I10" s="475"/>
      <c r="J10" s="475"/>
      <c r="K10" s="475"/>
      <c r="L10" s="475"/>
      <c r="M10" s="475"/>
      <c r="N10" s="475"/>
      <c r="O10" s="475"/>
      <c r="P10" s="475"/>
      <c r="Q10" s="475"/>
      <c r="R10" s="475"/>
      <c r="S10" s="475"/>
      <c r="T10" s="475"/>
    </row>
    <row r="11" spans="1:23" ht="23.1" hidden="1" customHeight="1">
      <c r="H11" s="25"/>
      <c r="I11" s="475"/>
      <c r="J11" s="475"/>
      <c r="K11" s="475"/>
      <c r="L11" s="475"/>
      <c r="M11" s="475"/>
      <c r="N11" s="475"/>
      <c r="O11" s="475"/>
      <c r="P11" s="475"/>
      <c r="Q11" s="475"/>
      <c r="R11" s="475"/>
      <c r="S11" s="475"/>
      <c r="T11" s="475"/>
      <c r="V11" s="3290"/>
    </row>
    <row r="12" spans="1:23" ht="14.25" hidden="1" customHeight="1">
      <c r="H12" s="25"/>
      <c r="I12" s="475"/>
      <c r="J12" s="475"/>
      <c r="K12" s="475"/>
      <c r="L12" s="475"/>
      <c r="M12" s="475"/>
      <c r="N12" s="475"/>
      <c r="O12" s="475"/>
      <c r="P12" s="475"/>
      <c r="Q12" s="475"/>
      <c r="R12" s="475"/>
      <c r="S12" s="475"/>
      <c r="T12" s="475"/>
      <c r="V12" s="3290"/>
    </row>
    <row r="13" spans="1:23" ht="14.1" hidden="1" customHeight="1">
      <c r="H13" s="25"/>
      <c r="I13" s="475"/>
      <c r="J13" s="475"/>
      <c r="K13" s="475"/>
      <c r="L13" s="475"/>
      <c r="M13" s="475"/>
      <c r="N13" s="475"/>
      <c r="O13" s="475"/>
      <c r="P13" s="475"/>
      <c r="Q13" s="475"/>
      <c r="R13" s="475"/>
      <c r="S13" s="475"/>
      <c r="T13" s="475"/>
      <c r="V13" s="3290"/>
      <c r="W13" s="154"/>
    </row>
    <row r="14" spans="1:23" ht="14.25" hidden="1" customHeight="1">
      <c r="H14" s="25"/>
      <c r="I14" s="475"/>
      <c r="J14" s="475"/>
      <c r="K14" s="475"/>
      <c r="L14" s="475"/>
      <c r="M14" s="475"/>
      <c r="N14" s="475"/>
      <c r="O14" s="475"/>
      <c r="P14" s="475"/>
      <c r="Q14" s="475"/>
      <c r="R14" s="475"/>
      <c r="S14" s="475"/>
      <c r="T14" s="475"/>
      <c r="W14" s="154"/>
    </row>
    <row r="15" spans="1:23" ht="14.25" hidden="1" customHeight="1">
      <c r="H15" s="25"/>
      <c r="I15" s="475"/>
      <c r="J15" s="475"/>
      <c r="K15" s="475"/>
      <c r="L15" s="475"/>
      <c r="M15" s="475"/>
      <c r="N15" s="475"/>
      <c r="O15" s="475"/>
      <c r="P15" s="475"/>
      <c r="Q15" s="475"/>
      <c r="R15" s="475"/>
      <c r="S15" s="475"/>
      <c r="T15" s="475"/>
      <c r="W15" s="154"/>
    </row>
    <row r="16" spans="1:23" ht="14.1" hidden="1" customHeight="1">
      <c r="H16" s="25"/>
      <c r="I16" s="475"/>
      <c r="J16" s="475"/>
      <c r="K16" s="475"/>
      <c r="L16" s="475"/>
      <c r="M16" s="475"/>
      <c r="N16" s="475"/>
      <c r="O16" s="475"/>
      <c r="P16" s="475"/>
      <c r="Q16" s="475"/>
      <c r="R16" s="475"/>
      <c r="S16" s="475"/>
      <c r="T16" s="475"/>
      <c r="W16" s="154"/>
    </row>
    <row r="17" spans="1:26" s="420" customFormat="1" ht="28.5" hidden="1" customHeight="1">
      <c r="H17" s="424"/>
      <c r="I17" s="475"/>
      <c r="J17" s="475"/>
      <c r="K17" s="475"/>
      <c r="L17" s="475"/>
      <c r="M17" s="475"/>
      <c r="N17" s="475"/>
      <c r="Q17" s="475"/>
      <c r="R17" s="475"/>
      <c r="S17" s="475"/>
      <c r="T17" s="475"/>
      <c r="Z17" s="423"/>
    </row>
    <row r="18" spans="1:26" s="420" customFormat="1" ht="28.5" hidden="1" customHeight="1" thickBot="1">
      <c r="H18" s="424"/>
      <c r="I18" s="475"/>
      <c r="J18" s="475"/>
      <c r="K18" s="475"/>
      <c r="L18" s="475"/>
      <c r="M18" s="475"/>
      <c r="N18" s="475"/>
      <c r="O18" s="475"/>
      <c r="P18" s="475"/>
      <c r="Q18" s="475"/>
      <c r="R18" s="475"/>
      <c r="S18" s="475"/>
      <c r="T18" s="475"/>
      <c r="Z18" s="423"/>
    </row>
    <row r="19" spans="1:26" ht="14.25" hidden="1" customHeight="1">
      <c r="A19" s="25"/>
      <c r="B19" s="25"/>
      <c r="C19" s="25"/>
      <c r="D19" s="25"/>
      <c r="E19" s="25"/>
      <c r="F19" s="25"/>
      <c r="G19" s="25"/>
      <c r="H19" s="25"/>
      <c r="I19" s="3295" t="s">
        <v>557</v>
      </c>
      <c r="J19" s="3296"/>
      <c r="K19" s="955"/>
      <c r="L19" s="956"/>
      <c r="M19" s="25"/>
    </row>
    <row r="20" spans="1:26" ht="14.1" customHeight="1">
      <c r="A20" s="25"/>
      <c r="B20" s="25"/>
      <c r="C20" s="25"/>
      <c r="D20" s="25"/>
      <c r="E20" s="25"/>
      <c r="F20" s="25"/>
      <c r="G20" s="25"/>
      <c r="H20" s="25"/>
      <c r="I20" s="2757"/>
      <c r="J20" s="3297"/>
      <c r="K20" s="3300" t="s">
        <v>1040</v>
      </c>
      <c r="L20" s="3301"/>
      <c r="M20" s="25"/>
    </row>
    <row r="21" spans="1:26" ht="14.25" customHeight="1" thickBot="1">
      <c r="A21" s="25"/>
      <c r="B21" s="25"/>
      <c r="C21" s="25"/>
      <c r="D21" s="25"/>
      <c r="E21" s="25"/>
      <c r="F21" s="25"/>
      <c r="G21" s="25"/>
      <c r="H21" s="25"/>
      <c r="I21" s="3298"/>
      <c r="J21" s="3299"/>
      <c r="K21" s="3293" t="s">
        <v>1039</v>
      </c>
      <c r="L21" s="3294"/>
      <c r="M21" s="25"/>
    </row>
    <row r="22" spans="1:26">
      <c r="A22" s="25"/>
      <c r="B22" s="25"/>
      <c r="C22" s="25"/>
      <c r="D22" s="25"/>
      <c r="E22" s="25"/>
      <c r="F22" s="25"/>
      <c r="G22" s="25"/>
      <c r="H22" s="25"/>
      <c r="I22" s="1077" t="s">
        <v>559</v>
      </c>
      <c r="J22" s="1261"/>
      <c r="K22" s="3302"/>
      <c r="L22" s="3303"/>
      <c r="M22" s="25"/>
      <c r="N22" t="s">
        <v>1242</v>
      </c>
      <c r="O22" s="15" t="b">
        <v>0</v>
      </c>
      <c r="P22">
        <f>IF(EPOst=FALSE,0,1)</f>
        <v>0</v>
      </c>
      <c r="V22" s="59"/>
      <c r="X22" s="157"/>
      <c r="Y22" s="421"/>
    </row>
    <row r="23" spans="1:26" ht="15">
      <c r="A23" s="25"/>
      <c r="B23" s="25"/>
      <c r="C23" s="25"/>
      <c r="D23" s="25"/>
      <c r="E23" s="25"/>
      <c r="F23" s="25"/>
      <c r="G23" s="25"/>
      <c r="H23" s="25"/>
      <c r="I23" s="1075" t="str">
        <f>IF(AND(J23="",AufZinsEzE=""),"Ehezeitende eingeben",IF(AND(J23="",AufZinsEzE&gt;0),"Ehezeitende aus Fallerfassung übernommen","Ehezeitende"))</f>
        <v>Ehezeitende eingeben</v>
      </c>
      <c r="J23" s="1389"/>
      <c r="K23" s="1277" t="str">
        <f>IF(J23="",IF(Dat_EzE&gt;1,Dat_EzE,""),Verzinsung!J23)</f>
        <v/>
      </c>
      <c r="L23" s="1278"/>
      <c r="M23" s="25"/>
      <c r="N23" t="s">
        <v>1481</v>
      </c>
      <c r="O23" s="1107">
        <f>IFERROR(VLOOKUP(K23,IF(Vertins_BilMoG10,BilMoG10,BilmoGZins),16)/100,0.055)</f>
        <v>5.5E-2</v>
      </c>
      <c r="P23" s="3304" t="b">
        <v>0</v>
      </c>
      <c r="V23" s="59"/>
      <c r="X23" s="157"/>
      <c r="Y23" s="421"/>
    </row>
    <row r="24" spans="1:26">
      <c r="A24" s="25"/>
      <c r="B24" s="25"/>
      <c r="C24" s="25"/>
      <c r="D24" s="25"/>
      <c r="E24" s="25"/>
      <c r="F24" s="25"/>
      <c r="G24" s="25"/>
      <c r="H24" s="25"/>
      <c r="I24" s="1076" t="s">
        <v>551</v>
      </c>
      <c r="J24" s="366"/>
      <c r="K24" s="447"/>
      <c r="L24" s="448" t="str">
        <f>IFERROR(VLOOKUP(IF(J23&gt;0,J23,K23),IF(Vertins_BilMoG10,BilMoG10,BilmoGZins),16)/100,"")</f>
        <v/>
      </c>
      <c r="M24" s="25"/>
      <c r="N24" t="s">
        <v>1480</v>
      </c>
      <c r="O24" s="154">
        <f>IFERROR(IF(J14&gt;0,J14,VLOOKUP(K23,BilMoG10,16)/100),0.055)</f>
        <v>5.5E-2</v>
      </c>
      <c r="P24" s="3304"/>
      <c r="V24" s="59"/>
      <c r="X24" s="157"/>
      <c r="Y24" s="421"/>
    </row>
    <row r="25" spans="1:26">
      <c r="A25" s="25"/>
      <c r="B25" s="25"/>
      <c r="C25" s="25"/>
      <c r="D25" s="25"/>
      <c r="E25" s="25"/>
      <c r="F25" s="25"/>
      <c r="G25" s="25"/>
      <c r="H25" s="25"/>
      <c r="I25" s="1327" t="str">
        <f>"BilMoG-"&amp;IF(Vertins_BilMoG10,"10","7")&amp;"-Zins zum Ehezeitende:"</f>
        <v>BilMoG-7-Zins zum Ehezeitende:</v>
      </c>
      <c r="J25" s="1326" t="str">
        <f>IF(J26&gt;0,J26,L24)</f>
        <v/>
      </c>
      <c r="K25" s="3273"/>
      <c r="L25" s="3274"/>
      <c r="M25" s="25"/>
      <c r="V25" s="59"/>
      <c r="X25" s="157"/>
      <c r="Y25" s="421"/>
    </row>
    <row r="26" spans="1:26">
      <c r="A26" s="25"/>
      <c r="B26" s="25"/>
      <c r="C26" s="25"/>
      <c r="D26" s="25"/>
      <c r="E26" s="25"/>
      <c r="F26" s="25"/>
      <c r="G26" s="25"/>
      <c r="H26" s="25"/>
      <c r="I26" s="753" t="s">
        <v>556</v>
      </c>
      <c r="J26" s="449"/>
      <c r="K26" s="3277"/>
      <c r="L26" s="3278"/>
      <c r="M26" s="25"/>
      <c r="V26" s="59"/>
      <c r="X26" s="157"/>
      <c r="Y26" s="421"/>
    </row>
    <row r="27" spans="1:26">
      <c r="A27" s="25"/>
      <c r="B27" s="25"/>
      <c r="C27" s="25"/>
      <c r="D27" s="25"/>
      <c r="E27" s="25"/>
      <c r="F27" s="25"/>
      <c r="G27" s="25"/>
      <c r="H27" s="25"/>
      <c r="I27" s="1077" t="s">
        <v>558</v>
      </c>
      <c r="J27" s="615" t="s">
        <v>552</v>
      </c>
      <c r="K27" s="615" t="s">
        <v>133</v>
      </c>
      <c r="L27" s="616" t="s">
        <v>200</v>
      </c>
      <c r="M27" s="25"/>
      <c r="N27" s="15">
        <v>3</v>
      </c>
      <c r="V27" s="59"/>
      <c r="X27" s="157"/>
      <c r="Y27" s="421"/>
    </row>
    <row r="28" spans="1:26">
      <c r="A28" s="25"/>
      <c r="B28" s="25"/>
      <c r="C28" s="25"/>
      <c r="D28" s="25"/>
      <c r="E28" s="25"/>
      <c r="F28" s="25"/>
      <c r="G28" s="25"/>
      <c r="H28" s="25"/>
      <c r="I28" s="753" t="s">
        <v>550</v>
      </c>
      <c r="J28" s="441">
        <f>J22</f>
        <v>0</v>
      </c>
      <c r="K28" s="3273" t="s">
        <v>572</v>
      </c>
      <c r="L28" s="3274"/>
      <c r="M28" s="25"/>
      <c r="V28" s="59"/>
      <c r="X28" s="157"/>
      <c r="Y28" s="421"/>
    </row>
    <row r="29" spans="1:26">
      <c r="A29" s="25"/>
      <c r="B29" s="25"/>
      <c r="C29" s="25"/>
      <c r="D29" s="25"/>
      <c r="E29" s="25"/>
      <c r="F29" s="25"/>
      <c r="G29" s="25"/>
      <c r="H29" s="25"/>
      <c r="I29" s="753" t="s">
        <v>553</v>
      </c>
      <c r="J29" s="1963" t="str">
        <f>IFERROR(ROUND(VLOOKUP($K$23,UmrechnungEP_Kap,2+P$22),10),"")</f>
        <v/>
      </c>
      <c r="K29" s="3275"/>
      <c r="L29" s="3276"/>
      <c r="M29" s="25"/>
      <c r="V29" s="59"/>
      <c r="X29" s="157"/>
      <c r="Y29" s="421"/>
    </row>
    <row r="30" spans="1:26">
      <c r="A30" s="25"/>
      <c r="B30" s="25"/>
      <c r="C30" s="25"/>
      <c r="D30" s="25"/>
      <c r="E30" s="25"/>
      <c r="F30" s="25"/>
      <c r="G30" s="25"/>
      <c r="H30" s="25"/>
      <c r="I30" s="753" t="str">
        <f>"Versorgungserwerb im EzE: "&amp;TEXT(J28,"#.##0")&amp;" x  "&amp;TEXT(J29,"0,0000")&amp;" = "</f>
        <v xml:space="preserve">Versorgungserwerb im EzE: 0 x   = </v>
      </c>
      <c r="J30" s="442" t="str">
        <f>IFERROR(ROUND(+J28/J29,4),"")</f>
        <v/>
      </c>
      <c r="K30" s="3275"/>
      <c r="L30" s="3276"/>
      <c r="M30" s="25"/>
      <c r="V30" s="59"/>
      <c r="X30" s="157"/>
      <c r="Y30" s="421"/>
    </row>
    <row r="31" spans="1:26">
      <c r="A31" s="25"/>
      <c r="B31" s="25"/>
      <c r="C31" s="25"/>
      <c r="D31" s="25"/>
      <c r="E31" s="25"/>
      <c r="F31" s="25"/>
      <c r="G31" s="25"/>
      <c r="H31" s="25"/>
      <c r="I31" s="753" t="s">
        <v>554</v>
      </c>
      <c r="J31" s="443" t="str">
        <f>IFERROR(VLOOKUP(AufZinsEzE,aktRW,2+P22),"")</f>
        <v/>
      </c>
      <c r="K31" s="3275"/>
      <c r="L31" s="3276"/>
      <c r="M31" s="25"/>
      <c r="V31" s="59"/>
      <c r="X31" s="157"/>
      <c r="Y31" s="421"/>
    </row>
    <row r="32" spans="1:26" ht="15">
      <c r="A32" s="25"/>
      <c r="B32" s="25"/>
      <c r="C32" s="25"/>
      <c r="D32" s="25"/>
      <c r="E32" s="25"/>
      <c r="F32" s="25"/>
      <c r="G32" s="25"/>
      <c r="H32" s="25"/>
      <c r="I32" s="838" t="str">
        <f>IFERROR("Rentenerwerb im EzE: "&amp;TEXT(J30,"0,0000")&amp;" EP x "&amp;TEXT(J31,"0,00 €")&amp;" = ","")</f>
        <v xml:space="preserve">Rentenerwerb im EzE:  EP x  = </v>
      </c>
      <c r="J32" s="1568" t="str">
        <f>IFERROR(+J31*J30,"")</f>
        <v/>
      </c>
      <c r="K32" s="3277"/>
      <c r="L32" s="3278"/>
      <c r="M32" s="25"/>
      <c r="V32" s="59"/>
      <c r="X32" s="157"/>
      <c r="Y32" s="421"/>
    </row>
    <row r="33" spans="1:25">
      <c r="A33" s="25"/>
      <c r="B33" s="25"/>
      <c r="C33" s="25"/>
      <c r="D33" s="25"/>
      <c r="E33" s="25"/>
      <c r="F33" s="25"/>
      <c r="G33" s="25"/>
      <c r="H33" s="25"/>
      <c r="I33" s="3291" t="str">
        <f>"AusglWert zum "&amp;TEXT(J24,"TT.MM.JJJJ")&amp;": "&amp;TEXT(VerzinsungAusgleichswert,"#.##0")&amp;" x (1 + "&amp;TEXT(YEARFRAC(J23,J24,3),"0,00")&amp;" x "&amp;TEXT(J25,"0,00%")&amp;") bzw:"&amp;TEXT(VerzinsungAusgleichswert,"#.##0")&amp;" x (1 + "&amp;TEXT(J25,"0,00%")&amp;")^"&amp;TEXT(YEARFRAC(J23,J24,3),"0,00")</f>
        <v>AusglWert zum 00.01.1900: 0 x (1 + 0,00 x ) bzw:0 x (1 + )^0,00</v>
      </c>
      <c r="J33" s="3292"/>
      <c r="K33" s="1571" t="str">
        <f>IFERROR(J28+J25*J28*YEARFRAC(AufZinsEzE,J24,4),"")</f>
        <v/>
      </c>
      <c r="L33" s="1113" t="str">
        <f>IFERROR(-FV(J25,YEARFRAC(AufZinsEzE,J24,4),,J28),"")</f>
        <v/>
      </c>
      <c r="M33" s="25"/>
      <c r="V33" s="59"/>
      <c r="X33" s="157"/>
      <c r="Y33" s="421"/>
    </row>
    <row r="34" spans="1:25">
      <c r="A34" s="25"/>
      <c r="B34" s="25"/>
      <c r="C34" s="25"/>
      <c r="D34" s="25"/>
      <c r="E34" s="25"/>
      <c r="F34" s="25"/>
      <c r="G34" s="25"/>
      <c r="H34" s="25"/>
      <c r="I34" s="3285" t="str">
        <f>"Umrechnungsfaktor (Beitrag in EP) zum "&amp;TEXT(J24,"TT.MM.JJJJ")</f>
        <v>Umrechnungsfaktor (Beitrag in EP) zum 00.01.1900</v>
      </c>
      <c r="J34" s="3286"/>
      <c r="K34" s="1569" t="str">
        <f>IFERROR(ROUND(VLOOKUP(J24,UmrechnungEP_Kap,2+P22),4),"")</f>
        <v/>
      </c>
      <c r="L34" s="1570" t="str">
        <f>IFERROR(VLOOKUP(J24,UmrechnungEP_Kap,2+P22,TRUE),"")</f>
        <v/>
      </c>
      <c r="M34" s="25"/>
      <c r="V34" s="59"/>
      <c r="X34" s="157"/>
      <c r="Y34" s="421"/>
    </row>
    <row r="35" spans="1:25">
      <c r="A35" s="25"/>
      <c r="B35" s="25"/>
      <c r="C35" s="25"/>
      <c r="D35" s="25"/>
      <c r="E35" s="25"/>
      <c r="F35" s="25"/>
      <c r="G35" s="25"/>
      <c r="H35" s="25"/>
      <c r="I35" s="3285" t="str">
        <f>"Versorgungserwerb in EP (Ausgleichswert / Umrechnungsfaktor) "</f>
        <v xml:space="preserve">Versorgungserwerb in EP (Ausgleichswert / Umrechnungsfaktor) </v>
      </c>
      <c r="J35" s="3286"/>
      <c r="K35" s="442" t="str">
        <f>IFERROR(ROUND(+K33/K34,4),"")</f>
        <v/>
      </c>
      <c r="L35" s="444" t="str">
        <f>IFERROR(ROUND(+L33/L34,4),"")</f>
        <v/>
      </c>
      <c r="M35" s="25"/>
      <c r="V35" s="59"/>
      <c r="X35" s="157"/>
      <c r="Y35" s="421"/>
    </row>
    <row r="36" spans="1:25">
      <c r="A36" s="25"/>
      <c r="B36" s="25"/>
      <c r="C36" s="25"/>
      <c r="D36" s="25"/>
      <c r="E36" s="25"/>
      <c r="F36" s="25"/>
      <c r="G36" s="25"/>
      <c r="H36" s="25"/>
      <c r="I36" s="753" t="str">
        <f>"aktueller Rentenwert am "&amp;TEXT(J24,"TT.MM.JJJJ")</f>
        <v>aktueller Rentenwert am 00.01.1900</v>
      </c>
      <c r="J36" s="3287" t="str">
        <f>IFERROR(VLOOKUP(J24,aktRW,2+$P$22),"")</f>
        <v/>
      </c>
      <c r="K36" s="3288"/>
      <c r="L36" s="3289"/>
      <c r="M36" s="25"/>
      <c r="V36" s="59"/>
      <c r="X36" s="157"/>
      <c r="Y36" s="421"/>
    </row>
    <row r="37" spans="1:25" ht="15" thickBot="1">
      <c r="A37" s="25"/>
      <c r="B37" s="25"/>
      <c r="C37" s="25"/>
      <c r="D37" s="25"/>
      <c r="E37" s="25"/>
      <c r="F37" s="25"/>
      <c r="G37" s="25"/>
      <c r="H37" s="25"/>
      <c r="I37" s="967" t="str">
        <f>"Rentenerwerb zum "&amp;TEXT(J24,"TT.MM.JJJJ")&amp;" in DRV: EP x aktRW"</f>
        <v>Rentenerwerb zum 00.01.1900 in DRV: EP x aktRW</v>
      </c>
      <c r="J37" s="445" t="str">
        <f>IFERROR(J32*J36/J31,"")</f>
        <v/>
      </c>
      <c r="K37" s="445" t="str">
        <f>IFERROR(J36*K35,"")</f>
        <v/>
      </c>
      <c r="L37" s="446" t="str">
        <f>IFERROR(+J36*L35,"")</f>
        <v/>
      </c>
      <c r="M37" s="25"/>
      <c r="V37" s="59"/>
      <c r="X37" s="157"/>
      <c r="Y37" s="421"/>
    </row>
    <row r="38" spans="1:25" ht="14.65" customHeight="1">
      <c r="A38" s="25"/>
      <c r="B38" s="25"/>
      <c r="C38" s="25"/>
      <c r="D38" s="25"/>
      <c r="E38" s="25"/>
      <c r="F38" s="25"/>
      <c r="G38" s="25"/>
      <c r="H38" s="25"/>
      <c r="I38" s="617" t="s">
        <v>695</v>
      </c>
      <c r="J38" s="614"/>
      <c r="K38" s="614"/>
      <c r="L38" s="618"/>
      <c r="M38" s="25"/>
      <c r="V38" s="59"/>
      <c r="X38" s="157"/>
      <c r="Y38" s="421"/>
    </row>
    <row r="39" spans="1:25" ht="23.65" customHeight="1">
      <c r="H39" s="25"/>
      <c r="I39" s="3279" t="str">
        <f>IF(SUM(J22:J24)=0,"","Im Wege der externen Teilung wird zu Lasten des Anrechts der &lt;ausglpfl.Person&gt; bei der &lt;Quellversorgung&gt; zu Gunsten der &lt;ausglber. Person&gt; bei der &lt;Zielversorgung&gt; eine Versorgung aus einem Ausgleichswert in Höhe von "&amp;TEXT(VerzinsungAusgleichswert,"#.##0,00 €")&amp;" bezogen auf das Ehezeitende ("&amp;TEXT(AufZinsEzE,"TT.MM.JJ")&amp;") begründet."&amp;CHOOSE(N27,"","  Der &lt;Versorgungsträger der ausglpfl. Person&gt; hat den Ausgleichsbetrag in Höhe von "&amp;TEXT(VerzinsungAusgleichswert,"#.##0,00 €")&amp;" zzgl. "&amp;TEXT(J25,"#,00%")&amp;" Zinsen für die Zeit vom Ehezeitende  bis zur Rechtskraft der Entscheidung an &lt;die Zielversorgung&gt; zu zahlen."," Der &lt;Versorgungsträger der ausglpfl. Person&gt; hat den Ausgleichsbetrag in Höhe von "&amp;TEXT(VerzinsungAusgleichswert,"#.##0,00 €")&amp; " zzgl. Zins und Zinseszinsen aus einem Rechnungszins in Höhe von "&amp;TEXT(J26,"0,00%")&amp;" zwischen Ehezeitende und Rechtskraft an den Zielversorgungsträger zu zahlen."))</f>
        <v/>
      </c>
      <c r="J39" s="3280"/>
      <c r="K39" s="3280"/>
      <c r="L39" s="3276"/>
      <c r="M39" s="25"/>
      <c r="V39" s="59"/>
      <c r="Y39" s="421"/>
    </row>
    <row r="40" spans="1:25" ht="23.65" customHeight="1" thickBot="1">
      <c r="H40" s="25"/>
      <c r="I40" s="3281"/>
      <c r="J40" s="3282"/>
      <c r="K40" s="3282"/>
      <c r="L40" s="3283"/>
      <c r="M40" s="25"/>
    </row>
    <row r="41" spans="1:25">
      <c r="H41" s="25"/>
      <c r="I41" s="3284" t="s">
        <v>696</v>
      </c>
      <c r="J41" s="3284"/>
      <c r="K41" s="3284"/>
      <c r="L41" s="3284"/>
      <c r="M41" s="25"/>
    </row>
  </sheetData>
  <sheetProtection algorithmName="SHA-512" hashValue="deeXTAZxjHr1fYj56qo5/tDZbIjW/r2ZKp/gCHLDLPCmHDa9EisTk7cE1TLeLCSfwezodfgtc38VgdN/HNZr2Q==" saltValue="cY+5kiviezGVuO63up6IfA==" spinCount="100000" sheet="1" objects="1" scenarios="1" selectLockedCells="1"/>
  <scenarios current="1" show="1">
    <scenario name="Beispiel" count="4" user="Hauß" comment="Erstellt von Hauß am 14.07.2022_x000a_Modifiziert von Hauß am 14.07.2022">
      <inputCells r="J22" val="50000" numFmtId="6"/>
      <inputCells r="K23" val="44561" numFmtId="14"/>
      <inputCells r="J24" val="44742" numFmtId="14"/>
      <inputCells r="J26" val=""/>
    </scenario>
    <scenario name="Nullstellung" locked="1" count="4" user="Hauß" comment="Erstellt von Hauß am 14.07.2022_x000a_Modifiziert von Hauß am 14.07.2022">
      <inputCells r="J22" val=""/>
      <inputCells r="K23" val=""/>
      <inputCells r="J24" val=""/>
      <inputCells r="J26" val=""/>
    </scenario>
  </scenarios>
  <mergeCells count="16">
    <mergeCell ref="V11:V13"/>
    <mergeCell ref="U2:U7"/>
    <mergeCell ref="K25:L26"/>
    <mergeCell ref="I33:J33"/>
    <mergeCell ref="K21:L21"/>
    <mergeCell ref="I19:J21"/>
    <mergeCell ref="K20:L20"/>
    <mergeCell ref="K22:L22"/>
    <mergeCell ref="P23:P24"/>
    <mergeCell ref="A2:H6"/>
    <mergeCell ref="K28:L32"/>
    <mergeCell ref="I39:L40"/>
    <mergeCell ref="I41:L41"/>
    <mergeCell ref="I34:J34"/>
    <mergeCell ref="I35:J35"/>
    <mergeCell ref="J36:L36"/>
  </mergeCells>
  <conditionalFormatting sqref="J26">
    <cfRule type="expression" dxfId="164" priority="1">
      <formula>AND($J$26="",$L$24="")</formula>
    </cfRule>
  </conditionalFormatting>
  <conditionalFormatting sqref="J37">
    <cfRule type="colorScale" priority="9">
      <colorScale>
        <cfvo type="min"/>
        <cfvo type="percentile" val="50"/>
        <cfvo type="max"/>
        <color rgb="FFF8696B"/>
        <color rgb="FFFFEB84"/>
        <color rgb="FF63BE7B"/>
      </colorScale>
    </cfRule>
  </conditionalFormatting>
  <conditionalFormatting sqref="J37:L37">
    <cfRule type="colorScale" priority="6">
      <colorScale>
        <cfvo type="min"/>
        <cfvo type="percentile" val="50"/>
        <cfvo type="max"/>
        <color rgb="FFF8696B"/>
        <color rgb="FFFCFCFF"/>
        <color rgb="FF63BE7B"/>
      </colorScale>
    </cfRule>
  </conditionalFormatting>
  <conditionalFormatting sqref="K37">
    <cfRule type="colorScale" priority="8">
      <colorScale>
        <cfvo type="min"/>
        <cfvo type="percentile" val="50"/>
        <cfvo type="max"/>
        <color rgb="FFF8696B"/>
        <color rgb="FFFFEB84"/>
        <color rgb="FF63BE7B"/>
      </colorScale>
    </cfRule>
  </conditionalFormatting>
  <conditionalFormatting sqref="L37">
    <cfRule type="colorScale" priority="7">
      <colorScale>
        <cfvo type="min"/>
        <cfvo type="percentile" val="50"/>
        <cfvo type="max"/>
        <color rgb="FFF8696B"/>
        <color rgb="FFFFEB84"/>
        <color rgb="FF63BE7B"/>
      </colorScale>
    </cfRule>
  </conditionalFormatting>
  <hyperlinks>
    <hyperlink ref="K20:L20" r:id="rId1" display="§ 76 SGB VI" xr:uid="{AB7F874D-81BA-4D4C-8D36-E1C19D220822}"/>
    <hyperlink ref="K21:L21" r:id="rId2" display="BGH XII ZB 546/10" xr:uid="{7723210F-573C-496F-ABF4-42329F6612A1}"/>
  </hyperlinks>
  <pageMargins left="0.70866141732283472" right="0.70866141732283472" top="0.78740157480314965" bottom="0.78740157480314965" header="0.31496062992125984" footer="0.31496062992125984"/>
  <pageSetup paperSize="9" scale="94"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1864705" r:id="rId6" name="Check Box 1">
              <controlPr defaultSize="0" autoFill="0" autoLine="0" autoPict="0">
                <anchor moveWithCells="1">
                  <from>
                    <xdr:col>8</xdr:col>
                    <xdr:colOff>19050</xdr:colOff>
                    <xdr:row>25</xdr:row>
                    <xdr:rowOff>152400</xdr:rowOff>
                  </from>
                  <to>
                    <xdr:col>8</xdr:col>
                    <xdr:colOff>19050</xdr:colOff>
                    <xdr:row>27</xdr:row>
                    <xdr:rowOff>38100</xdr:rowOff>
                  </to>
                </anchor>
              </controlPr>
            </control>
          </mc:Choice>
        </mc:AlternateContent>
        <mc:AlternateContent xmlns:mc="http://schemas.openxmlformats.org/markup-compatibility/2006">
          <mc:Choice Requires="x14">
            <control shapeId="1864710" r:id="rId7" name="Check Box 6">
              <controlPr defaultSize="0" autoFill="0" autoLine="0" autoPict="0">
                <anchor moveWithCells="1">
                  <from>
                    <xdr:col>10</xdr:col>
                    <xdr:colOff>38100</xdr:colOff>
                    <xdr:row>21</xdr:row>
                    <xdr:rowOff>0</xdr:rowOff>
                  </from>
                  <to>
                    <xdr:col>11</xdr:col>
                    <xdr:colOff>1085850</xdr:colOff>
                    <xdr:row>21</xdr:row>
                    <xdr:rowOff>171450</xdr:rowOff>
                  </to>
                </anchor>
              </controlPr>
            </control>
          </mc:Choice>
        </mc:AlternateContent>
        <mc:AlternateContent xmlns:mc="http://schemas.openxmlformats.org/markup-compatibility/2006">
          <mc:Choice Requires="x14">
            <control shapeId="1864711" r:id="rId8" name="Option Button 7">
              <controlPr defaultSize="0" autoFill="0" autoLine="0" autoPict="0">
                <anchor moveWithCells="1">
                  <from>
                    <xdr:col>9</xdr:col>
                    <xdr:colOff>66675</xdr:colOff>
                    <xdr:row>25</xdr:row>
                    <xdr:rowOff>152400</xdr:rowOff>
                  </from>
                  <to>
                    <xdr:col>9</xdr:col>
                    <xdr:colOff>323850</xdr:colOff>
                    <xdr:row>27</xdr:row>
                    <xdr:rowOff>19050</xdr:rowOff>
                  </to>
                </anchor>
              </controlPr>
            </control>
          </mc:Choice>
        </mc:AlternateContent>
        <mc:AlternateContent xmlns:mc="http://schemas.openxmlformats.org/markup-compatibility/2006">
          <mc:Choice Requires="x14">
            <control shapeId="1864713" r:id="rId9" name="Option Button 9">
              <controlPr defaultSize="0" autoFill="0" autoLine="0" autoPict="0">
                <anchor moveWithCells="1">
                  <from>
                    <xdr:col>10</xdr:col>
                    <xdr:colOff>19050</xdr:colOff>
                    <xdr:row>25</xdr:row>
                    <xdr:rowOff>152400</xdr:rowOff>
                  </from>
                  <to>
                    <xdr:col>10</xdr:col>
                    <xdr:colOff>266700</xdr:colOff>
                    <xdr:row>27</xdr:row>
                    <xdr:rowOff>19050</xdr:rowOff>
                  </to>
                </anchor>
              </controlPr>
            </control>
          </mc:Choice>
        </mc:AlternateContent>
        <mc:AlternateContent xmlns:mc="http://schemas.openxmlformats.org/markup-compatibility/2006">
          <mc:Choice Requires="x14">
            <control shapeId="1864714" r:id="rId10" name="Option Button 10">
              <controlPr defaultSize="0" autoFill="0" autoLine="0" autoPict="0">
                <anchor moveWithCells="1">
                  <from>
                    <xdr:col>11</xdr:col>
                    <xdr:colOff>19050</xdr:colOff>
                    <xdr:row>25</xdr:row>
                    <xdr:rowOff>152400</xdr:rowOff>
                  </from>
                  <to>
                    <xdr:col>11</xdr:col>
                    <xdr:colOff>247650</xdr:colOff>
                    <xdr:row>27</xdr:row>
                    <xdr:rowOff>19050</xdr:rowOff>
                  </to>
                </anchor>
              </controlPr>
            </control>
          </mc:Choice>
        </mc:AlternateContent>
        <mc:AlternateContent xmlns:mc="http://schemas.openxmlformats.org/markup-compatibility/2006">
          <mc:Choice Requires="x14">
            <control shapeId="1864715" r:id="rId11" name="Check Box 11">
              <controlPr defaultSize="0" autoFill="0" autoLine="0" autoPict="0">
                <anchor moveWithCells="1">
                  <from>
                    <xdr:col>10</xdr:col>
                    <xdr:colOff>28575</xdr:colOff>
                    <xdr:row>23</xdr:row>
                    <xdr:rowOff>19050</xdr:rowOff>
                  </from>
                  <to>
                    <xdr:col>10</xdr:col>
                    <xdr:colOff>742950</xdr:colOff>
                    <xdr:row>23</xdr:row>
                    <xdr:rowOff>171450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6BE8543B-23C1-4B44-A23D-72282BF299E0}">
            <xm:f>AND(#REF!=0,Fallerfassung!$V$3&gt;0)</xm:f>
            <x14:dxf>
              <font>
                <color theme="1"/>
              </font>
              <fill>
                <patternFill>
                  <bgColor theme="4" tint="0.59996337778862885"/>
                </patternFill>
              </fill>
            </x14:dxf>
          </x14:cfRule>
          <xm:sqref>J23</xm:sqref>
        </x14:conditionalFormatting>
        <x14:conditionalFormatting xmlns:xm="http://schemas.microsoft.com/office/excel/2006/main">
          <x14:cfRule type="expression" priority="829" id="{F0BBF9B6-4264-4452-9C7F-141B34EA67F1}">
            <xm:f>AND($J$23="",Fallerfassung!$V$3&gt;0)</xm:f>
            <x14:dxf>
              <fill>
                <patternFill>
                  <bgColor theme="4" tint="0.59996337778862885"/>
                </patternFill>
              </fill>
            </x14:dxf>
          </x14:cfRule>
          <xm:sqref>K23</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11"/>
  <dimension ref="A1:BH372"/>
  <sheetViews>
    <sheetView topLeftCell="A187" zoomScaleNormal="100" workbookViewId="0">
      <pane xSplit="1" topLeftCell="B1" activePane="topRight" state="frozen"/>
      <selection activeCell="A119" sqref="A119"/>
      <selection pane="topRight" activeCell="A194" sqref="A194:AY194"/>
    </sheetView>
  </sheetViews>
  <sheetFormatPr baseColWidth="10" defaultColWidth="11" defaultRowHeight="14.25"/>
  <cols>
    <col min="1" max="1" width="11.75" style="97" customWidth="1"/>
    <col min="2" max="15" width="5" style="75" customWidth="1"/>
    <col min="16" max="16" width="5" style="210" customWidth="1"/>
    <col min="17" max="51" width="5" style="75" customWidth="1"/>
  </cols>
  <sheetData>
    <row r="1" spans="1:53" ht="15">
      <c r="Q1" s="98"/>
    </row>
    <row r="2" spans="1:53" ht="15">
      <c r="Q2" s="98"/>
    </row>
    <row r="3" spans="1:53" ht="15">
      <c r="A3" s="99">
        <f>MAX(A9:A300)</f>
        <v>45412</v>
      </c>
      <c r="Q3" s="98"/>
    </row>
    <row r="4" spans="1:53" ht="15" customHeight="1">
      <c r="A4" s="2147" t="s">
        <v>158</v>
      </c>
      <c r="B4" s="2147"/>
      <c r="C4" s="2147"/>
      <c r="D4" s="2147"/>
      <c r="E4" s="2147"/>
      <c r="F4" s="2147"/>
      <c r="G4" s="2147"/>
      <c r="H4" s="2147"/>
      <c r="I4" s="2147"/>
      <c r="J4" s="2147"/>
      <c r="K4" s="2147"/>
      <c r="L4" s="2147"/>
      <c r="M4" s="2147"/>
      <c r="N4" s="2147"/>
      <c r="O4" s="2147"/>
      <c r="P4" s="2147"/>
      <c r="Q4" s="2147"/>
      <c r="R4" s="2147"/>
      <c r="S4" s="2147"/>
      <c r="T4" s="2147"/>
      <c r="U4" s="2147"/>
      <c r="V4" s="2147"/>
    </row>
    <row r="5" spans="1:53" ht="15.75">
      <c r="A5" s="101"/>
      <c r="B5" s="100"/>
      <c r="C5" s="100"/>
      <c r="D5" s="100"/>
      <c r="E5" s="100"/>
      <c r="F5" s="100"/>
      <c r="G5" s="102"/>
      <c r="H5" s="102"/>
      <c r="I5" s="102"/>
      <c r="J5" s="102"/>
      <c r="K5" s="102"/>
      <c r="P5" s="211"/>
    </row>
    <row r="6" spans="1:53" ht="15" customHeight="1">
      <c r="A6" s="103">
        <f>MAX(A9:B372)</f>
        <v>45412</v>
      </c>
      <c r="B6" s="104" t="s">
        <v>30</v>
      </c>
      <c r="C6" s="104"/>
      <c r="D6" s="104"/>
      <c r="E6" s="104"/>
      <c r="F6" s="104"/>
      <c r="G6" s="104"/>
      <c r="H6" s="104"/>
      <c r="I6" s="104"/>
      <c r="J6" s="104"/>
      <c r="K6" s="104"/>
      <c r="L6" s="104" t="s">
        <v>30</v>
      </c>
      <c r="P6" s="211">
        <f>COUNTIF(P9:P140,0)</f>
        <v>0</v>
      </c>
      <c r="V6" s="104" t="s">
        <v>30</v>
      </c>
      <c r="Z6" s="98"/>
      <c r="AF6" s="104" t="s">
        <v>30</v>
      </c>
      <c r="AJ6" s="98"/>
      <c r="AP6" s="104" t="s">
        <v>30</v>
      </c>
      <c r="AT6" s="98"/>
    </row>
    <row r="7" spans="1:53" s="75" customFormat="1">
      <c r="A7" s="105"/>
      <c r="B7" s="106" t="s">
        <v>31</v>
      </c>
      <c r="C7" s="106"/>
      <c r="D7" s="106"/>
      <c r="E7" s="106"/>
      <c r="F7" s="106"/>
      <c r="G7" s="106"/>
      <c r="H7" s="106"/>
      <c r="I7" s="106"/>
      <c r="J7" s="106"/>
      <c r="K7" s="106"/>
      <c r="L7" s="106" t="s">
        <v>32</v>
      </c>
      <c r="M7" s="106"/>
      <c r="N7" s="106"/>
      <c r="O7" s="106"/>
      <c r="P7" s="212"/>
      <c r="Q7" s="106"/>
      <c r="R7" s="106"/>
      <c r="S7" s="106"/>
      <c r="T7" s="106"/>
      <c r="U7" s="106"/>
      <c r="V7" s="106" t="s">
        <v>32</v>
      </c>
      <c r="W7" s="106"/>
      <c r="X7" s="106"/>
      <c r="Y7" s="106"/>
      <c r="Z7" s="106"/>
      <c r="AA7" s="106"/>
      <c r="AB7" s="106"/>
      <c r="AC7" s="106"/>
      <c r="AD7" s="106"/>
      <c r="AE7" s="106"/>
      <c r="AF7" s="106" t="s">
        <v>32</v>
      </c>
      <c r="AG7" s="106"/>
      <c r="AH7" s="106"/>
      <c r="AI7" s="106"/>
      <c r="AJ7" s="106"/>
      <c r="AK7" s="106"/>
      <c r="AL7" s="106"/>
      <c r="AM7" s="106"/>
      <c r="AN7" s="106"/>
      <c r="AO7" s="106"/>
      <c r="AP7" s="106" t="s">
        <v>32</v>
      </c>
      <c r="AQ7" s="106"/>
      <c r="AR7" s="106"/>
      <c r="AS7" s="106"/>
      <c r="AT7" s="106"/>
      <c r="AU7" s="106"/>
      <c r="AV7" s="106"/>
      <c r="AW7" s="106"/>
      <c r="AX7" s="106"/>
      <c r="AY7" s="106"/>
    </row>
    <row r="8" spans="1:53">
      <c r="A8"/>
      <c r="B8" s="106">
        <v>1</v>
      </c>
      <c r="C8" s="106">
        <v>2</v>
      </c>
      <c r="D8" s="106">
        <v>3</v>
      </c>
      <c r="E8" s="106">
        <v>4</v>
      </c>
      <c r="F8" s="106">
        <v>5</v>
      </c>
      <c r="G8" s="106">
        <v>6</v>
      </c>
      <c r="H8" s="106">
        <v>7</v>
      </c>
      <c r="I8" s="106">
        <v>8</v>
      </c>
      <c r="J8" s="106">
        <v>9</v>
      </c>
      <c r="K8" s="106">
        <v>10</v>
      </c>
      <c r="L8" s="106">
        <v>11</v>
      </c>
      <c r="M8" s="106">
        <v>12</v>
      </c>
      <c r="N8" s="106">
        <v>13</v>
      </c>
      <c r="O8" s="106">
        <v>14</v>
      </c>
      <c r="P8" s="212">
        <v>15</v>
      </c>
      <c r="Q8" s="106">
        <v>16</v>
      </c>
      <c r="R8" s="106">
        <v>17</v>
      </c>
      <c r="S8" s="106">
        <v>18</v>
      </c>
      <c r="T8" s="106">
        <v>19</v>
      </c>
      <c r="U8" s="106">
        <v>20</v>
      </c>
      <c r="V8" s="106">
        <v>21</v>
      </c>
      <c r="W8" s="106">
        <v>22</v>
      </c>
      <c r="X8" s="106">
        <v>23</v>
      </c>
      <c r="Y8" s="106">
        <v>24</v>
      </c>
      <c r="Z8" s="106">
        <v>25</v>
      </c>
      <c r="AA8" s="106">
        <v>26</v>
      </c>
      <c r="AB8" s="106">
        <v>27</v>
      </c>
      <c r="AC8" s="106">
        <v>28</v>
      </c>
      <c r="AD8" s="106">
        <v>29</v>
      </c>
      <c r="AE8" s="106">
        <v>30</v>
      </c>
      <c r="AF8" s="106">
        <v>31</v>
      </c>
      <c r="AG8" s="106">
        <v>32</v>
      </c>
      <c r="AH8" s="106">
        <v>33</v>
      </c>
      <c r="AI8" s="106">
        <v>34</v>
      </c>
      <c r="AJ8" s="106">
        <v>35</v>
      </c>
      <c r="AK8" s="106">
        <v>36</v>
      </c>
      <c r="AL8" s="106">
        <v>37</v>
      </c>
      <c r="AM8" s="106">
        <v>38</v>
      </c>
      <c r="AN8" s="106">
        <v>39</v>
      </c>
      <c r="AO8" s="106">
        <v>40</v>
      </c>
      <c r="AP8" s="106">
        <v>41</v>
      </c>
      <c r="AQ8" s="106">
        <v>42</v>
      </c>
      <c r="AR8" s="106">
        <v>43</v>
      </c>
      <c r="AS8" s="106">
        <v>44</v>
      </c>
      <c r="AT8" s="106">
        <v>45</v>
      </c>
      <c r="AU8" s="106">
        <v>46</v>
      </c>
      <c r="AV8" s="106">
        <v>47</v>
      </c>
      <c r="AW8" s="106">
        <v>48</v>
      </c>
      <c r="AX8" s="106">
        <v>49</v>
      </c>
      <c r="AY8" s="106">
        <v>50</v>
      </c>
    </row>
    <row r="9" spans="1:53" s="108" customFormat="1" ht="12.75">
      <c r="A9" s="107">
        <v>39813</v>
      </c>
      <c r="B9" s="369">
        <v>3.93</v>
      </c>
      <c r="C9" s="369">
        <v>4.07</v>
      </c>
      <c r="D9" s="369">
        <v>4.2300000000000004</v>
      </c>
      <c r="E9" s="369">
        <v>4.38</v>
      </c>
      <c r="F9" s="369">
        <v>4.5</v>
      </c>
      <c r="G9" s="369">
        <v>4.62</v>
      </c>
      <c r="H9" s="369">
        <v>4.72</v>
      </c>
      <c r="I9" s="369">
        <v>4.82</v>
      </c>
      <c r="J9" s="369">
        <v>4.91</v>
      </c>
      <c r="K9" s="369">
        <v>4.9800000000000004</v>
      </c>
      <c r="L9" s="369">
        <v>5.05</v>
      </c>
      <c r="M9" s="369">
        <v>5.1100000000000003</v>
      </c>
      <c r="N9" s="369">
        <v>5.16</v>
      </c>
      <c r="O9" s="369">
        <v>5.21</v>
      </c>
      <c r="P9" s="459">
        <v>5.25</v>
      </c>
      <c r="Q9" s="369">
        <v>5.28</v>
      </c>
      <c r="R9" s="369">
        <v>5.31</v>
      </c>
      <c r="S9" s="369">
        <v>5.34</v>
      </c>
      <c r="T9" s="369">
        <v>5.36</v>
      </c>
      <c r="U9" s="369">
        <v>5.38</v>
      </c>
      <c r="V9" s="369">
        <v>5.39</v>
      </c>
      <c r="W9" s="369">
        <v>5.39</v>
      </c>
      <c r="X9" s="369">
        <v>5.4</v>
      </c>
      <c r="Y9" s="369">
        <v>5.4</v>
      </c>
      <c r="Z9" s="369">
        <v>5.41</v>
      </c>
      <c r="AA9" s="369">
        <v>5.4</v>
      </c>
      <c r="AB9" s="369">
        <v>5.4</v>
      </c>
      <c r="AC9" s="369">
        <v>5.39</v>
      </c>
      <c r="AD9" s="369">
        <v>5.39</v>
      </c>
      <c r="AE9" s="369">
        <v>5.38</v>
      </c>
      <c r="AF9" s="369">
        <v>5.37</v>
      </c>
      <c r="AG9" s="369">
        <v>5.37</v>
      </c>
      <c r="AH9" s="369">
        <v>5.36</v>
      </c>
      <c r="AI9" s="369">
        <v>5.35</v>
      </c>
      <c r="AJ9" s="369">
        <v>5.34</v>
      </c>
      <c r="AK9" s="369">
        <v>5.33</v>
      </c>
      <c r="AL9" s="369">
        <v>5.33</v>
      </c>
      <c r="AM9" s="369">
        <v>5.32</v>
      </c>
      <c r="AN9" s="369">
        <v>5.32</v>
      </c>
      <c r="AO9" s="369">
        <v>5.31</v>
      </c>
      <c r="AP9" s="369">
        <v>5.3</v>
      </c>
      <c r="AQ9" s="369">
        <v>5.29</v>
      </c>
      <c r="AR9" s="369">
        <v>5.28</v>
      </c>
      <c r="AS9" s="369">
        <v>5.27</v>
      </c>
      <c r="AT9" s="369">
        <v>5.26</v>
      </c>
      <c r="AU9" s="369">
        <v>5.26</v>
      </c>
      <c r="AV9" s="369">
        <v>5.25</v>
      </c>
      <c r="AW9" s="369">
        <v>5.24</v>
      </c>
      <c r="AX9" s="369">
        <v>5.23</v>
      </c>
      <c r="AY9" s="369">
        <v>5.23</v>
      </c>
      <c r="AZ9" s="158">
        <v>2.75E-2</v>
      </c>
      <c r="BA9" s="108">
        <f>+AZ9*100</f>
        <v>2.75</v>
      </c>
    </row>
    <row r="10" spans="1:53" s="110" customFormat="1" ht="12.75">
      <c r="A10" s="109">
        <v>39844</v>
      </c>
      <c r="B10" s="369">
        <v>3.94</v>
      </c>
      <c r="C10" s="369">
        <v>4.08</v>
      </c>
      <c r="D10" s="369">
        <v>4.24</v>
      </c>
      <c r="E10" s="369">
        <v>4.4000000000000004</v>
      </c>
      <c r="F10" s="369">
        <v>4.51</v>
      </c>
      <c r="G10" s="369">
        <v>4.62</v>
      </c>
      <c r="H10" s="369">
        <v>4.7300000000000004</v>
      </c>
      <c r="I10" s="369">
        <v>4.83</v>
      </c>
      <c r="J10" s="369">
        <v>4.91</v>
      </c>
      <c r="K10" s="369">
        <v>4.99</v>
      </c>
      <c r="L10" s="369">
        <v>5.0599999999999996</v>
      </c>
      <c r="M10" s="369">
        <v>5.12</v>
      </c>
      <c r="N10" s="369">
        <v>5.17</v>
      </c>
      <c r="O10" s="369">
        <v>5.22</v>
      </c>
      <c r="P10" s="459">
        <v>5.26</v>
      </c>
      <c r="Q10" s="369">
        <v>5.29</v>
      </c>
      <c r="R10" s="369">
        <v>5.32</v>
      </c>
      <c r="S10" s="369">
        <v>5.35</v>
      </c>
      <c r="T10" s="369">
        <v>5.37</v>
      </c>
      <c r="U10" s="369">
        <v>5.39</v>
      </c>
      <c r="V10" s="369">
        <v>5.4</v>
      </c>
      <c r="W10" s="369">
        <v>5.4</v>
      </c>
      <c r="X10" s="369">
        <v>5.41</v>
      </c>
      <c r="Y10" s="369">
        <v>5.41</v>
      </c>
      <c r="Z10" s="369">
        <v>5.42</v>
      </c>
      <c r="AA10" s="369">
        <v>5.41</v>
      </c>
      <c r="AB10" s="369">
        <v>5.4</v>
      </c>
      <c r="AC10" s="369">
        <v>5.4</v>
      </c>
      <c r="AD10" s="369">
        <v>5.39</v>
      </c>
      <c r="AE10" s="369">
        <v>5.39</v>
      </c>
      <c r="AF10" s="369">
        <v>5.38</v>
      </c>
      <c r="AG10" s="369">
        <v>5.37</v>
      </c>
      <c r="AH10" s="369">
        <v>5.36</v>
      </c>
      <c r="AI10" s="369">
        <v>5.35</v>
      </c>
      <c r="AJ10" s="369">
        <v>5.35</v>
      </c>
      <c r="AK10" s="369">
        <v>5.34</v>
      </c>
      <c r="AL10" s="369">
        <v>5.33</v>
      </c>
      <c r="AM10" s="369">
        <v>5.32</v>
      </c>
      <c r="AN10" s="369">
        <v>5.32</v>
      </c>
      <c r="AO10" s="369">
        <v>5.31</v>
      </c>
      <c r="AP10" s="369">
        <v>5.3</v>
      </c>
      <c r="AQ10" s="369">
        <v>5.29</v>
      </c>
      <c r="AR10" s="369">
        <v>5.28</v>
      </c>
      <c r="AS10" s="369">
        <v>5.27</v>
      </c>
      <c r="AT10" s="369">
        <v>5.27</v>
      </c>
      <c r="AU10" s="369">
        <v>5.26</v>
      </c>
      <c r="AV10" s="369">
        <v>5.25</v>
      </c>
      <c r="AW10" s="369">
        <v>5.24</v>
      </c>
      <c r="AX10" s="369">
        <v>5.24</v>
      </c>
      <c r="AY10" s="369">
        <v>5.23</v>
      </c>
      <c r="AZ10" s="158">
        <v>2.75E-2</v>
      </c>
      <c r="BA10" s="108">
        <f t="shared" ref="BA10:BA73" si="0">+AZ10*100</f>
        <v>2.75</v>
      </c>
    </row>
    <row r="11" spans="1:53" s="110" customFormat="1" ht="12.75">
      <c r="A11" s="109">
        <v>39872</v>
      </c>
      <c r="B11" s="369">
        <v>3.94</v>
      </c>
      <c r="C11" s="369">
        <v>4.08</v>
      </c>
      <c r="D11" s="369">
        <v>4.24</v>
      </c>
      <c r="E11" s="369">
        <v>4.41</v>
      </c>
      <c r="F11" s="369">
        <v>4.51</v>
      </c>
      <c r="G11" s="369">
        <v>4.63</v>
      </c>
      <c r="H11" s="369">
        <v>4.74</v>
      </c>
      <c r="I11" s="369">
        <v>4.83</v>
      </c>
      <c r="J11" s="369">
        <v>4.92</v>
      </c>
      <c r="K11" s="369">
        <v>5</v>
      </c>
      <c r="L11" s="369">
        <v>5.07</v>
      </c>
      <c r="M11" s="369">
        <v>5.13</v>
      </c>
      <c r="N11" s="369">
        <v>5.18</v>
      </c>
      <c r="O11" s="369">
        <v>5.23</v>
      </c>
      <c r="P11" s="459">
        <v>5.27</v>
      </c>
      <c r="Q11" s="369">
        <v>5.3</v>
      </c>
      <c r="R11" s="369">
        <v>5.33</v>
      </c>
      <c r="S11" s="369">
        <v>5.36</v>
      </c>
      <c r="T11" s="369">
        <v>5.38</v>
      </c>
      <c r="U11" s="369">
        <v>5.4</v>
      </c>
      <c r="V11" s="369">
        <v>5.4</v>
      </c>
      <c r="W11" s="369">
        <v>5.41</v>
      </c>
      <c r="X11" s="369">
        <v>5.41</v>
      </c>
      <c r="Y11" s="369">
        <v>5.42</v>
      </c>
      <c r="Z11" s="369">
        <v>5.42</v>
      </c>
      <c r="AA11" s="369">
        <v>5.42</v>
      </c>
      <c r="AB11" s="369">
        <v>5.41</v>
      </c>
      <c r="AC11" s="369">
        <v>5.4</v>
      </c>
      <c r="AD11" s="369">
        <v>5.4</v>
      </c>
      <c r="AE11" s="369">
        <v>5.39</v>
      </c>
      <c r="AF11" s="369">
        <v>5.38</v>
      </c>
      <c r="AG11" s="369">
        <v>5.37</v>
      </c>
      <c r="AH11" s="369">
        <v>5.36</v>
      </c>
      <c r="AI11" s="369">
        <v>5.35</v>
      </c>
      <c r="AJ11" s="369">
        <v>5.35</v>
      </c>
      <c r="AK11" s="369">
        <v>5.34</v>
      </c>
      <c r="AL11" s="369">
        <v>5.33</v>
      </c>
      <c r="AM11" s="369">
        <v>5.32</v>
      </c>
      <c r="AN11" s="369">
        <v>5.32</v>
      </c>
      <c r="AO11" s="369">
        <v>5.31</v>
      </c>
      <c r="AP11" s="369">
        <v>5.3</v>
      </c>
      <c r="AQ11" s="369">
        <v>5.29</v>
      </c>
      <c r="AR11" s="369">
        <v>5.28</v>
      </c>
      <c r="AS11" s="369">
        <v>5.27</v>
      </c>
      <c r="AT11" s="369">
        <v>5.26</v>
      </c>
      <c r="AU11" s="369">
        <v>5.26</v>
      </c>
      <c r="AV11" s="369">
        <v>5.25</v>
      </c>
      <c r="AW11" s="369">
        <v>5.24</v>
      </c>
      <c r="AX11" s="369">
        <v>5.23</v>
      </c>
      <c r="AY11" s="369">
        <v>5.23</v>
      </c>
      <c r="AZ11" s="158">
        <v>2.75E-2</v>
      </c>
      <c r="BA11" s="108">
        <f t="shared" si="0"/>
        <v>2.75</v>
      </c>
    </row>
    <row r="12" spans="1:53" s="110" customFormat="1" ht="12.75">
      <c r="A12" s="109">
        <v>39903</v>
      </c>
      <c r="B12" s="369">
        <v>3.95</v>
      </c>
      <c r="C12" s="369">
        <v>4.08</v>
      </c>
      <c r="D12" s="369">
        <v>4.24</v>
      </c>
      <c r="E12" s="369">
        <v>4.41</v>
      </c>
      <c r="F12" s="369">
        <v>4.51</v>
      </c>
      <c r="G12" s="369">
        <v>4.63</v>
      </c>
      <c r="H12" s="369">
        <v>4.74</v>
      </c>
      <c r="I12" s="369">
        <v>4.84</v>
      </c>
      <c r="J12" s="369">
        <v>4.93</v>
      </c>
      <c r="K12" s="369">
        <v>5.01</v>
      </c>
      <c r="L12" s="369">
        <v>5.08</v>
      </c>
      <c r="M12" s="369">
        <v>5.13</v>
      </c>
      <c r="N12" s="369">
        <v>5.19</v>
      </c>
      <c r="O12" s="369">
        <v>5.24</v>
      </c>
      <c r="P12" s="459">
        <v>5.28</v>
      </c>
      <c r="Q12" s="369">
        <v>5.31</v>
      </c>
      <c r="R12" s="369">
        <v>5.34</v>
      </c>
      <c r="S12" s="369">
        <v>5.37</v>
      </c>
      <c r="T12" s="369">
        <v>5.39</v>
      </c>
      <c r="U12" s="369">
        <v>5.41</v>
      </c>
      <c r="V12" s="369">
        <v>5.41</v>
      </c>
      <c r="W12" s="369">
        <v>5.42</v>
      </c>
      <c r="X12" s="369">
        <v>5.42</v>
      </c>
      <c r="Y12" s="369">
        <v>5.43</v>
      </c>
      <c r="Z12" s="369">
        <v>5.43</v>
      </c>
      <c r="AA12" s="369">
        <v>5.42</v>
      </c>
      <c r="AB12" s="369">
        <v>5.42</v>
      </c>
      <c r="AC12" s="369">
        <v>5.41</v>
      </c>
      <c r="AD12" s="369">
        <v>5.4</v>
      </c>
      <c r="AE12" s="369">
        <v>5.4</v>
      </c>
      <c r="AF12" s="369">
        <v>5.39</v>
      </c>
      <c r="AG12" s="369">
        <v>5.38</v>
      </c>
      <c r="AH12" s="369">
        <v>5.37</v>
      </c>
      <c r="AI12" s="369">
        <v>5.36</v>
      </c>
      <c r="AJ12" s="369">
        <v>5.35</v>
      </c>
      <c r="AK12" s="369">
        <v>5.34</v>
      </c>
      <c r="AL12" s="369">
        <v>5.34</v>
      </c>
      <c r="AM12" s="369">
        <v>5.33</v>
      </c>
      <c r="AN12" s="369">
        <v>5.32</v>
      </c>
      <c r="AO12" s="369">
        <v>5.32</v>
      </c>
      <c r="AP12" s="369">
        <v>5.31</v>
      </c>
      <c r="AQ12" s="369">
        <v>5.3</v>
      </c>
      <c r="AR12" s="369">
        <v>5.29</v>
      </c>
      <c r="AS12" s="369">
        <v>5.28</v>
      </c>
      <c r="AT12" s="369">
        <v>5.27</v>
      </c>
      <c r="AU12" s="369">
        <v>5.26</v>
      </c>
      <c r="AV12" s="369">
        <v>5.25</v>
      </c>
      <c r="AW12" s="369">
        <v>5.25</v>
      </c>
      <c r="AX12" s="369">
        <v>5.24</v>
      </c>
      <c r="AY12" s="369">
        <v>5.23</v>
      </c>
      <c r="AZ12" s="158">
        <v>2.75E-2</v>
      </c>
      <c r="BA12" s="108">
        <f t="shared" si="0"/>
        <v>2.75</v>
      </c>
    </row>
    <row r="13" spans="1:53" s="110" customFormat="1" ht="12.75">
      <c r="A13" s="109">
        <v>39933</v>
      </c>
      <c r="B13" s="369">
        <v>3.95</v>
      </c>
      <c r="C13" s="369">
        <v>4.08</v>
      </c>
      <c r="D13" s="369">
        <v>4.24</v>
      </c>
      <c r="E13" s="369">
        <v>4.41</v>
      </c>
      <c r="F13" s="369">
        <v>4.51</v>
      </c>
      <c r="G13" s="369">
        <v>4.63</v>
      </c>
      <c r="H13" s="369">
        <v>4.74</v>
      </c>
      <c r="I13" s="369">
        <v>4.84</v>
      </c>
      <c r="J13" s="369">
        <v>4.93</v>
      </c>
      <c r="K13" s="369">
        <v>5.01</v>
      </c>
      <c r="L13" s="369">
        <v>5.08</v>
      </c>
      <c r="M13" s="369">
        <v>5.14</v>
      </c>
      <c r="N13" s="369">
        <v>5.2</v>
      </c>
      <c r="O13" s="369">
        <v>5.24</v>
      </c>
      <c r="P13" s="459">
        <v>5.29</v>
      </c>
      <c r="Q13" s="369">
        <v>5.32</v>
      </c>
      <c r="R13" s="369">
        <v>5.35</v>
      </c>
      <c r="S13" s="369">
        <v>5.37</v>
      </c>
      <c r="T13" s="369">
        <v>5.39</v>
      </c>
      <c r="U13" s="369">
        <v>5.41</v>
      </c>
      <c r="V13" s="369">
        <v>5.42</v>
      </c>
      <c r="W13" s="369">
        <v>5.42</v>
      </c>
      <c r="X13" s="369">
        <v>5.43</v>
      </c>
      <c r="Y13" s="369">
        <v>5.43</v>
      </c>
      <c r="Z13" s="369">
        <v>5.43</v>
      </c>
      <c r="AA13" s="369">
        <v>5.43</v>
      </c>
      <c r="AB13" s="369">
        <v>5.42</v>
      </c>
      <c r="AC13" s="369">
        <v>5.41</v>
      </c>
      <c r="AD13" s="369">
        <v>5.41</v>
      </c>
      <c r="AE13" s="369">
        <v>5.4</v>
      </c>
      <c r="AF13" s="369">
        <v>5.39</v>
      </c>
      <c r="AG13" s="369">
        <v>5.38</v>
      </c>
      <c r="AH13" s="369">
        <v>5.37</v>
      </c>
      <c r="AI13" s="369">
        <v>5.36</v>
      </c>
      <c r="AJ13" s="369">
        <v>5.35</v>
      </c>
      <c r="AK13" s="369">
        <v>5.35</v>
      </c>
      <c r="AL13" s="369">
        <v>5.34</v>
      </c>
      <c r="AM13" s="369">
        <v>5.33</v>
      </c>
      <c r="AN13" s="369">
        <v>5.32</v>
      </c>
      <c r="AO13" s="369">
        <v>5.32</v>
      </c>
      <c r="AP13" s="369">
        <v>5.31</v>
      </c>
      <c r="AQ13" s="369">
        <v>5.3</v>
      </c>
      <c r="AR13" s="369">
        <v>5.29</v>
      </c>
      <c r="AS13" s="369">
        <v>5.28</v>
      </c>
      <c r="AT13" s="369">
        <v>5.27</v>
      </c>
      <c r="AU13" s="369">
        <v>5.26</v>
      </c>
      <c r="AV13" s="369">
        <v>5.26</v>
      </c>
      <c r="AW13" s="369">
        <v>5.25</v>
      </c>
      <c r="AX13" s="369">
        <v>5.24</v>
      </c>
      <c r="AY13" s="369">
        <v>5.23</v>
      </c>
      <c r="AZ13" s="158">
        <v>2.75E-2</v>
      </c>
      <c r="BA13" s="108">
        <f t="shared" si="0"/>
        <v>2.75</v>
      </c>
    </row>
    <row r="14" spans="1:53" s="110" customFormat="1" ht="12.75">
      <c r="A14" s="109">
        <v>39964</v>
      </c>
      <c r="B14" s="369">
        <v>3.93</v>
      </c>
      <c r="C14" s="369">
        <v>4.07</v>
      </c>
      <c r="D14" s="369">
        <v>4.2300000000000004</v>
      </c>
      <c r="E14" s="369">
        <v>4.4000000000000004</v>
      </c>
      <c r="F14" s="369">
        <v>4.51</v>
      </c>
      <c r="G14" s="369">
        <v>4.63</v>
      </c>
      <c r="H14" s="369">
        <v>4.74</v>
      </c>
      <c r="I14" s="369">
        <v>4.84</v>
      </c>
      <c r="J14" s="369">
        <v>4.93</v>
      </c>
      <c r="K14" s="369">
        <v>5.01</v>
      </c>
      <c r="L14" s="369">
        <v>5.08</v>
      </c>
      <c r="M14" s="369">
        <v>5.14</v>
      </c>
      <c r="N14" s="369">
        <v>5.2</v>
      </c>
      <c r="O14" s="369">
        <v>5.25</v>
      </c>
      <c r="P14" s="459">
        <v>5.29</v>
      </c>
      <c r="Q14" s="369">
        <v>5.32</v>
      </c>
      <c r="R14" s="369">
        <v>5.35</v>
      </c>
      <c r="S14" s="369">
        <v>5.37</v>
      </c>
      <c r="T14" s="369">
        <v>5.4</v>
      </c>
      <c r="U14" s="369">
        <v>5.42</v>
      </c>
      <c r="V14" s="369">
        <v>5.42</v>
      </c>
      <c r="W14" s="369">
        <v>5.42</v>
      </c>
      <c r="X14" s="369">
        <v>5.43</v>
      </c>
      <c r="Y14" s="369">
        <v>5.43</v>
      </c>
      <c r="Z14" s="369">
        <v>5.43</v>
      </c>
      <c r="AA14" s="369">
        <v>5.43</v>
      </c>
      <c r="AB14" s="369">
        <v>5.42</v>
      </c>
      <c r="AC14" s="369">
        <v>5.41</v>
      </c>
      <c r="AD14" s="369">
        <v>5.41</v>
      </c>
      <c r="AE14" s="369">
        <v>5.4</v>
      </c>
      <c r="AF14" s="369">
        <v>5.39</v>
      </c>
      <c r="AG14" s="369">
        <v>5.38</v>
      </c>
      <c r="AH14" s="369">
        <v>5.37</v>
      </c>
      <c r="AI14" s="369">
        <v>5.36</v>
      </c>
      <c r="AJ14" s="369">
        <v>5.35</v>
      </c>
      <c r="AK14" s="369">
        <v>5.34</v>
      </c>
      <c r="AL14" s="369">
        <v>5.34</v>
      </c>
      <c r="AM14" s="369">
        <v>5.33</v>
      </c>
      <c r="AN14" s="369">
        <v>5.32</v>
      </c>
      <c r="AO14" s="369">
        <v>5.31</v>
      </c>
      <c r="AP14" s="369">
        <v>5.3</v>
      </c>
      <c r="AQ14" s="369">
        <v>5.29</v>
      </c>
      <c r="AR14" s="369">
        <v>5.29</v>
      </c>
      <c r="AS14" s="369">
        <v>5.28</v>
      </c>
      <c r="AT14" s="369">
        <v>5.27</v>
      </c>
      <c r="AU14" s="369">
        <v>5.26</v>
      </c>
      <c r="AV14" s="369">
        <v>5.25</v>
      </c>
      <c r="AW14" s="369">
        <v>5.24</v>
      </c>
      <c r="AX14" s="369">
        <v>5.24</v>
      </c>
      <c r="AY14" s="369">
        <v>5.23</v>
      </c>
      <c r="AZ14" s="158">
        <v>2.75E-2</v>
      </c>
      <c r="BA14" s="108">
        <f t="shared" si="0"/>
        <v>2.75</v>
      </c>
    </row>
    <row r="15" spans="1:53" s="110" customFormat="1" ht="12.75">
      <c r="A15" s="109">
        <v>39994</v>
      </c>
      <c r="B15" s="369">
        <v>3.92</v>
      </c>
      <c r="C15" s="369">
        <v>4.05</v>
      </c>
      <c r="D15" s="369">
        <v>4.22</v>
      </c>
      <c r="E15" s="369">
        <v>4.3899999999999997</v>
      </c>
      <c r="F15" s="369">
        <v>4.5</v>
      </c>
      <c r="G15" s="369">
        <v>4.62</v>
      </c>
      <c r="H15" s="369">
        <v>4.7300000000000004</v>
      </c>
      <c r="I15" s="369">
        <v>4.83</v>
      </c>
      <c r="J15" s="369">
        <v>4.92</v>
      </c>
      <c r="K15" s="369">
        <v>5</v>
      </c>
      <c r="L15" s="369">
        <v>5.08</v>
      </c>
      <c r="M15" s="369">
        <v>5.14</v>
      </c>
      <c r="N15" s="369">
        <v>5.19</v>
      </c>
      <c r="O15" s="369">
        <v>5.24</v>
      </c>
      <c r="P15" s="459">
        <v>5.29</v>
      </c>
      <c r="Q15" s="369">
        <v>5.32</v>
      </c>
      <c r="R15" s="369">
        <v>5.35</v>
      </c>
      <c r="S15" s="369">
        <v>5.37</v>
      </c>
      <c r="T15" s="369">
        <v>5.4</v>
      </c>
      <c r="U15" s="369">
        <v>5.42</v>
      </c>
      <c r="V15" s="369">
        <v>5.42</v>
      </c>
      <c r="W15" s="369">
        <v>5.42</v>
      </c>
      <c r="X15" s="369">
        <v>5.43</v>
      </c>
      <c r="Y15" s="369">
        <v>5.43</v>
      </c>
      <c r="Z15" s="369">
        <v>5.43</v>
      </c>
      <c r="AA15" s="369">
        <v>5.43</v>
      </c>
      <c r="AB15" s="369">
        <v>5.42</v>
      </c>
      <c r="AC15" s="369">
        <v>5.41</v>
      </c>
      <c r="AD15" s="369">
        <v>5.4</v>
      </c>
      <c r="AE15" s="369">
        <v>5.4</v>
      </c>
      <c r="AF15" s="369">
        <v>5.39</v>
      </c>
      <c r="AG15" s="369">
        <v>5.38</v>
      </c>
      <c r="AH15" s="369">
        <v>5.37</v>
      </c>
      <c r="AI15" s="369">
        <v>5.36</v>
      </c>
      <c r="AJ15" s="369">
        <v>5.35</v>
      </c>
      <c r="AK15" s="369">
        <v>5.34</v>
      </c>
      <c r="AL15" s="369">
        <v>5.33</v>
      </c>
      <c r="AM15" s="369">
        <v>5.33</v>
      </c>
      <c r="AN15" s="369">
        <v>5.32</v>
      </c>
      <c r="AO15" s="369">
        <v>5.31</v>
      </c>
      <c r="AP15" s="369">
        <v>5.3</v>
      </c>
      <c r="AQ15" s="369">
        <v>5.29</v>
      </c>
      <c r="AR15" s="369">
        <v>5.28</v>
      </c>
      <c r="AS15" s="369">
        <v>5.27</v>
      </c>
      <c r="AT15" s="369">
        <v>5.27</v>
      </c>
      <c r="AU15" s="369">
        <v>5.26</v>
      </c>
      <c r="AV15" s="369">
        <v>5.25</v>
      </c>
      <c r="AW15" s="369">
        <v>5.24</v>
      </c>
      <c r="AX15" s="369">
        <v>5.23</v>
      </c>
      <c r="AY15" s="369">
        <v>5.23</v>
      </c>
      <c r="AZ15" s="158">
        <v>2.75E-2</v>
      </c>
      <c r="BA15" s="108">
        <f t="shared" si="0"/>
        <v>2.75</v>
      </c>
    </row>
    <row r="16" spans="1:53" s="110" customFormat="1" ht="12.75">
      <c r="A16" s="109">
        <v>40025</v>
      </c>
      <c r="B16" s="369">
        <v>3.9</v>
      </c>
      <c r="C16" s="369">
        <v>4.04</v>
      </c>
      <c r="D16" s="369">
        <v>4.2</v>
      </c>
      <c r="E16" s="369">
        <v>4.38</v>
      </c>
      <c r="F16" s="369">
        <v>4.49</v>
      </c>
      <c r="G16" s="369">
        <v>4.6100000000000003</v>
      </c>
      <c r="H16" s="369">
        <v>4.72</v>
      </c>
      <c r="I16" s="369">
        <v>4.82</v>
      </c>
      <c r="J16" s="369">
        <v>4.91</v>
      </c>
      <c r="K16" s="369">
        <v>4.99</v>
      </c>
      <c r="L16" s="369">
        <v>5.07</v>
      </c>
      <c r="M16" s="369">
        <v>5.13</v>
      </c>
      <c r="N16" s="369">
        <v>5.19</v>
      </c>
      <c r="O16" s="369">
        <v>5.24</v>
      </c>
      <c r="P16" s="459">
        <v>5.28</v>
      </c>
      <c r="Q16" s="369">
        <v>5.31</v>
      </c>
      <c r="R16" s="369">
        <v>5.34</v>
      </c>
      <c r="S16" s="369">
        <v>5.37</v>
      </c>
      <c r="T16" s="369">
        <v>5.39</v>
      </c>
      <c r="U16" s="369">
        <v>5.41</v>
      </c>
      <c r="V16" s="369">
        <v>5.41</v>
      </c>
      <c r="W16" s="369">
        <v>5.42</v>
      </c>
      <c r="X16" s="369">
        <v>5.42</v>
      </c>
      <c r="Y16" s="369">
        <v>5.42</v>
      </c>
      <c r="Z16" s="369">
        <v>5.43</v>
      </c>
      <c r="AA16" s="369">
        <v>5.42</v>
      </c>
      <c r="AB16" s="369">
        <v>5.41</v>
      </c>
      <c r="AC16" s="369">
        <v>5.4</v>
      </c>
      <c r="AD16" s="369">
        <v>5.4</v>
      </c>
      <c r="AE16" s="369">
        <v>5.39</v>
      </c>
      <c r="AF16" s="369">
        <v>5.38</v>
      </c>
      <c r="AG16" s="369">
        <v>5.37</v>
      </c>
      <c r="AH16" s="369">
        <v>5.36</v>
      </c>
      <c r="AI16" s="369">
        <v>5.35</v>
      </c>
      <c r="AJ16" s="369">
        <v>5.34</v>
      </c>
      <c r="AK16" s="369">
        <v>5.33</v>
      </c>
      <c r="AL16" s="369">
        <v>5.32</v>
      </c>
      <c r="AM16" s="369">
        <v>5.32</v>
      </c>
      <c r="AN16" s="369">
        <v>5.31</v>
      </c>
      <c r="AO16" s="369">
        <v>5.3</v>
      </c>
      <c r="AP16" s="369">
        <v>5.29</v>
      </c>
      <c r="AQ16" s="369">
        <v>5.28</v>
      </c>
      <c r="AR16" s="369">
        <v>5.27</v>
      </c>
      <c r="AS16" s="369">
        <v>5.26</v>
      </c>
      <c r="AT16" s="369">
        <v>5.26</v>
      </c>
      <c r="AU16" s="369">
        <v>5.25</v>
      </c>
      <c r="AV16" s="369">
        <v>5.24</v>
      </c>
      <c r="AW16" s="369">
        <v>5.23</v>
      </c>
      <c r="AX16" s="369">
        <v>5.22</v>
      </c>
      <c r="AY16" s="369">
        <v>5.22</v>
      </c>
      <c r="AZ16" s="158">
        <v>2.75E-2</v>
      </c>
      <c r="BA16" s="108">
        <f t="shared" si="0"/>
        <v>2.75</v>
      </c>
    </row>
    <row r="17" spans="1:53" s="110" customFormat="1" ht="12.75">
      <c r="A17" s="109">
        <v>40056</v>
      </c>
      <c r="B17" s="369">
        <v>3.88</v>
      </c>
      <c r="C17" s="369">
        <v>4.0199999999999996</v>
      </c>
      <c r="D17" s="369">
        <v>4.1900000000000004</v>
      </c>
      <c r="E17" s="369">
        <v>4.3499999999999996</v>
      </c>
      <c r="F17" s="369">
        <v>4.4800000000000004</v>
      </c>
      <c r="G17" s="369">
        <v>4.5999999999999996</v>
      </c>
      <c r="H17" s="369">
        <v>4.72</v>
      </c>
      <c r="I17" s="369">
        <v>4.82</v>
      </c>
      <c r="J17" s="369">
        <v>4.91</v>
      </c>
      <c r="K17" s="369">
        <v>4.99</v>
      </c>
      <c r="L17" s="369">
        <v>5.0599999999999996</v>
      </c>
      <c r="M17" s="369">
        <v>5.12</v>
      </c>
      <c r="N17" s="369">
        <v>5.18</v>
      </c>
      <c r="O17" s="369">
        <v>5.23</v>
      </c>
      <c r="P17" s="459">
        <v>5.28</v>
      </c>
      <c r="Q17" s="369">
        <v>5.31</v>
      </c>
      <c r="R17" s="369">
        <v>5.34</v>
      </c>
      <c r="S17" s="369">
        <v>5.36</v>
      </c>
      <c r="T17" s="369">
        <v>5.39</v>
      </c>
      <c r="U17" s="369">
        <v>5.41</v>
      </c>
      <c r="V17" s="369">
        <v>5.41</v>
      </c>
      <c r="W17" s="369">
        <v>5.41</v>
      </c>
      <c r="X17" s="369">
        <v>5.42</v>
      </c>
      <c r="Y17" s="369">
        <v>5.42</v>
      </c>
      <c r="Z17" s="369">
        <v>5.42</v>
      </c>
      <c r="AA17" s="369">
        <v>5.41</v>
      </c>
      <c r="AB17" s="369">
        <v>5.41</v>
      </c>
      <c r="AC17" s="369">
        <v>5.4</v>
      </c>
      <c r="AD17" s="369">
        <v>5.39</v>
      </c>
      <c r="AE17" s="369">
        <v>5.39</v>
      </c>
      <c r="AF17" s="369">
        <v>5.38</v>
      </c>
      <c r="AG17" s="369">
        <v>5.36</v>
      </c>
      <c r="AH17" s="369">
        <v>5.35</v>
      </c>
      <c r="AI17" s="369">
        <v>5.34</v>
      </c>
      <c r="AJ17" s="369">
        <v>5.34</v>
      </c>
      <c r="AK17" s="369">
        <v>5.33</v>
      </c>
      <c r="AL17" s="369">
        <v>5.32</v>
      </c>
      <c r="AM17" s="369">
        <v>5.31</v>
      </c>
      <c r="AN17" s="369">
        <v>5.3</v>
      </c>
      <c r="AO17" s="369">
        <v>5.3</v>
      </c>
      <c r="AP17" s="369">
        <v>5.29</v>
      </c>
      <c r="AQ17" s="369">
        <v>5.28</v>
      </c>
      <c r="AR17" s="369">
        <v>5.27</v>
      </c>
      <c r="AS17" s="369">
        <v>5.26</v>
      </c>
      <c r="AT17" s="369">
        <v>5.25</v>
      </c>
      <c r="AU17" s="369">
        <v>5.24</v>
      </c>
      <c r="AV17" s="369">
        <v>5.23</v>
      </c>
      <c r="AW17" s="369">
        <v>5.23</v>
      </c>
      <c r="AX17" s="369">
        <v>5.22</v>
      </c>
      <c r="AY17" s="369">
        <v>5.21</v>
      </c>
      <c r="AZ17" s="158">
        <v>2.75E-2</v>
      </c>
      <c r="BA17" s="108">
        <f t="shared" si="0"/>
        <v>2.75</v>
      </c>
    </row>
    <row r="18" spans="1:53" s="110" customFormat="1" ht="12.75">
      <c r="A18" s="109">
        <v>40086</v>
      </c>
      <c r="B18" s="369">
        <v>3.87</v>
      </c>
      <c r="C18" s="369">
        <v>4.01</v>
      </c>
      <c r="D18" s="369">
        <v>4.18</v>
      </c>
      <c r="E18" s="369">
        <v>4.34</v>
      </c>
      <c r="F18" s="369">
        <v>4.47</v>
      </c>
      <c r="G18" s="369">
        <v>4.5999999999999996</v>
      </c>
      <c r="H18" s="369">
        <v>4.71</v>
      </c>
      <c r="I18" s="369">
        <v>4.8099999999999996</v>
      </c>
      <c r="J18" s="369">
        <v>4.9000000000000004</v>
      </c>
      <c r="K18" s="369">
        <v>4.9800000000000004</v>
      </c>
      <c r="L18" s="369">
        <v>5.0599999999999996</v>
      </c>
      <c r="M18" s="369">
        <v>5.12</v>
      </c>
      <c r="N18" s="369">
        <v>5.18</v>
      </c>
      <c r="O18" s="369">
        <v>5.23</v>
      </c>
      <c r="P18" s="459">
        <v>5.27</v>
      </c>
      <c r="Q18" s="369">
        <v>5.3</v>
      </c>
      <c r="R18" s="369">
        <v>5.33</v>
      </c>
      <c r="S18" s="369">
        <v>5.36</v>
      </c>
      <c r="T18" s="369">
        <v>5.38</v>
      </c>
      <c r="U18" s="369">
        <v>5.4</v>
      </c>
      <c r="V18" s="369">
        <v>5.41</v>
      </c>
      <c r="W18" s="369">
        <v>5.41</v>
      </c>
      <c r="X18" s="369">
        <v>5.41</v>
      </c>
      <c r="Y18" s="369">
        <v>5.41</v>
      </c>
      <c r="Z18" s="369">
        <v>5.42</v>
      </c>
      <c r="AA18" s="369">
        <v>5.41</v>
      </c>
      <c r="AB18" s="369">
        <v>5.4</v>
      </c>
      <c r="AC18" s="369">
        <v>5.39</v>
      </c>
      <c r="AD18" s="369">
        <v>5.39</v>
      </c>
      <c r="AE18" s="369">
        <v>5.38</v>
      </c>
      <c r="AF18" s="369">
        <v>5.37</v>
      </c>
      <c r="AG18" s="369">
        <v>5.36</v>
      </c>
      <c r="AH18" s="369">
        <v>5.35</v>
      </c>
      <c r="AI18" s="369">
        <v>5.34</v>
      </c>
      <c r="AJ18" s="369">
        <v>5.33</v>
      </c>
      <c r="AK18" s="369">
        <v>5.32</v>
      </c>
      <c r="AL18" s="369">
        <v>5.31</v>
      </c>
      <c r="AM18" s="369">
        <v>5.3</v>
      </c>
      <c r="AN18" s="369">
        <v>5.3</v>
      </c>
      <c r="AO18" s="369">
        <v>5.29</v>
      </c>
      <c r="AP18" s="369">
        <v>5.28</v>
      </c>
      <c r="AQ18" s="369">
        <v>5.27</v>
      </c>
      <c r="AR18" s="369">
        <v>5.26</v>
      </c>
      <c r="AS18" s="369">
        <v>5.25</v>
      </c>
      <c r="AT18" s="369">
        <v>5.24</v>
      </c>
      <c r="AU18" s="369">
        <v>5.23</v>
      </c>
      <c r="AV18" s="369">
        <v>5.23</v>
      </c>
      <c r="AW18" s="369">
        <v>5.22</v>
      </c>
      <c r="AX18" s="369">
        <v>5.21</v>
      </c>
      <c r="AY18" s="369">
        <v>5.2</v>
      </c>
      <c r="AZ18" s="158">
        <v>2.75E-2</v>
      </c>
      <c r="BA18" s="108">
        <f t="shared" si="0"/>
        <v>2.75</v>
      </c>
    </row>
    <row r="19" spans="1:53" s="110" customFormat="1" ht="12.75">
      <c r="A19" s="109">
        <v>40117</v>
      </c>
      <c r="B19" s="369">
        <v>3.85</v>
      </c>
      <c r="C19" s="369">
        <v>4</v>
      </c>
      <c r="D19" s="369">
        <v>4.17</v>
      </c>
      <c r="E19" s="369">
        <v>4.33</v>
      </c>
      <c r="F19" s="369">
        <v>4.46</v>
      </c>
      <c r="G19" s="369">
        <v>4.58</v>
      </c>
      <c r="H19" s="369">
        <v>4.7</v>
      </c>
      <c r="I19" s="369">
        <v>4.8</v>
      </c>
      <c r="J19" s="369">
        <v>4.8899999999999997</v>
      </c>
      <c r="K19" s="369">
        <v>4.97</v>
      </c>
      <c r="L19" s="369">
        <v>5.04</v>
      </c>
      <c r="M19" s="369">
        <v>5.1100000000000003</v>
      </c>
      <c r="N19" s="369">
        <v>5.17</v>
      </c>
      <c r="O19" s="369">
        <v>5.22</v>
      </c>
      <c r="P19" s="459">
        <v>5.26</v>
      </c>
      <c r="Q19" s="369">
        <v>5.29</v>
      </c>
      <c r="R19" s="369">
        <v>5.32</v>
      </c>
      <c r="S19" s="369">
        <v>5.35</v>
      </c>
      <c r="T19" s="369">
        <v>5.37</v>
      </c>
      <c r="U19" s="369">
        <v>5.39</v>
      </c>
      <c r="V19" s="369">
        <v>5.39</v>
      </c>
      <c r="W19" s="369">
        <v>5.4</v>
      </c>
      <c r="X19" s="369">
        <v>5.4</v>
      </c>
      <c r="Y19" s="369">
        <v>5.4</v>
      </c>
      <c r="Z19" s="369">
        <v>5.4</v>
      </c>
      <c r="AA19" s="369">
        <v>5.4</v>
      </c>
      <c r="AB19" s="369">
        <v>5.39</v>
      </c>
      <c r="AC19" s="369">
        <v>5.38</v>
      </c>
      <c r="AD19" s="369">
        <v>5.37</v>
      </c>
      <c r="AE19" s="369">
        <v>5.37</v>
      </c>
      <c r="AF19" s="369">
        <v>5.36</v>
      </c>
      <c r="AG19" s="369">
        <v>5.34</v>
      </c>
      <c r="AH19" s="369">
        <v>5.33</v>
      </c>
      <c r="AI19" s="369">
        <v>5.32</v>
      </c>
      <c r="AJ19" s="369">
        <v>5.31</v>
      </c>
      <c r="AK19" s="369">
        <v>5.31</v>
      </c>
      <c r="AL19" s="369">
        <v>5.3</v>
      </c>
      <c r="AM19" s="369">
        <v>5.29</v>
      </c>
      <c r="AN19" s="369">
        <v>5.28</v>
      </c>
      <c r="AO19" s="369">
        <v>5.27</v>
      </c>
      <c r="AP19" s="369">
        <v>5.26</v>
      </c>
      <c r="AQ19" s="369">
        <v>5.25</v>
      </c>
      <c r="AR19" s="369">
        <v>5.25</v>
      </c>
      <c r="AS19" s="369">
        <v>5.24</v>
      </c>
      <c r="AT19" s="369">
        <v>5.23</v>
      </c>
      <c r="AU19" s="369">
        <v>5.22</v>
      </c>
      <c r="AV19" s="369">
        <v>5.21</v>
      </c>
      <c r="AW19" s="369">
        <v>5.2</v>
      </c>
      <c r="AX19" s="369">
        <v>5.2</v>
      </c>
      <c r="AY19" s="369">
        <v>5.19</v>
      </c>
      <c r="AZ19" s="158">
        <v>2.75E-2</v>
      </c>
      <c r="BA19" s="108">
        <f t="shared" si="0"/>
        <v>2.75</v>
      </c>
    </row>
    <row r="20" spans="1:53" s="110" customFormat="1" ht="12.75">
      <c r="A20" s="109">
        <v>40147</v>
      </c>
      <c r="B20" s="369">
        <v>3.83</v>
      </c>
      <c r="C20" s="369">
        <v>3.98</v>
      </c>
      <c r="D20" s="369">
        <v>4.16</v>
      </c>
      <c r="E20" s="369">
        <v>4.3099999999999996</v>
      </c>
      <c r="F20" s="369">
        <v>4.45</v>
      </c>
      <c r="G20" s="369">
        <v>4.57</v>
      </c>
      <c r="H20" s="369">
        <v>4.6900000000000004</v>
      </c>
      <c r="I20" s="369">
        <v>4.79</v>
      </c>
      <c r="J20" s="369">
        <v>4.88</v>
      </c>
      <c r="K20" s="369">
        <v>4.96</v>
      </c>
      <c r="L20" s="369">
        <v>5.03</v>
      </c>
      <c r="M20" s="369">
        <v>5.0999999999999996</v>
      </c>
      <c r="N20" s="369">
        <v>5.16</v>
      </c>
      <c r="O20" s="369">
        <v>5.21</v>
      </c>
      <c r="P20" s="459">
        <v>5.25</v>
      </c>
      <c r="Q20" s="369">
        <v>5.28</v>
      </c>
      <c r="R20" s="369">
        <v>5.31</v>
      </c>
      <c r="S20" s="369">
        <v>5.34</v>
      </c>
      <c r="T20" s="369">
        <v>5.36</v>
      </c>
      <c r="U20" s="369">
        <v>5.38</v>
      </c>
      <c r="V20" s="369">
        <v>5.38</v>
      </c>
      <c r="W20" s="369">
        <v>5.39</v>
      </c>
      <c r="X20" s="369">
        <v>5.39</v>
      </c>
      <c r="Y20" s="369">
        <v>5.39</v>
      </c>
      <c r="Z20" s="369">
        <v>5.39</v>
      </c>
      <c r="AA20" s="369">
        <v>5.38</v>
      </c>
      <c r="AB20" s="369">
        <v>5.38</v>
      </c>
      <c r="AC20" s="369">
        <v>5.37</v>
      </c>
      <c r="AD20" s="369">
        <v>5.36</v>
      </c>
      <c r="AE20" s="369">
        <v>5.36</v>
      </c>
      <c r="AF20" s="369">
        <v>5.34</v>
      </c>
      <c r="AG20" s="369">
        <v>5.33</v>
      </c>
      <c r="AH20" s="369">
        <v>5.32</v>
      </c>
      <c r="AI20" s="369">
        <v>5.31</v>
      </c>
      <c r="AJ20" s="369">
        <v>5.3</v>
      </c>
      <c r="AK20" s="369">
        <v>5.29</v>
      </c>
      <c r="AL20" s="369">
        <v>5.28</v>
      </c>
      <c r="AM20" s="369">
        <v>5.28</v>
      </c>
      <c r="AN20" s="369">
        <v>5.27</v>
      </c>
      <c r="AO20" s="369">
        <v>5.26</v>
      </c>
      <c r="AP20" s="369">
        <v>5.25</v>
      </c>
      <c r="AQ20" s="369">
        <v>5.24</v>
      </c>
      <c r="AR20" s="369">
        <v>5.23</v>
      </c>
      <c r="AS20" s="369">
        <v>5.22</v>
      </c>
      <c r="AT20" s="369">
        <v>5.21</v>
      </c>
      <c r="AU20" s="369">
        <v>5.21</v>
      </c>
      <c r="AV20" s="369">
        <v>5.2</v>
      </c>
      <c r="AW20" s="369">
        <v>5.19</v>
      </c>
      <c r="AX20" s="369">
        <v>5.18</v>
      </c>
      <c r="AY20" s="369">
        <v>5.18</v>
      </c>
      <c r="AZ20" s="158">
        <v>2.75E-2</v>
      </c>
      <c r="BA20" s="108">
        <f t="shared" si="0"/>
        <v>2.75</v>
      </c>
    </row>
    <row r="21" spans="1:53" s="110" customFormat="1" ht="12.75">
      <c r="A21" s="109">
        <v>40178</v>
      </c>
      <c r="B21" s="369">
        <v>3.82</v>
      </c>
      <c r="C21" s="369">
        <v>3.97</v>
      </c>
      <c r="D21" s="369">
        <v>4.1500000000000004</v>
      </c>
      <c r="E21" s="369">
        <v>4.3099999999999996</v>
      </c>
      <c r="F21" s="369">
        <v>4.4400000000000004</v>
      </c>
      <c r="G21" s="369">
        <v>4.57</v>
      </c>
      <c r="H21" s="369">
        <v>4.68</v>
      </c>
      <c r="I21" s="369">
        <v>4.78</v>
      </c>
      <c r="J21" s="369">
        <v>4.87</v>
      </c>
      <c r="K21" s="369">
        <v>4.95</v>
      </c>
      <c r="L21" s="369">
        <v>5.03</v>
      </c>
      <c r="M21" s="369">
        <v>5.09</v>
      </c>
      <c r="N21" s="369">
        <v>5.15</v>
      </c>
      <c r="O21" s="369">
        <v>5.2</v>
      </c>
      <c r="P21" s="459">
        <v>5.25</v>
      </c>
      <c r="Q21" s="369">
        <v>5.28</v>
      </c>
      <c r="R21" s="369">
        <v>5.31</v>
      </c>
      <c r="S21" s="369">
        <v>5.33</v>
      </c>
      <c r="T21" s="369">
        <v>5.36</v>
      </c>
      <c r="U21" s="369">
        <v>5.38</v>
      </c>
      <c r="V21" s="369">
        <v>5.38</v>
      </c>
      <c r="W21" s="369">
        <v>5.38</v>
      </c>
      <c r="X21" s="369">
        <v>5.38</v>
      </c>
      <c r="Y21" s="369">
        <v>5.38</v>
      </c>
      <c r="Z21" s="369">
        <v>5.39</v>
      </c>
      <c r="AA21" s="369">
        <v>5.38</v>
      </c>
      <c r="AB21" s="369">
        <v>5.37</v>
      </c>
      <c r="AC21" s="369">
        <v>5.36</v>
      </c>
      <c r="AD21" s="369">
        <v>5.35</v>
      </c>
      <c r="AE21" s="369">
        <v>5.35</v>
      </c>
      <c r="AF21" s="369">
        <v>5.33</v>
      </c>
      <c r="AG21" s="369">
        <v>5.32</v>
      </c>
      <c r="AH21" s="369">
        <v>5.31</v>
      </c>
      <c r="AI21" s="369">
        <v>5.3</v>
      </c>
      <c r="AJ21" s="369">
        <v>5.29</v>
      </c>
      <c r="AK21" s="369">
        <v>5.28</v>
      </c>
      <c r="AL21" s="369">
        <v>5.27</v>
      </c>
      <c r="AM21" s="369">
        <v>5.27</v>
      </c>
      <c r="AN21" s="369">
        <v>5.26</v>
      </c>
      <c r="AO21" s="369">
        <v>5.25</v>
      </c>
      <c r="AP21" s="369">
        <v>5.24</v>
      </c>
      <c r="AQ21" s="369">
        <v>5.23</v>
      </c>
      <c r="AR21" s="369">
        <v>5.22</v>
      </c>
      <c r="AS21" s="369">
        <v>5.21</v>
      </c>
      <c r="AT21" s="369">
        <v>5.2</v>
      </c>
      <c r="AU21" s="369">
        <v>5.2</v>
      </c>
      <c r="AV21" s="369">
        <v>5.19</v>
      </c>
      <c r="AW21" s="369">
        <v>5.18</v>
      </c>
      <c r="AX21" s="369">
        <v>5.17</v>
      </c>
      <c r="AY21" s="369">
        <v>5.17</v>
      </c>
      <c r="AZ21" s="158">
        <v>2.75E-2</v>
      </c>
      <c r="BA21" s="108">
        <f t="shared" si="0"/>
        <v>2.75</v>
      </c>
    </row>
    <row r="22" spans="1:53" s="110" customFormat="1" ht="12.75">
      <c r="A22" s="109">
        <v>40209</v>
      </c>
      <c r="B22" s="369">
        <v>3.81</v>
      </c>
      <c r="C22" s="369">
        <v>3.96</v>
      </c>
      <c r="D22" s="369">
        <v>4.1399999999999997</v>
      </c>
      <c r="E22" s="369">
        <v>4.3</v>
      </c>
      <c r="F22" s="369">
        <v>4.4400000000000004</v>
      </c>
      <c r="G22" s="369">
        <v>4.5599999999999996</v>
      </c>
      <c r="H22" s="369">
        <v>4.67</v>
      </c>
      <c r="I22" s="369">
        <v>4.78</v>
      </c>
      <c r="J22" s="369">
        <v>4.87</v>
      </c>
      <c r="K22" s="369">
        <v>4.95</v>
      </c>
      <c r="L22" s="369">
        <v>5.0199999999999996</v>
      </c>
      <c r="M22" s="369">
        <v>5.09</v>
      </c>
      <c r="N22" s="369">
        <v>5.15</v>
      </c>
      <c r="O22" s="369">
        <v>5.2</v>
      </c>
      <c r="P22" s="459">
        <v>5.24</v>
      </c>
      <c r="Q22" s="369">
        <v>5.27</v>
      </c>
      <c r="R22" s="369">
        <v>5.3</v>
      </c>
      <c r="S22" s="369">
        <v>5.33</v>
      </c>
      <c r="T22" s="369">
        <v>5.35</v>
      </c>
      <c r="U22" s="369">
        <v>5.37</v>
      </c>
      <c r="V22" s="369">
        <v>5.37</v>
      </c>
      <c r="W22" s="369">
        <v>5.37</v>
      </c>
      <c r="X22" s="369">
        <v>5.38</v>
      </c>
      <c r="Y22" s="369">
        <v>5.38</v>
      </c>
      <c r="Z22" s="369">
        <v>5.38</v>
      </c>
      <c r="AA22" s="369">
        <v>5.37</v>
      </c>
      <c r="AB22" s="369">
        <v>5.36</v>
      </c>
      <c r="AC22" s="369">
        <v>5.35</v>
      </c>
      <c r="AD22" s="369">
        <v>5.35</v>
      </c>
      <c r="AE22" s="369">
        <v>5.34</v>
      </c>
      <c r="AF22" s="369">
        <v>5.33</v>
      </c>
      <c r="AG22" s="369">
        <v>5.31</v>
      </c>
      <c r="AH22" s="369">
        <v>5.3</v>
      </c>
      <c r="AI22" s="369">
        <v>5.29</v>
      </c>
      <c r="AJ22" s="369">
        <v>5.28</v>
      </c>
      <c r="AK22" s="369">
        <v>5.27</v>
      </c>
      <c r="AL22" s="369">
        <v>5.27</v>
      </c>
      <c r="AM22" s="369">
        <v>5.26</v>
      </c>
      <c r="AN22" s="369">
        <v>5.25</v>
      </c>
      <c r="AO22" s="369">
        <v>5.24</v>
      </c>
      <c r="AP22" s="369">
        <v>5.23</v>
      </c>
      <c r="AQ22" s="369">
        <v>5.22</v>
      </c>
      <c r="AR22" s="369">
        <v>5.21</v>
      </c>
      <c r="AS22" s="369">
        <v>5.2</v>
      </c>
      <c r="AT22" s="369">
        <v>5.2</v>
      </c>
      <c r="AU22" s="369">
        <v>5.19</v>
      </c>
      <c r="AV22" s="369">
        <v>5.18</v>
      </c>
      <c r="AW22" s="369">
        <v>5.17</v>
      </c>
      <c r="AX22" s="369">
        <v>5.17</v>
      </c>
      <c r="AY22" s="369">
        <v>5.16</v>
      </c>
      <c r="AZ22" s="158">
        <v>2.75E-2</v>
      </c>
      <c r="BA22" s="108">
        <f t="shared" si="0"/>
        <v>2.75</v>
      </c>
    </row>
    <row r="23" spans="1:53" s="110" customFormat="1" ht="12.75">
      <c r="A23" s="109">
        <v>40237</v>
      </c>
      <c r="B23" s="369">
        <v>3.8</v>
      </c>
      <c r="C23" s="369">
        <v>3.96</v>
      </c>
      <c r="D23" s="369">
        <v>4.1399999999999997</v>
      </c>
      <c r="E23" s="369">
        <v>4.29</v>
      </c>
      <c r="F23" s="369">
        <v>4.43</v>
      </c>
      <c r="G23" s="369">
        <v>4.5599999999999996</v>
      </c>
      <c r="H23" s="369">
        <v>4.67</v>
      </c>
      <c r="I23" s="369">
        <v>4.7699999999999996</v>
      </c>
      <c r="J23" s="369">
        <v>4.8600000000000003</v>
      </c>
      <c r="K23" s="369">
        <v>4.9400000000000004</v>
      </c>
      <c r="L23" s="369">
        <v>5.0199999999999996</v>
      </c>
      <c r="M23" s="369">
        <v>5.08</v>
      </c>
      <c r="N23" s="369">
        <v>5.14</v>
      </c>
      <c r="O23" s="369">
        <v>5.19</v>
      </c>
      <c r="P23" s="459">
        <v>5.24</v>
      </c>
      <c r="Q23" s="369">
        <v>5.27</v>
      </c>
      <c r="R23" s="369">
        <v>5.3</v>
      </c>
      <c r="S23" s="369">
        <v>5.32</v>
      </c>
      <c r="T23" s="369">
        <v>5.34</v>
      </c>
      <c r="U23" s="369">
        <v>5.36</v>
      </c>
      <c r="V23" s="369">
        <v>5.36</v>
      </c>
      <c r="W23" s="369">
        <v>5.37</v>
      </c>
      <c r="X23" s="369">
        <v>5.37</v>
      </c>
      <c r="Y23" s="369">
        <v>5.37</v>
      </c>
      <c r="Z23" s="369">
        <v>5.37</v>
      </c>
      <c r="AA23" s="369">
        <v>5.36</v>
      </c>
      <c r="AB23" s="369">
        <v>5.35</v>
      </c>
      <c r="AC23" s="369">
        <v>5.34</v>
      </c>
      <c r="AD23" s="369">
        <v>5.33</v>
      </c>
      <c r="AE23" s="369">
        <v>5.33</v>
      </c>
      <c r="AF23" s="369">
        <v>5.31</v>
      </c>
      <c r="AG23" s="369">
        <v>5.3</v>
      </c>
      <c r="AH23" s="369">
        <v>5.29</v>
      </c>
      <c r="AI23" s="369">
        <v>5.28</v>
      </c>
      <c r="AJ23" s="369">
        <v>5.27</v>
      </c>
      <c r="AK23" s="369">
        <v>5.26</v>
      </c>
      <c r="AL23" s="369">
        <v>5.25</v>
      </c>
      <c r="AM23" s="369">
        <v>5.24</v>
      </c>
      <c r="AN23" s="369">
        <v>5.24</v>
      </c>
      <c r="AO23" s="369">
        <v>5.23</v>
      </c>
      <c r="AP23" s="369">
        <v>5.22</v>
      </c>
      <c r="AQ23" s="369">
        <v>5.21</v>
      </c>
      <c r="AR23" s="369">
        <v>5.2</v>
      </c>
      <c r="AS23" s="369">
        <v>5.19</v>
      </c>
      <c r="AT23" s="369">
        <v>5.18</v>
      </c>
      <c r="AU23" s="369">
        <v>5.18</v>
      </c>
      <c r="AV23" s="369">
        <v>5.17</v>
      </c>
      <c r="AW23" s="369">
        <v>5.16</v>
      </c>
      <c r="AX23" s="369">
        <v>5.15</v>
      </c>
      <c r="AY23" s="369">
        <v>5.15</v>
      </c>
      <c r="AZ23" s="158">
        <v>2.75E-2</v>
      </c>
      <c r="BA23" s="108">
        <f t="shared" si="0"/>
        <v>2.75</v>
      </c>
    </row>
    <row r="24" spans="1:53" s="110" customFormat="1" ht="12.75">
      <c r="A24" s="109">
        <v>40268</v>
      </c>
      <c r="B24" s="369">
        <v>3.78</v>
      </c>
      <c r="C24" s="369">
        <v>3.95</v>
      </c>
      <c r="D24" s="369">
        <v>4.13</v>
      </c>
      <c r="E24" s="369">
        <v>4.29</v>
      </c>
      <c r="F24" s="369">
        <v>4.42</v>
      </c>
      <c r="G24" s="369">
        <v>4.55</v>
      </c>
      <c r="H24" s="369">
        <v>4.66</v>
      </c>
      <c r="I24" s="369">
        <v>4.76</v>
      </c>
      <c r="J24" s="369">
        <v>4.8499999999999996</v>
      </c>
      <c r="K24" s="369">
        <v>4.9400000000000004</v>
      </c>
      <c r="L24" s="369">
        <v>5.01</v>
      </c>
      <c r="M24" s="369">
        <v>5.07</v>
      </c>
      <c r="N24" s="369">
        <v>5.13</v>
      </c>
      <c r="O24" s="369">
        <v>5.18</v>
      </c>
      <c r="P24" s="459">
        <v>5.23</v>
      </c>
      <c r="Q24" s="369">
        <v>5.26</v>
      </c>
      <c r="R24" s="369">
        <v>5.29</v>
      </c>
      <c r="S24" s="369">
        <v>5.31</v>
      </c>
      <c r="T24" s="369">
        <v>5.33</v>
      </c>
      <c r="U24" s="369">
        <v>5.35</v>
      </c>
      <c r="V24" s="369">
        <v>5.36</v>
      </c>
      <c r="W24" s="369">
        <v>5.36</v>
      </c>
      <c r="X24" s="369">
        <v>5.36</v>
      </c>
      <c r="Y24" s="369">
        <v>5.36</v>
      </c>
      <c r="Z24" s="369">
        <v>5.36</v>
      </c>
      <c r="AA24" s="369">
        <v>5.35</v>
      </c>
      <c r="AB24" s="369">
        <v>5.34</v>
      </c>
      <c r="AC24" s="369">
        <v>5.33</v>
      </c>
      <c r="AD24" s="369">
        <v>5.32</v>
      </c>
      <c r="AE24" s="369">
        <v>5.32</v>
      </c>
      <c r="AF24" s="369">
        <v>5.3</v>
      </c>
      <c r="AG24" s="369">
        <v>5.29</v>
      </c>
      <c r="AH24" s="369">
        <v>5.28</v>
      </c>
      <c r="AI24" s="369">
        <v>5.27</v>
      </c>
      <c r="AJ24" s="369">
        <v>5.26</v>
      </c>
      <c r="AK24" s="369">
        <v>5.25</v>
      </c>
      <c r="AL24" s="369">
        <v>5.24</v>
      </c>
      <c r="AM24" s="369">
        <v>5.23</v>
      </c>
      <c r="AN24" s="369">
        <v>5.22</v>
      </c>
      <c r="AO24" s="369">
        <v>5.22</v>
      </c>
      <c r="AP24" s="369">
        <v>5.21</v>
      </c>
      <c r="AQ24" s="369">
        <v>5.2</v>
      </c>
      <c r="AR24" s="369">
        <v>5.19</v>
      </c>
      <c r="AS24" s="369">
        <v>5.18</v>
      </c>
      <c r="AT24" s="369">
        <v>5.17</v>
      </c>
      <c r="AU24" s="369">
        <v>5.16</v>
      </c>
      <c r="AV24" s="369">
        <v>5.16</v>
      </c>
      <c r="AW24" s="369">
        <v>5.15</v>
      </c>
      <c r="AX24" s="369">
        <v>5.14</v>
      </c>
      <c r="AY24" s="369">
        <v>5.13</v>
      </c>
      <c r="AZ24" s="158">
        <v>2.75E-2</v>
      </c>
      <c r="BA24" s="108">
        <f t="shared" si="0"/>
        <v>2.75</v>
      </c>
    </row>
    <row r="25" spans="1:53" s="110" customFormat="1" ht="12.75">
      <c r="A25" s="109">
        <v>40298</v>
      </c>
      <c r="B25" s="369">
        <v>3.77</v>
      </c>
      <c r="C25" s="369">
        <v>3.94</v>
      </c>
      <c r="D25" s="369">
        <v>4.12</v>
      </c>
      <c r="E25" s="369">
        <v>4.28</v>
      </c>
      <c r="F25" s="369">
        <v>4.42</v>
      </c>
      <c r="G25" s="369">
        <v>4.54</v>
      </c>
      <c r="H25" s="369">
        <v>4.6500000000000004</v>
      </c>
      <c r="I25" s="369">
        <v>4.76</v>
      </c>
      <c r="J25" s="369">
        <v>4.8499999999999996</v>
      </c>
      <c r="K25" s="369">
        <v>4.93</v>
      </c>
      <c r="L25" s="369">
        <v>5</v>
      </c>
      <c r="M25" s="369">
        <v>5.07</v>
      </c>
      <c r="N25" s="369">
        <v>5.13</v>
      </c>
      <c r="O25" s="369">
        <v>5.18</v>
      </c>
      <c r="P25" s="459">
        <v>5.22</v>
      </c>
      <c r="Q25" s="369">
        <v>5.25</v>
      </c>
      <c r="R25" s="369">
        <v>5.28</v>
      </c>
      <c r="S25" s="369">
        <v>5.3</v>
      </c>
      <c r="T25" s="369">
        <v>5.33</v>
      </c>
      <c r="U25" s="369">
        <v>5.34</v>
      </c>
      <c r="V25" s="369">
        <v>5.35</v>
      </c>
      <c r="W25" s="369">
        <v>5.35</v>
      </c>
      <c r="X25" s="369">
        <v>5.35</v>
      </c>
      <c r="Y25" s="369">
        <v>5.35</v>
      </c>
      <c r="Z25" s="369">
        <v>5.35</v>
      </c>
      <c r="AA25" s="369">
        <v>5.34</v>
      </c>
      <c r="AB25" s="369">
        <v>5.33</v>
      </c>
      <c r="AC25" s="369">
        <v>5.32</v>
      </c>
      <c r="AD25" s="369">
        <v>5.31</v>
      </c>
      <c r="AE25" s="369">
        <v>5.3</v>
      </c>
      <c r="AF25" s="369">
        <v>5.29</v>
      </c>
      <c r="AG25" s="369">
        <v>5.28</v>
      </c>
      <c r="AH25" s="369">
        <v>5.27</v>
      </c>
      <c r="AI25" s="369">
        <v>5.25</v>
      </c>
      <c r="AJ25" s="369">
        <v>5.24</v>
      </c>
      <c r="AK25" s="369">
        <v>5.23</v>
      </c>
      <c r="AL25" s="369">
        <v>5.23</v>
      </c>
      <c r="AM25" s="369">
        <v>5.22</v>
      </c>
      <c r="AN25" s="369">
        <v>5.21</v>
      </c>
      <c r="AO25" s="369">
        <v>5.2</v>
      </c>
      <c r="AP25" s="369">
        <v>5.19</v>
      </c>
      <c r="AQ25" s="369">
        <v>5.18</v>
      </c>
      <c r="AR25" s="369">
        <v>5.17</v>
      </c>
      <c r="AS25" s="369">
        <v>5.16</v>
      </c>
      <c r="AT25" s="369">
        <v>5.16</v>
      </c>
      <c r="AU25" s="369">
        <v>5.15</v>
      </c>
      <c r="AV25" s="369">
        <v>5.14</v>
      </c>
      <c r="AW25" s="369">
        <v>5.13</v>
      </c>
      <c r="AX25" s="369">
        <v>5.13</v>
      </c>
      <c r="AY25" s="369">
        <v>5.12</v>
      </c>
      <c r="AZ25" s="158">
        <v>2.75E-2</v>
      </c>
      <c r="BA25" s="108">
        <f t="shared" si="0"/>
        <v>2.75</v>
      </c>
    </row>
    <row r="26" spans="1:53" s="110" customFormat="1" ht="12.75">
      <c r="A26" s="109">
        <v>40329</v>
      </c>
      <c r="B26" s="369">
        <v>3.77</v>
      </c>
      <c r="C26" s="369">
        <v>3.94</v>
      </c>
      <c r="D26" s="369">
        <v>4.12</v>
      </c>
      <c r="E26" s="369">
        <v>4.28</v>
      </c>
      <c r="F26" s="369">
        <v>4.41</v>
      </c>
      <c r="G26" s="369">
        <v>4.54</v>
      </c>
      <c r="H26" s="369">
        <v>4.6500000000000004</v>
      </c>
      <c r="I26" s="369">
        <v>4.75</v>
      </c>
      <c r="J26" s="369">
        <v>4.84</v>
      </c>
      <c r="K26" s="369">
        <v>4.92</v>
      </c>
      <c r="L26" s="369">
        <v>5</v>
      </c>
      <c r="M26" s="369">
        <v>5.0599999999999996</v>
      </c>
      <c r="N26" s="369">
        <v>5.12</v>
      </c>
      <c r="O26" s="369">
        <v>5.17</v>
      </c>
      <c r="P26" s="459">
        <v>5.22</v>
      </c>
      <c r="Q26" s="369">
        <v>5.25</v>
      </c>
      <c r="R26" s="369">
        <v>5.27</v>
      </c>
      <c r="S26" s="369">
        <v>5.3</v>
      </c>
      <c r="T26" s="369">
        <v>5.32</v>
      </c>
      <c r="U26" s="369">
        <v>5.34</v>
      </c>
      <c r="V26" s="369">
        <v>5.34</v>
      </c>
      <c r="W26" s="369">
        <v>5.34</v>
      </c>
      <c r="X26" s="369">
        <v>5.34</v>
      </c>
      <c r="Y26" s="369">
        <v>5.34</v>
      </c>
      <c r="Z26" s="369">
        <v>5.34</v>
      </c>
      <c r="AA26" s="369">
        <v>5.33</v>
      </c>
      <c r="AB26" s="369">
        <v>5.32</v>
      </c>
      <c r="AC26" s="369">
        <v>5.31</v>
      </c>
      <c r="AD26" s="369">
        <v>5.3</v>
      </c>
      <c r="AE26" s="369">
        <v>5.29</v>
      </c>
      <c r="AF26" s="369">
        <v>5.28</v>
      </c>
      <c r="AG26" s="369">
        <v>5.26</v>
      </c>
      <c r="AH26" s="369">
        <v>5.25</v>
      </c>
      <c r="AI26" s="369">
        <v>5.24</v>
      </c>
      <c r="AJ26" s="369">
        <v>5.23</v>
      </c>
      <c r="AK26" s="369">
        <v>5.22</v>
      </c>
      <c r="AL26" s="369">
        <v>5.21</v>
      </c>
      <c r="AM26" s="369">
        <v>5.2</v>
      </c>
      <c r="AN26" s="369">
        <v>5.19</v>
      </c>
      <c r="AO26" s="369">
        <v>5.19</v>
      </c>
      <c r="AP26" s="369">
        <v>5.18</v>
      </c>
      <c r="AQ26" s="369">
        <v>5.17</v>
      </c>
      <c r="AR26" s="369">
        <v>5.16</v>
      </c>
      <c r="AS26" s="369">
        <v>5.15</v>
      </c>
      <c r="AT26" s="369">
        <v>5.14</v>
      </c>
      <c r="AU26" s="369">
        <v>5.13</v>
      </c>
      <c r="AV26" s="369">
        <v>5.13</v>
      </c>
      <c r="AW26" s="369">
        <v>5.12</v>
      </c>
      <c r="AX26" s="369">
        <v>5.1100000000000003</v>
      </c>
      <c r="AY26" s="369">
        <v>5.1100000000000003</v>
      </c>
      <c r="AZ26" s="158">
        <v>2.75E-2</v>
      </c>
      <c r="BA26" s="108">
        <f t="shared" si="0"/>
        <v>2.75</v>
      </c>
    </row>
    <row r="27" spans="1:53" s="110" customFormat="1" ht="12.75">
      <c r="A27" s="109">
        <v>40359</v>
      </c>
      <c r="B27" s="369">
        <v>3.77</v>
      </c>
      <c r="C27" s="369">
        <v>3.93</v>
      </c>
      <c r="D27" s="369">
        <v>4.1100000000000003</v>
      </c>
      <c r="E27" s="369">
        <v>4.2699999999999996</v>
      </c>
      <c r="F27" s="369">
        <v>4.41</v>
      </c>
      <c r="G27" s="369">
        <v>4.54</v>
      </c>
      <c r="H27" s="369">
        <v>4.6500000000000004</v>
      </c>
      <c r="I27" s="369">
        <v>4.75</v>
      </c>
      <c r="J27" s="369">
        <v>4.84</v>
      </c>
      <c r="K27" s="369">
        <v>4.92</v>
      </c>
      <c r="L27" s="369">
        <v>5</v>
      </c>
      <c r="M27" s="369">
        <v>5.0599999999999996</v>
      </c>
      <c r="N27" s="369">
        <v>5.12</v>
      </c>
      <c r="O27" s="369">
        <v>5.17</v>
      </c>
      <c r="P27" s="459">
        <v>5.21</v>
      </c>
      <c r="Q27" s="369">
        <v>5.24</v>
      </c>
      <c r="R27" s="369">
        <v>5.27</v>
      </c>
      <c r="S27" s="369">
        <v>5.29</v>
      </c>
      <c r="T27" s="369">
        <v>5.31</v>
      </c>
      <c r="U27" s="369">
        <v>5.33</v>
      </c>
      <c r="V27" s="369">
        <v>5.33</v>
      </c>
      <c r="W27" s="369">
        <v>5.33</v>
      </c>
      <c r="X27" s="369">
        <v>5.33</v>
      </c>
      <c r="Y27" s="369">
        <v>5.33</v>
      </c>
      <c r="Z27" s="369">
        <v>5.33</v>
      </c>
      <c r="AA27" s="369">
        <v>5.32</v>
      </c>
      <c r="AB27" s="369">
        <v>5.31</v>
      </c>
      <c r="AC27" s="369">
        <v>5.3</v>
      </c>
      <c r="AD27" s="369">
        <v>5.29</v>
      </c>
      <c r="AE27" s="369">
        <v>5.28</v>
      </c>
      <c r="AF27" s="369">
        <v>5.26</v>
      </c>
      <c r="AG27" s="369">
        <v>5.25</v>
      </c>
      <c r="AH27" s="369">
        <v>5.24</v>
      </c>
      <c r="AI27" s="369">
        <v>5.23</v>
      </c>
      <c r="AJ27" s="369">
        <v>5.22</v>
      </c>
      <c r="AK27" s="369">
        <v>5.21</v>
      </c>
      <c r="AL27" s="369">
        <v>5.2</v>
      </c>
      <c r="AM27" s="369">
        <v>5.19</v>
      </c>
      <c r="AN27" s="369">
        <v>5.18</v>
      </c>
      <c r="AO27" s="369">
        <v>5.17</v>
      </c>
      <c r="AP27" s="369">
        <v>5.16</v>
      </c>
      <c r="AQ27" s="369">
        <v>5.15</v>
      </c>
      <c r="AR27" s="369">
        <v>5.14</v>
      </c>
      <c r="AS27" s="369">
        <v>5.13</v>
      </c>
      <c r="AT27" s="369">
        <v>5.13</v>
      </c>
      <c r="AU27" s="369">
        <v>5.12</v>
      </c>
      <c r="AV27" s="369">
        <v>5.1100000000000003</v>
      </c>
      <c r="AW27" s="369">
        <v>5.0999999999999996</v>
      </c>
      <c r="AX27" s="369">
        <v>5.0999999999999996</v>
      </c>
      <c r="AY27" s="369">
        <v>5.09</v>
      </c>
      <c r="AZ27" s="158">
        <v>2.75E-2</v>
      </c>
      <c r="BA27" s="108">
        <f t="shared" si="0"/>
        <v>2.75</v>
      </c>
    </row>
    <row r="28" spans="1:53" s="110" customFormat="1" ht="12.75">
      <c r="A28" s="109">
        <v>40390</v>
      </c>
      <c r="B28" s="369">
        <v>3.77</v>
      </c>
      <c r="C28" s="369">
        <v>3.93</v>
      </c>
      <c r="D28" s="369">
        <v>4.1100000000000003</v>
      </c>
      <c r="E28" s="369">
        <v>4.26</v>
      </c>
      <c r="F28" s="369">
        <v>4.4000000000000004</v>
      </c>
      <c r="G28" s="369">
        <v>4.53</v>
      </c>
      <c r="H28" s="369">
        <v>4.6399999999999997</v>
      </c>
      <c r="I28" s="369">
        <v>4.74</v>
      </c>
      <c r="J28" s="369">
        <v>4.83</v>
      </c>
      <c r="K28" s="369">
        <v>4.91</v>
      </c>
      <c r="L28" s="369">
        <v>4.99</v>
      </c>
      <c r="M28" s="369">
        <v>5.05</v>
      </c>
      <c r="N28" s="369">
        <v>5.1100000000000003</v>
      </c>
      <c r="O28" s="369">
        <v>5.16</v>
      </c>
      <c r="P28" s="459">
        <v>5.2</v>
      </c>
      <c r="Q28" s="369">
        <v>5.23</v>
      </c>
      <c r="R28" s="369">
        <v>5.26</v>
      </c>
      <c r="S28" s="369">
        <v>5.28</v>
      </c>
      <c r="T28" s="369">
        <v>5.3</v>
      </c>
      <c r="U28" s="369">
        <v>5.32</v>
      </c>
      <c r="V28" s="369">
        <v>5.32</v>
      </c>
      <c r="W28" s="369">
        <v>5.32</v>
      </c>
      <c r="X28" s="369">
        <v>5.32</v>
      </c>
      <c r="Y28" s="369">
        <v>5.32</v>
      </c>
      <c r="Z28" s="369">
        <v>5.31</v>
      </c>
      <c r="AA28" s="369">
        <v>5.3</v>
      </c>
      <c r="AB28" s="369">
        <v>5.29</v>
      </c>
      <c r="AC28" s="369">
        <v>5.28</v>
      </c>
      <c r="AD28" s="369">
        <v>5.27</v>
      </c>
      <c r="AE28" s="369">
        <v>5.26</v>
      </c>
      <c r="AF28" s="369">
        <v>5.25</v>
      </c>
      <c r="AG28" s="369">
        <v>5.23</v>
      </c>
      <c r="AH28" s="369">
        <v>5.22</v>
      </c>
      <c r="AI28" s="369">
        <v>5.21</v>
      </c>
      <c r="AJ28" s="369">
        <v>5.2</v>
      </c>
      <c r="AK28" s="369">
        <v>5.19</v>
      </c>
      <c r="AL28" s="369">
        <v>5.18</v>
      </c>
      <c r="AM28" s="369">
        <v>5.17</v>
      </c>
      <c r="AN28" s="369">
        <v>5.16</v>
      </c>
      <c r="AO28" s="369">
        <v>5.15</v>
      </c>
      <c r="AP28" s="369">
        <v>5.14</v>
      </c>
      <c r="AQ28" s="369">
        <v>5.13</v>
      </c>
      <c r="AR28" s="369">
        <v>5.12</v>
      </c>
      <c r="AS28" s="369">
        <v>5.12</v>
      </c>
      <c r="AT28" s="369">
        <v>5.1100000000000003</v>
      </c>
      <c r="AU28" s="369">
        <v>5.0999999999999996</v>
      </c>
      <c r="AV28" s="369">
        <v>5.09</v>
      </c>
      <c r="AW28" s="369">
        <v>5.09</v>
      </c>
      <c r="AX28" s="369">
        <v>5.08</v>
      </c>
      <c r="AY28" s="369">
        <v>5.07</v>
      </c>
      <c r="AZ28" s="158">
        <v>2.75E-2</v>
      </c>
      <c r="BA28" s="108">
        <f t="shared" si="0"/>
        <v>2.75</v>
      </c>
    </row>
    <row r="29" spans="1:53">
      <c r="A29" s="109">
        <v>40421</v>
      </c>
      <c r="B29" s="369">
        <v>3.76</v>
      </c>
      <c r="C29" s="369">
        <v>3.92</v>
      </c>
      <c r="D29" s="369">
        <v>4.0999999999999996</v>
      </c>
      <c r="E29" s="369">
        <v>4.25</v>
      </c>
      <c r="F29" s="369">
        <v>4.3899999999999997</v>
      </c>
      <c r="G29" s="369">
        <v>4.51</v>
      </c>
      <c r="H29" s="369">
        <v>4.62</v>
      </c>
      <c r="I29" s="369">
        <v>4.7300000000000004</v>
      </c>
      <c r="J29" s="369">
        <v>4.82</v>
      </c>
      <c r="K29" s="369">
        <v>4.9000000000000004</v>
      </c>
      <c r="L29" s="369">
        <v>4.97</v>
      </c>
      <c r="M29" s="369">
        <v>5.03</v>
      </c>
      <c r="N29" s="369">
        <v>5.09</v>
      </c>
      <c r="O29" s="369">
        <v>5.14</v>
      </c>
      <c r="P29" s="459">
        <v>5.19</v>
      </c>
      <c r="Q29" s="369">
        <v>5.22</v>
      </c>
      <c r="R29" s="369">
        <v>5.24</v>
      </c>
      <c r="S29" s="369">
        <v>5.26</v>
      </c>
      <c r="T29" s="369">
        <v>5.28</v>
      </c>
      <c r="U29" s="369">
        <v>5.3</v>
      </c>
      <c r="V29" s="369">
        <v>5.3</v>
      </c>
      <c r="W29" s="369">
        <v>5.3</v>
      </c>
      <c r="X29" s="369">
        <v>5.3</v>
      </c>
      <c r="Y29" s="369">
        <v>5.3</v>
      </c>
      <c r="Z29" s="369">
        <v>5.29</v>
      </c>
      <c r="AA29" s="369">
        <v>5.28</v>
      </c>
      <c r="AB29" s="369">
        <v>5.27</v>
      </c>
      <c r="AC29" s="369">
        <v>5.26</v>
      </c>
      <c r="AD29" s="369">
        <v>5.25</v>
      </c>
      <c r="AE29" s="369">
        <v>5.24</v>
      </c>
      <c r="AF29" s="369">
        <v>5.23</v>
      </c>
      <c r="AG29" s="369">
        <v>5.21</v>
      </c>
      <c r="AH29" s="369">
        <v>5.2</v>
      </c>
      <c r="AI29" s="369">
        <v>5.19</v>
      </c>
      <c r="AJ29" s="369">
        <v>5.18</v>
      </c>
      <c r="AK29" s="369">
        <v>5.17</v>
      </c>
      <c r="AL29" s="369">
        <v>5.16</v>
      </c>
      <c r="AM29" s="369">
        <v>5.15</v>
      </c>
      <c r="AN29" s="369">
        <v>5.14</v>
      </c>
      <c r="AO29" s="369">
        <v>5.13</v>
      </c>
      <c r="AP29" s="369">
        <v>5.12</v>
      </c>
      <c r="AQ29" s="369">
        <v>5.1100000000000003</v>
      </c>
      <c r="AR29" s="369">
        <v>5.0999999999999996</v>
      </c>
      <c r="AS29" s="369">
        <v>5.09</v>
      </c>
      <c r="AT29" s="369">
        <v>5.08</v>
      </c>
      <c r="AU29" s="369">
        <v>5.08</v>
      </c>
      <c r="AV29" s="369">
        <v>5.07</v>
      </c>
      <c r="AW29" s="369">
        <v>5.0599999999999996</v>
      </c>
      <c r="AX29" s="369">
        <v>5.05</v>
      </c>
      <c r="AY29" s="369">
        <v>5.05</v>
      </c>
      <c r="AZ29" s="158">
        <v>2.75E-2</v>
      </c>
      <c r="BA29" s="108">
        <f t="shared" si="0"/>
        <v>2.75</v>
      </c>
    </row>
    <row r="30" spans="1:53">
      <c r="A30" s="109">
        <v>40451</v>
      </c>
      <c r="B30" s="369">
        <v>3.76</v>
      </c>
      <c r="C30" s="369">
        <v>3.91</v>
      </c>
      <c r="D30" s="369">
        <v>4.09</v>
      </c>
      <c r="E30" s="369">
        <v>4.24</v>
      </c>
      <c r="F30" s="369">
        <v>4.38</v>
      </c>
      <c r="G30" s="369">
        <v>4.5</v>
      </c>
      <c r="H30" s="369">
        <v>4.6100000000000003</v>
      </c>
      <c r="I30" s="369">
        <v>4.72</v>
      </c>
      <c r="J30" s="369">
        <v>4.8099999999999996</v>
      </c>
      <c r="K30" s="369">
        <v>4.8899999999999997</v>
      </c>
      <c r="L30" s="369">
        <v>4.96</v>
      </c>
      <c r="M30" s="369">
        <v>5.0199999999999996</v>
      </c>
      <c r="N30" s="369">
        <v>5.08</v>
      </c>
      <c r="O30" s="369">
        <v>5.13</v>
      </c>
      <c r="P30" s="459">
        <v>5.17</v>
      </c>
      <c r="Q30" s="369">
        <v>5.2</v>
      </c>
      <c r="R30" s="369">
        <v>5.23</v>
      </c>
      <c r="S30" s="369">
        <v>5.25</v>
      </c>
      <c r="T30" s="369">
        <v>5.27</v>
      </c>
      <c r="U30" s="369">
        <v>5.29</v>
      </c>
      <c r="V30" s="369">
        <v>5.28</v>
      </c>
      <c r="W30" s="369">
        <v>5.28</v>
      </c>
      <c r="X30" s="369">
        <v>5.28</v>
      </c>
      <c r="Y30" s="369">
        <v>5.28</v>
      </c>
      <c r="Z30" s="369">
        <v>5.28</v>
      </c>
      <c r="AA30" s="369">
        <v>5.26</v>
      </c>
      <c r="AB30" s="369">
        <v>5.25</v>
      </c>
      <c r="AC30" s="369">
        <v>5.24</v>
      </c>
      <c r="AD30" s="369">
        <v>5.23</v>
      </c>
      <c r="AE30" s="369">
        <v>5.22</v>
      </c>
      <c r="AF30" s="369">
        <v>5.2</v>
      </c>
      <c r="AG30" s="369">
        <v>5.19</v>
      </c>
      <c r="AH30" s="369">
        <v>5.18</v>
      </c>
      <c r="AI30" s="369">
        <v>5.17</v>
      </c>
      <c r="AJ30" s="369">
        <v>5.15</v>
      </c>
      <c r="AK30" s="369">
        <v>5.14</v>
      </c>
      <c r="AL30" s="369">
        <v>5.13</v>
      </c>
      <c r="AM30" s="369">
        <v>5.12</v>
      </c>
      <c r="AN30" s="369">
        <v>5.1100000000000003</v>
      </c>
      <c r="AO30" s="369">
        <v>5.0999999999999996</v>
      </c>
      <c r="AP30" s="369">
        <v>5.09</v>
      </c>
      <c r="AQ30" s="369">
        <v>5.08</v>
      </c>
      <c r="AR30" s="369">
        <v>5.08</v>
      </c>
      <c r="AS30" s="369">
        <v>5.07</v>
      </c>
      <c r="AT30" s="369">
        <v>5.0599999999999996</v>
      </c>
      <c r="AU30" s="369">
        <v>5.05</v>
      </c>
      <c r="AV30" s="369">
        <v>5.04</v>
      </c>
      <c r="AW30" s="369">
        <v>5.04</v>
      </c>
      <c r="AX30" s="369">
        <v>5.03</v>
      </c>
      <c r="AY30" s="369">
        <v>5.0199999999999996</v>
      </c>
      <c r="AZ30" s="158">
        <v>2.75E-2</v>
      </c>
      <c r="BA30" s="108">
        <f t="shared" si="0"/>
        <v>2.75</v>
      </c>
    </row>
    <row r="31" spans="1:53">
      <c r="A31" s="109">
        <v>40482</v>
      </c>
      <c r="B31" s="369">
        <v>3.75</v>
      </c>
      <c r="C31" s="369">
        <v>3.91</v>
      </c>
      <c r="D31" s="369">
        <v>4.08</v>
      </c>
      <c r="E31" s="369">
        <v>4.2300000000000004</v>
      </c>
      <c r="F31" s="369">
        <v>4.37</v>
      </c>
      <c r="G31" s="369">
        <v>4.49</v>
      </c>
      <c r="H31" s="369">
        <v>4.5999999999999996</v>
      </c>
      <c r="I31" s="369">
        <v>4.7</v>
      </c>
      <c r="J31" s="369">
        <v>4.79</v>
      </c>
      <c r="K31" s="369">
        <v>4.87</v>
      </c>
      <c r="L31" s="369">
        <v>4.95</v>
      </c>
      <c r="M31" s="369">
        <v>5.01</v>
      </c>
      <c r="N31" s="369">
        <v>5.07</v>
      </c>
      <c r="O31" s="369">
        <v>5.12</v>
      </c>
      <c r="P31" s="459">
        <v>5.16</v>
      </c>
      <c r="Q31" s="369">
        <v>5.19</v>
      </c>
      <c r="R31" s="369">
        <v>5.21</v>
      </c>
      <c r="S31" s="369">
        <v>5.23</v>
      </c>
      <c r="T31" s="369">
        <v>5.25</v>
      </c>
      <c r="U31" s="369">
        <v>5.27</v>
      </c>
      <c r="V31" s="369">
        <v>5.27</v>
      </c>
      <c r="W31" s="369">
        <v>5.27</v>
      </c>
      <c r="X31" s="369">
        <v>5.26</v>
      </c>
      <c r="Y31" s="369">
        <v>5.26</v>
      </c>
      <c r="Z31" s="369">
        <v>5.26</v>
      </c>
      <c r="AA31" s="369">
        <v>5.24</v>
      </c>
      <c r="AB31" s="369">
        <v>5.23</v>
      </c>
      <c r="AC31" s="369">
        <v>5.22</v>
      </c>
      <c r="AD31" s="369">
        <v>5.21</v>
      </c>
      <c r="AE31" s="369">
        <v>5.2</v>
      </c>
      <c r="AF31" s="369">
        <v>5.18</v>
      </c>
      <c r="AG31" s="369">
        <v>5.17</v>
      </c>
      <c r="AH31" s="369">
        <v>5.16</v>
      </c>
      <c r="AI31" s="369">
        <v>5.14</v>
      </c>
      <c r="AJ31" s="369">
        <v>5.13</v>
      </c>
      <c r="AK31" s="369">
        <v>5.12</v>
      </c>
      <c r="AL31" s="369">
        <v>5.1100000000000003</v>
      </c>
      <c r="AM31" s="369">
        <v>5.0999999999999996</v>
      </c>
      <c r="AN31" s="369">
        <v>5.09</v>
      </c>
      <c r="AO31" s="369">
        <v>5.08</v>
      </c>
      <c r="AP31" s="369">
        <v>5.07</v>
      </c>
      <c r="AQ31" s="369">
        <v>5.0599999999999996</v>
      </c>
      <c r="AR31" s="369">
        <v>5.05</v>
      </c>
      <c r="AS31" s="369">
        <v>5.04</v>
      </c>
      <c r="AT31" s="369">
        <v>5.04</v>
      </c>
      <c r="AU31" s="369">
        <v>5.03</v>
      </c>
      <c r="AV31" s="369">
        <v>5.0199999999999996</v>
      </c>
      <c r="AW31" s="369">
        <v>5.01</v>
      </c>
      <c r="AX31" s="369">
        <v>5.01</v>
      </c>
      <c r="AY31" s="369">
        <v>5</v>
      </c>
      <c r="AZ31" s="158">
        <v>2.75E-2</v>
      </c>
      <c r="BA31" s="108">
        <f t="shared" si="0"/>
        <v>2.75</v>
      </c>
    </row>
    <row r="32" spans="1:53">
      <c r="A32" s="109">
        <v>40512</v>
      </c>
      <c r="B32" s="369">
        <v>3.75</v>
      </c>
      <c r="C32" s="369">
        <v>3.9</v>
      </c>
      <c r="D32" s="369">
        <v>4.07</v>
      </c>
      <c r="E32" s="369">
        <v>4.22</v>
      </c>
      <c r="F32" s="369">
        <v>4.3600000000000003</v>
      </c>
      <c r="G32" s="369">
        <v>4.4800000000000004</v>
      </c>
      <c r="H32" s="369">
        <v>4.5999999999999996</v>
      </c>
      <c r="I32" s="369">
        <v>4.7</v>
      </c>
      <c r="J32" s="369">
        <v>4.79</v>
      </c>
      <c r="K32" s="369">
        <v>4.87</v>
      </c>
      <c r="L32" s="369">
        <v>4.9400000000000004</v>
      </c>
      <c r="M32" s="369">
        <v>5</v>
      </c>
      <c r="N32" s="369">
        <v>5.0599999999999996</v>
      </c>
      <c r="O32" s="369">
        <v>5.1100000000000003</v>
      </c>
      <c r="P32" s="459">
        <v>5.15</v>
      </c>
      <c r="Q32" s="369">
        <v>5.18</v>
      </c>
      <c r="R32" s="369">
        <v>5.21</v>
      </c>
      <c r="S32" s="369">
        <v>5.23</v>
      </c>
      <c r="T32" s="369">
        <v>5.25</v>
      </c>
      <c r="U32" s="369">
        <v>5.26</v>
      </c>
      <c r="V32" s="369">
        <v>5.26</v>
      </c>
      <c r="W32" s="369">
        <v>5.25</v>
      </c>
      <c r="X32" s="369">
        <v>5.25</v>
      </c>
      <c r="Y32" s="369">
        <v>5.25</v>
      </c>
      <c r="Z32" s="369">
        <v>5.25</v>
      </c>
      <c r="AA32" s="369">
        <v>5.23</v>
      </c>
      <c r="AB32" s="369">
        <v>5.22</v>
      </c>
      <c r="AC32" s="369">
        <v>5.21</v>
      </c>
      <c r="AD32" s="369">
        <v>5.19</v>
      </c>
      <c r="AE32" s="369">
        <v>5.18</v>
      </c>
      <c r="AF32" s="369">
        <v>5.17</v>
      </c>
      <c r="AG32" s="369">
        <v>5.15</v>
      </c>
      <c r="AH32" s="369">
        <v>5.14</v>
      </c>
      <c r="AI32" s="369">
        <v>5.13</v>
      </c>
      <c r="AJ32" s="369">
        <v>5.1100000000000003</v>
      </c>
      <c r="AK32" s="369">
        <v>5.0999999999999996</v>
      </c>
      <c r="AL32" s="369">
        <v>5.09</v>
      </c>
      <c r="AM32" s="369">
        <v>5.08</v>
      </c>
      <c r="AN32" s="369">
        <v>5.07</v>
      </c>
      <c r="AO32" s="369">
        <v>5.0599999999999996</v>
      </c>
      <c r="AP32" s="369">
        <v>5.05</v>
      </c>
      <c r="AQ32" s="369">
        <v>5.04</v>
      </c>
      <c r="AR32" s="369">
        <v>5.03</v>
      </c>
      <c r="AS32" s="369">
        <v>5.03</v>
      </c>
      <c r="AT32" s="369">
        <v>5.0199999999999996</v>
      </c>
      <c r="AU32" s="369">
        <v>5.01</v>
      </c>
      <c r="AV32" s="369">
        <v>5</v>
      </c>
      <c r="AW32" s="369">
        <v>4.99</v>
      </c>
      <c r="AX32" s="369">
        <v>4.99</v>
      </c>
      <c r="AY32" s="369">
        <v>4.9800000000000004</v>
      </c>
      <c r="AZ32" s="158">
        <v>2.75E-2</v>
      </c>
      <c r="BA32" s="108">
        <f t="shared" si="0"/>
        <v>2.75</v>
      </c>
    </row>
    <row r="33" spans="1:53">
      <c r="A33" s="109">
        <v>40543</v>
      </c>
      <c r="B33" s="369">
        <v>3.75</v>
      </c>
      <c r="C33" s="369">
        <v>3.9</v>
      </c>
      <c r="D33" s="369">
        <v>4.07</v>
      </c>
      <c r="E33" s="369">
        <v>4.22</v>
      </c>
      <c r="F33" s="369">
        <v>4.3600000000000003</v>
      </c>
      <c r="G33" s="369">
        <v>4.4800000000000004</v>
      </c>
      <c r="H33" s="369">
        <v>4.59</v>
      </c>
      <c r="I33" s="369">
        <v>4.6900000000000004</v>
      </c>
      <c r="J33" s="369">
        <v>4.78</v>
      </c>
      <c r="K33" s="369">
        <v>4.8600000000000003</v>
      </c>
      <c r="L33" s="369">
        <v>4.9400000000000004</v>
      </c>
      <c r="M33" s="369">
        <v>5</v>
      </c>
      <c r="N33" s="369">
        <v>5.0599999999999996</v>
      </c>
      <c r="O33" s="369">
        <v>5.1100000000000003</v>
      </c>
      <c r="P33" s="459">
        <v>5.15</v>
      </c>
      <c r="Q33" s="369">
        <v>5.18</v>
      </c>
      <c r="R33" s="369">
        <v>5.2</v>
      </c>
      <c r="S33" s="369">
        <v>5.22</v>
      </c>
      <c r="T33" s="369">
        <v>5.24</v>
      </c>
      <c r="U33" s="369">
        <v>5.26</v>
      </c>
      <c r="V33" s="369">
        <v>5.25</v>
      </c>
      <c r="W33" s="369">
        <v>5.25</v>
      </c>
      <c r="X33" s="369">
        <v>5.24</v>
      </c>
      <c r="Y33" s="369">
        <v>5.24</v>
      </c>
      <c r="Z33" s="369">
        <v>5.24</v>
      </c>
      <c r="AA33" s="369">
        <v>5.22</v>
      </c>
      <c r="AB33" s="369">
        <v>5.21</v>
      </c>
      <c r="AC33" s="369">
        <v>5.2</v>
      </c>
      <c r="AD33" s="369">
        <v>5.18</v>
      </c>
      <c r="AE33" s="369">
        <v>5.17</v>
      </c>
      <c r="AF33" s="369">
        <v>5.16</v>
      </c>
      <c r="AG33" s="369">
        <v>5.14</v>
      </c>
      <c r="AH33" s="369">
        <v>5.13</v>
      </c>
      <c r="AI33" s="369">
        <v>5.1100000000000003</v>
      </c>
      <c r="AJ33" s="369">
        <v>5.0999999999999996</v>
      </c>
      <c r="AK33" s="369">
        <v>5.09</v>
      </c>
      <c r="AL33" s="369">
        <v>5.08</v>
      </c>
      <c r="AM33" s="369">
        <v>5.07</v>
      </c>
      <c r="AN33" s="369">
        <v>5.0599999999999996</v>
      </c>
      <c r="AO33" s="369">
        <v>5.05</v>
      </c>
      <c r="AP33" s="369">
        <v>5.04</v>
      </c>
      <c r="AQ33" s="369">
        <v>5.03</v>
      </c>
      <c r="AR33" s="369">
        <v>5.0199999999999996</v>
      </c>
      <c r="AS33" s="369">
        <v>5.01</v>
      </c>
      <c r="AT33" s="369">
        <v>5</v>
      </c>
      <c r="AU33" s="369">
        <v>5</v>
      </c>
      <c r="AV33" s="369">
        <v>4.99</v>
      </c>
      <c r="AW33" s="369">
        <v>4.9800000000000004</v>
      </c>
      <c r="AX33" s="369">
        <v>4.97</v>
      </c>
      <c r="AY33" s="369">
        <v>4.97</v>
      </c>
      <c r="AZ33" s="158">
        <v>2.75E-2</v>
      </c>
      <c r="BA33" s="108">
        <f t="shared" si="0"/>
        <v>2.75</v>
      </c>
    </row>
    <row r="34" spans="1:53" s="110" customFormat="1" ht="12.75">
      <c r="A34" s="111">
        <v>40574</v>
      </c>
      <c r="B34" s="369">
        <v>3.75</v>
      </c>
      <c r="C34" s="369">
        <v>3.9</v>
      </c>
      <c r="D34" s="369">
        <v>4.07</v>
      </c>
      <c r="E34" s="369">
        <v>4.22</v>
      </c>
      <c r="F34" s="369">
        <v>4.3499999999999996</v>
      </c>
      <c r="G34" s="369">
        <v>4.4800000000000004</v>
      </c>
      <c r="H34" s="369">
        <v>4.59</v>
      </c>
      <c r="I34" s="369">
        <v>4.6900000000000004</v>
      </c>
      <c r="J34" s="369">
        <v>4.78</v>
      </c>
      <c r="K34" s="369">
        <v>4.8600000000000003</v>
      </c>
      <c r="L34" s="369">
        <v>4.9400000000000004</v>
      </c>
      <c r="M34" s="369">
        <v>5</v>
      </c>
      <c r="N34" s="369">
        <v>5.0599999999999996</v>
      </c>
      <c r="O34" s="369">
        <v>5.1100000000000003</v>
      </c>
      <c r="P34" s="459">
        <v>5.15</v>
      </c>
      <c r="Q34" s="369">
        <v>5.17</v>
      </c>
      <c r="R34" s="369">
        <v>5.2</v>
      </c>
      <c r="S34" s="369">
        <v>5.22</v>
      </c>
      <c r="T34" s="369">
        <v>5.24</v>
      </c>
      <c r="U34" s="369">
        <v>5.25</v>
      </c>
      <c r="V34" s="369">
        <v>5.25</v>
      </c>
      <c r="W34" s="369">
        <v>5.24</v>
      </c>
      <c r="X34" s="369">
        <v>5.24</v>
      </c>
      <c r="Y34" s="369">
        <v>5.23</v>
      </c>
      <c r="Z34" s="369">
        <v>5.23</v>
      </c>
      <c r="AA34" s="369">
        <v>5.21</v>
      </c>
      <c r="AB34" s="369">
        <v>5.2</v>
      </c>
      <c r="AC34" s="369">
        <v>5.19</v>
      </c>
      <c r="AD34" s="369">
        <v>5.17</v>
      </c>
      <c r="AE34" s="369">
        <v>5.16</v>
      </c>
      <c r="AF34" s="369">
        <v>5.15</v>
      </c>
      <c r="AG34" s="369">
        <v>5.13</v>
      </c>
      <c r="AH34" s="369">
        <v>5.12</v>
      </c>
      <c r="AI34" s="369">
        <v>5.0999999999999996</v>
      </c>
      <c r="AJ34" s="369">
        <v>5.09</v>
      </c>
      <c r="AK34" s="369">
        <v>5.08</v>
      </c>
      <c r="AL34" s="369">
        <v>5.07</v>
      </c>
      <c r="AM34" s="369">
        <v>5.0599999999999996</v>
      </c>
      <c r="AN34" s="369">
        <v>5.05</v>
      </c>
      <c r="AO34" s="369">
        <v>5.04</v>
      </c>
      <c r="AP34" s="369">
        <v>5.03</v>
      </c>
      <c r="AQ34" s="369">
        <v>5.0199999999999996</v>
      </c>
      <c r="AR34" s="369">
        <v>5.01</v>
      </c>
      <c r="AS34" s="369">
        <v>5</v>
      </c>
      <c r="AT34" s="369">
        <v>4.99</v>
      </c>
      <c r="AU34" s="369">
        <v>4.9800000000000004</v>
      </c>
      <c r="AV34" s="369">
        <v>4.97</v>
      </c>
      <c r="AW34" s="369">
        <v>4.97</v>
      </c>
      <c r="AX34" s="369">
        <v>4.96</v>
      </c>
      <c r="AY34" s="369">
        <v>4.95</v>
      </c>
      <c r="AZ34" s="158">
        <v>2.75E-2</v>
      </c>
      <c r="BA34" s="108">
        <f t="shared" si="0"/>
        <v>2.75</v>
      </c>
    </row>
    <row r="35" spans="1:53" s="110" customFormat="1" ht="12.75">
      <c r="A35" s="111">
        <v>40602</v>
      </c>
      <c r="B35" s="369">
        <v>3.75</v>
      </c>
      <c r="C35" s="369">
        <v>3.9</v>
      </c>
      <c r="D35" s="369">
        <v>4.07</v>
      </c>
      <c r="E35" s="369">
        <v>4.22</v>
      </c>
      <c r="F35" s="369">
        <v>4.3600000000000003</v>
      </c>
      <c r="G35" s="369">
        <v>4.4800000000000004</v>
      </c>
      <c r="H35" s="369">
        <v>4.59</v>
      </c>
      <c r="I35" s="369">
        <v>4.6900000000000004</v>
      </c>
      <c r="J35" s="369">
        <v>4.78</v>
      </c>
      <c r="K35" s="369">
        <v>4.8600000000000003</v>
      </c>
      <c r="L35" s="369">
        <v>4.93</v>
      </c>
      <c r="M35" s="369">
        <v>5</v>
      </c>
      <c r="N35" s="369">
        <v>5.05</v>
      </c>
      <c r="O35" s="369">
        <v>5.0999999999999996</v>
      </c>
      <c r="P35" s="459">
        <v>5.14</v>
      </c>
      <c r="Q35" s="369">
        <v>5.17</v>
      </c>
      <c r="R35" s="369">
        <v>5.19</v>
      </c>
      <c r="S35" s="369">
        <v>5.21</v>
      </c>
      <c r="T35" s="369">
        <v>5.23</v>
      </c>
      <c r="U35" s="369">
        <v>5.25</v>
      </c>
      <c r="V35" s="369">
        <v>5.24</v>
      </c>
      <c r="W35" s="369">
        <v>5.23</v>
      </c>
      <c r="X35" s="369">
        <v>5.23</v>
      </c>
      <c r="Y35" s="369">
        <v>5.23</v>
      </c>
      <c r="Z35" s="369">
        <v>5.22</v>
      </c>
      <c r="AA35" s="369">
        <v>5.2</v>
      </c>
      <c r="AB35" s="369">
        <v>5.19</v>
      </c>
      <c r="AC35" s="369">
        <v>5.18</v>
      </c>
      <c r="AD35" s="369">
        <v>5.16</v>
      </c>
      <c r="AE35" s="369">
        <v>5.15</v>
      </c>
      <c r="AF35" s="369">
        <v>5.13</v>
      </c>
      <c r="AG35" s="369">
        <v>5.12</v>
      </c>
      <c r="AH35" s="369">
        <v>5.0999999999999996</v>
      </c>
      <c r="AI35" s="369">
        <v>5.09</v>
      </c>
      <c r="AJ35" s="369">
        <v>5.08</v>
      </c>
      <c r="AK35" s="369">
        <v>5.0599999999999996</v>
      </c>
      <c r="AL35" s="369">
        <v>5.05</v>
      </c>
      <c r="AM35" s="369">
        <v>5.04</v>
      </c>
      <c r="AN35" s="369">
        <v>5.03</v>
      </c>
      <c r="AO35" s="369">
        <v>5.0199999999999996</v>
      </c>
      <c r="AP35" s="369">
        <v>5.01</v>
      </c>
      <c r="AQ35" s="369">
        <v>5</v>
      </c>
      <c r="AR35" s="369">
        <v>4.99</v>
      </c>
      <c r="AS35" s="369">
        <v>4.9800000000000004</v>
      </c>
      <c r="AT35" s="369">
        <v>4.9800000000000004</v>
      </c>
      <c r="AU35" s="369">
        <v>4.97</v>
      </c>
      <c r="AV35" s="369">
        <v>4.96</v>
      </c>
      <c r="AW35" s="369">
        <v>4.95</v>
      </c>
      <c r="AX35" s="369">
        <v>4.9400000000000004</v>
      </c>
      <c r="AY35" s="369">
        <v>4.9400000000000004</v>
      </c>
      <c r="AZ35" s="158">
        <v>2.75E-2</v>
      </c>
      <c r="BA35" s="108">
        <f t="shared" si="0"/>
        <v>2.75</v>
      </c>
    </row>
    <row r="36" spans="1:53" s="110" customFormat="1" ht="12.75">
      <c r="A36" s="111">
        <v>40633</v>
      </c>
      <c r="B36" s="369">
        <v>3.76</v>
      </c>
      <c r="C36" s="369">
        <v>3.91</v>
      </c>
      <c r="D36" s="369">
        <v>4.08</v>
      </c>
      <c r="E36" s="369">
        <v>4.2300000000000004</v>
      </c>
      <c r="F36" s="369">
        <v>4.3600000000000003</v>
      </c>
      <c r="G36" s="369">
        <v>4.4800000000000004</v>
      </c>
      <c r="H36" s="369">
        <v>4.59</v>
      </c>
      <c r="I36" s="369">
        <v>4.6900000000000004</v>
      </c>
      <c r="J36" s="369">
        <v>4.78</v>
      </c>
      <c r="K36" s="369">
        <v>4.8600000000000003</v>
      </c>
      <c r="L36" s="369">
        <v>4.93</v>
      </c>
      <c r="M36" s="369">
        <v>5</v>
      </c>
      <c r="N36" s="369">
        <v>5.05</v>
      </c>
      <c r="O36" s="369">
        <v>5.0999999999999996</v>
      </c>
      <c r="P36" s="459">
        <v>5.14</v>
      </c>
      <c r="Q36" s="369">
        <v>5.17</v>
      </c>
      <c r="R36" s="369">
        <v>5.19</v>
      </c>
      <c r="S36" s="369">
        <v>5.21</v>
      </c>
      <c r="T36" s="369">
        <v>5.23</v>
      </c>
      <c r="U36" s="369">
        <v>5.24</v>
      </c>
      <c r="V36" s="369">
        <v>5.24</v>
      </c>
      <c r="W36" s="369">
        <v>5.23</v>
      </c>
      <c r="X36" s="369">
        <v>5.22</v>
      </c>
      <c r="Y36" s="369">
        <v>5.22</v>
      </c>
      <c r="Z36" s="369">
        <v>5.21</v>
      </c>
      <c r="AA36" s="369">
        <v>5.2</v>
      </c>
      <c r="AB36" s="369">
        <v>5.18</v>
      </c>
      <c r="AC36" s="369">
        <v>5.17</v>
      </c>
      <c r="AD36" s="369">
        <v>5.15</v>
      </c>
      <c r="AE36" s="369">
        <v>5.14</v>
      </c>
      <c r="AF36" s="369">
        <v>5.13</v>
      </c>
      <c r="AG36" s="369">
        <v>5.1100000000000003</v>
      </c>
      <c r="AH36" s="369">
        <v>5.09</v>
      </c>
      <c r="AI36" s="369">
        <v>5.08</v>
      </c>
      <c r="AJ36" s="369">
        <v>5.07</v>
      </c>
      <c r="AK36" s="369">
        <v>5.05</v>
      </c>
      <c r="AL36" s="369">
        <v>5.04</v>
      </c>
      <c r="AM36" s="369">
        <v>5.03</v>
      </c>
      <c r="AN36" s="369">
        <v>5.0199999999999996</v>
      </c>
      <c r="AO36" s="369">
        <v>5.01</v>
      </c>
      <c r="AP36" s="369">
        <v>5</v>
      </c>
      <c r="AQ36" s="369">
        <v>4.99</v>
      </c>
      <c r="AR36" s="369">
        <v>4.9800000000000004</v>
      </c>
      <c r="AS36" s="369">
        <v>4.97</v>
      </c>
      <c r="AT36" s="369">
        <v>4.96</v>
      </c>
      <c r="AU36" s="369">
        <v>4.96</v>
      </c>
      <c r="AV36" s="369">
        <v>4.95</v>
      </c>
      <c r="AW36" s="369">
        <v>4.9400000000000004</v>
      </c>
      <c r="AX36" s="369">
        <v>4.93</v>
      </c>
      <c r="AY36" s="369">
        <v>4.93</v>
      </c>
      <c r="AZ36" s="158">
        <v>2.75E-2</v>
      </c>
      <c r="BA36" s="108">
        <f t="shared" si="0"/>
        <v>2.75</v>
      </c>
    </row>
    <row r="37" spans="1:53" s="110" customFormat="1" ht="12.75">
      <c r="A37" s="111">
        <v>40663</v>
      </c>
      <c r="B37" s="369">
        <v>3.76</v>
      </c>
      <c r="C37" s="369">
        <v>3.91</v>
      </c>
      <c r="D37" s="369">
        <v>4.08</v>
      </c>
      <c r="E37" s="369">
        <v>4.2300000000000004</v>
      </c>
      <c r="F37" s="369">
        <v>4.3600000000000003</v>
      </c>
      <c r="G37" s="369">
        <v>4.4800000000000004</v>
      </c>
      <c r="H37" s="369">
        <v>4.59</v>
      </c>
      <c r="I37" s="369">
        <v>4.6900000000000004</v>
      </c>
      <c r="J37" s="369">
        <v>4.78</v>
      </c>
      <c r="K37" s="369">
        <v>4.8600000000000003</v>
      </c>
      <c r="L37" s="369">
        <v>4.93</v>
      </c>
      <c r="M37" s="369">
        <v>4.99</v>
      </c>
      <c r="N37" s="369">
        <v>5.05</v>
      </c>
      <c r="O37" s="369">
        <v>5.0999999999999996</v>
      </c>
      <c r="P37" s="459">
        <v>5.14</v>
      </c>
      <c r="Q37" s="369">
        <v>5.16</v>
      </c>
      <c r="R37" s="369">
        <v>5.18</v>
      </c>
      <c r="S37" s="369">
        <v>5.2</v>
      </c>
      <c r="T37" s="369">
        <v>5.22</v>
      </c>
      <c r="U37" s="369">
        <v>5.24</v>
      </c>
      <c r="V37" s="369">
        <v>5.23</v>
      </c>
      <c r="W37" s="369">
        <v>5.22</v>
      </c>
      <c r="X37" s="369">
        <v>5.22</v>
      </c>
      <c r="Y37" s="369">
        <v>5.21</v>
      </c>
      <c r="Z37" s="369">
        <v>5.21</v>
      </c>
      <c r="AA37" s="369">
        <v>5.19</v>
      </c>
      <c r="AB37" s="369">
        <v>5.17</v>
      </c>
      <c r="AC37" s="369">
        <v>5.16</v>
      </c>
      <c r="AD37" s="369">
        <v>5.14</v>
      </c>
      <c r="AE37" s="369">
        <v>5.13</v>
      </c>
      <c r="AF37" s="369">
        <v>5.1100000000000003</v>
      </c>
      <c r="AG37" s="369">
        <v>5.0999999999999996</v>
      </c>
      <c r="AH37" s="369">
        <v>5.08</v>
      </c>
      <c r="AI37" s="369">
        <v>5.07</v>
      </c>
      <c r="AJ37" s="369">
        <v>5.05</v>
      </c>
      <c r="AK37" s="369">
        <v>5.04</v>
      </c>
      <c r="AL37" s="369">
        <v>5.03</v>
      </c>
      <c r="AM37" s="369">
        <v>5.0199999999999996</v>
      </c>
      <c r="AN37" s="369">
        <v>5.01</v>
      </c>
      <c r="AO37" s="369">
        <v>5</v>
      </c>
      <c r="AP37" s="369">
        <v>4.99</v>
      </c>
      <c r="AQ37" s="369">
        <v>4.9800000000000004</v>
      </c>
      <c r="AR37" s="369">
        <v>4.97</v>
      </c>
      <c r="AS37" s="369">
        <v>4.96</v>
      </c>
      <c r="AT37" s="369">
        <v>4.95</v>
      </c>
      <c r="AU37" s="369">
        <v>4.9400000000000004</v>
      </c>
      <c r="AV37" s="369">
        <v>4.93</v>
      </c>
      <c r="AW37" s="369">
        <v>4.93</v>
      </c>
      <c r="AX37" s="369">
        <v>4.92</v>
      </c>
      <c r="AY37" s="369">
        <v>4.91</v>
      </c>
      <c r="AZ37" s="158">
        <v>2.75E-2</v>
      </c>
      <c r="BA37" s="108">
        <f t="shared" si="0"/>
        <v>2.75</v>
      </c>
    </row>
    <row r="38" spans="1:53" s="110" customFormat="1" ht="12.75">
      <c r="A38" s="111">
        <v>40694</v>
      </c>
      <c r="B38" s="369">
        <v>3.76</v>
      </c>
      <c r="C38" s="369">
        <v>3.91</v>
      </c>
      <c r="D38" s="369">
        <v>4.08</v>
      </c>
      <c r="E38" s="369">
        <v>4.2300000000000004</v>
      </c>
      <c r="F38" s="369">
        <v>4.3600000000000003</v>
      </c>
      <c r="G38" s="369">
        <v>4.4800000000000004</v>
      </c>
      <c r="H38" s="369">
        <v>4.59</v>
      </c>
      <c r="I38" s="369">
        <v>4.6900000000000004</v>
      </c>
      <c r="J38" s="369">
        <v>4.7699999999999996</v>
      </c>
      <c r="K38" s="369">
        <v>4.8499999999999996</v>
      </c>
      <c r="L38" s="369">
        <v>4.93</v>
      </c>
      <c r="M38" s="369">
        <v>4.99</v>
      </c>
      <c r="N38" s="369">
        <v>5.04</v>
      </c>
      <c r="O38" s="369">
        <v>5.09</v>
      </c>
      <c r="P38" s="459">
        <v>5.13</v>
      </c>
      <c r="Q38" s="369">
        <v>5.16</v>
      </c>
      <c r="R38" s="369">
        <v>5.18</v>
      </c>
      <c r="S38" s="369">
        <v>5.2</v>
      </c>
      <c r="T38" s="369">
        <v>5.21</v>
      </c>
      <c r="U38" s="369">
        <v>5.23</v>
      </c>
      <c r="V38" s="369">
        <v>5.22</v>
      </c>
      <c r="W38" s="369">
        <v>5.21</v>
      </c>
      <c r="X38" s="369">
        <v>5.21</v>
      </c>
      <c r="Y38" s="369">
        <v>5.2</v>
      </c>
      <c r="Z38" s="369">
        <v>5.2</v>
      </c>
      <c r="AA38" s="369">
        <v>5.18</v>
      </c>
      <c r="AB38" s="369">
        <v>5.16</v>
      </c>
      <c r="AC38" s="369">
        <v>5.15</v>
      </c>
      <c r="AD38" s="369">
        <v>5.13</v>
      </c>
      <c r="AE38" s="369">
        <v>5.12</v>
      </c>
      <c r="AF38" s="369">
        <v>5.0999999999999996</v>
      </c>
      <c r="AG38" s="369">
        <v>5.09</v>
      </c>
      <c r="AH38" s="369">
        <v>5.07</v>
      </c>
      <c r="AI38" s="369">
        <v>5.0599999999999996</v>
      </c>
      <c r="AJ38" s="369">
        <v>5.04</v>
      </c>
      <c r="AK38" s="369">
        <v>5.03</v>
      </c>
      <c r="AL38" s="369">
        <v>5.0199999999999996</v>
      </c>
      <c r="AM38" s="369">
        <v>5</v>
      </c>
      <c r="AN38" s="369">
        <v>4.99</v>
      </c>
      <c r="AO38" s="369">
        <v>4.9800000000000004</v>
      </c>
      <c r="AP38" s="369">
        <v>4.97</v>
      </c>
      <c r="AQ38" s="369">
        <v>4.96</v>
      </c>
      <c r="AR38" s="369">
        <v>4.95</v>
      </c>
      <c r="AS38" s="369">
        <v>4.9400000000000004</v>
      </c>
      <c r="AT38" s="369">
        <v>4.9400000000000004</v>
      </c>
      <c r="AU38" s="369">
        <v>4.93</v>
      </c>
      <c r="AV38" s="369">
        <v>4.92</v>
      </c>
      <c r="AW38" s="369">
        <v>4.91</v>
      </c>
      <c r="AX38" s="369">
        <v>4.9000000000000004</v>
      </c>
      <c r="AY38" s="369">
        <v>4.9000000000000004</v>
      </c>
      <c r="AZ38" s="158">
        <v>2.75E-2</v>
      </c>
      <c r="BA38" s="108">
        <f t="shared" si="0"/>
        <v>2.75</v>
      </c>
    </row>
    <row r="39" spans="1:53" s="110" customFormat="1" ht="12.75">
      <c r="A39" s="111">
        <v>40724</v>
      </c>
      <c r="B39" s="369">
        <v>3.77</v>
      </c>
      <c r="C39" s="369">
        <v>3.91</v>
      </c>
      <c r="D39" s="369">
        <v>4.08</v>
      </c>
      <c r="E39" s="369">
        <v>4.2300000000000004</v>
      </c>
      <c r="F39" s="369">
        <v>4.3600000000000003</v>
      </c>
      <c r="G39" s="369">
        <v>4.4800000000000004</v>
      </c>
      <c r="H39" s="369">
        <v>4.59</v>
      </c>
      <c r="I39" s="369">
        <v>4.68</v>
      </c>
      <c r="J39" s="369">
        <v>4.7699999999999996</v>
      </c>
      <c r="K39" s="369">
        <v>4.8499999999999996</v>
      </c>
      <c r="L39" s="369">
        <v>4.92</v>
      </c>
      <c r="M39" s="369">
        <v>4.99</v>
      </c>
      <c r="N39" s="369">
        <v>5.04</v>
      </c>
      <c r="O39" s="369">
        <v>5.09</v>
      </c>
      <c r="P39" s="459">
        <v>5.13</v>
      </c>
      <c r="Q39" s="369">
        <v>5.16</v>
      </c>
      <c r="R39" s="369">
        <v>5.18</v>
      </c>
      <c r="S39" s="369">
        <v>5.2</v>
      </c>
      <c r="T39" s="369">
        <v>5.21</v>
      </c>
      <c r="U39" s="369">
        <v>5.23</v>
      </c>
      <c r="V39" s="369">
        <v>5.22</v>
      </c>
      <c r="W39" s="369">
        <v>5.21</v>
      </c>
      <c r="X39" s="369">
        <v>5.2</v>
      </c>
      <c r="Y39" s="369">
        <v>5.2</v>
      </c>
      <c r="Z39" s="369">
        <v>5.19</v>
      </c>
      <c r="AA39" s="369">
        <v>5.18</v>
      </c>
      <c r="AB39" s="369">
        <v>5.16</v>
      </c>
      <c r="AC39" s="369">
        <v>5.14</v>
      </c>
      <c r="AD39" s="369">
        <v>5.13</v>
      </c>
      <c r="AE39" s="369">
        <v>5.12</v>
      </c>
      <c r="AF39" s="369">
        <v>5.0999999999999996</v>
      </c>
      <c r="AG39" s="369">
        <v>5.08</v>
      </c>
      <c r="AH39" s="369">
        <v>5.07</v>
      </c>
      <c r="AI39" s="369">
        <v>5.05</v>
      </c>
      <c r="AJ39" s="369">
        <v>5.04</v>
      </c>
      <c r="AK39" s="369">
        <v>5.0199999999999996</v>
      </c>
      <c r="AL39" s="369">
        <v>5.01</v>
      </c>
      <c r="AM39" s="369">
        <v>5</v>
      </c>
      <c r="AN39" s="369">
        <v>4.99</v>
      </c>
      <c r="AO39" s="369">
        <v>4.9800000000000004</v>
      </c>
      <c r="AP39" s="369">
        <v>4.97</v>
      </c>
      <c r="AQ39" s="369">
        <v>4.96</v>
      </c>
      <c r="AR39" s="369">
        <v>4.95</v>
      </c>
      <c r="AS39" s="369">
        <v>4.9400000000000004</v>
      </c>
      <c r="AT39" s="369">
        <v>4.93</v>
      </c>
      <c r="AU39" s="369">
        <v>4.92</v>
      </c>
      <c r="AV39" s="369">
        <v>4.91</v>
      </c>
      <c r="AW39" s="369">
        <v>4.91</v>
      </c>
      <c r="AX39" s="369">
        <v>4.9000000000000004</v>
      </c>
      <c r="AY39" s="369">
        <v>4.8899999999999997</v>
      </c>
      <c r="AZ39" s="158">
        <v>2.75E-2</v>
      </c>
      <c r="BA39" s="108">
        <f t="shared" si="0"/>
        <v>2.75</v>
      </c>
    </row>
    <row r="40" spans="1:53" s="112" customFormat="1" ht="12.75">
      <c r="A40" s="111">
        <v>40755</v>
      </c>
      <c r="B40" s="369">
        <v>3.77</v>
      </c>
      <c r="C40" s="369">
        <v>3.91</v>
      </c>
      <c r="D40" s="369">
        <v>4.08</v>
      </c>
      <c r="E40" s="369">
        <v>4.22</v>
      </c>
      <c r="F40" s="369">
        <v>4.3499999999999996</v>
      </c>
      <c r="G40" s="369">
        <v>4.47</v>
      </c>
      <c r="H40" s="369">
        <v>4.58</v>
      </c>
      <c r="I40" s="369">
        <v>4.68</v>
      </c>
      <c r="J40" s="369">
        <v>4.7699999999999996</v>
      </c>
      <c r="K40" s="369">
        <v>4.8499999999999996</v>
      </c>
      <c r="L40" s="369">
        <v>4.92</v>
      </c>
      <c r="M40" s="369">
        <v>4.9800000000000004</v>
      </c>
      <c r="N40" s="369">
        <v>5.04</v>
      </c>
      <c r="O40" s="369">
        <v>5.09</v>
      </c>
      <c r="P40" s="459">
        <v>5.13</v>
      </c>
      <c r="Q40" s="369">
        <v>5.15</v>
      </c>
      <c r="R40" s="369">
        <v>5.17</v>
      </c>
      <c r="S40" s="369">
        <v>5.19</v>
      </c>
      <c r="T40" s="369">
        <v>5.21</v>
      </c>
      <c r="U40" s="369">
        <v>5.22</v>
      </c>
      <c r="V40" s="369">
        <v>5.21</v>
      </c>
      <c r="W40" s="369">
        <v>5.2</v>
      </c>
      <c r="X40" s="369">
        <v>5.2</v>
      </c>
      <c r="Y40" s="369">
        <v>5.19</v>
      </c>
      <c r="Z40" s="369">
        <v>5.18</v>
      </c>
      <c r="AA40" s="369">
        <v>5.17</v>
      </c>
      <c r="AB40" s="369">
        <v>5.15</v>
      </c>
      <c r="AC40" s="369">
        <v>5.13</v>
      </c>
      <c r="AD40" s="369">
        <v>5.12</v>
      </c>
      <c r="AE40" s="369">
        <v>5.1100000000000003</v>
      </c>
      <c r="AF40" s="369">
        <v>5.09</v>
      </c>
      <c r="AG40" s="369">
        <v>5.07</v>
      </c>
      <c r="AH40" s="369">
        <v>5.05</v>
      </c>
      <c r="AI40" s="369">
        <v>5.04</v>
      </c>
      <c r="AJ40" s="369">
        <v>5.03</v>
      </c>
      <c r="AK40" s="369">
        <v>5.01</v>
      </c>
      <c r="AL40" s="369">
        <v>5</v>
      </c>
      <c r="AM40" s="369">
        <v>4.99</v>
      </c>
      <c r="AN40" s="369">
        <v>4.9800000000000004</v>
      </c>
      <c r="AO40" s="369">
        <v>4.97</v>
      </c>
      <c r="AP40" s="369">
        <v>4.96</v>
      </c>
      <c r="AQ40" s="369">
        <v>4.95</v>
      </c>
      <c r="AR40" s="369">
        <v>4.9400000000000004</v>
      </c>
      <c r="AS40" s="369">
        <v>4.93</v>
      </c>
      <c r="AT40" s="369">
        <v>4.92</v>
      </c>
      <c r="AU40" s="369">
        <v>4.91</v>
      </c>
      <c r="AV40" s="369">
        <v>4.9000000000000004</v>
      </c>
      <c r="AW40" s="369">
        <v>4.9000000000000004</v>
      </c>
      <c r="AX40" s="369">
        <v>4.8899999999999997</v>
      </c>
      <c r="AY40" s="369">
        <v>4.88</v>
      </c>
      <c r="AZ40" s="158">
        <v>2.75E-2</v>
      </c>
      <c r="BA40" s="108">
        <f t="shared" si="0"/>
        <v>2.75</v>
      </c>
    </row>
    <row r="41" spans="1:53" s="110" customFormat="1" ht="12.75">
      <c r="A41" s="111">
        <v>40786</v>
      </c>
      <c r="B41" s="369">
        <v>3.78</v>
      </c>
      <c r="C41" s="369">
        <v>3.92</v>
      </c>
      <c r="D41" s="369">
        <v>4.08</v>
      </c>
      <c r="E41" s="369">
        <v>4.22</v>
      </c>
      <c r="F41" s="369">
        <v>4.3600000000000003</v>
      </c>
      <c r="G41" s="369">
        <v>4.4800000000000004</v>
      </c>
      <c r="H41" s="369">
        <v>4.59</v>
      </c>
      <c r="I41" s="369">
        <v>4.68</v>
      </c>
      <c r="J41" s="369">
        <v>4.7699999999999996</v>
      </c>
      <c r="K41" s="369">
        <v>4.8499999999999996</v>
      </c>
      <c r="L41" s="369">
        <v>4.92</v>
      </c>
      <c r="M41" s="369">
        <v>4.9800000000000004</v>
      </c>
      <c r="N41" s="369">
        <v>5.04</v>
      </c>
      <c r="O41" s="369">
        <v>5.09</v>
      </c>
      <c r="P41" s="459">
        <v>5.13</v>
      </c>
      <c r="Q41" s="369">
        <v>5.15</v>
      </c>
      <c r="R41" s="369">
        <v>5.17</v>
      </c>
      <c r="S41" s="369">
        <v>5.19</v>
      </c>
      <c r="T41" s="369">
        <v>5.21</v>
      </c>
      <c r="U41" s="369">
        <v>5.22</v>
      </c>
      <c r="V41" s="369">
        <v>5.21</v>
      </c>
      <c r="W41" s="369">
        <v>5.2</v>
      </c>
      <c r="X41" s="369">
        <v>5.2</v>
      </c>
      <c r="Y41" s="369">
        <v>5.19</v>
      </c>
      <c r="Z41" s="369">
        <v>5.18</v>
      </c>
      <c r="AA41" s="369">
        <v>5.16</v>
      </c>
      <c r="AB41" s="369">
        <v>5.15</v>
      </c>
      <c r="AC41" s="369">
        <v>5.13</v>
      </c>
      <c r="AD41" s="369">
        <v>5.12</v>
      </c>
      <c r="AE41" s="369">
        <v>5.0999999999999996</v>
      </c>
      <c r="AF41" s="369">
        <v>5.08</v>
      </c>
      <c r="AG41" s="369">
        <v>5.07</v>
      </c>
      <c r="AH41" s="369">
        <v>5.05</v>
      </c>
      <c r="AI41" s="369">
        <v>5.04</v>
      </c>
      <c r="AJ41" s="369">
        <v>5.0199999999999996</v>
      </c>
      <c r="AK41" s="369">
        <v>5.01</v>
      </c>
      <c r="AL41" s="369">
        <v>5</v>
      </c>
      <c r="AM41" s="369">
        <v>4.9800000000000004</v>
      </c>
      <c r="AN41" s="369">
        <v>4.97</v>
      </c>
      <c r="AO41" s="369">
        <v>4.96</v>
      </c>
      <c r="AP41" s="369">
        <v>4.95</v>
      </c>
      <c r="AQ41" s="369">
        <v>4.9400000000000004</v>
      </c>
      <c r="AR41" s="369">
        <v>4.93</v>
      </c>
      <c r="AS41" s="369">
        <v>4.92</v>
      </c>
      <c r="AT41" s="369">
        <v>4.92</v>
      </c>
      <c r="AU41" s="369">
        <v>4.91</v>
      </c>
      <c r="AV41" s="369">
        <v>4.9000000000000004</v>
      </c>
      <c r="AW41" s="369">
        <v>4.8899999999999997</v>
      </c>
      <c r="AX41" s="369">
        <v>4.88</v>
      </c>
      <c r="AY41" s="369">
        <v>4.88</v>
      </c>
      <c r="AZ41" s="158">
        <v>2.75E-2</v>
      </c>
      <c r="BA41" s="108">
        <f t="shared" si="0"/>
        <v>2.75</v>
      </c>
    </row>
    <row r="42" spans="1:53" s="110" customFormat="1" ht="12.75">
      <c r="A42" s="111">
        <v>40816</v>
      </c>
      <c r="B42" s="369">
        <v>3.79</v>
      </c>
      <c r="C42" s="369">
        <v>3.93</v>
      </c>
      <c r="D42" s="369">
        <v>4.08</v>
      </c>
      <c r="E42" s="369">
        <v>4.2300000000000004</v>
      </c>
      <c r="F42" s="369">
        <v>4.3600000000000003</v>
      </c>
      <c r="G42" s="369">
        <v>4.4800000000000004</v>
      </c>
      <c r="H42" s="369">
        <v>4.59</v>
      </c>
      <c r="I42" s="369">
        <v>4.6900000000000004</v>
      </c>
      <c r="J42" s="369">
        <v>4.7699999999999996</v>
      </c>
      <c r="K42" s="369">
        <v>4.8499999999999996</v>
      </c>
      <c r="L42" s="369">
        <v>4.92</v>
      </c>
      <c r="M42" s="369">
        <v>4.99</v>
      </c>
      <c r="N42" s="369">
        <v>5.04</v>
      </c>
      <c r="O42" s="369">
        <v>5.09</v>
      </c>
      <c r="P42" s="459">
        <v>5.13</v>
      </c>
      <c r="Q42" s="369">
        <v>5.15</v>
      </c>
      <c r="R42" s="369">
        <v>5.17</v>
      </c>
      <c r="S42" s="369">
        <v>5.19</v>
      </c>
      <c r="T42" s="369">
        <v>5.21</v>
      </c>
      <c r="U42" s="369">
        <v>5.22</v>
      </c>
      <c r="V42" s="369">
        <v>5.21</v>
      </c>
      <c r="W42" s="369">
        <v>5.2</v>
      </c>
      <c r="X42" s="369">
        <v>5.19</v>
      </c>
      <c r="Y42" s="369">
        <v>5.19</v>
      </c>
      <c r="Z42" s="369">
        <v>5.18</v>
      </c>
      <c r="AA42" s="369">
        <v>5.16</v>
      </c>
      <c r="AB42" s="369">
        <v>5.14</v>
      </c>
      <c r="AC42" s="369">
        <v>5.13</v>
      </c>
      <c r="AD42" s="369">
        <v>5.1100000000000003</v>
      </c>
      <c r="AE42" s="369">
        <v>5.0999999999999996</v>
      </c>
      <c r="AF42" s="369">
        <v>5.08</v>
      </c>
      <c r="AG42" s="369">
        <v>5.0599999999999996</v>
      </c>
      <c r="AH42" s="369">
        <v>5.05</v>
      </c>
      <c r="AI42" s="369">
        <v>5.03</v>
      </c>
      <c r="AJ42" s="369">
        <v>5.0199999999999996</v>
      </c>
      <c r="AK42" s="369">
        <v>5</v>
      </c>
      <c r="AL42" s="369">
        <v>4.99</v>
      </c>
      <c r="AM42" s="369">
        <v>4.9800000000000004</v>
      </c>
      <c r="AN42" s="369">
        <v>4.97</v>
      </c>
      <c r="AO42" s="369">
        <v>4.96</v>
      </c>
      <c r="AP42" s="369">
        <v>4.95</v>
      </c>
      <c r="AQ42" s="369">
        <v>4.9400000000000004</v>
      </c>
      <c r="AR42" s="369">
        <v>4.93</v>
      </c>
      <c r="AS42" s="369">
        <v>4.92</v>
      </c>
      <c r="AT42" s="369">
        <v>4.91</v>
      </c>
      <c r="AU42" s="369">
        <v>4.9000000000000004</v>
      </c>
      <c r="AV42" s="369">
        <v>4.8899999999999997</v>
      </c>
      <c r="AW42" s="369">
        <v>4.8899999999999997</v>
      </c>
      <c r="AX42" s="369">
        <v>4.88</v>
      </c>
      <c r="AY42" s="369">
        <v>4.87</v>
      </c>
      <c r="AZ42" s="158">
        <v>2.75E-2</v>
      </c>
      <c r="BA42" s="108">
        <f t="shared" si="0"/>
        <v>2.75</v>
      </c>
    </row>
    <row r="43" spans="1:53" s="110" customFormat="1" ht="12.75">
      <c r="A43" s="111">
        <v>40847</v>
      </c>
      <c r="B43" s="369">
        <v>3.8</v>
      </c>
      <c r="C43" s="369">
        <v>3.93</v>
      </c>
      <c r="D43" s="369">
        <v>4.09</v>
      </c>
      <c r="E43" s="369">
        <v>4.2300000000000004</v>
      </c>
      <c r="F43" s="369">
        <v>4.3600000000000003</v>
      </c>
      <c r="G43" s="369">
        <v>4.4800000000000004</v>
      </c>
      <c r="H43" s="369">
        <v>4.59</v>
      </c>
      <c r="I43" s="369">
        <v>4.68</v>
      </c>
      <c r="J43" s="369">
        <v>4.7699999999999996</v>
      </c>
      <c r="K43" s="369">
        <v>4.8499999999999996</v>
      </c>
      <c r="L43" s="369">
        <v>4.92</v>
      </c>
      <c r="M43" s="369">
        <v>4.9800000000000004</v>
      </c>
      <c r="N43" s="369">
        <v>5.04</v>
      </c>
      <c r="O43" s="369">
        <v>5.09</v>
      </c>
      <c r="P43" s="459">
        <v>5.13</v>
      </c>
      <c r="Q43" s="369">
        <v>5.15</v>
      </c>
      <c r="R43" s="369">
        <v>5.17</v>
      </c>
      <c r="S43" s="369">
        <v>5.19</v>
      </c>
      <c r="T43" s="369">
        <v>5.2</v>
      </c>
      <c r="U43" s="369">
        <v>5.22</v>
      </c>
      <c r="V43" s="369">
        <v>5.21</v>
      </c>
      <c r="W43" s="369">
        <v>5.2</v>
      </c>
      <c r="X43" s="369">
        <v>5.19</v>
      </c>
      <c r="Y43" s="369">
        <v>5.18</v>
      </c>
      <c r="Z43" s="369">
        <v>5.17</v>
      </c>
      <c r="AA43" s="369">
        <v>5.15</v>
      </c>
      <c r="AB43" s="369">
        <v>5.14</v>
      </c>
      <c r="AC43" s="369">
        <v>5.12</v>
      </c>
      <c r="AD43" s="369">
        <v>5.0999999999999996</v>
      </c>
      <c r="AE43" s="369">
        <v>5.09</v>
      </c>
      <c r="AF43" s="369">
        <v>5.07</v>
      </c>
      <c r="AG43" s="369">
        <v>5.05</v>
      </c>
      <c r="AH43" s="369">
        <v>5.04</v>
      </c>
      <c r="AI43" s="369">
        <v>5.0199999999999996</v>
      </c>
      <c r="AJ43" s="369">
        <v>5.01</v>
      </c>
      <c r="AK43" s="369">
        <v>4.99</v>
      </c>
      <c r="AL43" s="369">
        <v>4.9800000000000004</v>
      </c>
      <c r="AM43" s="369">
        <v>4.97</v>
      </c>
      <c r="AN43" s="369">
        <v>4.96</v>
      </c>
      <c r="AO43" s="369">
        <v>4.95</v>
      </c>
      <c r="AP43" s="369">
        <v>4.9400000000000004</v>
      </c>
      <c r="AQ43" s="369">
        <v>4.93</v>
      </c>
      <c r="AR43" s="369">
        <v>4.92</v>
      </c>
      <c r="AS43" s="369">
        <v>4.91</v>
      </c>
      <c r="AT43" s="369">
        <v>4.9000000000000004</v>
      </c>
      <c r="AU43" s="369">
        <v>4.8899999999999997</v>
      </c>
      <c r="AV43" s="369">
        <v>4.8899999999999997</v>
      </c>
      <c r="AW43" s="369">
        <v>4.88</v>
      </c>
      <c r="AX43" s="369">
        <v>4.87</v>
      </c>
      <c r="AY43" s="369">
        <v>4.87</v>
      </c>
      <c r="AZ43" s="158">
        <v>2.75E-2</v>
      </c>
      <c r="BA43" s="108">
        <f t="shared" si="0"/>
        <v>2.75</v>
      </c>
    </row>
    <row r="44" spans="1:53" s="110" customFormat="1" ht="12.75">
      <c r="A44" s="111">
        <v>40877</v>
      </c>
      <c r="B44" s="369">
        <v>3.81</v>
      </c>
      <c r="C44" s="369">
        <v>3.94</v>
      </c>
      <c r="D44" s="369">
        <v>4.09</v>
      </c>
      <c r="E44" s="369">
        <v>4.24</v>
      </c>
      <c r="F44" s="369">
        <v>4.37</v>
      </c>
      <c r="G44" s="369">
        <v>4.49</v>
      </c>
      <c r="H44" s="369">
        <v>4.5999999999999996</v>
      </c>
      <c r="I44" s="369">
        <v>4.6900000000000004</v>
      </c>
      <c r="J44" s="369">
        <v>4.78</v>
      </c>
      <c r="K44" s="369">
        <v>4.8600000000000003</v>
      </c>
      <c r="L44" s="369">
        <v>4.93</v>
      </c>
      <c r="M44" s="369">
        <v>4.99</v>
      </c>
      <c r="N44" s="369">
        <v>5.05</v>
      </c>
      <c r="O44" s="369">
        <v>5.09</v>
      </c>
      <c r="P44" s="459">
        <v>5.14</v>
      </c>
      <c r="Q44" s="369">
        <v>5.16</v>
      </c>
      <c r="R44" s="369">
        <v>5.17</v>
      </c>
      <c r="S44" s="369">
        <v>5.19</v>
      </c>
      <c r="T44" s="369">
        <v>5.21</v>
      </c>
      <c r="U44" s="369">
        <v>5.22</v>
      </c>
      <c r="V44" s="369">
        <v>5.21</v>
      </c>
      <c r="W44" s="369">
        <v>5.2</v>
      </c>
      <c r="X44" s="369">
        <v>5.19</v>
      </c>
      <c r="Y44" s="369">
        <v>5.18</v>
      </c>
      <c r="Z44" s="369">
        <v>5.17</v>
      </c>
      <c r="AA44" s="369">
        <v>5.15</v>
      </c>
      <c r="AB44" s="369">
        <v>5.13</v>
      </c>
      <c r="AC44" s="369">
        <v>5.12</v>
      </c>
      <c r="AD44" s="369">
        <v>5.0999999999999996</v>
      </c>
      <c r="AE44" s="369">
        <v>5.09</v>
      </c>
      <c r="AF44" s="369">
        <v>5.07</v>
      </c>
      <c r="AG44" s="369">
        <v>5.05</v>
      </c>
      <c r="AH44" s="369">
        <v>5.03</v>
      </c>
      <c r="AI44" s="369">
        <v>5.0199999999999996</v>
      </c>
      <c r="AJ44" s="369">
        <v>5.01</v>
      </c>
      <c r="AK44" s="369">
        <v>4.99</v>
      </c>
      <c r="AL44" s="369">
        <v>4.9800000000000004</v>
      </c>
      <c r="AM44" s="369">
        <v>4.97</v>
      </c>
      <c r="AN44" s="369">
        <v>4.96</v>
      </c>
      <c r="AO44" s="369">
        <v>4.9400000000000004</v>
      </c>
      <c r="AP44" s="369">
        <v>4.93</v>
      </c>
      <c r="AQ44" s="369">
        <v>4.93</v>
      </c>
      <c r="AR44" s="369">
        <v>4.92</v>
      </c>
      <c r="AS44" s="369">
        <v>4.91</v>
      </c>
      <c r="AT44" s="369">
        <v>4.9000000000000004</v>
      </c>
      <c r="AU44" s="369">
        <v>4.8899999999999997</v>
      </c>
      <c r="AV44" s="369">
        <v>4.88</v>
      </c>
      <c r="AW44" s="369">
        <v>4.88</v>
      </c>
      <c r="AX44" s="369">
        <v>4.87</v>
      </c>
      <c r="AY44" s="369">
        <v>4.8600000000000003</v>
      </c>
      <c r="AZ44" s="158">
        <v>2.75E-2</v>
      </c>
      <c r="BA44" s="108">
        <f t="shared" si="0"/>
        <v>2.75</v>
      </c>
    </row>
    <row r="45" spans="1:53" s="110" customFormat="1" ht="12.75">
      <c r="A45" s="111">
        <v>40908</v>
      </c>
      <c r="B45" s="369">
        <v>3.82</v>
      </c>
      <c r="C45" s="369">
        <v>3.94</v>
      </c>
      <c r="D45" s="369">
        <v>4.09</v>
      </c>
      <c r="E45" s="369">
        <v>4.24</v>
      </c>
      <c r="F45" s="369">
        <v>4.37</v>
      </c>
      <c r="G45" s="369">
        <v>4.49</v>
      </c>
      <c r="H45" s="369">
        <v>4.5999999999999996</v>
      </c>
      <c r="I45" s="369">
        <v>4.6900000000000004</v>
      </c>
      <c r="J45" s="369">
        <v>4.78</v>
      </c>
      <c r="K45" s="369">
        <v>4.8600000000000003</v>
      </c>
      <c r="L45" s="369">
        <v>4.93</v>
      </c>
      <c r="M45" s="369">
        <v>4.99</v>
      </c>
      <c r="N45" s="369">
        <v>5.05</v>
      </c>
      <c r="O45" s="369">
        <v>5.0999999999999996</v>
      </c>
      <c r="P45" s="459">
        <v>5.14</v>
      </c>
      <c r="Q45" s="369">
        <v>5.16</v>
      </c>
      <c r="R45" s="369">
        <v>5.17</v>
      </c>
      <c r="S45" s="369">
        <v>5.19</v>
      </c>
      <c r="T45" s="369">
        <v>5.2</v>
      </c>
      <c r="U45" s="369">
        <v>5.22</v>
      </c>
      <c r="V45" s="369">
        <v>5.2</v>
      </c>
      <c r="W45" s="369">
        <v>5.19</v>
      </c>
      <c r="X45" s="369">
        <v>5.18</v>
      </c>
      <c r="Y45" s="369">
        <v>5.18</v>
      </c>
      <c r="Z45" s="369">
        <v>5.17</v>
      </c>
      <c r="AA45" s="369">
        <v>5.15</v>
      </c>
      <c r="AB45" s="369">
        <v>5.13</v>
      </c>
      <c r="AC45" s="369">
        <v>5.1100000000000003</v>
      </c>
      <c r="AD45" s="369">
        <v>5.0999999999999996</v>
      </c>
      <c r="AE45" s="369">
        <v>5.08</v>
      </c>
      <c r="AF45" s="369">
        <v>5.0599999999999996</v>
      </c>
      <c r="AG45" s="369">
        <v>5.04</v>
      </c>
      <c r="AH45" s="369">
        <v>5.03</v>
      </c>
      <c r="AI45" s="369">
        <v>5.01</v>
      </c>
      <c r="AJ45" s="369">
        <v>5</v>
      </c>
      <c r="AK45" s="369">
        <v>4.99</v>
      </c>
      <c r="AL45" s="369">
        <v>4.97</v>
      </c>
      <c r="AM45" s="369">
        <v>4.96</v>
      </c>
      <c r="AN45" s="369">
        <v>4.95</v>
      </c>
      <c r="AO45" s="369">
        <v>4.9400000000000004</v>
      </c>
      <c r="AP45" s="369">
        <v>4.93</v>
      </c>
      <c r="AQ45" s="369">
        <v>4.92</v>
      </c>
      <c r="AR45" s="369">
        <v>4.91</v>
      </c>
      <c r="AS45" s="369">
        <v>4.9000000000000004</v>
      </c>
      <c r="AT45" s="369">
        <v>4.8899999999999997</v>
      </c>
      <c r="AU45" s="369">
        <v>4.8899999999999997</v>
      </c>
      <c r="AV45" s="369">
        <v>4.88</v>
      </c>
      <c r="AW45" s="369">
        <v>4.87</v>
      </c>
      <c r="AX45" s="369">
        <v>4.8600000000000003</v>
      </c>
      <c r="AY45" s="369">
        <v>4.8600000000000003</v>
      </c>
      <c r="AZ45" s="158">
        <v>2.75E-2</v>
      </c>
      <c r="BA45" s="108">
        <f t="shared" si="0"/>
        <v>2.75</v>
      </c>
    </row>
    <row r="46" spans="1:53" s="110" customFormat="1" ht="12.75">
      <c r="A46" s="111">
        <v>40939</v>
      </c>
      <c r="B46" s="369">
        <v>3.82</v>
      </c>
      <c r="C46" s="369">
        <v>3.94</v>
      </c>
      <c r="D46" s="369">
        <v>4.09</v>
      </c>
      <c r="E46" s="369">
        <v>4.2300000000000004</v>
      </c>
      <c r="F46" s="369">
        <v>4.3600000000000003</v>
      </c>
      <c r="G46" s="369">
        <v>4.4800000000000004</v>
      </c>
      <c r="H46" s="369">
        <v>4.59</v>
      </c>
      <c r="I46" s="369">
        <v>4.6900000000000004</v>
      </c>
      <c r="J46" s="369">
        <v>4.78</v>
      </c>
      <c r="K46" s="369">
        <v>4.8499999999999996</v>
      </c>
      <c r="L46" s="369">
        <v>4.93</v>
      </c>
      <c r="M46" s="369">
        <v>4.99</v>
      </c>
      <c r="N46" s="369">
        <v>5.05</v>
      </c>
      <c r="O46" s="369">
        <v>5.09</v>
      </c>
      <c r="P46" s="459">
        <v>5.13</v>
      </c>
      <c r="Q46" s="369">
        <v>5.15</v>
      </c>
      <c r="R46" s="369">
        <v>5.17</v>
      </c>
      <c r="S46" s="369">
        <v>5.19</v>
      </c>
      <c r="T46" s="369">
        <v>5.2</v>
      </c>
      <c r="U46" s="369">
        <v>5.21</v>
      </c>
      <c r="V46" s="369">
        <v>5.2</v>
      </c>
      <c r="W46" s="369">
        <v>5.19</v>
      </c>
      <c r="X46" s="369">
        <v>5.18</v>
      </c>
      <c r="Y46" s="369">
        <v>5.17</v>
      </c>
      <c r="Z46" s="369">
        <v>5.16</v>
      </c>
      <c r="AA46" s="369">
        <v>5.14</v>
      </c>
      <c r="AB46" s="369">
        <v>5.12</v>
      </c>
      <c r="AC46" s="369">
        <v>5.1100000000000003</v>
      </c>
      <c r="AD46" s="369">
        <v>5.09</v>
      </c>
      <c r="AE46" s="369">
        <v>5.07</v>
      </c>
      <c r="AF46" s="369">
        <v>5.05</v>
      </c>
      <c r="AG46" s="369">
        <v>5.04</v>
      </c>
      <c r="AH46" s="369">
        <v>5.0199999999999996</v>
      </c>
      <c r="AI46" s="369">
        <v>5.01</v>
      </c>
      <c r="AJ46" s="369">
        <v>4.99</v>
      </c>
      <c r="AK46" s="369">
        <v>4.9800000000000004</v>
      </c>
      <c r="AL46" s="369">
        <v>4.97</v>
      </c>
      <c r="AM46" s="369">
        <v>4.95</v>
      </c>
      <c r="AN46" s="369">
        <v>4.9400000000000004</v>
      </c>
      <c r="AO46" s="369">
        <v>4.93</v>
      </c>
      <c r="AP46" s="369">
        <v>4.92</v>
      </c>
      <c r="AQ46" s="369">
        <v>4.91</v>
      </c>
      <c r="AR46" s="369">
        <v>4.9000000000000004</v>
      </c>
      <c r="AS46" s="369">
        <v>4.8899999999999997</v>
      </c>
      <c r="AT46" s="369">
        <v>4.8899999999999997</v>
      </c>
      <c r="AU46" s="369">
        <v>4.88</v>
      </c>
      <c r="AV46" s="369">
        <v>4.87</v>
      </c>
      <c r="AW46" s="369">
        <v>4.8600000000000003</v>
      </c>
      <c r="AX46" s="369">
        <v>4.8600000000000003</v>
      </c>
      <c r="AY46" s="369">
        <v>4.8499999999999996</v>
      </c>
      <c r="AZ46" s="158">
        <v>1.7500000000000002E-2</v>
      </c>
      <c r="BA46" s="108">
        <f t="shared" si="0"/>
        <v>1.7500000000000002</v>
      </c>
    </row>
    <row r="47" spans="1:53" s="110" customFormat="1" ht="12.75">
      <c r="A47" s="111">
        <v>40968</v>
      </c>
      <c r="B47" s="369">
        <v>3.82</v>
      </c>
      <c r="C47" s="369">
        <v>3.93</v>
      </c>
      <c r="D47" s="369">
        <v>4.08</v>
      </c>
      <c r="E47" s="369">
        <v>4.22</v>
      </c>
      <c r="F47" s="369">
        <v>4.3600000000000003</v>
      </c>
      <c r="G47" s="369">
        <v>4.4800000000000004</v>
      </c>
      <c r="H47" s="369">
        <v>4.59</v>
      </c>
      <c r="I47" s="369">
        <v>4.68</v>
      </c>
      <c r="J47" s="369">
        <v>4.7699999999999996</v>
      </c>
      <c r="K47" s="369">
        <v>4.8499999999999996</v>
      </c>
      <c r="L47" s="369">
        <v>4.92</v>
      </c>
      <c r="M47" s="369">
        <v>4.99</v>
      </c>
      <c r="N47" s="369">
        <v>5.04</v>
      </c>
      <c r="O47" s="369">
        <v>5.09</v>
      </c>
      <c r="P47" s="459">
        <v>5.13</v>
      </c>
      <c r="Q47" s="369">
        <v>5.15</v>
      </c>
      <c r="R47" s="369">
        <v>5.17</v>
      </c>
      <c r="S47" s="369">
        <v>5.18</v>
      </c>
      <c r="T47" s="369">
        <v>5.19</v>
      </c>
      <c r="U47" s="369">
        <v>5.21</v>
      </c>
      <c r="V47" s="369">
        <v>5.19</v>
      </c>
      <c r="W47" s="369">
        <v>5.18</v>
      </c>
      <c r="X47" s="369">
        <v>5.17</v>
      </c>
      <c r="Y47" s="369">
        <v>5.16</v>
      </c>
      <c r="Z47" s="369">
        <v>5.15</v>
      </c>
      <c r="AA47" s="369">
        <v>5.13</v>
      </c>
      <c r="AB47" s="369">
        <v>5.1100000000000003</v>
      </c>
      <c r="AC47" s="369">
        <v>5.0999999999999996</v>
      </c>
      <c r="AD47" s="369">
        <v>5.08</v>
      </c>
      <c r="AE47" s="369">
        <v>5.0599999999999996</v>
      </c>
      <c r="AF47" s="369">
        <v>5.04</v>
      </c>
      <c r="AG47" s="369">
        <v>5.03</v>
      </c>
      <c r="AH47" s="369">
        <v>5.01</v>
      </c>
      <c r="AI47" s="369">
        <v>5</v>
      </c>
      <c r="AJ47" s="369">
        <v>4.9800000000000004</v>
      </c>
      <c r="AK47" s="369">
        <v>4.97</v>
      </c>
      <c r="AL47" s="369">
        <v>4.95</v>
      </c>
      <c r="AM47" s="369">
        <v>4.9400000000000004</v>
      </c>
      <c r="AN47" s="369">
        <v>4.93</v>
      </c>
      <c r="AO47" s="369">
        <v>4.92</v>
      </c>
      <c r="AP47" s="369">
        <v>4.91</v>
      </c>
      <c r="AQ47" s="369">
        <v>4.9000000000000004</v>
      </c>
      <c r="AR47" s="369">
        <v>4.8899999999999997</v>
      </c>
      <c r="AS47" s="369">
        <v>4.88</v>
      </c>
      <c r="AT47" s="369">
        <v>4.87</v>
      </c>
      <c r="AU47" s="369">
        <v>4.87</v>
      </c>
      <c r="AV47" s="369">
        <v>4.8600000000000003</v>
      </c>
      <c r="AW47" s="369">
        <v>4.8499999999999996</v>
      </c>
      <c r="AX47" s="369">
        <v>4.84</v>
      </c>
      <c r="AY47" s="369">
        <v>4.84</v>
      </c>
      <c r="AZ47" s="158">
        <v>1.7500000000000002E-2</v>
      </c>
      <c r="BA47" s="108">
        <f t="shared" si="0"/>
        <v>1.7500000000000002</v>
      </c>
    </row>
    <row r="48" spans="1:53" s="110" customFormat="1" ht="12.75">
      <c r="A48" s="111">
        <v>40999</v>
      </c>
      <c r="B48" s="369">
        <v>3.81</v>
      </c>
      <c r="C48" s="369">
        <v>3.92</v>
      </c>
      <c r="D48" s="369">
        <v>4.07</v>
      </c>
      <c r="E48" s="369">
        <v>4.21</v>
      </c>
      <c r="F48" s="369">
        <v>4.3499999999999996</v>
      </c>
      <c r="G48" s="369">
        <v>4.47</v>
      </c>
      <c r="H48" s="369">
        <v>4.58</v>
      </c>
      <c r="I48" s="369">
        <v>4.68</v>
      </c>
      <c r="J48" s="369">
        <v>4.76</v>
      </c>
      <c r="K48" s="369">
        <v>4.84</v>
      </c>
      <c r="L48" s="369">
        <v>4.92</v>
      </c>
      <c r="M48" s="369">
        <v>4.9800000000000004</v>
      </c>
      <c r="N48" s="369">
        <v>5.03</v>
      </c>
      <c r="O48" s="369">
        <v>5.08</v>
      </c>
      <c r="P48" s="459">
        <v>5.12</v>
      </c>
      <c r="Q48" s="369">
        <v>5.14</v>
      </c>
      <c r="R48" s="369">
        <v>5.16</v>
      </c>
      <c r="S48" s="369">
        <v>5.17</v>
      </c>
      <c r="T48" s="369">
        <v>5.18</v>
      </c>
      <c r="U48" s="369">
        <v>5.2</v>
      </c>
      <c r="V48" s="369">
        <v>5.18</v>
      </c>
      <c r="W48" s="369">
        <v>5.17</v>
      </c>
      <c r="X48" s="369">
        <v>5.16</v>
      </c>
      <c r="Y48" s="369">
        <v>5.15</v>
      </c>
      <c r="Z48" s="369">
        <v>5.14</v>
      </c>
      <c r="AA48" s="369">
        <v>5.12</v>
      </c>
      <c r="AB48" s="369">
        <v>5.0999999999999996</v>
      </c>
      <c r="AC48" s="369">
        <v>5.08</v>
      </c>
      <c r="AD48" s="369">
        <v>5.07</v>
      </c>
      <c r="AE48" s="369">
        <v>5.05</v>
      </c>
      <c r="AF48" s="369">
        <v>5.03</v>
      </c>
      <c r="AG48" s="369">
        <v>5.01</v>
      </c>
      <c r="AH48" s="369">
        <v>5</v>
      </c>
      <c r="AI48" s="369">
        <v>4.9800000000000004</v>
      </c>
      <c r="AJ48" s="369">
        <v>4.97</v>
      </c>
      <c r="AK48" s="369">
        <v>4.95</v>
      </c>
      <c r="AL48" s="369">
        <v>4.9400000000000004</v>
      </c>
      <c r="AM48" s="369">
        <v>4.93</v>
      </c>
      <c r="AN48" s="369">
        <v>4.92</v>
      </c>
      <c r="AO48" s="369">
        <v>4.91</v>
      </c>
      <c r="AP48" s="369">
        <v>4.9000000000000004</v>
      </c>
      <c r="AQ48" s="369">
        <v>4.8899999999999997</v>
      </c>
      <c r="AR48" s="369">
        <v>4.88</v>
      </c>
      <c r="AS48" s="369">
        <v>4.87</v>
      </c>
      <c r="AT48" s="369">
        <v>4.8600000000000003</v>
      </c>
      <c r="AU48" s="369">
        <v>4.8499999999999996</v>
      </c>
      <c r="AV48" s="369">
        <v>4.8499999999999996</v>
      </c>
      <c r="AW48" s="369">
        <v>4.84</v>
      </c>
      <c r="AX48" s="369">
        <v>4.83</v>
      </c>
      <c r="AY48" s="369">
        <v>4.83</v>
      </c>
      <c r="AZ48" s="158">
        <v>1.7500000000000002E-2</v>
      </c>
      <c r="BA48" s="108">
        <f t="shared" si="0"/>
        <v>1.7500000000000002</v>
      </c>
    </row>
    <row r="49" spans="1:53" s="110" customFormat="1" ht="12.75">
      <c r="A49" s="111">
        <v>41029</v>
      </c>
      <c r="B49" s="369">
        <v>3.81</v>
      </c>
      <c r="C49" s="369">
        <v>3.91</v>
      </c>
      <c r="D49" s="369">
        <v>4.0599999999999996</v>
      </c>
      <c r="E49" s="369">
        <v>4.21</v>
      </c>
      <c r="F49" s="369">
        <v>4.34</v>
      </c>
      <c r="G49" s="369">
        <v>4.46</v>
      </c>
      <c r="H49" s="369">
        <v>4.57</v>
      </c>
      <c r="I49" s="369">
        <v>4.67</v>
      </c>
      <c r="J49" s="369">
        <v>4.76</v>
      </c>
      <c r="K49" s="369">
        <v>4.83</v>
      </c>
      <c r="L49" s="369">
        <v>4.91</v>
      </c>
      <c r="M49" s="369">
        <v>4.97</v>
      </c>
      <c r="N49" s="369">
        <v>5.03</v>
      </c>
      <c r="O49" s="369">
        <v>5.08</v>
      </c>
      <c r="P49" s="459">
        <v>5.12</v>
      </c>
      <c r="Q49" s="369">
        <v>5.13</v>
      </c>
      <c r="R49" s="369">
        <v>5.15</v>
      </c>
      <c r="S49" s="369">
        <v>5.16</v>
      </c>
      <c r="T49" s="369">
        <v>5.18</v>
      </c>
      <c r="U49" s="369">
        <v>5.19</v>
      </c>
      <c r="V49" s="369">
        <v>5.18</v>
      </c>
      <c r="W49" s="369">
        <v>5.16</v>
      </c>
      <c r="X49" s="369">
        <v>5.15</v>
      </c>
      <c r="Y49" s="369">
        <v>5.14</v>
      </c>
      <c r="Z49" s="369">
        <v>5.13</v>
      </c>
      <c r="AA49" s="369">
        <v>5.1100000000000003</v>
      </c>
      <c r="AB49" s="369">
        <v>5.09</v>
      </c>
      <c r="AC49" s="369">
        <v>5.07</v>
      </c>
      <c r="AD49" s="369">
        <v>5.0599999999999996</v>
      </c>
      <c r="AE49" s="369">
        <v>5.04</v>
      </c>
      <c r="AF49" s="369">
        <v>5.0199999999999996</v>
      </c>
      <c r="AG49" s="369">
        <v>5</v>
      </c>
      <c r="AH49" s="369">
        <v>4.99</v>
      </c>
      <c r="AI49" s="369">
        <v>4.97</v>
      </c>
      <c r="AJ49" s="369">
        <v>4.96</v>
      </c>
      <c r="AK49" s="369">
        <v>4.9400000000000004</v>
      </c>
      <c r="AL49" s="369">
        <v>4.93</v>
      </c>
      <c r="AM49" s="369">
        <v>4.92</v>
      </c>
      <c r="AN49" s="369">
        <v>4.91</v>
      </c>
      <c r="AO49" s="369">
        <v>4.8899999999999997</v>
      </c>
      <c r="AP49" s="369">
        <v>4.88</v>
      </c>
      <c r="AQ49" s="369">
        <v>4.88</v>
      </c>
      <c r="AR49" s="369">
        <v>4.87</v>
      </c>
      <c r="AS49" s="369">
        <v>4.8600000000000003</v>
      </c>
      <c r="AT49" s="369">
        <v>4.8499999999999996</v>
      </c>
      <c r="AU49" s="369">
        <v>4.84</v>
      </c>
      <c r="AV49" s="369">
        <v>4.84</v>
      </c>
      <c r="AW49" s="369">
        <v>4.83</v>
      </c>
      <c r="AX49" s="369">
        <v>4.82</v>
      </c>
      <c r="AY49" s="369">
        <v>4.8099999999999996</v>
      </c>
      <c r="AZ49" s="158">
        <v>1.7500000000000002E-2</v>
      </c>
      <c r="BA49" s="108">
        <f t="shared" si="0"/>
        <v>1.7500000000000002</v>
      </c>
    </row>
    <row r="50" spans="1:53" s="110" customFormat="1" ht="12.75">
      <c r="A50" s="111">
        <v>41060</v>
      </c>
      <c r="B50" s="369">
        <v>3.8</v>
      </c>
      <c r="C50" s="369">
        <v>3.9</v>
      </c>
      <c r="D50" s="369">
        <v>4.05</v>
      </c>
      <c r="E50" s="369">
        <v>4.1900000000000004</v>
      </c>
      <c r="F50" s="369">
        <v>4.33</v>
      </c>
      <c r="G50" s="369">
        <v>4.45</v>
      </c>
      <c r="H50" s="369">
        <v>4.5599999999999996</v>
      </c>
      <c r="I50" s="369">
        <v>4.66</v>
      </c>
      <c r="J50" s="369">
        <v>4.74</v>
      </c>
      <c r="K50" s="369">
        <v>4.82</v>
      </c>
      <c r="L50" s="369">
        <v>4.9000000000000004</v>
      </c>
      <c r="M50" s="369">
        <v>4.96</v>
      </c>
      <c r="N50" s="369">
        <v>5.01</v>
      </c>
      <c r="O50" s="369">
        <v>5.0599999999999996</v>
      </c>
      <c r="P50" s="459">
        <v>5.0999999999999996</v>
      </c>
      <c r="Q50" s="369">
        <v>5.12</v>
      </c>
      <c r="R50" s="369">
        <v>5.14</v>
      </c>
      <c r="S50" s="369">
        <v>5.15</v>
      </c>
      <c r="T50" s="369">
        <v>5.16</v>
      </c>
      <c r="U50" s="369">
        <v>5.17</v>
      </c>
      <c r="V50" s="369">
        <v>5.16</v>
      </c>
      <c r="W50" s="369">
        <v>5.15</v>
      </c>
      <c r="X50" s="369">
        <v>5.14</v>
      </c>
      <c r="Y50" s="369">
        <v>5.13</v>
      </c>
      <c r="Z50" s="369">
        <v>5.12</v>
      </c>
      <c r="AA50" s="369">
        <v>5.09</v>
      </c>
      <c r="AB50" s="369">
        <v>5.07</v>
      </c>
      <c r="AC50" s="369">
        <v>5.05</v>
      </c>
      <c r="AD50" s="369">
        <v>5.04</v>
      </c>
      <c r="AE50" s="369">
        <v>5.0199999999999996</v>
      </c>
      <c r="AF50" s="369">
        <v>5</v>
      </c>
      <c r="AG50" s="369">
        <v>4.9800000000000004</v>
      </c>
      <c r="AH50" s="369">
        <v>4.97</v>
      </c>
      <c r="AI50" s="369">
        <v>4.95</v>
      </c>
      <c r="AJ50" s="369">
        <v>4.9400000000000004</v>
      </c>
      <c r="AK50" s="369">
        <v>4.92</v>
      </c>
      <c r="AL50" s="369">
        <v>4.91</v>
      </c>
      <c r="AM50" s="369">
        <v>4.9000000000000004</v>
      </c>
      <c r="AN50" s="369">
        <v>4.8899999999999997</v>
      </c>
      <c r="AO50" s="369">
        <v>4.88</v>
      </c>
      <c r="AP50" s="369">
        <v>4.87</v>
      </c>
      <c r="AQ50" s="369">
        <v>4.8600000000000003</v>
      </c>
      <c r="AR50" s="369">
        <v>4.8499999999999996</v>
      </c>
      <c r="AS50" s="369">
        <v>4.84</v>
      </c>
      <c r="AT50" s="369">
        <v>4.83</v>
      </c>
      <c r="AU50" s="369">
        <v>4.82</v>
      </c>
      <c r="AV50" s="369">
        <v>4.82</v>
      </c>
      <c r="AW50" s="369">
        <v>4.8099999999999996</v>
      </c>
      <c r="AX50" s="369">
        <v>4.8</v>
      </c>
      <c r="AY50" s="369">
        <v>4.8</v>
      </c>
      <c r="AZ50" s="158">
        <v>1.7500000000000002E-2</v>
      </c>
      <c r="BA50" s="108">
        <f t="shared" si="0"/>
        <v>1.7500000000000002</v>
      </c>
    </row>
    <row r="51" spans="1:53">
      <c r="A51" s="111">
        <v>41090</v>
      </c>
      <c r="B51" s="369">
        <v>3.79</v>
      </c>
      <c r="C51" s="369">
        <v>3.9</v>
      </c>
      <c r="D51" s="369">
        <v>4.04</v>
      </c>
      <c r="E51" s="369">
        <v>4.1900000000000004</v>
      </c>
      <c r="F51" s="369">
        <v>4.32</v>
      </c>
      <c r="G51" s="369">
        <v>4.4400000000000004</v>
      </c>
      <c r="H51" s="369">
        <v>4.55</v>
      </c>
      <c r="I51" s="369">
        <v>4.6500000000000004</v>
      </c>
      <c r="J51" s="369">
        <v>4.74</v>
      </c>
      <c r="K51" s="369">
        <v>4.82</v>
      </c>
      <c r="L51" s="369">
        <v>4.8899999999999997</v>
      </c>
      <c r="M51" s="369">
        <v>4.95</v>
      </c>
      <c r="N51" s="369">
        <v>5.01</v>
      </c>
      <c r="O51" s="369">
        <v>5.0599999999999996</v>
      </c>
      <c r="P51" s="459">
        <v>5.0999999999999996</v>
      </c>
      <c r="Q51" s="369">
        <v>5.1100000000000003</v>
      </c>
      <c r="R51" s="369">
        <v>5.13</v>
      </c>
      <c r="S51" s="369">
        <v>5.14</v>
      </c>
      <c r="T51" s="369">
        <v>5.15</v>
      </c>
      <c r="U51" s="369">
        <v>5.16</v>
      </c>
      <c r="V51" s="369">
        <v>5.15</v>
      </c>
      <c r="W51" s="369">
        <v>5.14</v>
      </c>
      <c r="X51" s="369">
        <v>5.13</v>
      </c>
      <c r="Y51" s="369">
        <v>5.12</v>
      </c>
      <c r="Z51" s="369">
        <v>5.1100000000000003</v>
      </c>
      <c r="AA51" s="369">
        <v>5.08</v>
      </c>
      <c r="AB51" s="369">
        <v>5.0599999999999996</v>
      </c>
      <c r="AC51" s="369">
        <v>5.04</v>
      </c>
      <c r="AD51" s="369">
        <v>5.03</v>
      </c>
      <c r="AE51" s="369">
        <v>5.01</v>
      </c>
      <c r="AF51" s="369">
        <v>4.99</v>
      </c>
      <c r="AG51" s="369">
        <v>4.97</v>
      </c>
      <c r="AH51" s="369">
        <v>4.96</v>
      </c>
      <c r="AI51" s="369">
        <v>4.9400000000000004</v>
      </c>
      <c r="AJ51" s="369">
        <v>4.93</v>
      </c>
      <c r="AK51" s="369">
        <v>4.91</v>
      </c>
      <c r="AL51" s="369">
        <v>4.9000000000000004</v>
      </c>
      <c r="AM51" s="369">
        <v>4.8899999999999997</v>
      </c>
      <c r="AN51" s="369">
        <v>4.88</v>
      </c>
      <c r="AO51" s="369">
        <v>4.87</v>
      </c>
      <c r="AP51" s="369">
        <v>4.8600000000000003</v>
      </c>
      <c r="AQ51" s="369">
        <v>4.8499999999999996</v>
      </c>
      <c r="AR51" s="369">
        <v>4.84</v>
      </c>
      <c r="AS51" s="369">
        <v>4.83</v>
      </c>
      <c r="AT51" s="369">
        <v>4.82</v>
      </c>
      <c r="AU51" s="369">
        <v>4.82</v>
      </c>
      <c r="AV51" s="369">
        <v>4.8099999999999996</v>
      </c>
      <c r="AW51" s="369">
        <v>4.8</v>
      </c>
      <c r="AX51" s="369">
        <v>4.79</v>
      </c>
      <c r="AY51" s="369">
        <v>4.79</v>
      </c>
      <c r="AZ51" s="158">
        <v>1.7500000000000002E-2</v>
      </c>
      <c r="BA51" s="108">
        <f t="shared" si="0"/>
        <v>1.7500000000000002</v>
      </c>
    </row>
    <row r="52" spans="1:53">
      <c r="A52" s="111">
        <v>41121</v>
      </c>
      <c r="B52" s="369">
        <v>3.78</v>
      </c>
      <c r="C52" s="369">
        <v>3.88</v>
      </c>
      <c r="D52" s="369">
        <v>4.03</v>
      </c>
      <c r="E52" s="369">
        <v>4.17</v>
      </c>
      <c r="F52" s="369">
        <v>4.3099999999999996</v>
      </c>
      <c r="G52" s="369">
        <v>4.43</v>
      </c>
      <c r="H52" s="369">
        <v>4.54</v>
      </c>
      <c r="I52" s="369">
        <v>4.6399999999999997</v>
      </c>
      <c r="J52" s="369">
        <v>4.7300000000000004</v>
      </c>
      <c r="K52" s="369">
        <v>4.8099999999999996</v>
      </c>
      <c r="L52" s="369">
        <v>4.88</v>
      </c>
      <c r="M52" s="369">
        <v>4.9400000000000004</v>
      </c>
      <c r="N52" s="369">
        <v>5</v>
      </c>
      <c r="O52" s="369">
        <v>5.05</v>
      </c>
      <c r="P52" s="459">
        <v>5.09</v>
      </c>
      <c r="Q52" s="369">
        <v>5.0999999999999996</v>
      </c>
      <c r="R52" s="369">
        <v>5.12</v>
      </c>
      <c r="S52" s="369">
        <v>5.13</v>
      </c>
      <c r="T52" s="369">
        <v>5.14</v>
      </c>
      <c r="U52" s="369">
        <v>5.15</v>
      </c>
      <c r="V52" s="369">
        <v>5.14</v>
      </c>
      <c r="W52" s="369">
        <v>5.13</v>
      </c>
      <c r="X52" s="369">
        <v>5.1100000000000003</v>
      </c>
      <c r="Y52" s="369">
        <v>5.0999999999999996</v>
      </c>
      <c r="Z52" s="369">
        <v>5.09</v>
      </c>
      <c r="AA52" s="369">
        <v>5.07</v>
      </c>
      <c r="AB52" s="369">
        <v>5.05</v>
      </c>
      <c r="AC52" s="369">
        <v>5.03</v>
      </c>
      <c r="AD52" s="369">
        <v>5.01</v>
      </c>
      <c r="AE52" s="369">
        <v>5</v>
      </c>
      <c r="AF52" s="369">
        <v>4.9800000000000004</v>
      </c>
      <c r="AG52" s="369">
        <v>4.96</v>
      </c>
      <c r="AH52" s="369">
        <v>4.95</v>
      </c>
      <c r="AI52" s="369">
        <v>4.93</v>
      </c>
      <c r="AJ52" s="369">
        <v>4.92</v>
      </c>
      <c r="AK52" s="369">
        <v>4.9000000000000004</v>
      </c>
      <c r="AL52" s="369">
        <v>4.8899999999999997</v>
      </c>
      <c r="AM52" s="369">
        <v>4.88</v>
      </c>
      <c r="AN52" s="369">
        <v>4.87</v>
      </c>
      <c r="AO52" s="369">
        <v>4.8499999999999996</v>
      </c>
      <c r="AP52" s="369">
        <v>4.84</v>
      </c>
      <c r="AQ52" s="369">
        <v>4.84</v>
      </c>
      <c r="AR52" s="369">
        <v>4.83</v>
      </c>
      <c r="AS52" s="369">
        <v>4.82</v>
      </c>
      <c r="AT52" s="369">
        <v>4.8099999999999996</v>
      </c>
      <c r="AU52" s="369">
        <v>4.8</v>
      </c>
      <c r="AV52" s="369">
        <v>4.8</v>
      </c>
      <c r="AW52" s="369">
        <v>4.79</v>
      </c>
      <c r="AX52" s="369">
        <v>4.78</v>
      </c>
      <c r="AY52" s="369">
        <v>4.78</v>
      </c>
      <c r="AZ52" s="158">
        <v>1.7500000000000002E-2</v>
      </c>
      <c r="BA52" s="108">
        <f t="shared" si="0"/>
        <v>1.7500000000000002</v>
      </c>
    </row>
    <row r="53" spans="1:53">
      <c r="A53" s="111">
        <v>41152</v>
      </c>
      <c r="B53" s="369">
        <v>3.77</v>
      </c>
      <c r="C53" s="369">
        <v>3.87</v>
      </c>
      <c r="D53" s="369">
        <v>4.01</v>
      </c>
      <c r="E53" s="369">
        <v>4.16</v>
      </c>
      <c r="F53" s="369">
        <v>4.3</v>
      </c>
      <c r="G53" s="369">
        <v>4.42</v>
      </c>
      <c r="H53" s="369">
        <v>4.53</v>
      </c>
      <c r="I53" s="369">
        <v>4.63</v>
      </c>
      <c r="J53" s="369">
        <v>4.72</v>
      </c>
      <c r="K53" s="369">
        <v>4.79</v>
      </c>
      <c r="L53" s="369">
        <v>4.87</v>
      </c>
      <c r="M53" s="369">
        <v>4.93</v>
      </c>
      <c r="N53" s="369">
        <v>4.99</v>
      </c>
      <c r="O53" s="369">
        <v>5.04</v>
      </c>
      <c r="P53" s="459">
        <v>5.08</v>
      </c>
      <c r="Q53" s="369">
        <v>5.09</v>
      </c>
      <c r="R53" s="369">
        <v>5.1100000000000003</v>
      </c>
      <c r="S53" s="369">
        <v>5.12</v>
      </c>
      <c r="T53" s="369">
        <v>5.13</v>
      </c>
      <c r="U53" s="369">
        <v>5.14</v>
      </c>
      <c r="V53" s="369">
        <v>5.13</v>
      </c>
      <c r="W53" s="369">
        <v>5.1100000000000003</v>
      </c>
      <c r="X53" s="369">
        <v>5.0999999999999996</v>
      </c>
      <c r="Y53" s="369">
        <v>5.09</v>
      </c>
      <c r="Z53" s="369">
        <v>5.08</v>
      </c>
      <c r="AA53" s="369">
        <v>5.0599999999999996</v>
      </c>
      <c r="AB53" s="369">
        <v>5.04</v>
      </c>
      <c r="AC53" s="369">
        <v>5.0199999999999996</v>
      </c>
      <c r="AD53" s="369">
        <v>5</v>
      </c>
      <c r="AE53" s="369">
        <v>4.99</v>
      </c>
      <c r="AF53" s="369">
        <v>4.97</v>
      </c>
      <c r="AG53" s="369">
        <v>4.95</v>
      </c>
      <c r="AH53" s="369">
        <v>4.93</v>
      </c>
      <c r="AI53" s="369">
        <v>4.92</v>
      </c>
      <c r="AJ53" s="369">
        <v>4.9000000000000004</v>
      </c>
      <c r="AK53" s="369">
        <v>4.8899999999999997</v>
      </c>
      <c r="AL53" s="369">
        <v>4.88</v>
      </c>
      <c r="AM53" s="369">
        <v>4.87</v>
      </c>
      <c r="AN53" s="369">
        <v>4.8499999999999996</v>
      </c>
      <c r="AO53" s="369">
        <v>4.84</v>
      </c>
      <c r="AP53" s="369">
        <v>4.83</v>
      </c>
      <c r="AQ53" s="369">
        <v>4.83</v>
      </c>
      <c r="AR53" s="369">
        <v>4.82</v>
      </c>
      <c r="AS53" s="369">
        <v>4.8099999999999996</v>
      </c>
      <c r="AT53" s="369">
        <v>4.8</v>
      </c>
      <c r="AU53" s="369">
        <v>4.79</v>
      </c>
      <c r="AV53" s="369">
        <v>4.79</v>
      </c>
      <c r="AW53" s="369">
        <v>4.78</v>
      </c>
      <c r="AX53" s="369">
        <v>4.7699999999999996</v>
      </c>
      <c r="AY53" s="369">
        <v>4.7699999999999996</v>
      </c>
      <c r="AZ53" s="158">
        <v>1.7500000000000002E-2</v>
      </c>
      <c r="BA53" s="108">
        <f t="shared" si="0"/>
        <v>1.7500000000000002</v>
      </c>
    </row>
    <row r="54" spans="1:53">
      <c r="A54" s="111">
        <v>41182</v>
      </c>
      <c r="B54" s="369">
        <v>3.75</v>
      </c>
      <c r="C54" s="369">
        <v>3.85</v>
      </c>
      <c r="D54" s="369">
        <v>4</v>
      </c>
      <c r="E54" s="369">
        <v>4.1399999999999997</v>
      </c>
      <c r="F54" s="369">
        <v>4.28</v>
      </c>
      <c r="G54" s="369">
        <v>4.41</v>
      </c>
      <c r="H54" s="369">
        <v>4.5199999999999996</v>
      </c>
      <c r="I54" s="369">
        <v>4.62</v>
      </c>
      <c r="J54" s="369">
        <v>4.71</v>
      </c>
      <c r="K54" s="369">
        <v>4.79</v>
      </c>
      <c r="L54" s="369">
        <v>4.8600000000000003</v>
      </c>
      <c r="M54" s="369">
        <v>4.92</v>
      </c>
      <c r="N54" s="369">
        <v>4.9800000000000004</v>
      </c>
      <c r="O54" s="369">
        <v>5.03</v>
      </c>
      <c r="P54" s="459">
        <v>5.07</v>
      </c>
      <c r="Q54" s="369">
        <v>5.09</v>
      </c>
      <c r="R54" s="369">
        <v>5.0999999999999996</v>
      </c>
      <c r="S54" s="369">
        <v>5.1100000000000003</v>
      </c>
      <c r="T54" s="369">
        <v>5.12</v>
      </c>
      <c r="U54" s="369">
        <v>5.13</v>
      </c>
      <c r="V54" s="369">
        <v>5.12</v>
      </c>
      <c r="W54" s="369">
        <v>5.1100000000000003</v>
      </c>
      <c r="X54" s="369">
        <v>5.09</v>
      </c>
      <c r="Y54" s="369">
        <v>5.08</v>
      </c>
      <c r="Z54" s="369">
        <v>5.07</v>
      </c>
      <c r="AA54" s="369">
        <v>5.05</v>
      </c>
      <c r="AB54" s="369">
        <v>5.03</v>
      </c>
      <c r="AC54" s="369">
        <v>5.01</v>
      </c>
      <c r="AD54" s="369">
        <v>4.99</v>
      </c>
      <c r="AE54" s="369">
        <v>4.9800000000000004</v>
      </c>
      <c r="AF54" s="369">
        <v>4.96</v>
      </c>
      <c r="AG54" s="369">
        <v>4.9400000000000004</v>
      </c>
      <c r="AH54" s="369">
        <v>4.93</v>
      </c>
      <c r="AI54" s="369">
        <v>4.91</v>
      </c>
      <c r="AJ54" s="369">
        <v>4.9000000000000004</v>
      </c>
      <c r="AK54" s="369">
        <v>4.88</v>
      </c>
      <c r="AL54" s="369">
        <v>4.87</v>
      </c>
      <c r="AM54" s="369">
        <v>4.8600000000000003</v>
      </c>
      <c r="AN54" s="369">
        <v>4.8499999999999996</v>
      </c>
      <c r="AO54" s="369">
        <v>4.84</v>
      </c>
      <c r="AP54" s="369">
        <v>4.83</v>
      </c>
      <c r="AQ54" s="369">
        <v>4.82</v>
      </c>
      <c r="AR54" s="369">
        <v>4.8099999999999996</v>
      </c>
      <c r="AS54" s="369">
        <v>4.8</v>
      </c>
      <c r="AT54" s="369">
        <v>4.8</v>
      </c>
      <c r="AU54" s="369">
        <v>4.79</v>
      </c>
      <c r="AV54" s="369">
        <v>4.78</v>
      </c>
      <c r="AW54" s="369">
        <v>4.78</v>
      </c>
      <c r="AX54" s="369">
        <v>4.7699999999999996</v>
      </c>
      <c r="AY54" s="369">
        <v>4.76</v>
      </c>
      <c r="AZ54" s="158">
        <v>1.7500000000000002E-2</v>
      </c>
      <c r="BA54" s="108">
        <f t="shared" si="0"/>
        <v>1.7500000000000002</v>
      </c>
    </row>
    <row r="55" spans="1:53">
      <c r="A55" s="111">
        <v>41213</v>
      </c>
      <c r="B55" s="369">
        <v>3.74</v>
      </c>
      <c r="C55" s="369">
        <v>3.83</v>
      </c>
      <c r="D55" s="369">
        <v>3.98</v>
      </c>
      <c r="E55" s="369">
        <v>4.12</v>
      </c>
      <c r="F55" s="369">
        <v>4.26</v>
      </c>
      <c r="G55" s="369">
        <v>4.3899999999999997</v>
      </c>
      <c r="H55" s="369">
        <v>4.5</v>
      </c>
      <c r="I55" s="369">
        <v>4.5999999999999996</v>
      </c>
      <c r="J55" s="369">
        <v>4.6900000000000004</v>
      </c>
      <c r="K55" s="369">
        <v>4.7699999999999996</v>
      </c>
      <c r="L55" s="369">
        <v>4.8499999999999996</v>
      </c>
      <c r="M55" s="369">
        <v>4.91</v>
      </c>
      <c r="N55" s="369">
        <v>4.97</v>
      </c>
      <c r="O55" s="369">
        <v>5.0199999999999996</v>
      </c>
      <c r="P55" s="459">
        <v>5.0599999999999996</v>
      </c>
      <c r="Q55" s="369">
        <v>5.07</v>
      </c>
      <c r="R55" s="369">
        <v>5.09</v>
      </c>
      <c r="S55" s="369">
        <v>5.0999999999999996</v>
      </c>
      <c r="T55" s="369">
        <v>5.1100000000000003</v>
      </c>
      <c r="U55" s="369">
        <v>5.12</v>
      </c>
      <c r="V55" s="369">
        <v>5.1100000000000003</v>
      </c>
      <c r="W55" s="369">
        <v>5.09</v>
      </c>
      <c r="X55" s="369">
        <v>5.08</v>
      </c>
      <c r="Y55" s="369">
        <v>5.07</v>
      </c>
      <c r="Z55" s="369">
        <v>5.0599999999999996</v>
      </c>
      <c r="AA55" s="369">
        <v>5.04</v>
      </c>
      <c r="AB55" s="369">
        <v>5.0199999999999996</v>
      </c>
      <c r="AC55" s="369">
        <v>5</v>
      </c>
      <c r="AD55" s="369">
        <v>4.9800000000000004</v>
      </c>
      <c r="AE55" s="369">
        <v>4.97</v>
      </c>
      <c r="AF55" s="369">
        <v>4.95</v>
      </c>
      <c r="AG55" s="369">
        <v>4.93</v>
      </c>
      <c r="AH55" s="369">
        <v>4.91</v>
      </c>
      <c r="AI55" s="369">
        <v>4.9000000000000004</v>
      </c>
      <c r="AJ55" s="369">
        <v>4.8899999999999997</v>
      </c>
      <c r="AK55" s="369">
        <v>4.87</v>
      </c>
      <c r="AL55" s="369">
        <v>4.8600000000000003</v>
      </c>
      <c r="AM55" s="369">
        <v>4.8499999999999996</v>
      </c>
      <c r="AN55" s="369">
        <v>4.84</v>
      </c>
      <c r="AO55" s="369">
        <v>4.83</v>
      </c>
      <c r="AP55" s="369">
        <v>4.82</v>
      </c>
      <c r="AQ55" s="369">
        <v>4.8099999999999996</v>
      </c>
      <c r="AR55" s="369">
        <v>4.8</v>
      </c>
      <c r="AS55" s="369">
        <v>4.79</v>
      </c>
      <c r="AT55" s="369">
        <v>4.79</v>
      </c>
      <c r="AU55" s="369">
        <v>4.78</v>
      </c>
      <c r="AV55" s="369">
        <v>4.7699999999999996</v>
      </c>
      <c r="AW55" s="369">
        <v>4.7699999999999996</v>
      </c>
      <c r="AX55" s="369">
        <v>4.76</v>
      </c>
      <c r="AY55" s="369">
        <v>4.75</v>
      </c>
      <c r="AZ55" s="158">
        <v>1.7500000000000002E-2</v>
      </c>
      <c r="BA55" s="108">
        <f t="shared" si="0"/>
        <v>1.7500000000000002</v>
      </c>
    </row>
    <row r="56" spans="1:53">
      <c r="A56" s="111">
        <v>41243</v>
      </c>
      <c r="B56" s="369">
        <v>3.71</v>
      </c>
      <c r="C56" s="369">
        <v>3.81</v>
      </c>
      <c r="D56" s="369">
        <v>3.95</v>
      </c>
      <c r="E56" s="369">
        <v>4.0999999999999996</v>
      </c>
      <c r="F56" s="369">
        <v>4.24</v>
      </c>
      <c r="G56" s="369">
        <v>4.37</v>
      </c>
      <c r="H56" s="369">
        <v>4.49</v>
      </c>
      <c r="I56" s="369">
        <v>4.59</v>
      </c>
      <c r="J56" s="369">
        <v>4.68</v>
      </c>
      <c r="K56" s="369">
        <v>4.76</v>
      </c>
      <c r="L56" s="369">
        <v>4.84</v>
      </c>
      <c r="M56" s="369">
        <v>4.9000000000000004</v>
      </c>
      <c r="N56" s="369">
        <v>4.96</v>
      </c>
      <c r="O56" s="369">
        <v>5</v>
      </c>
      <c r="P56" s="459">
        <v>5.05</v>
      </c>
      <c r="Q56" s="369">
        <v>5.0599999999999996</v>
      </c>
      <c r="R56" s="369">
        <v>5.08</v>
      </c>
      <c r="S56" s="369">
        <v>5.09</v>
      </c>
      <c r="T56" s="369">
        <v>5.0999999999999996</v>
      </c>
      <c r="U56" s="369">
        <v>5.1100000000000003</v>
      </c>
      <c r="V56" s="369">
        <v>5.0999999999999996</v>
      </c>
      <c r="W56" s="369">
        <v>5.08</v>
      </c>
      <c r="X56" s="369">
        <v>5.07</v>
      </c>
      <c r="Y56" s="369">
        <v>5.0599999999999996</v>
      </c>
      <c r="Z56" s="369">
        <v>5.05</v>
      </c>
      <c r="AA56" s="369">
        <v>5.03</v>
      </c>
      <c r="AB56" s="369">
        <v>5.01</v>
      </c>
      <c r="AC56" s="369">
        <v>4.99</v>
      </c>
      <c r="AD56" s="369">
        <v>4.97</v>
      </c>
      <c r="AE56" s="369">
        <v>4.95</v>
      </c>
      <c r="AF56" s="369">
        <v>4.9400000000000004</v>
      </c>
      <c r="AG56" s="369">
        <v>4.92</v>
      </c>
      <c r="AH56" s="369">
        <v>4.9000000000000004</v>
      </c>
      <c r="AI56" s="369">
        <v>4.8899999999999997</v>
      </c>
      <c r="AJ56" s="369">
        <v>4.87</v>
      </c>
      <c r="AK56" s="369">
        <v>4.8600000000000003</v>
      </c>
      <c r="AL56" s="369">
        <v>4.8499999999999996</v>
      </c>
      <c r="AM56" s="369">
        <v>4.84</v>
      </c>
      <c r="AN56" s="369">
        <v>4.83</v>
      </c>
      <c r="AO56" s="369">
        <v>4.8099999999999996</v>
      </c>
      <c r="AP56" s="369">
        <v>4.8099999999999996</v>
      </c>
      <c r="AQ56" s="369">
        <v>4.8</v>
      </c>
      <c r="AR56" s="369">
        <v>4.79</v>
      </c>
      <c r="AS56" s="369">
        <v>4.78</v>
      </c>
      <c r="AT56" s="369">
        <v>4.78</v>
      </c>
      <c r="AU56" s="369">
        <v>4.7699999999999996</v>
      </c>
      <c r="AV56" s="369">
        <v>4.76</v>
      </c>
      <c r="AW56" s="369">
        <v>4.76</v>
      </c>
      <c r="AX56" s="369">
        <v>4.75</v>
      </c>
      <c r="AY56" s="369">
        <v>4.75</v>
      </c>
      <c r="AZ56" s="158">
        <v>1.7500000000000002E-2</v>
      </c>
      <c r="BA56" s="108">
        <f t="shared" si="0"/>
        <v>1.7500000000000002</v>
      </c>
    </row>
    <row r="57" spans="1:53">
      <c r="A57" s="111">
        <v>41274</v>
      </c>
      <c r="B57" s="369">
        <v>3.69</v>
      </c>
      <c r="C57" s="369">
        <v>3.79</v>
      </c>
      <c r="D57" s="369">
        <v>3.93</v>
      </c>
      <c r="E57" s="369">
        <v>4.08</v>
      </c>
      <c r="F57" s="369">
        <v>4.22</v>
      </c>
      <c r="G57" s="369">
        <v>4.3499999999999996</v>
      </c>
      <c r="H57" s="369">
        <v>4.47</v>
      </c>
      <c r="I57" s="369">
        <v>4.57</v>
      </c>
      <c r="J57" s="369">
        <v>4.66</v>
      </c>
      <c r="K57" s="369">
        <v>4.74</v>
      </c>
      <c r="L57" s="369">
        <v>4.82</v>
      </c>
      <c r="M57" s="369">
        <v>4.8899999999999997</v>
      </c>
      <c r="N57" s="369">
        <v>4.9400000000000004</v>
      </c>
      <c r="O57" s="369">
        <v>4.99</v>
      </c>
      <c r="P57" s="459">
        <v>5.04</v>
      </c>
      <c r="Q57" s="369">
        <v>5.05</v>
      </c>
      <c r="R57" s="369">
        <v>5.07</v>
      </c>
      <c r="S57" s="369">
        <v>5.08</v>
      </c>
      <c r="T57" s="369">
        <v>5.09</v>
      </c>
      <c r="U57" s="369">
        <v>5.0999999999999996</v>
      </c>
      <c r="V57" s="369">
        <v>5.09</v>
      </c>
      <c r="W57" s="369">
        <v>5.07</v>
      </c>
      <c r="X57" s="369">
        <v>5.0599999999999996</v>
      </c>
      <c r="Y57" s="369">
        <v>5.05</v>
      </c>
      <c r="Z57" s="369">
        <v>5.04</v>
      </c>
      <c r="AA57" s="369">
        <v>5.0199999999999996</v>
      </c>
      <c r="AB57" s="369">
        <v>5</v>
      </c>
      <c r="AC57" s="369">
        <v>4.9800000000000004</v>
      </c>
      <c r="AD57" s="369">
        <v>4.96</v>
      </c>
      <c r="AE57" s="369">
        <v>4.9400000000000004</v>
      </c>
      <c r="AF57" s="369">
        <v>4.93</v>
      </c>
      <c r="AG57" s="369">
        <v>4.91</v>
      </c>
      <c r="AH57" s="369">
        <v>4.8899999999999997</v>
      </c>
      <c r="AI57" s="369">
        <v>4.88</v>
      </c>
      <c r="AJ57" s="369">
        <v>4.87</v>
      </c>
      <c r="AK57" s="369">
        <v>4.8499999999999996</v>
      </c>
      <c r="AL57" s="369">
        <v>4.84</v>
      </c>
      <c r="AM57" s="369">
        <v>4.83</v>
      </c>
      <c r="AN57" s="369">
        <v>4.82</v>
      </c>
      <c r="AO57" s="369">
        <v>4.8099999999999996</v>
      </c>
      <c r="AP57" s="369">
        <v>4.8</v>
      </c>
      <c r="AQ57" s="369">
        <v>4.79</v>
      </c>
      <c r="AR57" s="369">
        <v>4.78</v>
      </c>
      <c r="AS57" s="369">
        <v>4.78</v>
      </c>
      <c r="AT57" s="369">
        <v>4.7699999999999996</v>
      </c>
      <c r="AU57" s="369">
        <v>4.76</v>
      </c>
      <c r="AV57" s="369">
        <v>4.76</v>
      </c>
      <c r="AW57" s="369">
        <v>4.75</v>
      </c>
      <c r="AX57" s="369">
        <v>4.74</v>
      </c>
      <c r="AY57" s="369">
        <v>4.74</v>
      </c>
      <c r="AZ57" s="158">
        <v>1.7500000000000002E-2</v>
      </c>
      <c r="BA57" s="108">
        <f t="shared" si="0"/>
        <v>1.7500000000000002</v>
      </c>
    </row>
    <row r="58" spans="1:53">
      <c r="A58" s="111">
        <v>41305</v>
      </c>
      <c r="B58" s="369">
        <v>3.67</v>
      </c>
      <c r="C58" s="369">
        <v>3.77</v>
      </c>
      <c r="D58" s="369">
        <v>3.91</v>
      </c>
      <c r="E58" s="369">
        <v>4.0599999999999996</v>
      </c>
      <c r="F58" s="369">
        <v>4.2</v>
      </c>
      <c r="G58" s="369">
        <v>4.33</v>
      </c>
      <c r="H58" s="369">
        <v>4.45</v>
      </c>
      <c r="I58" s="369">
        <v>4.5599999999999996</v>
      </c>
      <c r="J58" s="369">
        <v>4.6500000000000004</v>
      </c>
      <c r="K58" s="369">
        <v>4.7300000000000004</v>
      </c>
      <c r="L58" s="369">
        <v>4.8099999999999996</v>
      </c>
      <c r="M58" s="369">
        <v>4.88</v>
      </c>
      <c r="N58" s="369">
        <v>4.93</v>
      </c>
      <c r="O58" s="369">
        <v>4.9800000000000004</v>
      </c>
      <c r="P58" s="459">
        <v>5.03</v>
      </c>
      <c r="Q58" s="369">
        <v>5.04</v>
      </c>
      <c r="R58" s="369">
        <v>5.0599999999999996</v>
      </c>
      <c r="S58" s="369">
        <v>5.07</v>
      </c>
      <c r="T58" s="369">
        <v>5.08</v>
      </c>
      <c r="U58" s="369">
        <v>5.09</v>
      </c>
      <c r="V58" s="369">
        <v>5.08</v>
      </c>
      <c r="W58" s="369">
        <v>5.0599999999999996</v>
      </c>
      <c r="X58" s="369">
        <v>5.05</v>
      </c>
      <c r="Y58" s="369">
        <v>5.04</v>
      </c>
      <c r="Z58" s="369">
        <v>5.03</v>
      </c>
      <c r="AA58" s="369">
        <v>5.01</v>
      </c>
      <c r="AB58" s="369">
        <v>4.99</v>
      </c>
      <c r="AC58" s="369">
        <v>4.97</v>
      </c>
      <c r="AD58" s="369">
        <v>4.95</v>
      </c>
      <c r="AE58" s="369">
        <v>4.93</v>
      </c>
      <c r="AF58" s="369">
        <v>4.92</v>
      </c>
      <c r="AG58" s="369">
        <v>4.9000000000000004</v>
      </c>
      <c r="AH58" s="369">
        <v>4.88</v>
      </c>
      <c r="AI58" s="369">
        <v>4.87</v>
      </c>
      <c r="AJ58" s="369">
        <v>4.8600000000000003</v>
      </c>
      <c r="AK58" s="369">
        <v>4.84</v>
      </c>
      <c r="AL58" s="369">
        <v>4.83</v>
      </c>
      <c r="AM58" s="369">
        <v>4.82</v>
      </c>
      <c r="AN58" s="369">
        <v>4.8099999999999996</v>
      </c>
      <c r="AO58" s="369">
        <v>4.8</v>
      </c>
      <c r="AP58" s="369">
        <v>4.79</v>
      </c>
      <c r="AQ58" s="369">
        <v>4.78</v>
      </c>
      <c r="AR58" s="369">
        <v>4.7699999999999996</v>
      </c>
      <c r="AS58" s="369">
        <v>4.7699999999999996</v>
      </c>
      <c r="AT58" s="369">
        <v>4.76</v>
      </c>
      <c r="AU58" s="369">
        <v>4.75</v>
      </c>
      <c r="AV58" s="369">
        <v>4.75</v>
      </c>
      <c r="AW58" s="369">
        <v>4.74</v>
      </c>
      <c r="AX58" s="369">
        <v>4.74</v>
      </c>
      <c r="AY58" s="369">
        <v>4.7300000000000004</v>
      </c>
      <c r="AZ58" s="158">
        <v>1.7500000000000002E-2</v>
      </c>
      <c r="BA58" s="108">
        <f t="shared" si="0"/>
        <v>1.7500000000000002</v>
      </c>
    </row>
    <row r="59" spans="1:53">
      <c r="A59" s="111">
        <v>41333</v>
      </c>
      <c r="B59" s="369">
        <v>3.65</v>
      </c>
      <c r="C59" s="369">
        <v>3.74</v>
      </c>
      <c r="D59" s="369">
        <v>3.89</v>
      </c>
      <c r="E59" s="369">
        <v>4.04</v>
      </c>
      <c r="F59" s="369">
        <v>4.18</v>
      </c>
      <c r="G59" s="369">
        <v>4.32</v>
      </c>
      <c r="H59" s="369">
        <v>4.43</v>
      </c>
      <c r="I59" s="369">
        <v>4.54</v>
      </c>
      <c r="J59" s="369">
        <v>4.63</v>
      </c>
      <c r="K59" s="369">
        <v>4.72</v>
      </c>
      <c r="L59" s="369">
        <v>4.8</v>
      </c>
      <c r="M59" s="369">
        <v>4.8600000000000003</v>
      </c>
      <c r="N59" s="369">
        <v>4.92</v>
      </c>
      <c r="O59" s="369">
        <v>4.97</v>
      </c>
      <c r="P59" s="459">
        <v>5.0199999999999996</v>
      </c>
      <c r="Q59" s="369">
        <v>5.03</v>
      </c>
      <c r="R59" s="369">
        <v>5.05</v>
      </c>
      <c r="S59" s="369">
        <v>5.0599999999999996</v>
      </c>
      <c r="T59" s="369">
        <v>5.07</v>
      </c>
      <c r="U59" s="369">
        <v>5.08</v>
      </c>
      <c r="V59" s="369">
        <v>5.07</v>
      </c>
      <c r="W59" s="369">
        <v>5.05</v>
      </c>
      <c r="X59" s="369">
        <v>5.04</v>
      </c>
      <c r="Y59" s="369">
        <v>5.03</v>
      </c>
      <c r="Z59" s="369">
        <v>5.0199999999999996</v>
      </c>
      <c r="AA59" s="369">
        <v>5</v>
      </c>
      <c r="AB59" s="369">
        <v>4.9800000000000004</v>
      </c>
      <c r="AC59" s="369">
        <v>4.96</v>
      </c>
      <c r="AD59" s="369">
        <v>4.9400000000000004</v>
      </c>
      <c r="AE59" s="369">
        <v>4.92</v>
      </c>
      <c r="AF59" s="369">
        <v>4.91</v>
      </c>
      <c r="AG59" s="369">
        <v>4.8899999999999997</v>
      </c>
      <c r="AH59" s="369">
        <v>4.87</v>
      </c>
      <c r="AI59" s="369">
        <v>4.8600000000000003</v>
      </c>
      <c r="AJ59" s="369">
        <v>4.8499999999999996</v>
      </c>
      <c r="AK59" s="369">
        <v>4.83</v>
      </c>
      <c r="AL59" s="369">
        <v>4.82</v>
      </c>
      <c r="AM59" s="369">
        <v>4.8099999999999996</v>
      </c>
      <c r="AN59" s="369">
        <v>4.8</v>
      </c>
      <c r="AO59" s="369">
        <v>4.79</v>
      </c>
      <c r="AP59" s="369">
        <v>4.78</v>
      </c>
      <c r="AQ59" s="369">
        <v>4.7699999999999996</v>
      </c>
      <c r="AR59" s="369">
        <v>4.7699999999999996</v>
      </c>
      <c r="AS59" s="369">
        <v>4.76</v>
      </c>
      <c r="AT59" s="369">
        <v>4.75</v>
      </c>
      <c r="AU59" s="369">
        <v>4.75</v>
      </c>
      <c r="AV59" s="369">
        <v>4.74</v>
      </c>
      <c r="AW59" s="369">
        <v>4.74</v>
      </c>
      <c r="AX59" s="369">
        <v>4.7300000000000004</v>
      </c>
      <c r="AY59" s="369">
        <v>4.7300000000000004</v>
      </c>
      <c r="AZ59" s="158">
        <v>1.7500000000000002E-2</v>
      </c>
      <c r="BA59" s="108">
        <f t="shared" si="0"/>
        <v>1.7500000000000002</v>
      </c>
    </row>
    <row r="60" spans="1:53">
      <c r="A60" s="111">
        <v>41364</v>
      </c>
      <c r="B60" s="369">
        <v>3.62</v>
      </c>
      <c r="C60" s="369">
        <v>3.71</v>
      </c>
      <c r="D60" s="369">
        <v>3.86</v>
      </c>
      <c r="E60" s="369">
        <v>4.01</v>
      </c>
      <c r="F60" s="369">
        <v>4.16</v>
      </c>
      <c r="G60" s="369">
        <v>4.29</v>
      </c>
      <c r="H60" s="369">
        <v>4.41</v>
      </c>
      <c r="I60" s="369">
        <v>4.5199999999999996</v>
      </c>
      <c r="J60" s="369">
        <v>4.6100000000000003</v>
      </c>
      <c r="K60" s="369">
        <v>4.7</v>
      </c>
      <c r="L60" s="369">
        <v>4.78</v>
      </c>
      <c r="M60" s="369">
        <v>4.8499999999999996</v>
      </c>
      <c r="N60" s="369">
        <v>4.91</v>
      </c>
      <c r="O60" s="369">
        <v>4.96</v>
      </c>
      <c r="P60" s="459">
        <v>5</v>
      </c>
      <c r="Q60" s="369">
        <v>5.0199999999999996</v>
      </c>
      <c r="R60" s="369">
        <v>5.03</v>
      </c>
      <c r="S60" s="369">
        <v>5.04</v>
      </c>
      <c r="T60" s="369">
        <v>5.0599999999999996</v>
      </c>
      <c r="U60" s="369">
        <v>5.07</v>
      </c>
      <c r="V60" s="369">
        <v>5.05</v>
      </c>
      <c r="W60" s="369">
        <v>5.04</v>
      </c>
      <c r="X60" s="369">
        <v>5.03</v>
      </c>
      <c r="Y60" s="369">
        <v>5.01</v>
      </c>
      <c r="Z60" s="369">
        <v>5</v>
      </c>
      <c r="AA60" s="369">
        <v>4.9800000000000004</v>
      </c>
      <c r="AB60" s="369">
        <v>4.96</v>
      </c>
      <c r="AC60" s="369">
        <v>4.9400000000000004</v>
      </c>
      <c r="AD60" s="369">
        <v>4.92</v>
      </c>
      <c r="AE60" s="369">
        <v>4.91</v>
      </c>
      <c r="AF60" s="369">
        <v>4.8899999999999997</v>
      </c>
      <c r="AG60" s="369">
        <v>4.88</v>
      </c>
      <c r="AH60" s="369">
        <v>4.8600000000000003</v>
      </c>
      <c r="AI60" s="369">
        <v>4.8499999999999996</v>
      </c>
      <c r="AJ60" s="369">
        <v>4.83</v>
      </c>
      <c r="AK60" s="369">
        <v>4.82</v>
      </c>
      <c r="AL60" s="369">
        <v>4.8099999999999996</v>
      </c>
      <c r="AM60" s="369">
        <v>4.8</v>
      </c>
      <c r="AN60" s="369">
        <v>4.79</v>
      </c>
      <c r="AO60" s="369">
        <v>4.78</v>
      </c>
      <c r="AP60" s="369">
        <v>4.7699999999999996</v>
      </c>
      <c r="AQ60" s="369">
        <v>4.76</v>
      </c>
      <c r="AR60" s="369">
        <v>4.75</v>
      </c>
      <c r="AS60" s="369">
        <v>4.75</v>
      </c>
      <c r="AT60" s="369">
        <v>4.74</v>
      </c>
      <c r="AU60" s="369">
        <v>4.7300000000000004</v>
      </c>
      <c r="AV60" s="369">
        <v>4.7300000000000004</v>
      </c>
      <c r="AW60" s="369">
        <v>4.72</v>
      </c>
      <c r="AX60" s="369">
        <v>4.72</v>
      </c>
      <c r="AY60" s="369">
        <v>4.71</v>
      </c>
      <c r="AZ60" s="158">
        <v>1.7500000000000002E-2</v>
      </c>
      <c r="BA60" s="108">
        <f t="shared" si="0"/>
        <v>1.7500000000000002</v>
      </c>
    </row>
    <row r="61" spans="1:53">
      <c r="A61" s="111">
        <v>41394</v>
      </c>
      <c r="B61" s="369">
        <v>3.59</v>
      </c>
      <c r="C61" s="369">
        <v>3.68</v>
      </c>
      <c r="D61" s="369">
        <v>3.83</v>
      </c>
      <c r="E61" s="369">
        <v>3.98</v>
      </c>
      <c r="F61" s="369">
        <v>4.13</v>
      </c>
      <c r="G61" s="369">
        <v>4.26</v>
      </c>
      <c r="H61" s="369">
        <v>4.38</v>
      </c>
      <c r="I61" s="369">
        <v>4.49</v>
      </c>
      <c r="J61" s="369">
        <v>4.59</v>
      </c>
      <c r="K61" s="369">
        <v>4.67</v>
      </c>
      <c r="L61" s="369">
        <v>4.76</v>
      </c>
      <c r="M61" s="369">
        <v>4.82</v>
      </c>
      <c r="N61" s="369">
        <v>4.88</v>
      </c>
      <c r="O61" s="369">
        <v>4.93</v>
      </c>
      <c r="P61" s="459">
        <v>4.9800000000000004</v>
      </c>
      <c r="Q61" s="369">
        <v>5</v>
      </c>
      <c r="R61" s="369">
        <v>5.01</v>
      </c>
      <c r="S61" s="369">
        <v>5.0199999999999996</v>
      </c>
      <c r="T61" s="369">
        <v>5.04</v>
      </c>
      <c r="U61" s="369">
        <v>5.05</v>
      </c>
      <c r="V61" s="369">
        <v>5.03</v>
      </c>
      <c r="W61" s="369">
        <v>5.0199999999999996</v>
      </c>
      <c r="X61" s="369">
        <v>5.01</v>
      </c>
      <c r="Y61" s="369">
        <v>4.99</v>
      </c>
      <c r="Z61" s="369">
        <v>4.9800000000000004</v>
      </c>
      <c r="AA61" s="369">
        <v>4.96</v>
      </c>
      <c r="AB61" s="369">
        <v>4.9400000000000004</v>
      </c>
      <c r="AC61" s="369">
        <v>4.92</v>
      </c>
      <c r="AD61" s="369">
        <v>4.91</v>
      </c>
      <c r="AE61" s="369">
        <v>4.8899999999999997</v>
      </c>
      <c r="AF61" s="369">
        <v>4.87</v>
      </c>
      <c r="AG61" s="369">
        <v>4.8600000000000003</v>
      </c>
      <c r="AH61" s="369">
        <v>4.84</v>
      </c>
      <c r="AI61" s="369">
        <v>4.83</v>
      </c>
      <c r="AJ61" s="369">
        <v>4.8099999999999996</v>
      </c>
      <c r="AK61" s="369">
        <v>4.8</v>
      </c>
      <c r="AL61" s="369">
        <v>4.79</v>
      </c>
      <c r="AM61" s="369">
        <v>4.78</v>
      </c>
      <c r="AN61" s="369">
        <v>4.7699999999999996</v>
      </c>
      <c r="AO61" s="369">
        <v>4.76</v>
      </c>
      <c r="AP61" s="369">
        <v>4.75</v>
      </c>
      <c r="AQ61" s="369">
        <v>4.74</v>
      </c>
      <c r="AR61" s="369">
        <v>4.74</v>
      </c>
      <c r="AS61" s="369">
        <v>4.7300000000000004</v>
      </c>
      <c r="AT61" s="369">
        <v>4.72</v>
      </c>
      <c r="AU61" s="369">
        <v>4.72</v>
      </c>
      <c r="AV61" s="369">
        <v>4.71</v>
      </c>
      <c r="AW61" s="369">
        <v>4.71</v>
      </c>
      <c r="AX61" s="369">
        <v>4.7</v>
      </c>
      <c r="AY61" s="369">
        <v>4.7</v>
      </c>
      <c r="AZ61" s="158">
        <v>1.7500000000000002E-2</v>
      </c>
      <c r="BA61" s="108">
        <f t="shared" si="0"/>
        <v>1.7500000000000002</v>
      </c>
    </row>
    <row r="62" spans="1:53">
      <c r="A62" s="111">
        <v>41425</v>
      </c>
      <c r="B62" s="369">
        <v>3.56</v>
      </c>
      <c r="C62" s="369">
        <v>3.65</v>
      </c>
      <c r="D62" s="369">
        <v>3.8</v>
      </c>
      <c r="E62" s="369">
        <v>3.95</v>
      </c>
      <c r="F62" s="369">
        <v>4.0999999999999996</v>
      </c>
      <c r="G62" s="369">
        <v>4.2300000000000004</v>
      </c>
      <c r="H62" s="369">
        <v>4.3600000000000003</v>
      </c>
      <c r="I62" s="369">
        <v>4.47</v>
      </c>
      <c r="J62" s="369">
        <v>4.5599999999999996</v>
      </c>
      <c r="K62" s="369">
        <v>4.6500000000000004</v>
      </c>
      <c r="L62" s="369">
        <v>4.7300000000000004</v>
      </c>
      <c r="M62" s="369">
        <v>4.8</v>
      </c>
      <c r="N62" s="369">
        <v>4.8600000000000003</v>
      </c>
      <c r="O62" s="369">
        <v>4.92</v>
      </c>
      <c r="P62" s="459">
        <v>4.96</v>
      </c>
      <c r="Q62" s="369">
        <v>4.9800000000000004</v>
      </c>
      <c r="R62" s="369">
        <v>4.99</v>
      </c>
      <c r="S62" s="369">
        <v>5.01</v>
      </c>
      <c r="T62" s="369">
        <v>5.0199999999999996</v>
      </c>
      <c r="U62" s="369">
        <v>5.03</v>
      </c>
      <c r="V62" s="369">
        <v>5.01</v>
      </c>
      <c r="W62" s="369">
        <v>5</v>
      </c>
      <c r="X62" s="369">
        <v>4.99</v>
      </c>
      <c r="Y62" s="369">
        <v>4.9800000000000004</v>
      </c>
      <c r="Z62" s="369">
        <v>4.97</v>
      </c>
      <c r="AA62" s="369">
        <v>4.9400000000000004</v>
      </c>
      <c r="AB62" s="369">
        <v>4.92</v>
      </c>
      <c r="AC62" s="369">
        <v>4.9000000000000004</v>
      </c>
      <c r="AD62" s="369">
        <v>4.8899999999999997</v>
      </c>
      <c r="AE62" s="369">
        <v>4.87</v>
      </c>
      <c r="AF62" s="369">
        <v>4.8499999999999996</v>
      </c>
      <c r="AG62" s="369">
        <v>4.84</v>
      </c>
      <c r="AH62" s="369">
        <v>4.82</v>
      </c>
      <c r="AI62" s="369">
        <v>4.8099999999999996</v>
      </c>
      <c r="AJ62" s="369">
        <v>4.8</v>
      </c>
      <c r="AK62" s="369">
        <v>4.78</v>
      </c>
      <c r="AL62" s="369">
        <v>4.7699999999999996</v>
      </c>
      <c r="AM62" s="369">
        <v>4.76</v>
      </c>
      <c r="AN62" s="369">
        <v>4.75</v>
      </c>
      <c r="AO62" s="369">
        <v>4.74</v>
      </c>
      <c r="AP62" s="369">
        <v>4.7300000000000004</v>
      </c>
      <c r="AQ62" s="369">
        <v>4.7300000000000004</v>
      </c>
      <c r="AR62" s="369">
        <v>4.72</v>
      </c>
      <c r="AS62" s="369">
        <v>4.71</v>
      </c>
      <c r="AT62" s="369">
        <v>4.71</v>
      </c>
      <c r="AU62" s="369">
        <v>4.7</v>
      </c>
      <c r="AV62" s="369">
        <v>4.7</v>
      </c>
      <c r="AW62" s="369">
        <v>4.6900000000000004</v>
      </c>
      <c r="AX62" s="369">
        <v>4.6900000000000004</v>
      </c>
      <c r="AY62" s="369">
        <v>4.68</v>
      </c>
      <c r="AZ62" s="158">
        <v>1.7500000000000002E-2</v>
      </c>
      <c r="BA62" s="108">
        <f t="shared" si="0"/>
        <v>1.7500000000000002</v>
      </c>
    </row>
    <row r="63" spans="1:53">
      <c r="A63" s="111">
        <v>41455</v>
      </c>
      <c r="B63" s="369">
        <v>3.53</v>
      </c>
      <c r="C63" s="369">
        <v>3.62</v>
      </c>
      <c r="D63" s="369">
        <v>3.77</v>
      </c>
      <c r="E63" s="369">
        <v>3.92</v>
      </c>
      <c r="F63" s="369">
        <v>4.07</v>
      </c>
      <c r="G63" s="369">
        <v>4.21</v>
      </c>
      <c r="H63" s="369">
        <v>4.33</v>
      </c>
      <c r="I63" s="369">
        <v>4.45</v>
      </c>
      <c r="J63" s="369">
        <v>4.54</v>
      </c>
      <c r="K63" s="369">
        <v>4.63</v>
      </c>
      <c r="L63" s="369">
        <v>4.72</v>
      </c>
      <c r="M63" s="369">
        <v>4.79</v>
      </c>
      <c r="N63" s="369">
        <v>4.8499999999999996</v>
      </c>
      <c r="O63" s="369">
        <v>4.9000000000000004</v>
      </c>
      <c r="P63" s="459">
        <v>4.9400000000000004</v>
      </c>
      <c r="Q63" s="369">
        <v>4.96</v>
      </c>
      <c r="R63" s="369">
        <v>4.9800000000000004</v>
      </c>
      <c r="S63" s="369">
        <v>4.99</v>
      </c>
      <c r="T63" s="369">
        <v>5</v>
      </c>
      <c r="U63" s="369">
        <v>5.01</v>
      </c>
      <c r="V63" s="369">
        <v>5</v>
      </c>
      <c r="W63" s="369">
        <v>4.9800000000000004</v>
      </c>
      <c r="X63" s="369">
        <v>4.97</v>
      </c>
      <c r="Y63" s="369">
        <v>4.96</v>
      </c>
      <c r="Z63" s="369">
        <v>4.95</v>
      </c>
      <c r="AA63" s="369">
        <v>4.93</v>
      </c>
      <c r="AB63" s="369">
        <v>4.91</v>
      </c>
      <c r="AC63" s="369">
        <v>4.8899999999999997</v>
      </c>
      <c r="AD63" s="369">
        <v>4.87</v>
      </c>
      <c r="AE63" s="369">
        <v>4.8499999999999996</v>
      </c>
      <c r="AF63" s="369">
        <v>4.84</v>
      </c>
      <c r="AG63" s="369">
        <v>4.82</v>
      </c>
      <c r="AH63" s="369">
        <v>4.8099999999999996</v>
      </c>
      <c r="AI63" s="369">
        <v>4.79</v>
      </c>
      <c r="AJ63" s="369">
        <v>4.78</v>
      </c>
      <c r="AK63" s="369">
        <v>4.7699999999999996</v>
      </c>
      <c r="AL63" s="369">
        <v>4.76</v>
      </c>
      <c r="AM63" s="369">
        <v>4.74</v>
      </c>
      <c r="AN63" s="369">
        <v>4.7300000000000004</v>
      </c>
      <c r="AO63" s="369">
        <v>4.72</v>
      </c>
      <c r="AP63" s="369">
        <v>4.72</v>
      </c>
      <c r="AQ63" s="369">
        <v>4.71</v>
      </c>
      <c r="AR63" s="369">
        <v>4.7</v>
      </c>
      <c r="AS63" s="369">
        <v>4.7</v>
      </c>
      <c r="AT63" s="369">
        <v>4.6900000000000004</v>
      </c>
      <c r="AU63" s="369">
        <v>4.6900000000000004</v>
      </c>
      <c r="AV63" s="369">
        <v>4.68</v>
      </c>
      <c r="AW63" s="369">
        <v>4.68</v>
      </c>
      <c r="AX63" s="369">
        <v>4.67</v>
      </c>
      <c r="AY63" s="369">
        <v>4.67</v>
      </c>
      <c r="AZ63" s="158">
        <v>1.7500000000000002E-2</v>
      </c>
      <c r="BA63" s="108">
        <f t="shared" si="0"/>
        <v>1.7500000000000002</v>
      </c>
    </row>
    <row r="64" spans="1:53">
      <c r="A64" s="111">
        <v>41486</v>
      </c>
      <c r="B64" s="369">
        <v>3.5</v>
      </c>
      <c r="C64" s="369">
        <v>3.59</v>
      </c>
      <c r="D64" s="369">
        <v>3.74</v>
      </c>
      <c r="E64" s="369">
        <v>3.89</v>
      </c>
      <c r="F64" s="369">
        <v>4.05</v>
      </c>
      <c r="G64" s="369">
        <v>4.1900000000000004</v>
      </c>
      <c r="H64" s="369">
        <v>4.3099999999999996</v>
      </c>
      <c r="I64" s="369">
        <v>4.42</v>
      </c>
      <c r="J64" s="369">
        <v>4.5199999999999996</v>
      </c>
      <c r="K64" s="369">
        <v>4.6100000000000003</v>
      </c>
      <c r="L64" s="369">
        <v>4.7</v>
      </c>
      <c r="M64" s="369">
        <v>4.7699999999999996</v>
      </c>
      <c r="N64" s="369">
        <v>4.83</v>
      </c>
      <c r="O64" s="369">
        <v>4.88</v>
      </c>
      <c r="P64" s="459">
        <v>4.93</v>
      </c>
      <c r="Q64" s="369">
        <v>4.9400000000000004</v>
      </c>
      <c r="R64" s="369">
        <v>4.96</v>
      </c>
      <c r="S64" s="369">
        <v>4.97</v>
      </c>
      <c r="T64" s="369">
        <v>4.99</v>
      </c>
      <c r="U64" s="369">
        <v>5</v>
      </c>
      <c r="V64" s="369">
        <v>4.9800000000000004</v>
      </c>
      <c r="W64" s="369">
        <v>4.97</v>
      </c>
      <c r="X64" s="369">
        <v>4.96</v>
      </c>
      <c r="Y64" s="369">
        <v>4.9400000000000004</v>
      </c>
      <c r="Z64" s="369">
        <v>4.93</v>
      </c>
      <c r="AA64" s="369">
        <v>4.91</v>
      </c>
      <c r="AB64" s="369">
        <v>4.8899999999999997</v>
      </c>
      <c r="AC64" s="369">
        <v>4.87</v>
      </c>
      <c r="AD64" s="369">
        <v>4.8499999999999996</v>
      </c>
      <c r="AE64" s="369">
        <v>4.84</v>
      </c>
      <c r="AF64" s="369">
        <v>4.82</v>
      </c>
      <c r="AG64" s="369">
        <v>4.8099999999999996</v>
      </c>
      <c r="AH64" s="369">
        <v>4.79</v>
      </c>
      <c r="AI64" s="369">
        <v>4.78</v>
      </c>
      <c r="AJ64" s="369">
        <v>4.76</v>
      </c>
      <c r="AK64" s="369">
        <v>4.75</v>
      </c>
      <c r="AL64" s="369">
        <v>4.74</v>
      </c>
      <c r="AM64" s="369">
        <v>4.7300000000000004</v>
      </c>
      <c r="AN64" s="369">
        <v>4.72</v>
      </c>
      <c r="AO64" s="369">
        <v>4.71</v>
      </c>
      <c r="AP64" s="369">
        <v>4.7</v>
      </c>
      <c r="AQ64" s="369">
        <v>4.7</v>
      </c>
      <c r="AR64" s="369">
        <v>4.6900000000000004</v>
      </c>
      <c r="AS64" s="369">
        <v>4.68</v>
      </c>
      <c r="AT64" s="369">
        <v>4.68</v>
      </c>
      <c r="AU64" s="369">
        <v>4.67</v>
      </c>
      <c r="AV64" s="369">
        <v>4.67</v>
      </c>
      <c r="AW64" s="369">
        <v>4.66</v>
      </c>
      <c r="AX64" s="369">
        <v>4.66</v>
      </c>
      <c r="AY64" s="369">
        <v>4.6500000000000004</v>
      </c>
      <c r="AZ64" s="158">
        <v>1.7500000000000002E-2</v>
      </c>
      <c r="BA64" s="108">
        <f t="shared" si="0"/>
        <v>1.7500000000000002</v>
      </c>
    </row>
    <row r="65" spans="1:60">
      <c r="A65" s="111">
        <v>41517</v>
      </c>
      <c r="B65" s="369">
        <v>3.47</v>
      </c>
      <c r="C65" s="369">
        <v>3.56</v>
      </c>
      <c r="D65" s="369">
        <v>3.71</v>
      </c>
      <c r="E65" s="369">
        <v>3.87</v>
      </c>
      <c r="F65" s="369">
        <v>4.0199999999999996</v>
      </c>
      <c r="G65" s="369">
        <v>4.17</v>
      </c>
      <c r="H65" s="369">
        <v>4.29</v>
      </c>
      <c r="I65" s="369">
        <v>4.41</v>
      </c>
      <c r="J65" s="369">
        <v>4.51</v>
      </c>
      <c r="K65" s="369">
        <v>4.5999999999999996</v>
      </c>
      <c r="L65" s="369">
        <v>4.68</v>
      </c>
      <c r="M65" s="369">
        <v>4.76</v>
      </c>
      <c r="N65" s="369">
        <v>4.82</v>
      </c>
      <c r="O65" s="369">
        <v>4.87</v>
      </c>
      <c r="P65" s="459">
        <v>4.92</v>
      </c>
      <c r="Q65" s="369">
        <v>4.93</v>
      </c>
      <c r="R65" s="369">
        <v>4.95</v>
      </c>
      <c r="S65" s="369">
        <v>4.96</v>
      </c>
      <c r="T65" s="369">
        <v>4.97</v>
      </c>
      <c r="U65" s="369">
        <v>4.99</v>
      </c>
      <c r="V65" s="369">
        <v>4.97</v>
      </c>
      <c r="W65" s="369">
        <v>4.96</v>
      </c>
      <c r="X65" s="369">
        <v>4.9400000000000004</v>
      </c>
      <c r="Y65" s="369">
        <v>4.93</v>
      </c>
      <c r="Z65" s="369">
        <v>4.92</v>
      </c>
      <c r="AA65" s="369">
        <v>4.9000000000000004</v>
      </c>
      <c r="AB65" s="369">
        <v>4.88</v>
      </c>
      <c r="AC65" s="369">
        <v>4.8600000000000003</v>
      </c>
      <c r="AD65" s="369">
        <v>4.84</v>
      </c>
      <c r="AE65" s="369">
        <v>4.83</v>
      </c>
      <c r="AF65" s="369">
        <v>4.8099999999999996</v>
      </c>
      <c r="AG65" s="369">
        <v>4.79</v>
      </c>
      <c r="AH65" s="369">
        <v>4.78</v>
      </c>
      <c r="AI65" s="369">
        <v>4.7699999999999996</v>
      </c>
      <c r="AJ65" s="369">
        <v>4.75</v>
      </c>
      <c r="AK65" s="369">
        <v>4.74</v>
      </c>
      <c r="AL65" s="369">
        <v>4.7300000000000004</v>
      </c>
      <c r="AM65" s="369">
        <v>4.72</v>
      </c>
      <c r="AN65" s="369">
        <v>4.71</v>
      </c>
      <c r="AO65" s="369">
        <v>4.7</v>
      </c>
      <c r="AP65" s="369">
        <v>4.6900000000000004</v>
      </c>
      <c r="AQ65" s="369">
        <v>4.68</v>
      </c>
      <c r="AR65" s="369">
        <v>4.68</v>
      </c>
      <c r="AS65" s="369">
        <v>4.67</v>
      </c>
      <c r="AT65" s="369">
        <v>4.67</v>
      </c>
      <c r="AU65" s="369">
        <v>4.66</v>
      </c>
      <c r="AV65" s="369">
        <v>4.66</v>
      </c>
      <c r="AW65" s="369">
        <v>4.6500000000000004</v>
      </c>
      <c r="AX65" s="369">
        <v>4.6500000000000004</v>
      </c>
      <c r="AY65" s="369">
        <v>4.6399999999999997</v>
      </c>
      <c r="AZ65" s="158">
        <v>1.7500000000000002E-2</v>
      </c>
      <c r="BA65" s="108">
        <f t="shared" si="0"/>
        <v>1.7500000000000002</v>
      </c>
    </row>
    <row r="66" spans="1:60">
      <c r="A66" s="111">
        <v>41547</v>
      </c>
      <c r="B66" s="369">
        <v>3.44</v>
      </c>
      <c r="C66" s="369">
        <v>3.53</v>
      </c>
      <c r="D66" s="369">
        <v>3.68</v>
      </c>
      <c r="E66" s="369">
        <v>3.84</v>
      </c>
      <c r="F66" s="369">
        <v>4</v>
      </c>
      <c r="G66" s="369">
        <v>4.1500000000000004</v>
      </c>
      <c r="H66" s="369">
        <v>4.28</v>
      </c>
      <c r="I66" s="369">
        <v>4.3899999999999997</v>
      </c>
      <c r="J66" s="369">
        <v>4.49</v>
      </c>
      <c r="K66" s="369">
        <v>4.58</v>
      </c>
      <c r="L66" s="369">
        <v>4.67</v>
      </c>
      <c r="M66" s="369">
        <v>4.74</v>
      </c>
      <c r="N66" s="369">
        <v>4.8099999999999996</v>
      </c>
      <c r="O66" s="369">
        <v>4.8600000000000003</v>
      </c>
      <c r="P66" s="459">
        <v>4.91</v>
      </c>
      <c r="Q66" s="369">
        <v>4.92</v>
      </c>
      <c r="R66" s="369">
        <v>4.9400000000000004</v>
      </c>
      <c r="S66" s="369">
        <v>4.95</v>
      </c>
      <c r="T66" s="369">
        <v>4.97</v>
      </c>
      <c r="U66" s="369">
        <v>4.9800000000000004</v>
      </c>
      <c r="V66" s="369">
        <v>4.96</v>
      </c>
      <c r="W66" s="369">
        <v>4.95</v>
      </c>
      <c r="X66" s="369">
        <v>4.93</v>
      </c>
      <c r="Y66" s="369">
        <v>4.92</v>
      </c>
      <c r="Z66" s="369">
        <v>4.91</v>
      </c>
      <c r="AA66" s="369">
        <v>4.8899999999999997</v>
      </c>
      <c r="AB66" s="369">
        <v>4.87</v>
      </c>
      <c r="AC66" s="369">
        <v>4.8499999999999996</v>
      </c>
      <c r="AD66" s="369">
        <v>4.83</v>
      </c>
      <c r="AE66" s="369">
        <v>4.82</v>
      </c>
      <c r="AF66" s="369">
        <v>4.8</v>
      </c>
      <c r="AG66" s="369">
        <v>4.78</v>
      </c>
      <c r="AH66" s="369">
        <v>4.7699999999999996</v>
      </c>
      <c r="AI66" s="369">
        <v>4.76</v>
      </c>
      <c r="AJ66" s="369">
        <v>4.74</v>
      </c>
      <c r="AK66" s="369">
        <v>4.7300000000000004</v>
      </c>
      <c r="AL66" s="369">
        <v>4.72</v>
      </c>
      <c r="AM66" s="369">
        <v>4.71</v>
      </c>
      <c r="AN66" s="369">
        <v>4.7</v>
      </c>
      <c r="AO66" s="369">
        <v>4.6900000000000004</v>
      </c>
      <c r="AP66" s="369">
        <v>4.68</v>
      </c>
      <c r="AQ66" s="369">
        <v>4.68</v>
      </c>
      <c r="AR66" s="369">
        <v>4.67</v>
      </c>
      <c r="AS66" s="369">
        <v>4.67</v>
      </c>
      <c r="AT66" s="369">
        <v>4.66</v>
      </c>
      <c r="AU66" s="369">
        <v>4.66</v>
      </c>
      <c r="AV66" s="369">
        <v>4.6500000000000004</v>
      </c>
      <c r="AW66" s="369">
        <v>4.6500000000000004</v>
      </c>
      <c r="AX66" s="369">
        <v>4.6399999999999997</v>
      </c>
      <c r="AY66" s="369">
        <v>4.6399999999999997</v>
      </c>
      <c r="AZ66" s="158">
        <v>1.7500000000000002E-2</v>
      </c>
      <c r="BA66" s="108">
        <f t="shared" si="0"/>
        <v>1.7500000000000002</v>
      </c>
      <c r="BE66" s="2131" t="s">
        <v>198</v>
      </c>
      <c r="BF66" s="2131"/>
      <c r="BG66" s="2131" t="s">
        <v>199</v>
      </c>
      <c r="BH66" s="2131"/>
    </row>
    <row r="67" spans="1:60">
      <c r="A67" s="111">
        <v>41578</v>
      </c>
      <c r="B67" s="369">
        <v>3.41</v>
      </c>
      <c r="C67" s="369">
        <v>3.5</v>
      </c>
      <c r="D67" s="369">
        <v>3.65</v>
      </c>
      <c r="E67" s="369">
        <v>3.82</v>
      </c>
      <c r="F67" s="369">
        <v>3.98</v>
      </c>
      <c r="G67" s="369">
        <v>4.12</v>
      </c>
      <c r="H67" s="369">
        <v>4.26</v>
      </c>
      <c r="I67" s="369">
        <v>4.37</v>
      </c>
      <c r="J67" s="369">
        <v>4.4800000000000004</v>
      </c>
      <c r="K67" s="369">
        <v>4.57</v>
      </c>
      <c r="L67" s="369">
        <v>4.66</v>
      </c>
      <c r="M67" s="369">
        <v>4.7300000000000004</v>
      </c>
      <c r="N67" s="369">
        <v>4.79</v>
      </c>
      <c r="O67" s="369">
        <v>4.8499999999999996</v>
      </c>
      <c r="P67" s="459">
        <v>4.9000000000000004</v>
      </c>
      <c r="Q67" s="369">
        <v>4.91</v>
      </c>
      <c r="R67" s="369">
        <v>4.93</v>
      </c>
      <c r="S67" s="369">
        <v>4.9400000000000004</v>
      </c>
      <c r="T67" s="369">
        <v>4.96</v>
      </c>
      <c r="U67" s="369">
        <v>4.97</v>
      </c>
      <c r="V67" s="369">
        <v>4.95</v>
      </c>
      <c r="W67" s="369">
        <v>4.9400000000000004</v>
      </c>
      <c r="X67" s="369">
        <v>4.93</v>
      </c>
      <c r="Y67" s="369">
        <v>4.91</v>
      </c>
      <c r="Z67" s="369">
        <v>4.9000000000000004</v>
      </c>
      <c r="AA67" s="369">
        <v>4.88</v>
      </c>
      <c r="AB67" s="369">
        <v>4.8600000000000003</v>
      </c>
      <c r="AC67" s="369">
        <v>4.84</v>
      </c>
      <c r="AD67" s="369">
        <v>4.83</v>
      </c>
      <c r="AE67" s="369">
        <v>4.8099999999999996</v>
      </c>
      <c r="AF67" s="369">
        <v>4.79</v>
      </c>
      <c r="AG67" s="369">
        <v>4.78</v>
      </c>
      <c r="AH67" s="369">
        <v>4.76</v>
      </c>
      <c r="AI67" s="369">
        <v>4.75</v>
      </c>
      <c r="AJ67" s="369">
        <v>4.74</v>
      </c>
      <c r="AK67" s="369">
        <v>4.72</v>
      </c>
      <c r="AL67" s="369">
        <v>4.71</v>
      </c>
      <c r="AM67" s="369">
        <v>4.7</v>
      </c>
      <c r="AN67" s="369">
        <v>4.6900000000000004</v>
      </c>
      <c r="AO67" s="369">
        <v>4.68</v>
      </c>
      <c r="AP67" s="369">
        <v>4.68</v>
      </c>
      <c r="AQ67" s="369">
        <v>4.67</v>
      </c>
      <c r="AR67" s="369">
        <v>4.66</v>
      </c>
      <c r="AS67" s="369">
        <v>4.66</v>
      </c>
      <c r="AT67" s="369">
        <v>4.6500000000000004</v>
      </c>
      <c r="AU67" s="369">
        <v>4.6500000000000004</v>
      </c>
      <c r="AV67" s="369">
        <v>4.6500000000000004</v>
      </c>
      <c r="AW67" s="369">
        <v>4.6399999999999997</v>
      </c>
      <c r="AX67" s="369">
        <v>4.6399999999999997</v>
      </c>
      <c r="AY67" s="369">
        <v>4.63</v>
      </c>
      <c r="AZ67" s="158">
        <v>1.7500000000000002E-2</v>
      </c>
      <c r="BA67" s="108">
        <f t="shared" si="0"/>
        <v>1.7500000000000002</v>
      </c>
      <c r="BD67" t="s">
        <v>848</v>
      </c>
      <c r="BE67" s="4" t="s">
        <v>849</v>
      </c>
      <c r="BF67" s="4" t="s">
        <v>126</v>
      </c>
      <c r="BG67" s="4" t="s">
        <v>849</v>
      </c>
      <c r="BH67" s="4" t="s">
        <v>126</v>
      </c>
    </row>
    <row r="68" spans="1:60">
      <c r="A68" s="111">
        <v>41608</v>
      </c>
      <c r="B68" s="369">
        <v>3.37</v>
      </c>
      <c r="C68" s="369">
        <v>3.47</v>
      </c>
      <c r="D68" s="369">
        <v>3.62</v>
      </c>
      <c r="E68" s="369">
        <v>3.79</v>
      </c>
      <c r="F68" s="369">
        <v>3.95</v>
      </c>
      <c r="G68" s="369">
        <v>4.0999999999999996</v>
      </c>
      <c r="H68" s="369">
        <v>4.24</v>
      </c>
      <c r="I68" s="369">
        <v>4.3600000000000003</v>
      </c>
      <c r="J68" s="369">
        <v>4.46</v>
      </c>
      <c r="K68" s="369">
        <v>4.5599999999999996</v>
      </c>
      <c r="L68" s="369">
        <v>4.6500000000000004</v>
      </c>
      <c r="M68" s="369">
        <v>4.72</v>
      </c>
      <c r="N68" s="369">
        <v>4.79</v>
      </c>
      <c r="O68" s="369">
        <v>4.84</v>
      </c>
      <c r="P68" s="459">
        <v>4.8899999999999997</v>
      </c>
      <c r="Q68" s="369">
        <v>4.91</v>
      </c>
      <c r="R68" s="369">
        <v>4.92</v>
      </c>
      <c r="S68" s="369">
        <v>4.9400000000000004</v>
      </c>
      <c r="T68" s="369">
        <v>4.95</v>
      </c>
      <c r="U68" s="369">
        <v>4.96</v>
      </c>
      <c r="V68" s="369">
        <v>4.95</v>
      </c>
      <c r="W68" s="369">
        <v>4.93</v>
      </c>
      <c r="X68" s="369">
        <v>4.92</v>
      </c>
      <c r="Y68" s="369">
        <v>4.91</v>
      </c>
      <c r="Z68" s="369">
        <v>4.9000000000000004</v>
      </c>
      <c r="AA68" s="369">
        <v>4.88</v>
      </c>
      <c r="AB68" s="369">
        <v>4.8499999999999996</v>
      </c>
      <c r="AC68" s="369">
        <v>4.84</v>
      </c>
      <c r="AD68" s="369">
        <v>4.82</v>
      </c>
      <c r="AE68" s="369">
        <v>4.8</v>
      </c>
      <c r="AF68" s="369">
        <v>4.79</v>
      </c>
      <c r="AG68" s="369">
        <v>4.7699999999999996</v>
      </c>
      <c r="AH68" s="369">
        <v>4.76</v>
      </c>
      <c r="AI68" s="369">
        <v>4.74</v>
      </c>
      <c r="AJ68" s="369">
        <v>4.7300000000000004</v>
      </c>
      <c r="AK68" s="369">
        <v>4.72</v>
      </c>
      <c r="AL68" s="369">
        <v>4.71</v>
      </c>
      <c r="AM68" s="369">
        <v>4.7</v>
      </c>
      <c r="AN68" s="369">
        <v>4.6900000000000004</v>
      </c>
      <c r="AO68" s="369">
        <v>4.68</v>
      </c>
      <c r="AP68" s="369">
        <v>4.67</v>
      </c>
      <c r="AQ68" s="369">
        <v>4.66</v>
      </c>
      <c r="AR68" s="369">
        <v>4.66</v>
      </c>
      <c r="AS68" s="369">
        <v>4.6500000000000004</v>
      </c>
      <c r="AT68" s="369">
        <v>4.6500000000000004</v>
      </c>
      <c r="AU68" s="369">
        <v>4.6399999999999997</v>
      </c>
      <c r="AV68" s="369">
        <v>4.6399999999999997</v>
      </c>
      <c r="AW68" s="369">
        <v>4.6399999999999997</v>
      </c>
      <c r="AX68" s="369">
        <v>4.63</v>
      </c>
      <c r="AY68" s="369">
        <v>4.63</v>
      </c>
      <c r="AZ68" s="158">
        <v>1.7500000000000002E-2</v>
      </c>
      <c r="BA68" s="108">
        <f t="shared" si="0"/>
        <v>1.7500000000000002</v>
      </c>
      <c r="BD68" s="703">
        <v>42005</v>
      </c>
      <c r="BE68">
        <v>20818</v>
      </c>
      <c r="BF68">
        <v>12675</v>
      </c>
      <c r="BG68">
        <v>16565</v>
      </c>
      <c r="BH68">
        <v>7890</v>
      </c>
    </row>
    <row r="69" spans="1:60">
      <c r="A69" s="111">
        <v>41639</v>
      </c>
      <c r="B69" s="369">
        <v>3.34</v>
      </c>
      <c r="C69" s="369">
        <v>3.43</v>
      </c>
      <c r="D69" s="369">
        <v>3.59</v>
      </c>
      <c r="E69" s="369">
        <v>3.76</v>
      </c>
      <c r="F69" s="369">
        <v>3.93</v>
      </c>
      <c r="G69" s="369">
        <v>4.08</v>
      </c>
      <c r="H69" s="369">
        <v>4.22</v>
      </c>
      <c r="I69" s="369">
        <v>4.34</v>
      </c>
      <c r="J69" s="369">
        <v>4.45</v>
      </c>
      <c r="K69" s="369">
        <v>4.54</v>
      </c>
      <c r="L69" s="369">
        <v>4.63</v>
      </c>
      <c r="M69" s="369">
        <v>4.71</v>
      </c>
      <c r="N69" s="369">
        <v>4.7699999999999996</v>
      </c>
      <c r="O69" s="369">
        <v>4.83</v>
      </c>
      <c r="P69" s="459">
        <v>4.88</v>
      </c>
      <c r="Q69" s="369">
        <v>4.9000000000000004</v>
      </c>
      <c r="R69" s="369">
        <v>4.91</v>
      </c>
      <c r="S69" s="369">
        <v>4.93</v>
      </c>
      <c r="T69" s="369">
        <v>4.9400000000000004</v>
      </c>
      <c r="U69" s="369">
        <v>4.95</v>
      </c>
      <c r="V69" s="369">
        <v>4.9400000000000004</v>
      </c>
      <c r="W69" s="369">
        <v>4.92</v>
      </c>
      <c r="X69" s="369">
        <v>4.91</v>
      </c>
      <c r="Y69" s="369">
        <v>4.9000000000000004</v>
      </c>
      <c r="Z69" s="369">
        <v>4.8899999999999997</v>
      </c>
      <c r="AA69" s="369">
        <v>4.87</v>
      </c>
      <c r="AB69" s="369">
        <v>4.8499999999999996</v>
      </c>
      <c r="AC69" s="369">
        <v>4.83</v>
      </c>
      <c r="AD69" s="369">
        <v>4.8099999999999996</v>
      </c>
      <c r="AE69" s="369">
        <v>4.79</v>
      </c>
      <c r="AF69" s="369">
        <v>4.78</v>
      </c>
      <c r="AG69" s="369">
        <v>4.76</v>
      </c>
      <c r="AH69" s="369">
        <v>4.75</v>
      </c>
      <c r="AI69" s="369">
        <v>4.74</v>
      </c>
      <c r="AJ69" s="369">
        <v>4.72</v>
      </c>
      <c r="AK69" s="369">
        <v>4.71</v>
      </c>
      <c r="AL69" s="369">
        <v>4.7</v>
      </c>
      <c r="AM69" s="369">
        <v>4.6900000000000004</v>
      </c>
      <c r="AN69" s="369">
        <v>4.68</v>
      </c>
      <c r="AO69" s="369">
        <v>4.67</v>
      </c>
      <c r="AP69" s="369">
        <v>4.66</v>
      </c>
      <c r="AQ69" s="369">
        <v>4.66</v>
      </c>
      <c r="AR69" s="369">
        <v>4.6500000000000004</v>
      </c>
      <c r="AS69" s="369">
        <v>4.6500000000000004</v>
      </c>
      <c r="AT69" s="369">
        <v>4.6399999999999997</v>
      </c>
      <c r="AU69" s="369">
        <v>4.6399999999999997</v>
      </c>
      <c r="AV69" s="369">
        <v>4.63</v>
      </c>
      <c r="AW69" s="369">
        <v>4.63</v>
      </c>
      <c r="AX69" s="369">
        <v>4.63</v>
      </c>
      <c r="AY69" s="369">
        <v>4.62</v>
      </c>
      <c r="AZ69" s="158">
        <v>1.7500000000000002E-2</v>
      </c>
      <c r="BA69" s="108">
        <f t="shared" si="0"/>
        <v>1.7500000000000002</v>
      </c>
      <c r="BD69" s="703">
        <v>42370</v>
      </c>
      <c r="BE69">
        <v>24437</v>
      </c>
      <c r="BF69">
        <v>17416</v>
      </c>
      <c r="BG69">
        <v>22082</v>
      </c>
      <c r="BH69">
        <v>14118</v>
      </c>
    </row>
    <row r="70" spans="1:60">
      <c r="A70" s="111">
        <v>41670</v>
      </c>
      <c r="B70" s="369">
        <v>3.3</v>
      </c>
      <c r="C70" s="369">
        <v>3.4</v>
      </c>
      <c r="D70" s="369">
        <v>3.56</v>
      </c>
      <c r="E70" s="369">
        <v>3.73</v>
      </c>
      <c r="F70" s="369">
        <v>3.9</v>
      </c>
      <c r="G70" s="369">
        <v>4.05</v>
      </c>
      <c r="H70" s="369">
        <v>4.1900000000000004</v>
      </c>
      <c r="I70" s="369">
        <v>4.32</v>
      </c>
      <c r="J70" s="369">
        <v>4.42</v>
      </c>
      <c r="K70" s="369">
        <v>4.5199999999999996</v>
      </c>
      <c r="L70" s="369">
        <v>4.62</v>
      </c>
      <c r="M70" s="369">
        <v>4.6900000000000004</v>
      </c>
      <c r="N70" s="369">
        <v>4.76</v>
      </c>
      <c r="O70" s="369">
        <v>4.8099999999999996</v>
      </c>
      <c r="P70" s="459">
        <v>4.8600000000000003</v>
      </c>
      <c r="Q70" s="369">
        <v>4.88</v>
      </c>
      <c r="R70" s="369">
        <v>4.9000000000000004</v>
      </c>
      <c r="S70" s="369">
        <v>4.91</v>
      </c>
      <c r="T70" s="369">
        <v>4.93</v>
      </c>
      <c r="U70" s="369">
        <v>4.9400000000000004</v>
      </c>
      <c r="V70" s="369">
        <v>4.92</v>
      </c>
      <c r="W70" s="369">
        <v>4.91</v>
      </c>
      <c r="X70" s="369">
        <v>4.9000000000000004</v>
      </c>
      <c r="Y70" s="369">
        <v>4.8899999999999997</v>
      </c>
      <c r="Z70" s="369">
        <v>4.88</v>
      </c>
      <c r="AA70" s="369">
        <v>4.8499999999999996</v>
      </c>
      <c r="AB70" s="369">
        <v>4.83</v>
      </c>
      <c r="AC70" s="369">
        <v>4.82</v>
      </c>
      <c r="AD70" s="369">
        <v>4.8</v>
      </c>
      <c r="AE70" s="369">
        <v>4.78</v>
      </c>
      <c r="AF70" s="369">
        <v>4.7699999999999996</v>
      </c>
      <c r="AG70" s="369">
        <v>4.75</v>
      </c>
      <c r="AH70" s="369">
        <v>4.74</v>
      </c>
      <c r="AI70" s="369">
        <v>4.72</v>
      </c>
      <c r="AJ70" s="369">
        <v>4.71</v>
      </c>
      <c r="AK70" s="369">
        <v>4.7</v>
      </c>
      <c r="AL70" s="369">
        <v>4.6900000000000004</v>
      </c>
      <c r="AM70" s="369">
        <v>4.68</v>
      </c>
      <c r="AN70" s="369">
        <v>4.67</v>
      </c>
      <c r="AO70" s="369">
        <v>4.66</v>
      </c>
      <c r="AP70" s="369">
        <v>4.6500000000000004</v>
      </c>
      <c r="AQ70" s="369">
        <v>4.6500000000000004</v>
      </c>
      <c r="AR70" s="369">
        <v>4.6399999999999997</v>
      </c>
      <c r="AS70" s="369">
        <v>4.6399999999999997</v>
      </c>
      <c r="AT70" s="369">
        <v>4.63</v>
      </c>
      <c r="AU70" s="369">
        <v>4.63</v>
      </c>
      <c r="AV70" s="369">
        <v>4.62</v>
      </c>
      <c r="AW70" s="369">
        <v>4.62</v>
      </c>
      <c r="AX70" s="369">
        <v>4.62</v>
      </c>
      <c r="AY70" s="369">
        <v>4.6100000000000003</v>
      </c>
      <c r="AZ70" s="158">
        <v>1.7500000000000002E-2</v>
      </c>
      <c r="BA70" s="108">
        <f t="shared" si="0"/>
        <v>1.7500000000000002</v>
      </c>
      <c r="BD70" s="703">
        <v>42736</v>
      </c>
      <c r="BE70">
        <v>28828</v>
      </c>
      <c r="BF70">
        <v>25010</v>
      </c>
      <c r="BG70">
        <v>23880</v>
      </c>
      <c r="BH70">
        <v>16935</v>
      </c>
    </row>
    <row r="71" spans="1:60">
      <c r="A71" s="111">
        <v>41698</v>
      </c>
      <c r="B71" s="369">
        <v>3.27</v>
      </c>
      <c r="C71" s="369">
        <v>3.36</v>
      </c>
      <c r="D71" s="369">
        <v>3.52</v>
      </c>
      <c r="E71" s="369">
        <v>3.7</v>
      </c>
      <c r="F71" s="369">
        <v>3.87</v>
      </c>
      <c r="G71" s="369">
        <v>4.03</v>
      </c>
      <c r="H71" s="369">
        <v>4.17</v>
      </c>
      <c r="I71" s="369">
        <v>4.29</v>
      </c>
      <c r="J71" s="369">
        <v>4.4000000000000004</v>
      </c>
      <c r="K71" s="369">
        <v>4.5</v>
      </c>
      <c r="L71" s="369">
        <v>4.5999999999999996</v>
      </c>
      <c r="M71" s="369">
        <v>4.68</v>
      </c>
      <c r="N71" s="369">
        <v>4.74</v>
      </c>
      <c r="O71" s="369">
        <v>4.8</v>
      </c>
      <c r="P71" s="459">
        <v>4.8499999999999996</v>
      </c>
      <c r="Q71" s="369">
        <v>4.87</v>
      </c>
      <c r="R71" s="369">
        <v>4.8899999999999997</v>
      </c>
      <c r="S71" s="369">
        <v>4.9000000000000004</v>
      </c>
      <c r="T71" s="369">
        <v>4.91</v>
      </c>
      <c r="U71" s="369">
        <v>4.93</v>
      </c>
      <c r="V71" s="369">
        <v>4.91</v>
      </c>
      <c r="W71" s="369">
        <v>4.9000000000000004</v>
      </c>
      <c r="X71" s="369">
        <v>4.8899999999999997</v>
      </c>
      <c r="Y71" s="369">
        <v>4.87</v>
      </c>
      <c r="Z71" s="369">
        <v>4.8600000000000003</v>
      </c>
      <c r="AA71" s="369">
        <v>4.84</v>
      </c>
      <c r="AB71" s="369">
        <v>4.82</v>
      </c>
      <c r="AC71" s="369">
        <v>4.8</v>
      </c>
      <c r="AD71" s="369">
        <v>4.79</v>
      </c>
      <c r="AE71" s="369">
        <v>4.7699999999999996</v>
      </c>
      <c r="AF71" s="369">
        <v>4.75</v>
      </c>
      <c r="AG71" s="369">
        <v>4.74</v>
      </c>
      <c r="AH71" s="369">
        <v>4.72</v>
      </c>
      <c r="AI71" s="369">
        <v>4.71</v>
      </c>
      <c r="AJ71" s="369">
        <v>4.7</v>
      </c>
      <c r="AK71" s="369">
        <v>4.6900000000000004</v>
      </c>
      <c r="AL71" s="369">
        <v>4.68</v>
      </c>
      <c r="AM71" s="369">
        <v>4.67</v>
      </c>
      <c r="AN71" s="369">
        <v>4.66</v>
      </c>
      <c r="AO71" s="369">
        <v>4.6500000000000004</v>
      </c>
      <c r="AP71" s="369">
        <v>4.6399999999999997</v>
      </c>
      <c r="AQ71" s="369">
        <v>4.6399999999999997</v>
      </c>
      <c r="AR71" s="369">
        <v>4.63</v>
      </c>
      <c r="AS71" s="369">
        <v>4.63</v>
      </c>
      <c r="AT71" s="369">
        <v>4.62</v>
      </c>
      <c r="AU71" s="369">
        <v>4.62</v>
      </c>
      <c r="AV71" s="369">
        <v>4.6100000000000003</v>
      </c>
      <c r="AW71" s="369">
        <v>4.6100000000000003</v>
      </c>
      <c r="AX71" s="369">
        <v>4.6100000000000003</v>
      </c>
      <c r="AY71" s="369">
        <v>4.5999999999999996</v>
      </c>
      <c r="AZ71" s="158">
        <v>1.7500000000000002E-2</v>
      </c>
      <c r="BA71" s="108">
        <f t="shared" si="0"/>
        <v>1.7500000000000002</v>
      </c>
      <c r="BD71" s="703">
        <v>43101</v>
      </c>
      <c r="BE71">
        <v>32379</v>
      </c>
      <c r="BF71">
        <v>31940</v>
      </c>
      <c r="BG71">
        <v>26044</v>
      </c>
      <c r="BH71">
        <v>20355</v>
      </c>
    </row>
    <row r="72" spans="1:60">
      <c r="A72" s="111">
        <v>41729</v>
      </c>
      <c r="B72" s="369">
        <v>3.23</v>
      </c>
      <c r="C72" s="369">
        <v>3.33</v>
      </c>
      <c r="D72" s="369">
        <v>3.49</v>
      </c>
      <c r="E72" s="369">
        <v>3.67</v>
      </c>
      <c r="F72" s="369">
        <v>3.84</v>
      </c>
      <c r="G72" s="369">
        <v>4</v>
      </c>
      <c r="H72" s="369">
        <v>4.1399999999999997</v>
      </c>
      <c r="I72" s="369">
        <v>4.2699999999999996</v>
      </c>
      <c r="J72" s="369">
        <v>4.38</v>
      </c>
      <c r="K72" s="369">
        <v>4.4800000000000004</v>
      </c>
      <c r="L72" s="369">
        <v>4.58</v>
      </c>
      <c r="M72" s="369">
        <v>4.66</v>
      </c>
      <c r="N72" s="369">
        <v>4.72</v>
      </c>
      <c r="O72" s="369">
        <v>4.78</v>
      </c>
      <c r="P72" s="459">
        <v>4.83</v>
      </c>
      <c r="Q72" s="369">
        <v>4.8499999999999996</v>
      </c>
      <c r="R72" s="369">
        <v>4.87</v>
      </c>
      <c r="S72" s="369">
        <v>4.88</v>
      </c>
      <c r="T72" s="369">
        <v>4.9000000000000004</v>
      </c>
      <c r="U72" s="369">
        <v>4.91</v>
      </c>
      <c r="V72" s="369">
        <v>4.9000000000000004</v>
      </c>
      <c r="W72" s="369">
        <v>4.88</v>
      </c>
      <c r="X72" s="369">
        <v>4.87</v>
      </c>
      <c r="Y72" s="369">
        <v>4.8600000000000003</v>
      </c>
      <c r="Z72" s="369">
        <v>4.8499999999999996</v>
      </c>
      <c r="AA72" s="369">
        <v>4.83</v>
      </c>
      <c r="AB72" s="369">
        <v>4.8099999999999996</v>
      </c>
      <c r="AC72" s="369">
        <v>4.79</v>
      </c>
      <c r="AD72" s="369">
        <v>4.7699999999999996</v>
      </c>
      <c r="AE72" s="369">
        <v>4.75</v>
      </c>
      <c r="AF72" s="369">
        <v>4.74</v>
      </c>
      <c r="AG72" s="369">
        <v>4.72</v>
      </c>
      <c r="AH72" s="369">
        <v>4.71</v>
      </c>
      <c r="AI72" s="369">
        <v>4.7</v>
      </c>
      <c r="AJ72" s="369">
        <v>4.68</v>
      </c>
      <c r="AK72" s="369">
        <v>4.67</v>
      </c>
      <c r="AL72" s="369">
        <v>4.66</v>
      </c>
      <c r="AM72" s="369">
        <v>4.6500000000000004</v>
      </c>
      <c r="AN72" s="369">
        <v>4.6399999999999997</v>
      </c>
      <c r="AO72" s="369">
        <v>4.63</v>
      </c>
      <c r="AP72" s="369">
        <v>4.63</v>
      </c>
      <c r="AQ72" s="369">
        <v>4.62</v>
      </c>
      <c r="AR72" s="369">
        <v>4.62</v>
      </c>
      <c r="AS72" s="369">
        <v>4.6100000000000003</v>
      </c>
      <c r="AT72" s="369">
        <v>4.6100000000000003</v>
      </c>
      <c r="AU72" s="369">
        <v>4.5999999999999996</v>
      </c>
      <c r="AV72" s="369">
        <v>4.5999999999999996</v>
      </c>
      <c r="AW72" s="369">
        <v>4.5999999999999996</v>
      </c>
      <c r="AX72" s="369">
        <v>4.59</v>
      </c>
      <c r="AY72" s="369">
        <v>4.59</v>
      </c>
      <c r="AZ72" s="158">
        <v>1.7500000000000002E-2</v>
      </c>
      <c r="BA72" s="108">
        <f t="shared" si="0"/>
        <v>1.7500000000000002</v>
      </c>
      <c r="BD72" s="703">
        <v>43466</v>
      </c>
      <c r="BE72">
        <v>36794</v>
      </c>
      <c r="BF72">
        <v>41832</v>
      </c>
      <c r="BG72">
        <v>29431</v>
      </c>
      <c r="BH72">
        <v>26362</v>
      </c>
    </row>
    <row r="73" spans="1:60">
      <c r="A73" s="111">
        <v>41759</v>
      </c>
      <c r="B73" s="369">
        <v>3.19</v>
      </c>
      <c r="C73" s="369">
        <v>3.29</v>
      </c>
      <c r="D73" s="369">
        <v>3.45</v>
      </c>
      <c r="E73" s="369">
        <v>3.63</v>
      </c>
      <c r="F73" s="369">
        <v>3.81</v>
      </c>
      <c r="G73" s="369">
        <v>3.97</v>
      </c>
      <c r="H73" s="369">
        <v>4.1100000000000003</v>
      </c>
      <c r="I73" s="369">
        <v>4.24</v>
      </c>
      <c r="J73" s="369">
        <v>4.3600000000000003</v>
      </c>
      <c r="K73" s="369">
        <v>4.46</v>
      </c>
      <c r="L73" s="369">
        <v>4.55</v>
      </c>
      <c r="M73" s="369">
        <v>4.63</v>
      </c>
      <c r="N73" s="369">
        <v>4.7</v>
      </c>
      <c r="O73" s="369">
        <v>4.76</v>
      </c>
      <c r="P73" s="459">
        <v>4.8099999999999996</v>
      </c>
      <c r="Q73" s="369">
        <v>4.83</v>
      </c>
      <c r="R73" s="369">
        <v>4.8499999999999996</v>
      </c>
      <c r="S73" s="369">
        <v>4.87</v>
      </c>
      <c r="T73" s="369">
        <v>4.88</v>
      </c>
      <c r="U73" s="369">
        <v>4.8899999999999997</v>
      </c>
      <c r="V73" s="369">
        <v>4.88</v>
      </c>
      <c r="W73" s="369">
        <v>4.8600000000000003</v>
      </c>
      <c r="X73" s="369">
        <v>4.8499999999999996</v>
      </c>
      <c r="Y73" s="369">
        <v>4.84</v>
      </c>
      <c r="Z73" s="369">
        <v>4.83</v>
      </c>
      <c r="AA73" s="369">
        <v>4.8099999999999996</v>
      </c>
      <c r="AB73" s="369">
        <v>4.79</v>
      </c>
      <c r="AC73" s="369">
        <v>4.7699999999999996</v>
      </c>
      <c r="AD73" s="369">
        <v>4.75</v>
      </c>
      <c r="AE73" s="369">
        <v>4.74</v>
      </c>
      <c r="AF73" s="369">
        <v>4.72</v>
      </c>
      <c r="AG73" s="369">
        <v>4.71</v>
      </c>
      <c r="AH73" s="369">
        <v>4.6900000000000004</v>
      </c>
      <c r="AI73" s="369">
        <v>4.68</v>
      </c>
      <c r="AJ73" s="369">
        <v>4.67</v>
      </c>
      <c r="AK73" s="369">
        <v>4.66</v>
      </c>
      <c r="AL73" s="369">
        <v>4.6500000000000004</v>
      </c>
      <c r="AM73" s="369">
        <v>4.6399999999999997</v>
      </c>
      <c r="AN73" s="369">
        <v>4.63</v>
      </c>
      <c r="AO73" s="369">
        <v>4.62</v>
      </c>
      <c r="AP73" s="369">
        <v>4.6100000000000003</v>
      </c>
      <c r="AQ73" s="369">
        <v>4.6100000000000003</v>
      </c>
      <c r="AR73" s="369">
        <v>4.5999999999999996</v>
      </c>
      <c r="AS73" s="369">
        <v>4.5999999999999996</v>
      </c>
      <c r="AT73" s="369">
        <v>4.59</v>
      </c>
      <c r="AU73" s="369">
        <v>4.59</v>
      </c>
      <c r="AV73" s="369">
        <v>4.58</v>
      </c>
      <c r="AW73" s="369">
        <v>4.58</v>
      </c>
      <c r="AX73" s="369">
        <v>4.58</v>
      </c>
      <c r="AY73" s="369">
        <v>4.57</v>
      </c>
      <c r="AZ73" s="158">
        <v>1.7500000000000002E-2</v>
      </c>
      <c r="BA73" s="108">
        <f t="shared" si="0"/>
        <v>1.7500000000000002</v>
      </c>
      <c r="BD73" s="703">
        <v>43831</v>
      </c>
      <c r="BE73">
        <v>40505</v>
      </c>
      <c r="BF73">
        <v>50549</v>
      </c>
      <c r="BG73">
        <v>33563</v>
      </c>
      <c r="BH73">
        <v>34274</v>
      </c>
    </row>
    <row r="74" spans="1:60">
      <c r="A74" s="111">
        <v>41790</v>
      </c>
      <c r="B74" s="369">
        <v>3.15</v>
      </c>
      <c r="C74" s="369">
        <v>3.24</v>
      </c>
      <c r="D74" s="369">
        <v>3.41</v>
      </c>
      <c r="E74" s="369">
        <v>3.59</v>
      </c>
      <c r="F74" s="369">
        <v>3.77</v>
      </c>
      <c r="G74" s="369">
        <v>3.93</v>
      </c>
      <c r="H74" s="369">
        <v>4.08</v>
      </c>
      <c r="I74" s="369">
        <v>4.21</v>
      </c>
      <c r="J74" s="369">
        <v>4.33</v>
      </c>
      <c r="K74" s="369">
        <v>4.43</v>
      </c>
      <c r="L74" s="369">
        <v>4.53</v>
      </c>
      <c r="M74" s="369">
        <v>4.6100000000000003</v>
      </c>
      <c r="N74" s="369">
        <v>4.68</v>
      </c>
      <c r="O74" s="369">
        <v>4.74</v>
      </c>
      <c r="P74" s="459">
        <v>4.79</v>
      </c>
      <c r="Q74" s="369">
        <v>4.8099999999999996</v>
      </c>
      <c r="R74" s="369">
        <v>4.83</v>
      </c>
      <c r="S74" s="369">
        <v>4.84</v>
      </c>
      <c r="T74" s="369">
        <v>4.8600000000000003</v>
      </c>
      <c r="U74" s="369">
        <v>4.87</v>
      </c>
      <c r="V74" s="369">
        <v>4.8600000000000003</v>
      </c>
      <c r="W74" s="369">
        <v>4.84</v>
      </c>
      <c r="X74" s="369">
        <v>4.83</v>
      </c>
      <c r="Y74" s="369">
        <v>4.82</v>
      </c>
      <c r="Z74" s="369">
        <v>4.8099999999999996</v>
      </c>
      <c r="AA74" s="369">
        <v>4.79</v>
      </c>
      <c r="AB74" s="369">
        <v>4.7699999999999996</v>
      </c>
      <c r="AC74" s="369">
        <v>4.75</v>
      </c>
      <c r="AD74" s="369">
        <v>4.7300000000000004</v>
      </c>
      <c r="AE74" s="369">
        <v>4.72</v>
      </c>
      <c r="AF74" s="369">
        <v>4.7</v>
      </c>
      <c r="AG74" s="369">
        <v>4.6900000000000004</v>
      </c>
      <c r="AH74" s="369">
        <v>4.67</v>
      </c>
      <c r="AI74" s="369">
        <v>4.66</v>
      </c>
      <c r="AJ74" s="369">
        <v>4.6500000000000004</v>
      </c>
      <c r="AK74" s="369">
        <v>4.6399999999999997</v>
      </c>
      <c r="AL74" s="369">
        <v>4.63</v>
      </c>
      <c r="AM74" s="369">
        <v>4.62</v>
      </c>
      <c r="AN74" s="369">
        <v>4.6100000000000003</v>
      </c>
      <c r="AO74" s="369">
        <v>4.5999999999999996</v>
      </c>
      <c r="AP74" s="369">
        <v>4.59</v>
      </c>
      <c r="AQ74" s="369">
        <v>4.59</v>
      </c>
      <c r="AR74" s="369">
        <v>4.58</v>
      </c>
      <c r="AS74" s="369">
        <v>4.58</v>
      </c>
      <c r="AT74" s="369">
        <v>4.57</v>
      </c>
      <c r="AU74" s="369">
        <v>4.57</v>
      </c>
      <c r="AV74" s="369">
        <v>4.57</v>
      </c>
      <c r="AW74" s="369">
        <v>4.5599999999999996</v>
      </c>
      <c r="AX74" s="369">
        <v>4.5599999999999996</v>
      </c>
      <c r="AY74" s="369">
        <v>4.5599999999999996</v>
      </c>
      <c r="AZ74" s="158">
        <v>1.7500000000000002E-2</v>
      </c>
      <c r="BA74" s="108">
        <f t="shared" ref="BA74:BA81" si="1">+AZ74*100</f>
        <v>1.7500000000000002</v>
      </c>
      <c r="BD74" s="703">
        <v>44197</v>
      </c>
      <c r="BE74">
        <v>44887</v>
      </c>
      <c r="BF74">
        <v>63138</v>
      </c>
      <c r="BG74">
        <v>37493</v>
      </c>
      <c r="BH74">
        <v>43534</v>
      </c>
    </row>
    <row r="75" spans="1:60">
      <c r="A75" s="111">
        <v>41820</v>
      </c>
      <c r="B75" s="369">
        <v>3.1</v>
      </c>
      <c r="C75" s="369">
        <v>3.2</v>
      </c>
      <c r="D75" s="369">
        <v>3.37</v>
      </c>
      <c r="E75" s="369">
        <v>3.55</v>
      </c>
      <c r="F75" s="369">
        <v>3.73</v>
      </c>
      <c r="G75" s="369">
        <v>3.89</v>
      </c>
      <c r="H75" s="369">
        <v>4.04</v>
      </c>
      <c r="I75" s="369">
        <v>4.17</v>
      </c>
      <c r="J75" s="369">
        <v>4.29</v>
      </c>
      <c r="K75" s="369">
        <v>4.4000000000000004</v>
      </c>
      <c r="L75" s="369">
        <v>4.5</v>
      </c>
      <c r="M75" s="369">
        <v>4.58</v>
      </c>
      <c r="N75" s="369">
        <v>4.6500000000000004</v>
      </c>
      <c r="O75" s="369">
        <v>4.71</v>
      </c>
      <c r="P75" s="459">
        <v>4.76</v>
      </c>
      <c r="Q75" s="369">
        <v>4.78</v>
      </c>
      <c r="R75" s="369">
        <v>4.8</v>
      </c>
      <c r="S75" s="369">
        <v>4.82</v>
      </c>
      <c r="T75" s="369">
        <v>4.83</v>
      </c>
      <c r="U75" s="369">
        <v>4.84</v>
      </c>
      <c r="V75" s="369">
        <v>4.83</v>
      </c>
      <c r="W75" s="369">
        <v>4.82</v>
      </c>
      <c r="X75" s="369">
        <v>4.8099999999999996</v>
      </c>
      <c r="Y75" s="369">
        <v>4.8</v>
      </c>
      <c r="Z75" s="369">
        <v>4.79</v>
      </c>
      <c r="AA75" s="369">
        <v>4.76</v>
      </c>
      <c r="AB75" s="369">
        <v>4.74</v>
      </c>
      <c r="AC75" s="369">
        <v>4.7300000000000004</v>
      </c>
      <c r="AD75" s="369">
        <v>4.71</v>
      </c>
      <c r="AE75" s="369">
        <v>4.6900000000000004</v>
      </c>
      <c r="AF75" s="369">
        <v>4.68</v>
      </c>
      <c r="AG75" s="369">
        <v>4.66</v>
      </c>
      <c r="AH75" s="369">
        <v>4.6500000000000004</v>
      </c>
      <c r="AI75" s="369">
        <v>4.6399999999999997</v>
      </c>
      <c r="AJ75" s="369">
        <v>4.62</v>
      </c>
      <c r="AK75" s="369">
        <v>4.6100000000000003</v>
      </c>
      <c r="AL75" s="369">
        <v>4.5999999999999996</v>
      </c>
      <c r="AM75" s="369">
        <v>4.59</v>
      </c>
      <c r="AN75" s="369">
        <v>4.58</v>
      </c>
      <c r="AO75" s="369">
        <v>4.57</v>
      </c>
      <c r="AP75" s="369">
        <v>4.57</v>
      </c>
      <c r="AQ75" s="369">
        <v>4.5599999999999996</v>
      </c>
      <c r="AR75" s="369">
        <v>4.5599999999999996</v>
      </c>
      <c r="AS75" s="369">
        <v>4.5599999999999996</v>
      </c>
      <c r="AT75" s="369">
        <v>4.55</v>
      </c>
      <c r="AU75" s="369">
        <v>4.55</v>
      </c>
      <c r="AV75" s="369">
        <v>4.54</v>
      </c>
      <c r="AW75" s="369">
        <v>4.54</v>
      </c>
      <c r="AX75" s="369">
        <v>4.54</v>
      </c>
      <c r="AY75" s="369">
        <v>4.53</v>
      </c>
      <c r="AZ75" s="158">
        <v>1.7500000000000002E-2</v>
      </c>
      <c r="BA75" s="108">
        <f t="shared" si="1"/>
        <v>1.7500000000000002</v>
      </c>
      <c r="BD75" s="703">
        <v>44562</v>
      </c>
      <c r="BE75">
        <v>48262</v>
      </c>
      <c r="BF75">
        <v>78353</v>
      </c>
      <c r="BG75">
        <v>42159</v>
      </c>
      <c r="BH75">
        <v>59272</v>
      </c>
    </row>
    <row r="76" spans="1:60">
      <c r="A76" s="111">
        <v>41851</v>
      </c>
      <c r="B76" s="369">
        <v>3.06</v>
      </c>
      <c r="C76" s="369">
        <v>3.15</v>
      </c>
      <c r="D76" s="369">
        <v>3.32</v>
      </c>
      <c r="E76" s="369">
        <v>3.51</v>
      </c>
      <c r="F76" s="369">
        <v>3.69</v>
      </c>
      <c r="G76" s="369">
        <v>3.85</v>
      </c>
      <c r="H76" s="369">
        <v>4</v>
      </c>
      <c r="I76" s="369">
        <v>4.1399999999999997</v>
      </c>
      <c r="J76" s="369">
        <v>4.26</v>
      </c>
      <c r="K76" s="369">
        <v>4.3600000000000003</v>
      </c>
      <c r="L76" s="369">
        <v>4.46</v>
      </c>
      <c r="M76" s="369">
        <v>4.55</v>
      </c>
      <c r="N76" s="369">
        <v>4.62</v>
      </c>
      <c r="O76" s="369">
        <v>4.68</v>
      </c>
      <c r="P76" s="459">
        <v>4.7300000000000004</v>
      </c>
      <c r="Q76" s="369">
        <v>4.75</v>
      </c>
      <c r="R76" s="369">
        <v>4.7699999999999996</v>
      </c>
      <c r="S76" s="369">
        <v>4.79</v>
      </c>
      <c r="T76" s="369">
        <v>4.8</v>
      </c>
      <c r="U76" s="369">
        <v>4.82</v>
      </c>
      <c r="V76" s="369">
        <v>4.8</v>
      </c>
      <c r="W76" s="369">
        <v>4.79</v>
      </c>
      <c r="X76" s="369">
        <v>4.78</v>
      </c>
      <c r="Y76" s="369">
        <v>4.7699999999999996</v>
      </c>
      <c r="Z76" s="369">
        <v>4.76</v>
      </c>
      <c r="AA76" s="369">
        <v>4.74</v>
      </c>
      <c r="AB76" s="369">
        <v>4.72</v>
      </c>
      <c r="AC76" s="369">
        <v>4.7</v>
      </c>
      <c r="AD76" s="369">
        <v>4.68</v>
      </c>
      <c r="AE76" s="369">
        <v>4.67</v>
      </c>
      <c r="AF76" s="369">
        <v>4.6500000000000004</v>
      </c>
      <c r="AG76" s="369">
        <v>4.6399999999999997</v>
      </c>
      <c r="AH76" s="369">
        <v>4.62</v>
      </c>
      <c r="AI76" s="369">
        <v>4.6100000000000003</v>
      </c>
      <c r="AJ76" s="369">
        <v>4.5999999999999996</v>
      </c>
      <c r="AK76" s="369">
        <v>4.59</v>
      </c>
      <c r="AL76" s="369">
        <v>4.58</v>
      </c>
      <c r="AM76" s="369">
        <v>4.57</v>
      </c>
      <c r="AN76" s="369">
        <v>4.5599999999999996</v>
      </c>
      <c r="AO76" s="369">
        <v>4.55</v>
      </c>
      <c r="AP76" s="369">
        <v>4.54</v>
      </c>
      <c r="AQ76" s="369">
        <v>4.54</v>
      </c>
      <c r="AR76" s="369">
        <v>4.54</v>
      </c>
      <c r="AS76" s="369">
        <v>4.53</v>
      </c>
      <c r="AT76" s="369">
        <v>4.53</v>
      </c>
      <c r="AU76" s="369">
        <v>4.5199999999999996</v>
      </c>
      <c r="AV76" s="369">
        <v>4.5199999999999996</v>
      </c>
      <c r="AW76" s="369">
        <v>4.5199999999999996</v>
      </c>
      <c r="AX76" s="369">
        <v>4.51</v>
      </c>
      <c r="AY76" s="369">
        <v>4.51</v>
      </c>
      <c r="AZ76" s="158">
        <v>1.7500000000000002E-2</v>
      </c>
      <c r="BA76" s="108">
        <f t="shared" si="1"/>
        <v>1.7500000000000002</v>
      </c>
    </row>
    <row r="77" spans="1:60">
      <c r="A77" s="111">
        <v>41882</v>
      </c>
      <c r="B77" s="369">
        <v>3.01</v>
      </c>
      <c r="C77" s="369">
        <v>3.11</v>
      </c>
      <c r="D77" s="369">
        <v>3.28</v>
      </c>
      <c r="E77" s="369">
        <v>3.46</v>
      </c>
      <c r="F77" s="369">
        <v>3.64</v>
      </c>
      <c r="G77" s="369">
        <v>3.81</v>
      </c>
      <c r="H77" s="369">
        <v>3.96</v>
      </c>
      <c r="I77" s="369">
        <v>4.0999999999999996</v>
      </c>
      <c r="J77" s="369">
        <v>4.22</v>
      </c>
      <c r="K77" s="369">
        <v>4.32</v>
      </c>
      <c r="L77" s="369">
        <v>4.42</v>
      </c>
      <c r="M77" s="369">
        <v>4.51</v>
      </c>
      <c r="N77" s="369">
        <v>4.58</v>
      </c>
      <c r="O77" s="369">
        <v>4.6399999999999997</v>
      </c>
      <c r="P77" s="459">
        <v>4.7</v>
      </c>
      <c r="Q77" s="369">
        <v>4.72</v>
      </c>
      <c r="R77" s="369">
        <v>4.74</v>
      </c>
      <c r="S77" s="369">
        <v>4.75</v>
      </c>
      <c r="T77" s="369">
        <v>4.7699999999999996</v>
      </c>
      <c r="U77" s="369">
        <v>4.78</v>
      </c>
      <c r="V77" s="369">
        <v>4.7699999999999996</v>
      </c>
      <c r="W77" s="369">
        <v>4.76</v>
      </c>
      <c r="X77" s="369">
        <v>4.75</v>
      </c>
      <c r="Y77" s="369">
        <v>4.74</v>
      </c>
      <c r="Z77" s="369">
        <v>4.7300000000000004</v>
      </c>
      <c r="AA77" s="369">
        <v>4.7</v>
      </c>
      <c r="AB77" s="369">
        <v>4.6900000000000004</v>
      </c>
      <c r="AC77" s="369">
        <v>4.67</v>
      </c>
      <c r="AD77" s="369">
        <v>4.6500000000000004</v>
      </c>
      <c r="AE77" s="369">
        <v>4.63</v>
      </c>
      <c r="AF77" s="369">
        <v>4.62</v>
      </c>
      <c r="AG77" s="369">
        <v>4.6100000000000003</v>
      </c>
      <c r="AH77" s="369">
        <v>4.59</v>
      </c>
      <c r="AI77" s="369">
        <v>4.58</v>
      </c>
      <c r="AJ77" s="369">
        <v>4.57</v>
      </c>
      <c r="AK77" s="369">
        <v>4.5599999999999996</v>
      </c>
      <c r="AL77" s="369">
        <v>4.55</v>
      </c>
      <c r="AM77" s="369">
        <v>4.54</v>
      </c>
      <c r="AN77" s="369">
        <v>4.53</v>
      </c>
      <c r="AO77" s="369">
        <v>4.5199999999999996</v>
      </c>
      <c r="AP77" s="369">
        <v>4.51</v>
      </c>
      <c r="AQ77" s="369">
        <v>4.51</v>
      </c>
      <c r="AR77" s="369">
        <v>4.51</v>
      </c>
      <c r="AS77" s="369">
        <v>4.5</v>
      </c>
      <c r="AT77" s="369">
        <v>4.5</v>
      </c>
      <c r="AU77" s="369">
        <v>4.49</v>
      </c>
      <c r="AV77" s="369">
        <v>4.49</v>
      </c>
      <c r="AW77" s="369">
        <v>4.49</v>
      </c>
      <c r="AX77" s="369">
        <v>4.49</v>
      </c>
      <c r="AY77" s="369">
        <v>4.4800000000000004</v>
      </c>
      <c r="AZ77" s="158">
        <v>1.7500000000000002E-2</v>
      </c>
      <c r="BA77" s="108">
        <f t="shared" si="1"/>
        <v>1.7500000000000002</v>
      </c>
    </row>
    <row r="78" spans="1:60">
      <c r="A78" s="111">
        <v>41912</v>
      </c>
      <c r="B78" s="369">
        <v>2.96</v>
      </c>
      <c r="C78" s="369">
        <v>3.06</v>
      </c>
      <c r="D78" s="369">
        <v>3.23</v>
      </c>
      <c r="E78" s="369">
        <v>3.41</v>
      </c>
      <c r="F78" s="369">
        <v>3.59</v>
      </c>
      <c r="G78" s="369">
        <v>3.77</v>
      </c>
      <c r="H78" s="369">
        <v>3.92</v>
      </c>
      <c r="I78" s="369">
        <v>4.05</v>
      </c>
      <c r="J78" s="369">
        <v>4.17</v>
      </c>
      <c r="K78" s="369">
        <v>4.28</v>
      </c>
      <c r="L78" s="369">
        <v>4.3899999999999997</v>
      </c>
      <c r="M78" s="369">
        <v>4.47</v>
      </c>
      <c r="N78" s="369">
        <v>4.54</v>
      </c>
      <c r="O78" s="369">
        <v>4.6100000000000003</v>
      </c>
      <c r="P78" s="459">
        <v>4.66</v>
      </c>
      <c r="Q78" s="369">
        <v>4.68</v>
      </c>
      <c r="R78" s="369">
        <v>4.7</v>
      </c>
      <c r="S78" s="369">
        <v>4.72</v>
      </c>
      <c r="T78" s="369">
        <v>4.7300000000000004</v>
      </c>
      <c r="U78" s="369">
        <v>4.75</v>
      </c>
      <c r="V78" s="369">
        <v>4.7300000000000004</v>
      </c>
      <c r="W78" s="369">
        <v>4.72</v>
      </c>
      <c r="X78" s="369">
        <v>4.71</v>
      </c>
      <c r="Y78" s="369">
        <v>4.7</v>
      </c>
      <c r="Z78" s="369">
        <v>4.6900000000000004</v>
      </c>
      <c r="AA78" s="369">
        <v>4.67</v>
      </c>
      <c r="AB78" s="369">
        <v>4.6500000000000004</v>
      </c>
      <c r="AC78" s="369">
        <v>4.63</v>
      </c>
      <c r="AD78" s="369">
        <v>4.62</v>
      </c>
      <c r="AE78" s="369">
        <v>4.5999999999999996</v>
      </c>
      <c r="AF78" s="369">
        <v>4.59</v>
      </c>
      <c r="AG78" s="369">
        <v>4.57</v>
      </c>
      <c r="AH78" s="369">
        <v>4.5599999999999996</v>
      </c>
      <c r="AI78" s="369">
        <v>4.55</v>
      </c>
      <c r="AJ78" s="369">
        <v>4.54</v>
      </c>
      <c r="AK78" s="369">
        <v>4.53</v>
      </c>
      <c r="AL78" s="369">
        <v>4.5199999999999996</v>
      </c>
      <c r="AM78" s="369">
        <v>4.51</v>
      </c>
      <c r="AN78" s="369">
        <v>4.5</v>
      </c>
      <c r="AO78" s="369">
        <v>4.49</v>
      </c>
      <c r="AP78" s="369">
        <v>4.4800000000000004</v>
      </c>
      <c r="AQ78" s="369">
        <v>4.4800000000000004</v>
      </c>
      <c r="AR78" s="369">
        <v>4.4800000000000004</v>
      </c>
      <c r="AS78" s="369">
        <v>4.47</v>
      </c>
      <c r="AT78" s="369">
        <v>4.47</v>
      </c>
      <c r="AU78" s="369">
        <v>4.47</v>
      </c>
      <c r="AV78" s="369">
        <v>4.46</v>
      </c>
      <c r="AW78" s="369">
        <v>4.46</v>
      </c>
      <c r="AX78" s="369">
        <v>4.46</v>
      </c>
      <c r="AY78" s="369">
        <v>4.45</v>
      </c>
      <c r="AZ78" s="158">
        <v>1.7500000000000002E-2</v>
      </c>
      <c r="BA78" s="108">
        <f t="shared" si="1"/>
        <v>1.7500000000000002</v>
      </c>
    </row>
    <row r="79" spans="1:60">
      <c r="A79" s="111">
        <v>41943</v>
      </c>
      <c r="B79" s="369">
        <v>2.91</v>
      </c>
      <c r="C79" s="369">
        <v>3.01</v>
      </c>
      <c r="D79" s="369">
        <v>3.18</v>
      </c>
      <c r="E79" s="369">
        <v>3.37</v>
      </c>
      <c r="F79" s="369">
        <v>3.55</v>
      </c>
      <c r="G79" s="369">
        <v>3.72</v>
      </c>
      <c r="H79" s="369">
        <v>3.87</v>
      </c>
      <c r="I79" s="369">
        <v>4.01</v>
      </c>
      <c r="J79" s="369">
        <v>4.13</v>
      </c>
      <c r="K79" s="369">
        <v>4.24</v>
      </c>
      <c r="L79" s="369">
        <v>4.3499999999999996</v>
      </c>
      <c r="M79" s="369">
        <v>4.43</v>
      </c>
      <c r="N79" s="369">
        <v>4.51</v>
      </c>
      <c r="O79" s="369">
        <v>4.57</v>
      </c>
      <c r="P79" s="459">
        <v>4.62</v>
      </c>
      <c r="Q79" s="369">
        <v>4.6500000000000004</v>
      </c>
      <c r="R79" s="369">
        <v>4.67</v>
      </c>
      <c r="S79" s="369">
        <v>4.68</v>
      </c>
      <c r="T79" s="369">
        <v>4.7</v>
      </c>
      <c r="U79" s="369">
        <v>4.71</v>
      </c>
      <c r="V79" s="369">
        <v>4.7</v>
      </c>
      <c r="W79" s="369">
        <v>4.6900000000000004</v>
      </c>
      <c r="X79" s="369">
        <v>4.68</v>
      </c>
      <c r="Y79" s="369">
        <v>4.67</v>
      </c>
      <c r="Z79" s="369">
        <v>4.66</v>
      </c>
      <c r="AA79" s="369">
        <v>4.6399999999999997</v>
      </c>
      <c r="AB79" s="369">
        <v>4.62</v>
      </c>
      <c r="AC79" s="369">
        <v>4.5999999999999996</v>
      </c>
      <c r="AD79" s="369">
        <v>4.59</v>
      </c>
      <c r="AE79" s="369">
        <v>4.57</v>
      </c>
      <c r="AF79" s="369">
        <v>4.5599999999999996</v>
      </c>
      <c r="AG79" s="369">
        <v>4.54</v>
      </c>
      <c r="AH79" s="369">
        <v>4.53</v>
      </c>
      <c r="AI79" s="369">
        <v>4.5199999999999996</v>
      </c>
      <c r="AJ79" s="369">
        <v>4.51</v>
      </c>
      <c r="AK79" s="369">
        <v>4.49</v>
      </c>
      <c r="AL79" s="369">
        <v>4.4800000000000004</v>
      </c>
      <c r="AM79" s="369">
        <v>4.4800000000000004</v>
      </c>
      <c r="AN79" s="369">
        <v>4.47</v>
      </c>
      <c r="AO79" s="369">
        <v>4.46</v>
      </c>
      <c r="AP79" s="369">
        <v>4.45</v>
      </c>
      <c r="AQ79" s="369">
        <v>4.45</v>
      </c>
      <c r="AR79" s="369">
        <v>4.45</v>
      </c>
      <c r="AS79" s="369">
        <v>4.4400000000000004</v>
      </c>
      <c r="AT79" s="369">
        <v>4.4400000000000004</v>
      </c>
      <c r="AU79" s="369">
        <v>4.4400000000000004</v>
      </c>
      <c r="AV79" s="369">
        <v>4.43</v>
      </c>
      <c r="AW79" s="369">
        <v>4.43</v>
      </c>
      <c r="AX79" s="369">
        <v>4.43</v>
      </c>
      <c r="AY79" s="369">
        <v>4.42</v>
      </c>
      <c r="AZ79" s="158">
        <v>1.7500000000000002E-2</v>
      </c>
      <c r="BA79" s="108">
        <f t="shared" si="1"/>
        <v>1.7500000000000002</v>
      </c>
    </row>
    <row r="80" spans="1:60">
      <c r="A80" s="111">
        <v>41973</v>
      </c>
      <c r="B80" s="369">
        <v>2.85</v>
      </c>
      <c r="C80" s="369">
        <v>2.96</v>
      </c>
      <c r="D80" s="369">
        <v>3.13</v>
      </c>
      <c r="E80" s="369">
        <v>3.32</v>
      </c>
      <c r="F80" s="369">
        <v>3.5</v>
      </c>
      <c r="G80" s="369">
        <v>3.67</v>
      </c>
      <c r="H80" s="369">
        <v>3.83</v>
      </c>
      <c r="I80" s="369">
        <v>3.96</v>
      </c>
      <c r="J80" s="369">
        <v>4.09</v>
      </c>
      <c r="K80" s="369">
        <v>4.2</v>
      </c>
      <c r="L80" s="369">
        <v>4.3</v>
      </c>
      <c r="M80" s="369">
        <v>4.3899999999999997</v>
      </c>
      <c r="N80" s="369">
        <v>4.46</v>
      </c>
      <c r="O80" s="369">
        <v>4.5199999999999996</v>
      </c>
      <c r="P80" s="459">
        <v>4.58</v>
      </c>
      <c r="Q80" s="369">
        <v>4.5999999999999996</v>
      </c>
      <c r="R80" s="369">
        <v>4.62</v>
      </c>
      <c r="S80" s="369">
        <v>4.6399999999999997</v>
      </c>
      <c r="T80" s="369">
        <v>4.66</v>
      </c>
      <c r="U80" s="369">
        <v>4.67</v>
      </c>
      <c r="V80" s="369">
        <v>4.66</v>
      </c>
      <c r="W80" s="369">
        <v>4.6500000000000004</v>
      </c>
      <c r="X80" s="369">
        <v>4.6399999999999997</v>
      </c>
      <c r="Y80" s="369">
        <v>4.63</v>
      </c>
      <c r="Z80" s="369">
        <v>4.62</v>
      </c>
      <c r="AA80" s="369">
        <v>4.5999999999999996</v>
      </c>
      <c r="AB80" s="369">
        <v>4.58</v>
      </c>
      <c r="AC80" s="369">
        <v>4.5599999999999996</v>
      </c>
      <c r="AD80" s="369">
        <v>4.55</v>
      </c>
      <c r="AE80" s="369">
        <v>4.53</v>
      </c>
      <c r="AF80" s="369">
        <v>4.5199999999999996</v>
      </c>
      <c r="AG80" s="369">
        <v>4.5</v>
      </c>
      <c r="AH80" s="369">
        <v>4.49</v>
      </c>
      <c r="AI80" s="369">
        <v>4.4800000000000004</v>
      </c>
      <c r="AJ80" s="369">
        <v>4.47</v>
      </c>
      <c r="AK80" s="369">
        <v>4.46</v>
      </c>
      <c r="AL80" s="369">
        <v>4.45</v>
      </c>
      <c r="AM80" s="369">
        <v>4.4400000000000004</v>
      </c>
      <c r="AN80" s="369">
        <v>4.43</v>
      </c>
      <c r="AO80" s="369">
        <v>4.42</v>
      </c>
      <c r="AP80" s="369">
        <v>4.42</v>
      </c>
      <c r="AQ80" s="369">
        <v>4.41</v>
      </c>
      <c r="AR80" s="369">
        <v>4.41</v>
      </c>
      <c r="AS80" s="369">
        <v>4.4000000000000004</v>
      </c>
      <c r="AT80" s="369">
        <v>4.4000000000000004</v>
      </c>
      <c r="AU80" s="369">
        <v>4.4000000000000004</v>
      </c>
      <c r="AV80" s="369">
        <v>4.4000000000000004</v>
      </c>
      <c r="AW80" s="369">
        <v>4.3899999999999997</v>
      </c>
      <c r="AX80" s="369">
        <v>4.3899999999999997</v>
      </c>
      <c r="AY80" s="369">
        <v>4.3899999999999997</v>
      </c>
      <c r="AZ80" s="158">
        <v>1.7500000000000002E-2</v>
      </c>
      <c r="BA80" s="108">
        <f t="shared" si="1"/>
        <v>1.7500000000000002</v>
      </c>
      <c r="BD80" s="2131" t="s">
        <v>198</v>
      </c>
      <c r="BE80" s="2131"/>
      <c r="BF80" s="2131" t="s">
        <v>199</v>
      </c>
      <c r="BG80" s="2131"/>
    </row>
    <row r="81" spans="1:60">
      <c r="A81" s="111">
        <v>42004</v>
      </c>
      <c r="B81" s="369">
        <v>2.8</v>
      </c>
      <c r="C81" s="369">
        <v>2.9</v>
      </c>
      <c r="D81" s="369">
        <v>3.07</v>
      </c>
      <c r="E81" s="369">
        <v>3.26</v>
      </c>
      <c r="F81" s="369">
        <v>3.45</v>
      </c>
      <c r="G81" s="369">
        <v>3.62</v>
      </c>
      <c r="H81" s="369">
        <v>3.78</v>
      </c>
      <c r="I81" s="369">
        <v>3.91</v>
      </c>
      <c r="J81" s="369">
        <v>4.04</v>
      </c>
      <c r="K81" s="369">
        <v>4.1500000000000004</v>
      </c>
      <c r="L81" s="369">
        <v>4.25</v>
      </c>
      <c r="M81" s="369">
        <v>4.34</v>
      </c>
      <c r="N81" s="369">
        <v>4.41</v>
      </c>
      <c r="O81" s="369">
        <v>4.4800000000000004</v>
      </c>
      <c r="P81" s="459">
        <v>4.53</v>
      </c>
      <c r="Q81" s="369">
        <v>4.5599999999999996</v>
      </c>
      <c r="R81" s="369">
        <v>4.58</v>
      </c>
      <c r="S81" s="369">
        <v>4.5999999999999996</v>
      </c>
      <c r="T81" s="369">
        <v>4.6100000000000003</v>
      </c>
      <c r="U81" s="369">
        <v>4.63</v>
      </c>
      <c r="V81" s="369">
        <v>4.6100000000000003</v>
      </c>
      <c r="W81" s="369">
        <v>4.5999999999999996</v>
      </c>
      <c r="X81" s="369">
        <v>4.59</v>
      </c>
      <c r="Y81" s="369">
        <v>4.58</v>
      </c>
      <c r="Z81" s="369">
        <v>4.58</v>
      </c>
      <c r="AA81" s="369">
        <v>4.5599999999999996</v>
      </c>
      <c r="AB81" s="369">
        <v>4.54</v>
      </c>
      <c r="AC81" s="369">
        <v>4.5199999999999996</v>
      </c>
      <c r="AD81" s="369">
        <v>4.5</v>
      </c>
      <c r="AE81" s="369">
        <v>4.49</v>
      </c>
      <c r="AF81" s="369">
        <v>4.47</v>
      </c>
      <c r="AG81" s="369">
        <v>4.46</v>
      </c>
      <c r="AH81" s="369">
        <v>4.45</v>
      </c>
      <c r="AI81" s="369">
        <v>4.4400000000000004</v>
      </c>
      <c r="AJ81" s="369">
        <v>4.43</v>
      </c>
      <c r="AK81" s="369">
        <v>4.42</v>
      </c>
      <c r="AL81" s="369">
        <v>4.41</v>
      </c>
      <c r="AM81" s="369">
        <v>4.4000000000000004</v>
      </c>
      <c r="AN81" s="369">
        <v>4.3899999999999997</v>
      </c>
      <c r="AO81" s="369">
        <v>4.38</v>
      </c>
      <c r="AP81" s="369">
        <v>4.38</v>
      </c>
      <c r="AQ81" s="369">
        <v>4.37</v>
      </c>
      <c r="AR81" s="369">
        <v>4.37</v>
      </c>
      <c r="AS81" s="369">
        <v>4.37</v>
      </c>
      <c r="AT81" s="369">
        <v>4.3600000000000003</v>
      </c>
      <c r="AU81" s="369">
        <v>4.3600000000000003</v>
      </c>
      <c r="AV81" s="369">
        <v>4.3600000000000003</v>
      </c>
      <c r="AW81" s="369">
        <v>4.3499999999999996</v>
      </c>
      <c r="AX81" s="369">
        <v>4.3499999999999996</v>
      </c>
      <c r="AY81" s="369">
        <v>4.3499999999999996</v>
      </c>
      <c r="AZ81" s="158">
        <v>1.7500000000000002E-2</v>
      </c>
      <c r="BA81" s="108">
        <f t="shared" si="1"/>
        <v>1.7500000000000002</v>
      </c>
      <c r="BD81" s="4" t="s">
        <v>849</v>
      </c>
      <c r="BE81" s="4" t="s">
        <v>126</v>
      </c>
      <c r="BF81" s="4" t="s">
        <v>849</v>
      </c>
      <c r="BG81" s="4" t="s">
        <v>126</v>
      </c>
    </row>
    <row r="82" spans="1:60">
      <c r="A82" s="111">
        <v>42035</v>
      </c>
      <c r="B82" s="369">
        <v>2.74</v>
      </c>
      <c r="C82" s="369">
        <v>2.85</v>
      </c>
      <c r="D82" s="369">
        <v>3.02</v>
      </c>
      <c r="E82" s="369">
        <v>3.21</v>
      </c>
      <c r="F82" s="369">
        <v>3.4</v>
      </c>
      <c r="G82" s="369">
        <v>3.57</v>
      </c>
      <c r="H82" s="369">
        <v>3.72</v>
      </c>
      <c r="I82" s="369">
        <v>3.86</v>
      </c>
      <c r="J82" s="369">
        <v>3.99</v>
      </c>
      <c r="K82" s="369">
        <v>4.0999999999999996</v>
      </c>
      <c r="L82" s="369">
        <v>4.2</v>
      </c>
      <c r="M82" s="369">
        <v>4.29</v>
      </c>
      <c r="N82" s="369">
        <v>4.3600000000000003</v>
      </c>
      <c r="O82" s="369">
        <v>4.43</v>
      </c>
      <c r="P82" s="459">
        <v>4.4800000000000004</v>
      </c>
      <c r="Q82" s="369">
        <v>4.5</v>
      </c>
      <c r="R82" s="369">
        <v>4.53</v>
      </c>
      <c r="S82" s="369">
        <v>4.54</v>
      </c>
      <c r="T82" s="369">
        <v>4.5599999999999996</v>
      </c>
      <c r="U82" s="369">
        <v>4.58</v>
      </c>
      <c r="V82" s="369">
        <v>4.5599999999999996</v>
      </c>
      <c r="W82" s="369">
        <v>4.55</v>
      </c>
      <c r="X82" s="369">
        <v>4.54</v>
      </c>
      <c r="Y82" s="369">
        <v>4.53</v>
      </c>
      <c r="Z82" s="369">
        <v>4.5199999999999996</v>
      </c>
      <c r="AA82" s="369">
        <v>4.5</v>
      </c>
      <c r="AB82" s="369">
        <v>4.49</v>
      </c>
      <c r="AC82" s="369">
        <v>4.47</v>
      </c>
      <c r="AD82" s="369">
        <v>4.45</v>
      </c>
      <c r="AE82" s="369">
        <v>4.4400000000000004</v>
      </c>
      <c r="AF82" s="369">
        <v>4.42</v>
      </c>
      <c r="AG82" s="369">
        <v>4.41</v>
      </c>
      <c r="AH82" s="369">
        <v>4.4000000000000004</v>
      </c>
      <c r="AI82" s="369">
        <v>4.3899999999999997</v>
      </c>
      <c r="AJ82" s="369">
        <v>4.38</v>
      </c>
      <c r="AK82" s="369">
        <v>4.37</v>
      </c>
      <c r="AL82" s="369">
        <v>4.3600000000000003</v>
      </c>
      <c r="AM82" s="369">
        <v>4.3499999999999996</v>
      </c>
      <c r="AN82" s="369">
        <v>4.34</v>
      </c>
      <c r="AO82" s="369">
        <v>4.33</v>
      </c>
      <c r="AP82" s="369">
        <v>4.33</v>
      </c>
      <c r="AQ82" s="369">
        <v>4.32</v>
      </c>
      <c r="AR82" s="369">
        <v>4.32</v>
      </c>
      <c r="AS82" s="369">
        <v>4.32</v>
      </c>
      <c r="AT82" s="369">
        <v>4.3099999999999996</v>
      </c>
      <c r="AU82" s="369">
        <v>4.3099999999999996</v>
      </c>
      <c r="AV82" s="369">
        <v>4.3099999999999996</v>
      </c>
      <c r="AW82" s="369">
        <v>4.3099999999999996</v>
      </c>
      <c r="AX82" s="369">
        <v>4.3</v>
      </c>
      <c r="AY82" s="369">
        <v>4.3</v>
      </c>
      <c r="AZ82" s="158">
        <v>1.2500000000000001E-2</v>
      </c>
      <c r="BA82" s="108">
        <f t="shared" ref="BA82:BA137" si="2">+AZ82*100</f>
        <v>1.25</v>
      </c>
      <c r="BC82" s="702">
        <v>4.51</v>
      </c>
      <c r="BD82" s="705">
        <v>20818</v>
      </c>
      <c r="BE82" s="705">
        <v>12675</v>
      </c>
      <c r="BF82" s="705">
        <v>16565</v>
      </c>
      <c r="BG82" s="705">
        <v>7890</v>
      </c>
    </row>
    <row r="83" spans="1:60">
      <c r="A83" s="111">
        <v>42063</v>
      </c>
      <c r="B83" s="369">
        <v>2.68</v>
      </c>
      <c r="C83" s="369">
        <v>2.8</v>
      </c>
      <c r="D83" s="369">
        <v>2.97</v>
      </c>
      <c r="E83" s="369">
        <v>3.16</v>
      </c>
      <c r="F83" s="369">
        <v>3.34</v>
      </c>
      <c r="G83" s="369">
        <v>3.52</v>
      </c>
      <c r="H83" s="369">
        <v>3.67</v>
      </c>
      <c r="I83" s="369">
        <v>3.81</v>
      </c>
      <c r="J83" s="369">
        <v>3.93</v>
      </c>
      <c r="K83" s="369">
        <v>4.04</v>
      </c>
      <c r="L83" s="369">
        <v>4.1500000000000004</v>
      </c>
      <c r="M83" s="369">
        <v>4.24</v>
      </c>
      <c r="N83" s="369">
        <v>4.3099999999999996</v>
      </c>
      <c r="O83" s="369">
        <v>4.37</v>
      </c>
      <c r="P83" s="459">
        <v>4.43</v>
      </c>
      <c r="Q83" s="369">
        <v>4.45</v>
      </c>
      <c r="R83" s="369">
        <v>4.47</v>
      </c>
      <c r="S83" s="369">
        <v>4.49</v>
      </c>
      <c r="T83" s="369">
        <v>4.51</v>
      </c>
      <c r="U83" s="369">
        <v>4.5199999999999996</v>
      </c>
      <c r="V83" s="369">
        <v>4.51</v>
      </c>
      <c r="W83" s="369">
        <v>4.5</v>
      </c>
      <c r="X83" s="369">
        <v>4.49</v>
      </c>
      <c r="Y83" s="369">
        <v>4.4800000000000004</v>
      </c>
      <c r="Z83" s="369">
        <v>4.47</v>
      </c>
      <c r="AA83" s="369">
        <v>4.45</v>
      </c>
      <c r="AB83" s="369">
        <v>4.43</v>
      </c>
      <c r="AC83" s="369">
        <v>4.42</v>
      </c>
      <c r="AD83" s="369">
        <v>4.4000000000000004</v>
      </c>
      <c r="AE83" s="369">
        <v>4.3899999999999997</v>
      </c>
      <c r="AF83" s="369">
        <v>4.37</v>
      </c>
      <c r="AG83" s="369">
        <v>4.3600000000000003</v>
      </c>
      <c r="AH83" s="369">
        <v>4.3499999999999996</v>
      </c>
      <c r="AI83" s="369">
        <v>4.34</v>
      </c>
      <c r="AJ83" s="369">
        <v>4.33</v>
      </c>
      <c r="AK83" s="369">
        <v>4.32</v>
      </c>
      <c r="AL83" s="369">
        <v>4.3099999999999996</v>
      </c>
      <c r="AM83" s="369">
        <v>4.3</v>
      </c>
      <c r="AN83" s="369">
        <v>4.29</v>
      </c>
      <c r="AO83" s="369">
        <v>4.28</v>
      </c>
      <c r="AP83" s="369">
        <v>4.28</v>
      </c>
      <c r="AQ83" s="369">
        <v>4.28</v>
      </c>
      <c r="AR83" s="369">
        <v>4.2699999999999996</v>
      </c>
      <c r="AS83" s="369">
        <v>4.2699999999999996</v>
      </c>
      <c r="AT83" s="369">
        <v>4.2699999999999996</v>
      </c>
      <c r="AU83" s="369">
        <v>4.26</v>
      </c>
      <c r="AV83" s="369">
        <v>4.26</v>
      </c>
      <c r="AW83" s="369">
        <v>4.26</v>
      </c>
      <c r="AX83" s="369">
        <v>4.26</v>
      </c>
      <c r="AY83" s="369">
        <v>4.25</v>
      </c>
      <c r="AZ83" s="158">
        <v>1.2500000000000001E-2</v>
      </c>
      <c r="BA83" s="108">
        <f t="shared" si="2"/>
        <v>1.25</v>
      </c>
      <c r="BC83" s="459">
        <v>4.4800000000000004</v>
      </c>
      <c r="BD83" s="704">
        <f>BD$82+(BD$94-BD$82)/12*$BH83</f>
        <v>21119.583333333332</v>
      </c>
      <c r="BE83" s="704">
        <f t="shared" ref="BE83:BG93" si="3">BE$82+(BE$94-BE$82)/12*$BH83</f>
        <v>13070.083333333334</v>
      </c>
      <c r="BF83" s="704">
        <f t="shared" si="3"/>
        <v>17024.75</v>
      </c>
      <c r="BG83" s="704">
        <f t="shared" si="3"/>
        <v>8409</v>
      </c>
      <c r="BH83" s="704">
        <v>1</v>
      </c>
    </row>
    <row r="84" spans="1:60">
      <c r="A84" s="111">
        <v>42094</v>
      </c>
      <c r="B84" s="369">
        <v>2.62</v>
      </c>
      <c r="C84" s="369">
        <v>2.73</v>
      </c>
      <c r="D84" s="369">
        <v>2.91</v>
      </c>
      <c r="E84" s="369">
        <v>3.1</v>
      </c>
      <c r="F84" s="369">
        <v>3.28</v>
      </c>
      <c r="G84" s="369">
        <v>3.46</v>
      </c>
      <c r="H84" s="369">
        <v>3.61</v>
      </c>
      <c r="I84" s="369">
        <v>3.75</v>
      </c>
      <c r="J84" s="369">
        <v>3.87</v>
      </c>
      <c r="K84" s="369">
        <v>3.99</v>
      </c>
      <c r="L84" s="369">
        <v>4.09</v>
      </c>
      <c r="M84" s="369">
        <v>4.18</v>
      </c>
      <c r="N84" s="369">
        <v>4.25</v>
      </c>
      <c r="O84" s="369">
        <v>4.3099999999999996</v>
      </c>
      <c r="P84" s="459">
        <v>4.37</v>
      </c>
      <c r="Q84" s="369">
        <v>4.3899999999999997</v>
      </c>
      <c r="R84" s="369">
        <v>4.41</v>
      </c>
      <c r="S84" s="369">
        <v>4.43</v>
      </c>
      <c r="T84" s="369">
        <v>4.45</v>
      </c>
      <c r="U84" s="369">
        <v>4.46</v>
      </c>
      <c r="V84" s="369">
        <v>4.45</v>
      </c>
      <c r="W84" s="369">
        <v>4.4400000000000004</v>
      </c>
      <c r="X84" s="369">
        <v>4.43</v>
      </c>
      <c r="Y84" s="369">
        <v>4.42</v>
      </c>
      <c r="Z84" s="369">
        <v>4.41</v>
      </c>
      <c r="AA84" s="369">
        <v>4.3899999999999997</v>
      </c>
      <c r="AB84" s="369">
        <v>4.37</v>
      </c>
      <c r="AC84" s="369">
        <v>4.3600000000000003</v>
      </c>
      <c r="AD84" s="369">
        <v>4.34</v>
      </c>
      <c r="AE84" s="369">
        <v>4.33</v>
      </c>
      <c r="AF84" s="369">
        <v>4.3099999999999996</v>
      </c>
      <c r="AG84" s="369">
        <v>4.3</v>
      </c>
      <c r="AH84" s="369">
        <v>4.29</v>
      </c>
      <c r="AI84" s="369">
        <v>4.28</v>
      </c>
      <c r="AJ84" s="369">
        <v>4.2699999999999996</v>
      </c>
      <c r="AK84" s="369">
        <v>4.26</v>
      </c>
      <c r="AL84" s="369">
        <v>4.25</v>
      </c>
      <c r="AM84" s="369">
        <v>4.24</v>
      </c>
      <c r="AN84" s="369">
        <v>4.2300000000000004</v>
      </c>
      <c r="AO84" s="369">
        <v>4.2300000000000004</v>
      </c>
      <c r="AP84" s="369">
        <v>4.22</v>
      </c>
      <c r="AQ84" s="369">
        <v>4.22</v>
      </c>
      <c r="AR84" s="369">
        <v>4.22</v>
      </c>
      <c r="AS84" s="369">
        <v>4.21</v>
      </c>
      <c r="AT84" s="369">
        <v>4.21</v>
      </c>
      <c r="AU84" s="369">
        <v>4.21</v>
      </c>
      <c r="AV84" s="369">
        <v>4.2</v>
      </c>
      <c r="AW84" s="369">
        <v>4.2</v>
      </c>
      <c r="AX84" s="369">
        <v>4.2</v>
      </c>
      <c r="AY84" s="369">
        <v>4.2</v>
      </c>
      <c r="AZ84" s="158">
        <v>1.2500000000000001E-2</v>
      </c>
      <c r="BA84" s="108">
        <f t="shared" si="2"/>
        <v>1.25</v>
      </c>
      <c r="BC84" s="459">
        <v>4.46</v>
      </c>
      <c r="BD84" s="704">
        <f t="shared" ref="BD84:BD93" si="4">BD$82+(BD$94-BD$82)/12*$BH84</f>
        <v>21421.166666666668</v>
      </c>
      <c r="BE84" s="704">
        <f t="shared" si="3"/>
        <v>13465.166666666666</v>
      </c>
      <c r="BF84" s="704">
        <f t="shared" si="3"/>
        <v>17484.5</v>
      </c>
      <c r="BG84" s="704">
        <f t="shared" si="3"/>
        <v>8928</v>
      </c>
      <c r="BH84" s="704">
        <v>2</v>
      </c>
    </row>
    <row r="85" spans="1:60">
      <c r="A85" s="111">
        <v>42124</v>
      </c>
      <c r="B85" s="369">
        <v>2.5499999999999998</v>
      </c>
      <c r="C85" s="369">
        <v>2.67</v>
      </c>
      <c r="D85" s="369">
        <v>2.85</v>
      </c>
      <c r="E85" s="369">
        <v>3.04</v>
      </c>
      <c r="F85" s="369">
        <v>3.23</v>
      </c>
      <c r="G85" s="369">
        <v>3.4</v>
      </c>
      <c r="H85" s="369">
        <v>3.56</v>
      </c>
      <c r="I85" s="369">
        <v>3.69</v>
      </c>
      <c r="J85" s="369">
        <v>3.82</v>
      </c>
      <c r="K85" s="369">
        <v>3.93</v>
      </c>
      <c r="L85" s="369">
        <v>4.03</v>
      </c>
      <c r="M85" s="369">
        <v>4.12</v>
      </c>
      <c r="N85" s="369">
        <v>4.1900000000000004</v>
      </c>
      <c r="O85" s="369">
        <v>4.26</v>
      </c>
      <c r="P85" s="459">
        <v>4.3099999999999996</v>
      </c>
      <c r="Q85" s="369">
        <v>4.34</v>
      </c>
      <c r="R85" s="369">
        <v>4.3600000000000003</v>
      </c>
      <c r="S85" s="369">
        <v>4.37</v>
      </c>
      <c r="T85" s="369">
        <v>4.3899999999999997</v>
      </c>
      <c r="U85" s="369">
        <v>4.41</v>
      </c>
      <c r="V85" s="369">
        <v>4.3899999999999997</v>
      </c>
      <c r="W85" s="369">
        <v>4.38</v>
      </c>
      <c r="X85" s="369">
        <v>4.37</v>
      </c>
      <c r="Y85" s="369">
        <v>4.37</v>
      </c>
      <c r="Z85" s="369">
        <v>4.3600000000000003</v>
      </c>
      <c r="AA85" s="369">
        <v>4.34</v>
      </c>
      <c r="AB85" s="369">
        <v>4.32</v>
      </c>
      <c r="AC85" s="369">
        <v>4.3</v>
      </c>
      <c r="AD85" s="369">
        <v>4.29</v>
      </c>
      <c r="AE85" s="369">
        <v>4.2699999999999996</v>
      </c>
      <c r="AF85" s="369">
        <v>4.26</v>
      </c>
      <c r="AG85" s="369">
        <v>4.25</v>
      </c>
      <c r="AH85" s="369">
        <v>4.24</v>
      </c>
      <c r="AI85" s="369">
        <v>4.2300000000000004</v>
      </c>
      <c r="AJ85" s="369">
        <v>4.22</v>
      </c>
      <c r="AK85" s="369">
        <v>4.21</v>
      </c>
      <c r="AL85" s="369">
        <v>4.2</v>
      </c>
      <c r="AM85" s="369">
        <v>4.1900000000000004</v>
      </c>
      <c r="AN85" s="369">
        <v>4.18</v>
      </c>
      <c r="AO85" s="369">
        <v>4.17</v>
      </c>
      <c r="AP85" s="369">
        <v>4.17</v>
      </c>
      <c r="AQ85" s="369">
        <v>4.17</v>
      </c>
      <c r="AR85" s="369">
        <v>4.16</v>
      </c>
      <c r="AS85" s="369">
        <v>4.16</v>
      </c>
      <c r="AT85" s="369">
        <v>4.16</v>
      </c>
      <c r="AU85" s="369">
        <v>4.1500000000000004</v>
      </c>
      <c r="AV85" s="369">
        <v>4.1500000000000004</v>
      </c>
      <c r="AW85" s="369">
        <v>4.1500000000000004</v>
      </c>
      <c r="AX85" s="369">
        <v>4.1500000000000004</v>
      </c>
      <c r="AY85" s="369">
        <v>4.1500000000000004</v>
      </c>
      <c r="AZ85" s="158">
        <v>1.2500000000000001E-2</v>
      </c>
      <c r="BA85" s="108">
        <f t="shared" si="2"/>
        <v>1.25</v>
      </c>
      <c r="BC85" s="459">
        <v>4.43</v>
      </c>
      <c r="BD85" s="704">
        <f t="shared" si="4"/>
        <v>21722.75</v>
      </c>
      <c r="BE85" s="704">
        <f t="shared" si="3"/>
        <v>13860.25</v>
      </c>
      <c r="BF85" s="704">
        <f t="shared" si="3"/>
        <v>17944.25</v>
      </c>
      <c r="BG85" s="704">
        <f t="shared" si="3"/>
        <v>9447</v>
      </c>
      <c r="BH85" s="704">
        <v>3</v>
      </c>
    </row>
    <row r="86" spans="1:60">
      <c r="A86" s="111">
        <v>42155</v>
      </c>
      <c r="B86" s="369">
        <v>2.4900000000000002</v>
      </c>
      <c r="C86" s="369">
        <v>2.61</v>
      </c>
      <c r="D86" s="369">
        <v>2.79</v>
      </c>
      <c r="E86" s="369">
        <v>2.98</v>
      </c>
      <c r="F86" s="369">
        <v>3.17</v>
      </c>
      <c r="G86" s="369">
        <v>3.34</v>
      </c>
      <c r="H86" s="369">
        <v>3.5</v>
      </c>
      <c r="I86" s="369">
        <v>3.64</v>
      </c>
      <c r="J86" s="369">
        <v>3.76</v>
      </c>
      <c r="K86" s="369">
        <v>3.88</v>
      </c>
      <c r="L86" s="369">
        <v>3.98</v>
      </c>
      <c r="M86" s="369">
        <v>4.07</v>
      </c>
      <c r="N86" s="369">
        <v>4.1399999999999997</v>
      </c>
      <c r="O86" s="369">
        <v>4.2</v>
      </c>
      <c r="P86" s="459">
        <v>4.26</v>
      </c>
      <c r="Q86" s="369">
        <v>4.28</v>
      </c>
      <c r="R86" s="369">
        <v>4.3</v>
      </c>
      <c r="S86" s="369">
        <v>4.32</v>
      </c>
      <c r="T86" s="369">
        <v>4.34</v>
      </c>
      <c r="U86" s="369">
        <v>4.3600000000000003</v>
      </c>
      <c r="V86" s="369">
        <v>4.34</v>
      </c>
      <c r="W86" s="369">
        <v>4.33</v>
      </c>
      <c r="X86" s="369">
        <v>4.32</v>
      </c>
      <c r="Y86" s="369">
        <v>4.32</v>
      </c>
      <c r="Z86" s="369">
        <v>4.3099999999999996</v>
      </c>
      <c r="AA86" s="369">
        <v>4.29</v>
      </c>
      <c r="AB86" s="369">
        <v>4.2699999999999996</v>
      </c>
      <c r="AC86" s="369">
        <v>4.25</v>
      </c>
      <c r="AD86" s="369">
        <v>4.24</v>
      </c>
      <c r="AE86" s="369">
        <v>4.22</v>
      </c>
      <c r="AF86" s="369">
        <v>4.21</v>
      </c>
      <c r="AG86" s="369">
        <v>4.2</v>
      </c>
      <c r="AH86" s="369">
        <v>4.1900000000000004</v>
      </c>
      <c r="AI86" s="369">
        <v>4.18</v>
      </c>
      <c r="AJ86" s="369">
        <v>4.17</v>
      </c>
      <c r="AK86" s="369">
        <v>4.16</v>
      </c>
      <c r="AL86" s="369">
        <v>4.1500000000000004</v>
      </c>
      <c r="AM86" s="369">
        <v>4.1399999999999997</v>
      </c>
      <c r="AN86" s="369">
        <v>4.13</v>
      </c>
      <c r="AO86" s="369">
        <v>4.13</v>
      </c>
      <c r="AP86" s="369">
        <v>4.12</v>
      </c>
      <c r="AQ86" s="369">
        <v>4.12</v>
      </c>
      <c r="AR86" s="369">
        <v>4.12</v>
      </c>
      <c r="AS86" s="369">
        <v>4.1100000000000003</v>
      </c>
      <c r="AT86" s="369">
        <v>4.1100000000000003</v>
      </c>
      <c r="AU86" s="369">
        <v>4.1100000000000003</v>
      </c>
      <c r="AV86" s="369">
        <v>4.0999999999999996</v>
      </c>
      <c r="AW86" s="369">
        <v>4.0999999999999996</v>
      </c>
      <c r="AX86" s="369">
        <v>4.0999999999999996</v>
      </c>
      <c r="AY86" s="369">
        <v>4.0999999999999996</v>
      </c>
      <c r="AZ86" s="158">
        <v>1.2500000000000001E-2</v>
      </c>
      <c r="BA86" s="108">
        <f t="shared" si="2"/>
        <v>1.25</v>
      </c>
      <c r="BC86" s="459">
        <v>4.41</v>
      </c>
      <c r="BD86" s="704">
        <f t="shared" si="4"/>
        <v>22024.333333333332</v>
      </c>
      <c r="BE86" s="704">
        <f t="shared" si="3"/>
        <v>14255.333333333334</v>
      </c>
      <c r="BF86" s="704">
        <f t="shared" si="3"/>
        <v>18404</v>
      </c>
      <c r="BG86" s="704">
        <f t="shared" si="3"/>
        <v>9966</v>
      </c>
      <c r="BH86" s="704">
        <v>4</v>
      </c>
    </row>
    <row r="87" spans="1:60">
      <c r="A87" s="111">
        <v>42185</v>
      </c>
      <c r="B87" s="369">
        <v>2.42</v>
      </c>
      <c r="C87" s="369">
        <v>2.54</v>
      </c>
      <c r="D87" s="369">
        <v>2.72</v>
      </c>
      <c r="E87" s="369">
        <v>2.92</v>
      </c>
      <c r="F87" s="369">
        <v>3.11</v>
      </c>
      <c r="G87" s="369">
        <v>3.29</v>
      </c>
      <c r="H87" s="369">
        <v>3.45</v>
      </c>
      <c r="I87" s="369">
        <v>3.59</v>
      </c>
      <c r="J87" s="369">
        <v>3.71</v>
      </c>
      <c r="K87" s="369">
        <v>3.83</v>
      </c>
      <c r="L87" s="369">
        <v>3.93</v>
      </c>
      <c r="M87" s="369">
        <v>4.0199999999999996</v>
      </c>
      <c r="N87" s="369">
        <v>4.09</v>
      </c>
      <c r="O87" s="369">
        <v>4.16</v>
      </c>
      <c r="P87" s="459">
        <v>4.21</v>
      </c>
      <c r="Q87" s="369">
        <v>4.24</v>
      </c>
      <c r="R87" s="369">
        <v>4.26</v>
      </c>
      <c r="S87" s="369">
        <v>4.28</v>
      </c>
      <c r="T87" s="369">
        <v>4.3</v>
      </c>
      <c r="U87" s="369">
        <v>4.3099999999999996</v>
      </c>
      <c r="V87" s="369">
        <v>4.3</v>
      </c>
      <c r="W87" s="369">
        <v>4.29</v>
      </c>
      <c r="X87" s="369">
        <v>4.28</v>
      </c>
      <c r="Y87" s="369">
        <v>4.2699999999999996</v>
      </c>
      <c r="Z87" s="369">
        <v>4.2699999999999996</v>
      </c>
      <c r="AA87" s="369">
        <v>4.25</v>
      </c>
      <c r="AB87" s="369">
        <v>4.2300000000000004</v>
      </c>
      <c r="AC87" s="369">
        <v>4.21</v>
      </c>
      <c r="AD87" s="369">
        <v>4.2</v>
      </c>
      <c r="AE87" s="369">
        <v>4.18</v>
      </c>
      <c r="AF87" s="369">
        <v>4.17</v>
      </c>
      <c r="AG87" s="369">
        <v>4.16</v>
      </c>
      <c r="AH87" s="369">
        <v>4.1500000000000004</v>
      </c>
      <c r="AI87" s="369">
        <v>4.1399999999999997</v>
      </c>
      <c r="AJ87" s="369">
        <v>4.13</v>
      </c>
      <c r="AK87" s="369">
        <v>4.12</v>
      </c>
      <c r="AL87" s="369">
        <v>4.1100000000000003</v>
      </c>
      <c r="AM87" s="369">
        <v>4.0999999999999996</v>
      </c>
      <c r="AN87" s="369">
        <v>4.09</v>
      </c>
      <c r="AO87" s="369">
        <v>4.09</v>
      </c>
      <c r="AP87" s="369">
        <v>4.08</v>
      </c>
      <c r="AQ87" s="369">
        <v>4.08</v>
      </c>
      <c r="AR87" s="369">
        <v>4.08</v>
      </c>
      <c r="AS87" s="369">
        <v>4.08</v>
      </c>
      <c r="AT87" s="369">
        <v>4.07</v>
      </c>
      <c r="AU87" s="369">
        <v>4.07</v>
      </c>
      <c r="AV87" s="369">
        <v>4.07</v>
      </c>
      <c r="AW87" s="369">
        <v>4.07</v>
      </c>
      <c r="AX87" s="369">
        <v>4.0599999999999996</v>
      </c>
      <c r="AY87" s="369">
        <v>4.0599999999999996</v>
      </c>
      <c r="AZ87" s="158">
        <v>1.2500000000000001E-2</v>
      </c>
      <c r="BA87" s="108">
        <f t="shared" si="2"/>
        <v>1.25</v>
      </c>
      <c r="BC87" s="459">
        <v>4.3899999999999997</v>
      </c>
      <c r="BD87" s="704">
        <f t="shared" si="4"/>
        <v>22325.916666666668</v>
      </c>
      <c r="BE87" s="704">
        <f t="shared" si="3"/>
        <v>14650.416666666666</v>
      </c>
      <c r="BF87" s="704">
        <f t="shared" si="3"/>
        <v>18863.75</v>
      </c>
      <c r="BG87" s="704">
        <f t="shared" si="3"/>
        <v>10485</v>
      </c>
      <c r="BH87" s="704">
        <v>5</v>
      </c>
    </row>
    <row r="88" spans="1:60">
      <c r="A88" s="111">
        <v>42216</v>
      </c>
      <c r="B88" s="369">
        <v>2.35</v>
      </c>
      <c r="C88" s="369">
        <v>2.48</v>
      </c>
      <c r="D88" s="369">
        <v>2.66</v>
      </c>
      <c r="E88" s="369">
        <v>2.86</v>
      </c>
      <c r="F88" s="369">
        <v>3.05</v>
      </c>
      <c r="G88" s="369">
        <v>3.23</v>
      </c>
      <c r="H88" s="369">
        <v>3.39</v>
      </c>
      <c r="I88" s="369">
        <v>3.54</v>
      </c>
      <c r="J88" s="369">
        <v>3.66</v>
      </c>
      <c r="K88" s="369">
        <v>3.78</v>
      </c>
      <c r="L88" s="369">
        <v>3.88</v>
      </c>
      <c r="M88" s="369">
        <v>3.97</v>
      </c>
      <c r="N88" s="369">
        <v>4.05</v>
      </c>
      <c r="O88" s="369">
        <v>4.1100000000000003</v>
      </c>
      <c r="P88" s="459">
        <v>4.17</v>
      </c>
      <c r="Q88" s="369">
        <v>4.1900000000000004</v>
      </c>
      <c r="R88" s="369">
        <v>4.21</v>
      </c>
      <c r="S88" s="369">
        <v>4.2300000000000004</v>
      </c>
      <c r="T88" s="369">
        <v>4.25</v>
      </c>
      <c r="U88" s="369">
        <v>4.2699999999999996</v>
      </c>
      <c r="V88" s="369">
        <v>4.26</v>
      </c>
      <c r="W88" s="369">
        <v>4.25</v>
      </c>
      <c r="X88" s="369">
        <v>4.24</v>
      </c>
      <c r="Y88" s="369">
        <v>4.2300000000000004</v>
      </c>
      <c r="Z88" s="369">
        <v>4.22</v>
      </c>
      <c r="AA88" s="369">
        <v>4.2</v>
      </c>
      <c r="AB88" s="369">
        <v>4.18</v>
      </c>
      <c r="AC88" s="369">
        <v>4.17</v>
      </c>
      <c r="AD88" s="369">
        <v>4.1500000000000004</v>
      </c>
      <c r="AE88" s="369">
        <v>4.1399999999999997</v>
      </c>
      <c r="AF88" s="369">
        <v>4.13</v>
      </c>
      <c r="AG88" s="369">
        <v>4.12</v>
      </c>
      <c r="AH88" s="369">
        <v>4.1100000000000003</v>
      </c>
      <c r="AI88" s="369">
        <v>4.0999999999999996</v>
      </c>
      <c r="AJ88" s="369">
        <v>4.09</v>
      </c>
      <c r="AK88" s="369">
        <v>4.08</v>
      </c>
      <c r="AL88" s="369">
        <v>4.07</v>
      </c>
      <c r="AM88" s="369">
        <v>4.0599999999999996</v>
      </c>
      <c r="AN88" s="369">
        <v>4.05</v>
      </c>
      <c r="AO88" s="369">
        <v>4.05</v>
      </c>
      <c r="AP88" s="369">
        <v>4.04</v>
      </c>
      <c r="AQ88" s="369">
        <v>4.04</v>
      </c>
      <c r="AR88" s="369">
        <v>4.04</v>
      </c>
      <c r="AS88" s="369">
        <v>4.03</v>
      </c>
      <c r="AT88" s="369">
        <v>4.03</v>
      </c>
      <c r="AU88" s="369">
        <v>4.03</v>
      </c>
      <c r="AV88" s="369">
        <v>4.03</v>
      </c>
      <c r="AW88" s="369">
        <v>4.03</v>
      </c>
      <c r="AX88" s="369">
        <v>4.0199999999999996</v>
      </c>
      <c r="AY88" s="369">
        <v>4.0199999999999996</v>
      </c>
      <c r="AZ88" s="158">
        <v>1.2500000000000001E-2</v>
      </c>
      <c r="BA88" s="108">
        <f t="shared" si="2"/>
        <v>1.25</v>
      </c>
      <c r="BC88" s="459">
        <v>4.38</v>
      </c>
      <c r="BD88" s="704">
        <f t="shared" si="4"/>
        <v>22627.5</v>
      </c>
      <c r="BE88" s="704">
        <f t="shared" si="3"/>
        <v>15045.5</v>
      </c>
      <c r="BF88" s="704">
        <f t="shared" si="3"/>
        <v>19323.5</v>
      </c>
      <c r="BG88" s="704">
        <f t="shared" si="3"/>
        <v>11004</v>
      </c>
      <c r="BH88" s="704">
        <v>6</v>
      </c>
    </row>
    <row r="89" spans="1:60">
      <c r="A89" s="111">
        <v>42247</v>
      </c>
      <c r="B89" s="369">
        <v>2.29</v>
      </c>
      <c r="C89" s="369">
        <v>2.42</v>
      </c>
      <c r="D89" s="369">
        <v>2.6</v>
      </c>
      <c r="E89" s="369">
        <v>2.8</v>
      </c>
      <c r="F89" s="369">
        <v>3</v>
      </c>
      <c r="G89" s="369">
        <v>3.18</v>
      </c>
      <c r="H89" s="369">
        <v>3.34</v>
      </c>
      <c r="I89" s="369">
        <v>3.49</v>
      </c>
      <c r="J89" s="369">
        <v>3.61</v>
      </c>
      <c r="K89" s="369">
        <v>3.73</v>
      </c>
      <c r="L89" s="369">
        <v>3.84</v>
      </c>
      <c r="M89" s="369">
        <v>3.92</v>
      </c>
      <c r="N89" s="369">
        <v>4</v>
      </c>
      <c r="O89" s="369">
        <v>4.07</v>
      </c>
      <c r="P89" s="459">
        <v>4.12</v>
      </c>
      <c r="Q89" s="369">
        <v>4.1500000000000004</v>
      </c>
      <c r="R89" s="369">
        <v>4.17</v>
      </c>
      <c r="S89" s="369">
        <v>4.1900000000000004</v>
      </c>
      <c r="T89" s="369">
        <v>4.21</v>
      </c>
      <c r="U89" s="369">
        <v>4.22</v>
      </c>
      <c r="V89" s="369">
        <v>4.21</v>
      </c>
      <c r="W89" s="369">
        <v>4.2</v>
      </c>
      <c r="X89" s="369">
        <v>4.1900000000000004</v>
      </c>
      <c r="Y89" s="369">
        <v>4.1900000000000004</v>
      </c>
      <c r="Z89" s="369">
        <v>4.18</v>
      </c>
      <c r="AA89" s="369">
        <v>4.16</v>
      </c>
      <c r="AB89" s="369">
        <v>4.1399999999999997</v>
      </c>
      <c r="AC89" s="369">
        <v>4.13</v>
      </c>
      <c r="AD89" s="369">
        <v>4.1100000000000003</v>
      </c>
      <c r="AE89" s="369">
        <v>4.0999999999999996</v>
      </c>
      <c r="AF89" s="369">
        <v>4.09</v>
      </c>
      <c r="AG89" s="369">
        <v>4.08</v>
      </c>
      <c r="AH89" s="369">
        <v>4.07</v>
      </c>
      <c r="AI89" s="369">
        <v>4.0599999999999996</v>
      </c>
      <c r="AJ89" s="369">
        <v>4.05</v>
      </c>
      <c r="AK89" s="369">
        <v>4.04</v>
      </c>
      <c r="AL89" s="369">
        <v>4.03</v>
      </c>
      <c r="AM89" s="369">
        <v>4.0199999999999996</v>
      </c>
      <c r="AN89" s="369">
        <v>4.01</v>
      </c>
      <c r="AO89" s="369">
        <v>4.01</v>
      </c>
      <c r="AP89" s="369">
        <v>4</v>
      </c>
      <c r="AQ89" s="369">
        <v>4</v>
      </c>
      <c r="AR89" s="369">
        <v>4</v>
      </c>
      <c r="AS89" s="369">
        <v>4</v>
      </c>
      <c r="AT89" s="369">
        <v>3.99</v>
      </c>
      <c r="AU89" s="369">
        <v>3.99</v>
      </c>
      <c r="AV89" s="369">
        <v>3.99</v>
      </c>
      <c r="AW89" s="369">
        <v>3.99</v>
      </c>
      <c r="AX89" s="369">
        <v>3.99</v>
      </c>
      <c r="AY89" s="369">
        <v>3.98</v>
      </c>
      <c r="AZ89" s="158">
        <v>1.2500000000000001E-2</v>
      </c>
      <c r="BA89" s="108">
        <f t="shared" si="2"/>
        <v>1.25</v>
      </c>
      <c r="BC89" s="459">
        <v>4.3600000000000003</v>
      </c>
      <c r="BD89" s="704">
        <f t="shared" si="4"/>
        <v>22929.083333333332</v>
      </c>
      <c r="BE89" s="704">
        <f t="shared" si="3"/>
        <v>15440.583333333332</v>
      </c>
      <c r="BF89" s="704">
        <f t="shared" si="3"/>
        <v>19783.25</v>
      </c>
      <c r="BG89" s="704">
        <f t="shared" si="3"/>
        <v>11523</v>
      </c>
      <c r="BH89" s="704">
        <v>7</v>
      </c>
    </row>
    <row r="90" spans="1:60">
      <c r="A90" s="111">
        <v>42277</v>
      </c>
      <c r="B90" s="369">
        <v>2.21</v>
      </c>
      <c r="C90" s="369">
        <v>2.35</v>
      </c>
      <c r="D90" s="369">
        <v>2.5299999999999998</v>
      </c>
      <c r="E90" s="369">
        <v>2.73</v>
      </c>
      <c r="F90" s="369">
        <v>2.93</v>
      </c>
      <c r="G90" s="369">
        <v>3.11</v>
      </c>
      <c r="H90" s="369">
        <v>3.28</v>
      </c>
      <c r="I90" s="369">
        <v>3.42</v>
      </c>
      <c r="J90" s="369">
        <v>3.55</v>
      </c>
      <c r="K90" s="369">
        <v>3.67</v>
      </c>
      <c r="L90" s="369">
        <v>3.78</v>
      </c>
      <c r="M90" s="369">
        <v>3.87</v>
      </c>
      <c r="N90" s="369">
        <v>3.94</v>
      </c>
      <c r="O90" s="369">
        <v>4.01</v>
      </c>
      <c r="P90" s="459">
        <v>4.07</v>
      </c>
      <c r="Q90" s="369">
        <v>4.09</v>
      </c>
      <c r="R90" s="369">
        <v>4.1100000000000003</v>
      </c>
      <c r="S90" s="369">
        <v>4.1399999999999997</v>
      </c>
      <c r="T90" s="369">
        <v>4.1500000000000004</v>
      </c>
      <c r="U90" s="369">
        <v>4.17</v>
      </c>
      <c r="V90" s="369">
        <v>4.16</v>
      </c>
      <c r="W90" s="369">
        <v>4.1500000000000004</v>
      </c>
      <c r="X90" s="369">
        <v>4.1399999999999997</v>
      </c>
      <c r="Y90" s="369">
        <v>4.1399999999999997</v>
      </c>
      <c r="Z90" s="369">
        <v>4.13</v>
      </c>
      <c r="AA90" s="369">
        <v>4.1100000000000003</v>
      </c>
      <c r="AB90" s="369">
        <v>4.09</v>
      </c>
      <c r="AC90" s="369">
        <v>4.08</v>
      </c>
      <c r="AD90" s="369">
        <v>4.0599999999999996</v>
      </c>
      <c r="AE90" s="369">
        <v>4.05</v>
      </c>
      <c r="AF90" s="369">
        <v>4.04</v>
      </c>
      <c r="AG90" s="369">
        <v>4.03</v>
      </c>
      <c r="AH90" s="369">
        <v>4.0199999999999996</v>
      </c>
      <c r="AI90" s="369">
        <v>4.01</v>
      </c>
      <c r="AJ90" s="369">
        <v>4</v>
      </c>
      <c r="AK90" s="369">
        <v>3.99</v>
      </c>
      <c r="AL90" s="369">
        <v>3.98</v>
      </c>
      <c r="AM90" s="369">
        <v>3.97</v>
      </c>
      <c r="AN90" s="369">
        <v>3.97</v>
      </c>
      <c r="AO90" s="369">
        <v>3.96</v>
      </c>
      <c r="AP90" s="369">
        <v>3.96</v>
      </c>
      <c r="AQ90" s="369">
        <v>3.95</v>
      </c>
      <c r="AR90" s="369">
        <v>3.95</v>
      </c>
      <c r="AS90" s="369">
        <v>3.95</v>
      </c>
      <c r="AT90" s="369">
        <v>3.95</v>
      </c>
      <c r="AU90" s="369">
        <v>3.94</v>
      </c>
      <c r="AV90" s="369">
        <v>3.94</v>
      </c>
      <c r="AW90" s="369">
        <v>3.94</v>
      </c>
      <c r="AX90" s="369">
        <v>3.94</v>
      </c>
      <c r="AY90" s="369">
        <v>3.94</v>
      </c>
      <c r="AZ90" s="158">
        <v>1.2500000000000001E-2</v>
      </c>
      <c r="BA90" s="108">
        <f t="shared" si="2"/>
        <v>1.25</v>
      </c>
      <c r="BC90" s="459">
        <v>4.3499999999999996</v>
      </c>
      <c r="BD90" s="704">
        <f t="shared" si="4"/>
        <v>23230.666666666668</v>
      </c>
      <c r="BE90" s="704">
        <f t="shared" si="3"/>
        <v>15835.666666666666</v>
      </c>
      <c r="BF90" s="704">
        <f t="shared" si="3"/>
        <v>20243</v>
      </c>
      <c r="BG90" s="704">
        <f t="shared" si="3"/>
        <v>12042</v>
      </c>
      <c r="BH90" s="704">
        <v>8</v>
      </c>
    </row>
    <row r="91" spans="1:60">
      <c r="A91" s="111">
        <v>42308</v>
      </c>
      <c r="B91" s="369">
        <v>2.14</v>
      </c>
      <c r="C91" s="369">
        <v>2.2799999999999998</v>
      </c>
      <c r="D91" s="369">
        <v>2.46</v>
      </c>
      <c r="E91" s="369">
        <v>2.67</v>
      </c>
      <c r="F91" s="369">
        <v>2.86</v>
      </c>
      <c r="G91" s="369">
        <v>3.05</v>
      </c>
      <c r="H91" s="369">
        <v>3.21</v>
      </c>
      <c r="I91" s="369">
        <v>3.36</v>
      </c>
      <c r="J91" s="369">
        <v>3.49</v>
      </c>
      <c r="K91" s="369">
        <v>3.6</v>
      </c>
      <c r="L91" s="369">
        <v>3.71</v>
      </c>
      <c r="M91" s="369">
        <v>3.8</v>
      </c>
      <c r="N91" s="369">
        <v>3.88</v>
      </c>
      <c r="O91" s="369">
        <v>3.94</v>
      </c>
      <c r="P91" s="459">
        <v>4</v>
      </c>
      <c r="Q91" s="369">
        <v>4.03</v>
      </c>
      <c r="R91" s="369">
        <v>4.05</v>
      </c>
      <c r="S91" s="369">
        <v>4.07</v>
      </c>
      <c r="T91" s="369">
        <v>4.09</v>
      </c>
      <c r="U91" s="369">
        <v>4.1100000000000003</v>
      </c>
      <c r="V91" s="369">
        <v>4.0999999999999996</v>
      </c>
      <c r="W91" s="369">
        <v>4.09</v>
      </c>
      <c r="X91" s="369">
        <v>4.09</v>
      </c>
      <c r="Y91" s="369">
        <v>4.08</v>
      </c>
      <c r="Z91" s="369">
        <v>4.07</v>
      </c>
      <c r="AA91" s="369">
        <v>4.05</v>
      </c>
      <c r="AB91" s="369">
        <v>4.04</v>
      </c>
      <c r="AC91" s="369">
        <v>4.0199999999999996</v>
      </c>
      <c r="AD91" s="369">
        <v>4.01</v>
      </c>
      <c r="AE91" s="369">
        <v>4</v>
      </c>
      <c r="AF91" s="369">
        <v>3.98</v>
      </c>
      <c r="AG91" s="369">
        <v>3.97</v>
      </c>
      <c r="AH91" s="369">
        <v>3.96</v>
      </c>
      <c r="AI91" s="369">
        <v>3.95</v>
      </c>
      <c r="AJ91" s="369">
        <v>3.95</v>
      </c>
      <c r="AK91" s="369">
        <v>3.94</v>
      </c>
      <c r="AL91" s="369">
        <v>3.93</v>
      </c>
      <c r="AM91" s="369">
        <v>3.92</v>
      </c>
      <c r="AN91" s="369">
        <v>3.91</v>
      </c>
      <c r="AO91" s="369">
        <v>3.91</v>
      </c>
      <c r="AP91" s="369">
        <v>3.9</v>
      </c>
      <c r="AQ91" s="369">
        <v>3.9</v>
      </c>
      <c r="AR91" s="369">
        <v>3.9</v>
      </c>
      <c r="AS91" s="369">
        <v>3.9</v>
      </c>
      <c r="AT91" s="369">
        <v>3.9</v>
      </c>
      <c r="AU91" s="369">
        <v>3.89</v>
      </c>
      <c r="AV91" s="369">
        <v>3.89</v>
      </c>
      <c r="AW91" s="369">
        <v>3.89</v>
      </c>
      <c r="AX91" s="369">
        <v>3.89</v>
      </c>
      <c r="AY91" s="369">
        <v>3.89</v>
      </c>
      <c r="AZ91" s="158">
        <v>1.2500000000000001E-2</v>
      </c>
      <c r="BA91" s="108">
        <f t="shared" si="2"/>
        <v>1.25</v>
      </c>
      <c r="BC91" s="459">
        <v>4.33</v>
      </c>
      <c r="BD91" s="704">
        <f t="shared" si="4"/>
        <v>23532.25</v>
      </c>
      <c r="BE91" s="704">
        <f t="shared" si="3"/>
        <v>16230.75</v>
      </c>
      <c r="BF91" s="704">
        <f t="shared" si="3"/>
        <v>20702.75</v>
      </c>
      <c r="BG91" s="704">
        <f t="shared" si="3"/>
        <v>12561</v>
      </c>
      <c r="BH91" s="704">
        <v>9</v>
      </c>
    </row>
    <row r="92" spans="1:60">
      <c r="A92" s="111">
        <v>42338</v>
      </c>
      <c r="B92" s="369">
        <v>2.08</v>
      </c>
      <c r="C92" s="369">
        <v>2.2200000000000002</v>
      </c>
      <c r="D92" s="369">
        <v>2.4</v>
      </c>
      <c r="E92" s="369">
        <v>2.6</v>
      </c>
      <c r="F92" s="369">
        <v>2.8</v>
      </c>
      <c r="G92" s="369">
        <v>2.98</v>
      </c>
      <c r="H92" s="369">
        <v>3.14</v>
      </c>
      <c r="I92" s="369">
        <v>3.29</v>
      </c>
      <c r="J92" s="369">
        <v>3.42</v>
      </c>
      <c r="K92" s="369">
        <v>3.54</v>
      </c>
      <c r="L92" s="369">
        <v>3.65</v>
      </c>
      <c r="M92" s="369">
        <v>3.74</v>
      </c>
      <c r="N92" s="369">
        <v>3.82</v>
      </c>
      <c r="O92" s="369">
        <v>3.88</v>
      </c>
      <c r="P92" s="459">
        <v>3.94</v>
      </c>
      <c r="Q92" s="369">
        <v>3.97</v>
      </c>
      <c r="R92" s="369">
        <v>4</v>
      </c>
      <c r="S92" s="369">
        <v>4.0199999999999996</v>
      </c>
      <c r="T92" s="369">
        <v>4.04</v>
      </c>
      <c r="U92" s="369">
        <v>4.05</v>
      </c>
      <c r="V92" s="369">
        <v>4.05</v>
      </c>
      <c r="W92" s="369">
        <v>4.04</v>
      </c>
      <c r="X92" s="369">
        <v>4.03</v>
      </c>
      <c r="Y92" s="369">
        <v>4.03</v>
      </c>
      <c r="Z92" s="369">
        <v>4.0199999999999996</v>
      </c>
      <c r="AA92" s="369">
        <v>4</v>
      </c>
      <c r="AB92" s="369">
        <v>3.99</v>
      </c>
      <c r="AC92" s="369">
        <v>3.97</v>
      </c>
      <c r="AD92" s="369">
        <v>3.96</v>
      </c>
      <c r="AE92" s="369">
        <v>3.95</v>
      </c>
      <c r="AF92" s="369">
        <v>3.94</v>
      </c>
      <c r="AG92" s="369">
        <v>3.93</v>
      </c>
      <c r="AH92" s="369">
        <v>3.92</v>
      </c>
      <c r="AI92" s="369">
        <v>3.91</v>
      </c>
      <c r="AJ92" s="369">
        <v>3.9</v>
      </c>
      <c r="AK92" s="369">
        <v>3.89</v>
      </c>
      <c r="AL92" s="369">
        <v>3.88</v>
      </c>
      <c r="AM92" s="369">
        <v>3.88</v>
      </c>
      <c r="AN92" s="369">
        <v>3.87</v>
      </c>
      <c r="AO92" s="369">
        <v>3.86</v>
      </c>
      <c r="AP92" s="369">
        <v>3.86</v>
      </c>
      <c r="AQ92" s="369">
        <v>3.86</v>
      </c>
      <c r="AR92" s="369">
        <v>3.86</v>
      </c>
      <c r="AS92" s="369">
        <v>3.85</v>
      </c>
      <c r="AT92" s="369">
        <v>3.85</v>
      </c>
      <c r="AU92" s="369">
        <v>3.85</v>
      </c>
      <c r="AV92" s="369">
        <v>3.85</v>
      </c>
      <c r="AW92" s="369">
        <v>3.85</v>
      </c>
      <c r="AX92" s="369">
        <v>3.84</v>
      </c>
      <c r="AY92" s="369">
        <v>3.84</v>
      </c>
      <c r="AZ92" s="158">
        <v>1.2500000000000001E-2</v>
      </c>
      <c r="BA92" s="108">
        <f t="shared" si="2"/>
        <v>1.25</v>
      </c>
      <c r="BC92" s="459">
        <v>4.32</v>
      </c>
      <c r="BD92" s="704">
        <f t="shared" si="4"/>
        <v>23833.833333333332</v>
      </c>
      <c r="BE92" s="704">
        <f t="shared" si="3"/>
        <v>16625.833333333332</v>
      </c>
      <c r="BF92" s="704">
        <f t="shared" si="3"/>
        <v>21162.5</v>
      </c>
      <c r="BG92" s="704">
        <f t="shared" si="3"/>
        <v>13080</v>
      </c>
      <c r="BH92" s="704">
        <v>10</v>
      </c>
    </row>
    <row r="93" spans="1:60">
      <c r="A93" s="111">
        <v>42369</v>
      </c>
      <c r="B93" s="369">
        <v>2.02</v>
      </c>
      <c r="C93" s="369">
        <v>2.16</v>
      </c>
      <c r="D93" s="369">
        <v>2.34</v>
      </c>
      <c r="E93" s="369">
        <v>2.54</v>
      </c>
      <c r="F93" s="369">
        <v>2.74</v>
      </c>
      <c r="G93" s="369">
        <v>2.92</v>
      </c>
      <c r="H93" s="369">
        <v>3.09</v>
      </c>
      <c r="I93" s="369">
        <v>3.23</v>
      </c>
      <c r="J93" s="369">
        <v>3.36</v>
      </c>
      <c r="K93" s="369">
        <v>3.48</v>
      </c>
      <c r="L93" s="369">
        <v>3.59</v>
      </c>
      <c r="M93" s="369">
        <v>3.68</v>
      </c>
      <c r="N93" s="369">
        <v>3.76</v>
      </c>
      <c r="O93" s="369">
        <v>3.83</v>
      </c>
      <c r="P93" s="459">
        <v>3.89</v>
      </c>
      <c r="Q93" s="369">
        <v>3.92</v>
      </c>
      <c r="R93" s="369">
        <v>3.94</v>
      </c>
      <c r="S93" s="369">
        <v>3.96</v>
      </c>
      <c r="T93" s="369">
        <v>3.98</v>
      </c>
      <c r="U93" s="369">
        <v>4</v>
      </c>
      <c r="V93" s="369">
        <v>4</v>
      </c>
      <c r="W93" s="369">
        <v>3.99</v>
      </c>
      <c r="X93" s="369">
        <v>3.98</v>
      </c>
      <c r="Y93" s="369">
        <v>3.98</v>
      </c>
      <c r="Z93" s="369">
        <v>3.97</v>
      </c>
      <c r="AA93" s="369">
        <v>3.96</v>
      </c>
      <c r="AB93" s="369">
        <v>3.94</v>
      </c>
      <c r="AC93" s="369">
        <v>3.93</v>
      </c>
      <c r="AD93" s="369">
        <v>3.91</v>
      </c>
      <c r="AE93" s="369">
        <v>3.9</v>
      </c>
      <c r="AF93" s="369">
        <v>3.89</v>
      </c>
      <c r="AG93" s="369">
        <v>3.88</v>
      </c>
      <c r="AH93" s="369">
        <v>3.87</v>
      </c>
      <c r="AI93" s="369">
        <v>3.86</v>
      </c>
      <c r="AJ93" s="369">
        <v>3.86</v>
      </c>
      <c r="AK93" s="369">
        <v>3.85</v>
      </c>
      <c r="AL93" s="369">
        <v>3.84</v>
      </c>
      <c r="AM93" s="369">
        <v>3.83</v>
      </c>
      <c r="AN93" s="369">
        <v>3.83</v>
      </c>
      <c r="AO93" s="369">
        <v>3.82</v>
      </c>
      <c r="AP93" s="369">
        <v>3.82</v>
      </c>
      <c r="AQ93" s="369">
        <v>3.82</v>
      </c>
      <c r="AR93" s="369">
        <v>3.81</v>
      </c>
      <c r="AS93" s="369">
        <v>3.81</v>
      </c>
      <c r="AT93" s="369">
        <v>3.81</v>
      </c>
      <c r="AU93" s="369">
        <v>3.81</v>
      </c>
      <c r="AV93" s="369">
        <v>3.81</v>
      </c>
      <c r="AW93" s="369">
        <v>3.8</v>
      </c>
      <c r="AX93" s="369">
        <v>3.8</v>
      </c>
      <c r="AY93" s="369">
        <v>3.8</v>
      </c>
      <c r="AZ93" s="158">
        <v>1.2500000000000001E-2</v>
      </c>
      <c r="BA93" s="108">
        <f t="shared" si="2"/>
        <v>1.25</v>
      </c>
      <c r="BC93" s="459">
        <v>4.3099999999999996</v>
      </c>
      <c r="BD93" s="704">
        <f t="shared" si="4"/>
        <v>24135.416666666668</v>
      </c>
      <c r="BE93" s="704">
        <f t="shared" si="3"/>
        <v>17020.916666666664</v>
      </c>
      <c r="BF93" s="704">
        <f t="shared" si="3"/>
        <v>21622.25</v>
      </c>
      <c r="BG93" s="704">
        <f t="shared" si="3"/>
        <v>13599</v>
      </c>
      <c r="BH93" s="704">
        <v>11</v>
      </c>
    </row>
    <row r="94" spans="1:60">
      <c r="A94" s="111">
        <v>42400</v>
      </c>
      <c r="B94" s="369">
        <v>1.97</v>
      </c>
      <c r="C94" s="369">
        <v>2.11</v>
      </c>
      <c r="D94" s="369">
        <v>2.29</v>
      </c>
      <c r="E94" s="369">
        <v>2.48</v>
      </c>
      <c r="F94" s="369">
        <v>2.68</v>
      </c>
      <c r="G94" s="369">
        <v>2.86</v>
      </c>
      <c r="H94" s="369">
        <v>3.03</v>
      </c>
      <c r="I94" s="369">
        <v>3.17</v>
      </c>
      <c r="J94" s="369">
        <v>3.3</v>
      </c>
      <c r="K94" s="369">
        <v>3.42</v>
      </c>
      <c r="L94" s="369">
        <v>3.53</v>
      </c>
      <c r="M94" s="369">
        <v>3.62</v>
      </c>
      <c r="N94" s="369">
        <v>3.7</v>
      </c>
      <c r="O94" s="369">
        <v>3.77</v>
      </c>
      <c r="P94" s="459">
        <v>3.83</v>
      </c>
      <c r="Q94" s="369">
        <v>3.86</v>
      </c>
      <c r="R94" s="369">
        <v>3.88</v>
      </c>
      <c r="S94" s="369">
        <v>3.91</v>
      </c>
      <c r="T94" s="369">
        <v>3.93</v>
      </c>
      <c r="U94" s="369">
        <v>3.95</v>
      </c>
      <c r="V94" s="369">
        <v>3.94</v>
      </c>
      <c r="W94" s="369">
        <v>3.93</v>
      </c>
      <c r="X94" s="369">
        <v>3.93</v>
      </c>
      <c r="Y94" s="369">
        <v>3.92</v>
      </c>
      <c r="Z94" s="369">
        <v>3.92</v>
      </c>
      <c r="AA94" s="369">
        <v>3.9</v>
      </c>
      <c r="AB94" s="369">
        <v>3.89</v>
      </c>
      <c r="AC94" s="369">
        <v>3.88</v>
      </c>
      <c r="AD94" s="369">
        <v>3.86</v>
      </c>
      <c r="AE94" s="369">
        <v>3.85</v>
      </c>
      <c r="AF94" s="369">
        <v>3.84</v>
      </c>
      <c r="AG94" s="369">
        <v>3.83</v>
      </c>
      <c r="AH94" s="369">
        <v>3.82</v>
      </c>
      <c r="AI94" s="369">
        <v>3.81</v>
      </c>
      <c r="AJ94" s="369">
        <v>3.81</v>
      </c>
      <c r="AK94" s="369">
        <v>3.8</v>
      </c>
      <c r="AL94" s="369">
        <v>3.79</v>
      </c>
      <c r="AM94" s="369">
        <v>3.79</v>
      </c>
      <c r="AN94" s="369">
        <v>3.78</v>
      </c>
      <c r="AO94" s="369">
        <v>3.77</v>
      </c>
      <c r="AP94" s="369">
        <v>3.77</v>
      </c>
      <c r="AQ94" s="369">
        <v>3.77</v>
      </c>
      <c r="AR94" s="369">
        <v>3.77</v>
      </c>
      <c r="AS94" s="369">
        <v>3.77</v>
      </c>
      <c r="AT94" s="369">
        <v>3.76</v>
      </c>
      <c r="AU94" s="369">
        <v>3.76</v>
      </c>
      <c r="AV94" s="369">
        <v>3.76</v>
      </c>
      <c r="AW94" s="369">
        <v>3.76</v>
      </c>
      <c r="AX94" s="369">
        <v>3.76</v>
      </c>
      <c r="AY94" s="369">
        <v>3.76</v>
      </c>
      <c r="AZ94" s="158">
        <v>1.2500000000000001E-2</v>
      </c>
      <c r="BA94" s="108">
        <f t="shared" si="2"/>
        <v>1.25</v>
      </c>
      <c r="BC94" s="459">
        <v>4.29</v>
      </c>
      <c r="BD94" s="705">
        <v>24437</v>
      </c>
      <c r="BE94" s="705">
        <v>17416</v>
      </c>
      <c r="BF94" s="705">
        <v>22082</v>
      </c>
      <c r="BG94" s="705">
        <v>14118</v>
      </c>
    </row>
    <row r="95" spans="1:60">
      <c r="A95" s="111">
        <v>42429</v>
      </c>
      <c r="B95" s="369">
        <v>1.92</v>
      </c>
      <c r="C95" s="369">
        <v>2.0499999999999998</v>
      </c>
      <c r="D95" s="369">
        <v>2.23</v>
      </c>
      <c r="E95" s="369">
        <v>2.4300000000000002</v>
      </c>
      <c r="F95" s="369">
        <v>2.62</v>
      </c>
      <c r="G95" s="369">
        <v>2.8</v>
      </c>
      <c r="H95" s="369">
        <v>2.96</v>
      </c>
      <c r="I95" s="369">
        <v>3.11</v>
      </c>
      <c r="J95" s="369">
        <v>3.24</v>
      </c>
      <c r="K95" s="369">
        <v>3.36</v>
      </c>
      <c r="L95" s="369">
        <v>3.47</v>
      </c>
      <c r="M95" s="369">
        <v>3.56</v>
      </c>
      <c r="N95" s="369">
        <v>3.64</v>
      </c>
      <c r="O95" s="369">
        <v>3.71</v>
      </c>
      <c r="P95" s="459">
        <v>3.76</v>
      </c>
      <c r="Q95" s="369">
        <v>3.79</v>
      </c>
      <c r="R95" s="369">
        <v>3.82</v>
      </c>
      <c r="S95" s="369">
        <v>3.84</v>
      </c>
      <c r="T95" s="369">
        <v>3.87</v>
      </c>
      <c r="U95" s="369">
        <v>3.88</v>
      </c>
      <c r="V95" s="369">
        <v>3.88</v>
      </c>
      <c r="W95" s="369">
        <v>3.87</v>
      </c>
      <c r="X95" s="369">
        <v>3.87</v>
      </c>
      <c r="Y95" s="369">
        <v>3.87</v>
      </c>
      <c r="Z95" s="369">
        <v>3.86</v>
      </c>
      <c r="AA95" s="369">
        <v>3.85</v>
      </c>
      <c r="AB95" s="369">
        <v>3.83</v>
      </c>
      <c r="AC95" s="369">
        <v>3.82</v>
      </c>
      <c r="AD95" s="369">
        <v>3.81</v>
      </c>
      <c r="AE95" s="369">
        <v>3.8</v>
      </c>
      <c r="AF95" s="369">
        <v>3.79</v>
      </c>
      <c r="AG95" s="369">
        <v>3.78</v>
      </c>
      <c r="AH95" s="369">
        <v>3.77</v>
      </c>
      <c r="AI95" s="369">
        <v>3.76</v>
      </c>
      <c r="AJ95" s="369">
        <v>3.76</v>
      </c>
      <c r="AK95" s="369">
        <v>3.75</v>
      </c>
      <c r="AL95" s="369">
        <v>3.74</v>
      </c>
      <c r="AM95" s="369">
        <v>3.74</v>
      </c>
      <c r="AN95" s="369">
        <v>3.73</v>
      </c>
      <c r="AO95" s="369">
        <v>3.73</v>
      </c>
      <c r="AP95" s="369">
        <v>3.72</v>
      </c>
      <c r="AQ95" s="369">
        <v>3.72</v>
      </c>
      <c r="AR95" s="369">
        <v>3.72</v>
      </c>
      <c r="AS95" s="369">
        <v>3.72</v>
      </c>
      <c r="AT95" s="369">
        <v>3.72</v>
      </c>
      <c r="AU95" s="369">
        <v>3.71</v>
      </c>
      <c r="AV95" s="369">
        <v>3.71</v>
      </c>
      <c r="AW95" s="369">
        <v>3.71</v>
      </c>
      <c r="AX95" s="369">
        <v>3.71</v>
      </c>
      <c r="AY95" s="369">
        <v>3.71</v>
      </c>
      <c r="AZ95" s="158">
        <v>1.2500000000000001E-2</v>
      </c>
      <c r="BA95" s="108">
        <f t="shared" si="2"/>
        <v>1.25</v>
      </c>
      <c r="BC95" s="459">
        <v>4.2699999999999996</v>
      </c>
      <c r="BD95" s="704">
        <f>BD$94+(BD$106-BD$94)/12*$BH95</f>
        <v>24802.916666666668</v>
      </c>
      <c r="BE95" s="704">
        <f>BE$94+(BE$106-BE$94)/12*$BH95</f>
        <v>18048.833333333332</v>
      </c>
      <c r="BF95" s="704">
        <f>BF$94+(BF$106-BF$94)/12*$BH95</f>
        <v>22231.833333333332</v>
      </c>
      <c r="BG95" s="704">
        <f>BG$94+(BG$106-BG$94)/12*$BH95</f>
        <v>14352.75</v>
      </c>
      <c r="BH95" s="704">
        <v>1</v>
      </c>
    </row>
    <row r="96" spans="1:60">
      <c r="A96" s="111">
        <v>42460</v>
      </c>
      <c r="B96" s="369">
        <v>1.87</v>
      </c>
      <c r="C96" s="369">
        <v>2</v>
      </c>
      <c r="D96" s="369">
        <v>2.17</v>
      </c>
      <c r="E96" s="369">
        <v>2.37</v>
      </c>
      <c r="F96" s="369">
        <v>2.56</v>
      </c>
      <c r="G96" s="369">
        <v>2.74</v>
      </c>
      <c r="H96" s="369">
        <v>2.9</v>
      </c>
      <c r="I96" s="369">
        <v>3.05</v>
      </c>
      <c r="J96" s="369">
        <v>3.18</v>
      </c>
      <c r="K96" s="369">
        <v>3.29</v>
      </c>
      <c r="L96" s="369">
        <v>3.4</v>
      </c>
      <c r="M96" s="369">
        <v>3.49</v>
      </c>
      <c r="N96" s="369">
        <v>3.57</v>
      </c>
      <c r="O96" s="369">
        <v>3.64</v>
      </c>
      <c r="P96" s="459">
        <v>3.7</v>
      </c>
      <c r="Q96" s="369">
        <v>3.73</v>
      </c>
      <c r="R96" s="369">
        <v>3.75</v>
      </c>
      <c r="S96" s="369">
        <v>3.78</v>
      </c>
      <c r="T96" s="369">
        <v>3.8</v>
      </c>
      <c r="U96" s="369">
        <v>3.82</v>
      </c>
      <c r="V96" s="369">
        <v>3.81</v>
      </c>
      <c r="W96" s="369">
        <v>3.81</v>
      </c>
      <c r="X96" s="369">
        <v>3.81</v>
      </c>
      <c r="Y96" s="369">
        <v>3.8</v>
      </c>
      <c r="Z96" s="369">
        <v>3.8</v>
      </c>
      <c r="AA96" s="369">
        <v>3.78</v>
      </c>
      <c r="AB96" s="369">
        <v>3.77</v>
      </c>
      <c r="AC96" s="369">
        <v>3.76</v>
      </c>
      <c r="AD96" s="369">
        <v>3.75</v>
      </c>
      <c r="AE96" s="369">
        <v>3.74</v>
      </c>
      <c r="AF96" s="369">
        <v>3.73</v>
      </c>
      <c r="AG96" s="369">
        <v>3.72</v>
      </c>
      <c r="AH96" s="369">
        <v>3.71</v>
      </c>
      <c r="AI96" s="369">
        <v>3.7</v>
      </c>
      <c r="AJ96" s="369">
        <v>3.7</v>
      </c>
      <c r="AK96" s="369">
        <v>3.69</v>
      </c>
      <c r="AL96" s="369">
        <v>3.68</v>
      </c>
      <c r="AM96" s="369">
        <v>3.68</v>
      </c>
      <c r="AN96" s="369">
        <v>3.67</v>
      </c>
      <c r="AO96" s="369">
        <v>3.67</v>
      </c>
      <c r="AP96" s="369">
        <v>3.66</v>
      </c>
      <c r="AQ96" s="369">
        <v>3.66</v>
      </c>
      <c r="AR96" s="369">
        <v>3.66</v>
      </c>
      <c r="AS96" s="369">
        <v>3.66</v>
      </c>
      <c r="AT96" s="369">
        <v>3.66</v>
      </c>
      <c r="AU96" s="369">
        <v>3.66</v>
      </c>
      <c r="AV96" s="369">
        <v>3.65</v>
      </c>
      <c r="AW96" s="369">
        <v>3.65</v>
      </c>
      <c r="AX96" s="369">
        <v>3.65</v>
      </c>
      <c r="AY96" s="369">
        <v>3.65</v>
      </c>
      <c r="AZ96" s="158">
        <v>1.2500000000000001E-2</v>
      </c>
      <c r="BA96" s="108">
        <f t="shared" si="2"/>
        <v>1.25</v>
      </c>
      <c r="BC96" s="459">
        <v>4.24</v>
      </c>
      <c r="BD96" s="704">
        <f t="shared" ref="BD96:BG105" si="5">BD$94+(BD$106-BD$94)/12*$BH96</f>
        <v>25168.833333333332</v>
      </c>
      <c r="BE96" s="704">
        <f t="shared" si="5"/>
        <v>18681.666666666668</v>
      </c>
      <c r="BF96" s="704">
        <f t="shared" si="5"/>
        <v>22381.666666666668</v>
      </c>
      <c r="BG96" s="704">
        <f t="shared" si="5"/>
        <v>14587.5</v>
      </c>
      <c r="BH96" s="704">
        <v>2</v>
      </c>
    </row>
    <row r="97" spans="1:60">
      <c r="A97" s="111">
        <v>42490</v>
      </c>
      <c r="B97" s="369">
        <v>1.82</v>
      </c>
      <c r="C97" s="369">
        <v>1.95</v>
      </c>
      <c r="D97" s="369">
        <v>2.12</v>
      </c>
      <c r="E97" s="369">
        <v>2.31</v>
      </c>
      <c r="F97" s="369">
        <v>2.5</v>
      </c>
      <c r="G97" s="369">
        <v>2.68</v>
      </c>
      <c r="H97" s="369">
        <v>2.84</v>
      </c>
      <c r="I97" s="369">
        <v>2.99</v>
      </c>
      <c r="J97" s="369">
        <v>3.12</v>
      </c>
      <c r="K97" s="369">
        <v>3.24</v>
      </c>
      <c r="L97" s="369">
        <v>3.34</v>
      </c>
      <c r="M97" s="369">
        <v>3.44</v>
      </c>
      <c r="N97" s="369">
        <v>3.51</v>
      </c>
      <c r="O97" s="369">
        <v>3.58</v>
      </c>
      <c r="P97" s="459">
        <v>3.64</v>
      </c>
      <c r="Q97" s="369">
        <v>3.67</v>
      </c>
      <c r="R97" s="369">
        <v>3.7</v>
      </c>
      <c r="S97" s="369">
        <v>3.72</v>
      </c>
      <c r="T97" s="369">
        <v>3.74</v>
      </c>
      <c r="U97" s="369">
        <v>3.76</v>
      </c>
      <c r="V97" s="369">
        <v>3.76</v>
      </c>
      <c r="W97" s="369">
        <v>3.75</v>
      </c>
      <c r="X97" s="369">
        <v>3.75</v>
      </c>
      <c r="Y97" s="369">
        <v>3.75</v>
      </c>
      <c r="Z97" s="369">
        <v>3.74</v>
      </c>
      <c r="AA97" s="369">
        <v>3.73</v>
      </c>
      <c r="AB97" s="369">
        <v>3.72</v>
      </c>
      <c r="AC97" s="369">
        <v>3.7</v>
      </c>
      <c r="AD97" s="369">
        <v>3.69</v>
      </c>
      <c r="AE97" s="369">
        <v>3.68</v>
      </c>
      <c r="AF97" s="369">
        <v>3.67</v>
      </c>
      <c r="AG97" s="369">
        <v>3.66</v>
      </c>
      <c r="AH97" s="369">
        <v>3.66</v>
      </c>
      <c r="AI97" s="369">
        <v>3.65</v>
      </c>
      <c r="AJ97" s="369">
        <v>3.64</v>
      </c>
      <c r="AK97" s="369">
        <v>3.64</v>
      </c>
      <c r="AL97" s="369">
        <v>3.63</v>
      </c>
      <c r="AM97" s="369">
        <v>3.63</v>
      </c>
      <c r="AN97" s="369">
        <v>3.62</v>
      </c>
      <c r="AO97" s="369">
        <v>3.61</v>
      </c>
      <c r="AP97" s="369">
        <v>3.61</v>
      </c>
      <c r="AQ97" s="369">
        <v>3.61</v>
      </c>
      <c r="AR97" s="369">
        <v>3.61</v>
      </c>
      <c r="AS97" s="369">
        <v>3.61</v>
      </c>
      <c r="AT97" s="369">
        <v>3.61</v>
      </c>
      <c r="AU97" s="369">
        <v>3.6</v>
      </c>
      <c r="AV97" s="369">
        <v>3.6</v>
      </c>
      <c r="AW97" s="369">
        <v>3.6</v>
      </c>
      <c r="AX97" s="369">
        <v>3.6</v>
      </c>
      <c r="AY97" s="369">
        <v>3.6</v>
      </c>
      <c r="AZ97" s="158">
        <v>1.2500000000000001E-2</v>
      </c>
      <c r="BA97" s="108">
        <f t="shared" si="2"/>
        <v>1.25</v>
      </c>
      <c r="BC97" s="459">
        <v>4.22</v>
      </c>
      <c r="BD97" s="704">
        <f t="shared" si="5"/>
        <v>25534.75</v>
      </c>
      <c r="BE97" s="704">
        <f t="shared" si="5"/>
        <v>19314.5</v>
      </c>
      <c r="BF97" s="704">
        <f t="shared" si="5"/>
        <v>22531.5</v>
      </c>
      <c r="BG97" s="704">
        <f t="shared" si="5"/>
        <v>14822.25</v>
      </c>
      <c r="BH97" s="704">
        <v>3</v>
      </c>
    </row>
    <row r="98" spans="1:60">
      <c r="A98" s="111">
        <v>42521</v>
      </c>
      <c r="B98" s="369">
        <v>1.78</v>
      </c>
      <c r="C98" s="369">
        <v>1.91</v>
      </c>
      <c r="D98" s="369">
        <v>2.0699999999999998</v>
      </c>
      <c r="E98" s="369">
        <v>2.2599999999999998</v>
      </c>
      <c r="F98" s="369">
        <v>2.4500000000000002</v>
      </c>
      <c r="G98" s="369">
        <v>2.63</v>
      </c>
      <c r="H98" s="369">
        <v>2.78</v>
      </c>
      <c r="I98" s="369">
        <v>2.93</v>
      </c>
      <c r="J98" s="369">
        <v>3.06</v>
      </c>
      <c r="K98" s="369">
        <v>3.18</v>
      </c>
      <c r="L98" s="369">
        <v>3.29</v>
      </c>
      <c r="M98" s="369">
        <v>3.38</v>
      </c>
      <c r="N98" s="369">
        <v>3.46</v>
      </c>
      <c r="O98" s="369">
        <v>3.52</v>
      </c>
      <c r="P98" s="459">
        <v>3.58</v>
      </c>
      <c r="Q98" s="369">
        <v>3.61</v>
      </c>
      <c r="R98" s="369">
        <v>3.64</v>
      </c>
      <c r="S98" s="369">
        <v>3.66</v>
      </c>
      <c r="T98" s="369">
        <v>3.68</v>
      </c>
      <c r="U98" s="369">
        <v>3.7</v>
      </c>
      <c r="V98" s="369">
        <v>3.7</v>
      </c>
      <c r="W98" s="369">
        <v>3.7</v>
      </c>
      <c r="X98" s="369">
        <v>3.69</v>
      </c>
      <c r="Y98" s="369">
        <v>3.69</v>
      </c>
      <c r="Z98" s="369">
        <v>3.69</v>
      </c>
      <c r="AA98" s="369">
        <v>3.67</v>
      </c>
      <c r="AB98" s="369">
        <v>3.66</v>
      </c>
      <c r="AC98" s="369">
        <v>3.65</v>
      </c>
      <c r="AD98" s="369">
        <v>3.64</v>
      </c>
      <c r="AE98" s="369">
        <v>3.63</v>
      </c>
      <c r="AF98" s="369">
        <v>3.62</v>
      </c>
      <c r="AG98" s="369">
        <v>3.61</v>
      </c>
      <c r="AH98" s="369">
        <v>3.61</v>
      </c>
      <c r="AI98" s="369">
        <v>3.6</v>
      </c>
      <c r="AJ98" s="369">
        <v>3.59</v>
      </c>
      <c r="AK98" s="369">
        <v>3.59</v>
      </c>
      <c r="AL98" s="369">
        <v>3.58</v>
      </c>
      <c r="AM98" s="369">
        <v>3.58</v>
      </c>
      <c r="AN98" s="369">
        <v>3.57</v>
      </c>
      <c r="AO98" s="369">
        <v>3.57</v>
      </c>
      <c r="AP98" s="369">
        <v>3.56</v>
      </c>
      <c r="AQ98" s="369">
        <v>3.56</v>
      </c>
      <c r="AR98" s="369">
        <v>3.56</v>
      </c>
      <c r="AS98" s="369">
        <v>3.56</v>
      </c>
      <c r="AT98" s="369">
        <v>3.56</v>
      </c>
      <c r="AU98" s="369">
        <v>3.56</v>
      </c>
      <c r="AV98" s="369">
        <v>3.55</v>
      </c>
      <c r="AW98" s="369">
        <v>3.55</v>
      </c>
      <c r="AX98" s="369">
        <v>3.55</v>
      </c>
      <c r="AY98" s="369">
        <v>3.55</v>
      </c>
      <c r="AZ98" s="158">
        <v>1.2500000000000001E-2</v>
      </c>
      <c r="BA98" s="108">
        <f t="shared" si="2"/>
        <v>1.25</v>
      </c>
      <c r="BC98" s="459">
        <v>4.2</v>
      </c>
      <c r="BD98" s="704">
        <f t="shared" si="5"/>
        <v>25900.666666666668</v>
      </c>
      <c r="BE98" s="704">
        <f t="shared" si="5"/>
        <v>19947.333333333332</v>
      </c>
      <c r="BF98" s="704">
        <f t="shared" si="5"/>
        <v>22681.333333333332</v>
      </c>
      <c r="BG98" s="704">
        <f t="shared" si="5"/>
        <v>15057</v>
      </c>
      <c r="BH98" s="704">
        <v>4</v>
      </c>
    </row>
    <row r="99" spans="1:60">
      <c r="A99" s="111">
        <v>42551</v>
      </c>
      <c r="B99" s="369">
        <v>1.75</v>
      </c>
      <c r="C99" s="369">
        <v>1.87</v>
      </c>
      <c r="D99" s="369">
        <v>2.0299999999999998</v>
      </c>
      <c r="E99" s="369">
        <v>2.21</v>
      </c>
      <c r="F99" s="369">
        <v>2.39</v>
      </c>
      <c r="G99" s="369">
        <v>2.57</v>
      </c>
      <c r="H99" s="369">
        <v>2.73</v>
      </c>
      <c r="I99" s="369">
        <v>2.88</v>
      </c>
      <c r="J99" s="369">
        <v>3.01</v>
      </c>
      <c r="K99" s="369">
        <v>3.12</v>
      </c>
      <c r="L99" s="369">
        <v>3.23</v>
      </c>
      <c r="M99" s="369">
        <v>3.32</v>
      </c>
      <c r="N99" s="369">
        <v>3.4</v>
      </c>
      <c r="O99" s="369">
        <v>3.47</v>
      </c>
      <c r="P99" s="459">
        <v>3.52</v>
      </c>
      <c r="Q99" s="369">
        <v>3.56</v>
      </c>
      <c r="R99" s="369">
        <v>3.58</v>
      </c>
      <c r="S99" s="369">
        <v>3.61</v>
      </c>
      <c r="T99" s="369">
        <v>3.63</v>
      </c>
      <c r="U99" s="369">
        <v>3.65</v>
      </c>
      <c r="V99" s="369">
        <v>3.64</v>
      </c>
      <c r="W99" s="369">
        <v>3.64</v>
      </c>
      <c r="X99" s="369">
        <v>3.64</v>
      </c>
      <c r="Y99" s="369">
        <v>3.63</v>
      </c>
      <c r="Z99" s="369">
        <v>3.63</v>
      </c>
      <c r="AA99" s="369">
        <v>3.62</v>
      </c>
      <c r="AB99" s="369">
        <v>3.61</v>
      </c>
      <c r="AC99" s="369">
        <v>3.6</v>
      </c>
      <c r="AD99" s="369">
        <v>3.58</v>
      </c>
      <c r="AE99" s="369">
        <v>3.57</v>
      </c>
      <c r="AF99" s="369">
        <v>3.57</v>
      </c>
      <c r="AG99" s="369">
        <v>3.56</v>
      </c>
      <c r="AH99" s="369">
        <v>3.55</v>
      </c>
      <c r="AI99" s="369">
        <v>3.55</v>
      </c>
      <c r="AJ99" s="369">
        <v>3.54</v>
      </c>
      <c r="AK99" s="369">
        <v>3.54</v>
      </c>
      <c r="AL99" s="369">
        <v>3.53</v>
      </c>
      <c r="AM99" s="369">
        <v>3.52</v>
      </c>
      <c r="AN99" s="369">
        <v>3.52</v>
      </c>
      <c r="AO99" s="369">
        <v>3.52</v>
      </c>
      <c r="AP99" s="369">
        <v>3.51</v>
      </c>
      <c r="AQ99" s="369">
        <v>3.51</v>
      </c>
      <c r="AR99" s="369">
        <v>3.51</v>
      </c>
      <c r="AS99" s="369">
        <v>3.51</v>
      </c>
      <c r="AT99" s="369">
        <v>3.51</v>
      </c>
      <c r="AU99" s="369">
        <v>3.51</v>
      </c>
      <c r="AV99" s="369">
        <v>3.5</v>
      </c>
      <c r="AW99" s="369">
        <v>3.5</v>
      </c>
      <c r="AX99" s="369">
        <v>3.5</v>
      </c>
      <c r="AY99" s="369">
        <v>3.5</v>
      </c>
      <c r="AZ99" s="158">
        <v>1.2500000000000001E-2</v>
      </c>
      <c r="BA99" s="108">
        <f t="shared" si="2"/>
        <v>1.25</v>
      </c>
      <c r="BC99" s="459">
        <v>4.17</v>
      </c>
      <c r="BD99" s="704">
        <f t="shared" si="5"/>
        <v>26266.583333333332</v>
      </c>
      <c r="BE99" s="704">
        <f t="shared" si="5"/>
        <v>20580.166666666668</v>
      </c>
      <c r="BF99" s="704">
        <f t="shared" si="5"/>
        <v>22831.166666666668</v>
      </c>
      <c r="BG99" s="704">
        <f t="shared" si="5"/>
        <v>15291.75</v>
      </c>
      <c r="BH99" s="704">
        <v>5</v>
      </c>
    </row>
    <row r="100" spans="1:60">
      <c r="A100" s="111">
        <v>42582</v>
      </c>
      <c r="B100" s="369">
        <v>1.72</v>
      </c>
      <c r="C100" s="369">
        <v>1.84</v>
      </c>
      <c r="D100" s="369">
        <v>1.99</v>
      </c>
      <c r="E100" s="369">
        <v>2.17</v>
      </c>
      <c r="F100" s="369">
        <v>2.35</v>
      </c>
      <c r="G100" s="369">
        <v>2.52</v>
      </c>
      <c r="H100" s="369">
        <v>2.68</v>
      </c>
      <c r="I100" s="369">
        <v>2.82</v>
      </c>
      <c r="J100" s="369">
        <v>2.95</v>
      </c>
      <c r="K100" s="369">
        <v>3.07</v>
      </c>
      <c r="L100" s="369">
        <v>3.18</v>
      </c>
      <c r="M100" s="369">
        <v>3.27</v>
      </c>
      <c r="N100" s="369">
        <v>3.35</v>
      </c>
      <c r="O100" s="369">
        <v>3.41</v>
      </c>
      <c r="P100" s="459">
        <v>3.47</v>
      </c>
      <c r="Q100" s="369">
        <v>3.5</v>
      </c>
      <c r="R100" s="369">
        <v>3.53</v>
      </c>
      <c r="S100" s="369">
        <v>3.55</v>
      </c>
      <c r="T100" s="369">
        <v>3.57</v>
      </c>
      <c r="U100" s="369">
        <v>3.59</v>
      </c>
      <c r="V100" s="369">
        <v>3.59</v>
      </c>
      <c r="W100" s="369">
        <v>3.59</v>
      </c>
      <c r="X100" s="369">
        <v>3.58</v>
      </c>
      <c r="Y100" s="369">
        <v>3.58</v>
      </c>
      <c r="Z100" s="369">
        <v>3.58</v>
      </c>
      <c r="AA100" s="369">
        <v>3.57</v>
      </c>
      <c r="AB100" s="369">
        <v>3.55</v>
      </c>
      <c r="AC100" s="369">
        <v>3.54</v>
      </c>
      <c r="AD100" s="369">
        <v>3.53</v>
      </c>
      <c r="AE100" s="369">
        <v>3.52</v>
      </c>
      <c r="AF100" s="369">
        <v>3.52</v>
      </c>
      <c r="AG100" s="369">
        <v>3.51</v>
      </c>
      <c r="AH100" s="369">
        <v>3.5</v>
      </c>
      <c r="AI100" s="369">
        <v>3.5</v>
      </c>
      <c r="AJ100" s="369">
        <v>3.49</v>
      </c>
      <c r="AK100" s="369">
        <v>3.49</v>
      </c>
      <c r="AL100" s="369">
        <v>3.48</v>
      </c>
      <c r="AM100" s="369">
        <v>3.48</v>
      </c>
      <c r="AN100" s="369">
        <v>3.47</v>
      </c>
      <c r="AO100" s="369">
        <v>3.47</v>
      </c>
      <c r="AP100" s="369">
        <v>3.47</v>
      </c>
      <c r="AQ100" s="369">
        <v>3.46</v>
      </c>
      <c r="AR100" s="369">
        <v>3.46</v>
      </c>
      <c r="AS100" s="369">
        <v>3.46</v>
      </c>
      <c r="AT100" s="369">
        <v>3.46</v>
      </c>
      <c r="AU100" s="369">
        <v>3.46</v>
      </c>
      <c r="AV100" s="369">
        <v>3.46</v>
      </c>
      <c r="AW100" s="369">
        <v>3.46</v>
      </c>
      <c r="AX100" s="369">
        <v>3.46</v>
      </c>
      <c r="AY100" s="369">
        <v>3.45</v>
      </c>
      <c r="AZ100" s="158">
        <v>1.2500000000000001E-2</v>
      </c>
      <c r="BA100" s="108">
        <f t="shared" si="2"/>
        <v>1.25</v>
      </c>
      <c r="BC100" s="459">
        <v>4.1399999999999997</v>
      </c>
      <c r="BD100" s="704">
        <f t="shared" si="5"/>
        <v>26632.5</v>
      </c>
      <c r="BE100" s="704">
        <f t="shared" si="5"/>
        <v>21213</v>
      </c>
      <c r="BF100" s="704">
        <f t="shared" si="5"/>
        <v>22981</v>
      </c>
      <c r="BG100" s="704">
        <f t="shared" si="5"/>
        <v>15526.5</v>
      </c>
      <c r="BH100" s="704">
        <v>6</v>
      </c>
    </row>
    <row r="101" spans="1:60">
      <c r="A101" s="111">
        <v>42613</v>
      </c>
      <c r="B101" s="369">
        <v>1.69</v>
      </c>
      <c r="C101" s="369">
        <v>1.8</v>
      </c>
      <c r="D101" s="369">
        <v>1.95</v>
      </c>
      <c r="E101" s="369">
        <v>2.12</v>
      </c>
      <c r="F101" s="369">
        <v>2.2999999999999998</v>
      </c>
      <c r="G101" s="369">
        <v>2.4700000000000002</v>
      </c>
      <c r="H101" s="369">
        <v>2.63</v>
      </c>
      <c r="I101" s="369">
        <v>2.77</v>
      </c>
      <c r="J101" s="369">
        <v>2.9</v>
      </c>
      <c r="K101" s="369">
        <v>3.02</v>
      </c>
      <c r="L101" s="369">
        <v>3.13</v>
      </c>
      <c r="M101" s="369">
        <v>3.22</v>
      </c>
      <c r="N101" s="369">
        <v>3.3</v>
      </c>
      <c r="O101" s="369">
        <v>3.36</v>
      </c>
      <c r="P101" s="459">
        <v>3.42</v>
      </c>
      <c r="Q101" s="369">
        <v>3.45</v>
      </c>
      <c r="R101" s="369">
        <v>3.48</v>
      </c>
      <c r="S101" s="369">
        <v>3.5</v>
      </c>
      <c r="T101" s="369">
        <v>3.52</v>
      </c>
      <c r="U101" s="369">
        <v>3.54</v>
      </c>
      <c r="V101" s="369">
        <v>3.54</v>
      </c>
      <c r="W101" s="369">
        <v>3.53</v>
      </c>
      <c r="X101" s="369">
        <v>3.53</v>
      </c>
      <c r="Y101" s="369">
        <v>3.53</v>
      </c>
      <c r="Z101" s="369">
        <v>3.53</v>
      </c>
      <c r="AA101" s="369">
        <v>3.52</v>
      </c>
      <c r="AB101" s="369">
        <v>3.5</v>
      </c>
      <c r="AC101" s="369">
        <v>3.49</v>
      </c>
      <c r="AD101" s="369">
        <v>3.48</v>
      </c>
      <c r="AE101" s="369">
        <v>3.47</v>
      </c>
      <c r="AF101" s="369">
        <v>3.47</v>
      </c>
      <c r="AG101" s="369">
        <v>3.46</v>
      </c>
      <c r="AH101" s="369">
        <v>3.45</v>
      </c>
      <c r="AI101" s="369">
        <v>3.45</v>
      </c>
      <c r="AJ101" s="369">
        <v>3.44</v>
      </c>
      <c r="AK101" s="369">
        <v>3.44</v>
      </c>
      <c r="AL101" s="369">
        <v>3.43</v>
      </c>
      <c r="AM101" s="369">
        <v>3.43</v>
      </c>
      <c r="AN101" s="369">
        <v>3.43</v>
      </c>
      <c r="AO101" s="369">
        <v>3.42</v>
      </c>
      <c r="AP101" s="369">
        <v>3.42</v>
      </c>
      <c r="AQ101" s="369">
        <v>3.42</v>
      </c>
      <c r="AR101" s="369">
        <v>3.42</v>
      </c>
      <c r="AS101" s="369">
        <v>3.42</v>
      </c>
      <c r="AT101" s="369">
        <v>3.41</v>
      </c>
      <c r="AU101" s="369">
        <v>3.41</v>
      </c>
      <c r="AV101" s="369">
        <v>3.41</v>
      </c>
      <c r="AW101" s="369">
        <v>3.41</v>
      </c>
      <c r="AX101" s="369">
        <v>3.41</v>
      </c>
      <c r="AY101" s="369">
        <v>3.41</v>
      </c>
      <c r="AZ101" s="158">
        <v>1.2500000000000001E-2</v>
      </c>
      <c r="BA101" s="108">
        <f t="shared" si="2"/>
        <v>1.25</v>
      </c>
      <c r="BC101" s="459">
        <v>4.1100000000000003</v>
      </c>
      <c r="BD101" s="704">
        <f t="shared" si="5"/>
        <v>26998.416666666668</v>
      </c>
      <c r="BE101" s="704">
        <f t="shared" si="5"/>
        <v>21845.833333333336</v>
      </c>
      <c r="BF101" s="704">
        <f t="shared" si="5"/>
        <v>23130.833333333332</v>
      </c>
      <c r="BG101" s="704">
        <f t="shared" si="5"/>
        <v>15761.25</v>
      </c>
      <c r="BH101" s="704">
        <v>7</v>
      </c>
    </row>
    <row r="102" spans="1:60">
      <c r="A102" s="111">
        <v>42643</v>
      </c>
      <c r="B102" s="369">
        <v>1.66</v>
      </c>
      <c r="C102" s="369">
        <v>1.77</v>
      </c>
      <c r="D102" s="369">
        <v>1.91</v>
      </c>
      <c r="E102" s="369">
        <v>2.08</v>
      </c>
      <c r="F102" s="369">
        <v>2.2599999999999998</v>
      </c>
      <c r="G102" s="369">
        <v>2.4300000000000002</v>
      </c>
      <c r="H102" s="369">
        <v>2.58</v>
      </c>
      <c r="I102" s="369">
        <v>2.73</v>
      </c>
      <c r="J102" s="369">
        <v>2.85</v>
      </c>
      <c r="K102" s="369">
        <v>2.97</v>
      </c>
      <c r="L102" s="369">
        <v>3.08</v>
      </c>
      <c r="M102" s="369">
        <v>3.17</v>
      </c>
      <c r="N102" s="369">
        <v>3.25</v>
      </c>
      <c r="O102" s="369">
        <v>3.31</v>
      </c>
      <c r="P102" s="459">
        <v>3.37</v>
      </c>
      <c r="Q102" s="369">
        <v>3.4</v>
      </c>
      <c r="R102" s="369">
        <v>3.42</v>
      </c>
      <c r="S102" s="369">
        <v>3.45</v>
      </c>
      <c r="T102" s="369">
        <v>3.47</v>
      </c>
      <c r="U102" s="369">
        <v>3.49</v>
      </c>
      <c r="V102" s="369">
        <v>3.49</v>
      </c>
      <c r="W102" s="369">
        <v>3.48</v>
      </c>
      <c r="X102" s="369">
        <v>3.48</v>
      </c>
      <c r="Y102" s="369">
        <v>3.48</v>
      </c>
      <c r="Z102" s="369">
        <v>3.48</v>
      </c>
      <c r="AA102" s="369">
        <v>3.47</v>
      </c>
      <c r="AB102" s="369">
        <v>3.45</v>
      </c>
      <c r="AC102" s="369">
        <v>3.44</v>
      </c>
      <c r="AD102" s="369">
        <v>3.43</v>
      </c>
      <c r="AE102" s="369">
        <v>3.43</v>
      </c>
      <c r="AF102" s="369">
        <v>3.42</v>
      </c>
      <c r="AG102" s="369">
        <v>3.41</v>
      </c>
      <c r="AH102" s="369">
        <v>3.41</v>
      </c>
      <c r="AI102" s="369">
        <v>3.4</v>
      </c>
      <c r="AJ102" s="369">
        <v>3.4</v>
      </c>
      <c r="AK102" s="369">
        <v>3.39</v>
      </c>
      <c r="AL102" s="369">
        <v>3.39</v>
      </c>
      <c r="AM102" s="369">
        <v>3.38</v>
      </c>
      <c r="AN102" s="369">
        <v>3.38</v>
      </c>
      <c r="AO102" s="369">
        <v>3.38</v>
      </c>
      <c r="AP102" s="369">
        <v>3.37</v>
      </c>
      <c r="AQ102" s="369">
        <v>3.37</v>
      </c>
      <c r="AR102" s="369">
        <v>3.37</v>
      </c>
      <c r="AS102" s="369">
        <v>3.37</v>
      </c>
      <c r="AT102" s="369">
        <v>3.37</v>
      </c>
      <c r="AU102" s="369">
        <v>3.37</v>
      </c>
      <c r="AV102" s="369">
        <v>3.37</v>
      </c>
      <c r="AW102" s="369">
        <v>3.37</v>
      </c>
      <c r="AX102" s="369">
        <v>3.36</v>
      </c>
      <c r="AY102" s="369">
        <v>3.36</v>
      </c>
      <c r="AZ102" s="158">
        <v>1.2500000000000001E-2</v>
      </c>
      <c r="BA102" s="108">
        <f t="shared" si="2"/>
        <v>1.25</v>
      </c>
      <c r="BC102" s="459">
        <v>4.08</v>
      </c>
      <c r="BD102" s="704">
        <f t="shared" si="5"/>
        <v>27364.333333333332</v>
      </c>
      <c r="BE102" s="704">
        <f t="shared" si="5"/>
        <v>22478.666666666668</v>
      </c>
      <c r="BF102" s="704">
        <f t="shared" si="5"/>
        <v>23280.666666666668</v>
      </c>
      <c r="BG102" s="704">
        <f t="shared" si="5"/>
        <v>15996</v>
      </c>
      <c r="BH102" s="704">
        <v>8</v>
      </c>
    </row>
    <row r="103" spans="1:60" ht="12.75" customHeight="1">
      <c r="A103" s="111">
        <v>42674</v>
      </c>
      <c r="B103" s="369">
        <v>1.64</v>
      </c>
      <c r="C103" s="369">
        <v>1.74</v>
      </c>
      <c r="D103" s="369">
        <v>1.87</v>
      </c>
      <c r="E103" s="369">
        <v>2.04</v>
      </c>
      <c r="F103" s="369">
        <v>2.2200000000000002</v>
      </c>
      <c r="G103" s="369">
        <v>2.39</v>
      </c>
      <c r="H103" s="369">
        <v>2.54</v>
      </c>
      <c r="I103" s="369">
        <v>2.68</v>
      </c>
      <c r="J103" s="369">
        <v>2.81</v>
      </c>
      <c r="K103" s="369">
        <v>2.93</v>
      </c>
      <c r="L103" s="369">
        <v>3.03</v>
      </c>
      <c r="M103" s="369">
        <v>3.12</v>
      </c>
      <c r="N103" s="369">
        <v>3.2</v>
      </c>
      <c r="O103" s="369">
        <v>3.27</v>
      </c>
      <c r="P103" s="459">
        <v>3.32</v>
      </c>
      <c r="Q103" s="369">
        <v>3.35</v>
      </c>
      <c r="R103" s="369">
        <v>3.38</v>
      </c>
      <c r="S103" s="369">
        <v>3.4</v>
      </c>
      <c r="T103" s="369">
        <v>3.42</v>
      </c>
      <c r="U103" s="369">
        <v>3.44</v>
      </c>
      <c r="V103" s="369">
        <v>3.44</v>
      </c>
      <c r="W103" s="369">
        <v>3.44</v>
      </c>
      <c r="X103" s="369">
        <v>3.44</v>
      </c>
      <c r="Y103" s="369">
        <v>3.43</v>
      </c>
      <c r="Z103" s="369">
        <v>3.43</v>
      </c>
      <c r="AA103" s="369">
        <v>3.42</v>
      </c>
      <c r="AB103" s="369">
        <v>3.41</v>
      </c>
      <c r="AC103" s="369">
        <v>3.4</v>
      </c>
      <c r="AD103" s="369">
        <v>3.39</v>
      </c>
      <c r="AE103" s="369">
        <v>3.38</v>
      </c>
      <c r="AF103" s="369">
        <v>3.38</v>
      </c>
      <c r="AG103" s="369">
        <v>3.37</v>
      </c>
      <c r="AH103" s="369">
        <v>3.37</v>
      </c>
      <c r="AI103" s="369">
        <v>3.36</v>
      </c>
      <c r="AJ103" s="369">
        <v>3.36</v>
      </c>
      <c r="AK103" s="369">
        <v>3.35</v>
      </c>
      <c r="AL103" s="369">
        <v>3.35</v>
      </c>
      <c r="AM103" s="369">
        <v>3.34</v>
      </c>
      <c r="AN103" s="369">
        <v>3.34</v>
      </c>
      <c r="AO103" s="369">
        <v>3.34</v>
      </c>
      <c r="AP103" s="369">
        <v>3.33</v>
      </c>
      <c r="AQ103" s="369">
        <v>3.33</v>
      </c>
      <c r="AR103" s="369">
        <v>3.33</v>
      </c>
      <c r="AS103" s="369">
        <v>3.33</v>
      </c>
      <c r="AT103" s="369">
        <v>3.33</v>
      </c>
      <c r="AU103" s="369">
        <v>3.33</v>
      </c>
      <c r="AV103" s="369">
        <v>3.33</v>
      </c>
      <c r="AW103" s="369">
        <v>3.33</v>
      </c>
      <c r="AX103" s="369">
        <v>3.32</v>
      </c>
      <c r="AY103" s="369">
        <v>3.32</v>
      </c>
      <c r="AZ103" s="158">
        <v>1.2500000000000001E-2</v>
      </c>
      <c r="BA103" s="108">
        <f t="shared" si="2"/>
        <v>1.25</v>
      </c>
      <c r="BC103" s="459">
        <v>4.0599999999999996</v>
      </c>
      <c r="BD103" s="704">
        <f t="shared" si="5"/>
        <v>27730.25</v>
      </c>
      <c r="BE103" s="704">
        <f t="shared" si="5"/>
        <v>23111.5</v>
      </c>
      <c r="BF103" s="704">
        <f t="shared" si="5"/>
        <v>23430.5</v>
      </c>
      <c r="BG103" s="704">
        <f t="shared" si="5"/>
        <v>16230.75</v>
      </c>
      <c r="BH103" s="704">
        <v>9</v>
      </c>
    </row>
    <row r="104" spans="1:60" ht="12.75" customHeight="1">
      <c r="A104" s="111">
        <v>42704</v>
      </c>
      <c r="B104" s="369">
        <v>1.61</v>
      </c>
      <c r="C104" s="369">
        <v>1.71</v>
      </c>
      <c r="D104" s="369">
        <v>1.84</v>
      </c>
      <c r="E104" s="369">
        <v>2.0099999999999998</v>
      </c>
      <c r="F104" s="369">
        <v>2.1800000000000002</v>
      </c>
      <c r="G104" s="369">
        <v>2.35</v>
      </c>
      <c r="H104" s="369">
        <v>2.5</v>
      </c>
      <c r="I104" s="369">
        <v>2.64</v>
      </c>
      <c r="J104" s="369">
        <v>2.77</v>
      </c>
      <c r="K104" s="369">
        <v>2.89</v>
      </c>
      <c r="L104" s="369">
        <v>2.99</v>
      </c>
      <c r="M104" s="369">
        <v>3.08</v>
      </c>
      <c r="N104" s="369">
        <v>3.16</v>
      </c>
      <c r="O104" s="369">
        <v>3.22</v>
      </c>
      <c r="P104" s="459">
        <v>3.28</v>
      </c>
      <c r="Q104" s="369">
        <v>3.31</v>
      </c>
      <c r="R104" s="369">
        <v>3.34</v>
      </c>
      <c r="S104" s="369">
        <v>3.36</v>
      </c>
      <c r="T104" s="369">
        <v>3.38</v>
      </c>
      <c r="U104" s="369">
        <v>3.4</v>
      </c>
      <c r="V104" s="369">
        <v>3.4</v>
      </c>
      <c r="W104" s="369">
        <v>3.4</v>
      </c>
      <c r="X104" s="369">
        <v>3.4</v>
      </c>
      <c r="Y104" s="369">
        <v>3.39</v>
      </c>
      <c r="Z104" s="369">
        <v>3.39</v>
      </c>
      <c r="AA104" s="369">
        <v>3.38</v>
      </c>
      <c r="AB104" s="369">
        <v>3.37</v>
      </c>
      <c r="AC104" s="369">
        <v>3.36</v>
      </c>
      <c r="AD104" s="369">
        <v>3.35</v>
      </c>
      <c r="AE104" s="369">
        <v>3.34</v>
      </c>
      <c r="AF104" s="369">
        <v>3.34</v>
      </c>
      <c r="AG104" s="369">
        <v>3.33</v>
      </c>
      <c r="AH104" s="369">
        <v>3.33</v>
      </c>
      <c r="AI104" s="369">
        <v>3.32</v>
      </c>
      <c r="AJ104" s="369">
        <v>3.32</v>
      </c>
      <c r="AK104" s="369">
        <v>3.32</v>
      </c>
      <c r="AL104" s="369">
        <v>3.31</v>
      </c>
      <c r="AM104" s="369">
        <v>3.31</v>
      </c>
      <c r="AN104" s="369">
        <v>3.3</v>
      </c>
      <c r="AO104" s="369">
        <v>3.3</v>
      </c>
      <c r="AP104" s="369">
        <v>3.3</v>
      </c>
      <c r="AQ104" s="369">
        <v>3.3</v>
      </c>
      <c r="AR104" s="369">
        <v>3.3</v>
      </c>
      <c r="AS104" s="369">
        <v>3.3</v>
      </c>
      <c r="AT104" s="369">
        <v>3.29</v>
      </c>
      <c r="AU104" s="369">
        <v>3.29</v>
      </c>
      <c r="AV104" s="369">
        <v>3.29</v>
      </c>
      <c r="AW104" s="369">
        <v>3.29</v>
      </c>
      <c r="AX104" s="369">
        <v>3.29</v>
      </c>
      <c r="AY104" s="369">
        <v>3.29</v>
      </c>
      <c r="AZ104" s="158">
        <v>1.2500000000000001E-2</v>
      </c>
      <c r="BA104" s="108">
        <f t="shared" si="2"/>
        <v>1.25</v>
      </c>
      <c r="BC104" s="459">
        <v>4.03</v>
      </c>
      <c r="BD104" s="704">
        <f t="shared" si="5"/>
        <v>28096.166666666668</v>
      </c>
      <c r="BE104" s="704">
        <f t="shared" si="5"/>
        <v>23744.333333333336</v>
      </c>
      <c r="BF104" s="704">
        <f t="shared" si="5"/>
        <v>23580.333333333332</v>
      </c>
      <c r="BG104" s="704">
        <f t="shared" si="5"/>
        <v>16465.5</v>
      </c>
      <c r="BH104" s="704">
        <v>10</v>
      </c>
    </row>
    <row r="105" spans="1:60">
      <c r="A105" s="111">
        <v>42735</v>
      </c>
      <c r="B105" s="369">
        <v>1.59</v>
      </c>
      <c r="C105" s="369">
        <v>1.67</v>
      </c>
      <c r="D105" s="369">
        <v>1.81</v>
      </c>
      <c r="E105" s="369">
        <v>1.97</v>
      </c>
      <c r="F105" s="369">
        <v>2.14</v>
      </c>
      <c r="G105" s="369">
        <v>2.2999999999999998</v>
      </c>
      <c r="H105" s="369">
        <v>2.46</v>
      </c>
      <c r="I105" s="369">
        <v>2.6</v>
      </c>
      <c r="J105" s="369">
        <v>2.73</v>
      </c>
      <c r="K105" s="369">
        <v>2.84</v>
      </c>
      <c r="L105" s="369">
        <v>2.95</v>
      </c>
      <c r="M105" s="369">
        <v>3.04</v>
      </c>
      <c r="N105" s="369">
        <v>3.12</v>
      </c>
      <c r="O105" s="369">
        <v>3.18</v>
      </c>
      <c r="P105" s="459">
        <v>3.24</v>
      </c>
      <c r="Q105" s="369">
        <v>3.27</v>
      </c>
      <c r="R105" s="369">
        <v>3.29</v>
      </c>
      <c r="S105" s="369">
        <v>3.32</v>
      </c>
      <c r="T105" s="369">
        <v>3.34</v>
      </c>
      <c r="U105" s="369">
        <v>3.36</v>
      </c>
      <c r="V105" s="369">
        <v>3.36</v>
      </c>
      <c r="W105" s="369">
        <v>3.36</v>
      </c>
      <c r="X105" s="369">
        <v>3.35</v>
      </c>
      <c r="Y105" s="369">
        <v>3.35</v>
      </c>
      <c r="Z105" s="369">
        <v>3.35</v>
      </c>
      <c r="AA105" s="369">
        <v>3.34</v>
      </c>
      <c r="AB105" s="369">
        <v>3.33</v>
      </c>
      <c r="AC105" s="369">
        <v>3.32</v>
      </c>
      <c r="AD105" s="369">
        <v>3.31</v>
      </c>
      <c r="AE105" s="369">
        <v>3.31</v>
      </c>
      <c r="AF105" s="369">
        <v>3.3</v>
      </c>
      <c r="AG105" s="369">
        <v>3.29</v>
      </c>
      <c r="AH105" s="369">
        <v>3.29</v>
      </c>
      <c r="AI105" s="369">
        <v>3.29</v>
      </c>
      <c r="AJ105" s="369">
        <v>3.28</v>
      </c>
      <c r="AK105" s="369">
        <v>3.28</v>
      </c>
      <c r="AL105" s="369">
        <v>3.27</v>
      </c>
      <c r="AM105" s="369">
        <v>3.27</v>
      </c>
      <c r="AN105" s="369">
        <v>3.27</v>
      </c>
      <c r="AO105" s="369">
        <v>3.26</v>
      </c>
      <c r="AP105" s="369">
        <v>3.26</v>
      </c>
      <c r="AQ105" s="369">
        <v>3.26</v>
      </c>
      <c r="AR105" s="369">
        <v>3.26</v>
      </c>
      <c r="AS105" s="369">
        <v>3.26</v>
      </c>
      <c r="AT105" s="369">
        <v>3.26</v>
      </c>
      <c r="AU105" s="369">
        <v>3.26</v>
      </c>
      <c r="AV105" s="369">
        <v>3.26</v>
      </c>
      <c r="AW105" s="369">
        <v>3.26</v>
      </c>
      <c r="AX105" s="369">
        <v>3.25</v>
      </c>
      <c r="AY105" s="369">
        <v>3.25</v>
      </c>
      <c r="AZ105" s="158">
        <v>1.2500000000000001E-2</v>
      </c>
      <c r="BA105" s="108">
        <f t="shared" si="2"/>
        <v>1.25</v>
      </c>
      <c r="BC105" s="459">
        <v>4.01</v>
      </c>
      <c r="BD105" s="704">
        <f t="shared" si="5"/>
        <v>28462.083333333332</v>
      </c>
      <c r="BE105" s="704">
        <f t="shared" si="5"/>
        <v>24377.166666666668</v>
      </c>
      <c r="BF105" s="704">
        <f t="shared" si="5"/>
        <v>23730.166666666668</v>
      </c>
      <c r="BG105" s="704">
        <f t="shared" si="5"/>
        <v>16700.25</v>
      </c>
      <c r="BH105" s="704">
        <v>11</v>
      </c>
    </row>
    <row r="106" spans="1:60">
      <c r="A106" s="111">
        <v>42766</v>
      </c>
      <c r="B106" s="369">
        <v>1.57</v>
      </c>
      <c r="C106" s="369">
        <v>1.65</v>
      </c>
      <c r="D106" s="369">
        <v>1.77</v>
      </c>
      <c r="E106" s="369">
        <v>1.93</v>
      </c>
      <c r="F106" s="369">
        <v>2.1</v>
      </c>
      <c r="G106" s="369">
        <v>2.27</v>
      </c>
      <c r="H106" s="369">
        <v>2.42</v>
      </c>
      <c r="I106" s="369">
        <v>2.56</v>
      </c>
      <c r="J106" s="369">
        <v>2.69</v>
      </c>
      <c r="K106" s="369">
        <v>2.8</v>
      </c>
      <c r="L106" s="369">
        <v>2.91</v>
      </c>
      <c r="M106" s="369">
        <v>3</v>
      </c>
      <c r="N106" s="369">
        <v>3.08</v>
      </c>
      <c r="O106" s="369">
        <v>3.14</v>
      </c>
      <c r="P106" s="459">
        <v>3.2</v>
      </c>
      <c r="Q106" s="369">
        <v>3.23</v>
      </c>
      <c r="R106" s="369">
        <v>3.26</v>
      </c>
      <c r="S106" s="369">
        <v>3.28</v>
      </c>
      <c r="T106" s="369">
        <v>3.3</v>
      </c>
      <c r="U106" s="369">
        <v>3.32</v>
      </c>
      <c r="V106" s="369">
        <v>3.32</v>
      </c>
      <c r="W106" s="369">
        <v>3.32</v>
      </c>
      <c r="X106" s="369">
        <v>3.32</v>
      </c>
      <c r="Y106" s="369">
        <v>3.32</v>
      </c>
      <c r="Z106" s="369">
        <v>3.32</v>
      </c>
      <c r="AA106" s="369">
        <v>3.3</v>
      </c>
      <c r="AB106" s="369">
        <v>3.3</v>
      </c>
      <c r="AC106" s="369">
        <v>3.29</v>
      </c>
      <c r="AD106" s="369">
        <v>3.28</v>
      </c>
      <c r="AE106" s="369">
        <v>3.27</v>
      </c>
      <c r="AF106" s="369">
        <v>3.27</v>
      </c>
      <c r="AG106" s="369">
        <v>3.26</v>
      </c>
      <c r="AH106" s="369">
        <v>3.26</v>
      </c>
      <c r="AI106" s="369">
        <v>3.25</v>
      </c>
      <c r="AJ106" s="369">
        <v>3.25</v>
      </c>
      <c r="AK106" s="369">
        <v>3.24</v>
      </c>
      <c r="AL106" s="369">
        <v>3.24</v>
      </c>
      <c r="AM106" s="369">
        <v>3.24</v>
      </c>
      <c r="AN106" s="369">
        <v>3.24</v>
      </c>
      <c r="AO106" s="369">
        <v>3.23</v>
      </c>
      <c r="AP106" s="369">
        <v>3.23</v>
      </c>
      <c r="AQ106" s="369">
        <v>3.23</v>
      </c>
      <c r="AR106" s="369">
        <v>3.23</v>
      </c>
      <c r="AS106" s="369">
        <v>3.23</v>
      </c>
      <c r="AT106" s="369">
        <v>3.23</v>
      </c>
      <c r="AU106" s="369">
        <v>3.23</v>
      </c>
      <c r="AV106" s="369">
        <v>3.23</v>
      </c>
      <c r="AW106" s="369">
        <v>3.22</v>
      </c>
      <c r="AX106" s="369">
        <v>3.22</v>
      </c>
      <c r="AY106" s="369">
        <v>3.22</v>
      </c>
      <c r="AZ106" s="158">
        <v>1.2500000000000001E-2</v>
      </c>
      <c r="BA106" s="108">
        <f t="shared" si="2"/>
        <v>1.25</v>
      </c>
      <c r="BC106" s="459">
        <v>3.99</v>
      </c>
      <c r="BD106" s="705">
        <v>28828</v>
      </c>
      <c r="BE106" s="705">
        <v>25010</v>
      </c>
      <c r="BF106" s="705">
        <v>23880</v>
      </c>
      <c r="BG106" s="705">
        <v>16935</v>
      </c>
      <c r="BH106" s="25"/>
    </row>
    <row r="107" spans="1:60" ht="12.75" customHeight="1">
      <c r="A107" s="111">
        <v>42794</v>
      </c>
      <c r="B107" s="369">
        <v>1.54</v>
      </c>
      <c r="C107" s="369">
        <v>1.62</v>
      </c>
      <c r="D107" s="369">
        <v>1.74</v>
      </c>
      <c r="E107" s="369">
        <v>1.9</v>
      </c>
      <c r="F107" s="369">
        <v>2.06</v>
      </c>
      <c r="G107" s="369">
        <v>2.23</v>
      </c>
      <c r="H107" s="369">
        <v>2.38</v>
      </c>
      <c r="I107" s="369">
        <v>2.52</v>
      </c>
      <c r="J107" s="369">
        <v>2.65</v>
      </c>
      <c r="K107" s="369">
        <v>2.76</v>
      </c>
      <c r="L107" s="369">
        <v>2.87</v>
      </c>
      <c r="M107" s="369">
        <v>2.96</v>
      </c>
      <c r="N107" s="369">
        <v>3.03</v>
      </c>
      <c r="O107" s="369">
        <v>3.1</v>
      </c>
      <c r="P107" s="459">
        <v>3.16</v>
      </c>
      <c r="Q107" s="369">
        <v>3.19</v>
      </c>
      <c r="R107" s="369">
        <v>3.21</v>
      </c>
      <c r="S107" s="369">
        <v>3.24</v>
      </c>
      <c r="T107" s="369">
        <v>3.26</v>
      </c>
      <c r="U107" s="369">
        <v>3.28</v>
      </c>
      <c r="V107" s="369">
        <v>3.28</v>
      </c>
      <c r="W107" s="369">
        <v>3.28</v>
      </c>
      <c r="X107" s="369">
        <v>3.28</v>
      </c>
      <c r="Y107" s="369">
        <v>3.28</v>
      </c>
      <c r="Z107" s="369">
        <v>3.28</v>
      </c>
      <c r="AA107" s="369">
        <v>3.27</v>
      </c>
      <c r="AB107" s="369">
        <v>3.26</v>
      </c>
      <c r="AC107" s="369">
        <v>3.25</v>
      </c>
      <c r="AD107" s="369">
        <v>3.24</v>
      </c>
      <c r="AE107" s="369">
        <v>3.23</v>
      </c>
      <c r="AF107" s="369">
        <v>3.23</v>
      </c>
      <c r="AG107" s="369">
        <v>3.22</v>
      </c>
      <c r="AH107" s="369">
        <v>3.22</v>
      </c>
      <c r="AI107" s="369">
        <v>3.22</v>
      </c>
      <c r="AJ107" s="369">
        <v>3.21</v>
      </c>
      <c r="AK107" s="369">
        <v>3.21</v>
      </c>
      <c r="AL107" s="369">
        <v>3.21</v>
      </c>
      <c r="AM107" s="369">
        <v>3.2</v>
      </c>
      <c r="AN107" s="369">
        <v>3.2</v>
      </c>
      <c r="AO107" s="369">
        <v>3.2</v>
      </c>
      <c r="AP107" s="369">
        <v>3.2</v>
      </c>
      <c r="AQ107" s="369">
        <v>3.2</v>
      </c>
      <c r="AR107" s="369">
        <v>3.19</v>
      </c>
      <c r="AS107" s="369">
        <v>3.19</v>
      </c>
      <c r="AT107" s="369">
        <v>3.19</v>
      </c>
      <c r="AU107" s="369">
        <v>3.19</v>
      </c>
      <c r="AV107" s="369">
        <v>3.19</v>
      </c>
      <c r="AW107" s="369">
        <v>3.19</v>
      </c>
      <c r="AX107" s="369">
        <v>3.19</v>
      </c>
      <c r="AY107" s="369">
        <v>3.19</v>
      </c>
      <c r="AZ107" s="60">
        <v>8.9999999999999993E-3</v>
      </c>
      <c r="BA107" s="108">
        <f t="shared" si="2"/>
        <v>0.89999999999999991</v>
      </c>
      <c r="BC107" s="459">
        <v>3.96</v>
      </c>
      <c r="BD107" s="704">
        <f>BD$106+(BD$118-BD$106)/12*$BH107</f>
        <v>29123.916666666668</v>
      </c>
      <c r="BE107" s="704">
        <f t="shared" ref="BE107:BG117" si="6">BE$106+(BE$118-BE$106)/12*$BH107</f>
        <v>25587.5</v>
      </c>
      <c r="BF107" s="704">
        <f t="shared" si="6"/>
        <v>24060.333333333332</v>
      </c>
      <c r="BG107" s="704">
        <f t="shared" si="6"/>
        <v>17220</v>
      </c>
      <c r="BH107" s="704">
        <v>1</v>
      </c>
    </row>
    <row r="108" spans="1:60" ht="12.75" customHeight="1">
      <c r="A108" s="111">
        <v>42825</v>
      </c>
      <c r="B108" s="369">
        <v>1.52</v>
      </c>
      <c r="C108" s="369">
        <v>1.59</v>
      </c>
      <c r="D108" s="369">
        <v>1.71</v>
      </c>
      <c r="E108" s="369">
        <v>1.87</v>
      </c>
      <c r="F108" s="369">
        <v>2.0299999999999998</v>
      </c>
      <c r="G108" s="369">
        <v>2.19</v>
      </c>
      <c r="H108" s="369">
        <v>2.34</v>
      </c>
      <c r="I108" s="369">
        <v>2.48</v>
      </c>
      <c r="J108" s="369">
        <v>2.61</v>
      </c>
      <c r="K108" s="369">
        <v>2.72</v>
      </c>
      <c r="L108" s="369">
        <v>2.83</v>
      </c>
      <c r="M108" s="369">
        <v>2.92</v>
      </c>
      <c r="N108" s="369">
        <v>2.99</v>
      </c>
      <c r="O108" s="369">
        <v>3.06</v>
      </c>
      <c r="P108" s="459">
        <v>3.12</v>
      </c>
      <c r="Q108" s="369">
        <v>3.15</v>
      </c>
      <c r="R108" s="369">
        <v>3.17</v>
      </c>
      <c r="S108" s="369">
        <v>3.2</v>
      </c>
      <c r="T108" s="369">
        <v>3.22</v>
      </c>
      <c r="U108" s="369">
        <v>3.24</v>
      </c>
      <c r="V108" s="369">
        <v>3.24</v>
      </c>
      <c r="W108" s="369">
        <v>3.24</v>
      </c>
      <c r="X108" s="369">
        <v>3.24</v>
      </c>
      <c r="Y108" s="369">
        <v>3.24</v>
      </c>
      <c r="Z108" s="369">
        <v>3.24</v>
      </c>
      <c r="AA108" s="369">
        <v>3.23</v>
      </c>
      <c r="AB108" s="369">
        <v>3.22</v>
      </c>
      <c r="AC108" s="369">
        <v>3.21</v>
      </c>
      <c r="AD108" s="369">
        <v>3.2</v>
      </c>
      <c r="AE108" s="369">
        <v>3.2</v>
      </c>
      <c r="AF108" s="369">
        <v>3.19</v>
      </c>
      <c r="AG108" s="369">
        <v>3.19</v>
      </c>
      <c r="AH108" s="369">
        <v>3.19</v>
      </c>
      <c r="AI108" s="369">
        <v>3.18</v>
      </c>
      <c r="AJ108" s="369">
        <v>3.18</v>
      </c>
      <c r="AK108" s="369">
        <v>3.18</v>
      </c>
      <c r="AL108" s="369">
        <v>3.17</v>
      </c>
      <c r="AM108" s="369">
        <v>3.17</v>
      </c>
      <c r="AN108" s="369">
        <v>3.17</v>
      </c>
      <c r="AO108" s="369">
        <v>3.17</v>
      </c>
      <c r="AP108" s="369">
        <v>3.16</v>
      </c>
      <c r="AQ108" s="369">
        <v>3.16</v>
      </c>
      <c r="AR108" s="369">
        <v>3.16</v>
      </c>
      <c r="AS108" s="369">
        <v>3.16</v>
      </c>
      <c r="AT108" s="369">
        <v>3.16</v>
      </c>
      <c r="AU108" s="369">
        <v>3.16</v>
      </c>
      <c r="AV108" s="369">
        <v>3.16</v>
      </c>
      <c r="AW108" s="369">
        <v>3.16</v>
      </c>
      <c r="AX108" s="369">
        <v>3.16</v>
      </c>
      <c r="AY108" s="369">
        <v>3.16</v>
      </c>
      <c r="AZ108" s="60">
        <v>8.9999999999999993E-3</v>
      </c>
      <c r="BA108" s="108">
        <f t="shared" si="2"/>
        <v>0.89999999999999991</v>
      </c>
      <c r="BC108" s="459">
        <v>3.94</v>
      </c>
      <c r="BD108" s="704">
        <f t="shared" ref="BD108:BD117" si="7">BD$106+(BD$118-BD$106)/12*$BH108</f>
        <v>29419.833333333332</v>
      </c>
      <c r="BE108" s="704">
        <f t="shared" si="6"/>
        <v>26165</v>
      </c>
      <c r="BF108" s="704">
        <f t="shared" si="6"/>
        <v>24240.666666666668</v>
      </c>
      <c r="BG108" s="704">
        <f t="shared" si="6"/>
        <v>17505</v>
      </c>
      <c r="BH108" s="704">
        <v>2</v>
      </c>
    </row>
    <row r="109" spans="1:60">
      <c r="A109" s="111">
        <v>42855</v>
      </c>
      <c r="B109" s="369">
        <v>1.49</v>
      </c>
      <c r="C109" s="369">
        <v>1.56</v>
      </c>
      <c r="D109" s="369">
        <v>1.68</v>
      </c>
      <c r="E109" s="369">
        <v>1.83</v>
      </c>
      <c r="F109" s="369">
        <v>1.99</v>
      </c>
      <c r="G109" s="369">
        <v>2.16</v>
      </c>
      <c r="H109" s="369">
        <v>2.2999999999999998</v>
      </c>
      <c r="I109" s="369">
        <v>2.44</v>
      </c>
      <c r="J109" s="369">
        <v>2.57</v>
      </c>
      <c r="K109" s="369">
        <v>2.69</v>
      </c>
      <c r="L109" s="369">
        <v>2.79</v>
      </c>
      <c r="M109" s="369">
        <v>2.88</v>
      </c>
      <c r="N109" s="369">
        <v>2.96</v>
      </c>
      <c r="O109" s="369">
        <v>3.02</v>
      </c>
      <c r="P109" s="459">
        <v>3.08</v>
      </c>
      <c r="Q109" s="369">
        <v>3.11</v>
      </c>
      <c r="R109" s="369">
        <v>3.14</v>
      </c>
      <c r="S109" s="369">
        <v>3.16</v>
      </c>
      <c r="T109" s="369">
        <v>3.18</v>
      </c>
      <c r="U109" s="369">
        <v>3.2</v>
      </c>
      <c r="V109" s="369">
        <v>3.2</v>
      </c>
      <c r="W109" s="369">
        <v>3.2</v>
      </c>
      <c r="X109" s="369">
        <v>3.2</v>
      </c>
      <c r="Y109" s="369">
        <v>3.2</v>
      </c>
      <c r="Z109" s="369">
        <v>3.2</v>
      </c>
      <c r="AA109" s="369">
        <v>3.19</v>
      </c>
      <c r="AB109" s="369">
        <v>3.18</v>
      </c>
      <c r="AC109" s="369">
        <v>3.18</v>
      </c>
      <c r="AD109" s="369">
        <v>3.17</v>
      </c>
      <c r="AE109" s="369">
        <v>3.16</v>
      </c>
      <c r="AF109" s="369">
        <v>3.16</v>
      </c>
      <c r="AG109" s="369">
        <v>3.16</v>
      </c>
      <c r="AH109" s="369">
        <v>3.15</v>
      </c>
      <c r="AI109" s="369">
        <v>3.15</v>
      </c>
      <c r="AJ109" s="369">
        <v>3.15</v>
      </c>
      <c r="AK109" s="369">
        <v>3.14</v>
      </c>
      <c r="AL109" s="369">
        <v>3.14</v>
      </c>
      <c r="AM109" s="369">
        <v>3.14</v>
      </c>
      <c r="AN109" s="369">
        <v>3.14</v>
      </c>
      <c r="AO109" s="369">
        <v>3.13</v>
      </c>
      <c r="AP109" s="369">
        <v>3.13</v>
      </c>
      <c r="AQ109" s="369">
        <v>3.13</v>
      </c>
      <c r="AR109" s="369">
        <v>3.13</v>
      </c>
      <c r="AS109" s="369">
        <v>3.13</v>
      </c>
      <c r="AT109" s="369">
        <v>3.13</v>
      </c>
      <c r="AU109" s="369">
        <v>3.13</v>
      </c>
      <c r="AV109" s="369">
        <v>3.13</v>
      </c>
      <c r="AW109" s="369">
        <v>3.13</v>
      </c>
      <c r="AX109" s="369">
        <v>3.13</v>
      </c>
      <c r="AY109" s="369">
        <v>3.13</v>
      </c>
      <c r="AZ109" s="60">
        <v>8.9999999999999993E-3</v>
      </c>
      <c r="BA109" s="108">
        <f t="shared" si="2"/>
        <v>0.89999999999999991</v>
      </c>
      <c r="BC109" s="459">
        <v>3.91</v>
      </c>
      <c r="BD109" s="704">
        <f t="shared" si="7"/>
        <v>29715.75</v>
      </c>
      <c r="BE109" s="704">
        <f t="shared" si="6"/>
        <v>26742.5</v>
      </c>
      <c r="BF109" s="704">
        <f t="shared" si="6"/>
        <v>24421</v>
      </c>
      <c r="BG109" s="704">
        <f t="shared" si="6"/>
        <v>17790</v>
      </c>
      <c r="BH109" s="704">
        <v>3</v>
      </c>
    </row>
    <row r="110" spans="1:60">
      <c r="A110" s="111">
        <v>42886</v>
      </c>
      <c r="B110" s="369">
        <v>1.47</v>
      </c>
      <c r="C110" s="369">
        <v>1.54</v>
      </c>
      <c r="D110" s="369">
        <v>1.65</v>
      </c>
      <c r="E110" s="369">
        <v>1.8</v>
      </c>
      <c r="F110" s="369">
        <v>1.96</v>
      </c>
      <c r="G110" s="369">
        <v>2.12</v>
      </c>
      <c r="H110" s="369">
        <v>2.27</v>
      </c>
      <c r="I110" s="369">
        <v>2.41</v>
      </c>
      <c r="J110" s="369">
        <v>2.5299999999999998</v>
      </c>
      <c r="K110" s="369">
        <v>2.65</v>
      </c>
      <c r="L110" s="369">
        <v>2.75</v>
      </c>
      <c r="M110" s="369">
        <v>2.84</v>
      </c>
      <c r="N110" s="369">
        <v>2.92</v>
      </c>
      <c r="O110" s="369">
        <v>2.98</v>
      </c>
      <c r="P110" s="459">
        <v>3.04</v>
      </c>
      <c r="Q110" s="369">
        <v>3.07</v>
      </c>
      <c r="R110" s="369">
        <v>3.1</v>
      </c>
      <c r="S110" s="369">
        <v>3.12</v>
      </c>
      <c r="T110" s="369">
        <v>3.15</v>
      </c>
      <c r="U110" s="369">
        <v>3.17</v>
      </c>
      <c r="V110" s="369">
        <v>3.17</v>
      </c>
      <c r="W110" s="369">
        <v>3.17</v>
      </c>
      <c r="X110" s="369">
        <v>3.17</v>
      </c>
      <c r="Y110" s="369">
        <v>3.17</v>
      </c>
      <c r="Z110" s="369">
        <v>3.17</v>
      </c>
      <c r="AA110" s="369">
        <v>3.16</v>
      </c>
      <c r="AB110" s="369">
        <v>3.15</v>
      </c>
      <c r="AC110" s="369">
        <v>3.14</v>
      </c>
      <c r="AD110" s="369">
        <v>3.14</v>
      </c>
      <c r="AE110" s="369">
        <v>3.13</v>
      </c>
      <c r="AF110" s="369">
        <v>3.13</v>
      </c>
      <c r="AG110" s="369">
        <v>3.12</v>
      </c>
      <c r="AH110" s="369">
        <v>3.12</v>
      </c>
      <c r="AI110" s="369">
        <v>3.12</v>
      </c>
      <c r="AJ110" s="369">
        <v>3.12</v>
      </c>
      <c r="AK110" s="369">
        <v>3.11</v>
      </c>
      <c r="AL110" s="369">
        <v>3.11</v>
      </c>
      <c r="AM110" s="369">
        <v>3.11</v>
      </c>
      <c r="AN110" s="369">
        <v>3.11</v>
      </c>
      <c r="AO110" s="369">
        <v>3.1</v>
      </c>
      <c r="AP110" s="369">
        <v>3.1</v>
      </c>
      <c r="AQ110" s="369">
        <v>3.1</v>
      </c>
      <c r="AR110" s="369">
        <v>3.1</v>
      </c>
      <c r="AS110" s="369">
        <v>3.1</v>
      </c>
      <c r="AT110" s="369">
        <v>3.1</v>
      </c>
      <c r="AU110" s="369">
        <v>3.1</v>
      </c>
      <c r="AV110" s="369">
        <v>3.1</v>
      </c>
      <c r="AW110" s="369">
        <v>3.1</v>
      </c>
      <c r="AX110" s="369">
        <v>3.1</v>
      </c>
      <c r="AY110" s="369">
        <v>3.1</v>
      </c>
      <c r="AZ110" s="60">
        <v>8.9999999999999993E-3</v>
      </c>
      <c r="BA110" s="108">
        <f t="shared" si="2"/>
        <v>0.89999999999999991</v>
      </c>
      <c r="BC110" s="459">
        <v>3.88</v>
      </c>
      <c r="BD110" s="704">
        <f t="shared" si="7"/>
        <v>30011.666666666668</v>
      </c>
      <c r="BE110" s="704">
        <f t="shared" si="6"/>
        <v>27320</v>
      </c>
      <c r="BF110" s="704">
        <f t="shared" si="6"/>
        <v>24601.333333333332</v>
      </c>
      <c r="BG110" s="704">
        <f t="shared" si="6"/>
        <v>18075</v>
      </c>
      <c r="BH110" s="704">
        <v>4</v>
      </c>
    </row>
    <row r="111" spans="1:60" ht="12.75" customHeight="1">
      <c r="A111" s="111">
        <v>42916</v>
      </c>
      <c r="B111" s="369">
        <v>1.44</v>
      </c>
      <c r="C111" s="369">
        <v>1.51</v>
      </c>
      <c r="D111" s="369">
        <v>1.62</v>
      </c>
      <c r="E111" s="369">
        <v>1.77</v>
      </c>
      <c r="F111" s="369">
        <v>1.93</v>
      </c>
      <c r="G111" s="369">
        <v>2.09</v>
      </c>
      <c r="H111" s="369">
        <v>2.23</v>
      </c>
      <c r="I111" s="369">
        <v>2.37</v>
      </c>
      <c r="J111" s="369">
        <v>2.5</v>
      </c>
      <c r="K111" s="369">
        <v>2.61</v>
      </c>
      <c r="L111" s="369">
        <v>2.72</v>
      </c>
      <c r="M111" s="369">
        <v>2.81</v>
      </c>
      <c r="N111" s="369">
        <v>2.88</v>
      </c>
      <c r="O111" s="369">
        <v>2.95</v>
      </c>
      <c r="P111" s="459">
        <v>3</v>
      </c>
      <c r="Q111" s="369">
        <v>3.04</v>
      </c>
      <c r="R111" s="369">
        <v>3.06</v>
      </c>
      <c r="S111" s="369">
        <v>3.09</v>
      </c>
      <c r="T111" s="369">
        <v>3.11</v>
      </c>
      <c r="U111" s="369">
        <v>3.13</v>
      </c>
      <c r="V111" s="369">
        <v>3.13</v>
      </c>
      <c r="W111" s="369">
        <v>3.13</v>
      </c>
      <c r="X111" s="369">
        <v>3.13</v>
      </c>
      <c r="Y111" s="369">
        <v>3.13</v>
      </c>
      <c r="Z111" s="369">
        <v>3.14</v>
      </c>
      <c r="AA111" s="369">
        <v>3.13</v>
      </c>
      <c r="AB111" s="369">
        <v>3.12</v>
      </c>
      <c r="AC111" s="369">
        <v>3.11</v>
      </c>
      <c r="AD111" s="369">
        <v>3.11</v>
      </c>
      <c r="AE111" s="369">
        <v>3.1</v>
      </c>
      <c r="AF111" s="369">
        <v>3.1</v>
      </c>
      <c r="AG111" s="369">
        <v>3.09</v>
      </c>
      <c r="AH111" s="369">
        <v>3.09</v>
      </c>
      <c r="AI111" s="369">
        <v>3.09</v>
      </c>
      <c r="AJ111" s="369">
        <v>3.09</v>
      </c>
      <c r="AK111" s="369">
        <v>3.08</v>
      </c>
      <c r="AL111" s="369">
        <v>3.08</v>
      </c>
      <c r="AM111" s="369">
        <v>3.08</v>
      </c>
      <c r="AN111" s="369">
        <v>3.08</v>
      </c>
      <c r="AO111" s="369">
        <v>3.08</v>
      </c>
      <c r="AP111" s="369">
        <v>3.08</v>
      </c>
      <c r="AQ111" s="369">
        <v>3.07</v>
      </c>
      <c r="AR111" s="369">
        <v>3.07</v>
      </c>
      <c r="AS111" s="369">
        <v>3.07</v>
      </c>
      <c r="AT111" s="369">
        <v>3.07</v>
      </c>
      <c r="AU111" s="369">
        <v>3.07</v>
      </c>
      <c r="AV111" s="369">
        <v>3.07</v>
      </c>
      <c r="AW111" s="369">
        <v>3.07</v>
      </c>
      <c r="AX111" s="369">
        <v>3.07</v>
      </c>
      <c r="AY111" s="369">
        <v>3.07</v>
      </c>
      <c r="AZ111" s="60">
        <v>8.9999999999999993E-3</v>
      </c>
      <c r="BA111" s="108">
        <f t="shared" si="2"/>
        <v>0.89999999999999991</v>
      </c>
      <c r="BC111" s="459">
        <v>3.86</v>
      </c>
      <c r="BD111" s="704">
        <f t="shared" si="7"/>
        <v>30307.583333333332</v>
      </c>
      <c r="BE111" s="704">
        <f t="shared" si="6"/>
        <v>27897.5</v>
      </c>
      <c r="BF111" s="704">
        <f t="shared" si="6"/>
        <v>24781.666666666668</v>
      </c>
      <c r="BG111" s="704">
        <f t="shared" si="6"/>
        <v>18360</v>
      </c>
      <c r="BH111" s="704">
        <v>5</v>
      </c>
    </row>
    <row r="112" spans="1:60" ht="12.75" customHeight="1">
      <c r="A112" s="111">
        <v>42947</v>
      </c>
      <c r="B112" s="369">
        <v>1.41</v>
      </c>
      <c r="C112" s="369">
        <v>1.48</v>
      </c>
      <c r="D112" s="369">
        <v>1.59</v>
      </c>
      <c r="E112" s="369">
        <v>1.74</v>
      </c>
      <c r="F112" s="369">
        <v>1.89</v>
      </c>
      <c r="G112" s="369">
        <v>2.0499999999999998</v>
      </c>
      <c r="H112" s="369">
        <v>2.2000000000000002</v>
      </c>
      <c r="I112" s="369">
        <v>2.34</v>
      </c>
      <c r="J112" s="369">
        <v>2.46</v>
      </c>
      <c r="K112" s="369">
        <v>2.58</v>
      </c>
      <c r="L112" s="369">
        <v>2.68</v>
      </c>
      <c r="M112" s="369">
        <v>2.77</v>
      </c>
      <c r="N112" s="369">
        <v>2.85</v>
      </c>
      <c r="O112" s="369">
        <v>2.91</v>
      </c>
      <c r="P112" s="459">
        <v>2.97</v>
      </c>
      <c r="Q112" s="369">
        <v>3</v>
      </c>
      <c r="R112" s="369">
        <v>3.03</v>
      </c>
      <c r="S112" s="369">
        <v>3.05</v>
      </c>
      <c r="T112" s="369">
        <v>3.08</v>
      </c>
      <c r="U112" s="369">
        <v>3.1</v>
      </c>
      <c r="V112" s="369">
        <v>3.1</v>
      </c>
      <c r="W112" s="369">
        <v>3.1</v>
      </c>
      <c r="X112" s="369">
        <v>3.1</v>
      </c>
      <c r="Y112" s="369">
        <v>3.1</v>
      </c>
      <c r="Z112" s="369">
        <v>3.1</v>
      </c>
      <c r="AA112" s="369">
        <v>3.1</v>
      </c>
      <c r="AB112" s="369">
        <v>3.09</v>
      </c>
      <c r="AC112" s="369">
        <v>3.08</v>
      </c>
      <c r="AD112" s="369">
        <v>3.08</v>
      </c>
      <c r="AE112" s="369">
        <v>3.07</v>
      </c>
      <c r="AF112" s="369">
        <v>3.07</v>
      </c>
      <c r="AG112" s="369">
        <v>3.06</v>
      </c>
      <c r="AH112" s="369">
        <v>3.06</v>
      </c>
      <c r="AI112" s="369">
        <v>3.06</v>
      </c>
      <c r="AJ112" s="369">
        <v>3.06</v>
      </c>
      <c r="AK112" s="369">
        <v>3.06</v>
      </c>
      <c r="AL112" s="369">
        <v>3.05</v>
      </c>
      <c r="AM112" s="369">
        <v>3.05</v>
      </c>
      <c r="AN112" s="369">
        <v>3.05</v>
      </c>
      <c r="AO112" s="369">
        <v>3.05</v>
      </c>
      <c r="AP112" s="369">
        <v>3.05</v>
      </c>
      <c r="AQ112" s="369">
        <v>3.05</v>
      </c>
      <c r="AR112" s="369">
        <v>3.05</v>
      </c>
      <c r="AS112" s="369">
        <v>3.04</v>
      </c>
      <c r="AT112" s="369">
        <v>3.04</v>
      </c>
      <c r="AU112" s="369">
        <v>3.04</v>
      </c>
      <c r="AV112" s="369">
        <v>3.04</v>
      </c>
      <c r="AW112" s="369">
        <v>3.04</v>
      </c>
      <c r="AX112" s="369">
        <v>3.04</v>
      </c>
      <c r="AY112" s="369">
        <v>3.04</v>
      </c>
      <c r="AZ112" s="60">
        <v>8.9999999999999993E-3</v>
      </c>
      <c r="BA112" s="108">
        <f t="shared" si="2"/>
        <v>0.89999999999999991</v>
      </c>
      <c r="BC112" s="459">
        <v>3.83</v>
      </c>
      <c r="BD112" s="704">
        <f t="shared" si="7"/>
        <v>30603.5</v>
      </c>
      <c r="BE112" s="704">
        <f t="shared" si="6"/>
        <v>28475</v>
      </c>
      <c r="BF112" s="704">
        <f t="shared" si="6"/>
        <v>24962</v>
      </c>
      <c r="BG112" s="704">
        <f t="shared" si="6"/>
        <v>18645</v>
      </c>
      <c r="BH112" s="704">
        <v>6</v>
      </c>
    </row>
    <row r="113" spans="1:60">
      <c r="A113" s="111">
        <v>42978</v>
      </c>
      <c r="B113" s="369">
        <v>1.38</v>
      </c>
      <c r="C113" s="369">
        <v>1.45</v>
      </c>
      <c r="D113" s="369">
        <v>1.56</v>
      </c>
      <c r="E113" s="369">
        <v>1.71</v>
      </c>
      <c r="F113" s="369">
        <v>1.87</v>
      </c>
      <c r="G113" s="369">
        <v>2.02</v>
      </c>
      <c r="H113" s="369">
        <v>2.17</v>
      </c>
      <c r="I113" s="369">
        <v>2.31</v>
      </c>
      <c r="J113" s="369">
        <v>2.4300000000000002</v>
      </c>
      <c r="K113" s="369">
        <v>2.5499999999999998</v>
      </c>
      <c r="L113" s="369">
        <v>2.66</v>
      </c>
      <c r="M113" s="369">
        <v>2.74</v>
      </c>
      <c r="N113" s="369">
        <v>2.82</v>
      </c>
      <c r="O113" s="369">
        <v>2.89</v>
      </c>
      <c r="P113" s="459">
        <v>2.94</v>
      </c>
      <c r="Q113" s="369">
        <v>2.97</v>
      </c>
      <c r="R113" s="369">
        <v>3</v>
      </c>
      <c r="S113" s="369">
        <v>3.03</v>
      </c>
      <c r="T113" s="369">
        <v>3.05</v>
      </c>
      <c r="U113" s="369">
        <v>3.07</v>
      </c>
      <c r="V113" s="369">
        <v>3.07</v>
      </c>
      <c r="W113" s="369">
        <v>3.07</v>
      </c>
      <c r="X113" s="369">
        <v>3.08</v>
      </c>
      <c r="Y113" s="369">
        <v>3.08</v>
      </c>
      <c r="Z113" s="369">
        <v>3.08</v>
      </c>
      <c r="AA113" s="369">
        <v>3.07</v>
      </c>
      <c r="AB113" s="369">
        <v>3.06</v>
      </c>
      <c r="AC113" s="369">
        <v>3.06</v>
      </c>
      <c r="AD113" s="369">
        <v>3.05</v>
      </c>
      <c r="AE113" s="369">
        <v>3.05</v>
      </c>
      <c r="AF113" s="369">
        <v>3.05</v>
      </c>
      <c r="AG113" s="369">
        <v>3.04</v>
      </c>
      <c r="AH113" s="369">
        <v>3.04</v>
      </c>
      <c r="AI113" s="369">
        <v>3.04</v>
      </c>
      <c r="AJ113" s="369">
        <v>3.04</v>
      </c>
      <c r="AK113" s="369">
        <v>3.03</v>
      </c>
      <c r="AL113" s="369">
        <v>3.03</v>
      </c>
      <c r="AM113" s="369">
        <v>3.03</v>
      </c>
      <c r="AN113" s="369">
        <v>3.03</v>
      </c>
      <c r="AO113" s="369">
        <v>3.03</v>
      </c>
      <c r="AP113" s="369">
        <v>3.03</v>
      </c>
      <c r="AQ113" s="369">
        <v>3.03</v>
      </c>
      <c r="AR113" s="369">
        <v>3.02</v>
      </c>
      <c r="AS113" s="369">
        <v>3.02</v>
      </c>
      <c r="AT113" s="369">
        <v>3.02</v>
      </c>
      <c r="AU113" s="369">
        <v>3.02</v>
      </c>
      <c r="AV113" s="369">
        <v>3.02</v>
      </c>
      <c r="AW113" s="369">
        <v>3.02</v>
      </c>
      <c r="AX113" s="369">
        <v>3.02</v>
      </c>
      <c r="AY113" s="369">
        <v>3.02</v>
      </c>
      <c r="AZ113" s="60">
        <v>8.9999999999999993E-3</v>
      </c>
      <c r="BA113" s="108">
        <f t="shared" si="2"/>
        <v>0.89999999999999991</v>
      </c>
      <c r="BC113" s="459">
        <v>3.8</v>
      </c>
      <c r="BD113" s="704">
        <f t="shared" si="7"/>
        <v>30899.416666666668</v>
      </c>
      <c r="BE113" s="704">
        <f t="shared" si="6"/>
        <v>29052.5</v>
      </c>
      <c r="BF113" s="704">
        <f t="shared" si="6"/>
        <v>25142.333333333332</v>
      </c>
      <c r="BG113" s="704">
        <f t="shared" si="6"/>
        <v>18930</v>
      </c>
      <c r="BH113" s="704">
        <v>7</v>
      </c>
    </row>
    <row r="114" spans="1:60">
      <c r="A114" s="111">
        <v>43008</v>
      </c>
      <c r="B114" s="369">
        <v>1.36</v>
      </c>
      <c r="C114" s="369">
        <v>1.42</v>
      </c>
      <c r="D114" s="369">
        <v>1.53</v>
      </c>
      <c r="E114" s="369">
        <v>1.68</v>
      </c>
      <c r="F114" s="369">
        <v>1.84</v>
      </c>
      <c r="G114" s="369">
        <v>1.99</v>
      </c>
      <c r="H114" s="369">
        <v>2.14</v>
      </c>
      <c r="I114" s="369">
        <v>2.2799999999999998</v>
      </c>
      <c r="J114" s="369">
        <v>2.4</v>
      </c>
      <c r="K114" s="369">
        <v>2.52</v>
      </c>
      <c r="L114" s="369">
        <v>2.63</v>
      </c>
      <c r="M114" s="369">
        <v>2.71</v>
      </c>
      <c r="N114" s="369">
        <v>2.79</v>
      </c>
      <c r="O114" s="369">
        <v>2.86</v>
      </c>
      <c r="P114" s="459">
        <v>2.91</v>
      </c>
      <c r="Q114" s="369">
        <v>2.95</v>
      </c>
      <c r="R114" s="369">
        <v>2.97</v>
      </c>
      <c r="S114" s="369">
        <v>3</v>
      </c>
      <c r="T114" s="369">
        <v>3.02</v>
      </c>
      <c r="U114" s="369">
        <v>3.04</v>
      </c>
      <c r="V114" s="369">
        <v>3.05</v>
      </c>
      <c r="W114" s="369">
        <v>3.05</v>
      </c>
      <c r="X114" s="369">
        <v>3.05</v>
      </c>
      <c r="Y114" s="369">
        <v>3.05</v>
      </c>
      <c r="Z114" s="369">
        <v>3.05</v>
      </c>
      <c r="AA114" s="369">
        <v>3.05</v>
      </c>
      <c r="AB114" s="369">
        <v>3.04</v>
      </c>
      <c r="AC114" s="369">
        <v>3.03</v>
      </c>
      <c r="AD114" s="369">
        <v>3.03</v>
      </c>
      <c r="AE114" s="369">
        <v>3.02</v>
      </c>
      <c r="AF114" s="369">
        <v>3.02</v>
      </c>
      <c r="AG114" s="369">
        <v>3.02</v>
      </c>
      <c r="AH114" s="369">
        <v>3.02</v>
      </c>
      <c r="AI114" s="369">
        <v>3.02</v>
      </c>
      <c r="AJ114" s="369">
        <v>3.01</v>
      </c>
      <c r="AK114" s="369">
        <v>3.01</v>
      </c>
      <c r="AL114" s="369">
        <v>3.01</v>
      </c>
      <c r="AM114" s="369">
        <v>3.01</v>
      </c>
      <c r="AN114" s="369">
        <v>3.01</v>
      </c>
      <c r="AO114" s="369">
        <v>3.01</v>
      </c>
      <c r="AP114" s="369">
        <v>3.01</v>
      </c>
      <c r="AQ114" s="369">
        <v>3</v>
      </c>
      <c r="AR114" s="369">
        <v>3</v>
      </c>
      <c r="AS114" s="369">
        <v>3</v>
      </c>
      <c r="AT114" s="369">
        <v>3</v>
      </c>
      <c r="AU114" s="369">
        <v>3</v>
      </c>
      <c r="AV114" s="369">
        <v>3</v>
      </c>
      <c r="AW114" s="369">
        <v>3</v>
      </c>
      <c r="AX114" s="369">
        <v>3</v>
      </c>
      <c r="AY114" s="369">
        <v>3</v>
      </c>
      <c r="AZ114" s="60">
        <v>8.9999999999999993E-3</v>
      </c>
      <c r="BA114" s="108">
        <f t="shared" si="2"/>
        <v>0.89999999999999991</v>
      </c>
      <c r="BC114" s="459">
        <v>3.77</v>
      </c>
      <c r="BD114" s="704">
        <f t="shared" si="7"/>
        <v>31195.333333333332</v>
      </c>
      <c r="BE114" s="704">
        <f t="shared" si="6"/>
        <v>29630</v>
      </c>
      <c r="BF114" s="704">
        <f t="shared" si="6"/>
        <v>25322.666666666668</v>
      </c>
      <c r="BG114" s="704">
        <f t="shared" si="6"/>
        <v>19215</v>
      </c>
      <c r="BH114" s="704">
        <v>8</v>
      </c>
    </row>
    <row r="115" spans="1:60">
      <c r="A115" s="111">
        <v>43039</v>
      </c>
      <c r="B115" s="369">
        <v>1.33</v>
      </c>
      <c r="C115" s="369">
        <v>1.39</v>
      </c>
      <c r="D115" s="369">
        <v>1.5</v>
      </c>
      <c r="E115" s="369">
        <v>1.65</v>
      </c>
      <c r="F115" s="369">
        <v>1.8</v>
      </c>
      <c r="G115" s="369">
        <v>1.96</v>
      </c>
      <c r="H115" s="369">
        <v>2.11</v>
      </c>
      <c r="I115" s="369">
        <v>2.2400000000000002</v>
      </c>
      <c r="J115" s="369">
        <v>2.37</v>
      </c>
      <c r="K115" s="369">
        <v>2.4900000000000002</v>
      </c>
      <c r="L115" s="369">
        <v>2.59</v>
      </c>
      <c r="M115" s="369">
        <v>2.68</v>
      </c>
      <c r="N115" s="369">
        <v>2.76</v>
      </c>
      <c r="O115" s="369">
        <v>2.82</v>
      </c>
      <c r="P115" s="459">
        <v>2.88</v>
      </c>
      <c r="Q115" s="369">
        <v>2.91</v>
      </c>
      <c r="R115" s="369">
        <v>2.94</v>
      </c>
      <c r="S115" s="369">
        <v>2.97</v>
      </c>
      <c r="T115" s="369">
        <v>2.99</v>
      </c>
      <c r="U115" s="369">
        <v>3.01</v>
      </c>
      <c r="V115" s="369">
        <v>3.02</v>
      </c>
      <c r="W115" s="369">
        <v>3.02</v>
      </c>
      <c r="X115" s="369">
        <v>3.02</v>
      </c>
      <c r="Y115" s="369">
        <v>3.02</v>
      </c>
      <c r="Z115" s="369">
        <v>3.02</v>
      </c>
      <c r="AA115" s="369">
        <v>3.02</v>
      </c>
      <c r="AB115" s="369">
        <v>3.01</v>
      </c>
      <c r="AC115" s="369">
        <v>3.01</v>
      </c>
      <c r="AD115" s="369">
        <v>3</v>
      </c>
      <c r="AE115" s="369">
        <v>3</v>
      </c>
      <c r="AF115" s="369">
        <v>3</v>
      </c>
      <c r="AG115" s="369">
        <v>3</v>
      </c>
      <c r="AH115" s="369">
        <v>2.99</v>
      </c>
      <c r="AI115" s="369">
        <v>2.99</v>
      </c>
      <c r="AJ115" s="369">
        <v>2.99</v>
      </c>
      <c r="AK115" s="369">
        <v>2.99</v>
      </c>
      <c r="AL115" s="369">
        <v>2.99</v>
      </c>
      <c r="AM115" s="369">
        <v>2.99</v>
      </c>
      <c r="AN115" s="369">
        <v>2.99</v>
      </c>
      <c r="AO115" s="369">
        <v>2.98</v>
      </c>
      <c r="AP115" s="369">
        <v>2.98</v>
      </c>
      <c r="AQ115" s="369">
        <v>2.98</v>
      </c>
      <c r="AR115" s="369">
        <v>2.98</v>
      </c>
      <c r="AS115" s="369">
        <v>2.98</v>
      </c>
      <c r="AT115" s="369">
        <v>2.98</v>
      </c>
      <c r="AU115" s="369">
        <v>2.98</v>
      </c>
      <c r="AV115" s="369">
        <v>2.98</v>
      </c>
      <c r="AW115" s="369">
        <v>2.98</v>
      </c>
      <c r="AX115" s="369">
        <v>2.98</v>
      </c>
      <c r="AY115" s="369">
        <v>2.98</v>
      </c>
      <c r="AZ115" s="60">
        <v>8.9999999999999993E-3</v>
      </c>
      <c r="BA115" s="108">
        <f t="shared" si="2"/>
        <v>0.89999999999999991</v>
      </c>
      <c r="BC115" s="459">
        <v>3.74</v>
      </c>
      <c r="BD115" s="704">
        <f t="shared" si="7"/>
        <v>31491.25</v>
      </c>
      <c r="BE115" s="704">
        <f t="shared" si="6"/>
        <v>30207.5</v>
      </c>
      <c r="BF115" s="704">
        <f t="shared" si="6"/>
        <v>25503</v>
      </c>
      <c r="BG115" s="704">
        <f t="shared" si="6"/>
        <v>19500</v>
      </c>
      <c r="BH115" s="704">
        <v>9</v>
      </c>
    </row>
    <row r="116" spans="1:60">
      <c r="A116" s="111">
        <v>43069</v>
      </c>
      <c r="B116" s="369">
        <v>1.29</v>
      </c>
      <c r="C116" s="369">
        <v>1.36</v>
      </c>
      <c r="D116" s="369">
        <v>1.47</v>
      </c>
      <c r="E116" s="369">
        <v>1.61</v>
      </c>
      <c r="F116" s="369">
        <v>1.76</v>
      </c>
      <c r="G116" s="369">
        <v>1.92</v>
      </c>
      <c r="H116" s="369">
        <v>2.0699999999999998</v>
      </c>
      <c r="I116" s="369">
        <v>2.2000000000000002</v>
      </c>
      <c r="J116" s="369">
        <v>2.33</v>
      </c>
      <c r="K116" s="369">
        <v>2.4500000000000002</v>
      </c>
      <c r="L116" s="369">
        <v>2.5499999999999998</v>
      </c>
      <c r="M116" s="369">
        <v>2.64</v>
      </c>
      <c r="N116" s="369">
        <v>2.72</v>
      </c>
      <c r="O116" s="369">
        <v>2.79</v>
      </c>
      <c r="P116" s="459">
        <v>2.84</v>
      </c>
      <c r="Q116" s="369">
        <v>2.88</v>
      </c>
      <c r="R116" s="369">
        <v>2.91</v>
      </c>
      <c r="S116" s="369">
        <v>2.93</v>
      </c>
      <c r="T116" s="369">
        <v>2.95</v>
      </c>
      <c r="U116" s="369">
        <v>2.98</v>
      </c>
      <c r="V116" s="369">
        <v>2.98</v>
      </c>
      <c r="W116" s="369">
        <v>2.98</v>
      </c>
      <c r="X116" s="369">
        <v>2.99</v>
      </c>
      <c r="Y116" s="369">
        <v>2.99</v>
      </c>
      <c r="Z116" s="369">
        <v>2.99</v>
      </c>
      <c r="AA116" s="369">
        <v>2.99</v>
      </c>
      <c r="AB116" s="369">
        <v>2.98</v>
      </c>
      <c r="AC116" s="369">
        <v>2.98</v>
      </c>
      <c r="AD116" s="369">
        <v>2.97</v>
      </c>
      <c r="AE116" s="369">
        <v>2.97</v>
      </c>
      <c r="AF116" s="369">
        <v>2.97</v>
      </c>
      <c r="AG116" s="369">
        <v>2.97</v>
      </c>
      <c r="AH116" s="369">
        <v>2.96</v>
      </c>
      <c r="AI116" s="369">
        <v>2.96</v>
      </c>
      <c r="AJ116" s="369">
        <v>2.96</v>
      </c>
      <c r="AK116" s="369">
        <v>2.96</v>
      </c>
      <c r="AL116" s="369">
        <v>2.96</v>
      </c>
      <c r="AM116" s="369">
        <v>2.96</v>
      </c>
      <c r="AN116" s="369">
        <v>2.96</v>
      </c>
      <c r="AO116" s="369">
        <v>2.96</v>
      </c>
      <c r="AP116" s="369">
        <v>2.96</v>
      </c>
      <c r="AQ116" s="369">
        <v>2.95</v>
      </c>
      <c r="AR116" s="369">
        <v>2.95</v>
      </c>
      <c r="AS116" s="369">
        <v>2.95</v>
      </c>
      <c r="AT116" s="369">
        <v>2.95</v>
      </c>
      <c r="AU116" s="369">
        <v>2.95</v>
      </c>
      <c r="AV116" s="369">
        <v>2.95</v>
      </c>
      <c r="AW116" s="369">
        <v>2.95</v>
      </c>
      <c r="AX116" s="369">
        <v>2.95</v>
      </c>
      <c r="AY116" s="369">
        <v>2.95</v>
      </c>
      <c r="AZ116" s="60">
        <v>8.9999999999999993E-3</v>
      </c>
      <c r="BA116" s="108">
        <f t="shared" si="2"/>
        <v>0.89999999999999991</v>
      </c>
      <c r="BC116" s="459">
        <v>3.71</v>
      </c>
      <c r="BD116" s="704">
        <f t="shared" si="7"/>
        <v>31787.166666666668</v>
      </c>
      <c r="BE116" s="704">
        <f t="shared" si="6"/>
        <v>30785</v>
      </c>
      <c r="BF116" s="704">
        <f t="shared" si="6"/>
        <v>25683.333333333332</v>
      </c>
      <c r="BG116" s="704">
        <f t="shared" si="6"/>
        <v>19785</v>
      </c>
      <c r="BH116" s="704">
        <v>10</v>
      </c>
    </row>
    <row r="117" spans="1:60">
      <c r="A117" s="111">
        <v>43100</v>
      </c>
      <c r="B117" s="369">
        <v>1.26</v>
      </c>
      <c r="C117" s="369">
        <v>1.33</v>
      </c>
      <c r="D117" s="369">
        <v>1.43</v>
      </c>
      <c r="E117" s="369">
        <v>1.58</v>
      </c>
      <c r="F117" s="369">
        <v>1.73</v>
      </c>
      <c r="G117" s="369">
        <v>1.88</v>
      </c>
      <c r="H117" s="369">
        <v>2.02</v>
      </c>
      <c r="I117" s="369">
        <v>2.16</v>
      </c>
      <c r="J117" s="369">
        <v>2.29</v>
      </c>
      <c r="K117" s="369">
        <v>2.4</v>
      </c>
      <c r="L117" s="369">
        <v>2.5099999999999998</v>
      </c>
      <c r="M117" s="369">
        <v>2.6</v>
      </c>
      <c r="N117" s="369">
        <v>2.68</v>
      </c>
      <c r="O117" s="369">
        <v>2.74</v>
      </c>
      <c r="P117" s="459">
        <v>2.8</v>
      </c>
      <c r="Q117" s="369">
        <v>2.83</v>
      </c>
      <c r="R117" s="369">
        <v>2.86</v>
      </c>
      <c r="S117" s="369">
        <v>2.89</v>
      </c>
      <c r="T117" s="369">
        <v>2.91</v>
      </c>
      <c r="U117" s="369">
        <v>2.94</v>
      </c>
      <c r="V117" s="369">
        <v>2.94</v>
      </c>
      <c r="W117" s="369">
        <v>2.94</v>
      </c>
      <c r="X117" s="369">
        <v>2.95</v>
      </c>
      <c r="Y117" s="369">
        <v>2.95</v>
      </c>
      <c r="Z117" s="369">
        <v>2.95</v>
      </c>
      <c r="AA117" s="369">
        <v>2.95</v>
      </c>
      <c r="AB117" s="369">
        <v>2.94</v>
      </c>
      <c r="AC117" s="369">
        <v>2.94</v>
      </c>
      <c r="AD117" s="369">
        <v>2.94</v>
      </c>
      <c r="AE117" s="369">
        <v>2.93</v>
      </c>
      <c r="AF117" s="369">
        <v>2.93</v>
      </c>
      <c r="AG117" s="369">
        <v>2.93</v>
      </c>
      <c r="AH117" s="369">
        <v>2.93</v>
      </c>
      <c r="AI117" s="369">
        <v>2.93</v>
      </c>
      <c r="AJ117" s="369">
        <v>2.93</v>
      </c>
      <c r="AK117" s="369">
        <v>2.93</v>
      </c>
      <c r="AL117" s="369">
        <v>2.93</v>
      </c>
      <c r="AM117" s="369">
        <v>2.93</v>
      </c>
      <c r="AN117" s="369">
        <v>2.93</v>
      </c>
      <c r="AO117" s="369">
        <v>2.92</v>
      </c>
      <c r="AP117" s="369">
        <v>2.92</v>
      </c>
      <c r="AQ117" s="369">
        <v>2.92</v>
      </c>
      <c r="AR117" s="369">
        <v>2.92</v>
      </c>
      <c r="AS117" s="369">
        <v>2.92</v>
      </c>
      <c r="AT117" s="369">
        <v>2.92</v>
      </c>
      <c r="AU117" s="369">
        <v>2.92</v>
      </c>
      <c r="AV117" s="369">
        <v>2.92</v>
      </c>
      <c r="AW117" s="369">
        <v>2.92</v>
      </c>
      <c r="AX117" s="369">
        <v>2.92</v>
      </c>
      <c r="AY117" s="369">
        <v>2.92</v>
      </c>
      <c r="AZ117" s="60">
        <v>8.9999999999999993E-3</v>
      </c>
      <c r="BA117" s="108">
        <f t="shared" si="2"/>
        <v>0.89999999999999991</v>
      </c>
      <c r="BC117" s="459">
        <v>3.68</v>
      </c>
      <c r="BD117" s="704">
        <f t="shared" si="7"/>
        <v>32083.083333333332</v>
      </c>
      <c r="BE117" s="704">
        <f t="shared" si="6"/>
        <v>31362.5</v>
      </c>
      <c r="BF117" s="704">
        <f t="shared" si="6"/>
        <v>25863.666666666668</v>
      </c>
      <c r="BG117" s="704">
        <f t="shared" si="6"/>
        <v>20070</v>
      </c>
      <c r="BH117" s="704">
        <v>11</v>
      </c>
    </row>
    <row r="118" spans="1:60" ht="12.75" customHeight="1">
      <c r="A118" s="111">
        <v>43131</v>
      </c>
      <c r="B118" s="369">
        <v>1.23</v>
      </c>
      <c r="C118" s="369">
        <v>1.29</v>
      </c>
      <c r="D118" s="369">
        <v>1.39</v>
      </c>
      <c r="E118" s="369">
        <v>1.54</v>
      </c>
      <c r="F118" s="369">
        <v>1.68</v>
      </c>
      <c r="G118" s="369">
        <v>1.84</v>
      </c>
      <c r="H118" s="369">
        <v>1.98</v>
      </c>
      <c r="I118" s="369">
        <v>2.12</v>
      </c>
      <c r="J118" s="369">
        <v>2.25</v>
      </c>
      <c r="K118" s="369">
        <v>2.36</v>
      </c>
      <c r="L118" s="369">
        <v>2.4700000000000002</v>
      </c>
      <c r="M118" s="369">
        <v>2.56</v>
      </c>
      <c r="N118" s="369">
        <v>2.63</v>
      </c>
      <c r="O118" s="369">
        <v>2.7</v>
      </c>
      <c r="P118" s="459">
        <v>2.76</v>
      </c>
      <c r="Q118" s="369">
        <v>2.79</v>
      </c>
      <c r="R118" s="369">
        <v>2.82</v>
      </c>
      <c r="S118" s="369">
        <v>2.85</v>
      </c>
      <c r="T118" s="369">
        <v>2.87</v>
      </c>
      <c r="U118" s="369">
        <v>2.89</v>
      </c>
      <c r="V118" s="369">
        <v>2.9</v>
      </c>
      <c r="W118" s="369">
        <v>2.9</v>
      </c>
      <c r="X118" s="369">
        <v>2.91</v>
      </c>
      <c r="Y118" s="369">
        <v>2.91</v>
      </c>
      <c r="Z118" s="369">
        <v>2.91</v>
      </c>
      <c r="AA118" s="369">
        <v>2.91</v>
      </c>
      <c r="AB118" s="369">
        <v>2.91</v>
      </c>
      <c r="AC118" s="369">
        <v>2.9</v>
      </c>
      <c r="AD118" s="369">
        <v>2.9</v>
      </c>
      <c r="AE118" s="369">
        <v>2.9</v>
      </c>
      <c r="AF118" s="369">
        <v>2.89</v>
      </c>
      <c r="AG118" s="369">
        <v>2.89</v>
      </c>
      <c r="AH118" s="369">
        <v>2.89</v>
      </c>
      <c r="AI118" s="369">
        <v>2.89</v>
      </c>
      <c r="AJ118" s="369">
        <v>2.89</v>
      </c>
      <c r="AK118" s="369">
        <v>2.89</v>
      </c>
      <c r="AL118" s="369">
        <v>2.89</v>
      </c>
      <c r="AM118" s="369">
        <v>2.89</v>
      </c>
      <c r="AN118" s="369">
        <v>2.89</v>
      </c>
      <c r="AO118" s="369">
        <v>2.89</v>
      </c>
      <c r="AP118" s="369">
        <v>2.89</v>
      </c>
      <c r="AQ118" s="369">
        <v>2.89</v>
      </c>
      <c r="AR118" s="369">
        <v>2.89</v>
      </c>
      <c r="AS118" s="369">
        <v>2.89</v>
      </c>
      <c r="AT118" s="369">
        <v>2.89</v>
      </c>
      <c r="AU118" s="369">
        <v>2.88</v>
      </c>
      <c r="AV118" s="369">
        <v>2.88</v>
      </c>
      <c r="AW118" s="369">
        <v>2.88</v>
      </c>
      <c r="AX118" s="369">
        <v>2.88</v>
      </c>
      <c r="AY118" s="369">
        <v>2.88</v>
      </c>
      <c r="AZ118" s="60">
        <v>8.9999999999999993E-3</v>
      </c>
      <c r="BA118" s="108">
        <f t="shared" si="2"/>
        <v>0.89999999999999991</v>
      </c>
      <c r="BC118" s="459">
        <v>3.64</v>
      </c>
      <c r="BD118" s="705">
        <v>32379</v>
      </c>
      <c r="BE118" s="705">
        <v>31940</v>
      </c>
      <c r="BF118" s="705">
        <v>26044</v>
      </c>
      <c r="BG118" s="705">
        <v>20355</v>
      </c>
    </row>
    <row r="119" spans="1:60">
      <c r="A119" s="111">
        <v>43159</v>
      </c>
      <c r="B119" s="369">
        <v>1.19</v>
      </c>
      <c r="C119" s="369">
        <v>1.25</v>
      </c>
      <c r="D119" s="369">
        <v>1.35</v>
      </c>
      <c r="E119" s="369">
        <v>1.5</v>
      </c>
      <c r="F119" s="369">
        <v>1.64</v>
      </c>
      <c r="G119" s="369">
        <v>1.8</v>
      </c>
      <c r="H119" s="369">
        <v>1.94</v>
      </c>
      <c r="I119" s="369">
        <v>2.08</v>
      </c>
      <c r="J119" s="369">
        <v>2.21</v>
      </c>
      <c r="K119" s="369">
        <v>2.3199999999999998</v>
      </c>
      <c r="L119" s="369">
        <v>2.4300000000000002</v>
      </c>
      <c r="M119" s="369">
        <v>2.52</v>
      </c>
      <c r="N119" s="369">
        <v>2.59</v>
      </c>
      <c r="O119" s="369">
        <v>2.66</v>
      </c>
      <c r="P119" s="459">
        <v>2.72</v>
      </c>
      <c r="Q119" s="369">
        <v>2.75</v>
      </c>
      <c r="R119" s="369">
        <v>2.78</v>
      </c>
      <c r="S119" s="369">
        <v>2.81</v>
      </c>
      <c r="T119" s="369">
        <v>2.83</v>
      </c>
      <c r="U119" s="369">
        <v>2.85</v>
      </c>
      <c r="V119" s="369">
        <v>2.86</v>
      </c>
      <c r="W119" s="369">
        <v>2.86</v>
      </c>
      <c r="X119" s="369">
        <v>2.87</v>
      </c>
      <c r="Y119" s="369">
        <v>2.87</v>
      </c>
      <c r="Z119" s="369">
        <v>2.88</v>
      </c>
      <c r="AA119" s="369">
        <v>2.87</v>
      </c>
      <c r="AB119" s="369">
        <v>2.87</v>
      </c>
      <c r="AC119" s="369">
        <v>2.87</v>
      </c>
      <c r="AD119" s="369">
        <v>2.86</v>
      </c>
      <c r="AE119" s="369">
        <v>2.86</v>
      </c>
      <c r="AF119" s="369">
        <v>2.86</v>
      </c>
      <c r="AG119" s="369">
        <v>2.86</v>
      </c>
      <c r="AH119" s="369">
        <v>2.86</v>
      </c>
      <c r="AI119" s="369">
        <v>2.86</v>
      </c>
      <c r="AJ119" s="369">
        <v>2.86</v>
      </c>
      <c r="AK119" s="369">
        <v>2.86</v>
      </c>
      <c r="AL119" s="369">
        <v>2.86</v>
      </c>
      <c r="AM119" s="369">
        <v>2.86</v>
      </c>
      <c r="AN119" s="369">
        <v>2.86</v>
      </c>
      <c r="AO119" s="369">
        <v>2.86</v>
      </c>
      <c r="AP119" s="369">
        <v>2.86</v>
      </c>
      <c r="AQ119" s="369">
        <v>2.86</v>
      </c>
      <c r="AR119" s="369">
        <v>2.85</v>
      </c>
      <c r="AS119" s="369">
        <v>2.85</v>
      </c>
      <c r="AT119" s="369">
        <v>2.85</v>
      </c>
      <c r="AU119" s="369">
        <v>2.85</v>
      </c>
      <c r="AV119" s="369">
        <v>2.85</v>
      </c>
      <c r="AW119" s="369">
        <v>2.85</v>
      </c>
      <c r="AX119" s="369">
        <v>2.85</v>
      </c>
      <c r="AY119" s="369">
        <v>2.85</v>
      </c>
      <c r="AZ119" s="60">
        <v>8.9999999999999993E-3</v>
      </c>
      <c r="BA119" s="108">
        <f t="shared" si="2"/>
        <v>0.89999999999999991</v>
      </c>
      <c r="BC119" s="459">
        <v>3.61</v>
      </c>
      <c r="BD119" s="704">
        <f>BD$118+(BD$130-BD$118)/12*$BH119</f>
        <v>32746.916666666668</v>
      </c>
      <c r="BE119" s="704">
        <f t="shared" ref="BE119:BG129" si="8">BE$118+(BE$130-BE$118)/12*$BH119</f>
        <v>32764.333333333332</v>
      </c>
      <c r="BF119" s="704">
        <f t="shared" si="8"/>
        <v>26326.25</v>
      </c>
      <c r="BG119" s="704">
        <f t="shared" si="8"/>
        <v>20855.583333333332</v>
      </c>
      <c r="BH119" s="704">
        <v>1</v>
      </c>
    </row>
    <row r="120" spans="1:60" ht="12.75" customHeight="1">
      <c r="A120" s="111">
        <v>43190</v>
      </c>
      <c r="B120" s="369">
        <v>1.1599999999999999</v>
      </c>
      <c r="C120" s="369">
        <v>1.21</v>
      </c>
      <c r="D120" s="369">
        <v>1.31</v>
      </c>
      <c r="E120" s="369">
        <v>1.45</v>
      </c>
      <c r="F120" s="369">
        <v>1.6</v>
      </c>
      <c r="G120" s="369">
        <v>1.76</v>
      </c>
      <c r="H120" s="369">
        <v>1.9</v>
      </c>
      <c r="I120" s="369">
        <v>2.04</v>
      </c>
      <c r="J120" s="369">
        <v>2.16</v>
      </c>
      <c r="K120" s="369">
        <v>2.2799999999999998</v>
      </c>
      <c r="L120" s="369">
        <v>2.39</v>
      </c>
      <c r="M120" s="369">
        <v>2.48</v>
      </c>
      <c r="N120" s="369">
        <v>2.5499999999999998</v>
      </c>
      <c r="O120" s="369">
        <v>2.62</v>
      </c>
      <c r="P120" s="459">
        <v>2.68</v>
      </c>
      <c r="Q120" s="369">
        <v>2.71</v>
      </c>
      <c r="R120" s="369">
        <v>2.74</v>
      </c>
      <c r="S120" s="369">
        <v>2.77</v>
      </c>
      <c r="T120" s="369">
        <v>2.79</v>
      </c>
      <c r="U120" s="369">
        <v>2.81</v>
      </c>
      <c r="V120" s="369">
        <v>2.82</v>
      </c>
      <c r="W120" s="369">
        <v>2.82</v>
      </c>
      <c r="X120" s="369">
        <v>2.83</v>
      </c>
      <c r="Y120" s="369">
        <v>2.83</v>
      </c>
      <c r="Z120" s="369">
        <v>2.84</v>
      </c>
      <c r="AA120" s="369">
        <v>2.83</v>
      </c>
      <c r="AB120" s="369">
        <v>2.83</v>
      </c>
      <c r="AC120" s="369">
        <v>2.83</v>
      </c>
      <c r="AD120" s="369">
        <v>2.82</v>
      </c>
      <c r="AE120" s="369">
        <v>2.82</v>
      </c>
      <c r="AF120" s="369">
        <v>2.82</v>
      </c>
      <c r="AG120" s="369">
        <v>2.82</v>
      </c>
      <c r="AH120" s="369">
        <v>2.82</v>
      </c>
      <c r="AI120" s="369">
        <v>2.82</v>
      </c>
      <c r="AJ120" s="369">
        <v>2.82</v>
      </c>
      <c r="AK120" s="369">
        <v>2.82</v>
      </c>
      <c r="AL120" s="369">
        <v>2.82</v>
      </c>
      <c r="AM120" s="369">
        <v>2.82</v>
      </c>
      <c r="AN120" s="369">
        <v>2.82</v>
      </c>
      <c r="AO120" s="369">
        <v>2.82</v>
      </c>
      <c r="AP120" s="369">
        <v>2.82</v>
      </c>
      <c r="AQ120" s="369">
        <v>2.82</v>
      </c>
      <c r="AR120" s="369">
        <v>2.82</v>
      </c>
      <c r="AS120" s="369">
        <v>2.82</v>
      </c>
      <c r="AT120" s="369">
        <v>2.82</v>
      </c>
      <c r="AU120" s="369">
        <v>2.82</v>
      </c>
      <c r="AV120" s="369">
        <v>2.82</v>
      </c>
      <c r="AW120" s="369">
        <v>2.82</v>
      </c>
      <c r="AX120" s="369">
        <v>2.82</v>
      </c>
      <c r="AY120" s="369">
        <v>2.82</v>
      </c>
      <c r="AZ120" s="60">
        <v>8.9999999999999993E-3</v>
      </c>
      <c r="BA120" s="108">
        <f t="shared" si="2"/>
        <v>0.89999999999999991</v>
      </c>
      <c r="BC120" s="459">
        <v>3.57</v>
      </c>
      <c r="BD120" s="704">
        <f t="shared" ref="BD120:BD129" si="9">BD$118+(BD$130-BD$118)/12*$BH120</f>
        <v>33114.833333333336</v>
      </c>
      <c r="BE120" s="704">
        <f t="shared" si="8"/>
        <v>33588.666666666664</v>
      </c>
      <c r="BF120" s="704">
        <f t="shared" si="8"/>
        <v>26608.5</v>
      </c>
      <c r="BG120" s="704">
        <f t="shared" si="8"/>
        <v>21356.166666666668</v>
      </c>
      <c r="BH120" s="704">
        <v>2</v>
      </c>
    </row>
    <row r="121" spans="1:60">
      <c r="A121" s="111">
        <v>43220</v>
      </c>
      <c r="B121" s="369">
        <v>1.1200000000000001</v>
      </c>
      <c r="C121" s="369">
        <v>1.17</v>
      </c>
      <c r="D121" s="369">
        <v>1.27</v>
      </c>
      <c r="E121" s="369">
        <v>1.41</v>
      </c>
      <c r="F121" s="369">
        <v>1.56</v>
      </c>
      <c r="G121" s="369">
        <v>1.72</v>
      </c>
      <c r="H121" s="369">
        <v>1.86</v>
      </c>
      <c r="I121" s="369">
        <v>2</v>
      </c>
      <c r="J121" s="369">
        <v>2.12</v>
      </c>
      <c r="K121" s="369">
        <v>2.2400000000000002</v>
      </c>
      <c r="L121" s="369">
        <v>2.35</v>
      </c>
      <c r="M121" s="369">
        <v>2.44</v>
      </c>
      <c r="N121" s="369">
        <v>2.5099999999999998</v>
      </c>
      <c r="O121" s="369">
        <v>2.58</v>
      </c>
      <c r="P121" s="459">
        <v>2.64</v>
      </c>
      <c r="Q121" s="369">
        <v>2.67</v>
      </c>
      <c r="R121" s="369">
        <v>2.7</v>
      </c>
      <c r="S121" s="369">
        <v>2.73</v>
      </c>
      <c r="T121" s="369">
        <v>2.75</v>
      </c>
      <c r="U121" s="369">
        <v>2.77</v>
      </c>
      <c r="V121" s="369">
        <v>2.78</v>
      </c>
      <c r="W121" s="369">
        <v>2.79</v>
      </c>
      <c r="X121" s="369">
        <v>2.79</v>
      </c>
      <c r="Y121" s="369">
        <v>2.8</v>
      </c>
      <c r="Z121" s="369">
        <v>2.8</v>
      </c>
      <c r="AA121" s="369">
        <v>2.8</v>
      </c>
      <c r="AB121" s="369">
        <v>2.79</v>
      </c>
      <c r="AC121" s="369">
        <v>2.79</v>
      </c>
      <c r="AD121" s="369">
        <v>2.79</v>
      </c>
      <c r="AE121" s="369">
        <v>2.79</v>
      </c>
      <c r="AF121" s="369">
        <v>2.79</v>
      </c>
      <c r="AG121" s="369">
        <v>2.79</v>
      </c>
      <c r="AH121" s="369">
        <v>2.79</v>
      </c>
      <c r="AI121" s="369">
        <v>2.79</v>
      </c>
      <c r="AJ121" s="369">
        <v>2.79</v>
      </c>
      <c r="AK121" s="369">
        <v>2.79</v>
      </c>
      <c r="AL121" s="369">
        <v>2.79</v>
      </c>
      <c r="AM121" s="369">
        <v>2.79</v>
      </c>
      <c r="AN121" s="369">
        <v>2.79</v>
      </c>
      <c r="AO121" s="369">
        <v>2.79</v>
      </c>
      <c r="AP121" s="369">
        <v>2.79</v>
      </c>
      <c r="AQ121" s="369">
        <v>2.79</v>
      </c>
      <c r="AR121" s="369">
        <v>2.79</v>
      </c>
      <c r="AS121" s="369">
        <v>2.79</v>
      </c>
      <c r="AT121" s="369">
        <v>2.79</v>
      </c>
      <c r="AU121" s="369">
        <v>2.79</v>
      </c>
      <c r="AV121" s="369">
        <v>2.78</v>
      </c>
      <c r="AW121" s="369">
        <v>2.78</v>
      </c>
      <c r="AX121" s="369">
        <v>2.78</v>
      </c>
      <c r="AY121" s="369">
        <v>2.78</v>
      </c>
      <c r="AZ121" s="60">
        <v>8.9999999999999993E-3</v>
      </c>
      <c r="BA121" s="108">
        <f t="shared" si="2"/>
        <v>0.89999999999999991</v>
      </c>
      <c r="BC121" s="459">
        <v>3.53</v>
      </c>
      <c r="BD121" s="704">
        <f t="shared" si="9"/>
        <v>33482.75</v>
      </c>
      <c r="BE121" s="704">
        <f t="shared" si="8"/>
        <v>34413</v>
      </c>
      <c r="BF121" s="704">
        <f t="shared" si="8"/>
        <v>26890.75</v>
      </c>
      <c r="BG121" s="704">
        <f t="shared" si="8"/>
        <v>21856.75</v>
      </c>
      <c r="BH121" s="704">
        <v>3</v>
      </c>
    </row>
    <row r="122" spans="1:60">
      <c r="A122" s="111">
        <v>43251</v>
      </c>
      <c r="B122" s="369">
        <v>1.0900000000000001</v>
      </c>
      <c r="C122" s="369">
        <v>1.1399999999999999</v>
      </c>
      <c r="D122" s="369">
        <v>1.24</v>
      </c>
      <c r="E122" s="369">
        <v>1.38</v>
      </c>
      <c r="F122" s="369">
        <v>1.52</v>
      </c>
      <c r="G122" s="369">
        <v>1.68</v>
      </c>
      <c r="H122" s="369">
        <v>1.82</v>
      </c>
      <c r="I122" s="369">
        <v>1.96</v>
      </c>
      <c r="J122" s="369">
        <v>2.08</v>
      </c>
      <c r="K122" s="369">
        <v>2.2000000000000002</v>
      </c>
      <c r="L122" s="369">
        <v>2.31</v>
      </c>
      <c r="M122" s="369">
        <v>2.4</v>
      </c>
      <c r="N122" s="369">
        <v>2.4700000000000002</v>
      </c>
      <c r="O122" s="369">
        <v>2.54</v>
      </c>
      <c r="P122" s="459">
        <v>2.6</v>
      </c>
      <c r="Q122" s="369">
        <v>2.63</v>
      </c>
      <c r="R122" s="369">
        <v>2.66</v>
      </c>
      <c r="S122" s="369">
        <v>2.69</v>
      </c>
      <c r="T122" s="369">
        <v>2.71</v>
      </c>
      <c r="U122" s="369">
        <v>2.74</v>
      </c>
      <c r="V122" s="369">
        <v>2.74</v>
      </c>
      <c r="W122" s="369">
        <v>2.75</v>
      </c>
      <c r="X122" s="369">
        <v>2.75</v>
      </c>
      <c r="Y122" s="369">
        <v>2.76</v>
      </c>
      <c r="Z122" s="369">
        <v>2.76</v>
      </c>
      <c r="AA122" s="369">
        <v>2.76</v>
      </c>
      <c r="AB122" s="369">
        <v>2.76</v>
      </c>
      <c r="AC122" s="369">
        <v>2.76</v>
      </c>
      <c r="AD122" s="369">
        <v>2.75</v>
      </c>
      <c r="AE122" s="369">
        <v>2.75</v>
      </c>
      <c r="AF122" s="369">
        <v>2.75</v>
      </c>
      <c r="AG122" s="369">
        <v>2.75</v>
      </c>
      <c r="AH122" s="369">
        <v>2.75</v>
      </c>
      <c r="AI122" s="369">
        <v>2.75</v>
      </c>
      <c r="AJ122" s="369">
        <v>2.75</v>
      </c>
      <c r="AK122" s="369">
        <v>2.76</v>
      </c>
      <c r="AL122" s="369">
        <v>2.76</v>
      </c>
      <c r="AM122" s="369">
        <v>2.76</v>
      </c>
      <c r="AN122" s="369">
        <v>2.76</v>
      </c>
      <c r="AO122" s="369">
        <v>2.76</v>
      </c>
      <c r="AP122" s="369">
        <v>2.76</v>
      </c>
      <c r="AQ122" s="369">
        <v>2.76</v>
      </c>
      <c r="AR122" s="369">
        <v>2.75</v>
      </c>
      <c r="AS122" s="369">
        <v>2.75</v>
      </c>
      <c r="AT122" s="369">
        <v>2.75</v>
      </c>
      <c r="AU122" s="369">
        <v>2.75</v>
      </c>
      <c r="AV122" s="369">
        <v>2.75</v>
      </c>
      <c r="AW122" s="369">
        <v>2.75</v>
      </c>
      <c r="AX122" s="369">
        <v>2.75</v>
      </c>
      <c r="AY122" s="369">
        <v>2.75</v>
      </c>
      <c r="AZ122" s="60">
        <v>8.9999999999999993E-3</v>
      </c>
      <c r="BA122" s="108">
        <f t="shared" si="2"/>
        <v>0.89999999999999991</v>
      </c>
      <c r="BC122" s="459">
        <v>3.5</v>
      </c>
      <c r="BD122" s="704">
        <f t="shared" si="9"/>
        <v>33850.666666666664</v>
      </c>
      <c r="BE122" s="704">
        <f t="shared" si="8"/>
        <v>35237.333333333336</v>
      </c>
      <c r="BF122" s="704">
        <f t="shared" si="8"/>
        <v>27173</v>
      </c>
      <c r="BG122" s="704">
        <f t="shared" si="8"/>
        <v>22357.333333333332</v>
      </c>
      <c r="BH122" s="704">
        <v>4</v>
      </c>
    </row>
    <row r="123" spans="1:60">
      <c r="A123" s="111">
        <v>43281</v>
      </c>
      <c r="B123" s="369">
        <v>1.05</v>
      </c>
      <c r="C123" s="369">
        <v>1.1000000000000001</v>
      </c>
      <c r="D123" s="369">
        <v>1.2</v>
      </c>
      <c r="E123" s="369">
        <v>1.34</v>
      </c>
      <c r="F123" s="369">
        <v>1.48</v>
      </c>
      <c r="G123" s="369">
        <v>1.64</v>
      </c>
      <c r="H123" s="369">
        <v>1.78</v>
      </c>
      <c r="I123" s="369">
        <v>1.92</v>
      </c>
      <c r="J123" s="369">
        <v>2.04</v>
      </c>
      <c r="K123" s="369">
        <v>2.16</v>
      </c>
      <c r="L123" s="369">
        <v>2.27</v>
      </c>
      <c r="M123" s="369">
        <v>2.35</v>
      </c>
      <c r="N123" s="369">
        <v>2.4300000000000002</v>
      </c>
      <c r="O123" s="369">
        <v>2.5</v>
      </c>
      <c r="P123" s="459">
        <v>2.56</v>
      </c>
      <c r="Q123" s="369">
        <v>2.59</v>
      </c>
      <c r="R123" s="369">
        <v>2.62</v>
      </c>
      <c r="S123" s="369">
        <v>2.65</v>
      </c>
      <c r="T123" s="369">
        <v>2.67</v>
      </c>
      <c r="U123" s="369">
        <v>2.7</v>
      </c>
      <c r="V123" s="369">
        <v>2.7</v>
      </c>
      <c r="W123" s="369">
        <v>2.71</v>
      </c>
      <c r="X123" s="369">
        <v>2.71</v>
      </c>
      <c r="Y123" s="369">
        <v>2.72</v>
      </c>
      <c r="Z123" s="369">
        <v>2.72</v>
      </c>
      <c r="AA123" s="369">
        <v>2.72</v>
      </c>
      <c r="AB123" s="369">
        <v>2.72</v>
      </c>
      <c r="AC123" s="369">
        <v>2.72</v>
      </c>
      <c r="AD123" s="369">
        <v>2.71</v>
      </c>
      <c r="AE123" s="369">
        <v>2.71</v>
      </c>
      <c r="AF123" s="369">
        <v>2.71</v>
      </c>
      <c r="AG123" s="369">
        <v>2.71</v>
      </c>
      <c r="AH123" s="369">
        <v>2.72</v>
      </c>
      <c r="AI123" s="369">
        <v>2.72</v>
      </c>
      <c r="AJ123" s="369">
        <v>2.72</v>
      </c>
      <c r="AK123" s="369">
        <v>2.72</v>
      </c>
      <c r="AL123" s="369">
        <v>2.72</v>
      </c>
      <c r="AM123" s="369">
        <v>2.72</v>
      </c>
      <c r="AN123" s="369">
        <v>2.72</v>
      </c>
      <c r="AO123" s="369">
        <v>2.72</v>
      </c>
      <c r="AP123" s="369">
        <v>2.72</v>
      </c>
      <c r="AQ123" s="369">
        <v>2.72</v>
      </c>
      <c r="AR123" s="369">
        <v>2.72</v>
      </c>
      <c r="AS123" s="369">
        <v>2.72</v>
      </c>
      <c r="AT123" s="369">
        <v>2.71</v>
      </c>
      <c r="AU123" s="369">
        <v>2.71</v>
      </c>
      <c r="AV123" s="369">
        <v>2.71</v>
      </c>
      <c r="AW123" s="369">
        <v>2.71</v>
      </c>
      <c r="AX123" s="369">
        <v>2.71</v>
      </c>
      <c r="AY123" s="369">
        <v>2.71</v>
      </c>
      <c r="AZ123" s="60">
        <v>8.9999999999999993E-3</v>
      </c>
      <c r="BA123" s="108">
        <f t="shared" si="2"/>
        <v>0.89999999999999991</v>
      </c>
      <c r="BC123" s="459">
        <v>3.46</v>
      </c>
      <c r="BD123" s="704">
        <f t="shared" si="9"/>
        <v>34218.583333333336</v>
      </c>
      <c r="BE123" s="704">
        <f t="shared" si="8"/>
        <v>36061.666666666664</v>
      </c>
      <c r="BF123" s="704">
        <f t="shared" si="8"/>
        <v>27455.25</v>
      </c>
      <c r="BG123" s="704">
        <f t="shared" si="8"/>
        <v>22857.916666666668</v>
      </c>
      <c r="BH123" s="704">
        <v>5</v>
      </c>
    </row>
    <row r="124" spans="1:60" ht="12.75" customHeight="1">
      <c r="A124" s="111">
        <v>43312</v>
      </c>
      <c r="B124" s="369">
        <v>1.02</v>
      </c>
      <c r="C124" s="369">
        <v>1.06</v>
      </c>
      <c r="D124" s="369">
        <v>1.1599999999999999</v>
      </c>
      <c r="E124" s="369">
        <v>1.3</v>
      </c>
      <c r="F124" s="369">
        <v>1.44</v>
      </c>
      <c r="G124" s="369">
        <v>1.6</v>
      </c>
      <c r="H124" s="369">
        <v>1.74</v>
      </c>
      <c r="I124" s="369">
        <v>1.88</v>
      </c>
      <c r="J124" s="369">
        <v>2</v>
      </c>
      <c r="K124" s="369">
        <v>2.12</v>
      </c>
      <c r="L124" s="369">
        <v>2.23</v>
      </c>
      <c r="M124" s="369">
        <v>2.3199999999999998</v>
      </c>
      <c r="N124" s="369">
        <v>2.39</v>
      </c>
      <c r="O124" s="369">
        <v>2.46</v>
      </c>
      <c r="P124" s="459">
        <v>2.52</v>
      </c>
      <c r="Q124" s="369">
        <v>2.5499999999999998</v>
      </c>
      <c r="R124" s="369">
        <v>2.58</v>
      </c>
      <c r="S124" s="369">
        <v>2.61</v>
      </c>
      <c r="T124" s="369">
        <v>2.64</v>
      </c>
      <c r="U124" s="369">
        <v>2.66</v>
      </c>
      <c r="V124" s="369">
        <v>2.67</v>
      </c>
      <c r="W124" s="369">
        <v>2.67</v>
      </c>
      <c r="X124" s="369">
        <v>2.68</v>
      </c>
      <c r="Y124" s="369">
        <v>2.68</v>
      </c>
      <c r="Z124" s="369">
        <v>2.69</v>
      </c>
      <c r="AA124" s="369">
        <v>2.69</v>
      </c>
      <c r="AB124" s="369">
        <v>2.68</v>
      </c>
      <c r="AC124" s="369">
        <v>2.68</v>
      </c>
      <c r="AD124" s="369">
        <v>2.68</v>
      </c>
      <c r="AE124" s="369">
        <v>2.68</v>
      </c>
      <c r="AF124" s="369">
        <v>2.68</v>
      </c>
      <c r="AG124" s="369">
        <v>2.68</v>
      </c>
      <c r="AH124" s="369">
        <v>2.68</v>
      </c>
      <c r="AI124" s="369">
        <v>2.68</v>
      </c>
      <c r="AJ124" s="369">
        <v>2.68</v>
      </c>
      <c r="AK124" s="369">
        <v>2.68</v>
      </c>
      <c r="AL124" s="369">
        <v>2.68</v>
      </c>
      <c r="AM124" s="369">
        <v>2.68</v>
      </c>
      <c r="AN124" s="369">
        <v>2.69</v>
      </c>
      <c r="AO124" s="369">
        <v>2.69</v>
      </c>
      <c r="AP124" s="369">
        <v>2.68</v>
      </c>
      <c r="AQ124" s="369">
        <v>2.68</v>
      </c>
      <c r="AR124" s="369">
        <v>2.68</v>
      </c>
      <c r="AS124" s="369">
        <v>2.68</v>
      </c>
      <c r="AT124" s="369">
        <v>2.68</v>
      </c>
      <c r="AU124" s="369">
        <v>2.68</v>
      </c>
      <c r="AV124" s="369">
        <v>2.68</v>
      </c>
      <c r="AW124" s="369">
        <v>2.68</v>
      </c>
      <c r="AX124" s="369">
        <v>2.68</v>
      </c>
      <c r="AY124" s="369">
        <v>2.68</v>
      </c>
      <c r="AZ124" s="60">
        <v>8.9999999999999993E-3</v>
      </c>
      <c r="BA124" s="108">
        <f t="shared" si="2"/>
        <v>0.89999999999999991</v>
      </c>
      <c r="BC124" s="459">
        <v>3.42</v>
      </c>
      <c r="BD124" s="704">
        <f t="shared" si="9"/>
        <v>34586.5</v>
      </c>
      <c r="BE124" s="704">
        <f t="shared" si="8"/>
        <v>36886</v>
      </c>
      <c r="BF124" s="704">
        <f t="shared" si="8"/>
        <v>27737.5</v>
      </c>
      <c r="BG124" s="704">
        <f t="shared" si="8"/>
        <v>23358.5</v>
      </c>
      <c r="BH124" s="704">
        <v>6</v>
      </c>
    </row>
    <row r="125" spans="1:60">
      <c r="A125" s="111">
        <v>43343</v>
      </c>
      <c r="B125" s="369">
        <v>0.98</v>
      </c>
      <c r="C125" s="369">
        <v>1.02</v>
      </c>
      <c r="D125" s="369">
        <v>1.1200000000000001</v>
      </c>
      <c r="E125" s="369">
        <v>1.26</v>
      </c>
      <c r="F125" s="369">
        <v>1.4</v>
      </c>
      <c r="G125" s="369">
        <v>1.56</v>
      </c>
      <c r="H125" s="369">
        <v>1.7</v>
      </c>
      <c r="I125" s="369">
        <v>1.84</v>
      </c>
      <c r="J125" s="369">
        <v>1.96</v>
      </c>
      <c r="K125" s="369">
        <v>2.08</v>
      </c>
      <c r="L125" s="369">
        <v>2.19</v>
      </c>
      <c r="M125" s="369">
        <v>2.27</v>
      </c>
      <c r="N125" s="369">
        <v>2.35</v>
      </c>
      <c r="O125" s="369">
        <v>2.42</v>
      </c>
      <c r="P125" s="459">
        <v>2.48</v>
      </c>
      <c r="Q125" s="369">
        <v>2.5099999999999998</v>
      </c>
      <c r="R125" s="369">
        <v>2.54</v>
      </c>
      <c r="S125" s="369">
        <v>2.57</v>
      </c>
      <c r="T125" s="369">
        <v>2.59</v>
      </c>
      <c r="U125" s="369">
        <v>2.62</v>
      </c>
      <c r="V125" s="369">
        <v>2.62</v>
      </c>
      <c r="W125" s="369">
        <v>2.63</v>
      </c>
      <c r="X125" s="369">
        <v>2.64</v>
      </c>
      <c r="Y125" s="369">
        <v>2.64</v>
      </c>
      <c r="Z125" s="369">
        <v>2.65</v>
      </c>
      <c r="AA125" s="369">
        <v>2.65</v>
      </c>
      <c r="AB125" s="369">
        <v>2.65</v>
      </c>
      <c r="AC125" s="369">
        <v>2.64</v>
      </c>
      <c r="AD125" s="369">
        <v>2.64</v>
      </c>
      <c r="AE125" s="369">
        <v>2.64</v>
      </c>
      <c r="AF125" s="369">
        <v>2.64</v>
      </c>
      <c r="AG125" s="369">
        <v>2.64</v>
      </c>
      <c r="AH125" s="369">
        <v>2.64</v>
      </c>
      <c r="AI125" s="369">
        <v>2.65</v>
      </c>
      <c r="AJ125" s="369">
        <v>2.65</v>
      </c>
      <c r="AK125" s="369">
        <v>2.65</v>
      </c>
      <c r="AL125" s="369">
        <v>2.65</v>
      </c>
      <c r="AM125" s="369">
        <v>2.65</v>
      </c>
      <c r="AN125" s="369">
        <v>2.65</v>
      </c>
      <c r="AO125" s="369">
        <v>2.65</v>
      </c>
      <c r="AP125" s="369">
        <v>2.65</v>
      </c>
      <c r="AQ125" s="369">
        <v>2.65</v>
      </c>
      <c r="AR125" s="369">
        <v>2.65</v>
      </c>
      <c r="AS125" s="369">
        <v>2.64</v>
      </c>
      <c r="AT125" s="369">
        <v>2.64</v>
      </c>
      <c r="AU125" s="369">
        <v>2.64</v>
      </c>
      <c r="AV125" s="369">
        <v>2.64</v>
      </c>
      <c r="AW125" s="369">
        <v>2.64</v>
      </c>
      <c r="AX125" s="369">
        <v>2.64</v>
      </c>
      <c r="AY125" s="369">
        <v>2.64</v>
      </c>
      <c r="AZ125" s="60">
        <v>8.9999999999999993E-3</v>
      </c>
      <c r="BA125" s="108">
        <f t="shared" si="2"/>
        <v>0.89999999999999991</v>
      </c>
      <c r="BC125" s="459">
        <v>3.39</v>
      </c>
      <c r="BD125" s="704">
        <f t="shared" si="9"/>
        <v>34954.416666666664</v>
      </c>
      <c r="BE125" s="704">
        <f t="shared" si="8"/>
        <v>37710.333333333336</v>
      </c>
      <c r="BF125" s="704">
        <f t="shared" si="8"/>
        <v>28019.75</v>
      </c>
      <c r="BG125" s="704">
        <f t="shared" si="8"/>
        <v>23859.083333333332</v>
      </c>
      <c r="BH125" s="704">
        <v>7</v>
      </c>
    </row>
    <row r="126" spans="1:60">
      <c r="A126" s="111">
        <v>43373</v>
      </c>
      <c r="B126" s="369">
        <v>0.93</v>
      </c>
      <c r="C126" s="369">
        <v>0.98</v>
      </c>
      <c r="D126" s="369">
        <v>1.08</v>
      </c>
      <c r="E126" s="369">
        <v>1.22</v>
      </c>
      <c r="F126" s="369">
        <v>1.36</v>
      </c>
      <c r="G126" s="369">
        <v>1.52</v>
      </c>
      <c r="H126" s="369">
        <v>1.66</v>
      </c>
      <c r="I126" s="369">
        <v>1.8</v>
      </c>
      <c r="J126" s="369">
        <v>1.92</v>
      </c>
      <c r="K126" s="369">
        <v>2.04</v>
      </c>
      <c r="L126" s="369">
        <v>2.15</v>
      </c>
      <c r="M126" s="369">
        <v>2.23</v>
      </c>
      <c r="N126" s="369">
        <v>2.31</v>
      </c>
      <c r="O126" s="369">
        <v>2.38</v>
      </c>
      <c r="P126" s="459">
        <v>2.4300000000000002</v>
      </c>
      <c r="Q126" s="369">
        <v>2.4700000000000002</v>
      </c>
      <c r="R126" s="369">
        <v>2.5</v>
      </c>
      <c r="S126" s="369">
        <v>2.5299999999999998</v>
      </c>
      <c r="T126" s="369">
        <v>2.56</v>
      </c>
      <c r="U126" s="369">
        <v>2.58</v>
      </c>
      <c r="V126" s="369">
        <v>2.59</v>
      </c>
      <c r="W126" s="369">
        <v>2.59</v>
      </c>
      <c r="X126" s="369">
        <v>2.6</v>
      </c>
      <c r="Y126" s="369">
        <v>2.61</v>
      </c>
      <c r="Z126" s="369">
        <v>2.61</v>
      </c>
      <c r="AA126" s="369">
        <v>2.61</v>
      </c>
      <c r="AB126" s="369">
        <v>2.61</v>
      </c>
      <c r="AC126" s="369">
        <v>2.61</v>
      </c>
      <c r="AD126" s="369">
        <v>2.61</v>
      </c>
      <c r="AE126" s="369">
        <v>2.61</v>
      </c>
      <c r="AF126" s="369">
        <v>2.61</v>
      </c>
      <c r="AG126" s="369">
        <v>2.61</v>
      </c>
      <c r="AH126" s="369">
        <v>2.61</v>
      </c>
      <c r="AI126" s="369">
        <v>2.61</v>
      </c>
      <c r="AJ126" s="369">
        <v>2.61</v>
      </c>
      <c r="AK126" s="369">
        <v>2.61</v>
      </c>
      <c r="AL126" s="369">
        <v>2.61</v>
      </c>
      <c r="AM126" s="369">
        <v>2.61</v>
      </c>
      <c r="AN126" s="369">
        <v>2.61</v>
      </c>
      <c r="AO126" s="369">
        <v>2.61</v>
      </c>
      <c r="AP126" s="369">
        <v>2.61</v>
      </c>
      <c r="AQ126" s="369">
        <v>2.61</v>
      </c>
      <c r="AR126" s="369">
        <v>2.61</v>
      </c>
      <c r="AS126" s="369">
        <v>2.61</v>
      </c>
      <c r="AT126" s="369">
        <v>2.61</v>
      </c>
      <c r="AU126" s="369">
        <v>2.61</v>
      </c>
      <c r="AV126" s="369">
        <v>2.61</v>
      </c>
      <c r="AW126" s="369">
        <v>2.61</v>
      </c>
      <c r="AX126" s="369">
        <v>2.61</v>
      </c>
      <c r="AY126" s="369">
        <v>2.6</v>
      </c>
      <c r="AZ126" s="60">
        <v>8.9999999999999993E-3</v>
      </c>
      <c r="BA126" s="108">
        <f t="shared" si="2"/>
        <v>0.89999999999999991</v>
      </c>
      <c r="BC126" s="459">
        <v>3.34</v>
      </c>
      <c r="BD126" s="704">
        <f t="shared" si="9"/>
        <v>35322.333333333336</v>
      </c>
      <c r="BE126" s="704">
        <f t="shared" si="8"/>
        <v>38534.666666666664</v>
      </c>
      <c r="BF126" s="704">
        <f t="shared" si="8"/>
        <v>28302</v>
      </c>
      <c r="BG126" s="704">
        <f t="shared" si="8"/>
        <v>24359.666666666668</v>
      </c>
      <c r="BH126" s="704">
        <v>8</v>
      </c>
    </row>
    <row r="127" spans="1:60">
      <c r="A127" s="111">
        <v>43404</v>
      </c>
      <c r="B127" s="369">
        <v>0.89</v>
      </c>
      <c r="C127" s="369">
        <v>0.95</v>
      </c>
      <c r="D127" s="369">
        <v>1.05</v>
      </c>
      <c r="E127" s="369">
        <v>1.18</v>
      </c>
      <c r="F127" s="369">
        <v>1.33</v>
      </c>
      <c r="G127" s="369">
        <v>1.48</v>
      </c>
      <c r="H127" s="369">
        <v>1.62</v>
      </c>
      <c r="I127" s="369">
        <v>1.76</v>
      </c>
      <c r="J127" s="369">
        <v>1.88</v>
      </c>
      <c r="K127" s="369">
        <v>2</v>
      </c>
      <c r="L127" s="369">
        <v>2.11</v>
      </c>
      <c r="M127" s="369">
        <v>2.2000000000000002</v>
      </c>
      <c r="N127" s="369">
        <v>2.27</v>
      </c>
      <c r="O127" s="369">
        <v>2.34</v>
      </c>
      <c r="P127" s="459">
        <v>2.4</v>
      </c>
      <c r="Q127" s="369">
        <v>2.4300000000000002</v>
      </c>
      <c r="R127" s="369">
        <v>2.4700000000000002</v>
      </c>
      <c r="S127" s="369">
        <v>2.5</v>
      </c>
      <c r="T127" s="369">
        <v>2.52</v>
      </c>
      <c r="U127" s="369">
        <v>2.54</v>
      </c>
      <c r="V127" s="369">
        <v>2.5499999999999998</v>
      </c>
      <c r="W127" s="369">
        <v>2.56</v>
      </c>
      <c r="X127" s="369">
        <v>2.57</v>
      </c>
      <c r="Y127" s="369">
        <v>2.57</v>
      </c>
      <c r="Z127" s="369">
        <v>2.58</v>
      </c>
      <c r="AA127" s="369">
        <v>2.58</v>
      </c>
      <c r="AB127" s="369">
        <v>2.58</v>
      </c>
      <c r="AC127" s="369">
        <v>2.58</v>
      </c>
      <c r="AD127" s="369">
        <v>2.57</v>
      </c>
      <c r="AE127" s="369">
        <v>2.57</v>
      </c>
      <c r="AF127" s="369">
        <v>2.58</v>
      </c>
      <c r="AG127" s="369">
        <v>2.58</v>
      </c>
      <c r="AH127" s="369">
        <v>2.58</v>
      </c>
      <c r="AI127" s="369">
        <v>2.58</v>
      </c>
      <c r="AJ127" s="369">
        <v>2.58</v>
      </c>
      <c r="AK127" s="369">
        <v>2.58</v>
      </c>
      <c r="AL127" s="369">
        <v>2.58</v>
      </c>
      <c r="AM127" s="369">
        <v>2.58</v>
      </c>
      <c r="AN127" s="369">
        <v>2.58</v>
      </c>
      <c r="AO127" s="369">
        <v>2.58</v>
      </c>
      <c r="AP127" s="369">
        <v>2.58</v>
      </c>
      <c r="AQ127" s="369">
        <v>2.58</v>
      </c>
      <c r="AR127" s="369">
        <v>2.58</v>
      </c>
      <c r="AS127" s="369">
        <v>2.58</v>
      </c>
      <c r="AT127" s="369">
        <v>2.58</v>
      </c>
      <c r="AU127" s="369">
        <v>2.57</v>
      </c>
      <c r="AV127" s="369">
        <v>2.57</v>
      </c>
      <c r="AW127" s="369">
        <v>2.57</v>
      </c>
      <c r="AX127" s="369">
        <v>2.57</v>
      </c>
      <c r="AY127" s="369">
        <v>2.57</v>
      </c>
      <c r="AZ127" s="60">
        <v>8.9999999999999993E-3</v>
      </c>
      <c r="BA127" s="108">
        <f t="shared" si="2"/>
        <v>0.89999999999999991</v>
      </c>
      <c r="BC127" s="459">
        <v>3.29</v>
      </c>
      <c r="BD127" s="704">
        <f t="shared" si="9"/>
        <v>35690.25</v>
      </c>
      <c r="BE127" s="704">
        <f t="shared" si="8"/>
        <v>39359</v>
      </c>
      <c r="BF127" s="704">
        <f t="shared" si="8"/>
        <v>28584.25</v>
      </c>
      <c r="BG127" s="704">
        <f t="shared" si="8"/>
        <v>24860.25</v>
      </c>
      <c r="BH127" s="704">
        <v>9</v>
      </c>
    </row>
    <row r="128" spans="1:60" ht="12.75" customHeight="1">
      <c r="A128" s="111">
        <v>43434</v>
      </c>
      <c r="B128" s="369">
        <v>0.85</v>
      </c>
      <c r="C128" s="369">
        <v>0.91</v>
      </c>
      <c r="D128" s="369">
        <v>1.01</v>
      </c>
      <c r="E128" s="369">
        <v>1.1399999999999999</v>
      </c>
      <c r="F128" s="369">
        <v>1.29</v>
      </c>
      <c r="G128" s="369">
        <v>1.44</v>
      </c>
      <c r="H128" s="369">
        <v>1.58</v>
      </c>
      <c r="I128" s="369">
        <v>1.72</v>
      </c>
      <c r="J128" s="369">
        <v>1.84</v>
      </c>
      <c r="K128" s="369">
        <v>1.96</v>
      </c>
      <c r="L128" s="369">
        <v>2.0699999999999998</v>
      </c>
      <c r="M128" s="369">
        <v>2.16</v>
      </c>
      <c r="N128" s="369">
        <v>2.23</v>
      </c>
      <c r="O128" s="369">
        <v>2.2999999999999998</v>
      </c>
      <c r="P128" s="459">
        <v>2.36</v>
      </c>
      <c r="Q128" s="369">
        <v>2.39</v>
      </c>
      <c r="R128" s="369">
        <v>2.4300000000000002</v>
      </c>
      <c r="S128" s="369">
        <v>2.46</v>
      </c>
      <c r="T128" s="369">
        <v>2.48</v>
      </c>
      <c r="U128" s="369">
        <v>2.5099999999999998</v>
      </c>
      <c r="V128" s="369">
        <v>2.5099999999999998</v>
      </c>
      <c r="W128" s="369">
        <v>2.52</v>
      </c>
      <c r="X128" s="369">
        <v>2.5299999999999998</v>
      </c>
      <c r="Y128" s="369">
        <v>2.54</v>
      </c>
      <c r="Z128" s="369">
        <v>2.54</v>
      </c>
      <c r="AA128" s="369">
        <v>2.54</v>
      </c>
      <c r="AB128" s="369">
        <v>2.54</v>
      </c>
      <c r="AC128" s="369">
        <v>2.54</v>
      </c>
      <c r="AD128" s="369">
        <v>2.54</v>
      </c>
      <c r="AE128" s="369">
        <v>2.54</v>
      </c>
      <c r="AF128" s="369">
        <v>2.54</v>
      </c>
      <c r="AG128" s="369">
        <v>2.54</v>
      </c>
      <c r="AH128" s="369">
        <v>2.54</v>
      </c>
      <c r="AI128" s="369">
        <v>2.54</v>
      </c>
      <c r="AJ128" s="369">
        <v>2.54</v>
      </c>
      <c r="AK128" s="369">
        <v>2.54</v>
      </c>
      <c r="AL128" s="369">
        <v>2.54</v>
      </c>
      <c r="AM128" s="369">
        <v>2.5499999999999998</v>
      </c>
      <c r="AN128" s="369">
        <v>2.5499999999999998</v>
      </c>
      <c r="AO128" s="369">
        <v>2.5499999999999998</v>
      </c>
      <c r="AP128" s="369">
        <v>2.54</v>
      </c>
      <c r="AQ128" s="369">
        <v>2.54</v>
      </c>
      <c r="AR128" s="369">
        <v>2.54</v>
      </c>
      <c r="AS128" s="369">
        <v>2.54</v>
      </c>
      <c r="AT128" s="369">
        <v>2.54</v>
      </c>
      <c r="AU128" s="369">
        <v>2.54</v>
      </c>
      <c r="AV128" s="369">
        <v>2.54</v>
      </c>
      <c r="AW128" s="369">
        <v>2.54</v>
      </c>
      <c r="AX128" s="369">
        <v>2.54</v>
      </c>
      <c r="AY128" s="369">
        <v>2.54</v>
      </c>
      <c r="AZ128" s="60">
        <v>8.9999999999999993E-3</v>
      </c>
      <c r="BA128" s="108">
        <f t="shared" si="2"/>
        <v>0.89999999999999991</v>
      </c>
      <c r="BC128" s="459">
        <v>3.25</v>
      </c>
      <c r="BD128" s="704">
        <f t="shared" si="9"/>
        <v>36058.166666666664</v>
      </c>
      <c r="BE128" s="704">
        <f t="shared" si="8"/>
        <v>40183.333333333336</v>
      </c>
      <c r="BF128" s="704">
        <f t="shared" si="8"/>
        <v>28866.5</v>
      </c>
      <c r="BG128" s="704">
        <f t="shared" si="8"/>
        <v>25360.833333333332</v>
      </c>
      <c r="BH128" s="704">
        <v>10</v>
      </c>
    </row>
    <row r="129" spans="1:60" ht="12.75" customHeight="1">
      <c r="A129" s="111">
        <v>43465</v>
      </c>
      <c r="B129" s="369">
        <v>0.82</v>
      </c>
      <c r="C129" s="369">
        <v>0.88</v>
      </c>
      <c r="D129" s="369">
        <v>0.98</v>
      </c>
      <c r="E129" s="369">
        <v>1.1100000000000001</v>
      </c>
      <c r="F129" s="369">
        <v>1.25</v>
      </c>
      <c r="G129" s="369">
        <v>1.4</v>
      </c>
      <c r="H129" s="369">
        <v>1.55</v>
      </c>
      <c r="I129" s="369">
        <v>1.68</v>
      </c>
      <c r="J129" s="369">
        <v>1.81</v>
      </c>
      <c r="K129" s="369">
        <v>1.93</v>
      </c>
      <c r="L129" s="369">
        <v>2.0299999999999998</v>
      </c>
      <c r="M129" s="369">
        <v>2.12</v>
      </c>
      <c r="N129" s="369">
        <v>2.2000000000000002</v>
      </c>
      <c r="O129" s="369">
        <v>2.27</v>
      </c>
      <c r="P129" s="459">
        <v>2.3199999999999998</v>
      </c>
      <c r="Q129" s="369">
        <v>2.36</v>
      </c>
      <c r="R129" s="369">
        <v>2.39</v>
      </c>
      <c r="S129" s="369">
        <v>2.42</v>
      </c>
      <c r="T129" s="369">
        <v>2.4500000000000002</v>
      </c>
      <c r="U129" s="369">
        <v>2.4700000000000002</v>
      </c>
      <c r="V129" s="369">
        <v>2.48</v>
      </c>
      <c r="W129" s="369">
        <v>2.4900000000000002</v>
      </c>
      <c r="X129" s="369">
        <v>2.5</v>
      </c>
      <c r="Y129" s="369">
        <v>2.5099999999999998</v>
      </c>
      <c r="Z129" s="369">
        <v>2.5099999999999998</v>
      </c>
      <c r="AA129" s="369">
        <v>2.5099999999999998</v>
      </c>
      <c r="AB129" s="369">
        <v>2.5099999999999998</v>
      </c>
      <c r="AC129" s="369">
        <v>2.5099999999999998</v>
      </c>
      <c r="AD129" s="369">
        <v>2.5099999999999998</v>
      </c>
      <c r="AE129" s="369">
        <v>2.5099999999999998</v>
      </c>
      <c r="AF129" s="369">
        <v>2.5099999999999998</v>
      </c>
      <c r="AG129" s="369">
        <v>2.5099999999999998</v>
      </c>
      <c r="AH129" s="369">
        <v>2.5099999999999998</v>
      </c>
      <c r="AI129" s="369">
        <v>2.5099999999999998</v>
      </c>
      <c r="AJ129" s="369">
        <v>2.5099999999999998</v>
      </c>
      <c r="AK129" s="369">
        <v>2.52</v>
      </c>
      <c r="AL129" s="369">
        <v>2.52</v>
      </c>
      <c r="AM129" s="369">
        <v>2.52</v>
      </c>
      <c r="AN129" s="369">
        <v>2.52</v>
      </c>
      <c r="AO129" s="369">
        <v>2.52</v>
      </c>
      <c r="AP129" s="369">
        <v>2.52</v>
      </c>
      <c r="AQ129" s="369">
        <v>2.5099999999999998</v>
      </c>
      <c r="AR129" s="369">
        <v>2.5099999999999998</v>
      </c>
      <c r="AS129" s="369">
        <v>2.5099999999999998</v>
      </c>
      <c r="AT129" s="369">
        <v>2.5099999999999998</v>
      </c>
      <c r="AU129" s="369">
        <v>2.5099999999999998</v>
      </c>
      <c r="AV129" s="369">
        <v>2.5099999999999998</v>
      </c>
      <c r="AW129" s="369">
        <v>2.5099999999999998</v>
      </c>
      <c r="AX129" s="369">
        <v>2.5099999999999998</v>
      </c>
      <c r="AY129" s="369">
        <v>2.5099999999999998</v>
      </c>
      <c r="AZ129" s="60">
        <v>8.9999999999999993E-3</v>
      </c>
      <c r="BA129" s="108">
        <f t="shared" si="2"/>
        <v>0.89999999999999991</v>
      </c>
      <c r="BC129" s="459">
        <v>3.21</v>
      </c>
      <c r="BD129" s="704">
        <f t="shared" si="9"/>
        <v>36426.083333333336</v>
      </c>
      <c r="BE129" s="704">
        <f t="shared" si="8"/>
        <v>41007.666666666672</v>
      </c>
      <c r="BF129" s="704">
        <f t="shared" si="8"/>
        <v>29148.75</v>
      </c>
      <c r="BG129" s="704">
        <f t="shared" si="8"/>
        <v>25861.416666666664</v>
      </c>
      <c r="BH129" s="704">
        <v>11</v>
      </c>
    </row>
    <row r="130" spans="1:60" ht="12.75" customHeight="1">
      <c r="A130" s="111">
        <v>43496</v>
      </c>
      <c r="B130" s="369">
        <v>0.79</v>
      </c>
      <c r="C130" s="369">
        <v>0.85</v>
      </c>
      <c r="D130" s="369">
        <v>0.95</v>
      </c>
      <c r="E130" s="369">
        <v>1.08</v>
      </c>
      <c r="F130" s="369">
        <v>1.22</v>
      </c>
      <c r="G130" s="369">
        <v>1.37</v>
      </c>
      <c r="H130" s="369">
        <v>1.51</v>
      </c>
      <c r="I130" s="369">
        <v>1.65</v>
      </c>
      <c r="J130" s="369">
        <v>1.78</v>
      </c>
      <c r="K130" s="369">
        <v>1.9</v>
      </c>
      <c r="L130" s="369">
        <v>2</v>
      </c>
      <c r="M130" s="369">
        <v>2.09</v>
      </c>
      <c r="N130" s="369">
        <v>2.17</v>
      </c>
      <c r="O130" s="369">
        <v>2.2400000000000002</v>
      </c>
      <c r="P130" s="459">
        <v>2.29</v>
      </c>
      <c r="Q130" s="369">
        <v>2.33</v>
      </c>
      <c r="R130" s="369">
        <v>2.36</v>
      </c>
      <c r="S130" s="369">
        <v>2.39</v>
      </c>
      <c r="T130" s="369">
        <v>2.42</v>
      </c>
      <c r="U130" s="369">
        <v>2.44</v>
      </c>
      <c r="V130" s="369">
        <v>2.4500000000000002</v>
      </c>
      <c r="W130" s="369">
        <v>2.46</v>
      </c>
      <c r="X130" s="369">
        <v>2.4700000000000002</v>
      </c>
      <c r="Y130" s="369">
        <v>2.48</v>
      </c>
      <c r="Z130" s="369">
        <v>2.48</v>
      </c>
      <c r="AA130" s="369">
        <v>2.48</v>
      </c>
      <c r="AB130" s="369">
        <v>2.48</v>
      </c>
      <c r="AC130" s="369">
        <v>2.48</v>
      </c>
      <c r="AD130" s="369">
        <v>2.48</v>
      </c>
      <c r="AE130" s="369">
        <v>2.48</v>
      </c>
      <c r="AF130" s="369">
        <v>2.4900000000000002</v>
      </c>
      <c r="AG130" s="369">
        <v>2.4900000000000002</v>
      </c>
      <c r="AH130" s="369">
        <v>2.4900000000000002</v>
      </c>
      <c r="AI130" s="369">
        <v>2.4900000000000002</v>
      </c>
      <c r="AJ130" s="369">
        <v>2.4900000000000002</v>
      </c>
      <c r="AK130" s="369">
        <v>2.4900000000000002</v>
      </c>
      <c r="AL130" s="369">
        <v>2.4900000000000002</v>
      </c>
      <c r="AM130" s="369">
        <v>2.4900000000000002</v>
      </c>
      <c r="AN130" s="369">
        <v>2.4900000000000002</v>
      </c>
      <c r="AO130" s="369">
        <v>2.4900000000000002</v>
      </c>
      <c r="AP130" s="369">
        <v>2.4900000000000002</v>
      </c>
      <c r="AQ130" s="369">
        <v>2.4900000000000002</v>
      </c>
      <c r="AR130" s="369">
        <v>2.4900000000000002</v>
      </c>
      <c r="AS130" s="369">
        <v>2.4900000000000002</v>
      </c>
      <c r="AT130" s="369">
        <v>2.4900000000000002</v>
      </c>
      <c r="AU130" s="369">
        <v>2.48</v>
      </c>
      <c r="AV130" s="369">
        <v>2.48</v>
      </c>
      <c r="AW130" s="369">
        <v>2.48</v>
      </c>
      <c r="AX130" s="369">
        <v>2.48</v>
      </c>
      <c r="AY130" s="369">
        <v>2.48</v>
      </c>
      <c r="AZ130" s="60">
        <v>8.9999999999999993E-3</v>
      </c>
      <c r="BA130" s="108">
        <f t="shared" si="2"/>
        <v>0.89999999999999991</v>
      </c>
      <c r="BC130" s="459">
        <v>3.16</v>
      </c>
      <c r="BD130" s="705">
        <v>36794</v>
      </c>
      <c r="BE130" s="705">
        <v>41832</v>
      </c>
      <c r="BF130" s="705">
        <v>29431</v>
      </c>
      <c r="BG130" s="705">
        <v>26362</v>
      </c>
    </row>
    <row r="131" spans="1:60">
      <c r="A131" s="111">
        <v>43524</v>
      </c>
      <c r="B131" s="369">
        <v>0.76</v>
      </c>
      <c r="C131" s="369">
        <v>0.82</v>
      </c>
      <c r="D131" s="369">
        <v>0.92</v>
      </c>
      <c r="E131" s="369">
        <v>1.06</v>
      </c>
      <c r="F131" s="369">
        <v>1.2</v>
      </c>
      <c r="G131" s="369">
        <v>1.35</v>
      </c>
      <c r="H131" s="369">
        <v>1.49</v>
      </c>
      <c r="I131" s="369">
        <v>1.62</v>
      </c>
      <c r="J131" s="369">
        <v>1.75</v>
      </c>
      <c r="K131" s="369">
        <v>1.87</v>
      </c>
      <c r="L131" s="369">
        <v>1.97</v>
      </c>
      <c r="M131" s="369">
        <v>2.06</v>
      </c>
      <c r="N131" s="369">
        <v>2.14</v>
      </c>
      <c r="O131" s="369">
        <v>2.21</v>
      </c>
      <c r="P131" s="459">
        <v>2.2599999999999998</v>
      </c>
      <c r="Q131" s="369">
        <v>2.2999999999999998</v>
      </c>
      <c r="R131" s="369">
        <v>2.34</v>
      </c>
      <c r="S131" s="369">
        <v>2.37</v>
      </c>
      <c r="T131" s="369">
        <v>2.39</v>
      </c>
      <c r="U131" s="369">
        <v>2.42</v>
      </c>
      <c r="V131" s="369">
        <v>2.4300000000000002</v>
      </c>
      <c r="W131" s="369">
        <v>2.44</v>
      </c>
      <c r="X131" s="369">
        <v>2.44</v>
      </c>
      <c r="Y131" s="369">
        <v>2.4500000000000002</v>
      </c>
      <c r="Z131" s="369">
        <v>2.46</v>
      </c>
      <c r="AA131" s="369">
        <v>2.46</v>
      </c>
      <c r="AB131" s="369">
        <v>2.46</v>
      </c>
      <c r="AC131" s="369">
        <v>2.46</v>
      </c>
      <c r="AD131" s="369">
        <v>2.46</v>
      </c>
      <c r="AE131" s="369">
        <v>2.46</v>
      </c>
      <c r="AF131" s="369">
        <v>2.46</v>
      </c>
      <c r="AG131" s="369">
        <v>2.46</v>
      </c>
      <c r="AH131" s="369">
        <v>2.46</v>
      </c>
      <c r="AI131" s="369">
        <v>2.46</v>
      </c>
      <c r="AJ131" s="369">
        <v>2.46</v>
      </c>
      <c r="AK131" s="369">
        <v>2.46</v>
      </c>
      <c r="AL131" s="369">
        <v>2.46</v>
      </c>
      <c r="AM131" s="369">
        <v>2.4700000000000002</v>
      </c>
      <c r="AN131" s="369">
        <v>2.4700000000000002</v>
      </c>
      <c r="AO131" s="369">
        <v>2.4700000000000002</v>
      </c>
      <c r="AP131" s="369">
        <v>2.4700000000000002</v>
      </c>
      <c r="AQ131" s="369">
        <v>2.46</v>
      </c>
      <c r="AR131" s="369">
        <v>2.46</v>
      </c>
      <c r="AS131" s="369">
        <v>2.46</v>
      </c>
      <c r="AT131" s="369">
        <v>2.46</v>
      </c>
      <c r="AU131" s="369">
        <v>2.46</v>
      </c>
      <c r="AV131" s="369">
        <v>2.46</v>
      </c>
      <c r="AW131" s="369">
        <v>2.46</v>
      </c>
      <c r="AX131" s="369">
        <v>2.46</v>
      </c>
      <c r="AY131" s="369">
        <v>2.46</v>
      </c>
      <c r="AZ131" s="60">
        <v>8.9999999999999993E-3</v>
      </c>
      <c r="BA131" s="108">
        <f t="shared" si="2"/>
        <v>0.89999999999999991</v>
      </c>
      <c r="BC131" s="459">
        <v>3.12</v>
      </c>
      <c r="BD131" s="704">
        <f>BD$130+(BD$142-BD$130)/12*$BH131</f>
        <v>37103.25</v>
      </c>
      <c r="BE131" s="704">
        <f t="shared" ref="BE131:BG141" si="10">BE$130+(BE$142-BE$130)/12*$BH131</f>
        <v>42558.416666666664</v>
      </c>
      <c r="BF131" s="704">
        <f t="shared" si="10"/>
        <v>29775.333333333332</v>
      </c>
      <c r="BG131" s="704">
        <f t="shared" si="10"/>
        <v>27021.333333333332</v>
      </c>
      <c r="BH131" s="704">
        <v>1</v>
      </c>
    </row>
    <row r="132" spans="1:60">
      <c r="A132" s="111">
        <v>43555</v>
      </c>
      <c r="B132" s="369">
        <v>0.74</v>
      </c>
      <c r="C132" s="369">
        <v>0.8</v>
      </c>
      <c r="D132" s="369">
        <v>0.9</v>
      </c>
      <c r="E132" s="369">
        <v>1.03</v>
      </c>
      <c r="F132" s="369">
        <v>1.17</v>
      </c>
      <c r="G132" s="369">
        <v>1.32</v>
      </c>
      <c r="H132" s="369">
        <v>1.46</v>
      </c>
      <c r="I132" s="369">
        <v>1.59</v>
      </c>
      <c r="J132" s="369">
        <v>1.72</v>
      </c>
      <c r="K132" s="369">
        <v>1.84</v>
      </c>
      <c r="L132" s="369">
        <v>1.94</v>
      </c>
      <c r="M132" s="369">
        <v>2.0299999999999998</v>
      </c>
      <c r="N132" s="369">
        <v>2.11</v>
      </c>
      <c r="O132" s="369">
        <v>2.17</v>
      </c>
      <c r="P132" s="459">
        <v>2.23</v>
      </c>
      <c r="Q132" s="369">
        <v>2.27</v>
      </c>
      <c r="R132" s="369">
        <v>2.31</v>
      </c>
      <c r="S132" s="369">
        <v>2.34</v>
      </c>
      <c r="T132" s="369">
        <v>2.36</v>
      </c>
      <c r="U132" s="369">
        <v>2.39</v>
      </c>
      <c r="V132" s="369">
        <v>2.4</v>
      </c>
      <c r="W132" s="369">
        <v>2.41</v>
      </c>
      <c r="X132" s="369">
        <v>2.42</v>
      </c>
      <c r="Y132" s="369">
        <v>2.42</v>
      </c>
      <c r="Z132" s="369">
        <v>2.4300000000000002</v>
      </c>
      <c r="AA132" s="369">
        <v>2.4300000000000002</v>
      </c>
      <c r="AB132" s="369">
        <v>2.4300000000000002</v>
      </c>
      <c r="AC132" s="369">
        <v>2.4300000000000002</v>
      </c>
      <c r="AD132" s="369">
        <v>2.4300000000000002</v>
      </c>
      <c r="AE132" s="369">
        <v>2.4300000000000002</v>
      </c>
      <c r="AF132" s="369">
        <v>2.4300000000000002</v>
      </c>
      <c r="AG132" s="369">
        <v>2.44</v>
      </c>
      <c r="AH132" s="369">
        <v>2.44</v>
      </c>
      <c r="AI132" s="369">
        <v>2.44</v>
      </c>
      <c r="AJ132" s="369">
        <v>2.44</v>
      </c>
      <c r="AK132" s="369">
        <v>2.44</v>
      </c>
      <c r="AL132" s="369">
        <v>2.44</v>
      </c>
      <c r="AM132" s="369">
        <v>2.44</v>
      </c>
      <c r="AN132" s="369">
        <v>2.44</v>
      </c>
      <c r="AO132" s="369">
        <v>2.44</v>
      </c>
      <c r="AP132" s="369">
        <v>2.44</v>
      </c>
      <c r="AQ132" s="369">
        <v>2.44</v>
      </c>
      <c r="AR132" s="369">
        <v>2.44</v>
      </c>
      <c r="AS132" s="369">
        <v>2.44</v>
      </c>
      <c r="AT132" s="369">
        <v>2.4300000000000002</v>
      </c>
      <c r="AU132" s="369">
        <v>2.4300000000000002</v>
      </c>
      <c r="AV132" s="369">
        <v>2.4300000000000002</v>
      </c>
      <c r="AW132" s="369">
        <v>2.4300000000000002</v>
      </c>
      <c r="AX132" s="369">
        <v>2.4300000000000002</v>
      </c>
      <c r="AY132" s="369">
        <v>2.4300000000000002</v>
      </c>
      <c r="AZ132" s="60">
        <v>8.9999999999999993E-3</v>
      </c>
      <c r="BA132" s="108">
        <f t="shared" si="2"/>
        <v>0.89999999999999991</v>
      </c>
      <c r="BC132" s="459">
        <v>3.07</v>
      </c>
      <c r="BD132" s="704">
        <f t="shared" ref="BD132:BD141" si="11">BD$130+(BD$142-BD$130)/12*$BH132</f>
        <v>37412.5</v>
      </c>
      <c r="BE132" s="704">
        <f t="shared" si="10"/>
        <v>43284.833333333336</v>
      </c>
      <c r="BF132" s="704">
        <f t="shared" si="10"/>
        <v>30119.666666666668</v>
      </c>
      <c r="BG132" s="704">
        <f t="shared" si="10"/>
        <v>27680.666666666668</v>
      </c>
      <c r="BH132" s="704">
        <v>2</v>
      </c>
    </row>
    <row r="133" spans="1:60">
      <c r="A133" s="111">
        <v>43585</v>
      </c>
      <c r="B133" s="369">
        <v>0.71</v>
      </c>
      <c r="C133" s="369">
        <v>0.78</v>
      </c>
      <c r="D133" s="369">
        <v>0.87</v>
      </c>
      <c r="E133" s="369">
        <v>1</v>
      </c>
      <c r="F133" s="369">
        <v>1.1399999999999999</v>
      </c>
      <c r="G133" s="369">
        <v>1.29</v>
      </c>
      <c r="H133" s="369">
        <v>1.43</v>
      </c>
      <c r="I133" s="369">
        <v>1.56</v>
      </c>
      <c r="J133" s="369">
        <v>1.69</v>
      </c>
      <c r="K133" s="369">
        <v>1.8</v>
      </c>
      <c r="L133" s="369">
        <v>1.91</v>
      </c>
      <c r="M133" s="369">
        <v>2</v>
      </c>
      <c r="N133" s="369">
        <v>2.08</v>
      </c>
      <c r="O133" s="369">
        <v>2.14</v>
      </c>
      <c r="P133" s="459">
        <v>2.2000000000000002</v>
      </c>
      <c r="Q133" s="369">
        <v>2.2400000000000002</v>
      </c>
      <c r="R133" s="369">
        <v>2.27</v>
      </c>
      <c r="S133" s="369">
        <v>2.31</v>
      </c>
      <c r="T133" s="369">
        <v>2.33</v>
      </c>
      <c r="U133" s="369">
        <v>2.36</v>
      </c>
      <c r="V133" s="369">
        <v>2.37</v>
      </c>
      <c r="W133" s="369">
        <v>2.38</v>
      </c>
      <c r="X133" s="369">
        <v>2.39</v>
      </c>
      <c r="Y133" s="369">
        <v>2.4</v>
      </c>
      <c r="Z133" s="369">
        <v>2.4</v>
      </c>
      <c r="AA133" s="369">
        <v>2.4</v>
      </c>
      <c r="AB133" s="369">
        <v>2.4</v>
      </c>
      <c r="AC133" s="369">
        <v>2.41</v>
      </c>
      <c r="AD133" s="369">
        <v>2.41</v>
      </c>
      <c r="AE133" s="369">
        <v>2.41</v>
      </c>
      <c r="AF133" s="369">
        <v>2.41</v>
      </c>
      <c r="AG133" s="369">
        <v>2.41</v>
      </c>
      <c r="AH133" s="369">
        <v>2.41</v>
      </c>
      <c r="AI133" s="369">
        <v>2.41</v>
      </c>
      <c r="AJ133" s="369">
        <v>2.41</v>
      </c>
      <c r="AK133" s="369">
        <v>2.41</v>
      </c>
      <c r="AL133" s="369">
        <v>2.41</v>
      </c>
      <c r="AM133" s="369">
        <v>2.41</v>
      </c>
      <c r="AN133" s="369">
        <v>2.41</v>
      </c>
      <c r="AO133" s="369">
        <v>2.41</v>
      </c>
      <c r="AP133" s="369">
        <v>2.41</v>
      </c>
      <c r="AQ133" s="369">
        <v>2.41</v>
      </c>
      <c r="AR133" s="369">
        <v>2.41</v>
      </c>
      <c r="AS133" s="369">
        <v>2.41</v>
      </c>
      <c r="AT133" s="369">
        <v>2.41</v>
      </c>
      <c r="AU133" s="369">
        <v>2.41</v>
      </c>
      <c r="AV133" s="369">
        <v>2.4</v>
      </c>
      <c r="AW133" s="369">
        <v>2.4</v>
      </c>
      <c r="AX133" s="369">
        <v>2.4</v>
      </c>
      <c r="AY133" s="369">
        <v>2.4</v>
      </c>
      <c r="AZ133" s="60">
        <v>8.9999999999999993E-3</v>
      </c>
      <c r="BA133" s="108">
        <f t="shared" si="2"/>
        <v>0.89999999999999991</v>
      </c>
      <c r="BC133" s="459">
        <v>3.03</v>
      </c>
      <c r="BD133" s="704">
        <f t="shared" si="11"/>
        <v>37721.75</v>
      </c>
      <c r="BE133" s="704">
        <f t="shared" si="10"/>
        <v>44011.25</v>
      </c>
      <c r="BF133" s="704">
        <f t="shared" si="10"/>
        <v>30464</v>
      </c>
      <c r="BG133" s="704">
        <f t="shared" si="10"/>
        <v>28340</v>
      </c>
      <c r="BH133" s="704">
        <v>3</v>
      </c>
    </row>
    <row r="134" spans="1:60">
      <c r="A134" s="111">
        <v>43616</v>
      </c>
      <c r="B134" s="369">
        <v>0.69</v>
      </c>
      <c r="C134" s="369">
        <v>0.75</v>
      </c>
      <c r="D134" s="369">
        <v>0.85</v>
      </c>
      <c r="E134" s="369">
        <v>0.98</v>
      </c>
      <c r="F134" s="369">
        <v>1.1200000000000001</v>
      </c>
      <c r="G134" s="369">
        <v>1.27</v>
      </c>
      <c r="H134" s="369">
        <v>1.4</v>
      </c>
      <c r="I134" s="369">
        <v>1.54</v>
      </c>
      <c r="J134" s="369">
        <v>1.66</v>
      </c>
      <c r="K134" s="369">
        <v>1.78</v>
      </c>
      <c r="L134" s="369">
        <v>1.89</v>
      </c>
      <c r="M134" s="369">
        <v>1.97</v>
      </c>
      <c r="N134" s="369">
        <v>2.0499999999999998</v>
      </c>
      <c r="O134" s="369">
        <v>2.12</v>
      </c>
      <c r="P134" s="459">
        <v>2.1800000000000002</v>
      </c>
      <c r="Q134" s="369">
        <v>2.2200000000000002</v>
      </c>
      <c r="R134" s="369">
        <v>2.25</v>
      </c>
      <c r="S134" s="369">
        <v>2.2799999999999998</v>
      </c>
      <c r="T134" s="369">
        <v>2.31</v>
      </c>
      <c r="U134" s="369">
        <v>2.34</v>
      </c>
      <c r="V134" s="369">
        <v>2.35</v>
      </c>
      <c r="W134" s="369">
        <v>2.36</v>
      </c>
      <c r="X134" s="369">
        <v>2.37</v>
      </c>
      <c r="Y134" s="369">
        <v>2.38</v>
      </c>
      <c r="Z134" s="369">
        <v>2.38</v>
      </c>
      <c r="AA134" s="369">
        <v>2.38</v>
      </c>
      <c r="AB134" s="369">
        <v>2.39</v>
      </c>
      <c r="AC134" s="369">
        <v>2.39</v>
      </c>
      <c r="AD134" s="369">
        <v>2.39</v>
      </c>
      <c r="AE134" s="369">
        <v>2.39</v>
      </c>
      <c r="AF134" s="369">
        <v>2.39</v>
      </c>
      <c r="AG134" s="369">
        <v>2.39</v>
      </c>
      <c r="AH134" s="369">
        <v>2.39</v>
      </c>
      <c r="AI134" s="369">
        <v>2.39</v>
      </c>
      <c r="AJ134" s="369">
        <v>2.39</v>
      </c>
      <c r="AK134" s="369">
        <v>2.39</v>
      </c>
      <c r="AL134" s="369">
        <v>2.39</v>
      </c>
      <c r="AM134" s="369">
        <v>2.39</v>
      </c>
      <c r="AN134" s="369">
        <v>2.39</v>
      </c>
      <c r="AO134" s="369">
        <v>2.39</v>
      </c>
      <c r="AP134" s="369">
        <v>2.39</v>
      </c>
      <c r="AQ134" s="369">
        <v>2.39</v>
      </c>
      <c r="AR134" s="369">
        <v>2.39</v>
      </c>
      <c r="AS134" s="369">
        <v>2.39</v>
      </c>
      <c r="AT134" s="369">
        <v>2.39</v>
      </c>
      <c r="AU134" s="369">
        <v>2.39</v>
      </c>
      <c r="AV134" s="369">
        <v>2.38</v>
      </c>
      <c r="AW134" s="369">
        <v>2.38</v>
      </c>
      <c r="AX134" s="369">
        <v>2.38</v>
      </c>
      <c r="AY134" s="369">
        <v>2.38</v>
      </c>
      <c r="AZ134" s="60">
        <v>8.9999999999999993E-3</v>
      </c>
      <c r="BA134" s="108">
        <f t="shared" si="2"/>
        <v>0.89999999999999991</v>
      </c>
      <c r="BC134" s="459">
        <v>2.98</v>
      </c>
      <c r="BD134" s="704">
        <f t="shared" si="11"/>
        <v>38031</v>
      </c>
      <c r="BE134" s="704">
        <f t="shared" si="10"/>
        <v>44737.666666666664</v>
      </c>
      <c r="BF134" s="704">
        <f t="shared" si="10"/>
        <v>30808.333333333332</v>
      </c>
      <c r="BG134" s="704">
        <f t="shared" si="10"/>
        <v>28999.333333333332</v>
      </c>
      <c r="BH134" s="704">
        <v>4</v>
      </c>
    </row>
    <row r="135" spans="1:60" s="117" customFormat="1" ht="12.75" customHeight="1">
      <c r="A135" s="111">
        <v>43646</v>
      </c>
      <c r="B135" s="369">
        <v>0.67</v>
      </c>
      <c r="C135" s="369">
        <v>0.73</v>
      </c>
      <c r="D135" s="369">
        <v>0.83</v>
      </c>
      <c r="E135" s="369">
        <v>0.96</v>
      </c>
      <c r="F135" s="369">
        <v>1.0900000000000001</v>
      </c>
      <c r="G135" s="369">
        <v>1.24</v>
      </c>
      <c r="H135" s="369">
        <v>1.37</v>
      </c>
      <c r="I135" s="369">
        <v>1.51</v>
      </c>
      <c r="J135" s="369">
        <v>1.63</v>
      </c>
      <c r="K135" s="369">
        <v>1.75</v>
      </c>
      <c r="L135" s="369">
        <v>1.86</v>
      </c>
      <c r="M135" s="369">
        <v>1.94</v>
      </c>
      <c r="N135" s="369">
        <v>2.02</v>
      </c>
      <c r="O135" s="369">
        <v>2.09</v>
      </c>
      <c r="P135" s="459">
        <v>2.15</v>
      </c>
      <c r="Q135" s="369">
        <v>2.19</v>
      </c>
      <c r="R135" s="369">
        <v>2.2200000000000002</v>
      </c>
      <c r="S135" s="369">
        <v>2.25</v>
      </c>
      <c r="T135" s="369">
        <v>2.2799999999999998</v>
      </c>
      <c r="U135" s="369">
        <v>2.31</v>
      </c>
      <c r="V135" s="369">
        <v>2.3199999999999998</v>
      </c>
      <c r="W135" s="369">
        <v>2.33</v>
      </c>
      <c r="X135" s="369">
        <v>2.34</v>
      </c>
      <c r="Y135" s="369">
        <v>2.35</v>
      </c>
      <c r="Z135" s="369">
        <v>2.35</v>
      </c>
      <c r="AA135" s="369">
        <v>2.36</v>
      </c>
      <c r="AB135" s="369">
        <v>2.36</v>
      </c>
      <c r="AC135" s="369">
        <v>2.36</v>
      </c>
      <c r="AD135" s="369">
        <v>2.36</v>
      </c>
      <c r="AE135" s="369">
        <v>2.36</v>
      </c>
      <c r="AF135" s="369">
        <v>2.36</v>
      </c>
      <c r="AG135" s="369">
        <v>2.36</v>
      </c>
      <c r="AH135" s="369">
        <v>2.36</v>
      </c>
      <c r="AI135" s="369">
        <v>2.36</v>
      </c>
      <c r="AJ135" s="369">
        <v>2.36</v>
      </c>
      <c r="AK135" s="369">
        <v>2.36</v>
      </c>
      <c r="AL135" s="369">
        <v>2.36</v>
      </c>
      <c r="AM135" s="369">
        <v>2.37</v>
      </c>
      <c r="AN135" s="369">
        <v>2.37</v>
      </c>
      <c r="AO135" s="369">
        <v>2.37</v>
      </c>
      <c r="AP135" s="369">
        <v>2.36</v>
      </c>
      <c r="AQ135" s="369">
        <v>2.36</v>
      </c>
      <c r="AR135" s="369">
        <v>2.36</v>
      </c>
      <c r="AS135" s="369">
        <v>2.36</v>
      </c>
      <c r="AT135" s="369">
        <v>2.36</v>
      </c>
      <c r="AU135" s="369">
        <v>2.36</v>
      </c>
      <c r="AV135" s="369">
        <v>2.36</v>
      </c>
      <c r="AW135" s="369">
        <v>2.35</v>
      </c>
      <c r="AX135" s="369">
        <v>2.35</v>
      </c>
      <c r="AY135" s="369">
        <v>2.35</v>
      </c>
      <c r="AZ135" s="60">
        <v>8.9999999999999993E-3</v>
      </c>
      <c r="BA135" s="108">
        <f t="shared" si="2"/>
        <v>0.89999999999999991</v>
      </c>
      <c r="BC135" s="459">
        <v>2.94</v>
      </c>
      <c r="BD135" s="704">
        <f t="shared" si="11"/>
        <v>38340.25</v>
      </c>
      <c r="BE135" s="704">
        <f t="shared" si="10"/>
        <v>45464.083333333336</v>
      </c>
      <c r="BF135" s="704">
        <f t="shared" si="10"/>
        <v>31152.666666666668</v>
      </c>
      <c r="BG135" s="704">
        <f t="shared" si="10"/>
        <v>29658.666666666668</v>
      </c>
      <c r="BH135" s="704">
        <v>5</v>
      </c>
    </row>
    <row r="136" spans="1:60" ht="12.75" customHeight="1">
      <c r="A136" s="111">
        <v>43677</v>
      </c>
      <c r="B136" s="369">
        <v>0.65</v>
      </c>
      <c r="C136" s="369">
        <v>0.71</v>
      </c>
      <c r="D136" s="369">
        <v>0.81</v>
      </c>
      <c r="E136" s="369">
        <v>0.93</v>
      </c>
      <c r="F136" s="369">
        <v>1.07</v>
      </c>
      <c r="G136" s="369">
        <v>1.21</v>
      </c>
      <c r="H136" s="369">
        <v>1.35</v>
      </c>
      <c r="I136" s="369">
        <v>1.48</v>
      </c>
      <c r="J136" s="369">
        <v>1.6</v>
      </c>
      <c r="K136" s="369">
        <v>1.72</v>
      </c>
      <c r="L136" s="369">
        <v>1.83</v>
      </c>
      <c r="M136" s="369">
        <v>1.91</v>
      </c>
      <c r="N136" s="369">
        <v>1.99</v>
      </c>
      <c r="O136" s="369">
        <v>2.06</v>
      </c>
      <c r="P136" s="459">
        <v>2.12</v>
      </c>
      <c r="Q136" s="369">
        <v>2.16</v>
      </c>
      <c r="R136" s="369">
        <v>2.19</v>
      </c>
      <c r="S136" s="369">
        <v>2.23</v>
      </c>
      <c r="T136" s="369">
        <v>2.25</v>
      </c>
      <c r="U136" s="369">
        <v>2.2799999999999998</v>
      </c>
      <c r="V136" s="369">
        <v>2.29</v>
      </c>
      <c r="W136" s="369">
        <v>2.2999999999999998</v>
      </c>
      <c r="X136" s="369">
        <v>2.31</v>
      </c>
      <c r="Y136" s="369">
        <v>2.3199999999999998</v>
      </c>
      <c r="Z136" s="369">
        <v>2.33</v>
      </c>
      <c r="AA136" s="369">
        <v>2.33</v>
      </c>
      <c r="AB136" s="369">
        <v>2.33</v>
      </c>
      <c r="AC136" s="369">
        <v>2.33</v>
      </c>
      <c r="AD136" s="369">
        <v>2.33</v>
      </c>
      <c r="AE136" s="369">
        <v>2.33</v>
      </c>
      <c r="AF136" s="369">
        <v>2.33</v>
      </c>
      <c r="AG136" s="369">
        <v>2.33</v>
      </c>
      <c r="AH136" s="369">
        <v>2.33</v>
      </c>
      <c r="AI136" s="369">
        <v>2.34</v>
      </c>
      <c r="AJ136" s="369">
        <v>2.34</v>
      </c>
      <c r="AK136" s="369">
        <v>2.34</v>
      </c>
      <c r="AL136" s="369">
        <v>2.34</v>
      </c>
      <c r="AM136" s="369">
        <v>2.34</v>
      </c>
      <c r="AN136" s="369">
        <v>2.34</v>
      </c>
      <c r="AO136" s="369">
        <v>2.34</v>
      </c>
      <c r="AP136" s="369">
        <v>2.33</v>
      </c>
      <c r="AQ136" s="369">
        <v>2.33</v>
      </c>
      <c r="AR136" s="369">
        <v>2.33</v>
      </c>
      <c r="AS136" s="369">
        <v>2.33</v>
      </c>
      <c r="AT136" s="369">
        <v>2.33</v>
      </c>
      <c r="AU136" s="369">
        <v>2.33</v>
      </c>
      <c r="AV136" s="369">
        <v>2.3199999999999998</v>
      </c>
      <c r="AW136" s="369">
        <v>2.3199999999999998</v>
      </c>
      <c r="AX136" s="369">
        <v>2.3199999999999998</v>
      </c>
      <c r="AY136" s="369">
        <v>2.3199999999999998</v>
      </c>
      <c r="AZ136" s="60">
        <v>8.9999999999999993E-3</v>
      </c>
      <c r="BA136" s="108">
        <f t="shared" si="2"/>
        <v>0.89999999999999991</v>
      </c>
      <c r="BC136" s="459">
        <v>2.9</v>
      </c>
      <c r="BD136" s="704">
        <f t="shared" si="11"/>
        <v>38649.5</v>
      </c>
      <c r="BE136" s="704">
        <f t="shared" si="10"/>
        <v>46190.5</v>
      </c>
      <c r="BF136" s="704">
        <f t="shared" si="10"/>
        <v>31497</v>
      </c>
      <c r="BG136" s="704">
        <f t="shared" si="10"/>
        <v>30318</v>
      </c>
      <c r="BH136" s="704">
        <v>6</v>
      </c>
    </row>
    <row r="137" spans="1:60" ht="12.75" customHeight="1">
      <c r="A137" s="111">
        <v>43708</v>
      </c>
      <c r="B137" s="369">
        <v>0.63</v>
      </c>
      <c r="C137" s="369">
        <v>0.69</v>
      </c>
      <c r="D137" s="369">
        <v>0.79</v>
      </c>
      <c r="E137" s="369">
        <v>0.91</v>
      </c>
      <c r="F137" s="369">
        <v>1.04</v>
      </c>
      <c r="G137" s="369">
        <v>1.19</v>
      </c>
      <c r="H137" s="369">
        <v>1.32</v>
      </c>
      <c r="I137" s="369">
        <v>1.45</v>
      </c>
      <c r="J137" s="369">
        <v>1.57</v>
      </c>
      <c r="K137" s="369">
        <v>1.69</v>
      </c>
      <c r="L137" s="369">
        <v>1.8</v>
      </c>
      <c r="M137" s="369">
        <v>1.88</v>
      </c>
      <c r="N137" s="369">
        <v>1.96</v>
      </c>
      <c r="O137" s="369">
        <v>2.0299999999999998</v>
      </c>
      <c r="P137" s="459">
        <v>2.08</v>
      </c>
      <c r="Q137" s="369">
        <v>2.13</v>
      </c>
      <c r="R137" s="369">
        <v>2.16</v>
      </c>
      <c r="S137" s="369">
        <v>2.19</v>
      </c>
      <c r="T137" s="369">
        <v>2.2200000000000002</v>
      </c>
      <c r="U137" s="369">
        <v>2.25</v>
      </c>
      <c r="V137" s="369">
        <v>2.2599999999999998</v>
      </c>
      <c r="W137" s="369">
        <v>2.27</v>
      </c>
      <c r="X137" s="369">
        <v>2.2799999999999998</v>
      </c>
      <c r="Y137" s="369">
        <v>2.29</v>
      </c>
      <c r="Z137" s="369">
        <v>2.2999999999999998</v>
      </c>
      <c r="AA137" s="369">
        <v>2.2999999999999998</v>
      </c>
      <c r="AB137" s="369">
        <v>2.2999999999999998</v>
      </c>
      <c r="AC137" s="369">
        <v>2.2999999999999998</v>
      </c>
      <c r="AD137" s="369">
        <v>2.2999999999999998</v>
      </c>
      <c r="AE137" s="369">
        <v>2.2999999999999998</v>
      </c>
      <c r="AF137" s="369">
        <v>2.2999999999999998</v>
      </c>
      <c r="AG137" s="369">
        <v>2.2999999999999998</v>
      </c>
      <c r="AH137" s="369">
        <v>2.2999999999999998</v>
      </c>
      <c r="AI137" s="369">
        <v>2.2999999999999998</v>
      </c>
      <c r="AJ137" s="369">
        <v>2.2999999999999998</v>
      </c>
      <c r="AK137" s="369">
        <v>2.2999999999999998</v>
      </c>
      <c r="AL137" s="369">
        <v>2.2999999999999998</v>
      </c>
      <c r="AM137" s="369">
        <v>2.2999999999999998</v>
      </c>
      <c r="AN137" s="369">
        <v>2.2999999999999998</v>
      </c>
      <c r="AO137" s="369">
        <v>2.2999999999999998</v>
      </c>
      <c r="AP137" s="369">
        <v>2.2999999999999998</v>
      </c>
      <c r="AQ137" s="369">
        <v>2.2999999999999998</v>
      </c>
      <c r="AR137" s="369">
        <v>2.2999999999999998</v>
      </c>
      <c r="AS137" s="369">
        <v>2.29</v>
      </c>
      <c r="AT137" s="369">
        <v>2.29</v>
      </c>
      <c r="AU137" s="369">
        <v>2.29</v>
      </c>
      <c r="AV137" s="369">
        <v>2.29</v>
      </c>
      <c r="AW137" s="369">
        <v>2.29</v>
      </c>
      <c r="AX137" s="369">
        <v>2.29</v>
      </c>
      <c r="AY137" s="369">
        <v>2.29</v>
      </c>
      <c r="AZ137" s="60">
        <v>8.9999999999999993E-3</v>
      </c>
      <c r="BA137" s="108">
        <f t="shared" si="2"/>
        <v>0.89999999999999991</v>
      </c>
      <c r="BC137" s="459">
        <v>2.86</v>
      </c>
      <c r="BD137" s="704">
        <f t="shared" si="11"/>
        <v>38958.75</v>
      </c>
      <c r="BE137" s="704">
        <f t="shared" si="10"/>
        <v>46916.916666666664</v>
      </c>
      <c r="BF137" s="704">
        <f t="shared" si="10"/>
        <v>31841.333333333332</v>
      </c>
      <c r="BG137" s="704">
        <f t="shared" si="10"/>
        <v>30977.333333333336</v>
      </c>
      <c r="BH137" s="704">
        <v>7</v>
      </c>
    </row>
    <row r="138" spans="1:60" ht="12.75" customHeight="1">
      <c r="A138" s="111">
        <v>43738</v>
      </c>
      <c r="B138" s="369">
        <v>0.62</v>
      </c>
      <c r="C138" s="369">
        <v>0.68</v>
      </c>
      <c r="D138" s="369">
        <v>0.77</v>
      </c>
      <c r="E138" s="369">
        <v>0.89</v>
      </c>
      <c r="F138" s="369">
        <v>1.02</v>
      </c>
      <c r="G138" s="369">
        <v>1.1599999999999999</v>
      </c>
      <c r="H138" s="369">
        <v>1.29</v>
      </c>
      <c r="I138" s="369">
        <v>1.42</v>
      </c>
      <c r="J138" s="369">
        <v>1.55</v>
      </c>
      <c r="K138" s="369">
        <v>1.66</v>
      </c>
      <c r="L138" s="369">
        <v>1.77</v>
      </c>
      <c r="M138" s="369">
        <v>1.85</v>
      </c>
      <c r="N138" s="369">
        <v>1.93</v>
      </c>
      <c r="O138" s="369">
        <v>2</v>
      </c>
      <c r="P138" s="459">
        <v>2.0499999999999998</v>
      </c>
      <c r="Q138" s="369">
        <v>2.09</v>
      </c>
      <c r="R138" s="369">
        <v>2.13</v>
      </c>
      <c r="S138" s="369">
        <v>2.16</v>
      </c>
      <c r="T138" s="369">
        <v>2.19</v>
      </c>
      <c r="U138" s="369">
        <v>2.2200000000000002</v>
      </c>
      <c r="V138" s="369">
        <v>2.23</v>
      </c>
      <c r="W138" s="369">
        <v>2.2400000000000002</v>
      </c>
      <c r="X138" s="369">
        <v>2.25</v>
      </c>
      <c r="Y138" s="369">
        <v>2.2599999999999998</v>
      </c>
      <c r="Z138" s="369">
        <v>2.2599999999999998</v>
      </c>
      <c r="AA138" s="369">
        <v>2.27</v>
      </c>
      <c r="AB138" s="369">
        <v>2.27</v>
      </c>
      <c r="AC138" s="369">
        <v>2.27</v>
      </c>
      <c r="AD138" s="369">
        <v>2.27</v>
      </c>
      <c r="AE138" s="369">
        <v>2.27</v>
      </c>
      <c r="AF138" s="369">
        <v>2.27</v>
      </c>
      <c r="AG138" s="369">
        <v>2.27</v>
      </c>
      <c r="AH138" s="369">
        <v>2.27</v>
      </c>
      <c r="AI138" s="369">
        <v>2.27</v>
      </c>
      <c r="AJ138" s="369">
        <v>2.27</v>
      </c>
      <c r="AK138" s="369">
        <v>2.27</v>
      </c>
      <c r="AL138" s="369">
        <v>2.27</v>
      </c>
      <c r="AM138" s="369">
        <v>2.27</v>
      </c>
      <c r="AN138" s="369">
        <v>2.27</v>
      </c>
      <c r="AO138" s="369">
        <v>2.27</v>
      </c>
      <c r="AP138" s="369">
        <v>2.27</v>
      </c>
      <c r="AQ138" s="369">
        <v>2.2599999999999998</v>
      </c>
      <c r="AR138" s="369">
        <v>2.2599999999999998</v>
      </c>
      <c r="AS138" s="369">
        <v>2.2599999999999998</v>
      </c>
      <c r="AT138" s="369">
        <v>2.2599999999999998</v>
      </c>
      <c r="AU138" s="369">
        <v>2.2599999999999998</v>
      </c>
      <c r="AV138" s="369">
        <v>2.25</v>
      </c>
      <c r="AW138" s="369">
        <v>2.25</v>
      </c>
      <c r="AX138" s="369">
        <v>2.25</v>
      </c>
      <c r="AY138" s="369">
        <v>2.25</v>
      </c>
      <c r="AZ138" s="60">
        <v>8.9999999999999993E-3</v>
      </c>
      <c r="BA138" s="108">
        <f t="shared" ref="BA138:BA147" si="12">+AZ138*100</f>
        <v>0.89999999999999991</v>
      </c>
      <c r="BC138" s="459">
        <v>2.82</v>
      </c>
      <c r="BD138" s="704">
        <f t="shared" si="11"/>
        <v>39268</v>
      </c>
      <c r="BE138" s="704">
        <f t="shared" si="10"/>
        <v>47643.333333333336</v>
      </c>
      <c r="BF138" s="704">
        <f t="shared" si="10"/>
        <v>32185.666666666668</v>
      </c>
      <c r="BG138" s="704">
        <f t="shared" si="10"/>
        <v>31636.666666666668</v>
      </c>
      <c r="BH138" s="704">
        <v>8</v>
      </c>
    </row>
    <row r="139" spans="1:60" ht="12.75" customHeight="1">
      <c r="A139" s="111">
        <v>43769</v>
      </c>
      <c r="B139" s="369">
        <v>0.6</v>
      </c>
      <c r="C139" s="369">
        <v>0.66</v>
      </c>
      <c r="D139" s="369">
        <v>0.75</v>
      </c>
      <c r="E139" s="369">
        <v>0.87</v>
      </c>
      <c r="F139" s="369">
        <v>1</v>
      </c>
      <c r="G139" s="369">
        <v>1.1399999999999999</v>
      </c>
      <c r="H139" s="369">
        <v>1.27</v>
      </c>
      <c r="I139" s="369">
        <v>1.4</v>
      </c>
      <c r="J139" s="369">
        <v>1.52</v>
      </c>
      <c r="K139" s="369">
        <v>1.64</v>
      </c>
      <c r="L139" s="369">
        <v>1.74</v>
      </c>
      <c r="M139" s="369">
        <v>1.82</v>
      </c>
      <c r="N139" s="369">
        <v>1.9</v>
      </c>
      <c r="O139" s="369">
        <v>1.97</v>
      </c>
      <c r="P139" s="459">
        <v>2.02</v>
      </c>
      <c r="Q139" s="369">
        <v>2.06</v>
      </c>
      <c r="R139" s="369">
        <v>2.1</v>
      </c>
      <c r="S139" s="369">
        <v>2.13</v>
      </c>
      <c r="T139" s="369">
        <v>2.16</v>
      </c>
      <c r="U139" s="369">
        <v>2.19</v>
      </c>
      <c r="V139" s="369">
        <v>2.2000000000000002</v>
      </c>
      <c r="W139" s="369">
        <v>2.21</v>
      </c>
      <c r="X139" s="369">
        <v>2.2200000000000002</v>
      </c>
      <c r="Y139" s="369">
        <v>2.23</v>
      </c>
      <c r="Z139" s="369">
        <v>2.23</v>
      </c>
      <c r="AA139" s="369">
        <v>2.2400000000000002</v>
      </c>
      <c r="AB139" s="369">
        <v>2.2400000000000002</v>
      </c>
      <c r="AC139" s="369">
        <v>2.2400000000000002</v>
      </c>
      <c r="AD139" s="369">
        <v>2.2400000000000002</v>
      </c>
      <c r="AE139" s="369">
        <v>2.2400000000000002</v>
      </c>
      <c r="AF139" s="369">
        <v>2.2400000000000002</v>
      </c>
      <c r="AG139" s="369">
        <v>2.2400000000000002</v>
      </c>
      <c r="AH139" s="369">
        <v>2.2400000000000002</v>
      </c>
      <c r="AI139" s="369">
        <v>2.2400000000000002</v>
      </c>
      <c r="AJ139" s="369">
        <v>2.2400000000000002</v>
      </c>
      <c r="AK139" s="369">
        <v>2.2400000000000002</v>
      </c>
      <c r="AL139" s="369">
        <v>2.2400000000000002</v>
      </c>
      <c r="AM139" s="369">
        <v>2.2400000000000002</v>
      </c>
      <c r="AN139" s="369">
        <v>2.2400000000000002</v>
      </c>
      <c r="AO139" s="369">
        <v>2.2400000000000002</v>
      </c>
      <c r="AP139" s="369">
        <v>2.2400000000000002</v>
      </c>
      <c r="AQ139" s="369">
        <v>2.23</v>
      </c>
      <c r="AR139" s="369">
        <v>2.23</v>
      </c>
      <c r="AS139" s="369">
        <v>2.23</v>
      </c>
      <c r="AT139" s="369">
        <v>2.23</v>
      </c>
      <c r="AU139" s="369">
        <v>2.2200000000000002</v>
      </c>
      <c r="AV139" s="369">
        <v>2.2200000000000002</v>
      </c>
      <c r="AW139" s="369">
        <v>2.2200000000000002</v>
      </c>
      <c r="AX139" s="369">
        <v>2.2200000000000002</v>
      </c>
      <c r="AY139" s="369">
        <v>2.2200000000000002</v>
      </c>
      <c r="AZ139" s="60">
        <v>8.9999999999999993E-3</v>
      </c>
      <c r="BA139" s="108">
        <f t="shared" si="12"/>
        <v>0.89999999999999991</v>
      </c>
      <c r="BC139" s="459">
        <v>2.79</v>
      </c>
      <c r="BD139" s="704">
        <f t="shared" si="11"/>
        <v>39577.25</v>
      </c>
      <c r="BE139" s="704">
        <f t="shared" si="10"/>
        <v>48369.75</v>
      </c>
      <c r="BF139" s="704">
        <f t="shared" si="10"/>
        <v>32530</v>
      </c>
      <c r="BG139" s="704">
        <f t="shared" si="10"/>
        <v>32296</v>
      </c>
      <c r="BH139" s="704">
        <v>9</v>
      </c>
    </row>
    <row r="140" spans="1:60" ht="12.75" customHeight="1">
      <c r="A140" s="111">
        <v>43799</v>
      </c>
      <c r="B140" s="369">
        <v>0.59</v>
      </c>
      <c r="C140" s="369">
        <v>0.65</v>
      </c>
      <c r="D140" s="369">
        <v>0.74</v>
      </c>
      <c r="E140" s="369">
        <v>0.86</v>
      </c>
      <c r="F140" s="369">
        <v>0.98</v>
      </c>
      <c r="G140" s="369">
        <v>1.1200000000000001</v>
      </c>
      <c r="H140" s="369">
        <v>1.25</v>
      </c>
      <c r="I140" s="369">
        <v>1.38</v>
      </c>
      <c r="J140" s="369">
        <v>1.5</v>
      </c>
      <c r="K140" s="369">
        <v>1.61</v>
      </c>
      <c r="L140" s="369">
        <v>1.71</v>
      </c>
      <c r="M140" s="369">
        <v>1.8</v>
      </c>
      <c r="N140" s="369">
        <v>1.87</v>
      </c>
      <c r="O140" s="369">
        <v>1.94</v>
      </c>
      <c r="P140" s="459">
        <v>2</v>
      </c>
      <c r="Q140" s="369">
        <v>2.04</v>
      </c>
      <c r="R140" s="369">
        <v>2.0699999999999998</v>
      </c>
      <c r="S140" s="369">
        <v>2.1</v>
      </c>
      <c r="T140" s="369">
        <v>2.13</v>
      </c>
      <c r="U140" s="369">
        <v>2.16</v>
      </c>
      <c r="V140" s="369">
        <v>2.17</v>
      </c>
      <c r="W140" s="369">
        <v>2.1800000000000002</v>
      </c>
      <c r="X140" s="369">
        <v>2.19</v>
      </c>
      <c r="Y140" s="369">
        <v>2.2000000000000002</v>
      </c>
      <c r="Z140" s="369">
        <v>2.21</v>
      </c>
      <c r="AA140" s="369">
        <v>2.21</v>
      </c>
      <c r="AB140" s="369">
        <v>2.21</v>
      </c>
      <c r="AC140" s="369">
        <v>2.21</v>
      </c>
      <c r="AD140" s="369">
        <v>2.21</v>
      </c>
      <c r="AE140" s="369">
        <v>2.21</v>
      </c>
      <c r="AF140" s="369">
        <v>2.21</v>
      </c>
      <c r="AG140" s="369">
        <v>2.21</v>
      </c>
      <c r="AH140" s="369">
        <v>2.21</v>
      </c>
      <c r="AI140" s="369">
        <v>2.21</v>
      </c>
      <c r="AJ140" s="369">
        <v>2.21</v>
      </c>
      <c r="AK140" s="369">
        <v>2.21</v>
      </c>
      <c r="AL140" s="369">
        <v>2.21</v>
      </c>
      <c r="AM140" s="369">
        <v>2.21</v>
      </c>
      <c r="AN140" s="369">
        <v>2.21</v>
      </c>
      <c r="AO140" s="369">
        <v>2.21</v>
      </c>
      <c r="AP140" s="369">
        <v>2.21</v>
      </c>
      <c r="AQ140" s="369">
        <v>2.2000000000000002</v>
      </c>
      <c r="AR140" s="369">
        <v>2.2000000000000002</v>
      </c>
      <c r="AS140" s="369">
        <v>2.2000000000000002</v>
      </c>
      <c r="AT140" s="369">
        <v>2.19</v>
      </c>
      <c r="AU140" s="369">
        <v>2.19</v>
      </c>
      <c r="AV140" s="369">
        <v>2.19</v>
      </c>
      <c r="AW140" s="369">
        <v>2.19</v>
      </c>
      <c r="AX140" s="369">
        <v>2.19</v>
      </c>
      <c r="AY140" s="369">
        <v>2.1800000000000002</v>
      </c>
      <c r="AZ140" s="60">
        <v>8.9999999999999993E-3</v>
      </c>
      <c r="BA140" s="108">
        <f t="shared" si="12"/>
        <v>0.89999999999999991</v>
      </c>
      <c r="BC140" s="459">
        <v>2.75</v>
      </c>
      <c r="BD140" s="704">
        <f t="shared" si="11"/>
        <v>39886.5</v>
      </c>
      <c r="BE140" s="704">
        <f t="shared" si="10"/>
        <v>49096.166666666664</v>
      </c>
      <c r="BF140" s="704">
        <f t="shared" si="10"/>
        <v>32874.333333333336</v>
      </c>
      <c r="BG140" s="704">
        <f t="shared" si="10"/>
        <v>32955.333333333336</v>
      </c>
      <c r="BH140" s="704">
        <v>10</v>
      </c>
    </row>
    <row r="141" spans="1:60" s="117" customFormat="1" ht="12.75" customHeight="1">
      <c r="A141" s="111">
        <v>43830</v>
      </c>
      <c r="B141" s="369">
        <v>0.57999999999999996</v>
      </c>
      <c r="C141" s="369">
        <v>0.63</v>
      </c>
      <c r="D141" s="369">
        <v>0.72</v>
      </c>
      <c r="E141" s="369">
        <v>0.84</v>
      </c>
      <c r="F141" s="369">
        <v>0.97</v>
      </c>
      <c r="G141" s="369">
        <v>1.1000000000000001</v>
      </c>
      <c r="H141" s="369">
        <v>1.23</v>
      </c>
      <c r="I141" s="369">
        <v>1.36</v>
      </c>
      <c r="J141" s="369">
        <v>1.48</v>
      </c>
      <c r="K141" s="369">
        <v>1.59</v>
      </c>
      <c r="L141" s="369">
        <v>1.69</v>
      </c>
      <c r="M141" s="369">
        <v>1.77</v>
      </c>
      <c r="N141" s="369">
        <v>1.85</v>
      </c>
      <c r="O141" s="369">
        <v>1.91</v>
      </c>
      <c r="P141" s="459">
        <v>1.97</v>
      </c>
      <c r="Q141" s="369">
        <v>2.0099999999999998</v>
      </c>
      <c r="R141" s="369">
        <v>2.0499999999999998</v>
      </c>
      <c r="S141" s="369">
        <v>2.08</v>
      </c>
      <c r="T141" s="369">
        <v>2.11</v>
      </c>
      <c r="U141" s="369">
        <v>2.13</v>
      </c>
      <c r="V141" s="369">
        <v>2.15</v>
      </c>
      <c r="W141" s="369">
        <v>2.16</v>
      </c>
      <c r="X141" s="369">
        <v>2.16</v>
      </c>
      <c r="Y141" s="369">
        <v>2.17</v>
      </c>
      <c r="Z141" s="369">
        <v>2.1800000000000002</v>
      </c>
      <c r="AA141" s="369">
        <v>2.1800000000000002</v>
      </c>
      <c r="AB141" s="369">
        <v>2.1800000000000002</v>
      </c>
      <c r="AC141" s="369">
        <v>2.19</v>
      </c>
      <c r="AD141" s="369">
        <v>2.19</v>
      </c>
      <c r="AE141" s="369">
        <v>2.19</v>
      </c>
      <c r="AF141" s="369">
        <v>2.19</v>
      </c>
      <c r="AG141" s="369">
        <v>2.19</v>
      </c>
      <c r="AH141" s="369">
        <v>2.19</v>
      </c>
      <c r="AI141" s="369">
        <v>2.1800000000000002</v>
      </c>
      <c r="AJ141" s="369">
        <v>2.1800000000000002</v>
      </c>
      <c r="AK141" s="369">
        <v>2.1800000000000002</v>
      </c>
      <c r="AL141" s="369">
        <v>2.1800000000000002</v>
      </c>
      <c r="AM141" s="369">
        <v>2.1800000000000002</v>
      </c>
      <c r="AN141" s="369">
        <v>2.1800000000000002</v>
      </c>
      <c r="AO141" s="369">
        <v>2.1800000000000002</v>
      </c>
      <c r="AP141" s="369">
        <v>2.1800000000000002</v>
      </c>
      <c r="AQ141" s="369">
        <v>2.17</v>
      </c>
      <c r="AR141" s="369">
        <v>2.17</v>
      </c>
      <c r="AS141" s="369">
        <v>2.17</v>
      </c>
      <c r="AT141" s="369">
        <v>2.17</v>
      </c>
      <c r="AU141" s="369">
        <v>2.16</v>
      </c>
      <c r="AV141" s="369">
        <v>2.16</v>
      </c>
      <c r="AW141" s="369">
        <v>2.16</v>
      </c>
      <c r="AX141" s="369">
        <v>2.16</v>
      </c>
      <c r="AY141" s="369">
        <v>2.15</v>
      </c>
      <c r="AZ141" s="60">
        <v>8.9999999999999993E-3</v>
      </c>
      <c r="BA141" s="108">
        <f t="shared" si="12"/>
        <v>0.89999999999999991</v>
      </c>
      <c r="BC141" s="459">
        <v>2.71</v>
      </c>
      <c r="BD141" s="704">
        <f t="shared" si="11"/>
        <v>40195.75</v>
      </c>
      <c r="BE141" s="704">
        <f t="shared" si="10"/>
        <v>49822.583333333336</v>
      </c>
      <c r="BF141" s="704">
        <f t="shared" si="10"/>
        <v>33218.666666666664</v>
      </c>
      <c r="BG141" s="704">
        <f t="shared" si="10"/>
        <v>33614.666666666664</v>
      </c>
      <c r="BH141" s="704">
        <v>11</v>
      </c>
    </row>
    <row r="142" spans="1:60">
      <c r="A142" s="111">
        <v>43861</v>
      </c>
      <c r="B142" s="369">
        <v>0.56000000000000005</v>
      </c>
      <c r="C142" s="369">
        <v>0.61</v>
      </c>
      <c r="D142" s="369">
        <v>0.7</v>
      </c>
      <c r="E142" s="369">
        <v>0.82</v>
      </c>
      <c r="F142" s="369">
        <v>0.95</v>
      </c>
      <c r="G142" s="369">
        <v>1.08</v>
      </c>
      <c r="H142" s="369">
        <v>1.2</v>
      </c>
      <c r="I142" s="369">
        <v>1.33</v>
      </c>
      <c r="J142" s="369">
        <v>1.45</v>
      </c>
      <c r="K142" s="369">
        <v>1.56</v>
      </c>
      <c r="L142" s="369">
        <v>1.66</v>
      </c>
      <c r="M142" s="369">
        <v>1.74</v>
      </c>
      <c r="N142" s="369">
        <v>1.82</v>
      </c>
      <c r="O142" s="369">
        <v>1.88</v>
      </c>
      <c r="P142" s="459">
        <v>1.94</v>
      </c>
      <c r="Q142" s="369">
        <v>1.98</v>
      </c>
      <c r="R142" s="369">
        <v>2.02</v>
      </c>
      <c r="S142" s="369">
        <v>2.0499999999999998</v>
      </c>
      <c r="T142" s="369">
        <v>2.08</v>
      </c>
      <c r="U142" s="369">
        <v>2.1</v>
      </c>
      <c r="V142" s="369">
        <v>2.11</v>
      </c>
      <c r="W142" s="369">
        <v>2.12</v>
      </c>
      <c r="X142" s="369">
        <v>2.13</v>
      </c>
      <c r="Y142" s="369">
        <v>2.14</v>
      </c>
      <c r="Z142" s="369">
        <v>2.15</v>
      </c>
      <c r="AA142" s="369">
        <v>2.15</v>
      </c>
      <c r="AB142" s="369">
        <v>2.15</v>
      </c>
      <c r="AC142" s="369">
        <v>2.15</v>
      </c>
      <c r="AD142" s="369">
        <v>2.16</v>
      </c>
      <c r="AE142" s="369">
        <v>2.16</v>
      </c>
      <c r="AF142" s="369">
        <v>2.16</v>
      </c>
      <c r="AG142" s="369">
        <v>2.15</v>
      </c>
      <c r="AH142" s="369">
        <v>2.15</v>
      </c>
      <c r="AI142" s="369">
        <v>2.15</v>
      </c>
      <c r="AJ142" s="369">
        <v>2.15</v>
      </c>
      <c r="AK142" s="369">
        <v>2.15</v>
      </c>
      <c r="AL142" s="369">
        <v>2.15</v>
      </c>
      <c r="AM142" s="369">
        <v>2.15</v>
      </c>
      <c r="AN142" s="369">
        <v>2.15</v>
      </c>
      <c r="AO142" s="369">
        <v>2.15</v>
      </c>
      <c r="AP142" s="369">
        <v>2.14</v>
      </c>
      <c r="AQ142" s="369">
        <v>2.14</v>
      </c>
      <c r="AR142" s="369">
        <v>2.14</v>
      </c>
      <c r="AS142" s="369">
        <v>2.14</v>
      </c>
      <c r="AT142" s="369">
        <v>2.13</v>
      </c>
      <c r="AU142" s="369">
        <v>2.13</v>
      </c>
      <c r="AV142" s="369">
        <v>2.13</v>
      </c>
      <c r="AW142" s="369">
        <v>2.12</v>
      </c>
      <c r="AX142" s="369">
        <v>2.12</v>
      </c>
      <c r="AY142" s="369">
        <v>2.12</v>
      </c>
      <c r="AZ142" s="60">
        <v>8.9999999999999993E-3</v>
      </c>
      <c r="BA142" s="108">
        <f t="shared" si="12"/>
        <v>0.89999999999999991</v>
      </c>
      <c r="BC142" s="459">
        <v>2.68</v>
      </c>
      <c r="BD142" s="705">
        <v>40505</v>
      </c>
      <c r="BE142" s="705">
        <v>50549</v>
      </c>
      <c r="BF142" s="705">
        <v>33563</v>
      </c>
      <c r="BG142" s="705">
        <v>34274</v>
      </c>
      <c r="BH142" s="25"/>
    </row>
    <row r="143" spans="1:60">
      <c r="A143" s="111">
        <v>43890</v>
      </c>
      <c r="B143" s="369">
        <v>0.55000000000000004</v>
      </c>
      <c r="C143" s="369">
        <v>0.6</v>
      </c>
      <c r="D143" s="369">
        <v>0.69</v>
      </c>
      <c r="E143" s="369">
        <v>0.8</v>
      </c>
      <c r="F143" s="369">
        <v>0.93</v>
      </c>
      <c r="G143" s="369">
        <v>1.06</v>
      </c>
      <c r="H143" s="369">
        <v>1.18</v>
      </c>
      <c r="I143" s="369">
        <v>1.3</v>
      </c>
      <c r="J143" s="369">
        <v>1.42</v>
      </c>
      <c r="K143" s="369">
        <v>1.53</v>
      </c>
      <c r="L143" s="369">
        <v>1.63</v>
      </c>
      <c r="M143" s="369">
        <v>1.71</v>
      </c>
      <c r="N143" s="369">
        <v>1.79</v>
      </c>
      <c r="O143" s="369">
        <v>1.85</v>
      </c>
      <c r="P143" s="459">
        <v>1.91</v>
      </c>
      <c r="Q143" s="369">
        <v>1.95</v>
      </c>
      <c r="R143" s="369">
        <v>1.98</v>
      </c>
      <c r="S143" s="369">
        <v>2.02</v>
      </c>
      <c r="T143" s="369">
        <v>2.04</v>
      </c>
      <c r="U143" s="369">
        <v>2.0699999999999998</v>
      </c>
      <c r="V143" s="369">
        <v>2.08</v>
      </c>
      <c r="W143" s="369">
        <v>2.09</v>
      </c>
      <c r="X143" s="369">
        <v>2.1</v>
      </c>
      <c r="Y143" s="369">
        <v>2.11</v>
      </c>
      <c r="Z143" s="369">
        <v>2.12</v>
      </c>
      <c r="AA143" s="369">
        <v>2.12</v>
      </c>
      <c r="AB143" s="369">
        <v>2.12</v>
      </c>
      <c r="AC143" s="369">
        <v>2.12</v>
      </c>
      <c r="AD143" s="369">
        <v>2.12</v>
      </c>
      <c r="AE143" s="369">
        <v>2.12</v>
      </c>
      <c r="AF143" s="369">
        <v>2.12</v>
      </c>
      <c r="AG143" s="369">
        <v>2.12</v>
      </c>
      <c r="AH143" s="369">
        <v>2.12</v>
      </c>
      <c r="AI143" s="369">
        <v>2.12</v>
      </c>
      <c r="AJ143" s="369">
        <v>2.12</v>
      </c>
      <c r="AK143" s="369">
        <v>2.12</v>
      </c>
      <c r="AL143" s="369">
        <v>2.12</v>
      </c>
      <c r="AM143" s="369">
        <v>2.12</v>
      </c>
      <c r="AN143" s="369">
        <v>2.11</v>
      </c>
      <c r="AO143" s="369">
        <v>2.11</v>
      </c>
      <c r="AP143" s="369">
        <v>2.11</v>
      </c>
      <c r="AQ143" s="369">
        <v>2.11</v>
      </c>
      <c r="AR143" s="369">
        <v>2.1</v>
      </c>
      <c r="AS143" s="369">
        <v>2.1</v>
      </c>
      <c r="AT143" s="369">
        <v>2.1</v>
      </c>
      <c r="AU143" s="369">
        <v>2.09</v>
      </c>
      <c r="AV143" s="369">
        <v>2.09</v>
      </c>
      <c r="AW143" s="369">
        <v>2.09</v>
      </c>
      <c r="AX143" s="369">
        <v>2.09</v>
      </c>
      <c r="AY143" s="369">
        <v>2.08</v>
      </c>
      <c r="AZ143" s="60">
        <v>8.9999999999999993E-3</v>
      </c>
      <c r="BA143" s="108">
        <f t="shared" si="12"/>
        <v>0.89999999999999991</v>
      </c>
      <c r="BC143" s="459">
        <v>2.64</v>
      </c>
      <c r="BD143" s="704">
        <f>BD$142+(BD$154-BD$142)/12*$BH143</f>
        <v>40870.166666666664</v>
      </c>
      <c r="BE143" s="704">
        <f t="shared" ref="BE143:BG153" si="13">BE$142+(BE$154-BE$142)/12*$BH143</f>
        <v>51598.083333333336</v>
      </c>
      <c r="BF143" s="704">
        <f t="shared" si="13"/>
        <v>33890.5</v>
      </c>
      <c r="BG143" s="704">
        <f t="shared" si="13"/>
        <v>35045.666666666664</v>
      </c>
      <c r="BH143" s="704">
        <v>1</v>
      </c>
    </row>
    <row r="144" spans="1:60">
      <c r="A144" s="111">
        <v>43921</v>
      </c>
      <c r="B144" s="369">
        <v>0.54</v>
      </c>
      <c r="C144" s="369">
        <v>0.6</v>
      </c>
      <c r="D144" s="369">
        <v>0.68</v>
      </c>
      <c r="E144" s="369">
        <v>0.8</v>
      </c>
      <c r="F144" s="369">
        <v>0.92</v>
      </c>
      <c r="G144" s="369">
        <v>1.05</v>
      </c>
      <c r="H144" s="369">
        <v>1.17</v>
      </c>
      <c r="I144" s="369">
        <v>1.29</v>
      </c>
      <c r="J144" s="369">
        <v>1.41</v>
      </c>
      <c r="K144" s="369">
        <v>1.52</v>
      </c>
      <c r="L144" s="369">
        <v>1.62</v>
      </c>
      <c r="M144" s="369">
        <v>1.7</v>
      </c>
      <c r="N144" s="369">
        <v>1.77</v>
      </c>
      <c r="O144" s="369">
        <v>1.84</v>
      </c>
      <c r="P144" s="459">
        <v>1.89</v>
      </c>
      <c r="Q144" s="369">
        <v>1.93</v>
      </c>
      <c r="R144" s="369">
        <v>1.97</v>
      </c>
      <c r="S144" s="369">
        <v>2</v>
      </c>
      <c r="T144" s="369">
        <v>2.0299999999999998</v>
      </c>
      <c r="U144" s="369">
        <v>2.0499999999999998</v>
      </c>
      <c r="V144" s="369">
        <v>2.06</v>
      </c>
      <c r="W144" s="369">
        <v>2.0699999999999998</v>
      </c>
      <c r="X144" s="369">
        <v>2.08</v>
      </c>
      <c r="Y144" s="369">
        <v>2.09</v>
      </c>
      <c r="Z144" s="369">
        <v>2.1</v>
      </c>
      <c r="AA144" s="369">
        <v>2.1</v>
      </c>
      <c r="AB144" s="369">
        <v>2.1</v>
      </c>
      <c r="AC144" s="369">
        <v>2.1</v>
      </c>
      <c r="AD144" s="369">
        <v>2.1</v>
      </c>
      <c r="AE144" s="369">
        <v>2.1</v>
      </c>
      <c r="AF144" s="369">
        <v>2.1</v>
      </c>
      <c r="AG144" s="369">
        <v>2.1</v>
      </c>
      <c r="AH144" s="369">
        <v>2.1</v>
      </c>
      <c r="AI144" s="369">
        <v>2.1</v>
      </c>
      <c r="AJ144" s="369">
        <v>2.1</v>
      </c>
      <c r="AK144" s="369">
        <v>2.1</v>
      </c>
      <c r="AL144" s="369">
        <v>2.1</v>
      </c>
      <c r="AM144" s="369">
        <v>2.09</v>
      </c>
      <c r="AN144" s="369">
        <v>2.09</v>
      </c>
      <c r="AO144" s="369">
        <v>2.09</v>
      </c>
      <c r="AP144" s="369">
        <v>2.09</v>
      </c>
      <c r="AQ144" s="369">
        <v>2.08</v>
      </c>
      <c r="AR144" s="369">
        <v>2.08</v>
      </c>
      <c r="AS144" s="369">
        <v>2.08</v>
      </c>
      <c r="AT144" s="369">
        <v>2.0699999999999998</v>
      </c>
      <c r="AU144" s="369">
        <v>2.0699999999999998</v>
      </c>
      <c r="AV144" s="369">
        <v>2.0699999999999998</v>
      </c>
      <c r="AW144" s="369">
        <v>2.0699999999999998</v>
      </c>
      <c r="AX144" s="369">
        <v>2.06</v>
      </c>
      <c r="AY144" s="369">
        <v>2.06</v>
      </c>
      <c r="AZ144" s="60">
        <v>8.9999999999999993E-3</v>
      </c>
      <c r="BA144" s="108">
        <f t="shared" si="12"/>
        <v>0.89999999999999991</v>
      </c>
      <c r="BC144" s="459">
        <v>2.61</v>
      </c>
      <c r="BD144" s="704">
        <f t="shared" ref="BD144:BD153" si="14">BD$142+(BD$154-BD$142)/12*$BH144</f>
        <v>41235.333333333336</v>
      </c>
      <c r="BE144" s="704">
        <f t="shared" si="13"/>
        <v>52647.166666666664</v>
      </c>
      <c r="BF144" s="704">
        <f t="shared" si="13"/>
        <v>34218</v>
      </c>
      <c r="BG144" s="704">
        <f t="shared" si="13"/>
        <v>35817.333333333336</v>
      </c>
      <c r="BH144" s="704">
        <v>2</v>
      </c>
    </row>
    <row r="145" spans="1:60">
      <c r="A145" s="111">
        <v>43951</v>
      </c>
      <c r="B145" s="369">
        <v>0.54</v>
      </c>
      <c r="C145" s="369">
        <v>0.59</v>
      </c>
      <c r="D145" s="369">
        <v>0.67</v>
      </c>
      <c r="E145" s="369">
        <v>0.79</v>
      </c>
      <c r="F145" s="369">
        <v>0.91</v>
      </c>
      <c r="G145" s="369">
        <v>1.03</v>
      </c>
      <c r="H145" s="369">
        <v>1.1499999999999999</v>
      </c>
      <c r="I145" s="369">
        <v>1.28</v>
      </c>
      <c r="J145" s="369">
        <v>1.39</v>
      </c>
      <c r="K145" s="369">
        <v>1.5</v>
      </c>
      <c r="L145" s="369">
        <v>1.59</v>
      </c>
      <c r="M145" s="369">
        <v>1.68</v>
      </c>
      <c r="N145" s="369">
        <v>1.75</v>
      </c>
      <c r="O145" s="369">
        <v>1.81</v>
      </c>
      <c r="P145" s="459">
        <v>1.87</v>
      </c>
      <c r="Q145" s="369">
        <v>1.91</v>
      </c>
      <c r="R145" s="369">
        <v>1.94</v>
      </c>
      <c r="S145" s="369">
        <v>1.97</v>
      </c>
      <c r="T145" s="369">
        <v>2</v>
      </c>
      <c r="U145" s="369">
        <v>2.0299999999999998</v>
      </c>
      <c r="V145" s="369">
        <v>2.04</v>
      </c>
      <c r="W145" s="369">
        <v>2.0499999999999998</v>
      </c>
      <c r="X145" s="369">
        <v>2.06</v>
      </c>
      <c r="Y145" s="369">
        <v>2.06</v>
      </c>
      <c r="Z145" s="369">
        <v>2.0699999999999998</v>
      </c>
      <c r="AA145" s="369">
        <v>2.0699999999999998</v>
      </c>
      <c r="AB145" s="369">
        <v>2.0699999999999998</v>
      </c>
      <c r="AC145" s="369">
        <v>2.0699999999999998</v>
      </c>
      <c r="AD145" s="369">
        <v>2.08</v>
      </c>
      <c r="AE145" s="369">
        <v>2.08</v>
      </c>
      <c r="AF145" s="369">
        <v>2.0699999999999998</v>
      </c>
      <c r="AG145" s="369">
        <v>2.0699999999999998</v>
      </c>
      <c r="AH145" s="369">
        <v>2.0699999999999998</v>
      </c>
      <c r="AI145" s="369">
        <v>2.0699999999999998</v>
      </c>
      <c r="AJ145" s="369">
        <v>2.0699999999999998</v>
      </c>
      <c r="AK145" s="369">
        <v>2.0699999999999998</v>
      </c>
      <c r="AL145" s="369">
        <v>2.0699999999999998</v>
      </c>
      <c r="AM145" s="369">
        <v>2.06</v>
      </c>
      <c r="AN145" s="369">
        <v>2.06</v>
      </c>
      <c r="AO145" s="369">
        <v>2.06</v>
      </c>
      <c r="AP145" s="369">
        <v>2.06</v>
      </c>
      <c r="AQ145" s="369">
        <v>2.0499999999999998</v>
      </c>
      <c r="AR145" s="369">
        <v>2.0499999999999998</v>
      </c>
      <c r="AS145" s="369">
        <v>2.0499999999999998</v>
      </c>
      <c r="AT145" s="369">
        <v>2.04</v>
      </c>
      <c r="AU145" s="369">
        <v>2.04</v>
      </c>
      <c r="AV145" s="369">
        <v>2.04</v>
      </c>
      <c r="AW145" s="369">
        <v>2.0299999999999998</v>
      </c>
      <c r="AX145" s="369">
        <v>2.0299999999999998</v>
      </c>
      <c r="AY145" s="369">
        <v>2.0299999999999998</v>
      </c>
      <c r="AZ145" s="60">
        <v>8.9999999999999993E-3</v>
      </c>
      <c r="BA145" s="108">
        <f t="shared" si="12"/>
        <v>0.89999999999999991</v>
      </c>
      <c r="BC145" s="459">
        <v>2.58</v>
      </c>
      <c r="BD145" s="704">
        <f t="shared" si="14"/>
        <v>41600.5</v>
      </c>
      <c r="BE145" s="704">
        <f t="shared" si="13"/>
        <v>53696.25</v>
      </c>
      <c r="BF145" s="704">
        <f t="shared" si="13"/>
        <v>34545.5</v>
      </c>
      <c r="BG145" s="704">
        <f t="shared" si="13"/>
        <v>36589</v>
      </c>
      <c r="BH145" s="704">
        <v>3</v>
      </c>
    </row>
    <row r="146" spans="1:60">
      <c r="A146" s="111">
        <v>43982</v>
      </c>
      <c r="B146" s="369">
        <v>0.53</v>
      </c>
      <c r="C146" s="369">
        <v>0.57999999999999996</v>
      </c>
      <c r="D146" s="369">
        <v>0.66</v>
      </c>
      <c r="E146" s="369">
        <v>0.77</v>
      </c>
      <c r="F146" s="369">
        <v>0.89</v>
      </c>
      <c r="G146" s="369">
        <v>1.02</v>
      </c>
      <c r="H146" s="369">
        <v>1.1399999999999999</v>
      </c>
      <c r="I146" s="369">
        <v>1.25</v>
      </c>
      <c r="J146" s="369">
        <v>1.37</v>
      </c>
      <c r="K146" s="369">
        <v>1.47</v>
      </c>
      <c r="L146" s="369">
        <v>1.57</v>
      </c>
      <c r="M146" s="369">
        <v>1.65</v>
      </c>
      <c r="N146" s="369">
        <v>1.72</v>
      </c>
      <c r="O146" s="369">
        <v>1.79</v>
      </c>
      <c r="P146" s="459">
        <v>1.84</v>
      </c>
      <c r="Q146" s="369">
        <v>1.88</v>
      </c>
      <c r="R146" s="369">
        <v>1.91</v>
      </c>
      <c r="S146" s="369">
        <v>1.95</v>
      </c>
      <c r="T146" s="369">
        <v>1.97</v>
      </c>
      <c r="U146" s="369">
        <v>2</v>
      </c>
      <c r="V146" s="369">
        <v>2.0099999999999998</v>
      </c>
      <c r="W146" s="369">
        <v>2.02</v>
      </c>
      <c r="X146" s="369">
        <v>2.0299999999999998</v>
      </c>
      <c r="Y146" s="369">
        <v>2.04</v>
      </c>
      <c r="Z146" s="369">
        <v>2.04</v>
      </c>
      <c r="AA146" s="369">
        <v>2.04</v>
      </c>
      <c r="AB146" s="369">
        <v>2.04</v>
      </c>
      <c r="AC146" s="369">
        <v>2.0499999999999998</v>
      </c>
      <c r="AD146" s="369">
        <v>2.0499999999999998</v>
      </c>
      <c r="AE146" s="369">
        <v>2.0499999999999998</v>
      </c>
      <c r="AF146" s="369">
        <v>2.04</v>
      </c>
      <c r="AG146" s="369">
        <v>2.04</v>
      </c>
      <c r="AH146" s="369">
        <v>2.04</v>
      </c>
      <c r="AI146" s="369">
        <v>2.04</v>
      </c>
      <c r="AJ146" s="369">
        <v>2.04</v>
      </c>
      <c r="AK146" s="369">
        <v>2.04</v>
      </c>
      <c r="AL146" s="369">
        <v>2.04</v>
      </c>
      <c r="AM146" s="369">
        <v>2.0299999999999998</v>
      </c>
      <c r="AN146" s="369">
        <v>2.0299999999999998</v>
      </c>
      <c r="AO146" s="369">
        <v>2.0299999999999998</v>
      </c>
      <c r="AP146" s="369">
        <v>2.0299999999999998</v>
      </c>
      <c r="AQ146" s="369">
        <v>2.02</v>
      </c>
      <c r="AR146" s="369">
        <v>2.02</v>
      </c>
      <c r="AS146" s="369">
        <v>2.0099999999999998</v>
      </c>
      <c r="AT146" s="369">
        <v>2.0099999999999998</v>
      </c>
      <c r="AU146" s="369">
        <v>2.0099999999999998</v>
      </c>
      <c r="AV146" s="369">
        <v>2</v>
      </c>
      <c r="AW146" s="369">
        <v>2</v>
      </c>
      <c r="AX146" s="369">
        <v>2</v>
      </c>
      <c r="AY146" s="369">
        <v>1.99</v>
      </c>
      <c r="AZ146" s="60">
        <v>8.9999999999999993E-3</v>
      </c>
      <c r="BA146" s="108">
        <f t="shared" si="12"/>
        <v>0.89999999999999991</v>
      </c>
      <c r="BC146" s="459">
        <v>2.54</v>
      </c>
      <c r="BD146" s="704">
        <f t="shared" si="14"/>
        <v>41965.666666666664</v>
      </c>
      <c r="BE146" s="704">
        <f t="shared" si="13"/>
        <v>54745.333333333336</v>
      </c>
      <c r="BF146" s="704">
        <f t="shared" si="13"/>
        <v>34873</v>
      </c>
      <c r="BG146" s="704">
        <f t="shared" si="13"/>
        <v>37360.666666666664</v>
      </c>
      <c r="BH146" s="704">
        <v>4</v>
      </c>
    </row>
    <row r="147" spans="1:60">
      <c r="A147" s="111">
        <v>44012</v>
      </c>
      <c r="B147" s="369">
        <v>0.52</v>
      </c>
      <c r="C147" s="369">
        <v>0.56999999999999995</v>
      </c>
      <c r="D147" s="369">
        <v>0.65</v>
      </c>
      <c r="E147" s="369">
        <v>0.76</v>
      </c>
      <c r="F147" s="369">
        <v>0.87</v>
      </c>
      <c r="G147" s="369">
        <v>0.99</v>
      </c>
      <c r="H147" s="369">
        <v>1.1100000000000001</v>
      </c>
      <c r="I147" s="369">
        <v>1.23</v>
      </c>
      <c r="J147" s="369">
        <v>1.34</v>
      </c>
      <c r="K147" s="369">
        <v>1.45</v>
      </c>
      <c r="L147" s="369">
        <v>1.54</v>
      </c>
      <c r="M147" s="369">
        <v>1.62</v>
      </c>
      <c r="N147" s="369">
        <v>1.69</v>
      </c>
      <c r="O147" s="369">
        <v>1.76</v>
      </c>
      <c r="P147" s="459">
        <v>1.81</v>
      </c>
      <c r="Q147" s="369">
        <v>1.85</v>
      </c>
      <c r="R147" s="369">
        <v>1.88</v>
      </c>
      <c r="S147" s="369">
        <v>1.91</v>
      </c>
      <c r="T147" s="369">
        <v>1.94</v>
      </c>
      <c r="U147" s="369">
        <v>1.97</v>
      </c>
      <c r="V147" s="369">
        <v>1.98</v>
      </c>
      <c r="W147" s="369">
        <v>1.99</v>
      </c>
      <c r="X147" s="369">
        <v>2</v>
      </c>
      <c r="Y147" s="369">
        <v>2</v>
      </c>
      <c r="Z147" s="369">
        <v>2.0099999999999998</v>
      </c>
      <c r="AA147" s="369">
        <v>2.0099999999999998</v>
      </c>
      <c r="AB147" s="369">
        <v>2.0099999999999998</v>
      </c>
      <c r="AC147" s="369">
        <v>2.0099999999999998</v>
      </c>
      <c r="AD147" s="369">
        <v>2.0099999999999998</v>
      </c>
      <c r="AE147" s="369">
        <v>2.0099999999999998</v>
      </c>
      <c r="AF147" s="369">
        <v>2.0099999999999998</v>
      </c>
      <c r="AG147" s="369">
        <v>2.0099999999999998</v>
      </c>
      <c r="AH147" s="369">
        <v>2.0099999999999998</v>
      </c>
      <c r="AI147" s="369">
        <v>2.0099999999999998</v>
      </c>
      <c r="AJ147" s="369">
        <v>2.0099999999999998</v>
      </c>
      <c r="AK147" s="369">
        <v>2</v>
      </c>
      <c r="AL147" s="369">
        <v>2</v>
      </c>
      <c r="AM147" s="369">
        <v>2</v>
      </c>
      <c r="AN147" s="369">
        <v>2</v>
      </c>
      <c r="AO147" s="369">
        <v>2</v>
      </c>
      <c r="AP147" s="369">
        <v>1.99</v>
      </c>
      <c r="AQ147" s="369">
        <v>1.99</v>
      </c>
      <c r="AR147" s="369">
        <v>1.98</v>
      </c>
      <c r="AS147" s="369">
        <v>1.98</v>
      </c>
      <c r="AT147" s="369">
        <v>1.98</v>
      </c>
      <c r="AU147" s="369">
        <v>1.97</v>
      </c>
      <c r="AV147" s="369">
        <v>1.97</v>
      </c>
      <c r="AW147" s="369">
        <v>1.97</v>
      </c>
      <c r="AX147" s="369">
        <v>1.96</v>
      </c>
      <c r="AY147" s="369">
        <v>1.96</v>
      </c>
      <c r="AZ147" s="60">
        <v>8.9999999999999993E-3</v>
      </c>
      <c r="BA147" s="108">
        <f t="shared" si="12"/>
        <v>0.89999999999999991</v>
      </c>
      <c r="BC147" s="459">
        <v>2.5099999999999998</v>
      </c>
      <c r="BD147" s="704">
        <f t="shared" si="14"/>
        <v>42330.833333333336</v>
      </c>
      <c r="BE147" s="704">
        <f t="shared" si="13"/>
        <v>55794.416666666664</v>
      </c>
      <c r="BF147" s="704">
        <f t="shared" si="13"/>
        <v>35200.5</v>
      </c>
      <c r="BG147" s="704">
        <f t="shared" si="13"/>
        <v>38132.333333333336</v>
      </c>
      <c r="BH147" s="704">
        <v>5</v>
      </c>
    </row>
    <row r="148" spans="1:60" s="117" customFormat="1" ht="12.75" customHeight="1">
      <c r="A148" s="111">
        <v>44043</v>
      </c>
      <c r="B148" s="369">
        <v>0.51</v>
      </c>
      <c r="C148" s="369">
        <v>0.55000000000000004</v>
      </c>
      <c r="D148" s="369">
        <v>0.63</v>
      </c>
      <c r="E148" s="369">
        <v>0.74</v>
      </c>
      <c r="F148" s="369">
        <v>0.85</v>
      </c>
      <c r="G148" s="369">
        <v>0.97</v>
      </c>
      <c r="H148" s="369">
        <v>1.0900000000000001</v>
      </c>
      <c r="I148" s="369">
        <v>1.2</v>
      </c>
      <c r="J148" s="369">
        <v>1.31</v>
      </c>
      <c r="K148" s="369">
        <v>1.42</v>
      </c>
      <c r="L148" s="369">
        <v>1.51</v>
      </c>
      <c r="M148" s="369">
        <v>1.59</v>
      </c>
      <c r="N148" s="369">
        <v>1.66</v>
      </c>
      <c r="O148" s="369">
        <v>1.72</v>
      </c>
      <c r="P148" s="459">
        <v>1.78</v>
      </c>
      <c r="Q148" s="369">
        <v>1.82</v>
      </c>
      <c r="R148" s="369">
        <v>1.85</v>
      </c>
      <c r="S148" s="369">
        <v>1.88</v>
      </c>
      <c r="T148" s="369">
        <v>1.91</v>
      </c>
      <c r="U148" s="369">
        <v>1.93</v>
      </c>
      <c r="V148" s="369">
        <v>1.94</v>
      </c>
      <c r="W148" s="369">
        <v>1.95</v>
      </c>
      <c r="X148" s="369">
        <v>1.96</v>
      </c>
      <c r="Y148" s="369">
        <v>1.97</v>
      </c>
      <c r="Z148" s="369">
        <v>1.98</v>
      </c>
      <c r="AA148" s="369">
        <v>1.98</v>
      </c>
      <c r="AB148" s="369">
        <v>1.98</v>
      </c>
      <c r="AC148" s="369">
        <v>1.98</v>
      </c>
      <c r="AD148" s="369">
        <v>1.98</v>
      </c>
      <c r="AE148" s="369">
        <v>1.98</v>
      </c>
      <c r="AF148" s="369">
        <v>1.98</v>
      </c>
      <c r="AG148" s="369">
        <v>1.98</v>
      </c>
      <c r="AH148" s="369">
        <v>1.97</v>
      </c>
      <c r="AI148" s="369">
        <v>1.97</v>
      </c>
      <c r="AJ148" s="369">
        <v>1.97</v>
      </c>
      <c r="AK148" s="369">
        <v>1.97</v>
      </c>
      <c r="AL148" s="369">
        <v>1.97</v>
      </c>
      <c r="AM148" s="369">
        <v>1.97</v>
      </c>
      <c r="AN148" s="369">
        <v>1.96</v>
      </c>
      <c r="AO148" s="369">
        <v>1.96</v>
      </c>
      <c r="AP148" s="369">
        <v>1.96</v>
      </c>
      <c r="AQ148" s="369">
        <v>1.95</v>
      </c>
      <c r="AR148" s="369">
        <v>1.95</v>
      </c>
      <c r="AS148" s="369">
        <v>1.94</v>
      </c>
      <c r="AT148" s="369">
        <v>1.94</v>
      </c>
      <c r="AU148" s="369">
        <v>1.94</v>
      </c>
      <c r="AV148" s="369">
        <v>1.93</v>
      </c>
      <c r="AW148" s="369">
        <v>1.93</v>
      </c>
      <c r="AX148" s="369">
        <v>1.93</v>
      </c>
      <c r="AY148" s="369">
        <v>1.92</v>
      </c>
      <c r="BC148" s="459">
        <v>2.4700000000000002</v>
      </c>
      <c r="BD148" s="704">
        <f t="shared" si="14"/>
        <v>42696</v>
      </c>
      <c r="BE148" s="704">
        <f t="shared" si="13"/>
        <v>56843.5</v>
      </c>
      <c r="BF148" s="704">
        <f t="shared" si="13"/>
        <v>35528</v>
      </c>
      <c r="BG148" s="704">
        <f t="shared" si="13"/>
        <v>38904</v>
      </c>
      <c r="BH148" s="704">
        <v>6</v>
      </c>
    </row>
    <row r="149" spans="1:60">
      <c r="A149" s="111">
        <v>44074</v>
      </c>
      <c r="B149" s="369">
        <v>0.49</v>
      </c>
      <c r="C149" s="369">
        <v>0.54</v>
      </c>
      <c r="D149" s="369">
        <v>0.61</v>
      </c>
      <c r="E149" s="369">
        <v>0.72</v>
      </c>
      <c r="F149" s="369">
        <v>0.83</v>
      </c>
      <c r="G149" s="369">
        <v>0.95</v>
      </c>
      <c r="H149" s="369">
        <v>1.06</v>
      </c>
      <c r="I149" s="369">
        <v>1.17</v>
      </c>
      <c r="J149" s="369">
        <v>1.28</v>
      </c>
      <c r="K149" s="369">
        <v>1.39</v>
      </c>
      <c r="L149" s="369">
        <v>1.48</v>
      </c>
      <c r="M149" s="369">
        <v>1.56</v>
      </c>
      <c r="N149" s="369">
        <v>1.63</v>
      </c>
      <c r="O149" s="369">
        <v>1.69</v>
      </c>
      <c r="P149" s="459">
        <v>1.74</v>
      </c>
      <c r="Q149" s="369">
        <v>1.78</v>
      </c>
      <c r="R149" s="369">
        <v>1.82</v>
      </c>
      <c r="S149" s="369">
        <v>1.85</v>
      </c>
      <c r="T149" s="369">
        <v>1.87</v>
      </c>
      <c r="U149" s="369">
        <v>1.9</v>
      </c>
      <c r="V149" s="369">
        <v>1.91</v>
      </c>
      <c r="W149" s="369">
        <v>1.92</v>
      </c>
      <c r="X149" s="369">
        <v>1.93</v>
      </c>
      <c r="Y149" s="369">
        <v>1.94</v>
      </c>
      <c r="Z149" s="369">
        <v>1.94</v>
      </c>
      <c r="AA149" s="369">
        <v>1.95</v>
      </c>
      <c r="AB149" s="369">
        <v>1.95</v>
      </c>
      <c r="AC149" s="369">
        <v>1.95</v>
      </c>
      <c r="AD149" s="369">
        <v>1.95</v>
      </c>
      <c r="AE149" s="369">
        <v>1.95</v>
      </c>
      <c r="AF149" s="369">
        <v>1.94</v>
      </c>
      <c r="AG149" s="369">
        <v>1.94</v>
      </c>
      <c r="AH149" s="369">
        <v>1.94</v>
      </c>
      <c r="AI149" s="369">
        <v>1.94</v>
      </c>
      <c r="AJ149" s="369">
        <v>1.94</v>
      </c>
      <c r="AK149" s="369">
        <v>1.94</v>
      </c>
      <c r="AL149" s="369">
        <v>1.93</v>
      </c>
      <c r="AM149" s="369">
        <v>1.93</v>
      </c>
      <c r="AN149" s="369">
        <v>1.93</v>
      </c>
      <c r="AO149" s="369">
        <v>1.93</v>
      </c>
      <c r="AP149" s="369">
        <v>1.92</v>
      </c>
      <c r="AQ149" s="369">
        <v>1.92</v>
      </c>
      <c r="AR149" s="369">
        <v>1.91</v>
      </c>
      <c r="AS149" s="369">
        <v>1.91</v>
      </c>
      <c r="AT149" s="369">
        <v>1.91</v>
      </c>
      <c r="AU149" s="369">
        <v>1.9</v>
      </c>
      <c r="AV149" s="369">
        <v>1.9</v>
      </c>
      <c r="AW149" s="369">
        <v>1.89</v>
      </c>
      <c r="AX149" s="369">
        <v>1.89</v>
      </c>
      <c r="AY149" s="369">
        <v>1.89</v>
      </c>
      <c r="BC149" s="459">
        <v>2.4500000000000002</v>
      </c>
      <c r="BD149" s="704">
        <f t="shared" si="14"/>
        <v>43061.166666666664</v>
      </c>
      <c r="BE149" s="704">
        <f t="shared" si="13"/>
        <v>57892.583333333336</v>
      </c>
      <c r="BF149" s="704">
        <f t="shared" si="13"/>
        <v>35855.5</v>
      </c>
      <c r="BG149" s="704">
        <f t="shared" si="13"/>
        <v>39675.666666666664</v>
      </c>
      <c r="BH149" s="704">
        <v>7</v>
      </c>
    </row>
    <row r="150" spans="1:60">
      <c r="A150" s="111">
        <v>44104</v>
      </c>
      <c r="B150" s="369">
        <v>0.48</v>
      </c>
      <c r="C150" s="369">
        <v>0.52</v>
      </c>
      <c r="D150" s="369">
        <v>0.6</v>
      </c>
      <c r="E150" s="369">
        <v>0.7</v>
      </c>
      <c r="F150" s="369">
        <v>0.8</v>
      </c>
      <c r="G150" s="369">
        <v>0.92</v>
      </c>
      <c r="H150" s="369">
        <v>1.03</v>
      </c>
      <c r="I150" s="369">
        <v>1.1499999999999999</v>
      </c>
      <c r="J150" s="369">
        <v>1.25</v>
      </c>
      <c r="K150" s="369">
        <v>1.36</v>
      </c>
      <c r="L150" s="369">
        <v>1.45</v>
      </c>
      <c r="M150" s="369">
        <v>1.53</v>
      </c>
      <c r="N150" s="369">
        <v>1.6</v>
      </c>
      <c r="O150" s="369">
        <v>1.66</v>
      </c>
      <c r="P150" s="459">
        <v>1.71</v>
      </c>
      <c r="Q150" s="369">
        <v>1.75</v>
      </c>
      <c r="R150" s="369">
        <v>1.78</v>
      </c>
      <c r="S150" s="369">
        <v>1.81</v>
      </c>
      <c r="T150" s="369">
        <v>1.84</v>
      </c>
      <c r="U150" s="369">
        <v>1.86</v>
      </c>
      <c r="V150" s="369">
        <v>1.88</v>
      </c>
      <c r="W150" s="369">
        <v>1.89</v>
      </c>
      <c r="X150" s="369">
        <v>1.89</v>
      </c>
      <c r="Y150" s="369">
        <v>1.9</v>
      </c>
      <c r="Z150" s="369">
        <v>1.91</v>
      </c>
      <c r="AA150" s="369">
        <v>1.91</v>
      </c>
      <c r="AB150" s="369">
        <v>1.91</v>
      </c>
      <c r="AC150" s="369">
        <v>1.91</v>
      </c>
      <c r="AD150" s="369">
        <v>1.91</v>
      </c>
      <c r="AE150" s="369">
        <v>1.91</v>
      </c>
      <c r="AF150" s="369">
        <v>1.91</v>
      </c>
      <c r="AG150" s="369">
        <v>1.91</v>
      </c>
      <c r="AH150" s="369">
        <v>1.91</v>
      </c>
      <c r="AI150" s="369">
        <v>1.9</v>
      </c>
      <c r="AJ150" s="369">
        <v>1.9</v>
      </c>
      <c r="AK150" s="369">
        <v>1.9</v>
      </c>
      <c r="AL150" s="369">
        <v>1.9</v>
      </c>
      <c r="AM150" s="369">
        <v>1.9</v>
      </c>
      <c r="AN150" s="369">
        <v>1.9</v>
      </c>
      <c r="AO150" s="369">
        <v>1.89</v>
      </c>
      <c r="AP150" s="369">
        <v>1.89</v>
      </c>
      <c r="AQ150" s="369">
        <v>1.88</v>
      </c>
      <c r="AR150" s="369">
        <v>1.88</v>
      </c>
      <c r="AS150" s="369">
        <v>1.87</v>
      </c>
      <c r="AT150" s="369">
        <v>1.87</v>
      </c>
      <c r="AU150" s="369">
        <v>1.87</v>
      </c>
      <c r="AV150" s="369">
        <v>1.86</v>
      </c>
      <c r="AW150" s="369">
        <v>1.86</v>
      </c>
      <c r="AX150" s="369">
        <v>1.85</v>
      </c>
      <c r="AY150" s="369">
        <v>1.85</v>
      </c>
      <c r="BC150" s="459">
        <v>2.41</v>
      </c>
      <c r="BD150" s="704">
        <f t="shared" si="14"/>
        <v>43426.333333333336</v>
      </c>
      <c r="BE150" s="704">
        <f t="shared" si="13"/>
        <v>58941.666666666664</v>
      </c>
      <c r="BF150" s="704">
        <f t="shared" si="13"/>
        <v>36183</v>
      </c>
      <c r="BG150" s="704">
        <f t="shared" si="13"/>
        <v>40447.333333333336</v>
      </c>
      <c r="BH150" s="704">
        <v>8</v>
      </c>
    </row>
    <row r="151" spans="1:60">
      <c r="A151" s="111">
        <v>44135</v>
      </c>
      <c r="B151" s="369">
        <v>0.47</v>
      </c>
      <c r="C151" s="369">
        <v>0.51</v>
      </c>
      <c r="D151" s="369">
        <v>0.57999999999999996</v>
      </c>
      <c r="E151" s="369">
        <v>0.68</v>
      </c>
      <c r="F151" s="369">
        <v>0.78</v>
      </c>
      <c r="G151" s="369">
        <v>0.9</v>
      </c>
      <c r="H151" s="369">
        <v>1.01</v>
      </c>
      <c r="I151" s="369">
        <v>1.1200000000000001</v>
      </c>
      <c r="J151" s="369">
        <v>1.22</v>
      </c>
      <c r="K151" s="369">
        <v>1.33</v>
      </c>
      <c r="L151" s="369">
        <v>1.42</v>
      </c>
      <c r="M151" s="369">
        <v>1.49</v>
      </c>
      <c r="N151" s="369">
        <v>1.56</v>
      </c>
      <c r="O151" s="369">
        <v>1.62</v>
      </c>
      <c r="P151" s="459">
        <v>1.68</v>
      </c>
      <c r="Q151" s="369">
        <v>1.71</v>
      </c>
      <c r="R151" s="369">
        <v>1.75</v>
      </c>
      <c r="S151" s="369">
        <v>1.78</v>
      </c>
      <c r="T151" s="369">
        <v>1.81</v>
      </c>
      <c r="U151" s="369">
        <v>1.83</v>
      </c>
      <c r="V151" s="369">
        <v>1.84</v>
      </c>
      <c r="W151" s="369">
        <v>1.85</v>
      </c>
      <c r="X151" s="369">
        <v>1.86</v>
      </c>
      <c r="Y151" s="369">
        <v>1.87</v>
      </c>
      <c r="Z151" s="369">
        <v>1.87</v>
      </c>
      <c r="AA151" s="369">
        <v>1.88</v>
      </c>
      <c r="AB151" s="369">
        <v>1.88</v>
      </c>
      <c r="AC151" s="369">
        <v>1.88</v>
      </c>
      <c r="AD151" s="369">
        <v>1.88</v>
      </c>
      <c r="AE151" s="369">
        <v>1.88</v>
      </c>
      <c r="AF151" s="369">
        <v>1.87</v>
      </c>
      <c r="AG151" s="369">
        <v>1.87</v>
      </c>
      <c r="AH151" s="369">
        <v>1.87</v>
      </c>
      <c r="AI151" s="369">
        <v>1.87</v>
      </c>
      <c r="AJ151" s="369">
        <v>1.87</v>
      </c>
      <c r="AK151" s="369">
        <v>1.86</v>
      </c>
      <c r="AL151" s="369">
        <v>1.86</v>
      </c>
      <c r="AM151" s="369">
        <v>1.86</v>
      </c>
      <c r="AN151" s="369">
        <v>1.86</v>
      </c>
      <c r="AO151" s="369">
        <v>1.86</v>
      </c>
      <c r="AP151" s="369">
        <v>1.85</v>
      </c>
      <c r="AQ151" s="369">
        <v>1.85</v>
      </c>
      <c r="AR151" s="369">
        <v>1.84</v>
      </c>
      <c r="AS151" s="369">
        <v>1.84</v>
      </c>
      <c r="AT151" s="369">
        <v>1.83</v>
      </c>
      <c r="AU151" s="369">
        <v>1.83</v>
      </c>
      <c r="AV151" s="369">
        <v>1.82</v>
      </c>
      <c r="AW151" s="369">
        <v>1.82</v>
      </c>
      <c r="AX151" s="369">
        <v>1.82</v>
      </c>
      <c r="AY151" s="369">
        <v>1.81</v>
      </c>
      <c r="BC151" s="459">
        <v>2.38</v>
      </c>
      <c r="BD151" s="704">
        <f t="shared" si="14"/>
        <v>43791.5</v>
      </c>
      <c r="BE151" s="704">
        <f t="shared" si="13"/>
        <v>59990.75</v>
      </c>
      <c r="BF151" s="704">
        <f t="shared" si="13"/>
        <v>36510.5</v>
      </c>
      <c r="BG151" s="704">
        <f t="shared" si="13"/>
        <v>41219</v>
      </c>
      <c r="BH151" s="704">
        <v>9</v>
      </c>
    </row>
    <row r="152" spans="1:60">
      <c r="A152" s="111">
        <v>44165</v>
      </c>
      <c r="B152" s="369">
        <v>0.45</v>
      </c>
      <c r="C152" s="369">
        <v>0.49</v>
      </c>
      <c r="D152" s="369">
        <v>0.56000000000000005</v>
      </c>
      <c r="E152" s="369">
        <v>0.66</v>
      </c>
      <c r="F152" s="369">
        <v>0.76</v>
      </c>
      <c r="G152" s="369">
        <v>0.87</v>
      </c>
      <c r="H152" s="369">
        <v>0.98</v>
      </c>
      <c r="I152" s="369">
        <v>1.0900000000000001</v>
      </c>
      <c r="J152" s="369">
        <v>1.19</v>
      </c>
      <c r="K152" s="369">
        <v>1.29</v>
      </c>
      <c r="L152" s="369">
        <v>1.38</v>
      </c>
      <c r="M152" s="369">
        <v>1.46</v>
      </c>
      <c r="N152" s="369">
        <v>1.53</v>
      </c>
      <c r="O152" s="369">
        <v>1.59</v>
      </c>
      <c r="P152" s="459">
        <v>1.64</v>
      </c>
      <c r="Q152" s="369">
        <v>1.68</v>
      </c>
      <c r="R152" s="369">
        <v>1.71</v>
      </c>
      <c r="S152" s="369">
        <v>1.74</v>
      </c>
      <c r="T152" s="369">
        <v>1.77</v>
      </c>
      <c r="U152" s="369">
        <v>1.79</v>
      </c>
      <c r="V152" s="369">
        <v>1.8</v>
      </c>
      <c r="W152" s="369">
        <v>1.81</v>
      </c>
      <c r="X152" s="369">
        <v>1.82</v>
      </c>
      <c r="Y152" s="369">
        <v>1.83</v>
      </c>
      <c r="Z152" s="369">
        <v>1.84</v>
      </c>
      <c r="AA152" s="369">
        <v>1.84</v>
      </c>
      <c r="AB152" s="369">
        <v>1.84</v>
      </c>
      <c r="AC152" s="369">
        <v>1.84</v>
      </c>
      <c r="AD152" s="369">
        <v>1.84</v>
      </c>
      <c r="AE152" s="369">
        <v>1.84</v>
      </c>
      <c r="AF152" s="369">
        <v>1.84</v>
      </c>
      <c r="AG152" s="369">
        <v>1.83</v>
      </c>
      <c r="AH152" s="369">
        <v>1.83</v>
      </c>
      <c r="AI152" s="369">
        <v>1.83</v>
      </c>
      <c r="AJ152" s="369">
        <v>1.83</v>
      </c>
      <c r="AK152" s="369">
        <v>1.83</v>
      </c>
      <c r="AL152" s="369">
        <v>1.82</v>
      </c>
      <c r="AM152" s="369">
        <v>1.82</v>
      </c>
      <c r="AN152" s="369">
        <v>1.82</v>
      </c>
      <c r="AO152" s="369">
        <v>1.82</v>
      </c>
      <c r="AP152" s="369">
        <v>1.81</v>
      </c>
      <c r="AQ152" s="369">
        <v>1.81</v>
      </c>
      <c r="AR152" s="369">
        <v>1.8</v>
      </c>
      <c r="AS152" s="369">
        <v>1.8</v>
      </c>
      <c r="AT152" s="369">
        <v>1.79</v>
      </c>
      <c r="AU152" s="369">
        <v>1.79</v>
      </c>
      <c r="AV152" s="369">
        <v>1.79</v>
      </c>
      <c r="AW152" s="369">
        <v>1.78</v>
      </c>
      <c r="AX152" s="369">
        <v>1.78</v>
      </c>
      <c r="AY152" s="369">
        <v>1.77</v>
      </c>
      <c r="BC152" s="459">
        <v>2.34</v>
      </c>
      <c r="BD152" s="704">
        <f t="shared" si="14"/>
        <v>44156.666666666664</v>
      </c>
      <c r="BE152" s="704">
        <f t="shared" si="13"/>
        <v>61039.833333333328</v>
      </c>
      <c r="BF152" s="704">
        <f t="shared" si="13"/>
        <v>36838</v>
      </c>
      <c r="BG152" s="704">
        <f t="shared" si="13"/>
        <v>41990.666666666664</v>
      </c>
      <c r="BH152" s="704">
        <v>10</v>
      </c>
    </row>
    <row r="153" spans="1:60">
      <c r="A153" s="111">
        <v>44196</v>
      </c>
      <c r="B153" s="369">
        <v>0.44</v>
      </c>
      <c r="C153" s="369">
        <v>0.47</v>
      </c>
      <c r="D153" s="369">
        <v>0.54</v>
      </c>
      <c r="E153" s="369">
        <v>0.64</v>
      </c>
      <c r="F153" s="369">
        <v>0.74</v>
      </c>
      <c r="G153" s="369">
        <v>0.84</v>
      </c>
      <c r="H153" s="369">
        <v>0.95</v>
      </c>
      <c r="I153" s="369">
        <v>1.06</v>
      </c>
      <c r="J153" s="369">
        <v>1.1599999999999999</v>
      </c>
      <c r="K153" s="369">
        <v>1.26</v>
      </c>
      <c r="L153" s="369">
        <v>1.35</v>
      </c>
      <c r="M153" s="369">
        <v>1.42</v>
      </c>
      <c r="N153" s="369">
        <v>1.49</v>
      </c>
      <c r="O153" s="369">
        <v>1.55</v>
      </c>
      <c r="P153" s="459">
        <v>1.6</v>
      </c>
      <c r="Q153" s="369">
        <v>1.64</v>
      </c>
      <c r="R153" s="369">
        <v>1.67</v>
      </c>
      <c r="S153" s="369">
        <v>1.7</v>
      </c>
      <c r="T153" s="369">
        <v>1.73</v>
      </c>
      <c r="U153" s="369">
        <v>1.75</v>
      </c>
      <c r="V153" s="369">
        <v>1.77</v>
      </c>
      <c r="W153" s="369">
        <v>1.77</v>
      </c>
      <c r="X153" s="369">
        <v>1.78</v>
      </c>
      <c r="Y153" s="369">
        <v>1.79</v>
      </c>
      <c r="Z153" s="369">
        <v>1.8</v>
      </c>
      <c r="AA153" s="369">
        <v>1.8</v>
      </c>
      <c r="AB153" s="369">
        <v>1.8</v>
      </c>
      <c r="AC153" s="369">
        <v>1.8</v>
      </c>
      <c r="AD153" s="369">
        <v>1.8</v>
      </c>
      <c r="AE153" s="369">
        <v>1.8</v>
      </c>
      <c r="AF153" s="369">
        <v>1.8</v>
      </c>
      <c r="AG153" s="369">
        <v>1.8</v>
      </c>
      <c r="AH153" s="369">
        <v>1.79</v>
      </c>
      <c r="AI153" s="369">
        <v>1.79</v>
      </c>
      <c r="AJ153" s="369">
        <v>1.79</v>
      </c>
      <c r="AK153" s="369">
        <v>1.79</v>
      </c>
      <c r="AL153" s="369">
        <v>1.79</v>
      </c>
      <c r="AM153" s="369">
        <v>1.78</v>
      </c>
      <c r="AN153" s="369">
        <v>1.78</v>
      </c>
      <c r="AO153" s="369">
        <v>1.78</v>
      </c>
      <c r="AP153" s="369">
        <v>1.77</v>
      </c>
      <c r="AQ153" s="369">
        <v>1.77</v>
      </c>
      <c r="AR153" s="369">
        <v>1.76</v>
      </c>
      <c r="AS153" s="369">
        <v>1.76</v>
      </c>
      <c r="AT153" s="369">
        <v>1.75</v>
      </c>
      <c r="AU153" s="369">
        <v>1.75</v>
      </c>
      <c r="AV153" s="369">
        <v>1.75</v>
      </c>
      <c r="AW153" s="369">
        <v>1.74</v>
      </c>
      <c r="AX153" s="369">
        <v>1.74</v>
      </c>
      <c r="AY153" s="369">
        <v>1.73</v>
      </c>
      <c r="BC153" s="459">
        <v>2.2999999999999998</v>
      </c>
      <c r="BD153" s="704">
        <f t="shared" si="14"/>
        <v>44521.833333333336</v>
      </c>
      <c r="BE153" s="704">
        <f t="shared" si="13"/>
        <v>62088.916666666664</v>
      </c>
      <c r="BF153" s="704">
        <f t="shared" si="13"/>
        <v>37165.5</v>
      </c>
      <c r="BG153" s="704">
        <f t="shared" si="13"/>
        <v>42762.333333333328</v>
      </c>
      <c r="BH153" s="704">
        <v>11</v>
      </c>
    </row>
    <row r="154" spans="1:60" s="117" customFormat="1" ht="12.75" customHeight="1">
      <c r="A154" s="111">
        <v>44227</v>
      </c>
      <c r="B154" s="369">
        <v>0.42</v>
      </c>
      <c r="C154" s="369">
        <v>0.46</v>
      </c>
      <c r="D154" s="369">
        <v>0.52</v>
      </c>
      <c r="E154" s="369">
        <v>0.62</v>
      </c>
      <c r="F154" s="369">
        <v>0.71</v>
      </c>
      <c r="G154" s="369">
        <v>0.82</v>
      </c>
      <c r="H154" s="369">
        <v>0.93</v>
      </c>
      <c r="I154" s="369">
        <v>1.03</v>
      </c>
      <c r="J154" s="369">
        <v>1.1299999999999999</v>
      </c>
      <c r="K154" s="369">
        <v>1.23</v>
      </c>
      <c r="L154" s="369">
        <v>1.32</v>
      </c>
      <c r="M154" s="369">
        <v>1.39</v>
      </c>
      <c r="N154" s="369">
        <v>1.46</v>
      </c>
      <c r="O154" s="369">
        <v>1.52</v>
      </c>
      <c r="P154" s="459">
        <v>1.57</v>
      </c>
      <c r="Q154" s="369">
        <v>1.61</v>
      </c>
      <c r="R154" s="369">
        <v>1.64</v>
      </c>
      <c r="S154" s="369">
        <v>1.67</v>
      </c>
      <c r="T154" s="369">
        <v>1.7</v>
      </c>
      <c r="U154" s="369">
        <v>1.72</v>
      </c>
      <c r="V154" s="369">
        <v>1.73</v>
      </c>
      <c r="W154" s="369">
        <v>1.74</v>
      </c>
      <c r="X154" s="369">
        <v>1.75</v>
      </c>
      <c r="Y154" s="369">
        <v>1.76</v>
      </c>
      <c r="Z154" s="369">
        <v>1.77</v>
      </c>
      <c r="AA154" s="369">
        <v>1.77</v>
      </c>
      <c r="AB154" s="369">
        <v>1.77</v>
      </c>
      <c r="AC154" s="369">
        <v>1.77</v>
      </c>
      <c r="AD154" s="369">
        <v>1.77</v>
      </c>
      <c r="AE154" s="369">
        <v>1.77</v>
      </c>
      <c r="AF154" s="369">
        <v>1.77</v>
      </c>
      <c r="AG154" s="369">
        <v>1.76</v>
      </c>
      <c r="AH154" s="369">
        <v>1.76</v>
      </c>
      <c r="AI154" s="369">
        <v>1.76</v>
      </c>
      <c r="AJ154" s="369">
        <v>1.76</v>
      </c>
      <c r="AK154" s="369">
        <v>1.75</v>
      </c>
      <c r="AL154" s="369">
        <v>1.75</v>
      </c>
      <c r="AM154" s="369">
        <v>1.75</v>
      </c>
      <c r="AN154" s="369">
        <v>1.75</v>
      </c>
      <c r="AO154" s="369">
        <v>1.75</v>
      </c>
      <c r="AP154" s="369">
        <v>1.74</v>
      </c>
      <c r="AQ154" s="369">
        <v>1.74</v>
      </c>
      <c r="AR154" s="369">
        <v>1.73</v>
      </c>
      <c r="AS154" s="369">
        <v>1.72</v>
      </c>
      <c r="AT154" s="369">
        <v>1.72</v>
      </c>
      <c r="AU154" s="369">
        <v>1.72</v>
      </c>
      <c r="AV154" s="369">
        <v>1.71</v>
      </c>
      <c r="AW154" s="369">
        <v>1.71</v>
      </c>
      <c r="AX154" s="369">
        <v>1.7</v>
      </c>
      <c r="AY154" s="369">
        <v>1.7</v>
      </c>
      <c r="BC154" s="459">
        <v>2.2599999999999998</v>
      </c>
      <c r="BD154" s="705">
        <v>44887</v>
      </c>
      <c r="BE154" s="705">
        <v>63138</v>
      </c>
      <c r="BF154" s="705">
        <v>37493</v>
      </c>
      <c r="BG154" s="705">
        <v>43534</v>
      </c>
    </row>
    <row r="155" spans="1:60">
      <c r="A155" s="111">
        <v>44255</v>
      </c>
      <c r="B155" s="369">
        <v>0.41</v>
      </c>
      <c r="C155" s="369">
        <v>0.44</v>
      </c>
      <c r="D155" s="369">
        <v>0.51</v>
      </c>
      <c r="E155" s="369">
        <v>0.6</v>
      </c>
      <c r="F155" s="369">
        <v>0.69</v>
      </c>
      <c r="G155" s="369">
        <v>0.8</v>
      </c>
      <c r="H155" s="369">
        <v>0.9</v>
      </c>
      <c r="I155" s="369">
        <v>1.01</v>
      </c>
      <c r="J155" s="369">
        <v>1.1100000000000001</v>
      </c>
      <c r="K155" s="369">
        <v>1.21</v>
      </c>
      <c r="L155" s="369">
        <v>1.29</v>
      </c>
      <c r="M155" s="369">
        <v>1.37</v>
      </c>
      <c r="N155" s="369">
        <v>1.43</v>
      </c>
      <c r="O155" s="369">
        <v>1.49</v>
      </c>
      <c r="P155" s="459">
        <v>1.54</v>
      </c>
      <c r="Q155" s="369">
        <v>1.58</v>
      </c>
      <c r="R155" s="369">
        <v>1.61</v>
      </c>
      <c r="S155" s="369">
        <v>1.64</v>
      </c>
      <c r="T155" s="369">
        <v>1.67</v>
      </c>
      <c r="U155" s="369">
        <v>1.69</v>
      </c>
      <c r="V155" s="369">
        <v>1.7</v>
      </c>
      <c r="W155" s="369">
        <v>1.71</v>
      </c>
      <c r="X155" s="369">
        <v>1.72</v>
      </c>
      <c r="Y155" s="369">
        <v>1.73</v>
      </c>
      <c r="Z155" s="369">
        <v>1.74</v>
      </c>
      <c r="AA155" s="369">
        <v>1.74</v>
      </c>
      <c r="AB155" s="369">
        <v>1.74</v>
      </c>
      <c r="AC155" s="369">
        <v>1.74</v>
      </c>
      <c r="AD155" s="369">
        <v>1.74</v>
      </c>
      <c r="AE155" s="369">
        <v>1.74</v>
      </c>
      <c r="AF155" s="369">
        <v>1.74</v>
      </c>
      <c r="AG155" s="369">
        <v>1.73</v>
      </c>
      <c r="AH155" s="369">
        <v>1.73</v>
      </c>
      <c r="AI155" s="369">
        <v>1.73</v>
      </c>
      <c r="AJ155" s="369">
        <v>1.73</v>
      </c>
      <c r="AK155" s="369">
        <v>1.72</v>
      </c>
      <c r="AL155" s="369">
        <v>1.72</v>
      </c>
      <c r="AM155" s="369">
        <v>1.72</v>
      </c>
      <c r="AN155" s="369">
        <v>1.72</v>
      </c>
      <c r="AO155" s="369">
        <v>1.72</v>
      </c>
      <c r="AP155" s="369">
        <v>1.71</v>
      </c>
      <c r="AQ155" s="369">
        <v>1.7</v>
      </c>
      <c r="AR155" s="369">
        <v>1.7</v>
      </c>
      <c r="AS155" s="369">
        <v>1.69</v>
      </c>
      <c r="AT155" s="369">
        <v>1.69</v>
      </c>
      <c r="AU155" s="369">
        <v>1.68</v>
      </c>
      <c r="AV155" s="369">
        <v>1.68</v>
      </c>
      <c r="AW155" s="369">
        <v>1.68</v>
      </c>
      <c r="AX155" s="369">
        <v>1.67</v>
      </c>
      <c r="AY155" s="369">
        <v>1.67</v>
      </c>
      <c r="BC155" s="459">
        <v>2.23</v>
      </c>
      <c r="BD155" s="704">
        <f>BD$154+(BD$166-BD$154)/12*$BH155</f>
        <v>45168.25</v>
      </c>
      <c r="BE155" s="704">
        <f t="shared" ref="BE155:BG165" si="15">BE$154+(BE$166-BE$154)/12*$BH155</f>
        <v>64405.916666666664</v>
      </c>
      <c r="BF155" s="704">
        <f t="shared" si="15"/>
        <v>37881.833333333336</v>
      </c>
      <c r="BG155" s="704">
        <f t="shared" si="15"/>
        <v>44845.5</v>
      </c>
      <c r="BH155" s="704">
        <v>1</v>
      </c>
    </row>
    <row r="156" spans="1:60">
      <c r="A156" s="111">
        <v>44286</v>
      </c>
      <c r="B156" s="369">
        <v>0.4</v>
      </c>
      <c r="C156" s="369">
        <v>0.43</v>
      </c>
      <c r="D156" s="369">
        <v>0.49</v>
      </c>
      <c r="E156" s="369">
        <v>0.57999999999999996</v>
      </c>
      <c r="F156" s="369">
        <v>0.68</v>
      </c>
      <c r="G156" s="369">
        <v>0.78</v>
      </c>
      <c r="H156" s="369">
        <v>0.88</v>
      </c>
      <c r="I156" s="369">
        <v>0.99</v>
      </c>
      <c r="J156" s="369">
        <v>1.08</v>
      </c>
      <c r="K156" s="369">
        <v>1.18</v>
      </c>
      <c r="L156" s="369">
        <v>1.27</v>
      </c>
      <c r="M156" s="369">
        <v>1.34</v>
      </c>
      <c r="N156" s="369">
        <v>1.41</v>
      </c>
      <c r="O156" s="369">
        <v>1.46</v>
      </c>
      <c r="P156" s="459">
        <v>1.51</v>
      </c>
      <c r="Q156" s="369">
        <v>1.55</v>
      </c>
      <c r="R156" s="369">
        <v>1.58</v>
      </c>
      <c r="S156" s="369">
        <v>1.61</v>
      </c>
      <c r="T156" s="369">
        <v>1.64</v>
      </c>
      <c r="U156" s="369">
        <v>1.66</v>
      </c>
      <c r="V156" s="369">
        <v>1.67</v>
      </c>
      <c r="W156" s="369">
        <v>1.68</v>
      </c>
      <c r="X156" s="369">
        <v>1.69</v>
      </c>
      <c r="Y156" s="369">
        <v>1.7</v>
      </c>
      <c r="Z156" s="369">
        <v>1.71</v>
      </c>
      <c r="AA156" s="369">
        <v>1.71</v>
      </c>
      <c r="AB156" s="369">
        <v>1.71</v>
      </c>
      <c r="AC156" s="369">
        <v>1.71</v>
      </c>
      <c r="AD156" s="369">
        <v>1.71</v>
      </c>
      <c r="AE156" s="369">
        <v>1.71</v>
      </c>
      <c r="AF156" s="369">
        <v>1.71</v>
      </c>
      <c r="AG156" s="369">
        <v>1.7</v>
      </c>
      <c r="AH156" s="369">
        <v>1.7</v>
      </c>
      <c r="AI156" s="369">
        <v>1.7</v>
      </c>
      <c r="AJ156" s="369">
        <v>1.7</v>
      </c>
      <c r="AK156" s="369">
        <v>1.7</v>
      </c>
      <c r="AL156" s="369">
        <v>1.69</v>
      </c>
      <c r="AM156" s="369">
        <v>1.69</v>
      </c>
      <c r="AN156" s="369">
        <v>1.69</v>
      </c>
      <c r="AO156" s="369">
        <v>1.69</v>
      </c>
      <c r="AP156" s="369">
        <v>1.68</v>
      </c>
      <c r="AQ156" s="369">
        <v>1.68</v>
      </c>
      <c r="AR156" s="369">
        <v>1.67</v>
      </c>
      <c r="AS156" s="369">
        <v>1.67</v>
      </c>
      <c r="AT156" s="369">
        <v>1.66</v>
      </c>
      <c r="AU156" s="369">
        <v>1.66</v>
      </c>
      <c r="AV156" s="369">
        <v>1.65</v>
      </c>
      <c r="AW156" s="369">
        <v>1.65</v>
      </c>
      <c r="AX156" s="369">
        <v>1.64</v>
      </c>
      <c r="AY156" s="369">
        <v>1.64</v>
      </c>
      <c r="BC156" s="459">
        <v>2.19</v>
      </c>
      <c r="BD156" s="704">
        <f t="shared" ref="BD156:BD165" si="16">BD$154+(BD$166-BD$154)/12*$BH156</f>
        <v>45449.5</v>
      </c>
      <c r="BE156" s="704">
        <f t="shared" si="15"/>
        <v>65673.833333333328</v>
      </c>
      <c r="BF156" s="704">
        <f t="shared" si="15"/>
        <v>38270.666666666664</v>
      </c>
      <c r="BG156" s="704">
        <f t="shared" si="15"/>
        <v>46157</v>
      </c>
      <c r="BH156" s="704">
        <v>2</v>
      </c>
    </row>
    <row r="157" spans="1:60">
      <c r="A157" s="111">
        <v>44316</v>
      </c>
      <c r="B157" s="369">
        <v>0.38</v>
      </c>
      <c r="C157" s="369">
        <v>0.42</v>
      </c>
      <c r="D157" s="369">
        <v>0.48</v>
      </c>
      <c r="E157" s="369">
        <v>0.56999999999999995</v>
      </c>
      <c r="F157" s="369">
        <v>0.66</v>
      </c>
      <c r="G157" s="369">
        <v>0.76</v>
      </c>
      <c r="H157" s="369">
        <v>0.86</v>
      </c>
      <c r="I157" s="369">
        <v>0.97</v>
      </c>
      <c r="J157" s="369">
        <v>1.06</v>
      </c>
      <c r="K157" s="369">
        <v>1.1599999999999999</v>
      </c>
      <c r="L157" s="369">
        <v>1.25</v>
      </c>
      <c r="M157" s="369">
        <v>1.32</v>
      </c>
      <c r="N157" s="369">
        <v>1.38</v>
      </c>
      <c r="O157" s="369">
        <v>1.44</v>
      </c>
      <c r="P157" s="459">
        <v>1.49</v>
      </c>
      <c r="Q157" s="369">
        <v>1.53</v>
      </c>
      <c r="R157" s="369">
        <v>1.56</v>
      </c>
      <c r="S157" s="369">
        <v>1.59</v>
      </c>
      <c r="T157" s="369">
        <v>1.62</v>
      </c>
      <c r="U157" s="369">
        <v>1.64</v>
      </c>
      <c r="V157" s="369">
        <v>1.65</v>
      </c>
      <c r="W157" s="369">
        <v>1.66</v>
      </c>
      <c r="X157" s="369">
        <v>1.67</v>
      </c>
      <c r="Y157" s="369">
        <v>1.68</v>
      </c>
      <c r="Z157" s="369">
        <v>1.68</v>
      </c>
      <c r="AA157" s="369">
        <v>1.68</v>
      </c>
      <c r="AB157" s="369">
        <v>1.68</v>
      </c>
      <c r="AC157" s="369">
        <v>1.68</v>
      </c>
      <c r="AD157" s="369">
        <v>1.68</v>
      </c>
      <c r="AE157" s="369">
        <v>1.69</v>
      </c>
      <c r="AF157" s="369">
        <v>1.68</v>
      </c>
      <c r="AG157" s="369">
        <v>1.68</v>
      </c>
      <c r="AH157" s="369">
        <v>1.68</v>
      </c>
      <c r="AI157" s="369">
        <v>1.67</v>
      </c>
      <c r="AJ157" s="369">
        <v>1.67</v>
      </c>
      <c r="AK157" s="369">
        <v>1.67</v>
      </c>
      <c r="AL157" s="369">
        <v>1.67</v>
      </c>
      <c r="AM157" s="369">
        <v>1.67</v>
      </c>
      <c r="AN157" s="369">
        <v>1.66</v>
      </c>
      <c r="AO157" s="369">
        <v>1.66</v>
      </c>
      <c r="AP157" s="369">
        <v>1.66</v>
      </c>
      <c r="AQ157" s="369">
        <v>1.65</v>
      </c>
      <c r="AR157" s="369">
        <v>1.64</v>
      </c>
      <c r="AS157" s="369">
        <v>1.64</v>
      </c>
      <c r="AT157" s="369">
        <v>1.63</v>
      </c>
      <c r="AU157" s="369">
        <v>1.63</v>
      </c>
      <c r="AV157" s="369">
        <v>1.62</v>
      </c>
      <c r="AW157" s="369">
        <v>1.62</v>
      </c>
      <c r="AX157" s="369">
        <v>1.62</v>
      </c>
      <c r="AY157" s="369">
        <v>1.61</v>
      </c>
      <c r="BC157" s="459">
        <v>2.16</v>
      </c>
      <c r="BD157" s="704">
        <f t="shared" si="16"/>
        <v>45730.75</v>
      </c>
      <c r="BE157" s="704">
        <f t="shared" si="15"/>
        <v>66941.75</v>
      </c>
      <c r="BF157" s="704">
        <f t="shared" si="15"/>
        <v>38659.5</v>
      </c>
      <c r="BG157" s="704">
        <f t="shared" si="15"/>
        <v>47468.5</v>
      </c>
      <c r="BH157" s="704">
        <v>3</v>
      </c>
    </row>
    <row r="158" spans="1:60">
      <c r="A158" s="111">
        <v>44347</v>
      </c>
      <c r="B158" s="369">
        <v>0.37</v>
      </c>
      <c r="C158" s="369">
        <v>0.4</v>
      </c>
      <c r="D158" s="369">
        <v>0.47</v>
      </c>
      <c r="E158" s="369">
        <v>0.55000000000000004</v>
      </c>
      <c r="F158" s="369">
        <v>0.65</v>
      </c>
      <c r="G158" s="369">
        <v>0.75</v>
      </c>
      <c r="H158" s="369">
        <v>0.85</v>
      </c>
      <c r="I158" s="369">
        <v>0.95</v>
      </c>
      <c r="J158" s="369">
        <v>1.05</v>
      </c>
      <c r="K158" s="369">
        <v>1.1399999999999999</v>
      </c>
      <c r="L158" s="369">
        <v>1.22</v>
      </c>
      <c r="M158" s="369">
        <v>1.3</v>
      </c>
      <c r="N158" s="369">
        <v>1.36</v>
      </c>
      <c r="O158" s="369">
        <v>1.42</v>
      </c>
      <c r="P158" s="459">
        <v>1.47</v>
      </c>
      <c r="Q158" s="369">
        <v>1.5</v>
      </c>
      <c r="R158" s="369">
        <v>1.54</v>
      </c>
      <c r="S158" s="369">
        <v>1.57</v>
      </c>
      <c r="T158" s="369">
        <v>1.59</v>
      </c>
      <c r="U158" s="369">
        <v>1.62</v>
      </c>
      <c r="V158" s="369">
        <v>1.63</v>
      </c>
      <c r="W158" s="369">
        <v>1.64</v>
      </c>
      <c r="X158" s="369">
        <v>1.64</v>
      </c>
      <c r="Y158" s="369">
        <v>1.65</v>
      </c>
      <c r="Z158" s="369">
        <v>1.66</v>
      </c>
      <c r="AA158" s="369">
        <v>1.66</v>
      </c>
      <c r="AB158" s="369">
        <v>1.66</v>
      </c>
      <c r="AC158" s="369">
        <v>1.66</v>
      </c>
      <c r="AD158" s="369">
        <v>1.66</v>
      </c>
      <c r="AE158" s="369">
        <v>1.66</v>
      </c>
      <c r="AF158" s="369">
        <v>1.66</v>
      </c>
      <c r="AG158" s="369">
        <v>1.66</v>
      </c>
      <c r="AH158" s="369">
        <v>1.65</v>
      </c>
      <c r="AI158" s="369">
        <v>1.65</v>
      </c>
      <c r="AJ158" s="369">
        <v>1.65</v>
      </c>
      <c r="AK158" s="369">
        <v>1.65</v>
      </c>
      <c r="AL158" s="369">
        <v>1.64</v>
      </c>
      <c r="AM158" s="369">
        <v>1.64</v>
      </c>
      <c r="AN158" s="369">
        <v>1.64</v>
      </c>
      <c r="AO158" s="369">
        <v>1.64</v>
      </c>
      <c r="AP158" s="369">
        <v>1.63</v>
      </c>
      <c r="AQ158" s="369">
        <v>1.62</v>
      </c>
      <c r="AR158" s="369">
        <v>1.62</v>
      </c>
      <c r="AS158" s="369">
        <v>1.61</v>
      </c>
      <c r="AT158" s="369">
        <v>1.61</v>
      </c>
      <c r="AU158" s="369">
        <v>1.6</v>
      </c>
      <c r="AV158" s="369">
        <v>1.6</v>
      </c>
      <c r="AW158" s="369">
        <v>1.6</v>
      </c>
      <c r="AX158" s="369">
        <v>1.59</v>
      </c>
      <c r="AY158" s="369">
        <v>1.59</v>
      </c>
      <c r="BC158" s="459">
        <v>2.12</v>
      </c>
      <c r="BD158" s="704">
        <f t="shared" si="16"/>
        <v>46012</v>
      </c>
      <c r="BE158" s="704">
        <f t="shared" si="15"/>
        <v>68209.666666666672</v>
      </c>
      <c r="BF158" s="704">
        <f t="shared" si="15"/>
        <v>39048.333333333336</v>
      </c>
      <c r="BG158" s="704">
        <f t="shared" si="15"/>
        <v>48780</v>
      </c>
      <c r="BH158" s="704">
        <v>4</v>
      </c>
    </row>
    <row r="159" spans="1:60" s="117" customFormat="1" ht="12.75" customHeight="1">
      <c r="A159" s="111">
        <v>44377</v>
      </c>
      <c r="B159" s="369">
        <v>0.36</v>
      </c>
      <c r="C159" s="369">
        <v>0.39</v>
      </c>
      <c r="D159" s="369">
        <v>0.45</v>
      </c>
      <c r="E159" s="369">
        <v>0.54</v>
      </c>
      <c r="F159" s="369">
        <v>0.63</v>
      </c>
      <c r="G159" s="369">
        <v>0.73</v>
      </c>
      <c r="H159" s="369">
        <v>0.83</v>
      </c>
      <c r="I159" s="369">
        <v>0.93</v>
      </c>
      <c r="J159" s="369">
        <v>1.03</v>
      </c>
      <c r="K159" s="369">
        <v>1.1200000000000001</v>
      </c>
      <c r="L159" s="369">
        <v>1.2</v>
      </c>
      <c r="M159" s="369">
        <v>1.28</v>
      </c>
      <c r="N159" s="369">
        <v>1.34</v>
      </c>
      <c r="O159" s="369">
        <v>1.4</v>
      </c>
      <c r="P159" s="459">
        <v>1.45</v>
      </c>
      <c r="Q159" s="369">
        <v>1.48</v>
      </c>
      <c r="R159" s="369">
        <v>1.51</v>
      </c>
      <c r="S159" s="369">
        <v>1.54</v>
      </c>
      <c r="T159" s="369">
        <v>1.57</v>
      </c>
      <c r="U159" s="369">
        <v>1.59</v>
      </c>
      <c r="V159" s="369">
        <v>1.6</v>
      </c>
      <c r="W159" s="369">
        <v>1.61</v>
      </c>
      <c r="X159" s="369">
        <v>1.62</v>
      </c>
      <c r="Y159" s="369">
        <v>1.63</v>
      </c>
      <c r="Z159" s="369">
        <v>1.64</v>
      </c>
      <c r="AA159" s="369">
        <v>1.64</v>
      </c>
      <c r="AB159" s="369">
        <v>1.64</v>
      </c>
      <c r="AC159" s="369">
        <v>1.64</v>
      </c>
      <c r="AD159" s="369">
        <v>1.64</v>
      </c>
      <c r="AE159" s="369">
        <v>1.64</v>
      </c>
      <c r="AF159" s="369">
        <v>1.63</v>
      </c>
      <c r="AG159" s="369">
        <v>1.63</v>
      </c>
      <c r="AH159" s="369">
        <v>1.63</v>
      </c>
      <c r="AI159" s="369">
        <v>1.63</v>
      </c>
      <c r="AJ159" s="369">
        <v>1.62</v>
      </c>
      <c r="AK159" s="369">
        <v>1.62</v>
      </c>
      <c r="AL159" s="369">
        <v>1.62</v>
      </c>
      <c r="AM159" s="369">
        <v>1.62</v>
      </c>
      <c r="AN159" s="369">
        <v>1.61</v>
      </c>
      <c r="AO159" s="369">
        <v>1.61</v>
      </c>
      <c r="AP159" s="369">
        <v>1.61</v>
      </c>
      <c r="AQ159" s="369">
        <v>1.6</v>
      </c>
      <c r="AR159" s="369">
        <v>1.59</v>
      </c>
      <c r="AS159" s="369">
        <v>1.59</v>
      </c>
      <c r="AT159" s="369">
        <v>1.58</v>
      </c>
      <c r="AU159" s="369">
        <v>1.58</v>
      </c>
      <c r="AV159" s="369">
        <v>1.57</v>
      </c>
      <c r="AW159" s="369">
        <v>1.57</v>
      </c>
      <c r="AX159" s="369">
        <v>1.57</v>
      </c>
      <c r="AY159" s="369">
        <v>1.56</v>
      </c>
      <c r="BC159" s="459">
        <v>2.09</v>
      </c>
      <c r="BD159" s="704">
        <f t="shared" si="16"/>
        <v>46293.25</v>
      </c>
      <c r="BE159" s="704">
        <f t="shared" si="15"/>
        <v>69477.583333333328</v>
      </c>
      <c r="BF159" s="704">
        <f t="shared" si="15"/>
        <v>39437.166666666664</v>
      </c>
      <c r="BG159" s="704">
        <f t="shared" si="15"/>
        <v>50091.5</v>
      </c>
      <c r="BH159" s="704">
        <v>5</v>
      </c>
    </row>
    <row r="160" spans="1:60">
      <c r="A160" s="111">
        <v>44408</v>
      </c>
      <c r="B160" s="369">
        <v>0.34</v>
      </c>
      <c r="C160" s="369">
        <v>0.38</v>
      </c>
      <c r="D160" s="369">
        <v>0.44</v>
      </c>
      <c r="E160" s="369">
        <v>0.53</v>
      </c>
      <c r="F160" s="369">
        <v>0.62</v>
      </c>
      <c r="G160" s="369">
        <v>0.72</v>
      </c>
      <c r="H160" s="369">
        <v>0.81</v>
      </c>
      <c r="I160" s="369">
        <v>0.91</v>
      </c>
      <c r="J160" s="369">
        <v>1.01</v>
      </c>
      <c r="K160" s="369">
        <v>1.1000000000000001</v>
      </c>
      <c r="L160" s="369">
        <v>1.18</v>
      </c>
      <c r="M160" s="369">
        <v>1.25</v>
      </c>
      <c r="N160" s="369">
        <v>1.32</v>
      </c>
      <c r="O160" s="369">
        <v>1.37</v>
      </c>
      <c r="P160" s="459">
        <v>1.42</v>
      </c>
      <c r="Q160" s="369">
        <v>1.46</v>
      </c>
      <c r="R160" s="369">
        <v>1.49</v>
      </c>
      <c r="S160" s="369">
        <v>1.52</v>
      </c>
      <c r="T160" s="369">
        <v>1.55</v>
      </c>
      <c r="U160" s="369">
        <v>1.57</v>
      </c>
      <c r="V160" s="369">
        <v>1.58</v>
      </c>
      <c r="W160" s="369">
        <v>1.59</v>
      </c>
      <c r="X160" s="369">
        <v>1.6</v>
      </c>
      <c r="Y160" s="369">
        <v>1.6</v>
      </c>
      <c r="Z160" s="369">
        <v>1.61</v>
      </c>
      <c r="AA160" s="369">
        <v>1.61</v>
      </c>
      <c r="AB160" s="369">
        <v>1.61</v>
      </c>
      <c r="AC160" s="369">
        <v>1.61</v>
      </c>
      <c r="AD160" s="369">
        <v>1.61</v>
      </c>
      <c r="AE160" s="369">
        <v>1.61</v>
      </c>
      <c r="AF160" s="369">
        <v>1.61</v>
      </c>
      <c r="AG160" s="369">
        <v>1.6</v>
      </c>
      <c r="AH160" s="369">
        <v>1.6</v>
      </c>
      <c r="AI160" s="369">
        <v>1.6</v>
      </c>
      <c r="AJ160" s="369">
        <v>1.6</v>
      </c>
      <c r="AK160" s="369">
        <v>1.59</v>
      </c>
      <c r="AL160" s="369">
        <v>1.59</v>
      </c>
      <c r="AM160" s="369">
        <v>1.59</v>
      </c>
      <c r="AN160" s="369">
        <v>1.59</v>
      </c>
      <c r="AO160" s="369">
        <v>1.59</v>
      </c>
      <c r="AP160" s="369">
        <v>1.58</v>
      </c>
      <c r="AQ160" s="369">
        <v>1.57</v>
      </c>
      <c r="AR160" s="369">
        <v>1.57</v>
      </c>
      <c r="AS160" s="369">
        <v>1.56</v>
      </c>
      <c r="AT160" s="369">
        <v>1.56</v>
      </c>
      <c r="AU160" s="369">
        <v>1.55</v>
      </c>
      <c r="AV160" s="369">
        <v>1.55</v>
      </c>
      <c r="AW160" s="369">
        <v>1.54</v>
      </c>
      <c r="AX160" s="369">
        <v>1.54</v>
      </c>
      <c r="AY160" s="369">
        <v>1.53</v>
      </c>
      <c r="BC160" s="459">
        <v>2.0499999999999998</v>
      </c>
      <c r="BD160" s="704">
        <f t="shared" si="16"/>
        <v>46574.5</v>
      </c>
      <c r="BE160" s="704">
        <f t="shared" si="15"/>
        <v>70745.5</v>
      </c>
      <c r="BF160" s="704">
        <f t="shared" si="15"/>
        <v>39826</v>
      </c>
      <c r="BG160" s="704">
        <f t="shared" si="15"/>
        <v>51403</v>
      </c>
      <c r="BH160" s="704">
        <v>6</v>
      </c>
    </row>
    <row r="161" spans="1:60">
      <c r="A161" s="111">
        <v>44439</v>
      </c>
      <c r="B161" s="369">
        <v>0.33</v>
      </c>
      <c r="C161" s="369">
        <v>0.37</v>
      </c>
      <c r="D161" s="369">
        <v>0.43</v>
      </c>
      <c r="E161" s="369">
        <v>0.52</v>
      </c>
      <c r="F161" s="369">
        <v>0.61</v>
      </c>
      <c r="G161" s="369">
        <v>0.7</v>
      </c>
      <c r="H161" s="369">
        <v>0.8</v>
      </c>
      <c r="I161" s="369">
        <v>0.9</v>
      </c>
      <c r="J161" s="369">
        <v>0.99</v>
      </c>
      <c r="K161" s="369">
        <v>1.0900000000000001</v>
      </c>
      <c r="L161" s="369">
        <v>1.17</v>
      </c>
      <c r="M161" s="369">
        <v>1.24</v>
      </c>
      <c r="N161" s="369">
        <v>1.3</v>
      </c>
      <c r="O161" s="369">
        <v>1.36</v>
      </c>
      <c r="P161" s="459">
        <v>1.41</v>
      </c>
      <c r="Q161" s="369">
        <v>1.44</v>
      </c>
      <c r="R161" s="369">
        <v>1.47</v>
      </c>
      <c r="S161" s="369">
        <v>1.5</v>
      </c>
      <c r="T161" s="369">
        <v>1.53</v>
      </c>
      <c r="U161" s="369">
        <v>1.55</v>
      </c>
      <c r="V161" s="369">
        <v>1.56</v>
      </c>
      <c r="W161" s="369">
        <v>1.57</v>
      </c>
      <c r="X161" s="369">
        <v>1.58</v>
      </c>
      <c r="Y161" s="369">
        <v>1.59</v>
      </c>
      <c r="Z161" s="369">
        <v>1.59</v>
      </c>
      <c r="AA161" s="369">
        <v>1.59</v>
      </c>
      <c r="AB161" s="369">
        <v>1.59</v>
      </c>
      <c r="AC161" s="369">
        <v>1.59</v>
      </c>
      <c r="AD161" s="369">
        <v>1.59</v>
      </c>
      <c r="AE161" s="369">
        <v>1.59</v>
      </c>
      <c r="AF161" s="369">
        <v>1.59</v>
      </c>
      <c r="AG161" s="369">
        <v>1.58</v>
      </c>
      <c r="AH161" s="369">
        <v>1.58</v>
      </c>
      <c r="AI161" s="369">
        <v>1.58</v>
      </c>
      <c r="AJ161" s="369">
        <v>1.58</v>
      </c>
      <c r="AK161" s="369">
        <v>1.57</v>
      </c>
      <c r="AL161" s="369">
        <v>1.57</v>
      </c>
      <c r="AM161" s="369">
        <v>1.57</v>
      </c>
      <c r="AN161" s="369">
        <v>1.57</v>
      </c>
      <c r="AO161" s="369">
        <v>1.56</v>
      </c>
      <c r="AP161" s="369">
        <v>1.56</v>
      </c>
      <c r="AQ161" s="369">
        <v>1.55</v>
      </c>
      <c r="AR161" s="369">
        <v>1.55</v>
      </c>
      <c r="AS161" s="369">
        <v>1.54</v>
      </c>
      <c r="AT161" s="369">
        <v>1.54</v>
      </c>
      <c r="AU161" s="369">
        <v>1.53</v>
      </c>
      <c r="AV161" s="369">
        <v>1.53</v>
      </c>
      <c r="AW161" s="369">
        <v>1.52</v>
      </c>
      <c r="AX161" s="369">
        <v>1.52</v>
      </c>
      <c r="AY161" s="369">
        <v>1.51</v>
      </c>
      <c r="BC161" s="459">
        <v>2.0099999999999998</v>
      </c>
      <c r="BD161" s="704">
        <f t="shared" si="16"/>
        <v>46855.75</v>
      </c>
      <c r="BE161" s="704">
        <f t="shared" si="15"/>
        <v>72013.416666666672</v>
      </c>
      <c r="BF161" s="704">
        <f t="shared" si="15"/>
        <v>40214.833333333336</v>
      </c>
      <c r="BG161" s="704">
        <f t="shared" si="15"/>
        <v>52714.5</v>
      </c>
      <c r="BH161" s="704">
        <v>7</v>
      </c>
    </row>
    <row r="162" spans="1:60">
      <c r="A162" s="111">
        <v>44469</v>
      </c>
      <c r="B162" s="369">
        <v>0.32</v>
      </c>
      <c r="C162" s="369">
        <v>0.36</v>
      </c>
      <c r="D162" s="369">
        <v>0.42</v>
      </c>
      <c r="E162" s="369">
        <v>0.51</v>
      </c>
      <c r="F162" s="369">
        <v>0.6</v>
      </c>
      <c r="G162" s="369">
        <v>0.69</v>
      </c>
      <c r="H162" s="369">
        <v>0.79</v>
      </c>
      <c r="I162" s="369">
        <v>0.89</v>
      </c>
      <c r="J162" s="369">
        <v>0.98</v>
      </c>
      <c r="K162" s="369">
        <v>1.07</v>
      </c>
      <c r="L162" s="369">
        <v>1.1499999999999999</v>
      </c>
      <c r="M162" s="369">
        <v>1.22</v>
      </c>
      <c r="N162" s="369">
        <v>1.29</v>
      </c>
      <c r="O162" s="369">
        <v>1.34</v>
      </c>
      <c r="P162" s="459">
        <v>1.39</v>
      </c>
      <c r="Q162" s="369">
        <v>1.42</v>
      </c>
      <c r="R162" s="369">
        <v>1.46</v>
      </c>
      <c r="S162" s="369">
        <v>1.48</v>
      </c>
      <c r="T162" s="369">
        <v>1.51</v>
      </c>
      <c r="U162" s="369">
        <v>1.53</v>
      </c>
      <c r="V162" s="369">
        <v>1.54</v>
      </c>
      <c r="W162" s="369">
        <v>1.55</v>
      </c>
      <c r="X162" s="369">
        <v>1.56</v>
      </c>
      <c r="Y162" s="369">
        <v>1.57</v>
      </c>
      <c r="Z162" s="369">
        <v>1.57</v>
      </c>
      <c r="AA162" s="369">
        <v>1.57</v>
      </c>
      <c r="AB162" s="369">
        <v>1.57</v>
      </c>
      <c r="AC162" s="369">
        <v>1.57</v>
      </c>
      <c r="AD162" s="369">
        <v>1.57</v>
      </c>
      <c r="AE162" s="369">
        <v>1.57</v>
      </c>
      <c r="AF162" s="369">
        <v>1.57</v>
      </c>
      <c r="AG162" s="369">
        <v>1.56</v>
      </c>
      <c r="AH162" s="369">
        <v>1.56</v>
      </c>
      <c r="AI162" s="369">
        <v>1.56</v>
      </c>
      <c r="AJ162" s="369">
        <v>1.56</v>
      </c>
      <c r="AK162" s="369">
        <v>1.55</v>
      </c>
      <c r="AL162" s="369">
        <v>1.55</v>
      </c>
      <c r="AM162" s="369">
        <v>1.55</v>
      </c>
      <c r="AN162" s="369">
        <v>1.55</v>
      </c>
      <c r="AO162" s="369">
        <v>1.54</v>
      </c>
      <c r="AP162" s="369">
        <v>1.54</v>
      </c>
      <c r="AQ162" s="369">
        <v>1.53</v>
      </c>
      <c r="AR162" s="369">
        <v>1.52</v>
      </c>
      <c r="AS162" s="369">
        <v>1.52</v>
      </c>
      <c r="AT162" s="369">
        <v>1.51</v>
      </c>
      <c r="AU162" s="369">
        <v>1.51</v>
      </c>
      <c r="AV162" s="369">
        <v>1.5</v>
      </c>
      <c r="AW162" s="369">
        <v>1.5</v>
      </c>
      <c r="AX162" s="369">
        <v>1.49</v>
      </c>
      <c r="AY162" s="369">
        <v>1.49</v>
      </c>
      <c r="BC162" s="459">
        <v>1.98</v>
      </c>
      <c r="BD162" s="704">
        <f t="shared" si="16"/>
        <v>47137</v>
      </c>
      <c r="BE162" s="704">
        <f t="shared" si="15"/>
        <v>73281.333333333328</v>
      </c>
      <c r="BF162" s="704">
        <f t="shared" si="15"/>
        <v>40603.666666666664</v>
      </c>
      <c r="BG162" s="704">
        <f t="shared" si="15"/>
        <v>54026</v>
      </c>
      <c r="BH162" s="704">
        <v>8</v>
      </c>
    </row>
    <row r="163" spans="1:60">
      <c r="A163" s="111">
        <v>44500</v>
      </c>
      <c r="B163" s="369">
        <v>0.31</v>
      </c>
      <c r="C163" s="369">
        <v>0.35</v>
      </c>
      <c r="D163" s="369">
        <v>0.42</v>
      </c>
      <c r="E163" s="369">
        <v>0.5</v>
      </c>
      <c r="F163" s="369">
        <v>0.59</v>
      </c>
      <c r="G163" s="369">
        <v>0.68</v>
      </c>
      <c r="H163" s="369">
        <v>0.78</v>
      </c>
      <c r="I163" s="369">
        <v>0.88</v>
      </c>
      <c r="J163" s="369">
        <v>0.97</v>
      </c>
      <c r="K163" s="369">
        <v>1.06</v>
      </c>
      <c r="L163" s="369">
        <v>1.1399999999999999</v>
      </c>
      <c r="M163" s="369">
        <v>1.21</v>
      </c>
      <c r="N163" s="369">
        <v>1.27</v>
      </c>
      <c r="O163" s="369">
        <v>1.33</v>
      </c>
      <c r="P163" s="459">
        <v>1.37</v>
      </c>
      <c r="Q163" s="369">
        <v>1.41</v>
      </c>
      <c r="R163" s="369">
        <v>1.44</v>
      </c>
      <c r="S163" s="369">
        <v>1.47</v>
      </c>
      <c r="T163" s="369">
        <v>1.49</v>
      </c>
      <c r="U163" s="369">
        <v>1.51</v>
      </c>
      <c r="V163" s="369">
        <v>1.52</v>
      </c>
      <c r="W163" s="369">
        <v>1.53</v>
      </c>
      <c r="X163" s="369">
        <v>1.54</v>
      </c>
      <c r="Y163" s="369">
        <v>1.55</v>
      </c>
      <c r="Z163" s="369">
        <v>1.55</v>
      </c>
      <c r="AA163" s="369">
        <v>1.55</v>
      </c>
      <c r="AB163" s="369">
        <v>1.55</v>
      </c>
      <c r="AC163" s="369">
        <v>1.55</v>
      </c>
      <c r="AD163" s="369">
        <v>1.55</v>
      </c>
      <c r="AE163" s="369">
        <v>1.55</v>
      </c>
      <c r="AF163" s="369">
        <v>1.55</v>
      </c>
      <c r="AG163" s="369">
        <v>1.54</v>
      </c>
      <c r="AH163" s="369">
        <v>1.54</v>
      </c>
      <c r="AI163" s="369">
        <v>1.54</v>
      </c>
      <c r="AJ163" s="369">
        <v>1.53</v>
      </c>
      <c r="AK163" s="369">
        <v>1.53</v>
      </c>
      <c r="AL163" s="369">
        <v>1.53</v>
      </c>
      <c r="AM163" s="369">
        <v>1.52</v>
      </c>
      <c r="AN163" s="369">
        <v>1.52</v>
      </c>
      <c r="AO163" s="369">
        <v>1.52</v>
      </c>
      <c r="AP163" s="369">
        <v>1.51</v>
      </c>
      <c r="AQ163" s="369">
        <v>1.51</v>
      </c>
      <c r="AR163" s="369">
        <v>1.5</v>
      </c>
      <c r="AS163" s="369">
        <v>1.49</v>
      </c>
      <c r="AT163" s="369">
        <v>1.49</v>
      </c>
      <c r="AU163" s="369">
        <v>1.48</v>
      </c>
      <c r="AV163" s="369">
        <v>1.48</v>
      </c>
      <c r="AW163" s="369">
        <v>1.47</v>
      </c>
      <c r="AX163" s="369">
        <v>1.47</v>
      </c>
      <c r="AY163" s="369">
        <v>1.47</v>
      </c>
      <c r="BC163" s="459">
        <v>1.94</v>
      </c>
      <c r="BD163" s="704">
        <f t="shared" si="16"/>
        <v>47418.25</v>
      </c>
      <c r="BE163" s="704">
        <f t="shared" si="15"/>
        <v>74549.25</v>
      </c>
      <c r="BF163" s="704">
        <f t="shared" si="15"/>
        <v>40992.5</v>
      </c>
      <c r="BG163" s="704">
        <f t="shared" si="15"/>
        <v>55337.5</v>
      </c>
      <c r="BH163" s="704">
        <v>9</v>
      </c>
    </row>
    <row r="164" spans="1:60">
      <c r="A164" s="111">
        <v>44530</v>
      </c>
      <c r="B164" s="369">
        <v>0.3</v>
      </c>
      <c r="C164" s="369">
        <v>0.34</v>
      </c>
      <c r="D164" s="369">
        <v>0.41</v>
      </c>
      <c r="E164" s="369">
        <v>0.49</v>
      </c>
      <c r="F164" s="369">
        <v>0.57999999999999996</v>
      </c>
      <c r="G164" s="369">
        <v>0.68</v>
      </c>
      <c r="H164" s="369">
        <v>0.77</v>
      </c>
      <c r="I164" s="369">
        <v>0.87</v>
      </c>
      <c r="J164" s="369">
        <v>0.96</v>
      </c>
      <c r="K164" s="369">
        <v>1.05</v>
      </c>
      <c r="L164" s="369">
        <v>1.1299999999999999</v>
      </c>
      <c r="M164" s="369">
        <v>1.2</v>
      </c>
      <c r="N164" s="369">
        <v>1.26</v>
      </c>
      <c r="O164" s="369">
        <v>1.31</v>
      </c>
      <c r="P164" s="459">
        <v>1.36</v>
      </c>
      <c r="Q164" s="369">
        <v>1.39</v>
      </c>
      <c r="R164" s="369">
        <v>1.42</v>
      </c>
      <c r="S164" s="369">
        <v>1.45</v>
      </c>
      <c r="T164" s="369">
        <v>1.48</v>
      </c>
      <c r="U164" s="369">
        <v>1.5</v>
      </c>
      <c r="V164" s="369">
        <v>1.51</v>
      </c>
      <c r="W164" s="369">
        <v>1.51</v>
      </c>
      <c r="X164" s="369">
        <v>1.52</v>
      </c>
      <c r="Y164" s="369">
        <v>1.53</v>
      </c>
      <c r="Z164" s="369">
        <v>1.53</v>
      </c>
      <c r="AA164" s="369">
        <v>1.53</v>
      </c>
      <c r="AB164" s="369">
        <v>1.53</v>
      </c>
      <c r="AC164" s="369">
        <v>1.53</v>
      </c>
      <c r="AD164" s="369">
        <v>1.53</v>
      </c>
      <c r="AE164" s="369">
        <v>1.53</v>
      </c>
      <c r="AF164" s="369">
        <v>1.53</v>
      </c>
      <c r="AG164" s="369">
        <v>1.52</v>
      </c>
      <c r="AH164" s="369">
        <v>1.52</v>
      </c>
      <c r="AI164" s="369">
        <v>1.52</v>
      </c>
      <c r="AJ164" s="369">
        <v>1.51</v>
      </c>
      <c r="AK164" s="369">
        <v>1.51</v>
      </c>
      <c r="AL164" s="369">
        <v>1.51</v>
      </c>
      <c r="AM164" s="369">
        <v>1.5</v>
      </c>
      <c r="AN164" s="369">
        <v>1.5</v>
      </c>
      <c r="AO164" s="369">
        <v>1.5</v>
      </c>
      <c r="AP164" s="369">
        <v>1.49</v>
      </c>
      <c r="AQ164" s="369">
        <v>1.49</v>
      </c>
      <c r="AR164" s="369">
        <v>1.48</v>
      </c>
      <c r="AS164" s="369">
        <v>1.47</v>
      </c>
      <c r="AT164" s="369">
        <v>1.47</v>
      </c>
      <c r="AU164" s="369">
        <v>1.46</v>
      </c>
      <c r="AV164" s="369">
        <v>1.46</v>
      </c>
      <c r="AW164" s="369">
        <v>1.45</v>
      </c>
      <c r="AX164" s="369">
        <v>1.45</v>
      </c>
      <c r="AY164" s="369">
        <v>1.44</v>
      </c>
      <c r="BC164" s="459">
        <v>1.9</v>
      </c>
      <c r="BD164" s="704">
        <f t="shared" si="16"/>
        <v>47699.5</v>
      </c>
      <c r="BE164" s="704">
        <f t="shared" si="15"/>
        <v>75817.166666666672</v>
      </c>
      <c r="BF164" s="704">
        <f t="shared" si="15"/>
        <v>41381.333333333336</v>
      </c>
      <c r="BG164" s="704">
        <f t="shared" si="15"/>
        <v>56649</v>
      </c>
      <c r="BH164" s="704">
        <v>10</v>
      </c>
    </row>
    <row r="165" spans="1:60">
      <c r="A165" s="111">
        <v>44561</v>
      </c>
      <c r="B165" s="369">
        <v>0.3</v>
      </c>
      <c r="C165" s="369">
        <v>0.34</v>
      </c>
      <c r="D165" s="369">
        <v>0.4</v>
      </c>
      <c r="E165" s="369">
        <v>0.49</v>
      </c>
      <c r="F165" s="369">
        <v>0.57999999999999996</v>
      </c>
      <c r="G165" s="369">
        <v>0.67</v>
      </c>
      <c r="H165" s="369">
        <v>0.77</v>
      </c>
      <c r="I165" s="369">
        <v>0.86</v>
      </c>
      <c r="J165" s="369">
        <v>0.95</v>
      </c>
      <c r="K165" s="369">
        <v>1.04</v>
      </c>
      <c r="L165" s="369">
        <v>1.1200000000000001</v>
      </c>
      <c r="M165" s="369">
        <v>1.19</v>
      </c>
      <c r="N165" s="369">
        <v>1.25</v>
      </c>
      <c r="O165" s="369">
        <v>1.3</v>
      </c>
      <c r="P165" s="459">
        <v>1.35</v>
      </c>
      <c r="Q165" s="369">
        <v>1.38</v>
      </c>
      <c r="R165" s="369">
        <v>1.41</v>
      </c>
      <c r="S165" s="369">
        <v>1.44</v>
      </c>
      <c r="T165" s="369">
        <v>1.47</v>
      </c>
      <c r="U165" s="369">
        <v>1.49</v>
      </c>
      <c r="V165" s="369">
        <v>1.5</v>
      </c>
      <c r="W165" s="369">
        <v>1.5</v>
      </c>
      <c r="X165" s="369">
        <v>1.51</v>
      </c>
      <c r="Y165" s="369">
        <v>1.52</v>
      </c>
      <c r="Z165" s="369">
        <v>1.52</v>
      </c>
      <c r="AA165" s="369">
        <v>1.52</v>
      </c>
      <c r="AB165" s="369">
        <v>1.52</v>
      </c>
      <c r="AC165" s="369">
        <v>1.52</v>
      </c>
      <c r="AD165" s="369">
        <v>1.52</v>
      </c>
      <c r="AE165" s="369">
        <v>1.52</v>
      </c>
      <c r="AF165" s="369">
        <v>1.51</v>
      </c>
      <c r="AG165" s="369">
        <v>1.51</v>
      </c>
      <c r="AH165" s="369">
        <v>1.5</v>
      </c>
      <c r="AI165" s="369">
        <v>1.5</v>
      </c>
      <c r="AJ165" s="369">
        <v>1.5</v>
      </c>
      <c r="AK165" s="369">
        <v>1.49</v>
      </c>
      <c r="AL165" s="369">
        <v>1.49</v>
      </c>
      <c r="AM165" s="369">
        <v>1.49</v>
      </c>
      <c r="AN165" s="369">
        <v>1.49</v>
      </c>
      <c r="AO165" s="369">
        <v>1.48</v>
      </c>
      <c r="AP165" s="369">
        <v>1.48</v>
      </c>
      <c r="AQ165" s="369">
        <v>1.47</v>
      </c>
      <c r="AR165" s="369">
        <v>1.46</v>
      </c>
      <c r="AS165" s="369">
        <v>1.46</v>
      </c>
      <c r="AT165" s="369">
        <v>1.45</v>
      </c>
      <c r="AU165" s="369">
        <v>1.45</v>
      </c>
      <c r="AV165" s="369">
        <v>1.44</v>
      </c>
      <c r="AW165" s="369">
        <v>1.44</v>
      </c>
      <c r="AX165" s="369">
        <v>1.43</v>
      </c>
      <c r="AY165" s="369">
        <v>1.43</v>
      </c>
      <c r="BC165" s="459">
        <v>1.87</v>
      </c>
      <c r="BD165" s="704">
        <f t="shared" si="16"/>
        <v>47980.75</v>
      </c>
      <c r="BE165" s="704">
        <f t="shared" si="15"/>
        <v>77085.083333333328</v>
      </c>
      <c r="BF165" s="704">
        <f t="shared" si="15"/>
        <v>41770.166666666664</v>
      </c>
      <c r="BG165" s="704">
        <f t="shared" si="15"/>
        <v>57960.5</v>
      </c>
      <c r="BH165" s="704">
        <v>11</v>
      </c>
    </row>
    <row r="166" spans="1:60">
      <c r="A166" s="111">
        <v>44592</v>
      </c>
      <c r="B166" s="369">
        <v>0.28999999999999998</v>
      </c>
      <c r="C166" s="369">
        <v>0.33</v>
      </c>
      <c r="D166" s="369">
        <v>0.4</v>
      </c>
      <c r="E166" s="369">
        <v>0.49</v>
      </c>
      <c r="F166" s="369">
        <v>0.56999999999999995</v>
      </c>
      <c r="G166" s="369">
        <v>0.67</v>
      </c>
      <c r="H166" s="369">
        <v>0.76</v>
      </c>
      <c r="I166" s="369">
        <v>0.86</v>
      </c>
      <c r="J166" s="369">
        <v>0.95</v>
      </c>
      <c r="K166" s="369">
        <v>1.04</v>
      </c>
      <c r="L166" s="369">
        <v>1.1200000000000001</v>
      </c>
      <c r="M166" s="369">
        <v>1.18</v>
      </c>
      <c r="N166" s="369">
        <v>1.24</v>
      </c>
      <c r="O166" s="369">
        <v>1.3</v>
      </c>
      <c r="P166" s="459">
        <v>1.34</v>
      </c>
      <c r="Q166" s="369">
        <v>1.38</v>
      </c>
      <c r="R166" s="369">
        <v>1.41</v>
      </c>
      <c r="S166" s="369">
        <v>1.43</v>
      </c>
      <c r="T166" s="369">
        <v>1.46</v>
      </c>
      <c r="U166" s="369">
        <v>1.48</v>
      </c>
      <c r="V166" s="369">
        <v>1.49</v>
      </c>
      <c r="W166" s="369">
        <v>1.5</v>
      </c>
      <c r="X166" s="369">
        <v>1.5</v>
      </c>
      <c r="Y166" s="369">
        <v>1.51</v>
      </c>
      <c r="Z166" s="369">
        <v>1.51</v>
      </c>
      <c r="AA166" s="369">
        <v>1.51</v>
      </c>
      <c r="AB166" s="369">
        <v>1.51</v>
      </c>
      <c r="AC166" s="369">
        <v>1.51</v>
      </c>
      <c r="AD166" s="369">
        <v>1.51</v>
      </c>
      <c r="AE166" s="369">
        <v>1.51</v>
      </c>
      <c r="AF166" s="369">
        <v>1.5</v>
      </c>
      <c r="AG166" s="369">
        <v>1.5</v>
      </c>
      <c r="AH166" s="369">
        <v>1.49</v>
      </c>
      <c r="AI166" s="369">
        <v>1.49</v>
      </c>
      <c r="AJ166" s="369">
        <v>1.49</v>
      </c>
      <c r="AK166" s="369">
        <v>1.48</v>
      </c>
      <c r="AL166" s="369">
        <v>1.48</v>
      </c>
      <c r="AM166" s="369">
        <v>1.48</v>
      </c>
      <c r="AN166" s="369">
        <v>1.47</v>
      </c>
      <c r="AO166" s="369">
        <v>1.47</v>
      </c>
      <c r="AP166" s="369">
        <v>1.47</v>
      </c>
      <c r="AQ166" s="369">
        <v>1.46</v>
      </c>
      <c r="AR166" s="369">
        <v>1.45</v>
      </c>
      <c r="AS166" s="369">
        <v>1.45</v>
      </c>
      <c r="AT166" s="369">
        <v>1.44</v>
      </c>
      <c r="AU166" s="369">
        <v>1.44</v>
      </c>
      <c r="AV166" s="369">
        <v>1.43</v>
      </c>
      <c r="AW166" s="369">
        <v>1.43</v>
      </c>
      <c r="AX166" s="369">
        <v>1.42</v>
      </c>
      <c r="AY166" s="369">
        <v>1.42</v>
      </c>
      <c r="AZ166" s="517"/>
      <c r="BC166" s="459">
        <v>1.85</v>
      </c>
      <c r="BD166" s="705">
        <v>48262</v>
      </c>
      <c r="BE166" s="705">
        <v>78353</v>
      </c>
      <c r="BF166" s="705">
        <v>42159</v>
      </c>
      <c r="BG166" s="705">
        <v>59272</v>
      </c>
    </row>
    <row r="167" spans="1:60">
      <c r="A167" s="111">
        <v>44620</v>
      </c>
      <c r="B167" s="369">
        <v>0.28000000000000003</v>
      </c>
      <c r="C167" s="369">
        <v>0.33</v>
      </c>
      <c r="D167" s="369">
        <v>0.4</v>
      </c>
      <c r="E167" s="369">
        <v>0.49</v>
      </c>
      <c r="F167" s="369">
        <v>0.57999999999999996</v>
      </c>
      <c r="G167" s="369">
        <v>0.67</v>
      </c>
      <c r="H167" s="369">
        <v>0.77</v>
      </c>
      <c r="I167" s="369">
        <v>0.86</v>
      </c>
      <c r="J167" s="369">
        <v>0.95</v>
      </c>
      <c r="K167" s="369">
        <v>1.04</v>
      </c>
      <c r="L167" s="369">
        <v>1.1200000000000001</v>
      </c>
      <c r="M167" s="369">
        <v>1.19</v>
      </c>
      <c r="N167" s="369">
        <v>1.25</v>
      </c>
      <c r="O167" s="369">
        <v>1.3</v>
      </c>
      <c r="P167" s="459">
        <v>1.35</v>
      </c>
      <c r="Q167" s="369">
        <v>1.38</v>
      </c>
      <c r="R167" s="369">
        <v>1.41</v>
      </c>
      <c r="S167" s="369">
        <v>1.43</v>
      </c>
      <c r="T167" s="369">
        <v>1.46</v>
      </c>
      <c r="U167" s="369">
        <v>1.48</v>
      </c>
      <c r="V167" s="369">
        <v>1.49</v>
      </c>
      <c r="W167" s="369">
        <v>1.49</v>
      </c>
      <c r="X167" s="369">
        <v>1.5</v>
      </c>
      <c r="Y167" s="369">
        <v>1.51</v>
      </c>
      <c r="Z167" s="369">
        <v>1.51</v>
      </c>
      <c r="AA167" s="369">
        <v>1.51</v>
      </c>
      <c r="AB167" s="369">
        <v>1.51</v>
      </c>
      <c r="AC167" s="369">
        <v>1.51</v>
      </c>
      <c r="AD167" s="369">
        <v>1.5</v>
      </c>
      <c r="AE167" s="369">
        <v>1.5</v>
      </c>
      <c r="AF167" s="369">
        <v>1.5</v>
      </c>
      <c r="AG167" s="369">
        <v>1.49</v>
      </c>
      <c r="AH167" s="369">
        <v>1.49</v>
      </c>
      <c r="AI167" s="369">
        <v>1.49</v>
      </c>
      <c r="AJ167" s="369">
        <v>1.48</v>
      </c>
      <c r="AK167" s="369">
        <v>1.48</v>
      </c>
      <c r="AL167" s="369">
        <v>1.48</v>
      </c>
      <c r="AM167" s="369">
        <v>1.47</v>
      </c>
      <c r="AN167" s="369">
        <v>1.47</v>
      </c>
      <c r="AO167" s="369">
        <v>1.47</v>
      </c>
      <c r="AP167" s="369">
        <v>1.46</v>
      </c>
      <c r="AQ167" s="369">
        <v>1.45</v>
      </c>
      <c r="AR167" s="369">
        <v>1.45</v>
      </c>
      <c r="AS167" s="369">
        <v>1.44</v>
      </c>
      <c r="AT167" s="369">
        <v>1.43</v>
      </c>
      <c r="AU167" s="369">
        <v>1.43</v>
      </c>
      <c r="AV167" s="369">
        <v>1.42</v>
      </c>
      <c r="AW167" s="369">
        <v>1.42</v>
      </c>
      <c r="AX167" s="369">
        <v>1.41</v>
      </c>
      <c r="AY167" s="369">
        <v>1.41</v>
      </c>
      <c r="BC167" s="459">
        <v>1.82</v>
      </c>
      <c r="BD167" s="704">
        <f>BD$166+(BD$172-BD$166)/7*$BH167</f>
        <v>48255.142857142855</v>
      </c>
      <c r="BE167" s="704">
        <f>BE$166+(BE$172-BE$166)/7*$BH167</f>
        <v>78807.571428571435</v>
      </c>
      <c r="BF167" s="704">
        <f t="shared" ref="BE167:BG171" si="17">BF$166+(BF$172-BF$166)/7*$BH167</f>
        <v>42355.428571428572</v>
      </c>
      <c r="BG167" s="704">
        <f t="shared" si="17"/>
        <v>60237.285714285717</v>
      </c>
      <c r="BH167" s="704">
        <v>1</v>
      </c>
    </row>
    <row r="168" spans="1:60">
      <c r="A168" s="111">
        <v>44651</v>
      </c>
      <c r="B168" s="369">
        <v>0.28000000000000003</v>
      </c>
      <c r="C168" s="369">
        <v>0.34</v>
      </c>
      <c r="D168" s="369">
        <v>0.41</v>
      </c>
      <c r="E168" s="369">
        <v>0.5</v>
      </c>
      <c r="F168" s="369">
        <v>0.57999999999999996</v>
      </c>
      <c r="G168" s="369">
        <v>0.68</v>
      </c>
      <c r="H168" s="369">
        <v>0.77</v>
      </c>
      <c r="I168" s="369">
        <v>0.87</v>
      </c>
      <c r="J168" s="369">
        <v>0.96</v>
      </c>
      <c r="K168" s="369">
        <v>1.05</v>
      </c>
      <c r="L168" s="369">
        <v>1.1200000000000001</v>
      </c>
      <c r="M168" s="369">
        <v>1.19</v>
      </c>
      <c r="N168" s="369">
        <v>1.25</v>
      </c>
      <c r="O168" s="369">
        <v>1.3</v>
      </c>
      <c r="P168" s="459">
        <v>1.35</v>
      </c>
      <c r="Q168" s="369">
        <v>1.38</v>
      </c>
      <c r="R168" s="369">
        <v>1.41</v>
      </c>
      <c r="S168" s="369">
        <v>1.44</v>
      </c>
      <c r="T168" s="369">
        <v>1.46</v>
      </c>
      <c r="U168" s="369">
        <v>1.48</v>
      </c>
      <c r="V168" s="369">
        <v>1.49</v>
      </c>
      <c r="W168" s="369">
        <v>1.5</v>
      </c>
      <c r="X168" s="369">
        <v>1.5</v>
      </c>
      <c r="Y168" s="369">
        <v>1.51</v>
      </c>
      <c r="Z168" s="369">
        <v>1.51</v>
      </c>
      <c r="AA168" s="369">
        <v>1.51</v>
      </c>
      <c r="AB168" s="369">
        <v>1.51</v>
      </c>
      <c r="AC168" s="369">
        <v>1.51</v>
      </c>
      <c r="AD168" s="369">
        <v>1.5</v>
      </c>
      <c r="AE168" s="369">
        <v>1.5</v>
      </c>
      <c r="AF168" s="369">
        <v>1.5</v>
      </c>
      <c r="AG168" s="369">
        <v>1.49</v>
      </c>
      <c r="AH168" s="369">
        <v>1.49</v>
      </c>
      <c r="AI168" s="369">
        <v>1.48</v>
      </c>
      <c r="AJ168" s="369">
        <v>1.48</v>
      </c>
      <c r="AK168" s="369">
        <v>1.48</v>
      </c>
      <c r="AL168" s="369">
        <v>1.47</v>
      </c>
      <c r="AM168" s="369">
        <v>1.47</v>
      </c>
      <c r="AN168" s="369">
        <v>1.47</v>
      </c>
      <c r="AO168" s="369">
        <v>1.46</v>
      </c>
      <c r="AP168" s="369">
        <v>1.46</v>
      </c>
      <c r="AQ168" s="369">
        <v>1.45</v>
      </c>
      <c r="AR168" s="369">
        <v>1.44</v>
      </c>
      <c r="AS168" s="369">
        <v>1.44</v>
      </c>
      <c r="AT168" s="369">
        <v>1.43</v>
      </c>
      <c r="AU168" s="369">
        <v>1.43</v>
      </c>
      <c r="AV168" s="369">
        <v>1.42</v>
      </c>
      <c r="AW168" s="369">
        <v>1.42</v>
      </c>
      <c r="AX168" s="369">
        <v>1.41</v>
      </c>
      <c r="AY168" s="369">
        <v>1.41</v>
      </c>
      <c r="BC168" s="459">
        <v>1.81</v>
      </c>
      <c r="BD168" s="704">
        <f>BD$166+(BD$172-BD$166)/7*$BH168</f>
        <v>48248.285714285717</v>
      </c>
      <c r="BE168" s="704">
        <f t="shared" si="17"/>
        <v>79262.142857142855</v>
      </c>
      <c r="BF168" s="704">
        <f t="shared" si="17"/>
        <v>42551.857142857145</v>
      </c>
      <c r="BG168" s="704">
        <f t="shared" si="17"/>
        <v>61202.571428571428</v>
      </c>
      <c r="BH168" s="704">
        <v>2</v>
      </c>
    </row>
    <row r="169" spans="1:60">
      <c r="A169" s="111">
        <v>44681</v>
      </c>
      <c r="B169" s="369">
        <v>0.28000000000000003</v>
      </c>
      <c r="C169" s="369">
        <v>0.34</v>
      </c>
      <c r="D169" s="369">
        <v>0.42</v>
      </c>
      <c r="E169" s="369">
        <v>0.51</v>
      </c>
      <c r="F169" s="369">
        <v>0.6</v>
      </c>
      <c r="G169" s="369">
        <v>0.69</v>
      </c>
      <c r="H169" s="369">
        <v>0.78</v>
      </c>
      <c r="I169" s="369">
        <v>0.88</v>
      </c>
      <c r="J169" s="369">
        <v>0.97</v>
      </c>
      <c r="K169" s="369">
        <v>1.06</v>
      </c>
      <c r="L169" s="369">
        <v>1.1299999999999999</v>
      </c>
      <c r="M169" s="369">
        <v>1.2</v>
      </c>
      <c r="N169" s="369">
        <v>1.26</v>
      </c>
      <c r="O169" s="369">
        <v>1.31</v>
      </c>
      <c r="P169" s="459">
        <v>1.36</v>
      </c>
      <c r="Q169" s="369">
        <v>1.39</v>
      </c>
      <c r="R169" s="369">
        <v>1.42</v>
      </c>
      <c r="S169" s="369">
        <v>1.45</v>
      </c>
      <c r="T169" s="369">
        <v>1.47</v>
      </c>
      <c r="U169" s="369">
        <v>1.49</v>
      </c>
      <c r="V169" s="369">
        <v>1.5</v>
      </c>
      <c r="W169" s="369">
        <v>1.5</v>
      </c>
      <c r="X169" s="369">
        <v>1.51</v>
      </c>
      <c r="Y169" s="369">
        <v>1.51</v>
      </c>
      <c r="Z169" s="369">
        <v>1.52</v>
      </c>
      <c r="AA169" s="369">
        <v>1.51</v>
      </c>
      <c r="AB169" s="369">
        <v>1.51</v>
      </c>
      <c r="AC169" s="369">
        <v>1.51</v>
      </c>
      <c r="AD169" s="369">
        <v>1.51</v>
      </c>
      <c r="AE169" s="369">
        <v>1.51</v>
      </c>
      <c r="AF169" s="369">
        <v>1.5</v>
      </c>
      <c r="AG169" s="369">
        <v>1.49</v>
      </c>
      <c r="AH169" s="369">
        <v>1.49</v>
      </c>
      <c r="AI169" s="369">
        <v>1.49</v>
      </c>
      <c r="AJ169" s="369">
        <v>1.48</v>
      </c>
      <c r="AK169" s="369">
        <v>1.48</v>
      </c>
      <c r="AL169" s="369">
        <v>1.47</v>
      </c>
      <c r="AM169" s="369">
        <v>1.47</v>
      </c>
      <c r="AN169" s="369">
        <v>1.47</v>
      </c>
      <c r="AO169" s="369">
        <v>1.46</v>
      </c>
      <c r="AP169" s="369">
        <v>1.46</v>
      </c>
      <c r="AQ169" s="369">
        <v>1.45</v>
      </c>
      <c r="AR169" s="369">
        <v>1.44</v>
      </c>
      <c r="AS169" s="369">
        <v>1.44</v>
      </c>
      <c r="AT169" s="369">
        <v>1.43</v>
      </c>
      <c r="AU169" s="369">
        <v>1.43</v>
      </c>
      <c r="AV169" s="369">
        <v>1.42</v>
      </c>
      <c r="AW169" s="369">
        <v>1.41</v>
      </c>
      <c r="AX169" s="369">
        <v>1.41</v>
      </c>
      <c r="AY169" s="369">
        <v>1.41</v>
      </c>
      <c r="BC169" s="459">
        <v>1.79</v>
      </c>
      <c r="BD169" s="704">
        <f>BD$166+(BD$172-BD$166)/7*$BH169</f>
        <v>48241.428571428572</v>
      </c>
      <c r="BE169" s="704">
        <f t="shared" si="17"/>
        <v>79716.71428571429</v>
      </c>
      <c r="BF169" s="704">
        <f t="shared" si="17"/>
        <v>42748.285714285717</v>
      </c>
      <c r="BG169" s="704">
        <f t="shared" si="17"/>
        <v>62167.857142857145</v>
      </c>
      <c r="BH169" s="704">
        <v>3</v>
      </c>
    </row>
    <row r="170" spans="1:60">
      <c r="A170" s="111">
        <v>44712</v>
      </c>
      <c r="B170" s="369">
        <v>0.28000000000000003</v>
      </c>
      <c r="C170" s="369">
        <v>0.35</v>
      </c>
      <c r="D170" s="369">
        <v>0.43</v>
      </c>
      <c r="E170" s="369">
        <v>0.52</v>
      </c>
      <c r="F170" s="369">
        <v>0.61</v>
      </c>
      <c r="G170" s="369">
        <v>0.7</v>
      </c>
      <c r="H170" s="369">
        <v>0.79</v>
      </c>
      <c r="I170" s="369">
        <v>0.89</v>
      </c>
      <c r="J170" s="369">
        <v>0.98</v>
      </c>
      <c r="K170" s="369">
        <v>1.07</v>
      </c>
      <c r="L170" s="369">
        <v>1.1399999999999999</v>
      </c>
      <c r="M170" s="369">
        <v>1.21</v>
      </c>
      <c r="N170" s="369">
        <v>1.27</v>
      </c>
      <c r="O170" s="369">
        <v>1.32</v>
      </c>
      <c r="P170" s="459">
        <v>1.37</v>
      </c>
      <c r="Q170" s="369">
        <v>1.4</v>
      </c>
      <c r="R170" s="369">
        <v>1.43</v>
      </c>
      <c r="S170" s="369">
        <v>1.45</v>
      </c>
      <c r="T170" s="369">
        <v>1.48</v>
      </c>
      <c r="U170" s="369">
        <v>1.5</v>
      </c>
      <c r="V170" s="369">
        <v>1.5</v>
      </c>
      <c r="W170" s="369">
        <v>1.51</v>
      </c>
      <c r="X170" s="369">
        <v>1.51</v>
      </c>
      <c r="Y170" s="369">
        <v>1.52</v>
      </c>
      <c r="Z170" s="369">
        <v>1.52</v>
      </c>
      <c r="AA170" s="369">
        <v>1.52</v>
      </c>
      <c r="AB170" s="369">
        <v>1.52</v>
      </c>
      <c r="AC170" s="369">
        <v>1.51</v>
      </c>
      <c r="AD170" s="369">
        <v>1.51</v>
      </c>
      <c r="AE170" s="369">
        <v>1.51</v>
      </c>
      <c r="AF170" s="369">
        <v>1.5</v>
      </c>
      <c r="AG170" s="369">
        <v>1.5</v>
      </c>
      <c r="AH170" s="369">
        <v>1.49</v>
      </c>
      <c r="AI170" s="369">
        <v>1.49</v>
      </c>
      <c r="AJ170" s="369">
        <v>1.48</v>
      </c>
      <c r="AK170" s="369">
        <v>1.48</v>
      </c>
      <c r="AL170" s="369">
        <v>1.47</v>
      </c>
      <c r="AM170" s="369">
        <v>1.47</v>
      </c>
      <c r="AN170" s="369">
        <v>1.47</v>
      </c>
      <c r="AO170" s="369">
        <v>1.46</v>
      </c>
      <c r="AP170" s="369">
        <v>1.46</v>
      </c>
      <c r="AQ170" s="369">
        <v>1.45</v>
      </c>
      <c r="AR170" s="369">
        <v>1.44</v>
      </c>
      <c r="AS170" s="369">
        <v>1.44</v>
      </c>
      <c r="AT170" s="369">
        <v>1.43</v>
      </c>
      <c r="AU170" s="369">
        <v>1.43</v>
      </c>
      <c r="AV170" s="369">
        <v>1.42</v>
      </c>
      <c r="AW170" s="369">
        <v>1.42</v>
      </c>
      <c r="AX170" s="369">
        <v>1.41</v>
      </c>
      <c r="AY170" s="369">
        <v>1.41</v>
      </c>
      <c r="BC170" s="459">
        <v>1.79</v>
      </c>
      <c r="BD170" s="704">
        <f>BD$166+(BD$172-BD$166)/7*$BH170</f>
        <v>48234.571428571428</v>
      </c>
      <c r="BE170" s="704">
        <f t="shared" si="17"/>
        <v>80171.28571428571</v>
      </c>
      <c r="BF170" s="704">
        <f t="shared" si="17"/>
        <v>42944.714285714283</v>
      </c>
      <c r="BG170" s="704">
        <f t="shared" si="17"/>
        <v>63133.142857142855</v>
      </c>
      <c r="BH170" s="704">
        <v>4</v>
      </c>
    </row>
    <row r="171" spans="1:60">
      <c r="A171" s="111">
        <v>44742</v>
      </c>
      <c r="B171" s="369">
        <v>0.28999999999999998</v>
      </c>
      <c r="C171" s="369">
        <v>0.37</v>
      </c>
      <c r="D171" s="369">
        <v>0.45</v>
      </c>
      <c r="E171" s="369">
        <v>0.53</v>
      </c>
      <c r="F171" s="369">
        <v>0.62</v>
      </c>
      <c r="G171" s="369">
        <v>0.72</v>
      </c>
      <c r="H171" s="369">
        <v>0.81</v>
      </c>
      <c r="I171" s="369">
        <v>0.9</v>
      </c>
      <c r="J171" s="369">
        <v>0.99</v>
      </c>
      <c r="K171" s="369">
        <v>1.08</v>
      </c>
      <c r="L171" s="369">
        <v>1.1599999999999999</v>
      </c>
      <c r="M171" s="369">
        <v>1.22</v>
      </c>
      <c r="N171" s="369">
        <v>1.28</v>
      </c>
      <c r="O171" s="369">
        <v>1.33</v>
      </c>
      <c r="P171" s="459">
        <v>1.38</v>
      </c>
      <c r="Q171" s="369">
        <v>1.41</v>
      </c>
      <c r="R171" s="369">
        <v>1.44</v>
      </c>
      <c r="S171" s="369">
        <v>1.46</v>
      </c>
      <c r="T171" s="369">
        <v>1.48</v>
      </c>
      <c r="U171" s="369">
        <v>1.5</v>
      </c>
      <c r="V171" s="369">
        <v>1.51</v>
      </c>
      <c r="W171" s="369">
        <v>1.51</v>
      </c>
      <c r="X171" s="369">
        <v>1.52</v>
      </c>
      <c r="Y171" s="369">
        <v>1.52</v>
      </c>
      <c r="Z171" s="369">
        <v>1.53</v>
      </c>
      <c r="AA171" s="369">
        <v>1.52</v>
      </c>
      <c r="AB171" s="369">
        <v>1.52</v>
      </c>
      <c r="AC171" s="369">
        <v>1.52</v>
      </c>
      <c r="AD171" s="369">
        <v>1.51</v>
      </c>
      <c r="AE171" s="369">
        <v>1.51</v>
      </c>
      <c r="AF171" s="369">
        <v>1.5</v>
      </c>
      <c r="AG171" s="369">
        <v>1.5</v>
      </c>
      <c r="AH171" s="369">
        <v>1.49</v>
      </c>
      <c r="AI171" s="369">
        <v>1.49</v>
      </c>
      <c r="AJ171" s="369">
        <v>1.48</v>
      </c>
      <c r="AK171" s="369">
        <v>1.48</v>
      </c>
      <c r="AL171" s="369">
        <v>1.47</v>
      </c>
      <c r="AM171" s="369">
        <v>1.47</v>
      </c>
      <c r="AN171" s="369">
        <v>1.47</v>
      </c>
      <c r="AO171" s="369">
        <v>1.46</v>
      </c>
      <c r="AP171" s="369">
        <v>1.46</v>
      </c>
      <c r="AQ171" s="369">
        <v>1.45</v>
      </c>
      <c r="AR171" s="369">
        <v>1.44</v>
      </c>
      <c r="AS171" s="369">
        <v>1.44</v>
      </c>
      <c r="AT171" s="369">
        <v>1.43</v>
      </c>
      <c r="AU171" s="369">
        <v>1.42</v>
      </c>
      <c r="AV171" s="369">
        <v>1.42</v>
      </c>
      <c r="AW171" s="369">
        <v>1.41</v>
      </c>
      <c r="AX171" s="369">
        <v>1.41</v>
      </c>
      <c r="AY171" s="369">
        <v>1.4</v>
      </c>
      <c r="BC171" s="459">
        <v>1.78</v>
      </c>
      <c r="BD171" s="704">
        <f>BD$166+(BD$172-BD$166)/7*$BH171</f>
        <v>48227.714285714283</v>
      </c>
      <c r="BE171" s="704">
        <f t="shared" si="17"/>
        <v>80625.857142857145</v>
      </c>
      <c r="BF171" s="704">
        <f t="shared" si="17"/>
        <v>43141.142857142855</v>
      </c>
      <c r="BG171" s="704">
        <f t="shared" si="17"/>
        <v>64098.428571428572</v>
      </c>
      <c r="BH171" s="704">
        <v>5</v>
      </c>
    </row>
    <row r="172" spans="1:60">
      <c r="A172" s="111">
        <v>44773</v>
      </c>
      <c r="B172" s="369">
        <v>0.3</v>
      </c>
      <c r="C172" s="369">
        <v>0.38</v>
      </c>
      <c r="D172" s="369">
        <v>0.45</v>
      </c>
      <c r="E172" s="369">
        <v>0.54</v>
      </c>
      <c r="F172" s="369">
        <v>0.63</v>
      </c>
      <c r="G172" s="369">
        <v>0.72</v>
      </c>
      <c r="H172" s="369">
        <v>0.82</v>
      </c>
      <c r="I172" s="369">
        <v>0.91</v>
      </c>
      <c r="J172" s="369">
        <v>1</v>
      </c>
      <c r="K172" s="369">
        <v>1.08</v>
      </c>
      <c r="L172" s="369">
        <v>1.1599999999999999</v>
      </c>
      <c r="M172" s="369">
        <v>1.22</v>
      </c>
      <c r="N172" s="369">
        <v>1.29</v>
      </c>
      <c r="O172" s="369">
        <v>1.34</v>
      </c>
      <c r="P172" s="459">
        <v>1.38</v>
      </c>
      <c r="Q172" s="369">
        <v>1.41</v>
      </c>
      <c r="R172" s="369">
        <v>1.44</v>
      </c>
      <c r="S172" s="369">
        <v>1.46</v>
      </c>
      <c r="T172" s="369">
        <v>1.48</v>
      </c>
      <c r="U172" s="369">
        <v>1.5</v>
      </c>
      <c r="V172" s="369">
        <v>1.51</v>
      </c>
      <c r="W172" s="369">
        <v>1.51</v>
      </c>
      <c r="X172" s="369">
        <v>1.52</v>
      </c>
      <c r="Y172" s="369">
        <v>1.52</v>
      </c>
      <c r="Z172" s="369">
        <v>1.52</v>
      </c>
      <c r="AA172" s="369">
        <v>1.52</v>
      </c>
      <c r="AB172" s="369">
        <v>1.52</v>
      </c>
      <c r="AC172" s="369">
        <v>1.51</v>
      </c>
      <c r="AD172" s="369">
        <v>1.51</v>
      </c>
      <c r="AE172" s="369">
        <v>1.51</v>
      </c>
      <c r="AF172" s="369">
        <v>1.5</v>
      </c>
      <c r="AG172" s="369">
        <v>1.49</v>
      </c>
      <c r="AH172" s="369">
        <v>1.49</v>
      </c>
      <c r="AI172" s="369">
        <v>1.48</v>
      </c>
      <c r="AJ172" s="369">
        <v>1.48</v>
      </c>
      <c r="AK172" s="369">
        <v>1.47</v>
      </c>
      <c r="AL172" s="369">
        <v>1.47</v>
      </c>
      <c r="AM172" s="369">
        <v>1.47</v>
      </c>
      <c r="AN172" s="369">
        <v>1.46</v>
      </c>
      <c r="AO172" s="369">
        <v>1.46</v>
      </c>
      <c r="AP172" s="369">
        <v>1.45</v>
      </c>
      <c r="AQ172" s="369">
        <v>1.44</v>
      </c>
      <c r="AR172" s="369">
        <v>1.44</v>
      </c>
      <c r="AS172" s="369">
        <v>1.43</v>
      </c>
      <c r="AT172" s="369">
        <v>1.42</v>
      </c>
      <c r="AU172" s="369">
        <v>1.42</v>
      </c>
      <c r="AV172" s="369">
        <v>1.41</v>
      </c>
      <c r="AW172" s="369">
        <v>1.41</v>
      </c>
      <c r="AX172" s="369">
        <v>1.4</v>
      </c>
      <c r="AY172" s="369">
        <v>1.4</v>
      </c>
      <c r="BC172" s="459">
        <v>1.78</v>
      </c>
      <c r="BD172" s="704">
        <v>48214</v>
      </c>
      <c r="BE172" s="704">
        <v>81535</v>
      </c>
      <c r="BF172" s="704">
        <v>43534</v>
      </c>
      <c r="BG172" s="704">
        <v>66029</v>
      </c>
      <c r="BH172" s="704">
        <v>6</v>
      </c>
    </row>
    <row r="173" spans="1:60">
      <c r="A173" s="794">
        <v>44804</v>
      </c>
      <c r="B173" s="369">
        <v>0.32</v>
      </c>
      <c r="C173" s="369">
        <v>0.4</v>
      </c>
      <c r="D173" s="369">
        <v>0.47</v>
      </c>
      <c r="E173" s="369">
        <v>0.56000000000000005</v>
      </c>
      <c r="F173" s="369">
        <v>0.65</v>
      </c>
      <c r="G173" s="369">
        <v>0.74</v>
      </c>
      <c r="H173" s="369">
        <v>0.83</v>
      </c>
      <c r="I173" s="369">
        <v>0.92</v>
      </c>
      <c r="J173" s="369">
        <v>1.01</v>
      </c>
      <c r="K173" s="369">
        <v>1.0900000000000001</v>
      </c>
      <c r="L173" s="369">
        <v>1.17</v>
      </c>
      <c r="M173" s="369">
        <v>1.23</v>
      </c>
      <c r="N173" s="369">
        <v>1.29</v>
      </c>
      <c r="O173" s="369">
        <v>1.34</v>
      </c>
      <c r="P173" s="459">
        <v>1.39</v>
      </c>
      <c r="Q173" s="369">
        <v>1.42</v>
      </c>
      <c r="R173" s="369">
        <v>1.44</v>
      </c>
      <c r="S173" s="369">
        <v>1.47</v>
      </c>
      <c r="T173" s="369">
        <v>1.49</v>
      </c>
      <c r="U173" s="369">
        <v>1.51</v>
      </c>
      <c r="V173" s="369">
        <v>1.51</v>
      </c>
      <c r="W173" s="369">
        <v>1.51</v>
      </c>
      <c r="X173" s="369">
        <v>1.52</v>
      </c>
      <c r="Y173" s="369">
        <v>1.52</v>
      </c>
      <c r="Z173" s="369">
        <v>1.52</v>
      </c>
      <c r="AA173" s="369">
        <v>1.52</v>
      </c>
      <c r="AB173" s="369">
        <v>1.52</v>
      </c>
      <c r="AC173" s="369">
        <v>1.51</v>
      </c>
      <c r="AD173" s="369">
        <v>1.51</v>
      </c>
      <c r="AE173" s="369">
        <v>1.51</v>
      </c>
      <c r="AF173" s="369">
        <v>1.5</v>
      </c>
      <c r="AG173" s="369">
        <v>1.49</v>
      </c>
      <c r="AH173" s="369">
        <v>1.49</v>
      </c>
      <c r="AI173" s="369">
        <v>1.48</v>
      </c>
      <c r="AJ173" s="369">
        <v>1.48</v>
      </c>
      <c r="AK173" s="369">
        <v>1.47</v>
      </c>
      <c r="AL173" s="369">
        <v>1.47</v>
      </c>
      <c r="AM173" s="369">
        <v>1.46</v>
      </c>
      <c r="AN173" s="369">
        <v>1.46</v>
      </c>
      <c r="AO173" s="369">
        <v>1.45</v>
      </c>
      <c r="AP173" s="369">
        <v>1.45</v>
      </c>
      <c r="AQ173" s="369">
        <v>1.44</v>
      </c>
      <c r="AR173" s="369">
        <v>1.43</v>
      </c>
      <c r="AS173" s="369">
        <v>1.43</v>
      </c>
      <c r="AT173" s="369">
        <v>1.42</v>
      </c>
      <c r="AU173" s="369">
        <v>1.41</v>
      </c>
      <c r="AV173" s="369">
        <v>1.41</v>
      </c>
      <c r="AW173" s="369">
        <v>1.4</v>
      </c>
      <c r="AX173" s="369">
        <v>1.4</v>
      </c>
      <c r="AY173" s="369">
        <v>1.39</v>
      </c>
      <c r="BH173" s="704">
        <v>7</v>
      </c>
    </row>
    <row r="174" spans="1:60">
      <c r="A174" s="794">
        <v>44834</v>
      </c>
      <c r="B174" s="369">
        <v>0.34</v>
      </c>
      <c r="C174" s="369">
        <v>0.43</v>
      </c>
      <c r="D174" s="369">
        <v>0.5</v>
      </c>
      <c r="E174" s="369">
        <v>0.59</v>
      </c>
      <c r="F174" s="369">
        <v>0.67</v>
      </c>
      <c r="G174" s="369">
        <v>0.76</v>
      </c>
      <c r="H174" s="369">
        <v>0.85</v>
      </c>
      <c r="I174" s="369">
        <v>0.94</v>
      </c>
      <c r="J174" s="369">
        <v>1.03</v>
      </c>
      <c r="K174" s="369">
        <v>1.1100000000000001</v>
      </c>
      <c r="L174" s="369">
        <v>1.19</v>
      </c>
      <c r="M174" s="369">
        <v>1.25</v>
      </c>
      <c r="N174" s="369">
        <v>1.31</v>
      </c>
      <c r="O174" s="369">
        <v>1.36</v>
      </c>
      <c r="P174" s="459">
        <v>1.4</v>
      </c>
      <c r="Q174" s="369">
        <v>1.43</v>
      </c>
      <c r="R174" s="369">
        <v>1.46</v>
      </c>
      <c r="S174" s="369">
        <v>1.48</v>
      </c>
      <c r="T174" s="369">
        <v>1.5</v>
      </c>
      <c r="U174" s="369">
        <v>1.52</v>
      </c>
      <c r="V174" s="369">
        <v>1.52</v>
      </c>
      <c r="W174" s="369">
        <v>1.52</v>
      </c>
      <c r="X174" s="369">
        <v>1.52</v>
      </c>
      <c r="Y174" s="369">
        <v>1.53</v>
      </c>
      <c r="Z174" s="369">
        <v>1.53</v>
      </c>
      <c r="AA174" s="369">
        <v>1.52</v>
      </c>
      <c r="AB174" s="369">
        <v>1.52</v>
      </c>
      <c r="AC174" s="369">
        <v>1.52</v>
      </c>
      <c r="AD174" s="369">
        <v>1.51</v>
      </c>
      <c r="AE174" s="369">
        <v>1.51</v>
      </c>
      <c r="AF174" s="369">
        <v>1.5</v>
      </c>
      <c r="AG174" s="369">
        <v>1.49</v>
      </c>
      <c r="AH174" s="369">
        <v>1.49</v>
      </c>
      <c r="AI174" s="369">
        <v>1.48</v>
      </c>
      <c r="AJ174" s="369">
        <v>1.48</v>
      </c>
      <c r="AK174" s="369">
        <v>1.47</v>
      </c>
      <c r="AL174" s="369">
        <v>1.47</v>
      </c>
      <c r="AM174" s="369">
        <v>1.46</v>
      </c>
      <c r="AN174" s="369">
        <v>1.46</v>
      </c>
      <c r="AO174" s="369">
        <v>1.45</v>
      </c>
      <c r="AP174" s="369">
        <v>1.45</v>
      </c>
      <c r="AQ174" s="369">
        <v>1.44</v>
      </c>
      <c r="AR174" s="369">
        <v>1.43</v>
      </c>
      <c r="AS174" s="369">
        <v>1.42</v>
      </c>
      <c r="AT174" s="369">
        <v>1.42</v>
      </c>
      <c r="AU174" s="369">
        <v>1.41</v>
      </c>
      <c r="AV174" s="369">
        <v>1.4</v>
      </c>
      <c r="AW174" s="369">
        <v>1.4</v>
      </c>
      <c r="AX174" s="369">
        <v>1.39</v>
      </c>
      <c r="AY174" s="369">
        <v>1.39</v>
      </c>
      <c r="BH174" s="704">
        <v>8</v>
      </c>
    </row>
    <row r="175" spans="1:60">
      <c r="A175" s="794">
        <v>44865</v>
      </c>
      <c r="B175" s="369">
        <v>0.37</v>
      </c>
      <c r="C175" s="369">
        <v>0.46</v>
      </c>
      <c r="D175" s="369">
        <v>0.53</v>
      </c>
      <c r="E175" s="369">
        <v>0.62</v>
      </c>
      <c r="F175" s="369">
        <v>0.7</v>
      </c>
      <c r="G175" s="369">
        <v>0.79</v>
      </c>
      <c r="H175" s="369">
        <v>0.88</v>
      </c>
      <c r="I175" s="369">
        <v>0.97</v>
      </c>
      <c r="J175" s="369">
        <v>1.05</v>
      </c>
      <c r="K175" s="369">
        <v>1.1299999999999999</v>
      </c>
      <c r="L175" s="369">
        <v>1.21</v>
      </c>
      <c r="M175" s="369">
        <v>1.27</v>
      </c>
      <c r="N175" s="369">
        <v>1.33</v>
      </c>
      <c r="O175" s="369">
        <v>1.38</v>
      </c>
      <c r="P175" s="459">
        <v>1.42</v>
      </c>
      <c r="Q175" s="369">
        <v>1.45</v>
      </c>
      <c r="R175" s="369">
        <v>1.47</v>
      </c>
      <c r="S175" s="369">
        <v>1.49</v>
      </c>
      <c r="T175" s="369">
        <v>1.51</v>
      </c>
      <c r="U175" s="369">
        <v>1.53</v>
      </c>
      <c r="V175" s="369">
        <v>1.53</v>
      </c>
      <c r="W175" s="369">
        <v>1.53</v>
      </c>
      <c r="X175" s="369">
        <v>1.53</v>
      </c>
      <c r="Y175" s="369">
        <v>1.54</v>
      </c>
      <c r="Z175" s="369">
        <v>1.54</v>
      </c>
      <c r="AA175" s="369">
        <v>1.53</v>
      </c>
      <c r="AB175" s="369">
        <v>1.53</v>
      </c>
      <c r="AC175" s="369">
        <v>1.52</v>
      </c>
      <c r="AD175" s="369">
        <v>1.52</v>
      </c>
      <c r="AE175" s="369">
        <v>1.51</v>
      </c>
      <c r="AF175" s="369">
        <v>1.51</v>
      </c>
      <c r="AG175" s="369">
        <v>1.5</v>
      </c>
      <c r="AH175" s="369">
        <v>1.49</v>
      </c>
      <c r="AI175" s="369">
        <v>1.49</v>
      </c>
      <c r="AJ175" s="369">
        <v>1.48</v>
      </c>
      <c r="AK175" s="369">
        <v>1.47</v>
      </c>
      <c r="AL175" s="369">
        <v>1.47</v>
      </c>
      <c r="AM175" s="369">
        <v>1.46</v>
      </c>
      <c r="AN175" s="369">
        <v>1.46</v>
      </c>
      <c r="AO175" s="369">
        <v>1.45</v>
      </c>
      <c r="AP175" s="369">
        <v>1.45</v>
      </c>
      <c r="AQ175" s="369">
        <v>1.44</v>
      </c>
      <c r="AR175" s="369">
        <v>1.43</v>
      </c>
      <c r="AS175" s="369">
        <v>1.42</v>
      </c>
      <c r="AT175" s="369">
        <v>1.42</v>
      </c>
      <c r="AU175" s="369">
        <v>1.41</v>
      </c>
      <c r="AV175" s="369">
        <v>1.4</v>
      </c>
      <c r="AW175" s="369">
        <v>1.4</v>
      </c>
      <c r="AX175" s="369">
        <v>1.39</v>
      </c>
      <c r="AY175" s="369">
        <v>1.39</v>
      </c>
      <c r="BH175" s="704">
        <v>9</v>
      </c>
    </row>
    <row r="176" spans="1:60">
      <c r="A176" s="794">
        <v>44895</v>
      </c>
      <c r="B176" s="369">
        <v>0.4</v>
      </c>
      <c r="C176" s="369">
        <v>0.48</v>
      </c>
      <c r="D176" s="369">
        <v>0.56000000000000005</v>
      </c>
      <c r="E176" s="369">
        <v>0.64</v>
      </c>
      <c r="F176" s="369">
        <v>0.72</v>
      </c>
      <c r="G176" s="369">
        <v>0.81</v>
      </c>
      <c r="H176" s="369">
        <v>0.9</v>
      </c>
      <c r="I176" s="369">
        <v>0.98</v>
      </c>
      <c r="J176" s="369">
        <v>1.07</v>
      </c>
      <c r="K176" s="369">
        <v>1.1499999999999999</v>
      </c>
      <c r="L176" s="369">
        <v>1.22</v>
      </c>
      <c r="M176" s="369">
        <v>1.28</v>
      </c>
      <c r="N176" s="369">
        <v>1.34</v>
      </c>
      <c r="O176" s="369">
        <v>1.39</v>
      </c>
      <c r="P176" s="459">
        <v>1.43</v>
      </c>
      <c r="Q176" s="369">
        <v>1.46</v>
      </c>
      <c r="R176" s="369">
        <v>1.48</v>
      </c>
      <c r="S176" s="369">
        <v>1.5</v>
      </c>
      <c r="T176" s="369">
        <v>1.52</v>
      </c>
      <c r="U176" s="369">
        <v>1.53</v>
      </c>
      <c r="V176" s="369">
        <v>1.53</v>
      </c>
      <c r="W176" s="369">
        <v>1.54</v>
      </c>
      <c r="X176" s="369">
        <v>1.54</v>
      </c>
      <c r="Y176" s="369">
        <v>1.54</v>
      </c>
      <c r="Z176" s="369">
        <v>1.54</v>
      </c>
      <c r="AA176" s="369">
        <v>1.53</v>
      </c>
      <c r="AB176" s="369">
        <v>1.53</v>
      </c>
      <c r="AC176" s="369">
        <v>1.52</v>
      </c>
      <c r="AD176" s="369">
        <v>1.52</v>
      </c>
      <c r="AE176" s="369">
        <v>1.51</v>
      </c>
      <c r="AF176" s="369">
        <v>1.5</v>
      </c>
      <c r="AG176" s="369">
        <v>1.5</v>
      </c>
      <c r="AH176" s="369">
        <v>1.49</v>
      </c>
      <c r="AI176" s="369">
        <v>1.48</v>
      </c>
      <c r="AJ176" s="369">
        <v>1.48</v>
      </c>
      <c r="AK176" s="369">
        <v>1.47</v>
      </c>
      <c r="AL176" s="369">
        <v>1.47</v>
      </c>
      <c r="AM176" s="369">
        <v>1.46</v>
      </c>
      <c r="AN176" s="369">
        <v>1.46</v>
      </c>
      <c r="AO176" s="369">
        <v>1.45</v>
      </c>
      <c r="AP176" s="369">
        <v>1.44</v>
      </c>
      <c r="AQ176" s="369">
        <v>1.43</v>
      </c>
      <c r="AR176" s="369">
        <v>1.43</v>
      </c>
      <c r="AS176" s="369">
        <v>1.42</v>
      </c>
      <c r="AT176" s="369">
        <v>1.41</v>
      </c>
      <c r="AU176" s="369">
        <v>1.41</v>
      </c>
      <c r="AV176" s="369">
        <v>1.4</v>
      </c>
      <c r="AW176" s="369">
        <v>1.39</v>
      </c>
      <c r="AX176" s="369">
        <v>1.39</v>
      </c>
      <c r="AY176" s="369">
        <v>1.38</v>
      </c>
      <c r="BH176" s="704">
        <v>10</v>
      </c>
    </row>
    <row r="177" spans="1:60">
      <c r="A177" s="794">
        <v>44926</v>
      </c>
      <c r="B177" s="369">
        <v>0.43</v>
      </c>
      <c r="C177" s="369">
        <v>0.52</v>
      </c>
      <c r="D177" s="369">
        <v>0.59</v>
      </c>
      <c r="E177" s="369">
        <v>0.67</v>
      </c>
      <c r="F177" s="369">
        <v>0.75</v>
      </c>
      <c r="G177" s="369">
        <v>0.84</v>
      </c>
      <c r="H177" s="369">
        <v>0.92</v>
      </c>
      <c r="I177" s="369">
        <v>1.01</v>
      </c>
      <c r="J177" s="369">
        <v>1.0900000000000001</v>
      </c>
      <c r="K177" s="369">
        <v>1.17</v>
      </c>
      <c r="L177" s="369">
        <v>1.24</v>
      </c>
      <c r="M177" s="369">
        <v>1.3</v>
      </c>
      <c r="N177" s="369">
        <v>1.36</v>
      </c>
      <c r="O177" s="369">
        <v>1.4</v>
      </c>
      <c r="P177" s="459">
        <v>1.44</v>
      </c>
      <c r="Q177" s="369">
        <v>1.47</v>
      </c>
      <c r="R177" s="369">
        <v>1.49</v>
      </c>
      <c r="S177" s="369">
        <v>1.51</v>
      </c>
      <c r="T177" s="369">
        <v>1.53</v>
      </c>
      <c r="U177" s="369">
        <v>1.54</v>
      </c>
      <c r="V177" s="369">
        <v>1.54</v>
      </c>
      <c r="W177" s="369">
        <v>1.54</v>
      </c>
      <c r="X177" s="369">
        <v>1.54</v>
      </c>
      <c r="Y177" s="369">
        <v>1.54</v>
      </c>
      <c r="Z177" s="369">
        <v>1.54</v>
      </c>
      <c r="AA177" s="369">
        <v>1.54</v>
      </c>
      <c r="AB177" s="369">
        <v>1.53</v>
      </c>
      <c r="AC177" s="369">
        <v>1.53</v>
      </c>
      <c r="AD177" s="369">
        <v>1.52</v>
      </c>
      <c r="AE177" s="369">
        <v>1.51</v>
      </c>
      <c r="AF177" s="369">
        <v>1.51</v>
      </c>
      <c r="AG177" s="369">
        <v>1.5</v>
      </c>
      <c r="AH177" s="369">
        <v>1.49</v>
      </c>
      <c r="AI177" s="369">
        <v>1.48</v>
      </c>
      <c r="AJ177" s="369">
        <v>1.48</v>
      </c>
      <c r="AK177" s="369">
        <v>1.47</v>
      </c>
      <c r="AL177" s="369">
        <v>1.47</v>
      </c>
      <c r="AM177" s="369">
        <v>1.46</v>
      </c>
      <c r="AN177" s="369">
        <v>1.45</v>
      </c>
      <c r="AO177" s="369">
        <v>1.45</v>
      </c>
      <c r="AP177" s="369">
        <v>1.44</v>
      </c>
      <c r="AQ177" s="369">
        <v>1.43</v>
      </c>
      <c r="AR177" s="369">
        <v>1.42</v>
      </c>
      <c r="AS177" s="369">
        <v>1.42</v>
      </c>
      <c r="AT177" s="369">
        <v>1.41</v>
      </c>
      <c r="AU177" s="369">
        <v>1.4</v>
      </c>
      <c r="AV177" s="369">
        <v>1.4</v>
      </c>
      <c r="AW177" s="369">
        <v>1.39</v>
      </c>
      <c r="AX177" s="369">
        <v>1.38</v>
      </c>
      <c r="AY177" s="369">
        <v>1.38</v>
      </c>
      <c r="AZ177" s="517"/>
      <c r="BH177" s="704"/>
    </row>
    <row r="178" spans="1:60">
      <c r="A178" s="119">
        <v>44957</v>
      </c>
      <c r="B178" s="75">
        <v>0.46</v>
      </c>
      <c r="C178" s="75">
        <v>0.55000000000000004</v>
      </c>
      <c r="D178" s="75">
        <v>0.62</v>
      </c>
      <c r="E178" s="75">
        <v>0.7</v>
      </c>
      <c r="F178" s="75">
        <v>0.78</v>
      </c>
      <c r="G178" s="75">
        <v>0.86</v>
      </c>
      <c r="H178" s="75">
        <v>0.95</v>
      </c>
      <c r="I178" s="75">
        <v>1.03</v>
      </c>
      <c r="J178" s="75">
        <v>1.1100000000000001</v>
      </c>
      <c r="K178" s="75">
        <v>1.19</v>
      </c>
      <c r="L178" s="75">
        <v>1.26</v>
      </c>
      <c r="M178" s="75">
        <v>1.32</v>
      </c>
      <c r="N178" s="75">
        <v>1.37</v>
      </c>
      <c r="O178" s="75">
        <v>1.42</v>
      </c>
      <c r="P178" s="210">
        <v>1.46</v>
      </c>
      <c r="Q178" s="75">
        <v>1.48</v>
      </c>
      <c r="R178" s="75">
        <v>1.5</v>
      </c>
      <c r="S178" s="75">
        <v>1.52</v>
      </c>
      <c r="T178" s="75">
        <v>1.54</v>
      </c>
      <c r="U178" s="75">
        <v>1.55</v>
      </c>
      <c r="V178" s="75">
        <v>1.55</v>
      </c>
      <c r="W178" s="75">
        <v>1.55</v>
      </c>
      <c r="X178" s="75">
        <v>1.55</v>
      </c>
      <c r="Y178" s="75">
        <v>1.55</v>
      </c>
      <c r="Z178" s="75">
        <v>1.55</v>
      </c>
      <c r="AA178" s="75">
        <v>1.54</v>
      </c>
      <c r="AB178" s="75">
        <v>1.54</v>
      </c>
      <c r="AC178" s="75">
        <v>1.53</v>
      </c>
      <c r="AD178" s="75">
        <v>1.53</v>
      </c>
      <c r="AE178" s="75">
        <v>1.52</v>
      </c>
      <c r="AF178" s="75">
        <v>1.51</v>
      </c>
      <c r="AG178" s="75">
        <v>1.5</v>
      </c>
      <c r="AH178" s="75">
        <v>1.49</v>
      </c>
      <c r="AI178" s="75">
        <v>1.49</v>
      </c>
      <c r="AJ178" s="75">
        <v>1.48</v>
      </c>
      <c r="AK178" s="75">
        <v>1.47</v>
      </c>
      <c r="AL178" s="75">
        <v>1.47</v>
      </c>
      <c r="AM178" s="75">
        <v>1.46</v>
      </c>
      <c r="AN178" s="75">
        <v>1.46</v>
      </c>
      <c r="AO178" s="75">
        <v>1.45</v>
      </c>
      <c r="AP178" s="75">
        <v>1.44</v>
      </c>
      <c r="AQ178" s="75">
        <v>1.43</v>
      </c>
      <c r="AR178" s="75">
        <v>1.43</v>
      </c>
      <c r="AS178" s="75">
        <v>1.42</v>
      </c>
      <c r="AT178" s="75">
        <v>1.41</v>
      </c>
      <c r="AU178" s="75">
        <v>1.4</v>
      </c>
      <c r="AV178" s="75">
        <v>1.4</v>
      </c>
      <c r="AW178" s="75">
        <v>1.39</v>
      </c>
      <c r="AX178" s="75">
        <v>1.38</v>
      </c>
      <c r="AY178" s="75">
        <v>1.38</v>
      </c>
    </row>
    <row r="179" spans="1:60">
      <c r="A179" s="794">
        <v>44957</v>
      </c>
      <c r="B179" s="369">
        <v>0.46</v>
      </c>
      <c r="C179" s="369">
        <v>0.55000000000000004</v>
      </c>
      <c r="D179" s="369">
        <v>0.62</v>
      </c>
      <c r="E179" s="369">
        <v>0.7</v>
      </c>
      <c r="F179" s="369">
        <v>0.78</v>
      </c>
      <c r="G179" s="369">
        <v>0.86</v>
      </c>
      <c r="H179" s="369">
        <v>0.95</v>
      </c>
      <c r="I179" s="369">
        <v>1.03</v>
      </c>
      <c r="J179" s="369">
        <v>1.1100000000000001</v>
      </c>
      <c r="K179" s="369">
        <v>1.19</v>
      </c>
      <c r="L179" s="369">
        <v>1.26</v>
      </c>
      <c r="M179" s="369">
        <v>1.32</v>
      </c>
      <c r="N179" s="369">
        <v>1.37</v>
      </c>
      <c r="O179" s="369">
        <v>1.42</v>
      </c>
      <c r="P179" s="459">
        <v>1.46</v>
      </c>
      <c r="Q179" s="369">
        <v>1.48</v>
      </c>
      <c r="R179" s="369">
        <v>1.5</v>
      </c>
      <c r="S179" s="369">
        <v>1.52</v>
      </c>
      <c r="T179" s="369">
        <v>1.54</v>
      </c>
      <c r="U179" s="369">
        <v>1.55</v>
      </c>
      <c r="V179" s="369">
        <v>1.55</v>
      </c>
      <c r="W179" s="369">
        <v>1.55</v>
      </c>
      <c r="X179" s="369">
        <v>1.55</v>
      </c>
      <c r="Y179" s="369">
        <v>1.55</v>
      </c>
      <c r="Z179" s="369">
        <v>1.55</v>
      </c>
      <c r="AA179" s="369">
        <v>1.54</v>
      </c>
      <c r="AB179" s="369">
        <v>1.54</v>
      </c>
      <c r="AC179" s="369">
        <v>1.53</v>
      </c>
      <c r="AD179" s="369">
        <v>1.53</v>
      </c>
      <c r="AE179" s="369">
        <v>1.52</v>
      </c>
      <c r="AF179" s="369">
        <v>1.51</v>
      </c>
      <c r="AG179" s="369">
        <v>1.5</v>
      </c>
      <c r="AH179" s="369">
        <v>1.49</v>
      </c>
      <c r="AI179" s="369">
        <v>1.49</v>
      </c>
      <c r="AJ179" s="369">
        <v>1.48</v>
      </c>
      <c r="AK179" s="369">
        <v>1.47</v>
      </c>
      <c r="AL179" s="369">
        <v>1.47</v>
      </c>
      <c r="AM179" s="369">
        <v>1.46</v>
      </c>
      <c r="AN179" s="369">
        <v>1.46</v>
      </c>
      <c r="AO179" s="369">
        <v>1.45</v>
      </c>
      <c r="AP179" s="369">
        <v>1.44</v>
      </c>
      <c r="AQ179" s="369">
        <v>1.43</v>
      </c>
      <c r="AR179" s="369">
        <v>1.43</v>
      </c>
      <c r="AS179" s="369">
        <v>1.42</v>
      </c>
      <c r="AT179" s="369">
        <v>1.41</v>
      </c>
      <c r="AU179" s="369">
        <v>1.4</v>
      </c>
      <c r="AV179" s="369">
        <v>1.4</v>
      </c>
      <c r="AW179" s="369">
        <v>1.39</v>
      </c>
      <c r="AX179" s="369">
        <v>1.38</v>
      </c>
      <c r="AY179" s="369">
        <v>1.38</v>
      </c>
    </row>
    <row r="180" spans="1:60">
      <c r="A180" s="794">
        <v>44985</v>
      </c>
      <c r="B180" s="369">
        <v>0.5</v>
      </c>
      <c r="C180" s="369">
        <v>0.6</v>
      </c>
      <c r="D180" s="369">
        <v>0.66</v>
      </c>
      <c r="E180" s="369">
        <v>0.74</v>
      </c>
      <c r="F180" s="369">
        <v>0.82</v>
      </c>
      <c r="G180" s="369">
        <v>0.9</v>
      </c>
      <c r="H180" s="369">
        <v>0.98</v>
      </c>
      <c r="I180" s="369">
        <v>1.06</v>
      </c>
      <c r="J180" s="369">
        <v>1.1399999999999999</v>
      </c>
      <c r="K180" s="369">
        <v>1.22</v>
      </c>
      <c r="L180" s="369">
        <v>1.28</v>
      </c>
      <c r="M180" s="369">
        <v>1.34</v>
      </c>
      <c r="N180" s="369">
        <v>1.4</v>
      </c>
      <c r="O180" s="369">
        <v>1.44</v>
      </c>
      <c r="P180" s="459">
        <v>1.48</v>
      </c>
      <c r="Q180" s="369">
        <v>1.5</v>
      </c>
      <c r="R180" s="369">
        <v>1.52</v>
      </c>
      <c r="S180" s="369">
        <v>1.54</v>
      </c>
      <c r="T180" s="369">
        <v>1.55</v>
      </c>
      <c r="U180" s="369">
        <v>1.57</v>
      </c>
      <c r="V180" s="369">
        <v>1.57</v>
      </c>
      <c r="W180" s="369">
        <v>1.57</v>
      </c>
      <c r="X180" s="369">
        <v>1.57</v>
      </c>
      <c r="Y180" s="369">
        <v>1.57</v>
      </c>
      <c r="Z180" s="369">
        <v>1.57</v>
      </c>
      <c r="AA180" s="369">
        <v>1.56</v>
      </c>
      <c r="AB180" s="369">
        <v>1.55</v>
      </c>
      <c r="AC180" s="369">
        <v>1.54</v>
      </c>
      <c r="AD180" s="369">
        <v>1.54</v>
      </c>
      <c r="AE180" s="369">
        <v>1.53</v>
      </c>
      <c r="AF180" s="369">
        <v>1.52</v>
      </c>
      <c r="AG180" s="369">
        <v>1.51</v>
      </c>
      <c r="AH180" s="369">
        <v>1.51</v>
      </c>
      <c r="AI180" s="369">
        <v>1.5</v>
      </c>
      <c r="AJ180" s="369">
        <v>1.49</v>
      </c>
      <c r="AK180" s="369">
        <v>1.48</v>
      </c>
      <c r="AL180" s="369">
        <v>1.48</v>
      </c>
      <c r="AM180" s="369">
        <v>1.47</v>
      </c>
      <c r="AN180" s="369">
        <v>1.47</v>
      </c>
      <c r="AO180" s="369">
        <v>1.46</v>
      </c>
      <c r="AP180" s="369">
        <v>1.45</v>
      </c>
      <c r="AQ180" s="369">
        <v>1.44</v>
      </c>
      <c r="AR180" s="369">
        <v>1.44</v>
      </c>
      <c r="AS180" s="369">
        <v>1.43</v>
      </c>
      <c r="AT180" s="369">
        <v>1.42</v>
      </c>
      <c r="AU180" s="369">
        <v>1.41</v>
      </c>
      <c r="AV180" s="369">
        <v>1.41</v>
      </c>
      <c r="AW180" s="369">
        <v>1.4</v>
      </c>
      <c r="AX180" s="369">
        <v>1.39</v>
      </c>
      <c r="AY180" s="369">
        <v>1.39</v>
      </c>
      <c r="AZ180" s="517"/>
    </row>
    <row r="181" spans="1:60">
      <c r="A181" s="794">
        <v>45016</v>
      </c>
      <c r="B181" s="369">
        <v>0.55000000000000004</v>
      </c>
      <c r="C181" s="369">
        <v>0.64</v>
      </c>
      <c r="D181" s="369">
        <v>0.7</v>
      </c>
      <c r="E181" s="369">
        <v>0.77</v>
      </c>
      <c r="F181" s="369">
        <v>0.85</v>
      </c>
      <c r="G181" s="369">
        <v>0.93</v>
      </c>
      <c r="H181" s="369">
        <v>1.01</v>
      </c>
      <c r="I181" s="369">
        <v>1.0900000000000001</v>
      </c>
      <c r="J181" s="369">
        <v>1.1599999999999999</v>
      </c>
      <c r="K181" s="369">
        <v>1.24</v>
      </c>
      <c r="L181" s="369">
        <v>1.31</v>
      </c>
      <c r="M181" s="369">
        <v>1.37</v>
      </c>
      <c r="N181" s="369">
        <v>1.42</v>
      </c>
      <c r="O181" s="369">
        <v>1.46</v>
      </c>
      <c r="P181" s="459">
        <v>1.5</v>
      </c>
      <c r="Q181" s="369">
        <v>1.52</v>
      </c>
      <c r="R181" s="369">
        <v>1.54</v>
      </c>
      <c r="S181" s="369">
        <v>1.56</v>
      </c>
      <c r="T181" s="369">
        <v>1.57</v>
      </c>
      <c r="U181" s="369">
        <v>1.59</v>
      </c>
      <c r="V181" s="369">
        <v>1.59</v>
      </c>
      <c r="W181" s="369">
        <v>1.58</v>
      </c>
      <c r="X181" s="369">
        <v>1.58</v>
      </c>
      <c r="Y181" s="369">
        <v>1.58</v>
      </c>
      <c r="Z181" s="369">
        <v>1.58</v>
      </c>
      <c r="AA181" s="369">
        <v>1.57</v>
      </c>
      <c r="AB181" s="369">
        <v>1.57</v>
      </c>
      <c r="AC181" s="369">
        <v>1.56</v>
      </c>
      <c r="AD181" s="369">
        <v>1.55</v>
      </c>
      <c r="AE181" s="369">
        <v>1.55</v>
      </c>
      <c r="AF181" s="369">
        <v>1.54</v>
      </c>
      <c r="AG181" s="369">
        <v>1.53</v>
      </c>
      <c r="AH181" s="369">
        <v>1.52</v>
      </c>
      <c r="AI181" s="369">
        <v>1.51</v>
      </c>
      <c r="AJ181" s="369">
        <v>1.5</v>
      </c>
      <c r="AK181" s="369">
        <v>1.5</v>
      </c>
      <c r="AL181" s="369">
        <v>1.49</v>
      </c>
      <c r="AM181" s="369">
        <v>1.48</v>
      </c>
      <c r="AN181" s="369">
        <v>1.48</v>
      </c>
      <c r="AO181" s="369">
        <v>1.47</v>
      </c>
      <c r="AP181" s="369">
        <v>1.46</v>
      </c>
      <c r="AQ181" s="369">
        <v>1.45</v>
      </c>
      <c r="AR181" s="369">
        <v>1.45</v>
      </c>
      <c r="AS181" s="369">
        <v>1.44</v>
      </c>
      <c r="AT181" s="369">
        <v>1.43</v>
      </c>
      <c r="AU181" s="369">
        <v>1.42</v>
      </c>
      <c r="AV181" s="369">
        <v>1.42</v>
      </c>
      <c r="AW181" s="369">
        <v>1.41</v>
      </c>
      <c r="AX181" s="369">
        <v>1.4</v>
      </c>
      <c r="AY181" s="369">
        <v>1.4</v>
      </c>
      <c r="AZ181" s="517"/>
    </row>
    <row r="182" spans="1:60">
      <c r="A182" s="794">
        <v>45046</v>
      </c>
      <c r="B182" s="369">
        <v>0.59</v>
      </c>
      <c r="C182" s="369">
        <v>0.68</v>
      </c>
      <c r="D182" s="369">
        <v>0.74</v>
      </c>
      <c r="E182" s="369">
        <v>0.81</v>
      </c>
      <c r="F182" s="369">
        <v>0.88</v>
      </c>
      <c r="G182" s="369">
        <v>0.96</v>
      </c>
      <c r="H182" s="369">
        <v>1.03</v>
      </c>
      <c r="I182" s="369">
        <v>1.1100000000000001</v>
      </c>
      <c r="J182" s="369">
        <v>1.19</v>
      </c>
      <c r="K182" s="369">
        <v>1.27</v>
      </c>
      <c r="L182" s="369">
        <v>1.33</v>
      </c>
      <c r="M182" s="369">
        <v>1.39</v>
      </c>
      <c r="N182" s="369">
        <v>1.44</v>
      </c>
      <c r="O182" s="369">
        <v>1.48</v>
      </c>
      <c r="P182" s="459">
        <v>1.52</v>
      </c>
      <c r="Q182" s="369">
        <v>1.54</v>
      </c>
      <c r="R182" s="369">
        <v>1.56</v>
      </c>
      <c r="S182" s="369">
        <v>1.58</v>
      </c>
      <c r="T182" s="369">
        <v>1.59</v>
      </c>
      <c r="U182" s="369">
        <v>1.6</v>
      </c>
      <c r="V182" s="369">
        <v>1.6</v>
      </c>
      <c r="W182" s="369">
        <v>1.6</v>
      </c>
      <c r="X182" s="369">
        <v>1.6</v>
      </c>
      <c r="Y182" s="369">
        <v>1.6</v>
      </c>
      <c r="Z182" s="369">
        <v>1.59</v>
      </c>
      <c r="AA182" s="369">
        <v>1.59</v>
      </c>
      <c r="AB182" s="369">
        <v>1.58</v>
      </c>
      <c r="AC182" s="369">
        <v>1.57</v>
      </c>
      <c r="AD182" s="369">
        <v>1.56</v>
      </c>
      <c r="AE182" s="369">
        <v>1.56</v>
      </c>
      <c r="AF182" s="369">
        <v>1.55</v>
      </c>
      <c r="AG182" s="369">
        <v>1.54</v>
      </c>
      <c r="AH182" s="369">
        <v>1.53</v>
      </c>
      <c r="AI182" s="369">
        <v>1.52</v>
      </c>
      <c r="AJ182" s="369">
        <v>1.51</v>
      </c>
      <c r="AK182" s="369">
        <v>1.51</v>
      </c>
      <c r="AL182" s="369">
        <v>1.5</v>
      </c>
      <c r="AM182" s="369">
        <v>1.49</v>
      </c>
      <c r="AN182" s="369">
        <v>1.49</v>
      </c>
      <c r="AO182" s="369">
        <v>1.48</v>
      </c>
      <c r="AP182" s="369">
        <v>1.47</v>
      </c>
      <c r="AQ182" s="369">
        <v>1.46</v>
      </c>
      <c r="AR182" s="369">
        <v>1.45</v>
      </c>
      <c r="AS182" s="369">
        <v>1.45</v>
      </c>
      <c r="AT182" s="369">
        <v>1.44</v>
      </c>
      <c r="AU182" s="369">
        <v>1.43</v>
      </c>
      <c r="AV182" s="369">
        <v>1.42</v>
      </c>
      <c r="AW182" s="369">
        <v>1.42</v>
      </c>
      <c r="AX182" s="369">
        <v>1.41</v>
      </c>
      <c r="AY182" s="369">
        <v>1.4</v>
      </c>
      <c r="AZ182" s="517"/>
    </row>
    <row r="183" spans="1:60">
      <c r="A183" s="794">
        <v>45077</v>
      </c>
      <c r="B183" s="369">
        <v>0.64</v>
      </c>
      <c r="C183" s="369">
        <v>0.72</v>
      </c>
      <c r="D183" s="369">
        <v>0.77</v>
      </c>
      <c r="E183" s="369">
        <v>0.84</v>
      </c>
      <c r="F183" s="369">
        <v>0.91</v>
      </c>
      <c r="G183" s="369">
        <v>0.99</v>
      </c>
      <c r="H183" s="369">
        <v>1.07</v>
      </c>
      <c r="I183" s="369">
        <v>1.1399999999999999</v>
      </c>
      <c r="J183" s="369">
        <v>1.22</v>
      </c>
      <c r="K183" s="369">
        <v>1.29</v>
      </c>
      <c r="L183" s="369">
        <v>1.36</v>
      </c>
      <c r="M183" s="369">
        <v>1.41</v>
      </c>
      <c r="N183" s="369">
        <v>1.46</v>
      </c>
      <c r="O183" s="369">
        <v>1.51</v>
      </c>
      <c r="P183" s="459">
        <v>1.54</v>
      </c>
      <c r="Q183" s="369">
        <v>1.56</v>
      </c>
      <c r="R183" s="369">
        <v>1.58</v>
      </c>
      <c r="S183" s="369">
        <v>1.6</v>
      </c>
      <c r="T183" s="369">
        <v>1.61</v>
      </c>
      <c r="U183" s="369">
        <v>1.62</v>
      </c>
      <c r="V183" s="369">
        <v>1.62</v>
      </c>
      <c r="W183" s="369">
        <v>1.62</v>
      </c>
      <c r="X183" s="369">
        <v>1.61</v>
      </c>
      <c r="Y183" s="369">
        <v>1.61</v>
      </c>
      <c r="Z183" s="369">
        <v>1.61</v>
      </c>
      <c r="AA183" s="369">
        <v>1.6</v>
      </c>
      <c r="AB183" s="369">
        <v>1.59</v>
      </c>
      <c r="AC183" s="369">
        <v>1.58</v>
      </c>
      <c r="AD183" s="369">
        <v>1.58</v>
      </c>
      <c r="AE183" s="369">
        <v>1.57</v>
      </c>
      <c r="AF183" s="369">
        <v>1.56</v>
      </c>
      <c r="AG183" s="369">
        <v>1.55</v>
      </c>
      <c r="AH183" s="369">
        <v>1.54</v>
      </c>
      <c r="AI183" s="369">
        <v>1.53</v>
      </c>
      <c r="AJ183" s="369">
        <v>1.53</v>
      </c>
      <c r="AK183" s="369">
        <v>1.52</v>
      </c>
      <c r="AL183" s="369">
        <v>1.51</v>
      </c>
      <c r="AM183" s="369">
        <v>1.5</v>
      </c>
      <c r="AN183" s="369">
        <v>1.5</v>
      </c>
      <c r="AO183" s="369">
        <v>1.49</v>
      </c>
      <c r="AP183" s="369">
        <v>1.48</v>
      </c>
      <c r="AQ183" s="369">
        <v>1.47</v>
      </c>
      <c r="AR183" s="369">
        <v>1.46</v>
      </c>
      <c r="AS183" s="369">
        <v>1.46</v>
      </c>
      <c r="AT183" s="369">
        <v>1.45</v>
      </c>
      <c r="AU183" s="369">
        <v>1.44</v>
      </c>
      <c r="AV183" s="369">
        <v>1.43</v>
      </c>
      <c r="AW183" s="369">
        <v>1.43</v>
      </c>
      <c r="AX183" s="369">
        <v>1.42</v>
      </c>
      <c r="AY183" s="369">
        <v>1.41</v>
      </c>
      <c r="AZ183" s="517"/>
    </row>
    <row r="184" spans="1:60">
      <c r="A184" s="794">
        <v>45107</v>
      </c>
      <c r="B184" s="369">
        <v>0.69</v>
      </c>
      <c r="C184" s="369">
        <v>0.76</v>
      </c>
      <c r="D184" s="369">
        <v>0.82</v>
      </c>
      <c r="E184" s="369">
        <v>0.88</v>
      </c>
      <c r="F184" s="369">
        <v>0.95</v>
      </c>
      <c r="G184" s="369">
        <v>1.03</v>
      </c>
      <c r="H184" s="369">
        <v>1.1000000000000001</v>
      </c>
      <c r="I184" s="369">
        <v>1.18</v>
      </c>
      <c r="J184" s="369">
        <v>1.25</v>
      </c>
      <c r="K184" s="369">
        <v>1.32</v>
      </c>
      <c r="L184" s="369">
        <v>1.39</v>
      </c>
      <c r="M184" s="369">
        <v>1.44</v>
      </c>
      <c r="N184" s="369">
        <v>1.49</v>
      </c>
      <c r="O184" s="369">
        <v>1.53</v>
      </c>
      <c r="P184" s="369">
        <v>1.57</v>
      </c>
      <c r="Q184" s="369">
        <v>1.59</v>
      </c>
      <c r="R184" s="369">
        <v>1.6</v>
      </c>
      <c r="S184" s="369">
        <v>1.62</v>
      </c>
      <c r="T184" s="369">
        <v>1.63</v>
      </c>
      <c r="U184" s="369">
        <v>1.64</v>
      </c>
      <c r="V184" s="369">
        <v>1.64</v>
      </c>
      <c r="W184" s="369">
        <v>1.64</v>
      </c>
      <c r="X184" s="369">
        <v>1.63</v>
      </c>
      <c r="Y184" s="369">
        <v>1.63</v>
      </c>
      <c r="Z184" s="369">
        <v>1.63</v>
      </c>
      <c r="AA184" s="369">
        <v>1.62</v>
      </c>
      <c r="AB184" s="369">
        <v>1.61</v>
      </c>
      <c r="AC184" s="369">
        <v>1.6</v>
      </c>
      <c r="AD184" s="369">
        <v>1.6</v>
      </c>
      <c r="AE184" s="369">
        <v>1.59</v>
      </c>
      <c r="AF184" s="369">
        <v>1.58</v>
      </c>
      <c r="AG184" s="369">
        <v>1.57</v>
      </c>
      <c r="AH184" s="369">
        <v>1.56</v>
      </c>
      <c r="AI184" s="369">
        <v>1.55</v>
      </c>
      <c r="AJ184" s="369">
        <v>1.54</v>
      </c>
      <c r="AK184" s="369">
        <v>1.53</v>
      </c>
      <c r="AL184" s="369">
        <v>1.53</v>
      </c>
      <c r="AM184" s="369">
        <v>1.52</v>
      </c>
      <c r="AN184" s="369">
        <v>1.51</v>
      </c>
      <c r="AO184" s="369">
        <v>1.51</v>
      </c>
      <c r="AP184" s="369">
        <v>1.5</v>
      </c>
      <c r="AQ184" s="369">
        <v>1.49</v>
      </c>
      <c r="AR184" s="369">
        <v>1.48</v>
      </c>
      <c r="AS184" s="369">
        <v>1.47</v>
      </c>
      <c r="AT184" s="369">
        <v>1.46</v>
      </c>
      <c r="AU184" s="369">
        <v>1.45</v>
      </c>
      <c r="AV184" s="369">
        <v>1.45</v>
      </c>
      <c r="AW184" s="369">
        <v>1.44</v>
      </c>
      <c r="AX184" s="369">
        <v>1.43</v>
      </c>
      <c r="AY184" s="369">
        <v>1.43</v>
      </c>
      <c r="AZ184" s="517"/>
    </row>
    <row r="185" spans="1:60">
      <c r="A185" s="794">
        <v>45138</v>
      </c>
      <c r="B185" s="369">
        <v>0.74</v>
      </c>
      <c r="C185" s="369">
        <v>0.81</v>
      </c>
      <c r="D185" s="369">
        <v>0.86</v>
      </c>
      <c r="E185" s="369">
        <v>0.93</v>
      </c>
      <c r="F185" s="369">
        <v>0.99</v>
      </c>
      <c r="G185" s="369">
        <v>1.06</v>
      </c>
      <c r="H185" s="369">
        <v>1.1399999999999999</v>
      </c>
      <c r="I185" s="369">
        <v>1.21</v>
      </c>
      <c r="J185" s="369">
        <v>1.28</v>
      </c>
      <c r="K185" s="369">
        <v>1.35</v>
      </c>
      <c r="L185" s="369">
        <v>1.42</v>
      </c>
      <c r="M185" s="369">
        <v>1.47</v>
      </c>
      <c r="N185" s="369">
        <v>1.52</v>
      </c>
      <c r="O185" s="369">
        <v>1.56</v>
      </c>
      <c r="P185" s="369">
        <v>1.6</v>
      </c>
      <c r="Q185" s="369">
        <v>1.62</v>
      </c>
      <c r="R185" s="369">
        <v>1.63</v>
      </c>
      <c r="S185" s="369">
        <v>1.65</v>
      </c>
      <c r="T185" s="369">
        <v>1.66</v>
      </c>
      <c r="U185" s="369">
        <v>1.67</v>
      </c>
      <c r="V185" s="369">
        <v>1.67</v>
      </c>
      <c r="W185" s="369">
        <v>1.66</v>
      </c>
      <c r="X185" s="369">
        <v>1.66</v>
      </c>
      <c r="Y185" s="369">
        <v>1.66</v>
      </c>
      <c r="Z185" s="369">
        <v>1.65</v>
      </c>
      <c r="AA185" s="369">
        <v>1.64</v>
      </c>
      <c r="AB185" s="369">
        <v>1.63</v>
      </c>
      <c r="AC185" s="369">
        <v>1.63</v>
      </c>
      <c r="AD185" s="369">
        <v>1.62</v>
      </c>
      <c r="AE185" s="369">
        <v>1.61</v>
      </c>
      <c r="AF185" s="369">
        <v>1.6</v>
      </c>
      <c r="AG185" s="369">
        <v>1.59</v>
      </c>
      <c r="AH185" s="369">
        <v>1.58</v>
      </c>
      <c r="AI185" s="369">
        <v>1.57</v>
      </c>
      <c r="AJ185" s="369">
        <v>1.56</v>
      </c>
      <c r="AK185" s="369">
        <v>1.55</v>
      </c>
      <c r="AL185" s="369">
        <v>1.55</v>
      </c>
      <c r="AM185" s="369">
        <v>1.54</v>
      </c>
      <c r="AN185" s="369">
        <v>1.53</v>
      </c>
      <c r="AO185" s="369">
        <v>1.53</v>
      </c>
      <c r="AP185" s="369">
        <v>1.52</v>
      </c>
      <c r="AQ185" s="369">
        <v>1.51</v>
      </c>
      <c r="AR185" s="369">
        <v>1.5</v>
      </c>
      <c r="AS185" s="369">
        <v>1.49</v>
      </c>
      <c r="AT185" s="369">
        <v>1.48</v>
      </c>
      <c r="AU185" s="369">
        <v>1.47</v>
      </c>
      <c r="AV185" s="369">
        <v>1.46</v>
      </c>
      <c r="AW185" s="369">
        <v>1.46</v>
      </c>
      <c r="AX185" s="369">
        <v>1.45</v>
      </c>
      <c r="AY185" s="369">
        <v>1.44</v>
      </c>
      <c r="AZ185" s="517"/>
    </row>
    <row r="186" spans="1:60">
      <c r="A186" s="794">
        <v>45169</v>
      </c>
      <c r="B186" s="369">
        <v>0.79</v>
      </c>
      <c r="C186" s="369">
        <v>0.86</v>
      </c>
      <c r="D186" s="369">
        <v>0.91</v>
      </c>
      <c r="E186" s="369">
        <v>0.97</v>
      </c>
      <c r="F186" s="369">
        <v>1.03</v>
      </c>
      <c r="G186" s="369">
        <v>1.1000000000000001</v>
      </c>
      <c r="H186" s="369">
        <v>1.17</v>
      </c>
      <c r="I186" s="369">
        <v>1.25</v>
      </c>
      <c r="J186" s="369">
        <v>1.32</v>
      </c>
      <c r="K186" s="369">
        <v>1.39</v>
      </c>
      <c r="L186" s="369">
        <v>1.45</v>
      </c>
      <c r="M186" s="369">
        <v>1.5</v>
      </c>
      <c r="N186" s="369">
        <v>1.55</v>
      </c>
      <c r="O186" s="369">
        <v>1.59</v>
      </c>
      <c r="P186" s="369">
        <v>1.63</v>
      </c>
      <c r="Q186" s="369">
        <v>1.65</v>
      </c>
      <c r="R186" s="369">
        <v>1.66</v>
      </c>
      <c r="S186" s="369">
        <v>1.67</v>
      </c>
      <c r="T186" s="369">
        <v>1.69</v>
      </c>
      <c r="U186" s="369">
        <v>1.7</v>
      </c>
      <c r="V186" s="369">
        <v>1.69</v>
      </c>
      <c r="W186" s="369">
        <v>1.69</v>
      </c>
      <c r="X186" s="369">
        <v>1.68</v>
      </c>
      <c r="Y186" s="369">
        <v>1.68</v>
      </c>
      <c r="Z186" s="369">
        <v>1.68</v>
      </c>
      <c r="AA186" s="369">
        <v>1.67</v>
      </c>
      <c r="AB186" s="369">
        <v>1.66</v>
      </c>
      <c r="AC186" s="369">
        <v>1.65</v>
      </c>
      <c r="AD186" s="369">
        <v>1.64</v>
      </c>
      <c r="AE186" s="369">
        <v>1.63</v>
      </c>
      <c r="AF186" s="369">
        <v>1.62</v>
      </c>
      <c r="AG186" s="369">
        <v>1.61</v>
      </c>
      <c r="AH186" s="369">
        <v>1.6</v>
      </c>
      <c r="AI186" s="369">
        <v>1.59</v>
      </c>
      <c r="AJ186" s="369">
        <v>1.58</v>
      </c>
      <c r="AK186" s="369">
        <v>1.58</v>
      </c>
      <c r="AL186" s="369">
        <v>1.57</v>
      </c>
      <c r="AM186" s="369">
        <v>1.56</v>
      </c>
      <c r="AN186" s="369">
        <v>1.55</v>
      </c>
      <c r="AO186" s="369">
        <v>1.55</v>
      </c>
      <c r="AP186" s="369">
        <v>1.54</v>
      </c>
      <c r="AQ186" s="369">
        <v>1.53</v>
      </c>
      <c r="AR186" s="369">
        <v>1.52</v>
      </c>
      <c r="AS186" s="369">
        <v>1.51</v>
      </c>
      <c r="AT186" s="369">
        <v>1.5</v>
      </c>
      <c r="AU186" s="369">
        <v>1.49</v>
      </c>
      <c r="AV186" s="369">
        <v>1.48</v>
      </c>
      <c r="AW186" s="369">
        <v>1.48</v>
      </c>
      <c r="AX186" s="369">
        <v>1.47</v>
      </c>
      <c r="AY186" s="369">
        <v>1.46</v>
      </c>
      <c r="AZ186" s="517"/>
    </row>
    <row r="187" spans="1:60">
      <c r="A187" s="794">
        <v>45199</v>
      </c>
      <c r="B187" s="369">
        <v>0.84</v>
      </c>
      <c r="C187" s="369">
        <v>0.91</v>
      </c>
      <c r="D187" s="369">
        <v>0.95</v>
      </c>
      <c r="E187" s="369">
        <v>1.01</v>
      </c>
      <c r="F187" s="369">
        <v>1.08</v>
      </c>
      <c r="G187" s="369">
        <v>1.1499999999999999</v>
      </c>
      <c r="H187" s="369">
        <v>1.21</v>
      </c>
      <c r="I187" s="369">
        <v>1.29</v>
      </c>
      <c r="J187" s="369">
        <v>1.36</v>
      </c>
      <c r="K187" s="369">
        <v>1.43</v>
      </c>
      <c r="L187" s="369">
        <v>1.49</v>
      </c>
      <c r="M187" s="369">
        <v>1.54</v>
      </c>
      <c r="N187" s="369">
        <v>1.59</v>
      </c>
      <c r="O187" s="369">
        <v>1.63</v>
      </c>
      <c r="P187" s="369">
        <v>1.66</v>
      </c>
      <c r="Q187" s="369">
        <v>1.68</v>
      </c>
      <c r="R187" s="369">
        <v>1.69</v>
      </c>
      <c r="S187" s="369">
        <v>1.71</v>
      </c>
      <c r="T187" s="369">
        <v>1.72</v>
      </c>
      <c r="U187" s="369">
        <v>1.73</v>
      </c>
      <c r="V187" s="369">
        <v>1.72</v>
      </c>
      <c r="W187" s="369">
        <v>1.72</v>
      </c>
      <c r="X187" s="369">
        <v>1.71</v>
      </c>
      <c r="Y187" s="369">
        <v>1.71</v>
      </c>
      <c r="Z187" s="369">
        <v>1.71</v>
      </c>
      <c r="AA187" s="369">
        <v>1.7</v>
      </c>
      <c r="AB187" s="369">
        <v>1.69</v>
      </c>
      <c r="AC187" s="369">
        <v>1.68</v>
      </c>
      <c r="AD187" s="369">
        <v>1.67</v>
      </c>
      <c r="AE187" s="369">
        <v>1.66</v>
      </c>
      <c r="AF187" s="369">
        <v>1.65</v>
      </c>
      <c r="AG187" s="369">
        <v>1.64</v>
      </c>
      <c r="AH187" s="369">
        <v>1.63</v>
      </c>
      <c r="AI187" s="369">
        <v>1.62</v>
      </c>
      <c r="AJ187" s="369">
        <v>1.61</v>
      </c>
      <c r="AK187" s="369">
        <v>1.6</v>
      </c>
      <c r="AL187" s="369">
        <v>1.59</v>
      </c>
      <c r="AM187" s="369">
        <v>1.59</v>
      </c>
      <c r="AN187" s="369">
        <v>1.58</v>
      </c>
      <c r="AO187" s="369">
        <v>1.57</v>
      </c>
      <c r="AP187" s="369">
        <v>1.56</v>
      </c>
      <c r="AQ187" s="369">
        <v>1.55</v>
      </c>
      <c r="AR187" s="369">
        <v>1.54</v>
      </c>
      <c r="AS187" s="369">
        <v>1.53</v>
      </c>
      <c r="AT187" s="369">
        <v>1.52</v>
      </c>
      <c r="AU187" s="369">
        <v>1.52</v>
      </c>
      <c r="AV187" s="369">
        <v>1.51</v>
      </c>
      <c r="AW187" s="369">
        <v>1.5</v>
      </c>
      <c r="AX187" s="369">
        <v>1.49</v>
      </c>
      <c r="AY187" s="369">
        <v>1.49</v>
      </c>
      <c r="AZ187" s="517"/>
    </row>
    <row r="188" spans="1:60">
      <c r="A188" s="794">
        <v>45230</v>
      </c>
      <c r="B188" s="369">
        <v>0.89</v>
      </c>
      <c r="C188" s="369">
        <v>0.95</v>
      </c>
      <c r="D188" s="369">
        <v>1</v>
      </c>
      <c r="E188" s="369">
        <v>1.05</v>
      </c>
      <c r="F188" s="369">
        <v>1.1200000000000001</v>
      </c>
      <c r="G188" s="369">
        <v>1.19</v>
      </c>
      <c r="H188" s="369">
        <v>1.25</v>
      </c>
      <c r="I188" s="369">
        <v>1.32</v>
      </c>
      <c r="J188" s="369">
        <v>1.39</v>
      </c>
      <c r="K188" s="369">
        <v>1.46</v>
      </c>
      <c r="L188" s="369">
        <v>1.52</v>
      </c>
      <c r="M188" s="369">
        <v>1.58</v>
      </c>
      <c r="N188" s="369">
        <v>1.62</v>
      </c>
      <c r="O188" s="369">
        <v>1.66</v>
      </c>
      <c r="P188" s="369">
        <v>1.7</v>
      </c>
      <c r="Q188" s="369">
        <v>1.71</v>
      </c>
      <c r="R188" s="369">
        <v>1.73</v>
      </c>
      <c r="S188" s="369">
        <v>1.74</v>
      </c>
      <c r="T188" s="369">
        <v>1.75</v>
      </c>
      <c r="U188" s="369">
        <v>1.76</v>
      </c>
      <c r="V188" s="369">
        <v>1.75</v>
      </c>
      <c r="W188" s="369">
        <v>1.75</v>
      </c>
      <c r="X188" s="369">
        <v>1.74</v>
      </c>
      <c r="Y188" s="369">
        <v>1.74</v>
      </c>
      <c r="Z188" s="369">
        <v>1.74</v>
      </c>
      <c r="AA188" s="369">
        <v>1.72</v>
      </c>
      <c r="AB188" s="369">
        <v>1.71</v>
      </c>
      <c r="AC188" s="369">
        <v>1.7</v>
      </c>
      <c r="AD188" s="369">
        <v>1.7</v>
      </c>
      <c r="AE188" s="369">
        <v>1.69</v>
      </c>
      <c r="AF188" s="369">
        <v>1.67</v>
      </c>
      <c r="AG188" s="369">
        <v>1.66</v>
      </c>
      <c r="AH188" s="369">
        <v>1.65</v>
      </c>
      <c r="AI188" s="369">
        <v>1.64</v>
      </c>
      <c r="AJ188" s="369">
        <v>1.63</v>
      </c>
      <c r="AK188" s="369">
        <v>1.63</v>
      </c>
      <c r="AL188" s="369">
        <v>1.62</v>
      </c>
      <c r="AM188" s="369">
        <v>1.61</v>
      </c>
      <c r="AN188" s="369">
        <v>1.6</v>
      </c>
      <c r="AO188" s="369">
        <v>1.6</v>
      </c>
      <c r="AP188" s="369">
        <v>1.58</v>
      </c>
      <c r="AQ188" s="369">
        <v>1.57</v>
      </c>
      <c r="AR188" s="369">
        <v>1.57</v>
      </c>
      <c r="AS188" s="369">
        <v>1.56</v>
      </c>
      <c r="AT188" s="369">
        <v>1.55</v>
      </c>
      <c r="AU188" s="369">
        <v>1.54</v>
      </c>
      <c r="AV188" s="369">
        <v>1.53</v>
      </c>
      <c r="AW188" s="369">
        <v>1.52</v>
      </c>
      <c r="AX188" s="369">
        <v>1.52</v>
      </c>
      <c r="AY188" s="369">
        <v>1.51</v>
      </c>
      <c r="AZ188" s="517"/>
    </row>
    <row r="189" spans="1:60">
      <c r="A189" s="794">
        <v>45260</v>
      </c>
      <c r="B189" s="369">
        <v>0.94</v>
      </c>
      <c r="C189" s="369">
        <v>1</v>
      </c>
      <c r="D189" s="369">
        <v>1.03</v>
      </c>
      <c r="E189" s="369">
        <v>1.0900000000000001</v>
      </c>
      <c r="F189" s="369">
        <v>1.1499999999999999</v>
      </c>
      <c r="G189" s="369">
        <v>1.22</v>
      </c>
      <c r="H189" s="369">
        <v>1.28</v>
      </c>
      <c r="I189" s="369">
        <v>1.35</v>
      </c>
      <c r="J189" s="369">
        <v>1.42</v>
      </c>
      <c r="K189" s="369">
        <v>1.49</v>
      </c>
      <c r="L189" s="369">
        <v>1.55</v>
      </c>
      <c r="M189" s="369">
        <v>1.6</v>
      </c>
      <c r="N189" s="369">
        <v>1.65</v>
      </c>
      <c r="O189" s="369">
        <v>1.69</v>
      </c>
      <c r="P189" s="369">
        <v>1.72</v>
      </c>
      <c r="Q189" s="369">
        <v>1.74</v>
      </c>
      <c r="R189" s="369">
        <v>1.75</v>
      </c>
      <c r="S189" s="369">
        <v>1.76</v>
      </c>
      <c r="T189" s="369">
        <v>1.77</v>
      </c>
      <c r="U189" s="369">
        <v>1.78</v>
      </c>
      <c r="V189" s="369">
        <v>1.77</v>
      </c>
      <c r="W189" s="369">
        <v>1.77</v>
      </c>
      <c r="X189" s="369">
        <v>1.76</v>
      </c>
      <c r="Y189" s="369">
        <v>1.76</v>
      </c>
      <c r="Z189" s="369">
        <v>1.75</v>
      </c>
      <c r="AA189" s="369">
        <v>1.74</v>
      </c>
      <c r="AB189" s="369">
        <v>1.73</v>
      </c>
      <c r="AC189" s="369">
        <v>1.72</v>
      </c>
      <c r="AD189" s="369">
        <v>1.71</v>
      </c>
      <c r="AE189" s="369">
        <v>1.7</v>
      </c>
      <c r="AF189" s="369">
        <v>1.69</v>
      </c>
      <c r="AG189" s="369">
        <v>1.68</v>
      </c>
      <c r="AH189" s="369">
        <v>1.67</v>
      </c>
      <c r="AI189" s="369">
        <v>1.66</v>
      </c>
      <c r="AJ189" s="369">
        <v>1.65</v>
      </c>
      <c r="AK189" s="369">
        <v>1.64</v>
      </c>
      <c r="AL189" s="369">
        <v>1.63</v>
      </c>
      <c r="AM189" s="369">
        <v>1.63</v>
      </c>
      <c r="AN189" s="369">
        <v>1.62</v>
      </c>
      <c r="AO189" s="369">
        <v>1.61</v>
      </c>
      <c r="AP189" s="369">
        <v>1.6</v>
      </c>
      <c r="AQ189" s="369">
        <v>1.59</v>
      </c>
      <c r="AR189" s="369">
        <v>1.58</v>
      </c>
      <c r="AS189" s="369">
        <v>1.57</v>
      </c>
      <c r="AT189" s="369">
        <v>1.56</v>
      </c>
      <c r="AU189" s="369">
        <v>1.55</v>
      </c>
      <c r="AV189" s="369">
        <v>1.54</v>
      </c>
      <c r="AW189" s="369">
        <v>1.54</v>
      </c>
      <c r="AX189" s="369">
        <v>1.53</v>
      </c>
      <c r="AY189" s="369">
        <v>1.52</v>
      </c>
      <c r="AZ189" s="517"/>
    </row>
    <row r="190" spans="1:60">
      <c r="A190" s="794">
        <v>45291</v>
      </c>
      <c r="B190" s="369">
        <v>0.99</v>
      </c>
      <c r="C190" s="369">
        <v>1.03</v>
      </c>
      <c r="D190" s="369">
        <v>1.07</v>
      </c>
      <c r="E190" s="369">
        <v>1.1200000000000001</v>
      </c>
      <c r="F190" s="369">
        <v>1.18</v>
      </c>
      <c r="G190" s="369">
        <v>1.25</v>
      </c>
      <c r="H190" s="369">
        <v>1.31</v>
      </c>
      <c r="I190" s="369">
        <v>1.38</v>
      </c>
      <c r="J190" s="369">
        <v>1.45</v>
      </c>
      <c r="K190" s="369">
        <v>1.51</v>
      </c>
      <c r="L190" s="369">
        <v>1.57</v>
      </c>
      <c r="M190" s="369">
        <v>1.62</v>
      </c>
      <c r="N190" s="369">
        <v>1.67</v>
      </c>
      <c r="O190" s="369">
        <v>1.71</v>
      </c>
      <c r="P190" s="369">
        <v>1.74</v>
      </c>
      <c r="Q190" s="369">
        <v>1.75</v>
      </c>
      <c r="R190" s="369">
        <v>1.77</v>
      </c>
      <c r="S190" s="369">
        <v>1.78</v>
      </c>
      <c r="T190" s="369">
        <v>1.79</v>
      </c>
      <c r="U190" s="369">
        <v>1.8</v>
      </c>
      <c r="V190" s="369">
        <v>1.79</v>
      </c>
      <c r="W190" s="369">
        <v>1.78</v>
      </c>
      <c r="X190" s="369">
        <v>1.78</v>
      </c>
      <c r="Y190" s="369">
        <v>1.77</v>
      </c>
      <c r="Z190" s="369">
        <v>1.77</v>
      </c>
      <c r="AA190" s="369">
        <v>1.76</v>
      </c>
      <c r="AB190" s="369">
        <v>1.75</v>
      </c>
      <c r="AC190" s="369">
        <v>1.74</v>
      </c>
      <c r="AD190" s="369">
        <v>1.73</v>
      </c>
      <c r="AE190" s="369">
        <v>1.72</v>
      </c>
      <c r="AF190" s="369">
        <v>1.71</v>
      </c>
      <c r="AG190" s="369">
        <v>1.69</v>
      </c>
      <c r="AH190" s="369">
        <v>1.68</v>
      </c>
      <c r="AI190" s="369">
        <v>1.67</v>
      </c>
      <c r="AJ190" s="369">
        <v>1.66</v>
      </c>
      <c r="AK190" s="369">
        <v>1.65</v>
      </c>
      <c r="AL190" s="369">
        <v>1.65</v>
      </c>
      <c r="AM190" s="369">
        <v>1.64</v>
      </c>
      <c r="AN190" s="369">
        <v>1.63</v>
      </c>
      <c r="AO190" s="369">
        <v>1.62</v>
      </c>
      <c r="AP190" s="369">
        <v>1.61</v>
      </c>
      <c r="AQ190" s="369">
        <v>1.6</v>
      </c>
      <c r="AR190" s="369">
        <v>1.59</v>
      </c>
      <c r="AS190" s="369">
        <v>1.58</v>
      </c>
      <c r="AT190" s="369">
        <v>1.57</v>
      </c>
      <c r="AU190" s="369">
        <v>1.56</v>
      </c>
      <c r="AV190" s="369">
        <v>1.56</v>
      </c>
      <c r="AW190" s="369">
        <v>1.55</v>
      </c>
      <c r="AX190" s="369">
        <v>1.54</v>
      </c>
      <c r="AY190" s="369">
        <v>1.53</v>
      </c>
    </row>
    <row r="191" spans="1:60">
      <c r="A191" s="794">
        <v>45322</v>
      </c>
      <c r="B191" s="369">
        <v>1.03</v>
      </c>
      <c r="C191" s="369">
        <v>1.07</v>
      </c>
      <c r="D191" s="369">
        <v>1.1000000000000001</v>
      </c>
      <c r="E191" s="369">
        <v>1.1499999999999999</v>
      </c>
      <c r="F191" s="369">
        <v>1.21</v>
      </c>
      <c r="G191" s="369">
        <v>1.27</v>
      </c>
      <c r="H191" s="369">
        <v>1.34</v>
      </c>
      <c r="I191" s="369">
        <v>1.4</v>
      </c>
      <c r="J191" s="369">
        <v>1.47</v>
      </c>
      <c r="K191" s="369">
        <v>1.53</v>
      </c>
      <c r="L191" s="369">
        <v>1.59</v>
      </c>
      <c r="M191" s="369">
        <v>1.64</v>
      </c>
      <c r="N191" s="369">
        <v>1.69</v>
      </c>
      <c r="O191" s="369">
        <v>1.73</v>
      </c>
      <c r="P191" s="369">
        <v>1.76</v>
      </c>
      <c r="Q191" s="369">
        <v>1.77</v>
      </c>
      <c r="R191" s="369">
        <v>1.78</v>
      </c>
      <c r="S191" s="369">
        <v>1.79</v>
      </c>
      <c r="T191" s="369">
        <v>1.8</v>
      </c>
      <c r="U191" s="369">
        <v>1.81</v>
      </c>
      <c r="V191" s="369">
        <v>1.8</v>
      </c>
      <c r="W191" s="369">
        <v>1.8</v>
      </c>
      <c r="X191" s="369">
        <v>1.79</v>
      </c>
      <c r="Y191" s="369">
        <v>1.79</v>
      </c>
      <c r="Z191" s="369">
        <v>1.78</v>
      </c>
      <c r="AA191" s="369">
        <v>1.77</v>
      </c>
      <c r="AB191" s="369">
        <v>1.76</v>
      </c>
      <c r="AC191" s="369">
        <v>1.75</v>
      </c>
      <c r="AD191" s="369">
        <v>1.74</v>
      </c>
      <c r="AE191" s="369">
        <v>1.73</v>
      </c>
      <c r="AF191" s="369">
        <v>1.72</v>
      </c>
      <c r="AG191" s="369">
        <v>1.7</v>
      </c>
      <c r="AH191" s="369">
        <v>1.69</v>
      </c>
      <c r="AI191" s="369">
        <v>1.68</v>
      </c>
      <c r="AJ191" s="369">
        <v>1.67</v>
      </c>
      <c r="AK191" s="369">
        <v>1.66</v>
      </c>
      <c r="AL191" s="369">
        <v>1.65</v>
      </c>
      <c r="AM191" s="369">
        <v>1.65</v>
      </c>
      <c r="AN191" s="369">
        <v>1.64</v>
      </c>
      <c r="AO191" s="369">
        <v>1.63</v>
      </c>
      <c r="AP191" s="369">
        <v>1.62</v>
      </c>
      <c r="AQ191" s="369">
        <v>1.61</v>
      </c>
      <c r="AR191" s="369">
        <v>1.6</v>
      </c>
      <c r="AS191" s="369">
        <v>1.59</v>
      </c>
      <c r="AT191" s="369">
        <v>1.58</v>
      </c>
      <c r="AU191" s="369">
        <v>1.57</v>
      </c>
      <c r="AV191" s="369">
        <v>1.56</v>
      </c>
      <c r="AW191" s="369">
        <v>1.56</v>
      </c>
      <c r="AX191" s="369">
        <v>1.55</v>
      </c>
      <c r="AY191" s="369">
        <v>1.54</v>
      </c>
    </row>
    <row r="192" spans="1:60">
      <c r="A192" s="794">
        <v>45351</v>
      </c>
      <c r="B192" s="369">
        <v>1.08</v>
      </c>
      <c r="C192" s="369">
        <v>1.1100000000000001</v>
      </c>
      <c r="D192" s="369">
        <v>1.1399999999999999</v>
      </c>
      <c r="E192" s="369">
        <v>1.19</v>
      </c>
      <c r="F192" s="369">
        <v>1.24</v>
      </c>
      <c r="G192" s="369">
        <v>1.31</v>
      </c>
      <c r="H192" s="369">
        <v>1.37</v>
      </c>
      <c r="I192" s="369">
        <v>1.43</v>
      </c>
      <c r="J192" s="369">
        <v>1.5</v>
      </c>
      <c r="K192" s="369">
        <v>1.56</v>
      </c>
      <c r="L192" s="369">
        <v>1.62</v>
      </c>
      <c r="M192" s="369">
        <v>1.67</v>
      </c>
      <c r="N192" s="369">
        <v>1.71</v>
      </c>
      <c r="O192" s="369">
        <v>1.75</v>
      </c>
      <c r="P192" s="369">
        <v>1.78</v>
      </c>
      <c r="Q192" s="369">
        <v>1.79</v>
      </c>
      <c r="R192" s="369">
        <v>1.8</v>
      </c>
      <c r="S192" s="369">
        <v>1.81</v>
      </c>
      <c r="T192" s="369">
        <v>1.82</v>
      </c>
      <c r="U192" s="369">
        <v>1.83</v>
      </c>
      <c r="V192" s="369">
        <v>1.82</v>
      </c>
      <c r="W192" s="369">
        <v>1.82</v>
      </c>
      <c r="X192" s="369">
        <v>1.81</v>
      </c>
      <c r="Y192" s="369">
        <v>1.8</v>
      </c>
      <c r="Z192" s="369">
        <v>1.8</v>
      </c>
      <c r="AA192" s="369">
        <v>1.79</v>
      </c>
      <c r="AB192" s="369">
        <v>1.77</v>
      </c>
      <c r="AC192" s="369">
        <v>1.76</v>
      </c>
      <c r="AD192" s="369">
        <v>1.75</v>
      </c>
      <c r="AE192" s="369">
        <v>1.74</v>
      </c>
      <c r="AF192" s="369">
        <v>1.73</v>
      </c>
      <c r="AG192" s="369">
        <v>1.72</v>
      </c>
      <c r="AH192" s="369">
        <v>1.71</v>
      </c>
      <c r="AI192" s="369">
        <v>1.7</v>
      </c>
      <c r="AJ192" s="369">
        <v>1.69</v>
      </c>
      <c r="AK192" s="369">
        <v>1.68</v>
      </c>
      <c r="AL192" s="369">
        <v>1.67</v>
      </c>
      <c r="AM192" s="369">
        <v>1.66</v>
      </c>
      <c r="AN192" s="369">
        <v>1.65</v>
      </c>
      <c r="AO192" s="369">
        <v>1.64</v>
      </c>
      <c r="AP192" s="369">
        <v>1.63</v>
      </c>
      <c r="AQ192" s="369">
        <v>1.62</v>
      </c>
      <c r="AR192" s="369">
        <v>1.61</v>
      </c>
      <c r="AS192" s="369">
        <v>1.6</v>
      </c>
      <c r="AT192" s="369">
        <v>1.59</v>
      </c>
      <c r="AU192" s="369">
        <v>1.58</v>
      </c>
      <c r="AV192" s="369">
        <v>1.57</v>
      </c>
      <c r="AW192" s="369">
        <v>1.57</v>
      </c>
      <c r="AX192" s="369">
        <v>1.56</v>
      </c>
      <c r="AY192" s="369">
        <v>1.55</v>
      </c>
    </row>
    <row r="193" spans="1:51">
      <c r="A193" s="794">
        <v>45382</v>
      </c>
      <c r="B193" s="369">
        <v>1.1299999999999999</v>
      </c>
      <c r="C193" s="369">
        <v>1.1499999999999999</v>
      </c>
      <c r="D193" s="369">
        <v>1.18</v>
      </c>
      <c r="E193" s="369">
        <v>1.22</v>
      </c>
      <c r="F193" s="369">
        <v>1.27</v>
      </c>
      <c r="G193" s="369">
        <v>1.33</v>
      </c>
      <c r="H193" s="369">
        <v>1.39</v>
      </c>
      <c r="I193" s="369">
        <v>1.46</v>
      </c>
      <c r="J193" s="369">
        <v>1.52</v>
      </c>
      <c r="K193" s="369">
        <v>1.58</v>
      </c>
      <c r="L193" s="369">
        <v>1.64</v>
      </c>
      <c r="M193" s="369">
        <v>1.69</v>
      </c>
      <c r="N193" s="369">
        <v>1.73</v>
      </c>
      <c r="O193" s="369">
        <v>1.77</v>
      </c>
      <c r="P193" s="369">
        <v>1.8</v>
      </c>
      <c r="Q193" s="369">
        <v>1.81</v>
      </c>
      <c r="R193" s="369">
        <v>1.82</v>
      </c>
      <c r="S193" s="369">
        <v>1.83</v>
      </c>
      <c r="T193" s="369">
        <v>1.84</v>
      </c>
      <c r="U193" s="369">
        <v>1.85</v>
      </c>
      <c r="V193" s="369">
        <v>1.84</v>
      </c>
      <c r="W193" s="369">
        <v>1.83</v>
      </c>
      <c r="X193" s="369">
        <v>1.82</v>
      </c>
      <c r="Y193" s="369">
        <v>1.82</v>
      </c>
      <c r="Z193" s="369">
        <v>1.81</v>
      </c>
      <c r="AA193" s="369">
        <v>1.8</v>
      </c>
      <c r="AB193" s="369">
        <v>1.79</v>
      </c>
      <c r="AC193" s="369">
        <v>1.77</v>
      </c>
      <c r="AD193" s="369">
        <v>1.76</v>
      </c>
      <c r="AE193" s="369">
        <v>1.75</v>
      </c>
      <c r="AF193" s="369">
        <v>1.74</v>
      </c>
      <c r="AG193" s="369">
        <v>1.73</v>
      </c>
      <c r="AH193" s="369">
        <v>1.72</v>
      </c>
      <c r="AI193" s="369">
        <v>1.71</v>
      </c>
      <c r="AJ193" s="369">
        <v>1.69</v>
      </c>
      <c r="AK193" s="369">
        <v>1.69</v>
      </c>
      <c r="AL193" s="369">
        <v>1.68</v>
      </c>
      <c r="AM193" s="369">
        <v>1.67</v>
      </c>
      <c r="AN193" s="369">
        <v>1.66</v>
      </c>
      <c r="AO193" s="369">
        <v>1.65</v>
      </c>
      <c r="AP193" s="369">
        <v>1.64</v>
      </c>
      <c r="AQ193" s="369">
        <v>1.63</v>
      </c>
      <c r="AR193" s="369">
        <v>1.62</v>
      </c>
      <c r="AS193" s="369">
        <v>1.61</v>
      </c>
      <c r="AT193" s="369">
        <v>1.6</v>
      </c>
      <c r="AU193" s="369">
        <v>1.59</v>
      </c>
      <c r="AV193" s="369">
        <v>1.58</v>
      </c>
      <c r="AW193" s="369">
        <v>1.57</v>
      </c>
      <c r="AX193" s="369">
        <v>1.56</v>
      </c>
      <c r="AY193" s="369">
        <v>1.56</v>
      </c>
    </row>
    <row r="194" spans="1:51">
      <c r="A194" s="794">
        <v>45412</v>
      </c>
      <c r="B194" s="369">
        <v>1.17</v>
      </c>
      <c r="C194" s="369">
        <v>1.19</v>
      </c>
      <c r="D194" s="369">
        <v>1.21</v>
      </c>
      <c r="E194" s="369">
        <v>1.26</v>
      </c>
      <c r="F194" s="369">
        <v>1.31</v>
      </c>
      <c r="G194" s="369">
        <v>1.37</v>
      </c>
      <c r="H194" s="369">
        <v>1.42</v>
      </c>
      <c r="I194" s="369">
        <v>1.49</v>
      </c>
      <c r="J194" s="369">
        <v>1.55</v>
      </c>
      <c r="K194" s="369">
        <v>1.61</v>
      </c>
      <c r="L194" s="369">
        <v>1.66</v>
      </c>
      <c r="M194" s="369">
        <v>1.71</v>
      </c>
      <c r="N194" s="369">
        <v>1.75</v>
      </c>
      <c r="O194" s="369">
        <v>1.79</v>
      </c>
      <c r="P194" s="369">
        <v>1.82</v>
      </c>
      <c r="Q194" s="369">
        <v>1.83</v>
      </c>
      <c r="R194" s="369">
        <v>1.84</v>
      </c>
      <c r="S194" s="369">
        <v>1.85</v>
      </c>
      <c r="T194" s="369">
        <v>1.86</v>
      </c>
      <c r="U194" s="369">
        <v>1.86</v>
      </c>
      <c r="V194" s="369">
        <v>1.85</v>
      </c>
      <c r="W194" s="369">
        <v>1.85</v>
      </c>
      <c r="X194" s="369">
        <v>1.84</v>
      </c>
      <c r="Y194" s="369">
        <v>1.83</v>
      </c>
      <c r="Z194" s="369">
        <v>1.83</v>
      </c>
      <c r="AA194" s="369">
        <v>1.81</v>
      </c>
      <c r="AB194" s="369">
        <v>1.8</v>
      </c>
      <c r="AC194" s="369">
        <v>1.79</v>
      </c>
      <c r="AD194" s="369">
        <v>1.78</v>
      </c>
      <c r="AE194" s="369">
        <v>1.77</v>
      </c>
      <c r="AF194" s="369">
        <v>1.75</v>
      </c>
      <c r="AG194" s="369">
        <v>1.74</v>
      </c>
      <c r="AH194" s="369">
        <v>1.73</v>
      </c>
      <c r="AI194" s="369">
        <v>1.72</v>
      </c>
      <c r="AJ194" s="369">
        <v>1.71</v>
      </c>
      <c r="AK194" s="369">
        <v>1.7</v>
      </c>
      <c r="AL194" s="369">
        <v>1.69</v>
      </c>
      <c r="AM194" s="369">
        <v>1.68</v>
      </c>
      <c r="AN194" s="369">
        <v>1.67</v>
      </c>
      <c r="AO194" s="369">
        <v>1.66</v>
      </c>
      <c r="AP194" s="369">
        <v>1.65</v>
      </c>
      <c r="AQ194" s="369">
        <v>1.64</v>
      </c>
      <c r="AR194" s="369">
        <v>1.63</v>
      </c>
      <c r="AS194" s="369">
        <v>1.62</v>
      </c>
      <c r="AT194" s="369">
        <v>1.61</v>
      </c>
      <c r="AU194" s="369">
        <v>1.6</v>
      </c>
      <c r="AV194" s="369">
        <v>1.59</v>
      </c>
      <c r="AW194" s="369">
        <v>1.58</v>
      </c>
      <c r="AX194" s="369">
        <v>1.57</v>
      </c>
      <c r="AY194" s="369">
        <v>1.57</v>
      </c>
    </row>
    <row r="195" spans="1:51">
      <c r="A195" s="118"/>
    </row>
    <row r="196" spans="1:51">
      <c r="A196" s="119"/>
    </row>
    <row r="197" spans="1:51">
      <c r="A197" s="118"/>
    </row>
    <row r="198" spans="1:51">
      <c r="A198" s="119"/>
    </row>
    <row r="199" spans="1:51">
      <c r="A199" s="118"/>
    </row>
    <row r="200" spans="1:51">
      <c r="A200" s="119"/>
    </row>
    <row r="201" spans="1:51">
      <c r="A201" s="118"/>
    </row>
    <row r="202" spans="1:51">
      <c r="A202" s="119"/>
    </row>
    <row r="203" spans="1:51">
      <c r="A203" s="118"/>
    </row>
    <row r="204" spans="1:51">
      <c r="A204" s="119"/>
    </row>
    <row r="205" spans="1:51">
      <c r="A205" s="118"/>
    </row>
    <row r="206" spans="1:51">
      <c r="A206" s="119"/>
    </row>
    <row r="207" spans="1:51">
      <c r="A207" s="118"/>
    </row>
    <row r="208" spans="1:51">
      <c r="A208" s="119"/>
    </row>
    <row r="209" spans="1:1">
      <c r="A209" s="118"/>
    </row>
    <row r="210" spans="1:1">
      <c r="A210" s="119"/>
    </row>
    <row r="211" spans="1:1">
      <c r="A211" s="118"/>
    </row>
    <row r="212" spans="1:1">
      <c r="A212" s="119"/>
    </row>
    <row r="213" spans="1:1">
      <c r="A213" s="118"/>
    </row>
    <row r="214" spans="1:1">
      <c r="A214" s="119"/>
    </row>
    <row r="215" spans="1:1">
      <c r="A215" s="118"/>
    </row>
    <row r="216" spans="1:1">
      <c r="A216" s="119"/>
    </row>
    <row r="217" spans="1:1">
      <c r="A217" s="118"/>
    </row>
    <row r="218" spans="1:1">
      <c r="A218" s="119"/>
    </row>
    <row r="219" spans="1:1">
      <c r="A219" s="118"/>
    </row>
    <row r="220" spans="1:1">
      <c r="A220" s="119"/>
    </row>
    <row r="221" spans="1:1">
      <c r="A221" s="118"/>
    </row>
    <row r="222" spans="1:1">
      <c r="A222" s="119"/>
    </row>
    <row r="223" spans="1:1">
      <c r="A223" s="118"/>
    </row>
    <row r="224" spans="1:1">
      <c r="A224" s="119"/>
    </row>
    <row r="225" spans="1:1">
      <c r="A225" s="118"/>
    </row>
    <row r="226" spans="1:1">
      <c r="A226" s="119"/>
    </row>
    <row r="227" spans="1:1">
      <c r="A227" s="118"/>
    </row>
    <row r="228" spans="1:1">
      <c r="A228" s="119"/>
    </row>
    <row r="229" spans="1:1">
      <c r="A229" s="118"/>
    </row>
    <row r="230" spans="1:1">
      <c r="A230" s="119"/>
    </row>
    <row r="231" spans="1:1">
      <c r="A231" s="118"/>
    </row>
    <row r="232" spans="1:1">
      <c r="A232" s="119"/>
    </row>
    <row r="233" spans="1:1">
      <c r="A233" s="118"/>
    </row>
    <row r="234" spans="1:1">
      <c r="A234" s="119"/>
    </row>
    <row r="235" spans="1:1">
      <c r="A235" s="118"/>
    </row>
    <row r="236" spans="1:1">
      <c r="A236" s="119"/>
    </row>
    <row r="237" spans="1:1">
      <c r="A237" s="118"/>
    </row>
    <row r="238" spans="1:1">
      <c r="A238" s="119"/>
    </row>
    <row r="239" spans="1:1">
      <c r="A239" s="118"/>
    </row>
    <row r="240" spans="1:1">
      <c r="A240" s="119"/>
    </row>
    <row r="241" spans="1:1">
      <c r="A241" s="118"/>
    </row>
    <row r="242" spans="1:1">
      <c r="A242" s="119"/>
    </row>
    <row r="243" spans="1:1">
      <c r="A243" s="118"/>
    </row>
    <row r="244" spans="1:1">
      <c r="A244" s="119"/>
    </row>
    <row r="245" spans="1:1">
      <c r="A245" s="118"/>
    </row>
    <row r="246" spans="1:1">
      <c r="A246" s="119"/>
    </row>
    <row r="247" spans="1:1">
      <c r="A247" s="118"/>
    </row>
    <row r="248" spans="1:1">
      <c r="A248" s="119"/>
    </row>
    <row r="249" spans="1:1">
      <c r="A249" s="118"/>
    </row>
    <row r="250" spans="1:1">
      <c r="A250" s="119"/>
    </row>
    <row r="251" spans="1:1">
      <c r="A251" s="118"/>
    </row>
    <row r="252" spans="1:1">
      <c r="A252" s="119"/>
    </row>
    <row r="253" spans="1:1">
      <c r="A253" s="118"/>
    </row>
    <row r="254" spans="1:1">
      <c r="A254" s="119"/>
    </row>
    <row r="255" spans="1:1">
      <c r="A255" s="118"/>
    </row>
    <row r="256" spans="1:1">
      <c r="A256" s="119"/>
    </row>
    <row r="257" spans="1:1">
      <c r="A257" s="118"/>
    </row>
    <row r="258" spans="1:1">
      <c r="A258" s="119"/>
    </row>
    <row r="259" spans="1:1">
      <c r="A259" s="118"/>
    </row>
    <row r="260" spans="1:1">
      <c r="A260" s="119"/>
    </row>
    <row r="261" spans="1:1">
      <c r="A261" s="118"/>
    </row>
    <row r="262" spans="1:1">
      <c r="A262" s="119"/>
    </row>
    <row r="263" spans="1:1">
      <c r="A263" s="118"/>
    </row>
    <row r="264" spans="1:1">
      <c r="A264" s="119"/>
    </row>
    <row r="265" spans="1:1">
      <c r="A265" s="118"/>
    </row>
    <row r="266" spans="1:1">
      <c r="A266" s="119"/>
    </row>
    <row r="267" spans="1:1">
      <c r="A267" s="118"/>
    </row>
    <row r="268" spans="1:1">
      <c r="A268" s="119"/>
    </row>
    <row r="269" spans="1:1">
      <c r="A269" s="118"/>
    </row>
    <row r="270" spans="1:1">
      <c r="A270" s="119"/>
    </row>
    <row r="271" spans="1:1">
      <c r="A271" s="118"/>
    </row>
    <row r="272" spans="1:1">
      <c r="A272" s="119"/>
    </row>
    <row r="273" spans="1:1">
      <c r="A273" s="118"/>
    </row>
    <row r="274" spans="1:1">
      <c r="A274" s="119"/>
    </row>
    <row r="275" spans="1:1">
      <c r="A275" s="118"/>
    </row>
    <row r="276" spans="1:1">
      <c r="A276" s="119"/>
    </row>
    <row r="277" spans="1:1">
      <c r="A277" s="118"/>
    </row>
    <row r="278" spans="1:1">
      <c r="A278" s="119"/>
    </row>
    <row r="279" spans="1:1">
      <c r="A279" s="118"/>
    </row>
    <row r="280" spans="1:1">
      <c r="A280" s="119"/>
    </row>
    <row r="281" spans="1:1">
      <c r="A281" s="118"/>
    </row>
    <row r="282" spans="1:1">
      <c r="A282" s="119"/>
    </row>
    <row r="283" spans="1:1">
      <c r="A283" s="118"/>
    </row>
    <row r="284" spans="1:1">
      <c r="A284" s="119"/>
    </row>
    <row r="285" spans="1:1">
      <c r="A285" s="118"/>
    </row>
    <row r="286" spans="1:1">
      <c r="A286" s="119"/>
    </row>
    <row r="287" spans="1:1">
      <c r="A287" s="118"/>
    </row>
    <row r="288" spans="1:1">
      <c r="A288" s="119"/>
    </row>
    <row r="289" spans="1:1">
      <c r="A289" s="118"/>
    </row>
    <row r="290" spans="1:1">
      <c r="A290" s="119"/>
    </row>
    <row r="291" spans="1:1">
      <c r="A291" s="118"/>
    </row>
    <row r="292" spans="1:1">
      <c r="A292" s="119"/>
    </row>
    <row r="293" spans="1:1">
      <c r="A293" s="118"/>
    </row>
    <row r="294" spans="1:1">
      <c r="A294" s="119"/>
    </row>
    <row r="295" spans="1:1">
      <c r="A295" s="118"/>
    </row>
    <row r="296" spans="1:1">
      <c r="A296" s="119"/>
    </row>
    <row r="297" spans="1:1">
      <c r="A297" s="118"/>
    </row>
    <row r="298" spans="1:1">
      <c r="A298" s="119"/>
    </row>
    <row r="299" spans="1:1">
      <c r="A299" s="118"/>
    </row>
    <row r="300" spans="1:1">
      <c r="A300" s="119"/>
    </row>
    <row r="301" spans="1:1">
      <c r="A301" s="119"/>
    </row>
    <row r="302" spans="1:1">
      <c r="A302" s="119"/>
    </row>
    <row r="303" spans="1:1">
      <c r="A303" s="119"/>
    </row>
    <row r="304" spans="1:1">
      <c r="A304" s="119"/>
    </row>
    <row r="305" spans="1:1">
      <c r="A305" s="119"/>
    </row>
    <row r="306" spans="1:1">
      <c r="A306" s="119"/>
    </row>
    <row r="307" spans="1:1">
      <c r="A307" s="119"/>
    </row>
    <row r="308" spans="1:1">
      <c r="A308" s="119"/>
    </row>
    <row r="309" spans="1:1">
      <c r="A309" s="119"/>
    </row>
    <row r="310" spans="1:1">
      <c r="A310" s="119"/>
    </row>
    <row r="311" spans="1:1">
      <c r="A311" s="119"/>
    </row>
    <row r="312" spans="1:1">
      <c r="A312" s="119"/>
    </row>
    <row r="313" spans="1:1">
      <c r="A313" s="119"/>
    </row>
    <row r="314" spans="1:1">
      <c r="A314" s="119"/>
    </row>
    <row r="315" spans="1:1">
      <c r="A315" s="119"/>
    </row>
    <row r="316" spans="1:1">
      <c r="A316" s="119"/>
    </row>
    <row r="317" spans="1:1">
      <c r="A317" s="119"/>
    </row>
    <row r="318" spans="1:1">
      <c r="A318" s="119"/>
    </row>
    <row r="319" spans="1:1">
      <c r="A319" s="119"/>
    </row>
    <row r="320" spans="1:1">
      <c r="A320" s="119"/>
    </row>
    <row r="321" spans="1:1">
      <c r="A321" s="119"/>
    </row>
    <row r="322" spans="1:1">
      <c r="A322" s="119"/>
    </row>
    <row r="323" spans="1:1">
      <c r="A323" s="119"/>
    </row>
    <row r="324" spans="1:1">
      <c r="A324" s="119"/>
    </row>
    <row r="325" spans="1:1">
      <c r="A325" s="119"/>
    </row>
    <row r="326" spans="1:1">
      <c r="A326" s="119"/>
    </row>
    <row r="327" spans="1:1">
      <c r="A327" s="119"/>
    </row>
    <row r="328" spans="1:1">
      <c r="A328" s="119"/>
    </row>
    <row r="329" spans="1:1">
      <c r="A329" s="119"/>
    </row>
    <row r="330" spans="1:1">
      <c r="A330" s="119"/>
    </row>
    <row r="331" spans="1:1">
      <c r="A331" s="119"/>
    </row>
    <row r="332" spans="1:1">
      <c r="A332" s="119"/>
    </row>
    <row r="333" spans="1:1">
      <c r="A333" s="119"/>
    </row>
    <row r="334" spans="1:1">
      <c r="A334" s="119"/>
    </row>
    <row r="335" spans="1:1">
      <c r="A335" s="119"/>
    </row>
    <row r="336" spans="1:1">
      <c r="A336" s="119"/>
    </row>
    <row r="337" spans="1:1">
      <c r="A337" s="119"/>
    </row>
    <row r="338" spans="1:1">
      <c r="A338" s="119"/>
    </row>
    <row r="339" spans="1:1">
      <c r="A339" s="119"/>
    </row>
    <row r="340" spans="1:1">
      <c r="A340" s="119"/>
    </row>
    <row r="341" spans="1:1">
      <c r="A341" s="119"/>
    </row>
    <row r="342" spans="1:1">
      <c r="A342" s="119"/>
    </row>
    <row r="343" spans="1:1">
      <c r="A343" s="119"/>
    </row>
    <row r="344" spans="1:1">
      <c r="A344" s="119"/>
    </row>
    <row r="345" spans="1:1">
      <c r="A345" s="119"/>
    </row>
    <row r="346" spans="1:1">
      <c r="A346" s="119"/>
    </row>
    <row r="347" spans="1:1">
      <c r="A347" s="119"/>
    </row>
    <row r="348" spans="1:1">
      <c r="A348" s="119"/>
    </row>
    <row r="349" spans="1:1">
      <c r="A349" s="119"/>
    </row>
    <row r="350" spans="1:1">
      <c r="A350" s="119"/>
    </row>
    <row r="351" spans="1:1">
      <c r="A351" s="119"/>
    </row>
    <row r="352" spans="1:1">
      <c r="A352" s="119"/>
    </row>
    <row r="353" spans="1:1">
      <c r="A353" s="119"/>
    </row>
    <row r="354" spans="1:1">
      <c r="A354" s="119"/>
    </row>
    <row r="355" spans="1:1">
      <c r="A355" s="119"/>
    </row>
    <row r="356" spans="1:1">
      <c r="A356" s="119"/>
    </row>
    <row r="357" spans="1:1">
      <c r="A357" s="119"/>
    </row>
    <row r="358" spans="1:1">
      <c r="A358" s="119"/>
    </row>
    <row r="359" spans="1:1">
      <c r="A359" s="119"/>
    </row>
    <row r="360" spans="1:1">
      <c r="A360" s="119"/>
    </row>
    <row r="361" spans="1:1">
      <c r="A361" s="119"/>
    </row>
    <row r="362" spans="1:1">
      <c r="A362" s="119"/>
    </row>
    <row r="363" spans="1:1">
      <c r="A363" s="119"/>
    </row>
    <row r="364" spans="1:1">
      <c r="A364" s="119"/>
    </row>
    <row r="365" spans="1:1">
      <c r="A365" s="119"/>
    </row>
    <row r="366" spans="1:1">
      <c r="A366" s="119"/>
    </row>
    <row r="367" spans="1:1">
      <c r="A367" s="119"/>
    </row>
    <row r="368" spans="1:1">
      <c r="A368" s="119"/>
    </row>
    <row r="369" spans="1:1">
      <c r="A369" s="119"/>
    </row>
    <row r="370" spans="1:1">
      <c r="A370" s="119"/>
    </row>
    <row r="371" spans="1:1">
      <c r="A371" s="119"/>
    </row>
    <row r="372" spans="1:1">
      <c r="A372" s="119"/>
    </row>
  </sheetData>
  <mergeCells count="5">
    <mergeCell ref="A4:V4"/>
    <mergeCell ref="BE66:BF66"/>
    <mergeCell ref="BG66:BH66"/>
    <mergeCell ref="BD80:BE80"/>
    <mergeCell ref="BF80:BG80"/>
  </mergeCells>
  <phoneticPr fontId="47" type="noConversion"/>
  <hyperlinks>
    <hyperlink ref="A4:L4" r:id="rId1" display="http://www.bundesbank.de/Navigation/DE/Statistiken/Geld_und_Kapitalmaerkte/Zinssaetze_und_Renditen/Abzinsungssaetze/Tabellen/tabellen.html" xr:uid="{00000000-0004-0000-0200-000000000000}"/>
    <hyperlink ref="A4" r:id="rId2" xr:uid="{00000000-0004-0000-0200-000001000000}"/>
  </hyperlinks>
  <pageMargins left="0.7" right="0.7" top="0.78740157499999996" bottom="0.78740157499999996" header="0.3" footer="0.3"/>
  <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07925-1E4B-4FBE-8F39-1C9E27E35005}">
  <sheetPr codeName="Tabelle31"/>
  <dimension ref="B1:Q85"/>
  <sheetViews>
    <sheetView showGridLines="0" showRowColHeaders="0" topLeftCell="B1" zoomScale="145" zoomScaleNormal="145" workbookViewId="0">
      <selection activeCell="E3" sqref="E3:F3"/>
    </sheetView>
  </sheetViews>
  <sheetFormatPr baseColWidth="10" defaultColWidth="0" defaultRowHeight="14.25" zeroHeight="1"/>
  <cols>
    <col min="1" max="1" width="10.625" hidden="1" customWidth="1"/>
    <col min="2" max="2" width="2.75" customWidth="1"/>
    <col min="3" max="3" width="47.5" customWidth="1"/>
    <col min="4" max="4" width="12.625" customWidth="1"/>
    <col min="5" max="6" width="18.25" customWidth="1"/>
    <col min="7" max="7" width="2.75" customWidth="1"/>
    <col min="8" max="9" width="10.625" hidden="1" customWidth="1"/>
    <col min="10" max="12" width="10.625" customWidth="1"/>
    <col min="13" max="13" width="12.625" customWidth="1"/>
    <col min="14" max="14" width="11.75" customWidth="1"/>
    <col min="15" max="15" width="2.75" customWidth="1"/>
    <col min="16" max="16" width="11.75" hidden="1" customWidth="1"/>
    <col min="17" max="17" width="12.75" hidden="1" customWidth="1"/>
    <col min="18" max="16384" width="10.625" hidden="1"/>
  </cols>
  <sheetData>
    <row r="1" spans="2:17" ht="15" thickBot="1">
      <c r="B1" s="2043">
        <v>140</v>
      </c>
      <c r="C1" s="25"/>
      <c r="D1" s="25"/>
      <c r="E1" s="25"/>
      <c r="F1" s="25"/>
      <c r="G1" s="25"/>
      <c r="J1" s="25"/>
      <c r="K1" s="25"/>
      <c r="L1" s="25"/>
      <c r="M1" s="25"/>
      <c r="N1" s="25"/>
      <c r="O1" s="25"/>
    </row>
    <row r="2" spans="2:17" ht="33.75" customHeight="1">
      <c r="B2" s="25"/>
      <c r="C2" s="940" t="s">
        <v>1029</v>
      </c>
      <c r="D2" s="3305" t="s">
        <v>1028</v>
      </c>
      <c r="E2" s="3306"/>
      <c r="F2" s="3307"/>
      <c r="G2" s="25"/>
      <c r="J2" s="3331" t="s">
        <v>367</v>
      </c>
      <c r="K2" s="3332"/>
      <c r="L2" s="3332"/>
      <c r="M2" s="3332"/>
      <c r="N2" s="3333"/>
      <c r="O2" s="25"/>
    </row>
    <row r="3" spans="2:17" ht="14.25" customHeight="1">
      <c r="B3" s="338">
        <v>5</v>
      </c>
      <c r="C3" s="3340" t="s">
        <v>357</v>
      </c>
      <c r="D3" s="3341"/>
      <c r="E3" s="3342"/>
      <c r="F3" s="3343"/>
      <c r="G3" s="338">
        <v>5</v>
      </c>
      <c r="J3" s="3325" t="s">
        <v>363</v>
      </c>
      <c r="K3" s="3326"/>
      <c r="L3" s="3326"/>
      <c r="M3" s="3327"/>
      <c r="N3" s="760"/>
      <c r="O3" s="25"/>
    </row>
    <row r="4" spans="2:17">
      <c r="B4" s="338">
        <v>6</v>
      </c>
      <c r="C4" s="3340" t="str">
        <f>IF(AND(E4="",F4=""),"Ehezeitende eingeben:",IF(AND(E4="",F4&gt;0),"Ehezeitende aus Fallerfassung übernommen","Ehezeitende"))</f>
        <v>Ehezeitende eingeben:</v>
      </c>
      <c r="D4" s="3341"/>
      <c r="E4" s="669"/>
      <c r="F4" s="1288" t="str">
        <f>IF(E4&gt;0,E4,IF(Dat_EzE&gt;0,Dat_EzE,""))</f>
        <v/>
      </c>
      <c r="G4" s="338">
        <v>6</v>
      </c>
      <c r="J4" s="3325" t="s">
        <v>285</v>
      </c>
      <c r="K4" s="3326"/>
      <c r="L4" s="3326"/>
      <c r="M4" s="3327"/>
      <c r="N4" s="1192" t="str">
        <f>IF(N3="","",DATE(YEAR(N3)+65,MONTH(N3)+VLOOKUP(YEAR(N3),Regelaltersgrenze,2),DAY(N3)))</f>
        <v/>
      </c>
      <c r="O4" s="25"/>
    </row>
    <row r="5" spans="2:17">
      <c r="B5" s="338">
        <v>7</v>
      </c>
      <c r="C5" s="3340" t="s">
        <v>360</v>
      </c>
      <c r="D5" s="3341"/>
      <c r="E5" s="3347"/>
      <c r="F5" s="3348"/>
      <c r="G5" s="338">
        <v>7</v>
      </c>
      <c r="J5" s="3325" t="s">
        <v>364</v>
      </c>
      <c r="K5" s="3326"/>
      <c r="L5" s="3326"/>
      <c r="M5" s="3327"/>
      <c r="N5" s="1193" t="str">
        <f>IFERROR(YEARFRAC(F4,N4,0),"")</f>
        <v/>
      </c>
      <c r="O5" s="25"/>
    </row>
    <row r="6" spans="2:17">
      <c r="B6" s="338">
        <v>8</v>
      </c>
      <c r="C6" s="3340" t="s">
        <v>359</v>
      </c>
      <c r="D6" s="3341"/>
      <c r="E6" s="3344">
        <f ca="1">TODAY()</f>
        <v>45414</v>
      </c>
      <c r="F6" s="2731"/>
      <c r="G6" s="338">
        <v>8</v>
      </c>
      <c r="J6" s="3325" t="s">
        <v>365</v>
      </c>
      <c r="K6" s="3326"/>
      <c r="L6" s="3326"/>
      <c r="M6" s="3327"/>
      <c r="N6" s="1193" t="str">
        <f ca="1">IFERROR(YEARFRAC(E6,N4,0),"")</f>
        <v/>
      </c>
      <c r="O6" s="25"/>
    </row>
    <row r="7" spans="2:17">
      <c r="B7" s="338">
        <v>9</v>
      </c>
      <c r="C7" s="3313" t="s">
        <v>1217</v>
      </c>
      <c r="D7" s="3314"/>
      <c r="E7" s="3319" t="s">
        <v>860</v>
      </c>
      <c r="F7" s="3322" t="s">
        <v>861</v>
      </c>
      <c r="G7" s="338">
        <v>9</v>
      </c>
      <c r="J7" s="3325" t="s">
        <v>379</v>
      </c>
      <c r="K7" s="3326"/>
      <c r="L7" s="3326"/>
      <c r="M7" s="3327"/>
      <c r="N7" s="340"/>
      <c r="O7" s="25"/>
    </row>
    <row r="8" spans="2:17">
      <c r="B8" s="338">
        <v>10</v>
      </c>
      <c r="C8" s="3315"/>
      <c r="D8" s="3316"/>
      <c r="E8" s="3320"/>
      <c r="F8" s="3323"/>
      <c r="G8" s="338">
        <v>10</v>
      </c>
      <c r="J8" s="3325" t="s">
        <v>366</v>
      </c>
      <c r="K8" s="3326"/>
      <c r="L8" s="3326"/>
      <c r="M8" s="3327"/>
      <c r="N8" s="1104"/>
      <c r="O8" s="25"/>
    </row>
    <row r="9" spans="2:17" ht="14.25" customHeight="1">
      <c r="B9" s="338">
        <v>11</v>
      </c>
      <c r="C9" s="3317"/>
      <c r="D9" s="3318"/>
      <c r="E9" s="3321"/>
      <c r="F9" s="3324"/>
      <c r="G9" s="338">
        <v>11</v>
      </c>
      <c r="J9" s="3325" t="str">
        <f ca="1">IFERROR("Rechnungszins: BilMoG-7 im EzE: "&amp;TEXT(VLOOKUP(F4,BilmoGZins,16)/100,"0,00%")&amp;" / "&amp;"am "&amp;TEXT(E6,"tt.MM.JJJJ")&amp;": "&amp;TEXT(VLOOKUP(E6,BilmoGZins,16)/100,"0,00%"),"")</f>
        <v/>
      </c>
      <c r="K9" s="3326"/>
      <c r="L9" s="3326"/>
      <c r="M9" s="3327"/>
      <c r="N9" s="763"/>
      <c r="O9" s="2612"/>
    </row>
    <row r="10" spans="2:17" ht="14.25" customHeight="1">
      <c r="B10" s="338">
        <v>12</v>
      </c>
      <c r="C10" s="3353" t="s">
        <v>380</v>
      </c>
      <c r="D10" s="3354"/>
      <c r="E10" s="335"/>
      <c r="F10" s="633"/>
      <c r="G10" s="338">
        <v>12</v>
      </c>
      <c r="J10" s="3325" t="str">
        <f>"Unterhalt mon. Verrentung des Kapitals über "&amp;TEXT(N7,"0,0")&amp;" Jahre bei "&amp;TEXT(N9,"0,00%")</f>
        <v>Unterhalt mon. Verrentung des Kapitals über 0,0 Jahre bei 0,00%</v>
      </c>
      <c r="K10" s="3326"/>
      <c r="L10" s="3326"/>
      <c r="M10" s="3327"/>
      <c r="N10" s="236" t="str">
        <f>IFERROR(-PMT(N9,N7,N8)/12,"")</f>
        <v/>
      </c>
      <c r="O10" s="2612"/>
    </row>
    <row r="11" spans="2:17" ht="15" thickBot="1">
      <c r="B11" s="338">
        <v>13</v>
      </c>
      <c r="C11" s="3340" t="s">
        <v>381</v>
      </c>
      <c r="D11" s="3341"/>
      <c r="E11" s="335"/>
      <c r="F11" s="336"/>
      <c r="G11" s="338">
        <v>13</v>
      </c>
      <c r="J11" s="3328" t="str">
        <f>"monatliche Unterhaltshöhe: "&amp;TEXT(N8,"#.##0,00")&amp;" / "&amp;TEXT(N7,"0,00")&amp;" / 12: "</f>
        <v xml:space="preserve">monatliche Unterhaltshöhe: 0,00 / 0,00 / 12: </v>
      </c>
      <c r="K11" s="3329"/>
      <c r="L11" s="3329"/>
      <c r="M11" s="3330"/>
      <c r="N11" s="977" t="str">
        <f>IFERROR(+N8/N7/12,"")</f>
        <v/>
      </c>
      <c r="O11" s="2612"/>
    </row>
    <row r="12" spans="2:17">
      <c r="B12" s="338">
        <v>14</v>
      </c>
      <c r="C12" s="3340" t="str">
        <f>"./. Erwerbstätigenbonus: "&amp;IF(E5=0,"",TEXT(E5,"0/#0"))</f>
        <v xml:space="preserve">./. Erwerbstätigenbonus: </v>
      </c>
      <c r="D12" s="3341"/>
      <c r="E12" s="972">
        <f>-E11*E5</f>
        <v>0</v>
      </c>
      <c r="F12" s="987">
        <f>-F11*E5</f>
        <v>0</v>
      </c>
      <c r="G12" s="25"/>
      <c r="J12" s="3334" t="s">
        <v>368</v>
      </c>
      <c r="K12" s="3335"/>
      <c r="L12" s="3335"/>
      <c r="M12" s="3335"/>
      <c r="N12" s="3336"/>
      <c r="O12" s="2612"/>
    </row>
    <row r="13" spans="2:17" ht="15">
      <c r="B13" s="338">
        <v>15</v>
      </c>
      <c r="C13" s="3349" t="s">
        <v>361</v>
      </c>
      <c r="D13" s="3350"/>
      <c r="E13" s="1071">
        <f>+E12+E11+E10</f>
        <v>0</v>
      </c>
      <c r="F13" s="1072">
        <f>+F12+F11+F10</f>
        <v>0</v>
      </c>
      <c r="G13" s="25"/>
      <c r="J13" s="3337"/>
      <c r="K13" s="3338"/>
      <c r="L13" s="3338"/>
      <c r="M13" s="3338"/>
      <c r="N13" s="3339"/>
      <c r="O13" s="2612"/>
    </row>
    <row r="14" spans="2:17">
      <c r="B14" s="338">
        <v>16</v>
      </c>
      <c r="C14" s="3340" t="s">
        <v>309</v>
      </c>
      <c r="D14" s="3341"/>
      <c r="E14" s="3345">
        <f>ABS(E13-F13)</f>
        <v>0</v>
      </c>
      <c r="F14" s="3346"/>
      <c r="G14" s="338">
        <v>16</v>
      </c>
      <c r="J14" s="3308" t="s">
        <v>363</v>
      </c>
      <c r="K14" s="3309"/>
      <c r="L14" s="3309"/>
      <c r="M14" s="3309"/>
      <c r="N14" s="760"/>
      <c r="O14" s="2612"/>
      <c r="P14" t="s">
        <v>263</v>
      </c>
      <c r="Q14" s="15">
        <v>2</v>
      </c>
    </row>
    <row r="15" spans="2:17" ht="15">
      <c r="B15" s="338">
        <v>17</v>
      </c>
      <c r="C15" s="968" t="str">
        <f>"gesetzlicher Unterhalt: "&amp;TEXT(E14,"#.##0,00")&amp;" / 2 ="</f>
        <v>gesetzlicher Unterhalt: 0,00 / 2 =</v>
      </c>
      <c r="D15" s="337"/>
      <c r="E15" s="1071">
        <f>IF(VereinbarterUnterhalt,-D15,IF(E14&gt;F14,-E14/2,-F15))</f>
        <v>0</v>
      </c>
      <c r="F15" s="1072"/>
      <c r="G15" s="338">
        <v>17</v>
      </c>
      <c r="H15" t="s">
        <v>362</v>
      </c>
      <c r="I15" s="15" t="b">
        <v>0</v>
      </c>
      <c r="J15" s="3308" t="s">
        <v>369</v>
      </c>
      <c r="K15" s="3309"/>
      <c r="L15" s="3309"/>
      <c r="M15" s="3309"/>
      <c r="N15" s="760">
        <f ca="1">TODAY()</f>
        <v>45414</v>
      </c>
      <c r="O15" s="2612"/>
    </row>
    <row r="16" spans="2:17">
      <c r="B16" s="338">
        <v>18</v>
      </c>
      <c r="C16" s="1070" t="str">
        <f>"Saldo d. Versorgungskürzung am EzE in "&amp;IF(Euro_EP,"Euro: ","EP: ")</f>
        <v xml:space="preserve">Saldo d. Versorgungskürzung am EzE in Euro: </v>
      </c>
      <c r="D16" s="334"/>
      <c r="E16" s="972">
        <f>IFERROR(-D16*IF(Euro_EP,1,VLOOKUP(F4,AktuellerRentenwert,2)),"")</f>
        <v>0</v>
      </c>
      <c r="F16" s="840" t="str">
        <f>IFERROR(IF(Euro_EP=FALSE,"Kapitalwert: "&amp;TEXT(VLOOKUP(F4,EntgeltpunkteInKapital,2)*D16,"#.000,00 €"),""),"")</f>
        <v/>
      </c>
      <c r="G16" s="338">
        <v>18</v>
      </c>
      <c r="H16" t="s">
        <v>356</v>
      </c>
      <c r="I16" s="15" t="b">
        <v>1</v>
      </c>
      <c r="J16" s="3308" t="s">
        <v>285</v>
      </c>
      <c r="K16" s="3309"/>
      <c r="L16" s="3309"/>
      <c r="M16" s="3309"/>
      <c r="N16" s="1192" t="str">
        <f>IF(N14="","",DATE(YEAR(N14)+65,MONTH(N14)+VLOOKUP(YEAR(N14),Regelaltersgrenze,2),DAY(N14)))</f>
        <v/>
      </c>
      <c r="O16" s="2612"/>
    </row>
    <row r="17" spans="2:17">
      <c r="B17" s="338">
        <v>19</v>
      </c>
      <c r="C17" s="3340" t="s">
        <v>358</v>
      </c>
      <c r="D17" s="3341"/>
      <c r="E17" s="3345" t="str">
        <f>IFERROR(-VLOOKUP(YEAR(F4),MonatlicheBezugsgroesse,2)*IF(Euro_EP,0.02,2.4),"")</f>
        <v/>
      </c>
      <c r="F17" s="3346"/>
      <c r="G17" s="338">
        <v>19</v>
      </c>
      <c r="J17" s="3308" t="s">
        <v>364</v>
      </c>
      <c r="K17" s="3309"/>
      <c r="L17" s="3309"/>
      <c r="M17" s="3309"/>
      <c r="N17" s="1193" t="str">
        <f>IFERROR(YEARFRAC(F4,N4,0),"")</f>
        <v/>
      </c>
      <c r="O17" s="2612"/>
    </row>
    <row r="18" spans="2:17" ht="15">
      <c r="B18" s="338">
        <v>20</v>
      </c>
      <c r="C18" s="3340" t="s">
        <v>355</v>
      </c>
      <c r="D18" s="3341"/>
      <c r="E18" s="1071">
        <f>IF(E16&lt;0,IF(E16&gt;E17,0,MAX(E15:E16)),0)</f>
        <v>0</v>
      </c>
      <c r="F18" s="1072">
        <f>IF(F16&lt;0,IF(F15&gt;F16,-F15,F16),0)</f>
        <v>0</v>
      </c>
      <c r="G18" s="338">
        <v>20</v>
      </c>
      <c r="J18" s="3308" t="s">
        <v>365</v>
      </c>
      <c r="K18" s="3309"/>
      <c r="L18" s="3309"/>
      <c r="M18" s="3309"/>
      <c r="N18" s="1193" t="str">
        <f ca="1">IFERROR(YEARFRAC(E6,N4,0),"")</f>
        <v/>
      </c>
      <c r="O18" s="2612"/>
    </row>
    <row r="19" spans="2:17" ht="15">
      <c r="B19" s="338">
        <v>21</v>
      </c>
      <c r="C19" s="3355" t="str">
        <f>IF(E15&lt;0,IF(E18+F18&lt;=E17,"Anpassung ist möglich (§ 33 II VersAusglG)","Anpassung ist nicht möglich (§ 33 II VersAusglG)"),"")</f>
        <v/>
      </c>
      <c r="D19" s="3356"/>
      <c r="E19" s="3356"/>
      <c r="F19" s="3357"/>
      <c r="G19" s="338">
        <v>21</v>
      </c>
      <c r="J19" s="3308" t="str">
        <f ca="1">"Lebenserwartung ab Berechnungsdatum "&amp;TEXT(N15,"TT.MM.JJJJ")</f>
        <v>Lebenserwartung ab Berechnungsdatum 02.05.2024</v>
      </c>
      <c r="K19" s="3309"/>
      <c r="L19" s="3309"/>
      <c r="M19" s="3309"/>
      <c r="N19" s="1193" t="str">
        <f>IF(N14="","",ROUND(VLOOKUP(YEARFRAC(N14,N15,0),CHOOSE(Geschlecht,Lebenserwartung_M_V2,Lebenserwartung_F_V2),YEAR(N14)-1900+2),2))</f>
        <v/>
      </c>
      <c r="O19" s="25"/>
    </row>
    <row r="20" spans="2:17">
      <c r="B20" s="338">
        <v>22</v>
      </c>
      <c r="C20" s="3340" t="str">
        <f>IFERROR("Rente nach Anpassung: "&amp;TEXT(E10,"#.##0,00")&amp;" - "&amp;TEXT(ABS(E16),"#.##0,00")&amp;" + "&amp;TEXT(ABS(E18),"#.##0,00"),"")</f>
        <v>Rente nach Anpassung: 0,00 - 0,00 + 0,00</v>
      </c>
      <c r="D20" s="3341"/>
      <c r="E20" s="972">
        <f>IFERROR(+E10+E16-E18,"")</f>
        <v>0</v>
      </c>
      <c r="F20" s="970"/>
      <c r="G20" s="338">
        <v>22</v>
      </c>
      <c r="J20" s="3308" t="s">
        <v>376</v>
      </c>
      <c r="K20" s="3309"/>
      <c r="L20" s="3309"/>
      <c r="M20" s="3309"/>
      <c r="N20" s="339"/>
      <c r="O20" s="25"/>
    </row>
    <row r="21" spans="2:17">
      <c r="B21" s="338">
        <v>23</v>
      </c>
      <c r="C21" s="3340" t="str">
        <f>+C11</f>
        <v xml:space="preserve">anrechenbares Erwerbseinkommen: </v>
      </c>
      <c r="D21" s="3341"/>
      <c r="E21" s="232"/>
      <c r="F21" s="987">
        <f>+F11</f>
        <v>0</v>
      </c>
      <c r="G21" s="338">
        <v>23</v>
      </c>
      <c r="J21" s="3308" t="s">
        <v>377</v>
      </c>
      <c r="K21" s="3309"/>
      <c r="L21" s="3309"/>
      <c r="M21" s="3309"/>
      <c r="N21" s="761"/>
      <c r="O21" s="25"/>
    </row>
    <row r="22" spans="2:17">
      <c r="B22" s="338">
        <v>24</v>
      </c>
      <c r="C22" s="3340" t="str">
        <f>"./. Erwerbstätigenbonus: "&amp;IF(E5=0,"",TEXT(E5,"0/#0"))</f>
        <v xml:space="preserve">./. Erwerbstätigenbonus: </v>
      </c>
      <c r="D22" s="3341"/>
      <c r="E22" s="972">
        <f>-E21*E5</f>
        <v>0</v>
      </c>
      <c r="F22" s="987">
        <f>-F21*E5</f>
        <v>0</v>
      </c>
      <c r="G22" s="338">
        <v>24</v>
      </c>
      <c r="J22" s="3308" t="s">
        <v>378</v>
      </c>
      <c r="K22" s="3309"/>
      <c r="L22" s="3309"/>
      <c r="M22" s="3309"/>
      <c r="N22" s="762"/>
      <c r="O22" s="25"/>
    </row>
    <row r="23" spans="2:17">
      <c r="B23" s="338">
        <v>25</v>
      </c>
      <c r="C23" s="3340" t="s">
        <v>353</v>
      </c>
      <c r="D23" s="3341"/>
      <c r="E23" s="972">
        <f>IFERROR(+E22+E21+E20,"")</f>
        <v>0</v>
      </c>
      <c r="F23" s="987">
        <f>+F22+F21+F20</f>
        <v>0</v>
      </c>
      <c r="G23" s="338">
        <v>25</v>
      </c>
      <c r="J23" s="3308" t="str">
        <f ca="1">IFERROR("Rechnungszins: BilMoG-7 im EzE: "&amp;TEXT(VLOOKUP(N15,BilmoGZins,16)/100,"0,00%")&amp;" am "&amp;TEXT(N15,"tt.MM.JJJJ"),"")</f>
        <v>Rechnungszins: BilMoG-7 im EzE: 1,82% am 02.05.2024</v>
      </c>
      <c r="K23" s="3309"/>
      <c r="L23" s="3309"/>
      <c r="M23" s="3309"/>
      <c r="N23" s="762"/>
      <c r="O23" s="25"/>
    </row>
    <row r="24" spans="2:17">
      <c r="B24" s="338">
        <v>26</v>
      </c>
      <c r="C24" s="3340" t="s">
        <v>309</v>
      </c>
      <c r="D24" s="3341"/>
      <c r="E24" s="3345">
        <f>IFERROR(ABS(E23-F23),"")</f>
        <v>0</v>
      </c>
      <c r="F24" s="3346"/>
      <c r="G24" s="338">
        <v>26</v>
      </c>
      <c r="J24" s="3308" t="str">
        <f>"Abfindungsbetrag (Barwert), ReZins: "&amp;TEXT(N23,"0,00%")&amp;IF(N22&gt;0," - "&amp;TEXT(N22,"0,00%"),"")&amp;": "</f>
        <v xml:space="preserve">Abfindungsbetrag (Barwert), ReZins: 0,00%: </v>
      </c>
      <c r="K24" s="3309"/>
      <c r="L24" s="3309"/>
      <c r="M24" s="3309"/>
      <c r="N24" s="1194">
        <f>(-PV(N23-N22,N20,N21*12,0,1)+-PV(N23-N22,N20,N21*12,0,0))/2</f>
        <v>0</v>
      </c>
      <c r="O24" s="25"/>
    </row>
    <row r="25" spans="2:17" ht="15" thickBot="1">
      <c r="B25" s="338">
        <v>27</v>
      </c>
      <c r="C25" s="3351" t="s">
        <v>354</v>
      </c>
      <c r="D25" s="3352"/>
      <c r="E25" s="1073">
        <f>IFERROR(-E24/2,"")</f>
        <v>0</v>
      </c>
      <c r="F25" s="1074">
        <f>IFERROR(IF(F23&gt;E23,-E24/2,-E25),"")</f>
        <v>0</v>
      </c>
      <c r="G25" s="338">
        <v>27</v>
      </c>
      <c r="J25" s="3310" t="s">
        <v>374</v>
      </c>
      <c r="K25" s="3311"/>
      <c r="L25" s="3311"/>
      <c r="M25" s="3311"/>
      <c r="N25" s="1005">
        <f>(-PV(5.5%,N20,N21*12,0,1)+-PV(5.5%,N20,N21*12,0,0))/2</f>
        <v>0</v>
      </c>
      <c r="O25" s="25"/>
    </row>
    <row r="26" spans="2:17">
      <c r="B26" s="3312" t="s">
        <v>117</v>
      </c>
      <c r="C26" s="3312"/>
      <c r="D26" s="3312"/>
      <c r="E26" s="3312"/>
      <c r="F26" s="3312"/>
      <c r="G26" s="3312"/>
      <c r="H26" s="3312"/>
      <c r="I26" s="3312"/>
      <c r="J26" s="3312"/>
      <c r="K26" s="3312"/>
      <c r="L26" s="3312"/>
      <c r="M26" s="3312"/>
      <c r="N26" s="3312"/>
      <c r="O26" s="25"/>
    </row>
    <row r="27" spans="2:17" hidden="1">
      <c r="M27" t="s">
        <v>372</v>
      </c>
      <c r="N27">
        <f>YEAR(N14)+2-1900</f>
        <v>2</v>
      </c>
    </row>
    <row r="28" spans="2:17" hidden="1">
      <c r="M28" t="s">
        <v>371</v>
      </c>
      <c r="N28">
        <f ca="1">YEARFRAC(N14,N15,0)</f>
        <v>124.33888888888889</v>
      </c>
      <c r="P28" t="s">
        <v>375</v>
      </c>
      <c r="Q28" s="157">
        <f ca="1">SUM(Q30:Q76)</f>
        <v>0</v>
      </c>
    </row>
    <row r="29" spans="2:17" hidden="1">
      <c r="M29" t="s">
        <v>370</v>
      </c>
      <c r="N29">
        <f ca="1">VLOOKUP(N28,CHOOSE(Geschlecht,G_Kohorte_M,G_Kohorte_F),N$27)</f>
        <v>0</v>
      </c>
      <c r="P29" t="s">
        <v>373</v>
      </c>
    </row>
    <row r="30" spans="2:17" hidden="1">
      <c r="M30">
        <v>1</v>
      </c>
      <c r="N30">
        <f t="shared" ref="N30:N76" ca="1" si="0">IFERROR(VLOOKUP(N$28+M30,CHOOSE(Geschlecht,G_Kohorte_M,G_Kohorte_F),N$27),0)</f>
        <v>0</v>
      </c>
      <c r="P30" s="149" t="e">
        <f t="shared" ref="P30:P76" ca="1" si="1">+N30/N$29</f>
        <v>#DIV/0!</v>
      </c>
      <c r="Q30" s="157">
        <f ca="1">IFERROR(-PV(N$23-N$22,M30,,N$21*12*IF(AND(N$20&gt;INT(N$20),INT(N$20)+1=M30),#REF!-INT(#REF!),1),P30),0)</f>
        <v>0</v>
      </c>
    </row>
    <row r="31" spans="2:17" hidden="1">
      <c r="M31" t="str">
        <f t="shared" ref="M31:M76" si="2">IF(N$20&gt;M30,M30+1,"")</f>
        <v/>
      </c>
      <c r="N31">
        <f t="shared" ca="1" si="0"/>
        <v>0</v>
      </c>
      <c r="P31" s="149" t="e">
        <f t="shared" ca="1" si="1"/>
        <v>#DIV/0!</v>
      </c>
      <c r="Q31" s="157">
        <f ca="1">IFERROR(-PV(N$23-N$22,M31,,N$21*12*IF(AND(N$20&gt;INT(N$20),INT(N$20)+1=M31),#REF!-INT(#REF!),1),P31),0)</f>
        <v>0</v>
      </c>
    </row>
    <row r="32" spans="2:17" hidden="1">
      <c r="M32" t="str">
        <f t="shared" si="2"/>
        <v/>
      </c>
      <c r="N32">
        <f t="shared" ca="1" si="0"/>
        <v>0</v>
      </c>
      <c r="P32" s="149" t="e">
        <f t="shared" ca="1" si="1"/>
        <v>#DIV/0!</v>
      </c>
      <c r="Q32" s="157">
        <f ca="1">IFERROR(-PV(N$23-N$22,M32,,N$21*12*IF(AND(N$20&gt;INT(N$20),INT(N$20)+1=M32),#REF!-INT(#REF!),1),P32),0)</f>
        <v>0</v>
      </c>
    </row>
    <row r="33" spans="13:17" hidden="1">
      <c r="M33" t="str">
        <f t="shared" si="2"/>
        <v/>
      </c>
      <c r="N33">
        <f t="shared" ca="1" si="0"/>
        <v>0</v>
      </c>
      <c r="P33" s="149" t="e">
        <f t="shared" ca="1" si="1"/>
        <v>#DIV/0!</v>
      </c>
      <c r="Q33" s="157">
        <f ca="1">IFERROR(-PV(N$23-N$22,M33,,N$21*12*IF(AND(N$20&gt;INT(N$20),INT(N$20)+1=M33),#REF!-INT(#REF!),1),P33),0)</f>
        <v>0</v>
      </c>
    </row>
    <row r="34" spans="13:17" hidden="1">
      <c r="M34" t="str">
        <f t="shared" si="2"/>
        <v/>
      </c>
      <c r="N34">
        <f t="shared" ca="1" si="0"/>
        <v>0</v>
      </c>
      <c r="P34" s="149" t="e">
        <f t="shared" ca="1" si="1"/>
        <v>#DIV/0!</v>
      </c>
      <c r="Q34" s="157">
        <f t="shared" ref="Q34:Q59" ca="1" si="3">IFERROR(-PV(N$23-N$22,M34,,N$21*12*IF(AND(N$20&gt;INT(N$20),INT(N$20)+1=M34),$N1-INT(N1),1),P34),0)</f>
        <v>0</v>
      </c>
    </row>
    <row r="35" spans="13:17" hidden="1">
      <c r="M35" t="str">
        <f t="shared" si="2"/>
        <v/>
      </c>
      <c r="N35">
        <f t="shared" ca="1" si="0"/>
        <v>0</v>
      </c>
      <c r="P35" s="149" t="e">
        <f t="shared" ca="1" si="1"/>
        <v>#DIV/0!</v>
      </c>
      <c r="Q35" s="157">
        <f t="shared" ca="1" si="3"/>
        <v>0</v>
      </c>
    </row>
    <row r="36" spans="13:17" hidden="1">
      <c r="M36" t="str">
        <f t="shared" si="2"/>
        <v/>
      </c>
      <c r="N36">
        <f t="shared" ca="1" si="0"/>
        <v>0</v>
      </c>
      <c r="P36" s="149" t="e">
        <f t="shared" ca="1" si="1"/>
        <v>#DIV/0!</v>
      </c>
      <c r="Q36" s="157">
        <f t="shared" ca="1" si="3"/>
        <v>0</v>
      </c>
    </row>
    <row r="37" spans="13:17" hidden="1">
      <c r="M37" t="str">
        <f t="shared" si="2"/>
        <v/>
      </c>
      <c r="N37">
        <f t="shared" ca="1" si="0"/>
        <v>0</v>
      </c>
      <c r="P37" s="149" t="e">
        <f t="shared" ca="1" si="1"/>
        <v>#DIV/0!</v>
      </c>
      <c r="Q37" s="157">
        <f t="shared" ca="1" si="3"/>
        <v>0</v>
      </c>
    </row>
    <row r="38" spans="13:17" hidden="1">
      <c r="M38" t="str">
        <f t="shared" si="2"/>
        <v/>
      </c>
      <c r="N38">
        <f t="shared" ca="1" si="0"/>
        <v>0</v>
      </c>
      <c r="P38" s="149" t="e">
        <f t="shared" ca="1" si="1"/>
        <v>#DIV/0!</v>
      </c>
      <c r="Q38" s="157">
        <f t="shared" ca="1" si="3"/>
        <v>0</v>
      </c>
    </row>
    <row r="39" spans="13:17" hidden="1">
      <c r="M39" t="str">
        <f t="shared" si="2"/>
        <v/>
      </c>
      <c r="N39">
        <f t="shared" ca="1" si="0"/>
        <v>0</v>
      </c>
      <c r="P39" s="149" t="e">
        <f t="shared" ca="1" si="1"/>
        <v>#DIV/0!</v>
      </c>
      <c r="Q39" s="157">
        <f t="shared" ca="1" si="3"/>
        <v>0</v>
      </c>
    </row>
    <row r="40" spans="13:17" hidden="1">
      <c r="M40" t="str">
        <f t="shared" si="2"/>
        <v/>
      </c>
      <c r="N40">
        <f t="shared" ca="1" si="0"/>
        <v>0</v>
      </c>
      <c r="P40" s="149" t="e">
        <f t="shared" ca="1" si="1"/>
        <v>#DIV/0!</v>
      </c>
      <c r="Q40" s="157">
        <f t="shared" ca="1" si="3"/>
        <v>0</v>
      </c>
    </row>
    <row r="41" spans="13:17" hidden="1">
      <c r="M41" t="str">
        <f t="shared" si="2"/>
        <v/>
      </c>
      <c r="N41">
        <f t="shared" ca="1" si="0"/>
        <v>0</v>
      </c>
      <c r="P41" s="149" t="e">
        <f t="shared" ca="1" si="1"/>
        <v>#DIV/0!</v>
      </c>
      <c r="Q41" s="157">
        <f t="shared" ca="1" si="3"/>
        <v>0</v>
      </c>
    </row>
    <row r="42" spans="13:17" hidden="1">
      <c r="M42" t="str">
        <f t="shared" si="2"/>
        <v/>
      </c>
      <c r="N42">
        <f t="shared" ca="1" si="0"/>
        <v>0</v>
      </c>
      <c r="P42" s="149" t="e">
        <f t="shared" ca="1" si="1"/>
        <v>#DIV/0!</v>
      </c>
      <c r="Q42" s="157">
        <f t="shared" ca="1" si="3"/>
        <v>0</v>
      </c>
    </row>
    <row r="43" spans="13:17" hidden="1">
      <c r="M43" t="str">
        <f t="shared" si="2"/>
        <v/>
      </c>
      <c r="N43">
        <f t="shared" ca="1" si="0"/>
        <v>0</v>
      </c>
      <c r="P43" s="149" t="e">
        <f t="shared" ca="1" si="1"/>
        <v>#DIV/0!</v>
      </c>
      <c r="Q43" s="157">
        <f t="shared" ca="1" si="3"/>
        <v>0</v>
      </c>
    </row>
    <row r="44" spans="13:17" hidden="1">
      <c r="M44" t="str">
        <f t="shared" si="2"/>
        <v/>
      </c>
      <c r="N44">
        <f t="shared" ca="1" si="0"/>
        <v>0</v>
      </c>
      <c r="P44" s="149" t="e">
        <f t="shared" ca="1" si="1"/>
        <v>#DIV/0!</v>
      </c>
      <c r="Q44" s="157">
        <f t="shared" ca="1" si="3"/>
        <v>0</v>
      </c>
    </row>
    <row r="45" spans="13:17" hidden="1">
      <c r="M45" t="str">
        <f t="shared" si="2"/>
        <v/>
      </c>
      <c r="N45">
        <f t="shared" ca="1" si="0"/>
        <v>0</v>
      </c>
      <c r="P45" s="149" t="e">
        <f t="shared" ca="1" si="1"/>
        <v>#DIV/0!</v>
      </c>
      <c r="Q45" s="157">
        <f t="shared" ca="1" si="3"/>
        <v>0</v>
      </c>
    </row>
    <row r="46" spans="13:17" hidden="1">
      <c r="M46" t="str">
        <f t="shared" si="2"/>
        <v/>
      </c>
      <c r="N46">
        <f t="shared" ca="1" si="0"/>
        <v>0</v>
      </c>
      <c r="P46" s="149" t="e">
        <f t="shared" ca="1" si="1"/>
        <v>#DIV/0!</v>
      </c>
      <c r="Q46" s="157">
        <f t="shared" ca="1" si="3"/>
        <v>0</v>
      </c>
    </row>
    <row r="47" spans="13:17" hidden="1">
      <c r="M47" t="str">
        <f t="shared" si="2"/>
        <v/>
      </c>
      <c r="N47">
        <f t="shared" ca="1" si="0"/>
        <v>0</v>
      </c>
      <c r="P47" s="149" t="e">
        <f t="shared" ca="1" si="1"/>
        <v>#DIV/0!</v>
      </c>
      <c r="Q47" s="157">
        <f t="shared" ca="1" si="3"/>
        <v>0</v>
      </c>
    </row>
    <row r="48" spans="13:17" hidden="1">
      <c r="M48" t="str">
        <f t="shared" si="2"/>
        <v/>
      </c>
      <c r="N48">
        <f t="shared" ca="1" si="0"/>
        <v>0</v>
      </c>
      <c r="P48" s="149" t="e">
        <f t="shared" ca="1" si="1"/>
        <v>#DIV/0!</v>
      </c>
      <c r="Q48" s="157">
        <f t="shared" ca="1" si="3"/>
        <v>0</v>
      </c>
    </row>
    <row r="49" spans="13:17" hidden="1">
      <c r="M49" t="str">
        <f t="shared" si="2"/>
        <v/>
      </c>
      <c r="N49">
        <f t="shared" ca="1" si="0"/>
        <v>0</v>
      </c>
      <c r="P49" s="149" t="e">
        <f t="shared" ca="1" si="1"/>
        <v>#DIV/0!</v>
      </c>
      <c r="Q49" s="157">
        <f t="shared" ca="1" si="3"/>
        <v>0</v>
      </c>
    </row>
    <row r="50" spans="13:17" hidden="1">
      <c r="M50" t="str">
        <f t="shared" si="2"/>
        <v/>
      </c>
      <c r="N50">
        <f t="shared" ca="1" si="0"/>
        <v>0</v>
      </c>
      <c r="P50" s="149" t="e">
        <f t="shared" ca="1" si="1"/>
        <v>#DIV/0!</v>
      </c>
      <c r="Q50" s="157">
        <f t="shared" ca="1" si="3"/>
        <v>0</v>
      </c>
    </row>
    <row r="51" spans="13:17" hidden="1">
      <c r="M51" t="str">
        <f t="shared" si="2"/>
        <v/>
      </c>
      <c r="N51">
        <f t="shared" ca="1" si="0"/>
        <v>0</v>
      </c>
      <c r="P51" s="149" t="e">
        <f t="shared" ca="1" si="1"/>
        <v>#DIV/0!</v>
      </c>
      <c r="Q51" s="157">
        <f t="shared" ca="1" si="3"/>
        <v>0</v>
      </c>
    </row>
    <row r="52" spans="13:17" hidden="1">
      <c r="M52" t="str">
        <f t="shared" si="2"/>
        <v/>
      </c>
      <c r="N52">
        <f t="shared" ca="1" si="0"/>
        <v>0</v>
      </c>
      <c r="P52" s="149" t="e">
        <f t="shared" ca="1" si="1"/>
        <v>#DIV/0!</v>
      </c>
      <c r="Q52" s="157">
        <f t="shared" ca="1" si="3"/>
        <v>0</v>
      </c>
    </row>
    <row r="53" spans="13:17" hidden="1">
      <c r="M53" t="str">
        <f t="shared" si="2"/>
        <v/>
      </c>
      <c r="N53">
        <f t="shared" ca="1" si="0"/>
        <v>0</v>
      </c>
      <c r="P53" s="149" t="e">
        <f t="shared" ca="1" si="1"/>
        <v>#DIV/0!</v>
      </c>
      <c r="Q53" s="157">
        <f t="shared" ca="1" si="3"/>
        <v>0</v>
      </c>
    </row>
    <row r="54" spans="13:17" hidden="1">
      <c r="M54" t="str">
        <f t="shared" si="2"/>
        <v/>
      </c>
      <c r="N54">
        <f t="shared" ca="1" si="0"/>
        <v>0</v>
      </c>
      <c r="P54" s="149" t="e">
        <f t="shared" ca="1" si="1"/>
        <v>#DIV/0!</v>
      </c>
      <c r="Q54" s="157">
        <f t="shared" ca="1" si="3"/>
        <v>0</v>
      </c>
    </row>
    <row r="55" spans="13:17" hidden="1">
      <c r="M55" t="str">
        <f t="shared" si="2"/>
        <v/>
      </c>
      <c r="N55">
        <f t="shared" ca="1" si="0"/>
        <v>0</v>
      </c>
      <c r="P55" s="149" t="e">
        <f t="shared" ca="1" si="1"/>
        <v>#DIV/0!</v>
      </c>
      <c r="Q55" s="157">
        <f t="shared" ca="1" si="3"/>
        <v>0</v>
      </c>
    </row>
    <row r="56" spans="13:17" hidden="1">
      <c r="M56" t="str">
        <f t="shared" si="2"/>
        <v/>
      </c>
      <c r="N56">
        <f t="shared" ca="1" si="0"/>
        <v>0</v>
      </c>
      <c r="P56" s="149" t="e">
        <f t="shared" ca="1" si="1"/>
        <v>#DIV/0!</v>
      </c>
      <c r="Q56" s="157">
        <f t="shared" ca="1" si="3"/>
        <v>0</v>
      </c>
    </row>
    <row r="57" spans="13:17" hidden="1">
      <c r="M57" t="str">
        <f t="shared" si="2"/>
        <v/>
      </c>
      <c r="N57">
        <f t="shared" ca="1" si="0"/>
        <v>0</v>
      </c>
      <c r="P57" s="149" t="e">
        <f t="shared" ca="1" si="1"/>
        <v>#DIV/0!</v>
      </c>
      <c r="Q57" s="157">
        <f t="shared" ca="1" si="3"/>
        <v>0</v>
      </c>
    </row>
    <row r="58" spans="13:17" hidden="1">
      <c r="M58" t="str">
        <f t="shared" si="2"/>
        <v/>
      </c>
      <c r="N58">
        <f t="shared" ca="1" si="0"/>
        <v>0</v>
      </c>
      <c r="P58" s="149" t="e">
        <f t="shared" ca="1" si="1"/>
        <v>#DIV/0!</v>
      </c>
      <c r="Q58" s="157">
        <f t="shared" ca="1" si="3"/>
        <v>0</v>
      </c>
    </row>
    <row r="59" spans="13:17" hidden="1">
      <c r="M59" t="str">
        <f t="shared" si="2"/>
        <v/>
      </c>
      <c r="N59">
        <f t="shared" ca="1" si="0"/>
        <v>0</v>
      </c>
      <c r="P59" s="149" t="e">
        <f t="shared" ca="1" si="1"/>
        <v>#DIV/0!</v>
      </c>
      <c r="Q59" s="157">
        <f t="shared" ca="1" si="3"/>
        <v>0</v>
      </c>
    </row>
    <row r="60" spans="13:17" hidden="1">
      <c r="M60" t="str">
        <f t="shared" si="2"/>
        <v/>
      </c>
      <c r="N60">
        <f t="shared" ca="1" si="0"/>
        <v>0</v>
      </c>
      <c r="P60" s="149" t="e">
        <f t="shared" ca="1" si="1"/>
        <v>#DIV/0!</v>
      </c>
      <c r="Q60" s="157">
        <f ca="1">IFERROR(-PV(N$23-N$22,M60,,N$21*12*IF(AND(N$20&gt;INT(N$20),INT(N$20)+1=M60),#REF!-INT(#REF!),1),P60),0)</f>
        <v>0</v>
      </c>
    </row>
    <row r="61" spans="13:17" hidden="1">
      <c r="M61" t="str">
        <f t="shared" si="2"/>
        <v/>
      </c>
      <c r="N61">
        <f t="shared" ca="1" si="0"/>
        <v>0</v>
      </c>
      <c r="P61" s="149" t="e">
        <f t="shared" ca="1" si="1"/>
        <v>#DIV/0!</v>
      </c>
      <c r="Q61" s="157">
        <f ca="1">IFERROR(-PV(N$23-N$22,M61,,N$21*12*IF(AND(N$20&gt;INT(N$20),INT(N$20)+1=M61),#REF!-INT(#REF!),1),P61),0)</f>
        <v>0</v>
      </c>
    </row>
    <row r="62" spans="13:17" hidden="1">
      <c r="M62" t="str">
        <f t="shared" si="2"/>
        <v/>
      </c>
      <c r="N62">
        <f t="shared" ca="1" si="0"/>
        <v>0</v>
      </c>
      <c r="P62" s="149" t="e">
        <f t="shared" ca="1" si="1"/>
        <v>#DIV/0!</v>
      </c>
      <c r="Q62" s="157">
        <f ca="1">IFERROR(-PV(N$23-N$22,M62,,N$21*12*IF(AND(N$20&gt;INT(N$20),INT(N$20)+1=M62),#REF!-INT(#REF!),1),P62),0)</f>
        <v>0</v>
      </c>
    </row>
    <row r="63" spans="13:17" hidden="1">
      <c r="M63" t="str">
        <f t="shared" si="2"/>
        <v/>
      </c>
      <c r="N63">
        <f t="shared" ca="1" si="0"/>
        <v>0</v>
      </c>
      <c r="P63" s="149" t="e">
        <f t="shared" ca="1" si="1"/>
        <v>#DIV/0!</v>
      </c>
      <c r="Q63" s="157">
        <f ca="1">IFERROR(-PV(N$23-N$22,M63,,N$21*12*IF(AND(N$20&gt;INT(N$20),INT(N$20)+1=M63),#REF!-INT(#REF!),1),P63),0)</f>
        <v>0</v>
      </c>
    </row>
    <row r="64" spans="13:17" hidden="1">
      <c r="M64" t="str">
        <f t="shared" si="2"/>
        <v/>
      </c>
      <c r="N64">
        <f t="shared" ca="1" si="0"/>
        <v>0</v>
      </c>
      <c r="P64" s="149" t="e">
        <f t="shared" ca="1" si="1"/>
        <v>#DIV/0!</v>
      </c>
      <c r="Q64" s="157">
        <f ca="1">IFERROR(-PV(N$23-N$22,M64,,N$21*12*IF(AND(N$20&gt;INT(N$20),INT(N$20)+1=M64),#REF!-INT(#REF!),1),P64),0)</f>
        <v>0</v>
      </c>
    </row>
    <row r="65" spans="13:17" hidden="1">
      <c r="M65" t="str">
        <f t="shared" si="2"/>
        <v/>
      </c>
      <c r="N65">
        <f t="shared" ca="1" si="0"/>
        <v>0</v>
      </c>
      <c r="P65" s="149" t="e">
        <f t="shared" ca="1" si="1"/>
        <v>#DIV/0!</v>
      </c>
      <c r="Q65" s="157">
        <f ca="1">IFERROR(-PV(N$23-N$22,M65,,N$21*12*IF(AND(N$20&gt;INT(N$20),INT(N$20)+1=M65),#REF!-INT(#REF!),1),P65),0)</f>
        <v>0</v>
      </c>
    </row>
    <row r="66" spans="13:17" hidden="1">
      <c r="M66" t="str">
        <f t="shared" si="2"/>
        <v/>
      </c>
      <c r="N66">
        <f t="shared" ca="1" si="0"/>
        <v>0</v>
      </c>
      <c r="P66" s="149" t="e">
        <f t="shared" ca="1" si="1"/>
        <v>#DIV/0!</v>
      </c>
      <c r="Q66" s="157">
        <f ca="1">IFERROR(-PV(N$23-N$22,M66,,N$21*12*IF(AND(N$20&gt;INT(N$20),INT(N$20)+1=M66),#REF!-INT(#REF!),1),P66),0)</f>
        <v>0</v>
      </c>
    </row>
    <row r="67" spans="13:17" hidden="1">
      <c r="M67" t="str">
        <f t="shared" si="2"/>
        <v/>
      </c>
      <c r="N67">
        <f t="shared" ca="1" si="0"/>
        <v>0</v>
      </c>
      <c r="P67" s="149" t="e">
        <f t="shared" ca="1" si="1"/>
        <v>#DIV/0!</v>
      </c>
      <c r="Q67" s="157">
        <f t="shared" ref="Q67:Q76" ca="1" si="4">IFERROR(-PV(N$23-N$22,M67,,N$21*12*IF(AND(N$20&gt;INT(N$20),INT(N$20)+1=M67),$N27-INT(N27),1),P67),0)</f>
        <v>0</v>
      </c>
    </row>
    <row r="68" spans="13:17" hidden="1">
      <c r="M68" t="str">
        <f t="shared" si="2"/>
        <v/>
      </c>
      <c r="N68">
        <f t="shared" ca="1" si="0"/>
        <v>0</v>
      </c>
      <c r="P68" s="149" t="e">
        <f t="shared" ca="1" si="1"/>
        <v>#DIV/0!</v>
      </c>
      <c r="Q68" s="157">
        <f t="shared" ca="1" si="4"/>
        <v>0</v>
      </c>
    </row>
    <row r="69" spans="13:17" hidden="1">
      <c r="M69" t="str">
        <f t="shared" si="2"/>
        <v/>
      </c>
      <c r="N69">
        <f t="shared" ca="1" si="0"/>
        <v>0</v>
      </c>
      <c r="P69" s="149" t="e">
        <f t="shared" ca="1" si="1"/>
        <v>#DIV/0!</v>
      </c>
      <c r="Q69" s="157">
        <f t="shared" ca="1" si="4"/>
        <v>0</v>
      </c>
    </row>
    <row r="70" spans="13:17" hidden="1">
      <c r="M70" t="str">
        <f t="shared" si="2"/>
        <v/>
      </c>
      <c r="N70">
        <f t="shared" ca="1" si="0"/>
        <v>0</v>
      </c>
      <c r="P70" s="149" t="e">
        <f t="shared" ca="1" si="1"/>
        <v>#DIV/0!</v>
      </c>
      <c r="Q70" s="157">
        <f t="shared" ca="1" si="4"/>
        <v>0</v>
      </c>
    </row>
    <row r="71" spans="13:17" hidden="1">
      <c r="M71" t="str">
        <f t="shared" si="2"/>
        <v/>
      </c>
      <c r="N71">
        <f t="shared" ca="1" si="0"/>
        <v>0</v>
      </c>
      <c r="P71" s="149" t="e">
        <f t="shared" ca="1" si="1"/>
        <v>#DIV/0!</v>
      </c>
      <c r="Q71" s="157">
        <f t="shared" ca="1" si="4"/>
        <v>0</v>
      </c>
    </row>
    <row r="72" spans="13:17" hidden="1">
      <c r="M72" t="str">
        <f t="shared" si="2"/>
        <v/>
      </c>
      <c r="N72">
        <f t="shared" ca="1" si="0"/>
        <v>0</v>
      </c>
      <c r="P72" s="149" t="e">
        <f t="shared" ca="1" si="1"/>
        <v>#DIV/0!</v>
      </c>
      <c r="Q72" s="157">
        <f t="shared" ca="1" si="4"/>
        <v>0</v>
      </c>
    </row>
    <row r="73" spans="13:17" hidden="1">
      <c r="M73" t="str">
        <f t="shared" si="2"/>
        <v/>
      </c>
      <c r="N73">
        <f t="shared" ca="1" si="0"/>
        <v>0</v>
      </c>
      <c r="P73" s="149" t="e">
        <f t="shared" ca="1" si="1"/>
        <v>#DIV/0!</v>
      </c>
      <c r="Q73" s="157">
        <f t="shared" ca="1" si="4"/>
        <v>0</v>
      </c>
    </row>
    <row r="74" spans="13:17" hidden="1">
      <c r="M74" t="str">
        <f t="shared" si="2"/>
        <v/>
      </c>
      <c r="N74">
        <f t="shared" ca="1" si="0"/>
        <v>0</v>
      </c>
      <c r="P74" s="149" t="e">
        <f t="shared" ca="1" si="1"/>
        <v>#DIV/0!</v>
      </c>
      <c r="Q74" s="157">
        <f t="shared" ca="1" si="4"/>
        <v>0</v>
      </c>
    </row>
    <row r="75" spans="13:17" hidden="1">
      <c r="M75" t="str">
        <f t="shared" si="2"/>
        <v/>
      </c>
      <c r="N75">
        <f t="shared" ca="1" si="0"/>
        <v>0</v>
      </c>
      <c r="P75" s="149" t="e">
        <f t="shared" ca="1" si="1"/>
        <v>#DIV/0!</v>
      </c>
      <c r="Q75" s="157">
        <f t="shared" ca="1" si="4"/>
        <v>0</v>
      </c>
    </row>
    <row r="76" spans="13:17" hidden="1">
      <c r="M76" t="str">
        <f t="shared" si="2"/>
        <v/>
      </c>
      <c r="N76">
        <f t="shared" ca="1" si="0"/>
        <v>0</v>
      </c>
      <c r="P76" s="149" t="e">
        <f t="shared" ca="1" si="1"/>
        <v>#DIV/0!</v>
      </c>
      <c r="Q76" s="157">
        <f t="shared" ca="1" si="4"/>
        <v>0</v>
      </c>
    </row>
    <row r="84"/>
    <row r="85"/>
  </sheetData>
  <sheetProtection algorithmName="SHA-512" hashValue="YewLjHRshBNoZ2BE21zpOp6T6fhlTS1YfZCg3TIVFJ/kZ1z0zhDvIRakY6t4ywGm61i5IA+malvQK4qJpJml6g==" saltValue="On3zu7RaUwr2C9Od4YchoQ==" spinCount="100000" sheet="1" objects="1" scenarios="1" selectLockedCells="1"/>
  <mergeCells count="53">
    <mergeCell ref="C25:D25"/>
    <mergeCell ref="C6:D6"/>
    <mergeCell ref="C5:D5"/>
    <mergeCell ref="C10:D10"/>
    <mergeCell ref="C11:D11"/>
    <mergeCell ref="C12:D12"/>
    <mergeCell ref="C21:D21"/>
    <mergeCell ref="C22:D22"/>
    <mergeCell ref="C23:D23"/>
    <mergeCell ref="C24:D24"/>
    <mergeCell ref="C17:D17"/>
    <mergeCell ref="C18:D18"/>
    <mergeCell ref="C20:D20"/>
    <mergeCell ref="C19:F19"/>
    <mergeCell ref="E24:F24"/>
    <mergeCell ref="E17:F17"/>
    <mergeCell ref="C4:D4"/>
    <mergeCell ref="C3:D3"/>
    <mergeCell ref="E3:F3"/>
    <mergeCell ref="E6:F6"/>
    <mergeCell ref="E14:F14"/>
    <mergeCell ref="E5:F5"/>
    <mergeCell ref="C13:D13"/>
    <mergeCell ref="C14:D14"/>
    <mergeCell ref="O9:O18"/>
    <mergeCell ref="J14:M14"/>
    <mergeCell ref="J16:M16"/>
    <mergeCell ref="J17:M17"/>
    <mergeCell ref="J18:M18"/>
    <mergeCell ref="J12:N13"/>
    <mergeCell ref="J15:M15"/>
    <mergeCell ref="J9:M9"/>
    <mergeCell ref="J2:N2"/>
    <mergeCell ref="J3:M3"/>
    <mergeCell ref="J4:M4"/>
    <mergeCell ref="J5:M5"/>
    <mergeCell ref="J6:M6"/>
    <mergeCell ref="D2:F2"/>
    <mergeCell ref="J23:M23"/>
    <mergeCell ref="J24:M24"/>
    <mergeCell ref="J25:M25"/>
    <mergeCell ref="B26:N26"/>
    <mergeCell ref="J20:M20"/>
    <mergeCell ref="J21:M21"/>
    <mergeCell ref="J19:M19"/>
    <mergeCell ref="J22:M22"/>
    <mergeCell ref="C7:D9"/>
    <mergeCell ref="E7:E9"/>
    <mergeCell ref="F7:F9"/>
    <mergeCell ref="J7:M7"/>
    <mergeCell ref="J11:M11"/>
    <mergeCell ref="J10:M10"/>
    <mergeCell ref="J8:M8"/>
  </mergeCells>
  <conditionalFormatting sqref="C19:D19">
    <cfRule type="expression" dxfId="161" priority="87">
      <formula>C19="Anpassung ist nicht möglich (§ 33 II VersAusglG)"</formula>
    </cfRule>
    <cfRule type="expression" dxfId="160" priority="88">
      <formula>$C$19="Anpassung ist möglich (§ 33 II VersAusglG)"</formula>
    </cfRule>
  </conditionalFormatting>
  <conditionalFormatting sqref="D16">
    <cfRule type="expression" dxfId="159" priority="4">
      <formula>D16=""</formula>
    </cfRule>
    <cfRule type="expression" dxfId="158" priority="9">
      <formula>Euro_EP</formula>
    </cfRule>
  </conditionalFormatting>
  <conditionalFormatting sqref="E4">
    <cfRule type="expression" dxfId="157" priority="2">
      <formula>AND(E4="",$F$4="")</formula>
    </cfRule>
  </conditionalFormatting>
  <conditionalFormatting sqref="E10">
    <cfRule type="expression" dxfId="156" priority="5">
      <formula>E10=""</formula>
    </cfRule>
  </conditionalFormatting>
  <conditionalFormatting sqref="E5:F5">
    <cfRule type="expression" dxfId="155" priority="3">
      <formula>$E$5=""</formula>
    </cfRule>
  </conditionalFormatting>
  <conditionalFormatting sqref="E6:F6">
    <cfRule type="expression" dxfId="154" priority="6">
      <formula>E6=""</formula>
    </cfRule>
  </conditionalFormatting>
  <hyperlinks>
    <hyperlink ref="D2:E2" r:id="rId1" display="§ 33 VersAusglG " xr:uid="{CCB8FCBD-BAC8-4CE0-9461-FFC041D4FC53}"/>
  </hyperlinks>
  <printOptions horizontalCentered="1" verticalCentered="1"/>
  <pageMargins left="0.51181102362204722" right="0.51181102362204722" top="0.78740157480314965" bottom="0.78740157480314965" header="0.31496062992125984" footer="0.31496062992125984"/>
  <pageSetup paperSize="9"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1789953" r:id="rId5" name="Check Box 1">
              <controlPr defaultSize="0" autoFill="0" autoLine="0" autoPict="0">
                <anchor moveWithCells="1">
                  <from>
                    <xdr:col>2</xdr:col>
                    <xdr:colOff>2914650</xdr:colOff>
                    <xdr:row>14</xdr:row>
                    <xdr:rowOff>180975</xdr:rowOff>
                  </from>
                  <to>
                    <xdr:col>2</xdr:col>
                    <xdr:colOff>3600450</xdr:colOff>
                    <xdr:row>16</xdr:row>
                    <xdr:rowOff>28575</xdr:rowOff>
                  </to>
                </anchor>
              </controlPr>
            </control>
          </mc:Choice>
        </mc:AlternateContent>
        <mc:AlternateContent xmlns:mc="http://schemas.openxmlformats.org/markup-compatibility/2006">
          <mc:Choice Requires="x14">
            <control shapeId="1789954" r:id="rId6" name="Check Box 2">
              <controlPr defaultSize="0" autoFill="0" autoLine="0" autoPict="0">
                <anchor moveWithCells="1">
                  <from>
                    <xdr:col>2</xdr:col>
                    <xdr:colOff>2914650</xdr:colOff>
                    <xdr:row>13</xdr:row>
                    <xdr:rowOff>180975</xdr:rowOff>
                  </from>
                  <to>
                    <xdr:col>2</xdr:col>
                    <xdr:colOff>3600450</xdr:colOff>
                    <xdr:row>15</xdr:row>
                    <xdr:rowOff>28575</xdr:rowOff>
                  </to>
                </anchor>
              </controlPr>
            </control>
          </mc:Choice>
        </mc:AlternateContent>
        <mc:AlternateContent xmlns:mc="http://schemas.openxmlformats.org/markup-compatibility/2006">
          <mc:Choice Requires="x14">
            <control shapeId="1789958" r:id="rId7" name="Option Button 6">
              <controlPr defaultSize="0" autoFill="0" autoLine="0" autoPict="0">
                <anchor moveWithCells="1">
                  <from>
                    <xdr:col>6</xdr:col>
                    <xdr:colOff>219075</xdr:colOff>
                    <xdr:row>12</xdr:row>
                    <xdr:rowOff>180975</xdr:rowOff>
                  </from>
                  <to>
                    <xdr:col>9</xdr:col>
                    <xdr:colOff>371475</xdr:colOff>
                    <xdr:row>14</xdr:row>
                    <xdr:rowOff>28575</xdr:rowOff>
                  </to>
                </anchor>
              </controlPr>
            </control>
          </mc:Choice>
        </mc:AlternateContent>
        <mc:AlternateContent xmlns:mc="http://schemas.openxmlformats.org/markup-compatibility/2006">
          <mc:Choice Requires="x14">
            <control shapeId="1789959" r:id="rId8" name="Option Button 7">
              <controlPr defaultSize="0" autoFill="0" autoLine="0" autoPict="0">
                <anchor moveWithCells="1">
                  <from>
                    <xdr:col>9</xdr:col>
                    <xdr:colOff>409575</xdr:colOff>
                    <xdr:row>12</xdr:row>
                    <xdr:rowOff>180975</xdr:rowOff>
                  </from>
                  <to>
                    <xdr:col>9</xdr:col>
                    <xdr:colOff>800100</xdr:colOff>
                    <xdr:row>14</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776A09EC-81C2-47C4-9296-6E146D3099F4}">
            <xm:f>AND($E$4="",Fallerfassung!$V$3&gt;0)</xm:f>
            <x14:dxf>
              <fill>
                <patternFill>
                  <bgColor theme="4" tint="0.59996337778862885"/>
                </patternFill>
              </fill>
            </x14:dxf>
          </x14:cfRule>
          <xm:sqref>F4</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12"/>
  <dimension ref="A1:G22"/>
  <sheetViews>
    <sheetView workbookViewId="0">
      <selection activeCell="BD89" sqref="BD89"/>
    </sheetView>
  </sheetViews>
  <sheetFormatPr baseColWidth="10" defaultColWidth="0" defaultRowHeight="14.25" zeroHeight="1"/>
  <cols>
    <col min="1" max="1" width="3.125" customWidth="1"/>
    <col min="2" max="2" width="11.25" customWidth="1"/>
    <col min="3" max="6" width="10.625" customWidth="1"/>
    <col min="7" max="7" width="4.125" customWidth="1"/>
    <col min="8" max="16384" width="10.625" hidden="1"/>
  </cols>
  <sheetData>
    <row r="1" spans="2:6" ht="15.75">
      <c r="B1" s="3360" t="s">
        <v>1021</v>
      </c>
      <c r="C1" s="3361"/>
      <c r="D1" s="3361"/>
      <c r="E1" s="3361"/>
      <c r="F1" s="3362"/>
    </row>
    <row r="2" spans="2:6" ht="45">
      <c r="B2" s="924" t="s">
        <v>33</v>
      </c>
      <c r="C2" s="78" t="s">
        <v>34</v>
      </c>
      <c r="D2" s="78" t="s">
        <v>35</v>
      </c>
      <c r="E2" s="3363"/>
      <c r="F2" s="3364"/>
    </row>
    <row r="3" spans="2:6">
      <c r="B3" s="93">
        <v>1900</v>
      </c>
      <c r="C3" s="77">
        <v>0</v>
      </c>
      <c r="D3" s="73">
        <v>65</v>
      </c>
      <c r="E3" s="3358" t="s">
        <v>36</v>
      </c>
      <c r="F3" s="3359"/>
    </row>
    <row r="4" spans="2:6">
      <c r="B4" s="93">
        <v>1947</v>
      </c>
      <c r="C4" s="77">
        <v>1</v>
      </c>
      <c r="D4" s="73">
        <f>65+C4/12</f>
        <v>65.083333333333329</v>
      </c>
      <c r="E4" s="3358" t="s">
        <v>37</v>
      </c>
      <c r="F4" s="3359"/>
    </row>
    <row r="5" spans="2:6">
      <c r="B5" s="93">
        <v>1948</v>
      </c>
      <c r="C5" s="77">
        <v>2</v>
      </c>
      <c r="D5" s="73">
        <f t="shared" ref="D5:D21" si="0">65+C5/12</f>
        <v>65.166666666666671</v>
      </c>
      <c r="E5" s="3358" t="s">
        <v>38</v>
      </c>
      <c r="F5" s="3359"/>
    </row>
    <row r="6" spans="2:6">
      <c r="B6" s="93">
        <v>1949</v>
      </c>
      <c r="C6" s="77">
        <v>3</v>
      </c>
      <c r="D6" s="73">
        <f t="shared" si="0"/>
        <v>65.25</v>
      </c>
      <c r="E6" s="3358" t="s">
        <v>39</v>
      </c>
      <c r="F6" s="3359"/>
    </row>
    <row r="7" spans="2:6">
      <c r="B7" s="93">
        <v>1950</v>
      </c>
      <c r="C7" s="77">
        <v>4</v>
      </c>
      <c r="D7" s="73">
        <f t="shared" si="0"/>
        <v>65.333333333333329</v>
      </c>
      <c r="E7" s="3358" t="s">
        <v>40</v>
      </c>
      <c r="F7" s="3359"/>
    </row>
    <row r="8" spans="2:6">
      <c r="B8" s="93">
        <v>1951</v>
      </c>
      <c r="C8" s="77">
        <v>5</v>
      </c>
      <c r="D8" s="73">
        <f t="shared" si="0"/>
        <v>65.416666666666671</v>
      </c>
      <c r="E8" s="3358" t="s">
        <v>41</v>
      </c>
      <c r="F8" s="3359"/>
    </row>
    <row r="9" spans="2:6">
      <c r="B9" s="93">
        <v>1952</v>
      </c>
      <c r="C9" s="77">
        <v>6</v>
      </c>
      <c r="D9" s="73">
        <f t="shared" si="0"/>
        <v>65.5</v>
      </c>
      <c r="E9" s="3358" t="s">
        <v>42</v>
      </c>
      <c r="F9" s="3359"/>
    </row>
    <row r="10" spans="2:6">
      <c r="B10" s="93">
        <v>1953</v>
      </c>
      <c r="C10" s="77">
        <v>7</v>
      </c>
      <c r="D10" s="73">
        <f t="shared" si="0"/>
        <v>65.583333333333329</v>
      </c>
      <c r="E10" s="3358" t="s">
        <v>43</v>
      </c>
      <c r="F10" s="3359"/>
    </row>
    <row r="11" spans="2:6">
      <c r="B11" s="93">
        <v>1954</v>
      </c>
      <c r="C11" s="77">
        <v>8</v>
      </c>
      <c r="D11" s="73">
        <f t="shared" si="0"/>
        <v>65.666666666666671</v>
      </c>
      <c r="E11" s="3358" t="s">
        <v>44</v>
      </c>
      <c r="F11" s="3359"/>
    </row>
    <row r="12" spans="2:6">
      <c r="B12" s="93">
        <v>1955</v>
      </c>
      <c r="C12" s="77">
        <v>9</v>
      </c>
      <c r="D12" s="73">
        <f t="shared" si="0"/>
        <v>65.75</v>
      </c>
      <c r="E12" s="3358" t="s">
        <v>45</v>
      </c>
      <c r="F12" s="3359"/>
    </row>
    <row r="13" spans="2:6">
      <c r="B13" s="93">
        <v>1956</v>
      </c>
      <c r="C13" s="77">
        <v>10</v>
      </c>
      <c r="D13" s="73">
        <f t="shared" si="0"/>
        <v>65.833333333333329</v>
      </c>
      <c r="E13" s="3358" t="s">
        <v>46</v>
      </c>
      <c r="F13" s="3359"/>
    </row>
    <row r="14" spans="2:6">
      <c r="B14" s="93">
        <v>1957</v>
      </c>
      <c r="C14" s="77">
        <v>11</v>
      </c>
      <c r="D14" s="73">
        <f t="shared" si="0"/>
        <v>65.916666666666671</v>
      </c>
      <c r="E14" s="3358" t="s">
        <v>47</v>
      </c>
      <c r="F14" s="3359"/>
    </row>
    <row r="15" spans="2:6">
      <c r="B15" s="93">
        <v>1958</v>
      </c>
      <c r="C15" s="77">
        <v>12</v>
      </c>
      <c r="D15" s="73">
        <f t="shared" si="0"/>
        <v>66</v>
      </c>
      <c r="E15" s="3358" t="s">
        <v>48</v>
      </c>
      <c r="F15" s="3359"/>
    </row>
    <row r="16" spans="2:6">
      <c r="B16" s="93">
        <v>1959</v>
      </c>
      <c r="C16" s="77">
        <v>14</v>
      </c>
      <c r="D16" s="73">
        <f t="shared" si="0"/>
        <v>66.166666666666671</v>
      </c>
      <c r="E16" s="3358" t="s">
        <v>49</v>
      </c>
      <c r="F16" s="3359"/>
    </row>
    <row r="17" spans="2:6">
      <c r="B17" s="93">
        <v>1960</v>
      </c>
      <c r="C17" s="77">
        <v>16</v>
      </c>
      <c r="D17" s="73">
        <f t="shared" si="0"/>
        <v>66.333333333333329</v>
      </c>
      <c r="E17" s="3358" t="s">
        <v>50</v>
      </c>
      <c r="F17" s="3359"/>
    </row>
    <row r="18" spans="2:6">
      <c r="B18" s="93">
        <v>1961</v>
      </c>
      <c r="C18" s="77">
        <v>18</v>
      </c>
      <c r="D18" s="73">
        <f t="shared" si="0"/>
        <v>66.5</v>
      </c>
      <c r="E18" s="3358" t="s">
        <v>51</v>
      </c>
      <c r="F18" s="3359"/>
    </row>
    <row r="19" spans="2:6">
      <c r="B19" s="93">
        <v>1962</v>
      </c>
      <c r="C19" s="77">
        <v>20</v>
      </c>
      <c r="D19" s="73">
        <f t="shared" si="0"/>
        <v>66.666666666666671</v>
      </c>
      <c r="E19" s="3358" t="s">
        <v>52</v>
      </c>
      <c r="F19" s="3359"/>
    </row>
    <row r="20" spans="2:6">
      <c r="B20" s="93">
        <v>1963</v>
      </c>
      <c r="C20" s="77">
        <v>22</v>
      </c>
      <c r="D20" s="73">
        <f t="shared" si="0"/>
        <v>66.833333333333329</v>
      </c>
      <c r="E20" s="3358" t="s">
        <v>53</v>
      </c>
      <c r="F20" s="3359"/>
    </row>
    <row r="21" spans="2:6" ht="15" thickBot="1">
      <c r="B21" s="928">
        <v>1964</v>
      </c>
      <c r="C21" s="929">
        <v>24</v>
      </c>
      <c r="D21" s="930">
        <f t="shared" si="0"/>
        <v>67</v>
      </c>
      <c r="E21" s="3367" t="s">
        <v>54</v>
      </c>
      <c r="F21" s="3368"/>
    </row>
    <row r="22" spans="2:6" ht="15" hidden="1" thickBot="1">
      <c r="B22" s="925"/>
      <c r="C22" s="926"/>
      <c r="D22" s="927"/>
      <c r="E22" s="3365"/>
      <c r="F22" s="3366"/>
    </row>
  </sheetData>
  <mergeCells count="22">
    <mergeCell ref="E22:F22"/>
    <mergeCell ref="E21:F21"/>
    <mergeCell ref="E13:F13"/>
    <mergeCell ref="E14:F14"/>
    <mergeCell ref="E15:F15"/>
    <mergeCell ref="E16:F16"/>
    <mergeCell ref="E20:F20"/>
    <mergeCell ref="E12:F12"/>
    <mergeCell ref="E17:F17"/>
    <mergeCell ref="E18:F18"/>
    <mergeCell ref="E11:F11"/>
    <mergeCell ref="E19:F19"/>
    <mergeCell ref="E6:F6"/>
    <mergeCell ref="E7:F7"/>
    <mergeCell ref="E10:F10"/>
    <mergeCell ref="E8:F8"/>
    <mergeCell ref="B1:F1"/>
    <mergeCell ref="E2:F2"/>
    <mergeCell ref="E3:F3"/>
    <mergeCell ref="E4:F4"/>
    <mergeCell ref="E5:F5"/>
    <mergeCell ref="E9:F9"/>
  </mergeCells>
  <phoneticPr fontId="47" type="noConversion"/>
  <pageMargins left="0.7" right="0.7" top="0.78740157499999996" bottom="0.78740157499999996"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07F87-6F56-46B0-9D92-10131DA950B9}">
  <sheetPr codeName="Tabelle38">
    <tabColor rgb="FFFFC000"/>
    <pageSetUpPr fitToPage="1"/>
  </sheetPr>
  <dimension ref="A1:V78"/>
  <sheetViews>
    <sheetView showGridLines="0" showRowColHeaders="0" showZeros="0" topLeftCell="C1" zoomScale="145" zoomScaleNormal="145" workbookViewId="0">
      <selection activeCell="H16" sqref="H16"/>
    </sheetView>
  </sheetViews>
  <sheetFormatPr baseColWidth="10" defaultColWidth="0" defaultRowHeight="14.25"/>
  <cols>
    <col min="1" max="2" width="11" hidden="1" customWidth="1"/>
    <col min="3" max="3" width="2.75" customWidth="1"/>
    <col min="4" max="4" width="60.75" customWidth="1"/>
    <col min="5" max="5" width="16.75" customWidth="1"/>
    <col min="6" max="6" width="13.625" customWidth="1"/>
    <col min="7" max="7" width="16.75" customWidth="1"/>
    <col min="8" max="8" width="12.625" customWidth="1"/>
    <col min="9" max="10" width="0.625" style="231" customWidth="1"/>
    <col min="11" max="12" width="13.25" style="132" customWidth="1"/>
    <col min="13" max="13" width="3.5" style="132" customWidth="1"/>
    <col min="14" max="14" width="15" style="132" hidden="1" customWidth="1"/>
    <col min="15" max="15" width="10" style="132" hidden="1" customWidth="1"/>
    <col min="16" max="17" width="11" style="132" hidden="1" customWidth="1"/>
    <col min="18" max="18" width="10.25" style="132" hidden="1" customWidth="1"/>
    <col min="19" max="20" width="11" hidden="1" customWidth="1"/>
    <col min="21" max="21" width="7" style="132" hidden="1" customWidth="1"/>
    <col min="22" max="22" width="16.75" style="383" hidden="1" customWidth="1"/>
    <col min="23" max="16384" width="11" hidden="1"/>
  </cols>
  <sheetData>
    <row r="1" spans="1:22" s="681" customFormat="1" ht="21" thickBot="1">
      <c r="A1"/>
      <c r="B1"/>
      <c r="C1" s="872">
        <v>1</v>
      </c>
      <c r="D1" s="3391" t="s">
        <v>915</v>
      </c>
      <c r="E1" s="3391"/>
      <c r="F1" s="3391"/>
      <c r="G1" s="3391"/>
      <c r="H1" s="3391"/>
      <c r="I1" s="1315"/>
      <c r="J1" s="356"/>
      <c r="K1" s="3407" t="s">
        <v>1060</v>
      </c>
      <c r="L1" s="3408"/>
      <c r="M1" s="226"/>
      <c r="N1" s="132"/>
      <c r="O1" s="132"/>
      <c r="P1" s="132"/>
      <c r="Q1" s="132"/>
      <c r="R1" s="132"/>
      <c r="S1"/>
      <c r="T1"/>
      <c r="U1" s="132"/>
      <c r="V1" s="383"/>
    </row>
    <row r="2" spans="1:22" s="15" customFormat="1" ht="18" customHeight="1">
      <c r="A2"/>
      <c r="B2"/>
      <c r="C2" s="873">
        <v>2</v>
      </c>
      <c r="D2" s="3401" t="s">
        <v>1041</v>
      </c>
      <c r="E2" s="3402"/>
      <c r="F2" s="3402"/>
      <c r="G2" s="3402"/>
      <c r="H2" s="3403"/>
      <c r="I2" s="227"/>
      <c r="J2" s="227"/>
      <c r="K2" s="3411" t="s">
        <v>1247</v>
      </c>
      <c r="L2" s="3412"/>
      <c r="M2" s="227"/>
      <c r="N2" s="15" t="s">
        <v>57</v>
      </c>
      <c r="O2" s="15" t="b">
        <v>0</v>
      </c>
      <c r="P2" s="781"/>
      <c r="Q2" s="781"/>
      <c r="R2" s="781"/>
      <c r="U2" s="781"/>
      <c r="V2" s="932"/>
    </row>
    <row r="3" spans="1:22" s="15" customFormat="1" ht="18" customHeight="1" thickBot="1">
      <c r="A3"/>
      <c r="B3"/>
      <c r="C3" s="873">
        <v>3</v>
      </c>
      <c r="D3" s="3404"/>
      <c r="E3" s="3405"/>
      <c r="F3" s="3405"/>
      <c r="G3" s="3405"/>
      <c r="H3" s="3406"/>
      <c r="I3" s="227"/>
      <c r="J3" s="227"/>
      <c r="K3" s="3413"/>
      <c r="L3" s="3414"/>
      <c r="M3" s="227"/>
      <c r="N3" s="15" t="s">
        <v>1027</v>
      </c>
      <c r="O3" s="781" t="e">
        <f>VLOOKUP(YEAR(F4),MonatlicheBezugsgroesse,IF(GR_Ost,3,2))</f>
        <v>#N/A</v>
      </c>
      <c r="P3" s="782" t="e">
        <f>E14*VLOOKUP(F4,UmrechnungEP_Kap,IF(GR_Ost,3,2))</f>
        <v>#N/A</v>
      </c>
      <c r="Q3" s="781" t="e">
        <f>G14*VLOOKUP(F4,UmrechnungEP_Kap,IF(GR_Ost,3,2))</f>
        <v>#N/A</v>
      </c>
      <c r="R3" s="993"/>
      <c r="S3" s="3392"/>
      <c r="T3" s="3392"/>
      <c r="U3" s="993"/>
      <c r="V3" s="993"/>
    </row>
    <row r="4" spans="1:22" s="15" customFormat="1" ht="14.25" customHeight="1">
      <c r="A4"/>
      <c r="B4"/>
      <c r="C4" s="873">
        <v>4</v>
      </c>
      <c r="D4" s="1121" t="str">
        <f>IF(AND(E4="",F4=""),"Ehezeitende eingeben:",IF(AND(E4="",F4&gt;0),"Ehezeitende aus Fallerfassung übernommen:","Ehezeitende:"))</f>
        <v>Ehezeitende:</v>
      </c>
      <c r="E4" s="1378"/>
      <c r="F4" s="1279">
        <f>IF(E4="",Dat_EzE,E4)</f>
        <v>0</v>
      </c>
      <c r="G4" s="1144" t="s">
        <v>1059</v>
      </c>
      <c r="H4" s="1145">
        <f>IFERROR(VLOOKUP(F4,aktRW,IF(GR_Ost,3,2)),0)</f>
        <v>0</v>
      </c>
      <c r="I4" s="227"/>
      <c r="J4" s="227"/>
      <c r="K4" s="3409" t="s">
        <v>1183</v>
      </c>
      <c r="L4" s="3410"/>
      <c r="M4" s="226"/>
      <c r="N4" s="781"/>
      <c r="O4" s="781"/>
      <c r="P4" s="781"/>
      <c r="Q4" s="781"/>
      <c r="R4" s="781"/>
      <c r="S4" s="781"/>
      <c r="T4" s="341"/>
      <c r="U4" s="781"/>
      <c r="V4" s="932"/>
    </row>
    <row r="5" spans="1:22" s="15" customFormat="1" ht="14.25" customHeight="1" thickBot="1">
      <c r="A5"/>
      <c r="B5"/>
      <c r="C5" s="873">
        <v>5</v>
      </c>
      <c r="D5" s="1283" t="s">
        <v>1025</v>
      </c>
      <c r="E5" s="962">
        <f ca="1">TODAY()</f>
        <v>45414</v>
      </c>
      <c r="F5" s="1280"/>
      <c r="G5" s="1281" t="str">
        <f ca="1">IF(E5="","","aktRW am "&amp;TEXT(E5,"TT.MM.JJJJ"))</f>
        <v>aktRW am 02.05.2024</v>
      </c>
      <c r="H5" s="1282">
        <f ca="1">IF(E5="","",IFERROR(VLOOKUP(E5,aktRW,IF(GR_Ost,3,2),TRUE),0))</f>
        <v>37.6</v>
      </c>
      <c r="I5" s="227"/>
      <c r="J5" s="227"/>
      <c r="K5" s="3409"/>
      <c r="L5" s="3410"/>
      <c r="M5" s="226"/>
      <c r="N5" s="781"/>
      <c r="O5" s="781"/>
      <c r="P5" s="781"/>
      <c r="Q5" s="781"/>
      <c r="R5" s="781"/>
      <c r="S5" s="781"/>
      <c r="T5" s="341"/>
      <c r="U5" s="781"/>
      <c r="V5" s="932"/>
    </row>
    <row r="6" spans="1:22" s="15" customFormat="1" ht="14.25" customHeight="1">
      <c r="A6"/>
      <c r="B6"/>
      <c r="C6" s="873">
        <v>6</v>
      </c>
      <c r="D6" s="1284" t="s">
        <v>920</v>
      </c>
      <c r="E6" s="3397" t="s">
        <v>180</v>
      </c>
      <c r="F6" s="3398"/>
      <c r="G6" s="3399" t="s">
        <v>181</v>
      </c>
      <c r="H6" s="3400"/>
      <c r="I6" s="227"/>
      <c r="J6" s="227"/>
      <c r="K6" s="3409"/>
      <c r="L6" s="3410"/>
      <c r="M6" s="226"/>
      <c r="N6" s="781"/>
      <c r="O6" s="781"/>
      <c r="P6" s="781"/>
      <c r="Q6" s="781"/>
      <c r="R6" s="781"/>
      <c r="S6" s="933"/>
      <c r="T6" s="933"/>
      <c r="U6" s="934"/>
      <c r="V6" s="932"/>
    </row>
    <row r="7" spans="1:22" s="15" customFormat="1" ht="14.25" customHeight="1">
      <c r="A7"/>
      <c r="B7"/>
      <c r="C7" s="873">
        <v>7</v>
      </c>
      <c r="D7" s="1122" t="s">
        <v>918</v>
      </c>
      <c r="E7" s="962"/>
      <c r="F7" s="1285" t="str">
        <f>IF(E7="",Dat_GebDat_M,E7)</f>
        <v/>
      </c>
      <c r="G7" s="1286"/>
      <c r="H7" s="1289" t="str">
        <f>IF(G7="",Dat_GebDat_F,G7)</f>
        <v/>
      </c>
      <c r="I7" s="227"/>
      <c r="J7" s="227"/>
      <c r="K7" s="3409"/>
      <c r="L7" s="3410"/>
      <c r="M7" s="226"/>
      <c r="N7" s="781"/>
      <c r="O7" s="781"/>
      <c r="P7" s="781"/>
      <c r="Q7" s="781"/>
      <c r="R7" s="781"/>
      <c r="S7" s="933"/>
      <c r="T7" s="933"/>
      <c r="U7" s="934"/>
      <c r="V7" s="932"/>
    </row>
    <row r="8" spans="1:22" s="15" customFormat="1" ht="14.25" customHeight="1">
      <c r="A8"/>
      <c r="B8"/>
      <c r="C8" s="873">
        <v>8</v>
      </c>
      <c r="D8" s="1122" t="s">
        <v>1034</v>
      </c>
      <c r="E8" s="3393" t="str">
        <f>IFERROR(IF(F7=0,"",YEARFRAC(F7,F4,0)),"")</f>
        <v/>
      </c>
      <c r="F8" s="3394"/>
      <c r="G8" s="3395" t="str">
        <f>IFERROR(IF(H7=0,"",YEARFRAC(H7,F4,0)),"")</f>
        <v/>
      </c>
      <c r="H8" s="3396"/>
      <c r="I8" s="227"/>
      <c r="J8" s="227"/>
      <c r="K8" s="3409"/>
      <c r="L8" s="3410"/>
      <c r="M8" s="226"/>
      <c r="N8" s="781"/>
      <c r="O8" s="781"/>
      <c r="P8" s="781"/>
      <c r="Q8" s="781"/>
      <c r="R8" s="781"/>
      <c r="S8" s="933"/>
      <c r="T8" s="933"/>
      <c r="U8" s="934"/>
      <c r="V8" s="932"/>
    </row>
    <row r="9" spans="1:22" s="15" customFormat="1" ht="14.25" customHeight="1">
      <c r="A9"/>
      <c r="B9"/>
      <c r="C9" s="873">
        <v>9</v>
      </c>
      <c r="D9" s="1123" t="s">
        <v>916</v>
      </c>
      <c r="E9" s="3379" t="str">
        <f>IFERROR(IF(F7=0,"",DATE(YEAR(F7)+65,MONTH(F7)+VLOOKUP(YEAR(F7),Regelaltersgrenze,2)+1,1)),"")</f>
        <v/>
      </c>
      <c r="F9" s="3380"/>
      <c r="G9" s="3377" t="str">
        <f>IF(H7="","",DATE(YEAR(H7)+65,MONTH(H7)+VLOOKUP(YEAR(H7),Regelaltersgrenze,2)+1,1))</f>
        <v/>
      </c>
      <c r="H9" s="3378"/>
      <c r="I9" s="227"/>
      <c r="J9" s="227"/>
      <c r="K9" s="3369" t="str">
        <f>"Grundrenten-EP Teilung? - "&amp;IF(GR_EP_Teilung,"Ja","Nein")</f>
        <v>Grundrenten-EP Teilung? - Ja</v>
      </c>
      <c r="L9" s="3370"/>
      <c r="M9" s="226"/>
      <c r="N9" s="781" t="s">
        <v>1062</v>
      </c>
      <c r="O9" s="992" t="b">
        <v>1</v>
      </c>
      <c r="P9" s="781"/>
      <c r="Q9" s="781"/>
      <c r="R9" s="781"/>
      <c r="S9" s="933"/>
      <c r="T9" s="933"/>
      <c r="U9" s="934"/>
      <c r="V9" s="936"/>
    </row>
    <row r="10" spans="1:22" s="15" customFormat="1" ht="14.25" customHeight="1">
      <c r="A10"/>
      <c r="B10"/>
      <c r="C10" s="873">
        <v>10</v>
      </c>
      <c r="D10" s="1122" t="s">
        <v>919</v>
      </c>
      <c r="E10" s="3344"/>
      <c r="F10" s="3381"/>
      <c r="G10" s="3376"/>
      <c r="H10" s="2731"/>
      <c r="I10" s="227"/>
      <c r="J10" s="227"/>
      <c r="K10" s="3371" t="s">
        <v>1061</v>
      </c>
      <c r="L10" s="3372"/>
      <c r="M10" s="226"/>
      <c r="N10" s="781"/>
      <c r="O10" s="781"/>
      <c r="P10" s="781"/>
      <c r="Q10" s="781"/>
      <c r="R10" s="781"/>
      <c r="S10" s="933"/>
      <c r="T10" s="933"/>
      <c r="U10" s="934"/>
      <c r="V10" s="932"/>
    </row>
    <row r="11" spans="1:22" s="15" customFormat="1" ht="14.25" customHeight="1" thickBot="1">
      <c r="A11"/>
      <c r="B11"/>
      <c r="C11" s="873">
        <v>11</v>
      </c>
      <c r="D11" s="1124" t="s">
        <v>917</v>
      </c>
      <c r="E11" s="3382" t="str">
        <f>IFERROR(YEARFRAC(F4,IF(E10&gt;0,E10,E9),0),"")</f>
        <v/>
      </c>
      <c r="F11" s="3383"/>
      <c r="G11" s="3384" t="str">
        <f>IFERROR(YEARFRAC(F4,IF(G10&gt;0,G10,G9),0),"")</f>
        <v/>
      </c>
      <c r="H11" s="3385"/>
      <c r="I11" s="227"/>
      <c r="J11" s="227"/>
      <c r="K11" s="3371"/>
      <c r="L11" s="3372"/>
      <c r="M11" s="226"/>
      <c r="N11" s="781"/>
      <c r="O11" s="781"/>
      <c r="P11" s="781"/>
      <c r="Q11" s="781"/>
      <c r="R11" s="781"/>
      <c r="S11" s="933"/>
      <c r="T11" s="933"/>
      <c r="U11" s="934"/>
      <c r="V11" s="932"/>
    </row>
    <row r="12" spans="1:22" s="15" customFormat="1" ht="15">
      <c r="A12"/>
      <c r="B12"/>
      <c r="C12" s="873">
        <v>12</v>
      </c>
      <c r="D12" s="1125" t="s">
        <v>67</v>
      </c>
      <c r="E12" s="3386" t="s">
        <v>1026</v>
      </c>
      <c r="F12" s="3386"/>
      <c r="G12" s="3386"/>
      <c r="H12" s="3387"/>
      <c r="I12" s="227"/>
      <c r="J12" s="227"/>
      <c r="K12" s="990" t="str">
        <f>+E6</f>
        <v>Mann</v>
      </c>
      <c r="L12" s="991" t="str">
        <f>+G6</f>
        <v>Frau</v>
      </c>
      <c r="M12" s="226"/>
      <c r="N12" s="781"/>
      <c r="O12" s="781"/>
      <c r="P12" s="781"/>
      <c r="Q12" s="781"/>
      <c r="R12" s="781"/>
      <c r="S12" s="933"/>
      <c r="T12" s="933"/>
      <c r="U12" s="934"/>
      <c r="V12" s="932"/>
    </row>
    <row r="13" spans="1:22" s="15" customFormat="1" ht="15">
      <c r="A13"/>
      <c r="B13"/>
      <c r="C13" s="873">
        <v>13</v>
      </c>
      <c r="D13" s="1111" t="s">
        <v>1038</v>
      </c>
      <c r="E13" s="957"/>
      <c r="F13" s="1143">
        <f ca="1">IFERROR(+E13*H5,"")</f>
        <v>0</v>
      </c>
      <c r="G13" s="958"/>
      <c r="H13" s="969">
        <f ca="1">IFERROR(+G13*H5,"")</f>
        <v>0</v>
      </c>
      <c r="I13" s="227"/>
      <c r="J13" s="227"/>
      <c r="K13" s="982">
        <f ca="1">IFERROR(+(F13+H13)/2,"")</f>
        <v>0</v>
      </c>
      <c r="L13" s="236">
        <f ca="1">IFERROR(+(H13+F13)/2,"")</f>
        <v>0</v>
      </c>
      <c r="M13" s="226"/>
      <c r="N13" s="781"/>
      <c r="O13" s="781"/>
      <c r="P13" s="781"/>
      <c r="Q13" s="781"/>
      <c r="R13" s="781"/>
      <c r="S13" s="933"/>
      <c r="T13" s="933"/>
      <c r="U13" s="934"/>
      <c r="V13" s="932"/>
    </row>
    <row r="14" spans="1:22" s="15" customFormat="1" ht="15">
      <c r="A14"/>
      <c r="B14"/>
      <c r="C14" s="873">
        <v>14</v>
      </c>
      <c r="D14" s="1111" t="s">
        <v>1037</v>
      </c>
      <c r="E14" s="957"/>
      <c r="F14" s="1143">
        <f ca="1">IFERROR(+E14*H5,"")</f>
        <v>0</v>
      </c>
      <c r="G14" s="958"/>
      <c r="H14" s="969">
        <f ca="1">IFERROR(+G14*H5,"")</f>
        <v>0</v>
      </c>
      <c r="I14" s="227"/>
      <c r="J14" s="227"/>
      <c r="K14" s="982">
        <f ca="1">IFERROR(IF(GR_EP_Teilung,(F14+H14)/2,F14),"")</f>
        <v>0</v>
      </c>
      <c r="L14" s="236">
        <f ca="1">IFERROR(IF(GR_EP_Teilung,(H14+F14)/2,H14),"")</f>
        <v>0</v>
      </c>
      <c r="M14" s="226"/>
      <c r="N14" s="781"/>
      <c r="O14" s="781"/>
      <c r="P14" s="781"/>
      <c r="Q14" s="781"/>
      <c r="R14" s="781"/>
      <c r="S14" s="933"/>
      <c r="T14" s="933"/>
      <c r="U14" s="934"/>
      <c r="V14" s="932"/>
    </row>
    <row r="15" spans="1:22" s="15" customFormat="1">
      <c r="A15"/>
      <c r="B15"/>
      <c r="C15" s="873">
        <v>15</v>
      </c>
      <c r="D15" s="1111" t="str">
        <f>IFERROR("Bagatellgrenze § 18 Abs. 3 VersAusglG im EzE für GR-EP: "&amp;TEXT(GR_Bagatellgrenze,"#.##0,00"),"")</f>
        <v/>
      </c>
      <c r="E15" s="1147" t="str">
        <f>IFERROR(IF(E14=0,"","KapWert:"&amp;TEXT(P3,"#.##0,00")),"")</f>
        <v/>
      </c>
      <c r="F15" s="1146" t="str">
        <f>IFERROR(IF(E14=0,"",IF(P3&gt;GR_Bagatellgrenze,"keine Bagatelle","Bagatelle!")),"")</f>
        <v/>
      </c>
      <c r="G15" s="1147" t="str">
        <f>IFERROR(IF(G14=0,"","KapWert:"&amp;TEXT(Q3,"#.##0,00")),"")</f>
        <v/>
      </c>
      <c r="H15" s="1078" t="str">
        <f>IFERROR(IF(G14=0,"",IF(Q3&gt;GR_Bagatellgrenze,"keine Bagatelle","Bagatelle!")),"")</f>
        <v/>
      </c>
      <c r="I15" s="227"/>
      <c r="J15" s="227"/>
      <c r="K15" s="982"/>
      <c r="L15" s="236"/>
      <c r="M15" s="226"/>
      <c r="N15" s="781"/>
      <c r="O15" s="781"/>
      <c r="P15" s="781"/>
      <c r="Q15" s="781"/>
      <c r="R15" s="781"/>
      <c r="S15" s="933"/>
      <c r="T15" s="933"/>
      <c r="U15" s="934"/>
      <c r="V15" s="932"/>
    </row>
    <row r="16" spans="1:22" s="15" customFormat="1">
      <c r="A16"/>
      <c r="B16"/>
      <c r="C16" s="873">
        <v>16</v>
      </c>
      <c r="D16" s="1126" t="s">
        <v>1182</v>
      </c>
      <c r="E16" s="1148"/>
      <c r="F16" s="951"/>
      <c r="G16" s="1155"/>
      <c r="H16" s="779"/>
      <c r="I16" s="227"/>
      <c r="J16" s="227"/>
      <c r="K16" s="982">
        <f>+(F16+H16)/2</f>
        <v>0</v>
      </c>
      <c r="L16" s="236">
        <f>+(H16+F16)/2</f>
        <v>0</v>
      </c>
      <c r="M16" s="226"/>
      <c r="N16" s="781"/>
      <c r="O16" s="781"/>
      <c r="P16" s="781"/>
      <c r="Q16" s="781"/>
      <c r="R16" s="781"/>
      <c r="S16" s="933"/>
      <c r="T16" s="933"/>
      <c r="U16" s="934"/>
      <c r="V16" s="932"/>
    </row>
    <row r="17" spans="1:22" s="15" customFormat="1">
      <c r="A17"/>
      <c r="B17"/>
      <c r="C17" s="873">
        <v>17</v>
      </c>
      <c r="D17" s="1111" t="s">
        <v>1035</v>
      </c>
      <c r="E17" s="952"/>
      <c r="F17" s="953">
        <f ca="1">IFERROR(E17*H5,"")</f>
        <v>0</v>
      </c>
      <c r="G17" s="952"/>
      <c r="H17" s="954">
        <f ca="1">IFERROR(+G17*H5,"")</f>
        <v>0</v>
      </c>
      <c r="I17" s="227"/>
      <c r="J17" s="227"/>
      <c r="K17" s="982">
        <f ca="1">+F17</f>
        <v>0</v>
      </c>
      <c r="L17" s="236">
        <f ca="1">+H17</f>
        <v>0</v>
      </c>
      <c r="M17" s="226"/>
      <c r="N17" s="781"/>
      <c r="O17" s="781"/>
      <c r="P17" s="781"/>
      <c r="Q17" s="781"/>
      <c r="R17" s="781"/>
      <c r="S17" s="933"/>
      <c r="T17" s="933"/>
      <c r="U17" s="934"/>
      <c r="V17" s="932"/>
    </row>
    <row r="18" spans="1:22" s="15" customFormat="1" ht="15">
      <c r="A18"/>
      <c r="B18"/>
      <c r="C18" s="873">
        <v>18</v>
      </c>
      <c r="D18" s="1112" t="s">
        <v>195</v>
      </c>
      <c r="E18" s="1151"/>
      <c r="F18" s="1149">
        <f ca="1">SUM(F13:F17)</f>
        <v>0</v>
      </c>
      <c r="G18" s="1157"/>
      <c r="H18" s="984">
        <f ca="1">IFERROR(SUM(H13:H17),"")</f>
        <v>0</v>
      </c>
      <c r="I18" s="227"/>
      <c r="J18" s="227"/>
      <c r="K18" s="430"/>
      <c r="L18" s="981"/>
      <c r="M18" s="226"/>
      <c r="N18" s="781"/>
      <c r="O18" s="781"/>
      <c r="P18" s="781"/>
      <c r="Q18" s="781"/>
      <c r="R18" s="781"/>
      <c r="S18" s="933"/>
      <c r="T18" s="933"/>
      <c r="U18" s="934"/>
      <c r="V18" s="932"/>
    </row>
    <row r="19" spans="1:22" s="15" customFormat="1">
      <c r="A19"/>
      <c r="B19"/>
      <c r="C19" s="873">
        <v>19</v>
      </c>
      <c r="D19" s="1127" t="s">
        <v>912</v>
      </c>
      <c r="E19" s="963"/>
      <c r="F19" s="1150">
        <f ca="1">IFERROR(E19*H5,"")</f>
        <v>0</v>
      </c>
      <c r="G19" s="965"/>
      <c r="H19" s="1156">
        <f ca="1">IFERROR(+G19*H5,"")</f>
        <v>0</v>
      </c>
      <c r="I19" s="227"/>
      <c r="J19" s="227"/>
      <c r="K19" s="982">
        <f ca="1">+F19</f>
        <v>0</v>
      </c>
      <c r="L19" s="236">
        <f ca="1">+H19</f>
        <v>0</v>
      </c>
      <c r="M19" s="226"/>
      <c r="N19" s="781"/>
      <c r="O19" s="781"/>
      <c r="P19" s="781"/>
      <c r="Q19" s="781"/>
      <c r="R19" s="781"/>
      <c r="S19" s="933"/>
      <c r="T19" s="933"/>
      <c r="U19" s="934"/>
      <c r="V19" s="932"/>
    </row>
    <row r="20" spans="1:22" s="15" customFormat="1" ht="15.75" thickBot="1">
      <c r="A20"/>
      <c r="B20"/>
      <c r="C20" s="873">
        <v>20</v>
      </c>
      <c r="D20" s="1128" t="s">
        <v>1024</v>
      </c>
      <c r="E20" s="1152"/>
      <c r="F20" s="964"/>
      <c r="G20" s="1158"/>
      <c r="H20" s="966"/>
      <c r="I20" s="227"/>
      <c r="J20" s="227"/>
      <c r="K20" s="982">
        <f>+F20</f>
        <v>0</v>
      </c>
      <c r="L20" s="236">
        <f>+H20</f>
        <v>0</v>
      </c>
      <c r="M20" s="226"/>
      <c r="N20" s="781"/>
      <c r="O20" s="781"/>
      <c r="P20" s="781"/>
      <c r="Q20" s="781"/>
      <c r="R20" s="781"/>
      <c r="S20" s="933"/>
      <c r="T20" s="933"/>
      <c r="U20" s="934"/>
      <c r="V20" s="932"/>
    </row>
    <row r="21" spans="1:22" s="15" customFormat="1" ht="16.5" thickTop="1" thickBot="1">
      <c r="A21"/>
      <c r="B21"/>
      <c r="C21" s="873">
        <v>21</v>
      </c>
      <c r="D21" s="1129" t="s">
        <v>914</v>
      </c>
      <c r="E21" s="1153"/>
      <c r="F21" s="1154">
        <f ca="1">SUM(F18:F20)</f>
        <v>0</v>
      </c>
      <c r="G21" s="1159"/>
      <c r="H21" s="1160">
        <f ca="1">SUM(H18:H20)</f>
        <v>0</v>
      </c>
      <c r="I21" s="227"/>
      <c r="J21" s="227"/>
      <c r="K21" s="983">
        <f ca="1">SUM(K13:K20)</f>
        <v>0</v>
      </c>
      <c r="L21" s="984">
        <f ca="1">SUM(L13:L20)</f>
        <v>0</v>
      </c>
      <c r="M21" s="227"/>
      <c r="N21" s="781" t="s">
        <v>1031</v>
      </c>
      <c r="O21" s="935" t="b">
        <v>0</v>
      </c>
      <c r="P21" s="781" t="b">
        <v>0</v>
      </c>
      <c r="Q21" s="781"/>
      <c r="R21" s="781"/>
      <c r="S21" s="933"/>
      <c r="T21" s="933"/>
      <c r="U21" s="934"/>
      <c r="V21" s="932"/>
    </row>
    <row r="22" spans="1:22" s="15" customFormat="1" ht="15" hidden="1" customHeight="1">
      <c r="A22"/>
      <c r="B22"/>
      <c r="C22" s="873">
        <v>22</v>
      </c>
      <c r="D22" s="1130"/>
      <c r="E22" s="874"/>
      <c r="F22" s="876"/>
      <c r="G22" s="875"/>
      <c r="H22" s="882"/>
      <c r="I22" s="227"/>
      <c r="J22" s="227"/>
      <c r="K22" s="430"/>
      <c r="L22" s="349"/>
      <c r="M22" s="226"/>
      <c r="N22" s="781"/>
      <c r="O22" s="781"/>
      <c r="P22" s="781"/>
      <c r="Q22" s="781"/>
      <c r="R22" s="781"/>
      <c r="S22" s="933"/>
      <c r="T22" s="933"/>
      <c r="U22" s="934"/>
      <c r="V22" s="932"/>
    </row>
    <row r="23" spans="1:22" s="15" customFormat="1">
      <c r="A23"/>
      <c r="B23"/>
      <c r="C23" s="873">
        <v>23</v>
      </c>
      <c r="D23" s="1126" t="str">
        <f ca="1">"Einkommensgrenze § 97a Abs. 4 S. 2 SGB VI   (60%): "&amp;TEXT(H5,"0,00")&amp;" x "&amp;IF(verheiratet," 57,03 ","36,56 ")&amp;" ="</f>
        <v>Einkommensgrenze § 97a Abs. 4 S. 2 SGB VI   (60%): 37,60 x 36,56  =</v>
      </c>
      <c r="E23" s="1133">
        <f ca="1">IFERROR(ROUNDUP(+H5*IF(verheiratet,57.03,36.56),0),"")</f>
        <v>1375</v>
      </c>
      <c r="F23" s="1134"/>
      <c r="G23" s="1135">
        <f ca="1">IFERROR(ROUNDUP(+H5*IF(Verheiratet2,57.03,36.56),0),"")</f>
        <v>1375</v>
      </c>
      <c r="H23" s="970"/>
      <c r="I23" s="227"/>
      <c r="J23" s="227"/>
      <c r="K23" s="985">
        <f ca="1">+E23</f>
        <v>1375</v>
      </c>
      <c r="L23" s="1113">
        <f ca="1">+G23</f>
        <v>1375</v>
      </c>
      <c r="M23" s="226"/>
      <c r="N23" s="781"/>
      <c r="O23" s="781"/>
      <c r="P23" s="781"/>
      <c r="Q23" s="781"/>
      <c r="R23" s="781"/>
      <c r="S23" s="933"/>
      <c r="T23" s="933"/>
      <c r="U23" s="934"/>
      <c r="V23" s="932"/>
    </row>
    <row r="24" spans="1:22" s="15" customFormat="1">
      <c r="A24"/>
      <c r="B24"/>
      <c r="C24" s="873">
        <v>24</v>
      </c>
      <c r="D24" s="1126" t="str">
        <f ca="1">"Einkommensgrenze § 97a Abs. 4 S. 3 SGB VI (100%): "&amp;TEXT(H5,"0,00")&amp;" x "&amp;IF(verheiratet," 67,27 ","46,78 ")&amp;"="</f>
        <v>Einkommensgrenze § 97a Abs. 4 S. 3 SGB VI (100%): 37,60 x 46,78 =</v>
      </c>
      <c r="E24" s="1133">
        <f ca="1">IFERROR(ROUNDUP(+H5*IF(verheiratet,67.27,46.78),0),"")</f>
        <v>1759</v>
      </c>
      <c r="F24" s="1134"/>
      <c r="G24" s="1133">
        <f ca="1">IFERROR(ROUNDUP(+H5*IF(Verheiratet2,67.27,46.78),0),"")</f>
        <v>1759</v>
      </c>
      <c r="H24" s="970"/>
      <c r="I24" s="227"/>
      <c r="J24" s="227"/>
      <c r="K24" s="985">
        <f ca="1">+E24</f>
        <v>1759</v>
      </c>
      <c r="L24" s="1113">
        <f ca="1">+G24</f>
        <v>1759</v>
      </c>
      <c r="M24" s="226"/>
      <c r="N24" s="781"/>
      <c r="O24" s="781"/>
      <c r="P24" s="781"/>
      <c r="Q24" s="781"/>
      <c r="R24" s="781"/>
      <c r="S24" s="933"/>
      <c r="T24" s="933"/>
      <c r="U24" s="934"/>
      <c r="V24" s="932"/>
    </row>
    <row r="25" spans="1:22" s="15" customFormat="1">
      <c r="A25"/>
      <c r="B25"/>
      <c r="C25" s="873">
        <v>25</v>
      </c>
      <c r="D25" s="1111" t="s">
        <v>911</v>
      </c>
      <c r="E25" s="232"/>
      <c r="F25" s="1136">
        <f ca="1">+F21*12</f>
        <v>0</v>
      </c>
      <c r="G25" s="1137"/>
      <c r="H25" s="987">
        <f ca="1">+H21*12</f>
        <v>0</v>
      </c>
      <c r="I25" s="227"/>
      <c r="J25" s="227"/>
      <c r="K25" s="430"/>
      <c r="L25" s="981"/>
      <c r="M25" s="226"/>
      <c r="N25" s="781"/>
      <c r="O25" s="781"/>
      <c r="P25" s="781"/>
      <c r="Q25" s="781"/>
      <c r="R25" s="781"/>
      <c r="S25" s="933"/>
      <c r="T25" s="933"/>
      <c r="U25" s="934"/>
      <c r="V25" s="932"/>
    </row>
    <row r="26" spans="1:22" s="15" customFormat="1">
      <c r="A26"/>
      <c r="B26"/>
      <c r="C26" s="873">
        <v>26</v>
      </c>
      <c r="D26" s="1111" t="str">
        <f>"Monatseinkommen ohne Grundrentenerwerb: "</f>
        <v xml:space="preserve">Monatseinkommen ohne Grundrentenerwerb: </v>
      </c>
      <c r="E26" s="751" t="str">
        <f ca="1">IF(F21=0,"",TEXT(F21,"#.##0,00")&amp;" - "&amp;TEXT(F14,"#.##0,00"))</f>
        <v/>
      </c>
      <c r="F26" s="1136">
        <f ca="1">IFERROR(F21-F14,"")</f>
        <v>0</v>
      </c>
      <c r="G26" s="1138" t="str">
        <f ca="1">IF(H21=0,"",TEXT(H21,"#.##0,00")&amp;" - "&amp;TEXT(H14,"#.##0,00"))</f>
        <v/>
      </c>
      <c r="H26" s="987">
        <f ca="1">IFERROR(H21-H14,"")</f>
        <v>0</v>
      </c>
      <c r="I26" s="227"/>
      <c r="J26" s="227"/>
      <c r="K26" s="982">
        <f ca="1">IFERROR(+K21-K14,"")</f>
        <v>0</v>
      </c>
      <c r="L26" s="236">
        <f ca="1">+IFERROR(L21-L14,"")</f>
        <v>0</v>
      </c>
      <c r="M26" s="226"/>
      <c r="N26" s="781"/>
      <c r="O26" s="781"/>
      <c r="P26" s="781"/>
      <c r="Q26" s="781"/>
      <c r="R26" s="781"/>
      <c r="S26" s="933"/>
      <c r="T26" s="933"/>
      <c r="U26" s="934"/>
      <c r="V26" s="932"/>
    </row>
    <row r="27" spans="1:22" s="15" customFormat="1">
      <c r="A27"/>
      <c r="B27"/>
      <c r="C27" s="873">
        <v>27</v>
      </c>
      <c r="D27" s="1111" t="s">
        <v>913</v>
      </c>
      <c r="E27" s="1110"/>
      <c r="F27" s="1136">
        <f ca="1">+F14</f>
        <v>0</v>
      </c>
      <c r="G27" s="1139"/>
      <c r="H27" s="987">
        <f ca="1">+H14</f>
        <v>0</v>
      </c>
      <c r="I27" s="227"/>
      <c r="J27" s="227"/>
      <c r="K27" s="982">
        <f ca="1">+K14</f>
        <v>0</v>
      </c>
      <c r="L27" s="236">
        <f ca="1">+L14</f>
        <v>0</v>
      </c>
      <c r="M27" s="226"/>
      <c r="N27" s="781"/>
      <c r="O27" s="781"/>
      <c r="P27" s="781"/>
      <c r="Q27" s="781"/>
      <c r="R27" s="781"/>
      <c r="S27" s="933"/>
      <c r="T27" s="933"/>
      <c r="U27" s="934"/>
      <c r="V27" s="932"/>
    </row>
    <row r="28" spans="1:22" s="15" customFormat="1">
      <c r="A28"/>
      <c r="B28"/>
      <c r="C28" s="873">
        <v>28</v>
      </c>
      <c r="D28" s="1131" t="str">
        <f>"anrechenbar nach § 97a Abs. 4 S. 2 SGB VI zu   60%: "</f>
        <v xml:space="preserve">anrechenbar nach § 97a Abs. 4 S. 2 SGB VI zu   60%: </v>
      </c>
      <c r="E28" s="751" t="str">
        <f ca="1">IF(F21=0,"","("&amp;TEXT(IF(E24&lt;F26,E24,F26),"#.##0,00")&amp;" - "&amp;TEXT(E23,"#.##0,00")&amp;") x 60%")</f>
        <v/>
      </c>
      <c r="F28" s="1136">
        <f ca="1">-IF(F26&lt;=E23,0,IF(AND(F26&gt;E23,F26&lt;E24),F26-E23,E24-E23))*0.6</f>
        <v>0</v>
      </c>
      <c r="G28" s="751" t="str">
        <f ca="1">IF(H21=0,"","("&amp;TEXT(IF(G24&lt;H26,G24,H26),"#.##0,00")&amp;" - "&amp;TEXT(G23,"#.##0,00")&amp;") x 60%")</f>
        <v/>
      </c>
      <c r="H28" s="1136">
        <f ca="1">-IF(H26&lt;=G23,0,IF(AND(H26&gt;G23,H26&lt;G24),H26-G23,G24-G23))*0.6</f>
        <v>0</v>
      </c>
      <c r="I28" s="227"/>
      <c r="J28" s="227"/>
      <c r="K28" s="986">
        <f ca="1">-IF(K26&lt;=K23,0,IF(AND(K26&gt;K23,K26&lt;K24),K26-K23,K24-K23))*0.6</f>
        <v>0</v>
      </c>
      <c r="L28" s="987">
        <f ca="1">-IF(L26&lt;=L23,0,IF(AND(L26&gt;L23,L26&lt;L24),L26-L23,L24-L23))*0.6</f>
        <v>0</v>
      </c>
      <c r="M28" s="226"/>
      <c r="N28" s="781"/>
      <c r="O28" s="781"/>
      <c r="P28" s="781"/>
      <c r="Q28" s="781"/>
      <c r="R28" s="781"/>
      <c r="S28" s="933"/>
      <c r="T28" s="933"/>
      <c r="U28" s="934"/>
      <c r="V28" s="932"/>
    </row>
    <row r="29" spans="1:22" s="15" customFormat="1">
      <c r="A29"/>
      <c r="B29"/>
      <c r="C29" s="873">
        <v>29</v>
      </c>
      <c r="D29" s="1131" t="str">
        <f>"anrechenbar nach § 97a Abs. 4 S. 3 SGB VI zu 100%: "</f>
        <v xml:space="preserve">anrechenbar nach § 97a Abs. 4 S. 3 SGB VI zu 100%: </v>
      </c>
      <c r="E29" s="751" t="str">
        <f ca="1">TEXT(F26,"#.##0,00")&amp;" - "&amp;TEXT(E24,"#.##0,00")</f>
        <v>0,00 - 1.759,00</v>
      </c>
      <c r="F29" s="1136">
        <f ca="1">IFERROR(IF(F26&gt;E24,(E24-F26),0),"")</f>
        <v>0</v>
      </c>
      <c r="G29" s="751" t="str">
        <f ca="1">TEXT(H26,"#.##0,00")&amp;" - "&amp;TEXT(G24,"#.##0,00")</f>
        <v>0,00 - 1.759,00</v>
      </c>
      <c r="H29" s="1136">
        <f ca="1">IFERROR(IF(H26&gt;G24,(G24-H26),0),"")</f>
        <v>0</v>
      </c>
      <c r="I29" s="227"/>
      <c r="J29" s="227"/>
      <c r="K29" s="986">
        <f ca="1">IFERROR(IF(K26&gt;K24,(K24-K26),0),"")</f>
        <v>0</v>
      </c>
      <c r="L29" s="987">
        <f ca="1">IFERROR(IF(L26&gt;L24,(L24-L26),0),"")</f>
        <v>0</v>
      </c>
      <c r="M29" s="226"/>
      <c r="N29" s="781"/>
      <c r="O29" s="781"/>
      <c r="P29" s="781"/>
      <c r="Q29" s="781"/>
      <c r="R29" s="781"/>
      <c r="S29" s="933"/>
      <c r="T29" s="933"/>
      <c r="U29" s="934"/>
      <c r="V29" s="932"/>
    </row>
    <row r="30" spans="1:22" s="15" customFormat="1" ht="18.75" thickBot="1">
      <c r="A30"/>
      <c r="B30"/>
      <c r="C30" s="873">
        <v>30</v>
      </c>
      <c r="D30" s="1132" t="str">
        <f ca="1">"Grundrentenzuschlag: "&amp;TEXT(F27,"#.##0,00")&amp;IF(F28&lt;&gt;0," - "&amp;TEXT(ABS(F28),"#.##0,00"),"")&amp;IF(F29&lt;&gt;0," - "&amp;TEXT(ABS(F29),"#.##0,00"),"")</f>
        <v>Grundrentenzuschlag: 0,00</v>
      </c>
      <c r="E30" s="1140"/>
      <c r="F30" s="1141">
        <f ca="1">IFERROR(IF(+F27+F28+F29&lt;0,0,+F27+F28+F29),0)</f>
        <v>0</v>
      </c>
      <c r="G30" s="1142"/>
      <c r="H30" s="989">
        <f ca="1">IFERROR(IF(+H27+H28+H29&lt;0,0,+H27+H28+H29),0)</f>
        <v>0</v>
      </c>
      <c r="I30" s="227"/>
      <c r="J30" s="227"/>
      <c r="K30" s="988">
        <f ca="1">IFERROR(IF(+K27+K28+K29&lt;0,0,+K27+K28+K29),0)</f>
        <v>0</v>
      </c>
      <c r="L30" s="989">
        <f ca="1">IFERROR(IF(+L27+L28+L29&lt;0,0,+L27+L28+L29),0)</f>
        <v>0</v>
      </c>
      <c r="M30" s="226"/>
      <c r="N30" s="781"/>
      <c r="O30" s="781"/>
      <c r="P30" s="781"/>
      <c r="Q30" s="781"/>
      <c r="R30" s="781"/>
      <c r="S30" s="933"/>
      <c r="T30" s="933"/>
      <c r="U30" s="934"/>
      <c r="V30" s="932"/>
    </row>
    <row r="31" spans="1:22" ht="32.25" customHeight="1" thickBot="1">
      <c r="C31" s="873">
        <v>31</v>
      </c>
      <c r="D31" s="25"/>
      <c r="E31" s="3388" t="str">
        <f ca="1">IFERROR(IF(F30+H30=0,"",IF(AND(F30&gt;0,H30&gt;0),"Für beide Gatten ",IF(AND(F30&gt;0,H30=0),"Für Gatte 1 ",IF(AND(H30&gt;0,F30=0),"Für Gatte 2 ","")))&amp;"kommt nach heutigen Prognosen ein Grundrentenbezug in Betracht"),"")</f>
        <v/>
      </c>
      <c r="F31" s="3389"/>
      <c r="G31" s="3389"/>
      <c r="H31" s="3390"/>
      <c r="I31" s="488"/>
      <c r="J31" s="227"/>
      <c r="K31" s="3373" t="str">
        <f ca="1">IFERROR(IF(K30+L30&lt;K14+L14,"GrEP-Teilung nicht unbedingt sinnvoll",""),"")</f>
        <v/>
      </c>
      <c r="L31" s="3374"/>
      <c r="M31" s="226"/>
    </row>
    <row r="32" spans="1:22" ht="14.25" customHeight="1">
      <c r="C32" s="1108"/>
    </row>
    <row r="33" spans="1:8">
      <c r="A33" t="s">
        <v>117</v>
      </c>
      <c r="C33" s="1108"/>
      <c r="D33" s="3375" t="str">
        <f>IF(E19+F20+G19+H20&gt;0,"*) OLG Bamberg 2 UF 136/22: 'Eine Hochrechnung über mehrere Jahre überdehnt die heranzuziehende Prognosebasis'","")</f>
        <v/>
      </c>
      <c r="E33" s="3375"/>
      <c r="F33" s="3375"/>
      <c r="G33" s="3375"/>
      <c r="H33" s="3375"/>
    </row>
    <row r="34" spans="1:8" ht="14.25" customHeight="1">
      <c r="C34" s="1108"/>
    </row>
    <row r="35" spans="1:8" ht="14.25" customHeight="1">
      <c r="C35" s="1108"/>
    </row>
    <row r="36" spans="1:8" ht="14.25" customHeight="1">
      <c r="C36" s="1108"/>
    </row>
    <row r="37" spans="1:8" ht="14.25" customHeight="1">
      <c r="C37" s="1108"/>
    </row>
    <row r="38" spans="1:8" ht="14.25" customHeight="1">
      <c r="C38" s="1108"/>
    </row>
    <row r="39" spans="1:8" ht="14.25" customHeight="1">
      <c r="C39" s="1108"/>
    </row>
    <row r="40" spans="1:8" ht="14.25" customHeight="1">
      <c r="C40" s="1108"/>
    </row>
    <row r="41" spans="1:8" ht="14.25" customHeight="1">
      <c r="C41" s="1108"/>
    </row>
    <row r="42" spans="1:8" ht="14.25" customHeight="1">
      <c r="C42" s="1108"/>
    </row>
    <row r="43" spans="1:8" ht="14.25" customHeight="1">
      <c r="C43" s="1108"/>
    </row>
    <row r="44" spans="1:8" ht="14.25" customHeight="1">
      <c r="C44" s="1108"/>
    </row>
    <row r="45" spans="1:8" ht="14.25" customHeight="1">
      <c r="C45" s="1108"/>
    </row>
    <row r="46" spans="1:8" ht="14.25" customHeight="1">
      <c r="C46" s="1108"/>
    </row>
    <row r="47" spans="1:8" ht="14.25" customHeight="1">
      <c r="C47" s="1108"/>
    </row>
    <row r="48" spans="1:8" ht="14.25" customHeight="1">
      <c r="C48" s="1108"/>
    </row>
    <row r="49" spans="3:3" ht="14.25" customHeight="1">
      <c r="C49" s="1108"/>
    </row>
    <row r="50" spans="3:3" ht="14.25" customHeight="1">
      <c r="C50" s="1108"/>
    </row>
    <row r="51" spans="3:3" ht="14.25" customHeight="1">
      <c r="C51" s="1108"/>
    </row>
    <row r="52" spans="3:3" ht="14.25" customHeight="1">
      <c r="C52" s="1108"/>
    </row>
    <row r="53" spans="3:3" ht="14.25" customHeight="1">
      <c r="C53" s="1108"/>
    </row>
    <row r="54" spans="3:3" ht="14.25" customHeight="1">
      <c r="C54" s="1108"/>
    </row>
    <row r="55" spans="3:3" ht="14.25" customHeight="1">
      <c r="C55" s="1108"/>
    </row>
    <row r="56" spans="3:3" ht="14.25" customHeight="1">
      <c r="C56" s="1108"/>
    </row>
    <row r="57" spans="3:3" ht="14.25" customHeight="1">
      <c r="C57" s="1108"/>
    </row>
    <row r="58" spans="3:3" ht="14.25" customHeight="1">
      <c r="C58" s="1108"/>
    </row>
    <row r="59" spans="3:3" ht="14.25" customHeight="1">
      <c r="C59" s="1108"/>
    </row>
    <row r="60" spans="3:3" ht="14.25" customHeight="1">
      <c r="C60" s="1108"/>
    </row>
    <row r="61" spans="3:3" ht="14.25" customHeight="1">
      <c r="C61" s="1108"/>
    </row>
    <row r="62" spans="3:3" ht="14.25" customHeight="1">
      <c r="C62" s="1108"/>
    </row>
    <row r="63" spans="3:3" ht="14.25" customHeight="1">
      <c r="C63" s="1108"/>
    </row>
    <row r="64" spans="3:3" ht="14.25" customHeight="1">
      <c r="C64" s="1108"/>
    </row>
    <row r="65" spans="3:3" ht="14.25" customHeight="1">
      <c r="C65" s="1108"/>
    </row>
    <row r="66" spans="3:3" ht="14.25" customHeight="1">
      <c r="C66" s="1108"/>
    </row>
    <row r="67" spans="3:3" ht="14.25" customHeight="1">
      <c r="C67" s="1108"/>
    </row>
    <row r="68" spans="3:3" ht="14.25" customHeight="1">
      <c r="C68" s="1108"/>
    </row>
    <row r="69" spans="3:3" ht="14.25" customHeight="1">
      <c r="C69" s="1108"/>
    </row>
    <row r="70" spans="3:3" ht="14.25" customHeight="1">
      <c r="C70" s="1108"/>
    </row>
    <row r="71" spans="3:3" ht="14.25" customHeight="1">
      <c r="C71" s="1108"/>
    </row>
    <row r="72" spans="3:3" ht="14.25" customHeight="1">
      <c r="C72" s="1108"/>
    </row>
    <row r="73" spans="3:3" ht="14.25" customHeight="1">
      <c r="C73" s="1108"/>
    </row>
    <row r="74" spans="3:3" ht="14.25" customHeight="1">
      <c r="C74" s="1108"/>
    </row>
    <row r="75" spans="3:3" ht="14.25" customHeight="1">
      <c r="C75" s="1108"/>
    </row>
    <row r="76" spans="3:3" ht="14.25" customHeight="1">
      <c r="C76" s="1108"/>
    </row>
    <row r="77" spans="3:3" ht="14.25" customHeight="1"/>
    <row r="78" spans="3:3" ht="14.25" customHeight="1"/>
  </sheetData>
  <sheetProtection algorithmName="SHA-512" hashValue="2a+1dN05dU0pt76Xq2lUrOv93nJ65VD3x4RJjmfMOVG6nLUXQ1rS2C1A8RDtjL6z14/Fa6cAlwVVMhHqiEk5aw==" saltValue="q+avHDsIPAtLpUiMndOebQ==" spinCount="100000" sheet="1" objects="1" scenarios="1" selectLockedCells="1"/>
  <scenarios>
    <scenario name="Nullstellung" hidden="1" count="20" user="Hauß" comment="Erstellt von Hauß am 03.10.2022_x000a_Modifiziert von Hauß am 10.11.2022_x000a_Modifiziert von Hauß am 12.11.2022">
      <inputCells r="F7" val="00.01.1900" numFmtId="14"/>
      <inputCells r="H7" val="00.01.1900" numFmtId="14"/>
      <inputCells r="F4" val=""/>
      <inputCells r="E10" val="" numFmtId="14"/>
      <inputCells r="G10" val="" numFmtId="14"/>
      <inputCells r="E13" val="" numFmtId="183"/>
      <inputCells r="E14" val="" numFmtId="183"/>
      <inputCells r="G13" val=""/>
      <inputCells r="G14" val="" numFmtId="183"/>
      <inputCells r="F16" val=""/>
      <inputCells r="H16" val="" numFmtId="8"/>
      <inputCells r="G17" val="" numFmtId="183"/>
      <inputCells r="E17" val="" numFmtId="183"/>
      <inputCells r="E19" val="" numFmtId="183"/>
      <inputCells r="F20" val="" numFmtId="8"/>
      <inputCells r="G19" val=""/>
      <inputCells r="H20" val="" numFmtId="8"/>
      <inputCells r="O21" val="FALSCH"/>
      <inputCells r="P21" val="FALSCH"/>
      <inputCells r="O2" val="FALSCH"/>
    </scenario>
  </scenarios>
  <mergeCells count="22">
    <mergeCell ref="D1:H1"/>
    <mergeCell ref="S3:T3"/>
    <mergeCell ref="E8:F8"/>
    <mergeCell ref="G8:H8"/>
    <mergeCell ref="E6:F6"/>
    <mergeCell ref="G6:H6"/>
    <mergeCell ref="D2:H3"/>
    <mergeCell ref="K1:L1"/>
    <mergeCell ref="K4:L8"/>
    <mergeCell ref="K2:L3"/>
    <mergeCell ref="K9:L9"/>
    <mergeCell ref="K10:L11"/>
    <mergeCell ref="K31:L31"/>
    <mergeCell ref="D33:H33"/>
    <mergeCell ref="G10:H10"/>
    <mergeCell ref="G9:H9"/>
    <mergeCell ref="E9:F9"/>
    <mergeCell ref="E10:F10"/>
    <mergeCell ref="E11:F11"/>
    <mergeCell ref="G11:H11"/>
    <mergeCell ref="E12:H12"/>
    <mergeCell ref="E31:H31"/>
  </mergeCells>
  <conditionalFormatting sqref="E31">
    <cfRule type="expression" dxfId="152" priority="33">
      <formula>OR(AND($F$30&gt;0,$H$30=0),AND(H30&gt;0,F30=0))</formula>
    </cfRule>
    <cfRule type="expression" dxfId="151" priority="34">
      <formula>AND(F30&gt;0,H30&gt;0)</formula>
    </cfRule>
  </conditionalFormatting>
  <conditionalFormatting sqref="E15:F15">
    <cfRule type="expression" dxfId="150" priority="398">
      <formula>$E$14=0</formula>
    </cfRule>
    <cfRule type="expression" dxfId="149" priority="399">
      <formula>$P$3&lt;=$O$3</formula>
    </cfRule>
    <cfRule type="expression" dxfId="148" priority="400">
      <formula>$P$3&gt;$O$3</formula>
    </cfRule>
  </conditionalFormatting>
  <conditionalFormatting sqref="F30">
    <cfRule type="expression" dxfId="147" priority="20">
      <formula>AND($F$30&gt;0,$H$30&gt;0)</formula>
    </cfRule>
    <cfRule type="expression" dxfId="146" priority="21">
      <formula>AND($F$30&gt;0,$H$30=0)</formula>
    </cfRule>
  </conditionalFormatting>
  <conditionalFormatting sqref="G15:H15">
    <cfRule type="expression" dxfId="145" priority="401">
      <formula>G14=0</formula>
    </cfRule>
    <cfRule type="expression" dxfId="144" priority="402">
      <formula>$Q$3&lt;=$O$3</formula>
    </cfRule>
    <cfRule type="expression" dxfId="143" priority="403">
      <formula>$Q$3&gt;$O$3</formula>
    </cfRule>
  </conditionalFormatting>
  <conditionalFormatting sqref="H30">
    <cfRule type="expression" dxfId="142" priority="18">
      <formula>AND($H$30&gt;0,$F$30&gt;0)</formula>
    </cfRule>
    <cfRule type="expression" dxfId="141" priority="19">
      <formula>AND($H$30&gt;0,$F$30=0)</formula>
    </cfRule>
  </conditionalFormatting>
  <conditionalFormatting sqref="K30">
    <cfRule type="expression" dxfId="140" priority="9">
      <formula>AND($K$30&gt;0,$L$30&gt;0)</formula>
    </cfRule>
    <cfRule type="expression" dxfId="139" priority="10">
      <formula>AND($K$30&gt;0,$L$30=0)</formula>
    </cfRule>
  </conditionalFormatting>
  <conditionalFormatting sqref="K9:L9">
    <cfRule type="expression" dxfId="138" priority="4">
      <formula>GR_EP_Teilung=FALSE</formula>
    </cfRule>
    <cfRule type="expression" dxfId="137" priority="5">
      <formula>GR_EP_Teilung</formula>
    </cfRule>
  </conditionalFormatting>
  <conditionalFormatting sqref="K31:L31">
    <cfRule type="expression" dxfId="136" priority="6">
      <formula>$K$30+$L$30&lt;$K$14+$L$14</formula>
    </cfRule>
  </conditionalFormatting>
  <conditionalFormatting sqref="L30">
    <cfRule type="expression" dxfId="135" priority="7">
      <formula>AND($L$30&gt;0,$K$30&gt;0)</formula>
    </cfRule>
    <cfRule type="expression" dxfId="134" priority="8">
      <formula>AND($L$30&gt;0,$K$30=0)</formula>
    </cfRule>
  </conditionalFormatting>
  <hyperlinks>
    <hyperlink ref="D9" r:id="rId1" xr:uid="{037C45AC-12FF-46FD-A050-5B2EB37E7567}"/>
    <hyperlink ref="D16" r:id="rId2" display="anderweitiges Alterseinkommen i.S.v. § 97a SGB VI im EzE in Euro" xr:uid="{56EC9CBE-A662-446E-8972-BB2E58014CEF}"/>
    <hyperlink ref="D33:H33" r:id="rId3" display="*) OLG Bamberg 2 UF 136/22: Eine Hochrechnung über mehrere Jahre überdehnt die heranzuziehende Prognosebasis" xr:uid="{7114A61D-E154-47F4-90D5-AE74FA0AFDB0}"/>
    <hyperlink ref="D20" r:id="rId4" xr:uid="{9B70DCA8-0395-4E67-B951-0675E68B8679}"/>
    <hyperlink ref="D23" r:id="rId5" display="https://www.gesetze-im-internet.de/sgb_6/__97a.html" xr:uid="{DB50FB94-1A37-4E25-B9EC-A43F3CD9460A}"/>
    <hyperlink ref="D24" r:id="rId6" display="https://www.gesetze-im-internet.de/sgb_6/__97a.html" xr:uid="{57F96AC4-EAFD-486D-A68D-C782EA3A51DE}"/>
    <hyperlink ref="D28" r:id="rId7" display="https://www.gesetze-im-internet.de/sgb_6/__97a.html" xr:uid="{606695D1-3669-4042-B08D-609453D90BCA}"/>
    <hyperlink ref="D29" r:id="rId8" display="https://www.gesetze-im-internet.de/sgb_6/__97a.html" xr:uid="{9C9B4626-83AB-4104-8628-0C35EE057842}"/>
    <hyperlink ref="K2:L3" r:id="rId9" display="OLG Brandenbg. 6.10.22 - 9 UF 28/21 und OLG Bambg. 2.11.22 - 2 UF 136/22 FamRB 2023, 13" xr:uid="{C152409F-0CE6-41CC-8CBB-D8EC197C468F}"/>
  </hyperlinks>
  <pageMargins left="0.11811023622047245" right="0.11811023622047245" top="0.59055118110236227" bottom="0.39370078740157483" header="0.31496062992125984" footer="0.31496062992125984"/>
  <pageSetup paperSize="9" scale="89" orientation="landscape" r:id="rId10"/>
  <drawing r:id="rId11"/>
  <legacyDrawing r:id="rId12"/>
  <mc:AlternateContent xmlns:mc="http://schemas.openxmlformats.org/markup-compatibility/2006">
    <mc:Choice Requires="x14">
      <controls>
        <mc:AlternateContent xmlns:mc="http://schemas.openxmlformats.org/markup-compatibility/2006">
          <mc:Choice Requires="x14">
            <control shapeId="1916929" r:id="rId13" name="Check Box 1">
              <controlPr defaultSize="0" autoFill="0" autoLine="0" autoPict="0">
                <anchor moveWithCells="1">
                  <from>
                    <xdr:col>3</xdr:col>
                    <xdr:colOff>3638550</xdr:colOff>
                    <xdr:row>4</xdr:row>
                    <xdr:rowOff>171450</xdr:rowOff>
                  </from>
                  <to>
                    <xdr:col>4</xdr:col>
                    <xdr:colOff>28575</xdr:colOff>
                    <xdr:row>6</xdr:row>
                    <xdr:rowOff>28575</xdr:rowOff>
                  </to>
                </anchor>
              </controlPr>
            </control>
          </mc:Choice>
        </mc:AlternateContent>
        <mc:AlternateContent xmlns:mc="http://schemas.openxmlformats.org/markup-compatibility/2006">
          <mc:Choice Requires="x14">
            <control shapeId="1916930" r:id="rId14" name="Check Box 2">
              <controlPr defaultSize="0" autoFill="0" autoLine="0" autoPict="0">
                <anchor moveWithCells="1">
                  <from>
                    <xdr:col>4</xdr:col>
                    <xdr:colOff>28575</xdr:colOff>
                    <xdr:row>19</xdr:row>
                    <xdr:rowOff>190500</xdr:rowOff>
                  </from>
                  <to>
                    <xdr:col>4</xdr:col>
                    <xdr:colOff>895350</xdr:colOff>
                    <xdr:row>22</xdr:row>
                    <xdr:rowOff>0</xdr:rowOff>
                  </to>
                </anchor>
              </controlPr>
            </control>
          </mc:Choice>
        </mc:AlternateContent>
        <mc:AlternateContent xmlns:mc="http://schemas.openxmlformats.org/markup-compatibility/2006">
          <mc:Choice Requires="x14">
            <control shapeId="1916931" r:id="rId15" name="Check Box 3">
              <controlPr defaultSize="0" autoFill="0" autoLine="0" autoPict="0">
                <anchor moveWithCells="1">
                  <from>
                    <xdr:col>6</xdr:col>
                    <xdr:colOff>28575</xdr:colOff>
                    <xdr:row>19</xdr:row>
                    <xdr:rowOff>190500</xdr:rowOff>
                  </from>
                  <to>
                    <xdr:col>6</xdr:col>
                    <xdr:colOff>895350</xdr:colOff>
                    <xdr:row>22</xdr:row>
                    <xdr:rowOff>0</xdr:rowOff>
                  </to>
                </anchor>
              </controlPr>
            </control>
          </mc:Choice>
        </mc:AlternateContent>
        <mc:AlternateContent xmlns:mc="http://schemas.openxmlformats.org/markup-compatibility/2006">
          <mc:Choice Requires="x14">
            <control shapeId="1916932" r:id="rId16" name="Check Box 4">
              <controlPr defaultSize="0" autoFill="0" autoLine="0" autoPict="0">
                <anchor moveWithCells="1">
                  <from>
                    <xdr:col>9</xdr:col>
                    <xdr:colOff>180975</xdr:colOff>
                    <xdr:row>7</xdr:row>
                    <xdr:rowOff>171450</xdr:rowOff>
                  </from>
                  <to>
                    <xdr:col>10</xdr:col>
                    <xdr:colOff>219075</xdr:colOff>
                    <xdr:row>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 id="{E173DEAE-19AD-429C-B082-2B569F0B05A6}">
            <xm:f>AND($E$4="",Fallerfassung!$V$3&gt;0)</xm:f>
            <x14:dxf>
              <fill>
                <patternFill>
                  <bgColor theme="4" tint="0.39994506668294322"/>
                </patternFill>
              </fill>
            </x14:dxf>
          </x14:cfRule>
          <xm:sqref>F4</xm:sqref>
        </x14:conditionalFormatting>
        <x14:conditionalFormatting xmlns:xm="http://schemas.microsoft.com/office/excel/2006/main">
          <x14:cfRule type="expression" priority="786" id="{5A888674-0E33-4589-B169-98FEB6118E54}">
            <xm:f>AND($E$7="",Fallerfassung!$T$6&lt;&gt;"")</xm:f>
            <x14:dxf>
              <fill>
                <patternFill>
                  <bgColor theme="4" tint="0.39994506668294322"/>
                </patternFill>
              </fill>
            </x14:dxf>
          </x14:cfRule>
          <xm:sqref>F7</xm:sqref>
        </x14:conditionalFormatting>
        <x14:conditionalFormatting xmlns:xm="http://schemas.microsoft.com/office/excel/2006/main">
          <x14:cfRule type="expression" priority="800" id="{D9B2FD95-C1E5-45FB-AE87-51435E710714}">
            <xm:f>AND($G$7="",Fallerfassung!$V$6&lt;&gt;"")</xm:f>
            <x14:dxf>
              <fill>
                <patternFill>
                  <bgColor theme="4" tint="0.39994506668294322"/>
                </patternFill>
              </fill>
            </x14:dxf>
          </x14:cfRule>
          <xm:sqref>H7</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A030D-20A7-4B67-AC58-8EB36DB4AAA3}">
  <sheetPr codeName="Tabelle50"/>
  <dimension ref="B3:Z51"/>
  <sheetViews>
    <sheetView topLeftCell="K19" workbookViewId="0">
      <selection activeCell="K19" sqref="A1:XFD1048576"/>
    </sheetView>
  </sheetViews>
  <sheetFormatPr baseColWidth="10" defaultColWidth="11" defaultRowHeight="14.25"/>
  <cols>
    <col min="2" max="2" width="27.75" customWidth="1"/>
    <col min="3" max="3" width="11.75" customWidth="1"/>
    <col min="5" max="5" width="11.625" customWidth="1"/>
    <col min="8" max="14" width="11.625" customWidth="1"/>
  </cols>
  <sheetData>
    <row r="3" spans="2:26">
      <c r="B3" t="s">
        <v>1471</v>
      </c>
      <c r="C3" s="59">
        <f ca="1">TODAY()</f>
        <v>45414</v>
      </c>
      <c r="F3" t="s">
        <v>205</v>
      </c>
      <c r="G3" s="59">
        <v>28307</v>
      </c>
      <c r="H3" s="2131" t="s">
        <v>1457</v>
      </c>
      <c r="I3" s="2131"/>
      <c r="J3" s="2131"/>
      <c r="K3" s="2131"/>
      <c r="L3" s="2131"/>
      <c r="M3" s="2131"/>
      <c r="N3" s="2131"/>
      <c r="P3" s="2131" t="s">
        <v>1458</v>
      </c>
      <c r="Q3" s="2131"/>
      <c r="R3" s="2131"/>
      <c r="S3" s="2131"/>
      <c r="T3" s="2131"/>
      <c r="U3" s="2131"/>
      <c r="V3" s="2131"/>
    </row>
    <row r="4" spans="2:26">
      <c r="B4" t="s">
        <v>326</v>
      </c>
      <c r="C4" s="59">
        <v>38017</v>
      </c>
      <c r="F4" t="s">
        <v>23</v>
      </c>
      <c r="H4" t="s">
        <v>205</v>
      </c>
      <c r="I4" s="59">
        <v>28307</v>
      </c>
      <c r="J4" s="59">
        <v>30834</v>
      </c>
      <c r="K4" s="59">
        <v>37257</v>
      </c>
      <c r="L4" s="59">
        <v>37622</v>
      </c>
      <c r="M4" s="59">
        <v>38869</v>
      </c>
      <c r="N4" s="59">
        <v>39630</v>
      </c>
      <c r="P4" t="s">
        <v>205</v>
      </c>
      <c r="Q4" s="59">
        <v>28307</v>
      </c>
      <c r="R4" s="59">
        <v>30834</v>
      </c>
      <c r="S4" s="59">
        <v>37257</v>
      </c>
      <c r="T4" s="59">
        <v>37622</v>
      </c>
      <c r="U4" s="59">
        <v>38869</v>
      </c>
      <c r="V4" s="59">
        <v>39630</v>
      </c>
    </row>
    <row r="5" spans="2:26" ht="15.75">
      <c r="B5" t="s">
        <v>7</v>
      </c>
      <c r="C5" s="132">
        <v>47</v>
      </c>
      <c r="H5" s="1605">
        <v>0</v>
      </c>
      <c r="I5" s="1605">
        <v>1</v>
      </c>
      <c r="J5" s="1605">
        <v>1</v>
      </c>
      <c r="K5" s="1605">
        <v>1</v>
      </c>
      <c r="L5" s="1605">
        <v>1.3</v>
      </c>
      <c r="M5" s="1605">
        <v>2</v>
      </c>
      <c r="N5" s="1605">
        <v>2</v>
      </c>
      <c r="P5" s="1605">
        <v>0</v>
      </c>
      <c r="Q5" s="1605">
        <v>0.7</v>
      </c>
      <c r="R5" s="1605">
        <v>0.7</v>
      </c>
      <c r="S5" s="1605">
        <v>0.7</v>
      </c>
      <c r="T5" s="1605">
        <v>1</v>
      </c>
      <c r="U5" s="1605">
        <v>1.6</v>
      </c>
      <c r="V5" s="1605">
        <v>1.6</v>
      </c>
      <c r="W5" s="1606"/>
      <c r="X5" s="1605"/>
      <c r="Y5" s="1605"/>
      <c r="Z5" s="1605"/>
    </row>
    <row r="6" spans="2:26" ht="15.75">
      <c r="B6" t="s">
        <v>1459</v>
      </c>
      <c r="C6" s="132">
        <v>65</v>
      </c>
      <c r="H6" s="1605">
        <v>26</v>
      </c>
      <c r="I6" s="1605">
        <v>1.1000000000000001</v>
      </c>
      <c r="J6" s="1605">
        <v>1.1000000000000001</v>
      </c>
      <c r="K6" s="1605">
        <v>1.1000000000000001</v>
      </c>
      <c r="L6" s="1605">
        <v>1.4</v>
      </c>
      <c r="M6" s="1605">
        <v>2.1</v>
      </c>
      <c r="N6" s="1605">
        <v>2.1</v>
      </c>
      <c r="P6" s="1605">
        <v>26</v>
      </c>
      <c r="Q6" s="1605">
        <v>0.8</v>
      </c>
      <c r="R6" s="1605">
        <v>0.8</v>
      </c>
      <c r="S6" s="1605">
        <v>0.8</v>
      </c>
      <c r="T6" s="1605">
        <v>1.1000000000000001</v>
      </c>
      <c r="U6" s="1605">
        <v>1.7</v>
      </c>
      <c r="V6" s="1605">
        <v>1.7</v>
      </c>
      <c r="W6" s="1606"/>
      <c r="X6" s="1605"/>
      <c r="Y6" s="1605"/>
      <c r="Z6" s="1605"/>
    </row>
    <row r="7" spans="2:26" ht="15.75">
      <c r="B7" t="s">
        <v>21</v>
      </c>
      <c r="C7" s="157">
        <f>813.06/1.95583</f>
        <v>415.7109769253974</v>
      </c>
      <c r="D7" t="s">
        <v>583</v>
      </c>
      <c r="E7" t="s">
        <v>1460</v>
      </c>
      <c r="F7" t="s">
        <v>1461</v>
      </c>
      <c r="H7" s="1605">
        <v>27</v>
      </c>
      <c r="I7" s="1605">
        <v>1.1000000000000001</v>
      </c>
      <c r="J7" s="1605">
        <v>1.1000000000000001</v>
      </c>
      <c r="K7" s="1605">
        <v>1.1000000000000001</v>
      </c>
      <c r="L7" s="1605">
        <v>1.5</v>
      </c>
      <c r="M7" s="1605">
        <v>2.2000000000000002</v>
      </c>
      <c r="N7" s="1605">
        <v>2.2000000000000002</v>
      </c>
      <c r="P7" s="1605">
        <v>27</v>
      </c>
      <c r="Q7" s="1605">
        <v>0.8</v>
      </c>
      <c r="R7" s="1605">
        <v>0.8</v>
      </c>
      <c r="S7" s="1605">
        <v>0.8</v>
      </c>
      <c r="T7" s="1605">
        <v>1.1000000000000001</v>
      </c>
      <c r="U7" s="1605">
        <v>1.8</v>
      </c>
      <c r="V7" s="1605">
        <v>1.8</v>
      </c>
      <c r="W7" s="1606"/>
      <c r="X7" s="1605"/>
      <c r="Y7" s="1605"/>
      <c r="Z7" s="1605"/>
    </row>
    <row r="8" spans="2:26" ht="15.75">
      <c r="B8" t="s">
        <v>1236</v>
      </c>
      <c r="C8" s="4" t="s">
        <v>472</v>
      </c>
      <c r="H8" s="1605">
        <v>28</v>
      </c>
      <c r="I8" s="1605">
        <v>1.2</v>
      </c>
      <c r="J8" s="1605">
        <v>1.2</v>
      </c>
      <c r="K8" s="1605">
        <v>1.2</v>
      </c>
      <c r="L8" s="1605">
        <v>1.5</v>
      </c>
      <c r="M8" s="1605">
        <v>2.2999999999999998</v>
      </c>
      <c r="N8" s="1605">
        <v>2.2999999999999998</v>
      </c>
      <c r="P8" s="1605">
        <v>28</v>
      </c>
      <c r="Q8" s="1605">
        <v>0.9</v>
      </c>
      <c r="R8" s="1605">
        <v>0.9</v>
      </c>
      <c r="S8" s="1605">
        <v>0.9</v>
      </c>
      <c r="T8" s="1605">
        <v>1.2</v>
      </c>
      <c r="U8" s="1605">
        <v>1.9</v>
      </c>
      <c r="V8" s="1605">
        <v>1.9</v>
      </c>
      <c r="W8" s="1606"/>
      <c r="X8" s="1605"/>
      <c r="Y8" s="1605"/>
      <c r="Z8" s="1605"/>
    </row>
    <row r="9" spans="2:26" ht="15.75">
      <c r="B9" t="s">
        <v>267</v>
      </c>
      <c r="C9" s="4" t="s">
        <v>482</v>
      </c>
      <c r="G9" t="s">
        <v>1462</v>
      </c>
      <c r="H9" s="1605">
        <v>29</v>
      </c>
      <c r="I9" s="1605">
        <v>1.3</v>
      </c>
      <c r="J9" s="1605">
        <v>1.3</v>
      </c>
      <c r="K9" s="1605">
        <v>1.3</v>
      </c>
      <c r="L9" s="1605">
        <v>1.6</v>
      </c>
      <c r="M9" s="1605">
        <v>2.4</v>
      </c>
      <c r="N9" s="1605">
        <v>2.4</v>
      </c>
      <c r="P9" s="1605">
        <v>29</v>
      </c>
      <c r="Q9" s="1605">
        <v>0.9</v>
      </c>
      <c r="R9" s="1605">
        <v>0.9</v>
      </c>
      <c r="S9" s="1605">
        <v>0.9</v>
      </c>
      <c r="T9" s="1605">
        <v>1.3</v>
      </c>
      <c r="U9" s="1605">
        <v>1.9</v>
      </c>
      <c r="V9" s="1605">
        <v>1.9</v>
      </c>
      <c r="W9" s="1606"/>
      <c r="X9" s="1605"/>
      <c r="Y9" s="1605"/>
      <c r="Z9" s="1605"/>
    </row>
    <row r="10" spans="2:26" ht="15.75">
      <c r="B10" t="s">
        <v>1463</v>
      </c>
      <c r="C10" s="59">
        <f>+LOOKUP(C4,H4:N4)</f>
        <v>37622</v>
      </c>
      <c r="D10">
        <f>HLOOKUP(C4,H4:N49,IF(C5&gt;65,65,C5)-23,TRUE)</f>
        <v>4.2</v>
      </c>
      <c r="E10" s="1607">
        <f>(65-C6)*IF(C6&lt;65,HLOOKUP(C4,H4:N49,43,TRUE),HLOOKUP(C4,H4:N49,45,TRUE))</f>
        <v>0</v>
      </c>
      <c r="F10" s="578">
        <f>IF(C9="Ja",HLOOKUP(C4,H4:N50,47,TRUE),0)</f>
        <v>0.65</v>
      </c>
      <c r="G10">
        <f>HLOOKUP(C4,P4:V49,IF(C5&gt;65,65,C5)-23,TRUE)</f>
        <v>3.5</v>
      </c>
      <c r="H10" s="1605">
        <v>30</v>
      </c>
      <c r="I10" s="1605">
        <v>1.3</v>
      </c>
      <c r="J10" s="1605">
        <v>1.3</v>
      </c>
      <c r="K10" s="1605">
        <v>1.3</v>
      </c>
      <c r="L10" s="1605">
        <v>1.7</v>
      </c>
      <c r="M10" s="1605">
        <v>2.5</v>
      </c>
      <c r="N10" s="1605">
        <v>2.5</v>
      </c>
      <c r="P10" s="1605">
        <v>30</v>
      </c>
      <c r="Q10" s="1605">
        <v>1</v>
      </c>
      <c r="R10" s="1605">
        <v>1</v>
      </c>
      <c r="S10" s="1605">
        <v>1</v>
      </c>
      <c r="T10" s="1605">
        <v>1.4</v>
      </c>
      <c r="U10" s="1605">
        <v>2</v>
      </c>
      <c r="V10" s="1605">
        <v>2</v>
      </c>
      <c r="W10" s="1606"/>
      <c r="X10" s="1605"/>
      <c r="Y10" s="1605"/>
      <c r="Z10" s="1605"/>
    </row>
    <row r="11" spans="2:26" ht="15.75">
      <c r="B11" t="s">
        <v>1475</v>
      </c>
      <c r="C11" s="132">
        <f>+D10*(1+E10+F10)</f>
        <v>6.93</v>
      </c>
      <c r="H11" s="1605">
        <v>31</v>
      </c>
      <c r="I11" s="1605">
        <v>1.4</v>
      </c>
      <c r="J11" s="1605">
        <v>1.4</v>
      </c>
      <c r="K11" s="1605">
        <v>1.4</v>
      </c>
      <c r="L11" s="1605">
        <v>1.8</v>
      </c>
      <c r="M11" s="1605">
        <v>2.6</v>
      </c>
      <c r="N11" s="1605">
        <v>2.6</v>
      </c>
      <c r="P11" s="1605">
        <v>31</v>
      </c>
      <c r="Q11" s="1605">
        <v>1</v>
      </c>
      <c r="R11" s="1605">
        <v>1</v>
      </c>
      <c r="S11" s="1605">
        <v>1</v>
      </c>
      <c r="T11" s="1605">
        <v>1.4</v>
      </c>
      <c r="U11" s="1605">
        <v>2.1</v>
      </c>
      <c r="V11" s="1605">
        <v>2.1</v>
      </c>
      <c r="W11" s="1606"/>
      <c r="X11" s="1605"/>
      <c r="Y11" s="1605"/>
      <c r="Z11" s="1605"/>
    </row>
    <row r="12" spans="2:26" ht="15.75">
      <c r="B12" t="s">
        <v>1464</v>
      </c>
      <c r="C12" s="157">
        <f>+C7*12</f>
        <v>4988.5317231047684</v>
      </c>
      <c r="H12" s="1605">
        <v>32</v>
      </c>
      <c r="I12" s="1605">
        <v>1.5</v>
      </c>
      <c r="J12" s="1605">
        <v>1.5</v>
      </c>
      <c r="K12" s="1605">
        <v>1.5</v>
      </c>
      <c r="L12" s="1605">
        <v>1.9</v>
      </c>
      <c r="M12" s="1605">
        <v>2.7</v>
      </c>
      <c r="N12" s="1605">
        <v>2.7</v>
      </c>
      <c r="P12" s="1605">
        <v>32</v>
      </c>
      <c r="Q12" s="1605">
        <v>1.1000000000000001</v>
      </c>
      <c r="R12" s="1605">
        <v>1.1000000000000001</v>
      </c>
      <c r="S12" s="1605">
        <v>1.1000000000000001</v>
      </c>
      <c r="T12" s="1605">
        <v>1.5</v>
      </c>
      <c r="U12" s="1605">
        <v>2.2000000000000002</v>
      </c>
      <c r="V12" s="1605">
        <v>2.2000000000000002</v>
      </c>
      <c r="W12" s="1606"/>
      <c r="X12" s="1605"/>
      <c r="Y12" s="1605"/>
      <c r="Z12" s="1605"/>
    </row>
    <row r="13" spans="2:26" ht="15.75">
      <c r="B13" t="s">
        <v>567</v>
      </c>
      <c r="C13" s="157">
        <f>+C11*C12</f>
        <v>34570.524841116043</v>
      </c>
      <c r="H13" s="1605">
        <v>33</v>
      </c>
      <c r="I13" s="1605">
        <v>1.6</v>
      </c>
      <c r="J13" s="1605">
        <v>1.6</v>
      </c>
      <c r="K13" s="1605">
        <v>1.6</v>
      </c>
      <c r="L13" s="1605">
        <v>2</v>
      </c>
      <c r="M13" s="1605">
        <v>2.8</v>
      </c>
      <c r="N13" s="1605">
        <v>2.8</v>
      </c>
      <c r="P13" s="1605">
        <v>33</v>
      </c>
      <c r="Q13" s="1605">
        <v>1.1000000000000001</v>
      </c>
      <c r="R13" s="1605">
        <v>1.1000000000000001</v>
      </c>
      <c r="S13" s="1605">
        <v>1.1000000000000001</v>
      </c>
      <c r="T13" s="1605">
        <v>1.6</v>
      </c>
      <c r="U13" s="1605">
        <v>2.2999999999999998</v>
      </c>
      <c r="V13" s="1605">
        <v>2.2999999999999998</v>
      </c>
      <c r="W13" s="1606"/>
      <c r="X13" s="1605"/>
      <c r="Y13" s="1605"/>
      <c r="Z13" s="1605"/>
    </row>
    <row r="14" spans="2:26" ht="15.75">
      <c r="B14" t="s">
        <v>62</v>
      </c>
      <c r="C14">
        <f>ROUND(VLOOKUP(C4,Umrechnungsfaktoren_BeitraginEP,2)*C13,4)</f>
        <v>6.0244</v>
      </c>
      <c r="H14" s="1605">
        <v>34</v>
      </c>
      <c r="I14" s="1605">
        <v>1.7</v>
      </c>
      <c r="J14" s="1605">
        <v>1.7</v>
      </c>
      <c r="K14" s="1605">
        <v>1.7</v>
      </c>
      <c r="L14" s="1605">
        <v>2.1</v>
      </c>
      <c r="M14" s="1605">
        <v>3</v>
      </c>
      <c r="N14" s="1605">
        <v>3</v>
      </c>
      <c r="P14" s="1605">
        <v>34</v>
      </c>
      <c r="Q14" s="1605">
        <v>1.2</v>
      </c>
      <c r="R14" s="1605">
        <v>1.2</v>
      </c>
      <c r="S14" s="1605">
        <v>1.2</v>
      </c>
      <c r="T14" s="1605">
        <v>1.7</v>
      </c>
      <c r="U14" s="1605">
        <v>2.4</v>
      </c>
      <c r="V14" s="1605">
        <v>2.4</v>
      </c>
      <c r="W14" s="1606"/>
      <c r="X14" s="1605"/>
      <c r="Y14" s="1605"/>
      <c r="Z14" s="1605"/>
    </row>
    <row r="15" spans="2:26" ht="15.75">
      <c r="B15" t="s">
        <v>1436</v>
      </c>
      <c r="C15" s="157">
        <f>VLOOKUP(C4,aktRW,2)</f>
        <v>26.13</v>
      </c>
      <c r="H15" s="1605">
        <v>35</v>
      </c>
      <c r="I15" s="1605">
        <v>1.8</v>
      </c>
      <c r="J15" s="1605">
        <v>1.8</v>
      </c>
      <c r="K15" s="1605">
        <v>1.8</v>
      </c>
      <c r="L15" s="1605">
        <v>2.2000000000000002</v>
      </c>
      <c r="M15" s="1605">
        <v>3.1</v>
      </c>
      <c r="N15" s="1605">
        <v>3.1</v>
      </c>
      <c r="P15" s="1605">
        <v>35</v>
      </c>
      <c r="Q15" s="1605">
        <v>1.3</v>
      </c>
      <c r="R15" s="1605">
        <v>1.3</v>
      </c>
      <c r="S15" s="1605">
        <v>1.3</v>
      </c>
      <c r="T15" s="1605">
        <v>1.8</v>
      </c>
      <c r="U15" s="1605">
        <v>2.5</v>
      </c>
      <c r="V15" s="1605">
        <v>2.5</v>
      </c>
      <c r="W15" s="1606"/>
      <c r="X15" s="1605"/>
      <c r="Y15" s="1605"/>
      <c r="Z15" s="1605"/>
    </row>
    <row r="16" spans="2:26" ht="15.75">
      <c r="B16" t="s">
        <v>1470</v>
      </c>
      <c r="C16" s="157">
        <f>+C15*C14</f>
        <v>157.41757200000001</v>
      </c>
      <c r="H16" s="1605">
        <v>36</v>
      </c>
      <c r="I16" s="1605">
        <v>1.9</v>
      </c>
      <c r="J16" s="1605">
        <v>1.9</v>
      </c>
      <c r="K16" s="1605">
        <v>1.9</v>
      </c>
      <c r="L16" s="1605">
        <v>2.2999999999999998</v>
      </c>
      <c r="M16" s="1605">
        <v>3.2</v>
      </c>
      <c r="N16" s="1605">
        <v>3.2</v>
      </c>
      <c r="P16" s="1605">
        <v>36</v>
      </c>
      <c r="Q16" s="1605">
        <v>1.3</v>
      </c>
      <c r="R16" s="1605">
        <v>1.3</v>
      </c>
      <c r="S16" s="1605">
        <v>1.3</v>
      </c>
      <c r="T16" s="1605">
        <v>1.9</v>
      </c>
      <c r="U16" s="1605">
        <v>2.7</v>
      </c>
      <c r="V16" s="1605">
        <v>2.7</v>
      </c>
      <c r="W16" s="1606"/>
      <c r="X16" s="1605"/>
      <c r="Y16" s="1605"/>
      <c r="Z16" s="1605"/>
    </row>
    <row r="17" spans="2:26" ht="15.75">
      <c r="B17" t="s">
        <v>509</v>
      </c>
      <c r="C17" s="157">
        <f>+C16/2</f>
        <v>78.708786000000003</v>
      </c>
      <c r="H17" s="1605">
        <v>37</v>
      </c>
      <c r="I17" s="1605">
        <v>2</v>
      </c>
      <c r="J17" s="1605">
        <v>2</v>
      </c>
      <c r="K17" s="1605">
        <v>2</v>
      </c>
      <c r="L17" s="1605">
        <v>2.5</v>
      </c>
      <c r="M17" s="1605">
        <v>3.4</v>
      </c>
      <c r="N17" s="1605">
        <v>3.4</v>
      </c>
      <c r="P17" s="1605">
        <v>37</v>
      </c>
      <c r="Q17" s="1605">
        <v>1.4</v>
      </c>
      <c r="R17" s="1605">
        <v>1.4</v>
      </c>
      <c r="S17" s="1605">
        <v>1.4</v>
      </c>
      <c r="T17" s="1605">
        <v>2</v>
      </c>
      <c r="U17" s="1605">
        <v>2.8</v>
      </c>
      <c r="V17" s="1605">
        <v>2.8</v>
      </c>
      <c r="W17" s="1606"/>
      <c r="X17" s="1605"/>
      <c r="Y17" s="1605"/>
      <c r="Z17" s="1605"/>
    </row>
    <row r="18" spans="2:26" ht="15.75">
      <c r="B18" t="s">
        <v>1472</v>
      </c>
      <c r="C18" s="157">
        <f ca="1">VLOOKUP(C3,aktRW,2)</f>
        <v>37.6</v>
      </c>
      <c r="H18" s="1605">
        <v>38</v>
      </c>
      <c r="I18" s="1605">
        <v>2.1</v>
      </c>
      <c r="J18" s="1605">
        <v>2.1</v>
      </c>
      <c r="K18" s="1605">
        <v>2.1</v>
      </c>
      <c r="L18" s="1605">
        <v>2.6</v>
      </c>
      <c r="M18" s="1605">
        <v>3.5</v>
      </c>
      <c r="N18" s="1605">
        <v>3.5</v>
      </c>
      <c r="P18" s="1605">
        <v>38</v>
      </c>
      <c r="Q18" s="1605">
        <v>1.5</v>
      </c>
      <c r="R18" s="1605">
        <v>1.5</v>
      </c>
      <c r="S18" s="1605">
        <v>1.5</v>
      </c>
      <c r="T18" s="1605">
        <v>2.1</v>
      </c>
      <c r="U18" s="1605">
        <v>2.9</v>
      </c>
      <c r="V18" s="1605">
        <v>2.9</v>
      </c>
      <c r="W18" s="1606"/>
      <c r="X18" s="1605"/>
      <c r="Y18" s="1605"/>
      <c r="Z18" s="1605"/>
    </row>
    <row r="19" spans="2:26" ht="15.75">
      <c r="B19" t="s">
        <v>1225</v>
      </c>
      <c r="C19" s="157">
        <f ca="1">+C17*C18/C15</f>
        <v>113.25872000000001</v>
      </c>
      <c r="H19" s="1605">
        <v>39</v>
      </c>
      <c r="I19" s="1605">
        <v>2.2000000000000002</v>
      </c>
      <c r="J19" s="1605">
        <v>2.2000000000000002</v>
      </c>
      <c r="K19" s="1605">
        <v>2.2000000000000002</v>
      </c>
      <c r="L19" s="1605">
        <v>2.7</v>
      </c>
      <c r="M19" s="1605">
        <v>3.7</v>
      </c>
      <c r="N19" s="1605">
        <v>3.7</v>
      </c>
      <c r="P19" s="1605">
        <v>39</v>
      </c>
      <c r="Q19" s="1605">
        <v>1.6</v>
      </c>
      <c r="R19" s="1605">
        <v>1.6</v>
      </c>
      <c r="S19" s="1605">
        <v>1.6</v>
      </c>
      <c r="T19" s="1605">
        <v>2.2000000000000002</v>
      </c>
      <c r="U19" s="1605">
        <v>3.1</v>
      </c>
      <c r="V19" s="1605">
        <v>3.1</v>
      </c>
      <c r="W19" s="1606"/>
      <c r="X19" s="1605"/>
      <c r="Y19" s="1605"/>
      <c r="Z19" s="1605"/>
    </row>
    <row r="20" spans="2:26" ht="15.75">
      <c r="B20" t="s">
        <v>309</v>
      </c>
      <c r="C20" s="157">
        <f ca="1">+C16-C19</f>
        <v>44.158851999999996</v>
      </c>
      <c r="H20" s="1605">
        <v>40</v>
      </c>
      <c r="I20" s="1605">
        <v>2.2999999999999998</v>
      </c>
      <c r="J20" s="1605">
        <v>2.2999999999999998</v>
      </c>
      <c r="K20" s="1605">
        <v>2.2999999999999998</v>
      </c>
      <c r="L20" s="1605">
        <v>2.9</v>
      </c>
      <c r="M20" s="1605">
        <v>3.8</v>
      </c>
      <c r="N20" s="1605">
        <v>3.8</v>
      </c>
      <c r="P20" s="1605">
        <v>40</v>
      </c>
      <c r="Q20" s="1605">
        <v>1.7</v>
      </c>
      <c r="R20" s="1605">
        <v>1.7</v>
      </c>
      <c r="S20" s="1605">
        <v>1.7</v>
      </c>
      <c r="T20" s="1605">
        <v>2.2999999999999998</v>
      </c>
      <c r="U20" s="1605">
        <v>3.2</v>
      </c>
      <c r="V20" s="1605">
        <v>3.2</v>
      </c>
      <c r="W20" s="1606"/>
      <c r="X20" s="1605"/>
      <c r="Y20" s="1605"/>
      <c r="Z20" s="1605"/>
    </row>
    <row r="21" spans="2:26" ht="15.75">
      <c r="B21" t="s">
        <v>1473</v>
      </c>
      <c r="C21" s="576">
        <f ca="1">+C19/C16-1</f>
        <v>-0.28052047455032525</v>
      </c>
      <c r="H21" s="1605">
        <v>41</v>
      </c>
      <c r="I21" s="1605">
        <v>2.4</v>
      </c>
      <c r="J21" s="1605">
        <v>2.4</v>
      </c>
      <c r="K21" s="1605">
        <v>2.4</v>
      </c>
      <c r="L21" s="1605">
        <v>3</v>
      </c>
      <c r="M21" s="1605">
        <v>4</v>
      </c>
      <c r="N21" s="1605">
        <v>4</v>
      </c>
      <c r="P21" s="1605">
        <v>41</v>
      </c>
      <c r="Q21" s="1605">
        <v>1.8</v>
      </c>
      <c r="R21" s="1605">
        <v>1.8</v>
      </c>
      <c r="S21" s="1605">
        <v>1.8</v>
      </c>
      <c r="T21" s="1605">
        <v>2.5</v>
      </c>
      <c r="U21" s="1605">
        <v>3.4</v>
      </c>
      <c r="V21" s="1605">
        <v>3.4</v>
      </c>
      <c r="W21" s="1606"/>
      <c r="X21" s="1605"/>
      <c r="Y21" s="1605"/>
      <c r="Z21" s="1605"/>
    </row>
    <row r="22" spans="2:26" ht="15.75">
      <c r="B22" t="s">
        <v>1474</v>
      </c>
      <c r="C22">
        <f ca="1">VLOOKUP(YEAR(C3),MonatlicheBezugsgröße,4)</f>
        <v>35.35</v>
      </c>
      <c r="H22" s="1605">
        <v>42</v>
      </c>
      <c r="I22" s="1605">
        <v>2.5</v>
      </c>
      <c r="J22" s="1605">
        <v>2.5</v>
      </c>
      <c r="K22" s="1605">
        <v>2.5</v>
      </c>
      <c r="L22" s="1605">
        <v>3.2</v>
      </c>
      <c r="M22" s="1605">
        <v>4.2</v>
      </c>
      <c r="N22" s="1605">
        <v>4.2</v>
      </c>
      <c r="P22" s="1605">
        <v>42</v>
      </c>
      <c r="Q22" s="1605">
        <v>1.9</v>
      </c>
      <c r="R22" s="1605">
        <v>1.9</v>
      </c>
      <c r="S22" s="1605">
        <v>1.9</v>
      </c>
      <c r="T22" s="1605">
        <v>2.6</v>
      </c>
      <c r="U22" s="1605">
        <v>3.5</v>
      </c>
      <c r="V22" s="1605">
        <v>3.5</v>
      </c>
      <c r="W22" s="1606"/>
      <c r="X22" s="1605"/>
      <c r="Y22" s="1605"/>
      <c r="Z22" s="1605"/>
    </row>
    <row r="23" spans="2:26" ht="15.75">
      <c r="H23" s="1605">
        <v>43</v>
      </c>
      <c r="I23" s="1605">
        <v>2.7</v>
      </c>
      <c r="J23" s="1605">
        <v>2.7</v>
      </c>
      <c r="K23" s="1605">
        <v>2.7</v>
      </c>
      <c r="L23" s="1605">
        <v>3.4</v>
      </c>
      <c r="M23" s="1605">
        <v>4.4000000000000004</v>
      </c>
      <c r="N23" s="1605">
        <v>4.4000000000000004</v>
      </c>
      <c r="P23" s="1605">
        <v>43</v>
      </c>
      <c r="Q23" s="1605">
        <v>2</v>
      </c>
      <c r="R23" s="1605">
        <v>2</v>
      </c>
      <c r="S23" s="1605">
        <v>2</v>
      </c>
      <c r="T23" s="1605">
        <v>2.8</v>
      </c>
      <c r="U23" s="1605">
        <v>3.7</v>
      </c>
      <c r="V23" s="1605">
        <v>3.7</v>
      </c>
      <c r="W23" s="1606"/>
      <c r="X23" s="1605"/>
      <c r="Y23" s="1605"/>
      <c r="Z23" s="1605"/>
    </row>
    <row r="24" spans="2:26" ht="15.75">
      <c r="H24" s="1605">
        <v>44</v>
      </c>
      <c r="I24" s="1605">
        <v>2.8</v>
      </c>
      <c r="J24" s="1605">
        <v>2.8</v>
      </c>
      <c r="K24" s="1605">
        <v>2.8</v>
      </c>
      <c r="L24" s="1605">
        <v>3.6</v>
      </c>
      <c r="M24" s="1605">
        <v>4.5999999999999996</v>
      </c>
      <c r="N24" s="1605">
        <v>4.5999999999999996</v>
      </c>
      <c r="P24" s="1605">
        <v>44</v>
      </c>
      <c r="Q24" s="1605">
        <v>2.1</v>
      </c>
      <c r="R24" s="1605">
        <v>2.1</v>
      </c>
      <c r="S24" s="1605">
        <v>2.1</v>
      </c>
      <c r="T24" s="1605">
        <v>2.9</v>
      </c>
      <c r="U24" s="1605">
        <v>3.9</v>
      </c>
      <c r="V24" s="1605">
        <v>3.9</v>
      </c>
      <c r="W24" s="1606"/>
      <c r="X24" s="1605"/>
      <c r="Y24" s="1605"/>
      <c r="Z24" s="1605"/>
    </row>
    <row r="25" spans="2:26" ht="15.75">
      <c r="H25" s="1605">
        <v>45</v>
      </c>
      <c r="I25" s="1605">
        <v>3</v>
      </c>
      <c r="J25" s="1605">
        <v>3</v>
      </c>
      <c r="K25" s="1605">
        <v>3</v>
      </c>
      <c r="L25" s="1605">
        <v>3.8</v>
      </c>
      <c r="M25" s="1605">
        <v>4.8</v>
      </c>
      <c r="N25" s="1605">
        <v>4.8</v>
      </c>
      <c r="P25" s="1605">
        <v>45</v>
      </c>
      <c r="Q25" s="1605">
        <v>2.2999999999999998</v>
      </c>
      <c r="R25" s="1605">
        <v>2.2999999999999998</v>
      </c>
      <c r="S25" s="1605">
        <v>2.2999999999999998</v>
      </c>
      <c r="T25" s="1605">
        <v>3.1</v>
      </c>
      <c r="U25" s="1605">
        <v>4</v>
      </c>
      <c r="V25" s="1605">
        <v>4</v>
      </c>
      <c r="W25" s="1606"/>
      <c r="X25" s="1608"/>
      <c r="Y25" s="1605"/>
      <c r="Z25" s="1605"/>
    </row>
    <row r="26" spans="2:26" ht="15">
      <c r="H26" s="1605">
        <v>46</v>
      </c>
      <c r="I26" s="1605">
        <v>3.2</v>
      </c>
      <c r="J26" s="1605">
        <v>3.2</v>
      </c>
      <c r="K26" s="1605">
        <v>3.2</v>
      </c>
      <c r="L26" s="1605">
        <v>4</v>
      </c>
      <c r="M26" s="1605">
        <v>5</v>
      </c>
      <c r="N26" s="1605">
        <v>5</v>
      </c>
      <c r="P26" s="1605">
        <v>46</v>
      </c>
      <c r="Q26" s="1605">
        <v>2.4</v>
      </c>
      <c r="R26" s="1605">
        <v>2.4</v>
      </c>
      <c r="S26" s="1605">
        <v>2.4</v>
      </c>
      <c r="T26" s="1605">
        <v>3.3</v>
      </c>
      <c r="U26" s="1605">
        <v>4.2</v>
      </c>
      <c r="V26" s="1605">
        <v>4.2</v>
      </c>
    </row>
    <row r="27" spans="2:26" ht="15">
      <c r="H27" s="1605">
        <v>47</v>
      </c>
      <c r="I27" s="1605">
        <v>3.3</v>
      </c>
      <c r="J27" s="1605">
        <v>3.3</v>
      </c>
      <c r="K27" s="1605">
        <v>3.3</v>
      </c>
      <c r="L27" s="1605">
        <v>4.2</v>
      </c>
      <c r="M27" s="1605">
        <v>5.2</v>
      </c>
      <c r="N27" s="1605">
        <v>5.2</v>
      </c>
      <c r="P27" s="1605">
        <v>47</v>
      </c>
      <c r="Q27" s="1605">
        <v>2.6</v>
      </c>
      <c r="R27" s="1605">
        <v>2.6</v>
      </c>
      <c r="S27" s="1605">
        <v>2.6</v>
      </c>
      <c r="T27" s="1605">
        <v>3.5</v>
      </c>
      <c r="U27" s="1605">
        <v>4.5</v>
      </c>
      <c r="V27" s="1605">
        <v>4.5</v>
      </c>
    </row>
    <row r="28" spans="2:26" ht="15">
      <c r="H28" s="1605">
        <v>48</v>
      </c>
      <c r="I28" s="1605">
        <v>3.5</v>
      </c>
      <c r="J28" s="1605">
        <v>3.5</v>
      </c>
      <c r="K28" s="1605">
        <v>3.5</v>
      </c>
      <c r="L28" s="1605">
        <v>4.4000000000000004</v>
      </c>
      <c r="M28" s="1605">
        <v>5.4</v>
      </c>
      <c r="N28" s="1605">
        <v>5.4</v>
      </c>
      <c r="P28" s="1605">
        <v>48</v>
      </c>
      <c r="Q28" s="1605">
        <v>2.7</v>
      </c>
      <c r="R28" s="1605">
        <v>2.7</v>
      </c>
      <c r="S28" s="1605">
        <v>2.7</v>
      </c>
      <c r="T28" s="1605">
        <v>3.7</v>
      </c>
      <c r="U28" s="1605">
        <v>4.7</v>
      </c>
      <c r="V28" s="1605">
        <v>4.7</v>
      </c>
    </row>
    <row r="29" spans="2:26" ht="15">
      <c r="H29" s="1605">
        <v>49</v>
      </c>
      <c r="I29" s="1605">
        <v>3.7</v>
      </c>
      <c r="J29" s="1605">
        <v>3.7</v>
      </c>
      <c r="K29" s="1605">
        <v>3.7</v>
      </c>
      <c r="L29" s="1605">
        <v>4.5999999999999996</v>
      </c>
      <c r="M29" s="1605">
        <v>5.7</v>
      </c>
      <c r="N29" s="1605">
        <v>5.7</v>
      </c>
      <c r="P29" s="1605">
        <v>49</v>
      </c>
      <c r="Q29" s="1605">
        <v>2.9</v>
      </c>
      <c r="R29" s="1605">
        <v>2.9</v>
      </c>
      <c r="S29" s="1605">
        <v>2.9</v>
      </c>
      <c r="T29" s="1605">
        <v>3.9</v>
      </c>
      <c r="U29" s="1605">
        <v>4.9000000000000004</v>
      </c>
      <c r="V29" s="1605">
        <v>4.9000000000000004</v>
      </c>
    </row>
    <row r="30" spans="2:26" ht="15">
      <c r="H30" s="1605">
        <v>50</v>
      </c>
      <c r="I30" s="1605">
        <v>3.9</v>
      </c>
      <c r="J30" s="1605">
        <v>3.9</v>
      </c>
      <c r="K30" s="1605">
        <v>3.9</v>
      </c>
      <c r="L30" s="1605">
        <v>4.9000000000000004</v>
      </c>
      <c r="M30" s="1605">
        <v>5.9</v>
      </c>
      <c r="N30" s="1605">
        <v>5.9</v>
      </c>
      <c r="P30" s="1605">
        <v>50</v>
      </c>
      <c r="Q30" s="1605">
        <v>3.1</v>
      </c>
      <c r="R30" s="1605">
        <v>3.1</v>
      </c>
      <c r="S30" s="1605">
        <v>3.1</v>
      </c>
      <c r="T30" s="1605">
        <v>4.0999999999999996</v>
      </c>
      <c r="U30" s="1605">
        <v>5.0999999999999996</v>
      </c>
      <c r="V30" s="1605">
        <v>5.0999999999999996</v>
      </c>
    </row>
    <row r="31" spans="2:26" ht="15">
      <c r="H31" s="1605">
        <v>51</v>
      </c>
      <c r="I31" s="1605">
        <v>4.2</v>
      </c>
      <c r="J31" s="1605">
        <v>4.2</v>
      </c>
      <c r="K31" s="1605">
        <v>4.2</v>
      </c>
      <c r="L31" s="1605">
        <v>5.0999999999999996</v>
      </c>
      <c r="M31" s="1605">
        <v>6.2</v>
      </c>
      <c r="N31" s="1605">
        <v>6.2</v>
      </c>
      <c r="P31" s="1605">
        <v>51</v>
      </c>
      <c r="Q31" s="1605">
        <v>3.3</v>
      </c>
      <c r="R31" s="1605">
        <v>3.3</v>
      </c>
      <c r="S31" s="1605">
        <v>3.3</v>
      </c>
      <c r="T31" s="1605">
        <v>4.4000000000000004</v>
      </c>
      <c r="U31" s="1605">
        <v>5.4</v>
      </c>
      <c r="V31" s="1605">
        <v>5.4</v>
      </c>
    </row>
    <row r="32" spans="2:26" ht="15">
      <c r="H32" s="1605">
        <v>52</v>
      </c>
      <c r="I32" s="1605">
        <v>4.4000000000000004</v>
      </c>
      <c r="J32" s="1605">
        <v>4.4000000000000004</v>
      </c>
      <c r="K32" s="1605">
        <v>4.4000000000000004</v>
      </c>
      <c r="L32" s="1605">
        <v>5.4</v>
      </c>
      <c r="M32" s="1605">
        <v>6.5</v>
      </c>
      <c r="N32" s="1605">
        <v>6.5</v>
      </c>
      <c r="P32" s="1605">
        <v>52</v>
      </c>
      <c r="Q32" s="1605">
        <v>3.5</v>
      </c>
      <c r="R32" s="1605">
        <v>3.5</v>
      </c>
      <c r="S32" s="1605">
        <v>3.5</v>
      </c>
      <c r="T32" s="1605">
        <v>4.7</v>
      </c>
      <c r="U32" s="1605">
        <v>5.7</v>
      </c>
      <c r="V32" s="1605">
        <v>5.7</v>
      </c>
    </row>
    <row r="33" spans="8:22" ht="15">
      <c r="H33" s="1605">
        <v>53</v>
      </c>
      <c r="I33" s="1605">
        <v>4.5999999999999996</v>
      </c>
      <c r="J33" s="1605">
        <v>4.5999999999999996</v>
      </c>
      <c r="K33" s="1605">
        <v>4.5999999999999996</v>
      </c>
      <c r="L33" s="1605">
        <v>5.7</v>
      </c>
      <c r="M33" s="1605">
        <v>6.8</v>
      </c>
      <c r="N33" s="1605">
        <v>6.8</v>
      </c>
      <c r="P33" s="1605">
        <v>53</v>
      </c>
      <c r="Q33" s="1605">
        <v>3.7</v>
      </c>
      <c r="R33" s="1605">
        <v>3.7</v>
      </c>
      <c r="S33" s="1605">
        <v>3.7</v>
      </c>
      <c r="T33" s="1605">
        <v>5</v>
      </c>
      <c r="U33" s="1605">
        <v>6</v>
      </c>
      <c r="V33" s="1605">
        <v>6</v>
      </c>
    </row>
    <row r="34" spans="8:22" ht="15">
      <c r="H34" s="1605">
        <v>54</v>
      </c>
      <c r="I34" s="1605">
        <v>4.9000000000000004</v>
      </c>
      <c r="J34" s="1605">
        <v>4.9000000000000004</v>
      </c>
      <c r="K34" s="1605">
        <v>4.9000000000000004</v>
      </c>
      <c r="L34" s="1605">
        <v>6</v>
      </c>
      <c r="M34" s="1605">
        <v>7.1</v>
      </c>
      <c r="N34" s="1605">
        <v>7.1</v>
      </c>
      <c r="P34" s="1605">
        <v>54</v>
      </c>
      <c r="Q34" s="1605">
        <v>4</v>
      </c>
      <c r="R34" s="1605">
        <v>4</v>
      </c>
      <c r="S34" s="1605">
        <v>4</v>
      </c>
      <c r="T34" s="1605">
        <v>5.3</v>
      </c>
      <c r="U34" s="1605">
        <v>6.3</v>
      </c>
      <c r="V34" s="1605">
        <v>6.3</v>
      </c>
    </row>
    <row r="35" spans="8:22" ht="15">
      <c r="H35" s="1605">
        <v>55</v>
      </c>
      <c r="I35" s="1605">
        <v>5.0999999999999996</v>
      </c>
      <c r="J35" s="1605">
        <v>5.0999999999999996</v>
      </c>
      <c r="K35" s="1605">
        <v>5.0999999999999996</v>
      </c>
      <c r="L35" s="1605">
        <v>6.3</v>
      </c>
      <c r="M35" s="1605">
        <v>7.4</v>
      </c>
      <c r="N35" s="1605">
        <v>7.4</v>
      </c>
      <c r="P35" s="1605">
        <v>55</v>
      </c>
      <c r="Q35" s="1605">
        <v>4.3</v>
      </c>
      <c r="R35" s="1605">
        <v>4.3</v>
      </c>
      <c r="S35" s="1605">
        <v>4.3</v>
      </c>
      <c r="T35" s="1605">
        <v>5.6</v>
      </c>
      <c r="U35" s="1605">
        <v>6.6</v>
      </c>
      <c r="V35" s="1605">
        <v>6.6</v>
      </c>
    </row>
    <row r="36" spans="8:22" ht="15">
      <c r="H36" s="1605">
        <v>56</v>
      </c>
      <c r="I36" s="1605">
        <v>5.4</v>
      </c>
      <c r="J36" s="1605">
        <v>5.4</v>
      </c>
      <c r="K36" s="1605">
        <v>5.4</v>
      </c>
      <c r="L36" s="1605">
        <v>6.6</v>
      </c>
      <c r="M36" s="1605">
        <v>7.7</v>
      </c>
      <c r="N36" s="1605">
        <v>7.7</v>
      </c>
      <c r="P36" s="1605">
        <v>56</v>
      </c>
      <c r="Q36" s="1605">
        <v>4.5999999999999996</v>
      </c>
      <c r="R36" s="1605">
        <v>4.5999999999999996</v>
      </c>
      <c r="S36" s="1605">
        <v>4.5999999999999996</v>
      </c>
      <c r="T36" s="1605">
        <v>5.9</v>
      </c>
      <c r="U36" s="1605">
        <v>7</v>
      </c>
      <c r="V36" s="1605">
        <v>7</v>
      </c>
    </row>
    <row r="37" spans="8:22" ht="15">
      <c r="H37" s="1605">
        <v>57</v>
      </c>
      <c r="I37" s="1605">
        <v>5.7</v>
      </c>
      <c r="J37" s="1605">
        <v>5.7</v>
      </c>
      <c r="K37" s="1605">
        <v>5.7</v>
      </c>
      <c r="L37" s="1605">
        <v>6.9</v>
      </c>
      <c r="M37" s="1605">
        <v>8</v>
      </c>
      <c r="N37" s="1605">
        <v>8</v>
      </c>
      <c r="P37" s="1605">
        <v>57</v>
      </c>
      <c r="Q37" s="1605">
        <v>4.9000000000000004</v>
      </c>
      <c r="R37" s="1605">
        <v>4.9000000000000004</v>
      </c>
      <c r="S37" s="1605">
        <v>4.9000000000000004</v>
      </c>
      <c r="T37" s="1605">
        <v>6.3</v>
      </c>
      <c r="U37" s="1605">
        <v>7.3</v>
      </c>
      <c r="V37" s="1605">
        <v>7.3</v>
      </c>
    </row>
    <row r="38" spans="8:22" ht="15">
      <c r="H38" s="1605">
        <v>58</v>
      </c>
      <c r="I38" s="1605">
        <v>6</v>
      </c>
      <c r="J38" s="1605">
        <v>6</v>
      </c>
      <c r="K38" s="1605">
        <v>6</v>
      </c>
      <c r="L38" s="1605">
        <v>7.3</v>
      </c>
      <c r="M38" s="1605">
        <v>8.3000000000000007</v>
      </c>
      <c r="N38" s="1605">
        <v>8.3000000000000007</v>
      </c>
      <c r="P38" s="1605">
        <v>58</v>
      </c>
      <c r="Q38" s="1605">
        <v>5.2</v>
      </c>
      <c r="R38" s="1605">
        <v>5.2</v>
      </c>
      <c r="S38" s="1605">
        <v>5.2</v>
      </c>
      <c r="T38" s="1605">
        <v>6.7</v>
      </c>
      <c r="U38" s="1605">
        <v>7.7</v>
      </c>
      <c r="V38" s="1605">
        <v>7.7</v>
      </c>
    </row>
    <row r="39" spans="8:22" ht="15">
      <c r="H39" s="1605">
        <v>59</v>
      </c>
      <c r="I39" s="1605">
        <v>6.3</v>
      </c>
      <c r="J39" s="1605">
        <v>6.3</v>
      </c>
      <c r="K39" s="1605">
        <v>6.3</v>
      </c>
      <c r="L39" s="1605">
        <v>7.6</v>
      </c>
      <c r="M39" s="1605">
        <v>8.6999999999999993</v>
      </c>
      <c r="N39" s="1605">
        <v>8.6999999999999993</v>
      </c>
      <c r="P39" s="1605">
        <v>59</v>
      </c>
      <c r="Q39" s="1605">
        <v>5.6</v>
      </c>
      <c r="R39" s="1605">
        <v>5.6</v>
      </c>
      <c r="S39" s="1605">
        <v>5.6</v>
      </c>
      <c r="T39" s="1605">
        <v>7.2</v>
      </c>
      <c r="U39" s="1605">
        <v>8.1</v>
      </c>
      <c r="V39" s="1605">
        <v>8.1</v>
      </c>
    </row>
    <row r="40" spans="8:22" ht="15">
      <c r="H40" s="1605">
        <v>60</v>
      </c>
      <c r="I40" s="1605">
        <v>6.6</v>
      </c>
      <c r="J40" s="1605">
        <v>6.6</v>
      </c>
      <c r="K40" s="1605">
        <v>6.6</v>
      </c>
      <c r="L40" s="1605">
        <v>8</v>
      </c>
      <c r="M40" s="1605">
        <v>9</v>
      </c>
      <c r="N40" s="1605">
        <v>9</v>
      </c>
      <c r="P40" s="1605">
        <v>60</v>
      </c>
      <c r="Q40" s="1605">
        <v>6.1</v>
      </c>
      <c r="R40" s="1605">
        <v>6.1</v>
      </c>
      <c r="S40" s="1605">
        <v>6.1</v>
      </c>
      <c r="T40" s="1605">
        <v>7.6</v>
      </c>
      <c r="U40" s="1605">
        <v>8.6</v>
      </c>
      <c r="V40" s="1605">
        <v>8.6</v>
      </c>
    </row>
    <row r="41" spans="8:22" ht="15">
      <c r="H41" s="1605">
        <v>61</v>
      </c>
      <c r="I41" s="1605">
        <v>7</v>
      </c>
      <c r="J41" s="1605">
        <v>7</v>
      </c>
      <c r="K41" s="1605">
        <v>7</v>
      </c>
      <c r="L41" s="1605">
        <v>8.4</v>
      </c>
      <c r="M41" s="1605">
        <v>9.4</v>
      </c>
      <c r="N41" s="1605">
        <v>9.4</v>
      </c>
      <c r="P41" s="1605">
        <v>61</v>
      </c>
      <c r="Q41" s="1605">
        <v>6.5</v>
      </c>
      <c r="R41" s="1605">
        <v>6.5</v>
      </c>
      <c r="S41" s="1605">
        <v>6.5</v>
      </c>
      <c r="T41" s="1605">
        <v>8.1</v>
      </c>
      <c r="U41" s="1605">
        <v>9.1</v>
      </c>
      <c r="V41" s="1605">
        <v>9.1</v>
      </c>
    </row>
    <row r="42" spans="8:22" ht="15">
      <c r="H42" s="1605">
        <v>62</v>
      </c>
      <c r="I42" s="1605">
        <v>7.4</v>
      </c>
      <c r="J42" s="1605">
        <v>7.4</v>
      </c>
      <c r="K42" s="1605">
        <v>7.4</v>
      </c>
      <c r="L42" s="1605">
        <v>8.8000000000000007</v>
      </c>
      <c r="M42" s="1605">
        <v>9.8000000000000007</v>
      </c>
      <c r="N42" s="1605">
        <v>9.8000000000000007</v>
      </c>
      <c r="P42" s="1605">
        <v>62</v>
      </c>
      <c r="Q42" s="1605">
        <v>7</v>
      </c>
      <c r="R42" s="1605">
        <v>7</v>
      </c>
      <c r="S42" s="1605">
        <v>7</v>
      </c>
      <c r="T42" s="1605">
        <v>8.6999999999999993</v>
      </c>
      <c r="U42" s="1605">
        <v>9.6</v>
      </c>
      <c r="V42" s="1605">
        <v>9.6</v>
      </c>
    </row>
    <row r="43" spans="8:22" ht="15">
      <c r="H43" s="1605">
        <v>63</v>
      </c>
      <c r="I43" s="1605">
        <v>7.8</v>
      </c>
      <c r="J43" s="1605">
        <v>7.8</v>
      </c>
      <c r="K43" s="1605">
        <v>7.8</v>
      </c>
      <c r="L43" s="1605">
        <v>9.3000000000000007</v>
      </c>
      <c r="M43" s="1605">
        <v>10.199999999999999</v>
      </c>
      <c r="N43" s="1605">
        <v>10.199999999999999</v>
      </c>
      <c r="P43" s="1605">
        <v>63</v>
      </c>
      <c r="Q43" s="1605">
        <v>7.6</v>
      </c>
      <c r="R43" s="1605">
        <v>7.6</v>
      </c>
      <c r="S43" s="1605">
        <v>7.6</v>
      </c>
      <c r="T43" s="1605">
        <v>9.1999999999999993</v>
      </c>
      <c r="U43" s="1605">
        <v>10.1</v>
      </c>
      <c r="V43" s="1605">
        <v>10.1</v>
      </c>
    </row>
    <row r="44" spans="8:22" ht="15">
      <c r="H44" s="1605">
        <v>64</v>
      </c>
      <c r="I44" s="1605">
        <v>8.4</v>
      </c>
      <c r="J44" s="1605">
        <v>8.4</v>
      </c>
      <c r="K44" s="1605">
        <v>8.4</v>
      </c>
      <c r="L44" s="1605">
        <v>9.9</v>
      </c>
      <c r="M44" s="1605">
        <v>10.7</v>
      </c>
      <c r="N44" s="1605">
        <v>10.7</v>
      </c>
      <c r="P44" s="1605">
        <v>64</v>
      </c>
      <c r="Q44" s="1605">
        <v>8.3000000000000007</v>
      </c>
      <c r="R44" s="1605">
        <v>8.3000000000000007</v>
      </c>
      <c r="S44" s="1605">
        <v>8.3000000000000007</v>
      </c>
      <c r="T44" s="1605">
        <v>9.9</v>
      </c>
      <c r="U44" s="1605">
        <v>10.7</v>
      </c>
      <c r="V44" s="1605">
        <v>10.7</v>
      </c>
    </row>
    <row r="45" spans="8:22" ht="15">
      <c r="H45" s="1605">
        <v>65</v>
      </c>
      <c r="I45" s="1605">
        <v>9</v>
      </c>
      <c r="J45" s="1605">
        <v>9</v>
      </c>
      <c r="K45" s="1605">
        <v>9</v>
      </c>
      <c r="L45" s="1605">
        <v>10.199999999999999</v>
      </c>
      <c r="M45" s="1605">
        <v>11</v>
      </c>
      <c r="N45" s="1605">
        <v>11</v>
      </c>
      <c r="P45" s="1605">
        <v>65</v>
      </c>
      <c r="Q45" s="1605">
        <v>9</v>
      </c>
      <c r="R45" s="1605">
        <v>9</v>
      </c>
      <c r="S45" s="1605">
        <v>9</v>
      </c>
      <c r="T45" s="1605">
        <v>10.199999999999999</v>
      </c>
      <c r="U45" s="1605">
        <v>11</v>
      </c>
      <c r="V45" s="1605">
        <v>11</v>
      </c>
    </row>
    <row r="46" spans="8:22">
      <c r="H46" t="s">
        <v>1465</v>
      </c>
      <c r="I46" s="1609">
        <v>0.08</v>
      </c>
      <c r="J46" s="1610">
        <v>0.08</v>
      </c>
      <c r="K46" s="1609">
        <v>0.08</v>
      </c>
      <c r="L46" s="1609">
        <v>0.08</v>
      </c>
      <c r="M46" s="1609">
        <v>7.4999999999999997E-2</v>
      </c>
      <c r="N46" s="1609">
        <v>7.4999999999999997E-2</v>
      </c>
      <c r="P46" t="s">
        <v>1465</v>
      </c>
      <c r="Q46" s="1609">
        <v>0.14000000000000001</v>
      </c>
      <c r="R46" s="1610">
        <v>0.14000000000000001</v>
      </c>
      <c r="S46" s="1609">
        <v>0.14000000000000001</v>
      </c>
      <c r="T46" s="1609">
        <v>0.12</v>
      </c>
      <c r="U46" s="1609">
        <v>0.105</v>
      </c>
      <c r="V46" s="1609">
        <v>0.105</v>
      </c>
    </row>
    <row r="47" spans="8:22">
      <c r="H47" t="s">
        <v>1462</v>
      </c>
      <c r="I47" s="132" t="s">
        <v>1466</v>
      </c>
      <c r="J47" s="1610" t="s">
        <v>1466</v>
      </c>
      <c r="K47" s="132" t="s">
        <v>1467</v>
      </c>
      <c r="L47" s="132" t="s">
        <v>1467</v>
      </c>
      <c r="M47" s="132" t="s">
        <v>1467</v>
      </c>
      <c r="N47" s="132" t="s">
        <v>1467</v>
      </c>
      <c r="P47" t="s">
        <v>1462</v>
      </c>
      <c r="Q47" s="132"/>
      <c r="R47" s="1610"/>
      <c r="S47" s="132"/>
      <c r="T47" s="132"/>
      <c r="U47" s="132"/>
      <c r="V47" s="132"/>
    </row>
    <row r="48" spans="8:22">
      <c r="H48" t="s">
        <v>1468</v>
      </c>
      <c r="I48" s="1611">
        <v>0.05</v>
      </c>
      <c r="J48" s="1610">
        <v>0.05</v>
      </c>
      <c r="K48" s="1611">
        <v>0.05</v>
      </c>
      <c r="L48" s="1611">
        <v>0.05</v>
      </c>
      <c r="M48" s="1611">
        <v>0.05</v>
      </c>
      <c r="N48" s="1611">
        <v>0.05</v>
      </c>
      <c r="P48" t="s">
        <v>1468</v>
      </c>
      <c r="Q48" s="1611">
        <v>0.09</v>
      </c>
      <c r="R48" s="1610">
        <v>0.09</v>
      </c>
      <c r="S48" s="1611">
        <v>0.09</v>
      </c>
      <c r="T48" s="1611">
        <v>0.09</v>
      </c>
      <c r="U48" s="1611">
        <v>8.5000000000000006E-2</v>
      </c>
      <c r="V48" s="1611">
        <v>8.5000000000000006E-2</v>
      </c>
    </row>
    <row r="49" spans="8:22">
      <c r="H49" t="s">
        <v>1462</v>
      </c>
      <c r="I49" s="1611">
        <v>0.25</v>
      </c>
      <c r="J49" s="1610">
        <v>0.25</v>
      </c>
      <c r="K49" s="1611">
        <v>0.25</v>
      </c>
      <c r="L49" s="1611">
        <v>0.3</v>
      </c>
      <c r="M49" s="132">
        <v>35</v>
      </c>
      <c r="N49" s="1611">
        <v>0.35</v>
      </c>
      <c r="P49" t="s">
        <v>1462</v>
      </c>
      <c r="Q49" s="1611">
        <v>0.75</v>
      </c>
      <c r="R49" s="1610">
        <v>0.75</v>
      </c>
      <c r="S49" s="1611">
        <v>0.75</v>
      </c>
      <c r="T49" s="1611">
        <v>0.7</v>
      </c>
      <c r="U49" s="132">
        <v>0.65</v>
      </c>
      <c r="V49" s="1611">
        <v>0.65</v>
      </c>
    </row>
    <row r="50" spans="8:22">
      <c r="H50" t="s">
        <v>1469</v>
      </c>
      <c r="I50" s="132"/>
      <c r="J50" s="1611">
        <v>0.6</v>
      </c>
      <c r="K50" s="1611">
        <v>0.6</v>
      </c>
      <c r="L50" s="1611">
        <v>0.65</v>
      </c>
      <c r="M50" s="1611">
        <v>0.5</v>
      </c>
      <c r="N50" s="1611">
        <v>0.5</v>
      </c>
      <c r="P50" t="s">
        <v>1469</v>
      </c>
      <c r="Q50" s="132"/>
      <c r="R50" s="1611">
        <v>0.55000000000000004</v>
      </c>
      <c r="S50" s="1611">
        <v>0.55000000000000004</v>
      </c>
      <c r="T50" s="1611">
        <v>0.8</v>
      </c>
      <c r="U50" s="1611">
        <v>0.65</v>
      </c>
      <c r="V50" s="1611">
        <v>0.65</v>
      </c>
    </row>
    <row r="51" spans="8:22">
      <c r="V51" s="1611"/>
    </row>
  </sheetData>
  <mergeCells count="2">
    <mergeCell ref="H3:N3"/>
    <mergeCell ref="P3:V3"/>
  </mergeCells>
  <pageMargins left="0.7" right="0.7" top="0.78740157499999996" bottom="0.78740157499999996"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FA8B1-1A15-4A38-B00E-EE0BD7058AE6}">
  <sheetPr codeName="Tabelle48"/>
  <dimension ref="B4:J24"/>
  <sheetViews>
    <sheetView workbookViewId="0">
      <selection activeCell="B4" sqref="B4:J19"/>
    </sheetView>
  </sheetViews>
  <sheetFormatPr baseColWidth="10" defaultRowHeight="14.25"/>
  <cols>
    <col min="3" max="3" width="20.125" customWidth="1"/>
    <col min="4" max="8" width="8.5" style="132" customWidth="1"/>
    <col min="9" max="9" width="39" customWidth="1"/>
  </cols>
  <sheetData>
    <row r="4" spans="2:10">
      <c r="D4" s="132" t="s">
        <v>126</v>
      </c>
      <c r="E4" s="132" t="s">
        <v>1285</v>
      </c>
      <c r="F4" s="132" t="s">
        <v>1283</v>
      </c>
      <c r="G4" s="132" t="s">
        <v>1238</v>
      </c>
      <c r="H4" s="132" t="s">
        <v>1284</v>
      </c>
      <c r="I4" s="132" t="s">
        <v>1306</v>
      </c>
      <c r="J4" s="132" t="s">
        <v>652</v>
      </c>
    </row>
    <row r="5" spans="2:10">
      <c r="B5" s="59">
        <v>28307</v>
      </c>
      <c r="C5" t="s">
        <v>1282</v>
      </c>
      <c r="F5" s="132">
        <v>3</v>
      </c>
      <c r="G5" s="132">
        <v>4</v>
      </c>
      <c r="H5" s="132">
        <v>5</v>
      </c>
    </row>
    <row r="6" spans="2:10">
      <c r="B6" s="59">
        <v>31413</v>
      </c>
      <c r="C6" t="s">
        <v>1286</v>
      </c>
      <c r="D6" s="132">
        <v>1</v>
      </c>
      <c r="I6" t="s">
        <v>1287</v>
      </c>
    </row>
    <row r="7" spans="2:10">
      <c r="B7" s="59">
        <v>33604</v>
      </c>
      <c r="C7" t="s">
        <v>1288</v>
      </c>
      <c r="E7" s="132">
        <v>2</v>
      </c>
      <c r="I7" t="s">
        <v>1291</v>
      </c>
      <c r="J7" t="s">
        <v>1289</v>
      </c>
    </row>
    <row r="8" spans="2:10">
      <c r="B8" s="59">
        <v>33604</v>
      </c>
      <c r="C8" t="s">
        <v>1286</v>
      </c>
      <c r="D8" s="132">
        <v>1</v>
      </c>
      <c r="I8" t="s">
        <v>1290</v>
      </c>
    </row>
    <row r="9" spans="2:10">
      <c r="B9" s="59">
        <v>36526</v>
      </c>
      <c r="C9" t="s">
        <v>1282</v>
      </c>
      <c r="F9" s="132">
        <v>3</v>
      </c>
      <c r="G9" s="132">
        <v>4</v>
      </c>
      <c r="H9" s="132">
        <v>5</v>
      </c>
    </row>
    <row r="10" spans="2:10">
      <c r="B10" s="59">
        <v>37622</v>
      </c>
      <c r="C10" t="s">
        <v>1288</v>
      </c>
      <c r="E10" s="132">
        <v>2</v>
      </c>
      <c r="I10" t="s">
        <v>1292</v>
      </c>
      <c r="J10" t="s">
        <v>1289</v>
      </c>
    </row>
    <row r="11" spans="2:10">
      <c r="B11" s="59">
        <v>37622</v>
      </c>
      <c r="C11" t="s">
        <v>1282</v>
      </c>
      <c r="F11" s="132">
        <v>3</v>
      </c>
      <c r="G11" s="132">
        <v>4</v>
      </c>
      <c r="H11" s="132">
        <v>5</v>
      </c>
      <c r="I11" t="s">
        <v>1293</v>
      </c>
    </row>
    <row r="12" spans="2:10">
      <c r="B12" s="59">
        <v>38869</v>
      </c>
      <c r="C12" t="s">
        <v>1282</v>
      </c>
      <c r="F12" s="132">
        <v>3</v>
      </c>
      <c r="G12" s="132">
        <v>4</v>
      </c>
      <c r="H12" s="132">
        <v>5</v>
      </c>
      <c r="I12" t="s">
        <v>1294</v>
      </c>
    </row>
    <row r="13" spans="2:10">
      <c r="B13" s="59">
        <v>39448</v>
      </c>
      <c r="C13" t="s">
        <v>285</v>
      </c>
      <c r="D13" s="132">
        <v>1</v>
      </c>
      <c r="I13" t="s">
        <v>1295</v>
      </c>
      <c r="J13" t="s">
        <v>1296</v>
      </c>
    </row>
    <row r="14" spans="2:10">
      <c r="B14" s="59">
        <v>39630</v>
      </c>
      <c r="C14" t="s">
        <v>1282</v>
      </c>
      <c r="F14" s="132">
        <v>3</v>
      </c>
      <c r="G14" s="132">
        <v>4</v>
      </c>
      <c r="H14" s="132">
        <v>5</v>
      </c>
      <c r="I14" t="s">
        <v>1297</v>
      </c>
    </row>
    <row r="15" spans="2:10">
      <c r="B15" s="59">
        <v>39856</v>
      </c>
      <c r="C15" t="s">
        <v>285</v>
      </c>
      <c r="E15" s="132">
        <v>2</v>
      </c>
      <c r="I15" t="s">
        <v>1295</v>
      </c>
      <c r="J15" t="s">
        <v>1298</v>
      </c>
    </row>
    <row r="16" spans="2:10">
      <c r="B16" s="59">
        <v>40057</v>
      </c>
      <c r="C16" t="s">
        <v>1299</v>
      </c>
      <c r="F16" s="132">
        <v>3</v>
      </c>
      <c r="G16" s="132">
        <v>4</v>
      </c>
      <c r="H16" s="132">
        <v>5</v>
      </c>
    </row>
    <row r="17" spans="2:10">
      <c r="B17" s="59">
        <v>41821</v>
      </c>
      <c r="C17" t="s">
        <v>1286</v>
      </c>
      <c r="D17" s="132">
        <v>1</v>
      </c>
      <c r="I17" s="418" t="s">
        <v>1301</v>
      </c>
      <c r="J17" t="s">
        <v>1300</v>
      </c>
    </row>
    <row r="18" spans="2:10">
      <c r="B18" s="59">
        <v>43466</v>
      </c>
      <c r="C18" t="s">
        <v>1286</v>
      </c>
      <c r="D18" s="132">
        <v>1</v>
      </c>
      <c r="I18" s="418" t="s">
        <v>1302</v>
      </c>
      <c r="J18" t="s">
        <v>1300</v>
      </c>
    </row>
    <row r="19" spans="2:10">
      <c r="B19" s="59">
        <v>44197</v>
      </c>
      <c r="C19" t="s">
        <v>1303</v>
      </c>
      <c r="D19" s="132">
        <v>1</v>
      </c>
      <c r="I19" t="s">
        <v>1304</v>
      </c>
      <c r="J19" t="s">
        <v>1305</v>
      </c>
    </row>
    <row r="24" spans="2:10">
      <c r="B24" s="59"/>
    </row>
  </sheetData>
  <pageMargins left="0.7" right="0.7" top="0.78740157499999996" bottom="0.78740157499999996"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23296-F843-45E0-A864-B435AB5081CC}">
  <sheetPr codeName="Tabelle51"/>
  <dimension ref="A1:BB65"/>
  <sheetViews>
    <sheetView showGridLines="0" showRowColHeaders="0" topLeftCell="A2" zoomScaleNormal="100" workbookViewId="0">
      <selection activeCell="D38" sqref="D38"/>
    </sheetView>
  </sheetViews>
  <sheetFormatPr baseColWidth="10" defaultColWidth="0" defaultRowHeight="0" customHeight="1" zeroHeight="1"/>
  <cols>
    <col min="1" max="1" width="3.5" customWidth="1"/>
    <col min="2" max="2" width="52" customWidth="1"/>
    <col min="3" max="3" width="11" customWidth="1"/>
    <col min="4" max="4" width="12.25" customWidth="1"/>
    <col min="5" max="5" width="13.125" customWidth="1"/>
    <col min="6" max="6" width="1.125" customWidth="1"/>
    <col min="7" max="7" width="3.125" style="265" customWidth="1"/>
    <col min="8" max="8" width="36.25" style="265" customWidth="1"/>
    <col min="9" max="10" width="5.625" style="265" customWidth="1"/>
    <col min="11" max="12" width="11" style="265" customWidth="1"/>
    <col min="13" max="14" width="10.25" style="265" customWidth="1"/>
    <col min="15" max="15" width="3.25" customWidth="1"/>
    <col min="16" max="19" width="11.625" hidden="1" customWidth="1"/>
    <col min="20" max="20" width="7.75" hidden="1" customWidth="1"/>
    <col min="21" max="21" width="11.25" customWidth="1"/>
    <col min="22" max="22" width="19.25" customWidth="1"/>
    <col min="23" max="27" width="7.75" hidden="1" customWidth="1"/>
    <col min="28" max="28" width="39.75" customWidth="1"/>
    <col min="29" max="29" width="12.75" customWidth="1"/>
    <col min="30" max="30" width="17.625" customWidth="1"/>
    <col min="31" max="31" width="4.75" customWidth="1"/>
    <col min="32" max="54" width="7.75" hidden="1" customWidth="1"/>
    <col min="55" max="16384" width="1.625" hidden="1"/>
  </cols>
  <sheetData>
    <row r="1" spans="1:31" ht="15.75" thickBot="1">
      <c r="A1" s="2612"/>
      <c r="B1" s="2612"/>
      <c r="C1" s="2612"/>
      <c r="D1" s="2612"/>
      <c r="E1" s="2612"/>
      <c r="F1" s="2612"/>
      <c r="G1" s="2612"/>
      <c r="H1" s="2612"/>
      <c r="I1" s="2612"/>
      <c r="J1" s="2612"/>
      <c r="K1" s="2612"/>
      <c r="L1" s="2612"/>
      <c r="M1" s="2612"/>
      <c r="N1" s="2612"/>
      <c r="O1" s="2612"/>
      <c r="P1" s="15" t="b">
        <v>1</v>
      </c>
      <c r="Q1" t="s">
        <v>1333</v>
      </c>
      <c r="R1" t="s">
        <v>198</v>
      </c>
      <c r="S1" t="s">
        <v>199</v>
      </c>
      <c r="U1" s="3435" t="s">
        <v>1309</v>
      </c>
      <c r="V1" s="3436"/>
      <c r="W1" s="3436"/>
      <c r="X1" s="3436"/>
      <c r="Y1" s="3436"/>
      <c r="Z1" s="3436"/>
      <c r="AA1" s="3436"/>
      <c r="AB1" s="3436"/>
      <c r="AC1" s="3437"/>
      <c r="AD1" s="1530"/>
      <c r="AE1" s="426"/>
    </row>
    <row r="2" spans="1:31" ht="14.25" customHeight="1" thickTop="1">
      <c r="A2" s="3446" t="s">
        <v>540</v>
      </c>
      <c r="B2" s="3440" t="s">
        <v>1451</v>
      </c>
      <c r="C2" s="3441"/>
      <c r="D2" s="3514" t="s">
        <v>855</v>
      </c>
      <c r="E2" s="3515"/>
      <c r="F2" s="465"/>
      <c r="G2" s="3450" t="str">
        <f>IF(OR(E8="",E5=""),"Stammdaten (EzE) eingeben!","Abänderungsampel in Sachen "&amp;D4)</f>
        <v>Stammdaten (EzE) eingeben!</v>
      </c>
      <c r="H2" s="3451"/>
      <c r="I2" s="3456" t="s">
        <v>906</v>
      </c>
      <c r="J2" s="3456"/>
      <c r="K2" s="855" t="str">
        <f>IFERROR("Mann"&amp;IF(K3&gt;0,"("&amp;TEXT(YEARFRAC(K3,C8,0),"0,0")&amp;")",""),"")</f>
        <v/>
      </c>
      <c r="L2" s="858" t="str">
        <f>IFERROR("Frau"&amp;IF(L3&gt;0,"("&amp;TEXT(YEARFRAC(L3,C8,0),"0,0")&amp;")",""),"")</f>
        <v/>
      </c>
      <c r="M2" s="3401" t="str">
        <f>"Barw. Altersrente ab Reg.Altersgr. ReZins: "&amp;IFERROR(TEXT(R2,"0,00%"),"")</f>
        <v>Barw. Altersrente ab Reg.Altersgr. ReZins: 5,50%</v>
      </c>
      <c r="N2" s="3403"/>
      <c r="O2" s="3457" t="s">
        <v>1311</v>
      </c>
      <c r="P2" t="s">
        <v>626</v>
      </c>
      <c r="Q2" s="576">
        <f>_xlfn.IFNA(IF(D9&gt;0,D9,VLOOKUP(Abänderungsdatum,BilmoGZins,16)/100),0.055)</f>
        <v>5.5E-2</v>
      </c>
      <c r="R2" s="154">
        <f>IF(AbändBilMoG_Wahl,S2,Q2)</f>
        <v>5.5E-2</v>
      </c>
      <c r="S2" s="154" t="e">
        <f>VLOOKUP(Abänderungsdatum,BilMoG10,16)/100</f>
        <v>#N/A</v>
      </c>
      <c r="U2" s="919" t="s">
        <v>60</v>
      </c>
      <c r="V2" s="1251" t="s">
        <v>1310</v>
      </c>
      <c r="W2" s="169" t="s">
        <v>126</v>
      </c>
      <c r="X2" s="169" t="s">
        <v>1285</v>
      </c>
      <c r="Y2" s="169" t="s">
        <v>1283</v>
      </c>
      <c r="Z2" s="169" t="s">
        <v>1238</v>
      </c>
      <c r="AA2" s="169" t="s">
        <v>1284</v>
      </c>
      <c r="AB2" s="169" t="s">
        <v>1306</v>
      </c>
      <c r="AC2" s="169" t="s">
        <v>652</v>
      </c>
      <c r="AD2" s="327" t="s">
        <v>1307</v>
      </c>
    </row>
    <row r="3" spans="1:31" ht="14.25" customHeight="1">
      <c r="A3" s="3447"/>
      <c r="B3" s="3442"/>
      <c r="C3" s="3443"/>
      <c r="D3" s="3516"/>
      <c r="E3" s="3517"/>
      <c r="F3" s="465"/>
      <c r="G3" s="3452"/>
      <c r="H3" s="3453"/>
      <c r="I3" s="3438"/>
      <c r="J3" s="3439"/>
      <c r="K3" s="1390" t="str">
        <f>IF(AND(Dat_GebDat_M&gt;0,K4=0),Dat_GebDat_M,K4)</f>
        <v/>
      </c>
      <c r="L3" s="1390" t="str">
        <f>IF(AND(Dat_GebDat_F&gt;0,L4=0),Dat_GebDat_F,L4)</f>
        <v/>
      </c>
      <c r="M3" s="3405"/>
      <c r="N3" s="3406"/>
      <c r="O3" s="3457"/>
      <c r="Q3" s="576"/>
      <c r="R3" s="154"/>
      <c r="S3" s="154"/>
      <c r="U3" s="919"/>
      <c r="V3" s="1251"/>
      <c r="W3" s="169"/>
      <c r="X3" s="169"/>
      <c r="Y3" s="169"/>
      <c r="Z3" s="169"/>
      <c r="AA3" s="169"/>
      <c r="AB3" s="169"/>
      <c r="AC3" s="169"/>
      <c r="AD3" s="327"/>
    </row>
    <row r="4" spans="1:31" ht="14.25" customHeight="1" thickBot="1">
      <c r="A4" s="3448"/>
      <c r="B4" s="3444"/>
      <c r="C4" s="3445"/>
      <c r="D4" s="3459"/>
      <c r="E4" s="3460"/>
      <c r="F4" s="465"/>
      <c r="G4" s="3454"/>
      <c r="H4" s="3455"/>
      <c r="I4" s="3461" t="s">
        <v>625</v>
      </c>
      <c r="J4" s="3461"/>
      <c r="K4" s="1391"/>
      <c r="L4" s="1391"/>
      <c r="M4" s="3405"/>
      <c r="N4" s="3406"/>
      <c r="O4" s="3458"/>
      <c r="P4" t="s">
        <v>1519</v>
      </c>
      <c r="Q4" t="s">
        <v>627</v>
      </c>
      <c r="R4" t="e">
        <f>VLOOKUP(YEAR(K3),Regelaltersgrenze,3)</f>
        <v>#VALUE!</v>
      </c>
      <c r="S4" t="e">
        <f>VLOOKUP(YEAR(L3),Regelaltersgrenze,3)</f>
        <v>#VALUE!</v>
      </c>
      <c r="U4" s="661">
        <v>28307</v>
      </c>
      <c r="V4" s="562" t="s">
        <v>1282</v>
      </c>
      <c r="W4" s="69"/>
      <c r="X4" s="69"/>
      <c r="Y4" s="69">
        <v>3</v>
      </c>
      <c r="Z4" s="69">
        <v>4</v>
      </c>
      <c r="AA4" s="69">
        <v>5</v>
      </c>
      <c r="AB4" s="562"/>
      <c r="AC4" s="562"/>
      <c r="AD4" s="1252" t="s">
        <v>1308</v>
      </c>
    </row>
    <row r="5" spans="1:31" ht="14.25" customHeight="1">
      <c r="A5" s="3448"/>
      <c r="B5" s="3522" t="s">
        <v>519</v>
      </c>
      <c r="C5" s="3434"/>
      <c r="D5" s="1572"/>
      <c r="E5" s="1575" t="str">
        <f>IFERROR("aktRW: "&amp;TEXT(Q11,"0,00 €"),"")</f>
        <v/>
      </c>
      <c r="F5" s="25"/>
      <c r="G5" s="3462" t="s">
        <v>536</v>
      </c>
      <c r="H5" s="583" t="str">
        <f>IF(C8="","Bitte das Ehezeitende im Stammdatenblock eingeben!","EzE: "&amp;TEXT(C8,"TT.MM.JJJJ")&amp;"; Ber.Datum: "&amp;TEXT(D5,"TT.MM.JJJJ"))</f>
        <v>Bitte das Ehezeitende im Stammdatenblock eingeben!</v>
      </c>
      <c r="I5" s="566" t="s">
        <v>624</v>
      </c>
      <c r="J5" s="566" t="s">
        <v>630</v>
      </c>
      <c r="K5" s="3465" t="s">
        <v>1315</v>
      </c>
      <c r="L5" s="3466"/>
      <c r="M5" s="867" t="s">
        <v>1316</v>
      </c>
      <c r="N5" s="1196" t="s">
        <v>1317</v>
      </c>
      <c r="O5" s="3458"/>
      <c r="P5" s="15" t="b">
        <v>0</v>
      </c>
      <c r="Q5" t="s">
        <v>7</v>
      </c>
      <c r="R5" s="95" t="e">
        <f>YEARFRAC(K3,Abänderungsdatum,0)</f>
        <v>#VALUE!</v>
      </c>
      <c r="S5" s="95" t="e">
        <f>YEARFRAC(L3,Abänderungsdatum,0)</f>
        <v>#VALUE!</v>
      </c>
      <c r="U5" s="661">
        <v>31413</v>
      </c>
      <c r="V5" s="562" t="s">
        <v>1286</v>
      </c>
      <c r="W5" s="69">
        <v>1</v>
      </c>
      <c r="X5" s="69"/>
      <c r="Y5" s="69"/>
      <c r="Z5" s="69"/>
      <c r="AA5" s="69"/>
      <c r="AB5" s="562" t="s">
        <v>1287</v>
      </c>
      <c r="AC5" s="562"/>
      <c r="AD5" s="1252" t="s">
        <v>126</v>
      </c>
    </row>
    <row r="6" spans="1:31" ht="14.25" customHeight="1">
      <c r="A6" s="3448"/>
      <c r="B6" s="3522" t="s">
        <v>548</v>
      </c>
      <c r="C6" s="3434"/>
      <c r="D6" s="382"/>
      <c r="E6" s="1576" t="str">
        <f>IFERROR("mon.Bezgr."&amp;TEXT(VLOOKUP(YEAR($C$8),MonatlicheBezugsgroesse,2),"#.##0 €"),"")</f>
        <v/>
      </c>
      <c r="F6" s="25"/>
      <c r="G6" s="3463"/>
      <c r="H6" s="1332" t="s">
        <v>534</v>
      </c>
      <c r="I6" s="3467">
        <f>+I23</f>
        <v>2.5999999999999999E-2</v>
      </c>
      <c r="J6" s="3468"/>
      <c r="K6" s="419"/>
      <c r="L6" s="859"/>
      <c r="M6" s="568" t="str">
        <f>IFERROR(-PV(R$2-RententrendDRV,IF(R$4-R$5&lt;0,0,R$4-R$5),0,-PV(R$2-RententrendDRV,R$6,K6*12,))*VLOOKUP(R$4,G_Kohorte_M,YEAR(K$3)-1900+2)/VLOOKUP(R$5,G_Kohorte_M,YEAR(K$3)-1900+2),"")</f>
        <v/>
      </c>
      <c r="N6" s="567" t="str">
        <f>IF($L$3=0,"",IFERROR(-PV(R$2-RententrendDRV,IF(S$4-S$5&lt;0,0,S$4-S$5),0,-PV(R$2-RententrendDRV,S$6,L6*12,))*VLOOKUP(S$4,G_Kohorte_F,YEAR(L$3)-1900+2)/VLOOKUP(S$5,G_Kohorte_F,YEAR(L$3)-1900+2),""))</f>
        <v/>
      </c>
      <c r="O6" s="3458"/>
      <c r="Q6" t="s">
        <v>628</v>
      </c>
      <c r="R6" s="95" t="e">
        <f>VLOOKUP(IF(R5&gt;R4,R5,R4),Lebenserwartung_M_V2,YEAR(K3)-1900+2)</f>
        <v>#VALUE!</v>
      </c>
      <c r="S6" s="95" t="e">
        <f>VLOOKUP(IF(S5&gt;S4,S5,S4),Lebenserwartung_F_V2,YEAR(L3)-1900+2)</f>
        <v>#VALUE!</v>
      </c>
      <c r="U6" s="661">
        <v>33604</v>
      </c>
      <c r="V6" s="562" t="s">
        <v>1288</v>
      </c>
      <c r="W6" s="69"/>
      <c r="X6" s="69">
        <v>2</v>
      </c>
      <c r="Y6" s="69"/>
      <c r="Z6" s="69"/>
      <c r="AA6" s="69"/>
      <c r="AB6" s="562" t="s">
        <v>1291</v>
      </c>
      <c r="AC6" s="960" t="s">
        <v>1289</v>
      </c>
      <c r="AD6" s="1252" t="s">
        <v>1285</v>
      </c>
    </row>
    <row r="7" spans="1:31" ht="14.25" customHeight="1">
      <c r="A7" s="3448"/>
      <c r="B7" s="3469" t="str">
        <f>IF(D6&lt;&gt;"ja","Abänderung kann nach § 226 II FamFG frühestens 12 Monate vor dem ersten Rentenbezug eingeleitet werden.","")</f>
        <v>Abänderung kann nach § 226 II FamFG frühestens 12 Monate vor dem ersten Rentenbezug eingeleitet werden.</v>
      </c>
      <c r="C7" s="3470"/>
      <c r="D7" s="3470"/>
      <c r="E7" s="3471"/>
      <c r="F7" s="25"/>
      <c r="G7" s="3463"/>
      <c r="H7" s="1332" t="s">
        <v>215</v>
      </c>
      <c r="I7" s="3467">
        <f>+I6</f>
        <v>2.5999999999999999E-2</v>
      </c>
      <c r="J7" s="3468"/>
      <c r="K7" s="419"/>
      <c r="L7" s="859"/>
      <c r="M7" s="568" t="str">
        <f>IFERROR(-PV(R$2-RententrendDRV,IF(R$4-R$5&lt;0,0,R$4-R$5),0,-PV(R$2-RententrendDRV,R$6,K7*12,))*VLOOKUP(R$4,G_Kohorte_M,YEAR(K$3)-1900+2)/VLOOKUP(R$5,G_Kohorte_M,YEAR(K$3)-1900+2),"")</f>
        <v/>
      </c>
      <c r="N7" s="567" t="str">
        <f>IF($L$3=0,"",IFERROR(-PV(R$2-RententrendDRV,IF(S$4-S$5&lt;0,0,S$4-S$5),0,-PV(R$2-RententrendDRV,S$6,L7*12,))*VLOOKUP(S$4,G_Kohorte_F,YEAR(L$3)-1900+2)/VLOOKUP(S$5,G_Kohorte_F,YEAR(L$3)-1900+2),""))</f>
        <v/>
      </c>
      <c r="O7" s="3458"/>
      <c r="Q7" t="s">
        <v>697</v>
      </c>
      <c r="R7" s="15" t="b">
        <v>0</v>
      </c>
      <c r="U7" s="661">
        <v>33604</v>
      </c>
      <c r="V7" s="562" t="s">
        <v>1286</v>
      </c>
      <c r="W7" s="69">
        <v>1</v>
      </c>
      <c r="X7" s="69"/>
      <c r="Y7" s="69"/>
      <c r="Z7" s="69"/>
      <c r="AA7" s="69"/>
      <c r="AB7" s="562" t="s">
        <v>1290</v>
      </c>
      <c r="AC7" s="562"/>
      <c r="AD7" s="1252" t="s">
        <v>126</v>
      </c>
    </row>
    <row r="8" spans="1:31" ht="14.25" customHeight="1">
      <c r="A8" s="3448"/>
      <c r="B8" s="1522" t="str">
        <f>IF(AND(Dat_EzE&gt;0,D8=0),"Ehezeitende aus 'Fallerfassung' übernommen","Ehezeitende (EzE) eingeben:")</f>
        <v>Ehezeitende (EzE) eingeben:</v>
      </c>
      <c r="C8" s="1392" t="str">
        <f>IF(AND(D8="",Dat_EzE=""),"",IF(AND(Dat_EzE&gt;0,D8=""),Dat_EzE,D8))</f>
        <v/>
      </c>
      <c r="D8" s="935"/>
      <c r="E8" s="1575" t="str">
        <f>IFERROR("aktRW: "&amp;TEXT(Q14,"0,00 €"),"")</f>
        <v/>
      </c>
      <c r="F8" s="25"/>
      <c r="G8" s="3463"/>
      <c r="H8" s="1333" t="s">
        <v>535</v>
      </c>
      <c r="I8" s="3420">
        <v>5.0000000000000001E-3</v>
      </c>
      <c r="J8" s="3420"/>
      <c r="K8" s="419"/>
      <c r="L8" s="859"/>
      <c r="M8" s="568" t="str">
        <f>IFERROR(-PV(R$2-I8,IF(R$4-R$5&lt;0,0,R$4-R$5),0,-PV(R$2-I8,R$6,K8*12,))*VLOOKUP(R$4,G_Kohorte_M,YEAR(K$3)-1900+2)/VLOOKUP(R$5,G_Kohorte_M,YEAR(K$3)-1900+2),"")</f>
        <v/>
      </c>
      <c r="N8" s="567" t="str">
        <f>IF($L$3=0,"",IFERROR(-PV(R$2-RententrendDRV,IF(S$4-S$5&lt;0,0,S$4-S$5),0,-PV(R$2-RententrendDRV,S$6,L8*12,))*VLOOKUP(S$4,G_Kohorte_F,YEAR(L$3)-1900+2)/VLOOKUP(S$5,G_Kohorte_F,YEAR(L$3)-1900+2),""))</f>
        <v/>
      </c>
      <c r="O8" s="3458"/>
      <c r="U8" s="661">
        <v>36526</v>
      </c>
      <c r="V8" s="562" t="s">
        <v>1282</v>
      </c>
      <c r="W8" s="69"/>
      <c r="X8" s="69"/>
      <c r="Y8" s="69">
        <v>3</v>
      </c>
      <c r="Z8" s="69">
        <v>4</v>
      </c>
      <c r="AA8" s="69">
        <v>5</v>
      </c>
      <c r="AB8" s="562"/>
      <c r="AC8" s="562"/>
      <c r="AD8" s="1252" t="s">
        <v>1308</v>
      </c>
    </row>
    <row r="9" spans="1:31" ht="14.25" customHeight="1">
      <c r="A9" s="3448"/>
      <c r="B9" s="3415" t="str">
        <f>IFERROR("Rechnungszins zum "&amp;TEXT(Abänderungsdatum,"TT.MM.JJ")&amp;": "&amp;TEXT(VLOOKUP(Abänderungsdatum,BilmoGZins,16)/100,"0,00%")&amp;" / alternativen Rezins eingeben:","Rechnungszins")</f>
        <v>Rechnungszins</v>
      </c>
      <c r="C9" s="3416"/>
      <c r="D9" s="1377"/>
      <c r="E9" s="1577" t="str">
        <f>IFERROR("Rechnung mit "&amp;TEXT(R2,"#,##%"),"ReZins eingeben!")</f>
        <v>Rechnung mit 5,5%</v>
      </c>
      <c r="F9" s="25"/>
      <c r="G9" s="3463"/>
      <c r="H9" s="1334" t="s">
        <v>1314</v>
      </c>
      <c r="I9" s="589"/>
      <c r="J9" s="1265">
        <v>0.01</v>
      </c>
      <c r="K9" s="419"/>
      <c r="L9" s="859"/>
      <c r="M9" s="568" t="str">
        <f t="shared" ref="M9:M14" si="0">IFERROR(-PV(R$2-I9,IF(R$4-R$5&lt;0,0,R$4-R$5),0,-PV(R$2-J9,R$6,K9*12,))*VLOOKUP(R$4,G_Kohorte_M,YEAR(K$3)-1900+2)/VLOOKUP(R$5,G_Kohorte_M,YEAR(K$3)-1900+2),"")</f>
        <v/>
      </c>
      <c r="N9" s="567" t="str">
        <f t="shared" ref="N9:N14" si="1">IF($L$3=0,"",IFERROR(-PV(R$2-I9,IF(S$4-S$5&lt;0,0,S$4-S$5),0,-PV(R$2-J9,S$6,L9*12,))*VLOOKUP(S$4,G_Kohorte_F,YEAR(L$3)-1900+2)/VLOOKUP(S$5,G_Kohorte_F,YEAR(L$3)-1900+2),""))</f>
        <v/>
      </c>
      <c r="O9" s="3458"/>
      <c r="Q9" t="s">
        <v>1332</v>
      </c>
      <c r="R9" s="15" t="e">
        <f>VLOOKUP(Abänderungsdatum,BilmoGZins,16)</f>
        <v>#N/A</v>
      </c>
      <c r="S9" s="15"/>
      <c r="U9" s="661">
        <v>37622</v>
      </c>
      <c r="V9" s="562" t="s">
        <v>1288</v>
      </c>
      <c r="W9" s="69"/>
      <c r="X9" s="69">
        <v>2</v>
      </c>
      <c r="Y9" s="69"/>
      <c r="Z9" s="69"/>
      <c r="AA9" s="69"/>
      <c r="AB9" s="562" t="s">
        <v>1292</v>
      </c>
      <c r="AC9" s="960" t="s">
        <v>1289</v>
      </c>
      <c r="AD9" s="1252" t="s">
        <v>1285</v>
      </c>
    </row>
    <row r="10" spans="1:31" ht="14.25" customHeight="1">
      <c r="A10" s="3448"/>
      <c r="B10" s="3417" t="s">
        <v>515</v>
      </c>
      <c r="C10" s="3286"/>
      <c r="D10" s="1572"/>
      <c r="E10" s="3421" t="str">
        <f>IFERROR("1% mon.Bezugsgr.:"&amp;CHAR(10)&amp;TEXT(VLOOKUP(YEAR($C$8),MonatlicheBezugsgroesse,2)*0.01,"#.##0,00 €"),"")</f>
        <v/>
      </c>
      <c r="F10" s="25"/>
      <c r="G10" s="3463"/>
      <c r="H10" s="431" t="s">
        <v>1520</v>
      </c>
      <c r="I10" s="589"/>
      <c r="J10" s="1265">
        <v>0.01</v>
      </c>
      <c r="K10" s="419"/>
      <c r="L10" s="859"/>
      <c r="M10" s="568" t="str">
        <f t="shared" si="0"/>
        <v/>
      </c>
      <c r="N10" s="567" t="str">
        <f t="shared" si="1"/>
        <v/>
      </c>
      <c r="O10" s="3458"/>
      <c r="U10" s="661">
        <v>37622</v>
      </c>
      <c r="V10" s="562" t="s">
        <v>1282</v>
      </c>
      <c r="W10" s="69"/>
      <c r="X10" s="69"/>
      <c r="Y10" s="69">
        <v>3</v>
      </c>
      <c r="Z10" s="69">
        <v>4</v>
      </c>
      <c r="AA10" s="69">
        <v>5</v>
      </c>
      <c r="AB10" s="562" t="s">
        <v>1293</v>
      </c>
      <c r="AC10" s="562"/>
      <c r="AD10" s="1252" t="s">
        <v>1308</v>
      </c>
    </row>
    <row r="11" spans="1:31" ht="14.25" customHeight="1" thickBot="1">
      <c r="A11" s="3449"/>
      <c r="B11" s="3472" t="s">
        <v>842</v>
      </c>
      <c r="C11" s="3473"/>
      <c r="D11" s="1574"/>
      <c r="E11" s="3422"/>
      <c r="F11" s="25"/>
      <c r="G11" s="3463"/>
      <c r="H11" s="431" t="s">
        <v>1540</v>
      </c>
      <c r="I11" s="589"/>
      <c r="J11" s="1265">
        <v>0.01</v>
      </c>
      <c r="K11" s="419"/>
      <c r="L11" s="859"/>
      <c r="M11" s="568" t="str">
        <f t="shared" si="0"/>
        <v/>
      </c>
      <c r="N11" s="567" t="str">
        <f t="shared" si="1"/>
        <v/>
      </c>
      <c r="O11" s="3458"/>
      <c r="Q11" s="157" t="e">
        <f>VLOOKUP(D5,aktRW,IF(S13,3,2))</f>
        <v>#N/A</v>
      </c>
      <c r="U11" s="661">
        <v>38869</v>
      </c>
      <c r="V11" s="562" t="s">
        <v>1282</v>
      </c>
      <c r="W11" s="69"/>
      <c r="X11" s="69"/>
      <c r="Y11" s="69">
        <v>3</v>
      </c>
      <c r="Z11" s="69">
        <v>4</v>
      </c>
      <c r="AA11" s="69">
        <v>5</v>
      </c>
      <c r="AB11" s="562" t="s">
        <v>1294</v>
      </c>
      <c r="AC11" s="562"/>
      <c r="AD11" s="1252" t="s">
        <v>1308</v>
      </c>
    </row>
    <row r="12" spans="1:31" s="587" customFormat="1" ht="14.25" customHeight="1">
      <c r="A12" s="3474" t="s">
        <v>541</v>
      </c>
      <c r="B12" s="3423" t="s">
        <v>528</v>
      </c>
      <c r="C12" s="3424"/>
      <c r="D12" s="3424"/>
      <c r="E12" s="3425"/>
      <c r="F12" s="586"/>
      <c r="G12" s="3463"/>
      <c r="H12" s="431" t="s">
        <v>1497</v>
      </c>
      <c r="I12" s="589"/>
      <c r="J12" s="1265">
        <v>0.01</v>
      </c>
      <c r="K12" s="585"/>
      <c r="L12" s="860"/>
      <c r="M12" s="568" t="str">
        <f t="shared" si="0"/>
        <v/>
      </c>
      <c r="N12" s="567" t="str">
        <f t="shared" si="1"/>
        <v/>
      </c>
      <c r="O12" s="3458"/>
      <c r="Q12" s="588" t="s">
        <v>482</v>
      </c>
      <c r="U12" s="661">
        <v>39448</v>
      </c>
      <c r="V12" s="562" t="s">
        <v>285</v>
      </c>
      <c r="W12" s="69">
        <v>1</v>
      </c>
      <c r="X12" s="69"/>
      <c r="Y12" s="69"/>
      <c r="Z12" s="69"/>
      <c r="AA12" s="69"/>
      <c r="AB12" s="562" t="s">
        <v>1295</v>
      </c>
      <c r="AC12" s="960" t="s">
        <v>1296</v>
      </c>
      <c r="AD12" s="1252" t="s">
        <v>126</v>
      </c>
    </row>
    <row r="13" spans="1:31" ht="14.25" customHeight="1">
      <c r="A13" s="3475"/>
      <c r="B13" s="3426" t="s">
        <v>1677</v>
      </c>
      <c r="C13" s="3427"/>
      <c r="D13" s="30" t="s">
        <v>516</v>
      </c>
      <c r="E13" s="1578" t="s">
        <v>517</v>
      </c>
      <c r="F13" s="25"/>
      <c r="G13" s="3463"/>
      <c r="H13" s="431" t="s">
        <v>538</v>
      </c>
      <c r="I13" s="589"/>
      <c r="J13" s="1265">
        <v>0.01</v>
      </c>
      <c r="K13" s="419"/>
      <c r="L13" s="859"/>
      <c r="M13" s="568" t="str">
        <f t="shared" si="0"/>
        <v/>
      </c>
      <c r="N13" s="567" t="str">
        <f t="shared" si="1"/>
        <v/>
      </c>
      <c r="O13" s="3458"/>
      <c r="Q13" s="4" t="s">
        <v>476</v>
      </c>
      <c r="R13" t="s">
        <v>529</v>
      </c>
      <c r="S13" s="15" t="b">
        <v>0</v>
      </c>
      <c r="U13" s="661">
        <v>39630</v>
      </c>
      <c r="V13" s="562" t="s">
        <v>1282</v>
      </c>
      <c r="W13" s="69"/>
      <c r="X13" s="69"/>
      <c r="Y13" s="69">
        <v>3</v>
      </c>
      <c r="Z13" s="69">
        <v>4</v>
      </c>
      <c r="AA13" s="69">
        <v>5</v>
      </c>
      <c r="AB13" s="562" t="s">
        <v>1297</v>
      </c>
      <c r="AC13" s="562"/>
      <c r="AD13" s="1252" t="s">
        <v>1308</v>
      </c>
    </row>
    <row r="14" spans="1:31" ht="14.25" customHeight="1">
      <c r="A14" s="3475"/>
      <c r="B14" s="3428" t="str">
        <f>IF(D11="ja","DRV in Euro","DRV in Entgeltpunkten (EP)")</f>
        <v>DRV in Entgeltpunkten (EP)</v>
      </c>
      <c r="C14" s="3429"/>
      <c r="D14" s="1263"/>
      <c r="E14" s="951"/>
      <c r="F14" s="25"/>
      <c r="G14" s="3463"/>
      <c r="H14" s="431" t="s">
        <v>539</v>
      </c>
      <c r="I14" s="589"/>
      <c r="J14" s="1265">
        <v>0.01</v>
      </c>
      <c r="K14" s="419"/>
      <c r="L14" s="859"/>
      <c r="M14" s="568" t="str">
        <f t="shared" si="0"/>
        <v/>
      </c>
      <c r="N14" s="567" t="str">
        <f t="shared" si="1"/>
        <v/>
      </c>
      <c r="O14" s="3458"/>
      <c r="Q14" s="157" t="e">
        <f>VLOOKUP(C8,aktRW,IF(S13,3,2))</f>
        <v>#N/A</v>
      </c>
      <c r="U14" s="661">
        <v>39856</v>
      </c>
      <c r="V14" s="562" t="s">
        <v>285</v>
      </c>
      <c r="W14" s="69"/>
      <c r="X14" s="69">
        <v>2</v>
      </c>
      <c r="Y14" s="69"/>
      <c r="Z14" s="69"/>
      <c r="AA14" s="69"/>
      <c r="AB14" s="562" t="s">
        <v>1295</v>
      </c>
      <c r="AC14" s="960" t="s">
        <v>1442</v>
      </c>
      <c r="AD14" s="1252" t="s">
        <v>1285</v>
      </c>
    </row>
    <row r="15" spans="1:31" ht="14.25" customHeight="1">
      <c r="A15" s="3475"/>
      <c r="B15" s="3526" t="s">
        <v>533</v>
      </c>
      <c r="C15" s="3527"/>
      <c r="D15" s="386"/>
      <c r="E15" s="1579" t="str">
        <f>IF(D11="ja","Rentenänderung","KoKa Änderung")</f>
        <v>KoKa Änderung</v>
      </c>
      <c r="F15" s="25"/>
      <c r="G15" s="3463"/>
      <c r="H15" s="3432" t="s">
        <v>195</v>
      </c>
      <c r="I15" s="3433"/>
      <c r="J15" s="3434"/>
      <c r="K15" s="854">
        <f>SUM(K6:K14)</f>
        <v>0</v>
      </c>
      <c r="L15" s="864">
        <f>SUM(L6:L14)</f>
        <v>0</v>
      </c>
      <c r="M15" s="857">
        <f>SUM(M6:M14)</f>
        <v>0</v>
      </c>
      <c r="N15" s="1264">
        <f>SUM(N6:N14)</f>
        <v>0</v>
      </c>
      <c r="O15" s="3458"/>
      <c r="S15" t="e">
        <f>ROUND(S17*1.2,2)</f>
        <v>#VALUE!</v>
      </c>
      <c r="U15" s="661">
        <v>40057</v>
      </c>
      <c r="V15" s="562" t="s">
        <v>1299</v>
      </c>
      <c r="W15" s="69"/>
      <c r="X15" s="69"/>
      <c r="Y15" s="69">
        <v>3</v>
      </c>
      <c r="Z15" s="69">
        <v>4</v>
      </c>
      <c r="AA15" s="69">
        <v>5</v>
      </c>
      <c r="AB15" s="562"/>
      <c r="AC15" s="562"/>
      <c r="AD15" s="1252" t="s">
        <v>1308</v>
      </c>
    </row>
    <row r="16" spans="1:31" ht="14.25" customHeight="1">
      <c r="A16" s="3475"/>
      <c r="B16" s="3526" t="str">
        <f>IFERROR("Änderung des Ausgleichswerts: "&amp;IF(D15&gt;0,TEXT(D15,"0,0000")&amp;" EP / 2 x "&amp;TEXT(Q14,"0,00"),"("&amp;TEXT(E14,"#.##0,00")&amp;" - "&amp;TEXT(D14,"#.##0,00")&amp;") / 2  ="),"")</f>
        <v>Änderung des Ausgleichswerts: (0,00 - 0,00) / 2  =</v>
      </c>
      <c r="C16" s="3527"/>
      <c r="D16" s="1573">
        <f>IFERROR(IF(D11="ja",IF(D15&gt;0,D15/2*Q14,(E14-D14)/2),IF(D15&gt;0,D15/2,(E14-D14)/2)),"")</f>
        <v>0</v>
      </c>
      <c r="E16" s="1580" t="str">
        <f>IFERROR(IF(D11="ja",D16,D16*VLOOKUP(D8,UmrechnungEP_Kap,IF(S13,3,2))),"")</f>
        <v/>
      </c>
      <c r="F16" s="25"/>
      <c r="G16" s="3463"/>
      <c r="H16" s="3432" t="s">
        <v>309</v>
      </c>
      <c r="I16" s="3433"/>
      <c r="J16" s="3434"/>
      <c r="K16" s="3537">
        <f>ABS(K15-L15)</f>
        <v>0</v>
      </c>
      <c r="L16" s="3538"/>
      <c r="M16" s="3483">
        <f>ABS(M15-N15)</f>
        <v>0</v>
      </c>
      <c r="N16" s="3484"/>
      <c r="O16" s="3458"/>
      <c r="P16" s="383"/>
      <c r="R16" t="s">
        <v>530</v>
      </c>
      <c r="S16" s="157" t="e">
        <f>VLOOKUP(YEAR(C8),MonatlicheBezugsgroesse,IF(S13,3,2))*0.01</f>
        <v>#VALUE!</v>
      </c>
      <c r="U16" s="661">
        <v>41821</v>
      </c>
      <c r="V16" s="562" t="s">
        <v>1286</v>
      </c>
      <c r="W16" s="69">
        <v>1</v>
      </c>
      <c r="X16" s="69"/>
      <c r="Y16" s="69"/>
      <c r="Z16" s="69"/>
      <c r="AA16" s="69"/>
      <c r="AB16" s="562" t="s">
        <v>1301</v>
      </c>
      <c r="AC16" s="960" t="s">
        <v>1300</v>
      </c>
      <c r="AD16" s="1252" t="s">
        <v>126</v>
      </c>
    </row>
    <row r="17" spans="1:30" ht="14.25" customHeight="1" thickBot="1">
      <c r="A17" s="3475"/>
      <c r="B17" s="3526" t="str">
        <f>IFERROR("Absolute Wesentlichkeitsgrenze § 225 II FamFG: "&amp;IF(D11="nein","120%","1%")&amp;" von "&amp;TEXT(S17,"#.##0,00"),"")</f>
        <v/>
      </c>
      <c r="C17" s="3527"/>
      <c r="D17" s="1204" t="str">
        <f>IFERROR(IF(D11="nein",MonBezugsgr_120,absWGrenze),"")</f>
        <v/>
      </c>
      <c r="E17" s="1578" t="str">
        <f>IF(E14+D14=0,"",IF(E16&gt;=D17,"überschritten","unterschritten"))</f>
        <v/>
      </c>
      <c r="F17" s="25"/>
      <c r="G17" s="3463"/>
      <c r="H17" s="3485" t="s">
        <v>537</v>
      </c>
      <c r="I17" s="3486"/>
      <c r="J17" s="3487"/>
      <c r="K17" s="978">
        <f>IF(K15&gt;L15,-K16/2,K16/2)</f>
        <v>0</v>
      </c>
      <c r="L17" s="979">
        <f>IF(L15&gt;K15,-K16/2,K16/2)</f>
        <v>0</v>
      </c>
      <c r="M17" s="862"/>
      <c r="N17" s="863"/>
      <c r="O17" s="3458"/>
      <c r="P17" s="383"/>
      <c r="S17" s="157" t="e">
        <f>VLOOKUP(YEAR(C8),MonatlicheBezugsgroesse,IF(S13,3,2))</f>
        <v>#VALUE!</v>
      </c>
      <c r="U17" s="661">
        <v>43466</v>
      </c>
      <c r="V17" s="562" t="s">
        <v>1286</v>
      </c>
      <c r="W17" s="69">
        <v>1</v>
      </c>
      <c r="X17" s="69"/>
      <c r="Y17" s="69"/>
      <c r="Z17" s="69"/>
      <c r="AA17" s="69"/>
      <c r="AB17" s="562" t="s">
        <v>1313</v>
      </c>
      <c r="AC17" s="960" t="s">
        <v>1300</v>
      </c>
      <c r="AD17" s="1252" t="s">
        <v>126</v>
      </c>
    </row>
    <row r="18" spans="1:30" ht="14.25" customHeight="1">
      <c r="A18" s="3475"/>
      <c r="B18" s="3528" t="str">
        <f>"Wesentlichkeitsgrenze § 225 II FamFG (5% vom Ausglwert alt), tasächlich:"</f>
        <v>Wesentlichkeitsgrenze § 225 II FamFG (5% vom Ausglwert alt), tasächlich:</v>
      </c>
      <c r="C18" s="3529"/>
      <c r="D18" s="237" t="str">
        <f>IFERROR((D16/D14)/2,"")</f>
        <v/>
      </c>
      <c r="E18" s="1578" t="str">
        <f>IF(E17="","",IFERROR(IF(D18&gt;=5%,"überschritten","unterschritten"),""))</f>
        <v/>
      </c>
      <c r="F18" s="25"/>
      <c r="G18" s="3463"/>
      <c r="H18" s="3488" t="s">
        <v>908</v>
      </c>
      <c r="I18" s="3489"/>
      <c r="J18" s="3489"/>
      <c r="K18" s="3539" t="str">
        <f>IF(AND(K19&lt;&gt;0,L19&lt;&gt;0),"bitte nur beim Ausglpfl. eintragen!",IF(OR(L19&gt;0,K19&gt;0),"bitte nur negative Werte!",IF(P21&gt;0,"bitte Vorzeichen korrigieren!","")))</f>
        <v/>
      </c>
      <c r="L18" s="3540"/>
      <c r="M18" s="1099"/>
      <c r="N18" s="861"/>
      <c r="O18" s="3458"/>
      <c r="P18" s="383"/>
      <c r="S18" s="157" t="e">
        <f>VLOOKUP(YEAR(D5),MonatlicheBezugsgroesse,IF(S14,3,2))</f>
        <v>#N/A</v>
      </c>
      <c r="U18" s="661">
        <v>44197</v>
      </c>
      <c r="V18" s="562" t="s">
        <v>1303</v>
      </c>
      <c r="W18" s="69">
        <v>1</v>
      </c>
      <c r="X18" s="69"/>
      <c r="Y18" s="69"/>
      <c r="Z18" s="69"/>
      <c r="AA18" s="69"/>
      <c r="AB18" s="562" t="s">
        <v>1304</v>
      </c>
      <c r="AC18" s="960" t="s">
        <v>1305</v>
      </c>
      <c r="AD18" s="1252" t="s">
        <v>126</v>
      </c>
    </row>
    <row r="19" spans="1:30" ht="14.25" customHeight="1">
      <c r="A19" s="3475"/>
      <c r="B19" s="3504" t="s">
        <v>520</v>
      </c>
      <c r="C19" s="3505"/>
      <c r="D19" s="777" t="str">
        <f>IF(D14+E14=0,"",IF(AND(E17="überschritten",E18="überschritten"),"Ja","Nein"))</f>
        <v/>
      </c>
      <c r="E19" s="1575"/>
      <c r="F19" s="25"/>
      <c r="G19" s="3463"/>
      <c r="H19" s="3490"/>
      <c r="I19" s="3491"/>
      <c r="J19" s="3492"/>
      <c r="K19" s="868"/>
      <c r="L19" s="1102"/>
      <c r="M19" s="1100" t="str">
        <f>IFERROR(IF(K19+L19=0,"",IF(K19+L19=0,"",IFERROR(-PV(BilMoG7-RententrendDRV,R$4-R$5,0,-PV(BilMoG7-RententrendDRV,R$6,IF(K19=0,-L19,K19*12),))*VLOOKUP(R$4,IF(divers,G_Kohorte_N,G_Kohorte_M),YEAR(K$3)-1900+2)/VLOOKUP(R$5,IF(divers,G_Kohorte_N,G_Kohorte_M),YEAR(K$3)-1900+2),""))),"")</f>
        <v/>
      </c>
      <c r="N19" s="856" t="str">
        <f>IFERROR(IF(K19+L19=0,"",IFERROR(-PV(BilMoG7-RententrendDRV,S$4-S$5,0,-PV(BilMoG7-RententrendDRV,S$6,IF(L19=0,-K19,L19)*12,))*VLOOKUP(S$4,IF(divers,G_Kohorte_N,G_Kohorte_F),YEAR(L$3)-1900+2)/VLOOKUP(S$5,IF(divers,G_Kohorte_N,G_Kohorte_F),YEAR(L$3)-1900+2),"")),"")</f>
        <v/>
      </c>
      <c r="O19" s="25"/>
      <c r="P19" s="383">
        <f>IF(OR(AND(L17&gt;0,L19&lt;0),AND(L17&lt;0,L19&gt;0)),1,0)</f>
        <v>0</v>
      </c>
      <c r="U19" s="3495" t="s">
        <v>1443</v>
      </c>
      <c r="V19" s="3495"/>
      <c r="W19" s="3495"/>
      <c r="X19" s="3495"/>
      <c r="Y19" s="3495"/>
      <c r="Z19" s="3495"/>
      <c r="AA19" s="3495"/>
      <c r="AB19" s="3495"/>
      <c r="AC19" s="3495"/>
      <c r="AD19" s="3495"/>
    </row>
    <row r="20" spans="1:30" ht="14.25" customHeight="1" thickBot="1">
      <c r="A20" s="3475"/>
      <c r="B20" s="3523" t="s">
        <v>1678</v>
      </c>
      <c r="C20" s="3524"/>
      <c r="D20" s="3525"/>
      <c r="E20" s="1581" t="str">
        <f>IFERROR(D16/Q14*Q11,"")</f>
        <v/>
      </c>
      <c r="F20" s="25"/>
      <c r="G20" s="3464"/>
      <c r="H20" s="3550" t="s">
        <v>905</v>
      </c>
      <c r="I20" s="3551"/>
      <c r="J20" s="3551"/>
      <c r="K20" s="3551"/>
      <c r="L20" s="3552"/>
      <c r="M20" s="1101" t="str">
        <f>IFERROR(+M15+M19,"")</f>
        <v/>
      </c>
      <c r="N20" s="1005" t="str">
        <f>IFERROR(+N19+N15,"")</f>
        <v/>
      </c>
      <c r="O20" s="25"/>
      <c r="P20" s="383">
        <f>IF(OR(AND(K17&gt;0,K19&lt;0),AND(K17&lt;0,K19&gt;0)),1,0)</f>
        <v>0</v>
      </c>
    </row>
    <row r="21" spans="1:30" ht="14.25" customHeight="1" thickTop="1" thickBot="1">
      <c r="A21" s="3476"/>
      <c r="B21" s="3418" t="s">
        <v>215</v>
      </c>
      <c r="C21" s="3419"/>
      <c r="D21" s="3430" t="s">
        <v>991</v>
      </c>
      <c r="E21" s="3431"/>
      <c r="F21" s="25"/>
      <c r="G21" s="3547" t="s">
        <v>907</v>
      </c>
      <c r="H21" s="3548"/>
      <c r="I21" s="3548"/>
      <c r="J21" s="3548"/>
      <c r="K21" s="3548"/>
      <c r="L21" s="3548"/>
      <c r="M21" s="3548"/>
      <c r="N21" s="3549"/>
      <c r="O21" s="25"/>
      <c r="P21" s="383">
        <f>+P20+P19</f>
        <v>0</v>
      </c>
    </row>
    <row r="22" spans="1:30" ht="14.25" customHeight="1">
      <c r="A22" s="3476"/>
      <c r="B22" s="3477" t="s">
        <v>518</v>
      </c>
      <c r="C22" s="3416"/>
      <c r="D22" s="30" t="s">
        <v>516</v>
      </c>
      <c r="E22" s="379" t="s">
        <v>517</v>
      </c>
      <c r="F22" s="25"/>
      <c r="G22" s="3480" t="s">
        <v>639</v>
      </c>
      <c r="H22" s="1053" t="s">
        <v>631</v>
      </c>
      <c r="I22" s="566" t="s">
        <v>624</v>
      </c>
      <c r="J22" s="566" t="s">
        <v>630</v>
      </c>
      <c r="K22" s="921" t="s">
        <v>180</v>
      </c>
      <c r="L22" s="1054" t="s">
        <v>181</v>
      </c>
      <c r="M22" s="1055" t="s">
        <v>629</v>
      </c>
      <c r="N22" s="1056" t="s">
        <v>181</v>
      </c>
      <c r="O22" s="25"/>
      <c r="P22" s="383"/>
      <c r="Q22" s="384" t="s">
        <v>180</v>
      </c>
      <c r="R22" s="384" t="s">
        <v>181</v>
      </c>
    </row>
    <row r="23" spans="1:30" ht="14.25">
      <c r="A23" s="3476"/>
      <c r="B23" s="3477" t="s">
        <v>521</v>
      </c>
      <c r="C23" s="3416"/>
      <c r="D23" s="779"/>
      <c r="E23" s="1030"/>
      <c r="F23" s="25"/>
      <c r="G23" s="3481"/>
      <c r="H23" s="1335" t="str">
        <f t="shared" ref="H23:H31" si="2">+H6</f>
        <v>Deutsche Rentenversicherung</v>
      </c>
      <c r="I23" s="3467">
        <f>'Dies &amp; Das'!E3</f>
        <v>2.5999999999999999E-2</v>
      </c>
      <c r="J23" s="3468"/>
      <c r="K23" s="419"/>
      <c r="L23" s="859"/>
      <c r="M23" s="568" t="str">
        <f>IFERROR(-PV(R$2-RententrendDRV,IF(R$4-R$5&lt;0,0,R$4-R$5),0,-PV(R$2-RententrendDRV,R$6,K23*12,))*VLOOKUP(R$4,G_Kohorte_M,YEAR(K$3)-1900+2)/VLOOKUP(R$5,G_Kohorte_M,YEAR(K$3)-1900+2),"")</f>
        <v/>
      </c>
      <c r="N23" s="567" t="str">
        <f>IF($L$3=0,"",IFERROR(-PV(R$2-RententrendDRV,IF(S$4-S$5&lt;0,0,S$4-S$5),0,-PV(R$2-RententrendDRV,S$6,L23*12,))*VLOOKUP(S$4,G_Kohorte_F,YEAR(L$3)-1900+2)/VLOOKUP(S$5,G_Kohorte_F,YEAR(L$3)-1900+2),""))</f>
        <v/>
      </c>
      <c r="O23" s="25"/>
      <c r="P23" s="154" t="e">
        <f>ABS(+L23/L6-1)</f>
        <v>#DIV/0!</v>
      </c>
      <c r="Q23" s="215">
        <f t="shared" ref="Q23:Q31" si="3">+K23-K6</f>
        <v>0</v>
      </c>
      <c r="R23" s="215">
        <f>(L23-L6)</f>
        <v>0</v>
      </c>
    </row>
    <row r="24" spans="1:30" ht="14.25">
      <c r="A24" s="3476"/>
      <c r="B24" s="3477" t="s">
        <v>527</v>
      </c>
      <c r="C24" s="3416"/>
      <c r="D24" s="3345">
        <f>+E23-D23</f>
        <v>0</v>
      </c>
      <c r="E24" s="3482"/>
      <c r="F24" s="25"/>
      <c r="G24" s="3481"/>
      <c r="H24" s="1335" t="str">
        <f t="shared" si="2"/>
        <v>Beamtenversorgung</v>
      </c>
      <c r="I24" s="3467">
        <f>+I23</f>
        <v>2.5999999999999999E-2</v>
      </c>
      <c r="J24" s="3468"/>
      <c r="K24" s="419"/>
      <c r="L24" s="859"/>
      <c r="M24" s="568" t="str">
        <f>IFERROR(-PV(R$2-RententrendDRV,IF(R$4-R$5&lt;0,0,R$4-R$5),0,-PV(R$2-RententrendDRV,R$6,K24*12,))*VLOOKUP(R$4,G_Kohorte_M,YEAR(K$3)-1900+2)/VLOOKUP(R$5,G_Kohorte_M,YEAR(K$3)-1900+2),"")</f>
        <v/>
      </c>
      <c r="N24" s="567" t="str">
        <f>IF($L$3=0,"",IFERROR(-PV(R$2-RententrendDRV,IF(S$4-S$5&lt;0,0,S$4-S$5),0,-PV(R$2-RententrendDRV,S$6,L24*12,))*VLOOKUP(S$4,G_Kohorte_F,YEAR(L$3)-1900+2)/VLOOKUP(S$5,G_Kohorte_F,YEAR(L$3)-1900+2),""))</f>
        <v/>
      </c>
      <c r="O24" s="25"/>
      <c r="Q24" s="215">
        <f t="shared" si="3"/>
        <v>0</v>
      </c>
      <c r="R24" s="215">
        <f t="shared" ref="R24:R31" si="4">+L24-L7</f>
        <v>0</v>
      </c>
    </row>
    <row r="25" spans="1:30" ht="14.25">
      <c r="A25" s="3476"/>
      <c r="B25" s="3477" t="str">
        <f>+B17</f>
        <v/>
      </c>
      <c r="C25" s="3416"/>
      <c r="D25" s="972" t="str">
        <f>IFERROR(S16,"")</f>
        <v/>
      </c>
      <c r="E25" s="970"/>
      <c r="F25" s="25"/>
      <c r="G25" s="3481"/>
      <c r="H25" s="1335" t="str">
        <f t="shared" si="2"/>
        <v>berufsständische Versorgung</v>
      </c>
      <c r="I25" s="3545">
        <v>5.0000000000000001E-3</v>
      </c>
      <c r="J25" s="3546"/>
      <c r="K25" s="419"/>
      <c r="L25" s="859"/>
      <c r="M25" s="568" t="str">
        <f>IFERROR(-PV(R$2-I25,IF(R$4-R$5&lt;0,0,R$4-R$5),0,-PV(R$2-I25,R$6,K25*12,))*VLOOKUP(R$4,G_Kohorte_M,YEAR(K$3)-1900+2)/VLOOKUP(R$5,G_Kohorte_M,YEAR(K$3)-1900+2),"")</f>
        <v/>
      </c>
      <c r="N25" s="567" t="str">
        <f>IF($L$3=0,"",IFERROR(-PV(R$2-I25,IF(S$4-S$5&lt;0,0,S$4-S$5),0,-PV(R$2-I25,S$6,L25*12,))*VLOOKUP(S$4,G_Kohorte_F,YEAR(L$3)-1900+2)/VLOOKUP(S$5,G_Kohorte_F,YEAR(L$3)-1900+2),""))</f>
        <v/>
      </c>
      <c r="O25" s="25"/>
      <c r="Q25" s="215">
        <f t="shared" si="3"/>
        <v>0</v>
      </c>
      <c r="R25" s="215">
        <f t="shared" si="4"/>
        <v>0</v>
      </c>
    </row>
    <row r="26" spans="1:30" ht="14.25">
      <c r="A26" s="3476"/>
      <c r="B26" s="3520" t="str">
        <f>"Relative Wesentlichkeitsgrenze § 225 II FamFG (5% von "&amp;TEXT(D23,"#.##0,00")&amp;")"</f>
        <v>Relative Wesentlichkeitsgrenze § 225 II FamFG (5% von 0,00)</v>
      </c>
      <c r="C26" s="3521"/>
      <c r="D26" s="972">
        <f>+D23*0.05</f>
        <v>0</v>
      </c>
      <c r="E26" s="840" t="s">
        <v>531</v>
      </c>
      <c r="F26" s="25"/>
      <c r="G26" s="3481"/>
      <c r="H26" s="1335" t="str">
        <f t="shared" si="2"/>
        <v>Zusatzversorgung öffentlicher Dienst (ZVK)</v>
      </c>
      <c r="I26" s="1265">
        <v>0</v>
      </c>
      <c r="J26" s="1265">
        <v>0.01</v>
      </c>
      <c r="K26" s="419"/>
      <c r="L26" s="859"/>
      <c r="M26" s="568" t="str">
        <f t="shared" ref="M26:M31" si="5">IFERROR(-PV(R$2-I26,IF(R$4-R$5&lt;0,0,R$4-R$5),0,-PV(R$2-J26,R$6,K26*12,))*VLOOKUP(R$4,G_Kohorte_M,YEAR(K$3)-1900+2)/VLOOKUP(R$5,G_Kohorte_M,YEAR(K$3)-1900+2),"")</f>
        <v/>
      </c>
      <c r="N26" s="567" t="str">
        <f t="shared" ref="N26:N31" si="6">IF($L$3=0,"",IFERROR(-PV(R$2-I26,IF(S$4-S$5&lt;0,0,S$4-S$5),0,-PV(R$2-J26,S$6,L26*12,))*VLOOKUP(S$4,G_Kohorte_F,YEAR(L$3)-1900+2)/VLOOKUP(S$5,G_Kohorte_F,YEAR(L$3)-1900+2),""))</f>
        <v/>
      </c>
      <c r="O26" s="25"/>
      <c r="Q26" s="215">
        <f t="shared" si="3"/>
        <v>0</v>
      </c>
      <c r="R26" s="215">
        <f t="shared" si="4"/>
        <v>0</v>
      </c>
    </row>
    <row r="27" spans="1:30" ht="14.25" customHeight="1" thickBot="1">
      <c r="A27" s="3476"/>
      <c r="B27" s="3518" t="s">
        <v>520</v>
      </c>
      <c r="C27" s="3519"/>
      <c r="D27" s="973" t="str">
        <f>IF(D23+E23=0,"",IF(AND(ABS(E23-D23)&gt;=ABS(ABS(D26)),ABS(E23-D23)&gt;D25),"Ja","Nein"))</f>
        <v/>
      </c>
      <c r="E27" s="971" t="str">
        <f>IFERROR(+ABS(D24)*Q11/Q14,"")</f>
        <v/>
      </c>
      <c r="F27" s="25"/>
      <c r="G27" s="3481"/>
      <c r="H27" s="1335" t="str">
        <f t="shared" si="2"/>
        <v>VBL</v>
      </c>
      <c r="I27" s="1265">
        <v>0</v>
      </c>
      <c r="J27" s="1265">
        <v>0.01</v>
      </c>
      <c r="K27" s="419"/>
      <c r="L27" s="859"/>
      <c r="M27" s="568" t="str">
        <f t="shared" si="5"/>
        <v/>
      </c>
      <c r="N27" s="567" t="str">
        <f t="shared" si="6"/>
        <v/>
      </c>
      <c r="O27" s="25"/>
      <c r="Q27" s="215">
        <f t="shared" si="3"/>
        <v>0</v>
      </c>
      <c r="R27" s="215">
        <f t="shared" si="4"/>
        <v>0</v>
      </c>
      <c r="T27" t="e">
        <f>IF(AND(ABS($Q$23/2)&gt;=K6/2*5%,ABS($Q$23/2)&gt;=absWGrenze),"Ja","nein")</f>
        <v>#VALUE!</v>
      </c>
    </row>
    <row r="28" spans="1:30" ht="14.25" customHeight="1">
      <c r="A28" s="3476"/>
      <c r="B28" s="3496" t="s">
        <v>816</v>
      </c>
      <c r="C28" s="3497"/>
      <c r="D28" s="3424"/>
      <c r="E28" s="3498"/>
      <c r="F28" s="25"/>
      <c r="G28" s="3481"/>
      <c r="H28" s="1335" t="str">
        <f t="shared" si="2"/>
        <v>Sonstige 1</v>
      </c>
      <c r="I28" s="1265">
        <f t="shared" ref="I28:J31" si="7">+I11</f>
        <v>0</v>
      </c>
      <c r="J28" s="1265">
        <f t="shared" si="7"/>
        <v>0.01</v>
      </c>
      <c r="K28" s="419"/>
      <c r="L28" s="859"/>
      <c r="M28" s="568" t="str">
        <f t="shared" si="5"/>
        <v/>
      </c>
      <c r="N28" s="567" t="str">
        <f t="shared" si="6"/>
        <v/>
      </c>
      <c r="O28" s="25"/>
      <c r="Q28" s="215">
        <f t="shared" si="3"/>
        <v>0</v>
      </c>
      <c r="R28" s="215">
        <f t="shared" si="4"/>
        <v>0</v>
      </c>
    </row>
    <row r="29" spans="1:30" ht="14.25" customHeight="1">
      <c r="A29" s="3476"/>
      <c r="B29" s="3499" t="s">
        <v>525</v>
      </c>
      <c r="C29" s="3500"/>
      <c r="D29" s="3501"/>
      <c r="E29" s="3502"/>
      <c r="F29" s="25"/>
      <c r="G29" s="3481"/>
      <c r="H29" s="1335" t="str">
        <f t="shared" si="2"/>
        <v>Sonstige 2</v>
      </c>
      <c r="I29" s="1265">
        <f t="shared" si="7"/>
        <v>0</v>
      </c>
      <c r="J29" s="1265">
        <f t="shared" si="7"/>
        <v>0.01</v>
      </c>
      <c r="K29" s="419"/>
      <c r="L29" s="859"/>
      <c r="M29" s="568" t="str">
        <f t="shared" si="5"/>
        <v/>
      </c>
      <c r="N29" s="567" t="str">
        <f t="shared" si="6"/>
        <v/>
      </c>
      <c r="O29" s="25"/>
      <c r="Q29" s="215">
        <f t="shared" si="3"/>
        <v>0</v>
      </c>
      <c r="R29" s="215">
        <f t="shared" si="4"/>
        <v>0</v>
      </c>
    </row>
    <row r="30" spans="1:30" ht="14.25" customHeight="1">
      <c r="A30" s="3476"/>
      <c r="B30" s="753" t="s">
        <v>566</v>
      </c>
      <c r="C30" s="1371"/>
      <c r="D30" s="1263"/>
      <c r="E30" s="380"/>
      <c r="F30" s="25"/>
      <c r="G30" s="3481"/>
      <c r="H30" s="1335" t="str">
        <f t="shared" si="2"/>
        <v>Sonstige 3</v>
      </c>
      <c r="I30" s="1265">
        <f t="shared" si="7"/>
        <v>0</v>
      </c>
      <c r="J30" s="1265">
        <f t="shared" si="7"/>
        <v>0.01</v>
      </c>
      <c r="K30" s="419"/>
      <c r="L30" s="859"/>
      <c r="M30" s="568" t="str">
        <f t="shared" si="5"/>
        <v/>
      </c>
      <c r="N30" s="567" t="str">
        <f t="shared" si="6"/>
        <v/>
      </c>
      <c r="O30" s="25"/>
      <c r="Q30" s="215">
        <f t="shared" si="3"/>
        <v>0</v>
      </c>
      <c r="R30" s="215">
        <f t="shared" si="4"/>
        <v>0</v>
      </c>
    </row>
    <row r="31" spans="1:30" ht="14.25" customHeight="1">
      <c r="A31" s="3476"/>
      <c r="B31" s="3477" t="s">
        <v>522</v>
      </c>
      <c r="C31" s="3416"/>
      <c r="D31" s="1263"/>
      <c r="E31" s="381"/>
      <c r="F31" s="25"/>
      <c r="G31" s="3481"/>
      <c r="H31" s="1335" t="str">
        <f t="shared" si="2"/>
        <v>Sonstige 4</v>
      </c>
      <c r="I31" s="1265">
        <f t="shared" si="7"/>
        <v>0</v>
      </c>
      <c r="J31" s="1265">
        <f t="shared" si="7"/>
        <v>0.01</v>
      </c>
      <c r="K31" s="419"/>
      <c r="L31" s="859"/>
      <c r="M31" s="568" t="str">
        <f t="shared" si="5"/>
        <v/>
      </c>
      <c r="N31" s="567" t="str">
        <f t="shared" si="6"/>
        <v/>
      </c>
      <c r="O31" s="25"/>
      <c r="Q31" s="215">
        <f t="shared" si="3"/>
        <v>0</v>
      </c>
      <c r="R31" s="215">
        <f t="shared" si="4"/>
        <v>0</v>
      </c>
    </row>
    <row r="32" spans="1:30" ht="14.25" customHeight="1">
      <c r="A32" s="3476"/>
      <c r="B32" s="3477" t="s">
        <v>523</v>
      </c>
      <c r="C32" s="3416"/>
      <c r="D32" s="974" t="str">
        <f>IFERROR(+Q14,"")</f>
        <v/>
      </c>
      <c r="E32" s="381"/>
      <c r="F32" s="25"/>
      <c r="G32" s="3481"/>
      <c r="H32" s="570" t="s">
        <v>195</v>
      </c>
      <c r="I32" s="570"/>
      <c r="J32" s="570"/>
      <c r="K32" s="854">
        <f>SUM(K23:K31)</f>
        <v>0</v>
      </c>
      <c r="L32" s="864">
        <f>SUM(L23:L31)</f>
        <v>0</v>
      </c>
      <c r="M32" s="866">
        <f>SUM(M23:M31)</f>
        <v>0</v>
      </c>
      <c r="N32" s="569">
        <f>SUM(N23:N31)</f>
        <v>0</v>
      </c>
      <c r="O32" s="25"/>
      <c r="S32" s="3503" t="s">
        <v>126</v>
      </c>
    </row>
    <row r="33" spans="1:22" ht="14.25" customHeight="1">
      <c r="A33" s="3476"/>
      <c r="B33" s="3477" t="s">
        <v>524</v>
      </c>
      <c r="C33" s="3416"/>
      <c r="D33" s="974" t="str">
        <f>IFERROR(+Q11,"")</f>
        <v/>
      </c>
      <c r="E33" s="381"/>
      <c r="F33" s="25"/>
      <c r="G33" s="3481"/>
      <c r="H33" s="570" t="s">
        <v>309</v>
      </c>
      <c r="I33" s="570"/>
      <c r="J33" s="570"/>
      <c r="K33" s="3537">
        <f>ABS(K32-L32)</f>
        <v>0</v>
      </c>
      <c r="L33" s="3538"/>
      <c r="M33" s="3483">
        <f>ABS(M32-N32)</f>
        <v>0</v>
      </c>
      <c r="N33" s="3484"/>
      <c r="O33" s="25"/>
      <c r="S33" s="3503"/>
    </row>
    <row r="34" spans="1:22" ht="14.25" customHeight="1">
      <c r="A34" s="3476"/>
      <c r="B34" s="3509" t="str">
        <f>"aktueller Wert d. dynamisierten Ausgleichswerts: "&amp;TEXT(D31,"#.##0,00")&amp;" x "&amp;TEXT(D33,"0,00")&amp;" / "&amp;TEXT(D32,"0,00")</f>
        <v xml:space="preserve">aktueller Wert d. dynamisierten Ausgleichswerts: 0,00 x  / </v>
      </c>
      <c r="C34" s="3510"/>
      <c r="D34" s="975" t="str">
        <f>IFERROR(+D31*D33/D32,"")</f>
        <v/>
      </c>
      <c r="E34" s="381"/>
      <c r="F34" s="25"/>
      <c r="G34" s="3481"/>
      <c r="H34" s="571" t="s">
        <v>537</v>
      </c>
      <c r="I34" s="571"/>
      <c r="J34" s="571"/>
      <c r="K34" s="572">
        <f>IF(K32&gt;L32,-K33/2,K33/2)</f>
        <v>0</v>
      </c>
      <c r="L34" s="865">
        <f>IF(L32&gt;K32,-K33/2,K33/2)</f>
        <v>0</v>
      </c>
      <c r="M34" s="1047"/>
      <c r="N34" s="1048"/>
      <c r="O34" s="25"/>
      <c r="S34" s="3503"/>
    </row>
    <row r="35" spans="1:22" ht="14.25" customHeight="1" thickBot="1">
      <c r="A35" s="3476"/>
      <c r="B35" s="3477" t="str">
        <f>"Abweichung aktueller Wert vom Nominalwert: "&amp;TEXT(D30,"#.##0,00")&amp;" - "&amp;TEXT(D34,"#.##0,00")</f>
        <v xml:space="preserve">Abweichung aktueller Wert vom Nominalwert: 0,00 - </v>
      </c>
      <c r="C35" s="3416"/>
      <c r="D35" s="974" t="str">
        <f>IFERROR(ABS(D34-D30),"")</f>
        <v/>
      </c>
      <c r="E35" s="381"/>
      <c r="F35" s="25"/>
      <c r="G35" s="3481"/>
      <c r="H35" s="1050"/>
      <c r="I35" s="1050"/>
      <c r="J35" s="1050"/>
      <c r="K35" s="1051"/>
      <c r="L35" s="1052"/>
      <c r="M35" s="1047"/>
      <c r="N35" s="1048"/>
      <c r="O35" s="25"/>
      <c r="S35" s="3503"/>
    </row>
    <row r="36" spans="1:22" ht="14.25" customHeight="1">
      <c r="A36" s="3476"/>
      <c r="B36" s="3477" t="s">
        <v>542</v>
      </c>
      <c r="C36" s="3416"/>
      <c r="D36" s="854" t="str">
        <f>IFERROR(S18*0.02,"")</f>
        <v/>
      </c>
      <c r="E36" s="976" t="str">
        <f>IFERROR("2% x "&amp;TEXT(S18,"#.##0,00"),"")</f>
        <v/>
      </c>
      <c r="F36" s="25"/>
      <c r="G36" s="3541"/>
      <c r="H36" s="3544" t="s">
        <v>309</v>
      </c>
      <c r="I36" s="3544"/>
      <c r="J36" s="3544"/>
      <c r="K36" s="3513">
        <f>ABS(K34-K17)</f>
        <v>0</v>
      </c>
      <c r="L36" s="3513"/>
      <c r="M36" s="3511">
        <f>ABS(M33-M16)</f>
        <v>0</v>
      </c>
      <c r="N36" s="3512"/>
      <c r="O36" s="25"/>
      <c r="S36" s="3503"/>
    </row>
    <row r="37" spans="1:22" ht="14.25" customHeight="1">
      <c r="A37" s="3476"/>
      <c r="B37" s="3477"/>
      <c r="C37" s="3416"/>
      <c r="D37" s="854"/>
      <c r="E37" s="381"/>
      <c r="F37" s="25"/>
      <c r="G37" s="3542"/>
      <c r="H37" s="3479" t="s">
        <v>1218</v>
      </c>
      <c r="I37" s="3479"/>
      <c r="J37" s="3479"/>
      <c r="K37" s="3493" t="str">
        <f>IFERROR(ABS(1-ABS(K34)/ABS(K17)),"")</f>
        <v/>
      </c>
      <c r="L37" s="3493"/>
      <c r="M37" s="3493" t="str">
        <f>IFERROR(ABS(M36)/ABS(M16),"")</f>
        <v/>
      </c>
      <c r="N37" s="3494"/>
      <c r="O37" s="25"/>
      <c r="S37" s="519"/>
    </row>
    <row r="38" spans="1:22" ht="14.25" customHeight="1">
      <c r="A38" s="3476"/>
      <c r="B38" s="3477" t="s">
        <v>526</v>
      </c>
      <c r="C38" s="3416"/>
      <c r="D38" s="382"/>
      <c r="E38" s="840" t="s">
        <v>531</v>
      </c>
      <c r="F38" s="25"/>
      <c r="G38" s="3542"/>
      <c r="H38" s="3479" t="str">
        <f>IFERROR("abs. Wesentlichkeit: Rente 1% von "&amp;TEXT(VLOOKUP(YEAR(C8),MonatlicheBezugsgroesse,2),"#.##0 €")&amp;"/ Kapital: 120%","")</f>
        <v/>
      </c>
      <c r="I38" s="3479"/>
      <c r="J38" s="3479"/>
      <c r="K38" s="3531" t="str">
        <f>IFERROR(VLOOKUP(YEAR(C8),MonatlicheBezugsgroesse,2)*1%,"")</f>
        <v/>
      </c>
      <c r="L38" s="3532"/>
      <c r="M38" s="3531" t="str">
        <f>IFERROR(+K38*120,"")</f>
        <v/>
      </c>
      <c r="N38" s="3533"/>
      <c r="O38" s="25"/>
    </row>
    <row r="39" spans="1:22" ht="14.25" customHeight="1" thickBot="1">
      <c r="A39" s="3476"/>
      <c r="B39" s="3507" t="s">
        <v>520</v>
      </c>
      <c r="C39" s="3508"/>
      <c r="D39" s="377" t="str">
        <f>IF(D38="Ja","Nein, § 51 IV",IF(D35&gt;=D36,"Ja","Nein"))</f>
        <v>Ja</v>
      </c>
      <c r="E39" s="977" t="str">
        <f>+D35</f>
        <v/>
      </c>
      <c r="F39" s="25"/>
      <c r="G39" s="3543"/>
      <c r="H39" s="3534" t="s">
        <v>1184</v>
      </c>
      <c r="I39" s="3534"/>
      <c r="J39" s="3534"/>
      <c r="K39" s="3535" t="str">
        <f>IFERROR(IF(AND(ABS(K37)&gt;=5%,ABS(K36)&gt;=ABS(K38)),"möglich","Unmöglich"),"")</f>
        <v/>
      </c>
      <c r="L39" s="3535"/>
      <c r="M39" s="3535" t="str">
        <f>IFERROR(IF(AND(ABS(M37&gt;=5%),ABS(M36)&gt;=ABS(M38)),"möglich","Unmöglich"),"")</f>
        <v/>
      </c>
      <c r="N39" s="3536"/>
      <c r="O39" s="25"/>
    </row>
    <row r="40" spans="1:22" s="75" customFormat="1" ht="24" customHeight="1">
      <c r="A40" s="67"/>
      <c r="B40" s="3506"/>
      <c r="C40" s="3506"/>
      <c r="D40" s="3506"/>
      <c r="E40" s="3506"/>
      <c r="F40" s="67"/>
      <c r="G40" s="1049"/>
      <c r="H40" s="1049"/>
      <c r="I40" s="1049"/>
      <c r="J40" s="1049"/>
      <c r="K40" s="1049"/>
      <c r="L40" s="1049"/>
      <c r="M40" s="1049"/>
      <c r="N40" s="1049"/>
      <c r="O40" s="67"/>
    </row>
    <row r="41" spans="1:22" ht="14.25" hidden="1" customHeight="1">
      <c r="R41" s="4" t="s">
        <v>181</v>
      </c>
    </row>
    <row r="42" spans="1:22" ht="15" hidden="1" customHeight="1">
      <c r="R42" s="524">
        <v>51</v>
      </c>
      <c r="T42" s="3"/>
      <c r="U42" s="51" t="s">
        <v>180</v>
      </c>
      <c r="V42" s="51" t="s">
        <v>181</v>
      </c>
    </row>
    <row r="43" spans="1:22" ht="14.25" hidden="1" customHeight="1">
      <c r="R43" s="157">
        <v>27.2</v>
      </c>
      <c r="T43" s="520" t="s">
        <v>21</v>
      </c>
      <c r="U43" s="521">
        <v>300</v>
      </c>
      <c r="V43" s="521">
        <v>300</v>
      </c>
    </row>
    <row r="44" spans="1:22" ht="14.25" hidden="1" customHeight="1">
      <c r="R44" s="1195">
        <f>+R42/R43</f>
        <v>1.875</v>
      </c>
      <c r="T44" s="3" t="s">
        <v>581</v>
      </c>
      <c r="U44" s="267">
        <v>27.2</v>
      </c>
      <c r="V44" s="3"/>
    </row>
    <row r="45" spans="1:22" ht="14.25" hidden="1" customHeight="1">
      <c r="R45" s="439">
        <v>6144.9210000000003</v>
      </c>
      <c r="T45" s="3" t="s">
        <v>62</v>
      </c>
      <c r="U45" s="522">
        <f>+U43/U44</f>
        <v>11.029411764705882</v>
      </c>
      <c r="V45" s="3"/>
    </row>
    <row r="46" spans="1:22" ht="15" hidden="1" customHeight="1">
      <c r="R46" s="524">
        <f>+R45*R44</f>
        <v>11521.726875</v>
      </c>
      <c r="T46" s="3" t="s">
        <v>580</v>
      </c>
      <c r="U46" s="523">
        <v>6144.9210000000003</v>
      </c>
      <c r="V46" s="267">
        <v>181.5</v>
      </c>
    </row>
    <row r="47" spans="1:22" ht="14.25" hidden="1" customHeight="1">
      <c r="P47" t="s">
        <v>546</v>
      </c>
      <c r="R47" s="157">
        <v>300</v>
      </c>
      <c r="T47" s="520" t="s">
        <v>582</v>
      </c>
      <c r="U47" s="521">
        <f>+U46*U45</f>
        <v>67774.863970588238</v>
      </c>
      <c r="V47" s="521">
        <f>+V46*V43</f>
        <v>54450</v>
      </c>
    </row>
    <row r="48" spans="1:22" ht="14.25" hidden="1" customHeight="1">
      <c r="P48" t="s">
        <v>583</v>
      </c>
      <c r="R48" s="157">
        <v>181.5</v>
      </c>
      <c r="T48" s="3" t="s">
        <v>585</v>
      </c>
      <c r="U48" s="3478">
        <f>+U47-V47</f>
        <v>13324.863970588238</v>
      </c>
      <c r="V48" s="2715"/>
    </row>
    <row r="49" spans="16:22" ht="15" hidden="1" customHeight="1">
      <c r="P49" s="426" t="s">
        <v>582</v>
      </c>
      <c r="R49" s="524">
        <f>+R48*R47</f>
        <v>54450</v>
      </c>
      <c r="T49" s="520" t="s">
        <v>586</v>
      </c>
      <c r="U49" s="521">
        <f>-U48/2</f>
        <v>-6662.4319852941189</v>
      </c>
      <c r="V49" s="521">
        <f>-U49</f>
        <v>6662.4319852941189</v>
      </c>
    </row>
    <row r="50" spans="16:22" ht="15" hidden="1" customHeight="1">
      <c r="P50" s="426" t="s">
        <v>143</v>
      </c>
      <c r="Q50" s="524">
        <f>+U47</f>
        <v>67774.863970588238</v>
      </c>
      <c r="R50" s="524">
        <f>+R49+R46</f>
        <v>65971.726874999993</v>
      </c>
      <c r="T50" s="3" t="s">
        <v>590</v>
      </c>
      <c r="U50" s="267">
        <f>+U49/U46*U44</f>
        <v>-29.490720873384706</v>
      </c>
      <c r="V50" s="267">
        <f>+V49/V46</f>
        <v>36.707614244044734</v>
      </c>
    </row>
    <row r="51" spans="16:22" ht="14.25" hidden="1" customHeight="1">
      <c r="P51" t="s">
        <v>584</v>
      </c>
      <c r="Q51" s="1262">
        <f>+Q50-R50</f>
        <v>1803.1370955882448</v>
      </c>
      <c r="R51" s="4"/>
      <c r="T51" s="573" t="s">
        <v>587</v>
      </c>
      <c r="U51" s="574">
        <f>+U43+U50</f>
        <v>270.5092791266153</v>
      </c>
      <c r="V51" s="574">
        <f>+V50+V43</f>
        <v>336.70761424404475</v>
      </c>
    </row>
    <row r="52" spans="16:22" ht="14.25" hidden="1" customHeight="1">
      <c r="P52" t="s">
        <v>537</v>
      </c>
      <c r="Q52" s="157">
        <f>+Q51/-2</f>
        <v>-901.56854779412242</v>
      </c>
      <c r="R52" s="157">
        <f>-Q52</f>
        <v>901.56854779412242</v>
      </c>
    </row>
    <row r="53" spans="16:22" ht="14.25" hidden="1" customHeight="1"/>
    <row r="54" spans="16:22" ht="14.25" hidden="1" customHeight="1"/>
    <row r="55" spans="16:22" ht="14.25" hidden="1" customHeight="1">
      <c r="Q55" s="4" t="s">
        <v>180</v>
      </c>
      <c r="R55" s="4" t="s">
        <v>181</v>
      </c>
    </row>
    <row r="56" spans="16:22" ht="15" hidden="1" customHeight="1">
      <c r="P56" s="426" t="s">
        <v>21</v>
      </c>
      <c r="Q56" s="524">
        <v>300</v>
      </c>
      <c r="R56" s="524">
        <v>300</v>
      </c>
    </row>
    <row r="57" spans="16:22" ht="14.25" hidden="1" customHeight="1">
      <c r="P57" t="s">
        <v>581</v>
      </c>
      <c r="Q57" s="157">
        <v>27.2</v>
      </c>
    </row>
    <row r="58" spans="16:22" ht="14.25" hidden="1" customHeight="1">
      <c r="P58" t="s">
        <v>62</v>
      </c>
      <c r="Q58" s="1195">
        <f>+Q56/Q57</f>
        <v>11.029411764705882</v>
      </c>
    </row>
    <row r="59" spans="16:22" ht="14.25" hidden="1" customHeight="1">
      <c r="P59" t="s">
        <v>580</v>
      </c>
      <c r="Q59" s="439">
        <v>6144.9210000000003</v>
      </c>
      <c r="R59" s="157">
        <v>181.5</v>
      </c>
    </row>
    <row r="60" spans="16:22" ht="15" hidden="1" customHeight="1">
      <c r="P60" s="426" t="s">
        <v>588</v>
      </c>
      <c r="Q60" s="524">
        <v>104805</v>
      </c>
      <c r="R60" s="524">
        <v>68891</v>
      </c>
    </row>
    <row r="61" spans="16:22" ht="14.25" hidden="1" customHeight="1">
      <c r="P61" t="s">
        <v>585</v>
      </c>
      <c r="Q61" s="3530">
        <f>+Q60-R60</f>
        <v>35914</v>
      </c>
      <c r="R61" s="2131"/>
    </row>
    <row r="62" spans="16:22" ht="15" hidden="1" customHeight="1">
      <c r="P62" s="426" t="s">
        <v>586</v>
      </c>
      <c r="Q62" s="524">
        <f>-Q61/2</f>
        <v>-17957</v>
      </c>
      <c r="R62" s="524">
        <f>-Q62</f>
        <v>17957</v>
      </c>
    </row>
    <row r="63" spans="16:22" ht="28.5" hidden="1" customHeight="1">
      <c r="P63" s="414" t="s">
        <v>589</v>
      </c>
      <c r="Q63" s="162">
        <f>+Q62/(Q60/Q56)</f>
        <v>-51.401173608129383</v>
      </c>
      <c r="R63" s="162">
        <f>R62/(R60/R56)</f>
        <v>78.197442336444539</v>
      </c>
    </row>
    <row r="64" spans="16:22" ht="15" hidden="1" customHeight="1">
      <c r="P64" s="426" t="s">
        <v>587</v>
      </c>
      <c r="Q64" s="524">
        <f>+Q56+Q63</f>
        <v>248.5988263918706</v>
      </c>
      <c r="R64" s="524">
        <f>+R63+R56</f>
        <v>378.19744233644451</v>
      </c>
    </row>
    <row r="65" spans="17:18" ht="14.25" hidden="1" customHeight="1">
      <c r="Q65" s="157">
        <v>79652</v>
      </c>
      <c r="R65">
        <v>91359</v>
      </c>
    </row>
  </sheetData>
  <sheetProtection algorithmName="SHA-512" hashValue="lpRFc19jYj/FJaylaVooL27uVDCCHkQu+h+2Mw/sx68bxAwra53Aw5OlfduEbdJUn4wifWi2E3peqEANUJreiw==" saltValue="nIuyEkUSwGItc+l2ayaK+A==" spinCount="100000" sheet="1" objects="1" scenarios="1" selectLockedCells="1"/>
  <mergeCells count="87">
    <mergeCell ref="K16:L16"/>
    <mergeCell ref="K18:L18"/>
    <mergeCell ref="K33:L33"/>
    <mergeCell ref="M33:N33"/>
    <mergeCell ref="G36:G39"/>
    <mergeCell ref="H36:J36"/>
    <mergeCell ref="I23:J23"/>
    <mergeCell ref="I24:J24"/>
    <mergeCell ref="I25:J25"/>
    <mergeCell ref="G21:N21"/>
    <mergeCell ref="H20:L20"/>
    <mergeCell ref="Q61:R61"/>
    <mergeCell ref="K38:L38"/>
    <mergeCell ref="M38:N38"/>
    <mergeCell ref="H39:J39"/>
    <mergeCell ref="K39:L39"/>
    <mergeCell ref="M39:N39"/>
    <mergeCell ref="D2:E3"/>
    <mergeCell ref="B31:C31"/>
    <mergeCell ref="B32:C32"/>
    <mergeCell ref="B33:C33"/>
    <mergeCell ref="B22:C22"/>
    <mergeCell ref="B24:C24"/>
    <mergeCell ref="B25:C25"/>
    <mergeCell ref="B27:C27"/>
    <mergeCell ref="B26:C26"/>
    <mergeCell ref="B5:C5"/>
    <mergeCell ref="B6:C6"/>
    <mergeCell ref="B20:D20"/>
    <mergeCell ref="B15:C15"/>
    <mergeCell ref="B16:C16"/>
    <mergeCell ref="B17:C17"/>
    <mergeCell ref="B18:C18"/>
    <mergeCell ref="B40:E40"/>
    <mergeCell ref="B39:C39"/>
    <mergeCell ref="B38:C38"/>
    <mergeCell ref="B34:C34"/>
    <mergeCell ref="M36:N36"/>
    <mergeCell ref="B37:C37"/>
    <mergeCell ref="B35:C35"/>
    <mergeCell ref="B36:C36"/>
    <mergeCell ref="H37:J37"/>
    <mergeCell ref="K37:L37"/>
    <mergeCell ref="K36:L36"/>
    <mergeCell ref="I7:J7"/>
    <mergeCell ref="A12:A39"/>
    <mergeCell ref="B23:C23"/>
    <mergeCell ref="U48:V48"/>
    <mergeCell ref="H38:J38"/>
    <mergeCell ref="G22:G35"/>
    <mergeCell ref="D24:E24"/>
    <mergeCell ref="M16:N16"/>
    <mergeCell ref="H17:J17"/>
    <mergeCell ref="H18:J19"/>
    <mergeCell ref="M37:N37"/>
    <mergeCell ref="U19:AD19"/>
    <mergeCell ref="B28:E28"/>
    <mergeCell ref="B29:E29"/>
    <mergeCell ref="S32:S36"/>
    <mergeCell ref="B19:C19"/>
    <mergeCell ref="U1:AC1"/>
    <mergeCell ref="I3:J3"/>
    <mergeCell ref="B2:C4"/>
    <mergeCell ref="A1:O1"/>
    <mergeCell ref="A2:A11"/>
    <mergeCell ref="G2:H4"/>
    <mergeCell ref="I2:J2"/>
    <mergeCell ref="M2:N4"/>
    <mergeCell ref="O2:O18"/>
    <mergeCell ref="D4:E4"/>
    <mergeCell ref="I4:J4"/>
    <mergeCell ref="G5:G20"/>
    <mergeCell ref="K5:L5"/>
    <mergeCell ref="I6:J6"/>
    <mergeCell ref="B7:E7"/>
    <mergeCell ref="B11:C11"/>
    <mergeCell ref="B9:C9"/>
    <mergeCell ref="B10:C10"/>
    <mergeCell ref="B21:C21"/>
    <mergeCell ref="I8:J8"/>
    <mergeCell ref="E10:E11"/>
    <mergeCell ref="B12:E12"/>
    <mergeCell ref="B13:C13"/>
    <mergeCell ref="B14:C14"/>
    <mergeCell ref="D21:E21"/>
    <mergeCell ref="H15:J15"/>
    <mergeCell ref="H16:J16"/>
  </mergeCells>
  <conditionalFormatting sqref="B19">
    <cfRule type="expression" dxfId="130" priority="1639">
      <formula>D14+E14=0</formula>
    </cfRule>
    <cfRule type="expression" dxfId="129" priority="1640">
      <formula>D19="Ja"</formula>
    </cfRule>
  </conditionalFormatting>
  <conditionalFormatting sqref="B39">
    <cfRule type="expression" dxfId="128" priority="144">
      <formula>$D$30=0</formula>
    </cfRule>
    <cfRule type="expression" dxfId="127" priority="149">
      <formula>D39="Nein, § 51 IV"</formula>
    </cfRule>
    <cfRule type="expression" dxfId="126" priority="150">
      <formula>D39="Ja"</formula>
    </cfRule>
  </conditionalFormatting>
  <conditionalFormatting sqref="B7:E7">
    <cfRule type="expression" dxfId="125" priority="127">
      <formula>$D$6="nein"</formula>
    </cfRule>
  </conditionalFormatting>
  <conditionalFormatting sqref="C8">
    <cfRule type="expression" dxfId="124" priority="21">
      <formula>AND(Dat_EzE&gt;0,$D$8=0)</formula>
    </cfRule>
  </conditionalFormatting>
  <conditionalFormatting sqref="D5">
    <cfRule type="expression" dxfId="123" priority="143">
      <formula>$D$5=""</formula>
    </cfRule>
  </conditionalFormatting>
  <conditionalFormatting sqref="D8">
    <cfRule type="expression" dxfId="122" priority="10">
      <formula>AND($D$8="",Dat_EzE=0)</formula>
    </cfRule>
  </conditionalFormatting>
  <conditionalFormatting sqref="D9">
    <cfRule type="expression" dxfId="121" priority="108">
      <formula>$R$2=NV</formula>
    </cfRule>
  </conditionalFormatting>
  <conditionalFormatting sqref="D14">
    <cfRule type="expression" dxfId="120" priority="9">
      <formula>$D$11="nein"</formula>
    </cfRule>
    <cfRule type="expression" dxfId="119" priority="752">
      <formula>C8=""</formula>
    </cfRule>
    <cfRule type="expression" dxfId="118" priority="753">
      <formula>AND(C8&lt;&gt;"",$D$14="")</formula>
    </cfRule>
  </conditionalFormatting>
  <conditionalFormatting sqref="D15">
    <cfRule type="expression" dxfId="117" priority="765">
      <formula>E14&gt;0</formula>
    </cfRule>
    <cfRule type="expression" dxfId="116" priority="766">
      <formula>AND(C8&lt;&gt;"",E14="",D15="")</formula>
    </cfRule>
    <cfRule type="expression" dxfId="115" priority="767">
      <formula>C8=""</formula>
    </cfRule>
  </conditionalFormatting>
  <conditionalFormatting sqref="D16">
    <cfRule type="expression" dxfId="114" priority="6">
      <formula>$D$11="nein"</formula>
    </cfRule>
  </conditionalFormatting>
  <conditionalFormatting sqref="D19">
    <cfRule type="expression" dxfId="113" priority="139">
      <formula>D14+E14=0</formula>
    </cfRule>
    <cfRule type="expression" dxfId="112" priority="156">
      <formula>D19="Nein"</formula>
    </cfRule>
    <cfRule type="expression" dxfId="111" priority="160">
      <formula>D19="Ja"</formula>
    </cfRule>
  </conditionalFormatting>
  <conditionalFormatting sqref="D23">
    <cfRule type="expression" dxfId="110" priority="760">
      <formula>AND(C8&lt;&gt;"",D23="")</formula>
    </cfRule>
    <cfRule type="expression" dxfId="109" priority="761">
      <formula>C8=""</formula>
    </cfRule>
  </conditionalFormatting>
  <conditionalFormatting sqref="D27">
    <cfRule type="expression" dxfId="108" priority="147">
      <formula>$D$23+$E$23=0</formula>
    </cfRule>
    <cfRule type="expression" dxfId="107" priority="152">
      <formula>D27="Nein"</formula>
    </cfRule>
  </conditionalFormatting>
  <conditionalFormatting sqref="D30">
    <cfRule type="expression" dxfId="106" priority="756">
      <formula>C8=""</formula>
    </cfRule>
    <cfRule type="expression" dxfId="105" priority="757">
      <formula>AND(D30="",C8&gt;0)</formula>
    </cfRule>
  </conditionalFormatting>
  <conditionalFormatting sqref="D31">
    <cfRule type="expression" dxfId="104" priority="758">
      <formula>C8=""</formula>
    </cfRule>
    <cfRule type="expression" dxfId="103" priority="759">
      <formula>D31=""</formula>
    </cfRule>
  </conditionalFormatting>
  <conditionalFormatting sqref="D39">
    <cfRule type="expression" dxfId="102" priority="145">
      <formula>OR(D39="Nein, § 51 IV",D39="Nein")</formula>
    </cfRule>
    <cfRule type="expression" dxfId="101" priority="151">
      <formula>$D$30=0</formula>
    </cfRule>
  </conditionalFormatting>
  <conditionalFormatting sqref="D27:E27">
    <cfRule type="expression" dxfId="100" priority="153">
      <formula>D27="Ja"</formula>
    </cfRule>
  </conditionalFormatting>
  <conditionalFormatting sqref="D39:E39">
    <cfRule type="expression" dxfId="99" priority="148">
      <formula>D39="Ja"</formula>
    </cfRule>
  </conditionalFormatting>
  <conditionalFormatting sqref="E14">
    <cfRule type="expression" dxfId="98" priority="8">
      <formula>$D$11="nein"</formula>
    </cfRule>
    <cfRule type="expression" dxfId="97" priority="762">
      <formula>D15&gt;0</formula>
    </cfRule>
    <cfRule type="expression" dxfId="96" priority="763">
      <formula>E8=""</formula>
    </cfRule>
    <cfRule type="expression" dxfId="95" priority="764">
      <formula>AND(C8&lt;&gt;"",$E$14="")</formula>
    </cfRule>
  </conditionalFormatting>
  <conditionalFormatting sqref="E17:E18">
    <cfRule type="expression" dxfId="94" priority="1">
      <formula>E17="unterschritten"</formula>
    </cfRule>
    <cfRule type="expression" dxfId="93" priority="2">
      <formula>E17="überschritten"</formula>
    </cfRule>
  </conditionalFormatting>
  <conditionalFormatting sqref="E23">
    <cfRule type="expression" dxfId="92" priority="754">
      <formula>C8=""</formula>
    </cfRule>
    <cfRule type="expression" dxfId="91" priority="755">
      <formula>AND(F8&lt;&gt;"",E23="")</formula>
    </cfRule>
  </conditionalFormatting>
  <conditionalFormatting sqref="F2:G3">
    <cfRule type="expression" dxfId="90" priority="739">
      <formula>OR(D5=0,C8=0)</formula>
    </cfRule>
  </conditionalFormatting>
  <conditionalFormatting sqref="G2:N2 G3:I3 H6:N14 K15:N16 K3:N3 M23:N31 G4:J4 M4:N4 G5:N5 H15:H17 K17:M17 G22:N22 H23:I25 H26:J31 H32:N33 H34:L35">
    <cfRule type="expression" dxfId="89" priority="740">
      <formula>$C$8=""</formula>
    </cfRule>
  </conditionalFormatting>
  <conditionalFormatting sqref="H18:N20">
    <cfRule type="expression" dxfId="88" priority="770">
      <formula>OR($C$8="",$D$11="nein")</formula>
    </cfRule>
  </conditionalFormatting>
  <conditionalFormatting sqref="K3">
    <cfRule type="expression" dxfId="87" priority="20">
      <formula>AND(Dat_GebDat_M&lt;&gt;"",K4=0)</formula>
    </cfRule>
  </conditionalFormatting>
  <conditionalFormatting sqref="K23">
    <cfRule type="expression" dxfId="86" priority="45">
      <formula>AND($Q23&lt;&gt;0,ABS($K$23/$K$6-1)&gt;=0.05,ABS($Q23)/2&gt;=$S$16)</formula>
    </cfRule>
    <cfRule type="expression" dxfId="85" priority="46">
      <formula>AND($Q23&lt;&gt;0,OR(ABS($K$23/$K$6-1)&lt;0.05,ABS($Q23)/2&lt;$S$16))</formula>
    </cfRule>
  </conditionalFormatting>
  <conditionalFormatting sqref="K24">
    <cfRule type="expression" dxfId="84" priority="47">
      <formula>AND($Q24&lt;&gt;0,ABS($K$24/$K$7-1)&gt;=0.05,ABS($Q24)/2&gt;=$S$16)</formula>
    </cfRule>
    <cfRule type="expression" dxfId="83" priority="48">
      <formula>AND($Q24&lt;&gt;0,OR(ABS($K$24/$K$7-1)&lt;0.05,ABS($Q24)/2&lt;$S$16))</formula>
    </cfRule>
  </conditionalFormatting>
  <conditionalFormatting sqref="K25">
    <cfRule type="expression" dxfId="82" priority="49">
      <formula>AND($Q25&lt;&gt;0,ABS($K$25/$K$8-1)&gt;=0.05,ABS($Q25)/2&gt;=$S$16)</formula>
    </cfRule>
    <cfRule type="expression" dxfId="81" priority="50">
      <formula>AND($Q25&lt;&gt;0,OR(ABS($K$25/$K$8-1)&lt;0.05,ABS($Q25)/2&lt;$S$16))</formula>
    </cfRule>
  </conditionalFormatting>
  <conditionalFormatting sqref="K26">
    <cfRule type="expression" dxfId="80" priority="51">
      <formula>AND($Q26&lt;&gt;0,ABS($K$26/$K$9-1)&gt;=0.05,ABS($Q26)/2&gt;=$S$16)</formula>
    </cfRule>
    <cfRule type="expression" dxfId="79" priority="52">
      <formula>AND($Q26&lt;&gt;0,OR(ABS($K$26/$K$9-1)&lt;0.05,ABS($Q26)/2&lt;$S$16))</formula>
    </cfRule>
  </conditionalFormatting>
  <conditionalFormatting sqref="K27">
    <cfRule type="expression" dxfId="78" priority="53">
      <formula>AND($Q27&lt;&gt;0,ABS($K$27/$K$10-1)&gt;=0.05,ABS($Q27)/2&gt;=$S$16)</formula>
    </cfRule>
    <cfRule type="expression" dxfId="77" priority="54">
      <formula>AND($Q27&lt;&gt;0,OR(ABS($K$27/$K$10-1)&lt;0.05,ABS($Q27)/2&lt;$S$16))</formula>
    </cfRule>
  </conditionalFormatting>
  <conditionalFormatting sqref="K28">
    <cfRule type="expression" dxfId="76" priority="656">
      <formula>AND($Q28&lt;&gt;0,ABS($K$28/$K$11-1)&gt;=0.05,ABS($Q28)/2&gt;=$S$16)</formula>
    </cfRule>
    <cfRule type="expression" dxfId="75" priority="657">
      <formula>AND($Q28&lt;&gt;0,OR(ABS($K$28/$K$11-1)&lt;0.05,ABS($Q28)/2&lt;$S$16))</formula>
    </cfRule>
  </conditionalFormatting>
  <conditionalFormatting sqref="K29:K30">
    <cfRule type="expression" dxfId="74" priority="42">
      <formula>AND($Q29&lt;&gt;0,OR(ABS($K29/$K$11-1)&lt;0.05,ABS($Q29)/2&lt;$S$16))</formula>
    </cfRule>
  </conditionalFormatting>
  <conditionalFormatting sqref="K29:K31">
    <cfRule type="expression" dxfId="73" priority="39">
      <formula>AND($Q29&lt;&gt;0,ABS($K29/$K12-1)&gt;=0.05,ABS($Q29)/2&gt;=$S$16)</formula>
    </cfRule>
  </conditionalFormatting>
  <conditionalFormatting sqref="K31">
    <cfRule type="expression" dxfId="72" priority="40">
      <formula>AND($Q31&lt;&gt;0,OR(ABS($K31/$K$14-1)&lt;0.05,ABS($Q31)/2&lt;$S$16))</formula>
    </cfRule>
  </conditionalFormatting>
  <conditionalFormatting sqref="K4:L4">
    <cfRule type="expression" dxfId="71" priority="17">
      <formula>AND(K3=0,K4=0)</formula>
    </cfRule>
  </conditionalFormatting>
  <conditionalFormatting sqref="K23:L31">
    <cfRule type="expression" dxfId="70" priority="773">
      <formula>$C$8=""</formula>
    </cfRule>
  </conditionalFormatting>
  <conditionalFormatting sqref="K39:N39">
    <cfRule type="expression" dxfId="69" priority="99">
      <formula>K39="möglich"</formula>
    </cfRule>
    <cfRule type="expression" dxfId="68" priority="100">
      <formula>K39="unmöglich"</formula>
    </cfRule>
  </conditionalFormatting>
  <conditionalFormatting sqref="L3">
    <cfRule type="expression" dxfId="67" priority="19">
      <formula>AND(Dat_GebDat_F&lt;&gt;"",L4=0)</formula>
    </cfRule>
  </conditionalFormatting>
  <conditionalFormatting sqref="L23:L31">
    <cfRule type="expression" dxfId="66" priority="23">
      <formula>AND($R23&lt;&gt;0,OR(ABS($L23/$L6-1)&lt;0.05,ABS($R23)/2&lt;$S$16))</formula>
    </cfRule>
    <cfRule type="expression" dxfId="65" priority="24">
      <formula>AND($R23&lt;&gt;0,ABS($L23/$L6-1)&gt;=0.05,ABS($R23)/2&gt;=$S$16)</formula>
    </cfRule>
  </conditionalFormatting>
  <conditionalFormatting sqref="M6:M15">
    <cfRule type="expression" dxfId="64" priority="129">
      <formula>M6="ja"</formula>
    </cfRule>
    <cfRule type="expression" dxfId="63" priority="130">
      <formula>M6="nein"</formula>
    </cfRule>
  </conditionalFormatting>
  <conditionalFormatting sqref="M8:N8">
    <cfRule type="expression" dxfId="62" priority="133">
      <formula>M8="ja"</formula>
    </cfRule>
    <cfRule type="expression" dxfId="61" priority="134">
      <formula>M8="nein"</formula>
    </cfRule>
  </conditionalFormatting>
  <conditionalFormatting sqref="M23:N31">
    <cfRule type="expression" dxfId="60" priority="11">
      <formula>M23="ja"</formula>
    </cfRule>
    <cfRule type="expression" dxfId="59" priority="12">
      <formula>M23="nein"</formula>
    </cfRule>
  </conditionalFormatting>
  <conditionalFormatting sqref="N6:N14">
    <cfRule type="expression" dxfId="58" priority="131">
      <formula>N6="ja"</formula>
    </cfRule>
    <cfRule type="expression" dxfId="57" priority="132">
      <formula>N6="nein"</formula>
    </cfRule>
  </conditionalFormatting>
  <conditionalFormatting sqref="U4:AD18">
    <cfRule type="expression" dxfId="56" priority="772">
      <formula>$U4&lt;$C$8</formula>
    </cfRule>
  </conditionalFormatting>
  <dataValidations count="1">
    <dataValidation type="list" allowBlank="1" showInputMessage="1" showErrorMessage="1" sqref="D11 D38 D6" xr:uid="{DC90661A-9604-41D2-BEF8-BF2FC8C70BA5}">
      <formula1>$Q$12:$Q$13</formula1>
    </dataValidation>
  </dataValidations>
  <hyperlinks>
    <hyperlink ref="D21:E21" location="Dienstzeitverlängerung" display="Dienstzeitveränderung" xr:uid="{6AB99B79-97E4-4614-AE66-EC828907C968}"/>
    <hyperlink ref="V18" location="Grundrentenrechner" display="Grundrente" xr:uid="{600322B6-33B9-44EF-B99C-8F289D909640}"/>
    <hyperlink ref="V9" location="BeamtV_Dienstzeit" display="Ruhegehaltssatz" xr:uid="{43132FE5-3C70-4A30-9094-AD10F6536AB2}"/>
    <hyperlink ref="V14" location="BeamtV_Dienstzeit" display="Regelaltersgrenze" xr:uid="{2B447E18-6C6C-4419-96A0-713AEC267F80}"/>
    <hyperlink ref="AC6" r:id="rId1" xr:uid="{69F3FD08-A960-40B2-8E87-9D8DD7571B13}"/>
    <hyperlink ref="AC12" r:id="rId2" xr:uid="{E9031015-93D2-4A80-9828-63A76DF86DEF}"/>
    <hyperlink ref="AC18" r:id="rId3" xr:uid="{E29ECBCA-4028-414A-8F9A-51E6634B4018}"/>
    <hyperlink ref="AC16" r:id="rId4" xr:uid="{F90B4F6A-644A-4347-BBB7-D207A3A5246C}"/>
    <hyperlink ref="AC17" r:id="rId5" xr:uid="{2476CA60-8F8E-48D6-850E-B7E789C4BC5A}"/>
    <hyperlink ref="AC9" r:id="rId6" xr:uid="{1ED60413-68CE-4D0C-A638-D5F127DEF9F1}"/>
    <hyperlink ref="AC14" r:id="rId7" display="§ 51 BBG" xr:uid="{CCCAFEAD-DABE-49BB-8AF3-B6200D6516C0}"/>
    <hyperlink ref="B18" r:id="rId8" display="https://www.gesetze-im-internet.de/famfg/__225.html" xr:uid="{59AF9C36-2D21-4DEC-9245-533E6399237F}"/>
    <hyperlink ref="B26" r:id="rId9" display="https://www.gesetze-im-internet.de/famfg/__225.html" xr:uid="{41523F4A-F931-4293-9420-3AFAB6021C0F}"/>
    <hyperlink ref="B29:E29" r:id="rId10" display="Betriebliche &amp; private Altersversorgung, § 51 Abs. 3 VersAusglG " xr:uid="{4863941D-A8DF-40B0-B5E2-2E0D0D1FC101}"/>
  </hyperlinks>
  <pageMargins left="0.7" right="0.7" top="0.78740157499999996" bottom="0.78740157499999996" header="0.3" footer="0.3"/>
  <pageSetup paperSize="9" orientation="portrait" r:id="rId11"/>
  <drawing r:id="rId12"/>
  <legacyDrawing r:id="rId13"/>
  <mc:AlternateContent xmlns:mc="http://schemas.openxmlformats.org/markup-compatibility/2006">
    <mc:Choice Requires="x14">
      <controls>
        <mc:AlternateContent xmlns:mc="http://schemas.openxmlformats.org/markup-compatibility/2006">
          <mc:Choice Requires="x14">
            <control shapeId="1982466" r:id="rId14" name="Check Box 2">
              <controlPr defaultSize="0" autoFill="0" autoLine="0" autoPict="0">
                <anchor moveWithCells="1">
                  <from>
                    <xdr:col>12</xdr:col>
                    <xdr:colOff>552450</xdr:colOff>
                    <xdr:row>4</xdr:row>
                    <xdr:rowOff>28575</xdr:rowOff>
                  </from>
                  <to>
                    <xdr:col>12</xdr:col>
                    <xdr:colOff>552450</xdr:colOff>
                    <xdr:row>4</xdr:row>
                    <xdr:rowOff>171450</xdr:rowOff>
                  </to>
                </anchor>
              </controlPr>
            </control>
          </mc:Choice>
        </mc:AlternateContent>
        <mc:AlternateContent xmlns:mc="http://schemas.openxmlformats.org/markup-compatibility/2006">
          <mc:Choice Requires="x14">
            <control shapeId="1982467" r:id="rId15" name="Check Box 3">
              <controlPr defaultSize="0" autoFill="0" autoLine="0" autoPict="0">
                <anchor moveWithCells="1">
                  <from>
                    <xdr:col>12</xdr:col>
                    <xdr:colOff>95250</xdr:colOff>
                    <xdr:row>2</xdr:row>
                    <xdr:rowOff>133350</xdr:rowOff>
                  </from>
                  <to>
                    <xdr:col>13</xdr:col>
                    <xdr:colOff>57150</xdr:colOff>
                    <xdr:row>3</xdr:row>
                    <xdr:rowOff>133350</xdr:rowOff>
                  </to>
                </anchor>
              </controlPr>
            </control>
          </mc:Choice>
        </mc:AlternateContent>
        <mc:AlternateContent xmlns:mc="http://schemas.openxmlformats.org/markup-compatibility/2006">
          <mc:Choice Requires="x14">
            <control shapeId="1982469" r:id="rId16" name="Check Box 5">
              <controlPr defaultSize="0" autoFill="0" autoLine="0" autoPict="0">
                <anchor moveWithCells="1">
                  <from>
                    <xdr:col>1</xdr:col>
                    <xdr:colOff>3562350</xdr:colOff>
                    <xdr:row>13</xdr:row>
                    <xdr:rowOff>0</xdr:rowOff>
                  </from>
                  <to>
                    <xdr:col>2</xdr:col>
                    <xdr:colOff>523875</xdr:colOff>
                    <xdr:row>13</xdr:row>
                    <xdr:rowOff>171450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110B99-F0E6-40D0-BF28-8214B22DFFA4}">
  <sheetPr codeName="Tabelle34">
    <pageSetUpPr fitToPage="1"/>
  </sheetPr>
  <dimension ref="A1:AH142"/>
  <sheetViews>
    <sheetView showGridLines="0" showRowColHeaders="0" topLeftCell="K31" zoomScale="115" zoomScaleNormal="115" workbookViewId="0">
      <selection activeCell="L62" sqref="L62"/>
    </sheetView>
  </sheetViews>
  <sheetFormatPr baseColWidth="10" defaultColWidth="0" defaultRowHeight="15"/>
  <cols>
    <col min="1" max="1" width="3.625" style="281" customWidth="1"/>
    <col min="2" max="2" width="7" style="280" customWidth="1"/>
    <col min="3" max="6" width="8.625" style="281" customWidth="1"/>
    <col min="7" max="7" width="7.75" style="281" customWidth="1"/>
    <col min="8" max="9" width="8.5" style="281" customWidth="1"/>
    <col min="10" max="10" width="7.75" style="280" customWidth="1"/>
    <col min="11" max="12" width="9" style="281" customWidth="1"/>
    <col min="13" max="14" width="9.125" style="281" customWidth="1"/>
    <col min="15" max="15" width="10.625" style="281" customWidth="1"/>
    <col min="16" max="16" width="7.625" style="281" customWidth="1"/>
    <col min="17" max="17" width="8.125" style="281" customWidth="1"/>
    <col min="18" max="18" width="11.125" style="282" bestFit="1" customWidth="1"/>
    <col min="19" max="19" width="10.25" style="282" customWidth="1"/>
    <col min="20" max="20" width="10.625" style="282" customWidth="1"/>
    <col min="21" max="22" width="12.5" style="283" customWidth="1"/>
    <col min="23" max="26" width="7.75" style="281" customWidth="1"/>
    <col min="27" max="27" width="9" style="1589" customWidth="1"/>
    <col min="28" max="29" width="9" style="281" hidden="1" customWidth="1"/>
    <col min="30" max="30" width="11.25" style="281" hidden="1" customWidth="1"/>
    <col min="31" max="31" width="6.75" style="281" hidden="1" customWidth="1"/>
    <col min="32" max="32" width="9.125" style="281" hidden="1" customWidth="1"/>
    <col min="33" max="16384" width="11" style="281" hidden="1"/>
  </cols>
  <sheetData>
    <row r="1" spans="1:31">
      <c r="B1" s="5" t="s">
        <v>694</v>
      </c>
      <c r="J1" s="281"/>
      <c r="R1" s="281"/>
      <c r="S1" s="3554" t="s">
        <v>346</v>
      </c>
      <c r="T1" s="3554"/>
      <c r="U1" s="3554"/>
      <c r="V1" s="3554"/>
      <c r="W1" s="3554"/>
      <c r="X1" s="3554"/>
      <c r="Y1" s="282"/>
      <c r="Z1" s="282"/>
    </row>
    <row r="2" spans="1:31" ht="27.6" customHeight="1" thickBot="1">
      <c r="B2" s="3553" t="s">
        <v>345</v>
      </c>
      <c r="C2" s="3553"/>
      <c r="D2" s="3553"/>
      <c r="E2" s="3553"/>
      <c r="F2" s="3553"/>
      <c r="G2" s="3553"/>
      <c r="H2" s="3553"/>
      <c r="I2" s="3553"/>
      <c r="J2" s="3553"/>
      <c r="K2" s="3553"/>
      <c r="L2" s="3553"/>
      <c r="M2" s="3553"/>
      <c r="N2" s="3553"/>
      <c r="O2" s="3553"/>
      <c r="P2" s="3553"/>
      <c r="Q2" s="3553"/>
      <c r="R2" s="3553"/>
      <c r="S2" s="3553"/>
      <c r="T2" s="3553"/>
      <c r="U2" s="3553"/>
      <c r="V2" s="3553"/>
      <c r="W2" s="3553"/>
      <c r="X2" s="3553"/>
      <c r="Y2" s="1584"/>
      <c r="Z2" s="1584"/>
    </row>
    <row r="3" spans="1:31" ht="28.15" customHeight="1">
      <c r="B3" s="3555" t="s">
        <v>262</v>
      </c>
      <c r="C3" s="3556"/>
      <c r="D3" s="3556"/>
      <c r="E3" s="3556" t="s">
        <v>338</v>
      </c>
      <c r="F3" s="3557"/>
      <c r="G3" s="3558" t="s">
        <v>55</v>
      </c>
      <c r="H3" s="3559"/>
      <c r="I3" s="3559"/>
      <c r="J3" s="3560" t="s">
        <v>1683</v>
      </c>
      <c r="K3" s="3560"/>
      <c r="L3" s="3560"/>
      <c r="M3" s="3561" t="s">
        <v>1684</v>
      </c>
      <c r="N3" s="3561"/>
      <c r="O3" s="3555" t="s">
        <v>339</v>
      </c>
      <c r="P3" s="3556"/>
      <c r="Q3" s="3564" t="s">
        <v>182</v>
      </c>
      <c r="R3" s="3565"/>
      <c r="S3" s="3565"/>
      <c r="T3" s="317"/>
      <c r="U3" s="3566" t="s">
        <v>340</v>
      </c>
      <c r="V3" s="3566"/>
      <c r="W3" s="3566" t="s">
        <v>341</v>
      </c>
      <c r="X3" s="3567"/>
      <c r="Y3" s="3568" t="s">
        <v>1682</v>
      </c>
      <c r="Z3" s="3567"/>
      <c r="AB3" s="2715" t="s">
        <v>204</v>
      </c>
      <c r="AC3" s="2715"/>
      <c r="AD3" s="2715" t="s">
        <v>215</v>
      </c>
      <c r="AE3" s="2715"/>
    </row>
    <row r="4" spans="1:31" s="285" customFormat="1" ht="28.15" customHeight="1" thickBot="1">
      <c r="B4" s="284" t="s">
        <v>59</v>
      </c>
      <c r="C4" s="285" t="s">
        <v>342</v>
      </c>
      <c r="D4" s="285" t="s">
        <v>343</v>
      </c>
      <c r="E4" s="286">
        <v>0.01</v>
      </c>
      <c r="F4" s="287">
        <v>1.2</v>
      </c>
      <c r="G4" s="284" t="s">
        <v>205</v>
      </c>
      <c r="H4" s="285" t="s">
        <v>342</v>
      </c>
      <c r="I4" s="285" t="s">
        <v>343</v>
      </c>
      <c r="J4" s="288" t="s">
        <v>59</v>
      </c>
      <c r="K4" s="289" t="s">
        <v>342</v>
      </c>
      <c r="L4" s="289" t="s">
        <v>347</v>
      </c>
      <c r="M4" s="289" t="s">
        <v>342</v>
      </c>
      <c r="N4" s="289" t="s">
        <v>343</v>
      </c>
      <c r="O4" s="288" t="s">
        <v>59</v>
      </c>
      <c r="P4" s="289" t="s">
        <v>344</v>
      </c>
      <c r="Q4" s="290" t="s">
        <v>59</v>
      </c>
      <c r="R4" s="291" t="s">
        <v>58</v>
      </c>
      <c r="S4" s="291" t="s">
        <v>57</v>
      </c>
      <c r="T4" s="291"/>
      <c r="U4" s="291" t="s">
        <v>58</v>
      </c>
      <c r="V4" s="291" t="s">
        <v>57</v>
      </c>
      <c r="W4" s="291" t="s">
        <v>58</v>
      </c>
      <c r="X4" s="292" t="s">
        <v>57</v>
      </c>
      <c r="Y4" s="1587" t="s">
        <v>58</v>
      </c>
      <c r="Z4" s="1588" t="s">
        <v>57</v>
      </c>
      <c r="AA4" s="1590"/>
      <c r="AB4" s="3">
        <v>17</v>
      </c>
      <c r="AC4" s="3">
        <v>3.1</v>
      </c>
      <c r="AD4" s="3562" t="s">
        <v>216</v>
      </c>
      <c r="AE4" s="3563"/>
    </row>
    <row r="5" spans="1:31" s="611" customFormat="1">
      <c r="A5" s="281"/>
      <c r="B5" s="293">
        <v>1970</v>
      </c>
      <c r="C5" s="294"/>
      <c r="D5" s="294"/>
      <c r="E5" s="294"/>
      <c r="F5" s="294"/>
      <c r="G5" s="295">
        <v>28126</v>
      </c>
      <c r="H5" s="296">
        <v>12.884555406144706</v>
      </c>
      <c r="I5" s="297">
        <v>0</v>
      </c>
      <c r="J5" s="280">
        <v>1970</v>
      </c>
      <c r="K5" s="298">
        <v>6822.1675708011435</v>
      </c>
      <c r="L5" s="298"/>
      <c r="M5" s="298">
        <v>11043.90463383832</v>
      </c>
      <c r="N5" s="298"/>
      <c r="O5" s="295">
        <v>25569</v>
      </c>
      <c r="P5" s="299">
        <v>0.17</v>
      </c>
      <c r="Q5" s="295">
        <v>28126</v>
      </c>
      <c r="R5" s="321">
        <v>2295.7516757591407</v>
      </c>
      <c r="S5" s="321"/>
      <c r="T5" s="295">
        <v>28126</v>
      </c>
      <c r="U5" s="300">
        <v>2.2271220000000001E-4</v>
      </c>
      <c r="V5" s="300"/>
      <c r="W5" s="301">
        <f>1000/$R5*VLOOKUP(Q5,G$5:$I63,2)</f>
        <v>5.6123471637602727</v>
      </c>
      <c r="X5" s="302" t="str">
        <f>IFERROR(1000/$S5*VLOOKUP($Q5,G$5:$I63,3),"")</f>
        <v/>
      </c>
      <c r="Y5" s="1585">
        <f>1000/W5</f>
        <v>178.17857142857142</v>
      </c>
      <c r="Z5" s="316"/>
      <c r="AA5" s="1589"/>
      <c r="AB5" s="432">
        <v>18</v>
      </c>
      <c r="AC5" s="432">
        <v>3</v>
      </c>
      <c r="AD5" s="432"/>
      <c r="AE5" s="612"/>
    </row>
    <row r="6" spans="1:31" s="611" customFormat="1">
      <c r="A6" s="281"/>
      <c r="B6" s="303">
        <v>1971</v>
      </c>
      <c r="C6" s="304"/>
      <c r="D6" s="304"/>
      <c r="E6" s="304"/>
      <c r="F6" s="304"/>
      <c r="G6" s="305">
        <v>28491</v>
      </c>
      <c r="H6" s="306">
        <v>13.809993711109863</v>
      </c>
      <c r="I6" s="307">
        <v>0</v>
      </c>
      <c r="J6" s="308">
        <v>1971</v>
      </c>
      <c r="K6" s="304">
        <v>7634.0990781407381</v>
      </c>
      <c r="L6" s="304"/>
      <c r="M6" s="304">
        <v>11657.454891273781</v>
      </c>
      <c r="N6" s="304"/>
      <c r="O6" s="305">
        <v>25934</v>
      </c>
      <c r="P6" s="309">
        <v>0.17</v>
      </c>
      <c r="Q6" s="305">
        <v>28491</v>
      </c>
      <c r="R6" s="322">
        <v>2415.1178783432101</v>
      </c>
      <c r="S6" s="322"/>
      <c r="T6" s="305">
        <v>28491</v>
      </c>
      <c r="U6" s="318">
        <v>2.117047E-4</v>
      </c>
      <c r="V6" s="318"/>
      <c r="W6" s="319">
        <f>1000/$R6*VLOOKUP(Q6,G$5:$I64,2)</f>
        <v>5.7181447890997461</v>
      </c>
      <c r="X6" s="310" t="str">
        <f>IFERROR(1000/$S6*VLOOKUP($Q6,G$5:$I64,3),"")</f>
        <v/>
      </c>
      <c r="Y6" s="1586">
        <f>1000/W6</f>
        <v>174.88189559422437</v>
      </c>
      <c r="Z6" s="310"/>
      <c r="AA6" s="1589"/>
      <c r="AB6" s="432">
        <v>19</v>
      </c>
      <c r="AC6" s="432">
        <v>2.9</v>
      </c>
      <c r="AD6" s="432"/>
      <c r="AE6" s="612"/>
    </row>
    <row r="7" spans="1:31" s="611" customFormat="1">
      <c r="A7" s="281"/>
      <c r="B7" s="311">
        <v>1972</v>
      </c>
      <c r="C7" s="298"/>
      <c r="D7" s="298"/>
      <c r="E7" s="298"/>
      <c r="F7" s="298"/>
      <c r="G7" s="312">
        <v>28672</v>
      </c>
      <c r="H7" s="313">
        <v>13.467428150708395</v>
      </c>
      <c r="I7" s="314">
        <v>0</v>
      </c>
      <c r="J7" s="280">
        <v>1972</v>
      </c>
      <c r="K7" s="298">
        <v>8351.9528793402296</v>
      </c>
      <c r="L7" s="298"/>
      <c r="M7" s="298">
        <v>12884.555406144706</v>
      </c>
      <c r="N7" s="298"/>
      <c r="O7" s="312">
        <v>26299</v>
      </c>
      <c r="P7" s="315">
        <v>0.17</v>
      </c>
      <c r="Q7" s="312">
        <v>28856</v>
      </c>
      <c r="R7" s="323">
        <v>2547.9208315651158</v>
      </c>
      <c r="S7" s="323"/>
      <c r="T7" s="312">
        <v>28856</v>
      </c>
      <c r="U7" s="283">
        <v>2.006702E-4</v>
      </c>
      <c r="V7" s="283"/>
      <c r="W7" s="320">
        <f>1000/$R7*VLOOKUP(Q7,G$5:$I65,2)</f>
        <v>5.2856540846427063</v>
      </c>
      <c r="X7" s="316" t="str">
        <f>IFERROR(1000/$S7*VLOOKUP($Q7,G$5:$I65,3),"")</f>
        <v/>
      </c>
      <c r="Y7" s="1585">
        <f>1000/W7</f>
        <v>189.19134396355355</v>
      </c>
      <c r="Z7" s="316"/>
      <c r="AA7" s="1589"/>
      <c r="AB7" s="432">
        <v>20</v>
      </c>
      <c r="AC7" s="432">
        <v>2.8</v>
      </c>
      <c r="AD7" s="432"/>
      <c r="AE7" s="612"/>
    </row>
    <row r="8" spans="1:31" s="611" customFormat="1">
      <c r="A8" s="281"/>
      <c r="B8" s="303">
        <v>1973</v>
      </c>
      <c r="C8" s="304"/>
      <c r="D8" s="304"/>
      <c r="E8" s="304"/>
      <c r="F8" s="304"/>
      <c r="G8" s="305">
        <v>29037</v>
      </c>
      <c r="H8" s="306">
        <v>13.467428150708395</v>
      </c>
      <c r="I8" s="307">
        <v>0</v>
      </c>
      <c r="J8" s="308">
        <v>1973</v>
      </c>
      <c r="K8" s="304">
        <v>9354.0849664848174</v>
      </c>
      <c r="L8" s="304"/>
      <c r="M8" s="304">
        <v>14111.65592101563</v>
      </c>
      <c r="N8" s="304"/>
      <c r="O8" s="305">
        <v>26665</v>
      </c>
      <c r="P8" s="309">
        <v>0.18</v>
      </c>
      <c r="Q8" s="305">
        <v>29221</v>
      </c>
      <c r="R8" s="322">
        <v>2713.5794010726904</v>
      </c>
      <c r="S8" s="322"/>
      <c r="T8" s="305">
        <v>29221</v>
      </c>
      <c r="U8" s="318">
        <v>1.8841969999999999E-4</v>
      </c>
      <c r="V8" s="318"/>
      <c r="W8" s="319">
        <f>1000/$R8*VLOOKUP(Q8,G$5:$I66,2)</f>
        <v>5.1608162342434012</v>
      </c>
      <c r="X8" s="310" t="str">
        <f>IFERROR(1000/$S8*VLOOKUP($Q8,G$5:$I66,3),"")</f>
        <v/>
      </c>
      <c r="Y8" s="1586">
        <f>1000/W8</f>
        <v>193.76779846659363</v>
      </c>
      <c r="Z8" s="310"/>
      <c r="AA8" s="1589"/>
      <c r="AB8" s="432">
        <v>21</v>
      </c>
      <c r="AC8" s="432">
        <v>2.7</v>
      </c>
      <c r="AD8" s="432"/>
      <c r="AE8" s="612"/>
    </row>
    <row r="9" spans="1:31" s="611" customFormat="1">
      <c r="A9" s="281"/>
      <c r="B9" s="311">
        <v>1974</v>
      </c>
      <c r="C9" s="298"/>
      <c r="D9" s="298"/>
      <c r="E9" s="298"/>
      <c r="F9" s="298"/>
      <c r="G9" s="312">
        <v>29221</v>
      </c>
      <c r="H9" s="313">
        <v>14.004284625964425</v>
      </c>
      <c r="I9" s="314">
        <v>0</v>
      </c>
      <c r="J9" s="280">
        <v>1974</v>
      </c>
      <c r="K9" s="298">
        <v>15482.429454502691</v>
      </c>
      <c r="L9" s="298"/>
      <c r="M9" s="298">
        <v>15338.756435886555</v>
      </c>
      <c r="N9" s="298"/>
      <c r="O9" s="312">
        <v>27030</v>
      </c>
      <c r="P9" s="315">
        <v>0.18</v>
      </c>
      <c r="Q9" s="312">
        <v>29587</v>
      </c>
      <c r="R9" s="323">
        <v>2922.8000388581831</v>
      </c>
      <c r="S9" s="323"/>
      <c r="T9" s="312">
        <v>29587</v>
      </c>
      <c r="U9" s="283">
        <v>1.749322E-4</v>
      </c>
      <c r="V9" s="283"/>
      <c r="W9" s="320">
        <f>1000/$R9*VLOOKUP(Q9,G$5:$I67,2)</f>
        <v>4.9820694480888656</v>
      </c>
      <c r="X9" s="316" t="str">
        <f>IFERROR(1000/$S9*VLOOKUP($Q9,G$5:$I67,3),"")</f>
        <v/>
      </c>
      <c r="Y9" s="1585">
        <f t="shared" ref="Y9:Y55" si="0">1000/W9</f>
        <v>200.71980337078651</v>
      </c>
      <c r="Z9" s="316"/>
      <c r="AA9" s="1589"/>
      <c r="AB9" s="432">
        <v>22</v>
      </c>
      <c r="AC9" s="432">
        <v>2.6</v>
      </c>
      <c r="AD9" s="432"/>
      <c r="AE9" s="612"/>
    </row>
    <row r="10" spans="1:31" s="611" customFormat="1">
      <c r="A10" s="281"/>
      <c r="B10" s="303">
        <v>1975</v>
      </c>
      <c r="C10" s="304"/>
      <c r="D10" s="304"/>
      <c r="E10" s="304"/>
      <c r="F10" s="304"/>
      <c r="G10" s="305">
        <v>29587</v>
      </c>
      <c r="H10" s="306">
        <v>14.561592776468302</v>
      </c>
      <c r="I10" s="307">
        <v>0</v>
      </c>
      <c r="J10" s="308">
        <v>1975</v>
      </c>
      <c r="K10" s="304">
        <v>11150.253345127134</v>
      </c>
      <c r="L10" s="304"/>
      <c r="M10" s="304">
        <v>17179.407208192941</v>
      </c>
      <c r="N10" s="304"/>
      <c r="O10" s="305">
        <v>27395</v>
      </c>
      <c r="P10" s="309">
        <v>0.18</v>
      </c>
      <c r="Q10" s="305">
        <v>29952</v>
      </c>
      <c r="R10" s="322">
        <v>2963.2636783360517</v>
      </c>
      <c r="S10" s="322"/>
      <c r="T10" s="305">
        <v>29952</v>
      </c>
      <c r="U10" s="318">
        <v>1.725435E-4</v>
      </c>
      <c r="V10" s="318"/>
      <c r="W10" s="319">
        <f>1000/$R10*VLOOKUP(Q10,G$5:$I68,2)</f>
        <v>4.9140388291888382</v>
      </c>
      <c r="X10" s="310" t="str">
        <f>IFERROR(1000/$S10*VLOOKUP($Q10,G$5:$I68,3),"")</f>
        <v/>
      </c>
      <c r="Y10" s="1586">
        <f t="shared" si="0"/>
        <v>203.498595505618</v>
      </c>
      <c r="Z10" s="310"/>
      <c r="AA10" s="1589"/>
      <c r="AB10" s="432">
        <v>23</v>
      </c>
      <c r="AC10" s="432">
        <v>2.5</v>
      </c>
      <c r="AD10" s="432"/>
      <c r="AE10" s="612"/>
    </row>
    <row r="11" spans="1:31" s="611" customFormat="1">
      <c r="A11" s="281"/>
      <c r="B11" s="311">
        <v>1976</v>
      </c>
      <c r="C11" s="298"/>
      <c r="D11" s="298"/>
      <c r="E11" s="298"/>
      <c r="F11" s="298"/>
      <c r="G11" s="312">
        <v>30133</v>
      </c>
      <c r="H11" s="313">
        <v>15.400111461630102</v>
      </c>
      <c r="I11" s="314">
        <v>0</v>
      </c>
      <c r="J11" s="280">
        <v>1976</v>
      </c>
      <c r="K11" s="298">
        <v>11930.996047713759</v>
      </c>
      <c r="L11" s="298"/>
      <c r="M11" s="298">
        <v>19020.057980499329</v>
      </c>
      <c r="N11" s="298"/>
      <c r="O11" s="312">
        <v>27760</v>
      </c>
      <c r="P11" s="315">
        <v>0.18</v>
      </c>
      <c r="Q11" s="312">
        <v>30317</v>
      </c>
      <c r="R11" s="323">
        <v>3064.0393081198263</v>
      </c>
      <c r="S11" s="323"/>
      <c r="T11" s="312">
        <v>30317</v>
      </c>
      <c r="U11" s="283">
        <v>1.6686859999999999E-4</v>
      </c>
      <c r="V11" s="283"/>
      <c r="W11" s="320">
        <f>1000/$R11*VLOOKUP(Q11,G$5:$I69,2)</f>
        <v>5.0260815586860108</v>
      </c>
      <c r="X11" s="316" t="str">
        <f>IFERROR(1000/$S11*VLOOKUP($Q11,G$5:$I69,3),"")</f>
        <v/>
      </c>
      <c r="Y11" s="1585">
        <f t="shared" si="0"/>
        <v>198.96215139442228</v>
      </c>
      <c r="Z11" s="316"/>
      <c r="AA11" s="1589"/>
      <c r="AB11" s="432">
        <v>24</v>
      </c>
      <c r="AC11" s="432">
        <v>2.4</v>
      </c>
      <c r="AD11" s="432"/>
      <c r="AE11" s="612"/>
    </row>
    <row r="12" spans="1:31" s="611" customFormat="1">
      <c r="A12" s="281"/>
      <c r="B12" s="303">
        <v>1977</v>
      </c>
      <c r="C12" s="304"/>
      <c r="D12" s="304"/>
      <c r="E12" s="304"/>
      <c r="F12" s="304"/>
      <c r="G12" s="305">
        <v>30498</v>
      </c>
      <c r="H12" s="306">
        <v>16.26419474085171</v>
      </c>
      <c r="I12" s="307">
        <v>0</v>
      </c>
      <c r="J12" s="308">
        <v>1977</v>
      </c>
      <c r="K12" s="304">
        <v>12754.17597643967</v>
      </c>
      <c r="L12" s="304"/>
      <c r="M12" s="304">
        <v>20860.708752805716</v>
      </c>
      <c r="N12" s="304"/>
      <c r="O12" s="305">
        <v>28126</v>
      </c>
      <c r="P12" s="309">
        <v>0.18</v>
      </c>
      <c r="Q12" s="305">
        <v>30560</v>
      </c>
      <c r="R12" s="322">
        <v>3149.1515111231547</v>
      </c>
      <c r="S12" s="322"/>
      <c r="T12" s="305">
        <v>30560</v>
      </c>
      <c r="U12" s="318">
        <v>1.6235859999999999E-4</v>
      </c>
      <c r="V12" s="318"/>
      <c r="W12" s="319">
        <f>1000/$R12*VLOOKUP(Q12,G$5:$I70,2)</f>
        <v>5.1646275777474528</v>
      </c>
      <c r="X12" s="310" t="str">
        <f>IFERROR(1000/$S12*VLOOKUP($Q12,G$5:$I70,3),"")</f>
        <v/>
      </c>
      <c r="Y12" s="1586">
        <f t="shared" si="0"/>
        <v>193.62480352090537</v>
      </c>
      <c r="Z12" s="310"/>
      <c r="AA12" s="1589"/>
      <c r="AB12" s="432">
        <v>25</v>
      </c>
      <c r="AC12" s="432">
        <v>2.4</v>
      </c>
      <c r="AD12" s="432"/>
      <c r="AE12" s="612"/>
    </row>
    <row r="13" spans="1:31" s="611" customFormat="1">
      <c r="A13" s="281"/>
      <c r="B13" s="311">
        <v>1978</v>
      </c>
      <c r="C13" s="298">
        <v>997</v>
      </c>
      <c r="D13" s="298">
        <v>0</v>
      </c>
      <c r="E13" s="298">
        <f t="shared" ref="E13:E59" si="1">+C13*0.01</f>
        <v>9.9700000000000006</v>
      </c>
      <c r="F13" s="298">
        <f t="shared" ref="F13:F59" si="2">+C13*1.2</f>
        <v>1196.3999999999999</v>
      </c>
      <c r="G13" s="312">
        <v>30864</v>
      </c>
      <c r="H13" s="313">
        <v>16.816389972543625</v>
      </c>
      <c r="I13" s="314">
        <v>0</v>
      </c>
      <c r="J13" s="280">
        <v>1978</v>
      </c>
      <c r="K13" s="298">
        <v>13417.321546351166</v>
      </c>
      <c r="L13" s="298"/>
      <c r="M13" s="298">
        <v>22701.359525112101</v>
      </c>
      <c r="N13" s="298"/>
      <c r="O13" s="312">
        <v>28491</v>
      </c>
      <c r="P13" s="315">
        <v>0.18</v>
      </c>
      <c r="Q13" s="312">
        <v>30682</v>
      </c>
      <c r="R13" s="323">
        <v>3243.6459201464345</v>
      </c>
      <c r="S13" s="323"/>
      <c r="T13" s="312">
        <v>30682</v>
      </c>
      <c r="U13" s="283">
        <v>1.5762879999999999E-4</v>
      </c>
      <c r="V13" s="283"/>
      <c r="W13" s="320">
        <f>1000/$R13*VLOOKUP(Q13,G$5:$I71,2)</f>
        <v>5.0141708254387591</v>
      </c>
      <c r="X13" s="316" t="str">
        <f>IFERROR(1000/$S13*VLOOKUP($Q13,G$5:$I71,3),"")</f>
        <v/>
      </c>
      <c r="Y13" s="1585">
        <f t="shared" si="0"/>
        <v>199.43476894058475</v>
      </c>
      <c r="Z13" s="316"/>
      <c r="AA13" s="1589"/>
      <c r="AB13" s="432">
        <v>26</v>
      </c>
      <c r="AC13" s="432">
        <v>2.2999999999999998</v>
      </c>
      <c r="AD13" s="432"/>
      <c r="AE13" s="612"/>
    </row>
    <row r="14" spans="1:31" s="611" customFormat="1">
      <c r="A14" s="281"/>
      <c r="B14" s="303">
        <v>1979</v>
      </c>
      <c r="C14" s="304">
        <v>1074</v>
      </c>
      <c r="D14" s="304">
        <v>0</v>
      </c>
      <c r="E14" s="304">
        <f t="shared" si="1"/>
        <v>10.74</v>
      </c>
      <c r="F14" s="304">
        <f t="shared" si="2"/>
        <v>1288.8</v>
      </c>
      <c r="G14" s="305">
        <v>31229</v>
      </c>
      <c r="H14" s="306">
        <v>17.317456016115919</v>
      </c>
      <c r="I14" s="307">
        <v>0</v>
      </c>
      <c r="J14" s="308">
        <v>1979</v>
      </c>
      <c r="K14" s="304">
        <v>14155.627022798506</v>
      </c>
      <c r="L14" s="304"/>
      <c r="M14" s="304">
        <v>24542.010297418488</v>
      </c>
      <c r="N14" s="304"/>
      <c r="O14" s="305">
        <v>28856</v>
      </c>
      <c r="P14" s="309">
        <v>0.18</v>
      </c>
      <c r="Q14" s="305">
        <v>31048</v>
      </c>
      <c r="R14" s="322">
        <v>3373.750274819386</v>
      </c>
      <c r="S14" s="322"/>
      <c r="T14" s="305">
        <v>31048</v>
      </c>
      <c r="U14" s="318">
        <v>1.5155E-4</v>
      </c>
      <c r="V14" s="318"/>
      <c r="W14" s="319">
        <f>1000/$R14*VLOOKUP(Q14,G$5:$I72,2)</f>
        <v>4.984479763678979</v>
      </c>
      <c r="X14" s="310" t="str">
        <f>IFERROR(1000/$S14*VLOOKUP($Q14,G$5:$I72,3),"")</f>
        <v/>
      </c>
      <c r="Y14" s="1586">
        <f t="shared" si="0"/>
        <v>200.62274247491641</v>
      </c>
      <c r="Z14" s="310"/>
      <c r="AA14" s="1589"/>
      <c r="AB14" s="432">
        <v>27</v>
      </c>
      <c r="AC14" s="432">
        <v>2.2000000000000002</v>
      </c>
      <c r="AD14" s="432"/>
      <c r="AE14" s="612"/>
    </row>
    <row r="15" spans="1:31" s="611" customFormat="1">
      <c r="A15" s="281"/>
      <c r="B15" s="311">
        <v>1980</v>
      </c>
      <c r="C15" s="298">
        <v>1125</v>
      </c>
      <c r="D15" s="298">
        <v>0</v>
      </c>
      <c r="E15" s="298">
        <f t="shared" si="1"/>
        <v>11.25</v>
      </c>
      <c r="F15" s="298">
        <f t="shared" si="2"/>
        <v>1350</v>
      </c>
      <c r="G15" s="312">
        <v>31594</v>
      </c>
      <c r="H15" s="313">
        <v>17.823634978500177</v>
      </c>
      <c r="I15" s="314">
        <v>0</v>
      </c>
      <c r="J15" s="280">
        <v>1980</v>
      </c>
      <c r="K15" s="298">
        <v>15075.441117070503</v>
      </c>
      <c r="L15" s="298"/>
      <c r="M15" s="298">
        <v>25769.110812289411</v>
      </c>
      <c r="N15" s="298"/>
      <c r="O15" s="312">
        <v>29221</v>
      </c>
      <c r="P15" s="315">
        <v>0.18</v>
      </c>
      <c r="Q15" s="312">
        <v>31199</v>
      </c>
      <c r="R15" s="323">
        <v>3463.9575014188354</v>
      </c>
      <c r="S15" s="323"/>
      <c r="T15" s="312">
        <v>31199</v>
      </c>
      <c r="U15" s="283">
        <v>1.476034E-4</v>
      </c>
      <c r="V15" s="283"/>
      <c r="W15" s="320">
        <f>1000/$R15*VLOOKUP(Q15,G$5:$I73,2)</f>
        <v>4.8546756031665046</v>
      </c>
      <c r="X15" s="316" t="str">
        <f>IFERROR(1000/$S15*VLOOKUP($Q15,G$5:$I73,3),"")</f>
        <v/>
      </c>
      <c r="Y15" s="1585">
        <f t="shared" si="0"/>
        <v>205.98698692611742</v>
      </c>
      <c r="Z15" s="316"/>
      <c r="AA15" s="1589"/>
      <c r="AB15" s="432">
        <v>28</v>
      </c>
      <c r="AC15" s="432">
        <v>2.2000000000000002</v>
      </c>
      <c r="AD15" s="432"/>
      <c r="AE15" s="612"/>
    </row>
    <row r="16" spans="1:31" s="611" customFormat="1">
      <c r="A16" s="281"/>
      <c r="B16" s="303">
        <v>1981</v>
      </c>
      <c r="C16" s="304">
        <v>1196</v>
      </c>
      <c r="D16" s="304">
        <v>0</v>
      </c>
      <c r="E16" s="304">
        <f t="shared" si="1"/>
        <v>11.96</v>
      </c>
      <c r="F16" s="304">
        <f t="shared" si="2"/>
        <v>1435.2</v>
      </c>
      <c r="G16" s="305">
        <v>31959</v>
      </c>
      <c r="H16" s="306">
        <v>18.498540261679185</v>
      </c>
      <c r="I16" s="307">
        <v>0</v>
      </c>
      <c r="J16" s="308">
        <v>1981</v>
      </c>
      <c r="K16" s="304">
        <v>15798.919128963151</v>
      </c>
      <c r="L16" s="304"/>
      <c r="M16" s="304">
        <v>26996.211327160338</v>
      </c>
      <c r="N16" s="304"/>
      <c r="O16" s="305">
        <v>29587</v>
      </c>
      <c r="P16" s="309">
        <v>0.185</v>
      </c>
      <c r="Q16" s="305">
        <v>31413</v>
      </c>
      <c r="R16" s="322">
        <v>3595.6008446541878</v>
      </c>
      <c r="S16" s="322"/>
      <c r="T16" s="305">
        <v>31413</v>
      </c>
      <c r="U16" s="318">
        <v>1.4219929999999999E-4</v>
      </c>
      <c r="V16" s="318"/>
      <c r="W16" s="319">
        <f>1000/$R16*VLOOKUP(Q16,G$5:$I74,2)</f>
        <v>4.8162898954323312</v>
      </c>
      <c r="X16" s="310" t="str">
        <f>IFERROR(1000/$S16*VLOOKUP($Q16,G$5:$I74,3),"")</f>
        <v/>
      </c>
      <c r="Y16" s="1586">
        <f t="shared" si="0"/>
        <v>207.62869796279895</v>
      </c>
      <c r="Z16" s="310"/>
      <c r="AA16" s="1589"/>
      <c r="AB16" s="432">
        <v>29</v>
      </c>
      <c r="AC16" s="432">
        <v>2.1</v>
      </c>
      <c r="AD16" s="432"/>
      <c r="AE16" s="612"/>
    </row>
    <row r="17" spans="1:31" s="611" customFormat="1">
      <c r="A17" s="281"/>
      <c r="B17" s="311">
        <v>1982</v>
      </c>
      <c r="C17" s="298">
        <v>1258</v>
      </c>
      <c r="D17" s="298">
        <v>0</v>
      </c>
      <c r="E17" s="298">
        <f t="shared" si="1"/>
        <v>12.58</v>
      </c>
      <c r="F17" s="298">
        <f t="shared" si="2"/>
        <v>1509.6</v>
      </c>
      <c r="G17" s="312">
        <v>32325</v>
      </c>
      <c r="H17" s="313">
        <v>19.055848412183064</v>
      </c>
      <c r="I17" s="314">
        <v>0</v>
      </c>
      <c r="J17" s="280">
        <v>1982</v>
      </c>
      <c r="K17" s="298">
        <v>16462.575990755842</v>
      </c>
      <c r="L17" s="298"/>
      <c r="M17" s="298">
        <v>28836.862099466722</v>
      </c>
      <c r="N17" s="298"/>
      <c r="O17" s="312">
        <v>29952</v>
      </c>
      <c r="P17" s="315">
        <v>0.18</v>
      </c>
      <c r="Q17" s="312">
        <v>31778</v>
      </c>
      <c r="R17" s="323">
        <v>3607.0425343715965</v>
      </c>
      <c r="S17" s="323"/>
      <c r="T17" s="312">
        <v>31778</v>
      </c>
      <c r="U17" s="283">
        <v>1.4174820000000001E-4</v>
      </c>
      <c r="V17" s="283"/>
      <c r="W17" s="320">
        <f>1000/$R17*VLOOKUP(Q17,G$5:$I75,2)</f>
        <v>4.9413431665022864</v>
      </c>
      <c r="X17" s="316" t="str">
        <f>IFERROR(1000/$S17*VLOOKUP($Q17,G$5:$I75,3),"")</f>
        <v/>
      </c>
      <c r="Y17" s="1585">
        <f t="shared" si="0"/>
        <v>202.37412507171541</v>
      </c>
      <c r="Z17" s="316"/>
      <c r="AA17" s="1589"/>
      <c r="AB17" s="432">
        <v>30</v>
      </c>
      <c r="AC17" s="432">
        <v>2</v>
      </c>
      <c r="AD17" s="432"/>
      <c r="AE17" s="612"/>
    </row>
    <row r="18" spans="1:31" s="611" customFormat="1">
      <c r="A18" s="281"/>
      <c r="B18" s="303">
        <v>1983</v>
      </c>
      <c r="C18" s="304">
        <v>1319</v>
      </c>
      <c r="D18" s="304">
        <v>0</v>
      </c>
      <c r="E18" s="304">
        <f t="shared" si="1"/>
        <v>13.19</v>
      </c>
      <c r="F18" s="304">
        <f t="shared" si="2"/>
        <v>1582.8</v>
      </c>
      <c r="G18" s="305">
        <v>32690</v>
      </c>
      <c r="H18" s="306">
        <v>19.628495319122827</v>
      </c>
      <c r="I18" s="307">
        <v>0</v>
      </c>
      <c r="J18" s="308">
        <v>1983</v>
      </c>
      <c r="K18" s="304">
        <v>17022.440600665701</v>
      </c>
      <c r="L18" s="304"/>
      <c r="M18" s="304">
        <v>30677.51287177311</v>
      </c>
      <c r="N18" s="304"/>
      <c r="O18" s="305">
        <v>30317</v>
      </c>
      <c r="P18" s="309">
        <v>0.18</v>
      </c>
      <c r="Q18" s="305">
        <v>32143</v>
      </c>
      <c r="R18" s="322">
        <v>3718.9080850585174</v>
      </c>
      <c r="S18" s="322"/>
      <c r="T18" s="305">
        <v>32143</v>
      </c>
      <c r="U18" s="318">
        <v>1.374844E-4</v>
      </c>
      <c r="V18" s="318"/>
      <c r="W18" s="319">
        <f>1000/$R18*VLOOKUP(Q18,G$5:$I76,2)</f>
        <v>4.9741859273158431</v>
      </c>
      <c r="X18" s="310" t="str">
        <f>IFERROR(1000/$S18*VLOOKUP($Q18,G$5:$I76,3),"")</f>
        <v/>
      </c>
      <c r="Y18" s="1586">
        <f t="shared" si="0"/>
        <v>201.03792150359311</v>
      </c>
      <c r="Z18" s="310"/>
      <c r="AA18" s="1589"/>
      <c r="AB18" s="432">
        <v>31</v>
      </c>
      <c r="AC18" s="432">
        <v>2</v>
      </c>
      <c r="AD18" s="432"/>
      <c r="AE18" s="612"/>
    </row>
    <row r="19" spans="1:31" s="611" customFormat="1">
      <c r="A19" s="281"/>
      <c r="B19" s="311">
        <v>1984</v>
      </c>
      <c r="C19" s="298">
        <v>1396</v>
      </c>
      <c r="D19" s="298">
        <v>0</v>
      </c>
      <c r="E19" s="298">
        <f t="shared" si="1"/>
        <v>13.96</v>
      </c>
      <c r="F19" s="298">
        <f t="shared" si="2"/>
        <v>1675.2</v>
      </c>
      <c r="G19" s="312">
        <v>33055</v>
      </c>
      <c r="H19" s="313">
        <v>20.236932657746326</v>
      </c>
      <c r="I19" s="314">
        <v>8.1551055050796855</v>
      </c>
      <c r="J19" s="280">
        <v>1984</v>
      </c>
      <c r="K19" s="298">
        <v>17533.221189980726</v>
      </c>
      <c r="L19" s="298"/>
      <c r="M19" s="298">
        <v>31904.613386644036</v>
      </c>
      <c r="N19" s="298"/>
      <c r="O19" s="312">
        <v>30682</v>
      </c>
      <c r="P19" s="315">
        <v>0.185</v>
      </c>
      <c r="Q19" s="312">
        <v>32509</v>
      </c>
      <c r="R19" s="323">
        <v>3830.4868010000869</v>
      </c>
      <c r="S19" s="323"/>
      <c r="T19" s="312">
        <v>32509</v>
      </c>
      <c r="U19" s="283">
        <v>1.334796E-4</v>
      </c>
      <c r="V19" s="283"/>
      <c r="W19" s="320">
        <f>1000/$R19*VLOOKUP(Q19,G$5:$I77,2)</f>
        <v>4.9747850344263931</v>
      </c>
      <c r="X19" s="316" t="str">
        <f>IFERROR(1000/$S19*VLOOKUP($Q19,G$5:$I77,3),"")</f>
        <v/>
      </c>
      <c r="Y19" s="1585">
        <f t="shared" si="0"/>
        <v>201.01371075932386</v>
      </c>
      <c r="Z19" s="316"/>
      <c r="AA19" s="1589"/>
      <c r="AB19" s="432">
        <v>32</v>
      </c>
      <c r="AC19" s="432">
        <v>1.9</v>
      </c>
      <c r="AD19" s="432"/>
      <c r="AE19" s="612"/>
    </row>
    <row r="20" spans="1:31" s="611" customFormat="1">
      <c r="A20" s="281"/>
      <c r="B20" s="303">
        <v>1985</v>
      </c>
      <c r="C20" s="304">
        <v>1432</v>
      </c>
      <c r="D20" s="304">
        <v>0</v>
      </c>
      <c r="E20" s="304">
        <f t="shared" si="1"/>
        <v>14.32</v>
      </c>
      <c r="F20" s="304">
        <f t="shared" si="2"/>
        <v>1718.3999999999999</v>
      </c>
      <c r="G20" s="305">
        <v>33239</v>
      </c>
      <c r="H20" s="306">
        <v>20.236932657746326</v>
      </c>
      <c r="I20" s="307">
        <v>9.3822060199506101</v>
      </c>
      <c r="J20" s="308">
        <v>1985</v>
      </c>
      <c r="K20" s="304">
        <v>18041.445319889765</v>
      </c>
      <c r="L20" s="304"/>
      <c r="M20" s="304">
        <v>33131.713901514959</v>
      </c>
      <c r="N20" s="304"/>
      <c r="O20" s="305">
        <v>31048</v>
      </c>
      <c r="P20" s="309">
        <v>0.187</v>
      </c>
      <c r="Q20" s="305">
        <v>32874</v>
      </c>
      <c r="R20" s="322">
        <v>4010.5234094987809</v>
      </c>
      <c r="S20" s="322"/>
      <c r="T20" s="305">
        <v>32874</v>
      </c>
      <c r="U20" s="318">
        <v>1.2748760000000001E-4</v>
      </c>
      <c r="V20" s="318"/>
      <c r="W20" s="319">
        <f>1000/$R20*VLOOKUP(Q20,G$5:$I78,2)</f>
        <v>4.894247786369589</v>
      </c>
      <c r="X20" s="310" t="str">
        <f>IFERROR(1000/$S20*VLOOKUP($Q20,G$5:$I78,3),"")</f>
        <v/>
      </c>
      <c r="Y20" s="1586">
        <f t="shared" si="0"/>
        <v>204.32148997134675</v>
      </c>
      <c r="Z20" s="310"/>
      <c r="AA20" s="1589"/>
      <c r="AB20" s="432">
        <v>33</v>
      </c>
      <c r="AC20" s="432">
        <v>1.9</v>
      </c>
      <c r="AD20" s="432"/>
      <c r="AE20" s="612"/>
    </row>
    <row r="21" spans="1:31" s="611" customFormat="1">
      <c r="A21" s="281"/>
      <c r="B21" s="311">
        <v>1986</v>
      </c>
      <c r="C21" s="298">
        <v>1467</v>
      </c>
      <c r="D21" s="298">
        <v>0</v>
      </c>
      <c r="E21" s="298">
        <f t="shared" si="1"/>
        <v>14.67</v>
      </c>
      <c r="F21" s="298">
        <f t="shared" si="2"/>
        <v>1760.3999999999999</v>
      </c>
      <c r="G21" s="312">
        <v>33420</v>
      </c>
      <c r="H21" s="313">
        <v>21.187935556771293</v>
      </c>
      <c r="I21" s="314">
        <v>10.788258693240211</v>
      </c>
      <c r="J21" s="280">
        <v>1986</v>
      </c>
      <c r="K21" s="298">
        <v>18727.087732573895</v>
      </c>
      <c r="L21" s="298"/>
      <c r="M21" s="298">
        <v>34358.814416385881</v>
      </c>
      <c r="N21" s="298"/>
      <c r="O21" s="312">
        <v>31413</v>
      </c>
      <c r="P21" s="315">
        <v>0.192</v>
      </c>
      <c r="Q21" s="312">
        <v>33239</v>
      </c>
      <c r="R21" s="323">
        <v>4198.9738371944386</v>
      </c>
      <c r="S21" s="323"/>
      <c r="T21" s="312">
        <v>33239</v>
      </c>
      <c r="U21" s="283">
        <v>1.2176590000000001E-4</v>
      </c>
      <c r="V21" s="283"/>
      <c r="W21" s="320">
        <f>1000/$R21*VLOOKUP(Q21,G$5:$I79,2)</f>
        <v>4.8194948200171961</v>
      </c>
      <c r="X21" s="316" t="str">
        <f>IFERROR(1000/$S21*VLOOKUP($Q21,G$5:$I79,3),"")</f>
        <v/>
      </c>
      <c r="Y21" s="1585">
        <f t="shared" si="0"/>
        <v>207.49062657908033</v>
      </c>
      <c r="Z21" s="316"/>
      <c r="AA21" s="1589"/>
      <c r="AB21" s="432">
        <v>34</v>
      </c>
      <c r="AC21" s="432">
        <v>1.8</v>
      </c>
      <c r="AD21" s="432"/>
      <c r="AE21" s="612"/>
    </row>
    <row r="22" spans="1:31" s="611" customFormat="1">
      <c r="A22" s="281"/>
      <c r="B22" s="303">
        <v>1987</v>
      </c>
      <c r="C22" s="304">
        <v>1539</v>
      </c>
      <c r="D22" s="304">
        <v>0</v>
      </c>
      <c r="E22" s="304">
        <f t="shared" si="1"/>
        <v>15.39</v>
      </c>
      <c r="F22" s="304">
        <f t="shared" si="2"/>
        <v>1846.8</v>
      </c>
      <c r="G22" s="305">
        <v>33604</v>
      </c>
      <c r="H22" s="306">
        <v>21.187935556771293</v>
      </c>
      <c r="I22" s="307">
        <v>12.05114963979487</v>
      </c>
      <c r="J22" s="308">
        <v>1987</v>
      </c>
      <c r="K22" s="304">
        <v>19288.997510008539</v>
      </c>
      <c r="L22" s="304"/>
      <c r="M22" s="304">
        <v>34972.364673821343</v>
      </c>
      <c r="N22" s="304"/>
      <c r="O22" s="305">
        <v>31778</v>
      </c>
      <c r="P22" s="309">
        <v>0.187</v>
      </c>
      <c r="Q22" s="305">
        <v>33329</v>
      </c>
      <c r="R22" s="322">
        <v>3974.429781729496</v>
      </c>
      <c r="S22" s="322"/>
      <c r="T22" s="305">
        <v>33329</v>
      </c>
      <c r="U22" s="318">
        <v>1.2864530000000001E-4</v>
      </c>
      <c r="V22" s="318"/>
      <c r="W22" s="319">
        <f>1000/$R22*VLOOKUP(Q22,G$5:$I80,2)</f>
        <v>5.0917826629560201</v>
      </c>
      <c r="X22" s="310" t="str">
        <f>IFERROR(1000/$S22*VLOOKUP($Q22,G$5:$I80,3),"")</f>
        <v/>
      </c>
      <c r="Y22" s="1586">
        <f t="shared" si="0"/>
        <v>196.39487114704397</v>
      </c>
      <c r="Z22" s="310"/>
      <c r="AA22" s="1589"/>
      <c r="AB22" s="432">
        <v>35</v>
      </c>
      <c r="AC22" s="432">
        <v>1.7</v>
      </c>
      <c r="AD22" s="432"/>
      <c r="AE22" s="612"/>
    </row>
    <row r="23" spans="1:31" s="611" customFormat="1">
      <c r="A23" s="281"/>
      <c r="B23" s="311">
        <v>1988</v>
      </c>
      <c r="C23" s="298">
        <v>1575</v>
      </c>
      <c r="D23" s="298">
        <v>0</v>
      </c>
      <c r="E23" s="298">
        <f t="shared" si="1"/>
        <v>15.75</v>
      </c>
      <c r="F23" s="298">
        <f t="shared" si="2"/>
        <v>1890</v>
      </c>
      <c r="G23" s="312">
        <v>33786</v>
      </c>
      <c r="H23" s="313">
        <v>21.796372895394796</v>
      </c>
      <c r="I23" s="314">
        <v>13.585025283383526</v>
      </c>
      <c r="J23" s="280">
        <v>1988</v>
      </c>
      <c r="K23" s="298">
        <v>19887.209011008115</v>
      </c>
      <c r="L23" s="298"/>
      <c r="M23" s="298">
        <v>36813.015446127734</v>
      </c>
      <c r="N23" s="298"/>
      <c r="O23" s="312">
        <v>32143</v>
      </c>
      <c r="P23" s="315">
        <v>0.187</v>
      </c>
      <c r="Q23" s="312">
        <v>33604</v>
      </c>
      <c r="R23" s="323">
        <v>4152.8931451097487</v>
      </c>
      <c r="S23" s="323">
        <v>2834.352423267871</v>
      </c>
      <c r="T23" s="312">
        <v>33604</v>
      </c>
      <c r="U23" s="283">
        <v>1.2311700000000001E-4</v>
      </c>
      <c r="V23" s="283">
        <v>1.8039109999999999E-4</v>
      </c>
      <c r="W23" s="320">
        <f>1000/$R23*VLOOKUP(Q23,G$5:$I81,2)</f>
        <v>5.1019698355882834</v>
      </c>
      <c r="X23" s="316">
        <f>IFERROR(1000/$S23*VLOOKUP($Q23,G$5:$I81,3),"")</f>
        <v>4.2518176430228385</v>
      </c>
      <c r="Y23" s="1585">
        <f t="shared" si="0"/>
        <v>196.00272683397682</v>
      </c>
      <c r="Z23" s="316">
        <f>1000/X23</f>
        <v>235.19352991090369</v>
      </c>
      <c r="AA23" s="1589"/>
      <c r="AB23" s="432">
        <v>36</v>
      </c>
      <c r="AC23" s="432">
        <v>1.7</v>
      </c>
      <c r="AD23" s="432"/>
      <c r="AE23" s="612"/>
    </row>
    <row r="24" spans="1:31" s="611" customFormat="1">
      <c r="A24" s="281"/>
      <c r="B24" s="303">
        <v>1989</v>
      </c>
      <c r="C24" s="304">
        <v>1611</v>
      </c>
      <c r="D24" s="304">
        <v>0</v>
      </c>
      <c r="E24" s="304">
        <f t="shared" si="1"/>
        <v>16.11</v>
      </c>
      <c r="F24" s="304">
        <f t="shared" si="2"/>
        <v>1933.1999999999998</v>
      </c>
      <c r="G24" s="305">
        <v>33970</v>
      </c>
      <c r="H24" s="306">
        <v>21.796372895394796</v>
      </c>
      <c r="I24" s="307">
        <v>14.4133181309214</v>
      </c>
      <c r="J24" s="308">
        <v>1989</v>
      </c>
      <c r="K24" s="304">
        <v>20483.886636364103</v>
      </c>
      <c r="L24" s="304"/>
      <c r="M24" s="304">
        <v>37426.565703563196</v>
      </c>
      <c r="N24" s="304"/>
      <c r="O24" s="305">
        <v>32509</v>
      </c>
      <c r="P24" s="309">
        <v>0.187</v>
      </c>
      <c r="Q24" s="305">
        <v>33970</v>
      </c>
      <c r="R24" s="322">
        <v>4443.6505217733647</v>
      </c>
      <c r="S24" s="322">
        <v>3234.333300951514</v>
      </c>
      <c r="T24" s="305">
        <v>33970</v>
      </c>
      <c r="U24" s="318">
        <v>1.150612E-4</v>
      </c>
      <c r="V24" s="318">
        <v>1.580826E-4</v>
      </c>
      <c r="W24" s="319">
        <f>1000/$R24*VLOOKUP(Q24,G$5:$I82,2)</f>
        <v>4.9050601051084319</v>
      </c>
      <c r="X24" s="310">
        <f>IFERROR(1000/$S24*VLOOKUP($Q24,G$5:$I82,3),"")</f>
        <v>4.456349049333018</v>
      </c>
      <c r="Y24" s="1586">
        <f t="shared" si="0"/>
        <v>203.87110016420357</v>
      </c>
      <c r="Z24" s="310">
        <f t="shared" ref="Z24:Z55" si="3">1000/X24</f>
        <v>224.3989393401915</v>
      </c>
      <c r="AA24" s="1589"/>
      <c r="AB24" s="432">
        <v>37</v>
      </c>
      <c r="AC24" s="432">
        <v>1.6</v>
      </c>
      <c r="AD24" s="432"/>
      <c r="AE24" s="612"/>
    </row>
    <row r="25" spans="1:31" s="611" customFormat="1">
      <c r="A25" s="281"/>
      <c r="B25" s="311">
        <v>1990</v>
      </c>
      <c r="C25" s="298">
        <v>1682.1502891355588</v>
      </c>
      <c r="D25" s="298">
        <v>0</v>
      </c>
      <c r="E25" s="298">
        <f t="shared" si="1"/>
        <v>16.821502891355589</v>
      </c>
      <c r="F25" s="298">
        <f t="shared" si="2"/>
        <v>2018.5803469626703</v>
      </c>
      <c r="G25" s="312">
        <v>34151</v>
      </c>
      <c r="H25" s="313">
        <v>22.747375794419764</v>
      </c>
      <c r="I25" s="314">
        <v>16.448259818082349</v>
      </c>
      <c r="J25" s="280">
        <v>1990</v>
      </c>
      <c r="K25" s="298">
        <v>21446.64924865658</v>
      </c>
      <c r="L25" s="298"/>
      <c r="M25" s="298">
        <v>38653.666218434118</v>
      </c>
      <c r="N25" s="298">
        <v>16565.856950757479</v>
      </c>
      <c r="O25" s="312">
        <v>32874</v>
      </c>
      <c r="P25" s="315">
        <v>0.187</v>
      </c>
      <c r="Q25" s="312">
        <v>34335</v>
      </c>
      <c r="R25" s="323">
        <v>5092.6634727967157</v>
      </c>
      <c r="S25" s="323">
        <v>3943.8267640848135</v>
      </c>
      <c r="T25" s="312">
        <v>34335</v>
      </c>
      <c r="U25" s="283">
        <v>1.003977E-4</v>
      </c>
      <c r="V25" s="283">
        <v>1.2964359999999999E-4</v>
      </c>
      <c r="W25" s="320">
        <f>1000/$R25*VLOOKUP(Q25,G$5:$I83,2)</f>
        <v>4.466695259941786</v>
      </c>
      <c r="X25" s="316">
        <f>IFERROR(1000/$S25*VLOOKUP($Q25,G$5:$I83,3),"")</f>
        <v>4.3223174694991089</v>
      </c>
      <c r="Y25" s="1585">
        <f t="shared" si="0"/>
        <v>223.87916385704651</v>
      </c>
      <c r="Z25" s="316">
        <f t="shared" si="3"/>
        <v>231.35736952609471</v>
      </c>
      <c r="AA25" s="1589"/>
      <c r="AB25" s="432">
        <v>38</v>
      </c>
      <c r="AC25" s="432">
        <v>1.6</v>
      </c>
      <c r="AD25" s="432"/>
      <c r="AE25" s="612"/>
    </row>
    <row r="26" spans="1:31" s="611" customFormat="1">
      <c r="A26" s="281"/>
      <c r="B26" s="303">
        <v>1991</v>
      </c>
      <c r="C26" s="304">
        <v>1717.9407208192943</v>
      </c>
      <c r="D26" s="304">
        <v>0</v>
      </c>
      <c r="E26" s="304">
        <f t="shared" si="1"/>
        <v>17.179407208192941</v>
      </c>
      <c r="F26" s="304">
        <f t="shared" si="2"/>
        <v>2061.5288649831532</v>
      </c>
      <c r="G26" s="305">
        <v>34335</v>
      </c>
      <c r="H26" s="306">
        <v>22.747375794419764</v>
      </c>
      <c r="I26" s="307">
        <v>17.046471319081927</v>
      </c>
      <c r="J26" s="308">
        <v>1991</v>
      </c>
      <c r="K26" s="304">
        <v>22712.09665461722</v>
      </c>
      <c r="L26" s="304"/>
      <c r="M26" s="304">
        <v>39880.766733305041</v>
      </c>
      <c r="N26" s="304">
        <v>18406.507723063867</v>
      </c>
      <c r="O26" s="305">
        <v>33239</v>
      </c>
      <c r="P26" s="309">
        <v>0.187</v>
      </c>
      <c r="Q26" s="305">
        <v>34700</v>
      </c>
      <c r="R26" s="322">
        <v>4847.4519769100589</v>
      </c>
      <c r="S26" s="322">
        <v>3940.3771800207587</v>
      </c>
      <c r="T26" s="305">
        <v>34700</v>
      </c>
      <c r="U26" s="318">
        <v>1.0547640000000001E-4</v>
      </c>
      <c r="V26" s="318">
        <v>1.2975709999999999E-4</v>
      </c>
      <c r="W26" s="319">
        <f>1000/$R26*VLOOKUP(Q26,G$5:$I84,2)</f>
        <v>4.8519153252175551</v>
      </c>
      <c r="X26" s="310">
        <f>IFERROR(1000/$S26*VLOOKUP($Q26,G$5:$I84,3),"")</f>
        <v>4.4701317925907125</v>
      </c>
      <c r="Y26" s="1586">
        <f t="shared" si="0"/>
        <v>206.1041739130435</v>
      </c>
      <c r="Z26" s="310">
        <f t="shared" si="3"/>
        <v>223.70705079825831</v>
      </c>
      <c r="AA26" s="1589"/>
      <c r="AB26" s="432">
        <v>39</v>
      </c>
      <c r="AC26" s="432">
        <v>1.6</v>
      </c>
      <c r="AD26" s="432"/>
      <c r="AE26" s="612"/>
    </row>
    <row r="27" spans="1:31" s="611" customFormat="1">
      <c r="A27" s="281"/>
      <c r="B27" s="311">
        <v>1992</v>
      </c>
      <c r="C27" s="298">
        <v>1789.5215841867648</v>
      </c>
      <c r="D27" s="298">
        <v>1073.7129505120588</v>
      </c>
      <c r="E27" s="298">
        <f t="shared" si="1"/>
        <v>17.89521584186765</v>
      </c>
      <c r="F27" s="298">
        <f t="shared" si="2"/>
        <v>2147.4259010241176</v>
      </c>
      <c r="G27" s="312">
        <v>34516</v>
      </c>
      <c r="H27" s="313">
        <v>23.519426535026049</v>
      </c>
      <c r="I27" s="314">
        <v>17.634456982457579</v>
      </c>
      <c r="J27" s="280">
        <v>1992</v>
      </c>
      <c r="K27" s="298">
        <v>23938.685877606949</v>
      </c>
      <c r="L27" s="298"/>
      <c r="M27" s="298">
        <v>41721.417505611433</v>
      </c>
      <c r="N27" s="298">
        <v>29450.412356902187</v>
      </c>
      <c r="O27" s="312">
        <v>33329</v>
      </c>
      <c r="P27" s="315">
        <v>0.17699999999999999</v>
      </c>
      <c r="Q27" s="312">
        <v>35065</v>
      </c>
      <c r="R27" s="323">
        <v>5017.172249121857</v>
      </c>
      <c r="S27" s="323">
        <v>4266.3029506654466</v>
      </c>
      <c r="T27" s="312">
        <v>35065</v>
      </c>
      <c r="U27" s="283">
        <v>1.019084E-4</v>
      </c>
      <c r="V27" s="283">
        <v>1.1984429999999999E-4</v>
      </c>
      <c r="W27" s="320">
        <f>1000/$R27*VLOOKUP(Q27,G$5:$I85,2)</f>
        <v>4.7112242701729654</v>
      </c>
      <c r="X27" s="316">
        <f>IFERROR(1000/$S27*VLOOKUP($Q27,G$5:$I85,3),"")</f>
        <v>4.5444939937836555</v>
      </c>
      <c r="Y27" s="1585">
        <f t="shared" si="0"/>
        <v>212.25905256327067</v>
      </c>
      <c r="Z27" s="316">
        <f t="shared" si="3"/>
        <v>220.04650052742613</v>
      </c>
      <c r="AA27" s="1589"/>
      <c r="AB27" s="432">
        <v>40</v>
      </c>
      <c r="AC27" s="432">
        <v>1.5</v>
      </c>
      <c r="AD27" s="432"/>
      <c r="AE27" s="612"/>
    </row>
    <row r="28" spans="1:31" s="611" customFormat="1">
      <c r="A28" s="281"/>
      <c r="B28" s="303">
        <v>1993</v>
      </c>
      <c r="C28" s="304">
        <v>1896.8928792379706</v>
      </c>
      <c r="D28" s="304">
        <v>1395.8268356656765</v>
      </c>
      <c r="E28" s="304">
        <f t="shared" si="1"/>
        <v>18.968928792379707</v>
      </c>
      <c r="F28" s="304">
        <f t="shared" si="2"/>
        <v>2276.2714550855649</v>
      </c>
      <c r="G28" s="305">
        <v>34700</v>
      </c>
      <c r="H28" s="306">
        <v>23.519426535026049</v>
      </c>
      <c r="I28" s="307">
        <v>17.61400530720973</v>
      </c>
      <c r="J28" s="308">
        <v>1993</v>
      </c>
      <c r="K28" s="304">
        <v>24633.020252271413</v>
      </c>
      <c r="L28" s="304"/>
      <c r="M28" s="304">
        <v>44175.618535353278</v>
      </c>
      <c r="N28" s="304">
        <v>32518.163644079497</v>
      </c>
      <c r="O28" s="305">
        <v>33604</v>
      </c>
      <c r="P28" s="309">
        <v>0.17699999999999999</v>
      </c>
      <c r="Q28" s="305">
        <v>35431</v>
      </c>
      <c r="R28" s="322">
        <v>5584.6459048076777</v>
      </c>
      <c r="S28" s="322">
        <v>4798.6302490502758</v>
      </c>
      <c r="T28" s="305">
        <v>35431</v>
      </c>
      <c r="U28" s="318">
        <v>9.1553100000000003E-5</v>
      </c>
      <c r="V28" s="318">
        <v>1.0654949999999999E-4</v>
      </c>
      <c r="W28" s="319">
        <f>1000/$R28*VLOOKUP(Q28,G$5:$I86,2)</f>
        <v>4.2727851509592298</v>
      </c>
      <c r="X28" s="310">
        <f>IFERROR(1000/$S28*VLOOKUP($Q28,G$5:$I86,3),"")</f>
        <v>4.0893716293716613</v>
      </c>
      <c r="Y28" s="1586">
        <f t="shared" si="0"/>
        <v>234.03938290122133</v>
      </c>
      <c r="Z28" s="310">
        <f t="shared" si="3"/>
        <v>244.5363470557582</v>
      </c>
      <c r="AA28" s="1589"/>
      <c r="AB28" s="432">
        <v>41</v>
      </c>
      <c r="AC28" s="432">
        <v>1.5</v>
      </c>
      <c r="AD28" s="432"/>
      <c r="AE28" s="612"/>
    </row>
    <row r="29" spans="1:31" s="611" customFormat="1">
      <c r="A29" s="281"/>
      <c r="B29" s="311">
        <v>1994</v>
      </c>
      <c r="C29" s="298">
        <v>2004.2641742891765</v>
      </c>
      <c r="D29" s="298">
        <v>1574.7789940843529</v>
      </c>
      <c r="E29" s="298">
        <f t="shared" si="1"/>
        <v>20.042641742891764</v>
      </c>
      <c r="F29" s="298">
        <f t="shared" si="2"/>
        <v>2405.1170091470117</v>
      </c>
      <c r="G29" s="312">
        <v>34881</v>
      </c>
      <c r="H29" s="313">
        <v>23.637023667701179</v>
      </c>
      <c r="I29" s="314">
        <v>18.575234043858618</v>
      </c>
      <c r="J29" s="280">
        <v>1994</v>
      </c>
      <c r="K29" s="298">
        <v>25125.90562574457</v>
      </c>
      <c r="L29" s="298"/>
      <c r="M29" s="298">
        <v>46629.819565095124</v>
      </c>
      <c r="N29" s="298">
        <v>36199.465188692273</v>
      </c>
      <c r="O29" s="312">
        <v>33970</v>
      </c>
      <c r="P29" s="315">
        <v>0.17499999999999999</v>
      </c>
      <c r="Q29" s="312">
        <v>35796</v>
      </c>
      <c r="R29" s="323">
        <v>5578.3145774428249</v>
      </c>
      <c r="S29" s="323">
        <v>4648.2081264731596</v>
      </c>
      <c r="T29" s="312">
        <v>35796</v>
      </c>
      <c r="U29" s="283">
        <v>9.16571E-5</v>
      </c>
      <c r="V29" s="283">
        <v>1.099976E-4</v>
      </c>
      <c r="W29" s="320">
        <f>1000/$R29*VLOOKUP(Q29,G$5:$I87,2)</f>
        <v>4.3482106480749501</v>
      </c>
      <c r="X29" s="316">
        <f>IFERROR(1000/$S29*VLOOKUP($Q29,G$5:$I87,3),"")</f>
        <v>4.4560040221293677</v>
      </c>
      <c r="Y29" s="1585">
        <f t="shared" si="0"/>
        <v>229.97965851602024</v>
      </c>
      <c r="Z29" s="316">
        <f t="shared" si="3"/>
        <v>224.41631449024931</v>
      </c>
      <c r="AA29" s="1589"/>
      <c r="AB29" s="432">
        <v>42</v>
      </c>
      <c r="AC29" s="432">
        <v>1.4</v>
      </c>
      <c r="AD29" s="432"/>
      <c r="AE29" s="612"/>
    </row>
    <row r="30" spans="1:31" s="611" customFormat="1">
      <c r="A30" s="281"/>
      <c r="B30" s="303">
        <v>1995</v>
      </c>
      <c r="C30" s="304">
        <v>2075.845037656647</v>
      </c>
      <c r="D30" s="304">
        <v>1682.1502891355588</v>
      </c>
      <c r="E30" s="304">
        <f t="shared" si="1"/>
        <v>20.758450376566472</v>
      </c>
      <c r="F30" s="304">
        <f t="shared" si="2"/>
        <v>2491.0140451879765</v>
      </c>
      <c r="G30" s="305">
        <v>35065</v>
      </c>
      <c r="H30" s="306">
        <v>23.637023667701179</v>
      </c>
      <c r="I30" s="307">
        <v>19.388188134960608</v>
      </c>
      <c r="J30" s="308">
        <v>1995</v>
      </c>
      <c r="K30" s="304">
        <v>25904.603160806411</v>
      </c>
      <c r="L30" s="304"/>
      <c r="M30" s="304">
        <v>47856.920079966054</v>
      </c>
      <c r="N30" s="304">
        <v>39267.21647586958</v>
      </c>
      <c r="O30" s="305">
        <v>34335</v>
      </c>
      <c r="P30" s="309">
        <v>0.192</v>
      </c>
      <c r="Q30" s="305">
        <v>36161</v>
      </c>
      <c r="R30" s="322">
        <v>5509.5003144445072</v>
      </c>
      <c r="S30" s="322">
        <v>4646.6225080911936</v>
      </c>
      <c r="T30" s="305">
        <v>36161</v>
      </c>
      <c r="U30" s="318">
        <v>9.2801900000000003E-5</v>
      </c>
      <c r="V30" s="318">
        <v>1.100352E-4</v>
      </c>
      <c r="W30" s="319">
        <f>1000/$R30*VLOOKUP(Q30,G$5:$I88,2)</f>
        <v>4.422008666580175</v>
      </c>
      <c r="X30" s="310">
        <f>IFERROR(1000/$S30*VLOOKUP($Q30,G$5:$I88,3),"")</f>
        <v>4.4971372535862857</v>
      </c>
      <c r="Y30" s="1586">
        <f t="shared" si="0"/>
        <v>226.14157397691503</v>
      </c>
      <c r="Z30" s="310">
        <f t="shared" si="3"/>
        <v>222.36368240763395</v>
      </c>
      <c r="AA30" s="1589"/>
      <c r="AB30" s="432">
        <v>43</v>
      </c>
      <c r="AC30" s="432">
        <v>1.4</v>
      </c>
      <c r="AD30" s="432"/>
      <c r="AE30" s="612"/>
    </row>
    <row r="31" spans="1:31" s="611" customFormat="1">
      <c r="A31" s="281"/>
      <c r="B31" s="311">
        <v>1996</v>
      </c>
      <c r="C31" s="298">
        <v>2111.6354693403823</v>
      </c>
      <c r="D31" s="298">
        <v>1789.5215841867648</v>
      </c>
      <c r="E31" s="298">
        <f t="shared" si="1"/>
        <v>21.116354693403824</v>
      </c>
      <c r="F31" s="298">
        <f t="shared" si="2"/>
        <v>2533.9625632084585</v>
      </c>
      <c r="G31" s="312">
        <v>35247</v>
      </c>
      <c r="H31" s="313">
        <v>23.861992095427517</v>
      </c>
      <c r="I31" s="314">
        <v>19.623382400310867</v>
      </c>
      <c r="J31" s="280">
        <v>1996</v>
      </c>
      <c r="K31" s="298">
        <v>26422.541836458178</v>
      </c>
      <c r="L31" s="298"/>
      <c r="M31" s="298">
        <v>49084.020594836977</v>
      </c>
      <c r="N31" s="298">
        <v>41721.417505611433</v>
      </c>
      <c r="O31" s="312">
        <v>34700</v>
      </c>
      <c r="P31" s="315">
        <v>0.186</v>
      </c>
      <c r="Q31" s="312">
        <v>36251</v>
      </c>
      <c r="R31" s="323">
        <v>5292.3771493432459</v>
      </c>
      <c r="S31" s="323">
        <v>4463.5043945537191</v>
      </c>
      <c r="T31" s="312">
        <v>36251</v>
      </c>
      <c r="U31" s="283">
        <v>9.6609100000000003E-5</v>
      </c>
      <c r="V31" s="283">
        <v>1.145494E-4</v>
      </c>
      <c r="W31" s="320">
        <f>1000/$R31*VLOOKUP(Q31,G$5:$I89,2)</f>
        <v>4.6034244067475667</v>
      </c>
      <c r="X31" s="316">
        <f>IFERROR(1000/$S31*VLOOKUP($Q31,G$5:$I89,3),"")</f>
        <v>4.6816351766085296</v>
      </c>
      <c r="Y31" s="1585">
        <f t="shared" si="0"/>
        <v>217.22959076600213</v>
      </c>
      <c r="Z31" s="316">
        <f t="shared" si="3"/>
        <v>213.6005823342305</v>
      </c>
      <c r="AA31" s="1589"/>
      <c r="AB31" s="432">
        <v>44</v>
      </c>
      <c r="AC31" s="432">
        <v>1.3</v>
      </c>
      <c r="AD31" s="432"/>
      <c r="AE31" s="612"/>
    </row>
    <row r="32" spans="1:31" s="611" customFormat="1">
      <c r="A32" s="281"/>
      <c r="B32" s="303">
        <v>1997</v>
      </c>
      <c r="C32" s="304">
        <v>2183.2163327078529</v>
      </c>
      <c r="D32" s="304">
        <v>1861.1024475542354</v>
      </c>
      <c r="E32" s="304">
        <f t="shared" si="1"/>
        <v>21.832163327078529</v>
      </c>
      <c r="F32" s="304">
        <f t="shared" si="2"/>
        <v>2619.8595992494234</v>
      </c>
      <c r="G32" s="305">
        <v>35612</v>
      </c>
      <c r="H32" s="306">
        <v>24.255686843948606</v>
      </c>
      <c r="I32" s="307">
        <v>20.712434107258812</v>
      </c>
      <c r="J32" s="308">
        <v>1997</v>
      </c>
      <c r="K32" s="304">
        <v>26660.292561214421</v>
      </c>
      <c r="L32" s="304"/>
      <c r="M32" s="304">
        <v>50311.121109707899</v>
      </c>
      <c r="N32" s="304">
        <v>43562.068277917817</v>
      </c>
      <c r="O32" s="305">
        <v>35065</v>
      </c>
      <c r="P32" s="309">
        <v>0.192</v>
      </c>
      <c r="Q32" s="305">
        <v>36526</v>
      </c>
      <c r="R32" s="322">
        <v>5379.3064836923459</v>
      </c>
      <c r="S32" s="322">
        <v>4423.7718002075844</v>
      </c>
      <c r="T32" s="305">
        <v>36526</v>
      </c>
      <c r="U32" s="318">
        <f>0.0000950479*1.95583</f>
        <v>1.8589753425699999E-4</v>
      </c>
      <c r="V32" s="318">
        <v>1.155783E-4</v>
      </c>
      <c r="W32" s="319">
        <f>1000/$R32*VLOOKUP(Q32,G$5:$I90,2)</f>
        <v>4.5898639569645843</v>
      </c>
      <c r="X32" s="310">
        <f>IFERROR(1000/$S32*VLOOKUP($Q32,G$5:$I90,3),"")</f>
        <v>4.8554430244447104</v>
      </c>
      <c r="Y32" s="1586">
        <f t="shared" si="0"/>
        <v>217.8713812383516</v>
      </c>
      <c r="Z32" s="310">
        <f t="shared" si="3"/>
        <v>205.95442989764345</v>
      </c>
      <c r="AA32" s="1589"/>
      <c r="AB32" s="432">
        <v>45</v>
      </c>
      <c r="AC32" s="432">
        <v>1.3</v>
      </c>
      <c r="AD32" s="432"/>
      <c r="AE32" s="612"/>
    </row>
    <row r="33" spans="1:34" s="611" customFormat="1">
      <c r="A33" s="281"/>
      <c r="B33" s="311">
        <v>1998</v>
      </c>
      <c r="C33" s="298">
        <v>2219.0067643915881</v>
      </c>
      <c r="D33" s="298">
        <v>1861.1024475542354</v>
      </c>
      <c r="E33" s="298">
        <f t="shared" si="1"/>
        <v>22.190067643915881</v>
      </c>
      <c r="F33" s="298">
        <f t="shared" si="2"/>
        <v>2662.8081172699058</v>
      </c>
      <c r="G33" s="312">
        <v>35977</v>
      </c>
      <c r="H33" s="313">
        <v>24.363058138999811</v>
      </c>
      <c r="I33" s="314">
        <v>20.89649918448945</v>
      </c>
      <c r="J33" s="280">
        <v>1998</v>
      </c>
      <c r="K33" s="298">
        <v>27060.122812309863</v>
      </c>
      <c r="L33" s="298"/>
      <c r="M33" s="298">
        <v>51538.221624578822</v>
      </c>
      <c r="N33" s="298">
        <v>42948.518020482355</v>
      </c>
      <c r="O33" s="312">
        <v>35431</v>
      </c>
      <c r="P33" s="315">
        <v>0.20300000000000001</v>
      </c>
      <c r="Q33" s="312">
        <v>36892</v>
      </c>
      <c r="R33" s="323">
        <v>5340.2616791847968</v>
      </c>
      <c r="S33" s="323">
        <v>4473.7050254879005</v>
      </c>
      <c r="T33" s="312">
        <v>36892</v>
      </c>
      <c r="U33" s="283">
        <f>0.0000957429*1.95583</f>
        <v>1.87256836107E-4</v>
      </c>
      <c r="V33" s="283">
        <v>1.142882E-4</v>
      </c>
      <c r="W33" s="320">
        <f>1000/$R33*VLOOKUP(Q33,G$5:$I91,2)</f>
        <v>4.651187728370636</v>
      </c>
      <c r="X33" s="316">
        <f>IFERROR(1000/$S33*VLOOKUP($Q33,G$5:$I91,3),"")</f>
        <v>4.8298210937579018</v>
      </c>
      <c r="Y33" s="1585">
        <f t="shared" si="0"/>
        <v>214.99884726224786</v>
      </c>
      <c r="Z33" s="316">
        <f t="shared" si="3"/>
        <v>207.04700662565074</v>
      </c>
      <c r="AA33" s="1589"/>
      <c r="AB33" s="432">
        <v>46</v>
      </c>
      <c r="AC33" s="432">
        <v>1.3</v>
      </c>
      <c r="AD33" s="432"/>
      <c r="AE33" s="612"/>
    </row>
    <row r="34" spans="1:34" s="611" customFormat="1">
      <c r="A34" s="281"/>
      <c r="B34" s="303">
        <v>1999</v>
      </c>
      <c r="C34" s="304">
        <v>2254.7971960753234</v>
      </c>
      <c r="D34" s="304">
        <v>1896.8928792379706</v>
      </c>
      <c r="E34" s="304">
        <f t="shared" si="1"/>
        <v>22.547971960753234</v>
      </c>
      <c r="F34" s="304">
        <f t="shared" si="2"/>
        <v>2705.7566352903882</v>
      </c>
      <c r="G34" s="305">
        <v>36342</v>
      </c>
      <c r="H34" s="306">
        <v>24.690284942965391</v>
      </c>
      <c r="I34" s="307">
        <v>21.479371929053137</v>
      </c>
      <c r="J34" s="308">
        <v>1999</v>
      </c>
      <c r="K34" s="304">
        <v>27357.694687166062</v>
      </c>
      <c r="L34" s="304"/>
      <c r="M34" s="304">
        <v>52151.771882014284</v>
      </c>
      <c r="N34" s="304">
        <v>44175.618535353278</v>
      </c>
      <c r="O34" s="305">
        <v>35796</v>
      </c>
      <c r="P34" s="309">
        <v>0.20300000000000001</v>
      </c>
      <c r="Q34" s="305">
        <v>37257</v>
      </c>
      <c r="R34" s="322">
        <v>5446.9380000000001</v>
      </c>
      <c r="S34" s="322">
        <v>4545.5545000000002</v>
      </c>
      <c r="T34" s="305">
        <v>37257</v>
      </c>
      <c r="U34" s="318">
        <v>1.8358940000000001E-4</v>
      </c>
      <c r="V34" s="318">
        <v>2.199952E-4</v>
      </c>
      <c r="W34" s="319">
        <f>1000/$R34*VLOOKUP(Q34,G$5:$I92,2)</f>
        <v>4.6473929091949957</v>
      </c>
      <c r="X34" s="310">
        <f>IFERROR(1000/$S34*VLOOKUP($Q34,G$5:$I92,3),"")</f>
        <v>4.8535870978154216</v>
      </c>
      <c r="Y34" s="1586">
        <f t="shared" si="0"/>
        <v>215.17440413128665</v>
      </c>
      <c r="Z34" s="310">
        <f t="shared" si="3"/>
        <v>206.03318326152953</v>
      </c>
      <c r="AA34" s="1589"/>
      <c r="AB34" s="432">
        <v>47</v>
      </c>
      <c r="AC34" s="432">
        <v>1.2</v>
      </c>
      <c r="AD34" s="432"/>
      <c r="AE34" s="612"/>
    </row>
    <row r="35" spans="1:34" s="611" customFormat="1">
      <c r="A35" s="281"/>
      <c r="B35" s="311">
        <v>2000</v>
      </c>
      <c r="C35" s="298">
        <v>2290.5876277590587</v>
      </c>
      <c r="D35" s="298">
        <v>1861.1024475542354</v>
      </c>
      <c r="E35" s="298">
        <f t="shared" si="1"/>
        <v>22.905876277590586</v>
      </c>
      <c r="F35" s="298">
        <f t="shared" si="2"/>
        <v>2748.7051533108702</v>
      </c>
      <c r="G35" s="312">
        <v>36708</v>
      </c>
      <c r="H35" s="313">
        <v>24.838559588512293</v>
      </c>
      <c r="I35" s="314">
        <v>21.607194899352194</v>
      </c>
      <c r="J35" s="280">
        <v>2000</v>
      </c>
      <c r="K35" s="298">
        <v>27740.65230618203</v>
      </c>
      <c r="L35" s="298"/>
      <c r="M35" s="298">
        <v>52765.322139449752</v>
      </c>
      <c r="N35" s="298">
        <v>43562.068277917817</v>
      </c>
      <c r="O35" s="312">
        <v>36161</v>
      </c>
      <c r="P35" s="315">
        <v>0.20300000000000001</v>
      </c>
      <c r="Q35" s="312">
        <v>37622</v>
      </c>
      <c r="R35" s="323">
        <v>5699.85</v>
      </c>
      <c r="S35" s="323">
        <v>4770.1481000000003</v>
      </c>
      <c r="T35" s="312">
        <v>37622</v>
      </c>
      <c r="U35" s="283">
        <v>1.7544319999999999E-4</v>
      </c>
      <c r="V35" s="283">
        <v>2.0963709999999999E-4</v>
      </c>
      <c r="W35" s="320">
        <f>1000/$R35*VLOOKUP(Q35,G$5:$I93,2)</f>
        <v>4.5369614989868152</v>
      </c>
      <c r="X35" s="316">
        <f>IFERROR(1000/$S35*VLOOKUP($Q35,G$5:$I93,3),"")</f>
        <v>4.7587621021661777</v>
      </c>
      <c r="Y35" s="1585">
        <f t="shared" si="0"/>
        <v>220.41183294663574</v>
      </c>
      <c r="Z35" s="316">
        <f t="shared" si="3"/>
        <v>210.13868281938326</v>
      </c>
      <c r="AA35" s="1589"/>
      <c r="AB35" s="432">
        <v>48</v>
      </c>
      <c r="AC35" s="432">
        <v>1.2</v>
      </c>
      <c r="AD35" s="432"/>
      <c r="AE35" s="612"/>
    </row>
    <row r="36" spans="1:34" s="611" customFormat="1">
      <c r="A36" s="281"/>
      <c r="B36" s="303">
        <v>2001</v>
      </c>
      <c r="C36" s="304">
        <v>2290.5876277590587</v>
      </c>
      <c r="D36" s="304">
        <v>1932.6833109217059</v>
      </c>
      <c r="E36" s="304">
        <f t="shared" si="1"/>
        <v>22.905876277590586</v>
      </c>
      <c r="F36" s="304">
        <f t="shared" si="2"/>
        <v>2748.7051533108702</v>
      </c>
      <c r="G36" s="305">
        <v>37073</v>
      </c>
      <c r="H36" s="306">
        <v>25.314061038024775</v>
      </c>
      <c r="I36" s="307">
        <v>22.062244673616828</v>
      </c>
      <c r="J36" s="308">
        <v>2001</v>
      </c>
      <c r="K36" s="304">
        <v>28231.4925121304</v>
      </c>
      <c r="L36" s="304"/>
      <c r="M36" s="304">
        <v>53378.872396885214</v>
      </c>
      <c r="N36" s="304">
        <v>44789.16879278874</v>
      </c>
      <c r="O36" s="305">
        <v>36526</v>
      </c>
      <c r="P36" s="309">
        <v>0.193</v>
      </c>
      <c r="Q36" s="305">
        <v>37987</v>
      </c>
      <c r="R36" s="322">
        <v>5738.46</v>
      </c>
      <c r="S36" s="322">
        <v>4817.3774000000003</v>
      </c>
      <c r="T36" s="305">
        <v>37987</v>
      </c>
      <c r="U36" s="318">
        <v>1.7426280000000001E-4</v>
      </c>
      <c r="V36" s="318">
        <v>2.0758180000000001E-4</v>
      </c>
      <c r="W36" s="319">
        <f>1000/$R36*VLOOKUP(Q36,G$5:$I94,2)</f>
        <v>4.5534864754655429</v>
      </c>
      <c r="X36" s="310">
        <f>IFERROR(1000/$S36*VLOOKUP($Q36,G$5:$I94,3),"")</f>
        <v>4.7681545564605337</v>
      </c>
      <c r="Y36" s="1586">
        <f t="shared" si="0"/>
        <v>219.61194029850748</v>
      </c>
      <c r="Z36" s="310">
        <f t="shared" si="3"/>
        <v>209.72474531998259</v>
      </c>
      <c r="AA36" s="1589"/>
      <c r="AB36" s="432">
        <v>49</v>
      </c>
      <c r="AC36" s="432">
        <v>1.2</v>
      </c>
      <c r="AD36" s="432"/>
      <c r="AE36" s="612"/>
    </row>
    <row r="37" spans="1:34" s="611" customFormat="1">
      <c r="A37" s="281"/>
      <c r="B37" s="311">
        <v>2002</v>
      </c>
      <c r="C37" s="298">
        <v>2345</v>
      </c>
      <c r="D37" s="298">
        <v>1960</v>
      </c>
      <c r="E37" s="298">
        <f t="shared" si="1"/>
        <v>23.45</v>
      </c>
      <c r="F37" s="298">
        <f t="shared" si="2"/>
        <v>2814</v>
      </c>
      <c r="G37" s="312">
        <v>37438</v>
      </c>
      <c r="H37" s="313">
        <v>25.86</v>
      </c>
      <c r="I37" s="314">
        <v>22.7</v>
      </c>
      <c r="J37" s="280">
        <v>2002</v>
      </c>
      <c r="K37" s="298">
        <v>28626</v>
      </c>
      <c r="L37" s="298">
        <v>23911</v>
      </c>
      <c r="M37" s="298">
        <v>54000</v>
      </c>
      <c r="N37" s="298">
        <v>45000</v>
      </c>
      <c r="O37" s="312">
        <v>36892</v>
      </c>
      <c r="P37" s="315">
        <v>0.191</v>
      </c>
      <c r="Q37" s="312">
        <v>38353</v>
      </c>
      <c r="R37" s="323">
        <v>5765.9549999999999</v>
      </c>
      <c r="S37" s="323">
        <v>4851.4556000000002</v>
      </c>
      <c r="T37" s="312">
        <v>38353</v>
      </c>
      <c r="U37" s="283">
        <v>1.7343179999999999E-4</v>
      </c>
      <c r="V37" s="283">
        <v>2.061237E-4</v>
      </c>
      <c r="W37" s="320">
        <f>1000/$R37*VLOOKUP(Q37,G$5:$I95,2)</f>
        <v>4.5317731407893405</v>
      </c>
      <c r="X37" s="316">
        <f>IFERROR(1000/$S37*VLOOKUP($Q37,G$5:$I95,3),"")</f>
        <v>4.7346614900484711</v>
      </c>
      <c r="Y37" s="1585">
        <f t="shared" si="0"/>
        <v>220.6641791044776</v>
      </c>
      <c r="Z37" s="316">
        <f t="shared" si="3"/>
        <v>211.20834131475837</v>
      </c>
      <c r="AA37" s="1589"/>
      <c r="AB37" s="432">
        <v>50</v>
      </c>
      <c r="AC37" s="432">
        <v>1.1000000000000001</v>
      </c>
      <c r="AD37" s="432"/>
      <c r="AE37" s="612"/>
    </row>
    <row r="38" spans="1:34" s="611" customFormat="1">
      <c r="A38" s="281"/>
      <c r="B38" s="303">
        <v>2003</v>
      </c>
      <c r="C38" s="304">
        <v>2380</v>
      </c>
      <c r="D38" s="304">
        <v>1995</v>
      </c>
      <c r="E38" s="304">
        <f t="shared" si="1"/>
        <v>23.8</v>
      </c>
      <c r="F38" s="304">
        <f t="shared" si="2"/>
        <v>2856</v>
      </c>
      <c r="G38" s="305">
        <v>37803</v>
      </c>
      <c r="H38" s="306">
        <v>26.13</v>
      </c>
      <c r="I38" s="307">
        <v>22.97</v>
      </c>
      <c r="J38" s="308">
        <v>2003</v>
      </c>
      <c r="K38" s="304">
        <v>28938</v>
      </c>
      <c r="L38" s="304">
        <v>24230</v>
      </c>
      <c r="M38" s="304">
        <v>61200</v>
      </c>
      <c r="N38" s="304">
        <v>51000</v>
      </c>
      <c r="O38" s="305">
        <v>37257</v>
      </c>
      <c r="P38" s="309">
        <v>0.191</v>
      </c>
      <c r="Q38" s="305">
        <v>38718</v>
      </c>
      <c r="R38" s="322">
        <v>5714.28</v>
      </c>
      <c r="S38" s="322">
        <v>4797.4813000000004</v>
      </c>
      <c r="T38" s="305">
        <v>38718</v>
      </c>
      <c r="U38" s="318">
        <v>1.7500020000000001E-4</v>
      </c>
      <c r="V38" s="318">
        <v>2.084427E-4</v>
      </c>
      <c r="W38" s="319">
        <f>1000/$R38*VLOOKUP(Q38,G$5:$I96,2)</f>
        <v>4.5727545727545724</v>
      </c>
      <c r="X38" s="310">
        <f>IFERROR(1000/$S38*VLOOKUP($Q38,G$5:$I96,3),"")</f>
        <v>4.7879290326780426</v>
      </c>
      <c r="Y38" s="1586">
        <f t="shared" si="0"/>
        <v>218.68656716417911</v>
      </c>
      <c r="Z38" s="310">
        <f t="shared" si="3"/>
        <v>208.85856769699609</v>
      </c>
      <c r="AA38" s="1589"/>
      <c r="AB38" s="432">
        <v>51</v>
      </c>
      <c r="AC38" s="432">
        <v>1.1000000000000001</v>
      </c>
      <c r="AD38" s="582">
        <v>37803</v>
      </c>
      <c r="AE38" s="612">
        <v>2.3E-2</v>
      </c>
    </row>
    <row r="39" spans="1:34" s="611" customFormat="1">
      <c r="A39" s="281"/>
      <c r="B39" s="311">
        <v>2004</v>
      </c>
      <c r="C39" s="298">
        <v>2415</v>
      </c>
      <c r="D39" s="298">
        <v>2030</v>
      </c>
      <c r="E39" s="298">
        <f t="shared" si="1"/>
        <v>24.150000000000002</v>
      </c>
      <c r="F39" s="298">
        <f t="shared" si="2"/>
        <v>2898</v>
      </c>
      <c r="G39" s="312">
        <v>38169</v>
      </c>
      <c r="H39" s="313">
        <v>26.13</v>
      </c>
      <c r="I39" s="314">
        <v>22.97</v>
      </c>
      <c r="J39" s="280">
        <v>2004</v>
      </c>
      <c r="K39" s="298">
        <v>29060</v>
      </c>
      <c r="L39" s="298">
        <v>24355</v>
      </c>
      <c r="M39" s="298">
        <v>61800</v>
      </c>
      <c r="N39" s="298">
        <v>52200</v>
      </c>
      <c r="O39" s="312">
        <v>37622</v>
      </c>
      <c r="P39" s="315">
        <v>0.19500000000000001</v>
      </c>
      <c r="Q39" s="312">
        <v>39083</v>
      </c>
      <c r="R39" s="323">
        <v>5868.1120000000001</v>
      </c>
      <c r="S39" s="323">
        <v>5049.1413000000002</v>
      </c>
      <c r="T39" s="312">
        <v>39083</v>
      </c>
      <c r="U39" s="283">
        <v>1.7041260000000001E-4</v>
      </c>
      <c r="V39" s="283">
        <v>1.9805349999999999E-4</v>
      </c>
      <c r="W39" s="320">
        <f>1000/$R39*VLOOKUP(Q39,G$5:$I97,2)</f>
        <v>4.4528802449578331</v>
      </c>
      <c r="X39" s="316">
        <f>IFERROR(1000/$S39*VLOOKUP($Q39,G$5:$I97,3),"")</f>
        <v>4.5492884106848024</v>
      </c>
      <c r="Y39" s="1585">
        <f t="shared" si="0"/>
        <v>224.57374665135859</v>
      </c>
      <c r="Z39" s="316">
        <f t="shared" si="3"/>
        <v>219.81459730082719</v>
      </c>
      <c r="AA39" s="1589"/>
      <c r="AB39" s="432">
        <v>52</v>
      </c>
      <c r="AC39" s="432">
        <v>1.1000000000000001</v>
      </c>
      <c r="AD39" s="582">
        <v>38078</v>
      </c>
      <c r="AE39" s="612">
        <v>8.9999999999999993E-3</v>
      </c>
    </row>
    <row r="40" spans="1:34" s="611" customFormat="1">
      <c r="A40" s="281"/>
      <c r="B40" s="303">
        <v>2005</v>
      </c>
      <c r="C40" s="304">
        <v>2415</v>
      </c>
      <c r="D40" s="304">
        <v>2030</v>
      </c>
      <c r="E40" s="304">
        <f t="shared" si="1"/>
        <v>24.150000000000002</v>
      </c>
      <c r="F40" s="304">
        <f t="shared" si="2"/>
        <v>2898</v>
      </c>
      <c r="G40" s="305">
        <v>38534</v>
      </c>
      <c r="H40" s="306">
        <v>26.13</v>
      </c>
      <c r="I40" s="307">
        <v>22.97</v>
      </c>
      <c r="J40" s="308">
        <v>2005</v>
      </c>
      <c r="K40" s="304">
        <v>29202</v>
      </c>
      <c r="L40" s="304">
        <v>24691</v>
      </c>
      <c r="M40" s="304">
        <v>62400</v>
      </c>
      <c r="N40" s="304">
        <v>52800</v>
      </c>
      <c r="O40" s="305">
        <v>37987</v>
      </c>
      <c r="P40" s="309">
        <v>0.19500000000000001</v>
      </c>
      <c r="Q40" s="305">
        <v>39448</v>
      </c>
      <c r="R40" s="322">
        <v>5986.7160000000003</v>
      </c>
      <c r="S40" s="322">
        <v>5061.9084999999995</v>
      </c>
      <c r="T40" s="305">
        <v>39448</v>
      </c>
      <c r="U40" s="318">
        <v>1.670365E-4</v>
      </c>
      <c r="V40" s="318">
        <v>1.9755409999999999E-4</v>
      </c>
      <c r="W40" s="319">
        <f>1000/$R40*VLOOKUP(Q40,G$5:$I98,2)</f>
        <v>4.3880484726517839</v>
      </c>
      <c r="X40" s="310">
        <f>IFERROR(1000/$S40*VLOOKUP($Q40,G$5:$I98,3),"")</f>
        <v>4.5615206201376424</v>
      </c>
      <c r="Y40" s="1586">
        <f t="shared" si="0"/>
        <v>227.89173962695091</v>
      </c>
      <c r="Z40" s="310">
        <f t="shared" si="3"/>
        <v>219.22514075357296</v>
      </c>
      <c r="AA40" s="1589"/>
      <c r="AB40" s="432">
        <v>53</v>
      </c>
      <c r="AC40" s="432">
        <v>1</v>
      </c>
      <c r="AD40" s="582">
        <v>38200</v>
      </c>
      <c r="AE40" s="612">
        <v>8.9999999999999993E-3</v>
      </c>
    </row>
    <row r="41" spans="1:34" s="611" customFormat="1">
      <c r="A41" s="281"/>
      <c r="B41" s="311">
        <v>2006</v>
      </c>
      <c r="C41" s="298">
        <v>2450</v>
      </c>
      <c r="D41" s="298">
        <v>2065</v>
      </c>
      <c r="E41" s="298">
        <f t="shared" si="1"/>
        <v>24.5</v>
      </c>
      <c r="F41" s="298">
        <f t="shared" si="2"/>
        <v>2940</v>
      </c>
      <c r="G41" s="312">
        <v>38899</v>
      </c>
      <c r="H41" s="313">
        <v>26.13</v>
      </c>
      <c r="I41" s="314">
        <v>22.97</v>
      </c>
      <c r="J41" s="280">
        <v>2006</v>
      </c>
      <c r="K41" s="298">
        <v>29494</v>
      </c>
      <c r="L41" s="298">
        <v>24938</v>
      </c>
      <c r="M41" s="298">
        <v>63000</v>
      </c>
      <c r="N41" s="298">
        <v>52800</v>
      </c>
      <c r="O41" s="312">
        <v>38353</v>
      </c>
      <c r="P41" s="315">
        <v>0.19500000000000001</v>
      </c>
      <c r="Q41" s="312">
        <v>39814</v>
      </c>
      <c r="R41" s="323">
        <v>6144.9210000000003</v>
      </c>
      <c r="S41" s="323">
        <v>5177.7223999999997</v>
      </c>
      <c r="T41" s="312">
        <v>39814</v>
      </c>
      <c r="U41" s="283">
        <v>1.62736E-4</v>
      </c>
      <c r="V41" s="283">
        <v>1.9313509999999999E-4</v>
      </c>
      <c r="W41" s="320">
        <f>1000/$R41*VLOOKUP(Q41,G$5:$I99,2)</f>
        <v>4.3222687484509557</v>
      </c>
      <c r="X41" s="316">
        <f>IFERROR(1000/$S41*VLOOKUP($Q41,G$5:$I99,3),"")</f>
        <v>4.5077735337838893</v>
      </c>
      <c r="Y41" s="1585">
        <f t="shared" si="0"/>
        <v>231.35997740963859</v>
      </c>
      <c r="Z41" s="316">
        <f t="shared" si="3"/>
        <v>221.83900599828621</v>
      </c>
      <c r="AA41" s="1589"/>
      <c r="AB41" s="432">
        <v>54</v>
      </c>
      <c r="AC41" s="432">
        <v>1</v>
      </c>
      <c r="AD41" s="582">
        <v>39448</v>
      </c>
      <c r="AE41" s="612">
        <v>4.1799999999999997E-2</v>
      </c>
    </row>
    <row r="42" spans="1:34" s="611" customFormat="1">
      <c r="A42" s="281"/>
      <c r="B42" s="303">
        <v>2007</v>
      </c>
      <c r="C42" s="304">
        <v>2450</v>
      </c>
      <c r="D42" s="304">
        <v>2100</v>
      </c>
      <c r="E42" s="304">
        <f t="shared" si="1"/>
        <v>24.5</v>
      </c>
      <c r="F42" s="304">
        <f t="shared" si="2"/>
        <v>2940</v>
      </c>
      <c r="G42" s="305">
        <v>39264</v>
      </c>
      <c r="H42" s="306">
        <v>26.27</v>
      </c>
      <c r="I42" s="307">
        <v>23.09</v>
      </c>
      <c r="J42" s="308">
        <v>2007</v>
      </c>
      <c r="K42" s="304">
        <v>29951</v>
      </c>
      <c r="L42" s="304">
        <v>24294</v>
      </c>
      <c r="M42" s="304">
        <v>63000</v>
      </c>
      <c r="N42" s="304">
        <v>54600</v>
      </c>
      <c r="O42" s="305">
        <v>38718</v>
      </c>
      <c r="P42" s="309">
        <v>0.19500000000000001</v>
      </c>
      <c r="Q42" s="305">
        <v>40179</v>
      </c>
      <c r="R42" s="322">
        <v>6368.5969999999998</v>
      </c>
      <c r="S42" s="322">
        <v>5356.7138000000004</v>
      </c>
      <c r="T42" s="305">
        <v>40179</v>
      </c>
      <c r="U42" s="318">
        <v>1.5702049999999999E-4</v>
      </c>
      <c r="V42" s="318">
        <v>1.866816E-4</v>
      </c>
      <c r="W42" s="319">
        <f>1000/$R42*VLOOKUP(Q42,G$5:$I100,2)</f>
        <v>4.2709563817588085</v>
      </c>
      <c r="X42" s="310">
        <f>IFERROR(1000/$S42*VLOOKUP($Q42,G$5:$I100,3),"")</f>
        <v>4.5046274452818436</v>
      </c>
      <c r="Y42" s="1586">
        <f t="shared" si="0"/>
        <v>234.13959558823527</v>
      </c>
      <c r="Z42" s="310">
        <f t="shared" si="3"/>
        <v>221.99394115209287</v>
      </c>
      <c r="AA42" s="1589"/>
      <c r="AB42" s="432">
        <v>55</v>
      </c>
      <c r="AC42" s="432">
        <v>1</v>
      </c>
      <c r="AD42" s="582">
        <v>39814</v>
      </c>
      <c r="AE42" s="612">
        <v>2.7E-2</v>
      </c>
      <c r="AG42" s="1519" t="s">
        <v>1644</v>
      </c>
    </row>
    <row r="43" spans="1:34" s="611" customFormat="1">
      <c r="A43" s="281"/>
      <c r="B43" s="311">
        <v>2008</v>
      </c>
      <c r="C43" s="298">
        <v>2485</v>
      </c>
      <c r="D43" s="298">
        <v>2100</v>
      </c>
      <c r="E43" s="298">
        <f t="shared" si="1"/>
        <v>24.85</v>
      </c>
      <c r="F43" s="298">
        <f t="shared" si="2"/>
        <v>2982</v>
      </c>
      <c r="G43" s="312">
        <v>39630</v>
      </c>
      <c r="H43" s="313">
        <v>26.56</v>
      </c>
      <c r="I43" s="314">
        <v>23.34</v>
      </c>
      <c r="J43" s="280">
        <v>2008</v>
      </c>
      <c r="K43" s="298">
        <v>30625</v>
      </c>
      <c r="L43" s="298">
        <v>25829</v>
      </c>
      <c r="M43" s="298">
        <v>63600</v>
      </c>
      <c r="N43" s="298">
        <v>54000</v>
      </c>
      <c r="O43" s="312">
        <v>39083</v>
      </c>
      <c r="P43" s="315">
        <v>0.19900000000000001</v>
      </c>
      <c r="Q43" s="312">
        <v>40544</v>
      </c>
      <c r="R43" s="323">
        <v>6023.3320000000003</v>
      </c>
      <c r="S43" s="323">
        <v>5270.2178999999996</v>
      </c>
      <c r="T43" s="312">
        <v>40544</v>
      </c>
      <c r="U43" s="283">
        <v>1.6602106608103287E-4</v>
      </c>
      <c r="V43" s="283">
        <v>1.8974547522978132E-4</v>
      </c>
      <c r="W43" s="320">
        <f>1000/$R43*VLOOKUP(Q43,G$5:$I101,2)</f>
        <v>4.5157729974040937</v>
      </c>
      <c r="X43" s="316">
        <f>IFERROR(1000/$S43*VLOOKUP($Q43,G$5:$I101,3),"")</f>
        <v>4.5785583172946227</v>
      </c>
      <c r="Y43" s="1585">
        <f t="shared" si="0"/>
        <v>221.44602941176475</v>
      </c>
      <c r="Z43" s="316">
        <f t="shared" si="3"/>
        <v>218.40936179030254</v>
      </c>
      <c r="AA43" s="1589"/>
      <c r="AB43" s="432">
        <v>56</v>
      </c>
      <c r="AC43" s="432">
        <v>1</v>
      </c>
      <c r="AD43" s="582">
        <v>40179</v>
      </c>
      <c r="AE43" s="612">
        <v>1.0999999999999999E-2</v>
      </c>
      <c r="AG43" s="1517">
        <v>1</v>
      </c>
      <c r="AH43" s="1518">
        <v>0.97399999999999998</v>
      </c>
    </row>
    <row r="44" spans="1:34" s="611" customFormat="1">
      <c r="A44" s="281"/>
      <c r="B44" s="303">
        <v>2009</v>
      </c>
      <c r="C44" s="304">
        <v>2520</v>
      </c>
      <c r="D44" s="304">
        <v>2135</v>
      </c>
      <c r="E44" s="304">
        <f t="shared" si="1"/>
        <v>25.2</v>
      </c>
      <c r="F44" s="304">
        <f t="shared" si="2"/>
        <v>3024</v>
      </c>
      <c r="G44" s="305">
        <v>39995</v>
      </c>
      <c r="H44" s="306">
        <v>27.2</v>
      </c>
      <c r="I44" s="307">
        <v>24.13</v>
      </c>
      <c r="J44" s="308">
        <v>2009</v>
      </c>
      <c r="K44" s="304">
        <v>30506</v>
      </c>
      <c r="L44" s="304">
        <v>26047</v>
      </c>
      <c r="M44" s="304">
        <v>64800</v>
      </c>
      <c r="N44" s="304">
        <v>54600</v>
      </c>
      <c r="O44" s="305">
        <v>39448</v>
      </c>
      <c r="P44" s="309">
        <v>0.19900000000000001</v>
      </c>
      <c r="Q44" s="305">
        <v>40909</v>
      </c>
      <c r="R44" s="322">
        <v>6359.4160000000002</v>
      </c>
      <c r="S44" s="322">
        <v>5410.4270999999999</v>
      </c>
      <c r="T44" s="305">
        <v>40909</v>
      </c>
      <c r="U44" s="318">
        <v>1.5724709999999999E-4</v>
      </c>
      <c r="V44" s="318">
        <v>1.8482829999999999E-4</v>
      </c>
      <c r="W44" s="319">
        <f>1000/$R44*VLOOKUP(Q44,G$5:$I102,2)</f>
        <v>4.3194658125840482</v>
      </c>
      <c r="X44" s="310">
        <f>IFERROR(1000/$S44*VLOOKUP($Q44,G$5:$I102,3),"")</f>
        <v>4.5042654765646875</v>
      </c>
      <c r="Y44" s="1586">
        <f t="shared" si="0"/>
        <v>231.51010874693478</v>
      </c>
      <c r="Z44" s="310">
        <f t="shared" si="3"/>
        <v>222.01178087812886</v>
      </c>
      <c r="AA44" s="1589"/>
      <c r="AB44" s="432">
        <v>57</v>
      </c>
      <c r="AC44" s="432">
        <v>0.9</v>
      </c>
      <c r="AD44" s="582">
        <v>40544</v>
      </c>
      <c r="AE44" s="612">
        <v>5.0000000000000001E-3</v>
      </c>
      <c r="AG44" s="1515">
        <v>2</v>
      </c>
      <c r="AH44" s="1516">
        <v>1.897</v>
      </c>
    </row>
    <row r="45" spans="1:34" s="611" customFormat="1">
      <c r="A45" s="281"/>
      <c r="B45" s="311">
        <v>2010</v>
      </c>
      <c r="C45" s="298">
        <v>2555</v>
      </c>
      <c r="D45" s="298">
        <v>2170</v>
      </c>
      <c r="E45" s="298">
        <f t="shared" si="1"/>
        <v>25.55</v>
      </c>
      <c r="F45" s="298">
        <f t="shared" si="2"/>
        <v>3066</v>
      </c>
      <c r="G45" s="312">
        <v>40360</v>
      </c>
      <c r="H45" s="313">
        <v>27.2</v>
      </c>
      <c r="I45" s="314">
        <v>24.13</v>
      </c>
      <c r="J45" s="280">
        <v>2010</v>
      </c>
      <c r="K45" s="298">
        <v>31144</v>
      </c>
      <c r="L45" s="298">
        <v>27292.341804536925</v>
      </c>
      <c r="M45" s="298">
        <v>66000</v>
      </c>
      <c r="N45" s="298">
        <v>55800</v>
      </c>
      <c r="O45" s="312">
        <v>39814</v>
      </c>
      <c r="P45" s="315">
        <v>0.19900000000000001</v>
      </c>
      <c r="Q45" s="312">
        <v>41275</v>
      </c>
      <c r="R45" s="323">
        <v>6439.4189999999999</v>
      </c>
      <c r="S45" s="323">
        <v>5472.4390000000003</v>
      </c>
      <c r="T45" s="312">
        <v>41275</v>
      </c>
      <c r="U45" s="283">
        <v>1.5529350000000001E-4</v>
      </c>
      <c r="V45" s="283">
        <v>1.8273390000000001E-4</v>
      </c>
      <c r="W45" s="320">
        <f>1000/$R45*VLOOKUP(Q45,G$5:$I103,2)</f>
        <v>4.3590889178045416</v>
      </c>
      <c r="X45" s="316">
        <f>IFERROR(1000/$S45*VLOOKUP($Q45,G$5:$I103,3),"")</f>
        <v>4.5537282370803949</v>
      </c>
      <c r="Y45" s="1585">
        <f t="shared" si="0"/>
        <v>229.40573566084785</v>
      </c>
      <c r="Z45" s="316">
        <f t="shared" si="3"/>
        <v>219.60028089887641</v>
      </c>
      <c r="AA45" s="1589"/>
      <c r="AB45" s="432">
        <v>58</v>
      </c>
      <c r="AC45" s="432">
        <v>0.9</v>
      </c>
      <c r="AD45" s="582">
        <v>40756</v>
      </c>
      <c r="AE45" s="612">
        <v>2E-3</v>
      </c>
      <c r="AG45" s="1515">
        <v>3</v>
      </c>
      <c r="AH45" s="1516">
        <v>2.7719999999999998</v>
      </c>
    </row>
    <row r="46" spans="1:34" s="611" customFormat="1">
      <c r="A46" s="281"/>
      <c r="B46" s="303">
        <v>2011</v>
      </c>
      <c r="C46" s="304">
        <v>2555</v>
      </c>
      <c r="D46" s="304">
        <v>2240</v>
      </c>
      <c r="E46" s="304">
        <f t="shared" si="1"/>
        <v>25.55</v>
      </c>
      <c r="F46" s="304">
        <f t="shared" si="2"/>
        <v>3066</v>
      </c>
      <c r="G46" s="305">
        <v>40725</v>
      </c>
      <c r="H46" s="306">
        <v>27.469280000000001</v>
      </c>
      <c r="I46" s="307">
        <v>24.37</v>
      </c>
      <c r="J46" s="308">
        <v>2011</v>
      </c>
      <c r="K46" s="304">
        <v>32100</v>
      </c>
      <c r="L46" s="304">
        <v>26484</v>
      </c>
      <c r="M46" s="304">
        <v>66000</v>
      </c>
      <c r="N46" s="304">
        <v>57600</v>
      </c>
      <c r="O46" s="305">
        <v>40179</v>
      </c>
      <c r="P46" s="309">
        <v>0.19900000000000001</v>
      </c>
      <c r="Q46" s="305">
        <v>41640</v>
      </c>
      <c r="R46" s="322">
        <v>6523.1459999999997</v>
      </c>
      <c r="S46" s="322">
        <v>5592.0668666952415</v>
      </c>
      <c r="T46" s="305">
        <v>41640</v>
      </c>
      <c r="U46" s="318">
        <v>1.5330026340051257E-4</v>
      </c>
      <c r="V46" s="318">
        <v>1.7882475725669795E-4</v>
      </c>
      <c r="W46" s="319">
        <f>1000/$R46*VLOOKUP(Q46,G$5:$I104,2)</f>
        <v>4.3138694120904244</v>
      </c>
      <c r="X46" s="310">
        <f>IFERROR(1000/$S46*VLOOKUP($Q46,G$5:$I104,3),"")</f>
        <v>4.6029492517874049</v>
      </c>
      <c r="Y46" s="1586">
        <f t="shared" si="0"/>
        <v>231.81044776119401</v>
      </c>
      <c r="Z46" s="310">
        <f t="shared" si="3"/>
        <v>217.25201502312515</v>
      </c>
      <c r="AA46" s="1589"/>
      <c r="AB46" s="432">
        <v>59</v>
      </c>
      <c r="AC46" s="432">
        <v>0.9</v>
      </c>
      <c r="AD46" s="582">
        <v>40969</v>
      </c>
      <c r="AE46" s="612">
        <v>3.2000000000000001E-2</v>
      </c>
      <c r="AG46" s="1515">
        <v>4</v>
      </c>
      <c r="AH46" s="1516">
        <v>3.6019999999999999</v>
      </c>
    </row>
    <row r="47" spans="1:34" s="611" customFormat="1">
      <c r="A47" s="281"/>
      <c r="B47" s="311">
        <v>2012</v>
      </c>
      <c r="C47" s="298">
        <v>2625</v>
      </c>
      <c r="D47" s="298">
        <v>2240</v>
      </c>
      <c r="E47" s="298">
        <f t="shared" si="1"/>
        <v>26.25</v>
      </c>
      <c r="F47" s="298">
        <f t="shared" si="2"/>
        <v>3150</v>
      </c>
      <c r="G47" s="312">
        <v>41091</v>
      </c>
      <c r="H47" s="313">
        <v>28.07</v>
      </c>
      <c r="I47" s="314">
        <v>24.92</v>
      </c>
      <c r="J47" s="280">
        <v>2012</v>
      </c>
      <c r="K47" s="298">
        <v>33002</v>
      </c>
      <c r="L47" s="298">
        <v>28077.25029777097</v>
      </c>
      <c r="M47" s="298">
        <v>67200</v>
      </c>
      <c r="N47" s="298">
        <v>57600</v>
      </c>
      <c r="O47" s="312">
        <v>40544</v>
      </c>
      <c r="P47" s="315">
        <v>0.19900000000000001</v>
      </c>
      <c r="Q47" s="312">
        <v>42005</v>
      </c>
      <c r="R47" s="323">
        <v>6544.8130000000001</v>
      </c>
      <c r="S47" s="323">
        <v>5585.7412000000004</v>
      </c>
      <c r="T47" s="312">
        <v>42005</v>
      </c>
      <c r="U47" s="283">
        <v>1.5279280000000001E-4</v>
      </c>
      <c r="V47" s="283">
        <v>1.790273E-4</v>
      </c>
      <c r="W47" s="320">
        <f>1000/$R47*VLOOKUP(Q47,G$5:$I105,2)</f>
        <v>4.3714006802027798</v>
      </c>
      <c r="X47" s="316">
        <f>IFERROR(1000/$S47*VLOOKUP($Q47,G$5:$I105,3),"")</f>
        <v>4.7245296649261155</v>
      </c>
      <c r="Y47" s="1585">
        <f t="shared" si="0"/>
        <v>228.75962950017478</v>
      </c>
      <c r="Z47" s="316">
        <f t="shared" si="3"/>
        <v>211.66128078817735</v>
      </c>
      <c r="AA47" s="1589"/>
      <c r="AB47" s="432">
        <v>60</v>
      </c>
      <c r="AC47" s="432">
        <v>0.9</v>
      </c>
      <c r="AD47" s="582">
        <v>41275</v>
      </c>
      <c r="AE47" s="612">
        <v>1.0999999999999999E-2</v>
      </c>
      <c r="AG47" s="1515">
        <v>5</v>
      </c>
      <c r="AH47" s="1516">
        <v>4.3879999999999999</v>
      </c>
    </row>
    <row r="48" spans="1:34" s="611" customFormat="1">
      <c r="A48" s="281"/>
      <c r="B48" s="303">
        <v>2013</v>
      </c>
      <c r="C48" s="304">
        <v>2695</v>
      </c>
      <c r="D48" s="304">
        <v>2275</v>
      </c>
      <c r="E48" s="304">
        <f t="shared" si="1"/>
        <v>26.95</v>
      </c>
      <c r="F48" s="304">
        <f t="shared" si="2"/>
        <v>3234</v>
      </c>
      <c r="G48" s="305">
        <v>41456</v>
      </c>
      <c r="H48" s="306">
        <v>28.14</v>
      </c>
      <c r="I48" s="307">
        <v>25.74</v>
      </c>
      <c r="J48" s="308">
        <v>2013</v>
      </c>
      <c r="K48" s="304">
        <v>33659</v>
      </c>
      <c r="L48" s="304">
        <v>28955</v>
      </c>
      <c r="M48" s="304">
        <v>69600</v>
      </c>
      <c r="N48" s="304">
        <v>58800</v>
      </c>
      <c r="O48" s="305">
        <v>40909</v>
      </c>
      <c r="P48" s="309">
        <v>0.19600000000000001</v>
      </c>
      <c r="Q48" s="305">
        <v>42370</v>
      </c>
      <c r="R48" s="322">
        <v>6781.9290000000001</v>
      </c>
      <c r="S48" s="322">
        <v>5908.1183000000001</v>
      </c>
      <c r="T48" s="305">
        <v>42370</v>
      </c>
      <c r="U48" s="318">
        <v>1.474507E-4</v>
      </c>
      <c r="V48" s="318">
        <v>1.692586E-4</v>
      </c>
      <c r="W48" s="319">
        <f>1000/$R48*VLOOKUP(Q48,G$5:$I106,2)</f>
        <v>4.3070341786238098</v>
      </c>
      <c r="X48" s="310">
        <f>IFERROR(1000/$S48*VLOOKUP($Q48,G$5:$I106,3),"")</f>
        <v>4.5784458987559544</v>
      </c>
      <c r="Y48" s="1586">
        <f t="shared" si="0"/>
        <v>232.17832933926741</v>
      </c>
      <c r="Z48" s="310">
        <f t="shared" si="3"/>
        <v>218.41472458410351</v>
      </c>
      <c r="AA48" s="1589"/>
      <c r="AB48" s="432">
        <v>61</v>
      </c>
      <c r="AC48" s="432">
        <v>0.9</v>
      </c>
      <c r="AD48" s="582">
        <v>41699</v>
      </c>
      <c r="AE48" s="612">
        <v>2.7E-2</v>
      </c>
      <c r="AG48" s="1515">
        <v>7</v>
      </c>
      <c r="AH48" s="1516">
        <v>5.8390000000000004</v>
      </c>
    </row>
    <row r="49" spans="1:34" s="611" customFormat="1">
      <c r="A49" s="281"/>
      <c r="B49" s="311">
        <v>2014</v>
      </c>
      <c r="C49" s="298">
        <v>2765</v>
      </c>
      <c r="D49" s="298">
        <v>2345</v>
      </c>
      <c r="E49" s="298">
        <f t="shared" si="1"/>
        <v>27.650000000000002</v>
      </c>
      <c r="F49" s="298">
        <f t="shared" si="2"/>
        <v>3318</v>
      </c>
      <c r="G49" s="312">
        <v>41821</v>
      </c>
      <c r="H49" s="313">
        <v>28.61</v>
      </c>
      <c r="I49" s="314">
        <v>26.39</v>
      </c>
      <c r="J49" s="280">
        <v>2014</v>
      </c>
      <c r="K49" s="298">
        <v>34514</v>
      </c>
      <c r="L49" s="298">
        <v>29587.655379339903</v>
      </c>
      <c r="M49" s="298">
        <v>71400</v>
      </c>
      <c r="N49" s="298">
        <v>60000</v>
      </c>
      <c r="O49" s="312">
        <v>41275</v>
      </c>
      <c r="P49" s="315">
        <v>0.189</v>
      </c>
      <c r="Q49" s="312">
        <v>42736</v>
      </c>
      <c r="R49" s="323">
        <v>6938.2610000000004</v>
      </c>
      <c r="S49" s="323">
        <v>6198.7501000000002</v>
      </c>
      <c r="T49" s="312">
        <v>42736</v>
      </c>
      <c r="U49" s="283">
        <v>1.4412830000000001E-4</v>
      </c>
      <c r="V49" s="283">
        <v>1.6132280000000001E-4</v>
      </c>
      <c r="W49" s="320">
        <f>1000/$R49*VLOOKUP(Q49,G$5:$I107,2)</f>
        <v>4.3887077756227386</v>
      </c>
      <c r="X49" s="316">
        <f>IFERROR(1000/$S49*VLOOKUP($Q49,G$5:$I107,3),"")</f>
        <v>4.623512730413184</v>
      </c>
      <c r="Y49" s="1585">
        <f t="shared" si="0"/>
        <v>227.85750410509033</v>
      </c>
      <c r="Z49" s="316">
        <f t="shared" si="3"/>
        <v>216.28576762037684</v>
      </c>
      <c r="AA49" s="1589"/>
      <c r="AB49" s="432">
        <v>62</v>
      </c>
      <c r="AC49" s="432">
        <v>0.8</v>
      </c>
      <c r="AD49" s="582">
        <v>42064</v>
      </c>
      <c r="AE49" s="612">
        <v>2.1999999999999999E-2</v>
      </c>
      <c r="AG49" s="1515">
        <v>8</v>
      </c>
      <c r="AH49" s="1516">
        <v>6.5090000000000003</v>
      </c>
    </row>
    <row r="50" spans="1:34" s="611" customFormat="1">
      <c r="A50" s="281"/>
      <c r="B50" s="303">
        <v>2015</v>
      </c>
      <c r="C50" s="304">
        <v>2835</v>
      </c>
      <c r="D50" s="304">
        <v>2835</v>
      </c>
      <c r="E50" s="304">
        <f t="shared" si="1"/>
        <v>28.35</v>
      </c>
      <c r="F50" s="304">
        <f t="shared" si="2"/>
        <v>3402</v>
      </c>
      <c r="G50" s="305">
        <v>42186</v>
      </c>
      <c r="H50" s="306">
        <v>29.21</v>
      </c>
      <c r="I50" s="307">
        <v>27.05</v>
      </c>
      <c r="J50" s="308">
        <v>2015</v>
      </c>
      <c r="K50" s="304">
        <v>35363</v>
      </c>
      <c r="L50" s="304">
        <v>29870</v>
      </c>
      <c r="M50" s="304">
        <v>72600</v>
      </c>
      <c r="N50" s="304">
        <v>62400</v>
      </c>
      <c r="O50" s="305">
        <v>41640</v>
      </c>
      <c r="P50" s="309">
        <v>0.189</v>
      </c>
      <c r="Q50" s="305">
        <v>43101</v>
      </c>
      <c r="R50" s="322">
        <v>7044.3779999999997</v>
      </c>
      <c r="S50" s="322">
        <v>6262.7826999999997</v>
      </c>
      <c r="T50" s="305">
        <v>43101</v>
      </c>
      <c r="U50" s="318">
        <v>1.419572E-4</v>
      </c>
      <c r="V50" s="318">
        <v>1.5967339999999999E-4</v>
      </c>
      <c r="W50" s="319">
        <f>1000/$R50*VLOOKUP(Q50,G$5:$I108,2)</f>
        <v>4.4049311379940148</v>
      </c>
      <c r="X50" s="310">
        <f>IFERROR(1000/$S50*VLOOKUP($Q50,G$5:$I108,3),"")</f>
        <v>4.7407041601491304</v>
      </c>
      <c r="Y50" s="1586">
        <f t="shared" si="0"/>
        <v>227.01830486625843</v>
      </c>
      <c r="Z50" s="310">
        <f t="shared" si="3"/>
        <v>210.93912765240819</v>
      </c>
      <c r="AA50" s="1589"/>
      <c r="AB50" s="432">
        <v>63</v>
      </c>
      <c r="AC50" s="432">
        <v>0.8</v>
      </c>
      <c r="AD50" s="582">
        <v>42430</v>
      </c>
      <c r="AE50" s="612">
        <v>2.1999999999999999E-2</v>
      </c>
      <c r="AG50" s="1515">
        <v>9</v>
      </c>
      <c r="AH50" s="1516">
        <v>7.1429999999999998</v>
      </c>
    </row>
    <row r="51" spans="1:34" s="611" customFormat="1">
      <c r="A51" s="281"/>
      <c r="B51" s="311">
        <v>2016</v>
      </c>
      <c r="C51" s="298">
        <v>2905</v>
      </c>
      <c r="D51" s="298">
        <v>2520</v>
      </c>
      <c r="E51" s="298">
        <f t="shared" si="1"/>
        <v>29.05</v>
      </c>
      <c r="F51" s="298">
        <f t="shared" si="2"/>
        <v>3486</v>
      </c>
      <c r="G51" s="312">
        <v>42552</v>
      </c>
      <c r="H51" s="313">
        <v>30.45</v>
      </c>
      <c r="I51" s="314">
        <v>28.66</v>
      </c>
      <c r="J51" s="280">
        <v>2016</v>
      </c>
      <c r="K51" s="298">
        <v>36187</v>
      </c>
      <c r="L51" s="298">
        <v>31594.215524000352</v>
      </c>
      <c r="M51" s="298">
        <v>74400</v>
      </c>
      <c r="N51" s="298">
        <v>64800</v>
      </c>
      <c r="O51" s="312">
        <v>42005</v>
      </c>
      <c r="P51" s="315">
        <v>0.187</v>
      </c>
      <c r="Q51" s="312">
        <v>43466</v>
      </c>
      <c r="R51" s="323">
        <v>7235.5860000000002</v>
      </c>
      <c r="S51" s="323">
        <v>6674.8948</v>
      </c>
      <c r="T51" s="312">
        <v>43466</v>
      </c>
      <c r="U51" s="283">
        <f>1/7235.586</f>
        <v>1.3820580668932688E-4</v>
      </c>
      <c r="V51" s="283">
        <v>1.4981510000000001E-4</v>
      </c>
      <c r="W51" s="320">
        <f>1000/$R51*VLOOKUP(Q51,G$5:$I109,2)</f>
        <v>4.4267319882591405</v>
      </c>
      <c r="X51" s="316">
        <f>IFERROR(1000/$S51*VLOOKUP($Q51,G$5:$I109,3),"")</f>
        <v>4.5978252720926776</v>
      </c>
      <c r="Y51" s="1585">
        <f t="shared" si="0"/>
        <v>225.90028098657507</v>
      </c>
      <c r="Z51" s="316">
        <f t="shared" si="3"/>
        <v>217.49412838058001</v>
      </c>
      <c r="AA51" s="1589"/>
      <c r="AB51" s="432">
        <v>64</v>
      </c>
      <c r="AC51" s="432">
        <v>0.8</v>
      </c>
      <c r="AD51" s="582">
        <v>42767</v>
      </c>
      <c r="AE51" s="612">
        <v>2.35E-2</v>
      </c>
      <c r="AG51" s="1515">
        <v>10</v>
      </c>
      <c r="AH51" s="1516">
        <v>7.7450000000000001</v>
      </c>
    </row>
    <row r="52" spans="1:34" s="611" customFormat="1">
      <c r="A52" s="281"/>
      <c r="B52" s="303">
        <v>2017</v>
      </c>
      <c r="C52" s="304">
        <v>2975</v>
      </c>
      <c r="D52" s="304">
        <v>2975</v>
      </c>
      <c r="E52" s="304">
        <f t="shared" si="1"/>
        <v>29.75</v>
      </c>
      <c r="F52" s="304">
        <f t="shared" si="2"/>
        <v>3570</v>
      </c>
      <c r="G52" s="305">
        <v>42917</v>
      </c>
      <c r="H52" s="306">
        <v>31.03</v>
      </c>
      <c r="I52" s="307">
        <v>29.69</v>
      </c>
      <c r="J52" s="308">
        <v>2017</v>
      </c>
      <c r="K52" s="304">
        <v>37077</v>
      </c>
      <c r="L52" s="304">
        <v>33148</v>
      </c>
      <c r="M52" s="304">
        <v>76200</v>
      </c>
      <c r="N52" s="304">
        <v>68400</v>
      </c>
      <c r="O52" s="305">
        <v>42370</v>
      </c>
      <c r="P52" s="309">
        <v>0.187</v>
      </c>
      <c r="Q52" s="305">
        <v>43831</v>
      </c>
      <c r="R52" s="322">
        <v>7542.4859999999999</v>
      </c>
      <c r="S52" s="322">
        <v>7049.0280000000002</v>
      </c>
      <c r="T52" s="305">
        <v>43831</v>
      </c>
      <c r="U52" s="318">
        <v>1.3258230000000001E-4</v>
      </c>
      <c r="V52" s="318">
        <v>1.4186299999999999E-4</v>
      </c>
      <c r="W52" s="319">
        <f>1000/$R52*VLOOKUP(Q52,G$5:$I110,2)</f>
        <v>4.3818443945404741</v>
      </c>
      <c r="X52" s="310">
        <f>IFERROR(1000/$S52*VLOOKUP($Q52,G$5:$I110,3),"")</f>
        <v>4.5240279936467838</v>
      </c>
      <c r="Y52" s="1586">
        <f t="shared" si="0"/>
        <v>228.21440242057486</v>
      </c>
      <c r="Z52" s="310">
        <f t="shared" si="3"/>
        <v>221.04195672624647</v>
      </c>
      <c r="AA52" s="1589"/>
      <c r="AD52" s="582">
        <v>43160</v>
      </c>
      <c r="AE52" s="612">
        <v>2.9899999999999999E-2</v>
      </c>
      <c r="AG52" s="1515">
        <v>11</v>
      </c>
      <c r="AH52" s="1516">
        <v>8.3149999999999995</v>
      </c>
    </row>
    <row r="53" spans="1:34" s="611" customFormat="1">
      <c r="A53" s="281"/>
      <c r="B53" s="311">
        <v>2018</v>
      </c>
      <c r="C53" s="298">
        <v>3045</v>
      </c>
      <c r="D53" s="298">
        <v>2695</v>
      </c>
      <c r="E53" s="298">
        <f t="shared" si="1"/>
        <v>30.45</v>
      </c>
      <c r="F53" s="298">
        <f t="shared" si="2"/>
        <v>3654</v>
      </c>
      <c r="G53" s="312">
        <v>43282</v>
      </c>
      <c r="H53" s="313">
        <v>32.03</v>
      </c>
      <c r="I53" s="314">
        <v>30.69</v>
      </c>
      <c r="J53" s="280">
        <v>2018</v>
      </c>
      <c r="K53" s="298">
        <v>38212</v>
      </c>
      <c r="L53" s="298">
        <v>33672</v>
      </c>
      <c r="M53" s="298">
        <v>78000</v>
      </c>
      <c r="N53" s="298">
        <v>69600</v>
      </c>
      <c r="O53" s="312">
        <v>42736</v>
      </c>
      <c r="P53" s="315">
        <v>0.187</v>
      </c>
      <c r="Q53" s="312">
        <v>44197</v>
      </c>
      <c r="R53" s="451">
        <v>7726.6260000000002</v>
      </c>
      <c r="S53" s="323">
        <v>7316.8806999999997</v>
      </c>
      <c r="T53" s="312">
        <v>44197</v>
      </c>
      <c r="U53" s="283">
        <v>1.2942260000000001E-4</v>
      </c>
      <c r="V53" s="283">
        <v>1.366703E-4</v>
      </c>
      <c r="W53" s="320">
        <f>1000/$R53*VLOOKUP(Q53,G$5:$I111,2)</f>
        <v>4.4249585782979528</v>
      </c>
      <c r="X53" s="316">
        <f>IFERROR(1000/$S53*VLOOKUP($Q53,G$5:$I111,3),"")</f>
        <v>4.5415527958519259</v>
      </c>
      <c r="Y53" s="1585">
        <f t="shared" si="0"/>
        <v>225.9908160280784</v>
      </c>
      <c r="Z53" s="316">
        <f t="shared" si="3"/>
        <v>220.18900692145652</v>
      </c>
      <c r="AA53" s="1589"/>
      <c r="AD53" s="582">
        <v>43556</v>
      </c>
      <c r="AE53" s="612">
        <v>3.09E-2</v>
      </c>
      <c r="AG53" s="1515">
        <v>12</v>
      </c>
      <c r="AH53" s="1516">
        <v>8.8559999999999999</v>
      </c>
    </row>
    <row r="54" spans="1:34" s="611" customFormat="1">
      <c r="A54" s="281"/>
      <c r="B54" s="303">
        <v>2019</v>
      </c>
      <c r="C54" s="304">
        <v>3115</v>
      </c>
      <c r="D54" s="304">
        <v>2870</v>
      </c>
      <c r="E54" s="304">
        <f t="shared" si="1"/>
        <v>31.150000000000002</v>
      </c>
      <c r="F54" s="304">
        <f t="shared" si="2"/>
        <v>3738</v>
      </c>
      <c r="G54" s="305">
        <v>43647</v>
      </c>
      <c r="H54" s="306">
        <v>33.049999999999997</v>
      </c>
      <c r="I54" s="307">
        <v>31.89</v>
      </c>
      <c r="J54" s="308">
        <v>2019</v>
      </c>
      <c r="K54" s="304">
        <v>39301</v>
      </c>
      <c r="L54" s="304">
        <f>+K54/1.084</f>
        <v>36255.535055350549</v>
      </c>
      <c r="M54" s="304">
        <v>80400</v>
      </c>
      <c r="N54" s="304">
        <v>73800</v>
      </c>
      <c r="O54" s="305">
        <v>43101</v>
      </c>
      <c r="P54" s="309">
        <v>0.186</v>
      </c>
      <c r="Q54" s="305">
        <v>44562</v>
      </c>
      <c r="R54" s="322">
        <f>ROUND(K57*P57,4)</f>
        <v>7821.8580000000002</v>
      </c>
      <c r="S54" s="322">
        <f>ROUND(P57*L57,4)</f>
        <v>7506.5879999999997</v>
      </c>
      <c r="T54" s="305">
        <v>44562</v>
      </c>
      <c r="U54" s="318">
        <f t="shared" ref="U54:V56" si="4">1/R54</f>
        <v>1.2784686196041912E-4</v>
      </c>
      <c r="V54" s="318">
        <f t="shared" si="4"/>
        <v>1.3321631612125243E-4</v>
      </c>
      <c r="W54" s="319">
        <f>1000/$R54*VLOOKUP(Q54,G$5:$I112,2)</f>
        <v>4.3710842104267291</v>
      </c>
      <c r="X54" s="310">
        <f>IFERROR(1000/$S54*VLOOKUP($Q54,G$5:$I112,3),"")</f>
        <v>4.4587501005783183</v>
      </c>
      <c r="Y54" s="1586">
        <f t="shared" si="0"/>
        <v>228.77619186896757</v>
      </c>
      <c r="Z54" s="310">
        <f t="shared" si="3"/>
        <v>224.27809979085751</v>
      </c>
      <c r="AA54" s="1591"/>
      <c r="AD54" s="432"/>
      <c r="AE54" s="613"/>
      <c r="AG54" s="1515">
        <v>13</v>
      </c>
      <c r="AH54" s="1516">
        <v>9.3680000000000003</v>
      </c>
    </row>
    <row r="55" spans="1:34" s="611" customFormat="1">
      <c r="A55" s="281"/>
      <c r="B55" s="311">
        <v>2020</v>
      </c>
      <c r="C55" s="298">
        <v>3185</v>
      </c>
      <c r="D55" s="298">
        <v>3010</v>
      </c>
      <c r="E55" s="298">
        <f t="shared" si="1"/>
        <v>31.85</v>
      </c>
      <c r="F55" s="298">
        <f t="shared" si="2"/>
        <v>3822</v>
      </c>
      <c r="G55" s="312">
        <v>44013</v>
      </c>
      <c r="H55" s="313">
        <v>34.19</v>
      </c>
      <c r="I55" s="314">
        <v>33.229999999999997</v>
      </c>
      <c r="J55" s="280">
        <v>2020</v>
      </c>
      <c r="K55" s="298">
        <v>39167</v>
      </c>
      <c r="L55" s="1063">
        <f>+K55/1.07</f>
        <v>36604.672897196258</v>
      </c>
      <c r="M55" s="298">
        <v>82800</v>
      </c>
      <c r="N55" s="298">
        <v>77400</v>
      </c>
      <c r="O55" s="312">
        <v>43466</v>
      </c>
      <c r="P55" s="315">
        <v>0.186</v>
      </c>
      <c r="Q55" s="312">
        <v>44927</v>
      </c>
      <c r="R55" s="1066">
        <f>+P59*K58</f>
        <v>8024.4120000000003</v>
      </c>
      <c r="S55" s="1066">
        <f>+P59*L58</f>
        <v>7805.8620000000001</v>
      </c>
      <c r="T55" s="312">
        <v>44927</v>
      </c>
      <c r="U55" s="1067">
        <f t="shared" si="4"/>
        <v>1.2461972291552328E-4</v>
      </c>
      <c r="V55" s="1067">
        <f t="shared" si="4"/>
        <v>1.2810884947748243E-4</v>
      </c>
      <c r="W55" s="1068">
        <f>1000/$R55*VLOOKUP(Q55,G$5:$I113,2)</f>
        <v>4.4888024194171487</v>
      </c>
      <c r="X55" s="1069">
        <f>IFERROR(1000/$S55*VLOOKUP($Q55,G$5:$I113,3),"")</f>
        <v>4.5504263334401767</v>
      </c>
      <c r="Y55" s="1585">
        <f t="shared" si="0"/>
        <v>222.77656857301497</v>
      </c>
      <c r="Z55" s="316">
        <f t="shared" si="3"/>
        <v>219.75962837837835</v>
      </c>
      <c r="AA55" s="1589"/>
      <c r="AD55" s="432"/>
      <c r="AE55" s="612"/>
      <c r="AG55" s="1515">
        <v>14</v>
      </c>
      <c r="AH55" s="1516">
        <v>9.8529999999999998</v>
      </c>
    </row>
    <row r="56" spans="1:34" s="611" customFormat="1">
      <c r="A56" s="281"/>
      <c r="B56" s="303">
        <v>2021</v>
      </c>
      <c r="C56" s="304">
        <v>3290</v>
      </c>
      <c r="D56" s="304">
        <v>3115</v>
      </c>
      <c r="E56" s="304">
        <f t="shared" si="1"/>
        <v>32.9</v>
      </c>
      <c r="F56" s="304">
        <f t="shared" si="2"/>
        <v>3948</v>
      </c>
      <c r="G56" s="305">
        <v>44378</v>
      </c>
      <c r="H56" s="306">
        <v>34.19</v>
      </c>
      <c r="I56" s="307">
        <v>33.47</v>
      </c>
      <c r="J56" s="308">
        <v>2021</v>
      </c>
      <c r="K56" s="304">
        <v>40463</v>
      </c>
      <c r="L56" s="304">
        <v>38317</v>
      </c>
      <c r="M56" s="304">
        <v>85200</v>
      </c>
      <c r="N56" s="304">
        <v>80400</v>
      </c>
      <c r="O56" s="305">
        <v>43831</v>
      </c>
      <c r="P56" s="309">
        <v>0.186</v>
      </c>
      <c r="Q56" s="305">
        <v>45292</v>
      </c>
      <c r="R56" s="1593">
        <f>45358*18.6/100</f>
        <v>8436.5879999999997</v>
      </c>
      <c r="S56" s="1593">
        <f>44732*0.186</f>
        <v>8320.152</v>
      </c>
      <c r="T56" s="305">
        <v>45292</v>
      </c>
      <c r="U56" s="318">
        <f t="shared" si="4"/>
        <v>1.1853133043832412E-4</v>
      </c>
      <c r="V56" s="318">
        <f t="shared" si="4"/>
        <v>1.2019011191141701E-4</v>
      </c>
      <c r="W56" s="1068">
        <f>1000/$R56*VLOOKUP(Q56,G$5:$I114,2)</f>
        <v>4.4567780244809869</v>
      </c>
      <c r="X56" s="1069">
        <f>IFERROR(1000/$S56*VLOOKUP($Q56,G$5:$I114,3),"")</f>
        <v>4.5191482078692795</v>
      </c>
      <c r="Y56" s="1585">
        <f>1000/W56</f>
        <v>224.37734042553191</v>
      </c>
      <c r="Z56" s="316">
        <f>1000/X56</f>
        <v>221.28063829787234</v>
      </c>
      <c r="AA56" s="1589"/>
      <c r="AD56" s="432"/>
      <c r="AE56" s="612"/>
      <c r="AG56" s="1515">
        <v>15</v>
      </c>
      <c r="AH56" s="1516">
        <v>10.314</v>
      </c>
    </row>
    <row r="57" spans="1:34" s="611" customFormat="1">
      <c r="A57" s="281"/>
      <c r="B57" s="311">
        <v>2022</v>
      </c>
      <c r="C57" s="298">
        <v>3290</v>
      </c>
      <c r="D57" s="298">
        <v>3150</v>
      </c>
      <c r="E57" s="298">
        <f t="shared" si="1"/>
        <v>32.9</v>
      </c>
      <c r="F57" s="298">
        <f t="shared" si="2"/>
        <v>3948</v>
      </c>
      <c r="G57" s="312">
        <v>44743</v>
      </c>
      <c r="H57" s="313">
        <v>36.020000000000003</v>
      </c>
      <c r="I57" s="314">
        <v>35.520000000000003</v>
      </c>
      <c r="J57" s="280">
        <v>2022</v>
      </c>
      <c r="K57" s="1592">
        <v>42053</v>
      </c>
      <c r="L57" s="1592">
        <v>40358</v>
      </c>
      <c r="M57" s="298">
        <f>7050*12</f>
        <v>84600</v>
      </c>
      <c r="N57" s="298">
        <f>6750*12</f>
        <v>81000</v>
      </c>
      <c r="O57" s="312">
        <v>44197</v>
      </c>
      <c r="P57" s="315">
        <v>0.186</v>
      </c>
      <c r="Q57" s="312">
        <v>45658</v>
      </c>
      <c r="R57" s="323"/>
      <c r="S57" s="323"/>
      <c r="T57" s="312">
        <v>45658</v>
      </c>
      <c r="U57" s="283"/>
      <c r="V57" s="283"/>
      <c r="W57" s="320"/>
      <c r="X57" s="316"/>
      <c r="Y57" s="1585"/>
      <c r="Z57" s="316"/>
      <c r="AA57" s="1589"/>
      <c r="AD57" s="432"/>
      <c r="AE57" s="612"/>
      <c r="AG57" s="1515">
        <v>16</v>
      </c>
      <c r="AH57" s="1516">
        <v>10.75</v>
      </c>
    </row>
    <row r="58" spans="1:34" s="611" customFormat="1">
      <c r="A58" s="281"/>
      <c r="B58" s="303">
        <v>2023</v>
      </c>
      <c r="C58" s="304">
        <v>3395</v>
      </c>
      <c r="D58" s="304">
        <v>3290</v>
      </c>
      <c r="E58" s="304">
        <f t="shared" si="1"/>
        <v>33.950000000000003</v>
      </c>
      <c r="F58" s="304">
        <f t="shared" si="2"/>
        <v>4074</v>
      </c>
      <c r="G58" s="305">
        <v>45108</v>
      </c>
      <c r="H58" s="306">
        <v>37.6</v>
      </c>
      <c r="I58" s="307">
        <v>37.6</v>
      </c>
      <c r="J58" s="308">
        <v>2023</v>
      </c>
      <c r="K58" s="1065">
        <v>43142</v>
      </c>
      <c r="L58" s="1065">
        <v>41967</v>
      </c>
      <c r="M58" s="304">
        <f>7300*12</f>
        <v>87600</v>
      </c>
      <c r="N58" s="304">
        <f>7100*12</f>
        <v>85200</v>
      </c>
      <c r="O58" s="305">
        <v>44562</v>
      </c>
      <c r="P58" s="309">
        <v>0.186</v>
      </c>
      <c r="Q58" s="305">
        <v>44562</v>
      </c>
      <c r="R58" s="322"/>
      <c r="S58" s="322"/>
      <c r="T58" s="305">
        <v>46023</v>
      </c>
      <c r="U58" s="318"/>
      <c r="V58" s="318"/>
      <c r="W58" s="319"/>
      <c r="X58" s="310"/>
      <c r="Y58" s="1586"/>
      <c r="Z58" s="310"/>
      <c r="AA58" s="1589"/>
      <c r="AD58" s="432"/>
      <c r="AE58" s="612"/>
      <c r="AG58" s="1515">
        <v>17</v>
      </c>
      <c r="AH58" s="1516">
        <v>11.163</v>
      </c>
    </row>
    <row r="59" spans="1:34" s="611" customFormat="1">
      <c r="A59" s="281"/>
      <c r="B59" s="311">
        <v>2024</v>
      </c>
      <c r="C59" s="298">
        <v>3535</v>
      </c>
      <c r="D59" s="298">
        <v>3465</v>
      </c>
      <c r="E59" s="298">
        <f t="shared" si="1"/>
        <v>35.35</v>
      </c>
      <c r="F59" s="298">
        <f t="shared" si="2"/>
        <v>4242</v>
      </c>
      <c r="G59" s="312">
        <v>45474</v>
      </c>
      <c r="H59" s="313">
        <f>+H58*1.035</f>
        <v>38.915999999999997</v>
      </c>
      <c r="I59" s="314">
        <f>+H59</f>
        <v>38.915999999999997</v>
      </c>
      <c r="J59" s="280">
        <v>2024</v>
      </c>
      <c r="K59" s="1064">
        <v>45358</v>
      </c>
      <c r="L59" s="1064">
        <v>44732</v>
      </c>
      <c r="M59" s="1064">
        <f>7550*12</f>
        <v>90600</v>
      </c>
      <c r="N59" s="1064">
        <v>89400</v>
      </c>
      <c r="O59" s="312">
        <v>44927</v>
      </c>
      <c r="P59" s="315">
        <v>0.186</v>
      </c>
      <c r="Q59" s="312">
        <v>44927</v>
      </c>
      <c r="R59" s="323"/>
      <c r="S59" s="323"/>
      <c r="T59" s="312">
        <v>46388</v>
      </c>
      <c r="U59" s="283"/>
      <c r="V59" s="283"/>
      <c r="W59" s="320"/>
      <c r="X59" s="316"/>
      <c r="Y59" s="1585"/>
      <c r="Z59" s="316"/>
      <c r="AA59" s="1589"/>
      <c r="AD59" s="432"/>
      <c r="AE59" s="612"/>
      <c r="AG59" s="1515">
        <v>18</v>
      </c>
      <c r="AH59" s="1516">
        <v>11.555</v>
      </c>
    </row>
    <row r="60" spans="1:34" s="611" customFormat="1">
      <c r="A60" s="281"/>
      <c r="B60" s="303">
        <v>2025</v>
      </c>
      <c r="C60" s="304"/>
      <c r="D60" s="304"/>
      <c r="E60" s="304"/>
      <c r="F60" s="304"/>
      <c r="G60" s="305">
        <v>45839</v>
      </c>
      <c r="H60" s="306"/>
      <c r="I60" s="307"/>
      <c r="J60" s="308">
        <v>2025</v>
      </c>
      <c r="K60" s="304"/>
      <c r="L60" s="304"/>
      <c r="M60" s="304"/>
      <c r="N60" s="304"/>
      <c r="O60" s="305">
        <v>45292</v>
      </c>
      <c r="P60" s="309">
        <v>0.186</v>
      </c>
      <c r="Q60" s="305">
        <v>45292</v>
      </c>
      <c r="R60" s="322"/>
      <c r="S60" s="322"/>
      <c r="T60" s="305">
        <v>46753</v>
      </c>
      <c r="U60" s="318"/>
      <c r="V60" s="318"/>
      <c r="W60" s="319"/>
      <c r="X60" s="310"/>
      <c r="Y60" s="1586"/>
      <c r="Z60" s="310"/>
      <c r="AA60" s="1589"/>
      <c r="AD60" s="432"/>
      <c r="AE60" s="612"/>
      <c r="AG60" s="1515">
        <v>19</v>
      </c>
      <c r="AH60" s="1516">
        <v>11.927</v>
      </c>
    </row>
    <row r="61" spans="1:34" s="611" customFormat="1">
      <c r="A61" s="281"/>
      <c r="B61" s="311">
        <v>2026</v>
      </c>
      <c r="C61" s="298"/>
      <c r="D61" s="298"/>
      <c r="E61" s="298"/>
      <c r="F61" s="298"/>
      <c r="G61" s="312">
        <v>46204</v>
      </c>
      <c r="H61" s="313"/>
      <c r="I61" s="314"/>
      <c r="J61" s="280">
        <v>2026</v>
      </c>
      <c r="K61" s="298"/>
      <c r="L61" s="298"/>
      <c r="M61" s="298"/>
      <c r="N61" s="298"/>
      <c r="O61" s="312">
        <v>45658</v>
      </c>
      <c r="P61" s="315"/>
      <c r="Q61" s="312">
        <v>45658</v>
      </c>
      <c r="R61" s="323"/>
      <c r="S61" s="323"/>
      <c r="T61" s="312"/>
      <c r="U61" s="283"/>
      <c r="V61" s="283"/>
      <c r="W61" s="320"/>
      <c r="X61" s="316"/>
      <c r="Y61" s="1585"/>
      <c r="Z61" s="316"/>
      <c r="AA61" s="1589"/>
      <c r="AD61" s="432"/>
      <c r="AE61" s="612"/>
      <c r="AG61" s="1515">
        <v>20</v>
      </c>
      <c r="AH61" s="1516">
        <v>12.279</v>
      </c>
    </row>
    <row r="62" spans="1:34" s="611" customFormat="1">
      <c r="A62" s="281"/>
      <c r="B62" s="303">
        <v>2027</v>
      </c>
      <c r="C62" s="304"/>
      <c r="D62" s="304"/>
      <c r="E62" s="304"/>
      <c r="F62" s="304"/>
      <c r="G62" s="305">
        <v>46569</v>
      </c>
      <c r="H62" s="306"/>
      <c r="I62" s="307"/>
      <c r="J62" s="308">
        <v>2027</v>
      </c>
      <c r="K62" s="304"/>
      <c r="L62" s="304"/>
      <c r="M62" s="304"/>
      <c r="N62" s="304"/>
      <c r="O62" s="305">
        <v>46023</v>
      </c>
      <c r="P62" s="309"/>
      <c r="Q62" s="305">
        <v>46023</v>
      </c>
      <c r="R62" s="322"/>
      <c r="S62" s="322"/>
      <c r="T62" s="305"/>
      <c r="U62" s="318"/>
      <c r="V62" s="318"/>
      <c r="W62" s="319"/>
      <c r="X62" s="310"/>
      <c r="Y62" s="1586"/>
      <c r="Z62" s="310"/>
      <c r="AA62" s="1589"/>
      <c r="AD62" s="432"/>
      <c r="AE62" s="612"/>
      <c r="AG62" s="1515">
        <v>21</v>
      </c>
      <c r="AH62" s="1516">
        <v>12.613</v>
      </c>
    </row>
    <row r="63" spans="1:34" s="611" customFormat="1">
      <c r="A63" s="281"/>
      <c r="B63" s="311">
        <v>2028</v>
      </c>
      <c r="C63" s="298"/>
      <c r="D63" s="298"/>
      <c r="E63" s="298"/>
      <c r="F63" s="298"/>
      <c r="G63" s="312">
        <v>46935</v>
      </c>
      <c r="H63" s="313"/>
      <c r="I63" s="314"/>
      <c r="J63" s="280">
        <v>2028</v>
      </c>
      <c r="K63" s="298"/>
      <c r="L63" s="298"/>
      <c r="M63" s="298"/>
      <c r="N63" s="298"/>
      <c r="O63" s="312">
        <v>46388</v>
      </c>
      <c r="P63" s="315"/>
      <c r="Q63" s="312">
        <v>46388</v>
      </c>
      <c r="R63" s="323"/>
      <c r="S63" s="323"/>
      <c r="T63" s="312"/>
      <c r="U63" s="283"/>
      <c r="V63" s="283"/>
      <c r="W63" s="320"/>
      <c r="X63" s="316"/>
      <c r="Y63" s="1585"/>
      <c r="Z63" s="316"/>
      <c r="AA63" s="1589"/>
      <c r="AD63" s="432"/>
      <c r="AE63" s="612"/>
      <c r="AG63" s="1515">
        <v>22</v>
      </c>
      <c r="AH63" s="1516">
        <v>12.929</v>
      </c>
    </row>
    <row r="64" spans="1:34" s="611" customFormat="1">
      <c r="A64" s="281"/>
      <c r="B64" s="303">
        <v>2029</v>
      </c>
      <c r="C64" s="304"/>
      <c r="D64" s="304"/>
      <c r="E64" s="304"/>
      <c r="F64" s="304"/>
      <c r="G64" s="305">
        <v>47300</v>
      </c>
      <c r="H64" s="306"/>
      <c r="I64" s="307"/>
      <c r="J64" s="308">
        <v>2029</v>
      </c>
      <c r="K64" s="304"/>
      <c r="L64" s="304"/>
      <c r="M64" s="304"/>
      <c r="N64" s="304"/>
      <c r="O64" s="305">
        <v>46753</v>
      </c>
      <c r="P64" s="309"/>
      <c r="Q64" s="305">
        <v>46753</v>
      </c>
      <c r="R64" s="322"/>
      <c r="S64" s="322"/>
      <c r="T64" s="305"/>
      <c r="U64" s="318"/>
      <c r="V64" s="318"/>
      <c r="W64" s="319"/>
      <c r="X64" s="310"/>
      <c r="Y64" s="1586"/>
      <c r="Z64" s="310"/>
      <c r="AA64" s="1589"/>
      <c r="AD64" s="432"/>
      <c r="AE64" s="612"/>
      <c r="AG64" s="1515">
        <v>23</v>
      </c>
      <c r="AH64" s="1516">
        <v>13.228999999999999</v>
      </c>
    </row>
    <row r="65" spans="1:34" s="611" customFormat="1">
      <c r="A65" s="281"/>
      <c r="B65" s="311"/>
      <c r="C65" s="298"/>
      <c r="D65" s="298"/>
      <c r="E65" s="298"/>
      <c r="F65" s="298"/>
      <c r="G65" s="312"/>
      <c r="H65" s="313"/>
      <c r="I65" s="314"/>
      <c r="J65" s="280"/>
      <c r="K65" s="298"/>
      <c r="L65" s="298"/>
      <c r="M65" s="298"/>
      <c r="N65" s="298"/>
      <c r="O65" s="312"/>
      <c r="P65" s="315"/>
      <c r="Q65" s="312"/>
      <c r="R65" s="323"/>
      <c r="S65" s="323"/>
      <c r="T65" s="312"/>
      <c r="U65" s="283"/>
      <c r="V65" s="283"/>
      <c r="W65" s="320"/>
      <c r="X65" s="316"/>
      <c r="Y65" s="1585"/>
      <c r="Z65" s="316"/>
      <c r="AA65" s="1589"/>
      <c r="AD65" s="432"/>
      <c r="AE65" s="612"/>
      <c r="AG65" s="1515">
        <v>24</v>
      </c>
      <c r="AH65" s="1516">
        <v>13.513</v>
      </c>
    </row>
    <row r="66" spans="1:34" s="611" customFormat="1">
      <c r="A66" s="281"/>
      <c r="B66" s="280"/>
      <c r="C66" s="281"/>
      <c r="D66" s="281"/>
      <c r="E66" s="281"/>
      <c r="F66" s="298"/>
      <c r="G66" s="281"/>
      <c r="H66" s="281"/>
      <c r="I66" s="281"/>
      <c r="J66" s="280"/>
      <c r="K66" s="281"/>
      <c r="L66" s="281"/>
      <c r="M66" s="281"/>
      <c r="N66" s="281"/>
      <c r="O66" s="281"/>
      <c r="P66" s="281"/>
      <c r="Q66" s="281"/>
      <c r="R66" s="282"/>
      <c r="S66" s="282"/>
      <c r="T66" s="312"/>
      <c r="U66" s="283"/>
      <c r="V66" s="283"/>
      <c r="W66" s="281"/>
      <c r="X66" s="281"/>
      <c r="Y66" s="281"/>
      <c r="Z66" s="281"/>
      <c r="AA66" s="1589"/>
      <c r="AD66" s="432"/>
      <c r="AE66" s="612"/>
      <c r="AG66" s="1515">
        <v>25</v>
      </c>
      <c r="AH66" s="1516">
        <v>13.782999999999999</v>
      </c>
    </row>
    <row r="67" spans="1:34">
      <c r="T67" s="312"/>
      <c r="AD67" s="3"/>
      <c r="AE67" s="155"/>
      <c r="AG67" s="1515">
        <v>26</v>
      </c>
      <c r="AH67" s="1516">
        <v>14.038</v>
      </c>
    </row>
    <row r="68" spans="1:34">
      <c r="T68" s="312"/>
      <c r="AD68" s="3"/>
      <c r="AE68" s="155"/>
      <c r="AG68" s="1515">
        <v>27</v>
      </c>
      <c r="AH68" s="1516">
        <v>14.28</v>
      </c>
    </row>
    <row r="69" spans="1:34">
      <c r="T69" s="312"/>
      <c r="AG69" s="1515">
        <v>28</v>
      </c>
      <c r="AH69" s="1516">
        <v>14.51</v>
      </c>
    </row>
    <row r="70" spans="1:34">
      <c r="AG70" s="1515">
        <v>29</v>
      </c>
      <c r="AH70" s="1516">
        <v>14.727</v>
      </c>
    </row>
    <row r="71" spans="1:34">
      <c r="AG71" s="1515">
        <v>30</v>
      </c>
      <c r="AH71" s="1516">
        <v>14.933</v>
      </c>
    </row>
    <row r="72" spans="1:34">
      <c r="AG72" s="1515">
        <v>31</v>
      </c>
      <c r="AH72" s="1516">
        <v>15.129</v>
      </c>
    </row>
    <row r="73" spans="1:34">
      <c r="AG73" s="1515">
        <v>32</v>
      </c>
      <c r="AH73" s="1516">
        <v>15.314</v>
      </c>
    </row>
    <row r="74" spans="1:34">
      <c r="AG74" s="1515">
        <v>33</v>
      </c>
      <c r="AH74" s="1516">
        <v>15.49</v>
      </c>
    </row>
    <row r="75" spans="1:34">
      <c r="AG75" s="1515">
        <v>34</v>
      </c>
      <c r="AH75" s="1516">
        <v>15.656000000000001</v>
      </c>
    </row>
    <row r="76" spans="1:34">
      <c r="AG76" s="1515">
        <v>35</v>
      </c>
      <c r="AH76" s="1516">
        <v>15.814</v>
      </c>
    </row>
    <row r="77" spans="1:34">
      <c r="AG77" s="1515">
        <v>36</v>
      </c>
      <c r="AH77" s="1516">
        <v>15.962999999999999</v>
      </c>
    </row>
    <row r="78" spans="1:34">
      <c r="AG78" s="1515">
        <v>37</v>
      </c>
      <c r="AH78" s="1516">
        <v>16.105</v>
      </c>
    </row>
    <row r="79" spans="1:34">
      <c r="AG79" s="1515">
        <v>38</v>
      </c>
      <c r="AH79" s="1516">
        <v>16.239000000000001</v>
      </c>
    </row>
    <row r="80" spans="1:34">
      <c r="AG80" s="1515">
        <v>39</v>
      </c>
      <c r="AH80" s="1516">
        <v>16.367000000000001</v>
      </c>
    </row>
    <row r="81" spans="33:34">
      <c r="AG81" s="1515">
        <v>40</v>
      </c>
      <c r="AH81" s="1516">
        <v>16.486999999999998</v>
      </c>
    </row>
    <row r="82" spans="33:34">
      <c r="AG82" s="1515">
        <v>41</v>
      </c>
      <c r="AH82" s="1516">
        <v>16.602</v>
      </c>
    </row>
    <row r="83" spans="33:34">
      <c r="AG83" s="1515">
        <v>42</v>
      </c>
      <c r="AH83" s="1516">
        <v>16.71</v>
      </c>
    </row>
    <row r="84" spans="33:34">
      <c r="AG84" s="1515">
        <v>43</v>
      </c>
      <c r="AH84" s="1516">
        <v>16.812999999999999</v>
      </c>
    </row>
    <row r="85" spans="33:34">
      <c r="AG85" s="1515">
        <v>44</v>
      </c>
      <c r="AH85" s="1516">
        <v>16.91</v>
      </c>
    </row>
    <row r="86" spans="33:34">
      <c r="AG86" s="1515">
        <v>45</v>
      </c>
      <c r="AH86" s="1516">
        <v>17.003</v>
      </c>
    </row>
    <row r="87" spans="33:34">
      <c r="AG87" s="1515">
        <v>46</v>
      </c>
      <c r="AH87" s="1516">
        <v>17.09</v>
      </c>
    </row>
    <row r="88" spans="33:34">
      <c r="AG88" s="1515">
        <v>47</v>
      </c>
      <c r="AH88" s="1516">
        <v>17.172999999999998</v>
      </c>
    </row>
    <row r="89" spans="33:34">
      <c r="AG89" s="1515">
        <v>48</v>
      </c>
      <c r="AH89" s="1516">
        <v>17.251999999999999</v>
      </c>
    </row>
    <row r="90" spans="33:34">
      <c r="AG90" s="1515">
        <v>49</v>
      </c>
      <c r="AH90" s="1516">
        <v>17.326000000000001</v>
      </c>
    </row>
    <row r="91" spans="33:34">
      <c r="AG91" s="1515">
        <v>50</v>
      </c>
      <c r="AH91" s="1516">
        <v>17.396999999999998</v>
      </c>
    </row>
    <row r="92" spans="33:34">
      <c r="AG92" s="1515">
        <v>51</v>
      </c>
      <c r="AH92" s="1516">
        <v>17.463999999999999</v>
      </c>
    </row>
    <row r="93" spans="33:34">
      <c r="AG93" s="1515">
        <v>52</v>
      </c>
      <c r="AH93" s="1516">
        <v>17.527999999999999</v>
      </c>
    </row>
    <row r="94" spans="33:34">
      <c r="AG94" s="1515">
        <v>53</v>
      </c>
      <c r="AH94" s="1516">
        <v>17.588000000000001</v>
      </c>
    </row>
    <row r="95" spans="33:34">
      <c r="AG95" s="1515">
        <v>54</v>
      </c>
      <c r="AH95" s="1516">
        <v>17.645</v>
      </c>
    </row>
    <row r="96" spans="33:34">
      <c r="AG96" s="1515">
        <v>55</v>
      </c>
      <c r="AH96" s="1516">
        <v>17.699000000000002</v>
      </c>
    </row>
    <row r="97" spans="33:34">
      <c r="AG97" s="1515">
        <v>56</v>
      </c>
      <c r="AH97" s="1516">
        <v>17.75</v>
      </c>
    </row>
    <row r="98" spans="33:34">
      <c r="AG98" s="1515">
        <v>57</v>
      </c>
      <c r="AH98" s="1516">
        <v>17.798999999999999</v>
      </c>
    </row>
    <row r="99" spans="33:34">
      <c r="AG99" s="1515">
        <v>58</v>
      </c>
      <c r="AH99" s="1516">
        <v>17.844999999999999</v>
      </c>
    </row>
    <row r="100" spans="33:34">
      <c r="AG100" s="1515">
        <v>59</v>
      </c>
      <c r="AH100" s="1516">
        <v>17.888000000000002</v>
      </c>
    </row>
    <row r="101" spans="33:34">
      <c r="AG101" s="1515">
        <v>60</v>
      </c>
      <c r="AH101" s="1516">
        <v>17.93</v>
      </c>
    </row>
    <row r="102" spans="33:34">
      <c r="AG102" s="1515">
        <v>61</v>
      </c>
      <c r="AH102" s="1516">
        <v>17.969000000000001</v>
      </c>
    </row>
    <row r="103" spans="33:34">
      <c r="AG103" s="1515">
        <v>62</v>
      </c>
      <c r="AH103" s="1516">
        <v>18.006</v>
      </c>
    </row>
    <row r="104" spans="33:34">
      <c r="AG104" s="1515">
        <v>63</v>
      </c>
      <c r="AH104" s="1516">
        <v>18.041</v>
      </c>
    </row>
    <row r="105" spans="33:34">
      <c r="AG105" s="1515">
        <v>64</v>
      </c>
      <c r="AH105" s="1516">
        <v>18.074999999999999</v>
      </c>
    </row>
    <row r="106" spans="33:34">
      <c r="AG106" s="1515">
        <v>65</v>
      </c>
      <c r="AH106" s="1516">
        <v>18.106000000000002</v>
      </c>
    </row>
    <row r="107" spans="33:34">
      <c r="AG107" s="1515">
        <v>66</v>
      </c>
      <c r="AH107" s="1516">
        <v>18.135999999999999</v>
      </c>
    </row>
    <row r="108" spans="33:34">
      <c r="AG108" s="1515">
        <v>67</v>
      </c>
      <c r="AH108" s="1516">
        <v>18.164999999999999</v>
      </c>
    </row>
    <row r="109" spans="33:34">
      <c r="AG109" s="1515">
        <v>68</v>
      </c>
      <c r="AH109" s="1516">
        <v>18.192</v>
      </c>
    </row>
    <row r="110" spans="33:34">
      <c r="AG110" s="1515">
        <v>69</v>
      </c>
      <c r="AH110" s="1516">
        <v>18.216999999999999</v>
      </c>
    </row>
    <row r="111" spans="33:34">
      <c r="AG111" s="1515">
        <v>70</v>
      </c>
      <c r="AH111" s="1516">
        <v>18.242000000000001</v>
      </c>
    </row>
    <row r="112" spans="33:34">
      <c r="AG112" s="1515">
        <v>71</v>
      </c>
      <c r="AH112" s="1516">
        <v>18.263999999999999</v>
      </c>
    </row>
    <row r="113" spans="33:34">
      <c r="AG113" s="1515">
        <v>72</v>
      </c>
      <c r="AH113" s="1516">
        <v>18.286000000000001</v>
      </c>
    </row>
    <row r="114" spans="33:34">
      <c r="AG114" s="1515">
        <v>73</v>
      </c>
      <c r="AH114" s="1516">
        <v>18.306999999999999</v>
      </c>
    </row>
    <row r="115" spans="33:34">
      <c r="AG115" s="1515">
        <v>74</v>
      </c>
      <c r="AH115" s="1516">
        <v>18.326000000000001</v>
      </c>
    </row>
    <row r="116" spans="33:34">
      <c r="AG116" s="1515">
        <v>75</v>
      </c>
      <c r="AH116" s="1516">
        <v>18.344999999999999</v>
      </c>
    </row>
    <row r="117" spans="33:34">
      <c r="AG117" s="1515">
        <v>76</v>
      </c>
      <c r="AH117" s="1516">
        <v>18.361999999999998</v>
      </c>
    </row>
    <row r="118" spans="33:34">
      <c r="AG118" s="1515">
        <v>77</v>
      </c>
      <c r="AH118" s="1516">
        <v>18.379000000000001</v>
      </c>
    </row>
    <row r="119" spans="33:34">
      <c r="AG119" s="1515">
        <v>78</v>
      </c>
      <c r="AH119" s="1516">
        <v>18.395</v>
      </c>
    </row>
    <row r="120" spans="33:34">
      <c r="AG120" s="1515">
        <v>79</v>
      </c>
      <c r="AH120" s="1516">
        <v>18.41</v>
      </c>
    </row>
    <row r="121" spans="33:34">
      <c r="AG121" s="1515">
        <v>80</v>
      </c>
      <c r="AH121" s="1516">
        <v>18.423999999999999</v>
      </c>
    </row>
    <row r="122" spans="33:34">
      <c r="AG122" s="1515">
        <v>81</v>
      </c>
      <c r="AH122" s="1516">
        <v>18.437000000000001</v>
      </c>
    </row>
    <row r="123" spans="33:34">
      <c r="AG123" s="1515">
        <v>82</v>
      </c>
      <c r="AH123" s="1516">
        <v>18.45</v>
      </c>
    </row>
    <row r="124" spans="33:34">
      <c r="AG124" s="1515">
        <v>83</v>
      </c>
      <c r="AH124" s="1516">
        <v>18.462</v>
      </c>
    </row>
    <row r="125" spans="33:34">
      <c r="AG125" s="1515">
        <v>84</v>
      </c>
      <c r="AH125" s="1516">
        <v>18.474</v>
      </c>
    </row>
    <row r="126" spans="33:34">
      <c r="AG126" s="1515">
        <v>85</v>
      </c>
      <c r="AH126" s="1516">
        <v>18.484999999999999</v>
      </c>
    </row>
    <row r="127" spans="33:34">
      <c r="AG127" s="1515">
        <v>86</v>
      </c>
      <c r="AH127" s="1516">
        <v>18.495000000000001</v>
      </c>
    </row>
    <row r="128" spans="33:34">
      <c r="AG128" s="1515">
        <v>87</v>
      </c>
      <c r="AH128" s="1516">
        <v>18.504999999999999</v>
      </c>
    </row>
    <row r="129" spans="33:34">
      <c r="AG129" s="1515">
        <v>88</v>
      </c>
      <c r="AH129" s="1516">
        <v>18.513999999999999</v>
      </c>
    </row>
    <row r="130" spans="33:34">
      <c r="AG130" s="1515">
        <v>89</v>
      </c>
      <c r="AH130" s="1516">
        <v>18.523</v>
      </c>
    </row>
    <row r="131" spans="33:34">
      <c r="AG131" s="1515">
        <v>90</v>
      </c>
      <c r="AH131" s="1516">
        <v>18.530999999999999</v>
      </c>
    </row>
    <row r="132" spans="33:34">
      <c r="AG132" s="1515">
        <v>91</v>
      </c>
      <c r="AH132" s="1516">
        <v>18.539000000000001</v>
      </c>
    </row>
    <row r="133" spans="33:34">
      <c r="AG133" s="1515">
        <v>92</v>
      </c>
      <c r="AH133" s="1516">
        <v>18.545999999999999</v>
      </c>
    </row>
    <row r="134" spans="33:34">
      <c r="AG134" s="1515">
        <v>93</v>
      </c>
      <c r="AH134" s="1516">
        <v>18.553000000000001</v>
      </c>
    </row>
    <row r="135" spans="33:34">
      <c r="AG135" s="1515">
        <v>94</v>
      </c>
      <c r="AH135" s="1516">
        <v>18.559999999999999</v>
      </c>
    </row>
    <row r="136" spans="33:34">
      <c r="AG136" s="1515">
        <v>95</v>
      </c>
      <c r="AH136" s="1516">
        <v>18.565999999999999</v>
      </c>
    </row>
    <row r="137" spans="33:34">
      <c r="AG137" s="1515">
        <v>96</v>
      </c>
      <c r="AH137" s="1516">
        <v>18.571999999999999</v>
      </c>
    </row>
    <row r="138" spans="33:34">
      <c r="AG138" s="1515">
        <v>97</v>
      </c>
      <c r="AH138" s="1516">
        <v>18.577999999999999</v>
      </c>
    </row>
    <row r="139" spans="33:34">
      <c r="AG139" s="1515">
        <v>98</v>
      </c>
      <c r="AH139" s="1516">
        <v>18.582999999999998</v>
      </c>
    </row>
    <row r="140" spans="33:34">
      <c r="AG140" s="1515">
        <v>99</v>
      </c>
      <c r="AH140" s="1516">
        <v>18.588999999999999</v>
      </c>
    </row>
    <row r="141" spans="33:34">
      <c r="AG141" s="1515">
        <v>100</v>
      </c>
      <c r="AH141" s="1516">
        <v>18.593</v>
      </c>
    </row>
    <row r="142" spans="33:34">
      <c r="AG142" s="1515">
        <v>101</v>
      </c>
      <c r="AH142" s="1516">
        <v>18.597999999999999</v>
      </c>
    </row>
  </sheetData>
  <sheetProtection algorithmName="SHA-512" hashValue="VaW1wFelj93sM+aGl7KnHc1imLqx0wymIlhcx3EGyH1njl7g2R6IExOXl8OSDVUmKh9OrZ6FTZCbj4gCMgIjAg==" saltValue="XVBEvNU5W23IO+HlyDctXQ==" spinCount="100000" sheet="1" objects="1" scenarios="1"/>
  <mergeCells count="15">
    <mergeCell ref="AB3:AC3"/>
    <mergeCell ref="AD3:AE3"/>
    <mergeCell ref="AD4:AE4"/>
    <mergeCell ref="Q3:S3"/>
    <mergeCell ref="U3:V3"/>
    <mergeCell ref="W3:X3"/>
    <mergeCell ref="Y3:Z3"/>
    <mergeCell ref="B2:X2"/>
    <mergeCell ref="S1:X1"/>
    <mergeCell ref="B3:D3"/>
    <mergeCell ref="E3:F3"/>
    <mergeCell ref="G3:I3"/>
    <mergeCell ref="J3:L3"/>
    <mergeCell ref="M3:N3"/>
    <mergeCell ref="O3:P3"/>
  </mergeCells>
  <hyperlinks>
    <hyperlink ref="B1" r:id="rId1" display="https://rvrecht.deutsche-rentenversicherung.de/SiteGlobals/Forms/Suche/DokumentSuche/dokumentSuche_Formular.html?nn=1506092&amp;pathNonRecursive=%2FLitInternet%2FSharedDocs%2FrvRecht+%2FLitInternet%2FSharedDocs%2FrvRecht_Ergaenzungen" xr:uid="{7D010E21-10C8-43C7-85B6-83EA17C9594F}"/>
    <hyperlink ref="M3:N3" r:id="rId2" display="Beitragsbem.Grenze gRV § 159 SGB VI" xr:uid="{3A085A50-3332-478C-BDFC-B2707EAABFC9}"/>
    <hyperlink ref="J3:L3" r:id="rId3" display="Ø-Entgelt ges. Renten-versicherung § 69 II SGB VI" xr:uid="{43F8CF19-BAE8-45BB-AA9F-72E4CF0D19C7}"/>
  </hyperlinks>
  <printOptions horizontalCentered="1" verticalCentered="1"/>
  <pageMargins left="0.11811023622047245" right="0.11811023622047245" top="0.19685039370078741" bottom="0.19685039370078741" header="0.31496062992125984" footer="0.31496062992125984"/>
  <pageSetup paperSize="9" scale="63" orientation="landscape" r:id="rId4"/>
  <drawing r:id="rId5"/>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14">
    <pageSetUpPr fitToPage="1"/>
  </sheetPr>
  <dimension ref="A1:AH1175"/>
  <sheetViews>
    <sheetView showGridLines="0" showRowColHeaders="0" showZeros="0" zoomScale="85" zoomScaleNormal="85" workbookViewId="0">
      <selection activeCell="B11" sqref="B11:E22"/>
    </sheetView>
  </sheetViews>
  <sheetFormatPr baseColWidth="10" defaultColWidth="0" defaultRowHeight="14.25" zeroHeight="1"/>
  <cols>
    <col min="1" max="1" width="5.125" style="25" customWidth="1"/>
    <col min="2" max="2" width="5.25" style="909" customWidth="1"/>
    <col min="3" max="3" width="30.625" style="4" customWidth="1"/>
    <col min="4" max="4" width="13.625" style="4" customWidth="1"/>
    <col min="5" max="5" width="13.125" style="4" customWidth="1"/>
    <col min="6" max="6" width="3.25" customWidth="1"/>
    <col min="7" max="7" width="11" customWidth="1"/>
    <col min="8" max="8" width="10.5" customWidth="1"/>
    <col min="9" max="9" width="11.625" customWidth="1"/>
    <col min="10" max="10" width="13" customWidth="1"/>
    <col min="11" max="11" width="12.625" customWidth="1"/>
    <col min="12" max="12" width="12.75" customWidth="1"/>
    <col min="13" max="13" width="3.125" customWidth="1"/>
    <col min="14" max="14" width="27.75" style="909" customWidth="1"/>
    <col min="15" max="15" width="13.5" customWidth="1"/>
    <col min="16" max="16" width="13.5" style="641" customWidth="1"/>
    <col min="17" max="17" width="3.125" customWidth="1"/>
    <col min="18" max="18" width="42.75" style="25" customWidth="1"/>
    <col min="19" max="20" width="12.25" style="25" customWidth="1"/>
    <col min="21" max="21" width="3.125" style="25" customWidth="1"/>
    <col min="22" max="26" width="12.625" hidden="1" customWidth="1"/>
    <col min="27" max="28" width="11.25" hidden="1" customWidth="1"/>
    <col min="29" max="29" width="15.625" hidden="1" customWidth="1"/>
    <col min="30" max="30" width="14.625" hidden="1" customWidth="1"/>
    <col min="31" max="31" width="12.625" hidden="1" customWidth="1"/>
    <col min="32" max="32" width="11" hidden="1" customWidth="1"/>
    <col min="33" max="33" width="11.25" hidden="1" customWidth="1"/>
    <col min="34" max="16384" width="11" hidden="1"/>
  </cols>
  <sheetData>
    <row r="1" spans="1:34" s="75" customFormat="1" ht="47.25" customHeight="1" thickBot="1">
      <c r="A1" s="67">
        <v>85</v>
      </c>
      <c r="B1" s="3716" t="s">
        <v>1065</v>
      </c>
      <c r="C1" s="3717"/>
      <c r="D1" s="3717"/>
      <c r="E1" s="3717"/>
      <c r="F1" s="3717"/>
      <c r="G1" s="3717"/>
      <c r="H1" s="3717"/>
      <c r="I1" s="3717"/>
      <c r="J1" s="3717"/>
      <c r="K1" s="3717"/>
      <c r="L1" s="3717"/>
      <c r="M1" s="3717"/>
      <c r="N1" s="3717"/>
      <c r="O1" s="3717"/>
      <c r="P1" s="3717"/>
      <c r="Q1" s="3717"/>
      <c r="R1" s="3717"/>
      <c r="S1" s="3717"/>
      <c r="T1" s="3717"/>
      <c r="U1" s="89"/>
      <c r="V1" s="132"/>
      <c r="W1" s="915"/>
      <c r="X1" s="132" t="s">
        <v>225</v>
      </c>
      <c r="Y1" s="915"/>
      <c r="Z1" s="915"/>
      <c r="AA1" s="915"/>
      <c r="AB1" s="915"/>
      <c r="AC1" s="915"/>
    </row>
    <row r="2" spans="1:34" s="75" customFormat="1" ht="36" customHeight="1" thickTop="1" thickBot="1">
      <c r="A2" s="3597" t="s">
        <v>1022</v>
      </c>
      <c r="B2" s="3606" t="s">
        <v>401</v>
      </c>
      <c r="C2" s="3607"/>
      <c r="D2" s="3607"/>
      <c r="E2" s="3608"/>
      <c r="F2" s="941"/>
      <c r="G2" s="3651" t="s">
        <v>642</v>
      </c>
      <c r="H2" s="3652"/>
      <c r="I2" s="3652"/>
      <c r="J2" s="3653"/>
      <c r="K2" s="3618" t="s">
        <v>223</v>
      </c>
      <c r="L2" s="3619"/>
      <c r="M2" s="914"/>
      <c r="N2" s="3634" t="s">
        <v>349</v>
      </c>
      <c r="O2" s="3635"/>
      <c r="P2" s="3636"/>
      <c r="Q2" s="1209"/>
      <c r="R2" s="3710" t="s">
        <v>1901</v>
      </c>
      <c r="S2" s="3711"/>
      <c r="T2" s="3712"/>
      <c r="U2" s="67"/>
      <c r="W2" s="883"/>
      <c r="X2" s="132" t="s">
        <v>271</v>
      </c>
      <c r="Y2" s="883"/>
      <c r="Z2" s="883"/>
      <c r="AA2" s="883"/>
      <c r="AB2" s="883"/>
      <c r="AC2" s="883"/>
      <c r="AD2" s="883"/>
      <c r="AE2" s="883"/>
      <c r="AF2" s="883"/>
      <c r="AG2" s="883"/>
      <c r="AH2" s="883"/>
    </row>
    <row r="3" spans="1:34" s="75" customFormat="1" ht="16.899999999999999" customHeight="1">
      <c r="A3" s="3598"/>
      <c r="B3" s="758" t="s">
        <v>56</v>
      </c>
      <c r="C3" s="3604" t="s">
        <v>129</v>
      </c>
      <c r="D3" s="3605"/>
      <c r="E3" s="1927">
        <v>2.5999999999999999E-2</v>
      </c>
      <c r="F3" s="598"/>
      <c r="G3" s="3641" t="s">
        <v>398</v>
      </c>
      <c r="H3" s="3642"/>
      <c r="I3" s="3642"/>
      <c r="J3" s="3643"/>
      <c r="K3" s="434" t="s">
        <v>1191</v>
      </c>
      <c r="L3" s="610" t="s">
        <v>1193</v>
      </c>
      <c r="M3" s="3644"/>
      <c r="N3" s="3615" t="s">
        <v>992</v>
      </c>
      <c r="O3" s="3616"/>
      <c r="P3" s="3617"/>
      <c r="Q3" s="1209"/>
      <c r="R3" s="1973" t="s">
        <v>1908</v>
      </c>
      <c r="S3" s="1110" t="str">
        <f>IFERROR(IF(S5&gt;0,"",IF(Dat_GebDat_M&gt;0,TEXT(Dat_GebDat_M,"TT.MM.JJJ")&amp;männlich,"")),"")</f>
        <v/>
      </c>
      <c r="T3" s="1974" t="str">
        <f>IFERROR(IF(T5&gt;0,"",IF(Dat_GebDat_F&gt;0,TEXT(Dat_GebDat_F,"TT.MM.JJJ")&amp;weiblich,"")),"")</f>
        <v/>
      </c>
      <c r="U3" s="67"/>
      <c r="V3" s="16">
        <f>IF(S4="m",1,IF(S4="w",2,3))</f>
        <v>2</v>
      </c>
      <c r="W3" s="16">
        <f>IF(T4="m",1,IF(T4="w",2,3))</f>
        <v>2</v>
      </c>
      <c r="X3" s="132" t="s">
        <v>393</v>
      </c>
      <c r="Y3" s="883"/>
      <c r="Z3" s="883"/>
      <c r="AA3" s="883"/>
      <c r="AB3" s="883"/>
      <c r="AC3" s="883"/>
      <c r="AD3" s="883"/>
      <c r="AE3" s="883"/>
      <c r="AF3" s="883"/>
      <c r="AG3" s="883"/>
      <c r="AH3" s="883"/>
    </row>
    <row r="4" spans="1:34" s="75" customFormat="1" ht="16.899999999999999" customHeight="1">
      <c r="A4" s="3598"/>
      <c r="B4" s="919" t="s">
        <v>124</v>
      </c>
      <c r="C4" s="3604" t="s">
        <v>194</v>
      </c>
      <c r="D4" s="3605"/>
      <c r="E4" s="1928">
        <v>7.2999999999999995E-2</v>
      </c>
      <c r="F4" s="67"/>
      <c r="G4" s="3620" t="s">
        <v>644</v>
      </c>
      <c r="H4" s="3621"/>
      <c r="I4" s="3621"/>
      <c r="J4" s="593" t="s">
        <v>400</v>
      </c>
      <c r="K4" s="435">
        <v>8401</v>
      </c>
      <c r="L4" s="659">
        <v>3.5000000000000003E-2</v>
      </c>
      <c r="M4" s="3645"/>
      <c r="N4" s="378"/>
      <c r="O4" s="169" t="s">
        <v>22</v>
      </c>
      <c r="P4" s="327" t="s">
        <v>23</v>
      </c>
      <c r="Q4" s="67"/>
      <c r="R4" s="1975" t="s">
        <v>1798</v>
      </c>
      <c r="S4" s="1959" t="s">
        <v>271</v>
      </c>
      <c r="T4" s="1976" t="s">
        <v>271</v>
      </c>
      <c r="U4" s="67"/>
      <c r="W4" s="75" t="s">
        <v>196</v>
      </c>
      <c r="AD4" s="75" t="s">
        <v>125</v>
      </c>
      <c r="AE4" s="16" t="b">
        <v>1</v>
      </c>
    </row>
    <row r="5" spans="1:34" s="75" customFormat="1" ht="16.899999999999999" customHeight="1">
      <c r="A5" s="3598"/>
      <c r="B5" s="919" t="s">
        <v>134</v>
      </c>
      <c r="C5" s="3604" t="s">
        <v>136</v>
      </c>
      <c r="D5" s="3605"/>
      <c r="E5" s="1929">
        <f>+'Einzel-Bewertung'!J11</f>
        <v>1</v>
      </c>
      <c r="F5" s="67"/>
      <c r="G5" s="931" t="s">
        <v>641</v>
      </c>
      <c r="H5" s="910"/>
      <c r="I5" s="901" t="s">
        <v>976</v>
      </c>
      <c r="J5" s="593" t="s">
        <v>399</v>
      </c>
      <c r="K5" s="435">
        <v>15341</v>
      </c>
      <c r="L5" s="659">
        <v>0.04</v>
      </c>
      <c r="M5" s="3645"/>
      <c r="N5" s="324" t="s">
        <v>925</v>
      </c>
      <c r="O5" s="920"/>
      <c r="P5" s="885"/>
      <c r="Q5" s="67"/>
      <c r="R5" s="1973" t="s">
        <v>1765</v>
      </c>
      <c r="S5" s="920">
        <v>27119</v>
      </c>
      <c r="T5" s="1977">
        <f>+S5</f>
        <v>27119</v>
      </c>
      <c r="U5" s="67"/>
      <c r="W5" s="1556" t="s">
        <v>1670</v>
      </c>
      <c r="X5" s="1556">
        <v>33238</v>
      </c>
      <c r="Z5" s="1567" t="e">
        <f>ROUND(IF(O5&gt;X5,VLOOKUP(O5,VPI,3),VLOOKUP(O5,VPI,2)),2)</f>
        <v>#N/A</v>
      </c>
      <c r="AA5" s="1556"/>
    </row>
    <row r="6" spans="1:34" s="75" customFormat="1" ht="16.899999999999999" customHeight="1">
      <c r="A6" s="3598"/>
      <c r="B6" s="919" t="s">
        <v>70</v>
      </c>
      <c r="C6" s="3604" t="s">
        <v>135</v>
      </c>
      <c r="D6" s="3605"/>
      <c r="E6" s="1930">
        <f>+'Einzel-Bewertung'!J12</f>
        <v>0.6</v>
      </c>
      <c r="F6" s="67"/>
      <c r="G6" s="931" t="s">
        <v>977</v>
      </c>
      <c r="H6" s="899"/>
      <c r="I6" s="900" t="s">
        <v>979</v>
      </c>
      <c r="J6" s="902" t="s">
        <v>978</v>
      </c>
      <c r="K6" s="435">
        <v>31593</v>
      </c>
      <c r="L6" s="659">
        <v>0.03</v>
      </c>
      <c r="M6" s="3645"/>
      <c r="N6" s="324" t="s">
        <v>924</v>
      </c>
      <c r="O6" s="3649"/>
      <c r="P6" s="3650"/>
      <c r="Q6" s="67"/>
      <c r="R6" s="1973" t="s">
        <v>1899</v>
      </c>
      <c r="S6" s="920">
        <f ca="1">TODAY()</f>
        <v>45414</v>
      </c>
      <c r="T6" s="1977">
        <f ca="1">+S6</f>
        <v>45414</v>
      </c>
      <c r="U6" s="67"/>
      <c r="W6" s="1556"/>
      <c r="X6" s="1557" t="e">
        <f>ROUND(VLOOKUP(P5,VPI,3),2)</f>
        <v>#N/A</v>
      </c>
      <c r="Y6" s="1556"/>
      <c r="Z6" s="1567" t="e">
        <f>ROUND(IF(O5&gt;X5,VLOOKUP(P5,VPI,3),VLOOKUP(P5,VPI,2)),2)</f>
        <v>#N/A</v>
      </c>
      <c r="AA6" s="1556"/>
      <c r="AD6" s="75" t="s">
        <v>178</v>
      </c>
      <c r="AE6" s="884" t="b">
        <v>1</v>
      </c>
    </row>
    <row r="7" spans="1:34" s="75" customFormat="1" ht="16.899999999999999" customHeight="1">
      <c r="A7" s="3598"/>
      <c r="B7" s="919" t="s">
        <v>201</v>
      </c>
      <c r="C7" s="3604" t="s">
        <v>269</v>
      </c>
      <c r="D7" s="3605"/>
      <c r="E7" s="1927">
        <v>0.01</v>
      </c>
      <c r="F7" s="67"/>
      <c r="G7" s="3683" t="s">
        <v>643</v>
      </c>
      <c r="H7" s="3684"/>
      <c r="I7" s="3684"/>
      <c r="J7" s="3685"/>
      <c r="K7" s="435">
        <v>34515</v>
      </c>
      <c r="L7" s="659">
        <v>3.5000000000000003E-2</v>
      </c>
      <c r="M7" s="3645"/>
      <c r="N7" s="1057" t="str">
        <f>IF(P5&gt;Enddatum,"VPI fehlt, letzter VPI","VPI")</f>
        <v>VPI</v>
      </c>
      <c r="O7" s="1210" t="str">
        <f>IFERROR(+Z5,"")</f>
        <v/>
      </c>
      <c r="P7" s="1211" t="str">
        <f>IFERROR(+Z6,"")</f>
        <v/>
      </c>
      <c r="Q7" s="67"/>
      <c r="R7" s="1973" t="s">
        <v>1907</v>
      </c>
      <c r="S7" s="1856">
        <v>500</v>
      </c>
      <c r="T7" s="1978">
        <f>+S7</f>
        <v>500</v>
      </c>
      <c r="U7" s="67"/>
      <c r="W7" s="75" t="s">
        <v>1914</v>
      </c>
      <c r="X7" s="644">
        <f>VLOOKUP(YEAR(S5),Regelaltersgrenze,3)</f>
        <v>67</v>
      </c>
      <c r="Y7" s="644">
        <f ca="1">IF(DuD_RAltersgr1&lt;S11,0,DuD_RAltersgr1-S11)</f>
        <v>16.911111111111111</v>
      </c>
    </row>
    <row r="8" spans="1:34" s="75" customFormat="1" ht="16.899999999999999" customHeight="1">
      <c r="A8" s="3598"/>
      <c r="B8" s="919" t="s">
        <v>202</v>
      </c>
      <c r="C8" s="3604" t="s">
        <v>270</v>
      </c>
      <c r="D8" s="3605"/>
      <c r="E8" s="1931">
        <v>0.01</v>
      </c>
      <c r="F8" s="67"/>
      <c r="G8" s="3662" t="s">
        <v>650</v>
      </c>
      <c r="H8" s="3663"/>
      <c r="I8" s="3663"/>
      <c r="J8" s="3664"/>
      <c r="K8" s="435">
        <v>36707</v>
      </c>
      <c r="L8" s="659">
        <v>0.04</v>
      </c>
      <c r="M8" s="3645"/>
      <c r="N8" s="324" t="s">
        <v>921</v>
      </c>
      <c r="O8" s="3686" t="str">
        <f>IFERROR(+O6*P7/O7,"")</f>
        <v/>
      </c>
      <c r="P8" s="3687"/>
      <c r="Q8" s="67"/>
      <c r="R8" s="1973" t="str">
        <f>"Renteneintrittsalter (DRV: "&amp;TEXT(DuD_RAltersgr1,"0,00")&amp;" bzw. "&amp;TEXT(DuD_RAltersgr2,"0,00")&amp;" Jahre:"</f>
        <v>Renteneintrittsalter (DRV: 67,00 bzw. 67,00 Jahre:</v>
      </c>
      <c r="S8" s="913">
        <v>65</v>
      </c>
      <c r="T8" s="1979">
        <v>67</v>
      </c>
      <c r="U8" s="67"/>
      <c r="W8" s="75" t="s">
        <v>1915</v>
      </c>
      <c r="X8" s="644">
        <f>VLOOKUP(YEAR(T5),Regelaltersgrenze,3)</f>
        <v>67</v>
      </c>
      <c r="Y8" s="75">
        <f ca="1">IF(DuD_RAltersgr2&lt;T11,0,DuD_RAltersgr2-T11)</f>
        <v>16.911111111111111</v>
      </c>
    </row>
    <row r="9" spans="1:34" s="75" customFormat="1" ht="16.899999999999999" customHeight="1" thickBot="1">
      <c r="A9" s="3598"/>
      <c r="B9" s="759" t="s">
        <v>203</v>
      </c>
      <c r="C9" s="3604" t="s">
        <v>1398</v>
      </c>
      <c r="D9" s="3605"/>
      <c r="E9" s="1932">
        <v>5.0000000000000001E-3</v>
      </c>
      <c r="F9" s="67"/>
      <c r="G9" s="3654" t="s">
        <v>647</v>
      </c>
      <c r="H9" s="3655"/>
      <c r="I9" s="3655"/>
      <c r="J9" s="3656"/>
      <c r="K9" s="435">
        <v>37986</v>
      </c>
      <c r="L9" s="659">
        <v>3.2500000000000001E-2</v>
      </c>
      <c r="M9" s="3645"/>
      <c r="N9" s="324" t="s">
        <v>923</v>
      </c>
      <c r="O9" s="3637" t="str">
        <f>IFERROR(+P7/O7-1,"")</f>
        <v/>
      </c>
      <c r="P9" s="3638"/>
      <c r="Q9" s="67"/>
      <c r="R9" s="1973" t="s">
        <v>1909</v>
      </c>
      <c r="S9" s="449"/>
      <c r="T9" s="1980">
        <v>2.5999999999999999E-2</v>
      </c>
      <c r="U9" s="67"/>
      <c r="Y9" s="16">
        <v>3</v>
      </c>
    </row>
    <row r="10" spans="1:34" s="75" customFormat="1" ht="16.899999999999999" customHeight="1" thickBot="1">
      <c r="A10" s="3599"/>
      <c r="B10" s="1933"/>
      <c r="C10" s="1934"/>
      <c r="D10" s="1934"/>
      <c r="E10" s="1935"/>
      <c r="F10" s="598"/>
      <c r="G10" s="3683" t="s">
        <v>649</v>
      </c>
      <c r="H10" s="3684"/>
      <c r="I10" s="3684"/>
      <c r="J10" s="3685"/>
      <c r="K10" s="435">
        <v>39082</v>
      </c>
      <c r="L10" s="659">
        <v>2.75E-2</v>
      </c>
      <c r="M10" s="3645"/>
      <c r="N10" s="907" t="s">
        <v>881</v>
      </c>
      <c r="O10" s="3639" t="str">
        <f>IFERROR(_xlfn.RRI(YEARFRAC(O5,P5,0),O6,O8),"")</f>
        <v/>
      </c>
      <c r="P10" s="3640"/>
      <c r="Q10" s="67"/>
      <c r="R10" s="1973" t="s">
        <v>1900</v>
      </c>
      <c r="S10" s="449">
        <v>0.01</v>
      </c>
      <c r="T10" s="1980">
        <v>2.5999999999999999E-2</v>
      </c>
      <c r="U10" s="67"/>
      <c r="W10" s="562" t="s">
        <v>198</v>
      </c>
      <c r="X10" s="1447">
        <f ca="1">VLOOKUP(S6,BilmoGZins,17)/100</f>
        <v>1.83E-2</v>
      </c>
      <c r="Y10" s="562"/>
    </row>
    <row r="11" spans="1:34" s="75" customFormat="1" ht="16.899999999999999" customHeight="1" thickTop="1">
      <c r="A11" s="3602" t="s">
        <v>126</v>
      </c>
      <c r="B11" s="3628" t="s">
        <v>975</v>
      </c>
      <c r="C11" s="3629"/>
      <c r="D11" s="3629"/>
      <c r="E11" s="3630"/>
      <c r="F11" s="598"/>
      <c r="G11" s="3683" t="s">
        <v>645</v>
      </c>
      <c r="H11" s="3684"/>
      <c r="I11" s="3684"/>
      <c r="J11" s="3685"/>
      <c r="K11" s="435">
        <v>40908</v>
      </c>
      <c r="L11" s="659">
        <v>2.2499999999999999E-2</v>
      </c>
      <c r="M11" s="3645"/>
      <c r="N11" s="3680" t="s">
        <v>993</v>
      </c>
      <c r="O11" s="3681"/>
      <c r="P11" s="3682"/>
      <c r="Q11" s="67"/>
      <c r="R11" s="1973" t="s">
        <v>1896</v>
      </c>
      <c r="S11" s="233">
        <f ca="1">YEARFRAC(S5,S6,0)</f>
        <v>50.088888888888889</v>
      </c>
      <c r="T11" s="1981">
        <f ca="1">YEARFRAC(T5,T6,0)</f>
        <v>50.088888888888889</v>
      </c>
      <c r="U11" s="67"/>
      <c r="W11" s="1018" t="s">
        <v>199</v>
      </c>
      <c r="X11" s="1447">
        <f ca="1">VLOOKUP(S6,BilMoG10,17)/100</f>
        <v>1.8500000000000003E-2</v>
      </c>
      <c r="Y11" s="562"/>
    </row>
    <row r="12" spans="1:34" s="75" customFormat="1" ht="16.899999999999999" customHeight="1">
      <c r="A12" s="3602"/>
      <c r="B12" s="3631"/>
      <c r="C12" s="3632"/>
      <c r="D12" s="3632"/>
      <c r="E12" s="3633"/>
      <c r="F12" s="598"/>
      <c r="G12" s="3683" t="s">
        <v>646</v>
      </c>
      <c r="H12" s="3684"/>
      <c r="I12" s="3684"/>
      <c r="J12" s="3685"/>
      <c r="K12" s="435">
        <v>42004</v>
      </c>
      <c r="L12" s="659">
        <v>1.7500000000000002E-2</v>
      </c>
      <c r="M12" s="3645"/>
      <c r="N12" s="1058" t="s">
        <v>350</v>
      </c>
      <c r="O12" s="1204" t="str">
        <f>IFERROR(VLOOKUP(O5,AktuellerRentenwert,IF(Ost,3,2)),"")</f>
        <v/>
      </c>
      <c r="P12" s="236" t="str">
        <f>IFERROR(VLOOKUP(P5,AktuellerRentenwert,IF(Ost,3,2)),"")</f>
        <v/>
      </c>
      <c r="Q12" s="67"/>
      <c r="R12" s="1973" t="s">
        <v>1895</v>
      </c>
      <c r="S12" s="233">
        <f ca="1">IF(S11&lt;S8,S8-S11,0)</f>
        <v>14.911111111111111</v>
      </c>
      <c r="T12" s="1981">
        <f ca="1">IF(T11&lt;T8,T8-T11,0)</f>
        <v>16.911111111111111</v>
      </c>
      <c r="U12" s="67"/>
      <c r="W12" s="1018" t="s">
        <v>1916</v>
      </c>
      <c r="X12" s="562"/>
      <c r="Y12" s="562"/>
    </row>
    <row r="13" spans="1:34" s="75" customFormat="1" ht="16.899999999999999" customHeight="1">
      <c r="A13" s="3602"/>
      <c r="B13" s="3600" t="str">
        <f>"Ehezeitende: "</f>
        <v xml:space="preserve">Ehezeitende: </v>
      </c>
      <c r="C13" s="3601"/>
      <c r="D13" s="1838">
        <v>45382</v>
      </c>
      <c r="E13" s="1918" t="str">
        <f>IFERROR("aktRW: "&amp;TEXT(X15,"0,00 €"),"")</f>
        <v>aktRW: 37,60 €</v>
      </c>
      <c r="F13" s="598"/>
      <c r="G13" s="3692" t="s">
        <v>698</v>
      </c>
      <c r="H13" s="3693"/>
      <c r="I13" s="3693"/>
      <c r="J13" s="3694"/>
      <c r="K13" s="435">
        <v>42735</v>
      </c>
      <c r="L13" s="659">
        <v>1.2500000000000001E-2</v>
      </c>
      <c r="M13" s="3645"/>
      <c r="N13" s="324" t="s">
        <v>922</v>
      </c>
      <c r="O13" s="3537" t="str">
        <f>IFERROR(O6*P12/O12,"")</f>
        <v/>
      </c>
      <c r="P13" s="3688"/>
      <c r="Q13" s="67"/>
      <c r="R13" s="1973" t="s">
        <v>264</v>
      </c>
      <c r="S13" s="233">
        <f ca="1">IFERROR(ROUND(VLOOKUP(IF(S8&lt;S11,S11,S8),CHOOSE(V3,Lebenserwartung_M_V2,Lebenserwartung_F_V2,Lebenserwartung_N_V2),YEAR(S5)+IF(MONTH(S5)&gt;6,1,0)-1900+2),2),"")</f>
        <v>25.27</v>
      </c>
      <c r="T13" s="1981">
        <f ca="1">IFERROR(ROUND(VLOOKUP(IF(T8&lt;T11,T11,T8),CHOOSE(W3,Lebenserwartung_M_V2,Lebenserwartung_F_V2,Lebenserwartung_N_V2),YEAR(T5)+IF(MONTH(T5)&gt;6,1,0)-1900+2),2),"")</f>
        <v>23.53</v>
      </c>
      <c r="U13" s="67"/>
      <c r="W13" s="1018" t="s">
        <v>626</v>
      </c>
      <c r="X13" s="1447">
        <f>CHOOSE(Y9,X10,X11,S17)</f>
        <v>0</v>
      </c>
      <c r="Y13" s="1447">
        <f>CHOOSE(Y9,X10,X11,T17)</f>
        <v>0</v>
      </c>
    </row>
    <row r="14" spans="1:34" s="75" customFormat="1" ht="16.899999999999999" customHeight="1" thickBot="1">
      <c r="A14" s="3602"/>
      <c r="B14" s="3600" t="s">
        <v>1765</v>
      </c>
      <c r="C14" s="3601"/>
      <c r="D14" s="1822">
        <v>27119</v>
      </c>
      <c r="E14" s="1919"/>
      <c r="F14" s="911"/>
      <c r="G14" s="3692" t="s">
        <v>1018</v>
      </c>
      <c r="H14" s="3693"/>
      <c r="I14" s="3693"/>
      <c r="J14" s="3694"/>
      <c r="K14" s="436">
        <v>44561</v>
      </c>
      <c r="L14" s="659">
        <v>8.9999999999999993E-3</v>
      </c>
      <c r="M14" s="3645"/>
      <c r="N14" s="1059" t="str">
        <f>+N9</f>
        <v>Steigerung in %</v>
      </c>
      <c r="O14" s="3637" t="str">
        <f>IFERROR(+(O13/O6)-1,"")</f>
        <v/>
      </c>
      <c r="P14" s="3638"/>
      <c r="Q14" s="67"/>
      <c r="R14" s="1982" t="s">
        <v>1897</v>
      </c>
      <c r="S14" s="240">
        <f ca="1">S7*(1+S9)^S12</f>
        <v>500</v>
      </c>
      <c r="T14" s="1983">
        <f ca="1">T7*(1+T9)^T12</f>
        <v>771.76354608864392</v>
      </c>
      <c r="U14" s="67"/>
      <c r="W14" s="75" t="str">
        <f>+B11</f>
        <v>Umrechnungen Kapital, Rente &amp; Entgeltpunkte</v>
      </c>
    </row>
    <row r="15" spans="1:34" s="75" customFormat="1" ht="16.899999999999999" customHeight="1" thickTop="1" thickBot="1">
      <c r="A15" s="3602"/>
      <c r="B15" s="3623" t="s">
        <v>1023</v>
      </c>
      <c r="C15" s="3624"/>
      <c r="D15" s="3624"/>
      <c r="E15" s="3625"/>
      <c r="F15" s="20"/>
      <c r="G15" s="1495" t="s">
        <v>1343</v>
      </c>
      <c r="H15" s="3691" t="s">
        <v>1632</v>
      </c>
      <c r="I15" s="3691"/>
      <c r="J15" s="25"/>
      <c r="K15" s="436" t="s">
        <v>1192</v>
      </c>
      <c r="L15" s="577">
        <v>2.5000000000000001E-3</v>
      </c>
      <c r="M15" s="3645"/>
      <c r="N15" s="1060" t="str">
        <f>N10</f>
        <v>Ø % pro Jahr</v>
      </c>
      <c r="O15" s="3689" t="str">
        <f>IFERROR(_xlfn.RRI(YEARFRAC(O5,P5,0),O12,P12),"")</f>
        <v/>
      </c>
      <c r="P15" s="3690"/>
      <c r="Q15" s="67"/>
      <c r="R15" s="1987" t="s">
        <v>1898</v>
      </c>
      <c r="S15" s="1988">
        <f ca="1">IFERROR(IF(S10=0,S14*12*S13,(((1+S10)^S13-1)/S10)*S14*12),"")</f>
        <v>171529.1972543929</v>
      </c>
      <c r="T15" s="1989">
        <f ca="1">IFERROR(IF(T10=0,T14*12*T13,(((1+T10)^T13-1)/T10)*T14*12),"")</f>
        <v>295414.16724152153</v>
      </c>
      <c r="U15" s="67"/>
      <c r="W15" s="75" t="s">
        <v>940</v>
      </c>
      <c r="X15" s="67">
        <f>VLOOKUP(EzE_P,aktRW,IF(Dies_und_Das_Ost,3,2))</f>
        <v>37.6</v>
      </c>
      <c r="Z15" s="75" t="s">
        <v>1761</v>
      </c>
    </row>
    <row r="16" spans="1:34" s="75" customFormat="1" ht="16.899999999999999" customHeight="1">
      <c r="A16" s="3602"/>
      <c r="B16" s="3600" t="str">
        <f>"Kapital i.H.v.  in EP zum EzE"</f>
        <v>Kapital i.H.v.  in EP zum EzE</v>
      </c>
      <c r="C16" s="3601"/>
      <c r="D16" s="1819" t="s">
        <v>814</v>
      </c>
      <c r="E16" s="1920" t="s">
        <v>61</v>
      </c>
      <c r="F16" s="20"/>
      <c r="G16" s="3695" t="s">
        <v>1452</v>
      </c>
      <c r="H16" s="3696"/>
      <c r="I16" s="3696"/>
      <c r="J16" s="3697"/>
      <c r="K16" s="436"/>
      <c r="L16" s="659"/>
      <c r="M16" s="3645"/>
      <c r="N16" s="3665" t="s">
        <v>981</v>
      </c>
      <c r="O16" s="3666"/>
      <c r="P16" s="3667"/>
      <c r="Q16" s="67"/>
      <c r="R16" s="1993" t="s">
        <v>1904</v>
      </c>
      <c r="S16" s="1985">
        <f ca="1">IFERROR(+S15/S13/12,"")</f>
        <v>565.65491773642304</v>
      </c>
      <c r="T16" s="1986">
        <f ca="1">IFERROR(+T15/T13/12,"")</f>
        <v>1046.2323531715595</v>
      </c>
      <c r="U16" s="67"/>
      <c r="W16" s="75" t="s">
        <v>941</v>
      </c>
      <c r="X16" s="67">
        <f>VLOOKUP(EzE_P,Umrechnungsfaktoren_BeitraginEP,IF(Dies_und_Das_Ost,3,2))</f>
        <v>1.1853133043832412E-4</v>
      </c>
      <c r="Z16" s="75" t="s">
        <v>1762</v>
      </c>
    </row>
    <row r="17" spans="1:30" s="75" customFormat="1" ht="16.899999999999999" customHeight="1" thickBot="1">
      <c r="A17" s="3602"/>
      <c r="B17" s="3600"/>
      <c r="C17" s="3601"/>
      <c r="D17" s="1820">
        <v>10000</v>
      </c>
      <c r="E17" s="1921">
        <f>IFERROR(IF(Kapital_P&gt;0,Kapital_P,IF(Rente_P&gt;0,Rente_P/X15*X16,IF(D21&gt;0,D21*X16,""))),0)</f>
        <v>10000</v>
      </c>
      <c r="F17" s="20"/>
      <c r="G17" s="3646" t="s">
        <v>648</v>
      </c>
      <c r="H17" s="3647"/>
      <c r="I17" s="3647"/>
      <c r="J17" s="3648"/>
      <c r="K17" s="592"/>
      <c r="L17" s="660"/>
      <c r="M17" s="3645"/>
      <c r="N17" s="3668"/>
      <c r="O17" s="3669"/>
      <c r="P17" s="3670"/>
      <c r="Q17" s="67"/>
      <c r="R17" s="1994" t="str">
        <f>"ReZins f. BW-Berechnung: "&amp;TEXT(X13,"0,00%")</f>
        <v>ReZins f. BW-Berechnung: 0,00%</v>
      </c>
      <c r="S17" s="449"/>
      <c r="T17" s="1980"/>
      <c r="U17" s="67"/>
      <c r="W17" s="75" t="s">
        <v>1340</v>
      </c>
      <c r="X17" s="16" t="b">
        <v>0</v>
      </c>
      <c r="Z17" s="75" t="s">
        <v>236</v>
      </c>
    </row>
    <row r="18" spans="1:30" s="75" customFormat="1" ht="16.899999999999999" customHeight="1" thickBot="1">
      <c r="A18" s="3602"/>
      <c r="B18" s="3600" t="str">
        <f>"Rente i.H.v. "&amp;TEXT(IF(D19=0,"…",D19),"###.##0 €")&amp;" in EP zum Ehezeitende "</f>
        <v xml:space="preserve">Rente i.H.v. … in EP zum Ehezeitende </v>
      </c>
      <c r="C18" s="3601"/>
      <c r="D18" s="1819" t="s">
        <v>815</v>
      </c>
      <c r="E18" s="1920" t="s">
        <v>21</v>
      </c>
      <c r="F18" s="20"/>
      <c r="G18" s="67"/>
      <c r="H18" s="912"/>
      <c r="I18" s="912"/>
      <c r="J18" s="596"/>
      <c r="K18" s="596"/>
      <c r="L18" s="597"/>
      <c r="M18" s="904"/>
      <c r="N18" s="3671" t="s">
        <v>1529</v>
      </c>
      <c r="O18" s="3672"/>
      <c r="P18" s="906" t="s">
        <v>989</v>
      </c>
      <c r="Q18" s="67"/>
      <c r="R18" s="1995" t="s">
        <v>1905</v>
      </c>
      <c r="S18" s="1960">
        <f ca="1">IFERROR(IF(DuD_VVR1,IF(S11&gt;S8,1,ROUND(VLOOKUP(S8,CHOOSE(V3,G_Kohorte_M,G_Kohorte_F,G_Kohorte_N),YEAR(S5)+IF(MONTH(S5)&gt;6,1,0)-1900+2)/VLOOKUP(S11,CHOOSE(V3,G_Kohorte_M,G_Kohorte_F,G_Kohorte_N),YEAR(S5)+IF(MONTH(S5)&gt;6,1,0)-1900+2),4)),1),"")</f>
        <v>0.95609999999999995</v>
      </c>
      <c r="T18" s="1984">
        <f ca="1">IFERROR(IF(DuD_VVR1,IF(T11&gt;T8,1,ROUND(VLOOKUP(T8,CHOOSE(W3,G_Kohorte_M,G_Kohorte_F,G_Kohorte_N),YEAR(T5)+IF(MONTH(T5)&gt;6,1,0)-1900+2)/VLOOKUP(T11,CHOOSE(W3,G_Kohorte_M,G_Kohorte_F,G_Kohorte_N),YEAR(T5)+IF(MONTH(T5)&gt;6,1,0)-1900+2),4)),1),"")</f>
        <v>0.9466</v>
      </c>
      <c r="U18" s="67"/>
      <c r="W18" s="75" t="s">
        <v>1906</v>
      </c>
      <c r="X18" s="16" t="b">
        <v>1</v>
      </c>
      <c r="Z18" s="75" t="s">
        <v>277</v>
      </c>
    </row>
    <row r="19" spans="1:30" s="75" customFormat="1" ht="16.899999999999999" customHeight="1" thickBot="1">
      <c r="A19" s="3602"/>
      <c r="B19" s="3600"/>
      <c r="C19" s="3601"/>
      <c r="D19" s="1820"/>
      <c r="E19" s="1922">
        <f>IFERROR(IF(D19&gt;0,D19,IF(D21&gt;0,D21*X15,IF(Kapital_P&gt;0,Kapital_P*X16*X15,""))),0)</f>
        <v>44.567780244809867</v>
      </c>
      <c r="F19" s="20"/>
      <c r="G19" s="3634" t="s">
        <v>272</v>
      </c>
      <c r="H19" s="3635"/>
      <c r="I19" s="3635"/>
      <c r="J19" s="3635"/>
      <c r="K19" s="3635"/>
      <c r="L19" s="3636"/>
      <c r="M19" s="67"/>
      <c r="N19" s="907" t="s">
        <v>603</v>
      </c>
      <c r="O19" s="584"/>
      <c r="P19" s="908" t="str">
        <f>IF(O19="","",DATE(YEAR(O19)+65,MONTH(O19)+1+VLOOKUP(YEAR(O19),Regelaltersgrenze,2),1))</f>
        <v/>
      </c>
      <c r="Q19" s="67"/>
      <c r="R19" s="1992" t="str">
        <f>"BW der  Altersrente berechnet mit "&amp;TEXT(X13,"0,00%")&amp;" bzw. "&amp;TEXT(Y13,"0,00%")</f>
        <v>BW der  Altersrente berechnet mit 0,00% bzw. 0,00%</v>
      </c>
      <c r="S19" s="1990">
        <f ca="1">IFERROR(ROUND(-PV(X13,S12,,-PV(X13-S10,S13,S14*12))*S18,0),"")</f>
        <v>165866</v>
      </c>
      <c r="T19" s="1991">
        <f ca="1">IFERROR(ROUND(-PV(Y13,T12,,-PV(Y13-T10,T13,T14*12))*T18,0),"")</f>
        <v>289532</v>
      </c>
      <c r="U19" s="67"/>
      <c r="AB19" s="562" t="s">
        <v>1763</v>
      </c>
      <c r="AC19" s="562"/>
      <c r="AD19" s="69" t="s">
        <v>126</v>
      </c>
    </row>
    <row r="20" spans="1:30" s="75" customFormat="1" ht="16.899999999999999" customHeight="1">
      <c r="A20" s="3602"/>
      <c r="B20" s="3613" t="str">
        <f>TEXT(E21,"0,0000")&amp;" Entgeltpunkte zum Ehezeitende am "&amp;TEXT(EzE_P,"TT.MM.JJJJ")&amp;Zeichen!B9&amp;IF(Rente_P&gt;0,TEXT(Rente_P,"#.##0,00 €")&amp;" Rente",IF(Kapital_P&gt;0,TEXT(Kapital_P,"#.##0,00€")&amp;" Kapital",""))</f>
        <v>1,1853 Entgeltpunkte zum Ehezeitende am 31.03.2024≙10.000,00€ Kapital</v>
      </c>
      <c r="C20" s="3614"/>
      <c r="D20" s="1819" t="s">
        <v>939</v>
      </c>
      <c r="E20" s="1920" t="s">
        <v>939</v>
      </c>
      <c r="F20" s="20"/>
      <c r="G20" s="3659"/>
      <c r="H20" s="3660"/>
      <c r="I20" s="3660"/>
      <c r="J20" s="3660"/>
      <c r="K20" s="3660"/>
      <c r="L20" s="3661"/>
      <c r="M20" s="67"/>
      <c r="N20" s="3673" t="s">
        <v>990</v>
      </c>
      <c r="O20" s="3674"/>
      <c r="P20" s="3675"/>
      <c r="Q20" s="67"/>
      <c r="R20" s="3713" t="s">
        <v>1902</v>
      </c>
      <c r="S20" s="3714"/>
      <c r="T20" s="3715"/>
      <c r="U20" s="67"/>
      <c r="AB20" s="562" t="s">
        <v>263</v>
      </c>
      <c r="AC20" s="562" t="s">
        <v>225</v>
      </c>
      <c r="AD20" s="382" t="b">
        <v>1</v>
      </c>
    </row>
    <row r="21" spans="1:30" s="75" customFormat="1" ht="16.899999999999999" customHeight="1">
      <c r="A21" s="3602"/>
      <c r="B21" s="3613"/>
      <c r="C21" s="3614"/>
      <c r="D21" s="1821"/>
      <c r="E21" s="1923">
        <f>IFERROR(IF(Kapital2_p&gt;0,Kapital2_p,IF(Rente_P&gt;0,Rente_P/X15,IF(Kapital_P&gt;0,Kapital_P*X16,""))),0)</f>
        <v>1.1853133043832411</v>
      </c>
      <c r="F21" s="20"/>
      <c r="G21" s="3584" t="s">
        <v>273</v>
      </c>
      <c r="H21" s="3585"/>
      <c r="I21" s="3585"/>
      <c r="J21" s="3585"/>
      <c r="K21" s="16"/>
      <c r="L21" s="1376" t="str">
        <f>IF(K22="m",Dat_GebDat_M,Dat_GebDat_F)</f>
        <v/>
      </c>
      <c r="M21" s="67"/>
      <c r="N21" s="3673"/>
      <c r="O21" s="3674"/>
      <c r="P21" s="3675"/>
      <c r="Q21" s="67"/>
      <c r="R21" s="3704" t="s">
        <v>1950</v>
      </c>
      <c r="S21" s="3705"/>
      <c r="T21" s="3706"/>
      <c r="U21" s="67"/>
      <c r="W21" s="75" t="s">
        <v>1177</v>
      </c>
      <c r="X21" s="75" t="s">
        <v>1178</v>
      </c>
      <c r="AB21" s="562"/>
      <c r="AC21" s="562" t="s">
        <v>271</v>
      </c>
      <c r="AD21" s="69"/>
    </row>
    <row r="22" spans="1:30" s="75" customFormat="1" ht="16.899999999999999" customHeight="1">
      <c r="A22" s="3602"/>
      <c r="B22" s="3626" t="str">
        <f>IFERROR("mit "&amp;TEXT(RententrendDRV,"#0,0%")&amp;" dynam. Rente i.H.v. "&amp;TEXT(E19,"0,00 €")&amp;" am: ","")</f>
        <v xml:space="preserve">mit 2,6% dynam. Rente i.H.v. 44,57 € am: </v>
      </c>
      <c r="C22" s="3627"/>
      <c r="D22" s="1822">
        <v>51592</v>
      </c>
      <c r="E22" s="1972">
        <f>IF(D22="","",IFERROR(-FV(RententrendDRV,YEARFRAC(EzE_P,D22,4),,E19),""))</f>
        <v>68.953624914356396</v>
      </c>
      <c r="F22" s="20"/>
      <c r="G22" s="3584" t="s">
        <v>274</v>
      </c>
      <c r="H22" s="3585"/>
      <c r="I22" s="3585"/>
      <c r="J22" s="3585"/>
      <c r="K22" s="1595" t="s">
        <v>271</v>
      </c>
      <c r="L22" s="600"/>
      <c r="M22" s="67"/>
      <c r="N22" s="324" t="s">
        <v>988</v>
      </c>
      <c r="O22" s="599"/>
      <c r="P22" s="3678" t="str">
        <f>IF(O23="","",IF(AND(O22&gt;W22,O22&gt;X22),"keine Änderung erwartbar",TEXT(VLOOKUP(YEAR(O23),Regelaltersgrenze,2),"00")&amp;" Monate"))</f>
        <v/>
      </c>
      <c r="Q22" s="67"/>
      <c r="R22" s="3707"/>
      <c r="S22" s="3708"/>
      <c r="T22" s="3709"/>
      <c r="U22" s="67"/>
      <c r="W22" s="820">
        <v>39856</v>
      </c>
      <c r="X22" s="820">
        <v>37622</v>
      </c>
      <c r="AC22" s="75" t="s">
        <v>393</v>
      </c>
    </row>
    <row r="23" spans="1:30" s="75" customFormat="1" ht="16.899999999999999" customHeight="1">
      <c r="A23" s="3602"/>
      <c r="B23" s="3609" t="s">
        <v>1845</v>
      </c>
      <c r="C23" s="3610"/>
      <c r="D23" s="1936" t="str">
        <f>IF(O_BilMoG,"10","7")</f>
        <v>10</v>
      </c>
      <c r="E23" s="1924">
        <f>AD33</f>
        <v>1.8000000000000002E-2</v>
      </c>
      <c r="F23" s="20"/>
      <c r="G23" s="3584" t="s">
        <v>275</v>
      </c>
      <c r="H23" s="3585"/>
      <c r="I23" s="3585"/>
      <c r="J23" s="3585"/>
      <c r="K23" s="1596"/>
      <c r="L23" s="220" t="s">
        <v>7</v>
      </c>
      <c r="M23" s="67"/>
      <c r="N23" s="324" t="s">
        <v>603</v>
      </c>
      <c r="O23" s="599"/>
      <c r="P23" s="3679"/>
      <c r="Q23" s="67"/>
      <c r="R23" s="2068" t="str">
        <f ca="1">"KoKa DRV zum "&amp;TEXT(S6,"TT.MM.JJJJ")</f>
        <v>KoKa DRV zum 02.05.2024</v>
      </c>
      <c r="S23" s="2069">
        <f ca="1">IFERROR(ROUND(S7/VLOOKUP(S6,aktRW,2),4)*VLOOKUP(S6,UmrechnungEP_Kap,2),"")</f>
        <v>112188.9035652</v>
      </c>
      <c r="T23" s="510">
        <f ca="1">IFERROR(ROUND(T7/VLOOKUP(T6,aktRW,2),4)*VLOOKUP(T6,UmrechnungEP_Kap,2),"")</f>
        <v>112188.9035652</v>
      </c>
      <c r="U23" s="67"/>
      <c r="AB23" s="562" t="s">
        <v>283</v>
      </c>
      <c r="AC23" s="1917" t="e">
        <f>ROUND(YEARFRAC(L21,K24,0),2)</f>
        <v>#VALUE!</v>
      </c>
      <c r="AD23" s="1180">
        <f>YEARFRAC(D14,EzE_P,0)</f>
        <v>50</v>
      </c>
    </row>
    <row r="24" spans="1:30" s="75" customFormat="1" ht="16.899999999999999" customHeight="1" thickBot="1">
      <c r="A24" s="3603"/>
      <c r="B24" s="3611" t="s">
        <v>1846</v>
      </c>
      <c r="C24" s="3612"/>
      <c r="D24" s="1926"/>
      <c r="E24" s="1925">
        <f>IFERROR(AD34,"")</f>
        <v>16537.146040800002</v>
      </c>
      <c r="F24" s="20"/>
      <c r="G24" s="3584" t="s">
        <v>276</v>
      </c>
      <c r="H24" s="3585"/>
      <c r="I24" s="3585"/>
      <c r="J24" s="3585"/>
      <c r="K24" s="1595"/>
      <c r="L24" s="221" t="str">
        <f>IFERROR(AC23,"")</f>
        <v/>
      </c>
      <c r="M24" s="67"/>
      <c r="N24" s="3657" t="s">
        <v>984</v>
      </c>
      <c r="O24" s="3658"/>
      <c r="P24" s="340"/>
      <c r="Q24" s="67"/>
      <c r="R24" s="3698" t="str">
        <f ca="1">Summenzeichen&amp;" Rentenzahlung in DRV aus dem KoKa  "&amp;TEXT(S23,"#.### €")&amp;" / "&amp;TEXT(T23,"#.### €")</f>
        <v>∑ Rentenzahlung in DRV aus dem KoKa  112.189 € / 112.189 €</v>
      </c>
      <c r="S24" s="3700">
        <f ca="1">(((1+RententrendDRV)^VLOOKUP(IF(S11&lt;DuD_RAltersgr1,DuD_RAltersgr1,S11),CHOOSE(V3,Lebenserwartung_M_V2,Lebenserwartung_F_V2,Lebenserwartung_N_V2),YEAR(S5)-1900+2)-1)/RententrendDRV)*S7*(1+RententrendDRV)^Y7*12</f>
        <v>295414.16724152159</v>
      </c>
      <c r="T24" s="3702">
        <f ca="1">(((1+RententrendDRV)^VLOOKUP(IF(T11&lt;DuD_RAltersgr2,DuD_RAltersgr2,T11),CHOOSE(W3,Lebenserwartung_M_V2,Lebenserwartung_F_V2,Lebenserwartung_N_V2),YEAR(T5)-1900+2)-1)/RententrendDRV)*T7*(1+RententrendDRV)^Y8*12</f>
        <v>295414.16724152159</v>
      </c>
      <c r="U24" s="67"/>
      <c r="AB24" s="562" t="s">
        <v>284</v>
      </c>
      <c r="AC24" s="1917" t="e">
        <f>VLOOKUP(AC23,IF(K22="M",Lebenserwartung_M_V2,Lebenserwartung_F_V2),YEAR(L21)-1900+2)</f>
        <v>#VALUE!</v>
      </c>
      <c r="AD24" s="69"/>
    </row>
    <row r="25" spans="1:30" s="75" customFormat="1" ht="16.899999999999999" customHeight="1" thickBot="1">
      <c r="A25" s="594"/>
      <c r="B25" s="594"/>
      <c r="C25" s="89"/>
      <c r="D25" s="89"/>
      <c r="E25" s="89"/>
      <c r="F25" s="67"/>
      <c r="G25" s="3584" t="s">
        <v>277</v>
      </c>
      <c r="H25" s="3585"/>
      <c r="I25" s="3585"/>
      <c r="J25" s="3585"/>
      <c r="K25" s="1597"/>
      <c r="L25" s="220" t="s">
        <v>278</v>
      </c>
      <c r="M25" s="67"/>
      <c r="N25" s="3657" t="s">
        <v>982</v>
      </c>
      <c r="O25" s="3658"/>
      <c r="P25" s="981">
        <f>IF(O23="",0,DATE(YEAR(O23)+IF(P24&gt;0,P24,65),MONTH(O23)+1,1))</f>
        <v>0</v>
      </c>
      <c r="Q25" s="67"/>
      <c r="R25" s="3699"/>
      <c r="S25" s="3701"/>
      <c r="T25" s="3703"/>
      <c r="U25" s="67"/>
      <c r="AB25" s="562" t="s">
        <v>285</v>
      </c>
      <c r="AC25" s="1917" t="e">
        <f>VLOOKUP(YEAR(L21),Renteneintrittstabelle,3)</f>
        <v>#VALUE!</v>
      </c>
      <c r="AD25" s="69">
        <f>ROUND(VLOOKUP(YEAR(D14),Renteneintrittstabelle,3),2)</f>
        <v>67</v>
      </c>
    </row>
    <row r="26" spans="1:30" s="75" customFormat="1" ht="16.899999999999999" customHeight="1" thickTop="1" thickBot="1">
      <c r="A26" s="594"/>
      <c r="B26" s="3571" t="str">
        <f>IF(ForderungRente=1,"Barwert einer zukünftigen Forderung","befristete Rente inkl. Vorversterbensrisiko")&amp;", ReZins: "&amp;TEXT(E34,"0,00%")</f>
        <v xml:space="preserve">Barwert einer zukünftigen Forderung, ReZins: </v>
      </c>
      <c r="C26" s="3572"/>
      <c r="D26" s="3572"/>
      <c r="E26" s="3573"/>
      <c r="F26" s="67"/>
      <c r="G26" s="3584" t="s">
        <v>279</v>
      </c>
      <c r="H26" s="3585"/>
      <c r="I26" s="3585"/>
      <c r="J26" s="3585"/>
      <c r="K26" s="601" t="str">
        <f>IFERROR(-PMT(K25/12,AC24*12,K23),"")</f>
        <v/>
      </c>
      <c r="L26" s="222" t="str">
        <f>IFERROR(IF(L21=0,"",+AC24),"")</f>
        <v/>
      </c>
      <c r="M26" s="67"/>
      <c r="N26" s="3657" t="s">
        <v>983</v>
      </c>
      <c r="O26" s="3658"/>
      <c r="P26" s="981">
        <f>IF(O23="",0,DATE(YEAR(O23)++IF(P24&gt;0,P24,65),MONTH(O23)+1+VLOOKUP(YEAR(O23),Regelaltersgrenze,2),1))</f>
        <v>0</v>
      </c>
      <c r="Q26" s="67"/>
      <c r="R26" s="1961"/>
      <c r="S26" s="1961"/>
      <c r="T26" s="1961"/>
      <c r="U26" s="67"/>
      <c r="W26" s="162">
        <f>-PV(4%,10,6000)</f>
        <v>48665.37467613021</v>
      </c>
      <c r="AB26" s="562" t="s">
        <v>286</v>
      </c>
      <c r="AC26" s="1914" t="e">
        <f>VLOOKUP(IF(AC25&lt;AC23,AC23,AC25),IF(K22="M",Lebenserwartung_M_V2,Lebenserwartung_F_V2),YEAR(L21)-1900+2)</f>
        <v>#VALUE!</v>
      </c>
      <c r="AD26" s="69">
        <f>ROUND(VLOOKUP(IF(AD25&gt;AD23,AD25,AD23),Lebenserwartung_N_V2,YEAR(D14)+IF(MONTH(D14)&gt;6,1,0)-1900+2),2)</f>
        <v>22.13</v>
      </c>
    </row>
    <row r="27" spans="1:30" s="75" customFormat="1" ht="16.899999999999999" customHeight="1" thickBot="1">
      <c r="A27" s="594"/>
      <c r="B27" s="3574"/>
      <c r="C27" s="3575"/>
      <c r="D27" s="3575"/>
      <c r="E27" s="3576"/>
      <c r="F27" s="67"/>
      <c r="G27" s="3584" t="s">
        <v>280</v>
      </c>
      <c r="H27" s="3585"/>
      <c r="I27" s="3585"/>
      <c r="J27" s="3585"/>
      <c r="K27" s="601" t="str">
        <f>IFERROR(-PMT(K25/12,AC26*12,IF(AC27&gt;0,-FV(K25,AC27,,K23),K23)),"")</f>
        <v/>
      </c>
      <c r="L27" s="222" t="str">
        <f>IFERROR(IF(L21=0,"",AC26),"")</f>
        <v/>
      </c>
      <c r="M27" s="67"/>
      <c r="N27" s="3676" t="s">
        <v>985</v>
      </c>
      <c r="O27" s="3677"/>
      <c r="P27" s="340"/>
      <c r="Q27" s="67"/>
      <c r="R27" s="3665" t="s">
        <v>1960</v>
      </c>
      <c r="S27" s="3666"/>
      <c r="T27" s="3667"/>
      <c r="U27" s="67"/>
      <c r="AB27" s="562" t="s">
        <v>265</v>
      </c>
      <c r="AC27" s="1914" t="e">
        <f>+AC25-AC23</f>
        <v>#VALUE!</v>
      </c>
      <c r="AD27" s="69">
        <f>IF(AD25&gt;AD23,AD25-AD23,0)</f>
        <v>17</v>
      </c>
    </row>
    <row r="28" spans="1:30" s="75" customFormat="1" ht="16.899999999999999" customHeight="1" thickBot="1">
      <c r="A28" s="594"/>
      <c r="B28" s="3583" t="s">
        <v>73</v>
      </c>
      <c r="C28" s="3427"/>
      <c r="D28" s="959"/>
      <c r="E28" s="349"/>
      <c r="F28" s="67"/>
      <c r="G28" s="3584" t="s">
        <v>281</v>
      </c>
      <c r="H28" s="3585"/>
      <c r="I28" s="3585"/>
      <c r="J28" s="3585"/>
      <c r="K28" s="602"/>
      <c r="L28" s="220" t="s">
        <v>282</v>
      </c>
      <c r="M28" s="67"/>
      <c r="N28" s="3657" t="s">
        <v>987</v>
      </c>
      <c r="O28" s="3658"/>
      <c r="P28" s="340"/>
      <c r="Q28" s="67"/>
      <c r="R28" s="3668"/>
      <c r="S28" s="3669"/>
      <c r="T28" s="3670"/>
      <c r="U28" s="67"/>
      <c r="AB28" s="562" t="s">
        <v>288</v>
      </c>
      <c r="AC28" s="1915"/>
      <c r="AD28" s="638">
        <f>ROUND(VLOOKUP(AD23,CHOOSE(68-AD25,HRIR67,HRIR66,HRIR,HRIR64,HRIR63,HRIR62,HRIR61,HRIR60),25),4)</f>
        <v>9.0800000000000006E-2</v>
      </c>
    </row>
    <row r="29" spans="1:30" s="75" customFormat="1" ht="16.899999999999999" customHeight="1" thickBot="1">
      <c r="A29" s="594"/>
      <c r="B29" s="3583" t="s">
        <v>99</v>
      </c>
      <c r="C29" s="3427"/>
      <c r="D29" s="959"/>
      <c r="E29" s="349"/>
      <c r="F29" s="67"/>
      <c r="G29" s="3584" t="str">
        <f>"Monatsergebnis bei Verrentung über "&amp;TEXT(K28,"0,0")&amp;" Jahre"</f>
        <v>Monatsergebnis bei Verrentung über 0,0 Jahre</v>
      </c>
      <c r="H29" s="3585"/>
      <c r="I29" s="3585"/>
      <c r="J29" s="3585"/>
      <c r="K29" s="601" t="str">
        <f>IFERROR(-PMT(K25/12,K28*12,K23),"")</f>
        <v/>
      </c>
      <c r="L29" s="603"/>
      <c r="M29" s="67"/>
      <c r="N29" s="3657" t="s">
        <v>986</v>
      </c>
      <c r="O29" s="3658"/>
      <c r="P29" s="238" t="str">
        <f>IFERROR(IF(O29&gt;0,O29,+P28/P27),"")</f>
        <v/>
      </c>
      <c r="Q29" s="67"/>
      <c r="R29" s="2083" t="s">
        <v>603</v>
      </c>
      <c r="S29" s="2084">
        <v>18255</v>
      </c>
      <c r="T29" s="349" t="s">
        <v>7</v>
      </c>
      <c r="U29" s="67"/>
      <c r="AB29" s="562" t="s">
        <v>287</v>
      </c>
      <c r="AC29" s="1915"/>
      <c r="AD29" s="638">
        <f>ROUND(VLOOKUP(AD23,CHOOSE(68-AD25,HRIR67,HRIR66,HRIR,HRIR64,HRIR63,HRIR62,HRIR61,HRIR60),26)*0.55,4)</f>
        <v>0.10979999999999999</v>
      </c>
    </row>
    <row r="30" spans="1:30" s="75" customFormat="1" ht="16.899999999999999" customHeight="1" thickBot="1">
      <c r="A30" s="594"/>
      <c r="B30" s="3583" t="s">
        <v>1689</v>
      </c>
      <c r="C30" s="3427"/>
      <c r="D30" s="897"/>
      <c r="E30" s="1041" t="s">
        <v>74</v>
      </c>
      <c r="F30" s="67"/>
      <c r="G30" s="3588" t="s">
        <v>138</v>
      </c>
      <c r="H30" s="3589"/>
      <c r="I30" s="3589"/>
      <c r="J30" s="3589"/>
      <c r="K30" s="3589"/>
      <c r="L30" s="3590"/>
      <c r="M30" s="67"/>
      <c r="N30" s="1046" t="str">
        <f>IFERROR("+ "&amp;TEXT(VLOOKUP(YEAR(O23),Regelaltersgrenze,2)/12,"0,00")&amp;IF(O30&lt;&gt;0,IF(O30&gt;0," + "," ")&amp;TEXT(O30,"0,00")&amp;" Dienstjahre?"," Dienstjahre?"),"")</f>
        <v>+ 0,00 Dienstjahre?</v>
      </c>
      <c r="O30" s="913"/>
      <c r="P30" s="235">
        <f>+P27+VLOOKUP(YEAR(O23),Regelaltersgrenze,2)/12+O30</f>
        <v>0</v>
      </c>
      <c r="Q30" s="67"/>
      <c r="R30" s="2083" t="s">
        <v>1786</v>
      </c>
      <c r="S30" s="2084">
        <v>44501</v>
      </c>
      <c r="T30" s="349">
        <f>ROUND(YEARFRAC(S29,S30,3),2)</f>
        <v>71.91</v>
      </c>
      <c r="U30" s="67"/>
      <c r="AB30" s="562" t="s">
        <v>1847</v>
      </c>
      <c r="AC30" s="1915"/>
      <c r="AD30" s="69">
        <f>VLOOKUP(ROUND(AD25,0),G_Kohorte_N,YEAR(D14)+IF(MONTH(D14)&gt;6,1,0)-1900+2)</f>
        <v>87462.5</v>
      </c>
    </row>
    <row r="31" spans="1:30" s="75" customFormat="1" ht="16.899999999999999" customHeight="1" thickBot="1">
      <c r="A31" s="594"/>
      <c r="B31" s="1531" t="s">
        <v>71</v>
      </c>
      <c r="C31" s="1532"/>
      <c r="D31" s="959"/>
      <c r="E31" s="1042">
        <f>IF(D30="",1,VLOOKUP(YEARFRAC(D28,D31,0),IF(D30="m",G_Kohorte_M,IF(D30="w",G_Kohorte_F,G_Kohorte_N)),YEAR(D28)-1900+2))</f>
        <v>1</v>
      </c>
      <c r="F31" s="67"/>
      <c r="G31" s="3591" t="s">
        <v>1552</v>
      </c>
      <c r="H31" s="3592"/>
      <c r="I31" s="3592"/>
      <c r="J31" s="3592"/>
      <c r="K31" s="3592"/>
      <c r="L31" s="3593"/>
      <c r="M31" s="67"/>
      <c r="N31" s="378" t="s">
        <v>1180</v>
      </c>
      <c r="O31" s="1207"/>
      <c r="P31" s="763"/>
      <c r="Q31" s="67"/>
      <c r="R31" s="2083" t="s">
        <v>263</v>
      </c>
      <c r="S31" s="382" t="s">
        <v>225</v>
      </c>
      <c r="T31" s="1045"/>
      <c r="U31" s="67"/>
      <c r="W31" s="75" t="s">
        <v>1179</v>
      </c>
      <c r="X31" s="16" t="b">
        <f>IF(O22&gt;=X22,TRUE,FALSE)</f>
        <v>0</v>
      </c>
      <c r="Y31" s="16">
        <f>IF(S31="m",1,IF(S31="w",2,3))</f>
        <v>1</v>
      </c>
      <c r="AB31" s="562" t="s">
        <v>1764</v>
      </c>
      <c r="AC31" s="1915"/>
      <c r="AD31" s="69">
        <f>VLOOKUP(ROUND(AD23,0),G_Kohorte_N,YEAR(D14)+IF(MONTH(D14)&gt;6,1,0)-1900+2)</f>
        <v>94676.5</v>
      </c>
    </row>
    <row r="32" spans="1:30" s="75" customFormat="1" ht="16.899999999999999" customHeight="1" thickBot="1">
      <c r="A32" s="594"/>
      <c r="B32" s="1531" t="s">
        <v>72</v>
      </c>
      <c r="C32" s="1532"/>
      <c r="D32" s="959"/>
      <c r="E32" s="1042">
        <f>IF(D30="",1,VLOOKUP(YEARFRAC(D28,D32,0),IF(D30="m",G_Kohorte_M,IF(D30="f",G_Kohorte_F,G_Kohorte_N)),YEAR(D28)-1900+2))</f>
        <v>1</v>
      </c>
      <c r="F32" s="67"/>
      <c r="G32" s="3594"/>
      <c r="H32" s="3595"/>
      <c r="I32" s="3595"/>
      <c r="J32" s="3595"/>
      <c r="K32" s="3595"/>
      <c r="L32" s="3596"/>
      <c r="M32" s="67"/>
      <c r="N32" s="753" t="s">
        <v>1063</v>
      </c>
      <c r="O32" s="237">
        <f>IF(O31&gt;0,O31,IF(Alt_Neu,IF(P27*0.7175/40&gt;71.75%,71.75%,P27*0.7175/40),IF(P27*0.75/40&gt;75%,75%,P27*0.75/40)))</f>
        <v>0</v>
      </c>
      <c r="P32" s="238">
        <f>IF(P31&gt;0,P31,IF(P30*0.7175/40&gt;0.7175,0.7175,P30*0.7175/40))</f>
        <v>0</v>
      </c>
      <c r="Q32" s="67"/>
      <c r="R32" s="2085" t="s">
        <v>1961</v>
      </c>
      <c r="S32" s="2086">
        <f>ROUND(VLOOKUP(T30,CHOOSE(Y31,Lebenserwartung_M_V2,Lebenserwartung_F_V2,Lebenserwartung_N_V2),YEAR(S29)-1900+2),2)</f>
        <v>14.97</v>
      </c>
      <c r="T32" s="2087"/>
      <c r="U32" s="67"/>
      <c r="AB32" s="562" t="s">
        <v>1384</v>
      </c>
      <c r="AC32" s="1915"/>
      <c r="AD32" s="69">
        <f>ROUND(IF(AD30/AD31&gt;1,1,AD30/AD31),3)</f>
        <v>0.92400000000000004</v>
      </c>
    </row>
    <row r="33" spans="1:33" s="75" customFormat="1" ht="16.899999999999999" customHeight="1" thickBot="1">
      <c r="A33" s="594"/>
      <c r="B33" s="3583" t="s">
        <v>217</v>
      </c>
      <c r="C33" s="3427"/>
      <c r="D33" s="1103"/>
      <c r="E33" s="1043" t="str">
        <f>IFERROR(IF(ForderungRente=2,-PV(E34,YEARFRAC(D31,D32,0),D33),""),"")</f>
        <v/>
      </c>
      <c r="F33" s="67"/>
      <c r="G33" s="3586" t="s">
        <v>130</v>
      </c>
      <c r="H33" s="3587"/>
      <c r="I33" s="3587"/>
      <c r="J33" s="3587"/>
      <c r="K33" s="604"/>
      <c r="L33" s="605" t="s">
        <v>555</v>
      </c>
      <c r="M33" s="67"/>
      <c r="N33" s="3285" t="str">
        <f>"Ehezeitanteil (neu): "&amp;TEXT(P28,"0,00")&amp;" / "&amp;TEXT(P30,"0,00")</f>
        <v>Ehezeitanteil (neu): 0,00 / 0,00</v>
      </c>
      <c r="O33" s="3286"/>
      <c r="P33" s="238">
        <f>IFERROR(ROUND(P28/P30,4),0)</f>
        <v>0</v>
      </c>
      <c r="Q33" s="67"/>
      <c r="R33" s="1961"/>
      <c r="S33" s="1961"/>
      <c r="T33" s="1961"/>
      <c r="U33" s="67"/>
      <c r="AB33" s="75" t="s">
        <v>626</v>
      </c>
      <c r="AC33" s="1916"/>
      <c r="AD33" s="577">
        <f>IF(D24&gt;0,D24,VLOOKUP(EzE_P,IF(O_BilMoG,BilmoGZins,BilMoG10),16)/100)</f>
        <v>1.8000000000000002E-2</v>
      </c>
      <c r="AG33" s="162">
        <f>-PV(AD33-RententrendDRV,AD26,E19*12)</f>
        <v>13004.588124163161</v>
      </c>
    </row>
    <row r="34" spans="1:33" s="75" customFormat="1" ht="16.899999999999999" customHeight="1" thickBot="1">
      <c r="A34" s="594"/>
      <c r="B34" s="3285" t="s">
        <v>1219</v>
      </c>
      <c r="C34" s="3286"/>
      <c r="D34" s="898"/>
      <c r="E34" s="1044" t="str">
        <f>IF(OR(D31=0,D32=0),"",IFERROR(IF(D34&gt;0,D34,VLOOKUP(D29,IF(BilMoG_10,BilMoG10,BilmoGZins),YEARFRAC(D31,D32,0)+1)/100),""))</f>
        <v/>
      </c>
      <c r="F34" s="67"/>
      <c r="G34" s="3581" t="s">
        <v>1551</v>
      </c>
      <c r="H34" s="3582"/>
      <c r="I34" s="3582"/>
      <c r="J34" s="3582"/>
      <c r="K34" s="606"/>
      <c r="L34" s="1061" t="str">
        <f>IFERROR(VLOOKUP(K34,BilmoGZins,16)/100,"Kein Zins")</f>
        <v>Kein Zins</v>
      </c>
      <c r="M34" s="67"/>
      <c r="N34" s="712" t="s">
        <v>1064</v>
      </c>
      <c r="O34" s="1212">
        <v>1000</v>
      </c>
      <c r="P34" s="1016" t="str">
        <f>IFERROR(O34*P32/O32*P33/P29,"")</f>
        <v/>
      </c>
      <c r="Q34" s="67"/>
      <c r="R34" s="1961"/>
      <c r="S34" s="1961"/>
      <c r="T34" s="1961"/>
      <c r="U34" s="67"/>
      <c r="W34" s="75" t="s">
        <v>1050</v>
      </c>
      <c r="X34" s="16" t="b">
        <v>0</v>
      </c>
      <c r="AB34" s="562" t="s">
        <v>1536</v>
      </c>
      <c r="AC34" s="562"/>
      <c r="AD34" s="1818">
        <f>ROUND(-PV(AD33-RententrendDRV,AD27,,-PV(AD33-RententrendDRV,AD26,E19*12)),0)*(1+AD29+AD28)*AD32</f>
        <v>16537.146040800002</v>
      </c>
    </row>
    <row r="35" spans="1:33" s="75" customFormat="1" ht="16.899999999999999" customHeight="1">
      <c r="A35" s="594"/>
      <c r="B35" s="2805" t="str">
        <f>"Vorversterbensfaktor: "&amp;IF(VVR,TEXT(E32,"#.###")&amp;" / "&amp;TEXT(E31,"#.###")&amp;": ","")</f>
        <v xml:space="preserve">Vorversterbensfaktor: 1 / 1: </v>
      </c>
      <c r="C35" s="3577"/>
      <c r="D35" s="1534">
        <f>IF(VVR,+E32/E31,1)</f>
        <v>1</v>
      </c>
      <c r="E35" s="1045"/>
      <c r="F35" s="67"/>
      <c r="G35" s="3581" t="s">
        <v>1550</v>
      </c>
      <c r="H35" s="3582"/>
      <c r="I35" s="3582"/>
      <c r="J35" s="3582"/>
      <c r="K35" s="606"/>
      <c r="L35" s="1061" t="str">
        <f>IFERROR(VLOOKUP(K35,BilmoGZins,16)/100,"")</f>
        <v/>
      </c>
      <c r="M35" s="905"/>
      <c r="N35" s="710" t="s">
        <v>518</v>
      </c>
      <c r="O35" s="994">
        <f>IFERROR(O34/2,"")</f>
        <v>500</v>
      </c>
      <c r="P35" s="1016" t="str">
        <f>IFERROR(P34/2,"")</f>
        <v/>
      </c>
      <c r="Q35" s="67"/>
      <c r="R35" s="1961"/>
      <c r="S35" s="1961"/>
      <c r="T35" s="1961"/>
      <c r="U35" s="67"/>
      <c r="AD35" s="75" t="s">
        <v>100</v>
      </c>
      <c r="AE35" s="16">
        <v>1</v>
      </c>
    </row>
    <row r="36" spans="1:33" s="75" customFormat="1" ht="16.899999999999999" customHeight="1">
      <c r="A36" s="594"/>
      <c r="B36" s="3285" t="str">
        <f>"Forderungsabschlag: "&amp;TEXT(D33,"#.###.##0,00")&amp;" x (1 - "&amp;TEXT(E32,"#.##0")&amp;" / "&amp;TEXT(E31,"#.##0")&amp;")"</f>
        <v>Forderungsabschlag: 0,00 x (1 - 1 / 1)</v>
      </c>
      <c r="C36" s="3622"/>
      <c r="D36" s="3286"/>
      <c r="E36" s="236">
        <f>IFERROR(-(1-D35)*IF(ForderungRente=2,E33,D33),"")</f>
        <v>0</v>
      </c>
      <c r="F36" s="67"/>
      <c r="G36" s="3581" t="s">
        <v>131</v>
      </c>
      <c r="H36" s="3582"/>
      <c r="I36" s="3582"/>
      <c r="J36" s="3582"/>
      <c r="K36" s="608"/>
      <c r="L36" s="1062" t="s">
        <v>133</v>
      </c>
      <c r="M36" s="67"/>
      <c r="N36" s="3723" t="str">
        <f>IF(P36&lt;5%,"Abweichungssoll 5% "&amp;IF(ABS(P36)&gt;=0.05,"über","unter")&amp;"schritten","relative Abweichung:")</f>
        <v>Abweichungssoll 5% unterschritten</v>
      </c>
      <c r="O36" s="3724"/>
      <c r="P36" s="1017">
        <f>IFERROR(1-+O35/P35,0)</f>
        <v>0</v>
      </c>
      <c r="Q36" s="67"/>
      <c r="R36" s="1961"/>
      <c r="S36" s="1961"/>
      <c r="T36" s="1961"/>
      <c r="U36" s="67"/>
      <c r="W36" s="75">
        <f>ROUND(YEARFRAC(D31,D32,0),0)</f>
        <v>0</v>
      </c>
    </row>
    <row r="37" spans="1:33" s="75" customFormat="1" ht="16.899999999999999" customHeight="1">
      <c r="A37" s="594"/>
      <c r="B37" s="3578"/>
      <c r="C37" s="3579"/>
      <c r="D37" s="3580"/>
      <c r="E37" s="236"/>
      <c r="F37" s="67"/>
      <c r="G37" s="3735" t="str">
        <f>"Ergebnis der Aufzinsung mit Zinssatz "&amp;TEXT(IF(K36=0,L34,K36),"0,00%")&amp;": "&amp;TEXT(K33,"###.##0,00")&amp;" x (1 + "&amp;TEXT(IF(K36="",L34,K36),"0,00%")&amp;")^"&amp;IF(K34&gt;K35,"-","")&amp;TEXT(YEARFRAC(K34,K35,0),"#0,00")&amp;" ="</f>
        <v>Ergebnis der Aufzinsung mit Zinssatz Kein Zins: 0,00 x (1 + Kein Zins)^0,00 =</v>
      </c>
      <c r="H37" s="3736"/>
      <c r="I37" s="3736"/>
      <c r="J37" s="3736"/>
      <c r="K37" s="3737" t="str">
        <f>IFERROR(-FV(IF(K36&gt;0,K36,L34),YEARFRAC(K34,K35,3),,K33,1),"")</f>
        <v/>
      </c>
      <c r="L37" s="3725" t="str">
        <f>IFERROR(IF(K36&gt;0,K36,L34)*K33*IF(K34&gt;K35,-1,1)*YEARFRAC(K34,K35,0)+K33,"")</f>
        <v/>
      </c>
      <c r="M37" s="67"/>
      <c r="N37" s="1328"/>
      <c r="O37" s="1329"/>
      <c r="P37" s="1017"/>
      <c r="Q37" s="67"/>
      <c r="R37" s="1961"/>
      <c r="S37" s="1961"/>
      <c r="T37" s="1961"/>
      <c r="U37" s="67"/>
      <c r="AD37" s="75" t="s">
        <v>213</v>
      </c>
      <c r="AE37" s="16" t="b">
        <v>1</v>
      </c>
    </row>
    <row r="38" spans="1:33" s="75" customFormat="1" ht="16.899999999999999" customHeight="1">
      <c r="A38" s="594"/>
      <c r="B38" s="3569" t="str">
        <f>IFERROR("tatsächlicher "&amp;IF(ForderungRente=2,"Bar","Forderungs")&amp;"wert: "&amp;TEXT(IF(ForderungRente=1,D33,E33),"###.##0,00")&amp;" - "&amp;TEXT(ABS(E36),"###.##0,00"),"")</f>
        <v>tatsächlicher Forderungswert: 0,00 - 0,00</v>
      </c>
      <c r="C38" s="3570"/>
      <c r="D38" s="3570"/>
      <c r="E38" s="1533">
        <f>IFERROR(+IF(ForderungRente=1,D33,E33)+E36,"")</f>
        <v>0</v>
      </c>
      <c r="F38" s="67"/>
      <c r="G38" s="3735"/>
      <c r="H38" s="3736"/>
      <c r="I38" s="3736"/>
      <c r="J38" s="3736"/>
      <c r="K38" s="3737"/>
      <c r="L38" s="3725"/>
      <c r="M38" s="67"/>
      <c r="N38" s="3285" t="str">
        <f>"Wesentlichkeitsgr. § 225 III FamFG:"</f>
        <v>Wesentlichkeitsgr. § 225 III FamFG:</v>
      </c>
      <c r="O38" s="3286"/>
      <c r="P38" s="236">
        <f>IFERROR(VLOOKUP(YEAR(O22),MonatlicheBezugsgroesse,2)/100,0)</f>
        <v>0</v>
      </c>
      <c r="Q38" s="67"/>
      <c r="R38" s="1961"/>
      <c r="S38" s="1961"/>
      <c r="T38" s="1961"/>
      <c r="U38" s="67"/>
      <c r="W38" s="16"/>
      <c r="X38" s="16"/>
      <c r="Y38" s="16"/>
      <c r="Z38" s="16"/>
      <c r="AA38" s="16"/>
      <c r="AD38" s="75" t="s">
        <v>132</v>
      </c>
    </row>
    <row r="39" spans="1:33" s="75" customFormat="1" ht="16.899999999999999" customHeight="1" thickBot="1">
      <c r="A39" s="594"/>
      <c r="B39" s="3729" t="str">
        <f>IF(ForderungRente=2,"","mit "&amp;TEXT(E34,"#0,00%")&amp;" abgezinst auf den "&amp;TEXT(D31,"TT.MM.JJJJ")&amp;": "&amp;TEXT(E38,"#.##0,00")&amp;" / (1 + "&amp;TEXT(E34,"0,00%")&amp;")^"&amp;TEXT(-YEARFRAC(D31,D32,0),"0,0"))</f>
        <v>mit  abgezinst auf den 00.01.1900: 0,00 / (1 + )^0,0</v>
      </c>
      <c r="C39" s="3730"/>
      <c r="D39" s="3730"/>
      <c r="E39" s="3733" t="str">
        <f>IFERROR(IF(DiesuDas_AboderAuf=1,-PV(E34,YEARFRAC(D31,D32,0),,E38),-FV(E34,YEARFRAC(D31,D32,0),,D33)),"")</f>
        <v/>
      </c>
      <c r="F39" s="67"/>
      <c r="G39" s="3726"/>
      <c r="H39" s="3727"/>
      <c r="I39" s="3727"/>
      <c r="J39" s="3727"/>
      <c r="K39" s="3727"/>
      <c r="L39" s="3728"/>
      <c r="M39" s="67"/>
      <c r="N39" s="3353" t="str">
        <f>IFERROR("Wesentlichkeitsgrenze "&amp;IF(ABS(P39)&lt;P38,"unterschritten","erreicht"),"")</f>
        <v/>
      </c>
      <c r="O39" s="3354"/>
      <c r="P39" s="236" t="str">
        <f>IFERROR(+P35-O35,"")</f>
        <v/>
      </c>
      <c r="Q39" s="67"/>
      <c r="R39" s="1961"/>
      <c r="S39" s="1961"/>
      <c r="T39" s="1961"/>
      <c r="U39" s="67"/>
      <c r="W39" s="75" t="s">
        <v>1750</v>
      </c>
      <c r="X39" s="16">
        <v>1</v>
      </c>
    </row>
    <row r="40" spans="1:33" s="75" customFormat="1" ht="16.899999999999999" customHeight="1" thickBot="1">
      <c r="A40" s="594"/>
      <c r="B40" s="3731"/>
      <c r="C40" s="3732"/>
      <c r="D40" s="3732"/>
      <c r="E40" s="3734"/>
      <c r="F40" s="67"/>
      <c r="G40" s="2782" t="s">
        <v>138</v>
      </c>
      <c r="H40" s="2782"/>
      <c r="I40" s="2782"/>
      <c r="J40" s="2782"/>
      <c r="K40" s="2782"/>
      <c r="L40" s="2782"/>
      <c r="M40" s="67"/>
      <c r="N40" s="3720" t="str">
        <f>IFERROR(IF(SUM(P27:P28,O23)=0,"",IF(AND(ABS(P36)&gt;=5%,ABS(P39)&gt;=P38),"Abänderung voraussichtlich möglich","Abänderung voraussichtlich nicht möglich")),"")</f>
        <v/>
      </c>
      <c r="O40" s="3721"/>
      <c r="P40" s="3722"/>
      <c r="Q40" s="67"/>
      <c r="R40" s="1961"/>
      <c r="S40" s="1961"/>
      <c r="T40" s="1961"/>
      <c r="U40" s="67"/>
    </row>
    <row r="41" spans="1:33" s="75" customFormat="1" ht="16.899999999999999" customHeight="1" thickBot="1">
      <c r="A41" s="594"/>
      <c r="B41" s="3718" t="s">
        <v>1690</v>
      </c>
      <c r="C41" s="3719"/>
      <c r="D41" s="3719"/>
      <c r="E41" s="1600" t="str">
        <f>IFERROR(VLOOKUP(YEARFRAC(D31,D32,3),Abzinsungstabelle§12BewG,2)*D33,"")</f>
        <v/>
      </c>
      <c r="F41" s="886"/>
      <c r="G41" s="886"/>
      <c r="H41" s="886"/>
      <c r="I41" s="886"/>
      <c r="J41" s="886"/>
      <c r="K41" s="886"/>
      <c r="L41" s="886"/>
      <c r="M41" s="886"/>
      <c r="N41" s="1208"/>
      <c r="O41" s="1208"/>
      <c r="P41" s="595"/>
      <c r="Q41" s="67"/>
      <c r="R41" s="1961"/>
      <c r="S41" s="1961"/>
      <c r="T41" s="1961"/>
      <c r="U41" s="67"/>
    </row>
    <row r="42" spans="1:33" s="75" customFormat="1" hidden="1">
      <c r="B42" s="916"/>
      <c r="C42" s="132"/>
      <c r="D42" s="132"/>
      <c r="E42" s="132"/>
      <c r="N42" s="916"/>
      <c r="P42" s="917"/>
      <c r="R42" s="67"/>
      <c r="S42" s="67"/>
      <c r="T42" s="67"/>
      <c r="U42" s="67"/>
    </row>
    <row r="43" spans="1:33" s="75" customFormat="1" hidden="1">
      <c r="B43" s="916"/>
      <c r="C43" s="132"/>
      <c r="D43" s="132"/>
      <c r="E43" s="132"/>
      <c r="N43" s="916"/>
      <c r="P43" s="917"/>
      <c r="R43" s="67"/>
      <c r="S43" s="67"/>
      <c r="T43" s="67"/>
      <c r="U43" s="67"/>
    </row>
    <row r="44" spans="1:33" s="75" customFormat="1" hidden="1">
      <c r="B44" s="916"/>
      <c r="C44" s="132"/>
      <c r="D44" s="132"/>
      <c r="E44" s="132"/>
      <c r="N44" s="916"/>
      <c r="P44" s="917"/>
      <c r="R44" s="67"/>
      <c r="S44" s="67"/>
      <c r="T44" s="67"/>
      <c r="U44" s="67"/>
    </row>
    <row r="45" spans="1:33" s="75" customFormat="1" hidden="1">
      <c r="B45" s="916"/>
      <c r="C45" s="132"/>
      <c r="D45" s="132"/>
      <c r="E45" s="132"/>
      <c r="N45" s="916"/>
      <c r="P45" s="917"/>
      <c r="R45" s="67"/>
      <c r="S45" s="67"/>
      <c r="T45" s="67"/>
      <c r="U45" s="67"/>
    </row>
    <row r="46" spans="1:33" s="75" customFormat="1" hidden="1">
      <c r="B46" s="916"/>
      <c r="C46" s="132"/>
      <c r="D46" s="132"/>
      <c r="E46" s="132"/>
      <c r="N46" s="916"/>
      <c r="P46" s="917"/>
      <c r="R46" s="67"/>
      <c r="S46" s="67"/>
      <c r="T46" s="67"/>
      <c r="U46" s="67"/>
    </row>
    <row r="47" spans="1:33" s="75" customFormat="1" hidden="1">
      <c r="B47" s="916"/>
      <c r="C47" s="132"/>
      <c r="D47" s="132"/>
      <c r="E47" s="132"/>
      <c r="N47" s="916"/>
      <c r="P47" s="917"/>
      <c r="R47" s="67"/>
      <c r="S47" s="67"/>
      <c r="T47" s="67"/>
      <c r="U47" s="67"/>
    </row>
    <row r="48" spans="1:33" s="75" customFormat="1" hidden="1">
      <c r="B48" s="916"/>
      <c r="C48" s="132"/>
      <c r="D48" s="132"/>
      <c r="E48" s="132"/>
      <c r="N48" s="916"/>
      <c r="P48" s="917"/>
      <c r="R48" s="67"/>
      <c r="S48" s="67"/>
      <c r="T48" s="67"/>
      <c r="U48" s="67"/>
    </row>
    <row r="49" spans="1:21" s="75" customFormat="1" hidden="1">
      <c r="B49" s="916"/>
      <c r="C49" s="132"/>
      <c r="D49" s="132"/>
      <c r="E49" s="132"/>
      <c r="N49" s="916"/>
      <c r="P49" s="917"/>
      <c r="R49" s="67"/>
      <c r="S49" s="67"/>
      <c r="T49" s="67"/>
      <c r="U49" s="67"/>
    </row>
    <row r="50" spans="1:21" s="75" customFormat="1" hidden="1">
      <c r="B50" s="916"/>
      <c r="C50" s="132"/>
      <c r="D50" s="132"/>
      <c r="E50" s="132"/>
      <c r="N50" s="916"/>
      <c r="P50" s="917"/>
      <c r="R50" s="67"/>
      <c r="S50" s="67"/>
      <c r="T50" s="67"/>
      <c r="U50" s="67"/>
    </row>
    <row r="51" spans="1:21" s="75" customFormat="1" hidden="1">
      <c r="A51" s="67"/>
      <c r="B51" s="916"/>
      <c r="C51" s="132"/>
      <c r="D51" s="132"/>
      <c r="E51" s="132"/>
      <c r="N51" s="916"/>
      <c r="P51" s="917"/>
      <c r="R51" s="67"/>
      <c r="S51" s="67"/>
      <c r="T51" s="67"/>
      <c r="U51" s="67"/>
    </row>
    <row r="52" spans="1:21" s="75" customFormat="1" hidden="1">
      <c r="A52" s="67"/>
      <c r="B52" s="916"/>
      <c r="C52" s="132"/>
      <c r="D52" s="132"/>
      <c r="E52" s="132"/>
      <c r="N52" s="916"/>
      <c r="P52" s="917"/>
      <c r="R52" s="67"/>
      <c r="S52" s="67"/>
      <c r="T52" s="67"/>
      <c r="U52" s="67"/>
    </row>
    <row r="53" spans="1:21" s="75" customFormat="1" hidden="1">
      <c r="A53" s="67"/>
      <c r="B53" s="916"/>
      <c r="C53" s="132"/>
      <c r="D53" s="132"/>
      <c r="E53" s="132"/>
      <c r="N53" s="916"/>
      <c r="P53" s="917"/>
      <c r="R53" s="67"/>
      <c r="S53" s="67"/>
      <c r="T53" s="67"/>
      <c r="U53" s="67"/>
    </row>
    <row r="54" spans="1:21" s="75" customFormat="1" hidden="1">
      <c r="A54" s="67"/>
      <c r="B54" s="916"/>
      <c r="C54" s="132"/>
      <c r="D54" s="132"/>
      <c r="E54" s="132"/>
      <c r="N54" s="916"/>
      <c r="P54" s="917"/>
      <c r="R54" s="67"/>
      <c r="S54" s="67"/>
      <c r="T54" s="67"/>
      <c r="U54" s="67"/>
    </row>
    <row r="55" spans="1:21" s="75" customFormat="1" hidden="1">
      <c r="A55" s="67"/>
      <c r="B55" s="916"/>
      <c r="C55" s="132"/>
      <c r="D55" s="132"/>
      <c r="E55" s="132"/>
      <c r="N55" s="916"/>
      <c r="P55" s="917"/>
      <c r="R55" s="67"/>
      <c r="S55" s="67"/>
      <c r="T55" s="67"/>
      <c r="U55" s="67"/>
    </row>
    <row r="56" spans="1:21" s="75" customFormat="1" hidden="1">
      <c r="A56" s="67"/>
      <c r="B56" s="916"/>
      <c r="C56" s="132"/>
      <c r="D56" s="132"/>
      <c r="E56" s="132"/>
      <c r="N56" s="916"/>
      <c r="P56" s="917"/>
      <c r="R56" s="67"/>
      <c r="S56" s="67"/>
      <c r="T56" s="67"/>
      <c r="U56" s="67"/>
    </row>
    <row r="57" spans="1:21" s="75" customFormat="1" hidden="1">
      <c r="A57" s="67"/>
      <c r="B57" s="916"/>
      <c r="C57" s="132"/>
      <c r="D57" s="132"/>
      <c r="E57" s="132"/>
      <c r="N57" s="916"/>
      <c r="P57" s="917"/>
      <c r="R57" s="67"/>
      <c r="S57" s="67"/>
      <c r="T57" s="67"/>
      <c r="U57" s="67"/>
    </row>
    <row r="58" spans="1:21" s="75" customFormat="1" hidden="1">
      <c r="A58" s="67"/>
      <c r="B58" s="916"/>
      <c r="C58" s="132"/>
      <c r="D58" s="132"/>
      <c r="E58" s="132"/>
      <c r="N58" s="916"/>
      <c r="P58" s="917"/>
      <c r="R58" s="67"/>
      <c r="S58" s="67"/>
      <c r="T58" s="67"/>
      <c r="U58" s="67"/>
    </row>
    <row r="59" spans="1:21" s="75" customFormat="1" hidden="1">
      <c r="A59" s="67"/>
      <c r="B59" s="916"/>
      <c r="C59" s="132"/>
      <c r="D59" s="132"/>
      <c r="E59" s="132"/>
      <c r="N59" s="916"/>
      <c r="P59" s="917"/>
      <c r="R59" s="67"/>
      <c r="S59" s="67"/>
      <c r="T59" s="67"/>
      <c r="U59" s="67"/>
    </row>
    <row r="60" spans="1:21" s="75" customFormat="1" hidden="1">
      <c r="A60" s="67"/>
      <c r="B60" s="916"/>
      <c r="C60" s="132"/>
      <c r="D60" s="132"/>
      <c r="E60" s="132"/>
      <c r="N60" s="916"/>
      <c r="P60" s="917"/>
      <c r="R60" s="67"/>
      <c r="S60" s="67"/>
      <c r="T60" s="67"/>
      <c r="U60" s="67"/>
    </row>
    <row r="61" spans="1:21" s="75" customFormat="1" hidden="1">
      <c r="A61" s="67"/>
      <c r="B61" s="916"/>
      <c r="C61" s="132"/>
      <c r="D61" s="132"/>
      <c r="E61" s="132"/>
      <c r="N61" s="916"/>
      <c r="P61" s="917"/>
      <c r="R61" s="67"/>
      <c r="S61" s="67"/>
      <c r="T61" s="67"/>
      <c r="U61" s="67"/>
    </row>
    <row r="62" spans="1:21" s="75" customFormat="1" hidden="1">
      <c r="A62" s="67"/>
      <c r="B62" s="916"/>
      <c r="C62" s="132"/>
      <c r="D62" s="132"/>
      <c r="E62" s="132"/>
      <c r="N62" s="916"/>
      <c r="P62" s="917"/>
      <c r="R62" s="67"/>
      <c r="S62" s="67"/>
      <c r="T62" s="67"/>
      <c r="U62" s="67"/>
    </row>
    <row r="63" spans="1:21" s="75" customFormat="1" hidden="1">
      <c r="A63" s="67"/>
      <c r="B63" s="916"/>
      <c r="C63" s="132"/>
      <c r="D63" s="132"/>
      <c r="E63" s="132"/>
      <c r="N63" s="916"/>
      <c r="P63" s="917"/>
      <c r="R63" s="67"/>
      <c r="S63" s="67"/>
      <c r="T63" s="67"/>
      <c r="U63" s="67"/>
    </row>
    <row r="64" spans="1:21" s="75" customFormat="1" hidden="1">
      <c r="A64" s="67"/>
      <c r="B64" s="916"/>
      <c r="C64" s="132"/>
      <c r="D64" s="132"/>
      <c r="E64" s="132"/>
      <c r="N64" s="916"/>
      <c r="P64" s="917"/>
      <c r="R64" s="67"/>
      <c r="S64" s="67"/>
      <c r="T64" s="67"/>
      <c r="U64" s="67"/>
    </row>
    <row r="65" spans="1:21" s="75" customFormat="1" hidden="1">
      <c r="A65" s="67"/>
      <c r="B65" s="916"/>
      <c r="C65" s="132"/>
      <c r="D65" s="132"/>
      <c r="E65" s="132"/>
      <c r="N65" s="916"/>
      <c r="P65" s="917"/>
      <c r="R65" s="67"/>
      <c r="S65" s="67"/>
      <c r="T65" s="67"/>
      <c r="U65" s="67"/>
    </row>
    <row r="66" spans="1:21" s="75" customFormat="1" hidden="1">
      <c r="A66" s="67"/>
      <c r="B66" s="916"/>
      <c r="C66" s="132"/>
      <c r="D66" s="132"/>
      <c r="E66" s="132"/>
      <c r="N66" s="916"/>
      <c r="P66" s="917"/>
      <c r="R66" s="67"/>
      <c r="S66" s="67"/>
      <c r="T66" s="67"/>
      <c r="U66" s="67"/>
    </row>
    <row r="67" spans="1:21" s="75" customFormat="1" hidden="1">
      <c r="A67" s="67"/>
      <c r="B67" s="916"/>
      <c r="C67" s="132"/>
      <c r="D67" s="132"/>
      <c r="E67" s="132"/>
      <c r="N67" s="916"/>
      <c r="P67" s="917"/>
      <c r="R67" s="67"/>
      <c r="S67" s="67"/>
      <c r="T67" s="67"/>
      <c r="U67" s="67"/>
    </row>
    <row r="68" spans="1:21" s="75" customFormat="1" hidden="1">
      <c r="A68" s="67"/>
      <c r="B68" s="916"/>
      <c r="C68" s="132"/>
      <c r="D68" s="132"/>
      <c r="E68" s="132"/>
      <c r="N68" s="916"/>
      <c r="P68" s="917"/>
      <c r="R68" s="67"/>
      <c r="S68" s="67"/>
      <c r="T68" s="67"/>
      <c r="U68" s="67"/>
    </row>
    <row r="69" spans="1:21" s="75" customFormat="1" hidden="1">
      <c r="A69" s="67"/>
      <c r="B69" s="916"/>
      <c r="C69" s="132"/>
      <c r="D69" s="132"/>
      <c r="E69" s="132"/>
      <c r="N69" s="916"/>
      <c r="P69" s="917"/>
      <c r="R69" s="67"/>
      <c r="S69" s="67"/>
      <c r="T69" s="67"/>
      <c r="U69" s="67"/>
    </row>
    <row r="70" spans="1:21" s="75" customFormat="1" hidden="1">
      <c r="A70" s="67"/>
      <c r="B70" s="916"/>
      <c r="C70" s="132"/>
      <c r="D70" s="132"/>
      <c r="E70" s="132"/>
      <c r="N70" s="916"/>
      <c r="P70" s="917"/>
      <c r="R70" s="67"/>
      <c r="S70" s="67"/>
      <c r="T70" s="67"/>
      <c r="U70" s="67"/>
    </row>
    <row r="71" spans="1:21" s="75" customFormat="1" hidden="1">
      <c r="A71" s="67"/>
      <c r="B71" s="916"/>
      <c r="C71" s="132"/>
      <c r="D71" s="132"/>
      <c r="E71" s="132"/>
      <c r="N71" s="916"/>
      <c r="P71" s="917"/>
      <c r="R71" s="67"/>
      <c r="S71" s="67"/>
      <c r="T71" s="67"/>
      <c r="U71" s="67"/>
    </row>
    <row r="72" spans="1:21" s="75" customFormat="1" hidden="1">
      <c r="A72" s="67"/>
      <c r="B72" s="916"/>
      <c r="C72" s="132"/>
      <c r="D72" s="132"/>
      <c r="E72" s="132"/>
      <c r="N72" s="916"/>
      <c r="P72" s="917"/>
      <c r="R72" s="67"/>
      <c r="S72" s="67"/>
      <c r="T72" s="67"/>
      <c r="U72" s="67"/>
    </row>
    <row r="73" spans="1:21" s="75" customFormat="1" hidden="1">
      <c r="A73" s="67"/>
      <c r="B73" s="916"/>
      <c r="C73" s="132"/>
      <c r="D73" s="132"/>
      <c r="E73" s="132"/>
      <c r="N73" s="916"/>
      <c r="P73" s="917"/>
      <c r="R73" s="67"/>
      <c r="S73" s="67"/>
      <c r="T73" s="67"/>
      <c r="U73" s="67"/>
    </row>
    <row r="74" spans="1:21" s="75" customFormat="1" hidden="1">
      <c r="A74" s="67"/>
      <c r="B74" s="916"/>
      <c r="C74" s="132"/>
      <c r="D74" s="132"/>
      <c r="E74" s="132"/>
      <c r="N74" s="916"/>
      <c r="P74" s="917"/>
      <c r="R74" s="67"/>
      <c r="S74" s="67"/>
      <c r="T74" s="67"/>
      <c r="U74" s="67"/>
    </row>
    <row r="75" spans="1:21" s="75" customFormat="1" hidden="1">
      <c r="A75" s="67"/>
      <c r="B75" s="916"/>
      <c r="C75" s="132"/>
      <c r="D75" s="132"/>
      <c r="E75" s="132"/>
      <c r="N75" s="916"/>
      <c r="P75" s="917"/>
      <c r="R75" s="67"/>
      <c r="S75" s="67"/>
      <c r="T75" s="67"/>
      <c r="U75" s="67"/>
    </row>
    <row r="76" spans="1:21" s="75" customFormat="1" hidden="1">
      <c r="A76" s="67"/>
      <c r="B76" s="916"/>
      <c r="C76" s="132"/>
      <c r="D76" s="132"/>
      <c r="E76" s="132"/>
      <c r="N76" s="916"/>
      <c r="P76" s="917"/>
      <c r="R76" s="67"/>
      <c r="S76" s="67"/>
      <c r="T76" s="67"/>
      <c r="U76" s="67"/>
    </row>
    <row r="77" spans="1:21" s="75" customFormat="1" hidden="1">
      <c r="A77" s="67"/>
      <c r="B77" s="916"/>
      <c r="C77" s="132"/>
      <c r="D77" s="132"/>
      <c r="E77" s="132"/>
      <c r="N77" s="916"/>
      <c r="P77" s="917"/>
      <c r="R77" s="67"/>
      <c r="S77" s="67"/>
      <c r="T77" s="67"/>
      <c r="U77" s="67"/>
    </row>
    <row r="78" spans="1:21" s="75" customFormat="1" hidden="1">
      <c r="A78" s="67"/>
      <c r="B78" s="916"/>
      <c r="C78" s="132"/>
      <c r="D78" s="132"/>
      <c r="E78" s="132"/>
      <c r="N78" s="916"/>
      <c r="P78" s="917"/>
      <c r="R78" s="67"/>
      <c r="S78" s="67"/>
      <c r="T78" s="67"/>
      <c r="U78" s="67"/>
    </row>
    <row r="79" spans="1:21" s="75" customFormat="1" hidden="1">
      <c r="A79" s="67"/>
      <c r="B79" s="916"/>
      <c r="C79" s="132"/>
      <c r="D79" s="132"/>
      <c r="E79" s="132"/>
      <c r="N79" s="916"/>
      <c r="P79" s="917"/>
      <c r="R79" s="67"/>
      <c r="S79" s="67"/>
      <c r="T79" s="67"/>
      <c r="U79" s="67"/>
    </row>
    <row r="80" spans="1:21" s="75" customFormat="1" hidden="1">
      <c r="A80" s="67"/>
      <c r="B80" s="916"/>
      <c r="C80" s="132"/>
      <c r="D80" s="132"/>
      <c r="E80" s="132"/>
      <c r="N80" s="916"/>
      <c r="P80" s="917"/>
      <c r="R80" s="67"/>
      <c r="S80" s="67"/>
      <c r="T80" s="67"/>
      <c r="U80" s="67"/>
    </row>
    <row r="81" spans="1:21" s="75" customFormat="1" hidden="1">
      <c r="A81" s="67"/>
      <c r="B81" s="916"/>
      <c r="C81" s="132"/>
      <c r="D81" s="132"/>
      <c r="E81" s="132"/>
      <c r="N81" s="916"/>
      <c r="P81" s="917"/>
      <c r="R81" s="67"/>
      <c r="S81" s="67"/>
      <c r="T81" s="67"/>
      <c r="U81" s="67"/>
    </row>
    <row r="82" spans="1:21" s="75" customFormat="1" hidden="1">
      <c r="A82" s="67"/>
      <c r="B82" s="916"/>
      <c r="C82" s="132"/>
      <c r="D82" s="132"/>
      <c r="E82" s="132"/>
      <c r="N82" s="916"/>
      <c r="P82" s="917"/>
      <c r="R82" s="67"/>
      <c r="S82" s="67"/>
      <c r="T82" s="67"/>
      <c r="U82" s="67"/>
    </row>
    <row r="83" spans="1:21" s="75" customFormat="1" hidden="1">
      <c r="A83" s="67"/>
      <c r="B83" s="916"/>
      <c r="C83" s="132"/>
      <c r="D83" s="132"/>
      <c r="E83" s="132"/>
      <c r="N83" s="916"/>
      <c r="P83" s="917"/>
      <c r="R83" s="67"/>
      <c r="S83" s="67"/>
      <c r="T83" s="67"/>
      <c r="U83" s="67"/>
    </row>
    <row r="84" spans="1:21" s="75" customFormat="1" hidden="1">
      <c r="A84" s="67"/>
      <c r="B84" s="916"/>
      <c r="C84" s="132"/>
      <c r="D84" s="132"/>
      <c r="E84" s="132"/>
      <c r="N84" s="916"/>
      <c r="P84" s="917"/>
      <c r="R84" s="67"/>
      <c r="S84" s="67"/>
      <c r="T84" s="67"/>
      <c r="U84" s="67"/>
    </row>
    <row r="85" spans="1:21" s="75" customFormat="1" hidden="1">
      <c r="A85" s="67"/>
      <c r="B85" s="916"/>
      <c r="C85" s="132"/>
      <c r="D85" s="132"/>
      <c r="E85" s="132"/>
      <c r="N85" s="916"/>
      <c r="P85" s="917"/>
      <c r="R85" s="67"/>
      <c r="S85" s="67"/>
      <c r="T85" s="67"/>
      <c r="U85" s="67"/>
    </row>
    <row r="86" spans="1:21" s="75" customFormat="1" hidden="1">
      <c r="A86" s="67"/>
      <c r="B86" s="916"/>
      <c r="C86" s="132"/>
      <c r="D86" s="132"/>
      <c r="E86" s="132"/>
      <c r="N86" s="916"/>
      <c r="P86" s="917"/>
      <c r="R86" s="67"/>
      <c r="S86" s="67"/>
      <c r="T86" s="67"/>
      <c r="U86" s="67"/>
    </row>
    <row r="87" spans="1:21" s="75" customFormat="1" hidden="1">
      <c r="A87" s="67"/>
      <c r="B87" s="916"/>
      <c r="C87" s="132"/>
      <c r="D87" s="132"/>
      <c r="E87" s="132"/>
      <c r="N87" s="916"/>
      <c r="P87" s="917"/>
      <c r="R87" s="67"/>
      <c r="S87" s="67"/>
      <c r="T87" s="67"/>
      <c r="U87" s="67"/>
    </row>
    <row r="88" spans="1:21" s="75" customFormat="1" hidden="1">
      <c r="A88" s="67"/>
      <c r="B88" s="916"/>
      <c r="C88" s="132"/>
      <c r="D88" s="132"/>
      <c r="E88" s="132"/>
      <c r="N88" s="916"/>
      <c r="P88" s="917"/>
      <c r="R88" s="67"/>
      <c r="S88" s="67"/>
      <c r="T88" s="67"/>
      <c r="U88" s="67"/>
    </row>
    <row r="89" spans="1:21" s="75" customFormat="1" hidden="1">
      <c r="A89" s="67"/>
      <c r="B89" s="916"/>
      <c r="C89" s="132"/>
      <c r="D89" s="132"/>
      <c r="E89" s="132"/>
      <c r="N89" s="916"/>
      <c r="P89" s="917"/>
      <c r="R89" s="67"/>
      <c r="S89" s="67"/>
      <c r="T89" s="67"/>
      <c r="U89" s="67"/>
    </row>
    <row r="90" spans="1:21" s="75" customFormat="1" hidden="1">
      <c r="A90" s="67"/>
      <c r="B90" s="916"/>
      <c r="C90" s="132"/>
      <c r="D90" s="132"/>
      <c r="E90" s="132"/>
      <c r="N90" s="916"/>
      <c r="P90" s="917"/>
      <c r="R90" s="67"/>
      <c r="S90" s="67"/>
      <c r="T90" s="67"/>
      <c r="U90" s="67"/>
    </row>
    <row r="91" spans="1:21" s="75" customFormat="1" hidden="1">
      <c r="A91" s="67"/>
      <c r="B91" s="916"/>
      <c r="C91" s="132"/>
      <c r="D91" s="132"/>
      <c r="E91" s="132"/>
      <c r="N91" s="916"/>
      <c r="P91" s="917"/>
      <c r="R91" s="67"/>
      <c r="S91" s="67"/>
      <c r="T91" s="67"/>
      <c r="U91" s="67"/>
    </row>
    <row r="92" spans="1:21" s="75" customFormat="1" hidden="1">
      <c r="A92" s="67"/>
      <c r="B92" s="916"/>
      <c r="C92" s="132"/>
      <c r="D92" s="132"/>
      <c r="E92" s="132"/>
      <c r="N92" s="916"/>
      <c r="P92" s="917"/>
      <c r="R92" s="67"/>
      <c r="S92" s="67"/>
      <c r="T92" s="67"/>
      <c r="U92" s="67"/>
    </row>
    <row r="93" spans="1:21" s="75" customFormat="1" hidden="1">
      <c r="A93" s="67"/>
      <c r="B93" s="916"/>
      <c r="C93" s="132"/>
      <c r="D93" s="132"/>
      <c r="E93" s="132"/>
      <c r="N93" s="916"/>
      <c r="P93" s="917"/>
      <c r="R93" s="67"/>
      <c r="S93" s="67"/>
      <c r="T93" s="67"/>
      <c r="U93" s="67"/>
    </row>
    <row r="94" spans="1:21" s="75" customFormat="1" hidden="1">
      <c r="A94" s="67"/>
      <c r="B94" s="916"/>
      <c r="C94" s="132"/>
      <c r="D94" s="132"/>
      <c r="E94" s="132"/>
      <c r="N94" s="916"/>
      <c r="P94" s="917"/>
      <c r="R94" s="67"/>
      <c r="S94" s="67"/>
      <c r="T94" s="67"/>
      <c r="U94" s="67"/>
    </row>
    <row r="95" spans="1:21" s="75" customFormat="1" hidden="1">
      <c r="A95" s="67"/>
      <c r="B95" s="916"/>
      <c r="C95" s="132"/>
      <c r="D95" s="132"/>
      <c r="E95" s="132"/>
      <c r="N95" s="916"/>
      <c r="P95" s="917"/>
      <c r="R95" s="67"/>
      <c r="S95" s="67"/>
      <c r="T95" s="67"/>
      <c r="U95" s="67"/>
    </row>
    <row r="96" spans="1:21" s="75" customFormat="1" hidden="1">
      <c r="A96" s="67"/>
      <c r="B96" s="916"/>
      <c r="C96" s="132"/>
      <c r="D96" s="132"/>
      <c r="E96" s="132"/>
      <c r="N96" s="916"/>
      <c r="P96" s="917"/>
      <c r="R96" s="67"/>
      <c r="S96" s="67"/>
      <c r="T96" s="67"/>
      <c r="U96" s="67"/>
    </row>
    <row r="97" spans="1:21" s="75" customFormat="1" hidden="1">
      <c r="A97" s="67"/>
      <c r="B97" s="916"/>
      <c r="C97" s="132"/>
      <c r="D97" s="132"/>
      <c r="E97" s="132"/>
      <c r="N97" s="916"/>
      <c r="P97" s="917"/>
      <c r="R97" s="67"/>
      <c r="S97" s="67"/>
      <c r="T97" s="67"/>
      <c r="U97" s="67"/>
    </row>
    <row r="98" spans="1:21" s="75" customFormat="1" hidden="1">
      <c r="A98" s="67"/>
      <c r="B98" s="916"/>
      <c r="C98" s="132"/>
      <c r="D98" s="132"/>
      <c r="E98" s="132"/>
      <c r="N98" s="916"/>
      <c r="P98" s="917"/>
      <c r="R98" s="67"/>
      <c r="S98" s="67"/>
      <c r="T98" s="67"/>
      <c r="U98" s="67"/>
    </row>
    <row r="99" spans="1:21" s="75" customFormat="1" hidden="1">
      <c r="A99" s="67"/>
      <c r="B99" s="916"/>
      <c r="C99" s="132"/>
      <c r="D99" s="132"/>
      <c r="E99" s="132"/>
      <c r="N99" s="916"/>
      <c r="P99" s="917"/>
      <c r="R99" s="67"/>
      <c r="S99" s="67"/>
      <c r="T99" s="67"/>
      <c r="U99" s="67"/>
    </row>
    <row r="100" spans="1:21" s="75" customFormat="1" hidden="1">
      <c r="A100" s="67"/>
      <c r="B100" s="916"/>
      <c r="C100" s="132"/>
      <c r="D100" s="132"/>
      <c r="E100" s="132"/>
      <c r="N100" s="916"/>
      <c r="P100" s="917"/>
      <c r="R100" s="67"/>
      <c r="S100" s="67"/>
      <c r="T100" s="67"/>
      <c r="U100" s="67"/>
    </row>
    <row r="101" spans="1:21" s="75" customFormat="1" hidden="1">
      <c r="A101" s="67"/>
      <c r="B101" s="916"/>
      <c r="C101" s="132"/>
      <c r="D101" s="132"/>
      <c r="E101" s="132"/>
      <c r="N101" s="916"/>
      <c r="P101" s="917"/>
      <c r="R101" s="67"/>
      <c r="S101" s="67"/>
      <c r="T101" s="67"/>
      <c r="U101" s="67"/>
    </row>
    <row r="102" spans="1:21" s="75" customFormat="1" hidden="1">
      <c r="A102" s="67"/>
      <c r="B102" s="916"/>
      <c r="C102" s="132"/>
      <c r="D102" s="132"/>
      <c r="E102" s="132"/>
      <c r="N102" s="916"/>
      <c r="P102" s="917"/>
      <c r="R102" s="67"/>
      <c r="S102" s="67"/>
      <c r="T102" s="67"/>
      <c r="U102" s="67"/>
    </row>
    <row r="103" spans="1:21" s="75" customFormat="1" hidden="1">
      <c r="A103" s="67"/>
      <c r="B103" s="916"/>
      <c r="C103" s="132"/>
      <c r="D103" s="132"/>
      <c r="E103" s="132"/>
      <c r="N103" s="916"/>
      <c r="P103" s="917"/>
      <c r="R103" s="67"/>
      <c r="S103" s="67"/>
      <c r="T103" s="67"/>
      <c r="U103" s="67"/>
    </row>
    <row r="104" spans="1:21" s="75" customFormat="1" hidden="1">
      <c r="A104" s="67"/>
      <c r="B104" s="916"/>
      <c r="C104" s="132"/>
      <c r="D104" s="132"/>
      <c r="E104" s="132"/>
      <c r="N104" s="916"/>
      <c r="P104" s="917"/>
      <c r="R104" s="67"/>
      <c r="S104" s="67"/>
      <c r="T104" s="67"/>
      <c r="U104" s="67"/>
    </row>
    <row r="105" spans="1:21" s="75" customFormat="1" hidden="1">
      <c r="A105" s="67"/>
      <c r="B105" s="916"/>
      <c r="C105" s="132"/>
      <c r="D105" s="132"/>
      <c r="E105" s="132"/>
      <c r="N105" s="916"/>
      <c r="P105" s="917"/>
      <c r="R105" s="67"/>
      <c r="S105" s="67"/>
      <c r="T105" s="67"/>
      <c r="U105" s="67"/>
    </row>
    <row r="106" spans="1:21" s="75" customFormat="1" hidden="1">
      <c r="A106" s="67"/>
      <c r="B106" s="916"/>
      <c r="C106" s="132"/>
      <c r="D106" s="132"/>
      <c r="E106" s="132"/>
      <c r="N106" s="916"/>
      <c r="P106" s="917"/>
      <c r="R106" s="67"/>
      <c r="S106" s="67"/>
      <c r="T106" s="67"/>
      <c r="U106" s="67"/>
    </row>
    <row r="107" spans="1:21" s="75" customFormat="1" hidden="1">
      <c r="A107" s="67"/>
      <c r="B107" s="916"/>
      <c r="C107" s="132"/>
      <c r="D107" s="132"/>
      <c r="E107" s="132"/>
      <c r="N107" s="916"/>
      <c r="P107" s="917"/>
      <c r="R107" s="67"/>
      <c r="S107" s="67"/>
      <c r="T107" s="67"/>
      <c r="U107" s="67"/>
    </row>
    <row r="108" spans="1:21" s="75" customFormat="1" hidden="1">
      <c r="A108" s="67"/>
      <c r="B108" s="916"/>
      <c r="C108" s="132"/>
      <c r="D108" s="132"/>
      <c r="E108" s="132"/>
      <c r="N108" s="916"/>
      <c r="P108" s="917"/>
      <c r="R108" s="67"/>
      <c r="S108" s="67"/>
      <c r="T108" s="67"/>
      <c r="U108" s="67"/>
    </row>
    <row r="109" spans="1:21" s="75" customFormat="1" hidden="1">
      <c r="A109" s="67"/>
      <c r="B109" s="916"/>
      <c r="C109" s="132"/>
      <c r="D109" s="132"/>
      <c r="E109" s="132"/>
      <c r="N109" s="916"/>
      <c r="P109" s="917"/>
      <c r="R109" s="67"/>
      <c r="S109" s="67"/>
      <c r="T109" s="67"/>
      <c r="U109" s="67"/>
    </row>
    <row r="110" spans="1:21" s="75" customFormat="1" hidden="1">
      <c r="A110" s="67"/>
      <c r="B110" s="916"/>
      <c r="C110" s="132"/>
      <c r="D110" s="132"/>
      <c r="E110" s="132"/>
      <c r="N110" s="916"/>
      <c r="P110" s="917"/>
      <c r="R110" s="67"/>
      <c r="S110" s="67"/>
      <c r="T110" s="67"/>
      <c r="U110" s="67"/>
    </row>
    <row r="111" spans="1:21" s="75" customFormat="1" hidden="1">
      <c r="A111" s="67"/>
      <c r="B111" s="916"/>
      <c r="C111" s="132"/>
      <c r="D111" s="132"/>
      <c r="E111" s="132"/>
      <c r="N111" s="916"/>
      <c r="P111" s="917"/>
      <c r="R111" s="67"/>
      <c r="S111" s="67"/>
      <c r="T111" s="67"/>
      <c r="U111" s="67"/>
    </row>
    <row r="112" spans="1:21" s="75" customFormat="1" hidden="1">
      <c r="A112" s="67"/>
      <c r="B112" s="916"/>
      <c r="C112" s="132"/>
      <c r="D112" s="132"/>
      <c r="E112" s="132"/>
      <c r="N112" s="916"/>
      <c r="P112" s="917"/>
      <c r="R112" s="67"/>
      <c r="S112" s="67"/>
      <c r="T112" s="67"/>
      <c r="U112" s="67"/>
    </row>
    <row r="113" spans="1:21" s="75" customFormat="1" hidden="1">
      <c r="A113" s="67"/>
      <c r="B113" s="916"/>
      <c r="C113" s="132"/>
      <c r="D113" s="132"/>
      <c r="E113" s="132"/>
      <c r="N113" s="916"/>
      <c r="P113" s="917"/>
      <c r="R113" s="67"/>
      <c r="S113" s="67"/>
      <c r="T113" s="67"/>
      <c r="U113" s="67"/>
    </row>
    <row r="114" spans="1:21" s="75" customFormat="1" hidden="1">
      <c r="A114" s="67"/>
      <c r="B114" s="916"/>
      <c r="C114" s="132"/>
      <c r="D114" s="132"/>
      <c r="E114" s="132"/>
      <c r="N114" s="916"/>
      <c r="P114" s="917"/>
      <c r="R114" s="67"/>
      <c r="S114" s="67"/>
      <c r="T114" s="67"/>
      <c r="U114" s="67"/>
    </row>
    <row r="115" spans="1:21" s="75" customFormat="1" hidden="1">
      <c r="A115" s="67"/>
      <c r="B115" s="916"/>
      <c r="C115" s="132"/>
      <c r="D115" s="132"/>
      <c r="E115" s="132"/>
      <c r="N115" s="916"/>
      <c r="P115" s="917"/>
      <c r="R115" s="67"/>
      <c r="S115" s="67"/>
      <c r="T115" s="67"/>
      <c r="U115" s="67"/>
    </row>
    <row r="116" spans="1:21" s="75" customFormat="1" hidden="1">
      <c r="A116" s="67"/>
      <c r="B116" s="916"/>
      <c r="C116" s="132"/>
      <c r="D116" s="132"/>
      <c r="E116" s="132"/>
      <c r="N116" s="916"/>
      <c r="P116" s="917"/>
      <c r="R116" s="67"/>
      <c r="S116" s="67"/>
      <c r="T116" s="67"/>
      <c r="U116" s="67"/>
    </row>
    <row r="117" spans="1:21" s="75" customFormat="1" hidden="1">
      <c r="A117" s="67"/>
      <c r="B117" s="916"/>
      <c r="C117" s="132"/>
      <c r="D117" s="132"/>
      <c r="E117" s="132"/>
      <c r="N117" s="916"/>
      <c r="P117" s="917"/>
      <c r="R117" s="67"/>
      <c r="S117" s="67"/>
      <c r="T117" s="67"/>
      <c r="U117" s="67"/>
    </row>
    <row r="118" spans="1:21" s="75" customFormat="1" hidden="1">
      <c r="A118" s="67"/>
      <c r="B118" s="916"/>
      <c r="C118" s="132"/>
      <c r="D118" s="132"/>
      <c r="E118" s="132"/>
      <c r="N118" s="916"/>
      <c r="P118" s="917"/>
      <c r="R118" s="67"/>
      <c r="S118" s="67"/>
      <c r="T118" s="67"/>
      <c r="U118" s="67"/>
    </row>
    <row r="119" spans="1:21" s="75" customFormat="1" hidden="1">
      <c r="A119" s="67"/>
      <c r="B119" s="916"/>
      <c r="C119" s="132"/>
      <c r="D119" s="132"/>
      <c r="E119" s="132"/>
      <c r="N119" s="916"/>
      <c r="P119" s="917"/>
      <c r="R119" s="67"/>
      <c r="S119" s="67"/>
      <c r="T119" s="67"/>
      <c r="U119" s="67"/>
    </row>
    <row r="120" spans="1:21" s="75" customFormat="1" hidden="1">
      <c r="A120" s="67"/>
      <c r="B120" s="916"/>
      <c r="C120" s="132"/>
      <c r="D120" s="132"/>
      <c r="E120" s="132"/>
      <c r="N120" s="916"/>
      <c r="P120" s="917"/>
      <c r="R120" s="67"/>
      <c r="S120" s="67"/>
      <c r="T120" s="67"/>
      <c r="U120" s="67"/>
    </row>
    <row r="121" spans="1:21" s="75" customFormat="1" hidden="1">
      <c r="A121" s="67"/>
      <c r="B121" s="916"/>
      <c r="C121" s="132"/>
      <c r="D121" s="132"/>
      <c r="E121" s="132"/>
      <c r="N121" s="916"/>
      <c r="P121" s="917"/>
      <c r="R121" s="67"/>
      <c r="S121" s="67"/>
      <c r="T121" s="67"/>
      <c r="U121" s="67"/>
    </row>
    <row r="122" spans="1:21" s="75" customFormat="1" hidden="1">
      <c r="A122" s="67"/>
      <c r="B122" s="916"/>
      <c r="C122" s="132"/>
      <c r="D122" s="132"/>
      <c r="E122" s="132"/>
      <c r="N122" s="916"/>
      <c r="P122" s="917"/>
      <c r="R122" s="67"/>
      <c r="S122" s="67"/>
      <c r="T122" s="67"/>
      <c r="U122" s="67"/>
    </row>
    <row r="123" spans="1:21" s="75" customFormat="1" hidden="1">
      <c r="A123" s="67"/>
      <c r="B123" s="916"/>
      <c r="C123" s="132"/>
      <c r="D123" s="132"/>
      <c r="E123" s="132"/>
      <c r="N123" s="916"/>
      <c r="P123" s="917"/>
      <c r="R123" s="67"/>
      <c r="S123" s="67"/>
      <c r="T123" s="67"/>
      <c r="U123" s="67"/>
    </row>
    <row r="124" spans="1:21" s="75" customFormat="1" hidden="1">
      <c r="A124" s="67"/>
      <c r="B124" s="916"/>
      <c r="C124" s="132"/>
      <c r="D124" s="132"/>
      <c r="E124" s="132"/>
      <c r="N124" s="916"/>
      <c r="P124" s="917"/>
      <c r="R124" s="67"/>
      <c r="S124" s="67"/>
      <c r="T124" s="67"/>
      <c r="U124" s="67"/>
    </row>
    <row r="125" spans="1:21" s="75" customFormat="1" hidden="1">
      <c r="A125" s="67"/>
      <c r="B125" s="916"/>
      <c r="C125" s="132"/>
      <c r="D125" s="132"/>
      <c r="E125" s="132"/>
      <c r="N125" s="916"/>
      <c r="P125" s="917"/>
      <c r="R125" s="67"/>
      <c r="S125" s="67"/>
      <c r="T125" s="67"/>
      <c r="U125" s="67"/>
    </row>
    <row r="126" spans="1:21" s="75" customFormat="1" hidden="1">
      <c r="A126" s="67"/>
      <c r="B126" s="916"/>
      <c r="C126" s="132"/>
      <c r="D126" s="132"/>
      <c r="E126" s="132"/>
      <c r="N126" s="916"/>
      <c r="P126" s="917"/>
      <c r="R126" s="67"/>
      <c r="S126" s="67"/>
      <c r="T126" s="67"/>
      <c r="U126" s="67"/>
    </row>
    <row r="127" spans="1:21" s="75" customFormat="1" hidden="1">
      <c r="A127" s="67"/>
      <c r="B127" s="916"/>
      <c r="C127" s="132"/>
      <c r="D127" s="132"/>
      <c r="E127" s="132"/>
      <c r="N127" s="916"/>
      <c r="P127" s="917"/>
      <c r="R127" s="67"/>
      <c r="S127" s="67"/>
      <c r="T127" s="67"/>
      <c r="U127" s="67"/>
    </row>
    <row r="128" spans="1:21" s="75" customFormat="1" hidden="1">
      <c r="A128" s="67"/>
      <c r="B128" s="916"/>
      <c r="C128" s="132"/>
      <c r="D128" s="132"/>
      <c r="E128" s="132"/>
      <c r="N128" s="916"/>
      <c r="P128" s="917"/>
      <c r="R128" s="67"/>
      <c r="S128" s="67"/>
      <c r="T128" s="67"/>
      <c r="U128" s="67"/>
    </row>
    <row r="129" spans="1:21" s="75" customFormat="1" hidden="1">
      <c r="A129" s="67"/>
      <c r="B129" s="916"/>
      <c r="C129" s="132"/>
      <c r="D129" s="132"/>
      <c r="E129" s="132"/>
      <c r="N129" s="916"/>
      <c r="P129" s="917"/>
      <c r="R129" s="67"/>
      <c r="S129" s="67"/>
      <c r="T129" s="67"/>
      <c r="U129" s="67"/>
    </row>
    <row r="130" spans="1:21" s="75" customFormat="1" hidden="1">
      <c r="A130" s="67"/>
      <c r="B130" s="916"/>
      <c r="C130" s="132"/>
      <c r="D130" s="132"/>
      <c r="E130" s="132"/>
      <c r="N130" s="916"/>
      <c r="P130" s="917"/>
      <c r="R130" s="67"/>
      <c r="S130" s="67"/>
      <c r="T130" s="67"/>
      <c r="U130" s="67"/>
    </row>
    <row r="131" spans="1:21" s="75" customFormat="1" hidden="1">
      <c r="A131" s="67"/>
      <c r="B131" s="916"/>
      <c r="C131" s="132"/>
      <c r="D131" s="132"/>
      <c r="E131" s="132"/>
      <c r="N131" s="916"/>
      <c r="P131" s="917"/>
      <c r="R131" s="67"/>
      <c r="S131" s="67"/>
      <c r="T131" s="67"/>
      <c r="U131" s="67"/>
    </row>
    <row r="132" spans="1:21" s="75" customFormat="1" hidden="1">
      <c r="A132" s="67"/>
      <c r="B132" s="916"/>
      <c r="C132" s="132"/>
      <c r="D132" s="132"/>
      <c r="E132" s="132"/>
      <c r="N132" s="916"/>
      <c r="P132" s="917"/>
      <c r="R132" s="67"/>
      <c r="S132" s="67"/>
      <c r="T132" s="67"/>
      <c r="U132" s="67"/>
    </row>
    <row r="133" spans="1:21" s="75" customFormat="1" hidden="1">
      <c r="A133" s="67"/>
      <c r="B133" s="916"/>
      <c r="C133" s="132"/>
      <c r="D133" s="132"/>
      <c r="E133" s="132"/>
      <c r="N133" s="916"/>
      <c r="P133" s="917"/>
      <c r="R133" s="67"/>
      <c r="S133" s="67"/>
      <c r="T133" s="67"/>
      <c r="U133" s="67"/>
    </row>
    <row r="134" spans="1:21" s="75" customFormat="1" hidden="1">
      <c r="A134" s="67"/>
      <c r="B134" s="916"/>
      <c r="C134" s="132"/>
      <c r="D134" s="132"/>
      <c r="E134" s="132"/>
      <c r="N134" s="916"/>
      <c r="P134" s="917"/>
      <c r="R134" s="67"/>
      <c r="S134" s="67"/>
      <c r="T134" s="67"/>
      <c r="U134" s="67"/>
    </row>
    <row r="135" spans="1:21" s="75" customFormat="1" hidden="1">
      <c r="A135" s="67"/>
      <c r="B135" s="916"/>
      <c r="C135" s="132"/>
      <c r="D135" s="132"/>
      <c r="E135" s="132"/>
      <c r="N135" s="916"/>
      <c r="P135" s="917"/>
      <c r="R135" s="67"/>
      <c r="S135" s="67"/>
      <c r="T135" s="67"/>
      <c r="U135" s="67"/>
    </row>
    <row r="136" spans="1:21" s="75" customFormat="1" hidden="1">
      <c r="A136" s="67"/>
      <c r="B136" s="916"/>
      <c r="C136" s="132"/>
      <c r="D136" s="132"/>
      <c r="E136" s="132"/>
      <c r="N136" s="916"/>
      <c r="P136" s="917"/>
      <c r="R136" s="67"/>
      <c r="S136" s="67"/>
      <c r="T136" s="67"/>
      <c r="U136" s="67"/>
    </row>
    <row r="137" spans="1:21" s="75" customFormat="1" hidden="1">
      <c r="A137" s="67"/>
      <c r="B137" s="916"/>
      <c r="C137" s="132"/>
      <c r="D137" s="132"/>
      <c r="E137" s="132"/>
      <c r="N137" s="916"/>
      <c r="P137" s="917"/>
      <c r="R137" s="67"/>
      <c r="S137" s="67"/>
      <c r="T137" s="67"/>
      <c r="U137" s="67"/>
    </row>
    <row r="138" spans="1:21" s="75" customFormat="1" hidden="1">
      <c r="A138" s="67"/>
      <c r="B138" s="916"/>
      <c r="C138" s="132"/>
      <c r="D138" s="132"/>
      <c r="E138" s="132"/>
      <c r="N138" s="916"/>
      <c r="P138" s="917"/>
      <c r="R138" s="67"/>
      <c r="S138" s="67"/>
      <c r="T138" s="67"/>
      <c r="U138" s="67"/>
    </row>
    <row r="139" spans="1:21" s="75" customFormat="1" hidden="1">
      <c r="A139" s="67"/>
      <c r="B139" s="916"/>
      <c r="C139" s="132"/>
      <c r="D139" s="132"/>
      <c r="E139" s="132"/>
      <c r="N139" s="916"/>
      <c r="P139" s="917"/>
      <c r="R139" s="67"/>
      <c r="S139" s="67"/>
      <c r="T139" s="67"/>
      <c r="U139" s="67"/>
    </row>
    <row r="140" spans="1:21" s="75" customFormat="1" hidden="1">
      <c r="A140" s="67"/>
      <c r="B140" s="916"/>
      <c r="C140" s="132"/>
      <c r="D140" s="132"/>
      <c r="E140" s="132"/>
      <c r="N140" s="916"/>
      <c r="P140" s="917"/>
      <c r="R140" s="67"/>
      <c r="S140" s="67"/>
      <c r="T140" s="67"/>
      <c r="U140" s="67"/>
    </row>
    <row r="141" spans="1:21" s="75" customFormat="1" hidden="1">
      <c r="A141" s="67"/>
      <c r="B141" s="916"/>
      <c r="C141" s="132"/>
      <c r="D141" s="132"/>
      <c r="E141" s="132"/>
      <c r="N141" s="916"/>
      <c r="P141" s="917"/>
      <c r="R141" s="67"/>
      <c r="S141" s="67"/>
      <c r="T141" s="67"/>
      <c r="U141" s="67"/>
    </row>
    <row r="142" spans="1:21" s="75" customFormat="1" hidden="1">
      <c r="A142" s="67"/>
      <c r="B142" s="916"/>
      <c r="C142" s="132"/>
      <c r="D142" s="132"/>
      <c r="E142" s="132"/>
      <c r="N142" s="916"/>
      <c r="P142" s="917"/>
      <c r="R142" s="67"/>
      <c r="S142" s="67"/>
      <c r="T142" s="67"/>
      <c r="U142" s="67"/>
    </row>
    <row r="143" spans="1:21" s="75" customFormat="1" hidden="1">
      <c r="A143" s="67"/>
      <c r="B143" s="916"/>
      <c r="C143" s="132"/>
      <c r="D143" s="132"/>
      <c r="E143" s="132"/>
      <c r="N143" s="916"/>
      <c r="P143" s="917"/>
      <c r="R143" s="67"/>
      <c r="S143" s="67"/>
      <c r="T143" s="67"/>
      <c r="U143" s="67"/>
    </row>
    <row r="144" spans="1:21" s="75" customFormat="1" hidden="1">
      <c r="A144" s="67"/>
      <c r="B144" s="916"/>
      <c r="C144" s="132"/>
      <c r="D144" s="132"/>
      <c r="E144" s="132"/>
      <c r="N144" s="916"/>
      <c r="P144" s="917"/>
      <c r="R144" s="67"/>
      <c r="S144" s="67"/>
      <c r="T144" s="67"/>
      <c r="U144" s="67"/>
    </row>
    <row r="145" spans="1:21" s="75" customFormat="1" hidden="1">
      <c r="A145" s="67"/>
      <c r="B145" s="916"/>
      <c r="C145" s="132"/>
      <c r="D145" s="132"/>
      <c r="E145" s="132"/>
      <c r="N145" s="916"/>
      <c r="P145" s="917"/>
      <c r="R145" s="67"/>
      <c r="S145" s="67"/>
      <c r="T145" s="67"/>
      <c r="U145" s="67"/>
    </row>
    <row r="146" spans="1:21" s="75" customFormat="1" hidden="1">
      <c r="A146" s="67"/>
      <c r="B146" s="916"/>
      <c r="C146" s="132"/>
      <c r="D146" s="132"/>
      <c r="E146" s="132"/>
      <c r="N146" s="916"/>
      <c r="P146" s="917"/>
      <c r="R146" s="67"/>
      <c r="S146" s="67"/>
      <c r="T146" s="67"/>
      <c r="U146" s="67"/>
    </row>
    <row r="147" spans="1:21" s="75" customFormat="1" hidden="1">
      <c r="A147" s="67"/>
      <c r="B147" s="916"/>
      <c r="C147" s="132"/>
      <c r="D147" s="132"/>
      <c r="E147" s="132"/>
      <c r="N147" s="916"/>
      <c r="P147" s="917"/>
      <c r="R147" s="67"/>
      <c r="S147" s="67"/>
      <c r="T147" s="67"/>
      <c r="U147" s="67"/>
    </row>
    <row r="148" spans="1:21" s="75" customFormat="1" hidden="1">
      <c r="A148" s="67"/>
      <c r="B148" s="916"/>
      <c r="C148" s="132"/>
      <c r="D148" s="132"/>
      <c r="E148" s="132"/>
      <c r="N148" s="916"/>
      <c r="P148" s="917"/>
      <c r="R148" s="67"/>
      <c r="S148" s="67"/>
      <c r="T148" s="67"/>
      <c r="U148" s="67"/>
    </row>
    <row r="149" spans="1:21" s="75" customFormat="1" hidden="1">
      <c r="A149" s="67"/>
      <c r="B149" s="916"/>
      <c r="C149" s="132"/>
      <c r="D149" s="132"/>
      <c r="E149" s="132"/>
      <c r="N149" s="916"/>
      <c r="P149" s="917"/>
      <c r="R149" s="67"/>
      <c r="S149" s="67"/>
      <c r="T149" s="67"/>
      <c r="U149" s="67"/>
    </row>
    <row r="150" spans="1:21" s="75" customFormat="1" hidden="1">
      <c r="A150" s="67"/>
      <c r="B150" s="916"/>
      <c r="C150" s="132"/>
      <c r="D150" s="132"/>
      <c r="E150" s="132"/>
      <c r="N150" s="916"/>
      <c r="P150" s="917"/>
      <c r="R150" s="67"/>
      <c r="S150" s="67"/>
      <c r="T150" s="67"/>
      <c r="U150" s="67"/>
    </row>
    <row r="151" spans="1:21" s="75" customFormat="1" hidden="1">
      <c r="A151" s="67"/>
      <c r="B151" s="916"/>
      <c r="C151" s="132"/>
      <c r="D151" s="132"/>
      <c r="E151" s="132"/>
      <c r="N151" s="916"/>
      <c r="P151" s="917"/>
      <c r="R151" s="67"/>
      <c r="S151" s="67"/>
      <c r="T151" s="67"/>
      <c r="U151" s="67"/>
    </row>
    <row r="152" spans="1:21" s="75" customFormat="1" hidden="1">
      <c r="A152" s="67"/>
      <c r="B152" s="916"/>
      <c r="C152" s="132"/>
      <c r="D152" s="132"/>
      <c r="E152" s="132"/>
      <c r="N152" s="916"/>
      <c r="P152" s="917"/>
      <c r="R152" s="67"/>
      <c r="S152" s="67"/>
      <c r="T152" s="67"/>
      <c r="U152" s="67"/>
    </row>
    <row r="153" spans="1:21" s="75" customFormat="1" hidden="1">
      <c r="A153" s="67"/>
      <c r="B153" s="916"/>
      <c r="C153" s="132"/>
      <c r="D153" s="132"/>
      <c r="E153" s="132"/>
      <c r="N153" s="916"/>
      <c r="P153" s="917"/>
      <c r="R153" s="67"/>
      <c r="S153" s="67"/>
      <c r="T153" s="67"/>
      <c r="U153" s="67"/>
    </row>
    <row r="154" spans="1:21" s="75" customFormat="1" hidden="1">
      <c r="A154" s="67"/>
      <c r="B154" s="916"/>
      <c r="C154" s="132"/>
      <c r="D154" s="132"/>
      <c r="E154" s="132"/>
      <c r="N154" s="916"/>
      <c r="P154" s="917"/>
      <c r="R154" s="67"/>
      <c r="S154" s="67"/>
      <c r="T154" s="67"/>
      <c r="U154" s="67"/>
    </row>
    <row r="155" spans="1:21" s="75" customFormat="1" hidden="1">
      <c r="A155" s="67"/>
      <c r="B155" s="916"/>
      <c r="C155" s="132"/>
      <c r="D155" s="132"/>
      <c r="E155" s="132"/>
      <c r="N155" s="916"/>
      <c r="P155" s="917"/>
      <c r="R155" s="67"/>
      <c r="S155" s="67"/>
      <c r="T155" s="67"/>
      <c r="U155" s="67"/>
    </row>
    <row r="156" spans="1:21" s="75" customFormat="1" hidden="1">
      <c r="A156" s="67"/>
      <c r="B156" s="916"/>
      <c r="C156" s="132"/>
      <c r="D156" s="132"/>
      <c r="E156" s="132"/>
      <c r="N156" s="916"/>
      <c r="P156" s="917"/>
      <c r="R156" s="67"/>
      <c r="S156" s="67"/>
      <c r="T156" s="67"/>
      <c r="U156" s="67"/>
    </row>
    <row r="157" spans="1:21" s="75" customFormat="1" hidden="1">
      <c r="A157" s="67"/>
      <c r="B157" s="916"/>
      <c r="C157" s="132"/>
      <c r="D157" s="132"/>
      <c r="E157" s="132"/>
      <c r="N157" s="916"/>
      <c r="P157" s="917"/>
      <c r="R157" s="67"/>
      <c r="S157" s="67"/>
      <c r="T157" s="67"/>
      <c r="U157" s="67"/>
    </row>
    <row r="158" spans="1:21" s="75" customFormat="1" hidden="1">
      <c r="A158" s="67"/>
      <c r="B158" s="916"/>
      <c r="C158" s="132"/>
      <c r="D158" s="132"/>
      <c r="E158" s="132"/>
      <c r="N158" s="916"/>
      <c r="P158" s="917"/>
      <c r="R158" s="67"/>
      <c r="S158" s="67"/>
      <c r="T158" s="67"/>
      <c r="U158" s="67"/>
    </row>
    <row r="159" spans="1:21" s="75" customFormat="1" hidden="1">
      <c r="A159" s="67"/>
      <c r="B159" s="916"/>
      <c r="C159" s="132"/>
      <c r="D159" s="132"/>
      <c r="E159" s="132"/>
      <c r="N159" s="916"/>
      <c r="P159" s="917"/>
      <c r="R159" s="67"/>
      <c r="S159" s="67"/>
      <c r="T159" s="67"/>
      <c r="U159" s="67"/>
    </row>
    <row r="160" spans="1:21" s="75" customFormat="1" hidden="1">
      <c r="A160" s="67"/>
      <c r="B160" s="916"/>
      <c r="C160" s="132"/>
      <c r="D160" s="132"/>
      <c r="E160" s="132"/>
      <c r="N160" s="916"/>
      <c r="P160" s="917"/>
      <c r="R160" s="67"/>
      <c r="S160" s="67"/>
      <c r="T160" s="67"/>
      <c r="U160" s="67"/>
    </row>
    <row r="161" spans="1:21" s="75" customFormat="1" hidden="1">
      <c r="A161" s="67"/>
      <c r="B161" s="916"/>
      <c r="C161" s="132"/>
      <c r="D161" s="132"/>
      <c r="E161" s="132"/>
      <c r="N161" s="916"/>
      <c r="P161" s="917"/>
      <c r="R161" s="67"/>
      <c r="S161" s="67"/>
      <c r="T161" s="67"/>
      <c r="U161" s="67"/>
    </row>
    <row r="162" spans="1:21" s="75" customFormat="1" hidden="1">
      <c r="A162" s="67"/>
      <c r="B162" s="916"/>
      <c r="C162" s="132"/>
      <c r="D162" s="132"/>
      <c r="E162" s="132"/>
      <c r="N162" s="916"/>
      <c r="P162" s="917"/>
      <c r="R162" s="67"/>
      <c r="S162" s="67"/>
      <c r="T162" s="67"/>
      <c r="U162" s="67"/>
    </row>
    <row r="163" spans="1:21" s="75" customFormat="1" hidden="1">
      <c r="A163" s="67"/>
      <c r="B163" s="916"/>
      <c r="C163" s="132"/>
      <c r="D163" s="132"/>
      <c r="E163" s="132"/>
      <c r="N163" s="916"/>
      <c r="P163" s="917"/>
      <c r="R163" s="67"/>
      <c r="S163" s="67"/>
      <c r="T163" s="67"/>
      <c r="U163" s="67"/>
    </row>
    <row r="164" spans="1:21" s="75" customFormat="1" hidden="1">
      <c r="A164" s="67"/>
      <c r="B164" s="916"/>
      <c r="C164" s="132"/>
      <c r="D164" s="132"/>
      <c r="E164" s="132"/>
      <c r="N164" s="916"/>
      <c r="P164" s="917"/>
      <c r="R164" s="67"/>
      <c r="S164" s="67"/>
      <c r="T164" s="67"/>
      <c r="U164" s="67"/>
    </row>
    <row r="165" spans="1:21" s="75" customFormat="1" hidden="1">
      <c r="A165" s="67"/>
      <c r="B165" s="916"/>
      <c r="C165" s="132"/>
      <c r="D165" s="132"/>
      <c r="E165" s="132"/>
      <c r="N165" s="916"/>
      <c r="P165" s="917"/>
      <c r="R165" s="67"/>
      <c r="S165" s="67"/>
      <c r="T165" s="67"/>
      <c r="U165" s="67"/>
    </row>
    <row r="166" spans="1:21" s="75" customFormat="1" hidden="1">
      <c r="A166" s="67"/>
      <c r="B166" s="916"/>
      <c r="C166" s="132"/>
      <c r="D166" s="132"/>
      <c r="E166" s="132"/>
      <c r="N166" s="916"/>
      <c r="P166" s="917"/>
      <c r="R166" s="67"/>
      <c r="S166" s="67"/>
      <c r="T166" s="67"/>
      <c r="U166" s="67"/>
    </row>
    <row r="167" spans="1:21" s="75" customFormat="1" hidden="1">
      <c r="A167" s="67"/>
      <c r="B167" s="916"/>
      <c r="C167" s="132"/>
      <c r="D167" s="132"/>
      <c r="E167" s="132"/>
      <c r="N167" s="916"/>
      <c r="P167" s="917"/>
      <c r="R167" s="67"/>
      <c r="S167" s="67"/>
      <c r="T167" s="67"/>
      <c r="U167" s="67"/>
    </row>
    <row r="168" spans="1:21" s="75" customFormat="1" hidden="1">
      <c r="A168" s="67"/>
      <c r="B168" s="916"/>
      <c r="C168" s="132"/>
      <c r="D168" s="132"/>
      <c r="E168" s="132"/>
      <c r="N168" s="916"/>
      <c r="P168" s="917"/>
      <c r="R168" s="67"/>
      <c r="S168" s="67"/>
      <c r="T168" s="67"/>
      <c r="U168" s="67"/>
    </row>
    <row r="169" spans="1:21" s="75" customFormat="1" hidden="1">
      <c r="A169" s="67"/>
      <c r="B169" s="916"/>
      <c r="C169" s="132"/>
      <c r="D169" s="132"/>
      <c r="E169" s="132"/>
      <c r="N169" s="916"/>
      <c r="P169" s="917"/>
      <c r="R169" s="67"/>
      <c r="S169" s="67"/>
      <c r="T169" s="67"/>
      <c r="U169" s="67"/>
    </row>
    <row r="170" spans="1:21" s="75" customFormat="1" hidden="1">
      <c r="A170" s="67"/>
      <c r="B170" s="916"/>
      <c r="C170" s="132"/>
      <c r="D170" s="132"/>
      <c r="E170" s="132"/>
      <c r="N170" s="916"/>
      <c r="P170" s="917"/>
      <c r="R170" s="67"/>
      <c r="S170" s="67"/>
      <c r="T170" s="67"/>
      <c r="U170" s="67"/>
    </row>
    <row r="171" spans="1:21" s="75" customFormat="1" hidden="1">
      <c r="A171" s="67"/>
      <c r="B171" s="916"/>
      <c r="C171" s="132"/>
      <c r="D171" s="132"/>
      <c r="E171" s="132"/>
      <c r="N171" s="916"/>
      <c r="P171" s="917"/>
      <c r="R171" s="67"/>
      <c r="S171" s="67"/>
      <c r="T171" s="67"/>
      <c r="U171" s="67"/>
    </row>
    <row r="172" spans="1:21" s="75" customFormat="1" hidden="1">
      <c r="A172" s="67"/>
      <c r="B172" s="916"/>
      <c r="C172" s="132"/>
      <c r="D172" s="132"/>
      <c r="E172" s="132"/>
      <c r="N172" s="916"/>
      <c r="P172" s="917"/>
      <c r="R172" s="67"/>
      <c r="S172" s="67"/>
      <c r="T172" s="67"/>
      <c r="U172" s="67"/>
    </row>
    <row r="173" spans="1:21" s="75" customFormat="1" hidden="1">
      <c r="A173" s="67"/>
      <c r="B173" s="916"/>
      <c r="C173" s="132"/>
      <c r="D173" s="132"/>
      <c r="E173" s="132"/>
      <c r="N173" s="916"/>
      <c r="P173" s="917"/>
      <c r="R173" s="67"/>
      <c r="S173" s="67"/>
      <c r="T173" s="67"/>
      <c r="U173" s="67"/>
    </row>
    <row r="174" spans="1:21" s="75" customFormat="1" hidden="1">
      <c r="A174" s="67"/>
      <c r="B174" s="916"/>
      <c r="C174" s="132"/>
      <c r="D174" s="132"/>
      <c r="E174" s="132"/>
      <c r="N174" s="916"/>
      <c r="P174" s="917"/>
      <c r="R174" s="67"/>
      <c r="S174" s="67"/>
      <c r="T174" s="67"/>
      <c r="U174" s="67"/>
    </row>
    <row r="175" spans="1:21" s="75" customFormat="1" hidden="1">
      <c r="A175" s="67"/>
      <c r="B175" s="916"/>
      <c r="C175" s="132"/>
      <c r="D175" s="132"/>
      <c r="E175" s="132"/>
      <c r="N175" s="916"/>
      <c r="P175" s="917"/>
      <c r="R175" s="67"/>
      <c r="S175" s="67"/>
      <c r="T175" s="67"/>
      <c r="U175" s="67"/>
    </row>
    <row r="176" spans="1:21" s="75" customFormat="1" hidden="1">
      <c r="A176" s="67"/>
      <c r="B176" s="916"/>
      <c r="C176" s="132"/>
      <c r="D176" s="132"/>
      <c r="E176" s="132"/>
      <c r="N176" s="916"/>
      <c r="P176" s="917"/>
      <c r="R176" s="67"/>
      <c r="S176" s="67"/>
      <c r="T176" s="67"/>
      <c r="U176" s="67"/>
    </row>
    <row r="177" spans="1:21" s="75" customFormat="1" hidden="1">
      <c r="A177" s="67"/>
      <c r="B177" s="916"/>
      <c r="C177" s="132"/>
      <c r="D177" s="132"/>
      <c r="E177" s="132"/>
      <c r="N177" s="916"/>
      <c r="P177" s="917"/>
      <c r="R177" s="67"/>
      <c r="S177" s="67"/>
      <c r="T177" s="67"/>
      <c r="U177" s="67"/>
    </row>
    <row r="178" spans="1:21" s="75" customFormat="1" hidden="1">
      <c r="A178" s="67"/>
      <c r="B178" s="916"/>
      <c r="C178" s="132"/>
      <c r="D178" s="132"/>
      <c r="E178" s="132"/>
      <c r="N178" s="916"/>
      <c r="P178" s="917"/>
      <c r="R178" s="67"/>
      <c r="S178" s="67"/>
      <c r="T178" s="67"/>
      <c r="U178" s="67"/>
    </row>
    <row r="179" spans="1:21" s="75" customFormat="1" hidden="1">
      <c r="A179" s="67"/>
      <c r="B179" s="916"/>
      <c r="C179" s="132"/>
      <c r="D179" s="132"/>
      <c r="E179" s="132"/>
      <c r="N179" s="916"/>
      <c r="P179" s="917"/>
      <c r="R179" s="67"/>
      <c r="S179" s="67"/>
      <c r="T179" s="67"/>
      <c r="U179" s="67"/>
    </row>
    <row r="180" spans="1:21" s="75" customFormat="1" hidden="1">
      <c r="A180" s="67"/>
      <c r="B180" s="916"/>
      <c r="C180" s="132"/>
      <c r="D180" s="132"/>
      <c r="E180" s="132"/>
      <c r="N180" s="916"/>
      <c r="P180" s="917"/>
      <c r="R180" s="67"/>
      <c r="S180" s="67"/>
      <c r="T180" s="67"/>
      <c r="U180" s="67"/>
    </row>
    <row r="181" spans="1:21" s="75" customFormat="1" hidden="1">
      <c r="A181" s="67"/>
      <c r="B181" s="916"/>
      <c r="C181" s="132"/>
      <c r="D181" s="132"/>
      <c r="E181" s="132"/>
      <c r="N181" s="916"/>
      <c r="P181" s="917"/>
      <c r="R181" s="67"/>
      <c r="S181" s="67"/>
      <c r="T181" s="67"/>
      <c r="U181" s="67"/>
    </row>
    <row r="182" spans="1:21" s="75" customFormat="1" hidden="1">
      <c r="A182" s="67"/>
      <c r="B182" s="916"/>
      <c r="C182" s="132"/>
      <c r="D182" s="132"/>
      <c r="E182" s="132"/>
      <c r="N182" s="916"/>
      <c r="P182" s="917"/>
      <c r="R182" s="67"/>
      <c r="S182" s="67"/>
      <c r="T182" s="67"/>
      <c r="U182" s="67"/>
    </row>
    <row r="183" spans="1:21" s="75" customFormat="1" hidden="1">
      <c r="A183" s="67"/>
      <c r="B183" s="916"/>
      <c r="C183" s="132"/>
      <c r="D183" s="132"/>
      <c r="E183" s="132"/>
      <c r="N183" s="916"/>
      <c r="P183" s="917"/>
      <c r="R183" s="67"/>
      <c r="S183" s="67"/>
      <c r="T183" s="67"/>
      <c r="U183" s="67"/>
    </row>
    <row r="184" spans="1:21" s="75" customFormat="1" hidden="1">
      <c r="A184" s="67"/>
      <c r="B184" s="916"/>
      <c r="C184" s="132"/>
      <c r="D184" s="132"/>
      <c r="E184" s="132"/>
      <c r="N184" s="916"/>
      <c r="P184" s="917"/>
      <c r="R184" s="67"/>
      <c r="S184" s="67"/>
      <c r="T184" s="67"/>
      <c r="U184" s="67"/>
    </row>
    <row r="185" spans="1:21" s="75" customFormat="1" hidden="1">
      <c r="A185" s="67"/>
      <c r="B185" s="916"/>
      <c r="C185" s="132"/>
      <c r="D185" s="132"/>
      <c r="E185" s="132"/>
      <c r="N185" s="916"/>
      <c r="P185" s="917"/>
      <c r="R185" s="67"/>
      <c r="S185" s="67"/>
      <c r="T185" s="67"/>
      <c r="U185" s="67"/>
    </row>
    <row r="186" spans="1:21" s="75" customFormat="1" hidden="1">
      <c r="A186" s="67"/>
      <c r="B186" s="916"/>
      <c r="C186" s="132"/>
      <c r="D186" s="132"/>
      <c r="E186" s="132"/>
      <c r="N186" s="916"/>
      <c r="P186" s="917"/>
      <c r="R186" s="67"/>
      <c r="S186" s="67"/>
      <c r="T186" s="67"/>
      <c r="U186" s="67"/>
    </row>
    <row r="187" spans="1:21" s="75" customFormat="1" hidden="1">
      <c r="A187" s="67"/>
      <c r="B187" s="916"/>
      <c r="C187" s="132"/>
      <c r="D187" s="132"/>
      <c r="E187" s="132"/>
      <c r="N187" s="916"/>
      <c r="P187" s="917"/>
      <c r="R187" s="67"/>
      <c r="S187" s="67"/>
      <c r="T187" s="67"/>
      <c r="U187" s="67"/>
    </row>
    <row r="188" spans="1:21" s="75" customFormat="1" hidden="1">
      <c r="A188" s="67"/>
      <c r="B188" s="916"/>
      <c r="C188" s="132"/>
      <c r="D188" s="132"/>
      <c r="E188" s="132"/>
      <c r="N188" s="916"/>
      <c r="P188" s="917"/>
      <c r="R188" s="67"/>
      <c r="S188" s="67"/>
      <c r="T188" s="67"/>
      <c r="U188" s="67"/>
    </row>
    <row r="189" spans="1:21" s="75" customFormat="1" hidden="1">
      <c r="A189" s="67"/>
      <c r="B189" s="916"/>
      <c r="C189" s="132"/>
      <c r="D189" s="132"/>
      <c r="E189" s="132"/>
      <c r="N189" s="916"/>
      <c r="P189" s="917"/>
      <c r="R189" s="67"/>
      <c r="S189" s="67"/>
      <c r="T189" s="67"/>
      <c r="U189" s="67"/>
    </row>
    <row r="190" spans="1:21" s="75" customFormat="1" hidden="1">
      <c r="A190" s="67"/>
      <c r="B190" s="916"/>
      <c r="C190" s="132"/>
      <c r="D190" s="132"/>
      <c r="E190" s="132"/>
      <c r="N190" s="916"/>
      <c r="P190" s="917"/>
      <c r="R190" s="67"/>
      <c r="S190" s="67"/>
      <c r="T190" s="67"/>
      <c r="U190" s="67"/>
    </row>
    <row r="191" spans="1:21" s="75" customFormat="1" hidden="1">
      <c r="A191" s="67"/>
      <c r="B191" s="916"/>
      <c r="C191" s="132"/>
      <c r="D191" s="132"/>
      <c r="E191" s="132"/>
      <c r="N191" s="916"/>
      <c r="P191" s="917"/>
      <c r="R191" s="67"/>
      <c r="S191" s="67"/>
      <c r="T191" s="67"/>
      <c r="U191" s="67"/>
    </row>
    <row r="192" spans="1:21" s="75" customFormat="1" hidden="1">
      <c r="A192" s="67"/>
      <c r="B192" s="916"/>
      <c r="C192" s="132"/>
      <c r="D192" s="132"/>
      <c r="E192" s="132"/>
      <c r="N192" s="916"/>
      <c r="P192" s="917"/>
      <c r="R192" s="67"/>
      <c r="S192" s="67"/>
      <c r="T192" s="67"/>
      <c r="U192" s="67"/>
    </row>
    <row r="193" spans="1:21" s="75" customFormat="1" hidden="1">
      <c r="A193" s="67"/>
      <c r="B193" s="916"/>
      <c r="C193" s="132"/>
      <c r="D193" s="132"/>
      <c r="E193" s="132"/>
      <c r="N193" s="916"/>
      <c r="P193" s="917"/>
      <c r="R193" s="67"/>
      <c r="S193" s="67"/>
      <c r="T193" s="67"/>
      <c r="U193" s="67"/>
    </row>
    <row r="194" spans="1:21" s="75" customFormat="1" hidden="1">
      <c r="A194" s="67"/>
      <c r="B194" s="916"/>
      <c r="C194" s="132"/>
      <c r="D194" s="132"/>
      <c r="E194" s="132"/>
      <c r="N194" s="916"/>
      <c r="P194" s="917"/>
      <c r="R194" s="67"/>
      <c r="S194" s="67"/>
      <c r="T194" s="67"/>
      <c r="U194" s="67"/>
    </row>
    <row r="195" spans="1:21" s="75" customFormat="1" hidden="1">
      <c r="A195" s="67"/>
      <c r="B195" s="916"/>
      <c r="C195" s="132"/>
      <c r="D195" s="132"/>
      <c r="E195" s="132"/>
      <c r="N195" s="916"/>
      <c r="P195" s="917"/>
      <c r="R195" s="67"/>
      <c r="S195" s="67"/>
      <c r="T195" s="67"/>
      <c r="U195" s="67"/>
    </row>
    <row r="196" spans="1:21" s="75" customFormat="1" hidden="1">
      <c r="A196" s="67"/>
      <c r="B196" s="916"/>
      <c r="C196" s="132"/>
      <c r="D196" s="132"/>
      <c r="E196" s="132"/>
      <c r="N196" s="916"/>
      <c r="P196" s="917"/>
      <c r="R196" s="67"/>
      <c r="S196" s="67"/>
      <c r="T196" s="67"/>
      <c r="U196" s="67"/>
    </row>
    <row r="197" spans="1:21" s="75" customFormat="1" hidden="1">
      <c r="A197" s="67"/>
      <c r="B197" s="916"/>
      <c r="C197" s="132"/>
      <c r="D197" s="132"/>
      <c r="E197" s="132"/>
      <c r="N197" s="916"/>
      <c r="P197" s="917"/>
      <c r="R197" s="67"/>
      <c r="S197" s="67"/>
      <c r="T197" s="67"/>
      <c r="U197" s="67"/>
    </row>
    <row r="198" spans="1:21" s="75" customFormat="1" hidden="1">
      <c r="A198" s="67"/>
      <c r="B198" s="916"/>
      <c r="C198" s="132"/>
      <c r="D198" s="132"/>
      <c r="E198" s="132"/>
      <c r="N198" s="916"/>
      <c r="P198" s="917"/>
      <c r="R198" s="67"/>
      <c r="S198" s="67"/>
      <c r="T198" s="67"/>
      <c r="U198" s="67"/>
    </row>
    <row r="199" spans="1:21" s="75" customFormat="1" hidden="1">
      <c r="A199" s="67"/>
      <c r="B199" s="916"/>
      <c r="C199" s="132"/>
      <c r="D199" s="132"/>
      <c r="E199" s="132"/>
      <c r="N199" s="916"/>
      <c r="P199" s="917"/>
      <c r="R199" s="67"/>
      <c r="S199" s="67"/>
      <c r="T199" s="67"/>
      <c r="U199" s="67"/>
    </row>
    <row r="200" spans="1:21" s="75" customFormat="1" hidden="1">
      <c r="A200" s="67"/>
      <c r="B200" s="916"/>
      <c r="C200" s="132"/>
      <c r="D200" s="132"/>
      <c r="E200" s="132"/>
      <c r="N200" s="916"/>
      <c r="P200" s="917"/>
      <c r="R200" s="67"/>
      <c r="S200" s="67"/>
      <c r="T200" s="67"/>
      <c r="U200" s="67"/>
    </row>
    <row r="201" spans="1:21" s="75" customFormat="1" hidden="1">
      <c r="A201" s="67"/>
      <c r="B201" s="916"/>
      <c r="C201" s="132"/>
      <c r="D201" s="132"/>
      <c r="E201" s="132"/>
      <c r="N201" s="916"/>
      <c r="P201" s="917"/>
      <c r="R201" s="67"/>
      <c r="S201" s="67"/>
      <c r="T201" s="67"/>
      <c r="U201" s="67"/>
    </row>
    <row r="202" spans="1:21" s="75" customFormat="1" hidden="1">
      <c r="A202" s="67"/>
      <c r="B202" s="916"/>
      <c r="C202" s="132"/>
      <c r="D202" s="132"/>
      <c r="E202" s="132"/>
      <c r="N202" s="916"/>
      <c r="P202" s="917"/>
      <c r="R202" s="67"/>
      <c r="S202" s="67"/>
      <c r="T202" s="67"/>
      <c r="U202" s="67"/>
    </row>
    <row r="203" spans="1:21" s="75" customFormat="1" hidden="1">
      <c r="A203" s="67"/>
      <c r="B203" s="916"/>
      <c r="C203" s="132"/>
      <c r="D203" s="132"/>
      <c r="E203" s="132"/>
      <c r="N203" s="916"/>
      <c r="P203" s="917"/>
      <c r="R203" s="67"/>
      <c r="S203" s="67"/>
      <c r="T203" s="67"/>
      <c r="U203" s="67"/>
    </row>
    <row r="204" spans="1:21" s="75" customFormat="1" hidden="1">
      <c r="A204" s="67"/>
      <c r="B204" s="916"/>
      <c r="C204" s="132"/>
      <c r="D204" s="132"/>
      <c r="E204" s="132"/>
      <c r="N204" s="916"/>
      <c r="P204" s="917"/>
      <c r="R204" s="67"/>
      <c r="S204" s="67"/>
      <c r="T204" s="67"/>
      <c r="U204" s="67"/>
    </row>
    <row r="205" spans="1:21" s="75" customFormat="1" hidden="1">
      <c r="A205" s="67"/>
      <c r="B205" s="916"/>
      <c r="C205" s="132"/>
      <c r="D205" s="132"/>
      <c r="E205" s="132"/>
      <c r="N205" s="916"/>
      <c r="P205" s="917"/>
      <c r="R205" s="67"/>
      <c r="S205" s="67"/>
      <c r="T205" s="67"/>
      <c r="U205" s="67"/>
    </row>
    <row r="206" spans="1:21" s="75" customFormat="1" hidden="1">
      <c r="A206" s="67"/>
      <c r="B206" s="916"/>
      <c r="C206" s="132"/>
      <c r="D206" s="132"/>
      <c r="E206" s="132"/>
      <c r="N206" s="916"/>
      <c r="P206" s="917"/>
      <c r="R206" s="67"/>
      <c r="S206" s="67"/>
      <c r="T206" s="67"/>
      <c r="U206" s="67"/>
    </row>
    <row r="207" spans="1:21" s="75" customFormat="1" hidden="1">
      <c r="A207" s="67"/>
      <c r="B207" s="916"/>
      <c r="C207" s="132"/>
      <c r="D207" s="132"/>
      <c r="E207" s="132"/>
      <c r="N207" s="916"/>
      <c r="P207" s="917"/>
      <c r="R207" s="67"/>
      <c r="S207" s="67"/>
      <c r="T207" s="67"/>
      <c r="U207" s="67"/>
    </row>
    <row r="208" spans="1:21" s="75" customFormat="1" hidden="1">
      <c r="A208" s="67"/>
      <c r="B208" s="916"/>
      <c r="C208" s="132"/>
      <c r="D208" s="132"/>
      <c r="E208" s="132"/>
      <c r="N208" s="916"/>
      <c r="P208" s="917"/>
      <c r="R208" s="67"/>
      <c r="S208" s="67"/>
      <c r="T208" s="67"/>
      <c r="U208" s="67"/>
    </row>
    <row r="209" spans="1:21" s="75" customFormat="1" hidden="1">
      <c r="A209" s="67"/>
      <c r="B209" s="916"/>
      <c r="C209" s="132"/>
      <c r="D209" s="132"/>
      <c r="E209" s="132"/>
      <c r="N209" s="916"/>
      <c r="P209" s="917"/>
      <c r="R209" s="67"/>
      <c r="S209" s="67"/>
      <c r="T209" s="67"/>
      <c r="U209" s="67"/>
    </row>
    <row r="210" spans="1:21" s="75" customFormat="1" hidden="1">
      <c r="A210" s="67"/>
      <c r="B210" s="916"/>
      <c r="C210" s="132"/>
      <c r="D210" s="132"/>
      <c r="E210" s="132"/>
      <c r="N210" s="916"/>
      <c r="P210" s="917"/>
      <c r="R210" s="67"/>
      <c r="S210" s="67"/>
      <c r="T210" s="67"/>
      <c r="U210" s="67"/>
    </row>
    <row r="211" spans="1:21" s="75" customFormat="1" hidden="1">
      <c r="A211" s="67"/>
      <c r="B211" s="916"/>
      <c r="C211" s="132"/>
      <c r="D211" s="132"/>
      <c r="E211" s="132"/>
      <c r="N211" s="916"/>
      <c r="P211" s="917"/>
      <c r="R211" s="67"/>
      <c r="S211" s="67"/>
      <c r="T211" s="67"/>
      <c r="U211" s="67"/>
    </row>
    <row r="212" spans="1:21" s="75" customFormat="1" hidden="1">
      <c r="A212" s="67"/>
      <c r="B212" s="916"/>
      <c r="C212" s="132"/>
      <c r="D212" s="132"/>
      <c r="E212" s="132"/>
      <c r="N212" s="916"/>
      <c r="P212" s="917"/>
      <c r="R212" s="67"/>
      <c r="S212" s="67"/>
      <c r="T212" s="67"/>
      <c r="U212" s="67"/>
    </row>
    <row r="213" spans="1:21" s="75" customFormat="1" hidden="1">
      <c r="A213" s="67"/>
      <c r="B213" s="916"/>
      <c r="C213" s="132"/>
      <c r="D213" s="132"/>
      <c r="E213" s="132"/>
      <c r="N213" s="916"/>
      <c r="P213" s="917"/>
      <c r="R213" s="67"/>
      <c r="S213" s="67"/>
      <c r="T213" s="67"/>
      <c r="U213" s="67"/>
    </row>
    <row r="214" spans="1:21" s="75" customFormat="1" hidden="1">
      <c r="A214" s="67"/>
      <c r="B214" s="916"/>
      <c r="C214" s="132"/>
      <c r="D214" s="132"/>
      <c r="E214" s="132"/>
      <c r="N214" s="916"/>
      <c r="P214" s="917"/>
      <c r="R214" s="67"/>
      <c r="S214" s="67"/>
      <c r="T214" s="67"/>
      <c r="U214" s="67"/>
    </row>
    <row r="215" spans="1:21" s="75" customFormat="1" hidden="1">
      <c r="A215" s="67"/>
      <c r="B215" s="916"/>
      <c r="C215" s="132"/>
      <c r="D215" s="132"/>
      <c r="E215" s="132"/>
      <c r="N215" s="916"/>
      <c r="P215" s="917"/>
      <c r="R215" s="67"/>
      <c r="S215" s="67"/>
      <c r="T215" s="67"/>
      <c r="U215" s="67"/>
    </row>
    <row r="216" spans="1:21" s="75" customFormat="1" hidden="1">
      <c r="A216" s="67"/>
      <c r="B216" s="916"/>
      <c r="C216" s="132"/>
      <c r="D216" s="132"/>
      <c r="E216" s="132"/>
      <c r="N216" s="916"/>
      <c r="P216" s="917"/>
      <c r="R216" s="67"/>
      <c r="S216" s="67"/>
      <c r="T216" s="67"/>
      <c r="U216" s="67"/>
    </row>
    <row r="217" spans="1:21" s="75" customFormat="1" hidden="1">
      <c r="A217" s="67"/>
      <c r="B217" s="916"/>
      <c r="C217" s="132"/>
      <c r="D217" s="132"/>
      <c r="E217" s="132"/>
      <c r="N217" s="916"/>
      <c r="P217" s="917"/>
      <c r="R217" s="67"/>
      <c r="S217" s="67"/>
      <c r="T217" s="67"/>
      <c r="U217" s="67"/>
    </row>
    <row r="218" spans="1:21" s="75" customFormat="1" hidden="1">
      <c r="A218" s="67"/>
      <c r="B218" s="916"/>
      <c r="C218" s="132"/>
      <c r="D218" s="132"/>
      <c r="E218" s="132"/>
      <c r="N218" s="916"/>
      <c r="P218" s="917"/>
      <c r="R218" s="67"/>
      <c r="S218" s="67"/>
      <c r="T218" s="67"/>
      <c r="U218" s="67"/>
    </row>
    <row r="219" spans="1:21" s="75" customFormat="1" hidden="1">
      <c r="A219" s="67"/>
      <c r="B219" s="916"/>
      <c r="C219" s="132"/>
      <c r="D219" s="132"/>
      <c r="E219" s="132"/>
      <c r="N219" s="916"/>
      <c r="P219" s="917"/>
      <c r="R219" s="67"/>
      <c r="S219" s="67"/>
      <c r="T219" s="67"/>
      <c r="U219" s="67"/>
    </row>
    <row r="220" spans="1:21" s="75" customFormat="1" hidden="1">
      <c r="A220" s="67"/>
      <c r="B220" s="916"/>
      <c r="C220" s="132"/>
      <c r="D220" s="132"/>
      <c r="E220" s="132"/>
      <c r="N220" s="916"/>
      <c r="P220" s="917"/>
      <c r="R220" s="67"/>
      <c r="S220" s="67"/>
      <c r="T220" s="67"/>
      <c r="U220" s="67"/>
    </row>
    <row r="221" spans="1:21" s="75" customFormat="1" hidden="1">
      <c r="A221" s="67"/>
      <c r="B221" s="916"/>
      <c r="C221" s="132"/>
      <c r="D221" s="132"/>
      <c r="E221" s="132"/>
      <c r="N221" s="916"/>
      <c r="P221" s="917"/>
      <c r="R221" s="67"/>
      <c r="S221" s="67"/>
      <c r="T221" s="67"/>
      <c r="U221" s="67"/>
    </row>
    <row r="222" spans="1:21" s="75" customFormat="1" hidden="1">
      <c r="A222" s="67"/>
      <c r="B222" s="916"/>
      <c r="C222" s="132"/>
      <c r="D222" s="132"/>
      <c r="E222" s="132"/>
      <c r="N222" s="916"/>
      <c r="P222" s="917"/>
      <c r="R222" s="67"/>
      <c r="S222" s="67"/>
      <c r="T222" s="67"/>
      <c r="U222" s="67"/>
    </row>
    <row r="223" spans="1:21" s="75" customFormat="1" hidden="1">
      <c r="A223" s="67"/>
      <c r="B223" s="916"/>
      <c r="C223" s="132"/>
      <c r="D223" s="132"/>
      <c r="E223" s="132"/>
      <c r="N223" s="916"/>
      <c r="P223" s="917"/>
      <c r="R223" s="67"/>
      <c r="S223" s="67"/>
      <c r="T223" s="67"/>
      <c r="U223" s="67"/>
    </row>
    <row r="224" spans="1:21" s="75" customFormat="1" hidden="1">
      <c r="A224" s="67"/>
      <c r="B224" s="916"/>
      <c r="C224" s="132"/>
      <c r="D224" s="132"/>
      <c r="E224" s="132"/>
      <c r="N224" s="916"/>
      <c r="P224" s="917"/>
      <c r="R224" s="67"/>
      <c r="S224" s="67"/>
      <c r="T224" s="67"/>
      <c r="U224" s="67"/>
    </row>
    <row r="225" spans="1:21" s="75" customFormat="1" hidden="1">
      <c r="A225" s="67"/>
      <c r="B225" s="916"/>
      <c r="C225" s="132"/>
      <c r="D225" s="132"/>
      <c r="E225" s="132"/>
      <c r="N225" s="916"/>
      <c r="P225" s="917"/>
      <c r="R225" s="67"/>
      <c r="S225" s="67"/>
      <c r="T225" s="67"/>
      <c r="U225" s="67"/>
    </row>
    <row r="226" spans="1:21" s="75" customFormat="1" hidden="1">
      <c r="A226" s="67"/>
      <c r="B226" s="916"/>
      <c r="C226" s="132"/>
      <c r="D226" s="132"/>
      <c r="E226" s="132"/>
      <c r="N226" s="916"/>
      <c r="P226" s="917"/>
      <c r="R226" s="67"/>
      <c r="S226" s="67"/>
      <c r="T226" s="67"/>
      <c r="U226" s="67"/>
    </row>
    <row r="227" spans="1:21" s="75" customFormat="1" hidden="1">
      <c r="A227" s="67"/>
      <c r="B227" s="916"/>
      <c r="C227" s="132"/>
      <c r="D227" s="132"/>
      <c r="E227" s="132"/>
      <c r="N227" s="916"/>
      <c r="P227" s="917"/>
      <c r="R227" s="67"/>
      <c r="S227" s="67"/>
      <c r="T227" s="67"/>
      <c r="U227" s="67"/>
    </row>
    <row r="228" spans="1:21" s="75" customFormat="1" hidden="1">
      <c r="A228" s="67"/>
      <c r="B228" s="916"/>
      <c r="C228" s="132"/>
      <c r="D228" s="132"/>
      <c r="E228" s="132"/>
      <c r="N228" s="916"/>
      <c r="P228" s="917"/>
      <c r="R228" s="67"/>
      <c r="S228" s="67"/>
      <c r="T228" s="67"/>
      <c r="U228" s="67"/>
    </row>
    <row r="229" spans="1:21" s="75" customFormat="1" hidden="1">
      <c r="A229" s="67"/>
      <c r="B229" s="916"/>
      <c r="C229" s="132"/>
      <c r="D229" s="132"/>
      <c r="E229" s="132"/>
      <c r="N229" s="916"/>
      <c r="P229" s="917"/>
      <c r="R229" s="67"/>
      <c r="S229" s="67"/>
      <c r="T229" s="67"/>
      <c r="U229" s="67"/>
    </row>
    <row r="230" spans="1:21" s="75" customFormat="1" hidden="1">
      <c r="A230" s="67"/>
      <c r="B230" s="916"/>
      <c r="C230" s="132"/>
      <c r="D230" s="132"/>
      <c r="E230" s="132"/>
      <c r="N230" s="916"/>
      <c r="P230" s="917"/>
      <c r="R230" s="67"/>
      <c r="S230" s="67"/>
      <c r="T230" s="67"/>
      <c r="U230" s="67"/>
    </row>
    <row r="231" spans="1:21" s="75" customFormat="1" hidden="1">
      <c r="A231" s="67"/>
      <c r="B231" s="916"/>
      <c r="C231" s="132"/>
      <c r="D231" s="132"/>
      <c r="E231" s="132"/>
      <c r="N231" s="916"/>
      <c r="P231" s="917"/>
      <c r="R231" s="67"/>
      <c r="S231" s="67"/>
      <c r="T231" s="67"/>
      <c r="U231" s="67"/>
    </row>
    <row r="232" spans="1:21" s="75" customFormat="1" hidden="1">
      <c r="A232" s="67"/>
      <c r="B232" s="916"/>
      <c r="C232" s="132"/>
      <c r="D232" s="132"/>
      <c r="E232" s="132"/>
      <c r="N232" s="916"/>
      <c r="P232" s="917"/>
      <c r="R232" s="67"/>
      <c r="S232" s="67"/>
      <c r="T232" s="67"/>
      <c r="U232" s="67"/>
    </row>
    <row r="233" spans="1:21" s="75" customFormat="1" hidden="1">
      <c r="A233" s="67"/>
      <c r="B233" s="916"/>
      <c r="C233" s="132"/>
      <c r="D233" s="132"/>
      <c r="E233" s="132"/>
      <c r="N233" s="916"/>
      <c r="P233" s="917"/>
      <c r="R233" s="67"/>
      <c r="S233" s="67"/>
      <c r="T233" s="67"/>
      <c r="U233" s="67"/>
    </row>
    <row r="234" spans="1:21" s="75" customFormat="1" hidden="1">
      <c r="A234" s="67"/>
      <c r="B234" s="916"/>
      <c r="C234" s="132"/>
      <c r="D234" s="132"/>
      <c r="E234" s="132"/>
      <c r="N234" s="916"/>
      <c r="P234" s="917"/>
      <c r="R234" s="67"/>
      <c r="S234" s="67"/>
      <c r="T234" s="67"/>
      <c r="U234" s="67"/>
    </row>
    <row r="235" spans="1:21" s="75" customFormat="1" hidden="1">
      <c r="A235" s="67"/>
      <c r="B235" s="916"/>
      <c r="C235" s="132"/>
      <c r="D235" s="132"/>
      <c r="E235" s="132"/>
      <c r="N235" s="916"/>
      <c r="P235" s="917"/>
      <c r="R235" s="67"/>
      <c r="S235" s="67"/>
      <c r="T235" s="67"/>
      <c r="U235" s="67"/>
    </row>
    <row r="236" spans="1:21" s="75" customFormat="1" hidden="1">
      <c r="A236" s="67"/>
      <c r="B236" s="916"/>
      <c r="C236" s="132"/>
      <c r="D236" s="132"/>
      <c r="E236" s="132"/>
      <c r="N236" s="916"/>
      <c r="P236" s="917"/>
      <c r="R236" s="67"/>
      <c r="S236" s="67"/>
      <c r="T236" s="67"/>
      <c r="U236" s="67"/>
    </row>
    <row r="237" spans="1:21" s="75" customFormat="1" hidden="1">
      <c r="A237" s="67"/>
      <c r="B237" s="916"/>
      <c r="C237" s="132"/>
      <c r="D237" s="132"/>
      <c r="E237" s="132"/>
      <c r="N237" s="916"/>
      <c r="P237" s="917"/>
      <c r="R237" s="67"/>
      <c r="S237" s="67"/>
      <c r="T237" s="67"/>
      <c r="U237" s="67"/>
    </row>
    <row r="238" spans="1:21" s="75" customFormat="1" hidden="1">
      <c r="A238" s="67"/>
      <c r="B238" s="916"/>
      <c r="C238" s="132"/>
      <c r="D238" s="132"/>
      <c r="E238" s="132"/>
      <c r="N238" s="916"/>
      <c r="P238" s="917"/>
      <c r="R238" s="67"/>
      <c r="S238" s="67"/>
      <c r="T238" s="67"/>
      <c r="U238" s="67"/>
    </row>
    <row r="239" spans="1:21" s="75" customFormat="1" hidden="1">
      <c r="A239" s="67"/>
      <c r="B239" s="916"/>
      <c r="C239" s="132"/>
      <c r="D239" s="132"/>
      <c r="E239" s="132"/>
      <c r="N239" s="916"/>
      <c r="P239" s="917"/>
      <c r="R239" s="67"/>
      <c r="S239" s="67"/>
      <c r="T239" s="67"/>
      <c r="U239" s="67"/>
    </row>
    <row r="240" spans="1:21" s="75" customFormat="1" hidden="1">
      <c r="A240" s="67"/>
      <c r="B240" s="916"/>
      <c r="C240" s="132"/>
      <c r="D240" s="132"/>
      <c r="E240" s="132"/>
      <c r="N240" s="916"/>
      <c r="P240" s="917"/>
      <c r="R240" s="67"/>
      <c r="S240" s="67"/>
      <c r="T240" s="67"/>
      <c r="U240" s="67"/>
    </row>
    <row r="241" spans="1:21" s="75" customFormat="1" hidden="1">
      <c r="A241" s="67"/>
      <c r="B241" s="916"/>
      <c r="C241" s="132"/>
      <c r="D241" s="132"/>
      <c r="E241" s="132"/>
      <c r="N241" s="916"/>
      <c r="P241" s="917"/>
      <c r="R241" s="67"/>
      <c r="S241" s="67"/>
      <c r="T241" s="67"/>
      <c r="U241" s="67"/>
    </row>
    <row r="242" spans="1:21" s="75" customFormat="1" hidden="1">
      <c r="A242" s="67"/>
      <c r="B242" s="916"/>
      <c r="C242" s="132"/>
      <c r="D242" s="132"/>
      <c r="E242" s="132"/>
      <c r="N242" s="916"/>
      <c r="P242" s="917"/>
      <c r="R242" s="67"/>
      <c r="S242" s="67"/>
      <c r="T242" s="67"/>
      <c r="U242" s="67"/>
    </row>
    <row r="243" spans="1:21" s="75" customFormat="1" hidden="1">
      <c r="A243" s="67"/>
      <c r="B243" s="916"/>
      <c r="C243" s="132"/>
      <c r="D243" s="132"/>
      <c r="E243" s="132"/>
      <c r="N243" s="916"/>
      <c r="P243" s="917"/>
      <c r="R243" s="67"/>
      <c r="S243" s="67"/>
      <c r="T243" s="67"/>
      <c r="U243" s="67"/>
    </row>
    <row r="244" spans="1:21" s="75" customFormat="1" hidden="1">
      <c r="A244" s="67"/>
      <c r="B244" s="916"/>
      <c r="C244" s="132"/>
      <c r="D244" s="132"/>
      <c r="E244" s="132"/>
      <c r="N244" s="916"/>
      <c r="P244" s="917"/>
      <c r="R244" s="67"/>
      <c r="S244" s="67"/>
      <c r="T244" s="67"/>
      <c r="U244" s="67"/>
    </row>
    <row r="245" spans="1:21" s="75" customFormat="1" hidden="1">
      <c r="A245" s="67"/>
      <c r="B245" s="916"/>
      <c r="C245" s="132"/>
      <c r="D245" s="132"/>
      <c r="E245" s="132"/>
      <c r="N245" s="916"/>
      <c r="P245" s="917"/>
      <c r="R245" s="67"/>
      <c r="S245" s="67"/>
      <c r="T245" s="67"/>
      <c r="U245" s="67"/>
    </row>
    <row r="246" spans="1:21" s="75" customFormat="1" hidden="1">
      <c r="A246" s="67"/>
      <c r="B246" s="916"/>
      <c r="C246" s="132"/>
      <c r="D246" s="132"/>
      <c r="E246" s="132"/>
      <c r="N246" s="916"/>
      <c r="P246" s="917"/>
      <c r="R246" s="67"/>
      <c r="S246" s="67"/>
      <c r="T246" s="67"/>
      <c r="U246" s="67"/>
    </row>
    <row r="247" spans="1:21" s="75" customFormat="1" hidden="1">
      <c r="A247" s="67"/>
      <c r="B247" s="916"/>
      <c r="C247" s="132"/>
      <c r="D247" s="132"/>
      <c r="E247" s="132"/>
      <c r="N247" s="916"/>
      <c r="P247" s="917"/>
      <c r="R247" s="67"/>
      <c r="S247" s="67"/>
      <c r="T247" s="67"/>
      <c r="U247" s="67"/>
    </row>
    <row r="248" spans="1:21" s="75" customFormat="1" hidden="1">
      <c r="A248" s="67"/>
      <c r="B248" s="916"/>
      <c r="C248" s="132"/>
      <c r="D248" s="132"/>
      <c r="E248" s="132"/>
      <c r="N248" s="916"/>
      <c r="P248" s="917"/>
      <c r="R248" s="67"/>
      <c r="S248" s="67"/>
      <c r="T248" s="67"/>
      <c r="U248" s="67"/>
    </row>
    <row r="249" spans="1:21" s="75" customFormat="1" hidden="1">
      <c r="A249" s="67"/>
      <c r="B249" s="916"/>
      <c r="C249" s="132"/>
      <c r="D249" s="132"/>
      <c r="E249" s="132"/>
      <c r="N249" s="916"/>
      <c r="P249" s="917"/>
      <c r="R249" s="67"/>
      <c r="S249" s="67"/>
      <c r="T249" s="67"/>
      <c r="U249" s="67"/>
    </row>
    <row r="250" spans="1:21" s="75" customFormat="1" hidden="1">
      <c r="A250" s="67"/>
      <c r="B250" s="916"/>
      <c r="C250" s="132"/>
      <c r="D250" s="132"/>
      <c r="E250" s="132"/>
      <c r="N250" s="916"/>
      <c r="P250" s="917"/>
      <c r="R250" s="67"/>
      <c r="S250" s="67"/>
      <c r="T250" s="67"/>
      <c r="U250" s="67"/>
    </row>
    <row r="251" spans="1:21" s="75" customFormat="1" hidden="1">
      <c r="A251" s="67"/>
      <c r="B251" s="916"/>
      <c r="C251" s="132"/>
      <c r="D251" s="132"/>
      <c r="E251" s="132"/>
      <c r="N251" s="916"/>
      <c r="P251" s="917"/>
      <c r="R251" s="67"/>
      <c r="S251" s="67"/>
      <c r="T251" s="67"/>
      <c r="U251" s="67"/>
    </row>
    <row r="252" spans="1:21" s="75" customFormat="1" hidden="1">
      <c r="A252" s="67"/>
      <c r="B252" s="916"/>
      <c r="C252" s="132"/>
      <c r="D252" s="132"/>
      <c r="E252" s="132"/>
      <c r="N252" s="916"/>
      <c r="P252" s="917"/>
      <c r="R252" s="67"/>
      <c r="S252" s="67"/>
      <c r="T252" s="67"/>
      <c r="U252" s="67"/>
    </row>
    <row r="253" spans="1:21" s="75" customFormat="1" hidden="1">
      <c r="A253" s="67"/>
      <c r="B253" s="916"/>
      <c r="C253" s="132"/>
      <c r="D253" s="132"/>
      <c r="E253" s="132"/>
      <c r="N253" s="916"/>
      <c r="P253" s="917"/>
      <c r="R253" s="67"/>
      <c r="S253" s="67"/>
      <c r="T253" s="67"/>
      <c r="U253" s="67"/>
    </row>
    <row r="254" spans="1:21" s="75" customFormat="1" hidden="1">
      <c r="A254" s="67"/>
      <c r="B254" s="916"/>
      <c r="C254" s="132"/>
      <c r="D254" s="132"/>
      <c r="E254" s="132"/>
      <c r="N254" s="916"/>
      <c r="P254" s="917"/>
      <c r="R254" s="67"/>
      <c r="S254" s="67"/>
      <c r="T254" s="67"/>
      <c r="U254" s="67"/>
    </row>
    <row r="255" spans="1:21" s="75" customFormat="1" hidden="1">
      <c r="A255" s="67"/>
      <c r="B255" s="916"/>
      <c r="C255" s="132"/>
      <c r="D255" s="132"/>
      <c r="E255" s="132"/>
      <c r="N255" s="916"/>
      <c r="P255" s="917"/>
      <c r="R255" s="67"/>
      <c r="S255" s="67"/>
      <c r="T255" s="67"/>
      <c r="U255" s="67"/>
    </row>
    <row r="256" spans="1:21" s="75" customFormat="1" hidden="1">
      <c r="A256" s="67"/>
      <c r="B256" s="916"/>
      <c r="C256" s="132"/>
      <c r="D256" s="132"/>
      <c r="E256" s="132"/>
      <c r="N256" s="916"/>
      <c r="P256" s="917"/>
      <c r="R256" s="67"/>
      <c r="S256" s="67"/>
      <c r="T256" s="67"/>
      <c r="U256" s="67"/>
    </row>
    <row r="257" spans="1:21" s="75" customFormat="1" hidden="1">
      <c r="A257" s="67"/>
      <c r="B257" s="916"/>
      <c r="C257" s="132"/>
      <c r="D257" s="132"/>
      <c r="E257" s="132"/>
      <c r="N257" s="916"/>
      <c r="P257" s="917"/>
      <c r="R257" s="67"/>
      <c r="S257" s="67"/>
      <c r="T257" s="67"/>
      <c r="U257" s="67"/>
    </row>
    <row r="258" spans="1:21" s="75" customFormat="1" hidden="1">
      <c r="A258" s="67"/>
      <c r="B258" s="916"/>
      <c r="C258" s="132"/>
      <c r="D258" s="132"/>
      <c r="E258" s="132"/>
      <c r="N258" s="916"/>
      <c r="P258" s="917"/>
      <c r="R258" s="67"/>
      <c r="S258" s="67"/>
      <c r="T258" s="67"/>
      <c r="U258" s="67"/>
    </row>
    <row r="259" spans="1:21" s="75" customFormat="1" hidden="1">
      <c r="A259" s="67"/>
      <c r="B259" s="916"/>
      <c r="C259" s="132"/>
      <c r="D259" s="132"/>
      <c r="E259" s="132"/>
      <c r="N259" s="916"/>
      <c r="P259" s="917"/>
      <c r="R259" s="67"/>
      <c r="S259" s="67"/>
      <c r="T259" s="67"/>
      <c r="U259" s="67"/>
    </row>
    <row r="260" spans="1:21" s="75" customFormat="1" hidden="1">
      <c r="A260" s="67"/>
      <c r="B260" s="916"/>
      <c r="C260" s="132"/>
      <c r="D260" s="132"/>
      <c r="E260" s="132"/>
      <c r="N260" s="916"/>
      <c r="P260" s="917"/>
      <c r="R260" s="67"/>
      <c r="S260" s="67"/>
      <c r="T260" s="67"/>
      <c r="U260" s="67"/>
    </row>
    <row r="261" spans="1:21" s="75" customFormat="1" hidden="1">
      <c r="A261" s="67"/>
      <c r="B261" s="916"/>
      <c r="C261" s="132"/>
      <c r="D261" s="132"/>
      <c r="E261" s="132"/>
      <c r="N261" s="916"/>
      <c r="P261" s="917"/>
      <c r="R261" s="67"/>
      <c r="S261" s="67"/>
      <c r="T261" s="67"/>
      <c r="U261" s="67"/>
    </row>
    <row r="262" spans="1:21" s="75" customFormat="1" hidden="1">
      <c r="A262" s="67"/>
      <c r="B262" s="916"/>
      <c r="C262" s="132"/>
      <c r="D262" s="132"/>
      <c r="E262" s="132"/>
      <c r="N262" s="916"/>
      <c r="P262" s="917"/>
      <c r="R262" s="67"/>
      <c r="S262" s="67"/>
      <c r="T262" s="67"/>
      <c r="U262" s="67"/>
    </row>
    <row r="263" spans="1:21" s="75" customFormat="1" hidden="1">
      <c r="A263" s="67"/>
      <c r="B263" s="916"/>
      <c r="C263" s="132"/>
      <c r="D263" s="132"/>
      <c r="E263" s="132"/>
      <c r="N263" s="916"/>
      <c r="P263" s="917"/>
      <c r="R263" s="67"/>
      <c r="S263" s="67"/>
      <c r="T263" s="67"/>
      <c r="U263" s="67"/>
    </row>
    <row r="264" spans="1:21" s="75" customFormat="1" hidden="1">
      <c r="A264" s="67"/>
      <c r="B264" s="916"/>
      <c r="C264" s="132"/>
      <c r="D264" s="132"/>
      <c r="E264" s="132"/>
      <c r="N264" s="916"/>
      <c r="P264" s="917"/>
      <c r="R264" s="67"/>
      <c r="S264" s="67"/>
      <c r="T264" s="67"/>
      <c r="U264" s="67"/>
    </row>
    <row r="265" spans="1:21" s="75" customFormat="1" hidden="1">
      <c r="A265" s="67"/>
      <c r="B265" s="916"/>
      <c r="C265" s="132"/>
      <c r="D265" s="132"/>
      <c r="E265" s="132"/>
      <c r="N265" s="916"/>
      <c r="P265" s="917"/>
      <c r="R265" s="67"/>
      <c r="S265" s="67"/>
      <c r="T265" s="67"/>
      <c r="U265" s="67"/>
    </row>
    <row r="266" spans="1:21" s="75" customFormat="1" hidden="1">
      <c r="A266" s="67"/>
      <c r="B266" s="916"/>
      <c r="C266" s="132"/>
      <c r="D266" s="132"/>
      <c r="E266" s="132"/>
      <c r="N266" s="916"/>
      <c r="P266" s="917"/>
      <c r="R266" s="67"/>
      <c r="S266" s="67"/>
      <c r="T266" s="67"/>
      <c r="U266" s="67"/>
    </row>
    <row r="267" spans="1:21" s="75" customFormat="1" hidden="1">
      <c r="A267" s="67"/>
      <c r="B267" s="916"/>
      <c r="C267" s="132"/>
      <c r="D267" s="132"/>
      <c r="E267" s="132"/>
      <c r="N267" s="916"/>
      <c r="P267" s="917"/>
      <c r="R267" s="67"/>
      <c r="S267" s="67"/>
      <c r="T267" s="67"/>
      <c r="U267" s="67"/>
    </row>
    <row r="268" spans="1:21" s="75" customFormat="1" hidden="1">
      <c r="A268" s="67"/>
      <c r="B268" s="916"/>
      <c r="C268" s="132"/>
      <c r="D268" s="132"/>
      <c r="E268" s="132"/>
      <c r="N268" s="916"/>
      <c r="P268" s="917"/>
      <c r="R268" s="67"/>
      <c r="S268" s="67"/>
      <c r="T268" s="67"/>
      <c r="U268" s="67"/>
    </row>
    <row r="269" spans="1:21" s="75" customFormat="1" hidden="1">
      <c r="A269" s="67"/>
      <c r="B269" s="916"/>
      <c r="C269" s="132"/>
      <c r="D269" s="132"/>
      <c r="E269" s="132"/>
      <c r="N269" s="916"/>
      <c r="P269" s="917"/>
      <c r="R269" s="67"/>
      <c r="S269" s="67"/>
      <c r="T269" s="67"/>
      <c r="U269" s="67"/>
    </row>
    <row r="270" spans="1:21" s="75" customFormat="1" hidden="1">
      <c r="A270" s="67"/>
      <c r="B270" s="916"/>
      <c r="C270" s="132"/>
      <c r="D270" s="132"/>
      <c r="E270" s="132"/>
      <c r="N270" s="916"/>
      <c r="P270" s="917"/>
      <c r="R270" s="67"/>
      <c r="S270" s="67"/>
      <c r="T270" s="67"/>
      <c r="U270" s="67"/>
    </row>
    <row r="271" spans="1:21" s="75" customFormat="1" hidden="1">
      <c r="A271" s="67"/>
      <c r="B271" s="916"/>
      <c r="C271" s="132"/>
      <c r="D271" s="132"/>
      <c r="E271" s="132"/>
      <c r="N271" s="916"/>
      <c r="P271" s="917"/>
      <c r="R271" s="67"/>
      <c r="S271" s="67"/>
      <c r="T271" s="67"/>
      <c r="U271" s="67"/>
    </row>
    <row r="272" spans="1:21" s="75" customFormat="1" hidden="1">
      <c r="A272" s="67"/>
      <c r="B272" s="916"/>
      <c r="C272" s="132"/>
      <c r="D272" s="132"/>
      <c r="E272" s="132"/>
      <c r="N272" s="916"/>
      <c r="P272" s="917"/>
      <c r="R272" s="67"/>
      <c r="S272" s="67"/>
      <c r="T272" s="67"/>
      <c r="U272" s="67"/>
    </row>
    <row r="273" spans="1:21" s="75" customFormat="1" hidden="1">
      <c r="A273" s="67"/>
      <c r="B273" s="916"/>
      <c r="C273" s="132"/>
      <c r="D273" s="132"/>
      <c r="E273" s="132"/>
      <c r="N273" s="916"/>
      <c r="P273" s="917"/>
      <c r="R273" s="67"/>
      <c r="S273" s="67"/>
      <c r="T273" s="67"/>
      <c r="U273" s="67"/>
    </row>
    <row r="274" spans="1:21" s="75" customFormat="1" hidden="1">
      <c r="A274" s="67"/>
      <c r="B274" s="916"/>
      <c r="C274" s="132"/>
      <c r="D274" s="132"/>
      <c r="E274" s="132"/>
      <c r="N274" s="916"/>
      <c r="P274" s="917"/>
      <c r="R274" s="67"/>
      <c r="S274" s="67"/>
      <c r="T274" s="67"/>
      <c r="U274" s="67"/>
    </row>
    <row r="275" spans="1:21" s="75" customFormat="1" hidden="1">
      <c r="A275" s="67"/>
      <c r="B275" s="916"/>
      <c r="C275" s="132"/>
      <c r="D275" s="132"/>
      <c r="E275" s="132"/>
      <c r="N275" s="916"/>
      <c r="P275" s="917"/>
      <c r="R275" s="67"/>
      <c r="S275" s="67"/>
      <c r="T275" s="67"/>
      <c r="U275" s="67"/>
    </row>
    <row r="276" spans="1:21" s="75" customFormat="1" hidden="1">
      <c r="A276" s="67"/>
      <c r="B276" s="916"/>
      <c r="C276" s="132"/>
      <c r="D276" s="132"/>
      <c r="E276" s="132"/>
      <c r="N276" s="916"/>
      <c r="P276" s="917"/>
      <c r="R276" s="67"/>
      <c r="S276" s="67"/>
      <c r="T276" s="67"/>
      <c r="U276" s="67"/>
    </row>
    <row r="277" spans="1:21" s="75" customFormat="1" hidden="1">
      <c r="A277" s="67"/>
      <c r="B277" s="916"/>
      <c r="C277" s="132"/>
      <c r="D277" s="132"/>
      <c r="E277" s="132"/>
      <c r="N277" s="916"/>
      <c r="P277" s="917"/>
      <c r="R277" s="67"/>
      <c r="S277" s="67"/>
      <c r="T277" s="67"/>
      <c r="U277" s="67"/>
    </row>
    <row r="278" spans="1:21" s="75" customFormat="1" hidden="1">
      <c r="A278" s="67"/>
      <c r="B278" s="916"/>
      <c r="C278" s="132"/>
      <c r="D278" s="132"/>
      <c r="E278" s="132"/>
      <c r="N278" s="916"/>
      <c r="P278" s="917"/>
      <c r="R278" s="67"/>
      <c r="S278" s="67"/>
      <c r="T278" s="67"/>
      <c r="U278" s="67"/>
    </row>
    <row r="279" spans="1:21" s="75" customFormat="1" hidden="1">
      <c r="A279" s="67"/>
      <c r="B279" s="916"/>
      <c r="C279" s="132"/>
      <c r="D279" s="132"/>
      <c r="E279" s="132"/>
      <c r="N279" s="916"/>
      <c r="P279" s="917"/>
      <c r="R279" s="67"/>
      <c r="S279" s="67"/>
      <c r="T279" s="67"/>
      <c r="U279" s="67"/>
    </row>
    <row r="280" spans="1:21" s="75" customFormat="1" hidden="1">
      <c r="A280" s="67"/>
      <c r="B280" s="916"/>
      <c r="C280" s="132"/>
      <c r="D280" s="132"/>
      <c r="E280" s="132"/>
      <c r="N280" s="916"/>
      <c r="P280" s="917"/>
      <c r="R280" s="67"/>
      <c r="S280" s="67"/>
      <c r="T280" s="67"/>
      <c r="U280" s="67"/>
    </row>
    <row r="281" spans="1:21" s="75" customFormat="1" hidden="1">
      <c r="A281" s="67"/>
      <c r="B281" s="916"/>
      <c r="C281" s="132"/>
      <c r="D281" s="132"/>
      <c r="E281" s="132"/>
      <c r="N281" s="916"/>
      <c r="P281" s="917"/>
      <c r="R281" s="67"/>
      <c r="S281" s="67"/>
      <c r="T281" s="67"/>
      <c r="U281" s="67"/>
    </row>
    <row r="282" spans="1:21" s="75" customFormat="1" hidden="1">
      <c r="A282" s="67"/>
      <c r="B282" s="916"/>
      <c r="C282" s="132"/>
      <c r="D282" s="132"/>
      <c r="E282" s="132"/>
      <c r="N282" s="916"/>
      <c r="P282" s="917"/>
      <c r="R282" s="67"/>
      <c r="S282" s="67"/>
      <c r="T282" s="67"/>
      <c r="U282" s="67"/>
    </row>
    <row r="283" spans="1:21" s="75" customFormat="1" hidden="1">
      <c r="A283" s="67"/>
      <c r="B283" s="916"/>
      <c r="C283" s="132"/>
      <c r="D283" s="132"/>
      <c r="E283" s="132"/>
      <c r="N283" s="916"/>
      <c r="P283" s="917"/>
      <c r="R283" s="67"/>
      <c r="S283" s="67"/>
      <c r="T283" s="67"/>
      <c r="U283" s="67"/>
    </row>
    <row r="284" spans="1:21" s="75" customFormat="1" hidden="1">
      <c r="A284" s="67"/>
      <c r="B284" s="916"/>
      <c r="C284" s="132"/>
      <c r="D284" s="132"/>
      <c r="E284" s="132"/>
      <c r="N284" s="916"/>
      <c r="P284" s="917"/>
      <c r="R284" s="67"/>
      <c r="S284" s="67"/>
      <c r="T284" s="67"/>
      <c r="U284" s="67"/>
    </row>
    <row r="285" spans="1:21" s="75" customFormat="1" hidden="1">
      <c r="A285" s="67"/>
      <c r="B285" s="916"/>
      <c r="C285" s="132"/>
      <c r="D285" s="132"/>
      <c r="E285" s="132"/>
      <c r="N285" s="916"/>
      <c r="P285" s="917"/>
      <c r="R285" s="67"/>
      <c r="S285" s="67"/>
      <c r="T285" s="67"/>
      <c r="U285" s="67"/>
    </row>
    <row r="286" spans="1:21" s="75" customFormat="1" hidden="1">
      <c r="A286" s="67"/>
      <c r="B286" s="916"/>
      <c r="C286" s="132"/>
      <c r="D286" s="132"/>
      <c r="E286" s="132"/>
      <c r="N286" s="916"/>
      <c r="P286" s="917"/>
      <c r="R286" s="67"/>
      <c r="S286" s="67"/>
      <c r="T286" s="67"/>
      <c r="U286" s="67"/>
    </row>
    <row r="287" spans="1:21" s="75" customFormat="1" hidden="1">
      <c r="A287" s="67"/>
      <c r="B287" s="916"/>
      <c r="C287" s="132"/>
      <c r="D287" s="132"/>
      <c r="E287" s="132"/>
      <c r="N287" s="916"/>
      <c r="P287" s="917"/>
      <c r="R287" s="67"/>
      <c r="S287" s="67"/>
      <c r="T287" s="67"/>
      <c r="U287" s="67"/>
    </row>
    <row r="288" spans="1:21" s="75" customFormat="1" hidden="1">
      <c r="A288" s="67"/>
      <c r="B288" s="916"/>
      <c r="C288" s="132"/>
      <c r="D288" s="132"/>
      <c r="E288" s="132"/>
      <c r="N288" s="916"/>
      <c r="P288" s="917"/>
      <c r="R288" s="67"/>
      <c r="S288" s="67"/>
      <c r="T288" s="67"/>
      <c r="U288" s="67"/>
    </row>
    <row r="289" spans="1:21" s="75" customFormat="1" hidden="1">
      <c r="A289" s="67"/>
      <c r="B289" s="916"/>
      <c r="C289" s="132"/>
      <c r="D289" s="132"/>
      <c r="E289" s="132"/>
      <c r="N289" s="916"/>
      <c r="P289" s="917"/>
      <c r="R289" s="67"/>
      <c r="S289" s="67"/>
      <c r="T289" s="67"/>
      <c r="U289" s="67"/>
    </row>
    <row r="290" spans="1:21" s="75" customFormat="1" hidden="1">
      <c r="A290" s="67"/>
      <c r="B290" s="916"/>
      <c r="C290" s="132"/>
      <c r="D290" s="132"/>
      <c r="E290" s="132"/>
      <c r="N290" s="916"/>
      <c r="P290" s="917"/>
      <c r="R290" s="67"/>
      <c r="S290" s="67"/>
      <c r="T290" s="67"/>
      <c r="U290" s="67"/>
    </row>
    <row r="291" spans="1:21" s="75" customFormat="1" hidden="1">
      <c r="A291" s="67"/>
      <c r="B291" s="916"/>
      <c r="C291" s="132"/>
      <c r="D291" s="132"/>
      <c r="E291" s="132"/>
      <c r="N291" s="916"/>
      <c r="P291" s="917"/>
      <c r="R291" s="67"/>
      <c r="S291" s="67"/>
      <c r="T291" s="67"/>
      <c r="U291" s="67"/>
    </row>
    <row r="292" spans="1:21" s="75" customFormat="1" hidden="1">
      <c r="A292" s="67"/>
      <c r="B292" s="916"/>
      <c r="C292" s="132"/>
      <c r="D292" s="132"/>
      <c r="E292" s="132"/>
      <c r="N292" s="916"/>
      <c r="P292" s="917"/>
      <c r="R292" s="67"/>
      <c r="S292" s="67"/>
      <c r="T292" s="67"/>
      <c r="U292" s="67"/>
    </row>
    <row r="293" spans="1:21" s="75" customFormat="1" hidden="1">
      <c r="A293" s="67"/>
      <c r="B293" s="916"/>
      <c r="C293" s="132"/>
      <c r="D293" s="132"/>
      <c r="E293" s="132"/>
      <c r="N293" s="916"/>
      <c r="P293" s="917"/>
      <c r="R293" s="67"/>
      <c r="S293" s="67"/>
      <c r="T293" s="67"/>
      <c r="U293" s="67"/>
    </row>
    <row r="294" spans="1:21" s="75" customFormat="1" hidden="1">
      <c r="A294" s="67"/>
      <c r="B294" s="916"/>
      <c r="C294" s="132"/>
      <c r="D294" s="132"/>
      <c r="E294" s="132"/>
      <c r="N294" s="916"/>
      <c r="P294" s="917"/>
      <c r="R294" s="67"/>
      <c r="S294" s="67"/>
      <c r="T294" s="67"/>
      <c r="U294" s="67"/>
    </row>
    <row r="295" spans="1:21" s="75" customFormat="1" hidden="1">
      <c r="A295" s="67"/>
      <c r="B295" s="916"/>
      <c r="C295" s="132"/>
      <c r="D295" s="132"/>
      <c r="E295" s="132"/>
      <c r="N295" s="916"/>
      <c r="P295" s="917"/>
      <c r="R295" s="67"/>
      <c r="S295" s="67"/>
      <c r="T295" s="67"/>
      <c r="U295" s="67"/>
    </row>
    <row r="296" spans="1:21" s="75" customFormat="1" hidden="1">
      <c r="A296" s="67"/>
      <c r="B296" s="916"/>
      <c r="C296" s="132"/>
      <c r="D296" s="132"/>
      <c r="E296" s="132"/>
      <c r="N296" s="916"/>
      <c r="P296" s="917"/>
      <c r="R296" s="67"/>
      <c r="S296" s="67"/>
      <c r="T296" s="67"/>
      <c r="U296" s="67"/>
    </row>
    <row r="297" spans="1:21" s="75" customFormat="1" hidden="1">
      <c r="A297" s="67"/>
      <c r="B297" s="916"/>
      <c r="C297" s="132"/>
      <c r="D297" s="132"/>
      <c r="E297" s="132"/>
      <c r="N297" s="916"/>
      <c r="P297" s="917"/>
      <c r="R297" s="67"/>
      <c r="S297" s="67"/>
      <c r="T297" s="67"/>
      <c r="U297" s="67"/>
    </row>
    <row r="298" spans="1:21" s="75" customFormat="1" hidden="1">
      <c r="A298" s="67"/>
      <c r="B298" s="916"/>
      <c r="C298" s="132"/>
      <c r="D298" s="132"/>
      <c r="E298" s="132"/>
      <c r="N298" s="916"/>
      <c r="P298" s="917"/>
      <c r="R298" s="67"/>
      <c r="S298" s="67"/>
      <c r="T298" s="67"/>
      <c r="U298" s="67"/>
    </row>
    <row r="299" spans="1:21" s="75" customFormat="1" hidden="1">
      <c r="A299" s="67"/>
      <c r="B299" s="916"/>
      <c r="C299" s="132"/>
      <c r="D299" s="132"/>
      <c r="E299" s="132"/>
      <c r="N299" s="916"/>
      <c r="P299" s="917"/>
      <c r="R299" s="67"/>
      <c r="S299" s="67"/>
      <c r="T299" s="67"/>
      <c r="U299" s="67"/>
    </row>
    <row r="300" spans="1:21" s="75" customFormat="1" hidden="1">
      <c r="A300" s="67"/>
      <c r="B300" s="916"/>
      <c r="C300" s="132"/>
      <c r="D300" s="132"/>
      <c r="E300" s="132"/>
      <c r="N300" s="916"/>
      <c r="P300" s="917"/>
      <c r="R300" s="67"/>
      <c r="S300" s="67"/>
      <c r="T300" s="67"/>
      <c r="U300" s="67"/>
    </row>
    <row r="301" spans="1:21" s="75" customFormat="1" hidden="1">
      <c r="A301" s="67"/>
      <c r="B301" s="916"/>
      <c r="C301" s="132"/>
      <c r="D301" s="132"/>
      <c r="E301" s="132"/>
      <c r="N301" s="916"/>
      <c r="P301" s="917"/>
      <c r="R301" s="67"/>
      <c r="S301" s="67"/>
      <c r="T301" s="67"/>
      <c r="U301" s="67"/>
    </row>
    <row r="302" spans="1:21" s="75" customFormat="1" hidden="1">
      <c r="A302" s="67"/>
      <c r="B302" s="916"/>
      <c r="C302" s="132"/>
      <c r="D302" s="132"/>
      <c r="E302" s="132"/>
      <c r="N302" s="916"/>
      <c r="P302" s="917"/>
      <c r="R302" s="67"/>
      <c r="S302" s="67"/>
      <c r="T302" s="67"/>
      <c r="U302" s="67"/>
    </row>
    <row r="303" spans="1:21" s="75" customFormat="1" hidden="1">
      <c r="A303" s="67"/>
      <c r="B303" s="916"/>
      <c r="C303" s="132"/>
      <c r="D303" s="132"/>
      <c r="E303" s="132"/>
      <c r="N303" s="916"/>
      <c r="P303" s="917"/>
      <c r="R303" s="67"/>
      <c r="S303" s="67"/>
      <c r="T303" s="67"/>
      <c r="U303" s="67"/>
    </row>
    <row r="304" spans="1:21" s="75" customFormat="1" hidden="1">
      <c r="A304" s="67"/>
      <c r="B304" s="916"/>
      <c r="C304" s="132"/>
      <c r="D304" s="132"/>
      <c r="E304" s="132"/>
      <c r="N304" s="916"/>
      <c r="P304" s="917"/>
      <c r="R304" s="67"/>
      <c r="S304" s="67"/>
      <c r="T304" s="67"/>
      <c r="U304" s="67"/>
    </row>
    <row r="305" spans="1:21" s="75" customFormat="1" hidden="1">
      <c r="A305" s="67"/>
      <c r="B305" s="916"/>
      <c r="C305" s="132"/>
      <c r="D305" s="132"/>
      <c r="E305" s="132"/>
      <c r="N305" s="916"/>
      <c r="P305" s="917"/>
      <c r="R305" s="67"/>
      <c r="S305" s="67"/>
      <c r="T305" s="67"/>
      <c r="U305" s="67"/>
    </row>
    <row r="306" spans="1:21" s="75" customFormat="1" hidden="1">
      <c r="A306" s="67"/>
      <c r="B306" s="916"/>
      <c r="C306" s="132"/>
      <c r="D306" s="132"/>
      <c r="E306" s="132"/>
      <c r="N306" s="916"/>
      <c r="P306" s="917"/>
      <c r="R306" s="67"/>
      <c r="S306" s="67"/>
      <c r="T306" s="67"/>
      <c r="U306" s="67"/>
    </row>
    <row r="307" spans="1:21" s="75" customFormat="1" hidden="1">
      <c r="A307" s="67"/>
      <c r="B307" s="916"/>
      <c r="C307" s="132"/>
      <c r="D307" s="132"/>
      <c r="E307" s="132"/>
      <c r="N307" s="916"/>
      <c r="P307" s="917"/>
      <c r="R307" s="67"/>
      <c r="S307" s="67"/>
      <c r="T307" s="67"/>
      <c r="U307" s="67"/>
    </row>
    <row r="308" spans="1:21" s="75" customFormat="1" hidden="1">
      <c r="A308" s="67"/>
      <c r="B308" s="916"/>
      <c r="C308" s="132"/>
      <c r="D308" s="132"/>
      <c r="E308" s="132"/>
      <c r="N308" s="916"/>
      <c r="P308" s="917"/>
      <c r="R308" s="67"/>
      <c r="S308" s="67"/>
      <c r="T308" s="67"/>
      <c r="U308" s="67"/>
    </row>
    <row r="309" spans="1:21" s="75" customFormat="1" hidden="1">
      <c r="A309" s="67"/>
      <c r="B309" s="916"/>
      <c r="C309" s="132"/>
      <c r="D309" s="132"/>
      <c r="E309" s="132"/>
      <c r="N309" s="916"/>
      <c r="P309" s="917"/>
      <c r="R309" s="67"/>
      <c r="S309" s="67"/>
      <c r="T309" s="67"/>
      <c r="U309" s="67"/>
    </row>
    <row r="310" spans="1:21" s="75" customFormat="1" hidden="1">
      <c r="A310" s="67"/>
      <c r="B310" s="916"/>
      <c r="C310" s="132"/>
      <c r="D310" s="132"/>
      <c r="E310" s="132"/>
      <c r="N310" s="916"/>
      <c r="P310" s="917"/>
      <c r="R310" s="67"/>
      <c r="S310" s="67"/>
      <c r="T310" s="67"/>
      <c r="U310" s="67"/>
    </row>
    <row r="311" spans="1:21" s="75" customFormat="1" hidden="1">
      <c r="A311" s="67"/>
      <c r="B311" s="916"/>
      <c r="C311" s="132"/>
      <c r="D311" s="132"/>
      <c r="E311" s="132"/>
      <c r="N311" s="916"/>
      <c r="P311" s="917"/>
      <c r="R311" s="67"/>
      <c r="S311" s="67"/>
      <c r="T311" s="67"/>
      <c r="U311" s="67"/>
    </row>
    <row r="312" spans="1:21" s="75" customFormat="1" hidden="1">
      <c r="A312" s="67"/>
      <c r="B312" s="916"/>
      <c r="C312" s="132"/>
      <c r="D312" s="132"/>
      <c r="E312" s="132"/>
      <c r="N312" s="916"/>
      <c r="P312" s="917"/>
      <c r="R312" s="67"/>
      <c r="S312" s="67"/>
      <c r="T312" s="67"/>
      <c r="U312" s="67"/>
    </row>
    <row r="313" spans="1:21" s="75" customFormat="1" hidden="1">
      <c r="A313" s="67"/>
      <c r="B313" s="916"/>
      <c r="C313" s="132"/>
      <c r="D313" s="132"/>
      <c r="E313" s="132"/>
      <c r="N313" s="916"/>
      <c r="P313" s="917"/>
      <c r="R313" s="67"/>
      <c r="S313" s="67"/>
      <c r="T313" s="67"/>
      <c r="U313" s="67"/>
    </row>
    <row r="314" spans="1:21" s="75" customFormat="1" hidden="1">
      <c r="A314" s="67"/>
      <c r="B314" s="916"/>
      <c r="C314" s="132"/>
      <c r="D314" s="132"/>
      <c r="E314" s="132"/>
      <c r="N314" s="916"/>
      <c r="P314" s="917"/>
      <c r="R314" s="67"/>
      <c r="S314" s="67"/>
      <c r="T314" s="67"/>
      <c r="U314" s="67"/>
    </row>
    <row r="315" spans="1:21" s="75" customFormat="1" hidden="1">
      <c r="A315" s="67"/>
      <c r="B315" s="916"/>
      <c r="C315" s="132"/>
      <c r="D315" s="132"/>
      <c r="E315" s="132"/>
      <c r="N315" s="916"/>
      <c r="P315" s="917"/>
      <c r="R315" s="67"/>
      <c r="S315" s="67"/>
      <c r="T315" s="67"/>
      <c r="U315" s="67"/>
    </row>
    <row r="316" spans="1:21" s="75" customFormat="1" hidden="1">
      <c r="A316" s="67"/>
      <c r="B316" s="916"/>
      <c r="C316" s="132"/>
      <c r="D316" s="132"/>
      <c r="E316" s="132"/>
      <c r="N316" s="916"/>
      <c r="P316" s="917"/>
      <c r="R316" s="67"/>
      <c r="S316" s="67"/>
      <c r="T316" s="67"/>
      <c r="U316" s="67"/>
    </row>
    <row r="317" spans="1:21" s="75" customFormat="1" hidden="1">
      <c r="A317" s="67"/>
      <c r="B317" s="916"/>
      <c r="C317" s="132"/>
      <c r="D317" s="132"/>
      <c r="E317" s="132"/>
      <c r="N317" s="916"/>
      <c r="P317" s="917"/>
      <c r="R317" s="67"/>
      <c r="S317" s="67"/>
      <c r="T317" s="67"/>
      <c r="U317" s="67"/>
    </row>
    <row r="318" spans="1:21" s="75" customFormat="1" hidden="1">
      <c r="A318" s="67"/>
      <c r="B318" s="916"/>
      <c r="C318" s="132"/>
      <c r="D318" s="132"/>
      <c r="E318" s="132"/>
      <c r="N318" s="916"/>
      <c r="P318" s="917"/>
      <c r="R318" s="67"/>
      <c r="S318" s="67"/>
      <c r="T318" s="67"/>
      <c r="U318" s="67"/>
    </row>
    <row r="319" spans="1:21" s="75" customFormat="1" hidden="1">
      <c r="A319" s="67"/>
      <c r="B319" s="916"/>
      <c r="C319" s="132"/>
      <c r="D319" s="132"/>
      <c r="E319" s="132"/>
      <c r="N319" s="916"/>
      <c r="P319" s="917"/>
      <c r="R319" s="67"/>
      <c r="S319" s="67"/>
      <c r="T319" s="67"/>
      <c r="U319" s="67"/>
    </row>
    <row r="320" spans="1:21" s="75" customFormat="1" hidden="1">
      <c r="A320" s="67"/>
      <c r="B320" s="916"/>
      <c r="C320" s="132"/>
      <c r="D320" s="132"/>
      <c r="E320" s="132"/>
      <c r="N320" s="916"/>
      <c r="P320" s="917"/>
      <c r="R320" s="67"/>
      <c r="S320" s="67"/>
      <c r="T320" s="67"/>
      <c r="U320" s="67"/>
    </row>
    <row r="321" spans="1:21" s="75" customFormat="1" hidden="1">
      <c r="A321" s="67"/>
      <c r="B321" s="916"/>
      <c r="C321" s="132"/>
      <c r="D321" s="132"/>
      <c r="E321" s="132"/>
      <c r="N321" s="916"/>
      <c r="P321" s="917"/>
      <c r="R321" s="67"/>
      <c r="S321" s="67"/>
      <c r="T321" s="67"/>
      <c r="U321" s="67"/>
    </row>
    <row r="322" spans="1:21" s="75" customFormat="1" hidden="1">
      <c r="A322" s="67"/>
      <c r="B322" s="916"/>
      <c r="C322" s="132"/>
      <c r="D322" s="132"/>
      <c r="E322" s="132"/>
      <c r="N322" s="916"/>
      <c r="P322" s="917"/>
      <c r="R322" s="67"/>
      <c r="S322" s="67"/>
      <c r="T322" s="67"/>
      <c r="U322" s="67"/>
    </row>
    <row r="323" spans="1:21" s="75" customFormat="1" hidden="1">
      <c r="A323" s="67"/>
      <c r="B323" s="916"/>
      <c r="C323" s="132"/>
      <c r="D323" s="132"/>
      <c r="E323" s="132"/>
      <c r="N323" s="916"/>
      <c r="P323" s="917"/>
      <c r="R323" s="67"/>
      <c r="S323" s="67"/>
      <c r="T323" s="67"/>
      <c r="U323" s="67"/>
    </row>
    <row r="324" spans="1:21" s="75" customFormat="1" hidden="1">
      <c r="A324" s="67"/>
      <c r="B324" s="916"/>
      <c r="C324" s="132"/>
      <c r="D324" s="132"/>
      <c r="E324" s="132"/>
      <c r="N324" s="916"/>
      <c r="P324" s="917"/>
      <c r="R324" s="67"/>
      <c r="S324" s="67"/>
      <c r="T324" s="67"/>
      <c r="U324" s="67"/>
    </row>
    <row r="325" spans="1:21" s="75" customFormat="1" hidden="1">
      <c r="A325" s="67"/>
      <c r="B325" s="916"/>
      <c r="C325" s="132"/>
      <c r="D325" s="132"/>
      <c r="E325" s="132"/>
      <c r="N325" s="916"/>
      <c r="P325" s="917"/>
      <c r="R325" s="67"/>
      <c r="S325" s="67"/>
      <c r="T325" s="67"/>
      <c r="U325" s="67"/>
    </row>
    <row r="326" spans="1:21" s="75" customFormat="1" hidden="1">
      <c r="A326" s="67"/>
      <c r="B326" s="916"/>
      <c r="C326" s="132"/>
      <c r="D326" s="132"/>
      <c r="E326" s="132"/>
      <c r="N326" s="916"/>
      <c r="P326" s="917"/>
      <c r="R326" s="67"/>
      <c r="S326" s="67"/>
      <c r="T326" s="67"/>
      <c r="U326" s="67"/>
    </row>
    <row r="327" spans="1:21" s="75" customFormat="1" hidden="1">
      <c r="A327" s="67"/>
      <c r="B327" s="916"/>
      <c r="C327" s="132"/>
      <c r="D327" s="132"/>
      <c r="E327" s="132"/>
      <c r="N327" s="916"/>
      <c r="P327" s="917"/>
      <c r="R327" s="67"/>
      <c r="S327" s="67"/>
      <c r="T327" s="67"/>
      <c r="U327" s="67"/>
    </row>
    <row r="328" spans="1:21" s="75" customFormat="1" hidden="1">
      <c r="A328" s="67"/>
      <c r="B328" s="916"/>
      <c r="C328" s="132"/>
      <c r="D328" s="132"/>
      <c r="E328" s="132"/>
      <c r="N328" s="916"/>
      <c r="P328" s="917"/>
      <c r="R328" s="67"/>
      <c r="S328" s="67"/>
      <c r="T328" s="67"/>
      <c r="U328" s="67"/>
    </row>
    <row r="329" spans="1:21" s="75" customFormat="1" hidden="1">
      <c r="A329" s="67"/>
      <c r="B329" s="916"/>
      <c r="C329" s="132"/>
      <c r="D329" s="132"/>
      <c r="E329" s="132"/>
      <c r="N329" s="916"/>
      <c r="P329" s="917"/>
      <c r="R329" s="67"/>
      <c r="S329" s="67"/>
      <c r="T329" s="67"/>
      <c r="U329" s="67"/>
    </row>
    <row r="330" spans="1:21" s="75" customFormat="1" hidden="1">
      <c r="A330" s="67"/>
      <c r="B330" s="916"/>
      <c r="C330" s="132"/>
      <c r="D330" s="132"/>
      <c r="E330" s="132"/>
      <c r="N330" s="916"/>
      <c r="P330" s="917"/>
      <c r="R330" s="67"/>
      <c r="S330" s="67"/>
      <c r="T330" s="67"/>
      <c r="U330" s="67"/>
    </row>
    <row r="331" spans="1:21" s="75" customFormat="1" hidden="1">
      <c r="A331" s="67"/>
      <c r="B331" s="916"/>
      <c r="C331" s="132"/>
      <c r="D331" s="132"/>
      <c r="E331" s="132"/>
      <c r="N331" s="916"/>
      <c r="P331" s="917"/>
      <c r="R331" s="67"/>
      <c r="S331" s="67"/>
      <c r="T331" s="67"/>
      <c r="U331" s="67"/>
    </row>
    <row r="332" spans="1:21" s="75" customFormat="1" hidden="1">
      <c r="A332" s="67"/>
      <c r="B332" s="916"/>
      <c r="C332" s="132"/>
      <c r="D332" s="132"/>
      <c r="E332" s="132"/>
      <c r="N332" s="916"/>
      <c r="P332" s="917"/>
      <c r="R332" s="67"/>
      <c r="S332" s="67"/>
      <c r="T332" s="67"/>
      <c r="U332" s="67"/>
    </row>
    <row r="333" spans="1:21" s="75" customFormat="1" hidden="1">
      <c r="A333" s="67"/>
      <c r="B333" s="916"/>
      <c r="C333" s="132"/>
      <c r="D333" s="132"/>
      <c r="E333" s="132"/>
      <c r="N333" s="916"/>
      <c r="P333" s="917"/>
      <c r="R333" s="67"/>
      <c r="S333" s="67"/>
      <c r="T333" s="67"/>
      <c r="U333" s="67"/>
    </row>
    <row r="334" spans="1:21" s="75" customFormat="1" hidden="1">
      <c r="A334" s="67"/>
      <c r="B334" s="916"/>
      <c r="C334" s="132"/>
      <c r="D334" s="132"/>
      <c r="E334" s="132"/>
      <c r="N334" s="916"/>
      <c r="P334" s="917"/>
      <c r="R334" s="67"/>
      <c r="S334" s="67"/>
      <c r="T334" s="67"/>
      <c r="U334" s="67"/>
    </row>
    <row r="335" spans="1:21" s="75" customFormat="1" hidden="1">
      <c r="A335" s="67"/>
      <c r="B335" s="916"/>
      <c r="C335" s="132"/>
      <c r="D335" s="132"/>
      <c r="E335" s="132"/>
      <c r="N335" s="916"/>
      <c r="P335" s="917"/>
      <c r="R335" s="67"/>
      <c r="S335" s="67"/>
      <c r="T335" s="67"/>
      <c r="U335" s="67"/>
    </row>
    <row r="336" spans="1:21" s="75" customFormat="1" hidden="1">
      <c r="A336" s="67"/>
      <c r="B336" s="916"/>
      <c r="C336" s="132"/>
      <c r="D336" s="132"/>
      <c r="E336" s="132"/>
      <c r="N336" s="916"/>
      <c r="P336" s="917"/>
      <c r="R336" s="67"/>
      <c r="S336" s="67"/>
      <c r="T336" s="67"/>
      <c r="U336" s="67"/>
    </row>
    <row r="337" spans="1:21" s="75" customFormat="1" hidden="1">
      <c r="A337" s="67"/>
      <c r="B337" s="916"/>
      <c r="C337" s="132"/>
      <c r="D337" s="132"/>
      <c r="E337" s="132"/>
      <c r="N337" s="916"/>
      <c r="P337" s="917"/>
      <c r="R337" s="67"/>
      <c r="S337" s="67"/>
      <c r="T337" s="67"/>
      <c r="U337" s="67"/>
    </row>
    <row r="338" spans="1:21" s="75" customFormat="1" hidden="1">
      <c r="A338" s="67"/>
      <c r="B338" s="916"/>
      <c r="C338" s="132"/>
      <c r="D338" s="132"/>
      <c r="E338" s="132"/>
      <c r="N338" s="916"/>
      <c r="P338" s="917"/>
      <c r="R338" s="67"/>
      <c r="S338" s="67"/>
      <c r="T338" s="67"/>
      <c r="U338" s="67"/>
    </row>
    <row r="339" spans="1:21" s="75" customFormat="1" hidden="1">
      <c r="A339" s="67"/>
      <c r="B339" s="916"/>
      <c r="C339" s="132"/>
      <c r="D339" s="132"/>
      <c r="E339" s="132"/>
      <c r="N339" s="916"/>
      <c r="P339" s="917"/>
      <c r="R339" s="67"/>
      <c r="S339" s="67"/>
      <c r="T339" s="67"/>
      <c r="U339" s="67"/>
    </row>
    <row r="340" spans="1:21" s="75" customFormat="1" hidden="1">
      <c r="A340" s="67"/>
      <c r="B340" s="916"/>
      <c r="C340" s="132"/>
      <c r="D340" s="132"/>
      <c r="E340" s="132"/>
      <c r="N340" s="916"/>
      <c r="P340" s="917"/>
      <c r="R340" s="67"/>
      <c r="S340" s="67"/>
      <c r="T340" s="67"/>
      <c r="U340" s="67"/>
    </row>
    <row r="341" spans="1:21" s="75" customFormat="1" hidden="1">
      <c r="A341" s="67"/>
      <c r="B341" s="916"/>
      <c r="C341" s="132"/>
      <c r="D341" s="132"/>
      <c r="E341" s="132"/>
      <c r="N341" s="916"/>
      <c r="P341" s="917"/>
      <c r="R341" s="67"/>
      <c r="S341" s="67"/>
      <c r="T341" s="67"/>
      <c r="U341" s="67"/>
    </row>
    <row r="342" spans="1:21" s="75" customFormat="1" hidden="1">
      <c r="A342" s="67"/>
      <c r="B342" s="916"/>
      <c r="C342" s="132"/>
      <c r="D342" s="132"/>
      <c r="E342" s="132"/>
      <c r="N342" s="916"/>
      <c r="P342" s="917"/>
      <c r="R342" s="67"/>
      <c r="S342" s="67"/>
      <c r="T342" s="67"/>
      <c r="U342" s="67"/>
    </row>
    <row r="343" spans="1:21" s="75" customFormat="1" hidden="1">
      <c r="A343" s="67"/>
      <c r="B343" s="916"/>
      <c r="C343" s="132"/>
      <c r="D343" s="132"/>
      <c r="E343" s="132"/>
      <c r="N343" s="916"/>
      <c r="P343" s="917"/>
      <c r="R343" s="67"/>
      <c r="S343" s="67"/>
      <c r="T343" s="67"/>
      <c r="U343" s="67"/>
    </row>
    <row r="344" spans="1:21" s="75" customFormat="1" hidden="1">
      <c r="A344" s="67"/>
      <c r="B344" s="916"/>
      <c r="C344" s="132"/>
      <c r="D344" s="132"/>
      <c r="E344" s="132"/>
      <c r="N344" s="916"/>
      <c r="P344" s="917"/>
      <c r="R344" s="67"/>
      <c r="S344" s="67"/>
      <c r="T344" s="67"/>
      <c r="U344" s="67"/>
    </row>
    <row r="345" spans="1:21" s="75" customFormat="1" hidden="1">
      <c r="A345" s="67"/>
      <c r="B345" s="916"/>
      <c r="C345" s="132"/>
      <c r="D345" s="132"/>
      <c r="E345" s="132"/>
      <c r="N345" s="916"/>
      <c r="P345" s="917"/>
      <c r="R345" s="67"/>
      <c r="S345" s="67"/>
      <c r="T345" s="67"/>
      <c r="U345" s="67"/>
    </row>
    <row r="346" spans="1:21" s="75" customFormat="1" hidden="1">
      <c r="A346" s="67"/>
      <c r="B346" s="916"/>
      <c r="C346" s="132"/>
      <c r="D346" s="132"/>
      <c r="E346" s="132"/>
      <c r="N346" s="916"/>
      <c r="P346" s="917"/>
      <c r="R346" s="67"/>
      <c r="S346" s="67"/>
      <c r="T346" s="67"/>
      <c r="U346" s="67"/>
    </row>
    <row r="347" spans="1:21" s="75" customFormat="1" hidden="1">
      <c r="A347" s="67"/>
      <c r="B347" s="916"/>
      <c r="C347" s="132"/>
      <c r="D347" s="132"/>
      <c r="E347" s="132"/>
      <c r="N347" s="916"/>
      <c r="P347" s="917"/>
      <c r="R347" s="67"/>
      <c r="S347" s="67"/>
      <c r="T347" s="67"/>
      <c r="U347" s="67"/>
    </row>
    <row r="348" spans="1:21" s="75" customFormat="1" hidden="1">
      <c r="A348" s="67"/>
      <c r="B348" s="916"/>
      <c r="C348" s="132"/>
      <c r="D348" s="132"/>
      <c r="E348" s="132"/>
      <c r="N348" s="916"/>
      <c r="P348" s="917"/>
      <c r="R348" s="67"/>
      <c r="S348" s="67"/>
      <c r="T348" s="67"/>
      <c r="U348" s="67"/>
    </row>
    <row r="349" spans="1:21" s="75" customFormat="1" hidden="1">
      <c r="A349" s="67"/>
      <c r="B349" s="916"/>
      <c r="C349" s="132"/>
      <c r="D349" s="132"/>
      <c r="E349" s="132"/>
      <c r="N349" s="916"/>
      <c r="P349" s="917"/>
      <c r="R349" s="67"/>
      <c r="S349" s="67"/>
      <c r="T349" s="67"/>
      <c r="U349" s="67"/>
    </row>
    <row r="350" spans="1:21" s="75" customFormat="1" hidden="1">
      <c r="A350" s="67"/>
      <c r="B350" s="916"/>
      <c r="C350" s="132"/>
      <c r="D350" s="132"/>
      <c r="E350" s="132"/>
      <c r="N350" s="916"/>
      <c r="P350" s="917"/>
      <c r="R350" s="67"/>
      <c r="S350" s="67"/>
      <c r="T350" s="67"/>
      <c r="U350" s="67"/>
    </row>
    <row r="351" spans="1:21" s="75" customFormat="1" hidden="1">
      <c r="A351" s="67"/>
      <c r="B351" s="916"/>
      <c r="C351" s="132"/>
      <c r="D351" s="132"/>
      <c r="E351" s="132"/>
      <c r="N351" s="916"/>
      <c r="P351" s="917"/>
      <c r="R351" s="67"/>
      <c r="S351" s="67"/>
      <c r="T351" s="67"/>
      <c r="U351" s="67"/>
    </row>
    <row r="352" spans="1:21" s="75" customFormat="1" hidden="1">
      <c r="A352" s="67"/>
      <c r="B352" s="916"/>
      <c r="C352" s="132"/>
      <c r="D352" s="132"/>
      <c r="E352" s="132"/>
      <c r="N352" s="916"/>
      <c r="P352" s="917"/>
      <c r="R352" s="67"/>
      <c r="S352" s="67"/>
      <c r="T352" s="67"/>
      <c r="U352" s="67"/>
    </row>
    <row r="353" spans="1:21" s="75" customFormat="1" hidden="1">
      <c r="A353" s="67"/>
      <c r="B353" s="916"/>
      <c r="C353" s="132"/>
      <c r="D353" s="132"/>
      <c r="E353" s="132"/>
      <c r="N353" s="916"/>
      <c r="P353" s="917"/>
      <c r="R353" s="67"/>
      <c r="S353" s="67"/>
      <c r="T353" s="67"/>
      <c r="U353" s="67"/>
    </row>
    <row r="354" spans="1:21" s="75" customFormat="1" hidden="1">
      <c r="A354" s="67"/>
      <c r="B354" s="916"/>
      <c r="C354" s="132"/>
      <c r="D354" s="132"/>
      <c r="E354" s="132"/>
      <c r="N354" s="916"/>
      <c r="P354" s="917"/>
      <c r="R354" s="67"/>
      <c r="S354" s="67"/>
      <c r="T354" s="67"/>
      <c r="U354" s="67"/>
    </row>
    <row r="355" spans="1:21" s="75" customFormat="1" hidden="1">
      <c r="A355" s="67"/>
      <c r="B355" s="916"/>
      <c r="C355" s="132"/>
      <c r="D355" s="132"/>
      <c r="E355" s="132"/>
      <c r="N355" s="916"/>
      <c r="P355" s="917"/>
      <c r="R355" s="67"/>
      <c r="S355" s="67"/>
      <c r="T355" s="67"/>
      <c r="U355" s="67"/>
    </row>
    <row r="356" spans="1:21" s="75" customFormat="1" hidden="1">
      <c r="A356" s="67"/>
      <c r="B356" s="916"/>
      <c r="C356" s="132"/>
      <c r="D356" s="132"/>
      <c r="E356" s="132"/>
      <c r="N356" s="916"/>
      <c r="P356" s="917"/>
      <c r="R356" s="67"/>
      <c r="S356" s="67"/>
      <c r="T356" s="67"/>
      <c r="U356" s="67"/>
    </row>
    <row r="357" spans="1:21" s="75" customFormat="1" hidden="1">
      <c r="A357" s="67"/>
      <c r="B357" s="916"/>
      <c r="C357" s="132"/>
      <c r="D357" s="132"/>
      <c r="E357" s="132"/>
      <c r="N357" s="916"/>
      <c r="P357" s="917"/>
      <c r="R357" s="67"/>
      <c r="S357" s="67"/>
      <c r="T357" s="67"/>
      <c r="U357" s="67"/>
    </row>
    <row r="358" spans="1:21" s="75" customFormat="1" hidden="1">
      <c r="A358" s="67"/>
      <c r="B358" s="916"/>
      <c r="C358" s="132"/>
      <c r="D358" s="132"/>
      <c r="E358" s="132"/>
      <c r="N358" s="916"/>
      <c r="P358" s="917"/>
      <c r="R358" s="67"/>
      <c r="S358" s="67"/>
      <c r="T358" s="67"/>
      <c r="U358" s="67"/>
    </row>
    <row r="359" spans="1:21" s="75" customFormat="1" hidden="1">
      <c r="A359" s="67"/>
      <c r="B359" s="916"/>
      <c r="C359" s="132"/>
      <c r="D359" s="132"/>
      <c r="E359" s="132"/>
      <c r="N359" s="916"/>
      <c r="P359" s="917"/>
      <c r="R359" s="67"/>
      <c r="S359" s="67"/>
      <c r="T359" s="67"/>
      <c r="U359" s="67"/>
    </row>
    <row r="360" spans="1:21" s="75" customFormat="1" hidden="1">
      <c r="A360" s="67"/>
      <c r="B360" s="916"/>
      <c r="C360" s="132"/>
      <c r="D360" s="132"/>
      <c r="E360" s="132"/>
      <c r="N360" s="916"/>
      <c r="P360" s="917"/>
      <c r="R360" s="67"/>
      <c r="S360" s="67"/>
      <c r="T360" s="67"/>
      <c r="U360" s="67"/>
    </row>
    <row r="361" spans="1:21" s="75" customFormat="1" hidden="1">
      <c r="A361" s="67"/>
      <c r="B361" s="916"/>
      <c r="C361" s="132"/>
      <c r="D361" s="132"/>
      <c r="E361" s="132"/>
      <c r="N361" s="916"/>
      <c r="P361" s="917"/>
      <c r="R361" s="67"/>
      <c r="S361" s="67"/>
      <c r="T361" s="67"/>
      <c r="U361" s="67"/>
    </row>
    <row r="362" spans="1:21" s="75" customFormat="1" hidden="1">
      <c r="A362" s="67"/>
      <c r="B362" s="916"/>
      <c r="C362" s="132"/>
      <c r="D362" s="132"/>
      <c r="E362" s="132"/>
      <c r="N362" s="916"/>
      <c r="P362" s="917"/>
      <c r="R362" s="67"/>
      <c r="S362" s="67"/>
      <c r="T362" s="67"/>
      <c r="U362" s="67"/>
    </row>
    <row r="363" spans="1:21" s="75" customFormat="1" hidden="1">
      <c r="A363" s="67"/>
      <c r="B363" s="916"/>
      <c r="C363" s="132"/>
      <c r="D363" s="132"/>
      <c r="E363" s="132"/>
      <c r="N363" s="916"/>
      <c r="P363" s="917"/>
      <c r="R363" s="67"/>
      <c r="S363" s="67"/>
      <c r="T363" s="67"/>
      <c r="U363" s="67"/>
    </row>
    <row r="364" spans="1:21" s="75" customFormat="1" hidden="1">
      <c r="A364" s="67"/>
      <c r="B364" s="916"/>
      <c r="C364" s="132"/>
      <c r="D364" s="132"/>
      <c r="E364" s="132"/>
      <c r="N364" s="916"/>
      <c r="P364" s="917"/>
      <c r="R364" s="67"/>
      <c r="S364" s="67"/>
      <c r="T364" s="67"/>
      <c r="U364" s="67"/>
    </row>
    <row r="365" spans="1:21" s="75" customFormat="1" hidden="1">
      <c r="A365" s="67"/>
      <c r="B365" s="916"/>
      <c r="C365" s="132"/>
      <c r="D365" s="132"/>
      <c r="E365" s="132"/>
      <c r="N365" s="916"/>
      <c r="P365" s="917"/>
      <c r="R365" s="67"/>
      <c r="S365" s="67"/>
      <c r="T365" s="67"/>
      <c r="U365" s="67"/>
    </row>
    <row r="366" spans="1:21" s="75" customFormat="1" hidden="1">
      <c r="A366" s="67"/>
      <c r="B366" s="916"/>
      <c r="C366" s="132"/>
      <c r="D366" s="132"/>
      <c r="E366" s="132"/>
      <c r="N366" s="916"/>
      <c r="P366" s="917"/>
      <c r="R366" s="67"/>
      <c r="S366" s="67"/>
      <c r="T366" s="67"/>
      <c r="U366" s="67"/>
    </row>
    <row r="367" spans="1:21" s="75" customFormat="1" hidden="1">
      <c r="A367" s="67"/>
      <c r="B367" s="916"/>
      <c r="C367" s="132"/>
      <c r="D367" s="132"/>
      <c r="E367" s="132"/>
      <c r="N367" s="916"/>
      <c r="P367" s="917"/>
      <c r="R367" s="67"/>
      <c r="S367" s="67"/>
      <c r="T367" s="67"/>
      <c r="U367" s="67"/>
    </row>
    <row r="368" spans="1:21" s="75" customFormat="1" hidden="1">
      <c r="A368" s="67"/>
      <c r="B368" s="916"/>
      <c r="C368" s="132"/>
      <c r="D368" s="132"/>
      <c r="E368" s="132"/>
      <c r="N368" s="916"/>
      <c r="P368" s="917"/>
      <c r="R368" s="67"/>
      <c r="S368" s="67"/>
      <c r="T368" s="67"/>
      <c r="U368" s="67"/>
    </row>
    <row r="369" spans="1:21" s="75" customFormat="1" hidden="1">
      <c r="A369" s="67"/>
      <c r="B369" s="916"/>
      <c r="C369" s="132"/>
      <c r="D369" s="132"/>
      <c r="E369" s="132"/>
      <c r="N369" s="916"/>
      <c r="P369" s="917"/>
      <c r="R369" s="67"/>
      <c r="S369" s="67"/>
      <c r="T369" s="67"/>
      <c r="U369" s="67"/>
    </row>
    <row r="370" spans="1:21" s="75" customFormat="1" hidden="1">
      <c r="A370" s="67"/>
      <c r="B370" s="916"/>
      <c r="C370" s="132"/>
      <c r="D370" s="132"/>
      <c r="E370" s="132"/>
      <c r="N370" s="916"/>
      <c r="P370" s="917"/>
      <c r="R370" s="67"/>
      <c r="S370" s="67"/>
      <c r="T370" s="67"/>
      <c r="U370" s="67"/>
    </row>
    <row r="371" spans="1:21" s="75" customFormat="1" hidden="1">
      <c r="A371" s="67"/>
      <c r="B371" s="916"/>
      <c r="C371" s="132"/>
      <c r="D371" s="132"/>
      <c r="E371" s="132"/>
      <c r="N371" s="916"/>
      <c r="P371" s="917"/>
      <c r="R371" s="67"/>
      <c r="S371" s="67"/>
      <c r="T371" s="67"/>
      <c r="U371" s="67"/>
    </row>
    <row r="372" spans="1:21" s="75" customFormat="1" hidden="1">
      <c r="A372" s="67"/>
      <c r="B372" s="916"/>
      <c r="C372" s="132"/>
      <c r="D372" s="132"/>
      <c r="E372" s="132"/>
      <c r="N372" s="916"/>
      <c r="P372" s="917"/>
      <c r="R372" s="67"/>
      <c r="S372" s="67"/>
      <c r="T372" s="67"/>
      <c r="U372" s="67"/>
    </row>
    <row r="373" spans="1:21" s="75" customFormat="1" hidden="1">
      <c r="A373" s="67"/>
      <c r="B373" s="916"/>
      <c r="C373" s="132"/>
      <c r="D373" s="132"/>
      <c r="E373" s="132"/>
      <c r="N373" s="916"/>
      <c r="P373" s="917"/>
      <c r="R373" s="67"/>
      <c r="S373" s="67"/>
      <c r="T373" s="67"/>
      <c r="U373" s="67"/>
    </row>
    <row r="374" spans="1:21" s="75" customFormat="1" hidden="1">
      <c r="A374" s="67"/>
      <c r="B374" s="916"/>
      <c r="C374" s="132"/>
      <c r="D374" s="132"/>
      <c r="E374" s="132"/>
      <c r="N374" s="916"/>
      <c r="P374" s="917"/>
      <c r="R374" s="67"/>
      <c r="S374" s="67"/>
      <c r="T374" s="67"/>
      <c r="U374" s="67"/>
    </row>
    <row r="375" spans="1:21" s="75" customFormat="1" hidden="1">
      <c r="A375" s="67"/>
      <c r="B375" s="916"/>
      <c r="C375" s="132"/>
      <c r="D375" s="132"/>
      <c r="E375" s="132"/>
      <c r="N375" s="916"/>
      <c r="P375" s="917"/>
      <c r="R375" s="67"/>
      <c r="S375" s="67"/>
      <c r="T375" s="67"/>
      <c r="U375" s="67"/>
    </row>
    <row r="376" spans="1:21" s="75" customFormat="1" hidden="1">
      <c r="A376" s="67"/>
      <c r="B376" s="916"/>
      <c r="C376" s="132"/>
      <c r="D376" s="132"/>
      <c r="E376" s="132"/>
      <c r="N376" s="916"/>
      <c r="P376" s="917"/>
      <c r="R376" s="67"/>
      <c r="S376" s="67"/>
      <c r="T376" s="67"/>
      <c r="U376" s="67"/>
    </row>
    <row r="377" spans="1:21" s="75" customFormat="1" hidden="1">
      <c r="A377" s="67"/>
      <c r="B377" s="916"/>
      <c r="C377" s="132"/>
      <c r="D377" s="132"/>
      <c r="E377" s="132"/>
      <c r="N377" s="916"/>
      <c r="P377" s="917"/>
      <c r="R377" s="67"/>
      <c r="S377" s="67"/>
      <c r="T377" s="67"/>
      <c r="U377" s="67"/>
    </row>
    <row r="378" spans="1:21" s="75" customFormat="1" hidden="1">
      <c r="A378" s="67"/>
      <c r="B378" s="916"/>
      <c r="C378" s="132"/>
      <c r="D378" s="132"/>
      <c r="E378" s="132"/>
      <c r="N378" s="916"/>
      <c r="P378" s="917"/>
      <c r="R378" s="67"/>
      <c r="S378" s="67"/>
      <c r="T378" s="67"/>
      <c r="U378" s="67"/>
    </row>
    <row r="379" spans="1:21" s="75" customFormat="1" hidden="1">
      <c r="A379" s="67"/>
      <c r="B379" s="916"/>
      <c r="C379" s="132"/>
      <c r="D379" s="132"/>
      <c r="E379" s="132"/>
      <c r="N379" s="916"/>
      <c r="P379" s="917"/>
      <c r="R379" s="67"/>
      <c r="S379" s="67"/>
      <c r="T379" s="67"/>
      <c r="U379" s="67"/>
    </row>
    <row r="380" spans="1:21" s="75" customFormat="1" hidden="1">
      <c r="A380" s="67"/>
      <c r="B380" s="916"/>
      <c r="C380" s="132"/>
      <c r="D380" s="132"/>
      <c r="E380" s="132"/>
      <c r="N380" s="916"/>
      <c r="P380" s="917"/>
      <c r="R380" s="67"/>
      <c r="S380" s="67"/>
      <c r="T380" s="67"/>
      <c r="U380" s="67"/>
    </row>
    <row r="381" spans="1:21" s="75" customFormat="1" hidden="1">
      <c r="A381" s="67"/>
      <c r="B381" s="916"/>
      <c r="C381" s="132"/>
      <c r="D381" s="132"/>
      <c r="E381" s="132"/>
      <c r="N381" s="916"/>
      <c r="P381" s="917"/>
      <c r="R381" s="67"/>
      <c r="S381" s="67"/>
      <c r="T381" s="67"/>
      <c r="U381" s="67"/>
    </row>
    <row r="382" spans="1:21" s="75" customFormat="1" hidden="1">
      <c r="A382" s="67"/>
      <c r="B382" s="916"/>
      <c r="C382" s="132"/>
      <c r="D382" s="132"/>
      <c r="E382" s="132"/>
      <c r="N382" s="916"/>
      <c r="P382" s="917"/>
      <c r="R382" s="67"/>
      <c r="S382" s="67"/>
      <c r="T382" s="67"/>
      <c r="U382" s="67"/>
    </row>
    <row r="383" spans="1:21" s="75" customFormat="1" hidden="1">
      <c r="A383" s="67"/>
      <c r="B383" s="916"/>
      <c r="C383" s="132"/>
      <c r="D383" s="132"/>
      <c r="E383" s="132"/>
      <c r="N383" s="916"/>
      <c r="P383" s="917"/>
      <c r="R383" s="67"/>
      <c r="S383" s="67"/>
      <c r="T383" s="67"/>
      <c r="U383" s="67"/>
    </row>
    <row r="384" spans="1:21" s="75" customFormat="1" hidden="1">
      <c r="A384" s="67"/>
      <c r="B384" s="916"/>
      <c r="C384" s="132"/>
      <c r="D384" s="132"/>
      <c r="E384" s="132"/>
      <c r="N384" s="916"/>
      <c r="P384" s="917"/>
      <c r="R384" s="67"/>
      <c r="S384" s="67"/>
      <c r="T384" s="67"/>
      <c r="U384" s="67"/>
    </row>
    <row r="385" spans="1:21" s="75" customFormat="1" hidden="1">
      <c r="A385" s="67"/>
      <c r="B385" s="916"/>
      <c r="C385" s="132"/>
      <c r="D385" s="132"/>
      <c r="E385" s="132"/>
      <c r="N385" s="916"/>
      <c r="P385" s="917"/>
      <c r="R385" s="67"/>
      <c r="S385" s="67"/>
      <c r="T385" s="67"/>
      <c r="U385" s="67"/>
    </row>
    <row r="386" spans="1:21" s="75" customFormat="1" hidden="1">
      <c r="A386" s="67"/>
      <c r="B386" s="916"/>
      <c r="C386" s="132"/>
      <c r="D386" s="132"/>
      <c r="E386" s="132"/>
      <c r="N386" s="916"/>
      <c r="P386" s="917"/>
      <c r="R386" s="67"/>
      <c r="S386" s="67"/>
      <c r="T386" s="67"/>
      <c r="U386" s="67"/>
    </row>
    <row r="387" spans="1:21" s="75" customFormat="1" hidden="1">
      <c r="A387" s="67"/>
      <c r="B387" s="916"/>
      <c r="C387" s="132"/>
      <c r="D387" s="132"/>
      <c r="E387" s="132"/>
      <c r="N387" s="916"/>
      <c r="P387" s="917"/>
      <c r="R387" s="67"/>
      <c r="S387" s="67"/>
      <c r="T387" s="67"/>
      <c r="U387" s="67"/>
    </row>
    <row r="388" spans="1:21" s="75" customFormat="1" hidden="1">
      <c r="A388" s="67"/>
      <c r="B388" s="916"/>
      <c r="C388" s="132"/>
      <c r="D388" s="132"/>
      <c r="E388" s="132"/>
      <c r="N388" s="916"/>
      <c r="P388" s="917"/>
      <c r="R388" s="67"/>
      <c r="S388" s="67"/>
      <c r="T388" s="67"/>
      <c r="U388" s="67"/>
    </row>
    <row r="389" spans="1:21" s="75" customFormat="1" hidden="1">
      <c r="A389" s="67"/>
      <c r="B389" s="916"/>
      <c r="C389" s="132"/>
      <c r="D389" s="132"/>
      <c r="E389" s="132"/>
      <c r="N389" s="916"/>
      <c r="P389" s="917"/>
      <c r="R389" s="67"/>
      <c r="S389" s="67"/>
      <c r="T389" s="67"/>
      <c r="U389" s="67"/>
    </row>
    <row r="390" spans="1:21" s="75" customFormat="1" hidden="1">
      <c r="A390" s="67"/>
      <c r="B390" s="916"/>
      <c r="C390" s="132"/>
      <c r="D390" s="132"/>
      <c r="E390" s="132"/>
      <c r="N390" s="916"/>
      <c r="P390" s="917"/>
      <c r="R390" s="67"/>
      <c r="S390" s="67"/>
      <c r="T390" s="67"/>
      <c r="U390" s="67"/>
    </row>
    <row r="391" spans="1:21" s="75" customFormat="1" hidden="1">
      <c r="A391" s="67"/>
      <c r="B391" s="916"/>
      <c r="C391" s="132"/>
      <c r="D391" s="132"/>
      <c r="E391" s="132"/>
      <c r="N391" s="916"/>
      <c r="P391" s="917"/>
      <c r="R391" s="67"/>
      <c r="S391" s="67"/>
      <c r="T391" s="67"/>
      <c r="U391" s="67"/>
    </row>
    <row r="392" spans="1:21" s="75" customFormat="1" hidden="1">
      <c r="A392" s="67"/>
      <c r="B392" s="916"/>
      <c r="C392" s="132"/>
      <c r="D392" s="132"/>
      <c r="E392" s="132"/>
      <c r="N392" s="916"/>
      <c r="P392" s="917"/>
      <c r="R392" s="67"/>
      <c r="S392" s="67"/>
      <c r="T392" s="67"/>
      <c r="U392" s="67"/>
    </row>
    <row r="393" spans="1:21" s="75" customFormat="1" hidden="1">
      <c r="A393" s="67"/>
      <c r="B393" s="916"/>
      <c r="C393" s="132"/>
      <c r="D393" s="132"/>
      <c r="E393" s="132"/>
      <c r="N393" s="916"/>
      <c r="P393" s="917"/>
      <c r="R393" s="67"/>
      <c r="S393" s="67"/>
      <c r="T393" s="67"/>
      <c r="U393" s="67"/>
    </row>
    <row r="394" spans="1:21" s="75" customFormat="1" hidden="1">
      <c r="A394" s="67"/>
      <c r="B394" s="916"/>
      <c r="C394" s="132"/>
      <c r="D394" s="132"/>
      <c r="E394" s="132"/>
      <c r="N394" s="916"/>
      <c r="P394" s="917"/>
      <c r="R394" s="67"/>
      <c r="S394" s="67"/>
      <c r="T394" s="67"/>
      <c r="U394" s="67"/>
    </row>
    <row r="395" spans="1:21" s="75" customFormat="1" hidden="1">
      <c r="A395" s="67"/>
      <c r="B395" s="916"/>
      <c r="C395" s="132"/>
      <c r="D395" s="132"/>
      <c r="E395" s="132"/>
      <c r="N395" s="916"/>
      <c r="P395" s="917"/>
      <c r="R395" s="67"/>
      <c r="S395" s="67"/>
      <c r="T395" s="67"/>
      <c r="U395" s="67"/>
    </row>
    <row r="396" spans="1:21" s="75" customFormat="1" hidden="1">
      <c r="A396" s="67"/>
      <c r="B396" s="916"/>
      <c r="C396" s="132"/>
      <c r="D396" s="132"/>
      <c r="E396" s="132"/>
      <c r="N396" s="916"/>
      <c r="P396" s="917"/>
      <c r="R396" s="67"/>
      <c r="S396" s="67"/>
      <c r="T396" s="67"/>
      <c r="U396" s="67"/>
    </row>
    <row r="397" spans="1:21" s="75" customFormat="1" hidden="1">
      <c r="A397" s="67"/>
      <c r="B397" s="916"/>
      <c r="C397" s="132"/>
      <c r="D397" s="132"/>
      <c r="E397" s="132"/>
      <c r="N397" s="916"/>
      <c r="P397" s="917"/>
      <c r="R397" s="67"/>
      <c r="S397" s="67"/>
      <c r="T397" s="67"/>
      <c r="U397" s="67"/>
    </row>
    <row r="398" spans="1:21" s="75" customFormat="1" hidden="1">
      <c r="A398" s="67"/>
      <c r="B398" s="916"/>
      <c r="C398" s="132"/>
      <c r="D398" s="132"/>
      <c r="E398" s="132"/>
      <c r="N398" s="916"/>
      <c r="P398" s="917"/>
      <c r="R398" s="67"/>
      <c r="S398" s="67"/>
      <c r="T398" s="67"/>
      <c r="U398" s="67"/>
    </row>
    <row r="399" spans="1:21" s="75" customFormat="1" hidden="1">
      <c r="A399" s="67"/>
      <c r="B399" s="916"/>
      <c r="C399" s="132"/>
      <c r="D399" s="132"/>
      <c r="E399" s="132"/>
      <c r="N399" s="916"/>
      <c r="P399" s="917"/>
      <c r="R399" s="67"/>
      <c r="S399" s="67"/>
      <c r="T399" s="67"/>
      <c r="U399" s="67"/>
    </row>
    <row r="400" spans="1:21" s="75" customFormat="1" hidden="1">
      <c r="A400" s="67"/>
      <c r="B400" s="916"/>
      <c r="C400" s="132"/>
      <c r="D400" s="132"/>
      <c r="E400" s="132"/>
      <c r="N400" s="916"/>
      <c r="P400" s="917"/>
      <c r="R400" s="67"/>
      <c r="S400" s="67"/>
      <c r="T400" s="67"/>
      <c r="U400" s="67"/>
    </row>
    <row r="401" spans="1:21" s="75" customFormat="1" hidden="1">
      <c r="A401" s="67"/>
      <c r="B401" s="916"/>
      <c r="C401" s="132"/>
      <c r="D401" s="132"/>
      <c r="E401" s="132"/>
      <c r="N401" s="916"/>
      <c r="P401" s="917"/>
      <c r="R401" s="67"/>
      <c r="S401" s="67"/>
      <c r="T401" s="67"/>
      <c r="U401" s="67"/>
    </row>
    <row r="402" spans="1:21" s="75" customFormat="1" hidden="1">
      <c r="A402" s="67"/>
      <c r="B402" s="916"/>
      <c r="C402" s="132"/>
      <c r="D402" s="132"/>
      <c r="E402" s="132"/>
      <c r="N402" s="916"/>
      <c r="P402" s="917"/>
      <c r="R402" s="67"/>
      <c r="S402" s="67"/>
      <c r="T402" s="67"/>
      <c r="U402" s="67"/>
    </row>
    <row r="403" spans="1:21" s="75" customFormat="1" hidden="1">
      <c r="A403" s="67"/>
      <c r="B403" s="916"/>
      <c r="C403" s="132"/>
      <c r="D403" s="132"/>
      <c r="E403" s="132"/>
      <c r="N403" s="916"/>
      <c r="P403" s="917"/>
      <c r="R403" s="67"/>
      <c r="S403" s="67"/>
      <c r="T403" s="67"/>
      <c r="U403" s="67"/>
    </row>
    <row r="404" spans="1:21" s="75" customFormat="1" hidden="1">
      <c r="A404" s="67"/>
      <c r="B404" s="916"/>
      <c r="C404" s="132"/>
      <c r="D404" s="132"/>
      <c r="E404" s="132"/>
      <c r="N404" s="916"/>
      <c r="P404" s="917"/>
      <c r="R404" s="67"/>
      <c r="S404" s="67"/>
      <c r="T404" s="67"/>
      <c r="U404" s="67"/>
    </row>
    <row r="405" spans="1:21" s="75" customFormat="1" hidden="1">
      <c r="A405" s="67"/>
      <c r="B405" s="916"/>
      <c r="C405" s="132"/>
      <c r="D405" s="132"/>
      <c r="E405" s="132"/>
      <c r="N405" s="916"/>
      <c r="P405" s="917"/>
      <c r="R405" s="67"/>
      <c r="S405" s="67"/>
      <c r="T405" s="67"/>
      <c r="U405" s="67"/>
    </row>
    <row r="406" spans="1:21" s="75" customFormat="1" hidden="1">
      <c r="A406" s="67"/>
      <c r="B406" s="916"/>
      <c r="C406" s="132"/>
      <c r="D406" s="132"/>
      <c r="E406" s="132"/>
      <c r="N406" s="916"/>
      <c r="P406" s="917"/>
      <c r="R406" s="67"/>
      <c r="S406" s="67"/>
      <c r="T406" s="67"/>
      <c r="U406" s="67"/>
    </row>
    <row r="407" spans="1:21" s="75" customFormat="1" hidden="1">
      <c r="A407" s="67"/>
      <c r="B407" s="916"/>
      <c r="C407" s="132"/>
      <c r="D407" s="132"/>
      <c r="E407" s="132"/>
      <c r="N407" s="916"/>
      <c r="P407" s="917"/>
      <c r="R407" s="67"/>
      <c r="S407" s="67"/>
      <c r="T407" s="67"/>
      <c r="U407" s="67"/>
    </row>
    <row r="408" spans="1:21" s="75" customFormat="1" hidden="1">
      <c r="A408" s="67"/>
      <c r="B408" s="916"/>
      <c r="C408" s="132"/>
      <c r="D408" s="132"/>
      <c r="E408" s="132"/>
      <c r="N408" s="916"/>
      <c r="P408" s="917"/>
      <c r="R408" s="67"/>
      <c r="S408" s="67"/>
      <c r="T408" s="67"/>
      <c r="U408" s="67"/>
    </row>
    <row r="409" spans="1:21" s="75" customFormat="1" hidden="1">
      <c r="A409" s="67"/>
      <c r="B409" s="916"/>
      <c r="C409" s="132"/>
      <c r="D409" s="132"/>
      <c r="E409" s="132"/>
      <c r="N409" s="916"/>
      <c r="P409" s="917"/>
      <c r="R409" s="67"/>
      <c r="S409" s="67"/>
      <c r="T409" s="67"/>
      <c r="U409" s="67"/>
    </row>
    <row r="410" spans="1:21" s="75" customFormat="1" hidden="1">
      <c r="A410" s="67"/>
      <c r="B410" s="916"/>
      <c r="C410" s="132"/>
      <c r="D410" s="132"/>
      <c r="E410" s="132"/>
      <c r="N410" s="916"/>
      <c r="P410" s="917"/>
      <c r="R410" s="67"/>
      <c r="S410" s="67"/>
      <c r="T410" s="67"/>
      <c r="U410" s="67"/>
    </row>
    <row r="411" spans="1:21" s="75" customFormat="1" hidden="1">
      <c r="A411" s="67"/>
      <c r="B411" s="916"/>
      <c r="C411" s="132"/>
      <c r="D411" s="132"/>
      <c r="E411" s="132"/>
      <c r="N411" s="916"/>
      <c r="P411" s="917"/>
      <c r="R411" s="67"/>
      <c r="S411" s="67"/>
      <c r="T411" s="67"/>
      <c r="U411" s="67"/>
    </row>
    <row r="412" spans="1:21" s="75" customFormat="1" hidden="1">
      <c r="A412" s="67"/>
      <c r="B412" s="916"/>
      <c r="C412" s="132"/>
      <c r="D412" s="132"/>
      <c r="E412" s="132"/>
      <c r="N412" s="916"/>
      <c r="P412" s="917"/>
      <c r="R412" s="67"/>
      <c r="S412" s="67"/>
      <c r="T412" s="67"/>
      <c r="U412" s="67"/>
    </row>
    <row r="413" spans="1:21" s="75" customFormat="1" hidden="1">
      <c r="A413" s="67"/>
      <c r="B413" s="916"/>
      <c r="C413" s="132"/>
      <c r="D413" s="132"/>
      <c r="E413" s="132"/>
      <c r="N413" s="916"/>
      <c r="P413" s="917"/>
      <c r="R413" s="67"/>
      <c r="S413" s="67"/>
      <c r="T413" s="67"/>
      <c r="U413" s="67"/>
    </row>
    <row r="414" spans="1:21" s="75" customFormat="1" hidden="1">
      <c r="A414" s="67"/>
      <c r="B414" s="916"/>
      <c r="C414" s="132"/>
      <c r="D414" s="132"/>
      <c r="E414" s="132"/>
      <c r="N414" s="916"/>
      <c r="P414" s="917"/>
      <c r="R414" s="67"/>
      <c r="S414" s="67"/>
      <c r="T414" s="67"/>
      <c r="U414" s="67"/>
    </row>
    <row r="415" spans="1:21" s="75" customFormat="1" hidden="1">
      <c r="A415" s="67"/>
      <c r="B415" s="916"/>
      <c r="C415" s="132"/>
      <c r="D415" s="132"/>
      <c r="E415" s="132"/>
      <c r="N415" s="916"/>
      <c r="P415" s="917"/>
      <c r="R415" s="67"/>
      <c r="S415" s="67"/>
      <c r="T415" s="67"/>
      <c r="U415" s="67"/>
    </row>
    <row r="416" spans="1:21" s="75" customFormat="1" hidden="1">
      <c r="A416" s="67"/>
      <c r="B416" s="916"/>
      <c r="C416" s="132"/>
      <c r="D416" s="132"/>
      <c r="E416" s="132"/>
      <c r="N416" s="916"/>
      <c r="P416" s="917"/>
      <c r="R416" s="67"/>
      <c r="S416" s="67"/>
      <c r="T416" s="67"/>
      <c r="U416" s="67"/>
    </row>
    <row r="417" spans="1:21" s="75" customFormat="1" hidden="1">
      <c r="A417" s="67"/>
      <c r="B417" s="916"/>
      <c r="C417" s="132"/>
      <c r="D417" s="132"/>
      <c r="E417" s="132"/>
      <c r="N417" s="916"/>
      <c r="P417" s="917"/>
      <c r="R417" s="67"/>
      <c r="S417" s="67"/>
      <c r="T417" s="67"/>
      <c r="U417" s="67"/>
    </row>
    <row r="418" spans="1:21" s="75" customFormat="1" hidden="1">
      <c r="A418" s="67"/>
      <c r="B418" s="916"/>
      <c r="C418" s="132"/>
      <c r="D418" s="132"/>
      <c r="E418" s="132"/>
      <c r="N418" s="916"/>
      <c r="P418" s="917"/>
      <c r="R418" s="67"/>
      <c r="S418" s="67"/>
      <c r="T418" s="67"/>
      <c r="U418" s="67"/>
    </row>
    <row r="419" spans="1:21" s="75" customFormat="1" hidden="1">
      <c r="A419" s="67"/>
      <c r="B419" s="916"/>
      <c r="C419" s="132"/>
      <c r="D419" s="132"/>
      <c r="E419" s="132"/>
      <c r="N419" s="916"/>
      <c r="P419" s="917"/>
      <c r="R419" s="67"/>
      <c r="S419" s="67"/>
      <c r="T419" s="67"/>
      <c r="U419" s="67"/>
    </row>
    <row r="420" spans="1:21" s="75" customFormat="1" hidden="1">
      <c r="A420" s="67"/>
      <c r="B420" s="916"/>
      <c r="C420" s="132"/>
      <c r="D420" s="132"/>
      <c r="E420" s="132"/>
      <c r="N420" s="916"/>
      <c r="P420" s="917"/>
      <c r="R420" s="67"/>
      <c r="S420" s="67"/>
      <c r="T420" s="67"/>
      <c r="U420" s="67"/>
    </row>
    <row r="421" spans="1:21" s="75" customFormat="1" hidden="1">
      <c r="A421" s="67"/>
      <c r="B421" s="916"/>
      <c r="C421" s="132"/>
      <c r="D421" s="132"/>
      <c r="E421" s="132"/>
      <c r="N421" s="916"/>
      <c r="P421" s="917"/>
      <c r="R421" s="67"/>
      <c r="S421" s="67"/>
      <c r="T421" s="67"/>
      <c r="U421" s="67"/>
    </row>
    <row r="422" spans="1:21" s="75" customFormat="1" hidden="1">
      <c r="A422" s="67"/>
      <c r="B422" s="916"/>
      <c r="C422" s="132"/>
      <c r="D422" s="132"/>
      <c r="E422" s="132"/>
      <c r="N422" s="916"/>
      <c r="P422" s="917"/>
      <c r="R422" s="67"/>
      <c r="S422" s="67"/>
      <c r="T422" s="67"/>
      <c r="U422" s="67"/>
    </row>
    <row r="423" spans="1:21" s="75" customFormat="1" hidden="1">
      <c r="A423" s="67"/>
      <c r="B423" s="916"/>
      <c r="C423" s="132"/>
      <c r="D423" s="132"/>
      <c r="E423" s="132"/>
      <c r="N423" s="916"/>
      <c r="P423" s="917"/>
      <c r="R423" s="67"/>
      <c r="S423" s="67"/>
      <c r="T423" s="67"/>
      <c r="U423" s="67"/>
    </row>
    <row r="424" spans="1:21" s="75" customFormat="1" hidden="1">
      <c r="A424" s="67"/>
      <c r="B424" s="916"/>
      <c r="C424" s="132"/>
      <c r="D424" s="132"/>
      <c r="E424" s="132"/>
      <c r="N424" s="916"/>
      <c r="P424" s="917"/>
      <c r="R424" s="67"/>
      <c r="S424" s="67"/>
      <c r="T424" s="67"/>
      <c r="U424" s="67"/>
    </row>
    <row r="425" spans="1:21" s="75" customFormat="1" hidden="1">
      <c r="A425" s="67"/>
      <c r="B425" s="916"/>
      <c r="C425" s="132"/>
      <c r="D425" s="132"/>
      <c r="E425" s="132"/>
      <c r="N425" s="916"/>
      <c r="P425" s="917"/>
      <c r="R425" s="67"/>
      <c r="S425" s="67"/>
      <c r="T425" s="67"/>
      <c r="U425" s="67"/>
    </row>
    <row r="426" spans="1:21" s="75" customFormat="1" hidden="1">
      <c r="A426" s="67"/>
      <c r="B426" s="916"/>
      <c r="C426" s="132"/>
      <c r="D426" s="132"/>
      <c r="E426" s="132"/>
      <c r="N426" s="916"/>
      <c r="P426" s="917"/>
      <c r="R426" s="67"/>
      <c r="S426" s="67"/>
      <c r="T426" s="67"/>
      <c r="U426" s="67"/>
    </row>
    <row r="427" spans="1:21" s="75" customFormat="1" hidden="1">
      <c r="A427" s="67"/>
      <c r="B427" s="916"/>
      <c r="C427" s="132"/>
      <c r="D427" s="132"/>
      <c r="E427" s="132"/>
      <c r="N427" s="916"/>
      <c r="P427" s="917"/>
      <c r="R427" s="67"/>
      <c r="S427" s="67"/>
      <c r="T427" s="67"/>
      <c r="U427" s="67"/>
    </row>
    <row r="428" spans="1:21" s="75" customFormat="1" hidden="1">
      <c r="A428" s="67"/>
      <c r="B428" s="916"/>
      <c r="C428" s="132"/>
      <c r="D428" s="132"/>
      <c r="E428" s="132"/>
      <c r="N428" s="916"/>
      <c r="P428" s="917"/>
      <c r="R428" s="67"/>
      <c r="S428" s="67"/>
      <c r="T428" s="67"/>
      <c r="U428" s="67"/>
    </row>
    <row r="429" spans="1:21" s="75" customFormat="1" hidden="1">
      <c r="A429" s="67"/>
      <c r="B429" s="916"/>
      <c r="C429" s="132"/>
      <c r="D429" s="132"/>
      <c r="E429" s="132"/>
      <c r="N429" s="916"/>
      <c r="P429" s="917"/>
      <c r="R429" s="67"/>
      <c r="S429" s="67"/>
      <c r="T429" s="67"/>
      <c r="U429" s="67"/>
    </row>
    <row r="430" spans="1:21" s="75" customFormat="1" hidden="1">
      <c r="A430" s="67"/>
      <c r="B430" s="916"/>
      <c r="C430" s="132"/>
      <c r="D430" s="132"/>
      <c r="E430" s="132"/>
      <c r="N430" s="916"/>
      <c r="P430" s="917"/>
      <c r="R430" s="67"/>
      <c r="S430" s="67"/>
      <c r="T430" s="67"/>
      <c r="U430" s="67"/>
    </row>
    <row r="431" spans="1:21" s="75" customFormat="1" hidden="1">
      <c r="A431" s="67"/>
      <c r="B431" s="916"/>
      <c r="C431" s="132"/>
      <c r="D431" s="132"/>
      <c r="E431" s="132"/>
      <c r="N431" s="916"/>
      <c r="P431" s="917"/>
      <c r="R431" s="67"/>
      <c r="S431" s="67"/>
      <c r="T431" s="67"/>
      <c r="U431" s="67"/>
    </row>
    <row r="432" spans="1:21" s="75" customFormat="1" hidden="1">
      <c r="A432" s="67"/>
      <c r="B432" s="916"/>
      <c r="C432" s="132"/>
      <c r="D432" s="132"/>
      <c r="E432" s="132"/>
      <c r="N432" s="916"/>
      <c r="P432" s="917"/>
      <c r="R432" s="67"/>
      <c r="S432" s="67"/>
      <c r="T432" s="67"/>
      <c r="U432" s="67"/>
    </row>
    <row r="433" spans="1:21" s="75" customFormat="1" hidden="1">
      <c r="A433" s="67"/>
      <c r="B433" s="916"/>
      <c r="C433" s="132"/>
      <c r="D433" s="132"/>
      <c r="E433" s="132"/>
      <c r="N433" s="916"/>
      <c r="P433" s="917"/>
      <c r="R433" s="67"/>
      <c r="S433" s="67"/>
      <c r="T433" s="67"/>
      <c r="U433" s="67"/>
    </row>
    <row r="434" spans="1:21" s="75" customFormat="1" hidden="1">
      <c r="A434" s="67"/>
      <c r="B434" s="916"/>
      <c r="C434" s="132"/>
      <c r="D434" s="132"/>
      <c r="E434" s="132"/>
      <c r="N434" s="916"/>
      <c r="P434" s="917"/>
      <c r="R434" s="67"/>
      <c r="S434" s="67"/>
      <c r="T434" s="67"/>
      <c r="U434" s="67"/>
    </row>
    <row r="435" spans="1:21" s="75" customFormat="1" hidden="1">
      <c r="A435" s="67"/>
      <c r="B435" s="916"/>
      <c r="C435" s="132"/>
      <c r="D435" s="132"/>
      <c r="E435" s="132"/>
      <c r="N435" s="916"/>
      <c r="P435" s="917"/>
      <c r="R435" s="67"/>
      <c r="S435" s="67"/>
      <c r="T435" s="67"/>
      <c r="U435" s="67"/>
    </row>
    <row r="436" spans="1:21" s="75" customFormat="1" hidden="1">
      <c r="A436" s="67"/>
      <c r="B436" s="916"/>
      <c r="C436" s="132"/>
      <c r="D436" s="132"/>
      <c r="E436" s="132"/>
      <c r="N436" s="916"/>
      <c r="P436" s="917"/>
      <c r="R436" s="67"/>
      <c r="S436" s="67"/>
      <c r="T436" s="67"/>
      <c r="U436" s="67"/>
    </row>
    <row r="437" spans="1:21" s="75" customFormat="1" hidden="1">
      <c r="A437" s="67"/>
      <c r="B437" s="916"/>
      <c r="C437" s="132"/>
      <c r="D437" s="132"/>
      <c r="E437" s="132"/>
      <c r="N437" s="916"/>
      <c r="P437" s="917"/>
      <c r="R437" s="67"/>
      <c r="S437" s="67"/>
      <c r="T437" s="67"/>
      <c r="U437" s="67"/>
    </row>
    <row r="438" spans="1:21" s="75" customFormat="1" hidden="1">
      <c r="A438" s="67"/>
      <c r="B438" s="916"/>
      <c r="C438" s="132"/>
      <c r="D438" s="132"/>
      <c r="E438" s="132"/>
      <c r="N438" s="916"/>
      <c r="P438" s="917"/>
      <c r="R438" s="67"/>
      <c r="S438" s="67"/>
      <c r="T438" s="67"/>
      <c r="U438" s="67"/>
    </row>
    <row r="439" spans="1:21" s="75" customFormat="1" hidden="1">
      <c r="A439" s="67"/>
      <c r="B439" s="916"/>
      <c r="C439" s="132"/>
      <c r="D439" s="132"/>
      <c r="E439" s="132"/>
      <c r="N439" s="916"/>
      <c r="P439" s="917"/>
      <c r="R439" s="67"/>
      <c r="S439" s="67"/>
      <c r="T439" s="67"/>
      <c r="U439" s="67"/>
    </row>
    <row r="440" spans="1:21" s="75" customFormat="1" hidden="1">
      <c r="A440" s="67"/>
      <c r="B440" s="916"/>
      <c r="C440" s="132"/>
      <c r="D440" s="132"/>
      <c r="E440" s="132"/>
      <c r="N440" s="916"/>
      <c r="P440" s="917"/>
      <c r="R440" s="67"/>
      <c r="S440" s="67"/>
      <c r="T440" s="67"/>
      <c r="U440" s="67"/>
    </row>
    <row r="441" spans="1:21" s="75" customFormat="1" hidden="1">
      <c r="A441" s="67"/>
      <c r="B441" s="916"/>
      <c r="C441" s="132"/>
      <c r="D441" s="132"/>
      <c r="E441" s="132"/>
      <c r="N441" s="916"/>
      <c r="P441" s="917"/>
      <c r="R441" s="67"/>
      <c r="S441" s="67"/>
      <c r="T441" s="67"/>
      <c r="U441" s="67"/>
    </row>
    <row r="442" spans="1:21" s="75" customFormat="1" hidden="1">
      <c r="A442" s="67"/>
      <c r="B442" s="916"/>
      <c r="C442" s="132"/>
      <c r="D442" s="132"/>
      <c r="E442" s="132"/>
      <c r="N442" s="916"/>
      <c r="P442" s="917"/>
      <c r="R442" s="67"/>
      <c r="S442" s="67"/>
      <c r="T442" s="67"/>
      <c r="U442" s="67"/>
    </row>
    <row r="443" spans="1:21" s="75" customFormat="1" hidden="1">
      <c r="A443" s="67"/>
      <c r="B443" s="916"/>
      <c r="C443" s="132"/>
      <c r="D443" s="132"/>
      <c r="E443" s="132"/>
      <c r="N443" s="916"/>
      <c r="P443" s="917"/>
      <c r="R443" s="67"/>
      <c r="S443" s="67"/>
      <c r="T443" s="67"/>
      <c r="U443" s="67"/>
    </row>
    <row r="444" spans="1:21" s="75" customFormat="1" hidden="1">
      <c r="A444" s="67"/>
      <c r="B444" s="916"/>
      <c r="C444" s="132"/>
      <c r="D444" s="132"/>
      <c r="E444" s="132"/>
      <c r="N444" s="916"/>
      <c r="P444" s="917"/>
      <c r="R444" s="67"/>
      <c r="S444" s="67"/>
      <c r="T444" s="67"/>
      <c r="U444" s="67"/>
    </row>
    <row r="445" spans="1:21" s="75" customFormat="1" hidden="1">
      <c r="A445" s="67"/>
      <c r="B445" s="916"/>
      <c r="C445" s="132"/>
      <c r="D445" s="132"/>
      <c r="E445" s="132"/>
      <c r="N445" s="916"/>
      <c r="P445" s="917"/>
      <c r="R445" s="67"/>
      <c r="S445" s="67"/>
      <c r="T445" s="67"/>
      <c r="U445" s="67"/>
    </row>
    <row r="446" spans="1:21" s="75" customFormat="1" hidden="1">
      <c r="A446" s="67"/>
      <c r="B446" s="916"/>
      <c r="C446" s="132"/>
      <c r="D446" s="132"/>
      <c r="E446" s="132"/>
      <c r="N446" s="916"/>
      <c r="P446" s="917"/>
      <c r="R446" s="67"/>
      <c r="S446" s="67"/>
      <c r="T446" s="67"/>
      <c r="U446" s="67"/>
    </row>
    <row r="447" spans="1:21" s="75" customFormat="1" hidden="1">
      <c r="A447" s="67"/>
      <c r="B447" s="916"/>
      <c r="C447" s="132"/>
      <c r="D447" s="132"/>
      <c r="E447" s="132"/>
      <c r="N447" s="916"/>
      <c r="P447" s="917"/>
      <c r="R447" s="67"/>
      <c r="S447" s="67"/>
      <c r="T447" s="67"/>
      <c r="U447" s="67"/>
    </row>
    <row r="448" spans="1:21" s="75" customFormat="1" hidden="1">
      <c r="A448" s="67"/>
      <c r="B448" s="916"/>
      <c r="C448" s="132"/>
      <c r="D448" s="132"/>
      <c r="E448" s="132"/>
      <c r="N448" s="916"/>
      <c r="P448" s="917"/>
      <c r="R448" s="67"/>
      <c r="S448" s="67"/>
      <c r="T448" s="67"/>
      <c r="U448" s="67"/>
    </row>
    <row r="449" spans="1:21" s="75" customFormat="1" hidden="1">
      <c r="A449" s="67"/>
      <c r="B449" s="916"/>
      <c r="C449" s="132"/>
      <c r="D449" s="132"/>
      <c r="E449" s="132"/>
      <c r="N449" s="916"/>
      <c r="P449" s="917"/>
      <c r="R449" s="67"/>
      <c r="S449" s="67"/>
      <c r="T449" s="67"/>
      <c r="U449" s="67"/>
    </row>
    <row r="450" spans="1:21" s="75" customFormat="1" hidden="1">
      <c r="A450" s="67"/>
      <c r="B450" s="916"/>
      <c r="C450" s="132"/>
      <c r="D450" s="132"/>
      <c r="E450" s="132"/>
      <c r="N450" s="916"/>
      <c r="P450" s="917"/>
      <c r="R450" s="67"/>
      <c r="S450" s="67"/>
      <c r="T450" s="67"/>
      <c r="U450" s="67"/>
    </row>
    <row r="451" spans="1:21" s="75" customFormat="1" hidden="1">
      <c r="A451" s="67"/>
      <c r="B451" s="916"/>
      <c r="C451" s="132"/>
      <c r="D451" s="132"/>
      <c r="E451" s="132"/>
      <c r="N451" s="916"/>
      <c r="P451" s="917"/>
      <c r="R451" s="67"/>
      <c r="S451" s="67"/>
      <c r="T451" s="67"/>
      <c r="U451" s="67"/>
    </row>
    <row r="452" spans="1:21" s="75" customFormat="1" hidden="1">
      <c r="A452" s="67"/>
      <c r="B452" s="916"/>
      <c r="C452" s="132"/>
      <c r="D452" s="132"/>
      <c r="E452" s="132"/>
      <c r="N452" s="916"/>
      <c r="P452" s="917"/>
      <c r="R452" s="67"/>
      <c r="S452" s="67"/>
      <c r="T452" s="67"/>
      <c r="U452" s="67"/>
    </row>
    <row r="453" spans="1:21" s="75" customFormat="1" hidden="1">
      <c r="A453" s="67"/>
      <c r="B453" s="916"/>
      <c r="C453" s="132"/>
      <c r="D453" s="132"/>
      <c r="E453" s="132"/>
      <c r="N453" s="916"/>
      <c r="P453" s="917"/>
      <c r="R453" s="67"/>
      <c r="S453" s="67"/>
      <c r="T453" s="67"/>
      <c r="U453" s="67"/>
    </row>
    <row r="454" spans="1:21" s="75" customFormat="1" hidden="1">
      <c r="A454" s="67"/>
      <c r="B454" s="916"/>
      <c r="C454" s="132"/>
      <c r="D454" s="132"/>
      <c r="E454" s="132"/>
      <c r="N454" s="916"/>
      <c r="P454" s="917"/>
      <c r="R454" s="67"/>
      <c r="S454" s="67"/>
      <c r="T454" s="67"/>
      <c r="U454" s="67"/>
    </row>
    <row r="455" spans="1:21" s="75" customFormat="1" hidden="1">
      <c r="A455" s="67"/>
      <c r="B455" s="916"/>
      <c r="C455" s="132"/>
      <c r="D455" s="132"/>
      <c r="E455" s="132"/>
      <c r="N455" s="916"/>
      <c r="P455" s="917"/>
      <c r="R455" s="67"/>
      <c r="S455" s="67"/>
      <c r="T455" s="67"/>
      <c r="U455" s="67"/>
    </row>
    <row r="456" spans="1:21" s="75" customFormat="1" hidden="1">
      <c r="A456" s="67"/>
      <c r="B456" s="916"/>
      <c r="C456" s="132"/>
      <c r="D456" s="132"/>
      <c r="E456" s="132"/>
      <c r="N456" s="916"/>
      <c r="P456" s="917"/>
      <c r="R456" s="67"/>
      <c r="S456" s="67"/>
      <c r="T456" s="67"/>
      <c r="U456" s="67"/>
    </row>
    <row r="457" spans="1:21" s="75" customFormat="1" hidden="1">
      <c r="A457" s="67"/>
      <c r="B457" s="916"/>
      <c r="C457" s="132"/>
      <c r="D457" s="132"/>
      <c r="E457" s="132"/>
      <c r="N457" s="916"/>
      <c r="P457" s="917"/>
      <c r="R457" s="67"/>
      <c r="S457" s="67"/>
      <c r="T457" s="67"/>
      <c r="U457" s="67"/>
    </row>
    <row r="458" spans="1:21" s="75" customFormat="1" hidden="1">
      <c r="A458" s="67"/>
      <c r="B458" s="916"/>
      <c r="C458" s="132"/>
      <c r="D458" s="132"/>
      <c r="E458" s="132"/>
      <c r="N458" s="916"/>
      <c r="P458" s="917"/>
      <c r="R458" s="67"/>
      <c r="S458" s="67"/>
      <c r="T458" s="67"/>
      <c r="U458" s="67"/>
    </row>
    <row r="459" spans="1:21" s="75" customFormat="1" hidden="1">
      <c r="A459" s="67"/>
      <c r="B459" s="916"/>
      <c r="C459" s="132"/>
      <c r="D459" s="132"/>
      <c r="E459" s="132"/>
      <c r="N459" s="916"/>
      <c r="P459" s="917"/>
      <c r="R459" s="67"/>
      <c r="S459" s="67"/>
      <c r="T459" s="67"/>
      <c r="U459" s="67"/>
    </row>
    <row r="460" spans="1:21" s="75" customFormat="1" hidden="1">
      <c r="A460" s="67"/>
      <c r="B460" s="916"/>
      <c r="C460" s="132"/>
      <c r="D460" s="132"/>
      <c r="E460" s="132"/>
      <c r="N460" s="916"/>
      <c r="P460" s="917"/>
      <c r="R460" s="67"/>
      <c r="S460" s="67"/>
      <c r="T460" s="67"/>
      <c r="U460" s="67"/>
    </row>
    <row r="461" spans="1:21" s="75" customFormat="1" hidden="1">
      <c r="A461" s="67"/>
      <c r="B461" s="916"/>
      <c r="C461" s="132"/>
      <c r="D461" s="132"/>
      <c r="E461" s="132"/>
      <c r="N461" s="916"/>
      <c r="P461" s="917"/>
      <c r="R461" s="67"/>
      <c r="S461" s="67"/>
      <c r="T461" s="67"/>
      <c r="U461" s="67"/>
    </row>
    <row r="462" spans="1:21" s="75" customFormat="1" hidden="1">
      <c r="A462" s="67"/>
      <c r="B462" s="916"/>
      <c r="C462" s="132"/>
      <c r="D462" s="132"/>
      <c r="E462" s="132"/>
      <c r="N462" s="916"/>
      <c r="P462" s="917"/>
      <c r="R462" s="67"/>
      <c r="S462" s="67"/>
      <c r="T462" s="67"/>
      <c r="U462" s="67"/>
    </row>
    <row r="463" spans="1:21" s="75" customFormat="1" hidden="1">
      <c r="A463" s="67"/>
      <c r="B463" s="916"/>
      <c r="C463" s="132"/>
      <c r="D463" s="132"/>
      <c r="E463" s="132"/>
      <c r="N463" s="916"/>
      <c r="P463" s="917"/>
      <c r="R463" s="67"/>
      <c r="S463" s="67"/>
      <c r="T463" s="67"/>
      <c r="U463" s="67"/>
    </row>
    <row r="464" spans="1:21" s="75" customFormat="1" hidden="1">
      <c r="A464" s="67"/>
      <c r="B464" s="916"/>
      <c r="C464" s="132"/>
      <c r="D464" s="132"/>
      <c r="E464" s="132"/>
      <c r="N464" s="916"/>
      <c r="P464" s="917"/>
      <c r="R464" s="67"/>
      <c r="S464" s="67"/>
      <c r="T464" s="67"/>
      <c r="U464" s="67"/>
    </row>
    <row r="465" spans="1:21" s="75" customFormat="1" hidden="1">
      <c r="A465" s="67"/>
      <c r="B465" s="916"/>
      <c r="C465" s="132"/>
      <c r="D465" s="132"/>
      <c r="E465" s="132"/>
      <c r="N465" s="916"/>
      <c r="P465" s="917"/>
      <c r="R465" s="67"/>
      <c r="S465" s="67"/>
      <c r="T465" s="67"/>
      <c r="U465" s="67"/>
    </row>
    <row r="466" spans="1:21" s="75" customFormat="1" hidden="1">
      <c r="A466" s="67"/>
      <c r="B466" s="916"/>
      <c r="C466" s="132"/>
      <c r="D466" s="132"/>
      <c r="E466" s="132"/>
      <c r="N466" s="916"/>
      <c r="P466" s="917"/>
      <c r="R466" s="67"/>
      <c r="S466" s="67"/>
      <c r="T466" s="67"/>
      <c r="U466" s="67"/>
    </row>
    <row r="467" spans="1:21" s="75" customFormat="1" hidden="1">
      <c r="A467" s="67"/>
      <c r="B467" s="916"/>
      <c r="C467" s="132"/>
      <c r="D467" s="132"/>
      <c r="E467" s="132"/>
      <c r="N467" s="916"/>
      <c r="P467" s="917"/>
      <c r="R467" s="67"/>
      <c r="S467" s="67"/>
      <c r="T467" s="67"/>
      <c r="U467" s="67"/>
    </row>
    <row r="468" spans="1:21" s="75" customFormat="1" hidden="1">
      <c r="A468" s="67"/>
      <c r="B468" s="916"/>
      <c r="C468" s="132"/>
      <c r="D468" s="132"/>
      <c r="E468" s="132"/>
      <c r="N468" s="916"/>
      <c r="P468" s="917"/>
      <c r="R468" s="67"/>
      <c r="S468" s="67"/>
      <c r="T468" s="67"/>
      <c r="U468" s="67"/>
    </row>
    <row r="469" spans="1:21" s="75" customFormat="1" hidden="1">
      <c r="A469" s="67"/>
      <c r="B469" s="916"/>
      <c r="C469" s="132"/>
      <c r="D469" s="132"/>
      <c r="E469" s="132"/>
      <c r="N469" s="916"/>
      <c r="P469" s="917"/>
      <c r="R469" s="67"/>
      <c r="S469" s="67"/>
      <c r="T469" s="67"/>
      <c r="U469" s="67"/>
    </row>
    <row r="470" spans="1:21" s="75" customFormat="1" hidden="1">
      <c r="A470" s="67"/>
      <c r="B470" s="916"/>
      <c r="C470" s="132"/>
      <c r="D470" s="132"/>
      <c r="E470" s="132"/>
      <c r="N470" s="916"/>
      <c r="P470" s="917"/>
      <c r="R470" s="67"/>
      <c r="S470" s="67"/>
      <c r="T470" s="67"/>
      <c r="U470" s="67"/>
    </row>
    <row r="471" spans="1:21" s="75" customFormat="1" hidden="1">
      <c r="A471" s="67"/>
      <c r="B471" s="916"/>
      <c r="C471" s="132"/>
      <c r="D471" s="132"/>
      <c r="E471" s="132"/>
      <c r="N471" s="916"/>
      <c r="P471" s="917"/>
      <c r="R471" s="67"/>
      <c r="S471" s="67"/>
      <c r="T471" s="67"/>
      <c r="U471" s="67"/>
    </row>
    <row r="472" spans="1:21" s="75" customFormat="1" hidden="1">
      <c r="A472" s="67"/>
      <c r="B472" s="916"/>
      <c r="C472" s="132"/>
      <c r="D472" s="132"/>
      <c r="E472" s="132"/>
      <c r="N472" s="916"/>
      <c r="P472" s="917"/>
      <c r="R472" s="67"/>
      <c r="S472" s="67"/>
      <c r="T472" s="67"/>
      <c r="U472" s="67"/>
    </row>
    <row r="473" spans="1:21" s="75" customFormat="1" hidden="1">
      <c r="A473" s="67"/>
      <c r="B473" s="916"/>
      <c r="C473" s="132"/>
      <c r="D473" s="132"/>
      <c r="E473" s="132"/>
      <c r="N473" s="916"/>
      <c r="P473" s="917"/>
      <c r="R473" s="67"/>
      <c r="S473" s="67"/>
      <c r="T473" s="67"/>
      <c r="U473" s="67"/>
    </row>
    <row r="474" spans="1:21" s="75" customFormat="1" hidden="1">
      <c r="A474" s="67"/>
      <c r="B474" s="916"/>
      <c r="C474" s="132"/>
      <c r="D474" s="132"/>
      <c r="E474" s="132"/>
      <c r="N474" s="916"/>
      <c r="P474" s="917"/>
      <c r="R474" s="67"/>
      <c r="S474" s="67"/>
      <c r="T474" s="67"/>
      <c r="U474" s="67"/>
    </row>
    <row r="475" spans="1:21" s="75" customFormat="1" hidden="1">
      <c r="A475" s="67"/>
      <c r="B475" s="916"/>
      <c r="C475" s="132"/>
      <c r="D475" s="132"/>
      <c r="E475" s="132"/>
      <c r="N475" s="916"/>
      <c r="P475" s="917"/>
      <c r="R475" s="67"/>
      <c r="S475" s="67"/>
      <c r="T475" s="67"/>
      <c r="U475" s="67"/>
    </row>
    <row r="476" spans="1:21" s="75" customFormat="1" hidden="1">
      <c r="A476" s="67"/>
      <c r="B476" s="916"/>
      <c r="C476" s="132"/>
      <c r="D476" s="132"/>
      <c r="E476" s="132"/>
      <c r="N476" s="916"/>
      <c r="P476" s="917"/>
      <c r="R476" s="67"/>
      <c r="S476" s="67"/>
      <c r="T476" s="67"/>
      <c r="U476" s="67"/>
    </row>
    <row r="477" spans="1:21" s="75" customFormat="1" hidden="1">
      <c r="A477" s="67"/>
      <c r="B477" s="916"/>
      <c r="C477" s="132"/>
      <c r="D477" s="132"/>
      <c r="E477" s="132"/>
      <c r="N477" s="916"/>
      <c r="P477" s="917"/>
      <c r="R477" s="67"/>
      <c r="S477" s="67"/>
      <c r="T477" s="67"/>
      <c r="U477" s="67"/>
    </row>
    <row r="478" spans="1:21" s="75" customFormat="1" hidden="1">
      <c r="A478" s="67"/>
      <c r="B478" s="916"/>
      <c r="C478" s="132"/>
      <c r="D478" s="132"/>
      <c r="E478" s="132"/>
      <c r="N478" s="916"/>
      <c r="P478" s="917"/>
      <c r="R478" s="67"/>
      <c r="S478" s="67"/>
      <c r="T478" s="67"/>
      <c r="U478" s="67"/>
    </row>
    <row r="479" spans="1:21" s="75" customFormat="1" hidden="1">
      <c r="A479" s="67"/>
      <c r="B479" s="916"/>
      <c r="C479" s="132"/>
      <c r="D479" s="132"/>
      <c r="E479" s="132"/>
      <c r="N479" s="916"/>
      <c r="P479" s="917"/>
      <c r="R479" s="67"/>
      <c r="S479" s="67"/>
      <c r="T479" s="67"/>
      <c r="U479" s="67"/>
    </row>
    <row r="480" spans="1:21" s="75" customFormat="1" hidden="1">
      <c r="A480" s="67"/>
      <c r="B480" s="916"/>
      <c r="C480" s="132"/>
      <c r="D480" s="132"/>
      <c r="E480" s="132"/>
      <c r="N480" s="916"/>
      <c r="P480" s="917"/>
      <c r="R480" s="67"/>
      <c r="S480" s="67"/>
      <c r="T480" s="67"/>
      <c r="U480" s="67"/>
    </row>
    <row r="481" spans="1:21" s="75" customFormat="1" hidden="1">
      <c r="A481" s="67"/>
      <c r="B481" s="916"/>
      <c r="C481" s="132"/>
      <c r="D481" s="132"/>
      <c r="E481" s="132"/>
      <c r="N481" s="916"/>
      <c r="P481" s="917"/>
      <c r="R481" s="67"/>
      <c r="S481" s="67"/>
      <c r="T481" s="67"/>
      <c r="U481" s="67"/>
    </row>
    <row r="482" spans="1:21" s="75" customFormat="1" hidden="1">
      <c r="A482" s="67"/>
      <c r="B482" s="916"/>
      <c r="C482" s="132"/>
      <c r="D482" s="132"/>
      <c r="E482" s="132"/>
      <c r="N482" s="916"/>
      <c r="P482" s="917"/>
      <c r="R482" s="67"/>
      <c r="S482" s="67"/>
      <c r="T482" s="67"/>
      <c r="U482" s="67"/>
    </row>
    <row r="483" spans="1:21" s="75" customFormat="1" hidden="1">
      <c r="A483" s="67"/>
      <c r="B483" s="916"/>
      <c r="C483" s="132"/>
      <c r="D483" s="132"/>
      <c r="E483" s="132"/>
      <c r="N483" s="916"/>
      <c r="P483" s="917"/>
      <c r="R483" s="67"/>
      <c r="S483" s="67"/>
      <c r="T483" s="67"/>
      <c r="U483" s="67"/>
    </row>
    <row r="484" spans="1:21" s="75" customFormat="1" hidden="1">
      <c r="A484" s="67"/>
      <c r="B484" s="916"/>
      <c r="C484" s="132"/>
      <c r="D484" s="132"/>
      <c r="E484" s="132"/>
      <c r="N484" s="916"/>
      <c r="P484" s="917"/>
      <c r="R484" s="67"/>
      <c r="S484" s="67"/>
      <c r="T484" s="67"/>
      <c r="U484" s="67"/>
    </row>
    <row r="485" spans="1:21" s="75" customFormat="1" hidden="1">
      <c r="A485" s="67"/>
      <c r="B485" s="916"/>
      <c r="C485" s="132"/>
      <c r="D485" s="132"/>
      <c r="E485" s="132"/>
      <c r="N485" s="916"/>
      <c r="P485" s="917"/>
      <c r="R485" s="67"/>
      <c r="S485" s="67"/>
      <c r="T485" s="67"/>
      <c r="U485" s="67"/>
    </row>
    <row r="486" spans="1:21" s="75" customFormat="1" hidden="1">
      <c r="A486" s="67"/>
      <c r="B486" s="916"/>
      <c r="C486" s="132"/>
      <c r="D486" s="132"/>
      <c r="E486" s="132"/>
      <c r="N486" s="916"/>
      <c r="P486" s="917"/>
      <c r="R486" s="67"/>
      <c r="S486" s="67"/>
      <c r="T486" s="67"/>
      <c r="U486" s="67"/>
    </row>
    <row r="487" spans="1:21" s="75" customFormat="1" hidden="1">
      <c r="A487" s="67"/>
      <c r="B487" s="916"/>
      <c r="C487" s="132"/>
      <c r="D487" s="132"/>
      <c r="E487" s="132"/>
      <c r="N487" s="916"/>
      <c r="P487" s="917"/>
      <c r="R487" s="67"/>
      <c r="S487" s="67"/>
      <c r="T487" s="67"/>
      <c r="U487" s="67"/>
    </row>
    <row r="488" spans="1:21" s="75" customFormat="1" hidden="1">
      <c r="A488" s="67"/>
      <c r="B488" s="916"/>
      <c r="C488" s="132"/>
      <c r="D488" s="132"/>
      <c r="E488" s="132"/>
      <c r="N488" s="916"/>
      <c r="P488" s="917"/>
      <c r="R488" s="67"/>
      <c r="S488" s="67"/>
      <c r="T488" s="67"/>
      <c r="U488" s="67"/>
    </row>
    <row r="489" spans="1:21" s="75" customFormat="1" hidden="1">
      <c r="A489" s="67"/>
      <c r="B489" s="916"/>
      <c r="C489" s="132"/>
      <c r="D489" s="132"/>
      <c r="E489" s="132"/>
      <c r="N489" s="916"/>
      <c r="P489" s="917"/>
      <c r="R489" s="67"/>
      <c r="S489" s="67"/>
      <c r="T489" s="67"/>
      <c r="U489" s="67"/>
    </row>
    <row r="490" spans="1:21" s="75" customFormat="1" hidden="1">
      <c r="A490" s="67"/>
      <c r="B490" s="916"/>
      <c r="C490" s="132"/>
      <c r="D490" s="132"/>
      <c r="E490" s="132"/>
      <c r="N490" s="916"/>
      <c r="P490" s="917"/>
      <c r="R490" s="67"/>
      <c r="S490" s="67"/>
      <c r="T490" s="67"/>
      <c r="U490" s="67"/>
    </row>
    <row r="491" spans="1:21" s="75" customFormat="1" hidden="1">
      <c r="A491" s="67"/>
      <c r="B491" s="916"/>
      <c r="C491" s="132"/>
      <c r="D491" s="132"/>
      <c r="E491" s="132"/>
      <c r="N491" s="916"/>
      <c r="P491" s="917"/>
      <c r="R491" s="67"/>
      <c r="S491" s="67"/>
      <c r="T491" s="67"/>
      <c r="U491" s="67"/>
    </row>
    <row r="492" spans="1:21" s="75" customFormat="1" hidden="1">
      <c r="A492" s="67"/>
      <c r="B492" s="916"/>
      <c r="C492" s="132"/>
      <c r="D492" s="132"/>
      <c r="E492" s="132"/>
      <c r="N492" s="916"/>
      <c r="P492" s="917"/>
      <c r="R492" s="67"/>
      <c r="S492" s="67"/>
      <c r="T492" s="67"/>
      <c r="U492" s="67"/>
    </row>
    <row r="493" spans="1:21" s="75" customFormat="1" hidden="1">
      <c r="A493" s="67"/>
      <c r="B493" s="916"/>
      <c r="C493" s="132"/>
      <c r="D493" s="132"/>
      <c r="E493" s="132"/>
      <c r="N493" s="916"/>
      <c r="P493" s="917"/>
      <c r="R493" s="67"/>
      <c r="S493" s="67"/>
      <c r="T493" s="67"/>
      <c r="U493" s="67"/>
    </row>
    <row r="494" spans="1:21" s="75" customFormat="1" hidden="1">
      <c r="A494" s="67"/>
      <c r="B494" s="916"/>
      <c r="C494" s="132"/>
      <c r="D494" s="132"/>
      <c r="E494" s="132"/>
      <c r="N494" s="916"/>
      <c r="P494" s="917"/>
      <c r="R494" s="67"/>
      <c r="S494" s="67"/>
      <c r="T494" s="67"/>
      <c r="U494" s="67"/>
    </row>
    <row r="495" spans="1:21" s="75" customFormat="1" hidden="1">
      <c r="A495" s="67"/>
      <c r="B495" s="916"/>
      <c r="C495" s="132"/>
      <c r="D495" s="132"/>
      <c r="E495" s="132"/>
      <c r="N495" s="916"/>
      <c r="P495" s="917"/>
      <c r="R495" s="67"/>
      <c r="S495" s="67"/>
      <c r="T495" s="67"/>
      <c r="U495" s="67"/>
    </row>
    <row r="496" spans="1:21" s="75" customFormat="1" hidden="1">
      <c r="A496" s="67"/>
      <c r="B496" s="916"/>
      <c r="C496" s="132"/>
      <c r="D496" s="132"/>
      <c r="E496" s="132"/>
      <c r="N496" s="916"/>
      <c r="P496" s="917"/>
      <c r="R496" s="67"/>
      <c r="S496" s="67"/>
      <c r="T496" s="67"/>
      <c r="U496" s="67"/>
    </row>
    <row r="497" spans="1:21" s="75" customFormat="1" hidden="1">
      <c r="A497" s="67"/>
      <c r="B497" s="916"/>
      <c r="C497" s="132"/>
      <c r="D497" s="132"/>
      <c r="E497" s="132"/>
      <c r="N497" s="916"/>
      <c r="P497" s="917"/>
      <c r="R497" s="67"/>
      <c r="S497" s="67"/>
      <c r="T497" s="67"/>
      <c r="U497" s="67"/>
    </row>
    <row r="498" spans="1:21" s="75" customFormat="1" hidden="1">
      <c r="A498" s="67"/>
      <c r="B498" s="916"/>
      <c r="C498" s="132"/>
      <c r="D498" s="132"/>
      <c r="E498" s="132"/>
      <c r="N498" s="916"/>
      <c r="P498" s="917"/>
      <c r="R498" s="67"/>
      <c r="S498" s="67"/>
      <c r="T498" s="67"/>
      <c r="U498" s="67"/>
    </row>
    <row r="499" spans="1:21" s="75" customFormat="1" hidden="1">
      <c r="A499" s="67"/>
      <c r="B499" s="916"/>
      <c r="C499" s="132"/>
      <c r="D499" s="132"/>
      <c r="E499" s="132"/>
      <c r="N499" s="916"/>
      <c r="P499" s="917"/>
      <c r="R499" s="67"/>
      <c r="S499" s="67"/>
      <c r="T499" s="67"/>
      <c r="U499" s="67"/>
    </row>
    <row r="500" spans="1:21" s="75" customFormat="1" hidden="1">
      <c r="A500" s="67"/>
      <c r="B500" s="916"/>
      <c r="C500" s="132"/>
      <c r="D500" s="132"/>
      <c r="E500" s="132"/>
      <c r="N500" s="916"/>
      <c r="P500" s="917"/>
      <c r="R500" s="67"/>
      <c r="S500" s="67"/>
      <c r="T500" s="67"/>
      <c r="U500" s="67"/>
    </row>
    <row r="501" spans="1:21" s="75" customFormat="1" hidden="1">
      <c r="A501" s="67"/>
      <c r="B501" s="916"/>
      <c r="C501" s="132"/>
      <c r="D501" s="132"/>
      <c r="E501" s="132"/>
      <c r="N501" s="916"/>
      <c r="P501" s="917"/>
      <c r="R501" s="67"/>
      <c r="S501" s="67"/>
      <c r="T501" s="67"/>
      <c r="U501" s="67"/>
    </row>
    <row r="502" spans="1:21" s="75" customFormat="1" hidden="1">
      <c r="A502" s="67"/>
      <c r="B502" s="916"/>
      <c r="C502" s="132"/>
      <c r="D502" s="132"/>
      <c r="E502" s="132"/>
      <c r="N502" s="916"/>
      <c r="P502" s="917"/>
      <c r="R502" s="67"/>
      <c r="S502" s="67"/>
      <c r="T502" s="67"/>
      <c r="U502" s="67"/>
    </row>
    <row r="503" spans="1:21" s="75" customFormat="1" hidden="1">
      <c r="A503" s="67"/>
      <c r="B503" s="916"/>
      <c r="C503" s="132"/>
      <c r="D503" s="132"/>
      <c r="E503" s="132"/>
      <c r="N503" s="916"/>
      <c r="P503" s="917"/>
      <c r="R503" s="67"/>
      <c r="S503" s="67"/>
      <c r="T503" s="67"/>
      <c r="U503" s="67"/>
    </row>
    <row r="504" spans="1:21" s="75" customFormat="1" hidden="1">
      <c r="A504" s="67"/>
      <c r="B504" s="916"/>
      <c r="C504" s="132"/>
      <c r="D504" s="132"/>
      <c r="E504" s="132"/>
      <c r="N504" s="916"/>
      <c r="P504" s="917"/>
      <c r="R504" s="67"/>
      <c r="S504" s="67"/>
      <c r="T504" s="67"/>
      <c r="U504" s="67"/>
    </row>
    <row r="505" spans="1:21" s="75" customFormat="1" hidden="1">
      <c r="A505" s="67"/>
      <c r="B505" s="916"/>
      <c r="C505" s="132"/>
      <c r="D505" s="132"/>
      <c r="E505" s="132"/>
      <c r="N505" s="916"/>
      <c r="P505" s="917"/>
      <c r="R505" s="67"/>
      <c r="S505" s="67"/>
      <c r="T505" s="67"/>
      <c r="U505" s="67"/>
    </row>
    <row r="506" spans="1:21" s="75" customFormat="1" hidden="1">
      <c r="A506" s="67"/>
      <c r="B506" s="916"/>
      <c r="C506" s="132"/>
      <c r="D506" s="132"/>
      <c r="E506" s="132"/>
      <c r="N506" s="916"/>
      <c r="P506" s="917"/>
      <c r="R506" s="67"/>
      <c r="S506" s="67"/>
      <c r="T506" s="67"/>
      <c r="U506" s="67"/>
    </row>
    <row r="507" spans="1:21" s="75" customFormat="1" hidden="1">
      <c r="A507" s="67"/>
      <c r="B507" s="916"/>
      <c r="C507" s="132"/>
      <c r="D507" s="132"/>
      <c r="E507" s="132"/>
      <c r="N507" s="916"/>
      <c r="P507" s="917"/>
      <c r="R507" s="67"/>
      <c r="S507" s="67"/>
      <c r="T507" s="67"/>
      <c r="U507" s="67"/>
    </row>
    <row r="508" spans="1:21" s="75" customFormat="1" hidden="1">
      <c r="A508" s="67"/>
      <c r="B508" s="916"/>
      <c r="C508" s="132"/>
      <c r="D508" s="132"/>
      <c r="E508" s="132"/>
      <c r="N508" s="916"/>
      <c r="P508" s="917"/>
      <c r="R508" s="67"/>
      <c r="S508" s="67"/>
      <c r="T508" s="67"/>
      <c r="U508" s="67"/>
    </row>
    <row r="509" spans="1:21" s="75" customFormat="1" hidden="1">
      <c r="A509" s="67"/>
      <c r="B509" s="916"/>
      <c r="C509" s="132"/>
      <c r="D509" s="132"/>
      <c r="E509" s="132"/>
      <c r="N509" s="916"/>
      <c r="P509" s="917"/>
      <c r="R509" s="67"/>
      <c r="S509" s="67"/>
      <c r="T509" s="67"/>
      <c r="U509" s="67"/>
    </row>
    <row r="510" spans="1:21" s="75" customFormat="1" hidden="1">
      <c r="A510" s="67"/>
      <c r="B510" s="916"/>
      <c r="C510" s="132"/>
      <c r="D510" s="132"/>
      <c r="E510" s="132"/>
      <c r="N510" s="916"/>
      <c r="P510" s="917"/>
      <c r="R510" s="67"/>
      <c r="S510" s="67"/>
      <c r="T510" s="67"/>
      <c r="U510" s="67"/>
    </row>
    <row r="511" spans="1:21" s="75" customFormat="1" hidden="1">
      <c r="A511" s="67"/>
      <c r="B511" s="916"/>
      <c r="C511" s="132"/>
      <c r="D511" s="132"/>
      <c r="E511" s="132"/>
      <c r="N511" s="916"/>
      <c r="P511" s="917"/>
      <c r="R511" s="67"/>
      <c r="S511" s="67"/>
      <c r="T511" s="67"/>
      <c r="U511" s="67"/>
    </row>
    <row r="512" spans="1:21" s="75" customFormat="1" hidden="1">
      <c r="A512" s="67"/>
      <c r="B512" s="916"/>
      <c r="C512" s="132"/>
      <c r="D512" s="132"/>
      <c r="E512" s="132"/>
      <c r="N512" s="916"/>
      <c r="P512" s="917"/>
      <c r="R512" s="67"/>
      <c r="S512" s="67"/>
      <c r="T512" s="67"/>
      <c r="U512" s="67"/>
    </row>
    <row r="513" spans="1:21" s="75" customFormat="1" hidden="1">
      <c r="A513" s="67"/>
      <c r="B513" s="916"/>
      <c r="C513" s="132"/>
      <c r="D513" s="132"/>
      <c r="E513" s="132"/>
      <c r="N513" s="916"/>
      <c r="P513" s="917"/>
      <c r="R513" s="67"/>
      <c r="S513" s="67"/>
      <c r="T513" s="67"/>
      <c r="U513" s="67"/>
    </row>
    <row r="514" spans="1:21" s="75" customFormat="1" hidden="1">
      <c r="A514" s="67"/>
      <c r="B514" s="916"/>
      <c r="C514" s="132"/>
      <c r="D514" s="132"/>
      <c r="E514" s="132"/>
      <c r="N514" s="916"/>
      <c r="P514" s="917"/>
      <c r="R514" s="67"/>
      <c r="S514" s="67"/>
      <c r="T514" s="67"/>
      <c r="U514" s="67"/>
    </row>
    <row r="515" spans="1:21" s="75" customFormat="1" hidden="1">
      <c r="A515" s="67"/>
      <c r="B515" s="916"/>
      <c r="C515" s="132"/>
      <c r="D515" s="132"/>
      <c r="E515" s="132"/>
      <c r="N515" s="916"/>
      <c r="P515" s="917"/>
      <c r="R515" s="67"/>
      <c r="S515" s="67"/>
      <c r="T515" s="67"/>
      <c r="U515" s="67"/>
    </row>
    <row r="516" spans="1:21" s="75" customFormat="1" hidden="1">
      <c r="A516" s="67"/>
      <c r="B516" s="916"/>
      <c r="C516" s="132"/>
      <c r="D516" s="132"/>
      <c r="E516" s="132"/>
      <c r="N516" s="916"/>
      <c r="P516" s="917"/>
      <c r="R516" s="67"/>
      <c r="S516" s="67"/>
      <c r="T516" s="67"/>
      <c r="U516" s="67"/>
    </row>
    <row r="517" spans="1:21" s="75" customFormat="1" hidden="1">
      <c r="A517" s="67"/>
      <c r="B517" s="916"/>
      <c r="C517" s="132"/>
      <c r="D517" s="132"/>
      <c r="E517" s="132"/>
      <c r="N517" s="916"/>
      <c r="P517" s="917"/>
      <c r="R517" s="67"/>
      <c r="S517" s="67"/>
      <c r="T517" s="67"/>
      <c r="U517" s="67"/>
    </row>
    <row r="518" spans="1:21" s="75" customFormat="1" hidden="1">
      <c r="A518" s="67"/>
      <c r="B518" s="916"/>
      <c r="C518" s="132"/>
      <c r="D518" s="132"/>
      <c r="E518" s="132"/>
      <c r="N518" s="916"/>
      <c r="P518" s="917"/>
      <c r="R518" s="67"/>
      <c r="S518" s="67"/>
      <c r="T518" s="67"/>
      <c r="U518" s="67"/>
    </row>
    <row r="519" spans="1:21" s="75" customFormat="1" hidden="1">
      <c r="A519" s="67"/>
      <c r="B519" s="916"/>
      <c r="C519" s="132"/>
      <c r="D519" s="132"/>
      <c r="E519" s="132"/>
      <c r="N519" s="916"/>
      <c r="P519" s="917"/>
      <c r="R519" s="67"/>
      <c r="S519" s="67"/>
      <c r="T519" s="67"/>
      <c r="U519" s="67"/>
    </row>
    <row r="520" spans="1:21" s="75" customFormat="1" hidden="1">
      <c r="A520" s="67"/>
      <c r="B520" s="916"/>
      <c r="C520" s="132"/>
      <c r="D520" s="132"/>
      <c r="E520" s="132"/>
      <c r="N520" s="916"/>
      <c r="P520" s="917"/>
      <c r="R520" s="67"/>
      <c r="S520" s="67"/>
      <c r="T520" s="67"/>
      <c r="U520" s="67"/>
    </row>
    <row r="521" spans="1:21" s="75" customFormat="1" hidden="1">
      <c r="A521" s="67"/>
      <c r="B521" s="916"/>
      <c r="C521" s="132"/>
      <c r="D521" s="132"/>
      <c r="E521" s="132"/>
      <c r="N521" s="916"/>
      <c r="P521" s="917"/>
      <c r="R521" s="67"/>
      <c r="S521" s="67"/>
      <c r="T521" s="67"/>
      <c r="U521" s="67"/>
    </row>
    <row r="522" spans="1:21" s="75" customFormat="1" hidden="1">
      <c r="A522" s="67"/>
      <c r="B522" s="916"/>
      <c r="C522" s="132"/>
      <c r="D522" s="132"/>
      <c r="E522" s="132"/>
      <c r="N522" s="916"/>
      <c r="P522" s="917"/>
      <c r="R522" s="67"/>
      <c r="S522" s="67"/>
      <c r="T522" s="67"/>
      <c r="U522" s="67"/>
    </row>
    <row r="523" spans="1:21" s="75" customFormat="1" hidden="1">
      <c r="A523" s="67"/>
      <c r="B523" s="916"/>
      <c r="C523" s="132"/>
      <c r="D523" s="132"/>
      <c r="E523" s="132"/>
      <c r="N523" s="916"/>
      <c r="P523" s="917"/>
      <c r="R523" s="67"/>
      <c r="S523" s="67"/>
      <c r="T523" s="67"/>
      <c r="U523" s="67"/>
    </row>
    <row r="524" spans="1:21" s="75" customFormat="1" hidden="1">
      <c r="A524" s="67"/>
      <c r="B524" s="916"/>
      <c r="C524" s="132"/>
      <c r="D524" s="132"/>
      <c r="E524" s="132"/>
      <c r="N524" s="916"/>
      <c r="P524" s="917"/>
      <c r="R524" s="67"/>
      <c r="S524" s="67"/>
      <c r="T524" s="67"/>
      <c r="U524" s="67"/>
    </row>
    <row r="525" spans="1:21" s="75" customFormat="1" hidden="1">
      <c r="A525" s="67"/>
      <c r="B525" s="916"/>
      <c r="C525" s="132"/>
      <c r="D525" s="132"/>
      <c r="E525" s="132"/>
      <c r="N525" s="916"/>
      <c r="P525" s="917"/>
      <c r="R525" s="67"/>
      <c r="S525" s="67"/>
      <c r="T525" s="67"/>
      <c r="U525" s="67"/>
    </row>
    <row r="526" spans="1:21" s="75" customFormat="1" hidden="1">
      <c r="A526" s="67"/>
      <c r="B526" s="916"/>
      <c r="C526" s="132"/>
      <c r="D526" s="132"/>
      <c r="E526" s="132"/>
      <c r="N526" s="916"/>
      <c r="P526" s="917"/>
      <c r="R526" s="67"/>
      <c r="S526" s="67"/>
      <c r="T526" s="67"/>
      <c r="U526" s="67"/>
    </row>
    <row r="527" spans="1:21" s="75" customFormat="1" hidden="1">
      <c r="A527" s="67"/>
      <c r="B527" s="916"/>
      <c r="C527" s="132"/>
      <c r="D527" s="132"/>
      <c r="E527" s="132"/>
      <c r="N527" s="916"/>
      <c r="P527" s="917"/>
      <c r="R527" s="67"/>
      <c r="S527" s="67"/>
      <c r="T527" s="67"/>
      <c r="U527" s="67"/>
    </row>
    <row r="528" spans="1:21" s="75" customFormat="1" hidden="1">
      <c r="A528" s="67"/>
      <c r="B528" s="916"/>
      <c r="C528" s="132"/>
      <c r="D528" s="132"/>
      <c r="E528" s="132"/>
      <c r="N528" s="916"/>
      <c r="P528" s="917"/>
      <c r="R528" s="67"/>
      <c r="S528" s="67"/>
      <c r="T528" s="67"/>
      <c r="U528" s="67"/>
    </row>
    <row r="529" spans="1:21" s="75" customFormat="1" hidden="1">
      <c r="A529" s="67"/>
      <c r="B529" s="916"/>
      <c r="C529" s="132"/>
      <c r="D529" s="132"/>
      <c r="E529" s="132"/>
      <c r="N529" s="916"/>
      <c r="P529" s="917"/>
      <c r="R529" s="67"/>
      <c r="S529" s="67"/>
      <c r="T529" s="67"/>
      <c r="U529" s="67"/>
    </row>
    <row r="530" spans="1:21" s="75" customFormat="1" hidden="1">
      <c r="A530" s="67"/>
      <c r="B530" s="916"/>
      <c r="C530" s="132"/>
      <c r="D530" s="132"/>
      <c r="E530" s="132"/>
      <c r="N530" s="916"/>
      <c r="P530" s="917"/>
      <c r="R530" s="67"/>
      <c r="S530" s="67"/>
      <c r="T530" s="67"/>
      <c r="U530" s="67"/>
    </row>
    <row r="531" spans="1:21" s="75" customFormat="1" hidden="1">
      <c r="A531" s="67"/>
      <c r="B531" s="916"/>
      <c r="C531" s="132"/>
      <c r="D531" s="132"/>
      <c r="E531" s="132"/>
      <c r="N531" s="916"/>
      <c r="P531" s="917"/>
      <c r="R531" s="67"/>
      <c r="S531" s="67"/>
      <c r="T531" s="67"/>
      <c r="U531" s="67"/>
    </row>
    <row r="532" spans="1:21" s="75" customFormat="1" hidden="1">
      <c r="A532" s="67"/>
      <c r="B532" s="916"/>
      <c r="C532" s="132"/>
      <c r="D532" s="132"/>
      <c r="E532" s="132"/>
      <c r="N532" s="916"/>
      <c r="P532" s="917"/>
      <c r="R532" s="67"/>
      <c r="S532" s="67"/>
      <c r="T532" s="67"/>
      <c r="U532" s="67"/>
    </row>
    <row r="533" spans="1:21" s="75" customFormat="1" hidden="1">
      <c r="A533" s="67"/>
      <c r="B533" s="916"/>
      <c r="C533" s="132"/>
      <c r="D533" s="132"/>
      <c r="E533" s="132"/>
      <c r="N533" s="916"/>
      <c r="P533" s="917"/>
      <c r="R533" s="67"/>
      <c r="S533" s="67"/>
      <c r="T533" s="67"/>
      <c r="U533" s="67"/>
    </row>
    <row r="534" spans="1:21" s="75" customFormat="1" hidden="1">
      <c r="A534" s="67"/>
      <c r="B534" s="916"/>
      <c r="C534" s="132"/>
      <c r="D534" s="132"/>
      <c r="E534" s="132"/>
      <c r="N534" s="916"/>
      <c r="P534" s="917"/>
      <c r="R534" s="67"/>
      <c r="S534" s="67"/>
      <c r="T534" s="67"/>
      <c r="U534" s="67"/>
    </row>
    <row r="535" spans="1:21" s="75" customFormat="1" hidden="1">
      <c r="A535" s="67"/>
      <c r="B535" s="916"/>
      <c r="C535" s="132"/>
      <c r="D535" s="132"/>
      <c r="E535" s="132"/>
      <c r="N535" s="916"/>
      <c r="P535" s="917"/>
      <c r="R535" s="67"/>
      <c r="S535" s="67"/>
      <c r="T535" s="67"/>
      <c r="U535" s="67"/>
    </row>
    <row r="536" spans="1:21" s="75" customFormat="1" hidden="1">
      <c r="A536" s="67"/>
      <c r="B536" s="916"/>
      <c r="C536" s="132"/>
      <c r="D536" s="132"/>
      <c r="E536" s="132"/>
      <c r="N536" s="916"/>
      <c r="P536" s="917"/>
      <c r="R536" s="67"/>
      <c r="S536" s="67"/>
      <c r="T536" s="67"/>
      <c r="U536" s="67"/>
    </row>
    <row r="537" spans="1:21" s="75" customFormat="1" hidden="1">
      <c r="A537" s="67"/>
      <c r="B537" s="916"/>
      <c r="C537" s="132"/>
      <c r="D537" s="132"/>
      <c r="E537" s="132"/>
      <c r="N537" s="916"/>
      <c r="P537" s="917"/>
      <c r="R537" s="67"/>
      <c r="S537" s="67"/>
      <c r="T537" s="67"/>
      <c r="U537" s="67"/>
    </row>
    <row r="538" spans="1:21" s="75" customFormat="1" hidden="1">
      <c r="A538" s="67"/>
      <c r="B538" s="916"/>
      <c r="C538" s="132"/>
      <c r="D538" s="132"/>
      <c r="E538" s="132"/>
      <c r="N538" s="916"/>
      <c r="P538" s="917"/>
      <c r="R538" s="67"/>
      <c r="S538" s="67"/>
      <c r="T538" s="67"/>
      <c r="U538" s="67"/>
    </row>
    <row r="539" spans="1:21" s="75" customFormat="1" hidden="1">
      <c r="A539" s="67"/>
      <c r="B539" s="916"/>
      <c r="C539" s="132"/>
      <c r="D539" s="132"/>
      <c r="E539" s="132"/>
      <c r="N539" s="916"/>
      <c r="P539" s="917"/>
      <c r="R539" s="67"/>
      <c r="S539" s="67"/>
      <c r="T539" s="67"/>
      <c r="U539" s="67"/>
    </row>
    <row r="540" spans="1:21" s="75" customFormat="1" hidden="1">
      <c r="A540" s="67"/>
      <c r="B540" s="916"/>
      <c r="C540" s="132"/>
      <c r="D540" s="132"/>
      <c r="E540" s="132"/>
      <c r="N540" s="916"/>
      <c r="P540" s="917"/>
      <c r="R540" s="67"/>
      <c r="S540" s="67"/>
      <c r="T540" s="67"/>
      <c r="U540" s="67"/>
    </row>
    <row r="541" spans="1:21" s="75" customFormat="1" hidden="1">
      <c r="A541" s="67"/>
      <c r="B541" s="916"/>
      <c r="C541" s="132"/>
      <c r="D541" s="132"/>
      <c r="E541" s="132"/>
      <c r="N541" s="916"/>
      <c r="P541" s="917"/>
      <c r="R541" s="67"/>
      <c r="S541" s="67"/>
      <c r="T541" s="67"/>
      <c r="U541" s="67"/>
    </row>
    <row r="542" spans="1:21" s="75" customFormat="1" hidden="1">
      <c r="A542" s="67"/>
      <c r="B542" s="916"/>
      <c r="C542" s="132"/>
      <c r="D542" s="132"/>
      <c r="E542" s="132"/>
      <c r="N542" s="916"/>
      <c r="P542" s="917"/>
      <c r="R542" s="67"/>
      <c r="S542" s="67"/>
      <c r="T542" s="67"/>
      <c r="U542" s="67"/>
    </row>
    <row r="543" spans="1:21" s="75" customFormat="1" hidden="1">
      <c r="A543" s="67"/>
      <c r="B543" s="916"/>
      <c r="C543" s="132"/>
      <c r="D543" s="132"/>
      <c r="E543" s="132"/>
      <c r="N543" s="916"/>
      <c r="P543" s="917"/>
      <c r="R543" s="67"/>
      <c r="S543" s="67"/>
      <c r="T543" s="67"/>
      <c r="U543" s="67"/>
    </row>
    <row r="544" spans="1:21" s="75" customFormat="1" hidden="1">
      <c r="A544" s="67"/>
      <c r="B544" s="916"/>
      <c r="C544" s="132"/>
      <c r="D544" s="132"/>
      <c r="E544" s="132"/>
      <c r="N544" s="916"/>
      <c r="P544" s="917"/>
      <c r="R544" s="67"/>
      <c r="S544" s="67"/>
      <c r="T544" s="67"/>
      <c r="U544" s="67"/>
    </row>
    <row r="545" spans="1:21" s="75" customFormat="1" hidden="1">
      <c r="A545" s="67"/>
      <c r="B545" s="916"/>
      <c r="C545" s="132"/>
      <c r="D545" s="132"/>
      <c r="E545" s="132"/>
      <c r="N545" s="916"/>
      <c r="P545" s="917"/>
      <c r="R545" s="67"/>
      <c r="S545" s="67"/>
      <c r="T545" s="67"/>
      <c r="U545" s="67"/>
    </row>
    <row r="546" spans="1:21" s="75" customFormat="1" hidden="1">
      <c r="A546" s="67"/>
      <c r="B546" s="916"/>
      <c r="C546" s="132"/>
      <c r="D546" s="132"/>
      <c r="E546" s="132"/>
      <c r="N546" s="916"/>
      <c r="P546" s="917"/>
      <c r="R546" s="67"/>
      <c r="S546" s="67"/>
      <c r="T546" s="67"/>
      <c r="U546" s="67"/>
    </row>
    <row r="547" spans="1:21" s="75" customFormat="1" hidden="1">
      <c r="A547" s="67"/>
      <c r="B547" s="916"/>
      <c r="C547" s="132"/>
      <c r="D547" s="132"/>
      <c r="E547" s="132"/>
      <c r="N547" s="916"/>
      <c r="P547" s="917"/>
      <c r="R547" s="67"/>
      <c r="S547" s="67"/>
      <c r="T547" s="67"/>
      <c r="U547" s="67"/>
    </row>
    <row r="548" spans="1:21" s="75" customFormat="1" hidden="1">
      <c r="A548" s="67"/>
      <c r="B548" s="916"/>
      <c r="C548" s="132"/>
      <c r="D548" s="132"/>
      <c r="E548" s="132"/>
      <c r="N548" s="916"/>
      <c r="P548" s="917"/>
      <c r="R548" s="67"/>
      <c r="S548" s="67"/>
      <c r="T548" s="67"/>
      <c r="U548" s="67"/>
    </row>
    <row r="549" spans="1:21" s="75" customFormat="1" hidden="1">
      <c r="A549" s="67"/>
      <c r="B549" s="916"/>
      <c r="C549" s="132"/>
      <c r="D549" s="132"/>
      <c r="E549" s="132"/>
      <c r="N549" s="916"/>
      <c r="P549" s="917"/>
      <c r="R549" s="67"/>
      <c r="S549" s="67"/>
      <c r="T549" s="67"/>
      <c r="U549" s="67"/>
    </row>
    <row r="550" spans="1:21" s="75" customFormat="1" hidden="1">
      <c r="A550" s="67"/>
      <c r="B550" s="916"/>
      <c r="C550" s="132"/>
      <c r="D550" s="132"/>
      <c r="E550" s="132"/>
      <c r="N550" s="916"/>
      <c r="P550" s="917"/>
      <c r="R550" s="67"/>
      <c r="S550" s="67"/>
      <c r="T550" s="67"/>
      <c r="U550" s="67"/>
    </row>
    <row r="551" spans="1:21" s="75" customFormat="1" hidden="1">
      <c r="A551" s="67"/>
      <c r="B551" s="916"/>
      <c r="C551" s="132"/>
      <c r="D551" s="132"/>
      <c r="E551" s="132"/>
      <c r="N551" s="916"/>
      <c r="P551" s="917"/>
      <c r="R551" s="67"/>
      <c r="S551" s="67"/>
      <c r="T551" s="67"/>
      <c r="U551" s="67"/>
    </row>
    <row r="552" spans="1:21" s="75" customFormat="1" hidden="1">
      <c r="A552" s="67"/>
      <c r="B552" s="916"/>
      <c r="C552" s="132"/>
      <c r="D552" s="132"/>
      <c r="E552" s="132"/>
      <c r="N552" s="916"/>
      <c r="P552" s="917"/>
      <c r="R552" s="67"/>
      <c r="S552" s="67"/>
      <c r="T552" s="67"/>
      <c r="U552" s="67"/>
    </row>
    <row r="553" spans="1:21" s="75" customFormat="1" hidden="1">
      <c r="A553" s="67"/>
      <c r="B553" s="916"/>
      <c r="C553" s="132"/>
      <c r="D553" s="132"/>
      <c r="E553" s="132"/>
      <c r="N553" s="916"/>
      <c r="P553" s="917"/>
      <c r="R553" s="67"/>
      <c r="S553" s="67"/>
      <c r="T553" s="67"/>
      <c r="U553" s="67"/>
    </row>
    <row r="554" spans="1:21" s="75" customFormat="1" hidden="1">
      <c r="A554" s="67"/>
      <c r="B554" s="916"/>
      <c r="C554" s="132"/>
      <c r="D554" s="132"/>
      <c r="E554" s="132"/>
      <c r="N554" s="916"/>
      <c r="P554" s="917"/>
      <c r="R554" s="67"/>
      <c r="S554" s="67"/>
      <c r="T554" s="67"/>
      <c r="U554" s="67"/>
    </row>
    <row r="555" spans="1:21" s="75" customFormat="1" hidden="1">
      <c r="A555" s="67"/>
      <c r="B555" s="916"/>
      <c r="C555" s="132"/>
      <c r="D555" s="132"/>
      <c r="E555" s="132"/>
      <c r="N555" s="916"/>
      <c r="P555" s="917"/>
      <c r="R555" s="67"/>
      <c r="S555" s="67"/>
      <c r="T555" s="67"/>
      <c r="U555" s="67"/>
    </row>
    <row r="556" spans="1:21" s="75" customFormat="1" hidden="1">
      <c r="A556" s="67"/>
      <c r="B556" s="916"/>
      <c r="C556" s="132"/>
      <c r="D556" s="132"/>
      <c r="E556" s="132"/>
      <c r="N556" s="916"/>
      <c r="P556" s="917"/>
      <c r="R556" s="67"/>
      <c r="S556" s="67"/>
      <c r="T556" s="67"/>
      <c r="U556" s="67"/>
    </row>
    <row r="557" spans="1:21" s="75" customFormat="1" hidden="1">
      <c r="A557" s="67"/>
      <c r="B557" s="916"/>
      <c r="C557" s="132"/>
      <c r="D557" s="132"/>
      <c r="E557" s="132"/>
      <c r="N557" s="916"/>
      <c r="P557" s="917"/>
      <c r="R557" s="67"/>
      <c r="S557" s="67"/>
      <c r="T557" s="67"/>
      <c r="U557" s="67"/>
    </row>
    <row r="558" spans="1:21" s="75" customFormat="1" hidden="1">
      <c r="A558" s="67"/>
      <c r="B558" s="916"/>
      <c r="C558" s="132"/>
      <c r="D558" s="132"/>
      <c r="E558" s="132"/>
      <c r="N558" s="916"/>
      <c r="P558" s="917"/>
      <c r="R558" s="67"/>
      <c r="S558" s="67"/>
      <c r="T558" s="67"/>
      <c r="U558" s="67"/>
    </row>
    <row r="559" spans="1:21" s="75" customFormat="1" hidden="1">
      <c r="A559" s="67"/>
      <c r="B559" s="916"/>
      <c r="C559" s="132"/>
      <c r="D559" s="132"/>
      <c r="E559" s="132"/>
      <c r="N559" s="916"/>
      <c r="P559" s="917"/>
      <c r="R559" s="67"/>
      <c r="S559" s="67"/>
      <c r="T559" s="67"/>
      <c r="U559" s="67"/>
    </row>
    <row r="560" spans="1:21" s="75" customFormat="1" hidden="1">
      <c r="A560" s="67"/>
      <c r="B560" s="916"/>
      <c r="C560" s="132"/>
      <c r="D560" s="132"/>
      <c r="E560" s="132"/>
      <c r="N560" s="916"/>
      <c r="P560" s="917"/>
      <c r="R560" s="67"/>
      <c r="S560" s="67"/>
      <c r="T560" s="67"/>
      <c r="U560" s="67"/>
    </row>
    <row r="561" spans="1:21" s="75" customFormat="1" hidden="1">
      <c r="A561" s="67"/>
      <c r="B561" s="916"/>
      <c r="C561" s="132"/>
      <c r="D561" s="132"/>
      <c r="E561" s="132"/>
      <c r="N561" s="916"/>
      <c r="P561" s="917"/>
      <c r="R561" s="67"/>
      <c r="S561" s="67"/>
      <c r="T561" s="67"/>
      <c r="U561" s="67"/>
    </row>
    <row r="562" spans="1:21" s="75" customFormat="1" hidden="1">
      <c r="A562" s="67"/>
      <c r="B562" s="916"/>
      <c r="C562" s="132"/>
      <c r="D562" s="132"/>
      <c r="E562" s="132"/>
      <c r="N562" s="916"/>
      <c r="P562" s="917"/>
      <c r="R562" s="67"/>
      <c r="S562" s="67"/>
      <c r="T562" s="67"/>
      <c r="U562" s="67"/>
    </row>
    <row r="563" spans="1:21" s="75" customFormat="1" hidden="1">
      <c r="A563" s="67"/>
      <c r="B563" s="916"/>
      <c r="C563" s="132"/>
      <c r="D563" s="132"/>
      <c r="E563" s="132"/>
      <c r="N563" s="916"/>
      <c r="P563" s="917"/>
      <c r="R563" s="67"/>
      <c r="S563" s="67"/>
      <c r="T563" s="67"/>
      <c r="U563" s="67"/>
    </row>
    <row r="564" spans="1:21" s="75" customFormat="1" hidden="1">
      <c r="A564" s="67"/>
      <c r="B564" s="916"/>
      <c r="C564" s="132"/>
      <c r="D564" s="132"/>
      <c r="E564" s="132"/>
      <c r="N564" s="916"/>
      <c r="P564" s="917"/>
      <c r="R564" s="67"/>
      <c r="S564" s="67"/>
      <c r="T564" s="67"/>
      <c r="U564" s="67"/>
    </row>
    <row r="565" spans="1:21" s="75" customFormat="1" hidden="1">
      <c r="A565" s="67"/>
      <c r="B565" s="916"/>
      <c r="C565" s="132"/>
      <c r="D565" s="132"/>
      <c r="E565" s="132"/>
      <c r="N565" s="916"/>
      <c r="P565" s="917"/>
      <c r="R565" s="67"/>
      <c r="S565" s="67"/>
      <c r="T565" s="67"/>
      <c r="U565" s="67"/>
    </row>
    <row r="566" spans="1:21" s="75" customFormat="1" hidden="1">
      <c r="A566" s="67"/>
      <c r="B566" s="916"/>
      <c r="C566" s="132"/>
      <c r="D566" s="132"/>
      <c r="E566" s="132"/>
      <c r="N566" s="916"/>
      <c r="P566" s="917"/>
      <c r="R566" s="67"/>
      <c r="S566" s="67"/>
      <c r="T566" s="67"/>
      <c r="U566" s="67"/>
    </row>
    <row r="567" spans="1:21" s="75" customFormat="1" hidden="1">
      <c r="A567" s="67"/>
      <c r="B567" s="916"/>
      <c r="C567" s="132"/>
      <c r="D567" s="132"/>
      <c r="E567" s="132"/>
      <c r="N567" s="916"/>
      <c r="P567" s="917"/>
      <c r="R567" s="67"/>
      <c r="S567" s="67"/>
      <c r="T567" s="67"/>
      <c r="U567" s="67"/>
    </row>
    <row r="568" spans="1:21" s="75" customFormat="1" hidden="1">
      <c r="A568" s="67"/>
      <c r="B568" s="916"/>
      <c r="C568" s="132"/>
      <c r="D568" s="132"/>
      <c r="E568" s="132"/>
      <c r="N568" s="916"/>
      <c r="P568" s="917"/>
      <c r="R568" s="67"/>
      <c r="S568" s="67"/>
      <c r="T568" s="67"/>
      <c r="U568" s="67"/>
    </row>
    <row r="569" spans="1:21" s="75" customFormat="1" hidden="1">
      <c r="A569" s="67"/>
      <c r="B569" s="916"/>
      <c r="C569" s="132"/>
      <c r="D569" s="132"/>
      <c r="E569" s="132"/>
      <c r="N569" s="916"/>
      <c r="P569" s="917"/>
      <c r="R569" s="67"/>
      <c r="S569" s="67"/>
      <c r="T569" s="67"/>
      <c r="U569" s="67"/>
    </row>
    <row r="570" spans="1:21" s="75" customFormat="1" hidden="1">
      <c r="A570" s="67"/>
      <c r="B570" s="916"/>
      <c r="C570" s="132"/>
      <c r="D570" s="132"/>
      <c r="E570" s="132"/>
      <c r="N570" s="916"/>
      <c r="P570" s="917"/>
      <c r="R570" s="67"/>
      <c r="S570" s="67"/>
      <c r="T570" s="67"/>
      <c r="U570" s="67"/>
    </row>
    <row r="571" spans="1:21" s="75" customFormat="1" hidden="1">
      <c r="A571" s="67"/>
      <c r="B571" s="916"/>
      <c r="C571" s="132"/>
      <c r="D571" s="132"/>
      <c r="E571" s="132"/>
      <c r="N571" s="916"/>
      <c r="P571" s="917"/>
      <c r="R571" s="67"/>
      <c r="S571" s="67"/>
      <c r="T571" s="67"/>
      <c r="U571" s="67"/>
    </row>
    <row r="572" spans="1:21" s="75" customFormat="1" hidden="1">
      <c r="A572" s="67"/>
      <c r="B572" s="916"/>
      <c r="C572" s="132"/>
      <c r="D572" s="132"/>
      <c r="E572" s="132"/>
      <c r="N572" s="916"/>
      <c r="P572" s="917"/>
      <c r="R572" s="67"/>
      <c r="S572" s="67"/>
      <c r="T572" s="67"/>
      <c r="U572" s="67"/>
    </row>
    <row r="573" spans="1:21" s="75" customFormat="1" hidden="1">
      <c r="A573" s="67"/>
      <c r="B573" s="916"/>
      <c r="C573" s="132"/>
      <c r="D573" s="132"/>
      <c r="E573" s="132"/>
      <c r="N573" s="916"/>
      <c r="P573" s="917"/>
      <c r="R573" s="67"/>
      <c r="S573" s="67"/>
      <c r="T573" s="67"/>
      <c r="U573" s="67"/>
    </row>
    <row r="574" spans="1:21" s="75" customFormat="1" hidden="1">
      <c r="A574" s="67"/>
      <c r="B574" s="916"/>
      <c r="C574" s="132"/>
      <c r="D574" s="132"/>
      <c r="E574" s="132"/>
      <c r="N574" s="916"/>
      <c r="P574" s="917"/>
      <c r="R574" s="67"/>
      <c r="S574" s="67"/>
      <c r="T574" s="67"/>
      <c r="U574" s="67"/>
    </row>
    <row r="575" spans="1:21" s="75" customFormat="1" hidden="1">
      <c r="A575" s="67"/>
      <c r="B575" s="916"/>
      <c r="C575" s="132"/>
      <c r="D575" s="132"/>
      <c r="E575" s="132"/>
      <c r="N575" s="916"/>
      <c r="P575" s="917"/>
      <c r="R575" s="67"/>
      <c r="S575" s="67"/>
      <c r="T575" s="67"/>
      <c r="U575" s="67"/>
    </row>
    <row r="576" spans="1:21" s="75" customFormat="1" hidden="1">
      <c r="A576" s="67"/>
      <c r="B576" s="916"/>
      <c r="C576" s="132"/>
      <c r="D576" s="132"/>
      <c r="E576" s="132"/>
      <c r="N576" s="916"/>
      <c r="P576" s="917"/>
      <c r="R576" s="67"/>
      <c r="S576" s="67"/>
      <c r="T576" s="67"/>
      <c r="U576" s="67"/>
    </row>
    <row r="577" spans="1:21" s="75" customFormat="1" hidden="1">
      <c r="A577" s="67"/>
      <c r="B577" s="916"/>
      <c r="C577" s="132"/>
      <c r="D577" s="132"/>
      <c r="E577" s="132"/>
      <c r="N577" s="916"/>
      <c r="P577" s="917"/>
      <c r="R577" s="67"/>
      <c r="S577" s="67"/>
      <c r="T577" s="67"/>
      <c r="U577" s="67"/>
    </row>
    <row r="578" spans="1:21" s="75" customFormat="1" hidden="1">
      <c r="A578" s="67"/>
      <c r="B578" s="916"/>
      <c r="C578" s="132"/>
      <c r="D578" s="132"/>
      <c r="E578" s="132"/>
      <c r="N578" s="916"/>
      <c r="P578" s="917"/>
      <c r="R578" s="67"/>
      <c r="S578" s="67"/>
      <c r="T578" s="67"/>
      <c r="U578" s="67"/>
    </row>
    <row r="579" spans="1:21" s="75" customFormat="1" hidden="1">
      <c r="A579" s="67"/>
      <c r="B579" s="916"/>
      <c r="C579" s="132"/>
      <c r="D579" s="132"/>
      <c r="E579" s="132"/>
      <c r="N579" s="916"/>
      <c r="P579" s="917"/>
      <c r="R579" s="67"/>
      <c r="S579" s="67"/>
      <c r="T579" s="67"/>
      <c r="U579" s="67"/>
    </row>
    <row r="580" spans="1:21" s="75" customFormat="1" hidden="1">
      <c r="A580" s="67"/>
      <c r="B580" s="916"/>
      <c r="C580" s="132"/>
      <c r="D580" s="132"/>
      <c r="E580" s="132"/>
      <c r="N580" s="916"/>
      <c r="P580" s="917"/>
      <c r="R580" s="67"/>
      <c r="S580" s="67"/>
      <c r="T580" s="67"/>
      <c r="U580" s="67"/>
    </row>
    <row r="581" spans="1:21" s="75" customFormat="1" hidden="1">
      <c r="A581" s="67"/>
      <c r="B581" s="916"/>
      <c r="C581" s="132"/>
      <c r="D581" s="132"/>
      <c r="E581" s="132"/>
      <c r="N581" s="916"/>
      <c r="P581" s="917"/>
      <c r="R581" s="67"/>
      <c r="S581" s="67"/>
      <c r="T581" s="67"/>
      <c r="U581" s="67"/>
    </row>
    <row r="582" spans="1:21" s="75" customFormat="1" hidden="1">
      <c r="A582" s="67"/>
      <c r="B582" s="916"/>
      <c r="C582" s="132"/>
      <c r="D582" s="132"/>
      <c r="E582" s="132"/>
      <c r="N582" s="916"/>
      <c r="P582" s="917"/>
      <c r="R582" s="67"/>
      <c r="S582" s="67"/>
      <c r="T582" s="67"/>
      <c r="U582" s="67"/>
    </row>
    <row r="583" spans="1:21" s="75" customFormat="1" hidden="1">
      <c r="A583" s="67"/>
      <c r="B583" s="916"/>
      <c r="C583" s="132"/>
      <c r="D583" s="132"/>
      <c r="E583" s="132"/>
      <c r="N583" s="916"/>
      <c r="P583" s="917"/>
      <c r="R583" s="67"/>
      <c r="S583" s="67"/>
      <c r="T583" s="67"/>
      <c r="U583" s="67"/>
    </row>
    <row r="584" spans="1:21" s="75" customFormat="1" hidden="1">
      <c r="A584" s="67"/>
      <c r="B584" s="916"/>
      <c r="C584" s="132"/>
      <c r="D584" s="132"/>
      <c r="E584" s="132"/>
      <c r="N584" s="916"/>
      <c r="P584" s="917"/>
      <c r="R584" s="67"/>
      <c r="S584" s="67"/>
      <c r="T584" s="67"/>
      <c r="U584" s="67"/>
    </row>
    <row r="585" spans="1:21" s="75" customFormat="1" hidden="1">
      <c r="A585" s="67"/>
      <c r="B585" s="916"/>
      <c r="C585" s="132"/>
      <c r="D585" s="132"/>
      <c r="E585" s="132"/>
      <c r="N585" s="916"/>
      <c r="P585" s="917"/>
      <c r="R585" s="67"/>
      <c r="S585" s="67"/>
      <c r="T585" s="67"/>
      <c r="U585" s="67"/>
    </row>
    <row r="586" spans="1:21" s="75" customFormat="1" hidden="1">
      <c r="A586" s="67"/>
      <c r="B586" s="916"/>
      <c r="C586" s="132"/>
      <c r="D586" s="132"/>
      <c r="E586" s="132"/>
      <c r="N586" s="916"/>
      <c r="P586" s="917"/>
      <c r="R586" s="67"/>
      <c r="S586" s="67"/>
      <c r="T586" s="67"/>
      <c r="U586" s="67"/>
    </row>
    <row r="587" spans="1:21" s="75" customFormat="1" hidden="1">
      <c r="A587" s="67"/>
      <c r="B587" s="916"/>
      <c r="C587" s="132"/>
      <c r="D587" s="132"/>
      <c r="E587" s="132"/>
      <c r="N587" s="916"/>
      <c r="P587" s="917"/>
      <c r="R587" s="67"/>
      <c r="S587" s="67"/>
      <c r="T587" s="67"/>
      <c r="U587" s="67"/>
    </row>
    <row r="588" spans="1:21" s="75" customFormat="1" hidden="1">
      <c r="A588" s="67"/>
      <c r="B588" s="916"/>
      <c r="C588" s="132"/>
      <c r="D588" s="132"/>
      <c r="E588" s="132"/>
      <c r="N588" s="916"/>
      <c r="P588" s="917"/>
      <c r="R588" s="67"/>
      <c r="S588" s="67"/>
      <c r="T588" s="67"/>
      <c r="U588" s="67"/>
    </row>
    <row r="589" spans="1:21" s="75" customFormat="1" hidden="1">
      <c r="A589" s="67"/>
      <c r="B589" s="916"/>
      <c r="C589" s="132"/>
      <c r="D589" s="132"/>
      <c r="E589" s="132"/>
      <c r="N589" s="916"/>
      <c r="P589" s="917"/>
      <c r="R589" s="67"/>
      <c r="S589" s="67"/>
      <c r="T589" s="67"/>
      <c r="U589" s="67"/>
    </row>
    <row r="590" spans="1:21" s="75" customFormat="1" hidden="1">
      <c r="A590" s="67"/>
      <c r="B590" s="916"/>
      <c r="C590" s="132"/>
      <c r="D590" s="132"/>
      <c r="E590" s="132"/>
      <c r="N590" s="916"/>
      <c r="P590" s="917"/>
      <c r="R590" s="67"/>
      <c r="S590" s="67"/>
      <c r="T590" s="67"/>
      <c r="U590" s="67"/>
    </row>
    <row r="591" spans="1:21" s="75" customFormat="1" hidden="1">
      <c r="A591" s="67"/>
      <c r="B591" s="916"/>
      <c r="C591" s="132"/>
      <c r="D591" s="132"/>
      <c r="E591" s="132"/>
      <c r="N591" s="916"/>
      <c r="P591" s="917"/>
      <c r="R591" s="67"/>
      <c r="S591" s="67"/>
      <c r="T591" s="67"/>
      <c r="U591" s="67"/>
    </row>
    <row r="592" spans="1:21" s="75" customFormat="1" hidden="1">
      <c r="A592" s="67"/>
      <c r="B592" s="916"/>
      <c r="C592" s="132"/>
      <c r="D592" s="132"/>
      <c r="E592" s="132"/>
      <c r="N592" s="916"/>
      <c r="P592" s="917"/>
      <c r="R592" s="67"/>
      <c r="S592" s="67"/>
      <c r="T592" s="67"/>
      <c r="U592" s="67"/>
    </row>
    <row r="593" spans="1:21" s="75" customFormat="1" hidden="1">
      <c r="A593" s="67"/>
      <c r="B593" s="916"/>
      <c r="C593" s="132"/>
      <c r="D593" s="132"/>
      <c r="E593" s="132"/>
      <c r="N593" s="916"/>
      <c r="P593" s="917"/>
      <c r="R593" s="67"/>
      <c r="S593" s="67"/>
      <c r="T593" s="67"/>
      <c r="U593" s="67"/>
    </row>
    <row r="594" spans="1:21" s="75" customFormat="1" hidden="1">
      <c r="A594" s="67"/>
      <c r="B594" s="916"/>
      <c r="C594" s="132"/>
      <c r="D594" s="132"/>
      <c r="E594" s="132"/>
      <c r="N594" s="916"/>
      <c r="P594" s="917"/>
      <c r="R594" s="67"/>
      <c r="S594" s="67"/>
      <c r="T594" s="67"/>
      <c r="U594" s="67"/>
    </row>
    <row r="595" spans="1:21" s="75" customFormat="1" hidden="1">
      <c r="A595" s="67"/>
      <c r="B595" s="916"/>
      <c r="C595" s="132"/>
      <c r="D595" s="132"/>
      <c r="E595" s="132"/>
      <c r="N595" s="916"/>
      <c r="P595" s="917"/>
      <c r="R595" s="67"/>
      <c r="S595" s="67"/>
      <c r="T595" s="67"/>
      <c r="U595" s="67"/>
    </row>
    <row r="596" spans="1:21" s="75" customFormat="1" hidden="1">
      <c r="A596" s="67"/>
      <c r="B596" s="916"/>
      <c r="C596" s="132"/>
      <c r="D596" s="132"/>
      <c r="E596" s="132"/>
      <c r="N596" s="916"/>
      <c r="P596" s="917"/>
      <c r="R596" s="67"/>
      <c r="S596" s="67"/>
      <c r="T596" s="67"/>
      <c r="U596" s="67"/>
    </row>
    <row r="597" spans="1:21" s="75" customFormat="1" hidden="1">
      <c r="A597" s="67"/>
      <c r="B597" s="916"/>
      <c r="C597" s="132"/>
      <c r="D597" s="132"/>
      <c r="E597" s="132"/>
      <c r="N597" s="916"/>
      <c r="P597" s="917"/>
      <c r="R597" s="67"/>
      <c r="S597" s="67"/>
      <c r="T597" s="67"/>
      <c r="U597" s="67"/>
    </row>
    <row r="598" spans="1:21" s="75" customFormat="1" hidden="1">
      <c r="A598" s="67"/>
      <c r="B598" s="916"/>
      <c r="C598" s="132"/>
      <c r="D598" s="132"/>
      <c r="E598" s="132"/>
      <c r="N598" s="916"/>
      <c r="P598" s="917"/>
      <c r="R598" s="67"/>
      <c r="S598" s="67"/>
      <c r="T598" s="67"/>
      <c r="U598" s="67"/>
    </row>
    <row r="599" spans="1:21" s="75" customFormat="1" hidden="1">
      <c r="A599" s="67"/>
      <c r="B599" s="916"/>
      <c r="C599" s="132"/>
      <c r="D599" s="132"/>
      <c r="E599" s="132"/>
      <c r="N599" s="916"/>
      <c r="P599" s="917"/>
      <c r="R599" s="67"/>
      <c r="S599" s="67"/>
      <c r="T599" s="67"/>
      <c r="U599" s="67"/>
    </row>
    <row r="600" spans="1:21" s="75" customFormat="1" hidden="1">
      <c r="A600" s="67"/>
      <c r="B600" s="916"/>
      <c r="C600" s="132"/>
      <c r="D600" s="132"/>
      <c r="E600" s="132"/>
      <c r="N600" s="916"/>
      <c r="P600" s="917"/>
      <c r="R600" s="67"/>
      <c r="S600" s="67"/>
      <c r="T600" s="67"/>
      <c r="U600" s="67"/>
    </row>
    <row r="601" spans="1:21" s="75" customFormat="1" hidden="1">
      <c r="A601" s="67"/>
      <c r="B601" s="916"/>
      <c r="C601" s="132"/>
      <c r="D601" s="132"/>
      <c r="E601" s="132"/>
      <c r="N601" s="916"/>
      <c r="P601" s="917"/>
      <c r="R601" s="67"/>
      <c r="S601" s="67"/>
      <c r="T601" s="67"/>
      <c r="U601" s="67"/>
    </row>
    <row r="602" spans="1:21" s="75" customFormat="1" hidden="1">
      <c r="A602" s="67"/>
      <c r="B602" s="916"/>
      <c r="C602" s="132"/>
      <c r="D602" s="132"/>
      <c r="E602" s="132"/>
      <c r="N602" s="916"/>
      <c r="P602" s="917"/>
      <c r="R602" s="67"/>
      <c r="S602" s="67"/>
      <c r="T602" s="67"/>
      <c r="U602" s="67"/>
    </row>
    <row r="603" spans="1:21" s="75" customFormat="1" hidden="1">
      <c r="A603" s="67"/>
      <c r="B603" s="916"/>
      <c r="C603" s="132"/>
      <c r="D603" s="132"/>
      <c r="E603" s="132"/>
      <c r="N603" s="916"/>
      <c r="P603" s="917"/>
      <c r="R603" s="67"/>
      <c r="S603" s="67"/>
      <c r="T603" s="67"/>
      <c r="U603" s="67"/>
    </row>
    <row r="604" spans="1:21" s="75" customFormat="1" hidden="1">
      <c r="A604" s="67"/>
      <c r="B604" s="916"/>
      <c r="C604" s="132"/>
      <c r="D604" s="132"/>
      <c r="E604" s="132"/>
      <c r="N604" s="916"/>
      <c r="P604" s="917"/>
      <c r="R604" s="67"/>
      <c r="S604" s="67"/>
      <c r="T604" s="67"/>
      <c r="U604" s="67"/>
    </row>
    <row r="605" spans="1:21" s="75" customFormat="1" hidden="1">
      <c r="A605" s="67"/>
      <c r="B605" s="916"/>
      <c r="C605" s="132"/>
      <c r="D605" s="132"/>
      <c r="E605" s="132"/>
      <c r="N605" s="916"/>
      <c r="P605" s="917"/>
      <c r="R605" s="67"/>
      <c r="S605" s="67"/>
      <c r="T605" s="67"/>
      <c r="U605" s="67"/>
    </row>
    <row r="606" spans="1:21" s="75" customFormat="1" hidden="1">
      <c r="A606" s="67"/>
      <c r="B606" s="916"/>
      <c r="C606" s="132"/>
      <c r="D606" s="132"/>
      <c r="E606" s="132"/>
      <c r="N606" s="916"/>
      <c r="P606" s="917"/>
      <c r="R606" s="67"/>
      <c r="S606" s="67"/>
      <c r="T606" s="67"/>
      <c r="U606" s="67"/>
    </row>
    <row r="607" spans="1:21" s="75" customFormat="1" hidden="1">
      <c r="A607" s="67"/>
      <c r="B607" s="916"/>
      <c r="C607" s="132"/>
      <c r="D607" s="132"/>
      <c r="E607" s="132"/>
      <c r="N607" s="916"/>
      <c r="P607" s="917"/>
      <c r="R607" s="67"/>
      <c r="S607" s="67"/>
      <c r="T607" s="67"/>
      <c r="U607" s="67"/>
    </row>
    <row r="608" spans="1:21" s="75" customFormat="1" hidden="1">
      <c r="A608" s="67"/>
      <c r="B608" s="916"/>
      <c r="C608" s="132"/>
      <c r="D608" s="132"/>
      <c r="E608" s="132"/>
      <c r="N608" s="916"/>
      <c r="P608" s="917"/>
      <c r="R608" s="67"/>
      <c r="S608" s="67"/>
      <c r="T608" s="67"/>
      <c r="U608" s="67"/>
    </row>
    <row r="609" spans="1:21" s="75" customFormat="1" hidden="1">
      <c r="A609" s="67"/>
      <c r="B609" s="916"/>
      <c r="C609" s="132"/>
      <c r="D609" s="132"/>
      <c r="E609" s="132"/>
      <c r="N609" s="916"/>
      <c r="P609" s="917"/>
      <c r="R609" s="67"/>
      <c r="S609" s="67"/>
      <c r="T609" s="67"/>
      <c r="U609" s="67"/>
    </row>
    <row r="610" spans="1:21" s="75" customFormat="1" hidden="1">
      <c r="A610" s="67"/>
      <c r="B610" s="916"/>
      <c r="C610" s="132"/>
      <c r="D610" s="132"/>
      <c r="E610" s="132"/>
      <c r="N610" s="916"/>
      <c r="P610" s="917"/>
      <c r="R610" s="67"/>
      <c r="S610" s="67"/>
      <c r="T610" s="67"/>
      <c r="U610" s="67"/>
    </row>
    <row r="611" spans="1:21" s="75" customFormat="1" hidden="1">
      <c r="A611" s="67"/>
      <c r="B611" s="916"/>
      <c r="C611" s="132"/>
      <c r="D611" s="132"/>
      <c r="E611" s="132"/>
      <c r="N611" s="916"/>
      <c r="P611" s="917"/>
      <c r="R611" s="67"/>
      <c r="S611" s="67"/>
      <c r="T611" s="67"/>
      <c r="U611" s="67"/>
    </row>
    <row r="612" spans="1:21" s="75" customFormat="1" hidden="1">
      <c r="A612" s="67"/>
      <c r="B612" s="916"/>
      <c r="C612" s="132"/>
      <c r="D612" s="132"/>
      <c r="E612" s="132"/>
      <c r="N612" s="916"/>
      <c r="P612" s="917"/>
      <c r="R612" s="67"/>
      <c r="S612" s="67"/>
      <c r="T612" s="67"/>
      <c r="U612" s="67"/>
    </row>
    <row r="613" spans="1:21" s="75" customFormat="1" hidden="1">
      <c r="A613" s="67"/>
      <c r="B613" s="916"/>
      <c r="C613" s="132"/>
      <c r="D613" s="132"/>
      <c r="E613" s="132"/>
      <c r="N613" s="916"/>
      <c r="P613" s="917"/>
      <c r="R613" s="67"/>
      <c r="S613" s="67"/>
      <c r="T613" s="67"/>
      <c r="U613" s="67"/>
    </row>
    <row r="614" spans="1:21" s="75" customFormat="1" hidden="1">
      <c r="A614" s="67"/>
      <c r="B614" s="916"/>
      <c r="C614" s="132"/>
      <c r="D614" s="132"/>
      <c r="E614" s="132"/>
      <c r="N614" s="916"/>
      <c r="P614" s="917"/>
      <c r="R614" s="67"/>
      <c r="S614" s="67"/>
      <c r="T614" s="67"/>
      <c r="U614" s="67"/>
    </row>
    <row r="615" spans="1:21" s="75" customFormat="1" hidden="1">
      <c r="A615" s="67"/>
      <c r="B615" s="916"/>
      <c r="C615" s="132"/>
      <c r="D615" s="132"/>
      <c r="E615" s="132"/>
      <c r="N615" s="916"/>
      <c r="P615" s="917"/>
      <c r="R615" s="67"/>
      <c r="S615" s="67"/>
      <c r="T615" s="67"/>
      <c r="U615" s="67"/>
    </row>
    <row r="616" spans="1:21" s="75" customFormat="1" hidden="1">
      <c r="A616" s="67"/>
      <c r="B616" s="916"/>
      <c r="C616" s="132"/>
      <c r="D616" s="132"/>
      <c r="E616" s="132"/>
      <c r="N616" s="916"/>
      <c r="P616" s="917"/>
      <c r="R616" s="67"/>
      <c r="S616" s="67"/>
      <c r="T616" s="67"/>
      <c r="U616" s="67"/>
    </row>
    <row r="617" spans="1:21" s="75" customFormat="1" hidden="1">
      <c r="A617" s="67"/>
      <c r="B617" s="916"/>
      <c r="C617" s="132"/>
      <c r="D617" s="132"/>
      <c r="E617" s="132"/>
      <c r="N617" s="916"/>
      <c r="P617" s="917"/>
      <c r="R617" s="67"/>
      <c r="S617" s="67"/>
      <c r="T617" s="67"/>
      <c r="U617" s="67"/>
    </row>
    <row r="618" spans="1:21" s="75" customFormat="1" hidden="1">
      <c r="A618" s="67"/>
      <c r="B618" s="916"/>
      <c r="C618" s="132"/>
      <c r="D618" s="132"/>
      <c r="E618" s="132"/>
      <c r="N618" s="916"/>
      <c r="P618" s="917"/>
      <c r="R618" s="67"/>
      <c r="S618" s="67"/>
      <c r="T618" s="67"/>
      <c r="U618" s="67"/>
    </row>
    <row r="619" spans="1:21" s="75" customFormat="1" hidden="1">
      <c r="A619" s="67"/>
      <c r="B619" s="916"/>
      <c r="C619" s="132"/>
      <c r="D619" s="132"/>
      <c r="E619" s="132"/>
      <c r="N619" s="916"/>
      <c r="P619" s="917"/>
      <c r="R619" s="67"/>
      <c r="S619" s="67"/>
      <c r="T619" s="67"/>
      <c r="U619" s="67"/>
    </row>
    <row r="620" spans="1:21" s="75" customFormat="1" hidden="1">
      <c r="A620" s="67"/>
      <c r="B620" s="916"/>
      <c r="C620" s="132"/>
      <c r="D620" s="132"/>
      <c r="E620" s="132"/>
      <c r="N620" s="916"/>
      <c r="P620" s="917"/>
      <c r="R620" s="67"/>
      <c r="S620" s="67"/>
      <c r="T620" s="67"/>
      <c r="U620" s="67"/>
    </row>
    <row r="621" spans="1:21" s="75" customFormat="1" hidden="1">
      <c r="A621" s="67"/>
      <c r="B621" s="916"/>
      <c r="C621" s="132"/>
      <c r="D621" s="132"/>
      <c r="E621" s="132"/>
      <c r="N621" s="916"/>
      <c r="P621" s="917"/>
      <c r="R621" s="67"/>
      <c r="S621" s="67"/>
      <c r="T621" s="67"/>
      <c r="U621" s="67"/>
    </row>
    <row r="622" spans="1:21" s="75" customFormat="1" hidden="1">
      <c r="A622" s="67"/>
      <c r="B622" s="916"/>
      <c r="C622" s="132"/>
      <c r="D622" s="132"/>
      <c r="E622" s="132"/>
      <c r="N622" s="916"/>
      <c r="P622" s="917"/>
      <c r="R622" s="67"/>
      <c r="S622" s="67"/>
      <c r="T622" s="67"/>
      <c r="U622" s="67"/>
    </row>
    <row r="623" spans="1:21" s="75" customFormat="1" hidden="1">
      <c r="A623" s="67"/>
      <c r="B623" s="916"/>
      <c r="C623" s="132"/>
      <c r="D623" s="132"/>
      <c r="E623" s="132"/>
      <c r="N623" s="916"/>
      <c r="P623" s="917"/>
      <c r="R623" s="67"/>
      <c r="S623" s="67"/>
      <c r="T623" s="67"/>
      <c r="U623" s="67"/>
    </row>
    <row r="624" spans="1:21" s="75" customFormat="1" hidden="1">
      <c r="A624" s="67"/>
      <c r="B624" s="916"/>
      <c r="C624" s="132"/>
      <c r="D624" s="132"/>
      <c r="E624" s="132"/>
      <c r="N624" s="916"/>
      <c r="P624" s="917"/>
      <c r="R624" s="67"/>
      <c r="S624" s="67"/>
      <c r="T624" s="67"/>
      <c r="U624" s="67"/>
    </row>
    <row r="625" spans="1:21" s="75" customFormat="1" hidden="1">
      <c r="A625" s="67"/>
      <c r="B625" s="916"/>
      <c r="C625" s="132"/>
      <c r="D625" s="132"/>
      <c r="E625" s="132"/>
      <c r="N625" s="916"/>
      <c r="P625" s="917"/>
      <c r="R625" s="67"/>
      <c r="S625" s="67"/>
      <c r="T625" s="67"/>
      <c r="U625" s="67"/>
    </row>
    <row r="626" spans="1:21" s="75" customFormat="1" hidden="1">
      <c r="A626" s="67"/>
      <c r="B626" s="916"/>
      <c r="C626" s="132"/>
      <c r="D626" s="132"/>
      <c r="E626" s="132"/>
      <c r="N626" s="916"/>
      <c r="P626" s="917"/>
      <c r="R626" s="67"/>
      <c r="S626" s="67"/>
      <c r="T626" s="67"/>
      <c r="U626" s="67"/>
    </row>
    <row r="627" spans="1:21" s="75" customFormat="1" hidden="1">
      <c r="A627" s="67"/>
      <c r="B627" s="916"/>
      <c r="C627" s="132"/>
      <c r="D627" s="132"/>
      <c r="E627" s="132"/>
      <c r="N627" s="916"/>
      <c r="P627" s="917"/>
      <c r="R627" s="67"/>
      <c r="S627" s="67"/>
      <c r="T627" s="67"/>
      <c r="U627" s="67"/>
    </row>
    <row r="628" spans="1:21" s="75" customFormat="1" hidden="1">
      <c r="A628" s="67"/>
      <c r="B628" s="916"/>
      <c r="C628" s="132"/>
      <c r="D628" s="132"/>
      <c r="E628" s="132"/>
      <c r="N628" s="916"/>
      <c r="P628" s="917"/>
      <c r="R628" s="67"/>
      <c r="S628" s="67"/>
      <c r="T628" s="67"/>
      <c r="U628" s="67"/>
    </row>
    <row r="629" spans="1:21" s="75" customFormat="1" hidden="1">
      <c r="A629" s="67"/>
      <c r="B629" s="916"/>
      <c r="C629" s="132"/>
      <c r="D629" s="132"/>
      <c r="E629" s="132"/>
      <c r="N629" s="916"/>
      <c r="P629" s="917"/>
      <c r="R629" s="67"/>
      <c r="S629" s="67"/>
      <c r="T629" s="67"/>
      <c r="U629" s="67"/>
    </row>
    <row r="630" spans="1:21" s="75" customFormat="1" hidden="1">
      <c r="A630" s="67"/>
      <c r="B630" s="916"/>
      <c r="C630" s="132"/>
      <c r="D630" s="132"/>
      <c r="E630" s="132"/>
      <c r="N630" s="916"/>
      <c r="P630" s="917"/>
      <c r="R630" s="67"/>
      <c r="S630" s="67"/>
      <c r="T630" s="67"/>
      <c r="U630" s="67"/>
    </row>
    <row r="631" spans="1:21" s="75" customFormat="1" hidden="1">
      <c r="A631" s="67"/>
      <c r="B631" s="916"/>
      <c r="C631" s="132"/>
      <c r="D631" s="132"/>
      <c r="E631" s="132"/>
      <c r="N631" s="916"/>
      <c r="P631" s="917"/>
      <c r="R631" s="67"/>
      <c r="S631" s="67"/>
      <c r="T631" s="67"/>
      <c r="U631" s="67"/>
    </row>
    <row r="632" spans="1:21" s="75" customFormat="1" hidden="1">
      <c r="A632" s="67"/>
      <c r="B632" s="916"/>
      <c r="C632" s="132"/>
      <c r="D632" s="132"/>
      <c r="E632" s="132"/>
      <c r="N632" s="916"/>
      <c r="P632" s="917"/>
      <c r="R632" s="67"/>
      <c r="S632" s="67"/>
      <c r="T632" s="67"/>
      <c r="U632" s="67"/>
    </row>
    <row r="633" spans="1:21" s="75" customFormat="1" hidden="1">
      <c r="A633" s="67"/>
      <c r="B633" s="916"/>
      <c r="C633" s="132"/>
      <c r="D633" s="132"/>
      <c r="E633" s="132"/>
      <c r="N633" s="916"/>
      <c r="P633" s="917"/>
      <c r="R633" s="67"/>
      <c r="S633" s="67"/>
      <c r="T633" s="67"/>
      <c r="U633" s="67"/>
    </row>
    <row r="634" spans="1:21" s="75" customFormat="1" hidden="1">
      <c r="A634" s="67"/>
      <c r="B634" s="916"/>
      <c r="C634" s="132"/>
      <c r="D634" s="132"/>
      <c r="E634" s="132"/>
      <c r="N634" s="916"/>
      <c r="P634" s="917"/>
      <c r="R634" s="67"/>
      <c r="S634" s="67"/>
      <c r="T634" s="67"/>
      <c r="U634" s="67"/>
    </row>
    <row r="635" spans="1:21" s="75" customFormat="1" hidden="1">
      <c r="A635" s="67"/>
      <c r="B635" s="916"/>
      <c r="C635" s="132"/>
      <c r="D635" s="132"/>
      <c r="E635" s="132"/>
      <c r="N635" s="916"/>
      <c r="P635" s="917"/>
      <c r="R635" s="67"/>
      <c r="S635" s="67"/>
      <c r="T635" s="67"/>
      <c r="U635" s="67"/>
    </row>
    <row r="636" spans="1:21" s="75" customFormat="1" hidden="1">
      <c r="A636" s="67"/>
      <c r="B636" s="916"/>
      <c r="C636" s="132"/>
      <c r="D636" s="132"/>
      <c r="E636" s="132"/>
      <c r="N636" s="916"/>
      <c r="P636" s="917"/>
      <c r="R636" s="67"/>
      <c r="S636" s="67"/>
      <c r="T636" s="67"/>
      <c r="U636" s="67"/>
    </row>
    <row r="637" spans="1:21" s="75" customFormat="1" hidden="1">
      <c r="A637" s="67"/>
      <c r="B637" s="916"/>
      <c r="C637" s="132"/>
      <c r="D637" s="132"/>
      <c r="E637" s="132"/>
      <c r="N637" s="916"/>
      <c r="P637" s="917"/>
      <c r="R637" s="67"/>
      <c r="S637" s="67"/>
      <c r="T637" s="67"/>
      <c r="U637" s="67"/>
    </row>
    <row r="638" spans="1:21" s="75" customFormat="1" hidden="1">
      <c r="A638" s="67"/>
      <c r="B638" s="916"/>
      <c r="C638" s="132"/>
      <c r="D638" s="132"/>
      <c r="E638" s="132"/>
      <c r="N638" s="916"/>
      <c r="P638" s="917"/>
      <c r="R638" s="67"/>
      <c r="S638" s="67"/>
      <c r="T638" s="67"/>
      <c r="U638" s="67"/>
    </row>
    <row r="639" spans="1:21" s="75" customFormat="1" hidden="1">
      <c r="A639" s="67"/>
      <c r="B639" s="916"/>
      <c r="C639" s="132"/>
      <c r="D639" s="132"/>
      <c r="E639" s="132"/>
      <c r="N639" s="916"/>
      <c r="P639" s="917"/>
      <c r="R639" s="67"/>
      <c r="S639" s="67"/>
      <c r="T639" s="67"/>
      <c r="U639" s="67"/>
    </row>
    <row r="640" spans="1:21" s="75" customFormat="1" hidden="1">
      <c r="A640" s="67"/>
      <c r="B640" s="916"/>
      <c r="C640" s="132"/>
      <c r="D640" s="132"/>
      <c r="E640" s="132"/>
      <c r="N640" s="916"/>
      <c r="P640" s="917"/>
      <c r="R640" s="67"/>
      <c r="S640" s="67"/>
      <c r="T640" s="67"/>
      <c r="U640" s="67"/>
    </row>
    <row r="641" spans="1:21" s="75" customFormat="1" hidden="1">
      <c r="A641" s="67"/>
      <c r="B641" s="916"/>
      <c r="C641" s="132"/>
      <c r="D641" s="132"/>
      <c r="E641" s="132"/>
      <c r="N641" s="916"/>
      <c r="P641" s="917"/>
      <c r="R641" s="67"/>
      <c r="S641" s="67"/>
      <c r="T641" s="67"/>
      <c r="U641" s="67"/>
    </row>
    <row r="642" spans="1:21" s="75" customFormat="1" hidden="1">
      <c r="A642" s="67"/>
      <c r="B642" s="916"/>
      <c r="C642" s="132"/>
      <c r="D642" s="132"/>
      <c r="E642" s="132"/>
      <c r="N642" s="916"/>
      <c r="P642" s="917"/>
      <c r="R642" s="67"/>
      <c r="S642" s="67"/>
      <c r="T642" s="67"/>
      <c r="U642" s="67"/>
    </row>
    <row r="643" spans="1:21" s="75" customFormat="1" hidden="1">
      <c r="A643" s="67"/>
      <c r="B643" s="916"/>
      <c r="C643" s="132"/>
      <c r="D643" s="132"/>
      <c r="E643" s="132"/>
      <c r="N643" s="916"/>
      <c r="P643" s="917"/>
      <c r="R643" s="67"/>
      <c r="S643" s="67"/>
      <c r="T643" s="67"/>
      <c r="U643" s="67"/>
    </row>
    <row r="644" spans="1:21" s="75" customFormat="1" hidden="1">
      <c r="A644" s="67"/>
      <c r="B644" s="916"/>
      <c r="C644" s="132"/>
      <c r="D644" s="132"/>
      <c r="E644" s="132"/>
      <c r="N644" s="916"/>
      <c r="P644" s="917"/>
      <c r="R644" s="67"/>
      <c r="S644" s="67"/>
      <c r="T644" s="67"/>
      <c r="U644" s="67"/>
    </row>
    <row r="645" spans="1:21" s="75" customFormat="1" hidden="1">
      <c r="A645" s="67"/>
      <c r="B645" s="916"/>
      <c r="C645" s="132"/>
      <c r="D645" s="132"/>
      <c r="E645" s="132"/>
      <c r="N645" s="916"/>
      <c r="P645" s="917"/>
      <c r="R645" s="67"/>
      <c r="S645" s="67"/>
      <c r="T645" s="67"/>
      <c r="U645" s="67"/>
    </row>
    <row r="646" spans="1:21" s="75" customFormat="1" hidden="1">
      <c r="A646" s="67"/>
      <c r="B646" s="916"/>
      <c r="C646" s="132"/>
      <c r="D646" s="132"/>
      <c r="E646" s="132"/>
      <c r="N646" s="916"/>
      <c r="P646" s="917"/>
      <c r="R646" s="67"/>
      <c r="S646" s="67"/>
      <c r="T646" s="67"/>
      <c r="U646" s="67"/>
    </row>
    <row r="647" spans="1:21" s="75" customFormat="1" hidden="1">
      <c r="A647" s="67"/>
      <c r="B647" s="916"/>
      <c r="C647" s="132"/>
      <c r="D647" s="132"/>
      <c r="E647" s="132"/>
      <c r="N647" s="916"/>
      <c r="P647" s="917"/>
      <c r="R647" s="67"/>
      <c r="S647" s="67"/>
      <c r="T647" s="67"/>
      <c r="U647" s="67"/>
    </row>
    <row r="648" spans="1:21" s="75" customFormat="1" hidden="1">
      <c r="A648" s="67"/>
      <c r="B648" s="916"/>
      <c r="C648" s="132"/>
      <c r="D648" s="132"/>
      <c r="E648" s="132"/>
      <c r="N648" s="916"/>
      <c r="P648" s="917"/>
      <c r="R648" s="67"/>
      <c r="S648" s="67"/>
      <c r="T648" s="67"/>
      <c r="U648" s="67"/>
    </row>
    <row r="649" spans="1:21" s="75" customFormat="1" hidden="1">
      <c r="A649" s="67"/>
      <c r="B649" s="916"/>
      <c r="C649" s="132"/>
      <c r="D649" s="132"/>
      <c r="E649" s="132"/>
      <c r="N649" s="916"/>
      <c r="P649" s="917"/>
      <c r="R649" s="67"/>
      <c r="S649" s="67"/>
      <c r="T649" s="67"/>
      <c r="U649" s="67"/>
    </row>
    <row r="650" spans="1:21" s="75" customFormat="1" hidden="1">
      <c r="A650" s="67"/>
      <c r="B650" s="916"/>
      <c r="C650" s="132"/>
      <c r="D650" s="132"/>
      <c r="E650" s="132"/>
      <c r="N650" s="916"/>
      <c r="P650" s="917"/>
      <c r="R650" s="67"/>
      <c r="S650" s="67"/>
      <c r="T650" s="67"/>
      <c r="U650" s="67"/>
    </row>
    <row r="651" spans="1:21" s="75" customFormat="1" hidden="1">
      <c r="A651" s="67"/>
      <c r="B651" s="916"/>
      <c r="C651" s="132"/>
      <c r="D651" s="132"/>
      <c r="E651" s="132"/>
      <c r="N651" s="916"/>
      <c r="P651" s="917"/>
      <c r="R651" s="67"/>
      <c r="S651" s="67"/>
      <c r="T651" s="67"/>
      <c r="U651" s="67"/>
    </row>
    <row r="652" spans="1:21" s="75" customFormat="1" hidden="1">
      <c r="A652" s="67"/>
      <c r="B652" s="916"/>
      <c r="C652" s="132"/>
      <c r="D652" s="132"/>
      <c r="E652" s="132"/>
      <c r="N652" s="916"/>
      <c r="P652" s="917"/>
      <c r="R652" s="67"/>
      <c r="S652" s="67"/>
      <c r="T652" s="67"/>
      <c r="U652" s="67"/>
    </row>
    <row r="653" spans="1:21" s="75" customFormat="1" hidden="1">
      <c r="A653" s="67"/>
      <c r="B653" s="916"/>
      <c r="C653" s="132"/>
      <c r="D653" s="132"/>
      <c r="E653" s="132"/>
      <c r="N653" s="916"/>
      <c r="P653" s="917"/>
      <c r="R653" s="67"/>
      <c r="S653" s="67"/>
      <c r="T653" s="67"/>
      <c r="U653" s="67"/>
    </row>
    <row r="654" spans="1:21" s="75" customFormat="1" hidden="1">
      <c r="A654" s="67"/>
      <c r="B654" s="916"/>
      <c r="C654" s="132"/>
      <c r="D654" s="132"/>
      <c r="E654" s="132"/>
      <c r="N654" s="916"/>
      <c r="P654" s="917"/>
      <c r="R654" s="67"/>
      <c r="S654" s="67"/>
      <c r="T654" s="67"/>
      <c r="U654" s="67"/>
    </row>
    <row r="655" spans="1:21" s="75" customFormat="1" hidden="1">
      <c r="A655" s="67"/>
      <c r="B655" s="916"/>
      <c r="C655" s="132"/>
      <c r="D655" s="132"/>
      <c r="E655" s="132"/>
      <c r="N655" s="916"/>
      <c r="P655" s="917"/>
      <c r="R655" s="67"/>
      <c r="S655" s="67"/>
      <c r="T655" s="67"/>
      <c r="U655" s="67"/>
    </row>
    <row r="656" spans="1:21" s="75" customFormat="1" hidden="1">
      <c r="A656" s="67"/>
      <c r="B656" s="916"/>
      <c r="C656" s="132"/>
      <c r="D656" s="132"/>
      <c r="E656" s="132"/>
      <c r="N656" s="916"/>
      <c r="P656" s="917"/>
      <c r="R656" s="67"/>
      <c r="S656" s="67"/>
      <c r="T656" s="67"/>
      <c r="U656" s="67"/>
    </row>
    <row r="657" spans="1:21" s="75" customFormat="1" hidden="1">
      <c r="A657" s="67"/>
      <c r="B657" s="916"/>
      <c r="C657" s="132"/>
      <c r="D657" s="132"/>
      <c r="E657" s="132"/>
      <c r="N657" s="916"/>
      <c r="P657" s="917"/>
      <c r="R657" s="67"/>
      <c r="S657" s="67"/>
      <c r="T657" s="67"/>
      <c r="U657" s="67"/>
    </row>
    <row r="658" spans="1:21" s="75" customFormat="1" hidden="1">
      <c r="A658" s="67"/>
      <c r="B658" s="916"/>
      <c r="C658" s="132"/>
      <c r="D658" s="132"/>
      <c r="E658" s="132"/>
      <c r="N658" s="916"/>
      <c r="P658" s="917"/>
      <c r="R658" s="67"/>
      <c r="S658" s="67"/>
      <c r="T658" s="67"/>
      <c r="U658" s="67"/>
    </row>
    <row r="659" spans="1:21" s="75" customFormat="1" hidden="1">
      <c r="A659" s="67"/>
      <c r="B659" s="916"/>
      <c r="C659" s="132"/>
      <c r="D659" s="132"/>
      <c r="E659" s="132"/>
      <c r="N659" s="916"/>
      <c r="P659" s="917"/>
      <c r="R659" s="67"/>
      <c r="S659" s="67"/>
      <c r="T659" s="67"/>
      <c r="U659" s="67"/>
    </row>
    <row r="660" spans="1:21" s="75" customFormat="1" hidden="1">
      <c r="A660" s="67"/>
      <c r="B660" s="916"/>
      <c r="C660" s="132"/>
      <c r="D660" s="132"/>
      <c r="E660" s="132"/>
      <c r="N660" s="916"/>
      <c r="P660" s="917"/>
      <c r="R660" s="67"/>
      <c r="S660" s="67"/>
      <c r="T660" s="67"/>
      <c r="U660" s="67"/>
    </row>
    <row r="661" spans="1:21" s="75" customFormat="1" hidden="1">
      <c r="A661" s="67"/>
      <c r="B661" s="916"/>
      <c r="C661" s="132"/>
      <c r="D661" s="132"/>
      <c r="E661" s="132"/>
      <c r="N661" s="916"/>
      <c r="P661" s="917"/>
      <c r="R661" s="67"/>
      <c r="S661" s="67"/>
      <c r="T661" s="67"/>
      <c r="U661" s="67"/>
    </row>
    <row r="662" spans="1:21" s="75" customFormat="1" hidden="1">
      <c r="A662" s="67"/>
      <c r="B662" s="916"/>
      <c r="C662" s="132"/>
      <c r="D662" s="132"/>
      <c r="E662" s="132"/>
      <c r="N662" s="916"/>
      <c r="P662" s="917"/>
      <c r="R662" s="67"/>
      <c r="S662" s="67"/>
      <c r="T662" s="67"/>
      <c r="U662" s="67"/>
    </row>
    <row r="663" spans="1:21" s="75" customFormat="1" hidden="1">
      <c r="A663" s="67"/>
      <c r="B663" s="916"/>
      <c r="C663" s="132"/>
      <c r="D663" s="132"/>
      <c r="E663" s="132"/>
      <c r="N663" s="916"/>
      <c r="P663" s="917"/>
      <c r="R663" s="67"/>
      <c r="S663" s="67"/>
      <c r="T663" s="67"/>
      <c r="U663" s="67"/>
    </row>
    <row r="664" spans="1:21" s="75" customFormat="1" hidden="1">
      <c r="A664" s="67"/>
      <c r="B664" s="916"/>
      <c r="C664" s="132"/>
      <c r="D664" s="132"/>
      <c r="E664" s="132"/>
      <c r="N664" s="916"/>
      <c r="P664" s="917"/>
      <c r="R664" s="67"/>
      <c r="S664" s="67"/>
      <c r="T664" s="67"/>
      <c r="U664" s="67"/>
    </row>
    <row r="665" spans="1:21" s="75" customFormat="1" hidden="1">
      <c r="A665" s="67"/>
      <c r="B665" s="916"/>
      <c r="C665" s="132"/>
      <c r="D665" s="132"/>
      <c r="E665" s="132"/>
      <c r="N665" s="916"/>
      <c r="P665" s="917"/>
      <c r="R665" s="67"/>
      <c r="S665" s="67"/>
      <c r="T665" s="67"/>
      <c r="U665" s="67"/>
    </row>
    <row r="666" spans="1:21" s="75" customFormat="1" hidden="1">
      <c r="A666" s="67"/>
      <c r="B666" s="916"/>
      <c r="C666" s="132"/>
      <c r="D666" s="132"/>
      <c r="E666" s="132"/>
      <c r="N666" s="916"/>
      <c r="P666" s="917"/>
      <c r="R666" s="67"/>
      <c r="S666" s="67"/>
      <c r="T666" s="67"/>
      <c r="U666" s="67"/>
    </row>
    <row r="667" spans="1:21" s="75" customFormat="1" hidden="1">
      <c r="A667" s="67"/>
      <c r="B667" s="916"/>
      <c r="C667" s="132"/>
      <c r="D667" s="132"/>
      <c r="E667" s="132"/>
      <c r="N667" s="916"/>
      <c r="P667" s="917"/>
      <c r="R667" s="67"/>
      <c r="S667" s="67"/>
      <c r="T667" s="67"/>
      <c r="U667" s="67"/>
    </row>
    <row r="668" spans="1:21" s="75" customFormat="1" hidden="1">
      <c r="A668" s="67"/>
      <c r="B668" s="916"/>
      <c r="C668" s="132"/>
      <c r="D668" s="132"/>
      <c r="E668" s="132"/>
      <c r="N668" s="916"/>
      <c r="P668" s="917"/>
      <c r="R668" s="67"/>
      <c r="S668" s="67"/>
      <c r="T668" s="67"/>
      <c r="U668" s="67"/>
    </row>
    <row r="669" spans="1:21" s="75" customFormat="1" hidden="1">
      <c r="A669" s="67"/>
      <c r="B669" s="916"/>
      <c r="C669" s="132"/>
      <c r="D669" s="132"/>
      <c r="E669" s="132"/>
      <c r="N669" s="916"/>
      <c r="P669" s="917"/>
      <c r="R669" s="67"/>
      <c r="S669" s="67"/>
      <c r="T669" s="67"/>
      <c r="U669" s="67"/>
    </row>
    <row r="670" spans="1:21" s="75" customFormat="1" hidden="1">
      <c r="A670" s="67"/>
      <c r="B670" s="916"/>
      <c r="C670" s="132"/>
      <c r="D670" s="132"/>
      <c r="E670" s="132"/>
      <c r="N670" s="916"/>
      <c r="P670" s="917"/>
      <c r="R670" s="67"/>
      <c r="S670" s="67"/>
      <c r="T670" s="67"/>
      <c r="U670" s="67"/>
    </row>
    <row r="671" spans="1:21" s="75" customFormat="1" hidden="1">
      <c r="A671" s="67"/>
      <c r="B671" s="916"/>
      <c r="C671" s="132"/>
      <c r="D671" s="132"/>
      <c r="E671" s="132"/>
      <c r="N671" s="916"/>
      <c r="P671" s="917"/>
      <c r="R671" s="67"/>
      <c r="S671" s="67"/>
      <c r="T671" s="67"/>
      <c r="U671" s="67"/>
    </row>
    <row r="672" spans="1:21" s="75" customFormat="1" hidden="1">
      <c r="A672" s="67"/>
      <c r="B672" s="916"/>
      <c r="C672" s="132"/>
      <c r="D672" s="132"/>
      <c r="E672" s="132"/>
      <c r="N672" s="916"/>
      <c r="P672" s="917"/>
      <c r="R672" s="67"/>
      <c r="S672" s="67"/>
      <c r="T672" s="67"/>
      <c r="U672" s="67"/>
    </row>
    <row r="673" spans="1:21" s="75" customFormat="1" hidden="1">
      <c r="A673" s="67"/>
      <c r="B673" s="916"/>
      <c r="C673" s="132"/>
      <c r="D673" s="132"/>
      <c r="E673" s="132"/>
      <c r="N673" s="916"/>
      <c r="P673" s="917"/>
      <c r="R673" s="67"/>
      <c r="S673" s="67"/>
      <c r="T673" s="67"/>
      <c r="U673" s="67"/>
    </row>
    <row r="674" spans="1:21" s="75" customFormat="1" hidden="1">
      <c r="A674" s="67"/>
      <c r="B674" s="916"/>
      <c r="C674" s="132"/>
      <c r="D674" s="132"/>
      <c r="E674" s="132"/>
      <c r="N674" s="916"/>
      <c r="P674" s="917"/>
      <c r="R674" s="67"/>
      <c r="S674" s="67"/>
      <c r="T674" s="67"/>
      <c r="U674" s="67"/>
    </row>
    <row r="675" spans="1:21" s="75" customFormat="1" hidden="1">
      <c r="A675" s="67"/>
      <c r="B675" s="916"/>
      <c r="C675" s="132"/>
      <c r="D675" s="132"/>
      <c r="E675" s="132"/>
      <c r="N675" s="916"/>
      <c r="P675" s="917"/>
      <c r="R675" s="67"/>
      <c r="S675" s="67"/>
      <c r="T675" s="67"/>
      <c r="U675" s="67"/>
    </row>
    <row r="676" spans="1:21" s="75" customFormat="1" hidden="1">
      <c r="A676" s="67"/>
      <c r="B676" s="916"/>
      <c r="C676" s="132"/>
      <c r="D676" s="132"/>
      <c r="E676" s="132"/>
      <c r="N676" s="916"/>
      <c r="P676" s="917"/>
      <c r="R676" s="67"/>
      <c r="S676" s="67"/>
      <c r="T676" s="67"/>
      <c r="U676" s="67"/>
    </row>
    <row r="677" spans="1:21" s="75" customFormat="1" hidden="1">
      <c r="A677" s="67"/>
      <c r="B677" s="916"/>
      <c r="C677" s="132"/>
      <c r="D677" s="132"/>
      <c r="E677" s="132"/>
      <c r="N677" s="916"/>
      <c r="P677" s="917"/>
      <c r="R677" s="67"/>
      <c r="S677" s="67"/>
      <c r="T677" s="67"/>
      <c r="U677" s="67"/>
    </row>
    <row r="678" spans="1:21" s="75" customFormat="1" hidden="1">
      <c r="A678" s="67"/>
      <c r="B678" s="916"/>
      <c r="C678" s="132"/>
      <c r="D678" s="132"/>
      <c r="E678" s="132"/>
      <c r="N678" s="916"/>
      <c r="P678" s="917"/>
      <c r="R678" s="67"/>
      <c r="S678" s="67"/>
      <c r="T678" s="67"/>
      <c r="U678" s="67"/>
    </row>
    <row r="679" spans="1:21" s="75" customFormat="1" hidden="1">
      <c r="A679" s="67"/>
      <c r="B679" s="916"/>
      <c r="C679" s="132"/>
      <c r="D679" s="132"/>
      <c r="E679" s="132"/>
      <c r="N679" s="916"/>
      <c r="P679" s="917"/>
      <c r="R679" s="67"/>
      <c r="S679" s="67"/>
      <c r="T679" s="67"/>
      <c r="U679" s="67"/>
    </row>
    <row r="680" spans="1:21" s="75" customFormat="1" hidden="1">
      <c r="A680" s="67"/>
      <c r="B680" s="916"/>
      <c r="C680" s="132"/>
      <c r="D680" s="132"/>
      <c r="E680" s="132"/>
      <c r="N680" s="916"/>
      <c r="P680" s="917"/>
      <c r="R680" s="67"/>
      <c r="S680" s="67"/>
      <c r="T680" s="67"/>
      <c r="U680" s="67"/>
    </row>
    <row r="681" spans="1:21" s="75" customFormat="1" hidden="1">
      <c r="A681" s="67"/>
      <c r="B681" s="916"/>
      <c r="C681" s="132"/>
      <c r="D681" s="132"/>
      <c r="E681" s="132"/>
      <c r="N681" s="916"/>
      <c r="P681" s="917"/>
      <c r="R681" s="67"/>
      <c r="S681" s="67"/>
      <c r="T681" s="67"/>
      <c r="U681" s="67"/>
    </row>
    <row r="682" spans="1:21" s="75" customFormat="1" hidden="1">
      <c r="A682" s="67"/>
      <c r="B682" s="916"/>
      <c r="C682" s="132"/>
      <c r="D682" s="132"/>
      <c r="E682" s="132"/>
      <c r="N682" s="916"/>
      <c r="P682" s="917"/>
      <c r="R682" s="67"/>
      <c r="S682" s="67"/>
      <c r="T682" s="67"/>
      <c r="U682" s="67"/>
    </row>
    <row r="683" spans="1:21" s="75" customFormat="1" hidden="1">
      <c r="A683" s="67"/>
      <c r="B683" s="916"/>
      <c r="C683" s="132"/>
      <c r="D683" s="132"/>
      <c r="E683" s="132"/>
      <c r="N683" s="916"/>
      <c r="P683" s="917"/>
      <c r="R683" s="67"/>
      <c r="S683" s="67"/>
      <c r="T683" s="67"/>
      <c r="U683" s="67"/>
    </row>
    <row r="684" spans="1:21" s="75" customFormat="1" hidden="1">
      <c r="A684" s="67"/>
      <c r="B684" s="916"/>
      <c r="C684" s="132"/>
      <c r="D684" s="132"/>
      <c r="E684" s="132"/>
      <c r="N684" s="916"/>
      <c r="P684" s="917"/>
      <c r="R684" s="67"/>
      <c r="S684" s="67"/>
      <c r="T684" s="67"/>
      <c r="U684" s="67"/>
    </row>
    <row r="685" spans="1:21" s="75" customFormat="1" hidden="1">
      <c r="A685" s="67"/>
      <c r="B685" s="916"/>
      <c r="C685" s="132"/>
      <c r="D685" s="132"/>
      <c r="E685" s="132"/>
      <c r="N685" s="916"/>
      <c r="P685" s="917"/>
      <c r="R685" s="67"/>
      <c r="S685" s="67"/>
      <c r="T685" s="67"/>
      <c r="U685" s="67"/>
    </row>
    <row r="686" spans="1:21" s="75" customFormat="1" hidden="1">
      <c r="A686" s="67"/>
      <c r="B686" s="916"/>
      <c r="C686" s="132"/>
      <c r="D686" s="132"/>
      <c r="E686" s="132"/>
      <c r="N686" s="916"/>
      <c r="P686" s="917"/>
      <c r="R686" s="67"/>
      <c r="S686" s="67"/>
      <c r="T686" s="67"/>
      <c r="U686" s="67"/>
    </row>
    <row r="687" spans="1:21" s="75" customFormat="1" hidden="1">
      <c r="A687" s="67"/>
      <c r="B687" s="916"/>
      <c r="C687" s="132"/>
      <c r="D687" s="132"/>
      <c r="E687" s="132"/>
      <c r="N687" s="916"/>
      <c r="P687" s="917"/>
      <c r="R687" s="67"/>
      <c r="S687" s="67"/>
      <c r="T687" s="67"/>
      <c r="U687" s="67"/>
    </row>
    <row r="688" spans="1:21" s="75" customFormat="1" hidden="1">
      <c r="A688" s="67"/>
      <c r="B688" s="916"/>
      <c r="C688" s="132"/>
      <c r="D688" s="132"/>
      <c r="E688" s="132"/>
      <c r="N688" s="916"/>
      <c r="P688" s="917"/>
      <c r="R688" s="67"/>
      <c r="S688" s="67"/>
      <c r="T688" s="67"/>
      <c r="U688" s="67"/>
    </row>
    <row r="689" spans="1:21" s="75" customFormat="1" hidden="1">
      <c r="A689" s="67"/>
      <c r="B689" s="916"/>
      <c r="C689" s="132"/>
      <c r="D689" s="132"/>
      <c r="E689" s="132"/>
      <c r="N689" s="916"/>
      <c r="P689" s="917"/>
      <c r="R689" s="67"/>
      <c r="S689" s="67"/>
      <c r="T689" s="67"/>
      <c r="U689" s="67"/>
    </row>
    <row r="690" spans="1:21" s="75" customFormat="1" hidden="1">
      <c r="A690" s="67"/>
      <c r="B690" s="916"/>
      <c r="C690" s="132"/>
      <c r="D690" s="132"/>
      <c r="E690" s="132"/>
      <c r="N690" s="916"/>
      <c r="P690" s="917"/>
      <c r="R690" s="67"/>
      <c r="S690" s="67"/>
      <c r="T690" s="67"/>
      <c r="U690" s="67"/>
    </row>
    <row r="691" spans="1:21" s="75" customFormat="1" hidden="1">
      <c r="A691" s="67"/>
      <c r="B691" s="916"/>
      <c r="C691" s="132"/>
      <c r="D691" s="132"/>
      <c r="E691" s="132"/>
      <c r="N691" s="916"/>
      <c r="P691" s="917"/>
      <c r="R691" s="67"/>
      <c r="S691" s="67"/>
      <c r="T691" s="67"/>
      <c r="U691" s="67"/>
    </row>
    <row r="692" spans="1:21" s="75" customFormat="1" hidden="1">
      <c r="A692" s="67"/>
      <c r="B692" s="916"/>
      <c r="C692" s="132"/>
      <c r="D692" s="132"/>
      <c r="E692" s="132"/>
      <c r="N692" s="916"/>
      <c r="P692" s="917"/>
      <c r="R692" s="67"/>
      <c r="S692" s="67"/>
      <c r="T692" s="67"/>
      <c r="U692" s="67"/>
    </row>
    <row r="693" spans="1:21" s="75" customFormat="1" hidden="1">
      <c r="A693" s="67"/>
      <c r="B693" s="916"/>
      <c r="C693" s="132"/>
      <c r="D693" s="132"/>
      <c r="E693" s="132"/>
      <c r="N693" s="916"/>
      <c r="P693" s="917"/>
      <c r="R693" s="67"/>
      <c r="S693" s="67"/>
      <c r="T693" s="67"/>
      <c r="U693" s="67"/>
    </row>
    <row r="694" spans="1:21" s="75" customFormat="1" hidden="1">
      <c r="A694" s="67"/>
      <c r="B694" s="916"/>
      <c r="C694" s="132"/>
      <c r="D694" s="132"/>
      <c r="E694" s="132"/>
      <c r="N694" s="916"/>
      <c r="P694" s="917"/>
      <c r="R694" s="67"/>
      <c r="S694" s="67"/>
      <c r="T694" s="67"/>
      <c r="U694" s="67"/>
    </row>
    <row r="695" spans="1:21" s="75" customFormat="1" hidden="1">
      <c r="A695" s="67"/>
      <c r="B695" s="916"/>
      <c r="C695" s="132"/>
      <c r="D695" s="132"/>
      <c r="E695" s="132"/>
      <c r="N695" s="916"/>
      <c r="P695" s="917"/>
      <c r="R695" s="67"/>
      <c r="S695" s="67"/>
      <c r="T695" s="67"/>
      <c r="U695" s="67"/>
    </row>
    <row r="696" spans="1:21" s="75" customFormat="1" hidden="1">
      <c r="A696" s="67"/>
      <c r="B696" s="916"/>
      <c r="C696" s="132"/>
      <c r="D696" s="132"/>
      <c r="E696" s="132"/>
      <c r="N696" s="916"/>
      <c r="P696" s="917"/>
      <c r="R696" s="67"/>
      <c r="S696" s="67"/>
      <c r="T696" s="67"/>
      <c r="U696" s="67"/>
    </row>
    <row r="697" spans="1:21" s="75" customFormat="1" hidden="1">
      <c r="A697" s="67"/>
      <c r="B697" s="916"/>
      <c r="C697" s="132"/>
      <c r="D697" s="132"/>
      <c r="E697" s="132"/>
      <c r="N697" s="916"/>
      <c r="P697" s="917"/>
      <c r="R697" s="67"/>
      <c r="S697" s="67"/>
      <c r="T697" s="67"/>
      <c r="U697" s="67"/>
    </row>
    <row r="698" spans="1:21" s="75" customFormat="1" hidden="1">
      <c r="A698" s="67"/>
      <c r="B698" s="916"/>
      <c r="C698" s="132"/>
      <c r="D698" s="132"/>
      <c r="E698" s="132"/>
      <c r="N698" s="916"/>
      <c r="P698" s="917"/>
      <c r="R698" s="67"/>
      <c r="S698" s="67"/>
      <c r="T698" s="67"/>
      <c r="U698" s="67"/>
    </row>
    <row r="699" spans="1:21" s="75" customFormat="1" hidden="1">
      <c r="A699" s="67"/>
      <c r="B699" s="916"/>
      <c r="C699" s="132"/>
      <c r="D699" s="132"/>
      <c r="E699" s="132"/>
      <c r="N699" s="916"/>
      <c r="P699" s="917"/>
      <c r="R699" s="67"/>
      <c r="S699" s="67"/>
      <c r="T699" s="67"/>
      <c r="U699" s="67"/>
    </row>
    <row r="700" spans="1:21" s="75" customFormat="1" hidden="1">
      <c r="A700" s="67"/>
      <c r="B700" s="916"/>
      <c r="C700" s="132"/>
      <c r="D700" s="132"/>
      <c r="E700" s="132"/>
      <c r="N700" s="916"/>
      <c r="P700" s="917"/>
      <c r="R700" s="67"/>
      <c r="S700" s="67"/>
      <c r="T700" s="67"/>
      <c r="U700" s="67"/>
    </row>
    <row r="701" spans="1:21" s="75" customFormat="1" hidden="1">
      <c r="A701" s="67"/>
      <c r="B701" s="916"/>
      <c r="C701" s="132"/>
      <c r="D701" s="132"/>
      <c r="E701" s="132"/>
      <c r="N701" s="916"/>
      <c r="P701" s="917"/>
      <c r="R701" s="67"/>
      <c r="S701" s="67"/>
      <c r="T701" s="67"/>
      <c r="U701" s="67"/>
    </row>
    <row r="702" spans="1:21" s="75" customFormat="1" hidden="1">
      <c r="A702" s="67"/>
      <c r="B702" s="916"/>
      <c r="C702" s="132"/>
      <c r="D702" s="132"/>
      <c r="E702" s="132"/>
      <c r="N702" s="916"/>
      <c r="P702" s="917"/>
      <c r="R702" s="67"/>
      <c r="S702" s="67"/>
      <c r="T702" s="67"/>
      <c r="U702" s="67"/>
    </row>
    <row r="703" spans="1:21" s="75" customFormat="1" hidden="1">
      <c r="A703" s="67"/>
      <c r="B703" s="916"/>
      <c r="C703" s="132"/>
      <c r="D703" s="132"/>
      <c r="E703" s="132"/>
      <c r="N703" s="916"/>
      <c r="P703" s="917"/>
      <c r="R703" s="67"/>
      <c r="S703" s="67"/>
      <c r="T703" s="67"/>
      <c r="U703" s="67"/>
    </row>
    <row r="704" spans="1:21" s="75" customFormat="1" hidden="1">
      <c r="A704" s="67"/>
      <c r="B704" s="916"/>
      <c r="C704" s="132"/>
      <c r="D704" s="132"/>
      <c r="E704" s="132"/>
      <c r="N704" s="916"/>
      <c r="P704" s="917"/>
      <c r="R704" s="67"/>
      <c r="S704" s="67"/>
      <c r="T704" s="67"/>
      <c r="U704" s="67"/>
    </row>
    <row r="705" spans="1:21" s="75" customFormat="1" hidden="1">
      <c r="A705" s="67"/>
      <c r="B705" s="916"/>
      <c r="C705" s="132"/>
      <c r="D705" s="132"/>
      <c r="E705" s="132"/>
      <c r="N705" s="916"/>
      <c r="P705" s="917"/>
      <c r="R705" s="67"/>
      <c r="S705" s="67"/>
      <c r="T705" s="67"/>
      <c r="U705" s="67"/>
    </row>
    <row r="706" spans="1:21" s="75" customFormat="1" hidden="1">
      <c r="A706" s="67"/>
      <c r="B706" s="916"/>
      <c r="C706" s="132"/>
      <c r="D706" s="132"/>
      <c r="E706" s="132"/>
      <c r="N706" s="916"/>
      <c r="P706" s="917"/>
      <c r="R706" s="67"/>
      <c r="S706" s="67"/>
      <c r="T706" s="67"/>
      <c r="U706" s="67"/>
    </row>
    <row r="707" spans="1:21" s="75" customFormat="1" hidden="1">
      <c r="A707" s="67"/>
      <c r="B707" s="916"/>
      <c r="C707" s="132"/>
      <c r="D707" s="132"/>
      <c r="E707" s="132"/>
      <c r="N707" s="916"/>
      <c r="P707" s="917"/>
      <c r="R707" s="67"/>
      <c r="S707" s="67"/>
      <c r="T707" s="67"/>
      <c r="U707" s="67"/>
    </row>
    <row r="708" spans="1:21" s="75" customFormat="1" hidden="1">
      <c r="A708" s="67"/>
      <c r="B708" s="916"/>
      <c r="C708" s="132"/>
      <c r="D708" s="132"/>
      <c r="E708" s="132"/>
      <c r="N708" s="916"/>
      <c r="P708" s="917"/>
      <c r="R708" s="67"/>
      <c r="S708" s="67"/>
      <c r="T708" s="67"/>
      <c r="U708" s="67"/>
    </row>
    <row r="709" spans="1:21" s="75" customFormat="1" hidden="1">
      <c r="A709" s="67"/>
      <c r="B709" s="916"/>
      <c r="C709" s="132"/>
      <c r="D709" s="132"/>
      <c r="E709" s="132"/>
      <c r="N709" s="916"/>
      <c r="P709" s="917"/>
      <c r="R709" s="67"/>
      <c r="S709" s="67"/>
      <c r="T709" s="67"/>
      <c r="U709" s="67"/>
    </row>
    <row r="710" spans="1:21" s="75" customFormat="1" hidden="1">
      <c r="A710" s="67"/>
      <c r="B710" s="916"/>
      <c r="C710" s="132"/>
      <c r="D710" s="132"/>
      <c r="E710" s="132"/>
      <c r="N710" s="916"/>
      <c r="P710" s="917"/>
      <c r="R710" s="67"/>
      <c r="S710" s="67"/>
      <c r="T710" s="67"/>
      <c r="U710" s="67"/>
    </row>
    <row r="711" spans="1:21" s="75" customFormat="1" hidden="1">
      <c r="A711" s="67"/>
      <c r="B711" s="916"/>
      <c r="C711" s="132"/>
      <c r="D711" s="132"/>
      <c r="E711" s="132"/>
      <c r="N711" s="916"/>
      <c r="P711" s="917"/>
      <c r="R711" s="67"/>
      <c r="S711" s="67"/>
      <c r="T711" s="67"/>
      <c r="U711" s="67"/>
    </row>
    <row r="712" spans="1:21" s="75" customFormat="1" hidden="1">
      <c r="A712" s="67"/>
      <c r="B712" s="916"/>
      <c r="C712" s="132"/>
      <c r="D712" s="132"/>
      <c r="E712" s="132"/>
      <c r="N712" s="916"/>
      <c r="P712" s="917"/>
      <c r="R712" s="67"/>
      <c r="S712" s="67"/>
      <c r="T712" s="67"/>
      <c r="U712" s="67"/>
    </row>
    <row r="713" spans="1:21" s="75" customFormat="1" hidden="1">
      <c r="A713" s="67"/>
      <c r="B713" s="916"/>
      <c r="C713" s="132"/>
      <c r="D713" s="132"/>
      <c r="E713" s="132"/>
      <c r="N713" s="916"/>
      <c r="P713" s="917"/>
      <c r="R713" s="67"/>
      <c r="S713" s="67"/>
      <c r="T713" s="67"/>
      <c r="U713" s="67"/>
    </row>
    <row r="714" spans="1:21" s="75" customFormat="1" hidden="1">
      <c r="A714" s="67"/>
      <c r="B714" s="916"/>
      <c r="C714" s="132"/>
      <c r="D714" s="132"/>
      <c r="E714" s="132"/>
      <c r="N714" s="916"/>
      <c r="P714" s="917"/>
      <c r="R714" s="67"/>
      <c r="S714" s="67"/>
      <c r="T714" s="67"/>
      <c r="U714" s="67"/>
    </row>
    <row r="715" spans="1:21" s="75" customFormat="1" hidden="1">
      <c r="A715" s="67"/>
      <c r="B715" s="916"/>
      <c r="C715" s="132"/>
      <c r="D715" s="132"/>
      <c r="E715" s="132"/>
      <c r="N715" s="916"/>
      <c r="P715" s="917"/>
      <c r="R715" s="67"/>
      <c r="S715" s="67"/>
      <c r="T715" s="67"/>
      <c r="U715" s="67"/>
    </row>
    <row r="716" spans="1:21" s="75" customFormat="1" hidden="1">
      <c r="A716" s="67"/>
      <c r="B716" s="916"/>
      <c r="C716" s="132"/>
      <c r="D716" s="132"/>
      <c r="E716" s="132"/>
      <c r="N716" s="916"/>
      <c r="P716" s="917"/>
      <c r="R716" s="67"/>
      <c r="S716" s="67"/>
      <c r="T716" s="67"/>
      <c r="U716" s="67"/>
    </row>
    <row r="717" spans="1:21" s="75" customFormat="1" hidden="1">
      <c r="A717" s="67"/>
      <c r="B717" s="916"/>
      <c r="C717" s="132"/>
      <c r="D717" s="132"/>
      <c r="E717" s="132"/>
      <c r="N717" s="916"/>
      <c r="P717" s="917"/>
      <c r="R717" s="67"/>
      <c r="S717" s="67"/>
      <c r="T717" s="67"/>
      <c r="U717" s="67"/>
    </row>
    <row r="718" spans="1:21" s="75" customFormat="1" hidden="1">
      <c r="A718" s="67"/>
      <c r="B718" s="916"/>
      <c r="C718" s="132"/>
      <c r="D718" s="132"/>
      <c r="E718" s="132"/>
      <c r="N718" s="916"/>
      <c r="P718" s="917"/>
      <c r="R718" s="67"/>
      <c r="S718" s="67"/>
      <c r="T718" s="67"/>
      <c r="U718" s="67"/>
    </row>
    <row r="719" spans="1:21" s="75" customFormat="1" hidden="1">
      <c r="A719" s="67"/>
      <c r="B719" s="916"/>
      <c r="C719" s="132"/>
      <c r="D719" s="132"/>
      <c r="E719" s="132"/>
      <c r="N719" s="916"/>
      <c r="P719" s="917"/>
      <c r="R719" s="67"/>
      <c r="S719" s="67"/>
      <c r="T719" s="67"/>
      <c r="U719" s="67"/>
    </row>
    <row r="720" spans="1:21" s="75" customFormat="1" hidden="1">
      <c r="A720" s="67"/>
      <c r="B720" s="916"/>
      <c r="C720" s="132"/>
      <c r="D720" s="132"/>
      <c r="E720" s="132"/>
      <c r="N720" s="916"/>
      <c r="P720" s="917"/>
      <c r="R720" s="67"/>
      <c r="S720" s="67"/>
      <c r="T720" s="67"/>
      <c r="U720" s="67"/>
    </row>
    <row r="721" spans="1:21" s="75" customFormat="1" hidden="1">
      <c r="A721" s="67"/>
      <c r="B721" s="916"/>
      <c r="C721" s="132"/>
      <c r="D721" s="132"/>
      <c r="E721" s="132"/>
      <c r="N721" s="916"/>
      <c r="P721" s="917"/>
      <c r="R721" s="67"/>
      <c r="S721" s="67"/>
      <c r="T721" s="67"/>
      <c r="U721" s="67"/>
    </row>
    <row r="722" spans="1:21" s="75" customFormat="1" hidden="1">
      <c r="A722" s="67"/>
      <c r="B722" s="916"/>
      <c r="C722" s="132"/>
      <c r="D722" s="132"/>
      <c r="E722" s="132"/>
      <c r="N722" s="916"/>
      <c r="P722" s="917"/>
      <c r="R722" s="67"/>
      <c r="S722" s="67"/>
      <c r="T722" s="67"/>
      <c r="U722" s="67"/>
    </row>
    <row r="723" spans="1:21" s="75" customFormat="1" hidden="1">
      <c r="A723" s="67"/>
      <c r="B723" s="916"/>
      <c r="C723" s="132"/>
      <c r="D723" s="132"/>
      <c r="E723" s="132"/>
      <c r="N723" s="916"/>
      <c r="P723" s="917"/>
      <c r="R723" s="67"/>
      <c r="S723" s="67"/>
      <c r="T723" s="67"/>
      <c r="U723" s="67"/>
    </row>
    <row r="724" spans="1:21" s="75" customFormat="1" hidden="1">
      <c r="A724" s="67"/>
      <c r="B724" s="916"/>
      <c r="C724" s="132"/>
      <c r="D724" s="132"/>
      <c r="E724" s="132"/>
      <c r="N724" s="916"/>
      <c r="P724" s="917"/>
      <c r="R724" s="67"/>
      <c r="S724" s="67"/>
      <c r="T724" s="67"/>
      <c r="U724" s="67"/>
    </row>
    <row r="725" spans="1:21" s="75" customFormat="1" hidden="1">
      <c r="A725" s="67"/>
      <c r="B725" s="916"/>
      <c r="C725" s="132"/>
      <c r="D725" s="132"/>
      <c r="E725" s="132"/>
      <c r="N725" s="916"/>
      <c r="P725" s="917"/>
      <c r="R725" s="67"/>
      <c r="S725" s="67"/>
      <c r="T725" s="67"/>
      <c r="U725" s="67"/>
    </row>
    <row r="726" spans="1:21" s="75" customFormat="1" hidden="1">
      <c r="A726" s="67"/>
      <c r="B726" s="916"/>
      <c r="C726" s="132"/>
      <c r="D726" s="132"/>
      <c r="E726" s="132"/>
      <c r="N726" s="916"/>
      <c r="P726" s="917"/>
      <c r="R726" s="67"/>
      <c r="S726" s="67"/>
      <c r="T726" s="67"/>
      <c r="U726" s="67"/>
    </row>
    <row r="727" spans="1:21" s="75" customFormat="1" hidden="1">
      <c r="A727" s="67"/>
      <c r="B727" s="916"/>
      <c r="C727" s="132"/>
      <c r="D727" s="132"/>
      <c r="E727" s="132"/>
      <c r="N727" s="916"/>
      <c r="P727" s="917"/>
      <c r="R727" s="67"/>
      <c r="S727" s="67"/>
      <c r="T727" s="67"/>
      <c r="U727" s="67"/>
    </row>
    <row r="728" spans="1:21" s="75" customFormat="1" hidden="1">
      <c r="A728" s="67"/>
      <c r="B728" s="916"/>
      <c r="C728" s="132"/>
      <c r="D728" s="132"/>
      <c r="E728" s="132"/>
      <c r="N728" s="916"/>
      <c r="P728" s="917"/>
      <c r="R728" s="67"/>
      <c r="S728" s="67"/>
      <c r="T728" s="67"/>
      <c r="U728" s="67"/>
    </row>
    <row r="729" spans="1:21" s="75" customFormat="1" hidden="1">
      <c r="A729" s="67"/>
      <c r="B729" s="916"/>
      <c r="C729" s="132"/>
      <c r="D729" s="132"/>
      <c r="E729" s="132"/>
      <c r="N729" s="916"/>
      <c r="P729" s="917"/>
      <c r="R729" s="67"/>
      <c r="S729" s="67"/>
      <c r="T729" s="67"/>
      <c r="U729" s="67"/>
    </row>
    <row r="730" spans="1:21" s="75" customFormat="1" hidden="1">
      <c r="A730" s="67"/>
      <c r="B730" s="916"/>
      <c r="C730" s="132"/>
      <c r="D730" s="132"/>
      <c r="E730" s="132"/>
      <c r="N730" s="916"/>
      <c r="P730" s="917"/>
      <c r="R730" s="67"/>
      <c r="S730" s="67"/>
      <c r="T730" s="67"/>
      <c r="U730" s="67"/>
    </row>
    <row r="731" spans="1:21" s="75" customFormat="1" hidden="1">
      <c r="A731" s="67"/>
      <c r="B731" s="916"/>
      <c r="C731" s="132"/>
      <c r="D731" s="132"/>
      <c r="E731" s="132"/>
      <c r="N731" s="916"/>
      <c r="P731" s="917"/>
      <c r="R731" s="67"/>
      <c r="S731" s="67"/>
      <c r="T731" s="67"/>
      <c r="U731" s="67"/>
    </row>
    <row r="732" spans="1:21" s="75" customFormat="1" hidden="1">
      <c r="A732" s="67"/>
      <c r="B732" s="916"/>
      <c r="C732" s="132"/>
      <c r="D732" s="132"/>
      <c r="E732" s="132"/>
      <c r="N732" s="916"/>
      <c r="P732" s="917"/>
      <c r="R732" s="67"/>
      <c r="S732" s="67"/>
      <c r="T732" s="67"/>
      <c r="U732" s="67"/>
    </row>
    <row r="733" spans="1:21" s="75" customFormat="1" hidden="1">
      <c r="A733" s="67"/>
      <c r="B733" s="916"/>
      <c r="C733" s="132"/>
      <c r="D733" s="132"/>
      <c r="E733" s="132"/>
      <c r="N733" s="916"/>
      <c r="P733" s="917"/>
      <c r="R733" s="67"/>
      <c r="S733" s="67"/>
      <c r="T733" s="67"/>
      <c r="U733" s="67"/>
    </row>
    <row r="734" spans="1:21" s="75" customFormat="1" hidden="1">
      <c r="A734" s="67"/>
      <c r="B734" s="916"/>
      <c r="C734" s="132"/>
      <c r="D734" s="132"/>
      <c r="E734" s="132"/>
      <c r="N734" s="916"/>
      <c r="P734" s="917"/>
      <c r="R734" s="67"/>
      <c r="S734" s="67"/>
      <c r="T734" s="67"/>
      <c r="U734" s="67"/>
    </row>
    <row r="735" spans="1:21" s="75" customFormat="1" hidden="1">
      <c r="A735" s="67"/>
      <c r="B735" s="916"/>
      <c r="C735" s="132"/>
      <c r="D735" s="132"/>
      <c r="E735" s="132"/>
      <c r="N735" s="916"/>
      <c r="P735" s="917"/>
      <c r="R735" s="67"/>
      <c r="S735" s="67"/>
      <c r="T735" s="67"/>
      <c r="U735" s="67"/>
    </row>
    <row r="736" spans="1:21" s="75" customFormat="1" hidden="1">
      <c r="A736" s="67"/>
      <c r="B736" s="916"/>
      <c r="C736" s="132"/>
      <c r="D736" s="132"/>
      <c r="E736" s="132"/>
      <c r="N736" s="916"/>
      <c r="P736" s="917"/>
      <c r="R736" s="67"/>
      <c r="S736" s="67"/>
      <c r="T736" s="67"/>
      <c r="U736" s="67"/>
    </row>
    <row r="737" spans="1:21" s="75" customFormat="1" hidden="1">
      <c r="A737" s="67"/>
      <c r="B737" s="916"/>
      <c r="C737" s="132"/>
      <c r="D737" s="132"/>
      <c r="E737" s="132"/>
      <c r="N737" s="916"/>
      <c r="P737" s="917"/>
      <c r="R737" s="67"/>
      <c r="S737" s="67"/>
      <c r="T737" s="67"/>
      <c r="U737" s="67"/>
    </row>
    <row r="738" spans="1:21" s="75" customFormat="1" hidden="1">
      <c r="A738" s="67"/>
      <c r="B738" s="916"/>
      <c r="C738" s="132"/>
      <c r="D738" s="132"/>
      <c r="E738" s="132"/>
      <c r="N738" s="916"/>
      <c r="P738" s="917"/>
      <c r="R738" s="67"/>
      <c r="S738" s="67"/>
      <c r="T738" s="67"/>
      <c r="U738" s="67"/>
    </row>
    <row r="739" spans="1:21" s="75" customFormat="1" hidden="1">
      <c r="A739" s="67"/>
      <c r="B739" s="916"/>
      <c r="C739" s="132"/>
      <c r="D739" s="132"/>
      <c r="E739" s="132"/>
      <c r="N739" s="916"/>
      <c r="P739" s="917"/>
      <c r="R739" s="67"/>
      <c r="S739" s="67"/>
      <c r="T739" s="67"/>
      <c r="U739" s="67"/>
    </row>
    <row r="740" spans="1:21" s="75" customFormat="1" hidden="1">
      <c r="A740" s="67"/>
      <c r="B740" s="916"/>
      <c r="C740" s="132"/>
      <c r="D740" s="132"/>
      <c r="E740" s="132"/>
      <c r="N740" s="916"/>
      <c r="P740" s="917"/>
      <c r="R740" s="67"/>
      <c r="S740" s="67"/>
      <c r="T740" s="67"/>
      <c r="U740" s="67"/>
    </row>
    <row r="741" spans="1:21" s="75" customFormat="1" hidden="1">
      <c r="A741" s="67"/>
      <c r="B741" s="916"/>
      <c r="C741" s="132"/>
      <c r="D741" s="132"/>
      <c r="E741" s="132"/>
      <c r="N741" s="916"/>
      <c r="P741" s="917"/>
      <c r="R741" s="67"/>
      <c r="S741" s="67"/>
      <c r="T741" s="67"/>
      <c r="U741" s="67"/>
    </row>
    <row r="742" spans="1:21" s="75" customFormat="1" hidden="1">
      <c r="A742" s="67"/>
      <c r="B742" s="916"/>
      <c r="C742" s="132"/>
      <c r="D742" s="132"/>
      <c r="E742" s="132"/>
      <c r="N742" s="916"/>
      <c r="P742" s="917"/>
      <c r="R742" s="67"/>
      <c r="S742" s="67"/>
      <c r="T742" s="67"/>
      <c r="U742" s="67"/>
    </row>
    <row r="743" spans="1:21" s="75" customFormat="1" hidden="1">
      <c r="A743" s="67"/>
      <c r="B743" s="916"/>
      <c r="C743" s="132"/>
      <c r="D743" s="132"/>
      <c r="E743" s="132"/>
      <c r="N743" s="916"/>
      <c r="P743" s="917"/>
      <c r="R743" s="67"/>
      <c r="S743" s="67"/>
      <c r="T743" s="67"/>
      <c r="U743" s="67"/>
    </row>
    <row r="744" spans="1:21" s="75" customFormat="1" hidden="1">
      <c r="A744" s="67"/>
      <c r="B744" s="916"/>
      <c r="C744" s="132"/>
      <c r="D744" s="132"/>
      <c r="E744" s="132"/>
      <c r="N744" s="916"/>
      <c r="P744" s="917"/>
      <c r="R744" s="67"/>
      <c r="S744" s="67"/>
      <c r="T744" s="67"/>
      <c r="U744" s="67"/>
    </row>
    <row r="745" spans="1:21" s="75" customFormat="1" hidden="1">
      <c r="A745" s="67"/>
      <c r="B745" s="916"/>
      <c r="C745" s="132"/>
      <c r="D745" s="132"/>
      <c r="E745" s="132"/>
      <c r="N745" s="916"/>
      <c r="P745" s="917"/>
      <c r="R745" s="67"/>
      <c r="S745" s="67"/>
      <c r="T745" s="67"/>
      <c r="U745" s="67"/>
    </row>
    <row r="746" spans="1:21" s="75" customFormat="1" hidden="1">
      <c r="A746" s="67"/>
      <c r="B746" s="916"/>
      <c r="C746" s="132"/>
      <c r="D746" s="132"/>
      <c r="E746" s="132"/>
      <c r="N746" s="916"/>
      <c r="P746" s="917"/>
      <c r="R746" s="67"/>
      <c r="S746" s="67"/>
      <c r="T746" s="67"/>
      <c r="U746" s="67"/>
    </row>
    <row r="747" spans="1:21" s="75" customFormat="1" hidden="1">
      <c r="A747" s="67"/>
      <c r="B747" s="916"/>
      <c r="C747" s="132"/>
      <c r="D747" s="132"/>
      <c r="E747" s="132"/>
      <c r="N747" s="916"/>
      <c r="P747" s="917"/>
      <c r="R747" s="67"/>
      <c r="S747" s="67"/>
      <c r="T747" s="67"/>
      <c r="U747" s="67"/>
    </row>
    <row r="748" spans="1:21" s="75" customFormat="1" hidden="1">
      <c r="A748" s="67"/>
      <c r="B748" s="916"/>
      <c r="C748" s="132"/>
      <c r="D748" s="132"/>
      <c r="E748" s="132"/>
      <c r="N748" s="916"/>
      <c r="P748" s="917"/>
      <c r="R748" s="67"/>
      <c r="S748" s="67"/>
      <c r="T748" s="67"/>
      <c r="U748" s="67"/>
    </row>
    <row r="749" spans="1:21" s="75" customFormat="1" hidden="1">
      <c r="A749" s="67"/>
      <c r="B749" s="916"/>
      <c r="C749" s="132"/>
      <c r="D749" s="132"/>
      <c r="E749" s="132"/>
      <c r="N749" s="916"/>
      <c r="P749" s="917"/>
      <c r="R749" s="67"/>
      <c r="S749" s="67"/>
      <c r="T749" s="67"/>
      <c r="U749" s="67"/>
    </row>
    <row r="750" spans="1:21" s="75" customFormat="1" hidden="1">
      <c r="A750" s="67"/>
      <c r="B750" s="916"/>
      <c r="C750" s="132"/>
      <c r="D750" s="132"/>
      <c r="E750" s="132"/>
      <c r="N750" s="916"/>
      <c r="P750" s="917"/>
      <c r="R750" s="67"/>
      <c r="S750" s="67"/>
      <c r="T750" s="67"/>
      <c r="U750" s="67"/>
    </row>
    <row r="751" spans="1:21" s="75" customFormat="1" hidden="1">
      <c r="A751" s="67"/>
      <c r="B751" s="916"/>
      <c r="C751" s="132"/>
      <c r="D751" s="132"/>
      <c r="E751" s="132"/>
      <c r="N751" s="916"/>
      <c r="P751" s="917"/>
      <c r="R751" s="67"/>
      <c r="S751" s="67"/>
      <c r="T751" s="67"/>
      <c r="U751" s="67"/>
    </row>
    <row r="752" spans="1:21" s="75" customFormat="1" hidden="1">
      <c r="A752" s="67"/>
      <c r="B752" s="916"/>
      <c r="C752" s="132"/>
      <c r="D752" s="132"/>
      <c r="E752" s="132"/>
      <c r="N752" s="916"/>
      <c r="P752" s="917"/>
      <c r="R752" s="67"/>
      <c r="S752" s="67"/>
      <c r="T752" s="67"/>
      <c r="U752" s="67"/>
    </row>
    <row r="753" spans="1:21" s="75" customFormat="1" hidden="1">
      <c r="A753" s="67"/>
      <c r="B753" s="916"/>
      <c r="C753" s="132"/>
      <c r="D753" s="132"/>
      <c r="E753" s="132"/>
      <c r="N753" s="916"/>
      <c r="P753" s="917"/>
      <c r="R753" s="67"/>
      <c r="S753" s="67"/>
      <c r="T753" s="67"/>
      <c r="U753" s="67"/>
    </row>
    <row r="754" spans="1:21" s="75" customFormat="1" hidden="1">
      <c r="A754" s="67"/>
      <c r="B754" s="916"/>
      <c r="C754" s="132"/>
      <c r="D754" s="132"/>
      <c r="E754" s="132"/>
      <c r="N754" s="916"/>
      <c r="P754" s="917"/>
      <c r="R754" s="67"/>
      <c r="S754" s="67"/>
      <c r="T754" s="67"/>
      <c r="U754" s="67"/>
    </row>
    <row r="755" spans="1:21" s="75" customFormat="1" hidden="1">
      <c r="A755" s="67"/>
      <c r="B755" s="916"/>
      <c r="C755" s="132"/>
      <c r="D755" s="132"/>
      <c r="E755" s="132"/>
      <c r="N755" s="916"/>
      <c r="P755" s="917"/>
      <c r="R755" s="67"/>
      <c r="S755" s="67"/>
      <c r="T755" s="67"/>
      <c r="U755" s="67"/>
    </row>
    <row r="756" spans="1:21" s="75" customFormat="1" hidden="1">
      <c r="A756" s="67"/>
      <c r="B756" s="916"/>
      <c r="C756" s="132"/>
      <c r="D756" s="132"/>
      <c r="E756" s="132"/>
      <c r="N756" s="916"/>
      <c r="P756" s="917"/>
      <c r="R756" s="67"/>
      <c r="S756" s="67"/>
      <c r="T756" s="67"/>
      <c r="U756" s="67"/>
    </row>
    <row r="757" spans="1:21" s="75" customFormat="1" hidden="1">
      <c r="A757" s="67"/>
      <c r="B757" s="916"/>
      <c r="C757" s="132"/>
      <c r="D757" s="132"/>
      <c r="E757" s="132"/>
      <c r="N757" s="916"/>
      <c r="P757" s="917"/>
      <c r="R757" s="67"/>
      <c r="S757" s="67"/>
      <c r="T757" s="67"/>
      <c r="U757" s="67"/>
    </row>
    <row r="758" spans="1:21" s="75" customFormat="1" hidden="1">
      <c r="A758" s="67"/>
      <c r="B758" s="916"/>
      <c r="C758" s="132"/>
      <c r="D758" s="132"/>
      <c r="E758" s="132"/>
      <c r="N758" s="916"/>
      <c r="P758" s="917"/>
      <c r="R758" s="67"/>
      <c r="S758" s="67"/>
      <c r="T758" s="67"/>
      <c r="U758" s="67"/>
    </row>
    <row r="759" spans="1:21" s="75" customFormat="1" hidden="1">
      <c r="A759" s="67"/>
      <c r="B759" s="916"/>
      <c r="C759" s="132"/>
      <c r="D759" s="132"/>
      <c r="E759" s="132"/>
      <c r="N759" s="916"/>
      <c r="P759" s="917"/>
      <c r="R759" s="67"/>
      <c r="S759" s="67"/>
      <c r="T759" s="67"/>
      <c r="U759" s="67"/>
    </row>
    <row r="760" spans="1:21" s="75" customFormat="1" hidden="1">
      <c r="A760" s="67"/>
      <c r="B760" s="916"/>
      <c r="C760" s="132"/>
      <c r="D760" s="132"/>
      <c r="E760" s="132"/>
      <c r="N760" s="916"/>
      <c r="P760" s="917"/>
      <c r="R760" s="67"/>
      <c r="S760" s="67"/>
      <c r="T760" s="67"/>
      <c r="U760" s="67"/>
    </row>
    <row r="761" spans="1:21" s="75" customFormat="1" hidden="1">
      <c r="A761" s="67"/>
      <c r="B761" s="916"/>
      <c r="C761" s="132"/>
      <c r="D761" s="132"/>
      <c r="E761" s="132"/>
      <c r="N761" s="916"/>
      <c r="P761" s="917"/>
      <c r="R761" s="67"/>
      <c r="S761" s="67"/>
      <c r="T761" s="67"/>
      <c r="U761" s="67"/>
    </row>
    <row r="762" spans="1:21" s="75" customFormat="1" hidden="1">
      <c r="A762" s="67"/>
      <c r="B762" s="916"/>
      <c r="C762" s="132"/>
      <c r="D762" s="132"/>
      <c r="E762" s="132"/>
      <c r="N762" s="916"/>
      <c r="P762" s="917"/>
      <c r="R762" s="67"/>
      <c r="S762" s="67"/>
      <c r="T762" s="67"/>
      <c r="U762" s="67"/>
    </row>
    <row r="763" spans="1:21" s="75" customFormat="1" hidden="1">
      <c r="A763" s="67"/>
      <c r="B763" s="916"/>
      <c r="C763" s="132"/>
      <c r="D763" s="132"/>
      <c r="E763" s="132"/>
      <c r="N763" s="916"/>
      <c r="P763" s="917"/>
      <c r="R763" s="67"/>
      <c r="S763" s="67"/>
      <c r="T763" s="67"/>
      <c r="U763" s="67"/>
    </row>
    <row r="764" spans="1:21" s="75" customFormat="1" hidden="1">
      <c r="A764" s="67"/>
      <c r="B764" s="916"/>
      <c r="C764" s="132"/>
      <c r="D764" s="132"/>
      <c r="E764" s="132"/>
      <c r="N764" s="916"/>
      <c r="P764" s="917"/>
      <c r="R764" s="67"/>
      <c r="S764" s="67"/>
      <c r="T764" s="67"/>
      <c r="U764" s="67"/>
    </row>
    <row r="765" spans="1:21" s="75" customFormat="1" hidden="1">
      <c r="A765" s="67"/>
      <c r="B765" s="916"/>
      <c r="C765" s="132"/>
      <c r="D765" s="132"/>
      <c r="E765" s="132"/>
      <c r="N765" s="916"/>
      <c r="P765" s="917"/>
      <c r="R765" s="67"/>
      <c r="S765" s="67"/>
      <c r="T765" s="67"/>
      <c r="U765" s="67"/>
    </row>
    <row r="766" spans="1:21" s="75" customFormat="1" hidden="1">
      <c r="A766" s="67"/>
      <c r="B766" s="916"/>
      <c r="C766" s="132"/>
      <c r="D766" s="132"/>
      <c r="E766" s="132"/>
      <c r="N766" s="916"/>
      <c r="P766" s="917"/>
      <c r="R766" s="67"/>
      <c r="S766" s="67"/>
      <c r="T766" s="67"/>
      <c r="U766" s="67"/>
    </row>
    <row r="767" spans="1:21" s="75" customFormat="1" hidden="1">
      <c r="A767" s="67"/>
      <c r="B767" s="916"/>
      <c r="C767" s="132"/>
      <c r="D767" s="132"/>
      <c r="E767" s="132"/>
      <c r="N767" s="916"/>
      <c r="P767" s="917"/>
      <c r="R767" s="67"/>
      <c r="S767" s="67"/>
      <c r="T767" s="67"/>
      <c r="U767" s="67"/>
    </row>
    <row r="768" spans="1:21" s="75" customFormat="1" hidden="1">
      <c r="A768" s="67"/>
      <c r="B768" s="916"/>
      <c r="C768" s="132"/>
      <c r="D768" s="132"/>
      <c r="E768" s="132"/>
      <c r="N768" s="916"/>
      <c r="P768" s="917"/>
      <c r="R768" s="67"/>
      <c r="S768" s="67"/>
      <c r="T768" s="67"/>
      <c r="U768" s="67"/>
    </row>
    <row r="769" spans="1:21" s="75" customFormat="1" hidden="1">
      <c r="A769" s="67"/>
      <c r="B769" s="916"/>
      <c r="C769" s="132"/>
      <c r="D769" s="132"/>
      <c r="E769" s="132"/>
      <c r="N769" s="916"/>
      <c r="P769" s="917"/>
      <c r="R769" s="67"/>
      <c r="S769" s="67"/>
      <c r="T769" s="67"/>
      <c r="U769" s="67"/>
    </row>
    <row r="770" spans="1:21" s="75" customFormat="1" hidden="1">
      <c r="A770" s="67"/>
      <c r="B770" s="916"/>
      <c r="C770" s="132"/>
      <c r="D770" s="132"/>
      <c r="E770" s="132"/>
      <c r="N770" s="916"/>
      <c r="P770" s="917"/>
      <c r="R770" s="67"/>
      <c r="S770" s="67"/>
      <c r="T770" s="67"/>
      <c r="U770" s="67"/>
    </row>
    <row r="771" spans="1:21" s="75" customFormat="1" hidden="1">
      <c r="A771" s="67"/>
      <c r="B771" s="916"/>
      <c r="C771" s="132"/>
      <c r="D771" s="132"/>
      <c r="E771" s="132"/>
      <c r="N771" s="916"/>
      <c r="P771" s="917"/>
      <c r="R771" s="67"/>
      <c r="S771" s="67"/>
      <c r="T771" s="67"/>
      <c r="U771" s="67"/>
    </row>
    <row r="772" spans="1:21" s="75" customFormat="1" hidden="1">
      <c r="A772" s="67"/>
      <c r="B772" s="916"/>
      <c r="C772" s="132"/>
      <c r="D772" s="132"/>
      <c r="E772" s="132"/>
      <c r="N772" s="916"/>
      <c r="P772" s="917"/>
      <c r="R772" s="67"/>
      <c r="S772" s="67"/>
      <c r="T772" s="67"/>
      <c r="U772" s="67"/>
    </row>
    <row r="773" spans="1:21" s="75" customFormat="1" hidden="1">
      <c r="A773" s="67"/>
      <c r="B773" s="916"/>
      <c r="C773" s="132"/>
      <c r="D773" s="132"/>
      <c r="E773" s="132"/>
      <c r="N773" s="916"/>
      <c r="P773" s="917"/>
      <c r="R773" s="67"/>
      <c r="S773" s="67"/>
      <c r="T773" s="67"/>
      <c r="U773" s="67"/>
    </row>
    <row r="774" spans="1:21" s="75" customFormat="1" hidden="1">
      <c r="A774" s="67"/>
      <c r="B774" s="916"/>
      <c r="C774" s="132"/>
      <c r="D774" s="132"/>
      <c r="E774" s="132"/>
      <c r="N774" s="916"/>
      <c r="P774" s="917"/>
      <c r="R774" s="67"/>
      <c r="S774" s="67"/>
      <c r="T774" s="67"/>
      <c r="U774" s="67"/>
    </row>
    <row r="775" spans="1:21" s="75" customFormat="1" hidden="1">
      <c r="A775" s="67"/>
      <c r="B775" s="916"/>
      <c r="C775" s="132"/>
      <c r="D775" s="132"/>
      <c r="E775" s="132"/>
      <c r="N775" s="916"/>
      <c r="P775" s="917"/>
      <c r="R775" s="67"/>
      <c r="S775" s="67"/>
      <c r="T775" s="67"/>
      <c r="U775" s="67"/>
    </row>
    <row r="776" spans="1:21" s="75" customFormat="1" hidden="1">
      <c r="A776" s="67"/>
      <c r="B776" s="916"/>
      <c r="C776" s="132"/>
      <c r="D776" s="132"/>
      <c r="E776" s="132"/>
      <c r="N776" s="916"/>
      <c r="P776" s="917"/>
      <c r="R776" s="67"/>
      <c r="S776" s="67"/>
      <c r="T776" s="67"/>
      <c r="U776" s="67"/>
    </row>
    <row r="777" spans="1:21" s="75" customFormat="1" hidden="1">
      <c r="A777" s="67"/>
      <c r="B777" s="916"/>
      <c r="C777" s="132"/>
      <c r="D777" s="132"/>
      <c r="E777" s="132"/>
      <c r="N777" s="916"/>
      <c r="P777" s="917"/>
      <c r="R777" s="67"/>
      <c r="S777" s="67"/>
      <c r="T777" s="67"/>
      <c r="U777" s="67"/>
    </row>
    <row r="778" spans="1:21" s="75" customFormat="1" hidden="1">
      <c r="A778" s="67"/>
      <c r="B778" s="916"/>
      <c r="C778" s="132"/>
      <c r="D778" s="132"/>
      <c r="E778" s="132"/>
      <c r="N778" s="916"/>
      <c r="P778" s="917"/>
      <c r="R778" s="67"/>
      <c r="S778" s="67"/>
      <c r="T778" s="67"/>
      <c r="U778" s="67"/>
    </row>
    <row r="779" spans="1:21" s="75" customFormat="1" hidden="1">
      <c r="A779" s="67"/>
      <c r="B779" s="916"/>
      <c r="C779" s="132"/>
      <c r="D779" s="132"/>
      <c r="E779" s="132"/>
      <c r="N779" s="916"/>
      <c r="P779" s="917"/>
      <c r="R779" s="67"/>
      <c r="S779" s="67"/>
      <c r="T779" s="67"/>
      <c r="U779" s="67"/>
    </row>
    <row r="780" spans="1:21" s="75" customFormat="1" hidden="1">
      <c r="A780" s="67"/>
      <c r="B780" s="916"/>
      <c r="C780" s="132"/>
      <c r="D780" s="132"/>
      <c r="E780" s="132"/>
      <c r="N780" s="916"/>
      <c r="P780" s="917"/>
      <c r="R780" s="67"/>
      <c r="S780" s="67"/>
      <c r="T780" s="67"/>
      <c r="U780" s="67"/>
    </row>
    <row r="781" spans="1:21" s="75" customFormat="1" hidden="1">
      <c r="A781" s="67"/>
      <c r="B781" s="916"/>
      <c r="C781" s="132"/>
      <c r="D781" s="132"/>
      <c r="E781" s="132"/>
      <c r="N781" s="916"/>
      <c r="P781" s="917"/>
      <c r="R781" s="67"/>
      <c r="S781" s="67"/>
      <c r="T781" s="67"/>
      <c r="U781" s="67"/>
    </row>
    <row r="782" spans="1:21" s="75" customFormat="1" hidden="1">
      <c r="A782" s="67"/>
      <c r="B782" s="916"/>
      <c r="C782" s="132"/>
      <c r="D782" s="132"/>
      <c r="E782" s="132"/>
      <c r="N782" s="916"/>
      <c r="P782" s="917"/>
      <c r="R782" s="67"/>
      <c r="S782" s="67"/>
      <c r="T782" s="67"/>
      <c r="U782" s="67"/>
    </row>
    <row r="783" spans="1:21" s="75" customFormat="1" hidden="1">
      <c r="A783" s="67"/>
      <c r="B783" s="916"/>
      <c r="C783" s="132"/>
      <c r="D783" s="132"/>
      <c r="E783" s="132"/>
      <c r="N783" s="916"/>
      <c r="P783" s="917"/>
      <c r="R783" s="67"/>
      <c r="S783" s="67"/>
      <c r="T783" s="67"/>
      <c r="U783" s="67"/>
    </row>
    <row r="784" spans="1:21" s="75" customFormat="1" hidden="1">
      <c r="A784" s="67"/>
      <c r="B784" s="916"/>
      <c r="C784" s="132"/>
      <c r="D784" s="132"/>
      <c r="E784" s="132"/>
      <c r="N784" s="916"/>
      <c r="P784" s="917"/>
      <c r="R784" s="67"/>
      <c r="S784" s="67"/>
      <c r="T784" s="67"/>
      <c r="U784" s="67"/>
    </row>
    <row r="785" spans="1:21" s="75" customFormat="1" hidden="1">
      <c r="A785" s="67"/>
      <c r="B785" s="916"/>
      <c r="C785" s="132"/>
      <c r="D785" s="132"/>
      <c r="E785" s="132"/>
      <c r="N785" s="916"/>
      <c r="P785" s="917"/>
      <c r="R785" s="67"/>
      <c r="S785" s="67"/>
      <c r="T785" s="67"/>
      <c r="U785" s="67"/>
    </row>
    <row r="786" spans="1:21" s="75" customFormat="1" hidden="1">
      <c r="A786" s="67"/>
      <c r="B786" s="916"/>
      <c r="C786" s="132"/>
      <c r="D786" s="132"/>
      <c r="E786" s="132"/>
      <c r="N786" s="916"/>
      <c r="P786" s="917"/>
      <c r="R786" s="67"/>
      <c r="S786" s="67"/>
      <c r="T786" s="67"/>
      <c r="U786" s="67"/>
    </row>
    <row r="787" spans="1:21" s="75" customFormat="1" hidden="1">
      <c r="A787" s="67"/>
      <c r="B787" s="916"/>
      <c r="C787" s="132"/>
      <c r="D787" s="132"/>
      <c r="E787" s="132"/>
      <c r="N787" s="916"/>
      <c r="P787" s="917"/>
      <c r="R787" s="67"/>
      <c r="S787" s="67"/>
      <c r="T787" s="67"/>
      <c r="U787" s="67"/>
    </row>
    <row r="788" spans="1:21" s="75" customFormat="1" hidden="1">
      <c r="A788" s="67"/>
      <c r="B788" s="916"/>
      <c r="C788" s="132"/>
      <c r="D788" s="132"/>
      <c r="E788" s="132"/>
      <c r="N788" s="916"/>
      <c r="P788" s="917"/>
      <c r="R788" s="67"/>
      <c r="S788" s="67"/>
      <c r="T788" s="67"/>
      <c r="U788" s="67"/>
    </row>
    <row r="789" spans="1:21" s="75" customFormat="1" hidden="1">
      <c r="A789" s="67"/>
      <c r="B789" s="916"/>
      <c r="C789" s="132"/>
      <c r="D789" s="132"/>
      <c r="E789" s="132"/>
      <c r="N789" s="916"/>
      <c r="P789" s="917"/>
      <c r="R789" s="67"/>
      <c r="S789" s="67"/>
      <c r="T789" s="67"/>
      <c r="U789" s="67"/>
    </row>
    <row r="790" spans="1:21" s="75" customFormat="1" hidden="1">
      <c r="A790" s="67"/>
      <c r="B790" s="916"/>
      <c r="C790" s="132"/>
      <c r="D790" s="132"/>
      <c r="E790" s="132"/>
      <c r="N790" s="916"/>
      <c r="P790" s="917"/>
      <c r="R790" s="67"/>
      <c r="S790" s="67"/>
      <c r="T790" s="67"/>
      <c r="U790" s="67"/>
    </row>
    <row r="791" spans="1:21" s="75" customFormat="1" hidden="1">
      <c r="A791" s="67"/>
      <c r="B791" s="916"/>
      <c r="C791" s="132"/>
      <c r="D791" s="132"/>
      <c r="E791" s="132"/>
      <c r="N791" s="916"/>
      <c r="P791" s="917"/>
      <c r="R791" s="67"/>
      <c r="S791" s="67"/>
      <c r="T791" s="67"/>
      <c r="U791" s="67"/>
    </row>
    <row r="792" spans="1:21" s="75" customFormat="1" hidden="1">
      <c r="A792" s="67"/>
      <c r="B792" s="916"/>
      <c r="C792" s="132"/>
      <c r="D792" s="132"/>
      <c r="E792" s="132"/>
      <c r="N792" s="916"/>
      <c r="P792" s="917"/>
      <c r="R792" s="67"/>
      <c r="S792" s="67"/>
      <c r="T792" s="67"/>
      <c r="U792" s="67"/>
    </row>
    <row r="793" spans="1:21" s="75" customFormat="1" hidden="1">
      <c r="A793" s="67"/>
      <c r="B793" s="916"/>
      <c r="C793" s="132"/>
      <c r="D793" s="132"/>
      <c r="E793" s="132"/>
      <c r="N793" s="916"/>
      <c r="P793" s="917"/>
      <c r="R793" s="67"/>
      <c r="S793" s="67"/>
      <c r="T793" s="67"/>
      <c r="U793" s="67"/>
    </row>
    <row r="794" spans="1:21" s="75" customFormat="1" hidden="1">
      <c r="A794" s="67"/>
      <c r="B794" s="916"/>
      <c r="C794" s="132"/>
      <c r="D794" s="132"/>
      <c r="E794" s="132"/>
      <c r="N794" s="916"/>
      <c r="P794" s="917"/>
      <c r="R794" s="67"/>
      <c r="S794" s="67"/>
      <c r="T794" s="67"/>
      <c r="U794" s="67"/>
    </row>
    <row r="795" spans="1:21" s="75" customFormat="1" hidden="1">
      <c r="A795" s="67"/>
      <c r="B795" s="916"/>
      <c r="C795" s="132"/>
      <c r="D795" s="132"/>
      <c r="E795" s="132"/>
      <c r="N795" s="916"/>
      <c r="P795" s="917"/>
      <c r="R795" s="67"/>
      <c r="S795" s="67"/>
      <c r="T795" s="67"/>
      <c r="U795" s="67"/>
    </row>
    <row r="796" spans="1:21" s="75" customFormat="1" hidden="1">
      <c r="A796" s="67"/>
      <c r="B796" s="916"/>
      <c r="C796" s="132"/>
      <c r="D796" s="132"/>
      <c r="E796" s="132"/>
      <c r="N796" s="916"/>
      <c r="P796" s="917"/>
      <c r="R796" s="67"/>
      <c r="S796" s="67"/>
      <c r="T796" s="67"/>
      <c r="U796" s="67"/>
    </row>
    <row r="797" spans="1:21" s="75" customFormat="1" hidden="1">
      <c r="A797" s="67"/>
      <c r="B797" s="916"/>
      <c r="C797" s="132"/>
      <c r="D797" s="132"/>
      <c r="E797" s="132"/>
      <c r="N797" s="916"/>
      <c r="P797" s="917"/>
      <c r="R797" s="67"/>
      <c r="S797" s="67"/>
      <c r="T797" s="67"/>
      <c r="U797" s="67"/>
    </row>
    <row r="798" spans="1:21" s="75" customFormat="1" hidden="1">
      <c r="A798" s="67"/>
      <c r="B798" s="916"/>
      <c r="C798" s="132"/>
      <c r="D798" s="132"/>
      <c r="E798" s="132"/>
      <c r="N798" s="916"/>
      <c r="P798" s="917"/>
      <c r="R798" s="67"/>
      <c r="S798" s="67"/>
      <c r="T798" s="67"/>
      <c r="U798" s="67"/>
    </row>
    <row r="799" spans="1:21" s="75" customFormat="1" hidden="1">
      <c r="A799" s="67"/>
      <c r="B799" s="916"/>
      <c r="C799" s="132"/>
      <c r="D799" s="132"/>
      <c r="E799" s="132"/>
      <c r="N799" s="916"/>
      <c r="P799" s="917"/>
      <c r="R799" s="67"/>
      <c r="S799" s="67"/>
      <c r="T799" s="67"/>
      <c r="U799" s="67"/>
    </row>
    <row r="800" spans="1:21" s="75" customFormat="1" hidden="1">
      <c r="A800" s="67"/>
      <c r="B800" s="916"/>
      <c r="C800" s="132"/>
      <c r="D800" s="132"/>
      <c r="E800" s="132"/>
      <c r="N800" s="916"/>
      <c r="P800" s="917"/>
      <c r="R800" s="67"/>
      <c r="S800" s="67"/>
      <c r="T800" s="67"/>
      <c r="U800" s="67"/>
    </row>
    <row r="801" spans="1:21" s="75" customFormat="1" hidden="1">
      <c r="A801" s="67"/>
      <c r="B801" s="916"/>
      <c r="C801" s="132"/>
      <c r="D801" s="132"/>
      <c r="E801" s="132"/>
      <c r="N801" s="916"/>
      <c r="P801" s="917"/>
      <c r="R801" s="67"/>
      <c r="S801" s="67"/>
      <c r="T801" s="67"/>
      <c r="U801" s="67"/>
    </row>
    <row r="802" spans="1:21" s="75" customFormat="1" hidden="1">
      <c r="A802" s="67"/>
      <c r="B802" s="916"/>
      <c r="C802" s="132"/>
      <c r="D802" s="132"/>
      <c r="E802" s="132"/>
      <c r="N802" s="916"/>
      <c r="P802" s="917"/>
      <c r="R802" s="67"/>
      <c r="S802" s="67"/>
      <c r="T802" s="67"/>
      <c r="U802" s="67"/>
    </row>
    <row r="803" spans="1:21" s="75" customFormat="1" hidden="1">
      <c r="A803" s="67"/>
      <c r="B803" s="916"/>
      <c r="C803" s="132"/>
      <c r="D803" s="132"/>
      <c r="E803" s="132"/>
      <c r="N803" s="916"/>
      <c r="P803" s="917"/>
      <c r="R803" s="67"/>
      <c r="S803" s="67"/>
      <c r="T803" s="67"/>
      <c r="U803" s="67"/>
    </row>
    <row r="804" spans="1:21" s="75" customFormat="1" hidden="1">
      <c r="A804" s="67"/>
      <c r="B804" s="916"/>
      <c r="C804" s="132"/>
      <c r="D804" s="132"/>
      <c r="E804" s="132"/>
      <c r="N804" s="916"/>
      <c r="P804" s="917"/>
      <c r="R804" s="67"/>
      <c r="S804" s="67"/>
      <c r="T804" s="67"/>
      <c r="U804" s="67"/>
    </row>
    <row r="805" spans="1:21" s="75" customFormat="1" hidden="1">
      <c r="A805" s="67"/>
      <c r="B805" s="916"/>
      <c r="C805" s="132"/>
      <c r="D805" s="132"/>
      <c r="E805" s="132"/>
      <c r="N805" s="916"/>
      <c r="P805" s="917"/>
      <c r="R805" s="67"/>
      <c r="S805" s="67"/>
      <c r="T805" s="67"/>
      <c r="U805" s="67"/>
    </row>
    <row r="806" spans="1:21" s="75" customFormat="1" hidden="1">
      <c r="A806" s="67"/>
      <c r="B806" s="916"/>
      <c r="C806" s="132"/>
      <c r="D806" s="132"/>
      <c r="E806" s="132"/>
      <c r="N806" s="916"/>
      <c r="P806" s="917"/>
      <c r="R806" s="67"/>
      <c r="S806" s="67"/>
      <c r="T806" s="67"/>
      <c r="U806" s="67"/>
    </row>
    <row r="807" spans="1:21" s="75" customFormat="1" hidden="1">
      <c r="A807" s="67"/>
      <c r="B807" s="916"/>
      <c r="C807" s="132"/>
      <c r="D807" s="132"/>
      <c r="E807" s="132"/>
      <c r="N807" s="916"/>
      <c r="P807" s="917"/>
      <c r="R807" s="67"/>
      <c r="S807" s="67"/>
      <c r="T807" s="67"/>
      <c r="U807" s="67"/>
    </row>
    <row r="808" spans="1:21" s="75" customFormat="1" hidden="1">
      <c r="A808" s="67"/>
      <c r="B808" s="916"/>
      <c r="C808" s="132"/>
      <c r="D808" s="132"/>
      <c r="E808" s="132"/>
      <c r="N808" s="916"/>
      <c r="P808" s="917"/>
      <c r="R808" s="67"/>
      <c r="S808" s="67"/>
      <c r="T808" s="67"/>
      <c r="U808" s="67"/>
    </row>
    <row r="809" spans="1:21" s="75" customFormat="1" hidden="1">
      <c r="A809" s="67"/>
      <c r="B809" s="916"/>
      <c r="C809" s="132"/>
      <c r="D809" s="132"/>
      <c r="E809" s="132"/>
      <c r="N809" s="916"/>
      <c r="P809" s="917"/>
      <c r="R809" s="67"/>
      <c r="S809" s="67"/>
      <c r="T809" s="67"/>
      <c r="U809" s="67"/>
    </row>
    <row r="810" spans="1:21" s="75" customFormat="1" hidden="1">
      <c r="A810" s="67"/>
      <c r="B810" s="916"/>
      <c r="C810" s="132"/>
      <c r="D810" s="132"/>
      <c r="E810" s="132"/>
      <c r="N810" s="916"/>
      <c r="P810" s="917"/>
      <c r="R810" s="67"/>
      <c r="S810" s="67"/>
      <c r="T810" s="67"/>
      <c r="U810" s="67"/>
    </row>
    <row r="811" spans="1:21" s="75" customFormat="1" hidden="1">
      <c r="A811" s="67"/>
      <c r="B811" s="916"/>
      <c r="C811" s="132"/>
      <c r="D811" s="132"/>
      <c r="E811" s="132"/>
      <c r="N811" s="916"/>
      <c r="P811" s="917"/>
      <c r="R811" s="67"/>
      <c r="S811" s="67"/>
      <c r="T811" s="67"/>
      <c r="U811" s="67"/>
    </row>
    <row r="812" spans="1:21" s="75" customFormat="1" hidden="1">
      <c r="A812" s="67"/>
      <c r="B812" s="916"/>
      <c r="C812" s="132"/>
      <c r="D812" s="132"/>
      <c r="E812" s="132"/>
      <c r="N812" s="916"/>
      <c r="P812" s="917"/>
      <c r="R812" s="67"/>
      <c r="S812" s="67"/>
      <c r="T812" s="67"/>
      <c r="U812" s="67"/>
    </row>
    <row r="813" spans="1:21" s="75" customFormat="1" hidden="1">
      <c r="A813" s="67"/>
      <c r="B813" s="916"/>
      <c r="C813" s="132"/>
      <c r="D813" s="132"/>
      <c r="E813" s="132"/>
      <c r="N813" s="916"/>
      <c r="P813" s="917"/>
      <c r="R813" s="67"/>
      <c r="S813" s="67"/>
      <c r="T813" s="67"/>
      <c r="U813" s="67"/>
    </row>
    <row r="814" spans="1:21" s="75" customFormat="1" hidden="1">
      <c r="A814" s="67"/>
      <c r="B814" s="916"/>
      <c r="C814" s="132"/>
      <c r="D814" s="132"/>
      <c r="E814" s="132"/>
      <c r="N814" s="916"/>
      <c r="P814" s="917"/>
      <c r="R814" s="67"/>
      <c r="S814" s="67"/>
      <c r="T814" s="67"/>
      <c r="U814" s="67"/>
    </row>
    <row r="815" spans="1:21" s="75" customFormat="1" hidden="1">
      <c r="A815" s="67"/>
      <c r="B815" s="916"/>
      <c r="C815" s="132"/>
      <c r="D815" s="132"/>
      <c r="E815" s="132"/>
      <c r="N815" s="916"/>
      <c r="P815" s="917"/>
      <c r="R815" s="67"/>
      <c r="S815" s="67"/>
      <c r="T815" s="67"/>
      <c r="U815" s="67"/>
    </row>
    <row r="816" spans="1:21" s="75" customFormat="1" hidden="1">
      <c r="A816" s="67"/>
      <c r="B816" s="916"/>
      <c r="C816" s="132"/>
      <c r="D816" s="132"/>
      <c r="E816" s="132"/>
      <c r="N816" s="916"/>
      <c r="P816" s="917"/>
      <c r="R816" s="67"/>
      <c r="S816" s="67"/>
      <c r="T816" s="67"/>
      <c r="U816" s="67"/>
    </row>
    <row r="817" spans="1:21" s="75" customFormat="1" hidden="1">
      <c r="A817" s="67"/>
      <c r="B817" s="916"/>
      <c r="C817" s="132"/>
      <c r="D817" s="132"/>
      <c r="E817" s="132"/>
      <c r="N817" s="916"/>
      <c r="P817" s="917"/>
      <c r="R817" s="67"/>
      <c r="S817" s="67"/>
      <c r="T817" s="67"/>
      <c r="U817" s="67"/>
    </row>
    <row r="818" spans="1:21" s="75" customFormat="1" hidden="1">
      <c r="A818" s="67"/>
      <c r="B818" s="916"/>
      <c r="C818" s="132"/>
      <c r="D818" s="132"/>
      <c r="E818" s="132"/>
      <c r="N818" s="916"/>
      <c r="P818" s="917"/>
      <c r="R818" s="67"/>
      <c r="S818" s="67"/>
      <c r="T818" s="67"/>
      <c r="U818" s="67"/>
    </row>
    <row r="819" spans="1:21" s="75" customFormat="1" hidden="1">
      <c r="A819" s="67"/>
      <c r="B819" s="916"/>
      <c r="C819" s="132"/>
      <c r="D819" s="132"/>
      <c r="E819" s="132"/>
      <c r="N819" s="916"/>
      <c r="P819" s="917"/>
      <c r="R819" s="67"/>
      <c r="S819" s="67"/>
      <c r="T819" s="67"/>
      <c r="U819" s="67"/>
    </row>
    <row r="820" spans="1:21" s="75" customFormat="1" hidden="1">
      <c r="A820" s="67"/>
      <c r="B820" s="916"/>
      <c r="C820" s="132"/>
      <c r="D820" s="132"/>
      <c r="E820" s="132"/>
      <c r="N820" s="916"/>
      <c r="P820" s="917"/>
      <c r="R820" s="67"/>
      <c r="S820" s="67"/>
      <c r="T820" s="67"/>
      <c r="U820" s="67"/>
    </row>
    <row r="821" spans="1:21" s="75" customFormat="1" hidden="1">
      <c r="A821" s="67"/>
      <c r="B821" s="916"/>
      <c r="C821" s="132"/>
      <c r="D821" s="132"/>
      <c r="E821" s="132"/>
      <c r="N821" s="916"/>
      <c r="P821" s="917"/>
      <c r="R821" s="67"/>
      <c r="S821" s="67"/>
      <c r="T821" s="67"/>
      <c r="U821" s="67"/>
    </row>
    <row r="822" spans="1:21" s="75" customFormat="1" hidden="1">
      <c r="A822" s="67"/>
      <c r="B822" s="916"/>
      <c r="C822" s="132"/>
      <c r="D822" s="132"/>
      <c r="E822" s="132"/>
      <c r="N822" s="916"/>
      <c r="P822" s="917"/>
      <c r="R822" s="67"/>
      <c r="S822" s="67"/>
      <c r="T822" s="67"/>
      <c r="U822" s="67"/>
    </row>
    <row r="823" spans="1:21" s="75" customFormat="1" hidden="1">
      <c r="A823" s="67"/>
      <c r="B823" s="916"/>
      <c r="C823" s="132"/>
      <c r="D823" s="132"/>
      <c r="E823" s="132"/>
      <c r="N823" s="916"/>
      <c r="P823" s="917"/>
      <c r="R823" s="67"/>
      <c r="S823" s="67"/>
      <c r="T823" s="67"/>
      <c r="U823" s="67"/>
    </row>
    <row r="824" spans="1:21" s="75" customFormat="1" hidden="1">
      <c r="A824" s="67"/>
      <c r="B824" s="916"/>
      <c r="C824" s="132"/>
      <c r="D824" s="132"/>
      <c r="E824" s="132"/>
      <c r="N824" s="916"/>
      <c r="P824" s="917"/>
      <c r="R824" s="67"/>
      <c r="S824" s="67"/>
      <c r="T824" s="67"/>
      <c r="U824" s="67"/>
    </row>
    <row r="825" spans="1:21" s="75" customFormat="1" hidden="1">
      <c r="A825" s="67"/>
      <c r="B825" s="916"/>
      <c r="C825" s="132"/>
      <c r="D825" s="132"/>
      <c r="E825" s="132"/>
      <c r="N825" s="916"/>
      <c r="P825" s="917"/>
      <c r="R825" s="67"/>
      <c r="S825" s="67"/>
      <c r="T825" s="67"/>
      <c r="U825" s="67"/>
    </row>
    <row r="826" spans="1:21" s="75" customFormat="1" hidden="1">
      <c r="A826" s="67"/>
      <c r="B826" s="916"/>
      <c r="C826" s="132"/>
      <c r="D826" s="132"/>
      <c r="E826" s="132"/>
      <c r="N826" s="916"/>
      <c r="P826" s="917"/>
      <c r="R826" s="67"/>
      <c r="S826" s="67"/>
      <c r="T826" s="67"/>
      <c r="U826" s="67"/>
    </row>
    <row r="827" spans="1:21" s="75" customFormat="1" hidden="1">
      <c r="A827" s="67"/>
      <c r="B827" s="916"/>
      <c r="C827" s="132"/>
      <c r="D827" s="132"/>
      <c r="E827" s="132"/>
      <c r="N827" s="916"/>
      <c r="P827" s="917"/>
      <c r="R827" s="67"/>
      <c r="S827" s="67"/>
      <c r="T827" s="67"/>
      <c r="U827" s="67"/>
    </row>
    <row r="828" spans="1:21" s="75" customFormat="1" hidden="1">
      <c r="A828" s="67"/>
      <c r="B828" s="916"/>
      <c r="C828" s="132"/>
      <c r="D828" s="132"/>
      <c r="E828" s="132"/>
      <c r="N828" s="916"/>
      <c r="P828" s="917"/>
      <c r="R828" s="67"/>
      <c r="S828" s="67"/>
      <c r="T828" s="67"/>
      <c r="U828" s="67"/>
    </row>
    <row r="829" spans="1:21" s="75" customFormat="1" hidden="1">
      <c r="A829" s="67"/>
      <c r="B829" s="916"/>
      <c r="C829" s="132"/>
      <c r="D829" s="132"/>
      <c r="E829" s="132"/>
      <c r="N829" s="916"/>
      <c r="P829" s="917"/>
      <c r="R829" s="67"/>
      <c r="S829" s="67"/>
      <c r="T829" s="67"/>
      <c r="U829" s="67"/>
    </row>
    <row r="830" spans="1:21" s="75" customFormat="1" hidden="1">
      <c r="A830" s="67"/>
      <c r="B830" s="916"/>
      <c r="C830" s="132"/>
      <c r="D830" s="132"/>
      <c r="E830" s="132"/>
      <c r="N830" s="916"/>
      <c r="P830" s="917"/>
      <c r="R830" s="67"/>
      <c r="S830" s="67"/>
      <c r="T830" s="67"/>
      <c r="U830" s="67"/>
    </row>
    <row r="831" spans="1:21" s="75" customFormat="1" hidden="1">
      <c r="A831" s="67"/>
      <c r="B831" s="916"/>
      <c r="C831" s="132"/>
      <c r="D831" s="132"/>
      <c r="E831" s="132"/>
      <c r="N831" s="916"/>
      <c r="P831" s="917"/>
      <c r="R831" s="67"/>
      <c r="S831" s="67"/>
      <c r="T831" s="67"/>
      <c r="U831" s="67"/>
    </row>
    <row r="832" spans="1:21" s="75" customFormat="1" hidden="1">
      <c r="A832" s="67"/>
      <c r="B832" s="916"/>
      <c r="C832" s="132"/>
      <c r="D832" s="132"/>
      <c r="E832" s="132"/>
      <c r="N832" s="916"/>
      <c r="P832" s="917"/>
      <c r="R832" s="67"/>
      <c r="S832" s="67"/>
      <c r="T832" s="67"/>
      <c r="U832" s="67"/>
    </row>
    <row r="833" spans="1:21" s="75" customFormat="1" hidden="1">
      <c r="A833" s="67"/>
      <c r="B833" s="916"/>
      <c r="C833" s="132"/>
      <c r="D833" s="132"/>
      <c r="E833" s="132"/>
      <c r="N833" s="916"/>
      <c r="P833" s="917"/>
      <c r="R833" s="67"/>
      <c r="S833" s="67"/>
      <c r="T833" s="67"/>
      <c r="U833" s="67"/>
    </row>
    <row r="834" spans="1:21" s="75" customFormat="1" hidden="1">
      <c r="A834" s="67"/>
      <c r="B834" s="916"/>
      <c r="C834" s="132"/>
      <c r="D834" s="132"/>
      <c r="E834" s="132"/>
      <c r="N834" s="916"/>
      <c r="P834" s="917"/>
      <c r="R834" s="67"/>
      <c r="S834" s="67"/>
      <c r="T834" s="67"/>
      <c r="U834" s="67"/>
    </row>
    <row r="835" spans="1:21" s="75" customFormat="1" hidden="1">
      <c r="A835" s="67"/>
      <c r="B835" s="916"/>
      <c r="C835" s="132"/>
      <c r="D835" s="132"/>
      <c r="E835" s="132"/>
      <c r="N835" s="916"/>
      <c r="P835" s="917"/>
      <c r="R835" s="67"/>
      <c r="S835" s="67"/>
      <c r="T835" s="67"/>
      <c r="U835" s="67"/>
    </row>
    <row r="836" spans="1:21" s="75" customFormat="1" hidden="1">
      <c r="A836" s="67"/>
      <c r="B836" s="916"/>
      <c r="C836" s="132"/>
      <c r="D836" s="132"/>
      <c r="E836" s="132"/>
      <c r="N836" s="916"/>
      <c r="P836" s="917"/>
      <c r="R836" s="67"/>
      <c r="S836" s="67"/>
      <c r="T836" s="67"/>
      <c r="U836" s="67"/>
    </row>
    <row r="837" spans="1:21" s="75" customFormat="1" hidden="1">
      <c r="A837" s="67"/>
      <c r="B837" s="916"/>
      <c r="C837" s="132"/>
      <c r="D837" s="132"/>
      <c r="E837" s="132"/>
      <c r="N837" s="916"/>
      <c r="P837" s="917"/>
      <c r="R837" s="67"/>
      <c r="S837" s="67"/>
      <c r="T837" s="67"/>
      <c r="U837" s="67"/>
    </row>
    <row r="838" spans="1:21" s="75" customFormat="1" hidden="1">
      <c r="A838" s="67"/>
      <c r="B838" s="916"/>
      <c r="C838" s="132"/>
      <c r="D838" s="132"/>
      <c r="E838" s="132"/>
      <c r="N838" s="916"/>
      <c r="P838" s="917"/>
      <c r="R838" s="67"/>
      <c r="S838" s="67"/>
      <c r="T838" s="67"/>
      <c r="U838" s="67"/>
    </row>
    <row r="839" spans="1:21" s="75" customFormat="1" hidden="1">
      <c r="A839" s="67"/>
      <c r="B839" s="916"/>
      <c r="C839" s="132"/>
      <c r="D839" s="132"/>
      <c r="E839" s="132"/>
      <c r="N839" s="916"/>
      <c r="P839" s="917"/>
      <c r="R839" s="67"/>
      <c r="S839" s="67"/>
      <c r="T839" s="67"/>
      <c r="U839" s="67"/>
    </row>
    <row r="840" spans="1:21" s="75" customFormat="1" hidden="1">
      <c r="A840" s="67"/>
      <c r="B840" s="916"/>
      <c r="C840" s="132"/>
      <c r="D840" s="132"/>
      <c r="E840" s="132"/>
      <c r="N840" s="916"/>
      <c r="P840" s="917"/>
      <c r="R840" s="67"/>
      <c r="S840" s="67"/>
      <c r="T840" s="67"/>
      <c r="U840" s="67"/>
    </row>
    <row r="841" spans="1:21" s="75" customFormat="1" hidden="1">
      <c r="A841" s="67"/>
      <c r="B841" s="916"/>
      <c r="C841" s="132"/>
      <c r="D841" s="132"/>
      <c r="E841" s="132"/>
      <c r="N841" s="916"/>
      <c r="P841" s="917"/>
      <c r="R841" s="67"/>
      <c r="S841" s="67"/>
      <c r="T841" s="67"/>
      <c r="U841" s="67"/>
    </row>
    <row r="842" spans="1:21" s="75" customFormat="1" hidden="1">
      <c r="A842" s="67"/>
      <c r="B842" s="916"/>
      <c r="C842" s="132"/>
      <c r="D842" s="132"/>
      <c r="E842" s="132"/>
      <c r="N842" s="916"/>
      <c r="P842" s="917"/>
      <c r="R842" s="67"/>
      <c r="S842" s="67"/>
      <c r="T842" s="67"/>
      <c r="U842" s="67"/>
    </row>
    <row r="843" spans="1:21" s="75" customFormat="1" hidden="1">
      <c r="A843" s="67"/>
      <c r="B843" s="916"/>
      <c r="C843" s="132"/>
      <c r="D843" s="132"/>
      <c r="E843" s="132"/>
      <c r="N843" s="916"/>
      <c r="P843" s="917"/>
      <c r="R843" s="67"/>
      <c r="S843" s="67"/>
      <c r="T843" s="67"/>
      <c r="U843" s="67"/>
    </row>
    <row r="844" spans="1:21" s="75" customFormat="1" hidden="1">
      <c r="A844" s="67"/>
      <c r="B844" s="916"/>
      <c r="C844" s="132"/>
      <c r="D844" s="132"/>
      <c r="E844" s="132"/>
      <c r="N844" s="916"/>
      <c r="P844" s="917"/>
      <c r="R844" s="67"/>
      <c r="S844" s="67"/>
      <c r="T844" s="67"/>
      <c r="U844" s="67"/>
    </row>
    <row r="845" spans="1:21" s="75" customFormat="1" hidden="1">
      <c r="A845" s="67"/>
      <c r="B845" s="916"/>
      <c r="C845" s="132"/>
      <c r="D845" s="132"/>
      <c r="E845" s="132"/>
      <c r="N845" s="916"/>
      <c r="P845" s="917"/>
      <c r="R845" s="67"/>
      <c r="S845" s="67"/>
      <c r="T845" s="67"/>
      <c r="U845" s="67"/>
    </row>
    <row r="846" spans="1:21" s="75" customFormat="1" hidden="1">
      <c r="A846" s="67"/>
      <c r="B846" s="916"/>
      <c r="C846" s="132"/>
      <c r="D846" s="132"/>
      <c r="E846" s="132"/>
      <c r="N846" s="916"/>
      <c r="P846" s="917"/>
      <c r="R846" s="67"/>
      <c r="S846" s="67"/>
      <c r="T846" s="67"/>
      <c r="U846" s="67"/>
    </row>
    <row r="847" spans="1:21" s="75" customFormat="1" hidden="1">
      <c r="A847" s="67"/>
      <c r="B847" s="916"/>
      <c r="C847" s="132"/>
      <c r="D847" s="132"/>
      <c r="E847" s="132"/>
      <c r="N847" s="916"/>
      <c r="P847" s="917"/>
      <c r="R847" s="67"/>
      <c r="S847" s="67"/>
      <c r="T847" s="67"/>
      <c r="U847" s="67"/>
    </row>
    <row r="848" spans="1:21" s="75" customFormat="1" hidden="1">
      <c r="A848" s="67"/>
      <c r="B848" s="916"/>
      <c r="C848" s="132"/>
      <c r="D848" s="132"/>
      <c r="E848" s="132"/>
      <c r="N848" s="916"/>
      <c r="P848" s="917"/>
      <c r="R848" s="67"/>
      <c r="S848" s="67"/>
      <c r="T848" s="67"/>
      <c r="U848" s="67"/>
    </row>
    <row r="849" spans="1:21" s="75" customFormat="1" hidden="1">
      <c r="A849" s="67"/>
      <c r="B849" s="916"/>
      <c r="C849" s="132"/>
      <c r="D849" s="132"/>
      <c r="E849" s="132"/>
      <c r="N849" s="916"/>
      <c r="P849" s="917"/>
      <c r="R849" s="67"/>
      <c r="S849" s="67"/>
      <c r="T849" s="67"/>
      <c r="U849" s="67"/>
    </row>
    <row r="850" spans="1:21" s="75" customFormat="1" hidden="1">
      <c r="A850" s="67"/>
      <c r="B850" s="916"/>
      <c r="C850" s="132"/>
      <c r="D850" s="132"/>
      <c r="E850" s="132"/>
      <c r="N850" s="916"/>
      <c r="P850" s="917"/>
      <c r="R850" s="67"/>
      <c r="S850" s="67"/>
      <c r="T850" s="67"/>
      <c r="U850" s="67"/>
    </row>
    <row r="851" spans="1:21" s="75" customFormat="1" hidden="1">
      <c r="A851" s="67"/>
      <c r="B851" s="916"/>
      <c r="C851" s="132"/>
      <c r="D851" s="132"/>
      <c r="E851" s="132"/>
      <c r="N851" s="916"/>
      <c r="P851" s="917"/>
      <c r="R851" s="67"/>
      <c r="S851" s="67"/>
      <c r="T851" s="67"/>
      <c r="U851" s="67"/>
    </row>
    <row r="852" spans="1:21" s="75" customFormat="1" hidden="1">
      <c r="A852" s="67"/>
      <c r="B852" s="916"/>
      <c r="C852" s="132"/>
      <c r="D852" s="132"/>
      <c r="E852" s="132"/>
      <c r="N852" s="916"/>
      <c r="P852" s="917"/>
      <c r="R852" s="67"/>
      <c r="S852" s="67"/>
      <c r="T852" s="67"/>
      <c r="U852" s="67"/>
    </row>
    <row r="853" spans="1:21" s="75" customFormat="1" hidden="1">
      <c r="A853" s="67"/>
      <c r="B853" s="916"/>
      <c r="C853" s="132"/>
      <c r="D853" s="132"/>
      <c r="E853" s="132"/>
      <c r="N853" s="916"/>
      <c r="P853" s="917"/>
      <c r="R853" s="67"/>
      <c r="S853" s="67"/>
      <c r="T853" s="67"/>
      <c r="U853" s="67"/>
    </row>
    <row r="854" spans="1:21" s="75" customFormat="1" hidden="1">
      <c r="A854" s="67"/>
      <c r="B854" s="916"/>
      <c r="C854" s="132"/>
      <c r="D854" s="132"/>
      <c r="E854" s="132"/>
      <c r="N854" s="916"/>
      <c r="P854" s="917"/>
      <c r="R854" s="67"/>
      <c r="S854" s="67"/>
      <c r="T854" s="67"/>
      <c r="U854" s="67"/>
    </row>
    <row r="855" spans="1:21" s="75" customFormat="1" hidden="1">
      <c r="A855" s="67"/>
      <c r="B855" s="916"/>
      <c r="C855" s="132"/>
      <c r="D855" s="132"/>
      <c r="E855" s="132"/>
      <c r="N855" s="916"/>
      <c r="P855" s="917"/>
      <c r="R855" s="67"/>
      <c r="S855" s="67"/>
      <c r="T855" s="67"/>
      <c r="U855" s="67"/>
    </row>
    <row r="856" spans="1:21" s="75" customFormat="1" hidden="1">
      <c r="A856" s="67"/>
      <c r="B856" s="916"/>
      <c r="C856" s="132"/>
      <c r="D856" s="132"/>
      <c r="E856" s="132"/>
      <c r="N856" s="916"/>
      <c r="P856" s="917"/>
      <c r="R856" s="67"/>
      <c r="S856" s="67"/>
      <c r="T856" s="67"/>
      <c r="U856" s="67"/>
    </row>
    <row r="857" spans="1:21" s="75" customFormat="1" hidden="1">
      <c r="A857" s="67"/>
      <c r="B857" s="916"/>
      <c r="C857" s="132"/>
      <c r="D857" s="132"/>
      <c r="E857" s="132"/>
      <c r="N857" s="916"/>
      <c r="P857" s="917"/>
      <c r="R857" s="67"/>
      <c r="S857" s="67"/>
      <c r="T857" s="67"/>
      <c r="U857" s="67"/>
    </row>
    <row r="858" spans="1:21" s="75" customFormat="1" hidden="1">
      <c r="A858" s="67"/>
      <c r="B858" s="916"/>
      <c r="C858" s="132"/>
      <c r="D858" s="132"/>
      <c r="E858" s="132"/>
      <c r="N858" s="916"/>
      <c r="P858" s="917"/>
      <c r="R858" s="67"/>
      <c r="S858" s="67"/>
      <c r="T858" s="67"/>
      <c r="U858" s="67"/>
    </row>
    <row r="859" spans="1:21" s="75" customFormat="1" hidden="1">
      <c r="A859" s="67"/>
      <c r="B859" s="916"/>
      <c r="C859" s="132"/>
      <c r="D859" s="132"/>
      <c r="E859" s="132"/>
      <c r="N859" s="916"/>
      <c r="P859" s="917"/>
      <c r="R859" s="67"/>
      <c r="S859" s="67"/>
      <c r="T859" s="67"/>
      <c r="U859" s="67"/>
    </row>
    <row r="860" spans="1:21" s="75" customFormat="1" hidden="1">
      <c r="A860" s="67"/>
      <c r="B860" s="916"/>
      <c r="C860" s="132"/>
      <c r="D860" s="132"/>
      <c r="E860" s="132"/>
      <c r="N860" s="916"/>
      <c r="P860" s="917"/>
      <c r="R860" s="67"/>
      <c r="S860" s="67"/>
      <c r="T860" s="67"/>
      <c r="U860" s="67"/>
    </row>
    <row r="861" spans="1:21" s="75" customFormat="1" hidden="1">
      <c r="A861" s="67"/>
      <c r="B861" s="916"/>
      <c r="C861" s="132"/>
      <c r="D861" s="132"/>
      <c r="E861" s="132"/>
      <c r="N861" s="916"/>
      <c r="P861" s="917"/>
      <c r="R861" s="67"/>
      <c r="S861" s="67"/>
      <c r="T861" s="67"/>
      <c r="U861" s="67"/>
    </row>
    <row r="862" spans="1:21" s="75" customFormat="1" hidden="1">
      <c r="A862" s="67"/>
      <c r="B862" s="916"/>
      <c r="C862" s="132"/>
      <c r="D862" s="132"/>
      <c r="E862" s="132"/>
      <c r="N862" s="916"/>
      <c r="P862" s="917"/>
      <c r="R862" s="67"/>
      <c r="S862" s="67"/>
      <c r="T862" s="67"/>
      <c r="U862" s="67"/>
    </row>
    <row r="863" spans="1:21" s="75" customFormat="1" hidden="1">
      <c r="A863" s="67"/>
      <c r="B863" s="916"/>
      <c r="C863" s="132"/>
      <c r="D863" s="132"/>
      <c r="E863" s="132"/>
      <c r="N863" s="916"/>
      <c r="P863" s="917"/>
      <c r="R863" s="67"/>
      <c r="S863" s="67"/>
      <c r="T863" s="67"/>
      <c r="U863" s="67"/>
    </row>
    <row r="864" spans="1:21" s="75" customFormat="1" hidden="1">
      <c r="A864" s="67"/>
      <c r="B864" s="916"/>
      <c r="C864" s="132"/>
      <c r="D864" s="132"/>
      <c r="E864" s="132"/>
      <c r="N864" s="916"/>
      <c r="P864" s="917"/>
      <c r="R864" s="67"/>
      <c r="S864" s="67"/>
      <c r="T864" s="67"/>
      <c r="U864" s="67"/>
    </row>
    <row r="865" spans="1:21" s="75" customFormat="1" hidden="1">
      <c r="A865" s="67"/>
      <c r="B865" s="916"/>
      <c r="C865" s="132"/>
      <c r="D865" s="132"/>
      <c r="E865" s="132"/>
      <c r="N865" s="916"/>
      <c r="P865" s="917"/>
      <c r="R865" s="67"/>
      <c r="S865" s="67"/>
      <c r="T865" s="67"/>
      <c r="U865" s="67"/>
    </row>
    <row r="866" spans="1:21" s="75" customFormat="1" hidden="1">
      <c r="A866" s="67"/>
      <c r="B866" s="916"/>
      <c r="C866" s="132"/>
      <c r="D866" s="132"/>
      <c r="E866" s="132"/>
      <c r="N866" s="916"/>
      <c r="P866" s="917"/>
      <c r="R866" s="67"/>
      <c r="S866" s="67"/>
      <c r="T866" s="67"/>
      <c r="U866" s="67"/>
    </row>
    <row r="867" spans="1:21" s="75" customFormat="1" hidden="1">
      <c r="A867" s="67"/>
      <c r="B867" s="916"/>
      <c r="C867" s="132"/>
      <c r="D867" s="132"/>
      <c r="E867" s="132"/>
      <c r="N867" s="916"/>
      <c r="P867" s="917"/>
      <c r="R867" s="67"/>
      <c r="S867" s="67"/>
      <c r="T867" s="67"/>
      <c r="U867" s="67"/>
    </row>
    <row r="868" spans="1:21" s="75" customFormat="1" hidden="1">
      <c r="A868" s="67"/>
      <c r="B868" s="916"/>
      <c r="C868" s="132"/>
      <c r="D868" s="132"/>
      <c r="E868" s="132"/>
      <c r="N868" s="916"/>
      <c r="P868" s="917"/>
      <c r="R868" s="67"/>
      <c r="S868" s="67"/>
      <c r="T868" s="67"/>
      <c r="U868" s="67"/>
    </row>
    <row r="869" spans="1:21" s="75" customFormat="1" hidden="1">
      <c r="A869" s="67"/>
      <c r="B869" s="916"/>
      <c r="C869" s="132"/>
      <c r="D869" s="132"/>
      <c r="E869" s="132"/>
      <c r="N869" s="916"/>
      <c r="P869" s="917"/>
      <c r="R869" s="67"/>
      <c r="S869" s="67"/>
      <c r="T869" s="67"/>
      <c r="U869" s="67"/>
    </row>
    <row r="870" spans="1:21" s="75" customFormat="1" hidden="1">
      <c r="A870" s="67"/>
      <c r="B870" s="916"/>
      <c r="C870" s="132"/>
      <c r="D870" s="132"/>
      <c r="E870" s="132"/>
      <c r="N870" s="916"/>
      <c r="P870" s="917"/>
      <c r="R870" s="67"/>
      <c r="S870" s="67"/>
      <c r="T870" s="67"/>
      <c r="U870" s="67"/>
    </row>
    <row r="871" spans="1:21" s="75" customFormat="1" hidden="1">
      <c r="A871" s="67"/>
      <c r="B871" s="916"/>
      <c r="C871" s="132"/>
      <c r="D871" s="132"/>
      <c r="E871" s="132"/>
      <c r="N871" s="916"/>
      <c r="P871" s="917"/>
      <c r="R871" s="67"/>
      <c r="S871" s="67"/>
      <c r="T871" s="67"/>
      <c r="U871" s="67"/>
    </row>
    <row r="872" spans="1:21" s="75" customFormat="1" hidden="1">
      <c r="A872" s="67"/>
      <c r="B872" s="916"/>
      <c r="C872" s="132"/>
      <c r="D872" s="132"/>
      <c r="E872" s="132"/>
      <c r="N872" s="916"/>
      <c r="P872" s="917"/>
      <c r="R872" s="67"/>
      <c r="S872" s="67"/>
      <c r="T872" s="67"/>
      <c r="U872" s="67"/>
    </row>
    <row r="873" spans="1:21" s="75" customFormat="1" hidden="1">
      <c r="A873" s="67"/>
      <c r="B873" s="916"/>
      <c r="C873" s="132"/>
      <c r="D873" s="132"/>
      <c r="E873" s="132"/>
      <c r="N873" s="916"/>
      <c r="P873" s="917"/>
      <c r="R873" s="67"/>
      <c r="S873" s="67"/>
      <c r="T873" s="67"/>
      <c r="U873" s="67"/>
    </row>
    <row r="874" spans="1:21" s="75" customFormat="1" hidden="1">
      <c r="A874" s="67"/>
      <c r="B874" s="916"/>
      <c r="C874" s="132"/>
      <c r="D874" s="132"/>
      <c r="E874" s="132"/>
      <c r="N874" s="916"/>
      <c r="P874" s="917"/>
      <c r="R874" s="67"/>
      <c r="S874" s="67"/>
      <c r="T874" s="67"/>
      <c r="U874" s="67"/>
    </row>
    <row r="875" spans="1:21" s="75" customFormat="1" hidden="1">
      <c r="A875" s="67"/>
      <c r="B875" s="916"/>
      <c r="C875" s="132"/>
      <c r="D875" s="132"/>
      <c r="E875" s="132"/>
      <c r="N875" s="916"/>
      <c r="P875" s="917"/>
      <c r="R875" s="67"/>
      <c r="S875" s="67"/>
      <c r="T875" s="67"/>
      <c r="U875" s="67"/>
    </row>
    <row r="876" spans="1:21" s="75" customFormat="1" hidden="1">
      <c r="A876" s="67"/>
      <c r="B876" s="916"/>
      <c r="C876" s="132"/>
      <c r="D876" s="132"/>
      <c r="E876" s="132"/>
      <c r="N876" s="916"/>
      <c r="P876" s="917"/>
      <c r="R876" s="67"/>
      <c r="S876" s="67"/>
      <c r="T876" s="67"/>
      <c r="U876" s="67"/>
    </row>
    <row r="877" spans="1:21" s="75" customFormat="1" hidden="1">
      <c r="A877" s="67"/>
      <c r="B877" s="916"/>
      <c r="C877" s="132"/>
      <c r="D877" s="132"/>
      <c r="E877" s="132"/>
      <c r="N877" s="916"/>
      <c r="P877" s="917"/>
      <c r="R877" s="67"/>
      <c r="S877" s="67"/>
      <c r="T877" s="67"/>
      <c r="U877" s="67"/>
    </row>
    <row r="878" spans="1:21" s="75" customFormat="1" hidden="1">
      <c r="A878" s="67"/>
      <c r="B878" s="916"/>
      <c r="C878" s="132"/>
      <c r="D878" s="132"/>
      <c r="E878" s="132"/>
      <c r="N878" s="916"/>
      <c r="P878" s="917"/>
      <c r="R878" s="67"/>
      <c r="S878" s="67"/>
      <c r="T878" s="67"/>
      <c r="U878" s="67"/>
    </row>
    <row r="879" spans="1:21" s="75" customFormat="1" hidden="1">
      <c r="A879" s="67"/>
      <c r="B879" s="916"/>
      <c r="C879" s="132"/>
      <c r="D879" s="132"/>
      <c r="E879" s="132"/>
      <c r="N879" s="916"/>
      <c r="P879" s="917"/>
      <c r="R879" s="67"/>
      <c r="S879" s="67"/>
      <c r="T879" s="67"/>
      <c r="U879" s="67"/>
    </row>
    <row r="880" spans="1:21" s="75" customFormat="1" hidden="1">
      <c r="A880" s="67"/>
      <c r="B880" s="916"/>
      <c r="C880" s="132"/>
      <c r="D880" s="132"/>
      <c r="E880" s="132"/>
      <c r="N880" s="916"/>
      <c r="P880" s="917"/>
      <c r="R880" s="67"/>
      <c r="S880" s="67"/>
      <c r="T880" s="67"/>
      <c r="U880" s="67"/>
    </row>
    <row r="881" spans="1:21" s="75" customFormat="1" hidden="1">
      <c r="A881" s="67"/>
      <c r="B881" s="916"/>
      <c r="C881" s="132"/>
      <c r="D881" s="132"/>
      <c r="E881" s="132"/>
      <c r="N881" s="916"/>
      <c r="P881" s="917"/>
      <c r="R881" s="67"/>
      <c r="S881" s="67"/>
      <c r="T881" s="67"/>
      <c r="U881" s="67"/>
    </row>
    <row r="882" spans="1:21" s="75" customFormat="1" hidden="1">
      <c r="A882" s="67"/>
      <c r="B882" s="916"/>
      <c r="C882" s="132"/>
      <c r="D882" s="132"/>
      <c r="E882" s="132"/>
      <c r="N882" s="916"/>
      <c r="P882" s="917"/>
      <c r="R882" s="67"/>
      <c r="S882" s="67"/>
      <c r="T882" s="67"/>
      <c r="U882" s="67"/>
    </row>
    <row r="883" spans="1:21" s="75" customFormat="1" hidden="1">
      <c r="A883" s="67"/>
      <c r="B883" s="916"/>
      <c r="C883" s="132"/>
      <c r="D883" s="132"/>
      <c r="E883" s="132"/>
      <c r="N883" s="916"/>
      <c r="P883" s="917"/>
      <c r="R883" s="67"/>
      <c r="S883" s="67"/>
      <c r="T883" s="67"/>
      <c r="U883" s="67"/>
    </row>
    <row r="884" spans="1:21" s="75" customFormat="1" hidden="1">
      <c r="A884" s="67"/>
      <c r="B884" s="916"/>
      <c r="C884" s="132"/>
      <c r="D884" s="132"/>
      <c r="E884" s="132"/>
      <c r="N884" s="916"/>
      <c r="P884" s="917"/>
      <c r="R884" s="67"/>
      <c r="S884" s="67"/>
      <c r="T884" s="67"/>
      <c r="U884" s="67"/>
    </row>
    <row r="885" spans="1:21" s="75" customFormat="1" hidden="1">
      <c r="A885" s="67"/>
      <c r="B885" s="916"/>
      <c r="C885" s="132"/>
      <c r="D885" s="132"/>
      <c r="E885" s="132"/>
      <c r="N885" s="916"/>
      <c r="P885" s="917"/>
      <c r="R885" s="67"/>
      <c r="S885" s="67"/>
      <c r="T885" s="67"/>
      <c r="U885" s="67"/>
    </row>
    <row r="886" spans="1:21" s="75" customFormat="1" hidden="1">
      <c r="A886" s="67"/>
      <c r="B886" s="916"/>
      <c r="C886" s="132"/>
      <c r="D886" s="132"/>
      <c r="E886" s="132"/>
      <c r="N886" s="916"/>
      <c r="P886" s="917"/>
      <c r="R886" s="67"/>
      <c r="S886" s="67"/>
      <c r="T886" s="67"/>
      <c r="U886" s="67"/>
    </row>
    <row r="887" spans="1:21" s="75" customFormat="1" hidden="1">
      <c r="A887" s="67"/>
      <c r="B887" s="916"/>
      <c r="C887" s="132"/>
      <c r="D887" s="132"/>
      <c r="E887" s="132"/>
      <c r="N887" s="916"/>
      <c r="P887" s="917"/>
      <c r="R887" s="67"/>
      <c r="S887" s="67"/>
      <c r="T887" s="67"/>
      <c r="U887" s="67"/>
    </row>
    <row r="888" spans="1:21" s="75" customFormat="1" hidden="1">
      <c r="A888" s="67"/>
      <c r="B888" s="916"/>
      <c r="C888" s="132"/>
      <c r="D888" s="132"/>
      <c r="E888" s="132"/>
      <c r="N888" s="916"/>
      <c r="P888" s="917"/>
      <c r="R888" s="67"/>
      <c r="S888" s="67"/>
      <c r="T888" s="67"/>
      <c r="U888" s="67"/>
    </row>
    <row r="889" spans="1:21" s="75" customFormat="1" hidden="1">
      <c r="A889" s="67"/>
      <c r="B889" s="916"/>
      <c r="C889" s="132"/>
      <c r="D889" s="132"/>
      <c r="E889" s="132"/>
      <c r="N889" s="916"/>
      <c r="P889" s="917"/>
      <c r="R889" s="67"/>
      <c r="S889" s="67"/>
      <c r="T889" s="67"/>
      <c r="U889" s="67"/>
    </row>
    <row r="890" spans="1:21" s="75" customFormat="1" hidden="1">
      <c r="A890" s="67"/>
      <c r="B890" s="916"/>
      <c r="C890" s="132"/>
      <c r="D890" s="132"/>
      <c r="E890" s="132"/>
      <c r="N890" s="916"/>
      <c r="P890" s="917"/>
      <c r="R890" s="67"/>
      <c r="S890" s="67"/>
      <c r="T890" s="67"/>
      <c r="U890" s="67"/>
    </row>
    <row r="891" spans="1:21" s="75" customFormat="1" hidden="1">
      <c r="A891" s="67"/>
      <c r="B891" s="916"/>
      <c r="C891" s="132"/>
      <c r="D891" s="132"/>
      <c r="E891" s="132"/>
      <c r="N891" s="916"/>
      <c r="P891" s="917"/>
      <c r="R891" s="67"/>
      <c r="S891" s="67"/>
      <c r="T891" s="67"/>
      <c r="U891" s="67"/>
    </row>
    <row r="892" spans="1:21" s="75" customFormat="1" hidden="1">
      <c r="A892" s="67"/>
      <c r="B892" s="916"/>
      <c r="C892" s="132"/>
      <c r="D892" s="132"/>
      <c r="E892" s="132"/>
      <c r="N892" s="916"/>
      <c r="P892" s="917"/>
      <c r="R892" s="67"/>
      <c r="S892" s="67"/>
      <c r="T892" s="67"/>
      <c r="U892" s="67"/>
    </row>
    <row r="893" spans="1:21" s="75" customFormat="1" hidden="1">
      <c r="A893" s="67"/>
      <c r="B893" s="916"/>
      <c r="C893" s="132"/>
      <c r="D893" s="132"/>
      <c r="E893" s="132"/>
      <c r="N893" s="916"/>
      <c r="P893" s="917"/>
      <c r="R893" s="67"/>
      <c r="S893" s="67"/>
      <c r="T893" s="67"/>
      <c r="U893" s="67"/>
    </row>
    <row r="894" spans="1:21" s="75" customFormat="1" hidden="1">
      <c r="A894" s="67"/>
      <c r="B894" s="916"/>
      <c r="C894" s="132"/>
      <c r="D894" s="132"/>
      <c r="E894" s="132"/>
      <c r="N894" s="916"/>
      <c r="P894" s="917"/>
      <c r="R894" s="67"/>
      <c r="S894" s="67"/>
      <c r="T894" s="67"/>
      <c r="U894" s="67"/>
    </row>
    <row r="895" spans="1:21" s="75" customFormat="1" hidden="1">
      <c r="A895" s="67"/>
      <c r="B895" s="916"/>
      <c r="C895" s="132"/>
      <c r="D895" s="132"/>
      <c r="E895" s="132"/>
      <c r="N895" s="916"/>
      <c r="P895" s="917"/>
      <c r="R895" s="67"/>
      <c r="S895" s="67"/>
      <c r="T895" s="67"/>
      <c r="U895" s="67"/>
    </row>
    <row r="896" spans="1:21" s="75" customFormat="1" hidden="1">
      <c r="A896" s="67"/>
      <c r="B896" s="916"/>
      <c r="C896" s="132"/>
      <c r="D896" s="132"/>
      <c r="E896" s="132"/>
      <c r="N896" s="916"/>
      <c r="P896" s="917"/>
      <c r="R896" s="67"/>
      <c r="S896" s="67"/>
      <c r="T896" s="67"/>
      <c r="U896" s="67"/>
    </row>
    <row r="897" spans="1:21" s="75" customFormat="1" hidden="1">
      <c r="A897" s="67"/>
      <c r="B897" s="916"/>
      <c r="C897" s="132"/>
      <c r="D897" s="132"/>
      <c r="E897" s="132"/>
      <c r="N897" s="916"/>
      <c r="P897" s="917"/>
      <c r="R897" s="67"/>
      <c r="S897" s="67"/>
      <c r="T897" s="67"/>
      <c r="U897" s="67"/>
    </row>
    <row r="898" spans="1:21" s="75" customFormat="1" hidden="1">
      <c r="A898" s="67"/>
      <c r="B898" s="916"/>
      <c r="C898" s="132"/>
      <c r="D898" s="132"/>
      <c r="E898" s="132"/>
      <c r="N898" s="916"/>
      <c r="P898" s="917"/>
      <c r="R898" s="67"/>
      <c r="S898" s="67"/>
      <c r="T898" s="67"/>
      <c r="U898" s="67"/>
    </row>
    <row r="899" spans="1:21" s="75" customFormat="1" hidden="1">
      <c r="A899" s="67"/>
      <c r="B899" s="916"/>
      <c r="C899" s="132"/>
      <c r="D899" s="132"/>
      <c r="E899" s="132"/>
      <c r="N899" s="916"/>
      <c r="P899" s="917"/>
      <c r="R899" s="67"/>
      <c r="S899" s="67"/>
      <c r="T899" s="67"/>
      <c r="U899" s="67"/>
    </row>
    <row r="900" spans="1:21" s="75" customFormat="1" hidden="1">
      <c r="A900" s="67"/>
      <c r="B900" s="916"/>
      <c r="C900" s="132"/>
      <c r="D900" s="132"/>
      <c r="E900" s="132"/>
      <c r="N900" s="916"/>
      <c r="P900" s="917"/>
      <c r="R900" s="67"/>
      <c r="S900" s="67"/>
      <c r="T900" s="67"/>
      <c r="U900" s="67"/>
    </row>
    <row r="901" spans="1:21" s="75" customFormat="1" hidden="1">
      <c r="A901" s="67"/>
      <c r="B901" s="916"/>
      <c r="C901" s="132"/>
      <c r="D901" s="132"/>
      <c r="E901" s="132"/>
      <c r="N901" s="916"/>
      <c r="P901" s="917"/>
      <c r="R901" s="67"/>
      <c r="S901" s="67"/>
      <c r="T901" s="67"/>
      <c r="U901" s="67"/>
    </row>
    <row r="902" spans="1:21" s="75" customFormat="1" hidden="1">
      <c r="A902" s="67"/>
      <c r="B902" s="916"/>
      <c r="C902" s="132"/>
      <c r="D902" s="132"/>
      <c r="E902" s="132"/>
      <c r="N902" s="916"/>
      <c r="P902" s="917"/>
      <c r="R902" s="67"/>
      <c r="S902" s="67"/>
      <c r="T902" s="67"/>
      <c r="U902" s="67"/>
    </row>
    <row r="903" spans="1:21" s="75" customFormat="1" hidden="1">
      <c r="A903" s="67"/>
      <c r="B903" s="916"/>
      <c r="C903" s="132"/>
      <c r="D903" s="132"/>
      <c r="E903" s="132"/>
      <c r="N903" s="916"/>
      <c r="P903" s="917"/>
      <c r="R903" s="67"/>
      <c r="S903" s="67"/>
      <c r="T903" s="67"/>
      <c r="U903" s="67"/>
    </row>
    <row r="904" spans="1:21" s="75" customFormat="1" hidden="1">
      <c r="A904" s="67"/>
      <c r="B904" s="916"/>
      <c r="C904" s="132"/>
      <c r="D904" s="132"/>
      <c r="E904" s="132"/>
      <c r="N904" s="916"/>
      <c r="P904" s="917"/>
      <c r="R904" s="67"/>
      <c r="S904" s="67"/>
      <c r="T904" s="67"/>
      <c r="U904" s="67"/>
    </row>
    <row r="905" spans="1:21" s="75" customFormat="1" hidden="1">
      <c r="A905" s="67"/>
      <c r="B905" s="916"/>
      <c r="C905" s="132"/>
      <c r="D905" s="132"/>
      <c r="E905" s="132"/>
      <c r="N905" s="916"/>
      <c r="P905" s="917"/>
      <c r="R905" s="67"/>
      <c r="S905" s="67"/>
      <c r="T905" s="67"/>
      <c r="U905" s="67"/>
    </row>
    <row r="906" spans="1:21" s="75" customFormat="1" hidden="1">
      <c r="A906" s="67"/>
      <c r="B906" s="916"/>
      <c r="C906" s="132"/>
      <c r="D906" s="132"/>
      <c r="E906" s="132"/>
      <c r="N906" s="916"/>
      <c r="P906" s="917"/>
      <c r="R906" s="67"/>
      <c r="S906" s="67"/>
      <c r="T906" s="67"/>
      <c r="U906" s="67"/>
    </row>
    <row r="907" spans="1:21" s="75" customFormat="1" hidden="1">
      <c r="A907" s="67"/>
      <c r="B907" s="916"/>
      <c r="C907" s="132"/>
      <c r="D907" s="132"/>
      <c r="E907" s="132"/>
      <c r="N907" s="916"/>
      <c r="P907" s="917"/>
      <c r="R907" s="67"/>
      <c r="S907" s="67"/>
      <c r="T907" s="67"/>
      <c r="U907" s="67"/>
    </row>
    <row r="908" spans="1:21" s="75" customFormat="1" hidden="1">
      <c r="A908" s="67"/>
      <c r="B908" s="916"/>
      <c r="C908" s="132"/>
      <c r="D908" s="132"/>
      <c r="E908" s="132"/>
      <c r="N908" s="916"/>
      <c r="P908" s="917"/>
      <c r="R908" s="67"/>
      <c r="S908" s="67"/>
      <c r="T908" s="67"/>
      <c r="U908" s="67"/>
    </row>
    <row r="909" spans="1:21" s="75" customFormat="1" hidden="1">
      <c r="A909" s="67"/>
      <c r="B909" s="916"/>
      <c r="C909" s="132"/>
      <c r="D909" s="132"/>
      <c r="E909" s="132"/>
      <c r="N909" s="916"/>
      <c r="P909" s="917"/>
      <c r="R909" s="67"/>
      <c r="S909" s="67"/>
      <c r="T909" s="67"/>
      <c r="U909" s="67"/>
    </row>
    <row r="910" spans="1:21" s="75" customFormat="1" hidden="1">
      <c r="A910" s="67"/>
      <c r="B910" s="916"/>
      <c r="C910" s="132"/>
      <c r="D910" s="132"/>
      <c r="E910" s="132"/>
      <c r="N910" s="916"/>
      <c r="P910" s="917"/>
      <c r="R910" s="67"/>
      <c r="S910" s="67"/>
      <c r="T910" s="67"/>
      <c r="U910" s="67"/>
    </row>
    <row r="911" spans="1:21" s="75" customFormat="1" hidden="1">
      <c r="A911" s="67"/>
      <c r="B911" s="916"/>
      <c r="C911" s="132"/>
      <c r="D911" s="132"/>
      <c r="E911" s="132"/>
      <c r="N911" s="916"/>
      <c r="P911" s="917"/>
      <c r="R911" s="67"/>
      <c r="S911" s="67"/>
      <c r="T911" s="67"/>
      <c r="U911" s="67"/>
    </row>
    <row r="912" spans="1:21" s="75" customFormat="1" hidden="1">
      <c r="A912" s="67"/>
      <c r="B912" s="916"/>
      <c r="C912" s="132"/>
      <c r="D912" s="132"/>
      <c r="E912" s="132"/>
      <c r="N912" s="916"/>
      <c r="P912" s="917"/>
      <c r="R912" s="67"/>
      <c r="S912" s="67"/>
      <c r="T912" s="67"/>
      <c r="U912" s="67"/>
    </row>
    <row r="913" spans="1:21" s="75" customFormat="1" hidden="1">
      <c r="A913" s="67"/>
      <c r="B913" s="916"/>
      <c r="C913" s="132"/>
      <c r="D913" s="132"/>
      <c r="E913" s="132"/>
      <c r="N913" s="916"/>
      <c r="P913" s="917"/>
      <c r="R913" s="67"/>
      <c r="S913" s="67"/>
      <c r="T913" s="67"/>
      <c r="U913" s="67"/>
    </row>
    <row r="914" spans="1:21" s="75" customFormat="1" hidden="1">
      <c r="A914" s="67"/>
      <c r="B914" s="916"/>
      <c r="C914" s="132"/>
      <c r="D914" s="132"/>
      <c r="E914" s="132"/>
      <c r="N914" s="916"/>
      <c r="P914" s="917"/>
      <c r="R914" s="67"/>
      <c r="S914" s="67"/>
      <c r="T914" s="67"/>
      <c r="U914" s="67"/>
    </row>
    <row r="915" spans="1:21" s="75" customFormat="1" hidden="1">
      <c r="A915" s="67"/>
      <c r="B915" s="916"/>
      <c r="C915" s="132"/>
      <c r="D915" s="132"/>
      <c r="E915" s="132"/>
      <c r="N915" s="916"/>
      <c r="P915" s="917"/>
      <c r="R915" s="67"/>
      <c r="S915" s="67"/>
      <c r="T915" s="67"/>
      <c r="U915" s="67"/>
    </row>
    <row r="916" spans="1:21" s="75" customFormat="1" hidden="1">
      <c r="A916" s="67"/>
      <c r="B916" s="916"/>
      <c r="C916" s="132"/>
      <c r="D916" s="132"/>
      <c r="E916" s="132"/>
      <c r="N916" s="916"/>
      <c r="P916" s="917"/>
      <c r="R916" s="67"/>
      <c r="S916" s="67"/>
      <c r="T916" s="67"/>
      <c r="U916" s="67"/>
    </row>
    <row r="917" spans="1:21" s="75" customFormat="1" hidden="1">
      <c r="A917" s="67"/>
      <c r="B917" s="916"/>
      <c r="C917" s="132"/>
      <c r="D917" s="132"/>
      <c r="E917" s="132"/>
      <c r="N917" s="916"/>
      <c r="P917" s="917"/>
      <c r="R917" s="67"/>
      <c r="S917" s="67"/>
      <c r="T917" s="67"/>
      <c r="U917" s="67"/>
    </row>
    <row r="918" spans="1:21" s="75" customFormat="1" hidden="1">
      <c r="A918" s="67"/>
      <c r="B918" s="916"/>
      <c r="C918" s="132"/>
      <c r="D918" s="132"/>
      <c r="E918" s="132"/>
      <c r="N918" s="916"/>
      <c r="P918" s="917"/>
      <c r="R918" s="67"/>
      <c r="S918" s="67"/>
      <c r="T918" s="67"/>
      <c r="U918" s="67"/>
    </row>
    <row r="919" spans="1:21" s="75" customFormat="1" hidden="1">
      <c r="A919" s="67"/>
      <c r="B919" s="916"/>
      <c r="C919" s="132"/>
      <c r="D919" s="132"/>
      <c r="E919" s="132"/>
      <c r="N919" s="916"/>
      <c r="P919" s="917"/>
      <c r="R919" s="67"/>
      <c r="S919" s="67"/>
      <c r="T919" s="67"/>
      <c r="U919" s="67"/>
    </row>
    <row r="920" spans="1:21" s="75" customFormat="1" hidden="1">
      <c r="A920" s="67"/>
      <c r="B920" s="916"/>
      <c r="C920" s="132"/>
      <c r="D920" s="132"/>
      <c r="E920" s="132"/>
      <c r="N920" s="916"/>
      <c r="P920" s="917"/>
      <c r="R920" s="67"/>
      <c r="S920" s="67"/>
      <c r="T920" s="67"/>
      <c r="U920" s="67"/>
    </row>
    <row r="921" spans="1:21" s="75" customFormat="1" hidden="1">
      <c r="A921" s="67"/>
      <c r="B921" s="916"/>
      <c r="C921" s="132"/>
      <c r="D921" s="132"/>
      <c r="E921" s="132"/>
      <c r="N921" s="916"/>
      <c r="P921" s="917"/>
      <c r="R921" s="67"/>
      <c r="S921" s="67"/>
      <c r="T921" s="67"/>
      <c r="U921" s="67"/>
    </row>
    <row r="922" spans="1:21" s="75" customFormat="1" hidden="1">
      <c r="A922" s="67"/>
      <c r="B922" s="916"/>
      <c r="C922" s="132"/>
      <c r="D922" s="132"/>
      <c r="E922" s="132"/>
      <c r="N922" s="916"/>
      <c r="P922" s="917"/>
      <c r="R922" s="67"/>
      <c r="S922" s="67"/>
      <c r="T922" s="67"/>
      <c r="U922" s="67"/>
    </row>
    <row r="923" spans="1:21" s="75" customFormat="1" hidden="1">
      <c r="A923" s="67"/>
      <c r="B923" s="916"/>
      <c r="C923" s="132"/>
      <c r="D923" s="132"/>
      <c r="E923" s="132"/>
      <c r="N923" s="916"/>
      <c r="P923" s="917"/>
      <c r="R923" s="67"/>
      <c r="S923" s="67"/>
      <c r="T923" s="67"/>
      <c r="U923" s="67"/>
    </row>
    <row r="924" spans="1:21" s="75" customFormat="1" hidden="1">
      <c r="A924" s="67"/>
      <c r="B924" s="916"/>
      <c r="C924" s="132"/>
      <c r="D924" s="132"/>
      <c r="E924" s="132"/>
      <c r="N924" s="916"/>
      <c r="P924" s="917"/>
      <c r="R924" s="67"/>
      <c r="S924" s="67"/>
      <c r="T924" s="67"/>
      <c r="U924" s="67"/>
    </row>
    <row r="925" spans="1:21" s="75" customFormat="1" hidden="1">
      <c r="A925" s="67"/>
      <c r="B925" s="916"/>
      <c r="C925" s="132"/>
      <c r="D925" s="132"/>
      <c r="E925" s="132"/>
      <c r="N925" s="916"/>
      <c r="P925" s="917"/>
      <c r="R925" s="67"/>
      <c r="S925" s="67"/>
      <c r="T925" s="67"/>
      <c r="U925" s="67"/>
    </row>
    <row r="926" spans="1:21" s="75" customFormat="1" hidden="1">
      <c r="A926" s="67"/>
      <c r="B926" s="916"/>
      <c r="C926" s="132"/>
      <c r="D926" s="132"/>
      <c r="E926" s="132"/>
      <c r="N926" s="916"/>
      <c r="P926" s="917"/>
      <c r="R926" s="67"/>
      <c r="S926" s="67"/>
      <c r="T926" s="67"/>
      <c r="U926" s="67"/>
    </row>
    <row r="927" spans="1:21" s="75" customFormat="1" hidden="1">
      <c r="A927" s="67"/>
      <c r="B927" s="916"/>
      <c r="C927" s="132"/>
      <c r="D927" s="132"/>
      <c r="E927" s="132"/>
      <c r="N927" s="916"/>
      <c r="P927" s="917"/>
      <c r="R927" s="67"/>
      <c r="S927" s="67"/>
      <c r="T927" s="67"/>
      <c r="U927" s="67"/>
    </row>
    <row r="928" spans="1:21" s="75" customFormat="1" hidden="1">
      <c r="A928" s="67"/>
      <c r="B928" s="916"/>
      <c r="C928" s="132"/>
      <c r="D928" s="132"/>
      <c r="E928" s="132"/>
      <c r="N928" s="916"/>
      <c r="P928" s="917"/>
      <c r="R928" s="67"/>
      <c r="S928" s="67"/>
      <c r="T928" s="67"/>
      <c r="U928" s="67"/>
    </row>
    <row r="929" spans="1:21" s="75" customFormat="1" hidden="1">
      <c r="A929" s="67"/>
      <c r="B929" s="916"/>
      <c r="C929" s="132"/>
      <c r="D929" s="132"/>
      <c r="E929" s="132"/>
      <c r="N929" s="916"/>
      <c r="P929" s="917"/>
      <c r="R929" s="67"/>
      <c r="S929" s="67"/>
      <c r="T929" s="67"/>
      <c r="U929" s="67"/>
    </row>
    <row r="930" spans="1:21" s="75" customFormat="1" hidden="1">
      <c r="A930" s="67"/>
      <c r="B930" s="916"/>
      <c r="C930" s="132"/>
      <c r="D930" s="132"/>
      <c r="E930" s="132"/>
      <c r="N930" s="916"/>
      <c r="P930" s="917"/>
      <c r="R930" s="67"/>
      <c r="S930" s="67"/>
      <c r="T930" s="67"/>
      <c r="U930" s="67"/>
    </row>
    <row r="931" spans="1:21" s="75" customFormat="1" hidden="1">
      <c r="A931" s="67"/>
      <c r="B931" s="916"/>
      <c r="C931" s="132"/>
      <c r="D931" s="132"/>
      <c r="E931" s="132"/>
      <c r="N931" s="916"/>
      <c r="P931" s="917"/>
      <c r="R931" s="67"/>
      <c r="S931" s="67"/>
      <c r="T931" s="67"/>
      <c r="U931" s="67"/>
    </row>
    <row r="932" spans="1:21" s="75" customFormat="1" hidden="1">
      <c r="A932" s="67"/>
      <c r="B932" s="916"/>
      <c r="C932" s="132"/>
      <c r="D932" s="132"/>
      <c r="E932" s="132"/>
      <c r="N932" s="916"/>
      <c r="P932" s="917"/>
      <c r="R932" s="67"/>
      <c r="S932" s="67"/>
      <c r="T932" s="67"/>
      <c r="U932" s="67"/>
    </row>
    <row r="933" spans="1:21" s="75" customFormat="1" hidden="1">
      <c r="A933" s="67"/>
      <c r="B933" s="916"/>
      <c r="C933" s="132"/>
      <c r="D933" s="132"/>
      <c r="E933" s="132"/>
      <c r="N933" s="916"/>
      <c r="P933" s="917"/>
      <c r="R933" s="67"/>
      <c r="S933" s="67"/>
      <c r="T933" s="67"/>
      <c r="U933" s="67"/>
    </row>
    <row r="934" spans="1:21" s="75" customFormat="1" hidden="1">
      <c r="A934" s="67"/>
      <c r="B934" s="916"/>
      <c r="C934" s="132"/>
      <c r="D934" s="132"/>
      <c r="E934" s="132"/>
      <c r="N934" s="916"/>
      <c r="P934" s="917"/>
      <c r="R934" s="67"/>
      <c r="S934" s="67"/>
      <c r="T934" s="67"/>
      <c r="U934" s="67"/>
    </row>
    <row r="935" spans="1:21" s="75" customFormat="1" hidden="1">
      <c r="A935" s="67"/>
      <c r="B935" s="916"/>
      <c r="C935" s="132"/>
      <c r="D935" s="132"/>
      <c r="E935" s="132"/>
      <c r="N935" s="916"/>
      <c r="P935" s="917"/>
      <c r="R935" s="67"/>
      <c r="S935" s="67"/>
      <c r="T935" s="67"/>
      <c r="U935" s="67"/>
    </row>
    <row r="936" spans="1:21" s="75" customFormat="1" hidden="1">
      <c r="A936" s="67"/>
      <c r="B936" s="916"/>
      <c r="C936" s="132"/>
      <c r="D936" s="132"/>
      <c r="E936" s="132"/>
      <c r="N936" s="916"/>
      <c r="P936" s="917"/>
      <c r="R936" s="67"/>
      <c r="S936" s="67"/>
      <c r="T936" s="67"/>
      <c r="U936" s="67"/>
    </row>
    <row r="937" spans="1:21" s="75" customFormat="1" hidden="1">
      <c r="A937" s="67"/>
      <c r="B937" s="916"/>
      <c r="C937" s="132"/>
      <c r="D937" s="132"/>
      <c r="E937" s="132"/>
      <c r="N937" s="916"/>
      <c r="P937" s="917"/>
      <c r="R937" s="67"/>
      <c r="S937" s="67"/>
      <c r="T937" s="67"/>
      <c r="U937" s="67"/>
    </row>
    <row r="938" spans="1:21" s="75" customFormat="1" hidden="1">
      <c r="A938" s="67"/>
      <c r="B938" s="916"/>
      <c r="C938" s="132"/>
      <c r="D938" s="132"/>
      <c r="E938" s="132"/>
      <c r="N938" s="916"/>
      <c r="P938" s="917"/>
      <c r="R938" s="67"/>
      <c r="S938" s="67"/>
      <c r="T938" s="67"/>
      <c r="U938" s="67"/>
    </row>
    <row r="939" spans="1:21" s="75" customFormat="1" hidden="1">
      <c r="A939" s="67"/>
      <c r="B939" s="916"/>
      <c r="C939" s="132"/>
      <c r="D939" s="132"/>
      <c r="E939" s="132"/>
      <c r="N939" s="916"/>
      <c r="P939" s="917"/>
      <c r="R939" s="67"/>
      <c r="S939" s="67"/>
      <c r="T939" s="67"/>
      <c r="U939" s="67"/>
    </row>
    <row r="940" spans="1:21" s="75" customFormat="1" hidden="1">
      <c r="A940" s="67"/>
      <c r="B940" s="916"/>
      <c r="C940" s="132"/>
      <c r="D940" s="132"/>
      <c r="E940" s="132"/>
      <c r="N940" s="916"/>
      <c r="P940" s="917"/>
      <c r="R940" s="67"/>
      <c r="S940" s="67"/>
      <c r="T940" s="67"/>
      <c r="U940" s="67"/>
    </row>
    <row r="941" spans="1:21" s="75" customFormat="1" hidden="1">
      <c r="A941" s="67"/>
      <c r="B941" s="916"/>
      <c r="C941" s="132"/>
      <c r="D941" s="132"/>
      <c r="E941" s="132"/>
      <c r="N941" s="916"/>
      <c r="P941" s="917"/>
      <c r="R941" s="67"/>
      <c r="S941" s="67"/>
      <c r="T941" s="67"/>
      <c r="U941" s="67"/>
    </row>
    <row r="942" spans="1:21" s="75" customFormat="1" hidden="1">
      <c r="A942" s="67"/>
      <c r="B942" s="916"/>
      <c r="C942" s="132"/>
      <c r="D942" s="132"/>
      <c r="E942" s="132"/>
      <c r="N942" s="916"/>
      <c r="P942" s="917"/>
      <c r="R942" s="67"/>
      <c r="S942" s="67"/>
      <c r="T942" s="67"/>
      <c r="U942" s="67"/>
    </row>
    <row r="943" spans="1:21" s="75" customFormat="1" hidden="1">
      <c r="A943" s="67"/>
      <c r="B943" s="916"/>
      <c r="C943" s="132"/>
      <c r="D943" s="132"/>
      <c r="E943" s="132"/>
      <c r="N943" s="916"/>
      <c r="P943" s="917"/>
      <c r="R943" s="67"/>
      <c r="S943" s="67"/>
      <c r="T943" s="67"/>
      <c r="U943" s="67"/>
    </row>
    <row r="944" spans="1:21" s="75" customFormat="1" hidden="1">
      <c r="A944" s="67"/>
      <c r="B944" s="916"/>
      <c r="C944" s="132"/>
      <c r="D944" s="132"/>
      <c r="E944" s="132"/>
      <c r="N944" s="916"/>
      <c r="P944" s="917"/>
      <c r="R944" s="67"/>
      <c r="S944" s="67"/>
      <c r="T944" s="67"/>
      <c r="U944" s="67"/>
    </row>
    <row r="945" spans="1:21" s="75" customFormat="1" hidden="1">
      <c r="A945" s="67"/>
      <c r="B945" s="916"/>
      <c r="C945" s="132"/>
      <c r="D945" s="132"/>
      <c r="E945" s="132"/>
      <c r="N945" s="916"/>
      <c r="P945" s="917"/>
      <c r="R945" s="67"/>
      <c r="S945" s="67"/>
      <c r="T945" s="67"/>
      <c r="U945" s="67"/>
    </row>
    <row r="946" spans="1:21" s="75" customFormat="1" hidden="1">
      <c r="A946" s="67"/>
      <c r="B946" s="916"/>
      <c r="C946" s="132"/>
      <c r="D946" s="132"/>
      <c r="E946" s="132"/>
      <c r="N946" s="916"/>
      <c r="P946" s="917"/>
      <c r="R946" s="67"/>
      <c r="S946" s="67"/>
      <c r="T946" s="67"/>
      <c r="U946" s="67"/>
    </row>
    <row r="947" spans="1:21" s="75" customFormat="1" hidden="1">
      <c r="A947" s="67"/>
      <c r="B947" s="916"/>
      <c r="C947" s="132"/>
      <c r="D947" s="132"/>
      <c r="E947" s="132"/>
      <c r="N947" s="916"/>
      <c r="P947" s="917"/>
      <c r="R947" s="67"/>
      <c r="S947" s="67"/>
      <c r="T947" s="67"/>
      <c r="U947" s="67"/>
    </row>
    <row r="948" spans="1:21" s="75" customFormat="1" hidden="1">
      <c r="A948" s="67"/>
      <c r="B948" s="916"/>
      <c r="C948" s="132"/>
      <c r="D948" s="132"/>
      <c r="E948" s="132"/>
      <c r="N948" s="916"/>
      <c r="P948" s="917"/>
      <c r="R948" s="67"/>
      <c r="S948" s="67"/>
      <c r="T948" s="67"/>
      <c r="U948" s="67"/>
    </row>
    <row r="949" spans="1:21" s="75" customFormat="1" hidden="1">
      <c r="A949" s="67"/>
      <c r="B949" s="916"/>
      <c r="C949" s="132"/>
      <c r="D949" s="132"/>
      <c r="E949" s="132"/>
      <c r="N949" s="916"/>
      <c r="P949" s="917"/>
      <c r="R949" s="67"/>
      <c r="S949" s="67"/>
      <c r="T949" s="67"/>
      <c r="U949" s="67"/>
    </row>
    <row r="950" spans="1:21" s="75" customFormat="1" hidden="1">
      <c r="A950" s="67"/>
      <c r="B950" s="916"/>
      <c r="C950" s="132"/>
      <c r="D950" s="132"/>
      <c r="E950" s="132"/>
      <c r="N950" s="916"/>
      <c r="P950" s="917"/>
      <c r="R950" s="67"/>
      <c r="S950" s="67"/>
      <c r="T950" s="67"/>
      <c r="U950" s="67"/>
    </row>
    <row r="951" spans="1:21" s="75" customFormat="1" hidden="1">
      <c r="A951" s="67"/>
      <c r="B951" s="916"/>
      <c r="C951" s="132"/>
      <c r="D951" s="132"/>
      <c r="E951" s="132"/>
      <c r="N951" s="916"/>
      <c r="P951" s="917"/>
      <c r="R951" s="67"/>
      <c r="S951" s="67"/>
      <c r="T951" s="67"/>
      <c r="U951" s="67"/>
    </row>
    <row r="952" spans="1:21" s="75" customFormat="1" hidden="1">
      <c r="A952" s="67"/>
      <c r="B952" s="916"/>
      <c r="C952" s="132"/>
      <c r="D952" s="132"/>
      <c r="E952" s="132"/>
      <c r="N952" s="916"/>
      <c r="P952" s="917"/>
      <c r="R952" s="67"/>
      <c r="S952" s="67"/>
      <c r="T952" s="67"/>
      <c r="U952" s="67"/>
    </row>
    <row r="953" spans="1:21" s="75" customFormat="1" hidden="1">
      <c r="A953" s="67"/>
      <c r="B953" s="916"/>
      <c r="C953" s="132"/>
      <c r="D953" s="132"/>
      <c r="E953" s="132"/>
      <c r="N953" s="916"/>
      <c r="P953" s="917"/>
      <c r="R953" s="67"/>
      <c r="S953" s="67"/>
      <c r="T953" s="67"/>
      <c r="U953" s="67"/>
    </row>
    <row r="954" spans="1:21" s="75" customFormat="1" hidden="1">
      <c r="A954" s="67"/>
      <c r="B954" s="916"/>
      <c r="C954" s="132"/>
      <c r="D954" s="132"/>
      <c r="E954" s="132"/>
      <c r="N954" s="916"/>
      <c r="P954" s="917"/>
      <c r="R954" s="67"/>
      <c r="S954" s="67"/>
      <c r="T954" s="67"/>
      <c r="U954" s="67"/>
    </row>
    <row r="955" spans="1:21" s="75" customFormat="1" hidden="1">
      <c r="A955" s="67"/>
      <c r="B955" s="916"/>
      <c r="C955" s="132"/>
      <c r="D955" s="132"/>
      <c r="E955" s="132"/>
      <c r="N955" s="916"/>
      <c r="P955" s="917"/>
      <c r="R955" s="67"/>
      <c r="S955" s="67"/>
      <c r="T955" s="67"/>
      <c r="U955" s="67"/>
    </row>
    <row r="956" spans="1:21" s="75" customFormat="1" hidden="1">
      <c r="A956" s="67"/>
      <c r="B956" s="916"/>
      <c r="C956" s="132"/>
      <c r="D956" s="132"/>
      <c r="E956" s="132"/>
      <c r="N956" s="916"/>
      <c r="P956" s="917"/>
      <c r="R956" s="67"/>
      <c r="S956" s="67"/>
      <c r="T956" s="67"/>
      <c r="U956" s="67"/>
    </row>
    <row r="957" spans="1:21" s="75" customFormat="1" hidden="1">
      <c r="A957" s="67"/>
      <c r="B957" s="916"/>
      <c r="C957" s="132"/>
      <c r="D957" s="132"/>
      <c r="E957" s="132"/>
      <c r="N957" s="916"/>
      <c r="P957" s="917"/>
      <c r="R957" s="67"/>
      <c r="S957" s="67"/>
      <c r="T957" s="67"/>
      <c r="U957" s="67"/>
    </row>
    <row r="958" spans="1:21" s="75" customFormat="1" hidden="1">
      <c r="A958" s="67"/>
      <c r="B958" s="916"/>
      <c r="C958" s="132"/>
      <c r="D958" s="132"/>
      <c r="E958" s="132"/>
      <c r="N958" s="916"/>
      <c r="P958" s="917"/>
      <c r="R958" s="67"/>
      <c r="S958" s="67"/>
      <c r="T958" s="67"/>
      <c r="U958" s="67"/>
    </row>
    <row r="959" spans="1:21" s="75" customFormat="1" hidden="1">
      <c r="A959" s="67"/>
      <c r="B959" s="916"/>
      <c r="C959" s="132"/>
      <c r="D959" s="132"/>
      <c r="E959" s="132"/>
      <c r="N959" s="916"/>
      <c r="P959" s="917"/>
      <c r="R959" s="67"/>
      <c r="S959" s="67"/>
      <c r="T959" s="67"/>
      <c r="U959" s="67"/>
    </row>
    <row r="960" spans="1:21" s="75" customFormat="1" hidden="1">
      <c r="A960" s="67"/>
      <c r="B960" s="916"/>
      <c r="C960" s="132"/>
      <c r="D960" s="132"/>
      <c r="E960" s="132"/>
      <c r="N960" s="916"/>
      <c r="P960" s="917"/>
      <c r="R960" s="67"/>
      <c r="S960" s="67"/>
      <c r="T960" s="67"/>
      <c r="U960" s="67"/>
    </row>
    <row r="961" spans="1:21" s="75" customFormat="1" hidden="1">
      <c r="A961" s="67"/>
      <c r="B961" s="916"/>
      <c r="C961" s="132"/>
      <c r="D961" s="132"/>
      <c r="E961" s="132"/>
      <c r="N961" s="916"/>
      <c r="P961" s="917"/>
      <c r="R961" s="67"/>
      <c r="S961" s="67"/>
      <c r="T961" s="67"/>
      <c r="U961" s="67"/>
    </row>
    <row r="962" spans="1:21" s="75" customFormat="1" hidden="1">
      <c r="A962" s="67"/>
      <c r="B962" s="916"/>
      <c r="C962" s="132"/>
      <c r="D962" s="132"/>
      <c r="E962" s="132"/>
      <c r="N962" s="916"/>
      <c r="P962" s="917"/>
      <c r="R962" s="67"/>
      <c r="S962" s="67"/>
      <c r="T962" s="67"/>
      <c r="U962" s="67"/>
    </row>
    <row r="963" spans="1:21" s="75" customFormat="1" hidden="1">
      <c r="A963" s="67"/>
      <c r="B963" s="916"/>
      <c r="C963" s="132"/>
      <c r="D963" s="132"/>
      <c r="E963" s="132"/>
      <c r="N963" s="916"/>
      <c r="P963" s="917"/>
      <c r="R963" s="67"/>
      <c r="S963" s="67"/>
      <c r="T963" s="67"/>
      <c r="U963" s="67"/>
    </row>
    <row r="964" spans="1:21" s="75" customFormat="1" hidden="1">
      <c r="A964" s="67"/>
      <c r="B964" s="916"/>
      <c r="C964" s="132"/>
      <c r="D964" s="132"/>
      <c r="E964" s="132"/>
      <c r="N964" s="916"/>
      <c r="P964" s="917"/>
      <c r="R964" s="67"/>
      <c r="S964" s="67"/>
      <c r="T964" s="67"/>
      <c r="U964" s="67"/>
    </row>
    <row r="965" spans="1:21" s="75" customFormat="1" hidden="1">
      <c r="A965" s="67"/>
      <c r="B965" s="916"/>
      <c r="C965" s="132"/>
      <c r="D965" s="132"/>
      <c r="E965" s="132"/>
      <c r="N965" s="916"/>
      <c r="P965" s="917"/>
      <c r="R965" s="67"/>
      <c r="S965" s="67"/>
      <c r="T965" s="67"/>
      <c r="U965" s="67"/>
    </row>
    <row r="966" spans="1:21" s="75" customFormat="1" hidden="1">
      <c r="A966" s="67"/>
      <c r="B966" s="916"/>
      <c r="C966" s="132"/>
      <c r="D966" s="132"/>
      <c r="E966" s="132"/>
      <c r="N966" s="916"/>
      <c r="P966" s="917"/>
      <c r="R966" s="67"/>
      <c r="S966" s="67"/>
      <c r="T966" s="67"/>
      <c r="U966" s="67"/>
    </row>
    <row r="967" spans="1:21" s="75" customFormat="1" hidden="1">
      <c r="A967" s="67"/>
      <c r="B967" s="916"/>
      <c r="C967" s="132"/>
      <c r="D967" s="132"/>
      <c r="E967" s="132"/>
      <c r="N967" s="916"/>
      <c r="P967" s="917"/>
      <c r="R967" s="67"/>
      <c r="S967" s="67"/>
      <c r="T967" s="67"/>
      <c r="U967" s="67"/>
    </row>
    <row r="968" spans="1:21" s="75" customFormat="1" hidden="1">
      <c r="A968" s="67"/>
      <c r="B968" s="916"/>
      <c r="C968" s="132"/>
      <c r="D968" s="132"/>
      <c r="E968" s="132"/>
      <c r="N968" s="916"/>
      <c r="P968" s="917"/>
      <c r="R968" s="67"/>
      <c r="S968" s="67"/>
      <c r="T968" s="67"/>
      <c r="U968" s="67"/>
    </row>
    <row r="969" spans="1:21" s="75" customFormat="1" hidden="1">
      <c r="A969" s="67"/>
      <c r="B969" s="916"/>
      <c r="C969" s="132"/>
      <c r="D969" s="132"/>
      <c r="E969" s="132"/>
      <c r="N969" s="916"/>
      <c r="P969" s="917"/>
      <c r="R969" s="67"/>
      <c r="S969" s="67"/>
      <c r="T969" s="67"/>
      <c r="U969" s="67"/>
    </row>
    <row r="970" spans="1:21" s="75" customFormat="1" hidden="1">
      <c r="A970" s="67"/>
      <c r="B970" s="916"/>
      <c r="C970" s="132"/>
      <c r="D970" s="132"/>
      <c r="E970" s="132"/>
      <c r="N970" s="916"/>
      <c r="P970" s="917"/>
      <c r="R970" s="67"/>
      <c r="S970" s="67"/>
      <c r="T970" s="67"/>
      <c r="U970" s="67"/>
    </row>
    <row r="971" spans="1:21" s="75" customFormat="1" hidden="1">
      <c r="A971" s="67"/>
      <c r="B971" s="916"/>
      <c r="C971" s="132"/>
      <c r="D971" s="132"/>
      <c r="E971" s="132"/>
      <c r="N971" s="916"/>
      <c r="P971" s="917"/>
      <c r="R971" s="67"/>
      <c r="S971" s="67"/>
      <c r="T971" s="67"/>
      <c r="U971" s="67"/>
    </row>
    <row r="972" spans="1:21" s="75" customFormat="1" hidden="1">
      <c r="A972" s="67"/>
      <c r="B972" s="916"/>
      <c r="C972" s="132"/>
      <c r="D972" s="132"/>
      <c r="E972" s="132"/>
      <c r="N972" s="916"/>
      <c r="P972" s="917"/>
      <c r="R972" s="67"/>
      <c r="S972" s="67"/>
      <c r="T972" s="67"/>
      <c r="U972" s="67"/>
    </row>
    <row r="973" spans="1:21" s="75" customFormat="1" hidden="1">
      <c r="A973" s="67"/>
      <c r="B973" s="916"/>
      <c r="C973" s="132"/>
      <c r="D973" s="132"/>
      <c r="E973" s="132"/>
      <c r="N973" s="916"/>
      <c r="P973" s="917"/>
      <c r="R973" s="67"/>
      <c r="S973" s="67"/>
      <c r="T973" s="67"/>
      <c r="U973" s="67"/>
    </row>
    <row r="974" spans="1:21" s="75" customFormat="1" hidden="1">
      <c r="A974" s="67"/>
      <c r="B974" s="916"/>
      <c r="C974" s="132"/>
      <c r="D974" s="132"/>
      <c r="E974" s="132"/>
      <c r="N974" s="916"/>
      <c r="P974" s="917"/>
      <c r="R974" s="67"/>
      <c r="S974" s="67"/>
      <c r="T974" s="67"/>
      <c r="U974" s="67"/>
    </row>
    <row r="975" spans="1:21" s="75" customFormat="1" hidden="1">
      <c r="A975" s="67"/>
      <c r="B975" s="916"/>
      <c r="C975" s="132"/>
      <c r="D975" s="132"/>
      <c r="E975" s="132"/>
      <c r="N975" s="916"/>
      <c r="P975" s="917"/>
      <c r="R975" s="67"/>
      <c r="S975" s="67"/>
      <c r="T975" s="67"/>
      <c r="U975" s="67"/>
    </row>
    <row r="976" spans="1:21" s="75" customFormat="1" hidden="1">
      <c r="A976" s="67"/>
      <c r="B976" s="916"/>
      <c r="C976" s="132"/>
      <c r="D976" s="132"/>
      <c r="E976" s="132"/>
      <c r="N976" s="916"/>
      <c r="P976" s="917"/>
      <c r="R976" s="67"/>
      <c r="S976" s="67"/>
      <c r="T976" s="67"/>
      <c r="U976" s="67"/>
    </row>
    <row r="977" spans="1:21" s="75" customFormat="1" hidden="1">
      <c r="A977" s="67"/>
      <c r="B977" s="916"/>
      <c r="C977" s="132"/>
      <c r="D977" s="132"/>
      <c r="E977" s="132"/>
      <c r="N977" s="916"/>
      <c r="P977" s="917"/>
      <c r="R977" s="67"/>
      <c r="S977" s="67"/>
      <c r="T977" s="67"/>
      <c r="U977" s="67"/>
    </row>
    <row r="978" spans="1:21" s="75" customFormat="1" hidden="1">
      <c r="A978" s="67"/>
      <c r="B978" s="916"/>
      <c r="C978" s="132"/>
      <c r="D978" s="132"/>
      <c r="E978" s="132"/>
      <c r="N978" s="916"/>
      <c r="P978" s="917"/>
      <c r="R978" s="67"/>
      <c r="S978" s="67"/>
      <c r="T978" s="67"/>
      <c r="U978" s="67"/>
    </row>
    <row r="979" spans="1:21" s="75" customFormat="1" hidden="1">
      <c r="A979" s="67"/>
      <c r="B979" s="916"/>
      <c r="C979" s="132"/>
      <c r="D979" s="132"/>
      <c r="E979" s="132"/>
      <c r="N979" s="916"/>
      <c r="P979" s="917"/>
      <c r="R979" s="67"/>
      <c r="S979" s="67"/>
      <c r="T979" s="67"/>
      <c r="U979" s="67"/>
    </row>
    <row r="980" spans="1:21" s="75" customFormat="1" hidden="1">
      <c r="A980" s="67"/>
      <c r="B980" s="916"/>
      <c r="C980" s="132"/>
      <c r="D980" s="132"/>
      <c r="E980" s="132"/>
      <c r="N980" s="916"/>
      <c r="P980" s="917"/>
      <c r="R980" s="67"/>
      <c r="S980" s="67"/>
      <c r="T980" s="67"/>
      <c r="U980" s="67"/>
    </row>
    <row r="981" spans="1:21" s="75" customFormat="1" hidden="1">
      <c r="A981" s="67"/>
      <c r="B981" s="916"/>
      <c r="C981" s="132"/>
      <c r="D981" s="132"/>
      <c r="E981" s="132"/>
      <c r="N981" s="916"/>
      <c r="P981" s="917"/>
      <c r="R981" s="67"/>
      <c r="S981" s="67"/>
      <c r="T981" s="67"/>
      <c r="U981" s="67"/>
    </row>
    <row r="982" spans="1:21" s="75" customFormat="1" hidden="1">
      <c r="A982" s="67"/>
      <c r="B982" s="916"/>
      <c r="C982" s="132"/>
      <c r="D982" s="132"/>
      <c r="E982" s="132"/>
      <c r="N982" s="916"/>
      <c r="P982" s="917"/>
      <c r="R982" s="67"/>
      <c r="S982" s="67"/>
      <c r="T982" s="67"/>
      <c r="U982" s="67"/>
    </row>
    <row r="983" spans="1:21" s="75" customFormat="1" hidden="1">
      <c r="A983" s="67"/>
      <c r="B983" s="916"/>
      <c r="C983" s="132"/>
      <c r="D983" s="132"/>
      <c r="E983" s="132"/>
      <c r="N983" s="916"/>
      <c r="P983" s="917"/>
      <c r="R983" s="67"/>
      <c r="S983" s="67"/>
      <c r="T983" s="67"/>
      <c r="U983" s="67"/>
    </row>
    <row r="984" spans="1:21" s="75" customFormat="1" hidden="1">
      <c r="A984" s="67"/>
      <c r="B984" s="916"/>
      <c r="C984" s="132"/>
      <c r="D984" s="132"/>
      <c r="E984" s="132"/>
      <c r="N984" s="916"/>
      <c r="P984" s="917"/>
      <c r="R984" s="67"/>
      <c r="S984" s="67"/>
      <c r="T984" s="67"/>
      <c r="U984" s="67"/>
    </row>
    <row r="985" spans="1:21" s="75" customFormat="1" hidden="1">
      <c r="A985" s="67"/>
      <c r="B985" s="916"/>
      <c r="C985" s="132"/>
      <c r="D985" s="132"/>
      <c r="E985" s="132"/>
      <c r="N985" s="916"/>
      <c r="P985" s="917"/>
      <c r="R985" s="67"/>
      <c r="S985" s="67"/>
      <c r="T985" s="67"/>
      <c r="U985" s="67"/>
    </row>
    <row r="986" spans="1:21" s="75" customFormat="1" hidden="1">
      <c r="A986" s="67"/>
      <c r="B986" s="916"/>
      <c r="C986" s="132"/>
      <c r="D986" s="132"/>
      <c r="E986" s="132"/>
      <c r="N986" s="916"/>
      <c r="P986" s="917"/>
      <c r="R986" s="67"/>
      <c r="S986" s="67"/>
      <c r="T986" s="67"/>
      <c r="U986" s="67"/>
    </row>
    <row r="987" spans="1:21" s="75" customFormat="1" hidden="1">
      <c r="A987" s="67"/>
      <c r="B987" s="916"/>
      <c r="C987" s="132"/>
      <c r="D987" s="132"/>
      <c r="E987" s="132"/>
      <c r="N987" s="916"/>
      <c r="P987" s="917"/>
      <c r="R987" s="67"/>
      <c r="S987" s="67"/>
      <c r="T987" s="67"/>
      <c r="U987" s="67"/>
    </row>
    <row r="988" spans="1:21" s="75" customFormat="1" hidden="1">
      <c r="A988" s="67"/>
      <c r="B988" s="916"/>
      <c r="C988" s="132"/>
      <c r="D988" s="132"/>
      <c r="E988" s="132"/>
      <c r="N988" s="916"/>
      <c r="P988" s="917"/>
      <c r="R988" s="67"/>
      <c r="S988" s="67"/>
      <c r="T988" s="67"/>
      <c r="U988" s="67"/>
    </row>
    <row r="989" spans="1:21" s="75" customFormat="1" hidden="1">
      <c r="A989" s="67"/>
      <c r="B989" s="916"/>
      <c r="C989" s="132"/>
      <c r="D989" s="132"/>
      <c r="E989" s="132"/>
      <c r="N989" s="916"/>
      <c r="P989" s="917"/>
      <c r="R989" s="67"/>
      <c r="S989" s="67"/>
      <c r="T989" s="67"/>
      <c r="U989" s="67"/>
    </row>
    <row r="990" spans="1:21" s="75" customFormat="1" hidden="1">
      <c r="A990" s="67"/>
      <c r="B990" s="916"/>
      <c r="C990" s="132"/>
      <c r="D990" s="132"/>
      <c r="E990" s="132"/>
      <c r="N990" s="916"/>
      <c r="P990" s="917"/>
      <c r="R990" s="67"/>
      <c r="S990" s="67"/>
      <c r="T990" s="67"/>
      <c r="U990" s="67"/>
    </row>
    <row r="991" spans="1:21" s="75" customFormat="1" hidden="1">
      <c r="A991" s="67"/>
      <c r="B991" s="916"/>
      <c r="C991" s="132"/>
      <c r="D991" s="132"/>
      <c r="E991" s="132"/>
      <c r="N991" s="916"/>
      <c r="P991" s="917"/>
      <c r="R991" s="67"/>
      <c r="S991" s="67"/>
      <c r="T991" s="67"/>
      <c r="U991" s="67"/>
    </row>
    <row r="992" spans="1:21" s="75" customFormat="1" hidden="1">
      <c r="A992" s="67"/>
      <c r="B992" s="916"/>
      <c r="C992" s="132"/>
      <c r="D992" s="132"/>
      <c r="E992" s="132"/>
      <c r="N992" s="916"/>
      <c r="P992" s="917"/>
      <c r="R992" s="67"/>
      <c r="S992" s="67"/>
      <c r="T992" s="67"/>
      <c r="U992" s="67"/>
    </row>
    <row r="993" spans="1:21" s="75" customFormat="1" hidden="1">
      <c r="A993" s="67"/>
      <c r="B993" s="916"/>
      <c r="C993" s="132"/>
      <c r="D993" s="132"/>
      <c r="E993" s="132"/>
      <c r="N993" s="916"/>
      <c r="P993" s="917"/>
      <c r="R993" s="67"/>
      <c r="S993" s="67"/>
      <c r="T993" s="67"/>
      <c r="U993" s="67"/>
    </row>
    <row r="994" spans="1:21" s="75" customFormat="1" hidden="1">
      <c r="A994" s="67"/>
      <c r="B994" s="916"/>
      <c r="C994" s="132"/>
      <c r="D994" s="132"/>
      <c r="E994" s="132"/>
      <c r="N994" s="916"/>
      <c r="P994" s="917"/>
      <c r="R994" s="67"/>
      <c r="S994" s="67"/>
      <c r="T994" s="67"/>
      <c r="U994" s="67"/>
    </row>
    <row r="995" spans="1:21" s="75" customFormat="1" hidden="1">
      <c r="A995" s="67"/>
      <c r="B995" s="916"/>
      <c r="C995" s="132"/>
      <c r="D995" s="132"/>
      <c r="E995" s="132"/>
      <c r="N995" s="916"/>
      <c r="P995" s="917"/>
      <c r="R995" s="67"/>
      <c r="S995" s="67"/>
      <c r="T995" s="67"/>
      <c r="U995" s="67"/>
    </row>
    <row r="996" spans="1:21" s="75" customFormat="1" hidden="1">
      <c r="A996" s="67"/>
      <c r="B996" s="916"/>
      <c r="C996" s="132"/>
      <c r="D996" s="132"/>
      <c r="E996" s="132"/>
      <c r="N996" s="916"/>
      <c r="P996" s="917"/>
      <c r="R996" s="67"/>
      <c r="S996" s="67"/>
      <c r="T996" s="67"/>
      <c r="U996" s="67"/>
    </row>
    <row r="997" spans="1:21" s="75" customFormat="1" hidden="1">
      <c r="A997" s="67"/>
      <c r="B997" s="916"/>
      <c r="C997" s="132"/>
      <c r="D997" s="132"/>
      <c r="E997" s="132"/>
      <c r="N997" s="916"/>
      <c r="P997" s="917"/>
      <c r="R997" s="67"/>
      <c r="S997" s="67"/>
      <c r="T997" s="67"/>
      <c r="U997" s="67"/>
    </row>
    <row r="998" spans="1:21" s="75" customFormat="1" hidden="1">
      <c r="A998" s="67"/>
      <c r="B998" s="916"/>
      <c r="C998" s="132"/>
      <c r="D998" s="132"/>
      <c r="E998" s="132"/>
      <c r="N998" s="916"/>
      <c r="P998" s="917"/>
      <c r="R998" s="67"/>
      <c r="S998" s="67"/>
      <c r="T998" s="67"/>
      <c r="U998" s="67"/>
    </row>
    <row r="999" spans="1:21" s="75" customFormat="1" hidden="1">
      <c r="A999" s="67"/>
      <c r="B999" s="916"/>
      <c r="C999" s="132"/>
      <c r="D999" s="132"/>
      <c r="E999" s="132"/>
      <c r="N999" s="916"/>
      <c r="P999" s="917"/>
      <c r="R999" s="67"/>
      <c r="S999" s="67"/>
      <c r="T999" s="67"/>
      <c r="U999" s="67"/>
    </row>
    <row r="1000" spans="1:21" s="75" customFormat="1" hidden="1">
      <c r="A1000" s="67"/>
      <c r="B1000" s="916"/>
      <c r="C1000" s="132"/>
      <c r="D1000" s="132"/>
      <c r="E1000" s="132"/>
      <c r="N1000" s="916"/>
      <c r="P1000" s="917"/>
      <c r="R1000" s="67"/>
      <c r="S1000" s="67"/>
      <c r="T1000" s="67"/>
      <c r="U1000" s="67"/>
    </row>
    <row r="1001" spans="1:21" s="75" customFormat="1" hidden="1">
      <c r="A1001" s="67"/>
      <c r="B1001" s="916"/>
      <c r="C1001" s="132"/>
      <c r="D1001" s="132"/>
      <c r="E1001" s="132"/>
      <c r="N1001" s="916"/>
      <c r="P1001" s="917"/>
      <c r="R1001" s="67"/>
      <c r="S1001" s="67"/>
      <c r="T1001" s="67"/>
      <c r="U1001" s="67"/>
    </row>
    <row r="1002" spans="1:21" s="75" customFormat="1" hidden="1">
      <c r="A1002" s="67"/>
      <c r="B1002" s="916"/>
      <c r="C1002" s="132"/>
      <c r="D1002" s="132"/>
      <c r="E1002" s="132"/>
      <c r="N1002" s="916"/>
      <c r="P1002" s="917"/>
      <c r="R1002" s="67"/>
      <c r="S1002" s="67"/>
      <c r="T1002" s="67"/>
      <c r="U1002" s="67"/>
    </row>
    <row r="1003" spans="1:21" s="75" customFormat="1" hidden="1">
      <c r="A1003" s="67"/>
      <c r="B1003" s="916"/>
      <c r="C1003" s="132"/>
      <c r="D1003" s="132"/>
      <c r="E1003" s="132"/>
      <c r="N1003" s="916"/>
      <c r="P1003" s="917"/>
      <c r="R1003" s="67"/>
      <c r="S1003" s="67"/>
      <c r="T1003" s="67"/>
      <c r="U1003" s="67"/>
    </row>
    <row r="1004" spans="1:21" s="75" customFormat="1" hidden="1">
      <c r="A1004" s="67"/>
      <c r="B1004" s="916"/>
      <c r="C1004" s="132"/>
      <c r="D1004" s="132"/>
      <c r="E1004" s="132"/>
      <c r="N1004" s="916"/>
      <c r="P1004" s="917"/>
      <c r="R1004" s="67"/>
      <c r="S1004" s="67"/>
      <c r="T1004" s="67"/>
      <c r="U1004" s="67"/>
    </row>
    <row r="1005" spans="1:21" s="75" customFormat="1" hidden="1">
      <c r="A1005" s="67"/>
      <c r="B1005" s="916"/>
      <c r="C1005" s="132"/>
      <c r="D1005" s="132"/>
      <c r="E1005" s="132"/>
      <c r="N1005" s="916"/>
      <c r="P1005" s="917"/>
      <c r="R1005" s="67"/>
      <c r="S1005" s="67"/>
      <c r="T1005" s="67"/>
      <c r="U1005" s="67"/>
    </row>
    <row r="1006" spans="1:21" s="75" customFormat="1" hidden="1">
      <c r="A1006" s="67"/>
      <c r="B1006" s="916"/>
      <c r="C1006" s="132"/>
      <c r="D1006" s="132"/>
      <c r="E1006" s="132"/>
      <c r="N1006" s="916"/>
      <c r="P1006" s="917"/>
      <c r="R1006" s="67"/>
      <c r="S1006" s="67"/>
      <c r="T1006" s="67"/>
      <c r="U1006" s="67"/>
    </row>
    <row r="1007" spans="1:21" s="75" customFormat="1" hidden="1">
      <c r="A1007" s="67"/>
      <c r="B1007" s="916"/>
      <c r="C1007" s="132"/>
      <c r="D1007" s="132"/>
      <c r="E1007" s="132"/>
      <c r="N1007" s="916"/>
      <c r="P1007" s="917"/>
      <c r="R1007" s="67"/>
      <c r="S1007" s="67"/>
      <c r="T1007" s="67"/>
      <c r="U1007" s="67"/>
    </row>
    <row r="1008" spans="1:21" s="75" customFormat="1" hidden="1">
      <c r="A1008" s="67"/>
      <c r="B1008" s="916"/>
      <c r="C1008" s="132"/>
      <c r="D1008" s="132"/>
      <c r="E1008" s="132"/>
      <c r="N1008" s="916"/>
      <c r="P1008" s="917"/>
      <c r="R1008" s="67"/>
      <c r="S1008" s="67"/>
      <c r="T1008" s="67"/>
      <c r="U1008" s="67"/>
    </row>
    <row r="1009" spans="1:21" s="75" customFormat="1" hidden="1">
      <c r="A1009" s="67"/>
      <c r="B1009" s="916"/>
      <c r="C1009" s="132"/>
      <c r="D1009" s="132"/>
      <c r="E1009" s="132"/>
      <c r="N1009" s="916"/>
      <c r="P1009" s="917"/>
      <c r="R1009" s="67"/>
      <c r="S1009" s="67"/>
      <c r="T1009" s="67"/>
      <c r="U1009" s="67"/>
    </row>
    <row r="1010" spans="1:21" s="75" customFormat="1" hidden="1">
      <c r="A1010" s="67"/>
      <c r="B1010" s="916"/>
      <c r="C1010" s="132"/>
      <c r="D1010" s="132"/>
      <c r="E1010" s="132"/>
      <c r="N1010" s="916"/>
      <c r="P1010" s="917"/>
      <c r="R1010" s="67"/>
      <c r="S1010" s="67"/>
      <c r="T1010" s="67"/>
      <c r="U1010" s="67"/>
    </row>
    <row r="1011" spans="1:21" s="75" customFormat="1" hidden="1">
      <c r="A1011" s="67"/>
      <c r="B1011" s="916"/>
      <c r="C1011" s="132"/>
      <c r="D1011" s="132"/>
      <c r="E1011" s="132"/>
      <c r="N1011" s="916"/>
      <c r="P1011" s="917"/>
      <c r="R1011" s="67"/>
      <c r="S1011" s="67"/>
      <c r="T1011" s="67"/>
      <c r="U1011" s="67"/>
    </row>
    <row r="1012" spans="1:21" s="75" customFormat="1" hidden="1">
      <c r="A1012" s="67"/>
      <c r="B1012" s="916"/>
      <c r="C1012" s="132"/>
      <c r="D1012" s="132"/>
      <c r="E1012" s="132"/>
      <c r="N1012" s="916"/>
      <c r="P1012" s="917"/>
      <c r="R1012" s="67"/>
      <c r="S1012" s="67"/>
      <c r="T1012" s="67"/>
      <c r="U1012" s="67"/>
    </row>
    <row r="1013" spans="1:21" s="75" customFormat="1" hidden="1">
      <c r="A1013" s="67"/>
      <c r="B1013" s="916"/>
      <c r="C1013" s="132"/>
      <c r="D1013" s="132"/>
      <c r="E1013" s="132"/>
      <c r="N1013" s="916"/>
      <c r="P1013" s="917"/>
      <c r="R1013" s="67"/>
      <c r="S1013" s="67"/>
      <c r="T1013" s="67"/>
      <c r="U1013" s="67"/>
    </row>
    <row r="1014" spans="1:21" s="75" customFormat="1" hidden="1">
      <c r="A1014" s="67"/>
      <c r="B1014" s="916"/>
      <c r="C1014" s="132"/>
      <c r="D1014" s="132"/>
      <c r="E1014" s="132"/>
      <c r="N1014" s="916"/>
      <c r="P1014" s="917"/>
      <c r="R1014" s="67"/>
      <c r="S1014" s="67"/>
      <c r="T1014" s="67"/>
      <c r="U1014" s="67"/>
    </row>
    <row r="1015" spans="1:21" s="75" customFormat="1" hidden="1">
      <c r="A1015" s="67"/>
      <c r="B1015" s="916"/>
      <c r="C1015" s="132"/>
      <c r="D1015" s="132"/>
      <c r="E1015" s="132"/>
      <c r="N1015" s="916"/>
      <c r="P1015" s="917"/>
      <c r="R1015" s="67"/>
      <c r="S1015" s="67"/>
      <c r="T1015" s="67"/>
      <c r="U1015" s="67"/>
    </row>
    <row r="1016" spans="1:21" s="75" customFormat="1" hidden="1">
      <c r="A1016" s="67"/>
      <c r="B1016" s="916"/>
      <c r="C1016" s="132"/>
      <c r="D1016" s="132"/>
      <c r="E1016" s="132"/>
      <c r="N1016" s="916"/>
      <c r="P1016" s="917"/>
      <c r="R1016" s="67"/>
      <c r="S1016" s="67"/>
      <c r="T1016" s="67"/>
      <c r="U1016" s="67"/>
    </row>
    <row r="1017" spans="1:21" s="75" customFormat="1" hidden="1">
      <c r="A1017" s="67"/>
      <c r="B1017" s="916"/>
      <c r="C1017" s="132"/>
      <c r="D1017" s="132"/>
      <c r="E1017" s="132"/>
      <c r="N1017" s="916"/>
      <c r="P1017" s="917"/>
      <c r="R1017" s="67"/>
      <c r="S1017" s="67"/>
      <c r="T1017" s="67"/>
      <c r="U1017" s="67"/>
    </row>
    <row r="1018" spans="1:21" s="75" customFormat="1" hidden="1">
      <c r="A1018" s="67"/>
      <c r="B1018" s="916"/>
      <c r="C1018" s="132"/>
      <c r="D1018" s="132"/>
      <c r="E1018" s="132"/>
      <c r="N1018" s="916"/>
      <c r="P1018" s="917"/>
      <c r="R1018" s="67"/>
      <c r="S1018" s="67"/>
      <c r="T1018" s="67"/>
      <c r="U1018" s="67"/>
    </row>
    <row r="1019" spans="1:21" s="75" customFormat="1" hidden="1">
      <c r="A1019" s="67"/>
      <c r="B1019" s="916"/>
      <c r="C1019" s="132"/>
      <c r="D1019" s="132"/>
      <c r="E1019" s="132"/>
      <c r="N1019" s="916"/>
      <c r="P1019" s="917"/>
      <c r="R1019" s="67"/>
      <c r="S1019" s="67"/>
      <c r="T1019" s="67"/>
      <c r="U1019" s="67"/>
    </row>
    <row r="1020" spans="1:21" s="75" customFormat="1" hidden="1">
      <c r="A1020" s="67"/>
      <c r="B1020" s="916"/>
      <c r="C1020" s="132"/>
      <c r="D1020" s="132"/>
      <c r="E1020" s="132"/>
      <c r="N1020" s="916"/>
      <c r="P1020" s="917"/>
      <c r="R1020" s="67"/>
      <c r="S1020" s="67"/>
      <c r="T1020" s="67"/>
      <c r="U1020" s="67"/>
    </row>
    <row r="1021" spans="1:21" s="75" customFormat="1" hidden="1">
      <c r="A1021" s="67"/>
      <c r="B1021" s="916"/>
      <c r="C1021" s="132"/>
      <c r="D1021" s="132"/>
      <c r="E1021" s="132"/>
      <c r="N1021" s="916"/>
      <c r="P1021" s="917"/>
      <c r="R1021" s="67"/>
      <c r="S1021" s="67"/>
      <c r="T1021" s="67"/>
      <c r="U1021" s="67"/>
    </row>
    <row r="1022" spans="1:21" s="75" customFormat="1" hidden="1">
      <c r="A1022" s="67"/>
      <c r="B1022" s="916"/>
      <c r="C1022" s="132"/>
      <c r="D1022" s="132"/>
      <c r="E1022" s="132"/>
      <c r="N1022" s="916"/>
      <c r="P1022" s="917"/>
      <c r="R1022" s="67"/>
      <c r="S1022" s="67"/>
      <c r="T1022" s="67"/>
      <c r="U1022" s="67"/>
    </row>
    <row r="1023" spans="1:21" s="75" customFormat="1" hidden="1">
      <c r="A1023" s="67"/>
      <c r="B1023" s="916"/>
      <c r="C1023" s="132"/>
      <c r="D1023" s="132"/>
      <c r="E1023" s="132"/>
      <c r="N1023" s="916"/>
      <c r="P1023" s="917"/>
      <c r="R1023" s="67"/>
      <c r="S1023" s="67"/>
      <c r="T1023" s="67"/>
      <c r="U1023" s="67"/>
    </row>
    <row r="1024" spans="1:21" s="75" customFormat="1" hidden="1">
      <c r="A1024" s="67"/>
      <c r="B1024" s="916"/>
      <c r="C1024" s="132"/>
      <c r="D1024" s="132"/>
      <c r="E1024" s="132"/>
      <c r="N1024" s="916"/>
      <c r="P1024" s="917"/>
      <c r="R1024" s="67"/>
      <c r="S1024" s="67"/>
      <c r="T1024" s="67"/>
      <c r="U1024" s="67"/>
    </row>
    <row r="1025" spans="1:21" s="75" customFormat="1" hidden="1">
      <c r="A1025" s="67"/>
      <c r="B1025" s="916"/>
      <c r="C1025" s="132"/>
      <c r="D1025" s="132"/>
      <c r="E1025" s="132"/>
      <c r="N1025" s="916"/>
      <c r="P1025" s="917"/>
      <c r="R1025" s="67"/>
      <c r="S1025" s="67"/>
      <c r="T1025" s="67"/>
      <c r="U1025" s="67"/>
    </row>
    <row r="1026" spans="1:21" s="75" customFormat="1" hidden="1">
      <c r="A1026" s="67"/>
      <c r="B1026" s="916"/>
      <c r="C1026" s="132"/>
      <c r="D1026" s="132"/>
      <c r="E1026" s="132"/>
      <c r="N1026" s="916"/>
      <c r="P1026" s="917"/>
      <c r="R1026" s="67"/>
      <c r="S1026" s="67"/>
      <c r="T1026" s="67"/>
      <c r="U1026" s="67"/>
    </row>
    <row r="1027" spans="1:21" s="75" customFormat="1" hidden="1">
      <c r="A1027" s="67"/>
      <c r="B1027" s="916"/>
      <c r="C1027" s="132"/>
      <c r="D1027" s="132"/>
      <c r="E1027" s="132"/>
      <c r="N1027" s="916"/>
      <c r="P1027" s="917"/>
      <c r="R1027" s="67"/>
      <c r="S1027" s="67"/>
      <c r="T1027" s="67"/>
      <c r="U1027" s="67"/>
    </row>
    <row r="1028" spans="1:21" s="75" customFormat="1" hidden="1">
      <c r="A1028" s="67"/>
      <c r="B1028" s="916"/>
      <c r="C1028" s="132"/>
      <c r="D1028" s="132"/>
      <c r="E1028" s="132"/>
      <c r="N1028" s="916"/>
      <c r="P1028" s="917"/>
      <c r="R1028" s="67"/>
      <c r="S1028" s="67"/>
      <c r="T1028" s="67"/>
      <c r="U1028" s="67"/>
    </row>
    <row r="1029" spans="1:21" s="75" customFormat="1" hidden="1">
      <c r="A1029" s="67"/>
      <c r="B1029" s="916"/>
      <c r="C1029" s="132"/>
      <c r="D1029" s="132"/>
      <c r="E1029" s="132"/>
      <c r="N1029" s="916"/>
      <c r="P1029" s="917"/>
      <c r="R1029" s="67"/>
      <c r="S1029" s="67"/>
      <c r="T1029" s="67"/>
      <c r="U1029" s="67"/>
    </row>
    <row r="1030" spans="1:21" s="75" customFormat="1" hidden="1">
      <c r="A1030" s="67"/>
      <c r="B1030" s="916"/>
      <c r="C1030" s="132"/>
      <c r="D1030" s="132"/>
      <c r="E1030" s="132"/>
      <c r="N1030" s="916"/>
      <c r="P1030" s="917"/>
      <c r="R1030" s="67"/>
      <c r="S1030" s="67"/>
      <c r="T1030" s="67"/>
      <c r="U1030" s="67"/>
    </row>
    <row r="1031" spans="1:21" s="75" customFormat="1" hidden="1">
      <c r="A1031" s="67"/>
      <c r="B1031" s="916"/>
      <c r="C1031" s="132"/>
      <c r="D1031" s="132"/>
      <c r="E1031" s="132"/>
      <c r="N1031" s="916"/>
      <c r="P1031" s="917"/>
      <c r="R1031" s="67"/>
      <c r="S1031" s="67"/>
      <c r="T1031" s="67"/>
      <c r="U1031" s="67"/>
    </row>
    <row r="1032" spans="1:21" s="75" customFormat="1" hidden="1">
      <c r="A1032" s="67"/>
      <c r="B1032" s="916"/>
      <c r="C1032" s="132"/>
      <c r="D1032" s="132"/>
      <c r="E1032" s="132"/>
      <c r="N1032" s="916"/>
      <c r="P1032" s="917"/>
      <c r="R1032" s="67"/>
      <c r="S1032" s="67"/>
      <c r="T1032" s="67"/>
      <c r="U1032" s="67"/>
    </row>
    <row r="1033" spans="1:21" s="75" customFormat="1" hidden="1">
      <c r="A1033" s="67"/>
      <c r="B1033" s="916"/>
      <c r="C1033" s="132"/>
      <c r="D1033" s="132"/>
      <c r="E1033" s="132"/>
      <c r="N1033" s="916"/>
      <c r="P1033" s="917"/>
      <c r="R1033" s="67"/>
      <c r="S1033" s="67"/>
      <c r="T1033" s="67"/>
      <c r="U1033" s="67"/>
    </row>
    <row r="1034" spans="1:21" s="75" customFormat="1" hidden="1">
      <c r="A1034" s="67"/>
      <c r="B1034" s="916"/>
      <c r="C1034" s="132"/>
      <c r="D1034" s="132"/>
      <c r="E1034" s="132"/>
      <c r="N1034" s="916"/>
      <c r="P1034" s="917"/>
      <c r="R1034" s="67"/>
      <c r="S1034" s="67"/>
      <c r="T1034" s="67"/>
      <c r="U1034" s="67"/>
    </row>
    <row r="1035" spans="1:21" s="75" customFormat="1" hidden="1">
      <c r="A1035" s="67"/>
      <c r="B1035" s="916"/>
      <c r="C1035" s="132"/>
      <c r="D1035" s="132"/>
      <c r="E1035" s="132"/>
      <c r="N1035" s="916"/>
      <c r="P1035" s="917"/>
      <c r="R1035" s="67"/>
      <c r="S1035" s="67"/>
      <c r="T1035" s="67"/>
      <c r="U1035" s="67"/>
    </row>
    <row r="1036" spans="1:21" s="75" customFormat="1" hidden="1">
      <c r="A1036" s="67"/>
      <c r="B1036" s="916"/>
      <c r="C1036" s="132"/>
      <c r="D1036" s="132"/>
      <c r="E1036" s="132"/>
      <c r="N1036" s="916"/>
      <c r="P1036" s="917"/>
      <c r="R1036" s="67"/>
      <c r="S1036" s="67"/>
      <c r="T1036" s="67"/>
      <c r="U1036" s="67"/>
    </row>
    <row r="1037" spans="1:21" s="75" customFormat="1" hidden="1">
      <c r="A1037" s="67"/>
      <c r="B1037" s="916"/>
      <c r="C1037" s="132"/>
      <c r="D1037" s="132"/>
      <c r="E1037" s="132"/>
      <c r="N1037" s="916"/>
      <c r="P1037" s="917"/>
      <c r="R1037" s="67"/>
      <c r="S1037" s="67"/>
      <c r="T1037" s="67"/>
      <c r="U1037" s="67"/>
    </row>
    <row r="1038" spans="1:21" s="75" customFormat="1" hidden="1">
      <c r="A1038" s="67"/>
      <c r="B1038" s="916"/>
      <c r="C1038" s="132"/>
      <c r="D1038" s="132"/>
      <c r="E1038" s="132"/>
      <c r="N1038" s="916"/>
      <c r="P1038" s="917"/>
      <c r="R1038" s="67"/>
      <c r="S1038" s="67"/>
      <c r="T1038" s="67"/>
      <c r="U1038" s="67"/>
    </row>
    <row r="1039" spans="1:21" s="75" customFormat="1" hidden="1">
      <c r="A1039" s="67"/>
      <c r="B1039" s="916"/>
      <c r="C1039" s="132"/>
      <c r="D1039" s="132"/>
      <c r="E1039" s="132"/>
      <c r="N1039" s="916"/>
      <c r="P1039" s="917"/>
      <c r="R1039" s="67"/>
      <c r="S1039" s="67"/>
      <c r="T1039" s="67"/>
      <c r="U1039" s="67"/>
    </row>
    <row r="1040" spans="1:21" s="75" customFormat="1" hidden="1">
      <c r="A1040" s="67"/>
      <c r="B1040" s="916"/>
      <c r="C1040" s="132"/>
      <c r="D1040" s="132"/>
      <c r="E1040" s="132"/>
      <c r="N1040" s="916"/>
      <c r="P1040" s="917"/>
      <c r="R1040" s="67"/>
      <c r="S1040" s="67"/>
      <c r="T1040" s="67"/>
      <c r="U1040" s="67"/>
    </row>
    <row r="1041" spans="1:21" s="75" customFormat="1" hidden="1">
      <c r="A1041" s="67"/>
      <c r="B1041" s="916"/>
      <c r="C1041" s="132"/>
      <c r="D1041" s="132"/>
      <c r="E1041" s="132"/>
      <c r="N1041" s="916"/>
      <c r="P1041" s="917"/>
      <c r="R1041" s="67"/>
      <c r="S1041" s="67"/>
      <c r="T1041" s="67"/>
      <c r="U1041" s="67"/>
    </row>
    <row r="1042" spans="1:21" s="75" customFormat="1" hidden="1">
      <c r="A1042" s="67"/>
      <c r="B1042" s="916"/>
      <c r="C1042" s="132"/>
      <c r="D1042" s="132"/>
      <c r="E1042" s="132"/>
      <c r="N1042" s="916"/>
      <c r="P1042" s="917"/>
      <c r="R1042" s="67"/>
      <c r="S1042" s="67"/>
      <c r="T1042" s="67"/>
      <c r="U1042" s="67"/>
    </row>
    <row r="1043" spans="1:21" s="75" customFormat="1" hidden="1">
      <c r="A1043" s="67"/>
      <c r="B1043" s="916"/>
      <c r="C1043" s="132"/>
      <c r="D1043" s="132"/>
      <c r="E1043" s="132"/>
      <c r="N1043" s="916"/>
      <c r="P1043" s="917"/>
      <c r="R1043" s="67"/>
      <c r="S1043" s="67"/>
      <c r="T1043" s="67"/>
      <c r="U1043" s="67"/>
    </row>
    <row r="1044" spans="1:21" s="75" customFormat="1" hidden="1">
      <c r="A1044" s="67"/>
      <c r="B1044" s="916"/>
      <c r="C1044" s="132"/>
      <c r="D1044" s="132"/>
      <c r="E1044" s="132"/>
      <c r="N1044" s="916"/>
      <c r="P1044" s="917"/>
      <c r="R1044" s="67"/>
      <c r="S1044" s="67"/>
      <c r="T1044" s="67"/>
      <c r="U1044" s="67"/>
    </row>
    <row r="1045" spans="1:21" s="75" customFormat="1" hidden="1">
      <c r="A1045" s="67"/>
      <c r="B1045" s="916"/>
      <c r="C1045" s="132"/>
      <c r="D1045" s="132"/>
      <c r="E1045" s="132"/>
      <c r="N1045" s="916"/>
      <c r="P1045" s="917"/>
      <c r="R1045" s="67"/>
      <c r="S1045" s="67"/>
      <c r="T1045" s="67"/>
      <c r="U1045" s="67"/>
    </row>
    <row r="1046" spans="1:21" s="75" customFormat="1" hidden="1">
      <c r="A1046" s="67"/>
      <c r="B1046" s="916"/>
      <c r="C1046" s="132"/>
      <c r="D1046" s="132"/>
      <c r="E1046" s="132"/>
      <c r="N1046" s="916"/>
      <c r="P1046" s="917"/>
      <c r="R1046" s="67"/>
      <c r="S1046" s="67"/>
      <c r="T1046" s="67"/>
      <c r="U1046" s="67"/>
    </row>
    <row r="1047" spans="1:21" s="75" customFormat="1" hidden="1">
      <c r="A1047" s="67"/>
      <c r="B1047" s="916"/>
      <c r="C1047" s="132"/>
      <c r="D1047" s="132"/>
      <c r="E1047" s="132"/>
      <c r="N1047" s="916"/>
      <c r="P1047" s="917"/>
      <c r="R1047" s="67"/>
      <c r="S1047" s="67"/>
      <c r="T1047" s="67"/>
      <c r="U1047" s="67"/>
    </row>
    <row r="1048" spans="1:21" s="75" customFormat="1" hidden="1">
      <c r="A1048" s="67"/>
      <c r="B1048" s="916"/>
      <c r="C1048" s="132"/>
      <c r="D1048" s="132"/>
      <c r="E1048" s="132"/>
      <c r="N1048" s="916"/>
      <c r="P1048" s="917"/>
      <c r="R1048" s="67"/>
      <c r="S1048" s="67"/>
      <c r="T1048" s="67"/>
      <c r="U1048" s="67"/>
    </row>
    <row r="1049" spans="1:21" s="75" customFormat="1" hidden="1">
      <c r="A1049" s="67"/>
      <c r="B1049" s="916"/>
      <c r="C1049" s="132"/>
      <c r="D1049" s="132"/>
      <c r="E1049" s="132"/>
      <c r="N1049" s="916"/>
      <c r="P1049" s="917"/>
      <c r="R1049" s="67"/>
      <c r="S1049" s="67"/>
      <c r="T1049" s="67"/>
      <c r="U1049" s="67"/>
    </row>
    <row r="1050" spans="1:21" s="75" customFormat="1" hidden="1">
      <c r="A1050" s="67"/>
      <c r="B1050" s="916"/>
      <c r="C1050" s="132"/>
      <c r="D1050" s="132"/>
      <c r="E1050" s="132"/>
      <c r="N1050" s="916"/>
      <c r="P1050" s="917"/>
      <c r="R1050" s="67"/>
      <c r="S1050" s="67"/>
      <c r="T1050" s="67"/>
      <c r="U1050" s="67"/>
    </row>
    <row r="1051" spans="1:21" s="75" customFormat="1" hidden="1">
      <c r="A1051" s="67"/>
      <c r="B1051" s="916"/>
      <c r="C1051" s="132"/>
      <c r="D1051" s="132"/>
      <c r="E1051" s="132"/>
      <c r="N1051" s="916"/>
      <c r="P1051" s="917"/>
      <c r="R1051" s="67"/>
      <c r="S1051" s="67"/>
      <c r="T1051" s="67"/>
      <c r="U1051" s="67"/>
    </row>
    <row r="1052" spans="1:21" s="75" customFormat="1" hidden="1">
      <c r="A1052" s="67"/>
      <c r="B1052" s="916"/>
      <c r="C1052" s="132"/>
      <c r="D1052" s="132"/>
      <c r="E1052" s="132"/>
      <c r="N1052" s="916"/>
      <c r="P1052" s="917"/>
      <c r="R1052" s="67"/>
      <c r="S1052" s="67"/>
      <c r="T1052" s="67"/>
      <c r="U1052" s="67"/>
    </row>
    <row r="1053" spans="1:21" s="75" customFormat="1" hidden="1">
      <c r="A1053" s="67"/>
      <c r="B1053" s="916"/>
      <c r="C1053" s="132"/>
      <c r="D1053" s="132"/>
      <c r="E1053" s="132"/>
      <c r="N1053" s="916"/>
      <c r="P1053" s="917"/>
      <c r="R1053" s="67"/>
      <c r="S1053" s="67"/>
      <c r="T1053" s="67"/>
      <c r="U1053" s="67"/>
    </row>
    <row r="1054" spans="1:21" s="75" customFormat="1" hidden="1">
      <c r="A1054" s="67"/>
      <c r="B1054" s="916"/>
      <c r="C1054" s="132"/>
      <c r="D1054" s="132"/>
      <c r="E1054" s="132"/>
      <c r="N1054" s="916"/>
      <c r="P1054" s="917"/>
      <c r="R1054" s="67"/>
      <c r="S1054" s="67"/>
      <c r="T1054" s="67"/>
      <c r="U1054" s="67"/>
    </row>
    <row r="1055" spans="1:21" s="75" customFormat="1" hidden="1">
      <c r="A1055" s="67"/>
      <c r="B1055" s="916"/>
      <c r="C1055" s="132"/>
      <c r="D1055" s="132"/>
      <c r="E1055" s="132"/>
      <c r="N1055" s="916"/>
      <c r="P1055" s="917"/>
      <c r="R1055" s="67"/>
      <c r="S1055" s="67"/>
      <c r="T1055" s="67"/>
      <c r="U1055" s="67"/>
    </row>
    <row r="1056" spans="1:21" s="75" customFormat="1" hidden="1">
      <c r="A1056" s="67"/>
      <c r="B1056" s="916"/>
      <c r="C1056" s="132"/>
      <c r="D1056" s="132"/>
      <c r="E1056" s="132"/>
      <c r="N1056" s="916"/>
      <c r="P1056" s="917"/>
      <c r="R1056" s="67"/>
      <c r="S1056" s="67"/>
      <c r="T1056" s="67"/>
      <c r="U1056" s="67"/>
    </row>
    <row r="1057" spans="1:21" s="75" customFormat="1" hidden="1">
      <c r="A1057" s="67"/>
      <c r="B1057" s="916"/>
      <c r="C1057" s="132"/>
      <c r="D1057" s="132"/>
      <c r="E1057" s="132"/>
      <c r="N1057" s="916"/>
      <c r="P1057" s="917"/>
      <c r="R1057" s="67"/>
      <c r="S1057" s="67"/>
      <c r="T1057" s="67"/>
      <c r="U1057" s="67"/>
    </row>
    <row r="1058" spans="1:21" s="75" customFormat="1" hidden="1">
      <c r="A1058" s="67"/>
      <c r="B1058" s="916"/>
      <c r="C1058" s="132"/>
      <c r="D1058" s="132"/>
      <c r="E1058" s="132"/>
      <c r="N1058" s="916"/>
      <c r="P1058" s="917"/>
      <c r="R1058" s="67"/>
      <c r="S1058" s="67"/>
      <c r="T1058" s="67"/>
      <c r="U1058" s="67"/>
    </row>
    <row r="1059" spans="1:21" s="75" customFormat="1" hidden="1">
      <c r="A1059" s="67"/>
      <c r="B1059" s="916"/>
      <c r="C1059" s="132"/>
      <c r="D1059" s="132"/>
      <c r="E1059" s="132"/>
      <c r="N1059" s="916"/>
      <c r="P1059" s="917"/>
      <c r="R1059" s="67"/>
      <c r="S1059" s="67"/>
      <c r="T1059" s="67"/>
      <c r="U1059" s="67"/>
    </row>
    <row r="1060" spans="1:21" s="75" customFormat="1" hidden="1">
      <c r="A1060" s="67"/>
      <c r="B1060" s="916"/>
      <c r="C1060" s="132"/>
      <c r="D1060" s="132"/>
      <c r="E1060" s="132"/>
      <c r="N1060" s="916"/>
      <c r="P1060" s="917"/>
      <c r="R1060" s="67"/>
      <c r="S1060" s="67"/>
      <c r="T1060" s="67"/>
      <c r="U1060" s="67"/>
    </row>
    <row r="1061" spans="1:21" s="75" customFormat="1" hidden="1">
      <c r="A1061" s="67"/>
      <c r="B1061" s="916"/>
      <c r="C1061" s="132"/>
      <c r="D1061" s="132"/>
      <c r="E1061" s="132"/>
      <c r="N1061" s="916"/>
      <c r="P1061" s="917"/>
      <c r="R1061" s="67"/>
      <c r="S1061" s="67"/>
      <c r="T1061" s="67"/>
      <c r="U1061" s="67"/>
    </row>
    <row r="1062" spans="1:21" s="75" customFormat="1" hidden="1">
      <c r="A1062" s="67"/>
      <c r="B1062" s="916"/>
      <c r="C1062" s="132"/>
      <c r="D1062" s="132"/>
      <c r="E1062" s="132"/>
      <c r="N1062" s="916"/>
      <c r="P1062" s="917"/>
      <c r="R1062" s="67"/>
      <c r="S1062" s="67"/>
      <c r="T1062" s="67"/>
      <c r="U1062" s="67"/>
    </row>
    <row r="1063" spans="1:21" s="75" customFormat="1" hidden="1">
      <c r="A1063" s="67"/>
      <c r="B1063" s="916"/>
      <c r="C1063" s="132"/>
      <c r="D1063" s="132"/>
      <c r="E1063" s="132"/>
      <c r="N1063" s="916"/>
      <c r="P1063" s="917"/>
      <c r="R1063" s="67"/>
      <c r="S1063" s="67"/>
      <c r="T1063" s="67"/>
      <c r="U1063" s="67"/>
    </row>
    <row r="1064" spans="1:21" s="75" customFormat="1" hidden="1">
      <c r="A1064" s="67"/>
      <c r="B1064" s="916"/>
      <c r="C1064" s="132"/>
      <c r="D1064" s="132"/>
      <c r="E1064" s="132"/>
      <c r="N1064" s="916"/>
      <c r="P1064" s="917"/>
      <c r="R1064" s="67"/>
      <c r="S1064" s="67"/>
      <c r="T1064" s="67"/>
      <c r="U1064" s="67"/>
    </row>
    <row r="1065" spans="1:21" s="75" customFormat="1" hidden="1">
      <c r="A1065" s="67"/>
      <c r="B1065" s="916"/>
      <c r="C1065" s="132"/>
      <c r="D1065" s="132"/>
      <c r="E1065" s="132"/>
      <c r="N1065" s="916"/>
      <c r="P1065" s="917"/>
      <c r="R1065" s="67"/>
      <c r="S1065" s="67"/>
      <c r="T1065" s="67"/>
      <c r="U1065" s="67"/>
    </row>
    <row r="1066" spans="1:21" s="75" customFormat="1" hidden="1">
      <c r="A1066" s="67"/>
      <c r="B1066" s="916"/>
      <c r="C1066" s="132"/>
      <c r="D1066" s="132"/>
      <c r="E1066" s="132"/>
      <c r="N1066" s="916"/>
      <c r="P1066" s="917"/>
      <c r="R1066" s="67"/>
      <c r="S1066" s="67"/>
      <c r="T1066" s="67"/>
      <c r="U1066" s="67"/>
    </row>
    <row r="1067" spans="1:21" s="75" customFormat="1" hidden="1">
      <c r="A1067" s="67"/>
      <c r="B1067" s="916"/>
      <c r="C1067" s="132"/>
      <c r="D1067" s="132"/>
      <c r="E1067" s="132"/>
      <c r="N1067" s="916"/>
      <c r="P1067" s="917"/>
      <c r="R1067" s="67"/>
      <c r="S1067" s="67"/>
      <c r="T1067" s="67"/>
      <c r="U1067" s="67"/>
    </row>
    <row r="1068" spans="1:21" s="75" customFormat="1" hidden="1">
      <c r="A1068" s="67"/>
      <c r="B1068" s="916"/>
      <c r="C1068" s="132"/>
      <c r="D1068" s="132"/>
      <c r="E1068" s="132"/>
      <c r="N1068" s="916"/>
      <c r="P1068" s="917"/>
      <c r="R1068" s="67"/>
      <c r="S1068" s="67"/>
      <c r="T1068" s="67"/>
      <c r="U1068" s="67"/>
    </row>
    <row r="1069" spans="1:21" s="75" customFormat="1" hidden="1">
      <c r="A1069" s="67"/>
      <c r="B1069" s="916"/>
      <c r="C1069" s="132"/>
      <c r="D1069" s="132"/>
      <c r="E1069" s="132"/>
      <c r="N1069" s="916"/>
      <c r="P1069" s="917"/>
      <c r="R1069" s="67"/>
      <c r="S1069" s="67"/>
      <c r="T1069" s="67"/>
      <c r="U1069" s="67"/>
    </row>
    <row r="1070" spans="1:21" s="75" customFormat="1" hidden="1">
      <c r="A1070" s="67"/>
      <c r="B1070" s="916"/>
      <c r="C1070" s="132"/>
      <c r="D1070" s="132"/>
      <c r="E1070" s="132"/>
      <c r="N1070" s="916"/>
      <c r="P1070" s="917"/>
      <c r="R1070" s="67"/>
      <c r="S1070" s="67"/>
      <c r="T1070" s="67"/>
      <c r="U1070" s="67"/>
    </row>
    <row r="1071" spans="1:21" s="75" customFormat="1" hidden="1">
      <c r="A1071" s="67"/>
      <c r="B1071" s="916"/>
      <c r="C1071" s="132"/>
      <c r="D1071" s="132"/>
      <c r="E1071" s="132"/>
      <c r="N1071" s="916"/>
      <c r="P1071" s="917"/>
      <c r="R1071" s="67"/>
      <c r="S1071" s="67"/>
      <c r="T1071" s="67"/>
      <c r="U1071" s="67"/>
    </row>
    <row r="1072" spans="1:21" s="75" customFormat="1" hidden="1">
      <c r="A1072" s="67"/>
      <c r="B1072" s="916"/>
      <c r="C1072" s="132"/>
      <c r="D1072" s="132"/>
      <c r="E1072" s="132"/>
      <c r="N1072" s="916"/>
      <c r="P1072" s="917"/>
      <c r="R1072" s="67"/>
      <c r="S1072" s="67"/>
      <c r="T1072" s="67"/>
      <c r="U1072" s="67"/>
    </row>
    <row r="1073" spans="1:21" s="75" customFormat="1" hidden="1">
      <c r="A1073" s="67"/>
      <c r="B1073" s="916"/>
      <c r="C1073" s="132"/>
      <c r="D1073" s="132"/>
      <c r="E1073" s="132"/>
      <c r="N1073" s="916"/>
      <c r="P1073" s="917"/>
      <c r="R1073" s="67"/>
      <c r="S1073" s="67"/>
      <c r="T1073" s="67"/>
      <c r="U1073" s="67"/>
    </row>
    <row r="1074" spans="1:21" s="75" customFormat="1" hidden="1">
      <c r="A1074" s="67"/>
      <c r="B1074" s="916"/>
      <c r="C1074" s="132"/>
      <c r="D1074" s="132"/>
      <c r="E1074" s="132"/>
      <c r="N1074" s="916"/>
      <c r="P1074" s="917"/>
      <c r="R1074" s="67"/>
      <c r="S1074" s="67"/>
      <c r="T1074" s="67"/>
      <c r="U1074" s="67"/>
    </row>
    <row r="1075" spans="1:21" s="75" customFormat="1" hidden="1">
      <c r="A1075" s="67"/>
      <c r="B1075" s="916"/>
      <c r="C1075" s="132"/>
      <c r="D1075" s="132"/>
      <c r="E1075" s="132"/>
      <c r="N1075" s="916"/>
      <c r="P1075" s="917"/>
      <c r="R1075" s="67"/>
      <c r="S1075" s="67"/>
      <c r="T1075" s="67"/>
      <c r="U1075" s="67"/>
    </row>
    <row r="1076" spans="1:21" s="75" customFormat="1" hidden="1">
      <c r="A1076" s="67"/>
      <c r="B1076" s="916"/>
      <c r="C1076" s="132"/>
      <c r="D1076" s="132"/>
      <c r="E1076" s="132"/>
      <c r="N1076" s="916"/>
      <c r="P1076" s="917"/>
      <c r="R1076" s="67"/>
      <c r="S1076" s="67"/>
      <c r="T1076" s="67"/>
      <c r="U1076" s="67"/>
    </row>
    <row r="1077" spans="1:21" s="75" customFormat="1" hidden="1">
      <c r="A1077" s="67"/>
      <c r="B1077" s="916"/>
      <c r="C1077" s="132"/>
      <c r="D1077" s="132"/>
      <c r="E1077" s="132"/>
      <c r="N1077" s="916"/>
      <c r="P1077" s="917"/>
      <c r="R1077" s="67"/>
      <c r="S1077" s="67"/>
      <c r="T1077" s="67"/>
      <c r="U1077" s="67"/>
    </row>
    <row r="1078" spans="1:21" s="75" customFormat="1" hidden="1">
      <c r="A1078" s="67"/>
      <c r="B1078" s="916"/>
      <c r="C1078" s="132"/>
      <c r="D1078" s="132"/>
      <c r="E1078" s="132"/>
      <c r="N1078" s="916"/>
      <c r="P1078" s="917"/>
      <c r="R1078" s="67"/>
      <c r="S1078" s="67"/>
      <c r="T1078" s="67"/>
      <c r="U1078" s="67"/>
    </row>
    <row r="1079" spans="1:21" s="75" customFormat="1" hidden="1">
      <c r="A1079" s="67"/>
      <c r="B1079" s="916"/>
      <c r="C1079" s="132"/>
      <c r="D1079" s="132"/>
      <c r="E1079" s="132"/>
      <c r="N1079" s="916"/>
      <c r="P1079" s="917"/>
      <c r="R1079" s="67"/>
      <c r="S1079" s="67"/>
      <c r="T1079" s="67"/>
      <c r="U1079" s="67"/>
    </row>
    <row r="1080" spans="1:21" s="75" customFormat="1" hidden="1">
      <c r="A1080" s="67"/>
      <c r="B1080" s="916"/>
      <c r="C1080" s="132"/>
      <c r="D1080" s="132"/>
      <c r="E1080" s="132"/>
      <c r="N1080" s="916"/>
      <c r="P1080" s="917"/>
      <c r="R1080" s="67"/>
      <c r="S1080" s="67"/>
      <c r="T1080" s="67"/>
      <c r="U1080" s="67"/>
    </row>
    <row r="1081" spans="1:21" s="75" customFormat="1" hidden="1">
      <c r="A1081" s="67"/>
      <c r="B1081" s="916"/>
      <c r="C1081" s="132"/>
      <c r="D1081" s="132"/>
      <c r="E1081" s="132"/>
      <c r="N1081" s="916"/>
      <c r="P1081" s="917"/>
      <c r="R1081" s="67"/>
      <c r="S1081" s="67"/>
      <c r="T1081" s="67"/>
      <c r="U1081" s="67"/>
    </row>
    <row r="1082" spans="1:21" s="75" customFormat="1" hidden="1">
      <c r="A1082" s="67"/>
      <c r="B1082" s="916"/>
      <c r="C1082" s="132"/>
      <c r="D1082" s="132"/>
      <c r="E1082" s="132"/>
      <c r="N1082" s="916"/>
      <c r="P1082" s="917"/>
      <c r="R1082" s="67"/>
      <c r="S1082" s="67"/>
      <c r="T1082" s="67"/>
      <c r="U1082" s="67"/>
    </row>
    <row r="1083" spans="1:21" s="75" customFormat="1" hidden="1">
      <c r="A1083" s="67"/>
      <c r="B1083" s="916"/>
      <c r="C1083" s="132"/>
      <c r="D1083" s="132"/>
      <c r="E1083" s="132"/>
      <c r="N1083" s="916"/>
      <c r="P1083" s="917"/>
      <c r="R1083" s="67"/>
      <c r="S1083" s="67"/>
      <c r="T1083" s="67"/>
      <c r="U1083" s="67"/>
    </row>
    <row r="1084" spans="1:21" s="75" customFormat="1" hidden="1">
      <c r="A1084" s="67"/>
      <c r="B1084" s="916"/>
      <c r="C1084" s="132"/>
      <c r="D1084" s="132"/>
      <c r="E1084" s="132"/>
      <c r="N1084" s="916"/>
      <c r="P1084" s="917"/>
      <c r="R1084" s="67"/>
      <c r="S1084" s="67"/>
      <c r="T1084" s="67"/>
      <c r="U1084" s="67"/>
    </row>
    <row r="1085" spans="1:21" s="75" customFormat="1" hidden="1">
      <c r="A1085" s="67"/>
      <c r="B1085" s="916"/>
      <c r="C1085" s="132"/>
      <c r="D1085" s="132"/>
      <c r="E1085" s="132"/>
      <c r="N1085" s="916"/>
      <c r="P1085" s="917"/>
      <c r="R1085" s="67"/>
      <c r="S1085" s="67"/>
      <c r="T1085" s="67"/>
      <c r="U1085" s="67"/>
    </row>
    <row r="1086" spans="1:21" s="75" customFormat="1" hidden="1">
      <c r="A1086" s="67"/>
      <c r="B1086" s="916"/>
      <c r="C1086" s="132"/>
      <c r="D1086" s="132"/>
      <c r="E1086" s="132"/>
      <c r="N1086" s="916"/>
      <c r="P1086" s="917"/>
      <c r="R1086" s="67"/>
      <c r="S1086" s="67"/>
      <c r="T1086" s="67"/>
      <c r="U1086" s="67"/>
    </row>
    <row r="1087" spans="1:21" s="75" customFormat="1" hidden="1">
      <c r="A1087" s="67"/>
      <c r="B1087" s="916"/>
      <c r="C1087" s="132"/>
      <c r="D1087" s="132"/>
      <c r="E1087" s="132"/>
      <c r="N1087" s="916"/>
      <c r="P1087" s="917"/>
      <c r="R1087" s="67"/>
      <c r="S1087" s="67"/>
      <c r="T1087" s="67"/>
      <c r="U1087" s="67"/>
    </row>
    <row r="1088" spans="1:21" s="75" customFormat="1" hidden="1">
      <c r="A1088" s="67"/>
      <c r="B1088" s="916"/>
      <c r="C1088" s="132"/>
      <c r="D1088" s="132"/>
      <c r="E1088" s="132"/>
      <c r="N1088" s="916"/>
      <c r="P1088" s="917"/>
      <c r="R1088" s="67"/>
      <c r="S1088" s="67"/>
      <c r="T1088" s="67"/>
      <c r="U1088" s="67"/>
    </row>
    <row r="1089" spans="1:21" s="75" customFormat="1" hidden="1">
      <c r="A1089" s="67"/>
      <c r="B1089" s="916"/>
      <c r="C1089" s="132"/>
      <c r="D1089" s="132"/>
      <c r="E1089" s="132"/>
      <c r="N1089" s="916"/>
      <c r="P1089" s="917"/>
      <c r="R1089" s="67"/>
      <c r="S1089" s="67"/>
      <c r="T1089" s="67"/>
      <c r="U1089" s="67"/>
    </row>
    <row r="1090" spans="1:21" s="75" customFormat="1" hidden="1">
      <c r="A1090" s="67"/>
      <c r="B1090" s="916"/>
      <c r="C1090" s="132"/>
      <c r="D1090" s="132"/>
      <c r="E1090" s="132"/>
      <c r="N1090" s="916"/>
      <c r="P1090" s="917"/>
      <c r="R1090" s="67"/>
      <c r="S1090" s="67"/>
      <c r="T1090" s="67"/>
      <c r="U1090" s="67"/>
    </row>
    <row r="1091" spans="1:21" s="75" customFormat="1" hidden="1">
      <c r="A1091" s="67"/>
      <c r="B1091" s="916"/>
      <c r="C1091" s="132"/>
      <c r="D1091" s="132"/>
      <c r="E1091" s="132"/>
      <c r="N1091" s="916"/>
      <c r="P1091" s="917"/>
      <c r="R1091" s="67"/>
      <c r="S1091" s="67"/>
      <c r="T1091" s="67"/>
      <c r="U1091" s="67"/>
    </row>
    <row r="1092" spans="1:21" s="75" customFormat="1" hidden="1">
      <c r="A1092" s="67"/>
      <c r="B1092" s="916"/>
      <c r="C1092" s="132"/>
      <c r="D1092" s="132"/>
      <c r="E1092" s="132"/>
      <c r="N1092" s="916"/>
      <c r="P1092" s="917"/>
      <c r="R1092" s="67"/>
      <c r="S1092" s="67"/>
      <c r="T1092" s="67"/>
      <c r="U1092" s="67"/>
    </row>
    <row r="1093" spans="1:21" s="75" customFormat="1" hidden="1">
      <c r="A1093" s="67"/>
      <c r="B1093" s="916"/>
      <c r="C1093" s="132"/>
      <c r="D1093" s="132"/>
      <c r="E1093" s="132"/>
      <c r="N1093" s="916"/>
      <c r="P1093" s="917"/>
      <c r="R1093" s="67"/>
      <c r="S1093" s="67"/>
      <c r="T1093" s="67"/>
      <c r="U1093" s="67"/>
    </row>
    <row r="1094" spans="1:21" s="75" customFormat="1" hidden="1">
      <c r="A1094" s="67"/>
      <c r="B1094" s="916"/>
      <c r="C1094" s="132"/>
      <c r="D1094" s="132"/>
      <c r="E1094" s="132"/>
      <c r="N1094" s="916"/>
      <c r="P1094" s="917"/>
      <c r="R1094" s="67"/>
      <c r="S1094" s="67"/>
      <c r="T1094" s="67"/>
      <c r="U1094" s="67"/>
    </row>
    <row r="1095" spans="1:21" s="75" customFormat="1" hidden="1">
      <c r="A1095" s="67"/>
      <c r="B1095" s="916"/>
      <c r="C1095" s="132"/>
      <c r="D1095" s="132"/>
      <c r="E1095" s="132"/>
      <c r="N1095" s="916"/>
      <c r="P1095" s="917"/>
      <c r="R1095" s="67"/>
      <c r="S1095" s="67"/>
      <c r="T1095" s="67"/>
      <c r="U1095" s="67"/>
    </row>
    <row r="1096" spans="1:21" s="75" customFormat="1" hidden="1">
      <c r="A1096" s="67"/>
      <c r="B1096" s="916"/>
      <c r="C1096" s="132"/>
      <c r="D1096" s="132"/>
      <c r="E1096" s="132"/>
      <c r="N1096" s="916"/>
      <c r="P1096" s="917"/>
      <c r="R1096" s="67"/>
      <c r="S1096" s="67"/>
      <c r="T1096" s="67"/>
      <c r="U1096" s="67"/>
    </row>
    <row r="1097" spans="1:21" s="75" customFormat="1" hidden="1">
      <c r="A1097" s="67"/>
      <c r="B1097" s="916"/>
      <c r="C1097" s="132"/>
      <c r="D1097" s="132"/>
      <c r="E1097" s="132"/>
      <c r="N1097" s="916"/>
      <c r="P1097" s="917"/>
      <c r="R1097" s="67"/>
      <c r="S1097" s="67"/>
      <c r="T1097" s="67"/>
      <c r="U1097" s="67"/>
    </row>
    <row r="1098" spans="1:21" s="75" customFormat="1" hidden="1">
      <c r="A1098" s="67"/>
      <c r="B1098" s="916"/>
      <c r="C1098" s="132"/>
      <c r="D1098" s="132"/>
      <c r="E1098" s="132"/>
      <c r="N1098" s="916"/>
      <c r="P1098" s="917"/>
      <c r="R1098" s="67"/>
      <c r="S1098" s="67"/>
      <c r="T1098" s="67"/>
      <c r="U1098" s="67"/>
    </row>
    <row r="1099" spans="1:21" s="75" customFormat="1" hidden="1">
      <c r="A1099" s="67"/>
      <c r="B1099" s="916"/>
      <c r="C1099" s="132"/>
      <c r="D1099" s="132"/>
      <c r="E1099" s="132"/>
      <c r="N1099" s="916"/>
      <c r="P1099" s="917"/>
      <c r="R1099" s="67"/>
      <c r="S1099" s="67"/>
      <c r="T1099" s="67"/>
      <c r="U1099" s="67"/>
    </row>
    <row r="1100" spans="1:21" s="75" customFormat="1" hidden="1">
      <c r="A1100" s="67"/>
      <c r="B1100" s="916"/>
      <c r="C1100" s="132"/>
      <c r="D1100" s="132"/>
      <c r="E1100" s="132"/>
      <c r="N1100" s="916"/>
      <c r="P1100" s="917"/>
      <c r="R1100" s="67"/>
      <c r="S1100" s="67"/>
      <c r="T1100" s="67"/>
      <c r="U1100" s="67"/>
    </row>
    <row r="1101" spans="1:21" s="75" customFormat="1" hidden="1">
      <c r="A1101" s="67"/>
      <c r="B1101" s="916"/>
      <c r="C1101" s="132"/>
      <c r="D1101" s="132"/>
      <c r="E1101" s="132"/>
      <c r="N1101" s="916"/>
      <c r="P1101" s="917"/>
      <c r="R1101" s="67"/>
      <c r="S1101" s="67"/>
      <c r="T1101" s="67"/>
      <c r="U1101" s="67"/>
    </row>
    <row r="1102" spans="1:21" s="75" customFormat="1" hidden="1">
      <c r="A1102" s="67"/>
      <c r="B1102" s="916"/>
      <c r="C1102" s="132"/>
      <c r="D1102" s="132"/>
      <c r="E1102" s="132"/>
      <c r="N1102" s="916"/>
      <c r="P1102" s="917"/>
      <c r="R1102" s="67"/>
      <c r="S1102" s="67"/>
      <c r="T1102" s="67"/>
      <c r="U1102" s="67"/>
    </row>
    <row r="1103" spans="1:21" s="75" customFormat="1" hidden="1">
      <c r="A1103" s="67"/>
      <c r="B1103" s="916"/>
      <c r="C1103" s="132"/>
      <c r="D1103" s="132"/>
      <c r="E1103" s="132"/>
      <c r="N1103" s="916"/>
      <c r="P1103" s="917"/>
      <c r="R1103" s="67"/>
      <c r="S1103" s="67"/>
      <c r="T1103" s="67"/>
      <c r="U1103" s="67"/>
    </row>
    <row r="1104" spans="1:21" s="75" customFormat="1" hidden="1">
      <c r="A1104" s="67"/>
      <c r="B1104" s="916"/>
      <c r="C1104" s="132"/>
      <c r="D1104" s="132"/>
      <c r="E1104" s="132"/>
      <c r="N1104" s="916"/>
      <c r="P1104" s="917"/>
      <c r="R1104" s="67"/>
      <c r="S1104" s="67"/>
      <c r="T1104" s="67"/>
      <c r="U1104" s="67"/>
    </row>
    <row r="1105" spans="1:21" s="75" customFormat="1" hidden="1">
      <c r="A1105" s="67"/>
      <c r="B1105" s="916"/>
      <c r="C1105" s="132"/>
      <c r="D1105" s="132"/>
      <c r="E1105" s="132"/>
      <c r="N1105" s="916"/>
      <c r="P1105" s="917"/>
      <c r="R1105" s="67"/>
      <c r="S1105" s="67"/>
      <c r="T1105" s="67"/>
      <c r="U1105" s="67"/>
    </row>
    <row r="1106" spans="1:21" s="75" customFormat="1" hidden="1">
      <c r="A1106" s="67"/>
      <c r="B1106" s="916"/>
      <c r="C1106" s="132"/>
      <c r="D1106" s="132"/>
      <c r="E1106" s="132"/>
      <c r="N1106" s="916"/>
      <c r="P1106" s="917"/>
      <c r="R1106" s="67"/>
      <c r="S1106" s="67"/>
      <c r="T1106" s="67"/>
      <c r="U1106" s="67"/>
    </row>
    <row r="1107" spans="1:21" s="75" customFormat="1" hidden="1">
      <c r="A1107" s="67"/>
      <c r="B1107" s="916"/>
      <c r="C1107" s="132"/>
      <c r="D1107" s="132"/>
      <c r="E1107" s="132"/>
      <c r="N1107" s="916"/>
      <c r="P1107" s="917"/>
      <c r="R1107" s="67"/>
      <c r="S1107" s="67"/>
      <c r="T1107" s="67"/>
      <c r="U1107" s="67"/>
    </row>
    <row r="1108" spans="1:21" s="75" customFormat="1" hidden="1">
      <c r="A1108" s="67"/>
      <c r="B1108" s="916"/>
      <c r="C1108" s="132"/>
      <c r="D1108" s="132"/>
      <c r="E1108" s="132"/>
      <c r="N1108" s="916"/>
      <c r="P1108" s="917"/>
      <c r="R1108" s="67"/>
      <c r="S1108" s="67"/>
      <c r="T1108" s="67"/>
      <c r="U1108" s="67"/>
    </row>
    <row r="1109" spans="1:21" s="75" customFormat="1" hidden="1">
      <c r="A1109" s="67"/>
      <c r="B1109" s="916"/>
      <c r="C1109" s="132"/>
      <c r="D1109" s="132"/>
      <c r="E1109" s="132"/>
      <c r="N1109" s="916"/>
      <c r="P1109" s="917"/>
      <c r="R1109" s="67"/>
      <c r="S1109" s="67"/>
      <c r="T1109" s="67"/>
      <c r="U1109" s="67"/>
    </row>
    <row r="1110" spans="1:21" s="75" customFormat="1" hidden="1">
      <c r="A1110" s="67"/>
      <c r="B1110" s="916"/>
      <c r="C1110" s="132"/>
      <c r="D1110" s="132"/>
      <c r="E1110" s="132"/>
      <c r="N1110" s="916"/>
      <c r="P1110" s="917"/>
      <c r="R1110" s="67"/>
      <c r="S1110" s="67"/>
      <c r="T1110" s="67"/>
      <c r="U1110" s="67"/>
    </row>
    <row r="1111" spans="1:21" s="75" customFormat="1" hidden="1">
      <c r="A1111" s="67"/>
      <c r="B1111" s="916"/>
      <c r="C1111" s="132"/>
      <c r="D1111" s="132"/>
      <c r="E1111" s="132"/>
      <c r="N1111" s="916"/>
      <c r="P1111" s="917"/>
      <c r="R1111" s="67"/>
      <c r="S1111" s="67"/>
      <c r="T1111" s="67"/>
      <c r="U1111" s="67"/>
    </row>
    <row r="1112" spans="1:21" s="75" customFormat="1" hidden="1">
      <c r="A1112" s="67"/>
      <c r="B1112" s="916"/>
      <c r="C1112" s="132"/>
      <c r="D1112" s="132"/>
      <c r="E1112" s="132"/>
      <c r="N1112" s="916"/>
      <c r="P1112" s="917"/>
      <c r="R1112" s="67"/>
      <c r="S1112" s="67"/>
      <c r="T1112" s="67"/>
      <c r="U1112" s="67"/>
    </row>
    <row r="1113" spans="1:21" s="75" customFormat="1" hidden="1">
      <c r="A1113" s="67"/>
      <c r="B1113" s="916"/>
      <c r="C1113" s="132"/>
      <c r="D1113" s="132"/>
      <c r="E1113" s="132"/>
      <c r="N1113" s="916"/>
      <c r="P1113" s="917"/>
      <c r="R1113" s="67"/>
      <c r="S1113" s="67"/>
      <c r="T1113" s="67"/>
      <c r="U1113" s="67"/>
    </row>
    <row r="1114" spans="1:21" s="75" customFormat="1" hidden="1">
      <c r="A1114" s="67"/>
      <c r="B1114" s="916"/>
      <c r="C1114" s="132"/>
      <c r="D1114" s="132"/>
      <c r="E1114" s="132"/>
      <c r="N1114" s="916"/>
      <c r="P1114" s="917"/>
      <c r="R1114" s="67"/>
      <c r="S1114" s="67"/>
      <c r="T1114" s="67"/>
      <c r="U1114" s="67"/>
    </row>
    <row r="1115" spans="1:21" s="75" customFormat="1" hidden="1">
      <c r="A1115" s="67"/>
      <c r="B1115" s="916"/>
      <c r="C1115" s="132"/>
      <c r="D1115" s="132"/>
      <c r="E1115" s="132"/>
      <c r="N1115" s="916"/>
      <c r="P1115" s="917"/>
      <c r="R1115" s="67"/>
      <c r="S1115" s="67"/>
      <c r="T1115" s="67"/>
      <c r="U1115" s="67"/>
    </row>
    <row r="1116" spans="1:21" s="75" customFormat="1" hidden="1">
      <c r="A1116" s="67"/>
      <c r="B1116" s="916"/>
      <c r="C1116" s="132"/>
      <c r="D1116" s="132"/>
      <c r="E1116" s="132"/>
      <c r="N1116" s="916"/>
      <c r="P1116" s="917"/>
      <c r="R1116" s="67"/>
      <c r="S1116" s="67"/>
      <c r="T1116" s="67"/>
      <c r="U1116" s="67"/>
    </row>
    <row r="1117" spans="1:21" s="75" customFormat="1" hidden="1">
      <c r="A1117" s="67"/>
      <c r="B1117" s="916"/>
      <c r="C1117" s="132"/>
      <c r="D1117" s="132"/>
      <c r="E1117" s="132"/>
      <c r="N1117" s="916"/>
      <c r="P1117" s="917"/>
      <c r="R1117" s="67"/>
      <c r="S1117" s="67"/>
      <c r="T1117" s="67"/>
      <c r="U1117" s="67"/>
    </row>
    <row r="1118" spans="1:21" s="75" customFormat="1" hidden="1">
      <c r="A1118" s="67"/>
      <c r="B1118" s="916"/>
      <c r="C1118" s="132"/>
      <c r="D1118" s="132"/>
      <c r="E1118" s="132"/>
      <c r="N1118" s="916"/>
      <c r="P1118" s="917"/>
      <c r="R1118" s="67"/>
      <c r="S1118" s="67"/>
      <c r="T1118" s="67"/>
      <c r="U1118" s="67"/>
    </row>
    <row r="1119" spans="1:21" s="75" customFormat="1" hidden="1">
      <c r="A1119" s="67"/>
      <c r="B1119" s="916"/>
      <c r="C1119" s="132"/>
      <c r="D1119" s="132"/>
      <c r="E1119" s="132"/>
      <c r="N1119" s="916"/>
      <c r="P1119" s="917"/>
      <c r="R1119" s="67"/>
      <c r="S1119" s="67"/>
      <c r="T1119" s="67"/>
      <c r="U1119" s="67"/>
    </row>
    <row r="1120" spans="1:21" s="75" customFormat="1" hidden="1">
      <c r="A1120" s="67"/>
      <c r="B1120" s="916"/>
      <c r="C1120" s="132"/>
      <c r="D1120" s="132"/>
      <c r="E1120" s="132"/>
      <c r="N1120" s="916"/>
      <c r="P1120" s="917"/>
      <c r="R1120" s="67"/>
      <c r="S1120" s="67"/>
      <c r="T1120" s="67"/>
      <c r="U1120" s="67"/>
    </row>
    <row r="1121" spans="1:21" s="75" customFormat="1" hidden="1">
      <c r="A1121" s="67"/>
      <c r="B1121" s="916"/>
      <c r="C1121" s="132"/>
      <c r="D1121" s="132"/>
      <c r="E1121" s="132"/>
      <c r="N1121" s="916"/>
      <c r="P1121" s="917"/>
      <c r="R1121" s="67"/>
      <c r="S1121" s="67"/>
      <c r="T1121" s="67"/>
      <c r="U1121" s="67"/>
    </row>
    <row r="1122" spans="1:21" s="75" customFormat="1" hidden="1">
      <c r="A1122" s="67"/>
      <c r="B1122" s="916"/>
      <c r="C1122" s="132"/>
      <c r="D1122" s="132"/>
      <c r="E1122" s="132"/>
      <c r="N1122" s="916"/>
      <c r="P1122" s="917"/>
      <c r="R1122" s="67"/>
      <c r="S1122" s="67"/>
      <c r="T1122" s="67"/>
      <c r="U1122" s="67"/>
    </row>
    <row r="1123" spans="1:21" s="75" customFormat="1" hidden="1">
      <c r="A1123" s="67"/>
      <c r="B1123" s="916"/>
      <c r="C1123" s="132"/>
      <c r="D1123" s="132"/>
      <c r="E1123" s="132"/>
      <c r="N1123" s="916"/>
      <c r="P1123" s="917"/>
      <c r="R1123" s="67"/>
      <c r="S1123" s="67"/>
      <c r="T1123" s="67"/>
      <c r="U1123" s="67"/>
    </row>
    <row r="1124" spans="1:21" s="75" customFormat="1" hidden="1">
      <c r="A1124" s="67"/>
      <c r="B1124" s="916"/>
      <c r="C1124" s="132"/>
      <c r="D1124" s="132"/>
      <c r="E1124" s="132"/>
      <c r="N1124" s="916"/>
      <c r="P1124" s="917"/>
      <c r="R1124" s="67"/>
      <c r="S1124" s="67"/>
      <c r="T1124" s="67"/>
      <c r="U1124" s="67"/>
    </row>
    <row r="1125" spans="1:21" s="75" customFormat="1" hidden="1">
      <c r="A1125" s="67"/>
      <c r="B1125" s="916"/>
      <c r="C1125" s="132"/>
      <c r="D1125" s="132"/>
      <c r="E1125" s="132"/>
      <c r="N1125" s="916"/>
      <c r="P1125" s="917"/>
      <c r="R1125" s="67"/>
      <c r="S1125" s="67"/>
      <c r="T1125" s="67"/>
      <c r="U1125" s="67"/>
    </row>
    <row r="1126" spans="1:21" s="75" customFormat="1" hidden="1">
      <c r="A1126" s="67"/>
      <c r="B1126" s="916"/>
      <c r="C1126" s="132"/>
      <c r="D1126" s="132"/>
      <c r="E1126" s="132"/>
      <c r="N1126" s="916"/>
      <c r="P1126" s="917"/>
      <c r="R1126" s="67"/>
      <c r="S1126" s="67"/>
      <c r="T1126" s="67"/>
      <c r="U1126" s="67"/>
    </row>
    <row r="1127" spans="1:21" s="75" customFormat="1" hidden="1">
      <c r="A1127" s="67"/>
      <c r="B1127" s="916"/>
      <c r="C1127" s="132"/>
      <c r="D1127" s="132"/>
      <c r="E1127" s="132"/>
      <c r="N1127" s="916"/>
      <c r="P1127" s="917"/>
      <c r="R1127" s="67"/>
      <c r="S1127" s="67"/>
      <c r="T1127" s="67"/>
      <c r="U1127" s="67"/>
    </row>
    <row r="1128" spans="1:21" s="75" customFormat="1" hidden="1">
      <c r="A1128" s="67"/>
      <c r="B1128" s="916"/>
      <c r="C1128" s="132"/>
      <c r="D1128" s="132"/>
      <c r="E1128" s="132"/>
      <c r="N1128" s="916"/>
      <c r="P1128" s="917"/>
      <c r="R1128" s="67"/>
      <c r="S1128" s="67"/>
      <c r="T1128" s="67"/>
      <c r="U1128" s="67"/>
    </row>
    <row r="1129" spans="1:21" s="75" customFormat="1" hidden="1">
      <c r="A1129" s="67"/>
      <c r="B1129" s="916"/>
      <c r="C1129" s="132"/>
      <c r="D1129" s="132"/>
      <c r="E1129" s="132"/>
      <c r="N1129" s="916"/>
      <c r="P1129" s="917"/>
      <c r="R1129" s="67"/>
      <c r="S1129" s="67"/>
      <c r="T1129" s="67"/>
      <c r="U1129" s="67"/>
    </row>
    <row r="1130" spans="1:21" s="75" customFormat="1" hidden="1">
      <c r="A1130" s="67"/>
      <c r="B1130" s="916"/>
      <c r="C1130" s="132"/>
      <c r="D1130" s="132"/>
      <c r="E1130" s="132"/>
      <c r="N1130" s="916"/>
      <c r="P1130" s="917"/>
      <c r="R1130" s="67"/>
      <c r="S1130" s="67"/>
      <c r="T1130" s="67"/>
      <c r="U1130" s="67"/>
    </row>
    <row r="1131" spans="1:21" s="75" customFormat="1" hidden="1">
      <c r="A1131" s="67"/>
      <c r="B1131" s="916"/>
      <c r="C1131" s="132"/>
      <c r="D1131" s="132"/>
      <c r="E1131" s="132"/>
      <c r="N1131" s="916"/>
      <c r="P1131" s="917"/>
      <c r="R1131" s="67"/>
      <c r="S1131" s="67"/>
      <c r="T1131" s="67"/>
      <c r="U1131" s="67"/>
    </row>
    <row r="1132" spans="1:21" s="75" customFormat="1" hidden="1">
      <c r="A1132" s="67"/>
      <c r="B1132" s="916"/>
      <c r="C1132" s="132"/>
      <c r="D1132" s="132"/>
      <c r="E1132" s="132"/>
      <c r="N1132" s="916"/>
      <c r="P1132" s="917"/>
      <c r="R1132" s="67"/>
      <c r="S1132" s="67"/>
      <c r="T1132" s="67"/>
      <c r="U1132" s="67"/>
    </row>
    <row r="1133" spans="1:21" s="75" customFormat="1" hidden="1">
      <c r="A1133" s="67"/>
      <c r="B1133" s="916"/>
      <c r="C1133" s="132"/>
      <c r="D1133" s="132"/>
      <c r="E1133" s="132"/>
      <c r="N1133" s="916"/>
      <c r="P1133" s="917"/>
      <c r="R1133" s="67"/>
      <c r="S1133" s="67"/>
      <c r="T1133" s="67"/>
      <c r="U1133" s="67"/>
    </row>
    <row r="1134" spans="1:21" s="75" customFormat="1" hidden="1">
      <c r="A1134" s="67"/>
      <c r="B1134" s="916"/>
      <c r="C1134" s="132"/>
      <c r="D1134" s="132"/>
      <c r="E1134" s="132"/>
      <c r="N1134" s="916"/>
      <c r="P1134" s="917"/>
      <c r="R1134" s="67"/>
      <c r="S1134" s="67"/>
      <c r="T1134" s="67"/>
      <c r="U1134" s="67"/>
    </row>
    <row r="1135" spans="1:21" s="75" customFormat="1" hidden="1">
      <c r="A1135" s="67"/>
      <c r="B1135" s="916"/>
      <c r="C1135" s="132"/>
      <c r="D1135" s="132"/>
      <c r="E1135" s="132"/>
      <c r="N1135" s="916"/>
      <c r="P1135" s="917"/>
      <c r="R1135" s="67"/>
      <c r="S1135" s="67"/>
      <c r="T1135" s="67"/>
      <c r="U1135" s="67"/>
    </row>
    <row r="1136" spans="1:21" s="75" customFormat="1" hidden="1">
      <c r="A1136" s="67"/>
      <c r="B1136" s="916"/>
      <c r="C1136" s="132"/>
      <c r="D1136" s="132"/>
      <c r="E1136" s="132"/>
      <c r="N1136" s="916"/>
      <c r="P1136" s="917"/>
      <c r="R1136" s="67"/>
      <c r="S1136" s="67"/>
      <c r="T1136" s="67"/>
      <c r="U1136" s="67"/>
    </row>
    <row r="1137" spans="1:21" s="75" customFormat="1" hidden="1">
      <c r="A1137" s="67"/>
      <c r="B1137" s="916"/>
      <c r="C1137" s="132"/>
      <c r="D1137" s="132"/>
      <c r="E1137" s="132"/>
      <c r="N1137" s="916"/>
      <c r="P1137" s="917"/>
      <c r="R1137" s="67"/>
      <c r="S1137" s="67"/>
      <c r="T1137" s="67"/>
      <c r="U1137" s="67"/>
    </row>
    <row r="1138" spans="1:21" s="75" customFormat="1" hidden="1">
      <c r="A1138" s="67"/>
      <c r="B1138" s="916"/>
      <c r="C1138" s="132"/>
      <c r="D1138" s="132"/>
      <c r="E1138" s="132"/>
      <c r="N1138" s="916"/>
      <c r="P1138" s="917"/>
      <c r="R1138" s="67"/>
      <c r="S1138" s="67"/>
      <c r="T1138" s="67"/>
      <c r="U1138" s="67"/>
    </row>
    <row r="1139" spans="1:21" s="75" customFormat="1" hidden="1">
      <c r="A1139" s="67"/>
      <c r="B1139" s="916"/>
      <c r="C1139" s="132"/>
      <c r="D1139" s="132"/>
      <c r="E1139" s="132"/>
      <c r="N1139" s="916"/>
      <c r="P1139" s="917"/>
      <c r="R1139" s="67"/>
      <c r="S1139" s="67"/>
      <c r="T1139" s="67"/>
      <c r="U1139" s="67"/>
    </row>
    <row r="1140" spans="1:21" s="75" customFormat="1" hidden="1">
      <c r="A1140" s="67"/>
      <c r="B1140" s="916"/>
      <c r="C1140" s="132"/>
      <c r="D1140" s="132"/>
      <c r="E1140" s="132"/>
      <c r="N1140" s="916"/>
      <c r="P1140" s="917"/>
      <c r="R1140" s="67"/>
      <c r="S1140" s="67"/>
      <c r="T1140" s="67"/>
      <c r="U1140" s="67"/>
    </row>
    <row r="1141" spans="1:21" s="75" customFormat="1" hidden="1">
      <c r="A1141" s="67"/>
      <c r="B1141" s="916"/>
      <c r="C1141" s="132"/>
      <c r="D1141" s="132"/>
      <c r="E1141" s="132"/>
      <c r="N1141" s="916"/>
      <c r="P1141" s="917"/>
      <c r="R1141" s="67"/>
      <c r="S1141" s="67"/>
      <c r="T1141" s="67"/>
      <c r="U1141" s="67"/>
    </row>
    <row r="1142" spans="1:21" s="75" customFormat="1" hidden="1">
      <c r="A1142" s="67"/>
      <c r="B1142" s="916"/>
      <c r="C1142" s="132"/>
      <c r="D1142" s="132"/>
      <c r="E1142" s="132"/>
      <c r="N1142" s="916"/>
      <c r="P1142" s="917"/>
      <c r="R1142" s="67"/>
      <c r="S1142" s="67"/>
      <c r="T1142" s="67"/>
      <c r="U1142" s="67"/>
    </row>
    <row r="1143" spans="1:21" s="75" customFormat="1" hidden="1">
      <c r="A1143" s="67"/>
      <c r="B1143" s="916"/>
      <c r="C1143" s="132"/>
      <c r="D1143" s="132"/>
      <c r="E1143" s="132"/>
      <c r="N1143" s="916"/>
      <c r="P1143" s="917"/>
      <c r="R1143" s="67"/>
      <c r="S1143" s="67"/>
      <c r="T1143" s="67"/>
      <c r="U1143" s="67"/>
    </row>
    <row r="1144" spans="1:21" s="75" customFormat="1" hidden="1">
      <c r="A1144" s="67"/>
      <c r="B1144" s="916"/>
      <c r="C1144" s="132"/>
      <c r="D1144" s="132"/>
      <c r="E1144" s="132"/>
      <c r="N1144" s="916"/>
      <c r="P1144" s="917"/>
      <c r="R1144" s="67"/>
      <c r="S1144" s="67"/>
      <c r="T1144" s="67"/>
      <c r="U1144" s="67"/>
    </row>
    <row r="1145" spans="1:21" s="75" customFormat="1" hidden="1">
      <c r="A1145" s="67"/>
      <c r="B1145" s="916"/>
      <c r="C1145" s="132"/>
      <c r="D1145" s="132"/>
      <c r="E1145" s="132"/>
      <c r="N1145" s="916"/>
      <c r="P1145" s="917"/>
      <c r="R1145" s="67"/>
      <c r="S1145" s="67"/>
      <c r="T1145" s="67"/>
      <c r="U1145" s="67"/>
    </row>
    <row r="1146" spans="1:21" s="75" customFormat="1" hidden="1">
      <c r="A1146" s="67"/>
      <c r="B1146" s="916"/>
      <c r="C1146" s="132"/>
      <c r="D1146" s="132"/>
      <c r="E1146" s="132"/>
      <c r="N1146" s="916"/>
      <c r="P1146" s="917"/>
      <c r="R1146" s="67"/>
      <c r="S1146" s="67"/>
      <c r="T1146" s="67"/>
      <c r="U1146" s="67"/>
    </row>
    <row r="1147" spans="1:21" s="75" customFormat="1" hidden="1">
      <c r="A1147" s="67"/>
      <c r="B1147" s="916"/>
      <c r="C1147" s="132"/>
      <c r="D1147" s="132"/>
      <c r="E1147" s="132"/>
      <c r="N1147" s="916"/>
      <c r="P1147" s="917"/>
      <c r="R1147" s="67"/>
      <c r="S1147" s="67"/>
      <c r="T1147" s="67"/>
      <c r="U1147" s="67"/>
    </row>
    <row r="1148" spans="1:21" s="75" customFormat="1" hidden="1">
      <c r="A1148" s="67"/>
      <c r="B1148" s="916"/>
      <c r="C1148" s="132"/>
      <c r="D1148" s="132"/>
      <c r="E1148" s="132"/>
      <c r="N1148" s="916"/>
      <c r="P1148" s="917"/>
      <c r="R1148" s="67"/>
      <c r="S1148" s="67"/>
      <c r="T1148" s="67"/>
      <c r="U1148" s="67"/>
    </row>
    <row r="1149" spans="1:21" s="75" customFormat="1" hidden="1">
      <c r="A1149" s="67"/>
      <c r="B1149" s="916"/>
      <c r="C1149" s="132"/>
      <c r="D1149" s="132"/>
      <c r="E1149" s="132"/>
      <c r="N1149" s="916"/>
      <c r="P1149" s="917"/>
      <c r="R1149" s="67"/>
      <c r="S1149" s="67"/>
      <c r="T1149" s="67"/>
      <c r="U1149" s="67"/>
    </row>
    <row r="1150" spans="1:21" s="75" customFormat="1" hidden="1">
      <c r="A1150" s="67"/>
      <c r="B1150" s="916"/>
      <c r="C1150" s="132"/>
      <c r="D1150" s="132"/>
      <c r="E1150" s="132"/>
      <c r="N1150" s="916"/>
      <c r="P1150" s="917"/>
      <c r="R1150" s="67"/>
      <c r="S1150" s="67"/>
      <c r="T1150" s="67"/>
      <c r="U1150" s="67"/>
    </row>
    <row r="1151" spans="1:21" s="75" customFormat="1" hidden="1">
      <c r="A1151" s="67"/>
      <c r="B1151" s="916"/>
      <c r="C1151" s="132"/>
      <c r="D1151" s="132"/>
      <c r="E1151" s="132"/>
      <c r="N1151" s="916"/>
      <c r="P1151" s="917"/>
      <c r="R1151" s="67"/>
      <c r="S1151" s="67"/>
      <c r="T1151" s="67"/>
      <c r="U1151" s="67"/>
    </row>
    <row r="1152" spans="1:21" s="75" customFormat="1" hidden="1">
      <c r="A1152" s="67"/>
      <c r="B1152" s="916"/>
      <c r="C1152" s="132"/>
      <c r="D1152" s="132"/>
      <c r="E1152" s="132"/>
      <c r="N1152" s="916"/>
      <c r="P1152" s="917"/>
      <c r="R1152" s="67"/>
      <c r="S1152" s="67"/>
      <c r="T1152" s="67"/>
      <c r="U1152" s="67"/>
    </row>
    <row r="1153" spans="1:21" s="75" customFormat="1" hidden="1">
      <c r="A1153" s="67"/>
      <c r="B1153" s="916"/>
      <c r="C1153" s="132"/>
      <c r="D1153" s="132"/>
      <c r="E1153" s="132"/>
      <c r="N1153" s="916"/>
      <c r="P1153" s="917"/>
      <c r="R1153" s="67"/>
      <c r="S1153" s="67"/>
      <c r="T1153" s="67"/>
      <c r="U1153" s="67"/>
    </row>
    <row r="1154" spans="1:21" s="75" customFormat="1" hidden="1">
      <c r="A1154" s="67"/>
      <c r="B1154" s="916"/>
      <c r="C1154" s="132"/>
      <c r="D1154" s="132"/>
      <c r="E1154" s="132"/>
      <c r="N1154" s="916"/>
      <c r="P1154" s="917"/>
      <c r="R1154" s="67"/>
      <c r="S1154" s="67"/>
      <c r="T1154" s="67"/>
      <c r="U1154" s="67"/>
    </row>
    <row r="1155" spans="1:21" s="75" customFormat="1" hidden="1">
      <c r="A1155" s="67"/>
      <c r="B1155" s="916"/>
      <c r="C1155" s="132"/>
      <c r="D1155" s="132"/>
      <c r="E1155" s="132"/>
      <c r="N1155" s="916"/>
      <c r="P1155" s="917"/>
      <c r="R1155" s="67"/>
      <c r="S1155" s="67"/>
      <c r="T1155" s="67"/>
      <c r="U1155" s="67"/>
    </row>
    <row r="1156" spans="1:21" s="75" customFormat="1" hidden="1">
      <c r="A1156" s="67"/>
      <c r="B1156" s="916"/>
      <c r="C1156" s="132"/>
      <c r="D1156" s="132"/>
      <c r="E1156" s="132"/>
      <c r="N1156" s="916"/>
      <c r="P1156" s="917"/>
      <c r="R1156" s="67"/>
      <c r="S1156" s="67"/>
      <c r="T1156" s="67"/>
      <c r="U1156" s="67"/>
    </row>
    <row r="1157" spans="1:21" s="75" customFormat="1" hidden="1">
      <c r="A1157" s="67"/>
      <c r="B1157" s="916"/>
      <c r="C1157" s="132"/>
      <c r="D1157" s="132"/>
      <c r="E1157" s="132"/>
      <c r="N1157" s="916"/>
      <c r="P1157" s="917"/>
      <c r="R1157" s="67"/>
      <c r="S1157" s="67"/>
      <c r="T1157" s="67"/>
      <c r="U1157" s="67"/>
    </row>
    <row r="1158" spans="1:21" s="75" customFormat="1" hidden="1">
      <c r="A1158" s="67"/>
      <c r="B1158" s="916"/>
      <c r="C1158" s="132"/>
      <c r="D1158" s="132"/>
      <c r="E1158" s="132"/>
      <c r="N1158" s="916"/>
      <c r="P1158" s="917"/>
      <c r="R1158" s="67"/>
      <c r="S1158" s="67"/>
      <c r="T1158" s="67"/>
      <c r="U1158" s="67"/>
    </row>
    <row r="1159" spans="1:21" s="75" customFormat="1" hidden="1">
      <c r="A1159" s="67"/>
      <c r="B1159" s="916"/>
      <c r="C1159" s="132"/>
      <c r="D1159" s="132"/>
      <c r="E1159" s="132"/>
      <c r="N1159" s="916"/>
      <c r="P1159" s="917"/>
      <c r="R1159" s="67"/>
      <c r="S1159" s="67"/>
      <c r="T1159" s="67"/>
      <c r="U1159" s="67"/>
    </row>
    <row r="1160" spans="1:21" s="75" customFormat="1" hidden="1">
      <c r="A1160" s="67"/>
      <c r="B1160" s="916"/>
      <c r="C1160" s="132"/>
      <c r="D1160" s="132"/>
      <c r="E1160" s="132"/>
      <c r="N1160" s="916"/>
      <c r="P1160" s="917"/>
      <c r="R1160" s="67"/>
      <c r="S1160" s="67"/>
      <c r="T1160" s="67"/>
      <c r="U1160" s="67"/>
    </row>
    <row r="1161" spans="1:21" s="75" customFormat="1" hidden="1">
      <c r="A1161" s="67"/>
      <c r="B1161" s="916"/>
      <c r="C1161" s="132"/>
      <c r="D1161" s="132"/>
      <c r="E1161" s="132"/>
      <c r="N1161" s="916"/>
      <c r="P1161" s="917"/>
      <c r="R1161" s="67"/>
      <c r="S1161" s="67"/>
      <c r="T1161" s="67"/>
      <c r="U1161" s="67"/>
    </row>
    <row r="1162" spans="1:21" s="75" customFormat="1" hidden="1">
      <c r="A1162" s="67"/>
      <c r="B1162" s="916"/>
      <c r="C1162" s="132"/>
      <c r="D1162" s="132"/>
      <c r="E1162" s="132"/>
      <c r="N1162" s="916"/>
      <c r="P1162" s="917"/>
      <c r="R1162" s="67"/>
      <c r="S1162" s="67"/>
      <c r="T1162" s="67"/>
      <c r="U1162" s="67"/>
    </row>
    <row r="1163" spans="1:21" s="75" customFormat="1" hidden="1">
      <c r="A1163" s="67"/>
      <c r="B1163" s="916"/>
      <c r="C1163" s="132"/>
      <c r="D1163" s="132"/>
      <c r="E1163" s="132"/>
      <c r="N1163" s="916"/>
      <c r="P1163" s="917"/>
      <c r="R1163" s="67"/>
      <c r="S1163" s="67"/>
      <c r="T1163" s="67"/>
      <c r="U1163" s="67"/>
    </row>
    <row r="1164" spans="1:21" s="75" customFormat="1" hidden="1">
      <c r="A1164" s="67"/>
      <c r="B1164" s="916"/>
      <c r="C1164" s="132"/>
      <c r="D1164" s="132"/>
      <c r="E1164" s="132"/>
      <c r="N1164" s="916"/>
      <c r="P1164" s="917"/>
      <c r="R1164" s="67"/>
      <c r="S1164" s="67"/>
      <c r="T1164" s="67"/>
      <c r="U1164" s="67"/>
    </row>
    <row r="1165" spans="1:21" s="75" customFormat="1" hidden="1">
      <c r="A1165" s="67"/>
      <c r="B1165" s="916"/>
      <c r="C1165" s="132"/>
      <c r="D1165" s="132"/>
      <c r="E1165" s="132"/>
      <c r="N1165" s="916"/>
      <c r="P1165" s="917"/>
      <c r="R1165" s="67"/>
      <c r="S1165" s="67"/>
      <c r="T1165" s="67"/>
      <c r="U1165" s="67"/>
    </row>
    <row r="1166" spans="1:21" s="75" customFormat="1" hidden="1">
      <c r="A1166" s="67"/>
      <c r="B1166" s="916"/>
      <c r="C1166" s="132"/>
      <c r="D1166" s="132"/>
      <c r="E1166" s="132"/>
      <c r="N1166" s="916"/>
      <c r="P1166" s="917"/>
      <c r="R1166" s="67"/>
      <c r="S1166" s="67"/>
      <c r="T1166" s="67"/>
      <c r="U1166" s="67"/>
    </row>
    <row r="1167" spans="1:21" s="75" customFormat="1" hidden="1">
      <c r="A1167" s="67"/>
      <c r="B1167" s="916"/>
      <c r="C1167" s="132"/>
      <c r="D1167" s="132"/>
      <c r="E1167" s="132"/>
      <c r="N1167" s="916"/>
      <c r="P1167" s="917"/>
      <c r="R1167" s="67"/>
      <c r="S1167" s="67"/>
      <c r="T1167" s="67"/>
      <c r="U1167" s="67"/>
    </row>
    <row r="1168" spans="1:21" s="75" customFormat="1" hidden="1">
      <c r="A1168" s="67"/>
      <c r="B1168" s="916"/>
      <c r="C1168" s="132"/>
      <c r="D1168" s="132"/>
      <c r="E1168" s="132"/>
      <c r="N1168" s="916"/>
      <c r="P1168" s="917"/>
      <c r="R1168" s="67"/>
      <c r="S1168" s="67"/>
      <c r="T1168" s="67"/>
      <c r="U1168" s="67"/>
    </row>
    <row r="1169" spans="1:21" s="75" customFormat="1" hidden="1">
      <c r="A1169" s="67"/>
      <c r="B1169" s="916"/>
      <c r="C1169" s="132"/>
      <c r="D1169" s="132"/>
      <c r="E1169" s="132"/>
      <c r="N1169" s="916"/>
      <c r="P1169" s="917"/>
      <c r="R1169" s="67"/>
      <c r="S1169" s="67"/>
      <c r="T1169" s="67"/>
      <c r="U1169" s="67"/>
    </row>
    <row r="1170" spans="1:21" s="75" customFormat="1" hidden="1">
      <c r="A1170" s="67"/>
      <c r="B1170" s="916"/>
      <c r="C1170" s="132"/>
      <c r="D1170" s="132"/>
      <c r="E1170" s="132"/>
      <c r="N1170" s="916"/>
      <c r="P1170" s="917"/>
      <c r="R1170" s="67"/>
      <c r="S1170" s="67"/>
      <c r="T1170" s="67"/>
      <c r="U1170" s="67"/>
    </row>
    <row r="1171" spans="1:21" s="75" customFormat="1" hidden="1">
      <c r="A1171" s="67"/>
      <c r="B1171" s="916"/>
      <c r="C1171" s="132"/>
      <c r="D1171" s="132"/>
      <c r="E1171" s="132"/>
      <c r="N1171" s="916"/>
      <c r="P1171" s="917"/>
      <c r="R1171" s="67"/>
      <c r="S1171" s="67"/>
      <c r="T1171" s="67"/>
      <c r="U1171" s="67"/>
    </row>
    <row r="1172" spans="1:21" s="75" customFormat="1" hidden="1">
      <c r="A1172" s="67"/>
      <c r="B1172" s="916"/>
      <c r="C1172" s="132"/>
      <c r="D1172" s="132"/>
      <c r="E1172" s="132"/>
      <c r="N1172" s="916"/>
      <c r="P1172" s="917"/>
      <c r="R1172" s="67"/>
      <c r="S1172" s="67"/>
      <c r="T1172" s="67"/>
      <c r="U1172" s="67"/>
    </row>
    <row r="1173" spans="1:21" s="75" customFormat="1" hidden="1">
      <c r="A1173" s="67"/>
      <c r="B1173" s="916"/>
      <c r="C1173" s="132"/>
      <c r="D1173" s="132"/>
      <c r="E1173" s="132"/>
      <c r="N1173" s="916"/>
      <c r="P1173" s="917"/>
      <c r="R1173" s="67"/>
      <c r="S1173" s="67"/>
      <c r="T1173" s="67"/>
      <c r="U1173" s="67"/>
    </row>
    <row r="1174" spans="1:21" s="75" customFormat="1" hidden="1">
      <c r="A1174" s="67"/>
      <c r="B1174" s="916"/>
      <c r="C1174" s="132"/>
      <c r="D1174" s="132"/>
      <c r="E1174" s="132"/>
      <c r="N1174" s="916"/>
      <c r="P1174" s="917"/>
      <c r="R1174" s="67"/>
      <c r="S1174" s="67"/>
      <c r="T1174" s="67"/>
      <c r="U1174" s="67"/>
    </row>
    <row r="1175" spans="1:21" hidden="1">
      <c r="A1175" s="67"/>
      <c r="B1175" s="916"/>
      <c r="C1175" s="132"/>
      <c r="D1175" s="132"/>
      <c r="E1175" s="132"/>
      <c r="F1175" s="75"/>
      <c r="G1175" s="75"/>
      <c r="H1175" s="75"/>
      <c r="I1175" s="75"/>
      <c r="J1175" s="75"/>
    </row>
  </sheetData>
  <sheetProtection algorithmName="SHA-512" hashValue="mRQLeSwRVj9l/Z69ZC/4bHsfni1g8IjO0lmPhL+jj9IvZpR9eZUQNXzhd927kAJ5g5wZzq5DAlAvFQIfjyHvwQ==" saltValue="1OZVOu4hi0IFZl5XxNOgFw==" spinCount="100000" sheet="1" objects="1" scenarios="1"/>
  <mergeCells count="103">
    <mergeCell ref="R27:T28"/>
    <mergeCell ref="R24:R25"/>
    <mergeCell ref="S24:S25"/>
    <mergeCell ref="T24:T25"/>
    <mergeCell ref="R21:T22"/>
    <mergeCell ref="R2:T2"/>
    <mergeCell ref="R20:T20"/>
    <mergeCell ref="B1:T1"/>
    <mergeCell ref="B41:D41"/>
    <mergeCell ref="N40:P40"/>
    <mergeCell ref="N38:O38"/>
    <mergeCell ref="N25:O25"/>
    <mergeCell ref="N39:O39"/>
    <mergeCell ref="N26:O26"/>
    <mergeCell ref="N28:O28"/>
    <mergeCell ref="N36:O36"/>
    <mergeCell ref="N33:O33"/>
    <mergeCell ref="L37:L38"/>
    <mergeCell ref="G39:L39"/>
    <mergeCell ref="G40:L40"/>
    <mergeCell ref="B39:D40"/>
    <mergeCell ref="E39:E40"/>
    <mergeCell ref="G37:J38"/>
    <mergeCell ref="K37:K38"/>
    <mergeCell ref="G8:J8"/>
    <mergeCell ref="N16:P17"/>
    <mergeCell ref="N18:O18"/>
    <mergeCell ref="N20:P21"/>
    <mergeCell ref="N27:O27"/>
    <mergeCell ref="P22:P23"/>
    <mergeCell ref="N24:O24"/>
    <mergeCell ref="N11:P11"/>
    <mergeCell ref="G7:J7"/>
    <mergeCell ref="O8:P8"/>
    <mergeCell ref="O13:P13"/>
    <mergeCell ref="O14:P14"/>
    <mergeCell ref="O15:P15"/>
    <mergeCell ref="G10:J10"/>
    <mergeCell ref="H15:I15"/>
    <mergeCell ref="G14:J14"/>
    <mergeCell ref="G16:J16"/>
    <mergeCell ref="G11:J11"/>
    <mergeCell ref="G12:J12"/>
    <mergeCell ref="G13:J13"/>
    <mergeCell ref="G25:J25"/>
    <mergeCell ref="G26:J26"/>
    <mergeCell ref="N3:P3"/>
    <mergeCell ref="K2:L2"/>
    <mergeCell ref="G4:I4"/>
    <mergeCell ref="B36:D36"/>
    <mergeCell ref="B34:C34"/>
    <mergeCell ref="B13:C13"/>
    <mergeCell ref="B15:E15"/>
    <mergeCell ref="B22:C22"/>
    <mergeCell ref="B11:E12"/>
    <mergeCell ref="N2:P2"/>
    <mergeCell ref="O9:P9"/>
    <mergeCell ref="O10:P10"/>
    <mergeCell ref="G3:J3"/>
    <mergeCell ref="M3:M17"/>
    <mergeCell ref="G17:J17"/>
    <mergeCell ref="O6:P6"/>
    <mergeCell ref="G2:J2"/>
    <mergeCell ref="G9:J9"/>
    <mergeCell ref="N29:O29"/>
    <mergeCell ref="G24:J24"/>
    <mergeCell ref="G19:L20"/>
    <mergeCell ref="G21:J21"/>
    <mergeCell ref="G22:J22"/>
    <mergeCell ref="G23:J23"/>
    <mergeCell ref="A2:A10"/>
    <mergeCell ref="B14:C14"/>
    <mergeCell ref="B16:C17"/>
    <mergeCell ref="B18:C19"/>
    <mergeCell ref="A11:A24"/>
    <mergeCell ref="C8:D8"/>
    <mergeCell ref="C9:D9"/>
    <mergeCell ref="C3:D3"/>
    <mergeCell ref="C4:D4"/>
    <mergeCell ref="C5:D5"/>
    <mergeCell ref="C6:D6"/>
    <mergeCell ref="C7:D7"/>
    <mergeCell ref="B2:E2"/>
    <mergeCell ref="B23:C23"/>
    <mergeCell ref="B24:C24"/>
    <mergeCell ref="B20:C21"/>
    <mergeCell ref="B38:D38"/>
    <mergeCell ref="B26:E27"/>
    <mergeCell ref="B35:C35"/>
    <mergeCell ref="B37:D37"/>
    <mergeCell ref="G34:J34"/>
    <mergeCell ref="G35:J35"/>
    <mergeCell ref="B33:C33"/>
    <mergeCell ref="B29:C29"/>
    <mergeCell ref="B28:C28"/>
    <mergeCell ref="B30:C30"/>
    <mergeCell ref="G27:J27"/>
    <mergeCell ref="G33:J33"/>
    <mergeCell ref="G30:L30"/>
    <mergeCell ref="G31:L32"/>
    <mergeCell ref="G28:J28"/>
    <mergeCell ref="G36:J36"/>
    <mergeCell ref="G29:J29"/>
  </mergeCells>
  <phoneticPr fontId="47" type="noConversion"/>
  <conditionalFormatting sqref="D13">
    <cfRule type="expression" dxfId="55" priority="65">
      <formula>$D$13=""</formula>
    </cfRule>
  </conditionalFormatting>
  <conditionalFormatting sqref="D17">
    <cfRule type="expression" dxfId="54" priority="1811">
      <formula>OR($D$19&gt;0,$D$21&gt;0)</formula>
    </cfRule>
  </conditionalFormatting>
  <conditionalFormatting sqref="D19">
    <cfRule type="expression" dxfId="53" priority="1816">
      <formula>OR($D$17&gt;0,$D$21&gt;0)</formula>
    </cfRule>
  </conditionalFormatting>
  <conditionalFormatting sqref="D21">
    <cfRule type="expression" dxfId="52" priority="1817">
      <formula>OR(D19&gt;0,D17&gt;0)</formula>
    </cfRule>
  </conditionalFormatting>
  <conditionalFormatting sqref="D28">
    <cfRule type="expression" dxfId="51" priority="64">
      <formula>$D$28=""</formula>
    </cfRule>
  </conditionalFormatting>
  <conditionalFormatting sqref="D29">
    <cfRule type="expression" dxfId="50" priority="63">
      <formula>$D$29=""</formula>
    </cfRule>
  </conditionalFormatting>
  <conditionalFormatting sqref="D30:D34">
    <cfRule type="expression" dxfId="49" priority="57">
      <formula>D30=""</formula>
    </cfRule>
  </conditionalFormatting>
  <conditionalFormatting sqref="K21">
    <cfRule type="expression" dxfId="48" priority="16">
      <formula>AND($K$21="",$L$21="")</formula>
    </cfRule>
  </conditionalFormatting>
  <conditionalFormatting sqref="K22:K25">
    <cfRule type="expression" dxfId="47" priority="52">
      <formula>K22=""</formula>
    </cfRule>
  </conditionalFormatting>
  <conditionalFormatting sqref="K33:K35">
    <cfRule type="expression" dxfId="46" priority="13">
      <formula>K33=""</formula>
    </cfRule>
  </conditionalFormatting>
  <conditionalFormatting sqref="L21">
    <cfRule type="expression" dxfId="45" priority="17">
      <formula>AND($K$21="",$L$21&gt;0)</formula>
    </cfRule>
  </conditionalFormatting>
  <conditionalFormatting sqref="N36:N37">
    <cfRule type="expression" dxfId="44" priority="25">
      <formula>P36=0</formula>
    </cfRule>
    <cfRule type="expression" dxfId="43" priority="26">
      <formula>ABS(P36)&gt;=5%</formula>
    </cfRule>
    <cfRule type="expression" dxfId="42" priority="29">
      <formula>ABS($P$36)&lt;5%</formula>
    </cfRule>
  </conditionalFormatting>
  <conditionalFormatting sqref="N39">
    <cfRule type="expression" dxfId="41" priority="477">
      <formula>P39=0</formula>
    </cfRule>
    <cfRule type="expression" dxfId="40" priority="478">
      <formula>ABS($P$39)&lt;$P$38</formula>
    </cfRule>
  </conditionalFormatting>
  <conditionalFormatting sqref="N39:O39">
    <cfRule type="expression" dxfId="39" priority="30">
      <formula>ABS($P$39)&gt;=$P$38</formula>
    </cfRule>
  </conditionalFormatting>
  <conditionalFormatting sqref="N40:P40">
    <cfRule type="expression" dxfId="38" priority="468">
      <formula>$P$39=0</formula>
    </cfRule>
    <cfRule type="expression" dxfId="37" priority="469">
      <formula>N40="Abänderung voraussichtlich möglich"</formula>
    </cfRule>
    <cfRule type="expression" dxfId="36" priority="470">
      <formula>N40="Abänderung voraussichtlich nicht möglich"</formula>
    </cfRule>
  </conditionalFormatting>
  <conditionalFormatting sqref="O19">
    <cfRule type="expression" dxfId="35" priority="31">
      <formula>O19=""</formula>
    </cfRule>
  </conditionalFormatting>
  <conditionalFormatting sqref="O22:O23">
    <cfRule type="expression" dxfId="34" priority="34">
      <formula>O22=""</formula>
    </cfRule>
  </conditionalFormatting>
  <conditionalFormatting sqref="O34">
    <cfRule type="expression" dxfId="33" priority="19">
      <formula>O34=""</formula>
    </cfRule>
  </conditionalFormatting>
  <conditionalFormatting sqref="O39">
    <cfRule type="expression" dxfId="32" priority="475">
      <formula>Q40=0</formula>
    </cfRule>
    <cfRule type="expression" dxfId="31" priority="476">
      <formula>ABS($P$39)&lt;$P$38</formula>
    </cfRule>
  </conditionalFormatting>
  <conditionalFormatting sqref="O5:P6">
    <cfRule type="expression" dxfId="30" priority="69">
      <formula>O5=""</formula>
    </cfRule>
  </conditionalFormatting>
  <conditionalFormatting sqref="P27:P28">
    <cfRule type="expression" dxfId="29" priority="44">
      <formula>P27=""</formula>
    </cfRule>
  </conditionalFormatting>
  <conditionalFormatting sqref="S17">
    <cfRule type="expression" dxfId="28" priority="2">
      <formula>AND($Y$9=3,$S$17="")</formula>
    </cfRule>
  </conditionalFormatting>
  <conditionalFormatting sqref="S4:T4">
    <cfRule type="expression" dxfId="27" priority="6">
      <formula>S4="d"</formula>
    </cfRule>
    <cfRule type="expression" dxfId="26" priority="7">
      <formula>S4="w"</formula>
    </cfRule>
    <cfRule type="expression" dxfId="25" priority="8">
      <formula>S4="m"</formula>
    </cfRule>
  </conditionalFormatting>
  <conditionalFormatting sqref="S4:T10">
    <cfRule type="expression" dxfId="24" priority="3">
      <formula>S4=""</formula>
    </cfRule>
  </conditionalFormatting>
  <conditionalFormatting sqref="S18:T18">
    <cfRule type="expression" dxfId="23" priority="4">
      <formula>S18=1</formula>
    </cfRule>
  </conditionalFormatting>
  <conditionalFormatting sqref="T17">
    <cfRule type="expression" dxfId="22" priority="1">
      <formula>AND(Y9=3,T17="")</formula>
    </cfRule>
  </conditionalFormatting>
  <dataValidations count="5">
    <dataValidation type="decimal" allowBlank="1" showInputMessage="1" showErrorMessage="1" sqref="K36" xr:uid="{8F1F9A53-136D-4CDC-9606-0030085E7BD9}">
      <formula1>0</formula1>
      <formula2>0.1</formula2>
    </dataValidation>
    <dataValidation type="list" allowBlank="1" showInputMessage="1" showErrorMessage="1" errorTitle="Fehleingabe" error="Es sind nur die Eingaben m / f / d zulässig." sqref="D30" xr:uid="{960457E5-7F06-45B7-A98B-BFB472D9C80C}">
      <formula1>$X$1:$X$3</formula1>
    </dataValidation>
    <dataValidation type="list" allowBlank="1" showInputMessage="1" showErrorMessage="1" sqref="K22" xr:uid="{00000000-0002-0000-1800-000001000000}">
      <formula1>$AC$20:$AC$21</formula1>
    </dataValidation>
    <dataValidation type="list" allowBlank="1" showInputMessage="1" showErrorMessage="1" sqref="S4:T4" xr:uid="{C6307EFC-1165-46B7-A047-05FC3976EC1A}">
      <formula1>$X$1:$X$3</formula1>
    </dataValidation>
    <dataValidation type="list" allowBlank="1" showInputMessage="1" showErrorMessage="1" sqref="S31" xr:uid="{4C0E6644-129D-4091-AE4B-3D07734C32AF}">
      <formula1>$AC$20:$AC$22</formula1>
    </dataValidation>
  </dataValidations>
  <hyperlinks>
    <hyperlink ref="G3:J3" r:id="rId1" display="Rentenbericht der BuReg 2020 S. 37" xr:uid="{2750E6A7-E146-4E63-ACBC-B22435F8FF6E}"/>
    <hyperlink ref="J4" r:id="rId2" xr:uid="{C4872979-E47B-44C0-9DD9-3F31A46C5602}"/>
    <hyperlink ref="N12" location="aktRW" display="AktRW" xr:uid="{DA9DA43F-4B7E-4763-BFF7-7EE243ECAAF2}"/>
    <hyperlink ref="J5" r:id="rId3" xr:uid="{3DA575D9-253B-481F-BD66-130586F745FE}"/>
    <hyperlink ref="G7:J7" r:id="rId4" display="Versorgungsausgleichskasse - Rechner" xr:uid="{9335EA69-AE6D-4529-A195-99CF65DE904E}"/>
    <hyperlink ref="G9:J9" r:id="rId5" display="Podcast rund um das FamR" xr:uid="{A0FAEE27-97D4-46B7-86EC-B6CA1E604569}"/>
    <hyperlink ref="G10:J10" r:id="rId6" display="Tabelle BMF zur Bewertung lebenslanger Nutzungen" xr:uid="{82E140BF-9E23-44D9-8F75-FCA7E2765AA4}"/>
    <hyperlink ref="G11:J11" r:id="rId7" display="Generationensterbetafeln DESTATIS" xr:uid="{B5A1FCFB-E464-42CC-BAE1-350A8552B5BB}"/>
    <hyperlink ref="G12:J12" r:id="rId8" display="Periodensterbetafeln 2018/2020" xr:uid="{B6804630-DDA0-4C19-9FF5-D9E487543A34}"/>
    <hyperlink ref="G17:J17" r:id="rId9" display="Email an RA Hauß" xr:uid="{2F23C1C5-FDEE-47AD-AC14-66C21BD98E80}"/>
    <hyperlink ref="G8:J9" r:id="rId10" display="FamRB / Rechenhilfen &amp; Blog" xr:uid="{FFEB3527-858F-4D17-992C-CC827E42A559}"/>
    <hyperlink ref="G8:J8" r:id="rId11" display="                 FamRB / Rechenhilfen &amp; Blog" xr:uid="{6E80F6B9-F831-41F0-9029-C5A4CF3B778C}"/>
    <hyperlink ref="G13:J13" r:id="rId12" display="rvRecht - Rechtsportal der DRV" xr:uid="{82F6E69B-918C-462F-A318-844FEAB0920C}"/>
    <hyperlink ref="K2:L2" r:id="rId13" display="Höchstrechnungszins" xr:uid="{F9085F60-FF53-4D11-8447-190728F2615C}"/>
    <hyperlink ref="N7" r:id="rId14" display="VPI" xr:uid="{B041F405-51F4-4E12-8EC6-41294196ED77}"/>
    <hyperlink ref="I5" r:id="rId15" xr:uid="{73F88360-1D67-4DA2-8D28-8AB242D5832C}"/>
    <hyperlink ref="I6" r:id="rId16" xr:uid="{F6596EC8-F212-4739-9576-CA1132737752}"/>
    <hyperlink ref="J6" r:id="rId17" xr:uid="{52ADFFD5-F084-40AB-87BB-1AD0DA411A91}"/>
    <hyperlink ref="G14:J14" r:id="rId18" display="Sozialkompass Europa Elternunterhalt-Kommission" xr:uid="{62CD815A-6B8C-449F-9143-DF852E607F0F}"/>
    <hyperlink ref="G16:J16" r:id="rId19" display="Bemessungsfaktoren AHV/IV Schweiz Skala44" xr:uid="{9100357F-BCEE-4948-B51D-14E70163E168}"/>
    <hyperlink ref="G15" r:id="rId20" xr:uid="{9DA17DBF-6D0C-470E-95A8-7560731366C0}"/>
    <hyperlink ref="H15:I15" r:id="rId21" display="historische Aktienkurse" xr:uid="{32EA6E31-E229-42D7-A98A-CEA400626137}"/>
  </hyperlinks>
  <printOptions horizontalCentered="1" verticalCentered="1"/>
  <pageMargins left="0.11811023622047245" right="0.11811023622047245" top="0.19685039370078741" bottom="0.19685039370078741" header="0.31496062992125984" footer="0.31496062992125984"/>
  <pageSetup paperSize="9" scale="68" orientation="landscape" r:id="rId22"/>
  <drawing r:id="rId23"/>
  <legacyDrawing r:id="rId24"/>
  <mc:AlternateContent xmlns:mc="http://schemas.openxmlformats.org/markup-compatibility/2006">
    <mc:Choice Requires="x14">
      <controls>
        <mc:AlternateContent xmlns:mc="http://schemas.openxmlformats.org/markup-compatibility/2006">
          <mc:Choice Requires="x14">
            <control shapeId="4105" r:id="rId25" name="Vorversterben">
              <controlPr defaultSize="0" autoFill="0" autoLine="0" autoPict="0">
                <anchor moveWithCells="1">
                  <from>
                    <xdr:col>1</xdr:col>
                    <xdr:colOff>19050</xdr:colOff>
                    <xdr:row>33</xdr:row>
                    <xdr:rowOff>209550</xdr:rowOff>
                  </from>
                  <to>
                    <xdr:col>1</xdr:col>
                    <xdr:colOff>247650</xdr:colOff>
                    <xdr:row>34</xdr:row>
                    <xdr:rowOff>209550</xdr:rowOff>
                  </to>
                </anchor>
              </controlPr>
            </control>
          </mc:Choice>
        </mc:AlternateContent>
        <mc:AlternateContent xmlns:mc="http://schemas.openxmlformats.org/markup-compatibility/2006">
          <mc:Choice Requires="x14">
            <control shapeId="4106" r:id="rId26" name="Kontrollkästchen 5">
              <controlPr defaultSize="0" autoFill="0" autoLine="0" autoPict="0">
                <anchor moveWithCells="1">
                  <from>
                    <xdr:col>13</xdr:col>
                    <xdr:colOff>523875</xdr:colOff>
                    <xdr:row>11</xdr:row>
                    <xdr:rowOff>28575</xdr:rowOff>
                  </from>
                  <to>
                    <xdr:col>13</xdr:col>
                    <xdr:colOff>866775</xdr:colOff>
                    <xdr:row>12</xdr:row>
                    <xdr:rowOff>0</xdr:rowOff>
                  </to>
                </anchor>
              </controlPr>
            </control>
          </mc:Choice>
        </mc:AlternateContent>
        <mc:AlternateContent xmlns:mc="http://schemas.openxmlformats.org/markup-compatibility/2006">
          <mc:Choice Requires="x14">
            <control shapeId="4107" r:id="rId27" name="Check Box 11">
              <controlPr defaultSize="0" autoFill="0" autoLine="0" autoPict="0">
                <anchor moveWithCells="1">
                  <from>
                    <xdr:col>2</xdr:col>
                    <xdr:colOff>1400175</xdr:colOff>
                    <xdr:row>32</xdr:row>
                    <xdr:rowOff>209550</xdr:rowOff>
                  </from>
                  <to>
                    <xdr:col>2</xdr:col>
                    <xdr:colOff>2305050</xdr:colOff>
                    <xdr:row>33</xdr:row>
                    <xdr:rowOff>209550</xdr:rowOff>
                  </to>
                </anchor>
              </controlPr>
            </control>
          </mc:Choice>
        </mc:AlternateContent>
        <mc:AlternateContent xmlns:mc="http://schemas.openxmlformats.org/markup-compatibility/2006">
          <mc:Choice Requires="x14">
            <control shapeId="4109" r:id="rId28" name="Option Button 13">
              <controlPr defaultSize="0" autoFill="0" autoLine="0" autoPict="0">
                <anchor moveWithCells="1">
                  <from>
                    <xdr:col>4</xdr:col>
                    <xdr:colOff>0</xdr:colOff>
                    <xdr:row>26</xdr:row>
                    <xdr:rowOff>209550</xdr:rowOff>
                  </from>
                  <to>
                    <xdr:col>4</xdr:col>
                    <xdr:colOff>933450</xdr:colOff>
                    <xdr:row>28</xdr:row>
                    <xdr:rowOff>0</xdr:rowOff>
                  </to>
                </anchor>
              </controlPr>
            </control>
          </mc:Choice>
        </mc:AlternateContent>
        <mc:AlternateContent xmlns:mc="http://schemas.openxmlformats.org/markup-compatibility/2006">
          <mc:Choice Requires="x14">
            <control shapeId="4110" r:id="rId29" name="Option Button 14">
              <controlPr defaultSize="0" autoFill="0" autoLine="0" autoPict="0">
                <anchor moveWithCells="1">
                  <from>
                    <xdr:col>4</xdr:col>
                    <xdr:colOff>19050</xdr:colOff>
                    <xdr:row>27</xdr:row>
                    <xdr:rowOff>190500</xdr:rowOff>
                  </from>
                  <to>
                    <xdr:col>4</xdr:col>
                    <xdr:colOff>933450</xdr:colOff>
                    <xdr:row>28</xdr:row>
                    <xdr:rowOff>209550</xdr:rowOff>
                  </to>
                </anchor>
              </controlPr>
            </control>
          </mc:Choice>
        </mc:AlternateContent>
        <mc:AlternateContent xmlns:mc="http://schemas.openxmlformats.org/markup-compatibility/2006">
          <mc:Choice Requires="x14">
            <control shapeId="4117" r:id="rId30" name="Check Box 21">
              <controlPr defaultSize="0" autoFill="0" autoLine="0" autoPict="0">
                <anchor moveWithCells="1">
                  <from>
                    <xdr:col>3</xdr:col>
                    <xdr:colOff>295275</xdr:colOff>
                    <xdr:row>22</xdr:row>
                    <xdr:rowOff>19050</xdr:rowOff>
                  </from>
                  <to>
                    <xdr:col>3</xdr:col>
                    <xdr:colOff>904875</xdr:colOff>
                    <xdr:row>22</xdr:row>
                    <xdr:rowOff>190500</xdr:rowOff>
                  </to>
                </anchor>
              </controlPr>
            </control>
          </mc:Choice>
        </mc:AlternateContent>
        <mc:AlternateContent xmlns:mc="http://schemas.openxmlformats.org/markup-compatibility/2006">
          <mc:Choice Requires="x14">
            <control shapeId="4101" r:id="rId31" name="Check Box 5">
              <controlPr defaultSize="0" autoFill="0" autoLine="0" autoPict="0">
                <anchor moveWithCells="1">
                  <from>
                    <xdr:col>1</xdr:col>
                    <xdr:colOff>57150</xdr:colOff>
                    <xdr:row>12</xdr:row>
                    <xdr:rowOff>19050</xdr:rowOff>
                  </from>
                  <to>
                    <xdr:col>2</xdr:col>
                    <xdr:colOff>19050</xdr:colOff>
                    <xdr:row>12</xdr:row>
                    <xdr:rowOff>190500</xdr:rowOff>
                  </to>
                </anchor>
              </controlPr>
            </control>
          </mc:Choice>
        </mc:AlternateContent>
        <mc:AlternateContent xmlns:mc="http://schemas.openxmlformats.org/markup-compatibility/2006">
          <mc:Choice Requires="x14">
            <control shapeId="4139" r:id="rId32" name="Check Box 43">
              <controlPr defaultSize="0" autoFill="0" autoLine="0" autoPict="0">
                <anchor moveWithCells="1">
                  <from>
                    <xdr:col>17</xdr:col>
                    <xdr:colOff>142875</xdr:colOff>
                    <xdr:row>16</xdr:row>
                    <xdr:rowOff>209550</xdr:rowOff>
                  </from>
                  <to>
                    <xdr:col>17</xdr:col>
                    <xdr:colOff>1238250</xdr:colOff>
                    <xdr:row>18</xdr:row>
                    <xdr:rowOff>19050</xdr:rowOff>
                  </to>
                </anchor>
              </controlPr>
            </control>
          </mc:Choice>
        </mc:AlternateContent>
        <mc:AlternateContent xmlns:mc="http://schemas.openxmlformats.org/markup-compatibility/2006">
          <mc:Choice Requires="x14">
            <control shapeId="4147" r:id="rId33" name="Drop Down 51">
              <controlPr defaultSize="0" autoLine="0" autoPict="0">
                <anchor moveWithCells="1">
                  <from>
                    <xdr:col>17</xdr:col>
                    <xdr:colOff>2228850</xdr:colOff>
                    <xdr:row>16</xdr:row>
                    <xdr:rowOff>19050</xdr:rowOff>
                  </from>
                  <to>
                    <xdr:col>17</xdr:col>
                    <xdr:colOff>3219450</xdr:colOff>
                    <xdr:row>16</xdr:row>
                    <xdr:rowOff>190500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71710-E445-4AC5-A952-DDBB9D39DE46}">
  <dimension ref="A1:R35"/>
  <sheetViews>
    <sheetView zoomScale="190" zoomScaleNormal="190" workbookViewId="0">
      <selection activeCell="B18" sqref="B18"/>
    </sheetView>
  </sheetViews>
  <sheetFormatPr baseColWidth="10" defaultRowHeight="14.25"/>
  <cols>
    <col min="1" max="1" width="28.25" customWidth="1"/>
    <col min="4" max="4" width="14" customWidth="1"/>
  </cols>
  <sheetData>
    <row r="1" spans="1:6" ht="15">
      <c r="A1" t="s">
        <v>1801</v>
      </c>
      <c r="B1" s="426" t="s">
        <v>875</v>
      </c>
    </row>
    <row r="2" spans="1:6" ht="15">
      <c r="B2" s="426" t="s">
        <v>876</v>
      </c>
    </row>
    <row r="4" spans="1:6" ht="15">
      <c r="A4" t="s">
        <v>1802</v>
      </c>
      <c r="B4" s="426" t="s">
        <v>874</v>
      </c>
    </row>
    <row r="5" spans="1:6" ht="15">
      <c r="A5" t="s">
        <v>1803</v>
      </c>
      <c r="B5" s="1886" t="s">
        <v>859</v>
      </c>
    </row>
    <row r="6" spans="1:6" ht="15.75">
      <c r="A6" t="s">
        <v>1804</v>
      </c>
      <c r="B6" s="1887" t="str">
        <f>CHAR(98)</f>
        <v>b</v>
      </c>
    </row>
    <row r="7" spans="1:6" ht="15">
      <c r="A7" t="s">
        <v>1811</v>
      </c>
      <c r="B7" s="1899" t="s">
        <v>889</v>
      </c>
      <c r="C7" s="1886" t="s">
        <v>1814</v>
      </c>
      <c r="D7" s="1886" t="s">
        <v>1815</v>
      </c>
      <c r="E7" s="1886" t="s">
        <v>1816</v>
      </c>
    </row>
    <row r="8" spans="1:6" ht="15">
      <c r="A8" t="s">
        <v>1805</v>
      </c>
      <c r="B8" s="426" t="s">
        <v>980</v>
      </c>
    </row>
    <row r="9" spans="1:6" ht="15">
      <c r="A9" t="s">
        <v>1806</v>
      </c>
      <c r="B9" s="426" t="s">
        <v>858</v>
      </c>
    </row>
    <row r="10" spans="1:6" ht="15">
      <c r="A10" t="s">
        <v>1807</v>
      </c>
      <c r="B10" s="1886" t="s">
        <v>1620</v>
      </c>
    </row>
    <row r="11" spans="1:6" ht="87.75">
      <c r="A11" t="s">
        <v>697</v>
      </c>
      <c r="B11" s="1400" t="s">
        <v>1808</v>
      </c>
      <c r="C11" s="1896"/>
      <c r="D11" s="1954"/>
    </row>
    <row r="12" spans="1:6" ht="20.25">
      <c r="A12" t="s">
        <v>1809</v>
      </c>
      <c r="B12" s="1897" t="s">
        <v>1810</v>
      </c>
    </row>
    <row r="13" spans="1:6" ht="15">
      <c r="A13" t="s">
        <v>1812</v>
      </c>
      <c r="B13" s="1898" t="s">
        <v>837</v>
      </c>
      <c r="F13" s="1898"/>
    </row>
    <row r="14" spans="1:6" ht="15.75">
      <c r="A14" t="s">
        <v>180</v>
      </c>
      <c r="B14" s="795" t="s">
        <v>1813</v>
      </c>
      <c r="E14" t="str">
        <f>"Jörn "&amp;Delta&amp;divers&amp;Durchschnitt&amp;Mann&amp;Frau</f>
        <v>Jörn Δ⚩Ø</v>
      </c>
    </row>
    <row r="15" spans="1:6" ht="15.75">
      <c r="A15" t="s">
        <v>181</v>
      </c>
      <c r="B15" s="795" t="s">
        <v>1813</v>
      </c>
    </row>
    <row r="16" spans="1:6" ht="16.5">
      <c r="A16" t="s">
        <v>1817</v>
      </c>
      <c r="B16" s="1956"/>
    </row>
    <row r="17" spans="2:6">
      <c r="B17" t="s">
        <v>874</v>
      </c>
    </row>
    <row r="18" spans="2:6" ht="15.75">
      <c r="B18" t="s">
        <v>1840</v>
      </c>
      <c r="F18" s="795"/>
    </row>
    <row r="23" spans="2:6">
      <c r="D23" s="1955">
        <f>Text</f>
        <v>0</v>
      </c>
    </row>
    <row r="28" spans="2:6" ht="15">
      <c r="C28" s="1911"/>
    </row>
    <row r="35" spans="18:18">
      <c r="R35" t="s">
        <v>1839</v>
      </c>
    </row>
  </sheetData>
  <pageMargins left="0.7" right="0.7" top="0.78740157499999996" bottom="0.78740157499999996"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6B731-219F-49BA-94CE-1B5F259CBEA3}">
  <sheetPr codeName="Tabelle63"/>
  <dimension ref="B5:G150"/>
  <sheetViews>
    <sheetView topLeftCell="A93" workbookViewId="0">
      <selection activeCell="C27" sqref="C27"/>
    </sheetView>
  </sheetViews>
  <sheetFormatPr baseColWidth="10" defaultRowHeight="14.25"/>
  <cols>
    <col min="2" max="2" width="16.125" customWidth="1"/>
    <col min="3" max="3" width="16.25" customWidth="1"/>
    <col min="4" max="4" width="11.25" bestFit="1" customWidth="1"/>
    <col min="5" max="7" width="11.25" customWidth="1"/>
  </cols>
  <sheetData>
    <row r="5" spans="2:4">
      <c r="C5" t="s">
        <v>1686</v>
      </c>
    </row>
    <row r="6" spans="2:4">
      <c r="B6" t="s">
        <v>197</v>
      </c>
      <c r="C6" s="157">
        <v>100000</v>
      </c>
    </row>
    <row r="7" spans="2:4">
      <c r="B7" t="s">
        <v>1687</v>
      </c>
      <c r="C7">
        <v>19</v>
      </c>
    </row>
    <row r="8" spans="2:4">
      <c r="B8" t="s">
        <v>256</v>
      </c>
      <c r="C8" s="60">
        <v>0.02</v>
      </c>
      <c r="D8" s="154">
        <f>IF(C8="",5.5%,C8)</f>
        <v>0.02</v>
      </c>
    </row>
    <row r="9" spans="2:4">
      <c r="B9" t="s">
        <v>1688</v>
      </c>
      <c r="C9" s="157">
        <f>VLOOKUP(C7,Abzinsungstabelle§12BewG,2)*C6</f>
        <v>36200</v>
      </c>
      <c r="D9" s="157">
        <f>ROUND(-PV(D8,C7,,1,1),2)*C6</f>
        <v>69000</v>
      </c>
    </row>
    <row r="17" spans="2:7">
      <c r="B17" t="s">
        <v>545</v>
      </c>
    </row>
    <row r="18" spans="2:7" ht="17.25">
      <c r="B18" s="1599">
        <v>1</v>
      </c>
      <c r="C18" s="1599">
        <v>0.94799999999999995</v>
      </c>
      <c r="E18" s="1598"/>
    </row>
    <row r="19" spans="2:7" ht="17.25">
      <c r="B19" s="1599">
        <v>2</v>
      </c>
      <c r="C19" s="1599">
        <v>0.89800000000000002</v>
      </c>
      <c r="E19" s="1598"/>
    </row>
    <row r="20" spans="2:7" ht="17.25">
      <c r="B20" s="1599">
        <v>3</v>
      </c>
      <c r="C20" s="1599">
        <v>0.85199999999999998</v>
      </c>
      <c r="E20" s="1598"/>
    </row>
    <row r="21" spans="2:7" ht="17.25">
      <c r="B21" s="1599">
        <v>4</v>
      </c>
      <c r="C21" s="1599">
        <v>0.80700000000000005</v>
      </c>
      <c r="E21" s="1598"/>
    </row>
    <row r="22" spans="2:7" ht="17.25">
      <c r="B22" s="1599">
        <v>5</v>
      </c>
      <c r="C22" s="1599">
        <v>0.76500000000000001</v>
      </c>
      <c r="E22" s="1598"/>
    </row>
    <row r="23" spans="2:7" ht="17.25">
      <c r="B23" s="1599">
        <v>6</v>
      </c>
      <c r="C23" s="1599">
        <v>0.72499999999999998</v>
      </c>
      <c r="E23" s="1598"/>
    </row>
    <row r="24" spans="2:7" ht="17.25">
      <c r="B24" s="1599">
        <v>7</v>
      </c>
      <c r="C24" s="1599">
        <v>0.68700000000000006</v>
      </c>
      <c r="E24" s="1598"/>
    </row>
    <row r="25" spans="2:7" ht="17.25">
      <c r="B25" s="1599">
        <v>8</v>
      </c>
      <c r="C25" s="1599">
        <v>0.65200000000000002</v>
      </c>
      <c r="E25" s="1598"/>
      <c r="G25">
        <v>100000</v>
      </c>
    </row>
    <row r="26" spans="2:7" ht="17.25">
      <c r="B26" s="1599">
        <v>9</v>
      </c>
      <c r="C26" s="1599">
        <v>0.61799999999999999</v>
      </c>
      <c r="E26" s="1598"/>
      <c r="G26" s="157">
        <f>-PV(5.5%,15,,G25,1)</f>
        <v>44793.304810907481</v>
      </c>
    </row>
    <row r="27" spans="2:7" ht="17.25">
      <c r="B27" s="1599">
        <v>10</v>
      </c>
      <c r="C27" s="1599">
        <v>0.58499999999999996</v>
      </c>
      <c r="E27" s="1598"/>
      <c r="F27" s="1598"/>
    </row>
    <row r="28" spans="2:7" ht="17.25">
      <c r="B28" s="1599">
        <v>11</v>
      </c>
      <c r="C28" s="1599">
        <v>0.55500000000000005</v>
      </c>
      <c r="E28" s="1598"/>
    </row>
    <row r="29" spans="2:7" ht="17.25">
      <c r="B29" s="1599">
        <v>12</v>
      </c>
      <c r="C29" s="1599">
        <v>0.52600000000000002</v>
      </c>
      <c r="E29" s="1598"/>
    </row>
    <row r="30" spans="2:7" ht="17.25">
      <c r="B30" s="1599">
        <v>13</v>
      </c>
      <c r="C30" s="1599">
        <v>0.499</v>
      </c>
      <c r="E30" s="1598"/>
      <c r="F30">
        <f>100000*C36</f>
        <v>36200</v>
      </c>
    </row>
    <row r="31" spans="2:7" ht="17.25">
      <c r="B31" s="1599">
        <v>14</v>
      </c>
      <c r="C31" s="1599">
        <v>0.47299999999999998</v>
      </c>
      <c r="E31" s="1598"/>
    </row>
    <row r="32" spans="2:7" ht="17.25">
      <c r="B32" s="1599">
        <v>15</v>
      </c>
      <c r="C32" s="1599">
        <v>0.44800000000000001</v>
      </c>
      <c r="E32" s="1598"/>
    </row>
    <row r="33" spans="2:5" ht="17.25">
      <c r="B33" s="1599">
        <v>16</v>
      </c>
      <c r="C33" s="1599">
        <v>0.42499999999999999</v>
      </c>
      <c r="E33" s="1598"/>
    </row>
    <row r="34" spans="2:5" ht="17.25">
      <c r="B34" s="1599">
        <v>17</v>
      </c>
      <c r="C34" s="1599">
        <v>0.40200000000000002</v>
      </c>
      <c r="E34" s="1598"/>
    </row>
    <row r="35" spans="2:5" ht="17.25">
      <c r="B35" s="1599">
        <v>18</v>
      </c>
      <c r="C35" s="1599">
        <v>0.38100000000000001</v>
      </c>
      <c r="E35" s="1598"/>
    </row>
    <row r="36" spans="2:5" ht="17.25">
      <c r="B36" s="1599">
        <v>19</v>
      </c>
      <c r="C36" s="1599">
        <v>0.36199999999999999</v>
      </c>
      <c r="E36" s="1598"/>
    </row>
    <row r="37" spans="2:5" ht="17.25">
      <c r="B37" s="1599">
        <v>20</v>
      </c>
      <c r="C37" s="1599">
        <v>0.34300000000000003</v>
      </c>
      <c r="E37" s="1598"/>
    </row>
    <row r="38" spans="2:5" ht="17.25">
      <c r="B38" s="1599">
        <v>21</v>
      </c>
      <c r="C38" s="1599">
        <v>0.32500000000000001</v>
      </c>
      <c r="E38" s="1598"/>
    </row>
    <row r="39" spans="2:5" ht="17.25">
      <c r="B39" s="1599">
        <v>22</v>
      </c>
      <c r="C39" s="1599">
        <v>0.308</v>
      </c>
      <c r="E39" s="1598"/>
    </row>
    <row r="40" spans="2:5" ht="17.25">
      <c r="B40" s="1599">
        <v>23</v>
      </c>
      <c r="C40" s="1599">
        <v>0.29199999999999998</v>
      </c>
      <c r="E40" s="1598"/>
    </row>
    <row r="41" spans="2:5" ht="17.25">
      <c r="B41" s="1599">
        <v>24</v>
      </c>
      <c r="C41" s="1599">
        <v>0.27700000000000002</v>
      </c>
      <c r="E41" s="1598"/>
    </row>
    <row r="42" spans="2:5" ht="17.25">
      <c r="B42" s="1599">
        <v>25</v>
      </c>
      <c r="C42" s="1599">
        <v>0.26200000000000001</v>
      </c>
      <c r="E42" s="1598"/>
    </row>
    <row r="43" spans="2:5" ht="17.25">
      <c r="B43" s="1599">
        <v>26</v>
      </c>
      <c r="C43" s="1599">
        <v>0.249</v>
      </c>
      <c r="E43" s="1598"/>
    </row>
    <row r="44" spans="2:5" ht="17.25">
      <c r="B44" s="1599">
        <v>27</v>
      </c>
      <c r="C44" s="1599">
        <v>0.23599999999999999</v>
      </c>
      <c r="E44" s="1598"/>
    </row>
    <row r="45" spans="2:5" ht="17.25">
      <c r="B45" s="1599">
        <v>28</v>
      </c>
      <c r="C45" s="1599">
        <v>0.223</v>
      </c>
      <c r="E45" s="1598"/>
    </row>
    <row r="46" spans="2:5" ht="17.25">
      <c r="B46" s="1599">
        <v>29</v>
      </c>
      <c r="C46" s="1599">
        <v>0.21199999999999999</v>
      </c>
      <c r="E46" s="1598"/>
    </row>
    <row r="47" spans="2:5" ht="17.25">
      <c r="B47" s="1599">
        <v>30</v>
      </c>
      <c r="C47" s="1599">
        <v>0.20100000000000001</v>
      </c>
      <c r="E47" s="1598"/>
    </row>
    <row r="48" spans="2:5" ht="17.25">
      <c r="B48" s="1599">
        <v>31</v>
      </c>
      <c r="C48" s="1599">
        <v>0.19</v>
      </c>
      <c r="E48" s="1598"/>
    </row>
    <row r="49" spans="2:5" ht="17.25">
      <c r="B49" s="1599">
        <v>32</v>
      </c>
      <c r="C49" s="1599">
        <v>0.18</v>
      </c>
      <c r="E49" s="1598"/>
    </row>
    <row r="50" spans="2:5" ht="17.25">
      <c r="B50" s="1599">
        <v>33</v>
      </c>
      <c r="C50" s="1599">
        <v>0.17100000000000001</v>
      </c>
      <c r="E50" s="1598"/>
    </row>
    <row r="51" spans="2:5" ht="17.25">
      <c r="B51" s="1599">
        <v>34</v>
      </c>
      <c r="C51" s="1599">
        <v>0.16200000000000001</v>
      </c>
      <c r="E51" s="1598"/>
    </row>
    <row r="52" spans="2:5" ht="17.25">
      <c r="B52" s="1599">
        <v>35</v>
      </c>
      <c r="C52" s="1599">
        <v>0.154</v>
      </c>
      <c r="E52" s="1598"/>
    </row>
    <row r="53" spans="2:5" ht="17.25">
      <c r="B53" s="1599">
        <v>36</v>
      </c>
      <c r="C53" s="1599">
        <v>0.14599999999999999</v>
      </c>
      <c r="E53" s="1598"/>
    </row>
    <row r="54" spans="2:5" ht="17.25">
      <c r="B54" s="1599">
        <v>37</v>
      </c>
      <c r="C54" s="1599">
        <v>0.13800000000000001</v>
      </c>
      <c r="E54" s="1598"/>
    </row>
    <row r="55" spans="2:5" ht="17.25">
      <c r="B55" s="1599">
        <v>38</v>
      </c>
      <c r="C55" s="1599">
        <v>0.13100000000000001</v>
      </c>
      <c r="E55" s="1598"/>
    </row>
    <row r="56" spans="2:5" ht="17.25">
      <c r="B56" s="1599">
        <v>39</v>
      </c>
      <c r="C56" s="1599">
        <v>0.124</v>
      </c>
      <c r="E56" s="1598"/>
    </row>
    <row r="57" spans="2:5" ht="17.25">
      <c r="B57" s="1599">
        <v>40</v>
      </c>
      <c r="C57" s="1599">
        <v>0.11700000000000001</v>
      </c>
      <c r="E57" s="1598"/>
    </row>
    <row r="58" spans="2:5" ht="17.25">
      <c r="B58" s="1599">
        <v>41</v>
      </c>
      <c r="C58" s="1599">
        <v>0.111</v>
      </c>
      <c r="E58" s="1598"/>
    </row>
    <row r="59" spans="2:5" ht="17.25">
      <c r="B59" s="1599">
        <v>42</v>
      </c>
      <c r="C59" s="1599">
        <v>0.106</v>
      </c>
      <c r="E59" s="1598"/>
    </row>
    <row r="60" spans="2:5" ht="17.25">
      <c r="B60" s="1599">
        <v>43</v>
      </c>
      <c r="C60" s="1599">
        <v>0.1</v>
      </c>
      <c r="E60" s="1598"/>
    </row>
    <row r="61" spans="2:5" ht="17.25">
      <c r="B61" s="1599">
        <v>44</v>
      </c>
      <c r="C61" s="1599">
        <v>9.5000000000000001E-2</v>
      </c>
      <c r="E61" s="1598"/>
    </row>
    <row r="62" spans="2:5" ht="17.25">
      <c r="B62" s="1599">
        <v>45</v>
      </c>
      <c r="C62" s="1599">
        <v>0.09</v>
      </c>
      <c r="E62" s="1598"/>
    </row>
    <row r="63" spans="2:5" ht="17.25">
      <c r="B63" s="1599">
        <v>46</v>
      </c>
      <c r="C63" s="1599">
        <v>8.5000000000000006E-2</v>
      </c>
      <c r="E63" s="1598"/>
    </row>
    <row r="64" spans="2:5" ht="17.25">
      <c r="B64" s="1599">
        <v>47</v>
      </c>
      <c r="C64" s="1599">
        <v>8.1000000000000003E-2</v>
      </c>
      <c r="E64" s="1598"/>
    </row>
    <row r="65" spans="2:5" ht="17.25">
      <c r="B65" s="1599">
        <v>48</v>
      </c>
      <c r="C65" s="1599">
        <v>7.6999999999999999E-2</v>
      </c>
      <c r="E65" s="1598"/>
    </row>
    <row r="66" spans="2:5" ht="17.25">
      <c r="B66" s="1599">
        <v>49</v>
      </c>
      <c r="C66" s="1599">
        <v>7.2999999999999995E-2</v>
      </c>
      <c r="E66" s="1598"/>
    </row>
    <row r="67" spans="2:5" ht="17.25">
      <c r="B67" s="1599">
        <v>50</v>
      </c>
      <c r="C67" s="1599">
        <v>6.9000000000000006E-2</v>
      </c>
      <c r="E67" s="1598"/>
    </row>
    <row r="68" spans="2:5" ht="17.25">
      <c r="B68" s="1599">
        <v>51</v>
      </c>
      <c r="C68" s="1599">
        <v>6.5000000000000002E-2</v>
      </c>
      <c r="E68" s="1598"/>
    </row>
    <row r="69" spans="2:5" ht="17.25">
      <c r="B69" s="1599">
        <v>52</v>
      </c>
      <c r="C69" s="1599">
        <v>6.2E-2</v>
      </c>
      <c r="E69" s="1598"/>
    </row>
    <row r="70" spans="2:5" ht="17.25">
      <c r="B70" s="1599">
        <v>53</v>
      </c>
      <c r="C70" s="1599">
        <v>5.8999999999999997E-2</v>
      </c>
      <c r="E70" s="1598"/>
    </row>
    <row r="71" spans="2:5" ht="17.25">
      <c r="B71" s="1599">
        <v>54</v>
      </c>
      <c r="C71" s="1599">
        <v>5.6000000000000001E-2</v>
      </c>
      <c r="E71" s="1598"/>
    </row>
    <row r="72" spans="2:5" ht="17.25">
      <c r="B72" s="1599">
        <v>55</v>
      </c>
      <c r="C72" s="1599">
        <v>5.2999999999999999E-2</v>
      </c>
      <c r="E72" s="1598"/>
    </row>
    <row r="73" spans="2:5" ht="17.25">
      <c r="B73" s="1599">
        <v>56</v>
      </c>
      <c r="C73" s="1599">
        <v>0.05</v>
      </c>
      <c r="E73" s="1598"/>
    </row>
    <row r="74" spans="2:5" ht="17.25">
      <c r="B74" s="1599">
        <v>57</v>
      </c>
      <c r="C74" s="1599">
        <v>4.7E-2</v>
      </c>
      <c r="E74" s="1598"/>
    </row>
    <row r="75" spans="2:5" ht="17.25">
      <c r="B75" s="1599">
        <v>58</v>
      </c>
      <c r="C75" s="1599">
        <v>4.4999999999999998E-2</v>
      </c>
      <c r="E75" s="1598"/>
    </row>
    <row r="76" spans="2:5" ht="17.25">
      <c r="B76" s="1599">
        <v>59</v>
      </c>
      <c r="C76" s="1599">
        <v>4.2000000000000003E-2</v>
      </c>
      <c r="E76" s="1598"/>
    </row>
    <row r="77" spans="2:5" ht="17.25">
      <c r="B77" s="1599">
        <v>60</v>
      </c>
      <c r="C77" s="1599">
        <v>0.04</v>
      </c>
      <c r="E77" s="1598"/>
    </row>
    <row r="78" spans="2:5" ht="17.25">
      <c r="B78" s="1599">
        <v>61</v>
      </c>
      <c r="C78" s="1599">
        <v>3.7999999999999999E-2</v>
      </c>
      <c r="E78" s="1598"/>
    </row>
    <row r="79" spans="2:5" ht="17.25">
      <c r="B79" s="1599">
        <v>62</v>
      </c>
      <c r="C79" s="1599">
        <v>3.5999999999999997E-2</v>
      </c>
      <c r="E79" s="1598"/>
    </row>
    <row r="80" spans="2:5" ht="17.25">
      <c r="B80" s="1599">
        <v>63</v>
      </c>
      <c r="C80" s="1599">
        <v>3.4000000000000002E-2</v>
      </c>
      <c r="E80" s="1598"/>
    </row>
    <row r="81" spans="2:5" ht="17.25">
      <c r="B81" s="1599">
        <v>64</v>
      </c>
      <c r="C81" s="1599">
        <v>3.2000000000000001E-2</v>
      </c>
      <c r="E81" s="1598"/>
    </row>
    <row r="82" spans="2:5" ht="17.25">
      <c r="B82" s="1599">
        <v>65</v>
      </c>
      <c r="C82" s="1599">
        <v>3.1E-2</v>
      </c>
      <c r="E82" s="1598"/>
    </row>
    <row r="83" spans="2:5" ht="17.25">
      <c r="B83" s="1599">
        <v>66</v>
      </c>
      <c r="C83" s="1599">
        <v>2.9000000000000001E-2</v>
      </c>
      <c r="E83" s="1598"/>
    </row>
    <row r="84" spans="2:5" ht="17.25">
      <c r="B84" s="1599">
        <v>67</v>
      </c>
      <c r="C84" s="1599">
        <v>2.8000000000000001E-2</v>
      </c>
      <c r="E84" s="1598"/>
    </row>
    <row r="85" spans="2:5" ht="17.25">
      <c r="B85" s="1599">
        <v>68</v>
      </c>
      <c r="C85" s="1599">
        <v>0.02</v>
      </c>
      <c r="E85" s="1598"/>
    </row>
    <row r="86" spans="2:5" ht="17.25">
      <c r="B86" s="1599">
        <v>69</v>
      </c>
      <c r="C86" s="1599">
        <v>2.5000000000000001E-2</v>
      </c>
      <c r="E86" s="1598"/>
    </row>
    <row r="87" spans="2:5" ht="17.25">
      <c r="B87" s="1599">
        <v>70</v>
      </c>
      <c r="C87" s="1599">
        <v>2.4E-2</v>
      </c>
      <c r="E87" s="1598"/>
    </row>
    <row r="88" spans="2:5" ht="17.25">
      <c r="B88" s="1599">
        <v>71</v>
      </c>
      <c r="C88" s="1599">
        <v>2.1999999999999999E-2</v>
      </c>
      <c r="E88" s="1598"/>
    </row>
    <row r="89" spans="2:5" ht="17.25">
      <c r="B89" s="1599">
        <v>72</v>
      </c>
      <c r="C89" s="1599">
        <v>2.1000000000000001E-2</v>
      </c>
      <c r="E89" s="1598"/>
    </row>
    <row r="90" spans="2:5" ht="17.25">
      <c r="B90" s="1599">
        <v>73</v>
      </c>
      <c r="C90" s="1599">
        <v>0.02</v>
      </c>
      <c r="E90" s="1598"/>
    </row>
    <row r="91" spans="2:5" ht="17.25">
      <c r="B91" s="1599">
        <v>74</v>
      </c>
      <c r="C91" s="1599">
        <v>1.9E-2</v>
      </c>
      <c r="E91" s="1598"/>
    </row>
    <row r="92" spans="2:5" ht="17.25">
      <c r="B92" s="1599">
        <v>75</v>
      </c>
      <c r="C92" s="1599">
        <v>1.7999999999999999E-2</v>
      </c>
      <c r="E92" s="1598"/>
    </row>
    <row r="93" spans="2:5" ht="17.25">
      <c r="B93" s="1599">
        <v>76</v>
      </c>
      <c r="C93" s="1599">
        <v>1.7000000000000001E-2</v>
      </c>
      <c r="E93" s="1598"/>
    </row>
    <row r="94" spans="2:5" ht="17.25">
      <c r="B94" s="1599">
        <v>77</v>
      </c>
      <c r="C94" s="1599">
        <v>1.6E-2</v>
      </c>
      <c r="E94" s="1598"/>
    </row>
    <row r="95" spans="2:5" ht="17.25">
      <c r="B95" s="1599">
        <v>78</v>
      </c>
      <c r="C95" s="1599">
        <v>1.4999999999999999E-2</v>
      </c>
      <c r="E95" s="1598"/>
    </row>
    <row r="96" spans="2:5" ht="17.25">
      <c r="B96" s="1599">
        <v>79</v>
      </c>
      <c r="C96" s="1599">
        <v>1.4999999999999999E-2</v>
      </c>
      <c r="E96" s="1598"/>
    </row>
    <row r="97" spans="2:5" ht="17.25">
      <c r="B97" s="1599">
        <v>80</v>
      </c>
      <c r="C97" s="1599">
        <v>1.4E-2</v>
      </c>
      <c r="E97" s="1598"/>
    </row>
    <row r="98" spans="2:5" ht="17.25">
      <c r="B98" s="1599">
        <v>81</v>
      </c>
      <c r="C98" s="1599">
        <v>1.2999999999999999E-2</v>
      </c>
      <c r="E98" s="1598"/>
    </row>
    <row r="99" spans="2:5" ht="17.25">
      <c r="B99" s="1599">
        <v>82</v>
      </c>
      <c r="C99" s="1599">
        <v>1.2E-2</v>
      </c>
      <c r="E99" s="1598"/>
    </row>
    <row r="100" spans="2:5" ht="17.25">
      <c r="B100" s="1599">
        <v>83</v>
      </c>
      <c r="C100" s="1599">
        <v>1.2E-2</v>
      </c>
      <c r="E100" s="1598"/>
    </row>
    <row r="101" spans="2:5" ht="17.25">
      <c r="B101" s="1599">
        <v>84</v>
      </c>
      <c r="C101" s="1599">
        <v>1.0999999999999999E-2</v>
      </c>
      <c r="E101" s="1598"/>
    </row>
    <row r="102" spans="2:5" ht="17.25">
      <c r="B102" s="1599">
        <v>85</v>
      </c>
      <c r="C102" s="1599">
        <v>1.0999999999999999E-2</v>
      </c>
      <c r="E102" s="1598"/>
    </row>
    <row r="103" spans="2:5" ht="17.25">
      <c r="B103" s="1599">
        <v>86</v>
      </c>
      <c r="C103" s="1599">
        <v>0.01</v>
      </c>
      <c r="E103" s="1598"/>
    </row>
    <row r="104" spans="2:5" ht="17.25">
      <c r="B104" s="1599">
        <v>87</v>
      </c>
      <c r="C104" s="1599">
        <v>8.9999999999999993E-3</v>
      </c>
      <c r="E104" s="1598"/>
    </row>
    <row r="105" spans="2:5" ht="17.25">
      <c r="B105" s="1599">
        <v>88</v>
      </c>
      <c r="C105" s="1599">
        <v>8.9999999999999993E-3</v>
      </c>
      <c r="E105" s="1598"/>
    </row>
    <row r="106" spans="2:5" ht="17.25">
      <c r="B106" s="1599">
        <v>89</v>
      </c>
      <c r="C106" s="1599">
        <v>8.9999999999999993E-3</v>
      </c>
      <c r="E106" s="1598"/>
    </row>
    <row r="107" spans="2:5" ht="17.25">
      <c r="B107" s="1599">
        <v>90</v>
      </c>
      <c r="C107" s="1599">
        <v>8.0000000000000002E-3</v>
      </c>
      <c r="E107" s="1598"/>
    </row>
    <row r="108" spans="2:5" ht="17.25">
      <c r="B108" s="1599">
        <v>91</v>
      </c>
      <c r="C108" s="1599">
        <v>8.0000000000000002E-3</v>
      </c>
      <c r="E108" s="1598"/>
    </row>
    <row r="109" spans="2:5" ht="17.25">
      <c r="B109" s="1599">
        <v>92</v>
      </c>
      <c r="C109" s="1599">
        <v>7.0000000000000001E-3</v>
      </c>
      <c r="E109" s="1598"/>
    </row>
    <row r="110" spans="2:5" ht="17.25">
      <c r="B110" s="1599">
        <v>93</v>
      </c>
      <c r="C110" s="1599">
        <v>7.0000000000000001E-3</v>
      </c>
      <c r="E110" s="1598"/>
    </row>
    <row r="111" spans="2:5" ht="17.25">
      <c r="B111" s="1599">
        <v>94</v>
      </c>
      <c r="C111" s="1599">
        <v>7.0000000000000001E-3</v>
      </c>
      <c r="E111" s="1598"/>
    </row>
    <row r="112" spans="2:5" ht="17.25">
      <c r="B112" s="1599">
        <v>95</v>
      </c>
      <c r="C112" s="1599">
        <v>6.0000000000000001E-3</v>
      </c>
      <c r="E112" s="1598"/>
    </row>
    <row r="113" spans="2:5" ht="17.25">
      <c r="B113" s="1599">
        <v>96</v>
      </c>
      <c r="C113" s="1599">
        <v>6.0000000000000001E-3</v>
      </c>
      <c r="E113" s="1598"/>
    </row>
    <row r="114" spans="2:5" ht="17.25">
      <c r="B114" s="1599">
        <v>97</v>
      </c>
      <c r="C114" s="1599">
        <v>6.0000000000000001E-3</v>
      </c>
      <c r="E114" s="1598"/>
    </row>
    <row r="115" spans="2:5" ht="17.25">
      <c r="B115" s="1599">
        <v>98</v>
      </c>
      <c r="C115" s="1599">
        <v>5.0000000000000001E-3</v>
      </c>
      <c r="E115" s="1598"/>
    </row>
    <row r="116" spans="2:5" ht="17.25">
      <c r="B116" s="1599">
        <v>99</v>
      </c>
      <c r="C116" s="1599">
        <v>5.0000000000000001E-3</v>
      </c>
      <c r="E116" s="1598"/>
    </row>
    <row r="117" spans="2:5" ht="17.25">
      <c r="B117" s="1599">
        <v>100</v>
      </c>
      <c r="C117" s="1599">
        <v>5.0000000000000001E-3</v>
      </c>
      <c r="E117" s="1598"/>
    </row>
    <row r="118" spans="2:5" ht="17.25">
      <c r="B118" s="1599"/>
    </row>
    <row r="119" spans="2:5" ht="17.25">
      <c r="B119" s="1599"/>
    </row>
    <row r="120" spans="2:5" ht="17.25">
      <c r="B120" s="1599"/>
    </row>
    <row r="121" spans="2:5" ht="17.25">
      <c r="B121" s="1599"/>
    </row>
    <row r="122" spans="2:5" ht="17.25">
      <c r="B122" s="1599"/>
    </row>
    <row r="123" spans="2:5" ht="17.25">
      <c r="B123" s="1599"/>
    </row>
    <row r="124" spans="2:5" ht="17.25">
      <c r="B124" s="1599"/>
    </row>
    <row r="125" spans="2:5" ht="17.25">
      <c r="B125" s="1599"/>
    </row>
    <row r="126" spans="2:5" ht="17.25">
      <c r="B126" s="1599"/>
    </row>
    <row r="127" spans="2:5" ht="17.25">
      <c r="B127" s="1599"/>
    </row>
    <row r="128" spans="2:5" ht="17.25">
      <c r="B128" s="1599"/>
    </row>
    <row r="129" spans="2:2" ht="17.25">
      <c r="B129" s="1599"/>
    </row>
    <row r="130" spans="2:2" ht="17.25">
      <c r="B130" s="1599"/>
    </row>
    <row r="131" spans="2:2" ht="17.25">
      <c r="B131" s="1599"/>
    </row>
    <row r="132" spans="2:2" ht="17.25">
      <c r="B132" s="1599"/>
    </row>
    <row r="133" spans="2:2" ht="17.25">
      <c r="B133" s="1599"/>
    </row>
    <row r="134" spans="2:2" ht="17.25">
      <c r="B134" s="1599"/>
    </row>
    <row r="135" spans="2:2" ht="17.25">
      <c r="B135" s="1599"/>
    </row>
    <row r="136" spans="2:2" ht="17.25">
      <c r="B136" s="1599"/>
    </row>
    <row r="137" spans="2:2" ht="17.25">
      <c r="B137" s="1599"/>
    </row>
    <row r="138" spans="2:2" ht="17.25">
      <c r="B138" s="1599"/>
    </row>
    <row r="139" spans="2:2" ht="17.25">
      <c r="B139" s="1599"/>
    </row>
    <row r="140" spans="2:2" ht="17.25">
      <c r="B140" s="1599"/>
    </row>
    <row r="141" spans="2:2" ht="17.25">
      <c r="B141" s="1599"/>
    </row>
    <row r="142" spans="2:2" ht="17.25">
      <c r="B142" s="1599"/>
    </row>
    <row r="143" spans="2:2" ht="17.25">
      <c r="B143" s="1599"/>
    </row>
    <row r="144" spans="2:2" ht="17.25">
      <c r="B144" s="1599"/>
    </row>
    <row r="145" spans="2:2" ht="17.25">
      <c r="B145" s="1599"/>
    </row>
    <row r="146" spans="2:2" ht="17.25">
      <c r="B146" s="1599"/>
    </row>
    <row r="147" spans="2:2" ht="17.25">
      <c r="B147" s="1599"/>
    </row>
    <row r="148" spans="2:2" ht="17.25">
      <c r="B148" s="1599"/>
    </row>
    <row r="149" spans="2:2" ht="17.25">
      <c r="B149" s="1599"/>
    </row>
    <row r="150" spans="2:2" ht="17.25">
      <c r="B150" s="1599"/>
    </row>
  </sheetData>
  <sortState ref="B18:C216">
    <sortCondition ref="B18:B216"/>
  </sortState>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22"/>
  <dimension ref="A1:BB199"/>
  <sheetViews>
    <sheetView topLeftCell="A98" workbookViewId="0">
      <selection activeCell="A120" sqref="A120:AY120"/>
    </sheetView>
  </sheetViews>
  <sheetFormatPr baseColWidth="10" defaultColWidth="11.125" defaultRowHeight="14.25"/>
  <cols>
    <col min="2" max="15" width="5.625" style="132" customWidth="1"/>
    <col min="16" max="16" width="5.625" style="460" customWidth="1"/>
    <col min="17" max="51" width="5.625" style="132" customWidth="1"/>
  </cols>
  <sheetData>
    <row r="1" spans="1:54" ht="15">
      <c r="A1" s="120"/>
      <c r="B1" s="121"/>
      <c r="C1" s="121"/>
      <c r="D1" s="121"/>
      <c r="E1" s="121"/>
      <c r="F1" s="121"/>
      <c r="G1" s="121"/>
      <c r="H1" s="121"/>
      <c r="I1" s="121"/>
      <c r="J1" s="121"/>
      <c r="K1" s="121"/>
      <c r="L1" s="121"/>
      <c r="M1" s="121"/>
      <c r="N1" s="121"/>
      <c r="O1" s="121"/>
      <c r="P1" s="455"/>
      <c r="Q1" s="122"/>
      <c r="R1" s="121"/>
      <c r="S1" s="121"/>
      <c r="T1" s="121"/>
      <c r="U1" s="121"/>
      <c r="V1" s="121"/>
      <c r="W1" s="121"/>
      <c r="X1" s="121"/>
      <c r="Y1" s="121"/>
      <c r="Z1" s="121"/>
      <c r="AA1" s="121"/>
      <c r="AB1" s="121"/>
      <c r="AC1" s="121"/>
      <c r="AD1" s="121"/>
      <c r="AE1" s="121"/>
      <c r="AF1" s="121"/>
      <c r="AG1" s="121"/>
      <c r="AH1" s="121"/>
      <c r="AI1" s="121"/>
      <c r="AJ1" s="121"/>
      <c r="AK1" s="121"/>
      <c r="AL1" s="121"/>
      <c r="AM1" s="121"/>
      <c r="AN1" s="121"/>
      <c r="AO1" s="121"/>
      <c r="AP1" s="121"/>
      <c r="AQ1" s="121"/>
      <c r="AR1" s="121"/>
      <c r="AS1" s="121"/>
      <c r="AT1" s="121"/>
      <c r="AU1" s="121"/>
      <c r="AV1" s="121"/>
      <c r="AW1" s="121"/>
      <c r="AX1" s="121"/>
      <c r="AY1" s="121"/>
    </row>
    <row r="2" spans="1:54" ht="15">
      <c r="A2" s="120"/>
      <c r="B2" s="121"/>
      <c r="C2" s="121"/>
      <c r="D2" s="121"/>
      <c r="E2" s="121"/>
      <c r="F2" s="121"/>
      <c r="G2" s="121"/>
      <c r="H2" s="121"/>
      <c r="I2" s="121"/>
      <c r="J2" s="121"/>
      <c r="K2" s="121"/>
      <c r="L2" s="121"/>
      <c r="M2" s="121"/>
      <c r="N2" s="121"/>
      <c r="O2" s="121"/>
      <c r="P2" s="455"/>
      <c r="Q2" s="122"/>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row>
    <row r="3" spans="1:54" ht="15">
      <c r="A3" s="120"/>
      <c r="B3" s="121"/>
      <c r="C3" s="121"/>
      <c r="D3" s="121"/>
      <c r="E3" s="121"/>
      <c r="F3" s="121"/>
      <c r="G3" s="121"/>
      <c r="H3" s="121"/>
      <c r="I3" s="121"/>
      <c r="J3" s="121"/>
      <c r="K3" s="121"/>
      <c r="L3" s="121"/>
      <c r="M3" s="121"/>
      <c r="N3" s="121"/>
      <c r="O3" s="121"/>
      <c r="P3" s="455"/>
      <c r="Q3" s="122"/>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row>
    <row r="4" spans="1:54" ht="15">
      <c r="A4" s="120"/>
      <c r="B4" s="121"/>
      <c r="C4" s="121"/>
      <c r="D4" s="121"/>
      <c r="E4" s="121"/>
      <c r="F4" s="121"/>
      <c r="G4" s="121"/>
      <c r="H4" s="121"/>
      <c r="I4" s="121"/>
      <c r="J4" s="121"/>
      <c r="K4" s="121"/>
      <c r="L4" s="121"/>
      <c r="M4" s="121"/>
      <c r="N4" s="121"/>
      <c r="O4" s="121"/>
      <c r="P4" s="455"/>
      <c r="Q4" s="122"/>
      <c r="R4" s="121"/>
      <c r="S4" s="121"/>
      <c r="T4" s="121"/>
      <c r="U4" s="121"/>
      <c r="V4" s="121"/>
      <c r="W4" s="121"/>
      <c r="X4" s="121"/>
      <c r="Y4" s="121"/>
      <c r="Z4" s="121"/>
      <c r="AA4" s="121"/>
      <c r="AB4" s="121"/>
      <c r="AC4" s="121"/>
      <c r="AD4" s="121"/>
      <c r="AE4" s="121"/>
      <c r="AF4" s="121"/>
      <c r="AG4" s="121"/>
      <c r="AH4" s="121"/>
      <c r="AI4" s="121"/>
      <c r="AJ4" s="121"/>
      <c r="AK4" s="121"/>
      <c r="AL4" s="121"/>
      <c r="AM4" s="121"/>
      <c r="AN4" s="121"/>
      <c r="AO4" s="121"/>
      <c r="AP4" s="121"/>
      <c r="AQ4" s="121"/>
      <c r="AR4" s="121"/>
      <c r="AS4" s="121"/>
      <c r="AT4" s="121"/>
      <c r="AU4" s="121"/>
      <c r="AV4" s="121"/>
      <c r="AW4" s="121"/>
      <c r="AX4" s="121"/>
      <c r="AY4" s="121"/>
    </row>
    <row r="5" spans="1:54" ht="15.75">
      <c r="A5" s="123"/>
      <c r="B5" s="124"/>
      <c r="C5" s="124"/>
      <c r="D5" s="124"/>
      <c r="E5" s="124"/>
      <c r="F5" s="124"/>
      <c r="G5" s="124"/>
      <c r="H5" s="124"/>
      <c r="I5" s="124"/>
      <c r="J5" s="124"/>
      <c r="K5" s="124"/>
      <c r="L5" s="121"/>
      <c r="M5" s="121"/>
      <c r="N5" s="121"/>
      <c r="O5" s="121"/>
      <c r="P5" s="456"/>
      <c r="Q5" s="121"/>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row>
    <row r="6" spans="1:54" ht="15">
      <c r="A6" s="125">
        <f>MIN(A9:A300)</f>
        <v>42035</v>
      </c>
      <c r="B6" s="126" t="s">
        <v>30</v>
      </c>
      <c r="C6" s="126"/>
      <c r="D6" s="126"/>
      <c r="E6" s="126"/>
      <c r="F6" s="126"/>
      <c r="G6" s="126"/>
      <c r="H6" s="126"/>
      <c r="I6" s="126"/>
      <c r="J6" s="126"/>
      <c r="K6" s="126"/>
      <c r="L6" s="126" t="s">
        <v>30</v>
      </c>
      <c r="M6" s="121"/>
      <c r="N6" s="121"/>
      <c r="O6" s="121"/>
      <c r="P6" s="456"/>
      <c r="Q6" s="121"/>
      <c r="R6" s="121"/>
      <c r="S6" s="121"/>
      <c r="T6" s="121"/>
      <c r="U6" s="121"/>
      <c r="V6" s="126" t="s">
        <v>30</v>
      </c>
      <c r="W6" s="121"/>
      <c r="X6" s="121"/>
      <c r="Y6" s="121"/>
      <c r="Z6" s="122"/>
      <c r="AA6" s="121"/>
      <c r="AB6" s="121"/>
      <c r="AC6" s="121"/>
      <c r="AD6" s="121"/>
      <c r="AE6" s="121"/>
      <c r="AF6" s="126" t="s">
        <v>30</v>
      </c>
      <c r="AG6" s="121"/>
      <c r="AH6" s="121"/>
      <c r="AI6" s="121"/>
      <c r="AJ6" s="122"/>
      <c r="AK6" s="121"/>
      <c r="AL6" s="121"/>
      <c r="AM6" s="121"/>
      <c r="AN6" s="121"/>
      <c r="AO6" s="121"/>
      <c r="AP6" s="126" t="s">
        <v>30</v>
      </c>
      <c r="AQ6" s="121"/>
      <c r="AR6" s="121"/>
      <c r="AS6" s="121"/>
      <c r="AT6" s="122"/>
      <c r="AU6" s="121"/>
      <c r="AV6" s="121"/>
      <c r="AW6" s="121"/>
      <c r="AX6" s="121"/>
      <c r="AY6" s="121"/>
    </row>
    <row r="7" spans="1:54">
      <c r="A7" s="127">
        <f>MAX(A9:A300)</f>
        <v>45412</v>
      </c>
      <c r="B7" s="126" t="s">
        <v>127</v>
      </c>
      <c r="C7" s="126"/>
      <c r="D7" s="126"/>
      <c r="E7" s="126"/>
      <c r="F7" s="126"/>
      <c r="G7" s="126"/>
      <c r="H7" s="126"/>
      <c r="I7" s="126"/>
      <c r="J7" s="126"/>
      <c r="K7" s="126"/>
      <c r="L7" s="126" t="s">
        <v>127</v>
      </c>
      <c r="M7" s="126"/>
      <c r="N7" s="126"/>
      <c r="O7" s="126"/>
      <c r="P7" s="457"/>
      <c r="Q7" s="126"/>
      <c r="R7" s="126"/>
      <c r="S7" s="126"/>
      <c r="T7" s="126"/>
      <c r="U7" s="126"/>
      <c r="V7" s="126" t="s">
        <v>127</v>
      </c>
      <c r="W7" s="126"/>
      <c r="X7" s="126"/>
      <c r="Y7" s="126"/>
      <c r="Z7" s="126"/>
      <c r="AA7" s="126"/>
      <c r="AB7" s="126"/>
      <c r="AC7" s="126"/>
      <c r="AD7" s="126"/>
      <c r="AE7" s="126"/>
      <c r="AF7" s="126" t="s">
        <v>127</v>
      </c>
      <c r="AG7" s="126"/>
      <c r="AH7" s="126"/>
      <c r="AI7" s="126"/>
      <c r="AJ7" s="126"/>
      <c r="AK7" s="126"/>
      <c r="AL7" s="126"/>
      <c r="AM7" s="126"/>
      <c r="AN7" s="126"/>
      <c r="AO7" s="126"/>
      <c r="AP7" s="126" t="s">
        <v>127</v>
      </c>
      <c r="AQ7" s="126"/>
      <c r="AR7" s="126"/>
      <c r="AS7" s="126"/>
      <c r="AT7" s="126"/>
      <c r="AU7" s="126"/>
      <c r="AV7" s="126"/>
      <c r="AW7" s="126"/>
      <c r="AX7" s="126"/>
      <c r="AY7" s="126"/>
    </row>
    <row r="8" spans="1:54">
      <c r="A8" s="128"/>
      <c r="B8" s="126">
        <v>1</v>
      </c>
      <c r="C8" s="126">
        <v>2</v>
      </c>
      <c r="D8" s="126">
        <v>3</v>
      </c>
      <c r="E8" s="126">
        <v>4</v>
      </c>
      <c r="F8" s="126">
        <v>5</v>
      </c>
      <c r="G8" s="126">
        <v>6</v>
      </c>
      <c r="H8" s="126">
        <v>7</v>
      </c>
      <c r="I8" s="126">
        <v>8</v>
      </c>
      <c r="J8" s="126">
        <v>9</v>
      </c>
      <c r="K8" s="126">
        <v>10</v>
      </c>
      <c r="L8" s="126">
        <v>11</v>
      </c>
      <c r="M8" s="126">
        <v>12</v>
      </c>
      <c r="N8" s="126">
        <v>13</v>
      </c>
      <c r="O8" s="126">
        <v>14</v>
      </c>
      <c r="P8" s="457">
        <v>15</v>
      </c>
      <c r="Q8" s="126">
        <v>16</v>
      </c>
      <c r="R8" s="126">
        <v>17</v>
      </c>
      <c r="S8" s="126">
        <v>18</v>
      </c>
      <c r="T8" s="126">
        <v>19</v>
      </c>
      <c r="U8" s="126">
        <v>20</v>
      </c>
      <c r="V8" s="126">
        <v>21</v>
      </c>
      <c r="W8" s="126">
        <v>22</v>
      </c>
      <c r="X8" s="126">
        <v>23</v>
      </c>
      <c r="Y8" s="126">
        <v>24</v>
      </c>
      <c r="Z8" s="126">
        <v>25</v>
      </c>
      <c r="AA8" s="126">
        <v>26</v>
      </c>
      <c r="AB8" s="126">
        <v>27</v>
      </c>
      <c r="AC8" s="126">
        <v>28</v>
      </c>
      <c r="AD8" s="126">
        <v>29</v>
      </c>
      <c r="AE8" s="126">
        <v>30</v>
      </c>
      <c r="AF8" s="126">
        <v>31</v>
      </c>
      <c r="AG8" s="126">
        <v>32</v>
      </c>
      <c r="AH8" s="126">
        <v>33</v>
      </c>
      <c r="AI8" s="126">
        <v>34</v>
      </c>
      <c r="AJ8" s="126">
        <v>35</v>
      </c>
      <c r="AK8" s="126">
        <v>36</v>
      </c>
      <c r="AL8" s="126">
        <v>37</v>
      </c>
      <c r="AM8" s="126">
        <v>38</v>
      </c>
      <c r="AN8" s="126">
        <v>39</v>
      </c>
      <c r="AO8" s="126">
        <v>40</v>
      </c>
      <c r="AP8" s="126">
        <v>41</v>
      </c>
      <c r="AQ8" s="126">
        <v>42</v>
      </c>
      <c r="AR8" s="126">
        <v>43</v>
      </c>
      <c r="AS8" s="126">
        <v>44</v>
      </c>
      <c r="AT8" s="126">
        <v>45</v>
      </c>
      <c r="AU8" s="126">
        <v>46</v>
      </c>
      <c r="AV8" s="126">
        <v>47</v>
      </c>
      <c r="AW8" s="126">
        <v>48</v>
      </c>
      <c r="AX8" s="126">
        <v>49</v>
      </c>
      <c r="AY8" s="126">
        <v>50</v>
      </c>
    </row>
    <row r="9" spans="1:54">
      <c r="A9" s="129">
        <v>42035</v>
      </c>
      <c r="B9" s="701">
        <v>3.07</v>
      </c>
      <c r="C9" s="701">
        <v>3.17</v>
      </c>
      <c r="D9" s="701">
        <v>3.31</v>
      </c>
      <c r="E9" s="701">
        <v>3.46</v>
      </c>
      <c r="F9" s="701">
        <v>3.6</v>
      </c>
      <c r="G9" s="701">
        <v>3.74</v>
      </c>
      <c r="H9" s="701">
        <v>3.87</v>
      </c>
      <c r="I9" s="701">
        <v>3.98</v>
      </c>
      <c r="J9" s="701">
        <v>4.09</v>
      </c>
      <c r="K9" s="701">
        <v>4.18</v>
      </c>
      <c r="L9" s="701">
        <v>4.2699999999999996</v>
      </c>
      <c r="M9" s="701">
        <v>4.34</v>
      </c>
      <c r="N9" s="701">
        <v>4.41</v>
      </c>
      <c r="O9" s="701">
        <v>4.46</v>
      </c>
      <c r="P9" s="702">
        <v>4.51</v>
      </c>
      <c r="Q9" s="701">
        <v>4.53</v>
      </c>
      <c r="R9" s="701">
        <v>4.5599999999999996</v>
      </c>
      <c r="S9" s="701">
        <v>4.57</v>
      </c>
      <c r="T9" s="701">
        <v>4.59</v>
      </c>
      <c r="U9" s="701">
        <v>4.6100000000000003</v>
      </c>
      <c r="V9" s="701">
        <v>4.5999999999999996</v>
      </c>
      <c r="W9" s="701">
        <v>4.59</v>
      </c>
      <c r="X9" s="701">
        <v>4.59</v>
      </c>
      <c r="Y9" s="701">
        <v>4.58</v>
      </c>
      <c r="Z9" s="701">
        <v>4.58</v>
      </c>
      <c r="AA9" s="701">
        <v>4.5599999999999996</v>
      </c>
      <c r="AB9" s="701">
        <v>4.55</v>
      </c>
      <c r="AC9" s="701">
        <v>4.54</v>
      </c>
      <c r="AD9" s="701">
        <v>4.53</v>
      </c>
      <c r="AE9" s="701">
        <v>4.5199999999999996</v>
      </c>
      <c r="AF9" s="701">
        <v>4.5</v>
      </c>
      <c r="AG9" s="701">
        <v>4.49</v>
      </c>
      <c r="AH9" s="701">
        <v>4.4800000000000004</v>
      </c>
      <c r="AI9" s="701">
        <v>4.47</v>
      </c>
      <c r="AJ9" s="701">
        <v>4.46</v>
      </c>
      <c r="AK9" s="701">
        <v>4.46</v>
      </c>
      <c r="AL9" s="701">
        <v>4.45</v>
      </c>
      <c r="AM9" s="701">
        <v>4.4400000000000004</v>
      </c>
      <c r="AN9" s="701">
        <v>4.43</v>
      </c>
      <c r="AO9" s="701">
        <v>4.43</v>
      </c>
      <c r="AP9" s="701">
        <v>4.42</v>
      </c>
      <c r="AQ9" s="701">
        <v>4.42</v>
      </c>
      <c r="AR9" s="701">
        <v>4.41</v>
      </c>
      <c r="AS9" s="701">
        <v>4.41</v>
      </c>
      <c r="AT9" s="701">
        <v>4.4000000000000004</v>
      </c>
      <c r="AU9" s="701">
        <v>4.4000000000000004</v>
      </c>
      <c r="AV9" s="701">
        <v>4.4000000000000004</v>
      </c>
      <c r="AW9" s="701">
        <v>4.3899999999999997</v>
      </c>
      <c r="AX9" s="701">
        <v>4.3899999999999997</v>
      </c>
      <c r="AY9" s="701">
        <v>4.38</v>
      </c>
      <c r="BB9" s="369">
        <v>4.4800000000000004</v>
      </c>
    </row>
    <row r="10" spans="1:54">
      <c r="A10" s="115">
        <v>42063</v>
      </c>
      <c r="B10" s="369">
        <v>3.05</v>
      </c>
      <c r="C10" s="369">
        <v>3.15</v>
      </c>
      <c r="D10" s="369">
        <v>3.29</v>
      </c>
      <c r="E10" s="369">
        <v>3.44</v>
      </c>
      <c r="F10" s="369">
        <v>3.58</v>
      </c>
      <c r="G10" s="369">
        <v>3.72</v>
      </c>
      <c r="H10" s="369">
        <v>3.84</v>
      </c>
      <c r="I10" s="369">
        <v>3.96</v>
      </c>
      <c r="J10" s="369">
        <v>4.0599999999999996</v>
      </c>
      <c r="K10" s="369">
        <v>4.16</v>
      </c>
      <c r="L10" s="369">
        <v>4.24</v>
      </c>
      <c r="M10" s="369">
        <v>4.32</v>
      </c>
      <c r="N10" s="369">
        <v>4.38</v>
      </c>
      <c r="O10" s="369">
        <v>4.4400000000000004</v>
      </c>
      <c r="P10" s="459">
        <v>4.4800000000000004</v>
      </c>
      <c r="Q10" s="369">
        <v>4.51</v>
      </c>
      <c r="R10" s="369">
        <v>4.53</v>
      </c>
      <c r="S10" s="369">
        <v>4.55</v>
      </c>
      <c r="T10" s="369">
        <v>4.5599999999999996</v>
      </c>
      <c r="U10" s="369">
        <v>4.58</v>
      </c>
      <c r="V10" s="369">
        <v>4.57</v>
      </c>
      <c r="W10" s="369">
        <v>4.57</v>
      </c>
      <c r="X10" s="369">
        <v>4.5599999999999996</v>
      </c>
      <c r="Y10" s="369">
        <v>4.5599999999999996</v>
      </c>
      <c r="Z10" s="369">
        <v>4.55</v>
      </c>
      <c r="AA10" s="369">
        <v>4.54</v>
      </c>
      <c r="AB10" s="369">
        <v>4.5199999999999996</v>
      </c>
      <c r="AC10" s="369">
        <v>4.51</v>
      </c>
      <c r="AD10" s="369">
        <v>4.5</v>
      </c>
      <c r="AE10" s="369">
        <v>4.49</v>
      </c>
      <c r="AF10" s="369">
        <v>4.4800000000000004</v>
      </c>
      <c r="AG10" s="369">
        <v>4.47</v>
      </c>
      <c r="AH10" s="369">
        <v>4.46</v>
      </c>
      <c r="AI10" s="369">
        <v>4.45</v>
      </c>
      <c r="AJ10" s="369">
        <v>4.4400000000000004</v>
      </c>
      <c r="AK10" s="369">
        <v>4.43</v>
      </c>
      <c r="AL10" s="369">
        <v>4.42</v>
      </c>
      <c r="AM10" s="369">
        <v>4.41</v>
      </c>
      <c r="AN10" s="369">
        <v>4.41</v>
      </c>
      <c r="AO10" s="369">
        <v>4.4000000000000004</v>
      </c>
      <c r="AP10" s="369">
        <v>4.3899999999999997</v>
      </c>
      <c r="AQ10" s="369">
        <v>4.3899999999999997</v>
      </c>
      <c r="AR10" s="369">
        <v>4.3899999999999997</v>
      </c>
      <c r="AS10" s="369">
        <v>4.38</v>
      </c>
      <c r="AT10" s="369">
        <v>4.38</v>
      </c>
      <c r="AU10" s="369">
        <v>4.37</v>
      </c>
      <c r="AV10" s="369">
        <v>4.37</v>
      </c>
      <c r="AW10" s="369">
        <v>4.37</v>
      </c>
      <c r="AX10" s="369">
        <v>4.3600000000000003</v>
      </c>
      <c r="AY10" s="369">
        <v>4.3600000000000003</v>
      </c>
      <c r="BB10" s="369">
        <v>4.43</v>
      </c>
    </row>
    <row r="11" spans="1:54">
      <c r="A11" s="115">
        <v>42094</v>
      </c>
      <c r="B11" s="369">
        <v>3.03</v>
      </c>
      <c r="C11" s="369">
        <v>3.13</v>
      </c>
      <c r="D11" s="369">
        <v>3.26</v>
      </c>
      <c r="E11" s="369">
        <v>3.41</v>
      </c>
      <c r="F11" s="369">
        <v>3.56</v>
      </c>
      <c r="G11" s="369">
        <v>3.69</v>
      </c>
      <c r="H11" s="369">
        <v>3.82</v>
      </c>
      <c r="I11" s="369">
        <v>3.93</v>
      </c>
      <c r="J11" s="369">
        <v>4.04</v>
      </c>
      <c r="K11" s="369">
        <v>4.13</v>
      </c>
      <c r="L11" s="369">
        <v>4.22</v>
      </c>
      <c r="M11" s="369">
        <v>4.29</v>
      </c>
      <c r="N11" s="369">
        <v>4.3499999999999996</v>
      </c>
      <c r="O11" s="369">
        <v>4.41</v>
      </c>
      <c r="P11" s="459">
        <v>4.46</v>
      </c>
      <c r="Q11" s="369">
        <v>4.4800000000000004</v>
      </c>
      <c r="R11" s="369">
        <v>4.5</v>
      </c>
      <c r="S11" s="369">
        <v>4.5199999999999996</v>
      </c>
      <c r="T11" s="369">
        <v>4.54</v>
      </c>
      <c r="U11" s="369">
        <v>4.55</v>
      </c>
      <c r="V11" s="369">
        <v>4.54</v>
      </c>
      <c r="W11" s="369">
        <v>4.54</v>
      </c>
      <c r="X11" s="369">
        <v>4.53</v>
      </c>
      <c r="Y11" s="369">
        <v>4.53</v>
      </c>
      <c r="Z11" s="369">
        <v>4.5199999999999996</v>
      </c>
      <c r="AA11" s="369">
        <v>4.51</v>
      </c>
      <c r="AB11" s="369">
        <v>4.5</v>
      </c>
      <c r="AC11" s="369">
        <v>4.4800000000000004</v>
      </c>
      <c r="AD11" s="369">
        <v>4.47</v>
      </c>
      <c r="AE11" s="369">
        <v>4.46</v>
      </c>
      <c r="AF11" s="369">
        <v>4.45</v>
      </c>
      <c r="AG11" s="369">
        <v>4.4400000000000004</v>
      </c>
      <c r="AH11" s="369">
        <v>4.43</v>
      </c>
      <c r="AI11" s="369">
        <v>4.42</v>
      </c>
      <c r="AJ11" s="369">
        <v>4.41</v>
      </c>
      <c r="AK11" s="369">
        <v>4.4000000000000004</v>
      </c>
      <c r="AL11" s="369">
        <v>4.3899999999999997</v>
      </c>
      <c r="AM11" s="369">
        <v>4.38</v>
      </c>
      <c r="AN11" s="369">
        <v>4.38</v>
      </c>
      <c r="AO11" s="369">
        <v>4.37</v>
      </c>
      <c r="AP11" s="369">
        <v>4.37</v>
      </c>
      <c r="AQ11" s="369">
        <v>4.3600000000000003</v>
      </c>
      <c r="AR11" s="369">
        <v>4.3600000000000003</v>
      </c>
      <c r="AS11" s="369">
        <v>4.3499999999999996</v>
      </c>
      <c r="AT11" s="369">
        <v>4.3499999999999996</v>
      </c>
      <c r="AU11" s="369">
        <v>4.34</v>
      </c>
      <c r="AV11" s="369">
        <v>4.34</v>
      </c>
      <c r="AW11" s="369">
        <v>4.34</v>
      </c>
      <c r="AX11" s="369">
        <v>4.33</v>
      </c>
      <c r="AY11" s="369">
        <v>4.33</v>
      </c>
      <c r="BB11" s="369">
        <v>4.37</v>
      </c>
    </row>
    <row r="12" spans="1:54">
      <c r="A12" s="115">
        <v>42124</v>
      </c>
      <c r="B12" s="369">
        <v>3.02</v>
      </c>
      <c r="C12" s="369">
        <v>3.11</v>
      </c>
      <c r="D12" s="369">
        <v>3.24</v>
      </c>
      <c r="E12" s="369">
        <v>3.39</v>
      </c>
      <c r="F12" s="369">
        <v>3.53</v>
      </c>
      <c r="G12" s="369">
        <v>3.67</v>
      </c>
      <c r="H12" s="369">
        <v>3.8</v>
      </c>
      <c r="I12" s="369">
        <v>3.91</v>
      </c>
      <c r="J12" s="369">
        <v>4.01</v>
      </c>
      <c r="K12" s="369">
        <v>4.0999999999999996</v>
      </c>
      <c r="L12" s="369">
        <v>4.1900000000000004</v>
      </c>
      <c r="M12" s="369">
        <v>4.26</v>
      </c>
      <c r="N12" s="369">
        <v>4.33</v>
      </c>
      <c r="O12" s="369">
        <v>4.38</v>
      </c>
      <c r="P12" s="459">
        <v>4.43</v>
      </c>
      <c r="Q12" s="369">
        <v>4.45</v>
      </c>
      <c r="R12" s="369">
        <v>4.47</v>
      </c>
      <c r="S12" s="369">
        <v>4.49</v>
      </c>
      <c r="T12" s="369">
        <v>4.51</v>
      </c>
      <c r="U12" s="369">
        <v>4.53</v>
      </c>
      <c r="V12" s="369">
        <v>4.5199999999999996</v>
      </c>
      <c r="W12" s="369">
        <v>4.51</v>
      </c>
      <c r="X12" s="369">
        <v>4.51</v>
      </c>
      <c r="Y12" s="369">
        <v>4.5</v>
      </c>
      <c r="Z12" s="369">
        <v>4.5</v>
      </c>
      <c r="AA12" s="369">
        <v>4.4800000000000004</v>
      </c>
      <c r="AB12" s="369">
        <v>4.47</v>
      </c>
      <c r="AC12" s="369">
        <v>4.46</v>
      </c>
      <c r="AD12" s="369">
        <v>4.4400000000000004</v>
      </c>
      <c r="AE12" s="369">
        <v>4.43</v>
      </c>
      <c r="AF12" s="369">
        <v>4.42</v>
      </c>
      <c r="AG12" s="369">
        <v>4.41</v>
      </c>
      <c r="AH12" s="369">
        <v>4.4000000000000004</v>
      </c>
      <c r="AI12" s="369">
        <v>4.3899999999999997</v>
      </c>
      <c r="AJ12" s="369">
        <v>4.38</v>
      </c>
      <c r="AK12" s="369">
        <v>4.37</v>
      </c>
      <c r="AL12" s="369">
        <v>4.37</v>
      </c>
      <c r="AM12" s="369">
        <v>4.3600000000000003</v>
      </c>
      <c r="AN12" s="369">
        <v>4.3499999999999996</v>
      </c>
      <c r="AO12" s="369">
        <v>4.34</v>
      </c>
      <c r="AP12" s="369">
        <v>4.34</v>
      </c>
      <c r="AQ12" s="369">
        <v>4.33</v>
      </c>
      <c r="AR12" s="369">
        <v>4.33</v>
      </c>
      <c r="AS12" s="369">
        <v>4.32</v>
      </c>
      <c r="AT12" s="369">
        <v>4.32</v>
      </c>
      <c r="AU12" s="369">
        <v>4.32</v>
      </c>
      <c r="AV12" s="369">
        <v>4.3099999999999996</v>
      </c>
      <c r="AW12" s="369">
        <v>4.3099999999999996</v>
      </c>
      <c r="AX12" s="369">
        <v>4.3</v>
      </c>
      <c r="AY12" s="369">
        <v>4.3</v>
      </c>
      <c r="BB12" s="369">
        <v>4.3099999999999996</v>
      </c>
    </row>
    <row r="13" spans="1:54">
      <c r="A13" s="115">
        <v>42155</v>
      </c>
      <c r="B13" s="369">
        <v>3</v>
      </c>
      <c r="C13" s="369">
        <v>3.09</v>
      </c>
      <c r="D13" s="369">
        <v>3.23</v>
      </c>
      <c r="E13" s="369">
        <v>3.37</v>
      </c>
      <c r="F13" s="369">
        <v>3.51</v>
      </c>
      <c r="G13" s="369">
        <v>3.65</v>
      </c>
      <c r="H13" s="369">
        <v>3.78</v>
      </c>
      <c r="I13" s="369">
        <v>3.89</v>
      </c>
      <c r="J13" s="369">
        <v>3.99</v>
      </c>
      <c r="K13" s="369">
        <v>4.08</v>
      </c>
      <c r="L13" s="369">
        <v>4.17</v>
      </c>
      <c r="M13" s="369">
        <v>4.24</v>
      </c>
      <c r="N13" s="369">
        <v>4.3099999999999996</v>
      </c>
      <c r="O13" s="369">
        <v>4.3600000000000003</v>
      </c>
      <c r="P13" s="459">
        <v>4.41</v>
      </c>
      <c r="Q13" s="369">
        <v>4.43</v>
      </c>
      <c r="R13" s="369">
        <v>4.45</v>
      </c>
      <c r="S13" s="369">
        <v>4.47</v>
      </c>
      <c r="T13" s="369">
        <v>4.49</v>
      </c>
      <c r="U13" s="369">
        <v>4.5</v>
      </c>
      <c r="V13" s="369">
        <v>4.5</v>
      </c>
      <c r="W13" s="369">
        <v>4.49</v>
      </c>
      <c r="X13" s="369">
        <v>4.4800000000000004</v>
      </c>
      <c r="Y13" s="369">
        <v>4.4800000000000004</v>
      </c>
      <c r="Z13" s="369">
        <v>4.47</v>
      </c>
      <c r="AA13" s="369">
        <v>4.46</v>
      </c>
      <c r="AB13" s="369">
        <v>4.45</v>
      </c>
      <c r="AC13" s="369">
        <v>4.43</v>
      </c>
      <c r="AD13" s="369">
        <v>4.42</v>
      </c>
      <c r="AE13" s="369">
        <v>4.41</v>
      </c>
      <c r="AF13" s="369">
        <v>4.4000000000000004</v>
      </c>
      <c r="AG13" s="369">
        <v>4.3899999999999997</v>
      </c>
      <c r="AH13" s="369">
        <v>4.38</v>
      </c>
      <c r="AI13" s="369">
        <v>4.37</v>
      </c>
      <c r="AJ13" s="369">
        <v>4.3600000000000003</v>
      </c>
      <c r="AK13" s="369">
        <v>4.3499999999999996</v>
      </c>
      <c r="AL13" s="369">
        <v>4.34</v>
      </c>
      <c r="AM13" s="369">
        <v>4.34</v>
      </c>
      <c r="AN13" s="369">
        <v>4.33</v>
      </c>
      <c r="AO13" s="369">
        <v>4.32</v>
      </c>
      <c r="AP13" s="369">
        <v>4.32</v>
      </c>
      <c r="AQ13" s="369">
        <v>4.3099999999999996</v>
      </c>
      <c r="AR13" s="369">
        <v>4.3099999999999996</v>
      </c>
      <c r="AS13" s="369">
        <v>4.3</v>
      </c>
      <c r="AT13" s="369">
        <v>4.3</v>
      </c>
      <c r="AU13" s="369">
        <v>4.29</v>
      </c>
      <c r="AV13" s="369">
        <v>4.29</v>
      </c>
      <c r="AW13" s="369">
        <v>4.29</v>
      </c>
      <c r="AX13" s="369">
        <v>4.28</v>
      </c>
      <c r="AY13" s="369">
        <v>4.28</v>
      </c>
      <c r="BB13" s="369">
        <v>4.26</v>
      </c>
    </row>
    <row r="14" spans="1:54">
      <c r="A14" s="115">
        <v>42185</v>
      </c>
      <c r="B14" s="369">
        <v>2.99</v>
      </c>
      <c r="C14" s="369">
        <v>3.08</v>
      </c>
      <c r="D14" s="369">
        <v>3.21</v>
      </c>
      <c r="E14" s="369">
        <v>3.36</v>
      </c>
      <c r="F14" s="369">
        <v>3.5</v>
      </c>
      <c r="G14" s="369">
        <v>3.64</v>
      </c>
      <c r="H14" s="369">
        <v>3.76</v>
      </c>
      <c r="I14" s="369">
        <v>3.87</v>
      </c>
      <c r="J14" s="369">
        <v>3.98</v>
      </c>
      <c r="K14" s="369">
        <v>4.07</v>
      </c>
      <c r="L14" s="369">
        <v>4.16</v>
      </c>
      <c r="M14" s="369">
        <v>4.2300000000000004</v>
      </c>
      <c r="N14" s="369">
        <v>4.29</v>
      </c>
      <c r="O14" s="369">
        <v>4.3499999999999996</v>
      </c>
      <c r="P14" s="459">
        <v>4.3899999999999997</v>
      </c>
      <c r="Q14" s="369">
        <v>4.42</v>
      </c>
      <c r="R14" s="369">
        <v>4.4400000000000004</v>
      </c>
      <c r="S14" s="369">
        <v>4.46</v>
      </c>
      <c r="T14" s="369">
        <v>4.47</v>
      </c>
      <c r="U14" s="369">
        <v>4.49</v>
      </c>
      <c r="V14" s="369">
        <v>4.4800000000000004</v>
      </c>
      <c r="W14" s="369">
        <v>4.4800000000000004</v>
      </c>
      <c r="X14" s="369">
        <v>4.47</v>
      </c>
      <c r="Y14" s="369">
        <v>4.46</v>
      </c>
      <c r="Z14" s="369">
        <v>4.46</v>
      </c>
      <c r="AA14" s="369">
        <v>4.4400000000000004</v>
      </c>
      <c r="AB14" s="369">
        <v>4.43</v>
      </c>
      <c r="AC14" s="369">
        <v>4.42</v>
      </c>
      <c r="AD14" s="369">
        <v>4.41</v>
      </c>
      <c r="AE14" s="369">
        <v>4.3899999999999997</v>
      </c>
      <c r="AF14" s="369">
        <v>4.38</v>
      </c>
      <c r="AG14" s="369">
        <v>4.37</v>
      </c>
      <c r="AH14" s="369">
        <v>4.3600000000000003</v>
      </c>
      <c r="AI14" s="369">
        <v>4.3499999999999996</v>
      </c>
      <c r="AJ14" s="369">
        <v>4.34</v>
      </c>
      <c r="AK14" s="369">
        <v>4.34</v>
      </c>
      <c r="AL14" s="369">
        <v>4.33</v>
      </c>
      <c r="AM14" s="369">
        <v>4.32</v>
      </c>
      <c r="AN14" s="369">
        <v>4.3099999999999996</v>
      </c>
      <c r="AO14" s="369">
        <v>4.3099999999999996</v>
      </c>
      <c r="AP14" s="369">
        <v>4.3</v>
      </c>
      <c r="AQ14" s="369">
        <v>4.3</v>
      </c>
      <c r="AR14" s="369">
        <v>4.29</v>
      </c>
      <c r="AS14" s="369">
        <v>4.29</v>
      </c>
      <c r="AT14" s="369">
        <v>4.28</v>
      </c>
      <c r="AU14" s="369">
        <v>4.28</v>
      </c>
      <c r="AV14" s="369">
        <v>4.2699999999999996</v>
      </c>
      <c r="AW14" s="369">
        <v>4.2699999999999996</v>
      </c>
      <c r="AX14" s="369">
        <v>4.2699999999999996</v>
      </c>
      <c r="AY14" s="369">
        <v>4.26</v>
      </c>
      <c r="BB14" s="369">
        <v>4.21</v>
      </c>
    </row>
    <row r="15" spans="1:54">
      <c r="A15" s="115">
        <v>42216</v>
      </c>
      <c r="B15" s="369">
        <v>2.97</v>
      </c>
      <c r="C15" s="369">
        <v>3.06</v>
      </c>
      <c r="D15" s="369">
        <v>3.19</v>
      </c>
      <c r="E15" s="369">
        <v>3.34</v>
      </c>
      <c r="F15" s="369">
        <v>3.48</v>
      </c>
      <c r="G15" s="369">
        <v>3.62</v>
      </c>
      <c r="H15" s="369">
        <v>3.74</v>
      </c>
      <c r="I15" s="369">
        <v>3.86</v>
      </c>
      <c r="J15" s="369">
        <v>3.96</v>
      </c>
      <c r="K15" s="369">
        <v>4.05</v>
      </c>
      <c r="L15" s="369">
        <v>4.1399999999999997</v>
      </c>
      <c r="M15" s="369">
        <v>4.21</v>
      </c>
      <c r="N15" s="369">
        <v>4.28</v>
      </c>
      <c r="O15" s="369">
        <v>4.33</v>
      </c>
      <c r="P15" s="459">
        <v>4.38</v>
      </c>
      <c r="Q15" s="369">
        <v>4.4000000000000004</v>
      </c>
      <c r="R15" s="369">
        <v>4.42</v>
      </c>
      <c r="S15" s="369">
        <v>4.4400000000000004</v>
      </c>
      <c r="T15" s="369">
        <v>4.46</v>
      </c>
      <c r="U15" s="369">
        <v>4.47</v>
      </c>
      <c r="V15" s="369">
        <v>4.46</v>
      </c>
      <c r="W15" s="369">
        <v>4.46</v>
      </c>
      <c r="X15" s="369">
        <v>4.45</v>
      </c>
      <c r="Y15" s="369">
        <v>4.45</v>
      </c>
      <c r="Z15" s="369">
        <v>4.4400000000000004</v>
      </c>
      <c r="AA15" s="369">
        <v>4.43</v>
      </c>
      <c r="AB15" s="369">
        <v>4.41</v>
      </c>
      <c r="AC15" s="369">
        <v>4.4000000000000004</v>
      </c>
      <c r="AD15" s="369">
        <v>4.3899999999999997</v>
      </c>
      <c r="AE15" s="369">
        <v>4.38</v>
      </c>
      <c r="AF15" s="369">
        <v>4.37</v>
      </c>
      <c r="AG15" s="369">
        <v>4.3499999999999996</v>
      </c>
      <c r="AH15" s="369">
        <v>4.34</v>
      </c>
      <c r="AI15" s="369">
        <v>4.33</v>
      </c>
      <c r="AJ15" s="369">
        <v>4.33</v>
      </c>
      <c r="AK15" s="369">
        <v>4.32</v>
      </c>
      <c r="AL15" s="369">
        <v>4.3099999999999996</v>
      </c>
      <c r="AM15" s="369">
        <v>4.3</v>
      </c>
      <c r="AN15" s="369">
        <v>4.29</v>
      </c>
      <c r="AO15" s="369">
        <v>4.29</v>
      </c>
      <c r="AP15" s="369">
        <v>4.28</v>
      </c>
      <c r="AQ15" s="369">
        <v>4.28</v>
      </c>
      <c r="AR15" s="369">
        <v>4.2699999999999996</v>
      </c>
      <c r="AS15" s="369">
        <v>4.2699999999999996</v>
      </c>
      <c r="AT15" s="369">
        <v>4.26</v>
      </c>
      <c r="AU15" s="369">
        <v>4.26</v>
      </c>
      <c r="AV15" s="369">
        <v>4.25</v>
      </c>
      <c r="AW15" s="369">
        <v>4.25</v>
      </c>
      <c r="AX15" s="369">
        <v>4.25</v>
      </c>
      <c r="AY15" s="369">
        <v>4.24</v>
      </c>
      <c r="BB15" s="369">
        <v>4.17</v>
      </c>
    </row>
    <row r="16" spans="1:54">
      <c r="A16" s="115">
        <v>42247</v>
      </c>
      <c r="B16" s="369">
        <v>2.95</v>
      </c>
      <c r="C16" s="369">
        <v>3.05</v>
      </c>
      <c r="D16" s="369">
        <v>3.18</v>
      </c>
      <c r="E16" s="369">
        <v>3.33</v>
      </c>
      <c r="F16" s="369">
        <v>3.47</v>
      </c>
      <c r="G16" s="369">
        <v>3.61</v>
      </c>
      <c r="H16" s="369">
        <v>3.73</v>
      </c>
      <c r="I16" s="369">
        <v>3.84</v>
      </c>
      <c r="J16" s="369">
        <v>3.94</v>
      </c>
      <c r="K16" s="369">
        <v>4.04</v>
      </c>
      <c r="L16" s="369">
        <v>4.13</v>
      </c>
      <c r="M16" s="369">
        <v>4.2</v>
      </c>
      <c r="N16" s="369">
        <v>4.26</v>
      </c>
      <c r="O16" s="369">
        <v>4.32</v>
      </c>
      <c r="P16" s="459">
        <v>4.3600000000000003</v>
      </c>
      <c r="Q16" s="369">
        <v>4.3899999999999997</v>
      </c>
      <c r="R16" s="369">
        <v>4.41</v>
      </c>
      <c r="S16" s="369">
        <v>4.43</v>
      </c>
      <c r="T16" s="369">
        <v>4.4400000000000004</v>
      </c>
      <c r="U16" s="369">
        <v>4.46</v>
      </c>
      <c r="V16" s="369">
        <v>4.45</v>
      </c>
      <c r="W16" s="369">
        <v>4.4400000000000004</v>
      </c>
      <c r="X16" s="369">
        <v>4.4400000000000004</v>
      </c>
      <c r="Y16" s="369">
        <v>4.43</v>
      </c>
      <c r="Z16" s="369">
        <v>4.43</v>
      </c>
      <c r="AA16" s="369">
        <v>4.41</v>
      </c>
      <c r="AB16" s="369">
        <v>4.4000000000000004</v>
      </c>
      <c r="AC16" s="369">
        <v>4.3899999999999997</v>
      </c>
      <c r="AD16" s="369">
        <v>4.37</v>
      </c>
      <c r="AE16" s="369">
        <v>4.3600000000000003</v>
      </c>
      <c r="AF16" s="369">
        <v>4.3499999999999996</v>
      </c>
      <c r="AG16" s="369">
        <v>4.34</v>
      </c>
      <c r="AH16" s="369">
        <v>4.33</v>
      </c>
      <c r="AI16" s="369">
        <v>4.32</v>
      </c>
      <c r="AJ16" s="369">
        <v>4.3099999999999996</v>
      </c>
      <c r="AK16" s="369">
        <v>4.3</v>
      </c>
      <c r="AL16" s="369">
        <v>4.29</v>
      </c>
      <c r="AM16" s="369">
        <v>4.29</v>
      </c>
      <c r="AN16" s="369">
        <v>4.28</v>
      </c>
      <c r="AO16" s="369">
        <v>4.2699999999999996</v>
      </c>
      <c r="AP16" s="369">
        <v>4.2699999999999996</v>
      </c>
      <c r="AQ16" s="369">
        <v>4.26</v>
      </c>
      <c r="AR16" s="369">
        <v>4.26</v>
      </c>
      <c r="AS16" s="369">
        <v>4.25</v>
      </c>
      <c r="AT16" s="369">
        <v>4.25</v>
      </c>
      <c r="AU16" s="369">
        <v>4.24</v>
      </c>
      <c r="AV16" s="369">
        <v>4.24</v>
      </c>
      <c r="AW16" s="369">
        <v>4.24</v>
      </c>
      <c r="AX16" s="369">
        <v>4.2300000000000004</v>
      </c>
      <c r="AY16" s="369">
        <v>4.2300000000000004</v>
      </c>
      <c r="BB16" s="369">
        <v>4.12</v>
      </c>
    </row>
    <row r="17" spans="1:54">
      <c r="A17" s="115">
        <v>42277</v>
      </c>
      <c r="B17" s="369">
        <v>2.94</v>
      </c>
      <c r="C17" s="369">
        <v>3.03</v>
      </c>
      <c r="D17" s="369">
        <v>3.16</v>
      </c>
      <c r="E17" s="369">
        <v>3.31</v>
      </c>
      <c r="F17" s="369">
        <v>3.45</v>
      </c>
      <c r="G17" s="369">
        <v>3.59</v>
      </c>
      <c r="H17" s="369">
        <v>3.71</v>
      </c>
      <c r="I17" s="369">
        <v>3.83</v>
      </c>
      <c r="J17" s="369">
        <v>3.93</v>
      </c>
      <c r="K17" s="369">
        <v>4.0199999999999996</v>
      </c>
      <c r="L17" s="369">
        <v>4.1100000000000003</v>
      </c>
      <c r="M17" s="369">
        <v>4.1900000000000004</v>
      </c>
      <c r="N17" s="369">
        <v>4.25</v>
      </c>
      <c r="O17" s="369">
        <v>4.3</v>
      </c>
      <c r="P17" s="459">
        <v>4.3499999999999996</v>
      </c>
      <c r="Q17" s="369">
        <v>4.37</v>
      </c>
      <c r="R17" s="369">
        <v>4.3899999999999997</v>
      </c>
      <c r="S17" s="369">
        <v>4.41</v>
      </c>
      <c r="T17" s="369">
        <v>4.43</v>
      </c>
      <c r="U17" s="369">
        <v>4.4400000000000004</v>
      </c>
      <c r="V17" s="369">
        <v>4.4400000000000004</v>
      </c>
      <c r="W17" s="369">
        <v>4.43</v>
      </c>
      <c r="X17" s="369">
        <v>4.42</v>
      </c>
      <c r="Y17" s="369">
        <v>4.42</v>
      </c>
      <c r="Z17" s="369">
        <v>4.41</v>
      </c>
      <c r="AA17" s="369">
        <v>4.4000000000000004</v>
      </c>
      <c r="AB17" s="369">
        <v>4.38</v>
      </c>
      <c r="AC17" s="369">
        <v>4.37</v>
      </c>
      <c r="AD17" s="369">
        <v>4.3600000000000003</v>
      </c>
      <c r="AE17" s="369">
        <v>4.3499999999999996</v>
      </c>
      <c r="AF17" s="369">
        <v>4.34</v>
      </c>
      <c r="AG17" s="369">
        <v>4.33</v>
      </c>
      <c r="AH17" s="369">
        <v>4.32</v>
      </c>
      <c r="AI17" s="369">
        <v>4.3099999999999996</v>
      </c>
      <c r="AJ17" s="369">
        <v>4.3</v>
      </c>
      <c r="AK17" s="369">
        <v>4.29</v>
      </c>
      <c r="AL17" s="369">
        <v>4.28</v>
      </c>
      <c r="AM17" s="369">
        <v>4.2699999999999996</v>
      </c>
      <c r="AN17" s="369">
        <v>4.2699999999999996</v>
      </c>
      <c r="AO17" s="369">
        <v>4.26</v>
      </c>
      <c r="AP17" s="369">
        <v>4.25</v>
      </c>
      <c r="AQ17" s="369">
        <v>4.25</v>
      </c>
      <c r="AR17" s="369">
        <v>4.24</v>
      </c>
      <c r="AS17" s="369">
        <v>4.24</v>
      </c>
      <c r="AT17" s="369">
        <v>4.2300000000000004</v>
      </c>
      <c r="AU17" s="369">
        <v>4.2300000000000004</v>
      </c>
      <c r="AV17" s="369">
        <v>4.2300000000000004</v>
      </c>
      <c r="AW17" s="369">
        <v>4.22</v>
      </c>
      <c r="AX17" s="369">
        <v>4.22</v>
      </c>
      <c r="AY17" s="369">
        <v>4.21</v>
      </c>
      <c r="BB17" s="369">
        <v>4.07</v>
      </c>
    </row>
    <row r="18" spans="1:54">
      <c r="A18" s="115">
        <v>42308</v>
      </c>
      <c r="B18" s="369">
        <v>2.92</v>
      </c>
      <c r="C18" s="369">
        <v>3.01</v>
      </c>
      <c r="D18" s="369">
        <v>3.14</v>
      </c>
      <c r="E18" s="369">
        <v>3.29</v>
      </c>
      <c r="F18" s="369">
        <v>3.43</v>
      </c>
      <c r="G18" s="369">
        <v>3.57</v>
      </c>
      <c r="H18" s="369">
        <v>3.7</v>
      </c>
      <c r="I18" s="369">
        <v>3.81</v>
      </c>
      <c r="J18" s="369">
        <v>3.91</v>
      </c>
      <c r="K18" s="369">
        <v>4.01</v>
      </c>
      <c r="L18" s="369">
        <v>4.0999999999999996</v>
      </c>
      <c r="M18" s="369">
        <v>4.17</v>
      </c>
      <c r="N18" s="369">
        <v>4.2300000000000004</v>
      </c>
      <c r="O18" s="369">
        <v>4.29</v>
      </c>
      <c r="P18" s="459">
        <v>4.33</v>
      </c>
      <c r="Q18" s="369">
        <v>4.3600000000000003</v>
      </c>
      <c r="R18" s="369">
        <v>4.38</v>
      </c>
      <c r="S18" s="369">
        <v>4.4000000000000004</v>
      </c>
      <c r="T18" s="369">
        <v>4.41</v>
      </c>
      <c r="U18" s="369">
        <v>4.43</v>
      </c>
      <c r="V18" s="369">
        <v>4.42</v>
      </c>
      <c r="W18" s="369">
        <v>4.41</v>
      </c>
      <c r="X18" s="369">
        <v>4.41</v>
      </c>
      <c r="Y18" s="369">
        <v>4.4000000000000004</v>
      </c>
      <c r="Z18" s="369">
        <v>4.4000000000000004</v>
      </c>
      <c r="AA18" s="369">
        <v>4.38</v>
      </c>
      <c r="AB18" s="369">
        <v>4.37</v>
      </c>
      <c r="AC18" s="369">
        <v>4.3600000000000003</v>
      </c>
      <c r="AD18" s="369">
        <v>4.34</v>
      </c>
      <c r="AE18" s="369">
        <v>4.33</v>
      </c>
      <c r="AF18" s="369">
        <v>4.32</v>
      </c>
      <c r="AG18" s="369">
        <v>4.3099999999999996</v>
      </c>
      <c r="AH18" s="369">
        <v>4.3</v>
      </c>
      <c r="AI18" s="369">
        <v>4.29</v>
      </c>
      <c r="AJ18" s="369">
        <v>4.28</v>
      </c>
      <c r="AK18" s="369">
        <v>4.2699999999999996</v>
      </c>
      <c r="AL18" s="369">
        <v>4.26</v>
      </c>
      <c r="AM18" s="369">
        <v>4.26</v>
      </c>
      <c r="AN18" s="369">
        <v>4.25</v>
      </c>
      <c r="AO18" s="369">
        <v>4.24</v>
      </c>
      <c r="AP18" s="369">
        <v>4.24</v>
      </c>
      <c r="AQ18" s="369">
        <v>4.2300000000000004</v>
      </c>
      <c r="AR18" s="369">
        <v>4.2300000000000004</v>
      </c>
      <c r="AS18" s="369">
        <v>4.22</v>
      </c>
      <c r="AT18" s="369">
        <v>4.22</v>
      </c>
      <c r="AU18" s="369">
        <v>4.21</v>
      </c>
      <c r="AV18" s="369">
        <v>4.21</v>
      </c>
      <c r="AW18" s="369">
        <v>4.21</v>
      </c>
      <c r="AX18" s="369">
        <v>4.2</v>
      </c>
      <c r="AY18" s="369">
        <v>4.2</v>
      </c>
      <c r="BB18" s="369">
        <v>4</v>
      </c>
    </row>
    <row r="19" spans="1:54">
      <c r="A19" s="115">
        <v>42338</v>
      </c>
      <c r="B19" s="369">
        <v>2.9</v>
      </c>
      <c r="C19" s="369">
        <v>2.99</v>
      </c>
      <c r="D19" s="369">
        <v>3.12</v>
      </c>
      <c r="E19" s="369">
        <v>3.27</v>
      </c>
      <c r="F19" s="369">
        <v>3.41</v>
      </c>
      <c r="G19" s="369">
        <v>3.55</v>
      </c>
      <c r="H19" s="369">
        <v>3.68</v>
      </c>
      <c r="I19" s="369">
        <v>3.79</v>
      </c>
      <c r="J19" s="369">
        <v>3.89</v>
      </c>
      <c r="K19" s="369">
        <v>3.99</v>
      </c>
      <c r="L19" s="369">
        <v>4.08</v>
      </c>
      <c r="M19" s="369">
        <v>4.1500000000000004</v>
      </c>
      <c r="N19" s="369">
        <v>4.22</v>
      </c>
      <c r="O19" s="369">
        <v>4.2699999999999996</v>
      </c>
      <c r="P19" s="459">
        <v>4.32</v>
      </c>
      <c r="Q19" s="369">
        <v>4.34</v>
      </c>
      <c r="R19" s="369">
        <v>4.3600000000000003</v>
      </c>
      <c r="S19" s="369">
        <v>4.38</v>
      </c>
      <c r="T19" s="369">
        <v>4.4000000000000004</v>
      </c>
      <c r="U19" s="369">
        <v>4.41</v>
      </c>
      <c r="V19" s="369">
        <v>4.41</v>
      </c>
      <c r="W19" s="369">
        <v>4.4000000000000004</v>
      </c>
      <c r="X19" s="369">
        <v>4.3899999999999997</v>
      </c>
      <c r="Y19" s="369">
        <v>4.3899999999999997</v>
      </c>
      <c r="Z19" s="369">
        <v>4.38</v>
      </c>
      <c r="AA19" s="369">
        <v>4.37</v>
      </c>
      <c r="AB19" s="369">
        <v>4.3499999999999996</v>
      </c>
      <c r="AC19" s="369">
        <v>4.34</v>
      </c>
      <c r="AD19" s="369">
        <v>4.33</v>
      </c>
      <c r="AE19" s="369">
        <v>4.32</v>
      </c>
      <c r="AF19" s="369">
        <v>4.3</v>
      </c>
      <c r="AG19" s="369">
        <v>4.29</v>
      </c>
      <c r="AH19" s="369">
        <v>4.28</v>
      </c>
      <c r="AI19" s="369">
        <v>4.2699999999999996</v>
      </c>
      <c r="AJ19" s="369">
        <v>4.2699999999999996</v>
      </c>
      <c r="AK19" s="369">
        <v>4.26</v>
      </c>
      <c r="AL19" s="369">
        <v>4.25</v>
      </c>
      <c r="AM19" s="369">
        <v>4.24</v>
      </c>
      <c r="AN19" s="369">
        <v>4.2300000000000004</v>
      </c>
      <c r="AO19" s="369">
        <v>4.2300000000000004</v>
      </c>
      <c r="AP19" s="369">
        <v>4.22</v>
      </c>
      <c r="AQ19" s="369">
        <v>4.22</v>
      </c>
      <c r="AR19" s="369">
        <v>4.21</v>
      </c>
      <c r="AS19" s="369">
        <v>4.21</v>
      </c>
      <c r="AT19" s="369">
        <v>4.2</v>
      </c>
      <c r="AU19" s="369">
        <v>4.2</v>
      </c>
      <c r="AV19" s="369">
        <v>4.1900000000000004</v>
      </c>
      <c r="AW19" s="369">
        <v>4.1900000000000004</v>
      </c>
      <c r="AX19" s="369">
        <v>4.1900000000000004</v>
      </c>
      <c r="AY19" s="369">
        <v>4.18</v>
      </c>
      <c r="BB19" s="369">
        <v>3.94</v>
      </c>
    </row>
    <row r="20" spans="1:54">
      <c r="A20" s="115">
        <v>42369</v>
      </c>
      <c r="B20" s="369">
        <v>2.89</v>
      </c>
      <c r="C20" s="369">
        <v>2.97</v>
      </c>
      <c r="D20" s="369">
        <v>3.1</v>
      </c>
      <c r="E20" s="369">
        <v>3.25</v>
      </c>
      <c r="F20" s="369">
        <v>3.39</v>
      </c>
      <c r="G20" s="369">
        <v>3.53</v>
      </c>
      <c r="H20" s="369">
        <v>3.66</v>
      </c>
      <c r="I20" s="369">
        <v>3.78</v>
      </c>
      <c r="J20" s="369">
        <v>3.88</v>
      </c>
      <c r="K20" s="369">
        <v>3.97</v>
      </c>
      <c r="L20" s="369">
        <v>4.0599999999999996</v>
      </c>
      <c r="M20" s="369">
        <v>4.1399999999999997</v>
      </c>
      <c r="N20" s="369">
        <v>4.2</v>
      </c>
      <c r="O20" s="369">
        <v>4.26</v>
      </c>
      <c r="P20" s="459">
        <v>4.3099999999999996</v>
      </c>
      <c r="Q20" s="369">
        <v>4.33</v>
      </c>
      <c r="R20" s="369">
        <v>4.3499999999999996</v>
      </c>
      <c r="S20" s="369">
        <v>4.37</v>
      </c>
      <c r="T20" s="369">
        <v>4.3899999999999997</v>
      </c>
      <c r="U20" s="369">
        <v>4.4000000000000004</v>
      </c>
      <c r="V20" s="369">
        <v>4.3899999999999997</v>
      </c>
      <c r="W20" s="369">
        <v>4.3899999999999997</v>
      </c>
      <c r="X20" s="369">
        <v>4.38</v>
      </c>
      <c r="Y20" s="369">
        <v>4.37</v>
      </c>
      <c r="Z20" s="369">
        <v>4.37</v>
      </c>
      <c r="AA20" s="369">
        <v>4.3499999999999996</v>
      </c>
      <c r="AB20" s="369">
        <v>4.34</v>
      </c>
      <c r="AC20" s="369">
        <v>4.33</v>
      </c>
      <c r="AD20" s="369">
        <v>4.32</v>
      </c>
      <c r="AE20" s="369">
        <v>4.3</v>
      </c>
      <c r="AF20" s="369">
        <v>4.29</v>
      </c>
      <c r="AG20" s="369">
        <v>4.28</v>
      </c>
      <c r="AH20" s="369">
        <v>4.2699999999999996</v>
      </c>
      <c r="AI20" s="369">
        <v>4.26</v>
      </c>
      <c r="AJ20" s="369">
        <v>4.25</v>
      </c>
      <c r="AK20" s="369">
        <v>4.24</v>
      </c>
      <c r="AL20" s="369">
        <v>4.24</v>
      </c>
      <c r="AM20" s="369">
        <v>4.2300000000000004</v>
      </c>
      <c r="AN20" s="369">
        <v>4.22</v>
      </c>
      <c r="AO20" s="369">
        <v>4.21</v>
      </c>
      <c r="AP20" s="369">
        <v>4.21</v>
      </c>
      <c r="AQ20" s="369">
        <v>4.2</v>
      </c>
      <c r="AR20" s="369">
        <v>4.2</v>
      </c>
      <c r="AS20" s="369">
        <v>4.1900000000000004</v>
      </c>
      <c r="AT20" s="369">
        <v>4.1900000000000004</v>
      </c>
      <c r="AU20" s="369">
        <v>4.18</v>
      </c>
      <c r="AV20" s="369">
        <v>4.18</v>
      </c>
      <c r="AW20" s="369">
        <v>4.18</v>
      </c>
      <c r="AX20" s="369">
        <v>4.17</v>
      </c>
      <c r="AY20" s="369">
        <v>4.17</v>
      </c>
      <c r="BB20" s="369">
        <v>3.89</v>
      </c>
    </row>
    <row r="21" spans="1:54">
      <c r="A21" s="115">
        <v>42400</v>
      </c>
      <c r="B21" s="369">
        <v>2.87</v>
      </c>
      <c r="C21" s="369">
        <v>2.95</v>
      </c>
      <c r="D21" s="369">
        <v>3.08</v>
      </c>
      <c r="E21" s="369">
        <v>3.23</v>
      </c>
      <c r="F21" s="369">
        <v>3.37</v>
      </c>
      <c r="G21" s="369">
        <v>3.51</v>
      </c>
      <c r="H21" s="369">
        <v>3.64</v>
      </c>
      <c r="I21" s="369">
        <v>3.75</v>
      </c>
      <c r="J21" s="369">
        <v>3.86</v>
      </c>
      <c r="K21" s="369">
        <v>3.96</v>
      </c>
      <c r="L21" s="369">
        <v>4.04</v>
      </c>
      <c r="M21" s="369">
        <v>4.12</v>
      </c>
      <c r="N21" s="369">
        <v>4.18</v>
      </c>
      <c r="O21" s="369">
        <v>4.24</v>
      </c>
      <c r="P21" s="459">
        <v>4.29</v>
      </c>
      <c r="Q21" s="369">
        <v>4.3099999999999996</v>
      </c>
      <c r="R21" s="369">
        <v>4.33</v>
      </c>
      <c r="S21" s="369">
        <v>4.3499999999999996</v>
      </c>
      <c r="T21" s="369">
        <v>4.37</v>
      </c>
      <c r="U21" s="369">
        <v>4.38</v>
      </c>
      <c r="V21" s="369">
        <v>4.38</v>
      </c>
      <c r="W21" s="369">
        <v>4.37</v>
      </c>
      <c r="X21" s="369">
        <v>4.3600000000000003</v>
      </c>
      <c r="Y21" s="369">
        <v>4.3600000000000003</v>
      </c>
      <c r="Z21" s="369">
        <v>4.3499999999999996</v>
      </c>
      <c r="AA21" s="369">
        <v>4.34</v>
      </c>
      <c r="AB21" s="369">
        <v>4.32</v>
      </c>
      <c r="AC21" s="369">
        <v>4.3099999999999996</v>
      </c>
      <c r="AD21" s="369">
        <v>4.3</v>
      </c>
      <c r="AE21" s="369">
        <v>4.29</v>
      </c>
      <c r="AF21" s="369">
        <v>4.28</v>
      </c>
      <c r="AG21" s="369">
        <v>4.26</v>
      </c>
      <c r="AH21" s="369">
        <v>4.25</v>
      </c>
      <c r="AI21" s="369">
        <v>4.24</v>
      </c>
      <c r="AJ21" s="369">
        <v>4.24</v>
      </c>
      <c r="AK21" s="369">
        <v>4.2300000000000004</v>
      </c>
      <c r="AL21" s="369">
        <v>4.22</v>
      </c>
      <c r="AM21" s="369">
        <v>4.21</v>
      </c>
      <c r="AN21" s="369">
        <v>4.2</v>
      </c>
      <c r="AO21" s="369">
        <v>4.2</v>
      </c>
      <c r="AP21" s="369">
        <v>4.1900000000000004</v>
      </c>
      <c r="AQ21" s="369">
        <v>4.1900000000000004</v>
      </c>
      <c r="AR21" s="369">
        <v>4.18</v>
      </c>
      <c r="AS21" s="369">
        <v>4.18</v>
      </c>
      <c r="AT21" s="369">
        <v>4.17</v>
      </c>
      <c r="AU21" s="369">
        <v>4.17</v>
      </c>
      <c r="AV21" s="369">
        <v>4.16</v>
      </c>
      <c r="AW21" s="369">
        <v>4.16</v>
      </c>
      <c r="AX21" s="369">
        <v>4.16</v>
      </c>
      <c r="AY21" s="369">
        <v>4.1500000000000004</v>
      </c>
      <c r="BB21" s="369">
        <v>3.83</v>
      </c>
    </row>
    <row r="22" spans="1:54">
      <c r="A22" s="115">
        <v>42429</v>
      </c>
      <c r="B22" s="369">
        <v>2.84</v>
      </c>
      <c r="C22" s="369">
        <v>2.93</v>
      </c>
      <c r="D22" s="369">
        <v>3.06</v>
      </c>
      <c r="E22" s="369">
        <v>3.2</v>
      </c>
      <c r="F22" s="369">
        <v>3.35</v>
      </c>
      <c r="G22" s="369">
        <v>3.49</v>
      </c>
      <c r="H22" s="369">
        <v>3.62</v>
      </c>
      <c r="I22" s="369">
        <v>3.73</v>
      </c>
      <c r="J22" s="369">
        <v>3.84</v>
      </c>
      <c r="K22" s="369">
        <v>3.93</v>
      </c>
      <c r="L22" s="369">
        <v>4.0199999999999996</v>
      </c>
      <c r="M22" s="369">
        <v>4.0999999999999996</v>
      </c>
      <c r="N22" s="369">
        <v>4.16</v>
      </c>
      <c r="O22" s="369">
        <v>4.22</v>
      </c>
      <c r="P22" s="459">
        <v>4.2699999999999996</v>
      </c>
      <c r="Q22" s="369">
        <v>4.29</v>
      </c>
      <c r="R22" s="369">
        <v>4.3099999999999996</v>
      </c>
      <c r="S22" s="369">
        <v>4.33</v>
      </c>
      <c r="T22" s="369">
        <v>4.3499999999999996</v>
      </c>
      <c r="U22" s="369">
        <v>4.3600000000000003</v>
      </c>
      <c r="V22" s="369">
        <v>4.3600000000000003</v>
      </c>
      <c r="W22" s="369">
        <v>4.3499999999999996</v>
      </c>
      <c r="X22" s="369">
        <v>4.34</v>
      </c>
      <c r="Y22" s="369">
        <v>4.34</v>
      </c>
      <c r="Z22" s="369">
        <v>4.33</v>
      </c>
      <c r="AA22" s="369">
        <v>4.32</v>
      </c>
      <c r="AB22" s="369">
        <v>4.3</v>
      </c>
      <c r="AC22" s="369">
        <v>4.29</v>
      </c>
      <c r="AD22" s="369">
        <v>4.28</v>
      </c>
      <c r="AE22" s="369">
        <v>4.2699999999999996</v>
      </c>
      <c r="AF22" s="369">
        <v>4.26</v>
      </c>
      <c r="AG22" s="369">
        <v>4.24</v>
      </c>
      <c r="AH22" s="369">
        <v>4.2300000000000004</v>
      </c>
      <c r="AI22" s="369">
        <v>4.2300000000000004</v>
      </c>
      <c r="AJ22" s="369">
        <v>4.22</v>
      </c>
      <c r="AK22" s="369">
        <v>4.21</v>
      </c>
      <c r="AL22" s="369">
        <v>4.2</v>
      </c>
      <c r="AM22" s="369">
        <v>4.1900000000000004</v>
      </c>
      <c r="AN22" s="369">
        <v>4.18</v>
      </c>
      <c r="AO22" s="369">
        <v>4.18</v>
      </c>
      <c r="AP22" s="369">
        <v>4.17</v>
      </c>
      <c r="AQ22" s="369">
        <v>4.17</v>
      </c>
      <c r="AR22" s="369">
        <v>4.16</v>
      </c>
      <c r="AS22" s="369">
        <v>4.16</v>
      </c>
      <c r="AT22" s="369">
        <v>4.1500000000000004</v>
      </c>
      <c r="AU22" s="369">
        <v>4.1500000000000004</v>
      </c>
      <c r="AV22" s="369">
        <v>4.1399999999999997</v>
      </c>
      <c r="AW22" s="369">
        <v>4.1399999999999997</v>
      </c>
      <c r="AX22" s="369">
        <v>4.1399999999999997</v>
      </c>
      <c r="AY22" s="369">
        <v>4.13</v>
      </c>
      <c r="BB22" s="369">
        <v>3.76</v>
      </c>
    </row>
    <row r="23" spans="1:54">
      <c r="A23" s="115">
        <v>42460</v>
      </c>
      <c r="B23" s="369">
        <v>2.82</v>
      </c>
      <c r="C23" s="369">
        <v>2.9</v>
      </c>
      <c r="D23" s="369">
        <v>3.03</v>
      </c>
      <c r="E23" s="369">
        <v>3.18</v>
      </c>
      <c r="F23" s="369">
        <v>3.32</v>
      </c>
      <c r="G23" s="369">
        <v>3.46</v>
      </c>
      <c r="H23" s="369">
        <v>3.59</v>
      </c>
      <c r="I23" s="369">
        <v>3.71</v>
      </c>
      <c r="J23" s="369">
        <v>3.81</v>
      </c>
      <c r="K23" s="369">
        <v>3.91</v>
      </c>
      <c r="L23" s="369">
        <v>4</v>
      </c>
      <c r="M23" s="369">
        <v>4.08</v>
      </c>
      <c r="N23" s="369">
        <v>4.1399999999999997</v>
      </c>
      <c r="O23" s="369">
        <v>4.2</v>
      </c>
      <c r="P23" s="459">
        <v>4.24</v>
      </c>
      <c r="Q23" s="369">
        <v>4.2699999999999996</v>
      </c>
      <c r="R23" s="369">
        <v>4.29</v>
      </c>
      <c r="S23" s="369">
        <v>4.3099999999999996</v>
      </c>
      <c r="T23" s="369">
        <v>4.33</v>
      </c>
      <c r="U23" s="369">
        <v>4.34</v>
      </c>
      <c r="V23" s="369">
        <v>4.33</v>
      </c>
      <c r="W23" s="369">
        <v>4.33</v>
      </c>
      <c r="X23" s="369">
        <v>4.32</v>
      </c>
      <c r="Y23" s="369">
        <v>4.32</v>
      </c>
      <c r="Z23" s="369">
        <v>4.3099999999999996</v>
      </c>
      <c r="AA23" s="369">
        <v>4.3</v>
      </c>
      <c r="AB23" s="369">
        <v>4.28</v>
      </c>
      <c r="AC23" s="369">
        <v>4.2699999999999996</v>
      </c>
      <c r="AD23" s="369">
        <v>4.26</v>
      </c>
      <c r="AE23" s="369">
        <v>4.24</v>
      </c>
      <c r="AF23" s="369">
        <v>4.2300000000000004</v>
      </c>
      <c r="AG23" s="369">
        <v>4.22</v>
      </c>
      <c r="AH23" s="369">
        <v>4.21</v>
      </c>
      <c r="AI23" s="369">
        <v>4.2</v>
      </c>
      <c r="AJ23" s="369">
        <v>4.1900000000000004</v>
      </c>
      <c r="AK23" s="369">
        <v>4.18</v>
      </c>
      <c r="AL23" s="369">
        <v>4.18</v>
      </c>
      <c r="AM23" s="369">
        <v>4.17</v>
      </c>
      <c r="AN23" s="369">
        <v>4.16</v>
      </c>
      <c r="AO23" s="369">
        <v>4.1500000000000004</v>
      </c>
      <c r="AP23" s="369">
        <v>4.1500000000000004</v>
      </c>
      <c r="AQ23" s="369">
        <v>4.1399999999999997</v>
      </c>
      <c r="AR23" s="369">
        <v>4.1399999999999997</v>
      </c>
      <c r="AS23" s="369">
        <v>4.13</v>
      </c>
      <c r="AT23" s="369">
        <v>4.13</v>
      </c>
      <c r="AU23" s="369">
        <v>4.12</v>
      </c>
      <c r="AV23" s="369">
        <v>4.12</v>
      </c>
      <c r="AW23" s="369">
        <v>4.12</v>
      </c>
      <c r="AX23" s="369">
        <v>4.1100000000000003</v>
      </c>
      <c r="AY23" s="369">
        <v>4.1100000000000003</v>
      </c>
      <c r="BB23" s="369">
        <v>3.7</v>
      </c>
    </row>
    <row r="24" spans="1:54">
      <c r="A24" s="115">
        <v>42490</v>
      </c>
      <c r="B24" s="369">
        <v>2.79</v>
      </c>
      <c r="C24" s="369">
        <v>2.87</v>
      </c>
      <c r="D24" s="369">
        <v>3</v>
      </c>
      <c r="E24" s="369">
        <v>3.15</v>
      </c>
      <c r="F24" s="369">
        <v>3.29</v>
      </c>
      <c r="G24" s="369">
        <v>3.44</v>
      </c>
      <c r="H24" s="369">
        <v>3.56</v>
      </c>
      <c r="I24" s="369">
        <v>3.68</v>
      </c>
      <c r="J24" s="369">
        <v>3.79</v>
      </c>
      <c r="K24" s="369">
        <v>3.88</v>
      </c>
      <c r="L24" s="369">
        <v>3.97</v>
      </c>
      <c r="M24" s="369">
        <v>4.05</v>
      </c>
      <c r="N24" s="369">
        <v>4.12</v>
      </c>
      <c r="O24" s="369">
        <v>4.17</v>
      </c>
      <c r="P24" s="459">
        <v>4.22</v>
      </c>
      <c r="Q24" s="369">
        <v>4.24</v>
      </c>
      <c r="R24" s="369">
        <v>4.2699999999999996</v>
      </c>
      <c r="S24" s="369">
        <v>4.29</v>
      </c>
      <c r="T24" s="369">
        <v>4.3</v>
      </c>
      <c r="U24" s="369">
        <v>4.32</v>
      </c>
      <c r="V24" s="369">
        <v>4.3099999999999996</v>
      </c>
      <c r="W24" s="369">
        <v>4.3</v>
      </c>
      <c r="X24" s="369">
        <v>4.3</v>
      </c>
      <c r="Y24" s="369">
        <v>4.29</v>
      </c>
      <c r="Z24" s="369">
        <v>4.29</v>
      </c>
      <c r="AA24" s="369">
        <v>4.2699999999999996</v>
      </c>
      <c r="AB24" s="369">
        <v>4.26</v>
      </c>
      <c r="AC24" s="369">
        <v>4.24</v>
      </c>
      <c r="AD24" s="369">
        <v>4.2300000000000004</v>
      </c>
      <c r="AE24" s="369">
        <v>4.22</v>
      </c>
      <c r="AF24" s="369">
        <v>4.21</v>
      </c>
      <c r="AG24" s="369">
        <v>4.2</v>
      </c>
      <c r="AH24" s="369">
        <v>4.1900000000000004</v>
      </c>
      <c r="AI24" s="369">
        <v>4.18</v>
      </c>
      <c r="AJ24" s="369">
        <v>4.17</v>
      </c>
      <c r="AK24" s="369">
        <v>4.16</v>
      </c>
      <c r="AL24" s="369">
        <v>4.1500000000000004</v>
      </c>
      <c r="AM24" s="369">
        <v>4.1500000000000004</v>
      </c>
      <c r="AN24" s="369">
        <v>4.1399999999999997</v>
      </c>
      <c r="AO24" s="369">
        <v>4.13</v>
      </c>
      <c r="AP24" s="369">
        <v>4.13</v>
      </c>
      <c r="AQ24" s="369">
        <v>4.12</v>
      </c>
      <c r="AR24" s="369">
        <v>4.12</v>
      </c>
      <c r="AS24" s="369">
        <v>4.1100000000000003</v>
      </c>
      <c r="AT24" s="369">
        <v>4.1100000000000003</v>
      </c>
      <c r="AU24" s="369">
        <v>4.0999999999999996</v>
      </c>
      <c r="AV24" s="369">
        <v>4.0999999999999996</v>
      </c>
      <c r="AW24" s="369">
        <v>4.09</v>
      </c>
      <c r="AX24" s="369">
        <v>4.09</v>
      </c>
      <c r="AY24" s="369">
        <v>4.09</v>
      </c>
      <c r="BB24" s="369">
        <v>3.64</v>
      </c>
    </row>
    <row r="25" spans="1:54">
      <c r="A25" s="115">
        <v>42521</v>
      </c>
      <c r="B25" s="369">
        <v>2.77</v>
      </c>
      <c r="C25" s="369">
        <v>2.84</v>
      </c>
      <c r="D25" s="369">
        <v>2.97</v>
      </c>
      <c r="E25" s="369">
        <v>3.12</v>
      </c>
      <c r="F25" s="369">
        <v>3.26</v>
      </c>
      <c r="G25" s="369">
        <v>3.41</v>
      </c>
      <c r="H25" s="369">
        <v>3.53</v>
      </c>
      <c r="I25" s="369">
        <v>3.65</v>
      </c>
      <c r="J25" s="369">
        <v>3.76</v>
      </c>
      <c r="K25" s="369">
        <v>3.86</v>
      </c>
      <c r="L25" s="369">
        <v>3.95</v>
      </c>
      <c r="M25" s="369">
        <v>4.0199999999999996</v>
      </c>
      <c r="N25" s="369">
        <v>4.09</v>
      </c>
      <c r="O25" s="369">
        <v>4.1500000000000004</v>
      </c>
      <c r="P25" s="459">
        <v>4.2</v>
      </c>
      <c r="Q25" s="369">
        <v>4.22</v>
      </c>
      <c r="R25" s="369">
        <v>4.24</v>
      </c>
      <c r="S25" s="369">
        <v>4.26</v>
      </c>
      <c r="T25" s="369">
        <v>4.28</v>
      </c>
      <c r="U25" s="369">
        <v>4.29</v>
      </c>
      <c r="V25" s="369">
        <v>4.28</v>
      </c>
      <c r="W25" s="369">
        <v>4.28</v>
      </c>
      <c r="X25" s="369">
        <v>4.2699999999999996</v>
      </c>
      <c r="Y25" s="369">
        <v>4.2699999999999996</v>
      </c>
      <c r="Z25" s="369">
        <v>4.26</v>
      </c>
      <c r="AA25" s="369">
        <v>4.25</v>
      </c>
      <c r="AB25" s="369">
        <v>4.2300000000000004</v>
      </c>
      <c r="AC25" s="369">
        <v>4.22</v>
      </c>
      <c r="AD25" s="369">
        <v>4.21</v>
      </c>
      <c r="AE25" s="369">
        <v>4.2</v>
      </c>
      <c r="AF25" s="369">
        <v>4.18</v>
      </c>
      <c r="AG25" s="369">
        <v>4.17</v>
      </c>
      <c r="AH25" s="369">
        <v>4.16</v>
      </c>
      <c r="AI25" s="369">
        <v>4.1500000000000004</v>
      </c>
      <c r="AJ25" s="369">
        <v>4.1399999999999997</v>
      </c>
      <c r="AK25" s="369">
        <v>4.1399999999999997</v>
      </c>
      <c r="AL25" s="369">
        <v>4.13</v>
      </c>
      <c r="AM25" s="369">
        <v>4.12</v>
      </c>
      <c r="AN25" s="369">
        <v>4.1100000000000003</v>
      </c>
      <c r="AO25" s="369">
        <v>4.1100000000000003</v>
      </c>
      <c r="AP25" s="369">
        <v>4.0999999999999996</v>
      </c>
      <c r="AQ25" s="369">
        <v>4.09</v>
      </c>
      <c r="AR25" s="369">
        <v>4.09</v>
      </c>
      <c r="AS25" s="369">
        <v>4.08</v>
      </c>
      <c r="AT25" s="369">
        <v>4.08</v>
      </c>
      <c r="AU25" s="369">
        <v>4.08</v>
      </c>
      <c r="AV25" s="369">
        <v>4.07</v>
      </c>
      <c r="AW25" s="369">
        <v>4.07</v>
      </c>
      <c r="AX25" s="369">
        <v>4.0599999999999996</v>
      </c>
      <c r="AY25" s="369">
        <v>4.0599999999999996</v>
      </c>
      <c r="BB25" s="369">
        <v>3.58</v>
      </c>
    </row>
    <row r="26" spans="1:54">
      <c r="A26" s="115">
        <v>42551</v>
      </c>
      <c r="B26" s="369">
        <v>2.74</v>
      </c>
      <c r="C26" s="369">
        <v>2.81</v>
      </c>
      <c r="D26" s="369">
        <v>2.94</v>
      </c>
      <c r="E26" s="369">
        <v>3.09</v>
      </c>
      <c r="F26" s="369">
        <v>3.23</v>
      </c>
      <c r="G26" s="369">
        <v>3.37</v>
      </c>
      <c r="H26" s="369">
        <v>3.5</v>
      </c>
      <c r="I26" s="369">
        <v>3.62</v>
      </c>
      <c r="J26" s="369">
        <v>3.73</v>
      </c>
      <c r="K26" s="369">
        <v>3.83</v>
      </c>
      <c r="L26" s="369">
        <v>3.92</v>
      </c>
      <c r="M26" s="369">
        <v>3.99</v>
      </c>
      <c r="N26" s="369">
        <v>4.0599999999999996</v>
      </c>
      <c r="O26" s="369">
        <v>4.12</v>
      </c>
      <c r="P26" s="459">
        <v>4.17</v>
      </c>
      <c r="Q26" s="369">
        <v>4.1900000000000004</v>
      </c>
      <c r="R26" s="369">
        <v>4.21</v>
      </c>
      <c r="S26" s="369">
        <v>4.2300000000000004</v>
      </c>
      <c r="T26" s="369">
        <v>4.25</v>
      </c>
      <c r="U26" s="369">
        <v>4.26</v>
      </c>
      <c r="V26" s="369">
        <v>4.26</v>
      </c>
      <c r="W26" s="369">
        <v>4.25</v>
      </c>
      <c r="X26" s="369">
        <v>4.24</v>
      </c>
      <c r="Y26" s="369">
        <v>4.24</v>
      </c>
      <c r="Z26" s="369">
        <v>4.2300000000000004</v>
      </c>
      <c r="AA26" s="369">
        <v>4.22</v>
      </c>
      <c r="AB26" s="369">
        <v>4.2</v>
      </c>
      <c r="AC26" s="369">
        <v>4.1900000000000004</v>
      </c>
      <c r="AD26" s="369">
        <v>4.18</v>
      </c>
      <c r="AE26" s="369">
        <v>4.17</v>
      </c>
      <c r="AF26" s="369">
        <v>4.16</v>
      </c>
      <c r="AG26" s="369">
        <v>4.1399999999999997</v>
      </c>
      <c r="AH26" s="369">
        <v>4.13</v>
      </c>
      <c r="AI26" s="369">
        <v>4.12</v>
      </c>
      <c r="AJ26" s="369">
        <v>4.12</v>
      </c>
      <c r="AK26" s="369">
        <v>4.1100000000000003</v>
      </c>
      <c r="AL26" s="369">
        <v>4.0999999999999996</v>
      </c>
      <c r="AM26" s="369">
        <v>4.09</v>
      </c>
      <c r="AN26" s="369">
        <v>4.08</v>
      </c>
      <c r="AO26" s="369">
        <v>4.08</v>
      </c>
      <c r="AP26" s="369">
        <v>4.07</v>
      </c>
      <c r="AQ26" s="369">
        <v>4.07</v>
      </c>
      <c r="AR26" s="369">
        <v>4.0599999999999996</v>
      </c>
      <c r="AS26" s="369">
        <v>4.0599999999999996</v>
      </c>
      <c r="AT26" s="369">
        <v>4.05</v>
      </c>
      <c r="AU26" s="369">
        <v>4.05</v>
      </c>
      <c r="AV26" s="369">
        <v>4.04</v>
      </c>
      <c r="AW26" s="369">
        <v>4.04</v>
      </c>
      <c r="AX26" s="369">
        <v>4.04</v>
      </c>
      <c r="AY26" s="369">
        <v>4.03</v>
      </c>
      <c r="BB26" s="369">
        <v>3.52</v>
      </c>
    </row>
    <row r="27" spans="1:54">
      <c r="A27" s="115">
        <v>42582</v>
      </c>
      <c r="B27" s="369">
        <v>2.71</v>
      </c>
      <c r="C27" s="369">
        <v>2.78</v>
      </c>
      <c r="D27" s="369">
        <v>2.91</v>
      </c>
      <c r="E27" s="369">
        <v>3.06</v>
      </c>
      <c r="F27" s="369">
        <v>3.2</v>
      </c>
      <c r="G27" s="369">
        <v>3.34</v>
      </c>
      <c r="H27" s="369">
        <v>3.47</v>
      </c>
      <c r="I27" s="369">
        <v>3.59</v>
      </c>
      <c r="J27" s="369">
        <v>3.7</v>
      </c>
      <c r="K27" s="369">
        <v>3.8</v>
      </c>
      <c r="L27" s="369">
        <v>3.89</v>
      </c>
      <c r="M27" s="369">
        <v>3.96</v>
      </c>
      <c r="N27" s="369">
        <v>4.03</v>
      </c>
      <c r="O27" s="369">
        <v>4.09</v>
      </c>
      <c r="P27" s="459">
        <v>4.1399999999999997</v>
      </c>
      <c r="Q27" s="369">
        <v>4.16</v>
      </c>
      <c r="R27" s="369">
        <v>4.18</v>
      </c>
      <c r="S27" s="369">
        <v>4.2</v>
      </c>
      <c r="T27" s="369">
        <v>4.22</v>
      </c>
      <c r="U27" s="369">
        <v>4.2300000000000004</v>
      </c>
      <c r="V27" s="369">
        <v>4.2300000000000004</v>
      </c>
      <c r="W27" s="369">
        <v>4.22</v>
      </c>
      <c r="X27" s="369">
        <v>4.21</v>
      </c>
      <c r="Y27" s="369">
        <v>4.21</v>
      </c>
      <c r="Z27" s="369">
        <v>4.2</v>
      </c>
      <c r="AA27" s="369">
        <v>4.1900000000000004</v>
      </c>
      <c r="AB27" s="369">
        <v>4.17</v>
      </c>
      <c r="AC27" s="369">
        <v>4.16</v>
      </c>
      <c r="AD27" s="369">
        <v>4.1500000000000004</v>
      </c>
      <c r="AE27" s="369">
        <v>4.1399999999999997</v>
      </c>
      <c r="AF27" s="369">
        <v>4.12</v>
      </c>
      <c r="AG27" s="369">
        <v>4.1100000000000003</v>
      </c>
      <c r="AH27" s="369">
        <v>4.0999999999999996</v>
      </c>
      <c r="AI27" s="369">
        <v>4.09</v>
      </c>
      <c r="AJ27" s="369">
        <v>4.08</v>
      </c>
      <c r="AK27" s="369">
        <v>4.08</v>
      </c>
      <c r="AL27" s="369">
        <v>4.07</v>
      </c>
      <c r="AM27" s="369">
        <v>4.0599999999999996</v>
      </c>
      <c r="AN27" s="369">
        <v>4.05</v>
      </c>
      <c r="AO27" s="369">
        <v>4.05</v>
      </c>
      <c r="AP27" s="369">
        <v>4.04</v>
      </c>
      <c r="AQ27" s="369">
        <v>4.04</v>
      </c>
      <c r="AR27" s="369">
        <v>4.03</v>
      </c>
      <c r="AS27" s="369">
        <v>4.03</v>
      </c>
      <c r="AT27" s="369">
        <v>4.0199999999999996</v>
      </c>
      <c r="AU27" s="369">
        <v>4.0199999999999996</v>
      </c>
      <c r="AV27" s="369">
        <v>4.01</v>
      </c>
      <c r="AW27" s="369">
        <v>4.01</v>
      </c>
      <c r="AX27" s="369">
        <v>4</v>
      </c>
      <c r="AY27" s="369">
        <v>4</v>
      </c>
      <c r="BB27" s="369">
        <v>3.47</v>
      </c>
    </row>
    <row r="28" spans="1:54">
      <c r="A28" s="115">
        <v>42613</v>
      </c>
      <c r="B28" s="369">
        <v>2.68</v>
      </c>
      <c r="C28" s="369">
        <v>2.75</v>
      </c>
      <c r="D28" s="369">
        <v>2.88</v>
      </c>
      <c r="E28" s="369">
        <v>3.02</v>
      </c>
      <c r="F28" s="369">
        <v>3.17</v>
      </c>
      <c r="G28" s="369">
        <v>3.31</v>
      </c>
      <c r="H28" s="369">
        <v>3.44</v>
      </c>
      <c r="I28" s="369">
        <v>3.56</v>
      </c>
      <c r="J28" s="369">
        <v>3.67</v>
      </c>
      <c r="K28" s="369">
        <v>3.77</v>
      </c>
      <c r="L28" s="369">
        <v>3.86</v>
      </c>
      <c r="M28" s="369">
        <v>3.93</v>
      </c>
      <c r="N28" s="369">
        <v>4</v>
      </c>
      <c r="O28" s="369">
        <v>4.0599999999999996</v>
      </c>
      <c r="P28" s="459">
        <v>4.1100000000000003</v>
      </c>
      <c r="Q28" s="369">
        <v>4.13</v>
      </c>
      <c r="R28" s="369">
        <v>4.1500000000000004</v>
      </c>
      <c r="S28" s="369">
        <v>4.17</v>
      </c>
      <c r="T28" s="369">
        <v>4.1900000000000004</v>
      </c>
      <c r="U28" s="369">
        <v>4.2</v>
      </c>
      <c r="V28" s="369">
        <v>4.2</v>
      </c>
      <c r="W28" s="369">
        <v>4.1900000000000004</v>
      </c>
      <c r="X28" s="369">
        <v>4.18</v>
      </c>
      <c r="Y28" s="369">
        <v>4.18</v>
      </c>
      <c r="Z28" s="369">
        <v>4.17</v>
      </c>
      <c r="AA28" s="369">
        <v>4.16</v>
      </c>
      <c r="AB28" s="369">
        <v>4.1399999999999997</v>
      </c>
      <c r="AC28" s="369">
        <v>4.13</v>
      </c>
      <c r="AD28" s="369">
        <v>4.12</v>
      </c>
      <c r="AE28" s="369">
        <v>4.1100000000000003</v>
      </c>
      <c r="AF28" s="369">
        <v>4.0999999999999996</v>
      </c>
      <c r="AG28" s="369">
        <v>4.09</v>
      </c>
      <c r="AH28" s="369">
        <v>4.08</v>
      </c>
      <c r="AI28" s="369">
        <v>4.07</v>
      </c>
      <c r="AJ28" s="369">
        <v>4.0599999999999996</v>
      </c>
      <c r="AK28" s="369">
        <v>4.05</v>
      </c>
      <c r="AL28" s="369">
        <v>4.04</v>
      </c>
      <c r="AM28" s="369">
        <v>4.03</v>
      </c>
      <c r="AN28" s="369">
        <v>4.0199999999999996</v>
      </c>
      <c r="AO28" s="369">
        <v>4.0199999999999996</v>
      </c>
      <c r="AP28" s="369">
        <v>4.01</v>
      </c>
      <c r="AQ28" s="369">
        <v>4.01</v>
      </c>
      <c r="AR28" s="369">
        <v>4</v>
      </c>
      <c r="AS28" s="369">
        <v>4</v>
      </c>
      <c r="AT28" s="369">
        <v>3.99</v>
      </c>
      <c r="AU28" s="369">
        <v>3.99</v>
      </c>
      <c r="AV28" s="369">
        <v>3.98</v>
      </c>
      <c r="AW28" s="369">
        <v>3.98</v>
      </c>
      <c r="AX28" s="369">
        <v>3.98</v>
      </c>
      <c r="AY28" s="369">
        <v>3.97</v>
      </c>
      <c r="BB28" s="369">
        <v>3.42</v>
      </c>
    </row>
    <row r="29" spans="1:54">
      <c r="A29" s="115">
        <v>42643</v>
      </c>
      <c r="B29" s="369">
        <v>2.65</v>
      </c>
      <c r="C29" s="369">
        <v>2.72</v>
      </c>
      <c r="D29" s="369">
        <v>2.85</v>
      </c>
      <c r="E29" s="369">
        <v>2.99</v>
      </c>
      <c r="F29" s="369">
        <v>3.14</v>
      </c>
      <c r="G29" s="369">
        <v>3.28</v>
      </c>
      <c r="H29" s="369">
        <v>3.41</v>
      </c>
      <c r="I29" s="369">
        <v>3.53</v>
      </c>
      <c r="J29" s="369">
        <v>3.64</v>
      </c>
      <c r="K29" s="369">
        <v>3.74</v>
      </c>
      <c r="L29" s="369">
        <v>3.83</v>
      </c>
      <c r="M29" s="369">
        <v>3.91</v>
      </c>
      <c r="N29" s="369">
        <v>3.97</v>
      </c>
      <c r="O29" s="369">
        <v>4.03</v>
      </c>
      <c r="P29" s="459">
        <v>4.08</v>
      </c>
      <c r="Q29" s="369">
        <v>4.0999999999999996</v>
      </c>
      <c r="R29" s="369">
        <v>4.13</v>
      </c>
      <c r="S29" s="369">
        <v>4.1399999999999997</v>
      </c>
      <c r="T29" s="369">
        <v>4.16</v>
      </c>
      <c r="U29" s="369">
        <v>4.18</v>
      </c>
      <c r="V29" s="369">
        <v>4.17</v>
      </c>
      <c r="W29" s="369">
        <v>4.16</v>
      </c>
      <c r="X29" s="369">
        <v>4.16</v>
      </c>
      <c r="Y29" s="369">
        <v>4.1500000000000004</v>
      </c>
      <c r="Z29" s="369">
        <v>4.1500000000000004</v>
      </c>
      <c r="AA29" s="369">
        <v>4.13</v>
      </c>
      <c r="AB29" s="369">
        <v>4.12</v>
      </c>
      <c r="AC29" s="369">
        <v>4.1100000000000003</v>
      </c>
      <c r="AD29" s="369">
        <v>4.09</v>
      </c>
      <c r="AE29" s="369">
        <v>4.08</v>
      </c>
      <c r="AF29" s="369">
        <v>4.07</v>
      </c>
      <c r="AG29" s="369">
        <v>4.0599999999999996</v>
      </c>
      <c r="AH29" s="369">
        <v>4.05</v>
      </c>
      <c r="AI29" s="369">
        <v>4.04</v>
      </c>
      <c r="AJ29" s="369">
        <v>4.03</v>
      </c>
      <c r="AK29" s="369">
        <v>4.0199999999999996</v>
      </c>
      <c r="AL29" s="369">
        <v>4.01</v>
      </c>
      <c r="AM29" s="369">
        <v>4.01</v>
      </c>
      <c r="AN29" s="369">
        <v>4</v>
      </c>
      <c r="AO29" s="369">
        <v>3.99</v>
      </c>
      <c r="AP29" s="369">
        <v>3.99</v>
      </c>
      <c r="AQ29" s="369">
        <v>3.98</v>
      </c>
      <c r="AR29" s="369">
        <v>3.98</v>
      </c>
      <c r="AS29" s="369">
        <v>3.97</v>
      </c>
      <c r="AT29" s="369">
        <v>3.97</v>
      </c>
      <c r="AU29" s="369">
        <v>3.96</v>
      </c>
      <c r="AV29" s="369">
        <v>3.96</v>
      </c>
      <c r="AW29" s="369">
        <v>3.95</v>
      </c>
      <c r="AX29" s="369">
        <v>3.95</v>
      </c>
      <c r="AY29" s="369">
        <v>3.95</v>
      </c>
      <c r="BB29" s="369">
        <v>3.37</v>
      </c>
    </row>
    <row r="30" spans="1:54">
      <c r="A30" s="115">
        <v>42674</v>
      </c>
      <c r="B30" s="369">
        <v>2.61</v>
      </c>
      <c r="C30" s="369">
        <v>2.69</v>
      </c>
      <c r="D30" s="369">
        <v>2.82</v>
      </c>
      <c r="E30" s="369">
        <v>2.96</v>
      </c>
      <c r="F30" s="369">
        <v>3.11</v>
      </c>
      <c r="G30" s="369">
        <v>3.25</v>
      </c>
      <c r="H30" s="369">
        <v>3.38</v>
      </c>
      <c r="I30" s="369">
        <v>3.5</v>
      </c>
      <c r="J30" s="369">
        <v>3.61</v>
      </c>
      <c r="K30" s="369">
        <v>3.71</v>
      </c>
      <c r="L30" s="369">
        <v>3.8</v>
      </c>
      <c r="M30" s="369">
        <v>3.88</v>
      </c>
      <c r="N30" s="369">
        <v>3.95</v>
      </c>
      <c r="O30" s="369">
        <v>4.01</v>
      </c>
      <c r="P30" s="459">
        <v>4.0599999999999996</v>
      </c>
      <c r="Q30" s="369">
        <v>4.08</v>
      </c>
      <c r="R30" s="369">
        <v>4.0999999999999996</v>
      </c>
      <c r="S30" s="369">
        <v>4.12</v>
      </c>
      <c r="T30" s="369">
        <v>4.1399999999999997</v>
      </c>
      <c r="U30" s="369">
        <v>4.1500000000000004</v>
      </c>
      <c r="V30" s="369">
        <v>4.1500000000000004</v>
      </c>
      <c r="W30" s="369">
        <v>4.1399999999999997</v>
      </c>
      <c r="X30" s="369">
        <v>4.13</v>
      </c>
      <c r="Y30" s="369">
        <v>4.13</v>
      </c>
      <c r="Z30" s="369">
        <v>4.12</v>
      </c>
      <c r="AA30" s="369">
        <v>4.1100000000000003</v>
      </c>
      <c r="AB30" s="369">
        <v>4.09</v>
      </c>
      <c r="AC30" s="369">
        <v>4.08</v>
      </c>
      <c r="AD30" s="369">
        <v>4.07</v>
      </c>
      <c r="AE30" s="369">
        <v>4.0599999999999996</v>
      </c>
      <c r="AF30" s="369">
        <v>4.05</v>
      </c>
      <c r="AG30" s="369">
        <v>4.04</v>
      </c>
      <c r="AH30" s="369">
        <v>4.03</v>
      </c>
      <c r="AI30" s="369">
        <v>4.0199999999999996</v>
      </c>
      <c r="AJ30" s="369">
        <v>4.01</v>
      </c>
      <c r="AK30" s="369">
        <v>4</v>
      </c>
      <c r="AL30" s="369">
        <v>3.99</v>
      </c>
      <c r="AM30" s="369">
        <v>3.98</v>
      </c>
      <c r="AN30" s="369">
        <v>3.98</v>
      </c>
      <c r="AO30" s="369">
        <v>3.97</v>
      </c>
      <c r="AP30" s="369">
        <v>3.96</v>
      </c>
      <c r="AQ30" s="369">
        <v>3.96</v>
      </c>
      <c r="AR30" s="369">
        <v>3.95</v>
      </c>
      <c r="AS30" s="369">
        <v>3.95</v>
      </c>
      <c r="AT30" s="369">
        <v>3.94</v>
      </c>
      <c r="AU30" s="369">
        <v>3.94</v>
      </c>
      <c r="AV30" s="369">
        <v>3.93</v>
      </c>
      <c r="AW30" s="369">
        <v>3.93</v>
      </c>
      <c r="AX30" s="369">
        <v>3.93</v>
      </c>
      <c r="AY30" s="369">
        <v>3.92</v>
      </c>
      <c r="BB30" s="369">
        <v>3.32</v>
      </c>
    </row>
    <row r="31" spans="1:54">
      <c r="A31" s="115">
        <v>42704</v>
      </c>
      <c r="B31" s="369">
        <v>2.58</v>
      </c>
      <c r="C31" s="369">
        <v>2.66</v>
      </c>
      <c r="D31" s="369">
        <v>2.79</v>
      </c>
      <c r="E31" s="369">
        <v>2.93</v>
      </c>
      <c r="F31" s="369">
        <v>3.08</v>
      </c>
      <c r="G31" s="369">
        <v>3.22</v>
      </c>
      <c r="H31" s="369">
        <v>3.35</v>
      </c>
      <c r="I31" s="369">
        <v>3.48</v>
      </c>
      <c r="J31" s="369">
        <v>3.59</v>
      </c>
      <c r="K31" s="369">
        <v>3.69</v>
      </c>
      <c r="L31" s="369">
        <v>3.78</v>
      </c>
      <c r="M31" s="369">
        <v>3.86</v>
      </c>
      <c r="N31" s="369">
        <v>3.93</v>
      </c>
      <c r="O31" s="369">
        <v>3.98</v>
      </c>
      <c r="P31" s="459">
        <v>4.03</v>
      </c>
      <c r="Q31" s="369">
        <v>4.0599999999999996</v>
      </c>
      <c r="R31" s="369">
        <v>4.08</v>
      </c>
      <c r="S31" s="369">
        <v>4.0999999999999996</v>
      </c>
      <c r="T31" s="369">
        <v>4.12</v>
      </c>
      <c r="U31" s="369">
        <v>4.13</v>
      </c>
      <c r="V31" s="369">
        <v>4.13</v>
      </c>
      <c r="W31" s="369">
        <v>4.12</v>
      </c>
      <c r="X31" s="369">
        <v>4.1100000000000003</v>
      </c>
      <c r="Y31" s="369">
        <v>4.1100000000000003</v>
      </c>
      <c r="Z31" s="369">
        <v>4.0999999999999996</v>
      </c>
      <c r="AA31" s="369">
        <v>4.09</v>
      </c>
      <c r="AB31" s="369">
        <v>4.07</v>
      </c>
      <c r="AC31" s="369">
        <v>4.0599999999999996</v>
      </c>
      <c r="AD31" s="369">
        <v>4.05</v>
      </c>
      <c r="AE31" s="369">
        <v>4.04</v>
      </c>
      <c r="AF31" s="369">
        <v>4.03</v>
      </c>
      <c r="AG31" s="369">
        <v>4.0199999999999996</v>
      </c>
      <c r="AH31" s="369">
        <v>4.01</v>
      </c>
      <c r="AI31" s="369">
        <v>4</v>
      </c>
      <c r="AJ31" s="369">
        <v>3.99</v>
      </c>
      <c r="AK31" s="369">
        <v>3.98</v>
      </c>
      <c r="AL31" s="369">
        <v>3.97</v>
      </c>
      <c r="AM31" s="369">
        <v>3.96</v>
      </c>
      <c r="AN31" s="369">
        <v>3.96</v>
      </c>
      <c r="AO31" s="369">
        <v>3.95</v>
      </c>
      <c r="AP31" s="369">
        <v>3.94</v>
      </c>
      <c r="AQ31" s="369">
        <v>3.94</v>
      </c>
      <c r="AR31" s="369">
        <v>3.93</v>
      </c>
      <c r="AS31" s="369">
        <v>3.93</v>
      </c>
      <c r="AT31" s="369">
        <v>3.92</v>
      </c>
      <c r="AU31" s="369">
        <v>3.92</v>
      </c>
      <c r="AV31" s="369">
        <v>3.92</v>
      </c>
      <c r="AW31" s="369">
        <v>3.91</v>
      </c>
      <c r="AX31" s="369">
        <v>3.91</v>
      </c>
      <c r="AY31" s="369">
        <v>3.9</v>
      </c>
      <c r="BB31" s="369">
        <v>3.28</v>
      </c>
    </row>
    <row r="32" spans="1:54">
      <c r="A32" s="115">
        <v>42735</v>
      </c>
      <c r="B32" s="369">
        <v>2.5499999999999998</v>
      </c>
      <c r="C32" s="369">
        <v>2.62</v>
      </c>
      <c r="D32" s="369">
        <v>2.75</v>
      </c>
      <c r="E32" s="369">
        <v>2.9</v>
      </c>
      <c r="F32" s="369">
        <v>3.05</v>
      </c>
      <c r="G32" s="369">
        <v>3.19</v>
      </c>
      <c r="H32" s="369">
        <v>3.33</v>
      </c>
      <c r="I32" s="369">
        <v>3.45</v>
      </c>
      <c r="J32" s="369">
        <v>3.56</v>
      </c>
      <c r="K32" s="369">
        <v>3.66</v>
      </c>
      <c r="L32" s="369">
        <v>3.75</v>
      </c>
      <c r="M32" s="369">
        <v>3.83</v>
      </c>
      <c r="N32" s="369">
        <v>3.9</v>
      </c>
      <c r="O32" s="369">
        <v>3.96</v>
      </c>
      <c r="P32" s="459">
        <v>4.01</v>
      </c>
      <c r="Q32" s="369">
        <v>4.04</v>
      </c>
      <c r="R32" s="369">
        <v>4.0599999999999996</v>
      </c>
      <c r="S32" s="369">
        <v>4.08</v>
      </c>
      <c r="T32" s="369">
        <v>4.09</v>
      </c>
      <c r="U32" s="369">
        <v>4.1100000000000003</v>
      </c>
      <c r="V32" s="369">
        <v>4.0999999999999996</v>
      </c>
      <c r="W32" s="369">
        <v>4.0999999999999996</v>
      </c>
      <c r="X32" s="369">
        <v>4.09</v>
      </c>
      <c r="Y32" s="369">
        <v>4.09</v>
      </c>
      <c r="Z32" s="369">
        <v>4.08</v>
      </c>
      <c r="AA32" s="369">
        <v>4.07</v>
      </c>
      <c r="AB32" s="369">
        <v>4.05</v>
      </c>
      <c r="AC32" s="369">
        <v>4.04</v>
      </c>
      <c r="AD32" s="369">
        <v>4.03</v>
      </c>
      <c r="AE32" s="369">
        <v>4.0199999999999996</v>
      </c>
      <c r="AF32" s="369">
        <v>4</v>
      </c>
      <c r="AG32" s="369">
        <v>3.99</v>
      </c>
      <c r="AH32" s="369">
        <v>3.98</v>
      </c>
      <c r="AI32" s="369">
        <v>3.97</v>
      </c>
      <c r="AJ32" s="369">
        <v>3.97</v>
      </c>
      <c r="AK32" s="369">
        <v>3.96</v>
      </c>
      <c r="AL32" s="369">
        <v>3.95</v>
      </c>
      <c r="AM32" s="369">
        <v>3.94</v>
      </c>
      <c r="AN32" s="369">
        <v>3.93</v>
      </c>
      <c r="AO32" s="369">
        <v>3.93</v>
      </c>
      <c r="AP32" s="369">
        <v>3.92</v>
      </c>
      <c r="AQ32" s="369">
        <v>3.92</v>
      </c>
      <c r="AR32" s="369">
        <v>3.91</v>
      </c>
      <c r="AS32" s="369">
        <v>3.91</v>
      </c>
      <c r="AT32" s="369">
        <v>3.9</v>
      </c>
      <c r="AU32" s="369">
        <v>3.9</v>
      </c>
      <c r="AV32" s="369">
        <v>3.89</v>
      </c>
      <c r="AW32" s="369">
        <v>3.89</v>
      </c>
      <c r="AX32" s="369">
        <v>3.89</v>
      </c>
      <c r="AY32" s="369">
        <v>3.88</v>
      </c>
      <c r="BB32" s="369">
        <v>3.24</v>
      </c>
    </row>
    <row r="33" spans="1:54">
      <c r="A33" s="115">
        <v>42766</v>
      </c>
      <c r="B33" s="369">
        <v>2.52</v>
      </c>
      <c r="C33" s="369">
        <v>2.59</v>
      </c>
      <c r="D33" s="369">
        <v>2.72</v>
      </c>
      <c r="E33" s="369">
        <v>2.87</v>
      </c>
      <c r="F33" s="369">
        <v>3.02</v>
      </c>
      <c r="G33" s="369">
        <v>3.16</v>
      </c>
      <c r="H33" s="369">
        <v>3.3</v>
      </c>
      <c r="I33" s="369">
        <v>3.42</v>
      </c>
      <c r="J33" s="369">
        <v>3.53</v>
      </c>
      <c r="K33" s="369">
        <v>3.63</v>
      </c>
      <c r="L33" s="369">
        <v>3.73</v>
      </c>
      <c r="M33" s="369">
        <v>3.81</v>
      </c>
      <c r="N33" s="369">
        <v>3.88</v>
      </c>
      <c r="O33" s="369">
        <v>3.94</v>
      </c>
      <c r="P33" s="459">
        <v>3.99</v>
      </c>
      <c r="Q33" s="369">
        <v>4.01</v>
      </c>
      <c r="R33" s="369">
        <v>4.03</v>
      </c>
      <c r="S33" s="369">
        <v>4.05</v>
      </c>
      <c r="T33" s="369">
        <v>4.07</v>
      </c>
      <c r="U33" s="369">
        <v>4.09</v>
      </c>
      <c r="V33" s="369">
        <v>4.08</v>
      </c>
      <c r="W33" s="369">
        <v>4.07</v>
      </c>
      <c r="X33" s="369">
        <v>4.07</v>
      </c>
      <c r="Y33" s="369">
        <v>4.0599999999999996</v>
      </c>
      <c r="Z33" s="369">
        <v>4.0599999999999996</v>
      </c>
      <c r="AA33" s="369">
        <v>4.04</v>
      </c>
      <c r="AB33" s="369">
        <v>4.03</v>
      </c>
      <c r="AC33" s="369">
        <v>4.0199999999999996</v>
      </c>
      <c r="AD33" s="369">
        <v>4.01</v>
      </c>
      <c r="AE33" s="369">
        <v>4</v>
      </c>
      <c r="AF33" s="369">
        <v>3.98</v>
      </c>
      <c r="AG33" s="369">
        <v>3.97</v>
      </c>
      <c r="AH33" s="369">
        <v>3.96</v>
      </c>
      <c r="AI33" s="369">
        <v>3.95</v>
      </c>
      <c r="AJ33" s="369">
        <v>3.94</v>
      </c>
      <c r="AK33" s="369">
        <v>3.94</v>
      </c>
      <c r="AL33" s="369">
        <v>3.93</v>
      </c>
      <c r="AM33" s="369">
        <v>3.92</v>
      </c>
      <c r="AN33" s="369">
        <v>3.91</v>
      </c>
      <c r="AO33" s="369">
        <v>3.91</v>
      </c>
      <c r="AP33" s="369">
        <v>3.9</v>
      </c>
      <c r="AQ33" s="369">
        <v>3.9</v>
      </c>
      <c r="AR33" s="369">
        <v>3.89</v>
      </c>
      <c r="AS33" s="369">
        <v>3.89</v>
      </c>
      <c r="AT33" s="369">
        <v>3.88</v>
      </c>
      <c r="AU33" s="369">
        <v>3.88</v>
      </c>
      <c r="AV33" s="369">
        <v>3.87</v>
      </c>
      <c r="AW33" s="369">
        <v>3.87</v>
      </c>
      <c r="AX33" s="369">
        <v>3.87</v>
      </c>
      <c r="AY33" s="369">
        <v>3.86</v>
      </c>
      <c r="BB33" s="369">
        <v>3.2</v>
      </c>
    </row>
    <row r="34" spans="1:54" s="131" customFormat="1" ht="12.75">
      <c r="A34" s="113">
        <v>42794</v>
      </c>
      <c r="B34" s="369">
        <v>2.48</v>
      </c>
      <c r="C34" s="369">
        <v>2.56</v>
      </c>
      <c r="D34" s="369">
        <v>2.69</v>
      </c>
      <c r="E34" s="369">
        <v>2.84</v>
      </c>
      <c r="F34" s="369">
        <v>2.99</v>
      </c>
      <c r="G34" s="369">
        <v>3.13</v>
      </c>
      <c r="H34" s="369">
        <v>3.27</v>
      </c>
      <c r="I34" s="369">
        <v>3.39</v>
      </c>
      <c r="J34" s="369">
        <v>3.5</v>
      </c>
      <c r="K34" s="369">
        <v>3.61</v>
      </c>
      <c r="L34" s="369">
        <v>3.7</v>
      </c>
      <c r="M34" s="369">
        <v>3.78</v>
      </c>
      <c r="N34" s="369">
        <v>3.85</v>
      </c>
      <c r="O34" s="369">
        <v>3.91</v>
      </c>
      <c r="P34" s="459">
        <v>3.96</v>
      </c>
      <c r="Q34" s="369">
        <v>3.99</v>
      </c>
      <c r="R34" s="369">
        <v>4.01</v>
      </c>
      <c r="S34" s="369">
        <v>4.03</v>
      </c>
      <c r="T34" s="369">
        <v>4.05</v>
      </c>
      <c r="U34" s="369">
        <v>4.0599999999999996</v>
      </c>
      <c r="V34" s="369">
        <v>4.0599999999999996</v>
      </c>
      <c r="W34" s="369">
        <v>4.05</v>
      </c>
      <c r="X34" s="369">
        <v>4.05</v>
      </c>
      <c r="Y34" s="369">
        <v>4.04</v>
      </c>
      <c r="Z34" s="369">
        <v>4.04</v>
      </c>
      <c r="AA34" s="369">
        <v>4.0199999999999996</v>
      </c>
      <c r="AB34" s="369">
        <v>4.01</v>
      </c>
      <c r="AC34" s="369">
        <v>4</v>
      </c>
      <c r="AD34" s="369">
        <v>3.98</v>
      </c>
      <c r="AE34" s="369">
        <v>3.97</v>
      </c>
      <c r="AF34" s="369">
        <v>3.96</v>
      </c>
      <c r="AG34" s="369">
        <v>3.95</v>
      </c>
      <c r="AH34" s="369">
        <v>3.94</v>
      </c>
      <c r="AI34" s="369">
        <v>3.93</v>
      </c>
      <c r="AJ34" s="369">
        <v>3.92</v>
      </c>
      <c r="AK34" s="369">
        <v>3.91</v>
      </c>
      <c r="AL34" s="369">
        <v>3.91</v>
      </c>
      <c r="AM34" s="369">
        <v>3.9</v>
      </c>
      <c r="AN34" s="369">
        <v>3.89</v>
      </c>
      <c r="AO34" s="369">
        <v>3.89</v>
      </c>
      <c r="AP34" s="369">
        <v>3.88</v>
      </c>
      <c r="AQ34" s="369">
        <v>3.87</v>
      </c>
      <c r="AR34" s="369">
        <v>3.87</v>
      </c>
      <c r="AS34" s="369">
        <v>3.86</v>
      </c>
      <c r="AT34" s="369">
        <v>3.86</v>
      </c>
      <c r="AU34" s="369">
        <v>3.86</v>
      </c>
      <c r="AV34" s="369">
        <v>3.85</v>
      </c>
      <c r="AW34" s="369">
        <v>3.85</v>
      </c>
      <c r="AX34" s="369">
        <v>3.84</v>
      </c>
      <c r="AY34" s="369">
        <v>3.84</v>
      </c>
      <c r="BB34" s="369">
        <v>3.16</v>
      </c>
    </row>
    <row r="35" spans="1:54">
      <c r="A35" s="115">
        <v>42825</v>
      </c>
      <c r="B35" s="369">
        <v>2.4500000000000002</v>
      </c>
      <c r="C35" s="369">
        <v>2.52</v>
      </c>
      <c r="D35" s="369">
        <v>2.65</v>
      </c>
      <c r="E35" s="369">
        <v>2.81</v>
      </c>
      <c r="F35" s="369">
        <v>2.96</v>
      </c>
      <c r="G35" s="369">
        <v>3.1</v>
      </c>
      <c r="H35" s="369">
        <v>3.24</v>
      </c>
      <c r="I35" s="369">
        <v>3.36</v>
      </c>
      <c r="J35" s="369">
        <v>3.48</v>
      </c>
      <c r="K35" s="369">
        <v>3.58</v>
      </c>
      <c r="L35" s="369">
        <v>3.68</v>
      </c>
      <c r="M35" s="369">
        <v>3.76</v>
      </c>
      <c r="N35" s="369">
        <v>3.83</v>
      </c>
      <c r="O35" s="369">
        <v>3.89</v>
      </c>
      <c r="P35" s="459">
        <v>3.94</v>
      </c>
      <c r="Q35" s="369">
        <v>3.96</v>
      </c>
      <c r="R35" s="369">
        <v>3.99</v>
      </c>
      <c r="S35" s="369">
        <v>4.01</v>
      </c>
      <c r="T35" s="369">
        <v>4.0199999999999996</v>
      </c>
      <c r="U35" s="369">
        <v>4.04</v>
      </c>
      <c r="V35" s="369">
        <v>4.03</v>
      </c>
      <c r="W35" s="369">
        <v>4.03</v>
      </c>
      <c r="X35" s="369">
        <v>4.0199999999999996</v>
      </c>
      <c r="Y35" s="369">
        <v>4.0199999999999996</v>
      </c>
      <c r="Z35" s="369">
        <v>4.01</v>
      </c>
      <c r="AA35" s="369">
        <v>4</v>
      </c>
      <c r="AB35" s="369">
        <v>3.98</v>
      </c>
      <c r="AC35" s="369">
        <v>3.97</v>
      </c>
      <c r="AD35" s="369">
        <v>3.96</v>
      </c>
      <c r="AE35" s="369">
        <v>3.95</v>
      </c>
      <c r="AF35" s="369">
        <v>3.94</v>
      </c>
      <c r="AG35" s="369">
        <v>3.93</v>
      </c>
      <c r="AH35" s="369">
        <v>3.92</v>
      </c>
      <c r="AI35" s="369">
        <v>3.91</v>
      </c>
      <c r="AJ35" s="369">
        <v>3.9</v>
      </c>
      <c r="AK35" s="369">
        <v>3.89</v>
      </c>
      <c r="AL35" s="369">
        <v>3.88</v>
      </c>
      <c r="AM35" s="369">
        <v>3.88</v>
      </c>
      <c r="AN35" s="369">
        <v>3.87</v>
      </c>
      <c r="AO35" s="369">
        <v>3.86</v>
      </c>
      <c r="AP35" s="369">
        <v>3.86</v>
      </c>
      <c r="AQ35" s="369">
        <v>3.85</v>
      </c>
      <c r="AR35" s="369">
        <v>3.85</v>
      </c>
      <c r="AS35" s="369">
        <v>3.84</v>
      </c>
      <c r="AT35" s="369">
        <v>3.84</v>
      </c>
      <c r="AU35" s="369">
        <v>3.83</v>
      </c>
      <c r="AV35" s="369">
        <v>3.83</v>
      </c>
      <c r="AW35" s="369">
        <v>3.83</v>
      </c>
      <c r="AX35" s="369">
        <v>3.82</v>
      </c>
      <c r="AY35" s="369">
        <v>3.82</v>
      </c>
      <c r="BB35" s="369">
        <v>3.12</v>
      </c>
    </row>
    <row r="36" spans="1:54">
      <c r="A36" s="115">
        <v>42855</v>
      </c>
      <c r="B36" s="369">
        <v>2.41</v>
      </c>
      <c r="C36" s="369">
        <v>2.4900000000000002</v>
      </c>
      <c r="D36" s="369">
        <v>2.62</v>
      </c>
      <c r="E36" s="369">
        <v>2.77</v>
      </c>
      <c r="F36" s="369">
        <v>2.92</v>
      </c>
      <c r="G36" s="369">
        <v>3.07</v>
      </c>
      <c r="H36" s="369">
        <v>3.21</v>
      </c>
      <c r="I36" s="369">
        <v>3.33</v>
      </c>
      <c r="J36" s="369">
        <v>3.45</v>
      </c>
      <c r="K36" s="369">
        <v>3.55</v>
      </c>
      <c r="L36" s="369">
        <v>3.65</v>
      </c>
      <c r="M36" s="369">
        <v>3.73</v>
      </c>
      <c r="N36" s="369">
        <v>3.8</v>
      </c>
      <c r="O36" s="369">
        <v>3.86</v>
      </c>
      <c r="P36" s="459">
        <v>3.91</v>
      </c>
      <c r="Q36" s="369">
        <v>3.94</v>
      </c>
      <c r="R36" s="369">
        <v>3.96</v>
      </c>
      <c r="S36" s="369">
        <v>3.98</v>
      </c>
      <c r="T36" s="369">
        <v>4</v>
      </c>
      <c r="U36" s="369">
        <v>4.0199999999999996</v>
      </c>
      <c r="V36" s="369">
        <v>4.01</v>
      </c>
      <c r="W36" s="369">
        <v>4</v>
      </c>
      <c r="X36" s="369">
        <v>4</v>
      </c>
      <c r="Y36" s="369">
        <v>3.99</v>
      </c>
      <c r="Z36" s="369">
        <v>3.99</v>
      </c>
      <c r="AA36" s="369">
        <v>3.97</v>
      </c>
      <c r="AB36" s="369">
        <v>3.96</v>
      </c>
      <c r="AC36" s="369">
        <v>3.95</v>
      </c>
      <c r="AD36" s="369">
        <v>3.94</v>
      </c>
      <c r="AE36" s="369">
        <v>3.93</v>
      </c>
      <c r="AF36" s="369">
        <v>3.91</v>
      </c>
      <c r="AG36" s="369">
        <v>3.9</v>
      </c>
      <c r="AH36" s="369">
        <v>3.89</v>
      </c>
      <c r="AI36" s="369">
        <v>3.89</v>
      </c>
      <c r="AJ36" s="369">
        <v>3.88</v>
      </c>
      <c r="AK36" s="369">
        <v>3.87</v>
      </c>
      <c r="AL36" s="369">
        <v>3.86</v>
      </c>
      <c r="AM36" s="369">
        <v>3.85</v>
      </c>
      <c r="AN36" s="369">
        <v>3.85</v>
      </c>
      <c r="AO36" s="369">
        <v>3.84</v>
      </c>
      <c r="AP36" s="369">
        <v>3.83</v>
      </c>
      <c r="AQ36" s="369">
        <v>3.83</v>
      </c>
      <c r="AR36" s="369">
        <v>3.82</v>
      </c>
      <c r="AS36" s="369">
        <v>3.82</v>
      </c>
      <c r="AT36" s="369">
        <v>3.82</v>
      </c>
      <c r="AU36" s="369">
        <v>3.81</v>
      </c>
      <c r="AV36" s="369">
        <v>3.81</v>
      </c>
      <c r="AW36" s="369">
        <v>3.8</v>
      </c>
      <c r="AX36" s="369">
        <v>3.8</v>
      </c>
      <c r="AY36" s="369">
        <v>3.8</v>
      </c>
      <c r="BB36" s="369">
        <v>3.08</v>
      </c>
    </row>
    <row r="37" spans="1:54" s="131" customFormat="1" ht="12.75">
      <c r="A37" s="113">
        <v>42886</v>
      </c>
      <c r="B37" s="369">
        <v>2.38</v>
      </c>
      <c r="C37" s="369">
        <v>2.4500000000000002</v>
      </c>
      <c r="D37" s="369">
        <v>2.58</v>
      </c>
      <c r="E37" s="369">
        <v>2.74</v>
      </c>
      <c r="F37" s="369">
        <v>2.89</v>
      </c>
      <c r="G37" s="369">
        <v>3.04</v>
      </c>
      <c r="H37" s="369">
        <v>3.18</v>
      </c>
      <c r="I37" s="369">
        <v>3.3</v>
      </c>
      <c r="J37" s="369">
        <v>3.42</v>
      </c>
      <c r="K37" s="369">
        <v>3.52</v>
      </c>
      <c r="L37" s="369">
        <v>3.62</v>
      </c>
      <c r="M37" s="369">
        <v>3.7</v>
      </c>
      <c r="N37" s="369">
        <v>3.77</v>
      </c>
      <c r="O37" s="369">
        <v>3.83</v>
      </c>
      <c r="P37" s="459">
        <v>3.88</v>
      </c>
      <c r="Q37" s="369">
        <v>3.91</v>
      </c>
      <c r="R37" s="369">
        <v>3.93</v>
      </c>
      <c r="S37" s="369">
        <v>3.95</v>
      </c>
      <c r="T37" s="369">
        <v>3.97</v>
      </c>
      <c r="U37" s="369">
        <v>3.99</v>
      </c>
      <c r="V37" s="369">
        <v>3.98</v>
      </c>
      <c r="W37" s="369">
        <v>3.98</v>
      </c>
      <c r="X37" s="369">
        <v>3.97</v>
      </c>
      <c r="Y37" s="369">
        <v>3.97</v>
      </c>
      <c r="Z37" s="369">
        <v>3.96</v>
      </c>
      <c r="AA37" s="369">
        <v>3.95</v>
      </c>
      <c r="AB37" s="369">
        <v>3.94</v>
      </c>
      <c r="AC37" s="369">
        <v>3.92</v>
      </c>
      <c r="AD37" s="369">
        <v>3.91</v>
      </c>
      <c r="AE37" s="369">
        <v>3.9</v>
      </c>
      <c r="AF37" s="369">
        <v>3.89</v>
      </c>
      <c r="AG37" s="369">
        <v>3.88</v>
      </c>
      <c r="AH37" s="369">
        <v>3.87</v>
      </c>
      <c r="AI37" s="369">
        <v>3.86</v>
      </c>
      <c r="AJ37" s="369">
        <v>3.85</v>
      </c>
      <c r="AK37" s="369">
        <v>3.84</v>
      </c>
      <c r="AL37" s="369">
        <v>3.84</v>
      </c>
      <c r="AM37" s="369">
        <v>3.83</v>
      </c>
      <c r="AN37" s="369">
        <v>3.82</v>
      </c>
      <c r="AO37" s="369">
        <v>3.82</v>
      </c>
      <c r="AP37" s="369">
        <v>3.81</v>
      </c>
      <c r="AQ37" s="369">
        <v>3.81</v>
      </c>
      <c r="AR37" s="369">
        <v>3.8</v>
      </c>
      <c r="AS37" s="369">
        <v>3.8</v>
      </c>
      <c r="AT37" s="369">
        <v>3.79</v>
      </c>
      <c r="AU37" s="369">
        <v>3.79</v>
      </c>
      <c r="AV37" s="369">
        <v>3.78</v>
      </c>
      <c r="AW37" s="369">
        <v>3.78</v>
      </c>
      <c r="AX37" s="369">
        <v>3.78</v>
      </c>
      <c r="AY37" s="369">
        <v>3.77</v>
      </c>
      <c r="BB37" s="369">
        <v>3.04</v>
      </c>
    </row>
    <row r="38" spans="1:54" s="131" customFormat="1" ht="12.75">
      <c r="A38" s="113">
        <v>42916</v>
      </c>
      <c r="B38" s="369">
        <v>2.34</v>
      </c>
      <c r="C38" s="369">
        <v>2.41</v>
      </c>
      <c r="D38" s="369">
        <v>2.5499999999999998</v>
      </c>
      <c r="E38" s="369">
        <v>2.7</v>
      </c>
      <c r="F38" s="369">
        <v>2.85</v>
      </c>
      <c r="G38" s="369">
        <v>3</v>
      </c>
      <c r="H38" s="369">
        <v>3.14</v>
      </c>
      <c r="I38" s="369">
        <v>3.27</v>
      </c>
      <c r="J38" s="369">
        <v>3.39</v>
      </c>
      <c r="K38" s="369">
        <v>3.49</v>
      </c>
      <c r="L38" s="369">
        <v>3.59</v>
      </c>
      <c r="M38" s="369">
        <v>3.67</v>
      </c>
      <c r="N38" s="369">
        <v>3.74</v>
      </c>
      <c r="O38" s="369">
        <v>3.8</v>
      </c>
      <c r="P38" s="459">
        <v>3.86</v>
      </c>
      <c r="Q38" s="369">
        <v>3.88</v>
      </c>
      <c r="R38" s="369">
        <v>3.91</v>
      </c>
      <c r="S38" s="369">
        <v>3.93</v>
      </c>
      <c r="T38" s="369">
        <v>3.95</v>
      </c>
      <c r="U38" s="369">
        <v>3.96</v>
      </c>
      <c r="V38" s="369">
        <v>3.96</v>
      </c>
      <c r="W38" s="369">
        <v>3.95</v>
      </c>
      <c r="X38" s="369">
        <v>3.95</v>
      </c>
      <c r="Y38" s="369">
        <v>3.94</v>
      </c>
      <c r="Z38" s="369">
        <v>3.94</v>
      </c>
      <c r="AA38" s="369">
        <v>3.92</v>
      </c>
      <c r="AB38" s="369">
        <v>3.91</v>
      </c>
      <c r="AC38" s="369">
        <v>3.9</v>
      </c>
      <c r="AD38" s="369">
        <v>3.89</v>
      </c>
      <c r="AE38" s="369">
        <v>3.88</v>
      </c>
      <c r="AF38" s="369">
        <v>3.87</v>
      </c>
      <c r="AG38" s="369">
        <v>3.86</v>
      </c>
      <c r="AH38" s="369">
        <v>3.85</v>
      </c>
      <c r="AI38" s="369">
        <v>3.84</v>
      </c>
      <c r="AJ38" s="369">
        <v>3.83</v>
      </c>
      <c r="AK38" s="369">
        <v>3.82</v>
      </c>
      <c r="AL38" s="369">
        <v>3.81</v>
      </c>
      <c r="AM38" s="369">
        <v>3.81</v>
      </c>
      <c r="AN38" s="369">
        <v>3.8</v>
      </c>
      <c r="AO38" s="369">
        <v>3.79</v>
      </c>
      <c r="AP38" s="369">
        <v>3.79</v>
      </c>
      <c r="AQ38" s="369">
        <v>3.78</v>
      </c>
      <c r="AR38" s="369">
        <v>3.78</v>
      </c>
      <c r="AS38" s="369">
        <v>3.77</v>
      </c>
      <c r="AT38" s="369">
        <v>3.77</v>
      </c>
      <c r="AU38" s="369">
        <v>3.76</v>
      </c>
      <c r="AV38" s="369">
        <v>3.76</v>
      </c>
      <c r="AW38" s="369">
        <v>3.76</v>
      </c>
      <c r="AX38" s="369">
        <v>3.75</v>
      </c>
      <c r="AY38" s="369">
        <v>3.75</v>
      </c>
      <c r="BB38" s="369">
        <v>3</v>
      </c>
    </row>
    <row r="39" spans="1:54">
      <c r="A39" s="115">
        <v>42947</v>
      </c>
      <c r="B39" s="369">
        <v>2.2999999999999998</v>
      </c>
      <c r="C39" s="369">
        <v>2.38</v>
      </c>
      <c r="D39" s="369">
        <v>2.5099999999999998</v>
      </c>
      <c r="E39" s="369">
        <v>2.67</v>
      </c>
      <c r="F39" s="369">
        <v>2.82</v>
      </c>
      <c r="G39" s="369">
        <v>2.97</v>
      </c>
      <c r="H39" s="369">
        <v>3.11</v>
      </c>
      <c r="I39" s="369">
        <v>3.24</v>
      </c>
      <c r="J39" s="369">
        <v>3.36</v>
      </c>
      <c r="K39" s="369">
        <v>3.46</v>
      </c>
      <c r="L39" s="369">
        <v>3.56</v>
      </c>
      <c r="M39" s="369">
        <v>3.64</v>
      </c>
      <c r="N39" s="369">
        <v>3.72</v>
      </c>
      <c r="O39" s="369">
        <v>3.78</v>
      </c>
      <c r="P39" s="459">
        <v>3.83</v>
      </c>
      <c r="Q39" s="369">
        <v>3.86</v>
      </c>
      <c r="R39" s="369">
        <v>3.88</v>
      </c>
      <c r="S39" s="369">
        <v>3.9</v>
      </c>
      <c r="T39" s="369">
        <v>3.92</v>
      </c>
      <c r="U39" s="369">
        <v>3.94</v>
      </c>
      <c r="V39" s="369">
        <v>3.93</v>
      </c>
      <c r="W39" s="369">
        <v>3.93</v>
      </c>
      <c r="X39" s="369">
        <v>3.92</v>
      </c>
      <c r="Y39" s="369">
        <v>3.92</v>
      </c>
      <c r="Z39" s="369">
        <v>3.91</v>
      </c>
      <c r="AA39" s="369">
        <v>3.9</v>
      </c>
      <c r="AB39" s="369">
        <v>3.89</v>
      </c>
      <c r="AC39" s="369">
        <v>3.87</v>
      </c>
      <c r="AD39" s="369">
        <v>3.86</v>
      </c>
      <c r="AE39" s="369">
        <v>3.85</v>
      </c>
      <c r="AF39" s="369">
        <v>3.84</v>
      </c>
      <c r="AG39" s="369">
        <v>3.83</v>
      </c>
      <c r="AH39" s="369">
        <v>3.82</v>
      </c>
      <c r="AI39" s="369">
        <v>3.81</v>
      </c>
      <c r="AJ39" s="369">
        <v>3.8</v>
      </c>
      <c r="AK39" s="369">
        <v>3.8</v>
      </c>
      <c r="AL39" s="369">
        <v>3.79</v>
      </c>
      <c r="AM39" s="369">
        <v>3.78</v>
      </c>
      <c r="AN39" s="369">
        <v>3.77</v>
      </c>
      <c r="AO39" s="369">
        <v>3.77</v>
      </c>
      <c r="AP39" s="369">
        <v>3.76</v>
      </c>
      <c r="AQ39" s="369">
        <v>3.76</v>
      </c>
      <c r="AR39" s="369">
        <v>3.75</v>
      </c>
      <c r="AS39" s="369">
        <v>3.75</v>
      </c>
      <c r="AT39" s="369">
        <v>3.74</v>
      </c>
      <c r="AU39" s="369">
        <v>3.74</v>
      </c>
      <c r="AV39" s="369">
        <v>3.74</v>
      </c>
      <c r="AW39" s="369">
        <v>3.73</v>
      </c>
      <c r="AX39" s="369">
        <v>3.73</v>
      </c>
      <c r="AY39" s="369">
        <v>3.72</v>
      </c>
      <c r="BB39" s="369">
        <v>2.97</v>
      </c>
    </row>
    <row r="40" spans="1:54">
      <c r="A40" s="115">
        <v>42978</v>
      </c>
      <c r="B40" s="369">
        <v>2.2599999999999998</v>
      </c>
      <c r="C40" s="369">
        <v>2.34</v>
      </c>
      <c r="D40" s="369">
        <v>2.4700000000000002</v>
      </c>
      <c r="E40" s="369">
        <v>2.63</v>
      </c>
      <c r="F40" s="369">
        <v>2.78</v>
      </c>
      <c r="G40" s="369">
        <v>2.94</v>
      </c>
      <c r="H40" s="369">
        <v>3.08</v>
      </c>
      <c r="I40" s="369">
        <v>3.21</v>
      </c>
      <c r="J40" s="369">
        <v>3.32</v>
      </c>
      <c r="K40" s="369">
        <v>3.43</v>
      </c>
      <c r="L40" s="369">
        <v>3.53</v>
      </c>
      <c r="M40" s="369">
        <v>3.61</v>
      </c>
      <c r="N40" s="369">
        <v>3.69</v>
      </c>
      <c r="O40" s="369">
        <v>3.75</v>
      </c>
      <c r="P40" s="459">
        <v>3.8</v>
      </c>
      <c r="Q40" s="369">
        <v>3.83</v>
      </c>
      <c r="R40" s="369">
        <v>3.85</v>
      </c>
      <c r="S40" s="369">
        <v>3.87</v>
      </c>
      <c r="T40" s="369">
        <v>3.89</v>
      </c>
      <c r="U40" s="369">
        <v>3.91</v>
      </c>
      <c r="V40" s="369">
        <v>3.9</v>
      </c>
      <c r="W40" s="369">
        <v>3.9</v>
      </c>
      <c r="X40" s="369">
        <v>3.89</v>
      </c>
      <c r="Y40" s="369">
        <v>3.89</v>
      </c>
      <c r="Z40" s="369">
        <v>3.89</v>
      </c>
      <c r="AA40" s="369">
        <v>3.87</v>
      </c>
      <c r="AB40" s="369">
        <v>3.86</v>
      </c>
      <c r="AC40" s="369">
        <v>3.85</v>
      </c>
      <c r="AD40" s="369">
        <v>3.84</v>
      </c>
      <c r="AE40" s="369">
        <v>3.82</v>
      </c>
      <c r="AF40" s="369">
        <v>3.81</v>
      </c>
      <c r="AG40" s="369">
        <v>3.8</v>
      </c>
      <c r="AH40" s="369">
        <v>3.79</v>
      </c>
      <c r="AI40" s="369">
        <v>3.79</v>
      </c>
      <c r="AJ40" s="369">
        <v>3.78</v>
      </c>
      <c r="AK40" s="369">
        <v>3.77</v>
      </c>
      <c r="AL40" s="369">
        <v>3.76</v>
      </c>
      <c r="AM40" s="369">
        <v>3.76</v>
      </c>
      <c r="AN40" s="369">
        <v>3.75</v>
      </c>
      <c r="AO40" s="369">
        <v>3.74</v>
      </c>
      <c r="AP40" s="369">
        <v>3.74</v>
      </c>
      <c r="AQ40" s="369">
        <v>3.73</v>
      </c>
      <c r="AR40" s="369">
        <v>3.73</v>
      </c>
      <c r="AS40" s="369">
        <v>3.72</v>
      </c>
      <c r="AT40" s="369">
        <v>3.72</v>
      </c>
      <c r="AU40" s="369">
        <v>3.71</v>
      </c>
      <c r="AV40" s="369">
        <v>3.71</v>
      </c>
      <c r="AW40" s="369">
        <v>3.71</v>
      </c>
      <c r="AX40" s="369">
        <v>3.7</v>
      </c>
      <c r="AY40" s="369">
        <v>3.7</v>
      </c>
      <c r="BB40" s="369">
        <v>2.94</v>
      </c>
    </row>
    <row r="41" spans="1:54">
      <c r="A41" s="115">
        <v>43008</v>
      </c>
      <c r="B41" s="369">
        <v>2.2200000000000002</v>
      </c>
      <c r="C41" s="369">
        <v>2.2999999999999998</v>
      </c>
      <c r="D41" s="369">
        <v>2.4300000000000002</v>
      </c>
      <c r="E41" s="369">
        <v>2.59</v>
      </c>
      <c r="F41" s="369">
        <v>2.75</v>
      </c>
      <c r="G41" s="369">
        <v>2.9</v>
      </c>
      <c r="H41" s="369">
        <v>3.04</v>
      </c>
      <c r="I41" s="369">
        <v>3.17</v>
      </c>
      <c r="J41" s="369">
        <v>3.29</v>
      </c>
      <c r="K41" s="369">
        <v>3.4</v>
      </c>
      <c r="L41" s="369">
        <v>3.5</v>
      </c>
      <c r="M41" s="369">
        <v>3.58</v>
      </c>
      <c r="N41" s="369">
        <v>3.66</v>
      </c>
      <c r="O41" s="369">
        <v>3.72</v>
      </c>
      <c r="P41" s="459">
        <v>3.77</v>
      </c>
      <c r="Q41" s="369">
        <v>3.8</v>
      </c>
      <c r="R41" s="369">
        <v>3.82</v>
      </c>
      <c r="S41" s="369">
        <v>3.84</v>
      </c>
      <c r="T41" s="369">
        <v>3.86</v>
      </c>
      <c r="U41" s="369">
        <v>3.88</v>
      </c>
      <c r="V41" s="369">
        <v>3.88</v>
      </c>
      <c r="W41" s="369">
        <v>3.87</v>
      </c>
      <c r="X41" s="369">
        <v>3.87</v>
      </c>
      <c r="Y41" s="369">
        <v>3.86</v>
      </c>
      <c r="Z41" s="369">
        <v>3.86</v>
      </c>
      <c r="AA41" s="369">
        <v>3.84</v>
      </c>
      <c r="AB41" s="369">
        <v>3.83</v>
      </c>
      <c r="AC41" s="369">
        <v>3.82</v>
      </c>
      <c r="AD41" s="369">
        <v>3.81</v>
      </c>
      <c r="AE41" s="369">
        <v>3.8</v>
      </c>
      <c r="AF41" s="369">
        <v>3.79</v>
      </c>
      <c r="AG41" s="369">
        <v>3.78</v>
      </c>
      <c r="AH41" s="369">
        <v>3.77</v>
      </c>
      <c r="AI41" s="369">
        <v>3.76</v>
      </c>
      <c r="AJ41" s="369">
        <v>3.75</v>
      </c>
      <c r="AK41" s="369">
        <v>3.74</v>
      </c>
      <c r="AL41" s="369">
        <v>3.74</v>
      </c>
      <c r="AM41" s="369">
        <v>3.73</v>
      </c>
      <c r="AN41" s="369">
        <v>3.72</v>
      </c>
      <c r="AO41" s="369">
        <v>3.72</v>
      </c>
      <c r="AP41" s="369">
        <v>3.71</v>
      </c>
      <c r="AQ41" s="369">
        <v>3.71</v>
      </c>
      <c r="AR41" s="369">
        <v>3.7</v>
      </c>
      <c r="AS41" s="369">
        <v>3.7</v>
      </c>
      <c r="AT41" s="369">
        <v>3.69</v>
      </c>
      <c r="AU41" s="369">
        <v>3.69</v>
      </c>
      <c r="AV41" s="369">
        <v>3.68</v>
      </c>
      <c r="AW41" s="369">
        <v>3.68</v>
      </c>
      <c r="AX41" s="369">
        <v>3.68</v>
      </c>
      <c r="AY41" s="369">
        <v>3.67</v>
      </c>
      <c r="BB41" s="369">
        <v>2.91</v>
      </c>
    </row>
    <row r="42" spans="1:54">
      <c r="A42" s="115">
        <v>43039</v>
      </c>
      <c r="B42" s="369">
        <v>2.1800000000000002</v>
      </c>
      <c r="C42" s="369">
        <v>2.2599999999999998</v>
      </c>
      <c r="D42" s="369">
        <v>2.4</v>
      </c>
      <c r="E42" s="369">
        <v>2.5499999999999998</v>
      </c>
      <c r="F42" s="369">
        <v>2.71</v>
      </c>
      <c r="G42" s="369">
        <v>2.87</v>
      </c>
      <c r="H42" s="369">
        <v>3.01</v>
      </c>
      <c r="I42" s="369">
        <v>3.14</v>
      </c>
      <c r="J42" s="369">
        <v>3.26</v>
      </c>
      <c r="K42" s="369">
        <v>3.37</v>
      </c>
      <c r="L42" s="369">
        <v>3.47</v>
      </c>
      <c r="M42" s="369">
        <v>3.55</v>
      </c>
      <c r="N42" s="369">
        <v>3.62</v>
      </c>
      <c r="O42" s="369">
        <v>3.69</v>
      </c>
      <c r="P42" s="459">
        <v>3.74</v>
      </c>
      <c r="Q42" s="369">
        <v>3.77</v>
      </c>
      <c r="R42" s="369">
        <v>3.79</v>
      </c>
      <c r="S42" s="369">
        <v>3.82</v>
      </c>
      <c r="T42" s="369">
        <v>3.84</v>
      </c>
      <c r="U42" s="369">
        <v>3.85</v>
      </c>
      <c r="V42" s="369">
        <v>3.85</v>
      </c>
      <c r="W42" s="369">
        <v>3.84</v>
      </c>
      <c r="X42" s="369">
        <v>3.84</v>
      </c>
      <c r="Y42" s="369">
        <v>3.83</v>
      </c>
      <c r="Z42" s="369">
        <v>3.83</v>
      </c>
      <c r="AA42" s="369">
        <v>3.82</v>
      </c>
      <c r="AB42" s="369">
        <v>3.8</v>
      </c>
      <c r="AC42" s="369">
        <v>3.79</v>
      </c>
      <c r="AD42" s="369">
        <v>3.78</v>
      </c>
      <c r="AE42" s="369">
        <v>3.77</v>
      </c>
      <c r="AF42" s="369">
        <v>3.76</v>
      </c>
      <c r="AG42" s="369">
        <v>3.75</v>
      </c>
      <c r="AH42" s="369">
        <v>3.74</v>
      </c>
      <c r="AI42" s="369">
        <v>3.73</v>
      </c>
      <c r="AJ42" s="369">
        <v>3.72</v>
      </c>
      <c r="AK42" s="369">
        <v>3.72</v>
      </c>
      <c r="AL42" s="369">
        <v>3.71</v>
      </c>
      <c r="AM42" s="369">
        <v>3.7</v>
      </c>
      <c r="AN42" s="369">
        <v>3.7</v>
      </c>
      <c r="AO42" s="369">
        <v>3.69</v>
      </c>
      <c r="AP42" s="369">
        <v>3.68</v>
      </c>
      <c r="AQ42" s="369">
        <v>3.68</v>
      </c>
      <c r="AR42" s="369">
        <v>3.67</v>
      </c>
      <c r="AS42" s="369">
        <v>3.67</v>
      </c>
      <c r="AT42" s="369">
        <v>3.67</v>
      </c>
      <c r="AU42" s="369">
        <v>3.66</v>
      </c>
      <c r="AV42" s="369">
        <v>3.66</v>
      </c>
      <c r="AW42" s="369">
        <v>3.65</v>
      </c>
      <c r="AX42" s="369">
        <v>3.65</v>
      </c>
      <c r="AY42" s="369">
        <v>3.65</v>
      </c>
      <c r="BB42" s="369">
        <v>2.88</v>
      </c>
    </row>
    <row r="43" spans="1:54">
      <c r="A43" s="114">
        <v>43069</v>
      </c>
      <c r="B43" s="369">
        <v>2.13</v>
      </c>
      <c r="C43" s="369">
        <v>2.2200000000000002</v>
      </c>
      <c r="D43" s="369">
        <v>2.36</v>
      </c>
      <c r="E43" s="369">
        <v>2.52</v>
      </c>
      <c r="F43" s="369">
        <v>2.67</v>
      </c>
      <c r="G43" s="369">
        <v>2.83</v>
      </c>
      <c r="H43" s="369">
        <v>2.97</v>
      </c>
      <c r="I43" s="369">
        <v>3.1</v>
      </c>
      <c r="J43" s="369">
        <v>3.22</v>
      </c>
      <c r="K43" s="369">
        <v>3.33</v>
      </c>
      <c r="L43" s="369">
        <v>3.43</v>
      </c>
      <c r="M43" s="369">
        <v>3.52</v>
      </c>
      <c r="N43" s="369">
        <v>3.59</v>
      </c>
      <c r="O43" s="369">
        <v>3.65</v>
      </c>
      <c r="P43" s="459">
        <v>3.71</v>
      </c>
      <c r="Q43" s="369">
        <v>3.74</v>
      </c>
      <c r="R43" s="369">
        <v>3.76</v>
      </c>
      <c r="S43" s="369">
        <v>3.78</v>
      </c>
      <c r="T43" s="369">
        <v>3.8</v>
      </c>
      <c r="U43" s="369">
        <v>3.82</v>
      </c>
      <c r="V43" s="369">
        <v>3.82</v>
      </c>
      <c r="W43" s="369">
        <v>3.81</v>
      </c>
      <c r="X43" s="369">
        <v>3.81</v>
      </c>
      <c r="Y43" s="369">
        <v>3.8</v>
      </c>
      <c r="Z43" s="369">
        <v>3.8</v>
      </c>
      <c r="AA43" s="369">
        <v>3.79</v>
      </c>
      <c r="AB43" s="369">
        <v>3.77</v>
      </c>
      <c r="AC43" s="369">
        <v>3.76</v>
      </c>
      <c r="AD43" s="369">
        <v>3.75</v>
      </c>
      <c r="AE43" s="369">
        <v>3.74</v>
      </c>
      <c r="AF43" s="369">
        <v>3.73</v>
      </c>
      <c r="AG43" s="369">
        <v>3.72</v>
      </c>
      <c r="AH43" s="369">
        <v>3.71</v>
      </c>
      <c r="AI43" s="369">
        <v>3.7</v>
      </c>
      <c r="AJ43" s="369">
        <v>3.69</v>
      </c>
      <c r="AK43" s="369">
        <v>3.69</v>
      </c>
      <c r="AL43" s="369">
        <v>3.68</v>
      </c>
      <c r="AM43" s="369">
        <v>3.67</v>
      </c>
      <c r="AN43" s="369">
        <v>3.67</v>
      </c>
      <c r="AO43" s="369">
        <v>3.66</v>
      </c>
      <c r="AP43" s="369">
        <v>3.65</v>
      </c>
      <c r="AQ43" s="369">
        <v>3.65</v>
      </c>
      <c r="AR43" s="369">
        <v>3.64</v>
      </c>
      <c r="AS43" s="369">
        <v>3.64</v>
      </c>
      <c r="AT43" s="369">
        <v>3.64</v>
      </c>
      <c r="AU43" s="369">
        <v>3.63</v>
      </c>
      <c r="AV43" s="369">
        <v>3.63</v>
      </c>
      <c r="AW43" s="369">
        <v>3.62</v>
      </c>
      <c r="AX43" s="369">
        <v>3.62</v>
      </c>
      <c r="AY43" s="369">
        <v>3.62</v>
      </c>
      <c r="BB43" s="369">
        <v>2.84</v>
      </c>
    </row>
    <row r="44" spans="1:54" s="131" customFormat="1" ht="12.75">
      <c r="A44" s="113">
        <v>43100</v>
      </c>
      <c r="B44" s="369">
        <v>2.09</v>
      </c>
      <c r="C44" s="369">
        <v>2.17</v>
      </c>
      <c r="D44" s="369">
        <v>2.3199999999999998</v>
      </c>
      <c r="E44" s="369">
        <v>2.48</v>
      </c>
      <c r="F44" s="369">
        <v>2.63</v>
      </c>
      <c r="G44" s="369">
        <v>2.79</v>
      </c>
      <c r="H44" s="369">
        <v>2.93</v>
      </c>
      <c r="I44" s="369">
        <v>3.07</v>
      </c>
      <c r="J44" s="369">
        <v>3.19</v>
      </c>
      <c r="K44" s="369">
        <v>3.3</v>
      </c>
      <c r="L44" s="369">
        <v>3.4</v>
      </c>
      <c r="M44" s="369">
        <v>3.48</v>
      </c>
      <c r="N44" s="369">
        <v>3.56</v>
      </c>
      <c r="O44" s="369">
        <v>3.62</v>
      </c>
      <c r="P44" s="459">
        <v>3.68</v>
      </c>
      <c r="Q44" s="369">
        <v>3.7</v>
      </c>
      <c r="R44" s="369">
        <v>3.73</v>
      </c>
      <c r="S44" s="369">
        <v>3.75</v>
      </c>
      <c r="T44" s="369">
        <v>3.77</v>
      </c>
      <c r="U44" s="369">
        <v>3.79</v>
      </c>
      <c r="V44" s="369">
        <v>3.78</v>
      </c>
      <c r="W44" s="369">
        <v>3.78</v>
      </c>
      <c r="X44" s="369">
        <v>3.77</v>
      </c>
      <c r="Y44" s="369">
        <v>3.77</v>
      </c>
      <c r="Z44" s="369">
        <v>3.77</v>
      </c>
      <c r="AA44" s="369">
        <v>3.75</v>
      </c>
      <c r="AB44" s="369">
        <v>3.74</v>
      </c>
      <c r="AC44" s="369">
        <v>3.73</v>
      </c>
      <c r="AD44" s="369">
        <v>3.72</v>
      </c>
      <c r="AE44" s="369">
        <v>3.71</v>
      </c>
      <c r="AF44" s="369">
        <v>3.7</v>
      </c>
      <c r="AG44" s="369">
        <v>3.69</v>
      </c>
      <c r="AH44" s="369">
        <v>3.68</v>
      </c>
      <c r="AI44" s="369">
        <v>3.67</v>
      </c>
      <c r="AJ44" s="369">
        <v>3.66</v>
      </c>
      <c r="AK44" s="369">
        <v>3.66</v>
      </c>
      <c r="AL44" s="369">
        <v>3.65</v>
      </c>
      <c r="AM44" s="369">
        <v>3.64</v>
      </c>
      <c r="AN44" s="369">
        <v>3.64</v>
      </c>
      <c r="AO44" s="369">
        <v>3.63</v>
      </c>
      <c r="AP44" s="369">
        <v>3.62</v>
      </c>
      <c r="AQ44" s="369">
        <v>3.62</v>
      </c>
      <c r="AR44" s="369">
        <v>3.62</v>
      </c>
      <c r="AS44" s="369">
        <v>3.61</v>
      </c>
      <c r="AT44" s="369">
        <v>3.61</v>
      </c>
      <c r="AU44" s="369">
        <v>3.6</v>
      </c>
      <c r="AV44" s="369">
        <v>3.6</v>
      </c>
      <c r="AW44" s="369">
        <v>3.6</v>
      </c>
      <c r="AX44" s="369">
        <v>3.59</v>
      </c>
      <c r="AY44" s="369">
        <v>3.59</v>
      </c>
      <c r="BB44" s="369">
        <v>2.8</v>
      </c>
    </row>
    <row r="45" spans="1:54">
      <c r="A45" s="115">
        <v>43131</v>
      </c>
      <c r="B45" s="369">
        <v>2.04</v>
      </c>
      <c r="C45" s="369">
        <v>2.13</v>
      </c>
      <c r="D45" s="369">
        <v>2.2799999999999998</v>
      </c>
      <c r="E45" s="369">
        <v>2.44</v>
      </c>
      <c r="F45" s="369">
        <v>2.6</v>
      </c>
      <c r="G45" s="369">
        <v>2.75</v>
      </c>
      <c r="H45" s="369">
        <v>2.9</v>
      </c>
      <c r="I45" s="369">
        <v>3.03</v>
      </c>
      <c r="J45" s="369">
        <v>3.15</v>
      </c>
      <c r="K45" s="369">
        <v>3.26</v>
      </c>
      <c r="L45" s="369">
        <v>3.37</v>
      </c>
      <c r="M45" s="369">
        <v>3.45</v>
      </c>
      <c r="N45" s="369">
        <v>3.52</v>
      </c>
      <c r="O45" s="369">
        <v>3.59</v>
      </c>
      <c r="P45" s="459">
        <v>3.64</v>
      </c>
      <c r="Q45" s="369">
        <v>3.67</v>
      </c>
      <c r="R45" s="369">
        <v>3.69</v>
      </c>
      <c r="S45" s="369">
        <v>3.72</v>
      </c>
      <c r="T45" s="369">
        <v>3.74</v>
      </c>
      <c r="U45" s="369">
        <v>3.75</v>
      </c>
      <c r="V45" s="369">
        <v>3.75</v>
      </c>
      <c r="W45" s="369">
        <v>3.74</v>
      </c>
      <c r="X45" s="369">
        <v>3.74</v>
      </c>
      <c r="Y45" s="369">
        <v>3.74</v>
      </c>
      <c r="Z45" s="369">
        <v>3.73</v>
      </c>
      <c r="AA45" s="369">
        <v>3.72</v>
      </c>
      <c r="AB45" s="369">
        <v>3.71</v>
      </c>
      <c r="AC45" s="369">
        <v>3.7</v>
      </c>
      <c r="AD45" s="369">
        <v>3.68</v>
      </c>
      <c r="AE45" s="369">
        <v>3.67</v>
      </c>
      <c r="AF45" s="369">
        <v>3.66</v>
      </c>
      <c r="AG45" s="369">
        <v>3.66</v>
      </c>
      <c r="AH45" s="369">
        <v>3.65</v>
      </c>
      <c r="AI45" s="369">
        <v>3.64</v>
      </c>
      <c r="AJ45" s="369">
        <v>3.63</v>
      </c>
      <c r="AK45" s="369">
        <v>3.62</v>
      </c>
      <c r="AL45" s="369">
        <v>3.62</v>
      </c>
      <c r="AM45" s="369">
        <v>3.61</v>
      </c>
      <c r="AN45" s="369">
        <v>3.6</v>
      </c>
      <c r="AO45" s="369">
        <v>3.6</v>
      </c>
      <c r="AP45" s="369">
        <v>3.59</v>
      </c>
      <c r="AQ45" s="369">
        <v>3.59</v>
      </c>
      <c r="AR45" s="369">
        <v>3.58</v>
      </c>
      <c r="AS45" s="369">
        <v>3.58</v>
      </c>
      <c r="AT45" s="369">
        <v>3.57</v>
      </c>
      <c r="AU45" s="369">
        <v>3.57</v>
      </c>
      <c r="AV45" s="369">
        <v>3.57</v>
      </c>
      <c r="AW45" s="369">
        <v>3.56</v>
      </c>
      <c r="AX45" s="369">
        <v>3.56</v>
      </c>
      <c r="AY45" s="369">
        <v>3.56</v>
      </c>
      <c r="BB45" s="369">
        <v>2.76</v>
      </c>
    </row>
    <row r="46" spans="1:54" s="131" customFormat="1" ht="12.75">
      <c r="A46" s="113">
        <v>43159</v>
      </c>
      <c r="B46" s="369">
        <v>2</v>
      </c>
      <c r="C46" s="369">
        <v>2.09</v>
      </c>
      <c r="D46" s="369">
        <v>2.2400000000000002</v>
      </c>
      <c r="E46" s="369">
        <v>2.4</v>
      </c>
      <c r="F46" s="369">
        <v>2.56</v>
      </c>
      <c r="G46" s="369">
        <v>2.72</v>
      </c>
      <c r="H46" s="369">
        <v>2.86</v>
      </c>
      <c r="I46" s="369">
        <v>3</v>
      </c>
      <c r="J46" s="369">
        <v>3.12</v>
      </c>
      <c r="K46" s="369">
        <v>3.23</v>
      </c>
      <c r="L46" s="369">
        <v>3.33</v>
      </c>
      <c r="M46" s="369">
        <v>3.41</v>
      </c>
      <c r="N46" s="369">
        <v>3.49</v>
      </c>
      <c r="O46" s="369">
        <v>3.55</v>
      </c>
      <c r="P46" s="459">
        <v>3.61</v>
      </c>
      <c r="Q46" s="369">
        <v>3.63</v>
      </c>
      <c r="R46" s="369">
        <v>3.66</v>
      </c>
      <c r="S46" s="369">
        <v>3.68</v>
      </c>
      <c r="T46" s="369">
        <v>3.7</v>
      </c>
      <c r="U46" s="369">
        <v>3.72</v>
      </c>
      <c r="V46" s="369">
        <v>3.72</v>
      </c>
      <c r="W46" s="369">
        <v>3.71</v>
      </c>
      <c r="X46" s="369">
        <v>3.71</v>
      </c>
      <c r="Y46" s="369">
        <v>3.7</v>
      </c>
      <c r="Z46" s="369">
        <v>3.7</v>
      </c>
      <c r="AA46" s="369">
        <v>3.69</v>
      </c>
      <c r="AB46" s="369">
        <v>3.67</v>
      </c>
      <c r="AC46" s="369">
        <v>3.66</v>
      </c>
      <c r="AD46" s="369">
        <v>3.65</v>
      </c>
      <c r="AE46" s="369">
        <v>3.64</v>
      </c>
      <c r="AF46" s="369">
        <v>3.63</v>
      </c>
      <c r="AG46" s="369">
        <v>3.62</v>
      </c>
      <c r="AH46" s="369">
        <v>3.61</v>
      </c>
      <c r="AI46" s="369">
        <v>3.6</v>
      </c>
      <c r="AJ46" s="369">
        <v>3.6</v>
      </c>
      <c r="AK46" s="369">
        <v>3.59</v>
      </c>
      <c r="AL46" s="369">
        <v>3.58</v>
      </c>
      <c r="AM46" s="369">
        <v>3.58</v>
      </c>
      <c r="AN46" s="369">
        <v>3.57</v>
      </c>
      <c r="AO46" s="369">
        <v>3.56</v>
      </c>
      <c r="AP46" s="369">
        <v>3.56</v>
      </c>
      <c r="AQ46" s="369">
        <v>3.55</v>
      </c>
      <c r="AR46" s="369">
        <v>3.55</v>
      </c>
      <c r="AS46" s="369">
        <v>3.55</v>
      </c>
      <c r="AT46" s="369">
        <v>3.54</v>
      </c>
      <c r="AU46" s="369">
        <v>3.54</v>
      </c>
      <c r="AV46" s="369">
        <v>3.53</v>
      </c>
      <c r="AW46" s="369">
        <v>3.53</v>
      </c>
      <c r="AX46" s="369">
        <v>3.53</v>
      </c>
      <c r="AY46" s="369">
        <v>3.52</v>
      </c>
      <c r="BB46" s="369">
        <v>2.72</v>
      </c>
    </row>
    <row r="47" spans="1:54">
      <c r="A47" s="115">
        <v>43190</v>
      </c>
      <c r="B47" s="369">
        <v>1.95</v>
      </c>
      <c r="C47" s="369">
        <v>2.0499999999999998</v>
      </c>
      <c r="D47" s="369">
        <v>2.19</v>
      </c>
      <c r="E47" s="369">
        <v>2.36</v>
      </c>
      <c r="F47" s="369">
        <v>2.52</v>
      </c>
      <c r="G47" s="369">
        <v>2.68</v>
      </c>
      <c r="H47" s="369">
        <v>2.82</v>
      </c>
      <c r="I47" s="369">
        <v>2.96</v>
      </c>
      <c r="J47" s="369">
        <v>3.08</v>
      </c>
      <c r="K47" s="369">
        <v>3.19</v>
      </c>
      <c r="L47" s="369">
        <v>3.29</v>
      </c>
      <c r="M47" s="369">
        <v>3.38</v>
      </c>
      <c r="N47" s="369">
        <v>3.45</v>
      </c>
      <c r="O47" s="369">
        <v>3.51</v>
      </c>
      <c r="P47" s="459">
        <v>3.57</v>
      </c>
      <c r="Q47" s="369">
        <v>3.6</v>
      </c>
      <c r="R47" s="369">
        <v>3.62</v>
      </c>
      <c r="S47" s="369">
        <v>3.65</v>
      </c>
      <c r="T47" s="369">
        <v>3.67</v>
      </c>
      <c r="U47" s="369">
        <v>3.68</v>
      </c>
      <c r="V47" s="369">
        <v>3.68</v>
      </c>
      <c r="W47" s="369">
        <v>3.67</v>
      </c>
      <c r="X47" s="369">
        <v>3.67</v>
      </c>
      <c r="Y47" s="369">
        <v>3.67</v>
      </c>
      <c r="Z47" s="369">
        <v>3.66</v>
      </c>
      <c r="AA47" s="369">
        <v>3.65</v>
      </c>
      <c r="AB47" s="369">
        <v>3.64</v>
      </c>
      <c r="AC47" s="369">
        <v>3.63</v>
      </c>
      <c r="AD47" s="369">
        <v>3.61</v>
      </c>
      <c r="AE47" s="369">
        <v>3.6</v>
      </c>
      <c r="AF47" s="369">
        <v>3.59</v>
      </c>
      <c r="AG47" s="369">
        <v>3.59</v>
      </c>
      <c r="AH47" s="369">
        <v>3.58</v>
      </c>
      <c r="AI47" s="369">
        <v>3.57</v>
      </c>
      <c r="AJ47" s="369">
        <v>3.56</v>
      </c>
      <c r="AK47" s="369">
        <v>3.55</v>
      </c>
      <c r="AL47" s="369">
        <v>3.55</v>
      </c>
      <c r="AM47" s="369">
        <v>3.54</v>
      </c>
      <c r="AN47" s="369">
        <v>3.53</v>
      </c>
      <c r="AO47" s="369">
        <v>3.53</v>
      </c>
      <c r="AP47" s="369">
        <v>3.52</v>
      </c>
      <c r="AQ47" s="369">
        <v>3.52</v>
      </c>
      <c r="AR47" s="369">
        <v>3.51</v>
      </c>
      <c r="AS47" s="369">
        <v>3.51</v>
      </c>
      <c r="AT47" s="369">
        <v>3.51</v>
      </c>
      <c r="AU47" s="369">
        <v>3.5</v>
      </c>
      <c r="AV47" s="369">
        <v>3.5</v>
      </c>
      <c r="AW47" s="369">
        <v>3.5</v>
      </c>
      <c r="AX47" s="369">
        <v>3.49</v>
      </c>
      <c r="AY47" s="369">
        <v>3.49</v>
      </c>
      <c r="BB47" s="369">
        <v>2.68</v>
      </c>
    </row>
    <row r="48" spans="1:54">
      <c r="A48" s="115">
        <v>43220</v>
      </c>
      <c r="B48" s="369">
        <v>1.9</v>
      </c>
      <c r="C48" s="369">
        <v>2</v>
      </c>
      <c r="D48" s="369">
        <v>2.15</v>
      </c>
      <c r="E48" s="369">
        <v>2.3199999999999998</v>
      </c>
      <c r="F48" s="369">
        <v>2.48</v>
      </c>
      <c r="G48" s="369">
        <v>2.64</v>
      </c>
      <c r="H48" s="369">
        <v>2.78</v>
      </c>
      <c r="I48" s="369">
        <v>2.92</v>
      </c>
      <c r="J48" s="369">
        <v>3.04</v>
      </c>
      <c r="K48" s="369">
        <v>3.15</v>
      </c>
      <c r="L48" s="369">
        <v>3.25</v>
      </c>
      <c r="M48" s="369">
        <v>3.34</v>
      </c>
      <c r="N48" s="369">
        <v>3.41</v>
      </c>
      <c r="O48" s="369">
        <v>3.48</v>
      </c>
      <c r="P48" s="459">
        <v>3.53</v>
      </c>
      <c r="Q48" s="369">
        <v>3.56</v>
      </c>
      <c r="R48" s="369">
        <v>3.59</v>
      </c>
      <c r="S48" s="369">
        <v>3.61</v>
      </c>
      <c r="T48" s="369">
        <v>3.63</v>
      </c>
      <c r="U48" s="369">
        <v>3.65</v>
      </c>
      <c r="V48" s="369">
        <v>3.64</v>
      </c>
      <c r="W48" s="369">
        <v>3.64</v>
      </c>
      <c r="X48" s="369">
        <v>3.63</v>
      </c>
      <c r="Y48" s="369">
        <v>3.63</v>
      </c>
      <c r="Z48" s="369">
        <v>3.63</v>
      </c>
      <c r="AA48" s="369">
        <v>3.61</v>
      </c>
      <c r="AB48" s="369">
        <v>3.6</v>
      </c>
      <c r="AC48" s="369">
        <v>3.59</v>
      </c>
      <c r="AD48" s="369">
        <v>3.58</v>
      </c>
      <c r="AE48" s="369">
        <v>3.57</v>
      </c>
      <c r="AF48" s="369">
        <v>3.56</v>
      </c>
      <c r="AG48" s="369">
        <v>3.55</v>
      </c>
      <c r="AH48" s="369">
        <v>3.54</v>
      </c>
      <c r="AI48" s="369">
        <v>3.53</v>
      </c>
      <c r="AJ48" s="369">
        <v>3.53</v>
      </c>
      <c r="AK48" s="369">
        <v>3.52</v>
      </c>
      <c r="AL48" s="369">
        <v>3.51</v>
      </c>
      <c r="AM48" s="369">
        <v>3.51</v>
      </c>
      <c r="AN48" s="369">
        <v>3.5</v>
      </c>
      <c r="AO48" s="369">
        <v>3.49</v>
      </c>
      <c r="AP48" s="369">
        <v>3.49</v>
      </c>
      <c r="AQ48" s="369">
        <v>3.49</v>
      </c>
      <c r="AR48" s="369">
        <v>3.48</v>
      </c>
      <c r="AS48" s="369">
        <v>3.48</v>
      </c>
      <c r="AT48" s="369">
        <v>3.47</v>
      </c>
      <c r="AU48" s="369">
        <v>3.47</v>
      </c>
      <c r="AV48" s="369">
        <v>3.47</v>
      </c>
      <c r="AW48" s="369">
        <v>3.46</v>
      </c>
      <c r="AX48" s="369">
        <v>3.46</v>
      </c>
      <c r="AY48" s="369">
        <v>3.46</v>
      </c>
      <c r="BB48" s="369">
        <v>2.64</v>
      </c>
    </row>
    <row r="49" spans="1:54">
      <c r="A49" s="115">
        <v>43251</v>
      </c>
      <c r="B49" s="369">
        <v>1.85</v>
      </c>
      <c r="C49" s="369">
        <v>1.95</v>
      </c>
      <c r="D49" s="369">
        <v>2.1</v>
      </c>
      <c r="E49" s="369">
        <v>2.27</v>
      </c>
      <c r="F49" s="369">
        <v>2.44</v>
      </c>
      <c r="G49" s="369">
        <v>2.6</v>
      </c>
      <c r="H49" s="369">
        <v>2.74</v>
      </c>
      <c r="I49" s="369">
        <v>2.88</v>
      </c>
      <c r="J49" s="369">
        <v>3</v>
      </c>
      <c r="K49" s="369">
        <v>3.11</v>
      </c>
      <c r="L49" s="369">
        <v>3.22</v>
      </c>
      <c r="M49" s="369">
        <v>3.3</v>
      </c>
      <c r="N49" s="369">
        <v>3.38</v>
      </c>
      <c r="O49" s="369">
        <v>3.44</v>
      </c>
      <c r="P49" s="459">
        <v>3.5</v>
      </c>
      <c r="Q49" s="369">
        <v>3.52</v>
      </c>
      <c r="R49" s="369">
        <v>3.55</v>
      </c>
      <c r="S49" s="369">
        <v>3.57</v>
      </c>
      <c r="T49" s="369">
        <v>3.59</v>
      </c>
      <c r="U49" s="369">
        <v>3.61</v>
      </c>
      <c r="V49" s="369">
        <v>3.61</v>
      </c>
      <c r="W49" s="369">
        <v>3.6</v>
      </c>
      <c r="X49" s="369">
        <v>3.6</v>
      </c>
      <c r="Y49" s="369">
        <v>3.6</v>
      </c>
      <c r="Z49" s="369">
        <v>3.59</v>
      </c>
      <c r="AA49" s="369">
        <v>3.58</v>
      </c>
      <c r="AB49" s="369">
        <v>3.57</v>
      </c>
      <c r="AC49" s="369">
        <v>3.56</v>
      </c>
      <c r="AD49" s="369">
        <v>3.55</v>
      </c>
      <c r="AE49" s="369">
        <v>3.54</v>
      </c>
      <c r="AF49" s="369">
        <v>3.53</v>
      </c>
      <c r="AG49" s="369">
        <v>3.52</v>
      </c>
      <c r="AH49" s="369">
        <v>3.51</v>
      </c>
      <c r="AI49" s="369">
        <v>3.5</v>
      </c>
      <c r="AJ49" s="369">
        <v>3.49</v>
      </c>
      <c r="AK49" s="369">
        <v>3.49</v>
      </c>
      <c r="AL49" s="369">
        <v>3.48</v>
      </c>
      <c r="AM49" s="369">
        <v>3.47</v>
      </c>
      <c r="AN49" s="369">
        <v>3.47</v>
      </c>
      <c r="AO49" s="369">
        <v>3.46</v>
      </c>
      <c r="AP49" s="369">
        <v>3.46</v>
      </c>
      <c r="AQ49" s="369">
        <v>3.45</v>
      </c>
      <c r="AR49" s="369">
        <v>3.45</v>
      </c>
      <c r="AS49" s="369">
        <v>3.44</v>
      </c>
      <c r="AT49" s="369">
        <v>3.44</v>
      </c>
      <c r="AU49" s="369">
        <v>3.44</v>
      </c>
      <c r="AV49" s="369">
        <v>3.43</v>
      </c>
      <c r="AW49" s="369">
        <v>3.43</v>
      </c>
      <c r="AX49" s="369">
        <v>3.43</v>
      </c>
      <c r="AY49" s="369">
        <v>3.42</v>
      </c>
      <c r="BB49" s="369">
        <v>2.6</v>
      </c>
    </row>
    <row r="50" spans="1:54" s="131" customFormat="1" ht="12.75">
      <c r="A50" s="113">
        <v>43281</v>
      </c>
      <c r="B50" s="369">
        <v>1.8</v>
      </c>
      <c r="C50" s="369">
        <v>1.9</v>
      </c>
      <c r="D50" s="369">
        <v>2.0499999999999998</v>
      </c>
      <c r="E50" s="369">
        <v>2.2200000000000002</v>
      </c>
      <c r="F50" s="369">
        <v>2.39</v>
      </c>
      <c r="G50" s="369">
        <v>2.5499999999999998</v>
      </c>
      <c r="H50" s="369">
        <v>2.7</v>
      </c>
      <c r="I50" s="369">
        <v>2.84</v>
      </c>
      <c r="J50" s="369">
        <v>2.96</v>
      </c>
      <c r="K50" s="369">
        <v>3.07</v>
      </c>
      <c r="L50" s="369">
        <v>3.18</v>
      </c>
      <c r="M50" s="369">
        <v>3.26</v>
      </c>
      <c r="N50" s="369">
        <v>3.34</v>
      </c>
      <c r="O50" s="369">
        <v>3.4</v>
      </c>
      <c r="P50" s="459">
        <v>3.46</v>
      </c>
      <c r="Q50" s="369">
        <v>3.49</v>
      </c>
      <c r="R50" s="369">
        <v>3.51</v>
      </c>
      <c r="S50" s="369">
        <v>3.54</v>
      </c>
      <c r="T50" s="369">
        <v>3.56</v>
      </c>
      <c r="U50" s="369">
        <v>3.58</v>
      </c>
      <c r="V50" s="369">
        <v>3.57</v>
      </c>
      <c r="W50" s="369">
        <v>3.57</v>
      </c>
      <c r="X50" s="369">
        <v>3.56</v>
      </c>
      <c r="Y50" s="369">
        <v>3.56</v>
      </c>
      <c r="Z50" s="369">
        <v>3.56</v>
      </c>
      <c r="AA50" s="369">
        <v>3.54</v>
      </c>
      <c r="AB50" s="369">
        <v>3.53</v>
      </c>
      <c r="AC50" s="369">
        <v>3.52</v>
      </c>
      <c r="AD50" s="369">
        <v>3.51</v>
      </c>
      <c r="AE50" s="369">
        <v>3.5</v>
      </c>
      <c r="AF50" s="369">
        <v>3.49</v>
      </c>
      <c r="AG50" s="369">
        <v>3.48</v>
      </c>
      <c r="AH50" s="369">
        <v>3.48</v>
      </c>
      <c r="AI50" s="369">
        <v>3.47</v>
      </c>
      <c r="AJ50" s="369">
        <v>3.46</v>
      </c>
      <c r="AK50" s="369">
        <v>3.45</v>
      </c>
      <c r="AL50" s="369">
        <v>3.45</v>
      </c>
      <c r="AM50" s="369">
        <v>3.44</v>
      </c>
      <c r="AN50" s="369">
        <v>3.43</v>
      </c>
      <c r="AO50" s="369">
        <v>3.43</v>
      </c>
      <c r="AP50" s="369">
        <v>3.42</v>
      </c>
      <c r="AQ50" s="369">
        <v>3.42</v>
      </c>
      <c r="AR50" s="369">
        <v>3.42</v>
      </c>
      <c r="AS50" s="369">
        <v>3.41</v>
      </c>
      <c r="AT50" s="369">
        <v>3.41</v>
      </c>
      <c r="AU50" s="369">
        <v>3.4</v>
      </c>
      <c r="AV50" s="369">
        <v>3.4</v>
      </c>
      <c r="AW50" s="369">
        <v>3.4</v>
      </c>
      <c r="AX50" s="369">
        <v>3.39</v>
      </c>
      <c r="AY50" s="369">
        <v>3.39</v>
      </c>
      <c r="BB50" s="369">
        <v>2.56</v>
      </c>
    </row>
    <row r="51" spans="1:54">
      <c r="A51" s="116">
        <v>43312</v>
      </c>
      <c r="B51" s="369">
        <v>1.75</v>
      </c>
      <c r="C51" s="369">
        <v>1.85</v>
      </c>
      <c r="D51" s="369">
        <v>2</v>
      </c>
      <c r="E51" s="369">
        <v>2.1800000000000002</v>
      </c>
      <c r="F51" s="369">
        <v>2.35</v>
      </c>
      <c r="G51" s="369">
        <v>2.5099999999999998</v>
      </c>
      <c r="H51" s="369">
        <v>2.66</v>
      </c>
      <c r="I51" s="369">
        <v>2.8</v>
      </c>
      <c r="J51" s="369">
        <v>2.92</v>
      </c>
      <c r="K51" s="369">
        <v>3.04</v>
      </c>
      <c r="L51" s="369">
        <v>3.14</v>
      </c>
      <c r="M51" s="369">
        <v>3.23</v>
      </c>
      <c r="N51" s="369">
        <v>3.3</v>
      </c>
      <c r="O51" s="369">
        <v>3.37</v>
      </c>
      <c r="P51" s="459">
        <v>3.42</v>
      </c>
      <c r="Q51" s="369">
        <v>3.45</v>
      </c>
      <c r="R51" s="369">
        <v>3.48</v>
      </c>
      <c r="S51" s="369">
        <v>3.5</v>
      </c>
      <c r="T51" s="369">
        <v>3.52</v>
      </c>
      <c r="U51" s="369">
        <v>3.54</v>
      </c>
      <c r="V51" s="369">
        <v>3.54</v>
      </c>
      <c r="W51" s="369">
        <v>3.53</v>
      </c>
      <c r="X51" s="369">
        <v>3.53</v>
      </c>
      <c r="Y51" s="369">
        <v>3.53</v>
      </c>
      <c r="Z51" s="369">
        <v>3.52</v>
      </c>
      <c r="AA51" s="369">
        <v>3.51</v>
      </c>
      <c r="AB51" s="369">
        <v>3.5</v>
      </c>
      <c r="AC51" s="369">
        <v>3.49</v>
      </c>
      <c r="AD51" s="369">
        <v>3.48</v>
      </c>
      <c r="AE51" s="369">
        <v>3.47</v>
      </c>
      <c r="AF51" s="369">
        <v>3.46</v>
      </c>
      <c r="AG51" s="369">
        <v>3.45</v>
      </c>
      <c r="AH51" s="369">
        <v>3.44</v>
      </c>
      <c r="AI51" s="369">
        <v>3.44</v>
      </c>
      <c r="AJ51" s="369">
        <v>3.43</v>
      </c>
      <c r="AK51" s="369">
        <v>3.42</v>
      </c>
      <c r="AL51" s="369">
        <v>3.41</v>
      </c>
      <c r="AM51" s="369">
        <v>3.41</v>
      </c>
      <c r="AN51" s="369">
        <v>3.4</v>
      </c>
      <c r="AO51" s="369">
        <v>3.4</v>
      </c>
      <c r="AP51" s="369">
        <v>3.39</v>
      </c>
      <c r="AQ51" s="369">
        <v>3.39</v>
      </c>
      <c r="AR51" s="369">
        <v>3.38</v>
      </c>
      <c r="AS51" s="369">
        <v>3.38</v>
      </c>
      <c r="AT51" s="369">
        <v>3.38</v>
      </c>
      <c r="AU51" s="369">
        <v>3.37</v>
      </c>
      <c r="AV51" s="369">
        <v>3.37</v>
      </c>
      <c r="AW51" s="369">
        <v>3.37</v>
      </c>
      <c r="AX51" s="369">
        <v>3.36</v>
      </c>
      <c r="AY51" s="369">
        <v>3.36</v>
      </c>
      <c r="BB51" s="369">
        <v>2.52</v>
      </c>
    </row>
    <row r="52" spans="1:54">
      <c r="A52" s="113">
        <v>43343</v>
      </c>
      <c r="B52" s="369">
        <v>1.69</v>
      </c>
      <c r="C52" s="369">
        <v>1.8</v>
      </c>
      <c r="D52" s="369">
        <v>1.96</v>
      </c>
      <c r="E52" s="369">
        <v>2.13</v>
      </c>
      <c r="F52" s="369">
        <v>2.2999999999999998</v>
      </c>
      <c r="G52" s="369">
        <v>2.4700000000000002</v>
      </c>
      <c r="H52" s="369">
        <v>2.62</v>
      </c>
      <c r="I52" s="369">
        <v>2.76</v>
      </c>
      <c r="J52" s="369">
        <v>2.88</v>
      </c>
      <c r="K52" s="369">
        <v>3</v>
      </c>
      <c r="L52" s="369">
        <v>3.1</v>
      </c>
      <c r="M52" s="369">
        <v>3.19</v>
      </c>
      <c r="N52" s="369">
        <v>3.26</v>
      </c>
      <c r="O52" s="369">
        <v>3.33</v>
      </c>
      <c r="P52" s="459">
        <v>3.39</v>
      </c>
      <c r="Q52" s="369">
        <v>3.42</v>
      </c>
      <c r="R52" s="369">
        <v>3.44</v>
      </c>
      <c r="S52" s="369">
        <v>3.47</v>
      </c>
      <c r="T52" s="369">
        <v>3.49</v>
      </c>
      <c r="U52" s="369">
        <v>3.51</v>
      </c>
      <c r="V52" s="369">
        <v>3.5</v>
      </c>
      <c r="W52" s="369">
        <v>3.5</v>
      </c>
      <c r="X52" s="369">
        <v>3.5</v>
      </c>
      <c r="Y52" s="369">
        <v>3.49</v>
      </c>
      <c r="Z52" s="369">
        <v>3.49</v>
      </c>
      <c r="AA52" s="369">
        <v>3.48</v>
      </c>
      <c r="AB52" s="369">
        <v>3.47</v>
      </c>
      <c r="AC52" s="369">
        <v>3.46</v>
      </c>
      <c r="AD52" s="369">
        <v>3.45</v>
      </c>
      <c r="AE52" s="369">
        <v>3.44</v>
      </c>
      <c r="AF52" s="369">
        <v>3.43</v>
      </c>
      <c r="AG52" s="369">
        <v>3.42</v>
      </c>
      <c r="AH52" s="369">
        <v>3.41</v>
      </c>
      <c r="AI52" s="369">
        <v>3.4</v>
      </c>
      <c r="AJ52" s="369">
        <v>3.4</v>
      </c>
      <c r="AK52" s="369">
        <v>3.39</v>
      </c>
      <c r="AL52" s="369">
        <v>3.38</v>
      </c>
      <c r="AM52" s="369">
        <v>3.38</v>
      </c>
      <c r="AN52" s="369">
        <v>3.37</v>
      </c>
      <c r="AO52" s="369">
        <v>3.37</v>
      </c>
      <c r="AP52" s="369">
        <v>3.36</v>
      </c>
      <c r="AQ52" s="369">
        <v>3.36</v>
      </c>
      <c r="AR52" s="369">
        <v>3.35</v>
      </c>
      <c r="AS52" s="369">
        <v>3.35</v>
      </c>
      <c r="AT52" s="369">
        <v>3.35</v>
      </c>
      <c r="AU52" s="369">
        <v>3.34</v>
      </c>
      <c r="AV52" s="369">
        <v>3.34</v>
      </c>
      <c r="AW52" s="369">
        <v>3.34</v>
      </c>
      <c r="AX52" s="369">
        <v>3.33</v>
      </c>
      <c r="AY52" s="369">
        <v>3.33</v>
      </c>
      <c r="BB52" s="369">
        <v>2.48</v>
      </c>
    </row>
    <row r="53" spans="1:54" s="131" customFormat="1" ht="12.75">
      <c r="A53" s="116">
        <v>43373</v>
      </c>
      <c r="B53" s="369">
        <v>1.63</v>
      </c>
      <c r="C53" s="369">
        <v>1.75</v>
      </c>
      <c r="D53" s="369">
        <v>1.9</v>
      </c>
      <c r="E53" s="369">
        <v>2.08</v>
      </c>
      <c r="F53" s="369">
        <v>2.25</v>
      </c>
      <c r="G53" s="369">
        <v>2.42</v>
      </c>
      <c r="H53" s="369">
        <v>2.57</v>
      </c>
      <c r="I53" s="369">
        <v>2.71</v>
      </c>
      <c r="J53" s="369">
        <v>2.83</v>
      </c>
      <c r="K53" s="369">
        <v>2.95</v>
      </c>
      <c r="L53" s="369">
        <v>3.06</v>
      </c>
      <c r="M53" s="369">
        <v>3.14</v>
      </c>
      <c r="N53" s="369">
        <v>3.22</v>
      </c>
      <c r="O53" s="369">
        <v>3.28</v>
      </c>
      <c r="P53" s="459">
        <v>3.34</v>
      </c>
      <c r="Q53" s="369">
        <v>3.37</v>
      </c>
      <c r="R53" s="369">
        <v>3.4</v>
      </c>
      <c r="S53" s="369">
        <v>3.42</v>
      </c>
      <c r="T53" s="369">
        <v>3.44</v>
      </c>
      <c r="U53" s="369">
        <v>3.46</v>
      </c>
      <c r="V53" s="369">
        <v>3.46</v>
      </c>
      <c r="W53" s="369">
        <v>3.46</v>
      </c>
      <c r="X53" s="369">
        <v>3.45</v>
      </c>
      <c r="Y53" s="369">
        <v>3.45</v>
      </c>
      <c r="Z53" s="369">
        <v>3.45</v>
      </c>
      <c r="AA53" s="369">
        <v>3.44</v>
      </c>
      <c r="AB53" s="369">
        <v>3.43</v>
      </c>
      <c r="AC53" s="369">
        <v>3.42</v>
      </c>
      <c r="AD53" s="369">
        <v>3.41</v>
      </c>
      <c r="AE53" s="369">
        <v>3.4</v>
      </c>
      <c r="AF53" s="369">
        <v>3.39</v>
      </c>
      <c r="AG53" s="369">
        <v>3.38</v>
      </c>
      <c r="AH53" s="369">
        <v>3.37</v>
      </c>
      <c r="AI53" s="369">
        <v>3.36</v>
      </c>
      <c r="AJ53" s="369">
        <v>3.36</v>
      </c>
      <c r="AK53" s="369">
        <v>3.35</v>
      </c>
      <c r="AL53" s="369">
        <v>3.34</v>
      </c>
      <c r="AM53" s="369">
        <v>3.34</v>
      </c>
      <c r="AN53" s="369">
        <v>3.33</v>
      </c>
      <c r="AO53" s="369">
        <v>3.33</v>
      </c>
      <c r="AP53" s="369">
        <v>3.32</v>
      </c>
      <c r="AQ53" s="369">
        <v>3.32</v>
      </c>
      <c r="AR53" s="369">
        <v>3.32</v>
      </c>
      <c r="AS53" s="369">
        <v>3.31</v>
      </c>
      <c r="AT53" s="369">
        <v>3.31</v>
      </c>
      <c r="AU53" s="369">
        <v>3.31</v>
      </c>
      <c r="AV53" s="369">
        <v>3.3</v>
      </c>
      <c r="AW53" s="369">
        <v>3.3</v>
      </c>
      <c r="AX53" s="369">
        <v>3.3</v>
      </c>
      <c r="AY53" s="369">
        <v>3.29</v>
      </c>
      <c r="BB53" s="369">
        <v>2.4300000000000002</v>
      </c>
    </row>
    <row r="54" spans="1:54" s="131" customFormat="1" ht="12.75">
      <c r="A54" s="113">
        <v>43404</v>
      </c>
      <c r="B54" s="369">
        <v>1.58</v>
      </c>
      <c r="C54" s="369">
        <v>1.7</v>
      </c>
      <c r="D54" s="369">
        <v>1.85</v>
      </c>
      <c r="E54" s="369">
        <v>2.0299999999999998</v>
      </c>
      <c r="F54" s="369">
        <v>2.2000000000000002</v>
      </c>
      <c r="G54" s="369">
        <v>2.37</v>
      </c>
      <c r="H54" s="369">
        <v>2.52</v>
      </c>
      <c r="I54" s="369">
        <v>2.66</v>
      </c>
      <c r="J54" s="369">
        <v>2.78</v>
      </c>
      <c r="K54" s="369">
        <v>2.9</v>
      </c>
      <c r="L54" s="369">
        <v>3.01</v>
      </c>
      <c r="M54" s="369">
        <v>3.09</v>
      </c>
      <c r="N54" s="369">
        <v>3.17</v>
      </c>
      <c r="O54" s="369">
        <v>3.24</v>
      </c>
      <c r="P54" s="459">
        <v>3.29</v>
      </c>
      <c r="Q54" s="369">
        <v>3.32</v>
      </c>
      <c r="R54" s="369">
        <v>3.35</v>
      </c>
      <c r="S54" s="369">
        <v>3.38</v>
      </c>
      <c r="T54" s="369">
        <v>3.4</v>
      </c>
      <c r="U54" s="369">
        <v>3.42</v>
      </c>
      <c r="V54" s="369">
        <v>3.42</v>
      </c>
      <c r="W54" s="369">
        <v>3.41</v>
      </c>
      <c r="X54" s="369">
        <v>3.41</v>
      </c>
      <c r="Y54" s="369">
        <v>3.41</v>
      </c>
      <c r="Z54" s="369">
        <v>3.41</v>
      </c>
      <c r="AA54" s="369">
        <v>3.39</v>
      </c>
      <c r="AB54" s="369">
        <v>3.38</v>
      </c>
      <c r="AC54" s="369">
        <v>3.37</v>
      </c>
      <c r="AD54" s="369">
        <v>3.36</v>
      </c>
      <c r="AE54" s="369">
        <v>3.36</v>
      </c>
      <c r="AF54" s="369">
        <v>3.35</v>
      </c>
      <c r="AG54" s="369">
        <v>3.34</v>
      </c>
      <c r="AH54" s="369">
        <v>3.33</v>
      </c>
      <c r="AI54" s="369">
        <v>3.32</v>
      </c>
      <c r="AJ54" s="369">
        <v>3.32</v>
      </c>
      <c r="AK54" s="369">
        <v>3.31</v>
      </c>
      <c r="AL54" s="369">
        <v>3.3</v>
      </c>
      <c r="AM54" s="369">
        <v>3.3</v>
      </c>
      <c r="AN54" s="369">
        <v>3.29</v>
      </c>
      <c r="AO54" s="369">
        <v>3.29</v>
      </c>
      <c r="AP54" s="369">
        <v>3.28</v>
      </c>
      <c r="AQ54" s="369">
        <v>3.28</v>
      </c>
      <c r="AR54" s="369">
        <v>3.28</v>
      </c>
      <c r="AS54" s="369">
        <v>3.27</v>
      </c>
      <c r="AT54" s="369">
        <v>3.27</v>
      </c>
      <c r="AU54" s="369">
        <v>3.27</v>
      </c>
      <c r="AV54" s="369">
        <v>3.26</v>
      </c>
      <c r="AW54" s="369">
        <v>3.26</v>
      </c>
      <c r="AX54" s="369">
        <v>3.26</v>
      </c>
      <c r="AY54" s="369">
        <v>3.25</v>
      </c>
      <c r="BB54" s="369">
        <v>2.4</v>
      </c>
    </row>
    <row r="55" spans="1:54" s="131" customFormat="1" ht="12.75">
      <c r="A55" s="116">
        <v>43434</v>
      </c>
      <c r="B55" s="369">
        <v>1.53</v>
      </c>
      <c r="C55" s="369">
        <v>1.65</v>
      </c>
      <c r="D55" s="369">
        <v>1.81</v>
      </c>
      <c r="E55" s="369">
        <v>1.98</v>
      </c>
      <c r="F55" s="369">
        <v>2.15</v>
      </c>
      <c r="G55" s="369">
        <v>2.3199999999999998</v>
      </c>
      <c r="H55" s="369">
        <v>2.4700000000000002</v>
      </c>
      <c r="I55" s="369">
        <v>2.61</v>
      </c>
      <c r="J55" s="369">
        <v>2.74</v>
      </c>
      <c r="K55" s="369">
        <v>2.86</v>
      </c>
      <c r="L55" s="369">
        <v>2.96</v>
      </c>
      <c r="M55" s="369">
        <v>3.05</v>
      </c>
      <c r="N55" s="369">
        <v>3.13</v>
      </c>
      <c r="O55" s="369">
        <v>3.19</v>
      </c>
      <c r="P55" s="459">
        <v>3.25</v>
      </c>
      <c r="Q55" s="369">
        <v>3.28</v>
      </c>
      <c r="R55" s="369">
        <v>3.31</v>
      </c>
      <c r="S55" s="369">
        <v>3.33</v>
      </c>
      <c r="T55" s="369">
        <v>3.36</v>
      </c>
      <c r="U55" s="369">
        <v>3.38</v>
      </c>
      <c r="V55" s="369">
        <v>3.38</v>
      </c>
      <c r="W55" s="369">
        <v>3.37</v>
      </c>
      <c r="X55" s="369">
        <v>3.37</v>
      </c>
      <c r="Y55" s="369">
        <v>3.37</v>
      </c>
      <c r="Z55" s="369">
        <v>3.37</v>
      </c>
      <c r="AA55" s="369">
        <v>3.36</v>
      </c>
      <c r="AB55" s="369">
        <v>3.35</v>
      </c>
      <c r="AC55" s="369">
        <v>3.34</v>
      </c>
      <c r="AD55" s="369">
        <v>3.33</v>
      </c>
      <c r="AE55" s="369">
        <v>3.32</v>
      </c>
      <c r="AF55" s="369">
        <v>3.31</v>
      </c>
      <c r="AG55" s="369">
        <v>3.3</v>
      </c>
      <c r="AH55" s="369">
        <v>3.3</v>
      </c>
      <c r="AI55" s="369">
        <v>3.29</v>
      </c>
      <c r="AJ55" s="369">
        <v>3.28</v>
      </c>
      <c r="AK55" s="369">
        <v>3.28</v>
      </c>
      <c r="AL55" s="369">
        <v>3.27</v>
      </c>
      <c r="AM55" s="369">
        <v>3.26</v>
      </c>
      <c r="AN55" s="369">
        <v>3.26</v>
      </c>
      <c r="AO55" s="369">
        <v>3.25</v>
      </c>
      <c r="AP55" s="369">
        <v>3.25</v>
      </c>
      <c r="AQ55" s="369">
        <v>3.25</v>
      </c>
      <c r="AR55" s="369">
        <v>3.24</v>
      </c>
      <c r="AS55" s="369">
        <v>3.24</v>
      </c>
      <c r="AT55" s="369">
        <v>3.24</v>
      </c>
      <c r="AU55" s="369">
        <v>3.23</v>
      </c>
      <c r="AV55" s="369">
        <v>3.23</v>
      </c>
      <c r="AW55" s="369">
        <v>3.23</v>
      </c>
      <c r="AX55" s="369">
        <v>3.22</v>
      </c>
      <c r="AY55" s="369">
        <v>3.22</v>
      </c>
      <c r="BB55" s="369">
        <v>2.36</v>
      </c>
    </row>
    <row r="56" spans="1:54">
      <c r="A56" s="113">
        <v>43465</v>
      </c>
      <c r="B56" s="369">
        <v>1.49</v>
      </c>
      <c r="C56" s="369">
        <v>1.61</v>
      </c>
      <c r="D56" s="369">
        <v>1.76</v>
      </c>
      <c r="E56" s="369">
        <v>1.94</v>
      </c>
      <c r="F56" s="369">
        <v>2.11</v>
      </c>
      <c r="G56" s="369">
        <v>2.2799999999999998</v>
      </c>
      <c r="H56" s="369">
        <v>2.4300000000000002</v>
      </c>
      <c r="I56" s="369">
        <v>2.57</v>
      </c>
      <c r="J56" s="369">
        <v>2.7</v>
      </c>
      <c r="K56" s="369">
        <v>2.81</v>
      </c>
      <c r="L56" s="369">
        <v>2.92</v>
      </c>
      <c r="M56" s="369">
        <v>3.01</v>
      </c>
      <c r="N56" s="369">
        <v>3.08</v>
      </c>
      <c r="O56" s="369">
        <v>3.15</v>
      </c>
      <c r="P56" s="459">
        <v>3.21</v>
      </c>
      <c r="Q56" s="369">
        <v>3.24</v>
      </c>
      <c r="R56" s="369">
        <v>3.27</v>
      </c>
      <c r="S56" s="369">
        <v>3.29</v>
      </c>
      <c r="T56" s="369">
        <v>3.32</v>
      </c>
      <c r="U56" s="369">
        <v>3.34</v>
      </c>
      <c r="V56" s="369">
        <v>3.34</v>
      </c>
      <c r="W56" s="369">
        <v>3.33</v>
      </c>
      <c r="X56" s="369">
        <v>3.33</v>
      </c>
      <c r="Y56" s="369">
        <v>3.33</v>
      </c>
      <c r="Z56" s="369">
        <v>3.33</v>
      </c>
      <c r="AA56" s="369">
        <v>3.32</v>
      </c>
      <c r="AB56" s="369">
        <v>3.31</v>
      </c>
      <c r="AC56" s="369">
        <v>3.3</v>
      </c>
      <c r="AD56" s="369">
        <v>3.29</v>
      </c>
      <c r="AE56" s="369">
        <v>3.28</v>
      </c>
      <c r="AF56" s="369">
        <v>3.28</v>
      </c>
      <c r="AG56" s="369">
        <v>3.27</v>
      </c>
      <c r="AH56" s="369">
        <v>3.26</v>
      </c>
      <c r="AI56" s="369">
        <v>3.25</v>
      </c>
      <c r="AJ56" s="369">
        <v>3.25</v>
      </c>
      <c r="AK56" s="369">
        <v>3.24</v>
      </c>
      <c r="AL56" s="369">
        <v>3.24</v>
      </c>
      <c r="AM56" s="369">
        <v>3.23</v>
      </c>
      <c r="AN56" s="369">
        <v>3.23</v>
      </c>
      <c r="AO56" s="369">
        <v>3.22</v>
      </c>
      <c r="AP56" s="369">
        <v>3.22</v>
      </c>
      <c r="AQ56" s="369">
        <v>3.21</v>
      </c>
      <c r="AR56" s="369">
        <v>3.21</v>
      </c>
      <c r="AS56" s="369">
        <v>3.21</v>
      </c>
      <c r="AT56" s="369">
        <v>3.2</v>
      </c>
      <c r="AU56" s="369">
        <v>3.2</v>
      </c>
      <c r="AV56" s="369">
        <v>3.2</v>
      </c>
      <c r="AW56" s="369">
        <v>3.2</v>
      </c>
      <c r="AX56" s="369">
        <v>3.19</v>
      </c>
      <c r="AY56" s="369">
        <v>3.19</v>
      </c>
      <c r="BB56" s="369">
        <v>2.3199999999999998</v>
      </c>
    </row>
    <row r="57" spans="1:54">
      <c r="A57" s="116">
        <v>43496</v>
      </c>
      <c r="B57" s="369">
        <v>1.45</v>
      </c>
      <c r="C57" s="369">
        <v>1.57</v>
      </c>
      <c r="D57" s="369">
        <v>1.72</v>
      </c>
      <c r="E57" s="369">
        <v>1.9</v>
      </c>
      <c r="F57" s="369">
        <v>2.0699999999999998</v>
      </c>
      <c r="G57" s="369">
        <v>2.23</v>
      </c>
      <c r="H57" s="369">
        <v>2.39</v>
      </c>
      <c r="I57" s="369">
        <v>2.5299999999999998</v>
      </c>
      <c r="J57" s="369">
        <v>2.65</v>
      </c>
      <c r="K57" s="369">
        <v>2.77</v>
      </c>
      <c r="L57" s="369">
        <v>2.87</v>
      </c>
      <c r="M57" s="369">
        <v>2.96</v>
      </c>
      <c r="N57" s="369">
        <v>3.04</v>
      </c>
      <c r="O57" s="369">
        <v>3.11</v>
      </c>
      <c r="P57" s="459">
        <v>3.16</v>
      </c>
      <c r="Q57" s="369">
        <v>3.2</v>
      </c>
      <c r="R57" s="369">
        <v>3.23</v>
      </c>
      <c r="S57" s="369">
        <v>3.25</v>
      </c>
      <c r="T57" s="369">
        <v>3.27</v>
      </c>
      <c r="U57" s="369">
        <v>3.3</v>
      </c>
      <c r="V57" s="369">
        <v>3.29</v>
      </c>
      <c r="W57" s="369">
        <v>3.29</v>
      </c>
      <c r="X57" s="369">
        <v>3.29</v>
      </c>
      <c r="Y57" s="369">
        <v>3.29</v>
      </c>
      <c r="Z57" s="369">
        <v>3.29</v>
      </c>
      <c r="AA57" s="369">
        <v>3.28</v>
      </c>
      <c r="AB57" s="369">
        <v>3.27</v>
      </c>
      <c r="AC57" s="369">
        <v>3.26</v>
      </c>
      <c r="AD57" s="369">
        <v>3.25</v>
      </c>
      <c r="AE57" s="369">
        <v>3.25</v>
      </c>
      <c r="AF57" s="369">
        <v>3.24</v>
      </c>
      <c r="AG57" s="369">
        <v>3.23</v>
      </c>
      <c r="AH57" s="369">
        <v>3.22</v>
      </c>
      <c r="AI57" s="369">
        <v>3.22</v>
      </c>
      <c r="AJ57" s="369">
        <v>3.21</v>
      </c>
      <c r="AK57" s="369">
        <v>3.21</v>
      </c>
      <c r="AL57" s="369">
        <v>3.2</v>
      </c>
      <c r="AM57" s="369">
        <v>3.2</v>
      </c>
      <c r="AN57" s="369">
        <v>3.19</v>
      </c>
      <c r="AO57" s="369">
        <v>3.19</v>
      </c>
      <c r="AP57" s="369">
        <v>3.18</v>
      </c>
      <c r="AQ57" s="369">
        <v>3.18</v>
      </c>
      <c r="AR57" s="369">
        <v>3.18</v>
      </c>
      <c r="AS57" s="369">
        <v>3.17</v>
      </c>
      <c r="AT57" s="369">
        <v>3.17</v>
      </c>
      <c r="AU57" s="369">
        <v>3.17</v>
      </c>
      <c r="AV57" s="369">
        <v>3.16</v>
      </c>
      <c r="AW57" s="369">
        <v>3.16</v>
      </c>
      <c r="AX57" s="369">
        <v>3.16</v>
      </c>
      <c r="AY57" s="369">
        <v>3.16</v>
      </c>
      <c r="BB57" s="369">
        <v>2.29</v>
      </c>
    </row>
    <row r="58" spans="1:54">
      <c r="A58" s="113">
        <v>43524</v>
      </c>
      <c r="B58" s="369">
        <v>1.41</v>
      </c>
      <c r="C58" s="369">
        <v>1.53</v>
      </c>
      <c r="D58" s="369">
        <v>1.68</v>
      </c>
      <c r="E58" s="369">
        <v>1.85</v>
      </c>
      <c r="F58" s="369">
        <v>2.02</v>
      </c>
      <c r="G58" s="369">
        <v>2.19</v>
      </c>
      <c r="H58" s="369">
        <v>2.34</v>
      </c>
      <c r="I58" s="369">
        <v>2.48</v>
      </c>
      <c r="J58" s="369">
        <v>2.61</v>
      </c>
      <c r="K58" s="369">
        <v>2.72</v>
      </c>
      <c r="L58" s="369">
        <v>2.83</v>
      </c>
      <c r="M58" s="369">
        <v>2.92</v>
      </c>
      <c r="N58" s="369">
        <v>2.99</v>
      </c>
      <c r="O58" s="369">
        <v>3.06</v>
      </c>
      <c r="P58" s="459">
        <v>3.12</v>
      </c>
      <c r="Q58" s="369">
        <v>3.15</v>
      </c>
      <c r="R58" s="369">
        <v>3.18</v>
      </c>
      <c r="S58" s="369">
        <v>3.21</v>
      </c>
      <c r="T58" s="369">
        <v>3.23</v>
      </c>
      <c r="U58" s="369">
        <v>3.25</v>
      </c>
      <c r="V58" s="369">
        <v>3.25</v>
      </c>
      <c r="W58" s="369">
        <v>3.25</v>
      </c>
      <c r="X58" s="369">
        <v>3.25</v>
      </c>
      <c r="Y58" s="369">
        <v>3.25</v>
      </c>
      <c r="Z58" s="369">
        <v>3.25</v>
      </c>
      <c r="AA58" s="369">
        <v>3.24</v>
      </c>
      <c r="AB58" s="369">
        <v>3.23</v>
      </c>
      <c r="AC58" s="369">
        <v>3.22</v>
      </c>
      <c r="AD58" s="369">
        <v>3.22</v>
      </c>
      <c r="AE58" s="369">
        <v>3.21</v>
      </c>
      <c r="AF58" s="369">
        <v>3.2</v>
      </c>
      <c r="AG58" s="369">
        <v>3.19</v>
      </c>
      <c r="AH58" s="369">
        <v>3.19</v>
      </c>
      <c r="AI58" s="369">
        <v>3.18</v>
      </c>
      <c r="AJ58" s="369">
        <v>3.18</v>
      </c>
      <c r="AK58" s="369">
        <v>3.17</v>
      </c>
      <c r="AL58" s="369">
        <v>3.17</v>
      </c>
      <c r="AM58" s="369">
        <v>3.16</v>
      </c>
      <c r="AN58" s="369">
        <v>3.16</v>
      </c>
      <c r="AO58" s="369">
        <v>3.15</v>
      </c>
      <c r="AP58" s="369">
        <v>3.15</v>
      </c>
      <c r="AQ58" s="369">
        <v>3.15</v>
      </c>
      <c r="AR58" s="369">
        <v>3.14</v>
      </c>
      <c r="AS58" s="369">
        <v>3.14</v>
      </c>
      <c r="AT58" s="369">
        <v>3.14</v>
      </c>
      <c r="AU58" s="369">
        <v>3.13</v>
      </c>
      <c r="AV58" s="369">
        <v>3.13</v>
      </c>
      <c r="AW58" s="369">
        <v>3.13</v>
      </c>
      <c r="AX58" s="369">
        <v>3.13</v>
      </c>
      <c r="AY58" s="369">
        <v>3.12</v>
      </c>
      <c r="BB58" s="369">
        <v>2.2599999999999998</v>
      </c>
    </row>
    <row r="59" spans="1:54">
      <c r="A59" s="116">
        <v>43555</v>
      </c>
      <c r="B59" s="369">
        <v>1.37</v>
      </c>
      <c r="C59" s="369">
        <v>1.49</v>
      </c>
      <c r="D59" s="369">
        <v>1.64</v>
      </c>
      <c r="E59" s="369">
        <v>1.81</v>
      </c>
      <c r="F59" s="369">
        <v>1.98</v>
      </c>
      <c r="G59" s="369">
        <v>2.14</v>
      </c>
      <c r="H59" s="369">
        <v>2.2999999999999998</v>
      </c>
      <c r="I59" s="369">
        <v>2.4300000000000002</v>
      </c>
      <c r="J59" s="369">
        <v>2.56</v>
      </c>
      <c r="K59" s="369">
        <v>2.68</v>
      </c>
      <c r="L59" s="369">
        <v>2.78</v>
      </c>
      <c r="M59" s="369">
        <v>2.87</v>
      </c>
      <c r="N59" s="369">
        <v>2.95</v>
      </c>
      <c r="O59" s="369">
        <v>3.01</v>
      </c>
      <c r="P59" s="459">
        <v>3.07</v>
      </c>
      <c r="Q59" s="369">
        <v>3.1</v>
      </c>
      <c r="R59" s="369">
        <v>3.13</v>
      </c>
      <c r="S59" s="369">
        <v>3.16</v>
      </c>
      <c r="T59" s="369">
        <v>3.18</v>
      </c>
      <c r="U59" s="369">
        <v>3.2</v>
      </c>
      <c r="V59" s="369">
        <v>3.2</v>
      </c>
      <c r="W59" s="369">
        <v>3.21</v>
      </c>
      <c r="X59" s="369">
        <v>3.21</v>
      </c>
      <c r="Y59" s="369">
        <v>3.21</v>
      </c>
      <c r="Z59" s="369">
        <v>3.21</v>
      </c>
      <c r="AA59" s="369">
        <v>3.2</v>
      </c>
      <c r="AB59" s="369">
        <v>3.19</v>
      </c>
      <c r="AC59" s="369">
        <v>3.18</v>
      </c>
      <c r="AD59" s="369">
        <v>3.17</v>
      </c>
      <c r="AE59" s="369">
        <v>3.17</v>
      </c>
      <c r="AF59" s="369">
        <v>3.16</v>
      </c>
      <c r="AG59" s="369">
        <v>3.15</v>
      </c>
      <c r="AH59" s="369">
        <v>3.15</v>
      </c>
      <c r="AI59" s="369">
        <v>3.14</v>
      </c>
      <c r="AJ59" s="369">
        <v>3.13</v>
      </c>
      <c r="AK59" s="369">
        <v>3.13</v>
      </c>
      <c r="AL59" s="369">
        <v>3.12</v>
      </c>
      <c r="AM59" s="369">
        <v>3.12</v>
      </c>
      <c r="AN59" s="369">
        <v>3.11</v>
      </c>
      <c r="AO59" s="369">
        <v>3.11</v>
      </c>
      <c r="AP59" s="369">
        <v>3.11</v>
      </c>
      <c r="AQ59" s="369">
        <v>3.1</v>
      </c>
      <c r="AR59" s="369">
        <v>3.1</v>
      </c>
      <c r="AS59" s="369">
        <v>3.1</v>
      </c>
      <c r="AT59" s="369">
        <v>3.09</v>
      </c>
      <c r="AU59" s="369">
        <v>3.09</v>
      </c>
      <c r="AV59" s="369">
        <v>3.09</v>
      </c>
      <c r="AW59" s="369">
        <v>3.09</v>
      </c>
      <c r="AX59" s="369">
        <v>3.08</v>
      </c>
      <c r="AY59" s="369">
        <v>3.08</v>
      </c>
      <c r="BB59" s="369">
        <v>2.23</v>
      </c>
    </row>
    <row r="60" spans="1:54" s="131" customFormat="1" ht="12.75">
      <c r="A60" s="113">
        <v>43585</v>
      </c>
      <c r="B60" s="369">
        <v>1.34</v>
      </c>
      <c r="C60" s="369">
        <v>1.45</v>
      </c>
      <c r="D60" s="369">
        <v>1.6</v>
      </c>
      <c r="E60" s="369">
        <v>1.77</v>
      </c>
      <c r="F60" s="369">
        <v>1.94</v>
      </c>
      <c r="G60" s="369">
        <v>2.1</v>
      </c>
      <c r="H60" s="369">
        <v>2.25</v>
      </c>
      <c r="I60" s="369">
        <v>2.39</v>
      </c>
      <c r="J60" s="369">
        <v>2.52</v>
      </c>
      <c r="K60" s="369">
        <v>2.63</v>
      </c>
      <c r="L60" s="369">
        <v>2.74</v>
      </c>
      <c r="M60" s="369">
        <v>2.82</v>
      </c>
      <c r="N60" s="369">
        <v>2.9</v>
      </c>
      <c r="O60" s="369">
        <v>2.97</v>
      </c>
      <c r="P60" s="459">
        <v>3.03</v>
      </c>
      <c r="Q60" s="369">
        <v>3.06</v>
      </c>
      <c r="R60" s="369">
        <v>3.09</v>
      </c>
      <c r="S60" s="369">
        <v>3.12</v>
      </c>
      <c r="T60" s="369">
        <v>3.14</v>
      </c>
      <c r="U60" s="369">
        <v>3.16</v>
      </c>
      <c r="V60" s="369">
        <v>3.16</v>
      </c>
      <c r="W60" s="369">
        <v>3.16</v>
      </c>
      <c r="X60" s="369">
        <v>3.16</v>
      </c>
      <c r="Y60" s="369">
        <v>3.16</v>
      </c>
      <c r="Z60" s="369">
        <v>3.16</v>
      </c>
      <c r="AA60" s="369">
        <v>3.15</v>
      </c>
      <c r="AB60" s="369">
        <v>3.15</v>
      </c>
      <c r="AC60" s="369">
        <v>3.14</v>
      </c>
      <c r="AD60" s="369">
        <v>3.13</v>
      </c>
      <c r="AE60" s="369">
        <v>3.12</v>
      </c>
      <c r="AF60" s="369">
        <v>3.12</v>
      </c>
      <c r="AG60" s="369">
        <v>3.11</v>
      </c>
      <c r="AH60" s="369">
        <v>3.11</v>
      </c>
      <c r="AI60" s="369">
        <v>3.1</v>
      </c>
      <c r="AJ60" s="369">
        <v>3.09</v>
      </c>
      <c r="AK60" s="369">
        <v>3.09</v>
      </c>
      <c r="AL60" s="369">
        <v>3.08</v>
      </c>
      <c r="AM60" s="369">
        <v>3.08</v>
      </c>
      <c r="AN60" s="369">
        <v>3.08</v>
      </c>
      <c r="AO60" s="369">
        <v>3.07</v>
      </c>
      <c r="AP60" s="369">
        <v>3.07</v>
      </c>
      <c r="AQ60" s="369">
        <v>3.07</v>
      </c>
      <c r="AR60" s="369">
        <v>3.06</v>
      </c>
      <c r="AS60" s="369">
        <v>3.06</v>
      </c>
      <c r="AT60" s="369">
        <v>3.06</v>
      </c>
      <c r="AU60" s="369">
        <v>3.05</v>
      </c>
      <c r="AV60" s="369">
        <v>3.05</v>
      </c>
      <c r="AW60" s="369">
        <v>3.05</v>
      </c>
      <c r="AX60" s="369">
        <v>3.05</v>
      </c>
      <c r="AY60" s="369">
        <v>3.04</v>
      </c>
      <c r="BB60" s="369">
        <v>2.2000000000000002</v>
      </c>
    </row>
    <row r="61" spans="1:54" s="131" customFormat="1" ht="12.75">
      <c r="A61" s="116">
        <v>43616</v>
      </c>
      <c r="B61" s="369">
        <v>1.31</v>
      </c>
      <c r="C61" s="369">
        <v>1.42</v>
      </c>
      <c r="D61" s="369">
        <v>1.57</v>
      </c>
      <c r="E61" s="369">
        <v>1.73</v>
      </c>
      <c r="F61" s="369">
        <v>1.9</v>
      </c>
      <c r="G61" s="369">
        <v>2.06</v>
      </c>
      <c r="H61" s="369">
        <v>2.21</v>
      </c>
      <c r="I61" s="369">
        <v>2.35</v>
      </c>
      <c r="J61" s="369">
        <v>2.4700000000000002</v>
      </c>
      <c r="K61" s="369">
        <v>2.59</v>
      </c>
      <c r="L61" s="369">
        <v>2.69</v>
      </c>
      <c r="M61" s="369">
        <v>2.78</v>
      </c>
      <c r="N61" s="369">
        <v>2.86</v>
      </c>
      <c r="O61" s="369">
        <v>2.93</v>
      </c>
      <c r="P61" s="459">
        <v>2.98</v>
      </c>
      <c r="Q61" s="369">
        <v>3.02</v>
      </c>
      <c r="R61" s="369">
        <v>3.05</v>
      </c>
      <c r="S61" s="369">
        <v>3.07</v>
      </c>
      <c r="T61" s="369">
        <v>3.1</v>
      </c>
      <c r="U61" s="369">
        <v>3.12</v>
      </c>
      <c r="V61" s="369">
        <v>3.12</v>
      </c>
      <c r="W61" s="369">
        <v>3.12</v>
      </c>
      <c r="X61" s="369">
        <v>3.12</v>
      </c>
      <c r="Y61" s="369">
        <v>3.12</v>
      </c>
      <c r="Z61" s="369">
        <v>3.12</v>
      </c>
      <c r="AA61" s="369">
        <v>3.11</v>
      </c>
      <c r="AB61" s="369">
        <v>3.11</v>
      </c>
      <c r="AC61" s="369">
        <v>3.1</v>
      </c>
      <c r="AD61" s="369">
        <v>3.09</v>
      </c>
      <c r="AE61" s="369">
        <v>3.09</v>
      </c>
      <c r="AF61" s="369">
        <v>3.08</v>
      </c>
      <c r="AG61" s="369">
        <v>3.07</v>
      </c>
      <c r="AH61" s="369">
        <v>3.07</v>
      </c>
      <c r="AI61" s="369">
        <v>3.06</v>
      </c>
      <c r="AJ61" s="369">
        <v>3.06</v>
      </c>
      <c r="AK61" s="369">
        <v>3.05</v>
      </c>
      <c r="AL61" s="369">
        <v>3.05</v>
      </c>
      <c r="AM61" s="369">
        <v>3.04</v>
      </c>
      <c r="AN61" s="369">
        <v>3.04</v>
      </c>
      <c r="AO61" s="369">
        <v>3.04</v>
      </c>
      <c r="AP61" s="369">
        <v>3.03</v>
      </c>
      <c r="AQ61" s="369">
        <v>3.03</v>
      </c>
      <c r="AR61" s="369">
        <v>3.03</v>
      </c>
      <c r="AS61" s="369">
        <v>3.02</v>
      </c>
      <c r="AT61" s="369">
        <v>3.02</v>
      </c>
      <c r="AU61" s="369">
        <v>3.02</v>
      </c>
      <c r="AV61" s="369">
        <v>3.02</v>
      </c>
      <c r="AW61" s="369">
        <v>3.01</v>
      </c>
      <c r="AX61" s="369">
        <v>3.01</v>
      </c>
      <c r="AY61" s="369">
        <v>3.01</v>
      </c>
      <c r="BB61" s="369">
        <v>2.1800000000000002</v>
      </c>
    </row>
    <row r="62" spans="1:54" s="131" customFormat="1" ht="12.75">
      <c r="A62" s="113">
        <v>43646</v>
      </c>
      <c r="B62" s="369">
        <v>1.29</v>
      </c>
      <c r="C62" s="369">
        <v>1.39</v>
      </c>
      <c r="D62" s="369">
        <v>1.53</v>
      </c>
      <c r="E62" s="369">
        <v>1.7</v>
      </c>
      <c r="F62" s="369">
        <v>1.86</v>
      </c>
      <c r="G62" s="369">
        <v>2.02</v>
      </c>
      <c r="H62" s="369">
        <v>2.17</v>
      </c>
      <c r="I62" s="369">
        <v>2.31</v>
      </c>
      <c r="J62" s="369">
        <v>2.4300000000000002</v>
      </c>
      <c r="K62" s="369">
        <v>2.5499999999999998</v>
      </c>
      <c r="L62" s="369">
        <v>2.65</v>
      </c>
      <c r="M62" s="369">
        <v>2.74</v>
      </c>
      <c r="N62" s="369">
        <v>2.82</v>
      </c>
      <c r="O62" s="369">
        <v>2.88</v>
      </c>
      <c r="P62" s="459">
        <v>2.94</v>
      </c>
      <c r="Q62" s="369">
        <v>2.98</v>
      </c>
      <c r="R62" s="369">
        <v>3.01</v>
      </c>
      <c r="S62" s="369">
        <v>3.03</v>
      </c>
      <c r="T62" s="369">
        <v>3.06</v>
      </c>
      <c r="U62" s="369">
        <v>3.08</v>
      </c>
      <c r="V62" s="369">
        <v>3.08</v>
      </c>
      <c r="W62" s="369">
        <v>3.08</v>
      </c>
      <c r="X62" s="369">
        <v>3.08</v>
      </c>
      <c r="Y62" s="369">
        <v>3.08</v>
      </c>
      <c r="Z62" s="369">
        <v>3.08</v>
      </c>
      <c r="AA62" s="369">
        <v>3.08</v>
      </c>
      <c r="AB62" s="369">
        <v>3.07</v>
      </c>
      <c r="AC62" s="369">
        <v>3.06</v>
      </c>
      <c r="AD62" s="369">
        <v>3.05</v>
      </c>
      <c r="AE62" s="369">
        <v>3.05</v>
      </c>
      <c r="AF62" s="369">
        <v>3.04</v>
      </c>
      <c r="AG62" s="369">
        <v>3.04</v>
      </c>
      <c r="AH62" s="369">
        <v>3.03</v>
      </c>
      <c r="AI62" s="369">
        <v>3.02</v>
      </c>
      <c r="AJ62" s="369">
        <v>3.02</v>
      </c>
      <c r="AK62" s="369">
        <v>3.02</v>
      </c>
      <c r="AL62" s="369">
        <v>3.01</v>
      </c>
      <c r="AM62" s="369">
        <v>3.01</v>
      </c>
      <c r="AN62" s="369">
        <v>3</v>
      </c>
      <c r="AO62" s="369">
        <v>3</v>
      </c>
      <c r="AP62" s="369">
        <v>3</v>
      </c>
      <c r="AQ62" s="369">
        <v>2.99</v>
      </c>
      <c r="AR62" s="369">
        <v>2.99</v>
      </c>
      <c r="AS62" s="369">
        <v>2.99</v>
      </c>
      <c r="AT62" s="369">
        <v>2.98</v>
      </c>
      <c r="AU62" s="369">
        <v>2.98</v>
      </c>
      <c r="AV62" s="369">
        <v>2.98</v>
      </c>
      <c r="AW62" s="369">
        <v>2.98</v>
      </c>
      <c r="AX62" s="369">
        <v>2.98</v>
      </c>
      <c r="AY62" s="369">
        <v>2.97</v>
      </c>
      <c r="BB62" s="369">
        <v>2.15</v>
      </c>
    </row>
    <row r="63" spans="1:54" s="131" customFormat="1" ht="12.75">
      <c r="A63" s="116">
        <v>43677</v>
      </c>
      <c r="B63" s="369">
        <v>1.27</v>
      </c>
      <c r="C63" s="369">
        <v>1.37</v>
      </c>
      <c r="D63" s="369">
        <v>1.5</v>
      </c>
      <c r="E63" s="369">
        <v>1.67</v>
      </c>
      <c r="F63" s="369">
        <v>1.83</v>
      </c>
      <c r="G63" s="369">
        <v>1.99</v>
      </c>
      <c r="H63" s="369">
        <v>2.14</v>
      </c>
      <c r="I63" s="369">
        <v>2.27</v>
      </c>
      <c r="J63" s="369">
        <v>2.4</v>
      </c>
      <c r="K63" s="369">
        <v>2.5099999999999998</v>
      </c>
      <c r="L63" s="369">
        <v>2.62</v>
      </c>
      <c r="M63" s="369">
        <v>2.7</v>
      </c>
      <c r="N63" s="369">
        <v>2.78</v>
      </c>
      <c r="O63" s="369">
        <v>2.85</v>
      </c>
      <c r="P63" s="459">
        <v>2.9</v>
      </c>
      <c r="Q63" s="369">
        <v>2.94</v>
      </c>
      <c r="R63" s="369">
        <v>2.97</v>
      </c>
      <c r="S63" s="369">
        <v>2.99</v>
      </c>
      <c r="T63" s="369">
        <v>3.02</v>
      </c>
      <c r="U63" s="369">
        <v>3.04</v>
      </c>
      <c r="V63" s="369">
        <v>3.04</v>
      </c>
      <c r="W63" s="369">
        <v>3.04</v>
      </c>
      <c r="X63" s="369">
        <v>3.04</v>
      </c>
      <c r="Y63" s="369">
        <v>3.04</v>
      </c>
      <c r="Z63" s="369">
        <v>3.05</v>
      </c>
      <c r="AA63" s="369">
        <v>3.04</v>
      </c>
      <c r="AB63" s="369">
        <v>3.03</v>
      </c>
      <c r="AC63" s="369">
        <v>3.02</v>
      </c>
      <c r="AD63" s="369">
        <v>3.02</v>
      </c>
      <c r="AE63" s="369">
        <v>3.01</v>
      </c>
      <c r="AF63" s="369">
        <v>3</v>
      </c>
      <c r="AG63" s="369">
        <v>3</v>
      </c>
      <c r="AH63" s="369">
        <v>2.99</v>
      </c>
      <c r="AI63" s="369">
        <v>2.99</v>
      </c>
      <c r="AJ63" s="369">
        <v>2.98</v>
      </c>
      <c r="AK63" s="369">
        <v>2.98</v>
      </c>
      <c r="AL63" s="369">
        <v>2.98</v>
      </c>
      <c r="AM63" s="369">
        <v>2.97</v>
      </c>
      <c r="AN63" s="369">
        <v>2.97</v>
      </c>
      <c r="AO63" s="369">
        <v>2.96</v>
      </c>
      <c r="AP63" s="369">
        <v>2.96</v>
      </c>
      <c r="AQ63" s="369">
        <v>2.96</v>
      </c>
      <c r="AR63" s="369">
        <v>2.96</v>
      </c>
      <c r="AS63" s="369">
        <v>2.95</v>
      </c>
      <c r="AT63" s="369">
        <v>2.95</v>
      </c>
      <c r="AU63" s="369">
        <v>2.95</v>
      </c>
      <c r="AV63" s="369">
        <v>2.95</v>
      </c>
      <c r="AW63" s="369">
        <v>2.94</v>
      </c>
      <c r="AX63" s="369">
        <v>2.94</v>
      </c>
      <c r="AY63" s="369">
        <v>2.94</v>
      </c>
      <c r="BB63" s="369">
        <v>2.12</v>
      </c>
    </row>
    <row r="64" spans="1:54" s="131" customFormat="1" ht="12.75">
      <c r="A64" s="113">
        <v>43708</v>
      </c>
      <c r="B64" s="369">
        <v>1.24</v>
      </c>
      <c r="C64" s="369">
        <v>1.34</v>
      </c>
      <c r="D64" s="369">
        <v>1.47</v>
      </c>
      <c r="E64" s="369">
        <v>1.63</v>
      </c>
      <c r="F64" s="369">
        <v>1.79</v>
      </c>
      <c r="G64" s="369">
        <v>1.95</v>
      </c>
      <c r="H64" s="369">
        <v>2.1</v>
      </c>
      <c r="I64" s="369">
        <v>2.23</v>
      </c>
      <c r="J64" s="369">
        <v>2.36</v>
      </c>
      <c r="K64" s="369">
        <v>2.4700000000000002</v>
      </c>
      <c r="L64" s="369">
        <v>2.58</v>
      </c>
      <c r="M64" s="369">
        <v>2.66</v>
      </c>
      <c r="N64" s="369">
        <v>2.74</v>
      </c>
      <c r="O64" s="369">
        <v>2.8</v>
      </c>
      <c r="P64" s="459">
        <v>2.86</v>
      </c>
      <c r="Q64" s="369">
        <v>2.9</v>
      </c>
      <c r="R64" s="369">
        <v>2.93</v>
      </c>
      <c r="S64" s="369">
        <v>2.95</v>
      </c>
      <c r="T64" s="369">
        <v>2.98</v>
      </c>
      <c r="U64" s="369">
        <v>3</v>
      </c>
      <c r="V64" s="369">
        <v>3</v>
      </c>
      <c r="W64" s="369">
        <v>3</v>
      </c>
      <c r="X64" s="369">
        <v>3</v>
      </c>
      <c r="Y64" s="369">
        <v>3</v>
      </c>
      <c r="Z64" s="369">
        <v>3.01</v>
      </c>
      <c r="AA64" s="369">
        <v>3</v>
      </c>
      <c r="AB64" s="369">
        <v>2.99</v>
      </c>
      <c r="AC64" s="369">
        <v>2.98</v>
      </c>
      <c r="AD64" s="369">
        <v>2.98</v>
      </c>
      <c r="AE64" s="369">
        <v>2.97</v>
      </c>
      <c r="AF64" s="369">
        <v>2.97</v>
      </c>
      <c r="AG64" s="369">
        <v>2.96</v>
      </c>
      <c r="AH64" s="369">
        <v>2.96</v>
      </c>
      <c r="AI64" s="369">
        <v>2.95</v>
      </c>
      <c r="AJ64" s="369">
        <v>2.95</v>
      </c>
      <c r="AK64" s="369">
        <v>2.94</v>
      </c>
      <c r="AL64" s="369">
        <v>2.94</v>
      </c>
      <c r="AM64" s="369">
        <v>2.93</v>
      </c>
      <c r="AN64" s="369">
        <v>2.93</v>
      </c>
      <c r="AO64" s="369">
        <v>2.93</v>
      </c>
      <c r="AP64" s="369">
        <v>2.93</v>
      </c>
      <c r="AQ64" s="369">
        <v>2.92</v>
      </c>
      <c r="AR64" s="369">
        <v>2.92</v>
      </c>
      <c r="AS64" s="369">
        <v>2.92</v>
      </c>
      <c r="AT64" s="369">
        <v>2.92</v>
      </c>
      <c r="AU64" s="369">
        <v>2.91</v>
      </c>
      <c r="AV64" s="369">
        <v>2.91</v>
      </c>
      <c r="AW64" s="369">
        <v>2.91</v>
      </c>
      <c r="AX64" s="369">
        <v>2.91</v>
      </c>
      <c r="AY64" s="369">
        <v>2.9</v>
      </c>
      <c r="BB64" s="369">
        <v>2.08</v>
      </c>
    </row>
    <row r="65" spans="1:54" s="131" customFormat="1" ht="12.75">
      <c r="A65" s="116">
        <v>43738</v>
      </c>
      <c r="B65" s="369">
        <v>1.22</v>
      </c>
      <c r="C65" s="369">
        <v>1.32</v>
      </c>
      <c r="D65" s="369">
        <v>1.45</v>
      </c>
      <c r="E65" s="369">
        <v>1.6</v>
      </c>
      <c r="F65" s="369">
        <v>1.76</v>
      </c>
      <c r="G65" s="369">
        <v>1.92</v>
      </c>
      <c r="H65" s="369">
        <v>2.06</v>
      </c>
      <c r="I65" s="369">
        <v>2.2000000000000002</v>
      </c>
      <c r="J65" s="369">
        <v>2.3199999999999998</v>
      </c>
      <c r="K65" s="369">
        <v>2.44</v>
      </c>
      <c r="L65" s="369">
        <v>2.54</v>
      </c>
      <c r="M65" s="369">
        <v>2.62</v>
      </c>
      <c r="N65" s="369">
        <v>2.7</v>
      </c>
      <c r="O65" s="369">
        <v>2.77</v>
      </c>
      <c r="P65" s="459">
        <v>2.82</v>
      </c>
      <c r="Q65" s="369">
        <v>2.86</v>
      </c>
      <c r="R65" s="369">
        <v>2.89</v>
      </c>
      <c r="S65" s="369">
        <v>2.91</v>
      </c>
      <c r="T65" s="369">
        <v>2.94</v>
      </c>
      <c r="U65" s="369">
        <v>2.96</v>
      </c>
      <c r="V65" s="369">
        <v>2.96</v>
      </c>
      <c r="W65" s="369">
        <v>2.96</v>
      </c>
      <c r="X65" s="369">
        <v>2.96</v>
      </c>
      <c r="Y65" s="369">
        <v>2.97</v>
      </c>
      <c r="Z65" s="369">
        <v>2.97</v>
      </c>
      <c r="AA65" s="369">
        <v>2.96</v>
      </c>
      <c r="AB65" s="369">
        <v>2.95</v>
      </c>
      <c r="AC65" s="369">
        <v>2.95</v>
      </c>
      <c r="AD65" s="369">
        <v>2.94</v>
      </c>
      <c r="AE65" s="369">
        <v>2.93</v>
      </c>
      <c r="AF65" s="369">
        <v>2.93</v>
      </c>
      <c r="AG65" s="369">
        <v>2.92</v>
      </c>
      <c r="AH65" s="369">
        <v>2.92</v>
      </c>
      <c r="AI65" s="369">
        <v>2.91</v>
      </c>
      <c r="AJ65" s="369">
        <v>2.91</v>
      </c>
      <c r="AK65" s="369">
        <v>2.91</v>
      </c>
      <c r="AL65" s="369">
        <v>2.9</v>
      </c>
      <c r="AM65" s="369">
        <v>2.9</v>
      </c>
      <c r="AN65" s="369">
        <v>2.9</v>
      </c>
      <c r="AO65" s="369">
        <v>2.89</v>
      </c>
      <c r="AP65" s="369">
        <v>2.89</v>
      </c>
      <c r="AQ65" s="369">
        <v>2.89</v>
      </c>
      <c r="AR65" s="369">
        <v>2.88</v>
      </c>
      <c r="AS65" s="369">
        <v>2.88</v>
      </c>
      <c r="AT65" s="369">
        <v>2.88</v>
      </c>
      <c r="AU65" s="369">
        <v>2.88</v>
      </c>
      <c r="AV65" s="369">
        <v>2.88</v>
      </c>
      <c r="AW65" s="369">
        <v>2.87</v>
      </c>
      <c r="AX65" s="369">
        <v>2.87</v>
      </c>
      <c r="AY65" s="369">
        <v>2.87</v>
      </c>
      <c r="BB65" s="369">
        <v>2.0499999999999998</v>
      </c>
    </row>
    <row r="66" spans="1:54" s="131" customFormat="1" ht="12.75">
      <c r="A66" s="113">
        <v>43769</v>
      </c>
      <c r="B66" s="369">
        <v>1.21</v>
      </c>
      <c r="C66" s="369">
        <v>1.29</v>
      </c>
      <c r="D66" s="369">
        <v>1.42</v>
      </c>
      <c r="E66" s="369">
        <v>1.57</v>
      </c>
      <c r="F66" s="369">
        <v>1.73</v>
      </c>
      <c r="G66" s="369">
        <v>1.89</v>
      </c>
      <c r="H66" s="369">
        <v>2.0299999999999998</v>
      </c>
      <c r="I66" s="369">
        <v>2.16</v>
      </c>
      <c r="J66" s="369">
        <v>2.29</v>
      </c>
      <c r="K66" s="369">
        <v>2.4</v>
      </c>
      <c r="L66" s="369">
        <v>2.5</v>
      </c>
      <c r="M66" s="369">
        <v>2.59</v>
      </c>
      <c r="N66" s="369">
        <v>2.66</v>
      </c>
      <c r="O66" s="369">
        <v>2.73</v>
      </c>
      <c r="P66" s="459">
        <v>2.79</v>
      </c>
      <c r="Q66" s="369">
        <v>2.82</v>
      </c>
      <c r="R66" s="369">
        <v>2.85</v>
      </c>
      <c r="S66" s="369">
        <v>2.88</v>
      </c>
      <c r="T66" s="369">
        <v>2.9</v>
      </c>
      <c r="U66" s="369">
        <v>2.92</v>
      </c>
      <c r="V66" s="369">
        <v>2.92</v>
      </c>
      <c r="W66" s="369">
        <v>2.93</v>
      </c>
      <c r="X66" s="369">
        <v>2.93</v>
      </c>
      <c r="Y66" s="369">
        <v>2.93</v>
      </c>
      <c r="Z66" s="369">
        <v>2.93</v>
      </c>
      <c r="AA66" s="369">
        <v>2.92</v>
      </c>
      <c r="AB66" s="369">
        <v>2.92</v>
      </c>
      <c r="AC66" s="369">
        <v>2.91</v>
      </c>
      <c r="AD66" s="369">
        <v>2.9</v>
      </c>
      <c r="AE66" s="369">
        <v>2.9</v>
      </c>
      <c r="AF66" s="369">
        <v>2.89</v>
      </c>
      <c r="AG66" s="369">
        <v>2.89</v>
      </c>
      <c r="AH66" s="369">
        <v>2.88</v>
      </c>
      <c r="AI66" s="369">
        <v>2.88</v>
      </c>
      <c r="AJ66" s="369">
        <v>2.88</v>
      </c>
      <c r="AK66" s="369">
        <v>2.87</v>
      </c>
      <c r="AL66" s="369">
        <v>2.87</v>
      </c>
      <c r="AM66" s="369">
        <v>2.87</v>
      </c>
      <c r="AN66" s="369">
        <v>2.86</v>
      </c>
      <c r="AO66" s="369">
        <v>2.86</v>
      </c>
      <c r="AP66" s="369">
        <v>2.86</v>
      </c>
      <c r="AQ66" s="369">
        <v>2.85</v>
      </c>
      <c r="AR66" s="369">
        <v>2.85</v>
      </c>
      <c r="AS66" s="369">
        <v>2.85</v>
      </c>
      <c r="AT66" s="369">
        <v>2.85</v>
      </c>
      <c r="AU66" s="369">
        <v>2.84</v>
      </c>
      <c r="AV66" s="369">
        <v>2.84</v>
      </c>
      <c r="AW66" s="369">
        <v>2.84</v>
      </c>
      <c r="AX66" s="369">
        <v>2.84</v>
      </c>
      <c r="AY66" s="369">
        <v>2.84</v>
      </c>
      <c r="BB66" s="369">
        <v>2.02</v>
      </c>
    </row>
    <row r="67" spans="1:54">
      <c r="A67" s="116">
        <v>43799</v>
      </c>
      <c r="B67" s="369">
        <v>1.19</v>
      </c>
      <c r="C67" s="369">
        <v>1.27</v>
      </c>
      <c r="D67" s="369">
        <v>1.39</v>
      </c>
      <c r="E67" s="369">
        <v>1.55</v>
      </c>
      <c r="F67" s="369">
        <v>1.7</v>
      </c>
      <c r="G67" s="369">
        <v>1.86</v>
      </c>
      <c r="H67" s="369">
        <v>2</v>
      </c>
      <c r="I67" s="369">
        <v>2.13</v>
      </c>
      <c r="J67" s="369">
        <v>2.25</v>
      </c>
      <c r="K67" s="369">
        <v>2.37</v>
      </c>
      <c r="L67" s="369">
        <v>2.4700000000000002</v>
      </c>
      <c r="M67" s="369">
        <v>2.5499999999999998</v>
      </c>
      <c r="N67" s="369">
        <v>2.63</v>
      </c>
      <c r="O67" s="369">
        <v>2.69</v>
      </c>
      <c r="P67" s="459">
        <v>2.75</v>
      </c>
      <c r="Q67" s="369">
        <v>2.78</v>
      </c>
      <c r="R67" s="369">
        <v>2.81</v>
      </c>
      <c r="S67" s="369">
        <v>2.84</v>
      </c>
      <c r="T67" s="369">
        <v>2.86</v>
      </c>
      <c r="U67" s="369">
        <v>2.89</v>
      </c>
      <c r="V67" s="369">
        <v>2.89</v>
      </c>
      <c r="W67" s="369">
        <v>2.89</v>
      </c>
      <c r="X67" s="369">
        <v>2.89</v>
      </c>
      <c r="Y67" s="369">
        <v>2.89</v>
      </c>
      <c r="Z67" s="369">
        <v>2.9</v>
      </c>
      <c r="AA67" s="369">
        <v>2.89</v>
      </c>
      <c r="AB67" s="369">
        <v>2.88</v>
      </c>
      <c r="AC67" s="369">
        <v>2.88</v>
      </c>
      <c r="AD67" s="369">
        <v>2.87</v>
      </c>
      <c r="AE67" s="369">
        <v>2.87</v>
      </c>
      <c r="AF67" s="369">
        <v>2.86</v>
      </c>
      <c r="AG67" s="369">
        <v>2.86</v>
      </c>
      <c r="AH67" s="369">
        <v>2.85</v>
      </c>
      <c r="AI67" s="369">
        <v>2.85</v>
      </c>
      <c r="AJ67" s="369">
        <v>2.84</v>
      </c>
      <c r="AK67" s="369">
        <v>2.84</v>
      </c>
      <c r="AL67" s="369">
        <v>2.84</v>
      </c>
      <c r="AM67" s="369">
        <v>2.83</v>
      </c>
      <c r="AN67" s="369">
        <v>2.83</v>
      </c>
      <c r="AO67" s="369">
        <v>2.83</v>
      </c>
      <c r="AP67" s="369">
        <v>2.83</v>
      </c>
      <c r="AQ67" s="369">
        <v>2.82</v>
      </c>
      <c r="AR67" s="369">
        <v>2.82</v>
      </c>
      <c r="AS67" s="369">
        <v>2.82</v>
      </c>
      <c r="AT67" s="369">
        <v>2.82</v>
      </c>
      <c r="AU67" s="369">
        <v>2.81</v>
      </c>
      <c r="AV67" s="369">
        <v>2.81</v>
      </c>
      <c r="AW67" s="369">
        <v>2.81</v>
      </c>
      <c r="AX67" s="369">
        <v>2.81</v>
      </c>
      <c r="AY67" s="369">
        <v>2.81</v>
      </c>
      <c r="BB67" s="369">
        <v>2</v>
      </c>
    </row>
    <row r="68" spans="1:54">
      <c r="A68" s="113">
        <v>43830</v>
      </c>
      <c r="B68" s="369">
        <v>1.17</v>
      </c>
      <c r="C68" s="369">
        <v>1.25</v>
      </c>
      <c r="D68" s="369">
        <v>1.37</v>
      </c>
      <c r="E68" s="369">
        <v>1.52</v>
      </c>
      <c r="F68" s="369">
        <v>1.67</v>
      </c>
      <c r="G68" s="369">
        <v>1.82</v>
      </c>
      <c r="H68" s="369">
        <v>1.97</v>
      </c>
      <c r="I68" s="369">
        <v>2.1</v>
      </c>
      <c r="J68" s="369">
        <v>2.2200000000000002</v>
      </c>
      <c r="K68" s="369">
        <v>2.33</v>
      </c>
      <c r="L68" s="369">
        <v>2.4300000000000002</v>
      </c>
      <c r="M68" s="369">
        <v>2.52</v>
      </c>
      <c r="N68" s="369">
        <v>2.59</v>
      </c>
      <c r="O68" s="369">
        <v>2.66</v>
      </c>
      <c r="P68" s="459">
        <v>2.71</v>
      </c>
      <c r="Q68" s="369">
        <v>2.75</v>
      </c>
      <c r="R68" s="369">
        <v>2.78</v>
      </c>
      <c r="S68" s="369">
        <v>2.8</v>
      </c>
      <c r="T68" s="369">
        <v>2.83</v>
      </c>
      <c r="U68" s="369">
        <v>2.85</v>
      </c>
      <c r="V68" s="369">
        <v>2.85</v>
      </c>
      <c r="W68" s="369">
        <v>2.86</v>
      </c>
      <c r="X68" s="369">
        <v>2.86</v>
      </c>
      <c r="Y68" s="369">
        <v>2.86</v>
      </c>
      <c r="Z68" s="369">
        <v>2.86</v>
      </c>
      <c r="AA68" s="369">
        <v>2.86</v>
      </c>
      <c r="AB68" s="369">
        <v>2.85</v>
      </c>
      <c r="AC68" s="369">
        <v>2.84</v>
      </c>
      <c r="AD68" s="369">
        <v>2.84</v>
      </c>
      <c r="AE68" s="369">
        <v>2.83</v>
      </c>
      <c r="AF68" s="369">
        <v>2.83</v>
      </c>
      <c r="AG68" s="369">
        <v>2.82</v>
      </c>
      <c r="AH68" s="369">
        <v>2.82</v>
      </c>
      <c r="AI68" s="369">
        <v>2.82</v>
      </c>
      <c r="AJ68" s="369">
        <v>2.81</v>
      </c>
      <c r="AK68" s="369">
        <v>2.81</v>
      </c>
      <c r="AL68" s="369">
        <v>2.81</v>
      </c>
      <c r="AM68" s="369">
        <v>2.8</v>
      </c>
      <c r="AN68" s="369">
        <v>2.8</v>
      </c>
      <c r="AO68" s="369">
        <v>2.8</v>
      </c>
      <c r="AP68" s="369">
        <v>2.79</v>
      </c>
      <c r="AQ68" s="369">
        <v>2.79</v>
      </c>
      <c r="AR68" s="369">
        <v>2.79</v>
      </c>
      <c r="AS68" s="369">
        <v>2.79</v>
      </c>
      <c r="AT68" s="369">
        <v>2.78</v>
      </c>
      <c r="AU68" s="369">
        <v>2.78</v>
      </c>
      <c r="AV68" s="369">
        <v>2.78</v>
      </c>
      <c r="AW68" s="369">
        <v>2.78</v>
      </c>
      <c r="AX68" s="369">
        <v>2.78</v>
      </c>
      <c r="AY68" s="369">
        <v>2.77</v>
      </c>
      <c r="BB68" s="369">
        <v>1.97</v>
      </c>
    </row>
    <row r="69" spans="1:54">
      <c r="A69" s="116">
        <v>43861</v>
      </c>
      <c r="B69" s="369">
        <v>1.1499999999999999</v>
      </c>
      <c r="C69" s="369">
        <v>1.23</v>
      </c>
      <c r="D69" s="369">
        <v>1.34</v>
      </c>
      <c r="E69" s="369">
        <v>1.49</v>
      </c>
      <c r="F69" s="369">
        <v>1.64</v>
      </c>
      <c r="G69" s="369">
        <v>1.79</v>
      </c>
      <c r="H69" s="369">
        <v>1.93</v>
      </c>
      <c r="I69" s="369">
        <v>2.06</v>
      </c>
      <c r="J69" s="369">
        <v>2.1800000000000002</v>
      </c>
      <c r="K69" s="369">
        <v>2.2999999999999998</v>
      </c>
      <c r="L69" s="369">
        <v>2.4</v>
      </c>
      <c r="M69" s="369">
        <v>2.48</v>
      </c>
      <c r="N69" s="369">
        <v>2.56</v>
      </c>
      <c r="O69" s="369">
        <v>2.62</v>
      </c>
      <c r="P69" s="459">
        <v>2.68</v>
      </c>
      <c r="Q69" s="369">
        <v>2.71</v>
      </c>
      <c r="R69" s="369">
        <v>2.74</v>
      </c>
      <c r="S69" s="369">
        <v>2.77</v>
      </c>
      <c r="T69" s="369">
        <v>2.79</v>
      </c>
      <c r="U69" s="369">
        <v>2.81</v>
      </c>
      <c r="V69" s="369">
        <v>2.82</v>
      </c>
      <c r="W69" s="369">
        <v>2.82</v>
      </c>
      <c r="X69" s="369">
        <v>2.82</v>
      </c>
      <c r="Y69" s="369">
        <v>2.82</v>
      </c>
      <c r="Z69" s="369">
        <v>2.83</v>
      </c>
      <c r="AA69" s="369">
        <v>2.82</v>
      </c>
      <c r="AB69" s="369">
        <v>2.81</v>
      </c>
      <c r="AC69" s="369">
        <v>2.81</v>
      </c>
      <c r="AD69" s="369">
        <v>2.8</v>
      </c>
      <c r="AE69" s="369">
        <v>2.8</v>
      </c>
      <c r="AF69" s="369">
        <v>2.79</v>
      </c>
      <c r="AG69" s="369">
        <v>2.79</v>
      </c>
      <c r="AH69" s="369">
        <v>2.78</v>
      </c>
      <c r="AI69" s="369">
        <v>2.78</v>
      </c>
      <c r="AJ69" s="369">
        <v>2.78</v>
      </c>
      <c r="AK69" s="369">
        <v>2.77</v>
      </c>
      <c r="AL69" s="369">
        <v>2.77</v>
      </c>
      <c r="AM69" s="369">
        <v>2.77</v>
      </c>
      <c r="AN69" s="369">
        <v>2.77</v>
      </c>
      <c r="AO69" s="369">
        <v>2.76</v>
      </c>
      <c r="AP69" s="369">
        <v>2.76</v>
      </c>
      <c r="AQ69" s="369">
        <v>2.76</v>
      </c>
      <c r="AR69" s="369">
        <v>2.76</v>
      </c>
      <c r="AS69" s="369">
        <v>2.75</v>
      </c>
      <c r="AT69" s="369">
        <v>2.75</v>
      </c>
      <c r="AU69" s="369">
        <v>2.75</v>
      </c>
      <c r="AV69" s="369">
        <v>2.75</v>
      </c>
      <c r="AW69" s="369">
        <v>2.75</v>
      </c>
      <c r="AX69" s="369">
        <v>2.74</v>
      </c>
      <c r="AY69" s="369">
        <v>2.74</v>
      </c>
      <c r="BB69" s="369">
        <v>1.94</v>
      </c>
    </row>
    <row r="70" spans="1:54">
      <c r="A70" s="113">
        <v>43890</v>
      </c>
      <c r="B70" s="369">
        <v>1.1299999999999999</v>
      </c>
      <c r="C70" s="369">
        <v>1.2</v>
      </c>
      <c r="D70" s="369">
        <v>1.32</v>
      </c>
      <c r="E70" s="369">
        <v>1.46</v>
      </c>
      <c r="F70" s="369">
        <v>1.61</v>
      </c>
      <c r="G70" s="369">
        <v>1.76</v>
      </c>
      <c r="H70" s="369">
        <v>1.9</v>
      </c>
      <c r="I70" s="369">
        <v>2.0299999999999998</v>
      </c>
      <c r="J70" s="369">
        <v>2.15</v>
      </c>
      <c r="K70" s="369">
        <v>2.2599999999999998</v>
      </c>
      <c r="L70" s="369">
        <v>2.36</v>
      </c>
      <c r="M70" s="369">
        <v>2.4500000000000002</v>
      </c>
      <c r="N70" s="369">
        <v>2.52</v>
      </c>
      <c r="O70" s="369">
        <v>2.58</v>
      </c>
      <c r="P70" s="459">
        <v>2.64</v>
      </c>
      <c r="Q70" s="369">
        <v>2.67</v>
      </c>
      <c r="R70" s="369">
        <v>2.7</v>
      </c>
      <c r="S70" s="369">
        <v>2.73</v>
      </c>
      <c r="T70" s="369">
        <v>2.75</v>
      </c>
      <c r="U70" s="369">
        <v>2.77</v>
      </c>
      <c r="V70" s="369">
        <v>2.78</v>
      </c>
      <c r="W70" s="369">
        <v>2.78</v>
      </c>
      <c r="X70" s="369">
        <v>2.78</v>
      </c>
      <c r="Y70" s="369">
        <v>2.79</v>
      </c>
      <c r="Z70" s="369">
        <v>2.79</v>
      </c>
      <c r="AA70" s="369">
        <v>2.78</v>
      </c>
      <c r="AB70" s="369">
        <v>2.78</v>
      </c>
      <c r="AC70" s="369">
        <v>2.77</v>
      </c>
      <c r="AD70" s="369">
        <v>2.77</v>
      </c>
      <c r="AE70" s="369">
        <v>2.76</v>
      </c>
      <c r="AF70" s="369">
        <v>2.76</v>
      </c>
      <c r="AG70" s="369">
        <v>2.75</v>
      </c>
      <c r="AH70" s="369">
        <v>2.75</v>
      </c>
      <c r="AI70" s="369">
        <v>2.75</v>
      </c>
      <c r="AJ70" s="369">
        <v>2.74</v>
      </c>
      <c r="AK70" s="369">
        <v>2.74</v>
      </c>
      <c r="AL70" s="369">
        <v>2.74</v>
      </c>
      <c r="AM70" s="369">
        <v>2.73</v>
      </c>
      <c r="AN70" s="369">
        <v>2.73</v>
      </c>
      <c r="AO70" s="369">
        <v>2.73</v>
      </c>
      <c r="AP70" s="369">
        <v>2.73</v>
      </c>
      <c r="AQ70" s="369">
        <v>2.72</v>
      </c>
      <c r="AR70" s="369">
        <v>2.72</v>
      </c>
      <c r="AS70" s="369">
        <v>2.72</v>
      </c>
      <c r="AT70" s="369">
        <v>2.72</v>
      </c>
      <c r="AU70" s="369">
        <v>2.72</v>
      </c>
      <c r="AV70" s="369">
        <v>2.71</v>
      </c>
      <c r="AW70" s="369">
        <v>2.71</v>
      </c>
      <c r="AX70" s="369">
        <v>2.71</v>
      </c>
      <c r="AY70" s="369">
        <v>2.71</v>
      </c>
      <c r="BB70" s="369">
        <v>1.91</v>
      </c>
    </row>
    <row r="71" spans="1:54">
      <c r="A71" s="116">
        <v>43921</v>
      </c>
      <c r="B71" s="369">
        <v>1.1200000000000001</v>
      </c>
      <c r="C71" s="369">
        <v>1.19</v>
      </c>
      <c r="D71" s="369">
        <v>1.3</v>
      </c>
      <c r="E71" s="369">
        <v>1.45</v>
      </c>
      <c r="F71" s="369">
        <v>1.59</v>
      </c>
      <c r="G71" s="369">
        <v>1.74</v>
      </c>
      <c r="H71" s="369">
        <v>1.88</v>
      </c>
      <c r="I71" s="369">
        <v>2.0099999999999998</v>
      </c>
      <c r="J71" s="369">
        <v>2.12</v>
      </c>
      <c r="K71" s="369">
        <v>2.23</v>
      </c>
      <c r="L71" s="369">
        <v>2.33</v>
      </c>
      <c r="M71" s="369">
        <v>2.42</v>
      </c>
      <c r="N71" s="369">
        <v>2.4900000000000002</v>
      </c>
      <c r="O71" s="369">
        <v>2.56</v>
      </c>
      <c r="P71" s="459">
        <v>2.61</v>
      </c>
      <c r="Q71" s="369">
        <v>2.64</v>
      </c>
      <c r="R71" s="369">
        <v>2.67</v>
      </c>
      <c r="S71" s="369">
        <v>2.7</v>
      </c>
      <c r="T71" s="369">
        <v>2.72</v>
      </c>
      <c r="U71" s="369">
        <v>2.75</v>
      </c>
      <c r="V71" s="369">
        <v>2.75</v>
      </c>
      <c r="W71" s="369">
        <v>2.75</v>
      </c>
      <c r="X71" s="369">
        <v>2.76</v>
      </c>
      <c r="Y71" s="369">
        <v>2.76</v>
      </c>
      <c r="Z71" s="369">
        <v>2.76</v>
      </c>
      <c r="AA71" s="369">
        <v>2.75</v>
      </c>
      <c r="AB71" s="369">
        <v>2.75</v>
      </c>
      <c r="AC71" s="369">
        <v>2.74</v>
      </c>
      <c r="AD71" s="369">
        <v>2.74</v>
      </c>
      <c r="AE71" s="369">
        <v>2.73</v>
      </c>
      <c r="AF71" s="369">
        <v>2.73</v>
      </c>
      <c r="AG71" s="369">
        <v>2.73</v>
      </c>
      <c r="AH71" s="369">
        <v>2.72</v>
      </c>
      <c r="AI71" s="369">
        <v>2.72</v>
      </c>
      <c r="AJ71" s="369">
        <v>2.72</v>
      </c>
      <c r="AK71" s="369">
        <v>2.71</v>
      </c>
      <c r="AL71" s="369">
        <v>2.71</v>
      </c>
      <c r="AM71" s="369">
        <v>2.71</v>
      </c>
      <c r="AN71" s="369">
        <v>2.7</v>
      </c>
      <c r="AO71" s="369">
        <v>2.7</v>
      </c>
      <c r="AP71" s="369">
        <v>2.7</v>
      </c>
      <c r="AQ71" s="369">
        <v>2.7</v>
      </c>
      <c r="AR71" s="369">
        <v>2.7</v>
      </c>
      <c r="AS71" s="369">
        <v>2.69</v>
      </c>
      <c r="AT71" s="369">
        <v>2.69</v>
      </c>
      <c r="AU71" s="369">
        <v>2.69</v>
      </c>
      <c r="AV71" s="369">
        <v>2.69</v>
      </c>
      <c r="AW71" s="369">
        <v>2.69</v>
      </c>
      <c r="AX71" s="369">
        <v>2.68</v>
      </c>
      <c r="AY71" s="369">
        <v>2.68</v>
      </c>
      <c r="BB71" s="369">
        <v>1.89</v>
      </c>
    </row>
    <row r="72" spans="1:54">
      <c r="A72" s="113">
        <v>43951</v>
      </c>
      <c r="B72" s="369">
        <v>1.1100000000000001</v>
      </c>
      <c r="C72" s="369">
        <v>1.18</v>
      </c>
      <c r="D72" s="369">
        <v>1.28</v>
      </c>
      <c r="E72" s="369">
        <v>1.42</v>
      </c>
      <c r="F72" s="369">
        <v>1.57</v>
      </c>
      <c r="G72" s="369">
        <v>1.71</v>
      </c>
      <c r="H72" s="369">
        <v>1.85</v>
      </c>
      <c r="I72" s="369">
        <v>1.98</v>
      </c>
      <c r="J72" s="369">
        <v>2.09</v>
      </c>
      <c r="K72" s="369">
        <v>2.2000000000000002</v>
      </c>
      <c r="L72" s="369">
        <v>2.2999999999999998</v>
      </c>
      <c r="M72" s="369">
        <v>2.39</v>
      </c>
      <c r="N72" s="369">
        <v>2.46</v>
      </c>
      <c r="O72" s="369">
        <v>2.52</v>
      </c>
      <c r="P72" s="459">
        <v>2.58</v>
      </c>
      <c r="Q72" s="369">
        <v>2.61</v>
      </c>
      <c r="R72" s="369">
        <v>2.64</v>
      </c>
      <c r="S72" s="369">
        <v>2.67</v>
      </c>
      <c r="T72" s="369">
        <v>2.69</v>
      </c>
      <c r="U72" s="369">
        <v>2.71</v>
      </c>
      <c r="V72" s="369">
        <v>2.72</v>
      </c>
      <c r="W72" s="369">
        <v>2.72</v>
      </c>
      <c r="X72" s="369">
        <v>2.72</v>
      </c>
      <c r="Y72" s="369">
        <v>2.72</v>
      </c>
      <c r="Z72" s="369">
        <v>2.73</v>
      </c>
      <c r="AA72" s="369">
        <v>2.72</v>
      </c>
      <c r="AB72" s="369">
        <v>2.72</v>
      </c>
      <c r="AC72" s="369">
        <v>2.71</v>
      </c>
      <c r="AD72" s="369">
        <v>2.71</v>
      </c>
      <c r="AE72" s="369">
        <v>2.7</v>
      </c>
      <c r="AF72" s="369">
        <v>2.7</v>
      </c>
      <c r="AG72" s="369">
        <v>2.69</v>
      </c>
      <c r="AH72" s="369">
        <v>2.69</v>
      </c>
      <c r="AI72" s="369">
        <v>2.69</v>
      </c>
      <c r="AJ72" s="369">
        <v>2.68</v>
      </c>
      <c r="AK72" s="369">
        <v>2.68</v>
      </c>
      <c r="AL72" s="369">
        <v>2.68</v>
      </c>
      <c r="AM72" s="369">
        <v>2.68</v>
      </c>
      <c r="AN72" s="369">
        <v>2.67</v>
      </c>
      <c r="AO72" s="369">
        <v>2.67</v>
      </c>
      <c r="AP72" s="369">
        <v>2.67</v>
      </c>
      <c r="AQ72" s="369">
        <v>2.67</v>
      </c>
      <c r="AR72" s="369">
        <v>2.66</v>
      </c>
      <c r="AS72" s="369">
        <v>2.66</v>
      </c>
      <c r="AT72" s="369">
        <v>2.66</v>
      </c>
      <c r="AU72" s="369">
        <v>2.66</v>
      </c>
      <c r="AV72" s="369">
        <v>2.66</v>
      </c>
      <c r="AW72" s="369">
        <v>2.65</v>
      </c>
      <c r="AX72" s="369">
        <v>2.65</v>
      </c>
      <c r="AY72" s="369">
        <v>2.65</v>
      </c>
      <c r="BB72" s="369">
        <v>1.87</v>
      </c>
    </row>
    <row r="73" spans="1:54" s="131" customFormat="1" ht="12.75">
      <c r="A73" s="116">
        <v>43982</v>
      </c>
      <c r="B73" s="369">
        <v>1.0900000000000001</v>
      </c>
      <c r="C73" s="369">
        <v>1.1599999999999999</v>
      </c>
      <c r="D73" s="369">
        <v>1.26</v>
      </c>
      <c r="E73" s="369">
        <v>1.4</v>
      </c>
      <c r="F73" s="369">
        <v>1.54</v>
      </c>
      <c r="G73" s="369">
        <v>1.69</v>
      </c>
      <c r="H73" s="369">
        <v>1.82</v>
      </c>
      <c r="I73" s="369">
        <v>1.95</v>
      </c>
      <c r="J73" s="369">
        <v>2.06</v>
      </c>
      <c r="K73" s="369">
        <v>2.17</v>
      </c>
      <c r="L73" s="369">
        <v>2.27</v>
      </c>
      <c r="M73" s="369">
        <v>2.35</v>
      </c>
      <c r="N73" s="369">
        <v>2.4300000000000002</v>
      </c>
      <c r="O73" s="369">
        <v>2.4900000000000002</v>
      </c>
      <c r="P73" s="459">
        <v>2.54</v>
      </c>
      <c r="Q73" s="369">
        <v>2.58</v>
      </c>
      <c r="R73" s="369">
        <v>2.61</v>
      </c>
      <c r="S73" s="369">
        <v>2.63</v>
      </c>
      <c r="T73" s="369">
        <v>2.66</v>
      </c>
      <c r="U73" s="369">
        <v>2.68</v>
      </c>
      <c r="V73" s="369">
        <v>2.68</v>
      </c>
      <c r="W73" s="369">
        <v>2.68</v>
      </c>
      <c r="X73" s="369">
        <v>2.69</v>
      </c>
      <c r="Y73" s="369">
        <v>2.69</v>
      </c>
      <c r="Z73" s="369">
        <v>2.69</v>
      </c>
      <c r="AA73" s="369">
        <v>2.69</v>
      </c>
      <c r="AB73" s="369">
        <v>2.68</v>
      </c>
      <c r="AC73" s="369">
        <v>2.68</v>
      </c>
      <c r="AD73" s="369">
        <v>2.67</v>
      </c>
      <c r="AE73" s="369">
        <v>2.67</v>
      </c>
      <c r="AF73" s="369">
        <v>2.66</v>
      </c>
      <c r="AG73" s="369">
        <v>2.66</v>
      </c>
      <c r="AH73" s="369">
        <v>2.66</v>
      </c>
      <c r="AI73" s="369">
        <v>2.66</v>
      </c>
      <c r="AJ73" s="369">
        <v>2.65</v>
      </c>
      <c r="AK73" s="369">
        <v>2.65</v>
      </c>
      <c r="AL73" s="369">
        <v>2.65</v>
      </c>
      <c r="AM73" s="369">
        <v>2.64</v>
      </c>
      <c r="AN73" s="369">
        <v>2.64</v>
      </c>
      <c r="AO73" s="369">
        <v>2.64</v>
      </c>
      <c r="AP73" s="369">
        <v>2.64</v>
      </c>
      <c r="AQ73" s="369">
        <v>2.64</v>
      </c>
      <c r="AR73" s="369">
        <v>2.63</v>
      </c>
      <c r="AS73" s="369">
        <v>2.63</v>
      </c>
      <c r="AT73" s="369">
        <v>2.63</v>
      </c>
      <c r="AU73" s="369">
        <v>2.63</v>
      </c>
      <c r="AV73" s="369">
        <v>2.62</v>
      </c>
      <c r="AW73" s="369">
        <v>2.62</v>
      </c>
      <c r="AX73" s="369">
        <v>2.62</v>
      </c>
      <c r="AY73" s="369">
        <v>2.62</v>
      </c>
      <c r="BB73" s="369">
        <v>1.84</v>
      </c>
    </row>
    <row r="74" spans="1:54">
      <c r="A74" s="113">
        <v>44012</v>
      </c>
      <c r="B74" s="369">
        <v>1.07</v>
      </c>
      <c r="C74" s="369">
        <v>1.1299999999999999</v>
      </c>
      <c r="D74" s="369">
        <v>1.24</v>
      </c>
      <c r="E74" s="369">
        <v>1.37</v>
      </c>
      <c r="F74" s="369">
        <v>1.51</v>
      </c>
      <c r="G74" s="369">
        <v>1.66</v>
      </c>
      <c r="H74" s="369">
        <v>1.79</v>
      </c>
      <c r="I74" s="369">
        <v>1.91</v>
      </c>
      <c r="J74" s="369">
        <v>2.0299999999999998</v>
      </c>
      <c r="K74" s="369">
        <v>2.14</v>
      </c>
      <c r="L74" s="369">
        <v>2.2400000000000002</v>
      </c>
      <c r="M74" s="369">
        <v>2.3199999999999998</v>
      </c>
      <c r="N74" s="369">
        <v>2.39</v>
      </c>
      <c r="O74" s="369">
        <v>2.4500000000000002</v>
      </c>
      <c r="P74" s="459">
        <v>2.5099999999999998</v>
      </c>
      <c r="Q74" s="369">
        <v>2.54</v>
      </c>
      <c r="R74" s="369">
        <v>2.57</v>
      </c>
      <c r="S74" s="369">
        <v>2.6</v>
      </c>
      <c r="T74" s="369">
        <v>2.62</v>
      </c>
      <c r="U74" s="369">
        <v>2.64</v>
      </c>
      <c r="V74" s="369">
        <v>2.65</v>
      </c>
      <c r="W74" s="369">
        <v>2.65</v>
      </c>
      <c r="X74" s="369">
        <v>2.65</v>
      </c>
      <c r="Y74" s="369">
        <v>2.66</v>
      </c>
      <c r="Z74" s="369">
        <v>2.66</v>
      </c>
      <c r="AA74" s="369">
        <v>2.65</v>
      </c>
      <c r="AB74" s="369">
        <v>2.65</v>
      </c>
      <c r="AC74" s="369">
        <v>2.64</v>
      </c>
      <c r="AD74" s="369">
        <v>2.64</v>
      </c>
      <c r="AE74" s="369">
        <v>2.63</v>
      </c>
      <c r="AF74" s="369">
        <v>2.63</v>
      </c>
      <c r="AG74" s="369">
        <v>2.63</v>
      </c>
      <c r="AH74" s="369">
        <v>2.63</v>
      </c>
      <c r="AI74" s="369">
        <v>2.62</v>
      </c>
      <c r="AJ74" s="369">
        <v>2.62</v>
      </c>
      <c r="AK74" s="369">
        <v>2.62</v>
      </c>
      <c r="AL74" s="369">
        <v>2.61</v>
      </c>
      <c r="AM74" s="369">
        <v>2.61</v>
      </c>
      <c r="AN74" s="369">
        <v>2.61</v>
      </c>
      <c r="AO74" s="369">
        <v>2.61</v>
      </c>
      <c r="AP74" s="369">
        <v>2.61</v>
      </c>
      <c r="AQ74" s="369">
        <v>2.6</v>
      </c>
      <c r="AR74" s="369">
        <v>2.6</v>
      </c>
      <c r="AS74" s="369">
        <v>2.6</v>
      </c>
      <c r="AT74" s="369">
        <v>2.6</v>
      </c>
      <c r="AU74" s="369">
        <v>2.59</v>
      </c>
      <c r="AV74" s="369">
        <v>2.59</v>
      </c>
      <c r="AW74" s="369">
        <v>2.59</v>
      </c>
      <c r="AX74" s="369">
        <v>2.59</v>
      </c>
      <c r="AY74" s="369">
        <v>2.59</v>
      </c>
      <c r="BB74" s="369">
        <v>1.81</v>
      </c>
    </row>
    <row r="75" spans="1:54">
      <c r="A75" s="116">
        <v>44043</v>
      </c>
      <c r="B75" s="369">
        <v>1.05</v>
      </c>
      <c r="C75" s="369">
        <v>1.1100000000000001</v>
      </c>
      <c r="D75" s="369">
        <v>1.21</v>
      </c>
      <c r="E75" s="369">
        <v>1.35</v>
      </c>
      <c r="F75" s="369">
        <v>1.49</v>
      </c>
      <c r="G75" s="369">
        <v>1.63</v>
      </c>
      <c r="H75" s="369">
        <v>1.76</v>
      </c>
      <c r="I75" s="369">
        <v>1.88</v>
      </c>
      <c r="J75" s="369">
        <v>2</v>
      </c>
      <c r="K75" s="369">
        <v>2.11</v>
      </c>
      <c r="L75" s="369">
        <v>2.2000000000000002</v>
      </c>
      <c r="M75" s="369">
        <v>2.2799999999999998</v>
      </c>
      <c r="N75" s="369">
        <v>2.36</v>
      </c>
      <c r="O75" s="369">
        <v>2.42</v>
      </c>
      <c r="P75" s="459">
        <v>2.4700000000000002</v>
      </c>
      <c r="Q75" s="369">
        <v>2.5099999999999998</v>
      </c>
      <c r="R75" s="369">
        <v>2.54</v>
      </c>
      <c r="S75" s="369">
        <v>2.56</v>
      </c>
      <c r="T75" s="369">
        <v>2.59</v>
      </c>
      <c r="U75" s="369">
        <v>2.61</v>
      </c>
      <c r="V75" s="369">
        <v>2.61</v>
      </c>
      <c r="W75" s="369">
        <v>2.61</v>
      </c>
      <c r="X75" s="369">
        <v>2.62</v>
      </c>
      <c r="Y75" s="369">
        <v>2.62</v>
      </c>
      <c r="Z75" s="369">
        <v>2.62</v>
      </c>
      <c r="AA75" s="369">
        <v>2.62</v>
      </c>
      <c r="AB75" s="369">
        <v>2.61</v>
      </c>
      <c r="AC75" s="369">
        <v>2.61</v>
      </c>
      <c r="AD75" s="369">
        <v>2.6</v>
      </c>
      <c r="AE75" s="369">
        <v>2.6</v>
      </c>
      <c r="AF75" s="369">
        <v>2.6</v>
      </c>
      <c r="AG75" s="369">
        <v>2.59</v>
      </c>
      <c r="AH75" s="369">
        <v>2.59</v>
      </c>
      <c r="AI75" s="369">
        <v>2.59</v>
      </c>
      <c r="AJ75" s="369">
        <v>2.59</v>
      </c>
      <c r="AK75" s="369">
        <v>2.58</v>
      </c>
      <c r="AL75" s="369">
        <v>2.58</v>
      </c>
      <c r="AM75" s="369">
        <v>2.58</v>
      </c>
      <c r="AN75" s="369">
        <v>2.58</v>
      </c>
      <c r="AO75" s="369">
        <v>2.57</v>
      </c>
      <c r="AP75" s="369">
        <v>2.57</v>
      </c>
      <c r="AQ75" s="369">
        <v>2.57</v>
      </c>
      <c r="AR75" s="369">
        <v>2.57</v>
      </c>
      <c r="AS75" s="369">
        <v>2.56</v>
      </c>
      <c r="AT75" s="369">
        <v>2.56</v>
      </c>
      <c r="AU75" s="369">
        <v>2.56</v>
      </c>
      <c r="AV75" s="369">
        <v>2.56</v>
      </c>
      <c r="AW75" s="369">
        <v>2.56</v>
      </c>
      <c r="AX75" s="369">
        <v>2.56</v>
      </c>
      <c r="AY75" s="369">
        <v>2.5499999999999998</v>
      </c>
      <c r="BB75" s="369">
        <v>1.78</v>
      </c>
    </row>
    <row r="76" spans="1:54">
      <c r="A76" s="113">
        <v>44074</v>
      </c>
      <c r="B76" s="369">
        <v>1.03</v>
      </c>
      <c r="C76" s="369">
        <v>1.0900000000000001</v>
      </c>
      <c r="D76" s="369">
        <v>1.19</v>
      </c>
      <c r="E76" s="369">
        <v>1.33</v>
      </c>
      <c r="F76" s="369">
        <v>1.46</v>
      </c>
      <c r="G76" s="369">
        <v>1.6</v>
      </c>
      <c r="H76" s="369">
        <v>1.73</v>
      </c>
      <c r="I76" s="369">
        <v>1.86</v>
      </c>
      <c r="J76" s="369">
        <v>1.97</v>
      </c>
      <c r="K76" s="369">
        <v>2.08</v>
      </c>
      <c r="L76" s="369">
        <v>2.1800000000000002</v>
      </c>
      <c r="M76" s="369">
        <v>2.2599999999999998</v>
      </c>
      <c r="N76" s="369">
        <v>2.33</v>
      </c>
      <c r="O76" s="369">
        <v>2.39</v>
      </c>
      <c r="P76" s="459">
        <v>2.4500000000000002</v>
      </c>
      <c r="Q76" s="369">
        <v>2.48</v>
      </c>
      <c r="R76" s="369">
        <v>2.5099999999999998</v>
      </c>
      <c r="S76" s="369">
        <v>2.5299999999999998</v>
      </c>
      <c r="T76" s="369">
        <v>2.56</v>
      </c>
      <c r="U76" s="369">
        <v>2.58</v>
      </c>
      <c r="V76" s="369">
        <v>2.58</v>
      </c>
      <c r="W76" s="369">
        <v>2.59</v>
      </c>
      <c r="X76" s="369">
        <v>2.59</v>
      </c>
      <c r="Y76" s="369">
        <v>2.59</v>
      </c>
      <c r="Z76" s="369">
        <v>2.6</v>
      </c>
      <c r="AA76" s="369">
        <v>2.59</v>
      </c>
      <c r="AB76" s="369">
        <v>2.59</v>
      </c>
      <c r="AC76" s="369">
        <v>2.58</v>
      </c>
      <c r="AD76" s="369">
        <v>2.58</v>
      </c>
      <c r="AE76" s="369">
        <v>2.57</v>
      </c>
      <c r="AF76" s="369">
        <v>2.57</v>
      </c>
      <c r="AG76" s="369">
        <v>2.57</v>
      </c>
      <c r="AH76" s="369">
        <v>2.56</v>
      </c>
      <c r="AI76" s="369">
        <v>2.56</v>
      </c>
      <c r="AJ76" s="369">
        <v>2.56</v>
      </c>
      <c r="AK76" s="369">
        <v>2.56</v>
      </c>
      <c r="AL76" s="369">
        <v>2.5499999999999998</v>
      </c>
      <c r="AM76" s="369">
        <v>2.5499999999999998</v>
      </c>
      <c r="AN76" s="369">
        <v>2.5499999999999998</v>
      </c>
      <c r="AO76" s="369">
        <v>2.5499999999999998</v>
      </c>
      <c r="AP76" s="369">
        <v>2.5499999999999998</v>
      </c>
      <c r="AQ76" s="369">
        <v>2.54</v>
      </c>
      <c r="AR76" s="369">
        <v>2.54</v>
      </c>
      <c r="AS76" s="369">
        <v>2.54</v>
      </c>
      <c r="AT76" s="369">
        <v>2.54</v>
      </c>
      <c r="AU76" s="369">
        <v>2.54</v>
      </c>
      <c r="AV76" s="369">
        <v>2.5299999999999998</v>
      </c>
      <c r="AW76" s="369">
        <v>2.5299999999999998</v>
      </c>
      <c r="AX76" s="369">
        <v>2.5299999999999998</v>
      </c>
      <c r="AY76" s="369">
        <v>2.5299999999999998</v>
      </c>
      <c r="BB76" s="369">
        <v>1.74</v>
      </c>
    </row>
    <row r="77" spans="1:54">
      <c r="A77" s="116">
        <v>44104</v>
      </c>
      <c r="B77" s="369">
        <v>1.01</v>
      </c>
      <c r="C77" s="369">
        <v>1.07</v>
      </c>
      <c r="D77" s="369">
        <v>1.17</v>
      </c>
      <c r="E77" s="369">
        <v>1.3</v>
      </c>
      <c r="F77" s="369">
        <v>1.44</v>
      </c>
      <c r="G77" s="369">
        <v>1.58</v>
      </c>
      <c r="H77" s="369">
        <v>1.71</v>
      </c>
      <c r="I77" s="369">
        <v>1.83</v>
      </c>
      <c r="J77" s="369">
        <v>1.94</v>
      </c>
      <c r="K77" s="369">
        <v>2.0499999999999998</v>
      </c>
      <c r="L77" s="369">
        <v>2.15</v>
      </c>
      <c r="M77" s="369">
        <v>2.23</v>
      </c>
      <c r="N77" s="369">
        <v>2.2999999999999998</v>
      </c>
      <c r="O77" s="369">
        <v>2.36</v>
      </c>
      <c r="P77" s="459">
        <v>2.41</v>
      </c>
      <c r="Q77" s="369">
        <v>2.4500000000000002</v>
      </c>
      <c r="R77" s="369">
        <v>2.48</v>
      </c>
      <c r="S77" s="369">
        <v>2.5</v>
      </c>
      <c r="T77" s="369">
        <v>2.5299999999999998</v>
      </c>
      <c r="U77" s="369">
        <v>2.5499999999999998</v>
      </c>
      <c r="V77" s="369">
        <v>2.5499999999999998</v>
      </c>
      <c r="W77" s="369">
        <v>2.56</v>
      </c>
      <c r="X77" s="369">
        <v>2.56</v>
      </c>
      <c r="Y77" s="369">
        <v>2.56</v>
      </c>
      <c r="Z77" s="369">
        <v>2.57</v>
      </c>
      <c r="AA77" s="369">
        <v>2.56</v>
      </c>
      <c r="AB77" s="369">
        <v>2.56</v>
      </c>
      <c r="AC77" s="369">
        <v>2.5499999999999998</v>
      </c>
      <c r="AD77" s="369">
        <v>2.5499999999999998</v>
      </c>
      <c r="AE77" s="369">
        <v>2.54</v>
      </c>
      <c r="AF77" s="369">
        <v>2.54</v>
      </c>
      <c r="AG77" s="369">
        <v>2.54</v>
      </c>
      <c r="AH77" s="369">
        <v>2.54</v>
      </c>
      <c r="AI77" s="369">
        <v>2.5299999999999998</v>
      </c>
      <c r="AJ77" s="369">
        <v>2.5299999999999998</v>
      </c>
      <c r="AK77" s="369">
        <v>2.5299999999999998</v>
      </c>
      <c r="AL77" s="369">
        <v>2.5299999999999998</v>
      </c>
      <c r="AM77" s="369">
        <v>2.52</v>
      </c>
      <c r="AN77" s="369">
        <v>2.52</v>
      </c>
      <c r="AO77" s="369">
        <v>2.52</v>
      </c>
      <c r="AP77" s="369">
        <v>2.52</v>
      </c>
      <c r="AQ77" s="369">
        <v>2.52</v>
      </c>
      <c r="AR77" s="369">
        <v>2.5099999999999998</v>
      </c>
      <c r="AS77" s="369">
        <v>2.5099999999999998</v>
      </c>
      <c r="AT77" s="369">
        <v>2.5099999999999998</v>
      </c>
      <c r="AU77" s="369">
        <v>2.5099999999999998</v>
      </c>
      <c r="AV77" s="369">
        <v>2.5099999999999998</v>
      </c>
      <c r="AW77" s="369">
        <v>2.5</v>
      </c>
      <c r="AX77" s="369">
        <v>2.5</v>
      </c>
      <c r="AY77" s="369">
        <v>2.5</v>
      </c>
      <c r="BB77" s="369">
        <v>1.71</v>
      </c>
    </row>
    <row r="78" spans="1:54" s="117" customFormat="1">
      <c r="A78" s="113">
        <v>44135</v>
      </c>
      <c r="B78" s="369">
        <v>0.99</v>
      </c>
      <c r="C78" s="369">
        <v>1.05</v>
      </c>
      <c r="D78" s="369">
        <v>1.1499999999999999</v>
      </c>
      <c r="E78" s="369">
        <v>1.28</v>
      </c>
      <c r="F78" s="369">
        <v>1.41</v>
      </c>
      <c r="G78" s="369">
        <v>1.55</v>
      </c>
      <c r="H78" s="369">
        <v>1.68</v>
      </c>
      <c r="I78" s="369">
        <v>1.8</v>
      </c>
      <c r="J78" s="369">
        <v>1.91</v>
      </c>
      <c r="K78" s="369">
        <v>2.02</v>
      </c>
      <c r="L78" s="369">
        <v>2.11</v>
      </c>
      <c r="M78" s="369">
        <v>2.19</v>
      </c>
      <c r="N78" s="369">
        <v>2.27</v>
      </c>
      <c r="O78" s="369">
        <v>2.33</v>
      </c>
      <c r="P78" s="459">
        <v>2.38</v>
      </c>
      <c r="Q78" s="369">
        <v>2.41</v>
      </c>
      <c r="R78" s="369">
        <v>2.44</v>
      </c>
      <c r="S78" s="369">
        <v>2.4700000000000002</v>
      </c>
      <c r="T78" s="369">
        <v>2.4900000000000002</v>
      </c>
      <c r="U78" s="369">
        <v>2.5099999999999998</v>
      </c>
      <c r="V78" s="369">
        <v>2.52</v>
      </c>
      <c r="W78" s="369">
        <v>2.52</v>
      </c>
      <c r="X78" s="369">
        <v>2.5299999999999998</v>
      </c>
      <c r="Y78" s="369">
        <v>2.5299999999999998</v>
      </c>
      <c r="Z78" s="369">
        <v>2.5299999999999998</v>
      </c>
      <c r="AA78" s="369">
        <v>2.5299999999999998</v>
      </c>
      <c r="AB78" s="369">
        <v>2.52</v>
      </c>
      <c r="AC78" s="369">
        <v>2.52</v>
      </c>
      <c r="AD78" s="369">
        <v>2.52</v>
      </c>
      <c r="AE78" s="369">
        <v>2.5099999999999998</v>
      </c>
      <c r="AF78" s="369">
        <v>2.5099999999999998</v>
      </c>
      <c r="AG78" s="369">
        <v>2.5099999999999998</v>
      </c>
      <c r="AH78" s="369">
        <v>2.5099999999999998</v>
      </c>
      <c r="AI78" s="369">
        <v>2.5</v>
      </c>
      <c r="AJ78" s="369">
        <v>2.5</v>
      </c>
      <c r="AK78" s="369">
        <v>2.5</v>
      </c>
      <c r="AL78" s="369">
        <v>2.5</v>
      </c>
      <c r="AM78" s="369">
        <v>2.5</v>
      </c>
      <c r="AN78" s="369">
        <v>2.4900000000000002</v>
      </c>
      <c r="AO78" s="369">
        <v>2.4900000000000002</v>
      </c>
      <c r="AP78" s="369">
        <v>2.4900000000000002</v>
      </c>
      <c r="AQ78" s="369">
        <v>2.4900000000000002</v>
      </c>
      <c r="AR78" s="369">
        <v>2.48</v>
      </c>
      <c r="AS78" s="369">
        <v>2.48</v>
      </c>
      <c r="AT78" s="369">
        <v>2.48</v>
      </c>
      <c r="AU78" s="369">
        <v>2.48</v>
      </c>
      <c r="AV78" s="369">
        <v>2.48</v>
      </c>
      <c r="AW78" s="369">
        <v>2.4700000000000002</v>
      </c>
      <c r="AX78" s="369">
        <v>2.4700000000000002</v>
      </c>
      <c r="AY78" s="369">
        <v>2.4700000000000002</v>
      </c>
      <c r="BB78" s="369">
        <v>1.68</v>
      </c>
    </row>
    <row r="79" spans="1:54" s="117" customFormat="1">
      <c r="A79" s="116">
        <v>44165</v>
      </c>
      <c r="B79" s="369">
        <v>0.97</v>
      </c>
      <c r="C79" s="369">
        <v>1.02</v>
      </c>
      <c r="D79" s="369">
        <v>1.1200000000000001</v>
      </c>
      <c r="E79" s="369">
        <v>1.25</v>
      </c>
      <c r="F79" s="369">
        <v>1.38</v>
      </c>
      <c r="G79" s="369">
        <v>1.51</v>
      </c>
      <c r="H79" s="369">
        <v>1.64</v>
      </c>
      <c r="I79" s="369">
        <v>1.76</v>
      </c>
      <c r="J79" s="369">
        <v>1.87</v>
      </c>
      <c r="K79" s="369">
        <v>1.98</v>
      </c>
      <c r="L79" s="369">
        <v>2.08</v>
      </c>
      <c r="M79" s="369">
        <v>2.16</v>
      </c>
      <c r="N79" s="369">
        <v>2.23</v>
      </c>
      <c r="O79" s="369">
        <v>2.29</v>
      </c>
      <c r="P79" s="459">
        <v>2.34</v>
      </c>
      <c r="Q79" s="369">
        <v>2.38</v>
      </c>
      <c r="R79" s="369">
        <v>2.41</v>
      </c>
      <c r="S79" s="369">
        <v>2.4300000000000002</v>
      </c>
      <c r="T79" s="369">
        <v>2.46</v>
      </c>
      <c r="U79" s="369">
        <v>2.48</v>
      </c>
      <c r="V79" s="369">
        <v>2.48</v>
      </c>
      <c r="W79" s="369">
        <v>2.4900000000000002</v>
      </c>
      <c r="X79" s="369">
        <v>2.4900000000000002</v>
      </c>
      <c r="Y79" s="369">
        <v>2.4900000000000002</v>
      </c>
      <c r="Z79" s="369">
        <v>2.5</v>
      </c>
      <c r="AA79" s="369">
        <v>2.4900000000000002</v>
      </c>
      <c r="AB79" s="369">
        <v>2.4900000000000002</v>
      </c>
      <c r="AC79" s="369">
        <v>2.4900000000000002</v>
      </c>
      <c r="AD79" s="369">
        <v>2.48</v>
      </c>
      <c r="AE79" s="369">
        <v>2.48</v>
      </c>
      <c r="AF79" s="369">
        <v>2.48</v>
      </c>
      <c r="AG79" s="369">
        <v>2.4700000000000002</v>
      </c>
      <c r="AH79" s="369">
        <v>2.4700000000000002</v>
      </c>
      <c r="AI79" s="369">
        <v>2.4700000000000002</v>
      </c>
      <c r="AJ79" s="369">
        <v>2.4700000000000002</v>
      </c>
      <c r="AK79" s="369">
        <v>2.4700000000000002</v>
      </c>
      <c r="AL79" s="369">
        <v>2.46</v>
      </c>
      <c r="AM79" s="369">
        <v>2.46</v>
      </c>
      <c r="AN79" s="369">
        <v>2.46</v>
      </c>
      <c r="AO79" s="369">
        <v>2.46</v>
      </c>
      <c r="AP79" s="369">
        <v>2.46</v>
      </c>
      <c r="AQ79" s="369">
        <v>2.4500000000000002</v>
      </c>
      <c r="AR79" s="369">
        <v>2.4500000000000002</v>
      </c>
      <c r="AS79" s="369">
        <v>2.4500000000000002</v>
      </c>
      <c r="AT79" s="369">
        <v>2.4500000000000002</v>
      </c>
      <c r="AU79" s="369">
        <v>2.4500000000000002</v>
      </c>
      <c r="AV79" s="369">
        <v>2.44</v>
      </c>
      <c r="AW79" s="369">
        <v>2.44</v>
      </c>
      <c r="AX79" s="369">
        <v>2.44</v>
      </c>
      <c r="AY79" s="369">
        <v>2.44</v>
      </c>
      <c r="BB79" s="369">
        <v>1.64</v>
      </c>
    </row>
    <row r="80" spans="1:54" s="117" customFormat="1">
      <c r="A80" s="113">
        <v>44196</v>
      </c>
      <c r="B80" s="369">
        <v>0.94</v>
      </c>
      <c r="C80" s="369">
        <v>1</v>
      </c>
      <c r="D80" s="369">
        <v>1.0900000000000001</v>
      </c>
      <c r="E80" s="369">
        <v>1.22</v>
      </c>
      <c r="F80" s="369">
        <v>1.35</v>
      </c>
      <c r="G80" s="369">
        <v>1.48</v>
      </c>
      <c r="H80" s="369">
        <v>1.61</v>
      </c>
      <c r="I80" s="369">
        <v>1.73</v>
      </c>
      <c r="J80" s="369">
        <v>1.84</v>
      </c>
      <c r="K80" s="369">
        <v>1.94</v>
      </c>
      <c r="L80" s="369">
        <v>2.04</v>
      </c>
      <c r="M80" s="369">
        <v>2.12</v>
      </c>
      <c r="N80" s="369">
        <v>2.19</v>
      </c>
      <c r="O80" s="369">
        <v>2.25</v>
      </c>
      <c r="P80" s="459">
        <v>2.2999999999999998</v>
      </c>
      <c r="Q80" s="369">
        <v>2.34</v>
      </c>
      <c r="R80" s="369">
        <v>2.37</v>
      </c>
      <c r="S80" s="369">
        <v>2.39</v>
      </c>
      <c r="T80" s="369">
        <v>2.42</v>
      </c>
      <c r="U80" s="369">
        <v>2.44</v>
      </c>
      <c r="V80" s="369">
        <v>2.44</v>
      </c>
      <c r="W80" s="369">
        <v>2.4500000000000002</v>
      </c>
      <c r="X80" s="369">
        <v>2.4500000000000002</v>
      </c>
      <c r="Y80" s="369">
        <v>2.46</v>
      </c>
      <c r="Z80" s="369">
        <v>2.46</v>
      </c>
      <c r="AA80" s="369">
        <v>2.46</v>
      </c>
      <c r="AB80" s="369">
        <v>2.4500000000000002</v>
      </c>
      <c r="AC80" s="369">
        <v>2.4500000000000002</v>
      </c>
      <c r="AD80" s="369">
        <v>2.4500000000000002</v>
      </c>
      <c r="AE80" s="369">
        <v>2.44</v>
      </c>
      <c r="AF80" s="369">
        <v>2.44</v>
      </c>
      <c r="AG80" s="369">
        <v>2.44</v>
      </c>
      <c r="AH80" s="369">
        <v>2.44</v>
      </c>
      <c r="AI80" s="369">
        <v>2.4300000000000002</v>
      </c>
      <c r="AJ80" s="369">
        <v>2.4300000000000002</v>
      </c>
      <c r="AK80" s="369">
        <v>2.4300000000000002</v>
      </c>
      <c r="AL80" s="369">
        <v>2.4300000000000002</v>
      </c>
      <c r="AM80" s="369">
        <v>2.4300000000000002</v>
      </c>
      <c r="AN80" s="369">
        <v>2.4300000000000002</v>
      </c>
      <c r="AO80" s="369">
        <v>2.42</v>
      </c>
      <c r="AP80" s="369">
        <v>2.42</v>
      </c>
      <c r="AQ80" s="369">
        <v>2.42</v>
      </c>
      <c r="AR80" s="369">
        <v>2.42</v>
      </c>
      <c r="AS80" s="369">
        <v>2.41</v>
      </c>
      <c r="AT80" s="369">
        <v>2.41</v>
      </c>
      <c r="AU80" s="369">
        <v>2.41</v>
      </c>
      <c r="AV80" s="369">
        <v>2.41</v>
      </c>
      <c r="AW80" s="369">
        <v>2.41</v>
      </c>
      <c r="AX80" s="369">
        <v>2.41</v>
      </c>
      <c r="AY80" s="369">
        <v>2.4</v>
      </c>
      <c r="BB80" s="369">
        <v>1.6</v>
      </c>
    </row>
    <row r="81" spans="1:54">
      <c r="A81" s="116">
        <v>44227</v>
      </c>
      <c r="B81" s="369">
        <v>0.92</v>
      </c>
      <c r="C81" s="369">
        <v>0.97</v>
      </c>
      <c r="D81" s="369">
        <v>1.06</v>
      </c>
      <c r="E81" s="369">
        <v>1.18</v>
      </c>
      <c r="F81" s="369">
        <v>1.31</v>
      </c>
      <c r="G81" s="369">
        <v>1.44</v>
      </c>
      <c r="H81" s="369">
        <v>1.57</v>
      </c>
      <c r="I81" s="369">
        <v>1.69</v>
      </c>
      <c r="J81" s="369">
        <v>1.8</v>
      </c>
      <c r="K81" s="369">
        <v>1.9</v>
      </c>
      <c r="L81" s="369">
        <v>2</v>
      </c>
      <c r="M81" s="369">
        <v>2.08</v>
      </c>
      <c r="N81" s="369">
        <v>2.15</v>
      </c>
      <c r="O81" s="369">
        <v>2.21</v>
      </c>
      <c r="P81" s="459">
        <v>2.2599999999999998</v>
      </c>
      <c r="Q81" s="369">
        <v>2.2999999999999998</v>
      </c>
      <c r="R81" s="369">
        <v>2.33</v>
      </c>
      <c r="S81" s="369">
        <v>2.35</v>
      </c>
      <c r="T81" s="369">
        <v>2.38</v>
      </c>
      <c r="U81" s="369">
        <v>2.4</v>
      </c>
      <c r="V81" s="369">
        <v>2.4</v>
      </c>
      <c r="W81" s="369">
        <v>2.41</v>
      </c>
      <c r="X81" s="369">
        <v>2.41</v>
      </c>
      <c r="Y81" s="369">
        <v>2.42</v>
      </c>
      <c r="Z81" s="369">
        <v>2.42</v>
      </c>
      <c r="AA81" s="369">
        <v>2.42</v>
      </c>
      <c r="AB81" s="369">
        <v>2.42</v>
      </c>
      <c r="AC81" s="369">
        <v>2.41</v>
      </c>
      <c r="AD81" s="369">
        <v>2.41</v>
      </c>
      <c r="AE81" s="369">
        <v>2.41</v>
      </c>
      <c r="AF81" s="369">
        <v>2.4</v>
      </c>
      <c r="AG81" s="369">
        <v>2.4</v>
      </c>
      <c r="AH81" s="369">
        <v>2.4</v>
      </c>
      <c r="AI81" s="369">
        <v>2.4</v>
      </c>
      <c r="AJ81" s="369">
        <v>2.4</v>
      </c>
      <c r="AK81" s="369">
        <v>2.39</v>
      </c>
      <c r="AL81" s="369">
        <v>2.39</v>
      </c>
      <c r="AM81" s="369">
        <v>2.39</v>
      </c>
      <c r="AN81" s="369">
        <v>2.39</v>
      </c>
      <c r="AO81" s="369">
        <v>2.39</v>
      </c>
      <c r="AP81" s="369">
        <v>2.39</v>
      </c>
      <c r="AQ81" s="369">
        <v>2.38</v>
      </c>
      <c r="AR81" s="369">
        <v>2.38</v>
      </c>
      <c r="AS81" s="369">
        <v>2.38</v>
      </c>
      <c r="AT81" s="369">
        <v>2.38</v>
      </c>
      <c r="AU81" s="369">
        <v>2.38</v>
      </c>
      <c r="AV81" s="369">
        <v>2.37</v>
      </c>
      <c r="AW81" s="369">
        <v>2.37</v>
      </c>
      <c r="AX81" s="369">
        <v>2.37</v>
      </c>
      <c r="AY81" s="369">
        <v>2.37</v>
      </c>
      <c r="BB81" s="369">
        <v>1.57</v>
      </c>
    </row>
    <row r="82" spans="1:54" s="117" customFormat="1">
      <c r="A82" s="113">
        <v>44255</v>
      </c>
      <c r="B82" s="369">
        <v>0.9</v>
      </c>
      <c r="C82" s="369">
        <v>0.94</v>
      </c>
      <c r="D82" s="369">
        <v>1.03</v>
      </c>
      <c r="E82" s="369">
        <v>1.1499999999999999</v>
      </c>
      <c r="F82" s="369">
        <v>1.28</v>
      </c>
      <c r="G82" s="369">
        <v>1.41</v>
      </c>
      <c r="H82" s="369">
        <v>1.54</v>
      </c>
      <c r="I82" s="369">
        <v>1.65</v>
      </c>
      <c r="J82" s="369">
        <v>1.76</v>
      </c>
      <c r="K82" s="369">
        <v>1.87</v>
      </c>
      <c r="L82" s="369">
        <v>1.96</v>
      </c>
      <c r="M82" s="369">
        <v>2.04</v>
      </c>
      <c r="N82" s="369">
        <v>2.12</v>
      </c>
      <c r="O82" s="369">
        <v>2.1800000000000002</v>
      </c>
      <c r="P82" s="459">
        <v>2.23</v>
      </c>
      <c r="Q82" s="369">
        <v>2.2599999999999998</v>
      </c>
      <c r="R82" s="369">
        <v>2.29</v>
      </c>
      <c r="S82" s="369">
        <v>2.3199999999999998</v>
      </c>
      <c r="T82" s="369">
        <v>2.34</v>
      </c>
      <c r="U82" s="369">
        <v>2.36</v>
      </c>
      <c r="V82" s="369">
        <v>2.37</v>
      </c>
      <c r="W82" s="369">
        <v>2.37</v>
      </c>
      <c r="X82" s="369">
        <v>2.38</v>
      </c>
      <c r="Y82" s="369">
        <v>2.38</v>
      </c>
      <c r="Z82" s="369">
        <v>2.39</v>
      </c>
      <c r="AA82" s="369">
        <v>2.38</v>
      </c>
      <c r="AB82" s="369">
        <v>2.38</v>
      </c>
      <c r="AC82" s="369">
        <v>2.38</v>
      </c>
      <c r="AD82" s="369">
        <v>2.38</v>
      </c>
      <c r="AE82" s="369">
        <v>2.37</v>
      </c>
      <c r="AF82" s="369">
        <v>2.37</v>
      </c>
      <c r="AG82" s="369">
        <v>2.37</v>
      </c>
      <c r="AH82" s="369">
        <v>2.37</v>
      </c>
      <c r="AI82" s="369">
        <v>2.37</v>
      </c>
      <c r="AJ82" s="369">
        <v>2.36</v>
      </c>
      <c r="AK82" s="369">
        <v>2.36</v>
      </c>
      <c r="AL82" s="369">
        <v>2.36</v>
      </c>
      <c r="AM82" s="369">
        <v>2.36</v>
      </c>
      <c r="AN82" s="369">
        <v>2.36</v>
      </c>
      <c r="AO82" s="369">
        <v>2.36</v>
      </c>
      <c r="AP82" s="369">
        <v>2.35</v>
      </c>
      <c r="AQ82" s="369">
        <v>2.35</v>
      </c>
      <c r="AR82" s="369">
        <v>2.35</v>
      </c>
      <c r="AS82" s="369">
        <v>2.35</v>
      </c>
      <c r="AT82" s="369">
        <v>2.35</v>
      </c>
      <c r="AU82" s="369">
        <v>2.35</v>
      </c>
      <c r="AV82" s="369">
        <v>2.34</v>
      </c>
      <c r="AW82" s="369">
        <v>2.34</v>
      </c>
      <c r="AX82" s="369">
        <v>2.34</v>
      </c>
      <c r="AY82" s="369">
        <v>2.34</v>
      </c>
      <c r="BB82" s="369">
        <v>1.54</v>
      </c>
    </row>
    <row r="83" spans="1:54">
      <c r="A83" s="116">
        <v>44286</v>
      </c>
      <c r="B83" s="369">
        <v>0.87</v>
      </c>
      <c r="C83" s="369">
        <v>0.91</v>
      </c>
      <c r="D83" s="369">
        <v>1</v>
      </c>
      <c r="E83" s="369">
        <v>1.1200000000000001</v>
      </c>
      <c r="F83" s="369">
        <v>1.24</v>
      </c>
      <c r="G83" s="369">
        <v>1.38</v>
      </c>
      <c r="H83" s="369">
        <v>1.5</v>
      </c>
      <c r="I83" s="369">
        <v>1.62</v>
      </c>
      <c r="J83" s="369">
        <v>1.73</v>
      </c>
      <c r="K83" s="369">
        <v>1.83</v>
      </c>
      <c r="L83" s="369">
        <v>1.93</v>
      </c>
      <c r="M83" s="369">
        <v>2.0099999999999998</v>
      </c>
      <c r="N83" s="369">
        <v>2.08</v>
      </c>
      <c r="O83" s="369">
        <v>2.14</v>
      </c>
      <c r="P83" s="459">
        <v>2.19</v>
      </c>
      <c r="Q83" s="369">
        <v>2.23</v>
      </c>
      <c r="R83" s="369">
        <v>2.2599999999999998</v>
      </c>
      <c r="S83" s="369">
        <v>2.2799999999999998</v>
      </c>
      <c r="T83" s="369">
        <v>2.31</v>
      </c>
      <c r="U83" s="369">
        <v>2.33</v>
      </c>
      <c r="V83" s="369">
        <v>2.33</v>
      </c>
      <c r="W83" s="369">
        <v>2.34</v>
      </c>
      <c r="X83" s="369">
        <v>2.34</v>
      </c>
      <c r="Y83" s="369">
        <v>2.35</v>
      </c>
      <c r="Z83" s="369">
        <v>2.35</v>
      </c>
      <c r="AA83" s="369">
        <v>2.35</v>
      </c>
      <c r="AB83" s="369">
        <v>2.35</v>
      </c>
      <c r="AC83" s="369">
        <v>2.34</v>
      </c>
      <c r="AD83" s="369">
        <v>2.34</v>
      </c>
      <c r="AE83" s="369">
        <v>2.34</v>
      </c>
      <c r="AF83" s="369">
        <v>2.34</v>
      </c>
      <c r="AG83" s="369">
        <v>2.34</v>
      </c>
      <c r="AH83" s="369">
        <v>2.33</v>
      </c>
      <c r="AI83" s="369">
        <v>2.33</v>
      </c>
      <c r="AJ83" s="369">
        <v>2.33</v>
      </c>
      <c r="AK83" s="369">
        <v>2.33</v>
      </c>
      <c r="AL83" s="369">
        <v>2.33</v>
      </c>
      <c r="AM83" s="369">
        <v>2.33</v>
      </c>
      <c r="AN83" s="369">
        <v>2.33</v>
      </c>
      <c r="AO83" s="369">
        <v>2.33</v>
      </c>
      <c r="AP83" s="369">
        <v>2.3199999999999998</v>
      </c>
      <c r="AQ83" s="369">
        <v>2.3199999999999998</v>
      </c>
      <c r="AR83" s="369">
        <v>2.3199999999999998</v>
      </c>
      <c r="AS83" s="369">
        <v>2.3199999999999998</v>
      </c>
      <c r="AT83" s="369">
        <v>2.3199999999999998</v>
      </c>
      <c r="AU83" s="369">
        <v>2.31</v>
      </c>
      <c r="AV83" s="369">
        <v>2.31</v>
      </c>
      <c r="AW83" s="369">
        <v>2.31</v>
      </c>
      <c r="AX83" s="369">
        <v>2.31</v>
      </c>
      <c r="AY83" s="369">
        <v>2.31</v>
      </c>
      <c r="BB83" s="369">
        <v>1.51</v>
      </c>
    </row>
    <row r="84" spans="1:54" s="117" customFormat="1">
      <c r="A84" s="113">
        <v>44316</v>
      </c>
      <c r="B84" s="369">
        <v>0.84</v>
      </c>
      <c r="C84" s="369">
        <v>0.88</v>
      </c>
      <c r="D84" s="369">
        <v>0.97</v>
      </c>
      <c r="E84" s="369">
        <v>1.0900000000000001</v>
      </c>
      <c r="F84" s="369">
        <v>1.21</v>
      </c>
      <c r="G84" s="369">
        <v>1.34</v>
      </c>
      <c r="H84" s="369">
        <v>1.47</v>
      </c>
      <c r="I84" s="369">
        <v>1.59</v>
      </c>
      <c r="J84" s="369">
        <v>1.7</v>
      </c>
      <c r="K84" s="369">
        <v>1.8</v>
      </c>
      <c r="L84" s="369">
        <v>1.89</v>
      </c>
      <c r="M84" s="369">
        <v>1.97</v>
      </c>
      <c r="N84" s="369">
        <v>2.04</v>
      </c>
      <c r="O84" s="369">
        <v>2.11</v>
      </c>
      <c r="P84" s="459">
        <v>2.16</v>
      </c>
      <c r="Q84" s="369">
        <v>2.19</v>
      </c>
      <c r="R84" s="369">
        <v>2.2200000000000002</v>
      </c>
      <c r="S84" s="369">
        <v>2.25</v>
      </c>
      <c r="T84" s="369">
        <v>2.27</v>
      </c>
      <c r="U84" s="369">
        <v>2.29</v>
      </c>
      <c r="V84" s="369">
        <v>2.2999999999999998</v>
      </c>
      <c r="W84" s="369">
        <v>2.2999999999999998</v>
      </c>
      <c r="X84" s="369">
        <v>2.31</v>
      </c>
      <c r="Y84" s="369">
        <v>2.31</v>
      </c>
      <c r="Z84" s="369">
        <v>2.3199999999999998</v>
      </c>
      <c r="AA84" s="369">
        <v>2.3199999999999998</v>
      </c>
      <c r="AB84" s="369">
        <v>2.31</v>
      </c>
      <c r="AC84" s="369">
        <v>2.31</v>
      </c>
      <c r="AD84" s="369">
        <v>2.31</v>
      </c>
      <c r="AE84" s="369">
        <v>2.31</v>
      </c>
      <c r="AF84" s="369">
        <v>2.31</v>
      </c>
      <c r="AG84" s="369">
        <v>2.2999999999999998</v>
      </c>
      <c r="AH84" s="369">
        <v>2.2999999999999998</v>
      </c>
      <c r="AI84" s="369">
        <v>2.2999999999999998</v>
      </c>
      <c r="AJ84" s="369">
        <v>2.2999999999999998</v>
      </c>
      <c r="AK84" s="369">
        <v>2.2999999999999998</v>
      </c>
      <c r="AL84" s="369">
        <v>2.2999999999999998</v>
      </c>
      <c r="AM84" s="369">
        <v>2.2999999999999998</v>
      </c>
      <c r="AN84" s="369">
        <v>2.2999999999999998</v>
      </c>
      <c r="AO84" s="369">
        <v>2.29</v>
      </c>
      <c r="AP84" s="369">
        <v>2.29</v>
      </c>
      <c r="AQ84" s="369">
        <v>2.29</v>
      </c>
      <c r="AR84" s="369">
        <v>2.29</v>
      </c>
      <c r="AS84" s="369">
        <v>2.29</v>
      </c>
      <c r="AT84" s="369">
        <v>2.2799999999999998</v>
      </c>
      <c r="AU84" s="369">
        <v>2.2799999999999998</v>
      </c>
      <c r="AV84" s="369">
        <v>2.2799999999999998</v>
      </c>
      <c r="AW84" s="369">
        <v>2.2799999999999998</v>
      </c>
      <c r="AX84" s="369">
        <v>2.2799999999999998</v>
      </c>
      <c r="AY84" s="369">
        <v>2.2799999999999998</v>
      </c>
      <c r="BB84" s="369">
        <v>1.49</v>
      </c>
    </row>
    <row r="85" spans="1:54">
      <c r="A85" s="116">
        <v>44347</v>
      </c>
      <c r="B85" s="369">
        <v>0.82</v>
      </c>
      <c r="C85" s="369">
        <v>0.86</v>
      </c>
      <c r="D85" s="369">
        <v>0.94</v>
      </c>
      <c r="E85" s="369">
        <v>1.06</v>
      </c>
      <c r="F85" s="369">
        <v>1.18</v>
      </c>
      <c r="G85" s="369">
        <v>1.31</v>
      </c>
      <c r="H85" s="369">
        <v>1.43</v>
      </c>
      <c r="I85" s="369">
        <v>1.55</v>
      </c>
      <c r="J85" s="369">
        <v>1.66</v>
      </c>
      <c r="K85" s="369">
        <v>1.77</v>
      </c>
      <c r="L85" s="369">
        <v>1.86</v>
      </c>
      <c r="M85" s="369">
        <v>1.94</v>
      </c>
      <c r="N85" s="369">
        <v>2.0099999999999998</v>
      </c>
      <c r="O85" s="369">
        <v>2.0699999999999998</v>
      </c>
      <c r="P85" s="459">
        <v>2.12</v>
      </c>
      <c r="Q85" s="369">
        <v>2.16</v>
      </c>
      <c r="R85" s="369">
        <v>2.19</v>
      </c>
      <c r="S85" s="369">
        <v>2.21</v>
      </c>
      <c r="T85" s="369">
        <v>2.2400000000000002</v>
      </c>
      <c r="U85" s="369">
        <v>2.2599999999999998</v>
      </c>
      <c r="V85" s="369">
        <v>2.27</v>
      </c>
      <c r="W85" s="369">
        <v>2.27</v>
      </c>
      <c r="X85" s="369">
        <v>2.2799999999999998</v>
      </c>
      <c r="Y85" s="369">
        <v>2.2799999999999998</v>
      </c>
      <c r="Z85" s="369">
        <v>2.29</v>
      </c>
      <c r="AA85" s="369">
        <v>2.2799999999999998</v>
      </c>
      <c r="AB85" s="369">
        <v>2.2799999999999998</v>
      </c>
      <c r="AC85" s="369">
        <v>2.2799999999999998</v>
      </c>
      <c r="AD85" s="369">
        <v>2.2799999999999998</v>
      </c>
      <c r="AE85" s="369">
        <v>2.2799999999999998</v>
      </c>
      <c r="AF85" s="369">
        <v>2.27</v>
      </c>
      <c r="AG85" s="369">
        <v>2.27</v>
      </c>
      <c r="AH85" s="369">
        <v>2.27</v>
      </c>
      <c r="AI85" s="369">
        <v>2.27</v>
      </c>
      <c r="AJ85" s="369">
        <v>2.27</v>
      </c>
      <c r="AK85" s="369">
        <v>2.27</v>
      </c>
      <c r="AL85" s="369">
        <v>2.27</v>
      </c>
      <c r="AM85" s="369">
        <v>2.27</v>
      </c>
      <c r="AN85" s="369">
        <v>2.2599999999999998</v>
      </c>
      <c r="AO85" s="369">
        <v>2.2599999999999998</v>
      </c>
      <c r="AP85" s="369">
        <v>2.2599999999999998</v>
      </c>
      <c r="AQ85" s="369">
        <v>2.2599999999999998</v>
      </c>
      <c r="AR85" s="369">
        <v>2.2599999999999998</v>
      </c>
      <c r="AS85" s="369">
        <v>2.2599999999999998</v>
      </c>
      <c r="AT85" s="369">
        <v>2.25</v>
      </c>
      <c r="AU85" s="369">
        <v>2.25</v>
      </c>
      <c r="AV85" s="369">
        <v>2.25</v>
      </c>
      <c r="AW85" s="369">
        <v>2.25</v>
      </c>
      <c r="AX85" s="369">
        <v>2.25</v>
      </c>
      <c r="AY85" s="369">
        <v>2.25</v>
      </c>
      <c r="BB85" s="369">
        <v>1.47</v>
      </c>
    </row>
    <row r="86" spans="1:54">
      <c r="A86" s="113">
        <v>44377</v>
      </c>
      <c r="B86" s="369">
        <v>0.79</v>
      </c>
      <c r="C86" s="369">
        <v>0.83</v>
      </c>
      <c r="D86" s="369">
        <v>0.91</v>
      </c>
      <c r="E86" s="369">
        <v>1.02</v>
      </c>
      <c r="F86" s="369">
        <v>1.1499999999999999</v>
      </c>
      <c r="G86" s="369">
        <v>1.28</v>
      </c>
      <c r="H86" s="369">
        <v>1.4</v>
      </c>
      <c r="I86" s="369">
        <v>1.52</v>
      </c>
      <c r="J86" s="369">
        <v>1.63</v>
      </c>
      <c r="K86" s="369">
        <v>1.73</v>
      </c>
      <c r="L86" s="369">
        <v>1.83</v>
      </c>
      <c r="M86" s="369">
        <v>1.9</v>
      </c>
      <c r="N86" s="369">
        <v>1.97</v>
      </c>
      <c r="O86" s="369">
        <v>2.0299999999999998</v>
      </c>
      <c r="P86" s="459">
        <v>2.09</v>
      </c>
      <c r="Q86" s="369">
        <v>2.12</v>
      </c>
      <c r="R86" s="369">
        <v>2.15</v>
      </c>
      <c r="S86" s="369">
        <v>2.1800000000000002</v>
      </c>
      <c r="T86" s="369">
        <v>2.2000000000000002</v>
      </c>
      <c r="U86" s="369">
        <v>2.2200000000000002</v>
      </c>
      <c r="V86" s="369">
        <v>2.23</v>
      </c>
      <c r="W86" s="369">
        <v>2.23</v>
      </c>
      <c r="X86" s="369">
        <v>2.2400000000000002</v>
      </c>
      <c r="Y86" s="369">
        <v>2.25</v>
      </c>
      <c r="Z86" s="369">
        <v>2.25</v>
      </c>
      <c r="AA86" s="369">
        <v>2.25</v>
      </c>
      <c r="AB86" s="369">
        <v>2.25</v>
      </c>
      <c r="AC86" s="369">
        <v>2.2400000000000002</v>
      </c>
      <c r="AD86" s="369">
        <v>2.2400000000000002</v>
      </c>
      <c r="AE86" s="369">
        <v>2.2400000000000002</v>
      </c>
      <c r="AF86" s="369">
        <v>2.2400000000000002</v>
      </c>
      <c r="AG86" s="369">
        <v>2.2400000000000002</v>
      </c>
      <c r="AH86" s="369">
        <v>2.2400000000000002</v>
      </c>
      <c r="AI86" s="369">
        <v>2.23</v>
      </c>
      <c r="AJ86" s="369">
        <v>2.23</v>
      </c>
      <c r="AK86" s="369">
        <v>2.23</v>
      </c>
      <c r="AL86" s="369">
        <v>2.23</v>
      </c>
      <c r="AM86" s="369">
        <v>2.23</v>
      </c>
      <c r="AN86" s="369">
        <v>2.23</v>
      </c>
      <c r="AO86" s="369">
        <v>2.23</v>
      </c>
      <c r="AP86" s="369">
        <v>2.23</v>
      </c>
      <c r="AQ86" s="369">
        <v>2.2200000000000002</v>
      </c>
      <c r="AR86" s="369">
        <v>2.2200000000000002</v>
      </c>
      <c r="AS86" s="369">
        <v>2.2200000000000002</v>
      </c>
      <c r="AT86" s="369">
        <v>2.2200000000000002</v>
      </c>
      <c r="AU86" s="369">
        <v>2.2200000000000002</v>
      </c>
      <c r="AV86" s="369">
        <v>2.2200000000000002</v>
      </c>
      <c r="AW86" s="369">
        <v>2.21</v>
      </c>
      <c r="AX86" s="369">
        <v>2.21</v>
      </c>
      <c r="AY86" s="369">
        <v>2.21</v>
      </c>
      <c r="BB86" s="369">
        <v>1.45</v>
      </c>
    </row>
    <row r="87" spans="1:54">
      <c r="A87" s="116">
        <v>44408</v>
      </c>
      <c r="B87" s="369">
        <v>0.76</v>
      </c>
      <c r="C87" s="369">
        <v>0.8</v>
      </c>
      <c r="D87" s="369">
        <v>0.88</v>
      </c>
      <c r="E87" s="369">
        <v>0.99</v>
      </c>
      <c r="F87" s="369">
        <v>1.1200000000000001</v>
      </c>
      <c r="G87" s="369">
        <v>1.24</v>
      </c>
      <c r="H87" s="369">
        <v>1.37</v>
      </c>
      <c r="I87" s="369">
        <v>1.48</v>
      </c>
      <c r="J87" s="369">
        <v>1.59</v>
      </c>
      <c r="K87" s="369">
        <v>1.7</v>
      </c>
      <c r="L87" s="369">
        <v>1.79</v>
      </c>
      <c r="M87" s="369">
        <v>1.87</v>
      </c>
      <c r="N87" s="369">
        <v>1.94</v>
      </c>
      <c r="O87" s="369">
        <v>2</v>
      </c>
      <c r="P87" s="459">
        <v>2.0499999999999998</v>
      </c>
      <c r="Q87" s="369">
        <v>2.08</v>
      </c>
      <c r="R87" s="369">
        <v>2.11</v>
      </c>
      <c r="S87" s="369">
        <v>2.14</v>
      </c>
      <c r="T87" s="369">
        <v>2.16</v>
      </c>
      <c r="U87" s="369">
        <v>2.19</v>
      </c>
      <c r="V87" s="369">
        <v>2.19</v>
      </c>
      <c r="W87" s="369">
        <v>2.2000000000000002</v>
      </c>
      <c r="X87" s="369">
        <v>2.2000000000000002</v>
      </c>
      <c r="Y87" s="369">
        <v>2.21</v>
      </c>
      <c r="Z87" s="369">
        <v>2.21</v>
      </c>
      <c r="AA87" s="369">
        <v>2.21</v>
      </c>
      <c r="AB87" s="369">
        <v>2.21</v>
      </c>
      <c r="AC87" s="369">
        <v>2.21</v>
      </c>
      <c r="AD87" s="369">
        <v>2.21</v>
      </c>
      <c r="AE87" s="369">
        <v>2.21</v>
      </c>
      <c r="AF87" s="369">
        <v>2.2000000000000002</v>
      </c>
      <c r="AG87" s="369">
        <v>2.2000000000000002</v>
      </c>
      <c r="AH87" s="369">
        <v>2.2000000000000002</v>
      </c>
      <c r="AI87" s="369">
        <v>2.2000000000000002</v>
      </c>
      <c r="AJ87" s="369">
        <v>2.2000000000000002</v>
      </c>
      <c r="AK87" s="369">
        <v>2.2000000000000002</v>
      </c>
      <c r="AL87" s="369">
        <v>2.2000000000000002</v>
      </c>
      <c r="AM87" s="369">
        <v>2.2000000000000002</v>
      </c>
      <c r="AN87" s="369">
        <v>2.2000000000000002</v>
      </c>
      <c r="AO87" s="369">
        <v>2.19</v>
      </c>
      <c r="AP87" s="369">
        <v>2.19</v>
      </c>
      <c r="AQ87" s="369">
        <v>2.19</v>
      </c>
      <c r="AR87" s="369">
        <v>2.19</v>
      </c>
      <c r="AS87" s="369">
        <v>2.19</v>
      </c>
      <c r="AT87" s="369">
        <v>2.1800000000000002</v>
      </c>
      <c r="AU87" s="369">
        <v>2.1800000000000002</v>
      </c>
      <c r="AV87" s="369">
        <v>2.1800000000000002</v>
      </c>
      <c r="AW87" s="369">
        <v>2.1800000000000002</v>
      </c>
      <c r="AX87" s="369">
        <v>2.1800000000000002</v>
      </c>
      <c r="AY87" s="369">
        <v>2.1800000000000002</v>
      </c>
      <c r="BB87" s="369">
        <v>1.42</v>
      </c>
    </row>
    <row r="88" spans="1:54">
      <c r="A88" s="113">
        <v>44439</v>
      </c>
      <c r="B88" s="369">
        <v>0.73</v>
      </c>
      <c r="C88" s="369">
        <v>0.77</v>
      </c>
      <c r="D88" s="369">
        <v>0.85</v>
      </c>
      <c r="E88" s="369">
        <v>0.96</v>
      </c>
      <c r="F88" s="369">
        <v>1.08</v>
      </c>
      <c r="G88" s="369">
        <v>1.21</v>
      </c>
      <c r="H88" s="369">
        <v>1.33</v>
      </c>
      <c r="I88" s="369">
        <v>1.45</v>
      </c>
      <c r="J88" s="369">
        <v>1.56</v>
      </c>
      <c r="K88" s="369">
        <v>1.66</v>
      </c>
      <c r="L88" s="369">
        <v>1.75</v>
      </c>
      <c r="M88" s="369">
        <v>1.83</v>
      </c>
      <c r="N88" s="369">
        <v>1.9</v>
      </c>
      <c r="O88" s="369">
        <v>1.96</v>
      </c>
      <c r="P88" s="459">
        <v>2.0099999999999998</v>
      </c>
      <c r="Q88" s="369">
        <v>2.0499999999999998</v>
      </c>
      <c r="R88" s="369">
        <v>2.08</v>
      </c>
      <c r="S88" s="369">
        <v>2.1</v>
      </c>
      <c r="T88" s="369">
        <v>2.13</v>
      </c>
      <c r="U88" s="369">
        <v>2.15</v>
      </c>
      <c r="V88" s="369">
        <v>2.16</v>
      </c>
      <c r="W88" s="369">
        <v>2.16</v>
      </c>
      <c r="X88" s="369">
        <v>2.17</v>
      </c>
      <c r="Y88" s="369">
        <v>2.17</v>
      </c>
      <c r="Z88" s="369">
        <v>2.1800000000000002</v>
      </c>
      <c r="AA88" s="369">
        <v>2.1800000000000002</v>
      </c>
      <c r="AB88" s="369">
        <v>2.17</v>
      </c>
      <c r="AC88" s="369">
        <v>2.17</v>
      </c>
      <c r="AD88" s="369">
        <v>2.17</v>
      </c>
      <c r="AE88" s="369">
        <v>2.17</v>
      </c>
      <c r="AF88" s="369">
        <v>2.17</v>
      </c>
      <c r="AG88" s="369">
        <v>2.17</v>
      </c>
      <c r="AH88" s="369">
        <v>2.17</v>
      </c>
      <c r="AI88" s="369">
        <v>2.16</v>
      </c>
      <c r="AJ88" s="369">
        <v>2.16</v>
      </c>
      <c r="AK88" s="369">
        <v>2.16</v>
      </c>
      <c r="AL88" s="369">
        <v>2.16</v>
      </c>
      <c r="AM88" s="369">
        <v>2.16</v>
      </c>
      <c r="AN88" s="369">
        <v>2.16</v>
      </c>
      <c r="AO88" s="369">
        <v>2.16</v>
      </c>
      <c r="AP88" s="369">
        <v>2.16</v>
      </c>
      <c r="AQ88" s="369">
        <v>2.15</v>
      </c>
      <c r="AR88" s="369">
        <v>2.15</v>
      </c>
      <c r="AS88" s="369">
        <v>2.15</v>
      </c>
      <c r="AT88" s="369">
        <v>2.15</v>
      </c>
      <c r="AU88" s="369">
        <v>2.15</v>
      </c>
      <c r="AV88" s="369">
        <v>2.14</v>
      </c>
      <c r="AW88" s="369">
        <v>2.14</v>
      </c>
      <c r="AX88" s="369">
        <v>2.14</v>
      </c>
      <c r="AY88" s="369">
        <v>2.14</v>
      </c>
      <c r="BB88" s="369">
        <v>1.41</v>
      </c>
    </row>
    <row r="89" spans="1:54">
      <c r="A89" s="116">
        <v>44469</v>
      </c>
      <c r="B89" s="369">
        <v>0.7</v>
      </c>
      <c r="C89" s="369">
        <v>0.74</v>
      </c>
      <c r="D89" s="369">
        <v>0.82</v>
      </c>
      <c r="E89" s="369">
        <v>0.93</v>
      </c>
      <c r="F89" s="369">
        <v>1.05</v>
      </c>
      <c r="G89" s="369">
        <v>1.18</v>
      </c>
      <c r="H89" s="369">
        <v>1.3</v>
      </c>
      <c r="I89" s="369">
        <v>1.41</v>
      </c>
      <c r="J89" s="369">
        <v>1.52</v>
      </c>
      <c r="K89" s="369">
        <v>1.62</v>
      </c>
      <c r="L89" s="369">
        <v>1.72</v>
      </c>
      <c r="M89" s="369">
        <v>1.79</v>
      </c>
      <c r="N89" s="369">
        <v>1.86</v>
      </c>
      <c r="O89" s="369">
        <v>1.92</v>
      </c>
      <c r="P89" s="459">
        <v>1.98</v>
      </c>
      <c r="Q89" s="369">
        <v>2.0099999999999998</v>
      </c>
      <c r="R89" s="369">
        <v>2.04</v>
      </c>
      <c r="S89" s="369">
        <v>2.0699999999999998</v>
      </c>
      <c r="T89" s="369">
        <v>2.09</v>
      </c>
      <c r="U89" s="369">
        <v>2.11</v>
      </c>
      <c r="V89" s="369">
        <v>2.12</v>
      </c>
      <c r="W89" s="369">
        <v>2.13</v>
      </c>
      <c r="X89" s="369">
        <v>2.13</v>
      </c>
      <c r="Y89" s="369">
        <v>2.14</v>
      </c>
      <c r="Z89" s="369">
        <v>2.14</v>
      </c>
      <c r="AA89" s="369">
        <v>2.14</v>
      </c>
      <c r="AB89" s="369">
        <v>2.14</v>
      </c>
      <c r="AC89" s="369">
        <v>2.14</v>
      </c>
      <c r="AD89" s="369">
        <v>2.14</v>
      </c>
      <c r="AE89" s="369">
        <v>2.14</v>
      </c>
      <c r="AF89" s="369">
        <v>2.13</v>
      </c>
      <c r="AG89" s="369">
        <v>2.13</v>
      </c>
      <c r="AH89" s="369">
        <v>2.13</v>
      </c>
      <c r="AI89" s="369">
        <v>2.13</v>
      </c>
      <c r="AJ89" s="369">
        <v>2.13</v>
      </c>
      <c r="AK89" s="369">
        <v>2.13</v>
      </c>
      <c r="AL89" s="369">
        <v>2.13</v>
      </c>
      <c r="AM89" s="369">
        <v>2.13</v>
      </c>
      <c r="AN89" s="369">
        <v>2.12</v>
      </c>
      <c r="AO89" s="369">
        <v>2.12</v>
      </c>
      <c r="AP89" s="369">
        <v>2.12</v>
      </c>
      <c r="AQ89" s="369">
        <v>2.12</v>
      </c>
      <c r="AR89" s="369">
        <v>2.12</v>
      </c>
      <c r="AS89" s="369">
        <v>2.11</v>
      </c>
      <c r="AT89" s="369">
        <v>2.11</v>
      </c>
      <c r="AU89" s="369">
        <v>2.11</v>
      </c>
      <c r="AV89" s="369">
        <v>2.11</v>
      </c>
      <c r="AW89" s="369">
        <v>2.11</v>
      </c>
      <c r="AX89" s="369">
        <v>2.11</v>
      </c>
      <c r="AY89" s="369">
        <v>2.1</v>
      </c>
      <c r="BB89" s="369">
        <v>1.39</v>
      </c>
    </row>
    <row r="90" spans="1:54">
      <c r="A90" s="113">
        <v>44500</v>
      </c>
      <c r="B90" s="369">
        <v>0.67</v>
      </c>
      <c r="C90" s="369">
        <v>0.71</v>
      </c>
      <c r="D90" s="369">
        <v>0.79</v>
      </c>
      <c r="E90" s="369">
        <v>0.9</v>
      </c>
      <c r="F90" s="369">
        <v>1.02</v>
      </c>
      <c r="G90" s="369">
        <v>1.1499999999999999</v>
      </c>
      <c r="H90" s="369">
        <v>1.27</v>
      </c>
      <c r="I90" s="369">
        <v>1.38</v>
      </c>
      <c r="J90" s="369">
        <v>1.49</v>
      </c>
      <c r="K90" s="369">
        <v>1.59</v>
      </c>
      <c r="L90" s="369">
        <v>1.68</v>
      </c>
      <c r="M90" s="369">
        <v>1.76</v>
      </c>
      <c r="N90" s="369">
        <v>1.83</v>
      </c>
      <c r="O90" s="369">
        <v>1.89</v>
      </c>
      <c r="P90" s="459">
        <v>1.94</v>
      </c>
      <c r="Q90" s="369">
        <v>1.98</v>
      </c>
      <c r="R90" s="369">
        <v>2.0099999999999998</v>
      </c>
      <c r="S90" s="369">
        <v>2.0299999999999998</v>
      </c>
      <c r="T90" s="369">
        <v>2.06</v>
      </c>
      <c r="U90" s="369">
        <v>2.08</v>
      </c>
      <c r="V90" s="369">
        <v>2.09</v>
      </c>
      <c r="W90" s="369">
        <v>2.09</v>
      </c>
      <c r="X90" s="369">
        <v>2.1</v>
      </c>
      <c r="Y90" s="369">
        <v>2.1</v>
      </c>
      <c r="Z90" s="369">
        <v>2.11</v>
      </c>
      <c r="AA90" s="369">
        <v>2.11</v>
      </c>
      <c r="AB90" s="369">
        <v>2.11</v>
      </c>
      <c r="AC90" s="369">
        <v>2.1</v>
      </c>
      <c r="AD90" s="369">
        <v>2.1</v>
      </c>
      <c r="AE90" s="369">
        <v>2.1</v>
      </c>
      <c r="AF90" s="369">
        <v>2.1</v>
      </c>
      <c r="AG90" s="369">
        <v>2.1</v>
      </c>
      <c r="AH90" s="369">
        <v>2.1</v>
      </c>
      <c r="AI90" s="369">
        <v>2.1</v>
      </c>
      <c r="AJ90" s="369">
        <v>2.09</v>
      </c>
      <c r="AK90" s="369">
        <v>2.09</v>
      </c>
      <c r="AL90" s="369">
        <v>2.09</v>
      </c>
      <c r="AM90" s="369">
        <v>2.09</v>
      </c>
      <c r="AN90" s="369">
        <v>2.09</v>
      </c>
      <c r="AO90" s="369">
        <v>2.09</v>
      </c>
      <c r="AP90" s="369">
        <v>2.09</v>
      </c>
      <c r="AQ90" s="369">
        <v>2.08</v>
      </c>
      <c r="AR90" s="369">
        <v>2.08</v>
      </c>
      <c r="AS90" s="369">
        <v>2.08</v>
      </c>
      <c r="AT90" s="369">
        <v>2.08</v>
      </c>
      <c r="AU90" s="369">
        <v>2.08</v>
      </c>
      <c r="AV90" s="369">
        <v>2.0699999999999998</v>
      </c>
      <c r="AW90" s="369">
        <v>2.0699999999999998</v>
      </c>
      <c r="AX90" s="369">
        <v>2.0699999999999998</v>
      </c>
      <c r="AY90" s="369">
        <v>2.0699999999999998</v>
      </c>
      <c r="BB90" s="369">
        <v>1.37</v>
      </c>
    </row>
    <row r="91" spans="1:54">
      <c r="A91" s="116">
        <v>44530</v>
      </c>
      <c r="B91" s="369">
        <v>0.64</v>
      </c>
      <c r="C91" s="369">
        <v>0.68</v>
      </c>
      <c r="D91" s="369">
        <v>0.76</v>
      </c>
      <c r="E91" s="369">
        <v>0.87</v>
      </c>
      <c r="F91" s="369">
        <v>0.99</v>
      </c>
      <c r="G91" s="369">
        <v>1.1100000000000001</v>
      </c>
      <c r="H91" s="369">
        <v>1.23</v>
      </c>
      <c r="I91" s="369">
        <v>1.35</v>
      </c>
      <c r="J91" s="369">
        <v>1.45</v>
      </c>
      <c r="K91" s="369">
        <v>1.56</v>
      </c>
      <c r="L91" s="369">
        <v>1.65</v>
      </c>
      <c r="M91" s="369">
        <v>1.72</v>
      </c>
      <c r="N91" s="369">
        <v>1.79</v>
      </c>
      <c r="O91" s="369">
        <v>1.85</v>
      </c>
      <c r="P91" s="459">
        <v>1.9</v>
      </c>
      <c r="Q91" s="369">
        <v>1.94</v>
      </c>
      <c r="R91" s="369">
        <v>1.97</v>
      </c>
      <c r="S91" s="369">
        <v>2</v>
      </c>
      <c r="T91" s="369">
        <v>2.02</v>
      </c>
      <c r="U91" s="369">
        <v>2.04</v>
      </c>
      <c r="V91" s="369">
        <v>2.0499999999999998</v>
      </c>
      <c r="W91" s="369">
        <v>2.06</v>
      </c>
      <c r="X91" s="369">
        <v>2.06</v>
      </c>
      <c r="Y91" s="369">
        <v>2.0699999999999998</v>
      </c>
      <c r="Z91" s="369">
        <v>2.0699999999999998</v>
      </c>
      <c r="AA91" s="369">
        <v>2.0699999999999998</v>
      </c>
      <c r="AB91" s="369">
        <v>2.0699999999999998</v>
      </c>
      <c r="AC91" s="369">
        <v>2.0699999999999998</v>
      </c>
      <c r="AD91" s="369">
        <v>2.0699999999999998</v>
      </c>
      <c r="AE91" s="369">
        <v>2.0699999999999998</v>
      </c>
      <c r="AF91" s="369">
        <v>2.06</v>
      </c>
      <c r="AG91" s="369">
        <v>2.06</v>
      </c>
      <c r="AH91" s="369">
        <v>2.06</v>
      </c>
      <c r="AI91" s="369">
        <v>2.06</v>
      </c>
      <c r="AJ91" s="369">
        <v>2.06</v>
      </c>
      <c r="AK91" s="369">
        <v>2.06</v>
      </c>
      <c r="AL91" s="369">
        <v>2.06</v>
      </c>
      <c r="AM91" s="369">
        <v>2.0499999999999998</v>
      </c>
      <c r="AN91" s="369">
        <v>2.0499999999999998</v>
      </c>
      <c r="AO91" s="369">
        <v>2.0499999999999998</v>
      </c>
      <c r="AP91" s="369">
        <v>2.0499999999999998</v>
      </c>
      <c r="AQ91" s="369">
        <v>2.0499999999999998</v>
      </c>
      <c r="AR91" s="369">
        <v>2.0499999999999998</v>
      </c>
      <c r="AS91" s="369">
        <v>2.04</v>
      </c>
      <c r="AT91" s="369">
        <v>2.04</v>
      </c>
      <c r="AU91" s="369">
        <v>2.04</v>
      </c>
      <c r="AV91" s="369">
        <v>2.04</v>
      </c>
      <c r="AW91" s="369">
        <v>2.0299999999999998</v>
      </c>
      <c r="AX91" s="369">
        <v>2.0299999999999998</v>
      </c>
      <c r="AY91" s="369">
        <v>2.0299999999999998</v>
      </c>
      <c r="AZ91" s="517"/>
      <c r="BB91" s="369">
        <v>1.36</v>
      </c>
    </row>
    <row r="92" spans="1:54">
      <c r="A92" s="113">
        <v>44561</v>
      </c>
      <c r="B92" s="369">
        <v>0.61</v>
      </c>
      <c r="C92" s="369">
        <v>0.66</v>
      </c>
      <c r="D92" s="369">
        <v>0.74</v>
      </c>
      <c r="E92" s="369">
        <v>0.85</v>
      </c>
      <c r="F92" s="369">
        <v>0.96</v>
      </c>
      <c r="G92" s="369">
        <v>1.08</v>
      </c>
      <c r="H92" s="369">
        <v>1.2</v>
      </c>
      <c r="I92" s="369">
        <v>1.32</v>
      </c>
      <c r="J92" s="369">
        <v>1.42</v>
      </c>
      <c r="K92" s="369">
        <v>1.52</v>
      </c>
      <c r="L92" s="369">
        <v>1.62</v>
      </c>
      <c r="M92" s="369">
        <v>1.69</v>
      </c>
      <c r="N92" s="369">
        <v>1.76</v>
      </c>
      <c r="O92" s="369">
        <v>1.82</v>
      </c>
      <c r="P92" s="459">
        <v>1.87</v>
      </c>
      <c r="Q92" s="369">
        <v>1.91</v>
      </c>
      <c r="R92" s="369">
        <v>1.94</v>
      </c>
      <c r="S92" s="369">
        <v>1.96</v>
      </c>
      <c r="T92" s="369">
        <v>1.99</v>
      </c>
      <c r="U92" s="369">
        <v>2.0099999999999998</v>
      </c>
      <c r="V92" s="369">
        <v>2.02</v>
      </c>
      <c r="W92" s="369">
        <v>2.02</v>
      </c>
      <c r="X92" s="369">
        <v>2.0299999999999998</v>
      </c>
      <c r="Y92" s="369">
        <v>2.04</v>
      </c>
      <c r="Z92" s="369">
        <v>2.04</v>
      </c>
      <c r="AA92" s="369">
        <v>2.04</v>
      </c>
      <c r="AB92" s="369">
        <v>2.04</v>
      </c>
      <c r="AC92" s="369">
        <v>2.04</v>
      </c>
      <c r="AD92" s="369">
        <v>2.04</v>
      </c>
      <c r="AE92" s="369">
        <v>2.04</v>
      </c>
      <c r="AF92" s="369">
        <v>2.0299999999999998</v>
      </c>
      <c r="AG92" s="369">
        <v>2.0299999999999998</v>
      </c>
      <c r="AH92" s="369">
        <v>2.0299999999999998</v>
      </c>
      <c r="AI92" s="369">
        <v>2.0299999999999998</v>
      </c>
      <c r="AJ92" s="369">
        <v>2.0299999999999998</v>
      </c>
      <c r="AK92" s="369">
        <v>2.0299999999999998</v>
      </c>
      <c r="AL92" s="369">
        <v>2.0299999999999998</v>
      </c>
      <c r="AM92" s="369">
        <v>2.02</v>
      </c>
      <c r="AN92" s="369">
        <v>2.02</v>
      </c>
      <c r="AO92" s="369">
        <v>2.02</v>
      </c>
      <c r="AP92" s="369">
        <v>2.02</v>
      </c>
      <c r="AQ92" s="369">
        <v>2.02</v>
      </c>
      <c r="AR92" s="369">
        <v>2.0099999999999998</v>
      </c>
      <c r="AS92" s="369">
        <v>2.0099999999999998</v>
      </c>
      <c r="AT92" s="369">
        <v>2.0099999999999998</v>
      </c>
      <c r="AU92" s="369">
        <v>2.0099999999999998</v>
      </c>
      <c r="AV92" s="369">
        <v>2</v>
      </c>
      <c r="AW92" s="369">
        <v>2</v>
      </c>
      <c r="AX92" s="369">
        <v>2</v>
      </c>
      <c r="AY92" s="369">
        <v>2</v>
      </c>
      <c r="BB92" s="369">
        <v>1.35</v>
      </c>
    </row>
    <row r="93" spans="1:54">
      <c r="A93" s="116">
        <v>44592</v>
      </c>
      <c r="B93" s="369">
        <v>0.59</v>
      </c>
      <c r="C93" s="369">
        <v>0.64</v>
      </c>
      <c r="D93" s="369">
        <v>0.72</v>
      </c>
      <c r="E93" s="369">
        <v>0.83</v>
      </c>
      <c r="F93" s="369">
        <v>0.94</v>
      </c>
      <c r="G93" s="369">
        <v>1.06</v>
      </c>
      <c r="H93" s="369">
        <v>1.18</v>
      </c>
      <c r="I93" s="369">
        <v>1.29</v>
      </c>
      <c r="J93" s="369">
        <v>1.4</v>
      </c>
      <c r="K93" s="369">
        <v>1.5</v>
      </c>
      <c r="L93" s="369">
        <v>1.59</v>
      </c>
      <c r="M93" s="369">
        <v>1.67</v>
      </c>
      <c r="N93" s="369">
        <v>1.74</v>
      </c>
      <c r="O93" s="369">
        <v>1.79</v>
      </c>
      <c r="P93" s="459">
        <v>1.85</v>
      </c>
      <c r="Q93" s="369">
        <v>1.88</v>
      </c>
      <c r="R93" s="369">
        <v>1.91</v>
      </c>
      <c r="S93" s="369">
        <v>1.94</v>
      </c>
      <c r="T93" s="369">
        <v>1.96</v>
      </c>
      <c r="U93" s="369">
        <v>1.98</v>
      </c>
      <c r="V93" s="369">
        <v>1.99</v>
      </c>
      <c r="W93" s="369">
        <v>2</v>
      </c>
      <c r="X93" s="369">
        <v>2</v>
      </c>
      <c r="Y93" s="369">
        <v>2.0099999999999998</v>
      </c>
      <c r="Z93" s="369">
        <v>2.0099999999999998</v>
      </c>
      <c r="AA93" s="369">
        <v>2.0099999999999998</v>
      </c>
      <c r="AB93" s="369">
        <v>2.0099999999999998</v>
      </c>
      <c r="AC93" s="369">
        <v>2.0099999999999998</v>
      </c>
      <c r="AD93" s="369">
        <v>2.0099999999999998</v>
      </c>
      <c r="AE93" s="369">
        <v>2.0099999999999998</v>
      </c>
      <c r="AF93" s="369">
        <v>2.0099999999999998</v>
      </c>
      <c r="AG93" s="369">
        <v>2.0099999999999998</v>
      </c>
      <c r="AH93" s="369">
        <v>2</v>
      </c>
      <c r="AI93" s="369">
        <v>2</v>
      </c>
      <c r="AJ93" s="369">
        <v>2</v>
      </c>
      <c r="AK93" s="369">
        <v>2</v>
      </c>
      <c r="AL93" s="369">
        <v>2</v>
      </c>
      <c r="AM93" s="369">
        <v>2</v>
      </c>
      <c r="AN93" s="369">
        <v>2</v>
      </c>
      <c r="AO93" s="369">
        <v>1.99</v>
      </c>
      <c r="AP93" s="369">
        <v>1.99</v>
      </c>
      <c r="AQ93" s="369">
        <v>1.99</v>
      </c>
      <c r="AR93" s="369">
        <v>1.99</v>
      </c>
      <c r="AS93" s="369">
        <v>1.98</v>
      </c>
      <c r="AT93" s="369">
        <v>1.98</v>
      </c>
      <c r="AU93" s="369">
        <v>1.98</v>
      </c>
      <c r="AV93" s="369">
        <v>1.98</v>
      </c>
      <c r="AW93" s="369">
        <v>1.98</v>
      </c>
      <c r="AX93" s="369">
        <v>1.97</v>
      </c>
      <c r="AY93" s="369">
        <v>1.97</v>
      </c>
      <c r="BB93" s="369">
        <v>1.34</v>
      </c>
    </row>
    <row r="94" spans="1:54">
      <c r="A94" s="113">
        <v>44620</v>
      </c>
      <c r="B94" s="369">
        <v>0.56999999999999995</v>
      </c>
      <c r="C94" s="369">
        <v>0.62</v>
      </c>
      <c r="D94" s="369">
        <v>0.7</v>
      </c>
      <c r="E94" s="369">
        <v>0.81</v>
      </c>
      <c r="F94" s="369">
        <v>0.92</v>
      </c>
      <c r="G94" s="369">
        <v>1.05</v>
      </c>
      <c r="H94" s="369">
        <v>1.1599999999999999</v>
      </c>
      <c r="I94" s="369">
        <v>1.27</v>
      </c>
      <c r="J94" s="369">
        <v>1.38</v>
      </c>
      <c r="K94" s="369">
        <v>1.48</v>
      </c>
      <c r="L94" s="369">
        <v>1.57</v>
      </c>
      <c r="M94" s="369">
        <v>1.65</v>
      </c>
      <c r="N94" s="369">
        <v>1.72</v>
      </c>
      <c r="O94" s="369">
        <v>1.77</v>
      </c>
      <c r="P94" s="459">
        <v>1.82</v>
      </c>
      <c r="Q94" s="369">
        <v>1.86</v>
      </c>
      <c r="R94" s="369">
        <v>1.89</v>
      </c>
      <c r="S94" s="369">
        <v>1.92</v>
      </c>
      <c r="T94" s="369">
        <v>1.94</v>
      </c>
      <c r="U94" s="369">
        <v>1.96</v>
      </c>
      <c r="V94" s="369">
        <v>1.97</v>
      </c>
      <c r="W94" s="369">
        <v>1.98</v>
      </c>
      <c r="X94" s="369">
        <v>1.98</v>
      </c>
      <c r="Y94" s="369">
        <v>1.99</v>
      </c>
      <c r="Z94" s="369">
        <v>1.99</v>
      </c>
      <c r="AA94" s="369">
        <v>1.99</v>
      </c>
      <c r="AB94" s="369">
        <v>1.99</v>
      </c>
      <c r="AC94" s="369">
        <v>1.99</v>
      </c>
      <c r="AD94" s="369">
        <v>1.99</v>
      </c>
      <c r="AE94" s="369">
        <v>1.99</v>
      </c>
      <c r="AF94" s="369">
        <v>1.99</v>
      </c>
      <c r="AG94" s="369">
        <v>1.98</v>
      </c>
      <c r="AH94" s="369">
        <v>1.98</v>
      </c>
      <c r="AI94" s="369">
        <v>1.98</v>
      </c>
      <c r="AJ94" s="369">
        <v>1.98</v>
      </c>
      <c r="AK94" s="369">
        <v>1.98</v>
      </c>
      <c r="AL94" s="369">
        <v>1.98</v>
      </c>
      <c r="AM94" s="369">
        <v>1.97</v>
      </c>
      <c r="AN94" s="369">
        <v>1.97</v>
      </c>
      <c r="AO94" s="369">
        <v>1.97</v>
      </c>
      <c r="AP94" s="369">
        <v>1.97</v>
      </c>
      <c r="AQ94" s="369">
        <v>1.97</v>
      </c>
      <c r="AR94" s="369">
        <v>1.96</v>
      </c>
      <c r="AS94" s="369">
        <v>1.96</v>
      </c>
      <c r="AT94" s="369">
        <v>1.96</v>
      </c>
      <c r="AU94" s="369">
        <v>1.96</v>
      </c>
      <c r="AV94" s="369">
        <v>1.95</v>
      </c>
      <c r="AW94" s="369">
        <v>1.95</v>
      </c>
      <c r="AX94" s="369">
        <v>1.95</v>
      </c>
      <c r="AY94" s="369">
        <v>1.95</v>
      </c>
      <c r="BB94" s="369">
        <v>1.35</v>
      </c>
    </row>
    <row r="95" spans="1:54">
      <c r="A95" s="116">
        <v>44651</v>
      </c>
      <c r="B95" s="369">
        <v>0.55000000000000004</v>
      </c>
      <c r="C95" s="369">
        <v>0.61</v>
      </c>
      <c r="D95" s="369">
        <v>0.69</v>
      </c>
      <c r="E95" s="369">
        <v>0.8</v>
      </c>
      <c r="F95" s="369">
        <v>0.91</v>
      </c>
      <c r="G95" s="369">
        <v>1.03</v>
      </c>
      <c r="H95" s="369">
        <v>1.1399999999999999</v>
      </c>
      <c r="I95" s="369">
        <v>1.26</v>
      </c>
      <c r="J95" s="369">
        <v>1.36</v>
      </c>
      <c r="K95" s="369">
        <v>1.46</v>
      </c>
      <c r="L95" s="369">
        <v>1.55</v>
      </c>
      <c r="M95" s="369">
        <v>1.63</v>
      </c>
      <c r="N95" s="369">
        <v>1.7</v>
      </c>
      <c r="O95" s="369">
        <v>1.75</v>
      </c>
      <c r="P95" s="459">
        <v>1.81</v>
      </c>
      <c r="Q95" s="369">
        <v>1.84</v>
      </c>
      <c r="R95" s="369">
        <v>1.87</v>
      </c>
      <c r="S95" s="369">
        <v>1.9</v>
      </c>
      <c r="T95" s="369">
        <v>1.92</v>
      </c>
      <c r="U95" s="369">
        <v>1.94</v>
      </c>
      <c r="V95" s="369">
        <v>1.95</v>
      </c>
      <c r="W95" s="369">
        <v>1.96</v>
      </c>
      <c r="X95" s="369">
        <v>1.96</v>
      </c>
      <c r="Y95" s="369">
        <v>1.97</v>
      </c>
      <c r="Z95" s="369">
        <v>1.97</v>
      </c>
      <c r="AA95" s="369">
        <v>1.97</v>
      </c>
      <c r="AB95" s="369">
        <v>1.97</v>
      </c>
      <c r="AC95" s="369">
        <v>1.97</v>
      </c>
      <c r="AD95" s="369">
        <v>1.97</v>
      </c>
      <c r="AE95" s="369">
        <v>1.97</v>
      </c>
      <c r="AF95" s="369">
        <v>1.96</v>
      </c>
      <c r="AG95" s="369">
        <v>1.96</v>
      </c>
      <c r="AH95" s="369">
        <v>1.96</v>
      </c>
      <c r="AI95" s="369">
        <v>1.96</v>
      </c>
      <c r="AJ95" s="369">
        <v>1.96</v>
      </c>
      <c r="AK95" s="369">
        <v>1.96</v>
      </c>
      <c r="AL95" s="369">
        <v>1.95</v>
      </c>
      <c r="AM95" s="369">
        <v>1.95</v>
      </c>
      <c r="AN95" s="369">
        <v>1.95</v>
      </c>
      <c r="AO95" s="369">
        <v>1.95</v>
      </c>
      <c r="AP95" s="369">
        <v>1.95</v>
      </c>
      <c r="AQ95" s="369">
        <v>1.94</v>
      </c>
      <c r="AR95" s="369">
        <v>1.94</v>
      </c>
      <c r="AS95" s="369">
        <v>1.94</v>
      </c>
      <c r="AT95" s="369">
        <v>1.94</v>
      </c>
      <c r="AU95" s="369">
        <v>1.93</v>
      </c>
      <c r="AV95" s="369">
        <v>1.93</v>
      </c>
      <c r="AW95" s="369">
        <v>1.93</v>
      </c>
      <c r="AX95" s="369">
        <v>1.93</v>
      </c>
      <c r="AY95" s="369">
        <v>1.93</v>
      </c>
      <c r="BB95" s="369">
        <v>1.35</v>
      </c>
    </row>
    <row r="96" spans="1:54">
      <c r="A96" s="113">
        <v>44681</v>
      </c>
      <c r="B96" s="369">
        <v>0.54</v>
      </c>
      <c r="C96" s="369">
        <v>0.6</v>
      </c>
      <c r="D96" s="369">
        <v>0.69</v>
      </c>
      <c r="E96" s="369">
        <v>0.79</v>
      </c>
      <c r="F96" s="369">
        <v>0.9</v>
      </c>
      <c r="G96" s="369">
        <v>1.02</v>
      </c>
      <c r="H96" s="369">
        <v>1.1399999999999999</v>
      </c>
      <c r="I96" s="369">
        <v>1.25</v>
      </c>
      <c r="J96" s="369">
        <v>1.35</v>
      </c>
      <c r="K96" s="369">
        <v>1.45</v>
      </c>
      <c r="L96" s="369">
        <v>1.54</v>
      </c>
      <c r="M96" s="369">
        <v>1.62</v>
      </c>
      <c r="N96" s="369">
        <v>1.68</v>
      </c>
      <c r="O96" s="369">
        <v>1.74</v>
      </c>
      <c r="P96" s="459">
        <v>1.79</v>
      </c>
      <c r="Q96" s="369">
        <v>1.83</v>
      </c>
      <c r="R96" s="369">
        <v>1.85</v>
      </c>
      <c r="S96" s="369">
        <v>1.88</v>
      </c>
      <c r="T96" s="369">
        <v>1.9</v>
      </c>
      <c r="U96" s="369">
        <v>1.93</v>
      </c>
      <c r="V96" s="369">
        <v>1.93</v>
      </c>
      <c r="W96" s="369">
        <v>1.94</v>
      </c>
      <c r="X96" s="369">
        <v>1.95</v>
      </c>
      <c r="Y96" s="369">
        <v>1.95</v>
      </c>
      <c r="Z96" s="369">
        <v>1.96</v>
      </c>
      <c r="AA96" s="369">
        <v>1.96</v>
      </c>
      <c r="AB96" s="369">
        <v>1.95</v>
      </c>
      <c r="AC96" s="369">
        <v>1.95</v>
      </c>
      <c r="AD96" s="369">
        <v>1.95</v>
      </c>
      <c r="AE96" s="369">
        <v>1.95</v>
      </c>
      <c r="AF96" s="369">
        <v>1.95</v>
      </c>
      <c r="AG96" s="369">
        <v>1.95</v>
      </c>
      <c r="AH96" s="369">
        <v>1.94</v>
      </c>
      <c r="AI96" s="369">
        <v>1.94</v>
      </c>
      <c r="AJ96" s="369">
        <v>1.94</v>
      </c>
      <c r="AK96" s="369">
        <v>1.94</v>
      </c>
      <c r="AL96" s="369">
        <v>1.94</v>
      </c>
      <c r="AM96" s="369">
        <v>1.94</v>
      </c>
      <c r="AN96" s="369">
        <v>1.93</v>
      </c>
      <c r="AO96" s="369">
        <v>1.93</v>
      </c>
      <c r="AP96" s="369">
        <v>1.93</v>
      </c>
      <c r="AQ96" s="369">
        <v>1.93</v>
      </c>
      <c r="AR96" s="369">
        <v>1.92</v>
      </c>
      <c r="AS96" s="369">
        <v>1.92</v>
      </c>
      <c r="AT96" s="369">
        <v>1.92</v>
      </c>
      <c r="AU96" s="369">
        <v>1.91</v>
      </c>
      <c r="AV96" s="369">
        <v>1.91</v>
      </c>
      <c r="AW96" s="369">
        <v>1.91</v>
      </c>
      <c r="AX96" s="369">
        <v>1.91</v>
      </c>
      <c r="AY96" s="369">
        <v>1.91</v>
      </c>
      <c r="BB96" s="369">
        <v>1.36</v>
      </c>
    </row>
    <row r="97" spans="1:54">
      <c r="A97" s="116">
        <v>44712</v>
      </c>
      <c r="B97" s="369">
        <v>0.53</v>
      </c>
      <c r="C97" s="369">
        <v>0.6</v>
      </c>
      <c r="D97" s="369">
        <v>0.68</v>
      </c>
      <c r="E97" s="369">
        <v>0.79</v>
      </c>
      <c r="F97" s="369">
        <v>0.9</v>
      </c>
      <c r="G97" s="369">
        <v>1.02</v>
      </c>
      <c r="H97" s="369">
        <v>1.1299999999999999</v>
      </c>
      <c r="I97" s="369">
        <v>1.24</v>
      </c>
      <c r="J97" s="369">
        <v>1.35</v>
      </c>
      <c r="K97" s="369">
        <v>1.45</v>
      </c>
      <c r="L97" s="369">
        <v>1.54</v>
      </c>
      <c r="M97" s="369">
        <v>1.61</v>
      </c>
      <c r="N97" s="369">
        <v>1.68</v>
      </c>
      <c r="O97" s="369">
        <v>1.74</v>
      </c>
      <c r="P97" s="459">
        <v>1.79</v>
      </c>
      <c r="Q97" s="369">
        <v>1.82</v>
      </c>
      <c r="R97" s="369">
        <v>1.85</v>
      </c>
      <c r="S97" s="369">
        <v>1.88</v>
      </c>
      <c r="T97" s="369">
        <v>1.9</v>
      </c>
      <c r="U97" s="369">
        <v>1.92</v>
      </c>
      <c r="V97" s="369">
        <v>1.93</v>
      </c>
      <c r="W97" s="369">
        <v>1.93</v>
      </c>
      <c r="X97" s="369">
        <v>1.94</v>
      </c>
      <c r="Y97" s="369">
        <v>1.95</v>
      </c>
      <c r="Z97" s="369">
        <v>1.95</v>
      </c>
      <c r="AA97" s="369">
        <v>1.95</v>
      </c>
      <c r="AB97" s="369">
        <v>1.95</v>
      </c>
      <c r="AC97" s="369">
        <v>1.95</v>
      </c>
      <c r="AD97" s="369">
        <v>1.94</v>
      </c>
      <c r="AE97" s="369">
        <v>1.94</v>
      </c>
      <c r="AF97" s="369">
        <v>1.94</v>
      </c>
      <c r="AG97" s="369">
        <v>1.94</v>
      </c>
      <c r="AH97" s="369">
        <v>1.94</v>
      </c>
      <c r="AI97" s="369">
        <v>1.93</v>
      </c>
      <c r="AJ97" s="369">
        <v>1.93</v>
      </c>
      <c r="AK97" s="369">
        <v>1.93</v>
      </c>
      <c r="AL97" s="369">
        <v>1.93</v>
      </c>
      <c r="AM97" s="369">
        <v>1.93</v>
      </c>
      <c r="AN97" s="369">
        <v>1.93</v>
      </c>
      <c r="AO97" s="369">
        <v>1.92</v>
      </c>
      <c r="AP97" s="369">
        <v>1.92</v>
      </c>
      <c r="AQ97" s="369">
        <v>1.92</v>
      </c>
      <c r="AR97" s="369">
        <v>1.91</v>
      </c>
      <c r="AS97" s="369">
        <v>1.91</v>
      </c>
      <c r="AT97" s="369">
        <v>1.91</v>
      </c>
      <c r="AU97" s="369">
        <v>1.91</v>
      </c>
      <c r="AV97" s="369">
        <v>1.9</v>
      </c>
      <c r="AW97" s="369">
        <v>1.9</v>
      </c>
      <c r="AX97" s="369">
        <v>1.9</v>
      </c>
      <c r="AY97" s="369">
        <v>1.9</v>
      </c>
      <c r="BB97" s="369">
        <v>1.37</v>
      </c>
    </row>
    <row r="98" spans="1:54">
      <c r="A98" s="113">
        <v>44742</v>
      </c>
      <c r="B98" s="369">
        <v>0.52</v>
      </c>
      <c r="C98" s="369">
        <v>0.6</v>
      </c>
      <c r="D98" s="369">
        <v>0.69</v>
      </c>
      <c r="E98" s="369">
        <v>0.79</v>
      </c>
      <c r="F98" s="369">
        <v>0.9</v>
      </c>
      <c r="G98" s="369">
        <v>1.02</v>
      </c>
      <c r="H98" s="369">
        <v>1.1299999999999999</v>
      </c>
      <c r="I98" s="369">
        <v>1.24</v>
      </c>
      <c r="J98" s="369">
        <v>1.35</v>
      </c>
      <c r="K98" s="369">
        <v>1.44</v>
      </c>
      <c r="L98" s="369">
        <v>1.53</v>
      </c>
      <c r="M98" s="369">
        <v>1.61</v>
      </c>
      <c r="N98" s="369">
        <v>1.68</v>
      </c>
      <c r="O98" s="369">
        <v>1.73</v>
      </c>
      <c r="P98" s="459">
        <v>1.78</v>
      </c>
      <c r="Q98" s="369">
        <v>1.82</v>
      </c>
      <c r="R98" s="369">
        <v>1.85</v>
      </c>
      <c r="S98" s="369">
        <v>1.87</v>
      </c>
      <c r="T98" s="369">
        <v>1.9</v>
      </c>
      <c r="U98" s="369">
        <v>1.92</v>
      </c>
      <c r="V98" s="369">
        <v>1.92</v>
      </c>
      <c r="W98" s="369">
        <v>1.93</v>
      </c>
      <c r="X98" s="369">
        <v>1.94</v>
      </c>
      <c r="Y98" s="369">
        <v>1.94</v>
      </c>
      <c r="Z98" s="369">
        <v>1.95</v>
      </c>
      <c r="AA98" s="369">
        <v>1.94</v>
      </c>
      <c r="AB98" s="369">
        <v>1.94</v>
      </c>
      <c r="AC98" s="369">
        <v>1.94</v>
      </c>
      <c r="AD98" s="369">
        <v>1.94</v>
      </c>
      <c r="AE98" s="369">
        <v>1.94</v>
      </c>
      <c r="AF98" s="369">
        <v>1.93</v>
      </c>
      <c r="AG98" s="369">
        <v>1.93</v>
      </c>
      <c r="AH98" s="369">
        <v>1.93</v>
      </c>
      <c r="AI98" s="369">
        <v>1.93</v>
      </c>
      <c r="AJ98" s="369">
        <v>1.92</v>
      </c>
      <c r="AK98" s="369">
        <v>1.92</v>
      </c>
      <c r="AL98" s="369">
        <v>1.92</v>
      </c>
      <c r="AM98" s="369">
        <v>1.92</v>
      </c>
      <c r="AN98" s="369">
        <v>1.92</v>
      </c>
      <c r="AO98" s="369">
        <v>1.92</v>
      </c>
      <c r="AP98" s="369">
        <v>1.91</v>
      </c>
      <c r="AQ98" s="369">
        <v>1.91</v>
      </c>
      <c r="AR98" s="369">
        <v>1.9</v>
      </c>
      <c r="AS98" s="369">
        <v>1.9</v>
      </c>
      <c r="AT98" s="369">
        <v>1.9</v>
      </c>
      <c r="AU98" s="369">
        <v>1.9</v>
      </c>
      <c r="AV98" s="369">
        <v>1.89</v>
      </c>
      <c r="AW98" s="369">
        <v>1.89</v>
      </c>
      <c r="AX98" s="369">
        <v>1.89</v>
      </c>
      <c r="AY98" s="369">
        <v>1.89</v>
      </c>
      <c r="BB98" s="369">
        <v>1.38</v>
      </c>
    </row>
    <row r="99" spans="1:54">
      <c r="A99" s="116">
        <v>44773</v>
      </c>
      <c r="B99" s="369">
        <v>0.52</v>
      </c>
      <c r="C99" s="369">
        <v>0.6</v>
      </c>
      <c r="D99" s="369">
        <v>0.69</v>
      </c>
      <c r="E99" s="369">
        <v>0.79</v>
      </c>
      <c r="F99" s="369">
        <v>0.9</v>
      </c>
      <c r="G99" s="369">
        <v>1.02</v>
      </c>
      <c r="H99" s="369">
        <v>1.1299999999999999</v>
      </c>
      <c r="I99" s="369">
        <v>1.24</v>
      </c>
      <c r="J99" s="369">
        <v>1.34</v>
      </c>
      <c r="K99" s="369">
        <v>1.44</v>
      </c>
      <c r="L99" s="369">
        <v>1.53</v>
      </c>
      <c r="M99" s="369">
        <v>1.6</v>
      </c>
      <c r="N99" s="369">
        <v>1.67</v>
      </c>
      <c r="O99" s="369">
        <v>1.73</v>
      </c>
      <c r="P99" s="459">
        <v>1.78</v>
      </c>
      <c r="Q99" s="369">
        <v>1.81</v>
      </c>
      <c r="R99" s="369">
        <v>1.84</v>
      </c>
      <c r="S99" s="369">
        <v>1.86</v>
      </c>
      <c r="T99" s="369">
        <v>1.89</v>
      </c>
      <c r="U99" s="369">
        <v>1.91</v>
      </c>
      <c r="V99" s="369">
        <v>1.91</v>
      </c>
      <c r="W99" s="369">
        <v>1.92</v>
      </c>
      <c r="X99" s="369">
        <v>1.93</v>
      </c>
      <c r="Y99" s="369">
        <v>1.93</v>
      </c>
      <c r="Z99" s="369">
        <v>1.93</v>
      </c>
      <c r="AA99" s="369">
        <v>1.93</v>
      </c>
      <c r="AB99" s="369">
        <v>1.93</v>
      </c>
      <c r="AC99" s="369">
        <v>1.93</v>
      </c>
      <c r="AD99" s="369">
        <v>1.93</v>
      </c>
      <c r="AE99" s="369">
        <v>1.93</v>
      </c>
      <c r="AF99" s="369">
        <v>1.92</v>
      </c>
      <c r="AG99" s="369">
        <v>1.92</v>
      </c>
      <c r="AH99" s="369">
        <v>1.92</v>
      </c>
      <c r="AI99" s="369">
        <v>1.91</v>
      </c>
      <c r="AJ99" s="369">
        <v>1.91</v>
      </c>
      <c r="AK99" s="369">
        <v>1.91</v>
      </c>
      <c r="AL99" s="369">
        <v>1.91</v>
      </c>
      <c r="AM99" s="369">
        <v>1.9</v>
      </c>
      <c r="AN99" s="369">
        <v>1.9</v>
      </c>
      <c r="AO99" s="369">
        <v>1.9</v>
      </c>
      <c r="AP99" s="369">
        <v>1.9</v>
      </c>
      <c r="AQ99" s="369">
        <v>1.89</v>
      </c>
      <c r="AR99" s="369">
        <v>1.89</v>
      </c>
      <c r="AS99" s="369">
        <v>1.89</v>
      </c>
      <c r="AT99" s="369">
        <v>1.88</v>
      </c>
      <c r="AU99" s="369">
        <v>1.88</v>
      </c>
      <c r="AV99" s="369">
        <v>1.88</v>
      </c>
      <c r="AW99" s="369">
        <v>1.87</v>
      </c>
      <c r="AX99" s="369">
        <v>1.87</v>
      </c>
      <c r="AY99" s="369">
        <v>1.87</v>
      </c>
      <c r="BB99" s="369">
        <v>1.38</v>
      </c>
    </row>
    <row r="100" spans="1:54">
      <c r="A100" s="794">
        <v>44804</v>
      </c>
      <c r="B100" s="369">
        <v>0.53</v>
      </c>
      <c r="C100" s="369">
        <v>0.61</v>
      </c>
      <c r="D100" s="369">
        <v>0.69</v>
      </c>
      <c r="E100" s="369">
        <v>0.8</v>
      </c>
      <c r="F100" s="369">
        <v>0.91</v>
      </c>
      <c r="G100" s="369">
        <v>1.02</v>
      </c>
      <c r="H100" s="369">
        <v>1.1299999999999999</v>
      </c>
      <c r="I100" s="369">
        <v>1.24</v>
      </c>
      <c r="J100" s="369">
        <v>1.34</v>
      </c>
      <c r="K100" s="369">
        <v>1.44</v>
      </c>
      <c r="L100" s="369">
        <v>1.53</v>
      </c>
      <c r="M100" s="369">
        <v>1.6</v>
      </c>
      <c r="N100" s="369">
        <v>1.67</v>
      </c>
      <c r="O100" s="369">
        <v>1.72</v>
      </c>
      <c r="P100" s="369">
        <v>1.77</v>
      </c>
      <c r="Q100" s="369">
        <v>1.81</v>
      </c>
      <c r="R100" s="369">
        <v>1.84</v>
      </c>
      <c r="S100" s="369">
        <v>1.86</v>
      </c>
      <c r="T100" s="369">
        <v>1.88</v>
      </c>
      <c r="U100" s="369">
        <v>1.9</v>
      </c>
      <c r="V100" s="369">
        <v>1.91</v>
      </c>
      <c r="W100" s="369">
        <v>1.92</v>
      </c>
      <c r="X100" s="369">
        <v>1.92</v>
      </c>
      <c r="Y100" s="369">
        <v>1.93</v>
      </c>
      <c r="Z100" s="369">
        <v>1.93</v>
      </c>
      <c r="AA100" s="369">
        <v>1.93</v>
      </c>
      <c r="AB100" s="369">
        <v>1.92</v>
      </c>
      <c r="AC100" s="369">
        <v>1.92</v>
      </c>
      <c r="AD100" s="369">
        <v>1.92</v>
      </c>
      <c r="AE100" s="369">
        <v>1.92</v>
      </c>
      <c r="AF100" s="369">
        <v>1.92</v>
      </c>
      <c r="AG100" s="369">
        <v>1.91</v>
      </c>
      <c r="AH100" s="369">
        <v>1.91</v>
      </c>
      <c r="AI100" s="369">
        <v>1.91</v>
      </c>
      <c r="AJ100" s="369">
        <v>1.9</v>
      </c>
      <c r="AK100" s="369">
        <v>1.9</v>
      </c>
      <c r="AL100" s="369">
        <v>1.9</v>
      </c>
      <c r="AM100" s="369">
        <v>1.9</v>
      </c>
      <c r="AN100" s="369">
        <v>1.89</v>
      </c>
      <c r="AO100" s="369">
        <v>1.89</v>
      </c>
      <c r="AP100" s="369">
        <v>1.89</v>
      </c>
      <c r="AQ100" s="369">
        <v>1.88</v>
      </c>
      <c r="AR100" s="369">
        <v>1.88</v>
      </c>
      <c r="AS100" s="369">
        <v>1.88</v>
      </c>
      <c r="AT100" s="369">
        <v>1.87</v>
      </c>
      <c r="AU100" s="369">
        <v>1.87</v>
      </c>
      <c r="AV100" s="369">
        <v>1.87</v>
      </c>
      <c r="AW100" s="369">
        <v>1.86</v>
      </c>
      <c r="AX100" s="369">
        <v>1.86</v>
      </c>
      <c r="AY100" s="369">
        <v>1.86</v>
      </c>
      <c r="BB100" s="75">
        <v>1.38</v>
      </c>
    </row>
    <row r="101" spans="1:54">
      <c r="A101" s="794">
        <v>44834</v>
      </c>
      <c r="B101" s="369">
        <v>0.54</v>
      </c>
      <c r="C101" s="369">
        <v>0.62</v>
      </c>
      <c r="D101" s="369">
        <v>0.71</v>
      </c>
      <c r="E101" s="369">
        <v>0.81</v>
      </c>
      <c r="F101" s="369">
        <v>0.92</v>
      </c>
      <c r="G101" s="369">
        <v>1.03</v>
      </c>
      <c r="H101" s="369">
        <v>1.1399999999999999</v>
      </c>
      <c r="I101" s="369">
        <v>1.25</v>
      </c>
      <c r="J101" s="369">
        <v>1.35</v>
      </c>
      <c r="K101" s="369">
        <v>1.45</v>
      </c>
      <c r="L101" s="369">
        <v>1.53</v>
      </c>
      <c r="M101" s="369">
        <v>1.61</v>
      </c>
      <c r="N101" s="369">
        <v>1.67</v>
      </c>
      <c r="O101" s="369">
        <v>1.73</v>
      </c>
      <c r="P101" s="369">
        <v>1.78</v>
      </c>
      <c r="Q101" s="369">
        <v>1.81</v>
      </c>
      <c r="R101" s="369">
        <v>1.84</v>
      </c>
      <c r="S101" s="369">
        <v>1.86</v>
      </c>
      <c r="T101" s="369">
        <v>1.88</v>
      </c>
      <c r="U101" s="369">
        <v>1.9</v>
      </c>
      <c r="V101" s="369">
        <v>1.91</v>
      </c>
      <c r="W101" s="369">
        <v>1.91</v>
      </c>
      <c r="X101" s="369">
        <v>1.92</v>
      </c>
      <c r="Y101" s="369">
        <v>1.92</v>
      </c>
      <c r="Z101" s="369">
        <v>1.93</v>
      </c>
      <c r="AA101" s="369">
        <v>1.92</v>
      </c>
      <c r="AB101" s="369">
        <v>1.92</v>
      </c>
      <c r="AC101" s="369">
        <v>1.92</v>
      </c>
      <c r="AD101" s="369">
        <v>1.92</v>
      </c>
      <c r="AE101" s="369">
        <v>1.91</v>
      </c>
      <c r="AF101" s="369">
        <v>1.91</v>
      </c>
      <c r="AG101" s="369">
        <v>1.91</v>
      </c>
      <c r="AH101" s="369">
        <v>1.9</v>
      </c>
      <c r="AI101" s="369">
        <v>1.9</v>
      </c>
      <c r="AJ101" s="369">
        <v>1.9</v>
      </c>
      <c r="AK101" s="369">
        <v>1.89</v>
      </c>
      <c r="AL101" s="369">
        <v>1.89</v>
      </c>
      <c r="AM101" s="369">
        <v>1.89</v>
      </c>
      <c r="AN101" s="369">
        <v>1.89</v>
      </c>
      <c r="AO101" s="369">
        <v>1.88</v>
      </c>
      <c r="AP101" s="369">
        <v>1.88</v>
      </c>
      <c r="AQ101" s="369">
        <v>1.87</v>
      </c>
      <c r="AR101" s="369">
        <v>1.87</v>
      </c>
      <c r="AS101" s="369">
        <v>1.87</v>
      </c>
      <c r="AT101" s="369">
        <v>1.86</v>
      </c>
      <c r="AU101" s="369">
        <v>1.86</v>
      </c>
      <c r="AV101" s="369">
        <v>1.85</v>
      </c>
      <c r="AW101" s="369">
        <v>1.85</v>
      </c>
      <c r="AX101" s="369">
        <v>1.85</v>
      </c>
      <c r="AY101" s="369">
        <v>1.84</v>
      </c>
    </row>
    <row r="102" spans="1:54">
      <c r="A102" s="794">
        <v>44865</v>
      </c>
      <c r="B102" s="369">
        <v>0.56000000000000005</v>
      </c>
      <c r="C102" s="369">
        <v>0.64</v>
      </c>
      <c r="D102" s="369">
        <v>0.73</v>
      </c>
      <c r="E102" s="369">
        <v>0.83</v>
      </c>
      <c r="F102" s="369">
        <v>0.93</v>
      </c>
      <c r="G102" s="369">
        <v>1.04</v>
      </c>
      <c r="H102" s="369">
        <v>1.1499999999999999</v>
      </c>
      <c r="I102" s="369">
        <v>1.26</v>
      </c>
      <c r="J102" s="369">
        <v>1.36</v>
      </c>
      <c r="K102" s="369">
        <v>1.45</v>
      </c>
      <c r="L102" s="369">
        <v>1.54</v>
      </c>
      <c r="M102" s="369">
        <v>1.61</v>
      </c>
      <c r="N102" s="369">
        <v>1.68</v>
      </c>
      <c r="O102" s="369">
        <v>1.73</v>
      </c>
      <c r="P102" s="369">
        <v>1.78</v>
      </c>
      <c r="Q102" s="369">
        <v>1.81</v>
      </c>
      <c r="R102" s="369">
        <v>1.84</v>
      </c>
      <c r="S102" s="369">
        <v>1.86</v>
      </c>
      <c r="T102" s="369">
        <v>1.88</v>
      </c>
      <c r="U102" s="369">
        <v>1.9</v>
      </c>
      <c r="V102" s="369">
        <v>1.91</v>
      </c>
      <c r="W102" s="369">
        <v>1.91</v>
      </c>
      <c r="X102" s="369">
        <v>1.92</v>
      </c>
      <c r="Y102" s="369">
        <v>1.92</v>
      </c>
      <c r="Z102" s="369">
        <v>1.92</v>
      </c>
      <c r="AA102" s="369">
        <v>1.92</v>
      </c>
      <c r="AB102" s="369">
        <v>1.92</v>
      </c>
      <c r="AC102" s="369">
        <v>1.91</v>
      </c>
      <c r="AD102" s="369">
        <v>1.91</v>
      </c>
      <c r="AE102" s="369">
        <v>1.91</v>
      </c>
      <c r="AF102" s="369">
        <v>1.91</v>
      </c>
      <c r="AG102" s="369">
        <v>1.9</v>
      </c>
      <c r="AH102" s="369">
        <v>1.9</v>
      </c>
      <c r="AI102" s="369">
        <v>1.89</v>
      </c>
      <c r="AJ102" s="369">
        <v>1.89</v>
      </c>
      <c r="AK102" s="369">
        <v>1.89</v>
      </c>
      <c r="AL102" s="369">
        <v>1.88</v>
      </c>
      <c r="AM102" s="369">
        <v>1.88</v>
      </c>
      <c r="AN102" s="369">
        <v>1.88</v>
      </c>
      <c r="AO102" s="369">
        <v>1.88</v>
      </c>
      <c r="AP102" s="369">
        <v>1.87</v>
      </c>
      <c r="AQ102" s="369">
        <v>1.87</v>
      </c>
      <c r="AR102" s="369">
        <v>1.86</v>
      </c>
      <c r="AS102" s="369">
        <v>1.86</v>
      </c>
      <c r="AT102" s="369">
        <v>1.85</v>
      </c>
      <c r="AU102" s="369">
        <v>1.85</v>
      </c>
      <c r="AV102" s="369">
        <v>1.84</v>
      </c>
      <c r="AW102" s="369">
        <v>1.84</v>
      </c>
      <c r="AX102" s="369">
        <v>1.84</v>
      </c>
      <c r="AY102" s="369">
        <v>1.83</v>
      </c>
    </row>
    <row r="103" spans="1:54">
      <c r="A103" s="794">
        <v>44895</v>
      </c>
      <c r="B103" s="369">
        <v>0.56999999999999995</v>
      </c>
      <c r="C103" s="369">
        <v>0.66</v>
      </c>
      <c r="D103" s="369">
        <v>0.74</v>
      </c>
      <c r="E103" s="369">
        <v>0.84</v>
      </c>
      <c r="F103" s="369">
        <v>0.94</v>
      </c>
      <c r="G103" s="369">
        <v>1.05</v>
      </c>
      <c r="H103" s="369">
        <v>1.1599999999999999</v>
      </c>
      <c r="I103" s="369">
        <v>1.26</v>
      </c>
      <c r="J103" s="369">
        <v>1.36</v>
      </c>
      <c r="K103" s="369">
        <v>1.46</v>
      </c>
      <c r="L103" s="369">
        <v>1.54</v>
      </c>
      <c r="M103" s="369">
        <v>1.61</v>
      </c>
      <c r="N103" s="369">
        <v>1.68</v>
      </c>
      <c r="O103" s="369">
        <v>1.73</v>
      </c>
      <c r="P103" s="369">
        <v>1.78</v>
      </c>
      <c r="Q103" s="369">
        <v>1.81</v>
      </c>
      <c r="R103" s="369">
        <v>1.84</v>
      </c>
      <c r="S103" s="369">
        <v>1.86</v>
      </c>
      <c r="T103" s="369">
        <v>1.88</v>
      </c>
      <c r="U103" s="369">
        <v>1.9</v>
      </c>
      <c r="V103" s="369">
        <v>1.91</v>
      </c>
      <c r="W103" s="369">
        <v>1.91</v>
      </c>
      <c r="X103" s="369">
        <v>1.91</v>
      </c>
      <c r="Y103" s="369">
        <v>1.92</v>
      </c>
      <c r="Z103" s="369">
        <v>1.92</v>
      </c>
      <c r="AA103" s="369">
        <v>1.91</v>
      </c>
      <c r="AB103" s="369">
        <v>1.91</v>
      </c>
      <c r="AC103" s="369">
        <v>1.91</v>
      </c>
      <c r="AD103" s="369">
        <v>1.9</v>
      </c>
      <c r="AE103" s="369">
        <v>1.9</v>
      </c>
      <c r="AF103" s="369">
        <v>1.9</v>
      </c>
      <c r="AG103" s="369">
        <v>1.89</v>
      </c>
      <c r="AH103" s="369">
        <v>1.89</v>
      </c>
      <c r="AI103" s="369">
        <v>1.88</v>
      </c>
      <c r="AJ103" s="369">
        <v>1.88</v>
      </c>
      <c r="AK103" s="369">
        <v>1.88</v>
      </c>
      <c r="AL103" s="369">
        <v>1.87</v>
      </c>
      <c r="AM103" s="369">
        <v>1.87</v>
      </c>
      <c r="AN103" s="369">
        <v>1.87</v>
      </c>
      <c r="AO103" s="369">
        <v>1.87</v>
      </c>
      <c r="AP103" s="369">
        <v>1.86</v>
      </c>
      <c r="AQ103" s="369">
        <v>1.85</v>
      </c>
      <c r="AR103" s="369">
        <v>1.85</v>
      </c>
      <c r="AS103" s="369">
        <v>1.84</v>
      </c>
      <c r="AT103" s="369">
        <v>1.84</v>
      </c>
      <c r="AU103" s="369">
        <v>1.84</v>
      </c>
      <c r="AV103" s="369">
        <v>1.83</v>
      </c>
      <c r="AW103" s="369">
        <v>1.83</v>
      </c>
      <c r="AX103" s="369">
        <v>1.82</v>
      </c>
      <c r="AY103" s="369">
        <v>1.82</v>
      </c>
    </row>
    <row r="104" spans="1:54">
      <c r="A104" s="794">
        <v>44926</v>
      </c>
      <c r="B104" s="369">
        <v>0.59</v>
      </c>
      <c r="C104" s="369">
        <v>0.68</v>
      </c>
      <c r="D104" s="369">
        <v>0.76</v>
      </c>
      <c r="E104" s="369">
        <v>0.86</v>
      </c>
      <c r="F104" s="369">
        <v>0.96</v>
      </c>
      <c r="G104" s="369">
        <v>1.07</v>
      </c>
      <c r="H104" s="369">
        <v>1.17</v>
      </c>
      <c r="I104" s="369">
        <v>1.27</v>
      </c>
      <c r="J104" s="369">
        <v>1.37</v>
      </c>
      <c r="K104" s="369">
        <v>1.47</v>
      </c>
      <c r="L104" s="369">
        <v>1.55</v>
      </c>
      <c r="M104" s="369">
        <v>1.62</v>
      </c>
      <c r="N104" s="369">
        <v>1.68</v>
      </c>
      <c r="O104" s="369">
        <v>1.74</v>
      </c>
      <c r="P104" s="369">
        <v>1.78</v>
      </c>
      <c r="Q104" s="369">
        <v>1.81</v>
      </c>
      <c r="R104" s="369">
        <v>1.84</v>
      </c>
      <c r="S104" s="369">
        <v>1.86</v>
      </c>
      <c r="T104" s="369">
        <v>1.88</v>
      </c>
      <c r="U104" s="369">
        <v>1.9</v>
      </c>
      <c r="V104" s="369">
        <v>1.91</v>
      </c>
      <c r="W104" s="369">
        <v>1.91</v>
      </c>
      <c r="X104" s="369">
        <v>1.91</v>
      </c>
      <c r="Y104" s="369">
        <v>1.91</v>
      </c>
      <c r="Z104" s="369">
        <v>1.92</v>
      </c>
      <c r="AA104" s="369">
        <v>1.91</v>
      </c>
      <c r="AB104" s="369">
        <v>1.91</v>
      </c>
      <c r="AC104" s="369">
        <v>1.9</v>
      </c>
      <c r="AD104" s="369">
        <v>1.9</v>
      </c>
      <c r="AE104" s="369">
        <v>1.9</v>
      </c>
      <c r="AF104" s="369">
        <v>1.89</v>
      </c>
      <c r="AG104" s="369">
        <v>1.89</v>
      </c>
      <c r="AH104" s="369">
        <v>1.88</v>
      </c>
      <c r="AI104" s="369">
        <v>1.88</v>
      </c>
      <c r="AJ104" s="369">
        <v>1.87</v>
      </c>
      <c r="AK104" s="369">
        <v>1.87</v>
      </c>
      <c r="AL104" s="369">
        <v>1.87</v>
      </c>
      <c r="AM104" s="369">
        <v>1.86</v>
      </c>
      <c r="AN104" s="369">
        <v>1.86</v>
      </c>
      <c r="AO104" s="369">
        <v>1.86</v>
      </c>
      <c r="AP104" s="369">
        <v>1.85</v>
      </c>
      <c r="AQ104" s="369">
        <v>1.85</v>
      </c>
      <c r="AR104" s="369">
        <v>1.84</v>
      </c>
      <c r="AS104" s="369">
        <v>1.84</v>
      </c>
      <c r="AT104" s="369">
        <v>1.83</v>
      </c>
      <c r="AU104" s="369">
        <v>1.83</v>
      </c>
      <c r="AV104" s="369">
        <v>1.82</v>
      </c>
      <c r="AW104" s="369">
        <v>1.82</v>
      </c>
      <c r="AX104" s="369">
        <v>1.81</v>
      </c>
      <c r="AY104" s="369">
        <v>1.81</v>
      </c>
      <c r="AZ104" s="517"/>
    </row>
    <row r="105" spans="1:54">
      <c r="A105" s="794">
        <v>44957</v>
      </c>
      <c r="B105" s="369">
        <v>0.62</v>
      </c>
      <c r="C105" s="369">
        <v>0.7</v>
      </c>
      <c r="D105" s="369">
        <v>0.77</v>
      </c>
      <c r="E105" s="369">
        <v>0.87</v>
      </c>
      <c r="F105" s="369">
        <v>0.97</v>
      </c>
      <c r="G105" s="369">
        <v>1.08</v>
      </c>
      <c r="H105" s="369">
        <v>1.18</v>
      </c>
      <c r="I105" s="369">
        <v>1.28</v>
      </c>
      <c r="J105" s="369">
        <v>1.38</v>
      </c>
      <c r="K105" s="369">
        <v>1.47</v>
      </c>
      <c r="L105" s="369">
        <v>1.55</v>
      </c>
      <c r="M105" s="369">
        <v>1.62</v>
      </c>
      <c r="N105" s="369">
        <v>1.69</v>
      </c>
      <c r="O105" s="369">
        <v>1.74</v>
      </c>
      <c r="P105" s="369">
        <v>1.78</v>
      </c>
      <c r="Q105" s="369">
        <v>1.81</v>
      </c>
      <c r="R105" s="369">
        <v>1.84</v>
      </c>
      <c r="S105" s="369">
        <v>1.86</v>
      </c>
      <c r="T105" s="369">
        <v>1.88</v>
      </c>
      <c r="U105" s="369">
        <v>1.9</v>
      </c>
      <c r="V105" s="369">
        <v>1.9</v>
      </c>
      <c r="W105" s="369">
        <v>1.91</v>
      </c>
      <c r="X105" s="369">
        <v>1.91</v>
      </c>
      <c r="Y105" s="369">
        <v>1.91</v>
      </c>
      <c r="Z105" s="369">
        <v>1.91</v>
      </c>
      <c r="AA105" s="369">
        <v>1.91</v>
      </c>
      <c r="AB105" s="369">
        <v>1.9</v>
      </c>
      <c r="AC105" s="369">
        <v>1.9</v>
      </c>
      <c r="AD105" s="369">
        <v>1.9</v>
      </c>
      <c r="AE105" s="369">
        <v>1.89</v>
      </c>
      <c r="AF105" s="369">
        <v>1.89</v>
      </c>
      <c r="AG105" s="369">
        <v>1.88</v>
      </c>
      <c r="AH105" s="369">
        <v>1.88</v>
      </c>
      <c r="AI105" s="369">
        <v>1.87</v>
      </c>
      <c r="AJ105" s="369">
        <v>1.87</v>
      </c>
      <c r="AK105" s="369">
        <v>1.86</v>
      </c>
      <c r="AL105" s="369">
        <v>1.86</v>
      </c>
      <c r="AM105" s="369">
        <v>1.86</v>
      </c>
      <c r="AN105" s="369">
        <v>1.85</v>
      </c>
      <c r="AO105" s="369">
        <v>1.85</v>
      </c>
      <c r="AP105" s="369">
        <v>1.84</v>
      </c>
      <c r="AQ105" s="369">
        <v>1.84</v>
      </c>
      <c r="AR105" s="369">
        <v>1.83</v>
      </c>
      <c r="AS105" s="369">
        <v>1.83</v>
      </c>
      <c r="AT105" s="369">
        <v>1.82</v>
      </c>
      <c r="AU105" s="369">
        <v>1.82</v>
      </c>
      <c r="AV105" s="369">
        <v>1.81</v>
      </c>
      <c r="AW105" s="369">
        <v>1.81</v>
      </c>
      <c r="AX105" s="369">
        <v>1.8</v>
      </c>
      <c r="AY105" s="369">
        <v>1.8</v>
      </c>
      <c r="AZ105" s="517"/>
    </row>
    <row r="106" spans="1:54">
      <c r="A106" s="794">
        <v>44985</v>
      </c>
      <c r="B106" s="369">
        <v>0.64</v>
      </c>
      <c r="C106" s="369">
        <v>0.72</v>
      </c>
      <c r="D106" s="369">
        <v>0.8</v>
      </c>
      <c r="E106" s="369">
        <v>0.89</v>
      </c>
      <c r="F106" s="369">
        <v>0.99</v>
      </c>
      <c r="G106" s="369">
        <v>1.0900000000000001</v>
      </c>
      <c r="H106" s="369">
        <v>1.19</v>
      </c>
      <c r="I106" s="369">
        <v>1.29</v>
      </c>
      <c r="J106" s="369">
        <v>1.39</v>
      </c>
      <c r="K106" s="369">
        <v>1.48</v>
      </c>
      <c r="L106" s="369">
        <v>1.56</v>
      </c>
      <c r="M106" s="369">
        <v>1.63</v>
      </c>
      <c r="N106" s="369">
        <v>1.69</v>
      </c>
      <c r="O106" s="369">
        <v>1.74</v>
      </c>
      <c r="P106" s="369">
        <v>1.79</v>
      </c>
      <c r="Q106" s="369">
        <v>1.82</v>
      </c>
      <c r="R106" s="369">
        <v>1.84</v>
      </c>
      <c r="S106" s="369">
        <v>1.86</v>
      </c>
      <c r="T106" s="369">
        <v>1.88</v>
      </c>
      <c r="U106" s="369">
        <v>1.9</v>
      </c>
      <c r="V106" s="369">
        <v>1.9</v>
      </c>
      <c r="W106" s="369">
        <v>1.91</v>
      </c>
      <c r="X106" s="369">
        <v>1.91</v>
      </c>
      <c r="Y106" s="369">
        <v>1.91</v>
      </c>
      <c r="Z106" s="369">
        <v>1.91</v>
      </c>
      <c r="AA106" s="369">
        <v>1.91</v>
      </c>
      <c r="AB106" s="369">
        <v>1.9</v>
      </c>
      <c r="AC106" s="369">
        <v>1.9</v>
      </c>
      <c r="AD106" s="369">
        <v>1.89</v>
      </c>
      <c r="AE106" s="369">
        <v>1.89</v>
      </c>
      <c r="AF106" s="369">
        <v>1.88</v>
      </c>
      <c r="AG106" s="369">
        <v>1.88</v>
      </c>
      <c r="AH106" s="369">
        <v>1.87</v>
      </c>
      <c r="AI106" s="369">
        <v>1.87</v>
      </c>
      <c r="AJ106" s="369">
        <v>1.86</v>
      </c>
      <c r="AK106" s="369">
        <v>1.86</v>
      </c>
      <c r="AL106" s="369">
        <v>1.85</v>
      </c>
      <c r="AM106" s="369">
        <v>1.85</v>
      </c>
      <c r="AN106" s="369">
        <v>1.85</v>
      </c>
      <c r="AO106" s="369">
        <v>1.84</v>
      </c>
      <c r="AP106" s="369">
        <v>1.84</v>
      </c>
      <c r="AQ106" s="369">
        <v>1.83</v>
      </c>
      <c r="AR106" s="369">
        <v>1.82</v>
      </c>
      <c r="AS106" s="369">
        <v>1.82</v>
      </c>
      <c r="AT106" s="369">
        <v>1.81</v>
      </c>
      <c r="AU106" s="369">
        <v>1.81</v>
      </c>
      <c r="AV106" s="369">
        <v>1.8</v>
      </c>
      <c r="AW106" s="369">
        <v>1.8</v>
      </c>
      <c r="AX106" s="369">
        <v>1.79</v>
      </c>
      <c r="AY106" s="369">
        <v>1.79</v>
      </c>
      <c r="AZ106" s="517"/>
    </row>
    <row r="107" spans="1:54">
      <c r="A107" s="794">
        <v>45016</v>
      </c>
      <c r="B107" s="369">
        <v>0.66</v>
      </c>
      <c r="C107" s="369">
        <v>0.74</v>
      </c>
      <c r="D107" s="369">
        <v>0.82</v>
      </c>
      <c r="E107" s="369">
        <v>0.91</v>
      </c>
      <c r="F107" s="369">
        <v>1</v>
      </c>
      <c r="G107" s="369">
        <v>1.1100000000000001</v>
      </c>
      <c r="H107" s="369">
        <v>1.2</v>
      </c>
      <c r="I107" s="369">
        <v>1.3</v>
      </c>
      <c r="J107" s="369">
        <v>1.4</v>
      </c>
      <c r="K107" s="369">
        <v>1.49</v>
      </c>
      <c r="L107" s="369">
        <v>1.57</v>
      </c>
      <c r="M107" s="369">
        <v>1.64</v>
      </c>
      <c r="N107" s="369">
        <v>1.7</v>
      </c>
      <c r="O107" s="369">
        <v>1.75</v>
      </c>
      <c r="P107" s="369">
        <v>1.79</v>
      </c>
      <c r="Q107" s="369">
        <v>1.82</v>
      </c>
      <c r="R107" s="369">
        <v>1.84</v>
      </c>
      <c r="S107" s="369">
        <v>1.86</v>
      </c>
      <c r="T107" s="369">
        <v>1.88</v>
      </c>
      <c r="U107" s="369">
        <v>1.9</v>
      </c>
      <c r="V107" s="369">
        <v>1.9</v>
      </c>
      <c r="W107" s="369">
        <v>1.91</v>
      </c>
      <c r="X107" s="369">
        <v>1.91</v>
      </c>
      <c r="Y107" s="369">
        <v>1.91</v>
      </c>
      <c r="Z107" s="369">
        <v>1.91</v>
      </c>
      <c r="AA107" s="369">
        <v>1.9</v>
      </c>
      <c r="AB107" s="369">
        <v>1.9</v>
      </c>
      <c r="AC107" s="369">
        <v>1.89</v>
      </c>
      <c r="AD107" s="369">
        <v>1.89</v>
      </c>
      <c r="AE107" s="369">
        <v>1.89</v>
      </c>
      <c r="AF107" s="369">
        <v>1.88</v>
      </c>
      <c r="AG107" s="369">
        <v>1.87</v>
      </c>
      <c r="AH107" s="369">
        <v>1.87</v>
      </c>
      <c r="AI107" s="369">
        <v>1.86</v>
      </c>
      <c r="AJ107" s="369">
        <v>1.86</v>
      </c>
      <c r="AK107" s="369">
        <v>1.85</v>
      </c>
      <c r="AL107" s="369">
        <v>1.85</v>
      </c>
      <c r="AM107" s="369">
        <v>1.85</v>
      </c>
      <c r="AN107" s="369">
        <v>1.84</v>
      </c>
      <c r="AO107" s="369">
        <v>1.84</v>
      </c>
      <c r="AP107" s="369">
        <v>1.83</v>
      </c>
      <c r="AQ107" s="369">
        <v>1.82</v>
      </c>
      <c r="AR107" s="369">
        <v>1.82</v>
      </c>
      <c r="AS107" s="369">
        <v>1.81</v>
      </c>
      <c r="AT107" s="369">
        <v>1.81</v>
      </c>
      <c r="AU107" s="369">
        <v>1.8</v>
      </c>
      <c r="AV107" s="369">
        <v>1.8</v>
      </c>
      <c r="AW107" s="369">
        <v>1.79</v>
      </c>
      <c r="AX107" s="369">
        <v>1.79</v>
      </c>
      <c r="AY107" s="369">
        <v>1.78</v>
      </c>
      <c r="AZ107" s="517"/>
    </row>
    <row r="108" spans="1:54">
      <c r="A108" s="794">
        <v>45046</v>
      </c>
      <c r="B108" s="369">
        <v>0.69</v>
      </c>
      <c r="C108" s="369">
        <v>0.76</v>
      </c>
      <c r="D108" s="369">
        <v>0.84</v>
      </c>
      <c r="E108" s="369">
        <v>0.92</v>
      </c>
      <c r="F108" s="369">
        <v>1.02</v>
      </c>
      <c r="G108" s="369">
        <v>1.1200000000000001</v>
      </c>
      <c r="H108" s="369">
        <v>1.22</v>
      </c>
      <c r="I108" s="369">
        <v>1.31</v>
      </c>
      <c r="J108" s="369">
        <v>1.41</v>
      </c>
      <c r="K108" s="369">
        <v>1.5</v>
      </c>
      <c r="L108" s="369">
        <v>1.58</v>
      </c>
      <c r="M108" s="369">
        <v>1.64</v>
      </c>
      <c r="N108" s="369">
        <v>1.7</v>
      </c>
      <c r="O108" s="369">
        <v>1.75</v>
      </c>
      <c r="P108" s="369">
        <v>1.8</v>
      </c>
      <c r="Q108" s="369">
        <v>1.82</v>
      </c>
      <c r="R108" s="369">
        <v>1.85</v>
      </c>
      <c r="S108" s="369">
        <v>1.87</v>
      </c>
      <c r="T108" s="369">
        <v>1.89</v>
      </c>
      <c r="U108" s="369">
        <v>1.9</v>
      </c>
      <c r="V108" s="369">
        <v>1.91</v>
      </c>
      <c r="W108" s="369">
        <v>1.91</v>
      </c>
      <c r="X108" s="369">
        <v>1.91</v>
      </c>
      <c r="Y108" s="369">
        <v>1.91</v>
      </c>
      <c r="Z108" s="369">
        <v>1.91</v>
      </c>
      <c r="AA108" s="369">
        <v>1.9</v>
      </c>
      <c r="AB108" s="369">
        <v>1.9</v>
      </c>
      <c r="AC108" s="369">
        <v>1.89</v>
      </c>
      <c r="AD108" s="369">
        <v>1.89</v>
      </c>
      <c r="AE108" s="369">
        <v>1.89</v>
      </c>
      <c r="AF108" s="369">
        <v>1.88</v>
      </c>
      <c r="AG108" s="369">
        <v>1.87</v>
      </c>
      <c r="AH108" s="369">
        <v>1.87</v>
      </c>
      <c r="AI108" s="369">
        <v>1.86</v>
      </c>
      <c r="AJ108" s="369">
        <v>1.86</v>
      </c>
      <c r="AK108" s="369">
        <v>1.85</v>
      </c>
      <c r="AL108" s="369">
        <v>1.85</v>
      </c>
      <c r="AM108" s="369">
        <v>1.84</v>
      </c>
      <c r="AN108" s="369">
        <v>1.84</v>
      </c>
      <c r="AO108" s="369">
        <v>1.83</v>
      </c>
      <c r="AP108" s="369">
        <v>1.83</v>
      </c>
      <c r="AQ108" s="369">
        <v>1.82</v>
      </c>
      <c r="AR108" s="369">
        <v>1.81</v>
      </c>
      <c r="AS108" s="369">
        <v>1.81</v>
      </c>
      <c r="AT108" s="369">
        <v>1.8</v>
      </c>
      <c r="AU108" s="369">
        <v>1.8</v>
      </c>
      <c r="AV108" s="369">
        <v>1.79</v>
      </c>
      <c r="AW108" s="369">
        <v>1.79</v>
      </c>
      <c r="AX108" s="369">
        <v>1.78</v>
      </c>
      <c r="AY108" s="369">
        <v>1.78</v>
      </c>
      <c r="AZ108" s="517"/>
    </row>
    <row r="109" spans="1:54">
      <c r="A109" s="794">
        <v>45077</v>
      </c>
      <c r="B109" s="369">
        <v>0.72</v>
      </c>
      <c r="C109" s="369">
        <v>0.79</v>
      </c>
      <c r="D109" s="369">
        <v>0.86</v>
      </c>
      <c r="E109" s="369">
        <v>0.94</v>
      </c>
      <c r="F109" s="369">
        <v>1.03</v>
      </c>
      <c r="G109" s="369">
        <v>1.1299999999999999</v>
      </c>
      <c r="H109" s="369">
        <v>1.23</v>
      </c>
      <c r="I109" s="369">
        <v>1.32</v>
      </c>
      <c r="J109" s="369">
        <v>1.41</v>
      </c>
      <c r="K109" s="369">
        <v>1.5</v>
      </c>
      <c r="L109" s="369">
        <v>1.58</v>
      </c>
      <c r="M109" s="369">
        <v>1.65</v>
      </c>
      <c r="N109" s="369">
        <v>1.71</v>
      </c>
      <c r="O109" s="369">
        <v>1.76</v>
      </c>
      <c r="P109" s="369">
        <v>1.8</v>
      </c>
      <c r="Q109" s="369">
        <v>1.83</v>
      </c>
      <c r="R109" s="369">
        <v>1.85</v>
      </c>
      <c r="S109" s="369">
        <v>1.87</v>
      </c>
      <c r="T109" s="369">
        <v>1.89</v>
      </c>
      <c r="U109" s="369">
        <v>1.9</v>
      </c>
      <c r="V109" s="369">
        <v>1.91</v>
      </c>
      <c r="W109" s="369">
        <v>1.91</v>
      </c>
      <c r="X109" s="369">
        <v>1.91</v>
      </c>
      <c r="Y109" s="369">
        <v>1.91</v>
      </c>
      <c r="Z109" s="369">
        <v>1.91</v>
      </c>
      <c r="AA109" s="369">
        <v>1.9</v>
      </c>
      <c r="AB109" s="369">
        <v>1.9</v>
      </c>
      <c r="AC109" s="369">
        <v>1.89</v>
      </c>
      <c r="AD109" s="369">
        <v>1.89</v>
      </c>
      <c r="AE109" s="369">
        <v>1.88</v>
      </c>
      <c r="AF109" s="369">
        <v>1.88</v>
      </c>
      <c r="AG109" s="369">
        <v>1.87</v>
      </c>
      <c r="AH109" s="369">
        <v>1.86</v>
      </c>
      <c r="AI109" s="369">
        <v>1.86</v>
      </c>
      <c r="AJ109" s="369">
        <v>1.85</v>
      </c>
      <c r="AK109" s="369">
        <v>1.85</v>
      </c>
      <c r="AL109" s="369">
        <v>1.84</v>
      </c>
      <c r="AM109" s="369">
        <v>1.84</v>
      </c>
      <c r="AN109" s="369">
        <v>1.83</v>
      </c>
      <c r="AO109" s="369">
        <v>1.83</v>
      </c>
      <c r="AP109" s="369">
        <v>1.82</v>
      </c>
      <c r="AQ109" s="369">
        <v>1.81</v>
      </c>
      <c r="AR109" s="369">
        <v>1.81</v>
      </c>
      <c r="AS109" s="369">
        <v>1.8</v>
      </c>
      <c r="AT109" s="369">
        <v>1.8</v>
      </c>
      <c r="AU109" s="369">
        <v>1.79</v>
      </c>
      <c r="AV109" s="369">
        <v>1.78</v>
      </c>
      <c r="AW109" s="369">
        <v>1.78</v>
      </c>
      <c r="AX109" s="369">
        <v>1.77</v>
      </c>
      <c r="AY109" s="369">
        <v>1.77</v>
      </c>
      <c r="AZ109" s="517"/>
    </row>
    <row r="110" spans="1:54">
      <c r="A110" s="794">
        <v>45107</v>
      </c>
      <c r="B110" s="369">
        <v>0.74</v>
      </c>
      <c r="C110" s="369">
        <v>0.81</v>
      </c>
      <c r="D110" s="369">
        <v>0.88</v>
      </c>
      <c r="E110" s="369">
        <v>0.96</v>
      </c>
      <c r="F110" s="369">
        <v>1.05</v>
      </c>
      <c r="G110" s="369">
        <v>1.1399999999999999</v>
      </c>
      <c r="H110" s="369">
        <v>1.24</v>
      </c>
      <c r="I110" s="369">
        <v>1.33</v>
      </c>
      <c r="J110" s="369">
        <v>1.42</v>
      </c>
      <c r="K110" s="369">
        <v>1.51</v>
      </c>
      <c r="L110" s="369">
        <v>1.59</v>
      </c>
      <c r="M110" s="369">
        <v>1.65</v>
      </c>
      <c r="N110" s="369">
        <v>1.71</v>
      </c>
      <c r="O110" s="369">
        <v>1.76</v>
      </c>
      <c r="P110" s="369">
        <v>1.8</v>
      </c>
      <c r="Q110" s="369">
        <v>1.83</v>
      </c>
      <c r="R110" s="369">
        <v>1.85</v>
      </c>
      <c r="S110" s="369">
        <v>1.87</v>
      </c>
      <c r="T110" s="369">
        <v>1.89</v>
      </c>
      <c r="U110" s="369">
        <v>1.9</v>
      </c>
      <c r="V110" s="369">
        <v>1.9</v>
      </c>
      <c r="W110" s="369">
        <v>1.91</v>
      </c>
      <c r="X110" s="369">
        <v>1.91</v>
      </c>
      <c r="Y110" s="369">
        <v>1.91</v>
      </c>
      <c r="Z110" s="369">
        <v>1.91</v>
      </c>
      <c r="AA110" s="369">
        <v>1.9</v>
      </c>
      <c r="AB110" s="369">
        <v>1.9</v>
      </c>
      <c r="AC110" s="369">
        <v>1.89</v>
      </c>
      <c r="AD110" s="369">
        <v>1.88</v>
      </c>
      <c r="AE110" s="369">
        <v>1.88</v>
      </c>
      <c r="AF110" s="369">
        <v>1.87</v>
      </c>
      <c r="AG110" s="369">
        <v>1.87</v>
      </c>
      <c r="AH110" s="369">
        <v>1.86</v>
      </c>
      <c r="AI110" s="369">
        <v>1.85</v>
      </c>
      <c r="AJ110" s="369">
        <v>1.85</v>
      </c>
      <c r="AK110" s="369">
        <v>1.84</v>
      </c>
      <c r="AL110" s="369">
        <v>1.84</v>
      </c>
      <c r="AM110" s="369">
        <v>1.83</v>
      </c>
      <c r="AN110" s="369">
        <v>1.83</v>
      </c>
      <c r="AO110" s="369">
        <v>1.82</v>
      </c>
      <c r="AP110" s="369">
        <v>1.82</v>
      </c>
      <c r="AQ110" s="369">
        <v>1.81</v>
      </c>
      <c r="AR110" s="369">
        <v>1.8</v>
      </c>
      <c r="AS110" s="369">
        <v>1.79</v>
      </c>
      <c r="AT110" s="369">
        <v>1.79</v>
      </c>
      <c r="AU110" s="369">
        <v>1.78</v>
      </c>
      <c r="AV110" s="369">
        <v>1.78</v>
      </c>
      <c r="AW110" s="369">
        <v>1.77</v>
      </c>
      <c r="AX110" s="369">
        <v>1.77</v>
      </c>
      <c r="AY110" s="369">
        <v>1.76</v>
      </c>
      <c r="AZ110" s="517"/>
    </row>
    <row r="111" spans="1:54">
      <c r="A111" s="115">
        <v>45138</v>
      </c>
      <c r="B111" s="130">
        <v>0.77</v>
      </c>
      <c r="C111" s="130">
        <v>0.84</v>
      </c>
      <c r="D111" s="130">
        <v>0.9</v>
      </c>
      <c r="E111" s="130">
        <v>0.98</v>
      </c>
      <c r="F111" s="130">
        <v>1.06</v>
      </c>
      <c r="G111" s="130">
        <v>1.1599999999999999</v>
      </c>
      <c r="H111" s="130">
        <v>1.25</v>
      </c>
      <c r="I111" s="130">
        <v>1.34</v>
      </c>
      <c r="J111" s="130">
        <v>1.43</v>
      </c>
      <c r="K111" s="130">
        <v>1.51</v>
      </c>
      <c r="L111" s="130">
        <v>1.59</v>
      </c>
      <c r="M111" s="130">
        <v>1.66</v>
      </c>
      <c r="N111" s="130">
        <v>1.71</v>
      </c>
      <c r="O111" s="130">
        <v>1.76</v>
      </c>
      <c r="P111" s="458">
        <v>1.81</v>
      </c>
      <c r="Q111" s="130">
        <v>1.83</v>
      </c>
      <c r="R111" s="130">
        <v>1.85</v>
      </c>
      <c r="S111" s="130">
        <v>1.87</v>
      </c>
      <c r="T111" s="130">
        <v>1.89</v>
      </c>
      <c r="U111" s="130">
        <v>1.9</v>
      </c>
      <c r="V111" s="130">
        <v>1.9</v>
      </c>
      <c r="W111" s="130">
        <v>1.9</v>
      </c>
      <c r="X111" s="130">
        <v>1.91</v>
      </c>
      <c r="Y111" s="130">
        <v>1.91</v>
      </c>
      <c r="Z111" s="130">
        <v>1.91</v>
      </c>
      <c r="AA111" s="130">
        <v>1.9</v>
      </c>
      <c r="AB111" s="130">
        <v>1.89</v>
      </c>
      <c r="AC111" s="130">
        <v>1.89</v>
      </c>
      <c r="AD111" s="130">
        <v>1.88</v>
      </c>
      <c r="AE111" s="130">
        <v>1.88</v>
      </c>
      <c r="AF111" s="130">
        <v>1.87</v>
      </c>
      <c r="AG111" s="130">
        <v>1.86</v>
      </c>
      <c r="AH111" s="130">
        <v>1.86</v>
      </c>
      <c r="AI111" s="130">
        <v>1.85</v>
      </c>
      <c r="AJ111" s="130">
        <v>1.84</v>
      </c>
      <c r="AK111" s="130">
        <v>1.84</v>
      </c>
      <c r="AL111" s="130">
        <v>1.83</v>
      </c>
      <c r="AM111" s="130">
        <v>1.83</v>
      </c>
      <c r="AN111" s="130">
        <v>1.82</v>
      </c>
      <c r="AO111" s="130">
        <v>1.82</v>
      </c>
      <c r="AP111" s="130">
        <v>1.81</v>
      </c>
      <c r="AQ111" s="130">
        <v>1.8</v>
      </c>
      <c r="AR111" s="130">
        <v>1.8</v>
      </c>
      <c r="AS111" s="130">
        <v>1.79</v>
      </c>
      <c r="AT111" s="130">
        <v>1.78</v>
      </c>
      <c r="AU111" s="130">
        <v>1.78</v>
      </c>
      <c r="AV111" s="130">
        <v>1.77</v>
      </c>
      <c r="AW111" s="130">
        <v>1.76</v>
      </c>
      <c r="AX111" s="130">
        <v>1.76</v>
      </c>
      <c r="AY111" s="130">
        <v>1.75</v>
      </c>
    </row>
    <row r="112" spans="1:54">
      <c r="A112" s="794">
        <v>45169</v>
      </c>
      <c r="B112" s="369">
        <v>0.8</v>
      </c>
      <c r="C112" s="369">
        <v>0.86</v>
      </c>
      <c r="D112" s="369">
        <v>0.92</v>
      </c>
      <c r="E112" s="369">
        <v>0.99</v>
      </c>
      <c r="F112" s="369">
        <v>1.08</v>
      </c>
      <c r="G112" s="369">
        <v>1.17</v>
      </c>
      <c r="H112" s="369">
        <v>1.26</v>
      </c>
      <c r="I112" s="369">
        <v>1.35</v>
      </c>
      <c r="J112" s="369">
        <v>1.44</v>
      </c>
      <c r="K112" s="369">
        <v>1.52</v>
      </c>
      <c r="L112" s="369">
        <v>1.6</v>
      </c>
      <c r="M112" s="369">
        <v>1.66</v>
      </c>
      <c r="N112" s="369">
        <v>1.72</v>
      </c>
      <c r="O112" s="369">
        <v>1.77</v>
      </c>
      <c r="P112" s="369">
        <v>1.81</v>
      </c>
      <c r="Q112" s="369">
        <v>1.83</v>
      </c>
      <c r="R112" s="369">
        <v>1.85</v>
      </c>
      <c r="S112" s="369">
        <v>1.87</v>
      </c>
      <c r="T112" s="369">
        <v>1.89</v>
      </c>
      <c r="U112" s="369">
        <v>1.9</v>
      </c>
      <c r="V112" s="369">
        <v>1.9</v>
      </c>
      <c r="W112" s="369">
        <v>1.9</v>
      </c>
      <c r="X112" s="369">
        <v>1.9</v>
      </c>
      <c r="Y112" s="369">
        <v>1.9</v>
      </c>
      <c r="Z112" s="369">
        <v>1.9</v>
      </c>
      <c r="AA112" s="369">
        <v>1.9</v>
      </c>
      <c r="AB112" s="369">
        <v>1.89</v>
      </c>
      <c r="AC112" s="369">
        <v>1.89</v>
      </c>
      <c r="AD112" s="369">
        <v>1.88</v>
      </c>
      <c r="AE112" s="369">
        <v>1.87</v>
      </c>
      <c r="AF112" s="369">
        <v>1.87</v>
      </c>
      <c r="AG112" s="369">
        <v>1.86</v>
      </c>
      <c r="AH112" s="369">
        <v>1.85</v>
      </c>
      <c r="AI112" s="369">
        <v>1.85</v>
      </c>
      <c r="AJ112" s="369">
        <v>1.84</v>
      </c>
      <c r="AK112" s="369">
        <v>1.83</v>
      </c>
      <c r="AL112" s="369">
        <v>1.83</v>
      </c>
      <c r="AM112" s="369">
        <v>1.82</v>
      </c>
      <c r="AN112" s="369">
        <v>1.82</v>
      </c>
      <c r="AO112" s="369">
        <v>1.81</v>
      </c>
      <c r="AP112" s="369">
        <v>1.81</v>
      </c>
      <c r="AQ112" s="369">
        <v>1.8</v>
      </c>
      <c r="AR112" s="369">
        <v>1.79</v>
      </c>
      <c r="AS112" s="369">
        <v>1.78</v>
      </c>
      <c r="AT112" s="369">
        <v>1.78</v>
      </c>
      <c r="AU112" s="369">
        <v>1.77</v>
      </c>
      <c r="AV112" s="369">
        <v>1.76</v>
      </c>
      <c r="AW112" s="369">
        <v>1.76</v>
      </c>
      <c r="AX112" s="369">
        <v>1.75</v>
      </c>
      <c r="AY112" s="369">
        <v>1.75</v>
      </c>
      <c r="AZ112" s="517"/>
    </row>
    <row r="113" spans="1:52">
      <c r="A113" s="794">
        <v>45199</v>
      </c>
      <c r="B113" s="369">
        <v>0.83</v>
      </c>
      <c r="C113" s="369">
        <v>0.89</v>
      </c>
      <c r="D113" s="369">
        <v>0.94</v>
      </c>
      <c r="E113" s="369">
        <v>1.01</v>
      </c>
      <c r="F113" s="369">
        <v>1.0900000000000001</v>
      </c>
      <c r="G113" s="369">
        <v>1.18</v>
      </c>
      <c r="H113" s="369">
        <v>1.27</v>
      </c>
      <c r="I113" s="369">
        <v>1.36</v>
      </c>
      <c r="J113" s="369">
        <v>1.45</v>
      </c>
      <c r="K113" s="369">
        <v>1.53</v>
      </c>
      <c r="L113" s="369">
        <v>1.61</v>
      </c>
      <c r="M113" s="369">
        <v>1.67</v>
      </c>
      <c r="N113" s="369">
        <v>1.72</v>
      </c>
      <c r="O113" s="369">
        <v>1.77</v>
      </c>
      <c r="P113" s="369">
        <v>1.81</v>
      </c>
      <c r="Q113" s="369">
        <v>1.84</v>
      </c>
      <c r="R113" s="369">
        <v>1.86</v>
      </c>
      <c r="S113" s="369">
        <v>1.88</v>
      </c>
      <c r="T113" s="369">
        <v>1.89</v>
      </c>
      <c r="U113" s="369">
        <v>1.91</v>
      </c>
      <c r="V113" s="369">
        <v>1.91</v>
      </c>
      <c r="W113" s="369">
        <v>1.91</v>
      </c>
      <c r="X113" s="369">
        <v>1.91</v>
      </c>
      <c r="Y113" s="369">
        <v>1.91</v>
      </c>
      <c r="Z113" s="369">
        <v>1.91</v>
      </c>
      <c r="AA113" s="369">
        <v>1.9</v>
      </c>
      <c r="AB113" s="369">
        <v>1.89</v>
      </c>
      <c r="AC113" s="369">
        <v>1.89</v>
      </c>
      <c r="AD113" s="369">
        <v>1.88</v>
      </c>
      <c r="AE113" s="369">
        <v>1.88</v>
      </c>
      <c r="AF113" s="369">
        <v>1.87</v>
      </c>
      <c r="AG113" s="369">
        <v>1.86</v>
      </c>
      <c r="AH113" s="369">
        <v>1.85</v>
      </c>
      <c r="AI113" s="369">
        <v>1.85</v>
      </c>
      <c r="AJ113" s="369">
        <v>1.84</v>
      </c>
      <c r="AK113" s="369">
        <v>1.83</v>
      </c>
      <c r="AL113" s="369">
        <v>1.83</v>
      </c>
      <c r="AM113" s="369">
        <v>1.82</v>
      </c>
      <c r="AN113" s="369">
        <v>1.82</v>
      </c>
      <c r="AO113" s="369">
        <v>1.81</v>
      </c>
      <c r="AP113" s="369">
        <v>1.8</v>
      </c>
      <c r="AQ113" s="369">
        <v>1.8</v>
      </c>
      <c r="AR113" s="369">
        <v>1.79</v>
      </c>
      <c r="AS113" s="369">
        <v>1.78</v>
      </c>
      <c r="AT113" s="369">
        <v>1.77</v>
      </c>
      <c r="AU113" s="369">
        <v>1.77</v>
      </c>
      <c r="AV113" s="369">
        <v>1.76</v>
      </c>
      <c r="AW113" s="369">
        <v>1.76</v>
      </c>
      <c r="AX113" s="369">
        <v>1.75</v>
      </c>
      <c r="AY113" s="369">
        <v>1.74</v>
      </c>
      <c r="AZ113" s="517"/>
    </row>
    <row r="114" spans="1:52">
      <c r="A114" s="794">
        <v>45230</v>
      </c>
      <c r="B114" s="369">
        <v>0.86</v>
      </c>
      <c r="C114" s="369">
        <v>0.91</v>
      </c>
      <c r="D114" s="369">
        <v>0.96</v>
      </c>
      <c r="E114" s="369">
        <v>1.03</v>
      </c>
      <c r="F114" s="369">
        <v>1.1100000000000001</v>
      </c>
      <c r="G114" s="369">
        <v>1.2</v>
      </c>
      <c r="H114" s="369">
        <v>1.28</v>
      </c>
      <c r="I114" s="369">
        <v>1.37</v>
      </c>
      <c r="J114" s="369">
        <v>1.46</v>
      </c>
      <c r="K114" s="369">
        <v>1.54</v>
      </c>
      <c r="L114" s="369">
        <v>1.62</v>
      </c>
      <c r="M114" s="369">
        <v>1.68</v>
      </c>
      <c r="N114" s="369">
        <v>1.73</v>
      </c>
      <c r="O114" s="369">
        <v>1.78</v>
      </c>
      <c r="P114" s="369">
        <v>1.82</v>
      </c>
      <c r="Q114" s="369">
        <v>1.84</v>
      </c>
      <c r="R114" s="369">
        <v>1.86</v>
      </c>
      <c r="S114" s="369">
        <v>1.88</v>
      </c>
      <c r="T114" s="369">
        <v>1.9</v>
      </c>
      <c r="U114" s="369">
        <v>1.91</v>
      </c>
      <c r="V114" s="369">
        <v>1.91</v>
      </c>
      <c r="W114" s="369">
        <v>1.91</v>
      </c>
      <c r="X114" s="369">
        <v>1.91</v>
      </c>
      <c r="Y114" s="369">
        <v>1.91</v>
      </c>
      <c r="Z114" s="369">
        <v>1.91</v>
      </c>
      <c r="AA114" s="369">
        <v>1.9</v>
      </c>
      <c r="AB114" s="369">
        <v>1.9</v>
      </c>
      <c r="AC114" s="369">
        <v>1.89</v>
      </c>
      <c r="AD114" s="369">
        <v>1.88</v>
      </c>
      <c r="AE114" s="369">
        <v>1.88</v>
      </c>
      <c r="AF114" s="369">
        <v>1.87</v>
      </c>
      <c r="AG114" s="369">
        <v>1.86</v>
      </c>
      <c r="AH114" s="369">
        <v>1.85</v>
      </c>
      <c r="AI114" s="369">
        <v>1.85</v>
      </c>
      <c r="AJ114" s="369">
        <v>1.84</v>
      </c>
      <c r="AK114" s="369">
        <v>1.83</v>
      </c>
      <c r="AL114" s="369">
        <v>1.83</v>
      </c>
      <c r="AM114" s="369">
        <v>1.82</v>
      </c>
      <c r="AN114" s="369">
        <v>1.82</v>
      </c>
      <c r="AO114" s="369">
        <v>1.81</v>
      </c>
      <c r="AP114" s="369">
        <v>1.8</v>
      </c>
      <c r="AQ114" s="369">
        <v>1.8</v>
      </c>
      <c r="AR114" s="369">
        <v>1.79</v>
      </c>
      <c r="AS114" s="369">
        <v>1.78</v>
      </c>
      <c r="AT114" s="369">
        <v>1.77</v>
      </c>
      <c r="AU114" s="369">
        <v>1.77</v>
      </c>
      <c r="AV114" s="369">
        <v>1.76</v>
      </c>
      <c r="AW114" s="369">
        <v>1.75</v>
      </c>
      <c r="AX114" s="369">
        <v>1.75</v>
      </c>
      <c r="AY114" s="369">
        <v>1.74</v>
      </c>
      <c r="AZ114" s="517"/>
    </row>
    <row r="115" spans="1:52">
      <c r="A115" s="794">
        <v>45260</v>
      </c>
      <c r="B115" s="369">
        <v>0.89</v>
      </c>
      <c r="C115" s="369">
        <v>0.93</v>
      </c>
      <c r="D115" s="369">
        <v>0.98</v>
      </c>
      <c r="E115" s="369">
        <v>1.05</v>
      </c>
      <c r="F115" s="369">
        <v>1.1200000000000001</v>
      </c>
      <c r="G115" s="369">
        <v>1.21</v>
      </c>
      <c r="H115" s="369">
        <v>1.29</v>
      </c>
      <c r="I115" s="369">
        <v>1.38</v>
      </c>
      <c r="J115" s="369">
        <v>1.46</v>
      </c>
      <c r="K115" s="369">
        <v>1.55</v>
      </c>
      <c r="L115" s="369">
        <v>1.62</v>
      </c>
      <c r="M115" s="369">
        <v>1.68</v>
      </c>
      <c r="N115" s="369">
        <v>1.74</v>
      </c>
      <c r="O115" s="369">
        <v>1.78</v>
      </c>
      <c r="P115" s="369">
        <v>1.82</v>
      </c>
      <c r="Q115" s="369">
        <v>1.85</v>
      </c>
      <c r="R115" s="369">
        <v>1.87</v>
      </c>
      <c r="S115" s="369">
        <v>1.88</v>
      </c>
      <c r="T115" s="369">
        <v>1.9</v>
      </c>
      <c r="U115" s="369">
        <v>1.91</v>
      </c>
      <c r="V115" s="369">
        <v>1.91</v>
      </c>
      <c r="W115" s="369">
        <v>1.91</v>
      </c>
      <c r="X115" s="369">
        <v>1.91</v>
      </c>
      <c r="Y115" s="369">
        <v>1.91</v>
      </c>
      <c r="Z115" s="369">
        <v>1.91</v>
      </c>
      <c r="AA115" s="369">
        <v>1.9</v>
      </c>
      <c r="AB115" s="369">
        <v>1.9</v>
      </c>
      <c r="AC115" s="369">
        <v>1.89</v>
      </c>
      <c r="AD115" s="369">
        <v>1.88</v>
      </c>
      <c r="AE115" s="369">
        <v>1.88</v>
      </c>
      <c r="AF115" s="369">
        <v>1.87</v>
      </c>
      <c r="AG115" s="369">
        <v>1.86</v>
      </c>
      <c r="AH115" s="369">
        <v>1.85</v>
      </c>
      <c r="AI115" s="369">
        <v>1.85</v>
      </c>
      <c r="AJ115" s="369">
        <v>1.84</v>
      </c>
      <c r="AK115" s="369">
        <v>1.83</v>
      </c>
      <c r="AL115" s="369">
        <v>1.83</v>
      </c>
      <c r="AM115" s="369">
        <v>1.82</v>
      </c>
      <c r="AN115" s="369">
        <v>1.82</v>
      </c>
      <c r="AO115" s="369">
        <v>1.81</v>
      </c>
      <c r="AP115" s="369">
        <v>1.8</v>
      </c>
      <c r="AQ115" s="369">
        <v>1.79</v>
      </c>
      <c r="AR115" s="369">
        <v>1.78</v>
      </c>
      <c r="AS115" s="369">
        <v>1.78</v>
      </c>
      <c r="AT115" s="369">
        <v>1.77</v>
      </c>
      <c r="AU115" s="369">
        <v>1.76</v>
      </c>
      <c r="AV115" s="369">
        <v>1.76</v>
      </c>
      <c r="AW115" s="369">
        <v>1.75</v>
      </c>
      <c r="AX115" s="369">
        <v>1.74</v>
      </c>
      <c r="AY115" s="369">
        <v>1.74</v>
      </c>
      <c r="AZ115" s="517"/>
    </row>
    <row r="116" spans="1:52">
      <c r="A116" s="115">
        <v>45291</v>
      </c>
      <c r="B116" s="130">
        <v>0.91</v>
      </c>
      <c r="C116" s="130">
        <v>0.95</v>
      </c>
      <c r="D116" s="130">
        <v>0.99</v>
      </c>
      <c r="E116" s="130">
        <v>1.06</v>
      </c>
      <c r="F116" s="130">
        <v>1.1299999999999999</v>
      </c>
      <c r="G116" s="130">
        <v>1.22</v>
      </c>
      <c r="H116" s="130">
        <v>1.3</v>
      </c>
      <c r="I116" s="130">
        <v>1.39</v>
      </c>
      <c r="J116" s="130">
        <v>1.47</v>
      </c>
      <c r="K116" s="130">
        <v>1.55</v>
      </c>
      <c r="L116" s="130">
        <v>1.62</v>
      </c>
      <c r="M116" s="130">
        <v>1.68</v>
      </c>
      <c r="N116" s="130">
        <v>1.74</v>
      </c>
      <c r="O116" s="130">
        <v>1.78</v>
      </c>
      <c r="P116" s="458">
        <v>1.82</v>
      </c>
      <c r="Q116" s="130">
        <v>1.84</v>
      </c>
      <c r="R116" s="130">
        <v>1.86</v>
      </c>
      <c r="S116" s="130">
        <v>1.88</v>
      </c>
      <c r="T116" s="130">
        <v>1.9</v>
      </c>
      <c r="U116" s="130">
        <v>1.91</v>
      </c>
      <c r="V116" s="130">
        <v>1.91</v>
      </c>
      <c r="W116" s="130">
        <v>1.91</v>
      </c>
      <c r="X116" s="130">
        <v>1.91</v>
      </c>
      <c r="Y116" s="130">
        <v>1.91</v>
      </c>
      <c r="Z116" s="130">
        <v>1.91</v>
      </c>
      <c r="AA116" s="130">
        <v>1.9</v>
      </c>
      <c r="AB116" s="130">
        <v>1.89</v>
      </c>
      <c r="AC116" s="130">
        <v>1.88</v>
      </c>
      <c r="AD116" s="130">
        <v>1.88</v>
      </c>
      <c r="AE116" s="130">
        <v>1.87</v>
      </c>
      <c r="AF116" s="130">
        <v>1.86</v>
      </c>
      <c r="AG116" s="130">
        <v>1.85</v>
      </c>
      <c r="AH116" s="130">
        <v>1.85</v>
      </c>
      <c r="AI116" s="130">
        <v>1.84</v>
      </c>
      <c r="AJ116" s="130">
        <v>1.83</v>
      </c>
      <c r="AK116" s="130">
        <v>1.83</v>
      </c>
      <c r="AL116" s="130">
        <v>1.82</v>
      </c>
      <c r="AM116" s="130">
        <v>1.81</v>
      </c>
      <c r="AN116" s="130">
        <v>1.81</v>
      </c>
      <c r="AO116" s="130">
        <v>1.8</v>
      </c>
      <c r="AP116" s="130">
        <v>1.79</v>
      </c>
      <c r="AQ116" s="130">
        <v>1.79</v>
      </c>
      <c r="AR116" s="130">
        <v>1.78</v>
      </c>
      <c r="AS116" s="130">
        <v>1.77</v>
      </c>
      <c r="AT116" s="130">
        <v>1.76</v>
      </c>
      <c r="AU116" s="130">
        <v>1.75</v>
      </c>
      <c r="AV116" s="130">
        <v>1.75</v>
      </c>
      <c r="AW116" s="130">
        <v>1.74</v>
      </c>
      <c r="AX116" s="130">
        <v>1.73</v>
      </c>
      <c r="AY116" s="130">
        <v>1.73</v>
      </c>
    </row>
    <row r="117" spans="1:52">
      <c r="A117" s="794">
        <v>45322</v>
      </c>
      <c r="B117" s="369">
        <v>0.94</v>
      </c>
      <c r="C117" s="369">
        <v>0.97</v>
      </c>
      <c r="D117" s="369">
        <v>1.01</v>
      </c>
      <c r="E117" s="369">
        <v>1.07</v>
      </c>
      <c r="F117" s="369">
        <v>1.1399999999999999</v>
      </c>
      <c r="G117" s="369">
        <v>1.23</v>
      </c>
      <c r="H117" s="369">
        <v>1.31</v>
      </c>
      <c r="I117" s="369">
        <v>1.39</v>
      </c>
      <c r="J117" s="369">
        <v>1.47</v>
      </c>
      <c r="K117" s="369">
        <v>1.55</v>
      </c>
      <c r="L117" s="369">
        <v>1.62</v>
      </c>
      <c r="M117" s="369">
        <v>1.68</v>
      </c>
      <c r="N117" s="369">
        <v>1.74</v>
      </c>
      <c r="O117" s="369">
        <v>1.78</v>
      </c>
      <c r="P117" s="369">
        <v>1.82</v>
      </c>
      <c r="Q117" s="369">
        <v>1.84</v>
      </c>
      <c r="R117" s="369">
        <v>1.86</v>
      </c>
      <c r="S117" s="369">
        <v>1.88</v>
      </c>
      <c r="T117" s="369">
        <v>1.89</v>
      </c>
      <c r="U117" s="369">
        <v>1.91</v>
      </c>
      <c r="V117" s="369">
        <v>1.91</v>
      </c>
      <c r="W117" s="369">
        <v>1.91</v>
      </c>
      <c r="X117" s="369">
        <v>1.9</v>
      </c>
      <c r="Y117" s="369">
        <v>1.9</v>
      </c>
      <c r="Z117" s="369">
        <v>1.9</v>
      </c>
      <c r="AA117" s="369">
        <v>1.89</v>
      </c>
      <c r="AB117" s="369">
        <v>1.89</v>
      </c>
      <c r="AC117" s="369">
        <v>1.88</v>
      </c>
      <c r="AD117" s="369">
        <v>1.87</v>
      </c>
      <c r="AE117" s="369">
        <v>1.87</v>
      </c>
      <c r="AF117" s="369">
        <v>1.86</v>
      </c>
      <c r="AG117" s="369">
        <v>1.85</v>
      </c>
      <c r="AH117" s="369">
        <v>1.84</v>
      </c>
      <c r="AI117" s="369">
        <v>1.84</v>
      </c>
      <c r="AJ117" s="369">
        <v>1.83</v>
      </c>
      <c r="AK117" s="369">
        <v>1.82</v>
      </c>
      <c r="AL117" s="369">
        <v>1.82</v>
      </c>
      <c r="AM117" s="369">
        <v>1.81</v>
      </c>
      <c r="AN117" s="369">
        <v>1.8</v>
      </c>
      <c r="AO117" s="369">
        <v>1.8</v>
      </c>
      <c r="AP117" s="369">
        <v>1.79</v>
      </c>
      <c r="AQ117" s="369">
        <v>1.78</v>
      </c>
      <c r="AR117" s="369">
        <v>1.77</v>
      </c>
      <c r="AS117" s="369">
        <v>1.76</v>
      </c>
      <c r="AT117" s="369">
        <v>1.76</v>
      </c>
      <c r="AU117" s="369">
        <v>1.75</v>
      </c>
      <c r="AV117" s="369">
        <v>1.74</v>
      </c>
      <c r="AW117" s="369">
        <v>1.73</v>
      </c>
      <c r="AX117" s="369">
        <v>1.73</v>
      </c>
      <c r="AY117" s="369">
        <v>1.72</v>
      </c>
    </row>
    <row r="118" spans="1:52">
      <c r="A118" s="794">
        <v>45351</v>
      </c>
      <c r="B118" s="369">
        <v>0.96</v>
      </c>
      <c r="C118" s="369">
        <v>0.99</v>
      </c>
      <c r="D118" s="369">
        <v>1.03</v>
      </c>
      <c r="E118" s="369">
        <v>1.0900000000000001</v>
      </c>
      <c r="F118" s="369">
        <v>1.1599999999999999</v>
      </c>
      <c r="G118" s="369">
        <v>1.24</v>
      </c>
      <c r="H118" s="369">
        <v>1.32</v>
      </c>
      <c r="I118" s="369">
        <v>1.4</v>
      </c>
      <c r="J118" s="369">
        <v>1.48</v>
      </c>
      <c r="K118" s="369">
        <v>1.56</v>
      </c>
      <c r="L118" s="369">
        <v>1.63</v>
      </c>
      <c r="M118" s="369">
        <v>1.69</v>
      </c>
      <c r="N118" s="369">
        <v>1.74</v>
      </c>
      <c r="O118" s="369">
        <v>1.79</v>
      </c>
      <c r="P118" s="369">
        <v>1.82</v>
      </c>
      <c r="Q118" s="369">
        <v>1.85</v>
      </c>
      <c r="R118" s="369">
        <v>1.86</v>
      </c>
      <c r="S118" s="369">
        <v>1.88</v>
      </c>
      <c r="T118" s="369">
        <v>1.89</v>
      </c>
      <c r="U118" s="369">
        <v>1.91</v>
      </c>
      <c r="V118" s="369">
        <v>1.91</v>
      </c>
      <c r="W118" s="369">
        <v>1.91</v>
      </c>
      <c r="X118" s="369">
        <v>1.9</v>
      </c>
      <c r="Y118" s="369">
        <v>1.9</v>
      </c>
      <c r="Z118" s="369">
        <v>1.9</v>
      </c>
      <c r="AA118" s="369">
        <v>1.89</v>
      </c>
      <c r="AB118" s="369">
        <v>1.89</v>
      </c>
      <c r="AC118" s="369">
        <v>1.88</v>
      </c>
      <c r="AD118" s="369">
        <v>1.87</v>
      </c>
      <c r="AE118" s="369">
        <v>1.86</v>
      </c>
      <c r="AF118" s="369">
        <v>1.86</v>
      </c>
      <c r="AG118" s="369">
        <v>1.85</v>
      </c>
      <c r="AH118" s="369">
        <v>1.84</v>
      </c>
      <c r="AI118" s="369">
        <v>1.83</v>
      </c>
      <c r="AJ118" s="369">
        <v>1.82</v>
      </c>
      <c r="AK118" s="369">
        <v>1.82</v>
      </c>
      <c r="AL118" s="369">
        <v>1.81</v>
      </c>
      <c r="AM118" s="369">
        <v>1.81</v>
      </c>
      <c r="AN118" s="369">
        <v>1.8</v>
      </c>
      <c r="AO118" s="369">
        <v>1.79</v>
      </c>
      <c r="AP118" s="369">
        <v>1.78</v>
      </c>
      <c r="AQ118" s="369">
        <v>1.78</v>
      </c>
      <c r="AR118" s="369">
        <v>1.77</v>
      </c>
      <c r="AS118" s="369">
        <v>1.76</v>
      </c>
      <c r="AT118" s="369">
        <v>1.75</v>
      </c>
      <c r="AU118" s="369">
        <v>1.74</v>
      </c>
      <c r="AV118" s="369">
        <v>1.74</v>
      </c>
      <c r="AW118" s="369">
        <v>1.73</v>
      </c>
      <c r="AX118" s="369">
        <v>1.72</v>
      </c>
      <c r="AY118" s="369">
        <v>1.72</v>
      </c>
    </row>
    <row r="119" spans="1:52">
      <c r="A119" s="794">
        <v>45382</v>
      </c>
      <c r="B119" s="369">
        <v>0.99</v>
      </c>
      <c r="C119" s="369">
        <v>1.01</v>
      </c>
      <c r="D119" s="369">
        <v>1.05</v>
      </c>
      <c r="E119" s="369">
        <v>1.1000000000000001</v>
      </c>
      <c r="F119" s="369">
        <v>1.17</v>
      </c>
      <c r="G119" s="369">
        <v>1.25</v>
      </c>
      <c r="H119" s="369">
        <v>1.33</v>
      </c>
      <c r="I119" s="369">
        <v>1.41</v>
      </c>
      <c r="J119" s="369">
        <v>1.49</v>
      </c>
      <c r="K119" s="369">
        <v>1.56</v>
      </c>
      <c r="L119" s="369">
        <v>1.63</v>
      </c>
      <c r="M119" s="369">
        <v>1.69</v>
      </c>
      <c r="N119" s="369">
        <v>1.74</v>
      </c>
      <c r="O119" s="369">
        <v>1.79</v>
      </c>
      <c r="P119" s="369">
        <v>1.83</v>
      </c>
      <c r="Q119" s="369">
        <v>1.85</v>
      </c>
      <c r="R119" s="369">
        <v>1.86</v>
      </c>
      <c r="S119" s="369">
        <v>1.88</v>
      </c>
      <c r="T119" s="369">
        <v>1.89</v>
      </c>
      <c r="U119" s="369">
        <v>1.91</v>
      </c>
      <c r="V119" s="369">
        <v>1.9</v>
      </c>
      <c r="W119" s="369">
        <v>1.9</v>
      </c>
      <c r="X119" s="369">
        <v>1.9</v>
      </c>
      <c r="Y119" s="369">
        <v>1.9</v>
      </c>
      <c r="Z119" s="369">
        <v>1.9</v>
      </c>
      <c r="AA119" s="369">
        <v>1.89</v>
      </c>
      <c r="AB119" s="369">
        <v>1.88</v>
      </c>
      <c r="AC119" s="369">
        <v>1.87</v>
      </c>
      <c r="AD119" s="369">
        <v>1.87</v>
      </c>
      <c r="AE119" s="369">
        <v>1.86</v>
      </c>
      <c r="AF119" s="369">
        <v>1.85</v>
      </c>
      <c r="AG119" s="369">
        <v>1.84</v>
      </c>
      <c r="AH119" s="369">
        <v>1.83</v>
      </c>
      <c r="AI119" s="369">
        <v>1.83</v>
      </c>
      <c r="AJ119" s="369">
        <v>1.82</v>
      </c>
      <c r="AK119" s="369">
        <v>1.81</v>
      </c>
      <c r="AL119" s="369">
        <v>1.81</v>
      </c>
      <c r="AM119" s="369">
        <v>1.8</v>
      </c>
      <c r="AN119" s="369">
        <v>1.79</v>
      </c>
      <c r="AO119" s="369">
        <v>1.79</v>
      </c>
      <c r="AP119" s="369">
        <v>1.78</v>
      </c>
      <c r="AQ119" s="369">
        <v>1.77</v>
      </c>
      <c r="AR119" s="369">
        <v>1.76</v>
      </c>
      <c r="AS119" s="369">
        <v>1.75</v>
      </c>
      <c r="AT119" s="369">
        <v>1.74</v>
      </c>
      <c r="AU119" s="369">
        <v>1.74</v>
      </c>
      <c r="AV119" s="369">
        <v>1.73</v>
      </c>
      <c r="AW119" s="369">
        <v>1.72</v>
      </c>
      <c r="AX119" s="369">
        <v>1.71</v>
      </c>
      <c r="AY119" s="369">
        <v>1.71</v>
      </c>
    </row>
    <row r="120" spans="1:52">
      <c r="A120" s="794">
        <v>45412</v>
      </c>
      <c r="B120" s="369">
        <v>1.02</v>
      </c>
      <c r="C120" s="369">
        <v>1.04</v>
      </c>
      <c r="D120" s="369">
        <v>1.07</v>
      </c>
      <c r="E120" s="369">
        <v>1.1200000000000001</v>
      </c>
      <c r="F120" s="369">
        <v>1.19</v>
      </c>
      <c r="G120" s="369">
        <v>1.26</v>
      </c>
      <c r="H120" s="369">
        <v>1.34</v>
      </c>
      <c r="I120" s="369">
        <v>1.42</v>
      </c>
      <c r="J120" s="369">
        <v>1.49</v>
      </c>
      <c r="K120" s="369">
        <v>1.57</v>
      </c>
      <c r="L120" s="369">
        <v>1.64</v>
      </c>
      <c r="M120" s="369">
        <v>1.7</v>
      </c>
      <c r="N120" s="369">
        <v>1.75</v>
      </c>
      <c r="O120" s="369">
        <v>1.79</v>
      </c>
      <c r="P120" s="369">
        <v>1.83</v>
      </c>
      <c r="Q120" s="369">
        <v>1.85</v>
      </c>
      <c r="R120" s="369">
        <v>1.87</v>
      </c>
      <c r="S120" s="369">
        <v>1.88</v>
      </c>
      <c r="T120" s="369">
        <v>1.9</v>
      </c>
      <c r="U120" s="369">
        <v>1.91</v>
      </c>
      <c r="V120" s="369">
        <v>1.91</v>
      </c>
      <c r="W120" s="369">
        <v>1.9</v>
      </c>
      <c r="X120" s="369">
        <v>1.9</v>
      </c>
      <c r="Y120" s="369">
        <v>1.9</v>
      </c>
      <c r="Z120" s="369">
        <v>1.9</v>
      </c>
      <c r="AA120" s="369">
        <v>1.89</v>
      </c>
      <c r="AB120" s="369">
        <v>1.88</v>
      </c>
      <c r="AC120" s="369">
        <v>1.87</v>
      </c>
      <c r="AD120" s="369">
        <v>1.87</v>
      </c>
      <c r="AE120" s="369">
        <v>1.86</v>
      </c>
      <c r="AF120" s="369">
        <v>1.85</v>
      </c>
      <c r="AG120" s="369">
        <v>1.84</v>
      </c>
      <c r="AH120" s="369">
        <v>1.83</v>
      </c>
      <c r="AI120" s="369">
        <v>1.82</v>
      </c>
      <c r="AJ120" s="369">
        <v>1.82</v>
      </c>
      <c r="AK120" s="369">
        <v>1.81</v>
      </c>
      <c r="AL120" s="369">
        <v>1.8</v>
      </c>
      <c r="AM120" s="369">
        <v>1.8</v>
      </c>
      <c r="AN120" s="369">
        <v>1.79</v>
      </c>
      <c r="AO120" s="369">
        <v>1.79</v>
      </c>
      <c r="AP120" s="369">
        <v>1.78</v>
      </c>
      <c r="AQ120" s="369">
        <v>1.77</v>
      </c>
      <c r="AR120" s="369">
        <v>1.76</v>
      </c>
      <c r="AS120" s="369">
        <v>1.75</v>
      </c>
      <c r="AT120" s="369">
        <v>1.74</v>
      </c>
      <c r="AU120" s="369">
        <v>1.73</v>
      </c>
      <c r="AV120" s="369">
        <v>1.72</v>
      </c>
      <c r="AW120" s="369">
        <v>1.72</v>
      </c>
      <c r="AX120" s="369">
        <v>1.71</v>
      </c>
      <c r="AY120" s="369">
        <v>1.7</v>
      </c>
    </row>
    <row r="121" spans="1:52">
      <c r="A121" s="115"/>
      <c r="B121" s="130"/>
      <c r="C121" s="130"/>
      <c r="D121" s="130"/>
      <c r="E121" s="130"/>
      <c r="F121" s="130"/>
      <c r="G121" s="130"/>
      <c r="H121" s="130"/>
      <c r="I121" s="130"/>
      <c r="J121" s="130"/>
      <c r="K121" s="130"/>
      <c r="L121" s="130"/>
      <c r="M121" s="130"/>
      <c r="N121" s="130"/>
      <c r="O121" s="130"/>
      <c r="P121" s="458"/>
      <c r="Q121" s="130"/>
      <c r="R121" s="130"/>
      <c r="S121" s="130"/>
      <c r="T121" s="130"/>
      <c r="U121" s="130"/>
      <c r="V121" s="130"/>
      <c r="W121" s="130"/>
      <c r="X121" s="130"/>
      <c r="Y121" s="130"/>
      <c r="Z121" s="130"/>
      <c r="AA121" s="130"/>
      <c r="AB121" s="130"/>
      <c r="AC121" s="130"/>
      <c r="AD121" s="130"/>
      <c r="AE121" s="130"/>
      <c r="AF121" s="130"/>
      <c r="AG121" s="130"/>
      <c r="AH121" s="130"/>
      <c r="AI121" s="130"/>
      <c r="AJ121" s="130"/>
      <c r="AK121" s="130"/>
      <c r="AL121" s="130"/>
      <c r="AM121" s="130"/>
      <c r="AN121" s="130"/>
      <c r="AO121" s="130"/>
      <c r="AP121" s="130"/>
      <c r="AQ121" s="130"/>
      <c r="AR121" s="130"/>
      <c r="AS121" s="130"/>
      <c r="AT121" s="130"/>
      <c r="AU121" s="130"/>
      <c r="AV121" s="130"/>
      <c r="AW121" s="130"/>
      <c r="AX121" s="130"/>
      <c r="AY121" s="130"/>
    </row>
    <row r="122" spans="1:52">
      <c r="A122" s="115"/>
      <c r="B122" s="130"/>
      <c r="C122" s="130"/>
      <c r="D122" s="130"/>
      <c r="E122" s="130"/>
      <c r="F122" s="130"/>
      <c r="G122" s="130"/>
      <c r="H122" s="130"/>
      <c r="I122" s="130"/>
      <c r="J122" s="130"/>
      <c r="K122" s="130"/>
      <c r="L122" s="130"/>
      <c r="M122" s="130"/>
      <c r="N122" s="130"/>
      <c r="O122" s="130"/>
      <c r="P122" s="458"/>
      <c r="Q122" s="130"/>
      <c r="R122" s="130"/>
      <c r="S122" s="130"/>
      <c r="T122" s="130"/>
      <c r="U122" s="130"/>
      <c r="V122" s="130"/>
      <c r="W122" s="130"/>
      <c r="X122" s="130"/>
      <c r="Y122" s="130"/>
      <c r="Z122" s="130"/>
      <c r="AA122" s="130"/>
      <c r="AB122" s="130"/>
      <c r="AC122" s="130"/>
      <c r="AD122" s="130"/>
      <c r="AE122" s="130"/>
      <c r="AF122" s="130"/>
      <c r="AG122" s="130"/>
      <c r="AH122" s="130"/>
      <c r="AI122" s="130"/>
      <c r="AJ122" s="130"/>
      <c r="AK122" s="130"/>
      <c r="AL122" s="130"/>
      <c r="AM122" s="130"/>
      <c r="AN122" s="130"/>
      <c r="AO122" s="130"/>
      <c r="AP122" s="130"/>
      <c r="AQ122" s="130"/>
      <c r="AR122" s="130"/>
      <c r="AS122" s="130"/>
      <c r="AT122" s="130"/>
      <c r="AU122" s="130"/>
      <c r="AV122" s="130"/>
      <c r="AW122" s="130"/>
      <c r="AX122" s="130"/>
      <c r="AY122" s="130"/>
    </row>
    <row r="123" spans="1:52">
      <c r="A123" s="115"/>
      <c r="B123" s="130"/>
      <c r="C123" s="130"/>
      <c r="D123" s="130"/>
      <c r="E123" s="130"/>
      <c r="F123" s="130"/>
      <c r="G123" s="130"/>
      <c r="H123" s="130"/>
      <c r="I123" s="130"/>
      <c r="J123" s="130"/>
      <c r="K123" s="130"/>
      <c r="L123" s="130"/>
      <c r="M123" s="130"/>
      <c r="N123" s="130"/>
      <c r="O123" s="130"/>
      <c r="P123" s="458"/>
      <c r="Q123" s="130"/>
      <c r="R123" s="130"/>
      <c r="S123" s="130"/>
      <c r="T123" s="130"/>
      <c r="U123" s="130"/>
      <c r="V123" s="130"/>
      <c r="W123" s="130"/>
      <c r="X123" s="130"/>
      <c r="Y123" s="130"/>
      <c r="Z123" s="130"/>
      <c r="AA123" s="130"/>
      <c r="AB123" s="130"/>
      <c r="AC123" s="130"/>
      <c r="AD123" s="130"/>
      <c r="AE123" s="130"/>
      <c r="AF123" s="130"/>
      <c r="AG123" s="130"/>
      <c r="AH123" s="130"/>
      <c r="AI123" s="130"/>
      <c r="AJ123" s="130"/>
      <c r="AK123" s="130"/>
      <c r="AL123" s="130"/>
      <c r="AM123" s="130"/>
      <c r="AN123" s="130"/>
      <c r="AO123" s="130"/>
      <c r="AP123" s="130"/>
      <c r="AQ123" s="130"/>
      <c r="AR123" s="130"/>
      <c r="AS123" s="130"/>
      <c r="AT123" s="130"/>
      <c r="AU123" s="130"/>
      <c r="AV123" s="130"/>
      <c r="AW123" s="130"/>
      <c r="AX123" s="130"/>
      <c r="AY123" s="130"/>
    </row>
    <row r="124" spans="1:52">
      <c r="A124" s="115"/>
      <c r="B124" s="130"/>
      <c r="C124" s="130"/>
      <c r="D124" s="130"/>
      <c r="E124" s="130"/>
      <c r="F124" s="130"/>
      <c r="G124" s="130"/>
      <c r="H124" s="130"/>
      <c r="I124" s="130"/>
      <c r="J124" s="130"/>
      <c r="K124" s="130"/>
      <c r="L124" s="130"/>
      <c r="M124" s="130"/>
      <c r="N124" s="130"/>
      <c r="O124" s="130"/>
      <c r="P124" s="458"/>
      <c r="Q124" s="130"/>
      <c r="R124" s="130"/>
      <c r="S124" s="130"/>
      <c r="T124" s="130"/>
      <c r="U124" s="130"/>
      <c r="V124" s="130"/>
      <c r="W124" s="130"/>
      <c r="X124" s="130"/>
      <c r="Y124" s="130"/>
      <c r="Z124" s="130"/>
      <c r="AA124" s="130"/>
      <c r="AB124" s="130"/>
      <c r="AC124" s="130"/>
      <c r="AD124" s="130"/>
      <c r="AE124" s="130"/>
      <c r="AF124" s="130"/>
      <c r="AG124" s="130"/>
      <c r="AH124" s="130"/>
      <c r="AI124" s="130"/>
      <c r="AJ124" s="130"/>
      <c r="AK124" s="130"/>
      <c r="AL124" s="130"/>
      <c r="AM124" s="130"/>
      <c r="AN124" s="130"/>
      <c r="AO124" s="130"/>
      <c r="AP124" s="130"/>
      <c r="AQ124" s="130"/>
      <c r="AR124" s="130"/>
      <c r="AS124" s="130"/>
      <c r="AT124" s="130"/>
      <c r="AU124" s="130"/>
      <c r="AV124" s="130"/>
      <c r="AW124" s="130"/>
      <c r="AX124" s="130"/>
      <c r="AY124" s="130"/>
    </row>
    <row r="125" spans="1:52">
      <c r="A125" s="115"/>
      <c r="B125" s="130"/>
      <c r="C125" s="130"/>
      <c r="D125" s="130"/>
      <c r="E125" s="130"/>
      <c r="F125" s="130"/>
      <c r="G125" s="130"/>
      <c r="H125" s="130"/>
      <c r="I125" s="130"/>
      <c r="J125" s="130"/>
      <c r="K125" s="130"/>
      <c r="L125" s="130"/>
      <c r="M125" s="130"/>
      <c r="N125" s="130"/>
      <c r="O125" s="130"/>
      <c r="P125" s="458"/>
      <c r="Q125" s="130"/>
      <c r="R125" s="130"/>
      <c r="S125" s="130"/>
      <c r="T125" s="130"/>
      <c r="U125" s="130"/>
      <c r="V125" s="130"/>
      <c r="W125" s="130"/>
      <c r="X125" s="130"/>
      <c r="Y125" s="130"/>
      <c r="Z125" s="130"/>
      <c r="AA125" s="130"/>
      <c r="AB125" s="130"/>
      <c r="AC125" s="130"/>
      <c r="AD125" s="130"/>
      <c r="AE125" s="130"/>
      <c r="AF125" s="130"/>
      <c r="AG125" s="130"/>
      <c r="AH125" s="130"/>
      <c r="AI125" s="130"/>
      <c r="AJ125" s="130"/>
      <c r="AK125" s="130"/>
      <c r="AL125" s="130"/>
      <c r="AM125" s="130"/>
      <c r="AN125" s="130"/>
      <c r="AO125" s="130"/>
      <c r="AP125" s="130"/>
      <c r="AQ125" s="130"/>
      <c r="AR125" s="130"/>
      <c r="AS125" s="130"/>
      <c r="AT125" s="130"/>
      <c r="AU125" s="130"/>
      <c r="AV125" s="130"/>
      <c r="AW125" s="130"/>
      <c r="AX125" s="130"/>
      <c r="AY125" s="130"/>
    </row>
    <row r="126" spans="1:52">
      <c r="A126" s="115"/>
      <c r="B126" s="130"/>
      <c r="C126" s="130"/>
      <c r="D126" s="130"/>
      <c r="E126" s="130"/>
      <c r="F126" s="130"/>
      <c r="G126" s="130"/>
      <c r="H126" s="130"/>
      <c r="I126" s="130"/>
      <c r="J126" s="130"/>
      <c r="K126" s="130"/>
      <c r="L126" s="130"/>
      <c r="M126" s="130"/>
      <c r="N126" s="130"/>
      <c r="O126" s="130"/>
      <c r="P126" s="458"/>
      <c r="Q126" s="130"/>
      <c r="R126" s="130"/>
      <c r="S126" s="130"/>
      <c r="T126" s="130"/>
      <c r="U126" s="130"/>
      <c r="V126" s="130"/>
      <c r="W126" s="130"/>
      <c r="X126" s="130"/>
      <c r="Y126" s="130"/>
      <c r="Z126" s="130"/>
      <c r="AA126" s="130"/>
      <c r="AB126" s="130"/>
      <c r="AC126" s="130"/>
      <c r="AD126" s="130"/>
      <c r="AE126" s="130"/>
      <c r="AF126" s="130"/>
      <c r="AG126" s="130"/>
      <c r="AH126" s="130"/>
      <c r="AI126" s="130"/>
      <c r="AJ126" s="130"/>
      <c r="AK126" s="130"/>
      <c r="AL126" s="130"/>
      <c r="AM126" s="130"/>
      <c r="AN126" s="130"/>
      <c r="AO126" s="130"/>
      <c r="AP126" s="130"/>
      <c r="AQ126" s="130"/>
      <c r="AR126" s="130"/>
      <c r="AS126" s="130"/>
      <c r="AT126" s="130"/>
      <c r="AU126" s="130"/>
      <c r="AV126" s="130"/>
      <c r="AW126" s="130"/>
      <c r="AX126" s="130"/>
      <c r="AY126" s="130"/>
    </row>
    <row r="127" spans="1:52">
      <c r="A127" s="115"/>
      <c r="B127" s="130"/>
      <c r="C127" s="130"/>
      <c r="D127" s="130"/>
      <c r="E127" s="130"/>
      <c r="F127" s="130"/>
      <c r="G127" s="130"/>
      <c r="H127" s="130"/>
      <c r="I127" s="130"/>
      <c r="J127" s="130"/>
      <c r="K127" s="130"/>
      <c r="L127" s="130"/>
      <c r="M127" s="130"/>
      <c r="N127" s="130"/>
      <c r="O127" s="130"/>
      <c r="P127" s="458"/>
      <c r="Q127" s="130"/>
      <c r="R127" s="130"/>
      <c r="S127" s="130"/>
      <c r="T127" s="130"/>
      <c r="U127" s="130"/>
      <c r="V127" s="130"/>
      <c r="W127" s="130"/>
      <c r="X127" s="130"/>
      <c r="Y127" s="130"/>
      <c r="Z127" s="130"/>
      <c r="AA127" s="130"/>
      <c r="AB127" s="130"/>
      <c r="AC127" s="130"/>
      <c r="AD127" s="130"/>
      <c r="AE127" s="130"/>
      <c r="AF127" s="130"/>
      <c r="AG127" s="130"/>
      <c r="AH127" s="130"/>
      <c r="AI127" s="130"/>
      <c r="AJ127" s="130"/>
      <c r="AK127" s="130"/>
      <c r="AL127" s="130"/>
      <c r="AM127" s="130"/>
      <c r="AN127" s="130"/>
      <c r="AO127" s="130"/>
      <c r="AP127" s="130"/>
      <c r="AQ127" s="130"/>
      <c r="AR127" s="130"/>
      <c r="AS127" s="130"/>
      <c r="AT127" s="130"/>
      <c r="AU127" s="130"/>
      <c r="AV127" s="130"/>
      <c r="AW127" s="130"/>
      <c r="AX127" s="130"/>
      <c r="AY127" s="130"/>
    </row>
    <row r="128" spans="1:52">
      <c r="A128" s="115"/>
      <c r="B128" s="130"/>
      <c r="C128" s="130"/>
      <c r="D128" s="130"/>
      <c r="E128" s="130"/>
      <c r="F128" s="130"/>
      <c r="G128" s="130"/>
      <c r="H128" s="130"/>
      <c r="I128" s="130"/>
      <c r="J128" s="130"/>
      <c r="K128" s="130"/>
      <c r="L128" s="130"/>
      <c r="M128" s="130"/>
      <c r="N128" s="130"/>
      <c r="O128" s="130"/>
      <c r="P128" s="458"/>
      <c r="Q128" s="130"/>
      <c r="R128" s="130"/>
      <c r="S128" s="130"/>
      <c r="T128" s="130"/>
      <c r="U128" s="130"/>
      <c r="V128" s="130"/>
      <c r="W128" s="130"/>
      <c r="X128" s="130"/>
      <c r="Y128" s="130"/>
      <c r="Z128" s="130"/>
      <c r="AA128" s="130"/>
      <c r="AB128" s="130"/>
      <c r="AC128" s="130"/>
      <c r="AD128" s="130"/>
      <c r="AE128" s="130"/>
      <c r="AF128" s="130"/>
      <c r="AG128" s="130"/>
      <c r="AH128" s="130"/>
      <c r="AI128" s="130"/>
      <c r="AJ128" s="130"/>
      <c r="AK128" s="130"/>
      <c r="AL128" s="130"/>
      <c r="AM128" s="130"/>
      <c r="AN128" s="130"/>
      <c r="AO128" s="130"/>
      <c r="AP128" s="130"/>
      <c r="AQ128" s="130"/>
      <c r="AR128" s="130"/>
      <c r="AS128" s="130"/>
      <c r="AT128" s="130"/>
      <c r="AU128" s="130"/>
      <c r="AV128" s="130"/>
      <c r="AW128" s="130"/>
      <c r="AX128" s="130"/>
      <c r="AY128" s="130"/>
    </row>
    <row r="129" spans="1:51">
      <c r="A129" s="115"/>
      <c r="B129" s="130"/>
      <c r="C129" s="130"/>
      <c r="D129" s="130"/>
      <c r="E129" s="130"/>
      <c r="F129" s="130"/>
      <c r="G129" s="130"/>
      <c r="H129" s="130"/>
      <c r="I129" s="130"/>
      <c r="J129" s="130"/>
      <c r="K129" s="130"/>
      <c r="L129" s="130"/>
      <c r="M129" s="130"/>
      <c r="N129" s="130"/>
      <c r="O129" s="130"/>
      <c r="P129" s="458"/>
      <c r="Q129" s="130"/>
      <c r="R129" s="130"/>
      <c r="S129" s="130"/>
      <c r="T129" s="130"/>
      <c r="U129" s="130"/>
      <c r="V129" s="130"/>
      <c r="W129" s="130"/>
      <c r="X129" s="130"/>
      <c r="Y129" s="130"/>
      <c r="Z129" s="130"/>
      <c r="AA129" s="130"/>
      <c r="AB129" s="130"/>
      <c r="AC129" s="130"/>
      <c r="AD129" s="130"/>
      <c r="AE129" s="130"/>
      <c r="AF129" s="130"/>
      <c r="AG129" s="130"/>
      <c r="AH129" s="130"/>
      <c r="AI129" s="130"/>
      <c r="AJ129" s="130"/>
      <c r="AK129" s="130"/>
      <c r="AL129" s="130"/>
      <c r="AM129" s="130"/>
      <c r="AN129" s="130"/>
      <c r="AO129" s="130"/>
      <c r="AP129" s="130"/>
      <c r="AQ129" s="130"/>
      <c r="AR129" s="130"/>
      <c r="AS129" s="130"/>
      <c r="AT129" s="130"/>
      <c r="AU129" s="130"/>
      <c r="AV129" s="130"/>
      <c r="AW129" s="130"/>
      <c r="AX129" s="130"/>
      <c r="AY129" s="130"/>
    </row>
    <row r="130" spans="1:51">
      <c r="A130" s="115"/>
      <c r="B130" s="130"/>
      <c r="C130" s="130"/>
      <c r="D130" s="130"/>
      <c r="E130" s="130"/>
      <c r="F130" s="130"/>
      <c r="G130" s="130"/>
      <c r="H130" s="130"/>
      <c r="I130" s="130"/>
      <c r="J130" s="130"/>
      <c r="K130" s="130"/>
      <c r="L130" s="130"/>
      <c r="M130" s="130"/>
      <c r="N130" s="130"/>
      <c r="O130" s="130"/>
      <c r="P130" s="458"/>
      <c r="Q130" s="130"/>
      <c r="R130" s="130"/>
      <c r="S130" s="130"/>
      <c r="T130" s="130"/>
      <c r="U130" s="130"/>
      <c r="V130" s="130"/>
      <c r="W130" s="130"/>
      <c r="X130" s="130"/>
      <c r="Y130" s="130"/>
      <c r="Z130" s="130"/>
      <c r="AA130" s="130"/>
      <c r="AB130" s="130"/>
      <c r="AC130" s="130"/>
      <c r="AD130" s="130"/>
      <c r="AE130" s="130"/>
      <c r="AF130" s="130"/>
      <c r="AG130" s="130"/>
      <c r="AH130" s="130"/>
      <c r="AI130" s="130"/>
      <c r="AJ130" s="130"/>
      <c r="AK130" s="130"/>
      <c r="AL130" s="130"/>
      <c r="AM130" s="130"/>
      <c r="AN130" s="130"/>
      <c r="AO130" s="130"/>
      <c r="AP130" s="130"/>
      <c r="AQ130" s="130"/>
      <c r="AR130" s="130"/>
      <c r="AS130" s="130"/>
      <c r="AT130" s="130"/>
      <c r="AU130" s="130"/>
      <c r="AV130" s="130"/>
      <c r="AW130" s="130"/>
      <c r="AX130" s="130"/>
      <c r="AY130" s="130"/>
    </row>
    <row r="131" spans="1:51">
      <c r="A131" s="115"/>
      <c r="B131" s="130"/>
      <c r="C131" s="130"/>
      <c r="D131" s="130"/>
      <c r="E131" s="130"/>
      <c r="F131" s="130"/>
      <c r="G131" s="130"/>
      <c r="H131" s="130"/>
      <c r="I131" s="130"/>
      <c r="J131" s="130"/>
      <c r="K131" s="130"/>
      <c r="L131" s="130"/>
      <c r="M131" s="130"/>
      <c r="N131" s="130"/>
      <c r="O131" s="130"/>
      <c r="P131" s="458"/>
      <c r="Q131" s="130"/>
      <c r="R131" s="130"/>
      <c r="S131" s="130"/>
      <c r="T131" s="130"/>
      <c r="U131" s="130"/>
      <c r="V131" s="130"/>
      <c r="W131" s="130"/>
      <c r="X131" s="130"/>
      <c r="Y131" s="130"/>
      <c r="Z131" s="130"/>
      <c r="AA131" s="130"/>
      <c r="AB131" s="130"/>
      <c r="AC131" s="130"/>
      <c r="AD131" s="130"/>
      <c r="AE131" s="130"/>
      <c r="AF131" s="130"/>
      <c r="AG131" s="130"/>
      <c r="AH131" s="130"/>
      <c r="AI131" s="130"/>
      <c r="AJ131" s="130"/>
      <c r="AK131" s="130"/>
      <c r="AL131" s="130"/>
      <c r="AM131" s="130"/>
      <c r="AN131" s="130"/>
      <c r="AO131" s="130"/>
      <c r="AP131" s="130"/>
      <c r="AQ131" s="130"/>
      <c r="AR131" s="130"/>
      <c r="AS131" s="130"/>
      <c r="AT131" s="130"/>
      <c r="AU131" s="130"/>
      <c r="AV131" s="130"/>
      <c r="AW131" s="130"/>
      <c r="AX131" s="130"/>
      <c r="AY131" s="130"/>
    </row>
    <row r="132" spans="1:51">
      <c r="A132" s="115"/>
      <c r="B132" s="130"/>
      <c r="C132" s="130"/>
      <c r="D132" s="130"/>
      <c r="E132" s="130"/>
      <c r="F132" s="130"/>
      <c r="G132" s="130"/>
      <c r="H132" s="130"/>
      <c r="I132" s="130"/>
      <c r="J132" s="130"/>
      <c r="K132" s="130"/>
      <c r="L132" s="130"/>
      <c r="M132" s="130"/>
      <c r="N132" s="130"/>
      <c r="O132" s="130"/>
      <c r="P132" s="458"/>
      <c r="Q132" s="130"/>
      <c r="R132" s="130"/>
      <c r="S132" s="130"/>
      <c r="T132" s="130"/>
      <c r="U132" s="130"/>
      <c r="V132" s="130"/>
      <c r="W132" s="130"/>
      <c r="X132" s="130"/>
      <c r="Y132" s="130"/>
      <c r="Z132" s="130"/>
      <c r="AA132" s="130"/>
      <c r="AB132" s="130"/>
      <c r="AC132" s="130"/>
      <c r="AD132" s="130"/>
      <c r="AE132" s="130"/>
      <c r="AF132" s="130"/>
      <c r="AG132" s="130"/>
      <c r="AH132" s="130"/>
      <c r="AI132" s="130"/>
      <c r="AJ132" s="130"/>
      <c r="AK132" s="130"/>
      <c r="AL132" s="130"/>
      <c r="AM132" s="130"/>
      <c r="AN132" s="130"/>
      <c r="AO132" s="130"/>
      <c r="AP132" s="130"/>
      <c r="AQ132" s="130"/>
      <c r="AR132" s="130"/>
      <c r="AS132" s="130"/>
      <c r="AT132" s="130"/>
      <c r="AU132" s="130"/>
      <c r="AV132" s="130"/>
      <c r="AW132" s="130"/>
      <c r="AX132" s="130"/>
      <c r="AY132" s="130"/>
    </row>
    <row r="133" spans="1:51">
      <c r="A133" s="115"/>
      <c r="B133" s="130"/>
      <c r="C133" s="130"/>
      <c r="D133" s="130"/>
      <c r="E133" s="130"/>
      <c r="F133" s="130"/>
      <c r="G133" s="130"/>
      <c r="H133" s="130"/>
      <c r="I133" s="130"/>
      <c r="J133" s="130"/>
      <c r="K133" s="130"/>
      <c r="L133" s="130"/>
      <c r="M133" s="130"/>
      <c r="N133" s="130"/>
      <c r="O133" s="130"/>
      <c r="P133" s="458"/>
      <c r="Q133" s="130"/>
      <c r="R133" s="130"/>
      <c r="S133" s="130"/>
      <c r="T133" s="130"/>
      <c r="U133" s="130"/>
      <c r="V133" s="130"/>
      <c r="W133" s="130"/>
      <c r="X133" s="130"/>
      <c r="Y133" s="130"/>
      <c r="Z133" s="130"/>
      <c r="AA133" s="130"/>
      <c r="AB133" s="130"/>
      <c r="AC133" s="130"/>
      <c r="AD133" s="130"/>
      <c r="AE133" s="130"/>
      <c r="AF133" s="130"/>
      <c r="AG133" s="130"/>
      <c r="AH133" s="130"/>
      <c r="AI133" s="130"/>
      <c r="AJ133" s="130"/>
      <c r="AK133" s="130"/>
      <c r="AL133" s="130"/>
      <c r="AM133" s="130"/>
      <c r="AN133" s="130"/>
      <c r="AO133" s="130"/>
      <c r="AP133" s="130"/>
      <c r="AQ133" s="130"/>
      <c r="AR133" s="130"/>
      <c r="AS133" s="130"/>
      <c r="AT133" s="130"/>
      <c r="AU133" s="130"/>
      <c r="AV133" s="130"/>
      <c r="AW133" s="130"/>
      <c r="AX133" s="130"/>
      <c r="AY133" s="130"/>
    </row>
    <row r="134" spans="1:51">
      <c r="A134" s="115"/>
      <c r="B134" s="130"/>
      <c r="C134" s="130"/>
      <c r="D134" s="130"/>
      <c r="E134" s="130"/>
      <c r="F134" s="130"/>
      <c r="G134" s="130"/>
      <c r="H134" s="130"/>
      <c r="I134" s="130"/>
      <c r="J134" s="130"/>
      <c r="K134" s="130"/>
      <c r="L134" s="130"/>
      <c r="M134" s="130"/>
      <c r="N134" s="130"/>
      <c r="O134" s="130"/>
      <c r="P134" s="458"/>
      <c r="Q134" s="130"/>
      <c r="R134" s="130"/>
      <c r="S134" s="130"/>
      <c r="T134" s="130"/>
      <c r="U134" s="130"/>
      <c r="V134" s="130"/>
      <c r="W134" s="130"/>
      <c r="X134" s="130"/>
      <c r="Y134" s="130"/>
      <c r="Z134" s="130"/>
      <c r="AA134" s="130"/>
      <c r="AB134" s="130"/>
      <c r="AC134" s="130"/>
      <c r="AD134" s="130"/>
      <c r="AE134" s="130"/>
      <c r="AF134" s="130"/>
      <c r="AG134" s="130"/>
      <c r="AH134" s="130"/>
      <c r="AI134" s="130"/>
      <c r="AJ134" s="130"/>
      <c r="AK134" s="130"/>
      <c r="AL134" s="130"/>
      <c r="AM134" s="130"/>
      <c r="AN134" s="130"/>
      <c r="AO134" s="130"/>
      <c r="AP134" s="130"/>
      <c r="AQ134" s="130"/>
      <c r="AR134" s="130"/>
      <c r="AS134" s="130"/>
      <c r="AT134" s="130"/>
      <c r="AU134" s="130"/>
      <c r="AV134" s="130"/>
      <c r="AW134" s="130"/>
      <c r="AX134" s="130"/>
      <c r="AY134" s="130"/>
    </row>
    <row r="135" spans="1:51">
      <c r="A135" s="115"/>
      <c r="B135" s="130"/>
      <c r="C135" s="130"/>
      <c r="D135" s="130"/>
      <c r="E135" s="130"/>
      <c r="F135" s="130"/>
      <c r="G135" s="130"/>
      <c r="H135" s="130"/>
      <c r="I135" s="130"/>
      <c r="J135" s="130"/>
      <c r="K135" s="130"/>
      <c r="L135" s="130"/>
      <c r="M135" s="130"/>
      <c r="N135" s="130"/>
      <c r="O135" s="130"/>
      <c r="P135" s="458"/>
      <c r="Q135" s="130"/>
      <c r="R135" s="130"/>
      <c r="S135" s="130"/>
      <c r="T135" s="130"/>
      <c r="U135" s="130"/>
      <c r="V135" s="130"/>
      <c r="W135" s="130"/>
      <c r="X135" s="130"/>
      <c r="Y135" s="130"/>
      <c r="Z135" s="130"/>
      <c r="AA135" s="130"/>
      <c r="AB135" s="130"/>
      <c r="AC135" s="130"/>
      <c r="AD135" s="130"/>
      <c r="AE135" s="130"/>
      <c r="AF135" s="130"/>
      <c r="AG135" s="130"/>
      <c r="AH135" s="130"/>
      <c r="AI135" s="130"/>
      <c r="AJ135" s="130"/>
      <c r="AK135" s="130"/>
      <c r="AL135" s="130"/>
      <c r="AM135" s="130"/>
      <c r="AN135" s="130"/>
      <c r="AO135" s="130"/>
      <c r="AP135" s="130"/>
      <c r="AQ135" s="130"/>
      <c r="AR135" s="130"/>
      <c r="AS135" s="130"/>
      <c r="AT135" s="130"/>
      <c r="AU135" s="130"/>
      <c r="AV135" s="130"/>
      <c r="AW135" s="130"/>
      <c r="AX135" s="130"/>
      <c r="AY135" s="130"/>
    </row>
    <row r="136" spans="1:51">
      <c r="A136" s="115"/>
      <c r="B136" s="130"/>
      <c r="C136" s="130"/>
      <c r="D136" s="130"/>
      <c r="E136" s="130"/>
      <c r="F136" s="130"/>
      <c r="G136" s="130"/>
      <c r="H136" s="130"/>
      <c r="I136" s="130"/>
      <c r="J136" s="130"/>
      <c r="K136" s="130"/>
      <c r="L136" s="130"/>
      <c r="M136" s="130"/>
      <c r="N136" s="130"/>
      <c r="O136" s="130"/>
      <c r="P136" s="458"/>
      <c r="Q136" s="130"/>
      <c r="R136" s="130"/>
      <c r="S136" s="130"/>
      <c r="T136" s="130"/>
      <c r="U136" s="130"/>
      <c r="V136" s="130"/>
      <c r="W136" s="130"/>
      <c r="X136" s="130"/>
      <c r="Y136" s="130"/>
      <c r="Z136" s="130"/>
      <c r="AA136" s="130"/>
      <c r="AB136" s="130"/>
      <c r="AC136" s="130"/>
      <c r="AD136" s="130"/>
      <c r="AE136" s="130"/>
      <c r="AF136" s="130"/>
      <c r="AG136" s="130"/>
      <c r="AH136" s="130"/>
      <c r="AI136" s="130"/>
      <c r="AJ136" s="130"/>
      <c r="AK136" s="130"/>
      <c r="AL136" s="130"/>
      <c r="AM136" s="130"/>
      <c r="AN136" s="130"/>
      <c r="AO136" s="130"/>
      <c r="AP136" s="130"/>
      <c r="AQ136" s="130"/>
      <c r="AR136" s="130"/>
      <c r="AS136" s="130"/>
      <c r="AT136" s="130"/>
      <c r="AU136" s="130"/>
      <c r="AV136" s="130"/>
      <c r="AW136" s="130"/>
      <c r="AX136" s="130"/>
      <c r="AY136" s="130"/>
    </row>
    <row r="137" spans="1:51">
      <c r="A137" s="115"/>
      <c r="B137" s="130"/>
      <c r="C137" s="130"/>
      <c r="D137" s="130"/>
      <c r="E137" s="130"/>
      <c r="F137" s="130"/>
      <c r="G137" s="130"/>
      <c r="H137" s="130"/>
      <c r="I137" s="130"/>
      <c r="J137" s="130"/>
      <c r="K137" s="130"/>
      <c r="L137" s="130"/>
      <c r="M137" s="130"/>
      <c r="N137" s="130"/>
      <c r="O137" s="130"/>
      <c r="P137" s="458"/>
      <c r="Q137" s="130"/>
      <c r="R137" s="130"/>
      <c r="S137" s="130"/>
      <c r="T137" s="130"/>
      <c r="U137" s="130"/>
      <c r="V137" s="130"/>
      <c r="W137" s="130"/>
      <c r="X137" s="130"/>
      <c r="Y137" s="130"/>
      <c r="Z137" s="130"/>
      <c r="AA137" s="130"/>
      <c r="AB137" s="130"/>
      <c r="AC137" s="130"/>
      <c r="AD137" s="130"/>
      <c r="AE137" s="130"/>
      <c r="AF137" s="130"/>
      <c r="AG137" s="130"/>
      <c r="AH137" s="130"/>
      <c r="AI137" s="130"/>
      <c r="AJ137" s="130"/>
      <c r="AK137" s="130"/>
      <c r="AL137" s="130"/>
      <c r="AM137" s="130"/>
      <c r="AN137" s="130"/>
      <c r="AO137" s="130"/>
      <c r="AP137" s="130"/>
      <c r="AQ137" s="130"/>
      <c r="AR137" s="130"/>
      <c r="AS137" s="130"/>
      <c r="AT137" s="130"/>
      <c r="AU137" s="130"/>
      <c r="AV137" s="130"/>
      <c r="AW137" s="130"/>
      <c r="AX137" s="130"/>
      <c r="AY137" s="130"/>
    </row>
    <row r="138" spans="1:51">
      <c r="A138" s="115"/>
      <c r="B138" s="130"/>
      <c r="C138" s="130"/>
      <c r="D138" s="130"/>
      <c r="E138" s="130"/>
      <c r="F138" s="130"/>
      <c r="G138" s="130"/>
      <c r="H138" s="130"/>
      <c r="I138" s="130"/>
      <c r="J138" s="130"/>
      <c r="K138" s="130"/>
      <c r="L138" s="130"/>
      <c r="M138" s="130"/>
      <c r="N138" s="130"/>
      <c r="O138" s="130"/>
      <c r="P138" s="458"/>
      <c r="Q138" s="130"/>
      <c r="R138" s="130"/>
      <c r="S138" s="130"/>
      <c r="T138" s="130"/>
      <c r="U138" s="130"/>
      <c r="V138" s="130"/>
      <c r="W138" s="130"/>
      <c r="X138" s="130"/>
      <c r="Y138" s="130"/>
      <c r="Z138" s="130"/>
      <c r="AA138" s="130"/>
      <c r="AB138" s="130"/>
      <c r="AC138" s="130"/>
      <c r="AD138" s="130"/>
      <c r="AE138" s="130"/>
      <c r="AF138" s="130"/>
      <c r="AG138" s="130"/>
      <c r="AH138" s="130"/>
      <c r="AI138" s="130"/>
      <c r="AJ138" s="130"/>
      <c r="AK138" s="130"/>
      <c r="AL138" s="130"/>
      <c r="AM138" s="130"/>
      <c r="AN138" s="130"/>
      <c r="AO138" s="130"/>
      <c r="AP138" s="130"/>
      <c r="AQ138" s="130"/>
      <c r="AR138" s="130"/>
      <c r="AS138" s="130"/>
      <c r="AT138" s="130"/>
      <c r="AU138" s="130"/>
      <c r="AV138" s="130"/>
      <c r="AW138" s="130"/>
      <c r="AX138" s="130"/>
      <c r="AY138" s="130"/>
    </row>
    <row r="139" spans="1:51">
      <c r="A139" s="115"/>
      <c r="B139" s="130"/>
      <c r="C139" s="130"/>
      <c r="D139" s="130"/>
      <c r="E139" s="130"/>
      <c r="F139" s="130"/>
      <c r="G139" s="130"/>
      <c r="H139" s="130"/>
      <c r="I139" s="130"/>
      <c r="J139" s="130"/>
      <c r="K139" s="130"/>
      <c r="L139" s="130"/>
      <c r="M139" s="130"/>
      <c r="N139" s="130"/>
      <c r="O139" s="130"/>
      <c r="P139" s="458"/>
      <c r="Q139" s="130"/>
      <c r="R139" s="130"/>
      <c r="S139" s="130"/>
      <c r="T139" s="130"/>
      <c r="U139" s="130"/>
      <c r="V139" s="130"/>
      <c r="W139" s="130"/>
      <c r="X139" s="130"/>
      <c r="Y139" s="130"/>
      <c r="Z139" s="130"/>
      <c r="AA139" s="130"/>
      <c r="AB139" s="130"/>
      <c r="AC139" s="130"/>
      <c r="AD139" s="130"/>
      <c r="AE139" s="130"/>
      <c r="AF139" s="130"/>
      <c r="AG139" s="130"/>
      <c r="AH139" s="130"/>
      <c r="AI139" s="130"/>
      <c r="AJ139" s="130"/>
      <c r="AK139" s="130"/>
      <c r="AL139" s="130"/>
      <c r="AM139" s="130"/>
      <c r="AN139" s="130"/>
      <c r="AO139" s="130"/>
      <c r="AP139" s="130"/>
      <c r="AQ139" s="130"/>
      <c r="AR139" s="130"/>
      <c r="AS139" s="130"/>
      <c r="AT139" s="130"/>
      <c r="AU139" s="130"/>
      <c r="AV139" s="130"/>
      <c r="AW139" s="130"/>
      <c r="AX139" s="130"/>
      <c r="AY139" s="130"/>
    </row>
    <row r="140" spans="1:51">
      <c r="A140" s="115"/>
      <c r="B140" s="130"/>
      <c r="C140" s="130"/>
      <c r="D140" s="130"/>
      <c r="E140" s="130"/>
      <c r="F140" s="130"/>
      <c r="G140" s="130"/>
      <c r="H140" s="130"/>
      <c r="I140" s="130"/>
      <c r="J140" s="130"/>
      <c r="K140" s="130"/>
      <c r="L140" s="130"/>
      <c r="M140" s="130"/>
      <c r="N140" s="130"/>
      <c r="O140" s="130"/>
      <c r="P140" s="458"/>
      <c r="Q140" s="130"/>
      <c r="R140" s="130"/>
      <c r="S140" s="130"/>
      <c r="T140" s="130"/>
      <c r="U140" s="130"/>
      <c r="V140" s="130"/>
      <c r="W140" s="130"/>
      <c r="X140" s="130"/>
      <c r="Y140" s="130"/>
      <c r="Z140" s="130"/>
      <c r="AA140" s="130"/>
      <c r="AB140" s="130"/>
      <c r="AC140" s="130"/>
      <c r="AD140" s="130"/>
      <c r="AE140" s="130"/>
      <c r="AF140" s="130"/>
      <c r="AG140" s="130"/>
      <c r="AH140" s="130"/>
      <c r="AI140" s="130"/>
      <c r="AJ140" s="130"/>
      <c r="AK140" s="130"/>
      <c r="AL140" s="130"/>
      <c r="AM140" s="130"/>
      <c r="AN140" s="130"/>
      <c r="AO140" s="130"/>
      <c r="AP140" s="130"/>
      <c r="AQ140" s="130"/>
      <c r="AR140" s="130"/>
      <c r="AS140" s="130"/>
      <c r="AT140" s="130"/>
      <c r="AU140" s="130"/>
      <c r="AV140" s="130"/>
      <c r="AW140" s="130"/>
      <c r="AX140" s="130"/>
      <c r="AY140" s="130"/>
    </row>
    <row r="141" spans="1:51">
      <c r="A141" s="115"/>
      <c r="B141" s="130"/>
      <c r="C141" s="130"/>
      <c r="D141" s="130"/>
      <c r="E141" s="130"/>
      <c r="F141" s="130"/>
      <c r="G141" s="130"/>
      <c r="H141" s="130"/>
      <c r="I141" s="130"/>
      <c r="J141" s="130"/>
      <c r="K141" s="130"/>
      <c r="L141" s="130"/>
      <c r="M141" s="130"/>
      <c r="N141" s="130"/>
      <c r="O141" s="130"/>
      <c r="P141" s="458"/>
      <c r="Q141" s="130"/>
      <c r="R141" s="130"/>
      <c r="S141" s="130"/>
      <c r="T141" s="130"/>
      <c r="U141" s="130"/>
      <c r="V141" s="130"/>
      <c r="W141" s="130"/>
      <c r="X141" s="130"/>
      <c r="Y141" s="130"/>
      <c r="Z141" s="130"/>
      <c r="AA141" s="130"/>
      <c r="AB141" s="130"/>
      <c r="AC141" s="130"/>
      <c r="AD141" s="130"/>
      <c r="AE141" s="130"/>
      <c r="AF141" s="130"/>
      <c r="AG141" s="130"/>
      <c r="AH141" s="130"/>
      <c r="AI141" s="130"/>
      <c r="AJ141" s="130"/>
      <c r="AK141" s="130"/>
      <c r="AL141" s="130"/>
      <c r="AM141" s="130"/>
      <c r="AN141" s="130"/>
      <c r="AO141" s="130"/>
      <c r="AP141" s="130"/>
      <c r="AQ141" s="130"/>
      <c r="AR141" s="130"/>
      <c r="AS141" s="130"/>
      <c r="AT141" s="130"/>
      <c r="AU141" s="130"/>
      <c r="AV141" s="130"/>
      <c r="AW141" s="130"/>
      <c r="AX141" s="130"/>
      <c r="AY141" s="130"/>
    </row>
    <row r="142" spans="1:51">
      <c r="A142" s="115"/>
      <c r="B142" s="130"/>
      <c r="C142" s="130"/>
      <c r="D142" s="130"/>
      <c r="E142" s="130"/>
      <c r="F142" s="130"/>
      <c r="G142" s="130"/>
      <c r="H142" s="130"/>
      <c r="I142" s="130"/>
      <c r="J142" s="130"/>
      <c r="K142" s="130"/>
      <c r="L142" s="130"/>
      <c r="M142" s="130"/>
      <c r="N142" s="130"/>
      <c r="O142" s="130"/>
      <c r="P142" s="458"/>
      <c r="Q142" s="130"/>
      <c r="R142" s="130"/>
      <c r="S142" s="130"/>
      <c r="T142" s="130"/>
      <c r="U142" s="130"/>
      <c r="V142" s="130"/>
      <c r="W142" s="130"/>
      <c r="X142" s="130"/>
      <c r="Y142" s="130"/>
      <c r="Z142" s="130"/>
      <c r="AA142" s="130"/>
      <c r="AB142" s="130"/>
      <c r="AC142" s="130"/>
      <c r="AD142" s="130"/>
      <c r="AE142" s="130"/>
      <c r="AF142" s="130"/>
      <c r="AG142" s="130"/>
      <c r="AH142" s="130"/>
      <c r="AI142" s="130"/>
      <c r="AJ142" s="130"/>
      <c r="AK142" s="130"/>
      <c r="AL142" s="130"/>
      <c r="AM142" s="130"/>
      <c r="AN142" s="130"/>
      <c r="AO142" s="130"/>
      <c r="AP142" s="130"/>
      <c r="AQ142" s="130"/>
      <c r="AR142" s="130"/>
      <c r="AS142" s="130"/>
      <c r="AT142" s="130"/>
      <c r="AU142" s="130"/>
      <c r="AV142" s="130"/>
      <c r="AW142" s="130"/>
      <c r="AX142" s="130"/>
      <c r="AY142" s="130"/>
    </row>
    <row r="143" spans="1:51">
      <c r="A143" s="115"/>
      <c r="B143" s="130"/>
      <c r="C143" s="130"/>
      <c r="D143" s="130"/>
      <c r="E143" s="130"/>
      <c r="F143" s="130"/>
      <c r="G143" s="130"/>
      <c r="H143" s="130"/>
      <c r="I143" s="130"/>
      <c r="J143" s="130"/>
      <c r="K143" s="130"/>
      <c r="L143" s="130"/>
      <c r="M143" s="130"/>
      <c r="N143" s="130"/>
      <c r="O143" s="130"/>
      <c r="P143" s="458"/>
      <c r="Q143" s="130"/>
      <c r="R143" s="130"/>
      <c r="S143" s="130"/>
      <c r="T143" s="130"/>
      <c r="U143" s="130"/>
      <c r="V143" s="130"/>
      <c r="W143" s="130"/>
      <c r="X143" s="130"/>
      <c r="Y143" s="130"/>
      <c r="Z143" s="130"/>
      <c r="AA143" s="130"/>
      <c r="AB143" s="130"/>
      <c r="AC143" s="130"/>
      <c r="AD143" s="130"/>
      <c r="AE143" s="130"/>
      <c r="AF143" s="130"/>
      <c r="AG143" s="130"/>
      <c r="AH143" s="130"/>
      <c r="AI143" s="130"/>
      <c r="AJ143" s="130"/>
      <c r="AK143" s="130"/>
      <c r="AL143" s="130"/>
      <c r="AM143" s="130"/>
      <c r="AN143" s="130"/>
      <c r="AO143" s="130"/>
      <c r="AP143" s="130"/>
      <c r="AQ143" s="130"/>
      <c r="AR143" s="130"/>
      <c r="AS143" s="130"/>
      <c r="AT143" s="130"/>
      <c r="AU143" s="130"/>
      <c r="AV143" s="130"/>
      <c r="AW143" s="130"/>
      <c r="AX143" s="130"/>
      <c r="AY143" s="130"/>
    </row>
    <row r="144" spans="1:51">
      <c r="A144" s="115"/>
      <c r="B144" s="130"/>
      <c r="C144" s="130"/>
      <c r="D144" s="130"/>
      <c r="E144" s="130"/>
      <c r="F144" s="130"/>
      <c r="G144" s="130"/>
      <c r="H144" s="130"/>
      <c r="I144" s="130"/>
      <c r="J144" s="130"/>
      <c r="K144" s="130"/>
      <c r="L144" s="130"/>
      <c r="M144" s="130"/>
      <c r="N144" s="130"/>
      <c r="O144" s="130"/>
      <c r="P144" s="458"/>
      <c r="Q144" s="130"/>
      <c r="R144" s="130"/>
      <c r="S144" s="130"/>
      <c r="T144" s="130"/>
      <c r="U144" s="130"/>
      <c r="V144" s="130"/>
      <c r="W144" s="130"/>
      <c r="X144" s="130"/>
      <c r="Y144" s="130"/>
      <c r="Z144" s="130"/>
      <c r="AA144" s="130"/>
      <c r="AB144" s="130"/>
      <c r="AC144" s="130"/>
      <c r="AD144" s="130"/>
      <c r="AE144" s="130"/>
      <c r="AF144" s="130"/>
      <c r="AG144" s="130"/>
      <c r="AH144" s="130"/>
      <c r="AI144" s="130"/>
      <c r="AJ144" s="130"/>
      <c r="AK144" s="130"/>
      <c r="AL144" s="130"/>
      <c r="AM144" s="130"/>
      <c r="AN144" s="130"/>
      <c r="AO144" s="130"/>
      <c r="AP144" s="130"/>
      <c r="AQ144" s="130"/>
      <c r="AR144" s="130"/>
      <c r="AS144" s="130"/>
      <c r="AT144" s="130"/>
      <c r="AU144" s="130"/>
      <c r="AV144" s="130"/>
      <c r="AW144" s="130"/>
      <c r="AX144" s="130"/>
      <c r="AY144" s="130"/>
    </row>
    <row r="145" spans="1:51">
      <c r="A145" s="115"/>
      <c r="B145" s="130"/>
      <c r="C145" s="130"/>
      <c r="D145" s="130"/>
      <c r="E145" s="130"/>
      <c r="F145" s="130"/>
      <c r="G145" s="130"/>
      <c r="H145" s="130"/>
      <c r="I145" s="130"/>
      <c r="J145" s="130"/>
      <c r="K145" s="130"/>
      <c r="L145" s="130"/>
      <c r="M145" s="130"/>
      <c r="N145" s="130"/>
      <c r="O145" s="130"/>
      <c r="P145" s="458"/>
      <c r="Q145" s="130"/>
      <c r="R145" s="130"/>
      <c r="S145" s="130"/>
      <c r="T145" s="130"/>
      <c r="U145" s="130"/>
      <c r="V145" s="130"/>
      <c r="W145" s="130"/>
      <c r="X145" s="130"/>
      <c r="Y145" s="130"/>
      <c r="Z145" s="130"/>
      <c r="AA145" s="130"/>
      <c r="AB145" s="130"/>
      <c r="AC145" s="130"/>
      <c r="AD145" s="130"/>
      <c r="AE145" s="130"/>
      <c r="AF145" s="130"/>
      <c r="AG145" s="130"/>
      <c r="AH145" s="130"/>
      <c r="AI145" s="130"/>
      <c r="AJ145" s="130"/>
      <c r="AK145" s="130"/>
      <c r="AL145" s="130"/>
      <c r="AM145" s="130"/>
      <c r="AN145" s="130"/>
      <c r="AO145" s="130"/>
      <c r="AP145" s="130"/>
      <c r="AQ145" s="130"/>
      <c r="AR145" s="130"/>
      <c r="AS145" s="130"/>
      <c r="AT145" s="130"/>
      <c r="AU145" s="130"/>
      <c r="AV145" s="130"/>
      <c r="AW145" s="130"/>
      <c r="AX145" s="130"/>
      <c r="AY145" s="130"/>
    </row>
    <row r="146" spans="1:51">
      <c r="A146" s="115"/>
      <c r="B146" s="130"/>
      <c r="C146" s="130"/>
      <c r="D146" s="130"/>
      <c r="E146" s="130"/>
      <c r="F146" s="130"/>
      <c r="G146" s="130"/>
      <c r="H146" s="130"/>
      <c r="I146" s="130"/>
      <c r="J146" s="130"/>
      <c r="K146" s="130"/>
      <c r="L146" s="130"/>
      <c r="M146" s="130"/>
      <c r="N146" s="130"/>
      <c r="O146" s="130"/>
      <c r="P146" s="458"/>
      <c r="Q146" s="130"/>
      <c r="R146" s="130"/>
      <c r="S146" s="130"/>
      <c r="T146" s="130"/>
      <c r="U146" s="130"/>
      <c r="V146" s="130"/>
      <c r="W146" s="130"/>
      <c r="X146" s="130"/>
      <c r="Y146" s="130"/>
      <c r="Z146" s="130"/>
      <c r="AA146" s="130"/>
      <c r="AB146" s="130"/>
      <c r="AC146" s="130"/>
      <c r="AD146" s="130"/>
      <c r="AE146" s="130"/>
      <c r="AF146" s="130"/>
      <c r="AG146" s="130"/>
      <c r="AH146" s="130"/>
      <c r="AI146" s="130"/>
      <c r="AJ146" s="130"/>
      <c r="AK146" s="130"/>
      <c r="AL146" s="130"/>
      <c r="AM146" s="130"/>
      <c r="AN146" s="130"/>
      <c r="AO146" s="130"/>
      <c r="AP146" s="130"/>
      <c r="AQ146" s="130"/>
      <c r="AR146" s="130"/>
      <c r="AS146" s="130"/>
      <c r="AT146" s="130"/>
      <c r="AU146" s="130"/>
      <c r="AV146" s="130"/>
      <c r="AW146" s="130"/>
      <c r="AX146" s="130"/>
      <c r="AY146" s="130"/>
    </row>
    <row r="147" spans="1:51">
      <c r="A147" s="115"/>
      <c r="B147" s="130"/>
      <c r="C147" s="130"/>
      <c r="D147" s="130"/>
      <c r="E147" s="130"/>
      <c r="F147" s="130"/>
      <c r="G147" s="130"/>
      <c r="H147" s="130"/>
      <c r="I147" s="130"/>
      <c r="J147" s="130"/>
      <c r="K147" s="130"/>
      <c r="L147" s="130"/>
      <c r="M147" s="130"/>
      <c r="N147" s="130"/>
      <c r="O147" s="130"/>
      <c r="P147" s="458"/>
      <c r="Q147" s="130"/>
      <c r="R147" s="130"/>
      <c r="S147" s="130"/>
      <c r="T147" s="130"/>
      <c r="U147" s="130"/>
      <c r="V147" s="130"/>
      <c r="W147" s="130"/>
      <c r="X147" s="130"/>
      <c r="Y147" s="130"/>
      <c r="Z147" s="130"/>
      <c r="AA147" s="130"/>
      <c r="AB147" s="130"/>
      <c r="AC147" s="130"/>
      <c r="AD147" s="130"/>
      <c r="AE147" s="130"/>
      <c r="AF147" s="130"/>
      <c r="AG147" s="130"/>
      <c r="AH147" s="130"/>
      <c r="AI147" s="130"/>
      <c r="AJ147" s="130"/>
      <c r="AK147" s="130"/>
      <c r="AL147" s="130"/>
      <c r="AM147" s="130"/>
      <c r="AN147" s="130"/>
      <c r="AO147" s="130"/>
      <c r="AP147" s="130"/>
      <c r="AQ147" s="130"/>
      <c r="AR147" s="130"/>
      <c r="AS147" s="130"/>
      <c r="AT147" s="130"/>
      <c r="AU147" s="130"/>
      <c r="AV147" s="130"/>
      <c r="AW147" s="130"/>
      <c r="AX147" s="130"/>
      <c r="AY147" s="130"/>
    </row>
    <row r="148" spans="1:51">
      <c r="A148" s="115"/>
      <c r="B148" s="130"/>
      <c r="C148" s="130"/>
      <c r="D148" s="130"/>
      <c r="E148" s="130"/>
      <c r="F148" s="130"/>
      <c r="G148" s="130"/>
      <c r="H148" s="130"/>
      <c r="I148" s="130"/>
      <c r="J148" s="130"/>
      <c r="K148" s="130"/>
      <c r="L148" s="130"/>
      <c r="M148" s="130"/>
      <c r="N148" s="130"/>
      <c r="O148" s="130"/>
      <c r="P148" s="458"/>
      <c r="Q148" s="130"/>
      <c r="R148" s="130"/>
      <c r="S148" s="130"/>
      <c r="T148" s="130"/>
      <c r="U148" s="130"/>
      <c r="V148" s="130"/>
      <c r="W148" s="130"/>
      <c r="X148" s="130"/>
      <c r="Y148" s="130"/>
      <c r="Z148" s="130"/>
      <c r="AA148" s="130"/>
      <c r="AB148" s="130"/>
      <c r="AC148" s="130"/>
      <c r="AD148" s="130"/>
      <c r="AE148" s="130"/>
      <c r="AF148" s="130"/>
      <c r="AG148" s="130"/>
      <c r="AH148" s="130"/>
      <c r="AI148" s="130"/>
      <c r="AJ148" s="130"/>
      <c r="AK148" s="130"/>
      <c r="AL148" s="130"/>
      <c r="AM148" s="130"/>
      <c r="AN148" s="130"/>
      <c r="AO148" s="130"/>
      <c r="AP148" s="130"/>
      <c r="AQ148" s="130"/>
      <c r="AR148" s="130"/>
      <c r="AS148" s="130"/>
      <c r="AT148" s="130"/>
      <c r="AU148" s="130"/>
      <c r="AV148" s="130"/>
      <c r="AW148" s="130"/>
      <c r="AX148" s="130"/>
      <c r="AY148" s="130"/>
    </row>
    <row r="149" spans="1:51">
      <c r="A149" s="115"/>
      <c r="B149" s="130"/>
      <c r="C149" s="130"/>
      <c r="D149" s="130"/>
      <c r="E149" s="130"/>
      <c r="F149" s="130"/>
      <c r="G149" s="130"/>
      <c r="H149" s="130"/>
      <c r="I149" s="130"/>
      <c r="J149" s="130"/>
      <c r="K149" s="130"/>
      <c r="L149" s="130"/>
      <c r="M149" s="130"/>
      <c r="N149" s="130"/>
      <c r="O149" s="130"/>
      <c r="P149" s="458"/>
      <c r="Q149" s="130"/>
      <c r="R149" s="130"/>
      <c r="S149" s="130"/>
      <c r="T149" s="130"/>
      <c r="U149" s="130"/>
      <c r="V149" s="130"/>
      <c r="W149" s="130"/>
      <c r="X149" s="130"/>
      <c r="Y149" s="130"/>
      <c r="Z149" s="130"/>
      <c r="AA149" s="130"/>
      <c r="AB149" s="130"/>
      <c r="AC149" s="130"/>
      <c r="AD149" s="130"/>
      <c r="AE149" s="130"/>
      <c r="AF149" s="130"/>
      <c r="AG149" s="130"/>
      <c r="AH149" s="130"/>
      <c r="AI149" s="130"/>
      <c r="AJ149" s="130"/>
      <c r="AK149" s="130"/>
      <c r="AL149" s="130"/>
      <c r="AM149" s="130"/>
      <c r="AN149" s="130"/>
      <c r="AO149" s="130"/>
      <c r="AP149" s="130"/>
      <c r="AQ149" s="130"/>
      <c r="AR149" s="130"/>
      <c r="AS149" s="130"/>
      <c r="AT149" s="130"/>
      <c r="AU149" s="130"/>
      <c r="AV149" s="130"/>
      <c r="AW149" s="130"/>
      <c r="AX149" s="130"/>
      <c r="AY149" s="130"/>
    </row>
    <row r="150" spans="1:51">
      <c r="A150" s="115"/>
      <c r="B150" s="130"/>
      <c r="C150" s="130"/>
      <c r="D150" s="130"/>
      <c r="E150" s="130"/>
      <c r="F150" s="130"/>
      <c r="G150" s="130"/>
      <c r="H150" s="130"/>
      <c r="I150" s="130"/>
      <c r="J150" s="130"/>
      <c r="K150" s="130"/>
      <c r="L150" s="130"/>
      <c r="M150" s="130"/>
      <c r="N150" s="130"/>
      <c r="O150" s="130"/>
      <c r="P150" s="458"/>
      <c r="Q150" s="130"/>
      <c r="R150" s="130"/>
      <c r="S150" s="130"/>
      <c r="T150" s="130"/>
      <c r="U150" s="130"/>
      <c r="V150" s="130"/>
      <c r="W150" s="130"/>
      <c r="X150" s="130"/>
      <c r="Y150" s="130"/>
      <c r="Z150" s="130"/>
      <c r="AA150" s="130"/>
      <c r="AB150" s="130"/>
      <c r="AC150" s="130"/>
      <c r="AD150" s="130"/>
      <c r="AE150" s="130"/>
      <c r="AF150" s="130"/>
      <c r="AG150" s="130"/>
      <c r="AH150" s="130"/>
      <c r="AI150" s="130"/>
      <c r="AJ150" s="130"/>
      <c r="AK150" s="130"/>
      <c r="AL150" s="130"/>
      <c r="AM150" s="130"/>
      <c r="AN150" s="130"/>
      <c r="AO150" s="130"/>
      <c r="AP150" s="130"/>
      <c r="AQ150" s="130"/>
      <c r="AR150" s="130"/>
      <c r="AS150" s="130"/>
      <c r="AT150" s="130"/>
      <c r="AU150" s="130"/>
      <c r="AV150" s="130"/>
      <c r="AW150" s="130"/>
      <c r="AX150" s="130"/>
      <c r="AY150" s="130"/>
    </row>
    <row r="151" spans="1:51">
      <c r="A151" s="115"/>
      <c r="B151" s="130"/>
      <c r="C151" s="130"/>
      <c r="D151" s="130"/>
      <c r="E151" s="130"/>
      <c r="F151" s="130"/>
      <c r="G151" s="130"/>
      <c r="H151" s="130"/>
      <c r="I151" s="130"/>
      <c r="J151" s="130"/>
      <c r="K151" s="130"/>
      <c r="L151" s="130"/>
      <c r="M151" s="130"/>
      <c r="N151" s="130"/>
      <c r="O151" s="130"/>
      <c r="P151" s="458"/>
      <c r="Q151" s="130"/>
      <c r="R151" s="130"/>
      <c r="S151" s="130"/>
      <c r="T151" s="130"/>
      <c r="U151" s="130"/>
      <c r="V151" s="130"/>
      <c r="W151" s="130"/>
      <c r="X151" s="130"/>
      <c r="Y151" s="130"/>
      <c r="Z151" s="130"/>
      <c r="AA151" s="130"/>
      <c r="AB151" s="130"/>
      <c r="AC151" s="130"/>
      <c r="AD151" s="130"/>
      <c r="AE151" s="130"/>
      <c r="AF151" s="130"/>
      <c r="AG151" s="130"/>
      <c r="AH151" s="130"/>
      <c r="AI151" s="130"/>
      <c r="AJ151" s="130"/>
      <c r="AK151" s="130"/>
      <c r="AL151" s="130"/>
      <c r="AM151" s="130"/>
      <c r="AN151" s="130"/>
      <c r="AO151" s="130"/>
      <c r="AP151" s="130"/>
      <c r="AQ151" s="130"/>
      <c r="AR151" s="130"/>
      <c r="AS151" s="130"/>
      <c r="AT151" s="130"/>
      <c r="AU151" s="130"/>
      <c r="AV151" s="130"/>
      <c r="AW151" s="130"/>
      <c r="AX151" s="130"/>
      <c r="AY151" s="130"/>
    </row>
    <row r="152" spans="1:51">
      <c r="A152" s="115"/>
      <c r="B152" s="130"/>
      <c r="C152" s="130"/>
      <c r="D152" s="130"/>
      <c r="E152" s="130"/>
      <c r="F152" s="130"/>
      <c r="G152" s="130"/>
      <c r="H152" s="130"/>
      <c r="I152" s="130"/>
      <c r="J152" s="130"/>
      <c r="K152" s="130"/>
      <c r="L152" s="130"/>
      <c r="M152" s="130"/>
      <c r="N152" s="130"/>
      <c r="O152" s="130"/>
      <c r="P152" s="458"/>
      <c r="Q152" s="130"/>
      <c r="R152" s="130"/>
      <c r="S152" s="130"/>
      <c r="T152" s="130"/>
      <c r="U152" s="130"/>
      <c r="V152" s="130"/>
      <c r="W152" s="130"/>
      <c r="X152" s="130"/>
      <c r="Y152" s="130"/>
      <c r="Z152" s="130"/>
      <c r="AA152" s="130"/>
      <c r="AB152" s="130"/>
      <c r="AC152" s="130"/>
      <c r="AD152" s="130"/>
      <c r="AE152" s="130"/>
      <c r="AF152" s="130"/>
      <c r="AG152" s="130"/>
      <c r="AH152" s="130"/>
      <c r="AI152" s="130"/>
      <c r="AJ152" s="130"/>
      <c r="AK152" s="130"/>
      <c r="AL152" s="130"/>
      <c r="AM152" s="130"/>
      <c r="AN152" s="130"/>
      <c r="AO152" s="130"/>
      <c r="AP152" s="130"/>
      <c r="AQ152" s="130"/>
      <c r="AR152" s="130"/>
      <c r="AS152" s="130"/>
      <c r="AT152" s="130"/>
      <c r="AU152" s="130"/>
      <c r="AV152" s="130"/>
      <c r="AW152" s="130"/>
      <c r="AX152" s="130"/>
      <c r="AY152" s="130"/>
    </row>
    <row r="153" spans="1:51">
      <c r="A153" s="115"/>
      <c r="B153" s="130"/>
      <c r="C153" s="130"/>
      <c r="D153" s="130"/>
      <c r="E153" s="130"/>
      <c r="F153" s="130"/>
      <c r="G153" s="130"/>
      <c r="H153" s="130"/>
      <c r="I153" s="130"/>
      <c r="J153" s="130"/>
      <c r="K153" s="130"/>
      <c r="L153" s="130"/>
      <c r="M153" s="130"/>
      <c r="N153" s="130"/>
      <c r="O153" s="130"/>
      <c r="P153" s="458"/>
      <c r="Q153" s="130"/>
      <c r="R153" s="130"/>
      <c r="S153" s="130"/>
      <c r="T153" s="130"/>
      <c r="U153" s="130"/>
      <c r="V153" s="130"/>
      <c r="W153" s="130"/>
      <c r="X153" s="130"/>
      <c r="Y153" s="130"/>
      <c r="Z153" s="130"/>
      <c r="AA153" s="130"/>
      <c r="AB153" s="130"/>
      <c r="AC153" s="130"/>
      <c r="AD153" s="130"/>
      <c r="AE153" s="130"/>
      <c r="AF153" s="130"/>
      <c r="AG153" s="130"/>
      <c r="AH153" s="130"/>
      <c r="AI153" s="130"/>
      <c r="AJ153" s="130"/>
      <c r="AK153" s="130"/>
      <c r="AL153" s="130"/>
      <c r="AM153" s="130"/>
      <c r="AN153" s="130"/>
      <c r="AO153" s="130"/>
      <c r="AP153" s="130"/>
      <c r="AQ153" s="130"/>
      <c r="AR153" s="130"/>
      <c r="AS153" s="130"/>
      <c r="AT153" s="130"/>
      <c r="AU153" s="130"/>
      <c r="AV153" s="130"/>
      <c r="AW153" s="130"/>
      <c r="AX153" s="130"/>
      <c r="AY153" s="130"/>
    </row>
    <row r="154" spans="1:51">
      <c r="A154" s="115"/>
      <c r="B154" s="130"/>
      <c r="C154" s="130"/>
      <c r="D154" s="130"/>
      <c r="E154" s="130"/>
      <c r="F154" s="130"/>
      <c r="G154" s="130"/>
      <c r="H154" s="130"/>
      <c r="I154" s="130"/>
      <c r="J154" s="130"/>
      <c r="K154" s="130"/>
      <c r="L154" s="130"/>
      <c r="M154" s="130"/>
      <c r="N154" s="130"/>
      <c r="O154" s="130"/>
      <c r="P154" s="458"/>
      <c r="Q154" s="130"/>
      <c r="R154" s="130"/>
      <c r="S154" s="130"/>
      <c r="T154" s="130"/>
      <c r="U154" s="130"/>
      <c r="V154" s="130"/>
      <c r="W154" s="130"/>
      <c r="X154" s="130"/>
      <c r="Y154" s="130"/>
      <c r="Z154" s="130"/>
      <c r="AA154" s="130"/>
      <c r="AB154" s="130"/>
      <c r="AC154" s="130"/>
      <c r="AD154" s="130"/>
      <c r="AE154" s="130"/>
      <c r="AF154" s="130"/>
      <c r="AG154" s="130"/>
      <c r="AH154" s="130"/>
      <c r="AI154" s="130"/>
      <c r="AJ154" s="130"/>
      <c r="AK154" s="130"/>
      <c r="AL154" s="130"/>
      <c r="AM154" s="130"/>
      <c r="AN154" s="130"/>
      <c r="AO154" s="130"/>
      <c r="AP154" s="130"/>
      <c r="AQ154" s="130"/>
      <c r="AR154" s="130"/>
      <c r="AS154" s="130"/>
      <c r="AT154" s="130"/>
      <c r="AU154" s="130"/>
      <c r="AV154" s="130"/>
      <c r="AW154" s="130"/>
      <c r="AX154" s="130"/>
      <c r="AY154" s="130"/>
    </row>
    <row r="155" spans="1:51">
      <c r="A155" s="115"/>
      <c r="B155" s="130"/>
      <c r="C155" s="130"/>
      <c r="D155" s="130"/>
      <c r="E155" s="130"/>
      <c r="F155" s="130"/>
      <c r="G155" s="130"/>
      <c r="H155" s="130"/>
      <c r="I155" s="130"/>
      <c r="J155" s="130"/>
      <c r="K155" s="130"/>
      <c r="L155" s="130"/>
      <c r="M155" s="130"/>
      <c r="N155" s="130"/>
      <c r="O155" s="130"/>
      <c r="P155" s="458"/>
      <c r="Q155" s="130"/>
      <c r="R155" s="130"/>
      <c r="S155" s="130"/>
      <c r="T155" s="130"/>
      <c r="U155" s="130"/>
      <c r="V155" s="130"/>
      <c r="W155" s="130"/>
      <c r="X155" s="130"/>
      <c r="Y155" s="130"/>
      <c r="Z155" s="130"/>
      <c r="AA155" s="130"/>
      <c r="AB155" s="130"/>
      <c r="AC155" s="130"/>
      <c r="AD155" s="130"/>
      <c r="AE155" s="130"/>
      <c r="AF155" s="130"/>
      <c r="AG155" s="130"/>
      <c r="AH155" s="130"/>
      <c r="AI155" s="130"/>
      <c r="AJ155" s="130"/>
      <c r="AK155" s="130"/>
      <c r="AL155" s="130"/>
      <c r="AM155" s="130"/>
      <c r="AN155" s="130"/>
      <c r="AO155" s="130"/>
      <c r="AP155" s="130"/>
      <c r="AQ155" s="130"/>
      <c r="AR155" s="130"/>
      <c r="AS155" s="130"/>
      <c r="AT155" s="130"/>
      <c r="AU155" s="130"/>
      <c r="AV155" s="130"/>
      <c r="AW155" s="130"/>
      <c r="AX155" s="130"/>
      <c r="AY155" s="130"/>
    </row>
    <row r="156" spans="1:51">
      <c r="A156" s="115"/>
      <c r="B156" s="130"/>
      <c r="C156" s="130"/>
      <c r="D156" s="130"/>
      <c r="E156" s="130"/>
      <c r="F156" s="130"/>
      <c r="G156" s="130"/>
      <c r="H156" s="130"/>
      <c r="I156" s="130"/>
      <c r="J156" s="130"/>
      <c r="K156" s="130"/>
      <c r="L156" s="130"/>
      <c r="M156" s="130"/>
      <c r="N156" s="130"/>
      <c r="O156" s="130"/>
      <c r="P156" s="458"/>
      <c r="Q156" s="130"/>
      <c r="R156" s="130"/>
      <c r="S156" s="130"/>
      <c r="T156" s="130"/>
      <c r="U156" s="130"/>
      <c r="V156" s="130"/>
      <c r="W156" s="130"/>
      <c r="X156" s="130"/>
      <c r="Y156" s="130"/>
      <c r="Z156" s="130"/>
      <c r="AA156" s="130"/>
      <c r="AB156" s="130"/>
      <c r="AC156" s="130"/>
      <c r="AD156" s="130"/>
      <c r="AE156" s="130"/>
      <c r="AF156" s="130"/>
      <c r="AG156" s="130"/>
      <c r="AH156" s="130"/>
      <c r="AI156" s="130"/>
      <c r="AJ156" s="130"/>
      <c r="AK156" s="130"/>
      <c r="AL156" s="130"/>
      <c r="AM156" s="130"/>
      <c r="AN156" s="130"/>
      <c r="AO156" s="130"/>
      <c r="AP156" s="130"/>
      <c r="AQ156" s="130"/>
      <c r="AR156" s="130"/>
      <c r="AS156" s="130"/>
      <c r="AT156" s="130"/>
      <c r="AU156" s="130"/>
      <c r="AV156" s="130"/>
      <c r="AW156" s="130"/>
      <c r="AX156" s="130"/>
      <c r="AY156" s="130"/>
    </row>
    <row r="157" spans="1:51">
      <c r="A157" s="115"/>
      <c r="B157" s="130"/>
      <c r="C157" s="130"/>
      <c r="D157" s="130"/>
      <c r="E157" s="130"/>
      <c r="F157" s="130"/>
      <c r="G157" s="130"/>
      <c r="H157" s="130"/>
      <c r="I157" s="130"/>
      <c r="J157" s="130"/>
      <c r="K157" s="130"/>
      <c r="L157" s="130"/>
      <c r="M157" s="130"/>
      <c r="N157" s="130"/>
      <c r="O157" s="130"/>
      <c r="P157" s="458"/>
      <c r="Q157" s="130"/>
      <c r="R157" s="130"/>
      <c r="S157" s="130"/>
      <c r="T157" s="130"/>
      <c r="U157" s="130"/>
      <c r="V157" s="130"/>
      <c r="W157" s="130"/>
      <c r="X157" s="130"/>
      <c r="Y157" s="130"/>
      <c r="Z157" s="130"/>
      <c r="AA157" s="130"/>
      <c r="AB157" s="130"/>
      <c r="AC157" s="130"/>
      <c r="AD157" s="130"/>
      <c r="AE157" s="130"/>
      <c r="AF157" s="130"/>
      <c r="AG157" s="130"/>
      <c r="AH157" s="130"/>
      <c r="AI157" s="130"/>
      <c r="AJ157" s="130"/>
      <c r="AK157" s="130"/>
      <c r="AL157" s="130"/>
      <c r="AM157" s="130"/>
      <c r="AN157" s="130"/>
      <c r="AO157" s="130"/>
      <c r="AP157" s="130"/>
      <c r="AQ157" s="130"/>
      <c r="AR157" s="130"/>
      <c r="AS157" s="130"/>
      <c r="AT157" s="130"/>
      <c r="AU157" s="130"/>
      <c r="AV157" s="130"/>
      <c r="AW157" s="130"/>
      <c r="AX157" s="130"/>
      <c r="AY157" s="130"/>
    </row>
    <row r="158" spans="1:51">
      <c r="A158" s="115"/>
      <c r="B158" s="130"/>
      <c r="C158" s="130"/>
      <c r="D158" s="130"/>
      <c r="E158" s="130"/>
      <c r="F158" s="130"/>
      <c r="G158" s="130"/>
      <c r="H158" s="130"/>
      <c r="I158" s="130"/>
      <c r="J158" s="130"/>
      <c r="K158" s="130"/>
      <c r="L158" s="130"/>
      <c r="M158" s="130"/>
      <c r="N158" s="130"/>
      <c r="O158" s="130"/>
      <c r="P158" s="458"/>
      <c r="Q158" s="130"/>
      <c r="R158" s="130"/>
      <c r="S158" s="130"/>
      <c r="T158" s="130"/>
      <c r="U158" s="130"/>
      <c r="V158" s="130"/>
      <c r="W158" s="130"/>
      <c r="X158" s="130"/>
      <c r="Y158" s="130"/>
      <c r="Z158" s="130"/>
      <c r="AA158" s="130"/>
      <c r="AB158" s="130"/>
      <c r="AC158" s="130"/>
      <c r="AD158" s="130"/>
      <c r="AE158" s="130"/>
      <c r="AF158" s="130"/>
      <c r="AG158" s="130"/>
      <c r="AH158" s="130"/>
      <c r="AI158" s="130"/>
      <c r="AJ158" s="130"/>
      <c r="AK158" s="130"/>
      <c r="AL158" s="130"/>
      <c r="AM158" s="130"/>
      <c r="AN158" s="130"/>
      <c r="AO158" s="130"/>
      <c r="AP158" s="130"/>
      <c r="AQ158" s="130"/>
      <c r="AR158" s="130"/>
      <c r="AS158" s="130"/>
      <c r="AT158" s="130"/>
      <c r="AU158" s="130"/>
      <c r="AV158" s="130"/>
      <c r="AW158" s="130"/>
      <c r="AX158" s="130"/>
      <c r="AY158" s="130"/>
    </row>
    <row r="159" spans="1:51">
      <c r="A159" s="115"/>
      <c r="B159" s="130"/>
      <c r="C159" s="130"/>
      <c r="D159" s="130"/>
      <c r="E159" s="130"/>
      <c r="F159" s="130"/>
      <c r="G159" s="130"/>
      <c r="H159" s="130"/>
      <c r="I159" s="130"/>
      <c r="J159" s="130"/>
      <c r="K159" s="130"/>
      <c r="L159" s="130"/>
      <c r="M159" s="130"/>
      <c r="N159" s="130"/>
      <c r="O159" s="130"/>
      <c r="P159" s="458"/>
      <c r="Q159" s="130"/>
      <c r="R159" s="130"/>
      <c r="S159" s="130"/>
      <c r="T159" s="130"/>
      <c r="U159" s="130"/>
      <c r="V159" s="130"/>
      <c r="W159" s="130"/>
      <c r="X159" s="130"/>
      <c r="Y159" s="130"/>
      <c r="Z159" s="130"/>
      <c r="AA159" s="130"/>
      <c r="AB159" s="130"/>
      <c r="AC159" s="130"/>
      <c r="AD159" s="130"/>
      <c r="AE159" s="130"/>
      <c r="AF159" s="130"/>
      <c r="AG159" s="130"/>
      <c r="AH159" s="130"/>
      <c r="AI159" s="130"/>
      <c r="AJ159" s="130"/>
      <c r="AK159" s="130"/>
      <c r="AL159" s="130"/>
      <c r="AM159" s="130"/>
      <c r="AN159" s="130"/>
      <c r="AO159" s="130"/>
      <c r="AP159" s="130"/>
      <c r="AQ159" s="130"/>
      <c r="AR159" s="130"/>
      <c r="AS159" s="130"/>
      <c r="AT159" s="130"/>
      <c r="AU159" s="130"/>
      <c r="AV159" s="130"/>
      <c r="AW159" s="130"/>
      <c r="AX159" s="130"/>
      <c r="AY159" s="130"/>
    </row>
    <row r="160" spans="1:51">
      <c r="A160" s="115"/>
      <c r="B160" s="130"/>
      <c r="C160" s="130"/>
      <c r="D160" s="130"/>
      <c r="E160" s="130"/>
      <c r="F160" s="130"/>
      <c r="G160" s="130"/>
      <c r="H160" s="130"/>
      <c r="I160" s="130"/>
      <c r="J160" s="130"/>
      <c r="K160" s="130"/>
      <c r="L160" s="130"/>
      <c r="M160" s="130"/>
      <c r="N160" s="130"/>
      <c r="O160" s="130"/>
      <c r="P160" s="458"/>
      <c r="Q160" s="130"/>
      <c r="R160" s="130"/>
      <c r="S160" s="130"/>
      <c r="T160" s="130"/>
      <c r="U160" s="130"/>
      <c r="V160" s="130"/>
      <c r="W160" s="130"/>
      <c r="X160" s="130"/>
      <c r="Y160" s="130"/>
      <c r="Z160" s="130"/>
      <c r="AA160" s="130"/>
      <c r="AB160" s="130"/>
      <c r="AC160" s="130"/>
      <c r="AD160" s="130"/>
      <c r="AE160" s="130"/>
      <c r="AF160" s="130"/>
      <c r="AG160" s="130"/>
      <c r="AH160" s="130"/>
      <c r="AI160" s="130"/>
      <c r="AJ160" s="130"/>
      <c r="AK160" s="130"/>
      <c r="AL160" s="130"/>
      <c r="AM160" s="130"/>
      <c r="AN160" s="130"/>
      <c r="AO160" s="130"/>
      <c r="AP160" s="130"/>
      <c r="AQ160" s="130"/>
      <c r="AR160" s="130"/>
      <c r="AS160" s="130"/>
      <c r="AT160" s="130"/>
      <c r="AU160" s="130"/>
      <c r="AV160" s="130"/>
      <c r="AW160" s="130"/>
      <c r="AX160" s="130"/>
      <c r="AY160" s="130"/>
    </row>
    <row r="161" spans="1:51">
      <c r="A161" s="115"/>
      <c r="B161" s="130"/>
      <c r="C161" s="130"/>
      <c r="D161" s="130"/>
      <c r="E161" s="130"/>
      <c r="F161" s="130"/>
      <c r="G161" s="130"/>
      <c r="H161" s="130"/>
      <c r="I161" s="130"/>
      <c r="J161" s="130"/>
      <c r="K161" s="130"/>
      <c r="L161" s="130"/>
      <c r="M161" s="130"/>
      <c r="N161" s="130"/>
      <c r="O161" s="130"/>
      <c r="P161" s="458"/>
      <c r="Q161" s="130"/>
      <c r="R161" s="130"/>
      <c r="S161" s="130"/>
      <c r="T161" s="130"/>
      <c r="U161" s="130"/>
      <c r="V161" s="130"/>
      <c r="W161" s="130"/>
      <c r="X161" s="130"/>
      <c r="Y161" s="130"/>
      <c r="Z161" s="130"/>
      <c r="AA161" s="130"/>
      <c r="AB161" s="130"/>
      <c r="AC161" s="130"/>
      <c r="AD161" s="130"/>
      <c r="AE161" s="130"/>
      <c r="AF161" s="130"/>
      <c r="AG161" s="130"/>
      <c r="AH161" s="130"/>
      <c r="AI161" s="130"/>
      <c r="AJ161" s="130"/>
      <c r="AK161" s="130"/>
      <c r="AL161" s="130"/>
      <c r="AM161" s="130"/>
      <c r="AN161" s="130"/>
      <c r="AO161" s="130"/>
      <c r="AP161" s="130"/>
      <c r="AQ161" s="130"/>
      <c r="AR161" s="130"/>
      <c r="AS161" s="130"/>
      <c r="AT161" s="130"/>
      <c r="AU161" s="130"/>
      <c r="AV161" s="130"/>
      <c r="AW161" s="130"/>
      <c r="AX161" s="130"/>
      <c r="AY161" s="130"/>
    </row>
    <row r="162" spans="1:51">
      <c r="A162" s="115"/>
      <c r="B162" s="130"/>
      <c r="C162" s="130"/>
      <c r="D162" s="130"/>
      <c r="E162" s="130"/>
      <c r="F162" s="130"/>
      <c r="G162" s="130"/>
      <c r="H162" s="130"/>
      <c r="I162" s="130"/>
      <c r="J162" s="130"/>
      <c r="K162" s="130"/>
      <c r="L162" s="130"/>
      <c r="M162" s="130"/>
      <c r="N162" s="130"/>
      <c r="O162" s="130"/>
      <c r="P162" s="458"/>
      <c r="Q162" s="130"/>
      <c r="R162" s="130"/>
      <c r="S162" s="130"/>
      <c r="T162" s="130"/>
      <c r="U162" s="130"/>
      <c r="V162" s="130"/>
      <c r="W162" s="130"/>
      <c r="X162" s="130"/>
      <c r="Y162" s="130"/>
      <c r="Z162" s="130"/>
      <c r="AA162" s="130"/>
      <c r="AB162" s="130"/>
      <c r="AC162" s="130"/>
      <c r="AD162" s="130"/>
      <c r="AE162" s="130"/>
      <c r="AF162" s="130"/>
      <c r="AG162" s="130"/>
      <c r="AH162" s="130"/>
      <c r="AI162" s="130"/>
      <c r="AJ162" s="130"/>
      <c r="AK162" s="130"/>
      <c r="AL162" s="130"/>
      <c r="AM162" s="130"/>
      <c r="AN162" s="130"/>
      <c r="AO162" s="130"/>
      <c r="AP162" s="130"/>
      <c r="AQ162" s="130"/>
      <c r="AR162" s="130"/>
      <c r="AS162" s="130"/>
      <c r="AT162" s="130"/>
      <c r="AU162" s="130"/>
      <c r="AV162" s="130"/>
      <c r="AW162" s="130"/>
      <c r="AX162" s="130"/>
      <c r="AY162" s="130"/>
    </row>
    <row r="163" spans="1:51">
      <c r="A163" s="115"/>
      <c r="B163" s="130"/>
      <c r="C163" s="130"/>
      <c r="D163" s="130"/>
      <c r="E163" s="130"/>
      <c r="F163" s="130"/>
      <c r="G163" s="130"/>
      <c r="H163" s="130"/>
      <c r="I163" s="130"/>
      <c r="J163" s="130"/>
      <c r="K163" s="130"/>
      <c r="L163" s="130"/>
      <c r="M163" s="130"/>
      <c r="N163" s="130"/>
      <c r="O163" s="130"/>
      <c r="P163" s="458"/>
      <c r="Q163" s="130"/>
      <c r="R163" s="130"/>
      <c r="S163" s="130"/>
      <c r="T163" s="130"/>
      <c r="U163" s="130"/>
      <c r="V163" s="130"/>
      <c r="W163" s="130"/>
      <c r="X163" s="130"/>
      <c r="Y163" s="130"/>
      <c r="Z163" s="130"/>
      <c r="AA163" s="130"/>
      <c r="AB163" s="130"/>
      <c r="AC163" s="130"/>
      <c r="AD163" s="130"/>
      <c r="AE163" s="130"/>
      <c r="AF163" s="130"/>
      <c r="AG163" s="130"/>
      <c r="AH163" s="130"/>
      <c r="AI163" s="130"/>
      <c r="AJ163" s="130"/>
      <c r="AK163" s="130"/>
      <c r="AL163" s="130"/>
      <c r="AM163" s="130"/>
      <c r="AN163" s="130"/>
      <c r="AO163" s="130"/>
      <c r="AP163" s="130"/>
      <c r="AQ163" s="130"/>
      <c r="AR163" s="130"/>
      <c r="AS163" s="130"/>
      <c r="AT163" s="130"/>
      <c r="AU163" s="130"/>
      <c r="AV163" s="130"/>
      <c r="AW163" s="130"/>
      <c r="AX163" s="130"/>
      <c r="AY163" s="130"/>
    </row>
    <row r="164" spans="1:51">
      <c r="A164" s="115"/>
      <c r="B164" s="130"/>
      <c r="C164" s="130"/>
      <c r="D164" s="130"/>
      <c r="E164" s="130"/>
      <c r="F164" s="130"/>
      <c r="G164" s="130"/>
      <c r="H164" s="130"/>
      <c r="I164" s="130"/>
      <c r="J164" s="130"/>
      <c r="K164" s="130"/>
      <c r="L164" s="130"/>
      <c r="M164" s="130"/>
      <c r="N164" s="130"/>
      <c r="O164" s="130"/>
      <c r="P164" s="458"/>
      <c r="Q164" s="130"/>
      <c r="R164" s="130"/>
      <c r="S164" s="130"/>
      <c r="T164" s="130"/>
      <c r="U164" s="130"/>
      <c r="V164" s="130"/>
      <c r="W164" s="130"/>
      <c r="X164" s="130"/>
      <c r="Y164" s="130"/>
      <c r="Z164" s="130"/>
      <c r="AA164" s="130"/>
      <c r="AB164" s="130"/>
      <c r="AC164" s="130"/>
      <c r="AD164" s="130"/>
      <c r="AE164" s="130"/>
      <c r="AF164" s="130"/>
      <c r="AG164" s="130"/>
      <c r="AH164" s="130"/>
      <c r="AI164" s="130"/>
      <c r="AJ164" s="130"/>
      <c r="AK164" s="130"/>
      <c r="AL164" s="130"/>
      <c r="AM164" s="130"/>
      <c r="AN164" s="130"/>
      <c r="AO164" s="130"/>
      <c r="AP164" s="130"/>
      <c r="AQ164" s="130"/>
      <c r="AR164" s="130"/>
      <c r="AS164" s="130"/>
      <c r="AT164" s="130"/>
      <c r="AU164" s="130"/>
      <c r="AV164" s="130"/>
      <c r="AW164" s="130"/>
      <c r="AX164" s="130"/>
      <c r="AY164" s="130"/>
    </row>
    <row r="165" spans="1:51">
      <c r="A165" s="115"/>
      <c r="B165" s="130"/>
      <c r="C165" s="130"/>
      <c r="D165" s="130"/>
      <c r="E165" s="130"/>
      <c r="F165" s="130"/>
      <c r="G165" s="130"/>
      <c r="H165" s="130"/>
      <c r="I165" s="130"/>
      <c r="J165" s="130"/>
      <c r="K165" s="130"/>
      <c r="L165" s="130"/>
      <c r="M165" s="130"/>
      <c r="N165" s="130"/>
      <c r="O165" s="130"/>
      <c r="P165" s="458"/>
      <c r="Q165" s="130"/>
      <c r="R165" s="130"/>
      <c r="S165" s="130"/>
      <c r="T165" s="130"/>
      <c r="U165" s="130"/>
      <c r="V165" s="130"/>
      <c r="W165" s="130"/>
      <c r="X165" s="130"/>
      <c r="Y165" s="130"/>
      <c r="Z165" s="130"/>
      <c r="AA165" s="130"/>
      <c r="AB165" s="130"/>
      <c r="AC165" s="130"/>
      <c r="AD165" s="130"/>
      <c r="AE165" s="130"/>
      <c r="AF165" s="130"/>
      <c r="AG165" s="130"/>
      <c r="AH165" s="130"/>
      <c r="AI165" s="130"/>
      <c r="AJ165" s="130"/>
      <c r="AK165" s="130"/>
      <c r="AL165" s="130"/>
      <c r="AM165" s="130"/>
      <c r="AN165" s="130"/>
      <c r="AO165" s="130"/>
      <c r="AP165" s="130"/>
      <c r="AQ165" s="130"/>
      <c r="AR165" s="130"/>
      <c r="AS165" s="130"/>
      <c r="AT165" s="130"/>
      <c r="AU165" s="130"/>
      <c r="AV165" s="130"/>
      <c r="AW165" s="130"/>
      <c r="AX165" s="130"/>
      <c r="AY165" s="130"/>
    </row>
    <row r="166" spans="1:51">
      <c r="A166" s="115"/>
      <c r="B166" s="130"/>
      <c r="C166" s="130"/>
      <c r="D166" s="130"/>
      <c r="E166" s="130"/>
      <c r="F166" s="130"/>
      <c r="G166" s="130"/>
      <c r="H166" s="130"/>
      <c r="I166" s="130"/>
      <c r="J166" s="130"/>
      <c r="K166" s="130"/>
      <c r="L166" s="130"/>
      <c r="M166" s="130"/>
      <c r="N166" s="130"/>
      <c r="O166" s="130"/>
      <c r="P166" s="458"/>
      <c r="Q166" s="130"/>
      <c r="R166" s="130"/>
      <c r="S166" s="130"/>
      <c r="T166" s="130"/>
      <c r="U166" s="130"/>
      <c r="V166" s="130"/>
      <c r="W166" s="130"/>
      <c r="X166" s="130"/>
      <c r="Y166" s="130"/>
      <c r="Z166" s="130"/>
      <c r="AA166" s="130"/>
      <c r="AB166" s="130"/>
      <c r="AC166" s="130"/>
      <c r="AD166" s="130"/>
      <c r="AE166" s="130"/>
      <c r="AF166" s="130"/>
      <c r="AG166" s="130"/>
      <c r="AH166" s="130"/>
      <c r="AI166" s="130"/>
      <c r="AJ166" s="130"/>
      <c r="AK166" s="130"/>
      <c r="AL166" s="130"/>
      <c r="AM166" s="130"/>
      <c r="AN166" s="130"/>
      <c r="AO166" s="130"/>
      <c r="AP166" s="130"/>
      <c r="AQ166" s="130"/>
      <c r="AR166" s="130"/>
      <c r="AS166" s="130"/>
      <c r="AT166" s="130"/>
      <c r="AU166" s="130"/>
      <c r="AV166" s="130"/>
      <c r="AW166" s="130"/>
      <c r="AX166" s="130"/>
      <c r="AY166" s="130"/>
    </row>
    <row r="167" spans="1:51">
      <c r="A167" s="115"/>
      <c r="B167" s="130"/>
      <c r="C167" s="130"/>
      <c r="D167" s="130"/>
      <c r="E167" s="130"/>
      <c r="F167" s="130"/>
      <c r="G167" s="130"/>
      <c r="H167" s="130"/>
      <c r="I167" s="130"/>
      <c r="J167" s="130"/>
      <c r="K167" s="130"/>
      <c r="L167" s="130"/>
      <c r="M167" s="130"/>
      <c r="N167" s="130"/>
      <c r="O167" s="130"/>
      <c r="P167" s="458"/>
      <c r="Q167" s="130"/>
      <c r="R167" s="130"/>
      <c r="S167" s="130"/>
      <c r="T167" s="130"/>
      <c r="U167" s="130"/>
      <c r="V167" s="130"/>
      <c r="W167" s="130"/>
      <c r="X167" s="130"/>
      <c r="Y167" s="130"/>
      <c r="Z167" s="130"/>
      <c r="AA167" s="130"/>
      <c r="AB167" s="130"/>
      <c r="AC167" s="130"/>
      <c r="AD167" s="130"/>
      <c r="AE167" s="130"/>
      <c r="AF167" s="130"/>
      <c r="AG167" s="130"/>
      <c r="AH167" s="130"/>
      <c r="AI167" s="130"/>
      <c r="AJ167" s="130"/>
      <c r="AK167" s="130"/>
      <c r="AL167" s="130"/>
      <c r="AM167" s="130"/>
      <c r="AN167" s="130"/>
      <c r="AO167" s="130"/>
      <c r="AP167" s="130"/>
      <c r="AQ167" s="130"/>
      <c r="AR167" s="130"/>
      <c r="AS167" s="130"/>
      <c r="AT167" s="130"/>
      <c r="AU167" s="130"/>
      <c r="AV167" s="130"/>
      <c r="AW167" s="130"/>
      <c r="AX167" s="130"/>
      <c r="AY167" s="130"/>
    </row>
    <row r="168" spans="1:51">
      <c r="A168" s="115"/>
      <c r="B168" s="130"/>
      <c r="C168" s="130"/>
      <c r="D168" s="130"/>
      <c r="E168" s="130"/>
      <c r="F168" s="130"/>
      <c r="G168" s="130"/>
      <c r="H168" s="130"/>
      <c r="I168" s="130"/>
      <c r="J168" s="130"/>
      <c r="K168" s="130"/>
      <c r="L168" s="130"/>
      <c r="M168" s="130"/>
      <c r="N168" s="130"/>
      <c r="O168" s="130"/>
      <c r="P168" s="458"/>
      <c r="Q168" s="130"/>
      <c r="R168" s="130"/>
      <c r="S168" s="130"/>
      <c r="T168" s="130"/>
      <c r="U168" s="130"/>
      <c r="V168" s="130"/>
      <c r="W168" s="130"/>
      <c r="X168" s="130"/>
      <c r="Y168" s="130"/>
      <c r="Z168" s="130"/>
      <c r="AA168" s="130"/>
      <c r="AB168" s="130"/>
      <c r="AC168" s="130"/>
      <c r="AD168" s="130"/>
      <c r="AE168" s="130"/>
      <c r="AF168" s="130"/>
      <c r="AG168" s="130"/>
      <c r="AH168" s="130"/>
      <c r="AI168" s="130"/>
      <c r="AJ168" s="130"/>
      <c r="AK168" s="130"/>
      <c r="AL168" s="130"/>
      <c r="AM168" s="130"/>
      <c r="AN168" s="130"/>
      <c r="AO168" s="130"/>
      <c r="AP168" s="130"/>
      <c r="AQ168" s="130"/>
      <c r="AR168" s="130"/>
      <c r="AS168" s="130"/>
      <c r="AT168" s="130"/>
      <c r="AU168" s="130"/>
      <c r="AV168" s="130"/>
      <c r="AW168" s="130"/>
      <c r="AX168" s="130"/>
      <c r="AY168" s="130"/>
    </row>
    <row r="169" spans="1:51">
      <c r="A169" s="115"/>
      <c r="B169" s="130"/>
      <c r="C169" s="130"/>
      <c r="D169" s="130"/>
      <c r="E169" s="130"/>
      <c r="F169" s="130"/>
      <c r="G169" s="130"/>
      <c r="H169" s="130"/>
      <c r="I169" s="130"/>
      <c r="J169" s="130"/>
      <c r="K169" s="130"/>
      <c r="L169" s="130"/>
      <c r="M169" s="130"/>
      <c r="N169" s="130"/>
      <c r="O169" s="130"/>
      <c r="P169" s="458"/>
      <c r="Q169" s="130"/>
      <c r="R169" s="130"/>
      <c r="S169" s="130"/>
      <c r="T169" s="130"/>
      <c r="U169" s="130"/>
      <c r="V169" s="130"/>
      <c r="W169" s="130"/>
      <c r="X169" s="130"/>
      <c r="Y169" s="130"/>
      <c r="Z169" s="130"/>
      <c r="AA169" s="130"/>
      <c r="AB169" s="130"/>
      <c r="AC169" s="130"/>
      <c r="AD169" s="130"/>
      <c r="AE169" s="130"/>
      <c r="AF169" s="130"/>
      <c r="AG169" s="130"/>
      <c r="AH169" s="130"/>
      <c r="AI169" s="130"/>
      <c r="AJ169" s="130"/>
      <c r="AK169" s="130"/>
      <c r="AL169" s="130"/>
      <c r="AM169" s="130"/>
      <c r="AN169" s="130"/>
      <c r="AO169" s="130"/>
      <c r="AP169" s="130"/>
      <c r="AQ169" s="130"/>
      <c r="AR169" s="130"/>
      <c r="AS169" s="130"/>
      <c r="AT169" s="130"/>
      <c r="AU169" s="130"/>
      <c r="AV169" s="130"/>
      <c r="AW169" s="130"/>
      <c r="AX169" s="130"/>
      <c r="AY169" s="130"/>
    </row>
    <row r="170" spans="1:51">
      <c r="A170" s="115"/>
      <c r="B170" s="130"/>
      <c r="C170" s="130"/>
      <c r="D170" s="130"/>
      <c r="E170" s="130"/>
      <c r="F170" s="130"/>
      <c r="G170" s="130"/>
      <c r="H170" s="130"/>
      <c r="I170" s="130"/>
      <c r="J170" s="130"/>
      <c r="K170" s="130"/>
      <c r="L170" s="130"/>
      <c r="M170" s="130"/>
      <c r="N170" s="130"/>
      <c r="O170" s="130"/>
      <c r="P170" s="458"/>
      <c r="Q170" s="130"/>
      <c r="R170" s="130"/>
      <c r="S170" s="130"/>
      <c r="T170" s="130"/>
      <c r="U170" s="130"/>
      <c r="V170" s="130"/>
      <c r="W170" s="130"/>
      <c r="X170" s="130"/>
      <c r="Y170" s="130"/>
      <c r="Z170" s="130"/>
      <c r="AA170" s="130"/>
      <c r="AB170" s="130"/>
      <c r="AC170" s="130"/>
      <c r="AD170" s="130"/>
      <c r="AE170" s="130"/>
      <c r="AF170" s="130"/>
      <c r="AG170" s="130"/>
      <c r="AH170" s="130"/>
      <c r="AI170" s="130"/>
      <c r="AJ170" s="130"/>
      <c r="AK170" s="130"/>
      <c r="AL170" s="130"/>
      <c r="AM170" s="130"/>
      <c r="AN170" s="130"/>
      <c r="AO170" s="130"/>
      <c r="AP170" s="130"/>
      <c r="AQ170" s="130"/>
      <c r="AR170" s="130"/>
      <c r="AS170" s="130"/>
      <c r="AT170" s="130"/>
      <c r="AU170" s="130"/>
      <c r="AV170" s="130"/>
      <c r="AW170" s="130"/>
      <c r="AX170" s="130"/>
      <c r="AY170" s="130"/>
    </row>
    <row r="171" spans="1:51">
      <c r="A171" s="115"/>
      <c r="B171" s="130"/>
      <c r="C171" s="130"/>
      <c r="D171" s="130"/>
      <c r="E171" s="130"/>
      <c r="F171" s="130"/>
      <c r="G171" s="130"/>
      <c r="H171" s="130"/>
      <c r="I171" s="130"/>
      <c r="J171" s="130"/>
      <c r="K171" s="130"/>
      <c r="L171" s="130"/>
      <c r="M171" s="130"/>
      <c r="N171" s="130"/>
      <c r="O171" s="130"/>
      <c r="P171" s="458"/>
      <c r="Q171" s="130"/>
      <c r="R171" s="130"/>
      <c r="S171" s="130"/>
      <c r="T171" s="130"/>
      <c r="U171" s="130"/>
      <c r="V171" s="130"/>
      <c r="W171" s="130"/>
      <c r="X171" s="130"/>
      <c r="Y171" s="130"/>
      <c r="Z171" s="130"/>
      <c r="AA171" s="130"/>
      <c r="AB171" s="130"/>
      <c r="AC171" s="130"/>
      <c r="AD171" s="130"/>
      <c r="AE171" s="130"/>
      <c r="AF171" s="130"/>
      <c r="AG171" s="130"/>
      <c r="AH171" s="130"/>
      <c r="AI171" s="130"/>
      <c r="AJ171" s="130"/>
      <c r="AK171" s="130"/>
      <c r="AL171" s="130"/>
      <c r="AM171" s="130"/>
      <c r="AN171" s="130"/>
      <c r="AO171" s="130"/>
      <c r="AP171" s="130"/>
      <c r="AQ171" s="130"/>
      <c r="AR171" s="130"/>
      <c r="AS171" s="130"/>
      <c r="AT171" s="130"/>
      <c r="AU171" s="130"/>
      <c r="AV171" s="130"/>
      <c r="AW171" s="130"/>
      <c r="AX171" s="130"/>
      <c r="AY171" s="130"/>
    </row>
    <row r="172" spans="1:51">
      <c r="A172" s="115"/>
      <c r="B172" s="130"/>
      <c r="C172" s="130"/>
      <c r="D172" s="130"/>
      <c r="E172" s="130"/>
      <c r="F172" s="130"/>
      <c r="G172" s="130"/>
      <c r="H172" s="130"/>
      <c r="I172" s="130"/>
      <c r="J172" s="130"/>
      <c r="K172" s="130"/>
      <c r="L172" s="130"/>
      <c r="M172" s="130"/>
      <c r="N172" s="130"/>
      <c r="O172" s="130"/>
      <c r="P172" s="458"/>
      <c r="Q172" s="130"/>
      <c r="R172" s="130"/>
      <c r="S172" s="130"/>
      <c r="T172" s="130"/>
      <c r="U172" s="130"/>
      <c r="V172" s="130"/>
      <c r="W172" s="130"/>
      <c r="X172" s="130"/>
      <c r="Y172" s="130"/>
      <c r="Z172" s="130"/>
      <c r="AA172" s="130"/>
      <c r="AB172" s="130"/>
      <c r="AC172" s="130"/>
      <c r="AD172" s="130"/>
      <c r="AE172" s="130"/>
      <c r="AF172" s="130"/>
      <c r="AG172" s="130"/>
      <c r="AH172" s="130"/>
      <c r="AI172" s="130"/>
      <c r="AJ172" s="130"/>
      <c r="AK172" s="130"/>
      <c r="AL172" s="130"/>
      <c r="AM172" s="130"/>
      <c r="AN172" s="130"/>
      <c r="AO172" s="130"/>
      <c r="AP172" s="130"/>
      <c r="AQ172" s="130"/>
      <c r="AR172" s="130"/>
      <c r="AS172" s="130"/>
      <c r="AT172" s="130"/>
      <c r="AU172" s="130"/>
      <c r="AV172" s="130"/>
      <c r="AW172" s="130"/>
      <c r="AX172" s="130"/>
      <c r="AY172" s="130"/>
    </row>
    <row r="173" spans="1:51">
      <c r="A173" s="115"/>
      <c r="B173" s="130"/>
      <c r="C173" s="130"/>
      <c r="D173" s="130"/>
      <c r="E173" s="130"/>
      <c r="F173" s="130"/>
      <c r="G173" s="130"/>
      <c r="H173" s="130"/>
      <c r="I173" s="130"/>
      <c r="J173" s="130"/>
      <c r="K173" s="130"/>
      <c r="L173" s="130"/>
      <c r="M173" s="130"/>
      <c r="N173" s="130"/>
      <c r="O173" s="130"/>
      <c r="P173" s="458"/>
      <c r="Q173" s="130"/>
      <c r="R173" s="130"/>
      <c r="S173" s="130"/>
      <c r="T173" s="130"/>
      <c r="U173" s="130"/>
      <c r="V173" s="130"/>
      <c r="W173" s="130"/>
      <c r="X173" s="130"/>
      <c r="Y173" s="130"/>
      <c r="Z173" s="130"/>
      <c r="AA173" s="130"/>
      <c r="AB173" s="130"/>
      <c r="AC173" s="130"/>
      <c r="AD173" s="130"/>
      <c r="AE173" s="130"/>
      <c r="AF173" s="130"/>
      <c r="AG173" s="130"/>
      <c r="AH173" s="130"/>
      <c r="AI173" s="130"/>
      <c r="AJ173" s="130"/>
      <c r="AK173" s="130"/>
      <c r="AL173" s="130"/>
      <c r="AM173" s="130"/>
      <c r="AN173" s="130"/>
      <c r="AO173" s="130"/>
      <c r="AP173" s="130"/>
      <c r="AQ173" s="130"/>
      <c r="AR173" s="130"/>
      <c r="AS173" s="130"/>
      <c r="AT173" s="130"/>
      <c r="AU173" s="130"/>
      <c r="AV173" s="130"/>
      <c r="AW173" s="130"/>
      <c r="AX173" s="130"/>
      <c r="AY173" s="130"/>
    </row>
    <row r="174" spans="1:51">
      <c r="A174" s="115"/>
      <c r="B174" s="130"/>
      <c r="C174" s="130"/>
      <c r="D174" s="130"/>
      <c r="E174" s="130"/>
      <c r="F174" s="130"/>
      <c r="G174" s="130"/>
      <c r="H174" s="130"/>
      <c r="I174" s="130"/>
      <c r="J174" s="130"/>
      <c r="K174" s="130"/>
      <c r="L174" s="130"/>
      <c r="M174" s="130"/>
      <c r="N174" s="130"/>
      <c r="O174" s="130"/>
      <c r="P174" s="458"/>
      <c r="Q174" s="130"/>
      <c r="R174" s="130"/>
      <c r="S174" s="130"/>
      <c r="T174" s="130"/>
      <c r="U174" s="130"/>
      <c r="V174" s="130"/>
      <c r="W174" s="130"/>
      <c r="X174" s="130"/>
      <c r="Y174" s="130"/>
      <c r="Z174" s="130"/>
      <c r="AA174" s="130"/>
      <c r="AB174" s="130"/>
      <c r="AC174" s="130"/>
      <c r="AD174" s="130"/>
      <c r="AE174" s="130"/>
      <c r="AF174" s="130"/>
      <c r="AG174" s="130"/>
      <c r="AH174" s="130"/>
      <c r="AI174" s="130"/>
      <c r="AJ174" s="130"/>
      <c r="AK174" s="130"/>
      <c r="AL174" s="130"/>
      <c r="AM174" s="130"/>
      <c r="AN174" s="130"/>
      <c r="AO174" s="130"/>
      <c r="AP174" s="130"/>
      <c r="AQ174" s="130"/>
      <c r="AR174" s="130"/>
      <c r="AS174" s="130"/>
      <c r="AT174" s="130"/>
      <c r="AU174" s="130"/>
      <c r="AV174" s="130"/>
      <c r="AW174" s="130"/>
      <c r="AX174" s="130"/>
      <c r="AY174" s="130"/>
    </row>
    <row r="175" spans="1:51">
      <c r="A175" s="115"/>
      <c r="B175" s="130"/>
      <c r="C175" s="130"/>
      <c r="D175" s="130"/>
      <c r="E175" s="130"/>
      <c r="F175" s="130"/>
      <c r="G175" s="130"/>
      <c r="H175" s="130"/>
      <c r="I175" s="130"/>
      <c r="J175" s="130"/>
      <c r="K175" s="130"/>
      <c r="L175" s="130"/>
      <c r="M175" s="130"/>
      <c r="N175" s="130"/>
      <c r="O175" s="130"/>
      <c r="P175" s="458"/>
      <c r="Q175" s="130"/>
      <c r="R175" s="130"/>
      <c r="S175" s="130"/>
      <c r="T175" s="130"/>
      <c r="U175" s="130"/>
      <c r="V175" s="130"/>
      <c r="W175" s="130"/>
      <c r="X175" s="130"/>
      <c r="Y175" s="130"/>
      <c r="Z175" s="130"/>
      <c r="AA175" s="130"/>
      <c r="AB175" s="130"/>
      <c r="AC175" s="130"/>
      <c r="AD175" s="130"/>
      <c r="AE175" s="130"/>
      <c r="AF175" s="130"/>
      <c r="AG175" s="130"/>
      <c r="AH175" s="130"/>
      <c r="AI175" s="130"/>
      <c r="AJ175" s="130"/>
      <c r="AK175" s="130"/>
      <c r="AL175" s="130"/>
      <c r="AM175" s="130"/>
      <c r="AN175" s="130"/>
      <c r="AO175" s="130"/>
      <c r="AP175" s="130"/>
      <c r="AQ175" s="130"/>
      <c r="AR175" s="130"/>
      <c r="AS175" s="130"/>
      <c r="AT175" s="130"/>
      <c r="AU175" s="130"/>
      <c r="AV175" s="130"/>
      <c r="AW175" s="130"/>
      <c r="AX175" s="130"/>
      <c r="AY175" s="130"/>
    </row>
    <row r="176" spans="1:51">
      <c r="A176" s="115"/>
      <c r="B176" s="130"/>
      <c r="C176" s="130"/>
      <c r="D176" s="130"/>
      <c r="E176" s="130"/>
      <c r="F176" s="130"/>
      <c r="G176" s="130"/>
      <c r="H176" s="130"/>
      <c r="I176" s="130"/>
      <c r="J176" s="130"/>
      <c r="K176" s="130"/>
      <c r="L176" s="130"/>
      <c r="M176" s="130"/>
      <c r="N176" s="130"/>
      <c r="O176" s="130"/>
      <c r="P176" s="458"/>
      <c r="Q176" s="130"/>
      <c r="R176" s="130"/>
      <c r="S176" s="130"/>
      <c r="T176" s="130"/>
      <c r="U176" s="130"/>
      <c r="V176" s="130"/>
      <c r="W176" s="130"/>
      <c r="X176" s="130"/>
      <c r="Y176" s="130"/>
      <c r="Z176" s="130"/>
      <c r="AA176" s="130"/>
      <c r="AB176" s="130"/>
      <c r="AC176" s="130"/>
      <c r="AD176" s="130"/>
      <c r="AE176" s="130"/>
      <c r="AF176" s="130"/>
      <c r="AG176" s="130"/>
      <c r="AH176" s="130"/>
      <c r="AI176" s="130"/>
      <c r="AJ176" s="130"/>
      <c r="AK176" s="130"/>
      <c r="AL176" s="130"/>
      <c r="AM176" s="130"/>
      <c r="AN176" s="130"/>
      <c r="AO176" s="130"/>
      <c r="AP176" s="130"/>
      <c r="AQ176" s="130"/>
      <c r="AR176" s="130"/>
      <c r="AS176" s="130"/>
      <c r="AT176" s="130"/>
      <c r="AU176" s="130"/>
      <c r="AV176" s="130"/>
      <c r="AW176" s="130"/>
      <c r="AX176" s="130"/>
      <c r="AY176" s="130"/>
    </row>
    <row r="177" spans="1:51">
      <c r="A177" s="115"/>
      <c r="B177" s="130"/>
      <c r="C177" s="130"/>
      <c r="D177" s="130"/>
      <c r="E177" s="130"/>
      <c r="F177" s="130"/>
      <c r="G177" s="130"/>
      <c r="H177" s="130"/>
      <c r="I177" s="130"/>
      <c r="J177" s="130"/>
      <c r="K177" s="130"/>
      <c r="L177" s="130"/>
      <c r="M177" s="130"/>
      <c r="N177" s="130"/>
      <c r="O177" s="130"/>
      <c r="P177" s="458"/>
      <c r="Q177" s="130"/>
      <c r="R177" s="130"/>
      <c r="S177" s="130"/>
      <c r="T177" s="130"/>
      <c r="U177" s="130"/>
      <c r="V177" s="130"/>
      <c r="W177" s="130"/>
      <c r="X177" s="130"/>
      <c r="Y177" s="130"/>
      <c r="Z177" s="130"/>
      <c r="AA177" s="130"/>
      <c r="AB177" s="130"/>
      <c r="AC177" s="130"/>
      <c r="AD177" s="130"/>
      <c r="AE177" s="130"/>
      <c r="AF177" s="130"/>
      <c r="AG177" s="130"/>
      <c r="AH177" s="130"/>
      <c r="AI177" s="130"/>
      <c r="AJ177" s="130"/>
      <c r="AK177" s="130"/>
      <c r="AL177" s="130"/>
      <c r="AM177" s="130"/>
      <c r="AN177" s="130"/>
      <c r="AO177" s="130"/>
      <c r="AP177" s="130"/>
      <c r="AQ177" s="130"/>
      <c r="AR177" s="130"/>
      <c r="AS177" s="130"/>
      <c r="AT177" s="130"/>
      <c r="AU177" s="130"/>
      <c r="AV177" s="130"/>
      <c r="AW177" s="130"/>
      <c r="AX177" s="130"/>
      <c r="AY177" s="130"/>
    </row>
    <row r="178" spans="1:51">
      <c r="A178" s="115"/>
      <c r="B178" s="130"/>
      <c r="C178" s="130"/>
      <c r="D178" s="130"/>
      <c r="E178" s="130"/>
      <c r="F178" s="130"/>
      <c r="G178" s="130"/>
      <c r="H178" s="130"/>
      <c r="I178" s="130"/>
      <c r="J178" s="130"/>
      <c r="K178" s="130"/>
      <c r="L178" s="130"/>
      <c r="M178" s="130"/>
      <c r="N178" s="130"/>
      <c r="O178" s="130"/>
      <c r="P178" s="458"/>
      <c r="Q178" s="130"/>
      <c r="R178" s="130"/>
      <c r="S178" s="130"/>
      <c r="T178" s="130"/>
      <c r="U178" s="130"/>
      <c r="V178" s="130"/>
      <c r="W178" s="130"/>
      <c r="X178" s="130"/>
      <c r="Y178" s="130"/>
      <c r="Z178" s="130"/>
      <c r="AA178" s="130"/>
      <c r="AB178" s="130"/>
      <c r="AC178" s="130"/>
      <c r="AD178" s="130"/>
      <c r="AE178" s="130"/>
      <c r="AF178" s="130"/>
      <c r="AG178" s="130"/>
      <c r="AH178" s="130"/>
      <c r="AI178" s="130"/>
      <c r="AJ178" s="130"/>
      <c r="AK178" s="130"/>
      <c r="AL178" s="130"/>
      <c r="AM178" s="130"/>
      <c r="AN178" s="130"/>
      <c r="AO178" s="130"/>
      <c r="AP178" s="130"/>
      <c r="AQ178" s="130"/>
      <c r="AR178" s="130"/>
      <c r="AS178" s="130"/>
      <c r="AT178" s="130"/>
      <c r="AU178" s="130"/>
      <c r="AV178" s="130"/>
      <c r="AW178" s="130"/>
      <c r="AX178" s="130"/>
      <c r="AY178" s="130"/>
    </row>
    <row r="179" spans="1:51">
      <c r="A179" s="115"/>
      <c r="B179" s="130"/>
      <c r="C179" s="130"/>
      <c r="D179" s="130"/>
      <c r="E179" s="130"/>
      <c r="F179" s="130"/>
      <c r="G179" s="130"/>
      <c r="H179" s="130"/>
      <c r="I179" s="130"/>
      <c r="J179" s="130"/>
      <c r="K179" s="130"/>
      <c r="L179" s="130"/>
      <c r="M179" s="130"/>
      <c r="N179" s="130"/>
      <c r="O179" s="130"/>
      <c r="P179" s="458"/>
      <c r="Q179" s="130"/>
      <c r="R179" s="130"/>
      <c r="S179" s="130"/>
      <c r="T179" s="130"/>
      <c r="U179" s="130"/>
      <c r="V179" s="130"/>
      <c r="W179" s="130"/>
      <c r="X179" s="130"/>
      <c r="Y179" s="130"/>
      <c r="Z179" s="130"/>
      <c r="AA179" s="130"/>
      <c r="AB179" s="130"/>
      <c r="AC179" s="130"/>
      <c r="AD179" s="130"/>
      <c r="AE179" s="130"/>
      <c r="AF179" s="130"/>
      <c r="AG179" s="130"/>
      <c r="AH179" s="130"/>
      <c r="AI179" s="130"/>
      <c r="AJ179" s="130"/>
      <c r="AK179" s="130"/>
      <c r="AL179" s="130"/>
      <c r="AM179" s="130"/>
      <c r="AN179" s="130"/>
      <c r="AO179" s="130"/>
      <c r="AP179" s="130"/>
      <c r="AQ179" s="130"/>
      <c r="AR179" s="130"/>
      <c r="AS179" s="130"/>
      <c r="AT179" s="130"/>
      <c r="AU179" s="130"/>
      <c r="AV179" s="130"/>
      <c r="AW179" s="130"/>
      <c r="AX179" s="130"/>
      <c r="AY179" s="130"/>
    </row>
    <row r="180" spans="1:51">
      <c r="A180" s="115"/>
      <c r="B180" s="130"/>
      <c r="C180" s="130"/>
      <c r="D180" s="130"/>
      <c r="E180" s="130"/>
      <c r="F180" s="130"/>
      <c r="G180" s="130"/>
      <c r="H180" s="130"/>
      <c r="I180" s="130"/>
      <c r="J180" s="130"/>
      <c r="K180" s="130"/>
      <c r="L180" s="130"/>
      <c r="M180" s="130"/>
      <c r="N180" s="130"/>
      <c r="O180" s="130"/>
      <c r="P180" s="458"/>
      <c r="Q180" s="130"/>
      <c r="R180" s="130"/>
      <c r="S180" s="130"/>
      <c r="T180" s="130"/>
      <c r="U180" s="130"/>
      <c r="V180" s="130"/>
      <c r="W180" s="130"/>
      <c r="X180" s="130"/>
      <c r="Y180" s="130"/>
      <c r="Z180" s="130"/>
      <c r="AA180" s="130"/>
      <c r="AB180" s="130"/>
      <c r="AC180" s="130"/>
      <c r="AD180" s="130"/>
      <c r="AE180" s="130"/>
      <c r="AF180" s="130"/>
      <c r="AG180" s="130"/>
      <c r="AH180" s="130"/>
      <c r="AI180" s="130"/>
      <c r="AJ180" s="130"/>
      <c r="AK180" s="130"/>
      <c r="AL180" s="130"/>
      <c r="AM180" s="130"/>
      <c r="AN180" s="130"/>
      <c r="AO180" s="130"/>
      <c r="AP180" s="130"/>
      <c r="AQ180" s="130"/>
      <c r="AR180" s="130"/>
      <c r="AS180" s="130"/>
      <c r="AT180" s="130"/>
      <c r="AU180" s="130"/>
      <c r="AV180" s="130"/>
      <c r="AW180" s="130"/>
      <c r="AX180" s="130"/>
      <c r="AY180" s="130"/>
    </row>
    <row r="181" spans="1:51">
      <c r="A181" s="115"/>
      <c r="B181" s="130"/>
      <c r="C181" s="130"/>
      <c r="D181" s="130"/>
      <c r="E181" s="130"/>
      <c r="F181" s="130"/>
      <c r="G181" s="130"/>
      <c r="H181" s="130"/>
      <c r="I181" s="130"/>
      <c r="J181" s="130"/>
      <c r="K181" s="130"/>
      <c r="L181" s="130"/>
      <c r="M181" s="130"/>
      <c r="N181" s="130"/>
      <c r="O181" s="130"/>
      <c r="P181" s="458"/>
      <c r="Q181" s="130"/>
      <c r="R181" s="130"/>
      <c r="S181" s="130"/>
      <c r="T181" s="130"/>
      <c r="U181" s="130"/>
      <c r="V181" s="130"/>
      <c r="W181" s="130"/>
      <c r="X181" s="130"/>
      <c r="Y181" s="130"/>
      <c r="Z181" s="130"/>
      <c r="AA181" s="130"/>
      <c r="AB181" s="130"/>
      <c r="AC181" s="130"/>
      <c r="AD181" s="130"/>
      <c r="AE181" s="130"/>
      <c r="AF181" s="130"/>
      <c r="AG181" s="130"/>
      <c r="AH181" s="130"/>
      <c r="AI181" s="130"/>
      <c r="AJ181" s="130"/>
      <c r="AK181" s="130"/>
      <c r="AL181" s="130"/>
      <c r="AM181" s="130"/>
      <c r="AN181" s="130"/>
      <c r="AO181" s="130"/>
      <c r="AP181" s="130"/>
      <c r="AQ181" s="130"/>
      <c r="AR181" s="130"/>
      <c r="AS181" s="130"/>
      <c r="AT181" s="130"/>
      <c r="AU181" s="130"/>
      <c r="AV181" s="130"/>
      <c r="AW181" s="130"/>
      <c r="AX181" s="130"/>
      <c r="AY181" s="130"/>
    </row>
    <row r="182" spans="1:51">
      <c r="A182" s="115"/>
      <c r="B182" s="130"/>
      <c r="C182" s="130"/>
      <c r="D182" s="130"/>
      <c r="E182" s="130"/>
      <c r="F182" s="130"/>
      <c r="G182" s="130"/>
      <c r="H182" s="130"/>
      <c r="I182" s="130"/>
      <c r="J182" s="130"/>
      <c r="K182" s="130"/>
      <c r="L182" s="130"/>
      <c r="M182" s="130"/>
      <c r="N182" s="130"/>
      <c r="O182" s="130"/>
      <c r="P182" s="458"/>
      <c r="Q182" s="130"/>
      <c r="R182" s="130"/>
      <c r="S182" s="130"/>
      <c r="T182" s="130"/>
      <c r="U182" s="130"/>
      <c r="V182" s="130"/>
      <c r="W182" s="130"/>
      <c r="X182" s="130"/>
      <c r="Y182" s="130"/>
      <c r="Z182" s="130"/>
      <c r="AA182" s="130"/>
      <c r="AB182" s="130"/>
      <c r="AC182" s="130"/>
      <c r="AD182" s="130"/>
      <c r="AE182" s="130"/>
      <c r="AF182" s="130"/>
      <c r="AG182" s="130"/>
      <c r="AH182" s="130"/>
      <c r="AI182" s="130"/>
      <c r="AJ182" s="130"/>
      <c r="AK182" s="130"/>
      <c r="AL182" s="130"/>
      <c r="AM182" s="130"/>
      <c r="AN182" s="130"/>
      <c r="AO182" s="130"/>
      <c r="AP182" s="130"/>
      <c r="AQ182" s="130"/>
      <c r="AR182" s="130"/>
      <c r="AS182" s="130"/>
      <c r="AT182" s="130"/>
      <c r="AU182" s="130"/>
      <c r="AV182" s="130"/>
      <c r="AW182" s="130"/>
      <c r="AX182" s="130"/>
      <c r="AY182" s="130"/>
    </row>
    <row r="183" spans="1:51">
      <c r="A183" s="115"/>
      <c r="B183" s="130"/>
      <c r="C183" s="130"/>
      <c r="D183" s="130"/>
      <c r="E183" s="130"/>
      <c r="F183" s="130"/>
      <c r="G183" s="130"/>
      <c r="H183" s="130"/>
      <c r="I183" s="130"/>
      <c r="J183" s="130"/>
      <c r="K183" s="130"/>
      <c r="L183" s="130"/>
      <c r="M183" s="130"/>
      <c r="N183" s="130"/>
      <c r="O183" s="130"/>
      <c r="P183" s="458"/>
      <c r="Q183" s="130"/>
      <c r="R183" s="130"/>
      <c r="S183" s="130"/>
      <c r="T183" s="130"/>
      <c r="U183" s="130"/>
      <c r="V183" s="130"/>
      <c r="W183" s="130"/>
      <c r="X183" s="130"/>
      <c r="Y183" s="130"/>
      <c r="Z183" s="130"/>
      <c r="AA183" s="130"/>
      <c r="AB183" s="130"/>
      <c r="AC183" s="130"/>
      <c r="AD183" s="130"/>
      <c r="AE183" s="130"/>
      <c r="AF183" s="130"/>
      <c r="AG183" s="130"/>
      <c r="AH183" s="130"/>
      <c r="AI183" s="130"/>
      <c r="AJ183" s="130"/>
      <c r="AK183" s="130"/>
      <c r="AL183" s="130"/>
      <c r="AM183" s="130"/>
      <c r="AN183" s="130"/>
      <c r="AO183" s="130"/>
      <c r="AP183" s="130"/>
      <c r="AQ183" s="130"/>
      <c r="AR183" s="130"/>
      <c r="AS183" s="130"/>
      <c r="AT183" s="130"/>
      <c r="AU183" s="130"/>
      <c r="AV183" s="130"/>
      <c r="AW183" s="130"/>
      <c r="AX183" s="130"/>
      <c r="AY183" s="130"/>
    </row>
    <row r="184" spans="1:51">
      <c r="A184" s="115"/>
      <c r="B184" s="130"/>
      <c r="C184" s="130"/>
      <c r="D184" s="130"/>
      <c r="E184" s="130"/>
      <c r="F184" s="130"/>
      <c r="G184" s="130"/>
      <c r="H184" s="130"/>
      <c r="I184" s="130"/>
      <c r="J184" s="130"/>
      <c r="K184" s="130"/>
      <c r="L184" s="130"/>
      <c r="M184" s="130"/>
      <c r="N184" s="130"/>
      <c r="O184" s="130"/>
      <c r="P184" s="458"/>
      <c r="Q184" s="130"/>
      <c r="R184" s="130"/>
      <c r="S184" s="130"/>
      <c r="T184" s="130"/>
      <c r="U184" s="130"/>
      <c r="V184" s="130"/>
      <c r="W184" s="130"/>
      <c r="X184" s="130"/>
      <c r="Y184" s="130"/>
      <c r="Z184" s="130"/>
      <c r="AA184" s="130"/>
      <c r="AB184" s="130"/>
      <c r="AC184" s="130"/>
      <c r="AD184" s="130"/>
      <c r="AE184" s="130"/>
      <c r="AF184" s="130"/>
      <c r="AG184" s="130"/>
      <c r="AH184" s="130"/>
      <c r="AI184" s="130"/>
      <c r="AJ184" s="130"/>
      <c r="AK184" s="130"/>
      <c r="AL184" s="130"/>
      <c r="AM184" s="130"/>
      <c r="AN184" s="130"/>
      <c r="AO184" s="130"/>
      <c r="AP184" s="130"/>
      <c r="AQ184" s="130"/>
      <c r="AR184" s="130"/>
      <c r="AS184" s="130"/>
      <c r="AT184" s="130"/>
      <c r="AU184" s="130"/>
      <c r="AV184" s="130"/>
      <c r="AW184" s="130"/>
      <c r="AX184" s="130"/>
      <c r="AY184" s="130"/>
    </row>
    <row r="185" spans="1:51">
      <c r="A185" s="115"/>
      <c r="B185" s="130"/>
      <c r="C185" s="130"/>
      <c r="D185" s="130"/>
      <c r="E185" s="130"/>
      <c r="F185" s="130"/>
      <c r="G185" s="130"/>
      <c r="H185" s="130"/>
      <c r="I185" s="130"/>
      <c r="J185" s="130"/>
      <c r="K185" s="130"/>
      <c r="L185" s="130"/>
      <c r="M185" s="130"/>
      <c r="N185" s="130"/>
      <c r="O185" s="130"/>
      <c r="P185" s="458"/>
      <c r="Q185" s="130"/>
      <c r="R185" s="130"/>
      <c r="S185" s="130"/>
      <c r="T185" s="130"/>
      <c r="U185" s="130"/>
      <c r="V185" s="130"/>
      <c r="W185" s="130"/>
      <c r="X185" s="130"/>
      <c r="Y185" s="130"/>
      <c r="Z185" s="130"/>
      <c r="AA185" s="130"/>
      <c r="AB185" s="130"/>
      <c r="AC185" s="130"/>
      <c r="AD185" s="130"/>
      <c r="AE185" s="130"/>
      <c r="AF185" s="130"/>
      <c r="AG185" s="130"/>
      <c r="AH185" s="130"/>
      <c r="AI185" s="130"/>
      <c r="AJ185" s="130"/>
      <c r="AK185" s="130"/>
      <c r="AL185" s="130"/>
      <c r="AM185" s="130"/>
      <c r="AN185" s="130"/>
      <c r="AO185" s="130"/>
      <c r="AP185" s="130"/>
      <c r="AQ185" s="130"/>
      <c r="AR185" s="130"/>
      <c r="AS185" s="130"/>
      <c r="AT185" s="130"/>
      <c r="AU185" s="130"/>
      <c r="AV185" s="130"/>
      <c r="AW185" s="130"/>
      <c r="AX185" s="130"/>
      <c r="AY185" s="130"/>
    </row>
    <row r="186" spans="1:51">
      <c r="A186" s="115"/>
      <c r="B186" s="130"/>
      <c r="C186" s="130"/>
      <c r="D186" s="130"/>
      <c r="E186" s="130"/>
      <c r="F186" s="130"/>
      <c r="G186" s="130"/>
      <c r="H186" s="130"/>
      <c r="I186" s="130"/>
      <c r="J186" s="130"/>
      <c r="K186" s="130"/>
      <c r="L186" s="130"/>
      <c r="M186" s="130"/>
      <c r="N186" s="130"/>
      <c r="O186" s="130"/>
      <c r="P186" s="458"/>
      <c r="Q186" s="130"/>
      <c r="R186" s="130"/>
      <c r="S186" s="130"/>
      <c r="T186" s="130"/>
      <c r="U186" s="130"/>
      <c r="V186" s="130"/>
      <c r="W186" s="130"/>
      <c r="X186" s="130"/>
      <c r="Y186" s="130"/>
      <c r="Z186" s="130"/>
      <c r="AA186" s="130"/>
      <c r="AB186" s="130"/>
      <c r="AC186" s="130"/>
      <c r="AD186" s="130"/>
      <c r="AE186" s="130"/>
      <c r="AF186" s="130"/>
      <c r="AG186" s="130"/>
      <c r="AH186" s="130"/>
      <c r="AI186" s="130"/>
      <c r="AJ186" s="130"/>
      <c r="AK186" s="130"/>
      <c r="AL186" s="130"/>
      <c r="AM186" s="130"/>
      <c r="AN186" s="130"/>
      <c r="AO186" s="130"/>
      <c r="AP186" s="130"/>
      <c r="AQ186" s="130"/>
      <c r="AR186" s="130"/>
      <c r="AS186" s="130"/>
      <c r="AT186" s="130"/>
      <c r="AU186" s="130"/>
      <c r="AV186" s="130"/>
      <c r="AW186" s="130"/>
      <c r="AX186" s="130"/>
      <c r="AY186" s="130"/>
    </row>
    <row r="187" spans="1:51">
      <c r="A187" s="115"/>
      <c r="B187" s="130"/>
      <c r="C187" s="130"/>
      <c r="D187" s="130"/>
      <c r="E187" s="130"/>
      <c r="F187" s="130"/>
      <c r="G187" s="130"/>
      <c r="H187" s="130"/>
      <c r="I187" s="130"/>
      <c r="J187" s="130"/>
      <c r="K187" s="130"/>
      <c r="L187" s="130"/>
      <c r="M187" s="130"/>
      <c r="N187" s="130"/>
      <c r="O187" s="130"/>
      <c r="P187" s="458"/>
      <c r="Q187" s="130"/>
      <c r="R187" s="130"/>
      <c r="S187" s="130"/>
      <c r="T187" s="130"/>
      <c r="U187" s="130"/>
      <c r="V187" s="130"/>
      <c r="W187" s="130"/>
      <c r="X187" s="130"/>
      <c r="Y187" s="130"/>
      <c r="Z187" s="130"/>
      <c r="AA187" s="130"/>
      <c r="AB187" s="130"/>
      <c r="AC187" s="130"/>
      <c r="AD187" s="130"/>
      <c r="AE187" s="130"/>
      <c r="AF187" s="130"/>
      <c r="AG187" s="130"/>
      <c r="AH187" s="130"/>
      <c r="AI187" s="130"/>
      <c r="AJ187" s="130"/>
      <c r="AK187" s="130"/>
      <c r="AL187" s="130"/>
      <c r="AM187" s="130"/>
      <c r="AN187" s="130"/>
      <c r="AO187" s="130"/>
      <c r="AP187" s="130"/>
      <c r="AQ187" s="130"/>
      <c r="AR187" s="130"/>
      <c r="AS187" s="130"/>
      <c r="AT187" s="130"/>
      <c r="AU187" s="130"/>
      <c r="AV187" s="130"/>
      <c r="AW187" s="130"/>
      <c r="AX187" s="130"/>
      <c r="AY187" s="130"/>
    </row>
    <row r="188" spans="1:51">
      <c r="A188" s="115"/>
      <c r="B188" s="130"/>
      <c r="C188" s="130"/>
      <c r="D188" s="130"/>
      <c r="E188" s="130"/>
      <c r="F188" s="130"/>
      <c r="G188" s="130"/>
      <c r="H188" s="130"/>
      <c r="I188" s="130"/>
      <c r="J188" s="130"/>
      <c r="K188" s="130"/>
      <c r="L188" s="130"/>
      <c r="M188" s="130"/>
      <c r="N188" s="130"/>
      <c r="O188" s="130"/>
      <c r="P188" s="458"/>
      <c r="Q188" s="130"/>
      <c r="R188" s="130"/>
      <c r="S188" s="130"/>
      <c r="T188" s="130"/>
      <c r="U188" s="130"/>
      <c r="V188" s="130"/>
      <c r="W188" s="130"/>
      <c r="X188" s="130"/>
      <c r="Y188" s="130"/>
      <c r="Z188" s="130"/>
      <c r="AA188" s="130"/>
      <c r="AB188" s="130"/>
      <c r="AC188" s="130"/>
      <c r="AD188" s="130"/>
      <c r="AE188" s="130"/>
      <c r="AF188" s="130"/>
      <c r="AG188" s="130"/>
      <c r="AH188" s="130"/>
      <c r="AI188" s="130"/>
      <c r="AJ188" s="130"/>
      <c r="AK188" s="130"/>
      <c r="AL188" s="130"/>
      <c r="AM188" s="130"/>
      <c r="AN188" s="130"/>
      <c r="AO188" s="130"/>
      <c r="AP188" s="130"/>
      <c r="AQ188" s="130"/>
      <c r="AR188" s="130"/>
      <c r="AS188" s="130"/>
      <c r="AT188" s="130"/>
      <c r="AU188" s="130"/>
      <c r="AV188" s="130"/>
      <c r="AW188" s="130"/>
      <c r="AX188" s="130"/>
      <c r="AY188" s="130"/>
    </row>
    <row r="189" spans="1:51">
      <c r="A189" s="115"/>
      <c r="B189" s="130"/>
      <c r="C189" s="130"/>
      <c r="D189" s="130"/>
      <c r="E189" s="130"/>
      <c r="F189" s="130"/>
      <c r="G189" s="130"/>
      <c r="H189" s="130"/>
      <c r="I189" s="130"/>
      <c r="J189" s="130"/>
      <c r="K189" s="130"/>
      <c r="L189" s="130"/>
      <c r="M189" s="130"/>
      <c r="N189" s="130"/>
      <c r="O189" s="130"/>
      <c r="P189" s="458"/>
      <c r="Q189" s="130"/>
      <c r="R189" s="130"/>
      <c r="S189" s="130"/>
      <c r="T189" s="130"/>
      <c r="U189" s="130"/>
      <c r="V189" s="130"/>
      <c r="W189" s="130"/>
      <c r="X189" s="130"/>
      <c r="Y189" s="130"/>
      <c r="Z189" s="130"/>
      <c r="AA189" s="130"/>
      <c r="AB189" s="130"/>
      <c r="AC189" s="130"/>
      <c r="AD189" s="130"/>
      <c r="AE189" s="130"/>
      <c r="AF189" s="130"/>
      <c r="AG189" s="130"/>
      <c r="AH189" s="130"/>
      <c r="AI189" s="130"/>
      <c r="AJ189" s="130"/>
      <c r="AK189" s="130"/>
      <c r="AL189" s="130"/>
      <c r="AM189" s="130"/>
      <c r="AN189" s="130"/>
      <c r="AO189" s="130"/>
      <c r="AP189" s="130"/>
      <c r="AQ189" s="130"/>
      <c r="AR189" s="130"/>
      <c r="AS189" s="130"/>
      <c r="AT189" s="130"/>
      <c r="AU189" s="130"/>
      <c r="AV189" s="130"/>
      <c r="AW189" s="130"/>
      <c r="AX189" s="130"/>
      <c r="AY189" s="130"/>
    </row>
    <row r="190" spans="1:51">
      <c r="A190" s="115"/>
      <c r="B190" s="130"/>
      <c r="C190" s="130"/>
      <c r="D190" s="130"/>
      <c r="E190" s="130"/>
      <c r="F190" s="130"/>
      <c r="G190" s="130"/>
      <c r="H190" s="130"/>
      <c r="I190" s="130"/>
      <c r="J190" s="130"/>
      <c r="K190" s="130"/>
      <c r="L190" s="130"/>
      <c r="M190" s="130"/>
      <c r="N190" s="130"/>
      <c r="O190" s="130"/>
      <c r="P190" s="458"/>
      <c r="Q190" s="130"/>
      <c r="R190" s="130"/>
      <c r="S190" s="130"/>
      <c r="T190" s="130"/>
      <c r="U190" s="130"/>
      <c r="V190" s="130"/>
      <c r="W190" s="130"/>
      <c r="X190" s="130"/>
      <c r="Y190" s="130"/>
      <c r="Z190" s="130"/>
      <c r="AA190" s="130"/>
      <c r="AB190" s="130"/>
      <c r="AC190" s="130"/>
      <c r="AD190" s="130"/>
      <c r="AE190" s="130"/>
      <c r="AF190" s="130"/>
      <c r="AG190" s="130"/>
      <c r="AH190" s="130"/>
      <c r="AI190" s="130"/>
      <c r="AJ190" s="130"/>
      <c r="AK190" s="130"/>
      <c r="AL190" s="130"/>
      <c r="AM190" s="130"/>
      <c r="AN190" s="130"/>
      <c r="AO190" s="130"/>
      <c r="AP190" s="130"/>
      <c r="AQ190" s="130"/>
      <c r="AR190" s="130"/>
      <c r="AS190" s="130"/>
      <c r="AT190" s="130"/>
      <c r="AU190" s="130"/>
      <c r="AV190" s="130"/>
      <c r="AW190" s="130"/>
      <c r="AX190" s="130"/>
      <c r="AY190" s="130"/>
    </row>
    <row r="191" spans="1:51">
      <c r="A191" s="115"/>
      <c r="B191" s="130"/>
      <c r="C191" s="130"/>
      <c r="D191" s="130"/>
      <c r="E191" s="130"/>
      <c r="F191" s="130"/>
      <c r="G191" s="130"/>
      <c r="H191" s="130"/>
      <c r="I191" s="130"/>
      <c r="J191" s="130"/>
      <c r="K191" s="130"/>
      <c r="L191" s="130"/>
      <c r="M191" s="130"/>
      <c r="N191" s="130"/>
      <c r="O191" s="130"/>
      <c r="P191" s="458"/>
      <c r="Q191" s="130"/>
      <c r="R191" s="130"/>
      <c r="S191" s="130"/>
      <c r="T191" s="130"/>
      <c r="U191" s="130"/>
      <c r="V191" s="130"/>
      <c r="W191" s="130"/>
      <c r="X191" s="130"/>
      <c r="Y191" s="130"/>
      <c r="Z191" s="130"/>
      <c r="AA191" s="130"/>
      <c r="AB191" s="130"/>
      <c r="AC191" s="130"/>
      <c r="AD191" s="130"/>
      <c r="AE191" s="130"/>
      <c r="AF191" s="130"/>
      <c r="AG191" s="130"/>
      <c r="AH191" s="130"/>
      <c r="AI191" s="130"/>
      <c r="AJ191" s="130"/>
      <c r="AK191" s="130"/>
      <c r="AL191" s="130"/>
      <c r="AM191" s="130"/>
      <c r="AN191" s="130"/>
      <c r="AO191" s="130"/>
      <c r="AP191" s="130"/>
      <c r="AQ191" s="130"/>
      <c r="AR191" s="130"/>
      <c r="AS191" s="130"/>
      <c r="AT191" s="130"/>
      <c r="AU191" s="130"/>
      <c r="AV191" s="130"/>
      <c r="AW191" s="130"/>
      <c r="AX191" s="130"/>
      <c r="AY191" s="130"/>
    </row>
    <row r="192" spans="1:51">
      <c r="A192" s="115"/>
      <c r="B192" s="130"/>
      <c r="C192" s="130"/>
      <c r="D192" s="130"/>
      <c r="E192" s="130"/>
      <c r="F192" s="130"/>
      <c r="G192" s="130"/>
      <c r="H192" s="130"/>
      <c r="I192" s="130"/>
      <c r="J192" s="130"/>
      <c r="K192" s="130"/>
      <c r="L192" s="130"/>
      <c r="M192" s="130"/>
      <c r="N192" s="130"/>
      <c r="O192" s="130"/>
      <c r="P192" s="458"/>
      <c r="Q192" s="130"/>
      <c r="R192" s="130"/>
      <c r="S192" s="130"/>
      <c r="T192" s="130"/>
      <c r="U192" s="130"/>
      <c r="V192" s="130"/>
      <c r="W192" s="130"/>
      <c r="X192" s="130"/>
      <c r="Y192" s="130"/>
      <c r="Z192" s="130"/>
      <c r="AA192" s="130"/>
      <c r="AB192" s="130"/>
      <c r="AC192" s="130"/>
      <c r="AD192" s="130"/>
      <c r="AE192" s="130"/>
      <c r="AF192" s="130"/>
      <c r="AG192" s="130"/>
      <c r="AH192" s="130"/>
      <c r="AI192" s="130"/>
      <c r="AJ192" s="130"/>
      <c r="AK192" s="130"/>
      <c r="AL192" s="130"/>
      <c r="AM192" s="130"/>
      <c r="AN192" s="130"/>
      <c r="AO192" s="130"/>
      <c r="AP192" s="130"/>
      <c r="AQ192" s="130"/>
      <c r="AR192" s="130"/>
      <c r="AS192" s="130"/>
      <c r="AT192" s="130"/>
      <c r="AU192" s="130"/>
      <c r="AV192" s="130"/>
      <c r="AW192" s="130"/>
      <c r="AX192" s="130"/>
      <c r="AY192" s="130"/>
    </row>
    <row r="193" spans="1:51">
      <c r="A193" s="115"/>
      <c r="B193" s="130"/>
      <c r="C193" s="130"/>
      <c r="D193" s="130"/>
      <c r="E193" s="130"/>
      <c r="F193" s="130"/>
      <c r="G193" s="130"/>
      <c r="H193" s="130"/>
      <c r="I193" s="130"/>
      <c r="J193" s="130"/>
      <c r="K193" s="130"/>
      <c r="L193" s="130"/>
      <c r="M193" s="130"/>
      <c r="N193" s="130"/>
      <c r="O193" s="130"/>
      <c r="P193" s="458"/>
      <c r="Q193" s="130"/>
      <c r="R193" s="130"/>
      <c r="S193" s="130"/>
      <c r="T193" s="130"/>
      <c r="U193" s="130"/>
      <c r="V193" s="130"/>
      <c r="W193" s="130"/>
      <c r="X193" s="130"/>
      <c r="Y193" s="130"/>
      <c r="Z193" s="130"/>
      <c r="AA193" s="130"/>
      <c r="AB193" s="130"/>
      <c r="AC193" s="130"/>
      <c r="AD193" s="130"/>
      <c r="AE193" s="130"/>
      <c r="AF193" s="130"/>
      <c r="AG193" s="130"/>
      <c r="AH193" s="130"/>
      <c r="AI193" s="130"/>
      <c r="AJ193" s="130"/>
      <c r="AK193" s="130"/>
      <c r="AL193" s="130"/>
      <c r="AM193" s="130"/>
      <c r="AN193" s="130"/>
      <c r="AO193" s="130"/>
      <c r="AP193" s="130"/>
      <c r="AQ193" s="130"/>
      <c r="AR193" s="130"/>
      <c r="AS193" s="130"/>
      <c r="AT193" s="130"/>
      <c r="AU193" s="130"/>
      <c r="AV193" s="130"/>
      <c r="AW193" s="130"/>
      <c r="AX193" s="130"/>
      <c r="AY193" s="130"/>
    </row>
    <row r="194" spans="1:51">
      <c r="A194" s="115"/>
      <c r="B194" s="130"/>
      <c r="C194" s="130"/>
      <c r="D194" s="130"/>
      <c r="E194" s="130"/>
      <c r="F194" s="130"/>
      <c r="G194" s="130"/>
      <c r="H194" s="130"/>
      <c r="I194" s="130"/>
      <c r="J194" s="130"/>
      <c r="K194" s="130"/>
      <c r="L194" s="130"/>
      <c r="M194" s="130"/>
      <c r="N194" s="130"/>
      <c r="O194" s="130"/>
      <c r="P194" s="458"/>
      <c r="Q194" s="130"/>
      <c r="R194" s="130"/>
      <c r="S194" s="130"/>
      <c r="T194" s="130"/>
      <c r="U194" s="130"/>
      <c r="V194" s="130"/>
      <c r="W194" s="130"/>
      <c r="X194" s="130"/>
      <c r="Y194" s="130"/>
      <c r="Z194" s="130"/>
      <c r="AA194" s="130"/>
      <c r="AB194" s="130"/>
      <c r="AC194" s="130"/>
      <c r="AD194" s="130"/>
      <c r="AE194" s="130"/>
      <c r="AF194" s="130"/>
      <c r="AG194" s="130"/>
      <c r="AH194" s="130"/>
      <c r="AI194" s="130"/>
      <c r="AJ194" s="130"/>
      <c r="AK194" s="130"/>
      <c r="AL194" s="130"/>
      <c r="AM194" s="130"/>
      <c r="AN194" s="130"/>
      <c r="AO194" s="130"/>
      <c r="AP194" s="130"/>
      <c r="AQ194" s="130"/>
      <c r="AR194" s="130"/>
      <c r="AS194" s="130"/>
      <c r="AT194" s="130"/>
      <c r="AU194" s="130"/>
      <c r="AV194" s="130"/>
      <c r="AW194" s="130"/>
      <c r="AX194" s="130"/>
      <c r="AY194" s="130"/>
    </row>
    <row r="195" spans="1:51">
      <c r="A195" s="115"/>
      <c r="B195" s="130"/>
      <c r="C195" s="130"/>
      <c r="D195" s="130"/>
      <c r="E195" s="130"/>
      <c r="F195" s="130"/>
      <c r="G195" s="130"/>
      <c r="H195" s="130"/>
      <c r="I195" s="130"/>
      <c r="J195" s="130"/>
      <c r="K195" s="130"/>
      <c r="L195" s="130"/>
      <c r="M195" s="130"/>
      <c r="N195" s="130"/>
      <c r="O195" s="130"/>
      <c r="P195" s="458"/>
      <c r="Q195" s="130"/>
      <c r="R195" s="130"/>
      <c r="S195" s="130"/>
      <c r="T195" s="130"/>
      <c r="U195" s="130"/>
      <c r="V195" s="130"/>
      <c r="W195" s="130"/>
      <c r="X195" s="130"/>
      <c r="Y195" s="130"/>
      <c r="Z195" s="130"/>
      <c r="AA195" s="130"/>
      <c r="AB195" s="130"/>
      <c r="AC195" s="130"/>
      <c r="AD195" s="130"/>
      <c r="AE195" s="130"/>
      <c r="AF195" s="130"/>
      <c r="AG195" s="130"/>
      <c r="AH195" s="130"/>
      <c r="AI195" s="130"/>
      <c r="AJ195" s="130"/>
      <c r="AK195" s="130"/>
      <c r="AL195" s="130"/>
      <c r="AM195" s="130"/>
      <c r="AN195" s="130"/>
      <c r="AO195" s="130"/>
      <c r="AP195" s="130"/>
      <c r="AQ195" s="130"/>
      <c r="AR195" s="130"/>
      <c r="AS195" s="130"/>
      <c r="AT195" s="130"/>
      <c r="AU195" s="130"/>
      <c r="AV195" s="130"/>
      <c r="AW195" s="130"/>
      <c r="AX195" s="130"/>
      <c r="AY195" s="130"/>
    </row>
    <row r="196" spans="1:51">
      <c r="A196" s="115"/>
      <c r="B196" s="130"/>
      <c r="C196" s="130"/>
      <c r="D196" s="130"/>
      <c r="E196" s="130"/>
      <c r="F196" s="130"/>
      <c r="G196" s="130"/>
      <c r="H196" s="130"/>
      <c r="I196" s="130"/>
      <c r="J196" s="130"/>
      <c r="K196" s="130"/>
      <c r="L196" s="130"/>
      <c r="M196" s="130"/>
      <c r="N196" s="130"/>
      <c r="O196" s="130"/>
      <c r="P196" s="458"/>
      <c r="Q196" s="130"/>
      <c r="R196" s="130"/>
      <c r="S196" s="130"/>
      <c r="T196" s="130"/>
      <c r="U196" s="130"/>
      <c r="V196" s="130"/>
      <c r="W196" s="130"/>
      <c r="X196" s="130"/>
      <c r="Y196" s="130"/>
      <c r="Z196" s="130"/>
      <c r="AA196" s="130"/>
      <c r="AB196" s="130"/>
      <c r="AC196" s="130"/>
      <c r="AD196" s="130"/>
      <c r="AE196" s="130"/>
      <c r="AF196" s="130"/>
      <c r="AG196" s="130"/>
      <c r="AH196" s="130"/>
      <c r="AI196" s="130"/>
      <c r="AJ196" s="130"/>
      <c r="AK196" s="130"/>
      <c r="AL196" s="130"/>
      <c r="AM196" s="130"/>
      <c r="AN196" s="130"/>
      <c r="AO196" s="130"/>
      <c r="AP196" s="130"/>
      <c r="AQ196" s="130"/>
      <c r="AR196" s="130"/>
      <c r="AS196" s="130"/>
      <c r="AT196" s="130"/>
      <c r="AU196" s="130"/>
      <c r="AV196" s="130"/>
      <c r="AW196" s="130"/>
      <c r="AX196" s="130"/>
      <c r="AY196" s="130"/>
    </row>
    <row r="197" spans="1:51">
      <c r="A197" s="115"/>
      <c r="B197" s="130"/>
      <c r="C197" s="130"/>
      <c r="D197" s="130"/>
      <c r="E197" s="130"/>
      <c r="F197" s="130"/>
      <c r="G197" s="130"/>
      <c r="H197" s="130"/>
      <c r="I197" s="130"/>
      <c r="J197" s="130"/>
      <c r="K197" s="130"/>
      <c r="L197" s="130"/>
      <c r="M197" s="130"/>
      <c r="N197" s="130"/>
      <c r="O197" s="130"/>
      <c r="P197" s="458"/>
      <c r="Q197" s="130"/>
      <c r="R197" s="130"/>
      <c r="S197" s="130"/>
      <c r="T197" s="130"/>
      <c r="U197" s="130"/>
      <c r="V197" s="130"/>
      <c r="W197" s="130"/>
      <c r="X197" s="130"/>
      <c r="Y197" s="130"/>
      <c r="Z197" s="130"/>
      <c r="AA197" s="130"/>
      <c r="AB197" s="130"/>
      <c r="AC197" s="130"/>
      <c r="AD197" s="130"/>
      <c r="AE197" s="130"/>
      <c r="AF197" s="130"/>
      <c r="AG197" s="130"/>
      <c r="AH197" s="130"/>
      <c r="AI197" s="130"/>
      <c r="AJ197" s="130"/>
      <c r="AK197" s="130"/>
      <c r="AL197" s="130"/>
      <c r="AM197" s="130"/>
      <c r="AN197" s="130"/>
      <c r="AO197" s="130"/>
      <c r="AP197" s="130"/>
      <c r="AQ197" s="130"/>
      <c r="AR197" s="130"/>
      <c r="AS197" s="130"/>
      <c r="AT197" s="130"/>
      <c r="AU197" s="130"/>
      <c r="AV197" s="130"/>
      <c r="AW197" s="130"/>
      <c r="AX197" s="130"/>
      <c r="AY197" s="130"/>
    </row>
    <row r="198" spans="1:51">
      <c r="A198" s="115"/>
      <c r="B198" s="130"/>
      <c r="C198" s="130"/>
      <c r="D198" s="130"/>
      <c r="E198" s="130"/>
      <c r="F198" s="130"/>
      <c r="G198" s="130"/>
      <c r="H198" s="130"/>
      <c r="I198" s="130"/>
      <c r="J198" s="130"/>
      <c r="K198" s="130"/>
      <c r="L198" s="130"/>
      <c r="M198" s="130"/>
      <c r="N198" s="130"/>
      <c r="O198" s="130"/>
      <c r="P198" s="458"/>
      <c r="Q198" s="130"/>
      <c r="R198" s="130"/>
      <c r="S198" s="130"/>
      <c r="T198" s="130"/>
      <c r="U198" s="130"/>
      <c r="V198" s="130"/>
      <c r="W198" s="130"/>
      <c r="X198" s="130"/>
      <c r="Y198" s="130"/>
      <c r="Z198" s="130"/>
      <c r="AA198" s="130"/>
      <c r="AB198" s="130"/>
      <c r="AC198" s="130"/>
      <c r="AD198" s="130"/>
      <c r="AE198" s="130"/>
      <c r="AF198" s="130"/>
      <c r="AG198" s="130"/>
      <c r="AH198" s="130"/>
      <c r="AI198" s="130"/>
      <c r="AJ198" s="130"/>
      <c r="AK198" s="130"/>
      <c r="AL198" s="130"/>
      <c r="AM198" s="130"/>
      <c r="AN198" s="130"/>
      <c r="AO198" s="130"/>
      <c r="AP198" s="130"/>
      <c r="AQ198" s="130"/>
      <c r="AR198" s="130"/>
      <c r="AS198" s="130"/>
      <c r="AT198" s="130"/>
      <c r="AU198" s="130"/>
      <c r="AV198" s="130"/>
      <c r="AW198" s="130"/>
      <c r="AX198" s="130"/>
      <c r="AY198" s="130"/>
    </row>
    <row r="199" spans="1:51">
      <c r="A199" s="115"/>
      <c r="B199" s="130"/>
      <c r="C199" s="130"/>
      <c r="D199" s="130"/>
      <c r="E199" s="130"/>
      <c r="F199" s="130"/>
      <c r="G199" s="130"/>
      <c r="H199" s="130"/>
      <c r="I199" s="130"/>
      <c r="J199" s="130"/>
      <c r="K199" s="130"/>
      <c r="L199" s="130"/>
      <c r="M199" s="130"/>
      <c r="N199" s="130"/>
      <c r="O199" s="130"/>
      <c r="P199" s="458"/>
      <c r="Q199" s="130"/>
      <c r="R199" s="130"/>
      <c r="S199" s="130"/>
      <c r="T199" s="130"/>
      <c r="U199" s="130"/>
      <c r="V199" s="130"/>
      <c r="W199" s="130"/>
      <c r="X199" s="130"/>
      <c r="Y199" s="130"/>
      <c r="Z199" s="130"/>
      <c r="AA199" s="130"/>
      <c r="AB199" s="130"/>
      <c r="AC199" s="130"/>
      <c r="AD199" s="130"/>
      <c r="AE199" s="130"/>
      <c r="AF199" s="130"/>
      <c r="AG199" s="130"/>
      <c r="AH199" s="130"/>
      <c r="AI199" s="130"/>
      <c r="AJ199" s="130"/>
      <c r="AK199" s="130"/>
      <c r="AL199" s="130"/>
      <c r="AM199" s="130"/>
      <c r="AN199" s="130"/>
      <c r="AO199" s="130"/>
      <c r="AP199" s="130"/>
      <c r="AQ199" s="130"/>
      <c r="AR199" s="130"/>
      <c r="AS199" s="130"/>
      <c r="AT199" s="130"/>
      <c r="AU199" s="130"/>
      <c r="AV199" s="130"/>
      <c r="AW199" s="130"/>
      <c r="AX199" s="130"/>
      <c r="AY199" s="130"/>
    </row>
  </sheetData>
  <pageMargins left="0.7" right="0.7" top="0.78740157499999996" bottom="0.78740157499999996"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72374-BFF3-46E7-A103-81EAAD02C699}">
  <dimension ref="A2:B14"/>
  <sheetViews>
    <sheetView workbookViewId="0">
      <selection activeCell="B8" sqref="B8"/>
    </sheetView>
  </sheetViews>
  <sheetFormatPr baseColWidth="10" defaultRowHeight="14.25"/>
  <cols>
    <col min="1" max="1" width="5.25" customWidth="1"/>
    <col min="2" max="2" width="90.625" customWidth="1"/>
  </cols>
  <sheetData>
    <row r="2" spans="1:2" ht="18">
      <c r="B2" s="1164" t="s">
        <v>1938</v>
      </c>
    </row>
    <row r="3" spans="1:2" s="75" customFormat="1" ht="20.65" customHeight="1">
      <c r="A3" s="75">
        <v>1</v>
      </c>
      <c r="B3" s="75" t="s">
        <v>1939</v>
      </c>
    </row>
    <row r="4" spans="1:2" s="75" customFormat="1" ht="20.65" customHeight="1">
      <c r="A4" s="75">
        <v>2</v>
      </c>
      <c r="B4" s="1174" t="s">
        <v>1945</v>
      </c>
    </row>
    <row r="5" spans="1:2" s="75" customFormat="1" ht="20.65" customHeight="1">
      <c r="A5" s="75">
        <v>3</v>
      </c>
      <c r="B5" s="1174" t="s">
        <v>1944</v>
      </c>
    </row>
    <row r="6" spans="1:2" s="75" customFormat="1" ht="20.65" customHeight="1">
      <c r="A6" s="75">
        <v>4</v>
      </c>
      <c r="B6" s="1174" t="s">
        <v>1946</v>
      </c>
    </row>
    <row r="7" spans="1:2" s="75" customFormat="1" ht="20.65" customHeight="1">
      <c r="A7" s="75">
        <v>5</v>
      </c>
      <c r="B7" s="1174" t="s">
        <v>1943</v>
      </c>
    </row>
    <row r="8" spans="1:2" s="75" customFormat="1" ht="20.65" customHeight="1">
      <c r="A8" s="75">
        <v>6</v>
      </c>
      <c r="B8" s="1174" t="s">
        <v>1942</v>
      </c>
    </row>
    <row r="9" spans="1:2" s="75" customFormat="1" ht="20.65" customHeight="1">
      <c r="A9" s="75">
        <v>7</v>
      </c>
      <c r="B9" s="1174" t="s">
        <v>1941</v>
      </c>
    </row>
    <row r="10" spans="1:2" s="75" customFormat="1" ht="20.65" customHeight="1">
      <c r="A10" s="75">
        <v>8</v>
      </c>
    </row>
    <row r="11" spans="1:2">
      <c r="A11" s="75">
        <v>9</v>
      </c>
    </row>
    <row r="12" spans="1:2">
      <c r="A12" s="75">
        <v>10</v>
      </c>
    </row>
    <row r="13" spans="1:2">
      <c r="A13" s="75">
        <v>11</v>
      </c>
    </row>
    <row r="14" spans="1:2">
      <c r="A14" s="75">
        <v>12</v>
      </c>
    </row>
  </sheetData>
  <hyperlinks>
    <hyperlink ref="B9" r:id="rId1" xr:uid="{0621856F-46B2-41F0-84EF-B4F3A1BD4F16}"/>
    <hyperlink ref="B8" r:id="rId2" xr:uid="{4AD974E0-C28B-4CBF-BEA3-43B1ED0E2961}"/>
    <hyperlink ref="B7" r:id="rId3" xr:uid="{0EB31133-3D7F-4BCD-BBB0-DCA3AD61D713}"/>
    <hyperlink ref="B5" r:id="rId4" xr:uid="{4BE32EDA-D043-4BE3-8375-76C05A8C7B42}"/>
    <hyperlink ref="B4" r:id="rId5" xr:uid="{D6F542BB-15E6-4CE6-A122-2D3151B4A925}"/>
    <hyperlink ref="B6" r:id="rId6" xr:uid="{5F9761C0-2B4A-4A1E-9A74-347054D37CFD}"/>
  </hyperlinks>
  <pageMargins left="0.7" right="0.7" top="0.78740157499999996" bottom="0.78740157499999996"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954F1-60AF-4633-B283-4C62FCD19E21}">
  <sheetPr codeName="Tabelle64"/>
  <dimension ref="B5:T82"/>
  <sheetViews>
    <sheetView workbookViewId="0">
      <selection activeCell="I13" sqref="I13"/>
    </sheetView>
  </sheetViews>
  <sheetFormatPr baseColWidth="10" defaultColWidth="10.625" defaultRowHeight="14.1" customHeight="1"/>
  <cols>
    <col min="1" max="3" width="10.625" style="3766"/>
    <col min="4" max="6" width="10.625" style="3766" customWidth="1"/>
    <col min="7" max="7" width="10.625" style="3767" customWidth="1"/>
    <col min="8" max="9" width="10.625" style="3766" customWidth="1"/>
    <col min="10" max="16384" width="10.625" style="3766"/>
  </cols>
  <sheetData>
    <row r="5" spans="2:12" ht="14.25" customHeight="1">
      <c r="B5" s="3765"/>
      <c r="H5" s="3768"/>
      <c r="K5" s="3768"/>
    </row>
    <row r="6" spans="2:12" ht="14.25" customHeight="1">
      <c r="B6" s="3765"/>
      <c r="C6" s="3769"/>
      <c r="D6" s="3770"/>
      <c r="E6" s="3770"/>
      <c r="F6" s="3771"/>
      <c r="G6" s="3771"/>
      <c r="H6" s="3771"/>
    </row>
    <row r="7" spans="2:12" ht="14.25" customHeight="1">
      <c r="B7" s="3765"/>
      <c r="C7" s="3769"/>
      <c r="D7" s="3772"/>
      <c r="E7" s="3773"/>
      <c r="F7" s="3774"/>
      <c r="G7" s="3773"/>
      <c r="H7" s="3773"/>
    </row>
    <row r="8" spans="2:12" ht="14.25" customHeight="1">
      <c r="C8" s="3775"/>
      <c r="D8" s="3772"/>
      <c r="E8" s="3773"/>
      <c r="F8" s="3774"/>
      <c r="G8" s="3773"/>
      <c r="H8" s="3773"/>
      <c r="L8" s="2075"/>
    </row>
    <row r="9" spans="2:12" ht="14.25" customHeight="1">
      <c r="B9" s="3765"/>
      <c r="C9" s="3775"/>
      <c r="D9" s="3772"/>
      <c r="E9" s="3773"/>
      <c r="F9" s="3774"/>
      <c r="G9" s="3773"/>
      <c r="H9" s="3773"/>
    </row>
    <row r="10" spans="2:12" ht="14.25" customHeight="1">
      <c r="B10" s="3765"/>
      <c r="C10" s="3775"/>
      <c r="D10" s="3772"/>
      <c r="E10" s="3773"/>
      <c r="F10" s="3774"/>
      <c r="G10" s="3773"/>
      <c r="H10" s="3773"/>
    </row>
    <row r="11" spans="2:12" ht="14.25" customHeight="1">
      <c r="C11" s="3775"/>
      <c r="D11" s="3772"/>
      <c r="E11" s="3773"/>
      <c r="F11" s="3774"/>
      <c r="G11" s="3773"/>
      <c r="H11" s="3773"/>
    </row>
    <row r="12" spans="2:12" ht="14.25" customHeight="1">
      <c r="C12" s="3775"/>
      <c r="D12" s="3772"/>
      <c r="E12" s="3773"/>
      <c r="F12" s="3774"/>
      <c r="G12" s="3773"/>
      <c r="H12" s="3773"/>
    </row>
    <row r="13" spans="2:12" ht="14.25" customHeight="1">
      <c r="C13" s="3775"/>
      <c r="D13" s="3772"/>
      <c r="E13" s="3773"/>
      <c r="F13" s="3774"/>
      <c r="G13" s="3773"/>
      <c r="H13" s="3773"/>
      <c r="K13" s="3768"/>
    </row>
    <row r="14" spans="2:12" ht="14.25" customHeight="1">
      <c r="B14" s="3765"/>
      <c r="C14" s="3775"/>
      <c r="D14" s="3772"/>
      <c r="E14" s="3773"/>
      <c r="F14" s="3774"/>
      <c r="G14" s="3773"/>
      <c r="H14" s="3773"/>
    </row>
    <row r="15" spans="2:12" ht="14.25" customHeight="1">
      <c r="B15" s="3765"/>
      <c r="C15" s="3769"/>
      <c r="D15" s="3772"/>
      <c r="E15" s="3773"/>
      <c r="F15" s="3774"/>
      <c r="G15" s="3773"/>
      <c r="H15" s="3773"/>
    </row>
    <row r="16" spans="2:12" ht="14.25" customHeight="1">
      <c r="B16" s="3765"/>
      <c r="C16" s="3769"/>
      <c r="D16" s="3772"/>
      <c r="E16" s="3773"/>
      <c r="F16" s="3774"/>
      <c r="G16" s="3773"/>
      <c r="H16" s="3773"/>
      <c r="L16" s="2075"/>
    </row>
    <row r="17" spans="2:10" ht="14.25" customHeight="1">
      <c r="C17" s="3775"/>
      <c r="D17" s="3772"/>
      <c r="E17" s="3773"/>
      <c r="F17" s="3774"/>
      <c r="G17" s="3773"/>
      <c r="H17" s="3773"/>
    </row>
    <row r="18" spans="2:10" ht="14.25" customHeight="1">
      <c r="B18" s="3765"/>
      <c r="C18" s="3775"/>
      <c r="D18" s="3772"/>
      <c r="E18" s="3773"/>
      <c r="F18" s="3774"/>
      <c r="G18" s="3773"/>
      <c r="H18" s="3773"/>
    </row>
    <row r="19" spans="2:10" ht="14.25" customHeight="1">
      <c r="B19" s="3765"/>
      <c r="C19" s="3775"/>
      <c r="D19" s="3772"/>
      <c r="E19" s="3773"/>
      <c r="F19" s="3774"/>
      <c r="G19" s="3773"/>
      <c r="H19" s="3773"/>
    </row>
    <row r="20" spans="2:10" ht="14.25" customHeight="1">
      <c r="C20" s="3775"/>
      <c r="D20" s="3772"/>
      <c r="E20" s="3773"/>
      <c r="F20" s="3774"/>
      <c r="G20" s="3773"/>
      <c r="H20" s="3773"/>
    </row>
    <row r="21" spans="2:10" ht="14.25" customHeight="1">
      <c r="C21" s="3775"/>
      <c r="D21" s="3772"/>
      <c r="E21" s="3773"/>
      <c r="F21" s="3774"/>
      <c r="G21" s="3773"/>
      <c r="H21" s="3773"/>
    </row>
    <row r="22" spans="2:10" ht="14.25" customHeight="1">
      <c r="C22" s="3775"/>
      <c r="D22" s="3773"/>
      <c r="E22" s="3773"/>
      <c r="F22" s="3774"/>
      <c r="G22" s="3773"/>
      <c r="H22" s="3773"/>
    </row>
    <row r="23" spans="2:10" ht="14.25" customHeight="1">
      <c r="C23" s="3775"/>
      <c r="D23" s="3773"/>
      <c r="E23" s="3773"/>
      <c r="F23" s="3774"/>
      <c r="G23" s="3773"/>
      <c r="H23" s="3773"/>
    </row>
    <row r="24" spans="2:10" ht="14.25" customHeight="1">
      <c r="C24" s="3775"/>
      <c r="D24" s="3773"/>
      <c r="E24" s="3776"/>
      <c r="F24" s="3777"/>
      <c r="G24" s="3776"/>
      <c r="H24" s="3777"/>
      <c r="J24" s="3778"/>
    </row>
    <row r="25" spans="2:10" ht="14.25" customHeight="1">
      <c r="C25" s="3775"/>
      <c r="D25" s="3779"/>
      <c r="E25" s="3779"/>
      <c r="F25" s="3780"/>
      <c r="G25" s="3780"/>
      <c r="H25" s="3780"/>
      <c r="I25" s="3781"/>
    </row>
    <row r="26" spans="2:10" ht="14.25" customHeight="1"/>
    <row r="34" spans="3:20" ht="14.1" customHeight="1">
      <c r="C34" s="3768"/>
    </row>
    <row r="35" spans="3:20" ht="14.1" customHeight="1">
      <c r="C35" s="3765"/>
      <c r="D35" s="3765"/>
    </row>
    <row r="38" spans="3:20" ht="14.1" customHeight="1">
      <c r="G38" s="3782"/>
      <c r="H38" s="2076"/>
      <c r="I38" s="2076"/>
    </row>
    <row r="44" spans="3:20" ht="14.1" customHeight="1">
      <c r="C44" s="3765"/>
      <c r="D44" s="3765"/>
    </row>
    <row r="45" spans="3:20" ht="14.1" customHeight="1">
      <c r="T45" s="3783"/>
    </row>
    <row r="46" spans="3:20" ht="14.1" customHeight="1">
      <c r="E46" s="3784"/>
      <c r="F46" s="3784"/>
      <c r="G46" s="3785"/>
      <c r="H46" s="3784"/>
      <c r="I46" s="3784"/>
      <c r="Q46" s="3784"/>
    </row>
    <row r="47" spans="3:20" ht="14.1" customHeight="1">
      <c r="L47" s="3784"/>
      <c r="S47" s="3786"/>
    </row>
    <row r="49" spans="3:20" ht="14.1" customHeight="1">
      <c r="G49" s="3782"/>
    </row>
    <row r="51" spans="3:20" ht="14.1" customHeight="1">
      <c r="C51" s="3784"/>
      <c r="D51" s="3784"/>
    </row>
    <row r="59" spans="3:20" ht="14.1" customHeight="1">
      <c r="T59" s="2076"/>
    </row>
    <row r="60" spans="3:20" ht="14.1" customHeight="1">
      <c r="T60" s="2076"/>
    </row>
    <row r="61" spans="3:20" ht="14.1" customHeight="1">
      <c r="E61" s="3784"/>
      <c r="F61" s="3784"/>
      <c r="G61" s="3785"/>
      <c r="T61" s="2076"/>
    </row>
    <row r="62" spans="3:20" ht="14.1" customHeight="1">
      <c r="T62" s="2076"/>
    </row>
    <row r="63" spans="3:20" ht="14.1" customHeight="1">
      <c r="T63" s="2076"/>
    </row>
    <row r="64" spans="3:20" ht="14.1" customHeight="1">
      <c r="T64" s="2076"/>
    </row>
    <row r="65" spans="4:20" ht="14.1" customHeight="1">
      <c r="T65" s="2076"/>
    </row>
    <row r="66" spans="4:20" ht="14.1" customHeight="1">
      <c r="T66" s="2076"/>
    </row>
    <row r="67" spans="4:20" ht="14.1" customHeight="1">
      <c r="T67" s="2076"/>
    </row>
    <row r="68" spans="4:20" ht="14.1" customHeight="1">
      <c r="T68" s="2076"/>
    </row>
    <row r="69" spans="4:20" ht="14.1" customHeight="1">
      <c r="T69" s="2076"/>
    </row>
    <row r="70" spans="4:20" ht="14.1" customHeight="1">
      <c r="T70" s="2076"/>
    </row>
    <row r="71" spans="4:20" ht="14.1" customHeight="1">
      <c r="T71" s="2076"/>
    </row>
    <row r="72" spans="4:20" ht="14.1" customHeight="1">
      <c r="D72" s="3784"/>
      <c r="E72" s="3784"/>
      <c r="F72" s="3784"/>
      <c r="T72" s="2076"/>
    </row>
    <row r="73" spans="4:20" ht="14.1" customHeight="1">
      <c r="T73" s="2076"/>
    </row>
    <row r="74" spans="4:20" ht="14.1" customHeight="1">
      <c r="T74" s="2076"/>
    </row>
    <row r="75" spans="4:20" ht="14.1" customHeight="1">
      <c r="T75" s="2076"/>
    </row>
    <row r="76" spans="4:20" ht="14.1" customHeight="1">
      <c r="T76" s="2076"/>
    </row>
    <row r="77" spans="4:20" ht="14.1" customHeight="1">
      <c r="T77" s="2076"/>
    </row>
    <row r="78" spans="4:20" ht="14.1" customHeight="1">
      <c r="T78" s="2076"/>
    </row>
    <row r="79" spans="4:20" ht="14.1" customHeight="1">
      <c r="T79" s="2076"/>
    </row>
    <row r="80" spans="4:20" ht="14.1" customHeight="1">
      <c r="T80" s="2076"/>
    </row>
    <row r="81" spans="20:20" ht="14.1" customHeight="1">
      <c r="T81" s="2076"/>
    </row>
    <row r="82" spans="20:20" ht="14.1" customHeight="1">
      <c r="T82" s="2076"/>
    </row>
  </sheetData>
  <pageMargins left="0.7" right="0.7" top="0.78740157499999996" bottom="0.78740157499999996"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B367C-8AD0-4245-A9BA-0CB43DBB07B9}">
  <dimension ref="A2:E45"/>
  <sheetViews>
    <sheetView workbookViewId="0">
      <selection activeCell="B3" sqref="B3"/>
    </sheetView>
  </sheetViews>
  <sheetFormatPr baseColWidth="10" defaultRowHeight="14.25"/>
  <cols>
    <col min="1" max="1" width="33.125" customWidth="1"/>
    <col min="2" max="2" width="34.25" style="1957" customWidth="1"/>
    <col min="3" max="3" width="31.25" style="1957" customWidth="1"/>
  </cols>
  <sheetData>
    <row r="2" spans="1:5">
      <c r="A2" t="s">
        <v>1861</v>
      </c>
      <c r="B2" s="1957" t="s">
        <v>1871</v>
      </c>
      <c r="C2" s="1957" t="s">
        <v>1872</v>
      </c>
    </row>
    <row r="3" spans="1:5">
      <c r="B3" s="2078" t="s">
        <v>1862</v>
      </c>
      <c r="E3" t="s">
        <v>1863</v>
      </c>
    </row>
    <row r="10" spans="1:5">
      <c r="A10" t="s">
        <v>1865</v>
      </c>
    </row>
    <row r="11" spans="1:5" ht="25.5">
      <c r="B11" s="2077" t="s">
        <v>1860</v>
      </c>
      <c r="E11" t="s">
        <v>1864</v>
      </c>
    </row>
    <row r="12" spans="1:5" ht="25.5">
      <c r="B12" s="2077" t="s">
        <v>1883</v>
      </c>
      <c r="E12" t="s">
        <v>1884</v>
      </c>
    </row>
    <row r="18" spans="1:5">
      <c r="A18" t="s">
        <v>1510</v>
      </c>
    </row>
    <row r="19" spans="1:5">
      <c r="B19" s="1957" t="s">
        <v>1866</v>
      </c>
      <c r="E19" t="s">
        <v>1864</v>
      </c>
    </row>
    <row r="20" spans="1:5">
      <c r="B20" s="1957" t="s">
        <v>1868</v>
      </c>
      <c r="E20" t="s">
        <v>1864</v>
      </c>
    </row>
    <row r="21" spans="1:5">
      <c r="B21" s="1957" t="s">
        <v>1867</v>
      </c>
      <c r="E21" t="s">
        <v>1864</v>
      </c>
    </row>
    <row r="22" spans="1:5">
      <c r="B22" s="1957" t="s">
        <v>1882</v>
      </c>
    </row>
    <row r="23" spans="1:5" ht="15">
      <c r="B23" s="1958" t="s">
        <v>1869</v>
      </c>
      <c r="E23" s="426" t="s">
        <v>1863</v>
      </c>
    </row>
    <row r="24" spans="1:5" ht="28.5">
      <c r="B24" s="1957" t="s">
        <v>1873</v>
      </c>
      <c r="C24" s="1957" t="s">
        <v>1870</v>
      </c>
      <c r="E24" t="s">
        <v>1863</v>
      </c>
    </row>
    <row r="26" spans="1:5">
      <c r="B26" s="1957" t="s">
        <v>1874</v>
      </c>
      <c r="E26" t="s">
        <v>1863</v>
      </c>
    </row>
    <row r="27" spans="1:5">
      <c r="C27" s="1957" t="s">
        <v>1881</v>
      </c>
    </row>
    <row r="28" spans="1:5">
      <c r="C28" s="1957" t="s">
        <v>1875</v>
      </c>
    </row>
    <row r="29" spans="1:5">
      <c r="C29" s="1957" t="s">
        <v>1876</v>
      </c>
    </row>
    <row r="30" spans="1:5">
      <c r="C30" s="1957" t="s">
        <v>1877</v>
      </c>
    </row>
    <row r="31" spans="1:5" ht="28.5">
      <c r="B31" s="1957" t="s">
        <v>1879</v>
      </c>
      <c r="C31" s="1957" t="s">
        <v>1878</v>
      </c>
    </row>
    <row r="32" spans="1:5" ht="28.5">
      <c r="B32" s="1957" t="s">
        <v>1880</v>
      </c>
    </row>
    <row r="35" spans="1:3">
      <c r="A35" t="s">
        <v>1885</v>
      </c>
      <c r="C35" s="1957" t="s">
        <v>1886</v>
      </c>
    </row>
    <row r="36" spans="1:3">
      <c r="C36" s="1957" t="s">
        <v>1887</v>
      </c>
    </row>
    <row r="37" spans="1:3">
      <c r="C37" s="1957" t="s">
        <v>1891</v>
      </c>
    </row>
    <row r="38" spans="1:3">
      <c r="C38" s="1957" t="s">
        <v>1892</v>
      </c>
    </row>
    <row r="39" spans="1:3">
      <c r="C39" s="1957" t="s">
        <v>1888</v>
      </c>
    </row>
    <row r="41" spans="1:3">
      <c r="A41" t="s">
        <v>216</v>
      </c>
      <c r="C41" s="1957" t="s">
        <v>1893</v>
      </c>
    </row>
    <row r="42" spans="1:3">
      <c r="C42" s="1957" t="s">
        <v>1894</v>
      </c>
    </row>
    <row r="45" spans="1:3">
      <c r="A45" t="s">
        <v>1889</v>
      </c>
      <c r="B45" s="1957" t="s">
        <v>1890</v>
      </c>
    </row>
  </sheetData>
  <hyperlinks>
    <hyperlink ref="B12" r:id="rId1" xr:uid="{E76EAD8E-B9A6-4126-A922-D4536CAC39EF}"/>
    <hyperlink ref="B11" r:id="rId2" xr:uid="{21839954-4E82-499A-A143-DACD96DB07CD}"/>
    <hyperlink ref="B3" r:id="rId3" xr:uid="{C7ACADFD-200B-4B88-9D94-1248071D379D}"/>
  </hyperlinks>
  <pageMargins left="0.7" right="0.7" top="0.78740157499999996" bottom="0.78740157499999996"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B8D6B-DE3F-49DF-82CA-7164978F4AA5}">
  <sheetPr codeName="Tabelle65"/>
  <dimension ref="B2:J43"/>
  <sheetViews>
    <sheetView topLeftCell="A8" workbookViewId="0">
      <selection activeCell="D41" sqref="D41"/>
    </sheetView>
  </sheetViews>
  <sheetFormatPr baseColWidth="10" defaultRowHeight="14.25"/>
  <cols>
    <col min="9" max="9" width="12.5" customWidth="1"/>
  </cols>
  <sheetData>
    <row r="2" spans="2:10">
      <c r="B2" s="75"/>
      <c r="C2" s="132"/>
      <c r="D2" s="132"/>
      <c r="E2" s="132"/>
      <c r="F2" s="132"/>
      <c r="G2" s="3738" t="s">
        <v>1636</v>
      </c>
      <c r="H2" s="3739"/>
      <c r="I2" s="1501"/>
    </row>
    <row r="3" spans="2:10">
      <c r="B3" s="562"/>
      <c r="C3" s="69" t="s">
        <v>59</v>
      </c>
      <c r="D3" s="69" t="s">
        <v>1637</v>
      </c>
      <c r="E3" s="69" t="s">
        <v>1638</v>
      </c>
      <c r="F3" s="69" t="s">
        <v>1639</v>
      </c>
      <c r="G3" s="69" t="s">
        <v>1640</v>
      </c>
      <c r="H3" s="1514" t="s">
        <v>1641</v>
      </c>
      <c r="I3" s="1509" t="s">
        <v>1948</v>
      </c>
    </row>
    <row r="4" spans="2:10">
      <c r="B4" s="1496"/>
      <c r="C4" s="1497">
        <v>32874</v>
      </c>
      <c r="D4" s="1498">
        <v>2415.8541386521324</v>
      </c>
      <c r="E4" s="1498">
        <v>28990.249663825587</v>
      </c>
      <c r="F4" s="1499">
        <v>0.125</v>
      </c>
      <c r="G4" s="638"/>
      <c r="H4" s="1505"/>
      <c r="I4" s="1500"/>
      <c r="J4" s="60">
        <f>+F4+G4+H4</f>
        <v>0.125</v>
      </c>
    </row>
    <row r="5" spans="2:10">
      <c r="B5" s="1496"/>
      <c r="C5" s="1497">
        <v>33239</v>
      </c>
      <c r="D5" s="1498">
        <v>2492.5479208315651</v>
      </c>
      <c r="E5" s="1498">
        <v>29910.575049978783</v>
      </c>
      <c r="F5" s="1499">
        <v>0.122</v>
      </c>
      <c r="G5" s="638"/>
      <c r="H5" s="1505"/>
      <c r="I5" s="1500"/>
      <c r="J5" s="60">
        <f t="shared" ref="J5:J40" si="0">+F5+G5+H5</f>
        <v>0.122</v>
      </c>
    </row>
    <row r="6" spans="2:10">
      <c r="B6" s="1496"/>
      <c r="C6" s="1497">
        <v>33604</v>
      </c>
      <c r="D6" s="1498">
        <v>2607.5885941007145</v>
      </c>
      <c r="E6" s="1498">
        <v>31291.063129208571</v>
      </c>
      <c r="F6" s="1499">
        <v>0.127</v>
      </c>
      <c r="G6" s="638"/>
      <c r="H6" s="1505"/>
      <c r="I6" s="1500"/>
      <c r="J6" s="60">
        <f t="shared" si="0"/>
        <v>0.127</v>
      </c>
    </row>
    <row r="7" spans="2:10">
      <c r="B7" s="1496"/>
      <c r="C7" s="1497">
        <v>33970</v>
      </c>
      <c r="D7" s="1498">
        <v>2760.9761584595799</v>
      </c>
      <c r="E7" s="1498">
        <v>33131.713901514959</v>
      </c>
      <c r="F7" s="1499">
        <v>0.13400000000000001</v>
      </c>
      <c r="G7" s="638"/>
      <c r="H7" s="1505"/>
      <c r="I7" s="1500"/>
      <c r="J7" s="60">
        <f t="shared" si="0"/>
        <v>0.13400000000000001</v>
      </c>
    </row>
    <row r="8" spans="2:10">
      <c r="B8" s="1496"/>
      <c r="C8" s="1497">
        <v>34335</v>
      </c>
      <c r="D8" s="1498">
        <v>2914.3637228184452</v>
      </c>
      <c r="E8" s="1498">
        <v>34972.364673821343</v>
      </c>
      <c r="F8" s="1499">
        <v>0.13200000000000001</v>
      </c>
      <c r="G8" s="638"/>
      <c r="H8" s="638"/>
      <c r="I8" s="1501"/>
      <c r="J8" s="60">
        <f t="shared" si="0"/>
        <v>0.13200000000000001</v>
      </c>
    </row>
    <row r="9" spans="2:10">
      <c r="B9" s="1496"/>
      <c r="C9" s="1497">
        <v>34700</v>
      </c>
      <c r="D9" s="1498">
        <v>2991.0575049978784</v>
      </c>
      <c r="E9" s="1498">
        <v>35892.690059974535</v>
      </c>
      <c r="F9" s="1499">
        <v>0.13200000000000001</v>
      </c>
      <c r="G9" s="638">
        <v>0.01</v>
      </c>
      <c r="H9" s="638">
        <v>0</v>
      </c>
      <c r="I9" s="1501"/>
      <c r="J9" s="60">
        <f t="shared" si="0"/>
        <v>0.14200000000000002</v>
      </c>
    </row>
    <row r="10" spans="2:10">
      <c r="B10" s="1496"/>
      <c r="C10" s="1497">
        <v>35065</v>
      </c>
      <c r="D10" s="1498">
        <v>3067.751287177311</v>
      </c>
      <c r="E10" s="1498">
        <v>36813.015446127734</v>
      </c>
      <c r="F10" s="1499">
        <v>0.13500000000000001</v>
      </c>
      <c r="G10" s="638">
        <v>1.7000000000000001E-2</v>
      </c>
      <c r="H10" s="638">
        <v>0</v>
      </c>
      <c r="I10" s="1501"/>
      <c r="J10" s="60">
        <f t="shared" si="0"/>
        <v>0.15200000000000002</v>
      </c>
    </row>
    <row r="11" spans="2:10">
      <c r="B11" s="1496"/>
      <c r="C11" s="1497">
        <v>35431</v>
      </c>
      <c r="D11" s="1498">
        <v>3144.4450693567437</v>
      </c>
      <c r="E11" s="1498">
        <v>37733.340832280926</v>
      </c>
      <c r="F11" s="1499">
        <v>0.13500000000000001</v>
      </c>
      <c r="G11" s="638">
        <v>1.7000000000000001E-2</v>
      </c>
      <c r="H11" s="638">
        <v>0</v>
      </c>
      <c r="I11" s="1501"/>
      <c r="J11" s="60">
        <f t="shared" si="0"/>
        <v>0.15200000000000002</v>
      </c>
    </row>
    <row r="12" spans="2:10">
      <c r="B12" s="1496"/>
      <c r="C12" s="1497">
        <v>35796</v>
      </c>
      <c r="D12" s="1498">
        <v>3221.1388515361764</v>
      </c>
      <c r="E12" s="1498">
        <v>38653.666218434118</v>
      </c>
      <c r="F12" s="1499">
        <v>0.13600000000000001</v>
      </c>
      <c r="G12" s="638">
        <v>1.7000000000000001E-2</v>
      </c>
      <c r="H12" s="638">
        <v>0</v>
      </c>
      <c r="I12" s="1501"/>
      <c r="J12" s="60">
        <f t="shared" si="0"/>
        <v>0.15300000000000002</v>
      </c>
    </row>
    <row r="13" spans="2:10">
      <c r="B13" s="1496"/>
      <c r="C13" s="1497">
        <v>36161</v>
      </c>
      <c r="D13" s="1498">
        <v>3259.4857426258927</v>
      </c>
      <c r="E13" s="1498">
        <v>39113.828911510718</v>
      </c>
      <c r="F13" s="1499">
        <v>0.13500000000000001</v>
      </c>
      <c r="G13" s="638">
        <v>1.7000000000000001E-2</v>
      </c>
      <c r="H13" s="638">
        <v>0</v>
      </c>
      <c r="I13" s="1501"/>
      <c r="J13" s="60">
        <f t="shared" si="0"/>
        <v>0.15200000000000002</v>
      </c>
    </row>
    <row r="14" spans="2:10">
      <c r="B14" s="1496"/>
      <c r="C14" s="1497">
        <v>36526</v>
      </c>
      <c r="D14" s="1498">
        <v>3297.8326337156095</v>
      </c>
      <c r="E14" s="1498">
        <v>39573.991604587311</v>
      </c>
      <c r="F14" s="1499">
        <v>0.13600000000000001</v>
      </c>
      <c r="G14" s="638">
        <v>1.7000000000000001E-2</v>
      </c>
      <c r="H14" s="638">
        <v>0</v>
      </c>
      <c r="I14" s="1501"/>
      <c r="J14" s="60">
        <f t="shared" si="0"/>
        <v>0.15300000000000002</v>
      </c>
    </row>
    <row r="15" spans="2:10">
      <c r="B15" s="1496"/>
      <c r="C15" s="1497">
        <v>36892</v>
      </c>
      <c r="D15" s="1498">
        <v>3336.1795248053259</v>
      </c>
      <c r="E15" s="1498">
        <v>40034.15429766391</v>
      </c>
      <c r="F15" s="1499">
        <v>0.13600000000000001</v>
      </c>
      <c r="G15" s="638">
        <v>1.7000000000000001E-2</v>
      </c>
      <c r="H15" s="638">
        <v>0</v>
      </c>
      <c r="I15" s="1501"/>
      <c r="J15" s="60">
        <f t="shared" si="0"/>
        <v>0.15300000000000002</v>
      </c>
    </row>
    <row r="16" spans="2:10">
      <c r="B16" s="1496"/>
      <c r="C16" s="1502">
        <v>37257</v>
      </c>
      <c r="D16" s="1503">
        <v>3375</v>
      </c>
      <c r="E16" s="1503">
        <v>40500</v>
      </c>
      <c r="F16" s="1504">
        <v>0.14000000000000001</v>
      </c>
      <c r="G16" s="638">
        <v>1.7000000000000001E-2</v>
      </c>
      <c r="H16" s="638">
        <v>0</v>
      </c>
      <c r="I16" s="1501"/>
      <c r="J16" s="60">
        <f t="shared" si="0"/>
        <v>0.15700000000000003</v>
      </c>
    </row>
    <row r="17" spans="2:10">
      <c r="B17" s="1496"/>
      <c r="C17" s="1502">
        <v>37622</v>
      </c>
      <c r="D17" s="1503">
        <v>3450</v>
      </c>
      <c r="E17" s="1503">
        <v>41400</v>
      </c>
      <c r="F17" s="1504">
        <v>0.14399999999999999</v>
      </c>
      <c r="G17" s="638">
        <v>1.7000000000000001E-2</v>
      </c>
      <c r="H17" s="638">
        <v>0</v>
      </c>
      <c r="I17" s="1501"/>
      <c r="J17" s="60">
        <f t="shared" si="0"/>
        <v>0.16099999999999998</v>
      </c>
    </row>
    <row r="18" spans="2:10">
      <c r="B18" s="1496"/>
      <c r="C18" s="1502">
        <v>37987</v>
      </c>
      <c r="D18" s="1503">
        <v>3487.5</v>
      </c>
      <c r="E18" s="1503">
        <v>41850</v>
      </c>
      <c r="F18" s="1504">
        <v>0.14299999999999999</v>
      </c>
      <c r="G18" s="638">
        <v>1.7000000000000001E-2</v>
      </c>
      <c r="H18" s="638">
        <v>0</v>
      </c>
      <c r="I18" s="1501"/>
      <c r="J18" s="60">
        <f t="shared" si="0"/>
        <v>0.15999999999999998</v>
      </c>
    </row>
    <row r="19" spans="2:10">
      <c r="B19" s="1496"/>
      <c r="C19" s="1502">
        <v>38353</v>
      </c>
      <c r="D19" s="1503">
        <v>3525</v>
      </c>
      <c r="E19" s="1503">
        <v>42300</v>
      </c>
      <c r="F19" s="1505">
        <v>0.14299999999999999</v>
      </c>
      <c r="G19" s="638">
        <v>1.7000000000000001E-2</v>
      </c>
      <c r="H19" s="638">
        <v>2.5000000000000001E-3</v>
      </c>
      <c r="I19" s="1501"/>
      <c r="J19" s="60">
        <f t="shared" si="0"/>
        <v>0.16249999999999998</v>
      </c>
    </row>
    <row r="20" spans="2:10">
      <c r="B20" s="1496"/>
      <c r="C20" s="1502">
        <v>38534</v>
      </c>
      <c r="D20" s="1503">
        <v>3525</v>
      </c>
      <c r="E20" s="1503">
        <v>42300</v>
      </c>
      <c r="F20" s="1505">
        <v>0.13800000000000001</v>
      </c>
      <c r="G20" s="638">
        <v>1.7000000000000001E-2</v>
      </c>
      <c r="H20" s="638">
        <v>2.5000000000000001E-3</v>
      </c>
      <c r="I20" s="1501"/>
      <c r="J20" s="60">
        <f t="shared" si="0"/>
        <v>0.15750000000000003</v>
      </c>
    </row>
    <row r="21" spans="2:10">
      <c r="B21" s="1496"/>
      <c r="C21" s="1502">
        <v>38718</v>
      </c>
      <c r="D21" s="1503">
        <v>3562.5</v>
      </c>
      <c r="E21" s="1503">
        <v>42750</v>
      </c>
      <c r="F21" s="1504">
        <v>0.14299999999999999</v>
      </c>
      <c r="G21" s="638">
        <v>1.7000000000000001E-2</v>
      </c>
      <c r="H21" s="638">
        <v>2.5000000000000001E-3</v>
      </c>
      <c r="I21" s="1501"/>
      <c r="J21" s="60">
        <f t="shared" si="0"/>
        <v>0.16249999999999998</v>
      </c>
    </row>
    <row r="22" spans="2:10">
      <c r="B22" s="1496"/>
      <c r="C22" s="1502">
        <v>39083</v>
      </c>
      <c r="D22" s="1503">
        <v>3562.5</v>
      </c>
      <c r="E22" s="1503">
        <v>42750</v>
      </c>
      <c r="F22" s="1504">
        <v>0.14899999999999999</v>
      </c>
      <c r="G22" s="638">
        <v>1.7000000000000001E-2</v>
      </c>
      <c r="H22" s="638">
        <v>2.5000000000000001E-3</v>
      </c>
      <c r="I22" s="1501"/>
      <c r="J22" s="60">
        <f t="shared" si="0"/>
        <v>0.16849999999999998</v>
      </c>
    </row>
    <row r="23" spans="2:10">
      <c r="B23" s="1496"/>
      <c r="C23" s="1502">
        <v>39448</v>
      </c>
      <c r="D23" s="1503">
        <v>3600</v>
      </c>
      <c r="E23" s="1503">
        <v>43200</v>
      </c>
      <c r="F23" s="1504">
        <v>0.14899999999999999</v>
      </c>
      <c r="G23" s="638">
        <v>1.95E-2</v>
      </c>
      <c r="H23" s="638">
        <v>2.5000000000000001E-3</v>
      </c>
      <c r="I23" s="1506"/>
      <c r="J23" s="60">
        <f t="shared" si="0"/>
        <v>0.17099999999999999</v>
      </c>
    </row>
    <row r="24" spans="2:10">
      <c r="B24" s="1496"/>
      <c r="C24" s="1502">
        <v>39814</v>
      </c>
      <c r="D24" s="1503">
        <v>3675</v>
      </c>
      <c r="E24" s="1503">
        <v>44100</v>
      </c>
      <c r="F24" s="1505">
        <v>0.155</v>
      </c>
      <c r="G24" s="638">
        <v>1.95E-2</v>
      </c>
      <c r="H24" s="638">
        <v>2.5000000000000001E-3</v>
      </c>
      <c r="I24" s="1506"/>
      <c r="J24" s="60">
        <f t="shared" si="0"/>
        <v>0.17699999999999999</v>
      </c>
    </row>
    <row r="25" spans="2:10">
      <c r="B25" s="1496"/>
      <c r="C25" s="1502">
        <v>39995</v>
      </c>
      <c r="D25" s="1503">
        <v>3675</v>
      </c>
      <c r="E25" s="1503">
        <v>44100</v>
      </c>
      <c r="F25" s="1505">
        <v>0.14899999999999999</v>
      </c>
      <c r="G25" s="638">
        <v>1.95E-2</v>
      </c>
      <c r="H25" s="638">
        <v>2.5000000000000001E-3</v>
      </c>
      <c r="I25" s="1506"/>
      <c r="J25" s="60">
        <f t="shared" si="0"/>
        <v>0.17099999999999999</v>
      </c>
    </row>
    <row r="26" spans="2:10">
      <c r="B26" s="1496"/>
      <c r="C26" s="1502">
        <v>40179</v>
      </c>
      <c r="D26" s="1503">
        <v>3750</v>
      </c>
      <c r="E26" s="1503">
        <v>45000</v>
      </c>
      <c r="F26" s="1504">
        <v>0.155</v>
      </c>
      <c r="G26" s="638">
        <v>1.95E-2</v>
      </c>
      <c r="H26" s="638">
        <v>2.5000000000000001E-3</v>
      </c>
      <c r="I26" s="1506"/>
      <c r="J26" s="60">
        <f t="shared" si="0"/>
        <v>0.17699999999999999</v>
      </c>
    </row>
    <row r="27" spans="2:10">
      <c r="B27" s="1496"/>
      <c r="C27" s="1502">
        <v>40544</v>
      </c>
      <c r="D27" s="1503">
        <v>3712.5</v>
      </c>
      <c r="E27" s="1503">
        <v>44550</v>
      </c>
      <c r="F27" s="1504">
        <v>0.155</v>
      </c>
      <c r="G27" s="638">
        <v>1.95E-2</v>
      </c>
      <c r="H27" s="638">
        <v>2.5000000000000001E-3</v>
      </c>
      <c r="I27" s="1506"/>
      <c r="J27" s="60">
        <f t="shared" si="0"/>
        <v>0.17699999999999999</v>
      </c>
    </row>
    <row r="28" spans="2:10">
      <c r="B28" s="1496"/>
      <c r="C28" s="1502">
        <v>40909</v>
      </c>
      <c r="D28" s="1503">
        <v>3825</v>
      </c>
      <c r="E28" s="1503">
        <v>45900</v>
      </c>
      <c r="F28" s="1504">
        <v>0.155</v>
      </c>
      <c r="G28" s="638">
        <v>1.95E-2</v>
      </c>
      <c r="H28" s="638">
        <v>2.5000000000000001E-3</v>
      </c>
      <c r="I28" s="1506"/>
      <c r="J28" s="60">
        <f t="shared" si="0"/>
        <v>0.17699999999999999</v>
      </c>
    </row>
    <row r="29" spans="2:10">
      <c r="B29" s="1496"/>
      <c r="C29" s="1502">
        <v>41275</v>
      </c>
      <c r="D29" s="1503">
        <v>3937.5</v>
      </c>
      <c r="E29" s="1503">
        <v>47250</v>
      </c>
      <c r="F29" s="1504">
        <v>0.155</v>
      </c>
      <c r="G29" s="638">
        <v>2.0500000000000001E-2</v>
      </c>
      <c r="H29" s="638">
        <v>2.5000000000000001E-3</v>
      </c>
      <c r="I29" s="1501"/>
      <c r="J29" s="60">
        <f t="shared" si="0"/>
        <v>0.17799999999999999</v>
      </c>
    </row>
    <row r="30" spans="2:10">
      <c r="B30" s="1496"/>
      <c r="C30" s="1502">
        <v>41640</v>
      </c>
      <c r="D30" s="1503">
        <v>4050</v>
      </c>
      <c r="E30" s="1503">
        <v>48600</v>
      </c>
      <c r="F30" s="1504">
        <v>0.155</v>
      </c>
      <c r="G30" s="638">
        <v>2.0500000000000001E-2</v>
      </c>
      <c r="H30" s="638">
        <v>2.5000000000000001E-3</v>
      </c>
      <c r="I30" s="1501"/>
      <c r="J30" s="60">
        <f t="shared" si="0"/>
        <v>0.17799999999999999</v>
      </c>
    </row>
    <row r="31" spans="2:10">
      <c r="B31" s="1496"/>
      <c r="C31" s="1502">
        <v>42005</v>
      </c>
      <c r="D31" s="1503">
        <v>4125</v>
      </c>
      <c r="E31" s="1503">
        <v>49500</v>
      </c>
      <c r="F31" s="1504">
        <v>0.14599999999999999</v>
      </c>
      <c r="G31" s="638">
        <v>2.35E-2</v>
      </c>
      <c r="H31" s="638">
        <v>2.5000000000000001E-3</v>
      </c>
      <c r="I31" s="1501"/>
      <c r="J31" s="60">
        <f t="shared" si="0"/>
        <v>0.17199999999999999</v>
      </c>
    </row>
    <row r="32" spans="2:10">
      <c r="B32" s="1496"/>
      <c r="C32" s="1502">
        <v>42370</v>
      </c>
      <c r="D32" s="1503">
        <v>4237.5</v>
      </c>
      <c r="E32" s="1503">
        <v>50850</v>
      </c>
      <c r="F32" s="1504">
        <v>0.14599999999999999</v>
      </c>
      <c r="G32" s="638">
        <v>2.35E-2</v>
      </c>
      <c r="H32" s="638">
        <v>2.5000000000000001E-3</v>
      </c>
      <c r="I32" s="1501"/>
      <c r="J32" s="60">
        <f t="shared" si="0"/>
        <v>0.17199999999999999</v>
      </c>
    </row>
    <row r="33" spans="2:10">
      <c r="B33" s="1496"/>
      <c r="C33" s="1502">
        <v>42736</v>
      </c>
      <c r="D33" s="1503">
        <v>4350</v>
      </c>
      <c r="E33" s="1503">
        <v>52200</v>
      </c>
      <c r="F33" s="1504">
        <v>0.14599999999999999</v>
      </c>
      <c r="G33" s="638">
        <v>2.5499999999999998E-2</v>
      </c>
      <c r="H33" s="638">
        <v>2.5000000000000001E-3</v>
      </c>
      <c r="I33" s="1501"/>
      <c r="J33" s="60">
        <f t="shared" si="0"/>
        <v>0.17399999999999999</v>
      </c>
    </row>
    <row r="34" spans="2:10">
      <c r="B34" s="1496"/>
      <c r="C34" s="1502">
        <v>43101</v>
      </c>
      <c r="D34" s="1503">
        <v>4425</v>
      </c>
      <c r="E34" s="1503">
        <v>53100</v>
      </c>
      <c r="F34" s="1504">
        <v>0.14599999999999999</v>
      </c>
      <c r="G34" s="638">
        <v>2.5499999999999998E-2</v>
      </c>
      <c r="H34" s="638">
        <v>2.5000000000000001E-3</v>
      </c>
      <c r="I34" s="1501"/>
      <c r="J34" s="60">
        <f t="shared" si="0"/>
        <v>0.17399999999999999</v>
      </c>
    </row>
    <row r="35" spans="2:10">
      <c r="B35" s="1496"/>
      <c r="C35" s="1502">
        <v>43466</v>
      </c>
      <c r="D35" s="1503">
        <v>4537.5</v>
      </c>
      <c r="E35" s="1503">
        <v>54450</v>
      </c>
      <c r="F35" s="1504">
        <v>0.14599999999999999</v>
      </c>
      <c r="G35" s="638">
        <v>3.0499999999999999E-2</v>
      </c>
      <c r="H35" s="638">
        <v>2.5000000000000001E-3</v>
      </c>
      <c r="I35" s="1501"/>
      <c r="J35" s="60">
        <f t="shared" si="0"/>
        <v>0.17899999999999999</v>
      </c>
    </row>
    <row r="36" spans="2:10">
      <c r="B36" s="1496"/>
      <c r="C36" s="1502">
        <v>43831</v>
      </c>
      <c r="D36" s="1503">
        <v>4687.5</v>
      </c>
      <c r="E36" s="1503">
        <v>56250</v>
      </c>
      <c r="F36" s="1504">
        <v>0.14599999999999999</v>
      </c>
      <c r="G36" s="638">
        <v>3.0499999999999999E-2</v>
      </c>
      <c r="H36" s="638">
        <v>2.5000000000000001E-3</v>
      </c>
      <c r="I36" s="1501"/>
      <c r="J36" s="60">
        <f t="shared" si="0"/>
        <v>0.17899999999999999</v>
      </c>
    </row>
    <row r="37" spans="2:10">
      <c r="B37" s="1496"/>
      <c r="C37" s="1502">
        <v>44197</v>
      </c>
      <c r="D37" s="1503">
        <v>4837.5</v>
      </c>
      <c r="E37" s="1503">
        <v>58050</v>
      </c>
      <c r="F37" s="1504">
        <v>0.14599999999999999</v>
      </c>
      <c r="G37" s="638">
        <v>3.0499999999999999E-2</v>
      </c>
      <c r="H37" s="638">
        <v>2.5000000000000001E-3</v>
      </c>
      <c r="I37" s="1501"/>
      <c r="J37" s="60">
        <f t="shared" si="0"/>
        <v>0.17899999999999999</v>
      </c>
    </row>
    <row r="38" spans="2:10">
      <c r="B38" s="1496"/>
      <c r="C38" s="1502">
        <v>44562</v>
      </c>
      <c r="D38" s="1503">
        <v>4837.5</v>
      </c>
      <c r="E38" s="1503">
        <v>58050</v>
      </c>
      <c r="F38" s="1504">
        <v>0.14599999999999999</v>
      </c>
      <c r="G38" s="638">
        <v>3.0499999999999999E-2</v>
      </c>
      <c r="H38" s="638">
        <v>3.5000000000000001E-3</v>
      </c>
      <c r="I38" s="1501"/>
      <c r="J38" s="60">
        <f t="shared" si="0"/>
        <v>0.18</v>
      </c>
    </row>
    <row r="39" spans="2:10">
      <c r="B39" s="1496"/>
      <c r="C39" s="1502">
        <v>44927</v>
      </c>
      <c r="D39" s="1503">
        <v>4987.5</v>
      </c>
      <c r="E39" s="1503">
        <v>59850</v>
      </c>
      <c r="F39" s="1504">
        <v>0.14599999999999999</v>
      </c>
      <c r="G39" s="638">
        <v>3.0499999999999999E-2</v>
      </c>
      <c r="H39" s="638">
        <v>9.4999999999999998E-3</v>
      </c>
      <c r="I39" s="1501"/>
      <c r="J39" s="60">
        <f t="shared" si="0"/>
        <v>0.186</v>
      </c>
    </row>
    <row r="40" spans="2:10">
      <c r="B40" s="59"/>
      <c r="C40" s="1502">
        <v>45108</v>
      </c>
      <c r="D40" s="1503">
        <v>4987.5</v>
      </c>
      <c r="E40" s="1503">
        <v>59850</v>
      </c>
      <c r="F40" s="1504">
        <v>0.14599999999999999</v>
      </c>
      <c r="G40" s="923">
        <v>3.4000000000000002E-2</v>
      </c>
      <c r="H40" s="923">
        <v>6.0000000000000001E-3</v>
      </c>
      <c r="I40" s="1506"/>
      <c r="J40" s="60">
        <f t="shared" si="0"/>
        <v>0.186</v>
      </c>
    </row>
    <row r="41" spans="2:10">
      <c r="B41" s="1496"/>
      <c r="C41" s="1510">
        <v>45292</v>
      </c>
      <c r="D41" s="1511">
        <f>+E41/12</f>
        <v>5775</v>
      </c>
      <c r="E41" s="1511">
        <v>69300</v>
      </c>
      <c r="F41" s="1512">
        <v>0.14599999999999999</v>
      </c>
      <c r="G41" s="1513">
        <v>3.4000000000000002E-2</v>
      </c>
      <c r="H41" s="1501">
        <v>6.0000000000000001E-3</v>
      </c>
      <c r="I41" s="1501">
        <v>1.7000000000000001E-2</v>
      </c>
      <c r="J41" s="60">
        <f>+F41+G41+H41+I41</f>
        <v>0.20300000000000001</v>
      </c>
    </row>
    <row r="42" spans="2:10">
      <c r="B42" s="562"/>
      <c r="C42" s="1507"/>
      <c r="D42" s="1507"/>
      <c r="E42" s="1507"/>
      <c r="F42" s="1499"/>
      <c r="G42" s="69"/>
      <c r="H42" s="1508"/>
      <c r="I42" s="1508"/>
    </row>
    <row r="43" spans="2:10">
      <c r="B43" s="562"/>
      <c r="C43" s="69"/>
      <c r="D43" s="69"/>
      <c r="E43" s="69"/>
      <c r="F43" s="69"/>
      <c r="G43" s="69"/>
      <c r="H43" s="1508"/>
      <c r="I43" s="1508"/>
    </row>
  </sheetData>
  <mergeCells count="1">
    <mergeCell ref="G2:H2"/>
  </mergeCells>
  <pageMargins left="0.7" right="0.7" top="0.78740157499999996" bottom="0.78740157499999996"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3921D-9311-4D7A-9B5A-6424F392A723}">
  <sheetPr codeName="Tabelle45"/>
  <dimension ref="A1:AF35"/>
  <sheetViews>
    <sheetView zoomScale="85" zoomScaleNormal="85" workbookViewId="0">
      <selection activeCell="P17" sqref="P17"/>
    </sheetView>
  </sheetViews>
  <sheetFormatPr baseColWidth="10" defaultColWidth="0" defaultRowHeight="14.25" zeroHeight="1"/>
  <cols>
    <col min="1" max="1" width="3.25" customWidth="1"/>
    <col min="2" max="2" width="7.5" customWidth="1"/>
    <col min="3" max="9" width="6.75" customWidth="1"/>
    <col min="10" max="10" width="2.75" customWidth="1"/>
    <col min="11" max="11" width="3.25" customWidth="1"/>
    <col min="12" max="12" width="7.5" customWidth="1"/>
    <col min="13" max="19" width="6.75" customWidth="1"/>
    <col min="20" max="20" width="2.25" customWidth="1"/>
    <col min="21" max="21" width="3.25" customWidth="1"/>
    <col min="22" max="22" width="7.5" customWidth="1"/>
    <col min="23" max="31" width="6.75" customWidth="1"/>
    <col min="32" max="32" width="11" customWidth="1"/>
    <col min="33" max="16384" width="11" hidden="1"/>
  </cols>
  <sheetData>
    <row r="1" spans="1:31"/>
    <row r="2" spans="1:31">
      <c r="A2" s="3745" t="s">
        <v>617</v>
      </c>
      <c r="B2" s="3746"/>
      <c r="C2" s="3746"/>
      <c r="D2" s="3746"/>
      <c r="E2" s="3746"/>
      <c r="F2" s="3746"/>
      <c r="G2" s="3746"/>
      <c r="H2" s="3746"/>
      <c r="I2" s="3747"/>
      <c r="J2" s="25"/>
      <c r="K2" s="3743" t="s">
        <v>610</v>
      </c>
      <c r="L2" s="3743"/>
      <c r="M2" s="3743"/>
      <c r="N2" s="3743"/>
      <c r="O2" s="3743"/>
      <c r="P2" s="3743"/>
      <c r="Q2" s="3743"/>
      <c r="R2" s="3743"/>
      <c r="S2" s="3743"/>
      <c r="T2" s="25"/>
      <c r="U2" s="3743" t="s">
        <v>610</v>
      </c>
      <c r="V2" s="3743"/>
      <c r="W2" s="3743"/>
      <c r="X2" s="3743"/>
      <c r="Y2" s="3743"/>
      <c r="Z2" s="3743"/>
      <c r="AA2" s="3743"/>
      <c r="AB2" s="3743"/>
      <c r="AC2" s="3743"/>
      <c r="AD2" s="3743"/>
      <c r="AE2" s="3743"/>
    </row>
    <row r="3" spans="1:31" ht="15">
      <c r="A3" s="3750" t="s">
        <v>614</v>
      </c>
      <c r="B3" s="3751"/>
      <c r="C3" s="3751"/>
      <c r="D3" s="3751"/>
      <c r="E3" s="3751"/>
      <c r="F3" s="3751"/>
      <c r="G3" s="3751"/>
      <c r="H3" s="3751"/>
      <c r="I3" s="3752"/>
      <c r="J3" s="25"/>
      <c r="K3" s="3744" t="s">
        <v>611</v>
      </c>
      <c r="L3" s="3744"/>
      <c r="M3" s="3744"/>
      <c r="N3" s="3744"/>
      <c r="O3" s="3744"/>
      <c r="P3" s="3744"/>
      <c r="Q3" s="3744"/>
      <c r="R3" s="3744"/>
      <c r="S3" s="3744"/>
      <c r="T3" s="25"/>
      <c r="U3" s="3744" t="s">
        <v>615</v>
      </c>
      <c r="V3" s="3744"/>
      <c r="W3" s="3744"/>
      <c r="X3" s="3744"/>
      <c r="Y3" s="3744"/>
      <c r="Z3" s="3744"/>
      <c r="AA3" s="3744"/>
      <c r="AB3" s="3744"/>
      <c r="AC3" s="3744"/>
      <c r="AD3" s="3744"/>
      <c r="AE3" s="3744"/>
    </row>
    <row r="4" spans="1:31">
      <c r="A4" s="3748" t="s">
        <v>7</v>
      </c>
      <c r="B4" s="3749"/>
      <c r="C4" s="30">
        <v>35</v>
      </c>
      <c r="D4" s="30">
        <v>40</v>
      </c>
      <c r="E4" s="30">
        <v>45</v>
      </c>
      <c r="F4" s="30">
        <v>50</v>
      </c>
      <c r="G4" s="30">
        <v>55</v>
      </c>
      <c r="H4" s="30">
        <v>60</v>
      </c>
      <c r="I4" s="30">
        <v>65</v>
      </c>
      <c r="J4" s="25"/>
      <c r="K4" s="3753" t="s">
        <v>7</v>
      </c>
      <c r="L4" s="3754"/>
      <c r="M4" s="30">
        <v>35</v>
      </c>
      <c r="N4" s="30">
        <v>40</v>
      </c>
      <c r="O4" s="30">
        <v>45</v>
      </c>
      <c r="P4" s="30">
        <v>50</v>
      </c>
      <c r="Q4" s="30">
        <v>55</v>
      </c>
      <c r="R4" s="30">
        <v>60</v>
      </c>
      <c r="S4" s="30">
        <v>65</v>
      </c>
      <c r="T4" s="25"/>
      <c r="U4" s="3742" t="s">
        <v>7</v>
      </c>
      <c r="V4" s="3742"/>
      <c r="W4" s="30">
        <v>35</v>
      </c>
      <c r="X4" s="30">
        <v>40</v>
      </c>
      <c r="Y4" s="30">
        <v>45</v>
      </c>
      <c r="Z4" s="30">
        <v>50</v>
      </c>
      <c r="AA4" s="30">
        <v>55</v>
      </c>
      <c r="AB4" s="30">
        <v>60</v>
      </c>
      <c r="AC4" s="30">
        <v>65</v>
      </c>
      <c r="AD4" s="30">
        <v>70</v>
      </c>
      <c r="AE4" s="30">
        <v>75</v>
      </c>
    </row>
    <row r="5" spans="1:31" ht="14.25" customHeight="1">
      <c r="A5" s="3740" t="s">
        <v>277</v>
      </c>
      <c r="B5" s="590">
        <v>0.01</v>
      </c>
      <c r="C5" s="591">
        <v>2.41</v>
      </c>
      <c r="D5" s="591">
        <v>2.23</v>
      </c>
      <c r="E5" s="591">
        <v>2.06</v>
      </c>
      <c r="F5" s="591">
        <v>1.91</v>
      </c>
      <c r="G5" s="591">
        <v>1.77</v>
      </c>
      <c r="H5" s="591">
        <v>1.64</v>
      </c>
      <c r="I5" s="591">
        <v>1.54</v>
      </c>
      <c r="K5" s="3740" t="s">
        <v>277</v>
      </c>
      <c r="L5" s="590">
        <v>0.01</v>
      </c>
      <c r="M5" s="591">
        <v>2.4500000000000002</v>
      </c>
      <c r="N5" s="591">
        <v>2.27</v>
      </c>
      <c r="O5" s="591">
        <v>2.1</v>
      </c>
      <c r="P5" s="591">
        <v>1.94</v>
      </c>
      <c r="Q5" s="591">
        <v>1.8</v>
      </c>
      <c r="R5" s="591">
        <v>1.68</v>
      </c>
      <c r="S5" s="591">
        <v>1.57</v>
      </c>
      <c r="U5" s="3740" t="s">
        <v>277</v>
      </c>
      <c r="V5" s="590">
        <v>0.01</v>
      </c>
      <c r="W5" s="591">
        <v>1.28</v>
      </c>
      <c r="X5" s="591">
        <v>1.22</v>
      </c>
      <c r="Y5" s="591">
        <v>1.1599999999999999</v>
      </c>
      <c r="Z5" s="591">
        <v>1.1000000000000001</v>
      </c>
      <c r="AA5" s="591">
        <v>1.06</v>
      </c>
      <c r="AB5" s="591">
        <v>1.01</v>
      </c>
      <c r="AC5" s="591">
        <v>0.97</v>
      </c>
      <c r="AD5" s="591">
        <v>0.92</v>
      </c>
      <c r="AE5" s="591">
        <v>0.85</v>
      </c>
    </row>
    <row r="6" spans="1:31" ht="13.9" customHeight="1">
      <c r="A6" s="3740"/>
      <c r="B6" s="590">
        <v>1.2500000000000001E-2</v>
      </c>
      <c r="C6" s="591">
        <v>2.16</v>
      </c>
      <c r="D6" s="591">
        <v>2.02</v>
      </c>
      <c r="E6" s="591">
        <v>1.9</v>
      </c>
      <c r="F6" s="591">
        <v>1.78</v>
      </c>
      <c r="G6" s="591">
        <v>1.66</v>
      </c>
      <c r="H6" s="591">
        <v>1.56</v>
      </c>
      <c r="I6" s="591">
        <v>1.48</v>
      </c>
      <c r="K6" s="3740"/>
      <c r="L6" s="590">
        <v>1.2500000000000001E-2</v>
      </c>
      <c r="M6" s="591">
        <v>2.19</v>
      </c>
      <c r="N6" s="591">
        <v>2.0499999999999998</v>
      </c>
      <c r="O6" s="591">
        <v>1.92</v>
      </c>
      <c r="P6" s="591">
        <v>1.8</v>
      </c>
      <c r="Q6" s="591">
        <v>1.69</v>
      </c>
      <c r="R6" s="591">
        <v>1.59</v>
      </c>
      <c r="S6" s="591">
        <v>1.51</v>
      </c>
      <c r="U6" s="3740"/>
      <c r="V6" s="590">
        <v>1.2500000000000001E-2</v>
      </c>
      <c r="W6" s="591">
        <v>1.1399999999999999</v>
      </c>
      <c r="X6" s="591">
        <v>1.1000000000000001</v>
      </c>
      <c r="Y6" s="591">
        <v>1.06</v>
      </c>
      <c r="Z6" s="591">
        <v>1.03</v>
      </c>
      <c r="AA6" s="591">
        <v>0.99</v>
      </c>
      <c r="AB6" s="591">
        <v>0.97</v>
      </c>
      <c r="AC6" s="591">
        <v>0.94</v>
      </c>
      <c r="AD6" s="591">
        <v>0.89</v>
      </c>
      <c r="AE6" s="591">
        <v>0.83</v>
      </c>
    </row>
    <row r="7" spans="1:31" ht="13.9" customHeight="1">
      <c r="A7" s="3740"/>
      <c r="B7" s="590">
        <v>1.4999999999999999E-2</v>
      </c>
      <c r="C7" s="591">
        <v>1.94</v>
      </c>
      <c r="D7" s="591">
        <v>1.84</v>
      </c>
      <c r="E7" s="591">
        <v>1.74</v>
      </c>
      <c r="F7" s="591">
        <v>1.65</v>
      </c>
      <c r="G7" s="591">
        <v>1.57</v>
      </c>
      <c r="H7" s="591">
        <v>1.49</v>
      </c>
      <c r="I7" s="591">
        <v>1.43</v>
      </c>
      <c r="K7" s="3740"/>
      <c r="L7" s="590">
        <v>1.4999999999999999E-2</v>
      </c>
      <c r="M7" s="591">
        <v>1.96</v>
      </c>
      <c r="N7" s="591">
        <v>1.86</v>
      </c>
      <c r="O7" s="591">
        <v>1.76</v>
      </c>
      <c r="P7" s="591">
        <v>1.67</v>
      </c>
      <c r="Q7" s="591">
        <v>1.59</v>
      </c>
      <c r="R7" s="591">
        <v>1.52</v>
      </c>
      <c r="S7" s="591">
        <v>1.46</v>
      </c>
      <c r="U7" s="3740"/>
      <c r="V7" s="590">
        <v>1.4999999999999999E-2</v>
      </c>
      <c r="W7" s="591">
        <v>1.02</v>
      </c>
      <c r="X7" s="591">
        <v>1</v>
      </c>
      <c r="Y7" s="591">
        <v>0.98</v>
      </c>
      <c r="Z7" s="591">
        <v>0.95</v>
      </c>
      <c r="AA7" s="591">
        <v>0.94</v>
      </c>
      <c r="AB7" s="591">
        <v>0.92</v>
      </c>
      <c r="AC7" s="591">
        <v>0.91</v>
      </c>
      <c r="AD7" s="591">
        <v>0.87</v>
      </c>
      <c r="AE7" s="591">
        <v>0.81</v>
      </c>
    </row>
    <row r="8" spans="1:31" ht="13.9" customHeight="1">
      <c r="A8" s="3740"/>
      <c r="B8" s="590">
        <v>1.7500000000000002E-2</v>
      </c>
      <c r="C8" s="591">
        <v>1.74</v>
      </c>
      <c r="D8" s="591">
        <v>1.67</v>
      </c>
      <c r="E8" s="591">
        <v>1.6</v>
      </c>
      <c r="F8" s="591">
        <v>1.54</v>
      </c>
      <c r="G8" s="591">
        <v>1.48</v>
      </c>
      <c r="H8" s="591">
        <v>1.42</v>
      </c>
      <c r="I8" s="591">
        <v>1.39</v>
      </c>
      <c r="K8" s="3740"/>
      <c r="L8" s="590">
        <v>1.7500000000000002E-2</v>
      </c>
      <c r="M8" s="591">
        <v>1.76</v>
      </c>
      <c r="N8" s="591">
        <v>1.69</v>
      </c>
      <c r="O8" s="591">
        <v>1.62</v>
      </c>
      <c r="P8" s="591">
        <v>1.56</v>
      </c>
      <c r="Q8" s="591">
        <v>1.5</v>
      </c>
      <c r="R8" s="591">
        <v>1.44</v>
      </c>
      <c r="S8" s="591">
        <v>1.41</v>
      </c>
      <c r="U8" s="3740"/>
      <c r="V8" s="590">
        <v>1.7500000000000002E-2</v>
      </c>
      <c r="W8" s="591">
        <v>0.92</v>
      </c>
      <c r="X8" s="591">
        <v>0.91</v>
      </c>
      <c r="Y8" s="591">
        <v>0.9</v>
      </c>
      <c r="Z8" s="591">
        <v>0.89</v>
      </c>
      <c r="AA8" s="591">
        <v>0.88</v>
      </c>
      <c r="AB8" s="591">
        <v>0.88</v>
      </c>
      <c r="AC8" s="591">
        <v>0.88</v>
      </c>
      <c r="AD8" s="591">
        <v>0.84</v>
      </c>
      <c r="AE8" s="591">
        <v>0.8</v>
      </c>
    </row>
    <row r="9" spans="1:31" ht="13.9" customHeight="1">
      <c r="A9" s="3740"/>
      <c r="B9" s="590">
        <v>0.02</v>
      </c>
      <c r="C9" s="591">
        <v>1.56</v>
      </c>
      <c r="D9" s="591">
        <v>1.52</v>
      </c>
      <c r="E9" s="591">
        <v>1.48</v>
      </c>
      <c r="F9" s="591">
        <v>1.43</v>
      </c>
      <c r="G9" s="591">
        <v>1.39</v>
      </c>
      <c r="H9" s="591">
        <v>1.36</v>
      </c>
      <c r="I9" s="591">
        <v>1.34</v>
      </c>
      <c r="K9" s="3740"/>
      <c r="L9" s="590">
        <v>0.02</v>
      </c>
      <c r="M9" s="591">
        <v>1.57</v>
      </c>
      <c r="N9" s="591">
        <v>1.53</v>
      </c>
      <c r="O9" s="591">
        <v>1.49</v>
      </c>
      <c r="P9" s="591">
        <v>1.45</v>
      </c>
      <c r="Q9" s="591">
        <v>1.41</v>
      </c>
      <c r="R9" s="591">
        <v>1.38</v>
      </c>
      <c r="S9" s="591">
        <v>1.36</v>
      </c>
      <c r="U9" s="3740"/>
      <c r="V9" s="590">
        <v>0.02</v>
      </c>
      <c r="W9" s="591">
        <v>0.82</v>
      </c>
      <c r="X9" s="591">
        <v>0.82</v>
      </c>
      <c r="Y9" s="591">
        <v>0.82</v>
      </c>
      <c r="Z9" s="591">
        <v>0.83</v>
      </c>
      <c r="AA9" s="591">
        <v>0.83</v>
      </c>
      <c r="AB9" s="591">
        <v>0.84</v>
      </c>
      <c r="AC9" s="591">
        <v>0.85</v>
      </c>
      <c r="AD9" s="591">
        <v>0.82</v>
      </c>
      <c r="AE9" s="591">
        <v>0.78</v>
      </c>
    </row>
    <row r="10" spans="1:31" ht="13.9" customHeight="1">
      <c r="A10" s="3740"/>
      <c r="B10" s="590">
        <v>2.2499999999999999E-2</v>
      </c>
      <c r="C10" s="591">
        <v>1.41</v>
      </c>
      <c r="D10" s="591">
        <v>1.38</v>
      </c>
      <c r="E10" s="591">
        <v>1.36</v>
      </c>
      <c r="F10" s="591">
        <v>1.34</v>
      </c>
      <c r="G10" s="591">
        <v>1.32</v>
      </c>
      <c r="H10" s="591">
        <v>1.3</v>
      </c>
      <c r="I10" s="591">
        <v>1.3</v>
      </c>
      <c r="K10" s="3740"/>
      <c r="L10" s="590">
        <v>2.2499999999999999E-2</v>
      </c>
      <c r="M10" s="591">
        <v>1.41</v>
      </c>
      <c r="N10" s="591">
        <v>1.39</v>
      </c>
      <c r="O10" s="591">
        <v>1.37</v>
      </c>
      <c r="P10" s="591">
        <v>1.35</v>
      </c>
      <c r="Q10" s="591">
        <v>1.33</v>
      </c>
      <c r="R10" s="591">
        <v>1.31</v>
      </c>
      <c r="S10" s="591">
        <v>1.31</v>
      </c>
      <c r="U10" s="3740"/>
      <c r="V10" s="590">
        <v>2.2499999999999999E-2</v>
      </c>
      <c r="W10" s="591">
        <v>0.74</v>
      </c>
      <c r="X10" s="591">
        <v>0.75</v>
      </c>
      <c r="Y10" s="591">
        <v>0.76</v>
      </c>
      <c r="Z10" s="591">
        <v>0.77</v>
      </c>
      <c r="AA10" s="591">
        <v>0.79</v>
      </c>
      <c r="AB10" s="591">
        <v>0.81</v>
      </c>
      <c r="AC10" s="591">
        <v>0.82</v>
      </c>
      <c r="AD10" s="591">
        <v>0.8</v>
      </c>
      <c r="AE10" s="591">
        <v>0.76</v>
      </c>
    </row>
    <row r="11" spans="1:31" ht="13.9" customHeight="1">
      <c r="A11" s="3740"/>
      <c r="B11" s="590">
        <v>2.5000000000000001E-2</v>
      </c>
      <c r="C11" s="591">
        <v>1.27</v>
      </c>
      <c r="D11" s="591">
        <v>1.26</v>
      </c>
      <c r="E11" s="591">
        <v>1.26</v>
      </c>
      <c r="F11" s="591">
        <v>1.25</v>
      </c>
      <c r="G11" s="591">
        <v>1.24</v>
      </c>
      <c r="H11" s="591">
        <v>1.24</v>
      </c>
      <c r="I11" s="591">
        <v>1.25</v>
      </c>
      <c r="K11" s="3740"/>
      <c r="L11" s="590">
        <v>2.5000000000000001E-2</v>
      </c>
      <c r="M11" s="591">
        <v>1.27</v>
      </c>
      <c r="N11" s="591">
        <v>1.27</v>
      </c>
      <c r="O11" s="591">
        <v>1.26</v>
      </c>
      <c r="P11" s="591">
        <v>1.26</v>
      </c>
      <c r="Q11" s="591">
        <v>1.25</v>
      </c>
      <c r="R11" s="591">
        <v>1.25</v>
      </c>
      <c r="S11" s="591">
        <v>1.27</v>
      </c>
      <c r="U11" s="3740"/>
      <c r="V11" s="590">
        <v>2.5000000000000001E-2</v>
      </c>
      <c r="W11" s="591">
        <v>0.66</v>
      </c>
      <c r="X11" s="591">
        <v>0.68</v>
      </c>
      <c r="Y11" s="591">
        <v>0.7</v>
      </c>
      <c r="Z11" s="591">
        <v>0.72</v>
      </c>
      <c r="AA11" s="591">
        <v>0.74</v>
      </c>
      <c r="AB11" s="591">
        <v>0.77</v>
      </c>
      <c r="AC11" s="591">
        <v>0.8</v>
      </c>
      <c r="AD11" s="591">
        <v>0.78</v>
      </c>
      <c r="AE11" s="591">
        <v>0.75</v>
      </c>
    </row>
    <row r="12" spans="1:31" ht="13.9" customHeight="1">
      <c r="A12" s="3740"/>
      <c r="B12" s="590">
        <v>2.75E-2</v>
      </c>
      <c r="C12" s="591">
        <v>1.1399999999999999</v>
      </c>
      <c r="D12" s="591">
        <v>1.1499999999999999</v>
      </c>
      <c r="E12" s="591">
        <v>1.1599999999999999</v>
      </c>
      <c r="F12" s="591">
        <v>1.17</v>
      </c>
      <c r="G12" s="591">
        <v>1.17</v>
      </c>
      <c r="H12" s="591">
        <v>1.19</v>
      </c>
      <c r="I12" s="591">
        <v>1.22</v>
      </c>
      <c r="K12" s="3740"/>
      <c r="L12" s="590">
        <v>2.75E-2</v>
      </c>
      <c r="M12" s="591">
        <v>1.1399999999999999</v>
      </c>
      <c r="N12" s="591">
        <v>1.1499999999999999</v>
      </c>
      <c r="O12" s="591">
        <v>1.1599999999999999</v>
      </c>
      <c r="P12" s="591">
        <v>1.17</v>
      </c>
      <c r="Q12" s="591">
        <v>1.18</v>
      </c>
      <c r="R12" s="591">
        <v>1.2</v>
      </c>
      <c r="S12" s="591">
        <v>1.23</v>
      </c>
      <c r="U12" s="3740"/>
      <c r="V12" s="590">
        <v>2.75E-2</v>
      </c>
      <c r="W12" s="591">
        <v>0.59</v>
      </c>
      <c r="X12" s="591">
        <v>0.62</v>
      </c>
      <c r="Y12" s="591">
        <v>0.64</v>
      </c>
      <c r="Z12" s="591">
        <v>0.67</v>
      </c>
      <c r="AA12" s="591">
        <v>0.7</v>
      </c>
      <c r="AB12" s="591">
        <v>0.74</v>
      </c>
      <c r="AC12" s="591">
        <v>0.77</v>
      </c>
      <c r="AD12" s="591">
        <v>0.76</v>
      </c>
      <c r="AE12" s="591">
        <v>0.73</v>
      </c>
    </row>
    <row r="13" spans="1:31" ht="13.9" customHeight="1">
      <c r="A13" s="3740"/>
      <c r="B13" s="590">
        <v>0.03</v>
      </c>
      <c r="C13" s="591">
        <v>1.03</v>
      </c>
      <c r="D13" s="591">
        <v>1.05</v>
      </c>
      <c r="E13" s="591">
        <v>1.07</v>
      </c>
      <c r="F13" s="591">
        <v>1.0900000000000001</v>
      </c>
      <c r="G13" s="591">
        <v>1.1100000000000001</v>
      </c>
      <c r="H13" s="591">
        <v>1.1299999999999999</v>
      </c>
      <c r="I13" s="591">
        <v>1.18</v>
      </c>
      <c r="K13" s="3740"/>
      <c r="L13" s="590">
        <v>0.03</v>
      </c>
      <c r="M13" s="591">
        <v>1.03</v>
      </c>
      <c r="N13" s="591">
        <v>1.05</v>
      </c>
      <c r="O13" s="591">
        <v>1.07</v>
      </c>
      <c r="P13" s="591">
        <v>1.0900000000000001</v>
      </c>
      <c r="Q13" s="591">
        <v>1.1200000000000001</v>
      </c>
      <c r="R13" s="591">
        <v>1.1399999999999999</v>
      </c>
      <c r="S13" s="591">
        <v>1.19</v>
      </c>
      <c r="U13" s="3740"/>
      <c r="V13" s="590">
        <v>0.03</v>
      </c>
      <c r="W13" s="591">
        <v>0.54</v>
      </c>
      <c r="X13" s="591">
        <v>0.56000000000000005</v>
      </c>
      <c r="Y13" s="591">
        <v>0.59</v>
      </c>
      <c r="Z13" s="591">
        <v>0.63</v>
      </c>
      <c r="AA13" s="591">
        <v>0.67</v>
      </c>
      <c r="AB13" s="591">
        <v>0.71</v>
      </c>
      <c r="AC13" s="591">
        <v>0.75</v>
      </c>
      <c r="AD13" s="591">
        <v>0.74</v>
      </c>
      <c r="AE13" s="591">
        <v>0.72</v>
      </c>
    </row>
    <row r="14" spans="1:31" ht="13.9" customHeight="1">
      <c r="A14" s="3740"/>
      <c r="B14" s="590">
        <v>3.2500000000000001E-2</v>
      </c>
      <c r="C14" s="591">
        <v>0.93</v>
      </c>
      <c r="D14" s="591">
        <v>0.96</v>
      </c>
      <c r="E14" s="591">
        <v>0.99</v>
      </c>
      <c r="F14" s="591">
        <v>1.02</v>
      </c>
      <c r="G14" s="591">
        <v>1.05</v>
      </c>
      <c r="H14" s="591">
        <v>1.0900000000000001</v>
      </c>
      <c r="I14" s="591">
        <v>1.1399999999999999</v>
      </c>
      <c r="K14" s="3740"/>
      <c r="L14" s="590">
        <v>3.2500000000000001E-2</v>
      </c>
      <c r="M14" s="591">
        <v>0.93</v>
      </c>
      <c r="N14" s="591">
        <v>0.96</v>
      </c>
      <c r="O14" s="591">
        <v>0.99</v>
      </c>
      <c r="P14" s="591">
        <v>1.02</v>
      </c>
      <c r="Q14" s="591">
        <v>1.05</v>
      </c>
      <c r="R14" s="591">
        <v>1.0900000000000001</v>
      </c>
      <c r="S14" s="591">
        <v>1.1499999999999999</v>
      </c>
      <c r="U14" s="3740"/>
      <c r="V14" s="590">
        <v>3.2500000000000001E-2</v>
      </c>
      <c r="W14" s="591">
        <v>0.48</v>
      </c>
      <c r="X14" s="591">
        <v>0.51</v>
      </c>
      <c r="Y14" s="591">
        <v>0.55000000000000004</v>
      </c>
      <c r="Z14" s="591">
        <v>0.59</v>
      </c>
      <c r="AA14" s="591">
        <v>0.63</v>
      </c>
      <c r="AB14" s="591">
        <v>0.68</v>
      </c>
      <c r="AC14" s="591">
        <v>0.73</v>
      </c>
      <c r="AD14" s="591">
        <v>0.72</v>
      </c>
      <c r="AE14" s="591">
        <v>0.7</v>
      </c>
    </row>
    <row r="15" spans="1:31" ht="13.9" customHeight="1">
      <c r="A15" s="3740"/>
      <c r="B15" s="590">
        <v>3.5000000000000003E-2</v>
      </c>
      <c r="C15" s="591">
        <v>0.84</v>
      </c>
      <c r="D15" s="591">
        <v>0.88</v>
      </c>
      <c r="E15" s="591">
        <v>0.92</v>
      </c>
      <c r="F15" s="591">
        <v>0.95</v>
      </c>
      <c r="G15" s="591">
        <v>1</v>
      </c>
      <c r="H15" s="591">
        <v>1.04</v>
      </c>
      <c r="I15" s="591">
        <v>1.1100000000000001</v>
      </c>
      <c r="K15" s="3740"/>
      <c r="L15" s="590">
        <v>3.5000000000000003E-2</v>
      </c>
      <c r="M15" s="591">
        <v>0.84</v>
      </c>
      <c r="N15" s="591">
        <v>0.88</v>
      </c>
      <c r="O15" s="591">
        <v>0.91</v>
      </c>
      <c r="P15" s="591">
        <v>0.95</v>
      </c>
      <c r="Q15" s="591">
        <v>1</v>
      </c>
      <c r="R15" s="591">
        <v>1.05</v>
      </c>
      <c r="S15" s="591">
        <v>1.1100000000000001</v>
      </c>
      <c r="U15" s="3740"/>
      <c r="V15" s="590">
        <v>3.5000000000000003E-2</v>
      </c>
      <c r="W15" s="591">
        <v>0.43</v>
      </c>
      <c r="X15" s="591">
        <v>0.47</v>
      </c>
      <c r="Y15" s="591">
        <v>0.51</v>
      </c>
      <c r="Z15" s="591">
        <v>0.55000000000000004</v>
      </c>
      <c r="AA15" s="591">
        <v>0.6</v>
      </c>
      <c r="AB15" s="591">
        <v>0.65</v>
      </c>
      <c r="AC15" s="591">
        <v>0.71</v>
      </c>
      <c r="AD15" s="591">
        <v>0.7</v>
      </c>
      <c r="AE15" s="591">
        <v>0.69</v>
      </c>
    </row>
    <row r="16" spans="1:31" ht="13.9" customHeight="1">
      <c r="A16" s="3740"/>
      <c r="B16" s="590">
        <v>3.7499999999999999E-2</v>
      </c>
      <c r="C16" s="591">
        <v>0.76</v>
      </c>
      <c r="D16" s="591">
        <v>0.81</v>
      </c>
      <c r="E16" s="591">
        <v>0.85</v>
      </c>
      <c r="F16" s="591">
        <v>0.89</v>
      </c>
      <c r="G16" s="591">
        <v>0.94</v>
      </c>
      <c r="H16" s="591">
        <v>1</v>
      </c>
      <c r="I16" s="591">
        <v>1.07</v>
      </c>
      <c r="K16" s="3740"/>
      <c r="L16" s="590">
        <v>3.7499999999999999E-2</v>
      </c>
      <c r="M16" s="591">
        <v>0.76</v>
      </c>
      <c r="N16" s="591">
        <v>0.8</v>
      </c>
      <c r="O16" s="591">
        <v>0.84</v>
      </c>
      <c r="P16" s="591">
        <v>0.89</v>
      </c>
      <c r="Q16" s="591">
        <v>0.94</v>
      </c>
      <c r="R16" s="591">
        <v>1</v>
      </c>
      <c r="S16" s="591">
        <v>1.08</v>
      </c>
      <c r="U16" s="3740"/>
      <c r="V16" s="590">
        <v>3.7499999999999999E-2</v>
      </c>
      <c r="W16" s="591">
        <v>0.39</v>
      </c>
      <c r="X16" s="591">
        <v>0.43</v>
      </c>
      <c r="Y16" s="591">
        <v>0.47</v>
      </c>
      <c r="Z16" s="591">
        <v>0.51</v>
      </c>
      <c r="AA16" s="591">
        <v>0.56000000000000005</v>
      </c>
      <c r="AB16" s="591">
        <v>0.62</v>
      </c>
      <c r="AC16" s="591">
        <v>0.69</v>
      </c>
      <c r="AD16" s="591">
        <v>0.69</v>
      </c>
      <c r="AE16" s="591">
        <v>0.68</v>
      </c>
    </row>
    <row r="17" spans="1:31" ht="13.9" customHeight="1">
      <c r="A17" s="3740"/>
      <c r="B17" s="590">
        <v>0.04</v>
      </c>
      <c r="C17" s="591">
        <v>0.69</v>
      </c>
      <c r="D17" s="591">
        <v>0.74</v>
      </c>
      <c r="E17" s="591">
        <v>0.79</v>
      </c>
      <c r="F17" s="591">
        <v>0.84</v>
      </c>
      <c r="G17" s="591">
        <v>0.89</v>
      </c>
      <c r="H17" s="591">
        <v>0.96</v>
      </c>
      <c r="I17" s="591">
        <v>1.04</v>
      </c>
      <c r="K17" s="3740"/>
      <c r="L17" s="590">
        <v>0.04</v>
      </c>
      <c r="M17" s="591">
        <v>0.68</v>
      </c>
      <c r="N17" s="591">
        <v>0.73</v>
      </c>
      <c r="O17" s="591">
        <v>0.78</v>
      </c>
      <c r="P17" s="591">
        <v>0.84</v>
      </c>
      <c r="Q17" s="591">
        <v>0.89</v>
      </c>
      <c r="R17" s="591">
        <v>0.96</v>
      </c>
      <c r="S17" s="591">
        <v>1.05</v>
      </c>
      <c r="U17" s="3740"/>
      <c r="V17" s="590">
        <v>0.04</v>
      </c>
      <c r="W17" s="591">
        <v>0.35</v>
      </c>
      <c r="X17" s="591">
        <v>0.39</v>
      </c>
      <c r="Y17" s="591">
        <v>0.43</v>
      </c>
      <c r="Z17" s="591">
        <v>0.48</v>
      </c>
      <c r="AA17" s="591">
        <v>0.54</v>
      </c>
      <c r="AB17" s="591">
        <v>0.6</v>
      </c>
      <c r="AC17" s="591">
        <v>0.67</v>
      </c>
      <c r="AD17" s="591">
        <v>0.67</v>
      </c>
      <c r="AE17" s="591">
        <v>0.66</v>
      </c>
    </row>
    <row r="18" spans="1:31">
      <c r="B18" s="154"/>
      <c r="L18" s="154"/>
      <c r="V18" s="154"/>
    </row>
    <row r="19" spans="1:31" ht="15">
      <c r="A19" s="3741" t="s">
        <v>613</v>
      </c>
      <c r="B19" s="3741"/>
      <c r="C19" s="3741"/>
      <c r="D19" s="3741"/>
      <c r="E19" s="3741"/>
      <c r="F19" s="3741"/>
      <c r="G19" s="3741"/>
      <c r="H19" s="3741"/>
      <c r="I19" s="3741"/>
      <c r="J19" s="25"/>
      <c r="K19" s="3741" t="s">
        <v>612</v>
      </c>
      <c r="L19" s="3741"/>
      <c r="M19" s="3741"/>
      <c r="N19" s="3741"/>
      <c r="O19" s="3741"/>
      <c r="P19" s="3741"/>
      <c r="Q19" s="3741"/>
      <c r="R19" s="3741"/>
      <c r="S19" s="3741"/>
      <c r="T19" s="25"/>
      <c r="U19" s="3741" t="s">
        <v>616</v>
      </c>
      <c r="V19" s="3741"/>
      <c r="W19" s="3741"/>
      <c r="X19" s="3741"/>
      <c r="Y19" s="3741"/>
      <c r="Z19" s="3741"/>
      <c r="AA19" s="3741"/>
      <c r="AB19" s="3741"/>
      <c r="AC19" s="3741"/>
      <c r="AD19" s="3741"/>
      <c r="AE19" s="3741"/>
    </row>
    <row r="20" spans="1:31">
      <c r="A20" s="3742" t="s">
        <v>7</v>
      </c>
      <c r="B20" s="3742"/>
      <c r="C20" s="30">
        <v>35</v>
      </c>
      <c r="D20" s="30">
        <v>40</v>
      </c>
      <c r="E20" s="30">
        <v>45</v>
      </c>
      <c r="F20" s="30">
        <v>50</v>
      </c>
      <c r="G20" s="30">
        <v>55</v>
      </c>
      <c r="H20" s="30">
        <v>60</v>
      </c>
      <c r="I20" s="30">
        <v>65</v>
      </c>
      <c r="J20" s="25"/>
      <c r="K20" s="3742" t="s">
        <v>7</v>
      </c>
      <c r="L20" s="3742"/>
      <c r="M20" s="30">
        <v>35</v>
      </c>
      <c r="N20" s="30">
        <v>40</v>
      </c>
      <c r="O20" s="30">
        <v>45</v>
      </c>
      <c r="P20" s="30">
        <v>50</v>
      </c>
      <c r="Q20" s="30">
        <v>55</v>
      </c>
      <c r="R20" s="30">
        <v>60</v>
      </c>
      <c r="S20" s="30">
        <v>65</v>
      </c>
      <c r="T20" s="25"/>
      <c r="U20" s="3742" t="s">
        <v>7</v>
      </c>
      <c r="V20" s="3742"/>
      <c r="W20" s="30">
        <v>35</v>
      </c>
      <c r="X20" s="30">
        <v>40</v>
      </c>
      <c r="Y20" s="30">
        <v>45</v>
      </c>
      <c r="Z20" s="30">
        <v>50</v>
      </c>
      <c r="AA20" s="30">
        <v>55</v>
      </c>
      <c r="AB20" s="30">
        <v>60</v>
      </c>
      <c r="AC20" s="30">
        <v>65</v>
      </c>
      <c r="AD20" s="30">
        <v>70</v>
      </c>
      <c r="AE20" s="30">
        <v>75</v>
      </c>
    </row>
    <row r="21" spans="1:31" ht="14.25" customHeight="1">
      <c r="A21" s="3740" t="s">
        <v>277</v>
      </c>
      <c r="B21" s="590">
        <v>0.01</v>
      </c>
      <c r="C21" s="591">
        <v>2.29</v>
      </c>
      <c r="D21" s="591">
        <v>2.13</v>
      </c>
      <c r="E21" s="591">
        <v>1.99</v>
      </c>
      <c r="F21" s="591">
        <v>1.86</v>
      </c>
      <c r="G21" s="591">
        <v>1.74</v>
      </c>
      <c r="H21" s="591">
        <v>1.64</v>
      </c>
      <c r="I21" s="591">
        <v>1.54</v>
      </c>
      <c r="K21" s="3740" t="s">
        <v>277</v>
      </c>
      <c r="L21" s="590">
        <v>0.01</v>
      </c>
      <c r="M21" s="591">
        <v>2.34</v>
      </c>
      <c r="N21" s="591">
        <v>2.1800000000000002</v>
      </c>
      <c r="O21" s="591">
        <v>2.0299999999999998</v>
      </c>
      <c r="P21" s="591">
        <v>1.9</v>
      </c>
      <c r="Q21" s="591">
        <v>1.78</v>
      </c>
      <c r="R21" s="591">
        <v>1.67</v>
      </c>
      <c r="S21" s="591">
        <v>1.57</v>
      </c>
      <c r="U21" s="3740" t="s">
        <v>277</v>
      </c>
      <c r="V21" s="590">
        <v>0.01</v>
      </c>
      <c r="W21" s="591">
        <v>1.1000000000000001</v>
      </c>
      <c r="X21" s="591">
        <v>1.04</v>
      </c>
      <c r="Y21" s="591">
        <v>0.98</v>
      </c>
      <c r="Z21" s="591">
        <v>0.93</v>
      </c>
      <c r="AA21" s="591">
        <v>0.89</v>
      </c>
      <c r="AB21" s="591">
        <v>0.86</v>
      </c>
      <c r="AC21" s="591">
        <v>0.83</v>
      </c>
      <c r="AD21" s="591">
        <v>0.77</v>
      </c>
      <c r="AE21" s="591">
        <v>0.71</v>
      </c>
    </row>
    <row r="22" spans="1:31">
      <c r="A22" s="3740"/>
      <c r="B22" s="590">
        <v>1.2500000000000001E-2</v>
      </c>
      <c r="C22" s="591">
        <v>2.04</v>
      </c>
      <c r="D22" s="591">
        <v>1.93</v>
      </c>
      <c r="E22" s="591">
        <v>1.83</v>
      </c>
      <c r="F22" s="591">
        <v>1.73</v>
      </c>
      <c r="G22" s="591">
        <v>1.64</v>
      </c>
      <c r="H22" s="591">
        <v>1.56</v>
      </c>
      <c r="I22" s="591">
        <v>1.48</v>
      </c>
      <c r="K22" s="3740"/>
      <c r="L22" s="590">
        <v>1.2500000000000001E-2</v>
      </c>
      <c r="M22" s="591">
        <v>2.09</v>
      </c>
      <c r="N22" s="591">
        <v>1.97</v>
      </c>
      <c r="O22" s="591">
        <v>1.86</v>
      </c>
      <c r="P22" s="591">
        <v>1.76</v>
      </c>
      <c r="Q22" s="591">
        <v>1.67</v>
      </c>
      <c r="R22" s="591">
        <v>1.59</v>
      </c>
      <c r="S22" s="591">
        <v>1.51</v>
      </c>
      <c r="U22" s="3740"/>
      <c r="V22" s="590">
        <v>1.2500000000000001E-2</v>
      </c>
      <c r="W22" s="591">
        <v>0.99</v>
      </c>
      <c r="X22" s="591">
        <v>0.94</v>
      </c>
      <c r="Y22" s="591">
        <v>0.9</v>
      </c>
      <c r="Z22" s="591">
        <v>0.87</v>
      </c>
      <c r="AA22" s="591">
        <v>0.84</v>
      </c>
      <c r="AB22" s="591">
        <v>0.82</v>
      </c>
      <c r="AC22" s="591">
        <v>0.8</v>
      </c>
      <c r="AD22" s="591">
        <v>0.75</v>
      </c>
      <c r="AE22" s="591">
        <v>0.7</v>
      </c>
    </row>
    <row r="23" spans="1:31">
      <c r="A23" s="3740"/>
      <c r="B23" s="590">
        <v>1.4999999999999999E-2</v>
      </c>
      <c r="C23" s="591">
        <v>1.82</v>
      </c>
      <c r="D23" s="591">
        <v>1.75</v>
      </c>
      <c r="E23" s="591">
        <v>1.67</v>
      </c>
      <c r="F23" s="591">
        <v>1.61</v>
      </c>
      <c r="G23" s="591">
        <v>1.54</v>
      </c>
      <c r="H23" s="591">
        <v>1.49</v>
      </c>
      <c r="I23" s="591">
        <v>1.43</v>
      </c>
      <c r="K23" s="3740"/>
      <c r="L23" s="590">
        <v>1.4999999999999999E-2</v>
      </c>
      <c r="M23" s="591">
        <v>1.86</v>
      </c>
      <c r="N23" s="591">
        <v>1.78</v>
      </c>
      <c r="O23" s="591">
        <v>1.7</v>
      </c>
      <c r="P23" s="591">
        <v>1.63</v>
      </c>
      <c r="Q23" s="591">
        <v>1.57</v>
      </c>
      <c r="R23" s="591">
        <v>1.51</v>
      </c>
      <c r="S23" s="591">
        <v>1.49</v>
      </c>
      <c r="U23" s="3740"/>
      <c r="V23" s="590">
        <v>1.4999999999999999E-2</v>
      </c>
      <c r="W23" s="591">
        <v>0.89</v>
      </c>
      <c r="X23" s="591">
        <v>0.86</v>
      </c>
      <c r="Y23" s="591">
        <v>0.83</v>
      </c>
      <c r="Z23" s="591">
        <v>0.81</v>
      </c>
      <c r="AA23" s="591">
        <v>0.79</v>
      </c>
      <c r="AB23" s="591">
        <v>0.78</v>
      </c>
      <c r="AC23" s="591">
        <v>0.78</v>
      </c>
      <c r="AD23" s="591">
        <v>0.73</v>
      </c>
      <c r="AE23" s="591">
        <v>0.68</v>
      </c>
    </row>
    <row r="24" spans="1:31">
      <c r="A24" s="3740"/>
      <c r="B24" s="590">
        <v>1.7500000000000002E-2</v>
      </c>
      <c r="C24" s="591">
        <v>1.63</v>
      </c>
      <c r="D24" s="591">
        <v>1.58</v>
      </c>
      <c r="E24" s="591">
        <v>1.54</v>
      </c>
      <c r="F24" s="591">
        <v>1.49</v>
      </c>
      <c r="G24" s="591">
        <v>1.45</v>
      </c>
      <c r="H24" s="591">
        <v>1.42</v>
      </c>
      <c r="I24" s="591">
        <v>1.39</v>
      </c>
      <c r="K24" s="3740"/>
      <c r="L24" s="590">
        <v>1.7500000000000002E-2</v>
      </c>
      <c r="M24" s="591">
        <v>1.66</v>
      </c>
      <c r="N24" s="591">
        <v>1.61</v>
      </c>
      <c r="O24" s="591">
        <v>1.56</v>
      </c>
      <c r="P24" s="591">
        <v>1.51</v>
      </c>
      <c r="Q24" s="591">
        <v>1.47</v>
      </c>
      <c r="R24" s="591">
        <v>1.44</v>
      </c>
      <c r="S24" s="591">
        <v>1.41</v>
      </c>
      <c r="U24" s="3740"/>
      <c r="V24" s="590">
        <v>1.7500000000000002E-2</v>
      </c>
      <c r="W24" s="591">
        <v>0.8</v>
      </c>
      <c r="X24" s="591">
        <v>0.78</v>
      </c>
      <c r="Y24" s="591">
        <v>0.77</v>
      </c>
      <c r="Z24" s="591">
        <v>0.76</v>
      </c>
      <c r="AA24" s="591">
        <v>0.75</v>
      </c>
      <c r="AB24" s="591">
        <v>0.75</v>
      </c>
      <c r="AC24" s="591">
        <v>0.75</v>
      </c>
      <c r="AD24" s="591">
        <v>0.71</v>
      </c>
      <c r="AE24" s="591">
        <v>0.67</v>
      </c>
    </row>
    <row r="25" spans="1:31">
      <c r="A25" s="3740"/>
      <c r="B25" s="590">
        <v>0.02</v>
      </c>
      <c r="C25" s="591">
        <v>1.46</v>
      </c>
      <c r="D25" s="591">
        <v>1.44</v>
      </c>
      <c r="E25" s="591">
        <v>1.41</v>
      </c>
      <c r="F25" s="591">
        <v>1.39</v>
      </c>
      <c r="G25" s="591">
        <v>1.37</v>
      </c>
      <c r="H25" s="591">
        <v>1.35</v>
      </c>
      <c r="I25" s="591">
        <v>1.34</v>
      </c>
      <c r="K25" s="3740"/>
      <c r="L25" s="590">
        <v>0.02</v>
      </c>
      <c r="M25" s="591">
        <v>1.49</v>
      </c>
      <c r="N25" s="591">
        <v>1.46</v>
      </c>
      <c r="O25" s="591">
        <v>1.43</v>
      </c>
      <c r="P25" s="591">
        <v>1.4</v>
      </c>
      <c r="Q25" s="591">
        <v>1.38</v>
      </c>
      <c r="R25" s="591">
        <v>1.37</v>
      </c>
      <c r="S25" s="591">
        <v>1.36</v>
      </c>
      <c r="U25" s="3740"/>
      <c r="V25" s="590">
        <v>0.02</v>
      </c>
      <c r="W25" s="591">
        <v>0.72</v>
      </c>
      <c r="X25" s="591">
        <v>0.71</v>
      </c>
      <c r="Y25" s="591">
        <v>0.71</v>
      </c>
      <c r="Z25" s="591">
        <v>0.71</v>
      </c>
      <c r="AA25" s="591">
        <v>0.71</v>
      </c>
      <c r="AB25" s="591">
        <v>0.72</v>
      </c>
      <c r="AC25" s="591">
        <v>0.73</v>
      </c>
      <c r="AD25" s="591">
        <v>0.7</v>
      </c>
      <c r="AE25" s="591">
        <v>0.66</v>
      </c>
    </row>
    <row r="26" spans="1:31">
      <c r="A26" s="3740"/>
      <c r="B26" s="590">
        <v>2.2499999999999999E-2</v>
      </c>
      <c r="C26" s="591">
        <v>1.31</v>
      </c>
      <c r="D26" s="591">
        <v>1.3</v>
      </c>
      <c r="E26" s="591">
        <v>1.3</v>
      </c>
      <c r="F26" s="591">
        <v>1.29</v>
      </c>
      <c r="G26" s="591">
        <v>1.29</v>
      </c>
      <c r="H26" s="591">
        <v>1.29</v>
      </c>
      <c r="I26" s="591">
        <v>1.3</v>
      </c>
      <c r="K26" s="3740"/>
      <c r="L26" s="590">
        <v>2.2499999999999999E-2</v>
      </c>
      <c r="M26" s="591">
        <v>1.33</v>
      </c>
      <c r="N26" s="591">
        <v>1.32</v>
      </c>
      <c r="O26" s="591">
        <v>1.31</v>
      </c>
      <c r="P26" s="591">
        <v>1.31</v>
      </c>
      <c r="Q26" s="591">
        <v>1.3</v>
      </c>
      <c r="R26" s="591">
        <v>1.31</v>
      </c>
      <c r="S26" s="591">
        <v>1.31</v>
      </c>
      <c r="U26" s="3740"/>
      <c r="V26" s="590">
        <v>2.2499999999999999E-2</v>
      </c>
      <c r="W26" s="591">
        <v>0.64</v>
      </c>
      <c r="X26" s="591">
        <v>0.65</v>
      </c>
      <c r="Y26" s="591">
        <v>0.65</v>
      </c>
      <c r="Z26" s="591">
        <v>0.66</v>
      </c>
      <c r="AA26" s="591">
        <v>0.67</v>
      </c>
      <c r="AB26" s="591">
        <v>0.69</v>
      </c>
      <c r="AC26" s="591">
        <v>0.71</v>
      </c>
      <c r="AD26" s="591">
        <v>0.68</v>
      </c>
      <c r="AE26" s="591">
        <v>0.64</v>
      </c>
    </row>
    <row r="27" spans="1:31">
      <c r="A27" s="3740"/>
      <c r="B27" s="590">
        <v>2.5000000000000001E-2</v>
      </c>
      <c r="C27" s="591">
        <v>1.17</v>
      </c>
      <c r="D27" s="591">
        <v>1.18</v>
      </c>
      <c r="E27" s="591">
        <v>1.19</v>
      </c>
      <c r="F27" s="591">
        <v>1.21</v>
      </c>
      <c r="G27" s="591">
        <v>1.22</v>
      </c>
      <c r="H27" s="591">
        <v>1.23</v>
      </c>
      <c r="I27" s="591">
        <v>1.25</v>
      </c>
      <c r="K27" s="3740"/>
      <c r="L27" s="590">
        <v>2.5000000000000001E-2</v>
      </c>
      <c r="M27" s="591">
        <v>1.19</v>
      </c>
      <c r="N27" s="591">
        <v>1.2</v>
      </c>
      <c r="O27" s="591">
        <v>1.21</v>
      </c>
      <c r="P27" s="591">
        <v>1.21</v>
      </c>
      <c r="Q27" s="591">
        <v>1.23</v>
      </c>
      <c r="R27" s="591">
        <v>1.25</v>
      </c>
      <c r="S27" s="591">
        <v>1.27</v>
      </c>
      <c r="U27" s="3740"/>
      <c r="V27" s="590">
        <v>2.5000000000000001E-2</v>
      </c>
      <c r="W27" s="591">
        <v>0.57999999999999996</v>
      </c>
      <c r="X27" s="591">
        <v>0.59</v>
      </c>
      <c r="Y27" s="591">
        <v>0.6</v>
      </c>
      <c r="Z27" s="591">
        <v>0.62</v>
      </c>
      <c r="AA27" s="591">
        <v>0.64</v>
      </c>
      <c r="AB27" s="591">
        <v>0.66</v>
      </c>
      <c r="AC27" s="591">
        <v>0.69</v>
      </c>
      <c r="AD27" s="591">
        <v>0.67</v>
      </c>
      <c r="AE27" s="591">
        <v>0.63</v>
      </c>
    </row>
    <row r="28" spans="1:31">
      <c r="A28" s="3740"/>
      <c r="B28" s="590">
        <v>2.75E-2</v>
      </c>
      <c r="C28" s="591">
        <v>1.05</v>
      </c>
      <c r="D28" s="591">
        <v>1.08</v>
      </c>
      <c r="E28" s="591">
        <v>1.1000000000000001</v>
      </c>
      <c r="F28" s="591">
        <v>1.1200000000000001</v>
      </c>
      <c r="G28" s="591">
        <v>1.1499999999999999</v>
      </c>
      <c r="H28" s="591">
        <v>1.18</v>
      </c>
      <c r="I28" s="591">
        <v>1.22</v>
      </c>
      <c r="K28" s="3740"/>
      <c r="L28" s="590">
        <v>2.75E-2</v>
      </c>
      <c r="M28" s="591">
        <v>1.07</v>
      </c>
      <c r="N28" s="591">
        <v>1.0900000000000001</v>
      </c>
      <c r="O28" s="591">
        <v>1.1100000000000001</v>
      </c>
      <c r="P28" s="591">
        <v>1.1299999999999999</v>
      </c>
      <c r="Q28" s="591">
        <v>1.1599999999999999</v>
      </c>
      <c r="R28" s="591">
        <v>1.19</v>
      </c>
      <c r="S28" s="591">
        <v>1.23</v>
      </c>
      <c r="U28" s="3740"/>
      <c r="V28" s="590">
        <v>2.75E-2</v>
      </c>
      <c r="W28" s="591">
        <v>0.52</v>
      </c>
      <c r="X28" s="591">
        <v>0.54</v>
      </c>
      <c r="Y28" s="591">
        <v>0.56000000000000005</v>
      </c>
      <c r="Z28" s="591">
        <v>0.57999999999999996</v>
      </c>
      <c r="AA28" s="591">
        <v>0.6</v>
      </c>
      <c r="AB28" s="591">
        <v>0.64</v>
      </c>
      <c r="AC28" s="591">
        <v>0.67</v>
      </c>
      <c r="AD28" s="591">
        <v>0.65</v>
      </c>
      <c r="AE28" s="591">
        <v>0.62</v>
      </c>
    </row>
    <row r="29" spans="1:31">
      <c r="A29" s="3740"/>
      <c r="B29" s="590">
        <v>0.03</v>
      </c>
      <c r="C29" s="591">
        <v>0.95</v>
      </c>
      <c r="D29" s="591">
        <v>0.98</v>
      </c>
      <c r="E29" s="591">
        <v>1.01</v>
      </c>
      <c r="F29" s="591">
        <v>1.05</v>
      </c>
      <c r="G29" s="591">
        <v>1.0900000000000001</v>
      </c>
      <c r="H29" s="591">
        <v>1.1299999999999999</v>
      </c>
      <c r="I29" s="591">
        <v>1.18</v>
      </c>
      <c r="K29" s="3740"/>
      <c r="L29" s="590">
        <v>0.03</v>
      </c>
      <c r="M29" s="591">
        <v>0.96</v>
      </c>
      <c r="N29" s="591">
        <v>0.99</v>
      </c>
      <c r="O29" s="591">
        <v>1.02</v>
      </c>
      <c r="P29" s="591">
        <v>1.05</v>
      </c>
      <c r="Q29" s="591">
        <v>1.0900000000000001</v>
      </c>
      <c r="R29" s="591">
        <v>1.1399999999999999</v>
      </c>
      <c r="S29" s="591">
        <v>1.19</v>
      </c>
      <c r="U29" s="3740"/>
      <c r="V29" s="590">
        <v>0.03</v>
      </c>
      <c r="W29" s="591">
        <v>0.47</v>
      </c>
      <c r="X29" s="591">
        <v>0.49</v>
      </c>
      <c r="Y29" s="591">
        <v>0.51</v>
      </c>
      <c r="Z29" s="591">
        <v>0.54</v>
      </c>
      <c r="AA29" s="591">
        <v>0.56999999999999995</v>
      </c>
      <c r="AB29" s="591">
        <v>0.61</v>
      </c>
      <c r="AC29" s="591">
        <v>0.65</v>
      </c>
      <c r="AD29" s="591">
        <v>0.64</v>
      </c>
      <c r="AE29" s="591">
        <v>0.61</v>
      </c>
    </row>
    <row r="30" spans="1:31">
      <c r="A30" s="3740"/>
      <c r="B30" s="590">
        <v>3.2500000000000001E-2</v>
      </c>
      <c r="C30" s="591">
        <v>0.85</v>
      </c>
      <c r="D30" s="591">
        <v>0.89</v>
      </c>
      <c r="E30" s="591">
        <v>0.93</v>
      </c>
      <c r="F30" s="591">
        <v>0.98</v>
      </c>
      <c r="G30" s="591">
        <v>1.03</v>
      </c>
      <c r="H30" s="591">
        <v>1.08</v>
      </c>
      <c r="I30" s="591">
        <v>1.1399999999999999</v>
      </c>
      <c r="K30" s="3740"/>
      <c r="L30" s="590">
        <v>3.2500000000000001E-2</v>
      </c>
      <c r="M30" s="591">
        <v>0.86</v>
      </c>
      <c r="N30" s="591">
        <v>0.9</v>
      </c>
      <c r="O30" s="591">
        <v>0.94</v>
      </c>
      <c r="P30" s="591">
        <v>0.98</v>
      </c>
      <c r="Q30" s="591">
        <v>1.03</v>
      </c>
      <c r="R30" s="591">
        <v>1.0900000000000001</v>
      </c>
      <c r="S30" s="591">
        <v>1.1499999999999999</v>
      </c>
      <c r="U30" s="3740"/>
      <c r="V30" s="590">
        <v>3.2500000000000001E-2</v>
      </c>
      <c r="W30" s="591">
        <v>0.42</v>
      </c>
      <c r="X30" s="591">
        <v>0.45</v>
      </c>
      <c r="Y30" s="591">
        <v>0.48</v>
      </c>
      <c r="Z30" s="591">
        <v>0.51</v>
      </c>
      <c r="AA30" s="591">
        <v>0.54</v>
      </c>
      <c r="AB30" s="591">
        <v>0.59</v>
      </c>
      <c r="AC30" s="591">
        <v>0.64</v>
      </c>
      <c r="AD30" s="591">
        <v>0.62</v>
      </c>
      <c r="AE30" s="591">
        <v>0.6</v>
      </c>
    </row>
    <row r="31" spans="1:31">
      <c r="A31" s="3740"/>
      <c r="B31" s="590">
        <v>3.5000000000000003E-2</v>
      </c>
      <c r="C31" s="591">
        <v>0.77</v>
      </c>
      <c r="D31" s="591">
        <v>0.81</v>
      </c>
      <c r="E31" s="591">
        <v>0.86</v>
      </c>
      <c r="F31" s="591">
        <v>0.91</v>
      </c>
      <c r="G31" s="591">
        <v>0.97</v>
      </c>
      <c r="H31" s="591">
        <v>1.04</v>
      </c>
      <c r="I31" s="591">
        <v>1.1100000000000001</v>
      </c>
      <c r="K31" s="3740"/>
      <c r="L31" s="590">
        <v>3.5000000000000003E-2</v>
      </c>
      <c r="M31" s="591">
        <v>0.77</v>
      </c>
      <c r="N31" s="591">
        <v>0.82</v>
      </c>
      <c r="O31" s="591">
        <v>0.86</v>
      </c>
      <c r="P31" s="591">
        <v>0.92</v>
      </c>
      <c r="Q31" s="591">
        <v>0.97</v>
      </c>
      <c r="R31" s="591">
        <v>1.04</v>
      </c>
      <c r="S31" s="591">
        <v>1.1100000000000001</v>
      </c>
      <c r="U31" s="3740"/>
      <c r="V31" s="590">
        <v>3.5000000000000003E-2</v>
      </c>
      <c r="W31" s="591">
        <v>0.38</v>
      </c>
      <c r="X31" s="591">
        <v>0.41</v>
      </c>
      <c r="Y31" s="591">
        <v>0.44</v>
      </c>
      <c r="Z31" s="591">
        <v>0.47</v>
      </c>
      <c r="AA31" s="591">
        <v>0.52</v>
      </c>
      <c r="AB31" s="591">
        <v>0.56000000000000005</v>
      </c>
      <c r="AC31" s="591">
        <v>0.62</v>
      </c>
      <c r="AD31" s="591">
        <v>0.61</v>
      </c>
      <c r="AE31" s="591">
        <v>0.59</v>
      </c>
    </row>
    <row r="32" spans="1:31">
      <c r="A32" s="3740"/>
      <c r="B32" s="590">
        <v>3.7499999999999999E-2</v>
      </c>
      <c r="C32" s="591">
        <v>0.69</v>
      </c>
      <c r="D32" s="591">
        <v>0.74</v>
      </c>
      <c r="E32" s="591">
        <v>0.8</v>
      </c>
      <c r="F32" s="591">
        <v>0.86</v>
      </c>
      <c r="G32" s="591">
        <v>0.92</v>
      </c>
      <c r="H32" s="591">
        <v>0.99</v>
      </c>
      <c r="I32" s="591">
        <v>1.07</v>
      </c>
      <c r="K32" s="3740"/>
      <c r="L32" s="590">
        <v>3.7499999999999999E-2</v>
      </c>
      <c r="M32" s="591">
        <v>0.69</v>
      </c>
      <c r="N32" s="591">
        <v>0.74</v>
      </c>
      <c r="O32" s="591">
        <v>0.8</v>
      </c>
      <c r="P32" s="591">
        <v>0.86</v>
      </c>
      <c r="Q32" s="591">
        <v>0.92</v>
      </c>
      <c r="R32" s="591">
        <v>0.99</v>
      </c>
      <c r="S32" s="591">
        <v>1.08</v>
      </c>
      <c r="U32" s="3740"/>
      <c r="V32" s="590">
        <v>3.7499999999999999E-2</v>
      </c>
      <c r="W32" s="591">
        <v>0.35</v>
      </c>
      <c r="X32" s="591">
        <v>0.37</v>
      </c>
      <c r="Y32" s="591">
        <v>0.41</v>
      </c>
      <c r="Z32" s="591">
        <v>0.44</v>
      </c>
      <c r="AA32" s="591">
        <v>0.49</v>
      </c>
      <c r="AB32" s="591">
        <v>0.54</v>
      </c>
      <c r="AC32" s="591">
        <v>0.6</v>
      </c>
      <c r="AD32" s="591">
        <v>0.59</v>
      </c>
      <c r="AE32" s="591">
        <v>0.57999999999999996</v>
      </c>
    </row>
    <row r="33" spans="1:31">
      <c r="A33" s="3740"/>
      <c r="B33" s="590">
        <v>0.04</v>
      </c>
      <c r="C33" s="591">
        <v>0.62</v>
      </c>
      <c r="D33" s="591">
        <v>0.68</v>
      </c>
      <c r="E33" s="591">
        <v>0.74</v>
      </c>
      <c r="F33" s="591">
        <v>0.8</v>
      </c>
      <c r="G33" s="591">
        <v>0.87</v>
      </c>
      <c r="H33" s="591">
        <v>0.95</v>
      </c>
      <c r="I33" s="591">
        <v>1.04</v>
      </c>
      <c r="K33" s="3740"/>
      <c r="L33" s="590">
        <v>0.04</v>
      </c>
      <c r="M33" s="591">
        <v>0.63</v>
      </c>
      <c r="N33" s="591">
        <v>0.68</v>
      </c>
      <c r="O33" s="591">
        <v>0.74</v>
      </c>
      <c r="P33" s="591">
        <v>0.8</v>
      </c>
      <c r="Q33" s="591">
        <v>0.87</v>
      </c>
      <c r="R33" s="591">
        <v>0.95</v>
      </c>
      <c r="S33" s="591">
        <v>1.05</v>
      </c>
      <c r="U33" s="3740"/>
      <c r="V33" s="590">
        <v>0.04</v>
      </c>
      <c r="W33" s="591">
        <v>0.31</v>
      </c>
      <c r="X33" s="591">
        <v>0.34</v>
      </c>
      <c r="Y33" s="591">
        <v>0.38</v>
      </c>
      <c r="Z33" s="591">
        <v>0.42</v>
      </c>
      <c r="AA33" s="591">
        <v>0.47</v>
      </c>
      <c r="AB33" s="591">
        <v>0.52</v>
      </c>
      <c r="AC33" s="591">
        <v>0.59</v>
      </c>
      <c r="AD33" s="591">
        <v>0.57999999999999996</v>
      </c>
      <c r="AE33" s="591">
        <v>0.56999999999999995</v>
      </c>
    </row>
    <row r="34" spans="1:31"/>
    <row r="35" spans="1:31" hidden="1">
      <c r="B35" s="154"/>
      <c r="C35" s="577"/>
      <c r="D35" s="154"/>
      <c r="E35" s="577"/>
      <c r="F35" s="154"/>
      <c r="G35" s="577"/>
      <c r="H35" s="154"/>
      <c r="I35" s="577"/>
      <c r="J35" s="154"/>
      <c r="K35" s="577"/>
      <c r="L35" s="154"/>
      <c r="M35" s="577"/>
      <c r="N35" s="154"/>
    </row>
  </sheetData>
  <mergeCells count="21">
    <mergeCell ref="U2:AE2"/>
    <mergeCell ref="U3:AE3"/>
    <mergeCell ref="U4:V4"/>
    <mergeCell ref="U19:AE19"/>
    <mergeCell ref="A2:I2"/>
    <mergeCell ref="K2:S2"/>
    <mergeCell ref="A4:B4"/>
    <mergeCell ref="A3:I3"/>
    <mergeCell ref="K3:S3"/>
    <mergeCell ref="K4:L4"/>
    <mergeCell ref="A5:A17"/>
    <mergeCell ref="A21:A33"/>
    <mergeCell ref="K21:K33"/>
    <mergeCell ref="K5:K17"/>
    <mergeCell ref="U5:U17"/>
    <mergeCell ref="U21:U33"/>
    <mergeCell ref="A19:I19"/>
    <mergeCell ref="A20:B20"/>
    <mergeCell ref="K19:S19"/>
    <mergeCell ref="K20:L20"/>
    <mergeCell ref="U20:V20"/>
  </mergeCells>
  <pageMargins left="0.7" right="0.7" top="0.78740157499999996" bottom="0.78740157499999996"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9"/>
  <dimension ref="A2:AB84"/>
  <sheetViews>
    <sheetView topLeftCell="I1" workbookViewId="0">
      <selection activeCell="U1" sqref="U1:AB1048576"/>
    </sheetView>
  </sheetViews>
  <sheetFormatPr baseColWidth="10" defaultColWidth="11.125" defaultRowHeight="14.25"/>
  <cols>
    <col min="1" max="1" width="19" customWidth="1"/>
    <col min="2" max="2" width="6.125" customWidth="1"/>
    <col min="3" max="10" width="11" customWidth="1"/>
    <col min="11" max="11" width="6.125" customWidth="1"/>
    <col min="12" max="21" width="11" customWidth="1"/>
    <col min="22" max="23" width="11.125" bestFit="1" customWidth="1"/>
    <col min="24" max="24" width="11.625" bestFit="1" customWidth="1"/>
    <col min="25" max="26" width="11.125" bestFit="1" customWidth="1"/>
    <col min="27" max="28" width="11" customWidth="1"/>
  </cols>
  <sheetData>
    <row r="2" spans="1:28" ht="42.75" customHeight="1">
      <c r="A2" t="s">
        <v>170</v>
      </c>
      <c r="B2" s="3755" t="s">
        <v>12</v>
      </c>
      <c r="C2" s="143" t="s">
        <v>0</v>
      </c>
      <c r="D2" s="143" t="s">
        <v>1</v>
      </c>
      <c r="E2" s="143" t="s">
        <v>2</v>
      </c>
      <c r="F2" s="143" t="s">
        <v>3</v>
      </c>
      <c r="G2" s="143" t="s">
        <v>4</v>
      </c>
      <c r="H2" s="3197" t="s">
        <v>5</v>
      </c>
      <c r="I2" s="3197"/>
      <c r="J2" s="3197"/>
      <c r="K2" s="132"/>
      <c r="L2" s="143" t="s">
        <v>0</v>
      </c>
      <c r="M2" s="143" t="s">
        <v>1</v>
      </c>
      <c r="N2" s="143" t="s">
        <v>2</v>
      </c>
      <c r="O2" s="143" t="s">
        <v>3</v>
      </c>
      <c r="P2" s="143" t="s">
        <v>4</v>
      </c>
      <c r="Q2" s="3197" t="s">
        <v>6</v>
      </c>
      <c r="R2" s="3197"/>
      <c r="S2" s="3197"/>
      <c r="T2" s="132"/>
      <c r="U2" s="144" t="s">
        <v>0</v>
      </c>
      <c r="V2" s="144" t="s">
        <v>1</v>
      </c>
      <c r="W2" s="144" t="s">
        <v>2</v>
      </c>
      <c r="X2" s="144" t="s">
        <v>3</v>
      </c>
      <c r="Y2" s="144" t="s">
        <v>4</v>
      </c>
      <c r="Z2" s="3197" t="s">
        <v>6</v>
      </c>
      <c r="AA2" s="3197"/>
      <c r="AB2" s="3197"/>
    </row>
    <row r="3" spans="1:28" s="2" customFormat="1" ht="13.5">
      <c r="A3" s="61">
        <v>43111</v>
      </c>
      <c r="B3" s="3755" t="s">
        <v>13</v>
      </c>
      <c r="C3" s="145" t="s">
        <v>15</v>
      </c>
      <c r="D3" s="145" t="s">
        <v>14</v>
      </c>
      <c r="E3" s="145" t="s">
        <v>75</v>
      </c>
      <c r="F3" s="145" t="s">
        <v>16</v>
      </c>
      <c r="G3" s="145"/>
      <c r="H3" s="145" t="s">
        <v>8</v>
      </c>
      <c r="I3" s="145" t="s">
        <v>9</v>
      </c>
      <c r="J3" s="145" t="s">
        <v>10</v>
      </c>
      <c r="K3" s="145" t="s">
        <v>13</v>
      </c>
      <c r="L3" s="145" t="s">
        <v>15</v>
      </c>
      <c r="M3" s="145" t="s">
        <v>14</v>
      </c>
      <c r="N3" s="145" t="s">
        <v>76</v>
      </c>
      <c r="O3" s="145" t="s">
        <v>16</v>
      </c>
      <c r="P3" s="145"/>
      <c r="Q3" s="145" t="s">
        <v>8</v>
      </c>
      <c r="R3" s="145" t="s">
        <v>9</v>
      </c>
      <c r="S3" s="145" t="s">
        <v>10</v>
      </c>
      <c r="T3" s="146" t="s">
        <v>151</v>
      </c>
      <c r="U3" s="146" t="s">
        <v>152</v>
      </c>
      <c r="V3" s="146" t="s">
        <v>153</v>
      </c>
      <c r="W3" s="146" t="s">
        <v>154</v>
      </c>
      <c r="X3" s="146"/>
      <c r="Y3" s="146"/>
      <c r="Z3" s="146" t="s">
        <v>8</v>
      </c>
      <c r="AA3" s="146" t="s">
        <v>9</v>
      </c>
      <c r="AB3" s="146" t="s">
        <v>10</v>
      </c>
    </row>
    <row r="4" spans="1:28">
      <c r="B4" s="4">
        <v>20</v>
      </c>
      <c r="C4" s="147">
        <v>0.30199999999999999</v>
      </c>
      <c r="D4" s="147">
        <v>4.1669999999999998</v>
      </c>
      <c r="E4" s="147">
        <v>0.55800000000000005</v>
      </c>
      <c r="F4" s="147">
        <f>+E4</f>
        <v>0.55800000000000005</v>
      </c>
      <c r="G4" s="147">
        <v>4.7249999999999996</v>
      </c>
      <c r="H4" s="148">
        <v>7.8137128072445022E-2</v>
      </c>
      <c r="I4" s="148">
        <v>0.14437257438551102</v>
      </c>
      <c r="J4" s="148">
        <v>0.22250970245795604</v>
      </c>
      <c r="K4" s="4">
        <v>20</v>
      </c>
      <c r="L4" s="147">
        <v>0.746</v>
      </c>
      <c r="M4" s="147">
        <v>4.9459999999999997</v>
      </c>
      <c r="N4" s="147">
        <v>0.14000000000000001</v>
      </c>
      <c r="O4" s="147">
        <v>0.14000000000000001</v>
      </c>
      <c r="P4" s="147">
        <v>5.0859999999999994</v>
      </c>
      <c r="Q4" s="148">
        <v>0.17761904761904765</v>
      </c>
      <c r="R4" s="148">
        <v>3.333333333333334E-2</v>
      </c>
      <c r="S4" s="148">
        <v>0.210952380952381</v>
      </c>
      <c r="T4" s="4">
        <v>20</v>
      </c>
      <c r="U4" s="149">
        <v>0.52400000000000002</v>
      </c>
      <c r="V4" s="149">
        <v>4.5564999999999998</v>
      </c>
      <c r="W4" s="150">
        <v>0.34900000000000003</v>
      </c>
      <c r="X4" s="147">
        <v>0.34900000000000003</v>
      </c>
      <c r="Y4" s="147">
        <v>4.9055</v>
      </c>
      <c r="Z4" s="148">
        <v>0.12994420334779916</v>
      </c>
      <c r="AA4" s="148">
        <v>8.6546807191568514E-2</v>
      </c>
      <c r="AB4" s="148">
        <v>0.21649101053936767</v>
      </c>
    </row>
    <row r="5" spans="1:28">
      <c r="B5" s="4">
        <v>21</v>
      </c>
      <c r="C5" s="147">
        <v>0.34799999999999998</v>
      </c>
      <c r="D5" s="147">
        <v>4.2930000000000001</v>
      </c>
      <c r="E5" s="147">
        <v>0.64800000000000002</v>
      </c>
      <c r="F5" s="147">
        <f t="shared" ref="F5:F68" si="0">+E5</f>
        <v>0.64800000000000002</v>
      </c>
      <c r="G5" s="147">
        <v>4.9409999999999998</v>
      </c>
      <c r="H5" s="148">
        <v>8.8212927756653986E-2</v>
      </c>
      <c r="I5" s="148">
        <v>0.16425855513307985</v>
      </c>
      <c r="J5" s="148">
        <v>0.25247148288973387</v>
      </c>
      <c r="K5" s="4">
        <v>21</v>
      </c>
      <c r="L5" s="147">
        <v>0.78300000000000003</v>
      </c>
      <c r="M5" s="147">
        <v>5.0940000000000003</v>
      </c>
      <c r="N5" s="147">
        <v>0.16900000000000001</v>
      </c>
      <c r="O5" s="147">
        <v>0.16900000000000001</v>
      </c>
      <c r="P5" s="147">
        <v>5.2629999999999999</v>
      </c>
      <c r="Q5" s="148">
        <v>0.1816283924843424</v>
      </c>
      <c r="R5" s="148">
        <v>3.9202041289723967E-2</v>
      </c>
      <c r="S5" s="148">
        <v>0.22083043377406636</v>
      </c>
      <c r="T5" s="4">
        <v>21</v>
      </c>
      <c r="U5" s="149">
        <v>0.5655</v>
      </c>
      <c r="V5" s="149">
        <v>4.6935000000000002</v>
      </c>
      <c r="W5" s="150">
        <v>0.40850000000000003</v>
      </c>
      <c r="X5" s="147">
        <v>0.40850000000000003</v>
      </c>
      <c r="Y5" s="147">
        <v>5.1020000000000003</v>
      </c>
      <c r="Z5" s="148">
        <v>0.13699127906976744</v>
      </c>
      <c r="AA5" s="148">
        <v>9.8958333333333343E-2</v>
      </c>
      <c r="AB5" s="148">
        <v>0.23594961240310078</v>
      </c>
    </row>
    <row r="6" spans="1:28">
      <c r="B6" s="4">
        <v>22</v>
      </c>
      <c r="C6" s="147">
        <v>0.39700000000000002</v>
      </c>
      <c r="D6" s="147">
        <v>4.423</v>
      </c>
      <c r="E6" s="147">
        <v>0.745</v>
      </c>
      <c r="F6" s="147">
        <f t="shared" si="0"/>
        <v>0.745</v>
      </c>
      <c r="G6" s="147">
        <v>5.1680000000000001</v>
      </c>
      <c r="H6" s="148">
        <v>9.8609041231992059E-2</v>
      </c>
      <c r="I6" s="148">
        <v>0.18504719324391455</v>
      </c>
      <c r="J6" s="148">
        <v>0.2836562344759066</v>
      </c>
      <c r="K6" s="4">
        <v>22</v>
      </c>
      <c r="L6" s="147">
        <v>0.81899999999999995</v>
      </c>
      <c r="M6" s="147">
        <v>5.2460000000000004</v>
      </c>
      <c r="N6" s="147">
        <v>0.19600000000000001</v>
      </c>
      <c r="O6" s="147">
        <v>0.19600000000000001</v>
      </c>
      <c r="P6" s="147">
        <v>5.4420000000000002</v>
      </c>
      <c r="Q6" s="148">
        <v>0.1850011294330246</v>
      </c>
      <c r="R6" s="148">
        <v>4.4273774565168282E-2</v>
      </c>
      <c r="S6" s="148">
        <v>0.22927490399819289</v>
      </c>
      <c r="T6" s="4">
        <v>22</v>
      </c>
      <c r="U6" s="149">
        <v>0.60799999999999998</v>
      </c>
      <c r="V6" s="149">
        <v>4.8345000000000002</v>
      </c>
      <c r="W6" s="150">
        <v>0.47050000000000003</v>
      </c>
      <c r="X6" s="147">
        <v>0.47050000000000003</v>
      </c>
      <c r="Y6" s="147">
        <v>5.3050000000000006</v>
      </c>
      <c r="Z6" s="148">
        <v>0.14385425292795456</v>
      </c>
      <c r="AA6" s="148">
        <v>0.11132142434638589</v>
      </c>
      <c r="AB6" s="148">
        <v>0.25517567727434043</v>
      </c>
    </row>
    <row r="7" spans="1:28">
      <c r="B7" s="4">
        <v>23</v>
      </c>
      <c r="C7" s="147">
        <v>0.44700000000000001</v>
      </c>
      <c r="D7" s="147">
        <v>4.556</v>
      </c>
      <c r="E7" s="147">
        <v>0.84599999999999997</v>
      </c>
      <c r="F7" s="147">
        <f t="shared" si="0"/>
        <v>0.84599999999999997</v>
      </c>
      <c r="G7" s="147">
        <v>5.4020000000000001</v>
      </c>
      <c r="H7" s="148">
        <v>0.10878559260160624</v>
      </c>
      <c r="I7" s="148">
        <v>0.2058895108298856</v>
      </c>
      <c r="J7" s="148">
        <v>0.31467510343149185</v>
      </c>
      <c r="K7" s="4">
        <v>23</v>
      </c>
      <c r="L7" s="147">
        <v>0.85199999999999998</v>
      </c>
      <c r="M7" s="147">
        <v>5.4009999999999998</v>
      </c>
      <c r="N7" s="147">
        <v>0.22</v>
      </c>
      <c r="O7" s="147">
        <v>0.22</v>
      </c>
      <c r="P7" s="147">
        <v>5.6209999999999996</v>
      </c>
      <c r="Q7" s="148">
        <v>0.18729391074961532</v>
      </c>
      <c r="R7" s="148">
        <v>4.8362277423609587E-2</v>
      </c>
      <c r="S7" s="148">
        <v>0.23565618817322492</v>
      </c>
      <c r="T7" s="4">
        <v>23</v>
      </c>
      <c r="U7" s="149">
        <v>0.64949999999999997</v>
      </c>
      <c r="V7" s="149">
        <v>4.9785000000000004</v>
      </c>
      <c r="W7" s="150">
        <v>0.53300000000000003</v>
      </c>
      <c r="X7" s="147">
        <v>0.53300000000000003</v>
      </c>
      <c r="Y7" s="147">
        <v>5.5115000000000007</v>
      </c>
      <c r="Z7" s="148">
        <v>0.15003465003465</v>
      </c>
      <c r="AA7" s="148">
        <v>0.12312312312312311</v>
      </c>
      <c r="AB7" s="148">
        <v>0.27315777315777312</v>
      </c>
    </row>
    <row r="8" spans="1:28">
      <c r="B8" s="4">
        <v>24</v>
      </c>
      <c r="C8" s="147">
        <v>0.49199999999999999</v>
      </c>
      <c r="D8" s="147">
        <v>4.6909999999999998</v>
      </c>
      <c r="E8" s="147">
        <v>0.93899999999999995</v>
      </c>
      <c r="F8" s="147">
        <f t="shared" si="0"/>
        <v>0.93899999999999995</v>
      </c>
      <c r="G8" s="147">
        <v>5.63</v>
      </c>
      <c r="H8" s="148">
        <v>0.11717075494165277</v>
      </c>
      <c r="I8" s="148">
        <v>0.2236246725410812</v>
      </c>
      <c r="J8" s="148">
        <v>0.34079542748273395</v>
      </c>
      <c r="K8" s="4">
        <v>24</v>
      </c>
      <c r="L8" s="147">
        <v>0.88300000000000001</v>
      </c>
      <c r="M8" s="147">
        <v>5.56</v>
      </c>
      <c r="N8" s="147">
        <v>0.24099999999999999</v>
      </c>
      <c r="O8" s="147">
        <v>0.24099999999999999</v>
      </c>
      <c r="P8" s="147">
        <v>5.8009999999999993</v>
      </c>
      <c r="Q8" s="148">
        <v>0.1887962369039983</v>
      </c>
      <c r="R8" s="148">
        <v>5.152875775069489E-2</v>
      </c>
      <c r="S8" s="148">
        <v>0.2403249946546932</v>
      </c>
      <c r="T8" s="4">
        <v>24</v>
      </c>
      <c r="U8" s="149">
        <v>0.6875</v>
      </c>
      <c r="V8" s="149">
        <v>5.1254999999999997</v>
      </c>
      <c r="W8" s="150">
        <v>0.59</v>
      </c>
      <c r="X8" s="147">
        <v>0.59</v>
      </c>
      <c r="Y8" s="147">
        <v>5.7154999999999996</v>
      </c>
      <c r="Z8" s="148">
        <v>0.15491212257773773</v>
      </c>
      <c r="AA8" s="148">
        <v>0.13294276701216765</v>
      </c>
      <c r="AB8" s="148">
        <v>0.28785488958990535</v>
      </c>
    </row>
    <row r="9" spans="1:28">
      <c r="B9" s="4">
        <v>25</v>
      </c>
      <c r="C9" s="147">
        <v>0.53200000000000003</v>
      </c>
      <c r="D9" s="147">
        <v>4.83</v>
      </c>
      <c r="E9" s="147">
        <v>1.0249999999999999</v>
      </c>
      <c r="F9" s="147">
        <f t="shared" si="0"/>
        <v>1.0249999999999999</v>
      </c>
      <c r="G9" s="147">
        <v>5.8550000000000004</v>
      </c>
      <c r="H9" s="148">
        <v>0.12377850162866449</v>
      </c>
      <c r="I9" s="148">
        <v>0.23848301535597949</v>
      </c>
      <c r="J9" s="148">
        <v>0.36226151698464398</v>
      </c>
      <c r="K9" s="4">
        <v>25</v>
      </c>
      <c r="L9" s="147">
        <v>0.91</v>
      </c>
      <c r="M9" s="147">
        <v>5.7229999999999999</v>
      </c>
      <c r="N9" s="147">
        <v>0.26200000000000001</v>
      </c>
      <c r="O9" s="147">
        <v>0.26200000000000001</v>
      </c>
      <c r="P9" s="147">
        <v>5.9849999999999994</v>
      </c>
      <c r="Q9" s="148">
        <v>0.18907126532308333</v>
      </c>
      <c r="R9" s="148">
        <v>5.4435902763349267E-2</v>
      </c>
      <c r="S9" s="148">
        <v>0.24350716808643258</v>
      </c>
      <c r="T9" s="4">
        <v>25</v>
      </c>
      <c r="U9" s="149">
        <v>0.72100000000000009</v>
      </c>
      <c r="V9" s="149">
        <v>5.2765000000000004</v>
      </c>
      <c r="W9" s="150">
        <v>0.64349999999999996</v>
      </c>
      <c r="X9" s="147">
        <v>0.64349999999999996</v>
      </c>
      <c r="Y9" s="147">
        <v>5.92</v>
      </c>
      <c r="Z9" s="148">
        <v>0.15827022280759523</v>
      </c>
      <c r="AA9" s="148">
        <v>0.1412578202173197</v>
      </c>
      <c r="AB9" s="148">
        <v>0.29952804302491493</v>
      </c>
    </row>
    <row r="10" spans="1:28">
      <c r="B10" s="4">
        <v>26</v>
      </c>
      <c r="C10" s="147">
        <v>0.56799999999999995</v>
      </c>
      <c r="D10" s="147">
        <v>4.9720000000000004</v>
      </c>
      <c r="E10" s="147">
        <v>1.107</v>
      </c>
      <c r="F10" s="147">
        <f t="shared" si="0"/>
        <v>1.107</v>
      </c>
      <c r="G10" s="147">
        <v>6.0790000000000006</v>
      </c>
      <c r="H10" s="148">
        <v>0.12897366030881013</v>
      </c>
      <c r="I10" s="148">
        <v>0.25136239782016345</v>
      </c>
      <c r="J10" s="148">
        <v>0.38033605812897359</v>
      </c>
      <c r="K10" s="4">
        <v>26</v>
      </c>
      <c r="L10" s="147">
        <v>0.93400000000000005</v>
      </c>
      <c r="M10" s="147">
        <v>5.8890000000000002</v>
      </c>
      <c r="N10" s="147">
        <v>0.28399999999999997</v>
      </c>
      <c r="O10" s="147">
        <v>0.28399999999999997</v>
      </c>
      <c r="P10" s="147">
        <v>6.173</v>
      </c>
      <c r="Q10" s="148">
        <v>0.18849646821392532</v>
      </c>
      <c r="R10" s="148">
        <v>5.7315842583249239E-2</v>
      </c>
      <c r="S10" s="148">
        <v>0.24581231079717455</v>
      </c>
      <c r="T10" s="4">
        <v>26</v>
      </c>
      <c r="U10" s="149">
        <v>0.751</v>
      </c>
      <c r="V10" s="149">
        <v>5.4305000000000003</v>
      </c>
      <c r="W10" s="150">
        <v>0.69550000000000001</v>
      </c>
      <c r="X10" s="147">
        <v>0.69550000000000001</v>
      </c>
      <c r="Y10" s="147">
        <v>6.1260000000000003</v>
      </c>
      <c r="Z10" s="148">
        <v>0.16048723154183139</v>
      </c>
      <c r="AA10" s="148">
        <v>0.14862699006304092</v>
      </c>
      <c r="AB10" s="148">
        <v>0.30911422160487234</v>
      </c>
    </row>
    <row r="11" spans="1:28">
      <c r="B11" s="4">
        <v>27</v>
      </c>
      <c r="C11" s="147">
        <v>0.60099999999999998</v>
      </c>
      <c r="D11" s="147">
        <v>5.117</v>
      </c>
      <c r="E11" s="147">
        <v>1.1859999999999999</v>
      </c>
      <c r="F11" s="147">
        <f t="shared" si="0"/>
        <v>1.1859999999999999</v>
      </c>
      <c r="G11" s="147">
        <v>6.3029999999999999</v>
      </c>
      <c r="H11" s="148">
        <v>0.13308237378210805</v>
      </c>
      <c r="I11" s="148">
        <v>0.26262178919397694</v>
      </c>
      <c r="J11" s="148">
        <v>0.39570416297608502</v>
      </c>
      <c r="K11" s="4">
        <v>27</v>
      </c>
      <c r="L11" s="147">
        <v>0.95299999999999996</v>
      </c>
      <c r="M11" s="147">
        <v>6.0579999999999998</v>
      </c>
      <c r="N11" s="147">
        <v>0.30499999999999999</v>
      </c>
      <c r="O11" s="147">
        <v>0.30499999999999999</v>
      </c>
      <c r="P11" s="147">
        <v>6.3629999999999995</v>
      </c>
      <c r="Q11" s="148">
        <v>0.18667972575905975</v>
      </c>
      <c r="R11" s="148">
        <v>5.974534769833497E-2</v>
      </c>
      <c r="S11" s="148">
        <v>0.24642507345739473</v>
      </c>
      <c r="T11" s="4">
        <v>27</v>
      </c>
      <c r="U11" s="149">
        <v>0.77699999999999991</v>
      </c>
      <c r="V11" s="149">
        <v>5.5875000000000004</v>
      </c>
      <c r="W11" s="150">
        <v>0.74549999999999994</v>
      </c>
      <c r="X11" s="147">
        <v>0.74549999999999994</v>
      </c>
      <c r="Y11" s="147">
        <v>6.3330000000000002</v>
      </c>
      <c r="Z11" s="148">
        <v>0.16152167134393511</v>
      </c>
      <c r="AA11" s="148">
        <v>0.15497349547864045</v>
      </c>
      <c r="AB11" s="148">
        <v>0.31649516682257556</v>
      </c>
    </row>
    <row r="12" spans="1:28">
      <c r="B12" s="4">
        <v>28</v>
      </c>
      <c r="C12" s="147">
        <v>0.63200000000000001</v>
      </c>
      <c r="D12" s="147">
        <v>5.2649999999999997</v>
      </c>
      <c r="E12" s="147">
        <v>1.264</v>
      </c>
      <c r="F12" s="147">
        <f t="shared" si="0"/>
        <v>1.264</v>
      </c>
      <c r="G12" s="147">
        <v>6.5289999999999999</v>
      </c>
      <c r="H12" s="148">
        <v>0.13641269156054392</v>
      </c>
      <c r="I12" s="148">
        <v>0.27282538312108784</v>
      </c>
      <c r="J12" s="148">
        <v>0.40923807468163176</v>
      </c>
      <c r="K12" s="4">
        <v>28</v>
      </c>
      <c r="L12" s="147">
        <v>0.96599999999999997</v>
      </c>
      <c r="M12" s="147">
        <v>6.23</v>
      </c>
      <c r="N12" s="147">
        <v>0.32600000000000001</v>
      </c>
      <c r="O12" s="147">
        <v>0.32600000000000001</v>
      </c>
      <c r="P12" s="147">
        <v>6.556</v>
      </c>
      <c r="Q12" s="148">
        <v>0.18351063829787231</v>
      </c>
      <c r="R12" s="148">
        <v>6.1930091185410333E-2</v>
      </c>
      <c r="S12" s="148">
        <v>0.24544072948328266</v>
      </c>
      <c r="T12" s="4">
        <v>28</v>
      </c>
      <c r="U12" s="149">
        <v>0.79899999999999993</v>
      </c>
      <c r="V12" s="149">
        <v>5.7475000000000005</v>
      </c>
      <c r="W12" s="150">
        <v>0.79500000000000004</v>
      </c>
      <c r="X12" s="147">
        <v>0.79500000000000004</v>
      </c>
      <c r="Y12" s="147">
        <v>6.5425000000000004</v>
      </c>
      <c r="Z12" s="148">
        <v>0.16146306961705562</v>
      </c>
      <c r="AA12" s="148">
        <v>0.16065474386177628</v>
      </c>
      <c r="AB12" s="148">
        <v>0.32211781347883189</v>
      </c>
    </row>
    <row r="13" spans="1:28">
      <c r="B13" s="4">
        <v>29</v>
      </c>
      <c r="C13" s="147">
        <v>0.66200000000000003</v>
      </c>
      <c r="D13" s="147">
        <v>5.4160000000000004</v>
      </c>
      <c r="E13" s="147">
        <v>1.339</v>
      </c>
      <c r="F13" s="147">
        <f t="shared" si="0"/>
        <v>1.339</v>
      </c>
      <c r="G13" s="147">
        <v>6.7550000000000008</v>
      </c>
      <c r="H13" s="148">
        <v>0.13925115692048801</v>
      </c>
      <c r="I13" s="148">
        <v>0.281657551535549</v>
      </c>
      <c r="J13" s="148">
        <v>0.42090870845603701</v>
      </c>
      <c r="K13" s="4">
        <v>29</v>
      </c>
      <c r="L13" s="147">
        <v>0.97299999999999998</v>
      </c>
      <c r="M13" s="147">
        <v>6.4050000000000002</v>
      </c>
      <c r="N13" s="147">
        <v>0.34699999999999998</v>
      </c>
      <c r="O13" s="147">
        <v>0.34699999999999998</v>
      </c>
      <c r="P13" s="147">
        <v>6.7520000000000007</v>
      </c>
      <c r="Q13" s="148">
        <v>0.17912371134020616</v>
      </c>
      <c r="R13" s="148">
        <v>6.388070692194403E-2</v>
      </c>
      <c r="S13" s="148">
        <v>0.24300441826215019</v>
      </c>
      <c r="T13" s="4">
        <v>29</v>
      </c>
      <c r="U13" s="149">
        <v>0.8175</v>
      </c>
      <c r="V13" s="149">
        <v>5.9105000000000008</v>
      </c>
      <c r="W13" s="150">
        <v>0.84299999999999997</v>
      </c>
      <c r="X13" s="147">
        <v>0.84299999999999997</v>
      </c>
      <c r="Y13" s="147">
        <v>6.7535000000000007</v>
      </c>
      <c r="Z13" s="148">
        <v>0.16051443157274689</v>
      </c>
      <c r="AA13" s="148">
        <v>0.1655213037502454</v>
      </c>
      <c r="AB13" s="148">
        <v>0.32603573532299229</v>
      </c>
    </row>
    <row r="14" spans="1:28">
      <c r="B14" s="4">
        <v>30</v>
      </c>
      <c r="C14" s="147">
        <v>0.68899999999999995</v>
      </c>
      <c r="D14" s="147">
        <v>5.5709999999999997</v>
      </c>
      <c r="E14" s="147">
        <v>1.4139999999999999</v>
      </c>
      <c r="F14" s="147">
        <f t="shared" si="0"/>
        <v>1.4139999999999999</v>
      </c>
      <c r="G14" s="147">
        <v>6.9849999999999994</v>
      </c>
      <c r="H14" s="148">
        <v>0.14113068414584187</v>
      </c>
      <c r="I14" s="148">
        <v>0.28963539532978289</v>
      </c>
      <c r="J14" s="148">
        <v>0.43076607947562473</v>
      </c>
      <c r="K14" s="4">
        <v>30</v>
      </c>
      <c r="L14" s="147">
        <v>0.97399999999999998</v>
      </c>
      <c r="M14" s="147">
        <v>6.5839999999999996</v>
      </c>
      <c r="N14" s="147">
        <v>0.36699999999999999</v>
      </c>
      <c r="O14" s="147">
        <v>0.36699999999999999</v>
      </c>
      <c r="P14" s="147">
        <v>6.9509999999999996</v>
      </c>
      <c r="Q14" s="148">
        <v>0.1736185383244207</v>
      </c>
      <c r="R14" s="148">
        <v>6.5418894830659546E-2</v>
      </c>
      <c r="S14" s="148">
        <v>0.23903743315508025</v>
      </c>
      <c r="T14" s="4">
        <v>30</v>
      </c>
      <c r="U14" s="149">
        <v>0.83149999999999991</v>
      </c>
      <c r="V14" s="149">
        <v>6.0774999999999997</v>
      </c>
      <c r="W14" s="150">
        <v>0.89049999999999996</v>
      </c>
      <c r="X14" s="147">
        <v>0.89049999999999996</v>
      </c>
      <c r="Y14" s="147">
        <v>6.968</v>
      </c>
      <c r="Z14" s="148">
        <v>0.15850171559283263</v>
      </c>
      <c r="AA14" s="148">
        <v>0.16974837971788029</v>
      </c>
      <c r="AB14" s="148">
        <v>0.32825009531071292</v>
      </c>
    </row>
    <row r="15" spans="1:28">
      <c r="B15" s="4">
        <v>31</v>
      </c>
      <c r="C15" s="147">
        <v>0.71499999999999997</v>
      </c>
      <c r="D15" s="147">
        <v>5.73</v>
      </c>
      <c r="E15" s="147">
        <v>1.4890000000000001</v>
      </c>
      <c r="F15" s="147">
        <f t="shared" si="0"/>
        <v>1.4890000000000001</v>
      </c>
      <c r="G15" s="147">
        <v>7.2190000000000003</v>
      </c>
      <c r="H15" s="148">
        <v>0.14257228315054835</v>
      </c>
      <c r="I15" s="148">
        <v>0.29690927218344965</v>
      </c>
      <c r="J15" s="148">
        <v>0.43948155533399802</v>
      </c>
      <c r="K15" s="4">
        <v>31</v>
      </c>
      <c r="L15" s="147">
        <v>0.97</v>
      </c>
      <c r="M15" s="147">
        <v>6.766</v>
      </c>
      <c r="N15" s="147">
        <v>0.38700000000000001</v>
      </c>
      <c r="O15" s="147">
        <v>0.38700000000000001</v>
      </c>
      <c r="P15" s="147">
        <v>7.1530000000000005</v>
      </c>
      <c r="Q15" s="148">
        <v>0.16735679779158039</v>
      </c>
      <c r="R15" s="148">
        <v>6.6770186335403728E-2</v>
      </c>
      <c r="S15" s="148">
        <v>0.23412698412698413</v>
      </c>
      <c r="T15" s="4">
        <v>31</v>
      </c>
      <c r="U15" s="149">
        <v>0.84250000000000003</v>
      </c>
      <c r="V15" s="149">
        <v>6.2480000000000002</v>
      </c>
      <c r="W15" s="150">
        <v>0.93800000000000006</v>
      </c>
      <c r="X15" s="147">
        <v>0.93800000000000006</v>
      </c>
      <c r="Y15" s="147">
        <v>7.1859999999999999</v>
      </c>
      <c r="Z15" s="148">
        <v>0.15585977245398205</v>
      </c>
      <c r="AA15" s="148">
        <v>0.17352696327814265</v>
      </c>
      <c r="AB15" s="148">
        <v>0.32938673573212474</v>
      </c>
    </row>
    <row r="16" spans="1:28">
      <c r="B16" s="4">
        <v>32</v>
      </c>
      <c r="C16" s="147">
        <v>0.74</v>
      </c>
      <c r="D16" s="147">
        <v>5.8920000000000003</v>
      </c>
      <c r="E16" s="147">
        <v>1.5629999999999999</v>
      </c>
      <c r="F16" s="147">
        <f t="shared" si="0"/>
        <v>1.5629999999999999</v>
      </c>
      <c r="G16" s="147">
        <v>7.4550000000000001</v>
      </c>
      <c r="H16" s="148">
        <v>0.14363354037267081</v>
      </c>
      <c r="I16" s="148">
        <v>0.30337732919254656</v>
      </c>
      <c r="J16" s="148">
        <v>0.44701086956521741</v>
      </c>
      <c r="K16" s="4">
        <v>32</v>
      </c>
      <c r="L16" s="147">
        <v>0.96099999999999997</v>
      </c>
      <c r="M16" s="147">
        <v>6.952</v>
      </c>
      <c r="N16" s="147">
        <v>0.40600000000000003</v>
      </c>
      <c r="O16" s="147">
        <v>0.40600000000000003</v>
      </c>
      <c r="P16" s="147">
        <v>7.3579999999999997</v>
      </c>
      <c r="Q16" s="148">
        <v>0.16040727758304124</v>
      </c>
      <c r="R16" s="148">
        <v>6.7768319145384753E-2</v>
      </c>
      <c r="S16" s="148">
        <v>0.22817559672842599</v>
      </c>
      <c r="T16" s="4">
        <v>32</v>
      </c>
      <c r="U16" s="149">
        <v>0.85050000000000003</v>
      </c>
      <c r="V16" s="149">
        <v>6.4220000000000006</v>
      </c>
      <c r="W16" s="150">
        <v>0.98449999999999993</v>
      </c>
      <c r="X16" s="147">
        <v>0.98449999999999993</v>
      </c>
      <c r="Y16" s="147">
        <v>7.4065000000000003</v>
      </c>
      <c r="Z16" s="148">
        <v>0.15265188907834515</v>
      </c>
      <c r="AA16" s="148">
        <v>0.17670286278381045</v>
      </c>
      <c r="AB16" s="148">
        <v>0.32935475186215557</v>
      </c>
    </row>
    <row r="17" spans="2:28">
      <c r="B17" s="4">
        <v>33</v>
      </c>
      <c r="C17" s="147">
        <v>0.76400000000000001</v>
      </c>
      <c r="D17" s="147">
        <v>6.0590000000000002</v>
      </c>
      <c r="E17" s="147">
        <v>1.637</v>
      </c>
      <c r="F17" s="147">
        <f t="shared" si="0"/>
        <v>1.637</v>
      </c>
      <c r="G17" s="147">
        <v>7.6959999999999997</v>
      </c>
      <c r="H17" s="148">
        <v>0.14428706326723326</v>
      </c>
      <c r="I17" s="148">
        <v>0.30915958451369219</v>
      </c>
      <c r="J17" s="148">
        <v>0.45344664778092547</v>
      </c>
      <c r="K17" s="4">
        <v>33</v>
      </c>
      <c r="L17" s="147">
        <v>0.94899999999999995</v>
      </c>
      <c r="M17" s="147">
        <v>7.141</v>
      </c>
      <c r="N17" s="147">
        <v>0.42399999999999999</v>
      </c>
      <c r="O17" s="147">
        <v>0.42399999999999999</v>
      </c>
      <c r="P17" s="147">
        <v>7.5650000000000004</v>
      </c>
      <c r="Q17" s="148">
        <v>0.15326227390180877</v>
      </c>
      <c r="R17" s="148">
        <v>6.847545219638243E-2</v>
      </c>
      <c r="S17" s="148">
        <v>0.2217377260981912</v>
      </c>
      <c r="T17" s="4">
        <v>33</v>
      </c>
      <c r="U17" s="149">
        <v>0.85650000000000004</v>
      </c>
      <c r="V17" s="149">
        <v>6.6</v>
      </c>
      <c r="W17" s="150">
        <v>1.0305</v>
      </c>
      <c r="X17" s="147">
        <v>1.0305</v>
      </c>
      <c r="Y17" s="147">
        <v>7.6304999999999996</v>
      </c>
      <c r="Z17" s="148">
        <v>0.14912509793679815</v>
      </c>
      <c r="AA17" s="148">
        <v>0.1794202141551319</v>
      </c>
      <c r="AB17" s="148">
        <v>0.32854531209193005</v>
      </c>
    </row>
    <row r="18" spans="2:28">
      <c r="B18" s="4">
        <v>34</v>
      </c>
      <c r="C18" s="147">
        <v>0.78600000000000003</v>
      </c>
      <c r="D18" s="147">
        <v>6.23</v>
      </c>
      <c r="E18" s="147">
        <v>1.7110000000000001</v>
      </c>
      <c r="F18" s="147">
        <f t="shared" si="0"/>
        <v>1.7110000000000001</v>
      </c>
      <c r="G18" s="147">
        <v>7.9410000000000007</v>
      </c>
      <c r="H18" s="148">
        <v>0.14437913299044819</v>
      </c>
      <c r="I18" s="148">
        <v>0.31429096252755323</v>
      </c>
      <c r="J18" s="148">
        <v>0.45867009551800142</v>
      </c>
      <c r="K18" s="4">
        <v>34</v>
      </c>
      <c r="L18" s="147">
        <v>0.93400000000000005</v>
      </c>
      <c r="M18" s="147">
        <v>7.3339999999999996</v>
      </c>
      <c r="N18" s="147">
        <v>0.442</v>
      </c>
      <c r="O18" s="147">
        <v>0.442</v>
      </c>
      <c r="P18" s="147">
        <v>7.7759999999999998</v>
      </c>
      <c r="Q18" s="148">
        <v>0.14593750000000003</v>
      </c>
      <c r="R18" s="148">
        <v>6.9062500000000013E-2</v>
      </c>
      <c r="S18" s="148">
        <v>0.21500000000000002</v>
      </c>
      <c r="T18" s="4">
        <v>34</v>
      </c>
      <c r="U18" s="149">
        <v>0.8600000000000001</v>
      </c>
      <c r="V18" s="149">
        <v>6.782</v>
      </c>
      <c r="W18" s="150">
        <v>1.0765</v>
      </c>
      <c r="X18" s="147">
        <v>1.0765</v>
      </c>
      <c r="Y18" s="147">
        <v>7.8585000000000003</v>
      </c>
      <c r="Z18" s="148">
        <v>0.14522120905099631</v>
      </c>
      <c r="AA18" s="148">
        <v>0.18177980412022968</v>
      </c>
      <c r="AB18" s="148">
        <v>0.32700101317122598</v>
      </c>
    </row>
    <row r="19" spans="2:28">
      <c r="B19" s="4">
        <v>35</v>
      </c>
      <c r="C19" s="147">
        <v>0.80600000000000005</v>
      </c>
      <c r="D19" s="147">
        <v>6.4039999999999999</v>
      </c>
      <c r="E19" s="147">
        <v>1.786</v>
      </c>
      <c r="F19" s="147">
        <f t="shared" si="0"/>
        <v>1.786</v>
      </c>
      <c r="G19" s="147">
        <v>8.19</v>
      </c>
      <c r="H19" s="148">
        <v>0.14397999285459093</v>
      </c>
      <c r="I19" s="148">
        <v>0.31904251518399429</v>
      </c>
      <c r="J19" s="148">
        <v>0.46302250803858525</v>
      </c>
      <c r="K19" s="4">
        <v>35</v>
      </c>
      <c r="L19" s="147">
        <v>0.91800000000000004</v>
      </c>
      <c r="M19" s="147">
        <v>7.5289999999999999</v>
      </c>
      <c r="N19" s="147">
        <v>0.45900000000000002</v>
      </c>
      <c r="O19" s="147">
        <v>0.45900000000000002</v>
      </c>
      <c r="P19" s="147">
        <v>7.9879999999999995</v>
      </c>
      <c r="Q19" s="148">
        <v>0.13885947662985934</v>
      </c>
      <c r="R19" s="148">
        <v>6.942973831492967E-2</v>
      </c>
      <c r="S19" s="148">
        <v>0.20828921494478903</v>
      </c>
      <c r="T19" s="4">
        <v>35</v>
      </c>
      <c r="U19" s="149">
        <v>0.8620000000000001</v>
      </c>
      <c r="V19" s="149">
        <v>6.9664999999999999</v>
      </c>
      <c r="W19" s="150">
        <v>1.1225000000000001</v>
      </c>
      <c r="X19" s="147">
        <v>1.1225000000000001</v>
      </c>
      <c r="Y19" s="147">
        <v>8.0890000000000004</v>
      </c>
      <c r="Z19" s="148">
        <v>0.14120730608567453</v>
      </c>
      <c r="AA19" s="148">
        <v>0.18388074371365387</v>
      </c>
      <c r="AB19" s="148">
        <v>0.32508804979932837</v>
      </c>
    </row>
    <row r="20" spans="2:28">
      <c r="B20" s="4">
        <v>36</v>
      </c>
      <c r="C20" s="147">
        <v>0.82199999999999995</v>
      </c>
      <c r="D20" s="147">
        <v>6.5810000000000004</v>
      </c>
      <c r="E20" s="147">
        <v>1.86</v>
      </c>
      <c r="F20" s="147">
        <f t="shared" si="0"/>
        <v>1.86</v>
      </c>
      <c r="G20" s="147">
        <v>8.4410000000000007</v>
      </c>
      <c r="H20" s="148">
        <v>0.14273311338774092</v>
      </c>
      <c r="I20" s="148">
        <v>0.32297273832262546</v>
      </c>
      <c r="J20" s="148">
        <v>0.46570585171036638</v>
      </c>
      <c r="K20" s="4">
        <v>36</v>
      </c>
      <c r="L20" s="147">
        <v>0.89900000000000002</v>
      </c>
      <c r="M20" s="147">
        <v>7.7270000000000003</v>
      </c>
      <c r="N20" s="147">
        <v>0.47599999999999998</v>
      </c>
      <c r="O20" s="147">
        <v>0.47599999999999998</v>
      </c>
      <c r="P20" s="147">
        <v>8.2029999999999994</v>
      </c>
      <c r="Q20" s="148">
        <v>0.13166373755125951</v>
      </c>
      <c r="R20" s="148">
        <v>6.9712946690099586E-2</v>
      </c>
      <c r="S20" s="148">
        <v>0.2013766842413591</v>
      </c>
      <c r="T20" s="4">
        <v>36</v>
      </c>
      <c r="U20" s="149">
        <v>0.86050000000000004</v>
      </c>
      <c r="V20" s="149">
        <v>7.1539999999999999</v>
      </c>
      <c r="W20" s="150">
        <v>1.1680000000000001</v>
      </c>
      <c r="X20" s="147">
        <v>1.1680000000000001</v>
      </c>
      <c r="Y20" s="147">
        <v>8.3219999999999992</v>
      </c>
      <c r="Z20" s="148">
        <v>0.1367283705410344</v>
      </c>
      <c r="AA20" s="148">
        <v>0.18558830539445462</v>
      </c>
      <c r="AB20" s="148">
        <v>0.32231667593548902</v>
      </c>
    </row>
    <row r="21" spans="2:28">
      <c r="B21" s="4">
        <v>37</v>
      </c>
      <c r="C21" s="147">
        <v>0.83399999999999996</v>
      </c>
      <c r="D21" s="147">
        <v>6.76</v>
      </c>
      <c r="E21" s="147">
        <v>1.9339999999999999</v>
      </c>
      <c r="F21" s="147">
        <f t="shared" si="0"/>
        <v>1.9339999999999999</v>
      </c>
      <c r="G21" s="147">
        <v>8.6939999999999991</v>
      </c>
      <c r="H21" s="148">
        <v>0.14073574080323994</v>
      </c>
      <c r="I21" s="148">
        <v>0.32635842051974351</v>
      </c>
      <c r="J21" s="148">
        <v>0.46709416132298343</v>
      </c>
      <c r="K21" s="4">
        <v>37</v>
      </c>
      <c r="L21" s="147">
        <v>0.878</v>
      </c>
      <c r="M21" s="147">
        <v>7.9269999999999996</v>
      </c>
      <c r="N21" s="147">
        <v>0.49099999999999999</v>
      </c>
      <c r="O21" s="147">
        <v>0.49099999999999999</v>
      </c>
      <c r="P21" s="147">
        <v>8.4179999999999993</v>
      </c>
      <c r="Q21" s="148">
        <v>0.12455667470563202</v>
      </c>
      <c r="R21" s="148">
        <v>6.9655270251099452E-2</v>
      </c>
      <c r="S21" s="148">
        <v>0.19421194495673147</v>
      </c>
      <c r="T21" s="4">
        <v>37</v>
      </c>
      <c r="U21" s="149">
        <v>0.85599999999999998</v>
      </c>
      <c r="V21" s="149">
        <v>7.3434999999999997</v>
      </c>
      <c r="W21" s="150">
        <v>1.2124999999999999</v>
      </c>
      <c r="X21" s="147">
        <v>1.2124999999999999</v>
      </c>
      <c r="Y21" s="147">
        <v>8.5559999999999992</v>
      </c>
      <c r="Z21" s="148">
        <v>0.13194605009633911</v>
      </c>
      <c r="AA21" s="148">
        <v>0.18689788053949902</v>
      </c>
      <c r="AB21" s="148">
        <v>0.31884393063583816</v>
      </c>
    </row>
    <row r="22" spans="2:28">
      <c r="B22" s="4">
        <v>38</v>
      </c>
      <c r="C22" s="147">
        <v>0.84099999999999997</v>
      </c>
      <c r="D22" s="147">
        <v>6.94</v>
      </c>
      <c r="E22" s="147">
        <v>2.008</v>
      </c>
      <c r="F22" s="147">
        <f t="shared" si="0"/>
        <v>2.008</v>
      </c>
      <c r="G22" s="147">
        <v>8.9480000000000004</v>
      </c>
      <c r="H22" s="148">
        <v>0.13789145761600261</v>
      </c>
      <c r="I22" s="148">
        <v>0.32923430070503362</v>
      </c>
      <c r="J22" s="148">
        <v>0.4671257583210362</v>
      </c>
      <c r="K22" s="4">
        <v>38</v>
      </c>
      <c r="L22" s="147">
        <v>0.85399999999999998</v>
      </c>
      <c r="M22" s="147">
        <v>8.1289999999999996</v>
      </c>
      <c r="N22" s="147">
        <v>0.50600000000000001</v>
      </c>
      <c r="O22" s="147">
        <v>0.50600000000000001</v>
      </c>
      <c r="P22" s="147">
        <v>8.6349999999999998</v>
      </c>
      <c r="Q22" s="148">
        <v>0.11738831615120275</v>
      </c>
      <c r="R22" s="148">
        <v>6.9553264604810996E-2</v>
      </c>
      <c r="S22" s="148">
        <v>0.18694158075601375</v>
      </c>
      <c r="T22" s="4">
        <v>38</v>
      </c>
      <c r="U22" s="149">
        <v>0.84749999999999992</v>
      </c>
      <c r="V22" s="149">
        <v>7.5344999999999995</v>
      </c>
      <c r="W22" s="150">
        <v>1.2570000000000001</v>
      </c>
      <c r="X22" s="147">
        <v>1.2570000000000001</v>
      </c>
      <c r="Y22" s="147">
        <v>8.7914999999999992</v>
      </c>
      <c r="Z22" s="148">
        <v>0.12673844773441004</v>
      </c>
      <c r="AA22" s="148">
        <v>0.18797667115298344</v>
      </c>
      <c r="AB22" s="148">
        <v>0.31471511888739345</v>
      </c>
    </row>
    <row r="23" spans="2:28">
      <c r="B23" s="4">
        <v>39</v>
      </c>
      <c r="C23" s="147">
        <v>0.84299999999999997</v>
      </c>
      <c r="D23" s="147">
        <v>7.1230000000000002</v>
      </c>
      <c r="E23" s="147">
        <v>2.0819999999999999</v>
      </c>
      <c r="F23" s="147">
        <f t="shared" si="0"/>
        <v>2.0819999999999999</v>
      </c>
      <c r="G23" s="147">
        <v>9.2050000000000001</v>
      </c>
      <c r="H23" s="148">
        <v>0.13423566878980892</v>
      </c>
      <c r="I23" s="148">
        <v>0.33152866242038215</v>
      </c>
      <c r="J23" s="148">
        <v>0.46576433121019106</v>
      </c>
      <c r="K23" s="4">
        <v>39</v>
      </c>
      <c r="L23" s="147">
        <v>0.82699999999999996</v>
      </c>
      <c r="M23" s="147">
        <v>8.3320000000000007</v>
      </c>
      <c r="N23" s="147">
        <v>0.52</v>
      </c>
      <c r="O23" s="147">
        <v>0.52</v>
      </c>
      <c r="P23" s="147">
        <v>8.8520000000000003</v>
      </c>
      <c r="Q23" s="148">
        <v>0.1101932045303131</v>
      </c>
      <c r="R23" s="148">
        <v>6.9287141905396393E-2</v>
      </c>
      <c r="S23" s="148">
        <v>0.17948034643570948</v>
      </c>
      <c r="T23" s="4">
        <v>39</v>
      </c>
      <c r="U23" s="149">
        <v>0.83499999999999996</v>
      </c>
      <c r="V23" s="149">
        <v>7.7275000000000009</v>
      </c>
      <c r="W23" s="150">
        <v>1.3009999999999999</v>
      </c>
      <c r="X23" s="147">
        <v>1.3009999999999999</v>
      </c>
      <c r="Y23" s="147">
        <v>9.0285000000000011</v>
      </c>
      <c r="Z23" s="148">
        <v>0.12114617337685889</v>
      </c>
      <c r="AA23" s="148">
        <v>0.18875589408777654</v>
      </c>
      <c r="AB23" s="148">
        <v>0.30990206746463544</v>
      </c>
    </row>
    <row r="24" spans="2:28">
      <c r="B24" s="4">
        <v>40</v>
      </c>
      <c r="C24" s="147">
        <v>0.84</v>
      </c>
      <c r="D24" s="147">
        <v>7.3090000000000002</v>
      </c>
      <c r="E24" s="147">
        <v>2.1560000000000001</v>
      </c>
      <c r="F24" s="147">
        <f t="shared" si="0"/>
        <v>2.1560000000000001</v>
      </c>
      <c r="G24" s="147">
        <v>9.4649999999999999</v>
      </c>
      <c r="H24" s="148">
        <v>0.12985005410418921</v>
      </c>
      <c r="I24" s="148">
        <v>0.33328180553408565</v>
      </c>
      <c r="J24" s="148">
        <v>0.46313185963827486</v>
      </c>
      <c r="K24" s="4">
        <v>40</v>
      </c>
      <c r="L24" s="147">
        <v>0.79600000000000004</v>
      </c>
      <c r="M24" s="147">
        <v>8.5389999999999997</v>
      </c>
      <c r="N24" s="147">
        <v>0.53300000000000003</v>
      </c>
      <c r="O24" s="147">
        <v>0.53300000000000003</v>
      </c>
      <c r="P24" s="147">
        <v>9.0719999999999992</v>
      </c>
      <c r="Q24" s="148">
        <v>0.10280253131861038</v>
      </c>
      <c r="R24" s="148">
        <v>6.8836368332687595E-2</v>
      </c>
      <c r="S24" s="148">
        <v>0.17163889965129797</v>
      </c>
      <c r="T24" s="4">
        <v>40</v>
      </c>
      <c r="U24" s="149">
        <v>0.81800000000000006</v>
      </c>
      <c r="V24" s="149">
        <v>7.9239999999999995</v>
      </c>
      <c r="W24" s="150">
        <v>1.3445</v>
      </c>
      <c r="X24" s="147">
        <v>1.3445</v>
      </c>
      <c r="Y24" s="147">
        <v>9.2684999999999995</v>
      </c>
      <c r="Z24" s="148">
        <v>0.11511398817900367</v>
      </c>
      <c r="AA24" s="148">
        <v>0.18920630453138193</v>
      </c>
      <c r="AB24" s="148">
        <v>0.30432029271038563</v>
      </c>
    </row>
    <row r="25" spans="2:28">
      <c r="B25" s="4">
        <v>41</v>
      </c>
      <c r="C25" s="147">
        <v>0.83499999999999996</v>
      </c>
      <c r="D25" s="147">
        <v>7.5</v>
      </c>
      <c r="E25" s="147">
        <v>2.2320000000000002</v>
      </c>
      <c r="F25" s="147">
        <f t="shared" si="0"/>
        <v>2.2320000000000002</v>
      </c>
      <c r="G25" s="147">
        <v>9.7319999999999993</v>
      </c>
      <c r="H25" s="148">
        <v>0.12528132033008252</v>
      </c>
      <c r="I25" s="148">
        <v>0.33488372093023261</v>
      </c>
      <c r="J25" s="148">
        <v>0.4601650412603151</v>
      </c>
      <c r="K25" s="4">
        <v>41</v>
      </c>
      <c r="L25" s="147">
        <v>0.76100000000000001</v>
      </c>
      <c r="M25" s="147">
        <v>8.75</v>
      </c>
      <c r="N25" s="147">
        <v>0.54600000000000004</v>
      </c>
      <c r="O25" s="147">
        <v>0.54600000000000004</v>
      </c>
      <c r="P25" s="147">
        <v>9.2959999999999994</v>
      </c>
      <c r="Q25" s="148">
        <v>9.5255976968331463E-2</v>
      </c>
      <c r="R25" s="148">
        <v>6.8343972962823893E-2</v>
      </c>
      <c r="S25" s="148">
        <v>0.16359994993115534</v>
      </c>
      <c r="T25" s="4">
        <v>41</v>
      </c>
      <c r="U25" s="149">
        <v>0.79800000000000004</v>
      </c>
      <c r="V25" s="149">
        <v>8.125</v>
      </c>
      <c r="W25" s="150">
        <v>1.3890000000000002</v>
      </c>
      <c r="X25" s="147">
        <v>1.3890000000000002</v>
      </c>
      <c r="Y25" s="147">
        <v>9.5139999999999993</v>
      </c>
      <c r="Z25" s="148">
        <v>0.108912242391156</v>
      </c>
      <c r="AA25" s="148">
        <v>0.18957281288385427</v>
      </c>
      <c r="AB25" s="148">
        <v>0.29848505527501029</v>
      </c>
    </row>
    <row r="26" spans="2:28">
      <c r="B26" s="4">
        <v>42</v>
      </c>
      <c r="C26" s="147">
        <v>0.83</v>
      </c>
      <c r="D26" s="147">
        <v>7.6970000000000001</v>
      </c>
      <c r="E26" s="147">
        <v>2.3079999999999998</v>
      </c>
      <c r="F26" s="147">
        <f t="shared" si="0"/>
        <v>2.3079999999999998</v>
      </c>
      <c r="G26" s="147">
        <v>10.004999999999999</v>
      </c>
      <c r="H26" s="148">
        <v>0.12086791903305664</v>
      </c>
      <c r="I26" s="148">
        <v>0.33610018931119845</v>
      </c>
      <c r="J26" s="148">
        <v>0.45696810834425511</v>
      </c>
      <c r="K26" s="4">
        <v>42</v>
      </c>
      <c r="L26" s="147">
        <v>0.72</v>
      </c>
      <c r="M26" s="147">
        <v>8.9659999999999993</v>
      </c>
      <c r="N26" s="147">
        <v>0.55900000000000005</v>
      </c>
      <c r="O26" s="147">
        <v>0.55900000000000005</v>
      </c>
      <c r="P26" s="147">
        <v>9.5249999999999986</v>
      </c>
      <c r="Q26" s="148">
        <v>8.7315061848168826E-2</v>
      </c>
      <c r="R26" s="148">
        <v>6.7790443851564408E-2</v>
      </c>
      <c r="S26" s="148">
        <v>0.15510550569973325</v>
      </c>
      <c r="T26" s="4">
        <v>42</v>
      </c>
      <c r="U26" s="149">
        <v>0.77499999999999991</v>
      </c>
      <c r="V26" s="149">
        <v>8.3315000000000001</v>
      </c>
      <c r="W26" s="150">
        <v>1.4335</v>
      </c>
      <c r="X26" s="147">
        <v>1.4335</v>
      </c>
      <c r="Y26" s="147">
        <v>9.7650000000000006</v>
      </c>
      <c r="Z26" s="148">
        <v>0.10256070932309931</v>
      </c>
      <c r="AA26" s="148">
        <v>0.1897042281479521</v>
      </c>
      <c r="AB26" s="148">
        <v>0.29226493747105142</v>
      </c>
    </row>
    <row r="27" spans="2:28">
      <c r="B27" s="4">
        <v>43</v>
      </c>
      <c r="C27" s="147">
        <v>0.82399999999999995</v>
      </c>
      <c r="D27" s="147">
        <v>7.9020000000000001</v>
      </c>
      <c r="E27" s="147">
        <v>2.3849999999999998</v>
      </c>
      <c r="F27" s="147">
        <f t="shared" si="0"/>
        <v>2.3849999999999998</v>
      </c>
      <c r="G27" s="147">
        <v>10.286999999999999</v>
      </c>
      <c r="H27" s="148">
        <v>0.11641706696807007</v>
      </c>
      <c r="I27" s="148">
        <v>0.33695959310539697</v>
      </c>
      <c r="J27" s="148">
        <v>0.45337666007346705</v>
      </c>
      <c r="K27" s="4">
        <v>43</v>
      </c>
      <c r="L27" s="147">
        <v>0.67300000000000004</v>
      </c>
      <c r="M27" s="147">
        <v>9.1880000000000006</v>
      </c>
      <c r="N27" s="147">
        <v>0.57099999999999995</v>
      </c>
      <c r="O27" s="147">
        <v>0.57099999999999995</v>
      </c>
      <c r="P27" s="147">
        <v>9.7590000000000003</v>
      </c>
      <c r="Q27" s="148">
        <v>7.9036993540810341E-2</v>
      </c>
      <c r="R27" s="148">
        <v>6.7058132706987655E-2</v>
      </c>
      <c r="S27" s="148">
        <v>0.146095126247798</v>
      </c>
      <c r="T27" s="4">
        <v>43</v>
      </c>
      <c r="U27" s="149">
        <v>0.74849999999999994</v>
      </c>
      <c r="V27" s="149">
        <v>8.5449999999999999</v>
      </c>
      <c r="W27" s="150">
        <v>1.4779999999999998</v>
      </c>
      <c r="X27" s="147">
        <v>1.4779999999999998</v>
      </c>
      <c r="Y27" s="147">
        <v>10.023</v>
      </c>
      <c r="Z27" s="148">
        <v>9.6004617456551006E-2</v>
      </c>
      <c r="AA27" s="148">
        <v>0.18957224395562108</v>
      </c>
      <c r="AB27" s="148">
        <v>0.28557686141217209</v>
      </c>
    </row>
    <row r="28" spans="2:28">
      <c r="B28" s="4">
        <v>44</v>
      </c>
      <c r="C28" s="147">
        <v>0.81699999999999995</v>
      </c>
      <c r="D28" s="147">
        <v>8.1140000000000008</v>
      </c>
      <c r="E28" s="147">
        <v>2.4630000000000001</v>
      </c>
      <c r="F28" s="147">
        <f t="shared" si="0"/>
        <v>2.4630000000000001</v>
      </c>
      <c r="G28" s="147">
        <v>10.577000000000002</v>
      </c>
      <c r="H28" s="148">
        <v>0.11196382074825269</v>
      </c>
      <c r="I28" s="148">
        <v>0.3375359736878169</v>
      </c>
      <c r="J28" s="148">
        <v>0.44949979443606958</v>
      </c>
      <c r="K28" s="4">
        <v>44</v>
      </c>
      <c r="L28" s="147">
        <v>0.62</v>
      </c>
      <c r="M28" s="147">
        <v>9.4169999999999998</v>
      </c>
      <c r="N28" s="147">
        <v>0.58299999999999996</v>
      </c>
      <c r="O28" s="147">
        <v>0.58299999999999996</v>
      </c>
      <c r="P28" s="147">
        <v>10</v>
      </c>
      <c r="Q28" s="148">
        <v>7.0478572240536538E-2</v>
      </c>
      <c r="R28" s="148">
        <v>6.627259292940775E-2</v>
      </c>
      <c r="S28" s="148">
        <v>0.13675116516994429</v>
      </c>
      <c r="T28" s="4">
        <v>44</v>
      </c>
      <c r="U28" s="149">
        <v>0.71849999999999992</v>
      </c>
      <c r="V28" s="149">
        <v>8.7654999999999994</v>
      </c>
      <c r="W28" s="150">
        <v>1.5230000000000001</v>
      </c>
      <c r="X28" s="147">
        <v>1.5230000000000001</v>
      </c>
      <c r="Y28" s="147">
        <v>10.288499999999999</v>
      </c>
      <c r="Z28" s="148">
        <v>8.9287933391325958E-2</v>
      </c>
      <c r="AA28" s="148">
        <v>0.18926307940847525</v>
      </c>
      <c r="AB28" s="148">
        <v>0.27855101279980121</v>
      </c>
    </row>
    <row r="29" spans="2:28">
      <c r="B29" s="4">
        <v>45</v>
      </c>
      <c r="C29" s="147">
        <v>0.81</v>
      </c>
      <c r="D29" s="147">
        <v>8.3339999999999996</v>
      </c>
      <c r="E29" s="147">
        <v>2.5419999999999998</v>
      </c>
      <c r="F29" s="147">
        <f t="shared" si="0"/>
        <v>2.5419999999999998</v>
      </c>
      <c r="G29" s="147">
        <v>10.875999999999999</v>
      </c>
      <c r="H29" s="148">
        <v>0.10765550239234452</v>
      </c>
      <c r="I29" s="148">
        <v>0.3378522062732589</v>
      </c>
      <c r="J29" s="148">
        <v>0.44550770866560341</v>
      </c>
      <c r="K29" s="4">
        <v>45</v>
      </c>
      <c r="L29" s="147">
        <v>0.56200000000000006</v>
      </c>
      <c r="M29" s="147">
        <v>9.6539999999999999</v>
      </c>
      <c r="N29" s="147">
        <v>0.59499999999999997</v>
      </c>
      <c r="O29" s="147">
        <v>0.59499999999999997</v>
      </c>
      <c r="P29" s="147">
        <v>10.249000000000001</v>
      </c>
      <c r="Q29" s="148">
        <v>6.1812582490101194E-2</v>
      </c>
      <c r="R29" s="148">
        <v>6.5442146942366913E-2</v>
      </c>
      <c r="S29" s="148">
        <v>0.1272547294324681</v>
      </c>
      <c r="T29" s="4">
        <v>45</v>
      </c>
      <c r="U29" s="149">
        <v>0.68600000000000005</v>
      </c>
      <c r="V29" s="149">
        <v>8.9939999999999998</v>
      </c>
      <c r="W29" s="150">
        <v>1.5684999999999998</v>
      </c>
      <c r="X29" s="147">
        <v>1.5684999999999998</v>
      </c>
      <c r="Y29" s="147">
        <v>10.5625</v>
      </c>
      <c r="Z29" s="148">
        <v>8.2571015888300445E-2</v>
      </c>
      <c r="AA29" s="148">
        <v>0.18879393355801635</v>
      </c>
      <c r="AB29" s="148">
        <v>0.27136494944631678</v>
      </c>
    </row>
    <row r="30" spans="2:28">
      <c r="B30" s="4">
        <v>46</v>
      </c>
      <c r="C30" s="147">
        <v>0.8</v>
      </c>
      <c r="D30" s="147">
        <v>8.5609999999999999</v>
      </c>
      <c r="E30" s="147">
        <v>2.6190000000000002</v>
      </c>
      <c r="F30" s="147">
        <f t="shared" si="0"/>
        <v>2.6190000000000002</v>
      </c>
      <c r="G30" s="147">
        <v>11.18</v>
      </c>
      <c r="H30" s="148">
        <v>0.10307950006442469</v>
      </c>
      <c r="I30" s="148">
        <v>0.33745651333591037</v>
      </c>
      <c r="J30" s="148">
        <v>0.44053601340033505</v>
      </c>
      <c r="K30" s="4">
        <v>46</v>
      </c>
      <c r="L30" s="147">
        <v>0.496</v>
      </c>
      <c r="M30" s="147">
        <v>9.8979999999999997</v>
      </c>
      <c r="N30" s="147">
        <v>0.60599999999999998</v>
      </c>
      <c r="O30" s="147">
        <v>0.60599999999999998</v>
      </c>
      <c r="P30" s="147">
        <v>10.504</v>
      </c>
      <c r="Q30" s="148">
        <v>5.2754733035524359E-2</v>
      </c>
      <c r="R30" s="148">
        <v>6.4454371410338232E-2</v>
      </c>
      <c r="S30" s="148">
        <v>0.11720910444586259</v>
      </c>
      <c r="T30" s="4">
        <v>46</v>
      </c>
      <c r="U30" s="149">
        <v>0.64800000000000002</v>
      </c>
      <c r="V30" s="149">
        <v>9.2294999999999998</v>
      </c>
      <c r="W30" s="150">
        <v>1.6125</v>
      </c>
      <c r="X30" s="147">
        <v>1.6125</v>
      </c>
      <c r="Y30" s="147">
        <v>10.842000000000001</v>
      </c>
      <c r="Z30" s="148">
        <v>7.5511274252753016E-2</v>
      </c>
      <c r="AA30" s="148">
        <v>0.18790421255025344</v>
      </c>
      <c r="AB30" s="148">
        <v>0.26341548680300647</v>
      </c>
    </row>
    <row r="31" spans="2:28">
      <c r="B31" s="4">
        <v>47</v>
      </c>
      <c r="C31" s="147">
        <v>0.78800000000000003</v>
      </c>
      <c r="D31" s="147">
        <v>8.7949999999999999</v>
      </c>
      <c r="E31" s="147">
        <v>2.6970000000000001</v>
      </c>
      <c r="F31" s="147">
        <f t="shared" si="0"/>
        <v>2.6970000000000001</v>
      </c>
      <c r="G31" s="147">
        <v>11.492000000000001</v>
      </c>
      <c r="H31" s="148">
        <v>9.8413887848132889E-2</v>
      </c>
      <c r="I31" s="148">
        <v>0.33683027351067818</v>
      </c>
      <c r="J31" s="148">
        <v>0.43524416135881105</v>
      </c>
      <c r="K31" s="4">
        <v>47</v>
      </c>
      <c r="L31" s="147">
        <v>0.42499999999999999</v>
      </c>
      <c r="M31" s="147">
        <v>10.148</v>
      </c>
      <c r="N31" s="147">
        <v>0.61699999999999999</v>
      </c>
      <c r="O31" s="147">
        <v>0.61699999999999999</v>
      </c>
      <c r="P31" s="147">
        <v>10.765000000000001</v>
      </c>
      <c r="Q31" s="148">
        <v>4.3710788851177622E-2</v>
      </c>
      <c r="R31" s="148">
        <v>6.3457780520415522E-2</v>
      </c>
      <c r="S31" s="148">
        <v>0.10716856937159314</v>
      </c>
      <c r="T31" s="4">
        <v>47</v>
      </c>
      <c r="U31" s="149">
        <v>0.60650000000000004</v>
      </c>
      <c r="V31" s="149">
        <v>9.4714999999999989</v>
      </c>
      <c r="W31" s="150">
        <v>1.657</v>
      </c>
      <c r="X31" s="147">
        <v>1.657</v>
      </c>
      <c r="Y31" s="147">
        <v>11.128499999999999</v>
      </c>
      <c r="Z31" s="148">
        <v>6.841511562323746E-2</v>
      </c>
      <c r="AA31" s="148">
        <v>0.18691483361534125</v>
      </c>
      <c r="AB31" s="148">
        <v>0.25532994923857871</v>
      </c>
    </row>
    <row r="32" spans="2:28">
      <c r="B32" s="4">
        <v>48</v>
      </c>
      <c r="C32" s="147">
        <v>0.77200000000000002</v>
      </c>
      <c r="D32" s="147">
        <v>9.0370000000000008</v>
      </c>
      <c r="E32" s="147">
        <v>2.7719999999999998</v>
      </c>
      <c r="F32" s="147">
        <f t="shared" si="0"/>
        <v>2.7719999999999998</v>
      </c>
      <c r="G32" s="147">
        <v>11.809000000000001</v>
      </c>
      <c r="H32" s="148">
        <v>9.3405928614640046E-2</v>
      </c>
      <c r="I32" s="148">
        <v>0.33539019963702354</v>
      </c>
      <c r="J32" s="148">
        <v>0.42879612825166358</v>
      </c>
      <c r="K32" s="4">
        <v>48</v>
      </c>
      <c r="L32" s="147">
        <v>0.35</v>
      </c>
      <c r="M32" s="147">
        <v>10.406000000000001</v>
      </c>
      <c r="N32" s="147">
        <v>0.627</v>
      </c>
      <c r="O32" s="147">
        <v>0.627</v>
      </c>
      <c r="P32" s="147">
        <v>11.033000000000001</v>
      </c>
      <c r="Q32" s="148">
        <v>3.4805091487669047E-2</v>
      </c>
      <c r="R32" s="148">
        <v>6.2350835322195701E-2</v>
      </c>
      <c r="S32" s="148">
        <v>9.7155926809864748E-2</v>
      </c>
      <c r="T32" s="4">
        <v>48</v>
      </c>
      <c r="U32" s="149">
        <v>0.56099999999999994</v>
      </c>
      <c r="V32" s="149">
        <v>9.7215000000000007</v>
      </c>
      <c r="W32" s="150">
        <v>1.6995</v>
      </c>
      <c r="X32" s="147">
        <v>1.6995</v>
      </c>
      <c r="Y32" s="147">
        <v>11.421000000000001</v>
      </c>
      <c r="Z32" s="148">
        <v>6.1241198624529217E-2</v>
      </c>
      <c r="AA32" s="148">
        <v>0.18552480759783854</v>
      </c>
      <c r="AB32" s="148">
        <v>0.24676600622236777</v>
      </c>
    </row>
    <row r="33" spans="2:28">
      <c r="B33" s="4">
        <v>49</v>
      </c>
      <c r="C33" s="147">
        <v>0.751</v>
      </c>
      <c r="D33" s="147">
        <v>9.2850000000000001</v>
      </c>
      <c r="E33" s="147">
        <v>2.8460000000000001</v>
      </c>
      <c r="F33" s="147">
        <f t="shared" si="0"/>
        <v>2.8460000000000001</v>
      </c>
      <c r="G33" s="147">
        <v>12.131</v>
      </c>
      <c r="H33" s="148">
        <v>8.8000937426763529E-2</v>
      </c>
      <c r="I33" s="148">
        <v>0.33348957112725569</v>
      </c>
      <c r="J33" s="148">
        <v>0.42149050855401921</v>
      </c>
      <c r="K33" s="4">
        <v>49</v>
      </c>
      <c r="L33" s="147">
        <v>0.27300000000000002</v>
      </c>
      <c r="M33" s="147">
        <v>10.670999999999999</v>
      </c>
      <c r="N33" s="147">
        <v>0.63600000000000001</v>
      </c>
      <c r="O33" s="147">
        <v>0.63600000000000001</v>
      </c>
      <c r="P33" s="147">
        <v>11.306999999999999</v>
      </c>
      <c r="Q33" s="148">
        <v>2.6255049047893827E-2</v>
      </c>
      <c r="R33" s="148">
        <v>6.1165608770917486E-2</v>
      </c>
      <c r="S33" s="148">
        <v>8.7420657818811309E-2</v>
      </c>
      <c r="T33" s="4">
        <v>49</v>
      </c>
      <c r="U33" s="149">
        <v>0.51200000000000001</v>
      </c>
      <c r="V33" s="149">
        <v>9.9779999999999998</v>
      </c>
      <c r="W33" s="150">
        <v>1.7410000000000001</v>
      </c>
      <c r="X33" s="147">
        <v>1.7410000000000001</v>
      </c>
      <c r="Y33" s="147">
        <v>11.718999999999999</v>
      </c>
      <c r="Z33" s="148">
        <v>5.4088316078597092E-2</v>
      </c>
      <c r="AA33" s="148">
        <v>0.18392140291569831</v>
      </c>
      <c r="AB33" s="148">
        <v>0.23800971899429541</v>
      </c>
    </row>
    <row r="34" spans="2:28">
      <c r="B34" s="4">
        <v>50</v>
      </c>
      <c r="C34" s="147">
        <v>0.72499999999999998</v>
      </c>
      <c r="D34" s="147">
        <v>9.5399999999999991</v>
      </c>
      <c r="E34" s="147">
        <v>2.9180000000000001</v>
      </c>
      <c r="F34" s="147">
        <f t="shared" si="0"/>
        <v>2.9180000000000001</v>
      </c>
      <c r="G34" s="147">
        <v>12.457999999999998</v>
      </c>
      <c r="H34" s="148">
        <v>8.2246171298922296E-2</v>
      </c>
      <c r="I34" s="148">
        <v>0.33102665910380036</v>
      </c>
      <c r="J34" s="148">
        <v>0.41327283040272267</v>
      </c>
      <c r="K34" s="4">
        <v>50</v>
      </c>
      <c r="L34" s="147">
        <v>0.2</v>
      </c>
      <c r="M34" s="147">
        <v>10.943</v>
      </c>
      <c r="N34" s="147">
        <v>0.64400000000000002</v>
      </c>
      <c r="O34" s="147">
        <v>0.64400000000000002</v>
      </c>
      <c r="P34" s="147">
        <v>11.587</v>
      </c>
      <c r="Q34" s="148">
        <v>1.8616773713115518E-2</v>
      </c>
      <c r="R34" s="148">
        <v>5.9946011356231968E-2</v>
      </c>
      <c r="S34" s="148">
        <v>7.8562785069347482E-2</v>
      </c>
      <c r="T34" s="4">
        <v>50</v>
      </c>
      <c r="U34" s="149">
        <v>0.46250000000000002</v>
      </c>
      <c r="V34" s="149">
        <v>10.241499999999998</v>
      </c>
      <c r="W34" s="150">
        <v>1.7810000000000001</v>
      </c>
      <c r="X34" s="147">
        <v>1.7810000000000001</v>
      </c>
      <c r="Y34" s="147">
        <v>12.022499999999999</v>
      </c>
      <c r="Z34" s="148">
        <v>4.7295224460578801E-2</v>
      </c>
      <c r="AA34" s="148">
        <v>0.18212496165252076</v>
      </c>
      <c r="AB34" s="148">
        <v>0.22942018611309956</v>
      </c>
    </row>
    <row r="35" spans="2:28">
      <c r="B35" s="4">
        <v>51</v>
      </c>
      <c r="C35" s="147">
        <v>0.69299999999999995</v>
      </c>
      <c r="D35" s="147">
        <v>9.8019999999999996</v>
      </c>
      <c r="E35" s="147">
        <v>2.9870000000000001</v>
      </c>
      <c r="F35" s="147">
        <f t="shared" si="0"/>
        <v>2.9870000000000001</v>
      </c>
      <c r="G35" s="147">
        <v>12.789</v>
      </c>
      <c r="H35" s="148">
        <v>7.6078603578878023E-2</v>
      </c>
      <c r="I35" s="148">
        <v>0.32791744428587111</v>
      </c>
      <c r="J35" s="148">
        <v>0.40399604786474913</v>
      </c>
      <c r="K35" s="4">
        <v>51</v>
      </c>
      <c r="L35" s="147">
        <v>0.13500000000000001</v>
      </c>
      <c r="M35" s="147">
        <v>11.221</v>
      </c>
      <c r="N35" s="147">
        <v>0.65100000000000002</v>
      </c>
      <c r="O35" s="147">
        <v>0.65100000000000002</v>
      </c>
      <c r="P35" s="147">
        <v>11.872</v>
      </c>
      <c r="Q35" s="148">
        <v>1.2177521197907271E-2</v>
      </c>
      <c r="R35" s="148">
        <v>5.8722713332130617E-2</v>
      </c>
      <c r="S35" s="148">
        <v>7.0900234530037881E-2</v>
      </c>
      <c r="T35" s="4">
        <v>51</v>
      </c>
      <c r="U35" s="149">
        <v>0.41399999999999998</v>
      </c>
      <c r="V35" s="149">
        <v>10.5115</v>
      </c>
      <c r="W35" s="150">
        <v>1.819</v>
      </c>
      <c r="X35" s="147">
        <v>1.819</v>
      </c>
      <c r="Y35" s="147">
        <v>12.330500000000001</v>
      </c>
      <c r="Z35" s="148">
        <v>4.1000247586036147E-2</v>
      </c>
      <c r="AA35" s="148">
        <v>0.18014359990096557</v>
      </c>
      <c r="AB35" s="148">
        <v>0.22114384748700172</v>
      </c>
    </row>
    <row r="36" spans="2:28">
      <c r="B36" s="4">
        <v>52</v>
      </c>
      <c r="C36" s="147">
        <v>0.65600000000000003</v>
      </c>
      <c r="D36" s="147">
        <v>10.073</v>
      </c>
      <c r="E36" s="147">
        <v>3.0539999999999998</v>
      </c>
      <c r="F36" s="147">
        <f t="shared" si="0"/>
        <v>3.0539999999999998</v>
      </c>
      <c r="G36" s="147">
        <v>13.127000000000001</v>
      </c>
      <c r="H36" s="148">
        <v>6.9661250929170651E-2</v>
      </c>
      <c r="I36" s="148">
        <v>0.32430710417330361</v>
      </c>
      <c r="J36" s="148">
        <v>0.39396835510247424</v>
      </c>
      <c r="K36" s="4">
        <v>52</v>
      </c>
      <c r="L36" s="147">
        <v>8.3000000000000004E-2</v>
      </c>
      <c r="M36" s="147">
        <v>11.506</v>
      </c>
      <c r="N36" s="147">
        <v>0.65700000000000003</v>
      </c>
      <c r="O36" s="147">
        <v>0.65700000000000003</v>
      </c>
      <c r="P36" s="147">
        <v>12.163</v>
      </c>
      <c r="Q36" s="148">
        <v>7.2660421955703406E-3</v>
      </c>
      <c r="R36" s="148">
        <v>5.7515538825177279E-2</v>
      </c>
      <c r="S36" s="148">
        <v>6.4781581020747617E-2</v>
      </c>
      <c r="T36" s="4">
        <v>52</v>
      </c>
      <c r="U36" s="149">
        <v>0.3695</v>
      </c>
      <c r="V36" s="149">
        <v>10.7895</v>
      </c>
      <c r="W36" s="150">
        <v>1.8554999999999999</v>
      </c>
      <c r="X36" s="147">
        <v>1.8554999999999999</v>
      </c>
      <c r="Y36" s="147">
        <v>12.645</v>
      </c>
      <c r="Z36" s="148">
        <v>3.5460652591170823E-2</v>
      </c>
      <c r="AA36" s="148">
        <v>0.17807101727447217</v>
      </c>
      <c r="AB36" s="148">
        <v>0.21353166986564298</v>
      </c>
    </row>
    <row r="37" spans="2:28">
      <c r="B37" s="4">
        <v>53</v>
      </c>
      <c r="C37" s="147">
        <v>0.61299999999999999</v>
      </c>
      <c r="D37" s="147">
        <v>10.352</v>
      </c>
      <c r="E37" s="147">
        <v>3.1179999999999999</v>
      </c>
      <c r="F37" s="147">
        <f t="shared" si="0"/>
        <v>3.1179999999999999</v>
      </c>
      <c r="G37" s="147">
        <v>13.47</v>
      </c>
      <c r="H37" s="148">
        <v>6.294280726974022E-2</v>
      </c>
      <c r="I37" s="148">
        <v>0.32015607351884173</v>
      </c>
      <c r="J37" s="148">
        <v>0.38309888078858195</v>
      </c>
      <c r="K37" s="4">
        <v>53</v>
      </c>
      <c r="L37" s="147">
        <v>4.4999999999999998E-2</v>
      </c>
      <c r="M37" s="147">
        <v>11.798</v>
      </c>
      <c r="N37" s="147">
        <v>0.66100000000000003</v>
      </c>
      <c r="O37" s="147">
        <v>0.66100000000000003</v>
      </c>
      <c r="P37" s="147">
        <v>12.459</v>
      </c>
      <c r="Q37" s="148">
        <v>3.828809665617289E-3</v>
      </c>
      <c r="R37" s="148">
        <v>5.6240959754956181E-2</v>
      </c>
      <c r="S37" s="148">
        <v>6.0069769420573467E-2</v>
      </c>
      <c r="T37" s="4">
        <v>53</v>
      </c>
      <c r="U37" s="149">
        <v>0.32900000000000001</v>
      </c>
      <c r="V37" s="149">
        <v>11.074999999999999</v>
      </c>
      <c r="W37" s="150">
        <v>1.8895</v>
      </c>
      <c r="X37" s="147">
        <v>1.8895</v>
      </c>
      <c r="Y37" s="147">
        <v>12.964499999999999</v>
      </c>
      <c r="Z37" s="148">
        <v>3.0616043178857254E-2</v>
      </c>
      <c r="AA37" s="148">
        <v>0.17583286804392334</v>
      </c>
      <c r="AB37" s="148">
        <v>0.20644891122278058</v>
      </c>
    </row>
    <row r="38" spans="2:28">
      <c r="B38" s="4">
        <v>54</v>
      </c>
      <c r="C38" s="147">
        <v>0.56299999999999994</v>
      </c>
      <c r="D38" s="147">
        <v>10.64</v>
      </c>
      <c r="E38" s="147">
        <v>3.1789999999999998</v>
      </c>
      <c r="F38" s="147">
        <f t="shared" si="0"/>
        <v>3.1789999999999998</v>
      </c>
      <c r="G38" s="147">
        <v>13.819000000000001</v>
      </c>
      <c r="H38" s="148">
        <v>5.5869802520591441E-2</v>
      </c>
      <c r="I38" s="148">
        <v>0.31547087426813536</v>
      </c>
      <c r="J38" s="148">
        <v>0.37134067678872679</v>
      </c>
      <c r="K38" s="4">
        <v>54</v>
      </c>
      <c r="L38" s="147">
        <v>0.02</v>
      </c>
      <c r="M38" s="147">
        <v>12.097</v>
      </c>
      <c r="N38" s="147">
        <v>0.66400000000000003</v>
      </c>
      <c r="O38" s="147">
        <v>0.66400000000000003</v>
      </c>
      <c r="P38" s="147">
        <v>12.760999999999999</v>
      </c>
      <c r="Q38" s="148">
        <v>1.6560404073859402E-3</v>
      </c>
      <c r="R38" s="148">
        <v>5.4980541525213221E-2</v>
      </c>
      <c r="S38" s="148">
        <v>5.6636581932599163E-2</v>
      </c>
      <c r="T38" s="4">
        <v>54</v>
      </c>
      <c r="U38" s="149">
        <v>0.29149999999999998</v>
      </c>
      <c r="V38" s="149">
        <v>11.368500000000001</v>
      </c>
      <c r="W38" s="150">
        <v>1.9215</v>
      </c>
      <c r="X38" s="147">
        <v>1.9215</v>
      </c>
      <c r="Y38" s="147">
        <v>13.290000000000001</v>
      </c>
      <c r="Z38" s="148">
        <v>2.6315789473684206E-2</v>
      </c>
      <c r="AA38" s="148">
        <v>0.17346754536426828</v>
      </c>
      <c r="AB38" s="148">
        <v>0.19978333483795249</v>
      </c>
    </row>
    <row r="39" spans="2:28">
      <c r="B39" s="4">
        <v>55</v>
      </c>
      <c r="C39" s="147">
        <v>0.50700000000000001</v>
      </c>
      <c r="D39" s="147">
        <v>10.936</v>
      </c>
      <c r="E39" s="147">
        <v>3.2370000000000001</v>
      </c>
      <c r="F39" s="147">
        <f t="shared" si="0"/>
        <v>3.2370000000000001</v>
      </c>
      <c r="G39" s="147">
        <v>14.173</v>
      </c>
      <c r="H39" s="148">
        <v>4.8614440502445101E-2</v>
      </c>
      <c r="I39" s="148">
        <v>0.3103845047463803</v>
      </c>
      <c r="J39" s="148">
        <v>0.35899894524882542</v>
      </c>
      <c r="K39" s="4">
        <v>55</v>
      </c>
      <c r="L39" s="147">
        <v>7.0000000000000001E-3</v>
      </c>
      <c r="M39" s="147">
        <v>12.404</v>
      </c>
      <c r="N39" s="147">
        <v>0.66600000000000004</v>
      </c>
      <c r="O39" s="147">
        <v>0.66600000000000004</v>
      </c>
      <c r="P39" s="147">
        <v>13.07</v>
      </c>
      <c r="Q39" s="148">
        <v>5.6465273856578201E-4</v>
      </c>
      <c r="R39" s="148">
        <v>5.3722674840687268E-2</v>
      </c>
      <c r="S39" s="148">
        <v>5.4287327579253052E-2</v>
      </c>
      <c r="T39" s="4">
        <v>55</v>
      </c>
      <c r="U39" s="149">
        <v>0.25700000000000001</v>
      </c>
      <c r="V39" s="149">
        <v>11.67</v>
      </c>
      <c r="W39" s="150">
        <v>1.9515</v>
      </c>
      <c r="X39" s="147">
        <v>1.9515</v>
      </c>
      <c r="Y39" s="147">
        <v>13.621499999999999</v>
      </c>
      <c r="Z39" s="148">
        <v>2.2518181021641989E-2</v>
      </c>
      <c r="AA39" s="148">
        <v>0.17098922281608692</v>
      </c>
      <c r="AB39" s="148">
        <v>0.19350740383772891</v>
      </c>
    </row>
    <row r="40" spans="2:28">
      <c r="B40" s="4">
        <v>56</v>
      </c>
      <c r="C40" s="147">
        <v>0.443</v>
      </c>
      <c r="D40" s="147">
        <v>11.242000000000001</v>
      </c>
      <c r="E40" s="147">
        <v>3.294</v>
      </c>
      <c r="F40" s="147">
        <f t="shared" si="0"/>
        <v>3.294</v>
      </c>
      <c r="G40" s="147">
        <v>14.536000000000001</v>
      </c>
      <c r="H40" s="148">
        <v>4.1022316881192698E-2</v>
      </c>
      <c r="I40" s="148">
        <v>0.30502824335586626</v>
      </c>
      <c r="J40" s="148">
        <v>0.34605056023705894</v>
      </c>
      <c r="K40" s="4">
        <v>56</v>
      </c>
      <c r="L40" s="147">
        <v>1E-3</v>
      </c>
      <c r="M40" s="147">
        <v>12.718</v>
      </c>
      <c r="N40" s="147">
        <v>0.66700000000000004</v>
      </c>
      <c r="O40" s="147">
        <v>0.66700000000000004</v>
      </c>
      <c r="P40" s="147">
        <v>13.385</v>
      </c>
      <c r="Q40" s="148">
        <v>7.8634898167806872E-5</v>
      </c>
      <c r="R40" s="148">
        <v>5.2449477077927187E-2</v>
      </c>
      <c r="S40" s="148">
        <v>5.2528111976094992E-2</v>
      </c>
      <c r="T40" s="4">
        <v>56</v>
      </c>
      <c r="U40" s="149">
        <v>0.222</v>
      </c>
      <c r="V40" s="149">
        <v>11.98</v>
      </c>
      <c r="W40" s="150">
        <v>1.9805000000000001</v>
      </c>
      <c r="X40" s="147">
        <v>1.9805000000000001</v>
      </c>
      <c r="Y40" s="147">
        <v>13.9605</v>
      </c>
      <c r="Z40" s="148">
        <v>1.8880762034359583E-2</v>
      </c>
      <c r="AA40" s="148">
        <v>0.16843850995067189</v>
      </c>
      <c r="AB40" s="148">
        <v>0.18731927198503148</v>
      </c>
    </row>
    <row r="41" spans="2:28">
      <c r="B41" s="4">
        <v>57</v>
      </c>
      <c r="C41" s="147">
        <v>0.374</v>
      </c>
      <c r="D41" s="147">
        <v>11.558</v>
      </c>
      <c r="E41" s="147">
        <v>3.3479999999999999</v>
      </c>
      <c r="F41" s="147">
        <f t="shared" si="0"/>
        <v>3.3479999999999999</v>
      </c>
      <c r="G41" s="147">
        <v>14.905999999999999</v>
      </c>
      <c r="H41" s="148">
        <v>3.3440629470672389E-2</v>
      </c>
      <c r="I41" s="148">
        <v>0.29935622317596566</v>
      </c>
      <c r="J41" s="148">
        <v>0.33279685264663805</v>
      </c>
      <c r="K41" s="4">
        <v>57</v>
      </c>
      <c r="L41" s="147">
        <v>0</v>
      </c>
      <c r="M41" s="147">
        <v>13.042999999999999</v>
      </c>
      <c r="N41" s="147">
        <v>0.66700000000000004</v>
      </c>
      <c r="O41" s="147">
        <v>0.66700000000000004</v>
      </c>
      <c r="P41" s="147">
        <v>13.709999999999999</v>
      </c>
      <c r="Q41" s="148">
        <v>0</v>
      </c>
      <c r="R41" s="148">
        <v>5.1138541746530715E-2</v>
      </c>
      <c r="S41" s="148">
        <v>5.1138541746530715E-2</v>
      </c>
      <c r="T41" s="4">
        <v>57</v>
      </c>
      <c r="U41" s="149">
        <v>0.187</v>
      </c>
      <c r="V41" s="149">
        <v>12.3005</v>
      </c>
      <c r="W41" s="150">
        <v>2.0074999999999998</v>
      </c>
      <c r="X41" s="147">
        <v>2.0074999999999998</v>
      </c>
      <c r="Y41" s="147">
        <v>14.308</v>
      </c>
      <c r="Z41" s="148">
        <v>1.5437321996120031E-2</v>
      </c>
      <c r="AA41" s="148">
        <v>0.1657241920171709</v>
      </c>
      <c r="AB41" s="148">
        <v>0.18116151401329092</v>
      </c>
    </row>
    <row r="42" spans="2:28">
      <c r="B42" s="4">
        <v>58</v>
      </c>
      <c r="C42" s="147">
        <v>0.30199999999999999</v>
      </c>
      <c r="D42" s="147">
        <v>11.885999999999999</v>
      </c>
      <c r="E42" s="147">
        <v>3.403</v>
      </c>
      <c r="F42" s="147">
        <f t="shared" si="0"/>
        <v>3.403</v>
      </c>
      <c r="G42" s="147">
        <v>15.289</v>
      </c>
      <c r="H42" s="148">
        <v>2.6070441988950276E-2</v>
      </c>
      <c r="I42" s="148">
        <v>0.29376726519337015</v>
      </c>
      <c r="J42" s="148">
        <v>0.31983770718232041</v>
      </c>
      <c r="K42" s="4">
        <v>58</v>
      </c>
      <c r="L42" s="147">
        <v>0.27300000000000002</v>
      </c>
      <c r="M42" s="147">
        <v>13.381</v>
      </c>
      <c r="N42" s="147">
        <v>0.66600000000000004</v>
      </c>
      <c r="O42" s="147">
        <v>0.66600000000000004</v>
      </c>
      <c r="P42" s="147">
        <v>14.047000000000001</v>
      </c>
      <c r="Q42" s="148">
        <v>2.0826975892584681E-2</v>
      </c>
      <c r="R42" s="148">
        <v>5.0808666463228562E-2</v>
      </c>
      <c r="S42" s="148">
        <v>7.1635642355813239E-2</v>
      </c>
      <c r="T42" s="4">
        <v>58</v>
      </c>
      <c r="U42" s="149">
        <v>0.28749999999999998</v>
      </c>
      <c r="V42" s="149">
        <v>12.6335</v>
      </c>
      <c r="W42" s="150">
        <v>2.0345</v>
      </c>
      <c r="X42" s="147">
        <v>2.0345</v>
      </c>
      <c r="Y42" s="147">
        <v>14.667999999999999</v>
      </c>
      <c r="Z42" s="148">
        <v>2.328689454074194E-2</v>
      </c>
      <c r="AA42" s="148">
        <v>0.16479021545439818</v>
      </c>
      <c r="AB42" s="148">
        <v>0.1880771099951401</v>
      </c>
    </row>
    <row r="43" spans="2:28">
      <c r="B43" s="4">
        <v>59</v>
      </c>
      <c r="C43" s="147">
        <v>0.22900000000000001</v>
      </c>
      <c r="D43" s="147">
        <v>12.228999999999999</v>
      </c>
      <c r="E43" s="147">
        <v>3.4580000000000002</v>
      </c>
      <c r="F43" s="147">
        <f t="shared" si="0"/>
        <v>3.4580000000000002</v>
      </c>
      <c r="G43" s="147">
        <v>15.686999999999999</v>
      </c>
      <c r="H43" s="148">
        <v>1.9083333333333334E-2</v>
      </c>
      <c r="I43" s="148">
        <v>0.28816666666666668</v>
      </c>
      <c r="J43" s="148">
        <v>0.30725000000000002</v>
      </c>
      <c r="K43" s="4">
        <v>59</v>
      </c>
      <c r="L43" s="147">
        <v>0.2</v>
      </c>
      <c r="M43" s="147">
        <v>13.736000000000001</v>
      </c>
      <c r="N43" s="147">
        <v>0.66400000000000003</v>
      </c>
      <c r="O43" s="147">
        <v>0.66400000000000003</v>
      </c>
      <c r="P43" s="147">
        <v>14.4</v>
      </c>
      <c r="Q43" s="148">
        <v>1.4775413711583923E-2</v>
      </c>
      <c r="R43" s="148">
        <v>4.9054373522458623E-2</v>
      </c>
      <c r="S43" s="148">
        <v>6.3829787234042548E-2</v>
      </c>
      <c r="T43" s="4">
        <v>59</v>
      </c>
      <c r="U43" s="149">
        <v>0.21450000000000002</v>
      </c>
      <c r="V43" s="149">
        <v>12.9825</v>
      </c>
      <c r="W43" s="150">
        <v>2.0609999999999999</v>
      </c>
      <c r="X43" s="147">
        <v>2.0609999999999999</v>
      </c>
      <c r="Y43" s="147">
        <v>15.0435</v>
      </c>
      <c r="Z43" s="148">
        <v>1.679981203007519E-2</v>
      </c>
      <c r="AA43" s="148">
        <v>0.16141917293233082</v>
      </c>
      <c r="AB43" s="148">
        <v>0.17821898496240601</v>
      </c>
    </row>
    <row r="44" spans="2:28">
      <c r="B44" s="4">
        <v>60</v>
      </c>
      <c r="C44" s="147">
        <v>0.16200000000000001</v>
      </c>
      <c r="D44" s="147">
        <v>12.592000000000001</v>
      </c>
      <c r="E44" s="147">
        <v>3.5139999999999998</v>
      </c>
      <c r="F44" s="147">
        <f t="shared" si="0"/>
        <v>3.5139999999999998</v>
      </c>
      <c r="G44" s="147">
        <v>16.106000000000002</v>
      </c>
      <c r="H44" s="148">
        <v>1.3032984714400644E-2</v>
      </c>
      <c r="I44" s="148">
        <v>0.28270313757039417</v>
      </c>
      <c r="J44" s="148">
        <v>0.29573612228479479</v>
      </c>
      <c r="K44" s="4">
        <v>60</v>
      </c>
      <c r="L44" s="147">
        <v>0.13500000000000001</v>
      </c>
      <c r="M44" s="147">
        <v>14.114000000000001</v>
      </c>
      <c r="N44" s="147">
        <v>0.66300000000000003</v>
      </c>
      <c r="O44" s="147">
        <v>0.66300000000000003</v>
      </c>
      <c r="P44" s="147">
        <v>14.777000000000001</v>
      </c>
      <c r="Q44" s="148">
        <v>9.6573431575935325E-3</v>
      </c>
      <c r="R44" s="148">
        <v>4.7428285285070461E-2</v>
      </c>
      <c r="S44" s="148">
        <v>5.7085628442663995E-2</v>
      </c>
      <c r="T44" s="4">
        <v>60</v>
      </c>
      <c r="U44" s="149">
        <v>0.14850000000000002</v>
      </c>
      <c r="V44" s="149">
        <v>13.353000000000002</v>
      </c>
      <c r="W44" s="150">
        <v>2.0884999999999998</v>
      </c>
      <c r="X44" s="147">
        <v>2.0884999999999998</v>
      </c>
      <c r="Y44" s="147">
        <v>15.441500000000001</v>
      </c>
      <c r="Z44" s="148">
        <v>1.1246166079745542E-2</v>
      </c>
      <c r="AA44" s="148">
        <v>0.15816577681850882</v>
      </c>
      <c r="AB44" s="148">
        <v>0.16941194289825437</v>
      </c>
    </row>
    <row r="45" spans="2:28">
      <c r="B45" s="4">
        <v>61</v>
      </c>
      <c r="C45" s="147">
        <v>0.105</v>
      </c>
      <c r="D45" s="147">
        <v>12.978999999999999</v>
      </c>
      <c r="E45" s="147">
        <v>3.573</v>
      </c>
      <c r="F45" s="147">
        <f t="shared" si="0"/>
        <v>3.573</v>
      </c>
      <c r="G45" s="147">
        <v>16.552</v>
      </c>
      <c r="H45" s="148">
        <v>8.1559732794780175E-3</v>
      </c>
      <c r="I45" s="148">
        <v>0.27753611931023769</v>
      </c>
      <c r="J45" s="148">
        <v>0.28569209258971573</v>
      </c>
      <c r="K45" s="4">
        <v>61</v>
      </c>
      <c r="L45" s="147">
        <v>8.3000000000000004E-2</v>
      </c>
      <c r="M45" s="147">
        <v>14.519</v>
      </c>
      <c r="N45" s="147">
        <v>0.66100000000000003</v>
      </c>
      <c r="O45" s="147">
        <v>0.66100000000000003</v>
      </c>
      <c r="P45" s="147">
        <v>15.18</v>
      </c>
      <c r="Q45" s="148">
        <v>5.7495151011360494E-3</v>
      </c>
      <c r="R45" s="148">
        <v>4.5788307010252147E-2</v>
      </c>
      <c r="S45" s="148">
        <v>5.1537822111388194E-2</v>
      </c>
      <c r="T45" s="4">
        <v>61</v>
      </c>
      <c r="U45" s="149">
        <v>9.4E-2</v>
      </c>
      <c r="V45" s="149">
        <v>13.748999999999999</v>
      </c>
      <c r="W45" s="150">
        <v>2.117</v>
      </c>
      <c r="X45" s="147">
        <v>2.117</v>
      </c>
      <c r="Y45" s="147">
        <v>15.866</v>
      </c>
      <c r="Z45" s="148">
        <v>6.8839253020871478E-3</v>
      </c>
      <c r="AA45" s="148">
        <v>0.1550347857927499</v>
      </c>
      <c r="AB45" s="148">
        <v>0.16191871109483705</v>
      </c>
    </row>
    <row r="46" spans="2:28">
      <c r="B46" s="4">
        <v>62</v>
      </c>
      <c r="C46" s="147">
        <v>0.06</v>
      </c>
      <c r="D46" s="147">
        <v>13.394</v>
      </c>
      <c r="E46" s="147">
        <v>3.617</v>
      </c>
      <c r="F46" s="147">
        <f t="shared" si="0"/>
        <v>3.617</v>
      </c>
      <c r="G46" s="147">
        <v>17.010999999999999</v>
      </c>
      <c r="H46" s="148">
        <v>4.4997750112494373E-3</v>
      </c>
      <c r="I46" s="148">
        <v>0.27126143692815358</v>
      </c>
      <c r="J46" s="148">
        <v>0.27576121193940301</v>
      </c>
      <c r="K46" s="4">
        <v>62</v>
      </c>
      <c r="L46" s="147">
        <v>4.4999999999999998E-2</v>
      </c>
      <c r="M46" s="147">
        <v>14.955</v>
      </c>
      <c r="N46" s="147">
        <v>0.65700000000000003</v>
      </c>
      <c r="O46" s="147">
        <v>0.65700000000000003</v>
      </c>
      <c r="P46" s="147">
        <v>15.612</v>
      </c>
      <c r="Q46" s="148">
        <v>3.0181086519114686E-3</v>
      </c>
      <c r="R46" s="148">
        <v>4.4064386317907447E-2</v>
      </c>
      <c r="S46" s="148">
        <v>4.7082494969818915E-2</v>
      </c>
      <c r="T46" s="4">
        <v>62</v>
      </c>
      <c r="U46" s="149">
        <v>5.2499999999999998E-2</v>
      </c>
      <c r="V46" s="149">
        <v>14.1745</v>
      </c>
      <c r="W46" s="150">
        <v>2.137</v>
      </c>
      <c r="X46" s="147">
        <v>2.137</v>
      </c>
      <c r="Y46" s="147">
        <v>16.311499999999999</v>
      </c>
      <c r="Z46" s="148">
        <v>3.7176037388471886E-3</v>
      </c>
      <c r="AA46" s="148">
        <v>0.15132417504602746</v>
      </c>
      <c r="AB46" s="148">
        <v>0.15504177878487466</v>
      </c>
    </row>
    <row r="47" spans="2:28">
      <c r="B47" s="4">
        <v>63</v>
      </c>
      <c r="C47" s="147">
        <v>2.8000000000000001E-2</v>
      </c>
      <c r="D47" s="147">
        <v>13.839</v>
      </c>
      <c r="E47" s="147">
        <v>3.661</v>
      </c>
      <c r="F47" s="147">
        <f t="shared" si="0"/>
        <v>3.661</v>
      </c>
      <c r="G47" s="147">
        <v>17.5</v>
      </c>
      <c r="H47" s="148">
        <v>2.0273694880892043E-3</v>
      </c>
      <c r="I47" s="148">
        <v>0.26507856056766343</v>
      </c>
      <c r="J47" s="148">
        <v>0.26710593005575262</v>
      </c>
      <c r="K47" s="4">
        <v>63</v>
      </c>
      <c r="L47" s="147">
        <v>0.02</v>
      </c>
      <c r="M47" s="147">
        <v>15.422000000000001</v>
      </c>
      <c r="N47" s="147">
        <v>0.65200000000000002</v>
      </c>
      <c r="O47" s="147">
        <v>0.65200000000000002</v>
      </c>
      <c r="P47" s="147">
        <v>16.074000000000002</v>
      </c>
      <c r="Q47" s="148">
        <v>1.2985326580963511E-3</v>
      </c>
      <c r="R47" s="148">
        <v>4.2332164653941046E-2</v>
      </c>
      <c r="S47" s="148">
        <v>4.3630697312037399E-2</v>
      </c>
      <c r="T47" s="4">
        <v>63</v>
      </c>
      <c r="U47" s="149">
        <v>2.4E-2</v>
      </c>
      <c r="V47" s="149">
        <v>14.630500000000001</v>
      </c>
      <c r="W47" s="150">
        <v>2.1564999999999999</v>
      </c>
      <c r="X47" s="147">
        <v>2.1564999999999999</v>
      </c>
      <c r="Y47" s="147">
        <v>16.787000000000003</v>
      </c>
      <c r="Z47" s="148">
        <v>1.6431040974908429E-3</v>
      </c>
      <c r="AA47" s="148">
        <v>0.14763974942662511</v>
      </c>
      <c r="AB47" s="148">
        <v>0.14928285352411597</v>
      </c>
    </row>
    <row r="48" spans="2:28">
      <c r="B48" s="4">
        <v>64</v>
      </c>
      <c r="C48" s="147">
        <v>0.01</v>
      </c>
      <c r="D48" s="147">
        <v>14.318</v>
      </c>
      <c r="E48" s="147">
        <v>3.7040000000000002</v>
      </c>
      <c r="F48" s="147">
        <f t="shared" si="0"/>
        <v>3.7040000000000002</v>
      </c>
      <c r="G48" s="147">
        <v>18.021999999999998</v>
      </c>
      <c r="H48" s="148">
        <v>6.9890970086664808E-4</v>
      </c>
      <c r="I48" s="148">
        <v>0.25887615320100643</v>
      </c>
      <c r="J48" s="148">
        <v>0.2595750629018731</v>
      </c>
      <c r="K48" s="4">
        <v>64</v>
      </c>
      <c r="L48" s="147">
        <v>7.0000000000000001E-3</v>
      </c>
      <c r="M48" s="147">
        <v>15.920999999999999</v>
      </c>
      <c r="N48" s="147">
        <v>0.64600000000000002</v>
      </c>
      <c r="O48" s="147">
        <v>0.64600000000000002</v>
      </c>
      <c r="P48" s="147">
        <v>16.567</v>
      </c>
      <c r="Q48" s="148">
        <v>4.3986427045368857E-4</v>
      </c>
      <c r="R48" s="148">
        <v>4.0593188387583259E-2</v>
      </c>
      <c r="S48" s="148">
        <v>4.1033052658036945E-2</v>
      </c>
      <c r="T48" s="4">
        <v>64</v>
      </c>
      <c r="U48" s="149">
        <v>8.5000000000000006E-3</v>
      </c>
      <c r="V48" s="149">
        <v>15.119499999999999</v>
      </c>
      <c r="W48" s="150">
        <v>2.1750000000000003</v>
      </c>
      <c r="X48" s="147">
        <v>2.1750000000000003</v>
      </c>
      <c r="Y48" s="147">
        <v>17.294499999999999</v>
      </c>
      <c r="Z48" s="148">
        <v>5.6250413605982402E-4</v>
      </c>
      <c r="AA48" s="148">
        <v>0.14393488187413145</v>
      </c>
      <c r="AB48" s="148">
        <v>0.14449738601019127</v>
      </c>
    </row>
    <row r="49" spans="2:28">
      <c r="B49" s="4">
        <v>65</v>
      </c>
      <c r="C49" s="147">
        <v>2E-3</v>
      </c>
      <c r="D49" s="147">
        <v>14.832000000000001</v>
      </c>
      <c r="E49" s="147">
        <v>3.7429999999999999</v>
      </c>
      <c r="F49" s="147">
        <f t="shared" si="0"/>
        <v>3.7429999999999999</v>
      </c>
      <c r="G49" s="147">
        <v>18.574999999999999</v>
      </c>
      <c r="H49" s="148">
        <v>1.3486176668914363E-4</v>
      </c>
      <c r="I49" s="148">
        <v>0.25239379635873227</v>
      </c>
      <c r="J49" s="148">
        <v>0.25252865812542141</v>
      </c>
      <c r="K49" s="4">
        <v>65</v>
      </c>
      <c r="L49" s="147">
        <v>1E-3</v>
      </c>
      <c r="M49" s="147">
        <v>16.449000000000002</v>
      </c>
      <c r="N49" s="147">
        <v>0.63800000000000001</v>
      </c>
      <c r="O49" s="147">
        <v>0.63800000000000001</v>
      </c>
      <c r="P49" s="147">
        <v>17.087000000000003</v>
      </c>
      <c r="Q49" s="148">
        <v>6.0797665369649806E-5</v>
      </c>
      <c r="R49" s="148">
        <v>3.8788910505836577E-2</v>
      </c>
      <c r="S49" s="148">
        <v>3.8849708171206226E-2</v>
      </c>
      <c r="T49" s="4">
        <v>65</v>
      </c>
      <c r="U49" s="149">
        <v>1.5E-3</v>
      </c>
      <c r="V49" s="149">
        <v>15.640500000000001</v>
      </c>
      <c r="W49" s="150">
        <v>2.1905000000000001</v>
      </c>
      <c r="X49" s="147">
        <v>2.1905000000000001</v>
      </c>
      <c r="Y49" s="147">
        <v>17.831000000000003</v>
      </c>
      <c r="Z49" s="148">
        <v>9.5914061001342788E-5</v>
      </c>
      <c r="AA49" s="148">
        <v>0.1400665004156276</v>
      </c>
      <c r="AB49" s="148">
        <v>0.14016241447662894</v>
      </c>
    </row>
    <row r="50" spans="2:28">
      <c r="B50" s="4">
        <v>66</v>
      </c>
      <c r="C50" s="147">
        <v>0</v>
      </c>
      <c r="D50" s="147">
        <v>15.379</v>
      </c>
      <c r="E50" s="147">
        <v>3.778</v>
      </c>
      <c r="F50" s="147">
        <f t="shared" si="0"/>
        <v>3.778</v>
      </c>
      <c r="G50" s="147">
        <v>19.157</v>
      </c>
      <c r="H50" s="148">
        <v>0</v>
      </c>
      <c r="I50" s="148">
        <v>0.24565966577800899</v>
      </c>
      <c r="J50" s="148">
        <v>0.24565966577800899</v>
      </c>
      <c r="K50" s="4">
        <v>66</v>
      </c>
      <c r="L50" s="147">
        <v>0</v>
      </c>
      <c r="M50" s="147">
        <v>17.004000000000001</v>
      </c>
      <c r="N50" s="147">
        <v>0.63</v>
      </c>
      <c r="O50" s="147">
        <v>0.63</v>
      </c>
      <c r="P50" s="147">
        <v>17.634</v>
      </c>
      <c r="Q50" s="148">
        <v>0</v>
      </c>
      <c r="R50" s="148">
        <v>3.7050105857445302E-2</v>
      </c>
      <c r="S50" s="151">
        <v>3.7050105857445302E-2</v>
      </c>
      <c r="T50" s="4">
        <v>66</v>
      </c>
      <c r="U50" s="149">
        <v>0</v>
      </c>
      <c r="V50" s="149">
        <v>16.191500000000001</v>
      </c>
      <c r="W50" s="150">
        <v>2.2040000000000002</v>
      </c>
      <c r="X50" s="147">
        <v>2.2040000000000002</v>
      </c>
      <c r="Y50" s="147">
        <v>18.395500000000002</v>
      </c>
      <c r="Z50" s="148">
        <v>0</v>
      </c>
      <c r="AA50" s="148">
        <v>0.13612080412562147</v>
      </c>
      <c r="AB50" s="151">
        <v>0.13612080412562147</v>
      </c>
    </row>
    <row r="51" spans="2:28">
      <c r="B51" s="4">
        <v>67</v>
      </c>
      <c r="C51" s="147">
        <v>0</v>
      </c>
      <c r="D51" s="147">
        <v>15.115</v>
      </c>
      <c r="E51" s="147">
        <v>3.778</v>
      </c>
      <c r="F51" s="147">
        <f t="shared" si="0"/>
        <v>3.778</v>
      </c>
      <c r="G51" s="147">
        <v>18.893000000000001</v>
      </c>
      <c r="H51" s="148">
        <v>0</v>
      </c>
      <c r="I51" s="148">
        <v>0.24995038041680451</v>
      </c>
      <c r="J51" s="148">
        <v>0.24995038041680451</v>
      </c>
      <c r="K51" s="4">
        <v>67</v>
      </c>
      <c r="L51" s="147">
        <v>0</v>
      </c>
      <c r="M51" s="147">
        <v>16.867000000000001</v>
      </c>
      <c r="N51" s="147">
        <v>0.61</v>
      </c>
      <c r="O51" s="147">
        <v>0.61</v>
      </c>
      <c r="P51" s="147">
        <v>17.477</v>
      </c>
      <c r="Q51" s="148">
        <v>0</v>
      </c>
      <c r="R51" s="148">
        <v>3.6165293176024189E-2</v>
      </c>
      <c r="S51" s="151">
        <v>3.6165293176024189E-2</v>
      </c>
      <c r="T51" s="4">
        <v>67</v>
      </c>
      <c r="U51" s="149">
        <v>0</v>
      </c>
      <c r="V51" s="149">
        <v>15.991</v>
      </c>
      <c r="W51" s="150">
        <v>2.194</v>
      </c>
      <c r="X51" s="147">
        <v>2.194</v>
      </c>
      <c r="Y51" s="147">
        <v>18.184999999999999</v>
      </c>
      <c r="Z51" s="148">
        <v>0</v>
      </c>
      <c r="AA51" s="148">
        <v>0.13720217622412606</v>
      </c>
      <c r="AB51" s="151">
        <v>0.13720217622412606</v>
      </c>
    </row>
    <row r="52" spans="2:28">
      <c r="B52" s="4">
        <v>68</v>
      </c>
      <c r="C52" s="147">
        <v>0</v>
      </c>
      <c r="D52" s="147">
        <v>14.711</v>
      </c>
      <c r="E52" s="147">
        <v>3.7770000000000001</v>
      </c>
      <c r="F52" s="147">
        <f t="shared" si="0"/>
        <v>3.7770000000000001</v>
      </c>
      <c r="G52" s="147">
        <v>18.488</v>
      </c>
      <c r="H52" s="148">
        <v>0</v>
      </c>
      <c r="I52" s="148">
        <v>0.25674665216504655</v>
      </c>
      <c r="J52" s="148">
        <v>0.25674665216504655</v>
      </c>
      <c r="K52" s="4">
        <v>68</v>
      </c>
      <c r="L52" s="147">
        <v>0</v>
      </c>
      <c r="M52" s="147">
        <v>16.448</v>
      </c>
      <c r="N52" s="147">
        <v>0.59099999999999997</v>
      </c>
      <c r="O52" s="147">
        <v>0.59099999999999997</v>
      </c>
      <c r="P52" s="147">
        <v>17.039000000000001</v>
      </c>
      <c r="Q52" s="148">
        <v>0</v>
      </c>
      <c r="R52" s="148">
        <v>3.5931420233463032E-2</v>
      </c>
      <c r="S52" s="151">
        <v>3.5931420233463032E-2</v>
      </c>
      <c r="T52" s="4">
        <v>68</v>
      </c>
      <c r="U52" s="149">
        <v>0</v>
      </c>
      <c r="V52" s="149">
        <v>15.579499999999999</v>
      </c>
      <c r="W52" s="150">
        <v>2.1840000000000002</v>
      </c>
      <c r="X52" s="147">
        <v>2.1840000000000002</v>
      </c>
      <c r="Y52" s="147">
        <v>17.763500000000001</v>
      </c>
      <c r="Z52" s="148">
        <v>0</v>
      </c>
      <c r="AA52" s="148">
        <v>0.14018421643826826</v>
      </c>
      <c r="AB52" s="151">
        <v>0.14018421643826826</v>
      </c>
    </row>
    <row r="53" spans="2:28">
      <c r="B53" s="4">
        <v>69</v>
      </c>
      <c r="C53" s="147">
        <v>0</v>
      </c>
      <c r="D53" s="147">
        <v>14.298999999999999</v>
      </c>
      <c r="E53" s="147">
        <v>3.7730000000000001</v>
      </c>
      <c r="F53" s="147">
        <f t="shared" si="0"/>
        <v>3.7730000000000001</v>
      </c>
      <c r="G53" s="147">
        <v>18.071999999999999</v>
      </c>
      <c r="H53" s="148">
        <v>0</v>
      </c>
      <c r="I53" s="148">
        <v>0.26386460591649769</v>
      </c>
      <c r="J53" s="148">
        <v>0.26386460591649769</v>
      </c>
      <c r="K53" s="4">
        <v>69</v>
      </c>
      <c r="L53" s="147">
        <v>0</v>
      </c>
      <c r="M53" s="147">
        <v>16.016999999999999</v>
      </c>
      <c r="N53" s="147">
        <v>0.57199999999999995</v>
      </c>
      <c r="O53" s="147">
        <v>0.57199999999999995</v>
      </c>
      <c r="P53" s="147">
        <v>16.588999999999999</v>
      </c>
      <c r="Q53" s="148">
        <v>0</v>
      </c>
      <c r="R53" s="148">
        <v>3.5712055940563148E-2</v>
      </c>
      <c r="S53" s="151">
        <v>3.5712055940563148E-2</v>
      </c>
      <c r="T53" s="4">
        <v>69</v>
      </c>
      <c r="U53" s="149">
        <v>0</v>
      </c>
      <c r="V53" s="149">
        <v>15.157999999999999</v>
      </c>
      <c r="W53" s="150">
        <v>2.1724999999999999</v>
      </c>
      <c r="X53" s="147">
        <v>2.1724999999999999</v>
      </c>
      <c r="Y53" s="147">
        <v>17.330500000000001</v>
      </c>
      <c r="Z53" s="148">
        <v>0</v>
      </c>
      <c r="AA53" s="148">
        <v>0.14332365747460088</v>
      </c>
      <c r="AB53" s="151">
        <v>0.14332365747460088</v>
      </c>
    </row>
    <row r="54" spans="2:28">
      <c r="B54" s="4">
        <v>70</v>
      </c>
      <c r="C54" s="147">
        <v>0</v>
      </c>
      <c r="D54" s="147">
        <v>13.877000000000001</v>
      </c>
      <c r="E54" s="147">
        <v>3.7669999999999999</v>
      </c>
      <c r="F54" s="147">
        <f t="shared" si="0"/>
        <v>3.7669999999999999</v>
      </c>
      <c r="G54" s="147">
        <v>17.644000000000002</v>
      </c>
      <c r="H54" s="148">
        <v>0</v>
      </c>
      <c r="I54" s="148">
        <v>0.27145636664985223</v>
      </c>
      <c r="J54" s="148">
        <v>0.27145636664985223</v>
      </c>
      <c r="K54" s="4">
        <v>70</v>
      </c>
      <c r="L54" s="147">
        <v>0</v>
      </c>
      <c r="M54" s="147">
        <v>15.574</v>
      </c>
      <c r="N54" s="147">
        <v>0.55100000000000005</v>
      </c>
      <c r="O54" s="147">
        <v>0.55100000000000005</v>
      </c>
      <c r="P54" s="147">
        <v>16.125</v>
      </c>
      <c r="Q54" s="148">
        <v>0</v>
      </c>
      <c r="R54" s="148">
        <v>3.5379478618209843E-2</v>
      </c>
      <c r="S54" s="151">
        <v>3.5379478618209843E-2</v>
      </c>
      <c r="T54" s="4">
        <v>70</v>
      </c>
      <c r="U54" s="149">
        <v>0</v>
      </c>
      <c r="V54" s="149">
        <v>14.7255</v>
      </c>
      <c r="W54" s="150">
        <v>2.1589999999999998</v>
      </c>
      <c r="X54" s="147">
        <v>2.1589999999999998</v>
      </c>
      <c r="Y54" s="147">
        <v>16.884499999999999</v>
      </c>
      <c r="Z54" s="148">
        <v>0</v>
      </c>
      <c r="AA54" s="148">
        <v>0.14661641370411868</v>
      </c>
      <c r="AB54" s="151">
        <v>0.14661641370411868</v>
      </c>
    </row>
    <row r="55" spans="2:28">
      <c r="B55" s="4">
        <v>71</v>
      </c>
      <c r="C55" s="147">
        <v>0</v>
      </c>
      <c r="D55" s="147">
        <v>13.445</v>
      </c>
      <c r="E55" s="147">
        <v>3.758</v>
      </c>
      <c r="F55" s="147">
        <f t="shared" si="0"/>
        <v>3.758</v>
      </c>
      <c r="G55" s="147">
        <v>17.202999999999999</v>
      </c>
      <c r="H55" s="148">
        <v>0</v>
      </c>
      <c r="I55" s="148">
        <v>0.27950911119375232</v>
      </c>
      <c r="J55" s="148">
        <v>0.27950911119375232</v>
      </c>
      <c r="K55" s="4">
        <v>71</v>
      </c>
      <c r="L55" s="147">
        <v>0</v>
      </c>
      <c r="M55" s="147">
        <v>15.118</v>
      </c>
      <c r="N55" s="147">
        <v>0.53100000000000003</v>
      </c>
      <c r="O55" s="147">
        <v>0.53100000000000003</v>
      </c>
      <c r="P55" s="147">
        <v>15.649000000000001</v>
      </c>
      <c r="Q55" s="148">
        <v>0</v>
      </c>
      <c r="R55" s="148">
        <v>3.5123693610265912E-2</v>
      </c>
      <c r="S55" s="151">
        <v>3.5123693610265912E-2</v>
      </c>
      <c r="T55" s="4">
        <v>71</v>
      </c>
      <c r="U55" s="149">
        <v>0</v>
      </c>
      <c r="V55" s="149">
        <v>14.281500000000001</v>
      </c>
      <c r="W55" s="150">
        <v>2.1444999999999999</v>
      </c>
      <c r="X55" s="147">
        <v>2.1444999999999999</v>
      </c>
      <c r="Y55" s="147">
        <v>16.426000000000002</v>
      </c>
      <c r="Z55" s="148">
        <v>0</v>
      </c>
      <c r="AA55" s="148">
        <v>0.1501592969926128</v>
      </c>
      <c r="AB55" s="151">
        <v>0.1501592969926128</v>
      </c>
    </row>
    <row r="56" spans="2:28">
      <c r="B56" s="4">
        <v>72</v>
      </c>
      <c r="C56" s="147">
        <v>0</v>
      </c>
      <c r="D56" s="147">
        <v>13.002000000000001</v>
      </c>
      <c r="E56" s="147">
        <v>3.7469999999999999</v>
      </c>
      <c r="F56" s="147">
        <f t="shared" si="0"/>
        <v>3.7469999999999999</v>
      </c>
      <c r="G56" s="147">
        <v>16.749000000000002</v>
      </c>
      <c r="H56" s="148">
        <v>0</v>
      </c>
      <c r="I56" s="148">
        <v>0.2881864328564836</v>
      </c>
      <c r="J56" s="148">
        <v>0.2881864328564836</v>
      </c>
      <c r="K56" s="4">
        <v>72</v>
      </c>
      <c r="L56" s="147">
        <v>0</v>
      </c>
      <c r="M56" s="147">
        <v>14.648999999999999</v>
      </c>
      <c r="N56" s="147">
        <v>0.51</v>
      </c>
      <c r="O56" s="147">
        <v>0.51</v>
      </c>
      <c r="P56" s="147">
        <v>15.158999999999999</v>
      </c>
      <c r="Q56" s="148">
        <v>0</v>
      </c>
      <c r="R56" s="148">
        <v>3.481466311693631E-2</v>
      </c>
      <c r="S56" s="151">
        <v>3.481466311693631E-2</v>
      </c>
      <c r="T56" s="4">
        <v>72</v>
      </c>
      <c r="U56" s="149">
        <v>0</v>
      </c>
      <c r="V56" s="149">
        <v>13.8255</v>
      </c>
      <c r="W56" s="150">
        <v>2.1284999999999998</v>
      </c>
      <c r="X56" s="147">
        <v>2.1284999999999998</v>
      </c>
      <c r="Y56" s="147">
        <v>15.954000000000001</v>
      </c>
      <c r="Z56" s="148">
        <v>0</v>
      </c>
      <c r="AA56" s="148">
        <v>0.15395464901811867</v>
      </c>
      <c r="AB56" s="151">
        <v>0.15395464901811867</v>
      </c>
    </row>
    <row r="57" spans="2:28">
      <c r="B57" s="4">
        <v>73</v>
      </c>
      <c r="C57" s="147">
        <v>0</v>
      </c>
      <c r="D57" s="147">
        <v>12.55</v>
      </c>
      <c r="E57" s="147">
        <v>3.7389999999999999</v>
      </c>
      <c r="F57" s="147">
        <f t="shared" si="0"/>
        <v>3.7389999999999999</v>
      </c>
      <c r="G57" s="147">
        <v>16.289000000000001</v>
      </c>
      <c r="H57" s="148">
        <v>0</v>
      </c>
      <c r="I57" s="148">
        <v>0.2979282868525896</v>
      </c>
      <c r="J57" s="148">
        <v>0.2979282868525896</v>
      </c>
      <c r="K57" s="4">
        <v>73</v>
      </c>
      <c r="L57" s="147">
        <v>0</v>
      </c>
      <c r="M57" s="147">
        <v>14.167999999999999</v>
      </c>
      <c r="N57" s="147">
        <v>0.48899999999999999</v>
      </c>
      <c r="O57" s="147">
        <v>0.48899999999999999</v>
      </c>
      <c r="P57" s="147">
        <v>14.657</v>
      </c>
      <c r="Q57" s="148">
        <v>0</v>
      </c>
      <c r="R57" s="148">
        <v>3.4514398644833431E-2</v>
      </c>
      <c r="S57" s="151">
        <v>3.4514398644833431E-2</v>
      </c>
      <c r="T57" s="4">
        <v>73</v>
      </c>
      <c r="U57" s="149">
        <v>0</v>
      </c>
      <c r="V57" s="149">
        <v>13.359</v>
      </c>
      <c r="W57" s="150">
        <v>2.1139999999999999</v>
      </c>
      <c r="X57" s="147">
        <v>2.1139999999999999</v>
      </c>
      <c r="Y57" s="147">
        <v>15.472999999999999</v>
      </c>
      <c r="Z57" s="148">
        <v>0</v>
      </c>
      <c r="AA57" s="148">
        <v>0.15824537764802754</v>
      </c>
      <c r="AB57" s="151">
        <v>0.15824537764802754</v>
      </c>
    </row>
    <row r="58" spans="2:28">
      <c r="B58" s="4">
        <v>74</v>
      </c>
      <c r="C58" s="147">
        <v>0</v>
      </c>
      <c r="D58" s="147">
        <v>12.089</v>
      </c>
      <c r="E58" s="147">
        <v>3.7290000000000001</v>
      </c>
      <c r="F58" s="147">
        <f t="shared" si="0"/>
        <v>3.7290000000000001</v>
      </c>
      <c r="G58" s="147">
        <v>15.818000000000001</v>
      </c>
      <c r="H58" s="148">
        <v>0</v>
      </c>
      <c r="I58" s="148">
        <v>0.30846223839854414</v>
      </c>
      <c r="J58" s="148">
        <v>0.30846223839854414</v>
      </c>
      <c r="K58" s="4">
        <v>74</v>
      </c>
      <c r="L58" s="147">
        <v>0</v>
      </c>
      <c r="M58" s="147">
        <v>13.676</v>
      </c>
      <c r="N58" s="147">
        <v>0.46899999999999997</v>
      </c>
      <c r="O58" s="147">
        <v>0.46899999999999997</v>
      </c>
      <c r="P58" s="147">
        <v>14.145</v>
      </c>
      <c r="Q58" s="148">
        <v>0</v>
      </c>
      <c r="R58" s="148">
        <v>3.4293653114945886E-2</v>
      </c>
      <c r="S58" s="151">
        <v>3.4293653114945886E-2</v>
      </c>
      <c r="T58" s="4">
        <v>74</v>
      </c>
      <c r="U58" s="149">
        <v>0</v>
      </c>
      <c r="V58" s="149">
        <v>12.8825</v>
      </c>
      <c r="W58" s="150">
        <v>2.0990000000000002</v>
      </c>
      <c r="X58" s="147">
        <v>2.0990000000000002</v>
      </c>
      <c r="Y58" s="147">
        <v>14.9815</v>
      </c>
      <c r="Z58" s="148">
        <v>0</v>
      </c>
      <c r="AA58" s="148">
        <v>0.16293421307975939</v>
      </c>
      <c r="AB58" s="151">
        <v>0.16293421307975939</v>
      </c>
    </row>
    <row r="59" spans="2:28">
      <c r="B59" s="4">
        <v>75</v>
      </c>
      <c r="C59" s="147">
        <v>0</v>
      </c>
      <c r="D59" s="147">
        <v>11.619</v>
      </c>
      <c r="E59" s="147">
        <v>3.7160000000000002</v>
      </c>
      <c r="F59" s="147">
        <f t="shared" si="0"/>
        <v>3.7160000000000002</v>
      </c>
      <c r="G59" s="147">
        <v>15.335000000000001</v>
      </c>
      <c r="H59" s="148">
        <v>0</v>
      </c>
      <c r="I59" s="148">
        <v>0.31982098287288063</v>
      </c>
      <c r="J59" s="148">
        <v>0.31982098287288063</v>
      </c>
      <c r="K59" s="4">
        <v>75</v>
      </c>
      <c r="L59" s="147">
        <v>0</v>
      </c>
      <c r="M59" s="147">
        <v>13.173999999999999</v>
      </c>
      <c r="N59" s="147">
        <v>0.44800000000000001</v>
      </c>
      <c r="O59" s="147">
        <v>0.44800000000000001</v>
      </c>
      <c r="P59" s="147">
        <v>13.622</v>
      </c>
      <c r="Q59" s="148">
        <v>0</v>
      </c>
      <c r="R59" s="148">
        <v>3.4006376195536668E-2</v>
      </c>
      <c r="S59" s="151">
        <v>3.4006376195536668E-2</v>
      </c>
      <c r="T59" s="4">
        <v>75</v>
      </c>
      <c r="U59" s="149">
        <v>0</v>
      </c>
      <c r="V59" s="149">
        <v>12.3965</v>
      </c>
      <c r="W59" s="150">
        <v>2.0820000000000003</v>
      </c>
      <c r="X59" s="147">
        <v>2.0820000000000003</v>
      </c>
      <c r="Y59" s="147">
        <v>14.4785</v>
      </c>
      <c r="Z59" s="148">
        <v>0</v>
      </c>
      <c r="AA59" s="148">
        <v>0.1679506312265559</v>
      </c>
      <c r="AB59" s="151">
        <v>0.1679506312265559</v>
      </c>
    </row>
    <row r="60" spans="2:28">
      <c r="B60" s="4">
        <v>76</v>
      </c>
      <c r="C60" s="147">
        <v>0</v>
      </c>
      <c r="D60" s="147">
        <v>11.143000000000001</v>
      </c>
      <c r="E60" s="147">
        <v>3.698</v>
      </c>
      <c r="F60" s="147">
        <f t="shared" si="0"/>
        <v>3.698</v>
      </c>
      <c r="G60" s="147">
        <v>14.841000000000001</v>
      </c>
      <c r="H60" s="148">
        <v>0</v>
      </c>
      <c r="I60" s="148">
        <v>0.33186754015974151</v>
      </c>
      <c r="J60" s="148">
        <v>0.33186754015974151</v>
      </c>
      <c r="K60" s="4">
        <v>76</v>
      </c>
      <c r="L60" s="147">
        <v>0</v>
      </c>
      <c r="M60" s="147">
        <v>12.663</v>
      </c>
      <c r="N60" s="147">
        <v>0.42699999999999999</v>
      </c>
      <c r="O60" s="147">
        <v>0.42699999999999999</v>
      </c>
      <c r="P60" s="147">
        <v>13.09</v>
      </c>
      <c r="Q60" s="148">
        <v>0</v>
      </c>
      <c r="R60" s="148">
        <v>3.3720287451630734E-2</v>
      </c>
      <c r="S60" s="151">
        <v>3.3720287451630734E-2</v>
      </c>
      <c r="T60" s="4">
        <v>76</v>
      </c>
      <c r="U60" s="149">
        <v>0</v>
      </c>
      <c r="V60" s="149">
        <v>11.903</v>
      </c>
      <c r="W60" s="150">
        <v>2.0625</v>
      </c>
      <c r="X60" s="147">
        <v>2.0625</v>
      </c>
      <c r="Y60" s="147">
        <v>13.9655</v>
      </c>
      <c r="Z60" s="148">
        <v>0</v>
      </c>
      <c r="AA60" s="148">
        <v>0.17327564479542973</v>
      </c>
      <c r="AB60" s="151">
        <v>0.17327564479542973</v>
      </c>
    </row>
    <row r="61" spans="2:28">
      <c r="B61" s="4">
        <v>77</v>
      </c>
      <c r="C61" s="147">
        <v>0</v>
      </c>
      <c r="D61" s="147">
        <v>10.662000000000001</v>
      </c>
      <c r="E61" s="147">
        <v>3.6749999999999998</v>
      </c>
      <c r="F61" s="147">
        <f t="shared" si="0"/>
        <v>3.6749999999999998</v>
      </c>
      <c r="G61" s="147">
        <v>14.337</v>
      </c>
      <c r="H61" s="148">
        <v>0</v>
      </c>
      <c r="I61" s="148">
        <v>0.34468204839617328</v>
      </c>
      <c r="J61" s="148">
        <v>0.34468204839617328</v>
      </c>
      <c r="K61" s="4">
        <v>77</v>
      </c>
      <c r="L61" s="147">
        <v>0</v>
      </c>
      <c r="M61" s="147">
        <v>12.143000000000001</v>
      </c>
      <c r="N61" s="147">
        <v>0.40400000000000003</v>
      </c>
      <c r="O61" s="147">
        <v>0.40400000000000003</v>
      </c>
      <c r="P61" s="147">
        <v>12.547000000000001</v>
      </c>
      <c r="Q61" s="148">
        <v>0</v>
      </c>
      <c r="R61" s="148">
        <v>3.327019682121387E-2</v>
      </c>
      <c r="S61" s="151">
        <v>3.327019682121387E-2</v>
      </c>
      <c r="T61" s="4">
        <v>77</v>
      </c>
      <c r="U61" s="149">
        <v>0</v>
      </c>
      <c r="V61" s="149">
        <v>11.4025</v>
      </c>
      <c r="W61" s="150">
        <v>2.0394999999999999</v>
      </c>
      <c r="X61" s="147">
        <v>2.0394999999999999</v>
      </c>
      <c r="Y61" s="147">
        <v>13.442</v>
      </c>
      <c r="Z61" s="148">
        <v>0</v>
      </c>
      <c r="AA61" s="148">
        <v>0.17886428414821309</v>
      </c>
      <c r="AB61" s="151">
        <v>0.17886428414821309</v>
      </c>
    </row>
    <row r="62" spans="2:28">
      <c r="B62" s="4">
        <v>78</v>
      </c>
      <c r="C62" s="147">
        <v>0</v>
      </c>
      <c r="D62" s="147">
        <v>10.178000000000001</v>
      </c>
      <c r="E62" s="147">
        <v>3.645</v>
      </c>
      <c r="F62" s="147">
        <f t="shared" si="0"/>
        <v>3.645</v>
      </c>
      <c r="G62" s="147">
        <v>13.823</v>
      </c>
      <c r="H62" s="148">
        <v>0</v>
      </c>
      <c r="I62" s="148">
        <v>0.35812536844173704</v>
      </c>
      <c r="J62" s="148">
        <v>0.35812536844173704</v>
      </c>
      <c r="K62" s="4">
        <v>78</v>
      </c>
      <c r="L62" s="147">
        <v>0</v>
      </c>
      <c r="M62" s="147">
        <v>11.618</v>
      </c>
      <c r="N62" s="147">
        <v>0.38100000000000001</v>
      </c>
      <c r="O62" s="147">
        <v>0.38100000000000001</v>
      </c>
      <c r="P62" s="147">
        <v>11.999000000000001</v>
      </c>
      <c r="Q62" s="148">
        <v>0</v>
      </c>
      <c r="R62" s="148">
        <v>3.279394043725254E-2</v>
      </c>
      <c r="S62" s="151">
        <v>3.279394043725254E-2</v>
      </c>
      <c r="T62" s="4">
        <v>78</v>
      </c>
      <c r="U62" s="149">
        <v>0</v>
      </c>
      <c r="V62" s="149">
        <v>10.898</v>
      </c>
      <c r="W62" s="150">
        <v>2.0129999999999999</v>
      </c>
      <c r="X62" s="147">
        <v>2.0129999999999999</v>
      </c>
      <c r="Y62" s="147">
        <v>12.911</v>
      </c>
      <c r="Z62" s="148">
        <v>0</v>
      </c>
      <c r="AA62" s="148">
        <v>0.18471279133786014</v>
      </c>
      <c r="AB62" s="151">
        <v>0.18471279133786014</v>
      </c>
    </row>
    <row r="63" spans="2:28">
      <c r="B63" s="4">
        <v>79</v>
      </c>
      <c r="C63" s="147">
        <v>0</v>
      </c>
      <c r="D63" s="147">
        <v>9.6929999999999996</v>
      </c>
      <c r="E63" s="147">
        <v>3.6070000000000002</v>
      </c>
      <c r="F63" s="147">
        <f t="shared" si="0"/>
        <v>3.6070000000000002</v>
      </c>
      <c r="G63" s="147">
        <v>13.3</v>
      </c>
      <c r="H63" s="148">
        <v>0</v>
      </c>
      <c r="I63" s="148">
        <v>0.37212421334984014</v>
      </c>
      <c r="J63" s="148">
        <v>0.37212421334984014</v>
      </c>
      <c r="K63" s="4">
        <v>79</v>
      </c>
      <c r="L63" s="147">
        <v>0</v>
      </c>
      <c r="M63" s="147">
        <v>11.087999999999999</v>
      </c>
      <c r="N63" s="147">
        <v>0.35699999999999998</v>
      </c>
      <c r="O63" s="147">
        <v>0.35699999999999998</v>
      </c>
      <c r="P63" s="147">
        <v>11.444999999999999</v>
      </c>
      <c r="Q63" s="148">
        <v>0</v>
      </c>
      <c r="R63" s="148">
        <v>3.2196969696969696E-2</v>
      </c>
      <c r="S63" s="151">
        <v>3.2196969696969696E-2</v>
      </c>
      <c r="T63" s="4">
        <v>79</v>
      </c>
      <c r="U63" s="149">
        <v>0</v>
      </c>
      <c r="V63" s="149">
        <v>10.390499999999999</v>
      </c>
      <c r="W63" s="150">
        <v>1.9820000000000002</v>
      </c>
      <c r="X63" s="147">
        <v>1.9820000000000002</v>
      </c>
      <c r="Y63" s="147">
        <v>12.372499999999999</v>
      </c>
      <c r="Z63" s="148">
        <v>0</v>
      </c>
      <c r="AA63" s="148">
        <v>0.19075116693133154</v>
      </c>
      <c r="AB63" s="151">
        <v>0.19075116693133154</v>
      </c>
    </row>
    <row r="64" spans="2:28">
      <c r="B64" s="4">
        <v>80</v>
      </c>
      <c r="C64" s="147">
        <v>0</v>
      </c>
      <c r="D64" s="147">
        <v>9.2100000000000009</v>
      </c>
      <c r="E64" s="147">
        <v>3.5619999999999998</v>
      </c>
      <c r="F64" s="147">
        <f t="shared" si="0"/>
        <v>3.5619999999999998</v>
      </c>
      <c r="G64" s="147">
        <v>12.772</v>
      </c>
      <c r="H64" s="148">
        <v>0</v>
      </c>
      <c r="I64" s="148">
        <v>0.38675352877307267</v>
      </c>
      <c r="J64" s="148">
        <v>0.38675352877307267</v>
      </c>
      <c r="K64" s="4">
        <v>80</v>
      </c>
      <c r="L64" s="147">
        <v>0</v>
      </c>
      <c r="M64" s="147">
        <v>10.555</v>
      </c>
      <c r="N64" s="147">
        <v>0.33300000000000002</v>
      </c>
      <c r="O64" s="147">
        <v>0.33300000000000002</v>
      </c>
      <c r="P64" s="147">
        <v>10.888</v>
      </c>
      <c r="Q64" s="148">
        <v>0</v>
      </c>
      <c r="R64" s="148">
        <v>3.15490288962577E-2</v>
      </c>
      <c r="S64" s="151">
        <v>3.15490288962577E-2</v>
      </c>
      <c r="T64" s="4">
        <v>80</v>
      </c>
      <c r="U64" s="149">
        <v>0</v>
      </c>
      <c r="V64" s="149">
        <v>9.8825000000000003</v>
      </c>
      <c r="W64" s="150">
        <v>1.9475</v>
      </c>
      <c r="X64" s="147">
        <v>1.9475</v>
      </c>
      <c r="Y64" s="147">
        <v>11.83</v>
      </c>
      <c r="Z64" s="148">
        <v>0</v>
      </c>
      <c r="AA64" s="148">
        <v>0.19706551985833543</v>
      </c>
      <c r="AB64" s="151">
        <v>0.19706551985833543</v>
      </c>
    </row>
    <row r="65" spans="2:28">
      <c r="B65" s="4">
        <v>81</v>
      </c>
      <c r="C65" s="147">
        <v>0</v>
      </c>
      <c r="D65" s="147">
        <v>8.73</v>
      </c>
      <c r="E65" s="147">
        <v>3.5070000000000001</v>
      </c>
      <c r="F65" s="147">
        <f t="shared" si="0"/>
        <v>3.5070000000000001</v>
      </c>
      <c r="G65" s="147">
        <v>12.237</v>
      </c>
      <c r="H65" s="148">
        <v>0</v>
      </c>
      <c r="I65" s="148">
        <v>0.40171821305841926</v>
      </c>
      <c r="J65" s="148">
        <v>0.40171821305841926</v>
      </c>
      <c r="K65" s="4">
        <v>81</v>
      </c>
      <c r="L65" s="147">
        <v>0</v>
      </c>
      <c r="M65" s="147">
        <v>10.023</v>
      </c>
      <c r="N65" s="147">
        <v>0.309</v>
      </c>
      <c r="O65" s="147">
        <v>0.309</v>
      </c>
      <c r="P65" s="147">
        <v>10.331999999999999</v>
      </c>
      <c r="Q65" s="148">
        <v>0</v>
      </c>
      <c r="R65" s="148">
        <v>3.0829093085902426E-2</v>
      </c>
      <c r="S65" s="151">
        <v>3.0829093085902426E-2</v>
      </c>
      <c r="T65" s="4">
        <v>81</v>
      </c>
      <c r="U65" s="149">
        <v>0</v>
      </c>
      <c r="V65" s="149">
        <v>9.3765000000000001</v>
      </c>
      <c r="W65" s="150">
        <v>1.9080000000000001</v>
      </c>
      <c r="X65" s="147">
        <v>1.9080000000000001</v>
      </c>
      <c r="Y65" s="147">
        <v>11.2845</v>
      </c>
      <c r="Z65" s="148">
        <v>0</v>
      </c>
      <c r="AA65" s="148">
        <v>0.20348744200927854</v>
      </c>
      <c r="AB65" s="151">
        <v>0.20348744200927854</v>
      </c>
    </row>
    <row r="66" spans="2:28">
      <c r="B66" s="4">
        <v>82</v>
      </c>
      <c r="C66" s="147">
        <v>0</v>
      </c>
      <c r="D66" s="147">
        <v>8.2579999999999991</v>
      </c>
      <c r="E66" s="147">
        <v>3.4260000000000002</v>
      </c>
      <c r="F66" s="147">
        <f t="shared" si="0"/>
        <v>3.4260000000000002</v>
      </c>
      <c r="G66" s="147">
        <v>11.683999999999999</v>
      </c>
      <c r="H66" s="148">
        <v>0</v>
      </c>
      <c r="I66" s="148">
        <v>0.41487042867522411</v>
      </c>
      <c r="J66" s="148">
        <v>0.41487042867522411</v>
      </c>
      <c r="K66" s="4">
        <v>82</v>
      </c>
      <c r="L66" s="147">
        <v>0</v>
      </c>
      <c r="M66" s="147">
        <v>9.4920000000000009</v>
      </c>
      <c r="N66" s="147">
        <v>0.28499999999999998</v>
      </c>
      <c r="O66" s="147">
        <v>0.28499999999999998</v>
      </c>
      <c r="P66" s="147">
        <v>9.777000000000001</v>
      </c>
      <c r="Q66" s="148">
        <v>0</v>
      </c>
      <c r="R66" s="148">
        <v>3.0025284450063205E-2</v>
      </c>
      <c r="S66" s="151">
        <v>3.0025284450063205E-2</v>
      </c>
      <c r="T66" s="4">
        <v>82</v>
      </c>
      <c r="U66" s="149">
        <v>0</v>
      </c>
      <c r="V66" s="149">
        <v>8.875</v>
      </c>
      <c r="W66" s="150">
        <v>1.8555000000000001</v>
      </c>
      <c r="X66" s="147">
        <v>1.8555000000000001</v>
      </c>
      <c r="Y66" s="147">
        <v>10.730499999999999</v>
      </c>
      <c r="Z66" s="148">
        <v>0</v>
      </c>
      <c r="AA66" s="148">
        <v>0.2090704225352113</v>
      </c>
      <c r="AB66" s="151">
        <v>0.2090704225352113</v>
      </c>
    </row>
    <row r="67" spans="2:28">
      <c r="B67" s="4">
        <v>83</v>
      </c>
      <c r="C67" s="147">
        <v>0</v>
      </c>
      <c r="D67" s="147">
        <v>7.7949999999999999</v>
      </c>
      <c r="E67" s="147">
        <v>3.3330000000000002</v>
      </c>
      <c r="F67" s="147">
        <f t="shared" si="0"/>
        <v>3.3330000000000002</v>
      </c>
      <c r="G67" s="147">
        <v>11.128</v>
      </c>
      <c r="H67" s="148">
        <v>0</v>
      </c>
      <c r="I67" s="148">
        <v>0.42758178319435536</v>
      </c>
      <c r="J67" s="148">
        <v>0.42758178319435536</v>
      </c>
      <c r="K67" s="4">
        <v>83</v>
      </c>
      <c r="L67" s="147">
        <v>0</v>
      </c>
      <c r="M67" s="147">
        <v>8.9670000000000005</v>
      </c>
      <c r="N67" s="147">
        <v>0.26100000000000001</v>
      </c>
      <c r="O67" s="147">
        <v>0.26100000000000001</v>
      </c>
      <c r="P67" s="147">
        <v>9.2279999999999998</v>
      </c>
      <c r="Q67" s="148">
        <v>0</v>
      </c>
      <c r="R67" s="148">
        <v>2.9106724657075946E-2</v>
      </c>
      <c r="S67" s="151">
        <v>2.9106724657075946E-2</v>
      </c>
      <c r="T67" s="4">
        <v>83</v>
      </c>
      <c r="U67" s="149">
        <v>0</v>
      </c>
      <c r="V67" s="149">
        <v>8.3810000000000002</v>
      </c>
      <c r="W67" s="150">
        <v>1.7970000000000002</v>
      </c>
      <c r="X67" s="147">
        <v>1.7970000000000002</v>
      </c>
      <c r="Y67" s="147">
        <v>10.178000000000001</v>
      </c>
      <c r="Z67" s="148">
        <v>0</v>
      </c>
      <c r="AA67" s="148">
        <v>0.21441355446844054</v>
      </c>
      <c r="AB67" s="151">
        <v>0.21441355446844054</v>
      </c>
    </row>
    <row r="68" spans="2:28">
      <c r="B68" s="4">
        <v>84</v>
      </c>
      <c r="C68" s="147">
        <v>0</v>
      </c>
      <c r="D68" s="147">
        <v>7.3449999999999998</v>
      </c>
      <c r="E68" s="147">
        <v>3.2280000000000002</v>
      </c>
      <c r="F68" s="147">
        <f t="shared" si="0"/>
        <v>3.2280000000000002</v>
      </c>
      <c r="G68" s="147">
        <v>10.573</v>
      </c>
      <c r="H68" s="148">
        <v>0</v>
      </c>
      <c r="I68" s="148">
        <v>0.43948264125255282</v>
      </c>
      <c r="J68" s="148">
        <v>0.43948264125255282</v>
      </c>
      <c r="K68" s="4">
        <v>84</v>
      </c>
      <c r="L68" s="147">
        <v>0</v>
      </c>
      <c r="M68" s="147">
        <v>8.4499999999999993</v>
      </c>
      <c r="N68" s="147">
        <v>0.23799999999999999</v>
      </c>
      <c r="O68" s="147">
        <v>0.23799999999999999</v>
      </c>
      <c r="P68" s="147">
        <v>8.6879999999999988</v>
      </c>
      <c r="Q68" s="148">
        <v>0</v>
      </c>
      <c r="R68" s="148">
        <v>2.816568047337278E-2</v>
      </c>
      <c r="S68" s="151">
        <v>2.816568047337278E-2</v>
      </c>
      <c r="T68" s="4">
        <v>84</v>
      </c>
      <c r="U68" s="149">
        <v>0</v>
      </c>
      <c r="V68" s="149">
        <v>7.8974999999999991</v>
      </c>
      <c r="W68" s="150">
        <v>1.7330000000000001</v>
      </c>
      <c r="X68" s="147">
        <v>1.7330000000000001</v>
      </c>
      <c r="Y68" s="147">
        <v>9.6304999999999996</v>
      </c>
      <c r="Z68" s="148">
        <v>0</v>
      </c>
      <c r="AA68" s="148">
        <v>0.2194365305476417</v>
      </c>
      <c r="AB68" s="151">
        <v>0.2194365305476417</v>
      </c>
    </row>
    <row r="69" spans="2:28">
      <c r="B69" s="4">
        <v>85</v>
      </c>
      <c r="C69" s="147">
        <v>0</v>
      </c>
      <c r="D69" s="147">
        <v>6.91</v>
      </c>
      <c r="E69" s="147">
        <v>3.1139999999999999</v>
      </c>
      <c r="F69" s="147">
        <f t="shared" ref="F69:F84" si="1">+E69</f>
        <v>3.1139999999999999</v>
      </c>
      <c r="G69" s="147">
        <v>10.024000000000001</v>
      </c>
      <c r="H69" s="148">
        <v>0</v>
      </c>
      <c r="I69" s="148">
        <v>0.45065123010130242</v>
      </c>
      <c r="J69" s="148">
        <v>0.45065123010130242</v>
      </c>
      <c r="K69" s="4">
        <v>85</v>
      </c>
      <c r="L69" s="147">
        <v>0</v>
      </c>
      <c r="M69" s="147">
        <v>7.944</v>
      </c>
      <c r="N69" s="147">
        <v>0.21199999999999999</v>
      </c>
      <c r="O69" s="147">
        <v>0.21199999999999999</v>
      </c>
      <c r="P69" s="147">
        <v>8.1560000000000006</v>
      </c>
      <c r="Q69" s="148">
        <v>0</v>
      </c>
      <c r="R69" s="148">
        <v>2.6686807653575024E-2</v>
      </c>
      <c r="S69" s="151">
        <v>2.6686807653575024E-2</v>
      </c>
      <c r="T69" s="4">
        <v>85</v>
      </c>
      <c r="U69" s="149">
        <v>0</v>
      </c>
      <c r="V69" s="149">
        <v>7.4269999999999996</v>
      </c>
      <c r="W69" s="150">
        <v>1.663</v>
      </c>
      <c r="X69" s="147">
        <v>1.663</v>
      </c>
      <c r="Y69" s="147">
        <v>9.09</v>
      </c>
      <c r="Z69" s="148">
        <v>0</v>
      </c>
      <c r="AA69" s="148">
        <v>0.22391275077420225</v>
      </c>
      <c r="AB69" s="151">
        <v>0.22391275077420225</v>
      </c>
    </row>
    <row r="70" spans="2:28">
      <c r="B70" s="4">
        <v>86</v>
      </c>
      <c r="C70" s="147">
        <v>0</v>
      </c>
      <c r="D70" s="147">
        <v>6.4960000000000004</v>
      </c>
      <c r="E70" s="147">
        <v>2.992</v>
      </c>
      <c r="F70" s="147">
        <f t="shared" si="1"/>
        <v>2.992</v>
      </c>
      <c r="G70" s="147">
        <v>9.4879999999999995</v>
      </c>
      <c r="H70" s="148">
        <v>0</v>
      </c>
      <c r="I70" s="148">
        <v>0.4605911330049261</v>
      </c>
      <c r="J70" s="148">
        <v>0.4605911330049261</v>
      </c>
      <c r="K70" s="4">
        <v>86</v>
      </c>
      <c r="L70" s="147">
        <v>0</v>
      </c>
      <c r="M70" s="147">
        <v>7.452</v>
      </c>
      <c r="N70" s="147">
        <v>0.186</v>
      </c>
      <c r="O70" s="147">
        <v>0.186</v>
      </c>
      <c r="P70" s="147">
        <v>7.6379999999999999</v>
      </c>
      <c r="Q70" s="148">
        <v>0</v>
      </c>
      <c r="R70" s="148">
        <v>2.4959742351046699E-2</v>
      </c>
      <c r="S70" s="151">
        <v>2.4959742351046699E-2</v>
      </c>
      <c r="T70" s="4">
        <v>86</v>
      </c>
      <c r="U70" s="149">
        <v>0</v>
      </c>
      <c r="V70" s="149">
        <v>6.9740000000000002</v>
      </c>
      <c r="W70" s="150">
        <v>1.589</v>
      </c>
      <c r="X70" s="147">
        <v>1.589</v>
      </c>
      <c r="Y70" s="147">
        <v>8.5630000000000006</v>
      </c>
      <c r="Z70" s="148">
        <v>0</v>
      </c>
      <c r="AA70" s="148">
        <v>0.22784628620590763</v>
      </c>
      <c r="AB70" s="151">
        <v>0.22784628620590763</v>
      </c>
    </row>
    <row r="71" spans="2:28">
      <c r="B71" s="4">
        <v>87</v>
      </c>
      <c r="C71" s="147">
        <v>0</v>
      </c>
      <c r="D71" s="147">
        <v>6.1029999999999998</v>
      </c>
      <c r="E71" s="147">
        <v>2.8650000000000002</v>
      </c>
      <c r="F71" s="147">
        <f t="shared" si="1"/>
        <v>2.8650000000000002</v>
      </c>
      <c r="G71" s="147">
        <v>8.968</v>
      </c>
      <c r="H71" s="148">
        <v>0</v>
      </c>
      <c r="I71" s="148">
        <v>0.4694412583975095</v>
      </c>
      <c r="J71" s="148">
        <v>0.4694412583975095</v>
      </c>
      <c r="K71" s="4">
        <v>87</v>
      </c>
      <c r="L71" s="147">
        <v>0</v>
      </c>
      <c r="M71" s="147">
        <v>6.9770000000000003</v>
      </c>
      <c r="N71" s="147">
        <v>0.16200000000000001</v>
      </c>
      <c r="O71" s="147">
        <v>0.16200000000000001</v>
      </c>
      <c r="P71" s="147">
        <v>7.1390000000000002</v>
      </c>
      <c r="Q71" s="148">
        <v>0</v>
      </c>
      <c r="R71" s="148">
        <v>2.3219148631216855E-2</v>
      </c>
      <c r="S71" s="151">
        <v>2.3219148631216855E-2</v>
      </c>
      <c r="T71" s="4">
        <v>87</v>
      </c>
      <c r="U71" s="149">
        <v>0</v>
      </c>
      <c r="V71" s="149">
        <v>6.54</v>
      </c>
      <c r="W71" s="150">
        <v>1.5135000000000001</v>
      </c>
      <c r="X71" s="147">
        <v>1.5135000000000001</v>
      </c>
      <c r="Y71" s="147">
        <v>8.0534999999999997</v>
      </c>
      <c r="Z71" s="148">
        <v>0</v>
      </c>
      <c r="AA71" s="148">
        <v>0.23142201834862386</v>
      </c>
      <c r="AB71" s="151">
        <v>0.23142201834862386</v>
      </c>
    </row>
    <row r="72" spans="2:28">
      <c r="B72" s="4">
        <v>88</v>
      </c>
      <c r="C72" s="147">
        <v>0</v>
      </c>
      <c r="D72" s="147">
        <v>5.7359999999999998</v>
      </c>
      <c r="E72" s="147">
        <v>2.7050000000000001</v>
      </c>
      <c r="F72" s="147">
        <f t="shared" si="1"/>
        <v>2.7050000000000001</v>
      </c>
      <c r="G72" s="147">
        <v>8.4409999999999989</v>
      </c>
      <c r="H72" s="148">
        <v>0</v>
      </c>
      <c r="I72" s="148">
        <v>0.47158298465829851</v>
      </c>
      <c r="J72" s="148">
        <v>0.47158298465829851</v>
      </c>
      <c r="K72" s="4">
        <v>88</v>
      </c>
      <c r="L72" s="147">
        <v>0</v>
      </c>
      <c r="M72" s="147">
        <v>6.5209999999999999</v>
      </c>
      <c r="N72" s="147">
        <v>0.14000000000000001</v>
      </c>
      <c r="O72" s="147">
        <v>0.14000000000000001</v>
      </c>
      <c r="P72" s="147">
        <v>6.6609999999999996</v>
      </c>
      <c r="Q72" s="148">
        <v>0</v>
      </c>
      <c r="R72" s="148">
        <v>2.1469099831314217E-2</v>
      </c>
      <c r="S72" s="151">
        <v>2.1469099831314217E-2</v>
      </c>
      <c r="T72" s="4">
        <v>88</v>
      </c>
      <c r="U72" s="149">
        <v>0</v>
      </c>
      <c r="V72" s="149">
        <v>6.1284999999999998</v>
      </c>
      <c r="W72" s="150">
        <v>1.4225000000000001</v>
      </c>
      <c r="X72" s="147">
        <v>1.4225000000000001</v>
      </c>
      <c r="Y72" s="147">
        <v>7.5510000000000002</v>
      </c>
      <c r="Z72" s="148">
        <v>0</v>
      </c>
      <c r="AA72" s="148">
        <v>0.23211226238068045</v>
      </c>
      <c r="AB72" s="151">
        <v>0.23211226238068045</v>
      </c>
    </row>
    <row r="73" spans="2:28">
      <c r="B73" s="4">
        <v>89</v>
      </c>
      <c r="C73" s="147">
        <v>0</v>
      </c>
      <c r="D73" s="147">
        <v>5.3959999999999999</v>
      </c>
      <c r="E73" s="147">
        <v>2.5379999999999998</v>
      </c>
      <c r="F73" s="147">
        <f t="shared" si="1"/>
        <v>2.5379999999999998</v>
      </c>
      <c r="G73" s="147">
        <v>7.9339999999999993</v>
      </c>
      <c r="H73" s="148">
        <v>0</v>
      </c>
      <c r="I73" s="148">
        <v>0.47034840622683466</v>
      </c>
      <c r="J73" s="148">
        <v>0.47034840622683466</v>
      </c>
      <c r="K73" s="4">
        <v>89</v>
      </c>
      <c r="L73" s="147">
        <v>0</v>
      </c>
      <c r="M73" s="147">
        <v>6.093</v>
      </c>
      <c r="N73" s="147">
        <v>0.11700000000000001</v>
      </c>
      <c r="O73" s="147">
        <v>0.11700000000000001</v>
      </c>
      <c r="P73" s="147">
        <v>6.21</v>
      </c>
      <c r="Q73" s="148">
        <v>0</v>
      </c>
      <c r="R73" s="148">
        <v>1.9202363367799114E-2</v>
      </c>
      <c r="S73" s="151">
        <v>1.9202363367799114E-2</v>
      </c>
      <c r="T73" s="4">
        <v>89</v>
      </c>
      <c r="U73" s="149">
        <v>0</v>
      </c>
      <c r="V73" s="149">
        <v>5.7445000000000004</v>
      </c>
      <c r="W73" s="150">
        <v>1.3274999999999999</v>
      </c>
      <c r="X73" s="147">
        <v>1.3274999999999999</v>
      </c>
      <c r="Y73" s="147">
        <v>7.0720000000000001</v>
      </c>
      <c r="Z73" s="148">
        <v>0</v>
      </c>
      <c r="AA73" s="148">
        <v>0.23109060840804244</v>
      </c>
      <c r="AB73" s="151">
        <v>0.23109060840804244</v>
      </c>
    </row>
    <row r="74" spans="2:28">
      <c r="B74" s="4">
        <v>90</v>
      </c>
      <c r="C74" s="147">
        <v>0</v>
      </c>
      <c r="D74" s="147">
        <v>5.085</v>
      </c>
      <c r="E74" s="147">
        <v>2.3759999999999999</v>
      </c>
      <c r="F74" s="147">
        <f t="shared" si="1"/>
        <v>2.3759999999999999</v>
      </c>
      <c r="G74" s="147">
        <v>7.4610000000000003</v>
      </c>
      <c r="H74" s="148">
        <v>0</v>
      </c>
      <c r="I74" s="148">
        <v>0.46725663716814159</v>
      </c>
      <c r="J74" s="148">
        <v>0.46725663716814159</v>
      </c>
      <c r="K74" s="4">
        <v>90</v>
      </c>
      <c r="L74" s="147">
        <v>0</v>
      </c>
      <c r="M74" s="147">
        <v>5.694</v>
      </c>
      <c r="N74" s="147">
        <v>9.7000000000000003E-2</v>
      </c>
      <c r="O74" s="147">
        <v>9.7000000000000003E-2</v>
      </c>
      <c r="P74" s="147">
        <v>5.7910000000000004</v>
      </c>
      <c r="Q74" s="148">
        <v>0</v>
      </c>
      <c r="R74" s="148">
        <v>1.7035475939585529E-2</v>
      </c>
      <c r="S74" s="151">
        <v>1.7035475939585529E-2</v>
      </c>
      <c r="T74" s="4">
        <v>90</v>
      </c>
      <c r="U74" s="149">
        <v>0</v>
      </c>
      <c r="V74" s="149">
        <v>5.3895</v>
      </c>
      <c r="W74" s="150">
        <v>1.2364999999999999</v>
      </c>
      <c r="X74" s="147">
        <v>1.2364999999999999</v>
      </c>
      <c r="Y74" s="147">
        <v>6.6259999999999994</v>
      </c>
      <c r="Z74" s="148">
        <v>0</v>
      </c>
      <c r="AA74" s="148">
        <v>0.22942759068559235</v>
      </c>
      <c r="AB74" s="151">
        <v>0.22942759068559235</v>
      </c>
    </row>
    <row r="75" spans="2:28">
      <c r="B75" s="4">
        <v>91</v>
      </c>
      <c r="C75" s="147">
        <v>0</v>
      </c>
      <c r="D75" s="147">
        <v>4.8010000000000002</v>
      </c>
      <c r="E75" s="147">
        <v>2.1920000000000002</v>
      </c>
      <c r="F75" s="147">
        <f t="shared" si="1"/>
        <v>2.1920000000000002</v>
      </c>
      <c r="G75" s="147">
        <v>6.9930000000000003</v>
      </c>
      <c r="H75" s="148">
        <v>0</v>
      </c>
      <c r="I75" s="148">
        <v>0.45657154759425123</v>
      </c>
      <c r="J75" s="148">
        <v>0.45657154759425123</v>
      </c>
      <c r="K75" s="4">
        <v>91</v>
      </c>
      <c r="L75" s="147">
        <v>0</v>
      </c>
      <c r="M75" s="147">
        <v>5.3259999999999996</v>
      </c>
      <c r="N75" s="147">
        <v>0.08</v>
      </c>
      <c r="O75" s="147">
        <v>0.08</v>
      </c>
      <c r="P75" s="147">
        <v>5.4059999999999997</v>
      </c>
      <c r="Q75" s="148">
        <v>0</v>
      </c>
      <c r="R75" s="148">
        <v>1.5020653398422833E-2</v>
      </c>
      <c r="S75" s="151">
        <v>1.5020653398422833E-2</v>
      </c>
      <c r="T75" s="4">
        <v>91</v>
      </c>
      <c r="U75" s="149">
        <v>0</v>
      </c>
      <c r="V75" s="149">
        <v>5.0634999999999994</v>
      </c>
      <c r="W75" s="150">
        <v>1.1360000000000001</v>
      </c>
      <c r="X75" s="147">
        <v>1.1360000000000001</v>
      </c>
      <c r="Y75" s="147">
        <v>6.1994999999999996</v>
      </c>
      <c r="Z75" s="148">
        <v>0</v>
      </c>
      <c r="AA75" s="148">
        <v>0.22435074553174686</v>
      </c>
      <c r="AB75" s="151">
        <v>0.22435074553174686</v>
      </c>
    </row>
    <row r="76" spans="2:28">
      <c r="B76" s="4">
        <v>92</v>
      </c>
      <c r="C76" s="147">
        <v>0</v>
      </c>
      <c r="D76" s="147">
        <v>4.5410000000000004</v>
      </c>
      <c r="E76" s="147">
        <v>2.024</v>
      </c>
      <c r="F76" s="147">
        <f t="shared" si="1"/>
        <v>2.024</v>
      </c>
      <c r="G76" s="147">
        <v>6.5650000000000004</v>
      </c>
      <c r="H76" s="148">
        <v>0</v>
      </c>
      <c r="I76" s="148">
        <v>0.44571680246641704</v>
      </c>
      <c r="J76" s="148">
        <v>0.44571680246641704</v>
      </c>
      <c r="K76" s="4">
        <v>92</v>
      </c>
      <c r="L76" s="147">
        <v>0</v>
      </c>
      <c r="M76" s="147">
        <v>4.99</v>
      </c>
      <c r="N76" s="147">
        <v>6.4000000000000001E-2</v>
      </c>
      <c r="O76" s="147">
        <v>6.4000000000000001E-2</v>
      </c>
      <c r="P76" s="147">
        <v>5.0540000000000003</v>
      </c>
      <c r="Q76" s="148">
        <v>0</v>
      </c>
      <c r="R76" s="148">
        <v>1.282565130260521E-2</v>
      </c>
      <c r="S76" s="151">
        <v>1.282565130260521E-2</v>
      </c>
      <c r="T76" s="4">
        <v>92</v>
      </c>
      <c r="U76" s="149">
        <v>0</v>
      </c>
      <c r="V76" s="149">
        <v>4.7655000000000003</v>
      </c>
      <c r="W76" s="150">
        <v>1.044</v>
      </c>
      <c r="X76" s="147">
        <v>1.044</v>
      </c>
      <c r="Y76" s="147">
        <v>5.8094999999999999</v>
      </c>
      <c r="Z76" s="148">
        <v>0</v>
      </c>
      <c r="AA76" s="148">
        <v>0.21907459867799811</v>
      </c>
      <c r="AB76" s="151">
        <v>0.21907459867799811</v>
      </c>
    </row>
    <row r="77" spans="2:28">
      <c r="B77" s="4">
        <v>93</v>
      </c>
      <c r="C77" s="147">
        <v>0</v>
      </c>
      <c r="D77" s="147">
        <v>4.3040000000000003</v>
      </c>
      <c r="E77" s="147">
        <v>1.839</v>
      </c>
      <c r="F77" s="147">
        <f t="shared" si="1"/>
        <v>1.839</v>
      </c>
      <c r="G77" s="147">
        <v>6.1430000000000007</v>
      </c>
      <c r="H77" s="148">
        <v>0</v>
      </c>
      <c r="I77" s="148">
        <v>0.42727695167286239</v>
      </c>
      <c r="J77" s="148">
        <v>0.42727695167286239</v>
      </c>
      <c r="K77" s="4">
        <v>93</v>
      </c>
      <c r="L77" s="147">
        <v>0</v>
      </c>
      <c r="M77" s="147">
        <v>4.6840000000000002</v>
      </c>
      <c r="N77" s="147">
        <v>5.1999999999999998E-2</v>
      </c>
      <c r="O77" s="147">
        <v>5.1999999999999998E-2</v>
      </c>
      <c r="P77" s="147">
        <v>4.7359999999999998</v>
      </c>
      <c r="Q77" s="148">
        <v>0</v>
      </c>
      <c r="R77" s="148">
        <v>1.1101622544833475E-2</v>
      </c>
      <c r="S77" s="151">
        <v>1.1101622544833475E-2</v>
      </c>
      <c r="T77" s="4">
        <v>93</v>
      </c>
      <c r="U77" s="149">
        <v>0</v>
      </c>
      <c r="V77" s="149">
        <v>4.4939999999999998</v>
      </c>
      <c r="W77" s="150">
        <v>0.94550000000000001</v>
      </c>
      <c r="X77" s="147">
        <v>0.94550000000000001</v>
      </c>
      <c r="Y77" s="147">
        <v>5.4394999999999998</v>
      </c>
      <c r="Z77" s="148">
        <v>0</v>
      </c>
      <c r="AA77" s="148">
        <v>0.21039163328882957</v>
      </c>
      <c r="AB77" s="151">
        <v>0.21039163328882957</v>
      </c>
    </row>
    <row r="78" spans="2:28">
      <c r="B78" s="4">
        <v>94</v>
      </c>
      <c r="C78" s="147">
        <v>0</v>
      </c>
      <c r="D78" s="147">
        <v>4.0890000000000004</v>
      </c>
      <c r="E78" s="147">
        <v>1.6739999999999999</v>
      </c>
      <c r="F78" s="147">
        <f t="shared" si="1"/>
        <v>1.6739999999999999</v>
      </c>
      <c r="G78" s="147">
        <v>5.7629999999999999</v>
      </c>
      <c r="H78" s="148">
        <v>0</v>
      </c>
      <c r="I78" s="148">
        <v>0.40939104915627289</v>
      </c>
      <c r="J78" s="148">
        <v>0.40939104915627289</v>
      </c>
      <c r="K78" s="4">
        <v>94</v>
      </c>
      <c r="L78" s="147">
        <v>0</v>
      </c>
      <c r="M78" s="147">
        <v>4.4039999999999999</v>
      </c>
      <c r="N78" s="147">
        <v>4.2000000000000003E-2</v>
      </c>
      <c r="O78" s="147">
        <v>4.2000000000000003E-2</v>
      </c>
      <c r="P78" s="147">
        <v>4.4459999999999997</v>
      </c>
      <c r="Q78" s="148">
        <v>0</v>
      </c>
      <c r="R78" s="148">
        <v>9.5367847411444145E-3</v>
      </c>
      <c r="S78" s="151">
        <v>9.5367847411444145E-3</v>
      </c>
      <c r="T78" s="4">
        <v>94</v>
      </c>
      <c r="U78" s="149">
        <v>0</v>
      </c>
      <c r="V78" s="149">
        <v>4.2465000000000002</v>
      </c>
      <c r="W78" s="150">
        <v>0.85799999999999998</v>
      </c>
      <c r="X78" s="147">
        <v>0.85799999999999998</v>
      </c>
      <c r="Y78" s="147">
        <v>5.1044999999999998</v>
      </c>
      <c r="Z78" s="148">
        <v>0</v>
      </c>
      <c r="AA78" s="148">
        <v>0.20204874602613918</v>
      </c>
      <c r="AB78" s="151">
        <v>0.20204874602613918</v>
      </c>
    </row>
    <row r="79" spans="2:28">
      <c r="B79" s="4">
        <v>95</v>
      </c>
      <c r="C79" s="147">
        <v>0</v>
      </c>
      <c r="D79" s="147">
        <v>3.8940000000000001</v>
      </c>
      <c r="E79" s="147">
        <v>1.528</v>
      </c>
      <c r="F79" s="147">
        <f t="shared" si="1"/>
        <v>1.528</v>
      </c>
      <c r="G79" s="147">
        <v>5.4220000000000006</v>
      </c>
      <c r="H79" s="148">
        <v>0</v>
      </c>
      <c r="I79" s="148">
        <v>0.39239856189008732</v>
      </c>
      <c r="J79" s="148">
        <v>0.39239856189008732</v>
      </c>
      <c r="K79" s="4">
        <v>95</v>
      </c>
      <c r="L79" s="147">
        <v>0</v>
      </c>
      <c r="M79" s="147">
        <v>4.149</v>
      </c>
      <c r="N79" s="147">
        <v>3.4000000000000002E-2</v>
      </c>
      <c r="O79" s="147">
        <v>3.4000000000000002E-2</v>
      </c>
      <c r="P79" s="147">
        <v>4.1829999999999998</v>
      </c>
      <c r="Q79" s="148">
        <v>0</v>
      </c>
      <c r="R79" s="148">
        <v>8.1947457218606891E-3</v>
      </c>
      <c r="S79" s="151">
        <v>8.1947457218606891E-3</v>
      </c>
      <c r="T79" s="4">
        <v>95</v>
      </c>
      <c r="U79" s="149">
        <v>0</v>
      </c>
      <c r="V79" s="149">
        <v>4.0214999999999996</v>
      </c>
      <c r="W79" s="150">
        <v>0.78100000000000003</v>
      </c>
      <c r="X79" s="147">
        <v>0.78100000000000003</v>
      </c>
      <c r="Y79" s="147">
        <v>4.8024999999999993</v>
      </c>
      <c r="Z79" s="148">
        <v>0</v>
      </c>
      <c r="AA79" s="148">
        <v>0.19420614198682087</v>
      </c>
      <c r="AB79" s="151">
        <v>0.19420614198682087</v>
      </c>
    </row>
    <row r="80" spans="2:28">
      <c r="B80" s="4">
        <v>96</v>
      </c>
      <c r="C80" s="147">
        <v>0</v>
      </c>
      <c r="D80" s="147">
        <v>3.7189999999999999</v>
      </c>
      <c r="E80" s="147">
        <v>1.3640000000000001</v>
      </c>
      <c r="F80" s="147">
        <f t="shared" si="1"/>
        <v>1.3640000000000001</v>
      </c>
      <c r="G80" s="147">
        <v>5.0830000000000002</v>
      </c>
      <c r="H80" s="148">
        <v>0</v>
      </c>
      <c r="I80" s="148">
        <v>0.36676525947835442</v>
      </c>
      <c r="J80" s="148">
        <v>0.36676525947835442</v>
      </c>
      <c r="K80" s="4">
        <v>96</v>
      </c>
      <c r="L80" s="147">
        <v>0</v>
      </c>
      <c r="M80" s="147">
        <v>3.919</v>
      </c>
      <c r="N80" s="147">
        <v>2.7E-2</v>
      </c>
      <c r="O80" s="147">
        <v>2.7E-2</v>
      </c>
      <c r="P80" s="147">
        <v>3.9460000000000002</v>
      </c>
      <c r="Q80" s="148">
        <v>0</v>
      </c>
      <c r="R80" s="148">
        <v>6.8895126307731563E-3</v>
      </c>
      <c r="S80" s="151">
        <v>6.8895126307731563E-3</v>
      </c>
      <c r="T80" s="4">
        <v>96</v>
      </c>
      <c r="U80" s="149">
        <v>0</v>
      </c>
      <c r="V80" s="149">
        <v>3.819</v>
      </c>
      <c r="W80" s="150">
        <v>0.69550000000000001</v>
      </c>
      <c r="X80" s="147">
        <v>0.69550000000000001</v>
      </c>
      <c r="Y80" s="147">
        <v>4.5145</v>
      </c>
      <c r="Z80" s="148">
        <v>0</v>
      </c>
      <c r="AA80" s="148">
        <v>0.18211573710395393</v>
      </c>
      <c r="AB80" s="151">
        <v>0.18211573710395393</v>
      </c>
    </row>
    <row r="81" spans="2:28">
      <c r="B81" s="4">
        <v>97</v>
      </c>
      <c r="C81" s="147">
        <v>0</v>
      </c>
      <c r="D81" s="147">
        <v>3.5619999999999998</v>
      </c>
      <c r="E81" s="147">
        <v>1.2110000000000001</v>
      </c>
      <c r="F81" s="147">
        <f t="shared" si="1"/>
        <v>1.2110000000000001</v>
      </c>
      <c r="G81" s="147">
        <v>4.7729999999999997</v>
      </c>
      <c r="H81" s="148">
        <v>0</v>
      </c>
      <c r="I81" s="148">
        <v>0.33997754070746777</v>
      </c>
      <c r="J81" s="148">
        <v>0.33997754070746777</v>
      </c>
      <c r="K81" s="4">
        <v>97</v>
      </c>
      <c r="L81" s="147">
        <v>0</v>
      </c>
      <c r="M81" s="147">
        <v>3.7130000000000001</v>
      </c>
      <c r="N81" s="147">
        <v>2.1000000000000001E-2</v>
      </c>
      <c r="O81" s="147">
        <v>2.1000000000000001E-2</v>
      </c>
      <c r="P81" s="147">
        <v>3.734</v>
      </c>
      <c r="Q81" s="148">
        <v>0</v>
      </c>
      <c r="R81" s="148">
        <v>5.655803932130353E-3</v>
      </c>
      <c r="S81" s="151">
        <v>5.655803932130353E-3</v>
      </c>
      <c r="T81" s="4">
        <v>97</v>
      </c>
      <c r="U81" s="149">
        <v>0</v>
      </c>
      <c r="V81" s="149">
        <v>3.6375000000000002</v>
      </c>
      <c r="W81" s="150">
        <v>0.61599999999999999</v>
      </c>
      <c r="X81" s="147">
        <v>0.61599999999999999</v>
      </c>
      <c r="Y81" s="147">
        <v>4.2534999999999998</v>
      </c>
      <c r="Z81" s="148">
        <v>0</v>
      </c>
      <c r="AA81" s="148">
        <v>0.16934707903780066</v>
      </c>
      <c r="AB81" s="151">
        <v>0.16934707903780066</v>
      </c>
    </row>
    <row r="82" spans="2:28">
      <c r="B82" s="4">
        <v>98</v>
      </c>
      <c r="C82" s="147">
        <v>0</v>
      </c>
      <c r="D82" s="147">
        <v>3.419</v>
      </c>
      <c r="E82" s="147">
        <v>1.038</v>
      </c>
      <c r="F82" s="147">
        <f t="shared" si="1"/>
        <v>1.038</v>
      </c>
      <c r="G82" s="147">
        <v>4.4569999999999999</v>
      </c>
      <c r="H82" s="148">
        <v>0</v>
      </c>
      <c r="I82" s="148">
        <v>0.30359754314126941</v>
      </c>
      <c r="J82" s="148">
        <v>0.30359754314126941</v>
      </c>
      <c r="K82" s="4">
        <v>98</v>
      </c>
      <c r="L82" s="147">
        <v>0</v>
      </c>
      <c r="M82" s="147">
        <v>3.53</v>
      </c>
      <c r="N82" s="147">
        <v>1.6E-2</v>
      </c>
      <c r="O82" s="147">
        <v>1.6E-2</v>
      </c>
      <c r="P82" s="147">
        <v>3.5459999999999998</v>
      </c>
      <c r="Q82" s="148">
        <v>0</v>
      </c>
      <c r="R82" s="148">
        <v>4.5325779036827201E-3</v>
      </c>
      <c r="S82" s="151">
        <v>4.5325779036827201E-3</v>
      </c>
      <c r="T82" s="4">
        <v>98</v>
      </c>
      <c r="U82" s="149">
        <v>0</v>
      </c>
      <c r="V82" s="149">
        <v>3.4744999999999999</v>
      </c>
      <c r="W82" s="150">
        <v>0.52700000000000002</v>
      </c>
      <c r="X82" s="147">
        <v>0.52700000000000002</v>
      </c>
      <c r="Y82" s="147">
        <v>4.0015000000000001</v>
      </c>
      <c r="Z82" s="148">
        <v>0</v>
      </c>
      <c r="AA82" s="148">
        <v>0.15167650021585841</v>
      </c>
      <c r="AB82" s="151">
        <v>0.15167650021585841</v>
      </c>
    </row>
    <row r="83" spans="2:28">
      <c r="B83" s="4">
        <v>99</v>
      </c>
      <c r="C83" s="147">
        <v>0</v>
      </c>
      <c r="D83" s="147">
        <v>3.2909999999999999</v>
      </c>
      <c r="E83" s="147">
        <v>0.84499999999999997</v>
      </c>
      <c r="F83" s="147">
        <f t="shared" si="1"/>
        <v>0.84499999999999997</v>
      </c>
      <c r="G83" s="147">
        <v>4.1360000000000001</v>
      </c>
      <c r="H83" s="148">
        <v>0</v>
      </c>
      <c r="I83" s="148">
        <v>0.25676086295958672</v>
      </c>
      <c r="J83" s="148">
        <v>0.25676086295958672</v>
      </c>
      <c r="K83" s="4">
        <v>99</v>
      </c>
      <c r="L83" s="147">
        <v>0</v>
      </c>
      <c r="M83" s="147">
        <v>3.3690000000000002</v>
      </c>
      <c r="N83" s="147">
        <v>1.2999999999999999E-2</v>
      </c>
      <c r="O83" s="147">
        <v>1.2999999999999999E-2</v>
      </c>
      <c r="P83" s="147">
        <v>3.3820000000000001</v>
      </c>
      <c r="Q83" s="148">
        <v>0</v>
      </c>
      <c r="R83" s="148">
        <v>3.8587117839121395E-3</v>
      </c>
      <c r="S83" s="151">
        <v>3.8587117839121395E-3</v>
      </c>
      <c r="T83" s="4">
        <v>99</v>
      </c>
      <c r="U83" s="149">
        <v>0</v>
      </c>
      <c r="V83" s="149">
        <v>3.33</v>
      </c>
      <c r="W83" s="150">
        <v>0.42899999999999999</v>
      </c>
      <c r="X83" s="147">
        <v>0.42899999999999999</v>
      </c>
      <c r="Y83" s="147">
        <v>3.7589999999999999</v>
      </c>
      <c r="Z83" s="148">
        <v>0</v>
      </c>
      <c r="AA83" s="148">
        <v>0.12882882882882882</v>
      </c>
      <c r="AB83" s="151">
        <v>0.12882882882882882</v>
      </c>
    </row>
    <row r="84" spans="2:28">
      <c r="B84" s="4">
        <v>100</v>
      </c>
      <c r="C84" s="147">
        <v>0</v>
      </c>
      <c r="D84" s="147">
        <v>3.1749999999999998</v>
      </c>
      <c r="E84" s="147">
        <v>0.67</v>
      </c>
      <c r="F84" s="147">
        <f t="shared" si="1"/>
        <v>0.67</v>
      </c>
      <c r="G84" s="147">
        <v>3.8449999999999998</v>
      </c>
      <c r="H84" s="148">
        <v>0</v>
      </c>
      <c r="I84" s="148">
        <v>0.21102362204724412</v>
      </c>
      <c r="J84" s="148">
        <v>0.21102362204724412</v>
      </c>
      <c r="K84" s="4">
        <v>100</v>
      </c>
      <c r="L84" s="147">
        <v>0</v>
      </c>
      <c r="M84" s="147">
        <v>3.2309999999999999</v>
      </c>
      <c r="N84" s="147">
        <v>0.01</v>
      </c>
      <c r="O84" s="147">
        <v>0.01</v>
      </c>
      <c r="P84" s="147">
        <v>3.2409999999999997</v>
      </c>
      <c r="Q84" s="148">
        <v>0</v>
      </c>
      <c r="R84" s="148">
        <v>3.0950170225936243E-3</v>
      </c>
      <c r="S84" s="151">
        <v>3.0950170225936243E-3</v>
      </c>
      <c r="T84" s="4">
        <v>100</v>
      </c>
      <c r="U84" s="149">
        <v>0</v>
      </c>
      <c r="V84" s="149">
        <v>3.2029999999999998</v>
      </c>
      <c r="W84" s="150">
        <v>0.34</v>
      </c>
      <c r="X84" s="147">
        <v>0.34</v>
      </c>
      <c r="Y84" s="147">
        <v>3.5429999999999997</v>
      </c>
      <c r="Z84" s="148">
        <v>0</v>
      </c>
      <c r="AA84" s="148">
        <v>0.10615048392132377</v>
      </c>
      <c r="AB84" s="151">
        <v>0.10615048392132377</v>
      </c>
    </row>
  </sheetData>
  <mergeCells count="4">
    <mergeCell ref="H2:J2"/>
    <mergeCell ref="Q2:S2"/>
    <mergeCell ref="Z2:AB2"/>
    <mergeCell ref="B2:B3"/>
  </mergeCells>
  <phoneticPr fontId="47" type="noConversion"/>
  <pageMargins left="0.7" right="0.7" top="0.78740157499999996" bottom="0.78740157499999996"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8"/>
  <dimension ref="A1:AB84"/>
  <sheetViews>
    <sheetView topLeftCell="H7" zoomScaleNormal="100" workbookViewId="0">
      <selection activeCell="Z24" sqref="Z24"/>
    </sheetView>
  </sheetViews>
  <sheetFormatPr baseColWidth="10" defaultColWidth="11.125" defaultRowHeight="14.25"/>
  <cols>
    <col min="1" max="1" width="21" hidden="1" customWidth="1"/>
    <col min="2" max="2" width="6.125" customWidth="1"/>
    <col min="3" max="9" width="11" customWidth="1"/>
    <col min="10" max="10" width="11" style="132" customWidth="1"/>
    <col min="11" max="11" width="6.125" customWidth="1"/>
    <col min="12" max="18" width="11" customWidth="1"/>
    <col min="19" max="19" width="11" style="132" customWidth="1"/>
    <col min="20" max="21" width="11" customWidth="1"/>
    <col min="22" max="23" width="11.125" customWidth="1"/>
    <col min="24" max="24" width="11.625" customWidth="1"/>
    <col min="25" max="25" width="11.125" customWidth="1"/>
    <col min="26" max="26" width="11.125" bestFit="1" customWidth="1"/>
    <col min="27" max="27" width="11" customWidth="1"/>
    <col min="28" max="28" width="11" style="132" customWidth="1"/>
    <col min="29" max="29" width="11.75" bestFit="1" customWidth="1"/>
  </cols>
  <sheetData>
    <row r="1" spans="1:28">
      <c r="B1" s="4">
        <v>1</v>
      </c>
      <c r="C1" s="4">
        <v>2</v>
      </c>
      <c r="D1" s="4">
        <v>3</v>
      </c>
      <c r="E1" s="4">
        <v>4</v>
      </c>
      <c r="F1" s="4">
        <v>5</v>
      </c>
      <c r="G1" s="4">
        <v>6</v>
      </c>
      <c r="H1" s="4">
        <v>7</v>
      </c>
      <c r="I1" s="4">
        <v>8</v>
      </c>
      <c r="J1" s="4">
        <v>9</v>
      </c>
      <c r="K1" s="4">
        <v>10</v>
      </c>
      <c r="L1" s="4">
        <v>11</v>
      </c>
      <c r="M1" s="4">
        <v>12</v>
      </c>
      <c r="N1" s="4">
        <v>13</v>
      </c>
      <c r="O1" s="4">
        <v>14</v>
      </c>
      <c r="P1" s="4">
        <v>15</v>
      </c>
      <c r="Q1" s="4">
        <v>16</v>
      </c>
      <c r="R1" s="4">
        <v>17</v>
      </c>
      <c r="S1" s="4">
        <v>18</v>
      </c>
      <c r="T1" s="4">
        <v>19</v>
      </c>
      <c r="U1" s="4">
        <v>20</v>
      </c>
      <c r="V1" s="4">
        <v>21</v>
      </c>
      <c r="W1" s="4">
        <v>22</v>
      </c>
      <c r="X1" s="4">
        <v>23</v>
      </c>
      <c r="Y1" s="4">
        <v>24</v>
      </c>
      <c r="Z1" s="4">
        <v>25</v>
      </c>
      <c r="AA1" s="4">
        <v>26</v>
      </c>
      <c r="AB1" s="4">
        <v>27</v>
      </c>
    </row>
    <row r="2" spans="1:28" s="131" customFormat="1" ht="72" customHeight="1">
      <c r="A2" s="131" t="s">
        <v>165</v>
      </c>
      <c r="B2" s="3758" t="s">
        <v>7</v>
      </c>
      <c r="C2" s="70" t="s">
        <v>0</v>
      </c>
      <c r="D2" s="70" t="s">
        <v>1</v>
      </c>
      <c r="E2" s="70" t="s">
        <v>2</v>
      </c>
      <c r="F2" s="70" t="s">
        <v>1751</v>
      </c>
      <c r="G2" s="70" t="s">
        <v>4</v>
      </c>
      <c r="H2" s="3756" t="s">
        <v>163</v>
      </c>
      <c r="I2" s="3756"/>
      <c r="J2" s="3756"/>
      <c r="K2" s="69"/>
      <c r="L2" s="70" t="s">
        <v>0</v>
      </c>
      <c r="M2" s="70" t="s">
        <v>1</v>
      </c>
      <c r="N2" s="70" t="s">
        <v>2</v>
      </c>
      <c r="O2" s="70" t="s">
        <v>1751</v>
      </c>
      <c r="P2" s="70" t="s">
        <v>4</v>
      </c>
      <c r="Q2" s="3757" t="s">
        <v>164</v>
      </c>
      <c r="R2" s="3757"/>
      <c r="S2" s="3757"/>
      <c r="T2" s="69"/>
      <c r="U2" s="1176" t="s">
        <v>0</v>
      </c>
      <c r="V2" s="1176" t="s">
        <v>1</v>
      </c>
      <c r="W2" s="1176" t="s">
        <v>2</v>
      </c>
      <c r="X2" s="1176" t="s">
        <v>1751</v>
      </c>
      <c r="Y2" s="1176" t="s">
        <v>4</v>
      </c>
      <c r="Z2" s="3759" t="s">
        <v>168</v>
      </c>
      <c r="AA2" s="3759"/>
      <c r="AB2" s="3759"/>
    </row>
    <row r="3" spans="1:28" s="2" customFormat="1" ht="13.5">
      <c r="A3" s="61">
        <v>43463</v>
      </c>
      <c r="B3" s="3758"/>
      <c r="C3" s="71" t="s">
        <v>166</v>
      </c>
      <c r="D3" s="71" t="s">
        <v>18</v>
      </c>
      <c r="E3" s="71" t="s">
        <v>24</v>
      </c>
      <c r="F3" s="71"/>
      <c r="G3" s="71"/>
      <c r="H3" s="1184" t="s">
        <v>8</v>
      </c>
      <c r="I3" s="1184" t="s">
        <v>9</v>
      </c>
      <c r="J3" s="1184" t="s">
        <v>10</v>
      </c>
      <c r="K3" s="1185" t="s">
        <v>7</v>
      </c>
      <c r="L3" s="1185" t="s">
        <v>167</v>
      </c>
      <c r="M3" s="1185" t="s">
        <v>20</v>
      </c>
      <c r="N3" s="1185" t="s">
        <v>26</v>
      </c>
      <c r="O3" s="1185" t="s">
        <v>27</v>
      </c>
      <c r="P3" s="1185"/>
      <c r="Q3" s="1186" t="s">
        <v>8</v>
      </c>
      <c r="R3" s="1186" t="s">
        <v>9</v>
      </c>
      <c r="S3" s="1186" t="s">
        <v>10</v>
      </c>
      <c r="T3" s="1187" t="s">
        <v>7</v>
      </c>
      <c r="U3" s="1187" t="s">
        <v>147</v>
      </c>
      <c r="V3" s="1187" t="s">
        <v>148</v>
      </c>
      <c r="W3" s="1187" t="s">
        <v>149</v>
      </c>
      <c r="X3" s="1187" t="s">
        <v>150</v>
      </c>
      <c r="Y3" s="1187"/>
      <c r="Z3" s="1188" t="s">
        <v>8</v>
      </c>
      <c r="AA3" s="1188" t="s">
        <v>9</v>
      </c>
      <c r="AB3" s="1188" t="s">
        <v>10</v>
      </c>
    </row>
    <row r="4" spans="1:28">
      <c r="B4" s="30">
        <v>20</v>
      </c>
      <c r="C4" s="1">
        <v>0.28899999999999998</v>
      </c>
      <c r="D4" s="1">
        <v>4.3630000000000004</v>
      </c>
      <c r="E4" s="1">
        <v>0.55600000000000005</v>
      </c>
      <c r="F4" s="1">
        <v>0.55600000000000005</v>
      </c>
      <c r="G4" s="1">
        <v>4.9190000000000005</v>
      </c>
      <c r="H4" s="770">
        <v>7.09376534118802E-2</v>
      </c>
      <c r="I4" s="770">
        <v>0.13647520864015708</v>
      </c>
      <c r="J4" s="1182">
        <v>0.20741286205203729</v>
      </c>
      <c r="K4" s="51">
        <v>20</v>
      </c>
      <c r="L4" s="1">
        <v>0.30099999999999999</v>
      </c>
      <c r="M4" s="1">
        <v>5.1479999999999997</v>
      </c>
      <c r="N4" s="1539">
        <v>0.14000000000000001</v>
      </c>
      <c r="O4" s="1">
        <v>0.14000000000000001</v>
      </c>
      <c r="P4" s="1">
        <v>5.2879999999999994</v>
      </c>
      <c r="Q4" s="771">
        <v>6.2100268207138438E-2</v>
      </c>
      <c r="R4" s="771">
        <v>2.8883845677738815E-2</v>
      </c>
      <c r="S4" s="1183">
        <v>9.098411388487726E-2</v>
      </c>
      <c r="T4" s="51">
        <v>20</v>
      </c>
      <c r="U4" s="772">
        <v>0.29499999999999998</v>
      </c>
      <c r="V4" s="772">
        <v>4.7554999999999996</v>
      </c>
      <c r="W4" s="773">
        <v>0.34800000000000003</v>
      </c>
      <c r="X4" s="1">
        <v>0.34800000000000003</v>
      </c>
      <c r="Y4" s="1">
        <v>5.1034999999999995</v>
      </c>
      <c r="Z4" s="774">
        <v>6.6136083398722123E-2</v>
      </c>
      <c r="AA4" s="774">
        <v>7.8018159399170506E-2</v>
      </c>
      <c r="AB4" s="607">
        <v>0.14415424279789263</v>
      </c>
    </row>
    <row r="5" spans="1:28">
      <c r="B5" s="51">
        <v>21</v>
      </c>
      <c r="C5" s="1">
        <v>0.33400000000000002</v>
      </c>
      <c r="D5" s="1">
        <v>4.4960000000000004</v>
      </c>
      <c r="E5" s="1">
        <v>0.64700000000000002</v>
      </c>
      <c r="F5" s="1">
        <v>0.64700000000000002</v>
      </c>
      <c r="G5" s="1">
        <v>5.1430000000000007</v>
      </c>
      <c r="H5" s="775">
        <v>8.0249879865449292E-2</v>
      </c>
      <c r="I5" s="775">
        <v>0.15545410860163381</v>
      </c>
      <c r="J5" s="1178">
        <v>0.2357039884670831</v>
      </c>
      <c r="K5" s="51">
        <v>21</v>
      </c>
      <c r="L5" s="1">
        <v>0.36199999999999999</v>
      </c>
      <c r="M5" s="1">
        <v>5.3019999999999996</v>
      </c>
      <c r="N5" s="1539">
        <v>0.16900000000000001</v>
      </c>
      <c r="O5" s="1">
        <v>0.16900000000000001</v>
      </c>
      <c r="P5" s="1">
        <v>5.4709999999999992</v>
      </c>
      <c r="Q5" s="775">
        <v>7.3279352226720648E-2</v>
      </c>
      <c r="R5" s="775">
        <v>3.4210526315789483E-2</v>
      </c>
      <c r="S5" s="1178">
        <v>0.10748987854251013</v>
      </c>
      <c r="T5" s="51">
        <v>21</v>
      </c>
      <c r="U5" s="772">
        <v>0.34799999999999998</v>
      </c>
      <c r="V5" s="772">
        <v>4.899</v>
      </c>
      <c r="W5" s="773">
        <v>0.40800000000000003</v>
      </c>
      <c r="X5" s="1">
        <v>0.40800000000000003</v>
      </c>
      <c r="Y5" s="1">
        <v>5.3070000000000004</v>
      </c>
      <c r="Z5" s="775">
        <v>7.6466710613052075E-2</v>
      </c>
      <c r="AA5" s="775">
        <v>8.9650626235992098E-2</v>
      </c>
      <c r="AB5" s="1178">
        <v>0.16611733684904417</v>
      </c>
    </row>
    <row r="6" spans="1:28">
      <c r="B6" s="30">
        <v>22</v>
      </c>
      <c r="C6" s="1">
        <v>0.38</v>
      </c>
      <c r="D6" s="1">
        <v>4.6319999999999997</v>
      </c>
      <c r="E6" s="1">
        <v>0.74399999999999999</v>
      </c>
      <c r="F6" s="1">
        <v>0.74399999999999999</v>
      </c>
      <c r="G6" s="1">
        <v>5.3759999999999994</v>
      </c>
      <c r="H6" s="770">
        <v>8.9369708372530582E-2</v>
      </c>
      <c r="I6" s="770">
        <v>0.17497648165569143</v>
      </c>
      <c r="J6" s="1182">
        <v>0.26434619002822202</v>
      </c>
      <c r="K6" s="51">
        <v>22</v>
      </c>
      <c r="L6" s="1">
        <v>0.41899999999999998</v>
      </c>
      <c r="M6" s="1">
        <v>5.4610000000000003</v>
      </c>
      <c r="N6" s="1539">
        <v>0.19600000000000001</v>
      </c>
      <c r="O6" s="1">
        <v>0.19600000000000001</v>
      </c>
      <c r="P6" s="1">
        <v>5.657</v>
      </c>
      <c r="Q6" s="771">
        <v>8.3101943673145565E-2</v>
      </c>
      <c r="R6" s="771">
        <v>3.8873462911543033E-2</v>
      </c>
      <c r="S6" s="1183">
        <v>0.1219754065846886</v>
      </c>
      <c r="T6" s="51">
        <v>22</v>
      </c>
      <c r="U6" s="772">
        <v>0.39949999999999997</v>
      </c>
      <c r="V6" s="772">
        <v>5.0465</v>
      </c>
      <c r="W6" s="773">
        <v>0.47</v>
      </c>
      <c r="X6" s="1">
        <v>0.47</v>
      </c>
      <c r="Y6" s="1">
        <v>5.5164999999999997</v>
      </c>
      <c r="Z6" s="774">
        <v>8.5969442651172789E-2</v>
      </c>
      <c r="AA6" s="774">
        <v>0.10114052076608564</v>
      </c>
      <c r="AB6" s="607">
        <v>0.18710996341725844</v>
      </c>
    </row>
    <row r="7" spans="1:28">
      <c r="B7" s="51">
        <v>23</v>
      </c>
      <c r="C7" s="1">
        <v>0.42799999999999999</v>
      </c>
      <c r="D7" s="1">
        <v>4.7709999999999999</v>
      </c>
      <c r="E7" s="1">
        <v>0.84399999999999997</v>
      </c>
      <c r="F7" s="1">
        <v>0.84399999999999997</v>
      </c>
      <c r="G7" s="1">
        <v>5.6150000000000002</v>
      </c>
      <c r="H7" s="775">
        <v>9.8549389822703198E-2</v>
      </c>
      <c r="I7" s="775">
        <v>0.19433571264103153</v>
      </c>
      <c r="J7" s="1178">
        <v>0.29288510246373473</v>
      </c>
      <c r="K7" s="51">
        <v>23</v>
      </c>
      <c r="L7" s="1">
        <v>0.46600000000000003</v>
      </c>
      <c r="M7" s="1">
        <v>5.6230000000000002</v>
      </c>
      <c r="N7" s="1539">
        <v>0.219</v>
      </c>
      <c r="O7" s="1">
        <v>0.219</v>
      </c>
      <c r="P7" s="1">
        <v>5.8420000000000005</v>
      </c>
      <c r="Q7" s="775">
        <v>9.0362613922823354E-2</v>
      </c>
      <c r="R7" s="775">
        <v>4.2466550319953458E-2</v>
      </c>
      <c r="S7" s="1178">
        <v>0.1328291642427768</v>
      </c>
      <c r="T7" s="51">
        <v>23</v>
      </c>
      <c r="U7" s="772">
        <v>0.44700000000000001</v>
      </c>
      <c r="V7" s="772">
        <v>5.1970000000000001</v>
      </c>
      <c r="W7" s="773">
        <v>0.53149999999999997</v>
      </c>
      <c r="X7" s="1">
        <v>0.53149999999999997</v>
      </c>
      <c r="Y7" s="1">
        <v>5.7285000000000004</v>
      </c>
      <c r="Z7" s="775">
        <v>9.4105263157894734E-2</v>
      </c>
      <c r="AA7" s="775">
        <v>0.11189473684210526</v>
      </c>
      <c r="AB7" s="1178">
        <v>0.20599999999999999</v>
      </c>
    </row>
    <row r="8" spans="1:28">
      <c r="B8" s="51">
        <v>24</v>
      </c>
      <c r="C8" s="1">
        <v>0.47</v>
      </c>
      <c r="D8" s="1">
        <v>4.9130000000000003</v>
      </c>
      <c r="E8" s="1">
        <v>0.93700000000000006</v>
      </c>
      <c r="F8" s="1">
        <v>0.93700000000000006</v>
      </c>
      <c r="G8" s="1">
        <v>5.8500000000000005</v>
      </c>
      <c r="H8" s="775">
        <v>0.10578437992347511</v>
      </c>
      <c r="I8" s="775">
        <v>0.21089354040063019</v>
      </c>
      <c r="J8" s="1178">
        <v>0.3166779203241053</v>
      </c>
      <c r="K8" s="51">
        <v>24</v>
      </c>
      <c r="L8" s="1">
        <v>0.50900000000000001</v>
      </c>
      <c r="M8" s="1">
        <v>5.7889999999999997</v>
      </c>
      <c r="N8" s="1539">
        <v>0.24099999999999999</v>
      </c>
      <c r="O8" s="1">
        <v>0.24099999999999999</v>
      </c>
      <c r="P8" s="1">
        <v>6.0299999999999994</v>
      </c>
      <c r="Q8" s="775">
        <v>9.6401515151515169E-2</v>
      </c>
      <c r="R8" s="775">
        <v>4.5643939393939396E-2</v>
      </c>
      <c r="S8" s="1178">
        <v>0.14204545454545456</v>
      </c>
      <c r="T8" s="51">
        <v>24</v>
      </c>
      <c r="U8" s="772">
        <v>0.48949999999999999</v>
      </c>
      <c r="V8" s="772">
        <v>5.351</v>
      </c>
      <c r="W8" s="773">
        <v>0.58899999999999997</v>
      </c>
      <c r="X8" s="1">
        <v>0.58899999999999997</v>
      </c>
      <c r="Y8" s="1">
        <v>5.9399999999999995</v>
      </c>
      <c r="Z8" s="775">
        <v>0.10068908773012444</v>
      </c>
      <c r="AA8" s="775">
        <v>0.12115602180396995</v>
      </c>
      <c r="AB8" s="1178">
        <v>0.22184510953409439</v>
      </c>
    </row>
    <row r="9" spans="1:28">
      <c r="B9" s="30">
        <v>25</v>
      </c>
      <c r="C9" s="1">
        <v>0.50800000000000001</v>
      </c>
      <c r="D9" s="1">
        <v>5.0590000000000002</v>
      </c>
      <c r="E9" s="1">
        <v>1.0229999999999999</v>
      </c>
      <c r="F9" s="1">
        <v>1.0229999999999999</v>
      </c>
      <c r="G9" s="1">
        <v>6.0819999999999999</v>
      </c>
      <c r="H9" s="770">
        <v>0.11162381894089211</v>
      </c>
      <c r="I9" s="770">
        <v>0.22478576137112719</v>
      </c>
      <c r="J9" s="1182">
        <v>0.33640958031201929</v>
      </c>
      <c r="K9" s="51">
        <v>25</v>
      </c>
      <c r="L9" s="1">
        <v>0.55200000000000005</v>
      </c>
      <c r="M9" s="1">
        <v>5.9580000000000002</v>
      </c>
      <c r="N9" s="1539">
        <v>0.26200000000000001</v>
      </c>
      <c r="O9" s="1">
        <v>0.26200000000000001</v>
      </c>
      <c r="P9" s="1">
        <v>6.2200000000000006</v>
      </c>
      <c r="Q9" s="771">
        <v>0.10210876803551609</v>
      </c>
      <c r="R9" s="771">
        <v>4.8464668886422493E-2</v>
      </c>
      <c r="S9" s="1183">
        <v>0.15057343692193859</v>
      </c>
      <c r="T9" s="51">
        <v>25</v>
      </c>
      <c r="U9" s="772">
        <v>0.53</v>
      </c>
      <c r="V9" s="772">
        <v>5.5084999999999997</v>
      </c>
      <c r="W9" s="773">
        <v>0.64249999999999996</v>
      </c>
      <c r="X9" s="1">
        <v>0.64249999999999996</v>
      </c>
      <c r="Y9" s="1">
        <v>6.1509999999999998</v>
      </c>
      <c r="Z9" s="774">
        <v>0.10645776840413781</v>
      </c>
      <c r="AA9" s="774">
        <v>0.12905493622577083</v>
      </c>
      <c r="AB9" s="607">
        <v>0.23551270462990864</v>
      </c>
    </row>
    <row r="10" spans="1:28">
      <c r="B10" s="51">
        <v>26</v>
      </c>
      <c r="C10" s="1">
        <v>0.54200000000000004</v>
      </c>
      <c r="D10" s="1">
        <v>5.2080000000000002</v>
      </c>
      <c r="E10" s="1">
        <v>1.105</v>
      </c>
      <c r="F10" s="1">
        <v>1.105</v>
      </c>
      <c r="G10" s="1">
        <v>6.3130000000000006</v>
      </c>
      <c r="H10" s="775">
        <v>0.11615945135019289</v>
      </c>
      <c r="I10" s="775">
        <v>0.23681954564937846</v>
      </c>
      <c r="J10" s="1178">
        <v>0.35297899699957136</v>
      </c>
      <c r="K10" s="51">
        <v>26</v>
      </c>
      <c r="L10" s="1">
        <v>0.59399999999999997</v>
      </c>
      <c r="M10" s="1">
        <v>6.1310000000000002</v>
      </c>
      <c r="N10" s="1539">
        <v>0.28299999999999997</v>
      </c>
      <c r="O10" s="1">
        <v>0.28299999999999997</v>
      </c>
      <c r="P10" s="1">
        <v>6.4140000000000006</v>
      </c>
      <c r="Q10" s="775">
        <v>0.10727830955391006</v>
      </c>
      <c r="R10" s="775">
        <v>5.1110709770633915E-2</v>
      </c>
      <c r="S10" s="1178">
        <v>0.15838901932454397</v>
      </c>
      <c r="T10" s="51">
        <v>26</v>
      </c>
      <c r="U10" s="772">
        <v>0.56800000000000006</v>
      </c>
      <c r="V10" s="772">
        <v>5.6695000000000002</v>
      </c>
      <c r="W10" s="773">
        <v>0.69399999999999995</v>
      </c>
      <c r="X10" s="1">
        <v>0.69399999999999995</v>
      </c>
      <c r="Y10" s="1">
        <v>6.3635000000000002</v>
      </c>
      <c r="Z10" s="775">
        <v>0.11133980201901403</v>
      </c>
      <c r="AA10" s="775">
        <v>0.1360384200725277</v>
      </c>
      <c r="AB10" s="1178">
        <v>0.24737822209154173</v>
      </c>
    </row>
    <row r="11" spans="1:28">
      <c r="B11" s="30">
        <v>27</v>
      </c>
      <c r="C11" s="1">
        <v>0.57399999999999995</v>
      </c>
      <c r="D11" s="1">
        <v>5.36</v>
      </c>
      <c r="E11" s="1">
        <v>1.1839999999999999</v>
      </c>
      <c r="F11" s="1">
        <v>1.1839999999999999</v>
      </c>
      <c r="G11" s="1">
        <v>6.5440000000000005</v>
      </c>
      <c r="H11" s="770">
        <v>0.11993313832010027</v>
      </c>
      <c r="I11" s="770">
        <v>0.24738821562891763</v>
      </c>
      <c r="J11" s="1182">
        <v>0.36732135394901788</v>
      </c>
      <c r="K11" s="51">
        <v>27</v>
      </c>
      <c r="L11" s="1">
        <v>0.63500000000000001</v>
      </c>
      <c r="M11" s="1">
        <v>6.3079999999999998</v>
      </c>
      <c r="N11" s="1539">
        <v>0.30499999999999999</v>
      </c>
      <c r="O11" s="1">
        <v>0.30499999999999999</v>
      </c>
      <c r="P11" s="1">
        <v>6.6129999999999995</v>
      </c>
      <c r="Q11" s="771">
        <v>0.11193372113520184</v>
      </c>
      <c r="R11" s="771">
        <v>5.3763440860215055E-2</v>
      </c>
      <c r="S11" s="1183">
        <v>0.1656971619954169</v>
      </c>
      <c r="T11" s="51">
        <v>27</v>
      </c>
      <c r="U11" s="772">
        <v>0.60450000000000004</v>
      </c>
      <c r="V11" s="772">
        <v>5.8339999999999996</v>
      </c>
      <c r="W11" s="773">
        <v>0.74449999999999994</v>
      </c>
      <c r="X11" s="1">
        <v>0.74449999999999994</v>
      </c>
      <c r="Y11" s="1">
        <v>6.5785</v>
      </c>
      <c r="Z11" s="774">
        <v>0.1155942250693183</v>
      </c>
      <c r="AA11" s="774">
        <v>0.14236542690505785</v>
      </c>
      <c r="AB11" s="607">
        <v>0.25795965197437615</v>
      </c>
    </row>
    <row r="12" spans="1:28">
      <c r="B12" s="51">
        <v>28</v>
      </c>
      <c r="C12" s="1">
        <v>0.60299999999999998</v>
      </c>
      <c r="D12" s="1">
        <v>5.516</v>
      </c>
      <c r="E12" s="1">
        <v>1.2609999999999999</v>
      </c>
      <c r="F12" s="1">
        <v>1.2609999999999999</v>
      </c>
      <c r="G12" s="1">
        <v>6.7770000000000001</v>
      </c>
      <c r="H12" s="775">
        <v>0.12273559943008344</v>
      </c>
      <c r="I12" s="775">
        <v>0.25666598819458575</v>
      </c>
      <c r="J12" s="1178">
        <v>0.37940158762466919</v>
      </c>
      <c r="K12" s="51">
        <v>28</v>
      </c>
      <c r="L12" s="1">
        <v>0.67500000000000004</v>
      </c>
      <c r="M12" s="1">
        <v>6.4880000000000004</v>
      </c>
      <c r="N12" s="1539">
        <v>0.32600000000000001</v>
      </c>
      <c r="O12" s="1">
        <v>0.32600000000000001</v>
      </c>
      <c r="P12" s="1">
        <v>6.8140000000000001</v>
      </c>
      <c r="Q12" s="775">
        <v>0.11611904352313779</v>
      </c>
      <c r="R12" s="775">
        <v>5.6081197316359882E-2</v>
      </c>
      <c r="S12" s="1178">
        <v>0.17220024083949767</v>
      </c>
      <c r="T12" s="51">
        <v>28</v>
      </c>
      <c r="U12" s="772">
        <v>0.63900000000000001</v>
      </c>
      <c r="V12" s="772">
        <v>6.0020000000000007</v>
      </c>
      <c r="W12" s="773">
        <v>0.79349999999999998</v>
      </c>
      <c r="X12" s="1">
        <v>0.79349999999999998</v>
      </c>
      <c r="Y12" s="1">
        <v>6.7955000000000005</v>
      </c>
      <c r="Z12" s="775">
        <v>0.11914972962893902</v>
      </c>
      <c r="AA12" s="775">
        <v>0.14795823233264963</v>
      </c>
      <c r="AB12" s="1178">
        <v>0.26710796196158865</v>
      </c>
    </row>
    <row r="13" spans="1:28">
      <c r="B13" s="30">
        <v>29</v>
      </c>
      <c r="C13" s="1">
        <v>0.63</v>
      </c>
      <c r="D13" s="1">
        <v>5.6749999999999998</v>
      </c>
      <c r="E13" s="1">
        <v>1.337</v>
      </c>
      <c r="F13" s="1">
        <v>1.337</v>
      </c>
      <c r="G13" s="1">
        <v>7.0119999999999996</v>
      </c>
      <c r="H13" s="770">
        <v>0.12487611496531219</v>
      </c>
      <c r="I13" s="770">
        <v>0.26501486620416254</v>
      </c>
      <c r="J13" s="1182">
        <v>0.38989098116947474</v>
      </c>
      <c r="K13" s="51">
        <v>29</v>
      </c>
      <c r="L13" s="1">
        <v>0.71199999999999997</v>
      </c>
      <c r="M13" s="1">
        <v>6.6710000000000003</v>
      </c>
      <c r="N13" s="1539">
        <v>0.34599999999999997</v>
      </c>
      <c r="O13" s="1">
        <v>0.34599999999999997</v>
      </c>
      <c r="P13" s="1">
        <v>7.0170000000000003</v>
      </c>
      <c r="Q13" s="771">
        <v>0.11948313475415337</v>
      </c>
      <c r="R13" s="771">
        <v>5.8063433461990256E-2</v>
      </c>
      <c r="S13" s="1183">
        <v>0.17754656821614362</v>
      </c>
      <c r="T13" s="51">
        <v>29</v>
      </c>
      <c r="U13" s="772">
        <v>0.67100000000000004</v>
      </c>
      <c r="V13" s="772">
        <v>6.173</v>
      </c>
      <c r="W13" s="773">
        <v>0.84149999999999991</v>
      </c>
      <c r="X13" s="1">
        <v>0.84149999999999991</v>
      </c>
      <c r="Y13" s="1">
        <v>7.0145</v>
      </c>
      <c r="Z13" s="774">
        <v>0.12195565249000365</v>
      </c>
      <c r="AA13" s="774">
        <v>0.1529443838604144</v>
      </c>
      <c r="AB13" s="607">
        <v>0.27490003635041804</v>
      </c>
    </row>
    <row r="14" spans="1:28">
      <c r="B14" s="69">
        <v>30</v>
      </c>
      <c r="C14" s="1177">
        <v>0.65600000000000003</v>
      </c>
      <c r="D14" s="1177">
        <v>5.8380000000000001</v>
      </c>
      <c r="E14" s="1177">
        <v>1.411</v>
      </c>
      <c r="F14" s="1177">
        <v>1.411</v>
      </c>
      <c r="G14" s="1177">
        <v>7.2490000000000006</v>
      </c>
      <c r="H14" s="1178">
        <v>0.12659204940177538</v>
      </c>
      <c r="I14" s="1178">
        <v>0.27228869162485525</v>
      </c>
      <c r="J14" s="1178">
        <v>0.39888074102663063</v>
      </c>
      <c r="K14" s="69">
        <v>30</v>
      </c>
      <c r="L14" s="1177">
        <v>0.748</v>
      </c>
      <c r="M14" s="1177">
        <v>6.8579999999999997</v>
      </c>
      <c r="N14" s="1539">
        <v>0.36599999999999999</v>
      </c>
      <c r="O14" s="1177">
        <v>0.36599999999999999</v>
      </c>
      <c r="P14" s="1177">
        <v>7.2239999999999993</v>
      </c>
      <c r="Q14" s="1179">
        <v>0.12242225859247137</v>
      </c>
      <c r="R14" s="1179">
        <v>5.990180032733225E-2</v>
      </c>
      <c r="S14" s="1178">
        <v>0.18232405891980363</v>
      </c>
      <c r="T14" s="69">
        <v>30</v>
      </c>
      <c r="U14" s="1180">
        <v>0.70199999999999996</v>
      </c>
      <c r="V14" s="1180">
        <v>6.3479999999999999</v>
      </c>
      <c r="W14" s="1181">
        <v>0.88850000000000007</v>
      </c>
      <c r="X14" s="1177">
        <v>0.88850000000000007</v>
      </c>
      <c r="Y14" s="1177">
        <v>7.2364999999999995</v>
      </c>
      <c r="Z14" s="1178">
        <v>0.12433581296493092</v>
      </c>
      <c r="AA14" s="1178">
        <v>0.15736804817569963</v>
      </c>
      <c r="AB14" s="1178">
        <v>0.28170386114063056</v>
      </c>
    </row>
    <row r="15" spans="1:28">
      <c r="B15" s="169">
        <v>31</v>
      </c>
      <c r="C15" s="1177">
        <v>0.68</v>
      </c>
      <c r="D15" s="1177">
        <v>6.0049999999999999</v>
      </c>
      <c r="E15" s="1177">
        <v>1.486</v>
      </c>
      <c r="F15" s="1177">
        <v>1.486</v>
      </c>
      <c r="G15" s="1177">
        <v>7.4909999999999997</v>
      </c>
      <c r="H15" s="1182">
        <v>0.12769953051643193</v>
      </c>
      <c r="I15" s="1182">
        <v>0.27906103286384976</v>
      </c>
      <c r="J15" s="1182">
        <v>0.40676056338028166</v>
      </c>
      <c r="K15" s="69">
        <v>31</v>
      </c>
      <c r="L15" s="1177">
        <v>0.78100000000000003</v>
      </c>
      <c r="M15" s="1177">
        <v>7.0490000000000004</v>
      </c>
      <c r="N15" s="1539">
        <v>0.38600000000000001</v>
      </c>
      <c r="O15" s="1177">
        <v>0.38600000000000001</v>
      </c>
      <c r="P15" s="1177">
        <v>7.4350000000000005</v>
      </c>
      <c r="Q15" s="1183">
        <v>0.12460114869176769</v>
      </c>
      <c r="R15" s="1183">
        <v>6.1582641991065723E-2</v>
      </c>
      <c r="S15" s="1183">
        <v>0.18618379068283342</v>
      </c>
      <c r="T15" s="69">
        <v>31</v>
      </c>
      <c r="U15" s="1180">
        <v>0.73050000000000004</v>
      </c>
      <c r="V15" s="1180">
        <v>6.5270000000000001</v>
      </c>
      <c r="W15" s="1181">
        <v>0.93599999999999994</v>
      </c>
      <c r="X15" s="1177">
        <v>0.93599999999999994</v>
      </c>
      <c r="Y15" s="1177">
        <v>7.4630000000000001</v>
      </c>
      <c r="Z15" s="607">
        <v>0.12602432502372121</v>
      </c>
      <c r="AA15" s="607">
        <v>0.16147675321314586</v>
      </c>
      <c r="AB15" s="607">
        <v>0.2875010782368671</v>
      </c>
    </row>
    <row r="16" spans="1:28">
      <c r="B16" s="69">
        <v>32</v>
      </c>
      <c r="C16" s="1177">
        <v>0.70299999999999996</v>
      </c>
      <c r="D16" s="1177">
        <v>6.1769999999999996</v>
      </c>
      <c r="E16" s="1177">
        <v>1.56</v>
      </c>
      <c r="F16" s="1177">
        <v>1.56</v>
      </c>
      <c r="G16" s="1177">
        <v>7.7370000000000001</v>
      </c>
      <c r="H16" s="1178">
        <v>0.12842528315674095</v>
      </c>
      <c r="I16" s="1178">
        <v>0.28498355864084768</v>
      </c>
      <c r="J16" s="1178">
        <v>0.41340884179758863</v>
      </c>
      <c r="K16" s="69">
        <v>32</v>
      </c>
      <c r="L16" s="1177">
        <v>0.81200000000000006</v>
      </c>
      <c r="M16" s="1177">
        <v>7.2439999999999998</v>
      </c>
      <c r="N16" s="1539">
        <v>0.40500000000000003</v>
      </c>
      <c r="O16" s="1177">
        <v>0.40500000000000003</v>
      </c>
      <c r="P16" s="1177">
        <v>7.649</v>
      </c>
      <c r="Q16" s="1178">
        <v>0.12624378109452739</v>
      </c>
      <c r="R16" s="1178">
        <v>6.2966417910447769E-2</v>
      </c>
      <c r="S16" s="1178">
        <v>0.18921019900497515</v>
      </c>
      <c r="T16" s="69">
        <v>32</v>
      </c>
      <c r="U16" s="1180">
        <v>0.75750000000000006</v>
      </c>
      <c r="V16" s="1180">
        <v>6.7104999999999997</v>
      </c>
      <c r="W16" s="1181">
        <v>0.98250000000000004</v>
      </c>
      <c r="X16" s="1177">
        <v>0.98250000000000004</v>
      </c>
      <c r="Y16" s="1177">
        <v>7.6929999999999996</v>
      </c>
      <c r="Z16" s="1178">
        <v>0.12724676633630105</v>
      </c>
      <c r="AA16" s="1178">
        <v>0.16504283554510332</v>
      </c>
      <c r="AB16" s="1178">
        <v>0.2922896018814044</v>
      </c>
    </row>
    <row r="17" spans="2:28">
      <c r="B17" s="169">
        <v>33</v>
      </c>
      <c r="C17" s="1177">
        <v>0.72499999999999998</v>
      </c>
      <c r="D17" s="1177">
        <v>6.3520000000000003</v>
      </c>
      <c r="E17" s="1177">
        <v>1.6339999999999999</v>
      </c>
      <c r="F17" s="1177">
        <v>1.6339999999999999</v>
      </c>
      <c r="G17" s="1177">
        <v>7.9860000000000007</v>
      </c>
      <c r="H17" s="1182">
        <v>0.12884307801670516</v>
      </c>
      <c r="I17" s="1182">
        <v>0.29038564066109823</v>
      </c>
      <c r="J17" s="1182">
        <v>0.41922871867780342</v>
      </c>
      <c r="K17" s="69">
        <v>33</v>
      </c>
      <c r="L17" s="1177">
        <v>0.84</v>
      </c>
      <c r="M17" s="1177">
        <v>7.4420000000000002</v>
      </c>
      <c r="N17" s="1539">
        <v>0.42299999999999999</v>
      </c>
      <c r="O17" s="1177">
        <v>0.42299999999999999</v>
      </c>
      <c r="P17" s="1177">
        <v>7.8650000000000002</v>
      </c>
      <c r="Q17" s="1183">
        <v>0.12723417146319296</v>
      </c>
      <c r="R17" s="1183">
        <v>6.4071493486822173E-2</v>
      </c>
      <c r="S17" s="1183">
        <v>0.19130566495001514</v>
      </c>
      <c r="T17" s="69">
        <v>33</v>
      </c>
      <c r="U17" s="1180">
        <v>0.78249999999999997</v>
      </c>
      <c r="V17" s="1180">
        <v>6.8970000000000002</v>
      </c>
      <c r="W17" s="1181">
        <v>1.0285</v>
      </c>
      <c r="X17" s="1177">
        <v>1.0285</v>
      </c>
      <c r="Y17" s="1177">
        <v>7.9255000000000004</v>
      </c>
      <c r="Z17" s="607">
        <v>0.12797448687545995</v>
      </c>
      <c r="AA17" s="607">
        <v>0.16820672172704226</v>
      </c>
      <c r="AB17" s="607">
        <v>0.29618120860250219</v>
      </c>
    </row>
    <row r="18" spans="2:28">
      <c r="B18" s="69">
        <v>34</v>
      </c>
      <c r="C18" s="1177">
        <v>0.745</v>
      </c>
      <c r="D18" s="1177">
        <v>6.532</v>
      </c>
      <c r="E18" s="1177">
        <v>1.708</v>
      </c>
      <c r="F18" s="1177">
        <v>1.708</v>
      </c>
      <c r="G18" s="1177">
        <v>8.24</v>
      </c>
      <c r="H18" s="1178">
        <v>0.12873682391567307</v>
      </c>
      <c r="I18" s="1178">
        <v>0.29514428892344913</v>
      </c>
      <c r="J18" s="1178">
        <v>0.42388111283912222</v>
      </c>
      <c r="K18" s="69">
        <v>34</v>
      </c>
      <c r="L18" s="1177">
        <v>0.86499999999999999</v>
      </c>
      <c r="M18" s="1177">
        <v>7.6449999999999996</v>
      </c>
      <c r="N18" s="1539">
        <v>0.441</v>
      </c>
      <c r="O18" s="1177">
        <v>0.441</v>
      </c>
      <c r="P18" s="1177">
        <v>8.0860000000000003</v>
      </c>
      <c r="Q18" s="1178">
        <v>0.12758112094395282</v>
      </c>
      <c r="R18" s="1178">
        <v>6.5044247787610629E-2</v>
      </c>
      <c r="S18" s="1178">
        <v>0.19262536873156344</v>
      </c>
      <c r="T18" s="69">
        <v>34</v>
      </c>
      <c r="U18" s="1180">
        <v>0.80499999999999994</v>
      </c>
      <c r="V18" s="1180">
        <v>7.0884999999999998</v>
      </c>
      <c r="W18" s="1181">
        <v>1.0745</v>
      </c>
      <c r="X18" s="1177">
        <v>1.0745</v>
      </c>
      <c r="Y18" s="1177">
        <v>8.1630000000000003</v>
      </c>
      <c r="Z18" s="1178">
        <v>0.12811331264422693</v>
      </c>
      <c r="AA18" s="1178">
        <v>0.17100342165990293</v>
      </c>
      <c r="AB18" s="1178">
        <v>0.29911673430412988</v>
      </c>
    </row>
    <row r="19" spans="2:28">
      <c r="B19" s="169">
        <v>35</v>
      </c>
      <c r="C19" s="1177">
        <v>0.76300000000000001</v>
      </c>
      <c r="D19" s="1177">
        <v>6.7160000000000002</v>
      </c>
      <c r="E19" s="1177">
        <v>1.782</v>
      </c>
      <c r="F19" s="1177">
        <v>1.782</v>
      </c>
      <c r="G19" s="1177">
        <v>8.4980000000000011</v>
      </c>
      <c r="H19" s="1182">
        <v>0.12817067025029397</v>
      </c>
      <c r="I19" s="1182">
        <v>0.29934486813371408</v>
      </c>
      <c r="J19" s="1182">
        <v>0.42751553838400802</v>
      </c>
      <c r="K19" s="69">
        <v>35</v>
      </c>
      <c r="L19" s="1177">
        <v>0.88700000000000001</v>
      </c>
      <c r="M19" s="1177">
        <v>7.85</v>
      </c>
      <c r="N19" s="1539">
        <v>0.45800000000000002</v>
      </c>
      <c r="O19" s="1177">
        <v>0.45800000000000002</v>
      </c>
      <c r="P19" s="1177">
        <v>8.3079999999999998</v>
      </c>
      <c r="Q19" s="1183">
        <v>0.12738762027861555</v>
      </c>
      <c r="R19" s="1183">
        <v>6.5776245871032604E-2</v>
      </c>
      <c r="S19" s="1183">
        <v>0.19316386614964814</v>
      </c>
      <c r="T19" s="69">
        <v>35</v>
      </c>
      <c r="U19" s="1180">
        <v>0.82499999999999996</v>
      </c>
      <c r="V19" s="1180">
        <v>7.2829999999999995</v>
      </c>
      <c r="W19" s="1181">
        <v>1.1200000000000001</v>
      </c>
      <c r="X19" s="1177">
        <v>1.1200000000000001</v>
      </c>
      <c r="Y19" s="1177">
        <v>8.4029999999999987</v>
      </c>
      <c r="Z19" s="607">
        <v>0.12774852895633323</v>
      </c>
      <c r="AA19" s="607">
        <v>0.17342830597708273</v>
      </c>
      <c r="AB19" s="607">
        <v>0.30117683493341596</v>
      </c>
    </row>
    <row r="20" spans="2:28">
      <c r="B20" s="69">
        <v>36</v>
      </c>
      <c r="C20" s="1177">
        <v>0.77800000000000002</v>
      </c>
      <c r="D20" s="1177">
        <v>6.9029999999999996</v>
      </c>
      <c r="E20" s="1177">
        <v>1.8560000000000001</v>
      </c>
      <c r="F20" s="1177">
        <v>1.8560000000000001</v>
      </c>
      <c r="G20" s="1177">
        <v>8.7590000000000003</v>
      </c>
      <c r="H20" s="1178">
        <v>0.12702040816326532</v>
      </c>
      <c r="I20" s="1178">
        <v>0.30302040816326531</v>
      </c>
      <c r="J20" s="1178">
        <v>0.43004081632653063</v>
      </c>
      <c r="K20" s="69">
        <v>36</v>
      </c>
      <c r="L20" s="1177">
        <v>0.90300000000000002</v>
      </c>
      <c r="M20" s="1177">
        <v>8.0579999999999998</v>
      </c>
      <c r="N20" s="1539">
        <v>0.47499999999999998</v>
      </c>
      <c r="O20" s="1177">
        <v>0.47499999999999998</v>
      </c>
      <c r="P20" s="1177">
        <v>8.5329999999999995</v>
      </c>
      <c r="Q20" s="1178">
        <v>0.12620545073375264</v>
      </c>
      <c r="R20" s="1178">
        <v>6.6387141858839968E-2</v>
      </c>
      <c r="S20" s="1178">
        <v>0.19259259259259259</v>
      </c>
      <c r="T20" s="69">
        <v>36</v>
      </c>
      <c r="U20" s="1180">
        <v>0.84050000000000002</v>
      </c>
      <c r="V20" s="1180">
        <v>7.4804999999999993</v>
      </c>
      <c r="W20" s="1181">
        <v>1.1655</v>
      </c>
      <c r="X20" s="1177">
        <v>1.1655</v>
      </c>
      <c r="Y20" s="1177">
        <v>8.645999999999999</v>
      </c>
      <c r="Z20" s="1178">
        <v>0.12658132530120483</v>
      </c>
      <c r="AA20" s="1178">
        <v>0.17552710843373498</v>
      </c>
      <c r="AB20" s="1178">
        <v>0.30210843373493979</v>
      </c>
    </row>
    <row r="21" spans="2:28">
      <c r="B21" s="169">
        <v>37</v>
      </c>
      <c r="C21" s="1177">
        <v>0.78800000000000003</v>
      </c>
      <c r="D21" s="1177">
        <v>7.0919999999999996</v>
      </c>
      <c r="E21" s="1177">
        <v>1.93</v>
      </c>
      <c r="F21" s="1177">
        <v>1.93</v>
      </c>
      <c r="G21" s="1177">
        <v>9.0220000000000002</v>
      </c>
      <c r="H21" s="1182">
        <v>0.12500000000000003</v>
      </c>
      <c r="I21" s="1182">
        <v>0.30615482233502539</v>
      </c>
      <c r="J21" s="1182">
        <v>0.43115482233502544</v>
      </c>
      <c r="K21" s="69">
        <v>37</v>
      </c>
      <c r="L21" s="1177">
        <v>0.91400000000000003</v>
      </c>
      <c r="M21" s="1177">
        <v>8.2690000000000001</v>
      </c>
      <c r="N21" s="1539">
        <v>0.49</v>
      </c>
      <c r="O21" s="1177">
        <v>0.49</v>
      </c>
      <c r="P21" s="1177">
        <v>8.7590000000000003</v>
      </c>
      <c r="Q21" s="1183">
        <v>0.12426920462270565</v>
      </c>
      <c r="R21" s="1183">
        <v>6.6621346023113523E-2</v>
      </c>
      <c r="S21" s="1183">
        <v>0.19089055064581917</v>
      </c>
      <c r="T21" s="69">
        <v>37</v>
      </c>
      <c r="U21" s="1180">
        <v>0.85099999999999998</v>
      </c>
      <c r="V21" s="1180">
        <v>7.6805000000000003</v>
      </c>
      <c r="W21" s="1181">
        <v>1.21</v>
      </c>
      <c r="X21" s="1177">
        <v>1.21</v>
      </c>
      <c r="Y21" s="1177">
        <v>8.8904999999999994</v>
      </c>
      <c r="Z21" s="607">
        <v>0.12460648656563438</v>
      </c>
      <c r="AA21" s="607">
        <v>0.17717256021670691</v>
      </c>
      <c r="AB21" s="607">
        <v>0.3017790467823413</v>
      </c>
    </row>
    <row r="22" spans="2:28">
      <c r="B22" s="69">
        <v>38</v>
      </c>
      <c r="C22" s="1177">
        <v>0.79300000000000004</v>
      </c>
      <c r="D22" s="1177">
        <v>7.2839999999999998</v>
      </c>
      <c r="E22" s="1177">
        <v>2.004</v>
      </c>
      <c r="F22" s="1177">
        <v>2.004</v>
      </c>
      <c r="G22" s="1177">
        <v>9.2880000000000003</v>
      </c>
      <c r="H22" s="1178">
        <v>0.12216915729471577</v>
      </c>
      <c r="I22" s="1178">
        <v>0.30873517177630566</v>
      </c>
      <c r="J22" s="1178">
        <v>0.43090432907102144</v>
      </c>
      <c r="K22" s="69">
        <v>38</v>
      </c>
      <c r="L22" s="1177">
        <v>0.91900000000000004</v>
      </c>
      <c r="M22" s="1177">
        <v>8.4819999999999993</v>
      </c>
      <c r="N22" s="1539">
        <v>0.505</v>
      </c>
      <c r="O22" s="1177">
        <v>0.505</v>
      </c>
      <c r="P22" s="1177">
        <v>8.9870000000000001</v>
      </c>
      <c r="Q22" s="1178">
        <v>0.12151262726431312</v>
      </c>
      <c r="R22" s="1178">
        <v>6.6772444797038227E-2</v>
      </c>
      <c r="S22" s="1178">
        <v>0.18828507206135137</v>
      </c>
      <c r="T22" s="69">
        <v>38</v>
      </c>
      <c r="U22" s="1180">
        <v>0.85600000000000009</v>
      </c>
      <c r="V22" s="1180">
        <v>7.8829999999999991</v>
      </c>
      <c r="W22" s="1181">
        <v>1.2544999999999999</v>
      </c>
      <c r="X22" s="1177">
        <v>1.2544999999999999</v>
      </c>
      <c r="Y22" s="1177">
        <v>9.1374999999999993</v>
      </c>
      <c r="Z22" s="1178">
        <v>0.12181585313789671</v>
      </c>
      <c r="AA22" s="1178">
        <v>0.17852568663725632</v>
      </c>
      <c r="AB22" s="1178">
        <v>0.30034153977515304</v>
      </c>
    </row>
    <row r="23" spans="2:28">
      <c r="B23" s="169">
        <v>39</v>
      </c>
      <c r="C23" s="1177">
        <v>0.79200000000000004</v>
      </c>
      <c r="D23" s="1177">
        <v>7.4779999999999998</v>
      </c>
      <c r="E23" s="1177">
        <v>2.0779999999999998</v>
      </c>
      <c r="F23" s="1177">
        <v>2.0779999999999998</v>
      </c>
      <c r="G23" s="1177">
        <v>9.5559999999999992</v>
      </c>
      <c r="H23" s="1182">
        <v>0.118456476218965</v>
      </c>
      <c r="I23" s="1182">
        <v>0.31079868381693088</v>
      </c>
      <c r="J23" s="1182">
        <v>0.42925516003589587</v>
      </c>
      <c r="K23" s="69">
        <v>39</v>
      </c>
      <c r="L23" s="1177">
        <v>0.91800000000000004</v>
      </c>
      <c r="M23" s="1177">
        <v>8.6969999999999992</v>
      </c>
      <c r="N23" s="1539">
        <v>0.51900000000000002</v>
      </c>
      <c r="O23" s="1177">
        <v>0.51900000000000002</v>
      </c>
      <c r="P23" s="1177">
        <v>9.2159999999999993</v>
      </c>
      <c r="Q23" s="1183">
        <v>0.11801002699575783</v>
      </c>
      <c r="R23" s="1183">
        <v>6.6718087157732364E-2</v>
      </c>
      <c r="S23" s="1183">
        <v>0.18472811415349019</v>
      </c>
      <c r="T23" s="69">
        <v>39</v>
      </c>
      <c r="U23" s="1180">
        <v>0.85499999999999998</v>
      </c>
      <c r="V23" s="1180">
        <v>8.0874999999999986</v>
      </c>
      <c r="W23" s="1181">
        <v>1.2985</v>
      </c>
      <c r="X23" s="1177">
        <v>1.2985</v>
      </c>
      <c r="Y23" s="1177">
        <v>9.3859999999999992</v>
      </c>
      <c r="Z23" s="607">
        <v>0.11821638437608022</v>
      </c>
      <c r="AA23" s="607">
        <v>0.17953681299688909</v>
      </c>
      <c r="AB23" s="607">
        <v>0.29775319737296929</v>
      </c>
    </row>
    <row r="24" spans="2:28">
      <c r="B24" s="69">
        <v>40</v>
      </c>
      <c r="C24" s="1177">
        <v>0.78800000000000003</v>
      </c>
      <c r="D24" s="1177">
        <v>7.6760000000000002</v>
      </c>
      <c r="E24" s="1177">
        <v>2.1520000000000001</v>
      </c>
      <c r="F24" s="1177">
        <v>2.1520000000000001</v>
      </c>
      <c r="G24" s="1177">
        <v>9.8279999999999994</v>
      </c>
      <c r="H24" s="1178">
        <v>0.11440185830429733</v>
      </c>
      <c r="I24" s="1178">
        <v>0.31242740998838564</v>
      </c>
      <c r="J24" s="1178">
        <v>0.42682926829268297</v>
      </c>
      <c r="K24" s="69">
        <v>40</v>
      </c>
      <c r="L24" s="1177">
        <v>0.91100000000000003</v>
      </c>
      <c r="M24" s="1177">
        <v>8.9160000000000004</v>
      </c>
      <c r="N24" s="1539">
        <v>0.53300000000000003</v>
      </c>
      <c r="O24" s="1177">
        <v>0.53300000000000003</v>
      </c>
      <c r="P24" s="1177">
        <v>9.4489999999999998</v>
      </c>
      <c r="Q24" s="1178">
        <v>0.11380387257963771</v>
      </c>
      <c r="R24" s="1178">
        <v>6.6583385384134913E-2</v>
      </c>
      <c r="S24" s="1178">
        <v>0.18038725796377264</v>
      </c>
      <c r="T24" s="69">
        <v>40</v>
      </c>
      <c r="U24" s="1180">
        <v>0.84950000000000003</v>
      </c>
      <c r="V24" s="1180">
        <v>8.2959999999999994</v>
      </c>
      <c r="W24" s="1181">
        <v>1.3425</v>
      </c>
      <c r="X24" s="1177">
        <v>1.3425</v>
      </c>
      <c r="Y24" s="1177">
        <v>9.6384999999999987</v>
      </c>
      <c r="Z24" s="1178">
        <v>0.11408044047539113</v>
      </c>
      <c r="AA24" s="1178">
        <v>0.18028604042167462</v>
      </c>
      <c r="AB24" s="1178">
        <v>0.29436648089706574</v>
      </c>
    </row>
    <row r="25" spans="2:28">
      <c r="B25" s="169">
        <v>41</v>
      </c>
      <c r="C25" s="1177">
        <v>0.78100000000000003</v>
      </c>
      <c r="D25" s="1177">
        <v>7.8789999999999996</v>
      </c>
      <c r="E25" s="1177">
        <v>2.2280000000000002</v>
      </c>
      <c r="F25" s="1177">
        <v>2.2280000000000002</v>
      </c>
      <c r="G25" s="1177">
        <v>10.106999999999999</v>
      </c>
      <c r="H25" s="1182">
        <v>0.11003099464637926</v>
      </c>
      <c r="I25" s="1182">
        <v>0.31389123696816007</v>
      </c>
      <c r="J25" s="1182">
        <v>0.42392223161453935</v>
      </c>
      <c r="K25" s="69">
        <v>41</v>
      </c>
      <c r="L25" s="1177">
        <v>0.90100000000000002</v>
      </c>
      <c r="M25" s="1177">
        <v>9.14</v>
      </c>
      <c r="N25" s="1539">
        <v>0.54500000000000004</v>
      </c>
      <c r="O25" s="1177">
        <v>0.54500000000000004</v>
      </c>
      <c r="P25" s="1177">
        <v>9.6850000000000005</v>
      </c>
      <c r="Q25" s="1183">
        <v>0.10935793178783833</v>
      </c>
      <c r="R25" s="1183">
        <v>6.6148804466561476E-2</v>
      </c>
      <c r="S25" s="1183">
        <v>0.1755067362543998</v>
      </c>
      <c r="T25" s="69">
        <v>41</v>
      </c>
      <c r="U25" s="1180">
        <v>0.84099999999999997</v>
      </c>
      <c r="V25" s="1180">
        <v>8.5094999999999992</v>
      </c>
      <c r="W25" s="1181">
        <v>1.3865000000000001</v>
      </c>
      <c r="X25" s="1177">
        <v>1.3865000000000001</v>
      </c>
      <c r="Y25" s="1177">
        <v>9.895999999999999</v>
      </c>
      <c r="Z25" s="607">
        <v>0.10966942687618179</v>
      </c>
      <c r="AA25" s="607">
        <v>0.18080459020668974</v>
      </c>
      <c r="AB25" s="607">
        <v>0.29047401708287152</v>
      </c>
    </row>
    <row r="26" spans="2:28">
      <c r="B26" s="69">
        <v>42</v>
      </c>
      <c r="C26" s="1177">
        <v>0.77400000000000002</v>
      </c>
      <c r="D26" s="1177">
        <v>8.0890000000000004</v>
      </c>
      <c r="E26" s="1177">
        <v>2.3039999999999998</v>
      </c>
      <c r="F26" s="1177">
        <v>2.3039999999999998</v>
      </c>
      <c r="G26" s="1177">
        <v>10.393000000000001</v>
      </c>
      <c r="H26" s="1178">
        <v>0.10580997949419002</v>
      </c>
      <c r="I26" s="1178">
        <v>0.31496924128503073</v>
      </c>
      <c r="J26" s="1178">
        <v>0.42077922077922075</v>
      </c>
      <c r="K26" s="69">
        <v>42</v>
      </c>
      <c r="L26" s="1177">
        <v>0.88700000000000001</v>
      </c>
      <c r="M26" s="1177">
        <v>9.3689999999999998</v>
      </c>
      <c r="N26" s="1539">
        <v>0.55800000000000005</v>
      </c>
      <c r="O26" s="1177">
        <v>0.55800000000000005</v>
      </c>
      <c r="P26" s="1177">
        <v>9.9269999999999996</v>
      </c>
      <c r="Q26" s="1178">
        <v>0.10457439283187929</v>
      </c>
      <c r="R26" s="1178">
        <v>6.5786371138882346E-2</v>
      </c>
      <c r="S26" s="1178">
        <v>0.17036076397076164</v>
      </c>
      <c r="T26" s="69">
        <v>42</v>
      </c>
      <c r="U26" s="1180">
        <v>0.83050000000000002</v>
      </c>
      <c r="V26" s="1180">
        <v>8.7289999999999992</v>
      </c>
      <c r="W26" s="1181">
        <v>1.431</v>
      </c>
      <c r="X26" s="1177">
        <v>1.431</v>
      </c>
      <c r="Y26" s="1177">
        <v>10.16</v>
      </c>
      <c r="Z26" s="1178">
        <v>0.10514654681268597</v>
      </c>
      <c r="AA26" s="1178">
        <v>0.1811736405646642</v>
      </c>
      <c r="AB26" s="1178">
        <v>0.28632018737735015</v>
      </c>
    </row>
    <row r="27" spans="2:28">
      <c r="B27" s="169">
        <v>43</v>
      </c>
      <c r="C27" s="1177">
        <v>0.76600000000000001</v>
      </c>
      <c r="D27" s="1177">
        <v>8.3070000000000004</v>
      </c>
      <c r="E27" s="1177">
        <v>2.3820000000000001</v>
      </c>
      <c r="F27" s="1177">
        <v>2.3820000000000001</v>
      </c>
      <c r="G27" s="1177">
        <v>10.689</v>
      </c>
      <c r="H27" s="1182">
        <v>0.10157804004773903</v>
      </c>
      <c r="I27" s="1182">
        <v>0.31587322636255138</v>
      </c>
      <c r="J27" s="1182">
        <v>0.4174512664102904</v>
      </c>
      <c r="K27" s="69">
        <v>43</v>
      </c>
      <c r="L27" s="1177">
        <v>0.871</v>
      </c>
      <c r="M27" s="1177">
        <v>9.6059999999999999</v>
      </c>
      <c r="N27" s="1539">
        <v>0.56999999999999995</v>
      </c>
      <c r="O27" s="1177">
        <v>0.56999999999999995</v>
      </c>
      <c r="P27" s="1177">
        <v>10.176</v>
      </c>
      <c r="Q27" s="1183">
        <v>9.9713795077275333E-2</v>
      </c>
      <c r="R27" s="1183">
        <v>6.5254722381224955E-2</v>
      </c>
      <c r="S27" s="1183">
        <v>0.16496851745850027</v>
      </c>
      <c r="T27" s="69">
        <v>43</v>
      </c>
      <c r="U27" s="1180">
        <v>0.81850000000000001</v>
      </c>
      <c r="V27" s="1180">
        <v>8.9565000000000001</v>
      </c>
      <c r="W27" s="1181">
        <v>1.476</v>
      </c>
      <c r="X27" s="1177">
        <v>1.476</v>
      </c>
      <c r="Y27" s="1177">
        <v>10.432500000000001</v>
      </c>
      <c r="Z27" s="607">
        <v>0.10057753747849595</v>
      </c>
      <c r="AA27" s="607">
        <v>0.18137134431064145</v>
      </c>
      <c r="AB27" s="607">
        <v>0.28194888178913741</v>
      </c>
    </row>
    <row r="28" spans="2:28">
      <c r="B28" s="69">
        <v>44</v>
      </c>
      <c r="C28" s="1177">
        <v>0.75800000000000001</v>
      </c>
      <c r="D28" s="1177">
        <v>8.5329999999999995</v>
      </c>
      <c r="E28" s="1177">
        <v>2.46</v>
      </c>
      <c r="F28" s="1177">
        <v>2.46</v>
      </c>
      <c r="G28" s="1177">
        <v>10.992999999999999</v>
      </c>
      <c r="H28" s="1178">
        <v>9.7491961414791009E-2</v>
      </c>
      <c r="I28" s="1178">
        <v>0.31639871382636658</v>
      </c>
      <c r="J28" s="1178">
        <v>0.41389067524115758</v>
      </c>
      <c r="K28" s="69">
        <v>44</v>
      </c>
      <c r="L28" s="1177">
        <v>0.85199999999999998</v>
      </c>
      <c r="M28" s="1177">
        <v>9.8490000000000002</v>
      </c>
      <c r="N28" s="1539">
        <v>0.58199999999999996</v>
      </c>
      <c r="O28" s="1177">
        <v>0.58199999999999996</v>
      </c>
      <c r="P28" s="1177">
        <v>10.431000000000001</v>
      </c>
      <c r="Q28" s="1178">
        <v>9.4698232744248087E-2</v>
      </c>
      <c r="R28" s="1178">
        <v>6.4688229409803261E-2</v>
      </c>
      <c r="S28" s="1178">
        <v>0.15938646215405133</v>
      </c>
      <c r="T28" s="69">
        <v>44</v>
      </c>
      <c r="U28" s="1180">
        <v>0.80499999999999994</v>
      </c>
      <c r="V28" s="1180">
        <v>9.1909999999999989</v>
      </c>
      <c r="W28" s="1181">
        <v>1.5209999999999999</v>
      </c>
      <c r="X28" s="1177">
        <v>1.5209999999999999</v>
      </c>
      <c r="Y28" s="1177">
        <v>10.712</v>
      </c>
      <c r="Z28" s="1178">
        <v>9.5993322203672793E-2</v>
      </c>
      <c r="AA28" s="1178">
        <v>0.18137371810159791</v>
      </c>
      <c r="AB28" s="1178">
        <v>0.27736704030527071</v>
      </c>
    </row>
    <row r="29" spans="2:28">
      <c r="B29" s="169">
        <v>45</v>
      </c>
      <c r="C29" s="1177">
        <v>0.748</v>
      </c>
      <c r="D29" s="1177">
        <v>8.7669999999999995</v>
      </c>
      <c r="E29" s="1177">
        <v>2.5379999999999998</v>
      </c>
      <c r="F29" s="1177">
        <v>2.5379999999999998</v>
      </c>
      <c r="G29" s="1177">
        <v>11.305</v>
      </c>
      <c r="H29" s="1182">
        <v>9.327846364883402E-2</v>
      </c>
      <c r="I29" s="1182">
        <v>0.31649831649831645</v>
      </c>
      <c r="J29" s="1182">
        <v>0.40977678014715047</v>
      </c>
      <c r="K29" s="69">
        <v>45</v>
      </c>
      <c r="L29" s="1177">
        <v>0.83199999999999996</v>
      </c>
      <c r="M29" s="1177">
        <v>10.101000000000001</v>
      </c>
      <c r="N29" s="1539">
        <v>0.59399999999999997</v>
      </c>
      <c r="O29" s="1177">
        <v>0.59399999999999997</v>
      </c>
      <c r="P29" s="1177">
        <v>10.695</v>
      </c>
      <c r="Q29" s="1183">
        <v>8.9761570827489479E-2</v>
      </c>
      <c r="R29" s="1183">
        <v>6.4084583018664362E-2</v>
      </c>
      <c r="S29" s="1183">
        <v>0.15384615384615385</v>
      </c>
      <c r="T29" s="69">
        <v>45</v>
      </c>
      <c r="U29" s="1180">
        <v>0.79</v>
      </c>
      <c r="V29" s="1180">
        <v>9.4340000000000011</v>
      </c>
      <c r="W29" s="1181">
        <v>1.5659999999999998</v>
      </c>
      <c r="X29" s="1177">
        <v>1.5659999999999998</v>
      </c>
      <c r="Y29" s="1177">
        <v>11</v>
      </c>
      <c r="Z29" s="607">
        <v>9.1392873669597391E-2</v>
      </c>
      <c r="AA29" s="607">
        <v>0.18116612679315125</v>
      </c>
      <c r="AB29" s="607">
        <v>0.27255900046274861</v>
      </c>
    </row>
    <row r="30" spans="2:28">
      <c r="B30" s="69">
        <v>46</v>
      </c>
      <c r="C30" s="1177">
        <v>0.73699999999999999</v>
      </c>
      <c r="D30" s="1177">
        <v>9.0090000000000003</v>
      </c>
      <c r="E30" s="1177">
        <v>2.6160000000000001</v>
      </c>
      <c r="F30" s="1177">
        <v>2.6160000000000001</v>
      </c>
      <c r="G30" s="1177">
        <v>11.625</v>
      </c>
      <c r="H30" s="1178">
        <v>8.9095744680851061E-2</v>
      </c>
      <c r="I30" s="1178">
        <v>0.31624758220502902</v>
      </c>
      <c r="J30" s="1178">
        <v>0.4053433268858801</v>
      </c>
      <c r="K30" s="69">
        <v>46</v>
      </c>
      <c r="L30" s="1177">
        <v>0.81</v>
      </c>
      <c r="M30" s="1177">
        <v>10.36</v>
      </c>
      <c r="N30" s="1539">
        <v>0.60599999999999998</v>
      </c>
      <c r="O30" s="1177">
        <v>0.60599999999999998</v>
      </c>
      <c r="P30" s="1177">
        <v>10.965999999999999</v>
      </c>
      <c r="Q30" s="1178">
        <v>8.4816753926701585E-2</v>
      </c>
      <c r="R30" s="1178">
        <v>6.3455497382198953E-2</v>
      </c>
      <c r="S30" s="1178">
        <v>0.14827225130890054</v>
      </c>
      <c r="T30" s="69">
        <v>46</v>
      </c>
      <c r="U30" s="1180">
        <v>0.77350000000000008</v>
      </c>
      <c r="V30" s="1180">
        <v>9.6844999999999999</v>
      </c>
      <c r="W30" s="1181">
        <v>1.611</v>
      </c>
      <c r="X30" s="1177">
        <v>1.611</v>
      </c>
      <c r="Y30" s="1177">
        <v>11.295500000000001</v>
      </c>
      <c r="Z30" s="1178">
        <v>8.6802827965435994E-2</v>
      </c>
      <c r="AA30" s="1178">
        <v>0.18078779037145101</v>
      </c>
      <c r="AB30" s="1178">
        <v>0.26759061833688702</v>
      </c>
    </row>
    <row r="31" spans="2:28">
      <c r="B31" s="169">
        <v>47</v>
      </c>
      <c r="C31" s="1177">
        <v>0.72299999999999998</v>
      </c>
      <c r="D31" s="1177">
        <v>9.2590000000000003</v>
      </c>
      <c r="E31" s="1177">
        <v>2.6930000000000001</v>
      </c>
      <c r="F31" s="1177">
        <v>2.6930000000000001</v>
      </c>
      <c r="G31" s="1177">
        <v>11.952</v>
      </c>
      <c r="H31" s="1182">
        <v>8.4700093720712286E-2</v>
      </c>
      <c r="I31" s="1182">
        <v>0.31548734770384257</v>
      </c>
      <c r="J31" s="1182">
        <v>0.40018744142455487</v>
      </c>
      <c r="K31" s="69">
        <v>47</v>
      </c>
      <c r="L31" s="1177">
        <v>0.78500000000000003</v>
      </c>
      <c r="M31" s="1177">
        <v>10.627000000000001</v>
      </c>
      <c r="N31" s="1539">
        <v>0.61699999999999999</v>
      </c>
      <c r="O31" s="1177">
        <v>0.61699999999999999</v>
      </c>
      <c r="P31" s="1177">
        <v>11.244</v>
      </c>
      <c r="Q31" s="1183">
        <v>7.9760211339158713E-2</v>
      </c>
      <c r="R31" s="1183">
        <v>6.2690510058931101E-2</v>
      </c>
      <c r="S31" s="1183">
        <v>0.14245072139808981</v>
      </c>
      <c r="T31" s="69">
        <v>47</v>
      </c>
      <c r="U31" s="1180">
        <v>0.754</v>
      </c>
      <c r="V31" s="1180">
        <v>9.9430000000000014</v>
      </c>
      <c r="W31" s="1181">
        <v>1.655</v>
      </c>
      <c r="X31" s="1177">
        <v>1.655</v>
      </c>
      <c r="Y31" s="1177">
        <v>11.598000000000001</v>
      </c>
      <c r="Z31" s="607">
        <v>8.2054630536511033E-2</v>
      </c>
      <c r="AA31" s="607">
        <v>0.18010664925454345</v>
      </c>
      <c r="AB31" s="607">
        <v>0.26216127979105447</v>
      </c>
    </row>
    <row r="32" spans="2:28">
      <c r="B32" s="69">
        <v>48</v>
      </c>
      <c r="C32" s="1177">
        <v>0.70599999999999996</v>
      </c>
      <c r="D32" s="1177">
        <v>9.516</v>
      </c>
      <c r="E32" s="1177">
        <v>2.7690000000000001</v>
      </c>
      <c r="F32" s="1177">
        <v>2.7690000000000001</v>
      </c>
      <c r="G32" s="1177">
        <v>12.285</v>
      </c>
      <c r="H32" s="1178">
        <v>8.0136208853575475E-2</v>
      </c>
      <c r="I32" s="1178">
        <v>0.31430192962542564</v>
      </c>
      <c r="J32" s="1178">
        <v>0.39443813847900111</v>
      </c>
      <c r="K32" s="69">
        <v>48</v>
      </c>
      <c r="L32" s="1177">
        <v>0.75700000000000001</v>
      </c>
      <c r="M32" s="1177">
        <v>10.901999999999999</v>
      </c>
      <c r="N32" s="1539">
        <v>0.627</v>
      </c>
      <c r="O32" s="1177">
        <v>0.627</v>
      </c>
      <c r="P32" s="1177">
        <v>11.529</v>
      </c>
      <c r="Q32" s="1178">
        <v>7.4618038442582552E-2</v>
      </c>
      <c r="R32" s="1178">
        <v>6.1803844258255303E-2</v>
      </c>
      <c r="S32" s="1178">
        <v>0.13642188270083785</v>
      </c>
      <c r="T32" s="69">
        <v>48</v>
      </c>
      <c r="U32" s="1180">
        <v>0.73150000000000004</v>
      </c>
      <c r="V32" s="1180">
        <v>10.209</v>
      </c>
      <c r="W32" s="1181">
        <v>1.698</v>
      </c>
      <c r="X32" s="1177">
        <v>1.698</v>
      </c>
      <c r="Y32" s="1177">
        <v>11.907</v>
      </c>
      <c r="Z32" s="1178">
        <v>7.718280137166976E-2</v>
      </c>
      <c r="AA32" s="1178">
        <v>0.17916117119493538</v>
      </c>
      <c r="AB32" s="1178">
        <v>0.25634397256660513</v>
      </c>
    </row>
    <row r="33" spans="2:28">
      <c r="B33" s="169">
        <v>49</v>
      </c>
      <c r="C33" s="1177">
        <v>0.68400000000000005</v>
      </c>
      <c r="D33" s="1177">
        <v>9.7810000000000006</v>
      </c>
      <c r="E33" s="1177">
        <v>2.8439999999999999</v>
      </c>
      <c r="F33" s="1177">
        <v>2.8439999999999999</v>
      </c>
      <c r="G33" s="1177">
        <v>12.625</v>
      </c>
      <c r="H33" s="1182">
        <v>7.5189622952621743E-2</v>
      </c>
      <c r="I33" s="1182">
        <v>0.31263053753984826</v>
      </c>
      <c r="J33" s="1182">
        <v>0.38782016049247003</v>
      </c>
      <c r="K33" s="69">
        <v>49</v>
      </c>
      <c r="L33" s="1177">
        <v>0.72499999999999998</v>
      </c>
      <c r="M33" s="1177">
        <v>11.183999999999999</v>
      </c>
      <c r="N33" s="1539">
        <v>0.63600000000000001</v>
      </c>
      <c r="O33" s="1177">
        <v>0.63600000000000001</v>
      </c>
      <c r="P33" s="1177">
        <v>11.819999999999999</v>
      </c>
      <c r="Q33" s="1183">
        <v>6.9318290467539914E-2</v>
      </c>
      <c r="R33" s="1183">
        <v>6.0808872741179847E-2</v>
      </c>
      <c r="S33" s="1183">
        <v>0.13012716320871975</v>
      </c>
      <c r="T33" s="69">
        <v>49</v>
      </c>
      <c r="U33" s="1180">
        <v>0.70450000000000002</v>
      </c>
      <c r="V33" s="1180">
        <v>10.4825</v>
      </c>
      <c r="W33" s="1181">
        <v>1.74</v>
      </c>
      <c r="X33" s="1177">
        <v>1.74</v>
      </c>
      <c r="Y33" s="1177">
        <v>12.2225</v>
      </c>
      <c r="Z33" s="607">
        <v>7.2049498875025569E-2</v>
      </c>
      <c r="AA33" s="607">
        <v>0.17795050112497443</v>
      </c>
      <c r="AB33" s="607">
        <v>0.25</v>
      </c>
    </row>
    <row r="34" spans="2:28">
      <c r="B34" s="69">
        <v>50</v>
      </c>
      <c r="C34" s="1177">
        <v>0.65700000000000003</v>
      </c>
      <c r="D34" s="1177">
        <v>10.054</v>
      </c>
      <c r="E34" s="1177">
        <v>2.9159999999999999</v>
      </c>
      <c r="F34" s="1177">
        <v>2.9159999999999999</v>
      </c>
      <c r="G34" s="1177">
        <v>12.97</v>
      </c>
      <c r="H34" s="1178">
        <v>6.9915930616154087E-2</v>
      </c>
      <c r="I34" s="1178">
        <v>0.31031180163882088</v>
      </c>
      <c r="J34" s="1178">
        <v>0.38022773225497497</v>
      </c>
      <c r="K34" s="69">
        <v>50</v>
      </c>
      <c r="L34" s="1177">
        <v>0.68899999999999995</v>
      </c>
      <c r="M34" s="1177">
        <v>11.474</v>
      </c>
      <c r="N34" s="1539">
        <v>0.64500000000000002</v>
      </c>
      <c r="O34" s="1177">
        <v>0.64500000000000002</v>
      </c>
      <c r="P34" s="1177">
        <v>12.119</v>
      </c>
      <c r="Q34" s="1178">
        <v>6.3885025498377365E-2</v>
      </c>
      <c r="R34" s="1178">
        <v>5.9805285118219753E-2</v>
      </c>
      <c r="S34" s="1178">
        <v>0.12369031061659712</v>
      </c>
      <c r="T34" s="69">
        <v>50</v>
      </c>
      <c r="U34" s="1180">
        <v>0.67300000000000004</v>
      </c>
      <c r="V34" s="1180">
        <v>10.763999999999999</v>
      </c>
      <c r="W34" s="1181">
        <v>1.7805</v>
      </c>
      <c r="X34" s="1177">
        <v>1.7805</v>
      </c>
      <c r="Y34" s="1177">
        <v>12.544499999999999</v>
      </c>
      <c r="Z34" s="1178">
        <v>6.6693092855019329E-2</v>
      </c>
      <c r="AA34" s="1178">
        <v>0.17644435635714995</v>
      </c>
      <c r="AB34" s="1178">
        <v>0.24313744921216929</v>
      </c>
    </row>
    <row r="35" spans="2:28">
      <c r="B35" s="169">
        <v>51</v>
      </c>
      <c r="C35" s="1177">
        <v>0.624</v>
      </c>
      <c r="D35" s="1177">
        <v>10.336</v>
      </c>
      <c r="E35" s="1177">
        <v>2.9860000000000002</v>
      </c>
      <c r="F35" s="1177">
        <v>2.9860000000000002</v>
      </c>
      <c r="G35" s="1177">
        <v>13.322000000000001</v>
      </c>
      <c r="H35" s="1182">
        <v>6.4250411861614495E-2</v>
      </c>
      <c r="I35" s="1182">
        <v>0.30745469522240532</v>
      </c>
      <c r="J35" s="1182">
        <v>0.37170510708401983</v>
      </c>
      <c r="K35" s="69">
        <v>51</v>
      </c>
      <c r="L35" s="1177">
        <v>0.64800000000000002</v>
      </c>
      <c r="M35" s="1177">
        <v>11.772</v>
      </c>
      <c r="N35" s="1539">
        <v>0.65200000000000002</v>
      </c>
      <c r="O35" s="1177">
        <v>0.65200000000000002</v>
      </c>
      <c r="P35" s="1177">
        <v>12.423999999999999</v>
      </c>
      <c r="Q35" s="1183">
        <v>5.8252427184466021E-2</v>
      </c>
      <c r="R35" s="1183">
        <v>5.8612010068320744E-2</v>
      </c>
      <c r="S35" s="1183">
        <v>0.11686443725278677</v>
      </c>
      <c r="T35" s="69">
        <v>51</v>
      </c>
      <c r="U35" s="1180">
        <v>0.63600000000000001</v>
      </c>
      <c r="V35" s="1180">
        <v>11.054</v>
      </c>
      <c r="W35" s="1181">
        <v>1.8190000000000002</v>
      </c>
      <c r="X35" s="1177">
        <v>1.8190000000000002</v>
      </c>
      <c r="Y35" s="1177">
        <v>12.873000000000001</v>
      </c>
      <c r="Z35" s="607">
        <v>6.104818583221347E-2</v>
      </c>
      <c r="AA35" s="607">
        <v>0.17460165098867345</v>
      </c>
      <c r="AB35" s="607">
        <v>0.23564983682088692</v>
      </c>
    </row>
    <row r="36" spans="2:28">
      <c r="B36" s="69">
        <v>52</v>
      </c>
      <c r="C36" s="1177">
        <v>0.58699999999999997</v>
      </c>
      <c r="D36" s="1177">
        <v>10.625999999999999</v>
      </c>
      <c r="E36" s="1177">
        <v>3.0529999999999999</v>
      </c>
      <c r="F36" s="1177">
        <v>3.0529999999999999</v>
      </c>
      <c r="G36" s="1177">
        <v>13.678999999999998</v>
      </c>
      <c r="H36" s="1178">
        <v>5.8471959358501843E-2</v>
      </c>
      <c r="I36" s="1178">
        <v>0.30411395557326426</v>
      </c>
      <c r="J36" s="1178">
        <v>0.36258591493176612</v>
      </c>
      <c r="K36" s="69">
        <v>52</v>
      </c>
      <c r="L36" s="1177">
        <v>0.60199999999999998</v>
      </c>
      <c r="M36" s="1177">
        <v>12.077999999999999</v>
      </c>
      <c r="N36" s="1539">
        <v>0.65800000000000003</v>
      </c>
      <c r="O36" s="1177">
        <v>0.65800000000000003</v>
      </c>
      <c r="P36" s="1177">
        <v>12.735999999999999</v>
      </c>
      <c r="Q36" s="1178">
        <v>5.2457302195887068E-2</v>
      </c>
      <c r="R36" s="1178">
        <v>5.733705123736494E-2</v>
      </c>
      <c r="S36" s="1178">
        <v>0.109794353433252</v>
      </c>
      <c r="T36" s="69">
        <v>52</v>
      </c>
      <c r="U36" s="1180">
        <v>0.59450000000000003</v>
      </c>
      <c r="V36" s="1180">
        <v>11.352</v>
      </c>
      <c r="W36" s="1181">
        <v>1.8554999999999999</v>
      </c>
      <c r="X36" s="1177">
        <v>1.8554999999999999</v>
      </c>
      <c r="Y36" s="1177">
        <v>13.2075</v>
      </c>
      <c r="Z36" s="1178">
        <v>5.5263769463165233E-2</v>
      </c>
      <c r="AA36" s="1178">
        <v>0.17248431326981176</v>
      </c>
      <c r="AB36" s="1178">
        <v>0.22774808273297698</v>
      </c>
    </row>
    <row r="37" spans="2:28">
      <c r="B37" s="169">
        <v>53</v>
      </c>
      <c r="C37" s="1177">
        <v>0.54400000000000004</v>
      </c>
      <c r="D37" s="1177">
        <v>10.927</v>
      </c>
      <c r="E37" s="1177">
        <v>3.1179999999999999</v>
      </c>
      <c r="F37" s="1177">
        <v>3.1179999999999999</v>
      </c>
      <c r="G37" s="1177">
        <v>14.045</v>
      </c>
      <c r="H37" s="1182">
        <v>5.2393335259558901E-2</v>
      </c>
      <c r="I37" s="1182">
        <v>0.30029856496195706</v>
      </c>
      <c r="J37" s="1182">
        <v>0.35269190022151597</v>
      </c>
      <c r="K37" s="69">
        <v>53</v>
      </c>
      <c r="L37" s="1177">
        <v>0.55100000000000005</v>
      </c>
      <c r="M37" s="1177">
        <v>12.391999999999999</v>
      </c>
      <c r="N37" s="1539">
        <v>0.66300000000000003</v>
      </c>
      <c r="O37" s="1177">
        <v>0.66300000000000003</v>
      </c>
      <c r="P37" s="1177">
        <v>13.055</v>
      </c>
      <c r="Q37" s="1183">
        <v>4.6533231990541345E-2</v>
      </c>
      <c r="R37" s="1183">
        <v>5.5991892576640494E-2</v>
      </c>
      <c r="S37" s="1183">
        <v>0.10252512456718184</v>
      </c>
      <c r="T37" s="69">
        <v>53</v>
      </c>
      <c r="U37" s="1180">
        <v>0.5475000000000001</v>
      </c>
      <c r="V37" s="1180">
        <v>11.6595</v>
      </c>
      <c r="W37" s="1181">
        <v>1.8904999999999998</v>
      </c>
      <c r="X37" s="1177">
        <v>1.8904999999999998</v>
      </c>
      <c r="Y37" s="1177">
        <v>13.549999999999999</v>
      </c>
      <c r="Z37" s="607">
        <v>4.9271058315334779E-2</v>
      </c>
      <c r="AA37" s="607">
        <v>0.17013138948884088</v>
      </c>
      <c r="AB37" s="607">
        <v>0.21940244780417567</v>
      </c>
    </row>
    <row r="38" spans="2:28">
      <c r="B38" s="69">
        <v>54</v>
      </c>
      <c r="C38" s="1177">
        <v>0.496</v>
      </c>
      <c r="D38" s="1177">
        <v>11.237</v>
      </c>
      <c r="E38" s="1177">
        <v>3.18</v>
      </c>
      <c r="F38" s="1177">
        <v>3.18</v>
      </c>
      <c r="G38" s="1177">
        <v>14.417</v>
      </c>
      <c r="H38" s="1178">
        <v>4.6178195698724514E-2</v>
      </c>
      <c r="I38" s="1178">
        <v>0.29606181919746766</v>
      </c>
      <c r="J38" s="1178">
        <v>0.34224001489619216</v>
      </c>
      <c r="K38" s="69">
        <v>54</v>
      </c>
      <c r="L38" s="1177">
        <v>0.49399999999999999</v>
      </c>
      <c r="M38" s="1177">
        <v>12.714</v>
      </c>
      <c r="N38" s="1539">
        <v>0.66600000000000004</v>
      </c>
      <c r="O38" s="1177">
        <v>0.66600000000000004</v>
      </c>
      <c r="P38" s="1177">
        <v>13.38</v>
      </c>
      <c r="Q38" s="1178">
        <v>4.0425531914893613E-2</v>
      </c>
      <c r="R38" s="1178">
        <v>5.4500818330605563E-2</v>
      </c>
      <c r="S38" s="1178">
        <v>9.4926350245499169E-2</v>
      </c>
      <c r="T38" s="69">
        <v>54</v>
      </c>
      <c r="U38" s="1180">
        <v>0.495</v>
      </c>
      <c r="V38" s="1180">
        <v>11.9755</v>
      </c>
      <c r="W38" s="1181">
        <v>1.923</v>
      </c>
      <c r="X38" s="1177">
        <v>1.923</v>
      </c>
      <c r="Y38" s="1177">
        <v>13.8985</v>
      </c>
      <c r="Z38" s="1178">
        <v>4.3116588998736986E-2</v>
      </c>
      <c r="AA38" s="1178">
        <v>0.16750141544357822</v>
      </c>
      <c r="AB38" s="1178">
        <v>0.21061800444231521</v>
      </c>
    </row>
    <row r="39" spans="2:28">
      <c r="B39" s="169">
        <v>55</v>
      </c>
      <c r="C39" s="1177">
        <v>0.441</v>
      </c>
      <c r="D39" s="1177">
        <v>11.557</v>
      </c>
      <c r="E39" s="1177">
        <v>3.24</v>
      </c>
      <c r="F39" s="1177">
        <v>3.24</v>
      </c>
      <c r="G39" s="1177">
        <v>14.797000000000001</v>
      </c>
      <c r="H39" s="1182">
        <v>3.9672544080604534E-2</v>
      </c>
      <c r="I39" s="1182">
        <v>0.29147175242893131</v>
      </c>
      <c r="J39" s="1182">
        <v>0.33114429650953586</v>
      </c>
      <c r="K39" s="69">
        <v>55</v>
      </c>
      <c r="L39" s="1177">
        <v>0.432</v>
      </c>
      <c r="M39" s="1177">
        <v>13.045</v>
      </c>
      <c r="N39" s="1539">
        <v>0.66900000000000004</v>
      </c>
      <c r="O39" s="1177">
        <v>0.66900000000000004</v>
      </c>
      <c r="P39" s="1177">
        <v>13.714</v>
      </c>
      <c r="Q39" s="1183">
        <v>3.4250376595575997E-2</v>
      </c>
      <c r="R39" s="1183">
        <v>5.3040513755648937E-2</v>
      </c>
      <c r="S39" s="1183">
        <v>8.7290890351224934E-2</v>
      </c>
      <c r="T39" s="69">
        <v>55</v>
      </c>
      <c r="U39" s="1180">
        <v>0.4365</v>
      </c>
      <c r="V39" s="1180">
        <v>12.301</v>
      </c>
      <c r="W39" s="1181">
        <v>1.9545000000000001</v>
      </c>
      <c r="X39" s="1177">
        <v>1.9545000000000001</v>
      </c>
      <c r="Y39" s="1177">
        <v>14.2555</v>
      </c>
      <c r="Z39" s="607">
        <v>3.679042521808757E-2</v>
      </c>
      <c r="AA39" s="607">
        <v>0.1647351342239454</v>
      </c>
      <c r="AB39" s="607">
        <v>0.20152555944203296</v>
      </c>
    </row>
    <row r="40" spans="2:28">
      <c r="B40" s="69">
        <v>56</v>
      </c>
      <c r="C40" s="1177">
        <v>0.38</v>
      </c>
      <c r="D40" s="1177">
        <v>11.888</v>
      </c>
      <c r="E40" s="1177">
        <v>3.298</v>
      </c>
      <c r="F40" s="1177">
        <v>3.298</v>
      </c>
      <c r="G40" s="1177">
        <v>15.186</v>
      </c>
      <c r="H40" s="1178">
        <v>3.3020507473062219E-2</v>
      </c>
      <c r="I40" s="1178">
        <v>0.28658324643726107</v>
      </c>
      <c r="J40" s="1178">
        <v>0.31960375391032331</v>
      </c>
      <c r="K40" s="69">
        <v>56</v>
      </c>
      <c r="L40" s="1177">
        <v>0.36499999999999999</v>
      </c>
      <c r="M40" s="1177">
        <v>13.385999999999999</v>
      </c>
      <c r="N40" s="1539">
        <v>0.67</v>
      </c>
      <c r="O40" s="1177">
        <v>0.67</v>
      </c>
      <c r="P40" s="1177">
        <v>14.055999999999999</v>
      </c>
      <c r="Q40" s="1178">
        <v>2.8031641194992706E-2</v>
      </c>
      <c r="R40" s="1178">
        <v>5.145534137163045E-2</v>
      </c>
      <c r="S40" s="1178">
        <v>7.9486982566623149E-2</v>
      </c>
      <c r="T40" s="69">
        <v>56</v>
      </c>
      <c r="U40" s="1180">
        <v>0.3725</v>
      </c>
      <c r="V40" s="1180">
        <v>12.637</v>
      </c>
      <c r="W40" s="1181">
        <v>1.984</v>
      </c>
      <c r="X40" s="1177">
        <v>1.984</v>
      </c>
      <c r="Y40" s="1177">
        <v>14.621</v>
      </c>
      <c r="Z40" s="1178">
        <v>3.037221248318317E-2</v>
      </c>
      <c r="AA40" s="1178">
        <v>0.16176770353459172</v>
      </c>
      <c r="AB40" s="1178">
        <v>0.19213991601777489</v>
      </c>
    </row>
    <row r="41" spans="2:28">
      <c r="B41" s="169">
        <v>57</v>
      </c>
      <c r="C41" s="1177">
        <v>0.315</v>
      </c>
      <c r="D41" s="1177">
        <v>12.231</v>
      </c>
      <c r="E41" s="1177">
        <v>3.355</v>
      </c>
      <c r="F41" s="1177">
        <v>3.355</v>
      </c>
      <c r="G41" s="1177">
        <v>15.586</v>
      </c>
      <c r="H41" s="1182">
        <v>2.6435045317220542E-2</v>
      </c>
      <c r="I41" s="1182">
        <v>0.28155421282309501</v>
      </c>
      <c r="J41" s="1182">
        <v>0.30798925814031552</v>
      </c>
      <c r="K41" s="69">
        <v>57</v>
      </c>
      <c r="L41" s="1177">
        <v>0.29499999999999998</v>
      </c>
      <c r="M41" s="1177">
        <v>13.739000000000001</v>
      </c>
      <c r="N41" s="1539">
        <v>0.67</v>
      </c>
      <c r="O41" s="1177">
        <v>0.67</v>
      </c>
      <c r="P41" s="1177">
        <v>14.409000000000001</v>
      </c>
      <c r="Q41" s="1183">
        <v>2.1942874144599819E-2</v>
      </c>
      <c r="R41" s="1183">
        <v>4.9836358226718239E-2</v>
      </c>
      <c r="S41" s="1183">
        <v>7.1779232371318058E-2</v>
      </c>
      <c r="T41" s="69">
        <v>57</v>
      </c>
      <c r="U41" s="1180">
        <v>0.30499999999999999</v>
      </c>
      <c r="V41" s="1180">
        <v>12.984999999999999</v>
      </c>
      <c r="W41" s="1181">
        <v>2.0125000000000002</v>
      </c>
      <c r="X41" s="1177">
        <v>2.0125000000000002</v>
      </c>
      <c r="Y41" s="1177">
        <v>14.997499999999999</v>
      </c>
      <c r="Z41" s="607">
        <v>2.4053627760252366E-2</v>
      </c>
      <c r="AA41" s="607">
        <v>0.15871451104100948</v>
      </c>
      <c r="AB41" s="607">
        <v>0.18276813880126183</v>
      </c>
    </row>
    <row r="42" spans="2:28">
      <c r="B42" s="69">
        <v>58</v>
      </c>
      <c r="C42" s="1177">
        <v>0.248</v>
      </c>
      <c r="D42" s="1177">
        <v>12.587999999999999</v>
      </c>
      <c r="E42" s="1177">
        <v>3.4119999999999999</v>
      </c>
      <c r="F42" s="1177">
        <v>3.4119999999999999</v>
      </c>
      <c r="G42" s="1177">
        <v>16</v>
      </c>
      <c r="H42" s="1178">
        <v>2.0097244732576985E-2</v>
      </c>
      <c r="I42" s="1178">
        <v>0.27649918962722853</v>
      </c>
      <c r="J42" s="1178">
        <v>0.29659643435980554</v>
      </c>
      <c r="K42" s="69">
        <v>58</v>
      </c>
      <c r="L42" s="1177">
        <v>0.22500000000000001</v>
      </c>
      <c r="M42" s="1177">
        <v>14.106999999999999</v>
      </c>
      <c r="N42" s="1539">
        <v>0.67</v>
      </c>
      <c r="O42" s="1177">
        <v>0.67</v>
      </c>
      <c r="P42" s="1177">
        <v>14.776999999999999</v>
      </c>
      <c r="Q42" s="1178">
        <v>1.6208039187436969E-2</v>
      </c>
      <c r="R42" s="1178">
        <v>4.8263938913701197E-2</v>
      </c>
      <c r="S42" s="1178">
        <v>6.4471978101138167E-2</v>
      </c>
      <c r="T42" s="69">
        <v>58</v>
      </c>
      <c r="U42" s="1180">
        <v>0.23649999999999999</v>
      </c>
      <c r="V42" s="1180">
        <v>13.3475</v>
      </c>
      <c r="W42" s="1181">
        <v>2.0409999999999999</v>
      </c>
      <c r="X42" s="1177">
        <v>2.0409999999999999</v>
      </c>
      <c r="Y42" s="1177">
        <v>15.388500000000001</v>
      </c>
      <c r="Z42" s="1178">
        <v>1.8038288460071692E-2</v>
      </c>
      <c r="AA42" s="1178">
        <v>0.15567081076958278</v>
      </c>
      <c r="AB42" s="1178">
        <v>0.17370909922965447</v>
      </c>
    </row>
    <row r="43" spans="2:28">
      <c r="B43" s="169">
        <v>59</v>
      </c>
      <c r="C43" s="1177">
        <v>0.182</v>
      </c>
      <c r="D43" s="1177">
        <v>12.962</v>
      </c>
      <c r="E43" s="1177">
        <v>3.47</v>
      </c>
      <c r="F43" s="1177">
        <v>3.47</v>
      </c>
      <c r="G43" s="1177">
        <v>16.431999999999999</v>
      </c>
      <c r="H43" s="1182">
        <v>1.4241001564945227E-2</v>
      </c>
      <c r="I43" s="1182">
        <v>0.27151799687010958</v>
      </c>
      <c r="J43" s="1182">
        <v>0.28575899843505481</v>
      </c>
      <c r="K43" s="69">
        <v>59</v>
      </c>
      <c r="L43" s="1177">
        <v>0.16</v>
      </c>
      <c r="M43" s="1177">
        <v>14.493</v>
      </c>
      <c r="N43" s="1539">
        <v>0.67</v>
      </c>
      <c r="O43" s="1177">
        <v>0.67</v>
      </c>
      <c r="P43" s="1177">
        <v>15.163</v>
      </c>
      <c r="Q43" s="1183">
        <v>1.1163050303495431E-2</v>
      </c>
      <c r="R43" s="1183">
        <v>4.6745273145887119E-2</v>
      </c>
      <c r="S43" s="1183">
        <v>5.790832344938255E-2</v>
      </c>
      <c r="T43" s="69">
        <v>59</v>
      </c>
      <c r="U43" s="1180">
        <v>0.17099999999999999</v>
      </c>
      <c r="V43" s="1180">
        <v>13.727499999999999</v>
      </c>
      <c r="W43" s="1181">
        <v>2.0700000000000003</v>
      </c>
      <c r="X43" s="1177">
        <v>2.0700000000000003</v>
      </c>
      <c r="Y43" s="1177">
        <v>15.797499999999999</v>
      </c>
      <c r="Z43" s="607">
        <v>1.2613875262789067E-2</v>
      </c>
      <c r="AA43" s="607">
        <v>0.15269427949692033</v>
      </c>
      <c r="AB43" s="607">
        <v>0.16530815475970939</v>
      </c>
    </row>
    <row r="44" spans="2:28">
      <c r="B44" s="69">
        <v>60</v>
      </c>
      <c r="C44" s="1177">
        <v>0.123</v>
      </c>
      <c r="D44" s="1177">
        <v>13.356</v>
      </c>
      <c r="E44" s="1177">
        <v>3.53</v>
      </c>
      <c r="F44" s="1177">
        <v>3.53</v>
      </c>
      <c r="G44" s="1177">
        <v>16.885999999999999</v>
      </c>
      <c r="H44" s="1178">
        <v>9.2949444570392201E-3</v>
      </c>
      <c r="I44" s="1178">
        <v>0.26675734905161336</v>
      </c>
      <c r="J44" s="1178">
        <v>0.27605229350865257</v>
      </c>
      <c r="K44" s="69">
        <v>60</v>
      </c>
      <c r="L44" s="1177">
        <v>0.10299999999999999</v>
      </c>
      <c r="M44" s="1177">
        <v>14.904</v>
      </c>
      <c r="N44" s="1539">
        <v>0.66900000000000004</v>
      </c>
      <c r="O44" s="1177">
        <v>0.66900000000000004</v>
      </c>
      <c r="P44" s="1177">
        <v>15.573</v>
      </c>
      <c r="Q44" s="1178">
        <v>6.9589892574826017E-3</v>
      </c>
      <c r="R44" s="1178">
        <v>4.5199648672387002E-2</v>
      </c>
      <c r="S44" s="1178">
        <v>5.2158637929869606E-2</v>
      </c>
      <c r="T44" s="69">
        <v>60</v>
      </c>
      <c r="U44" s="1180">
        <v>0.11299999999999999</v>
      </c>
      <c r="V44" s="1180">
        <v>14.129999999999999</v>
      </c>
      <c r="W44" s="1181">
        <v>2.0994999999999999</v>
      </c>
      <c r="X44" s="1177">
        <v>2.0994999999999999</v>
      </c>
      <c r="Y44" s="1177">
        <v>16.229499999999998</v>
      </c>
      <c r="Z44" s="1178">
        <v>8.061639437825497E-3</v>
      </c>
      <c r="AA44" s="1178">
        <v>0.14978240707712065</v>
      </c>
      <c r="AB44" s="1178">
        <v>0.15784404651494616</v>
      </c>
    </row>
    <row r="45" spans="2:28">
      <c r="B45" s="169">
        <v>61</v>
      </c>
      <c r="C45" s="1177">
        <v>7.3999999999999996E-2</v>
      </c>
      <c r="D45" s="1177">
        <v>13.776</v>
      </c>
      <c r="E45" s="1177">
        <v>3.5920000000000001</v>
      </c>
      <c r="F45" s="1177">
        <v>3.5920000000000001</v>
      </c>
      <c r="G45" s="1177">
        <v>17.367999999999999</v>
      </c>
      <c r="H45" s="1182">
        <v>5.4006714348270321E-3</v>
      </c>
      <c r="I45" s="1182">
        <v>0.26215151072836085</v>
      </c>
      <c r="J45" s="1182">
        <v>0.26755218216318788</v>
      </c>
      <c r="K45" s="69">
        <v>61</v>
      </c>
      <c r="L45" s="1177">
        <v>5.8999999999999997E-2</v>
      </c>
      <c r="M45" s="1177">
        <v>15.342000000000001</v>
      </c>
      <c r="N45" s="1539">
        <v>0.66800000000000004</v>
      </c>
      <c r="O45" s="1177">
        <v>0.66800000000000004</v>
      </c>
      <c r="P45" s="1177">
        <v>16.010000000000002</v>
      </c>
      <c r="Q45" s="1183">
        <v>3.8604985932081393E-3</v>
      </c>
      <c r="R45" s="1183">
        <v>4.370869593666165E-2</v>
      </c>
      <c r="S45" s="1183">
        <v>4.7569194529869789E-2</v>
      </c>
      <c r="T45" s="69">
        <v>61</v>
      </c>
      <c r="U45" s="1180">
        <v>6.6500000000000004E-2</v>
      </c>
      <c r="V45" s="1180">
        <v>14.559000000000001</v>
      </c>
      <c r="W45" s="1181">
        <v>2.13</v>
      </c>
      <c r="X45" s="1177">
        <v>2.13</v>
      </c>
      <c r="Y45" s="1177">
        <v>16.689</v>
      </c>
      <c r="Z45" s="607">
        <v>4.5885803001552523E-3</v>
      </c>
      <c r="AA45" s="607">
        <v>0.14697257202001032</v>
      </c>
      <c r="AB45" s="607">
        <v>0.15156115232016557</v>
      </c>
    </row>
    <row r="46" spans="2:28">
      <c r="B46" s="1535">
        <v>62</v>
      </c>
      <c r="C46" s="1545">
        <v>3.6999999999999998E-2</v>
      </c>
      <c r="D46" s="1545">
        <v>14.225</v>
      </c>
      <c r="E46" s="1545">
        <v>3.64</v>
      </c>
      <c r="F46" s="1545">
        <v>3.64</v>
      </c>
      <c r="G46" s="1545">
        <v>17.864999999999998</v>
      </c>
      <c r="H46" s="1551">
        <v>2.6078376092472512E-3</v>
      </c>
      <c r="I46" s="1551">
        <v>0.25655483507189175</v>
      </c>
      <c r="J46" s="1551">
        <v>0.25916267268113902</v>
      </c>
      <c r="K46" s="1535">
        <v>62</v>
      </c>
      <c r="L46" s="1545">
        <v>2.8000000000000001E-2</v>
      </c>
      <c r="M46" s="1545">
        <v>15.811999999999999</v>
      </c>
      <c r="N46" s="1539">
        <v>0.66500000000000004</v>
      </c>
      <c r="O46" s="1545">
        <v>0.66500000000000004</v>
      </c>
      <c r="P46" s="1545">
        <v>16.477</v>
      </c>
      <c r="Q46" s="1551">
        <v>1.7739483020780538E-3</v>
      </c>
      <c r="R46" s="1551">
        <v>4.2131272174353779E-2</v>
      </c>
      <c r="S46" s="1551">
        <v>4.3905220476431833E-2</v>
      </c>
      <c r="T46" s="1535">
        <v>62</v>
      </c>
      <c r="U46" s="1546">
        <v>3.2500000000000001E-2</v>
      </c>
      <c r="V46" s="1546">
        <v>15.0185</v>
      </c>
      <c r="W46" s="1547">
        <v>2.1524999999999999</v>
      </c>
      <c r="X46" s="1545">
        <v>2.1524999999999999</v>
      </c>
      <c r="Y46" s="1545">
        <v>17.170999999999999</v>
      </c>
      <c r="Z46" s="1551">
        <v>2.1686907780595227E-3</v>
      </c>
      <c r="AA46" s="1551">
        <v>0.14363405845455759</v>
      </c>
      <c r="AB46" s="1551">
        <v>0.14580274923261713</v>
      </c>
    </row>
    <row r="47" spans="2:28">
      <c r="B47" s="169">
        <v>63</v>
      </c>
      <c r="C47" s="1177">
        <v>1.4E-2</v>
      </c>
      <c r="D47" s="1177">
        <v>14.705</v>
      </c>
      <c r="E47" s="1177">
        <v>3.6869999999999998</v>
      </c>
      <c r="F47" s="1177">
        <v>3.6869999999999998</v>
      </c>
      <c r="G47" s="1177">
        <v>18.391999999999999</v>
      </c>
      <c r="H47" s="1182">
        <v>9.529643999727724E-4</v>
      </c>
      <c r="I47" s="1182">
        <v>0.25096998162140083</v>
      </c>
      <c r="J47" s="1182">
        <v>0.25192294602137361</v>
      </c>
      <c r="K47" s="69">
        <v>63</v>
      </c>
      <c r="L47" s="1177">
        <v>0.01</v>
      </c>
      <c r="M47" s="1177">
        <v>16.312999999999999</v>
      </c>
      <c r="N47" s="1552">
        <v>0.66100000000000003</v>
      </c>
      <c r="O47" s="1177">
        <v>0.66100000000000003</v>
      </c>
      <c r="P47" s="1177">
        <v>16.974</v>
      </c>
      <c r="Q47" s="1183">
        <v>6.1338403974728589E-4</v>
      </c>
      <c r="R47" s="1183">
        <v>4.05446850272956E-2</v>
      </c>
      <c r="S47" s="1183">
        <v>4.1158069067042884E-2</v>
      </c>
      <c r="T47" s="69">
        <v>63</v>
      </c>
      <c r="U47" s="1180">
        <v>1.2E-2</v>
      </c>
      <c r="V47" s="1180">
        <v>15.509</v>
      </c>
      <c r="W47" s="1181">
        <v>2.1739999999999999</v>
      </c>
      <c r="X47" s="1177">
        <v>2.1739999999999999</v>
      </c>
      <c r="Y47" s="1177">
        <v>17.683</v>
      </c>
      <c r="Z47" s="607">
        <v>7.7434342130734983E-4</v>
      </c>
      <c r="AA47" s="607">
        <v>0.14028521649351486</v>
      </c>
      <c r="AB47" s="607">
        <v>0.14105955991482222</v>
      </c>
    </row>
    <row r="48" spans="2:28">
      <c r="B48" s="69">
        <v>64</v>
      </c>
      <c r="C48" s="1177">
        <v>3.0000000000000001E-3</v>
      </c>
      <c r="D48" s="1177">
        <v>15.22</v>
      </c>
      <c r="E48" s="1177">
        <v>3.7330000000000001</v>
      </c>
      <c r="F48" s="1177">
        <v>3.7330000000000001</v>
      </c>
      <c r="G48" s="1177">
        <v>18.952999999999999</v>
      </c>
      <c r="H48" s="1178">
        <v>1.9714792666097129E-4</v>
      </c>
      <c r="I48" s="1178">
        <v>0.24531773674180193</v>
      </c>
      <c r="J48" s="1178">
        <v>0.24551488466846291</v>
      </c>
      <c r="K48" s="69">
        <v>64</v>
      </c>
      <c r="L48" s="1177">
        <v>2E-3</v>
      </c>
      <c r="M48" s="1177">
        <v>16.846</v>
      </c>
      <c r="N48" s="1552">
        <v>0.65600000000000003</v>
      </c>
      <c r="O48" s="1177">
        <v>0.65600000000000003</v>
      </c>
      <c r="P48" s="1177">
        <v>17.501999999999999</v>
      </c>
      <c r="Q48" s="1178">
        <v>1.1873664212776061E-4</v>
      </c>
      <c r="R48" s="1178">
        <v>3.8945618617905485E-2</v>
      </c>
      <c r="S48" s="1178">
        <v>3.9064355260033247E-2</v>
      </c>
      <c r="T48" s="69">
        <v>64</v>
      </c>
      <c r="U48" s="1180">
        <v>2.5000000000000001E-3</v>
      </c>
      <c r="V48" s="1180">
        <v>16.033000000000001</v>
      </c>
      <c r="W48" s="1181">
        <v>2.1945000000000001</v>
      </c>
      <c r="X48" s="1177">
        <v>2.1945000000000001</v>
      </c>
      <c r="Y48" s="1177">
        <v>18.227500000000003</v>
      </c>
      <c r="Z48" s="1178">
        <v>1.5595271513677052E-4</v>
      </c>
      <c r="AA48" s="1178">
        <v>0.13689529334705719</v>
      </c>
      <c r="AB48" s="1178">
        <v>0.13705124606219396</v>
      </c>
    </row>
    <row r="49" spans="2:28">
      <c r="B49" s="169">
        <v>65</v>
      </c>
      <c r="C49" s="1177">
        <v>0</v>
      </c>
      <c r="D49" s="1177">
        <v>15.77</v>
      </c>
      <c r="E49" s="1177">
        <v>3.7749999999999999</v>
      </c>
      <c r="F49" s="1177">
        <v>3.7749999999999999</v>
      </c>
      <c r="G49" s="1177">
        <v>19.544999999999998</v>
      </c>
      <c r="H49" s="1182">
        <v>0</v>
      </c>
      <c r="I49" s="1182">
        <v>0.23937856689917564</v>
      </c>
      <c r="J49" s="1182">
        <v>0.23937856689917564</v>
      </c>
      <c r="K49" s="69">
        <v>65</v>
      </c>
      <c r="L49" s="1177">
        <v>0</v>
      </c>
      <c r="M49" s="1177">
        <v>17.408000000000001</v>
      </c>
      <c r="N49" s="1552">
        <v>0.64900000000000002</v>
      </c>
      <c r="O49" s="1177">
        <v>0.64900000000000002</v>
      </c>
      <c r="P49" s="1177">
        <v>18.057000000000002</v>
      </c>
      <c r="Q49" s="1183">
        <v>0</v>
      </c>
      <c r="R49" s="1183">
        <v>3.7281709558823525E-2</v>
      </c>
      <c r="S49" s="1183">
        <v>3.7281709558823525E-2</v>
      </c>
      <c r="T49" s="69">
        <v>65</v>
      </c>
      <c r="U49" s="1180">
        <v>0</v>
      </c>
      <c r="V49" s="1180">
        <v>16.588999999999999</v>
      </c>
      <c r="W49" s="1181">
        <v>2.2119999999999997</v>
      </c>
      <c r="X49" s="1177">
        <v>2.2119999999999997</v>
      </c>
      <c r="Y49" s="1177">
        <v>18.800999999999998</v>
      </c>
      <c r="Z49" s="607">
        <v>0</v>
      </c>
      <c r="AA49" s="607">
        <v>0.13334137078787148</v>
      </c>
      <c r="AB49" s="607">
        <v>0.13334137078787148</v>
      </c>
    </row>
    <row r="50" spans="2:28">
      <c r="B50" s="132">
        <v>66</v>
      </c>
      <c r="C50" s="1548"/>
      <c r="D50" s="1548">
        <v>15.379</v>
      </c>
      <c r="E50" s="1548">
        <v>3.778</v>
      </c>
      <c r="F50" s="1548">
        <v>3.778</v>
      </c>
      <c r="G50" s="1548">
        <v>19.157</v>
      </c>
      <c r="H50" s="1317">
        <v>0</v>
      </c>
      <c r="I50" s="1317">
        <v>0.24565966577800899</v>
      </c>
      <c r="J50" s="1317">
        <v>0.24565966577800899</v>
      </c>
      <c r="K50" s="132">
        <v>66</v>
      </c>
      <c r="L50" s="1548">
        <v>0</v>
      </c>
      <c r="M50" s="1548">
        <v>17.004000000000001</v>
      </c>
      <c r="N50" s="1548">
        <v>0.63</v>
      </c>
      <c r="O50" s="1548">
        <v>0.63</v>
      </c>
      <c r="P50" s="1548">
        <v>17.634</v>
      </c>
      <c r="Q50" s="1317">
        <v>0</v>
      </c>
      <c r="R50" s="1317">
        <v>3.7050105857445302E-2</v>
      </c>
      <c r="S50" s="1317">
        <v>3.7050105857445302E-2</v>
      </c>
      <c r="T50" s="132">
        <v>66</v>
      </c>
      <c r="U50" s="1549">
        <v>0</v>
      </c>
      <c r="V50" s="1549">
        <v>16.387</v>
      </c>
      <c r="W50" s="1550">
        <v>2.2040000000000002</v>
      </c>
      <c r="X50" s="1548">
        <v>2.2040000000000002</v>
      </c>
      <c r="Y50" s="1548">
        <v>18.591000000000001</v>
      </c>
      <c r="Z50" s="1317">
        <v>0</v>
      </c>
      <c r="AA50" s="1317">
        <v>0.13449685726490512</v>
      </c>
      <c r="AB50" s="1317">
        <v>0.13449685726490512</v>
      </c>
    </row>
    <row r="51" spans="2:28">
      <c r="B51" s="89">
        <v>67</v>
      </c>
      <c r="C51" s="1548"/>
      <c r="D51" s="1548">
        <v>14.98</v>
      </c>
      <c r="E51" s="1548">
        <v>3.778</v>
      </c>
      <c r="F51" s="1548">
        <v>3.778</v>
      </c>
      <c r="G51" s="1548">
        <v>18.757999999999999</v>
      </c>
      <c r="H51" s="1318">
        <v>0</v>
      </c>
      <c r="I51" s="1318">
        <v>0.25220293724966619</v>
      </c>
      <c r="J51" s="1318">
        <v>0.25220293724966619</v>
      </c>
      <c r="K51" s="132">
        <v>67</v>
      </c>
      <c r="L51" s="1548">
        <v>0</v>
      </c>
      <c r="M51" s="1548">
        <v>16.59</v>
      </c>
      <c r="N51" s="1548">
        <v>0.61</v>
      </c>
      <c r="O51" s="1548">
        <v>0.61</v>
      </c>
      <c r="P51" s="1548">
        <v>17.2</v>
      </c>
      <c r="Q51" s="1319">
        <v>0</v>
      </c>
      <c r="R51" s="1319">
        <v>3.6769138034960819E-2</v>
      </c>
      <c r="S51" s="1319">
        <v>3.6769138034960819E-2</v>
      </c>
      <c r="T51" s="132">
        <v>67</v>
      </c>
      <c r="U51" s="1549">
        <v>0</v>
      </c>
      <c r="V51" s="1549">
        <v>15.984500000000001</v>
      </c>
      <c r="W51" s="1550">
        <v>2.194</v>
      </c>
      <c r="X51" s="1548">
        <v>2.194</v>
      </c>
      <c r="Y51" s="1548">
        <v>18.1785</v>
      </c>
      <c r="Z51" s="1320">
        <v>0</v>
      </c>
      <c r="AA51" s="1320">
        <v>0.1372579686571366</v>
      </c>
      <c r="AB51" s="1320">
        <v>0.1372579686571366</v>
      </c>
    </row>
    <row r="52" spans="2:28">
      <c r="B52" s="4">
        <v>68</v>
      </c>
      <c r="C52" s="147"/>
      <c r="D52" s="147">
        <v>14.573</v>
      </c>
      <c r="E52" s="147">
        <v>3.7770000000000001</v>
      </c>
      <c r="F52" s="147">
        <v>3.7770000000000001</v>
      </c>
      <c r="G52" s="147">
        <v>18.350000000000001</v>
      </c>
      <c r="H52" s="148">
        <v>0</v>
      </c>
      <c r="I52" s="148">
        <v>0.25917793179166954</v>
      </c>
      <c r="J52" s="1317">
        <v>0.25917793179166954</v>
      </c>
      <c r="K52" s="4">
        <v>68</v>
      </c>
      <c r="L52" s="147">
        <v>0</v>
      </c>
      <c r="M52" s="147">
        <v>16.163</v>
      </c>
      <c r="N52" s="147">
        <v>0.59099999999999997</v>
      </c>
      <c r="O52" s="147">
        <v>0.59099999999999997</v>
      </c>
      <c r="P52" s="147">
        <v>16.754000000000001</v>
      </c>
      <c r="Q52" s="148">
        <v>0</v>
      </c>
      <c r="R52" s="148">
        <v>3.6564994122378271E-2</v>
      </c>
      <c r="S52" s="1317">
        <v>3.6564994122378271E-2</v>
      </c>
      <c r="T52" s="4">
        <v>68</v>
      </c>
      <c r="U52" s="149">
        <v>0</v>
      </c>
      <c r="V52" s="149">
        <v>15.5715</v>
      </c>
      <c r="W52" s="150">
        <v>2.1840000000000002</v>
      </c>
      <c r="X52" s="147">
        <v>2.1840000000000002</v>
      </c>
      <c r="Y52" s="147">
        <v>17.755500000000001</v>
      </c>
      <c r="Z52" s="148">
        <v>0</v>
      </c>
      <c r="AA52" s="148">
        <v>0.14025623735670939</v>
      </c>
      <c r="AB52" s="1317">
        <v>0.14025623735670939</v>
      </c>
    </row>
    <row r="53" spans="2:28">
      <c r="B53" s="28">
        <v>69</v>
      </c>
      <c r="C53" s="147"/>
      <c r="D53" s="147">
        <v>14.156000000000001</v>
      </c>
      <c r="E53" s="147">
        <v>3.7730000000000001</v>
      </c>
      <c r="F53" s="147">
        <v>3.7730000000000001</v>
      </c>
      <c r="G53" s="147">
        <v>17.929000000000002</v>
      </c>
      <c r="H53" s="767">
        <v>0</v>
      </c>
      <c r="I53" s="767">
        <v>0.26653009324667987</v>
      </c>
      <c r="J53" s="1318">
        <v>0.26653009324667987</v>
      </c>
      <c r="K53" s="4">
        <v>69</v>
      </c>
      <c r="L53" s="147">
        <v>0</v>
      </c>
      <c r="M53" s="147">
        <v>15.725</v>
      </c>
      <c r="N53" s="147">
        <v>0.57199999999999995</v>
      </c>
      <c r="O53" s="147">
        <v>0.57199999999999995</v>
      </c>
      <c r="P53" s="147">
        <v>16.297000000000001</v>
      </c>
      <c r="Q53" s="768">
        <v>0</v>
      </c>
      <c r="R53" s="768">
        <v>3.63751987281399E-2</v>
      </c>
      <c r="S53" s="1319">
        <v>3.63751987281399E-2</v>
      </c>
      <c r="T53" s="4">
        <v>69</v>
      </c>
      <c r="U53" s="149">
        <v>0</v>
      </c>
      <c r="V53" s="149">
        <v>15.149000000000001</v>
      </c>
      <c r="W53" s="150">
        <v>2.1724999999999999</v>
      </c>
      <c r="X53" s="147">
        <v>2.1724999999999999</v>
      </c>
      <c r="Y53" s="147">
        <v>17.3215</v>
      </c>
      <c r="Z53" s="769">
        <v>0</v>
      </c>
      <c r="AA53" s="769">
        <v>0.14340880586177304</v>
      </c>
      <c r="AB53" s="1320">
        <v>0.14340880586177304</v>
      </c>
    </row>
    <row r="54" spans="2:28">
      <c r="B54" s="4">
        <v>70</v>
      </c>
      <c r="C54" s="147"/>
      <c r="D54" s="147">
        <v>13.728999999999999</v>
      </c>
      <c r="E54" s="147">
        <v>3.7669999999999999</v>
      </c>
      <c r="F54" s="147">
        <v>3.7669999999999999</v>
      </c>
      <c r="G54" s="147">
        <v>17.495999999999999</v>
      </c>
      <c r="H54" s="148">
        <v>0</v>
      </c>
      <c r="I54" s="148">
        <v>0.27438269356835898</v>
      </c>
      <c r="J54" s="1317">
        <v>0.27438269356835898</v>
      </c>
      <c r="K54" s="4">
        <v>70</v>
      </c>
      <c r="L54" s="147">
        <v>0</v>
      </c>
      <c r="M54" s="147">
        <v>15.273999999999999</v>
      </c>
      <c r="N54" s="147">
        <v>0.55100000000000005</v>
      </c>
      <c r="O54" s="147">
        <v>0.55100000000000005</v>
      </c>
      <c r="P54" s="147">
        <v>15.824999999999999</v>
      </c>
      <c r="Q54" s="148">
        <v>0</v>
      </c>
      <c r="R54" s="148">
        <v>3.6074374754484752E-2</v>
      </c>
      <c r="S54" s="1317">
        <v>3.6074374754484752E-2</v>
      </c>
      <c r="T54" s="4">
        <v>70</v>
      </c>
      <c r="U54" s="149">
        <v>0</v>
      </c>
      <c r="V54" s="149">
        <v>14.715</v>
      </c>
      <c r="W54" s="150">
        <v>2.1589999999999998</v>
      </c>
      <c r="X54" s="147">
        <v>2.1589999999999998</v>
      </c>
      <c r="Y54" s="147">
        <v>16.873999999999999</v>
      </c>
      <c r="Z54" s="148">
        <v>0</v>
      </c>
      <c r="AA54" s="148">
        <v>0.14672103295956507</v>
      </c>
      <c r="AB54" s="1317">
        <v>0.14672103295956507</v>
      </c>
    </row>
    <row r="55" spans="2:28">
      <c r="B55" s="28">
        <v>71</v>
      </c>
      <c r="C55" s="147"/>
      <c r="D55" s="147">
        <v>13.292999999999999</v>
      </c>
      <c r="E55" s="147">
        <v>3.758</v>
      </c>
      <c r="F55" s="147">
        <v>3.758</v>
      </c>
      <c r="G55" s="147">
        <v>17.050999999999998</v>
      </c>
      <c r="H55" s="767">
        <v>0</v>
      </c>
      <c r="I55" s="767">
        <v>0.28270518317911686</v>
      </c>
      <c r="J55" s="1318">
        <v>0.28270518317911686</v>
      </c>
      <c r="K55" s="4">
        <v>71</v>
      </c>
      <c r="L55" s="147">
        <v>0</v>
      </c>
      <c r="M55" s="147">
        <v>14.81</v>
      </c>
      <c r="N55" s="147">
        <v>0.53100000000000003</v>
      </c>
      <c r="O55" s="147">
        <v>0.53100000000000003</v>
      </c>
      <c r="P55" s="147">
        <v>15.341000000000001</v>
      </c>
      <c r="Q55" s="768">
        <v>0</v>
      </c>
      <c r="R55" s="768">
        <v>3.5854152599594867E-2</v>
      </c>
      <c r="S55" s="1319">
        <v>3.5854152599594867E-2</v>
      </c>
      <c r="T55" s="4">
        <v>71</v>
      </c>
      <c r="U55" s="149">
        <v>0</v>
      </c>
      <c r="V55" s="149">
        <v>14.269500000000001</v>
      </c>
      <c r="W55" s="150">
        <v>2.1444999999999999</v>
      </c>
      <c r="X55" s="147">
        <v>2.1444999999999999</v>
      </c>
      <c r="Y55" s="147">
        <v>16.414000000000001</v>
      </c>
      <c r="Z55" s="769">
        <v>0</v>
      </c>
      <c r="AA55" s="769">
        <v>0.15028557412663371</v>
      </c>
      <c r="AB55" s="1320">
        <v>0.15028557412663371</v>
      </c>
    </row>
    <row r="56" spans="2:28">
      <c r="B56" s="4">
        <v>72</v>
      </c>
      <c r="C56" s="147"/>
      <c r="D56" s="147">
        <v>12.846</v>
      </c>
      <c r="E56" s="147">
        <v>3.7469999999999999</v>
      </c>
      <c r="F56" s="147">
        <v>3.7469999999999999</v>
      </c>
      <c r="G56" s="147">
        <v>16.593</v>
      </c>
      <c r="H56" s="148">
        <v>0</v>
      </c>
      <c r="I56" s="148">
        <v>0.29168612797758053</v>
      </c>
      <c r="J56" s="1317">
        <v>0.29168612797758053</v>
      </c>
      <c r="K56" s="4">
        <v>72</v>
      </c>
      <c r="L56" s="147">
        <v>0</v>
      </c>
      <c r="M56" s="147">
        <v>14.334</v>
      </c>
      <c r="N56" s="147">
        <v>0.51</v>
      </c>
      <c r="O56" s="147">
        <v>0.51</v>
      </c>
      <c r="P56" s="147">
        <v>14.843999999999999</v>
      </c>
      <c r="Q56" s="148">
        <v>0</v>
      </c>
      <c r="R56" s="148">
        <v>3.5579740477187108E-2</v>
      </c>
      <c r="S56" s="1317">
        <v>3.5579740477187108E-2</v>
      </c>
      <c r="T56" s="4">
        <v>72</v>
      </c>
      <c r="U56" s="149">
        <v>0</v>
      </c>
      <c r="V56" s="149">
        <v>13.813499999999999</v>
      </c>
      <c r="W56" s="150">
        <v>2.1284999999999998</v>
      </c>
      <c r="X56" s="147">
        <v>2.1284999999999998</v>
      </c>
      <c r="Y56" s="147">
        <v>15.942</v>
      </c>
      <c r="Z56" s="148">
        <v>0</v>
      </c>
      <c r="AA56" s="148">
        <v>0.15408839179063957</v>
      </c>
      <c r="AB56" s="1317">
        <v>0.15408839179063957</v>
      </c>
    </row>
    <row r="57" spans="2:28">
      <c r="B57" s="28">
        <v>73</v>
      </c>
      <c r="C57" s="147"/>
      <c r="D57" s="147">
        <v>12.388999999999999</v>
      </c>
      <c r="E57" s="147">
        <v>3.7389999999999999</v>
      </c>
      <c r="F57" s="147">
        <v>3.7389999999999999</v>
      </c>
      <c r="G57" s="147">
        <v>16.128</v>
      </c>
      <c r="H57" s="767">
        <v>0</v>
      </c>
      <c r="I57" s="767">
        <v>0.30179998385664702</v>
      </c>
      <c r="J57" s="1318">
        <v>0.30179998385664702</v>
      </c>
      <c r="K57" s="4">
        <v>73</v>
      </c>
      <c r="L57" s="147">
        <v>0</v>
      </c>
      <c r="M57" s="147">
        <v>13.846</v>
      </c>
      <c r="N57" s="147">
        <v>0.48899999999999999</v>
      </c>
      <c r="O57" s="147">
        <v>0.48899999999999999</v>
      </c>
      <c r="P57" s="147">
        <v>14.335000000000001</v>
      </c>
      <c r="Q57" s="768">
        <v>0</v>
      </c>
      <c r="R57" s="768">
        <v>3.5317059078434201E-2</v>
      </c>
      <c r="S57" s="1319">
        <v>3.5317059078434201E-2</v>
      </c>
      <c r="T57" s="4">
        <v>73</v>
      </c>
      <c r="U57" s="149">
        <v>0</v>
      </c>
      <c r="V57" s="149">
        <v>13.346</v>
      </c>
      <c r="W57" s="150">
        <v>2.1139999999999999</v>
      </c>
      <c r="X57" s="147">
        <v>2.1139999999999999</v>
      </c>
      <c r="Y57" s="147">
        <v>15.46</v>
      </c>
      <c r="Z57" s="769">
        <v>0</v>
      </c>
      <c r="AA57" s="769">
        <v>0.15839952045556721</v>
      </c>
      <c r="AB57" s="1320">
        <v>0.15839952045556721</v>
      </c>
    </row>
    <row r="58" spans="2:28">
      <c r="B58" s="4">
        <v>74</v>
      </c>
      <c r="C58" s="147"/>
      <c r="D58" s="147">
        <v>11.923999999999999</v>
      </c>
      <c r="E58" s="147">
        <v>3.7290000000000001</v>
      </c>
      <c r="F58" s="147">
        <v>3.7290000000000001</v>
      </c>
      <c r="G58" s="147">
        <v>15.652999999999999</v>
      </c>
      <c r="H58" s="148">
        <v>0</v>
      </c>
      <c r="I58" s="148">
        <v>0.3127306273062731</v>
      </c>
      <c r="J58" s="1317">
        <v>0.3127306273062731</v>
      </c>
      <c r="K58" s="4">
        <v>74</v>
      </c>
      <c r="L58" s="147">
        <v>0</v>
      </c>
      <c r="M58" s="147">
        <v>13.346</v>
      </c>
      <c r="N58" s="147">
        <v>0.46899999999999997</v>
      </c>
      <c r="O58" s="147">
        <v>0.46899999999999997</v>
      </c>
      <c r="P58" s="147">
        <v>13.815</v>
      </c>
      <c r="Q58" s="148">
        <v>0</v>
      </c>
      <c r="R58" s="148">
        <v>3.5141615465307953E-2</v>
      </c>
      <c r="S58" s="1317">
        <v>3.5141615465307953E-2</v>
      </c>
      <c r="T58" s="4">
        <v>74</v>
      </c>
      <c r="U58" s="149">
        <v>0</v>
      </c>
      <c r="V58" s="149">
        <v>12.8675</v>
      </c>
      <c r="W58" s="150">
        <v>2.0990000000000002</v>
      </c>
      <c r="X58" s="147">
        <v>2.0990000000000002</v>
      </c>
      <c r="Y58" s="147">
        <v>14.9665</v>
      </c>
      <c r="Z58" s="148">
        <v>0</v>
      </c>
      <c r="AA58" s="148">
        <v>0.16312414999028563</v>
      </c>
      <c r="AB58" s="1317">
        <v>0.16312414999028563</v>
      </c>
    </row>
    <row r="59" spans="2:28">
      <c r="B59" s="28">
        <v>75</v>
      </c>
      <c r="C59" s="147"/>
      <c r="D59" s="147">
        <v>11.45</v>
      </c>
      <c r="E59" s="147">
        <v>3.7160000000000002</v>
      </c>
      <c r="F59" s="147">
        <v>3.7160000000000002</v>
      </c>
      <c r="G59" s="147">
        <v>15.166</v>
      </c>
      <c r="H59" s="767">
        <v>0</v>
      </c>
      <c r="I59" s="767">
        <v>0.32454148471615724</v>
      </c>
      <c r="J59" s="1318">
        <v>0.32454148471615724</v>
      </c>
      <c r="K59" s="4">
        <v>75</v>
      </c>
      <c r="L59" s="147">
        <v>0</v>
      </c>
      <c r="M59" s="147">
        <v>12.837</v>
      </c>
      <c r="N59" s="147">
        <v>0.44800000000000001</v>
      </c>
      <c r="O59" s="147">
        <v>0.44800000000000001</v>
      </c>
      <c r="P59" s="147">
        <v>13.285</v>
      </c>
      <c r="Q59" s="768">
        <v>0</v>
      </c>
      <c r="R59" s="768">
        <v>3.4899119732024621E-2</v>
      </c>
      <c r="S59" s="1319">
        <v>3.4899119732024621E-2</v>
      </c>
      <c r="T59" s="4">
        <v>75</v>
      </c>
      <c r="U59" s="149">
        <v>0</v>
      </c>
      <c r="V59" s="149">
        <v>12.3805</v>
      </c>
      <c r="W59" s="150">
        <v>2.0820000000000003</v>
      </c>
      <c r="X59" s="147">
        <v>2.0820000000000003</v>
      </c>
      <c r="Y59" s="147">
        <v>14.4625</v>
      </c>
      <c r="Z59" s="769">
        <v>0</v>
      </c>
      <c r="AA59" s="769">
        <v>0.16816768304995763</v>
      </c>
      <c r="AB59" s="1320">
        <v>0.16816768304995763</v>
      </c>
    </row>
    <row r="60" spans="2:28">
      <c r="B60" s="4">
        <v>76</v>
      </c>
      <c r="C60" s="147"/>
      <c r="D60" s="147">
        <v>10.97</v>
      </c>
      <c r="E60" s="147">
        <v>3.698</v>
      </c>
      <c r="F60" s="147">
        <v>3.698</v>
      </c>
      <c r="G60" s="147">
        <v>14.668000000000001</v>
      </c>
      <c r="H60" s="148">
        <v>0</v>
      </c>
      <c r="I60" s="148">
        <v>0.3371011850501367</v>
      </c>
      <c r="J60" s="1317">
        <v>0.3371011850501367</v>
      </c>
      <c r="K60" s="4">
        <v>76</v>
      </c>
      <c r="L60" s="147">
        <v>0</v>
      </c>
      <c r="M60" s="147">
        <v>12.319000000000001</v>
      </c>
      <c r="N60" s="147">
        <v>0.42699999999999999</v>
      </c>
      <c r="O60" s="147">
        <v>0.42699999999999999</v>
      </c>
      <c r="P60" s="147">
        <v>12.746</v>
      </c>
      <c r="Q60" s="148">
        <v>0</v>
      </c>
      <c r="R60" s="148">
        <v>3.4661904375355136E-2</v>
      </c>
      <c r="S60" s="1317">
        <v>3.4661904375355136E-2</v>
      </c>
      <c r="T60" s="4">
        <v>76</v>
      </c>
      <c r="U60" s="149">
        <v>0</v>
      </c>
      <c r="V60" s="149">
        <v>11.884499999999999</v>
      </c>
      <c r="W60" s="150">
        <v>2.0625</v>
      </c>
      <c r="X60" s="147">
        <v>2.0625</v>
      </c>
      <c r="Y60" s="147">
        <v>13.946999999999999</v>
      </c>
      <c r="Z60" s="148">
        <v>0</v>
      </c>
      <c r="AA60" s="148">
        <v>0.17354537422693425</v>
      </c>
      <c r="AB60" s="1317">
        <v>0.17354537422693425</v>
      </c>
    </row>
    <row r="61" spans="2:28">
      <c r="B61" s="28">
        <v>77</v>
      </c>
      <c r="C61" s="147"/>
      <c r="D61" s="147">
        <v>10.484999999999999</v>
      </c>
      <c r="E61" s="147">
        <v>3.6749999999999998</v>
      </c>
      <c r="F61" s="147">
        <v>3.6749999999999998</v>
      </c>
      <c r="G61" s="147">
        <v>14.16</v>
      </c>
      <c r="H61" s="767">
        <v>0</v>
      </c>
      <c r="I61" s="767">
        <v>0.35050071530758226</v>
      </c>
      <c r="J61" s="1318">
        <v>0.35050071530758226</v>
      </c>
      <c r="K61" s="4">
        <v>77</v>
      </c>
      <c r="L61" s="147">
        <v>0</v>
      </c>
      <c r="M61" s="147">
        <v>11.792999999999999</v>
      </c>
      <c r="N61" s="147">
        <v>0.40400000000000003</v>
      </c>
      <c r="O61" s="147">
        <v>0.40400000000000003</v>
      </c>
      <c r="P61" s="147">
        <v>12.196999999999999</v>
      </c>
      <c r="Q61" s="768">
        <v>0</v>
      </c>
      <c r="R61" s="768">
        <v>3.4257610446875267E-2</v>
      </c>
      <c r="S61" s="1319">
        <v>3.4257610446875267E-2</v>
      </c>
      <c r="T61" s="4">
        <v>77</v>
      </c>
      <c r="U61" s="149">
        <v>0</v>
      </c>
      <c r="V61" s="149">
        <v>11.381499999999999</v>
      </c>
      <c r="W61" s="150">
        <v>2.0394999999999999</v>
      </c>
      <c r="X61" s="147">
        <v>2.0394999999999999</v>
      </c>
      <c r="Y61" s="147">
        <v>13.420999999999999</v>
      </c>
      <c r="Z61" s="769">
        <v>0</v>
      </c>
      <c r="AA61" s="769">
        <v>0.17919430655010324</v>
      </c>
      <c r="AB61" s="1320">
        <v>0.17919430655010324</v>
      </c>
    </row>
    <row r="62" spans="2:28">
      <c r="B62" s="4">
        <v>78</v>
      </c>
      <c r="C62" s="147"/>
      <c r="D62" s="147">
        <v>9.9969999999999999</v>
      </c>
      <c r="E62" s="147">
        <v>3.645</v>
      </c>
      <c r="F62" s="147">
        <v>3.645</v>
      </c>
      <c r="G62" s="147">
        <v>13.641999999999999</v>
      </c>
      <c r="H62" s="148">
        <v>0</v>
      </c>
      <c r="I62" s="148">
        <v>0.36460938281484445</v>
      </c>
      <c r="J62" s="1317">
        <v>0.36460938281484445</v>
      </c>
      <c r="K62" s="4">
        <v>78</v>
      </c>
      <c r="L62" s="147">
        <v>0</v>
      </c>
      <c r="M62" s="147">
        <v>11.262</v>
      </c>
      <c r="N62" s="147">
        <v>0.38100000000000001</v>
      </c>
      <c r="O62" s="147">
        <v>0.38100000000000001</v>
      </c>
      <c r="P62" s="147">
        <v>11.643000000000001</v>
      </c>
      <c r="Q62" s="148">
        <v>0</v>
      </c>
      <c r="R62" s="148">
        <v>3.383058071390517E-2</v>
      </c>
      <c r="S62" s="1317">
        <v>3.383058071390517E-2</v>
      </c>
      <c r="T62" s="4">
        <v>78</v>
      </c>
      <c r="U62" s="149">
        <v>0</v>
      </c>
      <c r="V62" s="149">
        <v>10.8735</v>
      </c>
      <c r="W62" s="150">
        <v>2.0129999999999999</v>
      </c>
      <c r="X62" s="147">
        <v>2.0129999999999999</v>
      </c>
      <c r="Y62" s="147">
        <v>12.8865</v>
      </c>
      <c r="Z62" s="148">
        <v>0</v>
      </c>
      <c r="AA62" s="148">
        <v>0.18512898330804248</v>
      </c>
      <c r="AB62" s="1317">
        <v>0.18512898330804248</v>
      </c>
    </row>
    <row r="63" spans="2:28">
      <c r="B63" s="28">
        <v>79</v>
      </c>
      <c r="C63" s="147"/>
      <c r="D63" s="147">
        <v>9.5079999999999991</v>
      </c>
      <c r="E63" s="147">
        <v>3.6070000000000002</v>
      </c>
      <c r="F63" s="147">
        <v>3.6070000000000002</v>
      </c>
      <c r="G63" s="147">
        <v>13.114999999999998</v>
      </c>
      <c r="H63" s="767">
        <v>0</v>
      </c>
      <c r="I63" s="767">
        <v>0.37936474547749272</v>
      </c>
      <c r="J63" s="1318">
        <v>0.37936474547749272</v>
      </c>
      <c r="K63" s="4">
        <v>79</v>
      </c>
      <c r="L63" s="147">
        <v>0</v>
      </c>
      <c r="M63" s="147">
        <v>10.727</v>
      </c>
      <c r="N63" s="147">
        <v>0.35699999999999998</v>
      </c>
      <c r="O63" s="147">
        <v>0.35699999999999998</v>
      </c>
      <c r="P63" s="147">
        <v>11.084</v>
      </c>
      <c r="Q63" s="768">
        <v>0</v>
      </c>
      <c r="R63" s="768">
        <v>3.328050713153724E-2</v>
      </c>
      <c r="S63" s="1319">
        <v>3.328050713153724E-2</v>
      </c>
      <c r="T63" s="4">
        <v>79</v>
      </c>
      <c r="U63" s="149">
        <v>0</v>
      </c>
      <c r="V63" s="149">
        <v>10.362</v>
      </c>
      <c r="W63" s="150">
        <v>1.9820000000000002</v>
      </c>
      <c r="X63" s="147">
        <v>1.9820000000000002</v>
      </c>
      <c r="Y63" s="147">
        <v>12.344000000000001</v>
      </c>
      <c r="Z63" s="769">
        <v>0</v>
      </c>
      <c r="AA63" s="769">
        <v>0.19127581547963715</v>
      </c>
      <c r="AB63" s="1320">
        <v>0.19127581547963715</v>
      </c>
    </row>
    <row r="64" spans="2:28">
      <c r="B64" s="4">
        <v>80</v>
      </c>
      <c r="C64" s="147"/>
      <c r="D64" s="147">
        <v>9.0210000000000008</v>
      </c>
      <c r="E64" s="147">
        <v>3.5619999999999998</v>
      </c>
      <c r="F64" s="147">
        <v>3.5619999999999998</v>
      </c>
      <c r="G64" s="147">
        <v>12.583</v>
      </c>
      <c r="H64" s="148">
        <v>0</v>
      </c>
      <c r="I64" s="148">
        <v>0.39485644607028042</v>
      </c>
      <c r="J64" s="1317">
        <v>0.39485644607028042</v>
      </c>
      <c r="K64" s="4">
        <v>80</v>
      </c>
      <c r="L64" s="147">
        <v>0</v>
      </c>
      <c r="M64" s="147">
        <v>10.191000000000001</v>
      </c>
      <c r="N64" s="147">
        <v>0.33300000000000002</v>
      </c>
      <c r="O64" s="147">
        <v>0.33300000000000002</v>
      </c>
      <c r="P64" s="147">
        <v>10.524000000000001</v>
      </c>
      <c r="Q64" s="148">
        <v>0</v>
      </c>
      <c r="R64" s="148">
        <v>3.2675890491610245E-2</v>
      </c>
      <c r="S64" s="1317">
        <v>3.2675890491610245E-2</v>
      </c>
      <c r="T64" s="4">
        <v>80</v>
      </c>
      <c r="U64" s="149">
        <v>0</v>
      </c>
      <c r="V64" s="149">
        <v>9.849499999999999</v>
      </c>
      <c r="W64" s="150">
        <v>1.9475</v>
      </c>
      <c r="X64" s="147">
        <v>1.9475</v>
      </c>
      <c r="Y64" s="147">
        <v>11.796999999999999</v>
      </c>
      <c r="Z64" s="148">
        <v>0</v>
      </c>
      <c r="AA64" s="148">
        <v>0.19772577288187221</v>
      </c>
      <c r="AB64" s="1317">
        <v>0.19772577288187221</v>
      </c>
    </row>
    <row r="65" spans="2:28">
      <c r="B65" s="28">
        <v>81</v>
      </c>
      <c r="C65" s="147"/>
      <c r="D65" s="147">
        <v>8.5380000000000003</v>
      </c>
      <c r="E65" s="147">
        <v>3.5070000000000001</v>
      </c>
      <c r="F65" s="147">
        <v>3.5070000000000001</v>
      </c>
      <c r="G65" s="147">
        <v>12.045</v>
      </c>
      <c r="H65" s="767">
        <v>0</v>
      </c>
      <c r="I65" s="767">
        <v>0.4107519325368939</v>
      </c>
      <c r="J65" s="1318">
        <v>0.4107519325368939</v>
      </c>
      <c r="K65" s="4">
        <v>81</v>
      </c>
      <c r="L65" s="147">
        <v>0</v>
      </c>
      <c r="M65" s="147">
        <v>9.657</v>
      </c>
      <c r="N65" s="147">
        <v>0.309</v>
      </c>
      <c r="O65" s="147">
        <v>0.309</v>
      </c>
      <c r="P65" s="147">
        <v>9.9659999999999993</v>
      </c>
      <c r="Q65" s="768">
        <v>0</v>
      </c>
      <c r="R65" s="768">
        <v>3.1997514756135444E-2</v>
      </c>
      <c r="S65" s="1319">
        <v>3.1997514756135444E-2</v>
      </c>
      <c r="T65" s="4">
        <v>81</v>
      </c>
      <c r="U65" s="149">
        <v>0</v>
      </c>
      <c r="V65" s="149">
        <v>9.3390000000000004</v>
      </c>
      <c r="W65" s="150">
        <v>1.9080000000000001</v>
      </c>
      <c r="X65" s="147">
        <v>1.9080000000000001</v>
      </c>
      <c r="Y65" s="147">
        <v>11.247</v>
      </c>
      <c r="Z65" s="769">
        <v>0</v>
      </c>
      <c r="AA65" s="769">
        <v>0.20430452939286861</v>
      </c>
      <c r="AB65" s="1320">
        <v>0.20430452939286861</v>
      </c>
    </row>
    <row r="66" spans="2:28">
      <c r="B66" s="4">
        <v>82</v>
      </c>
      <c r="C66" s="147"/>
      <c r="D66" s="147">
        <v>8.0619999999999994</v>
      </c>
      <c r="E66" s="147">
        <v>3.4260000000000002</v>
      </c>
      <c r="F66" s="147">
        <v>3.4260000000000002</v>
      </c>
      <c r="G66" s="147">
        <v>11.488</v>
      </c>
      <c r="H66" s="148">
        <v>0</v>
      </c>
      <c r="I66" s="148">
        <v>0.42495658645497403</v>
      </c>
      <c r="J66" s="1317">
        <v>0.42495658645497403</v>
      </c>
      <c r="K66" s="4">
        <v>82</v>
      </c>
      <c r="L66" s="147">
        <v>0</v>
      </c>
      <c r="M66" s="147">
        <v>9.1270000000000007</v>
      </c>
      <c r="N66" s="147">
        <v>0.28499999999999998</v>
      </c>
      <c r="O66" s="147">
        <v>0.28499999999999998</v>
      </c>
      <c r="P66" s="147">
        <v>9.4120000000000008</v>
      </c>
      <c r="Q66" s="148">
        <v>0</v>
      </c>
      <c r="R66" s="148">
        <v>3.1226032650377995E-2</v>
      </c>
      <c r="S66" s="1317">
        <v>3.1226032650377995E-2</v>
      </c>
      <c r="T66" s="4">
        <v>82</v>
      </c>
      <c r="U66" s="149">
        <v>0</v>
      </c>
      <c r="V66" s="149">
        <v>8.8324999999999996</v>
      </c>
      <c r="W66" s="150">
        <v>1.8555000000000001</v>
      </c>
      <c r="X66" s="147">
        <v>1.8555000000000001</v>
      </c>
      <c r="Y66" s="147">
        <v>10.687999999999999</v>
      </c>
      <c r="Z66" s="148">
        <v>0</v>
      </c>
      <c r="AA66" s="148">
        <v>0.21007642230399096</v>
      </c>
      <c r="AB66" s="1317">
        <v>0.21007642230399096</v>
      </c>
    </row>
    <row r="67" spans="2:28">
      <c r="B67" s="28">
        <v>83</v>
      </c>
      <c r="C67" s="147"/>
      <c r="D67" s="147">
        <v>7.5960000000000001</v>
      </c>
      <c r="E67" s="147">
        <v>3.3330000000000002</v>
      </c>
      <c r="F67" s="147">
        <v>3.3330000000000002</v>
      </c>
      <c r="G67" s="147">
        <v>10.929</v>
      </c>
      <c r="H67" s="767">
        <v>0</v>
      </c>
      <c r="I67" s="767">
        <v>0.43878357030015802</v>
      </c>
      <c r="J67" s="1318">
        <v>0.43878357030015802</v>
      </c>
      <c r="K67" s="4">
        <v>83</v>
      </c>
      <c r="L67" s="147">
        <v>0</v>
      </c>
      <c r="M67" s="147">
        <v>8.6039999999999992</v>
      </c>
      <c r="N67" s="147">
        <v>0.26100000000000001</v>
      </c>
      <c r="O67" s="147">
        <v>0.26100000000000001</v>
      </c>
      <c r="P67" s="147">
        <v>8.8649999999999984</v>
      </c>
      <c r="Q67" s="768">
        <v>0</v>
      </c>
      <c r="R67" s="768">
        <v>3.0334728033472806E-2</v>
      </c>
      <c r="S67" s="1319">
        <v>3.0334728033472806E-2</v>
      </c>
      <c r="T67" s="4">
        <v>83</v>
      </c>
      <c r="U67" s="149">
        <v>0</v>
      </c>
      <c r="V67" s="149">
        <v>8.3329999999999984</v>
      </c>
      <c r="W67" s="150">
        <v>1.7970000000000002</v>
      </c>
      <c r="X67" s="147">
        <v>1.7970000000000002</v>
      </c>
      <c r="Y67" s="147">
        <v>10.129999999999999</v>
      </c>
      <c r="Z67" s="769">
        <v>0</v>
      </c>
      <c r="AA67" s="769">
        <v>0.21564862594503786</v>
      </c>
      <c r="AB67" s="1320">
        <v>0.21564862594503786</v>
      </c>
    </row>
    <row r="68" spans="2:28">
      <c r="B68" s="4">
        <v>84</v>
      </c>
      <c r="C68" s="147"/>
      <c r="D68" s="147">
        <v>7.1429999999999998</v>
      </c>
      <c r="E68" s="147">
        <v>3.2280000000000002</v>
      </c>
      <c r="F68" s="147">
        <v>3.2280000000000002</v>
      </c>
      <c r="G68" s="147">
        <v>10.371</v>
      </c>
      <c r="H68" s="148">
        <v>0</v>
      </c>
      <c r="I68" s="148">
        <v>0.45191096178076445</v>
      </c>
      <c r="J68" s="1317">
        <v>0.45191096178076445</v>
      </c>
      <c r="K68" s="4">
        <v>84</v>
      </c>
      <c r="L68" s="147">
        <v>0</v>
      </c>
      <c r="M68" s="147">
        <v>8.0920000000000005</v>
      </c>
      <c r="N68" s="147">
        <v>0.23799999999999999</v>
      </c>
      <c r="O68" s="147">
        <v>0.23799999999999999</v>
      </c>
      <c r="P68" s="147">
        <v>8.33</v>
      </c>
      <c r="Q68" s="148">
        <v>0</v>
      </c>
      <c r="R68" s="148">
        <v>2.9411764705882349E-2</v>
      </c>
      <c r="S68" s="1317">
        <v>2.9411764705882349E-2</v>
      </c>
      <c r="T68" s="4">
        <v>84</v>
      </c>
      <c r="U68" s="149">
        <v>0</v>
      </c>
      <c r="V68" s="149">
        <v>7.8440000000000003</v>
      </c>
      <c r="W68" s="150">
        <v>1.7330000000000001</v>
      </c>
      <c r="X68" s="147">
        <v>1.7330000000000001</v>
      </c>
      <c r="Y68" s="147">
        <v>9.577</v>
      </c>
      <c r="Z68" s="148">
        <v>0</v>
      </c>
      <c r="AA68" s="148">
        <v>0.2209331973482917</v>
      </c>
      <c r="AB68" s="1317">
        <v>0.2209331973482917</v>
      </c>
    </row>
    <row r="69" spans="2:28">
      <c r="B69" s="28">
        <v>85</v>
      </c>
      <c r="C69" s="147"/>
      <c r="D69" s="147">
        <v>6.7080000000000002</v>
      </c>
      <c r="E69" s="147">
        <v>3.1139999999999999</v>
      </c>
      <c r="F69" s="147">
        <v>3.1139999999999999</v>
      </c>
      <c r="G69" s="147">
        <v>9.8219999999999992</v>
      </c>
      <c r="H69" s="767">
        <v>0</v>
      </c>
      <c r="I69" s="767">
        <v>0.46422182468694095</v>
      </c>
      <c r="J69" s="1318">
        <v>0.46422182468694095</v>
      </c>
      <c r="K69" s="4">
        <v>85</v>
      </c>
      <c r="L69" s="147">
        <v>0</v>
      </c>
      <c r="M69" s="147">
        <v>7.5949999999999998</v>
      </c>
      <c r="N69" s="147">
        <v>0.21199999999999999</v>
      </c>
      <c r="O69" s="147">
        <v>0.21199999999999999</v>
      </c>
      <c r="P69" s="147">
        <v>7.8069999999999995</v>
      </c>
      <c r="Q69" s="768">
        <v>0</v>
      </c>
      <c r="R69" s="768">
        <v>2.791310072416063E-2</v>
      </c>
      <c r="S69" s="1319">
        <v>2.791310072416063E-2</v>
      </c>
      <c r="T69" s="4">
        <v>85</v>
      </c>
      <c r="U69" s="149">
        <v>0</v>
      </c>
      <c r="V69" s="149">
        <v>7.3689999999999998</v>
      </c>
      <c r="W69" s="150">
        <v>1.663</v>
      </c>
      <c r="X69" s="147">
        <v>1.663</v>
      </c>
      <c r="Y69" s="147">
        <v>9.032</v>
      </c>
      <c r="Z69" s="769">
        <v>0</v>
      </c>
      <c r="AA69" s="769">
        <v>0.22567512552585156</v>
      </c>
      <c r="AB69" s="1320">
        <v>0.22567512552585156</v>
      </c>
    </row>
    <row r="70" spans="2:28">
      <c r="B70" s="4">
        <v>86</v>
      </c>
      <c r="C70" s="147"/>
      <c r="D70" s="147">
        <v>6.2949999999999999</v>
      </c>
      <c r="E70" s="147">
        <v>2.992</v>
      </c>
      <c r="F70" s="147">
        <v>2.992</v>
      </c>
      <c r="G70" s="147">
        <v>9.286999999999999</v>
      </c>
      <c r="H70" s="148">
        <v>0</v>
      </c>
      <c r="I70" s="148">
        <v>0.47529785544082603</v>
      </c>
      <c r="J70" s="1317">
        <v>0.47529785544082603</v>
      </c>
      <c r="K70" s="4">
        <v>86</v>
      </c>
      <c r="L70" s="147">
        <v>0</v>
      </c>
      <c r="M70" s="147">
        <v>7.117</v>
      </c>
      <c r="N70" s="147">
        <v>0.186</v>
      </c>
      <c r="O70" s="147">
        <v>0.186</v>
      </c>
      <c r="P70" s="147">
        <v>7.3029999999999999</v>
      </c>
      <c r="Q70" s="148">
        <v>0</v>
      </c>
      <c r="R70" s="148">
        <v>2.613460727834762E-2</v>
      </c>
      <c r="S70" s="1317">
        <v>2.613460727834762E-2</v>
      </c>
      <c r="T70" s="4">
        <v>86</v>
      </c>
      <c r="U70" s="149">
        <v>0</v>
      </c>
      <c r="V70" s="149">
        <v>6.9124999999999996</v>
      </c>
      <c r="W70" s="150">
        <v>1.589</v>
      </c>
      <c r="X70" s="147">
        <v>1.589</v>
      </c>
      <c r="Y70" s="147">
        <v>8.5015000000000001</v>
      </c>
      <c r="Z70" s="148">
        <v>0</v>
      </c>
      <c r="AA70" s="148">
        <v>0.22987341772151901</v>
      </c>
      <c r="AB70" s="1317">
        <v>0.22987341772151901</v>
      </c>
    </row>
    <row r="71" spans="2:28">
      <c r="B71" s="28">
        <v>87</v>
      </c>
      <c r="C71" s="147"/>
      <c r="D71" s="147">
        <v>5.9089999999999998</v>
      </c>
      <c r="E71" s="147">
        <v>2.8650000000000002</v>
      </c>
      <c r="F71" s="147">
        <v>2.8650000000000002</v>
      </c>
      <c r="G71" s="147">
        <v>8.7740000000000009</v>
      </c>
      <c r="H71" s="767">
        <v>0</v>
      </c>
      <c r="I71" s="767">
        <v>0.4848536131325098</v>
      </c>
      <c r="J71" s="1318">
        <v>0.4848536131325098</v>
      </c>
      <c r="K71" s="4">
        <v>87</v>
      </c>
      <c r="L71" s="147">
        <v>0</v>
      </c>
      <c r="M71" s="147">
        <v>6.6639999999999997</v>
      </c>
      <c r="N71" s="147">
        <v>0.16200000000000001</v>
      </c>
      <c r="O71" s="147">
        <v>0.16200000000000001</v>
      </c>
      <c r="P71" s="147">
        <v>6.8259999999999996</v>
      </c>
      <c r="Q71" s="768">
        <v>0</v>
      </c>
      <c r="R71" s="768">
        <v>2.4309723889555823E-2</v>
      </c>
      <c r="S71" s="1319">
        <v>2.4309723889555823E-2</v>
      </c>
      <c r="T71" s="4">
        <v>87</v>
      </c>
      <c r="U71" s="149">
        <v>0</v>
      </c>
      <c r="V71" s="149">
        <v>6.4794999999999998</v>
      </c>
      <c r="W71" s="150">
        <v>1.5135000000000001</v>
      </c>
      <c r="X71" s="147">
        <v>1.5135000000000001</v>
      </c>
      <c r="Y71" s="147">
        <v>7.9930000000000003</v>
      </c>
      <c r="Z71" s="769">
        <v>0</v>
      </c>
      <c r="AA71" s="769">
        <v>0.23358283818195849</v>
      </c>
      <c r="AB71" s="1320">
        <v>0.23358283818195849</v>
      </c>
    </row>
    <row r="72" spans="2:28">
      <c r="B72" s="4">
        <v>88</v>
      </c>
      <c r="C72" s="147"/>
      <c r="D72" s="147">
        <v>5.5570000000000004</v>
      </c>
      <c r="E72" s="147">
        <v>2.7050000000000001</v>
      </c>
      <c r="F72" s="147">
        <v>2.7050000000000001</v>
      </c>
      <c r="G72" s="147">
        <v>8.2620000000000005</v>
      </c>
      <c r="H72" s="148">
        <v>0</v>
      </c>
      <c r="I72" s="148">
        <v>0.48677343890588443</v>
      </c>
      <c r="J72" s="1317">
        <v>0.48677343890588443</v>
      </c>
      <c r="K72" s="4">
        <v>88</v>
      </c>
      <c r="L72" s="147">
        <v>0</v>
      </c>
      <c r="M72" s="147">
        <v>6.2409999999999997</v>
      </c>
      <c r="N72" s="147">
        <v>0.14000000000000001</v>
      </c>
      <c r="O72" s="147">
        <v>0.14000000000000001</v>
      </c>
      <c r="P72" s="147">
        <v>6.3809999999999993</v>
      </c>
      <c r="Q72" s="148">
        <v>0</v>
      </c>
      <c r="R72" s="148">
        <v>2.2432302515622501E-2</v>
      </c>
      <c r="S72" s="1317">
        <v>2.2432302515622501E-2</v>
      </c>
      <c r="T72" s="4">
        <v>88</v>
      </c>
      <c r="U72" s="149">
        <v>0</v>
      </c>
      <c r="V72" s="149">
        <v>6.0749999999999993</v>
      </c>
      <c r="W72" s="150">
        <v>1.4225000000000001</v>
      </c>
      <c r="X72" s="147">
        <v>1.4225000000000001</v>
      </c>
      <c r="Y72" s="147">
        <v>7.4974999999999996</v>
      </c>
      <c r="Z72" s="148">
        <v>0</v>
      </c>
      <c r="AA72" s="148">
        <v>0.23415637860082308</v>
      </c>
      <c r="AB72" s="1317">
        <v>0.23415637860082308</v>
      </c>
    </row>
    <row r="73" spans="2:28">
      <c r="B73" s="28">
        <v>89</v>
      </c>
      <c r="C73" s="147"/>
      <c r="D73" s="147">
        <v>5.2469999999999999</v>
      </c>
      <c r="E73" s="147">
        <v>2.5379999999999998</v>
      </c>
      <c r="F73" s="147">
        <v>2.5379999999999998</v>
      </c>
      <c r="G73" s="147">
        <v>7.7850000000000001</v>
      </c>
      <c r="H73" s="767">
        <v>0</v>
      </c>
      <c r="I73" s="767">
        <v>0.483704974271012</v>
      </c>
      <c r="J73" s="1318">
        <v>0.483704974271012</v>
      </c>
      <c r="K73" s="4">
        <v>89</v>
      </c>
      <c r="L73" s="147">
        <v>0</v>
      </c>
      <c r="M73" s="147">
        <v>5.8540000000000001</v>
      </c>
      <c r="N73" s="147">
        <v>0.11700000000000001</v>
      </c>
      <c r="O73" s="147">
        <v>0.11700000000000001</v>
      </c>
      <c r="P73" s="147">
        <v>5.9710000000000001</v>
      </c>
      <c r="Q73" s="768">
        <v>0</v>
      </c>
      <c r="R73" s="768">
        <v>1.9986334130509053E-2</v>
      </c>
      <c r="S73" s="1319">
        <v>1.9986334130509053E-2</v>
      </c>
      <c r="T73" s="4">
        <v>89</v>
      </c>
      <c r="U73" s="149">
        <v>0</v>
      </c>
      <c r="V73" s="149">
        <v>5.7055000000000007</v>
      </c>
      <c r="W73" s="150">
        <v>1.3274999999999999</v>
      </c>
      <c r="X73" s="147">
        <v>1.3274999999999999</v>
      </c>
      <c r="Y73" s="147">
        <v>7.0330000000000004</v>
      </c>
      <c r="Z73" s="769">
        <v>0</v>
      </c>
      <c r="AA73" s="769">
        <v>0.23267023047936197</v>
      </c>
      <c r="AB73" s="1320">
        <v>0.23267023047936197</v>
      </c>
    </row>
    <row r="74" spans="2:28">
      <c r="B74" s="4">
        <v>90</v>
      </c>
      <c r="C74" s="147"/>
      <c r="D74" s="147">
        <v>4.9669999999999996</v>
      </c>
      <c r="E74" s="147">
        <v>2.3759999999999999</v>
      </c>
      <c r="F74" s="147">
        <v>2.3759999999999999</v>
      </c>
      <c r="G74" s="147">
        <v>7.343</v>
      </c>
      <c r="H74" s="148">
        <v>0</v>
      </c>
      <c r="I74" s="148">
        <v>0.47835715723776928</v>
      </c>
      <c r="J74" s="1317">
        <v>0.47835715723776928</v>
      </c>
      <c r="K74" s="4">
        <v>90</v>
      </c>
      <c r="L74" s="147">
        <v>0</v>
      </c>
      <c r="M74" s="147">
        <v>5.5049999999999999</v>
      </c>
      <c r="N74" s="147">
        <v>9.7000000000000003E-2</v>
      </c>
      <c r="O74" s="147">
        <v>9.7000000000000003E-2</v>
      </c>
      <c r="P74" s="147">
        <v>5.6020000000000003</v>
      </c>
      <c r="Q74" s="148">
        <v>0</v>
      </c>
      <c r="R74" s="148">
        <v>1.7620345140781108E-2</v>
      </c>
      <c r="S74" s="1317">
        <v>1.7620345140781108E-2</v>
      </c>
      <c r="T74" s="4">
        <v>90</v>
      </c>
      <c r="U74" s="149">
        <v>0</v>
      </c>
      <c r="V74" s="149">
        <v>5.3759999999999994</v>
      </c>
      <c r="W74" s="150">
        <v>1.2364999999999999</v>
      </c>
      <c r="X74" s="147">
        <v>1.2364999999999999</v>
      </c>
      <c r="Y74" s="147">
        <v>6.6124999999999989</v>
      </c>
      <c r="Z74" s="148">
        <v>0</v>
      </c>
      <c r="AA74" s="148">
        <v>0.23000372023809526</v>
      </c>
      <c r="AB74" s="1317">
        <v>0.23000372023809526</v>
      </c>
    </row>
    <row r="75" spans="2:28">
      <c r="B75" s="28">
        <v>91</v>
      </c>
      <c r="C75" s="147"/>
      <c r="D75" s="147">
        <v>4.7060000000000004</v>
      </c>
      <c r="E75" s="147">
        <v>2.1920000000000002</v>
      </c>
      <c r="F75" s="147">
        <v>2.1920000000000002</v>
      </c>
      <c r="G75" s="147">
        <v>6.8980000000000006</v>
      </c>
      <c r="H75" s="767">
        <v>0</v>
      </c>
      <c r="I75" s="767">
        <v>0.46578835529111773</v>
      </c>
      <c r="J75" s="1318">
        <v>0.46578835529111773</v>
      </c>
      <c r="K75" s="4">
        <v>91</v>
      </c>
      <c r="L75" s="147">
        <v>0</v>
      </c>
      <c r="M75" s="147">
        <v>5.1849999999999996</v>
      </c>
      <c r="N75" s="147">
        <v>0.08</v>
      </c>
      <c r="O75" s="147">
        <v>0.08</v>
      </c>
      <c r="P75" s="147">
        <v>5.2649999999999997</v>
      </c>
      <c r="Q75" s="768">
        <v>0</v>
      </c>
      <c r="R75" s="768">
        <v>1.5429122468659597E-2</v>
      </c>
      <c r="S75" s="1319">
        <v>1.5429122468659597E-2</v>
      </c>
      <c r="T75" s="4">
        <v>91</v>
      </c>
      <c r="U75" s="149">
        <v>0</v>
      </c>
      <c r="V75" s="149">
        <v>5.0759999999999996</v>
      </c>
      <c r="W75" s="150">
        <v>1.1360000000000001</v>
      </c>
      <c r="X75" s="147">
        <v>1.1360000000000001</v>
      </c>
      <c r="Y75" s="147">
        <v>6.2119999999999997</v>
      </c>
      <c r="Z75" s="769">
        <v>0</v>
      </c>
      <c r="AA75" s="769">
        <v>0.22379826635145789</v>
      </c>
      <c r="AB75" s="1320">
        <v>0.22379826635145789</v>
      </c>
    </row>
    <row r="76" spans="2:28">
      <c r="B76" s="4">
        <v>92</v>
      </c>
      <c r="C76" s="147"/>
      <c r="D76" s="147">
        <v>4.4630000000000001</v>
      </c>
      <c r="E76" s="147">
        <v>2.024</v>
      </c>
      <c r="F76" s="147">
        <v>2.024</v>
      </c>
      <c r="G76" s="147">
        <v>6.4870000000000001</v>
      </c>
      <c r="H76" s="148">
        <v>0</v>
      </c>
      <c r="I76" s="148">
        <v>0.45350660990365227</v>
      </c>
      <c r="J76" s="1317">
        <v>0.45350660990365227</v>
      </c>
      <c r="K76" s="4">
        <v>92</v>
      </c>
      <c r="L76" s="147">
        <v>0</v>
      </c>
      <c r="M76" s="147">
        <v>4.8849999999999998</v>
      </c>
      <c r="N76" s="147">
        <v>6.4000000000000001E-2</v>
      </c>
      <c r="O76" s="147">
        <v>6.4000000000000001E-2</v>
      </c>
      <c r="P76" s="147">
        <v>4.9489999999999998</v>
      </c>
      <c r="Q76" s="148">
        <v>0</v>
      </c>
      <c r="R76" s="148">
        <v>1.3101330603889459E-2</v>
      </c>
      <c r="S76" s="1317">
        <v>1.3101330603889459E-2</v>
      </c>
      <c r="T76" s="4">
        <v>92</v>
      </c>
      <c r="U76" s="149">
        <v>0</v>
      </c>
      <c r="V76" s="149">
        <v>4.7955000000000005</v>
      </c>
      <c r="W76" s="150">
        <v>1.044</v>
      </c>
      <c r="X76" s="147">
        <v>1.044</v>
      </c>
      <c r="Y76" s="147">
        <v>5.839500000000001</v>
      </c>
      <c r="Z76" s="148">
        <v>0</v>
      </c>
      <c r="AA76" s="148">
        <v>0.21770409759149201</v>
      </c>
      <c r="AB76" s="1317">
        <v>0.21770409759149201</v>
      </c>
    </row>
    <row r="77" spans="2:28">
      <c r="B77" s="28">
        <v>93</v>
      </c>
      <c r="C77" s="147"/>
      <c r="D77" s="147">
        <v>4.2380000000000004</v>
      </c>
      <c r="E77" s="147">
        <v>1.839</v>
      </c>
      <c r="F77" s="147">
        <v>1.839</v>
      </c>
      <c r="G77" s="147">
        <v>6.077</v>
      </c>
      <c r="H77" s="767">
        <v>0</v>
      </c>
      <c r="I77" s="767">
        <v>0.43393109957527132</v>
      </c>
      <c r="J77" s="1318">
        <v>0.43393109957527132</v>
      </c>
      <c r="K77" s="4">
        <v>93</v>
      </c>
      <c r="L77" s="147">
        <v>0</v>
      </c>
      <c r="M77" s="147">
        <v>4.6059999999999999</v>
      </c>
      <c r="N77" s="147">
        <v>5.1999999999999998E-2</v>
      </c>
      <c r="O77" s="147">
        <v>5.1999999999999998E-2</v>
      </c>
      <c r="P77" s="147">
        <v>4.6579999999999995</v>
      </c>
      <c r="Q77" s="768">
        <v>0</v>
      </c>
      <c r="R77" s="768">
        <v>1.1289622231871473E-2</v>
      </c>
      <c r="S77" s="1319">
        <v>1.1289622231871473E-2</v>
      </c>
      <c r="T77" s="4">
        <v>93</v>
      </c>
      <c r="U77" s="149">
        <v>0</v>
      </c>
      <c r="V77" s="149">
        <v>4.5344999999999995</v>
      </c>
      <c r="W77" s="150">
        <v>0.94550000000000001</v>
      </c>
      <c r="X77" s="147">
        <v>0.94550000000000001</v>
      </c>
      <c r="Y77" s="147">
        <v>5.4799999999999995</v>
      </c>
      <c r="Z77" s="769">
        <v>0</v>
      </c>
      <c r="AA77" s="769">
        <v>0.20851251516153932</v>
      </c>
      <c r="AB77" s="1320">
        <v>0.20851251516153932</v>
      </c>
    </row>
    <row r="78" spans="2:28">
      <c r="B78" s="4">
        <v>94</v>
      </c>
      <c r="C78" s="147"/>
      <c r="D78" s="147">
        <v>4.0309999999999997</v>
      </c>
      <c r="E78" s="147">
        <v>1.6739999999999999</v>
      </c>
      <c r="F78" s="147">
        <v>1.6739999999999999</v>
      </c>
      <c r="G78" s="147">
        <v>5.7050000000000001</v>
      </c>
      <c r="H78" s="148">
        <v>0</v>
      </c>
      <c r="I78" s="148">
        <v>0.41528156784916898</v>
      </c>
      <c r="J78" s="1317">
        <v>0.41528156784916898</v>
      </c>
      <c r="K78" s="4">
        <v>94</v>
      </c>
      <c r="L78" s="147">
        <v>0</v>
      </c>
      <c r="M78" s="147">
        <v>4.3479999999999999</v>
      </c>
      <c r="N78" s="147">
        <v>4.2000000000000003E-2</v>
      </c>
      <c r="O78" s="147">
        <v>4.2000000000000003E-2</v>
      </c>
      <c r="P78" s="147">
        <v>4.3899999999999997</v>
      </c>
      <c r="Q78" s="148">
        <v>0</v>
      </c>
      <c r="R78" s="148">
        <v>9.659613615455382E-3</v>
      </c>
      <c r="S78" s="1317">
        <v>9.659613615455382E-3</v>
      </c>
      <c r="T78" s="4">
        <v>94</v>
      </c>
      <c r="U78" s="149">
        <v>0</v>
      </c>
      <c r="V78" s="149">
        <v>4.2930000000000001</v>
      </c>
      <c r="W78" s="150">
        <v>0.85799999999999998</v>
      </c>
      <c r="X78" s="147">
        <v>0.85799999999999998</v>
      </c>
      <c r="Y78" s="147">
        <v>5.1509999999999998</v>
      </c>
      <c r="Z78" s="148">
        <v>0</v>
      </c>
      <c r="AA78" s="148">
        <v>0.19986023759608665</v>
      </c>
      <c r="AB78" s="1317">
        <v>0.19986023759608665</v>
      </c>
    </row>
    <row r="79" spans="2:28">
      <c r="B79" s="28">
        <v>95</v>
      </c>
      <c r="C79" s="147"/>
      <c r="D79" s="147">
        <v>3.8420000000000001</v>
      </c>
      <c r="E79" s="147">
        <v>1.528</v>
      </c>
      <c r="F79" s="147">
        <v>1.528</v>
      </c>
      <c r="G79" s="147">
        <v>5.37</v>
      </c>
      <c r="H79" s="767">
        <v>0</v>
      </c>
      <c r="I79" s="767">
        <v>0.39770952628839146</v>
      </c>
      <c r="J79" s="1318">
        <v>0.39770952628839146</v>
      </c>
      <c r="K79" s="4">
        <v>95</v>
      </c>
      <c r="L79" s="147">
        <v>0</v>
      </c>
      <c r="M79" s="147">
        <v>4.1109999999999998</v>
      </c>
      <c r="N79" s="147">
        <v>3.4000000000000002E-2</v>
      </c>
      <c r="O79" s="147">
        <v>3.4000000000000002E-2</v>
      </c>
      <c r="P79" s="147">
        <v>4.1449999999999996</v>
      </c>
      <c r="Q79" s="768">
        <v>0</v>
      </c>
      <c r="R79" s="768">
        <v>8.2704937971296525E-3</v>
      </c>
      <c r="S79" s="1319">
        <v>8.2704937971296525E-3</v>
      </c>
      <c r="T79" s="4">
        <v>95</v>
      </c>
      <c r="U79" s="149">
        <v>0</v>
      </c>
      <c r="V79" s="149">
        <v>4.0709999999999997</v>
      </c>
      <c r="W79" s="150">
        <v>0.78100000000000003</v>
      </c>
      <c r="X79" s="147">
        <v>0.78100000000000003</v>
      </c>
      <c r="Y79" s="147">
        <v>4.8519999999999994</v>
      </c>
      <c r="Z79" s="769">
        <v>0</v>
      </c>
      <c r="AA79" s="769">
        <v>0.19184475558830755</v>
      </c>
      <c r="AB79" s="1320">
        <v>0.19184475558830755</v>
      </c>
    </row>
    <row r="80" spans="2:28">
      <c r="B80" s="4">
        <v>96</v>
      </c>
      <c r="C80" s="147"/>
      <c r="D80" s="147">
        <v>3.67</v>
      </c>
      <c r="E80" s="147">
        <v>1.3640000000000001</v>
      </c>
      <c r="F80" s="147">
        <v>1.3640000000000001</v>
      </c>
      <c r="G80" s="147">
        <v>5.0339999999999998</v>
      </c>
      <c r="H80" s="148">
        <v>0</v>
      </c>
      <c r="I80" s="148">
        <v>0.3716621253405995</v>
      </c>
      <c r="J80" s="1317">
        <v>0.3716621253405995</v>
      </c>
      <c r="K80" s="4">
        <v>96</v>
      </c>
      <c r="L80" s="147">
        <v>0</v>
      </c>
      <c r="M80" s="147">
        <v>3.8940000000000001</v>
      </c>
      <c r="N80" s="147">
        <v>2.7E-2</v>
      </c>
      <c r="O80" s="147">
        <v>2.7E-2</v>
      </c>
      <c r="P80" s="147">
        <v>3.9210000000000003</v>
      </c>
      <c r="Q80" s="148">
        <v>0</v>
      </c>
      <c r="R80" s="148">
        <v>6.9337442218798144E-3</v>
      </c>
      <c r="S80" s="1317">
        <v>6.9337442218798144E-3</v>
      </c>
      <c r="T80" s="4">
        <v>96</v>
      </c>
      <c r="U80" s="149">
        <v>0</v>
      </c>
      <c r="V80" s="149">
        <v>3.8680000000000003</v>
      </c>
      <c r="W80" s="150">
        <v>0.69550000000000001</v>
      </c>
      <c r="X80" s="147">
        <v>0.69550000000000001</v>
      </c>
      <c r="Y80" s="147">
        <v>4.5635000000000003</v>
      </c>
      <c r="Z80" s="148">
        <v>0</v>
      </c>
      <c r="AA80" s="148">
        <v>0.17980868665977248</v>
      </c>
      <c r="AB80" s="1317">
        <v>0.17980868665977248</v>
      </c>
    </row>
    <row r="81" spans="2:28">
      <c r="B81" s="28">
        <v>97</v>
      </c>
      <c r="C81" s="147"/>
      <c r="D81" s="147">
        <v>3.5129999999999999</v>
      </c>
      <c r="E81" s="147">
        <v>1.2110000000000001</v>
      </c>
      <c r="F81" s="147">
        <v>1.2110000000000001</v>
      </c>
      <c r="G81" s="147">
        <v>4.7240000000000002</v>
      </c>
      <c r="H81" s="767">
        <v>0</v>
      </c>
      <c r="I81" s="767">
        <v>0.34471961286649588</v>
      </c>
      <c r="J81" s="1318">
        <v>0.34471961286649588</v>
      </c>
      <c r="K81" s="4">
        <v>97</v>
      </c>
      <c r="L81" s="147">
        <v>0</v>
      </c>
      <c r="M81" s="147">
        <v>3.6960000000000002</v>
      </c>
      <c r="N81" s="147">
        <v>2.1000000000000001E-2</v>
      </c>
      <c r="O81" s="147">
        <v>2.1000000000000001E-2</v>
      </c>
      <c r="P81" s="147">
        <v>3.7170000000000001</v>
      </c>
      <c r="Q81" s="768">
        <v>0</v>
      </c>
      <c r="R81" s="768">
        <v>5.681818181818182E-3</v>
      </c>
      <c r="S81" s="1319">
        <v>5.681818181818182E-3</v>
      </c>
      <c r="T81" s="4">
        <v>97</v>
      </c>
      <c r="U81" s="149">
        <v>0</v>
      </c>
      <c r="V81" s="149">
        <v>3.6829999999999998</v>
      </c>
      <c r="W81" s="150">
        <v>0.61599999999999999</v>
      </c>
      <c r="X81" s="147">
        <v>0.61599999999999999</v>
      </c>
      <c r="Y81" s="147">
        <v>4.2989999999999995</v>
      </c>
      <c r="Z81" s="769">
        <v>0</v>
      </c>
      <c r="AA81" s="769">
        <v>0.16725495519956557</v>
      </c>
      <c r="AB81" s="1320">
        <v>0.16725495519956557</v>
      </c>
    </row>
    <row r="82" spans="2:28">
      <c r="B82" s="4">
        <v>98</v>
      </c>
      <c r="C82" s="147"/>
      <c r="D82" s="147">
        <v>3.371</v>
      </c>
      <c r="E82" s="147">
        <v>1.038</v>
      </c>
      <c r="F82" s="147">
        <v>1.038</v>
      </c>
      <c r="G82" s="147">
        <v>4.4089999999999998</v>
      </c>
      <c r="H82" s="148">
        <v>0</v>
      </c>
      <c r="I82" s="148">
        <v>0.30792049836843666</v>
      </c>
      <c r="J82" s="1317">
        <v>0.30792049836843666</v>
      </c>
      <c r="K82" s="4">
        <v>98</v>
      </c>
      <c r="L82" s="147">
        <v>0</v>
      </c>
      <c r="M82" s="147">
        <v>3.5179999999999998</v>
      </c>
      <c r="N82" s="147">
        <v>1.6E-2</v>
      </c>
      <c r="O82" s="147">
        <v>1.6E-2</v>
      </c>
      <c r="P82" s="147">
        <v>3.5339999999999998</v>
      </c>
      <c r="Q82" s="148">
        <v>0</v>
      </c>
      <c r="R82" s="148">
        <v>4.5480386583285964E-3</v>
      </c>
      <c r="S82" s="1317">
        <v>4.5480386583285964E-3</v>
      </c>
      <c r="T82" s="4">
        <v>98</v>
      </c>
      <c r="U82" s="149">
        <v>0</v>
      </c>
      <c r="V82" s="149">
        <v>3.5154999999999998</v>
      </c>
      <c r="W82" s="150">
        <v>0.52700000000000002</v>
      </c>
      <c r="X82" s="147">
        <v>0.52700000000000002</v>
      </c>
      <c r="Y82" s="147">
        <v>4.0424999999999995</v>
      </c>
      <c r="Z82" s="148">
        <v>0</v>
      </c>
      <c r="AA82" s="148">
        <v>0.14990755226852512</v>
      </c>
      <c r="AB82" s="1317">
        <v>0.14990755226852512</v>
      </c>
    </row>
    <row r="83" spans="2:28">
      <c r="B83" s="28">
        <v>99</v>
      </c>
      <c r="C83" s="147"/>
      <c r="D83" s="147">
        <v>3.2429999999999999</v>
      </c>
      <c r="E83" s="147">
        <v>0.84499999999999997</v>
      </c>
      <c r="F83" s="147">
        <v>0.84499999999999997</v>
      </c>
      <c r="G83" s="147">
        <v>4.0880000000000001</v>
      </c>
      <c r="H83" s="767">
        <v>0</v>
      </c>
      <c r="I83" s="767">
        <v>0.26056120875732347</v>
      </c>
      <c r="J83" s="1318">
        <v>0.26056120875732347</v>
      </c>
      <c r="K83" s="4">
        <v>99</v>
      </c>
      <c r="L83" s="147">
        <v>0</v>
      </c>
      <c r="M83" s="147">
        <v>3.359</v>
      </c>
      <c r="N83" s="147">
        <v>1.2999999999999999E-2</v>
      </c>
      <c r="O83" s="147">
        <v>1.2999999999999999E-2</v>
      </c>
      <c r="P83" s="147">
        <v>3.3719999999999999</v>
      </c>
      <c r="Q83" s="768">
        <v>0</v>
      </c>
      <c r="R83" s="768">
        <v>3.8701994641262279E-3</v>
      </c>
      <c r="S83" s="1319">
        <v>3.8701994641262279E-3</v>
      </c>
      <c r="T83" s="4">
        <v>99</v>
      </c>
      <c r="U83" s="149">
        <v>0</v>
      </c>
      <c r="V83" s="149">
        <v>3.3650000000000002</v>
      </c>
      <c r="W83" s="150">
        <v>0.42899999999999999</v>
      </c>
      <c r="X83" s="147">
        <v>0.42899999999999999</v>
      </c>
      <c r="Y83" s="147">
        <v>3.794</v>
      </c>
      <c r="Z83" s="769">
        <v>0</v>
      </c>
      <c r="AA83" s="769">
        <v>0.12748885586924219</v>
      </c>
      <c r="AB83" s="1320">
        <v>0.12748885586924219</v>
      </c>
    </row>
    <row r="84" spans="2:28">
      <c r="B84" s="4">
        <v>100</v>
      </c>
      <c r="C84" s="147"/>
      <c r="D84" s="147">
        <v>3.1269999999999998</v>
      </c>
      <c r="E84" s="147">
        <v>0.67</v>
      </c>
      <c r="F84" s="147">
        <v>0.67</v>
      </c>
      <c r="G84" s="147">
        <v>3.7969999999999997</v>
      </c>
      <c r="H84" s="148">
        <v>0</v>
      </c>
      <c r="I84" s="148">
        <v>0.21426287176207229</v>
      </c>
      <c r="J84" s="1317">
        <v>0.21426287176207229</v>
      </c>
      <c r="K84" s="4">
        <v>100</v>
      </c>
      <c r="L84" s="147">
        <v>0</v>
      </c>
      <c r="M84" s="147">
        <v>3.2160000000000002</v>
      </c>
      <c r="N84" s="147">
        <v>0.01</v>
      </c>
      <c r="O84" s="147">
        <v>0.01</v>
      </c>
      <c r="P84" s="147">
        <v>3.226</v>
      </c>
      <c r="Q84" s="148">
        <v>0</v>
      </c>
      <c r="R84" s="148">
        <v>3.1094527363184077E-3</v>
      </c>
      <c r="S84" s="1317">
        <v>3.1094527363184077E-3</v>
      </c>
      <c r="T84" s="4">
        <v>100</v>
      </c>
      <c r="U84" s="149">
        <v>0</v>
      </c>
      <c r="V84" s="149">
        <v>3.2294999999999998</v>
      </c>
      <c r="W84" s="150">
        <v>0.34</v>
      </c>
      <c r="X84" s="147">
        <v>0.34</v>
      </c>
      <c r="Y84" s="147">
        <v>3.5694999999999997</v>
      </c>
      <c r="Z84" s="148">
        <v>0</v>
      </c>
      <c r="AA84" s="148">
        <v>0.10527945502399753</v>
      </c>
      <c r="AB84" s="1317">
        <v>0.10527945502399753</v>
      </c>
    </row>
  </sheetData>
  <mergeCells count="4">
    <mergeCell ref="H2:J2"/>
    <mergeCell ref="Q2:S2"/>
    <mergeCell ref="B2:B3"/>
    <mergeCell ref="Z2:AB2"/>
  </mergeCells>
  <phoneticPr fontId="47" type="noConversion"/>
  <pageMargins left="0.70866141732283472" right="0.70866141732283472" top="0.78740157480314965" bottom="0.78740157480314965" header="0.31496062992125984" footer="0.31496062992125984"/>
  <pageSetup paperSize="9"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0"/>
  <dimension ref="A1:AB98"/>
  <sheetViews>
    <sheetView workbookViewId="0">
      <pane ySplit="2" topLeftCell="A24" activePane="bottomLeft" state="frozen"/>
      <selection activeCell="BD89" sqref="BD89"/>
      <selection pane="bottomLeft" activeCell="J26" sqref="J26"/>
    </sheetView>
  </sheetViews>
  <sheetFormatPr baseColWidth="10" defaultColWidth="11.125" defaultRowHeight="14.25"/>
  <cols>
    <col min="1" max="1" width="15.125" style="4" customWidth="1"/>
    <col min="2" max="2" width="6.125" customWidth="1"/>
    <col min="3" max="4" width="11" customWidth="1"/>
    <col min="5" max="5" width="11" style="149" customWidth="1"/>
    <col min="6" max="10" width="11" customWidth="1"/>
    <col min="11" max="11" width="6.125" customWidth="1"/>
    <col min="12" max="19" width="11" customWidth="1"/>
    <col min="20" max="20" width="6.75" customWidth="1"/>
    <col min="21" max="21" width="11" customWidth="1"/>
    <col min="22" max="23" width="11.125" customWidth="1"/>
    <col min="24" max="24" width="11.625" customWidth="1"/>
    <col min="25" max="25" width="11.125" customWidth="1"/>
    <col min="26" max="26" width="11.125" bestFit="1" customWidth="1"/>
    <col min="27" max="28" width="11" customWidth="1"/>
  </cols>
  <sheetData>
    <row r="1" spans="1:28">
      <c r="B1" s="4">
        <v>1</v>
      </c>
      <c r="C1" s="4">
        <v>2</v>
      </c>
      <c r="D1" s="4">
        <v>3</v>
      </c>
      <c r="E1" s="149">
        <v>4</v>
      </c>
      <c r="F1" s="4">
        <v>5</v>
      </c>
      <c r="G1" s="4">
        <v>6</v>
      </c>
      <c r="H1" s="4">
        <v>7</v>
      </c>
      <c r="I1" s="4">
        <v>8</v>
      </c>
      <c r="J1" s="4">
        <v>9</v>
      </c>
      <c r="K1" s="4">
        <v>10</v>
      </c>
      <c r="L1" s="4">
        <v>11</v>
      </c>
      <c r="M1" s="4">
        <v>12</v>
      </c>
      <c r="N1" s="4">
        <v>13</v>
      </c>
      <c r="O1" s="4">
        <v>14</v>
      </c>
      <c r="P1" s="4">
        <v>15</v>
      </c>
      <c r="Q1" s="4">
        <v>16</v>
      </c>
      <c r="R1" s="4">
        <v>17</v>
      </c>
      <c r="S1" s="4">
        <v>18</v>
      </c>
      <c r="T1" s="4">
        <v>19</v>
      </c>
      <c r="U1" s="4">
        <v>20</v>
      </c>
      <c r="V1" s="4">
        <v>21</v>
      </c>
      <c r="W1" s="4">
        <v>22</v>
      </c>
      <c r="X1" s="4">
        <v>23</v>
      </c>
      <c r="Y1" s="4">
        <v>24</v>
      </c>
      <c r="Z1" s="4">
        <v>25</v>
      </c>
      <c r="AA1" s="4">
        <v>26</v>
      </c>
      <c r="AB1" s="4">
        <v>27</v>
      </c>
    </row>
    <row r="2" spans="1:28" s="131" customFormat="1" ht="42.75" customHeight="1">
      <c r="A2" s="152" t="s">
        <v>169</v>
      </c>
      <c r="B2" s="3755" t="s">
        <v>12</v>
      </c>
      <c r="C2" s="143" t="s">
        <v>0</v>
      </c>
      <c r="D2" s="143" t="s">
        <v>1</v>
      </c>
      <c r="E2" s="1537" t="s">
        <v>2</v>
      </c>
      <c r="F2" s="143" t="s">
        <v>191</v>
      </c>
      <c r="G2" s="143" t="s">
        <v>4</v>
      </c>
      <c r="H2" s="3197" t="s">
        <v>163</v>
      </c>
      <c r="I2" s="3197"/>
      <c r="J2" s="3197"/>
      <c r="K2" s="132"/>
      <c r="L2" s="143" t="s">
        <v>0</v>
      </c>
      <c r="M2" s="143" t="s">
        <v>1</v>
      </c>
      <c r="N2" s="143" t="s">
        <v>2</v>
      </c>
      <c r="O2" s="143" t="s">
        <v>224</v>
      </c>
      <c r="P2" s="143" t="s">
        <v>4</v>
      </c>
      <c r="Q2" s="3197" t="s">
        <v>164</v>
      </c>
      <c r="R2" s="3197"/>
      <c r="S2" s="3197"/>
      <c r="T2" s="132"/>
      <c r="U2" s="144" t="s">
        <v>0</v>
      </c>
      <c r="V2" s="144" t="s">
        <v>1</v>
      </c>
      <c r="W2" s="144" t="s">
        <v>2</v>
      </c>
      <c r="X2" s="144" t="s">
        <v>3</v>
      </c>
      <c r="Y2" s="144" t="s">
        <v>4</v>
      </c>
      <c r="Z2" s="3197" t="s">
        <v>168</v>
      </c>
      <c r="AA2" s="3197"/>
      <c r="AB2" s="3197"/>
    </row>
    <row r="3" spans="1:28" ht="18.75">
      <c r="B3" s="3755" t="s">
        <v>13</v>
      </c>
      <c r="C3" s="145" t="s">
        <v>15</v>
      </c>
      <c r="D3" s="145" t="s">
        <v>14</v>
      </c>
      <c r="E3" s="1538" t="s">
        <v>28</v>
      </c>
      <c r="F3" s="145" t="s">
        <v>1752</v>
      </c>
      <c r="G3" s="145"/>
      <c r="H3" s="145" t="s">
        <v>8</v>
      </c>
      <c r="I3" s="145" t="s">
        <v>9</v>
      </c>
      <c r="J3" s="145" t="s">
        <v>10</v>
      </c>
      <c r="K3" s="145" t="s">
        <v>13</v>
      </c>
      <c r="L3" s="145" t="s">
        <v>15</v>
      </c>
      <c r="M3" s="145" t="s">
        <v>14</v>
      </c>
      <c r="N3" s="145" t="s">
        <v>29</v>
      </c>
      <c r="O3" s="145"/>
      <c r="P3" s="145"/>
      <c r="Q3" s="145" t="s">
        <v>8</v>
      </c>
      <c r="R3" s="145" t="s">
        <v>9</v>
      </c>
      <c r="S3" s="145" t="s">
        <v>10</v>
      </c>
      <c r="T3" s="146" t="s">
        <v>13</v>
      </c>
      <c r="U3" s="146" t="s">
        <v>15</v>
      </c>
      <c r="V3" s="146" t="s">
        <v>14</v>
      </c>
      <c r="W3" s="146" t="s">
        <v>29</v>
      </c>
      <c r="X3" s="146" t="s">
        <v>16</v>
      </c>
      <c r="Y3" s="146"/>
      <c r="Z3" s="146" t="s">
        <v>8</v>
      </c>
      <c r="AA3" s="146" t="s">
        <v>9</v>
      </c>
      <c r="AB3" s="146" t="s">
        <v>10</v>
      </c>
    </row>
    <row r="4" spans="1:28">
      <c r="A4" s="153">
        <v>43111</v>
      </c>
      <c r="B4" s="4">
        <v>20</v>
      </c>
      <c r="C4" s="147">
        <v>0.314</v>
      </c>
      <c r="D4" s="147">
        <v>3.9780000000000002</v>
      </c>
      <c r="E4" s="149">
        <v>0.55900000000000005</v>
      </c>
      <c r="F4" s="147">
        <v>0.55900000000000005</v>
      </c>
      <c r="G4" s="147">
        <v>4.5369999999999999</v>
      </c>
      <c r="H4" s="148">
        <v>8.5698689956331869E-2</v>
      </c>
      <c r="I4" s="148">
        <v>0.15256550218340612</v>
      </c>
      <c r="J4" s="148">
        <v>0.23826419213973798</v>
      </c>
      <c r="K4" s="4">
        <v>20</v>
      </c>
      <c r="L4" s="147">
        <v>0.32600000000000001</v>
      </c>
      <c r="M4" s="147">
        <v>4.75</v>
      </c>
      <c r="N4" s="1539">
        <v>0.14099999999999999</v>
      </c>
      <c r="O4" s="147">
        <v>0.14099999999999999</v>
      </c>
      <c r="P4" s="147">
        <v>4.891</v>
      </c>
      <c r="Q4" s="148">
        <v>7.3688969258589504E-2</v>
      </c>
      <c r="R4" s="148">
        <v>3.1871609403254966E-2</v>
      </c>
      <c r="S4" s="148">
        <v>0.10556057866184447</v>
      </c>
      <c r="T4" s="4">
        <v>20</v>
      </c>
      <c r="U4" s="149">
        <v>0.32</v>
      </c>
      <c r="V4" s="149">
        <v>4.3639999999999999</v>
      </c>
      <c r="W4" s="150">
        <v>0.35000000000000003</v>
      </c>
      <c r="X4" s="147">
        <v>0.35000000000000003</v>
      </c>
      <c r="Y4" s="147">
        <v>4.7139999999999995</v>
      </c>
      <c r="Z4" s="148">
        <v>7.912957467853611E-2</v>
      </c>
      <c r="AA4" s="148">
        <v>8.6547972304648876E-2</v>
      </c>
      <c r="AB4" s="148">
        <v>0.16567754698318499</v>
      </c>
    </row>
    <row r="5" spans="1:28">
      <c r="B5" s="4">
        <v>21</v>
      </c>
      <c r="C5" s="147">
        <v>0.36299999999999999</v>
      </c>
      <c r="D5" s="147">
        <v>4.0990000000000002</v>
      </c>
      <c r="E5" s="149">
        <v>0.65</v>
      </c>
      <c r="F5" s="147">
        <v>0.65</v>
      </c>
      <c r="G5" s="147">
        <v>4.7490000000000006</v>
      </c>
      <c r="H5" s="148">
        <v>9.71627408993576E-2</v>
      </c>
      <c r="I5" s="148">
        <v>0.173982869379015</v>
      </c>
      <c r="J5" s="148">
        <v>0.27114561027837258</v>
      </c>
      <c r="K5" s="4">
        <v>21</v>
      </c>
      <c r="L5" s="147">
        <v>0.39200000000000002</v>
      </c>
      <c r="M5" s="147">
        <v>4.8920000000000003</v>
      </c>
      <c r="N5" s="1539">
        <v>0.17</v>
      </c>
      <c r="O5" s="147">
        <v>0.17</v>
      </c>
      <c r="P5" s="147">
        <v>5.0620000000000003</v>
      </c>
      <c r="Q5" s="148">
        <v>8.7111111111111111E-2</v>
      </c>
      <c r="R5" s="148">
        <v>3.7777777777777778E-2</v>
      </c>
      <c r="S5" s="148">
        <v>0.12488888888888888</v>
      </c>
      <c r="T5" s="4">
        <v>21</v>
      </c>
      <c r="U5" s="149">
        <v>0.3775</v>
      </c>
      <c r="V5" s="149">
        <v>4.4954999999999998</v>
      </c>
      <c r="W5" s="150">
        <v>0.41000000000000003</v>
      </c>
      <c r="X5" s="147">
        <v>0.41000000000000003</v>
      </c>
      <c r="Y5" s="147">
        <v>4.9055</v>
      </c>
      <c r="Z5" s="148">
        <v>9.1670713938805257E-2</v>
      </c>
      <c r="AA5" s="148">
        <v>9.9562894609033531E-2</v>
      </c>
      <c r="AB5" s="148">
        <v>0.19123360854783877</v>
      </c>
    </row>
    <row r="6" spans="1:28">
      <c r="B6" s="4">
        <v>22</v>
      </c>
      <c r="C6" s="147">
        <v>0.41399999999999998</v>
      </c>
      <c r="D6" s="147">
        <v>4.2220000000000004</v>
      </c>
      <c r="E6" s="149">
        <v>0.747</v>
      </c>
      <c r="F6" s="147">
        <v>0.747</v>
      </c>
      <c r="G6" s="147">
        <v>4.9690000000000003</v>
      </c>
      <c r="H6" s="148">
        <v>0.10871848739495797</v>
      </c>
      <c r="I6" s="148">
        <v>0.19616596638655462</v>
      </c>
      <c r="J6" s="148">
        <v>0.30488445378151258</v>
      </c>
      <c r="K6" s="4">
        <v>22</v>
      </c>
      <c r="L6" s="147">
        <v>0.45400000000000001</v>
      </c>
      <c r="M6" s="147">
        <v>5.0380000000000003</v>
      </c>
      <c r="N6" s="1539">
        <v>0.19700000000000001</v>
      </c>
      <c r="O6" s="147">
        <v>0.19700000000000001</v>
      </c>
      <c r="P6" s="147">
        <v>5.2350000000000003</v>
      </c>
      <c r="Q6" s="148">
        <v>9.9040139616055844E-2</v>
      </c>
      <c r="R6" s="148">
        <v>4.2975567190226875E-2</v>
      </c>
      <c r="S6" s="148">
        <v>0.14201570680628273</v>
      </c>
      <c r="T6" s="4">
        <v>22</v>
      </c>
      <c r="U6" s="149">
        <v>0.434</v>
      </c>
      <c r="V6" s="149">
        <v>4.6300000000000008</v>
      </c>
      <c r="W6" s="150">
        <v>0.47199999999999998</v>
      </c>
      <c r="X6" s="147">
        <v>0.47199999999999998</v>
      </c>
      <c r="Y6" s="147">
        <v>5.1020000000000003</v>
      </c>
      <c r="Z6" s="148">
        <v>0.10343183984747377</v>
      </c>
      <c r="AA6" s="148">
        <v>0.11248808388941847</v>
      </c>
      <c r="AB6" s="148">
        <v>0.21591992373689223</v>
      </c>
    </row>
    <row r="7" spans="1:28">
      <c r="B7" s="4">
        <v>23</v>
      </c>
      <c r="C7" s="147">
        <v>0.46600000000000003</v>
      </c>
      <c r="D7" s="147">
        <v>4.3490000000000002</v>
      </c>
      <c r="E7" s="149">
        <v>0.84799999999999998</v>
      </c>
      <c r="F7" s="147">
        <v>0.84799999999999998</v>
      </c>
      <c r="G7" s="147">
        <v>5.1970000000000001</v>
      </c>
      <c r="H7" s="148">
        <v>0.12001030131341747</v>
      </c>
      <c r="I7" s="148">
        <v>0.2183878444501674</v>
      </c>
      <c r="J7" s="148">
        <v>0.33839814576358485</v>
      </c>
      <c r="K7" s="4">
        <v>23</v>
      </c>
      <c r="L7" s="147">
        <v>0.505</v>
      </c>
      <c r="M7" s="147">
        <v>5.1870000000000003</v>
      </c>
      <c r="N7" s="1539">
        <v>0.22</v>
      </c>
      <c r="O7" s="147">
        <v>0.22</v>
      </c>
      <c r="P7" s="147">
        <v>5.407</v>
      </c>
      <c r="Q7" s="148">
        <v>0.10785988893635198</v>
      </c>
      <c r="R7" s="148">
        <v>4.6988466467321653E-2</v>
      </c>
      <c r="S7" s="148">
        <v>0.15484835540367364</v>
      </c>
      <c r="T7" s="4">
        <v>23</v>
      </c>
      <c r="U7" s="149">
        <v>0.48550000000000004</v>
      </c>
      <c r="V7" s="149">
        <v>4.7680000000000007</v>
      </c>
      <c r="W7" s="150">
        <v>0.53400000000000003</v>
      </c>
      <c r="X7" s="147">
        <v>0.53400000000000003</v>
      </c>
      <c r="Y7" s="147">
        <v>5.3020000000000005</v>
      </c>
      <c r="Z7" s="148">
        <v>0.11336835960303561</v>
      </c>
      <c r="AA7" s="148">
        <v>0.12469352014010507</v>
      </c>
      <c r="AB7" s="148">
        <v>0.23806187974314069</v>
      </c>
    </row>
    <row r="8" spans="1:28">
      <c r="B8" s="4">
        <v>24</v>
      </c>
      <c r="C8" s="147">
        <v>0.51200000000000001</v>
      </c>
      <c r="D8" s="147">
        <v>4.4779999999999998</v>
      </c>
      <c r="E8" s="149">
        <v>0.94099999999999995</v>
      </c>
      <c r="F8" s="147">
        <v>0.94099999999999995</v>
      </c>
      <c r="G8" s="147">
        <v>5.4189999999999996</v>
      </c>
      <c r="H8" s="148">
        <v>0.12909732728189613</v>
      </c>
      <c r="I8" s="148">
        <v>0.23726676752395362</v>
      </c>
      <c r="J8" s="148">
        <v>0.36636409480584975</v>
      </c>
      <c r="K8" s="4">
        <v>24</v>
      </c>
      <c r="L8" s="147">
        <v>0.55300000000000005</v>
      </c>
      <c r="M8" s="147">
        <v>5.3390000000000004</v>
      </c>
      <c r="N8" s="1539">
        <v>0.24099999999999999</v>
      </c>
      <c r="O8" s="147">
        <v>0.24099999999999999</v>
      </c>
      <c r="P8" s="147">
        <v>5.58</v>
      </c>
      <c r="Q8" s="148">
        <v>0.11554534057668199</v>
      </c>
      <c r="R8" s="148">
        <v>5.0355202674467192E-2</v>
      </c>
      <c r="S8" s="148">
        <v>0.16590054325114917</v>
      </c>
      <c r="T8" s="4">
        <v>24</v>
      </c>
      <c r="U8" s="149">
        <v>0.53249999999999997</v>
      </c>
      <c r="V8" s="149">
        <v>4.9085000000000001</v>
      </c>
      <c r="W8" s="150">
        <v>0.59099999999999997</v>
      </c>
      <c r="X8" s="147">
        <v>0.59099999999999997</v>
      </c>
      <c r="Y8" s="147">
        <v>5.4995000000000003</v>
      </c>
      <c r="Z8" s="148">
        <v>0.12168647166361973</v>
      </c>
      <c r="AA8" s="148">
        <v>0.13505484460694697</v>
      </c>
      <c r="AB8" s="148">
        <v>0.25674131627056673</v>
      </c>
    </row>
    <row r="9" spans="1:28">
      <c r="B9" s="4">
        <v>25</v>
      </c>
      <c r="C9" s="147">
        <v>0.55400000000000005</v>
      </c>
      <c r="D9" s="147">
        <v>4.6100000000000003</v>
      </c>
      <c r="E9" s="149">
        <v>1.0269999999999999</v>
      </c>
      <c r="F9" s="147">
        <v>1.0269999999999999</v>
      </c>
      <c r="G9" s="147">
        <v>5.6370000000000005</v>
      </c>
      <c r="H9" s="148">
        <v>0.13658777120315582</v>
      </c>
      <c r="I9" s="148">
        <v>0.25320512820512819</v>
      </c>
      <c r="J9" s="148">
        <v>0.38979289940828399</v>
      </c>
      <c r="K9" s="4">
        <v>25</v>
      </c>
      <c r="L9" s="147">
        <v>0.59899999999999998</v>
      </c>
      <c r="M9" s="147">
        <v>5.4950000000000001</v>
      </c>
      <c r="N9" s="1539">
        <v>0.26300000000000001</v>
      </c>
      <c r="O9" s="147">
        <v>0.26300000000000001</v>
      </c>
      <c r="P9" s="147">
        <v>5.758</v>
      </c>
      <c r="Q9" s="148">
        <v>0.12234477124183006</v>
      </c>
      <c r="R9" s="148">
        <v>5.3717320261437912E-2</v>
      </c>
      <c r="S9" s="148">
        <v>0.17606209150326796</v>
      </c>
      <c r="T9" s="4">
        <v>25</v>
      </c>
      <c r="U9" s="149">
        <v>0.57650000000000001</v>
      </c>
      <c r="V9" s="149">
        <v>5.0525000000000002</v>
      </c>
      <c r="W9" s="150">
        <v>0.64500000000000002</v>
      </c>
      <c r="X9" s="147">
        <v>0.64500000000000002</v>
      </c>
      <c r="Y9" s="147">
        <v>5.6974999999999998</v>
      </c>
      <c r="Z9" s="148">
        <v>0.12879803395889186</v>
      </c>
      <c r="AA9" s="148">
        <v>0.14410187667560323</v>
      </c>
      <c r="AB9" s="148">
        <v>0.27289991063449509</v>
      </c>
    </row>
    <row r="10" spans="1:28">
      <c r="B10" s="4">
        <v>26</v>
      </c>
      <c r="C10" s="147">
        <v>0.59199999999999997</v>
      </c>
      <c r="D10" s="147">
        <v>4.7450000000000001</v>
      </c>
      <c r="E10" s="149">
        <v>1.1100000000000001</v>
      </c>
      <c r="F10" s="147">
        <v>1.1100000000000001</v>
      </c>
      <c r="G10" s="147">
        <v>5.8550000000000004</v>
      </c>
      <c r="H10" s="148">
        <v>0.14254755598362628</v>
      </c>
      <c r="I10" s="148">
        <v>0.26727666746929929</v>
      </c>
      <c r="J10" s="148">
        <v>0.40982422345292557</v>
      </c>
      <c r="K10" s="4">
        <v>26</v>
      </c>
      <c r="L10" s="147">
        <v>0.64600000000000002</v>
      </c>
      <c r="M10" s="147">
        <v>5.6539999999999999</v>
      </c>
      <c r="N10" s="1539">
        <v>0.28499999999999998</v>
      </c>
      <c r="O10" s="147">
        <v>0.28499999999999998</v>
      </c>
      <c r="P10" s="147">
        <v>5.9390000000000001</v>
      </c>
      <c r="Q10" s="148">
        <v>0.12899361022364217</v>
      </c>
      <c r="R10" s="148">
        <v>5.6908945686900955E-2</v>
      </c>
      <c r="S10" s="148">
        <v>0.18590255591054311</v>
      </c>
      <c r="T10" s="4">
        <v>26</v>
      </c>
      <c r="U10" s="149">
        <v>0.61899999999999999</v>
      </c>
      <c r="V10" s="149">
        <v>5.1995000000000005</v>
      </c>
      <c r="W10" s="150">
        <v>0.69750000000000001</v>
      </c>
      <c r="X10" s="147">
        <v>0.69750000000000001</v>
      </c>
      <c r="Y10" s="147">
        <v>5.8970000000000002</v>
      </c>
      <c r="Z10" s="148">
        <v>0.13513808536186003</v>
      </c>
      <c r="AA10" s="148">
        <v>0.15227595240694244</v>
      </c>
      <c r="AB10" s="148">
        <v>0.28741403776880248</v>
      </c>
    </row>
    <row r="11" spans="1:28">
      <c r="B11" s="4">
        <v>27</v>
      </c>
      <c r="C11" s="147">
        <v>0.628</v>
      </c>
      <c r="D11" s="147">
        <v>4.883</v>
      </c>
      <c r="E11" s="149">
        <v>1.1890000000000001</v>
      </c>
      <c r="F11" s="147">
        <v>1.1890000000000001</v>
      </c>
      <c r="G11" s="147">
        <v>6.0720000000000001</v>
      </c>
      <c r="H11" s="148">
        <v>0.14759106933019978</v>
      </c>
      <c r="I11" s="148">
        <v>0.27943595769682728</v>
      </c>
      <c r="J11" s="148">
        <v>0.42702702702702705</v>
      </c>
      <c r="K11" s="4">
        <v>27</v>
      </c>
      <c r="L11" s="147">
        <v>0.69099999999999995</v>
      </c>
      <c r="M11" s="147">
        <v>5.8159999999999998</v>
      </c>
      <c r="N11" s="1539">
        <v>0.30599999999999999</v>
      </c>
      <c r="O11" s="147">
        <v>0.30599999999999999</v>
      </c>
      <c r="P11" s="147">
        <v>6.1219999999999999</v>
      </c>
      <c r="Q11" s="148">
        <v>0.13482926829268291</v>
      </c>
      <c r="R11" s="148">
        <v>5.9707317073170729E-2</v>
      </c>
      <c r="S11" s="148">
        <v>0.19453658536585364</v>
      </c>
      <c r="T11" s="4">
        <v>27</v>
      </c>
      <c r="U11" s="149">
        <v>0.65949999999999998</v>
      </c>
      <c r="V11" s="149">
        <v>5.3494999999999999</v>
      </c>
      <c r="W11" s="150">
        <v>0.74750000000000005</v>
      </c>
      <c r="X11" s="147">
        <v>0.74750000000000005</v>
      </c>
      <c r="Y11" s="147">
        <v>6.0969999999999995</v>
      </c>
      <c r="Z11" s="148">
        <v>0.1406183368869936</v>
      </c>
      <c r="AA11" s="148">
        <v>0.15938166311300642</v>
      </c>
      <c r="AB11" s="148">
        <v>0.30000000000000004</v>
      </c>
    </row>
    <row r="12" spans="1:28">
      <c r="B12" s="4">
        <v>28</v>
      </c>
      <c r="C12" s="147">
        <v>0.66100000000000003</v>
      </c>
      <c r="D12" s="147">
        <v>5.0229999999999997</v>
      </c>
      <c r="E12" s="149">
        <v>1.266</v>
      </c>
      <c r="F12" s="147">
        <v>1.266</v>
      </c>
      <c r="G12" s="147">
        <v>6.2889999999999997</v>
      </c>
      <c r="H12" s="148">
        <v>0.15153599266391563</v>
      </c>
      <c r="I12" s="148">
        <v>0.29023383768913341</v>
      </c>
      <c r="J12" s="148">
        <v>0.44176983035304906</v>
      </c>
      <c r="K12" s="4">
        <v>28</v>
      </c>
      <c r="L12" s="147">
        <v>0.73499999999999999</v>
      </c>
      <c r="M12" s="147">
        <v>5.9809999999999999</v>
      </c>
      <c r="N12" s="1539">
        <v>0.32700000000000001</v>
      </c>
      <c r="O12" s="147">
        <v>0.32700000000000001</v>
      </c>
      <c r="P12" s="147">
        <v>6.3079999999999998</v>
      </c>
      <c r="Q12" s="148">
        <v>0.14010674799847503</v>
      </c>
      <c r="R12" s="1471">
        <v>6.2333206252382777E-2</v>
      </c>
      <c r="S12" s="148">
        <v>0.20243995425085781</v>
      </c>
      <c r="T12" s="4">
        <v>28</v>
      </c>
      <c r="U12" s="149">
        <v>0.69799999999999995</v>
      </c>
      <c r="V12" s="149">
        <v>5.5019999999999998</v>
      </c>
      <c r="W12" s="150">
        <v>0.79649999999999999</v>
      </c>
      <c r="X12" s="147">
        <v>0.79649999999999999</v>
      </c>
      <c r="Y12" s="147">
        <v>6.2984999999999998</v>
      </c>
      <c r="Z12" s="148">
        <v>0.14529558701082429</v>
      </c>
      <c r="AA12" s="148">
        <v>0.1657993338884263</v>
      </c>
      <c r="AB12" s="148">
        <v>0.31109492089925062</v>
      </c>
    </row>
    <row r="13" spans="1:28">
      <c r="B13" s="4">
        <v>29</v>
      </c>
      <c r="C13" s="147">
        <v>0.69099999999999995</v>
      </c>
      <c r="D13" s="147">
        <v>5.1669999999999998</v>
      </c>
      <c r="E13" s="149">
        <v>1.3420000000000001</v>
      </c>
      <c r="F13" s="147">
        <v>1.3420000000000001</v>
      </c>
      <c r="G13" s="147">
        <v>6.5090000000000003</v>
      </c>
      <c r="H13" s="148">
        <v>0.15437890974084004</v>
      </c>
      <c r="I13" s="148">
        <v>0.29982126899016981</v>
      </c>
      <c r="J13" s="148">
        <v>0.45420017873100982</v>
      </c>
      <c r="K13" s="4">
        <v>29</v>
      </c>
      <c r="L13" s="147">
        <v>0.77800000000000002</v>
      </c>
      <c r="M13" s="147">
        <v>6.1479999999999997</v>
      </c>
      <c r="N13" s="1539">
        <v>0.34799999999999998</v>
      </c>
      <c r="O13" s="147">
        <v>0.34799999999999998</v>
      </c>
      <c r="P13" s="147">
        <v>6.4959999999999996</v>
      </c>
      <c r="Q13" s="148">
        <v>0.14487895716945998</v>
      </c>
      <c r="R13" s="148">
        <v>6.4804469273743018E-2</v>
      </c>
      <c r="S13" s="148">
        <v>0.20968342644320298</v>
      </c>
      <c r="T13" s="4">
        <v>29</v>
      </c>
      <c r="U13" s="149">
        <v>0.73449999999999993</v>
      </c>
      <c r="V13" s="149">
        <v>5.6574999999999998</v>
      </c>
      <c r="W13" s="150">
        <v>0.84499999999999997</v>
      </c>
      <c r="X13" s="147">
        <v>0.84499999999999997</v>
      </c>
      <c r="Y13" s="147">
        <v>6.5024999999999995</v>
      </c>
      <c r="Z13" s="148">
        <v>0.149197643713183</v>
      </c>
      <c r="AA13" s="148">
        <v>0.17164330692667074</v>
      </c>
      <c r="AB13" s="148">
        <v>0.32084095063985374</v>
      </c>
    </row>
    <row r="14" spans="1:28">
      <c r="B14" s="4">
        <v>30</v>
      </c>
      <c r="C14" s="147">
        <v>0.72099999999999997</v>
      </c>
      <c r="D14" s="147">
        <v>5.3140000000000001</v>
      </c>
      <c r="E14" s="149">
        <v>1.417</v>
      </c>
      <c r="F14" s="147">
        <v>1.417</v>
      </c>
      <c r="G14" s="147">
        <v>6.7309999999999999</v>
      </c>
      <c r="H14" s="148">
        <v>0.15697801001524059</v>
      </c>
      <c r="I14" s="1471">
        <v>0.30851295449597216</v>
      </c>
      <c r="J14" s="148">
        <v>0.46549096451121275</v>
      </c>
      <c r="K14" s="4">
        <v>30</v>
      </c>
      <c r="L14" s="147">
        <v>0.81799999999999995</v>
      </c>
      <c r="M14" s="147">
        <v>6.319</v>
      </c>
      <c r="N14" s="1539">
        <v>0.36799999999999999</v>
      </c>
      <c r="O14" s="147">
        <v>0.36799999999999999</v>
      </c>
      <c r="P14" s="147">
        <v>6.6870000000000003</v>
      </c>
      <c r="Q14" s="148">
        <v>0.14870023632066895</v>
      </c>
      <c r="R14" s="148">
        <v>6.6896927831303396E-2</v>
      </c>
      <c r="S14" s="148">
        <v>0.21559716415197233</v>
      </c>
      <c r="T14" s="4">
        <v>30</v>
      </c>
      <c r="U14" s="149">
        <v>0.76949999999999996</v>
      </c>
      <c r="V14" s="149">
        <v>5.8164999999999996</v>
      </c>
      <c r="W14" s="150">
        <v>0.89250000000000007</v>
      </c>
      <c r="X14" s="147">
        <v>0.89250000000000007</v>
      </c>
      <c r="Y14" s="147">
        <v>6.7089999999999996</v>
      </c>
      <c r="Z14" s="148">
        <v>0.15246681196750544</v>
      </c>
      <c r="AA14" s="148">
        <v>0.17683772538141473</v>
      </c>
      <c r="AB14" s="148">
        <v>0.32930453734892018</v>
      </c>
    </row>
    <row r="15" spans="1:28">
      <c r="B15" s="4">
        <v>31</v>
      </c>
      <c r="C15" s="147">
        <v>0.749</v>
      </c>
      <c r="D15" s="147">
        <v>5.4649999999999999</v>
      </c>
      <c r="E15" s="149">
        <v>1.492</v>
      </c>
      <c r="F15" s="147">
        <v>1.492</v>
      </c>
      <c r="G15" s="147">
        <v>6.9569999999999999</v>
      </c>
      <c r="H15" s="148">
        <v>0.15882103477523324</v>
      </c>
      <c r="I15" s="148">
        <v>0.31636980491942324</v>
      </c>
      <c r="J15" s="148">
        <v>0.47519083969465647</v>
      </c>
      <c r="K15" s="4">
        <v>31</v>
      </c>
      <c r="L15" s="147">
        <v>0.85599999999999998</v>
      </c>
      <c r="M15" s="147">
        <v>6.4930000000000003</v>
      </c>
      <c r="N15" s="1539">
        <v>0.38700000000000001</v>
      </c>
      <c r="O15" s="147">
        <v>0.38700000000000001</v>
      </c>
      <c r="P15" s="147">
        <v>6.8800000000000008</v>
      </c>
      <c r="Q15" s="148">
        <v>0.15185382295547276</v>
      </c>
      <c r="R15" s="148">
        <v>6.8653539116551351E-2</v>
      </c>
      <c r="S15" s="148">
        <v>0.22050736207202409</v>
      </c>
      <c r="T15" s="4">
        <v>31</v>
      </c>
      <c r="U15" s="149">
        <v>0.80249999999999999</v>
      </c>
      <c r="V15" s="149">
        <v>5.9790000000000001</v>
      </c>
      <c r="W15" s="150">
        <v>0.9395</v>
      </c>
      <c r="X15" s="147">
        <v>0.9395</v>
      </c>
      <c r="Y15" s="147">
        <v>6.9184999999999999</v>
      </c>
      <c r="Z15" s="148">
        <v>0.15502752825268037</v>
      </c>
      <c r="AA15" s="148">
        <v>0.18149328696996039</v>
      </c>
      <c r="AB15" s="148">
        <v>0.33652081522264077</v>
      </c>
    </row>
    <row r="16" spans="1:28">
      <c r="B16" s="4">
        <v>32</v>
      </c>
      <c r="C16" s="147">
        <v>0.77500000000000002</v>
      </c>
      <c r="D16" s="147">
        <v>5.6189999999999998</v>
      </c>
      <c r="E16" s="149">
        <v>1.5660000000000001</v>
      </c>
      <c r="F16" s="147">
        <v>1.5660000000000001</v>
      </c>
      <c r="G16" s="147">
        <v>7.1849999999999996</v>
      </c>
      <c r="H16" s="148">
        <v>0.15999174236168459</v>
      </c>
      <c r="I16" s="148">
        <v>0.32328654004954588</v>
      </c>
      <c r="J16" s="1470">
        <v>0.4832782824112305</v>
      </c>
      <c r="K16" s="4">
        <v>32</v>
      </c>
      <c r="L16" s="147">
        <v>0.89100000000000001</v>
      </c>
      <c r="M16" s="147">
        <v>6.67</v>
      </c>
      <c r="N16" s="1539">
        <v>0.40600000000000003</v>
      </c>
      <c r="O16" s="147">
        <v>0.40600000000000003</v>
      </c>
      <c r="P16" s="147">
        <v>7.0759999999999996</v>
      </c>
      <c r="Q16" s="148">
        <v>0.15417892368921959</v>
      </c>
      <c r="R16" s="148">
        <v>7.0254369268039463E-2</v>
      </c>
      <c r="S16" s="148">
        <v>0.22443329295725906</v>
      </c>
      <c r="T16" s="4">
        <v>32</v>
      </c>
      <c r="U16" s="149">
        <v>0.83299999999999996</v>
      </c>
      <c r="V16" s="149">
        <v>6.1444999999999999</v>
      </c>
      <c r="W16" s="150">
        <v>0.98599999999999999</v>
      </c>
      <c r="X16" s="147">
        <v>0.98599999999999999</v>
      </c>
      <c r="Y16" s="147">
        <v>7.1304999999999996</v>
      </c>
      <c r="Z16" s="148">
        <v>0.15682952085098373</v>
      </c>
      <c r="AA16" s="148">
        <v>0.18563494304810318</v>
      </c>
      <c r="AB16" s="148">
        <v>0.34246446389908691</v>
      </c>
    </row>
    <row r="17" spans="2:28">
      <c r="B17" s="4">
        <v>33</v>
      </c>
      <c r="C17" s="147">
        <v>0.80100000000000005</v>
      </c>
      <c r="D17" s="147">
        <v>5.7770000000000001</v>
      </c>
      <c r="E17" s="149">
        <v>1.64</v>
      </c>
      <c r="F17" s="147">
        <v>1.64</v>
      </c>
      <c r="G17" s="147">
        <v>7.4169999999999998</v>
      </c>
      <c r="H17" s="148">
        <v>0.1609726688102894</v>
      </c>
      <c r="I17" s="148">
        <v>0.32958199356913181</v>
      </c>
      <c r="J17" s="148">
        <v>0.49055466237942125</v>
      </c>
      <c r="K17" s="4">
        <v>33</v>
      </c>
      <c r="L17" s="147">
        <v>0.92400000000000004</v>
      </c>
      <c r="M17" s="147">
        <v>6.85</v>
      </c>
      <c r="N17" s="1539">
        <v>0.42499999999999999</v>
      </c>
      <c r="O17" s="147">
        <v>0.42499999999999999</v>
      </c>
      <c r="P17" s="147">
        <v>7.2749999999999995</v>
      </c>
      <c r="Q17" s="148">
        <v>0.15592305096186301</v>
      </c>
      <c r="R17" s="148">
        <v>7.1717853526830924E-2</v>
      </c>
      <c r="S17" s="1470">
        <v>0.22764090448869395</v>
      </c>
      <c r="T17" s="4">
        <v>33</v>
      </c>
      <c r="U17" s="149">
        <v>0.86250000000000004</v>
      </c>
      <c r="V17" s="149">
        <v>6.3134999999999994</v>
      </c>
      <c r="W17" s="150">
        <v>1.0325</v>
      </c>
      <c r="X17" s="147">
        <v>1.0325</v>
      </c>
      <c r="Y17" s="147">
        <v>7.3459999999999992</v>
      </c>
      <c r="Z17" s="148">
        <v>0.15822784810126583</v>
      </c>
      <c r="AA17" s="148">
        <v>0.18941478627774722</v>
      </c>
      <c r="AB17" s="148">
        <v>0.34764263437901305</v>
      </c>
    </row>
    <row r="18" spans="2:28">
      <c r="B18" s="4">
        <v>34</v>
      </c>
      <c r="C18" s="147">
        <v>0.82499999999999996</v>
      </c>
      <c r="D18" s="147">
        <v>5.9390000000000001</v>
      </c>
      <c r="E18" s="149">
        <v>1.7150000000000001</v>
      </c>
      <c r="F18" s="147">
        <v>1.7150000000000001</v>
      </c>
      <c r="G18" s="147">
        <v>7.6539999999999999</v>
      </c>
      <c r="H18" s="1471">
        <v>0.16132186155651154</v>
      </c>
      <c r="I18" s="148">
        <v>0.33535393038717248</v>
      </c>
      <c r="J18" s="148">
        <v>0.49667579194368405</v>
      </c>
      <c r="K18" s="4">
        <v>34</v>
      </c>
      <c r="L18" s="147">
        <v>0.95399999999999996</v>
      </c>
      <c r="M18" s="147">
        <v>7.0330000000000004</v>
      </c>
      <c r="N18" s="1539">
        <v>0.443</v>
      </c>
      <c r="O18" s="147">
        <v>0.443</v>
      </c>
      <c r="P18" s="147">
        <v>7.476</v>
      </c>
      <c r="Q18" s="148">
        <v>0.15693370620167787</v>
      </c>
      <c r="R18" s="148">
        <v>7.2873827932225688E-2</v>
      </c>
      <c r="S18" s="1470">
        <v>0.22980753413390356</v>
      </c>
      <c r="T18" s="4">
        <v>34</v>
      </c>
      <c r="U18" s="149">
        <v>0.88949999999999996</v>
      </c>
      <c r="V18" s="149">
        <v>6.4860000000000007</v>
      </c>
      <c r="W18" s="150">
        <v>1.079</v>
      </c>
      <c r="X18" s="147">
        <v>1.079</v>
      </c>
      <c r="Y18" s="147">
        <v>7.5650000000000004</v>
      </c>
      <c r="Z18" s="148">
        <v>0.15893862235325648</v>
      </c>
      <c r="AA18" s="148">
        <v>0.19279907084785131</v>
      </c>
      <c r="AB18" s="148">
        <v>0.35173769320110781</v>
      </c>
    </row>
    <row r="19" spans="2:28">
      <c r="B19" s="4">
        <v>35</v>
      </c>
      <c r="C19" s="147">
        <v>0.84599999999999997</v>
      </c>
      <c r="D19" s="147">
        <v>6.1040000000000001</v>
      </c>
      <c r="E19" s="149">
        <v>1.7889999999999999</v>
      </c>
      <c r="F19" s="147">
        <v>1.7889999999999999</v>
      </c>
      <c r="G19" s="147">
        <v>7.8929999999999998</v>
      </c>
      <c r="H19" s="148">
        <v>0.16089767972613161</v>
      </c>
      <c r="I19" s="148">
        <v>0.34024343856979838</v>
      </c>
      <c r="J19" s="148">
        <v>0.50114111829593</v>
      </c>
      <c r="K19" s="4">
        <v>35</v>
      </c>
      <c r="L19" s="147">
        <v>0.98</v>
      </c>
      <c r="M19" s="147">
        <v>7.2190000000000003</v>
      </c>
      <c r="N19" s="1539">
        <v>0.46</v>
      </c>
      <c r="O19" s="147">
        <v>0.46</v>
      </c>
      <c r="P19" s="147">
        <v>7.6790000000000003</v>
      </c>
      <c r="Q19" s="1471">
        <v>0.15707645456002561</v>
      </c>
      <c r="R19" s="148">
        <v>7.3729764385318156E-2</v>
      </c>
      <c r="S19" s="148">
        <v>0.23080621894534376</v>
      </c>
      <c r="T19" s="4">
        <v>35</v>
      </c>
      <c r="U19" s="149">
        <v>0.91300000000000003</v>
      </c>
      <c r="V19" s="149">
        <v>6.6615000000000002</v>
      </c>
      <c r="W19" s="150">
        <v>1.1245000000000001</v>
      </c>
      <c r="X19" s="147">
        <v>1.1245000000000001</v>
      </c>
      <c r="Y19" s="147">
        <v>7.7860000000000005</v>
      </c>
      <c r="Z19" s="148">
        <v>0.15882404105418807</v>
      </c>
      <c r="AA19" s="148">
        <v>0.1956162477167957</v>
      </c>
      <c r="AB19" s="148">
        <v>0.35444028877098377</v>
      </c>
    </row>
    <row r="20" spans="2:28">
      <c r="B20" s="4">
        <v>36</v>
      </c>
      <c r="C20" s="147">
        <v>0.86499999999999999</v>
      </c>
      <c r="D20" s="147">
        <v>6.2709999999999999</v>
      </c>
      <c r="E20" s="149">
        <v>1.8640000000000001</v>
      </c>
      <c r="F20" s="147">
        <v>1.8640000000000001</v>
      </c>
      <c r="G20" s="147">
        <v>8.1349999999999998</v>
      </c>
      <c r="H20" s="148">
        <v>0.16000739918608953</v>
      </c>
      <c r="I20" s="148">
        <v>0.34480207177210509</v>
      </c>
      <c r="J20" s="148">
        <v>0.50480947095819462</v>
      </c>
      <c r="K20" s="4">
        <v>36</v>
      </c>
      <c r="L20" s="147">
        <v>1.0009999999999999</v>
      </c>
      <c r="M20" s="147">
        <v>7.407</v>
      </c>
      <c r="N20" s="1539">
        <v>0.47699999999999998</v>
      </c>
      <c r="O20" s="147">
        <v>0.47699999999999998</v>
      </c>
      <c r="P20" s="147">
        <v>7.8840000000000003</v>
      </c>
      <c r="Q20" s="148">
        <v>0.15625975647830156</v>
      </c>
      <c r="R20" s="148">
        <v>7.4461442397752098E-2</v>
      </c>
      <c r="S20" s="148">
        <v>0.23072119887605366</v>
      </c>
      <c r="T20" s="4">
        <v>36</v>
      </c>
      <c r="U20" s="149">
        <v>0.93299999999999994</v>
      </c>
      <c r="V20" s="149">
        <v>6.8390000000000004</v>
      </c>
      <c r="W20" s="150">
        <v>1.1705000000000001</v>
      </c>
      <c r="X20" s="147">
        <v>1.1705000000000001</v>
      </c>
      <c r="Y20" s="147">
        <v>8.009500000000001</v>
      </c>
      <c r="Z20" s="148">
        <v>0.15797494073823229</v>
      </c>
      <c r="AA20" s="148">
        <v>0.19818828310193023</v>
      </c>
      <c r="AB20" s="148">
        <v>0.35616322384016252</v>
      </c>
    </row>
    <row r="21" spans="2:28">
      <c r="B21" s="4">
        <v>37</v>
      </c>
      <c r="C21" s="147">
        <v>0.879</v>
      </c>
      <c r="D21" s="147">
        <v>6.44</v>
      </c>
      <c r="E21" s="149">
        <v>1.9379999999999999</v>
      </c>
      <c r="F21" s="147">
        <v>1.9379999999999999</v>
      </c>
      <c r="G21" s="147">
        <v>8.3780000000000001</v>
      </c>
      <c r="H21" s="148">
        <v>0.1580650962057184</v>
      </c>
      <c r="I21" s="148">
        <v>0.34849847149793201</v>
      </c>
      <c r="J21" s="148">
        <v>0.50656356770365041</v>
      </c>
      <c r="K21" s="4">
        <v>37</v>
      </c>
      <c r="L21" s="147">
        <v>1.016</v>
      </c>
      <c r="M21" s="147">
        <v>7.5970000000000004</v>
      </c>
      <c r="N21" s="1539">
        <v>0.49199999999999999</v>
      </c>
      <c r="O21" s="147">
        <v>0.49199999999999999</v>
      </c>
      <c r="P21" s="147">
        <v>8.0890000000000004</v>
      </c>
      <c r="Q21" s="148">
        <v>0.15438383224433977</v>
      </c>
      <c r="R21" s="148">
        <v>7.4760674669503105E-2</v>
      </c>
      <c r="S21" s="148">
        <v>0.22914450691384286</v>
      </c>
      <c r="T21" s="4">
        <v>37</v>
      </c>
      <c r="U21" s="149">
        <v>0.94750000000000001</v>
      </c>
      <c r="V21" s="149">
        <v>7.0185000000000004</v>
      </c>
      <c r="W21" s="150">
        <v>1.2149999999999999</v>
      </c>
      <c r="X21" s="147">
        <v>1.2149999999999999</v>
      </c>
      <c r="Y21" s="147">
        <v>8.2334999999999994</v>
      </c>
      <c r="Z21" s="148">
        <v>0.15606984022401579</v>
      </c>
      <c r="AA21" s="148">
        <v>0.20013177400757695</v>
      </c>
      <c r="AB21" s="148">
        <v>0.35620161423159274</v>
      </c>
    </row>
    <row r="22" spans="2:28">
      <c r="B22" s="4">
        <v>38</v>
      </c>
      <c r="C22" s="147">
        <v>0.88700000000000001</v>
      </c>
      <c r="D22" s="147">
        <v>6.61</v>
      </c>
      <c r="E22" s="149">
        <v>2.012</v>
      </c>
      <c r="F22" s="147">
        <v>2.012</v>
      </c>
      <c r="G22" s="147">
        <v>8.6219999999999999</v>
      </c>
      <c r="H22" s="148">
        <v>0.15498864232046128</v>
      </c>
      <c r="I22" s="148">
        <v>0.35156386510571375</v>
      </c>
      <c r="J22" s="148">
        <v>0.50655250742617497</v>
      </c>
      <c r="K22" s="4">
        <v>38</v>
      </c>
      <c r="L22" s="147">
        <v>1.026</v>
      </c>
      <c r="M22" s="147">
        <v>7.7869999999999999</v>
      </c>
      <c r="N22" s="1539">
        <v>0.50700000000000001</v>
      </c>
      <c r="O22" s="147">
        <v>0.50700000000000001</v>
      </c>
      <c r="P22" s="147">
        <v>8.2940000000000005</v>
      </c>
      <c r="Q22" s="148">
        <v>0.15175269930483656</v>
      </c>
      <c r="R22" s="148">
        <v>7.4988906966425087E-2</v>
      </c>
      <c r="S22" s="148">
        <v>0.22674160627126166</v>
      </c>
      <c r="T22" s="4">
        <v>38</v>
      </c>
      <c r="U22" s="149">
        <v>0.95650000000000002</v>
      </c>
      <c r="V22" s="149">
        <v>7.1985000000000001</v>
      </c>
      <c r="W22" s="150">
        <v>1.2595000000000001</v>
      </c>
      <c r="X22" s="147">
        <v>1.2595000000000001</v>
      </c>
      <c r="Y22" s="147">
        <v>8.4580000000000002</v>
      </c>
      <c r="Z22" s="148">
        <v>0.15323614226209548</v>
      </c>
      <c r="AA22" s="148">
        <v>0.20177827619352773</v>
      </c>
      <c r="AB22" s="148">
        <v>0.3550144184556232</v>
      </c>
    </row>
    <row r="23" spans="2:28">
      <c r="B23" s="4">
        <v>39</v>
      </c>
      <c r="C23" s="147">
        <v>0.89100000000000001</v>
      </c>
      <c r="D23" s="147">
        <v>6.7809999999999997</v>
      </c>
      <c r="E23" s="149">
        <v>2.0859999999999999</v>
      </c>
      <c r="F23" s="147">
        <v>2.0859999999999999</v>
      </c>
      <c r="G23" s="147">
        <v>8.8669999999999991</v>
      </c>
      <c r="H23" s="148">
        <v>0.15127334465195247</v>
      </c>
      <c r="I23" s="148">
        <v>0.35415959252971135</v>
      </c>
      <c r="J23" s="148">
        <v>0.50543293718166382</v>
      </c>
      <c r="K23" s="4">
        <v>39</v>
      </c>
      <c r="L23" s="147">
        <v>1.028</v>
      </c>
      <c r="M23" s="147">
        <v>7.98</v>
      </c>
      <c r="N23" s="1539">
        <v>0.52100000000000002</v>
      </c>
      <c r="O23" s="147">
        <v>0.52100000000000002</v>
      </c>
      <c r="P23" s="147">
        <v>8.5010000000000012</v>
      </c>
      <c r="Q23" s="148">
        <v>0.14787111622554661</v>
      </c>
      <c r="R23" s="148">
        <v>7.4942462600690457E-2</v>
      </c>
      <c r="S23" s="148">
        <v>0.22281357882623706</v>
      </c>
      <c r="T23" s="4">
        <v>39</v>
      </c>
      <c r="U23" s="149">
        <v>0.95950000000000002</v>
      </c>
      <c r="V23" s="149">
        <v>7.3804999999999996</v>
      </c>
      <c r="W23" s="150">
        <v>1.3034999999999999</v>
      </c>
      <c r="X23" s="147">
        <v>1.3034999999999999</v>
      </c>
      <c r="Y23" s="147">
        <v>8.6839999999999993</v>
      </c>
      <c r="Z23" s="148">
        <v>0.14943155271764524</v>
      </c>
      <c r="AA23" s="148">
        <v>0.20300576234231429</v>
      </c>
      <c r="AB23" s="148">
        <v>0.35243731505995957</v>
      </c>
    </row>
    <row r="24" spans="2:28">
      <c r="B24" s="4">
        <v>40</v>
      </c>
      <c r="C24" s="147">
        <v>0.89</v>
      </c>
      <c r="D24" s="147">
        <v>6.9560000000000004</v>
      </c>
      <c r="E24" s="149">
        <v>2.161</v>
      </c>
      <c r="F24" s="147">
        <v>2.161</v>
      </c>
      <c r="G24" s="147">
        <v>9.1170000000000009</v>
      </c>
      <c r="H24" s="148">
        <v>0.14671941971645233</v>
      </c>
      <c r="I24" s="148">
        <v>0.35624793933399274</v>
      </c>
      <c r="J24" s="148">
        <v>0.5029673590504451</v>
      </c>
      <c r="K24" s="4">
        <v>40</v>
      </c>
      <c r="L24" s="147">
        <v>1.026</v>
      </c>
      <c r="M24" s="147">
        <v>8.1739999999999995</v>
      </c>
      <c r="N24" s="1539">
        <v>0.53400000000000003</v>
      </c>
      <c r="O24" s="147">
        <v>0.53400000000000003</v>
      </c>
      <c r="P24" s="147">
        <v>8.7080000000000002</v>
      </c>
      <c r="Q24" s="148">
        <v>0.14353665360940124</v>
      </c>
      <c r="R24" s="148">
        <v>7.4706211527700059E-2</v>
      </c>
      <c r="S24" s="148">
        <v>0.21824286513710128</v>
      </c>
      <c r="T24" s="4">
        <v>40</v>
      </c>
      <c r="U24" s="149">
        <v>0.95799999999999996</v>
      </c>
      <c r="V24" s="149">
        <v>7.5649999999999995</v>
      </c>
      <c r="W24" s="150">
        <v>1.3475000000000001</v>
      </c>
      <c r="X24" s="147">
        <v>1.3475000000000001</v>
      </c>
      <c r="Y24" s="147">
        <v>8.9124999999999996</v>
      </c>
      <c r="Z24" s="148">
        <v>0.14499772968064176</v>
      </c>
      <c r="AA24" s="148">
        <v>0.20395035568336617</v>
      </c>
      <c r="AB24" s="148">
        <v>0.3489480853640079</v>
      </c>
    </row>
    <row r="25" spans="2:28">
      <c r="B25" s="4">
        <v>41</v>
      </c>
      <c r="C25" s="147">
        <v>0.88700000000000001</v>
      </c>
      <c r="D25" s="147">
        <v>7.1349999999999998</v>
      </c>
      <c r="E25" s="149">
        <v>2.2360000000000002</v>
      </c>
      <c r="F25" s="147">
        <v>2.2360000000000002</v>
      </c>
      <c r="G25" s="147">
        <v>9.3710000000000004</v>
      </c>
      <c r="H25" s="148">
        <v>0.14196542893725994</v>
      </c>
      <c r="I25" s="148">
        <v>0.35787451984635088</v>
      </c>
      <c r="J25" s="148">
        <v>0.49983994878361082</v>
      </c>
      <c r="K25" s="4">
        <v>41</v>
      </c>
      <c r="L25" s="147">
        <v>1.0189999999999999</v>
      </c>
      <c r="M25" s="147">
        <v>8.3729999999999993</v>
      </c>
      <c r="N25" s="1539">
        <v>0.54700000000000004</v>
      </c>
      <c r="O25" s="147">
        <v>0.54700000000000004</v>
      </c>
      <c r="P25" s="147">
        <v>8.92</v>
      </c>
      <c r="Q25" s="148">
        <v>0.13856404677726408</v>
      </c>
      <c r="R25" s="148">
        <v>7.4381289094370417E-2</v>
      </c>
      <c r="S25" s="148">
        <v>0.2129453358716345</v>
      </c>
      <c r="T25" s="4">
        <v>41</v>
      </c>
      <c r="U25" s="149">
        <v>0.95299999999999996</v>
      </c>
      <c r="V25" s="149">
        <v>7.7539999999999996</v>
      </c>
      <c r="W25" s="150">
        <v>1.3915000000000002</v>
      </c>
      <c r="X25" s="147">
        <v>1.3915000000000002</v>
      </c>
      <c r="Y25" s="147">
        <v>9.1455000000000002</v>
      </c>
      <c r="Z25" s="148">
        <v>0.14012645199235407</v>
      </c>
      <c r="AA25" s="148">
        <v>0.20460226437288639</v>
      </c>
      <c r="AB25" s="148">
        <v>0.3447287163652405</v>
      </c>
    </row>
    <row r="26" spans="2:28">
      <c r="B26" s="4">
        <v>42</v>
      </c>
      <c r="C26" s="147">
        <v>0.88300000000000001</v>
      </c>
      <c r="D26" s="147">
        <v>7.32</v>
      </c>
      <c r="E26" s="149">
        <v>2.3119999999999998</v>
      </c>
      <c r="F26" s="147">
        <v>2.3119999999999998</v>
      </c>
      <c r="G26" s="147">
        <v>9.6319999999999997</v>
      </c>
      <c r="H26" s="148">
        <v>0.13717570296722076</v>
      </c>
      <c r="I26" s="148">
        <v>0.35917352804101288</v>
      </c>
      <c r="J26" s="148">
        <v>0.49634923100823364</v>
      </c>
      <c r="K26" s="4">
        <v>42</v>
      </c>
      <c r="L26" s="147">
        <v>1.008</v>
      </c>
      <c r="M26" s="147">
        <v>8.5760000000000005</v>
      </c>
      <c r="N26" s="1539">
        <v>0.55900000000000005</v>
      </c>
      <c r="O26" s="147">
        <v>0.55900000000000005</v>
      </c>
      <c r="P26" s="147">
        <v>9.1349999999999998</v>
      </c>
      <c r="Q26" s="148">
        <v>0.13319238900634248</v>
      </c>
      <c r="R26" s="148">
        <v>7.3863636363636367E-2</v>
      </c>
      <c r="S26" s="148">
        <v>0.20705602536997886</v>
      </c>
      <c r="T26" s="4">
        <v>42</v>
      </c>
      <c r="U26" s="149">
        <v>0.94550000000000001</v>
      </c>
      <c r="V26" s="149">
        <v>7.9480000000000004</v>
      </c>
      <c r="W26" s="150">
        <v>1.4355</v>
      </c>
      <c r="X26" s="147">
        <v>1.4355</v>
      </c>
      <c r="Y26" s="147">
        <v>9.3834999999999997</v>
      </c>
      <c r="Z26" s="148">
        <v>0.13502320599785791</v>
      </c>
      <c r="AA26" s="148">
        <v>0.20499821492324169</v>
      </c>
      <c r="AB26" s="148">
        <v>0.3400214209210996</v>
      </c>
    </row>
    <row r="27" spans="2:28">
      <c r="B27" s="4">
        <v>43</v>
      </c>
      <c r="C27" s="147">
        <v>0.879</v>
      </c>
      <c r="D27" s="147">
        <v>7.5119999999999996</v>
      </c>
      <c r="E27" s="149">
        <v>2.3889999999999998</v>
      </c>
      <c r="F27" s="147">
        <v>2.3889999999999998</v>
      </c>
      <c r="G27" s="147">
        <v>9.9009999999999998</v>
      </c>
      <c r="H27" s="148">
        <v>0.13251922207146088</v>
      </c>
      <c r="I27" s="148">
        <v>0.36016885270616616</v>
      </c>
      <c r="J27" s="148">
        <v>0.49268807477762705</v>
      </c>
      <c r="K27" s="4">
        <v>43</v>
      </c>
      <c r="L27" s="147">
        <v>0.996</v>
      </c>
      <c r="M27" s="147">
        <v>8.7850000000000001</v>
      </c>
      <c r="N27" s="1539">
        <v>0.57199999999999995</v>
      </c>
      <c r="O27" s="147">
        <v>0.57199999999999995</v>
      </c>
      <c r="P27" s="147">
        <v>9.3569999999999993</v>
      </c>
      <c r="Q27" s="148">
        <v>0.12787264090383876</v>
      </c>
      <c r="R27" s="148">
        <v>7.3436898189754782E-2</v>
      </c>
      <c r="S27" s="148">
        <v>0.20130953909359356</v>
      </c>
      <c r="T27" s="4">
        <v>43</v>
      </c>
      <c r="U27" s="149">
        <v>0.9375</v>
      </c>
      <c r="V27" s="149">
        <v>8.1485000000000003</v>
      </c>
      <c r="W27" s="150">
        <v>1.4804999999999999</v>
      </c>
      <c r="X27" s="147">
        <v>1.4804999999999999</v>
      </c>
      <c r="Y27" s="147">
        <v>9.6289999999999996</v>
      </c>
      <c r="Z27" s="148">
        <v>0.13000970739148524</v>
      </c>
      <c r="AA27" s="148">
        <v>0.20531132991263346</v>
      </c>
      <c r="AB27" s="148">
        <v>0.33532103730411866</v>
      </c>
    </row>
    <row r="28" spans="2:28">
      <c r="B28" s="4">
        <v>44</v>
      </c>
      <c r="C28" s="147">
        <v>0.874</v>
      </c>
      <c r="D28" s="147">
        <v>7.7110000000000003</v>
      </c>
      <c r="E28" s="149">
        <v>2.4670000000000001</v>
      </c>
      <c r="F28" s="147">
        <v>2.4670000000000001</v>
      </c>
      <c r="G28" s="147">
        <v>10.178000000000001</v>
      </c>
      <c r="H28" s="148">
        <v>0.12783384525376626</v>
      </c>
      <c r="I28" s="148">
        <v>0.36083077373116862</v>
      </c>
      <c r="J28" s="148">
        <v>0.48866461898493485</v>
      </c>
      <c r="K28" s="4">
        <v>44</v>
      </c>
      <c r="L28" s="147">
        <v>0.98099999999999998</v>
      </c>
      <c r="M28" s="147">
        <v>9</v>
      </c>
      <c r="N28" s="1539">
        <v>0.58299999999999996</v>
      </c>
      <c r="O28" s="147">
        <v>0.58299999999999996</v>
      </c>
      <c r="P28" s="147">
        <v>9.5830000000000002</v>
      </c>
      <c r="Q28" s="148">
        <v>0.122334455667789</v>
      </c>
      <c r="R28" s="148">
        <v>7.2702331961591218E-2</v>
      </c>
      <c r="S28" s="148">
        <v>0.1950367876293802</v>
      </c>
      <c r="T28" s="4">
        <v>44</v>
      </c>
      <c r="U28" s="149">
        <v>0.92749999999999999</v>
      </c>
      <c r="V28" s="149">
        <v>8.3554999999999993</v>
      </c>
      <c r="W28" s="150">
        <v>1.5249999999999999</v>
      </c>
      <c r="X28" s="147">
        <v>1.5249999999999999</v>
      </c>
      <c r="Y28" s="147">
        <v>9.8804999999999996</v>
      </c>
      <c r="Z28" s="148">
        <v>0.12486537425955845</v>
      </c>
      <c r="AA28" s="148">
        <v>0.20530425417339795</v>
      </c>
      <c r="AB28" s="148">
        <v>0.33016962843295639</v>
      </c>
    </row>
    <row r="29" spans="2:28">
      <c r="B29" s="4">
        <v>45</v>
      </c>
      <c r="C29" s="147">
        <v>0.86799999999999999</v>
      </c>
      <c r="D29" s="147">
        <v>7.9169999999999998</v>
      </c>
      <c r="E29" s="149">
        <v>2.5459999999999998</v>
      </c>
      <c r="F29" s="147">
        <v>2.5459999999999998</v>
      </c>
      <c r="G29" s="147">
        <v>10.462999999999999</v>
      </c>
      <c r="H29" s="148">
        <v>0.12313803376365443</v>
      </c>
      <c r="I29" s="148">
        <v>0.36118598382749328</v>
      </c>
      <c r="J29" s="148">
        <v>0.48432401759114774</v>
      </c>
      <c r="K29" s="4">
        <v>45</v>
      </c>
      <c r="L29" s="147">
        <v>0.96399999999999997</v>
      </c>
      <c r="M29" s="147">
        <v>9.2219999999999995</v>
      </c>
      <c r="N29" s="1539">
        <v>0.59499999999999997</v>
      </c>
      <c r="O29" s="147">
        <v>0.59499999999999997</v>
      </c>
      <c r="P29" s="147">
        <v>9.8170000000000002</v>
      </c>
      <c r="Q29" s="148">
        <v>0.11673528699442966</v>
      </c>
      <c r="R29" s="148">
        <v>7.2051344151126184E-2</v>
      </c>
      <c r="S29" s="148">
        <v>0.18878663114555583</v>
      </c>
      <c r="T29" s="4">
        <v>45</v>
      </c>
      <c r="U29" s="149">
        <v>0.91599999999999993</v>
      </c>
      <c r="V29" s="149">
        <v>8.5694999999999997</v>
      </c>
      <c r="W29" s="150">
        <v>1.5705</v>
      </c>
      <c r="X29" s="147">
        <v>1.5705</v>
      </c>
      <c r="Y29" s="147">
        <v>10.14</v>
      </c>
      <c r="Z29" s="148">
        <v>0.11968380479519174</v>
      </c>
      <c r="AA29" s="148">
        <v>0.20520023518651601</v>
      </c>
      <c r="AB29" s="148">
        <v>0.32488403998170773</v>
      </c>
    </row>
    <row r="30" spans="2:28">
      <c r="B30" s="4">
        <v>46</v>
      </c>
      <c r="C30" s="147">
        <v>0.86</v>
      </c>
      <c r="D30" s="147">
        <v>8.1300000000000008</v>
      </c>
      <c r="E30" s="149">
        <v>2.6230000000000002</v>
      </c>
      <c r="F30" s="147">
        <v>2.6230000000000002</v>
      </c>
      <c r="G30" s="147">
        <v>10.753</v>
      </c>
      <c r="H30" s="148">
        <v>0.11829436038514442</v>
      </c>
      <c r="I30" s="148">
        <v>0.36079779917469051</v>
      </c>
      <c r="J30" s="148">
        <v>0.47909215955983492</v>
      </c>
      <c r="K30" s="4">
        <v>46</v>
      </c>
      <c r="L30" s="147">
        <v>0.94399999999999995</v>
      </c>
      <c r="M30" s="147">
        <v>9.4510000000000005</v>
      </c>
      <c r="N30" s="1539">
        <v>0.60599999999999998</v>
      </c>
      <c r="O30" s="147">
        <v>0.60599999999999998</v>
      </c>
      <c r="P30" s="147">
        <v>10.057</v>
      </c>
      <c r="Q30" s="148">
        <v>0.11096743857999292</v>
      </c>
      <c r="R30" s="148">
        <v>7.1235453156224274E-2</v>
      </c>
      <c r="S30" s="148">
        <v>0.18220289173621718</v>
      </c>
      <c r="T30" s="4">
        <v>46</v>
      </c>
      <c r="U30" s="149">
        <v>0.90199999999999991</v>
      </c>
      <c r="V30" s="149">
        <v>8.7905000000000015</v>
      </c>
      <c r="W30" s="150">
        <v>1.6145</v>
      </c>
      <c r="X30" s="147">
        <v>1.6145</v>
      </c>
      <c r="Y30" s="147">
        <v>10.405000000000001</v>
      </c>
      <c r="Z30" s="148">
        <v>0.11434366482854785</v>
      </c>
      <c r="AA30" s="148">
        <v>0.2046650186981048</v>
      </c>
      <c r="AB30" s="148">
        <v>0.31900868352665268</v>
      </c>
    </row>
    <row r="31" spans="2:28">
      <c r="B31" s="4">
        <v>47</v>
      </c>
      <c r="C31" s="147">
        <v>0.85</v>
      </c>
      <c r="D31" s="147">
        <v>8.35</v>
      </c>
      <c r="E31" s="149">
        <v>2.7</v>
      </c>
      <c r="F31" s="147">
        <v>2.7</v>
      </c>
      <c r="G31" s="147">
        <v>11.05</v>
      </c>
      <c r="H31" s="148">
        <v>0.11333333333333333</v>
      </c>
      <c r="I31" s="148">
        <v>0.36000000000000004</v>
      </c>
      <c r="J31" s="148">
        <v>0.47333333333333338</v>
      </c>
      <c r="K31" s="4">
        <v>47</v>
      </c>
      <c r="L31" s="147">
        <v>0.92100000000000004</v>
      </c>
      <c r="M31" s="147">
        <v>9.6859999999999999</v>
      </c>
      <c r="N31" s="1539">
        <v>0.61699999999999999</v>
      </c>
      <c r="O31" s="147">
        <v>0.61699999999999999</v>
      </c>
      <c r="P31" s="147">
        <v>10.303000000000001</v>
      </c>
      <c r="Q31" s="148">
        <v>0.10507701083856247</v>
      </c>
      <c r="R31" s="148">
        <v>7.0393610952652591E-2</v>
      </c>
      <c r="S31" s="148">
        <v>0.17547062179121506</v>
      </c>
      <c r="T31" s="4">
        <v>47</v>
      </c>
      <c r="U31" s="149">
        <v>0.88549999999999995</v>
      </c>
      <c r="V31" s="149">
        <v>9.0180000000000007</v>
      </c>
      <c r="W31" s="150">
        <v>1.6585000000000001</v>
      </c>
      <c r="X31" s="147">
        <v>1.6585000000000001</v>
      </c>
      <c r="Y31" s="147">
        <v>10.676500000000001</v>
      </c>
      <c r="Z31" s="148">
        <v>0.10888410697817398</v>
      </c>
      <c r="AA31" s="148">
        <v>0.20393482938825699</v>
      </c>
      <c r="AB31" s="148">
        <v>0.31281893636643099</v>
      </c>
    </row>
    <row r="32" spans="2:28">
      <c r="B32" s="4">
        <v>48</v>
      </c>
      <c r="C32" s="147">
        <v>0.83499999999999996</v>
      </c>
      <c r="D32" s="147">
        <v>8.5749999999999993</v>
      </c>
      <c r="E32" s="149">
        <v>2.7759999999999998</v>
      </c>
      <c r="F32" s="147">
        <v>2.7759999999999998</v>
      </c>
      <c r="G32" s="147">
        <v>11.350999999999999</v>
      </c>
      <c r="H32" s="148">
        <v>0.1078811369509044</v>
      </c>
      <c r="I32" s="148">
        <v>0.35865633074935399</v>
      </c>
      <c r="J32" s="148">
        <v>0.46653746770025839</v>
      </c>
      <c r="K32" s="4">
        <v>48</v>
      </c>
      <c r="L32" s="147">
        <v>0.89500000000000002</v>
      </c>
      <c r="M32" s="147">
        <v>9.9269999999999996</v>
      </c>
      <c r="N32" s="1539">
        <v>0.627</v>
      </c>
      <c r="O32" s="147">
        <v>0.627</v>
      </c>
      <c r="P32" s="147">
        <v>10.554</v>
      </c>
      <c r="Q32" s="148">
        <v>9.9092116917626219E-2</v>
      </c>
      <c r="R32" s="148">
        <v>6.9419840566873336E-2</v>
      </c>
      <c r="S32" s="148">
        <v>0.16851195748449954</v>
      </c>
      <c r="T32" s="4">
        <v>48</v>
      </c>
      <c r="U32" s="149">
        <v>0.86499999999999999</v>
      </c>
      <c r="V32" s="149">
        <v>9.2509999999999994</v>
      </c>
      <c r="W32" s="150">
        <v>1.7014999999999998</v>
      </c>
      <c r="X32" s="147">
        <v>1.7014999999999998</v>
      </c>
      <c r="Y32" s="147">
        <v>10.952499999999999</v>
      </c>
      <c r="Z32" s="148">
        <v>0.10314810398282853</v>
      </c>
      <c r="AA32" s="148">
        <v>0.20289768662055807</v>
      </c>
      <c r="AB32" s="148">
        <v>0.3060457906033866</v>
      </c>
    </row>
    <row r="33" spans="2:28">
      <c r="B33" s="4">
        <v>49</v>
      </c>
      <c r="C33" s="147">
        <v>0.81599999999999995</v>
      </c>
      <c r="D33" s="147">
        <v>8.8070000000000004</v>
      </c>
      <c r="E33" s="149">
        <v>2.85</v>
      </c>
      <c r="F33" s="147">
        <v>2.85</v>
      </c>
      <c r="G33" s="147">
        <v>11.657</v>
      </c>
      <c r="H33" s="148">
        <v>0.10211487923914403</v>
      </c>
      <c r="I33" s="148">
        <v>0.35665123263671628</v>
      </c>
      <c r="J33" s="148">
        <v>0.45876611187586031</v>
      </c>
      <c r="K33" s="4">
        <v>49</v>
      </c>
      <c r="L33" s="147">
        <v>0.86499999999999999</v>
      </c>
      <c r="M33" s="147">
        <v>10.175000000000001</v>
      </c>
      <c r="N33" s="1539">
        <v>0.63600000000000001</v>
      </c>
      <c r="O33" s="147">
        <v>0.63600000000000001</v>
      </c>
      <c r="P33" s="147">
        <v>10.811</v>
      </c>
      <c r="Q33" s="148">
        <v>9.2910848549946287E-2</v>
      </c>
      <c r="R33" s="148">
        <v>6.831364124597207E-2</v>
      </c>
      <c r="S33" s="148">
        <v>0.16122448979591836</v>
      </c>
      <c r="T33" s="4">
        <v>49</v>
      </c>
      <c r="U33" s="149">
        <v>0.84050000000000002</v>
      </c>
      <c r="V33" s="149">
        <v>9.4909999999999997</v>
      </c>
      <c r="W33" s="150">
        <v>1.7430000000000001</v>
      </c>
      <c r="X33" s="147">
        <v>1.7430000000000001</v>
      </c>
      <c r="Y33" s="147">
        <v>11.234</v>
      </c>
      <c r="Z33" s="148">
        <v>9.7162013756430271E-2</v>
      </c>
      <c r="AA33" s="148">
        <v>0.20149124328073525</v>
      </c>
      <c r="AB33" s="148">
        <v>0.2986532570371655</v>
      </c>
    </row>
    <row r="34" spans="2:28">
      <c r="B34" s="4">
        <v>50</v>
      </c>
      <c r="C34" s="147">
        <v>0.79100000000000004</v>
      </c>
      <c r="D34" s="147">
        <v>9.0449999999999999</v>
      </c>
      <c r="E34" s="149">
        <v>2.9209999999999998</v>
      </c>
      <c r="F34" s="147">
        <v>2.9209999999999998</v>
      </c>
      <c r="G34" s="147">
        <v>11.965999999999999</v>
      </c>
      <c r="H34" s="148">
        <v>9.5832323721831855E-2</v>
      </c>
      <c r="I34" s="148">
        <v>0.35388902350375573</v>
      </c>
      <c r="J34" s="148">
        <v>0.4497213472255876</v>
      </c>
      <c r="K34" s="4">
        <v>50</v>
      </c>
      <c r="L34" s="147">
        <v>0.83</v>
      </c>
      <c r="M34" s="147">
        <v>10.429</v>
      </c>
      <c r="N34" s="1539">
        <v>0.64400000000000002</v>
      </c>
      <c r="O34" s="147">
        <v>0.64400000000000002</v>
      </c>
      <c r="P34" s="147">
        <v>11.073</v>
      </c>
      <c r="Q34" s="148">
        <v>8.6467340347952906E-2</v>
      </c>
      <c r="R34" s="148">
        <v>6.7090321908532133E-2</v>
      </c>
      <c r="S34" s="148">
        <v>0.15355766225648504</v>
      </c>
      <c r="T34" s="4">
        <v>50</v>
      </c>
      <c r="U34" s="149">
        <v>0.8105</v>
      </c>
      <c r="V34" s="149">
        <v>9.7370000000000001</v>
      </c>
      <c r="W34" s="150">
        <v>1.7825</v>
      </c>
      <c r="X34" s="147">
        <v>1.7825</v>
      </c>
      <c r="Y34" s="147">
        <v>11.519500000000001</v>
      </c>
      <c r="Z34" s="148">
        <v>9.0797064919061213E-2</v>
      </c>
      <c r="AA34" s="148">
        <v>0.19968632722791685</v>
      </c>
      <c r="AB34" s="148">
        <v>0.29048339214697805</v>
      </c>
    </row>
    <row r="35" spans="2:28">
      <c r="B35" s="4">
        <v>51</v>
      </c>
      <c r="C35" s="147">
        <v>0.76</v>
      </c>
      <c r="D35" s="147">
        <v>9.2889999999999997</v>
      </c>
      <c r="E35" s="149">
        <v>2.99</v>
      </c>
      <c r="F35" s="147">
        <v>2.99</v>
      </c>
      <c r="G35" s="147">
        <v>12.279</v>
      </c>
      <c r="H35" s="148">
        <v>8.9107750029311761E-2</v>
      </c>
      <c r="I35" s="148">
        <v>0.35056864814163446</v>
      </c>
      <c r="J35" s="148">
        <v>0.43967639817094623</v>
      </c>
      <c r="K35" s="4">
        <v>51</v>
      </c>
      <c r="L35" s="147">
        <v>0.78900000000000003</v>
      </c>
      <c r="M35" s="147">
        <v>10.688000000000001</v>
      </c>
      <c r="N35" s="1539">
        <v>0.65100000000000002</v>
      </c>
      <c r="O35" s="147">
        <v>0.65100000000000002</v>
      </c>
      <c r="P35" s="147">
        <v>11.339</v>
      </c>
      <c r="Q35" s="148">
        <v>7.9705020709162536E-2</v>
      </c>
      <c r="R35" s="148">
        <v>6.5764218607940197E-2</v>
      </c>
      <c r="S35" s="148">
        <v>0.14546923931710273</v>
      </c>
      <c r="T35" s="4">
        <v>51</v>
      </c>
      <c r="U35" s="149">
        <v>0.77449999999999997</v>
      </c>
      <c r="V35" s="149">
        <v>9.9885000000000002</v>
      </c>
      <c r="W35" s="150">
        <v>1.8205</v>
      </c>
      <c r="X35" s="147">
        <v>1.8205</v>
      </c>
      <c r="Y35" s="147">
        <v>11.809000000000001</v>
      </c>
      <c r="Z35" s="148">
        <v>8.4056869980464508E-2</v>
      </c>
      <c r="AA35" s="148">
        <v>0.1975797699153462</v>
      </c>
      <c r="AB35" s="148">
        <v>0.28163663989581073</v>
      </c>
    </row>
    <row r="36" spans="2:28">
      <c r="B36" s="4">
        <v>52</v>
      </c>
      <c r="C36" s="147">
        <v>0.72299999999999998</v>
      </c>
      <c r="D36" s="147">
        <v>9.5410000000000004</v>
      </c>
      <c r="E36" s="149">
        <v>3.056</v>
      </c>
      <c r="F36" s="147">
        <v>3.056</v>
      </c>
      <c r="G36" s="147">
        <v>12.597000000000001</v>
      </c>
      <c r="H36" s="148">
        <v>8.1991381265593105E-2</v>
      </c>
      <c r="I36" s="148">
        <v>0.3465638466772511</v>
      </c>
      <c r="J36" s="148">
        <v>0.42855522794284417</v>
      </c>
      <c r="K36" s="4">
        <v>52</v>
      </c>
      <c r="L36" s="147">
        <v>0.74199999999999999</v>
      </c>
      <c r="M36" s="147">
        <v>10.952999999999999</v>
      </c>
      <c r="N36" s="1539">
        <v>0.65600000000000003</v>
      </c>
      <c r="O36" s="147">
        <v>0.65600000000000003</v>
      </c>
      <c r="P36" s="147">
        <v>11.609</v>
      </c>
      <c r="Q36" s="148">
        <v>7.2666731955734018E-2</v>
      </c>
      <c r="R36" s="148">
        <v>6.4244442268142216E-2</v>
      </c>
      <c r="S36" s="148">
        <v>0.13691117422387622</v>
      </c>
      <c r="T36" s="4">
        <v>52</v>
      </c>
      <c r="U36" s="149">
        <v>0.73249999999999993</v>
      </c>
      <c r="V36" s="149">
        <v>10.247</v>
      </c>
      <c r="W36" s="150">
        <v>1.8560000000000001</v>
      </c>
      <c r="X36" s="147">
        <v>1.8560000000000001</v>
      </c>
      <c r="Y36" s="147">
        <v>12.103</v>
      </c>
      <c r="Z36" s="148">
        <v>7.6987755531031571E-2</v>
      </c>
      <c r="AA36" s="148">
        <v>0.19507068159125546</v>
      </c>
      <c r="AB36" s="148">
        <v>0.27205843712228706</v>
      </c>
    </row>
    <row r="37" spans="2:28">
      <c r="B37" s="4">
        <v>53</v>
      </c>
      <c r="C37" s="147">
        <v>0.67900000000000005</v>
      </c>
      <c r="D37" s="147">
        <v>9.7989999999999995</v>
      </c>
      <c r="E37" s="149">
        <v>3.1190000000000002</v>
      </c>
      <c r="F37" s="147">
        <v>3.1190000000000002</v>
      </c>
      <c r="G37" s="147">
        <v>12.917999999999999</v>
      </c>
      <c r="H37" s="148">
        <v>7.4451754385964922E-2</v>
      </c>
      <c r="I37" s="148">
        <v>0.34199561403508777</v>
      </c>
      <c r="J37" s="148">
        <v>0.41644736842105268</v>
      </c>
      <c r="K37" s="4">
        <v>53</v>
      </c>
      <c r="L37" s="147">
        <v>0.68799999999999994</v>
      </c>
      <c r="M37" s="147">
        <v>11.224</v>
      </c>
      <c r="N37" s="1539">
        <v>0.66</v>
      </c>
      <c r="O37" s="147">
        <v>0.66</v>
      </c>
      <c r="P37" s="147">
        <v>11.884</v>
      </c>
      <c r="Q37" s="148">
        <v>6.5299924069855728E-2</v>
      </c>
      <c r="R37" s="148">
        <v>6.2642369020501146E-2</v>
      </c>
      <c r="S37" s="148">
        <v>0.12794229309035687</v>
      </c>
      <c r="T37" s="4">
        <v>53</v>
      </c>
      <c r="U37" s="149">
        <v>0.6835</v>
      </c>
      <c r="V37" s="149">
        <v>10.5115</v>
      </c>
      <c r="W37" s="150">
        <v>1.8895000000000002</v>
      </c>
      <c r="X37" s="147">
        <v>1.8895000000000002</v>
      </c>
      <c r="Y37" s="147">
        <v>12.401</v>
      </c>
      <c r="Z37" s="148">
        <v>6.9546194546194554E-2</v>
      </c>
      <c r="AA37" s="148">
        <v>0.19225681725681729</v>
      </c>
      <c r="AB37" s="148">
        <v>0.26180301180301185</v>
      </c>
    </row>
    <row r="38" spans="2:28">
      <c r="B38" s="4">
        <v>54</v>
      </c>
      <c r="C38" s="147">
        <v>0.629</v>
      </c>
      <c r="D38" s="147">
        <v>10.065</v>
      </c>
      <c r="E38" s="149">
        <v>3.1789999999999998</v>
      </c>
      <c r="F38" s="147">
        <v>3.1789999999999998</v>
      </c>
      <c r="G38" s="147">
        <v>13.244</v>
      </c>
      <c r="H38" s="148">
        <v>6.6659601526070367E-2</v>
      </c>
      <c r="I38" s="148">
        <v>0.33690122933446376</v>
      </c>
      <c r="J38" s="148">
        <v>0.40356083086053413</v>
      </c>
      <c r="K38" s="4">
        <v>54</v>
      </c>
      <c r="L38" s="147">
        <v>0.627</v>
      </c>
      <c r="M38" s="147">
        <v>11.500999999999999</v>
      </c>
      <c r="N38" s="1539">
        <v>0.66300000000000003</v>
      </c>
      <c r="O38" s="147">
        <v>0.66300000000000003</v>
      </c>
      <c r="P38" s="147">
        <v>12.164</v>
      </c>
      <c r="Q38" s="148">
        <v>5.7660474526393238E-2</v>
      </c>
      <c r="R38" s="148">
        <v>6.0971123781497161E-2</v>
      </c>
      <c r="S38" s="148">
        <v>0.1186315983078904</v>
      </c>
      <c r="T38" s="4">
        <v>54</v>
      </c>
      <c r="U38" s="149">
        <v>0.628</v>
      </c>
      <c r="V38" s="149">
        <v>10.782999999999999</v>
      </c>
      <c r="W38" s="150">
        <v>1.9209999999999998</v>
      </c>
      <c r="X38" s="147">
        <v>1.9209999999999998</v>
      </c>
      <c r="Y38" s="147">
        <v>12.703999999999999</v>
      </c>
      <c r="Z38" s="148">
        <v>6.184145741014279E-2</v>
      </c>
      <c r="AA38" s="148">
        <v>0.18916789758739536</v>
      </c>
      <c r="AB38" s="148">
        <v>0.25100935499753813</v>
      </c>
    </row>
    <row r="39" spans="2:28">
      <c r="B39" s="4">
        <v>55</v>
      </c>
      <c r="C39" s="147">
        <v>0.57099999999999995</v>
      </c>
      <c r="D39" s="147">
        <v>10.339</v>
      </c>
      <c r="E39" s="149">
        <v>3.2360000000000002</v>
      </c>
      <c r="F39" s="147">
        <v>3.2360000000000002</v>
      </c>
      <c r="G39" s="147">
        <v>13.575000000000001</v>
      </c>
      <c r="H39" s="148">
        <v>5.8456183456183447E-2</v>
      </c>
      <c r="I39" s="148">
        <v>0.33128583128583128</v>
      </c>
      <c r="J39" s="148">
        <v>0.38974201474201475</v>
      </c>
      <c r="K39" s="4">
        <v>55</v>
      </c>
      <c r="L39" s="147">
        <v>0.55900000000000005</v>
      </c>
      <c r="M39" s="147">
        <v>11.782999999999999</v>
      </c>
      <c r="N39" s="1539">
        <v>0.66500000000000004</v>
      </c>
      <c r="O39" s="147">
        <v>0.66500000000000004</v>
      </c>
      <c r="P39" s="147">
        <v>12.448</v>
      </c>
      <c r="Q39" s="148">
        <v>4.9803991446899502E-2</v>
      </c>
      <c r="R39" s="148">
        <v>5.9248039914468996E-2</v>
      </c>
      <c r="S39" s="148">
        <v>0.1090520313613685</v>
      </c>
      <c r="T39" s="4">
        <v>55</v>
      </c>
      <c r="U39" s="149">
        <v>0.56499999999999995</v>
      </c>
      <c r="V39" s="149">
        <v>11.061</v>
      </c>
      <c r="W39" s="150">
        <v>1.9505000000000001</v>
      </c>
      <c r="X39" s="147">
        <v>1.9505000000000001</v>
      </c>
      <c r="Y39" s="147">
        <v>13.0115</v>
      </c>
      <c r="Z39" s="148">
        <v>5.3830030487804874E-2</v>
      </c>
      <c r="AA39" s="148">
        <v>0.18583269817073172</v>
      </c>
      <c r="AB39" s="148">
        <v>0.23966272865853661</v>
      </c>
    </row>
    <row r="40" spans="2:28">
      <c r="B40" s="4">
        <v>56</v>
      </c>
      <c r="C40" s="147">
        <v>0.505</v>
      </c>
      <c r="D40" s="147">
        <v>10.62</v>
      </c>
      <c r="E40" s="149">
        <v>3.2909999999999999</v>
      </c>
      <c r="F40" s="147">
        <v>3.2909999999999999</v>
      </c>
      <c r="G40" s="147">
        <v>13.911</v>
      </c>
      <c r="H40" s="148">
        <v>4.9925852694018794E-2</v>
      </c>
      <c r="I40" s="148">
        <v>0.32535837864557593</v>
      </c>
      <c r="J40" s="148">
        <v>0.37528423133959471</v>
      </c>
      <c r="K40" s="4">
        <v>56</v>
      </c>
      <c r="L40" s="147">
        <v>0.48399999999999999</v>
      </c>
      <c r="M40" s="147">
        <v>12.073</v>
      </c>
      <c r="N40" s="1539">
        <v>0.66500000000000004</v>
      </c>
      <c r="O40" s="147">
        <v>0.66500000000000004</v>
      </c>
      <c r="P40" s="147">
        <v>12.738</v>
      </c>
      <c r="Q40" s="148">
        <v>4.1763741478988696E-2</v>
      </c>
      <c r="R40" s="148">
        <v>5.7382000172577448E-2</v>
      </c>
      <c r="S40" s="148">
        <v>9.9145741651566144E-2</v>
      </c>
      <c r="T40" s="4">
        <v>56</v>
      </c>
      <c r="U40" s="149">
        <v>0.4945</v>
      </c>
      <c r="V40" s="149">
        <v>11.346499999999999</v>
      </c>
      <c r="W40" s="150">
        <v>1.978</v>
      </c>
      <c r="X40" s="147">
        <v>1.978</v>
      </c>
      <c r="Y40" s="147">
        <v>13.324499999999999</v>
      </c>
      <c r="Z40" s="148">
        <v>4.5567637301879842E-2</v>
      </c>
      <c r="AA40" s="148">
        <v>0.18227054920751937</v>
      </c>
      <c r="AB40" s="148">
        <v>0.22783818650939922</v>
      </c>
    </row>
    <row r="41" spans="2:28">
      <c r="B41" s="4">
        <v>57</v>
      </c>
      <c r="C41" s="147">
        <v>0.432</v>
      </c>
      <c r="D41" s="147">
        <v>10.909000000000001</v>
      </c>
      <c r="E41" s="149">
        <v>3.3439999999999999</v>
      </c>
      <c r="F41" s="147">
        <v>3.3439999999999999</v>
      </c>
      <c r="G41" s="147">
        <v>14.253</v>
      </c>
      <c r="H41" s="148">
        <v>4.1233177436289015E-2</v>
      </c>
      <c r="I41" s="148">
        <v>0.31917533645127422</v>
      </c>
      <c r="J41" s="148">
        <v>0.36040851388756323</v>
      </c>
      <c r="K41" s="4">
        <v>57</v>
      </c>
      <c r="L41" s="147">
        <v>0.40400000000000003</v>
      </c>
      <c r="M41" s="147">
        <v>12.37</v>
      </c>
      <c r="N41" s="1539">
        <v>0.66400000000000003</v>
      </c>
      <c r="O41" s="147">
        <v>0.66400000000000003</v>
      </c>
      <c r="P41" s="147">
        <v>13.033999999999999</v>
      </c>
      <c r="Q41" s="148">
        <v>3.37623265920107E-2</v>
      </c>
      <c r="R41" s="148">
        <v>5.5490556576968081E-2</v>
      </c>
      <c r="S41" s="148">
        <v>8.925288316897878E-2</v>
      </c>
      <c r="T41" s="4">
        <v>57</v>
      </c>
      <c r="U41" s="149">
        <v>0.41800000000000004</v>
      </c>
      <c r="V41" s="149">
        <v>11.6395</v>
      </c>
      <c r="W41" s="150">
        <v>2.004</v>
      </c>
      <c r="X41" s="147">
        <v>2.004</v>
      </c>
      <c r="Y41" s="147">
        <v>13.6435</v>
      </c>
      <c r="Z41" s="148">
        <v>3.7249922024684759E-2</v>
      </c>
      <c r="AA41" s="148">
        <v>0.17858575056810586</v>
      </c>
      <c r="AB41" s="148">
        <v>0.21583567259279063</v>
      </c>
    </row>
    <row r="42" spans="2:28">
      <c r="B42" s="4">
        <v>58</v>
      </c>
      <c r="C42" s="147">
        <v>0.35399999999999998</v>
      </c>
      <c r="D42" s="147">
        <v>11.21</v>
      </c>
      <c r="E42" s="149">
        <v>3.3959999999999999</v>
      </c>
      <c r="F42" s="147">
        <v>3.3959999999999999</v>
      </c>
      <c r="G42" s="147">
        <v>14.606000000000002</v>
      </c>
      <c r="H42" s="148">
        <v>3.2608695652173905E-2</v>
      </c>
      <c r="I42" s="148">
        <v>0.3128224023581429</v>
      </c>
      <c r="J42" s="148">
        <v>0.34543109801031679</v>
      </c>
      <c r="K42" s="4">
        <v>58</v>
      </c>
      <c r="L42" s="147">
        <v>0.32100000000000001</v>
      </c>
      <c r="M42" s="147">
        <v>12.679</v>
      </c>
      <c r="N42" s="1539">
        <v>0.66200000000000003</v>
      </c>
      <c r="O42" s="147">
        <v>0.66200000000000003</v>
      </c>
      <c r="P42" s="147">
        <v>13.341000000000001</v>
      </c>
      <c r="Q42" s="148">
        <v>2.5975076873280465E-2</v>
      </c>
      <c r="R42" s="148">
        <v>5.3568538598478717E-2</v>
      </c>
      <c r="S42" s="148">
        <v>7.9543615471759185E-2</v>
      </c>
      <c r="T42" s="4">
        <v>58</v>
      </c>
      <c r="U42" s="149">
        <v>0.33750000000000002</v>
      </c>
      <c r="V42" s="149">
        <v>11.944500000000001</v>
      </c>
      <c r="W42" s="150">
        <v>2.0289999999999999</v>
      </c>
      <c r="X42" s="147">
        <v>2.0289999999999999</v>
      </c>
      <c r="Y42" s="147">
        <v>13.973500000000001</v>
      </c>
      <c r="Z42" s="148">
        <v>2.9077280951150166E-2</v>
      </c>
      <c r="AA42" s="148">
        <v>0.17480830533298869</v>
      </c>
      <c r="AB42" s="148">
        <v>0.20388558628413886</v>
      </c>
    </row>
    <row r="43" spans="2:28">
      <c r="B43" s="4">
        <v>59</v>
      </c>
      <c r="C43" s="147">
        <v>0.27600000000000002</v>
      </c>
      <c r="D43" s="147">
        <v>11.523</v>
      </c>
      <c r="E43" s="149">
        <v>3.448</v>
      </c>
      <c r="F43" s="147">
        <v>3.448</v>
      </c>
      <c r="G43" s="147">
        <v>14.971</v>
      </c>
      <c r="H43" s="148">
        <v>2.4539877300613498E-2</v>
      </c>
      <c r="I43" s="148">
        <v>0.30657064105983817</v>
      </c>
      <c r="J43" s="148">
        <v>0.33111051836045169</v>
      </c>
      <c r="K43" s="4">
        <v>59</v>
      </c>
      <c r="L43" s="147">
        <v>0.24099999999999999</v>
      </c>
      <c r="M43" s="147">
        <v>13.004</v>
      </c>
      <c r="N43" s="1539">
        <v>0.66</v>
      </c>
      <c r="O43" s="147">
        <v>0.66</v>
      </c>
      <c r="P43" s="147">
        <v>13.664</v>
      </c>
      <c r="Q43" s="148">
        <v>1.8882707827313328E-2</v>
      </c>
      <c r="R43" s="148">
        <v>5.1711979942019905E-2</v>
      </c>
      <c r="S43" s="148">
        <v>7.0594687769333225E-2</v>
      </c>
      <c r="T43" s="4">
        <v>59</v>
      </c>
      <c r="U43" s="149">
        <v>0.25850000000000001</v>
      </c>
      <c r="V43" s="149">
        <v>12.263500000000001</v>
      </c>
      <c r="W43" s="150">
        <v>2.0539999999999998</v>
      </c>
      <c r="X43" s="147">
        <v>2.0539999999999998</v>
      </c>
      <c r="Y43" s="147">
        <v>14.317500000000001</v>
      </c>
      <c r="Z43" s="148">
        <v>2.1532694710537276E-2</v>
      </c>
      <c r="AA43" s="148">
        <v>0.17109537692628068</v>
      </c>
      <c r="AB43" s="148">
        <v>0.19262807163681797</v>
      </c>
    </row>
    <row r="44" spans="2:28">
      <c r="B44" s="4">
        <v>60</v>
      </c>
      <c r="C44" s="147">
        <v>0.20200000000000001</v>
      </c>
      <c r="D44" s="147">
        <v>11.855</v>
      </c>
      <c r="E44" s="149">
        <v>3.5019999999999998</v>
      </c>
      <c r="F44" s="147">
        <v>3.5019999999999998</v>
      </c>
      <c r="G44" s="147">
        <v>15.356999999999999</v>
      </c>
      <c r="H44" s="148">
        <v>1.7334591950570667E-2</v>
      </c>
      <c r="I44" s="148">
        <v>0.30052347035098254</v>
      </c>
      <c r="J44" s="148">
        <v>0.31785806230155322</v>
      </c>
      <c r="K44" s="4">
        <v>60</v>
      </c>
      <c r="L44" s="147">
        <v>0.16800000000000001</v>
      </c>
      <c r="M44" s="147">
        <v>13.35</v>
      </c>
      <c r="N44" s="1539">
        <v>0.65800000000000003</v>
      </c>
      <c r="O44" s="147">
        <v>0.65800000000000003</v>
      </c>
      <c r="P44" s="147">
        <v>14.007999999999999</v>
      </c>
      <c r="Q44" s="148">
        <v>1.2744651797906237E-2</v>
      </c>
      <c r="R44" s="148">
        <v>4.9916552875132761E-2</v>
      </c>
      <c r="S44" s="148">
        <v>6.2661204673038998E-2</v>
      </c>
      <c r="T44" s="4">
        <v>60</v>
      </c>
      <c r="U44" s="149">
        <v>0.185</v>
      </c>
      <c r="V44" s="149">
        <v>12.602499999999999</v>
      </c>
      <c r="W44" s="150">
        <v>2.08</v>
      </c>
      <c r="X44" s="147">
        <v>2.08</v>
      </c>
      <c r="Y44" s="147">
        <v>14.682499999999999</v>
      </c>
      <c r="Z44" s="148">
        <v>1.4898328971209988E-2</v>
      </c>
      <c r="AA44" s="148">
        <v>0.16750553654117176</v>
      </c>
      <c r="AB44" s="148">
        <v>0.18240386551238175</v>
      </c>
    </row>
    <row r="45" spans="2:28">
      <c r="B45" s="4">
        <v>61</v>
      </c>
      <c r="C45" s="147">
        <v>0.13600000000000001</v>
      </c>
      <c r="D45" s="147">
        <v>12.21</v>
      </c>
      <c r="E45" s="149">
        <v>3.5569999999999999</v>
      </c>
      <c r="F45" s="147">
        <v>3.5569999999999999</v>
      </c>
      <c r="G45" s="147">
        <v>15.767000000000001</v>
      </c>
      <c r="H45" s="148">
        <v>1.126387278449561E-2</v>
      </c>
      <c r="I45" s="148">
        <v>0.29459996687096235</v>
      </c>
      <c r="J45" s="148">
        <v>0.30586383965545794</v>
      </c>
      <c r="K45" s="4">
        <v>61</v>
      </c>
      <c r="L45" s="147">
        <v>0.108</v>
      </c>
      <c r="M45" s="147">
        <v>13.722</v>
      </c>
      <c r="N45" s="1539">
        <v>0.65500000000000003</v>
      </c>
      <c r="O45" s="147">
        <v>0.65500000000000003</v>
      </c>
      <c r="P45" s="147">
        <v>14.376999999999999</v>
      </c>
      <c r="Q45" s="148">
        <v>7.9330101366240635E-3</v>
      </c>
      <c r="R45" s="148">
        <v>4.8112237402673723E-2</v>
      </c>
      <c r="S45" s="148">
        <v>5.6045247539297786E-2</v>
      </c>
      <c r="T45" s="4">
        <v>61</v>
      </c>
      <c r="U45" s="149">
        <v>0.122</v>
      </c>
      <c r="V45" s="149">
        <v>12.966000000000001</v>
      </c>
      <c r="W45" s="150">
        <v>2.1059999999999999</v>
      </c>
      <c r="X45" s="147">
        <v>2.1059999999999999</v>
      </c>
      <c r="Y45" s="147">
        <v>15.072000000000001</v>
      </c>
      <c r="Z45" s="148">
        <v>9.4985985674244777E-3</v>
      </c>
      <c r="AA45" s="148">
        <v>0.16396761133603235</v>
      </c>
      <c r="AB45" s="148">
        <v>0.17346620990345682</v>
      </c>
    </row>
    <row r="46" spans="2:28">
      <c r="B46" s="4">
        <v>62</v>
      </c>
      <c r="C46" s="147">
        <v>8.3000000000000004E-2</v>
      </c>
      <c r="D46" s="147">
        <v>12.590999999999999</v>
      </c>
      <c r="E46" s="149">
        <v>3.5979999999999999</v>
      </c>
      <c r="F46" s="147">
        <v>3.5979999999999999</v>
      </c>
      <c r="G46" s="147">
        <v>16.189</v>
      </c>
      <c r="H46" s="148">
        <v>6.635753118004478E-3</v>
      </c>
      <c r="I46" s="148">
        <v>0.28765590022385673</v>
      </c>
      <c r="J46" s="148">
        <v>0.29429165334186119</v>
      </c>
      <c r="K46" s="4">
        <v>62</v>
      </c>
      <c r="L46" s="147">
        <v>6.2E-2</v>
      </c>
      <c r="M46" s="147">
        <v>14.125</v>
      </c>
      <c r="N46" s="1539">
        <v>0.65</v>
      </c>
      <c r="O46" s="147">
        <v>0.65</v>
      </c>
      <c r="P46" s="147">
        <v>14.775</v>
      </c>
      <c r="Q46" s="148">
        <v>4.40873213396857E-3</v>
      </c>
      <c r="R46" s="148">
        <v>4.6220578823864038E-2</v>
      </c>
      <c r="S46" s="148">
        <v>5.0629310957832609E-2</v>
      </c>
      <c r="T46" s="4">
        <v>62</v>
      </c>
      <c r="U46" s="149">
        <v>7.2500000000000009E-2</v>
      </c>
      <c r="V46" s="149">
        <v>13.358000000000001</v>
      </c>
      <c r="W46" s="150">
        <v>2.1240000000000001</v>
      </c>
      <c r="X46" s="147">
        <v>2.1240000000000001</v>
      </c>
      <c r="Y46" s="147">
        <v>15.482000000000001</v>
      </c>
      <c r="Z46" s="148">
        <v>5.4570772646870651E-3</v>
      </c>
      <c r="AA46" s="148">
        <v>0.15987354634752174</v>
      </c>
      <c r="AB46" s="148">
        <v>0.16533062361220879</v>
      </c>
    </row>
    <row r="47" spans="2:28">
      <c r="B47" s="4">
        <v>63</v>
      </c>
      <c r="C47" s="147">
        <v>4.4999999999999998E-2</v>
      </c>
      <c r="D47" s="147">
        <v>13.003</v>
      </c>
      <c r="E47" s="149">
        <v>3.6389999999999998</v>
      </c>
      <c r="F47" s="147">
        <v>3.6389999999999998</v>
      </c>
      <c r="G47" s="147">
        <v>16.641999999999999</v>
      </c>
      <c r="H47" s="148">
        <v>3.4727581416885318E-3</v>
      </c>
      <c r="I47" s="148">
        <v>0.28083037505787928</v>
      </c>
      <c r="J47" s="148">
        <v>0.28430313319956779</v>
      </c>
      <c r="K47" s="4">
        <v>63</v>
      </c>
      <c r="L47" s="147">
        <v>3.2000000000000001E-2</v>
      </c>
      <c r="M47" s="147">
        <v>14.56</v>
      </c>
      <c r="N47" s="1539">
        <v>0.64400000000000002</v>
      </c>
      <c r="O47" s="147">
        <v>0.64400000000000002</v>
      </c>
      <c r="P47" s="147">
        <v>15.204000000000001</v>
      </c>
      <c r="Q47" s="148">
        <v>2.2026431718061672E-3</v>
      </c>
      <c r="R47" s="148">
        <v>4.4328193832599116E-2</v>
      </c>
      <c r="S47" s="148">
        <v>4.6530837004405287E-2</v>
      </c>
      <c r="T47" s="4">
        <v>63</v>
      </c>
      <c r="U47" s="149">
        <v>3.85E-2</v>
      </c>
      <c r="V47" s="149">
        <v>13.781500000000001</v>
      </c>
      <c r="W47" s="150">
        <v>2.1414999999999997</v>
      </c>
      <c r="X47" s="147">
        <v>2.1414999999999997</v>
      </c>
      <c r="Y47" s="147">
        <v>15.923000000000002</v>
      </c>
      <c r="Z47" s="148">
        <v>2.8014261806010333E-3</v>
      </c>
      <c r="AA47" s="148">
        <v>0.15582478352615875</v>
      </c>
      <c r="AB47" s="148">
        <v>0.15862620970675978</v>
      </c>
    </row>
    <row r="48" spans="2:28">
      <c r="B48" s="4">
        <v>64</v>
      </c>
      <c r="C48" s="147">
        <v>1.9E-2</v>
      </c>
      <c r="D48" s="147">
        <v>13.448</v>
      </c>
      <c r="E48" s="149">
        <v>3.68</v>
      </c>
      <c r="F48" s="147">
        <v>3.68</v>
      </c>
      <c r="G48" s="147">
        <v>17.128</v>
      </c>
      <c r="H48" s="148">
        <v>1.4148484622831185E-3</v>
      </c>
      <c r="I48" s="148">
        <v>0.27403380743167771</v>
      </c>
      <c r="J48" s="148">
        <v>0.27544865589396084</v>
      </c>
      <c r="K48" s="4">
        <v>64</v>
      </c>
      <c r="L48" s="147">
        <v>1.2999999999999999E-2</v>
      </c>
      <c r="M48" s="147">
        <v>15.025</v>
      </c>
      <c r="N48" s="1539">
        <v>0.63800000000000001</v>
      </c>
      <c r="O48" s="147">
        <v>0.63800000000000001</v>
      </c>
      <c r="P48" s="147">
        <v>15.663</v>
      </c>
      <c r="Q48" s="148">
        <v>8.6597388755662132E-4</v>
      </c>
      <c r="R48" s="148">
        <v>4.2499333866240344E-2</v>
      </c>
      <c r="S48" s="148">
        <v>4.3365307753796968E-2</v>
      </c>
      <c r="T48" s="4">
        <v>64</v>
      </c>
      <c r="U48" s="149">
        <v>1.6E-2</v>
      </c>
      <c r="V48" s="149">
        <v>14.236499999999999</v>
      </c>
      <c r="W48" s="150">
        <v>2.1590000000000003</v>
      </c>
      <c r="X48" s="147">
        <v>2.1590000000000003</v>
      </c>
      <c r="Y48" s="147">
        <v>16.395499999999998</v>
      </c>
      <c r="Z48" s="148">
        <v>1.1251362469674063E-3</v>
      </c>
      <c r="AA48" s="148">
        <v>0.1518230723251644</v>
      </c>
      <c r="AB48" s="148">
        <v>0.15294820857213182</v>
      </c>
    </row>
    <row r="49" spans="1:28">
      <c r="B49" s="4">
        <v>65</v>
      </c>
      <c r="C49" s="147">
        <v>7.0000000000000001E-3</v>
      </c>
      <c r="D49" s="147">
        <v>13.926</v>
      </c>
      <c r="E49" s="149">
        <v>3.7160000000000002</v>
      </c>
      <c r="F49" s="147">
        <v>3.7160000000000002</v>
      </c>
      <c r="G49" s="147">
        <v>17.641999999999999</v>
      </c>
      <c r="H49" s="148">
        <v>5.0290969178820317E-4</v>
      </c>
      <c r="I49" s="148">
        <v>0.26697320209785186</v>
      </c>
      <c r="J49" s="148">
        <v>0.26747611178964004</v>
      </c>
      <c r="K49" s="4">
        <v>65</v>
      </c>
      <c r="L49" s="147">
        <v>4.0000000000000001E-3</v>
      </c>
      <c r="M49" s="147">
        <v>15.52</v>
      </c>
      <c r="N49" s="1539">
        <v>0.63</v>
      </c>
      <c r="O49" s="147">
        <v>0.63</v>
      </c>
      <c r="P49" s="147">
        <v>16.149999999999999</v>
      </c>
      <c r="Q49" s="148">
        <v>2.5779840164990978E-4</v>
      </c>
      <c r="R49" s="148">
        <v>4.0603248259860787E-2</v>
      </c>
      <c r="S49" s="148">
        <v>4.0861046661510698E-2</v>
      </c>
      <c r="T49" s="4">
        <v>65</v>
      </c>
      <c r="U49" s="149">
        <v>5.4999999999999997E-3</v>
      </c>
      <c r="V49" s="149">
        <v>14.722999999999999</v>
      </c>
      <c r="W49" s="150">
        <v>2.173</v>
      </c>
      <c r="X49" s="147">
        <v>2.173</v>
      </c>
      <c r="Y49" s="147">
        <v>16.896000000000001</v>
      </c>
      <c r="Z49" s="148">
        <v>3.7370477322914899E-4</v>
      </c>
      <c r="AA49" s="148">
        <v>0.14764735858671652</v>
      </c>
      <c r="AB49" s="148">
        <v>0.14802106335994566</v>
      </c>
    </row>
    <row r="50" spans="1:28">
      <c r="B50" s="4">
        <v>66</v>
      </c>
      <c r="C50" s="147">
        <v>1E-3</v>
      </c>
      <c r="D50" s="147">
        <v>14.436999999999999</v>
      </c>
      <c r="E50" s="149">
        <v>3.7490000000000001</v>
      </c>
      <c r="F50" s="147">
        <v>3.7490000000000001</v>
      </c>
      <c r="G50" s="147">
        <v>18.186</v>
      </c>
      <c r="H50" s="148">
        <v>6.9271266278747581E-5</v>
      </c>
      <c r="I50" s="148">
        <v>0.25969797727902466</v>
      </c>
      <c r="J50" s="148">
        <v>0.25976724854530342</v>
      </c>
      <c r="K50" s="4">
        <v>66</v>
      </c>
      <c r="L50" s="147">
        <v>1E-3</v>
      </c>
      <c r="M50" s="147">
        <v>16.042000000000002</v>
      </c>
      <c r="N50" s="1539">
        <v>0.62</v>
      </c>
      <c r="O50" s="147">
        <v>0.62</v>
      </c>
      <c r="P50" s="147">
        <v>16.662000000000003</v>
      </c>
      <c r="Q50" s="148">
        <v>6.2340253101427596E-5</v>
      </c>
      <c r="R50" s="148">
        <v>3.8650956922885109E-2</v>
      </c>
      <c r="S50" s="148">
        <v>3.8713297175986539E-2</v>
      </c>
      <c r="T50" s="4">
        <v>66</v>
      </c>
      <c r="U50" s="149">
        <v>1E-3</v>
      </c>
      <c r="V50" s="149">
        <v>15.2395</v>
      </c>
      <c r="W50" s="150">
        <v>2.1844999999999999</v>
      </c>
      <c r="X50" s="147">
        <v>2.1844999999999999</v>
      </c>
      <c r="Y50" s="147">
        <v>17.423999999999999</v>
      </c>
      <c r="Z50" s="148">
        <v>6.5623256882239064E-5</v>
      </c>
      <c r="AA50" s="148">
        <v>0.14335400465925122</v>
      </c>
      <c r="AB50" s="148">
        <v>0.14341962791613347</v>
      </c>
    </row>
    <row r="51" spans="1:28" s="35" customFormat="1">
      <c r="A51" s="1536"/>
      <c r="B51" s="1536">
        <v>67</v>
      </c>
      <c r="C51" s="1540">
        <v>0</v>
      </c>
      <c r="D51" s="1540">
        <v>14.98</v>
      </c>
      <c r="E51" s="1541">
        <v>3.778</v>
      </c>
      <c r="F51" s="1540">
        <v>3.778</v>
      </c>
      <c r="G51" s="1540">
        <v>18.757999999999999</v>
      </c>
      <c r="H51" s="1470">
        <v>0</v>
      </c>
      <c r="I51" s="1470">
        <v>0.25220293724966619</v>
      </c>
      <c r="J51" s="1470">
        <v>0.25220293724966619</v>
      </c>
      <c r="K51" s="1536">
        <v>67</v>
      </c>
      <c r="L51" s="1540">
        <v>0</v>
      </c>
      <c r="M51" s="1540">
        <v>16.59</v>
      </c>
      <c r="N51" s="1541">
        <v>0.61</v>
      </c>
      <c r="O51" s="1540">
        <v>0.61</v>
      </c>
      <c r="P51" s="1540">
        <v>17.2</v>
      </c>
      <c r="Q51" s="1470">
        <v>0</v>
      </c>
      <c r="R51" s="1470">
        <v>3.6769138034960819E-2</v>
      </c>
      <c r="S51" s="1542">
        <v>3.6769138034960819E-2</v>
      </c>
      <c r="T51" s="1536">
        <v>67</v>
      </c>
      <c r="U51" s="1543">
        <v>0</v>
      </c>
      <c r="V51" s="1543">
        <v>15.785</v>
      </c>
      <c r="W51" s="1544">
        <v>2.194</v>
      </c>
      <c r="X51" s="1540">
        <v>2.194</v>
      </c>
      <c r="Y51" s="1540">
        <v>17.978999999999999</v>
      </c>
      <c r="Z51" s="1470">
        <v>0</v>
      </c>
      <c r="AA51" s="1470">
        <v>0.1389927146024707</v>
      </c>
      <c r="AB51" s="1542">
        <v>0.1389927146024707</v>
      </c>
    </row>
    <row r="52" spans="1:28">
      <c r="B52" s="4">
        <v>68</v>
      </c>
      <c r="C52" s="147">
        <v>0</v>
      </c>
      <c r="D52" s="147">
        <v>14.711</v>
      </c>
      <c r="E52" s="1539">
        <v>3.7770000000000001</v>
      </c>
      <c r="F52" s="147">
        <v>3.7770000000000001</v>
      </c>
      <c r="G52" s="147">
        <v>18.488</v>
      </c>
      <c r="H52" s="148">
        <v>0</v>
      </c>
      <c r="I52" s="148">
        <v>0.25674665216504655</v>
      </c>
      <c r="J52" s="148">
        <v>0.25674665216504655</v>
      </c>
      <c r="K52" s="4">
        <v>68</v>
      </c>
      <c r="L52" s="147">
        <v>0</v>
      </c>
      <c r="M52" s="147">
        <v>16.163</v>
      </c>
      <c r="N52" s="147">
        <v>0.59099999999999997</v>
      </c>
      <c r="O52" s="147">
        <v>0.59099999999999997</v>
      </c>
      <c r="P52" s="147">
        <v>16.754000000000001</v>
      </c>
      <c r="Q52" s="148">
        <v>0</v>
      </c>
      <c r="R52" s="148">
        <v>3.6564994122378271E-2</v>
      </c>
      <c r="S52" s="151">
        <v>3.6564994122378271E-2</v>
      </c>
      <c r="T52" s="4">
        <v>68</v>
      </c>
      <c r="U52" s="149">
        <v>0</v>
      </c>
      <c r="V52" s="149">
        <v>15.5715</v>
      </c>
      <c r="W52" s="150">
        <v>2.1844999999999999</v>
      </c>
      <c r="X52" s="147">
        <v>2.1844999999999999</v>
      </c>
      <c r="Y52" s="147">
        <v>17.756</v>
      </c>
      <c r="Z52" s="148">
        <v>0</v>
      </c>
      <c r="AA52" s="148">
        <v>0.14028834730115916</v>
      </c>
      <c r="AB52" s="151">
        <v>0.14028834730115916</v>
      </c>
    </row>
    <row r="53" spans="1:28">
      <c r="B53" s="4">
        <v>69</v>
      </c>
      <c r="C53" s="147">
        <v>0</v>
      </c>
      <c r="D53" s="147">
        <v>14.298999999999999</v>
      </c>
      <c r="E53" s="1539">
        <v>3.7730000000000001</v>
      </c>
      <c r="F53" s="147">
        <v>3.7730000000000001</v>
      </c>
      <c r="G53" s="147">
        <v>18.071999999999999</v>
      </c>
      <c r="H53" s="148">
        <v>0</v>
      </c>
      <c r="I53" s="148">
        <v>0.26386460591649769</v>
      </c>
      <c r="J53" s="148">
        <v>0.26386460591649769</v>
      </c>
      <c r="K53" s="4">
        <v>69</v>
      </c>
      <c r="L53" s="147">
        <v>0</v>
      </c>
      <c r="M53" s="147">
        <v>15.725</v>
      </c>
      <c r="N53" s="147">
        <v>0.57199999999999995</v>
      </c>
      <c r="O53" s="147">
        <v>0.57199999999999995</v>
      </c>
      <c r="P53" s="147">
        <v>16.297000000000001</v>
      </c>
      <c r="Q53" s="148">
        <v>0</v>
      </c>
      <c r="R53" s="148">
        <v>3.63751987281399E-2</v>
      </c>
      <c r="S53" s="151">
        <v>3.63751987281399E-2</v>
      </c>
      <c r="T53" s="4">
        <v>69</v>
      </c>
      <c r="U53" s="149">
        <v>0</v>
      </c>
      <c r="V53" s="149">
        <v>15.218</v>
      </c>
      <c r="W53" s="150">
        <v>2.1745000000000001</v>
      </c>
      <c r="X53" s="147">
        <v>2.1745000000000001</v>
      </c>
      <c r="Y53" s="147">
        <v>17.392499999999998</v>
      </c>
      <c r="Z53" s="148">
        <v>0</v>
      </c>
      <c r="AA53" s="148">
        <v>0.14288999868576685</v>
      </c>
      <c r="AB53" s="151">
        <v>0.14288999868576685</v>
      </c>
    </row>
    <row r="54" spans="1:28">
      <c r="B54" s="4">
        <v>70</v>
      </c>
      <c r="C54" s="147">
        <v>0</v>
      </c>
      <c r="D54" s="147">
        <v>13.877000000000001</v>
      </c>
      <c r="E54" s="1539">
        <v>3.7669999999999999</v>
      </c>
      <c r="F54" s="147">
        <v>3.7669999999999999</v>
      </c>
      <c r="G54" s="147">
        <v>17.644000000000002</v>
      </c>
      <c r="H54" s="148">
        <v>0</v>
      </c>
      <c r="I54" s="148">
        <v>0.27145636664985223</v>
      </c>
      <c r="J54" s="148">
        <v>0.27145636664985223</v>
      </c>
      <c r="K54" s="4">
        <v>70</v>
      </c>
      <c r="L54" s="147">
        <v>0</v>
      </c>
      <c r="M54" s="147">
        <v>15.273999999999999</v>
      </c>
      <c r="N54" s="147">
        <v>0.55100000000000005</v>
      </c>
      <c r="O54" s="147">
        <v>0.55100000000000005</v>
      </c>
      <c r="P54" s="147">
        <v>15.824999999999999</v>
      </c>
      <c r="Q54" s="148">
        <v>0</v>
      </c>
      <c r="R54" s="148">
        <v>3.6074374754484752E-2</v>
      </c>
      <c r="S54" s="151">
        <v>3.6074374754484752E-2</v>
      </c>
      <c r="T54" s="4">
        <v>70</v>
      </c>
      <c r="U54" s="149">
        <v>0</v>
      </c>
      <c r="V54" s="149">
        <v>14.7865</v>
      </c>
      <c r="W54" s="150">
        <v>2.1619999999999999</v>
      </c>
      <c r="X54" s="147">
        <v>2.1619999999999999</v>
      </c>
      <c r="Y54" s="147">
        <v>16.948499999999999</v>
      </c>
      <c r="Z54" s="148">
        <v>0</v>
      </c>
      <c r="AA54" s="148">
        <v>0.14621445237209615</v>
      </c>
      <c r="AB54" s="151">
        <v>0.14621445237209615</v>
      </c>
    </row>
    <row r="55" spans="1:28">
      <c r="B55" s="4">
        <v>71</v>
      </c>
      <c r="C55" s="147">
        <v>0</v>
      </c>
      <c r="D55" s="147">
        <v>13.445</v>
      </c>
      <c r="E55" s="1539">
        <v>3.758</v>
      </c>
      <c r="F55" s="147">
        <v>3.758</v>
      </c>
      <c r="G55" s="147">
        <v>17.202999999999999</v>
      </c>
      <c r="H55" s="148">
        <v>0</v>
      </c>
      <c r="I55" s="148">
        <v>0.27950911119375232</v>
      </c>
      <c r="J55" s="148">
        <v>0.27950911119375232</v>
      </c>
      <c r="K55" s="4">
        <v>71</v>
      </c>
      <c r="L55" s="147">
        <v>0</v>
      </c>
      <c r="M55" s="147">
        <v>14.81</v>
      </c>
      <c r="N55" s="147">
        <v>0.53100000000000003</v>
      </c>
      <c r="O55" s="147">
        <v>0.53100000000000003</v>
      </c>
      <c r="P55" s="147">
        <v>15.341000000000001</v>
      </c>
      <c r="Q55" s="148">
        <v>0</v>
      </c>
      <c r="R55" s="148">
        <v>3.5854152599594867E-2</v>
      </c>
      <c r="S55" s="151">
        <v>3.5854152599594867E-2</v>
      </c>
      <c r="T55" s="4">
        <v>71</v>
      </c>
      <c r="U55" s="149">
        <v>0</v>
      </c>
      <c r="V55" s="149">
        <v>14.343500000000001</v>
      </c>
      <c r="W55" s="150">
        <v>2.149</v>
      </c>
      <c r="X55" s="147">
        <v>2.149</v>
      </c>
      <c r="Y55" s="147">
        <v>16.4925</v>
      </c>
      <c r="Z55" s="148">
        <v>0</v>
      </c>
      <c r="AA55" s="148">
        <v>0.14982396207341303</v>
      </c>
      <c r="AB55" s="151">
        <v>0.14982396207341303</v>
      </c>
    </row>
    <row r="56" spans="1:28">
      <c r="B56" s="4">
        <v>72</v>
      </c>
      <c r="C56" s="147">
        <v>0</v>
      </c>
      <c r="D56" s="147">
        <v>13.002000000000001</v>
      </c>
      <c r="E56" s="1539">
        <v>3.7469999999999999</v>
      </c>
      <c r="F56" s="147">
        <v>3.7469999999999999</v>
      </c>
      <c r="G56" s="147">
        <v>16.749000000000002</v>
      </c>
      <c r="H56" s="148">
        <v>0</v>
      </c>
      <c r="I56" s="148">
        <v>0.2881864328564836</v>
      </c>
      <c r="J56" s="148">
        <v>0.2881864328564836</v>
      </c>
      <c r="K56" s="4">
        <v>72</v>
      </c>
      <c r="L56" s="147">
        <v>0</v>
      </c>
      <c r="M56" s="147">
        <v>14.334</v>
      </c>
      <c r="N56" s="147">
        <v>0.51</v>
      </c>
      <c r="O56" s="147">
        <v>0.51</v>
      </c>
      <c r="P56" s="147">
        <v>14.843999999999999</v>
      </c>
      <c r="Q56" s="148">
        <v>0</v>
      </c>
      <c r="R56" s="148">
        <v>3.5579740477187108E-2</v>
      </c>
      <c r="S56" s="151">
        <v>3.5579740477187108E-2</v>
      </c>
      <c r="T56" s="4">
        <v>72</v>
      </c>
      <c r="U56" s="149">
        <v>0</v>
      </c>
      <c r="V56" s="149">
        <v>13.8895</v>
      </c>
      <c r="W56" s="150">
        <v>2.1339999999999999</v>
      </c>
      <c r="X56" s="147">
        <v>2.1339999999999999</v>
      </c>
      <c r="Y56" s="147">
        <v>16.023499999999999</v>
      </c>
      <c r="Z56" s="148">
        <v>0</v>
      </c>
      <c r="AA56" s="148">
        <v>0.15364123978544944</v>
      </c>
      <c r="AB56" s="151">
        <v>0.15364123978544944</v>
      </c>
    </row>
    <row r="57" spans="1:28">
      <c r="B57" s="4">
        <v>73</v>
      </c>
      <c r="C57" s="147">
        <v>0</v>
      </c>
      <c r="D57" s="147">
        <v>12.55</v>
      </c>
      <c r="E57" s="1539">
        <v>3.7389999999999999</v>
      </c>
      <c r="F57" s="147">
        <v>3.7389999999999999</v>
      </c>
      <c r="G57" s="147">
        <v>16.289000000000001</v>
      </c>
      <c r="H57" s="148">
        <v>0</v>
      </c>
      <c r="I57" s="148">
        <v>0.2979282868525896</v>
      </c>
      <c r="J57" s="148">
        <v>0.2979282868525896</v>
      </c>
      <c r="K57" s="4">
        <v>73</v>
      </c>
      <c r="L57" s="147">
        <v>0</v>
      </c>
      <c r="M57" s="147">
        <v>13.846</v>
      </c>
      <c r="N57" s="147">
        <v>0.48899999999999999</v>
      </c>
      <c r="O57" s="147">
        <v>0.48899999999999999</v>
      </c>
      <c r="P57" s="147">
        <v>14.335000000000001</v>
      </c>
      <c r="Q57" s="148">
        <v>0</v>
      </c>
      <c r="R57" s="148">
        <v>3.5317059078434201E-2</v>
      </c>
      <c r="S57" s="151">
        <v>3.5317059078434201E-2</v>
      </c>
      <c r="T57" s="4">
        <v>73</v>
      </c>
      <c r="U57" s="149">
        <v>0</v>
      </c>
      <c r="V57" s="149">
        <v>13.423999999999999</v>
      </c>
      <c r="W57" s="150">
        <v>2.1179999999999999</v>
      </c>
      <c r="X57" s="147">
        <v>2.1179999999999999</v>
      </c>
      <c r="Y57" s="147">
        <v>15.542</v>
      </c>
      <c r="Z57" s="148">
        <v>0</v>
      </c>
      <c r="AA57" s="148">
        <v>0.15777711561382599</v>
      </c>
      <c r="AB57" s="151">
        <v>0.15777711561382599</v>
      </c>
    </row>
    <row r="58" spans="1:28">
      <c r="B58" s="4">
        <v>74</v>
      </c>
      <c r="C58" s="147">
        <v>0</v>
      </c>
      <c r="D58" s="147">
        <v>12.089</v>
      </c>
      <c r="E58" s="1539">
        <v>3.7290000000000001</v>
      </c>
      <c r="F58" s="147">
        <v>3.7290000000000001</v>
      </c>
      <c r="G58" s="147">
        <v>15.818000000000001</v>
      </c>
      <c r="H58" s="148">
        <v>0</v>
      </c>
      <c r="I58" s="148">
        <v>0.30846223839854414</v>
      </c>
      <c r="J58" s="148">
        <v>0.30846223839854414</v>
      </c>
      <c r="K58" s="4">
        <v>74</v>
      </c>
      <c r="L58" s="147">
        <v>0</v>
      </c>
      <c r="M58" s="147">
        <v>13.346</v>
      </c>
      <c r="N58" s="147">
        <v>0.46899999999999997</v>
      </c>
      <c r="O58" s="147">
        <v>0.46899999999999997</v>
      </c>
      <c r="P58" s="147">
        <v>13.815</v>
      </c>
      <c r="Q58" s="148">
        <v>0</v>
      </c>
      <c r="R58" s="148">
        <v>3.5141615465307953E-2</v>
      </c>
      <c r="S58" s="151">
        <v>3.5141615465307953E-2</v>
      </c>
      <c r="T58" s="4">
        <v>74</v>
      </c>
      <c r="U58" s="149">
        <v>0</v>
      </c>
      <c r="V58" s="149">
        <v>12.948</v>
      </c>
      <c r="W58" s="150">
        <v>2.1040000000000001</v>
      </c>
      <c r="X58" s="147">
        <v>2.1040000000000001</v>
      </c>
      <c r="Y58" s="147">
        <v>15.052</v>
      </c>
      <c r="Z58" s="148">
        <v>0</v>
      </c>
      <c r="AA58" s="148">
        <v>0.16249613839975285</v>
      </c>
      <c r="AB58" s="151">
        <v>0.16249613839975285</v>
      </c>
    </row>
    <row r="59" spans="1:28">
      <c r="B59" s="4">
        <v>75</v>
      </c>
      <c r="C59" s="147">
        <v>0</v>
      </c>
      <c r="D59" s="147">
        <v>11.619</v>
      </c>
      <c r="E59" s="1539">
        <v>3.7160000000000002</v>
      </c>
      <c r="F59" s="147">
        <v>3.7160000000000002</v>
      </c>
      <c r="G59" s="147">
        <v>15.335000000000001</v>
      </c>
      <c r="H59" s="148">
        <v>0</v>
      </c>
      <c r="I59" s="148">
        <v>0.31982098287288063</v>
      </c>
      <c r="J59" s="148">
        <v>0.31982098287288063</v>
      </c>
      <c r="K59" s="4">
        <v>75</v>
      </c>
      <c r="L59" s="147">
        <v>0</v>
      </c>
      <c r="M59" s="147">
        <v>12.837</v>
      </c>
      <c r="N59" s="147">
        <v>0.44800000000000001</v>
      </c>
      <c r="O59" s="147">
        <v>0.44800000000000001</v>
      </c>
      <c r="P59" s="147">
        <v>13.285</v>
      </c>
      <c r="Q59" s="148">
        <v>0</v>
      </c>
      <c r="R59" s="148">
        <v>3.4899119732024621E-2</v>
      </c>
      <c r="S59" s="151">
        <v>3.4899119732024621E-2</v>
      </c>
      <c r="T59" s="4">
        <v>75</v>
      </c>
      <c r="U59" s="149">
        <v>0</v>
      </c>
      <c r="V59" s="149">
        <v>12.463000000000001</v>
      </c>
      <c r="W59" s="150">
        <v>2.0885000000000002</v>
      </c>
      <c r="X59" s="147">
        <v>2.0885000000000002</v>
      </c>
      <c r="Y59" s="147">
        <v>14.551500000000001</v>
      </c>
      <c r="Z59" s="148">
        <v>0</v>
      </c>
      <c r="AA59" s="148">
        <v>0.16757602503410093</v>
      </c>
      <c r="AB59" s="151">
        <v>0.16757602503410093</v>
      </c>
    </row>
    <row r="60" spans="1:28">
      <c r="B60" s="4">
        <v>76</v>
      </c>
      <c r="C60" s="147">
        <v>0</v>
      </c>
      <c r="D60" s="147">
        <v>11.143000000000001</v>
      </c>
      <c r="E60" s="1539">
        <v>3.698</v>
      </c>
      <c r="F60" s="147">
        <v>3.698</v>
      </c>
      <c r="G60" s="147">
        <v>14.841000000000001</v>
      </c>
      <c r="H60" s="148">
        <v>0</v>
      </c>
      <c r="I60" s="148">
        <v>0.33186754015974151</v>
      </c>
      <c r="J60" s="148">
        <v>0.33186754015974151</v>
      </c>
      <c r="K60" s="4">
        <v>76</v>
      </c>
      <c r="L60" s="147">
        <v>0</v>
      </c>
      <c r="M60" s="147">
        <v>12.319000000000001</v>
      </c>
      <c r="N60" s="147">
        <v>0.42699999999999999</v>
      </c>
      <c r="O60" s="147">
        <v>0.42699999999999999</v>
      </c>
      <c r="P60" s="147">
        <v>12.746</v>
      </c>
      <c r="Q60" s="148">
        <v>0</v>
      </c>
      <c r="R60" s="148">
        <v>3.4661904375355136E-2</v>
      </c>
      <c r="S60" s="151">
        <v>3.4661904375355136E-2</v>
      </c>
      <c r="T60" s="4">
        <v>76</v>
      </c>
      <c r="U60" s="149">
        <v>0</v>
      </c>
      <c r="V60" s="149">
        <v>11.969000000000001</v>
      </c>
      <c r="W60" s="150">
        <v>2.0714999999999999</v>
      </c>
      <c r="X60" s="147">
        <v>2.0714999999999999</v>
      </c>
      <c r="Y60" s="147">
        <v>14.040500000000002</v>
      </c>
      <c r="Z60" s="148">
        <v>0</v>
      </c>
      <c r="AA60" s="148">
        <v>0.1730721029325758</v>
      </c>
      <c r="AB60" s="151">
        <v>0.1730721029325758</v>
      </c>
    </row>
    <row r="61" spans="1:28">
      <c r="B61" s="4">
        <v>77</v>
      </c>
      <c r="C61" s="147">
        <v>0</v>
      </c>
      <c r="D61" s="147">
        <v>10.662000000000001</v>
      </c>
      <c r="E61" s="1539">
        <v>3.6749999999999998</v>
      </c>
      <c r="F61" s="147">
        <v>3.6749999999999998</v>
      </c>
      <c r="G61" s="147">
        <v>14.337</v>
      </c>
      <c r="H61" s="148">
        <v>0</v>
      </c>
      <c r="I61" s="148">
        <v>0.34468204839617328</v>
      </c>
      <c r="J61" s="148">
        <v>0.34468204839617328</v>
      </c>
      <c r="K61" s="4">
        <v>77</v>
      </c>
      <c r="L61" s="147">
        <v>0</v>
      </c>
      <c r="M61" s="147">
        <v>11.792999999999999</v>
      </c>
      <c r="N61" s="147">
        <v>0.40400000000000003</v>
      </c>
      <c r="O61" s="147">
        <v>0.40400000000000003</v>
      </c>
      <c r="P61" s="147">
        <v>12.196999999999999</v>
      </c>
      <c r="Q61" s="148">
        <v>0</v>
      </c>
      <c r="R61" s="148">
        <v>3.4257610446875267E-2</v>
      </c>
      <c r="S61" s="151">
        <v>3.4257610446875267E-2</v>
      </c>
      <c r="T61" s="4">
        <v>77</v>
      </c>
      <c r="U61" s="149">
        <v>0</v>
      </c>
      <c r="V61" s="149">
        <v>11.468</v>
      </c>
      <c r="W61" s="150">
        <v>2.0510000000000002</v>
      </c>
      <c r="X61" s="147">
        <v>2.0510000000000002</v>
      </c>
      <c r="Y61" s="147">
        <v>13.519</v>
      </c>
      <c r="Z61" s="148">
        <v>0</v>
      </c>
      <c r="AA61" s="148">
        <v>0.17884548308336243</v>
      </c>
      <c r="AB61" s="151">
        <v>0.17884548308336243</v>
      </c>
    </row>
    <row r="62" spans="1:28">
      <c r="B62" s="4">
        <v>78</v>
      </c>
      <c r="C62" s="147">
        <v>0</v>
      </c>
      <c r="D62" s="147">
        <v>10.178000000000001</v>
      </c>
      <c r="E62" s="1539">
        <v>3.645</v>
      </c>
      <c r="F62" s="147">
        <v>3.645</v>
      </c>
      <c r="G62" s="147">
        <v>13.823</v>
      </c>
      <c r="H62" s="148">
        <v>0</v>
      </c>
      <c r="I62" s="148">
        <v>0.35812536844173704</v>
      </c>
      <c r="J62" s="148">
        <v>0.35812536844173704</v>
      </c>
      <c r="K62" s="4">
        <v>78</v>
      </c>
      <c r="L62" s="147">
        <v>0</v>
      </c>
      <c r="M62" s="147">
        <v>11.262</v>
      </c>
      <c r="N62" s="147">
        <v>0.38100000000000001</v>
      </c>
      <c r="O62" s="147">
        <v>0.38100000000000001</v>
      </c>
      <c r="P62" s="147">
        <v>11.643000000000001</v>
      </c>
      <c r="Q62" s="148">
        <v>0</v>
      </c>
      <c r="R62" s="148">
        <v>3.383058071390517E-2</v>
      </c>
      <c r="S62" s="151">
        <v>3.383058071390517E-2</v>
      </c>
      <c r="T62" s="4">
        <v>78</v>
      </c>
      <c r="U62" s="149">
        <v>0</v>
      </c>
      <c r="V62" s="149">
        <v>10.962</v>
      </c>
      <c r="W62" s="150">
        <v>2.028</v>
      </c>
      <c r="X62" s="147">
        <v>2.028</v>
      </c>
      <c r="Y62" s="147">
        <v>12.99</v>
      </c>
      <c r="Z62" s="148">
        <v>0</v>
      </c>
      <c r="AA62" s="148">
        <v>0.18500273672687467</v>
      </c>
      <c r="AB62" s="151">
        <v>0.18500273672687467</v>
      </c>
    </row>
    <row r="63" spans="1:28">
      <c r="B63" s="4">
        <v>79</v>
      </c>
      <c r="C63" s="147">
        <v>0</v>
      </c>
      <c r="D63" s="147">
        <v>9.6929999999999996</v>
      </c>
      <c r="E63" s="1539">
        <v>3.6070000000000002</v>
      </c>
      <c r="F63" s="147">
        <v>3.6070000000000002</v>
      </c>
      <c r="G63" s="147">
        <v>13.3</v>
      </c>
      <c r="H63" s="148">
        <v>0</v>
      </c>
      <c r="I63" s="148">
        <v>0.37212421334984014</v>
      </c>
      <c r="J63" s="148">
        <v>0.37212421334984014</v>
      </c>
      <c r="K63" s="4">
        <v>79</v>
      </c>
      <c r="L63" s="147">
        <v>0</v>
      </c>
      <c r="M63" s="147">
        <v>10.727</v>
      </c>
      <c r="N63" s="147">
        <v>0.35699999999999998</v>
      </c>
      <c r="O63" s="147">
        <v>0.35699999999999998</v>
      </c>
      <c r="P63" s="147">
        <v>11.084</v>
      </c>
      <c r="Q63" s="148">
        <v>0</v>
      </c>
      <c r="R63" s="148">
        <v>3.328050713153724E-2</v>
      </c>
      <c r="S63" s="151">
        <v>3.328050713153724E-2</v>
      </c>
      <c r="T63" s="4">
        <v>79</v>
      </c>
      <c r="U63" s="149">
        <v>0</v>
      </c>
      <c r="V63" s="149">
        <v>10.452500000000001</v>
      </c>
      <c r="W63" s="150">
        <v>2.0009999999999999</v>
      </c>
      <c r="X63" s="147">
        <v>2.0009999999999999</v>
      </c>
      <c r="Y63" s="147">
        <v>12.4535</v>
      </c>
      <c r="Z63" s="148">
        <v>0</v>
      </c>
      <c r="AA63" s="148">
        <v>0.1914374551542693</v>
      </c>
      <c r="AB63" s="151">
        <v>0.1914374551542693</v>
      </c>
    </row>
    <row r="64" spans="1:28">
      <c r="B64" s="4">
        <v>80</v>
      </c>
      <c r="C64" s="147">
        <v>0</v>
      </c>
      <c r="D64" s="147">
        <v>9.2100000000000009</v>
      </c>
      <c r="E64" s="1539">
        <v>3.5619999999999998</v>
      </c>
      <c r="F64" s="147">
        <v>3.5619999999999998</v>
      </c>
      <c r="G64" s="147">
        <v>12.772</v>
      </c>
      <c r="H64" s="148">
        <v>0</v>
      </c>
      <c r="I64" s="148">
        <v>0.38675352877307267</v>
      </c>
      <c r="J64" s="148">
        <v>0.38675352877307267</v>
      </c>
      <c r="K64" s="4">
        <v>80</v>
      </c>
      <c r="L64" s="147">
        <v>0</v>
      </c>
      <c r="M64" s="147">
        <v>10.191000000000001</v>
      </c>
      <c r="N64" s="147">
        <v>0.33300000000000002</v>
      </c>
      <c r="O64" s="147">
        <v>0.33300000000000002</v>
      </c>
      <c r="P64" s="147">
        <v>10.524000000000001</v>
      </c>
      <c r="Q64" s="148">
        <v>0</v>
      </c>
      <c r="R64" s="148">
        <v>3.2675890491610245E-2</v>
      </c>
      <c r="S64" s="151">
        <v>3.2675890491610245E-2</v>
      </c>
      <c r="T64" s="4">
        <v>80</v>
      </c>
      <c r="U64" s="149">
        <v>0</v>
      </c>
      <c r="V64" s="149">
        <v>9.9420000000000002</v>
      </c>
      <c r="W64" s="150">
        <v>1.9700000000000002</v>
      </c>
      <c r="X64" s="147">
        <v>1.9700000000000002</v>
      </c>
      <c r="Y64" s="147">
        <v>11.912000000000001</v>
      </c>
      <c r="Z64" s="148">
        <v>0</v>
      </c>
      <c r="AA64" s="148">
        <v>0.19814926574129954</v>
      </c>
      <c r="AB64" s="151">
        <v>0.19814926574129954</v>
      </c>
    </row>
    <row r="65" spans="2:28">
      <c r="B65" s="4">
        <v>81</v>
      </c>
      <c r="C65" s="147">
        <v>0</v>
      </c>
      <c r="D65" s="147">
        <v>8.73</v>
      </c>
      <c r="E65" s="1539">
        <v>3.5070000000000001</v>
      </c>
      <c r="F65" s="147">
        <v>3.5070000000000001</v>
      </c>
      <c r="G65" s="147">
        <v>12.237</v>
      </c>
      <c r="H65" s="148">
        <v>0</v>
      </c>
      <c r="I65" s="148">
        <v>0.40171821305841926</v>
      </c>
      <c r="J65" s="148">
        <v>0.40171821305841926</v>
      </c>
      <c r="K65" s="4">
        <v>81</v>
      </c>
      <c r="L65" s="147">
        <v>0</v>
      </c>
      <c r="M65" s="147">
        <v>9.657</v>
      </c>
      <c r="N65" s="147">
        <v>0.309</v>
      </c>
      <c r="O65" s="147">
        <v>0.309</v>
      </c>
      <c r="P65" s="147">
        <v>9.9659999999999993</v>
      </c>
      <c r="Q65" s="148">
        <v>0</v>
      </c>
      <c r="R65" s="148">
        <v>3.1997514756135444E-2</v>
      </c>
      <c r="S65" s="151">
        <v>3.1997514756135444E-2</v>
      </c>
      <c r="T65" s="4">
        <v>81</v>
      </c>
      <c r="U65" s="149">
        <v>0</v>
      </c>
      <c r="V65" s="149">
        <v>9.4335000000000004</v>
      </c>
      <c r="W65" s="150">
        <v>1.9355</v>
      </c>
      <c r="X65" s="147">
        <v>1.9355</v>
      </c>
      <c r="Y65" s="147">
        <v>11.369</v>
      </c>
      <c r="Z65" s="148">
        <v>0</v>
      </c>
      <c r="AA65" s="148">
        <v>0.2051730534796205</v>
      </c>
      <c r="AB65" s="151">
        <v>0.2051730534796205</v>
      </c>
    </row>
    <row r="66" spans="2:28">
      <c r="B66" s="4">
        <v>82</v>
      </c>
      <c r="C66" s="147">
        <v>0</v>
      </c>
      <c r="D66" s="147">
        <v>8.2579999999999991</v>
      </c>
      <c r="E66" s="1539">
        <v>3.4260000000000002</v>
      </c>
      <c r="F66" s="147">
        <v>3.4260000000000002</v>
      </c>
      <c r="G66" s="147">
        <v>11.683999999999999</v>
      </c>
      <c r="H66" s="148">
        <v>0</v>
      </c>
      <c r="I66" s="148">
        <v>0.41487042867522411</v>
      </c>
      <c r="J66" s="148">
        <v>0.41487042867522411</v>
      </c>
      <c r="K66" s="4">
        <v>82</v>
      </c>
      <c r="L66" s="147">
        <v>0</v>
      </c>
      <c r="M66" s="147">
        <v>9.1270000000000007</v>
      </c>
      <c r="N66" s="147">
        <v>0.28499999999999998</v>
      </c>
      <c r="O66" s="147">
        <v>0.28499999999999998</v>
      </c>
      <c r="P66" s="147">
        <v>9.4120000000000008</v>
      </c>
      <c r="Q66" s="148">
        <v>0</v>
      </c>
      <c r="R66" s="148">
        <v>3.1226032650377995E-2</v>
      </c>
      <c r="S66" s="151">
        <v>3.1226032650377995E-2</v>
      </c>
      <c r="T66" s="4">
        <v>82</v>
      </c>
      <c r="U66" s="149">
        <v>0</v>
      </c>
      <c r="V66" s="149">
        <v>8.9284999999999997</v>
      </c>
      <c r="W66" s="150">
        <v>1.8960000000000001</v>
      </c>
      <c r="X66" s="147">
        <v>1.8960000000000001</v>
      </c>
      <c r="Y66" s="147">
        <v>10.8245</v>
      </c>
      <c r="Z66" s="148">
        <v>0</v>
      </c>
      <c r="AA66" s="148">
        <v>0.21235369882959065</v>
      </c>
      <c r="AB66" s="151">
        <v>0.21235369882959065</v>
      </c>
    </row>
    <row r="67" spans="2:28">
      <c r="B67" s="4">
        <v>83</v>
      </c>
      <c r="C67" s="147">
        <v>0</v>
      </c>
      <c r="D67" s="147">
        <v>7.7949999999999999</v>
      </c>
      <c r="E67" s="1539">
        <v>3.3330000000000002</v>
      </c>
      <c r="F67" s="147">
        <v>3.3330000000000002</v>
      </c>
      <c r="G67" s="147">
        <v>11.128</v>
      </c>
      <c r="H67" s="148">
        <v>0</v>
      </c>
      <c r="I67" s="148">
        <v>0.42758178319435536</v>
      </c>
      <c r="J67" s="148">
        <v>0.42758178319435536</v>
      </c>
      <c r="K67" s="4">
        <v>83</v>
      </c>
      <c r="L67" s="147">
        <v>0</v>
      </c>
      <c r="M67" s="147">
        <v>8.6039999999999992</v>
      </c>
      <c r="N67" s="147">
        <v>0.26100000000000001</v>
      </c>
      <c r="O67" s="147">
        <v>0.26100000000000001</v>
      </c>
      <c r="P67" s="147">
        <v>8.8649999999999984</v>
      </c>
      <c r="Q67" s="148">
        <v>0</v>
      </c>
      <c r="R67" s="148">
        <v>3.0334728033472806E-2</v>
      </c>
      <c r="S67" s="151">
        <v>3.0334728033472806E-2</v>
      </c>
      <c r="T67" s="4">
        <v>83</v>
      </c>
      <c r="U67" s="149">
        <v>0</v>
      </c>
      <c r="V67" s="149">
        <v>8.4309999999999992</v>
      </c>
      <c r="W67" s="150">
        <v>1.8435000000000001</v>
      </c>
      <c r="X67" s="147">
        <v>1.8435000000000001</v>
      </c>
      <c r="Y67" s="147">
        <v>10.2745</v>
      </c>
      <c r="Z67" s="148">
        <v>0</v>
      </c>
      <c r="AA67" s="148">
        <v>0.21865733602182424</v>
      </c>
      <c r="AB67" s="151">
        <v>0.21865733602182424</v>
      </c>
    </row>
    <row r="68" spans="2:28">
      <c r="B68" s="4">
        <v>84</v>
      </c>
      <c r="C68" s="147">
        <v>0</v>
      </c>
      <c r="D68" s="147">
        <v>7.3449999999999998</v>
      </c>
      <c r="E68" s="1539">
        <v>3.2280000000000002</v>
      </c>
      <c r="F68" s="147">
        <v>3.2280000000000002</v>
      </c>
      <c r="G68" s="147">
        <v>10.573</v>
      </c>
      <c r="H68" s="148">
        <v>0</v>
      </c>
      <c r="I68" s="148">
        <v>0.43948264125255282</v>
      </c>
      <c r="J68" s="148">
        <v>0.43948264125255282</v>
      </c>
      <c r="K68" s="4">
        <v>84</v>
      </c>
      <c r="L68" s="147">
        <v>0</v>
      </c>
      <c r="M68" s="147">
        <v>8.0920000000000005</v>
      </c>
      <c r="N68" s="147">
        <v>0.23799999999999999</v>
      </c>
      <c r="O68" s="147">
        <v>0.23799999999999999</v>
      </c>
      <c r="P68" s="147">
        <v>8.33</v>
      </c>
      <c r="Q68" s="148">
        <v>0</v>
      </c>
      <c r="R68" s="148">
        <v>2.9411764705882349E-2</v>
      </c>
      <c r="S68" s="151">
        <v>2.9411764705882349E-2</v>
      </c>
      <c r="T68" s="4">
        <v>84</v>
      </c>
      <c r="U68" s="149">
        <v>0</v>
      </c>
      <c r="V68" s="149">
        <v>7.9435000000000002</v>
      </c>
      <c r="W68" s="150">
        <v>1.7855000000000001</v>
      </c>
      <c r="X68" s="147">
        <v>1.7855000000000001</v>
      </c>
      <c r="Y68" s="147">
        <v>9.729000000000001</v>
      </c>
      <c r="Z68" s="148">
        <v>0</v>
      </c>
      <c r="AA68" s="148">
        <v>0.22477497324856802</v>
      </c>
      <c r="AB68" s="151">
        <v>0.22477497324856802</v>
      </c>
    </row>
    <row r="69" spans="2:28">
      <c r="B69" s="4">
        <v>85</v>
      </c>
      <c r="C69" s="147">
        <v>0</v>
      </c>
      <c r="D69" s="147">
        <v>6.91</v>
      </c>
      <c r="E69" s="1539">
        <v>3.1139999999999999</v>
      </c>
      <c r="F69" s="147">
        <v>3.1139999999999999</v>
      </c>
      <c r="G69" s="147">
        <v>10.024000000000001</v>
      </c>
      <c r="H69" s="148">
        <v>0</v>
      </c>
      <c r="I69" s="148">
        <v>0.45065123010130242</v>
      </c>
      <c r="J69" s="148">
        <v>0.45065123010130242</v>
      </c>
      <c r="K69" s="4">
        <v>85</v>
      </c>
      <c r="L69" s="147">
        <v>0</v>
      </c>
      <c r="M69" s="147">
        <v>7.5949999999999998</v>
      </c>
      <c r="N69" s="147">
        <v>0.21199999999999999</v>
      </c>
      <c r="O69" s="147">
        <v>0.21199999999999999</v>
      </c>
      <c r="P69" s="147">
        <v>7.8069999999999995</v>
      </c>
      <c r="Q69" s="148">
        <v>0</v>
      </c>
      <c r="R69" s="148">
        <v>2.791310072416063E-2</v>
      </c>
      <c r="S69" s="151">
        <v>2.791310072416063E-2</v>
      </c>
      <c r="T69" s="4">
        <v>85</v>
      </c>
      <c r="U69" s="149">
        <v>0</v>
      </c>
      <c r="V69" s="149">
        <v>7.47</v>
      </c>
      <c r="W69" s="150">
        <v>1.7200000000000002</v>
      </c>
      <c r="X69" s="147">
        <v>1.7200000000000002</v>
      </c>
      <c r="Y69" s="147">
        <v>9.19</v>
      </c>
      <c r="Z69" s="148">
        <v>0</v>
      </c>
      <c r="AA69" s="148">
        <v>0.23025435073627848</v>
      </c>
      <c r="AB69" s="151">
        <v>0.23025435073627848</v>
      </c>
    </row>
    <row r="70" spans="2:28">
      <c r="B70" s="4">
        <v>86</v>
      </c>
      <c r="C70" s="147">
        <v>0</v>
      </c>
      <c r="D70" s="147">
        <v>6.4960000000000004</v>
      </c>
      <c r="E70" s="1539">
        <v>2.992</v>
      </c>
      <c r="F70" s="147">
        <v>2.992</v>
      </c>
      <c r="G70" s="147">
        <v>9.4879999999999995</v>
      </c>
      <c r="H70" s="148">
        <v>0</v>
      </c>
      <c r="I70" s="148">
        <v>0.4605911330049261</v>
      </c>
      <c r="J70" s="148">
        <v>0.4605911330049261</v>
      </c>
      <c r="K70" s="4">
        <v>86</v>
      </c>
      <c r="L70" s="147">
        <v>0</v>
      </c>
      <c r="M70" s="147">
        <v>7.117</v>
      </c>
      <c r="N70" s="147">
        <v>0.186</v>
      </c>
      <c r="O70" s="147">
        <v>0.186</v>
      </c>
      <c r="P70" s="147">
        <v>7.3029999999999999</v>
      </c>
      <c r="Q70" s="148">
        <v>0</v>
      </c>
      <c r="R70" s="148">
        <v>2.613460727834762E-2</v>
      </c>
      <c r="S70" s="151">
        <v>2.613460727834762E-2</v>
      </c>
      <c r="T70" s="4">
        <v>86</v>
      </c>
      <c r="U70" s="149">
        <v>0</v>
      </c>
      <c r="V70" s="149">
        <v>7.0135000000000005</v>
      </c>
      <c r="W70" s="150">
        <v>1.65</v>
      </c>
      <c r="X70" s="147">
        <v>1.65</v>
      </c>
      <c r="Y70" s="147">
        <v>8.6635000000000009</v>
      </c>
      <c r="Z70" s="148">
        <v>0</v>
      </c>
      <c r="AA70" s="148">
        <v>0.23526056890283023</v>
      </c>
      <c r="AB70" s="151">
        <v>0.23526056890283023</v>
      </c>
    </row>
    <row r="71" spans="2:28">
      <c r="B71" s="4">
        <v>87</v>
      </c>
      <c r="C71" s="147">
        <v>0</v>
      </c>
      <c r="D71" s="147">
        <v>6.1029999999999998</v>
      </c>
      <c r="E71" s="1539">
        <v>2.8650000000000002</v>
      </c>
      <c r="F71" s="147">
        <v>2.8650000000000002</v>
      </c>
      <c r="G71" s="147">
        <v>8.968</v>
      </c>
      <c r="H71" s="148">
        <v>0</v>
      </c>
      <c r="I71" s="148">
        <v>0.4694412583975095</v>
      </c>
      <c r="J71" s="148">
        <v>0.4694412583975095</v>
      </c>
      <c r="K71" s="4">
        <v>87</v>
      </c>
      <c r="L71" s="147">
        <v>0</v>
      </c>
      <c r="M71" s="147">
        <v>6.6639999999999997</v>
      </c>
      <c r="N71" s="147">
        <v>0.16200000000000001</v>
      </c>
      <c r="O71" s="147">
        <v>0.16200000000000001</v>
      </c>
      <c r="P71" s="147">
        <v>6.8259999999999996</v>
      </c>
      <c r="Q71" s="148">
        <v>0</v>
      </c>
      <c r="R71" s="148">
        <v>2.4309723889555823E-2</v>
      </c>
      <c r="S71" s="151">
        <v>2.4309723889555823E-2</v>
      </c>
      <c r="T71" s="4">
        <v>87</v>
      </c>
      <c r="U71" s="149">
        <v>0</v>
      </c>
      <c r="V71" s="149">
        <v>6.58</v>
      </c>
      <c r="W71" s="150">
        <v>1.577</v>
      </c>
      <c r="X71" s="147">
        <v>1.577</v>
      </c>
      <c r="Y71" s="147">
        <v>8.157</v>
      </c>
      <c r="Z71" s="148">
        <v>0</v>
      </c>
      <c r="AA71" s="148">
        <v>0.23966565349544072</v>
      </c>
      <c r="AB71" s="151">
        <v>0.23966565349544072</v>
      </c>
    </row>
    <row r="72" spans="2:28">
      <c r="B72" s="4">
        <v>88</v>
      </c>
      <c r="C72" s="147">
        <v>0</v>
      </c>
      <c r="D72" s="147">
        <v>5.7359999999999998</v>
      </c>
      <c r="E72" s="1539">
        <v>2.7050000000000001</v>
      </c>
      <c r="F72" s="147">
        <v>2.7050000000000001</v>
      </c>
      <c r="G72" s="147">
        <v>8.4409999999999989</v>
      </c>
      <c r="H72" s="148">
        <v>0</v>
      </c>
      <c r="I72" s="148">
        <v>0.47158298465829851</v>
      </c>
      <c r="J72" s="148">
        <v>0.47158298465829851</v>
      </c>
      <c r="K72" s="4">
        <v>88</v>
      </c>
      <c r="L72" s="147">
        <v>0</v>
      </c>
      <c r="M72" s="147">
        <v>6.2409999999999997</v>
      </c>
      <c r="N72" s="147">
        <v>0.14000000000000001</v>
      </c>
      <c r="O72" s="147">
        <v>0.14000000000000001</v>
      </c>
      <c r="P72" s="147">
        <v>6.3809999999999993</v>
      </c>
      <c r="Q72" s="148">
        <v>0</v>
      </c>
      <c r="R72" s="148">
        <v>2.2432302515622501E-2</v>
      </c>
      <c r="S72" s="151">
        <v>2.2432302515622501E-2</v>
      </c>
      <c r="T72" s="4">
        <v>88</v>
      </c>
      <c r="U72" s="149">
        <v>0</v>
      </c>
      <c r="V72" s="149">
        <v>6.1719999999999997</v>
      </c>
      <c r="W72" s="150">
        <v>1.5025000000000002</v>
      </c>
      <c r="X72" s="147">
        <v>1.5025000000000002</v>
      </c>
      <c r="Y72" s="147">
        <v>7.6745000000000001</v>
      </c>
      <c r="Z72" s="148">
        <v>0</v>
      </c>
      <c r="AA72" s="148">
        <v>0.24343810758263126</v>
      </c>
      <c r="AB72" s="151">
        <v>0.24343810758263126</v>
      </c>
    </row>
    <row r="73" spans="2:28">
      <c r="B73" s="4">
        <v>89</v>
      </c>
      <c r="C73" s="147">
        <v>0</v>
      </c>
      <c r="D73" s="147">
        <v>5.3959999999999999</v>
      </c>
      <c r="E73" s="1539">
        <v>2.5379999999999998</v>
      </c>
      <c r="F73" s="147">
        <v>2.5379999999999998</v>
      </c>
      <c r="G73" s="147">
        <v>7.9339999999999993</v>
      </c>
      <c r="H73" s="148">
        <v>0</v>
      </c>
      <c r="I73" s="148">
        <v>0.47034840622683466</v>
      </c>
      <c r="J73" s="148">
        <v>0.47034840622683466</v>
      </c>
      <c r="K73" s="4">
        <v>89</v>
      </c>
      <c r="L73" s="147">
        <v>0</v>
      </c>
      <c r="M73" s="147">
        <v>5.8540000000000001</v>
      </c>
      <c r="N73" s="147">
        <v>0.11700000000000001</v>
      </c>
      <c r="O73" s="147">
        <v>0.11700000000000001</v>
      </c>
      <c r="P73" s="147">
        <v>5.9710000000000001</v>
      </c>
      <c r="Q73" s="148">
        <v>0</v>
      </c>
      <c r="R73" s="148">
        <v>1.9986334130509053E-2</v>
      </c>
      <c r="S73" s="151">
        <v>1.9986334130509053E-2</v>
      </c>
      <c r="T73" s="4">
        <v>89</v>
      </c>
      <c r="U73" s="149">
        <v>0</v>
      </c>
      <c r="V73" s="149">
        <v>5.7949999999999999</v>
      </c>
      <c r="W73" s="150">
        <v>1.411</v>
      </c>
      <c r="X73" s="147">
        <v>1.411</v>
      </c>
      <c r="Y73" s="147">
        <v>7.2059999999999995</v>
      </c>
      <c r="Z73" s="148">
        <v>0</v>
      </c>
      <c r="AA73" s="148">
        <v>0.24348576358930113</v>
      </c>
      <c r="AB73" s="151">
        <v>0.24348576358930113</v>
      </c>
    </row>
    <row r="74" spans="2:28">
      <c r="B74" s="4">
        <v>90</v>
      </c>
      <c r="C74" s="147">
        <v>0</v>
      </c>
      <c r="D74" s="147">
        <v>5.085</v>
      </c>
      <c r="E74" s="1539">
        <v>2.3759999999999999</v>
      </c>
      <c r="F74" s="147">
        <v>2.3759999999999999</v>
      </c>
      <c r="G74" s="147">
        <v>7.4610000000000003</v>
      </c>
      <c r="H74" s="148">
        <v>0</v>
      </c>
      <c r="I74" s="148">
        <v>0.46725663716814159</v>
      </c>
      <c r="J74" s="148">
        <v>0.46725663716814159</v>
      </c>
      <c r="K74" s="4">
        <v>90</v>
      </c>
      <c r="L74" s="147">
        <v>0</v>
      </c>
      <c r="M74" s="147">
        <v>5.5049999999999999</v>
      </c>
      <c r="N74" s="147">
        <v>9.7000000000000003E-2</v>
      </c>
      <c r="O74" s="147">
        <v>9.7000000000000003E-2</v>
      </c>
      <c r="P74" s="147">
        <v>5.6020000000000003</v>
      </c>
      <c r="Q74" s="148">
        <v>0</v>
      </c>
      <c r="R74" s="148">
        <v>1.7620345140781108E-2</v>
      </c>
      <c r="S74" s="151">
        <v>1.7620345140781108E-2</v>
      </c>
      <c r="T74" s="4">
        <v>90</v>
      </c>
      <c r="U74" s="149">
        <v>0</v>
      </c>
      <c r="V74" s="149">
        <v>5.4504999999999999</v>
      </c>
      <c r="W74" s="150">
        <v>1.3174999999999999</v>
      </c>
      <c r="X74" s="147">
        <v>1.3174999999999999</v>
      </c>
      <c r="Y74" s="147">
        <v>6.7679999999999998</v>
      </c>
      <c r="Z74" s="148">
        <v>0</v>
      </c>
      <c r="AA74" s="148">
        <v>0.24172094303274927</v>
      </c>
      <c r="AB74" s="151">
        <v>0.24172094303274927</v>
      </c>
    </row>
    <row r="75" spans="2:28">
      <c r="B75" s="4">
        <v>91</v>
      </c>
      <c r="C75" s="147">
        <v>0</v>
      </c>
      <c r="D75" s="147">
        <v>4.8010000000000002</v>
      </c>
      <c r="E75" s="1539">
        <v>2.1920000000000002</v>
      </c>
      <c r="F75" s="147">
        <v>2.1920000000000002</v>
      </c>
      <c r="G75" s="147">
        <v>6.9930000000000003</v>
      </c>
      <c r="H75" s="148">
        <v>0</v>
      </c>
      <c r="I75" s="148">
        <v>0.45657154759425123</v>
      </c>
      <c r="J75" s="148">
        <v>0.45657154759425123</v>
      </c>
      <c r="K75" s="4">
        <v>91</v>
      </c>
      <c r="L75" s="147">
        <v>0</v>
      </c>
      <c r="M75" s="147">
        <v>5.1849999999999996</v>
      </c>
      <c r="N75" s="147">
        <v>0.08</v>
      </c>
      <c r="O75" s="147">
        <v>0.08</v>
      </c>
      <c r="P75" s="147">
        <v>5.2649999999999997</v>
      </c>
      <c r="Q75" s="148">
        <v>0</v>
      </c>
      <c r="R75" s="148">
        <v>1.5429122468659597E-2</v>
      </c>
      <c r="S75" s="151">
        <v>1.5429122468659597E-2</v>
      </c>
      <c r="T75" s="4">
        <v>91</v>
      </c>
      <c r="U75" s="149">
        <v>0</v>
      </c>
      <c r="V75" s="149">
        <v>5.1349999999999998</v>
      </c>
      <c r="W75" s="150">
        <v>1.228</v>
      </c>
      <c r="X75" s="147">
        <v>1.228</v>
      </c>
      <c r="Y75" s="147">
        <v>6.3629999999999995</v>
      </c>
      <c r="Z75" s="148">
        <v>0</v>
      </c>
      <c r="AA75" s="148">
        <v>0.239143135345667</v>
      </c>
      <c r="AB75" s="151">
        <v>0.239143135345667</v>
      </c>
    </row>
    <row r="76" spans="2:28">
      <c r="B76" s="4">
        <v>92</v>
      </c>
      <c r="C76" s="147">
        <v>0</v>
      </c>
      <c r="D76" s="147">
        <v>4.5410000000000004</v>
      </c>
      <c r="E76" s="1539">
        <v>2.024</v>
      </c>
      <c r="F76" s="147">
        <v>2.024</v>
      </c>
      <c r="G76" s="147">
        <v>6.5650000000000004</v>
      </c>
      <c r="H76" s="148">
        <v>0</v>
      </c>
      <c r="I76" s="148">
        <v>0.44571680246641704</v>
      </c>
      <c r="J76" s="148">
        <v>0.44571680246641704</v>
      </c>
      <c r="K76" s="4">
        <v>92</v>
      </c>
      <c r="L76" s="147">
        <v>0</v>
      </c>
      <c r="M76" s="147">
        <v>4.8849999999999998</v>
      </c>
      <c r="N76" s="147">
        <v>6.4000000000000001E-2</v>
      </c>
      <c r="O76" s="147">
        <v>6.4000000000000001E-2</v>
      </c>
      <c r="P76" s="147">
        <v>4.9489999999999998</v>
      </c>
      <c r="Q76" s="148">
        <v>0</v>
      </c>
      <c r="R76" s="148">
        <v>1.3101330603889459E-2</v>
      </c>
      <c r="S76" s="151">
        <v>1.3101330603889459E-2</v>
      </c>
      <c r="T76" s="4">
        <v>92</v>
      </c>
      <c r="U76" s="149">
        <v>0</v>
      </c>
      <c r="V76" s="149">
        <v>4.843</v>
      </c>
      <c r="W76" s="150">
        <v>1.1280000000000001</v>
      </c>
      <c r="X76" s="147">
        <v>1.1280000000000001</v>
      </c>
      <c r="Y76" s="147">
        <v>5.9710000000000001</v>
      </c>
      <c r="Z76" s="148">
        <v>0</v>
      </c>
      <c r="AA76" s="148">
        <v>0.23291348337807147</v>
      </c>
      <c r="AB76" s="151">
        <v>0.23291348337807147</v>
      </c>
    </row>
    <row r="77" spans="2:28">
      <c r="B77" s="4">
        <v>93</v>
      </c>
      <c r="C77" s="147">
        <v>0</v>
      </c>
      <c r="D77" s="147">
        <v>4.3040000000000003</v>
      </c>
      <c r="E77" s="1539">
        <v>1.839</v>
      </c>
      <c r="F77" s="147">
        <v>1.839</v>
      </c>
      <c r="G77" s="147">
        <v>6.1430000000000007</v>
      </c>
      <c r="H77" s="148">
        <v>0</v>
      </c>
      <c r="I77" s="148">
        <v>0.42727695167286239</v>
      </c>
      <c r="J77" s="148">
        <v>0.42727695167286239</v>
      </c>
      <c r="K77" s="4">
        <v>93</v>
      </c>
      <c r="L77" s="147">
        <v>0</v>
      </c>
      <c r="M77" s="147">
        <v>4.6059999999999999</v>
      </c>
      <c r="N77" s="147">
        <v>5.1999999999999998E-2</v>
      </c>
      <c r="O77" s="147">
        <v>5.1999999999999998E-2</v>
      </c>
      <c r="P77" s="147">
        <v>4.6579999999999995</v>
      </c>
      <c r="Q77" s="148">
        <v>0</v>
      </c>
      <c r="R77" s="148">
        <v>1.1289622231871473E-2</v>
      </c>
      <c r="S77" s="151">
        <v>1.1289622231871473E-2</v>
      </c>
      <c r="T77" s="4">
        <v>93</v>
      </c>
      <c r="U77" s="149">
        <v>0</v>
      </c>
      <c r="V77" s="149">
        <v>4.5735000000000001</v>
      </c>
      <c r="W77" s="150">
        <v>1.038</v>
      </c>
      <c r="X77" s="147">
        <v>1.038</v>
      </c>
      <c r="Y77" s="147">
        <v>5.6115000000000004</v>
      </c>
      <c r="Z77" s="148">
        <v>0</v>
      </c>
      <c r="AA77" s="148">
        <v>0.22695965890455888</v>
      </c>
      <c r="AB77" s="151">
        <v>0.22695965890455888</v>
      </c>
    </row>
    <row r="78" spans="2:28">
      <c r="B78" s="4">
        <v>94</v>
      </c>
      <c r="C78" s="147">
        <v>0</v>
      </c>
      <c r="D78" s="147">
        <v>4.0890000000000004</v>
      </c>
      <c r="E78" s="1539">
        <v>1.6739999999999999</v>
      </c>
      <c r="F78" s="147">
        <v>1.6739999999999999</v>
      </c>
      <c r="G78" s="147">
        <v>5.7629999999999999</v>
      </c>
      <c r="H78" s="148">
        <v>0</v>
      </c>
      <c r="I78" s="148">
        <v>0.40939104915627289</v>
      </c>
      <c r="J78" s="148">
        <v>0.40939104915627289</v>
      </c>
      <c r="K78" s="4">
        <v>94</v>
      </c>
      <c r="L78" s="147">
        <v>0</v>
      </c>
      <c r="M78" s="147">
        <v>4.3479999999999999</v>
      </c>
      <c r="N78" s="147">
        <v>4.2000000000000003E-2</v>
      </c>
      <c r="O78" s="147">
        <v>4.2000000000000003E-2</v>
      </c>
      <c r="P78" s="147">
        <v>4.3899999999999997</v>
      </c>
      <c r="Q78" s="148">
        <v>0</v>
      </c>
      <c r="R78" s="148">
        <v>9.659613615455382E-3</v>
      </c>
      <c r="S78" s="151">
        <v>9.659613615455382E-3</v>
      </c>
      <c r="T78" s="4">
        <v>94</v>
      </c>
      <c r="U78" s="149">
        <v>0</v>
      </c>
      <c r="V78" s="149">
        <v>4.3260000000000005</v>
      </c>
      <c r="W78" s="150">
        <v>0.9405</v>
      </c>
      <c r="X78" s="147">
        <v>0.9405</v>
      </c>
      <c r="Y78" s="147">
        <v>5.2665000000000006</v>
      </c>
      <c r="Z78" s="148">
        <v>0</v>
      </c>
      <c r="AA78" s="148">
        <v>0.21740638002773924</v>
      </c>
      <c r="AB78" s="151">
        <v>0.21740638002773924</v>
      </c>
    </row>
    <row r="79" spans="2:28">
      <c r="B79" s="4">
        <v>95</v>
      </c>
      <c r="C79" s="147">
        <v>0</v>
      </c>
      <c r="D79" s="147">
        <v>3.8940000000000001</v>
      </c>
      <c r="E79" s="1539">
        <v>1.528</v>
      </c>
      <c r="F79" s="147">
        <v>1.528</v>
      </c>
      <c r="G79" s="147">
        <v>5.4220000000000006</v>
      </c>
      <c r="H79" s="148">
        <v>0</v>
      </c>
      <c r="I79" s="148">
        <v>0.39239856189008732</v>
      </c>
      <c r="J79" s="148">
        <v>0.39239856189008732</v>
      </c>
      <c r="K79" s="4">
        <v>95</v>
      </c>
      <c r="L79" s="147">
        <v>0</v>
      </c>
      <c r="M79" s="147">
        <v>4.1109999999999998</v>
      </c>
      <c r="N79" s="147">
        <v>3.4000000000000002E-2</v>
      </c>
      <c r="O79" s="147">
        <v>3.4000000000000002E-2</v>
      </c>
      <c r="P79" s="147">
        <v>4.1449999999999996</v>
      </c>
      <c r="Q79" s="148">
        <v>0</v>
      </c>
      <c r="R79" s="148">
        <v>8.2704937971296525E-3</v>
      </c>
      <c r="S79" s="151">
        <v>8.2704937971296525E-3</v>
      </c>
      <c r="T79" s="4">
        <v>95</v>
      </c>
      <c r="U79" s="149">
        <v>0</v>
      </c>
      <c r="V79" s="149">
        <v>4.0999999999999996</v>
      </c>
      <c r="W79" s="150">
        <v>0.85399999999999998</v>
      </c>
      <c r="X79" s="147">
        <v>0.85399999999999998</v>
      </c>
      <c r="Y79" s="147">
        <v>4.9539999999999997</v>
      </c>
      <c r="Z79" s="148">
        <v>0</v>
      </c>
      <c r="AA79" s="148">
        <v>0.20829268292682929</v>
      </c>
      <c r="AB79" s="151">
        <v>0.20829268292682929</v>
      </c>
    </row>
    <row r="80" spans="2:28">
      <c r="B80" s="4">
        <v>96</v>
      </c>
      <c r="C80" s="147">
        <v>0</v>
      </c>
      <c r="D80" s="147">
        <v>3.7189999999999999</v>
      </c>
      <c r="E80" s="1539">
        <v>1.3640000000000001</v>
      </c>
      <c r="F80" s="147">
        <v>1.3640000000000001</v>
      </c>
      <c r="G80" s="147">
        <v>5.0830000000000002</v>
      </c>
      <c r="H80" s="148">
        <v>0</v>
      </c>
      <c r="I80" s="148">
        <v>0.36676525947835442</v>
      </c>
      <c r="J80" s="148">
        <v>0.36676525947835442</v>
      </c>
      <c r="K80" s="4">
        <v>96</v>
      </c>
      <c r="L80" s="147">
        <v>0</v>
      </c>
      <c r="M80" s="147">
        <v>3.8940000000000001</v>
      </c>
      <c r="N80" s="147">
        <v>2.7E-2</v>
      </c>
      <c r="O80" s="147">
        <v>2.7E-2</v>
      </c>
      <c r="P80" s="147">
        <v>3.9210000000000003</v>
      </c>
      <c r="Q80" s="148">
        <v>0</v>
      </c>
      <c r="R80" s="148">
        <v>6.9337442218798144E-3</v>
      </c>
      <c r="S80" s="151">
        <v>6.9337442218798144E-3</v>
      </c>
      <c r="T80" s="4">
        <v>96</v>
      </c>
      <c r="U80" s="149">
        <v>0</v>
      </c>
      <c r="V80" s="149">
        <v>3.8940000000000001</v>
      </c>
      <c r="W80" s="150">
        <v>0.77749999999999997</v>
      </c>
      <c r="X80" s="147">
        <v>0.77749999999999997</v>
      </c>
      <c r="Y80" s="147">
        <v>4.6715</v>
      </c>
      <c r="Z80" s="148">
        <v>0</v>
      </c>
      <c r="AA80" s="148">
        <v>0.19966615305598354</v>
      </c>
      <c r="AB80" s="151">
        <v>0.19966615305598354</v>
      </c>
    </row>
    <row r="81" spans="2:28">
      <c r="B81" s="4">
        <v>97</v>
      </c>
      <c r="C81" s="147">
        <v>0</v>
      </c>
      <c r="D81" s="147">
        <v>3.5619999999999998</v>
      </c>
      <c r="E81" s="1539">
        <v>1.2110000000000001</v>
      </c>
      <c r="F81" s="147">
        <v>1.2110000000000001</v>
      </c>
      <c r="G81" s="147">
        <v>4.7729999999999997</v>
      </c>
      <c r="H81" s="148">
        <v>0</v>
      </c>
      <c r="I81" s="148">
        <v>0.33997754070746777</v>
      </c>
      <c r="J81" s="148">
        <v>0.33997754070746777</v>
      </c>
      <c r="K81" s="4">
        <v>97</v>
      </c>
      <c r="L81" s="147">
        <v>0</v>
      </c>
      <c r="M81" s="147">
        <v>3.6960000000000002</v>
      </c>
      <c r="N81" s="147">
        <v>2.1000000000000001E-2</v>
      </c>
      <c r="O81" s="147">
        <v>2.1000000000000001E-2</v>
      </c>
      <c r="P81" s="147">
        <v>3.7170000000000001</v>
      </c>
      <c r="Q81" s="148">
        <v>0</v>
      </c>
      <c r="R81" s="148">
        <v>5.681818181818182E-3</v>
      </c>
      <c r="S81" s="151">
        <v>5.681818181818182E-3</v>
      </c>
      <c r="T81" s="4">
        <v>97</v>
      </c>
      <c r="U81" s="149">
        <v>0</v>
      </c>
      <c r="V81" s="149">
        <v>3.7075</v>
      </c>
      <c r="W81" s="150">
        <v>0.6925</v>
      </c>
      <c r="X81" s="147">
        <v>0.6925</v>
      </c>
      <c r="Y81" s="147">
        <v>4.4000000000000004</v>
      </c>
      <c r="Z81" s="148">
        <v>0</v>
      </c>
      <c r="AA81" s="148">
        <v>0.18678354686446391</v>
      </c>
      <c r="AB81" s="151">
        <v>0.18678354686446391</v>
      </c>
    </row>
    <row r="82" spans="2:28">
      <c r="B82" s="4">
        <v>98</v>
      </c>
      <c r="C82" s="147">
        <v>0</v>
      </c>
      <c r="D82" s="147">
        <v>3.419</v>
      </c>
      <c r="E82" s="1539">
        <v>1.038</v>
      </c>
      <c r="F82" s="147">
        <v>1.038</v>
      </c>
      <c r="G82" s="147">
        <v>4.4569999999999999</v>
      </c>
      <c r="H82" s="148">
        <v>0</v>
      </c>
      <c r="I82" s="148">
        <v>0.30359754314126941</v>
      </c>
      <c r="J82" s="148">
        <v>0.30359754314126941</v>
      </c>
      <c r="K82" s="4">
        <v>98</v>
      </c>
      <c r="L82" s="147">
        <v>0</v>
      </c>
      <c r="M82" s="147">
        <v>3.5179999999999998</v>
      </c>
      <c r="N82" s="147">
        <v>1.6E-2</v>
      </c>
      <c r="O82" s="147">
        <v>1.6E-2</v>
      </c>
      <c r="P82" s="147">
        <v>3.5339999999999998</v>
      </c>
      <c r="Q82" s="148">
        <v>0</v>
      </c>
      <c r="R82" s="148">
        <v>4.5480386583285964E-3</v>
      </c>
      <c r="S82" s="151">
        <v>4.5480386583285964E-3</v>
      </c>
      <c r="T82" s="4">
        <v>98</v>
      </c>
      <c r="U82" s="149">
        <v>0</v>
      </c>
      <c r="V82" s="149">
        <v>3.54</v>
      </c>
      <c r="W82" s="150">
        <v>0.61350000000000005</v>
      </c>
      <c r="X82" s="147">
        <v>0.61350000000000005</v>
      </c>
      <c r="Y82" s="147">
        <v>4.1535000000000002</v>
      </c>
      <c r="Z82" s="148">
        <v>0</v>
      </c>
      <c r="AA82" s="148">
        <v>0.17330508474576273</v>
      </c>
      <c r="AB82" s="151">
        <v>0.17330508474576273</v>
      </c>
    </row>
    <row r="83" spans="2:28">
      <c r="B83" s="4">
        <v>99</v>
      </c>
      <c r="C83" s="147">
        <v>0</v>
      </c>
      <c r="D83" s="147">
        <v>3.2909999999999999</v>
      </c>
      <c r="E83" s="1539">
        <v>0.84499999999999997</v>
      </c>
      <c r="F83" s="147">
        <v>0.84499999999999997</v>
      </c>
      <c r="G83" s="147">
        <v>4.1360000000000001</v>
      </c>
      <c r="H83" s="148">
        <v>0</v>
      </c>
      <c r="I83" s="148">
        <v>0.25676086295958672</v>
      </c>
      <c r="J83" s="148">
        <v>0.25676086295958672</v>
      </c>
      <c r="K83" s="4">
        <v>99</v>
      </c>
      <c r="L83" s="147">
        <v>0</v>
      </c>
      <c r="M83" s="147">
        <v>3.359</v>
      </c>
      <c r="N83" s="147">
        <v>1.2999999999999999E-2</v>
      </c>
      <c r="O83" s="147">
        <v>1.2999999999999999E-2</v>
      </c>
      <c r="P83" s="147">
        <v>3.3719999999999999</v>
      </c>
      <c r="Q83" s="148">
        <v>0</v>
      </c>
      <c r="R83" s="148">
        <v>3.8701994641262279E-3</v>
      </c>
      <c r="S83" s="151">
        <v>3.8701994641262279E-3</v>
      </c>
      <c r="T83" s="4">
        <v>99</v>
      </c>
      <c r="U83" s="149">
        <v>0</v>
      </c>
      <c r="V83" s="149">
        <v>3.3890000000000002</v>
      </c>
      <c r="W83" s="150">
        <v>0.52549999999999997</v>
      </c>
      <c r="X83" s="147">
        <v>0.52549999999999997</v>
      </c>
      <c r="Y83" s="147">
        <v>3.9145000000000003</v>
      </c>
      <c r="Z83" s="148">
        <v>0</v>
      </c>
      <c r="AA83" s="148">
        <v>0.15506048982000589</v>
      </c>
      <c r="AB83" s="151">
        <v>0.15506048982000589</v>
      </c>
    </row>
    <row r="84" spans="2:28">
      <c r="B84" s="4">
        <v>100</v>
      </c>
      <c r="C84" s="147">
        <v>0</v>
      </c>
      <c r="D84" s="147">
        <v>3.1749999999999998</v>
      </c>
      <c r="E84" s="1539">
        <v>0.67</v>
      </c>
      <c r="F84" s="147">
        <v>0.67</v>
      </c>
      <c r="G84" s="147">
        <v>3.8449999999999998</v>
      </c>
      <c r="H84" s="148">
        <v>0</v>
      </c>
      <c r="I84" s="148">
        <v>0.21102362204724412</v>
      </c>
      <c r="J84" s="148">
        <v>0.21102362204724412</v>
      </c>
      <c r="K84" s="4">
        <v>100</v>
      </c>
      <c r="L84" s="147">
        <v>0</v>
      </c>
      <c r="M84" s="147">
        <v>3.2160000000000002</v>
      </c>
      <c r="N84" s="147">
        <v>0.01</v>
      </c>
      <c r="O84" s="147">
        <v>0.01</v>
      </c>
      <c r="P84" s="147">
        <v>3.226</v>
      </c>
      <c r="Q84" s="148">
        <v>0</v>
      </c>
      <c r="R84" s="148">
        <v>3.1094527363184077E-3</v>
      </c>
      <c r="S84" s="151">
        <v>3.1094527363184077E-3</v>
      </c>
      <c r="T84" s="4">
        <v>100</v>
      </c>
      <c r="U84" s="149">
        <v>0</v>
      </c>
      <c r="V84" s="149">
        <v>3.2534999999999998</v>
      </c>
      <c r="W84" s="150">
        <v>0.42749999999999999</v>
      </c>
      <c r="X84" s="147">
        <v>0.42749999999999999</v>
      </c>
      <c r="Y84" s="147">
        <v>3.681</v>
      </c>
      <c r="Z84" s="148">
        <v>0</v>
      </c>
      <c r="AA84" s="148">
        <v>0.13139695712309821</v>
      </c>
      <c r="AB84" s="151">
        <v>0.13139695712309821</v>
      </c>
    </row>
    <row r="85" spans="2:28">
      <c r="E85" s="1539"/>
    </row>
    <row r="86" spans="2:28">
      <c r="E86" s="1539"/>
    </row>
    <row r="87" spans="2:28">
      <c r="E87" s="1539"/>
    </row>
    <row r="88" spans="2:28">
      <c r="E88" s="1539"/>
    </row>
    <row r="89" spans="2:28">
      <c r="E89" s="1539"/>
    </row>
    <row r="90" spans="2:28">
      <c r="E90" s="1539"/>
    </row>
    <row r="91" spans="2:28">
      <c r="E91" s="1539"/>
    </row>
    <row r="92" spans="2:28">
      <c r="E92" s="1539"/>
    </row>
    <row r="93" spans="2:28">
      <c r="E93" s="1539"/>
    </row>
    <row r="94" spans="2:28">
      <c r="E94" s="1539"/>
    </row>
    <row r="95" spans="2:28">
      <c r="E95" s="1539"/>
    </row>
    <row r="96" spans="2:28">
      <c r="E96" s="1539"/>
    </row>
    <row r="97" spans="5:5">
      <c r="E97" s="1539"/>
    </row>
    <row r="98" spans="5:5">
      <c r="E98" s="1539"/>
    </row>
  </sheetData>
  <mergeCells count="4">
    <mergeCell ref="H2:J2"/>
    <mergeCell ref="Q2:S2"/>
    <mergeCell ref="Z2:AB2"/>
    <mergeCell ref="B2:B3"/>
  </mergeCells>
  <phoneticPr fontId="47" type="noConversion"/>
  <pageMargins left="0.7" right="0.7" top="0.78740157499999996" bottom="0.78740157499999996"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24"/>
  <dimension ref="A2:AB84"/>
  <sheetViews>
    <sheetView topLeftCell="K1" workbookViewId="0">
      <selection activeCell="X1" sqref="X1:AB1048576"/>
    </sheetView>
  </sheetViews>
  <sheetFormatPr baseColWidth="10" defaultColWidth="11.125" defaultRowHeight="14.25"/>
  <cols>
    <col min="1" max="1" width="21" customWidth="1"/>
    <col min="2" max="2" width="6.125" customWidth="1"/>
    <col min="3" max="10" width="11" customWidth="1"/>
    <col min="11" max="11" width="6.125" customWidth="1"/>
    <col min="12" max="21" width="11" customWidth="1"/>
    <col min="22" max="23" width="11.125" bestFit="1" customWidth="1"/>
    <col min="24" max="24" width="11.625" bestFit="1" customWidth="1"/>
    <col min="25" max="26" width="11.125" bestFit="1" customWidth="1"/>
    <col min="27" max="28" width="11" customWidth="1"/>
  </cols>
  <sheetData>
    <row r="2" spans="1:28" s="131" customFormat="1" ht="66" customHeight="1">
      <c r="A2" s="131" t="s">
        <v>171</v>
      </c>
      <c r="B2" s="3755" t="s">
        <v>7</v>
      </c>
      <c r="C2" s="143" t="s">
        <v>0</v>
      </c>
      <c r="D2" s="143" t="s">
        <v>1</v>
      </c>
      <c r="E2" s="143" t="s">
        <v>2</v>
      </c>
      <c r="F2" s="143" t="s">
        <v>1751</v>
      </c>
      <c r="G2" s="143" t="s">
        <v>4</v>
      </c>
      <c r="H2" s="3197" t="s">
        <v>163</v>
      </c>
      <c r="I2" s="3197"/>
      <c r="J2" s="3197"/>
      <c r="K2" s="132"/>
      <c r="L2" s="143" t="s">
        <v>0</v>
      </c>
      <c r="M2" s="143" t="s">
        <v>1</v>
      </c>
      <c r="N2" s="143" t="s">
        <v>2</v>
      </c>
      <c r="O2" s="143" t="s">
        <v>1751</v>
      </c>
      <c r="P2" s="143" t="s">
        <v>4</v>
      </c>
      <c r="Q2" s="3197" t="s">
        <v>164</v>
      </c>
      <c r="R2" s="3197"/>
      <c r="S2" s="3197"/>
      <c r="T2" s="132"/>
      <c r="U2" s="144" t="s">
        <v>0</v>
      </c>
      <c r="V2" s="144" t="s">
        <v>1</v>
      </c>
      <c r="W2" s="144" t="s">
        <v>2</v>
      </c>
      <c r="X2" s="144" t="s">
        <v>1751</v>
      </c>
      <c r="Y2" s="144" t="s">
        <v>4</v>
      </c>
      <c r="Z2" s="3197" t="s">
        <v>1607</v>
      </c>
      <c r="AA2" s="3197"/>
      <c r="AB2" s="3197"/>
    </row>
    <row r="3" spans="1:28" s="2" customFormat="1" ht="13.5">
      <c r="A3" s="61">
        <v>43111</v>
      </c>
      <c r="B3" s="3755"/>
      <c r="C3" s="145" t="s">
        <v>17</v>
      </c>
      <c r="D3" s="145" t="s">
        <v>18</v>
      </c>
      <c r="E3" s="145" t="s">
        <v>24</v>
      </c>
      <c r="F3" s="145" t="s">
        <v>24</v>
      </c>
      <c r="G3" s="145"/>
      <c r="H3" s="145" t="s">
        <v>8</v>
      </c>
      <c r="I3" s="145" t="s">
        <v>9</v>
      </c>
      <c r="J3" s="145" t="s">
        <v>10</v>
      </c>
      <c r="K3" s="145" t="s">
        <v>7</v>
      </c>
      <c r="L3" s="145" t="s">
        <v>19</v>
      </c>
      <c r="M3" s="145" t="s">
        <v>20</v>
      </c>
      <c r="N3" s="145" t="s">
        <v>26</v>
      </c>
      <c r="O3" s="145"/>
      <c r="P3" s="145"/>
      <c r="Q3" s="145" t="s">
        <v>8</v>
      </c>
      <c r="R3" s="145" t="s">
        <v>9</v>
      </c>
      <c r="S3" s="145" t="s">
        <v>10</v>
      </c>
      <c r="T3" s="146" t="s">
        <v>7</v>
      </c>
      <c r="U3" s="146" t="s">
        <v>19</v>
      </c>
      <c r="V3" s="146" t="s">
        <v>20</v>
      </c>
      <c r="W3" s="146" t="s">
        <v>26</v>
      </c>
      <c r="X3" s="146"/>
      <c r="Y3" s="146"/>
      <c r="Z3" s="146" t="s">
        <v>8</v>
      </c>
      <c r="AA3" s="146" t="s">
        <v>9</v>
      </c>
      <c r="AB3" s="146" t="s">
        <v>10</v>
      </c>
    </row>
    <row r="4" spans="1:28">
      <c r="B4" s="51">
        <v>20</v>
      </c>
      <c r="C4" s="1">
        <v>0.27600000000000002</v>
      </c>
      <c r="D4" s="1">
        <v>4.5670000000000002</v>
      </c>
      <c r="E4" s="1">
        <v>0.55500000000000005</v>
      </c>
      <c r="F4" s="1">
        <v>0.55500000000000005</v>
      </c>
      <c r="G4" s="1">
        <v>5.1219999999999999</v>
      </c>
      <c r="H4" s="775">
        <v>6.4320671172220928E-2</v>
      </c>
      <c r="I4" s="775">
        <v>0.12934048007457469</v>
      </c>
      <c r="J4" s="775">
        <v>0.19366115124679562</v>
      </c>
      <c r="K4" s="51">
        <v>20</v>
      </c>
      <c r="L4" s="1">
        <v>0.28799999999999998</v>
      </c>
      <c r="M4" s="1">
        <v>5.3579999999999997</v>
      </c>
      <c r="N4" s="1">
        <v>0.14000000000000001</v>
      </c>
      <c r="O4" s="1">
        <v>0.14000000000000001</v>
      </c>
      <c r="P4" s="1">
        <v>5.4979999999999993</v>
      </c>
      <c r="Q4" s="775">
        <v>5.6804733727810655E-2</v>
      </c>
      <c r="R4" s="775">
        <v>2.761341222879685E-2</v>
      </c>
      <c r="S4" s="775">
        <v>8.4418145956607502E-2</v>
      </c>
      <c r="T4" s="51">
        <v>20</v>
      </c>
      <c r="U4" s="772">
        <f>(L4+C4)/2</f>
        <v>0.28200000000000003</v>
      </c>
      <c r="V4" s="772">
        <f>+(M4+D4)/2</f>
        <v>4.9625000000000004</v>
      </c>
      <c r="W4" s="773">
        <f>(N4+E4)/2</f>
        <v>0.34750000000000003</v>
      </c>
      <c r="X4" s="1">
        <v>0.34750000000000003</v>
      </c>
      <c r="Y4" s="1">
        <v>5.3100000000000005</v>
      </c>
      <c r="Z4" s="775">
        <v>6.0249973293451553E-2</v>
      </c>
      <c r="AA4" s="775">
        <v>7.4244204678987291E-2</v>
      </c>
      <c r="AB4" s="775">
        <v>0.13449417797243884</v>
      </c>
    </row>
    <row r="5" spans="1:28">
      <c r="B5" s="51">
        <v>21</v>
      </c>
      <c r="C5" s="1">
        <v>0.318</v>
      </c>
      <c r="D5" s="1">
        <v>4.7069999999999999</v>
      </c>
      <c r="E5" s="1">
        <v>0.64600000000000002</v>
      </c>
      <c r="F5" s="1">
        <v>0.64600000000000002</v>
      </c>
      <c r="G5" s="1">
        <v>5.3529999999999998</v>
      </c>
      <c r="H5" s="775">
        <v>7.2453861927546132E-2</v>
      </c>
      <c r="I5" s="775">
        <v>0.14718614718614717</v>
      </c>
      <c r="J5" s="775">
        <v>0.2196400091136933</v>
      </c>
      <c r="K5" s="51">
        <v>21</v>
      </c>
      <c r="L5" s="1">
        <v>0.34599999999999997</v>
      </c>
      <c r="M5" s="1">
        <v>5.5190000000000001</v>
      </c>
      <c r="N5" s="1">
        <v>0.16900000000000001</v>
      </c>
      <c r="O5" s="1">
        <v>0.16900000000000001</v>
      </c>
      <c r="P5" s="1">
        <v>5.6879999999999997</v>
      </c>
      <c r="Q5" s="775">
        <v>6.6885752947999227E-2</v>
      </c>
      <c r="R5" s="775">
        <v>3.2669630775178815E-2</v>
      </c>
      <c r="S5" s="775">
        <v>9.9555383723178043E-2</v>
      </c>
      <c r="T5" s="51">
        <v>21</v>
      </c>
      <c r="U5" s="772">
        <f t="shared" ref="U5:U68" si="0">(L5+C5)/2</f>
        <v>0.33199999999999996</v>
      </c>
      <c r="V5" s="772">
        <f t="shared" ref="V5:V68" si="1">+(M5+D5)/2</f>
        <v>5.1129999999999995</v>
      </c>
      <c r="W5" s="773">
        <f t="shared" ref="W5:W68" si="2">(N5+E5)/2</f>
        <v>0.40750000000000003</v>
      </c>
      <c r="X5" s="1">
        <v>0.40750000000000003</v>
      </c>
      <c r="Y5" s="1">
        <v>5.5204999999999993</v>
      </c>
      <c r="Z5" s="775">
        <v>6.9441539426898138E-2</v>
      </c>
      <c r="AA5" s="775">
        <v>8.5233214808617452E-2</v>
      </c>
      <c r="AB5" s="775">
        <v>0.15467475423551558</v>
      </c>
    </row>
    <row r="6" spans="1:28">
      <c r="B6" s="51">
        <v>22</v>
      </c>
      <c r="C6" s="1">
        <v>0.36199999999999999</v>
      </c>
      <c r="D6" s="1">
        <v>4.8490000000000002</v>
      </c>
      <c r="E6" s="1">
        <v>0.74199999999999999</v>
      </c>
      <c r="F6" s="1">
        <v>0.74199999999999999</v>
      </c>
      <c r="G6" s="1">
        <v>5.5910000000000002</v>
      </c>
      <c r="H6" s="775">
        <v>8.0677512814798305E-2</v>
      </c>
      <c r="I6" s="775">
        <v>0.16536661466458658</v>
      </c>
      <c r="J6" s="775">
        <v>0.24604412747938487</v>
      </c>
      <c r="K6" s="51">
        <v>22</v>
      </c>
      <c r="L6" s="1">
        <v>0.4</v>
      </c>
      <c r="M6" s="1">
        <v>5.6840000000000002</v>
      </c>
      <c r="N6" s="1">
        <v>0.19600000000000001</v>
      </c>
      <c r="O6" s="1">
        <v>0.19600000000000001</v>
      </c>
      <c r="P6" s="1">
        <v>5.88</v>
      </c>
      <c r="Q6" s="775">
        <v>7.5700227100681305E-2</v>
      </c>
      <c r="R6" s="775">
        <v>3.7093111279333839E-2</v>
      </c>
      <c r="S6" s="775">
        <v>0.11279333838001515</v>
      </c>
      <c r="T6" s="51">
        <v>22</v>
      </c>
      <c r="U6" s="772">
        <f t="shared" si="0"/>
        <v>0.38100000000000001</v>
      </c>
      <c r="V6" s="772">
        <f t="shared" si="1"/>
        <v>5.2665000000000006</v>
      </c>
      <c r="W6" s="773">
        <f t="shared" si="2"/>
        <v>0.46899999999999997</v>
      </c>
      <c r="X6" s="1">
        <v>0.46899999999999997</v>
      </c>
      <c r="Y6" s="1">
        <v>5.7355000000000009</v>
      </c>
      <c r="Z6" s="775">
        <v>7.7985876573533924E-2</v>
      </c>
      <c r="AA6" s="775">
        <v>9.5998362501279286E-2</v>
      </c>
      <c r="AB6" s="775">
        <v>0.1739842390748132</v>
      </c>
    </row>
    <row r="7" spans="1:28">
      <c r="B7" s="51">
        <v>23</v>
      </c>
      <c r="C7" s="1">
        <v>0.40699999999999997</v>
      </c>
      <c r="D7" s="1">
        <v>4.9950000000000001</v>
      </c>
      <c r="E7" s="1">
        <v>0.84199999999999997</v>
      </c>
      <c r="F7" s="1">
        <v>0.84199999999999997</v>
      </c>
      <c r="G7" s="1">
        <v>5.8369999999999997</v>
      </c>
      <c r="H7" s="775">
        <v>8.8709677419354829E-2</v>
      </c>
      <c r="I7" s="775">
        <v>0.18352223190932868</v>
      </c>
      <c r="J7" s="775">
        <v>0.27223190932868352</v>
      </c>
      <c r="K7" s="51">
        <v>23</v>
      </c>
      <c r="L7" s="1">
        <v>0.44600000000000001</v>
      </c>
      <c r="M7" s="1">
        <v>5.8520000000000003</v>
      </c>
      <c r="N7" s="1">
        <v>0.219</v>
      </c>
      <c r="O7" s="1">
        <v>0.219</v>
      </c>
      <c r="P7" s="1">
        <v>6.0710000000000006</v>
      </c>
      <c r="Q7" s="775">
        <v>8.2500924898261177E-2</v>
      </c>
      <c r="R7" s="775">
        <v>4.0510543840177576E-2</v>
      </c>
      <c r="S7" s="775">
        <v>0.12301146873843875</v>
      </c>
      <c r="T7" s="51">
        <v>23</v>
      </c>
      <c r="U7" s="772">
        <f t="shared" si="0"/>
        <v>0.42649999999999999</v>
      </c>
      <c r="V7" s="772">
        <f t="shared" si="1"/>
        <v>5.4235000000000007</v>
      </c>
      <c r="W7" s="773">
        <f t="shared" si="2"/>
        <v>0.53049999999999997</v>
      </c>
      <c r="X7" s="1">
        <v>0.53049999999999997</v>
      </c>
      <c r="Y7" s="1">
        <v>5.9540000000000006</v>
      </c>
      <c r="Z7" s="775">
        <v>8.5351210726435853E-2</v>
      </c>
      <c r="AA7" s="775">
        <v>0.10616369821893133</v>
      </c>
      <c r="AB7" s="775">
        <v>0.19151490894536718</v>
      </c>
    </row>
    <row r="8" spans="1:28">
      <c r="B8" s="51">
        <v>24</v>
      </c>
      <c r="C8" s="1">
        <v>0.44800000000000001</v>
      </c>
      <c r="D8" s="1">
        <v>5.1449999999999996</v>
      </c>
      <c r="E8" s="1">
        <v>0.93500000000000005</v>
      </c>
      <c r="F8" s="1">
        <v>0.93500000000000005</v>
      </c>
      <c r="G8" s="1">
        <v>6.08</v>
      </c>
      <c r="H8" s="775">
        <v>9.5380029806259328E-2</v>
      </c>
      <c r="I8" s="775">
        <v>0.19906323185011715</v>
      </c>
      <c r="J8" s="775">
        <v>0.29444326165637646</v>
      </c>
      <c r="K8" s="51">
        <v>24</v>
      </c>
      <c r="L8" s="1">
        <v>0.48699999999999999</v>
      </c>
      <c r="M8" s="1">
        <v>6.0250000000000004</v>
      </c>
      <c r="N8" s="1">
        <v>0.24</v>
      </c>
      <c r="O8" s="1">
        <v>0.24</v>
      </c>
      <c r="P8" s="1">
        <v>6.2650000000000006</v>
      </c>
      <c r="Q8" s="775">
        <v>8.7937883712531598E-2</v>
      </c>
      <c r="R8" s="775">
        <v>4.3336944745395449E-2</v>
      </c>
      <c r="S8" s="775">
        <v>0.13127482845792704</v>
      </c>
      <c r="T8" s="51">
        <v>24</v>
      </c>
      <c r="U8" s="772">
        <f t="shared" si="0"/>
        <v>0.46750000000000003</v>
      </c>
      <c r="V8" s="772">
        <f t="shared" si="1"/>
        <v>5.585</v>
      </c>
      <c r="W8" s="773">
        <f t="shared" si="2"/>
        <v>0.58750000000000002</v>
      </c>
      <c r="X8" s="1">
        <v>0.58750000000000002</v>
      </c>
      <c r="Y8" s="1">
        <v>6.1725000000000003</v>
      </c>
      <c r="Z8" s="775">
        <v>9.1353199804592097E-2</v>
      </c>
      <c r="AA8" s="775">
        <v>0.11480214948705424</v>
      </c>
      <c r="AB8" s="775">
        <v>0.20615534929164633</v>
      </c>
    </row>
    <row r="9" spans="1:28">
      <c r="B9" s="51">
        <v>25</v>
      </c>
      <c r="C9" s="1">
        <v>0.48299999999999998</v>
      </c>
      <c r="D9" s="1">
        <v>5.2969999999999997</v>
      </c>
      <c r="E9" s="1">
        <v>1.0209999999999999</v>
      </c>
      <c r="F9" s="1">
        <v>1.0209999999999999</v>
      </c>
      <c r="G9" s="1">
        <v>6.3179999999999996</v>
      </c>
      <c r="H9" s="775">
        <v>0.10033236393851266</v>
      </c>
      <c r="I9" s="775">
        <v>0.21208973826339839</v>
      </c>
      <c r="J9" s="775">
        <v>0.31242210220191102</v>
      </c>
      <c r="K9" s="51">
        <v>25</v>
      </c>
      <c r="L9" s="1">
        <v>0.52700000000000002</v>
      </c>
      <c r="M9" s="1">
        <v>6.202</v>
      </c>
      <c r="N9" s="1">
        <v>0.26100000000000001</v>
      </c>
      <c r="O9" s="1">
        <v>0.26100000000000001</v>
      </c>
      <c r="P9" s="1">
        <v>6.4630000000000001</v>
      </c>
      <c r="Q9" s="775">
        <v>9.286343612334802E-2</v>
      </c>
      <c r="R9" s="775">
        <v>4.5991189427312777E-2</v>
      </c>
      <c r="S9" s="775">
        <v>0.1388546255506608</v>
      </c>
      <c r="T9" s="51">
        <v>25</v>
      </c>
      <c r="U9" s="772">
        <f t="shared" si="0"/>
        <v>0.505</v>
      </c>
      <c r="V9" s="772">
        <f t="shared" si="1"/>
        <v>5.7494999999999994</v>
      </c>
      <c r="W9" s="773">
        <f t="shared" si="2"/>
        <v>0.64100000000000001</v>
      </c>
      <c r="X9" s="1">
        <v>0.64100000000000001</v>
      </c>
      <c r="Y9" s="1">
        <v>6.3904999999999994</v>
      </c>
      <c r="Z9" s="775">
        <v>9.6291352845838507E-2</v>
      </c>
      <c r="AA9" s="775">
        <v>0.12222328153303462</v>
      </c>
      <c r="AB9" s="775">
        <v>0.21851463437887314</v>
      </c>
    </row>
    <row r="10" spans="1:28">
      <c r="B10" s="51">
        <v>26</v>
      </c>
      <c r="C10" s="1">
        <v>0.51600000000000001</v>
      </c>
      <c r="D10" s="1">
        <v>5.4539999999999997</v>
      </c>
      <c r="E10" s="1">
        <v>1.103</v>
      </c>
      <c r="F10" s="1">
        <v>1.103</v>
      </c>
      <c r="G10" s="1">
        <v>6.5569999999999995</v>
      </c>
      <c r="H10" s="775">
        <v>0.10449574726609964</v>
      </c>
      <c r="I10" s="775">
        <v>0.2233697853381936</v>
      </c>
      <c r="J10" s="775">
        <v>0.32786553260429324</v>
      </c>
      <c r="K10" s="51">
        <v>26</v>
      </c>
      <c r="L10" s="1">
        <v>0.56699999999999995</v>
      </c>
      <c r="M10" s="1">
        <v>6.383</v>
      </c>
      <c r="N10" s="1">
        <v>0.28299999999999997</v>
      </c>
      <c r="O10" s="1">
        <v>0.28299999999999997</v>
      </c>
      <c r="P10" s="1">
        <v>6.6660000000000004</v>
      </c>
      <c r="Q10" s="775">
        <v>9.7489683631361748E-2</v>
      </c>
      <c r="R10" s="775">
        <v>4.8658872077028882E-2</v>
      </c>
      <c r="S10" s="775">
        <v>0.14614855570839064</v>
      </c>
      <c r="T10" s="51">
        <v>26</v>
      </c>
      <c r="U10" s="772">
        <f t="shared" si="0"/>
        <v>0.54149999999999998</v>
      </c>
      <c r="V10" s="772">
        <f t="shared" si="1"/>
        <v>5.9184999999999999</v>
      </c>
      <c r="W10" s="773">
        <f t="shared" si="2"/>
        <v>0.69299999999999995</v>
      </c>
      <c r="X10" s="1">
        <v>0.69299999999999995</v>
      </c>
      <c r="Y10" s="1">
        <v>6.6114999999999995</v>
      </c>
      <c r="Z10" s="775">
        <v>0.10070671378091872</v>
      </c>
      <c r="AA10" s="775">
        <v>0.1288822763622838</v>
      </c>
      <c r="AB10" s="775">
        <v>0.22958899014320253</v>
      </c>
    </row>
    <row r="11" spans="1:28">
      <c r="B11" s="51">
        <v>27</v>
      </c>
      <c r="C11" s="1">
        <v>0.54500000000000004</v>
      </c>
      <c r="D11" s="1">
        <v>5.6139999999999999</v>
      </c>
      <c r="E11" s="1">
        <v>1.181</v>
      </c>
      <c r="F11" s="1">
        <v>1.181</v>
      </c>
      <c r="G11" s="1">
        <v>6.7949999999999999</v>
      </c>
      <c r="H11" s="775">
        <v>0.10751627539948709</v>
      </c>
      <c r="I11" s="775">
        <v>0.23298480962714541</v>
      </c>
      <c r="J11" s="775">
        <v>0.34050108502663251</v>
      </c>
      <c r="K11" s="51">
        <v>27</v>
      </c>
      <c r="L11" s="1">
        <v>0.60599999999999998</v>
      </c>
      <c r="M11" s="1">
        <v>6.5670000000000002</v>
      </c>
      <c r="N11" s="1">
        <v>0.30399999999999999</v>
      </c>
      <c r="O11" s="1">
        <v>0.30399999999999999</v>
      </c>
      <c r="P11" s="1">
        <v>6.8710000000000004</v>
      </c>
      <c r="Q11" s="775">
        <v>0.10166079516859587</v>
      </c>
      <c r="R11" s="775">
        <v>5.099815467203489E-2</v>
      </c>
      <c r="S11" s="775">
        <v>0.15265894984063078</v>
      </c>
      <c r="T11" s="51">
        <v>27</v>
      </c>
      <c r="U11" s="772">
        <f t="shared" si="0"/>
        <v>0.57550000000000001</v>
      </c>
      <c r="V11" s="772">
        <f t="shared" si="1"/>
        <v>6.0905000000000005</v>
      </c>
      <c r="W11" s="773">
        <f t="shared" si="2"/>
        <v>0.74250000000000005</v>
      </c>
      <c r="X11" s="1">
        <v>0.74250000000000005</v>
      </c>
      <c r="Y11" s="1">
        <v>6.8330000000000002</v>
      </c>
      <c r="Z11" s="775">
        <v>0.10435176790571168</v>
      </c>
      <c r="AA11" s="775">
        <v>0.13463281958295556</v>
      </c>
      <c r="AB11" s="775">
        <v>0.23898458748866724</v>
      </c>
    </row>
    <row r="12" spans="1:28">
      <c r="B12" s="51">
        <v>28</v>
      </c>
      <c r="C12" s="1">
        <v>0.57299999999999995</v>
      </c>
      <c r="D12" s="1">
        <v>5.7770000000000001</v>
      </c>
      <c r="E12" s="1">
        <v>1.258</v>
      </c>
      <c r="F12" s="1">
        <v>1.258</v>
      </c>
      <c r="G12" s="1">
        <v>7.0350000000000001</v>
      </c>
      <c r="H12" s="775">
        <v>0.11010760953112987</v>
      </c>
      <c r="I12" s="775">
        <v>0.24173712528823979</v>
      </c>
      <c r="J12" s="775">
        <v>0.35184473481936968</v>
      </c>
      <c r="K12" s="51">
        <v>28</v>
      </c>
      <c r="L12" s="1">
        <v>0.64300000000000002</v>
      </c>
      <c r="M12" s="1">
        <v>6.7549999999999999</v>
      </c>
      <c r="N12" s="1">
        <v>0.32500000000000001</v>
      </c>
      <c r="O12" s="1">
        <v>0.32500000000000001</v>
      </c>
      <c r="P12" s="1">
        <v>7.08</v>
      </c>
      <c r="Q12" s="775">
        <v>0.10520287958115183</v>
      </c>
      <c r="R12" s="775">
        <v>5.3174083769633507E-2</v>
      </c>
      <c r="S12" s="775">
        <v>0.15837696335078533</v>
      </c>
      <c r="T12" s="51">
        <v>28</v>
      </c>
      <c r="U12" s="772">
        <f t="shared" si="0"/>
        <v>0.60799999999999998</v>
      </c>
      <c r="V12" s="772">
        <f t="shared" si="1"/>
        <v>6.266</v>
      </c>
      <c r="W12" s="773">
        <f t="shared" si="2"/>
        <v>0.79149999999999998</v>
      </c>
      <c r="X12" s="1">
        <v>0.79149999999999998</v>
      </c>
      <c r="Y12" s="1">
        <v>7.0575000000000001</v>
      </c>
      <c r="Z12" s="775">
        <v>0.1074584658890067</v>
      </c>
      <c r="AA12" s="775">
        <v>0.13989042064333684</v>
      </c>
      <c r="AB12" s="775">
        <v>0.24734888653234355</v>
      </c>
    </row>
    <row r="13" spans="1:28">
      <c r="B13" s="51">
        <v>29</v>
      </c>
      <c r="C13" s="1">
        <v>0.59799999999999998</v>
      </c>
      <c r="D13" s="1">
        <v>5.9450000000000003</v>
      </c>
      <c r="E13" s="1">
        <v>1.3340000000000001</v>
      </c>
      <c r="F13" s="1">
        <v>1.3340000000000001</v>
      </c>
      <c r="G13" s="1">
        <v>7.2789999999999999</v>
      </c>
      <c r="H13" s="775">
        <v>0.11183841406396108</v>
      </c>
      <c r="I13" s="775">
        <v>0.24948569291191322</v>
      </c>
      <c r="J13" s="775">
        <v>0.3613241069758743</v>
      </c>
      <c r="K13" s="51">
        <v>29</v>
      </c>
      <c r="L13" s="1">
        <v>0.67800000000000005</v>
      </c>
      <c r="M13" s="1">
        <v>6.9470000000000001</v>
      </c>
      <c r="N13" s="1">
        <v>0.34599999999999997</v>
      </c>
      <c r="O13" s="1">
        <v>0.34599999999999997</v>
      </c>
      <c r="P13" s="1">
        <v>7.2930000000000001</v>
      </c>
      <c r="Q13" s="775">
        <v>0.10815122029031744</v>
      </c>
      <c r="R13" s="775">
        <v>5.5192215664380276E-2</v>
      </c>
      <c r="S13" s="775">
        <v>0.16334343595469772</v>
      </c>
      <c r="T13" s="51">
        <v>29</v>
      </c>
      <c r="U13" s="772">
        <f t="shared" si="0"/>
        <v>0.63800000000000001</v>
      </c>
      <c r="V13" s="772">
        <f t="shared" si="1"/>
        <v>6.4459999999999997</v>
      </c>
      <c r="W13" s="773">
        <f t="shared" si="2"/>
        <v>0.84000000000000008</v>
      </c>
      <c r="X13" s="1">
        <v>0.84000000000000008</v>
      </c>
      <c r="Y13" s="1">
        <v>7.2859999999999996</v>
      </c>
      <c r="Z13" s="775">
        <v>0.10984848484848485</v>
      </c>
      <c r="AA13" s="775">
        <v>0.14462809917355374</v>
      </c>
      <c r="AB13" s="775">
        <v>0.2544765840220386</v>
      </c>
    </row>
    <row r="14" spans="1:28">
      <c r="B14" s="51">
        <v>30</v>
      </c>
      <c r="C14" s="1">
        <v>0.622</v>
      </c>
      <c r="D14" s="1">
        <v>6.1159999999999997</v>
      </c>
      <c r="E14" s="1">
        <v>1.4079999999999999</v>
      </c>
      <c r="F14" s="1">
        <v>1.4079999999999999</v>
      </c>
      <c r="G14" s="1">
        <v>7.5239999999999991</v>
      </c>
      <c r="H14" s="775">
        <v>0.11321441572624683</v>
      </c>
      <c r="I14" s="775">
        <v>0.25627957772115034</v>
      </c>
      <c r="J14" s="775">
        <v>0.3694939934473972</v>
      </c>
      <c r="K14" s="51">
        <v>30</v>
      </c>
      <c r="L14" s="1">
        <v>0.71099999999999997</v>
      </c>
      <c r="M14" s="1">
        <v>7.1429999999999998</v>
      </c>
      <c r="N14" s="1">
        <v>0.36599999999999999</v>
      </c>
      <c r="O14" s="1">
        <v>0.36599999999999999</v>
      </c>
      <c r="P14" s="1">
        <v>7.5089999999999995</v>
      </c>
      <c r="Q14" s="775">
        <v>0.11054104477611941</v>
      </c>
      <c r="R14" s="775">
        <v>5.690298507462687E-2</v>
      </c>
      <c r="S14" s="775">
        <v>0.16744402985074627</v>
      </c>
      <c r="T14" s="51">
        <v>30</v>
      </c>
      <c r="U14" s="772">
        <f t="shared" si="0"/>
        <v>0.66649999999999998</v>
      </c>
      <c r="V14" s="772">
        <f t="shared" si="1"/>
        <v>6.6295000000000002</v>
      </c>
      <c r="W14" s="773">
        <f t="shared" si="2"/>
        <v>0.88700000000000001</v>
      </c>
      <c r="X14" s="1">
        <v>0.88700000000000001</v>
      </c>
      <c r="Y14" s="1">
        <v>7.5165000000000006</v>
      </c>
      <c r="Z14" s="775">
        <v>0.11177259768572866</v>
      </c>
      <c r="AA14" s="775">
        <v>0.14875062887808149</v>
      </c>
      <c r="AB14" s="775">
        <v>0.26052322656381016</v>
      </c>
    </row>
    <row r="15" spans="1:28">
      <c r="B15" s="51">
        <v>31</v>
      </c>
      <c r="C15" s="1">
        <v>0.64400000000000002</v>
      </c>
      <c r="D15" s="1">
        <v>6.2919999999999998</v>
      </c>
      <c r="E15" s="1">
        <v>1.482</v>
      </c>
      <c r="F15" s="1">
        <v>1.482</v>
      </c>
      <c r="G15" s="1">
        <v>7.774</v>
      </c>
      <c r="H15" s="775">
        <v>0.11402266288951843</v>
      </c>
      <c r="I15" s="775">
        <v>0.26239376770538247</v>
      </c>
      <c r="J15" s="775">
        <v>0.37641643059490093</v>
      </c>
      <c r="K15" s="51">
        <v>31</v>
      </c>
      <c r="L15" s="1">
        <v>0.74199999999999999</v>
      </c>
      <c r="M15" s="1">
        <v>7.343</v>
      </c>
      <c r="N15" s="1">
        <v>0.38500000000000001</v>
      </c>
      <c r="O15" s="1">
        <v>0.38500000000000001</v>
      </c>
      <c r="P15" s="1">
        <v>7.7279999999999998</v>
      </c>
      <c r="Q15" s="775">
        <v>0.11240721102863202</v>
      </c>
      <c r="R15" s="775">
        <v>5.8324496288441149E-2</v>
      </c>
      <c r="S15" s="775">
        <v>0.17073170731707316</v>
      </c>
      <c r="T15" s="51">
        <v>31</v>
      </c>
      <c r="U15" s="772">
        <f t="shared" si="0"/>
        <v>0.69300000000000006</v>
      </c>
      <c r="V15" s="772">
        <f t="shared" si="1"/>
        <v>6.8174999999999999</v>
      </c>
      <c r="W15" s="773">
        <f t="shared" si="2"/>
        <v>0.9335</v>
      </c>
      <c r="X15" s="1">
        <v>0.9335</v>
      </c>
      <c r="Y15" s="1">
        <v>7.7509999999999994</v>
      </c>
      <c r="Z15" s="775">
        <v>0.11315209404849377</v>
      </c>
      <c r="AA15" s="775">
        <v>0.15242060576373584</v>
      </c>
      <c r="AB15" s="775">
        <v>0.26557269981222964</v>
      </c>
    </row>
    <row r="16" spans="1:28">
      <c r="B16" s="51">
        <v>32</v>
      </c>
      <c r="C16" s="1">
        <v>0.66500000000000004</v>
      </c>
      <c r="D16" s="1">
        <v>6.4720000000000004</v>
      </c>
      <c r="E16" s="1">
        <v>1.556</v>
      </c>
      <c r="F16" s="1">
        <v>1.556</v>
      </c>
      <c r="G16" s="1">
        <v>8.0280000000000005</v>
      </c>
      <c r="H16" s="775">
        <v>0.11451696228689512</v>
      </c>
      <c r="I16" s="775">
        <v>0.26795247115550197</v>
      </c>
      <c r="J16" s="775">
        <v>0.38246943344239709</v>
      </c>
      <c r="K16" s="51">
        <v>32</v>
      </c>
      <c r="L16" s="1">
        <v>0.77100000000000002</v>
      </c>
      <c r="M16" s="1">
        <v>7.5460000000000003</v>
      </c>
      <c r="N16" s="1">
        <v>0.40400000000000003</v>
      </c>
      <c r="O16" s="1">
        <v>0.40400000000000003</v>
      </c>
      <c r="P16" s="1">
        <v>7.95</v>
      </c>
      <c r="Q16" s="775">
        <v>0.11380073800738007</v>
      </c>
      <c r="R16" s="775">
        <v>5.9630996309963102E-2</v>
      </c>
      <c r="S16" s="775">
        <v>0.17343173431734316</v>
      </c>
      <c r="T16" s="51">
        <v>32</v>
      </c>
      <c r="U16" s="772">
        <f t="shared" si="0"/>
        <v>0.71799999999999997</v>
      </c>
      <c r="V16" s="772">
        <f t="shared" si="1"/>
        <v>7.0090000000000003</v>
      </c>
      <c r="W16" s="773">
        <f t="shared" si="2"/>
        <v>0.98</v>
      </c>
      <c r="X16" s="1">
        <v>0.98</v>
      </c>
      <c r="Y16" s="1">
        <v>7.9890000000000008</v>
      </c>
      <c r="Z16" s="775">
        <v>0.11413129868065489</v>
      </c>
      <c r="AA16" s="775">
        <v>0.15577809569225878</v>
      </c>
      <c r="AB16" s="775">
        <v>0.26990939437291367</v>
      </c>
    </row>
    <row r="17" spans="2:28">
      <c r="B17" s="51">
        <v>33</v>
      </c>
      <c r="C17" s="1">
        <v>0.68500000000000005</v>
      </c>
      <c r="D17" s="1">
        <v>6.657</v>
      </c>
      <c r="E17" s="1">
        <v>1.63</v>
      </c>
      <c r="F17" s="1">
        <v>1.63</v>
      </c>
      <c r="G17" s="1">
        <v>8.286999999999999</v>
      </c>
      <c r="H17" s="775">
        <v>0.11470194239785668</v>
      </c>
      <c r="I17" s="775">
        <v>0.27294038847957136</v>
      </c>
      <c r="J17" s="775">
        <v>0.38764233087742805</v>
      </c>
      <c r="K17" s="51">
        <v>33</v>
      </c>
      <c r="L17" s="1">
        <v>0.79600000000000004</v>
      </c>
      <c r="M17" s="1">
        <v>7.7549999999999999</v>
      </c>
      <c r="N17" s="1">
        <v>0.42199999999999999</v>
      </c>
      <c r="O17" s="1">
        <v>0.42199999999999999</v>
      </c>
      <c r="P17" s="1">
        <v>8.1769999999999996</v>
      </c>
      <c r="Q17" s="775">
        <v>0.11438425061071994</v>
      </c>
      <c r="R17" s="775">
        <v>6.0640896680557554E-2</v>
      </c>
      <c r="S17" s="775">
        <v>0.17502514729127749</v>
      </c>
      <c r="T17" s="51">
        <v>33</v>
      </c>
      <c r="U17" s="772">
        <f t="shared" si="0"/>
        <v>0.74050000000000005</v>
      </c>
      <c r="V17" s="772">
        <f t="shared" si="1"/>
        <v>7.2059999999999995</v>
      </c>
      <c r="W17" s="773">
        <f t="shared" si="2"/>
        <v>1.026</v>
      </c>
      <c r="X17" s="1">
        <v>1.026</v>
      </c>
      <c r="Y17" s="1">
        <v>8.2319999999999993</v>
      </c>
      <c r="Z17" s="775">
        <v>0.11453097208259223</v>
      </c>
      <c r="AA17" s="775">
        <v>0.15868842316912846</v>
      </c>
      <c r="AB17" s="775">
        <v>0.27321939525172068</v>
      </c>
    </row>
    <row r="18" spans="2:28">
      <c r="B18" s="51">
        <v>34</v>
      </c>
      <c r="C18" s="1">
        <v>0.70299999999999996</v>
      </c>
      <c r="D18" s="1">
        <v>6.8470000000000004</v>
      </c>
      <c r="E18" s="1">
        <v>1.704</v>
      </c>
      <c r="F18" s="1">
        <v>1.704</v>
      </c>
      <c r="G18" s="1">
        <v>8.5510000000000002</v>
      </c>
      <c r="H18" s="775">
        <v>0.11442057291666666</v>
      </c>
      <c r="I18" s="775">
        <v>0.27734375</v>
      </c>
      <c r="J18" s="775">
        <v>0.39176432291666663</v>
      </c>
      <c r="K18" s="51">
        <v>34</v>
      </c>
      <c r="L18" s="1">
        <v>0.81899999999999995</v>
      </c>
      <c r="M18" s="1">
        <v>7.9669999999999996</v>
      </c>
      <c r="N18" s="1">
        <v>0.44</v>
      </c>
      <c r="O18" s="1">
        <v>0.44</v>
      </c>
      <c r="P18" s="1">
        <v>8.407</v>
      </c>
      <c r="Q18" s="775">
        <v>0.11457750419697818</v>
      </c>
      <c r="R18" s="775">
        <v>6.155567991046447E-2</v>
      </c>
      <c r="S18" s="775">
        <v>0.17613318410744266</v>
      </c>
      <c r="T18" s="51">
        <v>34</v>
      </c>
      <c r="U18" s="772">
        <f t="shared" si="0"/>
        <v>0.7609999999999999</v>
      </c>
      <c r="V18" s="772">
        <f t="shared" si="1"/>
        <v>7.407</v>
      </c>
      <c r="W18" s="773">
        <f t="shared" si="2"/>
        <v>1.0720000000000001</v>
      </c>
      <c r="X18" s="1">
        <v>1.0720000000000001</v>
      </c>
      <c r="Y18" s="1">
        <v>8.4789999999999992</v>
      </c>
      <c r="Z18" s="775">
        <v>0.11450496539271741</v>
      </c>
      <c r="AA18" s="775">
        <v>0.16130003009328922</v>
      </c>
      <c r="AB18" s="775">
        <v>0.27580499548600662</v>
      </c>
    </row>
    <row r="19" spans="2:28">
      <c r="B19" s="51">
        <v>35</v>
      </c>
      <c r="C19" s="1">
        <v>0.71899999999999997</v>
      </c>
      <c r="D19" s="1">
        <v>7.0410000000000004</v>
      </c>
      <c r="E19" s="1">
        <v>1.778</v>
      </c>
      <c r="F19" s="1">
        <v>1.778</v>
      </c>
      <c r="G19" s="1">
        <v>8.8190000000000008</v>
      </c>
      <c r="H19" s="775">
        <v>0.11372983233154065</v>
      </c>
      <c r="I19" s="775">
        <v>0.28124011388801012</v>
      </c>
      <c r="J19" s="775">
        <v>0.39496994621955078</v>
      </c>
      <c r="K19" s="51">
        <v>35</v>
      </c>
      <c r="L19" s="1">
        <v>0.83799999999999997</v>
      </c>
      <c r="M19" s="1">
        <v>8.1829999999999998</v>
      </c>
      <c r="N19" s="1">
        <v>0.45800000000000002</v>
      </c>
      <c r="O19" s="1">
        <v>0.45800000000000002</v>
      </c>
      <c r="P19" s="1">
        <v>8.641</v>
      </c>
      <c r="Q19" s="775">
        <v>0.11409121851599728</v>
      </c>
      <c r="R19" s="775">
        <v>6.2355343771272977E-2</v>
      </c>
      <c r="S19" s="775">
        <v>0.17644656228727026</v>
      </c>
      <c r="T19" s="51">
        <v>35</v>
      </c>
      <c r="U19" s="772">
        <f t="shared" si="0"/>
        <v>0.77849999999999997</v>
      </c>
      <c r="V19" s="772">
        <f t="shared" si="1"/>
        <v>7.6120000000000001</v>
      </c>
      <c r="W19" s="773">
        <f t="shared" si="2"/>
        <v>1.1180000000000001</v>
      </c>
      <c r="X19" s="1">
        <v>1.1180000000000001</v>
      </c>
      <c r="Y19" s="1">
        <v>8.73</v>
      </c>
      <c r="Z19" s="775">
        <v>0.11392405063291139</v>
      </c>
      <c r="AA19" s="775">
        <v>0.1636057657130314</v>
      </c>
      <c r="AB19" s="775">
        <v>0.27752981634594276</v>
      </c>
    </row>
    <row r="20" spans="2:28">
      <c r="B20" s="51">
        <v>36</v>
      </c>
      <c r="C20" s="1">
        <v>0.73099999999999998</v>
      </c>
      <c r="D20" s="1">
        <v>7.2380000000000004</v>
      </c>
      <c r="E20" s="1">
        <v>1.8520000000000001</v>
      </c>
      <c r="F20" s="1">
        <v>1.8520000000000001</v>
      </c>
      <c r="G20" s="1">
        <v>9.09</v>
      </c>
      <c r="H20" s="775">
        <v>0.1123405563239588</v>
      </c>
      <c r="I20" s="775">
        <v>0.28461656677424313</v>
      </c>
      <c r="J20" s="775">
        <v>0.39695712309820191</v>
      </c>
      <c r="K20" s="51">
        <v>36</v>
      </c>
      <c r="L20" s="1">
        <v>0.85199999999999998</v>
      </c>
      <c r="M20" s="1">
        <v>8.4019999999999992</v>
      </c>
      <c r="N20" s="1">
        <v>0.47399999999999998</v>
      </c>
      <c r="O20" s="1">
        <v>0.47399999999999998</v>
      </c>
      <c r="P20" s="1">
        <v>8.8759999999999994</v>
      </c>
      <c r="Q20" s="775">
        <v>0.11284768211920532</v>
      </c>
      <c r="R20" s="775">
        <v>6.2781456953642387E-2</v>
      </c>
      <c r="S20" s="775">
        <v>0.17562913907284772</v>
      </c>
      <c r="T20" s="51">
        <v>36</v>
      </c>
      <c r="U20" s="772">
        <f t="shared" si="0"/>
        <v>0.79149999999999998</v>
      </c>
      <c r="V20" s="772">
        <f t="shared" si="1"/>
        <v>7.82</v>
      </c>
      <c r="W20" s="773">
        <f t="shared" si="2"/>
        <v>1.163</v>
      </c>
      <c r="X20" s="1">
        <v>1.163</v>
      </c>
      <c r="Y20" s="1">
        <v>8.9830000000000005</v>
      </c>
      <c r="Z20" s="775">
        <v>0.11261293305826278</v>
      </c>
      <c r="AA20" s="775">
        <v>0.16546916127196415</v>
      </c>
      <c r="AB20" s="775">
        <v>0.2780820943302269</v>
      </c>
    </row>
    <row r="21" spans="2:28">
      <c r="B21" s="51">
        <v>37</v>
      </c>
      <c r="C21" s="1">
        <v>0.74</v>
      </c>
      <c r="D21" s="1">
        <v>7.4390000000000001</v>
      </c>
      <c r="E21" s="1">
        <v>1.927</v>
      </c>
      <c r="F21" s="1">
        <v>1.927</v>
      </c>
      <c r="G21" s="1">
        <v>9.3659999999999997</v>
      </c>
      <c r="H21" s="775">
        <v>0.11046424839528288</v>
      </c>
      <c r="I21" s="775">
        <v>0.28765487386177041</v>
      </c>
      <c r="J21" s="775">
        <v>0.39811912225705326</v>
      </c>
      <c r="K21" s="51">
        <v>37</v>
      </c>
      <c r="L21" s="1">
        <v>0.86099999999999999</v>
      </c>
      <c r="M21" s="1">
        <v>8.6240000000000006</v>
      </c>
      <c r="N21" s="1">
        <v>0.49</v>
      </c>
      <c r="O21" s="1">
        <v>0.49</v>
      </c>
      <c r="P21" s="1">
        <v>9.1140000000000008</v>
      </c>
      <c r="Q21" s="775">
        <v>0.11091073038773669</v>
      </c>
      <c r="R21" s="775">
        <v>6.3119927862939573E-2</v>
      </c>
      <c r="S21" s="775">
        <v>0.17403065825067626</v>
      </c>
      <c r="T21" s="51">
        <v>37</v>
      </c>
      <c r="U21" s="772">
        <f t="shared" si="0"/>
        <v>0.80049999999999999</v>
      </c>
      <c r="V21" s="772">
        <f t="shared" si="1"/>
        <v>8.0315000000000012</v>
      </c>
      <c r="W21" s="773">
        <f t="shared" si="2"/>
        <v>1.2084999999999999</v>
      </c>
      <c r="X21" s="1">
        <v>1.2084999999999999</v>
      </c>
      <c r="Y21" s="1">
        <v>9.240000000000002</v>
      </c>
      <c r="Z21" s="775">
        <v>0.11070391370488174</v>
      </c>
      <c r="AA21" s="775">
        <v>0.16712764486239795</v>
      </c>
      <c r="AB21" s="775">
        <v>0.2778315585672797</v>
      </c>
    </row>
    <row r="22" spans="2:28">
      <c r="B22" s="51">
        <v>38</v>
      </c>
      <c r="C22" s="1">
        <v>0.74199999999999999</v>
      </c>
      <c r="D22" s="1">
        <v>7.641</v>
      </c>
      <c r="E22" s="1">
        <v>2</v>
      </c>
      <c r="F22" s="1">
        <v>2</v>
      </c>
      <c r="G22" s="1">
        <v>9.641</v>
      </c>
      <c r="H22" s="775">
        <v>0.107551819104218</v>
      </c>
      <c r="I22" s="775">
        <v>0.28989708653428031</v>
      </c>
      <c r="J22" s="775">
        <v>0.39744890563849833</v>
      </c>
      <c r="K22" s="51">
        <v>38</v>
      </c>
      <c r="L22" s="1">
        <v>0.86399999999999999</v>
      </c>
      <c r="M22" s="1">
        <v>8.8480000000000008</v>
      </c>
      <c r="N22" s="1">
        <v>0.505</v>
      </c>
      <c r="O22" s="1">
        <v>0.505</v>
      </c>
      <c r="P22" s="1">
        <v>9.3530000000000015</v>
      </c>
      <c r="Q22" s="775">
        <v>0.10821643286573145</v>
      </c>
      <c r="R22" s="775">
        <v>6.3251503006012011E-2</v>
      </c>
      <c r="S22" s="775">
        <v>0.17146793587174347</v>
      </c>
      <c r="T22" s="51">
        <v>38</v>
      </c>
      <c r="U22" s="772">
        <f t="shared" si="0"/>
        <v>0.80299999999999994</v>
      </c>
      <c r="V22" s="772">
        <f t="shared" si="1"/>
        <v>8.2445000000000004</v>
      </c>
      <c r="W22" s="773">
        <f t="shared" si="2"/>
        <v>1.2524999999999999</v>
      </c>
      <c r="X22" s="1">
        <v>1.2524999999999999</v>
      </c>
      <c r="Y22" s="1">
        <v>9.4969999999999999</v>
      </c>
      <c r="Z22" s="775">
        <v>0.10790835181079082</v>
      </c>
      <c r="AA22" s="775">
        <v>0.16831284015319489</v>
      </c>
      <c r="AB22" s="775">
        <v>0.2762211919639857</v>
      </c>
    </row>
    <row r="23" spans="2:28">
      <c r="B23" s="51">
        <v>39</v>
      </c>
      <c r="C23" s="1">
        <v>0.74</v>
      </c>
      <c r="D23" s="1">
        <v>7.8470000000000004</v>
      </c>
      <c r="E23" s="1">
        <v>2.0739999999999998</v>
      </c>
      <c r="F23" s="1">
        <v>2.0739999999999998</v>
      </c>
      <c r="G23" s="1">
        <v>9.9209999999999994</v>
      </c>
      <c r="H23" s="775">
        <v>0.1041226959335866</v>
      </c>
      <c r="I23" s="775">
        <v>0.29182496130575486</v>
      </c>
      <c r="J23" s="775">
        <v>0.39594765723934144</v>
      </c>
      <c r="K23" s="51">
        <v>39</v>
      </c>
      <c r="L23" s="1">
        <v>0.86</v>
      </c>
      <c r="M23" s="1">
        <v>9.0760000000000005</v>
      </c>
      <c r="N23" s="1">
        <v>0.51900000000000002</v>
      </c>
      <c r="O23" s="1">
        <v>0.51900000000000002</v>
      </c>
      <c r="P23" s="1">
        <v>9.5950000000000006</v>
      </c>
      <c r="Q23" s="775">
        <v>0.10467380720545276</v>
      </c>
      <c r="R23" s="775">
        <v>6.3169425511197655E-2</v>
      </c>
      <c r="S23" s="775">
        <v>0.16784323271665041</v>
      </c>
      <c r="T23" s="51">
        <v>39</v>
      </c>
      <c r="U23" s="772">
        <f t="shared" si="0"/>
        <v>0.8</v>
      </c>
      <c r="V23" s="772">
        <f t="shared" si="1"/>
        <v>8.4615000000000009</v>
      </c>
      <c r="W23" s="773">
        <f t="shared" si="2"/>
        <v>1.2965</v>
      </c>
      <c r="X23" s="1">
        <v>1.2965</v>
      </c>
      <c r="Y23" s="1">
        <v>9.7580000000000009</v>
      </c>
      <c r="Z23" s="775">
        <v>0.10441819487045617</v>
      </c>
      <c r="AA23" s="775">
        <v>0.16922273706193303</v>
      </c>
      <c r="AB23" s="775">
        <v>0.2736409319323892</v>
      </c>
    </row>
    <row r="24" spans="2:28">
      <c r="B24" s="51">
        <v>40</v>
      </c>
      <c r="C24" s="1">
        <v>0.73399999999999999</v>
      </c>
      <c r="D24" s="1">
        <v>8.0570000000000004</v>
      </c>
      <c r="E24" s="1">
        <v>2.149</v>
      </c>
      <c r="F24" s="1">
        <v>2.149</v>
      </c>
      <c r="G24" s="1">
        <v>10.206</v>
      </c>
      <c r="H24" s="775">
        <v>0.10023214529564385</v>
      </c>
      <c r="I24" s="775">
        <v>0.29345896490509354</v>
      </c>
      <c r="J24" s="775">
        <v>0.39369111020073738</v>
      </c>
      <c r="K24" s="51">
        <v>40</v>
      </c>
      <c r="L24" s="1">
        <v>0.85199999999999998</v>
      </c>
      <c r="M24" s="1">
        <v>9.3070000000000004</v>
      </c>
      <c r="N24" s="1">
        <v>0.53200000000000003</v>
      </c>
      <c r="O24" s="1">
        <v>0.53200000000000003</v>
      </c>
      <c r="P24" s="1">
        <v>9.8390000000000004</v>
      </c>
      <c r="Q24" s="775">
        <v>0.10076877587226493</v>
      </c>
      <c r="R24" s="775">
        <v>6.2921348314606745E-2</v>
      </c>
      <c r="S24" s="775">
        <v>0.16369012418687168</v>
      </c>
      <c r="T24" s="51">
        <v>40</v>
      </c>
      <c r="U24" s="772">
        <f t="shared" si="0"/>
        <v>0.79299999999999993</v>
      </c>
      <c r="V24" s="772">
        <f t="shared" si="1"/>
        <v>8.6820000000000004</v>
      </c>
      <c r="W24" s="773">
        <f t="shared" si="2"/>
        <v>1.3405</v>
      </c>
      <c r="X24" s="1">
        <v>1.3405</v>
      </c>
      <c r="Y24" s="1">
        <v>10.022500000000001</v>
      </c>
      <c r="Z24" s="775">
        <v>0.10051971098998605</v>
      </c>
      <c r="AA24" s="775">
        <v>0.16992014196983141</v>
      </c>
      <c r="AB24" s="775">
        <v>0.27043985295981743</v>
      </c>
    </row>
    <row r="25" spans="2:28">
      <c r="B25" s="51">
        <v>41</v>
      </c>
      <c r="C25" s="1">
        <v>0.72599999999999998</v>
      </c>
      <c r="D25" s="1">
        <v>8.2729999999999997</v>
      </c>
      <c r="E25" s="1">
        <v>2.2240000000000002</v>
      </c>
      <c r="F25" s="1">
        <v>2.2240000000000002</v>
      </c>
      <c r="G25" s="1">
        <v>10.497</v>
      </c>
      <c r="H25" s="775">
        <v>9.6197164436199814E-2</v>
      </c>
      <c r="I25" s="775">
        <v>0.29468663044918514</v>
      </c>
      <c r="J25" s="775">
        <v>0.39088379488538494</v>
      </c>
      <c r="K25" s="51">
        <v>41</v>
      </c>
      <c r="L25" s="1">
        <v>0.83899999999999997</v>
      </c>
      <c r="M25" s="1">
        <v>9.5440000000000005</v>
      </c>
      <c r="N25" s="1">
        <v>0.54500000000000004</v>
      </c>
      <c r="O25" s="1">
        <v>0.54500000000000004</v>
      </c>
      <c r="P25" s="1">
        <v>10.089</v>
      </c>
      <c r="Q25" s="775">
        <v>9.6381390005743819E-2</v>
      </c>
      <c r="R25" s="775">
        <v>6.2607696726019527E-2</v>
      </c>
      <c r="S25" s="775">
        <v>0.15898908673176335</v>
      </c>
      <c r="T25" s="51">
        <v>41</v>
      </c>
      <c r="U25" s="772">
        <f t="shared" si="0"/>
        <v>0.78249999999999997</v>
      </c>
      <c r="V25" s="772">
        <f t="shared" si="1"/>
        <v>8.9085000000000001</v>
      </c>
      <c r="W25" s="773">
        <f t="shared" si="2"/>
        <v>1.3845000000000001</v>
      </c>
      <c r="X25" s="1">
        <v>1.3845000000000001</v>
      </c>
      <c r="Y25" s="1">
        <v>10.292999999999999</v>
      </c>
      <c r="Z25" s="775">
        <v>9.6295840511937E-2</v>
      </c>
      <c r="AA25" s="775">
        <v>0.17037903027319717</v>
      </c>
      <c r="AB25" s="775">
        <v>0.26667487078513419</v>
      </c>
    </row>
    <row r="26" spans="2:28">
      <c r="B26" s="51">
        <v>42</v>
      </c>
      <c r="C26" s="1">
        <v>0.71599999999999997</v>
      </c>
      <c r="D26" s="1">
        <v>8.4969999999999999</v>
      </c>
      <c r="E26" s="1">
        <v>2.2999999999999998</v>
      </c>
      <c r="F26" s="1">
        <v>2.2999999999999998</v>
      </c>
      <c r="G26" s="1">
        <v>10.797000000000001</v>
      </c>
      <c r="H26" s="775">
        <v>9.2019020691427839E-2</v>
      </c>
      <c r="I26" s="775">
        <v>0.29559182624341346</v>
      </c>
      <c r="J26" s="775">
        <v>0.38761084693484127</v>
      </c>
      <c r="K26" s="51">
        <v>42</v>
      </c>
      <c r="L26" s="1">
        <v>0.82299999999999995</v>
      </c>
      <c r="M26" s="1">
        <v>9.7870000000000008</v>
      </c>
      <c r="N26" s="1">
        <v>0.55700000000000005</v>
      </c>
      <c r="O26" s="1">
        <v>0.55700000000000005</v>
      </c>
      <c r="P26" s="1">
        <v>10.344000000000001</v>
      </c>
      <c r="Q26" s="775">
        <v>9.1811691209281565E-2</v>
      </c>
      <c r="R26" s="775">
        <v>6.2137438643462745E-2</v>
      </c>
      <c r="S26" s="775">
        <v>0.15394912985274431</v>
      </c>
      <c r="T26" s="51">
        <v>42</v>
      </c>
      <c r="U26" s="772">
        <f t="shared" si="0"/>
        <v>0.76949999999999996</v>
      </c>
      <c r="V26" s="772">
        <f t="shared" si="1"/>
        <v>9.1419999999999995</v>
      </c>
      <c r="W26" s="773">
        <f t="shared" si="2"/>
        <v>1.4284999999999999</v>
      </c>
      <c r="X26" s="1">
        <v>1.4284999999999999</v>
      </c>
      <c r="Y26" s="1">
        <v>10.570499999999999</v>
      </c>
      <c r="Z26" s="775">
        <v>9.1908032248432373E-2</v>
      </c>
      <c r="AA26" s="775">
        <v>0.17061809495371755</v>
      </c>
      <c r="AB26" s="775">
        <v>0.26252612720214991</v>
      </c>
    </row>
    <row r="27" spans="2:28">
      <c r="B27" s="51">
        <v>43</v>
      </c>
      <c r="C27" s="1">
        <v>0.70699999999999996</v>
      </c>
      <c r="D27" s="1">
        <v>8.7279999999999998</v>
      </c>
      <c r="E27" s="1">
        <v>2.3780000000000001</v>
      </c>
      <c r="F27" s="1">
        <v>2.3780000000000001</v>
      </c>
      <c r="G27" s="1">
        <v>11.106</v>
      </c>
      <c r="H27" s="775">
        <v>8.8143622989652171E-2</v>
      </c>
      <c r="I27" s="775">
        <v>0.29647176162573252</v>
      </c>
      <c r="J27" s="775">
        <v>0.38461538461538469</v>
      </c>
      <c r="K27" s="51">
        <v>43</v>
      </c>
      <c r="L27" s="1">
        <v>0.80500000000000005</v>
      </c>
      <c r="M27" s="1">
        <v>10.038</v>
      </c>
      <c r="N27" s="1">
        <v>0.56999999999999995</v>
      </c>
      <c r="O27" s="1">
        <v>0.56999999999999995</v>
      </c>
      <c r="P27" s="1">
        <v>10.608000000000001</v>
      </c>
      <c r="Q27" s="775">
        <v>8.7187263078089466E-2</v>
      </c>
      <c r="R27" s="775">
        <v>6.1735080688833523E-2</v>
      </c>
      <c r="S27" s="775">
        <v>0.14892234376692298</v>
      </c>
      <c r="T27" s="51">
        <v>43</v>
      </c>
      <c r="U27" s="772">
        <f t="shared" si="0"/>
        <v>0.75600000000000001</v>
      </c>
      <c r="V27" s="772">
        <f t="shared" si="1"/>
        <v>9.3829999999999991</v>
      </c>
      <c r="W27" s="773">
        <f t="shared" si="2"/>
        <v>1.474</v>
      </c>
      <c r="X27" s="1">
        <v>1.474</v>
      </c>
      <c r="Y27" s="1">
        <v>10.856999999999999</v>
      </c>
      <c r="Z27" s="775">
        <v>8.7631853483250269E-2</v>
      </c>
      <c r="AA27" s="775">
        <v>0.17085893126231599</v>
      </c>
      <c r="AB27" s="775">
        <v>0.25849078474556625</v>
      </c>
    </row>
    <row r="28" spans="2:28">
      <c r="B28" s="51">
        <v>44</v>
      </c>
      <c r="C28" s="1">
        <v>0.69599999999999995</v>
      </c>
      <c r="D28" s="1">
        <v>8.9689999999999994</v>
      </c>
      <c r="E28" s="1">
        <v>2.456</v>
      </c>
      <c r="F28" s="1">
        <v>2.456</v>
      </c>
      <c r="G28" s="1">
        <v>11.424999999999999</v>
      </c>
      <c r="H28" s="775">
        <v>8.4129094645231467E-2</v>
      </c>
      <c r="I28" s="775">
        <v>0.29686933397800075</v>
      </c>
      <c r="J28" s="775">
        <v>0.38099842862323219</v>
      </c>
      <c r="K28" s="51">
        <v>44</v>
      </c>
      <c r="L28" s="1">
        <v>0.78600000000000003</v>
      </c>
      <c r="M28" s="1">
        <v>10.297000000000001</v>
      </c>
      <c r="N28" s="1">
        <v>0.58199999999999996</v>
      </c>
      <c r="O28" s="1">
        <v>0.58199999999999996</v>
      </c>
      <c r="P28" s="1">
        <v>10.879000000000001</v>
      </c>
      <c r="Q28" s="775">
        <v>8.2641152349910624E-2</v>
      </c>
      <c r="R28" s="775">
        <v>6.1192303648407095E-2</v>
      </c>
      <c r="S28" s="775">
        <v>0.14383345599831771</v>
      </c>
      <c r="T28" s="51">
        <v>44</v>
      </c>
      <c r="U28" s="772">
        <f t="shared" si="0"/>
        <v>0.74099999999999999</v>
      </c>
      <c r="V28" s="772">
        <f t="shared" si="1"/>
        <v>9.6329999999999991</v>
      </c>
      <c r="W28" s="773">
        <f t="shared" si="2"/>
        <v>1.5189999999999999</v>
      </c>
      <c r="X28" s="1">
        <v>1.5189999999999999</v>
      </c>
      <c r="Y28" s="1">
        <v>11.151999999999999</v>
      </c>
      <c r="Z28" s="775">
        <v>8.3333333333333343E-2</v>
      </c>
      <c r="AA28" s="775">
        <v>0.17082771030139451</v>
      </c>
      <c r="AB28" s="775">
        <v>0.25416104363472786</v>
      </c>
    </row>
    <row r="29" spans="2:28">
      <c r="B29" s="51">
        <v>45</v>
      </c>
      <c r="C29" s="1">
        <v>0.68500000000000005</v>
      </c>
      <c r="D29" s="1">
        <v>9.2170000000000005</v>
      </c>
      <c r="E29" s="1">
        <v>2.5350000000000001</v>
      </c>
      <c r="F29" s="1">
        <v>2.5350000000000001</v>
      </c>
      <c r="G29" s="1">
        <v>11.752000000000001</v>
      </c>
      <c r="H29" s="775">
        <v>8.0285982184716373E-2</v>
      </c>
      <c r="I29" s="775">
        <v>0.29711673699015473</v>
      </c>
      <c r="J29" s="775">
        <v>0.37740271917487112</v>
      </c>
      <c r="K29" s="51">
        <v>45</v>
      </c>
      <c r="L29" s="1">
        <v>0.76400000000000001</v>
      </c>
      <c r="M29" s="1">
        <v>10.563000000000001</v>
      </c>
      <c r="N29" s="1">
        <v>0.59399999999999997</v>
      </c>
      <c r="O29" s="1">
        <v>0.59399999999999997</v>
      </c>
      <c r="P29" s="1">
        <v>11.157</v>
      </c>
      <c r="Q29" s="775">
        <v>7.7967139504031016E-2</v>
      </c>
      <c r="R29" s="775">
        <v>6.0618430452086938E-2</v>
      </c>
      <c r="S29" s="775">
        <v>0.13858556995611795</v>
      </c>
      <c r="T29" s="51">
        <v>45</v>
      </c>
      <c r="U29" s="772">
        <f t="shared" si="0"/>
        <v>0.72450000000000003</v>
      </c>
      <c r="V29" s="772">
        <f t="shared" si="1"/>
        <v>9.89</v>
      </c>
      <c r="W29" s="773">
        <f t="shared" si="2"/>
        <v>1.5645</v>
      </c>
      <c r="X29" s="1">
        <v>1.5645</v>
      </c>
      <c r="Y29" s="1">
        <v>11.454500000000001</v>
      </c>
      <c r="Z29" s="775">
        <v>7.9046424090338782E-2</v>
      </c>
      <c r="AA29" s="775">
        <v>0.17069445202116634</v>
      </c>
      <c r="AB29" s="775">
        <v>0.24974087611150514</v>
      </c>
    </row>
    <row r="30" spans="2:28">
      <c r="B30" s="51">
        <v>46</v>
      </c>
      <c r="C30" s="1">
        <v>0.67200000000000004</v>
      </c>
      <c r="D30" s="1">
        <v>9.4749999999999996</v>
      </c>
      <c r="E30" s="1">
        <v>2.613</v>
      </c>
      <c r="F30" s="1">
        <v>2.613</v>
      </c>
      <c r="G30" s="1">
        <v>12.087999999999999</v>
      </c>
      <c r="H30" s="775">
        <v>7.6337612177666714E-2</v>
      </c>
      <c r="I30" s="775">
        <v>0.29683062592298082</v>
      </c>
      <c r="J30" s="775">
        <v>0.37316823810064753</v>
      </c>
      <c r="K30" s="51">
        <v>46</v>
      </c>
      <c r="L30" s="1">
        <v>0.74</v>
      </c>
      <c r="M30" s="1">
        <v>10.839</v>
      </c>
      <c r="N30" s="1">
        <v>0.60599999999999998</v>
      </c>
      <c r="O30" s="1">
        <v>0.60599999999999998</v>
      </c>
      <c r="P30" s="1">
        <v>11.445</v>
      </c>
      <c r="Q30" s="775">
        <v>7.3274581641746703E-2</v>
      </c>
      <c r="R30" s="775">
        <v>6.0005941182295276E-2</v>
      </c>
      <c r="S30" s="775">
        <v>0.13328052282404199</v>
      </c>
      <c r="T30" s="51">
        <v>46</v>
      </c>
      <c r="U30" s="772">
        <f t="shared" si="0"/>
        <v>0.70599999999999996</v>
      </c>
      <c r="V30" s="772">
        <f t="shared" si="1"/>
        <v>10.157</v>
      </c>
      <c r="W30" s="773">
        <f t="shared" si="2"/>
        <v>1.6094999999999999</v>
      </c>
      <c r="X30" s="1">
        <v>1.6094999999999999</v>
      </c>
      <c r="Y30" s="1">
        <v>11.766500000000001</v>
      </c>
      <c r="Z30" s="775">
        <v>7.4701089831763823E-2</v>
      </c>
      <c r="AA30" s="775">
        <v>0.17029943921278171</v>
      </c>
      <c r="AB30" s="775">
        <v>0.24500052904454553</v>
      </c>
    </row>
    <row r="31" spans="2:28">
      <c r="B31" s="51">
        <v>47</v>
      </c>
      <c r="C31" s="1">
        <v>0.65600000000000003</v>
      </c>
      <c r="D31" s="1">
        <v>9.74</v>
      </c>
      <c r="E31" s="1">
        <v>2.69</v>
      </c>
      <c r="F31" s="1">
        <v>2.69</v>
      </c>
      <c r="G31" s="1">
        <v>12.43</v>
      </c>
      <c r="H31" s="775">
        <v>7.2214883311316605E-2</v>
      </c>
      <c r="I31" s="775">
        <v>0.29612505504183179</v>
      </c>
      <c r="J31" s="775">
        <v>0.36833993835314838</v>
      </c>
      <c r="K31" s="51">
        <v>47</v>
      </c>
      <c r="L31" s="1">
        <v>0.71399999999999997</v>
      </c>
      <c r="M31" s="1">
        <v>11.122999999999999</v>
      </c>
      <c r="N31" s="1">
        <v>0.61699999999999999</v>
      </c>
      <c r="O31" s="1">
        <v>0.61699999999999999</v>
      </c>
      <c r="P31" s="1">
        <v>11.739999999999998</v>
      </c>
      <c r="Q31" s="775">
        <v>6.8594485541358441E-2</v>
      </c>
      <c r="R31" s="775">
        <v>5.9275626861369973E-2</v>
      </c>
      <c r="S31" s="775">
        <v>0.12787011240272841</v>
      </c>
      <c r="T31" s="51">
        <v>47</v>
      </c>
      <c r="U31" s="772">
        <f t="shared" si="0"/>
        <v>0.68500000000000005</v>
      </c>
      <c r="V31" s="772">
        <f t="shared" si="1"/>
        <v>10.4315</v>
      </c>
      <c r="W31" s="773">
        <f t="shared" si="2"/>
        <v>1.6535</v>
      </c>
      <c r="X31" s="1">
        <v>1.6535</v>
      </c>
      <c r="Y31" s="1">
        <v>12.084999999999999</v>
      </c>
      <c r="Z31" s="775">
        <v>7.0281639562920037E-2</v>
      </c>
      <c r="AA31" s="775">
        <v>0.16965064382085879</v>
      </c>
      <c r="AB31" s="775">
        <v>0.23993228338377881</v>
      </c>
    </row>
    <row r="32" spans="2:28">
      <c r="B32" s="51">
        <v>48</v>
      </c>
      <c r="C32" s="1">
        <v>0.63700000000000001</v>
      </c>
      <c r="D32" s="1">
        <v>10.015000000000001</v>
      </c>
      <c r="E32" s="1">
        <v>2.7669999999999999</v>
      </c>
      <c r="F32" s="1">
        <v>2.7669999999999999</v>
      </c>
      <c r="G32" s="1">
        <v>12.782</v>
      </c>
      <c r="H32" s="775">
        <v>6.7924930688846238E-2</v>
      </c>
      <c r="I32" s="775">
        <v>0.29505224994668372</v>
      </c>
      <c r="J32" s="775">
        <v>0.36297718063552997</v>
      </c>
      <c r="K32" s="51">
        <v>48</v>
      </c>
      <c r="L32" s="1">
        <v>0.68500000000000005</v>
      </c>
      <c r="M32" s="1">
        <v>11.414999999999999</v>
      </c>
      <c r="N32" s="1">
        <v>0.627</v>
      </c>
      <c r="O32" s="1">
        <v>0.627</v>
      </c>
      <c r="P32" s="1">
        <v>12.042</v>
      </c>
      <c r="Q32" s="775">
        <v>6.3839701770736265E-2</v>
      </c>
      <c r="R32" s="775">
        <v>5.8434296365330853E-2</v>
      </c>
      <c r="S32" s="775">
        <v>0.12227399813606712</v>
      </c>
      <c r="T32" s="51">
        <v>48</v>
      </c>
      <c r="U32" s="772">
        <f t="shared" si="0"/>
        <v>0.66100000000000003</v>
      </c>
      <c r="V32" s="772">
        <f t="shared" si="1"/>
        <v>10.715</v>
      </c>
      <c r="W32" s="773">
        <f t="shared" si="2"/>
        <v>1.6970000000000001</v>
      </c>
      <c r="X32" s="1">
        <v>1.6970000000000001</v>
      </c>
      <c r="Y32" s="1">
        <v>12.411999999999999</v>
      </c>
      <c r="Z32" s="775">
        <v>6.574497712353293E-2</v>
      </c>
      <c r="AA32" s="775">
        <v>0.16878854187388104</v>
      </c>
      <c r="AB32" s="775">
        <v>0.23453351899741398</v>
      </c>
    </row>
    <row r="33" spans="2:28">
      <c r="B33" s="51">
        <v>49</v>
      </c>
      <c r="C33" s="1">
        <v>0.61399999999999999</v>
      </c>
      <c r="D33" s="1">
        <v>10.297000000000001</v>
      </c>
      <c r="E33" s="1">
        <v>2.8410000000000002</v>
      </c>
      <c r="F33" s="1">
        <v>2.8410000000000002</v>
      </c>
      <c r="G33" s="1">
        <v>13.138000000000002</v>
      </c>
      <c r="H33" s="775">
        <v>6.341010017556542E-2</v>
      </c>
      <c r="I33" s="775">
        <v>0.29340080553547454</v>
      </c>
      <c r="J33" s="775">
        <v>0.35681090571103996</v>
      </c>
      <c r="K33" s="51">
        <v>49</v>
      </c>
      <c r="L33" s="1">
        <v>0.65300000000000002</v>
      </c>
      <c r="M33" s="1">
        <v>11.715999999999999</v>
      </c>
      <c r="N33" s="1">
        <v>0.63700000000000001</v>
      </c>
      <c r="O33" s="1">
        <v>0.63700000000000001</v>
      </c>
      <c r="P33" s="1">
        <v>12.353</v>
      </c>
      <c r="Q33" s="775">
        <v>5.9025580764711205E-2</v>
      </c>
      <c r="R33" s="775">
        <v>5.7579318448883671E-2</v>
      </c>
      <c r="S33" s="775">
        <v>0.11660489921359488</v>
      </c>
      <c r="T33" s="51">
        <v>49</v>
      </c>
      <c r="U33" s="772">
        <f t="shared" si="0"/>
        <v>0.63349999999999995</v>
      </c>
      <c r="V33" s="772">
        <f t="shared" si="1"/>
        <v>11.006499999999999</v>
      </c>
      <c r="W33" s="773">
        <f t="shared" si="2"/>
        <v>1.7390000000000001</v>
      </c>
      <c r="X33" s="1">
        <v>1.7390000000000001</v>
      </c>
      <c r="Y33" s="1">
        <v>12.7455</v>
      </c>
      <c r="Z33" s="775">
        <v>6.1072013882194159E-2</v>
      </c>
      <c r="AA33" s="775">
        <v>0.1676467752819821</v>
      </c>
      <c r="AB33" s="775">
        <v>0.22871878916417626</v>
      </c>
    </row>
    <row r="34" spans="2:28">
      <c r="B34" s="51">
        <v>50</v>
      </c>
      <c r="C34" s="1">
        <v>0.58599999999999997</v>
      </c>
      <c r="D34" s="1">
        <v>10.589</v>
      </c>
      <c r="E34" s="1">
        <v>2.9140000000000001</v>
      </c>
      <c r="F34" s="1">
        <v>2.9140000000000001</v>
      </c>
      <c r="G34" s="1">
        <v>13.503</v>
      </c>
      <c r="H34" s="775">
        <v>5.8582425272418269E-2</v>
      </c>
      <c r="I34" s="775">
        <v>0.2913126062181346</v>
      </c>
      <c r="J34" s="775">
        <v>0.34989503149055284</v>
      </c>
      <c r="K34" s="51">
        <v>50</v>
      </c>
      <c r="L34" s="1">
        <v>0.61599999999999999</v>
      </c>
      <c r="M34" s="1">
        <v>12.025</v>
      </c>
      <c r="N34" s="1">
        <v>0.64500000000000002</v>
      </c>
      <c r="O34" s="1">
        <v>0.64500000000000002</v>
      </c>
      <c r="P34" s="1">
        <v>12.67</v>
      </c>
      <c r="Q34" s="775">
        <v>5.3992462091331399E-2</v>
      </c>
      <c r="R34" s="775">
        <v>5.6534315014462266E-2</v>
      </c>
      <c r="S34" s="775">
        <v>0.11052677710579367</v>
      </c>
      <c r="T34" s="51">
        <v>50</v>
      </c>
      <c r="U34" s="772">
        <f t="shared" si="0"/>
        <v>0.60099999999999998</v>
      </c>
      <c r="V34" s="772">
        <f t="shared" si="1"/>
        <v>11.307</v>
      </c>
      <c r="W34" s="773">
        <f t="shared" si="2"/>
        <v>1.7795000000000001</v>
      </c>
      <c r="X34" s="1">
        <v>1.7795000000000001</v>
      </c>
      <c r="Y34" s="1">
        <v>13.086500000000001</v>
      </c>
      <c r="Z34" s="775">
        <v>5.61367457500467E-2</v>
      </c>
      <c r="AA34" s="775">
        <v>0.16621520642630302</v>
      </c>
      <c r="AB34" s="775">
        <v>0.22235195217634973</v>
      </c>
    </row>
    <row r="35" spans="2:28">
      <c r="B35" s="51">
        <v>51</v>
      </c>
      <c r="C35" s="1">
        <v>0.55400000000000005</v>
      </c>
      <c r="D35" s="1">
        <v>10.89</v>
      </c>
      <c r="E35" s="1">
        <v>2.9849999999999999</v>
      </c>
      <c r="F35" s="1">
        <v>2.9849999999999999</v>
      </c>
      <c r="G35" s="1">
        <v>13.875</v>
      </c>
      <c r="H35" s="775">
        <v>5.3599071207430342E-2</v>
      </c>
      <c r="I35" s="775">
        <v>0.28879643962848295</v>
      </c>
      <c r="J35" s="775">
        <v>0.3423955108359133</v>
      </c>
      <c r="K35" s="51">
        <v>51</v>
      </c>
      <c r="L35" s="1">
        <v>0.57599999999999996</v>
      </c>
      <c r="M35" s="1">
        <v>12.343</v>
      </c>
      <c r="N35" s="1">
        <v>0.65300000000000002</v>
      </c>
      <c r="O35" s="1">
        <v>0.65300000000000002</v>
      </c>
      <c r="P35" s="1">
        <v>12.996</v>
      </c>
      <c r="Q35" s="775">
        <v>4.8950454661341035E-2</v>
      </c>
      <c r="R35" s="775">
        <v>5.5494178635166147E-2</v>
      </c>
      <c r="S35" s="775">
        <v>0.10444463329650719</v>
      </c>
      <c r="T35" s="51">
        <v>51</v>
      </c>
      <c r="U35" s="772">
        <f t="shared" si="0"/>
        <v>0.56499999999999995</v>
      </c>
      <c r="V35" s="772">
        <f t="shared" si="1"/>
        <v>11.6165</v>
      </c>
      <c r="W35" s="773">
        <f t="shared" si="2"/>
        <v>1.819</v>
      </c>
      <c r="X35" s="1">
        <v>1.819</v>
      </c>
      <c r="Y35" s="1">
        <v>13.435500000000001</v>
      </c>
      <c r="Z35" s="775">
        <v>5.1124281771705193E-2</v>
      </c>
      <c r="AA35" s="775">
        <v>0.16459304166855176</v>
      </c>
      <c r="AB35" s="775">
        <v>0.21571732344025696</v>
      </c>
    </row>
    <row r="36" spans="2:28">
      <c r="B36" s="51">
        <v>52</v>
      </c>
      <c r="C36" s="1">
        <v>0.51600000000000001</v>
      </c>
      <c r="D36" s="1">
        <v>11.201000000000001</v>
      </c>
      <c r="E36" s="1">
        <v>3.0529999999999999</v>
      </c>
      <c r="F36" s="1">
        <v>3.0529999999999999</v>
      </c>
      <c r="G36" s="1">
        <v>14.254000000000001</v>
      </c>
      <c r="H36" s="775">
        <v>4.8291998128217127E-2</v>
      </c>
      <c r="I36" s="775">
        <v>0.28572765559195129</v>
      </c>
      <c r="J36" s="775">
        <v>0.3340196537201684</v>
      </c>
      <c r="K36" s="51">
        <v>52</v>
      </c>
      <c r="L36" s="1">
        <v>0.53</v>
      </c>
      <c r="M36" s="1">
        <v>12.67</v>
      </c>
      <c r="N36" s="1">
        <v>0.65900000000000003</v>
      </c>
      <c r="O36" s="1">
        <v>0.65900000000000003</v>
      </c>
      <c r="P36" s="1">
        <v>13.329000000000001</v>
      </c>
      <c r="Q36" s="775">
        <v>4.3657331136738059E-2</v>
      </c>
      <c r="R36" s="775">
        <v>5.4283360790774303E-2</v>
      </c>
      <c r="S36" s="775">
        <v>9.7940691927512369E-2</v>
      </c>
      <c r="T36" s="51">
        <v>52</v>
      </c>
      <c r="U36" s="772">
        <f t="shared" si="0"/>
        <v>0.52300000000000002</v>
      </c>
      <c r="V36" s="772">
        <f t="shared" si="1"/>
        <v>11.935500000000001</v>
      </c>
      <c r="W36" s="773">
        <f t="shared" si="2"/>
        <v>1.8559999999999999</v>
      </c>
      <c r="X36" s="1">
        <v>1.8559999999999999</v>
      </c>
      <c r="Y36" s="1">
        <v>13.791500000000001</v>
      </c>
      <c r="Z36" s="775">
        <v>4.5826944140197147E-2</v>
      </c>
      <c r="AA36" s="775">
        <v>0.16262869660460019</v>
      </c>
      <c r="AB36" s="775">
        <v>0.20845564074479733</v>
      </c>
    </row>
    <row r="37" spans="2:28">
      <c r="B37" s="51">
        <v>53</v>
      </c>
      <c r="C37" s="1">
        <v>0.47399999999999998</v>
      </c>
      <c r="D37" s="1">
        <v>11.523</v>
      </c>
      <c r="E37" s="1">
        <v>3.1190000000000002</v>
      </c>
      <c r="F37" s="1">
        <v>3.1190000000000002</v>
      </c>
      <c r="G37" s="1">
        <v>14.641999999999999</v>
      </c>
      <c r="H37" s="775">
        <v>4.2899809937550909E-2</v>
      </c>
      <c r="I37" s="775">
        <v>0.28228798986333609</v>
      </c>
      <c r="J37" s="775">
        <v>0.32518779980088697</v>
      </c>
      <c r="K37" s="51">
        <v>53</v>
      </c>
      <c r="L37" s="1">
        <v>0.48</v>
      </c>
      <c r="M37" s="1">
        <v>13.007</v>
      </c>
      <c r="N37" s="1">
        <v>0.66500000000000004</v>
      </c>
      <c r="O37" s="1">
        <v>0.66500000000000004</v>
      </c>
      <c r="P37" s="1">
        <v>13.672000000000001</v>
      </c>
      <c r="Q37" s="775">
        <v>3.8317234772890556E-2</v>
      </c>
      <c r="R37" s="775">
        <v>5.3085335674942134E-2</v>
      </c>
      <c r="S37" s="775">
        <v>9.140257044783269E-2</v>
      </c>
      <c r="T37" s="51">
        <v>53</v>
      </c>
      <c r="U37" s="772">
        <f t="shared" si="0"/>
        <v>0.47699999999999998</v>
      </c>
      <c r="V37" s="772">
        <f t="shared" si="1"/>
        <v>12.265000000000001</v>
      </c>
      <c r="W37" s="773">
        <f t="shared" si="2"/>
        <v>1.8920000000000001</v>
      </c>
      <c r="X37" s="1">
        <v>1.8920000000000001</v>
      </c>
      <c r="Y37" s="1">
        <v>14.157</v>
      </c>
      <c r="Z37" s="775">
        <v>4.0464879538513743E-2</v>
      </c>
      <c r="AA37" s="775">
        <v>0.16050220563284698</v>
      </c>
      <c r="AB37" s="775">
        <v>0.20096708517136072</v>
      </c>
    </row>
    <row r="38" spans="2:28">
      <c r="B38" s="51">
        <v>54</v>
      </c>
      <c r="C38" s="1">
        <v>0.42599999999999999</v>
      </c>
      <c r="D38" s="1">
        <v>11.856999999999999</v>
      </c>
      <c r="E38" s="1">
        <v>3.1819999999999999</v>
      </c>
      <c r="F38" s="1">
        <v>3.1819999999999999</v>
      </c>
      <c r="G38" s="1">
        <v>15.039</v>
      </c>
      <c r="H38" s="775">
        <v>3.7267080745341616E-2</v>
      </c>
      <c r="I38" s="775">
        <v>0.27836584725745783</v>
      </c>
      <c r="J38" s="775">
        <v>0.31563292800279946</v>
      </c>
      <c r="K38" s="51">
        <v>54</v>
      </c>
      <c r="L38" s="1">
        <v>0.42599999999999999</v>
      </c>
      <c r="M38" s="1">
        <v>13.353</v>
      </c>
      <c r="N38" s="1">
        <v>0.66900000000000004</v>
      </c>
      <c r="O38" s="1">
        <v>0.66900000000000004</v>
      </c>
      <c r="P38" s="1">
        <v>14.022</v>
      </c>
      <c r="Q38" s="775">
        <v>3.2954281735901599E-2</v>
      </c>
      <c r="R38" s="775">
        <v>5.1752146669760968E-2</v>
      </c>
      <c r="S38" s="775">
        <v>8.4706428405662559E-2</v>
      </c>
      <c r="T38" s="51">
        <v>54</v>
      </c>
      <c r="U38" s="772">
        <f t="shared" si="0"/>
        <v>0.42599999999999999</v>
      </c>
      <c r="V38" s="772">
        <f t="shared" si="1"/>
        <v>12.605</v>
      </c>
      <c r="W38" s="773">
        <f t="shared" si="2"/>
        <v>1.9255</v>
      </c>
      <c r="X38" s="1">
        <v>1.9255</v>
      </c>
      <c r="Y38" s="1">
        <v>14.5305</v>
      </c>
      <c r="Z38" s="775">
        <v>3.4978241234912555E-2</v>
      </c>
      <c r="AA38" s="775">
        <v>0.15810000821085474</v>
      </c>
      <c r="AB38" s="775">
        <v>0.19307824944576729</v>
      </c>
    </row>
    <row r="39" spans="2:28">
      <c r="B39" s="51">
        <v>55</v>
      </c>
      <c r="C39" s="1">
        <v>0.374</v>
      </c>
      <c r="D39" s="1">
        <v>12.201000000000001</v>
      </c>
      <c r="E39" s="1">
        <v>3.2440000000000002</v>
      </c>
      <c r="F39" s="1">
        <v>3.2440000000000002</v>
      </c>
      <c r="G39" s="1">
        <v>15.445</v>
      </c>
      <c r="H39" s="775">
        <v>3.1622558552464701E-2</v>
      </c>
      <c r="I39" s="775">
        <v>0.2742876469096136</v>
      </c>
      <c r="J39" s="775">
        <v>0.30591020546207831</v>
      </c>
      <c r="K39" s="51">
        <v>55</v>
      </c>
      <c r="L39" s="1">
        <v>0.36699999999999999</v>
      </c>
      <c r="M39" s="1">
        <v>13.709</v>
      </c>
      <c r="N39" s="1">
        <v>0.67200000000000004</v>
      </c>
      <c r="O39" s="1">
        <v>0.67200000000000004</v>
      </c>
      <c r="P39" s="1">
        <v>14.381</v>
      </c>
      <c r="Q39" s="775">
        <v>2.750712037175836E-2</v>
      </c>
      <c r="R39" s="775">
        <v>5.0367261280167899E-2</v>
      </c>
      <c r="S39" s="775">
        <v>7.7874381651926255E-2</v>
      </c>
      <c r="T39" s="51">
        <v>55</v>
      </c>
      <c r="U39" s="772">
        <f t="shared" si="0"/>
        <v>0.3705</v>
      </c>
      <c r="V39" s="772">
        <f t="shared" si="1"/>
        <v>12.955</v>
      </c>
      <c r="W39" s="773">
        <f t="shared" si="2"/>
        <v>1.9580000000000002</v>
      </c>
      <c r="X39" s="1">
        <v>1.9580000000000002</v>
      </c>
      <c r="Y39" s="1">
        <v>14.913</v>
      </c>
      <c r="Z39" s="775">
        <v>2.9440978982081131E-2</v>
      </c>
      <c r="AA39" s="775">
        <v>0.15558822360840718</v>
      </c>
      <c r="AB39" s="775">
        <v>0.18502920259048833</v>
      </c>
    </row>
    <row r="40" spans="2:28">
      <c r="B40" s="51">
        <v>56</v>
      </c>
      <c r="C40" s="1">
        <v>0.316</v>
      </c>
      <c r="D40" s="1">
        <v>12.558</v>
      </c>
      <c r="E40" s="1">
        <v>3.3039999999999998</v>
      </c>
      <c r="F40" s="1">
        <v>3.3039999999999998</v>
      </c>
      <c r="G40" s="1">
        <v>15.862</v>
      </c>
      <c r="H40" s="775">
        <v>2.5812775690246693E-2</v>
      </c>
      <c r="I40" s="775">
        <v>0.26989054076131352</v>
      </c>
      <c r="J40" s="775">
        <v>0.29570331645156023</v>
      </c>
      <c r="K40" s="51">
        <v>56</v>
      </c>
      <c r="L40" s="1">
        <v>0.30399999999999999</v>
      </c>
      <c r="M40" s="1">
        <v>14.077999999999999</v>
      </c>
      <c r="N40" s="1">
        <v>0.67400000000000004</v>
      </c>
      <c r="O40" s="1">
        <v>0.67400000000000004</v>
      </c>
      <c r="P40" s="1">
        <v>14.751999999999999</v>
      </c>
      <c r="Q40" s="775">
        <v>2.2070567736314797E-2</v>
      </c>
      <c r="R40" s="775">
        <v>4.8932771889066362E-2</v>
      </c>
      <c r="S40" s="775">
        <v>7.1003339625381162E-2</v>
      </c>
      <c r="T40" s="51">
        <v>56</v>
      </c>
      <c r="U40" s="772">
        <f t="shared" si="0"/>
        <v>0.31</v>
      </c>
      <c r="V40" s="772">
        <f t="shared" si="1"/>
        <v>13.318</v>
      </c>
      <c r="W40" s="773">
        <f t="shared" si="2"/>
        <v>1.9889999999999999</v>
      </c>
      <c r="X40" s="1">
        <v>1.9889999999999999</v>
      </c>
      <c r="Y40" s="1">
        <v>15.306999999999999</v>
      </c>
      <c r="Z40" s="775">
        <v>2.3831488314883149E-2</v>
      </c>
      <c r="AA40" s="775">
        <v>0.15290590405904059</v>
      </c>
      <c r="AB40" s="775">
        <v>0.17673739237392375</v>
      </c>
    </row>
    <row r="41" spans="2:28">
      <c r="B41" s="51">
        <v>57</v>
      </c>
      <c r="C41" s="1">
        <v>0.25600000000000001</v>
      </c>
      <c r="D41" s="1">
        <v>12.929</v>
      </c>
      <c r="E41" s="1">
        <v>3.363</v>
      </c>
      <c r="F41" s="1">
        <v>3.363</v>
      </c>
      <c r="G41" s="1">
        <v>16.292000000000002</v>
      </c>
      <c r="H41" s="775">
        <v>2.0200426102738107E-2</v>
      </c>
      <c r="I41" s="775">
        <v>0.26536731634182908</v>
      </c>
      <c r="J41" s="775">
        <v>0.28556774244456717</v>
      </c>
      <c r="K41" s="51">
        <v>57</v>
      </c>
      <c r="L41" s="1">
        <v>0.24</v>
      </c>
      <c r="M41" s="1">
        <v>14.459</v>
      </c>
      <c r="N41" s="1">
        <v>0.67500000000000004</v>
      </c>
      <c r="O41" s="1">
        <v>0.67500000000000004</v>
      </c>
      <c r="P41" s="1">
        <v>15.134</v>
      </c>
      <c r="Q41" s="775">
        <v>1.6878824108587102E-2</v>
      </c>
      <c r="R41" s="775">
        <v>4.7471692805401228E-2</v>
      </c>
      <c r="S41" s="775">
        <v>6.4350516913988326E-2</v>
      </c>
      <c r="T41" s="51">
        <v>57</v>
      </c>
      <c r="U41" s="772">
        <f t="shared" si="0"/>
        <v>0.248</v>
      </c>
      <c r="V41" s="772">
        <f t="shared" si="1"/>
        <v>13.693999999999999</v>
      </c>
      <c r="W41" s="773">
        <f t="shared" si="2"/>
        <v>2.0190000000000001</v>
      </c>
      <c r="X41" s="1">
        <v>2.0190000000000001</v>
      </c>
      <c r="Y41" s="1">
        <v>15.712999999999999</v>
      </c>
      <c r="Z41" s="775">
        <v>1.8444146958203185E-2</v>
      </c>
      <c r="AA41" s="775">
        <v>0.15015618027666222</v>
      </c>
      <c r="AB41" s="775">
        <v>0.1686003272348654</v>
      </c>
    </row>
    <row r="42" spans="2:28">
      <c r="B42" s="51">
        <v>58</v>
      </c>
      <c r="C42" s="1">
        <v>0.19400000000000001</v>
      </c>
      <c r="D42" s="1">
        <v>13.316000000000001</v>
      </c>
      <c r="E42" s="1">
        <v>3.423</v>
      </c>
      <c r="F42" s="1">
        <v>3.423</v>
      </c>
      <c r="G42" s="1">
        <v>16.739000000000001</v>
      </c>
      <c r="H42" s="775">
        <v>1.4784331656759641E-2</v>
      </c>
      <c r="I42" s="775">
        <v>0.26085962505715593</v>
      </c>
      <c r="J42" s="775">
        <v>0.27564395671391556</v>
      </c>
      <c r="K42" s="51">
        <v>58</v>
      </c>
      <c r="L42" s="1">
        <v>0.17699999999999999</v>
      </c>
      <c r="M42" s="1">
        <v>14.856999999999999</v>
      </c>
      <c r="N42" s="1">
        <v>0.67600000000000005</v>
      </c>
      <c r="O42" s="1">
        <v>0.67600000000000005</v>
      </c>
      <c r="P42" s="1">
        <v>15.532999999999999</v>
      </c>
      <c r="Q42" s="775">
        <v>1.2057220708446866E-2</v>
      </c>
      <c r="R42" s="775">
        <v>4.6049046321525892E-2</v>
      </c>
      <c r="S42" s="775">
        <v>5.8106267029972757E-2</v>
      </c>
      <c r="T42" s="51">
        <v>58</v>
      </c>
      <c r="U42" s="772">
        <f t="shared" si="0"/>
        <v>0.1855</v>
      </c>
      <c r="V42" s="772">
        <f t="shared" si="1"/>
        <v>14.086500000000001</v>
      </c>
      <c r="W42" s="773">
        <f t="shared" si="2"/>
        <v>2.0495000000000001</v>
      </c>
      <c r="X42" s="1">
        <v>2.0495000000000001</v>
      </c>
      <c r="Y42" s="1">
        <v>16.136000000000003</v>
      </c>
      <c r="Z42" s="775">
        <v>1.3344363714840657E-2</v>
      </c>
      <c r="AA42" s="775">
        <v>0.14743543629954678</v>
      </c>
      <c r="AB42" s="775">
        <v>0.16077980001438744</v>
      </c>
    </row>
    <row r="43" spans="2:28">
      <c r="B43" s="51">
        <v>59</v>
      </c>
      <c r="C43" s="1">
        <v>0.13600000000000001</v>
      </c>
      <c r="D43" s="1">
        <v>13.721</v>
      </c>
      <c r="E43" s="1">
        <v>3.484</v>
      </c>
      <c r="F43" s="1">
        <v>3.484</v>
      </c>
      <c r="G43" s="1">
        <v>17.204999999999998</v>
      </c>
      <c r="H43" s="775">
        <v>1.0011041589988959E-2</v>
      </c>
      <c r="I43" s="775">
        <v>0.25645933014354066</v>
      </c>
      <c r="J43" s="775">
        <v>0.26647037173352961</v>
      </c>
      <c r="K43" s="51">
        <v>59</v>
      </c>
      <c r="L43" s="1">
        <v>0.12</v>
      </c>
      <c r="M43" s="1">
        <v>15.276</v>
      </c>
      <c r="N43" s="1">
        <v>0.67600000000000005</v>
      </c>
      <c r="O43" s="1">
        <v>0.67600000000000005</v>
      </c>
      <c r="P43" s="1">
        <v>15.952</v>
      </c>
      <c r="Q43" s="775">
        <v>7.91765637371338E-3</v>
      </c>
      <c r="R43" s="775">
        <v>4.4602797571918713E-2</v>
      </c>
      <c r="S43" s="775">
        <v>5.2520453945632095E-2</v>
      </c>
      <c r="T43" s="51">
        <v>59</v>
      </c>
      <c r="U43" s="772">
        <f t="shared" si="0"/>
        <v>0.128</v>
      </c>
      <c r="V43" s="772">
        <f t="shared" si="1"/>
        <v>14.4985</v>
      </c>
      <c r="W43" s="773">
        <f t="shared" si="2"/>
        <v>2.08</v>
      </c>
      <c r="X43" s="1">
        <v>2.08</v>
      </c>
      <c r="Y43" s="1">
        <v>16.578499999999998</v>
      </c>
      <c r="Z43" s="775">
        <v>8.9071361469677465E-3</v>
      </c>
      <c r="AA43" s="775">
        <v>0.1447409623882259</v>
      </c>
      <c r="AB43" s="775">
        <v>0.15364809853519365</v>
      </c>
    </row>
    <row r="44" spans="2:28">
      <c r="B44" s="51">
        <v>60</v>
      </c>
      <c r="C44" s="1">
        <v>8.5000000000000006E-2</v>
      </c>
      <c r="D44" s="1">
        <v>14.148</v>
      </c>
      <c r="E44" s="1">
        <v>3.548</v>
      </c>
      <c r="F44" s="1">
        <v>3.548</v>
      </c>
      <c r="G44" s="1">
        <v>17.695999999999998</v>
      </c>
      <c r="H44" s="775">
        <v>6.0442295385052984E-3</v>
      </c>
      <c r="I44" s="775">
        <v>0.25229325179549172</v>
      </c>
      <c r="J44" s="775">
        <v>0.25833748133399703</v>
      </c>
      <c r="K44" s="51">
        <v>60</v>
      </c>
      <c r="L44" s="1">
        <v>7.1999999999999995E-2</v>
      </c>
      <c r="M44" s="1">
        <v>15.72</v>
      </c>
      <c r="N44" s="1">
        <v>0.67700000000000005</v>
      </c>
      <c r="O44" s="1">
        <v>0.67700000000000005</v>
      </c>
      <c r="P44" s="1">
        <v>16.397000000000002</v>
      </c>
      <c r="Q44" s="775">
        <v>4.6012269938650301E-3</v>
      </c>
      <c r="R44" s="775">
        <v>4.3264314928425356E-2</v>
      </c>
      <c r="S44" s="775">
        <v>4.7865541922290387E-2</v>
      </c>
      <c r="T44" s="51">
        <v>60</v>
      </c>
      <c r="U44" s="772">
        <f t="shared" si="0"/>
        <v>7.85E-2</v>
      </c>
      <c r="V44" s="772">
        <f t="shared" si="1"/>
        <v>14.934000000000001</v>
      </c>
      <c r="W44" s="773">
        <f t="shared" si="2"/>
        <v>2.1124999999999998</v>
      </c>
      <c r="X44" s="1">
        <v>2.1124999999999998</v>
      </c>
      <c r="Y44" s="1">
        <v>17.046500000000002</v>
      </c>
      <c r="Z44" s="775">
        <v>5.2842381609504892E-3</v>
      </c>
      <c r="AA44" s="775">
        <v>0.14220322439500518</v>
      </c>
      <c r="AB44" s="775">
        <v>0.14748746255595568</v>
      </c>
    </row>
    <row r="45" spans="2:28">
      <c r="B45" s="51">
        <v>61</v>
      </c>
      <c r="C45" s="1">
        <v>4.4999999999999998E-2</v>
      </c>
      <c r="D45" s="1">
        <v>14.602</v>
      </c>
      <c r="E45" s="1">
        <v>3.6150000000000002</v>
      </c>
      <c r="F45" s="1">
        <v>3.6150000000000002</v>
      </c>
      <c r="G45" s="1">
        <v>18.216999999999999</v>
      </c>
      <c r="H45" s="775">
        <v>3.0912962835749121E-3</v>
      </c>
      <c r="I45" s="775">
        <v>0.24833413478051797</v>
      </c>
      <c r="J45" s="775">
        <v>0.25142543106409287</v>
      </c>
      <c r="K45" s="51">
        <v>61</v>
      </c>
      <c r="L45" s="1">
        <v>3.5999999999999997E-2</v>
      </c>
      <c r="M45" s="1">
        <v>16.193000000000001</v>
      </c>
      <c r="N45" s="1">
        <v>0.67700000000000005</v>
      </c>
      <c r="O45" s="1">
        <v>0.67700000000000005</v>
      </c>
      <c r="P45" s="1">
        <v>16.87</v>
      </c>
      <c r="Q45" s="775">
        <v>2.2281364114625237E-3</v>
      </c>
      <c r="R45" s="775">
        <v>4.1901343071114691E-2</v>
      </c>
      <c r="S45" s="775">
        <v>4.4129479482577214E-2</v>
      </c>
      <c r="T45" s="51">
        <v>61</v>
      </c>
      <c r="U45" s="772">
        <f t="shared" si="0"/>
        <v>4.0499999999999994E-2</v>
      </c>
      <c r="V45" s="772">
        <f t="shared" si="1"/>
        <v>15.397500000000001</v>
      </c>
      <c r="W45" s="773">
        <f t="shared" si="2"/>
        <v>2.1459999999999999</v>
      </c>
      <c r="X45" s="1">
        <v>2.1459999999999999</v>
      </c>
      <c r="Y45" s="1">
        <v>17.543500000000002</v>
      </c>
      <c r="Z45" s="775">
        <v>2.6372338347333459E-3</v>
      </c>
      <c r="AA45" s="775">
        <v>0.13974083479846322</v>
      </c>
      <c r="AB45" s="775">
        <v>0.14237806863319658</v>
      </c>
    </row>
    <row r="46" spans="2:28">
      <c r="B46" s="51">
        <v>62</v>
      </c>
      <c r="C46" s="1">
        <v>1.7999999999999999E-2</v>
      </c>
      <c r="D46" s="1">
        <v>15.086</v>
      </c>
      <c r="E46" s="1">
        <v>3.6659999999999999</v>
      </c>
      <c r="F46" s="1">
        <v>3.6659999999999999</v>
      </c>
      <c r="G46" s="1">
        <v>18.751999999999999</v>
      </c>
      <c r="H46" s="775">
        <v>1.1945845500398195E-3</v>
      </c>
      <c r="I46" s="775">
        <v>0.24329705335810992</v>
      </c>
      <c r="J46" s="775">
        <v>0.24449163790814973</v>
      </c>
      <c r="K46" s="51">
        <v>62</v>
      </c>
      <c r="L46" s="1">
        <v>1.4E-2</v>
      </c>
      <c r="M46" s="1">
        <v>16.698</v>
      </c>
      <c r="N46" s="1">
        <v>0.67500000000000004</v>
      </c>
      <c r="O46" s="1">
        <v>0.67500000000000004</v>
      </c>
      <c r="P46" s="1">
        <v>17.373000000000001</v>
      </c>
      <c r="Q46" s="775">
        <v>8.3912730760009584E-4</v>
      </c>
      <c r="R46" s="775">
        <v>4.0457923759290339E-2</v>
      </c>
      <c r="S46" s="775">
        <v>4.1297051066890432E-2</v>
      </c>
      <c r="T46" s="51">
        <v>62</v>
      </c>
      <c r="U46" s="772">
        <f t="shared" si="0"/>
        <v>1.6E-2</v>
      </c>
      <c r="V46" s="772">
        <f t="shared" si="1"/>
        <v>15.891999999999999</v>
      </c>
      <c r="W46" s="773">
        <f t="shared" si="2"/>
        <v>2.1705000000000001</v>
      </c>
      <c r="X46" s="1">
        <v>2.1705000000000001</v>
      </c>
      <c r="Y46" s="1">
        <v>18.0625</v>
      </c>
      <c r="Z46" s="775">
        <v>1.0078105316200555E-3</v>
      </c>
      <c r="AA46" s="775">
        <v>0.13671579743008316</v>
      </c>
      <c r="AB46" s="775">
        <v>0.13772360796170321</v>
      </c>
    </row>
    <row r="47" spans="2:28">
      <c r="B47" s="51">
        <v>63</v>
      </c>
      <c r="C47" s="1">
        <v>4.0000000000000001E-3</v>
      </c>
      <c r="D47" s="1">
        <v>15.602</v>
      </c>
      <c r="E47" s="1">
        <v>3.718</v>
      </c>
      <c r="F47" s="1">
        <v>3.718</v>
      </c>
      <c r="G47" s="1">
        <v>19.32</v>
      </c>
      <c r="H47" s="775">
        <v>2.5644313373509426E-4</v>
      </c>
      <c r="I47" s="775">
        <v>0.23836389280677009</v>
      </c>
      <c r="J47" s="775">
        <v>0.23862033594050519</v>
      </c>
      <c r="K47" s="51">
        <v>63</v>
      </c>
      <c r="L47" s="1">
        <v>3.0000000000000001E-3</v>
      </c>
      <c r="M47" s="1">
        <v>17.234000000000002</v>
      </c>
      <c r="N47" s="1">
        <v>0.67200000000000004</v>
      </c>
      <c r="O47" s="1">
        <v>0.67200000000000004</v>
      </c>
      <c r="P47" s="1">
        <v>17.906000000000002</v>
      </c>
      <c r="Q47" s="775">
        <v>1.7410481109627994E-4</v>
      </c>
      <c r="R47" s="775">
        <v>3.8999477685566712E-2</v>
      </c>
      <c r="S47" s="775">
        <v>3.9173582496662994E-2</v>
      </c>
      <c r="T47" s="51">
        <v>63</v>
      </c>
      <c r="U47" s="772">
        <f t="shared" si="0"/>
        <v>3.5000000000000001E-3</v>
      </c>
      <c r="V47" s="772">
        <f t="shared" si="1"/>
        <v>16.417999999999999</v>
      </c>
      <c r="W47" s="773">
        <f t="shared" si="2"/>
        <v>2.1949999999999998</v>
      </c>
      <c r="X47" s="1">
        <v>2.1949999999999998</v>
      </c>
      <c r="Y47" s="1">
        <v>18.613</v>
      </c>
      <c r="Z47" s="775">
        <v>2.1322611106034298E-4</v>
      </c>
      <c r="AA47" s="775">
        <v>0.13372323250784365</v>
      </c>
      <c r="AB47" s="775">
        <v>0.13393645861890399</v>
      </c>
    </row>
    <row r="48" spans="2:28">
      <c r="B48" s="51">
        <v>64</v>
      </c>
      <c r="C48" s="1">
        <v>0</v>
      </c>
      <c r="D48" s="1">
        <v>16.154</v>
      </c>
      <c r="E48" s="1">
        <v>3.7669999999999999</v>
      </c>
      <c r="F48" s="1">
        <v>3.7669999999999999</v>
      </c>
      <c r="G48" s="1">
        <v>19.920999999999999</v>
      </c>
      <c r="H48" s="775">
        <v>0</v>
      </c>
      <c r="I48" s="775">
        <v>0.23319301720935989</v>
      </c>
      <c r="J48" s="775">
        <v>0.23319301720935989</v>
      </c>
      <c r="K48" s="51">
        <v>64</v>
      </c>
      <c r="L48" s="1">
        <v>0</v>
      </c>
      <c r="M48" s="1">
        <v>17.802</v>
      </c>
      <c r="N48" s="1">
        <v>0.66700000000000004</v>
      </c>
      <c r="O48" s="1">
        <v>0.66700000000000004</v>
      </c>
      <c r="P48" s="1">
        <v>18.469000000000001</v>
      </c>
      <c r="Q48" s="775">
        <v>0</v>
      </c>
      <c r="R48" s="775">
        <v>3.7467700258397935E-2</v>
      </c>
      <c r="S48" s="775">
        <v>3.7467700258397935E-2</v>
      </c>
      <c r="T48" s="51">
        <v>64</v>
      </c>
      <c r="U48" s="772">
        <f t="shared" si="0"/>
        <v>0</v>
      </c>
      <c r="V48" s="772">
        <f t="shared" si="1"/>
        <v>16.978000000000002</v>
      </c>
      <c r="W48" s="773">
        <f t="shared" si="2"/>
        <v>2.2170000000000001</v>
      </c>
      <c r="X48" s="1">
        <v>2.2170000000000001</v>
      </c>
      <c r="Y48" s="1">
        <v>19.195</v>
      </c>
      <c r="Z48" s="1561">
        <v>0</v>
      </c>
      <c r="AA48" s="1561">
        <v>0.13058075156084345</v>
      </c>
      <c r="AB48" s="775">
        <v>0.13058075156084345</v>
      </c>
    </row>
    <row r="49" spans="2:28">
      <c r="B49" s="4">
        <v>65</v>
      </c>
      <c r="C49" s="147">
        <v>0</v>
      </c>
      <c r="D49" s="147">
        <v>15.77</v>
      </c>
      <c r="E49" s="147">
        <v>3.7749999999999999</v>
      </c>
      <c r="F49" s="147">
        <v>3.7749999999999999</v>
      </c>
      <c r="G49" s="147">
        <v>19.544999999999998</v>
      </c>
      <c r="H49" s="148">
        <v>0</v>
      </c>
      <c r="I49" s="148">
        <v>0.23937856689917564</v>
      </c>
      <c r="J49" s="148">
        <v>0.23937856689917564</v>
      </c>
      <c r="K49" s="4">
        <v>65</v>
      </c>
      <c r="L49" s="147">
        <v>0</v>
      </c>
      <c r="M49" s="147">
        <v>17.669</v>
      </c>
      <c r="N49" s="147">
        <v>0.64900000000000002</v>
      </c>
      <c r="O49" s="147">
        <v>0.64900000000000002</v>
      </c>
      <c r="P49" s="147">
        <v>18.318000000000001</v>
      </c>
      <c r="Q49" s="148">
        <v>0</v>
      </c>
      <c r="R49" s="148">
        <v>3.6730997792744358E-2</v>
      </c>
      <c r="S49" s="151">
        <v>3.6730997792744358E-2</v>
      </c>
      <c r="T49" s="4">
        <v>65</v>
      </c>
      <c r="U49" s="149">
        <f t="shared" si="0"/>
        <v>0</v>
      </c>
      <c r="V49" s="149">
        <f t="shared" si="1"/>
        <v>16.7195</v>
      </c>
      <c r="W49" s="150">
        <f t="shared" si="2"/>
        <v>2.2119999999999997</v>
      </c>
      <c r="X49" s="147">
        <v>2.2119999999999997</v>
      </c>
      <c r="Y49" s="147">
        <v>18.9315</v>
      </c>
      <c r="Z49" s="148">
        <v>0</v>
      </c>
      <c r="AA49" s="148">
        <v>0.13230060707557043</v>
      </c>
      <c r="AB49" s="151">
        <v>0.13230060707557043</v>
      </c>
    </row>
    <row r="50" spans="2:28">
      <c r="B50" s="4">
        <v>66</v>
      </c>
      <c r="C50" s="147"/>
      <c r="D50" s="147">
        <v>15.379</v>
      </c>
      <c r="E50" s="147">
        <v>3.778</v>
      </c>
      <c r="F50" s="147">
        <v>3.778</v>
      </c>
      <c r="G50" s="147">
        <v>19.157</v>
      </c>
      <c r="H50" s="148">
        <v>0</v>
      </c>
      <c r="I50" s="148">
        <v>0.24565966577800899</v>
      </c>
      <c r="J50" s="148">
        <v>0.24565966577800899</v>
      </c>
      <c r="K50" s="4">
        <v>66</v>
      </c>
      <c r="L50" s="147">
        <v>0</v>
      </c>
      <c r="M50" s="147">
        <v>17.274000000000001</v>
      </c>
      <c r="N50" s="147">
        <v>0.63</v>
      </c>
      <c r="O50" s="147">
        <v>0.63</v>
      </c>
      <c r="P50" s="147">
        <v>17.904</v>
      </c>
      <c r="Q50" s="148">
        <v>0</v>
      </c>
      <c r="R50" s="148">
        <v>3.647099687391455E-2</v>
      </c>
      <c r="S50" s="151">
        <v>3.647099687391455E-2</v>
      </c>
      <c r="T50" s="4">
        <v>66</v>
      </c>
      <c r="U50" s="149">
        <f t="shared" si="0"/>
        <v>0</v>
      </c>
      <c r="V50" s="149">
        <f t="shared" si="1"/>
        <v>16.326499999999999</v>
      </c>
      <c r="W50" s="150">
        <f t="shared" si="2"/>
        <v>2.2040000000000002</v>
      </c>
      <c r="X50" s="147">
        <v>2.2040000000000002</v>
      </c>
      <c r="Y50" s="147">
        <v>18.5305</v>
      </c>
      <c r="Z50" s="148">
        <v>0</v>
      </c>
      <c r="AA50" s="148">
        <v>0.13499525311609961</v>
      </c>
      <c r="AB50" s="151">
        <v>0.13499525311609961</v>
      </c>
    </row>
    <row r="51" spans="2:28">
      <c r="B51" s="4">
        <v>67</v>
      </c>
      <c r="C51" s="147"/>
      <c r="D51" s="147">
        <v>14.98</v>
      </c>
      <c r="E51" s="147">
        <v>3.778</v>
      </c>
      <c r="F51" s="147">
        <v>3.778</v>
      </c>
      <c r="G51" s="147">
        <v>18.757999999999999</v>
      </c>
      <c r="H51" s="148">
        <v>0</v>
      </c>
      <c r="I51" s="148">
        <v>0.25220293724966619</v>
      </c>
      <c r="J51" s="148">
        <v>0.25220293724966619</v>
      </c>
      <c r="K51" s="4">
        <v>67</v>
      </c>
      <c r="L51" s="147">
        <v>0</v>
      </c>
      <c r="M51" s="147">
        <v>16.867000000000001</v>
      </c>
      <c r="N51" s="147">
        <v>0.61</v>
      </c>
      <c r="O51" s="147">
        <v>0.61</v>
      </c>
      <c r="P51" s="147">
        <v>17.477</v>
      </c>
      <c r="Q51" s="148">
        <v>0</v>
      </c>
      <c r="R51" s="148">
        <v>3.6165293176024189E-2</v>
      </c>
      <c r="S51" s="151">
        <v>3.6165293176024189E-2</v>
      </c>
      <c r="T51" s="4">
        <v>67</v>
      </c>
      <c r="U51" s="149">
        <f t="shared" si="0"/>
        <v>0</v>
      </c>
      <c r="V51" s="149">
        <f t="shared" si="1"/>
        <v>15.923500000000001</v>
      </c>
      <c r="W51" s="150">
        <f t="shared" si="2"/>
        <v>2.194</v>
      </c>
      <c r="X51" s="147">
        <v>2.194</v>
      </c>
      <c r="Y51" s="147">
        <v>18.1175</v>
      </c>
      <c r="Z51" s="148">
        <v>0</v>
      </c>
      <c r="AA51" s="148">
        <v>0.1377837786918705</v>
      </c>
      <c r="AB51" s="151">
        <v>0.1377837786918705</v>
      </c>
    </row>
    <row r="52" spans="2:28">
      <c r="B52" s="4">
        <v>68</v>
      </c>
      <c r="C52" s="147"/>
      <c r="D52" s="147">
        <v>14.573</v>
      </c>
      <c r="E52" s="147">
        <v>3.7770000000000001</v>
      </c>
      <c r="F52" s="147">
        <v>3.7770000000000001</v>
      </c>
      <c r="G52" s="147">
        <v>18.350000000000001</v>
      </c>
      <c r="H52" s="148">
        <v>0</v>
      </c>
      <c r="I52" s="148">
        <v>0.25917793179166954</v>
      </c>
      <c r="J52" s="148">
        <v>0.25917793179166954</v>
      </c>
      <c r="K52" s="4">
        <v>68</v>
      </c>
      <c r="L52" s="147">
        <v>0</v>
      </c>
      <c r="M52" s="147">
        <v>16.448</v>
      </c>
      <c r="N52" s="147">
        <v>0.59099999999999997</v>
      </c>
      <c r="O52" s="147">
        <v>0.59099999999999997</v>
      </c>
      <c r="P52" s="147">
        <v>17.039000000000001</v>
      </c>
      <c r="Q52" s="148">
        <v>0</v>
      </c>
      <c r="R52" s="148">
        <v>3.5931420233463032E-2</v>
      </c>
      <c r="S52" s="151">
        <v>3.5931420233463032E-2</v>
      </c>
      <c r="T52" s="4">
        <v>68</v>
      </c>
      <c r="U52" s="149">
        <f t="shared" si="0"/>
        <v>0</v>
      </c>
      <c r="V52" s="149">
        <f t="shared" si="1"/>
        <v>15.5105</v>
      </c>
      <c r="W52" s="150">
        <f t="shared" si="2"/>
        <v>2.1840000000000002</v>
      </c>
      <c r="X52" s="147">
        <v>2.1840000000000002</v>
      </c>
      <c r="Y52" s="147">
        <v>17.694500000000001</v>
      </c>
      <c r="Z52" s="148">
        <v>0</v>
      </c>
      <c r="AA52" s="148">
        <v>0.14080783985042392</v>
      </c>
      <c r="AB52" s="151">
        <v>0.14080783985042392</v>
      </c>
    </row>
    <row r="53" spans="2:28">
      <c r="B53" s="4">
        <v>69</v>
      </c>
      <c r="C53" s="147"/>
      <c r="D53" s="147">
        <v>14.156000000000001</v>
      </c>
      <c r="E53" s="147">
        <v>3.7730000000000001</v>
      </c>
      <c r="F53" s="147">
        <v>3.7730000000000001</v>
      </c>
      <c r="G53" s="147">
        <v>17.929000000000002</v>
      </c>
      <c r="H53" s="148">
        <v>0</v>
      </c>
      <c r="I53" s="148">
        <v>0.26653009324667987</v>
      </c>
      <c r="J53" s="148">
        <v>0.26653009324667987</v>
      </c>
      <c r="K53" s="4">
        <v>69</v>
      </c>
      <c r="L53" s="147">
        <v>0</v>
      </c>
      <c r="M53" s="147">
        <v>16.016999999999999</v>
      </c>
      <c r="N53" s="147">
        <v>0.57199999999999995</v>
      </c>
      <c r="O53" s="147">
        <v>0.57199999999999995</v>
      </c>
      <c r="P53" s="147">
        <v>16.588999999999999</v>
      </c>
      <c r="Q53" s="148">
        <v>0</v>
      </c>
      <c r="R53" s="148">
        <v>3.5712055940563148E-2</v>
      </c>
      <c r="S53" s="151">
        <v>3.5712055940563148E-2</v>
      </c>
      <c r="T53" s="4">
        <v>69</v>
      </c>
      <c r="U53" s="149">
        <f t="shared" si="0"/>
        <v>0</v>
      </c>
      <c r="V53" s="149">
        <f t="shared" si="1"/>
        <v>15.086500000000001</v>
      </c>
      <c r="W53" s="150">
        <f t="shared" si="2"/>
        <v>2.1724999999999999</v>
      </c>
      <c r="X53" s="147">
        <v>2.1724999999999999</v>
      </c>
      <c r="Y53" s="147">
        <v>17.259</v>
      </c>
      <c r="Z53" s="148">
        <v>0</v>
      </c>
      <c r="AA53" s="148">
        <v>0.14400291651476485</v>
      </c>
      <c r="AB53" s="151">
        <v>0.14400291651476485</v>
      </c>
    </row>
    <row r="54" spans="2:28">
      <c r="B54" s="4">
        <v>70</v>
      </c>
      <c r="C54" s="147"/>
      <c r="D54" s="147">
        <v>13.728999999999999</v>
      </c>
      <c r="E54" s="147">
        <v>3.7669999999999999</v>
      </c>
      <c r="F54" s="147">
        <v>3.7669999999999999</v>
      </c>
      <c r="G54" s="147">
        <v>17.495999999999999</v>
      </c>
      <c r="H54" s="148">
        <v>0</v>
      </c>
      <c r="I54" s="148">
        <v>0.27438269356835898</v>
      </c>
      <c r="J54" s="148">
        <v>0.27438269356835898</v>
      </c>
      <c r="K54" s="4">
        <v>70</v>
      </c>
      <c r="L54" s="147">
        <v>0</v>
      </c>
      <c r="M54" s="147">
        <v>15.574</v>
      </c>
      <c r="N54" s="147">
        <v>0.55100000000000005</v>
      </c>
      <c r="O54" s="147">
        <v>0.55100000000000005</v>
      </c>
      <c r="P54" s="147">
        <v>16.125</v>
      </c>
      <c r="Q54" s="148">
        <v>0</v>
      </c>
      <c r="R54" s="148">
        <v>3.5379478618209843E-2</v>
      </c>
      <c r="S54" s="151">
        <v>3.5379478618209843E-2</v>
      </c>
      <c r="T54" s="4">
        <v>70</v>
      </c>
      <c r="U54" s="149">
        <f t="shared" si="0"/>
        <v>0</v>
      </c>
      <c r="V54" s="149">
        <f t="shared" si="1"/>
        <v>14.651499999999999</v>
      </c>
      <c r="W54" s="150">
        <f t="shared" si="2"/>
        <v>2.1589999999999998</v>
      </c>
      <c r="X54" s="147">
        <v>2.1589999999999998</v>
      </c>
      <c r="Y54" s="147">
        <v>16.810499999999998</v>
      </c>
      <c r="Z54" s="148">
        <v>0</v>
      </c>
      <c r="AA54" s="148">
        <v>0.14735692591202265</v>
      </c>
      <c r="AB54" s="151">
        <v>0.14735692591202265</v>
      </c>
    </row>
    <row r="55" spans="2:28">
      <c r="B55" s="4">
        <v>71</v>
      </c>
      <c r="C55" s="147"/>
      <c r="D55" s="147">
        <v>13.292999999999999</v>
      </c>
      <c r="E55" s="147">
        <v>3.758</v>
      </c>
      <c r="F55" s="147">
        <v>3.758</v>
      </c>
      <c r="G55" s="147">
        <v>17.050999999999998</v>
      </c>
      <c r="H55" s="148">
        <v>0</v>
      </c>
      <c r="I55" s="148">
        <v>0.28270518317911686</v>
      </c>
      <c r="J55" s="148">
        <v>0.28270518317911686</v>
      </c>
      <c r="K55" s="4">
        <v>71</v>
      </c>
      <c r="L55" s="147">
        <v>0</v>
      </c>
      <c r="M55" s="147">
        <v>15.118</v>
      </c>
      <c r="N55" s="147">
        <v>0.53100000000000003</v>
      </c>
      <c r="O55" s="147">
        <v>0.53100000000000003</v>
      </c>
      <c r="P55" s="147">
        <v>15.649000000000001</v>
      </c>
      <c r="Q55" s="148">
        <v>0</v>
      </c>
      <c r="R55" s="148">
        <v>3.5123693610265912E-2</v>
      </c>
      <c r="S55" s="151">
        <v>3.5123693610265912E-2</v>
      </c>
      <c r="T55" s="4">
        <v>71</v>
      </c>
      <c r="U55" s="149">
        <f t="shared" si="0"/>
        <v>0</v>
      </c>
      <c r="V55" s="149">
        <f t="shared" si="1"/>
        <v>14.205500000000001</v>
      </c>
      <c r="W55" s="150">
        <f t="shared" si="2"/>
        <v>2.1444999999999999</v>
      </c>
      <c r="X55" s="147">
        <v>2.1444999999999999</v>
      </c>
      <c r="Y55" s="147">
        <v>16.350000000000001</v>
      </c>
      <c r="Z55" s="148">
        <v>0</v>
      </c>
      <c r="AA55" s="148">
        <v>0.15096265530956318</v>
      </c>
      <c r="AB55" s="151">
        <v>0.15096265530956318</v>
      </c>
    </row>
    <row r="56" spans="2:28">
      <c r="B56" s="4">
        <v>72</v>
      </c>
      <c r="C56" s="147"/>
      <c r="D56" s="147">
        <v>12.846</v>
      </c>
      <c r="E56" s="147">
        <v>3.7469999999999999</v>
      </c>
      <c r="F56" s="147">
        <v>3.7469999999999999</v>
      </c>
      <c r="G56" s="147">
        <v>16.593</v>
      </c>
      <c r="H56" s="148">
        <v>0</v>
      </c>
      <c r="I56" s="148">
        <v>0.29168612797758053</v>
      </c>
      <c r="J56" s="148">
        <v>0.29168612797758053</v>
      </c>
      <c r="K56" s="4">
        <v>72</v>
      </c>
      <c r="L56" s="147">
        <v>0</v>
      </c>
      <c r="M56" s="147">
        <v>14.648999999999999</v>
      </c>
      <c r="N56" s="147">
        <v>0.51</v>
      </c>
      <c r="O56" s="147">
        <v>0.51</v>
      </c>
      <c r="P56" s="147">
        <v>15.158999999999999</v>
      </c>
      <c r="Q56" s="148">
        <v>0</v>
      </c>
      <c r="R56" s="148">
        <v>3.481466311693631E-2</v>
      </c>
      <c r="S56" s="151">
        <v>3.481466311693631E-2</v>
      </c>
      <c r="T56" s="4">
        <v>72</v>
      </c>
      <c r="U56" s="149">
        <f t="shared" si="0"/>
        <v>0</v>
      </c>
      <c r="V56" s="149">
        <f t="shared" si="1"/>
        <v>13.747499999999999</v>
      </c>
      <c r="W56" s="150">
        <f t="shared" si="2"/>
        <v>2.1284999999999998</v>
      </c>
      <c r="X56" s="147">
        <v>2.1284999999999998</v>
      </c>
      <c r="Y56" s="147">
        <v>15.875999999999998</v>
      </c>
      <c r="Z56" s="148">
        <v>0</v>
      </c>
      <c r="AA56" s="148">
        <v>0.15482815057283142</v>
      </c>
      <c r="AB56" s="151">
        <v>0.15482815057283142</v>
      </c>
    </row>
    <row r="57" spans="2:28">
      <c r="B57" s="4">
        <v>73</v>
      </c>
      <c r="C57" s="147"/>
      <c r="D57" s="147">
        <v>12.388999999999999</v>
      </c>
      <c r="E57" s="147">
        <v>3.7389999999999999</v>
      </c>
      <c r="F57" s="147">
        <v>3.7389999999999999</v>
      </c>
      <c r="G57" s="147">
        <v>16.128</v>
      </c>
      <c r="H57" s="148">
        <v>0</v>
      </c>
      <c r="I57" s="148">
        <v>0.30179998385664702</v>
      </c>
      <c r="J57" s="148">
        <v>0.30179998385664702</v>
      </c>
      <c r="K57" s="4">
        <v>73</v>
      </c>
      <c r="L57" s="147">
        <v>0</v>
      </c>
      <c r="M57" s="147">
        <v>14.167999999999999</v>
      </c>
      <c r="N57" s="147">
        <v>0.48899999999999999</v>
      </c>
      <c r="O57" s="147">
        <v>0.48899999999999999</v>
      </c>
      <c r="P57" s="147">
        <v>14.657</v>
      </c>
      <c r="Q57" s="148">
        <v>0</v>
      </c>
      <c r="R57" s="148">
        <v>3.4514398644833431E-2</v>
      </c>
      <c r="S57" s="151">
        <v>3.4514398644833431E-2</v>
      </c>
      <c r="T57" s="4">
        <v>73</v>
      </c>
      <c r="U57" s="149">
        <f t="shared" si="0"/>
        <v>0</v>
      </c>
      <c r="V57" s="149">
        <f t="shared" si="1"/>
        <v>13.278499999999999</v>
      </c>
      <c r="W57" s="150">
        <f t="shared" si="2"/>
        <v>2.1139999999999999</v>
      </c>
      <c r="X57" s="147">
        <v>2.1139999999999999</v>
      </c>
      <c r="Y57" s="147">
        <v>15.392499999999998</v>
      </c>
      <c r="Z57" s="148">
        <v>0</v>
      </c>
      <c r="AA57" s="148">
        <v>0.15920472944986255</v>
      </c>
      <c r="AB57" s="151">
        <v>0.15920472944986255</v>
      </c>
    </row>
    <row r="58" spans="2:28">
      <c r="B58" s="4">
        <v>74</v>
      </c>
      <c r="C58" s="147"/>
      <c r="D58" s="147">
        <v>11.923999999999999</v>
      </c>
      <c r="E58" s="147">
        <v>3.7290000000000001</v>
      </c>
      <c r="F58" s="147">
        <v>3.7290000000000001</v>
      </c>
      <c r="G58" s="147">
        <v>15.652999999999999</v>
      </c>
      <c r="H58" s="148">
        <v>0</v>
      </c>
      <c r="I58" s="148">
        <v>0.3127306273062731</v>
      </c>
      <c r="J58" s="148">
        <v>0.3127306273062731</v>
      </c>
      <c r="K58" s="4">
        <v>74</v>
      </c>
      <c r="L58" s="147">
        <v>0</v>
      </c>
      <c r="M58" s="147">
        <v>13.676</v>
      </c>
      <c r="N58" s="147">
        <v>0.46899999999999997</v>
      </c>
      <c r="O58" s="147">
        <v>0.46899999999999997</v>
      </c>
      <c r="P58" s="147">
        <v>14.145</v>
      </c>
      <c r="Q58" s="148">
        <v>0</v>
      </c>
      <c r="R58" s="148">
        <v>3.4293653114945886E-2</v>
      </c>
      <c r="S58" s="151">
        <v>3.4293653114945886E-2</v>
      </c>
      <c r="T58" s="4">
        <v>74</v>
      </c>
      <c r="U58" s="149">
        <f t="shared" si="0"/>
        <v>0</v>
      </c>
      <c r="V58" s="149">
        <f t="shared" si="1"/>
        <v>12.8</v>
      </c>
      <c r="W58" s="150">
        <f t="shared" si="2"/>
        <v>2.0990000000000002</v>
      </c>
      <c r="X58" s="147">
        <v>2.0990000000000002</v>
      </c>
      <c r="Y58" s="147">
        <v>14.899000000000001</v>
      </c>
      <c r="Z58" s="148">
        <v>0</v>
      </c>
      <c r="AA58" s="148">
        <v>0.16398437500000002</v>
      </c>
      <c r="AB58" s="151">
        <v>0.16398437500000002</v>
      </c>
    </row>
    <row r="59" spans="2:28">
      <c r="B59" s="4">
        <v>75</v>
      </c>
      <c r="C59" s="147"/>
      <c r="D59" s="147">
        <v>11.45</v>
      </c>
      <c r="E59" s="147">
        <v>3.7160000000000002</v>
      </c>
      <c r="F59" s="147">
        <v>3.7160000000000002</v>
      </c>
      <c r="G59" s="147">
        <v>15.166</v>
      </c>
      <c r="H59" s="148">
        <v>0</v>
      </c>
      <c r="I59" s="148">
        <v>0.32454148471615724</v>
      </c>
      <c r="J59" s="148">
        <v>0.32454148471615724</v>
      </c>
      <c r="K59" s="4">
        <v>75</v>
      </c>
      <c r="L59" s="147">
        <v>0</v>
      </c>
      <c r="M59" s="147">
        <v>13.173999999999999</v>
      </c>
      <c r="N59" s="147">
        <v>0.44800000000000001</v>
      </c>
      <c r="O59" s="147">
        <v>0.44800000000000001</v>
      </c>
      <c r="P59" s="147">
        <v>13.622</v>
      </c>
      <c r="Q59" s="148">
        <v>0</v>
      </c>
      <c r="R59" s="148">
        <v>3.4006376195536668E-2</v>
      </c>
      <c r="S59" s="151">
        <v>3.4006376195536668E-2</v>
      </c>
      <c r="T59" s="4">
        <v>75</v>
      </c>
      <c r="U59" s="149">
        <f t="shared" si="0"/>
        <v>0</v>
      </c>
      <c r="V59" s="149">
        <f t="shared" si="1"/>
        <v>12.311999999999999</v>
      </c>
      <c r="W59" s="150">
        <f t="shared" si="2"/>
        <v>2.0820000000000003</v>
      </c>
      <c r="X59" s="147">
        <v>2.0820000000000003</v>
      </c>
      <c r="Y59" s="147">
        <v>14.394</v>
      </c>
      <c r="Z59" s="148">
        <v>0</v>
      </c>
      <c r="AA59" s="148">
        <v>0.16910331384015598</v>
      </c>
      <c r="AB59" s="151">
        <v>0.16910331384015598</v>
      </c>
    </row>
    <row r="60" spans="2:28">
      <c r="B60" s="4">
        <v>76</v>
      </c>
      <c r="C60" s="147"/>
      <c r="D60" s="147">
        <v>10.97</v>
      </c>
      <c r="E60" s="147">
        <v>3.698</v>
      </c>
      <c r="F60" s="147">
        <v>3.698</v>
      </c>
      <c r="G60" s="147">
        <v>14.668000000000001</v>
      </c>
      <c r="H60" s="148">
        <v>0</v>
      </c>
      <c r="I60" s="148">
        <v>0.3371011850501367</v>
      </c>
      <c r="J60" s="148">
        <v>0.3371011850501367</v>
      </c>
      <c r="K60" s="4">
        <v>76</v>
      </c>
      <c r="L60" s="147">
        <v>0</v>
      </c>
      <c r="M60" s="147">
        <v>12.663</v>
      </c>
      <c r="N60" s="147">
        <v>0.42699999999999999</v>
      </c>
      <c r="O60" s="147">
        <v>0.42699999999999999</v>
      </c>
      <c r="P60" s="147">
        <v>13.09</v>
      </c>
      <c r="Q60" s="148">
        <v>0</v>
      </c>
      <c r="R60" s="148">
        <v>3.3720287451630734E-2</v>
      </c>
      <c r="S60" s="151">
        <v>3.3720287451630734E-2</v>
      </c>
      <c r="T60" s="4">
        <v>76</v>
      </c>
      <c r="U60" s="149">
        <f t="shared" si="0"/>
        <v>0</v>
      </c>
      <c r="V60" s="149">
        <f t="shared" si="1"/>
        <v>11.816500000000001</v>
      </c>
      <c r="W60" s="150">
        <f t="shared" si="2"/>
        <v>2.0625</v>
      </c>
      <c r="X60" s="147">
        <v>2.0625</v>
      </c>
      <c r="Y60" s="147">
        <v>13.879000000000001</v>
      </c>
      <c r="Z60" s="148">
        <v>0</v>
      </c>
      <c r="AA60" s="148">
        <v>0.17454406973300043</v>
      </c>
      <c r="AB60" s="151">
        <v>0.17454406973300043</v>
      </c>
    </row>
    <row r="61" spans="2:28">
      <c r="B61" s="4">
        <v>77</v>
      </c>
      <c r="C61" s="147"/>
      <c r="D61" s="147">
        <v>10.484999999999999</v>
      </c>
      <c r="E61" s="147">
        <v>3.6749999999999998</v>
      </c>
      <c r="F61" s="147">
        <v>3.6749999999999998</v>
      </c>
      <c r="G61" s="147">
        <v>14.16</v>
      </c>
      <c r="H61" s="148">
        <v>0</v>
      </c>
      <c r="I61" s="148">
        <v>0.35050071530758226</v>
      </c>
      <c r="J61" s="148">
        <v>0.35050071530758226</v>
      </c>
      <c r="K61" s="4">
        <v>77</v>
      </c>
      <c r="L61" s="147">
        <v>0</v>
      </c>
      <c r="M61" s="147">
        <v>12.143000000000001</v>
      </c>
      <c r="N61" s="147">
        <v>0.40400000000000003</v>
      </c>
      <c r="O61" s="147">
        <v>0.40400000000000003</v>
      </c>
      <c r="P61" s="147">
        <v>12.547000000000001</v>
      </c>
      <c r="Q61" s="148">
        <v>0</v>
      </c>
      <c r="R61" s="148">
        <v>3.327019682121387E-2</v>
      </c>
      <c r="S61" s="151">
        <v>3.327019682121387E-2</v>
      </c>
      <c r="T61" s="4">
        <v>77</v>
      </c>
      <c r="U61" s="149">
        <f t="shared" si="0"/>
        <v>0</v>
      </c>
      <c r="V61" s="149">
        <f t="shared" si="1"/>
        <v>11.314</v>
      </c>
      <c r="W61" s="150">
        <f t="shared" si="2"/>
        <v>2.0394999999999999</v>
      </c>
      <c r="X61" s="147">
        <v>2.0394999999999999</v>
      </c>
      <c r="Y61" s="147">
        <v>13.3535</v>
      </c>
      <c r="Z61" s="148">
        <v>0</v>
      </c>
      <c r="AA61" s="148">
        <v>0.18026339048965881</v>
      </c>
      <c r="AB61" s="151">
        <v>0.18026339048965881</v>
      </c>
    </row>
    <row r="62" spans="2:28">
      <c r="B62" s="4">
        <v>78</v>
      </c>
      <c r="C62" s="147"/>
      <c r="D62" s="147">
        <v>9.9969999999999999</v>
      </c>
      <c r="E62" s="147">
        <v>3.645</v>
      </c>
      <c r="F62" s="147">
        <v>3.645</v>
      </c>
      <c r="G62" s="147">
        <v>13.641999999999999</v>
      </c>
      <c r="H62" s="148">
        <v>0</v>
      </c>
      <c r="I62" s="148">
        <v>0.36460938281484445</v>
      </c>
      <c r="J62" s="148">
        <v>0.36460938281484445</v>
      </c>
      <c r="K62" s="4">
        <v>78</v>
      </c>
      <c r="L62" s="147">
        <v>0</v>
      </c>
      <c r="M62" s="147">
        <v>11.618</v>
      </c>
      <c r="N62" s="147">
        <v>0.38100000000000001</v>
      </c>
      <c r="O62" s="147">
        <v>0.38100000000000001</v>
      </c>
      <c r="P62" s="147">
        <v>11.999000000000001</v>
      </c>
      <c r="Q62" s="148">
        <v>0</v>
      </c>
      <c r="R62" s="148">
        <v>3.279394043725254E-2</v>
      </c>
      <c r="S62" s="151">
        <v>3.279394043725254E-2</v>
      </c>
      <c r="T62" s="4">
        <v>78</v>
      </c>
      <c r="U62" s="149">
        <f t="shared" si="0"/>
        <v>0</v>
      </c>
      <c r="V62" s="149">
        <f t="shared" si="1"/>
        <v>10.807500000000001</v>
      </c>
      <c r="W62" s="150">
        <f t="shared" si="2"/>
        <v>2.0129999999999999</v>
      </c>
      <c r="X62" s="147">
        <v>2.0129999999999999</v>
      </c>
      <c r="Y62" s="147">
        <v>12.820500000000001</v>
      </c>
      <c r="Z62" s="148">
        <v>0</v>
      </c>
      <c r="AA62" s="148">
        <v>0.1862595419847328</v>
      </c>
      <c r="AB62" s="151">
        <v>0.1862595419847328</v>
      </c>
    </row>
    <row r="63" spans="2:28">
      <c r="B63" s="4">
        <v>79</v>
      </c>
      <c r="C63" s="147"/>
      <c r="D63" s="147">
        <v>9.5079999999999991</v>
      </c>
      <c r="E63" s="147">
        <v>3.6070000000000002</v>
      </c>
      <c r="F63" s="147">
        <v>3.6070000000000002</v>
      </c>
      <c r="G63" s="147">
        <v>13.114999999999998</v>
      </c>
      <c r="H63" s="148">
        <v>0</v>
      </c>
      <c r="I63" s="148">
        <v>0.37936474547749272</v>
      </c>
      <c r="J63" s="148">
        <v>0.37936474547749272</v>
      </c>
      <c r="K63" s="4">
        <v>79</v>
      </c>
      <c r="L63" s="147">
        <v>0</v>
      </c>
      <c r="M63" s="147">
        <v>11.087999999999999</v>
      </c>
      <c r="N63" s="147">
        <v>0.35699999999999998</v>
      </c>
      <c r="O63" s="147">
        <v>0.35699999999999998</v>
      </c>
      <c r="P63" s="147">
        <v>11.444999999999999</v>
      </c>
      <c r="Q63" s="148">
        <v>0</v>
      </c>
      <c r="R63" s="148">
        <v>3.2196969696969696E-2</v>
      </c>
      <c r="S63" s="151">
        <v>3.2196969696969696E-2</v>
      </c>
      <c r="T63" s="4">
        <v>79</v>
      </c>
      <c r="U63" s="149">
        <f t="shared" si="0"/>
        <v>0</v>
      </c>
      <c r="V63" s="149">
        <f t="shared" si="1"/>
        <v>10.297999999999998</v>
      </c>
      <c r="W63" s="150">
        <f t="shared" si="2"/>
        <v>1.9820000000000002</v>
      </c>
      <c r="X63" s="147">
        <v>1.9820000000000002</v>
      </c>
      <c r="Y63" s="147">
        <v>12.279999999999998</v>
      </c>
      <c r="Z63" s="148">
        <v>0</v>
      </c>
      <c r="AA63" s="148">
        <v>0.19246455622450967</v>
      </c>
      <c r="AB63" s="151">
        <v>0.19246455622450967</v>
      </c>
    </row>
    <row r="64" spans="2:28">
      <c r="B64" s="4">
        <v>80</v>
      </c>
      <c r="C64" s="147"/>
      <c r="D64" s="147">
        <v>9.0210000000000008</v>
      </c>
      <c r="E64" s="147">
        <v>3.5619999999999998</v>
      </c>
      <c r="F64" s="147">
        <v>3.5619999999999998</v>
      </c>
      <c r="G64" s="147">
        <v>12.583</v>
      </c>
      <c r="H64" s="148">
        <v>0</v>
      </c>
      <c r="I64" s="148">
        <v>0.39485644607028042</v>
      </c>
      <c r="J64" s="148">
        <v>0.39485644607028042</v>
      </c>
      <c r="K64" s="4">
        <v>80</v>
      </c>
      <c r="L64" s="147">
        <v>0</v>
      </c>
      <c r="M64" s="147">
        <v>10.555</v>
      </c>
      <c r="N64" s="147">
        <v>0.33300000000000002</v>
      </c>
      <c r="O64" s="147">
        <v>0.33300000000000002</v>
      </c>
      <c r="P64" s="147">
        <v>10.888</v>
      </c>
      <c r="Q64" s="148">
        <v>0</v>
      </c>
      <c r="R64" s="148">
        <v>3.15490288962577E-2</v>
      </c>
      <c r="S64" s="151">
        <v>3.15490288962577E-2</v>
      </c>
      <c r="T64" s="4">
        <v>80</v>
      </c>
      <c r="U64" s="149">
        <f t="shared" si="0"/>
        <v>0</v>
      </c>
      <c r="V64" s="149">
        <f t="shared" si="1"/>
        <v>9.7880000000000003</v>
      </c>
      <c r="W64" s="150">
        <f t="shared" si="2"/>
        <v>1.9475</v>
      </c>
      <c r="X64" s="147">
        <v>1.9475</v>
      </c>
      <c r="Y64" s="147">
        <v>11.7355</v>
      </c>
      <c r="Z64" s="148">
        <v>0</v>
      </c>
      <c r="AA64" s="148">
        <v>0.19896812423375562</v>
      </c>
      <c r="AB64" s="151">
        <v>0.19896812423375562</v>
      </c>
    </row>
    <row r="65" spans="2:28">
      <c r="B65" s="4">
        <v>81</v>
      </c>
      <c r="C65" s="147"/>
      <c r="D65" s="147">
        <v>8.5380000000000003</v>
      </c>
      <c r="E65" s="147">
        <v>3.5070000000000001</v>
      </c>
      <c r="F65" s="147">
        <v>3.5070000000000001</v>
      </c>
      <c r="G65" s="147">
        <v>12.045</v>
      </c>
      <c r="H65" s="148">
        <v>0</v>
      </c>
      <c r="I65" s="148">
        <v>0.4107519325368939</v>
      </c>
      <c r="J65" s="148">
        <v>0.4107519325368939</v>
      </c>
      <c r="K65" s="4">
        <v>81</v>
      </c>
      <c r="L65" s="147">
        <v>0</v>
      </c>
      <c r="M65" s="147">
        <v>10.023</v>
      </c>
      <c r="N65" s="147">
        <v>0.309</v>
      </c>
      <c r="O65" s="147">
        <v>0.309</v>
      </c>
      <c r="P65" s="147">
        <v>10.331999999999999</v>
      </c>
      <c r="Q65" s="148">
        <v>0</v>
      </c>
      <c r="R65" s="148">
        <v>3.0829093085902426E-2</v>
      </c>
      <c r="S65" s="151">
        <v>3.0829093085902426E-2</v>
      </c>
      <c r="T65" s="4">
        <v>81</v>
      </c>
      <c r="U65" s="149">
        <f t="shared" si="0"/>
        <v>0</v>
      </c>
      <c r="V65" s="149">
        <f t="shared" si="1"/>
        <v>9.2805</v>
      </c>
      <c r="W65" s="150">
        <f t="shared" si="2"/>
        <v>1.9080000000000001</v>
      </c>
      <c r="X65" s="147">
        <v>1.9080000000000001</v>
      </c>
      <c r="Y65" s="147">
        <v>11.188499999999999</v>
      </c>
      <c r="Z65" s="148">
        <v>0</v>
      </c>
      <c r="AA65" s="148">
        <v>0.20559237110069503</v>
      </c>
      <c r="AB65" s="151">
        <v>0.20559237110069503</v>
      </c>
    </row>
    <row r="66" spans="2:28">
      <c r="B66" s="4">
        <v>82</v>
      </c>
      <c r="C66" s="147"/>
      <c r="D66" s="147">
        <v>8.0619999999999994</v>
      </c>
      <c r="E66" s="147">
        <v>3.4260000000000002</v>
      </c>
      <c r="F66" s="147">
        <v>3.4260000000000002</v>
      </c>
      <c r="G66" s="147">
        <v>11.488</v>
      </c>
      <c r="H66" s="148">
        <v>0</v>
      </c>
      <c r="I66" s="148">
        <v>0.42495658645497403</v>
      </c>
      <c r="J66" s="148">
        <v>0.42495658645497403</v>
      </c>
      <c r="K66" s="4">
        <v>82</v>
      </c>
      <c r="L66" s="147">
        <v>0</v>
      </c>
      <c r="M66" s="147">
        <v>9.4920000000000009</v>
      </c>
      <c r="N66" s="147">
        <v>0.28499999999999998</v>
      </c>
      <c r="O66" s="147">
        <v>0.28499999999999998</v>
      </c>
      <c r="P66" s="147">
        <v>9.777000000000001</v>
      </c>
      <c r="Q66" s="148">
        <v>0</v>
      </c>
      <c r="R66" s="148">
        <v>3.0025284450063205E-2</v>
      </c>
      <c r="S66" s="151">
        <v>3.0025284450063205E-2</v>
      </c>
      <c r="T66" s="4">
        <v>82</v>
      </c>
      <c r="U66" s="149">
        <f t="shared" si="0"/>
        <v>0</v>
      </c>
      <c r="V66" s="149">
        <f t="shared" si="1"/>
        <v>8.777000000000001</v>
      </c>
      <c r="W66" s="150">
        <f t="shared" si="2"/>
        <v>1.8555000000000001</v>
      </c>
      <c r="X66" s="147">
        <v>1.8555000000000001</v>
      </c>
      <c r="Y66" s="147">
        <v>10.6325</v>
      </c>
      <c r="Z66" s="148">
        <v>0</v>
      </c>
      <c r="AA66" s="148">
        <v>0.21140480802096387</v>
      </c>
      <c r="AB66" s="151">
        <v>0.21140480802096387</v>
      </c>
    </row>
    <row r="67" spans="2:28">
      <c r="B67" s="4">
        <v>83</v>
      </c>
      <c r="C67" s="147"/>
      <c r="D67" s="147">
        <v>7.5960000000000001</v>
      </c>
      <c r="E67" s="147">
        <v>3.3330000000000002</v>
      </c>
      <c r="F67" s="147">
        <v>3.3330000000000002</v>
      </c>
      <c r="G67" s="147">
        <v>10.929</v>
      </c>
      <c r="H67" s="148">
        <v>0</v>
      </c>
      <c r="I67" s="148">
        <v>0.43878357030015802</v>
      </c>
      <c r="J67" s="148">
        <v>0.43878357030015802</v>
      </c>
      <c r="K67" s="4">
        <v>83</v>
      </c>
      <c r="L67" s="147">
        <v>0</v>
      </c>
      <c r="M67" s="147">
        <v>8.9670000000000005</v>
      </c>
      <c r="N67" s="147">
        <v>0.26100000000000001</v>
      </c>
      <c r="O67" s="147">
        <v>0.26100000000000001</v>
      </c>
      <c r="P67" s="147">
        <v>9.2279999999999998</v>
      </c>
      <c r="Q67" s="148">
        <v>0</v>
      </c>
      <c r="R67" s="148">
        <v>2.9106724657075946E-2</v>
      </c>
      <c r="S67" s="151">
        <v>2.9106724657075946E-2</v>
      </c>
      <c r="T67" s="4">
        <v>83</v>
      </c>
      <c r="U67" s="149">
        <f t="shared" si="0"/>
        <v>0</v>
      </c>
      <c r="V67" s="149">
        <f t="shared" si="1"/>
        <v>8.2815000000000012</v>
      </c>
      <c r="W67" s="150">
        <f t="shared" si="2"/>
        <v>1.7970000000000002</v>
      </c>
      <c r="X67" s="147">
        <v>1.7970000000000002</v>
      </c>
      <c r="Y67" s="147">
        <v>10.078500000000002</v>
      </c>
      <c r="Z67" s="148">
        <v>0</v>
      </c>
      <c r="AA67" s="148">
        <v>0.21698967578337255</v>
      </c>
      <c r="AB67" s="151">
        <v>0.21698967578337255</v>
      </c>
    </row>
    <row r="68" spans="2:28">
      <c r="B68" s="4">
        <v>84</v>
      </c>
      <c r="C68" s="147"/>
      <c r="D68" s="147">
        <v>7.1429999999999998</v>
      </c>
      <c r="E68" s="147">
        <v>3.2280000000000002</v>
      </c>
      <c r="F68" s="147">
        <v>3.2280000000000002</v>
      </c>
      <c r="G68" s="147">
        <v>10.371</v>
      </c>
      <c r="H68" s="148">
        <v>0</v>
      </c>
      <c r="I68" s="148">
        <v>0.45191096178076445</v>
      </c>
      <c r="J68" s="148">
        <v>0.45191096178076445</v>
      </c>
      <c r="K68" s="4">
        <v>84</v>
      </c>
      <c r="L68" s="147">
        <v>0</v>
      </c>
      <c r="M68" s="147">
        <v>8.4499999999999993</v>
      </c>
      <c r="N68" s="147">
        <v>0.23799999999999999</v>
      </c>
      <c r="O68" s="147">
        <v>0.23799999999999999</v>
      </c>
      <c r="P68" s="147">
        <v>8.6879999999999988</v>
      </c>
      <c r="Q68" s="148">
        <v>0</v>
      </c>
      <c r="R68" s="148">
        <v>2.816568047337278E-2</v>
      </c>
      <c r="S68" s="151">
        <v>2.816568047337278E-2</v>
      </c>
      <c r="T68" s="4">
        <v>84</v>
      </c>
      <c r="U68" s="149">
        <f t="shared" si="0"/>
        <v>0</v>
      </c>
      <c r="V68" s="149">
        <f t="shared" si="1"/>
        <v>7.7965</v>
      </c>
      <c r="W68" s="150">
        <f t="shared" si="2"/>
        <v>1.7330000000000001</v>
      </c>
      <c r="X68" s="147">
        <v>1.7330000000000001</v>
      </c>
      <c r="Y68" s="147">
        <v>9.5295000000000005</v>
      </c>
      <c r="Z68" s="148">
        <v>0</v>
      </c>
      <c r="AA68" s="148">
        <v>0.22227922785865453</v>
      </c>
      <c r="AB68" s="151">
        <v>0.22227922785865453</v>
      </c>
    </row>
    <row r="69" spans="2:28">
      <c r="B69" s="4">
        <v>85</v>
      </c>
      <c r="C69" s="147"/>
      <c r="D69" s="147">
        <v>6.7080000000000002</v>
      </c>
      <c r="E69" s="147">
        <v>3.1139999999999999</v>
      </c>
      <c r="F69" s="147">
        <v>3.1139999999999999</v>
      </c>
      <c r="G69" s="147">
        <v>9.8219999999999992</v>
      </c>
      <c r="H69" s="148">
        <v>0</v>
      </c>
      <c r="I69" s="148">
        <v>0.46422182468694095</v>
      </c>
      <c r="J69" s="148">
        <v>0.46422182468694095</v>
      </c>
      <c r="K69" s="4">
        <v>85</v>
      </c>
      <c r="L69" s="147">
        <v>0</v>
      </c>
      <c r="M69" s="147">
        <v>7.944</v>
      </c>
      <c r="N69" s="147">
        <v>0.21199999999999999</v>
      </c>
      <c r="O69" s="147">
        <v>0.21199999999999999</v>
      </c>
      <c r="P69" s="147">
        <v>8.1560000000000006</v>
      </c>
      <c r="Q69" s="148">
        <v>0</v>
      </c>
      <c r="R69" s="148">
        <v>2.6686807653575024E-2</v>
      </c>
      <c r="S69" s="151">
        <v>2.6686807653575024E-2</v>
      </c>
      <c r="T69" s="4">
        <v>85</v>
      </c>
      <c r="U69" s="149">
        <f t="shared" ref="U69:U84" si="3">(L69+C69)/2</f>
        <v>0</v>
      </c>
      <c r="V69" s="149">
        <f t="shared" ref="V69:V84" si="4">+(M69+D69)/2</f>
        <v>7.3260000000000005</v>
      </c>
      <c r="W69" s="150">
        <f t="shared" ref="W69:W84" si="5">(N69+E69)/2</f>
        <v>1.663</v>
      </c>
      <c r="X69" s="147">
        <v>1.663</v>
      </c>
      <c r="Y69" s="147">
        <v>8.9890000000000008</v>
      </c>
      <c r="Z69" s="148">
        <v>0</v>
      </c>
      <c r="AA69" s="148">
        <v>0.22699972699972698</v>
      </c>
      <c r="AB69" s="151">
        <v>0.22699972699972698</v>
      </c>
    </row>
    <row r="70" spans="2:28">
      <c r="B70" s="4">
        <v>86</v>
      </c>
      <c r="C70" s="147"/>
      <c r="D70" s="147">
        <v>6.2949999999999999</v>
      </c>
      <c r="E70" s="147">
        <v>2.992</v>
      </c>
      <c r="F70" s="147">
        <v>2.992</v>
      </c>
      <c r="G70" s="147">
        <v>9.286999999999999</v>
      </c>
      <c r="H70" s="148">
        <v>0</v>
      </c>
      <c r="I70" s="148">
        <v>0.47529785544082603</v>
      </c>
      <c r="J70" s="148">
        <v>0.47529785544082603</v>
      </c>
      <c r="K70" s="4">
        <v>86</v>
      </c>
      <c r="L70" s="147">
        <v>0</v>
      </c>
      <c r="M70" s="147">
        <v>7.452</v>
      </c>
      <c r="N70" s="147">
        <v>0.186</v>
      </c>
      <c r="O70" s="147">
        <v>0.186</v>
      </c>
      <c r="P70" s="147">
        <v>7.6379999999999999</v>
      </c>
      <c r="Q70" s="148">
        <v>0</v>
      </c>
      <c r="R70" s="148">
        <v>2.4959742351046699E-2</v>
      </c>
      <c r="S70" s="151">
        <v>2.4959742351046699E-2</v>
      </c>
      <c r="T70" s="4">
        <v>86</v>
      </c>
      <c r="U70" s="149">
        <f t="shared" si="3"/>
        <v>0</v>
      </c>
      <c r="V70" s="149">
        <f t="shared" si="4"/>
        <v>6.8734999999999999</v>
      </c>
      <c r="W70" s="150">
        <f t="shared" si="5"/>
        <v>1.589</v>
      </c>
      <c r="X70" s="147">
        <v>1.589</v>
      </c>
      <c r="Y70" s="147">
        <v>8.4625000000000004</v>
      </c>
      <c r="Z70" s="148">
        <v>0</v>
      </c>
      <c r="AA70" s="148">
        <v>0.23117771150069105</v>
      </c>
      <c r="AB70" s="151">
        <v>0.23117771150069105</v>
      </c>
    </row>
    <row r="71" spans="2:28">
      <c r="B71" s="4">
        <v>87</v>
      </c>
      <c r="C71" s="147"/>
      <c r="D71" s="147">
        <v>5.9089999999999998</v>
      </c>
      <c r="E71" s="147">
        <v>2.8650000000000002</v>
      </c>
      <c r="F71" s="147">
        <v>2.8650000000000002</v>
      </c>
      <c r="G71" s="147">
        <v>8.7740000000000009</v>
      </c>
      <c r="H71" s="148">
        <v>0</v>
      </c>
      <c r="I71" s="148">
        <v>0.4848536131325098</v>
      </c>
      <c r="J71" s="148">
        <v>0.4848536131325098</v>
      </c>
      <c r="K71" s="4">
        <v>87</v>
      </c>
      <c r="L71" s="147">
        <v>0</v>
      </c>
      <c r="M71" s="147">
        <v>6.9770000000000003</v>
      </c>
      <c r="N71" s="147">
        <v>0.16200000000000001</v>
      </c>
      <c r="O71" s="147">
        <v>0.16200000000000001</v>
      </c>
      <c r="P71" s="147">
        <v>7.1390000000000002</v>
      </c>
      <c r="Q71" s="148">
        <v>0</v>
      </c>
      <c r="R71" s="148">
        <v>2.3219148631216855E-2</v>
      </c>
      <c r="S71" s="151">
        <v>2.3219148631216855E-2</v>
      </c>
      <c r="T71" s="4">
        <v>87</v>
      </c>
      <c r="U71" s="149">
        <f t="shared" si="3"/>
        <v>0</v>
      </c>
      <c r="V71" s="149">
        <f t="shared" si="4"/>
        <v>6.4429999999999996</v>
      </c>
      <c r="W71" s="150">
        <f t="shared" si="5"/>
        <v>1.5135000000000001</v>
      </c>
      <c r="X71" s="147">
        <v>1.5135000000000001</v>
      </c>
      <c r="Y71" s="147">
        <v>7.9565000000000001</v>
      </c>
      <c r="Z71" s="148">
        <v>0</v>
      </c>
      <c r="AA71" s="148">
        <v>0.23490609964302345</v>
      </c>
      <c r="AB71" s="151">
        <v>0.23490609964302345</v>
      </c>
    </row>
    <row r="72" spans="2:28">
      <c r="B72" s="4">
        <v>88</v>
      </c>
      <c r="C72" s="147"/>
      <c r="D72" s="147">
        <v>5.5570000000000004</v>
      </c>
      <c r="E72" s="147">
        <v>2.7050000000000001</v>
      </c>
      <c r="F72" s="147">
        <v>2.7050000000000001</v>
      </c>
      <c r="G72" s="147">
        <v>8.2620000000000005</v>
      </c>
      <c r="H72" s="148">
        <v>0</v>
      </c>
      <c r="I72" s="148">
        <v>0.48677343890588443</v>
      </c>
      <c r="J72" s="148">
        <v>0.48677343890588443</v>
      </c>
      <c r="K72" s="4">
        <v>88</v>
      </c>
      <c r="L72" s="147">
        <v>0</v>
      </c>
      <c r="M72" s="147">
        <v>6.5209999999999999</v>
      </c>
      <c r="N72" s="147">
        <v>0.14000000000000001</v>
      </c>
      <c r="O72" s="147">
        <v>0.14000000000000001</v>
      </c>
      <c r="P72" s="147">
        <v>6.6609999999999996</v>
      </c>
      <c r="Q72" s="148">
        <v>0</v>
      </c>
      <c r="R72" s="148">
        <v>2.1469099831314217E-2</v>
      </c>
      <c r="S72" s="151">
        <v>2.1469099831314217E-2</v>
      </c>
      <c r="T72" s="4">
        <v>88</v>
      </c>
      <c r="U72" s="149">
        <f t="shared" si="3"/>
        <v>0</v>
      </c>
      <c r="V72" s="149">
        <f t="shared" si="4"/>
        <v>6.0389999999999997</v>
      </c>
      <c r="W72" s="150">
        <f t="shared" si="5"/>
        <v>1.4225000000000001</v>
      </c>
      <c r="X72" s="147">
        <v>1.4225000000000001</v>
      </c>
      <c r="Y72" s="147">
        <v>7.4615</v>
      </c>
      <c r="Z72" s="148">
        <v>0</v>
      </c>
      <c r="AA72" s="148">
        <v>0.23555224374896508</v>
      </c>
      <c r="AB72" s="151">
        <v>0.23555224374896508</v>
      </c>
    </row>
    <row r="73" spans="2:28">
      <c r="B73" s="4">
        <v>89</v>
      </c>
      <c r="C73" s="147"/>
      <c r="D73" s="147">
        <v>5.2469999999999999</v>
      </c>
      <c r="E73" s="147">
        <v>2.5379999999999998</v>
      </c>
      <c r="F73" s="147">
        <v>2.5379999999999998</v>
      </c>
      <c r="G73" s="147">
        <v>7.7850000000000001</v>
      </c>
      <c r="H73" s="148">
        <v>0</v>
      </c>
      <c r="I73" s="148">
        <v>0.483704974271012</v>
      </c>
      <c r="J73" s="148">
        <v>0.483704974271012</v>
      </c>
      <c r="K73" s="4">
        <v>89</v>
      </c>
      <c r="L73" s="147">
        <v>0</v>
      </c>
      <c r="M73" s="147">
        <v>6.093</v>
      </c>
      <c r="N73" s="147">
        <v>0.11700000000000001</v>
      </c>
      <c r="O73" s="147">
        <v>0.11700000000000001</v>
      </c>
      <c r="P73" s="147">
        <v>6.21</v>
      </c>
      <c r="Q73" s="148">
        <v>0</v>
      </c>
      <c r="R73" s="148">
        <v>1.9202363367799114E-2</v>
      </c>
      <c r="S73" s="151">
        <v>1.9202363367799114E-2</v>
      </c>
      <c r="T73" s="4">
        <v>89</v>
      </c>
      <c r="U73" s="149">
        <f t="shared" si="3"/>
        <v>0</v>
      </c>
      <c r="V73" s="149">
        <f t="shared" si="4"/>
        <v>5.67</v>
      </c>
      <c r="W73" s="150">
        <f t="shared" si="5"/>
        <v>1.3274999999999999</v>
      </c>
      <c r="X73" s="147">
        <v>1.3274999999999999</v>
      </c>
      <c r="Y73" s="147">
        <v>6.9974999999999996</v>
      </c>
      <c r="Z73" s="148">
        <v>0</v>
      </c>
      <c r="AA73" s="148">
        <v>0.2341269841269841</v>
      </c>
      <c r="AB73" s="151">
        <v>0.2341269841269841</v>
      </c>
    </row>
    <row r="74" spans="2:28">
      <c r="B74" s="4">
        <v>90</v>
      </c>
      <c r="C74" s="147"/>
      <c r="D74" s="147">
        <v>4.9669999999999996</v>
      </c>
      <c r="E74" s="147">
        <v>2.3759999999999999</v>
      </c>
      <c r="F74" s="147">
        <v>2.3759999999999999</v>
      </c>
      <c r="G74" s="147">
        <v>7.343</v>
      </c>
      <c r="H74" s="148">
        <v>0</v>
      </c>
      <c r="I74" s="148">
        <v>0.47835715723776928</v>
      </c>
      <c r="J74" s="148">
        <v>0.47835715723776928</v>
      </c>
      <c r="K74" s="4">
        <v>90</v>
      </c>
      <c r="L74" s="147">
        <v>0</v>
      </c>
      <c r="M74" s="147">
        <v>5.694</v>
      </c>
      <c r="N74" s="147">
        <v>9.7000000000000003E-2</v>
      </c>
      <c r="O74" s="147">
        <v>9.7000000000000003E-2</v>
      </c>
      <c r="P74" s="147">
        <v>5.7910000000000004</v>
      </c>
      <c r="Q74" s="148">
        <v>0</v>
      </c>
      <c r="R74" s="148">
        <v>1.7035475939585529E-2</v>
      </c>
      <c r="S74" s="151">
        <v>1.7035475939585529E-2</v>
      </c>
      <c r="T74" s="4">
        <v>90</v>
      </c>
      <c r="U74" s="149">
        <f t="shared" si="3"/>
        <v>0</v>
      </c>
      <c r="V74" s="149">
        <f t="shared" si="4"/>
        <v>5.3304999999999998</v>
      </c>
      <c r="W74" s="150">
        <f t="shared" si="5"/>
        <v>1.2364999999999999</v>
      </c>
      <c r="X74" s="147">
        <v>1.2364999999999999</v>
      </c>
      <c r="Y74" s="147">
        <v>6.5670000000000002</v>
      </c>
      <c r="Z74" s="148">
        <v>0</v>
      </c>
      <c r="AA74" s="148">
        <v>0.23196698245943156</v>
      </c>
      <c r="AB74" s="151">
        <v>0.23196698245943156</v>
      </c>
    </row>
    <row r="75" spans="2:28">
      <c r="B75" s="4">
        <v>91</v>
      </c>
      <c r="C75" s="147"/>
      <c r="D75" s="147">
        <v>4.7060000000000004</v>
      </c>
      <c r="E75" s="147">
        <v>2.1920000000000002</v>
      </c>
      <c r="F75" s="147">
        <v>2.1920000000000002</v>
      </c>
      <c r="G75" s="147">
        <v>6.8980000000000006</v>
      </c>
      <c r="H75" s="148">
        <v>0</v>
      </c>
      <c r="I75" s="148">
        <v>0.46578835529111773</v>
      </c>
      <c r="J75" s="148">
        <v>0.46578835529111773</v>
      </c>
      <c r="K75" s="4">
        <v>91</v>
      </c>
      <c r="L75" s="147">
        <v>0</v>
      </c>
      <c r="M75" s="147">
        <v>5.3259999999999996</v>
      </c>
      <c r="N75" s="147">
        <v>0.08</v>
      </c>
      <c r="O75" s="147">
        <v>0.08</v>
      </c>
      <c r="P75" s="147">
        <v>5.4059999999999997</v>
      </c>
      <c r="Q75" s="148">
        <v>0</v>
      </c>
      <c r="R75" s="148">
        <v>1.5020653398422833E-2</v>
      </c>
      <c r="S75" s="151">
        <v>1.5020653398422833E-2</v>
      </c>
      <c r="T75" s="4">
        <v>91</v>
      </c>
      <c r="U75" s="149">
        <f t="shared" si="3"/>
        <v>0</v>
      </c>
      <c r="V75" s="149">
        <f t="shared" si="4"/>
        <v>5.016</v>
      </c>
      <c r="W75" s="150">
        <f t="shared" si="5"/>
        <v>1.1360000000000001</v>
      </c>
      <c r="X75" s="147">
        <v>1.1360000000000001</v>
      </c>
      <c r="Y75" s="147">
        <v>6.1520000000000001</v>
      </c>
      <c r="Z75" s="148">
        <v>0</v>
      </c>
      <c r="AA75" s="148">
        <v>0.22647527910685808</v>
      </c>
      <c r="AB75" s="151">
        <v>0.22647527910685808</v>
      </c>
    </row>
    <row r="76" spans="2:28">
      <c r="B76" s="4">
        <v>92</v>
      </c>
      <c r="C76" s="147"/>
      <c r="D76" s="147">
        <v>4.4630000000000001</v>
      </c>
      <c r="E76" s="147">
        <v>2.024</v>
      </c>
      <c r="F76" s="147">
        <v>2.024</v>
      </c>
      <c r="G76" s="147">
        <v>6.4870000000000001</v>
      </c>
      <c r="H76" s="148">
        <v>0</v>
      </c>
      <c r="I76" s="148">
        <v>0.45350660990365227</v>
      </c>
      <c r="J76" s="148">
        <v>0.45350660990365227</v>
      </c>
      <c r="K76" s="4">
        <v>92</v>
      </c>
      <c r="L76" s="147">
        <v>0</v>
      </c>
      <c r="M76" s="147">
        <v>4.99</v>
      </c>
      <c r="N76" s="147">
        <v>6.4000000000000001E-2</v>
      </c>
      <c r="O76" s="147">
        <v>6.4000000000000001E-2</v>
      </c>
      <c r="P76" s="147">
        <v>5.0540000000000003</v>
      </c>
      <c r="Q76" s="148">
        <v>0</v>
      </c>
      <c r="R76" s="148">
        <v>1.282565130260521E-2</v>
      </c>
      <c r="S76" s="151">
        <v>1.282565130260521E-2</v>
      </c>
      <c r="T76" s="4">
        <v>92</v>
      </c>
      <c r="U76" s="149">
        <f t="shared" si="3"/>
        <v>0</v>
      </c>
      <c r="V76" s="149">
        <f t="shared" si="4"/>
        <v>4.7264999999999997</v>
      </c>
      <c r="W76" s="150">
        <f t="shared" si="5"/>
        <v>1.044</v>
      </c>
      <c r="X76" s="147">
        <v>1.044</v>
      </c>
      <c r="Y76" s="147">
        <v>5.7705000000000002</v>
      </c>
      <c r="Z76" s="148">
        <v>0</v>
      </c>
      <c r="AA76" s="148">
        <v>0.22088225960012697</v>
      </c>
      <c r="AB76" s="151">
        <v>0.22088225960012697</v>
      </c>
    </row>
    <row r="77" spans="2:28">
      <c r="B77" s="4">
        <v>93</v>
      </c>
      <c r="C77" s="147"/>
      <c r="D77" s="147">
        <v>4.2380000000000004</v>
      </c>
      <c r="E77" s="147">
        <v>1.839</v>
      </c>
      <c r="F77" s="147">
        <v>1.839</v>
      </c>
      <c r="G77" s="147">
        <v>6.077</v>
      </c>
      <c r="H77" s="148">
        <v>0</v>
      </c>
      <c r="I77" s="148">
        <v>0.43393109957527132</v>
      </c>
      <c r="J77" s="148">
        <v>0.43393109957527132</v>
      </c>
      <c r="K77" s="4">
        <v>93</v>
      </c>
      <c r="L77" s="147">
        <v>0</v>
      </c>
      <c r="M77" s="147">
        <v>4.6840000000000002</v>
      </c>
      <c r="N77" s="147">
        <v>5.1999999999999998E-2</v>
      </c>
      <c r="O77" s="147">
        <v>5.1999999999999998E-2</v>
      </c>
      <c r="P77" s="147">
        <v>4.7359999999999998</v>
      </c>
      <c r="Q77" s="148">
        <v>0</v>
      </c>
      <c r="R77" s="148">
        <v>1.1101622544833475E-2</v>
      </c>
      <c r="S77" s="151">
        <v>1.1101622544833475E-2</v>
      </c>
      <c r="T77" s="4">
        <v>93</v>
      </c>
      <c r="U77" s="149">
        <f t="shared" si="3"/>
        <v>0</v>
      </c>
      <c r="V77" s="149">
        <f t="shared" si="4"/>
        <v>4.4610000000000003</v>
      </c>
      <c r="W77" s="150">
        <f t="shared" si="5"/>
        <v>0.94550000000000001</v>
      </c>
      <c r="X77" s="147">
        <v>0.94550000000000001</v>
      </c>
      <c r="Y77" s="147">
        <v>5.4065000000000003</v>
      </c>
      <c r="Z77" s="148">
        <v>0</v>
      </c>
      <c r="AA77" s="148">
        <v>0.21194799372338038</v>
      </c>
      <c r="AB77" s="151">
        <v>0.21194799372338038</v>
      </c>
    </row>
    <row r="78" spans="2:28">
      <c r="B78" s="4">
        <v>94</v>
      </c>
      <c r="C78" s="147"/>
      <c r="D78" s="147">
        <v>4.0309999999999997</v>
      </c>
      <c r="E78" s="147">
        <v>1.6739999999999999</v>
      </c>
      <c r="F78" s="147">
        <v>1.6739999999999999</v>
      </c>
      <c r="G78" s="147">
        <v>5.7050000000000001</v>
      </c>
      <c r="H78" s="148">
        <v>0</v>
      </c>
      <c r="I78" s="148">
        <v>0.41528156784916898</v>
      </c>
      <c r="J78" s="148">
        <v>0.41528156784916898</v>
      </c>
      <c r="K78" s="4">
        <v>94</v>
      </c>
      <c r="L78" s="147">
        <v>0</v>
      </c>
      <c r="M78" s="147">
        <v>4.4039999999999999</v>
      </c>
      <c r="N78" s="147">
        <v>4.2000000000000003E-2</v>
      </c>
      <c r="O78" s="147">
        <v>4.2000000000000003E-2</v>
      </c>
      <c r="P78" s="147">
        <v>4.4459999999999997</v>
      </c>
      <c r="Q78" s="148">
        <v>0</v>
      </c>
      <c r="R78" s="148">
        <v>9.5367847411444145E-3</v>
      </c>
      <c r="S78" s="151">
        <v>9.5367847411444145E-3</v>
      </c>
      <c r="T78" s="4">
        <v>94</v>
      </c>
      <c r="U78" s="149">
        <f t="shared" si="3"/>
        <v>0</v>
      </c>
      <c r="V78" s="149">
        <f t="shared" si="4"/>
        <v>4.2174999999999994</v>
      </c>
      <c r="W78" s="150">
        <f t="shared" si="5"/>
        <v>0.85799999999999998</v>
      </c>
      <c r="X78" s="147">
        <v>0.85799999999999998</v>
      </c>
      <c r="Y78" s="147">
        <v>5.075499999999999</v>
      </c>
      <c r="Z78" s="148">
        <v>0</v>
      </c>
      <c r="AA78" s="148">
        <v>0.20343805572021342</v>
      </c>
      <c r="AB78" s="151">
        <v>0.20343805572021342</v>
      </c>
    </row>
    <row r="79" spans="2:28">
      <c r="B79" s="4">
        <v>95</v>
      </c>
      <c r="C79" s="147"/>
      <c r="D79" s="147">
        <v>3.8420000000000001</v>
      </c>
      <c r="E79" s="147">
        <v>1.528</v>
      </c>
      <c r="F79" s="147">
        <v>1.528</v>
      </c>
      <c r="G79" s="147">
        <v>5.37</v>
      </c>
      <c r="H79" s="148">
        <v>0</v>
      </c>
      <c r="I79" s="148">
        <v>0.39770952628839146</v>
      </c>
      <c r="J79" s="148">
        <v>0.39770952628839146</v>
      </c>
      <c r="K79" s="4">
        <v>95</v>
      </c>
      <c r="L79" s="147">
        <v>0</v>
      </c>
      <c r="M79" s="147">
        <v>4.149</v>
      </c>
      <c r="N79" s="147">
        <v>3.4000000000000002E-2</v>
      </c>
      <c r="O79" s="147">
        <v>3.4000000000000002E-2</v>
      </c>
      <c r="P79" s="147">
        <v>4.1829999999999998</v>
      </c>
      <c r="Q79" s="148">
        <v>0</v>
      </c>
      <c r="R79" s="148">
        <v>8.1947457218606891E-3</v>
      </c>
      <c r="S79" s="151">
        <v>8.1947457218606891E-3</v>
      </c>
      <c r="T79" s="4">
        <v>95</v>
      </c>
      <c r="U79" s="149">
        <f t="shared" si="3"/>
        <v>0</v>
      </c>
      <c r="V79" s="149">
        <f t="shared" si="4"/>
        <v>3.9954999999999998</v>
      </c>
      <c r="W79" s="150">
        <f t="shared" si="5"/>
        <v>0.78100000000000003</v>
      </c>
      <c r="X79" s="147">
        <v>0.78100000000000003</v>
      </c>
      <c r="Y79" s="147">
        <v>4.7764999999999995</v>
      </c>
      <c r="Z79" s="148">
        <v>0</v>
      </c>
      <c r="AA79" s="148">
        <v>0.1954699036415968</v>
      </c>
      <c r="AB79" s="151">
        <v>0.1954699036415968</v>
      </c>
    </row>
    <row r="80" spans="2:28">
      <c r="B80" s="4">
        <v>96</v>
      </c>
      <c r="C80" s="147"/>
      <c r="D80" s="147">
        <v>3.67</v>
      </c>
      <c r="E80" s="147">
        <v>1.3640000000000001</v>
      </c>
      <c r="F80" s="147">
        <v>1.3640000000000001</v>
      </c>
      <c r="G80" s="147">
        <v>5.0339999999999998</v>
      </c>
      <c r="H80" s="148">
        <v>0</v>
      </c>
      <c r="I80" s="148">
        <v>0.3716621253405995</v>
      </c>
      <c r="J80" s="148">
        <v>0.3716621253405995</v>
      </c>
      <c r="K80" s="4">
        <v>96</v>
      </c>
      <c r="L80" s="147">
        <v>0</v>
      </c>
      <c r="M80" s="147">
        <v>3.919</v>
      </c>
      <c r="N80" s="147">
        <v>2.7E-2</v>
      </c>
      <c r="O80" s="147">
        <v>2.7E-2</v>
      </c>
      <c r="P80" s="147">
        <v>3.9460000000000002</v>
      </c>
      <c r="Q80" s="148">
        <v>0</v>
      </c>
      <c r="R80" s="148">
        <v>6.8895126307731563E-3</v>
      </c>
      <c r="S80" s="151">
        <v>6.8895126307731563E-3</v>
      </c>
      <c r="T80" s="4">
        <v>96</v>
      </c>
      <c r="U80" s="149">
        <f t="shared" si="3"/>
        <v>0</v>
      </c>
      <c r="V80" s="149">
        <f t="shared" si="4"/>
        <v>3.7945000000000002</v>
      </c>
      <c r="W80" s="150">
        <f t="shared" si="5"/>
        <v>0.69550000000000001</v>
      </c>
      <c r="X80" s="147">
        <v>0.69550000000000001</v>
      </c>
      <c r="Y80" s="147">
        <v>4.49</v>
      </c>
      <c r="Z80" s="148">
        <v>0</v>
      </c>
      <c r="AA80" s="148">
        <v>0.18329160627223612</v>
      </c>
      <c r="AB80" s="151">
        <v>0.18329160627223612</v>
      </c>
    </row>
    <row r="81" spans="2:28">
      <c r="B81" s="4">
        <v>97</v>
      </c>
      <c r="C81" s="147"/>
      <c r="D81" s="147">
        <v>3.5129999999999999</v>
      </c>
      <c r="E81" s="147">
        <v>1.2110000000000001</v>
      </c>
      <c r="F81" s="147">
        <v>1.2110000000000001</v>
      </c>
      <c r="G81" s="147">
        <v>4.7240000000000002</v>
      </c>
      <c r="H81" s="148">
        <v>0</v>
      </c>
      <c r="I81" s="148">
        <v>0.34471961286649588</v>
      </c>
      <c r="J81" s="148">
        <v>0.34471961286649588</v>
      </c>
      <c r="K81" s="4">
        <v>97</v>
      </c>
      <c r="L81" s="147">
        <v>0</v>
      </c>
      <c r="M81" s="147">
        <v>3.7130000000000001</v>
      </c>
      <c r="N81" s="147">
        <v>2.1000000000000001E-2</v>
      </c>
      <c r="O81" s="147">
        <v>2.1000000000000001E-2</v>
      </c>
      <c r="P81" s="147">
        <v>3.734</v>
      </c>
      <c r="Q81" s="148">
        <v>0</v>
      </c>
      <c r="R81" s="148">
        <v>5.655803932130353E-3</v>
      </c>
      <c r="S81" s="151">
        <v>5.655803932130353E-3</v>
      </c>
      <c r="T81" s="4">
        <v>97</v>
      </c>
      <c r="U81" s="149">
        <f t="shared" si="3"/>
        <v>0</v>
      </c>
      <c r="V81" s="149">
        <f t="shared" si="4"/>
        <v>3.613</v>
      </c>
      <c r="W81" s="150">
        <f t="shared" si="5"/>
        <v>0.61599999999999999</v>
      </c>
      <c r="X81" s="147">
        <v>0.61599999999999999</v>
      </c>
      <c r="Y81" s="147">
        <v>4.2290000000000001</v>
      </c>
      <c r="Z81" s="148">
        <v>0</v>
      </c>
      <c r="AA81" s="148">
        <v>0.17049543315804042</v>
      </c>
      <c r="AB81" s="151">
        <v>0.17049543315804042</v>
      </c>
    </row>
    <row r="82" spans="2:28">
      <c r="B82" s="4">
        <v>98</v>
      </c>
      <c r="C82" s="147"/>
      <c r="D82" s="147">
        <v>3.371</v>
      </c>
      <c r="E82" s="147">
        <v>1.038</v>
      </c>
      <c r="F82" s="147">
        <v>1.038</v>
      </c>
      <c r="G82" s="147">
        <v>4.4089999999999998</v>
      </c>
      <c r="H82" s="148">
        <v>0</v>
      </c>
      <c r="I82" s="148">
        <v>0.30792049836843666</v>
      </c>
      <c r="J82" s="148">
        <v>0.30792049836843666</v>
      </c>
      <c r="K82" s="4">
        <v>98</v>
      </c>
      <c r="L82" s="147">
        <v>0</v>
      </c>
      <c r="M82" s="147">
        <v>3.53</v>
      </c>
      <c r="N82" s="147">
        <v>1.6E-2</v>
      </c>
      <c r="O82" s="147">
        <v>1.6E-2</v>
      </c>
      <c r="P82" s="147">
        <v>3.5459999999999998</v>
      </c>
      <c r="Q82" s="148">
        <v>0</v>
      </c>
      <c r="R82" s="148">
        <v>4.5325779036827201E-3</v>
      </c>
      <c r="S82" s="151">
        <v>4.5325779036827201E-3</v>
      </c>
      <c r="T82" s="4">
        <v>98</v>
      </c>
      <c r="U82" s="149">
        <f t="shared" si="3"/>
        <v>0</v>
      </c>
      <c r="V82" s="149">
        <f t="shared" si="4"/>
        <v>3.4504999999999999</v>
      </c>
      <c r="W82" s="150">
        <f t="shared" si="5"/>
        <v>0.52700000000000002</v>
      </c>
      <c r="X82" s="147">
        <v>0.52700000000000002</v>
      </c>
      <c r="Y82" s="147">
        <v>3.9775</v>
      </c>
      <c r="Z82" s="148">
        <v>0</v>
      </c>
      <c r="AA82" s="148">
        <v>0.15273148819011739</v>
      </c>
      <c r="AB82" s="151">
        <v>0.15273148819011739</v>
      </c>
    </row>
    <row r="83" spans="2:28">
      <c r="B83" s="4">
        <v>99</v>
      </c>
      <c r="C83" s="147"/>
      <c r="D83" s="147">
        <v>3.2429999999999999</v>
      </c>
      <c r="E83" s="147">
        <v>0.84499999999999997</v>
      </c>
      <c r="F83" s="147">
        <v>0.84499999999999997</v>
      </c>
      <c r="G83" s="147">
        <v>4.0880000000000001</v>
      </c>
      <c r="H83" s="148">
        <v>0</v>
      </c>
      <c r="I83" s="148">
        <v>0.26056120875732347</v>
      </c>
      <c r="J83" s="148">
        <v>0.26056120875732347</v>
      </c>
      <c r="K83" s="4">
        <v>99</v>
      </c>
      <c r="L83" s="147">
        <v>0</v>
      </c>
      <c r="M83" s="147">
        <v>3.3690000000000002</v>
      </c>
      <c r="N83" s="147">
        <v>1.2999999999999999E-2</v>
      </c>
      <c r="O83" s="147">
        <v>1.2999999999999999E-2</v>
      </c>
      <c r="P83" s="147">
        <v>3.3820000000000001</v>
      </c>
      <c r="Q83" s="148">
        <v>0</v>
      </c>
      <c r="R83" s="148">
        <v>3.8587117839121395E-3</v>
      </c>
      <c r="S83" s="151">
        <v>3.8587117839121395E-3</v>
      </c>
      <c r="T83" s="4">
        <v>99</v>
      </c>
      <c r="U83" s="149">
        <f t="shared" si="3"/>
        <v>0</v>
      </c>
      <c r="V83" s="149">
        <f t="shared" si="4"/>
        <v>3.306</v>
      </c>
      <c r="W83" s="150">
        <f t="shared" si="5"/>
        <v>0.42899999999999999</v>
      </c>
      <c r="X83" s="147">
        <v>0.42899999999999999</v>
      </c>
      <c r="Y83" s="147">
        <v>3.7349999999999999</v>
      </c>
      <c r="Z83" s="148">
        <v>0</v>
      </c>
      <c r="AA83" s="148">
        <v>0.12976406533575316</v>
      </c>
      <c r="AB83" s="151">
        <v>0.12976406533575316</v>
      </c>
    </row>
    <row r="84" spans="2:28">
      <c r="B84" s="4">
        <v>100</v>
      </c>
      <c r="C84" s="147"/>
      <c r="D84" s="147">
        <v>3.1269999999999998</v>
      </c>
      <c r="E84" s="147">
        <v>0.67</v>
      </c>
      <c r="F84" s="147">
        <v>0.67</v>
      </c>
      <c r="G84" s="147">
        <v>3.7969999999999997</v>
      </c>
      <c r="H84" s="148">
        <v>0</v>
      </c>
      <c r="I84" s="148">
        <v>0.21426287176207229</v>
      </c>
      <c r="J84" s="148">
        <v>0.21426287176207229</v>
      </c>
      <c r="K84" s="4">
        <v>100</v>
      </c>
      <c r="L84" s="147">
        <v>0</v>
      </c>
      <c r="M84" s="147">
        <v>3.2309999999999999</v>
      </c>
      <c r="N84" s="147">
        <v>0.01</v>
      </c>
      <c r="O84" s="147">
        <v>0.01</v>
      </c>
      <c r="P84" s="147">
        <v>3.2409999999999997</v>
      </c>
      <c r="Q84" s="148">
        <v>0</v>
      </c>
      <c r="R84" s="148">
        <v>3.0950170225936243E-3</v>
      </c>
      <c r="S84" s="151">
        <v>3.0950170225936243E-3</v>
      </c>
      <c r="T84" s="4">
        <v>100</v>
      </c>
      <c r="U84" s="149">
        <f t="shared" si="3"/>
        <v>0</v>
      </c>
      <c r="V84" s="149">
        <f t="shared" si="4"/>
        <v>3.1789999999999998</v>
      </c>
      <c r="W84" s="150">
        <f t="shared" si="5"/>
        <v>0.34</v>
      </c>
      <c r="X84" s="147">
        <v>0.34</v>
      </c>
      <c r="Y84" s="147">
        <v>3.5189999999999997</v>
      </c>
      <c r="Z84" s="148">
        <v>0</v>
      </c>
      <c r="AA84" s="148">
        <v>0.10695187165775402</v>
      </c>
      <c r="AB84" s="151">
        <v>0.10695187165775402</v>
      </c>
    </row>
  </sheetData>
  <mergeCells count="4">
    <mergeCell ref="B2:B3"/>
    <mergeCell ref="H2:J2"/>
    <mergeCell ref="Q2:S2"/>
    <mergeCell ref="Z2:AB2"/>
  </mergeCells>
  <pageMargins left="0.7" right="0.7" top="0.78740157499999996" bottom="0.78740157499999996"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25"/>
  <dimension ref="A2:AB84"/>
  <sheetViews>
    <sheetView topLeftCell="L1" workbookViewId="0">
      <selection activeCell="Z10" sqref="Z10"/>
    </sheetView>
  </sheetViews>
  <sheetFormatPr baseColWidth="10" defaultColWidth="11.125" defaultRowHeight="14.25"/>
  <cols>
    <col min="1" max="1" width="21" customWidth="1"/>
    <col min="2" max="2" width="6.125" customWidth="1"/>
    <col min="3" max="10" width="11" customWidth="1"/>
    <col min="11" max="11" width="6.125" customWidth="1"/>
    <col min="12" max="21" width="11" customWidth="1"/>
    <col min="22" max="23" width="11.125" bestFit="1" customWidth="1"/>
    <col min="24" max="24" width="11.625" bestFit="1" customWidth="1"/>
    <col min="25" max="26" width="11.125" bestFit="1" customWidth="1"/>
    <col min="27" max="28" width="11" customWidth="1"/>
  </cols>
  <sheetData>
    <row r="2" spans="1:28" ht="66" customHeight="1">
      <c r="A2" t="s">
        <v>172</v>
      </c>
      <c r="B2" s="3755" t="s">
        <v>7</v>
      </c>
      <c r="C2" s="143" t="s">
        <v>0</v>
      </c>
      <c r="D2" s="143" t="s">
        <v>1</v>
      </c>
      <c r="E2" s="143" t="s">
        <v>2</v>
      </c>
      <c r="F2" s="143" t="s">
        <v>1751</v>
      </c>
      <c r="G2" s="143" t="s">
        <v>4</v>
      </c>
      <c r="H2" s="3197" t="s">
        <v>5</v>
      </c>
      <c r="I2" s="3197"/>
      <c r="J2" s="3197"/>
      <c r="K2" s="132"/>
      <c r="L2" s="143" t="s">
        <v>0</v>
      </c>
      <c r="M2" s="143" t="s">
        <v>1</v>
      </c>
      <c r="N2" s="143" t="s">
        <v>2</v>
      </c>
      <c r="O2" s="143" t="s">
        <v>1751</v>
      </c>
      <c r="P2" s="143" t="s">
        <v>4</v>
      </c>
      <c r="Q2" s="3197" t="s">
        <v>6</v>
      </c>
      <c r="R2" s="3197"/>
      <c r="S2" s="3197"/>
      <c r="T2" s="132"/>
      <c r="U2" s="143" t="s">
        <v>0</v>
      </c>
      <c r="V2" s="143" t="s">
        <v>1</v>
      </c>
      <c r="W2" s="143" t="s">
        <v>2</v>
      </c>
      <c r="X2" s="143" t="s">
        <v>1751</v>
      </c>
      <c r="Y2" s="143" t="s">
        <v>4</v>
      </c>
      <c r="Z2" s="3197" t="s">
        <v>318</v>
      </c>
      <c r="AA2" s="3197"/>
      <c r="AB2" s="3197"/>
    </row>
    <row r="3" spans="1:28" s="2" customFormat="1" ht="13.5">
      <c r="A3" s="61">
        <v>43111</v>
      </c>
      <c r="B3" s="3755"/>
      <c r="C3" s="145" t="s">
        <v>17</v>
      </c>
      <c r="D3" s="145" t="s">
        <v>18</v>
      </c>
      <c r="E3" s="145" t="s">
        <v>24</v>
      </c>
      <c r="F3" s="145"/>
      <c r="G3" s="145"/>
      <c r="H3" s="145" t="s">
        <v>8</v>
      </c>
      <c r="I3" s="145" t="s">
        <v>9</v>
      </c>
      <c r="J3" s="145" t="s">
        <v>10</v>
      </c>
      <c r="K3" s="145" t="s">
        <v>7</v>
      </c>
      <c r="L3" s="145" t="s">
        <v>19</v>
      </c>
      <c r="M3" s="145" t="s">
        <v>20</v>
      </c>
      <c r="N3" s="145" t="s">
        <v>26</v>
      </c>
      <c r="O3" s="145"/>
      <c r="P3" s="145"/>
      <c r="Q3" s="145" t="s">
        <v>8</v>
      </c>
      <c r="R3" s="145" t="s">
        <v>9</v>
      </c>
      <c r="S3" s="145" t="s">
        <v>10</v>
      </c>
      <c r="T3" s="146" t="s">
        <v>7</v>
      </c>
      <c r="U3" s="146" t="s">
        <v>19</v>
      </c>
      <c r="V3" s="146" t="s">
        <v>20</v>
      </c>
      <c r="W3" s="146" t="s">
        <v>26</v>
      </c>
      <c r="X3" s="146" t="s">
        <v>27</v>
      </c>
      <c r="Y3" s="146"/>
      <c r="Z3" s="146" t="s">
        <v>8</v>
      </c>
      <c r="AA3" s="146" t="s">
        <v>9</v>
      </c>
      <c r="AB3" s="146" t="s">
        <v>10</v>
      </c>
    </row>
    <row r="4" spans="1:28">
      <c r="B4" s="51">
        <v>20</v>
      </c>
      <c r="C4" s="1">
        <v>0.26200000000000001</v>
      </c>
      <c r="D4" s="1">
        <v>4.78</v>
      </c>
      <c r="E4" s="1">
        <v>0.55400000000000005</v>
      </c>
      <c r="F4" s="1">
        <v>0.55400000000000005</v>
      </c>
      <c r="G4" s="1">
        <v>5.3340000000000005</v>
      </c>
      <c r="H4" s="775">
        <v>5.7990261177512166E-2</v>
      </c>
      <c r="I4" s="775">
        <v>0.12262062859672421</v>
      </c>
      <c r="J4" s="775">
        <v>0.18061088977423637</v>
      </c>
      <c r="K4" s="51">
        <v>20</v>
      </c>
      <c r="L4" s="1">
        <v>0.27500000000000002</v>
      </c>
      <c r="M4" s="1">
        <v>5.5759999999999996</v>
      </c>
      <c r="N4" s="1">
        <v>0.13900000000000001</v>
      </c>
      <c r="O4" s="1">
        <v>0.13900000000000001</v>
      </c>
      <c r="P4" s="1">
        <v>5.7149999999999999</v>
      </c>
      <c r="Q4" s="775">
        <v>5.187700433880401E-2</v>
      </c>
      <c r="R4" s="775">
        <v>2.6221467647613662E-2</v>
      </c>
      <c r="S4" s="775">
        <v>7.8098471986417672E-2</v>
      </c>
      <c r="T4" s="51">
        <v>20</v>
      </c>
      <c r="U4" s="772">
        <v>0.26850000000000002</v>
      </c>
      <c r="V4" s="772">
        <v>5.1779999999999999</v>
      </c>
      <c r="W4" s="773">
        <v>0.34650000000000003</v>
      </c>
      <c r="X4" s="1">
        <v>0.34650000000000003</v>
      </c>
      <c r="Y4" s="1">
        <v>5.5244999999999997</v>
      </c>
      <c r="Z4" s="775">
        <v>5.4689886953864966E-2</v>
      </c>
      <c r="AA4" s="775">
        <v>7.05774518790101E-2</v>
      </c>
      <c r="AB4" s="775">
        <v>0.12526733883287505</v>
      </c>
    </row>
    <row r="5" spans="1:28">
      <c r="B5" s="51">
        <v>21</v>
      </c>
      <c r="C5" s="1">
        <v>0.30199999999999999</v>
      </c>
      <c r="D5" s="1">
        <v>4.9260000000000002</v>
      </c>
      <c r="E5" s="1">
        <v>0.64400000000000002</v>
      </c>
      <c r="F5" s="1">
        <v>0.64400000000000002</v>
      </c>
      <c r="G5" s="1">
        <v>5.57</v>
      </c>
      <c r="H5" s="775">
        <v>6.5311418685121095E-2</v>
      </c>
      <c r="I5" s="775">
        <v>0.13927335640138408</v>
      </c>
      <c r="J5" s="775">
        <v>0.20458477508650519</v>
      </c>
      <c r="K5" s="51">
        <v>21</v>
      </c>
      <c r="L5" s="1">
        <v>0.33</v>
      </c>
      <c r="M5" s="1">
        <v>5.7430000000000003</v>
      </c>
      <c r="N5" s="1">
        <v>0.16800000000000001</v>
      </c>
      <c r="O5" s="1">
        <v>0.16800000000000001</v>
      </c>
      <c r="P5" s="1">
        <v>5.9110000000000005</v>
      </c>
      <c r="Q5" s="775">
        <v>6.0964345095141328E-2</v>
      </c>
      <c r="R5" s="775">
        <v>3.1036393866617402E-2</v>
      </c>
      <c r="S5" s="775">
        <v>9.2000738961758727E-2</v>
      </c>
      <c r="T5" s="51">
        <v>21</v>
      </c>
      <c r="U5" s="772">
        <v>0.316</v>
      </c>
      <c r="V5" s="772">
        <v>5.3345000000000002</v>
      </c>
      <c r="W5" s="773">
        <v>0.40600000000000003</v>
      </c>
      <c r="X5" s="1">
        <v>0.40600000000000003</v>
      </c>
      <c r="Y5" s="1">
        <v>5.7404999999999999</v>
      </c>
      <c r="Z5" s="775">
        <v>6.2967022018531424E-2</v>
      </c>
      <c r="AA5" s="775">
        <v>8.0900667530138484E-2</v>
      </c>
      <c r="AB5" s="775">
        <v>0.14386768954866991</v>
      </c>
    </row>
    <row r="6" spans="1:28">
      <c r="B6" s="51">
        <v>22</v>
      </c>
      <c r="C6" s="1">
        <v>0.34399999999999997</v>
      </c>
      <c r="D6" s="1">
        <v>5.0759999999999996</v>
      </c>
      <c r="E6" s="1">
        <v>0.74</v>
      </c>
      <c r="F6" s="1">
        <v>0.74</v>
      </c>
      <c r="G6" s="1">
        <v>5.8159999999999998</v>
      </c>
      <c r="H6" s="775">
        <v>7.269653423499578E-2</v>
      </c>
      <c r="I6" s="775">
        <v>0.15638207945900257</v>
      </c>
      <c r="J6" s="775">
        <v>0.22907861369399835</v>
      </c>
      <c r="K6" s="51">
        <v>22</v>
      </c>
      <c r="L6" s="1">
        <v>0.38200000000000001</v>
      </c>
      <c r="M6" s="1">
        <v>5.915</v>
      </c>
      <c r="N6" s="1">
        <v>0.19500000000000001</v>
      </c>
      <c r="O6" s="1">
        <v>0.19500000000000001</v>
      </c>
      <c r="P6" s="1">
        <v>6.11</v>
      </c>
      <c r="Q6" s="775">
        <v>6.9040303632748962E-2</v>
      </c>
      <c r="R6" s="775">
        <v>3.5243086932947768E-2</v>
      </c>
      <c r="S6" s="775">
        <v>0.10428339056569673</v>
      </c>
      <c r="T6" s="51">
        <v>22</v>
      </c>
      <c r="U6" s="772">
        <v>0.36299999999999999</v>
      </c>
      <c r="V6" s="772">
        <v>5.4954999999999998</v>
      </c>
      <c r="W6" s="773">
        <v>0.46750000000000003</v>
      </c>
      <c r="X6" s="1">
        <v>0.46750000000000003</v>
      </c>
      <c r="Y6" s="1">
        <v>5.9630000000000001</v>
      </c>
      <c r="Z6" s="775">
        <v>7.0725767169995124E-2</v>
      </c>
      <c r="AA6" s="775">
        <v>9.1086215294690701E-2</v>
      </c>
      <c r="AB6" s="775">
        <v>0.16181198246468581</v>
      </c>
    </row>
    <row r="7" spans="1:28">
      <c r="B7" s="51">
        <v>23</v>
      </c>
      <c r="C7" s="1">
        <v>0.38700000000000001</v>
      </c>
      <c r="D7" s="1">
        <v>5.2290000000000001</v>
      </c>
      <c r="E7" s="1">
        <v>0.84</v>
      </c>
      <c r="F7" s="1">
        <v>0.84</v>
      </c>
      <c r="G7" s="1">
        <v>6.069</v>
      </c>
      <c r="H7" s="775">
        <v>7.9925650557620811E-2</v>
      </c>
      <c r="I7" s="775">
        <v>0.17348203221809166</v>
      </c>
      <c r="J7" s="775">
        <v>0.25340768277571246</v>
      </c>
      <c r="K7" s="51">
        <v>23</v>
      </c>
      <c r="L7" s="1">
        <v>0.42499999999999999</v>
      </c>
      <c r="M7" s="1">
        <v>6.0910000000000002</v>
      </c>
      <c r="N7" s="1">
        <v>0.218</v>
      </c>
      <c r="O7" s="1">
        <v>0.218</v>
      </c>
      <c r="P7" s="1">
        <v>6.3090000000000002</v>
      </c>
      <c r="Q7" s="775">
        <v>7.500882456759618E-2</v>
      </c>
      <c r="R7" s="775">
        <v>3.8475114719378749E-2</v>
      </c>
      <c r="S7" s="775">
        <v>0.11348393928697492</v>
      </c>
      <c r="T7" s="51">
        <v>23</v>
      </c>
      <c r="U7" s="772">
        <v>0.40600000000000003</v>
      </c>
      <c r="V7" s="772">
        <v>5.66</v>
      </c>
      <c r="W7" s="773">
        <v>0.52900000000000003</v>
      </c>
      <c r="X7" s="1">
        <v>0.52900000000000003</v>
      </c>
      <c r="Y7" s="1">
        <v>6.1890000000000001</v>
      </c>
      <c r="Z7" s="775">
        <v>7.7274457556147702E-2</v>
      </c>
      <c r="AA7" s="775">
        <v>0.10068519223448801</v>
      </c>
      <c r="AB7" s="775">
        <v>0.17795964979063572</v>
      </c>
    </row>
    <row r="8" spans="1:28">
      <c r="B8" s="51">
        <v>24</v>
      </c>
      <c r="C8" s="1">
        <v>0.42499999999999999</v>
      </c>
      <c r="D8" s="1">
        <v>5.3849999999999998</v>
      </c>
      <c r="E8" s="1">
        <v>0.93300000000000005</v>
      </c>
      <c r="F8" s="1">
        <v>0.93300000000000005</v>
      </c>
      <c r="G8" s="1">
        <v>6.3179999999999996</v>
      </c>
      <c r="H8" s="775">
        <v>8.5685483870967735E-2</v>
      </c>
      <c r="I8" s="775">
        <v>0.18810483870967742</v>
      </c>
      <c r="J8" s="775">
        <v>0.27379032258064517</v>
      </c>
      <c r="K8" s="51">
        <v>24</v>
      </c>
      <c r="L8" s="1">
        <v>0.46300000000000002</v>
      </c>
      <c r="M8" s="1">
        <v>6.2709999999999999</v>
      </c>
      <c r="N8" s="1">
        <v>0.24</v>
      </c>
      <c r="O8" s="1">
        <v>0.24</v>
      </c>
      <c r="P8" s="1">
        <v>6.5110000000000001</v>
      </c>
      <c r="Q8" s="775">
        <v>7.9717630853994498E-2</v>
      </c>
      <c r="R8" s="775">
        <v>4.1322314049586778E-2</v>
      </c>
      <c r="S8" s="775">
        <v>0.12103994490358128</v>
      </c>
      <c r="T8" s="51">
        <v>24</v>
      </c>
      <c r="U8" s="772">
        <v>0.44400000000000001</v>
      </c>
      <c r="V8" s="772">
        <v>5.8279999999999994</v>
      </c>
      <c r="W8" s="773">
        <v>0.58650000000000002</v>
      </c>
      <c r="X8" s="1">
        <v>0.58650000000000002</v>
      </c>
      <c r="Y8" s="1">
        <v>6.4144999999999994</v>
      </c>
      <c r="Z8" s="775">
        <v>8.246656760772661E-2</v>
      </c>
      <c r="AA8" s="775">
        <v>0.10893387815750373</v>
      </c>
      <c r="AB8" s="775">
        <v>0.19140044576523035</v>
      </c>
    </row>
    <row r="9" spans="1:28">
      <c r="B9" s="51">
        <v>25</v>
      </c>
      <c r="C9" s="1">
        <v>0.45800000000000002</v>
      </c>
      <c r="D9" s="1">
        <v>5.5460000000000003</v>
      </c>
      <c r="E9" s="1">
        <v>1.0189999999999999</v>
      </c>
      <c r="F9" s="1">
        <v>1.0189999999999999</v>
      </c>
      <c r="G9" s="1">
        <v>6.5650000000000004</v>
      </c>
      <c r="H9" s="775">
        <v>9.0015723270440259E-2</v>
      </c>
      <c r="I9" s="775">
        <v>0.20027515723270439</v>
      </c>
      <c r="J9" s="775">
        <v>0.29029088050314467</v>
      </c>
      <c r="K9" s="51">
        <v>25</v>
      </c>
      <c r="L9" s="1">
        <v>0.502</v>
      </c>
      <c r="M9" s="1">
        <v>6.4560000000000004</v>
      </c>
      <c r="N9" s="1">
        <v>0.26100000000000001</v>
      </c>
      <c r="O9" s="1">
        <v>0.26100000000000001</v>
      </c>
      <c r="P9" s="1">
        <v>6.7170000000000005</v>
      </c>
      <c r="Q9" s="775">
        <v>8.4313066845817936E-2</v>
      </c>
      <c r="R9" s="775">
        <v>4.3836076587168288E-2</v>
      </c>
      <c r="S9" s="775">
        <v>0.12814914343298622</v>
      </c>
      <c r="T9" s="51">
        <v>25</v>
      </c>
      <c r="U9" s="772">
        <v>0.48</v>
      </c>
      <c r="V9" s="772">
        <v>6.0010000000000003</v>
      </c>
      <c r="W9" s="773">
        <v>0.6399999999999999</v>
      </c>
      <c r="X9" s="1">
        <v>0.6399999999999999</v>
      </c>
      <c r="Y9" s="1">
        <v>6.641</v>
      </c>
      <c r="Z9" s="775">
        <v>8.6940771599347932E-2</v>
      </c>
      <c r="AA9" s="775">
        <v>0.11592102879913056</v>
      </c>
      <c r="AB9" s="775">
        <v>0.20286180039847851</v>
      </c>
    </row>
    <row r="10" spans="1:28">
      <c r="B10" s="51">
        <v>26</v>
      </c>
      <c r="C10" s="1">
        <v>0.48899999999999999</v>
      </c>
      <c r="D10" s="1">
        <v>5.71</v>
      </c>
      <c r="E10" s="1">
        <v>1.1000000000000001</v>
      </c>
      <c r="F10" s="1">
        <v>1.1000000000000001</v>
      </c>
      <c r="G10" s="1">
        <v>6.8100000000000005</v>
      </c>
      <c r="H10" s="775">
        <v>9.3660218348975283E-2</v>
      </c>
      <c r="I10" s="775">
        <v>0.21068760773798123</v>
      </c>
      <c r="J10" s="775">
        <v>0.30434782608695654</v>
      </c>
      <c r="K10" s="51">
        <v>26</v>
      </c>
      <c r="L10" s="1">
        <v>0.53900000000000003</v>
      </c>
      <c r="M10" s="1">
        <v>6.6440000000000001</v>
      </c>
      <c r="N10" s="1">
        <v>0.28199999999999997</v>
      </c>
      <c r="O10" s="1">
        <v>0.28199999999999997</v>
      </c>
      <c r="P10" s="1">
        <v>6.9260000000000002</v>
      </c>
      <c r="Q10" s="775">
        <v>8.8288288288288289E-2</v>
      </c>
      <c r="R10" s="775">
        <v>4.6191646191646181E-2</v>
      </c>
      <c r="S10" s="775">
        <v>0.13447993447993448</v>
      </c>
      <c r="T10" s="51">
        <v>26</v>
      </c>
      <c r="U10" s="772">
        <v>0.51400000000000001</v>
      </c>
      <c r="V10" s="772">
        <v>6.1769999999999996</v>
      </c>
      <c r="W10" s="773">
        <v>0.69100000000000006</v>
      </c>
      <c r="X10" s="1">
        <v>0.69100000000000006</v>
      </c>
      <c r="Y10" s="1">
        <v>6.8679999999999994</v>
      </c>
      <c r="Z10" s="775">
        <v>9.0764612396256411E-2</v>
      </c>
      <c r="AA10" s="775">
        <v>0.1220201306727883</v>
      </c>
      <c r="AB10" s="775">
        <v>0.21278474306904471</v>
      </c>
    </row>
    <row r="11" spans="1:28">
      <c r="B11" s="51">
        <v>27</v>
      </c>
      <c r="C11" s="1">
        <v>0.51600000000000001</v>
      </c>
      <c r="D11" s="1">
        <v>5.8780000000000001</v>
      </c>
      <c r="E11" s="1">
        <v>1.179</v>
      </c>
      <c r="F11" s="1">
        <v>1.179</v>
      </c>
      <c r="G11" s="1">
        <v>7.0570000000000004</v>
      </c>
      <c r="H11" s="775">
        <v>9.623274897426333E-2</v>
      </c>
      <c r="I11" s="775">
        <v>0.21988064155165984</v>
      </c>
      <c r="J11" s="775">
        <v>0.31611339052592319</v>
      </c>
      <c r="K11" s="51">
        <v>27</v>
      </c>
      <c r="L11" s="1">
        <v>0.57599999999999996</v>
      </c>
      <c r="M11" s="1">
        <v>6.8360000000000003</v>
      </c>
      <c r="N11" s="1">
        <v>0.30399999999999999</v>
      </c>
      <c r="O11" s="1">
        <v>0.30399999999999999</v>
      </c>
      <c r="P11" s="1">
        <v>7.1400000000000006</v>
      </c>
      <c r="Q11" s="775">
        <v>9.201277955271564E-2</v>
      </c>
      <c r="R11" s="775">
        <v>4.8562300319488813E-2</v>
      </c>
      <c r="S11" s="775">
        <v>0.14057507987220447</v>
      </c>
      <c r="T11" s="51">
        <v>27</v>
      </c>
      <c r="U11" s="772">
        <v>0.54600000000000004</v>
      </c>
      <c r="V11" s="772">
        <v>6.3570000000000002</v>
      </c>
      <c r="W11" s="773">
        <v>0.74150000000000005</v>
      </c>
      <c r="X11" s="1">
        <v>0.74150000000000005</v>
      </c>
      <c r="Y11" s="1">
        <v>7.0985000000000005</v>
      </c>
      <c r="Z11" s="775">
        <v>9.3959731543624164E-2</v>
      </c>
      <c r="AA11" s="775">
        <v>0.12760282223369473</v>
      </c>
      <c r="AB11" s="775">
        <v>0.2215625537773189</v>
      </c>
    </row>
    <row r="12" spans="1:28">
      <c r="B12" s="51">
        <v>28</v>
      </c>
      <c r="C12" s="1">
        <v>0.54100000000000004</v>
      </c>
      <c r="D12" s="1">
        <v>6.0490000000000004</v>
      </c>
      <c r="E12" s="1">
        <v>1.256</v>
      </c>
      <c r="F12" s="1">
        <v>1.256</v>
      </c>
      <c r="G12" s="1">
        <v>7.3050000000000006</v>
      </c>
      <c r="H12" s="775">
        <v>9.8220769789397241E-2</v>
      </c>
      <c r="I12" s="775">
        <v>0.22803195352214961</v>
      </c>
      <c r="J12" s="775">
        <v>0.32625272331154687</v>
      </c>
      <c r="K12" s="51">
        <v>28</v>
      </c>
      <c r="L12" s="1">
        <v>0.61099999999999999</v>
      </c>
      <c r="M12" s="1">
        <v>7.0330000000000004</v>
      </c>
      <c r="N12" s="1">
        <v>0.32500000000000001</v>
      </c>
      <c r="O12" s="1">
        <v>0.32500000000000001</v>
      </c>
      <c r="P12" s="1">
        <v>7.3580000000000005</v>
      </c>
      <c r="Q12" s="775">
        <v>9.5141700404858295E-2</v>
      </c>
      <c r="R12" s="775">
        <v>5.0607287449392711E-2</v>
      </c>
      <c r="S12" s="775">
        <v>0.145748987854251</v>
      </c>
      <c r="T12" s="51">
        <v>28</v>
      </c>
      <c r="U12" s="772">
        <v>0.57600000000000007</v>
      </c>
      <c r="V12" s="772">
        <v>6.5410000000000004</v>
      </c>
      <c r="W12" s="773">
        <v>0.79049999999999998</v>
      </c>
      <c r="X12" s="1">
        <v>0.79049999999999998</v>
      </c>
      <c r="Y12" s="1">
        <v>7.3315000000000001</v>
      </c>
      <c r="Z12" s="775">
        <v>9.656328583403187E-2</v>
      </c>
      <c r="AA12" s="775">
        <v>0.13252305113160101</v>
      </c>
      <c r="AB12" s="775">
        <v>0.22908633696563288</v>
      </c>
    </row>
    <row r="13" spans="1:28">
      <c r="B13" s="51">
        <v>29</v>
      </c>
      <c r="C13" s="1">
        <v>0.56499999999999995</v>
      </c>
      <c r="D13" s="1">
        <v>6.2249999999999996</v>
      </c>
      <c r="E13" s="1">
        <v>1.331</v>
      </c>
      <c r="F13" s="1">
        <v>1.331</v>
      </c>
      <c r="G13" s="1">
        <v>7.5559999999999992</v>
      </c>
      <c r="H13" s="775">
        <v>9.9823321554770306E-2</v>
      </c>
      <c r="I13" s="775">
        <v>0.23515901060070671</v>
      </c>
      <c r="J13" s="775">
        <v>0.33498233215547701</v>
      </c>
      <c r="K13" s="51">
        <v>29</v>
      </c>
      <c r="L13" s="1">
        <v>0.64400000000000002</v>
      </c>
      <c r="M13" s="1">
        <v>7.2329999999999997</v>
      </c>
      <c r="N13" s="1">
        <v>0.34499999999999997</v>
      </c>
      <c r="O13" s="1">
        <v>0.34499999999999997</v>
      </c>
      <c r="P13" s="1">
        <v>7.5779999999999994</v>
      </c>
      <c r="Q13" s="775">
        <v>9.7738655334648664E-2</v>
      </c>
      <c r="R13" s="775">
        <v>5.2359993929276066E-2</v>
      </c>
      <c r="S13" s="775">
        <v>0.15009864926392474</v>
      </c>
      <c r="T13" s="51">
        <v>29</v>
      </c>
      <c r="U13" s="772">
        <v>0.60450000000000004</v>
      </c>
      <c r="V13" s="772">
        <v>6.7289999999999992</v>
      </c>
      <c r="W13" s="773">
        <v>0.83799999999999997</v>
      </c>
      <c r="X13" s="1">
        <v>0.83799999999999997</v>
      </c>
      <c r="Y13" s="1">
        <v>7.5669999999999993</v>
      </c>
      <c r="Z13" s="775">
        <v>9.8701934851824658E-2</v>
      </c>
      <c r="AA13" s="775">
        <v>0.13682749612213244</v>
      </c>
      <c r="AB13" s="775">
        <v>0.23552943097395709</v>
      </c>
    </row>
    <row r="14" spans="1:28">
      <c r="B14" s="51">
        <v>30</v>
      </c>
      <c r="C14" s="1">
        <v>0.58599999999999997</v>
      </c>
      <c r="D14" s="1">
        <v>6.4059999999999997</v>
      </c>
      <c r="E14" s="1">
        <v>1.405</v>
      </c>
      <c r="F14" s="1">
        <v>1.405</v>
      </c>
      <c r="G14" s="1">
        <v>7.8109999999999999</v>
      </c>
      <c r="H14" s="775">
        <v>0.1006872852233677</v>
      </c>
      <c r="I14" s="775">
        <v>0.24140893470790381</v>
      </c>
      <c r="J14" s="775">
        <v>0.34209621993127148</v>
      </c>
      <c r="K14" s="51">
        <v>30</v>
      </c>
      <c r="L14" s="1">
        <v>0.67400000000000004</v>
      </c>
      <c r="M14" s="1">
        <v>7.4379999999999997</v>
      </c>
      <c r="N14" s="1">
        <v>0.36499999999999999</v>
      </c>
      <c r="O14" s="1">
        <v>0.36499999999999999</v>
      </c>
      <c r="P14" s="1">
        <v>7.8029999999999999</v>
      </c>
      <c r="Q14" s="775">
        <v>9.9645180366646977E-2</v>
      </c>
      <c r="R14" s="775">
        <v>5.3962152572442343E-2</v>
      </c>
      <c r="S14" s="775">
        <v>0.15360733293908932</v>
      </c>
      <c r="T14" s="51">
        <v>30</v>
      </c>
      <c r="U14" s="772">
        <v>0.63</v>
      </c>
      <c r="V14" s="772">
        <v>6.9219999999999997</v>
      </c>
      <c r="W14" s="773">
        <v>0.88500000000000001</v>
      </c>
      <c r="X14" s="1">
        <v>0.88500000000000001</v>
      </c>
      <c r="Y14" s="1">
        <v>7.8069999999999995</v>
      </c>
      <c r="Z14" s="775">
        <v>0.10012714558169104</v>
      </c>
      <c r="AA14" s="775">
        <v>0.14065479974570885</v>
      </c>
      <c r="AB14" s="775">
        <v>0.24078194532739988</v>
      </c>
    </row>
    <row r="15" spans="1:28">
      <c r="B15" s="51">
        <v>31</v>
      </c>
      <c r="C15" s="1">
        <v>0.60699999999999998</v>
      </c>
      <c r="D15" s="1">
        <v>6.5910000000000002</v>
      </c>
      <c r="E15" s="1">
        <v>1.4790000000000001</v>
      </c>
      <c r="F15" s="1">
        <v>1.4790000000000001</v>
      </c>
      <c r="G15" s="1">
        <v>8.07</v>
      </c>
      <c r="H15" s="775">
        <v>0.10143716577540107</v>
      </c>
      <c r="I15" s="775">
        <v>0.24715909090909091</v>
      </c>
      <c r="J15" s="775">
        <v>0.34859625668449201</v>
      </c>
      <c r="K15" s="51">
        <v>31</v>
      </c>
      <c r="L15" s="1">
        <v>0.70299999999999996</v>
      </c>
      <c r="M15" s="1">
        <v>7.6470000000000002</v>
      </c>
      <c r="N15" s="1">
        <v>0.38400000000000001</v>
      </c>
      <c r="O15" s="1">
        <v>0.38400000000000001</v>
      </c>
      <c r="P15" s="1">
        <v>8.0310000000000006</v>
      </c>
      <c r="Q15" s="775">
        <v>0.10123847926267281</v>
      </c>
      <c r="R15" s="775">
        <v>5.5299539170506916E-2</v>
      </c>
      <c r="S15" s="775">
        <v>0.15653801843317972</v>
      </c>
      <c r="T15" s="51">
        <v>31</v>
      </c>
      <c r="U15" s="772">
        <v>0.65500000000000003</v>
      </c>
      <c r="V15" s="772">
        <v>7.1189999999999998</v>
      </c>
      <c r="W15" s="773">
        <v>0.93149999999999999</v>
      </c>
      <c r="X15" s="1">
        <v>0.93149999999999999</v>
      </c>
      <c r="Y15" s="1">
        <v>8.0504999999999995</v>
      </c>
      <c r="Z15" s="775">
        <v>0.10133044554455446</v>
      </c>
      <c r="AA15" s="775">
        <v>0.14410581683168316</v>
      </c>
      <c r="AB15" s="775">
        <v>0.24543626237623761</v>
      </c>
    </row>
    <row r="16" spans="1:28">
      <c r="B16" s="51">
        <v>32</v>
      </c>
      <c r="C16" s="1">
        <v>0.626</v>
      </c>
      <c r="D16" s="1">
        <v>6.7809999999999997</v>
      </c>
      <c r="E16" s="1">
        <v>1.5529999999999999</v>
      </c>
      <c r="F16" s="1">
        <v>1.5529999999999999</v>
      </c>
      <c r="G16" s="1">
        <v>8.3339999999999996</v>
      </c>
      <c r="H16" s="775">
        <v>0.10170593013809912</v>
      </c>
      <c r="I16" s="775">
        <v>0.25231519090170595</v>
      </c>
      <c r="J16" s="775">
        <v>0.3540211210398051</v>
      </c>
      <c r="K16" s="51">
        <v>32</v>
      </c>
      <c r="L16" s="1">
        <v>0.72899999999999998</v>
      </c>
      <c r="M16" s="1">
        <v>7.86</v>
      </c>
      <c r="N16" s="1">
        <v>0.40300000000000002</v>
      </c>
      <c r="O16" s="1">
        <v>0.40300000000000002</v>
      </c>
      <c r="P16" s="1">
        <v>8.2629999999999999</v>
      </c>
      <c r="Q16" s="775">
        <v>0.10222970130416491</v>
      </c>
      <c r="R16" s="775">
        <v>5.6513812929462913E-2</v>
      </c>
      <c r="S16" s="775">
        <v>0.15874351423362781</v>
      </c>
      <c r="T16" s="51">
        <v>32</v>
      </c>
      <c r="U16" s="772">
        <v>0.67749999999999999</v>
      </c>
      <c r="V16" s="772">
        <v>7.3205</v>
      </c>
      <c r="W16" s="773">
        <v>0.97799999999999998</v>
      </c>
      <c r="X16" s="1">
        <v>0.97799999999999998</v>
      </c>
      <c r="Y16" s="1">
        <v>8.2985000000000007</v>
      </c>
      <c r="Z16" s="775">
        <v>0.10198705404184856</v>
      </c>
      <c r="AA16" s="775">
        <v>0.1472226403733253</v>
      </c>
      <c r="AB16" s="775">
        <v>0.24920969441517388</v>
      </c>
    </row>
    <row r="17" spans="2:28">
      <c r="B17" s="51">
        <v>33</v>
      </c>
      <c r="C17" s="1">
        <v>0.64300000000000002</v>
      </c>
      <c r="D17" s="1">
        <v>6.9749999999999996</v>
      </c>
      <c r="E17" s="1">
        <v>1.627</v>
      </c>
      <c r="F17" s="1">
        <v>1.627</v>
      </c>
      <c r="G17" s="1">
        <v>8.6020000000000003</v>
      </c>
      <c r="H17" s="775">
        <v>0.10154769425142135</v>
      </c>
      <c r="I17" s="775">
        <v>0.25694883133291219</v>
      </c>
      <c r="J17" s="775">
        <v>0.35849652558433354</v>
      </c>
      <c r="K17" s="51">
        <v>33</v>
      </c>
      <c r="L17" s="1">
        <v>0.752</v>
      </c>
      <c r="M17" s="1">
        <v>8.0779999999999994</v>
      </c>
      <c r="N17" s="1">
        <v>0.42199999999999999</v>
      </c>
      <c r="O17" s="1">
        <v>0.42199999999999999</v>
      </c>
      <c r="P17" s="1">
        <v>8.5</v>
      </c>
      <c r="Q17" s="775">
        <v>0.10264810264810266</v>
      </c>
      <c r="R17" s="775">
        <v>5.7603057603057603E-2</v>
      </c>
      <c r="S17" s="775">
        <v>0.16025116025116026</v>
      </c>
      <c r="T17" s="51">
        <v>33</v>
      </c>
      <c r="U17" s="772">
        <v>0.69750000000000001</v>
      </c>
      <c r="V17" s="772">
        <v>7.5264999999999995</v>
      </c>
      <c r="W17" s="773">
        <v>1.0245</v>
      </c>
      <c r="X17" s="1">
        <v>1.0245</v>
      </c>
      <c r="Y17" s="1">
        <v>8.5510000000000002</v>
      </c>
      <c r="Z17" s="775">
        <v>0.10213794113340167</v>
      </c>
      <c r="AA17" s="775">
        <v>0.15002196514863084</v>
      </c>
      <c r="AB17" s="775">
        <v>0.2521599062820325</v>
      </c>
    </row>
    <row r="18" spans="2:28">
      <c r="B18" s="51">
        <v>34</v>
      </c>
      <c r="C18" s="1">
        <v>0.66</v>
      </c>
      <c r="D18" s="1">
        <v>7.1749999999999998</v>
      </c>
      <c r="E18" s="1">
        <v>1.7010000000000001</v>
      </c>
      <c r="F18" s="1">
        <v>1.7010000000000001</v>
      </c>
      <c r="G18" s="1">
        <v>8.8759999999999994</v>
      </c>
      <c r="H18" s="775">
        <v>0.10130468150422103</v>
      </c>
      <c r="I18" s="775">
        <v>0.26108979278587874</v>
      </c>
      <c r="J18" s="775">
        <v>0.36239447429009974</v>
      </c>
      <c r="K18" s="51">
        <v>34</v>
      </c>
      <c r="L18" s="1">
        <v>0.77200000000000002</v>
      </c>
      <c r="M18" s="1">
        <v>8.3010000000000002</v>
      </c>
      <c r="N18" s="1">
        <v>0.44</v>
      </c>
      <c r="O18" s="1">
        <v>0.44</v>
      </c>
      <c r="P18" s="1">
        <v>8.7409999999999997</v>
      </c>
      <c r="Q18" s="775">
        <v>0.10253685748439369</v>
      </c>
      <c r="R18" s="775">
        <v>5.8440695975561167E-2</v>
      </c>
      <c r="S18" s="775">
        <v>0.16097755345995485</v>
      </c>
      <c r="T18" s="51">
        <v>34</v>
      </c>
      <c r="U18" s="772">
        <v>0.71599999999999997</v>
      </c>
      <c r="V18" s="772">
        <v>7.7379999999999995</v>
      </c>
      <c r="W18" s="773">
        <v>1.0705</v>
      </c>
      <c r="X18" s="1">
        <v>1.0705</v>
      </c>
      <c r="Y18" s="1">
        <v>8.8084999999999987</v>
      </c>
      <c r="Z18" s="775">
        <v>0.10196525206493877</v>
      </c>
      <c r="AA18" s="775">
        <v>0.15244944460267731</v>
      </c>
      <c r="AB18" s="775">
        <v>0.25441469666761607</v>
      </c>
    </row>
    <row r="19" spans="2:28">
      <c r="B19" s="51">
        <v>35</v>
      </c>
      <c r="C19" s="1">
        <v>0.67300000000000004</v>
      </c>
      <c r="D19" s="1">
        <v>7.3789999999999996</v>
      </c>
      <c r="E19" s="1">
        <v>1.7749999999999999</v>
      </c>
      <c r="F19" s="1">
        <v>1.7749999999999999</v>
      </c>
      <c r="G19" s="1">
        <v>9.1539999999999999</v>
      </c>
      <c r="H19" s="775">
        <v>0.10035788845809723</v>
      </c>
      <c r="I19" s="775">
        <v>0.26468833880107367</v>
      </c>
      <c r="J19" s="775">
        <v>0.36504622725917091</v>
      </c>
      <c r="K19" s="51">
        <v>35</v>
      </c>
      <c r="L19" s="1">
        <v>0.78800000000000003</v>
      </c>
      <c r="M19" s="1">
        <v>8.5280000000000005</v>
      </c>
      <c r="N19" s="1">
        <v>0.45700000000000002</v>
      </c>
      <c r="O19" s="1">
        <v>0.45700000000000002</v>
      </c>
      <c r="P19" s="1">
        <v>8.9850000000000012</v>
      </c>
      <c r="Q19" s="775">
        <v>0.10180878552971577</v>
      </c>
      <c r="R19" s="775">
        <v>5.9043927648578812E-2</v>
      </c>
      <c r="S19" s="775">
        <v>0.16085271317829458</v>
      </c>
      <c r="T19" s="51">
        <v>35</v>
      </c>
      <c r="U19" s="772">
        <v>0.73050000000000004</v>
      </c>
      <c r="V19" s="772">
        <v>7.9535</v>
      </c>
      <c r="W19" s="773">
        <v>1.1159999999999999</v>
      </c>
      <c r="X19" s="1">
        <v>1.1159999999999999</v>
      </c>
      <c r="Y19" s="1">
        <v>9.0694999999999997</v>
      </c>
      <c r="Z19" s="775">
        <v>0.10113526235636162</v>
      </c>
      <c r="AA19" s="775">
        <v>0.15450643776824033</v>
      </c>
      <c r="AB19" s="775">
        <v>0.25564170012460197</v>
      </c>
    </row>
    <row r="20" spans="2:28">
      <c r="B20" s="51">
        <v>36</v>
      </c>
      <c r="C20" s="1">
        <v>0.68400000000000005</v>
      </c>
      <c r="D20" s="1">
        <v>7.5880000000000001</v>
      </c>
      <c r="E20" s="1">
        <v>1.849</v>
      </c>
      <c r="F20" s="1">
        <v>1.849</v>
      </c>
      <c r="G20" s="1">
        <v>9.4369999999999994</v>
      </c>
      <c r="H20" s="775">
        <v>9.9073001158748564E-2</v>
      </c>
      <c r="I20" s="775">
        <v>0.2678157589803013</v>
      </c>
      <c r="J20" s="775">
        <v>0.36688876013904986</v>
      </c>
      <c r="K20" s="51">
        <v>36</v>
      </c>
      <c r="L20" s="1">
        <v>0.8</v>
      </c>
      <c r="M20" s="1">
        <v>8.7579999999999991</v>
      </c>
      <c r="N20" s="1">
        <v>0.47299999999999998</v>
      </c>
      <c r="O20" s="1">
        <v>0.47299999999999998</v>
      </c>
      <c r="P20" s="1">
        <v>9.2309999999999999</v>
      </c>
      <c r="Q20" s="775">
        <v>0.1005277707966826</v>
      </c>
      <c r="R20" s="775">
        <v>5.9437044483538579E-2</v>
      </c>
      <c r="S20" s="775">
        <v>0.15996481528022116</v>
      </c>
      <c r="T20" s="51">
        <v>36</v>
      </c>
      <c r="U20" s="772">
        <v>0.74199999999999999</v>
      </c>
      <c r="V20" s="772">
        <v>8.173</v>
      </c>
      <c r="W20" s="773">
        <v>1.161</v>
      </c>
      <c r="X20" s="1">
        <v>1.161</v>
      </c>
      <c r="Y20" s="1">
        <v>9.3339999999999996</v>
      </c>
      <c r="Z20" s="775">
        <v>9.9851971470865289E-2</v>
      </c>
      <c r="AA20" s="775">
        <v>0.15623738393217601</v>
      </c>
      <c r="AB20" s="775">
        <v>0.25608935540304129</v>
      </c>
    </row>
    <row r="21" spans="2:28">
      <c r="B21" s="51">
        <v>37</v>
      </c>
      <c r="C21" s="1">
        <v>0.69</v>
      </c>
      <c r="D21" s="1">
        <v>7.7990000000000004</v>
      </c>
      <c r="E21" s="1">
        <v>1.923</v>
      </c>
      <c r="F21" s="1">
        <v>1.923</v>
      </c>
      <c r="G21" s="1">
        <v>9.7220000000000013</v>
      </c>
      <c r="H21" s="775">
        <v>9.7060064706709803E-2</v>
      </c>
      <c r="I21" s="775">
        <v>0.2705021803347869</v>
      </c>
      <c r="J21" s="775">
        <v>0.3675622450414967</v>
      </c>
      <c r="K21" s="51">
        <v>37</v>
      </c>
      <c r="L21" s="1">
        <v>0.80700000000000005</v>
      </c>
      <c r="M21" s="1">
        <v>8.9909999999999997</v>
      </c>
      <c r="N21" s="1">
        <v>0.48899999999999999</v>
      </c>
      <c r="O21" s="1">
        <v>0.48899999999999999</v>
      </c>
      <c r="P21" s="1">
        <v>9.48</v>
      </c>
      <c r="Q21" s="775">
        <v>9.8607038123167165E-2</v>
      </c>
      <c r="R21" s="775">
        <v>5.9750733137829914E-2</v>
      </c>
      <c r="S21" s="775">
        <v>0.15835777126099709</v>
      </c>
      <c r="T21" s="51">
        <v>37</v>
      </c>
      <c r="U21" s="772">
        <v>0.74849999999999994</v>
      </c>
      <c r="V21" s="772">
        <v>8.3949999999999996</v>
      </c>
      <c r="W21" s="773">
        <v>1.206</v>
      </c>
      <c r="X21" s="1">
        <v>1.206</v>
      </c>
      <c r="Y21" s="1">
        <v>9.6009999999999991</v>
      </c>
      <c r="Z21" s="775">
        <v>9.788792257895769E-2</v>
      </c>
      <c r="AA21" s="775">
        <v>0.15771921794284968</v>
      </c>
      <c r="AB21" s="775">
        <v>0.25560714052180739</v>
      </c>
    </row>
    <row r="22" spans="2:28">
      <c r="B22" s="51">
        <v>38</v>
      </c>
      <c r="C22" s="1">
        <v>0.69099999999999995</v>
      </c>
      <c r="D22" s="1">
        <v>8.0139999999999993</v>
      </c>
      <c r="E22" s="1">
        <v>1.9970000000000001</v>
      </c>
      <c r="F22" s="1">
        <v>1.9970000000000001</v>
      </c>
      <c r="G22" s="1">
        <v>10.010999999999999</v>
      </c>
      <c r="H22" s="775">
        <v>9.4360234876416774E-2</v>
      </c>
      <c r="I22" s="775">
        <v>0.27270244435340713</v>
      </c>
      <c r="J22" s="775">
        <v>0.36706267922982388</v>
      </c>
      <c r="K22" s="51">
        <v>38</v>
      </c>
      <c r="L22" s="1">
        <v>0.80700000000000005</v>
      </c>
      <c r="M22" s="1">
        <v>9.2279999999999998</v>
      </c>
      <c r="N22" s="1">
        <v>0.504</v>
      </c>
      <c r="O22" s="1">
        <v>0.504</v>
      </c>
      <c r="P22" s="1">
        <v>9.7319999999999993</v>
      </c>
      <c r="Q22" s="775">
        <v>9.5831848949055942E-2</v>
      </c>
      <c r="R22" s="775">
        <v>5.9850374064837911E-2</v>
      </c>
      <c r="S22" s="775">
        <v>0.15568222301389384</v>
      </c>
      <c r="T22" s="51">
        <v>38</v>
      </c>
      <c r="U22" s="772">
        <v>0.749</v>
      </c>
      <c r="V22" s="772">
        <v>8.6209999999999987</v>
      </c>
      <c r="W22" s="773">
        <v>1.2505000000000002</v>
      </c>
      <c r="X22" s="1">
        <v>1.2505000000000002</v>
      </c>
      <c r="Y22" s="1">
        <v>9.8714999999999993</v>
      </c>
      <c r="Z22" s="775">
        <v>9.5147357723577242E-2</v>
      </c>
      <c r="AA22" s="775">
        <v>0.15885416666666671</v>
      </c>
      <c r="AB22" s="775">
        <v>0.25400152439024393</v>
      </c>
    </row>
    <row r="23" spans="2:28">
      <c r="B23" s="51">
        <v>39</v>
      </c>
      <c r="C23" s="1">
        <v>0.68700000000000006</v>
      </c>
      <c r="D23" s="1">
        <v>8.2319999999999993</v>
      </c>
      <c r="E23" s="1">
        <v>2.0710000000000002</v>
      </c>
      <c r="F23" s="1">
        <v>2.0710000000000002</v>
      </c>
      <c r="G23" s="1">
        <v>10.302999999999999</v>
      </c>
      <c r="H23" s="775">
        <v>9.1053677932405583E-2</v>
      </c>
      <c r="I23" s="775">
        <v>0.27448641484426778</v>
      </c>
      <c r="J23" s="775">
        <v>0.36554009277667338</v>
      </c>
      <c r="K23" s="51">
        <v>39</v>
      </c>
      <c r="L23" s="1">
        <v>0.80200000000000005</v>
      </c>
      <c r="M23" s="1">
        <v>9.468</v>
      </c>
      <c r="N23" s="1">
        <v>0.51800000000000002</v>
      </c>
      <c r="O23" s="1">
        <v>0.51800000000000002</v>
      </c>
      <c r="P23" s="1">
        <v>9.9860000000000007</v>
      </c>
      <c r="Q23" s="775">
        <v>9.2545580429263793E-2</v>
      </c>
      <c r="R23" s="775">
        <v>5.9773828756058155E-2</v>
      </c>
      <c r="S23" s="775">
        <v>0.15231940918532194</v>
      </c>
      <c r="T23" s="51">
        <v>39</v>
      </c>
      <c r="U23" s="772">
        <v>0.74450000000000005</v>
      </c>
      <c r="V23" s="772">
        <v>8.85</v>
      </c>
      <c r="W23" s="773">
        <v>1.2945000000000002</v>
      </c>
      <c r="X23" s="1">
        <v>1.2945000000000002</v>
      </c>
      <c r="Y23" s="1">
        <v>10.144500000000001</v>
      </c>
      <c r="Z23" s="775">
        <v>9.185121213990502E-2</v>
      </c>
      <c r="AA23" s="775">
        <v>0.1597063722163963</v>
      </c>
      <c r="AB23" s="775">
        <v>0.25155758435630132</v>
      </c>
    </row>
    <row r="24" spans="2:28">
      <c r="B24" s="51">
        <v>40</v>
      </c>
      <c r="C24" s="1">
        <v>0.67900000000000005</v>
      </c>
      <c r="D24" s="1">
        <v>8.4550000000000001</v>
      </c>
      <c r="E24" s="1">
        <v>2.145</v>
      </c>
      <c r="F24" s="1">
        <v>2.145</v>
      </c>
      <c r="G24" s="1">
        <v>10.6</v>
      </c>
      <c r="H24" s="775">
        <v>8.7319958847736634E-2</v>
      </c>
      <c r="I24" s="775">
        <v>0.2758487654320988</v>
      </c>
      <c r="J24" s="775">
        <v>0.36316872427983543</v>
      </c>
      <c r="K24" s="51">
        <v>40</v>
      </c>
      <c r="L24" s="1">
        <v>0.79100000000000004</v>
      </c>
      <c r="M24" s="1">
        <v>9.7129999999999992</v>
      </c>
      <c r="N24" s="1">
        <v>0.53100000000000003</v>
      </c>
      <c r="O24" s="1">
        <v>0.53100000000000003</v>
      </c>
      <c r="P24" s="1">
        <v>10.244</v>
      </c>
      <c r="Q24" s="775">
        <v>8.8657251737278647E-2</v>
      </c>
      <c r="R24" s="775">
        <v>5.9515803631472776E-2</v>
      </c>
      <c r="S24" s="775">
        <v>0.14817305536875142</v>
      </c>
      <c r="T24" s="51">
        <v>40</v>
      </c>
      <c r="U24" s="772">
        <v>0.7350000000000001</v>
      </c>
      <c r="V24" s="772">
        <v>9.0839999999999996</v>
      </c>
      <c r="W24" s="773">
        <v>1.3380000000000001</v>
      </c>
      <c r="X24" s="1">
        <v>1.3380000000000001</v>
      </c>
      <c r="Y24" s="1">
        <v>10.422000000000001</v>
      </c>
      <c r="Z24" s="775">
        <v>8.8034495149119665E-2</v>
      </c>
      <c r="AA24" s="775">
        <v>0.16025871361839741</v>
      </c>
      <c r="AB24" s="775">
        <v>0.24829320876751709</v>
      </c>
    </row>
    <row r="25" spans="2:28">
      <c r="B25" s="51">
        <v>41</v>
      </c>
      <c r="C25" s="1">
        <v>0.66800000000000004</v>
      </c>
      <c r="D25" s="1">
        <v>8.6839999999999993</v>
      </c>
      <c r="E25" s="1">
        <v>2.2200000000000002</v>
      </c>
      <c r="F25" s="1">
        <v>2.2200000000000002</v>
      </c>
      <c r="G25" s="1">
        <v>10.904</v>
      </c>
      <c r="H25" s="775">
        <v>8.3333333333333343E-2</v>
      </c>
      <c r="I25" s="775">
        <v>0.27694610778443118</v>
      </c>
      <c r="J25" s="775">
        <v>0.36027944111776455</v>
      </c>
      <c r="K25" s="51">
        <v>41</v>
      </c>
      <c r="L25" s="1">
        <v>0.77600000000000002</v>
      </c>
      <c r="M25" s="1">
        <v>9.9640000000000004</v>
      </c>
      <c r="N25" s="1">
        <v>0.54400000000000004</v>
      </c>
      <c r="O25" s="1">
        <v>0.54400000000000004</v>
      </c>
      <c r="P25" s="1">
        <v>10.508000000000001</v>
      </c>
      <c r="Q25" s="775">
        <v>8.4457988680888108E-2</v>
      </c>
      <c r="R25" s="775">
        <v>5.9207662168045273E-2</v>
      </c>
      <c r="S25" s="775">
        <v>0.14366565084893337</v>
      </c>
      <c r="T25" s="51">
        <v>41</v>
      </c>
      <c r="U25" s="772">
        <v>0.72199999999999998</v>
      </c>
      <c r="V25" s="772">
        <v>9.3239999999999998</v>
      </c>
      <c r="W25" s="773">
        <v>1.3820000000000001</v>
      </c>
      <c r="X25" s="1">
        <v>1.3820000000000001</v>
      </c>
      <c r="Y25" s="1">
        <v>10.706</v>
      </c>
      <c r="Z25" s="775">
        <v>8.3933968844454768E-2</v>
      </c>
      <c r="AA25" s="775">
        <v>0.16066031155545224</v>
      </c>
      <c r="AB25" s="775">
        <v>0.24459428039990699</v>
      </c>
    </row>
    <row r="26" spans="2:28">
      <c r="B26" s="51">
        <v>42</v>
      </c>
      <c r="C26" s="1">
        <v>0.65700000000000003</v>
      </c>
      <c r="D26" s="1">
        <v>8.9209999999999994</v>
      </c>
      <c r="E26" s="1">
        <v>2.2970000000000002</v>
      </c>
      <c r="F26" s="1">
        <v>2.2970000000000002</v>
      </c>
      <c r="G26" s="1">
        <v>11.218</v>
      </c>
      <c r="H26" s="775">
        <v>7.9501452081316565E-2</v>
      </c>
      <c r="I26" s="775">
        <v>0.27795256534365931</v>
      </c>
      <c r="J26" s="775">
        <v>0.35745401742497585</v>
      </c>
      <c r="K26" s="51">
        <v>42</v>
      </c>
      <c r="L26" s="1">
        <v>0.75900000000000001</v>
      </c>
      <c r="M26" s="1">
        <v>10.221</v>
      </c>
      <c r="N26" s="1">
        <v>0.55700000000000005</v>
      </c>
      <c r="O26" s="1">
        <v>0.55700000000000005</v>
      </c>
      <c r="P26" s="1">
        <v>10.778</v>
      </c>
      <c r="Q26" s="775">
        <v>8.0215599239061519E-2</v>
      </c>
      <c r="R26" s="775">
        <v>5.8867047135912079E-2</v>
      </c>
      <c r="S26" s="775">
        <v>0.13908264637497358</v>
      </c>
      <c r="T26" s="51">
        <v>42</v>
      </c>
      <c r="U26" s="772">
        <v>0.70799999999999996</v>
      </c>
      <c r="V26" s="772">
        <v>9.5709999999999997</v>
      </c>
      <c r="W26" s="773">
        <v>1.427</v>
      </c>
      <c r="X26" s="1">
        <v>1.427</v>
      </c>
      <c r="Y26" s="1">
        <v>10.997999999999999</v>
      </c>
      <c r="Z26" s="775">
        <v>7.98826582421302E-2</v>
      </c>
      <c r="AA26" s="775">
        <v>0.16100643123096017</v>
      </c>
      <c r="AB26" s="775">
        <v>0.24088908947309037</v>
      </c>
    </row>
    <row r="27" spans="2:28">
      <c r="B27" s="51">
        <v>43</v>
      </c>
      <c r="C27" s="1">
        <v>0.64600000000000002</v>
      </c>
      <c r="D27" s="1">
        <v>9.1669999999999998</v>
      </c>
      <c r="E27" s="1">
        <v>2.375</v>
      </c>
      <c r="F27" s="1">
        <v>2.375</v>
      </c>
      <c r="G27" s="1">
        <v>11.542</v>
      </c>
      <c r="H27" s="775">
        <v>7.5812698040136142E-2</v>
      </c>
      <c r="I27" s="775">
        <v>0.27872315455932406</v>
      </c>
      <c r="J27" s="775">
        <v>0.35453585259946019</v>
      </c>
      <c r="K27" s="51">
        <v>43</v>
      </c>
      <c r="L27" s="1">
        <v>0.73899999999999999</v>
      </c>
      <c r="M27" s="1">
        <v>10.487</v>
      </c>
      <c r="N27" s="1">
        <v>0.56999999999999995</v>
      </c>
      <c r="O27" s="1">
        <v>0.56999999999999995</v>
      </c>
      <c r="P27" s="1">
        <v>11.057</v>
      </c>
      <c r="Q27" s="775">
        <v>7.5810422650800166E-2</v>
      </c>
      <c r="R27" s="775">
        <v>5.8473533032416904E-2</v>
      </c>
      <c r="S27" s="775">
        <v>0.13428395568321708</v>
      </c>
      <c r="T27" s="51">
        <v>43</v>
      </c>
      <c r="U27" s="772">
        <v>0.6925</v>
      </c>
      <c r="V27" s="772">
        <v>9.827</v>
      </c>
      <c r="W27" s="773">
        <v>1.4724999999999999</v>
      </c>
      <c r="X27" s="1">
        <v>1.4724999999999999</v>
      </c>
      <c r="Y27" s="1">
        <v>11.2995</v>
      </c>
      <c r="Z27" s="775">
        <v>7.5811483934533921E-2</v>
      </c>
      <c r="AA27" s="775">
        <v>0.16120203623624721</v>
      </c>
      <c r="AB27" s="775">
        <v>0.23701352017078114</v>
      </c>
    </row>
    <row r="28" spans="2:28">
      <c r="B28" s="51">
        <v>44</v>
      </c>
      <c r="C28" s="1">
        <v>0.63400000000000001</v>
      </c>
      <c r="D28" s="1">
        <v>9.4220000000000006</v>
      </c>
      <c r="E28" s="1">
        <v>2.4529999999999998</v>
      </c>
      <c r="F28" s="1">
        <v>2.4529999999999998</v>
      </c>
      <c r="G28" s="1">
        <v>11.875</v>
      </c>
      <c r="H28" s="775">
        <v>7.2143832498862082E-2</v>
      </c>
      <c r="I28" s="775">
        <v>0.27913063268092853</v>
      </c>
      <c r="J28" s="775">
        <v>0.35127446517979061</v>
      </c>
      <c r="K28" s="51">
        <v>44</v>
      </c>
      <c r="L28" s="1">
        <v>0.71799999999999997</v>
      </c>
      <c r="M28" s="1">
        <v>10.76</v>
      </c>
      <c r="N28" s="1">
        <v>0.58199999999999996</v>
      </c>
      <c r="O28" s="1">
        <v>0.58199999999999996</v>
      </c>
      <c r="P28" s="1">
        <v>11.342000000000001</v>
      </c>
      <c r="Q28" s="775">
        <v>7.1499701254730139E-2</v>
      </c>
      <c r="R28" s="775">
        <v>5.7956582354112725E-2</v>
      </c>
      <c r="S28" s="775">
        <v>0.12945628360884287</v>
      </c>
      <c r="T28" s="51">
        <v>44</v>
      </c>
      <c r="U28" s="772">
        <v>0.67599999999999993</v>
      </c>
      <c r="V28" s="772">
        <v>10.091000000000001</v>
      </c>
      <c r="W28" s="773">
        <v>1.5174999999999998</v>
      </c>
      <c r="X28" s="1">
        <v>1.5174999999999998</v>
      </c>
      <c r="Y28" s="1">
        <v>11.608500000000001</v>
      </c>
      <c r="Z28" s="775">
        <v>7.180031864046732E-2</v>
      </c>
      <c r="AA28" s="775">
        <v>0.16117896972915557</v>
      </c>
      <c r="AB28" s="775">
        <v>0.23297928836962289</v>
      </c>
    </row>
    <row r="29" spans="2:28">
      <c r="B29" s="51">
        <v>45</v>
      </c>
      <c r="C29" s="1">
        <v>0.621</v>
      </c>
      <c r="D29" s="1">
        <v>9.6859999999999999</v>
      </c>
      <c r="E29" s="1">
        <v>2.532</v>
      </c>
      <c r="F29" s="1">
        <v>2.532</v>
      </c>
      <c r="G29" s="1">
        <v>12.218</v>
      </c>
      <c r="H29" s="775">
        <v>6.8505239933811371E-2</v>
      </c>
      <c r="I29" s="775">
        <v>0.27931605074462218</v>
      </c>
      <c r="J29" s="775">
        <v>0.34782129067843354</v>
      </c>
      <c r="K29" s="51">
        <v>45</v>
      </c>
      <c r="L29" s="1">
        <v>0.69499999999999995</v>
      </c>
      <c r="M29" s="1">
        <v>11.042999999999999</v>
      </c>
      <c r="N29" s="1">
        <v>0.59399999999999997</v>
      </c>
      <c r="O29" s="1">
        <v>0.59399999999999997</v>
      </c>
      <c r="P29" s="1">
        <v>11.636999999999999</v>
      </c>
      <c r="Q29" s="775">
        <v>6.7162736760726718E-2</v>
      </c>
      <c r="R29" s="775">
        <v>5.7402396598376502E-2</v>
      </c>
      <c r="S29" s="775">
        <v>0.12456513335910321</v>
      </c>
      <c r="T29" s="51">
        <v>45</v>
      </c>
      <c r="U29" s="772">
        <v>0.65799999999999992</v>
      </c>
      <c r="V29" s="772">
        <v>10.3645</v>
      </c>
      <c r="W29" s="773">
        <v>1.5629999999999999</v>
      </c>
      <c r="X29" s="1">
        <v>1.5629999999999999</v>
      </c>
      <c r="Y29" s="1">
        <v>11.9275</v>
      </c>
      <c r="Z29" s="775">
        <v>6.7789625508679743E-2</v>
      </c>
      <c r="AA29" s="775">
        <v>0.16102611651985782</v>
      </c>
      <c r="AB29" s="775">
        <v>0.22881574202853755</v>
      </c>
    </row>
    <row r="30" spans="2:28">
      <c r="B30" s="51">
        <v>46</v>
      </c>
      <c r="C30" s="1">
        <v>0.60599999999999998</v>
      </c>
      <c r="D30" s="1">
        <v>9.9589999999999996</v>
      </c>
      <c r="E30" s="1">
        <v>2.61</v>
      </c>
      <c r="F30" s="1">
        <v>2.61</v>
      </c>
      <c r="G30" s="1">
        <v>12.568999999999999</v>
      </c>
      <c r="H30" s="775">
        <v>6.479204533304822E-2</v>
      </c>
      <c r="I30" s="775">
        <v>0.27905484871164332</v>
      </c>
      <c r="J30" s="775">
        <v>0.34384689404469154</v>
      </c>
      <c r="K30" s="51">
        <v>46</v>
      </c>
      <c r="L30" s="1">
        <v>0.67</v>
      </c>
      <c r="M30" s="1">
        <v>11.335000000000001</v>
      </c>
      <c r="N30" s="1">
        <v>0.60599999999999998</v>
      </c>
      <c r="O30" s="1">
        <v>0.60599999999999998</v>
      </c>
      <c r="P30" s="1">
        <v>11.941000000000001</v>
      </c>
      <c r="Q30" s="775">
        <v>6.2822315986872948E-2</v>
      </c>
      <c r="R30" s="775">
        <v>5.6821378340365679E-2</v>
      </c>
      <c r="S30" s="775">
        <v>0.11964369432723862</v>
      </c>
      <c r="T30" s="51">
        <v>46</v>
      </c>
      <c r="U30" s="772">
        <v>0.63800000000000001</v>
      </c>
      <c r="V30" s="772">
        <v>10.647</v>
      </c>
      <c r="W30" s="773">
        <v>1.6079999999999999</v>
      </c>
      <c r="X30" s="1">
        <v>1.6079999999999999</v>
      </c>
      <c r="Y30" s="1">
        <v>12.255000000000001</v>
      </c>
      <c r="Z30" s="775">
        <v>6.3742631631531627E-2</v>
      </c>
      <c r="AA30" s="775">
        <v>0.16065541013088219</v>
      </c>
      <c r="AB30" s="775">
        <v>0.22439804176241382</v>
      </c>
    </row>
    <row r="31" spans="2:28">
      <c r="B31" s="51">
        <v>47</v>
      </c>
      <c r="C31" s="1">
        <v>0.58899999999999997</v>
      </c>
      <c r="D31" s="1">
        <v>10.242000000000001</v>
      </c>
      <c r="E31" s="1">
        <v>2.6880000000000002</v>
      </c>
      <c r="F31" s="1">
        <v>2.6880000000000002</v>
      </c>
      <c r="G31" s="1">
        <v>12.930000000000001</v>
      </c>
      <c r="H31" s="775">
        <v>6.1017300321143678E-2</v>
      </c>
      <c r="I31" s="775">
        <v>0.27846265409717186</v>
      </c>
      <c r="J31" s="775">
        <v>0.33947995441831552</v>
      </c>
      <c r="K31" s="51">
        <v>47</v>
      </c>
      <c r="L31" s="1">
        <v>0.64200000000000002</v>
      </c>
      <c r="M31" s="1">
        <v>11.635999999999999</v>
      </c>
      <c r="N31" s="1">
        <v>0.61699999999999999</v>
      </c>
      <c r="O31" s="1">
        <v>0.61699999999999999</v>
      </c>
      <c r="P31" s="1">
        <v>12.253</v>
      </c>
      <c r="Q31" s="775">
        <v>5.8395488448244499E-2</v>
      </c>
      <c r="R31" s="775">
        <v>5.6121520829543386E-2</v>
      </c>
      <c r="S31" s="775">
        <v>0.11451700927778788</v>
      </c>
      <c r="T31" s="51">
        <v>47</v>
      </c>
      <c r="U31" s="772">
        <v>0.61549999999999994</v>
      </c>
      <c r="V31" s="772">
        <v>10.939</v>
      </c>
      <c r="W31" s="773">
        <v>1.6525000000000001</v>
      </c>
      <c r="X31" s="1">
        <v>1.6525000000000001</v>
      </c>
      <c r="Y31" s="1">
        <v>12.5915</v>
      </c>
      <c r="Z31" s="775">
        <v>5.96212524822008E-2</v>
      </c>
      <c r="AA31" s="775">
        <v>0.16007168111590064</v>
      </c>
      <c r="AB31" s="775">
        <v>0.21969293359810144</v>
      </c>
    </row>
    <row r="32" spans="2:28">
      <c r="B32" s="51">
        <v>48</v>
      </c>
      <c r="C32" s="1">
        <v>0.56799999999999995</v>
      </c>
      <c r="D32" s="1">
        <v>10.534000000000001</v>
      </c>
      <c r="E32" s="1">
        <v>2.7650000000000001</v>
      </c>
      <c r="F32" s="1">
        <v>2.7650000000000001</v>
      </c>
      <c r="G32" s="1">
        <v>13.299000000000001</v>
      </c>
      <c r="H32" s="775">
        <v>5.6993778848083473E-2</v>
      </c>
      <c r="I32" s="775">
        <v>0.27744330724463173</v>
      </c>
      <c r="J32" s="775">
        <v>0.33443708609271522</v>
      </c>
      <c r="K32" s="51">
        <v>48</v>
      </c>
      <c r="L32" s="1">
        <v>0.61299999999999999</v>
      </c>
      <c r="M32" s="1">
        <v>11.946999999999999</v>
      </c>
      <c r="N32" s="1">
        <v>0.628</v>
      </c>
      <c r="O32" s="1">
        <v>0.628</v>
      </c>
      <c r="P32" s="1">
        <v>12.574999999999999</v>
      </c>
      <c r="Q32" s="775">
        <v>5.4085053820363507E-2</v>
      </c>
      <c r="R32" s="775">
        <v>5.5408505382036351E-2</v>
      </c>
      <c r="S32" s="775">
        <v>0.10949355920239986</v>
      </c>
      <c r="T32" s="51">
        <v>48</v>
      </c>
      <c r="U32" s="772">
        <v>0.59050000000000002</v>
      </c>
      <c r="V32" s="772">
        <v>11.240500000000001</v>
      </c>
      <c r="W32" s="773">
        <v>1.6965000000000001</v>
      </c>
      <c r="X32" s="1">
        <v>1.6965000000000001</v>
      </c>
      <c r="Y32" s="1">
        <v>12.937000000000001</v>
      </c>
      <c r="Z32" s="775">
        <v>5.5446009389671362E-2</v>
      </c>
      <c r="AA32" s="775">
        <v>0.15929577464788733</v>
      </c>
      <c r="AB32" s="775">
        <v>0.2147417840375587</v>
      </c>
    </row>
    <row r="33" spans="2:28">
      <c r="B33" s="51">
        <v>49</v>
      </c>
      <c r="C33" s="1">
        <v>0.54400000000000004</v>
      </c>
      <c r="D33" s="1">
        <v>10.835000000000001</v>
      </c>
      <c r="E33" s="1">
        <v>2.84</v>
      </c>
      <c r="F33" s="1">
        <v>2.84</v>
      </c>
      <c r="G33" s="1">
        <v>13.675000000000001</v>
      </c>
      <c r="H33" s="775">
        <v>5.2861723836361875E-2</v>
      </c>
      <c r="I33" s="775">
        <v>0.2759692935574774</v>
      </c>
      <c r="J33" s="775">
        <v>0.3288310173938393</v>
      </c>
      <c r="K33" s="51">
        <v>49</v>
      </c>
      <c r="L33" s="1">
        <v>0.57899999999999996</v>
      </c>
      <c r="M33" s="1">
        <v>12.266999999999999</v>
      </c>
      <c r="N33" s="1">
        <v>0.63800000000000001</v>
      </c>
      <c r="O33" s="1">
        <v>0.63800000000000001</v>
      </c>
      <c r="P33" s="1">
        <v>12.904999999999999</v>
      </c>
      <c r="Q33" s="775">
        <v>4.9537987679671457E-2</v>
      </c>
      <c r="R33" s="775">
        <v>5.4585900068446276E-2</v>
      </c>
      <c r="S33" s="775">
        <v>0.10412388774811773</v>
      </c>
      <c r="T33" s="51">
        <v>49</v>
      </c>
      <c r="U33" s="772">
        <v>0.5615</v>
      </c>
      <c r="V33" s="772">
        <v>11.551</v>
      </c>
      <c r="W33" s="773">
        <v>1.7389999999999999</v>
      </c>
      <c r="X33" s="1">
        <v>1.7389999999999999</v>
      </c>
      <c r="Y33" s="1">
        <v>13.29</v>
      </c>
      <c r="Z33" s="775">
        <v>5.1094226306929343E-2</v>
      </c>
      <c r="AA33" s="775">
        <v>0.15824195823285864</v>
      </c>
      <c r="AB33" s="775">
        <v>0.20933618453978797</v>
      </c>
    </row>
    <row r="34" spans="2:28">
      <c r="B34" s="51">
        <v>50</v>
      </c>
      <c r="C34" s="1">
        <v>0.51600000000000001</v>
      </c>
      <c r="D34" s="1">
        <v>11.145</v>
      </c>
      <c r="E34" s="1">
        <v>2.9140000000000001</v>
      </c>
      <c r="F34" s="1">
        <v>2.9140000000000001</v>
      </c>
      <c r="G34" s="1">
        <v>14.058999999999999</v>
      </c>
      <c r="H34" s="775">
        <v>4.8546429579452446E-2</v>
      </c>
      <c r="I34" s="775">
        <v>0.2741556120048923</v>
      </c>
      <c r="J34" s="775">
        <v>0.32270204158434473</v>
      </c>
      <c r="K34" s="51">
        <v>50</v>
      </c>
      <c r="L34" s="1">
        <v>0.54300000000000004</v>
      </c>
      <c r="M34" s="1">
        <v>12.596</v>
      </c>
      <c r="N34" s="1">
        <v>0.64700000000000002</v>
      </c>
      <c r="O34" s="1">
        <v>0.64700000000000002</v>
      </c>
      <c r="P34" s="1">
        <v>13.243</v>
      </c>
      <c r="Q34" s="775">
        <v>4.5051024641168176E-2</v>
      </c>
      <c r="R34" s="775">
        <v>5.3679581846843107E-2</v>
      </c>
      <c r="S34" s="775">
        <v>9.8730606488011283E-2</v>
      </c>
      <c r="T34" s="51">
        <v>50</v>
      </c>
      <c r="U34" s="772">
        <v>0.52950000000000008</v>
      </c>
      <c r="V34" s="772">
        <v>11.8705</v>
      </c>
      <c r="W34" s="773">
        <v>1.7805</v>
      </c>
      <c r="X34" s="1">
        <v>1.7805</v>
      </c>
      <c r="Y34" s="1">
        <v>13.651</v>
      </c>
      <c r="Z34" s="775">
        <v>4.6689004496957953E-2</v>
      </c>
      <c r="AA34" s="775">
        <v>0.15699673750110221</v>
      </c>
      <c r="AB34" s="775">
        <v>0.20368574199806017</v>
      </c>
    </row>
    <row r="35" spans="2:28">
      <c r="B35" s="51">
        <v>51</v>
      </c>
      <c r="C35" s="1">
        <v>0.48199999999999998</v>
      </c>
      <c r="D35" s="1">
        <v>11.467000000000001</v>
      </c>
      <c r="E35" s="1">
        <v>2.9849999999999999</v>
      </c>
      <c r="F35" s="1">
        <v>2.9849999999999999</v>
      </c>
      <c r="G35" s="1">
        <v>14.452</v>
      </c>
      <c r="H35" s="775">
        <v>4.3878015475648603E-2</v>
      </c>
      <c r="I35" s="775">
        <v>0.27173418297678648</v>
      </c>
      <c r="J35" s="775">
        <v>0.3156121984524351</v>
      </c>
      <c r="K35" s="51">
        <v>51</v>
      </c>
      <c r="L35" s="1">
        <v>0.502</v>
      </c>
      <c r="M35" s="1">
        <v>12.935</v>
      </c>
      <c r="N35" s="1">
        <v>0.65500000000000003</v>
      </c>
      <c r="O35" s="1">
        <v>0.65500000000000003</v>
      </c>
      <c r="P35" s="1">
        <v>13.59</v>
      </c>
      <c r="Q35" s="775">
        <v>4.0376417598327032E-2</v>
      </c>
      <c r="R35" s="775">
        <v>5.2682377543633883E-2</v>
      </c>
      <c r="S35" s="775">
        <v>9.3058795141960915E-2</v>
      </c>
      <c r="T35" s="51">
        <v>51</v>
      </c>
      <c r="U35" s="772">
        <v>0.49199999999999999</v>
      </c>
      <c r="V35" s="772">
        <v>12.201000000000001</v>
      </c>
      <c r="W35" s="773">
        <v>1.8199999999999998</v>
      </c>
      <c r="X35" s="1">
        <v>1.8199999999999998</v>
      </c>
      <c r="Y35" s="1">
        <v>14.021000000000001</v>
      </c>
      <c r="Z35" s="775">
        <v>4.2018959774532412E-2</v>
      </c>
      <c r="AA35" s="775">
        <v>0.15543598940985565</v>
      </c>
      <c r="AB35" s="775">
        <v>0.19745494918438805</v>
      </c>
    </row>
    <row r="36" spans="2:28">
      <c r="B36" s="51">
        <v>52</v>
      </c>
      <c r="C36" s="1">
        <v>0.44500000000000001</v>
      </c>
      <c r="D36" s="1">
        <v>11.798999999999999</v>
      </c>
      <c r="E36" s="1">
        <v>3.0539999999999998</v>
      </c>
      <c r="F36" s="1">
        <v>3.0539999999999998</v>
      </c>
      <c r="G36" s="1">
        <v>14.853</v>
      </c>
      <c r="H36" s="775">
        <v>3.9193235864012688E-2</v>
      </c>
      <c r="I36" s="775">
        <v>0.26898009512066234</v>
      </c>
      <c r="J36" s="775">
        <v>0.30817333098467503</v>
      </c>
      <c r="K36" s="51">
        <v>52</v>
      </c>
      <c r="L36" s="1">
        <v>0.45800000000000002</v>
      </c>
      <c r="M36" s="1">
        <v>13.284000000000001</v>
      </c>
      <c r="N36" s="1">
        <v>0.66200000000000003</v>
      </c>
      <c r="O36" s="1">
        <v>0.66200000000000003</v>
      </c>
      <c r="P36" s="1">
        <v>13.946000000000002</v>
      </c>
      <c r="Q36" s="775">
        <v>3.5708716669265554E-2</v>
      </c>
      <c r="R36" s="775">
        <v>5.1613909246842352E-2</v>
      </c>
      <c r="S36" s="775">
        <v>8.7322625916107899E-2</v>
      </c>
      <c r="T36" s="51">
        <v>52</v>
      </c>
      <c r="U36" s="772">
        <v>0.45150000000000001</v>
      </c>
      <c r="V36" s="772">
        <v>12.541499999999999</v>
      </c>
      <c r="W36" s="773">
        <v>1.8579999999999999</v>
      </c>
      <c r="X36" s="1">
        <v>1.8579999999999999</v>
      </c>
      <c r="Y36" s="1">
        <v>14.3995</v>
      </c>
      <c r="Z36" s="775">
        <v>3.7344913151364768E-2</v>
      </c>
      <c r="AA36" s="775">
        <v>0.15368072787427625</v>
      </c>
      <c r="AB36" s="775">
        <v>0.19102564102564101</v>
      </c>
    </row>
    <row r="37" spans="2:28">
      <c r="B37" s="51">
        <v>53</v>
      </c>
      <c r="C37" s="1">
        <v>0.40300000000000002</v>
      </c>
      <c r="D37" s="1">
        <v>12.144</v>
      </c>
      <c r="E37" s="1">
        <v>3.121</v>
      </c>
      <c r="F37" s="1">
        <v>3.121</v>
      </c>
      <c r="G37" s="1">
        <v>15.265000000000001</v>
      </c>
      <c r="H37" s="775">
        <v>3.4324163188825488E-2</v>
      </c>
      <c r="I37" s="775">
        <v>0.26582062856656163</v>
      </c>
      <c r="J37" s="775">
        <v>0.30014479175538711</v>
      </c>
      <c r="K37" s="51">
        <v>53</v>
      </c>
      <c r="L37" s="1">
        <v>0.41</v>
      </c>
      <c r="M37" s="1">
        <v>13.644</v>
      </c>
      <c r="N37" s="1">
        <v>0.66700000000000004</v>
      </c>
      <c r="O37" s="1">
        <v>0.66700000000000004</v>
      </c>
      <c r="P37" s="1">
        <v>14.311</v>
      </c>
      <c r="Q37" s="775">
        <v>3.0980807012241197E-2</v>
      </c>
      <c r="R37" s="775">
        <v>5.0400483602841169E-2</v>
      </c>
      <c r="S37" s="775">
        <v>8.1381290615082369E-2</v>
      </c>
      <c r="T37" s="51">
        <v>53</v>
      </c>
      <c r="U37" s="772">
        <v>0.40649999999999997</v>
      </c>
      <c r="V37" s="772">
        <v>12.894</v>
      </c>
      <c r="W37" s="773">
        <v>1.8940000000000001</v>
      </c>
      <c r="X37" s="1">
        <v>1.8940000000000001</v>
      </c>
      <c r="Y37" s="1">
        <v>14.788</v>
      </c>
      <c r="Z37" s="775">
        <v>3.2552552552552551E-2</v>
      </c>
      <c r="AA37" s="775">
        <v>0.15167167167167167</v>
      </c>
      <c r="AB37" s="775">
        <v>0.18422422422422421</v>
      </c>
    </row>
    <row r="38" spans="2:28">
      <c r="B38" s="51">
        <v>54</v>
      </c>
      <c r="C38" s="1">
        <v>0.35699999999999998</v>
      </c>
      <c r="D38" s="1">
        <v>12.500999999999999</v>
      </c>
      <c r="E38" s="1">
        <v>3.1859999999999999</v>
      </c>
      <c r="F38" s="1">
        <v>3.1859999999999999</v>
      </c>
      <c r="G38" s="1">
        <v>15.686999999999999</v>
      </c>
      <c r="H38" s="775">
        <v>2.9397233201581024E-2</v>
      </c>
      <c r="I38" s="775">
        <v>0.26235177865612647</v>
      </c>
      <c r="J38" s="775">
        <v>0.29174901185770752</v>
      </c>
      <c r="K38" s="51">
        <v>54</v>
      </c>
      <c r="L38" s="1">
        <v>0.35799999999999998</v>
      </c>
      <c r="M38" s="1">
        <v>14.015000000000001</v>
      </c>
      <c r="N38" s="1">
        <v>0.67200000000000004</v>
      </c>
      <c r="O38" s="1">
        <v>0.67200000000000004</v>
      </c>
      <c r="P38" s="1">
        <v>14.687000000000001</v>
      </c>
      <c r="Q38" s="775">
        <v>2.6213663322838105E-2</v>
      </c>
      <c r="R38" s="775">
        <v>4.9205535622757562E-2</v>
      </c>
      <c r="S38" s="775">
        <v>7.5419198945595664E-2</v>
      </c>
      <c r="T38" s="51">
        <v>54</v>
      </c>
      <c r="U38" s="772">
        <v>0.35749999999999998</v>
      </c>
      <c r="V38" s="772">
        <v>13.257999999999999</v>
      </c>
      <c r="W38" s="773">
        <v>1.929</v>
      </c>
      <c r="X38" s="1">
        <v>1.929</v>
      </c>
      <c r="Y38" s="1">
        <v>15.186999999999999</v>
      </c>
      <c r="Z38" s="775">
        <v>2.7712104182008451E-2</v>
      </c>
      <c r="AA38" s="775">
        <v>0.14952908801984421</v>
      </c>
      <c r="AB38" s="775">
        <v>0.17724119220185267</v>
      </c>
    </row>
    <row r="39" spans="2:28">
      <c r="B39" s="51">
        <v>55</v>
      </c>
      <c r="C39" s="1">
        <v>0.307</v>
      </c>
      <c r="D39" s="1">
        <v>12.871</v>
      </c>
      <c r="E39" s="1">
        <v>3.25</v>
      </c>
      <c r="F39" s="1">
        <v>3.25</v>
      </c>
      <c r="G39" s="1">
        <v>16.121000000000002</v>
      </c>
      <c r="H39" s="775">
        <v>2.4434893346068132E-2</v>
      </c>
      <c r="I39" s="775">
        <v>0.2586755810251512</v>
      </c>
      <c r="J39" s="775">
        <v>0.28311047437121933</v>
      </c>
      <c r="K39" s="51">
        <v>55</v>
      </c>
      <c r="L39" s="1">
        <v>0.30199999999999999</v>
      </c>
      <c r="M39" s="1">
        <v>14.397</v>
      </c>
      <c r="N39" s="1">
        <v>0.67600000000000005</v>
      </c>
      <c r="O39" s="1">
        <v>0.67600000000000005</v>
      </c>
      <c r="P39" s="1">
        <v>15.073</v>
      </c>
      <c r="Q39" s="775">
        <v>2.1426037601986518E-2</v>
      </c>
      <c r="R39" s="775">
        <v>4.7960269599148633E-2</v>
      </c>
      <c r="S39" s="775">
        <v>6.9386307201135144E-2</v>
      </c>
      <c r="T39" s="51">
        <v>55</v>
      </c>
      <c r="U39" s="772">
        <v>0.30449999999999999</v>
      </c>
      <c r="V39" s="772">
        <v>13.634</v>
      </c>
      <c r="W39" s="773">
        <v>1.9630000000000001</v>
      </c>
      <c r="X39" s="1">
        <v>1.9630000000000001</v>
      </c>
      <c r="Y39" s="1">
        <v>15.597000000000001</v>
      </c>
      <c r="Z39" s="775">
        <v>2.284406766945497E-2</v>
      </c>
      <c r="AA39" s="775">
        <v>0.14726733936006603</v>
      </c>
      <c r="AB39" s="775">
        <v>0.17011140702952099</v>
      </c>
    </row>
    <row r="40" spans="2:28">
      <c r="B40" s="51">
        <v>56</v>
      </c>
      <c r="C40" s="1">
        <v>0.253</v>
      </c>
      <c r="D40" s="1">
        <v>13.255000000000001</v>
      </c>
      <c r="E40" s="1">
        <v>3.3119999999999998</v>
      </c>
      <c r="F40" s="1">
        <v>3.3119999999999998</v>
      </c>
      <c r="G40" s="1">
        <v>16.567</v>
      </c>
      <c r="H40" s="775">
        <v>1.94585448392555E-2</v>
      </c>
      <c r="I40" s="775">
        <v>0.25473004153207196</v>
      </c>
      <c r="J40" s="775">
        <v>0.27418858637132748</v>
      </c>
      <c r="K40" s="51">
        <v>56</v>
      </c>
      <c r="L40" s="1">
        <v>0.245</v>
      </c>
      <c r="M40" s="1">
        <v>14.792999999999999</v>
      </c>
      <c r="N40" s="1">
        <v>0.67900000000000005</v>
      </c>
      <c r="O40" s="1">
        <v>0.67900000000000005</v>
      </c>
      <c r="P40" s="1">
        <v>15.472</v>
      </c>
      <c r="Q40" s="775">
        <v>1.6840802859499588E-2</v>
      </c>
      <c r="R40" s="775">
        <v>4.6673082210613143E-2</v>
      </c>
      <c r="S40" s="775">
        <v>6.3513885070112727E-2</v>
      </c>
      <c r="T40" s="51">
        <v>56</v>
      </c>
      <c r="U40" s="772">
        <v>0.249</v>
      </c>
      <c r="V40" s="772">
        <v>14.024000000000001</v>
      </c>
      <c r="W40" s="773">
        <v>1.9954999999999998</v>
      </c>
      <c r="X40" s="1">
        <v>1.9954999999999998</v>
      </c>
      <c r="Y40" s="1">
        <v>16.019500000000001</v>
      </c>
      <c r="Z40" s="775">
        <v>1.8076225045372051E-2</v>
      </c>
      <c r="AA40" s="775">
        <v>0.14486388384754989</v>
      </c>
      <c r="AB40" s="775">
        <v>0.16294010889292193</v>
      </c>
    </row>
    <row r="41" spans="2:28">
      <c r="B41" s="51">
        <v>57</v>
      </c>
      <c r="C41" s="1">
        <v>0.19800000000000001</v>
      </c>
      <c r="D41" s="1">
        <v>13.654999999999999</v>
      </c>
      <c r="E41" s="1">
        <v>3.3740000000000001</v>
      </c>
      <c r="F41" s="1">
        <v>3.3740000000000001</v>
      </c>
      <c r="G41" s="1">
        <v>17.029</v>
      </c>
      <c r="H41" s="775">
        <v>1.4713531990785466E-2</v>
      </c>
      <c r="I41" s="775">
        <v>0.25072452998439476</v>
      </c>
      <c r="J41" s="775">
        <v>0.26543806197518022</v>
      </c>
      <c r="K41" s="51">
        <v>57</v>
      </c>
      <c r="L41" s="1">
        <v>0.187</v>
      </c>
      <c r="M41" s="1">
        <v>15.205</v>
      </c>
      <c r="N41" s="1">
        <v>0.68100000000000005</v>
      </c>
      <c r="O41" s="1">
        <v>0.68100000000000005</v>
      </c>
      <c r="P41" s="1">
        <v>15.885999999999999</v>
      </c>
      <c r="Q41" s="775">
        <v>1.2451724597150085E-2</v>
      </c>
      <c r="R41" s="775">
        <v>4.5345585297642828E-2</v>
      </c>
      <c r="S41" s="775">
        <v>5.7797309894792911E-2</v>
      </c>
      <c r="T41" s="51">
        <v>57</v>
      </c>
      <c r="U41" s="772">
        <v>0.1925</v>
      </c>
      <c r="V41" s="772">
        <v>14.43</v>
      </c>
      <c r="W41" s="773">
        <v>2.0274999999999999</v>
      </c>
      <c r="X41" s="1">
        <v>2.0274999999999999</v>
      </c>
      <c r="Y41" s="1">
        <v>16.4575</v>
      </c>
      <c r="Z41" s="775">
        <v>1.3520632133450396E-2</v>
      </c>
      <c r="AA41" s="775">
        <v>0.1424056189640035</v>
      </c>
      <c r="AB41" s="775">
        <v>0.15592625109745389</v>
      </c>
    </row>
    <row r="42" spans="2:28">
      <c r="B42" s="51">
        <v>58</v>
      </c>
      <c r="C42" s="1">
        <v>0.14299999999999999</v>
      </c>
      <c r="D42" s="1">
        <v>14.071999999999999</v>
      </c>
      <c r="E42" s="1">
        <v>3.4369999999999998</v>
      </c>
      <c r="F42" s="1">
        <v>3.4369999999999998</v>
      </c>
      <c r="G42" s="1">
        <v>17.509</v>
      </c>
      <c r="H42" s="775">
        <v>1.0266350778950391E-2</v>
      </c>
      <c r="I42" s="775">
        <v>0.24675138200875871</v>
      </c>
      <c r="J42" s="775">
        <v>0.25701773278770912</v>
      </c>
      <c r="K42" s="51">
        <v>58</v>
      </c>
      <c r="L42" s="1">
        <v>0.13100000000000001</v>
      </c>
      <c r="M42" s="1">
        <v>15.634</v>
      </c>
      <c r="N42" s="1">
        <v>0.68300000000000005</v>
      </c>
      <c r="O42" s="1">
        <v>0.68300000000000005</v>
      </c>
      <c r="P42" s="1">
        <v>16.317</v>
      </c>
      <c r="Q42" s="775">
        <v>8.4499774237244401E-3</v>
      </c>
      <c r="R42" s="775">
        <v>4.4055989163387738E-2</v>
      </c>
      <c r="S42" s="775">
        <v>5.2505966587112179E-2</v>
      </c>
      <c r="T42" s="51">
        <v>58</v>
      </c>
      <c r="U42" s="772">
        <v>0.13700000000000001</v>
      </c>
      <c r="V42" s="772">
        <v>14.853</v>
      </c>
      <c r="W42" s="773">
        <v>2.06</v>
      </c>
      <c r="X42" s="1">
        <v>2.06</v>
      </c>
      <c r="Y42" s="1">
        <v>16.913</v>
      </c>
      <c r="Z42" s="775">
        <v>9.3095949986409365E-3</v>
      </c>
      <c r="AA42" s="775">
        <v>0.13998369122044035</v>
      </c>
      <c r="AB42" s="775">
        <v>0.14929328621908128</v>
      </c>
    </row>
    <row r="43" spans="2:28">
      <c r="B43" s="51">
        <v>59</v>
      </c>
      <c r="C43" s="1">
        <v>9.2999999999999999E-2</v>
      </c>
      <c r="D43" s="1">
        <v>14.509</v>
      </c>
      <c r="E43" s="1">
        <v>3.5019999999999998</v>
      </c>
      <c r="F43" s="1">
        <v>3.5019999999999998</v>
      </c>
      <c r="G43" s="1">
        <v>18.010999999999999</v>
      </c>
      <c r="H43" s="775">
        <v>6.4511653718091009E-3</v>
      </c>
      <c r="I43" s="775">
        <v>0.24292452830188677</v>
      </c>
      <c r="J43" s="775">
        <v>0.24937569367369586</v>
      </c>
      <c r="K43" s="51">
        <v>59</v>
      </c>
      <c r="L43" s="1">
        <v>8.2000000000000003E-2</v>
      </c>
      <c r="M43" s="1">
        <v>16.085999999999999</v>
      </c>
      <c r="N43" s="1">
        <v>0.68500000000000005</v>
      </c>
      <c r="O43" s="1">
        <v>0.68500000000000005</v>
      </c>
      <c r="P43" s="1">
        <v>16.770999999999997</v>
      </c>
      <c r="Q43" s="775">
        <v>5.1237190702324428E-3</v>
      </c>
      <c r="R43" s="775">
        <v>4.2801799550112478E-2</v>
      </c>
      <c r="S43" s="775">
        <v>4.7925518620344922E-2</v>
      </c>
      <c r="T43" s="51">
        <v>59</v>
      </c>
      <c r="U43" s="772">
        <v>8.7499999999999994E-2</v>
      </c>
      <c r="V43" s="772">
        <v>15.297499999999999</v>
      </c>
      <c r="W43" s="773">
        <v>2.0934999999999997</v>
      </c>
      <c r="X43" s="1">
        <v>2.0934999999999997</v>
      </c>
      <c r="Y43" s="1">
        <v>17.390999999999998</v>
      </c>
      <c r="Z43" s="775">
        <v>5.752794214332676E-3</v>
      </c>
      <c r="AA43" s="775">
        <v>0.13763971071663378</v>
      </c>
      <c r="AB43" s="775">
        <v>0.14339250493096645</v>
      </c>
    </row>
    <row r="44" spans="2:28">
      <c r="B44" s="51">
        <v>60</v>
      </c>
      <c r="C44" s="1">
        <v>5.0999999999999997E-2</v>
      </c>
      <c r="D44" s="1">
        <v>14.97</v>
      </c>
      <c r="E44" s="1">
        <v>3.57</v>
      </c>
      <c r="F44" s="1">
        <v>3.57</v>
      </c>
      <c r="G44" s="1">
        <v>18.54</v>
      </c>
      <c r="H44" s="775">
        <v>3.4184596822843349E-3</v>
      </c>
      <c r="I44" s="775">
        <v>0.23929217775990347</v>
      </c>
      <c r="J44" s="775">
        <v>0.24271063744218779</v>
      </c>
      <c r="K44" s="51">
        <v>60</v>
      </c>
      <c r="L44" s="1">
        <v>4.3999999999999997E-2</v>
      </c>
      <c r="M44" s="1">
        <v>16.565000000000001</v>
      </c>
      <c r="N44" s="1">
        <v>0.68700000000000006</v>
      </c>
      <c r="O44" s="1">
        <v>0.68700000000000006</v>
      </c>
      <c r="P44" s="1">
        <v>17.252000000000002</v>
      </c>
      <c r="Q44" s="775">
        <v>2.6632770413413231E-3</v>
      </c>
      <c r="R44" s="775">
        <v>4.1583439259124749E-2</v>
      </c>
      <c r="S44" s="775">
        <v>4.4246716300466074E-2</v>
      </c>
      <c r="T44" s="51">
        <v>60</v>
      </c>
      <c r="U44" s="772">
        <v>4.7500000000000001E-2</v>
      </c>
      <c r="V44" s="772">
        <v>15.767500000000002</v>
      </c>
      <c r="W44" s="773">
        <v>2.1284999999999998</v>
      </c>
      <c r="X44" s="1">
        <v>2.1284999999999998</v>
      </c>
      <c r="Y44" s="1">
        <v>17.896000000000001</v>
      </c>
      <c r="Z44" s="775">
        <v>3.0216284987277351E-3</v>
      </c>
      <c r="AA44" s="775">
        <v>0.1354007633587786</v>
      </c>
      <c r="AB44" s="775">
        <v>0.13842239185750632</v>
      </c>
    </row>
    <row r="45" spans="2:28">
      <c r="B45" s="51">
        <v>61</v>
      </c>
      <c r="C45" s="1">
        <v>2.1999999999999999E-2</v>
      </c>
      <c r="D45" s="1">
        <v>15.458</v>
      </c>
      <c r="E45" s="1">
        <v>3.641</v>
      </c>
      <c r="F45" s="1">
        <v>3.641</v>
      </c>
      <c r="G45" s="1">
        <v>19.099</v>
      </c>
      <c r="H45" s="775">
        <v>1.4252396994039907E-3</v>
      </c>
      <c r="I45" s="775">
        <v>0.23587717025136046</v>
      </c>
      <c r="J45" s="775">
        <v>0.23730240995076446</v>
      </c>
      <c r="K45" s="51">
        <v>61</v>
      </c>
      <c r="L45" s="1">
        <v>1.7000000000000001E-2</v>
      </c>
      <c r="M45" s="1">
        <v>17.074000000000002</v>
      </c>
      <c r="N45" s="1">
        <v>0.68799999999999994</v>
      </c>
      <c r="O45" s="1">
        <v>0.68799999999999994</v>
      </c>
      <c r="P45" s="1">
        <v>17.762</v>
      </c>
      <c r="Q45" s="775">
        <v>9.9665826346954315E-4</v>
      </c>
      <c r="R45" s="775">
        <v>4.0335346192179156E-2</v>
      </c>
      <c r="S45" s="775">
        <v>4.1332004455648698E-2</v>
      </c>
      <c r="T45" s="51">
        <v>61</v>
      </c>
      <c r="U45" s="772">
        <v>1.95E-2</v>
      </c>
      <c r="V45" s="772">
        <v>16.266000000000002</v>
      </c>
      <c r="W45" s="773">
        <v>2.1644999999999999</v>
      </c>
      <c r="X45" s="1">
        <v>2.1644999999999999</v>
      </c>
      <c r="Y45" s="1">
        <v>18.430500000000002</v>
      </c>
      <c r="Z45" s="775">
        <v>1.2002585172190933E-3</v>
      </c>
      <c r="AA45" s="775">
        <v>0.13322869541131935</v>
      </c>
      <c r="AB45" s="775">
        <v>0.13442895392853843</v>
      </c>
    </row>
    <row r="46" spans="2:28">
      <c r="B46" s="51">
        <v>62</v>
      </c>
      <c r="C46" s="1">
        <v>5.0000000000000001E-3</v>
      </c>
      <c r="D46" s="1">
        <v>15.978</v>
      </c>
      <c r="E46" s="1">
        <v>3.6970000000000001</v>
      </c>
      <c r="F46" s="1">
        <v>3.6970000000000001</v>
      </c>
      <c r="G46" s="1">
        <v>19.675000000000001</v>
      </c>
      <c r="H46" s="775">
        <v>3.1302823514681025E-4</v>
      </c>
      <c r="I46" s="775">
        <v>0.2314530770675515</v>
      </c>
      <c r="J46" s="775">
        <v>0.23176610530269831</v>
      </c>
      <c r="K46" s="51">
        <v>62</v>
      </c>
      <c r="L46" s="1">
        <v>4.0000000000000001E-3</v>
      </c>
      <c r="M46" s="1">
        <v>17.614000000000001</v>
      </c>
      <c r="N46" s="1">
        <v>0.68799999999999994</v>
      </c>
      <c r="O46" s="1">
        <v>0.68799999999999994</v>
      </c>
      <c r="P46" s="1">
        <v>18.302</v>
      </c>
      <c r="Q46" s="775">
        <v>2.271436683702442E-4</v>
      </c>
      <c r="R46" s="775">
        <v>3.9068710959682E-2</v>
      </c>
      <c r="S46" s="775">
        <v>3.9295854628052247E-2</v>
      </c>
      <c r="T46" s="51">
        <v>62</v>
      </c>
      <c r="U46" s="772">
        <v>4.5000000000000005E-3</v>
      </c>
      <c r="V46" s="772">
        <v>16.795999999999999</v>
      </c>
      <c r="W46" s="773">
        <v>2.1924999999999999</v>
      </c>
      <c r="X46" s="1">
        <v>2.1924999999999999</v>
      </c>
      <c r="Y46" s="1">
        <v>18.988499999999998</v>
      </c>
      <c r="Z46" s="775">
        <v>2.6799273441920025E-4</v>
      </c>
      <c r="AA46" s="775">
        <v>0.13057201560313253</v>
      </c>
      <c r="AB46" s="775">
        <v>0.13084000833755172</v>
      </c>
    </row>
    <row r="47" spans="2:28">
      <c r="B47" s="51">
        <v>63</v>
      </c>
      <c r="C47" s="1">
        <v>0</v>
      </c>
      <c r="D47" s="1">
        <v>16.530999999999999</v>
      </c>
      <c r="E47" s="1">
        <v>3.7530000000000001</v>
      </c>
      <c r="F47" s="1">
        <v>3.7530000000000001</v>
      </c>
      <c r="G47" s="1">
        <v>20.283999999999999</v>
      </c>
      <c r="H47" s="775">
        <v>0</v>
      </c>
      <c r="I47" s="775">
        <v>0.22702800798499789</v>
      </c>
      <c r="J47" s="775">
        <v>0.22702800798499789</v>
      </c>
      <c r="K47" s="51">
        <v>63</v>
      </c>
      <c r="L47" s="1">
        <v>0</v>
      </c>
      <c r="M47" s="1">
        <v>18.186</v>
      </c>
      <c r="N47" s="1">
        <v>0.68600000000000005</v>
      </c>
      <c r="O47" s="1">
        <v>0.68600000000000005</v>
      </c>
      <c r="P47" s="1">
        <v>18.872</v>
      </c>
      <c r="Q47" s="775">
        <v>0</v>
      </c>
      <c r="R47" s="775">
        <v>3.7721324095458045E-2</v>
      </c>
      <c r="S47" s="775">
        <v>3.7721324095458045E-2</v>
      </c>
      <c r="T47" s="51">
        <v>63</v>
      </c>
      <c r="U47" s="772">
        <v>0</v>
      </c>
      <c r="V47" s="772">
        <v>17.358499999999999</v>
      </c>
      <c r="W47" s="773">
        <v>2.2195</v>
      </c>
      <c r="X47" s="1">
        <v>2.2195</v>
      </c>
      <c r="Y47" s="1">
        <v>19.577999999999999</v>
      </c>
      <c r="Z47" s="1561">
        <v>0</v>
      </c>
      <c r="AA47" s="1561">
        <v>0.12786243050954865</v>
      </c>
      <c r="AB47" s="775">
        <v>0.12786243050954865</v>
      </c>
    </row>
    <row r="48" spans="2:28">
      <c r="B48" s="4">
        <v>64</v>
      </c>
      <c r="C48" s="147">
        <v>0</v>
      </c>
      <c r="D48" s="147">
        <v>16.154</v>
      </c>
      <c r="E48" s="147">
        <v>3.7669999999999999</v>
      </c>
      <c r="F48" s="147">
        <v>3.7669999999999999</v>
      </c>
      <c r="G48" s="147">
        <v>19.920999999999999</v>
      </c>
      <c r="H48" s="148">
        <v>0</v>
      </c>
      <c r="I48" s="148">
        <v>0.23319301720935989</v>
      </c>
      <c r="J48" s="148">
        <v>0.23319301720935989</v>
      </c>
      <c r="K48" s="4">
        <v>64</v>
      </c>
      <c r="L48" s="147">
        <v>0</v>
      </c>
      <c r="M48" s="147">
        <v>18.055</v>
      </c>
      <c r="N48" s="147">
        <v>0.66700000000000004</v>
      </c>
      <c r="O48" s="147">
        <v>0.66700000000000004</v>
      </c>
      <c r="P48" s="147">
        <v>18.722000000000001</v>
      </c>
      <c r="Q48" s="148">
        <v>0</v>
      </c>
      <c r="R48" s="148">
        <v>3.6942675159235674E-2</v>
      </c>
      <c r="S48" s="148">
        <v>3.6942675159235674E-2</v>
      </c>
      <c r="T48" s="4">
        <v>64</v>
      </c>
      <c r="U48" s="149">
        <v>0</v>
      </c>
      <c r="V48" s="149">
        <v>17.104500000000002</v>
      </c>
      <c r="W48" s="150">
        <v>2.2170000000000001</v>
      </c>
      <c r="X48" s="147">
        <v>2.2170000000000001</v>
      </c>
      <c r="Y48" s="147">
        <v>19.3215</v>
      </c>
      <c r="Z48" s="148">
        <v>0</v>
      </c>
      <c r="AA48" s="148">
        <v>0.12961501359291414</v>
      </c>
      <c r="AB48" s="148">
        <v>0.12961501359291414</v>
      </c>
    </row>
    <row r="49" spans="2:28">
      <c r="B49" s="4">
        <v>65</v>
      </c>
      <c r="C49" s="147">
        <v>0</v>
      </c>
      <c r="D49" s="147">
        <v>15.77</v>
      </c>
      <c r="E49" s="147">
        <v>3.7749999999999999</v>
      </c>
      <c r="F49" s="147">
        <v>3.7749999999999999</v>
      </c>
      <c r="G49" s="147">
        <v>19.544999999999998</v>
      </c>
      <c r="H49" s="148">
        <v>0</v>
      </c>
      <c r="I49" s="148">
        <v>0.23937856689917564</v>
      </c>
      <c r="J49" s="148">
        <v>0.23937856689917564</v>
      </c>
      <c r="K49" s="4">
        <v>65</v>
      </c>
      <c r="L49" s="147">
        <v>0</v>
      </c>
      <c r="M49" s="147">
        <v>17.669</v>
      </c>
      <c r="N49" s="147">
        <v>0.64900000000000002</v>
      </c>
      <c r="O49" s="147">
        <v>0.64900000000000002</v>
      </c>
      <c r="P49" s="147">
        <v>18.318000000000001</v>
      </c>
      <c r="Q49" s="148">
        <v>0</v>
      </c>
      <c r="R49" s="148">
        <v>3.6730997792744358E-2</v>
      </c>
      <c r="S49" s="151">
        <v>3.6730997792744358E-2</v>
      </c>
      <c r="T49" s="4">
        <v>65</v>
      </c>
      <c r="U49" s="149">
        <v>0</v>
      </c>
      <c r="V49" s="149">
        <v>16.7195</v>
      </c>
      <c r="W49" s="150">
        <v>2.2119999999999997</v>
      </c>
      <c r="X49" s="147">
        <v>2.2119999999999997</v>
      </c>
      <c r="Y49" s="147">
        <v>18.9315</v>
      </c>
      <c r="Z49" s="148">
        <v>0</v>
      </c>
      <c r="AA49" s="148">
        <v>0.13230060707557043</v>
      </c>
      <c r="AB49" s="151">
        <v>0.13230060707557043</v>
      </c>
    </row>
    <row r="50" spans="2:28">
      <c r="B50" s="4">
        <v>66</v>
      </c>
      <c r="C50" s="147"/>
      <c r="D50" s="147">
        <v>15.379</v>
      </c>
      <c r="E50" s="147">
        <v>3.778</v>
      </c>
      <c r="F50" s="147">
        <v>3.778</v>
      </c>
      <c r="G50" s="147">
        <v>19.157</v>
      </c>
      <c r="H50" s="148">
        <v>0</v>
      </c>
      <c r="I50" s="148">
        <v>0.24565966577800899</v>
      </c>
      <c r="J50" s="148">
        <v>0.24565966577800899</v>
      </c>
      <c r="K50" s="4">
        <v>66</v>
      </c>
      <c r="L50" s="147">
        <v>0</v>
      </c>
      <c r="M50" s="147">
        <v>17.274000000000001</v>
      </c>
      <c r="N50" s="147">
        <v>0.63</v>
      </c>
      <c r="O50" s="147">
        <v>0.63</v>
      </c>
      <c r="P50" s="147">
        <v>17.904</v>
      </c>
      <c r="Q50" s="148">
        <v>0</v>
      </c>
      <c r="R50" s="148">
        <v>3.647099687391455E-2</v>
      </c>
      <c r="S50" s="151">
        <v>3.647099687391455E-2</v>
      </c>
      <c r="T50" s="4">
        <v>66</v>
      </c>
      <c r="U50" s="149">
        <v>0</v>
      </c>
      <c r="V50" s="149">
        <v>16.326499999999999</v>
      </c>
      <c r="W50" s="150">
        <v>2.2040000000000002</v>
      </c>
      <c r="X50" s="147">
        <v>2.2040000000000002</v>
      </c>
      <c r="Y50" s="147">
        <v>18.5305</v>
      </c>
      <c r="Z50" s="148">
        <v>0</v>
      </c>
      <c r="AA50" s="148">
        <v>0.13499525311609961</v>
      </c>
      <c r="AB50" s="151">
        <v>0.13499525311609961</v>
      </c>
    </row>
    <row r="51" spans="2:28">
      <c r="B51" s="4">
        <v>67</v>
      </c>
      <c r="C51" s="147"/>
      <c r="D51" s="147">
        <v>14.98</v>
      </c>
      <c r="E51" s="147">
        <v>3.778</v>
      </c>
      <c r="F51" s="147">
        <v>3.778</v>
      </c>
      <c r="G51" s="147">
        <v>18.757999999999999</v>
      </c>
      <c r="H51" s="148">
        <v>0</v>
      </c>
      <c r="I51" s="148">
        <v>0.25220293724966619</v>
      </c>
      <c r="J51" s="148">
        <v>0.25220293724966619</v>
      </c>
      <c r="K51" s="4">
        <v>67</v>
      </c>
      <c r="L51" s="147">
        <v>0</v>
      </c>
      <c r="M51" s="147">
        <v>16.867000000000001</v>
      </c>
      <c r="N51" s="147">
        <v>0.61</v>
      </c>
      <c r="O51" s="147">
        <v>0.61</v>
      </c>
      <c r="P51" s="147">
        <v>17.477</v>
      </c>
      <c r="Q51" s="148">
        <v>0</v>
      </c>
      <c r="R51" s="148">
        <v>3.6165293176024189E-2</v>
      </c>
      <c r="S51" s="151">
        <v>3.6165293176024189E-2</v>
      </c>
      <c r="T51" s="4">
        <v>67</v>
      </c>
      <c r="U51" s="149">
        <v>0</v>
      </c>
      <c r="V51" s="149">
        <v>15.923500000000001</v>
      </c>
      <c r="W51" s="150">
        <v>2.194</v>
      </c>
      <c r="X51" s="147">
        <v>2.194</v>
      </c>
      <c r="Y51" s="147">
        <v>18.1175</v>
      </c>
      <c r="Z51" s="148">
        <v>0</v>
      </c>
      <c r="AA51" s="148">
        <v>0.1377837786918705</v>
      </c>
      <c r="AB51" s="151">
        <v>0.1377837786918705</v>
      </c>
    </row>
    <row r="52" spans="2:28">
      <c r="B52" s="4">
        <v>68</v>
      </c>
      <c r="C52" s="147"/>
      <c r="D52" s="147">
        <v>14.573</v>
      </c>
      <c r="E52" s="147">
        <v>3.7770000000000001</v>
      </c>
      <c r="F52" s="147">
        <v>3.7770000000000001</v>
      </c>
      <c r="G52" s="147">
        <v>18.350000000000001</v>
      </c>
      <c r="H52" s="148">
        <v>0</v>
      </c>
      <c r="I52" s="148">
        <v>0.25917793179166954</v>
      </c>
      <c r="J52" s="148">
        <v>0.25917793179166954</v>
      </c>
      <c r="K52" s="4">
        <v>68</v>
      </c>
      <c r="L52" s="147">
        <v>0</v>
      </c>
      <c r="M52" s="147">
        <v>16.448</v>
      </c>
      <c r="N52" s="147">
        <v>0.59099999999999997</v>
      </c>
      <c r="O52" s="147">
        <v>0.59099999999999997</v>
      </c>
      <c r="P52" s="147">
        <v>17.039000000000001</v>
      </c>
      <c r="Q52" s="148">
        <v>0</v>
      </c>
      <c r="R52" s="148">
        <v>3.5931420233463032E-2</v>
      </c>
      <c r="S52" s="151">
        <v>3.5931420233463032E-2</v>
      </c>
      <c r="T52" s="4">
        <v>68</v>
      </c>
      <c r="U52" s="149">
        <v>0</v>
      </c>
      <c r="V52" s="149">
        <v>15.5105</v>
      </c>
      <c r="W52" s="150">
        <v>2.1840000000000002</v>
      </c>
      <c r="X52" s="147">
        <v>2.1840000000000002</v>
      </c>
      <c r="Y52" s="147">
        <v>17.694500000000001</v>
      </c>
      <c r="Z52" s="148">
        <v>0</v>
      </c>
      <c r="AA52" s="148">
        <v>0.14080783985042392</v>
      </c>
      <c r="AB52" s="151">
        <v>0.14080783985042392</v>
      </c>
    </row>
    <row r="53" spans="2:28">
      <c r="B53" s="4">
        <v>69</v>
      </c>
      <c r="C53" s="147"/>
      <c r="D53" s="147">
        <v>14.156000000000001</v>
      </c>
      <c r="E53" s="147">
        <v>3.7730000000000001</v>
      </c>
      <c r="F53" s="147">
        <v>3.7730000000000001</v>
      </c>
      <c r="G53" s="147">
        <v>17.929000000000002</v>
      </c>
      <c r="H53" s="148">
        <v>0</v>
      </c>
      <c r="I53" s="148">
        <v>0.26653009324667987</v>
      </c>
      <c r="J53" s="148">
        <v>0.26653009324667987</v>
      </c>
      <c r="K53" s="4">
        <v>69</v>
      </c>
      <c r="L53" s="147">
        <v>0</v>
      </c>
      <c r="M53" s="147">
        <v>16.016999999999999</v>
      </c>
      <c r="N53" s="147">
        <v>0.57199999999999995</v>
      </c>
      <c r="O53" s="147">
        <v>0.57199999999999995</v>
      </c>
      <c r="P53" s="147">
        <v>16.588999999999999</v>
      </c>
      <c r="Q53" s="148">
        <v>0</v>
      </c>
      <c r="R53" s="148">
        <v>3.5712055940563148E-2</v>
      </c>
      <c r="S53" s="151">
        <v>3.5712055940563148E-2</v>
      </c>
      <c r="T53" s="4">
        <v>69</v>
      </c>
      <c r="U53" s="149">
        <v>0</v>
      </c>
      <c r="V53" s="149">
        <v>15.086500000000001</v>
      </c>
      <c r="W53" s="150">
        <v>2.1724999999999999</v>
      </c>
      <c r="X53" s="147">
        <v>2.1724999999999999</v>
      </c>
      <c r="Y53" s="147">
        <v>17.259</v>
      </c>
      <c r="Z53" s="148">
        <v>0</v>
      </c>
      <c r="AA53" s="148">
        <v>0.14400291651476485</v>
      </c>
      <c r="AB53" s="151">
        <v>0.14400291651476485</v>
      </c>
    </row>
    <row r="54" spans="2:28">
      <c r="B54" s="4">
        <v>70</v>
      </c>
      <c r="C54" s="147"/>
      <c r="D54" s="147">
        <v>13.728999999999999</v>
      </c>
      <c r="E54" s="147">
        <v>3.7669999999999999</v>
      </c>
      <c r="F54" s="147">
        <v>3.7669999999999999</v>
      </c>
      <c r="G54" s="147">
        <v>17.495999999999999</v>
      </c>
      <c r="H54" s="148">
        <v>0</v>
      </c>
      <c r="I54" s="148">
        <v>0.27438269356835898</v>
      </c>
      <c r="J54" s="148">
        <v>0.27438269356835898</v>
      </c>
      <c r="K54" s="4">
        <v>70</v>
      </c>
      <c r="L54" s="147">
        <v>0</v>
      </c>
      <c r="M54" s="147">
        <v>15.574</v>
      </c>
      <c r="N54" s="147">
        <v>0.55100000000000005</v>
      </c>
      <c r="O54" s="147">
        <v>0.55100000000000005</v>
      </c>
      <c r="P54" s="147">
        <v>16.125</v>
      </c>
      <c r="Q54" s="148">
        <v>0</v>
      </c>
      <c r="R54" s="148">
        <v>3.5379478618209843E-2</v>
      </c>
      <c r="S54" s="151">
        <v>3.5379478618209843E-2</v>
      </c>
      <c r="T54" s="4">
        <v>70</v>
      </c>
      <c r="U54" s="149">
        <v>0</v>
      </c>
      <c r="V54" s="149">
        <v>14.651499999999999</v>
      </c>
      <c r="W54" s="150">
        <v>2.1589999999999998</v>
      </c>
      <c r="X54" s="147">
        <v>2.1589999999999998</v>
      </c>
      <c r="Y54" s="147">
        <v>16.810499999999998</v>
      </c>
      <c r="Z54" s="148">
        <v>0</v>
      </c>
      <c r="AA54" s="148">
        <v>0.14735692591202265</v>
      </c>
      <c r="AB54" s="151">
        <v>0.14735692591202265</v>
      </c>
    </row>
    <row r="55" spans="2:28">
      <c r="B55" s="4">
        <v>71</v>
      </c>
      <c r="C55" s="147"/>
      <c r="D55" s="147">
        <v>13.292999999999999</v>
      </c>
      <c r="E55" s="147">
        <v>3.758</v>
      </c>
      <c r="F55" s="147">
        <v>3.758</v>
      </c>
      <c r="G55" s="147">
        <v>17.050999999999998</v>
      </c>
      <c r="H55" s="148">
        <v>0</v>
      </c>
      <c r="I55" s="148">
        <v>0.28270518317911686</v>
      </c>
      <c r="J55" s="148">
        <v>0.28270518317911686</v>
      </c>
      <c r="K55" s="4">
        <v>71</v>
      </c>
      <c r="L55" s="147">
        <v>0</v>
      </c>
      <c r="M55" s="147">
        <v>15.118</v>
      </c>
      <c r="N55" s="147">
        <v>0.53100000000000003</v>
      </c>
      <c r="O55" s="147">
        <v>0.53100000000000003</v>
      </c>
      <c r="P55" s="147">
        <v>15.649000000000001</v>
      </c>
      <c r="Q55" s="148">
        <v>0</v>
      </c>
      <c r="R55" s="148">
        <v>3.5123693610265912E-2</v>
      </c>
      <c r="S55" s="151">
        <v>3.5123693610265912E-2</v>
      </c>
      <c r="T55" s="4">
        <v>71</v>
      </c>
      <c r="U55" s="149">
        <v>0</v>
      </c>
      <c r="V55" s="149">
        <v>14.205500000000001</v>
      </c>
      <c r="W55" s="150">
        <v>2.1444999999999999</v>
      </c>
      <c r="X55" s="147">
        <v>2.1444999999999999</v>
      </c>
      <c r="Y55" s="147">
        <v>16.350000000000001</v>
      </c>
      <c r="Z55" s="148">
        <v>0</v>
      </c>
      <c r="AA55" s="148">
        <v>0.15096265530956318</v>
      </c>
      <c r="AB55" s="151">
        <v>0.15096265530956318</v>
      </c>
    </row>
    <row r="56" spans="2:28">
      <c r="B56" s="4">
        <v>72</v>
      </c>
      <c r="C56" s="147"/>
      <c r="D56" s="147">
        <v>12.846</v>
      </c>
      <c r="E56" s="147">
        <v>3.7469999999999999</v>
      </c>
      <c r="F56" s="147">
        <v>3.7469999999999999</v>
      </c>
      <c r="G56" s="147">
        <v>16.593</v>
      </c>
      <c r="H56" s="148">
        <v>0</v>
      </c>
      <c r="I56" s="148">
        <v>0.29168612797758053</v>
      </c>
      <c r="J56" s="148">
        <v>0.29168612797758053</v>
      </c>
      <c r="K56" s="4">
        <v>72</v>
      </c>
      <c r="L56" s="147">
        <v>0</v>
      </c>
      <c r="M56" s="147">
        <v>14.648999999999999</v>
      </c>
      <c r="N56" s="147">
        <v>0.51</v>
      </c>
      <c r="O56" s="147">
        <v>0.51</v>
      </c>
      <c r="P56" s="147">
        <v>15.158999999999999</v>
      </c>
      <c r="Q56" s="148">
        <v>0</v>
      </c>
      <c r="R56" s="148">
        <v>3.481466311693631E-2</v>
      </c>
      <c r="S56" s="151">
        <v>3.481466311693631E-2</v>
      </c>
      <c r="T56" s="4">
        <v>72</v>
      </c>
      <c r="U56" s="149">
        <v>0</v>
      </c>
      <c r="V56" s="149">
        <v>13.747499999999999</v>
      </c>
      <c r="W56" s="150">
        <v>2.1284999999999998</v>
      </c>
      <c r="X56" s="147">
        <v>2.1284999999999998</v>
      </c>
      <c r="Y56" s="147">
        <v>15.875999999999998</v>
      </c>
      <c r="Z56" s="148">
        <v>0</v>
      </c>
      <c r="AA56" s="148">
        <v>0.15482815057283142</v>
      </c>
      <c r="AB56" s="151">
        <v>0.15482815057283142</v>
      </c>
    </row>
    <row r="57" spans="2:28">
      <c r="B57" s="4">
        <v>73</v>
      </c>
      <c r="C57" s="147"/>
      <c r="D57" s="147">
        <v>12.388999999999999</v>
      </c>
      <c r="E57" s="147">
        <v>3.7389999999999999</v>
      </c>
      <c r="F57" s="147">
        <v>3.7389999999999999</v>
      </c>
      <c r="G57" s="147">
        <v>16.128</v>
      </c>
      <c r="H57" s="148">
        <v>0</v>
      </c>
      <c r="I57" s="148">
        <v>0.30179998385664702</v>
      </c>
      <c r="J57" s="148">
        <v>0.30179998385664702</v>
      </c>
      <c r="K57" s="4">
        <v>73</v>
      </c>
      <c r="L57" s="147">
        <v>0</v>
      </c>
      <c r="M57" s="147">
        <v>14.167999999999999</v>
      </c>
      <c r="N57" s="147">
        <v>0.48899999999999999</v>
      </c>
      <c r="O57" s="147">
        <v>0.48899999999999999</v>
      </c>
      <c r="P57" s="147">
        <v>14.657</v>
      </c>
      <c r="Q57" s="148">
        <v>0</v>
      </c>
      <c r="R57" s="148">
        <v>3.4514398644833431E-2</v>
      </c>
      <c r="S57" s="151">
        <v>3.4514398644833431E-2</v>
      </c>
      <c r="T57" s="4">
        <v>73</v>
      </c>
      <c r="U57" s="149">
        <v>0</v>
      </c>
      <c r="V57" s="149">
        <v>13.278499999999999</v>
      </c>
      <c r="W57" s="150">
        <v>2.1139999999999999</v>
      </c>
      <c r="X57" s="147">
        <v>2.1139999999999999</v>
      </c>
      <c r="Y57" s="147">
        <v>15.392499999999998</v>
      </c>
      <c r="Z57" s="148">
        <v>0</v>
      </c>
      <c r="AA57" s="148">
        <v>0.15920472944986255</v>
      </c>
      <c r="AB57" s="151">
        <v>0.15920472944986255</v>
      </c>
    </row>
    <row r="58" spans="2:28">
      <c r="B58" s="4">
        <v>74</v>
      </c>
      <c r="C58" s="147"/>
      <c r="D58" s="147">
        <v>11.923999999999999</v>
      </c>
      <c r="E58" s="147">
        <v>3.7290000000000001</v>
      </c>
      <c r="F58" s="147">
        <v>3.7290000000000001</v>
      </c>
      <c r="G58" s="147">
        <v>15.652999999999999</v>
      </c>
      <c r="H58" s="148">
        <v>0</v>
      </c>
      <c r="I58" s="148">
        <v>0.3127306273062731</v>
      </c>
      <c r="J58" s="148">
        <v>0.3127306273062731</v>
      </c>
      <c r="K58" s="4">
        <v>74</v>
      </c>
      <c r="L58" s="147">
        <v>0</v>
      </c>
      <c r="M58" s="147">
        <v>13.676</v>
      </c>
      <c r="N58" s="147">
        <v>0.46899999999999997</v>
      </c>
      <c r="O58" s="147">
        <v>0.46899999999999997</v>
      </c>
      <c r="P58" s="147">
        <v>14.145</v>
      </c>
      <c r="Q58" s="148">
        <v>0</v>
      </c>
      <c r="R58" s="148">
        <v>3.4293653114945886E-2</v>
      </c>
      <c r="S58" s="151">
        <v>3.4293653114945886E-2</v>
      </c>
      <c r="T58" s="4">
        <v>74</v>
      </c>
      <c r="U58" s="149">
        <v>0</v>
      </c>
      <c r="V58" s="149">
        <v>12.8</v>
      </c>
      <c r="W58" s="150">
        <v>2.0990000000000002</v>
      </c>
      <c r="X58" s="147">
        <v>2.0990000000000002</v>
      </c>
      <c r="Y58" s="147">
        <v>14.899000000000001</v>
      </c>
      <c r="Z58" s="148">
        <v>0</v>
      </c>
      <c r="AA58" s="148">
        <v>0.16398437500000002</v>
      </c>
      <c r="AB58" s="151">
        <v>0.16398437500000002</v>
      </c>
    </row>
    <row r="59" spans="2:28">
      <c r="B59" s="4">
        <v>75</v>
      </c>
      <c r="C59" s="147"/>
      <c r="D59" s="147">
        <v>11.45</v>
      </c>
      <c r="E59" s="147">
        <v>3.7160000000000002</v>
      </c>
      <c r="F59" s="147">
        <v>3.7160000000000002</v>
      </c>
      <c r="G59" s="147">
        <v>15.166</v>
      </c>
      <c r="H59" s="148">
        <v>0</v>
      </c>
      <c r="I59" s="148">
        <v>0.32454148471615724</v>
      </c>
      <c r="J59" s="148">
        <v>0.32454148471615724</v>
      </c>
      <c r="K59" s="4">
        <v>75</v>
      </c>
      <c r="L59" s="147">
        <v>0</v>
      </c>
      <c r="M59" s="147">
        <v>13.173999999999999</v>
      </c>
      <c r="N59" s="147">
        <v>0.44800000000000001</v>
      </c>
      <c r="O59" s="147">
        <v>0.44800000000000001</v>
      </c>
      <c r="P59" s="147">
        <v>13.622</v>
      </c>
      <c r="Q59" s="148">
        <v>0</v>
      </c>
      <c r="R59" s="148">
        <v>3.4006376195536668E-2</v>
      </c>
      <c r="S59" s="151">
        <v>3.4006376195536668E-2</v>
      </c>
      <c r="T59" s="4">
        <v>75</v>
      </c>
      <c r="U59" s="149">
        <v>0</v>
      </c>
      <c r="V59" s="149">
        <v>12.311999999999999</v>
      </c>
      <c r="W59" s="150">
        <v>2.0820000000000003</v>
      </c>
      <c r="X59" s="147">
        <v>2.0820000000000003</v>
      </c>
      <c r="Y59" s="147">
        <v>14.394</v>
      </c>
      <c r="Z59" s="148">
        <v>0</v>
      </c>
      <c r="AA59" s="148">
        <v>0.16910331384015598</v>
      </c>
      <c r="AB59" s="151">
        <v>0.16910331384015598</v>
      </c>
    </row>
    <row r="60" spans="2:28">
      <c r="B60" s="4">
        <v>76</v>
      </c>
      <c r="C60" s="147"/>
      <c r="D60" s="147">
        <v>10.97</v>
      </c>
      <c r="E60" s="147">
        <v>3.698</v>
      </c>
      <c r="F60" s="147">
        <v>3.698</v>
      </c>
      <c r="G60" s="147">
        <v>14.668000000000001</v>
      </c>
      <c r="H60" s="148">
        <v>0</v>
      </c>
      <c r="I60" s="148">
        <v>0.3371011850501367</v>
      </c>
      <c r="J60" s="148">
        <v>0.3371011850501367</v>
      </c>
      <c r="K60" s="4">
        <v>76</v>
      </c>
      <c r="L60" s="147">
        <v>0</v>
      </c>
      <c r="M60" s="147">
        <v>12.663</v>
      </c>
      <c r="N60" s="147">
        <v>0.42699999999999999</v>
      </c>
      <c r="O60" s="147">
        <v>0.42699999999999999</v>
      </c>
      <c r="P60" s="147">
        <v>13.09</v>
      </c>
      <c r="Q60" s="148">
        <v>0</v>
      </c>
      <c r="R60" s="148">
        <v>3.3720287451630734E-2</v>
      </c>
      <c r="S60" s="151">
        <v>3.3720287451630734E-2</v>
      </c>
      <c r="T60" s="4">
        <v>76</v>
      </c>
      <c r="U60" s="149">
        <v>0</v>
      </c>
      <c r="V60" s="149">
        <v>11.816500000000001</v>
      </c>
      <c r="W60" s="150">
        <v>2.0625</v>
      </c>
      <c r="X60" s="147">
        <v>2.0625</v>
      </c>
      <c r="Y60" s="147">
        <v>13.879000000000001</v>
      </c>
      <c r="Z60" s="148">
        <v>0</v>
      </c>
      <c r="AA60" s="148">
        <v>0.17454406973300043</v>
      </c>
      <c r="AB60" s="151">
        <v>0.17454406973300043</v>
      </c>
    </row>
    <row r="61" spans="2:28">
      <c r="B61" s="4">
        <v>77</v>
      </c>
      <c r="C61" s="147"/>
      <c r="D61" s="147">
        <v>10.484999999999999</v>
      </c>
      <c r="E61" s="147">
        <v>3.6749999999999998</v>
      </c>
      <c r="F61" s="147">
        <v>3.6749999999999998</v>
      </c>
      <c r="G61" s="147">
        <v>14.16</v>
      </c>
      <c r="H61" s="148">
        <v>0</v>
      </c>
      <c r="I61" s="148">
        <v>0.35050071530758226</v>
      </c>
      <c r="J61" s="148">
        <v>0.35050071530758226</v>
      </c>
      <c r="K61" s="4">
        <v>77</v>
      </c>
      <c r="L61" s="147">
        <v>0</v>
      </c>
      <c r="M61" s="147">
        <v>12.143000000000001</v>
      </c>
      <c r="N61" s="147">
        <v>0.40400000000000003</v>
      </c>
      <c r="O61" s="147">
        <v>0.40400000000000003</v>
      </c>
      <c r="P61" s="147">
        <v>12.547000000000001</v>
      </c>
      <c r="Q61" s="148">
        <v>0</v>
      </c>
      <c r="R61" s="148">
        <v>3.327019682121387E-2</v>
      </c>
      <c r="S61" s="151">
        <v>3.327019682121387E-2</v>
      </c>
      <c r="T61" s="4">
        <v>77</v>
      </c>
      <c r="U61" s="149">
        <v>0</v>
      </c>
      <c r="V61" s="149">
        <v>11.314</v>
      </c>
      <c r="W61" s="150">
        <v>2.0394999999999999</v>
      </c>
      <c r="X61" s="147">
        <v>2.0394999999999999</v>
      </c>
      <c r="Y61" s="147">
        <v>13.3535</v>
      </c>
      <c r="Z61" s="148">
        <v>0</v>
      </c>
      <c r="AA61" s="148">
        <v>0.18026339048965881</v>
      </c>
      <c r="AB61" s="151">
        <v>0.18026339048965881</v>
      </c>
    </row>
    <row r="62" spans="2:28">
      <c r="B62" s="4">
        <v>78</v>
      </c>
      <c r="C62" s="147"/>
      <c r="D62" s="147">
        <v>9.9969999999999999</v>
      </c>
      <c r="E62" s="147">
        <v>3.645</v>
      </c>
      <c r="F62" s="147">
        <v>3.645</v>
      </c>
      <c r="G62" s="147">
        <v>13.641999999999999</v>
      </c>
      <c r="H62" s="148">
        <v>0</v>
      </c>
      <c r="I62" s="148">
        <v>0.36460938281484445</v>
      </c>
      <c r="J62" s="148">
        <v>0.36460938281484445</v>
      </c>
      <c r="K62" s="4">
        <v>78</v>
      </c>
      <c r="L62" s="147">
        <v>0</v>
      </c>
      <c r="M62" s="147">
        <v>11.618</v>
      </c>
      <c r="N62" s="147">
        <v>0.38100000000000001</v>
      </c>
      <c r="O62" s="147">
        <v>0.38100000000000001</v>
      </c>
      <c r="P62" s="147">
        <v>11.999000000000001</v>
      </c>
      <c r="Q62" s="148">
        <v>0</v>
      </c>
      <c r="R62" s="148">
        <v>3.279394043725254E-2</v>
      </c>
      <c r="S62" s="151">
        <v>3.279394043725254E-2</v>
      </c>
      <c r="T62" s="4">
        <v>78</v>
      </c>
      <c r="U62" s="149">
        <v>0</v>
      </c>
      <c r="V62" s="149">
        <v>10.807500000000001</v>
      </c>
      <c r="W62" s="150">
        <v>2.0129999999999999</v>
      </c>
      <c r="X62" s="147">
        <v>2.0129999999999999</v>
      </c>
      <c r="Y62" s="147">
        <v>12.820500000000001</v>
      </c>
      <c r="Z62" s="148">
        <v>0</v>
      </c>
      <c r="AA62" s="148">
        <v>0.1862595419847328</v>
      </c>
      <c r="AB62" s="151">
        <v>0.1862595419847328</v>
      </c>
    </row>
    <row r="63" spans="2:28">
      <c r="B63" s="4">
        <v>79</v>
      </c>
      <c r="C63" s="147"/>
      <c r="D63" s="147">
        <v>9.5079999999999991</v>
      </c>
      <c r="E63" s="147">
        <v>3.6070000000000002</v>
      </c>
      <c r="F63" s="147">
        <v>3.6070000000000002</v>
      </c>
      <c r="G63" s="147">
        <v>13.114999999999998</v>
      </c>
      <c r="H63" s="148">
        <v>0</v>
      </c>
      <c r="I63" s="148">
        <v>0.37936474547749272</v>
      </c>
      <c r="J63" s="148">
        <v>0.37936474547749272</v>
      </c>
      <c r="K63" s="4">
        <v>79</v>
      </c>
      <c r="L63" s="147">
        <v>0</v>
      </c>
      <c r="M63" s="147">
        <v>11.087999999999999</v>
      </c>
      <c r="N63" s="147">
        <v>0.35699999999999998</v>
      </c>
      <c r="O63" s="147">
        <v>0.35699999999999998</v>
      </c>
      <c r="P63" s="147">
        <v>11.444999999999999</v>
      </c>
      <c r="Q63" s="148">
        <v>0</v>
      </c>
      <c r="R63" s="148">
        <v>3.2196969696969696E-2</v>
      </c>
      <c r="S63" s="151">
        <v>3.2196969696969696E-2</v>
      </c>
      <c r="T63" s="4">
        <v>79</v>
      </c>
      <c r="U63" s="149">
        <v>0</v>
      </c>
      <c r="V63" s="149">
        <v>10.297999999999998</v>
      </c>
      <c r="W63" s="150">
        <v>1.9820000000000002</v>
      </c>
      <c r="X63" s="147">
        <v>1.9820000000000002</v>
      </c>
      <c r="Y63" s="147">
        <v>12.279999999999998</v>
      </c>
      <c r="Z63" s="148">
        <v>0</v>
      </c>
      <c r="AA63" s="148">
        <v>0.19246455622450967</v>
      </c>
      <c r="AB63" s="151">
        <v>0.19246455622450967</v>
      </c>
    </row>
    <row r="64" spans="2:28">
      <c r="B64" s="4">
        <v>80</v>
      </c>
      <c r="C64" s="147"/>
      <c r="D64" s="147">
        <v>9.0210000000000008</v>
      </c>
      <c r="E64" s="147">
        <v>3.5619999999999998</v>
      </c>
      <c r="F64" s="147">
        <v>3.5619999999999998</v>
      </c>
      <c r="G64" s="147">
        <v>12.583</v>
      </c>
      <c r="H64" s="148">
        <v>0</v>
      </c>
      <c r="I64" s="148">
        <v>0.39485644607028042</v>
      </c>
      <c r="J64" s="148">
        <v>0.39485644607028042</v>
      </c>
      <c r="K64" s="4">
        <v>80</v>
      </c>
      <c r="L64" s="147">
        <v>0</v>
      </c>
      <c r="M64" s="147">
        <v>10.555</v>
      </c>
      <c r="N64" s="147">
        <v>0.33300000000000002</v>
      </c>
      <c r="O64" s="147">
        <v>0.33300000000000002</v>
      </c>
      <c r="P64" s="147">
        <v>10.888</v>
      </c>
      <c r="Q64" s="148">
        <v>0</v>
      </c>
      <c r="R64" s="148">
        <v>3.15490288962577E-2</v>
      </c>
      <c r="S64" s="151">
        <v>3.15490288962577E-2</v>
      </c>
      <c r="T64" s="4">
        <v>80</v>
      </c>
      <c r="U64" s="149">
        <v>0</v>
      </c>
      <c r="V64" s="149">
        <v>9.7880000000000003</v>
      </c>
      <c r="W64" s="150">
        <v>1.9475</v>
      </c>
      <c r="X64" s="147">
        <v>1.9475</v>
      </c>
      <c r="Y64" s="147">
        <v>11.7355</v>
      </c>
      <c r="Z64" s="148">
        <v>0</v>
      </c>
      <c r="AA64" s="148">
        <v>0.19896812423375562</v>
      </c>
      <c r="AB64" s="151">
        <v>0.19896812423375562</v>
      </c>
    </row>
    <row r="65" spans="2:28">
      <c r="B65" s="4">
        <v>81</v>
      </c>
      <c r="C65" s="147"/>
      <c r="D65" s="147">
        <v>8.5380000000000003</v>
      </c>
      <c r="E65" s="147">
        <v>3.5070000000000001</v>
      </c>
      <c r="F65" s="147">
        <v>3.5070000000000001</v>
      </c>
      <c r="G65" s="147">
        <v>12.045</v>
      </c>
      <c r="H65" s="148">
        <v>0</v>
      </c>
      <c r="I65" s="148">
        <v>0.4107519325368939</v>
      </c>
      <c r="J65" s="148">
        <v>0.4107519325368939</v>
      </c>
      <c r="K65" s="4">
        <v>81</v>
      </c>
      <c r="L65" s="147">
        <v>0</v>
      </c>
      <c r="M65" s="147">
        <v>10.023</v>
      </c>
      <c r="N65" s="147">
        <v>0.309</v>
      </c>
      <c r="O65" s="147">
        <v>0.309</v>
      </c>
      <c r="P65" s="147">
        <v>10.331999999999999</v>
      </c>
      <c r="Q65" s="148">
        <v>0</v>
      </c>
      <c r="R65" s="148">
        <v>3.0829093085902426E-2</v>
      </c>
      <c r="S65" s="151">
        <v>3.0829093085902426E-2</v>
      </c>
      <c r="T65" s="4">
        <v>81</v>
      </c>
      <c r="U65" s="149">
        <v>0</v>
      </c>
      <c r="V65" s="149">
        <v>9.2805</v>
      </c>
      <c r="W65" s="150">
        <v>1.9080000000000001</v>
      </c>
      <c r="X65" s="147">
        <v>1.9080000000000001</v>
      </c>
      <c r="Y65" s="147">
        <v>11.188499999999999</v>
      </c>
      <c r="Z65" s="148">
        <v>0</v>
      </c>
      <c r="AA65" s="148">
        <v>0.20559237110069503</v>
      </c>
      <c r="AB65" s="151">
        <v>0.20559237110069503</v>
      </c>
    </row>
    <row r="66" spans="2:28">
      <c r="B66" s="4">
        <v>82</v>
      </c>
      <c r="C66" s="147"/>
      <c r="D66" s="147">
        <v>8.0619999999999994</v>
      </c>
      <c r="E66" s="147">
        <v>3.4260000000000002</v>
      </c>
      <c r="F66" s="147">
        <v>3.4260000000000002</v>
      </c>
      <c r="G66" s="147">
        <v>11.488</v>
      </c>
      <c r="H66" s="148">
        <v>0</v>
      </c>
      <c r="I66" s="148">
        <v>0.42495658645497403</v>
      </c>
      <c r="J66" s="148">
        <v>0.42495658645497403</v>
      </c>
      <c r="K66" s="4">
        <v>82</v>
      </c>
      <c r="L66" s="147">
        <v>0</v>
      </c>
      <c r="M66" s="147">
        <v>9.4920000000000009</v>
      </c>
      <c r="N66" s="147">
        <v>0.28499999999999998</v>
      </c>
      <c r="O66" s="147">
        <v>0.28499999999999998</v>
      </c>
      <c r="P66" s="147">
        <v>9.777000000000001</v>
      </c>
      <c r="Q66" s="148">
        <v>0</v>
      </c>
      <c r="R66" s="148">
        <v>3.0025284450063205E-2</v>
      </c>
      <c r="S66" s="151">
        <v>3.0025284450063205E-2</v>
      </c>
      <c r="T66" s="4">
        <v>82</v>
      </c>
      <c r="U66" s="149">
        <v>0</v>
      </c>
      <c r="V66" s="149">
        <v>8.777000000000001</v>
      </c>
      <c r="W66" s="150">
        <v>1.8555000000000001</v>
      </c>
      <c r="X66" s="147">
        <v>1.8555000000000001</v>
      </c>
      <c r="Y66" s="147">
        <v>10.6325</v>
      </c>
      <c r="Z66" s="148">
        <v>0</v>
      </c>
      <c r="AA66" s="148">
        <v>0.21140480802096387</v>
      </c>
      <c r="AB66" s="151">
        <v>0.21140480802096387</v>
      </c>
    </row>
    <row r="67" spans="2:28">
      <c r="B67" s="4">
        <v>83</v>
      </c>
      <c r="C67" s="147"/>
      <c r="D67" s="147">
        <v>7.5960000000000001</v>
      </c>
      <c r="E67" s="147">
        <v>3.3330000000000002</v>
      </c>
      <c r="F67" s="147">
        <v>3.3330000000000002</v>
      </c>
      <c r="G67" s="147">
        <v>10.929</v>
      </c>
      <c r="H67" s="148">
        <v>0</v>
      </c>
      <c r="I67" s="148">
        <v>0.43878357030015802</v>
      </c>
      <c r="J67" s="148">
        <v>0.43878357030015802</v>
      </c>
      <c r="K67" s="4">
        <v>83</v>
      </c>
      <c r="L67" s="147">
        <v>0</v>
      </c>
      <c r="M67" s="147">
        <v>8.9670000000000005</v>
      </c>
      <c r="N67" s="147">
        <v>0.26100000000000001</v>
      </c>
      <c r="O67" s="147">
        <v>0.26100000000000001</v>
      </c>
      <c r="P67" s="147">
        <v>9.2279999999999998</v>
      </c>
      <c r="Q67" s="148">
        <v>0</v>
      </c>
      <c r="R67" s="148">
        <v>2.9106724657075946E-2</v>
      </c>
      <c r="S67" s="151">
        <v>2.9106724657075946E-2</v>
      </c>
      <c r="T67" s="4">
        <v>83</v>
      </c>
      <c r="U67" s="149">
        <v>0</v>
      </c>
      <c r="V67" s="149">
        <v>8.2815000000000012</v>
      </c>
      <c r="W67" s="150">
        <v>1.7970000000000002</v>
      </c>
      <c r="X67" s="147">
        <v>1.7970000000000002</v>
      </c>
      <c r="Y67" s="147">
        <v>10.078500000000002</v>
      </c>
      <c r="Z67" s="148">
        <v>0</v>
      </c>
      <c r="AA67" s="148">
        <v>0.21698967578337255</v>
      </c>
      <c r="AB67" s="151">
        <v>0.21698967578337255</v>
      </c>
    </row>
    <row r="68" spans="2:28">
      <c r="B68" s="4">
        <v>84</v>
      </c>
      <c r="C68" s="147"/>
      <c r="D68" s="147">
        <v>7.1429999999999998</v>
      </c>
      <c r="E68" s="147">
        <v>3.2280000000000002</v>
      </c>
      <c r="F68" s="147">
        <v>3.2280000000000002</v>
      </c>
      <c r="G68" s="147">
        <v>10.371</v>
      </c>
      <c r="H68" s="148">
        <v>0</v>
      </c>
      <c r="I68" s="148">
        <v>0.45191096178076445</v>
      </c>
      <c r="J68" s="148">
        <v>0.45191096178076445</v>
      </c>
      <c r="K68" s="4">
        <v>84</v>
      </c>
      <c r="L68" s="147">
        <v>0</v>
      </c>
      <c r="M68" s="147">
        <v>8.4499999999999993</v>
      </c>
      <c r="N68" s="147">
        <v>0.23799999999999999</v>
      </c>
      <c r="O68" s="147">
        <v>0.23799999999999999</v>
      </c>
      <c r="P68" s="147">
        <v>8.6879999999999988</v>
      </c>
      <c r="Q68" s="148">
        <v>0</v>
      </c>
      <c r="R68" s="148">
        <v>2.816568047337278E-2</v>
      </c>
      <c r="S68" s="151">
        <v>2.816568047337278E-2</v>
      </c>
      <c r="T68" s="4">
        <v>84</v>
      </c>
      <c r="U68" s="149">
        <v>0</v>
      </c>
      <c r="V68" s="149">
        <v>7.7965</v>
      </c>
      <c r="W68" s="150">
        <v>1.7330000000000001</v>
      </c>
      <c r="X68" s="147">
        <v>1.7330000000000001</v>
      </c>
      <c r="Y68" s="147">
        <v>9.5295000000000005</v>
      </c>
      <c r="Z68" s="148">
        <v>0</v>
      </c>
      <c r="AA68" s="148">
        <v>0.22227922785865453</v>
      </c>
      <c r="AB68" s="151">
        <v>0.22227922785865453</v>
      </c>
    </row>
    <row r="69" spans="2:28">
      <c r="B69" s="4">
        <v>85</v>
      </c>
      <c r="C69" s="147"/>
      <c r="D69" s="147">
        <v>6.7080000000000002</v>
      </c>
      <c r="E69" s="147">
        <v>3.1139999999999999</v>
      </c>
      <c r="F69" s="147">
        <v>3.1139999999999999</v>
      </c>
      <c r="G69" s="147">
        <v>9.8219999999999992</v>
      </c>
      <c r="H69" s="148">
        <v>0</v>
      </c>
      <c r="I69" s="148">
        <v>0.46422182468694095</v>
      </c>
      <c r="J69" s="148">
        <v>0.46422182468694095</v>
      </c>
      <c r="K69" s="4">
        <v>85</v>
      </c>
      <c r="L69" s="147">
        <v>0</v>
      </c>
      <c r="M69" s="147">
        <v>7.944</v>
      </c>
      <c r="N69" s="147">
        <v>0.21199999999999999</v>
      </c>
      <c r="O69" s="147">
        <v>0.21199999999999999</v>
      </c>
      <c r="P69" s="147">
        <v>8.1560000000000006</v>
      </c>
      <c r="Q69" s="148">
        <v>0</v>
      </c>
      <c r="R69" s="148">
        <v>2.6686807653575024E-2</v>
      </c>
      <c r="S69" s="151">
        <v>2.6686807653575024E-2</v>
      </c>
      <c r="T69" s="4">
        <v>85</v>
      </c>
      <c r="U69" s="149">
        <v>0</v>
      </c>
      <c r="V69" s="149">
        <v>7.3260000000000005</v>
      </c>
      <c r="W69" s="150">
        <v>1.663</v>
      </c>
      <c r="X69" s="147">
        <v>1.663</v>
      </c>
      <c r="Y69" s="147">
        <v>8.9890000000000008</v>
      </c>
      <c r="Z69" s="148">
        <v>0</v>
      </c>
      <c r="AA69" s="148">
        <v>0.22699972699972698</v>
      </c>
      <c r="AB69" s="151">
        <v>0.22699972699972698</v>
      </c>
    </row>
    <row r="70" spans="2:28">
      <c r="B70" s="4">
        <v>86</v>
      </c>
      <c r="C70" s="147"/>
      <c r="D70" s="147">
        <v>6.2949999999999999</v>
      </c>
      <c r="E70" s="147">
        <v>2.992</v>
      </c>
      <c r="F70" s="147">
        <v>2.992</v>
      </c>
      <c r="G70" s="147">
        <v>9.286999999999999</v>
      </c>
      <c r="H70" s="148">
        <v>0</v>
      </c>
      <c r="I70" s="148">
        <v>0.47529785544082603</v>
      </c>
      <c r="J70" s="148">
        <v>0.47529785544082603</v>
      </c>
      <c r="K70" s="4">
        <v>86</v>
      </c>
      <c r="L70" s="147">
        <v>0</v>
      </c>
      <c r="M70" s="147">
        <v>7.452</v>
      </c>
      <c r="N70" s="147">
        <v>0.186</v>
      </c>
      <c r="O70" s="147">
        <v>0.186</v>
      </c>
      <c r="P70" s="147">
        <v>7.6379999999999999</v>
      </c>
      <c r="Q70" s="148">
        <v>0</v>
      </c>
      <c r="R70" s="148">
        <v>2.4959742351046699E-2</v>
      </c>
      <c r="S70" s="151">
        <v>2.4959742351046699E-2</v>
      </c>
      <c r="T70" s="4">
        <v>86</v>
      </c>
      <c r="U70" s="149">
        <v>0</v>
      </c>
      <c r="V70" s="149">
        <v>6.8734999999999999</v>
      </c>
      <c r="W70" s="150">
        <v>1.589</v>
      </c>
      <c r="X70" s="147">
        <v>1.589</v>
      </c>
      <c r="Y70" s="147">
        <v>8.4625000000000004</v>
      </c>
      <c r="Z70" s="148">
        <v>0</v>
      </c>
      <c r="AA70" s="148">
        <v>0.23117771150069105</v>
      </c>
      <c r="AB70" s="151">
        <v>0.23117771150069105</v>
      </c>
    </row>
    <row r="71" spans="2:28">
      <c r="B71" s="4">
        <v>87</v>
      </c>
      <c r="C71" s="147"/>
      <c r="D71" s="147">
        <v>5.9089999999999998</v>
      </c>
      <c r="E71" s="147">
        <v>2.8650000000000002</v>
      </c>
      <c r="F71" s="147">
        <v>2.8650000000000002</v>
      </c>
      <c r="G71" s="147">
        <v>8.7740000000000009</v>
      </c>
      <c r="H71" s="148">
        <v>0</v>
      </c>
      <c r="I71" s="148">
        <v>0.4848536131325098</v>
      </c>
      <c r="J71" s="148">
        <v>0.4848536131325098</v>
      </c>
      <c r="K71" s="4">
        <v>87</v>
      </c>
      <c r="L71" s="147">
        <v>0</v>
      </c>
      <c r="M71" s="147">
        <v>6.9770000000000003</v>
      </c>
      <c r="N71" s="147">
        <v>0.16200000000000001</v>
      </c>
      <c r="O71" s="147">
        <v>0.16200000000000001</v>
      </c>
      <c r="P71" s="147">
        <v>7.1390000000000002</v>
      </c>
      <c r="Q71" s="148">
        <v>0</v>
      </c>
      <c r="R71" s="148">
        <v>2.3219148631216855E-2</v>
      </c>
      <c r="S71" s="151">
        <v>2.3219148631216855E-2</v>
      </c>
      <c r="T71" s="4">
        <v>87</v>
      </c>
      <c r="U71" s="149">
        <v>0</v>
      </c>
      <c r="V71" s="149">
        <v>6.4429999999999996</v>
      </c>
      <c r="W71" s="150">
        <v>1.5135000000000001</v>
      </c>
      <c r="X71" s="147">
        <v>1.5135000000000001</v>
      </c>
      <c r="Y71" s="147">
        <v>7.9565000000000001</v>
      </c>
      <c r="Z71" s="148">
        <v>0</v>
      </c>
      <c r="AA71" s="148">
        <v>0.23490609964302345</v>
      </c>
      <c r="AB71" s="151">
        <v>0.23490609964302345</v>
      </c>
    </row>
    <row r="72" spans="2:28">
      <c r="B72" s="4">
        <v>88</v>
      </c>
      <c r="C72" s="147"/>
      <c r="D72" s="147">
        <v>5.5570000000000004</v>
      </c>
      <c r="E72" s="147">
        <v>2.7050000000000001</v>
      </c>
      <c r="F72" s="147">
        <v>2.7050000000000001</v>
      </c>
      <c r="G72" s="147">
        <v>8.2620000000000005</v>
      </c>
      <c r="H72" s="148">
        <v>0</v>
      </c>
      <c r="I72" s="148">
        <v>0.48677343890588443</v>
      </c>
      <c r="J72" s="148">
        <v>0.48677343890588443</v>
      </c>
      <c r="K72" s="4">
        <v>88</v>
      </c>
      <c r="L72" s="147">
        <v>0</v>
      </c>
      <c r="M72" s="147">
        <v>6.5209999999999999</v>
      </c>
      <c r="N72" s="147">
        <v>0.14000000000000001</v>
      </c>
      <c r="O72" s="147">
        <v>0.14000000000000001</v>
      </c>
      <c r="P72" s="147">
        <v>6.6609999999999996</v>
      </c>
      <c r="Q72" s="148">
        <v>0</v>
      </c>
      <c r="R72" s="148">
        <v>2.1469099831314217E-2</v>
      </c>
      <c r="S72" s="151">
        <v>2.1469099831314217E-2</v>
      </c>
      <c r="T72" s="4">
        <v>88</v>
      </c>
      <c r="U72" s="149">
        <v>0</v>
      </c>
      <c r="V72" s="149">
        <v>6.0389999999999997</v>
      </c>
      <c r="W72" s="150">
        <v>1.4225000000000001</v>
      </c>
      <c r="X72" s="147">
        <v>1.4225000000000001</v>
      </c>
      <c r="Y72" s="147">
        <v>7.4615</v>
      </c>
      <c r="Z72" s="148">
        <v>0</v>
      </c>
      <c r="AA72" s="148">
        <v>0.23555224374896508</v>
      </c>
      <c r="AB72" s="151">
        <v>0.23555224374896508</v>
      </c>
    </row>
    <row r="73" spans="2:28">
      <c r="B73" s="4">
        <v>89</v>
      </c>
      <c r="C73" s="147"/>
      <c r="D73" s="147">
        <v>5.2469999999999999</v>
      </c>
      <c r="E73" s="147">
        <v>2.5379999999999998</v>
      </c>
      <c r="F73" s="147">
        <v>2.5379999999999998</v>
      </c>
      <c r="G73" s="147">
        <v>7.7850000000000001</v>
      </c>
      <c r="H73" s="148">
        <v>0</v>
      </c>
      <c r="I73" s="148">
        <v>0.483704974271012</v>
      </c>
      <c r="J73" s="148">
        <v>0.483704974271012</v>
      </c>
      <c r="K73" s="4">
        <v>89</v>
      </c>
      <c r="L73" s="147">
        <v>0</v>
      </c>
      <c r="M73" s="147">
        <v>6.093</v>
      </c>
      <c r="N73" s="147">
        <v>0.11700000000000001</v>
      </c>
      <c r="O73" s="147">
        <v>0.11700000000000001</v>
      </c>
      <c r="P73" s="147">
        <v>6.21</v>
      </c>
      <c r="Q73" s="148">
        <v>0</v>
      </c>
      <c r="R73" s="148">
        <v>1.9202363367799114E-2</v>
      </c>
      <c r="S73" s="151">
        <v>1.9202363367799114E-2</v>
      </c>
      <c r="T73" s="4">
        <v>89</v>
      </c>
      <c r="U73" s="149">
        <v>0</v>
      </c>
      <c r="V73" s="149">
        <v>5.67</v>
      </c>
      <c r="W73" s="150">
        <v>1.3274999999999999</v>
      </c>
      <c r="X73" s="147">
        <v>1.3274999999999999</v>
      </c>
      <c r="Y73" s="147">
        <v>6.9974999999999996</v>
      </c>
      <c r="Z73" s="148">
        <v>0</v>
      </c>
      <c r="AA73" s="148">
        <v>0.2341269841269841</v>
      </c>
      <c r="AB73" s="151">
        <v>0.2341269841269841</v>
      </c>
    </row>
    <row r="74" spans="2:28">
      <c r="B74" s="4">
        <v>90</v>
      </c>
      <c r="C74" s="147"/>
      <c r="D74" s="147">
        <v>4.9669999999999996</v>
      </c>
      <c r="E74" s="147">
        <v>2.3759999999999999</v>
      </c>
      <c r="F74" s="147">
        <v>2.3759999999999999</v>
      </c>
      <c r="G74" s="147">
        <v>7.343</v>
      </c>
      <c r="H74" s="148">
        <v>0</v>
      </c>
      <c r="I74" s="148">
        <v>0.47835715723776928</v>
      </c>
      <c r="J74" s="148">
        <v>0.47835715723776928</v>
      </c>
      <c r="K74" s="4">
        <v>90</v>
      </c>
      <c r="L74" s="147">
        <v>0</v>
      </c>
      <c r="M74" s="147">
        <v>5.694</v>
      </c>
      <c r="N74" s="147">
        <v>9.7000000000000003E-2</v>
      </c>
      <c r="O74" s="147">
        <v>9.7000000000000003E-2</v>
      </c>
      <c r="P74" s="147">
        <v>5.7910000000000004</v>
      </c>
      <c r="Q74" s="148">
        <v>0</v>
      </c>
      <c r="R74" s="148">
        <v>1.7035475939585529E-2</v>
      </c>
      <c r="S74" s="151">
        <v>1.7035475939585529E-2</v>
      </c>
      <c r="T74" s="4">
        <v>90</v>
      </c>
      <c r="U74" s="149">
        <v>0</v>
      </c>
      <c r="V74" s="149">
        <v>5.3304999999999998</v>
      </c>
      <c r="W74" s="150">
        <v>1.2364999999999999</v>
      </c>
      <c r="X74" s="147">
        <v>1.2364999999999999</v>
      </c>
      <c r="Y74" s="147">
        <v>6.5670000000000002</v>
      </c>
      <c r="Z74" s="148">
        <v>0</v>
      </c>
      <c r="AA74" s="148">
        <v>0.23196698245943156</v>
      </c>
      <c r="AB74" s="151">
        <v>0.23196698245943156</v>
      </c>
    </row>
    <row r="75" spans="2:28">
      <c r="B75" s="4">
        <v>91</v>
      </c>
      <c r="C75" s="147"/>
      <c r="D75" s="147">
        <v>4.7060000000000004</v>
      </c>
      <c r="E75" s="147">
        <v>2.1920000000000002</v>
      </c>
      <c r="F75" s="147">
        <v>2.1920000000000002</v>
      </c>
      <c r="G75" s="147">
        <v>6.8980000000000006</v>
      </c>
      <c r="H75" s="148">
        <v>0</v>
      </c>
      <c r="I75" s="148">
        <v>0.46578835529111773</v>
      </c>
      <c r="J75" s="148">
        <v>0.46578835529111773</v>
      </c>
      <c r="K75" s="4">
        <v>91</v>
      </c>
      <c r="L75" s="147">
        <v>0</v>
      </c>
      <c r="M75" s="147">
        <v>5.3259999999999996</v>
      </c>
      <c r="N75" s="147">
        <v>0.08</v>
      </c>
      <c r="O75" s="147">
        <v>0.08</v>
      </c>
      <c r="P75" s="147">
        <v>5.4059999999999997</v>
      </c>
      <c r="Q75" s="148">
        <v>0</v>
      </c>
      <c r="R75" s="148">
        <v>1.5020653398422833E-2</v>
      </c>
      <c r="S75" s="151">
        <v>1.5020653398422833E-2</v>
      </c>
      <c r="T75" s="4">
        <v>91</v>
      </c>
      <c r="U75" s="149">
        <v>0</v>
      </c>
      <c r="V75" s="149">
        <v>5.016</v>
      </c>
      <c r="W75" s="150">
        <v>1.1360000000000001</v>
      </c>
      <c r="X75" s="147">
        <v>1.1360000000000001</v>
      </c>
      <c r="Y75" s="147">
        <v>6.1520000000000001</v>
      </c>
      <c r="Z75" s="148">
        <v>0</v>
      </c>
      <c r="AA75" s="148">
        <v>0.22647527910685808</v>
      </c>
      <c r="AB75" s="151">
        <v>0.22647527910685808</v>
      </c>
    </row>
    <row r="76" spans="2:28">
      <c r="B76" s="4">
        <v>92</v>
      </c>
      <c r="C76" s="147"/>
      <c r="D76" s="147">
        <v>4.4630000000000001</v>
      </c>
      <c r="E76" s="147">
        <v>2.024</v>
      </c>
      <c r="F76" s="147">
        <v>2.024</v>
      </c>
      <c r="G76" s="147">
        <v>6.4870000000000001</v>
      </c>
      <c r="H76" s="148">
        <v>0</v>
      </c>
      <c r="I76" s="148">
        <v>0.45350660990365227</v>
      </c>
      <c r="J76" s="148">
        <v>0.45350660990365227</v>
      </c>
      <c r="K76" s="4">
        <v>92</v>
      </c>
      <c r="L76" s="147">
        <v>0</v>
      </c>
      <c r="M76" s="147">
        <v>4.99</v>
      </c>
      <c r="N76" s="147">
        <v>6.4000000000000001E-2</v>
      </c>
      <c r="O76" s="147">
        <v>6.4000000000000001E-2</v>
      </c>
      <c r="P76" s="147">
        <v>5.0540000000000003</v>
      </c>
      <c r="Q76" s="148">
        <v>0</v>
      </c>
      <c r="R76" s="148">
        <v>1.282565130260521E-2</v>
      </c>
      <c r="S76" s="151">
        <v>1.282565130260521E-2</v>
      </c>
      <c r="T76" s="4">
        <v>92</v>
      </c>
      <c r="U76" s="149">
        <v>0</v>
      </c>
      <c r="V76" s="149">
        <v>4.7264999999999997</v>
      </c>
      <c r="W76" s="150">
        <v>1.044</v>
      </c>
      <c r="X76" s="147">
        <v>1.044</v>
      </c>
      <c r="Y76" s="147">
        <v>5.7705000000000002</v>
      </c>
      <c r="Z76" s="148">
        <v>0</v>
      </c>
      <c r="AA76" s="148">
        <v>0.22088225960012697</v>
      </c>
      <c r="AB76" s="151">
        <v>0.22088225960012697</v>
      </c>
    </row>
    <row r="77" spans="2:28">
      <c r="B77" s="4">
        <v>93</v>
      </c>
      <c r="C77" s="147"/>
      <c r="D77" s="147">
        <v>4.2380000000000004</v>
      </c>
      <c r="E77" s="147">
        <v>1.839</v>
      </c>
      <c r="F77" s="147">
        <v>1.839</v>
      </c>
      <c r="G77" s="147">
        <v>6.077</v>
      </c>
      <c r="H77" s="148">
        <v>0</v>
      </c>
      <c r="I77" s="148">
        <v>0.43393109957527132</v>
      </c>
      <c r="J77" s="148">
        <v>0.43393109957527132</v>
      </c>
      <c r="K77" s="4">
        <v>93</v>
      </c>
      <c r="L77" s="147">
        <v>0</v>
      </c>
      <c r="M77" s="147">
        <v>4.6840000000000002</v>
      </c>
      <c r="N77" s="147">
        <v>5.1999999999999998E-2</v>
      </c>
      <c r="O77" s="147">
        <v>5.1999999999999998E-2</v>
      </c>
      <c r="P77" s="147">
        <v>4.7359999999999998</v>
      </c>
      <c r="Q77" s="148">
        <v>0</v>
      </c>
      <c r="R77" s="148">
        <v>1.1101622544833475E-2</v>
      </c>
      <c r="S77" s="151">
        <v>1.1101622544833475E-2</v>
      </c>
      <c r="T77" s="4">
        <v>93</v>
      </c>
      <c r="U77" s="149">
        <v>0</v>
      </c>
      <c r="V77" s="149">
        <v>4.4610000000000003</v>
      </c>
      <c r="W77" s="150">
        <v>0.94550000000000001</v>
      </c>
      <c r="X77" s="147">
        <v>0.94550000000000001</v>
      </c>
      <c r="Y77" s="147">
        <v>5.4065000000000003</v>
      </c>
      <c r="Z77" s="148">
        <v>0</v>
      </c>
      <c r="AA77" s="148">
        <v>0.21194799372338038</v>
      </c>
      <c r="AB77" s="151">
        <v>0.21194799372338038</v>
      </c>
    </row>
    <row r="78" spans="2:28">
      <c r="B78" s="4">
        <v>94</v>
      </c>
      <c r="C78" s="147"/>
      <c r="D78" s="147">
        <v>4.0309999999999997</v>
      </c>
      <c r="E78" s="147">
        <v>1.6739999999999999</v>
      </c>
      <c r="F78" s="147">
        <v>1.6739999999999999</v>
      </c>
      <c r="G78" s="147">
        <v>5.7050000000000001</v>
      </c>
      <c r="H78" s="148">
        <v>0</v>
      </c>
      <c r="I78" s="148">
        <v>0.41528156784916898</v>
      </c>
      <c r="J78" s="148">
        <v>0.41528156784916898</v>
      </c>
      <c r="K78" s="4">
        <v>94</v>
      </c>
      <c r="L78" s="147">
        <v>0</v>
      </c>
      <c r="M78" s="147">
        <v>4.4039999999999999</v>
      </c>
      <c r="N78" s="147">
        <v>4.2000000000000003E-2</v>
      </c>
      <c r="O78" s="147">
        <v>4.2000000000000003E-2</v>
      </c>
      <c r="P78" s="147">
        <v>4.4459999999999997</v>
      </c>
      <c r="Q78" s="148">
        <v>0</v>
      </c>
      <c r="R78" s="148">
        <v>9.5367847411444145E-3</v>
      </c>
      <c r="S78" s="151">
        <v>9.5367847411444145E-3</v>
      </c>
      <c r="T78" s="4">
        <v>94</v>
      </c>
      <c r="U78" s="149">
        <v>0</v>
      </c>
      <c r="V78" s="149">
        <v>4.2174999999999994</v>
      </c>
      <c r="W78" s="150">
        <v>0.85799999999999998</v>
      </c>
      <c r="X78" s="147">
        <v>0.85799999999999998</v>
      </c>
      <c r="Y78" s="147">
        <v>5.075499999999999</v>
      </c>
      <c r="Z78" s="148">
        <v>0</v>
      </c>
      <c r="AA78" s="148">
        <v>0.20343805572021342</v>
      </c>
      <c r="AB78" s="151">
        <v>0.20343805572021342</v>
      </c>
    </row>
    <row r="79" spans="2:28">
      <c r="B79" s="4">
        <v>95</v>
      </c>
      <c r="C79" s="147"/>
      <c r="D79" s="147">
        <v>3.8420000000000001</v>
      </c>
      <c r="E79" s="147">
        <v>1.528</v>
      </c>
      <c r="F79" s="147">
        <v>1.528</v>
      </c>
      <c r="G79" s="147">
        <v>5.37</v>
      </c>
      <c r="H79" s="148">
        <v>0</v>
      </c>
      <c r="I79" s="148">
        <v>0.39770952628839146</v>
      </c>
      <c r="J79" s="148">
        <v>0.39770952628839146</v>
      </c>
      <c r="K79" s="4">
        <v>95</v>
      </c>
      <c r="L79" s="147">
        <v>0</v>
      </c>
      <c r="M79" s="147">
        <v>4.149</v>
      </c>
      <c r="N79" s="147">
        <v>3.4000000000000002E-2</v>
      </c>
      <c r="O79" s="147">
        <v>3.4000000000000002E-2</v>
      </c>
      <c r="P79" s="147">
        <v>4.1829999999999998</v>
      </c>
      <c r="Q79" s="148">
        <v>0</v>
      </c>
      <c r="R79" s="148">
        <v>8.1947457218606891E-3</v>
      </c>
      <c r="S79" s="151">
        <v>8.1947457218606891E-3</v>
      </c>
      <c r="T79" s="4">
        <v>95</v>
      </c>
      <c r="U79" s="149">
        <v>0</v>
      </c>
      <c r="V79" s="149">
        <v>3.9954999999999998</v>
      </c>
      <c r="W79" s="150">
        <v>0.78100000000000003</v>
      </c>
      <c r="X79" s="147">
        <v>0.78100000000000003</v>
      </c>
      <c r="Y79" s="147">
        <v>4.7764999999999995</v>
      </c>
      <c r="Z79" s="148">
        <v>0</v>
      </c>
      <c r="AA79" s="148">
        <v>0.1954699036415968</v>
      </c>
      <c r="AB79" s="151">
        <v>0.1954699036415968</v>
      </c>
    </row>
    <row r="80" spans="2:28">
      <c r="B80" s="4">
        <v>96</v>
      </c>
      <c r="C80" s="147"/>
      <c r="D80" s="147">
        <v>3.67</v>
      </c>
      <c r="E80" s="147">
        <v>1.3640000000000001</v>
      </c>
      <c r="F80" s="147">
        <v>1.3640000000000001</v>
      </c>
      <c r="G80" s="147">
        <v>5.0339999999999998</v>
      </c>
      <c r="H80" s="148">
        <v>0</v>
      </c>
      <c r="I80" s="148">
        <v>0.3716621253405995</v>
      </c>
      <c r="J80" s="148">
        <v>0.3716621253405995</v>
      </c>
      <c r="K80" s="4">
        <v>96</v>
      </c>
      <c r="L80" s="147">
        <v>0</v>
      </c>
      <c r="M80" s="147">
        <v>3.919</v>
      </c>
      <c r="N80" s="147">
        <v>2.7E-2</v>
      </c>
      <c r="O80" s="147">
        <v>2.7E-2</v>
      </c>
      <c r="P80" s="147">
        <v>3.9460000000000002</v>
      </c>
      <c r="Q80" s="148">
        <v>0</v>
      </c>
      <c r="R80" s="148">
        <v>6.8895126307731563E-3</v>
      </c>
      <c r="S80" s="151">
        <v>6.8895126307731563E-3</v>
      </c>
      <c r="T80" s="4">
        <v>96</v>
      </c>
      <c r="U80" s="149">
        <v>0</v>
      </c>
      <c r="V80" s="149">
        <v>3.7945000000000002</v>
      </c>
      <c r="W80" s="150">
        <v>0.69550000000000001</v>
      </c>
      <c r="X80" s="147">
        <v>0.69550000000000001</v>
      </c>
      <c r="Y80" s="147">
        <v>4.49</v>
      </c>
      <c r="Z80" s="148">
        <v>0</v>
      </c>
      <c r="AA80" s="148">
        <v>0.18329160627223612</v>
      </c>
      <c r="AB80" s="151">
        <v>0.18329160627223612</v>
      </c>
    </row>
    <row r="81" spans="2:28">
      <c r="B81" s="4">
        <v>97</v>
      </c>
      <c r="C81" s="147"/>
      <c r="D81" s="147">
        <v>3.5129999999999999</v>
      </c>
      <c r="E81" s="147">
        <v>1.2110000000000001</v>
      </c>
      <c r="F81" s="147">
        <v>1.2110000000000001</v>
      </c>
      <c r="G81" s="147">
        <v>4.7240000000000002</v>
      </c>
      <c r="H81" s="148">
        <v>0</v>
      </c>
      <c r="I81" s="148">
        <v>0.34471961286649588</v>
      </c>
      <c r="J81" s="148">
        <v>0.34471961286649588</v>
      </c>
      <c r="K81" s="4">
        <v>97</v>
      </c>
      <c r="L81" s="147">
        <v>0</v>
      </c>
      <c r="M81" s="147">
        <v>3.7130000000000001</v>
      </c>
      <c r="N81" s="147">
        <v>2.1000000000000001E-2</v>
      </c>
      <c r="O81" s="147">
        <v>2.1000000000000001E-2</v>
      </c>
      <c r="P81" s="147">
        <v>3.734</v>
      </c>
      <c r="Q81" s="148">
        <v>0</v>
      </c>
      <c r="R81" s="148">
        <v>5.655803932130353E-3</v>
      </c>
      <c r="S81" s="151">
        <v>5.655803932130353E-3</v>
      </c>
      <c r="T81" s="4">
        <v>97</v>
      </c>
      <c r="U81" s="149">
        <v>0</v>
      </c>
      <c r="V81" s="149">
        <v>3.613</v>
      </c>
      <c r="W81" s="150">
        <v>0.61599999999999999</v>
      </c>
      <c r="X81" s="147">
        <v>0.61599999999999999</v>
      </c>
      <c r="Y81" s="147">
        <v>4.2290000000000001</v>
      </c>
      <c r="Z81" s="148">
        <v>0</v>
      </c>
      <c r="AA81" s="148">
        <v>0.17049543315804042</v>
      </c>
      <c r="AB81" s="151">
        <v>0.17049543315804042</v>
      </c>
    </row>
    <row r="82" spans="2:28">
      <c r="B82" s="4">
        <v>98</v>
      </c>
      <c r="C82" s="147"/>
      <c r="D82" s="147">
        <v>3.371</v>
      </c>
      <c r="E82" s="147">
        <v>1.038</v>
      </c>
      <c r="F82" s="147">
        <v>1.038</v>
      </c>
      <c r="G82" s="147">
        <v>4.4089999999999998</v>
      </c>
      <c r="H82" s="148">
        <v>0</v>
      </c>
      <c r="I82" s="148">
        <v>0.30792049836843666</v>
      </c>
      <c r="J82" s="148">
        <v>0.30792049836843666</v>
      </c>
      <c r="K82" s="4">
        <v>98</v>
      </c>
      <c r="L82" s="147">
        <v>0</v>
      </c>
      <c r="M82" s="147">
        <v>3.53</v>
      </c>
      <c r="N82" s="147">
        <v>1.6E-2</v>
      </c>
      <c r="O82" s="147">
        <v>1.6E-2</v>
      </c>
      <c r="P82" s="147">
        <v>3.5459999999999998</v>
      </c>
      <c r="Q82" s="148">
        <v>0</v>
      </c>
      <c r="R82" s="148">
        <v>4.5325779036827201E-3</v>
      </c>
      <c r="S82" s="151">
        <v>4.5325779036827201E-3</v>
      </c>
      <c r="T82" s="4">
        <v>98</v>
      </c>
      <c r="U82" s="149">
        <v>0</v>
      </c>
      <c r="V82" s="149">
        <v>3.4504999999999999</v>
      </c>
      <c r="W82" s="150">
        <v>0.52700000000000002</v>
      </c>
      <c r="X82" s="147">
        <v>0.52700000000000002</v>
      </c>
      <c r="Y82" s="147">
        <v>3.9775</v>
      </c>
      <c r="Z82" s="148">
        <v>0</v>
      </c>
      <c r="AA82" s="148">
        <v>0.15273148819011739</v>
      </c>
      <c r="AB82" s="151">
        <v>0.15273148819011739</v>
      </c>
    </row>
    <row r="83" spans="2:28">
      <c r="B83" s="4">
        <v>99</v>
      </c>
      <c r="C83" s="147"/>
      <c r="D83" s="147">
        <v>3.2429999999999999</v>
      </c>
      <c r="E83" s="147">
        <v>0.84499999999999997</v>
      </c>
      <c r="F83" s="147">
        <v>0.84499999999999997</v>
      </c>
      <c r="G83" s="147">
        <v>4.0880000000000001</v>
      </c>
      <c r="H83" s="148">
        <v>0</v>
      </c>
      <c r="I83" s="148">
        <v>0.26056120875732347</v>
      </c>
      <c r="J83" s="148">
        <v>0.26056120875732347</v>
      </c>
      <c r="K83" s="4">
        <v>99</v>
      </c>
      <c r="L83" s="147">
        <v>0</v>
      </c>
      <c r="M83" s="147">
        <v>3.3690000000000002</v>
      </c>
      <c r="N83" s="147">
        <v>1.2999999999999999E-2</v>
      </c>
      <c r="O83" s="147">
        <v>1.2999999999999999E-2</v>
      </c>
      <c r="P83" s="147">
        <v>3.3820000000000001</v>
      </c>
      <c r="Q83" s="148">
        <v>0</v>
      </c>
      <c r="R83" s="148">
        <v>3.8587117839121395E-3</v>
      </c>
      <c r="S83" s="151">
        <v>3.8587117839121395E-3</v>
      </c>
      <c r="T83" s="4">
        <v>99</v>
      </c>
      <c r="U83" s="149">
        <v>0</v>
      </c>
      <c r="V83" s="149">
        <v>3.306</v>
      </c>
      <c r="W83" s="150">
        <v>0.42899999999999999</v>
      </c>
      <c r="X83" s="147">
        <v>0.42899999999999999</v>
      </c>
      <c r="Y83" s="147">
        <v>3.7349999999999999</v>
      </c>
      <c r="Z83" s="148">
        <v>0</v>
      </c>
      <c r="AA83" s="148">
        <v>0.12976406533575316</v>
      </c>
      <c r="AB83" s="151">
        <v>0.12976406533575316</v>
      </c>
    </row>
    <row r="84" spans="2:28">
      <c r="B84" s="4">
        <v>100</v>
      </c>
      <c r="C84" s="147"/>
      <c r="D84" s="147">
        <v>3.1269999999999998</v>
      </c>
      <c r="E84" s="147">
        <v>0.67</v>
      </c>
      <c r="F84" s="147">
        <v>0.67</v>
      </c>
      <c r="G84" s="147">
        <v>3.7969999999999997</v>
      </c>
      <c r="H84" s="148">
        <v>0</v>
      </c>
      <c r="I84" s="148">
        <v>0.21426287176207229</v>
      </c>
      <c r="J84" s="148">
        <v>0.21426287176207229</v>
      </c>
      <c r="K84" s="4">
        <v>100</v>
      </c>
      <c r="L84" s="147">
        <v>0</v>
      </c>
      <c r="M84" s="147">
        <v>3.2309999999999999</v>
      </c>
      <c r="N84" s="147">
        <v>0.01</v>
      </c>
      <c r="O84" s="147">
        <v>0.01</v>
      </c>
      <c r="P84" s="147">
        <v>3.2409999999999997</v>
      </c>
      <c r="Q84" s="148">
        <v>0</v>
      </c>
      <c r="R84" s="148">
        <v>3.0950170225936243E-3</v>
      </c>
      <c r="S84" s="151">
        <v>3.0950170225936243E-3</v>
      </c>
      <c r="T84" s="4">
        <v>100</v>
      </c>
      <c r="U84" s="149">
        <v>0</v>
      </c>
      <c r="V84" s="149">
        <v>3.1789999999999998</v>
      </c>
      <c r="W84" s="150">
        <v>0.34</v>
      </c>
      <c r="X84" s="147">
        <v>0.34</v>
      </c>
      <c r="Y84" s="147">
        <v>3.5189999999999997</v>
      </c>
      <c r="Z84" s="148">
        <v>0</v>
      </c>
      <c r="AA84" s="148">
        <v>0.10695187165775402</v>
      </c>
      <c r="AB84" s="151">
        <v>0.10695187165775402</v>
      </c>
    </row>
  </sheetData>
  <mergeCells count="4">
    <mergeCell ref="B2:B3"/>
    <mergeCell ref="H2:J2"/>
    <mergeCell ref="Q2:S2"/>
    <mergeCell ref="Z2:AB2"/>
  </mergeCells>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A1:DR104"/>
  <sheetViews>
    <sheetView zoomScale="130" zoomScaleNormal="130" workbookViewId="0">
      <pane xSplit="1" ySplit="1" topLeftCell="AP45" activePane="bottomRight" state="frozen"/>
      <selection pane="topRight" activeCell="B1" sqref="B1"/>
      <selection pane="bottomLeft" activeCell="A2" sqref="A2"/>
      <selection pane="bottomRight" activeCell="AU79" sqref="AU79"/>
    </sheetView>
  </sheetViews>
  <sheetFormatPr baseColWidth="10" defaultColWidth="11" defaultRowHeight="14.25"/>
  <cols>
    <col min="1" max="1" width="4.625" style="25" customWidth="1"/>
    <col min="2" max="71" width="6.125" customWidth="1"/>
    <col min="72" max="72" width="6.125" style="35" customWidth="1"/>
    <col min="73" max="119" width="6.125" customWidth="1"/>
    <col min="120" max="122" width="5.5" customWidth="1"/>
  </cols>
  <sheetData>
    <row r="1" spans="1:122" s="25" customFormat="1">
      <c r="A1" s="942" t="s">
        <v>937</v>
      </c>
      <c r="B1" s="943">
        <v>1900</v>
      </c>
      <c r="C1" s="943">
        <v>1901</v>
      </c>
      <c r="D1" s="943">
        <v>1902</v>
      </c>
      <c r="E1" s="943">
        <v>1903</v>
      </c>
      <c r="F1" s="943">
        <v>1904</v>
      </c>
      <c r="G1" s="943">
        <v>1905</v>
      </c>
      <c r="H1" s="943">
        <v>1906</v>
      </c>
      <c r="I1" s="943">
        <v>1907</v>
      </c>
      <c r="J1" s="943">
        <v>1908</v>
      </c>
      <c r="K1" s="943">
        <v>1909</v>
      </c>
      <c r="L1" s="943">
        <v>1910</v>
      </c>
      <c r="M1" s="943">
        <v>1911</v>
      </c>
      <c r="N1" s="943">
        <v>1912</v>
      </c>
      <c r="O1" s="943">
        <v>1913</v>
      </c>
      <c r="P1" s="943">
        <v>1914</v>
      </c>
      <c r="Q1" s="943">
        <v>1915</v>
      </c>
      <c r="R1" s="943">
        <v>1916</v>
      </c>
      <c r="S1" s="943">
        <v>1917</v>
      </c>
      <c r="T1" s="943">
        <v>1918</v>
      </c>
      <c r="U1" s="943">
        <v>1919</v>
      </c>
      <c r="V1" s="943">
        <v>1920</v>
      </c>
      <c r="W1" s="943">
        <v>1921</v>
      </c>
      <c r="X1" s="943">
        <v>1922</v>
      </c>
      <c r="Y1" s="943">
        <v>1923</v>
      </c>
      <c r="Z1" s="943">
        <v>1924</v>
      </c>
      <c r="AA1" s="943">
        <v>1925</v>
      </c>
      <c r="AB1" s="943">
        <v>1926</v>
      </c>
      <c r="AC1" s="943">
        <v>1927</v>
      </c>
      <c r="AD1" s="943">
        <v>1928</v>
      </c>
      <c r="AE1" s="943">
        <v>1929</v>
      </c>
      <c r="AF1" s="943">
        <v>1930</v>
      </c>
      <c r="AG1" s="943">
        <v>1931</v>
      </c>
      <c r="AH1" s="943">
        <v>1932</v>
      </c>
      <c r="AI1" s="943">
        <v>1933</v>
      </c>
      <c r="AJ1" s="943">
        <v>1934</v>
      </c>
      <c r="AK1" s="943">
        <v>1935</v>
      </c>
      <c r="AL1" s="943">
        <v>1936</v>
      </c>
      <c r="AM1" s="943">
        <v>1937</v>
      </c>
      <c r="AN1" s="943">
        <v>1938</v>
      </c>
      <c r="AO1" s="943">
        <v>1939</v>
      </c>
      <c r="AP1" s="943">
        <v>1940</v>
      </c>
      <c r="AQ1" s="943">
        <v>1941</v>
      </c>
      <c r="AR1" s="943">
        <v>1942</v>
      </c>
      <c r="AS1" s="943">
        <v>1943</v>
      </c>
      <c r="AT1" s="943">
        <v>1944</v>
      </c>
      <c r="AU1" s="943">
        <v>1945</v>
      </c>
      <c r="AV1" s="943">
        <v>1946</v>
      </c>
      <c r="AW1" s="943">
        <v>1947</v>
      </c>
      <c r="AX1" s="943">
        <v>1948</v>
      </c>
      <c r="AY1" s="943">
        <v>1949</v>
      </c>
      <c r="AZ1" s="943">
        <v>1950</v>
      </c>
      <c r="BA1" s="943">
        <v>1951</v>
      </c>
      <c r="BB1" s="943">
        <v>1952</v>
      </c>
      <c r="BC1" s="943">
        <v>1953</v>
      </c>
      <c r="BD1" s="943">
        <v>1954</v>
      </c>
      <c r="BE1" s="943">
        <v>1955</v>
      </c>
      <c r="BF1" s="943">
        <v>1956</v>
      </c>
      <c r="BG1" s="943">
        <v>1957</v>
      </c>
      <c r="BH1" s="943">
        <v>1958</v>
      </c>
      <c r="BI1" s="943">
        <v>1959</v>
      </c>
      <c r="BJ1" s="943">
        <v>1960</v>
      </c>
      <c r="BK1" s="943">
        <v>1961</v>
      </c>
      <c r="BL1" s="943">
        <v>1962</v>
      </c>
      <c r="BM1" s="943">
        <v>1963</v>
      </c>
      <c r="BN1" s="943">
        <v>1964</v>
      </c>
      <c r="BO1" s="943">
        <v>1965</v>
      </c>
      <c r="BP1" s="943">
        <v>1966</v>
      </c>
      <c r="BQ1" s="943">
        <v>1967</v>
      </c>
      <c r="BR1" s="943">
        <v>1968</v>
      </c>
      <c r="BS1" s="943">
        <v>1969</v>
      </c>
      <c r="BT1" s="943">
        <v>1970</v>
      </c>
      <c r="BU1" s="943">
        <v>1971</v>
      </c>
      <c r="BV1" s="943">
        <v>1972</v>
      </c>
      <c r="BW1" s="943">
        <v>1973</v>
      </c>
      <c r="BX1" s="943">
        <v>1974</v>
      </c>
      <c r="BY1" s="943">
        <v>1975</v>
      </c>
      <c r="BZ1" s="943">
        <v>1976</v>
      </c>
      <c r="CA1" s="943">
        <v>1977</v>
      </c>
      <c r="CB1" s="943">
        <v>1978</v>
      </c>
      <c r="CC1" s="943">
        <v>1979</v>
      </c>
      <c r="CD1" s="943">
        <v>1980</v>
      </c>
      <c r="CE1" s="943">
        <v>1981</v>
      </c>
      <c r="CF1" s="943">
        <v>1982</v>
      </c>
      <c r="CG1" s="943">
        <v>1983</v>
      </c>
      <c r="CH1" s="943">
        <v>1984</v>
      </c>
      <c r="CI1" s="943">
        <v>1985</v>
      </c>
      <c r="CJ1" s="943">
        <v>1986</v>
      </c>
      <c r="CK1" s="943">
        <v>1987</v>
      </c>
      <c r="CL1" s="943">
        <v>1988</v>
      </c>
      <c r="CM1" s="943">
        <v>1989</v>
      </c>
      <c r="CN1" s="943">
        <v>1990</v>
      </c>
      <c r="CO1" s="943">
        <v>1991</v>
      </c>
      <c r="CP1" s="943">
        <v>1992</v>
      </c>
      <c r="CQ1" s="943">
        <v>1993</v>
      </c>
      <c r="CR1" s="943">
        <v>1994</v>
      </c>
      <c r="CS1" s="943">
        <v>1995</v>
      </c>
      <c r="CT1" s="943">
        <v>1996</v>
      </c>
      <c r="CU1" s="943">
        <v>1997</v>
      </c>
      <c r="CV1" s="943">
        <v>1998</v>
      </c>
      <c r="CW1" s="943">
        <v>1999</v>
      </c>
      <c r="CX1" s="943">
        <v>2000</v>
      </c>
      <c r="CY1" s="943">
        <v>2001</v>
      </c>
      <c r="CZ1" s="943">
        <v>2002</v>
      </c>
      <c r="DA1" s="943">
        <v>2003</v>
      </c>
      <c r="DB1" s="943">
        <v>2004</v>
      </c>
      <c r="DC1" s="943">
        <v>2005</v>
      </c>
      <c r="DD1" s="943">
        <v>2006</v>
      </c>
      <c r="DE1" s="943">
        <v>2007</v>
      </c>
      <c r="DF1" s="943">
        <v>2008</v>
      </c>
      <c r="DG1" s="943">
        <v>2009</v>
      </c>
      <c r="DH1" s="943">
        <v>2010</v>
      </c>
      <c r="DI1" s="943">
        <v>2011</v>
      </c>
      <c r="DJ1" s="943">
        <v>2012</v>
      </c>
      <c r="DK1" s="943">
        <v>2013</v>
      </c>
      <c r="DL1" s="943">
        <v>2014</v>
      </c>
      <c r="DM1" s="943">
        <v>2015</v>
      </c>
      <c r="DN1" s="943">
        <v>2016</v>
      </c>
      <c r="DO1" s="943">
        <v>2017</v>
      </c>
      <c r="DP1" s="943">
        <v>2018</v>
      </c>
      <c r="DQ1" s="943">
        <v>2019</v>
      </c>
      <c r="DR1" s="943">
        <v>2020</v>
      </c>
    </row>
    <row r="2" spans="1:122">
      <c r="A2" s="944">
        <v>0</v>
      </c>
      <c r="B2" s="96"/>
      <c r="C2" s="96"/>
      <c r="D2" s="96"/>
      <c r="E2" s="96"/>
      <c r="F2" s="96"/>
      <c r="G2" s="96"/>
      <c r="H2" s="96"/>
      <c r="I2" s="96"/>
      <c r="J2" s="96"/>
      <c r="K2" s="96"/>
      <c r="L2" s="96"/>
      <c r="M2" s="96"/>
      <c r="N2" s="96"/>
      <c r="O2" s="96"/>
      <c r="P2" s="96"/>
      <c r="Q2" s="96"/>
      <c r="R2" s="96"/>
      <c r="S2" s="96"/>
      <c r="T2" s="96"/>
      <c r="U2" s="96"/>
      <c r="V2" s="766"/>
      <c r="W2" s="766">
        <v>57.84</v>
      </c>
      <c r="X2" s="766">
        <v>58.59</v>
      </c>
      <c r="Y2" s="766">
        <v>58.73</v>
      </c>
      <c r="Z2" s="766">
        <v>60.62</v>
      </c>
      <c r="AA2" s="766">
        <v>61.01</v>
      </c>
      <c r="AB2" s="766">
        <v>61.62</v>
      </c>
      <c r="AC2" s="766">
        <v>62.22</v>
      </c>
      <c r="AD2" s="766">
        <v>62.92</v>
      </c>
      <c r="AE2" s="766">
        <v>62.92</v>
      </c>
      <c r="AF2" s="766">
        <v>64.08</v>
      </c>
      <c r="AG2" s="766">
        <v>64.59</v>
      </c>
      <c r="AH2" s="766">
        <v>65.16</v>
      </c>
      <c r="AI2" s="766">
        <v>65.56</v>
      </c>
      <c r="AJ2" s="766">
        <v>66.77</v>
      </c>
      <c r="AK2" s="766">
        <v>66.94</v>
      </c>
      <c r="AL2" s="766">
        <v>67.459999999999994</v>
      </c>
      <c r="AM2" s="766">
        <v>67.97</v>
      </c>
      <c r="AN2" s="766">
        <v>68.510000000000005</v>
      </c>
      <c r="AO2" s="766">
        <v>68.59</v>
      </c>
      <c r="AP2" s="766">
        <v>68.849999999999994</v>
      </c>
      <c r="AQ2" s="766">
        <v>69.06</v>
      </c>
      <c r="AR2" s="766">
        <v>69.349999999999994</v>
      </c>
      <c r="AS2" s="766">
        <v>68.91</v>
      </c>
      <c r="AT2" s="766">
        <v>68.36</v>
      </c>
      <c r="AU2" s="766">
        <v>67.33</v>
      </c>
      <c r="AV2" s="766">
        <v>67.84</v>
      </c>
      <c r="AW2" s="766">
        <v>68.400000000000006</v>
      </c>
      <c r="AX2" s="766">
        <v>70.38</v>
      </c>
      <c r="AY2" s="766">
        <v>72.03</v>
      </c>
      <c r="AZ2" s="766">
        <v>72.09</v>
      </c>
      <c r="BA2" s="766">
        <v>72.2</v>
      </c>
      <c r="BB2" s="766">
        <v>72.930000000000007</v>
      </c>
      <c r="BC2" s="766">
        <v>73.23</v>
      </c>
      <c r="BD2" s="766">
        <v>73.77</v>
      </c>
      <c r="BE2" s="766">
        <v>74.010000000000005</v>
      </c>
      <c r="BF2" s="766">
        <v>74.52</v>
      </c>
      <c r="BG2" s="766">
        <v>74.7</v>
      </c>
      <c r="BH2" s="766">
        <v>75.25</v>
      </c>
      <c r="BI2" s="766">
        <v>75.64</v>
      </c>
      <c r="BJ2" s="766">
        <v>75.98</v>
      </c>
      <c r="BK2" s="766">
        <v>76.47</v>
      </c>
      <c r="BL2" s="766">
        <v>76.989999999999995</v>
      </c>
      <c r="BM2" s="766">
        <v>77.489999999999995</v>
      </c>
      <c r="BN2" s="766">
        <v>77.95</v>
      </c>
      <c r="BO2" s="766">
        <v>78.37</v>
      </c>
      <c r="BP2" s="766">
        <v>78.66</v>
      </c>
      <c r="BQ2" s="766">
        <v>78.959999999999994</v>
      </c>
      <c r="BR2" s="766">
        <v>79.239999999999995</v>
      </c>
      <c r="BS2" s="766">
        <v>79.400000000000006</v>
      </c>
      <c r="BT2" s="888">
        <v>79.67</v>
      </c>
      <c r="BU2" s="766">
        <v>79.89</v>
      </c>
      <c r="BV2" s="766">
        <v>80.17</v>
      </c>
      <c r="BW2" s="766">
        <v>80.39</v>
      </c>
      <c r="BX2" s="766">
        <v>80.7</v>
      </c>
      <c r="BY2" s="766">
        <v>81.03</v>
      </c>
      <c r="BZ2" s="766">
        <v>81.459999999999994</v>
      </c>
      <c r="CA2" s="766">
        <v>81.78</v>
      </c>
      <c r="CB2" s="766">
        <v>82</v>
      </c>
      <c r="CC2" s="766">
        <v>82.33</v>
      </c>
      <c r="CD2" s="766">
        <v>82.61</v>
      </c>
      <c r="CE2" s="766">
        <v>82.85</v>
      </c>
      <c r="CF2" s="766">
        <v>83.18</v>
      </c>
      <c r="CG2" s="766">
        <v>83.44</v>
      </c>
      <c r="CH2" s="766">
        <v>83.69</v>
      </c>
      <c r="CI2" s="766">
        <v>83.98</v>
      </c>
      <c r="CJ2" s="766">
        <v>84.18</v>
      </c>
      <c r="CK2" s="766">
        <v>84.39</v>
      </c>
      <c r="CL2" s="766">
        <v>84.67</v>
      </c>
      <c r="CM2" s="766">
        <v>84.87</v>
      </c>
      <c r="CN2" s="766">
        <v>85.11</v>
      </c>
      <c r="CO2" s="766">
        <v>85.36</v>
      </c>
      <c r="CP2" s="766">
        <v>85.57</v>
      </c>
      <c r="CQ2" s="766">
        <v>85.8</v>
      </c>
      <c r="CR2" s="766">
        <v>85.97</v>
      </c>
      <c r="CS2" s="766">
        <v>86.19</v>
      </c>
      <c r="CT2" s="766">
        <v>86.37</v>
      </c>
      <c r="CU2" s="766">
        <v>86.55</v>
      </c>
      <c r="CV2" s="766">
        <v>86.73</v>
      </c>
      <c r="CW2" s="766">
        <v>86.89</v>
      </c>
      <c r="CX2" s="766">
        <v>87.1</v>
      </c>
      <c r="CY2" s="766">
        <v>87.25</v>
      </c>
      <c r="CZ2" s="766">
        <v>87.43</v>
      </c>
      <c r="DA2" s="766">
        <v>87.57</v>
      </c>
      <c r="DB2" s="766">
        <v>87.76</v>
      </c>
      <c r="DC2" s="766">
        <v>87.91</v>
      </c>
      <c r="DD2" s="766">
        <v>88.07</v>
      </c>
      <c r="DE2" s="766">
        <v>88.21</v>
      </c>
      <c r="DF2" s="766">
        <v>88.39</v>
      </c>
      <c r="DG2" s="766">
        <v>88.54</v>
      </c>
      <c r="DH2" s="766">
        <v>88.69</v>
      </c>
      <c r="DI2" s="766">
        <v>88.84</v>
      </c>
      <c r="DJ2" s="766">
        <v>89.02</v>
      </c>
      <c r="DK2" s="766">
        <v>89.16</v>
      </c>
      <c r="DL2" s="766">
        <v>89.29</v>
      </c>
      <c r="DM2" s="766">
        <v>89.44</v>
      </c>
      <c r="DN2" s="766">
        <v>89.56</v>
      </c>
      <c r="DO2" s="766">
        <v>89.71</v>
      </c>
      <c r="DP2" s="766">
        <v>89.85</v>
      </c>
      <c r="DQ2" s="766">
        <v>90</v>
      </c>
      <c r="DR2" s="766">
        <v>90.15</v>
      </c>
    </row>
    <row r="3" spans="1:122">
      <c r="A3" s="944">
        <v>1</v>
      </c>
      <c r="B3" s="96"/>
      <c r="C3" s="96"/>
      <c r="D3" s="96"/>
      <c r="E3" s="96"/>
      <c r="F3" s="96"/>
      <c r="G3" s="96"/>
      <c r="H3" s="96"/>
      <c r="I3" s="96"/>
      <c r="J3" s="96"/>
      <c r="K3" s="96"/>
      <c r="L3" s="96"/>
      <c r="M3" s="96"/>
      <c r="N3" s="96"/>
      <c r="O3" s="96"/>
      <c r="P3" s="96"/>
      <c r="Q3" s="96"/>
      <c r="R3" s="96"/>
      <c r="S3" s="96"/>
      <c r="T3" s="96"/>
      <c r="U3" s="96"/>
      <c r="V3" s="766"/>
      <c r="W3" s="766">
        <v>66.709999999999994</v>
      </c>
      <c r="X3" s="766">
        <v>67.239999999999995</v>
      </c>
      <c r="Y3" s="766">
        <v>67.569999999999993</v>
      </c>
      <c r="Z3" s="766">
        <v>67.77</v>
      </c>
      <c r="AA3" s="766">
        <v>67.989999999999995</v>
      </c>
      <c r="AB3" s="766">
        <v>68.36</v>
      </c>
      <c r="AC3" s="766">
        <v>68.64</v>
      </c>
      <c r="AD3" s="766">
        <v>68.81</v>
      </c>
      <c r="AE3" s="766">
        <v>69.31</v>
      </c>
      <c r="AF3" s="766">
        <v>69.650000000000006</v>
      </c>
      <c r="AG3" s="766">
        <v>70</v>
      </c>
      <c r="AH3" s="766">
        <v>70.34</v>
      </c>
      <c r="AI3" s="766">
        <v>70.63</v>
      </c>
      <c r="AJ3" s="766">
        <v>71.09</v>
      </c>
      <c r="AK3" s="766">
        <v>71.45</v>
      </c>
      <c r="AL3" s="766">
        <v>71.84</v>
      </c>
      <c r="AM3" s="766">
        <v>72.23</v>
      </c>
      <c r="AN3" s="766">
        <v>72.510000000000005</v>
      </c>
      <c r="AO3" s="766">
        <v>72.709999999999994</v>
      </c>
      <c r="AP3" s="766">
        <v>72.989999999999995</v>
      </c>
      <c r="AQ3" s="766">
        <v>73.22</v>
      </c>
      <c r="AR3" s="766">
        <v>73.53</v>
      </c>
      <c r="AS3" s="766">
        <v>73.62</v>
      </c>
      <c r="AT3" s="766">
        <v>73.86</v>
      </c>
      <c r="AU3" s="766">
        <v>74.17</v>
      </c>
      <c r="AV3" s="766">
        <v>74.489999999999995</v>
      </c>
      <c r="AW3" s="766">
        <v>75.11</v>
      </c>
      <c r="AX3" s="766">
        <v>75.63</v>
      </c>
      <c r="AY3" s="766">
        <v>75.760000000000005</v>
      </c>
      <c r="AZ3" s="766">
        <v>75.83</v>
      </c>
      <c r="BA3" s="766">
        <v>75.95</v>
      </c>
      <c r="BB3" s="766">
        <v>76.14</v>
      </c>
      <c r="BC3" s="766">
        <v>76.31</v>
      </c>
      <c r="BD3" s="766">
        <v>76.5</v>
      </c>
      <c r="BE3" s="766">
        <v>76.709999999999994</v>
      </c>
      <c r="BF3" s="766">
        <v>76.959999999999994</v>
      </c>
      <c r="BG3" s="766">
        <v>77.14</v>
      </c>
      <c r="BH3" s="766">
        <v>77.48</v>
      </c>
      <c r="BI3" s="766">
        <v>77.739999999999995</v>
      </c>
      <c r="BJ3" s="766">
        <v>78.03</v>
      </c>
      <c r="BK3" s="766">
        <v>78.290000000000006</v>
      </c>
      <c r="BL3" s="766">
        <v>78.61</v>
      </c>
      <c r="BM3" s="766">
        <v>78.95</v>
      </c>
      <c r="BN3" s="766">
        <v>79.209999999999994</v>
      </c>
      <c r="BO3" s="766">
        <v>79.510000000000005</v>
      </c>
      <c r="BP3" s="766">
        <v>79.760000000000005</v>
      </c>
      <c r="BQ3" s="766">
        <v>80.02</v>
      </c>
      <c r="BR3" s="766">
        <v>80.25</v>
      </c>
      <c r="BS3" s="766">
        <v>80.48</v>
      </c>
      <c r="BT3" s="888">
        <v>80.73</v>
      </c>
      <c r="BU3" s="766">
        <v>80.91</v>
      </c>
      <c r="BV3" s="766">
        <v>81.150000000000006</v>
      </c>
      <c r="BW3" s="766">
        <v>81.36</v>
      </c>
      <c r="BX3" s="766">
        <v>81.58</v>
      </c>
      <c r="BY3" s="766">
        <v>81.78</v>
      </c>
      <c r="BZ3" s="766">
        <v>81.98</v>
      </c>
      <c r="CA3" s="766">
        <v>82.17</v>
      </c>
      <c r="CB3" s="766">
        <v>82.35</v>
      </c>
      <c r="CC3" s="766">
        <v>82.57</v>
      </c>
      <c r="CD3" s="766">
        <v>82.79</v>
      </c>
      <c r="CE3" s="766">
        <v>82.98</v>
      </c>
      <c r="CF3" s="766">
        <v>83.2</v>
      </c>
      <c r="CG3" s="766">
        <v>83.42</v>
      </c>
      <c r="CH3" s="766">
        <v>83.6</v>
      </c>
      <c r="CI3" s="766">
        <v>83.84</v>
      </c>
      <c r="CJ3" s="766">
        <v>84.01</v>
      </c>
      <c r="CK3" s="766">
        <v>84.2</v>
      </c>
      <c r="CL3" s="766">
        <v>84.42</v>
      </c>
      <c r="CM3" s="766">
        <v>84.6</v>
      </c>
      <c r="CN3" s="766">
        <v>84.8</v>
      </c>
      <c r="CO3" s="766">
        <v>84.98</v>
      </c>
      <c r="CP3" s="766">
        <v>85.15</v>
      </c>
      <c r="CQ3" s="766">
        <v>85.34</v>
      </c>
      <c r="CR3" s="766">
        <v>85.5</v>
      </c>
      <c r="CS3" s="766">
        <v>85.69</v>
      </c>
      <c r="CT3" s="766">
        <v>85.85</v>
      </c>
      <c r="CU3" s="766">
        <v>86.02</v>
      </c>
      <c r="CV3" s="766">
        <v>86.17</v>
      </c>
      <c r="CW3" s="766">
        <v>86.33</v>
      </c>
      <c r="CX3" s="766">
        <v>86.51</v>
      </c>
      <c r="CY3" s="766">
        <v>86.67</v>
      </c>
      <c r="CZ3" s="766">
        <v>86.82</v>
      </c>
      <c r="DA3" s="766">
        <v>86.98</v>
      </c>
      <c r="DB3" s="766">
        <v>87.15</v>
      </c>
      <c r="DC3" s="766">
        <v>87.28</v>
      </c>
      <c r="DD3" s="766">
        <v>87.44</v>
      </c>
      <c r="DE3" s="766">
        <v>87.59</v>
      </c>
      <c r="DF3" s="766">
        <v>87.74</v>
      </c>
      <c r="DG3" s="766">
        <v>87.89</v>
      </c>
      <c r="DH3" s="766">
        <v>88.03</v>
      </c>
      <c r="DI3" s="766">
        <v>88.18</v>
      </c>
      <c r="DJ3" s="766">
        <v>88.33</v>
      </c>
      <c r="DK3" s="766">
        <v>88.47</v>
      </c>
      <c r="DL3" s="766">
        <v>88.6</v>
      </c>
      <c r="DM3" s="766">
        <v>88.75</v>
      </c>
      <c r="DN3" s="766">
        <v>88.89</v>
      </c>
      <c r="DO3" s="766">
        <v>89.02</v>
      </c>
      <c r="DP3" s="766">
        <v>89.16</v>
      </c>
      <c r="DQ3" s="766">
        <v>89.3</v>
      </c>
      <c r="DR3" s="766">
        <v>89.43</v>
      </c>
    </row>
    <row r="4" spans="1:122">
      <c r="A4" s="944">
        <v>2</v>
      </c>
      <c r="B4" s="96"/>
      <c r="C4" s="96"/>
      <c r="D4" s="96"/>
      <c r="E4" s="96"/>
      <c r="F4" s="96"/>
      <c r="G4" s="96"/>
      <c r="H4" s="96"/>
      <c r="I4" s="96"/>
      <c r="J4" s="96"/>
      <c r="K4" s="96"/>
      <c r="L4" s="96"/>
      <c r="M4" s="96"/>
      <c r="N4" s="96"/>
      <c r="O4" s="96"/>
      <c r="P4" s="96"/>
      <c r="Q4" s="96"/>
      <c r="R4" s="96"/>
      <c r="S4" s="96"/>
      <c r="T4" s="96"/>
      <c r="U4" s="96"/>
      <c r="V4" s="766"/>
      <c r="W4" s="766">
        <v>67.06</v>
      </c>
      <c r="X4" s="766">
        <v>67.61</v>
      </c>
      <c r="Y4" s="766">
        <v>67.67</v>
      </c>
      <c r="Z4" s="766">
        <v>67.88</v>
      </c>
      <c r="AA4" s="766">
        <v>68.099999999999994</v>
      </c>
      <c r="AB4" s="766">
        <v>68.400000000000006</v>
      </c>
      <c r="AC4" s="766">
        <v>68.489999999999995</v>
      </c>
      <c r="AD4" s="766">
        <v>68.72</v>
      </c>
      <c r="AE4" s="766">
        <v>69.010000000000005</v>
      </c>
      <c r="AF4" s="766">
        <v>69.34</v>
      </c>
      <c r="AG4" s="766">
        <v>69.650000000000006</v>
      </c>
      <c r="AH4" s="766">
        <v>70</v>
      </c>
      <c r="AI4" s="766">
        <v>70.28</v>
      </c>
      <c r="AJ4" s="766">
        <v>70.680000000000007</v>
      </c>
      <c r="AK4" s="766">
        <v>71.02</v>
      </c>
      <c r="AL4" s="766">
        <v>71.400000000000006</v>
      </c>
      <c r="AM4" s="766">
        <v>71.77</v>
      </c>
      <c r="AN4" s="766">
        <v>72.06</v>
      </c>
      <c r="AO4" s="766">
        <v>72.260000000000005</v>
      </c>
      <c r="AP4" s="766">
        <v>72.55</v>
      </c>
      <c r="AQ4" s="766">
        <v>72.77</v>
      </c>
      <c r="AR4" s="766">
        <v>73.14</v>
      </c>
      <c r="AS4" s="766">
        <v>73.319999999999993</v>
      </c>
      <c r="AT4" s="766">
        <v>73.7</v>
      </c>
      <c r="AU4" s="766">
        <v>73.930000000000007</v>
      </c>
      <c r="AV4" s="766">
        <v>74.260000000000005</v>
      </c>
      <c r="AW4" s="766">
        <v>74.73</v>
      </c>
      <c r="AX4" s="766">
        <v>74.94</v>
      </c>
      <c r="AY4" s="766">
        <v>75.069999999999993</v>
      </c>
      <c r="AZ4" s="766">
        <v>75.14</v>
      </c>
      <c r="BA4" s="766">
        <v>75.239999999999995</v>
      </c>
      <c r="BB4" s="766">
        <v>75.42</v>
      </c>
      <c r="BC4" s="766">
        <v>75.56</v>
      </c>
      <c r="BD4" s="766">
        <v>75.75</v>
      </c>
      <c r="BE4" s="766">
        <v>75.959999999999994</v>
      </c>
      <c r="BF4" s="766">
        <v>76.209999999999994</v>
      </c>
      <c r="BG4" s="766">
        <v>76.37</v>
      </c>
      <c r="BH4" s="766">
        <v>76.709999999999994</v>
      </c>
      <c r="BI4" s="766">
        <v>76.94</v>
      </c>
      <c r="BJ4" s="766">
        <v>77.22</v>
      </c>
      <c r="BK4" s="766">
        <v>77.48</v>
      </c>
      <c r="BL4" s="766">
        <v>77.790000000000006</v>
      </c>
      <c r="BM4" s="766">
        <v>78.099999999999994</v>
      </c>
      <c r="BN4" s="766">
        <v>78.37</v>
      </c>
      <c r="BO4" s="766">
        <v>78.66</v>
      </c>
      <c r="BP4" s="766">
        <v>78.91</v>
      </c>
      <c r="BQ4" s="766">
        <v>79.150000000000006</v>
      </c>
      <c r="BR4" s="766">
        <v>79.41</v>
      </c>
      <c r="BS4" s="766">
        <v>79.62</v>
      </c>
      <c r="BT4" s="888">
        <v>79.849999999999994</v>
      </c>
      <c r="BU4" s="766">
        <v>80.02</v>
      </c>
      <c r="BV4" s="766">
        <v>80.25</v>
      </c>
      <c r="BW4" s="766">
        <v>80.47</v>
      </c>
      <c r="BX4" s="766">
        <v>80.680000000000007</v>
      </c>
      <c r="BY4" s="766">
        <v>80.87</v>
      </c>
      <c r="BZ4" s="766">
        <v>81.069999999999993</v>
      </c>
      <c r="CA4" s="766">
        <v>81.260000000000005</v>
      </c>
      <c r="CB4" s="766">
        <v>81.44</v>
      </c>
      <c r="CC4" s="766">
        <v>81.64</v>
      </c>
      <c r="CD4" s="766">
        <v>81.87</v>
      </c>
      <c r="CE4" s="766">
        <v>82.06</v>
      </c>
      <c r="CF4" s="766">
        <v>82.28</v>
      </c>
      <c r="CG4" s="766">
        <v>82.49</v>
      </c>
      <c r="CH4" s="766">
        <v>82.67</v>
      </c>
      <c r="CI4" s="766">
        <v>82.9</v>
      </c>
      <c r="CJ4" s="766">
        <v>83.08</v>
      </c>
      <c r="CK4" s="766">
        <v>83.26</v>
      </c>
      <c r="CL4" s="766">
        <v>83.47</v>
      </c>
      <c r="CM4" s="766">
        <v>83.66</v>
      </c>
      <c r="CN4" s="766">
        <v>83.85</v>
      </c>
      <c r="CO4" s="766">
        <v>84.03</v>
      </c>
      <c r="CP4" s="766">
        <v>84.2</v>
      </c>
      <c r="CQ4" s="766">
        <v>84.39</v>
      </c>
      <c r="CR4" s="766">
        <v>84.55</v>
      </c>
      <c r="CS4" s="766">
        <v>84.73</v>
      </c>
      <c r="CT4" s="766">
        <v>84.89</v>
      </c>
      <c r="CU4" s="766">
        <v>85.06</v>
      </c>
      <c r="CV4" s="766">
        <v>85.21</v>
      </c>
      <c r="CW4" s="766">
        <v>85.37</v>
      </c>
      <c r="CX4" s="766">
        <v>85.55</v>
      </c>
      <c r="CY4" s="766">
        <v>85.7</v>
      </c>
      <c r="CZ4" s="766">
        <v>85.86</v>
      </c>
      <c r="DA4" s="766">
        <v>86.01</v>
      </c>
      <c r="DB4" s="766">
        <v>86.17</v>
      </c>
      <c r="DC4" s="766">
        <v>86.32</v>
      </c>
      <c r="DD4" s="766">
        <v>86.47</v>
      </c>
      <c r="DE4" s="766">
        <v>86.62</v>
      </c>
      <c r="DF4" s="766">
        <v>86.77</v>
      </c>
      <c r="DG4" s="766">
        <v>86.92</v>
      </c>
      <c r="DH4" s="766">
        <v>87.06</v>
      </c>
      <c r="DI4" s="766">
        <v>87.21</v>
      </c>
      <c r="DJ4" s="766">
        <v>87.35</v>
      </c>
      <c r="DK4" s="766">
        <v>87.5</v>
      </c>
      <c r="DL4" s="766">
        <v>87.63</v>
      </c>
      <c r="DM4" s="766">
        <v>87.77</v>
      </c>
      <c r="DN4" s="766">
        <v>87.91</v>
      </c>
      <c r="DO4" s="766">
        <v>88.05</v>
      </c>
      <c r="DP4" s="766">
        <v>88.18</v>
      </c>
      <c r="DQ4" s="766">
        <v>88.32</v>
      </c>
      <c r="DR4" s="766">
        <v>88.45</v>
      </c>
    </row>
    <row r="5" spans="1:122">
      <c r="A5" s="944">
        <v>3</v>
      </c>
      <c r="B5" s="96"/>
      <c r="C5" s="96"/>
      <c r="D5" s="96"/>
      <c r="E5" s="96"/>
      <c r="F5" s="96"/>
      <c r="G5" s="96"/>
      <c r="H5" s="96"/>
      <c r="I5" s="96"/>
      <c r="J5" s="96"/>
      <c r="K5" s="96"/>
      <c r="L5" s="96"/>
      <c r="M5" s="96"/>
      <c r="N5" s="96"/>
      <c r="O5" s="96"/>
      <c r="P5" s="96"/>
      <c r="Q5" s="96"/>
      <c r="R5" s="96"/>
      <c r="S5" s="96"/>
      <c r="T5" s="96"/>
      <c r="U5" s="96"/>
      <c r="V5" s="766"/>
      <c r="W5" s="766">
        <v>66.819999999999993</v>
      </c>
      <c r="X5" s="766">
        <v>67.040000000000006</v>
      </c>
      <c r="Y5" s="766">
        <v>67.099999999999994</v>
      </c>
      <c r="Z5" s="766">
        <v>67.31</v>
      </c>
      <c r="AA5" s="766">
        <v>67.56</v>
      </c>
      <c r="AB5" s="766">
        <v>67.8</v>
      </c>
      <c r="AC5" s="766">
        <v>67.97</v>
      </c>
      <c r="AD5" s="766">
        <v>68.11</v>
      </c>
      <c r="AE5" s="766">
        <v>68.349999999999994</v>
      </c>
      <c r="AF5" s="766">
        <v>68.650000000000006</v>
      </c>
      <c r="AG5" s="766">
        <v>68.959999999999994</v>
      </c>
      <c r="AH5" s="766">
        <v>69.31</v>
      </c>
      <c r="AI5" s="766">
        <v>69.650000000000006</v>
      </c>
      <c r="AJ5" s="766">
        <v>70.06</v>
      </c>
      <c r="AK5" s="766">
        <v>70.38</v>
      </c>
      <c r="AL5" s="766">
        <v>70.73</v>
      </c>
      <c r="AM5" s="766">
        <v>71.13</v>
      </c>
      <c r="AN5" s="766">
        <v>71.42</v>
      </c>
      <c r="AO5" s="766">
        <v>71.63</v>
      </c>
      <c r="AP5" s="766">
        <v>71.91</v>
      </c>
      <c r="AQ5" s="766">
        <v>72.180000000000007</v>
      </c>
      <c r="AR5" s="766">
        <v>72.61</v>
      </c>
      <c r="AS5" s="766">
        <v>72.88</v>
      </c>
      <c r="AT5" s="766">
        <v>73.13</v>
      </c>
      <c r="AU5" s="766">
        <v>73.36</v>
      </c>
      <c r="AV5" s="766">
        <v>73.53</v>
      </c>
      <c r="AW5" s="766">
        <v>73.91</v>
      </c>
      <c r="AX5" s="766">
        <v>74.12</v>
      </c>
      <c r="AY5" s="766">
        <v>74.25</v>
      </c>
      <c r="AZ5" s="766">
        <v>74.3</v>
      </c>
      <c r="BA5" s="766">
        <v>74.38</v>
      </c>
      <c r="BB5" s="766">
        <v>74.55</v>
      </c>
      <c r="BC5" s="766">
        <v>74.69</v>
      </c>
      <c r="BD5" s="766">
        <v>74.87</v>
      </c>
      <c r="BE5" s="766">
        <v>75.09</v>
      </c>
      <c r="BF5" s="766">
        <v>75.319999999999993</v>
      </c>
      <c r="BG5" s="766">
        <v>75.489999999999995</v>
      </c>
      <c r="BH5" s="766">
        <v>75.819999999999993</v>
      </c>
      <c r="BI5" s="766">
        <v>76.040000000000006</v>
      </c>
      <c r="BJ5" s="766">
        <v>76.33</v>
      </c>
      <c r="BK5" s="766">
        <v>76.58</v>
      </c>
      <c r="BL5" s="766">
        <v>76.88</v>
      </c>
      <c r="BM5" s="766">
        <v>77.19</v>
      </c>
      <c r="BN5" s="766">
        <v>77.45</v>
      </c>
      <c r="BO5" s="766">
        <v>77.73</v>
      </c>
      <c r="BP5" s="766">
        <v>77.989999999999995</v>
      </c>
      <c r="BQ5" s="766">
        <v>78.23</v>
      </c>
      <c r="BR5" s="766">
        <v>78.48</v>
      </c>
      <c r="BS5" s="766">
        <v>78.7</v>
      </c>
      <c r="BT5" s="888">
        <v>78.92</v>
      </c>
      <c r="BU5" s="766">
        <v>79.09</v>
      </c>
      <c r="BV5" s="766">
        <v>79.319999999999993</v>
      </c>
      <c r="BW5" s="766">
        <v>79.53</v>
      </c>
      <c r="BX5" s="766">
        <v>79.75</v>
      </c>
      <c r="BY5" s="766">
        <v>79.930000000000007</v>
      </c>
      <c r="BZ5" s="766">
        <v>80.13</v>
      </c>
      <c r="CA5" s="766">
        <v>80.319999999999993</v>
      </c>
      <c r="CB5" s="766">
        <v>80.489999999999995</v>
      </c>
      <c r="CC5" s="766">
        <v>80.69</v>
      </c>
      <c r="CD5" s="766">
        <v>80.92</v>
      </c>
      <c r="CE5" s="766">
        <v>81.11</v>
      </c>
      <c r="CF5" s="766">
        <v>81.319999999999993</v>
      </c>
      <c r="CG5" s="766">
        <v>81.53</v>
      </c>
      <c r="CH5" s="766">
        <v>81.709999999999994</v>
      </c>
      <c r="CI5" s="766">
        <v>81.94</v>
      </c>
      <c r="CJ5" s="766">
        <v>82.12</v>
      </c>
      <c r="CK5" s="766">
        <v>82.3</v>
      </c>
      <c r="CL5" s="766">
        <v>82.51</v>
      </c>
      <c r="CM5" s="766">
        <v>82.7</v>
      </c>
      <c r="CN5" s="766">
        <v>82.88</v>
      </c>
      <c r="CO5" s="766">
        <v>83.06</v>
      </c>
      <c r="CP5" s="766">
        <v>83.23</v>
      </c>
      <c r="CQ5" s="766">
        <v>83.42</v>
      </c>
      <c r="CR5" s="766">
        <v>83.57</v>
      </c>
      <c r="CS5" s="766">
        <v>83.75</v>
      </c>
      <c r="CT5" s="766">
        <v>83.92</v>
      </c>
      <c r="CU5" s="766">
        <v>84.08</v>
      </c>
      <c r="CV5" s="766">
        <v>84.23</v>
      </c>
      <c r="CW5" s="766">
        <v>84.39</v>
      </c>
      <c r="CX5" s="766">
        <v>84.56</v>
      </c>
      <c r="CY5" s="766">
        <v>84.72</v>
      </c>
      <c r="CZ5" s="766">
        <v>84.88</v>
      </c>
      <c r="DA5" s="766">
        <v>85.03</v>
      </c>
      <c r="DB5" s="766">
        <v>85.19</v>
      </c>
      <c r="DC5" s="766">
        <v>85.33</v>
      </c>
      <c r="DD5" s="766">
        <v>85.49</v>
      </c>
      <c r="DE5" s="766">
        <v>85.64</v>
      </c>
      <c r="DF5" s="766">
        <v>85.78</v>
      </c>
      <c r="DG5" s="766">
        <v>85.93</v>
      </c>
      <c r="DH5" s="766">
        <v>86.07</v>
      </c>
      <c r="DI5" s="766">
        <v>86.21</v>
      </c>
      <c r="DJ5" s="766">
        <v>86.36</v>
      </c>
      <c r="DK5" s="766">
        <v>86.51</v>
      </c>
      <c r="DL5" s="766">
        <v>86.65</v>
      </c>
      <c r="DM5" s="766">
        <v>86.79</v>
      </c>
      <c r="DN5" s="766">
        <v>86.92</v>
      </c>
      <c r="DO5" s="766">
        <v>87.06</v>
      </c>
      <c r="DP5" s="766">
        <v>87.2</v>
      </c>
      <c r="DQ5" s="766">
        <v>87.33</v>
      </c>
      <c r="DR5" s="766">
        <v>87.47</v>
      </c>
    </row>
    <row r="6" spans="1:122">
      <c r="A6" s="944">
        <v>4</v>
      </c>
      <c r="B6" s="96"/>
      <c r="C6" s="96"/>
      <c r="D6" s="96"/>
      <c r="E6" s="96"/>
      <c r="F6" s="96"/>
      <c r="G6" s="96"/>
      <c r="H6" s="96"/>
      <c r="I6" s="96"/>
      <c r="J6" s="96"/>
      <c r="K6" s="96"/>
      <c r="L6" s="96"/>
      <c r="M6" s="96"/>
      <c r="N6" s="96"/>
      <c r="O6" s="96"/>
      <c r="P6" s="96"/>
      <c r="Q6" s="96"/>
      <c r="R6" s="96"/>
      <c r="S6" s="96"/>
      <c r="T6" s="96"/>
      <c r="U6" s="96"/>
      <c r="V6" s="766"/>
      <c r="W6" s="766">
        <v>66.09</v>
      </c>
      <c r="X6" s="766">
        <v>66.31</v>
      </c>
      <c r="Y6" s="766">
        <v>66.37</v>
      </c>
      <c r="Z6" s="766">
        <v>66.599999999999994</v>
      </c>
      <c r="AA6" s="766">
        <v>66.84</v>
      </c>
      <c r="AB6" s="766">
        <v>67.12</v>
      </c>
      <c r="AC6" s="766">
        <v>67.260000000000005</v>
      </c>
      <c r="AD6" s="766">
        <v>67.36</v>
      </c>
      <c r="AE6" s="766">
        <v>67.58</v>
      </c>
      <c r="AF6" s="766">
        <v>67.88</v>
      </c>
      <c r="AG6" s="766">
        <v>68.2</v>
      </c>
      <c r="AH6" s="766">
        <v>68.59</v>
      </c>
      <c r="AI6" s="766">
        <v>68.94</v>
      </c>
      <c r="AJ6" s="766">
        <v>69.33</v>
      </c>
      <c r="AK6" s="766">
        <v>69.63</v>
      </c>
      <c r="AL6" s="766">
        <v>70.010000000000005</v>
      </c>
      <c r="AM6" s="766">
        <v>70.41</v>
      </c>
      <c r="AN6" s="766">
        <v>70.7</v>
      </c>
      <c r="AO6" s="766">
        <v>70.91</v>
      </c>
      <c r="AP6" s="766">
        <v>71.22</v>
      </c>
      <c r="AQ6" s="766">
        <v>71.53</v>
      </c>
      <c r="AR6" s="766">
        <v>72.03</v>
      </c>
      <c r="AS6" s="766">
        <v>72.180000000000007</v>
      </c>
      <c r="AT6" s="766">
        <v>72.44</v>
      </c>
      <c r="AU6" s="766">
        <v>72.56</v>
      </c>
      <c r="AV6" s="766">
        <v>72.680000000000007</v>
      </c>
      <c r="AW6" s="766">
        <v>73.06</v>
      </c>
      <c r="AX6" s="766">
        <v>73.27</v>
      </c>
      <c r="AY6" s="766">
        <v>73.36</v>
      </c>
      <c r="AZ6" s="766">
        <v>73.41</v>
      </c>
      <c r="BA6" s="766">
        <v>73.48</v>
      </c>
      <c r="BB6" s="766">
        <v>73.650000000000006</v>
      </c>
      <c r="BC6" s="766">
        <v>73.790000000000006</v>
      </c>
      <c r="BD6" s="766">
        <v>73.959999999999994</v>
      </c>
      <c r="BE6" s="766">
        <v>74.17</v>
      </c>
      <c r="BF6" s="766">
        <v>74.400000000000006</v>
      </c>
      <c r="BG6" s="766">
        <v>74.569999999999993</v>
      </c>
      <c r="BH6" s="766">
        <v>74.900000000000006</v>
      </c>
      <c r="BI6" s="766">
        <v>75.12</v>
      </c>
      <c r="BJ6" s="766">
        <v>75.400000000000006</v>
      </c>
      <c r="BK6" s="766">
        <v>75.650000000000006</v>
      </c>
      <c r="BL6" s="766">
        <v>75.95</v>
      </c>
      <c r="BM6" s="766">
        <v>76.260000000000005</v>
      </c>
      <c r="BN6" s="766">
        <v>76.52</v>
      </c>
      <c r="BO6" s="766">
        <v>76.8</v>
      </c>
      <c r="BP6" s="766">
        <v>77.05</v>
      </c>
      <c r="BQ6" s="766">
        <v>77.3</v>
      </c>
      <c r="BR6" s="766">
        <v>77.55</v>
      </c>
      <c r="BS6" s="766">
        <v>77.760000000000005</v>
      </c>
      <c r="BT6" s="888">
        <v>77.98</v>
      </c>
      <c r="BU6" s="766">
        <v>78.150000000000006</v>
      </c>
      <c r="BV6" s="766">
        <v>78.37</v>
      </c>
      <c r="BW6" s="766">
        <v>78.58</v>
      </c>
      <c r="BX6" s="766">
        <v>78.790000000000006</v>
      </c>
      <c r="BY6" s="766">
        <v>78.98</v>
      </c>
      <c r="BZ6" s="766">
        <v>79.180000000000007</v>
      </c>
      <c r="CA6" s="766">
        <v>79.36</v>
      </c>
      <c r="CB6" s="766">
        <v>79.53</v>
      </c>
      <c r="CC6" s="766">
        <v>79.739999999999995</v>
      </c>
      <c r="CD6" s="766">
        <v>79.95</v>
      </c>
      <c r="CE6" s="766">
        <v>80.14</v>
      </c>
      <c r="CF6" s="766">
        <v>80.349999999999994</v>
      </c>
      <c r="CG6" s="766">
        <v>80.56</v>
      </c>
      <c r="CH6" s="766">
        <v>80.739999999999995</v>
      </c>
      <c r="CI6" s="766">
        <v>80.97</v>
      </c>
      <c r="CJ6" s="766">
        <v>81.150000000000006</v>
      </c>
      <c r="CK6" s="766">
        <v>81.33</v>
      </c>
      <c r="CL6" s="766">
        <v>81.540000000000006</v>
      </c>
      <c r="CM6" s="766">
        <v>81.72</v>
      </c>
      <c r="CN6" s="766">
        <v>81.91</v>
      </c>
      <c r="CO6" s="766">
        <v>82.08</v>
      </c>
      <c r="CP6" s="766">
        <v>82.26</v>
      </c>
      <c r="CQ6" s="766">
        <v>82.44</v>
      </c>
      <c r="CR6" s="766">
        <v>82.59</v>
      </c>
      <c r="CS6" s="766">
        <v>82.77</v>
      </c>
      <c r="CT6" s="766">
        <v>82.94</v>
      </c>
      <c r="CU6" s="766">
        <v>83.1</v>
      </c>
      <c r="CV6" s="766">
        <v>83.25</v>
      </c>
      <c r="CW6" s="766">
        <v>83.41</v>
      </c>
      <c r="CX6" s="766">
        <v>83.58</v>
      </c>
      <c r="CY6" s="766">
        <v>83.74</v>
      </c>
      <c r="CZ6" s="766">
        <v>83.89</v>
      </c>
      <c r="DA6" s="766">
        <v>84.04</v>
      </c>
      <c r="DB6" s="766">
        <v>84.2</v>
      </c>
      <c r="DC6" s="766">
        <v>84.35</v>
      </c>
      <c r="DD6" s="766">
        <v>84.5</v>
      </c>
      <c r="DE6" s="766">
        <v>84.65</v>
      </c>
      <c r="DF6" s="766">
        <v>84.79</v>
      </c>
      <c r="DG6" s="766">
        <v>84.94</v>
      </c>
      <c r="DH6" s="766">
        <v>85.08</v>
      </c>
      <c r="DI6" s="766">
        <v>85.23</v>
      </c>
      <c r="DJ6" s="766">
        <v>85.37</v>
      </c>
      <c r="DK6" s="766">
        <v>85.52</v>
      </c>
      <c r="DL6" s="766">
        <v>85.66</v>
      </c>
      <c r="DM6" s="766">
        <v>85.8</v>
      </c>
      <c r="DN6" s="766">
        <v>85.94</v>
      </c>
      <c r="DO6" s="766">
        <v>86.07</v>
      </c>
      <c r="DP6" s="766">
        <v>86.21</v>
      </c>
      <c r="DQ6" s="766">
        <v>86.34</v>
      </c>
      <c r="DR6" s="766">
        <v>86.48</v>
      </c>
    </row>
    <row r="7" spans="1:122">
      <c r="A7" s="944">
        <v>5</v>
      </c>
      <c r="B7" s="96"/>
      <c r="C7" s="96"/>
      <c r="D7" s="96"/>
      <c r="E7" s="96"/>
      <c r="F7" s="96"/>
      <c r="G7" s="96"/>
      <c r="H7" s="96"/>
      <c r="I7" s="96"/>
      <c r="J7" s="96"/>
      <c r="K7" s="96"/>
      <c r="L7" s="96"/>
      <c r="M7" s="96"/>
      <c r="N7" s="96"/>
      <c r="O7" s="96"/>
      <c r="P7" s="96"/>
      <c r="Q7" s="96"/>
      <c r="R7" s="96"/>
      <c r="S7" s="96"/>
      <c r="T7" s="96"/>
      <c r="U7" s="96"/>
      <c r="V7" s="766"/>
      <c r="W7" s="766">
        <v>65.3</v>
      </c>
      <c r="X7" s="766">
        <v>65.52</v>
      </c>
      <c r="Y7" s="766">
        <v>65.59</v>
      </c>
      <c r="Z7" s="766">
        <v>65.81</v>
      </c>
      <c r="AA7" s="766">
        <v>66.09</v>
      </c>
      <c r="AB7" s="766">
        <v>66.349999999999994</v>
      </c>
      <c r="AC7" s="766">
        <v>66.459999999999994</v>
      </c>
      <c r="AD7" s="766">
        <v>66.540000000000006</v>
      </c>
      <c r="AE7" s="766">
        <v>66.77</v>
      </c>
      <c r="AF7" s="766">
        <v>67.069999999999993</v>
      </c>
      <c r="AG7" s="766">
        <v>67.42</v>
      </c>
      <c r="AH7" s="766">
        <v>67.81</v>
      </c>
      <c r="AI7" s="766">
        <v>68.150000000000006</v>
      </c>
      <c r="AJ7" s="766">
        <v>68.52</v>
      </c>
      <c r="AK7" s="766">
        <v>68.84</v>
      </c>
      <c r="AL7" s="766">
        <v>69.23</v>
      </c>
      <c r="AM7" s="766">
        <v>69.63</v>
      </c>
      <c r="AN7" s="766">
        <v>69.92</v>
      </c>
      <c r="AO7" s="766">
        <v>70.150000000000006</v>
      </c>
      <c r="AP7" s="766">
        <v>70.5</v>
      </c>
      <c r="AQ7" s="766">
        <v>70.86</v>
      </c>
      <c r="AR7" s="766">
        <v>71.239999999999995</v>
      </c>
      <c r="AS7" s="766">
        <v>71.39</v>
      </c>
      <c r="AT7" s="766">
        <v>71.569999999999993</v>
      </c>
      <c r="AU7" s="766">
        <v>71.67</v>
      </c>
      <c r="AV7" s="766">
        <v>71.790000000000006</v>
      </c>
      <c r="AW7" s="766">
        <v>72.17</v>
      </c>
      <c r="AX7" s="766">
        <v>72.36</v>
      </c>
      <c r="AY7" s="766">
        <v>72.45</v>
      </c>
      <c r="AZ7" s="766">
        <v>72.48</v>
      </c>
      <c r="BA7" s="766">
        <v>72.55</v>
      </c>
      <c r="BB7" s="766">
        <v>72.72</v>
      </c>
      <c r="BC7" s="766">
        <v>72.849999999999994</v>
      </c>
      <c r="BD7" s="766">
        <v>73.040000000000006</v>
      </c>
      <c r="BE7" s="766">
        <v>73.23</v>
      </c>
      <c r="BF7" s="766">
        <v>73.47</v>
      </c>
      <c r="BG7" s="766">
        <v>73.64</v>
      </c>
      <c r="BH7" s="766">
        <v>73.959999999999994</v>
      </c>
      <c r="BI7" s="766">
        <v>74.180000000000007</v>
      </c>
      <c r="BJ7" s="766">
        <v>74.459999999999994</v>
      </c>
      <c r="BK7" s="766">
        <v>74.709999999999994</v>
      </c>
      <c r="BL7" s="766">
        <v>75.010000000000005</v>
      </c>
      <c r="BM7" s="766">
        <v>75.319999999999993</v>
      </c>
      <c r="BN7" s="766">
        <v>75.58</v>
      </c>
      <c r="BO7" s="766">
        <v>75.86</v>
      </c>
      <c r="BP7" s="766">
        <v>76.11</v>
      </c>
      <c r="BQ7" s="766">
        <v>76.349999999999994</v>
      </c>
      <c r="BR7" s="766">
        <v>76.599999999999994</v>
      </c>
      <c r="BS7" s="766">
        <v>76.81</v>
      </c>
      <c r="BT7" s="888">
        <v>77.02</v>
      </c>
      <c r="BU7" s="766">
        <v>77.2</v>
      </c>
      <c r="BV7" s="766">
        <v>77.42</v>
      </c>
      <c r="BW7" s="766">
        <v>77.63</v>
      </c>
      <c r="BX7" s="766">
        <v>77.83</v>
      </c>
      <c r="BY7" s="766">
        <v>78.02</v>
      </c>
      <c r="BZ7" s="766">
        <v>78.209999999999994</v>
      </c>
      <c r="CA7" s="766">
        <v>78.39</v>
      </c>
      <c r="CB7" s="766">
        <v>78.56</v>
      </c>
      <c r="CC7" s="766">
        <v>78.77</v>
      </c>
      <c r="CD7" s="766">
        <v>78.98</v>
      </c>
      <c r="CE7" s="766">
        <v>79.17</v>
      </c>
      <c r="CF7" s="766">
        <v>79.37</v>
      </c>
      <c r="CG7" s="766">
        <v>79.59</v>
      </c>
      <c r="CH7" s="766">
        <v>79.77</v>
      </c>
      <c r="CI7" s="766">
        <v>79.989999999999995</v>
      </c>
      <c r="CJ7" s="766">
        <v>80.17</v>
      </c>
      <c r="CK7" s="766">
        <v>80.349999999999994</v>
      </c>
      <c r="CL7" s="766">
        <v>80.56</v>
      </c>
      <c r="CM7" s="766">
        <v>80.739999999999995</v>
      </c>
      <c r="CN7" s="766">
        <v>80.92</v>
      </c>
      <c r="CO7" s="766">
        <v>81.099999999999994</v>
      </c>
      <c r="CP7" s="766">
        <v>81.27</v>
      </c>
      <c r="CQ7" s="766">
        <v>81.45</v>
      </c>
      <c r="CR7" s="766">
        <v>81.61</v>
      </c>
      <c r="CS7" s="766">
        <v>81.78</v>
      </c>
      <c r="CT7" s="766">
        <v>81.95</v>
      </c>
      <c r="CU7" s="766">
        <v>82.11</v>
      </c>
      <c r="CV7" s="766">
        <v>82.26</v>
      </c>
      <c r="CW7" s="766">
        <v>82.42</v>
      </c>
      <c r="CX7" s="766">
        <v>82.59</v>
      </c>
      <c r="CY7" s="766">
        <v>82.75</v>
      </c>
      <c r="CZ7" s="766">
        <v>82.9</v>
      </c>
      <c r="DA7" s="766">
        <v>83.06</v>
      </c>
      <c r="DB7" s="766">
        <v>83.21</v>
      </c>
      <c r="DC7" s="766">
        <v>83.36</v>
      </c>
      <c r="DD7" s="766">
        <v>83.51</v>
      </c>
      <c r="DE7" s="766">
        <v>83.66</v>
      </c>
      <c r="DF7" s="766">
        <v>83.8</v>
      </c>
      <c r="DG7" s="766">
        <v>83.95</v>
      </c>
      <c r="DH7" s="766">
        <v>84.09</v>
      </c>
      <c r="DI7" s="766">
        <v>84.24</v>
      </c>
      <c r="DJ7" s="766">
        <v>84.38</v>
      </c>
      <c r="DK7" s="766">
        <v>84.53</v>
      </c>
      <c r="DL7" s="766">
        <v>84.67</v>
      </c>
      <c r="DM7" s="766">
        <v>84.81</v>
      </c>
      <c r="DN7" s="766">
        <v>84.94</v>
      </c>
      <c r="DO7" s="766">
        <v>85.08</v>
      </c>
      <c r="DP7" s="766">
        <v>85.22</v>
      </c>
      <c r="DQ7" s="766">
        <v>85.35</v>
      </c>
      <c r="DR7" s="766">
        <v>85.48</v>
      </c>
    </row>
    <row r="8" spans="1:122">
      <c r="A8" s="944">
        <v>6</v>
      </c>
      <c r="B8" s="96"/>
      <c r="C8" s="96"/>
      <c r="D8" s="96"/>
      <c r="E8" s="96"/>
      <c r="F8" s="96"/>
      <c r="G8" s="96"/>
      <c r="H8" s="96"/>
      <c r="I8" s="96"/>
      <c r="J8" s="96"/>
      <c r="K8" s="96"/>
      <c r="L8" s="96"/>
      <c r="M8" s="96"/>
      <c r="N8" s="96"/>
      <c r="O8" s="96"/>
      <c r="P8" s="96"/>
      <c r="Q8" s="96"/>
      <c r="R8" s="96"/>
      <c r="S8" s="96"/>
      <c r="T8" s="96"/>
      <c r="U8" s="96"/>
      <c r="V8" s="766"/>
      <c r="W8" s="766">
        <v>64.459999999999994</v>
      </c>
      <c r="X8" s="766">
        <v>64.69</v>
      </c>
      <c r="Y8" s="766">
        <v>64.760000000000005</v>
      </c>
      <c r="Z8" s="766">
        <v>65.010000000000005</v>
      </c>
      <c r="AA8" s="766">
        <v>65.28</v>
      </c>
      <c r="AB8" s="766">
        <v>65.52</v>
      </c>
      <c r="AC8" s="766">
        <v>65.61</v>
      </c>
      <c r="AD8" s="766">
        <v>65.7</v>
      </c>
      <c r="AE8" s="766">
        <v>65.92</v>
      </c>
      <c r="AF8" s="766">
        <v>66.25</v>
      </c>
      <c r="AG8" s="766">
        <v>66.599999999999994</v>
      </c>
      <c r="AH8" s="766">
        <v>66.989999999999995</v>
      </c>
      <c r="AI8" s="766">
        <v>67.31</v>
      </c>
      <c r="AJ8" s="766">
        <v>67.7</v>
      </c>
      <c r="AK8" s="766">
        <v>68.02</v>
      </c>
      <c r="AL8" s="766">
        <v>68.41</v>
      </c>
      <c r="AM8" s="766">
        <v>68.81</v>
      </c>
      <c r="AN8" s="766">
        <v>69.12</v>
      </c>
      <c r="AO8" s="766">
        <v>69.38</v>
      </c>
      <c r="AP8" s="766">
        <v>69.77</v>
      </c>
      <c r="AQ8" s="766">
        <v>70.02</v>
      </c>
      <c r="AR8" s="766">
        <v>70.400000000000006</v>
      </c>
      <c r="AS8" s="766">
        <v>70.5</v>
      </c>
      <c r="AT8" s="766">
        <v>70.66</v>
      </c>
      <c r="AU8" s="766">
        <v>70.760000000000005</v>
      </c>
      <c r="AV8" s="766">
        <v>70.87</v>
      </c>
      <c r="AW8" s="766">
        <v>71.239999999999995</v>
      </c>
      <c r="AX8" s="766">
        <v>71.42</v>
      </c>
      <c r="AY8" s="766">
        <v>71.52</v>
      </c>
      <c r="AZ8" s="766">
        <v>71.55</v>
      </c>
      <c r="BA8" s="766">
        <v>71.61</v>
      </c>
      <c r="BB8" s="766">
        <v>71.78</v>
      </c>
      <c r="BC8" s="766">
        <v>71.91</v>
      </c>
      <c r="BD8" s="766">
        <v>72.09</v>
      </c>
      <c r="BE8" s="766">
        <v>72.290000000000006</v>
      </c>
      <c r="BF8" s="766">
        <v>72.52</v>
      </c>
      <c r="BG8" s="766">
        <v>72.69</v>
      </c>
      <c r="BH8" s="766">
        <v>73.010000000000005</v>
      </c>
      <c r="BI8" s="766">
        <v>73.22</v>
      </c>
      <c r="BJ8" s="766">
        <v>73.510000000000005</v>
      </c>
      <c r="BK8" s="766">
        <v>73.760000000000005</v>
      </c>
      <c r="BL8" s="766">
        <v>74.069999999999993</v>
      </c>
      <c r="BM8" s="766">
        <v>74.37</v>
      </c>
      <c r="BN8" s="766">
        <v>74.64</v>
      </c>
      <c r="BO8" s="766">
        <v>74.91</v>
      </c>
      <c r="BP8" s="766">
        <v>75.17</v>
      </c>
      <c r="BQ8" s="766">
        <v>75.400000000000006</v>
      </c>
      <c r="BR8" s="766">
        <v>75.650000000000006</v>
      </c>
      <c r="BS8" s="766">
        <v>75.86</v>
      </c>
      <c r="BT8" s="888">
        <v>76.06</v>
      </c>
      <c r="BU8" s="766">
        <v>76.239999999999995</v>
      </c>
      <c r="BV8" s="766">
        <v>76.45</v>
      </c>
      <c r="BW8" s="766">
        <v>76.66</v>
      </c>
      <c r="BX8" s="766">
        <v>76.87</v>
      </c>
      <c r="BY8" s="766">
        <v>77.06</v>
      </c>
      <c r="BZ8" s="766">
        <v>77.239999999999995</v>
      </c>
      <c r="CA8" s="766">
        <v>77.430000000000007</v>
      </c>
      <c r="CB8" s="766">
        <v>77.59</v>
      </c>
      <c r="CC8" s="766">
        <v>77.790000000000006</v>
      </c>
      <c r="CD8" s="766">
        <v>78</v>
      </c>
      <c r="CE8" s="766">
        <v>78.19</v>
      </c>
      <c r="CF8" s="766">
        <v>78.400000000000006</v>
      </c>
      <c r="CG8" s="766">
        <v>78.61</v>
      </c>
      <c r="CH8" s="766">
        <v>78.790000000000006</v>
      </c>
      <c r="CI8" s="766">
        <v>79.02</v>
      </c>
      <c r="CJ8" s="766">
        <v>79.2</v>
      </c>
      <c r="CK8" s="766">
        <v>79.37</v>
      </c>
      <c r="CL8" s="766">
        <v>79.569999999999993</v>
      </c>
      <c r="CM8" s="766">
        <v>79.760000000000005</v>
      </c>
      <c r="CN8" s="766">
        <v>79.94</v>
      </c>
      <c r="CO8" s="766">
        <v>80.11</v>
      </c>
      <c r="CP8" s="766">
        <v>80.290000000000006</v>
      </c>
      <c r="CQ8" s="766">
        <v>80.459999999999994</v>
      </c>
      <c r="CR8" s="766">
        <v>80.62</v>
      </c>
      <c r="CS8" s="766">
        <v>80.790000000000006</v>
      </c>
      <c r="CT8" s="766">
        <v>80.959999999999994</v>
      </c>
      <c r="CU8" s="766">
        <v>81.12</v>
      </c>
      <c r="CV8" s="766">
        <v>81.27</v>
      </c>
      <c r="CW8" s="766">
        <v>81.44</v>
      </c>
      <c r="CX8" s="766">
        <v>81.599999999999994</v>
      </c>
      <c r="CY8" s="766">
        <v>81.760000000000005</v>
      </c>
      <c r="CZ8" s="766">
        <v>81.91</v>
      </c>
      <c r="DA8" s="766">
        <v>82.06</v>
      </c>
      <c r="DB8" s="766">
        <v>82.22</v>
      </c>
      <c r="DC8" s="766">
        <v>82.37</v>
      </c>
      <c r="DD8" s="766">
        <v>82.52</v>
      </c>
      <c r="DE8" s="766">
        <v>82.67</v>
      </c>
      <c r="DF8" s="766">
        <v>82.81</v>
      </c>
      <c r="DG8" s="766">
        <v>82.96</v>
      </c>
      <c r="DH8" s="766">
        <v>83.1</v>
      </c>
      <c r="DI8" s="766">
        <v>83.25</v>
      </c>
      <c r="DJ8" s="766">
        <v>83.39</v>
      </c>
      <c r="DK8" s="766">
        <v>83.53</v>
      </c>
      <c r="DL8" s="766">
        <v>83.67</v>
      </c>
      <c r="DM8" s="766">
        <v>83.81</v>
      </c>
      <c r="DN8" s="766">
        <v>83.95</v>
      </c>
      <c r="DO8" s="766">
        <v>84.09</v>
      </c>
      <c r="DP8" s="766">
        <v>84.22</v>
      </c>
      <c r="DQ8" s="766">
        <v>84.36</v>
      </c>
      <c r="DR8" s="766">
        <v>84.49</v>
      </c>
    </row>
    <row r="9" spans="1:122">
      <c r="A9" s="944">
        <v>7</v>
      </c>
      <c r="B9" s="96"/>
      <c r="C9" s="96"/>
      <c r="D9" s="96"/>
      <c r="E9" s="96"/>
      <c r="F9" s="96"/>
      <c r="G9" s="96"/>
      <c r="H9" s="96"/>
      <c r="I9" s="96"/>
      <c r="J9" s="96"/>
      <c r="K9" s="96"/>
      <c r="L9" s="96"/>
      <c r="M9" s="96"/>
      <c r="N9" s="96"/>
      <c r="O9" s="96"/>
      <c r="P9" s="96"/>
      <c r="Q9" s="96"/>
      <c r="R9" s="96"/>
      <c r="S9" s="96"/>
      <c r="T9" s="96"/>
      <c r="U9" s="96"/>
      <c r="V9" s="766"/>
      <c r="W9" s="766">
        <v>63.59</v>
      </c>
      <c r="X9" s="766">
        <v>63.84</v>
      </c>
      <c r="Y9" s="766">
        <v>63.93</v>
      </c>
      <c r="Z9" s="766">
        <v>64.19</v>
      </c>
      <c r="AA9" s="766">
        <v>64.430000000000007</v>
      </c>
      <c r="AB9" s="766">
        <v>64.66</v>
      </c>
      <c r="AC9" s="766">
        <v>64.75</v>
      </c>
      <c r="AD9" s="766">
        <v>64.84</v>
      </c>
      <c r="AE9" s="766">
        <v>65.09</v>
      </c>
      <c r="AF9" s="766">
        <v>65.42</v>
      </c>
      <c r="AG9" s="766">
        <v>65.760000000000005</v>
      </c>
      <c r="AH9" s="766">
        <v>66.14</v>
      </c>
      <c r="AI9" s="766">
        <v>66.47</v>
      </c>
      <c r="AJ9" s="766">
        <v>66.86</v>
      </c>
      <c r="AK9" s="766">
        <v>67.19</v>
      </c>
      <c r="AL9" s="766">
        <v>67.569999999999993</v>
      </c>
      <c r="AM9" s="766">
        <v>67.989999999999995</v>
      </c>
      <c r="AN9" s="766">
        <v>68.319999999999993</v>
      </c>
      <c r="AO9" s="766">
        <v>68.63</v>
      </c>
      <c r="AP9" s="766">
        <v>68.900000000000006</v>
      </c>
      <c r="AQ9" s="766">
        <v>69.150000000000006</v>
      </c>
      <c r="AR9" s="766">
        <v>69.489999999999995</v>
      </c>
      <c r="AS9" s="766">
        <v>69.569999999999993</v>
      </c>
      <c r="AT9" s="766">
        <v>69.73</v>
      </c>
      <c r="AU9" s="766">
        <v>69.83</v>
      </c>
      <c r="AV9" s="766">
        <v>69.930000000000007</v>
      </c>
      <c r="AW9" s="766">
        <v>70.290000000000006</v>
      </c>
      <c r="AX9" s="766">
        <v>70.48</v>
      </c>
      <c r="AY9" s="766">
        <v>70.58</v>
      </c>
      <c r="AZ9" s="766">
        <v>70.61</v>
      </c>
      <c r="BA9" s="766">
        <v>70.67</v>
      </c>
      <c r="BB9" s="766">
        <v>70.83</v>
      </c>
      <c r="BC9" s="766">
        <v>70.95</v>
      </c>
      <c r="BD9" s="766">
        <v>71.150000000000006</v>
      </c>
      <c r="BE9" s="766">
        <v>71.34</v>
      </c>
      <c r="BF9" s="766">
        <v>71.569999999999993</v>
      </c>
      <c r="BG9" s="766">
        <v>71.73</v>
      </c>
      <c r="BH9" s="766">
        <v>72.06</v>
      </c>
      <c r="BI9" s="766">
        <v>72.27</v>
      </c>
      <c r="BJ9" s="766">
        <v>72.56</v>
      </c>
      <c r="BK9" s="766">
        <v>72.81</v>
      </c>
      <c r="BL9" s="766">
        <v>73.12</v>
      </c>
      <c r="BM9" s="766">
        <v>73.42</v>
      </c>
      <c r="BN9" s="766">
        <v>73.69</v>
      </c>
      <c r="BO9" s="766">
        <v>73.959999999999994</v>
      </c>
      <c r="BP9" s="766">
        <v>74.209999999999994</v>
      </c>
      <c r="BQ9" s="766">
        <v>74.44</v>
      </c>
      <c r="BR9" s="766">
        <v>74.69</v>
      </c>
      <c r="BS9" s="766">
        <v>74.900000000000006</v>
      </c>
      <c r="BT9" s="888">
        <v>75.099999999999994</v>
      </c>
      <c r="BU9" s="766">
        <v>75.27</v>
      </c>
      <c r="BV9" s="766">
        <v>75.489999999999995</v>
      </c>
      <c r="BW9" s="766">
        <v>75.69</v>
      </c>
      <c r="BX9" s="766">
        <v>75.900000000000006</v>
      </c>
      <c r="BY9" s="766">
        <v>76.09</v>
      </c>
      <c r="BZ9" s="766">
        <v>76.27</v>
      </c>
      <c r="CA9" s="766">
        <v>76.45</v>
      </c>
      <c r="CB9" s="766">
        <v>76.61</v>
      </c>
      <c r="CC9" s="766">
        <v>76.819999999999993</v>
      </c>
      <c r="CD9" s="766">
        <v>77.02</v>
      </c>
      <c r="CE9" s="766">
        <v>77.22</v>
      </c>
      <c r="CF9" s="766">
        <v>77.42</v>
      </c>
      <c r="CG9" s="766">
        <v>77.62</v>
      </c>
      <c r="CH9" s="766">
        <v>77.81</v>
      </c>
      <c r="CI9" s="766">
        <v>78.03</v>
      </c>
      <c r="CJ9" s="766">
        <v>78.209999999999994</v>
      </c>
      <c r="CK9" s="766">
        <v>78.39</v>
      </c>
      <c r="CL9" s="766">
        <v>78.58</v>
      </c>
      <c r="CM9" s="766">
        <v>78.78</v>
      </c>
      <c r="CN9" s="766">
        <v>78.95</v>
      </c>
      <c r="CO9" s="766">
        <v>79.12</v>
      </c>
      <c r="CP9" s="766">
        <v>79.3</v>
      </c>
      <c r="CQ9" s="766">
        <v>79.47</v>
      </c>
      <c r="CR9" s="766">
        <v>79.63</v>
      </c>
      <c r="CS9" s="766">
        <v>79.8</v>
      </c>
      <c r="CT9" s="766">
        <v>79.98</v>
      </c>
      <c r="CU9" s="766">
        <v>80.13</v>
      </c>
      <c r="CV9" s="766">
        <v>80.28</v>
      </c>
      <c r="CW9" s="766">
        <v>80.44</v>
      </c>
      <c r="CX9" s="766">
        <v>80.599999999999994</v>
      </c>
      <c r="CY9" s="766">
        <v>80.77</v>
      </c>
      <c r="CZ9" s="766">
        <v>80.92</v>
      </c>
      <c r="DA9" s="766">
        <v>81.069999999999993</v>
      </c>
      <c r="DB9" s="766">
        <v>81.23</v>
      </c>
      <c r="DC9" s="766">
        <v>81.37</v>
      </c>
      <c r="DD9" s="766">
        <v>81.53</v>
      </c>
      <c r="DE9" s="766">
        <v>81.680000000000007</v>
      </c>
      <c r="DF9" s="766">
        <v>81.819999999999993</v>
      </c>
      <c r="DG9" s="766">
        <v>81.97</v>
      </c>
      <c r="DH9" s="766">
        <v>82.11</v>
      </c>
      <c r="DI9" s="766">
        <v>82.25</v>
      </c>
      <c r="DJ9" s="766">
        <v>82.4</v>
      </c>
      <c r="DK9" s="766">
        <v>82.54</v>
      </c>
      <c r="DL9" s="766">
        <v>82.68</v>
      </c>
      <c r="DM9" s="766">
        <v>82.82</v>
      </c>
      <c r="DN9" s="766">
        <v>82.96</v>
      </c>
      <c r="DO9" s="766">
        <v>83.09</v>
      </c>
      <c r="DP9" s="766">
        <v>83.23</v>
      </c>
      <c r="DQ9" s="766">
        <v>83.36</v>
      </c>
      <c r="DR9" s="766">
        <v>83.5</v>
      </c>
    </row>
    <row r="10" spans="1:122">
      <c r="A10" s="944">
        <v>8</v>
      </c>
      <c r="B10" s="96"/>
      <c r="C10" s="96"/>
      <c r="D10" s="96"/>
      <c r="E10" s="96"/>
      <c r="F10" s="96"/>
      <c r="G10" s="96"/>
      <c r="H10" s="96"/>
      <c r="I10" s="96"/>
      <c r="J10" s="96"/>
      <c r="K10" s="96"/>
      <c r="L10" s="96"/>
      <c r="M10" s="96"/>
      <c r="N10" s="96"/>
      <c r="O10" s="96"/>
      <c r="P10" s="96"/>
      <c r="Q10" s="96"/>
      <c r="R10" s="96"/>
      <c r="S10" s="96"/>
      <c r="T10" s="96"/>
      <c r="U10" s="96"/>
      <c r="V10" s="766"/>
      <c r="W10" s="766">
        <v>62.72</v>
      </c>
      <c r="X10" s="766">
        <v>62.98</v>
      </c>
      <c r="Y10" s="766">
        <v>63.07</v>
      </c>
      <c r="Z10" s="766">
        <v>63.3</v>
      </c>
      <c r="AA10" s="766">
        <v>63.56</v>
      </c>
      <c r="AB10" s="766">
        <v>63.79</v>
      </c>
      <c r="AC10" s="766">
        <v>63.88</v>
      </c>
      <c r="AD10" s="766">
        <v>63.98</v>
      </c>
      <c r="AE10" s="766">
        <v>64.23</v>
      </c>
      <c r="AF10" s="766">
        <v>64.55</v>
      </c>
      <c r="AG10" s="766">
        <v>64.89</v>
      </c>
      <c r="AH10" s="766">
        <v>65.27</v>
      </c>
      <c r="AI10" s="766">
        <v>65.61</v>
      </c>
      <c r="AJ10" s="766">
        <v>66</v>
      </c>
      <c r="AK10" s="766">
        <v>66.33</v>
      </c>
      <c r="AL10" s="766">
        <v>66.72</v>
      </c>
      <c r="AM10" s="766">
        <v>67.17</v>
      </c>
      <c r="AN10" s="766">
        <v>67.540000000000006</v>
      </c>
      <c r="AO10" s="766">
        <v>67.739999999999995</v>
      </c>
      <c r="AP10" s="766">
        <v>68.02</v>
      </c>
      <c r="AQ10" s="766">
        <v>68.239999999999995</v>
      </c>
      <c r="AR10" s="766">
        <v>68.55</v>
      </c>
      <c r="AS10" s="766">
        <v>68.63</v>
      </c>
      <c r="AT10" s="766">
        <v>68.8</v>
      </c>
      <c r="AU10" s="766">
        <v>68.88</v>
      </c>
      <c r="AV10" s="766">
        <v>68.989999999999995</v>
      </c>
      <c r="AW10" s="766">
        <v>69.34</v>
      </c>
      <c r="AX10" s="766">
        <v>69.53</v>
      </c>
      <c r="AY10" s="766">
        <v>69.63</v>
      </c>
      <c r="AZ10" s="766">
        <v>69.66</v>
      </c>
      <c r="BA10" s="766">
        <v>69.709999999999994</v>
      </c>
      <c r="BB10" s="766">
        <v>69.88</v>
      </c>
      <c r="BC10" s="766">
        <v>69.989999999999995</v>
      </c>
      <c r="BD10" s="766">
        <v>70.19</v>
      </c>
      <c r="BE10" s="766">
        <v>70.38</v>
      </c>
      <c r="BF10" s="766">
        <v>70.62</v>
      </c>
      <c r="BG10" s="766">
        <v>70.77</v>
      </c>
      <c r="BH10" s="766">
        <v>71.099999999999994</v>
      </c>
      <c r="BI10" s="766">
        <v>71.31</v>
      </c>
      <c r="BJ10" s="766">
        <v>71.61</v>
      </c>
      <c r="BK10" s="766">
        <v>71.849999999999994</v>
      </c>
      <c r="BL10" s="766">
        <v>72.16</v>
      </c>
      <c r="BM10" s="766">
        <v>72.459999999999994</v>
      </c>
      <c r="BN10" s="766">
        <v>72.73</v>
      </c>
      <c r="BO10" s="766">
        <v>73.010000000000005</v>
      </c>
      <c r="BP10" s="766">
        <v>73.25</v>
      </c>
      <c r="BQ10" s="766">
        <v>73.48</v>
      </c>
      <c r="BR10" s="766">
        <v>73.72</v>
      </c>
      <c r="BS10" s="766">
        <v>73.930000000000007</v>
      </c>
      <c r="BT10" s="888">
        <v>74.14</v>
      </c>
      <c r="BU10" s="766">
        <v>74.31</v>
      </c>
      <c r="BV10" s="766">
        <v>74.52</v>
      </c>
      <c r="BW10" s="766">
        <v>74.72</v>
      </c>
      <c r="BX10" s="766">
        <v>74.930000000000007</v>
      </c>
      <c r="BY10" s="766">
        <v>75.11</v>
      </c>
      <c r="BZ10" s="766">
        <v>75.290000000000006</v>
      </c>
      <c r="CA10" s="766">
        <v>75.47</v>
      </c>
      <c r="CB10" s="766">
        <v>75.64</v>
      </c>
      <c r="CC10" s="766">
        <v>75.83</v>
      </c>
      <c r="CD10" s="766">
        <v>76.040000000000006</v>
      </c>
      <c r="CE10" s="766">
        <v>76.239999999999995</v>
      </c>
      <c r="CF10" s="766">
        <v>76.44</v>
      </c>
      <c r="CG10" s="766">
        <v>76.650000000000006</v>
      </c>
      <c r="CH10" s="766">
        <v>76.819999999999993</v>
      </c>
      <c r="CI10" s="766">
        <v>77.05</v>
      </c>
      <c r="CJ10" s="766">
        <v>77.23</v>
      </c>
      <c r="CK10" s="766">
        <v>77.400000000000006</v>
      </c>
      <c r="CL10" s="766">
        <v>77.599999999999994</v>
      </c>
      <c r="CM10" s="766">
        <v>77.78</v>
      </c>
      <c r="CN10" s="766">
        <v>77.97</v>
      </c>
      <c r="CO10" s="766">
        <v>78.13</v>
      </c>
      <c r="CP10" s="766">
        <v>78.31</v>
      </c>
      <c r="CQ10" s="766">
        <v>78.48</v>
      </c>
      <c r="CR10" s="766">
        <v>78.64</v>
      </c>
      <c r="CS10" s="766">
        <v>78.81</v>
      </c>
      <c r="CT10" s="766">
        <v>78.989999999999995</v>
      </c>
      <c r="CU10" s="766">
        <v>79.13</v>
      </c>
      <c r="CV10" s="766">
        <v>79.290000000000006</v>
      </c>
      <c r="CW10" s="766">
        <v>79.45</v>
      </c>
      <c r="CX10" s="766">
        <v>79.61</v>
      </c>
      <c r="CY10" s="766">
        <v>79.78</v>
      </c>
      <c r="CZ10" s="766">
        <v>79.930000000000007</v>
      </c>
      <c r="DA10" s="766">
        <v>80.08</v>
      </c>
      <c r="DB10" s="766">
        <v>80.239999999999995</v>
      </c>
      <c r="DC10" s="766">
        <v>80.38</v>
      </c>
      <c r="DD10" s="766">
        <v>80.53</v>
      </c>
      <c r="DE10" s="766">
        <v>80.680000000000007</v>
      </c>
      <c r="DF10" s="766">
        <v>80.819999999999993</v>
      </c>
      <c r="DG10" s="766">
        <v>80.97</v>
      </c>
      <c r="DH10" s="766">
        <v>81.12</v>
      </c>
      <c r="DI10" s="766">
        <v>81.260000000000005</v>
      </c>
      <c r="DJ10" s="766">
        <v>81.41</v>
      </c>
      <c r="DK10" s="766">
        <v>81.55</v>
      </c>
      <c r="DL10" s="766">
        <v>81.69</v>
      </c>
      <c r="DM10" s="766">
        <v>81.83</v>
      </c>
      <c r="DN10" s="766">
        <v>81.96</v>
      </c>
      <c r="DO10" s="766">
        <v>82.1</v>
      </c>
      <c r="DP10" s="766">
        <v>82.23</v>
      </c>
      <c r="DQ10" s="766">
        <v>82.37</v>
      </c>
      <c r="DR10" s="766">
        <v>82.5</v>
      </c>
    </row>
    <row r="11" spans="1:122">
      <c r="A11" s="944">
        <v>9</v>
      </c>
      <c r="B11" s="96"/>
      <c r="C11" s="96"/>
      <c r="D11" s="96"/>
      <c r="E11" s="96"/>
      <c r="F11" s="96"/>
      <c r="G11" s="96"/>
      <c r="H11" s="96"/>
      <c r="I11" s="96"/>
      <c r="J11" s="96"/>
      <c r="K11" s="96"/>
      <c r="L11" s="96"/>
      <c r="M11" s="96"/>
      <c r="N11" s="96"/>
      <c r="O11" s="96"/>
      <c r="P11" s="96"/>
      <c r="Q11" s="96"/>
      <c r="R11" s="96"/>
      <c r="S11" s="96"/>
      <c r="T11" s="96"/>
      <c r="U11" s="96"/>
      <c r="V11" s="766"/>
      <c r="W11" s="766">
        <v>61.84</v>
      </c>
      <c r="X11" s="766">
        <v>62.09</v>
      </c>
      <c r="Y11" s="766">
        <v>62.17</v>
      </c>
      <c r="Z11" s="766">
        <v>62.41</v>
      </c>
      <c r="AA11" s="766">
        <v>62.67</v>
      </c>
      <c r="AB11" s="766">
        <v>62.9</v>
      </c>
      <c r="AC11" s="766">
        <v>63.01</v>
      </c>
      <c r="AD11" s="766">
        <v>63.11</v>
      </c>
      <c r="AE11" s="766">
        <v>63.34</v>
      </c>
      <c r="AF11" s="766">
        <v>63.66</v>
      </c>
      <c r="AG11" s="766">
        <v>64.010000000000005</v>
      </c>
      <c r="AH11" s="766">
        <v>64.39</v>
      </c>
      <c r="AI11" s="766">
        <v>64.73</v>
      </c>
      <c r="AJ11" s="766">
        <v>65.13</v>
      </c>
      <c r="AK11" s="766">
        <v>65.459999999999994</v>
      </c>
      <c r="AL11" s="766">
        <v>65.88</v>
      </c>
      <c r="AM11" s="766">
        <v>66.349999999999994</v>
      </c>
      <c r="AN11" s="766">
        <v>66.64</v>
      </c>
      <c r="AO11" s="766">
        <v>66.84</v>
      </c>
      <c r="AP11" s="766">
        <v>67.099999999999994</v>
      </c>
      <c r="AQ11" s="766">
        <v>67.290000000000006</v>
      </c>
      <c r="AR11" s="766">
        <v>67.61</v>
      </c>
      <c r="AS11" s="766">
        <v>67.69</v>
      </c>
      <c r="AT11" s="766">
        <v>67.84</v>
      </c>
      <c r="AU11" s="766">
        <v>67.930000000000007</v>
      </c>
      <c r="AV11" s="766">
        <v>68.03</v>
      </c>
      <c r="AW11" s="766">
        <v>68.38</v>
      </c>
      <c r="AX11" s="766">
        <v>68.569999999999993</v>
      </c>
      <c r="AY11" s="766">
        <v>68.67</v>
      </c>
      <c r="AZ11" s="766">
        <v>68.7</v>
      </c>
      <c r="BA11" s="766">
        <v>68.75</v>
      </c>
      <c r="BB11" s="766">
        <v>68.92</v>
      </c>
      <c r="BC11" s="766">
        <v>69.040000000000006</v>
      </c>
      <c r="BD11" s="766">
        <v>69.23</v>
      </c>
      <c r="BE11" s="766">
        <v>69.42</v>
      </c>
      <c r="BF11" s="766">
        <v>69.66</v>
      </c>
      <c r="BG11" s="766">
        <v>69.819999999999993</v>
      </c>
      <c r="BH11" s="766">
        <v>70.150000000000006</v>
      </c>
      <c r="BI11" s="766">
        <v>70.36</v>
      </c>
      <c r="BJ11" s="766">
        <v>70.650000000000006</v>
      </c>
      <c r="BK11" s="766">
        <v>70.89</v>
      </c>
      <c r="BL11" s="766">
        <v>71.2</v>
      </c>
      <c r="BM11" s="766">
        <v>71.5</v>
      </c>
      <c r="BN11" s="766">
        <v>71.77</v>
      </c>
      <c r="BO11" s="766">
        <v>72.040000000000006</v>
      </c>
      <c r="BP11" s="766">
        <v>72.28</v>
      </c>
      <c r="BQ11" s="766">
        <v>72.510000000000005</v>
      </c>
      <c r="BR11" s="766">
        <v>72.75</v>
      </c>
      <c r="BS11" s="766">
        <v>72.959999999999994</v>
      </c>
      <c r="BT11" s="888">
        <v>73.17</v>
      </c>
      <c r="BU11" s="766">
        <v>73.33</v>
      </c>
      <c r="BV11" s="766">
        <v>73.55</v>
      </c>
      <c r="BW11" s="766">
        <v>73.75</v>
      </c>
      <c r="BX11" s="766">
        <v>73.95</v>
      </c>
      <c r="BY11" s="766">
        <v>74.13</v>
      </c>
      <c r="BZ11" s="766">
        <v>74.31</v>
      </c>
      <c r="CA11" s="766">
        <v>74.489999999999995</v>
      </c>
      <c r="CB11" s="766">
        <v>74.66</v>
      </c>
      <c r="CC11" s="766">
        <v>74.849999999999994</v>
      </c>
      <c r="CD11" s="766">
        <v>75.06</v>
      </c>
      <c r="CE11" s="766">
        <v>75.260000000000005</v>
      </c>
      <c r="CF11" s="766">
        <v>75.459999999999994</v>
      </c>
      <c r="CG11" s="766">
        <v>75.66</v>
      </c>
      <c r="CH11" s="766">
        <v>75.83</v>
      </c>
      <c r="CI11" s="766">
        <v>76.06</v>
      </c>
      <c r="CJ11" s="766">
        <v>76.239999999999995</v>
      </c>
      <c r="CK11" s="766">
        <v>76.41</v>
      </c>
      <c r="CL11" s="766">
        <v>76.61</v>
      </c>
      <c r="CM11" s="766">
        <v>76.8</v>
      </c>
      <c r="CN11" s="766">
        <v>76.98</v>
      </c>
      <c r="CO11" s="766">
        <v>77.150000000000006</v>
      </c>
      <c r="CP11" s="766">
        <v>77.319999999999993</v>
      </c>
      <c r="CQ11" s="766">
        <v>77.489999999999995</v>
      </c>
      <c r="CR11" s="766">
        <v>77.650000000000006</v>
      </c>
      <c r="CS11" s="766">
        <v>77.83</v>
      </c>
      <c r="CT11" s="766">
        <v>77.989999999999995</v>
      </c>
      <c r="CU11" s="766">
        <v>78.14</v>
      </c>
      <c r="CV11" s="766">
        <v>78.3</v>
      </c>
      <c r="CW11" s="766">
        <v>78.459999999999994</v>
      </c>
      <c r="CX11" s="766">
        <v>78.62</v>
      </c>
      <c r="CY11" s="766">
        <v>78.78</v>
      </c>
      <c r="CZ11" s="766">
        <v>78.94</v>
      </c>
      <c r="DA11" s="766">
        <v>79.08</v>
      </c>
      <c r="DB11" s="766">
        <v>79.239999999999995</v>
      </c>
      <c r="DC11" s="766">
        <v>79.39</v>
      </c>
      <c r="DD11" s="766">
        <v>79.540000000000006</v>
      </c>
      <c r="DE11" s="766">
        <v>79.69</v>
      </c>
      <c r="DF11" s="766">
        <v>79.83</v>
      </c>
      <c r="DG11" s="766">
        <v>79.98</v>
      </c>
      <c r="DH11" s="766">
        <v>80.12</v>
      </c>
      <c r="DI11" s="766">
        <v>80.27</v>
      </c>
      <c r="DJ11" s="766">
        <v>80.41</v>
      </c>
      <c r="DK11" s="766">
        <v>80.55</v>
      </c>
      <c r="DL11" s="766">
        <v>80.69</v>
      </c>
      <c r="DM11" s="766">
        <v>80.83</v>
      </c>
      <c r="DN11" s="766">
        <v>80.97</v>
      </c>
      <c r="DO11" s="766">
        <v>81.099999999999994</v>
      </c>
      <c r="DP11" s="766">
        <v>81.239999999999995</v>
      </c>
      <c r="DQ11" s="766">
        <v>81.37</v>
      </c>
      <c r="DR11" s="766">
        <v>81.5</v>
      </c>
    </row>
    <row r="12" spans="1:122">
      <c r="A12" s="944">
        <v>10</v>
      </c>
      <c r="B12" s="96"/>
      <c r="C12" s="96"/>
      <c r="D12" s="96"/>
      <c r="E12" s="96"/>
      <c r="F12" s="96"/>
      <c r="G12" s="96"/>
      <c r="H12" s="96"/>
      <c r="I12" s="96"/>
      <c r="J12" s="96"/>
      <c r="K12" s="96"/>
      <c r="L12" s="96"/>
      <c r="M12" s="96"/>
      <c r="N12" s="96"/>
      <c r="O12" s="96"/>
      <c r="P12" s="96"/>
      <c r="Q12" s="96"/>
      <c r="R12" s="96"/>
      <c r="S12" s="96"/>
      <c r="T12" s="96"/>
      <c r="U12" s="96"/>
      <c r="V12" s="766"/>
      <c r="W12" s="766">
        <v>60.94</v>
      </c>
      <c r="X12" s="766">
        <v>61.18</v>
      </c>
      <c r="Y12" s="766">
        <v>61.26</v>
      </c>
      <c r="Z12" s="766">
        <v>61.5</v>
      </c>
      <c r="AA12" s="766">
        <v>61.76</v>
      </c>
      <c r="AB12" s="766">
        <v>62.01</v>
      </c>
      <c r="AC12" s="766">
        <v>62.11</v>
      </c>
      <c r="AD12" s="766">
        <v>62.2</v>
      </c>
      <c r="AE12" s="766">
        <v>62.44</v>
      </c>
      <c r="AF12" s="766">
        <v>62.77</v>
      </c>
      <c r="AG12" s="766">
        <v>63.11</v>
      </c>
      <c r="AH12" s="766">
        <v>63.5</v>
      </c>
      <c r="AI12" s="766">
        <v>63.84</v>
      </c>
      <c r="AJ12" s="766">
        <v>64.239999999999995</v>
      </c>
      <c r="AK12" s="766">
        <v>64.59</v>
      </c>
      <c r="AL12" s="766">
        <v>65.040000000000006</v>
      </c>
      <c r="AM12" s="766">
        <v>65.45</v>
      </c>
      <c r="AN12" s="766">
        <v>65.739999999999995</v>
      </c>
      <c r="AO12" s="766">
        <v>65.92</v>
      </c>
      <c r="AP12" s="766">
        <v>66.150000000000006</v>
      </c>
      <c r="AQ12" s="766">
        <v>66.34</v>
      </c>
      <c r="AR12" s="766">
        <v>66.66</v>
      </c>
      <c r="AS12" s="766">
        <v>66.73</v>
      </c>
      <c r="AT12" s="766">
        <v>66.88</v>
      </c>
      <c r="AU12" s="766">
        <v>66.97</v>
      </c>
      <c r="AV12" s="766">
        <v>67.069999999999993</v>
      </c>
      <c r="AW12" s="766">
        <v>67.42</v>
      </c>
      <c r="AX12" s="766">
        <v>67.61</v>
      </c>
      <c r="AY12" s="766">
        <v>67.709999999999994</v>
      </c>
      <c r="AZ12" s="766">
        <v>67.739999999999995</v>
      </c>
      <c r="BA12" s="766">
        <v>67.790000000000006</v>
      </c>
      <c r="BB12" s="766">
        <v>67.95</v>
      </c>
      <c r="BC12" s="766">
        <v>68.069999999999993</v>
      </c>
      <c r="BD12" s="766">
        <v>68.260000000000005</v>
      </c>
      <c r="BE12" s="766">
        <v>68.459999999999994</v>
      </c>
      <c r="BF12" s="766">
        <v>68.69</v>
      </c>
      <c r="BG12" s="766">
        <v>68.849999999999994</v>
      </c>
      <c r="BH12" s="766">
        <v>69.180000000000007</v>
      </c>
      <c r="BI12" s="766">
        <v>69.39</v>
      </c>
      <c r="BJ12" s="766">
        <v>69.680000000000007</v>
      </c>
      <c r="BK12" s="766">
        <v>69.92</v>
      </c>
      <c r="BL12" s="766">
        <v>70.23</v>
      </c>
      <c r="BM12" s="766">
        <v>70.53</v>
      </c>
      <c r="BN12" s="766">
        <v>70.8</v>
      </c>
      <c r="BO12" s="766">
        <v>71.06</v>
      </c>
      <c r="BP12" s="766">
        <v>71.31</v>
      </c>
      <c r="BQ12" s="766">
        <v>71.540000000000006</v>
      </c>
      <c r="BR12" s="766">
        <v>71.78</v>
      </c>
      <c r="BS12" s="766">
        <v>71.98</v>
      </c>
      <c r="BT12" s="888">
        <v>72.19</v>
      </c>
      <c r="BU12" s="766">
        <v>72.36</v>
      </c>
      <c r="BV12" s="766">
        <v>72.569999999999993</v>
      </c>
      <c r="BW12" s="766">
        <v>72.77</v>
      </c>
      <c r="BX12" s="766">
        <v>72.98</v>
      </c>
      <c r="BY12" s="766">
        <v>73.150000000000006</v>
      </c>
      <c r="BZ12" s="766">
        <v>73.319999999999993</v>
      </c>
      <c r="CA12" s="766">
        <v>73.510000000000005</v>
      </c>
      <c r="CB12" s="766">
        <v>73.67</v>
      </c>
      <c r="CC12" s="766">
        <v>73.87</v>
      </c>
      <c r="CD12" s="766">
        <v>74.069999999999993</v>
      </c>
      <c r="CE12" s="766">
        <v>74.27</v>
      </c>
      <c r="CF12" s="766">
        <v>74.47</v>
      </c>
      <c r="CG12" s="766">
        <v>74.67</v>
      </c>
      <c r="CH12" s="766">
        <v>74.849999999999994</v>
      </c>
      <c r="CI12" s="766">
        <v>75.069999999999993</v>
      </c>
      <c r="CJ12" s="766">
        <v>75.25</v>
      </c>
      <c r="CK12" s="766">
        <v>75.42</v>
      </c>
      <c r="CL12" s="766">
        <v>75.62</v>
      </c>
      <c r="CM12" s="766">
        <v>75.8</v>
      </c>
      <c r="CN12" s="766">
        <v>75.989999999999995</v>
      </c>
      <c r="CO12" s="766">
        <v>76.16</v>
      </c>
      <c r="CP12" s="766">
        <v>76.319999999999993</v>
      </c>
      <c r="CQ12" s="766">
        <v>76.5</v>
      </c>
      <c r="CR12" s="766">
        <v>76.66</v>
      </c>
      <c r="CS12" s="766">
        <v>76.83</v>
      </c>
      <c r="CT12" s="766">
        <v>77</v>
      </c>
      <c r="CU12" s="766">
        <v>77.150000000000006</v>
      </c>
      <c r="CV12" s="766">
        <v>77.31</v>
      </c>
      <c r="CW12" s="766">
        <v>77.47</v>
      </c>
      <c r="CX12" s="766">
        <v>77.63</v>
      </c>
      <c r="CY12" s="766">
        <v>77.790000000000006</v>
      </c>
      <c r="CZ12" s="766">
        <v>77.94</v>
      </c>
      <c r="DA12" s="766">
        <v>78.09</v>
      </c>
      <c r="DB12" s="766">
        <v>78.25</v>
      </c>
      <c r="DC12" s="766">
        <v>78.400000000000006</v>
      </c>
      <c r="DD12" s="766">
        <v>78.540000000000006</v>
      </c>
      <c r="DE12" s="766">
        <v>78.69</v>
      </c>
      <c r="DF12" s="766">
        <v>78.84</v>
      </c>
      <c r="DG12" s="766">
        <v>78.989999999999995</v>
      </c>
      <c r="DH12" s="766">
        <v>79.13</v>
      </c>
      <c r="DI12" s="766">
        <v>79.27</v>
      </c>
      <c r="DJ12" s="766">
        <v>79.42</v>
      </c>
      <c r="DK12" s="766">
        <v>79.56</v>
      </c>
      <c r="DL12" s="766">
        <v>79.7</v>
      </c>
      <c r="DM12" s="766">
        <v>79.84</v>
      </c>
      <c r="DN12" s="766">
        <v>79.97</v>
      </c>
      <c r="DO12" s="766">
        <v>80.11</v>
      </c>
      <c r="DP12" s="766">
        <v>80.239999999999995</v>
      </c>
      <c r="DQ12" s="766">
        <v>80.38</v>
      </c>
      <c r="DR12" s="766">
        <v>80.510000000000005</v>
      </c>
    </row>
    <row r="13" spans="1:122">
      <c r="A13" s="944">
        <v>11</v>
      </c>
      <c r="B13" s="96"/>
      <c r="C13" s="96"/>
      <c r="D13" s="96"/>
      <c r="E13" s="96"/>
      <c r="F13" s="96"/>
      <c r="G13" s="96"/>
      <c r="H13" s="96"/>
      <c r="I13" s="96"/>
      <c r="J13" s="96"/>
      <c r="K13" s="96"/>
      <c r="L13" s="96"/>
      <c r="M13" s="96"/>
      <c r="N13" s="96"/>
      <c r="O13" s="96"/>
      <c r="P13" s="96"/>
      <c r="Q13" s="96"/>
      <c r="R13" s="96"/>
      <c r="S13" s="96"/>
      <c r="T13" s="96"/>
      <c r="U13" s="96"/>
      <c r="V13" s="766"/>
      <c r="W13" s="766">
        <v>60.01</v>
      </c>
      <c r="X13" s="766">
        <v>60.26</v>
      </c>
      <c r="Y13" s="766">
        <v>60.34</v>
      </c>
      <c r="Z13" s="766">
        <v>60.58</v>
      </c>
      <c r="AA13" s="766">
        <v>60.86</v>
      </c>
      <c r="AB13" s="766">
        <v>61.1</v>
      </c>
      <c r="AC13" s="766">
        <v>61.2</v>
      </c>
      <c r="AD13" s="766">
        <v>61.29</v>
      </c>
      <c r="AE13" s="766">
        <v>61.53</v>
      </c>
      <c r="AF13" s="766">
        <v>61.85</v>
      </c>
      <c r="AG13" s="766">
        <v>62.2</v>
      </c>
      <c r="AH13" s="766">
        <v>62.59</v>
      </c>
      <c r="AI13" s="766">
        <v>62.94</v>
      </c>
      <c r="AJ13" s="766">
        <v>63.35</v>
      </c>
      <c r="AK13" s="766">
        <v>63.73</v>
      </c>
      <c r="AL13" s="766">
        <v>64.13</v>
      </c>
      <c r="AM13" s="766">
        <v>64.540000000000006</v>
      </c>
      <c r="AN13" s="766">
        <v>64.81</v>
      </c>
      <c r="AO13" s="766">
        <v>64.959999999999994</v>
      </c>
      <c r="AP13" s="766">
        <v>65.19</v>
      </c>
      <c r="AQ13" s="766">
        <v>65.39</v>
      </c>
      <c r="AR13" s="766">
        <v>65.7</v>
      </c>
      <c r="AS13" s="766">
        <v>65.760000000000005</v>
      </c>
      <c r="AT13" s="766">
        <v>65.92</v>
      </c>
      <c r="AU13" s="766">
        <v>66</v>
      </c>
      <c r="AV13" s="766">
        <v>66.11</v>
      </c>
      <c r="AW13" s="766">
        <v>66.459999999999994</v>
      </c>
      <c r="AX13" s="766">
        <v>66.64</v>
      </c>
      <c r="AY13" s="766">
        <v>66.75</v>
      </c>
      <c r="AZ13" s="766">
        <v>66.77</v>
      </c>
      <c r="BA13" s="766">
        <v>66.819999999999993</v>
      </c>
      <c r="BB13" s="766">
        <v>66.989999999999995</v>
      </c>
      <c r="BC13" s="766">
        <v>67.099999999999994</v>
      </c>
      <c r="BD13" s="766">
        <v>67.3</v>
      </c>
      <c r="BE13" s="766">
        <v>67.489999999999995</v>
      </c>
      <c r="BF13" s="766">
        <v>67.72</v>
      </c>
      <c r="BG13" s="766">
        <v>67.88</v>
      </c>
      <c r="BH13" s="766">
        <v>68.209999999999994</v>
      </c>
      <c r="BI13" s="766">
        <v>68.430000000000007</v>
      </c>
      <c r="BJ13" s="766">
        <v>68.709999999999994</v>
      </c>
      <c r="BK13" s="766">
        <v>68.95</v>
      </c>
      <c r="BL13" s="766">
        <v>69.260000000000005</v>
      </c>
      <c r="BM13" s="766">
        <v>69.56</v>
      </c>
      <c r="BN13" s="766">
        <v>69.819999999999993</v>
      </c>
      <c r="BO13" s="766">
        <v>70.09</v>
      </c>
      <c r="BP13" s="766">
        <v>70.33</v>
      </c>
      <c r="BQ13" s="766">
        <v>70.56</v>
      </c>
      <c r="BR13" s="766">
        <v>70.8</v>
      </c>
      <c r="BS13" s="766">
        <v>71.010000000000005</v>
      </c>
      <c r="BT13" s="888">
        <v>71.22</v>
      </c>
      <c r="BU13" s="766">
        <v>71.37</v>
      </c>
      <c r="BV13" s="766">
        <v>71.59</v>
      </c>
      <c r="BW13" s="766">
        <v>71.790000000000006</v>
      </c>
      <c r="BX13" s="766">
        <v>71.989999999999995</v>
      </c>
      <c r="BY13" s="766">
        <v>72.16</v>
      </c>
      <c r="BZ13" s="766">
        <v>72.34</v>
      </c>
      <c r="CA13" s="766">
        <v>72.52</v>
      </c>
      <c r="CB13" s="766">
        <v>72.69</v>
      </c>
      <c r="CC13" s="766">
        <v>72.89</v>
      </c>
      <c r="CD13" s="766">
        <v>73.09</v>
      </c>
      <c r="CE13" s="766">
        <v>73.290000000000006</v>
      </c>
      <c r="CF13" s="766">
        <v>73.48</v>
      </c>
      <c r="CG13" s="766">
        <v>73.69</v>
      </c>
      <c r="CH13" s="766">
        <v>73.86</v>
      </c>
      <c r="CI13" s="766">
        <v>74.08</v>
      </c>
      <c r="CJ13" s="766">
        <v>74.260000000000005</v>
      </c>
      <c r="CK13" s="766">
        <v>74.430000000000007</v>
      </c>
      <c r="CL13" s="766">
        <v>74.63</v>
      </c>
      <c r="CM13" s="766">
        <v>74.81</v>
      </c>
      <c r="CN13" s="766">
        <v>74.989999999999995</v>
      </c>
      <c r="CO13" s="766">
        <v>75.16</v>
      </c>
      <c r="CP13" s="766">
        <v>75.33</v>
      </c>
      <c r="CQ13" s="766">
        <v>75.5</v>
      </c>
      <c r="CR13" s="766">
        <v>75.66</v>
      </c>
      <c r="CS13" s="766">
        <v>75.84</v>
      </c>
      <c r="CT13" s="766">
        <v>76.010000000000005</v>
      </c>
      <c r="CU13" s="766">
        <v>76.16</v>
      </c>
      <c r="CV13" s="766">
        <v>76.31</v>
      </c>
      <c r="CW13" s="766">
        <v>76.48</v>
      </c>
      <c r="CX13" s="766">
        <v>76.63</v>
      </c>
      <c r="CY13" s="766">
        <v>76.8</v>
      </c>
      <c r="CZ13" s="766">
        <v>76.95</v>
      </c>
      <c r="DA13" s="766">
        <v>77.099999999999994</v>
      </c>
      <c r="DB13" s="766">
        <v>77.260000000000005</v>
      </c>
      <c r="DC13" s="766">
        <v>77.400000000000006</v>
      </c>
      <c r="DD13" s="766">
        <v>77.55</v>
      </c>
      <c r="DE13" s="766">
        <v>77.7</v>
      </c>
      <c r="DF13" s="766">
        <v>77.849999999999994</v>
      </c>
      <c r="DG13" s="766">
        <v>77.989999999999995</v>
      </c>
      <c r="DH13" s="766">
        <v>78.14</v>
      </c>
      <c r="DI13" s="766">
        <v>78.28</v>
      </c>
      <c r="DJ13" s="766">
        <v>78.42</v>
      </c>
      <c r="DK13" s="766">
        <v>78.56</v>
      </c>
      <c r="DL13" s="766">
        <v>78.7</v>
      </c>
      <c r="DM13" s="766">
        <v>78.84</v>
      </c>
      <c r="DN13" s="766">
        <v>78.98</v>
      </c>
      <c r="DO13" s="766">
        <v>79.11</v>
      </c>
      <c r="DP13" s="766">
        <v>79.25</v>
      </c>
      <c r="DQ13" s="766">
        <v>79.38</v>
      </c>
      <c r="DR13" s="766">
        <v>79.510000000000005</v>
      </c>
    </row>
    <row r="14" spans="1:122">
      <c r="A14" s="944">
        <v>12</v>
      </c>
      <c r="B14" s="96"/>
      <c r="C14" s="96"/>
      <c r="D14" s="96"/>
      <c r="E14" s="96"/>
      <c r="F14" s="96"/>
      <c r="G14" s="96"/>
      <c r="H14" s="96"/>
      <c r="I14" s="96"/>
      <c r="J14" s="96"/>
      <c r="K14" s="96"/>
      <c r="L14" s="96"/>
      <c r="M14" s="96"/>
      <c r="N14" s="96"/>
      <c r="O14" s="96"/>
      <c r="P14" s="96"/>
      <c r="Q14" s="96"/>
      <c r="R14" s="96"/>
      <c r="S14" s="96"/>
      <c r="T14" s="96"/>
      <c r="U14" s="96"/>
      <c r="V14" s="766"/>
      <c r="W14" s="766">
        <v>59.09</v>
      </c>
      <c r="X14" s="766">
        <v>59.33</v>
      </c>
      <c r="Y14" s="766">
        <v>59.41</v>
      </c>
      <c r="Z14" s="766">
        <v>59.67</v>
      </c>
      <c r="AA14" s="766">
        <v>59.94</v>
      </c>
      <c r="AB14" s="766">
        <v>60.17</v>
      </c>
      <c r="AC14" s="766">
        <v>60.27</v>
      </c>
      <c r="AD14" s="766">
        <v>60.37</v>
      </c>
      <c r="AE14" s="766">
        <v>60.61</v>
      </c>
      <c r="AF14" s="766">
        <v>60.93</v>
      </c>
      <c r="AG14" s="766">
        <v>61.28</v>
      </c>
      <c r="AH14" s="766">
        <v>61.68</v>
      </c>
      <c r="AI14" s="766">
        <v>62.04</v>
      </c>
      <c r="AJ14" s="766">
        <v>62.48</v>
      </c>
      <c r="AK14" s="766">
        <v>62.82</v>
      </c>
      <c r="AL14" s="766">
        <v>63.22</v>
      </c>
      <c r="AM14" s="766">
        <v>63.61</v>
      </c>
      <c r="AN14" s="766">
        <v>63.85</v>
      </c>
      <c r="AO14" s="766">
        <v>64.010000000000005</v>
      </c>
      <c r="AP14" s="766">
        <v>64.239999999999995</v>
      </c>
      <c r="AQ14" s="766">
        <v>64.430000000000007</v>
      </c>
      <c r="AR14" s="766">
        <v>64.73</v>
      </c>
      <c r="AS14" s="766">
        <v>64.8</v>
      </c>
      <c r="AT14" s="766">
        <v>64.95</v>
      </c>
      <c r="AU14" s="766">
        <v>65.040000000000006</v>
      </c>
      <c r="AV14" s="766">
        <v>65.14</v>
      </c>
      <c r="AW14" s="766">
        <v>65.489999999999995</v>
      </c>
      <c r="AX14" s="766">
        <v>65.67</v>
      </c>
      <c r="AY14" s="766">
        <v>65.78</v>
      </c>
      <c r="AZ14" s="766">
        <v>65.8</v>
      </c>
      <c r="BA14" s="766">
        <v>65.84</v>
      </c>
      <c r="BB14" s="766">
        <v>66.010000000000005</v>
      </c>
      <c r="BC14" s="766">
        <v>66.13</v>
      </c>
      <c r="BD14" s="766">
        <v>66.33</v>
      </c>
      <c r="BE14" s="766">
        <v>66.52</v>
      </c>
      <c r="BF14" s="766">
        <v>66.75</v>
      </c>
      <c r="BG14" s="766">
        <v>66.91</v>
      </c>
      <c r="BH14" s="766">
        <v>67.239999999999995</v>
      </c>
      <c r="BI14" s="766">
        <v>67.45</v>
      </c>
      <c r="BJ14" s="766">
        <v>67.739999999999995</v>
      </c>
      <c r="BK14" s="766">
        <v>67.98</v>
      </c>
      <c r="BL14" s="766">
        <v>68.290000000000006</v>
      </c>
      <c r="BM14" s="766">
        <v>68.59</v>
      </c>
      <c r="BN14" s="766">
        <v>68.849999999999994</v>
      </c>
      <c r="BO14" s="766">
        <v>69.11</v>
      </c>
      <c r="BP14" s="766">
        <v>69.36</v>
      </c>
      <c r="BQ14" s="766">
        <v>69.58</v>
      </c>
      <c r="BR14" s="766">
        <v>69.819999999999993</v>
      </c>
      <c r="BS14" s="766">
        <v>70.03</v>
      </c>
      <c r="BT14" s="888">
        <v>70.239999999999995</v>
      </c>
      <c r="BU14" s="766">
        <v>70.39</v>
      </c>
      <c r="BV14" s="766">
        <v>70.61</v>
      </c>
      <c r="BW14" s="766">
        <v>70.8</v>
      </c>
      <c r="BX14" s="766">
        <v>71.010000000000005</v>
      </c>
      <c r="BY14" s="766">
        <v>71.180000000000007</v>
      </c>
      <c r="BZ14" s="766">
        <v>71.36</v>
      </c>
      <c r="CA14" s="766">
        <v>71.540000000000006</v>
      </c>
      <c r="CB14" s="766">
        <v>71.7</v>
      </c>
      <c r="CC14" s="766">
        <v>71.900000000000006</v>
      </c>
      <c r="CD14" s="766">
        <v>72.099999999999994</v>
      </c>
      <c r="CE14" s="766">
        <v>72.3</v>
      </c>
      <c r="CF14" s="766">
        <v>72.5</v>
      </c>
      <c r="CG14" s="766">
        <v>72.7</v>
      </c>
      <c r="CH14" s="766">
        <v>72.87</v>
      </c>
      <c r="CI14" s="766">
        <v>73.09</v>
      </c>
      <c r="CJ14" s="766">
        <v>73.27</v>
      </c>
      <c r="CK14" s="766">
        <v>73.44</v>
      </c>
      <c r="CL14" s="766">
        <v>73.64</v>
      </c>
      <c r="CM14" s="766">
        <v>73.819999999999993</v>
      </c>
      <c r="CN14" s="766">
        <v>74.010000000000005</v>
      </c>
      <c r="CO14" s="766">
        <v>74.17</v>
      </c>
      <c r="CP14" s="766">
        <v>74.34</v>
      </c>
      <c r="CQ14" s="766">
        <v>74.510000000000005</v>
      </c>
      <c r="CR14" s="766">
        <v>74.67</v>
      </c>
      <c r="CS14" s="766">
        <v>74.849999999999994</v>
      </c>
      <c r="CT14" s="766">
        <v>75.02</v>
      </c>
      <c r="CU14" s="766">
        <v>75.17</v>
      </c>
      <c r="CV14" s="766">
        <v>75.319999999999993</v>
      </c>
      <c r="CW14" s="766">
        <v>75.48</v>
      </c>
      <c r="CX14" s="766">
        <v>75.64</v>
      </c>
      <c r="CY14" s="766">
        <v>75.8</v>
      </c>
      <c r="CZ14" s="766">
        <v>75.95</v>
      </c>
      <c r="DA14" s="766">
        <v>76.11</v>
      </c>
      <c r="DB14" s="766">
        <v>76.260000000000005</v>
      </c>
      <c r="DC14" s="766">
        <v>76.41</v>
      </c>
      <c r="DD14" s="766">
        <v>76.56</v>
      </c>
      <c r="DE14" s="766">
        <v>76.709999999999994</v>
      </c>
      <c r="DF14" s="766">
        <v>76.849999999999994</v>
      </c>
      <c r="DG14" s="766">
        <v>77</v>
      </c>
      <c r="DH14" s="766">
        <v>77.14</v>
      </c>
      <c r="DI14" s="766">
        <v>77.290000000000006</v>
      </c>
      <c r="DJ14" s="766">
        <v>77.430000000000007</v>
      </c>
      <c r="DK14" s="766">
        <v>77.569999999999993</v>
      </c>
      <c r="DL14" s="766">
        <v>77.709999999999994</v>
      </c>
      <c r="DM14" s="766">
        <v>77.849999999999994</v>
      </c>
      <c r="DN14" s="766">
        <v>77.98</v>
      </c>
      <c r="DO14" s="766">
        <v>78.12</v>
      </c>
      <c r="DP14" s="766">
        <v>78.25</v>
      </c>
      <c r="DQ14" s="766">
        <v>78.39</v>
      </c>
      <c r="DR14" s="766">
        <v>78.52</v>
      </c>
    </row>
    <row r="15" spans="1:122">
      <c r="A15" s="944">
        <v>13</v>
      </c>
      <c r="B15" s="96"/>
      <c r="C15" s="96"/>
      <c r="D15" s="96"/>
      <c r="E15" s="96"/>
      <c r="F15" s="96"/>
      <c r="G15" s="96"/>
      <c r="H15" s="96"/>
      <c r="I15" s="96"/>
      <c r="J15" s="96"/>
      <c r="K15" s="96"/>
      <c r="L15" s="96"/>
      <c r="M15" s="96"/>
      <c r="N15" s="96"/>
      <c r="O15" s="96"/>
      <c r="P15" s="96"/>
      <c r="Q15" s="96"/>
      <c r="R15" s="96"/>
      <c r="S15" s="96"/>
      <c r="T15" s="96"/>
      <c r="U15" s="96"/>
      <c r="V15" s="766"/>
      <c r="W15" s="766">
        <v>58.16</v>
      </c>
      <c r="X15" s="766">
        <v>58.4</v>
      </c>
      <c r="Y15" s="766">
        <v>58.5</v>
      </c>
      <c r="Z15" s="766">
        <v>58.76</v>
      </c>
      <c r="AA15" s="766">
        <v>59.02</v>
      </c>
      <c r="AB15" s="766">
        <v>59.25</v>
      </c>
      <c r="AC15" s="766">
        <v>59.36</v>
      </c>
      <c r="AD15" s="766">
        <v>59.45</v>
      </c>
      <c r="AE15" s="766">
        <v>59.69</v>
      </c>
      <c r="AF15" s="766">
        <v>60.02</v>
      </c>
      <c r="AG15" s="766">
        <v>60.38</v>
      </c>
      <c r="AH15" s="766">
        <v>60.78</v>
      </c>
      <c r="AI15" s="766">
        <v>61.17</v>
      </c>
      <c r="AJ15" s="766">
        <v>61.56</v>
      </c>
      <c r="AK15" s="766">
        <v>61.9</v>
      </c>
      <c r="AL15" s="766">
        <v>62.28</v>
      </c>
      <c r="AM15" s="766">
        <v>62.66</v>
      </c>
      <c r="AN15" s="766">
        <v>62.9</v>
      </c>
      <c r="AO15" s="766">
        <v>63.05</v>
      </c>
      <c r="AP15" s="766">
        <v>63.27</v>
      </c>
      <c r="AQ15" s="766">
        <v>63.47</v>
      </c>
      <c r="AR15" s="766">
        <v>63.76</v>
      </c>
      <c r="AS15" s="766">
        <v>63.83</v>
      </c>
      <c r="AT15" s="766">
        <v>63.99</v>
      </c>
      <c r="AU15" s="766">
        <v>64.069999999999993</v>
      </c>
      <c r="AV15" s="766">
        <v>64.17</v>
      </c>
      <c r="AW15" s="766">
        <v>64.52</v>
      </c>
      <c r="AX15" s="766">
        <v>64.69</v>
      </c>
      <c r="AY15" s="766">
        <v>64.8</v>
      </c>
      <c r="AZ15" s="766">
        <v>64.83</v>
      </c>
      <c r="BA15" s="766">
        <v>64.88</v>
      </c>
      <c r="BB15" s="766">
        <v>65.040000000000006</v>
      </c>
      <c r="BC15" s="766">
        <v>65.16</v>
      </c>
      <c r="BD15" s="766">
        <v>65.36</v>
      </c>
      <c r="BE15" s="766">
        <v>65.55</v>
      </c>
      <c r="BF15" s="766">
        <v>65.78</v>
      </c>
      <c r="BG15" s="766">
        <v>65.94</v>
      </c>
      <c r="BH15" s="766">
        <v>66.28</v>
      </c>
      <c r="BI15" s="766">
        <v>66.48</v>
      </c>
      <c r="BJ15" s="766">
        <v>66.77</v>
      </c>
      <c r="BK15" s="766">
        <v>67.010000000000005</v>
      </c>
      <c r="BL15" s="766">
        <v>67.319999999999993</v>
      </c>
      <c r="BM15" s="766">
        <v>67.61</v>
      </c>
      <c r="BN15" s="766">
        <v>67.87</v>
      </c>
      <c r="BO15" s="766">
        <v>68.14</v>
      </c>
      <c r="BP15" s="766">
        <v>68.38</v>
      </c>
      <c r="BQ15" s="766">
        <v>68.599999999999994</v>
      </c>
      <c r="BR15" s="766">
        <v>68.84</v>
      </c>
      <c r="BS15" s="766">
        <v>69.040000000000006</v>
      </c>
      <c r="BT15" s="888">
        <v>69.260000000000005</v>
      </c>
      <c r="BU15" s="766">
        <v>69.41</v>
      </c>
      <c r="BV15" s="766">
        <v>69.62</v>
      </c>
      <c r="BW15" s="766">
        <v>69.819999999999993</v>
      </c>
      <c r="BX15" s="766">
        <v>70.02</v>
      </c>
      <c r="BY15" s="766">
        <v>70.19</v>
      </c>
      <c r="BZ15" s="766">
        <v>70.38</v>
      </c>
      <c r="CA15" s="766">
        <v>70.55</v>
      </c>
      <c r="CB15" s="766">
        <v>70.72</v>
      </c>
      <c r="CC15" s="766">
        <v>70.92</v>
      </c>
      <c r="CD15" s="766">
        <v>71.11</v>
      </c>
      <c r="CE15" s="766">
        <v>71.31</v>
      </c>
      <c r="CF15" s="766">
        <v>71.510000000000005</v>
      </c>
      <c r="CG15" s="766">
        <v>71.709999999999994</v>
      </c>
      <c r="CH15" s="766">
        <v>71.88</v>
      </c>
      <c r="CI15" s="766">
        <v>72.099999999999994</v>
      </c>
      <c r="CJ15" s="766">
        <v>72.28</v>
      </c>
      <c r="CK15" s="766">
        <v>72.459999999999994</v>
      </c>
      <c r="CL15" s="766">
        <v>72.650000000000006</v>
      </c>
      <c r="CM15" s="766">
        <v>72.84</v>
      </c>
      <c r="CN15" s="766">
        <v>73.010000000000005</v>
      </c>
      <c r="CO15" s="766">
        <v>73.180000000000007</v>
      </c>
      <c r="CP15" s="766">
        <v>73.349999999999994</v>
      </c>
      <c r="CQ15" s="766">
        <v>73.52</v>
      </c>
      <c r="CR15" s="766">
        <v>73.680000000000007</v>
      </c>
      <c r="CS15" s="766">
        <v>73.849999999999994</v>
      </c>
      <c r="CT15" s="766">
        <v>74.02</v>
      </c>
      <c r="CU15" s="766">
        <v>74.17</v>
      </c>
      <c r="CV15" s="766">
        <v>74.33</v>
      </c>
      <c r="CW15" s="766">
        <v>74.489999999999995</v>
      </c>
      <c r="CX15" s="766">
        <v>74.650000000000006</v>
      </c>
      <c r="CY15" s="766">
        <v>74.81</v>
      </c>
      <c r="CZ15" s="766">
        <v>74.959999999999994</v>
      </c>
      <c r="DA15" s="766">
        <v>75.11</v>
      </c>
      <c r="DB15" s="766">
        <v>75.27</v>
      </c>
      <c r="DC15" s="766">
        <v>75.41</v>
      </c>
      <c r="DD15" s="766">
        <v>75.56</v>
      </c>
      <c r="DE15" s="766">
        <v>75.709999999999994</v>
      </c>
      <c r="DF15" s="766">
        <v>75.86</v>
      </c>
      <c r="DG15" s="766">
        <v>76.010000000000005</v>
      </c>
      <c r="DH15" s="766">
        <v>76.150000000000006</v>
      </c>
      <c r="DI15" s="766">
        <v>76.290000000000006</v>
      </c>
      <c r="DJ15" s="766">
        <v>76.44</v>
      </c>
      <c r="DK15" s="766">
        <v>76.58</v>
      </c>
      <c r="DL15" s="766">
        <v>76.72</v>
      </c>
      <c r="DM15" s="766">
        <v>76.849999999999994</v>
      </c>
      <c r="DN15" s="766">
        <v>76.989999999999995</v>
      </c>
      <c r="DO15" s="766">
        <v>77.13</v>
      </c>
      <c r="DP15" s="766">
        <v>77.260000000000005</v>
      </c>
      <c r="DQ15" s="766">
        <v>77.39</v>
      </c>
      <c r="DR15" s="766">
        <v>77.52</v>
      </c>
    </row>
    <row r="16" spans="1:122">
      <c r="A16" s="944">
        <v>14</v>
      </c>
      <c r="B16" s="96"/>
      <c r="C16" s="96"/>
      <c r="D16" s="96"/>
      <c r="E16" s="96"/>
      <c r="F16" s="96"/>
      <c r="G16" s="96"/>
      <c r="H16" s="96"/>
      <c r="I16" s="96"/>
      <c r="J16" s="96"/>
      <c r="K16" s="96"/>
      <c r="L16" s="96"/>
      <c r="M16" s="96"/>
      <c r="N16" s="96"/>
      <c r="O16" s="96"/>
      <c r="P16" s="96"/>
      <c r="Q16" s="96"/>
      <c r="R16" s="96"/>
      <c r="S16" s="96"/>
      <c r="T16" s="96"/>
      <c r="U16" s="96"/>
      <c r="V16" s="766"/>
      <c r="W16" s="766">
        <v>57.22</v>
      </c>
      <c r="X16" s="766">
        <v>57.5</v>
      </c>
      <c r="Y16" s="766">
        <v>57.6</v>
      </c>
      <c r="Z16" s="766">
        <v>57.84</v>
      </c>
      <c r="AA16" s="766">
        <v>58.1</v>
      </c>
      <c r="AB16" s="766">
        <v>58.34</v>
      </c>
      <c r="AC16" s="766">
        <v>58.44</v>
      </c>
      <c r="AD16" s="766">
        <v>58.53</v>
      </c>
      <c r="AE16" s="766">
        <v>58.78</v>
      </c>
      <c r="AF16" s="766">
        <v>59.11</v>
      </c>
      <c r="AG16" s="766">
        <v>59.48</v>
      </c>
      <c r="AH16" s="766">
        <v>59.91</v>
      </c>
      <c r="AI16" s="766">
        <v>60.25</v>
      </c>
      <c r="AJ16" s="766">
        <v>60.64</v>
      </c>
      <c r="AK16" s="766">
        <v>60.96</v>
      </c>
      <c r="AL16" s="766">
        <v>61.33</v>
      </c>
      <c r="AM16" s="766">
        <v>61.7</v>
      </c>
      <c r="AN16" s="766">
        <v>61.95</v>
      </c>
      <c r="AO16" s="766">
        <v>62.09</v>
      </c>
      <c r="AP16" s="766">
        <v>62.31</v>
      </c>
      <c r="AQ16" s="766">
        <v>62.5</v>
      </c>
      <c r="AR16" s="766">
        <v>62.8</v>
      </c>
      <c r="AS16" s="766">
        <v>62.87</v>
      </c>
      <c r="AT16" s="766">
        <v>63.02</v>
      </c>
      <c r="AU16" s="766">
        <v>63.1</v>
      </c>
      <c r="AV16" s="766">
        <v>63.2</v>
      </c>
      <c r="AW16" s="766">
        <v>63.55</v>
      </c>
      <c r="AX16" s="766">
        <v>63.73</v>
      </c>
      <c r="AY16" s="766">
        <v>63.83</v>
      </c>
      <c r="AZ16" s="766">
        <v>63.86</v>
      </c>
      <c r="BA16" s="766">
        <v>63.91</v>
      </c>
      <c r="BB16" s="766">
        <v>64.069999999999993</v>
      </c>
      <c r="BC16" s="766">
        <v>64.2</v>
      </c>
      <c r="BD16" s="766">
        <v>64.39</v>
      </c>
      <c r="BE16" s="766">
        <v>64.58</v>
      </c>
      <c r="BF16" s="766">
        <v>64.81</v>
      </c>
      <c r="BG16" s="766">
        <v>64.98</v>
      </c>
      <c r="BH16" s="766">
        <v>65.31</v>
      </c>
      <c r="BI16" s="766">
        <v>65.510000000000005</v>
      </c>
      <c r="BJ16" s="766">
        <v>65.8</v>
      </c>
      <c r="BK16" s="766">
        <v>66.03</v>
      </c>
      <c r="BL16" s="766">
        <v>66.34</v>
      </c>
      <c r="BM16" s="766">
        <v>66.64</v>
      </c>
      <c r="BN16" s="766">
        <v>66.900000000000006</v>
      </c>
      <c r="BO16" s="766">
        <v>67.16</v>
      </c>
      <c r="BP16" s="766">
        <v>67.400000000000006</v>
      </c>
      <c r="BQ16" s="766">
        <v>67.63</v>
      </c>
      <c r="BR16" s="766">
        <v>67.86</v>
      </c>
      <c r="BS16" s="766">
        <v>68.069999999999993</v>
      </c>
      <c r="BT16" s="888">
        <v>68.28</v>
      </c>
      <c r="BU16" s="766">
        <v>68.430000000000007</v>
      </c>
      <c r="BV16" s="766">
        <v>68.64</v>
      </c>
      <c r="BW16" s="766">
        <v>68.84</v>
      </c>
      <c r="BX16" s="766">
        <v>69.040000000000006</v>
      </c>
      <c r="BY16" s="766">
        <v>69.209999999999994</v>
      </c>
      <c r="BZ16" s="766">
        <v>69.39</v>
      </c>
      <c r="CA16" s="766">
        <v>69.569999999999993</v>
      </c>
      <c r="CB16" s="766">
        <v>69.73</v>
      </c>
      <c r="CC16" s="766">
        <v>69.930000000000007</v>
      </c>
      <c r="CD16" s="766">
        <v>70.13</v>
      </c>
      <c r="CE16" s="766">
        <v>70.33</v>
      </c>
      <c r="CF16" s="766">
        <v>70.52</v>
      </c>
      <c r="CG16" s="766">
        <v>70.72</v>
      </c>
      <c r="CH16" s="766">
        <v>70.900000000000006</v>
      </c>
      <c r="CI16" s="766">
        <v>71.11</v>
      </c>
      <c r="CJ16" s="766">
        <v>71.290000000000006</v>
      </c>
      <c r="CK16" s="766">
        <v>71.47</v>
      </c>
      <c r="CL16" s="766">
        <v>71.66</v>
      </c>
      <c r="CM16" s="766">
        <v>71.849999999999994</v>
      </c>
      <c r="CN16" s="766">
        <v>72.02</v>
      </c>
      <c r="CO16" s="766">
        <v>72.19</v>
      </c>
      <c r="CP16" s="766">
        <v>72.37</v>
      </c>
      <c r="CQ16" s="766">
        <v>72.53</v>
      </c>
      <c r="CR16" s="766">
        <v>72.680000000000007</v>
      </c>
      <c r="CS16" s="766">
        <v>72.86</v>
      </c>
      <c r="CT16" s="766">
        <v>73.03</v>
      </c>
      <c r="CU16" s="766">
        <v>73.180000000000007</v>
      </c>
      <c r="CV16" s="766">
        <v>73.34</v>
      </c>
      <c r="CW16" s="766">
        <v>73.5</v>
      </c>
      <c r="CX16" s="766">
        <v>73.650000000000006</v>
      </c>
      <c r="CY16" s="766">
        <v>73.81</v>
      </c>
      <c r="CZ16" s="766">
        <v>73.97</v>
      </c>
      <c r="DA16" s="766">
        <v>74.12</v>
      </c>
      <c r="DB16" s="766">
        <v>74.27</v>
      </c>
      <c r="DC16" s="766">
        <v>74.42</v>
      </c>
      <c r="DD16" s="766">
        <v>74.569999999999993</v>
      </c>
      <c r="DE16" s="766">
        <v>74.72</v>
      </c>
      <c r="DF16" s="766">
        <v>74.87</v>
      </c>
      <c r="DG16" s="766">
        <v>75.010000000000005</v>
      </c>
      <c r="DH16" s="766">
        <v>75.16</v>
      </c>
      <c r="DI16" s="766">
        <v>75.3</v>
      </c>
      <c r="DJ16" s="766">
        <v>75.44</v>
      </c>
      <c r="DK16" s="766">
        <v>75.58</v>
      </c>
      <c r="DL16" s="766">
        <v>75.72</v>
      </c>
      <c r="DM16" s="766">
        <v>75.86</v>
      </c>
      <c r="DN16" s="766">
        <v>76</v>
      </c>
      <c r="DO16" s="766">
        <v>76.13</v>
      </c>
      <c r="DP16" s="766">
        <v>76.260000000000005</v>
      </c>
      <c r="DQ16" s="766">
        <v>76.400000000000006</v>
      </c>
      <c r="DR16" s="766">
        <v>76.53</v>
      </c>
    </row>
    <row r="17" spans="1:122">
      <c r="A17" s="944">
        <v>15</v>
      </c>
      <c r="B17" s="96"/>
      <c r="C17" s="96"/>
      <c r="D17" s="96"/>
      <c r="E17" s="96"/>
      <c r="F17" s="96"/>
      <c r="G17" s="96"/>
      <c r="H17" s="96"/>
      <c r="I17" s="96"/>
      <c r="J17" s="96"/>
      <c r="K17" s="96"/>
      <c r="L17" s="96"/>
      <c r="M17" s="96"/>
      <c r="N17" s="96"/>
      <c r="O17" s="96"/>
      <c r="P17" s="96"/>
      <c r="Q17" s="96"/>
      <c r="R17" s="96"/>
      <c r="S17" s="96"/>
      <c r="T17" s="96"/>
      <c r="U17" s="96"/>
      <c r="V17" s="766"/>
      <c r="W17" s="766">
        <v>56.33</v>
      </c>
      <c r="X17" s="766">
        <v>56.6</v>
      </c>
      <c r="Y17" s="766">
        <v>56.69</v>
      </c>
      <c r="Z17" s="766">
        <v>56.93</v>
      </c>
      <c r="AA17" s="766">
        <v>57.19</v>
      </c>
      <c r="AB17" s="766">
        <v>57.43</v>
      </c>
      <c r="AC17" s="766">
        <v>57.53</v>
      </c>
      <c r="AD17" s="766">
        <v>57.63</v>
      </c>
      <c r="AE17" s="766">
        <v>57.88</v>
      </c>
      <c r="AF17" s="766">
        <v>58.23</v>
      </c>
      <c r="AG17" s="766">
        <v>58.62</v>
      </c>
      <c r="AH17" s="766">
        <v>59</v>
      </c>
      <c r="AI17" s="766">
        <v>59.34</v>
      </c>
      <c r="AJ17" s="766">
        <v>59.71</v>
      </c>
      <c r="AK17" s="766">
        <v>60.02</v>
      </c>
      <c r="AL17" s="766">
        <v>60.38</v>
      </c>
      <c r="AM17" s="766">
        <v>60.76</v>
      </c>
      <c r="AN17" s="766">
        <v>60.99</v>
      </c>
      <c r="AO17" s="766">
        <v>61.13</v>
      </c>
      <c r="AP17" s="766">
        <v>61.35</v>
      </c>
      <c r="AQ17" s="766">
        <v>61.54</v>
      </c>
      <c r="AR17" s="766">
        <v>61.84</v>
      </c>
      <c r="AS17" s="766">
        <v>61.91</v>
      </c>
      <c r="AT17" s="766">
        <v>62.06</v>
      </c>
      <c r="AU17" s="766">
        <v>62.14</v>
      </c>
      <c r="AV17" s="766">
        <v>62.24</v>
      </c>
      <c r="AW17" s="766">
        <v>62.58</v>
      </c>
      <c r="AX17" s="766">
        <v>62.77</v>
      </c>
      <c r="AY17" s="766">
        <v>62.87</v>
      </c>
      <c r="AZ17" s="766">
        <v>62.9</v>
      </c>
      <c r="BA17" s="766">
        <v>62.94</v>
      </c>
      <c r="BB17" s="766">
        <v>63.11</v>
      </c>
      <c r="BC17" s="766">
        <v>63.24</v>
      </c>
      <c r="BD17" s="766">
        <v>63.42</v>
      </c>
      <c r="BE17" s="766">
        <v>63.62</v>
      </c>
      <c r="BF17" s="766">
        <v>63.85</v>
      </c>
      <c r="BG17" s="766">
        <v>64.010000000000005</v>
      </c>
      <c r="BH17" s="766">
        <v>64.34</v>
      </c>
      <c r="BI17" s="766">
        <v>64.540000000000006</v>
      </c>
      <c r="BJ17" s="766">
        <v>64.83</v>
      </c>
      <c r="BK17" s="766">
        <v>65.069999999999993</v>
      </c>
      <c r="BL17" s="766">
        <v>65.37</v>
      </c>
      <c r="BM17" s="766">
        <v>65.67</v>
      </c>
      <c r="BN17" s="766">
        <v>65.930000000000007</v>
      </c>
      <c r="BO17" s="766">
        <v>66.19</v>
      </c>
      <c r="BP17" s="766">
        <v>66.430000000000007</v>
      </c>
      <c r="BQ17" s="766">
        <v>66.650000000000006</v>
      </c>
      <c r="BR17" s="766">
        <v>66.89</v>
      </c>
      <c r="BS17" s="766">
        <v>67.09</v>
      </c>
      <c r="BT17" s="888">
        <v>67.3</v>
      </c>
      <c r="BU17" s="766">
        <v>67.45</v>
      </c>
      <c r="BV17" s="766">
        <v>67.66</v>
      </c>
      <c r="BW17" s="766">
        <v>67.86</v>
      </c>
      <c r="BX17" s="766">
        <v>68.06</v>
      </c>
      <c r="BY17" s="766">
        <v>68.23</v>
      </c>
      <c r="BZ17" s="766">
        <v>68.41</v>
      </c>
      <c r="CA17" s="766">
        <v>68.58</v>
      </c>
      <c r="CB17" s="766">
        <v>68.75</v>
      </c>
      <c r="CC17" s="766">
        <v>68.95</v>
      </c>
      <c r="CD17" s="766">
        <v>69.14</v>
      </c>
      <c r="CE17" s="766">
        <v>69.34</v>
      </c>
      <c r="CF17" s="766">
        <v>69.540000000000006</v>
      </c>
      <c r="CG17" s="766">
        <v>69.739999999999995</v>
      </c>
      <c r="CH17" s="766">
        <v>69.91</v>
      </c>
      <c r="CI17" s="766">
        <v>70.13</v>
      </c>
      <c r="CJ17" s="766">
        <v>70.3</v>
      </c>
      <c r="CK17" s="766">
        <v>70.48</v>
      </c>
      <c r="CL17" s="766">
        <v>70.67</v>
      </c>
      <c r="CM17" s="766">
        <v>70.86</v>
      </c>
      <c r="CN17" s="766">
        <v>71.03</v>
      </c>
      <c r="CO17" s="766">
        <v>71.2</v>
      </c>
      <c r="CP17" s="766">
        <v>71.38</v>
      </c>
      <c r="CQ17" s="766">
        <v>71.540000000000006</v>
      </c>
      <c r="CR17" s="766">
        <v>71.7</v>
      </c>
      <c r="CS17" s="766">
        <v>71.87</v>
      </c>
      <c r="CT17" s="766">
        <v>72.040000000000006</v>
      </c>
      <c r="CU17" s="766">
        <v>72.19</v>
      </c>
      <c r="CV17" s="766">
        <v>72.349999999999994</v>
      </c>
      <c r="CW17" s="766">
        <v>72.5</v>
      </c>
      <c r="CX17" s="766">
        <v>72.66</v>
      </c>
      <c r="CY17" s="766">
        <v>72.819999999999993</v>
      </c>
      <c r="CZ17" s="766">
        <v>72.98</v>
      </c>
      <c r="DA17" s="766">
        <v>73.13</v>
      </c>
      <c r="DB17" s="766">
        <v>73.28</v>
      </c>
      <c r="DC17" s="766">
        <v>73.430000000000007</v>
      </c>
      <c r="DD17" s="766">
        <v>73.58</v>
      </c>
      <c r="DE17" s="766">
        <v>73.73</v>
      </c>
      <c r="DF17" s="766">
        <v>73.88</v>
      </c>
      <c r="DG17" s="766">
        <v>74.02</v>
      </c>
      <c r="DH17" s="766">
        <v>74.17</v>
      </c>
      <c r="DI17" s="766">
        <v>74.31</v>
      </c>
      <c r="DJ17" s="766">
        <v>74.45</v>
      </c>
      <c r="DK17" s="766">
        <v>74.59</v>
      </c>
      <c r="DL17" s="766">
        <v>74.73</v>
      </c>
      <c r="DM17" s="766">
        <v>74.87</v>
      </c>
      <c r="DN17" s="766">
        <v>75</v>
      </c>
      <c r="DO17" s="766">
        <v>75.14</v>
      </c>
      <c r="DP17" s="766">
        <v>75.27</v>
      </c>
      <c r="DQ17" s="766">
        <v>75.400000000000006</v>
      </c>
      <c r="DR17" s="766">
        <v>75.53</v>
      </c>
    </row>
    <row r="18" spans="1:122">
      <c r="A18" s="944">
        <v>16</v>
      </c>
      <c r="B18" s="96"/>
      <c r="C18" s="96"/>
      <c r="D18" s="96"/>
      <c r="E18" s="96"/>
      <c r="F18" s="96"/>
      <c r="G18" s="96"/>
      <c r="H18" s="96"/>
      <c r="I18" s="96"/>
      <c r="J18" s="96"/>
      <c r="K18" s="96"/>
      <c r="L18" s="96"/>
      <c r="M18" s="96"/>
      <c r="N18" s="96"/>
      <c r="O18" s="96"/>
      <c r="P18" s="96"/>
      <c r="Q18" s="96"/>
      <c r="R18" s="96"/>
      <c r="S18" s="96"/>
      <c r="T18" s="96"/>
      <c r="U18" s="96"/>
      <c r="V18" s="766"/>
      <c r="W18" s="766">
        <v>55.43</v>
      </c>
      <c r="X18" s="766">
        <v>55.7</v>
      </c>
      <c r="Y18" s="766">
        <v>55.79</v>
      </c>
      <c r="Z18" s="766">
        <v>56.03</v>
      </c>
      <c r="AA18" s="766">
        <v>56.3</v>
      </c>
      <c r="AB18" s="766">
        <v>56.53</v>
      </c>
      <c r="AC18" s="766">
        <v>56.64</v>
      </c>
      <c r="AD18" s="766">
        <v>56.75</v>
      </c>
      <c r="AE18" s="766">
        <v>57.01</v>
      </c>
      <c r="AF18" s="766">
        <v>57.39</v>
      </c>
      <c r="AG18" s="766">
        <v>57.73</v>
      </c>
      <c r="AH18" s="766">
        <v>58.1</v>
      </c>
      <c r="AI18" s="766">
        <v>58.42</v>
      </c>
      <c r="AJ18" s="766">
        <v>58.77</v>
      </c>
      <c r="AK18" s="766">
        <v>59.08</v>
      </c>
      <c r="AL18" s="766">
        <v>59.45</v>
      </c>
      <c r="AM18" s="766">
        <v>59.81</v>
      </c>
      <c r="AN18" s="766">
        <v>60.04</v>
      </c>
      <c r="AO18" s="766">
        <v>60.18</v>
      </c>
      <c r="AP18" s="766">
        <v>60.4</v>
      </c>
      <c r="AQ18" s="766">
        <v>60.59</v>
      </c>
      <c r="AR18" s="766">
        <v>60.89</v>
      </c>
      <c r="AS18" s="766">
        <v>60.96</v>
      </c>
      <c r="AT18" s="766">
        <v>61.1</v>
      </c>
      <c r="AU18" s="766">
        <v>61.18</v>
      </c>
      <c r="AV18" s="766">
        <v>61.28</v>
      </c>
      <c r="AW18" s="766">
        <v>61.63</v>
      </c>
      <c r="AX18" s="766">
        <v>61.81</v>
      </c>
      <c r="AY18" s="766">
        <v>61.91</v>
      </c>
      <c r="AZ18" s="766">
        <v>61.94</v>
      </c>
      <c r="BA18" s="766">
        <v>61.98</v>
      </c>
      <c r="BB18" s="766">
        <v>62.15</v>
      </c>
      <c r="BC18" s="766">
        <v>62.28</v>
      </c>
      <c r="BD18" s="766">
        <v>62.47</v>
      </c>
      <c r="BE18" s="766">
        <v>62.67</v>
      </c>
      <c r="BF18" s="766">
        <v>62.89</v>
      </c>
      <c r="BG18" s="766">
        <v>63.06</v>
      </c>
      <c r="BH18" s="766">
        <v>63.38</v>
      </c>
      <c r="BI18" s="766">
        <v>63.59</v>
      </c>
      <c r="BJ18" s="766">
        <v>63.87</v>
      </c>
      <c r="BK18" s="766">
        <v>64.11</v>
      </c>
      <c r="BL18" s="766">
        <v>64.41</v>
      </c>
      <c r="BM18" s="766">
        <v>64.709999999999994</v>
      </c>
      <c r="BN18" s="766">
        <v>64.959999999999994</v>
      </c>
      <c r="BO18" s="766">
        <v>65.22</v>
      </c>
      <c r="BP18" s="766">
        <v>65.47</v>
      </c>
      <c r="BQ18" s="766">
        <v>65.680000000000007</v>
      </c>
      <c r="BR18" s="766">
        <v>65.92</v>
      </c>
      <c r="BS18" s="766">
        <v>66.11</v>
      </c>
      <c r="BT18" s="888">
        <v>66.33</v>
      </c>
      <c r="BU18" s="766">
        <v>66.48</v>
      </c>
      <c r="BV18" s="766">
        <v>66.69</v>
      </c>
      <c r="BW18" s="766">
        <v>66.89</v>
      </c>
      <c r="BX18" s="766">
        <v>67.08</v>
      </c>
      <c r="BY18" s="766">
        <v>67.260000000000005</v>
      </c>
      <c r="BZ18" s="766">
        <v>67.44</v>
      </c>
      <c r="CA18" s="766">
        <v>67.61</v>
      </c>
      <c r="CB18" s="766">
        <v>67.78</v>
      </c>
      <c r="CC18" s="766">
        <v>67.97</v>
      </c>
      <c r="CD18" s="766">
        <v>68.17</v>
      </c>
      <c r="CE18" s="766">
        <v>68.36</v>
      </c>
      <c r="CF18" s="766">
        <v>68.55</v>
      </c>
      <c r="CG18" s="766">
        <v>68.760000000000005</v>
      </c>
      <c r="CH18" s="766">
        <v>68.930000000000007</v>
      </c>
      <c r="CI18" s="766">
        <v>69.14</v>
      </c>
      <c r="CJ18" s="766">
        <v>69.319999999999993</v>
      </c>
      <c r="CK18" s="766">
        <v>69.5</v>
      </c>
      <c r="CL18" s="766">
        <v>69.69</v>
      </c>
      <c r="CM18" s="766">
        <v>69.87</v>
      </c>
      <c r="CN18" s="766">
        <v>70.05</v>
      </c>
      <c r="CO18" s="766">
        <v>70.209999999999994</v>
      </c>
      <c r="CP18" s="766">
        <v>70.39</v>
      </c>
      <c r="CQ18" s="766">
        <v>70.56</v>
      </c>
      <c r="CR18" s="766">
        <v>70.709999999999994</v>
      </c>
      <c r="CS18" s="766">
        <v>70.88</v>
      </c>
      <c r="CT18" s="766">
        <v>71.05</v>
      </c>
      <c r="CU18" s="766">
        <v>71.2</v>
      </c>
      <c r="CV18" s="766">
        <v>71.36</v>
      </c>
      <c r="CW18" s="766">
        <v>71.510000000000005</v>
      </c>
      <c r="CX18" s="766">
        <v>71.67</v>
      </c>
      <c r="CY18" s="766">
        <v>71.83</v>
      </c>
      <c r="CZ18" s="766">
        <v>71.989999999999995</v>
      </c>
      <c r="DA18" s="766">
        <v>72.14</v>
      </c>
      <c r="DB18" s="766">
        <v>72.290000000000006</v>
      </c>
      <c r="DC18" s="766">
        <v>72.44</v>
      </c>
      <c r="DD18" s="766">
        <v>72.59</v>
      </c>
      <c r="DE18" s="766">
        <v>72.739999999999995</v>
      </c>
      <c r="DF18" s="766">
        <v>72.89</v>
      </c>
      <c r="DG18" s="766">
        <v>73.03</v>
      </c>
      <c r="DH18" s="766">
        <v>73.180000000000007</v>
      </c>
      <c r="DI18" s="766">
        <v>73.319999999999993</v>
      </c>
      <c r="DJ18" s="766">
        <v>73.459999999999994</v>
      </c>
      <c r="DK18" s="766">
        <v>73.599999999999994</v>
      </c>
      <c r="DL18" s="766">
        <v>73.739999999999995</v>
      </c>
      <c r="DM18" s="766">
        <v>73.88</v>
      </c>
      <c r="DN18" s="766">
        <v>74.010000000000005</v>
      </c>
      <c r="DO18" s="766">
        <v>74.150000000000006</v>
      </c>
      <c r="DP18" s="766">
        <v>74.28</v>
      </c>
      <c r="DQ18" s="766">
        <v>74.41</v>
      </c>
      <c r="DR18" s="766">
        <v>74.540000000000006</v>
      </c>
    </row>
    <row r="19" spans="1:122">
      <c r="A19" s="944">
        <v>17</v>
      </c>
      <c r="B19" s="96"/>
      <c r="C19" s="96"/>
      <c r="D19" s="96"/>
      <c r="E19" s="96"/>
      <c r="F19" s="96"/>
      <c r="G19" s="96"/>
      <c r="H19" s="96"/>
      <c r="I19" s="96"/>
      <c r="J19" s="96"/>
      <c r="K19" s="96"/>
      <c r="L19" s="96"/>
      <c r="M19" s="96"/>
      <c r="N19" s="96"/>
      <c r="O19" s="96"/>
      <c r="P19" s="96"/>
      <c r="Q19" s="96"/>
      <c r="R19" s="96"/>
      <c r="S19" s="96"/>
      <c r="T19" s="96"/>
      <c r="U19" s="96"/>
      <c r="V19" s="766"/>
      <c r="W19" s="766">
        <v>54.56</v>
      </c>
      <c r="X19" s="766">
        <v>54.82</v>
      </c>
      <c r="Y19" s="766">
        <v>54.91</v>
      </c>
      <c r="Z19" s="766">
        <v>55.16</v>
      </c>
      <c r="AA19" s="766">
        <v>55.43</v>
      </c>
      <c r="AB19" s="766">
        <v>55.66</v>
      </c>
      <c r="AC19" s="766">
        <v>55.78</v>
      </c>
      <c r="AD19" s="766">
        <v>55.91</v>
      </c>
      <c r="AE19" s="766">
        <v>56.21</v>
      </c>
      <c r="AF19" s="766">
        <v>56.51</v>
      </c>
      <c r="AG19" s="766">
        <v>56.85</v>
      </c>
      <c r="AH19" s="766">
        <v>57.2</v>
      </c>
      <c r="AI19" s="766">
        <v>57.49</v>
      </c>
      <c r="AJ19" s="766">
        <v>57.84</v>
      </c>
      <c r="AK19" s="766">
        <v>58.15</v>
      </c>
      <c r="AL19" s="766">
        <v>58.51</v>
      </c>
      <c r="AM19" s="766">
        <v>58.87</v>
      </c>
      <c r="AN19" s="766">
        <v>59.1</v>
      </c>
      <c r="AO19" s="766">
        <v>59.23</v>
      </c>
      <c r="AP19" s="766">
        <v>59.46</v>
      </c>
      <c r="AQ19" s="766">
        <v>59.65</v>
      </c>
      <c r="AR19" s="766">
        <v>59.94</v>
      </c>
      <c r="AS19" s="766">
        <v>60.02</v>
      </c>
      <c r="AT19" s="766">
        <v>60.16</v>
      </c>
      <c r="AU19" s="766">
        <v>60.23</v>
      </c>
      <c r="AV19" s="766">
        <v>60.34</v>
      </c>
      <c r="AW19" s="766">
        <v>60.68</v>
      </c>
      <c r="AX19" s="766">
        <v>60.88</v>
      </c>
      <c r="AY19" s="766">
        <v>60.97</v>
      </c>
      <c r="AZ19" s="766">
        <v>61.01</v>
      </c>
      <c r="BA19" s="766">
        <v>61.05</v>
      </c>
      <c r="BB19" s="766">
        <v>61.22</v>
      </c>
      <c r="BC19" s="766">
        <v>61.35</v>
      </c>
      <c r="BD19" s="766">
        <v>61.54</v>
      </c>
      <c r="BE19" s="766">
        <v>61.74</v>
      </c>
      <c r="BF19" s="766">
        <v>61.96</v>
      </c>
      <c r="BG19" s="766">
        <v>62.13</v>
      </c>
      <c r="BH19" s="766">
        <v>62.46</v>
      </c>
      <c r="BI19" s="766">
        <v>62.66</v>
      </c>
      <c r="BJ19" s="766">
        <v>62.94</v>
      </c>
      <c r="BK19" s="766">
        <v>63.18</v>
      </c>
      <c r="BL19" s="766">
        <v>63.47</v>
      </c>
      <c r="BM19" s="766">
        <v>63.77</v>
      </c>
      <c r="BN19" s="766">
        <v>64.02</v>
      </c>
      <c r="BO19" s="766">
        <v>64.28</v>
      </c>
      <c r="BP19" s="766">
        <v>64.52</v>
      </c>
      <c r="BQ19" s="766">
        <v>64.739999999999995</v>
      </c>
      <c r="BR19" s="766">
        <v>64.97</v>
      </c>
      <c r="BS19" s="766">
        <v>65.150000000000006</v>
      </c>
      <c r="BT19" s="888">
        <v>65.37</v>
      </c>
      <c r="BU19" s="766">
        <v>65.52</v>
      </c>
      <c r="BV19" s="766">
        <v>65.73</v>
      </c>
      <c r="BW19" s="766">
        <v>65.92</v>
      </c>
      <c r="BX19" s="766">
        <v>66.12</v>
      </c>
      <c r="BY19" s="766">
        <v>66.3</v>
      </c>
      <c r="BZ19" s="766">
        <v>66.47</v>
      </c>
      <c r="CA19" s="766">
        <v>66.64</v>
      </c>
      <c r="CB19" s="766">
        <v>66.81</v>
      </c>
      <c r="CC19" s="766">
        <v>67.010000000000005</v>
      </c>
      <c r="CD19" s="766">
        <v>67.2</v>
      </c>
      <c r="CE19" s="766">
        <v>67.39</v>
      </c>
      <c r="CF19" s="766">
        <v>67.58</v>
      </c>
      <c r="CG19" s="766">
        <v>67.790000000000006</v>
      </c>
      <c r="CH19" s="766">
        <v>67.959999999999994</v>
      </c>
      <c r="CI19" s="766">
        <v>68.17</v>
      </c>
      <c r="CJ19" s="766">
        <v>68.349999999999994</v>
      </c>
      <c r="CK19" s="766">
        <v>68.52</v>
      </c>
      <c r="CL19" s="766">
        <v>68.709999999999994</v>
      </c>
      <c r="CM19" s="766">
        <v>68.900000000000006</v>
      </c>
      <c r="CN19" s="766">
        <v>69.069999999999993</v>
      </c>
      <c r="CO19" s="766">
        <v>69.239999999999995</v>
      </c>
      <c r="CP19" s="766">
        <v>69.41</v>
      </c>
      <c r="CQ19" s="766">
        <v>69.58</v>
      </c>
      <c r="CR19" s="766">
        <v>69.73</v>
      </c>
      <c r="CS19" s="766">
        <v>69.900000000000006</v>
      </c>
      <c r="CT19" s="766">
        <v>70.069999999999993</v>
      </c>
      <c r="CU19" s="766">
        <v>70.22</v>
      </c>
      <c r="CV19" s="766">
        <v>70.38</v>
      </c>
      <c r="CW19" s="766">
        <v>70.53</v>
      </c>
      <c r="CX19" s="766">
        <v>70.69</v>
      </c>
      <c r="CY19" s="766">
        <v>70.849999999999994</v>
      </c>
      <c r="CZ19" s="766">
        <v>71</v>
      </c>
      <c r="DA19" s="766">
        <v>71.16</v>
      </c>
      <c r="DB19" s="766">
        <v>71.31</v>
      </c>
      <c r="DC19" s="766">
        <v>71.459999999999994</v>
      </c>
      <c r="DD19" s="766">
        <v>71.61</v>
      </c>
      <c r="DE19" s="766">
        <v>71.760000000000005</v>
      </c>
      <c r="DF19" s="766">
        <v>71.900000000000006</v>
      </c>
      <c r="DG19" s="766">
        <v>72.05</v>
      </c>
      <c r="DH19" s="766">
        <v>72.19</v>
      </c>
      <c r="DI19" s="766">
        <v>72.33</v>
      </c>
      <c r="DJ19" s="766">
        <v>72.47</v>
      </c>
      <c r="DK19" s="766">
        <v>72.61</v>
      </c>
      <c r="DL19" s="766">
        <v>72.75</v>
      </c>
      <c r="DM19" s="766">
        <v>72.89</v>
      </c>
      <c r="DN19" s="766">
        <v>73.02</v>
      </c>
      <c r="DO19" s="766">
        <v>73.16</v>
      </c>
      <c r="DP19" s="766">
        <v>73.290000000000006</v>
      </c>
      <c r="DQ19" s="766">
        <v>73.42</v>
      </c>
      <c r="DR19" s="766">
        <v>73.55</v>
      </c>
    </row>
    <row r="20" spans="1:122">
      <c r="A20" s="944">
        <v>18</v>
      </c>
      <c r="B20" s="96"/>
      <c r="C20" s="96"/>
      <c r="D20" s="96"/>
      <c r="E20" s="96"/>
      <c r="F20" s="96"/>
      <c r="G20" s="96"/>
      <c r="H20" s="96"/>
      <c r="I20" s="96"/>
      <c r="J20" s="96"/>
      <c r="K20" s="96"/>
      <c r="L20" s="96"/>
      <c r="M20" s="96"/>
      <c r="N20" s="96"/>
      <c r="O20" s="96"/>
      <c r="P20" s="96"/>
      <c r="Q20" s="96"/>
      <c r="R20" s="96"/>
      <c r="S20" s="96"/>
      <c r="T20" s="96"/>
      <c r="U20" s="96"/>
      <c r="V20" s="766"/>
      <c r="W20" s="766">
        <v>53.68</v>
      </c>
      <c r="X20" s="766">
        <v>53.94</v>
      </c>
      <c r="Y20" s="766">
        <v>54.04</v>
      </c>
      <c r="Z20" s="766">
        <v>54.29</v>
      </c>
      <c r="AA20" s="766">
        <v>54.55</v>
      </c>
      <c r="AB20" s="766">
        <v>54.8</v>
      </c>
      <c r="AC20" s="766">
        <v>54.94</v>
      </c>
      <c r="AD20" s="766">
        <v>55.14</v>
      </c>
      <c r="AE20" s="766">
        <v>55.35</v>
      </c>
      <c r="AF20" s="766">
        <v>55.65</v>
      </c>
      <c r="AG20" s="766">
        <v>55.96</v>
      </c>
      <c r="AH20" s="766">
        <v>56.27</v>
      </c>
      <c r="AI20" s="766">
        <v>56.56</v>
      </c>
      <c r="AJ20" s="766">
        <v>56.92</v>
      </c>
      <c r="AK20" s="766">
        <v>57.22</v>
      </c>
      <c r="AL20" s="766">
        <v>57.58</v>
      </c>
      <c r="AM20" s="766">
        <v>57.93</v>
      </c>
      <c r="AN20" s="766">
        <v>58.16</v>
      </c>
      <c r="AO20" s="766">
        <v>58.3</v>
      </c>
      <c r="AP20" s="766">
        <v>58.52</v>
      </c>
      <c r="AQ20" s="766">
        <v>58.72</v>
      </c>
      <c r="AR20" s="766">
        <v>59.01</v>
      </c>
      <c r="AS20" s="766">
        <v>59.09</v>
      </c>
      <c r="AT20" s="766">
        <v>59.23</v>
      </c>
      <c r="AU20" s="766">
        <v>59.3</v>
      </c>
      <c r="AV20" s="766">
        <v>59.42</v>
      </c>
      <c r="AW20" s="766">
        <v>59.75</v>
      </c>
      <c r="AX20" s="766">
        <v>59.95</v>
      </c>
      <c r="AY20" s="766">
        <v>60.05</v>
      </c>
      <c r="AZ20" s="766">
        <v>60.08</v>
      </c>
      <c r="BA20" s="766">
        <v>60.14</v>
      </c>
      <c r="BB20" s="766">
        <v>60.3</v>
      </c>
      <c r="BC20" s="766">
        <v>60.44</v>
      </c>
      <c r="BD20" s="766">
        <v>60.63</v>
      </c>
      <c r="BE20" s="766">
        <v>60.82</v>
      </c>
      <c r="BF20" s="766">
        <v>61.04</v>
      </c>
      <c r="BG20" s="766">
        <v>61.21</v>
      </c>
      <c r="BH20" s="766">
        <v>61.54</v>
      </c>
      <c r="BI20" s="766">
        <v>61.74</v>
      </c>
      <c r="BJ20" s="766">
        <v>62.02</v>
      </c>
      <c r="BK20" s="766">
        <v>62.25</v>
      </c>
      <c r="BL20" s="766">
        <v>62.55</v>
      </c>
      <c r="BM20" s="766">
        <v>62.85</v>
      </c>
      <c r="BN20" s="766">
        <v>63.09</v>
      </c>
      <c r="BO20" s="766">
        <v>63.34</v>
      </c>
      <c r="BP20" s="766">
        <v>63.58</v>
      </c>
      <c r="BQ20" s="766">
        <v>63.79</v>
      </c>
      <c r="BR20" s="766">
        <v>64.02</v>
      </c>
      <c r="BS20" s="766">
        <v>64.2</v>
      </c>
      <c r="BT20" s="888">
        <v>64.42</v>
      </c>
      <c r="BU20" s="766">
        <v>64.56</v>
      </c>
      <c r="BV20" s="766">
        <v>64.78</v>
      </c>
      <c r="BW20" s="766">
        <v>64.97</v>
      </c>
      <c r="BX20" s="766">
        <v>65.17</v>
      </c>
      <c r="BY20" s="766">
        <v>65.34</v>
      </c>
      <c r="BZ20" s="766">
        <v>65.510000000000005</v>
      </c>
      <c r="CA20" s="766">
        <v>65.69</v>
      </c>
      <c r="CB20" s="766">
        <v>65.86</v>
      </c>
      <c r="CC20" s="766">
        <v>66.05</v>
      </c>
      <c r="CD20" s="766">
        <v>66.239999999999995</v>
      </c>
      <c r="CE20" s="766">
        <v>66.44</v>
      </c>
      <c r="CF20" s="766">
        <v>66.62</v>
      </c>
      <c r="CG20" s="766">
        <v>66.819999999999993</v>
      </c>
      <c r="CH20" s="766">
        <v>66.989999999999995</v>
      </c>
      <c r="CI20" s="766">
        <v>67.209999999999994</v>
      </c>
      <c r="CJ20" s="766">
        <v>67.38</v>
      </c>
      <c r="CK20" s="766">
        <v>67.55</v>
      </c>
      <c r="CL20" s="766">
        <v>67.739999999999995</v>
      </c>
      <c r="CM20" s="766">
        <v>67.92</v>
      </c>
      <c r="CN20" s="766">
        <v>68.09</v>
      </c>
      <c r="CO20" s="766">
        <v>68.260000000000005</v>
      </c>
      <c r="CP20" s="766">
        <v>68.430000000000007</v>
      </c>
      <c r="CQ20" s="766">
        <v>68.599999999999994</v>
      </c>
      <c r="CR20" s="766">
        <v>68.760000000000005</v>
      </c>
      <c r="CS20" s="766">
        <v>68.92</v>
      </c>
      <c r="CT20" s="766">
        <v>69.09</v>
      </c>
      <c r="CU20" s="766">
        <v>69.239999999999995</v>
      </c>
      <c r="CV20" s="766">
        <v>69.400000000000006</v>
      </c>
      <c r="CW20" s="766">
        <v>69.55</v>
      </c>
      <c r="CX20" s="766">
        <v>69.709999999999994</v>
      </c>
      <c r="CY20" s="766">
        <v>69.87</v>
      </c>
      <c r="CZ20" s="766">
        <v>70.02</v>
      </c>
      <c r="DA20" s="766">
        <v>70.180000000000007</v>
      </c>
      <c r="DB20" s="766">
        <v>70.33</v>
      </c>
      <c r="DC20" s="766">
        <v>70.48</v>
      </c>
      <c r="DD20" s="766">
        <v>70.62</v>
      </c>
      <c r="DE20" s="766">
        <v>70.77</v>
      </c>
      <c r="DF20" s="766">
        <v>70.92</v>
      </c>
      <c r="DG20" s="766">
        <v>71.06</v>
      </c>
      <c r="DH20" s="766">
        <v>71.2</v>
      </c>
      <c r="DI20" s="766">
        <v>71.34</v>
      </c>
      <c r="DJ20" s="766">
        <v>71.48</v>
      </c>
      <c r="DK20" s="766">
        <v>71.62</v>
      </c>
      <c r="DL20" s="766">
        <v>71.760000000000005</v>
      </c>
      <c r="DM20" s="766">
        <v>71.900000000000006</v>
      </c>
      <c r="DN20" s="766">
        <v>72.03</v>
      </c>
      <c r="DO20" s="766">
        <v>72.17</v>
      </c>
      <c r="DP20" s="766">
        <v>72.3</v>
      </c>
      <c r="DQ20" s="766">
        <v>72.430000000000007</v>
      </c>
      <c r="DR20" s="766">
        <v>72.56</v>
      </c>
    </row>
    <row r="21" spans="1:122">
      <c r="A21" s="944">
        <v>19</v>
      </c>
      <c r="B21" s="96"/>
      <c r="C21" s="96"/>
      <c r="D21" s="96"/>
      <c r="E21" s="96"/>
      <c r="F21" s="96"/>
      <c r="G21" s="96"/>
      <c r="H21" s="96"/>
      <c r="I21" s="96"/>
      <c r="J21" s="96"/>
      <c r="K21" s="96"/>
      <c r="L21" s="96"/>
      <c r="M21" s="96"/>
      <c r="N21" s="96"/>
      <c r="O21" s="96"/>
      <c r="P21" s="96"/>
      <c r="Q21" s="96"/>
      <c r="R21" s="96"/>
      <c r="S21" s="96"/>
      <c r="T21" s="96"/>
      <c r="U21" s="96"/>
      <c r="V21" s="766"/>
      <c r="W21" s="766">
        <v>52.81</v>
      </c>
      <c r="X21" s="766">
        <v>53.08</v>
      </c>
      <c r="Y21" s="766">
        <v>53.18</v>
      </c>
      <c r="Z21" s="766">
        <v>53.42</v>
      </c>
      <c r="AA21" s="766">
        <v>53.71</v>
      </c>
      <c r="AB21" s="766">
        <v>53.98</v>
      </c>
      <c r="AC21" s="766">
        <v>54.19</v>
      </c>
      <c r="AD21" s="766">
        <v>54.3</v>
      </c>
      <c r="AE21" s="766">
        <v>54.51</v>
      </c>
      <c r="AF21" s="766">
        <v>54.78</v>
      </c>
      <c r="AG21" s="766">
        <v>55.04</v>
      </c>
      <c r="AH21" s="766">
        <v>55.36</v>
      </c>
      <c r="AI21" s="766">
        <v>55.65</v>
      </c>
      <c r="AJ21" s="766">
        <v>56</v>
      </c>
      <c r="AK21" s="766">
        <v>56.3</v>
      </c>
      <c r="AL21" s="766">
        <v>56.66</v>
      </c>
      <c r="AM21" s="766">
        <v>57.01</v>
      </c>
      <c r="AN21" s="766">
        <v>57.25</v>
      </c>
      <c r="AO21" s="766">
        <v>57.39</v>
      </c>
      <c r="AP21" s="766">
        <v>57.61</v>
      </c>
      <c r="AQ21" s="766">
        <v>57.81</v>
      </c>
      <c r="AR21" s="766">
        <v>58.09</v>
      </c>
      <c r="AS21" s="766">
        <v>58.18</v>
      </c>
      <c r="AT21" s="766">
        <v>58.32</v>
      </c>
      <c r="AU21" s="766">
        <v>58.38</v>
      </c>
      <c r="AV21" s="766">
        <v>58.51</v>
      </c>
      <c r="AW21" s="766">
        <v>58.84</v>
      </c>
      <c r="AX21" s="766">
        <v>59.05</v>
      </c>
      <c r="AY21" s="766">
        <v>59.14</v>
      </c>
      <c r="AZ21" s="766">
        <v>59.17</v>
      </c>
      <c r="BA21" s="766">
        <v>59.25</v>
      </c>
      <c r="BB21" s="766">
        <v>59.41</v>
      </c>
      <c r="BC21" s="766">
        <v>59.55</v>
      </c>
      <c r="BD21" s="766">
        <v>59.74</v>
      </c>
      <c r="BE21" s="766">
        <v>59.93</v>
      </c>
      <c r="BF21" s="766">
        <v>60.15</v>
      </c>
      <c r="BG21" s="766">
        <v>60.32</v>
      </c>
      <c r="BH21" s="766">
        <v>60.65</v>
      </c>
      <c r="BI21" s="766">
        <v>60.85</v>
      </c>
      <c r="BJ21" s="766">
        <v>61.13</v>
      </c>
      <c r="BK21" s="766">
        <v>61.35</v>
      </c>
      <c r="BL21" s="766">
        <v>61.64</v>
      </c>
      <c r="BM21" s="766">
        <v>61.93</v>
      </c>
      <c r="BN21" s="766">
        <v>62.18</v>
      </c>
      <c r="BO21" s="766">
        <v>62.43</v>
      </c>
      <c r="BP21" s="766">
        <v>62.65</v>
      </c>
      <c r="BQ21" s="766">
        <v>62.86</v>
      </c>
      <c r="BR21" s="766">
        <v>63.08</v>
      </c>
      <c r="BS21" s="766">
        <v>63.27</v>
      </c>
      <c r="BT21" s="888">
        <v>63.48</v>
      </c>
      <c r="BU21" s="766">
        <v>63.63</v>
      </c>
      <c r="BV21" s="766">
        <v>63.85</v>
      </c>
      <c r="BW21" s="766">
        <v>64.040000000000006</v>
      </c>
      <c r="BX21" s="766">
        <v>64.239999999999995</v>
      </c>
      <c r="BY21" s="766">
        <v>64.41</v>
      </c>
      <c r="BZ21" s="766">
        <v>64.58</v>
      </c>
      <c r="CA21" s="766">
        <v>64.760000000000005</v>
      </c>
      <c r="CB21" s="766">
        <v>64.930000000000007</v>
      </c>
      <c r="CC21" s="766">
        <v>65.12</v>
      </c>
      <c r="CD21" s="766">
        <v>65.31</v>
      </c>
      <c r="CE21" s="766">
        <v>65.5</v>
      </c>
      <c r="CF21" s="766">
        <v>65.680000000000007</v>
      </c>
      <c r="CG21" s="766">
        <v>65.88</v>
      </c>
      <c r="CH21" s="766">
        <v>66.05</v>
      </c>
      <c r="CI21" s="766">
        <v>66.260000000000005</v>
      </c>
      <c r="CJ21" s="766">
        <v>66.430000000000007</v>
      </c>
      <c r="CK21" s="766">
        <v>66.599999999999994</v>
      </c>
      <c r="CL21" s="766">
        <v>66.78</v>
      </c>
      <c r="CM21" s="766">
        <v>66.959999999999994</v>
      </c>
      <c r="CN21" s="766">
        <v>67.13</v>
      </c>
      <c r="CO21" s="766">
        <v>67.290000000000006</v>
      </c>
      <c r="CP21" s="766">
        <v>67.47</v>
      </c>
      <c r="CQ21" s="766">
        <v>67.63</v>
      </c>
      <c r="CR21" s="766">
        <v>67.790000000000006</v>
      </c>
      <c r="CS21" s="766">
        <v>67.95</v>
      </c>
      <c r="CT21" s="766">
        <v>68.11</v>
      </c>
      <c r="CU21" s="766">
        <v>68.27</v>
      </c>
      <c r="CV21" s="766">
        <v>68.42</v>
      </c>
      <c r="CW21" s="766">
        <v>68.58</v>
      </c>
      <c r="CX21" s="766">
        <v>68.739999999999995</v>
      </c>
      <c r="CY21" s="766">
        <v>68.89</v>
      </c>
      <c r="CZ21" s="766">
        <v>69.040000000000006</v>
      </c>
      <c r="DA21" s="766">
        <v>69.2</v>
      </c>
      <c r="DB21" s="766">
        <v>69.349999999999994</v>
      </c>
      <c r="DC21" s="766">
        <v>69.5</v>
      </c>
      <c r="DD21" s="766">
        <v>69.64</v>
      </c>
      <c r="DE21" s="766">
        <v>69.790000000000006</v>
      </c>
      <c r="DF21" s="766">
        <v>69.930000000000007</v>
      </c>
      <c r="DG21" s="766">
        <v>70.08</v>
      </c>
      <c r="DH21" s="766">
        <v>70.22</v>
      </c>
      <c r="DI21" s="766">
        <v>70.36</v>
      </c>
      <c r="DJ21" s="766">
        <v>70.5</v>
      </c>
      <c r="DK21" s="766">
        <v>70.64</v>
      </c>
      <c r="DL21" s="766">
        <v>70.78</v>
      </c>
      <c r="DM21" s="766">
        <v>70.91</v>
      </c>
      <c r="DN21" s="766">
        <v>71.05</v>
      </c>
      <c r="DO21" s="766">
        <v>71.180000000000007</v>
      </c>
      <c r="DP21" s="766">
        <v>71.31</v>
      </c>
      <c r="DQ21" s="766">
        <v>71.44</v>
      </c>
      <c r="DR21" s="766">
        <v>71.569999999999993</v>
      </c>
    </row>
    <row r="22" spans="1:122">
      <c r="A22" s="944">
        <v>20</v>
      </c>
      <c r="B22" s="96"/>
      <c r="C22" s="96"/>
      <c r="D22" s="96"/>
      <c r="E22" s="96"/>
      <c r="F22" s="96"/>
      <c r="G22" s="96"/>
      <c r="H22" s="96"/>
      <c r="I22" s="96"/>
      <c r="J22" s="96"/>
      <c r="K22" s="96"/>
      <c r="L22" s="96"/>
      <c r="M22" s="96"/>
      <c r="N22" s="96"/>
      <c r="O22" s="96"/>
      <c r="P22" s="96"/>
      <c r="Q22" s="96"/>
      <c r="R22" s="96"/>
      <c r="S22" s="96"/>
      <c r="T22" s="96"/>
      <c r="U22" s="96"/>
      <c r="V22" s="766"/>
      <c r="W22" s="766">
        <v>51.96</v>
      </c>
      <c r="X22" s="766">
        <v>52.23</v>
      </c>
      <c r="Y22" s="766">
        <v>52.32</v>
      </c>
      <c r="Z22" s="766">
        <v>52.59</v>
      </c>
      <c r="AA22" s="766">
        <v>52.89</v>
      </c>
      <c r="AB22" s="766">
        <v>53.25</v>
      </c>
      <c r="AC22" s="766">
        <v>53.39</v>
      </c>
      <c r="AD22" s="766">
        <v>53.5</v>
      </c>
      <c r="AE22" s="766">
        <v>53.66</v>
      </c>
      <c r="AF22" s="766">
        <v>53.87</v>
      </c>
      <c r="AG22" s="766">
        <v>54.14</v>
      </c>
      <c r="AH22" s="766">
        <v>54.45</v>
      </c>
      <c r="AI22" s="766">
        <v>54.75</v>
      </c>
      <c r="AJ22" s="766">
        <v>55.09</v>
      </c>
      <c r="AK22" s="766">
        <v>55.38</v>
      </c>
      <c r="AL22" s="766">
        <v>55.75</v>
      </c>
      <c r="AM22" s="766">
        <v>56.11</v>
      </c>
      <c r="AN22" s="766">
        <v>56.35</v>
      </c>
      <c r="AO22" s="766">
        <v>56.49</v>
      </c>
      <c r="AP22" s="766">
        <v>56.71</v>
      </c>
      <c r="AQ22" s="766">
        <v>56.92</v>
      </c>
      <c r="AR22" s="766">
        <v>57.19</v>
      </c>
      <c r="AS22" s="766">
        <v>57.27</v>
      </c>
      <c r="AT22" s="766">
        <v>57.42</v>
      </c>
      <c r="AU22" s="766">
        <v>57.49</v>
      </c>
      <c r="AV22" s="766">
        <v>57.62</v>
      </c>
      <c r="AW22" s="766">
        <v>57.94</v>
      </c>
      <c r="AX22" s="766">
        <v>58.14</v>
      </c>
      <c r="AY22" s="766">
        <v>58.24</v>
      </c>
      <c r="AZ22" s="766">
        <v>58.28</v>
      </c>
      <c r="BA22" s="766">
        <v>58.36</v>
      </c>
      <c r="BB22" s="766">
        <v>58.52</v>
      </c>
      <c r="BC22" s="766">
        <v>58.67</v>
      </c>
      <c r="BD22" s="766">
        <v>58.84</v>
      </c>
      <c r="BE22" s="766">
        <v>59.04</v>
      </c>
      <c r="BF22" s="766">
        <v>59.26</v>
      </c>
      <c r="BG22" s="766">
        <v>59.43</v>
      </c>
      <c r="BH22" s="766">
        <v>59.76</v>
      </c>
      <c r="BI22" s="766">
        <v>59.96</v>
      </c>
      <c r="BJ22" s="766">
        <v>60.23</v>
      </c>
      <c r="BK22" s="766">
        <v>60.45</v>
      </c>
      <c r="BL22" s="766">
        <v>60.74</v>
      </c>
      <c r="BM22" s="766">
        <v>61.02</v>
      </c>
      <c r="BN22" s="766">
        <v>61.27</v>
      </c>
      <c r="BO22" s="766">
        <v>61.5</v>
      </c>
      <c r="BP22" s="766">
        <v>61.72</v>
      </c>
      <c r="BQ22" s="766">
        <v>61.94</v>
      </c>
      <c r="BR22" s="766">
        <v>62.15</v>
      </c>
      <c r="BS22" s="766">
        <v>62.33</v>
      </c>
      <c r="BT22" s="888">
        <v>62.55</v>
      </c>
      <c r="BU22" s="766">
        <v>62.71</v>
      </c>
      <c r="BV22" s="766">
        <v>62.92</v>
      </c>
      <c r="BW22" s="766">
        <v>63.11</v>
      </c>
      <c r="BX22" s="766">
        <v>63.31</v>
      </c>
      <c r="BY22" s="766">
        <v>63.48</v>
      </c>
      <c r="BZ22" s="766">
        <v>63.65</v>
      </c>
      <c r="CA22" s="766">
        <v>63.84</v>
      </c>
      <c r="CB22" s="766">
        <v>64</v>
      </c>
      <c r="CC22" s="766">
        <v>64.180000000000007</v>
      </c>
      <c r="CD22" s="766">
        <v>64.37</v>
      </c>
      <c r="CE22" s="766">
        <v>64.56</v>
      </c>
      <c r="CF22" s="766">
        <v>64.739999999999995</v>
      </c>
      <c r="CG22" s="766">
        <v>64.930000000000007</v>
      </c>
      <c r="CH22" s="766">
        <v>65.099999999999994</v>
      </c>
      <c r="CI22" s="766">
        <v>65.3</v>
      </c>
      <c r="CJ22" s="766">
        <v>65.459999999999994</v>
      </c>
      <c r="CK22" s="766">
        <v>65.64</v>
      </c>
      <c r="CL22" s="766">
        <v>65.819999999999993</v>
      </c>
      <c r="CM22" s="766">
        <v>65.989999999999995</v>
      </c>
      <c r="CN22" s="766">
        <v>66.16</v>
      </c>
      <c r="CO22" s="766">
        <v>66.33</v>
      </c>
      <c r="CP22" s="766">
        <v>66.5</v>
      </c>
      <c r="CQ22" s="766">
        <v>66.66</v>
      </c>
      <c r="CR22" s="766">
        <v>66.81</v>
      </c>
      <c r="CS22" s="766">
        <v>66.98</v>
      </c>
      <c r="CT22" s="766">
        <v>67.14</v>
      </c>
      <c r="CU22" s="766">
        <v>67.290000000000006</v>
      </c>
      <c r="CV22" s="766">
        <v>67.45</v>
      </c>
      <c r="CW22" s="766">
        <v>67.61</v>
      </c>
      <c r="CX22" s="766">
        <v>67.760000000000005</v>
      </c>
      <c r="CY22" s="766">
        <v>67.92</v>
      </c>
      <c r="CZ22" s="766">
        <v>68.069999999999993</v>
      </c>
      <c r="DA22" s="766">
        <v>68.22</v>
      </c>
      <c r="DB22" s="766">
        <v>68.37</v>
      </c>
      <c r="DC22" s="766">
        <v>68.52</v>
      </c>
      <c r="DD22" s="766">
        <v>68.66</v>
      </c>
      <c r="DE22" s="766">
        <v>68.81</v>
      </c>
      <c r="DF22" s="766">
        <v>68.95</v>
      </c>
      <c r="DG22" s="766">
        <v>69.099999999999994</v>
      </c>
      <c r="DH22" s="766">
        <v>69.239999999999995</v>
      </c>
      <c r="DI22" s="766">
        <v>69.38</v>
      </c>
      <c r="DJ22" s="766">
        <v>69.52</v>
      </c>
      <c r="DK22" s="766">
        <v>69.66</v>
      </c>
      <c r="DL22" s="766">
        <v>69.790000000000006</v>
      </c>
      <c r="DM22" s="766">
        <v>69.930000000000007</v>
      </c>
      <c r="DN22" s="766">
        <v>70.06</v>
      </c>
      <c r="DO22" s="766">
        <v>70.19</v>
      </c>
      <c r="DP22" s="766">
        <v>70.33</v>
      </c>
      <c r="DQ22" s="766">
        <v>70.459999999999994</v>
      </c>
      <c r="DR22" s="766">
        <v>70.59</v>
      </c>
    </row>
    <row r="23" spans="1:122">
      <c r="A23" s="944">
        <v>21</v>
      </c>
      <c r="B23" s="96"/>
      <c r="C23" s="96"/>
      <c r="D23" s="96"/>
      <c r="E23" s="96"/>
      <c r="F23" s="96"/>
      <c r="G23" s="96"/>
      <c r="H23" s="96"/>
      <c r="I23" s="96"/>
      <c r="J23" s="96"/>
      <c r="K23" s="96"/>
      <c r="L23" s="96"/>
      <c r="M23" s="96"/>
      <c r="N23" s="96"/>
      <c r="O23" s="96"/>
      <c r="P23" s="96"/>
      <c r="Q23" s="96"/>
      <c r="R23" s="96"/>
      <c r="S23" s="96"/>
      <c r="T23" s="96"/>
      <c r="U23" s="96"/>
      <c r="V23" s="766"/>
      <c r="W23" s="766">
        <v>51.11</v>
      </c>
      <c r="X23" s="766">
        <v>51.38</v>
      </c>
      <c r="Y23" s="766">
        <v>51.49</v>
      </c>
      <c r="Z23" s="766">
        <v>51.78</v>
      </c>
      <c r="AA23" s="766">
        <v>52.17</v>
      </c>
      <c r="AB23" s="766">
        <v>52.48</v>
      </c>
      <c r="AC23" s="766">
        <v>52.62</v>
      </c>
      <c r="AD23" s="766">
        <v>52.68</v>
      </c>
      <c r="AE23" s="766">
        <v>52.76</v>
      </c>
      <c r="AF23" s="766">
        <v>52.97</v>
      </c>
      <c r="AG23" s="766">
        <v>53.24</v>
      </c>
      <c r="AH23" s="766">
        <v>53.55</v>
      </c>
      <c r="AI23" s="766">
        <v>53.84</v>
      </c>
      <c r="AJ23" s="766">
        <v>54.19</v>
      </c>
      <c r="AK23" s="766">
        <v>54.48</v>
      </c>
      <c r="AL23" s="766">
        <v>54.86</v>
      </c>
      <c r="AM23" s="766">
        <v>55.22</v>
      </c>
      <c r="AN23" s="766">
        <v>55.46</v>
      </c>
      <c r="AO23" s="766">
        <v>55.59</v>
      </c>
      <c r="AP23" s="766">
        <v>55.81</v>
      </c>
      <c r="AQ23" s="766">
        <v>56.02</v>
      </c>
      <c r="AR23" s="766">
        <v>56.29</v>
      </c>
      <c r="AS23" s="766">
        <v>56.37</v>
      </c>
      <c r="AT23" s="766">
        <v>56.51</v>
      </c>
      <c r="AU23" s="766">
        <v>56.59</v>
      </c>
      <c r="AV23" s="766">
        <v>56.72</v>
      </c>
      <c r="AW23" s="766">
        <v>57.03</v>
      </c>
      <c r="AX23" s="766">
        <v>57.22</v>
      </c>
      <c r="AY23" s="766">
        <v>57.34</v>
      </c>
      <c r="AZ23" s="766">
        <v>57.38</v>
      </c>
      <c r="BA23" s="766">
        <v>57.48</v>
      </c>
      <c r="BB23" s="766">
        <v>57.63</v>
      </c>
      <c r="BC23" s="766">
        <v>57.76</v>
      </c>
      <c r="BD23" s="766">
        <v>57.94</v>
      </c>
      <c r="BE23" s="766">
        <v>58.14</v>
      </c>
      <c r="BF23" s="766">
        <v>58.37</v>
      </c>
      <c r="BG23" s="766">
        <v>58.54</v>
      </c>
      <c r="BH23" s="766">
        <v>58.86</v>
      </c>
      <c r="BI23" s="766">
        <v>59.05</v>
      </c>
      <c r="BJ23" s="766">
        <v>59.32</v>
      </c>
      <c r="BK23" s="766">
        <v>59.54</v>
      </c>
      <c r="BL23" s="766">
        <v>59.83</v>
      </c>
      <c r="BM23" s="766">
        <v>60.1</v>
      </c>
      <c r="BN23" s="766">
        <v>60.34</v>
      </c>
      <c r="BO23" s="766">
        <v>60.57</v>
      </c>
      <c r="BP23" s="766">
        <v>60.79</v>
      </c>
      <c r="BQ23" s="766">
        <v>61.01</v>
      </c>
      <c r="BR23" s="766">
        <v>61.21</v>
      </c>
      <c r="BS23" s="766">
        <v>61.4</v>
      </c>
      <c r="BT23" s="888">
        <v>61.62</v>
      </c>
      <c r="BU23" s="766">
        <v>61.77</v>
      </c>
      <c r="BV23" s="766">
        <v>61.99</v>
      </c>
      <c r="BW23" s="766">
        <v>62.18</v>
      </c>
      <c r="BX23" s="766">
        <v>62.38</v>
      </c>
      <c r="BY23" s="766">
        <v>62.55</v>
      </c>
      <c r="BZ23" s="766">
        <v>62.72</v>
      </c>
      <c r="CA23" s="766">
        <v>62.9</v>
      </c>
      <c r="CB23" s="766">
        <v>63.06</v>
      </c>
      <c r="CC23" s="766">
        <v>63.24</v>
      </c>
      <c r="CD23" s="766">
        <v>63.43</v>
      </c>
      <c r="CE23" s="766">
        <v>63.62</v>
      </c>
      <c r="CF23" s="766">
        <v>63.79</v>
      </c>
      <c r="CG23" s="766">
        <v>63.98</v>
      </c>
      <c r="CH23" s="766">
        <v>64.14</v>
      </c>
      <c r="CI23" s="766">
        <v>64.34</v>
      </c>
      <c r="CJ23" s="766">
        <v>64.510000000000005</v>
      </c>
      <c r="CK23" s="766">
        <v>64.680000000000007</v>
      </c>
      <c r="CL23" s="766">
        <v>64.849999999999994</v>
      </c>
      <c r="CM23" s="766">
        <v>65.02</v>
      </c>
      <c r="CN23" s="766">
        <v>65.19</v>
      </c>
      <c r="CO23" s="766">
        <v>65.37</v>
      </c>
      <c r="CP23" s="766">
        <v>65.53</v>
      </c>
      <c r="CQ23" s="766">
        <v>65.69</v>
      </c>
      <c r="CR23" s="766">
        <v>65.849999999999994</v>
      </c>
      <c r="CS23" s="766">
        <v>66.010000000000005</v>
      </c>
      <c r="CT23" s="766">
        <v>66.17</v>
      </c>
      <c r="CU23" s="766">
        <v>66.319999999999993</v>
      </c>
      <c r="CV23" s="766">
        <v>66.48</v>
      </c>
      <c r="CW23" s="766">
        <v>66.63</v>
      </c>
      <c r="CX23" s="766">
        <v>66.790000000000006</v>
      </c>
      <c r="CY23" s="766">
        <v>66.94</v>
      </c>
      <c r="CZ23" s="766">
        <v>67.09</v>
      </c>
      <c r="DA23" s="766">
        <v>67.239999999999995</v>
      </c>
      <c r="DB23" s="766">
        <v>67.39</v>
      </c>
      <c r="DC23" s="766">
        <v>67.540000000000006</v>
      </c>
      <c r="DD23" s="766">
        <v>67.69</v>
      </c>
      <c r="DE23" s="766">
        <v>67.83</v>
      </c>
      <c r="DF23" s="766">
        <v>67.97</v>
      </c>
      <c r="DG23" s="766">
        <v>68.12</v>
      </c>
      <c r="DH23" s="766">
        <v>68.260000000000005</v>
      </c>
      <c r="DI23" s="766">
        <v>68.400000000000006</v>
      </c>
      <c r="DJ23" s="766">
        <v>68.540000000000006</v>
      </c>
      <c r="DK23" s="766">
        <v>68.67</v>
      </c>
      <c r="DL23" s="766">
        <v>68.81</v>
      </c>
      <c r="DM23" s="766">
        <v>68.94</v>
      </c>
      <c r="DN23" s="766">
        <v>69.08</v>
      </c>
      <c r="DO23" s="766">
        <v>69.209999999999994</v>
      </c>
      <c r="DP23" s="766">
        <v>69.34</v>
      </c>
      <c r="DQ23" s="766">
        <v>69.47</v>
      </c>
      <c r="DR23" s="766">
        <v>69.599999999999994</v>
      </c>
    </row>
    <row r="24" spans="1:122">
      <c r="A24" s="944">
        <v>22</v>
      </c>
      <c r="B24" s="96"/>
      <c r="C24" s="96"/>
      <c r="D24" s="96"/>
      <c r="E24" s="96"/>
      <c r="F24" s="96"/>
      <c r="G24" s="96"/>
      <c r="H24" s="96"/>
      <c r="I24" s="96"/>
      <c r="J24" s="96"/>
      <c r="K24" s="96"/>
      <c r="L24" s="96"/>
      <c r="M24" s="96"/>
      <c r="N24" s="96"/>
      <c r="O24" s="96"/>
      <c r="P24" s="96"/>
      <c r="Q24" s="96"/>
      <c r="R24" s="96"/>
      <c r="S24" s="96"/>
      <c r="T24" s="96"/>
      <c r="U24" s="96"/>
      <c r="V24" s="766"/>
      <c r="W24" s="766">
        <v>50.27</v>
      </c>
      <c r="X24" s="766">
        <v>50.56</v>
      </c>
      <c r="Y24" s="766">
        <v>50.69</v>
      </c>
      <c r="Z24" s="766">
        <v>51.07</v>
      </c>
      <c r="AA24" s="766">
        <v>51.42</v>
      </c>
      <c r="AB24" s="766">
        <v>51.73</v>
      </c>
      <c r="AC24" s="766">
        <v>51.81</v>
      </c>
      <c r="AD24" s="766">
        <v>51.78</v>
      </c>
      <c r="AE24" s="766">
        <v>51.87</v>
      </c>
      <c r="AF24" s="766">
        <v>52.08</v>
      </c>
      <c r="AG24" s="766">
        <v>52.34</v>
      </c>
      <c r="AH24" s="766">
        <v>52.65</v>
      </c>
      <c r="AI24" s="766">
        <v>52.94</v>
      </c>
      <c r="AJ24" s="766">
        <v>53.29</v>
      </c>
      <c r="AK24" s="766">
        <v>53.59</v>
      </c>
      <c r="AL24" s="766">
        <v>53.97</v>
      </c>
      <c r="AM24" s="766">
        <v>54.32</v>
      </c>
      <c r="AN24" s="766">
        <v>54.55</v>
      </c>
      <c r="AO24" s="766">
        <v>54.69</v>
      </c>
      <c r="AP24" s="766">
        <v>54.92</v>
      </c>
      <c r="AQ24" s="766">
        <v>55.12</v>
      </c>
      <c r="AR24" s="766">
        <v>55.39</v>
      </c>
      <c r="AS24" s="766">
        <v>55.47</v>
      </c>
      <c r="AT24" s="766">
        <v>55.6</v>
      </c>
      <c r="AU24" s="766">
        <v>55.68</v>
      </c>
      <c r="AV24" s="766">
        <v>55.81</v>
      </c>
      <c r="AW24" s="766">
        <v>56.12</v>
      </c>
      <c r="AX24" s="766">
        <v>56.32</v>
      </c>
      <c r="AY24" s="766">
        <v>56.44</v>
      </c>
      <c r="AZ24" s="766">
        <v>56.49</v>
      </c>
      <c r="BA24" s="766">
        <v>56.58</v>
      </c>
      <c r="BB24" s="766">
        <v>56.72</v>
      </c>
      <c r="BC24" s="766">
        <v>56.86</v>
      </c>
      <c r="BD24" s="766">
        <v>57.04</v>
      </c>
      <c r="BE24" s="766">
        <v>57.24</v>
      </c>
      <c r="BF24" s="766">
        <v>57.46</v>
      </c>
      <c r="BG24" s="766">
        <v>57.64</v>
      </c>
      <c r="BH24" s="766">
        <v>57.95</v>
      </c>
      <c r="BI24" s="766">
        <v>58.14</v>
      </c>
      <c r="BJ24" s="766">
        <v>58.41</v>
      </c>
      <c r="BK24" s="766">
        <v>58.63</v>
      </c>
      <c r="BL24" s="766">
        <v>58.91</v>
      </c>
      <c r="BM24" s="766">
        <v>59.17</v>
      </c>
      <c r="BN24" s="766">
        <v>59.41</v>
      </c>
      <c r="BO24" s="766">
        <v>59.63</v>
      </c>
      <c r="BP24" s="766">
        <v>59.85</v>
      </c>
      <c r="BQ24" s="766">
        <v>60.07</v>
      </c>
      <c r="BR24" s="766">
        <v>60.28</v>
      </c>
      <c r="BS24" s="766">
        <v>60.47</v>
      </c>
      <c r="BT24" s="888">
        <v>60.69</v>
      </c>
      <c r="BU24" s="766">
        <v>60.85</v>
      </c>
      <c r="BV24" s="766">
        <v>61.06</v>
      </c>
      <c r="BW24" s="766">
        <v>61.24</v>
      </c>
      <c r="BX24" s="766">
        <v>61.44</v>
      </c>
      <c r="BY24" s="766">
        <v>61.6</v>
      </c>
      <c r="BZ24" s="766">
        <v>61.78</v>
      </c>
      <c r="CA24" s="766">
        <v>61.96</v>
      </c>
      <c r="CB24" s="766">
        <v>62.12</v>
      </c>
      <c r="CC24" s="766">
        <v>62.3</v>
      </c>
      <c r="CD24" s="766">
        <v>62.48</v>
      </c>
      <c r="CE24" s="766">
        <v>62.67</v>
      </c>
      <c r="CF24" s="766">
        <v>62.84</v>
      </c>
      <c r="CG24" s="766">
        <v>63.02</v>
      </c>
      <c r="CH24" s="766">
        <v>63.18</v>
      </c>
      <c r="CI24" s="766">
        <v>63.38</v>
      </c>
      <c r="CJ24" s="766">
        <v>63.55</v>
      </c>
      <c r="CK24" s="766">
        <v>63.71</v>
      </c>
      <c r="CL24" s="766">
        <v>63.89</v>
      </c>
      <c r="CM24" s="766">
        <v>64.06</v>
      </c>
      <c r="CN24" s="766">
        <v>64.23</v>
      </c>
      <c r="CO24" s="766">
        <v>64.39</v>
      </c>
      <c r="CP24" s="766">
        <v>64.56</v>
      </c>
      <c r="CQ24" s="766">
        <v>64.72</v>
      </c>
      <c r="CR24" s="766">
        <v>64.87</v>
      </c>
      <c r="CS24" s="766">
        <v>65.040000000000006</v>
      </c>
      <c r="CT24" s="766">
        <v>65.2</v>
      </c>
      <c r="CU24" s="766">
        <v>65.349999999999994</v>
      </c>
      <c r="CV24" s="766">
        <v>65.510000000000005</v>
      </c>
      <c r="CW24" s="766">
        <v>65.66</v>
      </c>
      <c r="CX24" s="766">
        <v>65.81</v>
      </c>
      <c r="CY24" s="766">
        <v>65.97</v>
      </c>
      <c r="CZ24" s="766">
        <v>66.12</v>
      </c>
      <c r="DA24" s="766">
        <v>66.27</v>
      </c>
      <c r="DB24" s="766">
        <v>66.42</v>
      </c>
      <c r="DC24" s="766">
        <v>66.56</v>
      </c>
      <c r="DD24" s="766">
        <v>66.709999999999994</v>
      </c>
      <c r="DE24" s="766">
        <v>66.849999999999994</v>
      </c>
      <c r="DF24" s="766">
        <v>66.989999999999995</v>
      </c>
      <c r="DG24" s="766">
        <v>67.14</v>
      </c>
      <c r="DH24" s="766">
        <v>67.28</v>
      </c>
      <c r="DI24" s="766">
        <v>67.42</v>
      </c>
      <c r="DJ24" s="766">
        <v>67.55</v>
      </c>
      <c r="DK24" s="766">
        <v>67.69</v>
      </c>
      <c r="DL24" s="766">
        <v>67.83</v>
      </c>
      <c r="DM24" s="766">
        <v>67.959999999999994</v>
      </c>
      <c r="DN24" s="766">
        <v>68.09</v>
      </c>
      <c r="DO24" s="766">
        <v>68.23</v>
      </c>
      <c r="DP24" s="766">
        <v>68.36</v>
      </c>
      <c r="DQ24" s="766">
        <v>68.489999999999995</v>
      </c>
      <c r="DR24" s="766">
        <v>68.62</v>
      </c>
    </row>
    <row r="25" spans="1:122">
      <c r="A25" s="944">
        <v>23</v>
      </c>
      <c r="B25" s="96"/>
      <c r="C25" s="96"/>
      <c r="D25" s="96"/>
      <c r="E25" s="96"/>
      <c r="F25" s="96"/>
      <c r="G25" s="96"/>
      <c r="H25" s="96"/>
      <c r="I25" s="96"/>
      <c r="J25" s="96"/>
      <c r="K25" s="96"/>
      <c r="L25" s="96"/>
      <c r="M25" s="96"/>
      <c r="N25" s="96"/>
      <c r="O25" s="96"/>
      <c r="P25" s="96"/>
      <c r="Q25" s="96"/>
      <c r="R25" s="96"/>
      <c r="S25" s="96"/>
      <c r="T25" s="96"/>
      <c r="U25" s="96"/>
      <c r="V25" s="766"/>
      <c r="W25" s="766">
        <v>49.43</v>
      </c>
      <c r="X25" s="766">
        <v>49.74</v>
      </c>
      <c r="Y25" s="766">
        <v>49.96</v>
      </c>
      <c r="Z25" s="766">
        <v>50.32</v>
      </c>
      <c r="AA25" s="766">
        <v>50.68</v>
      </c>
      <c r="AB25" s="766">
        <v>50.9</v>
      </c>
      <c r="AC25" s="766">
        <v>50.92</v>
      </c>
      <c r="AD25" s="766">
        <v>50.89</v>
      </c>
      <c r="AE25" s="766">
        <v>50.97</v>
      </c>
      <c r="AF25" s="766">
        <v>51.18</v>
      </c>
      <c r="AG25" s="766">
        <v>51.44</v>
      </c>
      <c r="AH25" s="766">
        <v>51.75</v>
      </c>
      <c r="AI25" s="766">
        <v>52.04</v>
      </c>
      <c r="AJ25" s="766">
        <v>52.39</v>
      </c>
      <c r="AK25" s="766">
        <v>52.69</v>
      </c>
      <c r="AL25" s="766">
        <v>53.07</v>
      </c>
      <c r="AM25" s="766">
        <v>53.42</v>
      </c>
      <c r="AN25" s="766">
        <v>53.65</v>
      </c>
      <c r="AO25" s="766">
        <v>53.79</v>
      </c>
      <c r="AP25" s="766">
        <v>54.01</v>
      </c>
      <c r="AQ25" s="766">
        <v>54.21</v>
      </c>
      <c r="AR25" s="766">
        <v>54.48</v>
      </c>
      <c r="AS25" s="766">
        <v>54.55</v>
      </c>
      <c r="AT25" s="766">
        <v>54.69</v>
      </c>
      <c r="AU25" s="766">
        <v>54.78</v>
      </c>
      <c r="AV25" s="766">
        <v>54.9</v>
      </c>
      <c r="AW25" s="766">
        <v>55.21</v>
      </c>
      <c r="AX25" s="766">
        <v>55.42</v>
      </c>
      <c r="AY25" s="766">
        <v>55.53</v>
      </c>
      <c r="AZ25" s="766">
        <v>55.59</v>
      </c>
      <c r="BA25" s="766">
        <v>55.67</v>
      </c>
      <c r="BB25" s="766">
        <v>55.8</v>
      </c>
      <c r="BC25" s="766">
        <v>55.95</v>
      </c>
      <c r="BD25" s="766">
        <v>56.13</v>
      </c>
      <c r="BE25" s="766">
        <v>56.33</v>
      </c>
      <c r="BF25" s="766">
        <v>56.56</v>
      </c>
      <c r="BG25" s="766">
        <v>56.73</v>
      </c>
      <c r="BH25" s="766">
        <v>57.02</v>
      </c>
      <c r="BI25" s="766">
        <v>57.21</v>
      </c>
      <c r="BJ25" s="766">
        <v>57.49</v>
      </c>
      <c r="BK25" s="766">
        <v>57.7</v>
      </c>
      <c r="BL25" s="766">
        <v>57.98</v>
      </c>
      <c r="BM25" s="766">
        <v>58.24</v>
      </c>
      <c r="BN25" s="766">
        <v>58.47</v>
      </c>
      <c r="BO25" s="766">
        <v>58.69</v>
      </c>
      <c r="BP25" s="766">
        <v>58.91</v>
      </c>
      <c r="BQ25" s="766">
        <v>59.13</v>
      </c>
      <c r="BR25" s="766">
        <v>59.34</v>
      </c>
      <c r="BS25" s="766">
        <v>59.54</v>
      </c>
      <c r="BT25" s="888">
        <v>59.75</v>
      </c>
      <c r="BU25" s="766">
        <v>59.91</v>
      </c>
      <c r="BV25" s="766">
        <v>60.12</v>
      </c>
      <c r="BW25" s="766">
        <v>60.3</v>
      </c>
      <c r="BX25" s="766">
        <v>60.5</v>
      </c>
      <c r="BY25" s="766">
        <v>60.65</v>
      </c>
      <c r="BZ25" s="766">
        <v>60.84</v>
      </c>
      <c r="CA25" s="766">
        <v>61.02</v>
      </c>
      <c r="CB25" s="766">
        <v>61.17</v>
      </c>
      <c r="CC25" s="766">
        <v>61.35</v>
      </c>
      <c r="CD25" s="766">
        <v>61.53</v>
      </c>
      <c r="CE25" s="766">
        <v>61.72</v>
      </c>
      <c r="CF25" s="766">
        <v>61.88</v>
      </c>
      <c r="CG25" s="766">
        <v>62.06</v>
      </c>
      <c r="CH25" s="766">
        <v>62.23</v>
      </c>
      <c r="CI25" s="766">
        <v>62.41</v>
      </c>
      <c r="CJ25" s="766">
        <v>62.58</v>
      </c>
      <c r="CK25" s="766">
        <v>62.75</v>
      </c>
      <c r="CL25" s="766">
        <v>62.92</v>
      </c>
      <c r="CM25" s="766">
        <v>63.1</v>
      </c>
      <c r="CN25" s="766">
        <v>63.26</v>
      </c>
      <c r="CO25" s="766">
        <v>63.42</v>
      </c>
      <c r="CP25" s="766">
        <v>63.59</v>
      </c>
      <c r="CQ25" s="766">
        <v>63.75</v>
      </c>
      <c r="CR25" s="766">
        <v>63.9</v>
      </c>
      <c r="CS25" s="766">
        <v>64.069999999999993</v>
      </c>
      <c r="CT25" s="766">
        <v>64.22</v>
      </c>
      <c r="CU25" s="766">
        <v>64.38</v>
      </c>
      <c r="CV25" s="766">
        <v>64.53</v>
      </c>
      <c r="CW25" s="766">
        <v>64.69</v>
      </c>
      <c r="CX25" s="766">
        <v>64.84</v>
      </c>
      <c r="CY25" s="766">
        <v>64.989999999999995</v>
      </c>
      <c r="CZ25" s="766">
        <v>65.14</v>
      </c>
      <c r="DA25" s="766">
        <v>65.290000000000006</v>
      </c>
      <c r="DB25" s="766">
        <v>65.44</v>
      </c>
      <c r="DC25" s="766">
        <v>65.58</v>
      </c>
      <c r="DD25" s="766">
        <v>65.73</v>
      </c>
      <c r="DE25" s="766">
        <v>65.87</v>
      </c>
      <c r="DF25" s="766">
        <v>66.02</v>
      </c>
      <c r="DG25" s="766">
        <v>66.16</v>
      </c>
      <c r="DH25" s="766">
        <v>66.3</v>
      </c>
      <c r="DI25" s="766">
        <v>66.44</v>
      </c>
      <c r="DJ25" s="766">
        <v>66.569999999999993</v>
      </c>
      <c r="DK25" s="766">
        <v>66.709999999999994</v>
      </c>
      <c r="DL25" s="766">
        <v>66.84</v>
      </c>
      <c r="DM25" s="766">
        <v>66.98</v>
      </c>
      <c r="DN25" s="766">
        <v>67.11</v>
      </c>
      <c r="DO25" s="766">
        <v>67.239999999999995</v>
      </c>
      <c r="DP25" s="766">
        <v>67.37</v>
      </c>
      <c r="DQ25" s="766">
        <v>67.5</v>
      </c>
      <c r="DR25" s="766">
        <v>67.63</v>
      </c>
    </row>
    <row r="26" spans="1:122">
      <c r="A26" s="944">
        <v>24</v>
      </c>
      <c r="B26" s="96"/>
      <c r="C26" s="96"/>
      <c r="D26" s="96"/>
      <c r="E26" s="96"/>
      <c r="F26" s="96"/>
      <c r="G26" s="96"/>
      <c r="H26" s="96"/>
      <c r="I26" s="96"/>
      <c r="J26" s="96"/>
      <c r="K26" s="96"/>
      <c r="L26" s="96"/>
      <c r="M26" s="96"/>
      <c r="N26" s="96"/>
      <c r="O26" s="96"/>
      <c r="P26" s="96"/>
      <c r="Q26" s="96"/>
      <c r="R26" s="96"/>
      <c r="S26" s="96"/>
      <c r="T26" s="96"/>
      <c r="U26" s="96"/>
      <c r="V26" s="766"/>
      <c r="W26" s="766">
        <v>48.62</v>
      </c>
      <c r="X26" s="766">
        <v>49.01</v>
      </c>
      <c r="Y26" s="766">
        <v>49.2</v>
      </c>
      <c r="Z26" s="766">
        <v>49.56</v>
      </c>
      <c r="AA26" s="766">
        <v>49.83</v>
      </c>
      <c r="AB26" s="766">
        <v>50</v>
      </c>
      <c r="AC26" s="766">
        <v>50.03</v>
      </c>
      <c r="AD26" s="766">
        <v>49.99</v>
      </c>
      <c r="AE26" s="766">
        <v>50.07</v>
      </c>
      <c r="AF26" s="766">
        <v>50.29</v>
      </c>
      <c r="AG26" s="766">
        <v>50.54</v>
      </c>
      <c r="AH26" s="766">
        <v>50.85</v>
      </c>
      <c r="AI26" s="766">
        <v>51.14</v>
      </c>
      <c r="AJ26" s="766">
        <v>51.48</v>
      </c>
      <c r="AK26" s="766">
        <v>51.78</v>
      </c>
      <c r="AL26" s="766">
        <v>52.16</v>
      </c>
      <c r="AM26" s="766">
        <v>52.51</v>
      </c>
      <c r="AN26" s="766">
        <v>52.74</v>
      </c>
      <c r="AO26" s="766">
        <v>52.88</v>
      </c>
      <c r="AP26" s="766">
        <v>53.1</v>
      </c>
      <c r="AQ26" s="766">
        <v>53.3</v>
      </c>
      <c r="AR26" s="766">
        <v>53.57</v>
      </c>
      <c r="AS26" s="766">
        <v>53.64</v>
      </c>
      <c r="AT26" s="766">
        <v>53.77</v>
      </c>
      <c r="AU26" s="766">
        <v>53.86</v>
      </c>
      <c r="AV26" s="766">
        <v>53.99</v>
      </c>
      <c r="AW26" s="766">
        <v>54.3</v>
      </c>
      <c r="AX26" s="766">
        <v>54.51</v>
      </c>
      <c r="AY26" s="766">
        <v>54.61</v>
      </c>
      <c r="AZ26" s="766">
        <v>54.67</v>
      </c>
      <c r="BA26" s="766">
        <v>54.74</v>
      </c>
      <c r="BB26" s="766">
        <v>54.88</v>
      </c>
      <c r="BC26" s="766">
        <v>55.03</v>
      </c>
      <c r="BD26" s="766">
        <v>55.21</v>
      </c>
      <c r="BE26" s="766">
        <v>55.41</v>
      </c>
      <c r="BF26" s="766">
        <v>55.64</v>
      </c>
      <c r="BG26" s="766">
        <v>55.81</v>
      </c>
      <c r="BH26" s="766">
        <v>56.1</v>
      </c>
      <c r="BI26" s="766">
        <v>56.29</v>
      </c>
      <c r="BJ26" s="766">
        <v>56.56</v>
      </c>
      <c r="BK26" s="766">
        <v>56.76</v>
      </c>
      <c r="BL26" s="766">
        <v>57.04</v>
      </c>
      <c r="BM26" s="766">
        <v>57.29</v>
      </c>
      <c r="BN26" s="766">
        <v>57.53</v>
      </c>
      <c r="BO26" s="766">
        <v>57.75</v>
      </c>
      <c r="BP26" s="766">
        <v>57.97</v>
      </c>
      <c r="BQ26" s="766">
        <v>58.2</v>
      </c>
      <c r="BR26" s="766">
        <v>58.41</v>
      </c>
      <c r="BS26" s="766">
        <v>58.6</v>
      </c>
      <c r="BT26" s="888">
        <v>58.81</v>
      </c>
      <c r="BU26" s="766">
        <v>58.96</v>
      </c>
      <c r="BV26" s="766">
        <v>59.18</v>
      </c>
      <c r="BW26" s="766">
        <v>59.37</v>
      </c>
      <c r="BX26" s="766">
        <v>59.56</v>
      </c>
      <c r="BY26" s="766">
        <v>59.71</v>
      </c>
      <c r="BZ26" s="766">
        <v>59.9</v>
      </c>
      <c r="CA26" s="766">
        <v>60.07</v>
      </c>
      <c r="CB26" s="766">
        <v>60.22</v>
      </c>
      <c r="CC26" s="766">
        <v>60.4</v>
      </c>
      <c r="CD26" s="766">
        <v>60.57</v>
      </c>
      <c r="CE26" s="766">
        <v>60.76</v>
      </c>
      <c r="CF26" s="766">
        <v>60.92</v>
      </c>
      <c r="CG26" s="766">
        <v>61.1</v>
      </c>
      <c r="CH26" s="766">
        <v>61.26</v>
      </c>
      <c r="CI26" s="766">
        <v>61.45</v>
      </c>
      <c r="CJ26" s="766">
        <v>61.61</v>
      </c>
      <c r="CK26" s="766">
        <v>61.78</v>
      </c>
      <c r="CL26" s="766">
        <v>61.96</v>
      </c>
      <c r="CM26" s="766">
        <v>62.13</v>
      </c>
      <c r="CN26" s="766">
        <v>62.29</v>
      </c>
      <c r="CO26" s="766">
        <v>62.45</v>
      </c>
      <c r="CP26" s="766">
        <v>62.61</v>
      </c>
      <c r="CQ26" s="766">
        <v>62.78</v>
      </c>
      <c r="CR26" s="766">
        <v>62.93</v>
      </c>
      <c r="CS26" s="766">
        <v>63.09</v>
      </c>
      <c r="CT26" s="766">
        <v>63.25</v>
      </c>
      <c r="CU26" s="766">
        <v>63.41</v>
      </c>
      <c r="CV26" s="766">
        <v>63.56</v>
      </c>
      <c r="CW26" s="766">
        <v>63.71</v>
      </c>
      <c r="CX26" s="766">
        <v>63.87</v>
      </c>
      <c r="CY26" s="766">
        <v>64.02</v>
      </c>
      <c r="CZ26" s="766">
        <v>64.17</v>
      </c>
      <c r="DA26" s="766">
        <v>64.31</v>
      </c>
      <c r="DB26" s="766">
        <v>64.459999999999994</v>
      </c>
      <c r="DC26" s="766">
        <v>64.61</v>
      </c>
      <c r="DD26" s="766">
        <v>64.75</v>
      </c>
      <c r="DE26" s="766">
        <v>64.89</v>
      </c>
      <c r="DF26" s="766">
        <v>65.03</v>
      </c>
      <c r="DG26" s="766">
        <v>65.180000000000007</v>
      </c>
      <c r="DH26" s="766">
        <v>65.31</v>
      </c>
      <c r="DI26" s="766">
        <v>65.45</v>
      </c>
      <c r="DJ26" s="766">
        <v>65.59</v>
      </c>
      <c r="DK26" s="766">
        <v>65.73</v>
      </c>
      <c r="DL26" s="766">
        <v>65.86</v>
      </c>
      <c r="DM26" s="766">
        <v>65.989999999999995</v>
      </c>
      <c r="DN26" s="766">
        <v>66.13</v>
      </c>
      <c r="DO26" s="766">
        <v>66.260000000000005</v>
      </c>
      <c r="DP26" s="766">
        <v>66.39</v>
      </c>
      <c r="DQ26" s="766">
        <v>66.52</v>
      </c>
      <c r="DR26" s="766">
        <v>66.64</v>
      </c>
    </row>
    <row r="27" spans="1:122">
      <c r="A27" s="944">
        <v>25</v>
      </c>
      <c r="B27" s="96"/>
      <c r="C27" s="96"/>
      <c r="D27" s="96"/>
      <c r="E27" s="96"/>
      <c r="F27" s="96"/>
      <c r="G27" s="96"/>
      <c r="H27" s="96"/>
      <c r="I27" s="96"/>
      <c r="J27" s="96"/>
      <c r="K27" s="96"/>
      <c r="L27" s="96"/>
      <c r="M27" s="96"/>
      <c r="N27" s="96"/>
      <c r="O27" s="96"/>
      <c r="P27" s="96"/>
      <c r="Q27" s="96"/>
      <c r="R27" s="96"/>
      <c r="S27" s="96"/>
      <c r="T27" s="96"/>
      <c r="U27" s="96"/>
      <c r="V27" s="766"/>
      <c r="W27" s="766">
        <v>47.87</v>
      </c>
      <c r="X27" s="766">
        <v>48.24</v>
      </c>
      <c r="Y27" s="766">
        <v>48.43</v>
      </c>
      <c r="Z27" s="766">
        <v>48.71</v>
      </c>
      <c r="AA27" s="766">
        <v>48.94</v>
      </c>
      <c r="AB27" s="766">
        <v>49.11</v>
      </c>
      <c r="AC27" s="766">
        <v>49.14</v>
      </c>
      <c r="AD27" s="766">
        <v>49.08</v>
      </c>
      <c r="AE27" s="766">
        <v>49.17</v>
      </c>
      <c r="AF27" s="766">
        <v>49.38</v>
      </c>
      <c r="AG27" s="766">
        <v>49.63</v>
      </c>
      <c r="AH27" s="766">
        <v>49.95</v>
      </c>
      <c r="AI27" s="766">
        <v>50.23</v>
      </c>
      <c r="AJ27" s="766">
        <v>50.57</v>
      </c>
      <c r="AK27" s="766">
        <v>50.87</v>
      </c>
      <c r="AL27" s="766">
        <v>51.24</v>
      </c>
      <c r="AM27" s="766">
        <v>51.59</v>
      </c>
      <c r="AN27" s="766">
        <v>51.82</v>
      </c>
      <c r="AO27" s="766">
        <v>51.97</v>
      </c>
      <c r="AP27" s="766">
        <v>52.19</v>
      </c>
      <c r="AQ27" s="766">
        <v>52.38</v>
      </c>
      <c r="AR27" s="766">
        <v>52.66</v>
      </c>
      <c r="AS27" s="766">
        <v>52.71</v>
      </c>
      <c r="AT27" s="766">
        <v>52.85</v>
      </c>
      <c r="AU27" s="766">
        <v>52.95</v>
      </c>
      <c r="AV27" s="766">
        <v>53.08</v>
      </c>
      <c r="AW27" s="766">
        <v>53.39</v>
      </c>
      <c r="AX27" s="766">
        <v>53.59</v>
      </c>
      <c r="AY27" s="766">
        <v>53.69</v>
      </c>
      <c r="AZ27" s="766">
        <v>53.74</v>
      </c>
      <c r="BA27" s="766">
        <v>53.82</v>
      </c>
      <c r="BB27" s="766">
        <v>53.96</v>
      </c>
      <c r="BC27" s="766">
        <v>54.11</v>
      </c>
      <c r="BD27" s="766">
        <v>54.28</v>
      </c>
      <c r="BE27" s="766">
        <v>54.49</v>
      </c>
      <c r="BF27" s="766">
        <v>54.71</v>
      </c>
      <c r="BG27" s="766">
        <v>54.88</v>
      </c>
      <c r="BH27" s="766">
        <v>55.17</v>
      </c>
      <c r="BI27" s="766">
        <v>55.35</v>
      </c>
      <c r="BJ27" s="766">
        <v>55.62</v>
      </c>
      <c r="BK27" s="766">
        <v>55.82</v>
      </c>
      <c r="BL27" s="766">
        <v>56.1</v>
      </c>
      <c r="BM27" s="766">
        <v>56.35</v>
      </c>
      <c r="BN27" s="766">
        <v>56.59</v>
      </c>
      <c r="BO27" s="766">
        <v>56.81</v>
      </c>
      <c r="BP27" s="766">
        <v>57.03</v>
      </c>
      <c r="BQ27" s="766">
        <v>57.25</v>
      </c>
      <c r="BR27" s="766">
        <v>57.47</v>
      </c>
      <c r="BS27" s="766">
        <v>57.66</v>
      </c>
      <c r="BT27" s="888">
        <v>57.87</v>
      </c>
      <c r="BU27" s="766">
        <v>58.02</v>
      </c>
      <c r="BV27" s="766">
        <v>58.23</v>
      </c>
      <c r="BW27" s="766">
        <v>58.42</v>
      </c>
      <c r="BX27" s="766">
        <v>58.61</v>
      </c>
      <c r="BY27" s="766">
        <v>58.76</v>
      </c>
      <c r="BZ27" s="766">
        <v>58.94</v>
      </c>
      <c r="CA27" s="766">
        <v>59.11</v>
      </c>
      <c r="CB27" s="766">
        <v>59.26</v>
      </c>
      <c r="CC27" s="766">
        <v>59.45</v>
      </c>
      <c r="CD27" s="766">
        <v>59.61</v>
      </c>
      <c r="CE27" s="766">
        <v>59.79</v>
      </c>
      <c r="CF27" s="766">
        <v>59.95</v>
      </c>
      <c r="CG27" s="766">
        <v>60.13</v>
      </c>
      <c r="CH27" s="766">
        <v>60.3</v>
      </c>
      <c r="CI27" s="766">
        <v>60.48</v>
      </c>
      <c r="CJ27" s="766">
        <v>60.65</v>
      </c>
      <c r="CK27" s="766">
        <v>60.82</v>
      </c>
      <c r="CL27" s="766">
        <v>60.99</v>
      </c>
      <c r="CM27" s="766">
        <v>61.16</v>
      </c>
      <c r="CN27" s="766">
        <v>61.32</v>
      </c>
      <c r="CO27" s="766">
        <v>61.48</v>
      </c>
      <c r="CP27" s="766">
        <v>61.64</v>
      </c>
      <c r="CQ27" s="766">
        <v>61.8</v>
      </c>
      <c r="CR27" s="766">
        <v>61.96</v>
      </c>
      <c r="CS27" s="766">
        <v>62.12</v>
      </c>
      <c r="CT27" s="766">
        <v>62.28</v>
      </c>
      <c r="CU27" s="766">
        <v>62.43</v>
      </c>
      <c r="CV27" s="766">
        <v>62.58</v>
      </c>
      <c r="CW27" s="766">
        <v>62.74</v>
      </c>
      <c r="CX27" s="766">
        <v>62.89</v>
      </c>
      <c r="CY27" s="766">
        <v>63.04</v>
      </c>
      <c r="CZ27" s="766">
        <v>63.19</v>
      </c>
      <c r="DA27" s="766">
        <v>63.33</v>
      </c>
      <c r="DB27" s="766">
        <v>63.48</v>
      </c>
      <c r="DC27" s="766">
        <v>63.63</v>
      </c>
      <c r="DD27" s="766">
        <v>63.77</v>
      </c>
      <c r="DE27" s="766">
        <v>63.91</v>
      </c>
      <c r="DF27" s="766">
        <v>64.05</v>
      </c>
      <c r="DG27" s="766">
        <v>64.19</v>
      </c>
      <c r="DH27" s="766">
        <v>64.33</v>
      </c>
      <c r="DI27" s="766">
        <v>64.47</v>
      </c>
      <c r="DJ27" s="766">
        <v>64.61</v>
      </c>
      <c r="DK27" s="766">
        <v>64.739999999999995</v>
      </c>
      <c r="DL27" s="766">
        <v>64.88</v>
      </c>
      <c r="DM27" s="766">
        <v>65.010000000000005</v>
      </c>
      <c r="DN27" s="766">
        <v>65.14</v>
      </c>
      <c r="DO27" s="766">
        <v>65.27</v>
      </c>
      <c r="DP27" s="766">
        <v>65.400000000000006</v>
      </c>
      <c r="DQ27" s="766">
        <v>65.53</v>
      </c>
      <c r="DR27" s="766">
        <v>65.66</v>
      </c>
    </row>
    <row r="28" spans="1:122">
      <c r="A28" s="944">
        <v>26</v>
      </c>
      <c r="B28" s="96"/>
      <c r="C28" s="96"/>
      <c r="D28" s="96"/>
      <c r="E28" s="96"/>
      <c r="F28" s="96"/>
      <c r="G28" s="96"/>
      <c r="H28" s="96"/>
      <c r="I28" s="96"/>
      <c r="J28" s="96"/>
      <c r="K28" s="96"/>
      <c r="L28" s="96"/>
      <c r="M28" s="96"/>
      <c r="N28" s="96"/>
      <c r="O28" s="96"/>
      <c r="P28" s="96"/>
      <c r="Q28" s="96"/>
      <c r="R28" s="96"/>
      <c r="S28" s="96"/>
      <c r="T28" s="96"/>
      <c r="U28" s="96"/>
      <c r="V28" s="766"/>
      <c r="W28" s="766">
        <v>47.09</v>
      </c>
      <c r="X28" s="766">
        <v>47.45</v>
      </c>
      <c r="Y28" s="766">
        <v>47.57</v>
      </c>
      <c r="Z28" s="766">
        <v>47.82</v>
      </c>
      <c r="AA28" s="766">
        <v>48.05</v>
      </c>
      <c r="AB28" s="766">
        <v>48.22</v>
      </c>
      <c r="AC28" s="766">
        <v>48.23</v>
      </c>
      <c r="AD28" s="766">
        <v>48.17</v>
      </c>
      <c r="AE28" s="766">
        <v>48.25</v>
      </c>
      <c r="AF28" s="766">
        <v>48.47</v>
      </c>
      <c r="AG28" s="766">
        <v>48.72</v>
      </c>
      <c r="AH28" s="766">
        <v>49.03</v>
      </c>
      <c r="AI28" s="766">
        <v>49.32</v>
      </c>
      <c r="AJ28" s="766">
        <v>49.65</v>
      </c>
      <c r="AK28" s="766">
        <v>49.95</v>
      </c>
      <c r="AL28" s="766">
        <v>50.33</v>
      </c>
      <c r="AM28" s="766">
        <v>50.67</v>
      </c>
      <c r="AN28" s="766">
        <v>50.9</v>
      </c>
      <c r="AO28" s="766">
        <v>51.05</v>
      </c>
      <c r="AP28" s="766">
        <v>51.27</v>
      </c>
      <c r="AQ28" s="766">
        <v>51.46</v>
      </c>
      <c r="AR28" s="766">
        <v>51.74</v>
      </c>
      <c r="AS28" s="766">
        <v>51.79</v>
      </c>
      <c r="AT28" s="766">
        <v>51.92</v>
      </c>
      <c r="AU28" s="766">
        <v>52.03</v>
      </c>
      <c r="AV28" s="766">
        <v>52.16</v>
      </c>
      <c r="AW28" s="766">
        <v>52.48</v>
      </c>
      <c r="AX28" s="766">
        <v>52.66</v>
      </c>
      <c r="AY28" s="766">
        <v>52.76</v>
      </c>
      <c r="AZ28" s="766">
        <v>52.8</v>
      </c>
      <c r="BA28" s="766">
        <v>52.9</v>
      </c>
      <c r="BB28" s="766">
        <v>53.03</v>
      </c>
      <c r="BC28" s="766">
        <v>53.19</v>
      </c>
      <c r="BD28" s="766">
        <v>53.36</v>
      </c>
      <c r="BE28" s="766">
        <v>53.56</v>
      </c>
      <c r="BF28" s="766">
        <v>53.78</v>
      </c>
      <c r="BG28" s="766">
        <v>53.95</v>
      </c>
      <c r="BH28" s="766">
        <v>54.23</v>
      </c>
      <c r="BI28" s="766">
        <v>54.41</v>
      </c>
      <c r="BJ28" s="766">
        <v>54.68</v>
      </c>
      <c r="BK28" s="766">
        <v>54.88</v>
      </c>
      <c r="BL28" s="766">
        <v>55.16</v>
      </c>
      <c r="BM28" s="766">
        <v>55.41</v>
      </c>
      <c r="BN28" s="766">
        <v>55.65</v>
      </c>
      <c r="BO28" s="766">
        <v>55.87</v>
      </c>
      <c r="BP28" s="766">
        <v>56.1</v>
      </c>
      <c r="BQ28" s="766">
        <v>56.32</v>
      </c>
      <c r="BR28" s="766">
        <v>56.53</v>
      </c>
      <c r="BS28" s="766">
        <v>56.72</v>
      </c>
      <c r="BT28" s="888">
        <v>56.92</v>
      </c>
      <c r="BU28" s="766">
        <v>57.07</v>
      </c>
      <c r="BV28" s="766">
        <v>57.28</v>
      </c>
      <c r="BW28" s="766">
        <v>57.47</v>
      </c>
      <c r="BX28" s="766">
        <v>57.66</v>
      </c>
      <c r="BY28" s="766">
        <v>57.81</v>
      </c>
      <c r="BZ28" s="766">
        <v>57.99</v>
      </c>
      <c r="CA28" s="766">
        <v>58.16</v>
      </c>
      <c r="CB28" s="766">
        <v>58.31</v>
      </c>
      <c r="CC28" s="766">
        <v>58.48</v>
      </c>
      <c r="CD28" s="766">
        <v>58.65</v>
      </c>
      <c r="CE28" s="766">
        <v>58.83</v>
      </c>
      <c r="CF28" s="766">
        <v>58.99</v>
      </c>
      <c r="CG28" s="766">
        <v>59.16</v>
      </c>
      <c r="CH28" s="766">
        <v>59.33</v>
      </c>
      <c r="CI28" s="766">
        <v>59.51</v>
      </c>
      <c r="CJ28" s="766">
        <v>59.68</v>
      </c>
      <c r="CK28" s="766">
        <v>59.85</v>
      </c>
      <c r="CL28" s="766">
        <v>60.02</v>
      </c>
      <c r="CM28" s="766">
        <v>60.19</v>
      </c>
      <c r="CN28" s="766">
        <v>60.35</v>
      </c>
      <c r="CO28" s="766">
        <v>60.51</v>
      </c>
      <c r="CP28" s="766">
        <v>60.67</v>
      </c>
      <c r="CQ28" s="766">
        <v>60.83</v>
      </c>
      <c r="CR28" s="766">
        <v>60.99</v>
      </c>
      <c r="CS28" s="766">
        <v>61.14</v>
      </c>
      <c r="CT28" s="766">
        <v>61.3</v>
      </c>
      <c r="CU28" s="766">
        <v>61.45</v>
      </c>
      <c r="CV28" s="766">
        <v>61.61</v>
      </c>
      <c r="CW28" s="766">
        <v>61.76</v>
      </c>
      <c r="CX28" s="766">
        <v>61.91</v>
      </c>
      <c r="CY28" s="766">
        <v>62.06</v>
      </c>
      <c r="CZ28" s="766">
        <v>62.21</v>
      </c>
      <c r="DA28" s="766">
        <v>62.35</v>
      </c>
      <c r="DB28" s="766">
        <v>62.5</v>
      </c>
      <c r="DC28" s="766">
        <v>62.64</v>
      </c>
      <c r="DD28" s="766">
        <v>62.79</v>
      </c>
      <c r="DE28" s="766">
        <v>62.93</v>
      </c>
      <c r="DF28" s="766">
        <v>63.07</v>
      </c>
      <c r="DG28" s="766">
        <v>63.21</v>
      </c>
      <c r="DH28" s="766">
        <v>63.35</v>
      </c>
      <c r="DI28" s="766">
        <v>63.49</v>
      </c>
      <c r="DJ28" s="766">
        <v>63.62</v>
      </c>
      <c r="DK28" s="766">
        <v>63.76</v>
      </c>
      <c r="DL28" s="766">
        <v>63.89</v>
      </c>
      <c r="DM28" s="766">
        <v>64.02</v>
      </c>
      <c r="DN28" s="766">
        <v>64.16</v>
      </c>
      <c r="DO28" s="766">
        <v>64.290000000000006</v>
      </c>
      <c r="DP28" s="766">
        <v>64.42</v>
      </c>
      <c r="DQ28" s="766">
        <v>64.540000000000006</v>
      </c>
      <c r="DR28" s="766">
        <v>64.67</v>
      </c>
    </row>
    <row r="29" spans="1:122">
      <c r="A29" s="944">
        <v>27</v>
      </c>
      <c r="B29" s="96"/>
      <c r="C29" s="96"/>
      <c r="D29" s="96"/>
      <c r="E29" s="96"/>
      <c r="F29" s="96"/>
      <c r="G29" s="96"/>
      <c r="H29" s="96"/>
      <c r="I29" s="96"/>
      <c r="J29" s="96"/>
      <c r="K29" s="96"/>
      <c r="L29" s="96"/>
      <c r="M29" s="96"/>
      <c r="N29" s="96"/>
      <c r="O29" s="96"/>
      <c r="P29" s="96"/>
      <c r="Q29" s="96"/>
      <c r="R29" s="96"/>
      <c r="S29" s="96"/>
      <c r="T29" s="96"/>
      <c r="U29" s="96"/>
      <c r="V29" s="766"/>
      <c r="W29" s="766">
        <v>46.29</v>
      </c>
      <c r="X29" s="766">
        <v>46.59</v>
      </c>
      <c r="Y29" s="766">
        <v>46.68</v>
      </c>
      <c r="Z29" s="766">
        <v>46.92</v>
      </c>
      <c r="AA29" s="766">
        <v>47.16</v>
      </c>
      <c r="AB29" s="766">
        <v>47.31</v>
      </c>
      <c r="AC29" s="766">
        <v>47.32</v>
      </c>
      <c r="AD29" s="766">
        <v>47.26</v>
      </c>
      <c r="AE29" s="766">
        <v>47.34</v>
      </c>
      <c r="AF29" s="766">
        <v>47.56</v>
      </c>
      <c r="AG29" s="766">
        <v>47.81</v>
      </c>
      <c r="AH29" s="766">
        <v>48.11</v>
      </c>
      <c r="AI29" s="766">
        <v>48.4</v>
      </c>
      <c r="AJ29" s="766">
        <v>48.73</v>
      </c>
      <c r="AK29" s="766">
        <v>49.03</v>
      </c>
      <c r="AL29" s="766">
        <v>49.4</v>
      </c>
      <c r="AM29" s="766">
        <v>49.75</v>
      </c>
      <c r="AN29" s="766">
        <v>49.98</v>
      </c>
      <c r="AO29" s="766">
        <v>50.13</v>
      </c>
      <c r="AP29" s="766">
        <v>50.35</v>
      </c>
      <c r="AQ29" s="766">
        <v>50.53</v>
      </c>
      <c r="AR29" s="766">
        <v>50.81</v>
      </c>
      <c r="AS29" s="766">
        <v>50.87</v>
      </c>
      <c r="AT29" s="766">
        <v>51</v>
      </c>
      <c r="AU29" s="766">
        <v>51.12</v>
      </c>
      <c r="AV29" s="766">
        <v>51.24</v>
      </c>
      <c r="AW29" s="766">
        <v>51.54</v>
      </c>
      <c r="AX29" s="766">
        <v>51.73</v>
      </c>
      <c r="AY29" s="766">
        <v>51.82</v>
      </c>
      <c r="AZ29" s="766">
        <v>51.88</v>
      </c>
      <c r="BA29" s="766">
        <v>51.97</v>
      </c>
      <c r="BB29" s="766">
        <v>52.1</v>
      </c>
      <c r="BC29" s="766">
        <v>52.25</v>
      </c>
      <c r="BD29" s="766">
        <v>52.43</v>
      </c>
      <c r="BE29" s="766">
        <v>52.62</v>
      </c>
      <c r="BF29" s="766">
        <v>52.85</v>
      </c>
      <c r="BG29" s="766">
        <v>53</v>
      </c>
      <c r="BH29" s="766">
        <v>53.29</v>
      </c>
      <c r="BI29" s="766">
        <v>53.47</v>
      </c>
      <c r="BJ29" s="766">
        <v>53.74</v>
      </c>
      <c r="BK29" s="766">
        <v>53.94</v>
      </c>
      <c r="BL29" s="766">
        <v>54.21</v>
      </c>
      <c r="BM29" s="766">
        <v>54.46</v>
      </c>
      <c r="BN29" s="766">
        <v>54.71</v>
      </c>
      <c r="BO29" s="766">
        <v>54.93</v>
      </c>
      <c r="BP29" s="766">
        <v>55.15</v>
      </c>
      <c r="BQ29" s="766">
        <v>55.37</v>
      </c>
      <c r="BR29" s="766">
        <v>55.58</v>
      </c>
      <c r="BS29" s="766">
        <v>55.77</v>
      </c>
      <c r="BT29" s="888">
        <v>55.97</v>
      </c>
      <c r="BU29" s="766">
        <v>56.12</v>
      </c>
      <c r="BV29" s="766">
        <v>56.33</v>
      </c>
      <c r="BW29" s="766">
        <v>56.51</v>
      </c>
      <c r="BX29" s="766">
        <v>56.7</v>
      </c>
      <c r="BY29" s="766">
        <v>56.85</v>
      </c>
      <c r="BZ29" s="766">
        <v>57.03</v>
      </c>
      <c r="CA29" s="766">
        <v>57.2</v>
      </c>
      <c r="CB29" s="766">
        <v>57.35</v>
      </c>
      <c r="CC29" s="766">
        <v>57.52</v>
      </c>
      <c r="CD29" s="766">
        <v>57.69</v>
      </c>
      <c r="CE29" s="766">
        <v>57.87</v>
      </c>
      <c r="CF29" s="766">
        <v>58.02</v>
      </c>
      <c r="CG29" s="766">
        <v>58.2</v>
      </c>
      <c r="CH29" s="766">
        <v>58.36</v>
      </c>
      <c r="CI29" s="766">
        <v>58.55</v>
      </c>
      <c r="CJ29" s="766">
        <v>58.71</v>
      </c>
      <c r="CK29" s="766">
        <v>58.88</v>
      </c>
      <c r="CL29" s="766">
        <v>59.05</v>
      </c>
      <c r="CM29" s="766">
        <v>59.21</v>
      </c>
      <c r="CN29" s="766">
        <v>59.37</v>
      </c>
      <c r="CO29" s="766">
        <v>59.54</v>
      </c>
      <c r="CP29" s="766">
        <v>59.7</v>
      </c>
      <c r="CQ29" s="766">
        <v>59.85</v>
      </c>
      <c r="CR29" s="766">
        <v>60.01</v>
      </c>
      <c r="CS29" s="766">
        <v>60.17</v>
      </c>
      <c r="CT29" s="766">
        <v>60.32</v>
      </c>
      <c r="CU29" s="766">
        <v>60.48</v>
      </c>
      <c r="CV29" s="766">
        <v>60.63</v>
      </c>
      <c r="CW29" s="766">
        <v>60.78</v>
      </c>
      <c r="CX29" s="766">
        <v>60.93</v>
      </c>
      <c r="CY29" s="766">
        <v>61.08</v>
      </c>
      <c r="CZ29" s="766">
        <v>61.23</v>
      </c>
      <c r="DA29" s="766">
        <v>61.37</v>
      </c>
      <c r="DB29" s="766">
        <v>61.52</v>
      </c>
      <c r="DC29" s="766">
        <v>61.66</v>
      </c>
      <c r="DD29" s="766">
        <v>61.81</v>
      </c>
      <c r="DE29" s="766">
        <v>61.95</v>
      </c>
      <c r="DF29" s="766">
        <v>62.09</v>
      </c>
      <c r="DG29" s="766">
        <v>62.23</v>
      </c>
      <c r="DH29" s="766">
        <v>62.37</v>
      </c>
      <c r="DI29" s="766">
        <v>62.5</v>
      </c>
      <c r="DJ29" s="766">
        <v>62.64</v>
      </c>
      <c r="DK29" s="766">
        <v>62.77</v>
      </c>
      <c r="DL29" s="766">
        <v>62.91</v>
      </c>
      <c r="DM29" s="766">
        <v>63.04</v>
      </c>
      <c r="DN29" s="766">
        <v>63.17</v>
      </c>
      <c r="DO29" s="766">
        <v>63.3</v>
      </c>
      <c r="DP29" s="766">
        <v>63.43</v>
      </c>
      <c r="DQ29" s="766">
        <v>63.56</v>
      </c>
      <c r="DR29" s="766">
        <v>63.68</v>
      </c>
    </row>
    <row r="30" spans="1:122">
      <c r="A30" s="944">
        <v>28</v>
      </c>
      <c r="B30" s="96"/>
      <c r="C30" s="96"/>
      <c r="D30" s="96"/>
      <c r="E30" s="96"/>
      <c r="F30" s="96"/>
      <c r="G30" s="96"/>
      <c r="H30" s="96"/>
      <c r="I30" s="96"/>
      <c r="J30" s="96"/>
      <c r="K30" s="96"/>
      <c r="L30" s="96"/>
      <c r="M30" s="96"/>
      <c r="N30" s="96"/>
      <c r="O30" s="96"/>
      <c r="P30" s="96"/>
      <c r="Q30" s="96"/>
      <c r="R30" s="96"/>
      <c r="S30" s="96"/>
      <c r="T30" s="96"/>
      <c r="U30" s="96"/>
      <c r="V30" s="766"/>
      <c r="W30" s="766">
        <v>45.44</v>
      </c>
      <c r="X30" s="766">
        <v>45.69</v>
      </c>
      <c r="Y30" s="766">
        <v>45.78</v>
      </c>
      <c r="Z30" s="766">
        <v>46.03</v>
      </c>
      <c r="AA30" s="766">
        <v>46.24</v>
      </c>
      <c r="AB30" s="766">
        <v>46.39</v>
      </c>
      <c r="AC30" s="766">
        <v>46.4</v>
      </c>
      <c r="AD30" s="766">
        <v>46.34</v>
      </c>
      <c r="AE30" s="766">
        <v>46.43</v>
      </c>
      <c r="AF30" s="766">
        <v>46.64</v>
      </c>
      <c r="AG30" s="766">
        <v>46.89</v>
      </c>
      <c r="AH30" s="766">
        <v>47.2</v>
      </c>
      <c r="AI30" s="766">
        <v>47.48</v>
      </c>
      <c r="AJ30" s="766">
        <v>47.81</v>
      </c>
      <c r="AK30" s="766">
        <v>48.11</v>
      </c>
      <c r="AL30" s="766">
        <v>48.48</v>
      </c>
      <c r="AM30" s="766">
        <v>48.83</v>
      </c>
      <c r="AN30" s="766">
        <v>49.05</v>
      </c>
      <c r="AO30" s="766">
        <v>49.21</v>
      </c>
      <c r="AP30" s="766">
        <v>49.42</v>
      </c>
      <c r="AQ30" s="766">
        <v>49.61</v>
      </c>
      <c r="AR30" s="766">
        <v>49.89</v>
      </c>
      <c r="AS30" s="766">
        <v>49.95</v>
      </c>
      <c r="AT30" s="766">
        <v>50.08</v>
      </c>
      <c r="AU30" s="766">
        <v>50.19</v>
      </c>
      <c r="AV30" s="766">
        <v>50.31</v>
      </c>
      <c r="AW30" s="766">
        <v>50.61</v>
      </c>
      <c r="AX30" s="766">
        <v>50.79</v>
      </c>
      <c r="AY30" s="766">
        <v>50.89</v>
      </c>
      <c r="AZ30" s="766">
        <v>50.95</v>
      </c>
      <c r="BA30" s="766">
        <v>51.04</v>
      </c>
      <c r="BB30" s="766">
        <v>51.17</v>
      </c>
      <c r="BC30" s="766">
        <v>51.31</v>
      </c>
      <c r="BD30" s="766">
        <v>51.49</v>
      </c>
      <c r="BE30" s="766">
        <v>51.69</v>
      </c>
      <c r="BF30" s="766">
        <v>51.91</v>
      </c>
      <c r="BG30" s="766">
        <v>52.06</v>
      </c>
      <c r="BH30" s="766">
        <v>52.34</v>
      </c>
      <c r="BI30" s="766">
        <v>52.53</v>
      </c>
      <c r="BJ30" s="766">
        <v>52.79</v>
      </c>
      <c r="BK30" s="766">
        <v>52.99</v>
      </c>
      <c r="BL30" s="766">
        <v>53.27</v>
      </c>
      <c r="BM30" s="766">
        <v>53.53</v>
      </c>
      <c r="BN30" s="766">
        <v>53.77</v>
      </c>
      <c r="BO30" s="766">
        <v>53.99</v>
      </c>
      <c r="BP30" s="766">
        <v>54.21</v>
      </c>
      <c r="BQ30" s="766">
        <v>54.42</v>
      </c>
      <c r="BR30" s="766">
        <v>54.63</v>
      </c>
      <c r="BS30" s="766">
        <v>54.82</v>
      </c>
      <c r="BT30" s="888">
        <v>55.02</v>
      </c>
      <c r="BU30" s="766">
        <v>55.16</v>
      </c>
      <c r="BV30" s="766">
        <v>55.38</v>
      </c>
      <c r="BW30" s="766">
        <v>55.56</v>
      </c>
      <c r="BX30" s="766">
        <v>55.74</v>
      </c>
      <c r="BY30" s="766">
        <v>55.89</v>
      </c>
      <c r="BZ30" s="766">
        <v>56.07</v>
      </c>
      <c r="CA30" s="766">
        <v>56.24</v>
      </c>
      <c r="CB30" s="766">
        <v>56.38</v>
      </c>
      <c r="CC30" s="766">
        <v>56.55</v>
      </c>
      <c r="CD30" s="766">
        <v>56.72</v>
      </c>
      <c r="CE30" s="766">
        <v>56.9</v>
      </c>
      <c r="CF30" s="766">
        <v>57.06</v>
      </c>
      <c r="CG30" s="766">
        <v>57.24</v>
      </c>
      <c r="CH30" s="766">
        <v>57.4</v>
      </c>
      <c r="CI30" s="766">
        <v>57.57</v>
      </c>
      <c r="CJ30" s="766">
        <v>57.74</v>
      </c>
      <c r="CK30" s="766">
        <v>57.91</v>
      </c>
      <c r="CL30" s="766">
        <v>58.08</v>
      </c>
      <c r="CM30" s="766">
        <v>58.24</v>
      </c>
      <c r="CN30" s="766">
        <v>58.4</v>
      </c>
      <c r="CO30" s="766">
        <v>58.56</v>
      </c>
      <c r="CP30" s="766">
        <v>58.72</v>
      </c>
      <c r="CQ30" s="766">
        <v>58.88</v>
      </c>
      <c r="CR30" s="766">
        <v>59.04</v>
      </c>
      <c r="CS30" s="766">
        <v>59.19</v>
      </c>
      <c r="CT30" s="766">
        <v>59.35</v>
      </c>
      <c r="CU30" s="766">
        <v>59.5</v>
      </c>
      <c r="CV30" s="766">
        <v>59.65</v>
      </c>
      <c r="CW30" s="766">
        <v>59.8</v>
      </c>
      <c r="CX30" s="766">
        <v>59.95</v>
      </c>
      <c r="CY30" s="766">
        <v>60.1</v>
      </c>
      <c r="CZ30" s="766">
        <v>60.25</v>
      </c>
      <c r="DA30" s="766">
        <v>60.39</v>
      </c>
      <c r="DB30" s="766">
        <v>60.54</v>
      </c>
      <c r="DC30" s="766">
        <v>60.68</v>
      </c>
      <c r="DD30" s="766">
        <v>60.82</v>
      </c>
      <c r="DE30" s="766">
        <v>60.97</v>
      </c>
      <c r="DF30" s="766">
        <v>61.11</v>
      </c>
      <c r="DG30" s="766">
        <v>61.24</v>
      </c>
      <c r="DH30" s="766">
        <v>61.38</v>
      </c>
      <c r="DI30" s="766">
        <v>61.52</v>
      </c>
      <c r="DJ30" s="766">
        <v>61.65</v>
      </c>
      <c r="DK30" s="766">
        <v>61.79</v>
      </c>
      <c r="DL30" s="766">
        <v>61.92</v>
      </c>
      <c r="DM30" s="766">
        <v>62.05</v>
      </c>
      <c r="DN30" s="766">
        <v>62.18</v>
      </c>
      <c r="DO30" s="766">
        <v>62.31</v>
      </c>
      <c r="DP30" s="766">
        <v>62.44</v>
      </c>
      <c r="DQ30" s="766">
        <v>62.57</v>
      </c>
      <c r="DR30" s="766">
        <v>62.7</v>
      </c>
    </row>
    <row r="31" spans="1:122">
      <c r="A31" s="944">
        <v>29</v>
      </c>
      <c r="B31" s="96"/>
      <c r="C31" s="96"/>
      <c r="D31" s="96"/>
      <c r="E31" s="96"/>
      <c r="F31" s="96"/>
      <c r="G31" s="96"/>
      <c r="H31" s="96"/>
      <c r="I31" s="96"/>
      <c r="J31" s="96"/>
      <c r="K31" s="96"/>
      <c r="L31" s="96"/>
      <c r="M31" s="96"/>
      <c r="N31" s="96"/>
      <c r="O31" s="96"/>
      <c r="P31" s="96"/>
      <c r="Q31" s="96"/>
      <c r="R31" s="96"/>
      <c r="S31" s="96"/>
      <c r="T31" s="96"/>
      <c r="U31" s="96"/>
      <c r="V31" s="766"/>
      <c r="W31" s="766">
        <v>44.54</v>
      </c>
      <c r="X31" s="766">
        <v>44.79</v>
      </c>
      <c r="Y31" s="766">
        <v>44.88</v>
      </c>
      <c r="Z31" s="766">
        <v>45.11</v>
      </c>
      <c r="AA31" s="766">
        <v>45.32</v>
      </c>
      <c r="AB31" s="766">
        <v>45.47</v>
      </c>
      <c r="AC31" s="766">
        <v>45.48</v>
      </c>
      <c r="AD31" s="766">
        <v>45.42</v>
      </c>
      <c r="AE31" s="766">
        <v>45.51</v>
      </c>
      <c r="AF31" s="766">
        <v>45.72</v>
      </c>
      <c r="AG31" s="766">
        <v>45.97</v>
      </c>
      <c r="AH31" s="766">
        <v>46.28</v>
      </c>
      <c r="AI31" s="766">
        <v>46.56</v>
      </c>
      <c r="AJ31" s="766">
        <v>46.88</v>
      </c>
      <c r="AK31" s="766">
        <v>47.18</v>
      </c>
      <c r="AL31" s="766">
        <v>47.55</v>
      </c>
      <c r="AM31" s="766">
        <v>47.9</v>
      </c>
      <c r="AN31" s="766">
        <v>48.13</v>
      </c>
      <c r="AO31" s="766">
        <v>48.29</v>
      </c>
      <c r="AP31" s="766">
        <v>48.49</v>
      </c>
      <c r="AQ31" s="766">
        <v>48.68</v>
      </c>
      <c r="AR31" s="766">
        <v>48.97</v>
      </c>
      <c r="AS31" s="766">
        <v>49.02</v>
      </c>
      <c r="AT31" s="766">
        <v>49.15</v>
      </c>
      <c r="AU31" s="766">
        <v>49.27</v>
      </c>
      <c r="AV31" s="766">
        <v>49.38</v>
      </c>
      <c r="AW31" s="766">
        <v>49.68</v>
      </c>
      <c r="AX31" s="766">
        <v>49.86</v>
      </c>
      <c r="AY31" s="766">
        <v>49.96</v>
      </c>
      <c r="AZ31" s="766">
        <v>50.02</v>
      </c>
      <c r="BA31" s="766">
        <v>50.11</v>
      </c>
      <c r="BB31" s="766">
        <v>50.24</v>
      </c>
      <c r="BC31" s="766">
        <v>50.38</v>
      </c>
      <c r="BD31" s="766">
        <v>50.56</v>
      </c>
      <c r="BE31" s="766">
        <v>50.75</v>
      </c>
      <c r="BF31" s="766">
        <v>50.97</v>
      </c>
      <c r="BG31" s="766">
        <v>51.12</v>
      </c>
      <c r="BH31" s="766">
        <v>51.4</v>
      </c>
      <c r="BI31" s="766">
        <v>51.58</v>
      </c>
      <c r="BJ31" s="766">
        <v>51.85</v>
      </c>
      <c r="BK31" s="766">
        <v>52.05</v>
      </c>
      <c r="BL31" s="766">
        <v>52.33</v>
      </c>
      <c r="BM31" s="766">
        <v>52.59</v>
      </c>
      <c r="BN31" s="766">
        <v>52.83</v>
      </c>
      <c r="BO31" s="766">
        <v>53.04</v>
      </c>
      <c r="BP31" s="766">
        <v>53.27</v>
      </c>
      <c r="BQ31" s="766">
        <v>53.48</v>
      </c>
      <c r="BR31" s="766">
        <v>53.69</v>
      </c>
      <c r="BS31" s="766">
        <v>53.87</v>
      </c>
      <c r="BT31" s="888">
        <v>54.07</v>
      </c>
      <c r="BU31" s="766">
        <v>54.21</v>
      </c>
      <c r="BV31" s="766">
        <v>54.42</v>
      </c>
      <c r="BW31" s="766">
        <v>54.6</v>
      </c>
      <c r="BX31" s="766">
        <v>54.78</v>
      </c>
      <c r="BY31" s="766">
        <v>54.94</v>
      </c>
      <c r="BZ31" s="766">
        <v>55.11</v>
      </c>
      <c r="CA31" s="766">
        <v>55.27</v>
      </c>
      <c r="CB31" s="766">
        <v>55.42</v>
      </c>
      <c r="CC31" s="766">
        <v>55.59</v>
      </c>
      <c r="CD31" s="766">
        <v>55.76</v>
      </c>
      <c r="CE31" s="766">
        <v>55.94</v>
      </c>
      <c r="CF31" s="766">
        <v>56.1</v>
      </c>
      <c r="CG31" s="766">
        <v>56.27</v>
      </c>
      <c r="CH31" s="766">
        <v>56.43</v>
      </c>
      <c r="CI31" s="766">
        <v>56.61</v>
      </c>
      <c r="CJ31" s="766">
        <v>56.77</v>
      </c>
      <c r="CK31" s="766">
        <v>56.94</v>
      </c>
      <c r="CL31" s="766">
        <v>57.1</v>
      </c>
      <c r="CM31" s="766">
        <v>57.27</v>
      </c>
      <c r="CN31" s="766">
        <v>57.43</v>
      </c>
      <c r="CO31" s="766">
        <v>57.59</v>
      </c>
      <c r="CP31" s="766">
        <v>57.75</v>
      </c>
      <c r="CQ31" s="766">
        <v>57.9</v>
      </c>
      <c r="CR31" s="766">
        <v>58.06</v>
      </c>
      <c r="CS31" s="766">
        <v>58.22</v>
      </c>
      <c r="CT31" s="766">
        <v>58.37</v>
      </c>
      <c r="CU31" s="766">
        <v>58.52</v>
      </c>
      <c r="CV31" s="766">
        <v>58.67</v>
      </c>
      <c r="CW31" s="766">
        <v>58.82</v>
      </c>
      <c r="CX31" s="766">
        <v>58.97</v>
      </c>
      <c r="CY31" s="766">
        <v>59.12</v>
      </c>
      <c r="CZ31" s="766">
        <v>59.27</v>
      </c>
      <c r="DA31" s="766">
        <v>59.41</v>
      </c>
      <c r="DB31" s="766">
        <v>59.56</v>
      </c>
      <c r="DC31" s="766">
        <v>59.7</v>
      </c>
      <c r="DD31" s="766">
        <v>59.84</v>
      </c>
      <c r="DE31" s="766">
        <v>59.98</v>
      </c>
      <c r="DF31" s="766">
        <v>60.12</v>
      </c>
      <c r="DG31" s="766">
        <v>60.26</v>
      </c>
      <c r="DH31" s="766">
        <v>60.4</v>
      </c>
      <c r="DI31" s="766">
        <v>60.53</v>
      </c>
      <c r="DJ31" s="766">
        <v>60.67</v>
      </c>
      <c r="DK31" s="766">
        <v>60.8</v>
      </c>
      <c r="DL31" s="766">
        <v>60.94</v>
      </c>
      <c r="DM31" s="766">
        <v>61.07</v>
      </c>
      <c r="DN31" s="766">
        <v>61.2</v>
      </c>
      <c r="DO31" s="766">
        <v>61.33</v>
      </c>
      <c r="DP31" s="766">
        <v>61.46</v>
      </c>
      <c r="DQ31" s="766">
        <v>61.58</v>
      </c>
      <c r="DR31" s="766">
        <v>61.71</v>
      </c>
    </row>
    <row r="32" spans="1:122">
      <c r="A32" s="944">
        <v>30</v>
      </c>
      <c r="B32" s="96"/>
      <c r="C32" s="96"/>
      <c r="D32" s="96"/>
      <c r="E32" s="96"/>
      <c r="F32" s="96"/>
      <c r="G32" s="96"/>
      <c r="H32" s="96"/>
      <c r="I32" s="96"/>
      <c r="J32" s="96"/>
      <c r="K32" s="96"/>
      <c r="L32" s="96"/>
      <c r="M32" s="96"/>
      <c r="N32" s="96"/>
      <c r="O32" s="96"/>
      <c r="P32" s="96"/>
      <c r="Q32" s="96"/>
      <c r="R32" s="96"/>
      <c r="S32" s="96"/>
      <c r="T32" s="96"/>
      <c r="U32" s="96"/>
      <c r="V32" s="766"/>
      <c r="W32" s="766">
        <v>43.64</v>
      </c>
      <c r="X32" s="766">
        <v>43.89</v>
      </c>
      <c r="Y32" s="766">
        <v>43.96</v>
      </c>
      <c r="Z32" s="766">
        <v>44.19</v>
      </c>
      <c r="AA32" s="766">
        <v>44.4</v>
      </c>
      <c r="AB32" s="766">
        <v>44.56</v>
      </c>
      <c r="AC32" s="766">
        <v>44.56</v>
      </c>
      <c r="AD32" s="766">
        <v>44.5</v>
      </c>
      <c r="AE32" s="766">
        <v>44.58</v>
      </c>
      <c r="AF32" s="766">
        <v>44.79</v>
      </c>
      <c r="AG32" s="766">
        <v>45.05</v>
      </c>
      <c r="AH32" s="766">
        <v>45.36</v>
      </c>
      <c r="AI32" s="766">
        <v>45.63</v>
      </c>
      <c r="AJ32" s="766">
        <v>45.95</v>
      </c>
      <c r="AK32" s="766">
        <v>46.25</v>
      </c>
      <c r="AL32" s="766">
        <v>46.62</v>
      </c>
      <c r="AM32" s="766">
        <v>46.97</v>
      </c>
      <c r="AN32" s="766">
        <v>47.21</v>
      </c>
      <c r="AO32" s="766">
        <v>47.36</v>
      </c>
      <c r="AP32" s="766">
        <v>47.57</v>
      </c>
      <c r="AQ32" s="766">
        <v>47.76</v>
      </c>
      <c r="AR32" s="766">
        <v>48.05</v>
      </c>
      <c r="AS32" s="766">
        <v>48.09</v>
      </c>
      <c r="AT32" s="766">
        <v>48.22</v>
      </c>
      <c r="AU32" s="766">
        <v>48.34</v>
      </c>
      <c r="AV32" s="766">
        <v>48.45</v>
      </c>
      <c r="AW32" s="766">
        <v>48.74</v>
      </c>
      <c r="AX32" s="766">
        <v>48.93</v>
      </c>
      <c r="AY32" s="766">
        <v>49.03</v>
      </c>
      <c r="AZ32" s="766">
        <v>49.09</v>
      </c>
      <c r="BA32" s="766">
        <v>49.18</v>
      </c>
      <c r="BB32" s="766">
        <v>49.3</v>
      </c>
      <c r="BC32" s="766">
        <v>49.45</v>
      </c>
      <c r="BD32" s="766">
        <v>49.62</v>
      </c>
      <c r="BE32" s="766">
        <v>49.81</v>
      </c>
      <c r="BF32" s="766">
        <v>50.03</v>
      </c>
      <c r="BG32" s="766">
        <v>50.18</v>
      </c>
      <c r="BH32" s="766">
        <v>50.46</v>
      </c>
      <c r="BI32" s="766">
        <v>50.64</v>
      </c>
      <c r="BJ32" s="766">
        <v>50.91</v>
      </c>
      <c r="BK32" s="766">
        <v>51.12</v>
      </c>
      <c r="BL32" s="766">
        <v>51.39</v>
      </c>
      <c r="BM32" s="766">
        <v>51.65</v>
      </c>
      <c r="BN32" s="766">
        <v>51.89</v>
      </c>
      <c r="BO32" s="766">
        <v>52.1</v>
      </c>
      <c r="BP32" s="766">
        <v>52.32</v>
      </c>
      <c r="BQ32" s="766">
        <v>52.53</v>
      </c>
      <c r="BR32" s="766">
        <v>52.74</v>
      </c>
      <c r="BS32" s="766">
        <v>52.91</v>
      </c>
      <c r="BT32" s="888">
        <v>53.11</v>
      </c>
      <c r="BU32" s="766">
        <v>53.25</v>
      </c>
      <c r="BV32" s="766">
        <v>53.46</v>
      </c>
      <c r="BW32" s="766">
        <v>53.64</v>
      </c>
      <c r="BX32" s="766">
        <v>53.82</v>
      </c>
      <c r="BY32" s="766">
        <v>53.97</v>
      </c>
      <c r="BZ32" s="766">
        <v>54.14</v>
      </c>
      <c r="CA32" s="766">
        <v>54.3</v>
      </c>
      <c r="CB32" s="766">
        <v>54.46</v>
      </c>
      <c r="CC32" s="766">
        <v>54.62</v>
      </c>
      <c r="CD32" s="766">
        <v>54.8</v>
      </c>
      <c r="CE32" s="766">
        <v>54.97</v>
      </c>
      <c r="CF32" s="766">
        <v>55.13</v>
      </c>
      <c r="CG32" s="766">
        <v>55.3</v>
      </c>
      <c r="CH32" s="766">
        <v>55.46</v>
      </c>
      <c r="CI32" s="766">
        <v>55.64</v>
      </c>
      <c r="CJ32" s="766">
        <v>55.81</v>
      </c>
      <c r="CK32" s="766">
        <v>55.97</v>
      </c>
      <c r="CL32" s="766">
        <v>56.13</v>
      </c>
      <c r="CM32" s="766">
        <v>56.3</v>
      </c>
      <c r="CN32" s="766">
        <v>56.46</v>
      </c>
      <c r="CO32" s="766">
        <v>56.61</v>
      </c>
      <c r="CP32" s="766">
        <v>56.77</v>
      </c>
      <c r="CQ32" s="766">
        <v>56.93</v>
      </c>
      <c r="CR32" s="766">
        <v>57.09</v>
      </c>
      <c r="CS32" s="766">
        <v>57.24</v>
      </c>
      <c r="CT32" s="766">
        <v>57.39</v>
      </c>
      <c r="CU32" s="766">
        <v>57.55</v>
      </c>
      <c r="CV32" s="766">
        <v>57.7</v>
      </c>
      <c r="CW32" s="766">
        <v>57.85</v>
      </c>
      <c r="CX32" s="766">
        <v>57.99</v>
      </c>
      <c r="CY32" s="766">
        <v>58.14</v>
      </c>
      <c r="CZ32" s="766">
        <v>58.29</v>
      </c>
      <c r="DA32" s="766">
        <v>58.43</v>
      </c>
      <c r="DB32" s="766">
        <v>58.58</v>
      </c>
      <c r="DC32" s="766">
        <v>58.72</v>
      </c>
      <c r="DD32" s="766">
        <v>58.86</v>
      </c>
      <c r="DE32" s="766">
        <v>59</v>
      </c>
      <c r="DF32" s="766">
        <v>59.14</v>
      </c>
      <c r="DG32" s="766">
        <v>59.28</v>
      </c>
      <c r="DH32" s="766">
        <v>59.41</v>
      </c>
      <c r="DI32" s="766">
        <v>59.55</v>
      </c>
      <c r="DJ32" s="766">
        <v>59.68</v>
      </c>
      <c r="DK32" s="766">
        <v>59.82</v>
      </c>
      <c r="DL32" s="766">
        <v>59.95</v>
      </c>
      <c r="DM32" s="766">
        <v>60.08</v>
      </c>
      <c r="DN32" s="766">
        <v>60.21</v>
      </c>
      <c r="DO32" s="766">
        <v>60.34</v>
      </c>
      <c r="DP32" s="766">
        <v>60.47</v>
      </c>
      <c r="DQ32" s="766">
        <v>60.6</v>
      </c>
      <c r="DR32" s="766">
        <v>60.72</v>
      </c>
    </row>
    <row r="33" spans="1:122">
      <c r="A33" s="944">
        <v>31</v>
      </c>
      <c r="B33" s="96"/>
      <c r="C33" s="96"/>
      <c r="D33" s="96"/>
      <c r="E33" s="96"/>
      <c r="F33" s="96"/>
      <c r="G33" s="96"/>
      <c r="H33" s="96"/>
      <c r="I33" s="96"/>
      <c r="J33" s="96"/>
      <c r="K33" s="96"/>
      <c r="L33" s="96"/>
      <c r="M33" s="96"/>
      <c r="N33" s="96"/>
      <c r="O33" s="96"/>
      <c r="P33" s="96"/>
      <c r="Q33" s="96"/>
      <c r="R33" s="96"/>
      <c r="S33" s="96"/>
      <c r="T33" s="96"/>
      <c r="U33" s="96"/>
      <c r="V33" s="766"/>
      <c r="W33" s="766">
        <v>42.74</v>
      </c>
      <c r="X33" s="766">
        <v>42.97</v>
      </c>
      <c r="Y33" s="766">
        <v>43.04</v>
      </c>
      <c r="Z33" s="766">
        <v>43.27</v>
      </c>
      <c r="AA33" s="766">
        <v>43.47</v>
      </c>
      <c r="AB33" s="766">
        <v>43.64</v>
      </c>
      <c r="AC33" s="766">
        <v>43.64</v>
      </c>
      <c r="AD33" s="766">
        <v>43.58</v>
      </c>
      <c r="AE33" s="766">
        <v>43.66</v>
      </c>
      <c r="AF33" s="766">
        <v>43.87</v>
      </c>
      <c r="AG33" s="766">
        <v>44.13</v>
      </c>
      <c r="AH33" s="766">
        <v>44.43</v>
      </c>
      <c r="AI33" s="766">
        <v>44.71</v>
      </c>
      <c r="AJ33" s="766">
        <v>45.02</v>
      </c>
      <c r="AK33" s="766">
        <v>45.33</v>
      </c>
      <c r="AL33" s="766">
        <v>45.69</v>
      </c>
      <c r="AM33" s="766">
        <v>46.05</v>
      </c>
      <c r="AN33" s="766">
        <v>46.28</v>
      </c>
      <c r="AO33" s="766">
        <v>46.44</v>
      </c>
      <c r="AP33" s="766">
        <v>46.65</v>
      </c>
      <c r="AQ33" s="766">
        <v>46.84</v>
      </c>
      <c r="AR33" s="766">
        <v>47.12</v>
      </c>
      <c r="AS33" s="766">
        <v>47.16</v>
      </c>
      <c r="AT33" s="766">
        <v>47.29</v>
      </c>
      <c r="AU33" s="766">
        <v>47.41</v>
      </c>
      <c r="AV33" s="766">
        <v>47.52</v>
      </c>
      <c r="AW33" s="766">
        <v>47.82</v>
      </c>
      <c r="AX33" s="766">
        <v>47.99</v>
      </c>
      <c r="AY33" s="766">
        <v>48.09</v>
      </c>
      <c r="AZ33" s="766">
        <v>48.15</v>
      </c>
      <c r="BA33" s="766">
        <v>48.24</v>
      </c>
      <c r="BB33" s="766">
        <v>48.37</v>
      </c>
      <c r="BC33" s="766">
        <v>48.51</v>
      </c>
      <c r="BD33" s="766">
        <v>48.68</v>
      </c>
      <c r="BE33" s="766">
        <v>48.87</v>
      </c>
      <c r="BF33" s="766">
        <v>49.09</v>
      </c>
      <c r="BG33" s="766">
        <v>49.24</v>
      </c>
      <c r="BH33" s="766">
        <v>49.52</v>
      </c>
      <c r="BI33" s="766">
        <v>49.71</v>
      </c>
      <c r="BJ33" s="766">
        <v>49.98</v>
      </c>
      <c r="BK33" s="766">
        <v>50.19</v>
      </c>
      <c r="BL33" s="766">
        <v>50.46</v>
      </c>
      <c r="BM33" s="766">
        <v>50.71</v>
      </c>
      <c r="BN33" s="766">
        <v>50.95</v>
      </c>
      <c r="BO33" s="766">
        <v>51.16</v>
      </c>
      <c r="BP33" s="766">
        <v>51.38</v>
      </c>
      <c r="BQ33" s="766">
        <v>51.58</v>
      </c>
      <c r="BR33" s="766">
        <v>51.78</v>
      </c>
      <c r="BS33" s="766">
        <v>51.96</v>
      </c>
      <c r="BT33" s="888">
        <v>52.16</v>
      </c>
      <c r="BU33" s="766">
        <v>52.3</v>
      </c>
      <c r="BV33" s="766">
        <v>52.5</v>
      </c>
      <c r="BW33" s="766">
        <v>52.67</v>
      </c>
      <c r="BX33" s="766">
        <v>52.85</v>
      </c>
      <c r="BY33" s="766">
        <v>53.01</v>
      </c>
      <c r="BZ33" s="766">
        <v>53.18</v>
      </c>
      <c r="CA33" s="766">
        <v>53.34</v>
      </c>
      <c r="CB33" s="766">
        <v>53.49</v>
      </c>
      <c r="CC33" s="766">
        <v>53.66</v>
      </c>
      <c r="CD33" s="766">
        <v>53.83</v>
      </c>
      <c r="CE33" s="766">
        <v>54.01</v>
      </c>
      <c r="CF33" s="766">
        <v>54.17</v>
      </c>
      <c r="CG33" s="766">
        <v>54.33</v>
      </c>
      <c r="CH33" s="766">
        <v>54.5</v>
      </c>
      <c r="CI33" s="766">
        <v>54.67</v>
      </c>
      <c r="CJ33" s="766">
        <v>54.84</v>
      </c>
      <c r="CK33" s="766">
        <v>55</v>
      </c>
      <c r="CL33" s="766">
        <v>55.16</v>
      </c>
      <c r="CM33" s="766">
        <v>55.32</v>
      </c>
      <c r="CN33" s="766">
        <v>55.48</v>
      </c>
      <c r="CO33" s="766">
        <v>55.64</v>
      </c>
      <c r="CP33" s="766">
        <v>55.8</v>
      </c>
      <c r="CQ33" s="766">
        <v>55.96</v>
      </c>
      <c r="CR33" s="766">
        <v>56.11</v>
      </c>
      <c r="CS33" s="766">
        <v>56.26</v>
      </c>
      <c r="CT33" s="766">
        <v>56.42</v>
      </c>
      <c r="CU33" s="766">
        <v>56.57</v>
      </c>
      <c r="CV33" s="766">
        <v>56.72</v>
      </c>
      <c r="CW33" s="766">
        <v>56.87</v>
      </c>
      <c r="CX33" s="766">
        <v>57.02</v>
      </c>
      <c r="CY33" s="766">
        <v>57.16</v>
      </c>
      <c r="CZ33" s="766">
        <v>57.31</v>
      </c>
      <c r="DA33" s="766">
        <v>57.45</v>
      </c>
      <c r="DB33" s="766">
        <v>57.6</v>
      </c>
      <c r="DC33" s="766">
        <v>57.74</v>
      </c>
      <c r="DD33" s="766">
        <v>57.88</v>
      </c>
      <c r="DE33" s="766">
        <v>58.02</v>
      </c>
      <c r="DF33" s="766">
        <v>58.16</v>
      </c>
      <c r="DG33" s="766">
        <v>58.3</v>
      </c>
      <c r="DH33" s="766">
        <v>58.43</v>
      </c>
      <c r="DI33" s="766">
        <v>58.57</v>
      </c>
      <c r="DJ33" s="766">
        <v>58.7</v>
      </c>
      <c r="DK33" s="766">
        <v>58.83</v>
      </c>
      <c r="DL33" s="766">
        <v>58.97</v>
      </c>
      <c r="DM33" s="766">
        <v>59.1</v>
      </c>
      <c r="DN33" s="766">
        <v>59.23</v>
      </c>
      <c r="DO33" s="766">
        <v>59.36</v>
      </c>
      <c r="DP33" s="766">
        <v>59.48</v>
      </c>
      <c r="DQ33" s="766">
        <v>59.61</v>
      </c>
      <c r="DR33" s="766">
        <v>59.73</v>
      </c>
    </row>
    <row r="34" spans="1:122">
      <c r="A34" s="944">
        <v>32</v>
      </c>
      <c r="B34" s="96"/>
      <c r="C34" s="96"/>
      <c r="D34" s="96"/>
      <c r="E34" s="96"/>
      <c r="F34" s="96"/>
      <c r="G34" s="96"/>
      <c r="H34" s="96"/>
      <c r="I34" s="96"/>
      <c r="J34" s="96"/>
      <c r="K34" s="96"/>
      <c r="L34" s="96"/>
      <c r="M34" s="96"/>
      <c r="N34" s="96"/>
      <c r="O34" s="96"/>
      <c r="P34" s="96"/>
      <c r="Q34" s="96"/>
      <c r="R34" s="96"/>
      <c r="S34" s="96"/>
      <c r="T34" s="96"/>
      <c r="U34" s="96"/>
      <c r="V34" s="766"/>
      <c r="W34" s="766">
        <v>41.82</v>
      </c>
      <c r="X34" s="766">
        <v>42.05</v>
      </c>
      <c r="Y34" s="766">
        <v>42.12</v>
      </c>
      <c r="Z34" s="766">
        <v>42.35</v>
      </c>
      <c r="AA34" s="766">
        <v>42.55</v>
      </c>
      <c r="AB34" s="766">
        <v>42.72</v>
      </c>
      <c r="AC34" s="766">
        <v>42.72</v>
      </c>
      <c r="AD34" s="766">
        <v>42.66</v>
      </c>
      <c r="AE34" s="766">
        <v>42.74</v>
      </c>
      <c r="AF34" s="766">
        <v>42.94</v>
      </c>
      <c r="AG34" s="766">
        <v>43.21</v>
      </c>
      <c r="AH34" s="766">
        <v>43.51</v>
      </c>
      <c r="AI34" s="766">
        <v>43.78</v>
      </c>
      <c r="AJ34" s="766">
        <v>44.1</v>
      </c>
      <c r="AK34" s="766">
        <v>44.4</v>
      </c>
      <c r="AL34" s="766">
        <v>44.77</v>
      </c>
      <c r="AM34" s="766">
        <v>45.12</v>
      </c>
      <c r="AN34" s="766">
        <v>45.35</v>
      </c>
      <c r="AO34" s="766">
        <v>45.51</v>
      </c>
      <c r="AP34" s="766">
        <v>45.73</v>
      </c>
      <c r="AQ34" s="766">
        <v>45.92</v>
      </c>
      <c r="AR34" s="766">
        <v>46.2</v>
      </c>
      <c r="AS34" s="766">
        <v>46.24</v>
      </c>
      <c r="AT34" s="766">
        <v>46.36</v>
      </c>
      <c r="AU34" s="766">
        <v>46.48</v>
      </c>
      <c r="AV34" s="766">
        <v>46.6</v>
      </c>
      <c r="AW34" s="766">
        <v>46.89</v>
      </c>
      <c r="AX34" s="766">
        <v>47.06</v>
      </c>
      <c r="AY34" s="766">
        <v>47.15</v>
      </c>
      <c r="AZ34" s="766">
        <v>47.22</v>
      </c>
      <c r="BA34" s="766">
        <v>47.31</v>
      </c>
      <c r="BB34" s="766">
        <v>47.44</v>
      </c>
      <c r="BC34" s="766">
        <v>47.57</v>
      </c>
      <c r="BD34" s="766">
        <v>47.74</v>
      </c>
      <c r="BE34" s="766">
        <v>47.93</v>
      </c>
      <c r="BF34" s="766">
        <v>48.15</v>
      </c>
      <c r="BG34" s="766">
        <v>48.3</v>
      </c>
      <c r="BH34" s="766">
        <v>48.58</v>
      </c>
      <c r="BI34" s="766">
        <v>48.78</v>
      </c>
      <c r="BJ34" s="766">
        <v>49.05</v>
      </c>
      <c r="BK34" s="766">
        <v>49.25</v>
      </c>
      <c r="BL34" s="766">
        <v>49.52</v>
      </c>
      <c r="BM34" s="766">
        <v>49.77</v>
      </c>
      <c r="BN34" s="766">
        <v>50.01</v>
      </c>
      <c r="BO34" s="766">
        <v>50.21</v>
      </c>
      <c r="BP34" s="766">
        <v>50.43</v>
      </c>
      <c r="BQ34" s="766">
        <v>50.63</v>
      </c>
      <c r="BR34" s="766">
        <v>50.83</v>
      </c>
      <c r="BS34" s="766">
        <v>51.01</v>
      </c>
      <c r="BT34" s="888">
        <v>51.2</v>
      </c>
      <c r="BU34" s="766">
        <v>51.34</v>
      </c>
      <c r="BV34" s="766">
        <v>51.54</v>
      </c>
      <c r="BW34" s="766">
        <v>51.72</v>
      </c>
      <c r="BX34" s="766">
        <v>51.89</v>
      </c>
      <c r="BY34" s="766">
        <v>52.05</v>
      </c>
      <c r="BZ34" s="766">
        <v>52.21</v>
      </c>
      <c r="CA34" s="766">
        <v>52.38</v>
      </c>
      <c r="CB34" s="766">
        <v>52.53</v>
      </c>
      <c r="CC34" s="766">
        <v>52.7</v>
      </c>
      <c r="CD34" s="766">
        <v>52.87</v>
      </c>
      <c r="CE34" s="766">
        <v>53.04</v>
      </c>
      <c r="CF34" s="766">
        <v>53.2</v>
      </c>
      <c r="CG34" s="766">
        <v>53.37</v>
      </c>
      <c r="CH34" s="766">
        <v>53.54</v>
      </c>
      <c r="CI34" s="766">
        <v>53.71</v>
      </c>
      <c r="CJ34" s="766">
        <v>53.87</v>
      </c>
      <c r="CK34" s="766">
        <v>54.03</v>
      </c>
      <c r="CL34" s="766">
        <v>54.19</v>
      </c>
      <c r="CM34" s="766">
        <v>54.35</v>
      </c>
      <c r="CN34" s="766">
        <v>54.51</v>
      </c>
      <c r="CO34" s="766">
        <v>54.67</v>
      </c>
      <c r="CP34" s="766">
        <v>54.83</v>
      </c>
      <c r="CQ34" s="766">
        <v>54.98</v>
      </c>
      <c r="CR34" s="766">
        <v>55.14</v>
      </c>
      <c r="CS34" s="766">
        <v>55.29</v>
      </c>
      <c r="CT34" s="766">
        <v>55.44</v>
      </c>
      <c r="CU34" s="766">
        <v>55.59</v>
      </c>
      <c r="CV34" s="766">
        <v>55.74</v>
      </c>
      <c r="CW34" s="766">
        <v>55.89</v>
      </c>
      <c r="CX34" s="766">
        <v>56.04</v>
      </c>
      <c r="CY34" s="766">
        <v>56.19</v>
      </c>
      <c r="CZ34" s="766">
        <v>56.33</v>
      </c>
      <c r="DA34" s="766">
        <v>56.47</v>
      </c>
      <c r="DB34" s="766">
        <v>56.62</v>
      </c>
      <c r="DC34" s="766">
        <v>56.76</v>
      </c>
      <c r="DD34" s="766">
        <v>56.9</v>
      </c>
      <c r="DE34" s="766">
        <v>57.04</v>
      </c>
      <c r="DF34" s="766">
        <v>57.18</v>
      </c>
      <c r="DG34" s="766">
        <v>57.31</v>
      </c>
      <c r="DH34" s="766">
        <v>57.45</v>
      </c>
      <c r="DI34" s="766">
        <v>57.58</v>
      </c>
      <c r="DJ34" s="766">
        <v>57.72</v>
      </c>
      <c r="DK34" s="766">
        <v>57.85</v>
      </c>
      <c r="DL34" s="766">
        <v>57.98</v>
      </c>
      <c r="DM34" s="766">
        <v>58.11</v>
      </c>
      <c r="DN34" s="766">
        <v>58.24</v>
      </c>
      <c r="DO34" s="766">
        <v>58.37</v>
      </c>
      <c r="DP34" s="766">
        <v>58.5</v>
      </c>
      <c r="DQ34" s="766">
        <v>58.62</v>
      </c>
      <c r="DR34" s="766">
        <v>58.75</v>
      </c>
    </row>
    <row r="35" spans="1:122">
      <c r="A35" s="944">
        <v>33</v>
      </c>
      <c r="B35" s="96"/>
      <c r="C35" s="96"/>
      <c r="D35" s="96"/>
      <c r="E35" s="96"/>
      <c r="F35" s="96"/>
      <c r="G35" s="96"/>
      <c r="H35" s="96"/>
      <c r="I35" s="96"/>
      <c r="J35" s="96"/>
      <c r="K35" s="96"/>
      <c r="L35" s="96"/>
      <c r="M35" s="96"/>
      <c r="N35" s="96"/>
      <c r="O35" s="96"/>
      <c r="P35" s="96"/>
      <c r="Q35" s="96"/>
      <c r="R35" s="96"/>
      <c r="S35" s="96"/>
      <c r="T35" s="96"/>
      <c r="U35" s="96"/>
      <c r="V35" s="766"/>
      <c r="W35" s="766">
        <v>40.89</v>
      </c>
      <c r="X35" s="766">
        <v>41.13</v>
      </c>
      <c r="Y35" s="766">
        <v>41.2</v>
      </c>
      <c r="Z35" s="766">
        <v>41.43</v>
      </c>
      <c r="AA35" s="766">
        <v>41.63</v>
      </c>
      <c r="AB35" s="766">
        <v>41.79</v>
      </c>
      <c r="AC35" s="766">
        <v>41.8</v>
      </c>
      <c r="AD35" s="766">
        <v>41.73</v>
      </c>
      <c r="AE35" s="766">
        <v>41.82</v>
      </c>
      <c r="AF35" s="766">
        <v>42.02</v>
      </c>
      <c r="AG35" s="766">
        <v>42.29</v>
      </c>
      <c r="AH35" s="766">
        <v>42.59</v>
      </c>
      <c r="AI35" s="766">
        <v>42.86</v>
      </c>
      <c r="AJ35" s="766">
        <v>43.18</v>
      </c>
      <c r="AK35" s="766">
        <v>43.47</v>
      </c>
      <c r="AL35" s="766">
        <v>43.84</v>
      </c>
      <c r="AM35" s="766">
        <v>44.19</v>
      </c>
      <c r="AN35" s="766">
        <v>44.44</v>
      </c>
      <c r="AO35" s="766">
        <v>44.59</v>
      </c>
      <c r="AP35" s="766">
        <v>44.81</v>
      </c>
      <c r="AQ35" s="766">
        <v>45</v>
      </c>
      <c r="AR35" s="766">
        <v>45.27</v>
      </c>
      <c r="AS35" s="766">
        <v>45.32</v>
      </c>
      <c r="AT35" s="766">
        <v>45.44</v>
      </c>
      <c r="AU35" s="766">
        <v>45.56</v>
      </c>
      <c r="AV35" s="766">
        <v>45.67</v>
      </c>
      <c r="AW35" s="766">
        <v>45.96</v>
      </c>
      <c r="AX35" s="766">
        <v>46.13</v>
      </c>
      <c r="AY35" s="766">
        <v>46.22</v>
      </c>
      <c r="AZ35" s="766">
        <v>46.29</v>
      </c>
      <c r="BA35" s="766">
        <v>46.38</v>
      </c>
      <c r="BB35" s="766">
        <v>46.5</v>
      </c>
      <c r="BC35" s="766">
        <v>46.63</v>
      </c>
      <c r="BD35" s="766">
        <v>46.8</v>
      </c>
      <c r="BE35" s="766">
        <v>47</v>
      </c>
      <c r="BF35" s="766">
        <v>47.22</v>
      </c>
      <c r="BG35" s="766">
        <v>47.37</v>
      </c>
      <c r="BH35" s="766">
        <v>47.65</v>
      </c>
      <c r="BI35" s="766">
        <v>47.85</v>
      </c>
      <c r="BJ35" s="766">
        <v>48.11</v>
      </c>
      <c r="BK35" s="766">
        <v>48.32</v>
      </c>
      <c r="BL35" s="766">
        <v>48.58</v>
      </c>
      <c r="BM35" s="766">
        <v>48.83</v>
      </c>
      <c r="BN35" s="766">
        <v>49.07</v>
      </c>
      <c r="BO35" s="766">
        <v>49.27</v>
      </c>
      <c r="BP35" s="766">
        <v>49.48</v>
      </c>
      <c r="BQ35" s="766">
        <v>49.67</v>
      </c>
      <c r="BR35" s="766">
        <v>49.87</v>
      </c>
      <c r="BS35" s="766">
        <v>50.05</v>
      </c>
      <c r="BT35" s="888">
        <v>50.24</v>
      </c>
      <c r="BU35" s="766">
        <v>50.38</v>
      </c>
      <c r="BV35" s="766">
        <v>50.58</v>
      </c>
      <c r="BW35" s="766">
        <v>50.75</v>
      </c>
      <c r="BX35" s="766">
        <v>50.93</v>
      </c>
      <c r="BY35" s="766">
        <v>51.09</v>
      </c>
      <c r="BZ35" s="766">
        <v>51.25</v>
      </c>
      <c r="CA35" s="766">
        <v>51.41</v>
      </c>
      <c r="CB35" s="766">
        <v>51.57</v>
      </c>
      <c r="CC35" s="766">
        <v>51.74</v>
      </c>
      <c r="CD35" s="766">
        <v>51.9</v>
      </c>
      <c r="CE35" s="766">
        <v>52.08</v>
      </c>
      <c r="CF35" s="766">
        <v>52.24</v>
      </c>
      <c r="CG35" s="766">
        <v>52.41</v>
      </c>
      <c r="CH35" s="766">
        <v>52.57</v>
      </c>
      <c r="CI35" s="766">
        <v>52.74</v>
      </c>
      <c r="CJ35" s="766">
        <v>52.9</v>
      </c>
      <c r="CK35" s="766">
        <v>53.06</v>
      </c>
      <c r="CL35" s="766">
        <v>53.22</v>
      </c>
      <c r="CM35" s="766">
        <v>53.38</v>
      </c>
      <c r="CN35" s="766">
        <v>53.54</v>
      </c>
      <c r="CO35" s="766">
        <v>53.7</v>
      </c>
      <c r="CP35" s="766">
        <v>53.86</v>
      </c>
      <c r="CQ35" s="766">
        <v>54.01</v>
      </c>
      <c r="CR35" s="766">
        <v>54.16</v>
      </c>
      <c r="CS35" s="766">
        <v>54.32</v>
      </c>
      <c r="CT35" s="766">
        <v>54.47</v>
      </c>
      <c r="CU35" s="766">
        <v>54.62</v>
      </c>
      <c r="CV35" s="766">
        <v>54.77</v>
      </c>
      <c r="CW35" s="766">
        <v>54.92</v>
      </c>
      <c r="CX35" s="766">
        <v>55.06</v>
      </c>
      <c r="CY35" s="766">
        <v>55.21</v>
      </c>
      <c r="CZ35" s="766">
        <v>55.35</v>
      </c>
      <c r="DA35" s="766">
        <v>55.5</v>
      </c>
      <c r="DB35" s="766">
        <v>55.64</v>
      </c>
      <c r="DC35" s="766">
        <v>55.78</v>
      </c>
      <c r="DD35" s="766">
        <v>55.92</v>
      </c>
      <c r="DE35" s="766">
        <v>56.06</v>
      </c>
      <c r="DF35" s="766">
        <v>56.2</v>
      </c>
      <c r="DG35" s="766">
        <v>56.33</v>
      </c>
      <c r="DH35" s="766">
        <v>56.47</v>
      </c>
      <c r="DI35" s="766">
        <v>56.6</v>
      </c>
      <c r="DJ35" s="766">
        <v>56.74</v>
      </c>
      <c r="DK35" s="766">
        <v>56.87</v>
      </c>
      <c r="DL35" s="766">
        <v>57</v>
      </c>
      <c r="DM35" s="766">
        <v>57.13</v>
      </c>
      <c r="DN35" s="766">
        <v>57.26</v>
      </c>
      <c r="DO35" s="766">
        <v>57.39</v>
      </c>
      <c r="DP35" s="766">
        <v>57.51</v>
      </c>
      <c r="DQ35" s="766">
        <v>57.64</v>
      </c>
      <c r="DR35" s="766">
        <v>57.76</v>
      </c>
    </row>
    <row r="36" spans="1:122">
      <c r="A36" s="944">
        <v>34</v>
      </c>
      <c r="B36" s="96"/>
      <c r="C36" s="96"/>
      <c r="D36" s="96"/>
      <c r="E36" s="96"/>
      <c r="F36" s="96"/>
      <c r="G36" s="96"/>
      <c r="H36" s="96"/>
      <c r="I36" s="96"/>
      <c r="J36" s="96"/>
      <c r="K36" s="96"/>
      <c r="L36" s="96"/>
      <c r="M36" s="96"/>
      <c r="N36" s="96"/>
      <c r="O36" s="96"/>
      <c r="P36" s="96"/>
      <c r="Q36" s="96"/>
      <c r="R36" s="96"/>
      <c r="S36" s="96"/>
      <c r="T36" s="96"/>
      <c r="U36" s="96"/>
      <c r="V36" s="766"/>
      <c r="W36" s="766">
        <v>39.97</v>
      </c>
      <c r="X36" s="766">
        <v>40.21</v>
      </c>
      <c r="Y36" s="766">
        <v>40.28</v>
      </c>
      <c r="Z36" s="766">
        <v>40.51</v>
      </c>
      <c r="AA36" s="766">
        <v>40.71</v>
      </c>
      <c r="AB36" s="766">
        <v>40.869999999999997</v>
      </c>
      <c r="AC36" s="766">
        <v>40.880000000000003</v>
      </c>
      <c r="AD36" s="766">
        <v>40.81</v>
      </c>
      <c r="AE36" s="766">
        <v>40.89</v>
      </c>
      <c r="AF36" s="766">
        <v>41.1</v>
      </c>
      <c r="AG36" s="766">
        <v>41.36</v>
      </c>
      <c r="AH36" s="766">
        <v>41.66</v>
      </c>
      <c r="AI36" s="766">
        <v>41.94</v>
      </c>
      <c r="AJ36" s="766">
        <v>42.25</v>
      </c>
      <c r="AK36" s="766">
        <v>42.55</v>
      </c>
      <c r="AL36" s="766">
        <v>42.92</v>
      </c>
      <c r="AM36" s="766">
        <v>43.28</v>
      </c>
      <c r="AN36" s="766">
        <v>43.51</v>
      </c>
      <c r="AO36" s="766">
        <v>43.68</v>
      </c>
      <c r="AP36" s="766">
        <v>43.88</v>
      </c>
      <c r="AQ36" s="766">
        <v>44.08</v>
      </c>
      <c r="AR36" s="766">
        <v>44.35</v>
      </c>
      <c r="AS36" s="766">
        <v>44.4</v>
      </c>
      <c r="AT36" s="766">
        <v>44.52</v>
      </c>
      <c r="AU36" s="766">
        <v>44.64</v>
      </c>
      <c r="AV36" s="766">
        <v>44.75</v>
      </c>
      <c r="AW36" s="766">
        <v>45.03</v>
      </c>
      <c r="AX36" s="766">
        <v>45.2</v>
      </c>
      <c r="AY36" s="766">
        <v>45.28</v>
      </c>
      <c r="AZ36" s="766">
        <v>45.36</v>
      </c>
      <c r="BA36" s="766">
        <v>45.44</v>
      </c>
      <c r="BB36" s="766">
        <v>45.57</v>
      </c>
      <c r="BC36" s="766">
        <v>45.69</v>
      </c>
      <c r="BD36" s="766">
        <v>45.87</v>
      </c>
      <c r="BE36" s="766">
        <v>46.07</v>
      </c>
      <c r="BF36" s="766">
        <v>46.29</v>
      </c>
      <c r="BG36" s="766">
        <v>46.45</v>
      </c>
      <c r="BH36" s="766">
        <v>46.72</v>
      </c>
      <c r="BI36" s="766">
        <v>46.92</v>
      </c>
      <c r="BJ36" s="766">
        <v>47.19</v>
      </c>
      <c r="BK36" s="766">
        <v>47.38</v>
      </c>
      <c r="BL36" s="766">
        <v>47.65</v>
      </c>
      <c r="BM36" s="766">
        <v>47.89</v>
      </c>
      <c r="BN36" s="766">
        <v>48.12</v>
      </c>
      <c r="BO36" s="766">
        <v>48.31</v>
      </c>
      <c r="BP36" s="766">
        <v>48.53</v>
      </c>
      <c r="BQ36" s="766">
        <v>48.72</v>
      </c>
      <c r="BR36" s="766">
        <v>48.92</v>
      </c>
      <c r="BS36" s="766">
        <v>49.1</v>
      </c>
      <c r="BT36" s="888">
        <v>49.28</v>
      </c>
      <c r="BU36" s="766">
        <v>49.42</v>
      </c>
      <c r="BV36" s="766">
        <v>49.63</v>
      </c>
      <c r="BW36" s="766">
        <v>49.79</v>
      </c>
      <c r="BX36" s="766">
        <v>49.97</v>
      </c>
      <c r="BY36" s="766">
        <v>50.13</v>
      </c>
      <c r="BZ36" s="766">
        <v>50.29</v>
      </c>
      <c r="CA36" s="766">
        <v>50.46</v>
      </c>
      <c r="CB36" s="766">
        <v>50.61</v>
      </c>
      <c r="CC36" s="766">
        <v>50.77</v>
      </c>
      <c r="CD36" s="766">
        <v>50.94</v>
      </c>
      <c r="CE36" s="766">
        <v>51.11</v>
      </c>
      <c r="CF36" s="766">
        <v>51.28</v>
      </c>
      <c r="CG36" s="766">
        <v>51.45</v>
      </c>
      <c r="CH36" s="766">
        <v>51.61</v>
      </c>
      <c r="CI36" s="766">
        <v>51.77</v>
      </c>
      <c r="CJ36" s="766">
        <v>51.94</v>
      </c>
      <c r="CK36" s="766">
        <v>52.1</v>
      </c>
      <c r="CL36" s="766">
        <v>52.26</v>
      </c>
      <c r="CM36" s="766">
        <v>52.42</v>
      </c>
      <c r="CN36" s="766">
        <v>52.57</v>
      </c>
      <c r="CO36" s="766">
        <v>52.73</v>
      </c>
      <c r="CP36" s="766">
        <v>52.89</v>
      </c>
      <c r="CQ36" s="766">
        <v>53.04</v>
      </c>
      <c r="CR36" s="766">
        <v>53.19</v>
      </c>
      <c r="CS36" s="766">
        <v>53.35</v>
      </c>
      <c r="CT36" s="766">
        <v>53.5</v>
      </c>
      <c r="CU36" s="766">
        <v>53.65</v>
      </c>
      <c r="CV36" s="766">
        <v>53.79</v>
      </c>
      <c r="CW36" s="766">
        <v>53.94</v>
      </c>
      <c r="CX36" s="766">
        <v>54.09</v>
      </c>
      <c r="CY36" s="766">
        <v>54.23</v>
      </c>
      <c r="CZ36" s="766">
        <v>54.38</v>
      </c>
      <c r="DA36" s="766">
        <v>54.52</v>
      </c>
      <c r="DB36" s="766">
        <v>54.66</v>
      </c>
      <c r="DC36" s="766">
        <v>54.8</v>
      </c>
      <c r="DD36" s="766">
        <v>54.94</v>
      </c>
      <c r="DE36" s="766">
        <v>55.08</v>
      </c>
      <c r="DF36" s="766">
        <v>55.22</v>
      </c>
      <c r="DG36" s="766">
        <v>55.35</v>
      </c>
      <c r="DH36" s="766">
        <v>55.49</v>
      </c>
      <c r="DI36" s="766">
        <v>55.62</v>
      </c>
      <c r="DJ36" s="766">
        <v>55.76</v>
      </c>
      <c r="DK36" s="766">
        <v>55.89</v>
      </c>
      <c r="DL36" s="766">
        <v>56.02</v>
      </c>
      <c r="DM36" s="766">
        <v>56.15</v>
      </c>
      <c r="DN36" s="766">
        <v>56.28</v>
      </c>
      <c r="DO36" s="766">
        <v>56.4</v>
      </c>
      <c r="DP36" s="766">
        <v>56.53</v>
      </c>
      <c r="DQ36" s="766">
        <v>56.66</v>
      </c>
      <c r="DR36" s="766">
        <v>56.78</v>
      </c>
    </row>
    <row r="37" spans="1:122">
      <c r="A37" s="944">
        <v>35</v>
      </c>
      <c r="B37" s="96"/>
      <c r="C37" s="96"/>
      <c r="D37" s="96"/>
      <c r="E37" s="96"/>
      <c r="F37" s="96"/>
      <c r="G37" s="96"/>
      <c r="H37" s="96"/>
      <c r="I37" s="96"/>
      <c r="J37" s="96"/>
      <c r="K37" s="96"/>
      <c r="L37" s="96"/>
      <c r="M37" s="96"/>
      <c r="N37" s="96"/>
      <c r="O37" s="96"/>
      <c r="P37" s="96"/>
      <c r="Q37" s="96"/>
      <c r="R37" s="96"/>
      <c r="S37" s="96"/>
      <c r="T37" s="96"/>
      <c r="U37" s="96"/>
      <c r="V37" s="766"/>
      <c r="W37" s="766">
        <v>39.049999999999997</v>
      </c>
      <c r="X37" s="766">
        <v>39.299999999999997</v>
      </c>
      <c r="Y37" s="766">
        <v>39.36</v>
      </c>
      <c r="Z37" s="766">
        <v>39.590000000000003</v>
      </c>
      <c r="AA37" s="766">
        <v>39.79</v>
      </c>
      <c r="AB37" s="766">
        <v>39.96</v>
      </c>
      <c r="AC37" s="766">
        <v>39.96</v>
      </c>
      <c r="AD37" s="766">
        <v>39.89</v>
      </c>
      <c r="AE37" s="766">
        <v>39.97</v>
      </c>
      <c r="AF37" s="766">
        <v>40.18</v>
      </c>
      <c r="AG37" s="766">
        <v>40.44</v>
      </c>
      <c r="AH37" s="766">
        <v>40.75</v>
      </c>
      <c r="AI37" s="766">
        <v>41.02</v>
      </c>
      <c r="AJ37" s="766">
        <v>41.32</v>
      </c>
      <c r="AK37" s="766">
        <v>41.64</v>
      </c>
      <c r="AL37" s="766">
        <v>42</v>
      </c>
      <c r="AM37" s="766">
        <v>42.36</v>
      </c>
      <c r="AN37" s="766">
        <v>42.59</v>
      </c>
      <c r="AO37" s="766">
        <v>42.76</v>
      </c>
      <c r="AP37" s="766">
        <v>42.97</v>
      </c>
      <c r="AQ37" s="766">
        <v>43.16</v>
      </c>
      <c r="AR37" s="766">
        <v>43.43</v>
      </c>
      <c r="AS37" s="766">
        <v>43.48</v>
      </c>
      <c r="AT37" s="766">
        <v>43.6</v>
      </c>
      <c r="AU37" s="766">
        <v>43.71</v>
      </c>
      <c r="AV37" s="766">
        <v>43.83</v>
      </c>
      <c r="AW37" s="766">
        <v>44.1</v>
      </c>
      <c r="AX37" s="766">
        <v>44.26</v>
      </c>
      <c r="AY37" s="766">
        <v>44.35</v>
      </c>
      <c r="AZ37" s="766">
        <v>44.42</v>
      </c>
      <c r="BA37" s="766">
        <v>44.51</v>
      </c>
      <c r="BB37" s="766">
        <v>44.63</v>
      </c>
      <c r="BC37" s="766">
        <v>44.76</v>
      </c>
      <c r="BD37" s="766">
        <v>44.94</v>
      </c>
      <c r="BE37" s="766">
        <v>45.14</v>
      </c>
      <c r="BF37" s="766">
        <v>45.37</v>
      </c>
      <c r="BG37" s="766">
        <v>45.52</v>
      </c>
      <c r="BH37" s="766">
        <v>45.8</v>
      </c>
      <c r="BI37" s="766">
        <v>46</v>
      </c>
      <c r="BJ37" s="766">
        <v>46.26</v>
      </c>
      <c r="BK37" s="766">
        <v>46.45</v>
      </c>
      <c r="BL37" s="766">
        <v>46.71</v>
      </c>
      <c r="BM37" s="766">
        <v>46.95</v>
      </c>
      <c r="BN37" s="766">
        <v>47.17</v>
      </c>
      <c r="BO37" s="766">
        <v>47.37</v>
      </c>
      <c r="BP37" s="766">
        <v>47.57</v>
      </c>
      <c r="BQ37" s="766">
        <v>47.77</v>
      </c>
      <c r="BR37" s="766">
        <v>47.96</v>
      </c>
      <c r="BS37" s="766">
        <v>48.14</v>
      </c>
      <c r="BT37" s="888">
        <v>48.32</v>
      </c>
      <c r="BU37" s="766">
        <v>48.46</v>
      </c>
      <c r="BV37" s="766">
        <v>48.67</v>
      </c>
      <c r="BW37" s="766">
        <v>48.83</v>
      </c>
      <c r="BX37" s="766">
        <v>49</v>
      </c>
      <c r="BY37" s="766">
        <v>49.17</v>
      </c>
      <c r="BZ37" s="766">
        <v>49.33</v>
      </c>
      <c r="CA37" s="766">
        <v>49.49</v>
      </c>
      <c r="CB37" s="766">
        <v>49.65</v>
      </c>
      <c r="CC37" s="766">
        <v>49.81</v>
      </c>
      <c r="CD37" s="766">
        <v>49.98</v>
      </c>
      <c r="CE37" s="766">
        <v>50.16</v>
      </c>
      <c r="CF37" s="766">
        <v>50.32</v>
      </c>
      <c r="CG37" s="766">
        <v>50.49</v>
      </c>
      <c r="CH37" s="766">
        <v>50.65</v>
      </c>
      <c r="CI37" s="766">
        <v>50.81</v>
      </c>
      <c r="CJ37" s="766">
        <v>50.97</v>
      </c>
      <c r="CK37" s="766">
        <v>51.13</v>
      </c>
      <c r="CL37" s="766">
        <v>51.29</v>
      </c>
      <c r="CM37" s="766">
        <v>51.45</v>
      </c>
      <c r="CN37" s="766">
        <v>51.61</v>
      </c>
      <c r="CO37" s="766">
        <v>51.76</v>
      </c>
      <c r="CP37" s="766">
        <v>51.92</v>
      </c>
      <c r="CQ37" s="766">
        <v>52.07</v>
      </c>
      <c r="CR37" s="766">
        <v>52.22</v>
      </c>
      <c r="CS37" s="766">
        <v>52.37</v>
      </c>
      <c r="CT37" s="766">
        <v>52.52</v>
      </c>
      <c r="CU37" s="766">
        <v>52.67</v>
      </c>
      <c r="CV37" s="766">
        <v>52.82</v>
      </c>
      <c r="CW37" s="766">
        <v>52.97</v>
      </c>
      <c r="CX37" s="766">
        <v>53.11</v>
      </c>
      <c r="CY37" s="766">
        <v>53.26</v>
      </c>
      <c r="CZ37" s="766">
        <v>53.4</v>
      </c>
      <c r="DA37" s="766">
        <v>53.54</v>
      </c>
      <c r="DB37" s="766">
        <v>53.69</v>
      </c>
      <c r="DC37" s="766">
        <v>53.83</v>
      </c>
      <c r="DD37" s="766">
        <v>53.97</v>
      </c>
      <c r="DE37" s="766">
        <v>54.1</v>
      </c>
      <c r="DF37" s="766">
        <v>54.24</v>
      </c>
      <c r="DG37" s="766">
        <v>54.38</v>
      </c>
      <c r="DH37" s="766">
        <v>54.51</v>
      </c>
      <c r="DI37" s="766">
        <v>54.64</v>
      </c>
      <c r="DJ37" s="766">
        <v>54.78</v>
      </c>
      <c r="DK37" s="766">
        <v>54.91</v>
      </c>
      <c r="DL37" s="766">
        <v>55.04</v>
      </c>
      <c r="DM37" s="766">
        <v>55.17</v>
      </c>
      <c r="DN37" s="766">
        <v>55.3</v>
      </c>
      <c r="DO37" s="766">
        <v>55.42</v>
      </c>
      <c r="DP37" s="766">
        <v>55.55</v>
      </c>
      <c r="DQ37" s="766">
        <v>55.67</v>
      </c>
      <c r="DR37" s="766">
        <v>55.8</v>
      </c>
    </row>
    <row r="38" spans="1:122">
      <c r="A38" s="944">
        <v>36</v>
      </c>
      <c r="B38" s="96"/>
      <c r="C38" s="96"/>
      <c r="D38" s="96"/>
      <c r="E38" s="96"/>
      <c r="F38" s="96"/>
      <c r="G38" s="96"/>
      <c r="H38" s="96"/>
      <c r="I38" s="96"/>
      <c r="J38" s="96"/>
      <c r="K38" s="96"/>
      <c r="L38" s="96"/>
      <c r="M38" s="96"/>
      <c r="N38" s="96"/>
      <c r="O38" s="96"/>
      <c r="P38" s="96"/>
      <c r="Q38" s="96"/>
      <c r="R38" s="96"/>
      <c r="S38" s="96"/>
      <c r="T38" s="96"/>
      <c r="U38" s="96"/>
      <c r="V38" s="766"/>
      <c r="W38" s="766">
        <v>38.14</v>
      </c>
      <c r="X38" s="766">
        <v>38.380000000000003</v>
      </c>
      <c r="Y38" s="766">
        <v>38.450000000000003</v>
      </c>
      <c r="Z38" s="766">
        <v>38.68</v>
      </c>
      <c r="AA38" s="766">
        <v>38.869999999999997</v>
      </c>
      <c r="AB38" s="766">
        <v>39.03</v>
      </c>
      <c r="AC38" s="766">
        <v>39.04</v>
      </c>
      <c r="AD38" s="766">
        <v>38.979999999999997</v>
      </c>
      <c r="AE38" s="766">
        <v>39.049999999999997</v>
      </c>
      <c r="AF38" s="766">
        <v>39.26</v>
      </c>
      <c r="AG38" s="766">
        <v>39.520000000000003</v>
      </c>
      <c r="AH38" s="766">
        <v>39.83</v>
      </c>
      <c r="AI38" s="766">
        <v>40.11</v>
      </c>
      <c r="AJ38" s="766">
        <v>40.409999999999997</v>
      </c>
      <c r="AK38" s="766">
        <v>40.72</v>
      </c>
      <c r="AL38" s="766">
        <v>41.08</v>
      </c>
      <c r="AM38" s="766">
        <v>41.45</v>
      </c>
      <c r="AN38" s="766">
        <v>41.67</v>
      </c>
      <c r="AO38" s="766">
        <v>41.84</v>
      </c>
      <c r="AP38" s="766">
        <v>42.05</v>
      </c>
      <c r="AQ38" s="766">
        <v>42.24</v>
      </c>
      <c r="AR38" s="766">
        <v>42.51</v>
      </c>
      <c r="AS38" s="766">
        <v>42.56</v>
      </c>
      <c r="AT38" s="766">
        <v>42.67</v>
      </c>
      <c r="AU38" s="766">
        <v>42.79</v>
      </c>
      <c r="AV38" s="766">
        <v>42.9</v>
      </c>
      <c r="AW38" s="766">
        <v>43.17</v>
      </c>
      <c r="AX38" s="766">
        <v>43.33</v>
      </c>
      <c r="AY38" s="766">
        <v>43.42</v>
      </c>
      <c r="AZ38" s="766">
        <v>43.49</v>
      </c>
      <c r="BA38" s="766">
        <v>43.58</v>
      </c>
      <c r="BB38" s="766">
        <v>43.71</v>
      </c>
      <c r="BC38" s="766">
        <v>43.83</v>
      </c>
      <c r="BD38" s="766">
        <v>44.01</v>
      </c>
      <c r="BE38" s="766">
        <v>44.22</v>
      </c>
      <c r="BF38" s="766">
        <v>44.45</v>
      </c>
      <c r="BG38" s="766">
        <v>44.6</v>
      </c>
      <c r="BH38" s="766">
        <v>44.88</v>
      </c>
      <c r="BI38" s="766">
        <v>45.07</v>
      </c>
      <c r="BJ38" s="766">
        <v>45.33</v>
      </c>
      <c r="BK38" s="766">
        <v>45.52</v>
      </c>
      <c r="BL38" s="766">
        <v>45.77</v>
      </c>
      <c r="BM38" s="766">
        <v>46</v>
      </c>
      <c r="BN38" s="766">
        <v>46.23</v>
      </c>
      <c r="BO38" s="766">
        <v>46.42</v>
      </c>
      <c r="BP38" s="766">
        <v>46.62</v>
      </c>
      <c r="BQ38" s="766">
        <v>46.82</v>
      </c>
      <c r="BR38" s="766">
        <v>47.01</v>
      </c>
      <c r="BS38" s="766">
        <v>47.19</v>
      </c>
      <c r="BT38" s="888">
        <v>47.36</v>
      </c>
      <c r="BU38" s="766">
        <v>47.51</v>
      </c>
      <c r="BV38" s="766">
        <v>47.71</v>
      </c>
      <c r="BW38" s="766">
        <v>47.87</v>
      </c>
      <c r="BX38" s="766">
        <v>48.05</v>
      </c>
      <c r="BY38" s="766">
        <v>48.21</v>
      </c>
      <c r="BZ38" s="766">
        <v>48.37</v>
      </c>
      <c r="CA38" s="766">
        <v>48.54</v>
      </c>
      <c r="CB38" s="766">
        <v>48.69</v>
      </c>
      <c r="CC38" s="766">
        <v>48.86</v>
      </c>
      <c r="CD38" s="766">
        <v>49.03</v>
      </c>
      <c r="CE38" s="766">
        <v>49.2</v>
      </c>
      <c r="CF38" s="766">
        <v>49.36</v>
      </c>
      <c r="CG38" s="766">
        <v>49.52</v>
      </c>
      <c r="CH38" s="766">
        <v>49.69</v>
      </c>
      <c r="CI38" s="766">
        <v>49.85</v>
      </c>
      <c r="CJ38" s="766">
        <v>50.01</v>
      </c>
      <c r="CK38" s="766">
        <v>50.17</v>
      </c>
      <c r="CL38" s="766">
        <v>50.33</v>
      </c>
      <c r="CM38" s="766">
        <v>50.48</v>
      </c>
      <c r="CN38" s="766">
        <v>50.64</v>
      </c>
      <c r="CO38" s="766">
        <v>50.8</v>
      </c>
      <c r="CP38" s="766">
        <v>50.95</v>
      </c>
      <c r="CQ38" s="766">
        <v>51.1</v>
      </c>
      <c r="CR38" s="766">
        <v>51.25</v>
      </c>
      <c r="CS38" s="766">
        <v>51.41</v>
      </c>
      <c r="CT38" s="766">
        <v>51.55</v>
      </c>
      <c r="CU38" s="766">
        <v>51.7</v>
      </c>
      <c r="CV38" s="766">
        <v>51.85</v>
      </c>
      <c r="CW38" s="766">
        <v>52</v>
      </c>
      <c r="CX38" s="766">
        <v>52.14</v>
      </c>
      <c r="CY38" s="766">
        <v>52.29</v>
      </c>
      <c r="CZ38" s="766">
        <v>52.43</v>
      </c>
      <c r="DA38" s="766">
        <v>52.57</v>
      </c>
      <c r="DB38" s="766">
        <v>52.71</v>
      </c>
      <c r="DC38" s="766">
        <v>52.85</v>
      </c>
      <c r="DD38" s="766">
        <v>52.99</v>
      </c>
      <c r="DE38" s="766">
        <v>53.13</v>
      </c>
      <c r="DF38" s="766">
        <v>53.26</v>
      </c>
      <c r="DG38" s="766">
        <v>53.4</v>
      </c>
      <c r="DH38" s="766">
        <v>53.53</v>
      </c>
      <c r="DI38" s="766">
        <v>53.67</v>
      </c>
      <c r="DJ38" s="766">
        <v>53.8</v>
      </c>
      <c r="DK38" s="766">
        <v>53.93</v>
      </c>
      <c r="DL38" s="766">
        <v>54.06</v>
      </c>
      <c r="DM38" s="766">
        <v>54.19</v>
      </c>
      <c r="DN38" s="766">
        <v>54.31</v>
      </c>
      <c r="DO38" s="766">
        <v>54.44</v>
      </c>
      <c r="DP38" s="766">
        <v>54.57</v>
      </c>
      <c r="DQ38" s="766">
        <v>54.69</v>
      </c>
      <c r="DR38" s="766">
        <v>54.81</v>
      </c>
    </row>
    <row r="39" spans="1:122">
      <c r="A39" s="944">
        <v>37</v>
      </c>
      <c r="B39" s="96"/>
      <c r="C39" s="96"/>
      <c r="D39" s="96"/>
      <c r="E39" s="96"/>
      <c r="F39" s="96"/>
      <c r="G39" s="96"/>
      <c r="H39" s="96"/>
      <c r="I39" s="96"/>
      <c r="J39" s="96"/>
      <c r="K39" s="96"/>
      <c r="L39" s="96"/>
      <c r="M39" s="96"/>
      <c r="N39" s="96"/>
      <c r="O39" s="96"/>
      <c r="P39" s="96"/>
      <c r="Q39" s="96"/>
      <c r="R39" s="96"/>
      <c r="S39" s="96"/>
      <c r="T39" s="96"/>
      <c r="U39" s="96"/>
      <c r="V39" s="766"/>
      <c r="W39" s="766">
        <v>37.229999999999997</v>
      </c>
      <c r="X39" s="766">
        <v>37.46</v>
      </c>
      <c r="Y39" s="766">
        <v>37.53</v>
      </c>
      <c r="Z39" s="766">
        <v>37.76</v>
      </c>
      <c r="AA39" s="766">
        <v>37.96</v>
      </c>
      <c r="AB39" s="766">
        <v>38.119999999999997</v>
      </c>
      <c r="AC39" s="766">
        <v>38.119999999999997</v>
      </c>
      <c r="AD39" s="766">
        <v>38.06</v>
      </c>
      <c r="AE39" s="766">
        <v>38.130000000000003</v>
      </c>
      <c r="AF39" s="766">
        <v>38.35</v>
      </c>
      <c r="AG39" s="766">
        <v>38.61</v>
      </c>
      <c r="AH39" s="766">
        <v>38.909999999999997</v>
      </c>
      <c r="AI39" s="766">
        <v>39.19</v>
      </c>
      <c r="AJ39" s="766">
        <v>39.49</v>
      </c>
      <c r="AK39" s="766">
        <v>39.81</v>
      </c>
      <c r="AL39" s="766">
        <v>40.18</v>
      </c>
      <c r="AM39" s="766">
        <v>40.53</v>
      </c>
      <c r="AN39" s="766">
        <v>40.76</v>
      </c>
      <c r="AO39" s="766">
        <v>40.93</v>
      </c>
      <c r="AP39" s="766">
        <v>41.14</v>
      </c>
      <c r="AQ39" s="766">
        <v>41.33</v>
      </c>
      <c r="AR39" s="766">
        <v>41.6</v>
      </c>
      <c r="AS39" s="766">
        <v>41.65</v>
      </c>
      <c r="AT39" s="766">
        <v>41.75</v>
      </c>
      <c r="AU39" s="766">
        <v>41.87</v>
      </c>
      <c r="AV39" s="766">
        <v>41.98</v>
      </c>
      <c r="AW39" s="766">
        <v>42.24</v>
      </c>
      <c r="AX39" s="766">
        <v>42.4</v>
      </c>
      <c r="AY39" s="766">
        <v>42.49</v>
      </c>
      <c r="AZ39" s="766">
        <v>42.56</v>
      </c>
      <c r="BA39" s="766">
        <v>42.65</v>
      </c>
      <c r="BB39" s="766">
        <v>42.78</v>
      </c>
      <c r="BC39" s="766">
        <v>42.91</v>
      </c>
      <c r="BD39" s="766">
        <v>43.09</v>
      </c>
      <c r="BE39" s="766">
        <v>43.31</v>
      </c>
      <c r="BF39" s="766">
        <v>43.53</v>
      </c>
      <c r="BG39" s="766">
        <v>43.69</v>
      </c>
      <c r="BH39" s="766">
        <v>43.96</v>
      </c>
      <c r="BI39" s="766">
        <v>44.15</v>
      </c>
      <c r="BJ39" s="766">
        <v>44.4</v>
      </c>
      <c r="BK39" s="766">
        <v>44.58</v>
      </c>
      <c r="BL39" s="766">
        <v>44.83</v>
      </c>
      <c r="BM39" s="766">
        <v>45.07</v>
      </c>
      <c r="BN39" s="766">
        <v>45.28</v>
      </c>
      <c r="BO39" s="766">
        <v>45.48</v>
      </c>
      <c r="BP39" s="766">
        <v>45.68</v>
      </c>
      <c r="BQ39" s="766">
        <v>45.87</v>
      </c>
      <c r="BR39" s="766">
        <v>46.06</v>
      </c>
      <c r="BS39" s="766">
        <v>46.23</v>
      </c>
      <c r="BT39" s="888">
        <v>46.41</v>
      </c>
      <c r="BU39" s="766">
        <v>46.55</v>
      </c>
      <c r="BV39" s="766">
        <v>46.75</v>
      </c>
      <c r="BW39" s="766">
        <v>46.92</v>
      </c>
      <c r="BX39" s="766">
        <v>47.09</v>
      </c>
      <c r="BY39" s="766">
        <v>47.25</v>
      </c>
      <c r="BZ39" s="766">
        <v>47.41</v>
      </c>
      <c r="CA39" s="766">
        <v>47.58</v>
      </c>
      <c r="CB39" s="766">
        <v>47.73</v>
      </c>
      <c r="CC39" s="766">
        <v>47.9</v>
      </c>
      <c r="CD39" s="766">
        <v>48.07</v>
      </c>
      <c r="CE39" s="766">
        <v>48.24</v>
      </c>
      <c r="CF39" s="766">
        <v>48.4</v>
      </c>
      <c r="CG39" s="766">
        <v>48.56</v>
      </c>
      <c r="CH39" s="766">
        <v>48.73</v>
      </c>
      <c r="CI39" s="766">
        <v>48.89</v>
      </c>
      <c r="CJ39" s="766">
        <v>49.05</v>
      </c>
      <c r="CK39" s="766">
        <v>49.21</v>
      </c>
      <c r="CL39" s="766">
        <v>49.36</v>
      </c>
      <c r="CM39" s="766">
        <v>49.52</v>
      </c>
      <c r="CN39" s="766">
        <v>49.68</v>
      </c>
      <c r="CO39" s="766">
        <v>49.83</v>
      </c>
      <c r="CP39" s="766">
        <v>49.98</v>
      </c>
      <c r="CQ39" s="766">
        <v>50.14</v>
      </c>
      <c r="CR39" s="766">
        <v>50.29</v>
      </c>
      <c r="CS39" s="766">
        <v>50.44</v>
      </c>
      <c r="CT39" s="766">
        <v>50.59</v>
      </c>
      <c r="CU39" s="766">
        <v>50.73</v>
      </c>
      <c r="CV39" s="766">
        <v>50.88</v>
      </c>
      <c r="CW39" s="766">
        <v>51.03</v>
      </c>
      <c r="CX39" s="766">
        <v>51.17</v>
      </c>
      <c r="CY39" s="766">
        <v>51.31</v>
      </c>
      <c r="CZ39" s="766">
        <v>51.46</v>
      </c>
      <c r="DA39" s="766">
        <v>51.6</v>
      </c>
      <c r="DB39" s="766">
        <v>51.74</v>
      </c>
      <c r="DC39" s="766">
        <v>51.88</v>
      </c>
      <c r="DD39" s="766">
        <v>52.01</v>
      </c>
      <c r="DE39" s="766">
        <v>52.15</v>
      </c>
      <c r="DF39" s="766">
        <v>52.29</v>
      </c>
      <c r="DG39" s="766">
        <v>52.42</v>
      </c>
      <c r="DH39" s="766">
        <v>52.56</v>
      </c>
      <c r="DI39" s="766">
        <v>52.69</v>
      </c>
      <c r="DJ39" s="766">
        <v>52.82</v>
      </c>
      <c r="DK39" s="766">
        <v>52.95</v>
      </c>
      <c r="DL39" s="766">
        <v>53.08</v>
      </c>
      <c r="DM39" s="766">
        <v>53.21</v>
      </c>
      <c r="DN39" s="766">
        <v>53.34</v>
      </c>
      <c r="DO39" s="766">
        <v>53.46</v>
      </c>
      <c r="DP39" s="766">
        <v>53.59</v>
      </c>
      <c r="DQ39" s="766">
        <v>53.71</v>
      </c>
      <c r="DR39" s="766">
        <v>53.83</v>
      </c>
    </row>
    <row r="40" spans="1:122">
      <c r="A40" s="944">
        <v>38</v>
      </c>
      <c r="B40" s="96"/>
      <c r="C40" s="96"/>
      <c r="D40" s="96"/>
      <c r="E40" s="96"/>
      <c r="F40" s="96"/>
      <c r="G40" s="96"/>
      <c r="H40" s="96"/>
      <c r="I40" s="96"/>
      <c r="J40" s="96"/>
      <c r="K40" s="96"/>
      <c r="L40" s="96"/>
      <c r="M40" s="96"/>
      <c r="N40" s="96"/>
      <c r="O40" s="96"/>
      <c r="P40" s="96"/>
      <c r="Q40" s="96"/>
      <c r="R40" s="96"/>
      <c r="S40" s="96"/>
      <c r="T40" s="96"/>
      <c r="U40" s="96"/>
      <c r="V40" s="766"/>
      <c r="W40" s="766">
        <v>36.32</v>
      </c>
      <c r="X40" s="766">
        <v>36.549999999999997</v>
      </c>
      <c r="Y40" s="766">
        <v>36.619999999999997</v>
      </c>
      <c r="Z40" s="766">
        <v>36.840000000000003</v>
      </c>
      <c r="AA40" s="766">
        <v>37.049999999999997</v>
      </c>
      <c r="AB40" s="766">
        <v>37.21</v>
      </c>
      <c r="AC40" s="766">
        <v>37.21</v>
      </c>
      <c r="AD40" s="766">
        <v>37.15</v>
      </c>
      <c r="AE40" s="766">
        <v>37.22</v>
      </c>
      <c r="AF40" s="766">
        <v>37.44</v>
      </c>
      <c r="AG40" s="766">
        <v>37.700000000000003</v>
      </c>
      <c r="AH40" s="766">
        <v>38.01</v>
      </c>
      <c r="AI40" s="766">
        <v>38.29</v>
      </c>
      <c r="AJ40" s="766">
        <v>38.590000000000003</v>
      </c>
      <c r="AK40" s="766">
        <v>38.9</v>
      </c>
      <c r="AL40" s="766">
        <v>39.270000000000003</v>
      </c>
      <c r="AM40" s="766">
        <v>39.619999999999997</v>
      </c>
      <c r="AN40" s="766">
        <v>39.85</v>
      </c>
      <c r="AO40" s="766">
        <v>40.03</v>
      </c>
      <c r="AP40" s="766">
        <v>40.229999999999997</v>
      </c>
      <c r="AQ40" s="766">
        <v>40.42</v>
      </c>
      <c r="AR40" s="766">
        <v>40.69</v>
      </c>
      <c r="AS40" s="766">
        <v>40.729999999999997</v>
      </c>
      <c r="AT40" s="766">
        <v>40.840000000000003</v>
      </c>
      <c r="AU40" s="766">
        <v>40.950000000000003</v>
      </c>
      <c r="AV40" s="766">
        <v>41.06</v>
      </c>
      <c r="AW40" s="766">
        <v>41.32</v>
      </c>
      <c r="AX40" s="766">
        <v>41.47</v>
      </c>
      <c r="AY40" s="766">
        <v>41.57</v>
      </c>
      <c r="AZ40" s="766">
        <v>41.64</v>
      </c>
      <c r="BA40" s="766">
        <v>41.73</v>
      </c>
      <c r="BB40" s="766">
        <v>41.87</v>
      </c>
      <c r="BC40" s="766">
        <v>42</v>
      </c>
      <c r="BD40" s="766">
        <v>42.18</v>
      </c>
      <c r="BE40" s="766">
        <v>42.39</v>
      </c>
      <c r="BF40" s="766">
        <v>42.61</v>
      </c>
      <c r="BG40" s="766">
        <v>42.78</v>
      </c>
      <c r="BH40" s="766">
        <v>43.04</v>
      </c>
      <c r="BI40" s="766">
        <v>43.23</v>
      </c>
      <c r="BJ40" s="766">
        <v>43.46</v>
      </c>
      <c r="BK40" s="766">
        <v>43.65</v>
      </c>
      <c r="BL40" s="766">
        <v>43.9</v>
      </c>
      <c r="BM40" s="766">
        <v>44.13</v>
      </c>
      <c r="BN40" s="766">
        <v>44.34</v>
      </c>
      <c r="BO40" s="766">
        <v>44.53</v>
      </c>
      <c r="BP40" s="766">
        <v>44.73</v>
      </c>
      <c r="BQ40" s="766">
        <v>44.92</v>
      </c>
      <c r="BR40" s="766">
        <v>45.11</v>
      </c>
      <c r="BS40" s="766">
        <v>45.28</v>
      </c>
      <c r="BT40" s="888">
        <v>45.45</v>
      </c>
      <c r="BU40" s="766">
        <v>45.6</v>
      </c>
      <c r="BV40" s="766">
        <v>45.79</v>
      </c>
      <c r="BW40" s="766">
        <v>45.96</v>
      </c>
      <c r="BX40" s="766">
        <v>46.13</v>
      </c>
      <c r="BY40" s="766">
        <v>46.29</v>
      </c>
      <c r="BZ40" s="766">
        <v>46.45</v>
      </c>
      <c r="CA40" s="766">
        <v>46.62</v>
      </c>
      <c r="CB40" s="766">
        <v>46.78</v>
      </c>
      <c r="CC40" s="766">
        <v>46.95</v>
      </c>
      <c r="CD40" s="766">
        <v>47.12</v>
      </c>
      <c r="CE40" s="766">
        <v>47.28</v>
      </c>
      <c r="CF40" s="766">
        <v>47.44</v>
      </c>
      <c r="CG40" s="766">
        <v>47.61</v>
      </c>
      <c r="CH40" s="766">
        <v>47.77</v>
      </c>
      <c r="CI40" s="766">
        <v>47.93</v>
      </c>
      <c r="CJ40" s="766">
        <v>48.09</v>
      </c>
      <c r="CK40" s="766">
        <v>48.25</v>
      </c>
      <c r="CL40" s="766">
        <v>48.4</v>
      </c>
      <c r="CM40" s="766">
        <v>48.56</v>
      </c>
      <c r="CN40" s="766">
        <v>48.71</v>
      </c>
      <c r="CO40" s="766">
        <v>48.87</v>
      </c>
      <c r="CP40" s="766">
        <v>49.02</v>
      </c>
      <c r="CQ40" s="766">
        <v>49.17</v>
      </c>
      <c r="CR40" s="766">
        <v>49.32</v>
      </c>
      <c r="CS40" s="766">
        <v>49.47</v>
      </c>
      <c r="CT40" s="766">
        <v>49.62</v>
      </c>
      <c r="CU40" s="766">
        <v>49.77</v>
      </c>
      <c r="CV40" s="766">
        <v>49.91</v>
      </c>
      <c r="CW40" s="766">
        <v>50.06</v>
      </c>
      <c r="CX40" s="766">
        <v>50.2</v>
      </c>
      <c r="CY40" s="766">
        <v>50.34</v>
      </c>
      <c r="CZ40" s="766">
        <v>50.49</v>
      </c>
      <c r="DA40" s="766">
        <v>50.63</v>
      </c>
      <c r="DB40" s="766">
        <v>50.77</v>
      </c>
      <c r="DC40" s="766">
        <v>50.9</v>
      </c>
      <c r="DD40" s="766">
        <v>51.04</v>
      </c>
      <c r="DE40" s="766">
        <v>51.18</v>
      </c>
      <c r="DF40" s="766">
        <v>51.31</v>
      </c>
      <c r="DG40" s="766">
        <v>51.45</v>
      </c>
      <c r="DH40" s="766">
        <v>51.58</v>
      </c>
      <c r="DI40" s="766">
        <v>51.71</v>
      </c>
      <c r="DJ40" s="766">
        <v>51.84</v>
      </c>
      <c r="DK40" s="766">
        <v>51.97</v>
      </c>
      <c r="DL40" s="766">
        <v>52.1</v>
      </c>
      <c r="DM40" s="766">
        <v>52.23</v>
      </c>
      <c r="DN40" s="766">
        <v>52.36</v>
      </c>
      <c r="DO40" s="766">
        <v>52.48</v>
      </c>
      <c r="DP40" s="766">
        <v>52.61</v>
      </c>
      <c r="DQ40" s="766">
        <v>52.73</v>
      </c>
      <c r="DR40" s="766">
        <v>52.85</v>
      </c>
    </row>
    <row r="41" spans="1:122">
      <c r="A41" s="944">
        <v>39</v>
      </c>
      <c r="B41" s="96"/>
      <c r="C41" s="96"/>
      <c r="D41" s="96"/>
      <c r="E41" s="96"/>
      <c r="F41" s="96"/>
      <c r="G41" s="96"/>
      <c r="H41" s="96"/>
      <c r="I41" s="96"/>
      <c r="J41" s="96"/>
      <c r="K41" s="96"/>
      <c r="L41" s="96"/>
      <c r="M41" s="96"/>
      <c r="N41" s="96"/>
      <c r="O41" s="96"/>
      <c r="P41" s="96"/>
      <c r="Q41" s="96"/>
      <c r="R41" s="96"/>
      <c r="S41" s="96"/>
      <c r="T41" s="96"/>
      <c r="U41" s="96"/>
      <c r="V41" s="766"/>
      <c r="W41" s="766">
        <v>35.409999999999997</v>
      </c>
      <c r="X41" s="766">
        <v>35.64</v>
      </c>
      <c r="Y41" s="766">
        <v>35.71</v>
      </c>
      <c r="Z41" s="766">
        <v>35.93</v>
      </c>
      <c r="AA41" s="766">
        <v>36.14</v>
      </c>
      <c r="AB41" s="766">
        <v>36.299999999999997</v>
      </c>
      <c r="AC41" s="766">
        <v>36.299999999999997</v>
      </c>
      <c r="AD41" s="766">
        <v>36.25</v>
      </c>
      <c r="AE41" s="766">
        <v>36.32</v>
      </c>
      <c r="AF41" s="766">
        <v>36.53</v>
      </c>
      <c r="AG41" s="766">
        <v>36.799999999999997</v>
      </c>
      <c r="AH41" s="766">
        <v>37.11</v>
      </c>
      <c r="AI41" s="766">
        <v>37.39</v>
      </c>
      <c r="AJ41" s="766">
        <v>37.69</v>
      </c>
      <c r="AK41" s="766">
        <v>38</v>
      </c>
      <c r="AL41" s="766">
        <v>38.369999999999997</v>
      </c>
      <c r="AM41" s="766">
        <v>38.72</v>
      </c>
      <c r="AN41" s="766">
        <v>38.950000000000003</v>
      </c>
      <c r="AO41" s="766">
        <v>39.119999999999997</v>
      </c>
      <c r="AP41" s="766">
        <v>39.33</v>
      </c>
      <c r="AQ41" s="766">
        <v>39.520000000000003</v>
      </c>
      <c r="AR41" s="766">
        <v>39.78</v>
      </c>
      <c r="AS41" s="766">
        <v>39.83</v>
      </c>
      <c r="AT41" s="766">
        <v>39.93</v>
      </c>
      <c r="AU41" s="766">
        <v>40.04</v>
      </c>
      <c r="AV41" s="766">
        <v>40.15</v>
      </c>
      <c r="AW41" s="766">
        <v>40.4</v>
      </c>
      <c r="AX41" s="766">
        <v>40.549999999999997</v>
      </c>
      <c r="AY41" s="766">
        <v>40.65</v>
      </c>
      <c r="AZ41" s="766">
        <v>40.72</v>
      </c>
      <c r="BA41" s="766">
        <v>40.81</v>
      </c>
      <c r="BB41" s="766">
        <v>40.96</v>
      </c>
      <c r="BC41" s="766">
        <v>41.1</v>
      </c>
      <c r="BD41" s="766">
        <v>41.28</v>
      </c>
      <c r="BE41" s="766">
        <v>41.48</v>
      </c>
      <c r="BF41" s="766">
        <v>41.7</v>
      </c>
      <c r="BG41" s="766">
        <v>41.87</v>
      </c>
      <c r="BH41" s="766">
        <v>42.12</v>
      </c>
      <c r="BI41" s="766">
        <v>42.3</v>
      </c>
      <c r="BJ41" s="766">
        <v>42.53</v>
      </c>
      <c r="BK41" s="766">
        <v>42.72</v>
      </c>
      <c r="BL41" s="766">
        <v>42.97</v>
      </c>
      <c r="BM41" s="766">
        <v>43.19</v>
      </c>
      <c r="BN41" s="766">
        <v>43.4</v>
      </c>
      <c r="BO41" s="766">
        <v>43.59</v>
      </c>
      <c r="BP41" s="766">
        <v>43.79</v>
      </c>
      <c r="BQ41" s="766">
        <v>43.97</v>
      </c>
      <c r="BR41" s="766">
        <v>44.16</v>
      </c>
      <c r="BS41" s="766">
        <v>44.33</v>
      </c>
      <c r="BT41" s="888">
        <v>44.5</v>
      </c>
      <c r="BU41" s="766">
        <v>44.65</v>
      </c>
      <c r="BV41" s="766">
        <v>44.84</v>
      </c>
      <c r="BW41" s="766">
        <v>45.01</v>
      </c>
      <c r="BX41" s="766">
        <v>45.18</v>
      </c>
      <c r="BY41" s="766">
        <v>45.34</v>
      </c>
      <c r="BZ41" s="766">
        <v>45.5</v>
      </c>
      <c r="CA41" s="766">
        <v>45.67</v>
      </c>
      <c r="CB41" s="766">
        <v>45.83</v>
      </c>
      <c r="CC41" s="766">
        <v>46</v>
      </c>
      <c r="CD41" s="766">
        <v>46.16</v>
      </c>
      <c r="CE41" s="766">
        <v>46.33</v>
      </c>
      <c r="CF41" s="766">
        <v>46.49</v>
      </c>
      <c r="CG41" s="766">
        <v>46.65</v>
      </c>
      <c r="CH41" s="766">
        <v>46.81</v>
      </c>
      <c r="CI41" s="766">
        <v>46.97</v>
      </c>
      <c r="CJ41" s="766">
        <v>47.13</v>
      </c>
      <c r="CK41" s="766">
        <v>47.29</v>
      </c>
      <c r="CL41" s="766">
        <v>47.44</v>
      </c>
      <c r="CM41" s="766">
        <v>47.6</v>
      </c>
      <c r="CN41" s="766">
        <v>47.75</v>
      </c>
      <c r="CO41" s="766">
        <v>47.91</v>
      </c>
      <c r="CP41" s="766">
        <v>48.06</v>
      </c>
      <c r="CQ41" s="766">
        <v>48.21</v>
      </c>
      <c r="CR41" s="766">
        <v>48.36</v>
      </c>
      <c r="CS41" s="766">
        <v>48.51</v>
      </c>
      <c r="CT41" s="766">
        <v>48.65</v>
      </c>
      <c r="CU41" s="766">
        <v>48.8</v>
      </c>
      <c r="CV41" s="766">
        <v>48.95</v>
      </c>
      <c r="CW41" s="766">
        <v>49.09</v>
      </c>
      <c r="CX41" s="766">
        <v>49.23</v>
      </c>
      <c r="CY41" s="766">
        <v>49.38</v>
      </c>
      <c r="CZ41" s="766">
        <v>49.52</v>
      </c>
      <c r="DA41" s="766">
        <v>49.66</v>
      </c>
      <c r="DB41" s="766">
        <v>49.8</v>
      </c>
      <c r="DC41" s="766">
        <v>49.93</v>
      </c>
      <c r="DD41" s="766">
        <v>50.07</v>
      </c>
      <c r="DE41" s="766">
        <v>50.21</v>
      </c>
      <c r="DF41" s="766">
        <v>50.34</v>
      </c>
      <c r="DG41" s="766">
        <v>50.47</v>
      </c>
      <c r="DH41" s="766">
        <v>50.61</v>
      </c>
      <c r="DI41" s="766">
        <v>50.74</v>
      </c>
      <c r="DJ41" s="766">
        <v>50.87</v>
      </c>
      <c r="DK41" s="766">
        <v>51</v>
      </c>
      <c r="DL41" s="766">
        <v>51.13</v>
      </c>
      <c r="DM41" s="766">
        <v>51.25</v>
      </c>
      <c r="DN41" s="766">
        <v>51.38</v>
      </c>
      <c r="DO41" s="766">
        <v>51.51</v>
      </c>
      <c r="DP41" s="766">
        <v>51.63</v>
      </c>
      <c r="DQ41" s="766">
        <v>51.75</v>
      </c>
      <c r="DR41" s="766">
        <v>51.88</v>
      </c>
    </row>
    <row r="42" spans="1:122">
      <c r="A42" s="944">
        <v>40</v>
      </c>
      <c r="B42" s="96"/>
      <c r="C42" s="96"/>
      <c r="D42" s="96"/>
      <c r="E42" s="96"/>
      <c r="F42" s="96"/>
      <c r="G42" s="96"/>
      <c r="H42" s="96"/>
      <c r="I42" s="96"/>
      <c r="J42" s="96"/>
      <c r="K42" s="96"/>
      <c r="L42" s="96"/>
      <c r="M42" s="96"/>
      <c r="N42" s="96"/>
      <c r="O42" s="96"/>
      <c r="P42" s="96"/>
      <c r="Q42" s="96"/>
      <c r="R42" s="96"/>
      <c r="S42" s="96"/>
      <c r="T42" s="96"/>
      <c r="U42" s="96"/>
      <c r="V42" s="766"/>
      <c r="W42" s="766">
        <v>34.51</v>
      </c>
      <c r="X42" s="766">
        <v>34.729999999999997</v>
      </c>
      <c r="Y42" s="766">
        <v>34.799999999999997</v>
      </c>
      <c r="Z42" s="766">
        <v>35.03</v>
      </c>
      <c r="AA42" s="766">
        <v>35.24</v>
      </c>
      <c r="AB42" s="766">
        <v>35.39</v>
      </c>
      <c r="AC42" s="766">
        <v>35.4</v>
      </c>
      <c r="AD42" s="766">
        <v>35.340000000000003</v>
      </c>
      <c r="AE42" s="766">
        <v>35.42</v>
      </c>
      <c r="AF42" s="766">
        <v>35.630000000000003</v>
      </c>
      <c r="AG42" s="766">
        <v>35.9</v>
      </c>
      <c r="AH42" s="766">
        <v>36.22</v>
      </c>
      <c r="AI42" s="766">
        <v>36.49</v>
      </c>
      <c r="AJ42" s="766">
        <v>36.799999999999997</v>
      </c>
      <c r="AK42" s="766">
        <v>37.11</v>
      </c>
      <c r="AL42" s="766">
        <v>37.47</v>
      </c>
      <c r="AM42" s="766">
        <v>37.83</v>
      </c>
      <c r="AN42" s="766">
        <v>38.049999999999997</v>
      </c>
      <c r="AO42" s="766">
        <v>38.229999999999997</v>
      </c>
      <c r="AP42" s="766">
        <v>38.43</v>
      </c>
      <c r="AQ42" s="766">
        <v>38.619999999999997</v>
      </c>
      <c r="AR42" s="766">
        <v>38.880000000000003</v>
      </c>
      <c r="AS42" s="766">
        <v>38.92</v>
      </c>
      <c r="AT42" s="766">
        <v>39.020000000000003</v>
      </c>
      <c r="AU42" s="766">
        <v>39.130000000000003</v>
      </c>
      <c r="AV42" s="766">
        <v>39.24</v>
      </c>
      <c r="AW42" s="766">
        <v>39.49</v>
      </c>
      <c r="AX42" s="766">
        <v>39.64</v>
      </c>
      <c r="AY42" s="766">
        <v>39.729999999999997</v>
      </c>
      <c r="AZ42" s="766">
        <v>39.81</v>
      </c>
      <c r="BA42" s="766">
        <v>39.909999999999997</v>
      </c>
      <c r="BB42" s="766">
        <v>40.06</v>
      </c>
      <c r="BC42" s="766">
        <v>40.200000000000003</v>
      </c>
      <c r="BD42" s="766">
        <v>40.369999999999997</v>
      </c>
      <c r="BE42" s="766">
        <v>40.58</v>
      </c>
      <c r="BF42" s="766">
        <v>40.78</v>
      </c>
      <c r="BG42" s="766">
        <v>40.950000000000003</v>
      </c>
      <c r="BH42" s="766">
        <v>41.2</v>
      </c>
      <c r="BI42" s="766">
        <v>41.38</v>
      </c>
      <c r="BJ42" s="766">
        <v>41.61</v>
      </c>
      <c r="BK42" s="766">
        <v>41.79</v>
      </c>
      <c r="BL42" s="766">
        <v>42.03</v>
      </c>
      <c r="BM42" s="766">
        <v>42.26</v>
      </c>
      <c r="BN42" s="766">
        <v>42.47</v>
      </c>
      <c r="BO42" s="766">
        <v>42.65</v>
      </c>
      <c r="BP42" s="766">
        <v>42.85</v>
      </c>
      <c r="BQ42" s="766">
        <v>43.03</v>
      </c>
      <c r="BR42" s="766">
        <v>43.21</v>
      </c>
      <c r="BS42" s="766">
        <v>43.38</v>
      </c>
      <c r="BT42" s="888">
        <v>43.55</v>
      </c>
      <c r="BU42" s="766">
        <v>43.7</v>
      </c>
      <c r="BV42" s="766">
        <v>43.89</v>
      </c>
      <c r="BW42" s="766">
        <v>44.06</v>
      </c>
      <c r="BX42" s="766">
        <v>44.23</v>
      </c>
      <c r="BY42" s="766">
        <v>44.39</v>
      </c>
      <c r="BZ42" s="766">
        <v>44.55</v>
      </c>
      <c r="CA42" s="766">
        <v>44.72</v>
      </c>
      <c r="CB42" s="766">
        <v>44.88</v>
      </c>
      <c r="CC42" s="766">
        <v>45.05</v>
      </c>
      <c r="CD42" s="766">
        <v>45.21</v>
      </c>
      <c r="CE42" s="766">
        <v>45.38</v>
      </c>
      <c r="CF42" s="766">
        <v>45.54</v>
      </c>
      <c r="CG42" s="766">
        <v>45.7</v>
      </c>
      <c r="CH42" s="766">
        <v>45.86</v>
      </c>
      <c r="CI42" s="766">
        <v>46.02</v>
      </c>
      <c r="CJ42" s="766">
        <v>46.17</v>
      </c>
      <c r="CK42" s="766">
        <v>46.33</v>
      </c>
      <c r="CL42" s="766">
        <v>46.49</v>
      </c>
      <c r="CM42" s="766">
        <v>46.64</v>
      </c>
      <c r="CN42" s="766">
        <v>46.79</v>
      </c>
      <c r="CO42" s="766">
        <v>46.95</v>
      </c>
      <c r="CP42" s="766">
        <v>47.1</v>
      </c>
      <c r="CQ42" s="766">
        <v>47.25</v>
      </c>
      <c r="CR42" s="766">
        <v>47.4</v>
      </c>
      <c r="CS42" s="766">
        <v>47.54</v>
      </c>
      <c r="CT42" s="766">
        <v>47.69</v>
      </c>
      <c r="CU42" s="766">
        <v>47.84</v>
      </c>
      <c r="CV42" s="766">
        <v>47.98</v>
      </c>
      <c r="CW42" s="766">
        <v>48.12</v>
      </c>
      <c r="CX42" s="766">
        <v>48.27</v>
      </c>
      <c r="CY42" s="766">
        <v>48.41</v>
      </c>
      <c r="CZ42" s="766">
        <v>48.55</v>
      </c>
      <c r="DA42" s="766">
        <v>48.69</v>
      </c>
      <c r="DB42" s="766">
        <v>48.83</v>
      </c>
      <c r="DC42" s="766">
        <v>48.96</v>
      </c>
      <c r="DD42" s="766">
        <v>49.1</v>
      </c>
      <c r="DE42" s="766">
        <v>49.24</v>
      </c>
      <c r="DF42" s="766">
        <v>49.37</v>
      </c>
      <c r="DG42" s="766">
        <v>49.5</v>
      </c>
      <c r="DH42" s="766">
        <v>49.63</v>
      </c>
      <c r="DI42" s="766">
        <v>49.77</v>
      </c>
      <c r="DJ42" s="766">
        <v>49.9</v>
      </c>
      <c r="DK42" s="766">
        <v>50.02</v>
      </c>
      <c r="DL42" s="766">
        <v>50.15</v>
      </c>
      <c r="DM42" s="766">
        <v>50.28</v>
      </c>
      <c r="DN42" s="766">
        <v>50.4</v>
      </c>
      <c r="DO42" s="766">
        <v>50.53</v>
      </c>
      <c r="DP42" s="766">
        <v>50.65</v>
      </c>
      <c r="DQ42" s="766">
        <v>50.78</v>
      </c>
      <c r="DR42" s="766">
        <v>50.9</v>
      </c>
    </row>
    <row r="43" spans="1:122">
      <c r="A43" s="944">
        <v>41</v>
      </c>
      <c r="B43" s="96"/>
      <c r="C43" s="96"/>
      <c r="D43" s="96"/>
      <c r="E43" s="96"/>
      <c r="F43" s="96"/>
      <c r="G43" s="96"/>
      <c r="H43" s="96"/>
      <c r="I43" s="96"/>
      <c r="J43" s="96"/>
      <c r="K43" s="96"/>
      <c r="L43" s="96"/>
      <c r="M43" s="96"/>
      <c r="N43" s="96"/>
      <c r="O43" s="96"/>
      <c r="P43" s="96"/>
      <c r="Q43" s="96"/>
      <c r="R43" s="96"/>
      <c r="S43" s="96"/>
      <c r="T43" s="96"/>
      <c r="U43" s="96"/>
      <c r="V43" s="766"/>
      <c r="W43" s="766">
        <v>33.6</v>
      </c>
      <c r="X43" s="766">
        <v>33.83</v>
      </c>
      <c r="Y43" s="766">
        <v>33.9</v>
      </c>
      <c r="Z43" s="766">
        <v>34.130000000000003</v>
      </c>
      <c r="AA43" s="766">
        <v>34.340000000000003</v>
      </c>
      <c r="AB43" s="766">
        <v>34.5</v>
      </c>
      <c r="AC43" s="766">
        <v>34.5</v>
      </c>
      <c r="AD43" s="766">
        <v>34.450000000000003</v>
      </c>
      <c r="AE43" s="766">
        <v>34.53</v>
      </c>
      <c r="AF43" s="766">
        <v>34.75</v>
      </c>
      <c r="AG43" s="766">
        <v>35.01</v>
      </c>
      <c r="AH43" s="766">
        <v>35.32</v>
      </c>
      <c r="AI43" s="766">
        <v>35.6</v>
      </c>
      <c r="AJ43" s="766">
        <v>35.9</v>
      </c>
      <c r="AK43" s="766">
        <v>36.22</v>
      </c>
      <c r="AL43" s="766">
        <v>36.590000000000003</v>
      </c>
      <c r="AM43" s="766">
        <v>36.93</v>
      </c>
      <c r="AN43" s="766">
        <v>37.159999999999997</v>
      </c>
      <c r="AO43" s="766">
        <v>37.340000000000003</v>
      </c>
      <c r="AP43" s="766">
        <v>37.54</v>
      </c>
      <c r="AQ43" s="766">
        <v>37.729999999999997</v>
      </c>
      <c r="AR43" s="766">
        <v>37.979999999999997</v>
      </c>
      <c r="AS43" s="766">
        <v>38.020000000000003</v>
      </c>
      <c r="AT43" s="766">
        <v>38.119999999999997</v>
      </c>
      <c r="AU43" s="766">
        <v>38.22</v>
      </c>
      <c r="AV43" s="766">
        <v>38.33</v>
      </c>
      <c r="AW43" s="766">
        <v>38.58</v>
      </c>
      <c r="AX43" s="766">
        <v>38.729999999999997</v>
      </c>
      <c r="AY43" s="766">
        <v>38.82</v>
      </c>
      <c r="AZ43" s="766">
        <v>38.909999999999997</v>
      </c>
      <c r="BA43" s="766">
        <v>39.01</v>
      </c>
      <c r="BB43" s="766">
        <v>39.159999999999997</v>
      </c>
      <c r="BC43" s="766">
        <v>39.299999999999997</v>
      </c>
      <c r="BD43" s="766">
        <v>39.47</v>
      </c>
      <c r="BE43" s="766">
        <v>39.67</v>
      </c>
      <c r="BF43" s="766">
        <v>39.869999999999997</v>
      </c>
      <c r="BG43" s="766">
        <v>40.04</v>
      </c>
      <c r="BH43" s="766">
        <v>40.28</v>
      </c>
      <c r="BI43" s="766">
        <v>40.46</v>
      </c>
      <c r="BJ43" s="766">
        <v>40.69</v>
      </c>
      <c r="BK43" s="766">
        <v>40.869999999999997</v>
      </c>
      <c r="BL43" s="766">
        <v>41.1</v>
      </c>
      <c r="BM43" s="766">
        <v>41.32</v>
      </c>
      <c r="BN43" s="766">
        <v>41.53</v>
      </c>
      <c r="BO43" s="766">
        <v>41.72</v>
      </c>
      <c r="BP43" s="766">
        <v>41.91</v>
      </c>
      <c r="BQ43" s="766">
        <v>42.08</v>
      </c>
      <c r="BR43" s="766">
        <v>42.27</v>
      </c>
      <c r="BS43" s="766">
        <v>42.44</v>
      </c>
      <c r="BT43" s="888">
        <v>42.61</v>
      </c>
      <c r="BU43" s="766">
        <v>42.76</v>
      </c>
      <c r="BV43" s="766">
        <v>42.94</v>
      </c>
      <c r="BW43" s="766">
        <v>43.11</v>
      </c>
      <c r="BX43" s="766">
        <v>43.28</v>
      </c>
      <c r="BY43" s="766">
        <v>43.44</v>
      </c>
      <c r="BZ43" s="766">
        <v>43.6</v>
      </c>
      <c r="CA43" s="766">
        <v>43.77</v>
      </c>
      <c r="CB43" s="766">
        <v>43.94</v>
      </c>
      <c r="CC43" s="766">
        <v>44.1</v>
      </c>
      <c r="CD43" s="766">
        <v>44.26</v>
      </c>
      <c r="CE43" s="766">
        <v>44.43</v>
      </c>
      <c r="CF43" s="766">
        <v>44.59</v>
      </c>
      <c r="CG43" s="766">
        <v>44.75</v>
      </c>
      <c r="CH43" s="766">
        <v>44.91</v>
      </c>
      <c r="CI43" s="766">
        <v>45.06</v>
      </c>
      <c r="CJ43" s="766">
        <v>45.22</v>
      </c>
      <c r="CK43" s="766">
        <v>45.38</v>
      </c>
      <c r="CL43" s="766">
        <v>45.53</v>
      </c>
      <c r="CM43" s="766">
        <v>45.68</v>
      </c>
      <c r="CN43" s="766">
        <v>45.84</v>
      </c>
      <c r="CO43" s="766">
        <v>45.99</v>
      </c>
      <c r="CP43" s="766">
        <v>46.14</v>
      </c>
      <c r="CQ43" s="766">
        <v>46.29</v>
      </c>
      <c r="CR43" s="766">
        <v>46.44</v>
      </c>
      <c r="CS43" s="766">
        <v>46.58</v>
      </c>
      <c r="CT43" s="766">
        <v>46.73</v>
      </c>
      <c r="CU43" s="766">
        <v>46.87</v>
      </c>
      <c r="CV43" s="766">
        <v>47.02</v>
      </c>
      <c r="CW43" s="766">
        <v>47.16</v>
      </c>
      <c r="CX43" s="766">
        <v>47.3</v>
      </c>
      <c r="CY43" s="766">
        <v>47.44</v>
      </c>
      <c r="CZ43" s="766">
        <v>47.58</v>
      </c>
      <c r="DA43" s="766">
        <v>47.72</v>
      </c>
      <c r="DB43" s="766">
        <v>47.86</v>
      </c>
      <c r="DC43" s="766">
        <v>48</v>
      </c>
      <c r="DD43" s="766">
        <v>48.13</v>
      </c>
      <c r="DE43" s="766">
        <v>48.27</v>
      </c>
      <c r="DF43" s="766">
        <v>48.4</v>
      </c>
      <c r="DG43" s="766">
        <v>48.53</v>
      </c>
      <c r="DH43" s="766">
        <v>48.66</v>
      </c>
      <c r="DI43" s="766">
        <v>48.79</v>
      </c>
      <c r="DJ43" s="766">
        <v>48.92</v>
      </c>
      <c r="DK43" s="766">
        <v>49.05</v>
      </c>
      <c r="DL43" s="766">
        <v>49.18</v>
      </c>
      <c r="DM43" s="766">
        <v>49.31</v>
      </c>
      <c r="DN43" s="766">
        <v>49.43</v>
      </c>
      <c r="DO43" s="766">
        <v>49.55</v>
      </c>
      <c r="DP43" s="766">
        <v>49.68</v>
      </c>
      <c r="DQ43" s="766">
        <v>49.8</v>
      </c>
      <c r="DR43" s="766">
        <v>49.92</v>
      </c>
    </row>
    <row r="44" spans="1:122">
      <c r="A44" s="944">
        <v>42</v>
      </c>
      <c r="B44" s="96"/>
      <c r="C44" s="96"/>
      <c r="D44" s="96"/>
      <c r="E44" s="96"/>
      <c r="F44" s="96"/>
      <c r="G44" s="96"/>
      <c r="H44" s="96"/>
      <c r="I44" s="96"/>
      <c r="J44" s="96"/>
      <c r="K44" s="96"/>
      <c r="L44" s="96"/>
      <c r="M44" s="96"/>
      <c r="N44" s="96"/>
      <c r="O44" s="96"/>
      <c r="P44" s="96"/>
      <c r="Q44" s="96"/>
      <c r="R44" s="96"/>
      <c r="S44" s="96"/>
      <c r="T44" s="96"/>
      <c r="U44" s="96"/>
      <c r="V44" s="766"/>
      <c r="W44" s="766">
        <v>32.71</v>
      </c>
      <c r="X44" s="766">
        <v>32.94</v>
      </c>
      <c r="Y44" s="766">
        <v>33</v>
      </c>
      <c r="Z44" s="766">
        <v>33.24</v>
      </c>
      <c r="AA44" s="766">
        <v>33.450000000000003</v>
      </c>
      <c r="AB44" s="766">
        <v>33.6</v>
      </c>
      <c r="AC44" s="766">
        <v>33.61</v>
      </c>
      <c r="AD44" s="766">
        <v>33.56</v>
      </c>
      <c r="AE44" s="766">
        <v>33.65</v>
      </c>
      <c r="AF44" s="766">
        <v>33.869999999999997</v>
      </c>
      <c r="AG44" s="766">
        <v>34.130000000000003</v>
      </c>
      <c r="AH44" s="766">
        <v>34.44</v>
      </c>
      <c r="AI44" s="766">
        <v>34.71</v>
      </c>
      <c r="AJ44" s="766">
        <v>35.03</v>
      </c>
      <c r="AK44" s="766">
        <v>35.340000000000003</v>
      </c>
      <c r="AL44" s="766">
        <v>35.71</v>
      </c>
      <c r="AM44" s="766">
        <v>36.049999999999997</v>
      </c>
      <c r="AN44" s="766">
        <v>36.28</v>
      </c>
      <c r="AO44" s="766">
        <v>36.450000000000003</v>
      </c>
      <c r="AP44" s="766">
        <v>36.659999999999997</v>
      </c>
      <c r="AQ44" s="766">
        <v>36.840000000000003</v>
      </c>
      <c r="AR44" s="766">
        <v>37.090000000000003</v>
      </c>
      <c r="AS44" s="766">
        <v>37.119999999999997</v>
      </c>
      <c r="AT44" s="766">
        <v>37.21</v>
      </c>
      <c r="AU44" s="766">
        <v>37.32</v>
      </c>
      <c r="AV44" s="766">
        <v>37.42</v>
      </c>
      <c r="AW44" s="766">
        <v>37.67</v>
      </c>
      <c r="AX44" s="766">
        <v>37.82</v>
      </c>
      <c r="AY44" s="766">
        <v>37.92</v>
      </c>
      <c r="AZ44" s="766">
        <v>38.03</v>
      </c>
      <c r="BA44" s="766">
        <v>38.119999999999997</v>
      </c>
      <c r="BB44" s="766">
        <v>38.26</v>
      </c>
      <c r="BC44" s="766">
        <v>38.409999999999997</v>
      </c>
      <c r="BD44" s="766">
        <v>38.58</v>
      </c>
      <c r="BE44" s="766">
        <v>38.770000000000003</v>
      </c>
      <c r="BF44" s="766">
        <v>38.96</v>
      </c>
      <c r="BG44" s="766">
        <v>39.130000000000003</v>
      </c>
      <c r="BH44" s="766">
        <v>39.369999999999997</v>
      </c>
      <c r="BI44" s="766">
        <v>39.549999999999997</v>
      </c>
      <c r="BJ44" s="766">
        <v>39.76</v>
      </c>
      <c r="BK44" s="766">
        <v>39.950000000000003</v>
      </c>
      <c r="BL44" s="766">
        <v>40.18</v>
      </c>
      <c r="BM44" s="766">
        <v>40.4</v>
      </c>
      <c r="BN44" s="766">
        <v>40.6</v>
      </c>
      <c r="BO44" s="766">
        <v>40.78</v>
      </c>
      <c r="BP44" s="766">
        <v>40.97</v>
      </c>
      <c r="BQ44" s="766">
        <v>41.14</v>
      </c>
      <c r="BR44" s="766">
        <v>41.33</v>
      </c>
      <c r="BS44" s="766">
        <v>41.49</v>
      </c>
      <c r="BT44" s="888">
        <v>41.66</v>
      </c>
      <c r="BU44" s="766">
        <v>41.82</v>
      </c>
      <c r="BV44" s="766">
        <v>42</v>
      </c>
      <c r="BW44" s="766">
        <v>42.17</v>
      </c>
      <c r="BX44" s="766">
        <v>42.34</v>
      </c>
      <c r="BY44" s="766">
        <v>42.5</v>
      </c>
      <c r="BZ44" s="766">
        <v>42.67</v>
      </c>
      <c r="CA44" s="766">
        <v>42.83</v>
      </c>
      <c r="CB44" s="766">
        <v>42.99</v>
      </c>
      <c r="CC44" s="766">
        <v>43.16</v>
      </c>
      <c r="CD44" s="766">
        <v>43.32</v>
      </c>
      <c r="CE44" s="766">
        <v>43.48</v>
      </c>
      <c r="CF44" s="766">
        <v>43.64</v>
      </c>
      <c r="CG44" s="766">
        <v>43.8</v>
      </c>
      <c r="CH44" s="766">
        <v>43.96</v>
      </c>
      <c r="CI44" s="766">
        <v>44.11</v>
      </c>
      <c r="CJ44" s="766">
        <v>44.27</v>
      </c>
      <c r="CK44" s="766">
        <v>44.42</v>
      </c>
      <c r="CL44" s="766">
        <v>44.58</v>
      </c>
      <c r="CM44" s="766">
        <v>44.73</v>
      </c>
      <c r="CN44" s="766">
        <v>44.88</v>
      </c>
      <c r="CO44" s="766">
        <v>45.03</v>
      </c>
      <c r="CP44" s="766">
        <v>45.18</v>
      </c>
      <c r="CQ44" s="766">
        <v>45.33</v>
      </c>
      <c r="CR44" s="766">
        <v>45.48</v>
      </c>
      <c r="CS44" s="766">
        <v>45.62</v>
      </c>
      <c r="CT44" s="766">
        <v>45.77</v>
      </c>
      <c r="CU44" s="766">
        <v>45.91</v>
      </c>
      <c r="CV44" s="766">
        <v>46.06</v>
      </c>
      <c r="CW44" s="766">
        <v>46.2</v>
      </c>
      <c r="CX44" s="766">
        <v>46.34</v>
      </c>
      <c r="CY44" s="766">
        <v>46.48</v>
      </c>
      <c r="CZ44" s="766">
        <v>46.62</v>
      </c>
      <c r="DA44" s="766">
        <v>46.76</v>
      </c>
      <c r="DB44" s="766">
        <v>46.89</v>
      </c>
      <c r="DC44" s="766">
        <v>47.03</v>
      </c>
      <c r="DD44" s="766">
        <v>47.16</v>
      </c>
      <c r="DE44" s="766">
        <v>47.3</v>
      </c>
      <c r="DF44" s="766">
        <v>47.43</v>
      </c>
      <c r="DG44" s="766">
        <v>47.56</v>
      </c>
      <c r="DH44" s="766">
        <v>47.69</v>
      </c>
      <c r="DI44" s="766">
        <v>47.82</v>
      </c>
      <c r="DJ44" s="766">
        <v>47.95</v>
      </c>
      <c r="DK44" s="766">
        <v>48.08</v>
      </c>
      <c r="DL44" s="766">
        <v>48.21</v>
      </c>
      <c r="DM44" s="766">
        <v>48.33</v>
      </c>
      <c r="DN44" s="766">
        <v>48.46</v>
      </c>
      <c r="DO44" s="766">
        <v>48.58</v>
      </c>
      <c r="DP44" s="766">
        <v>48.7</v>
      </c>
      <c r="DQ44" s="766">
        <v>48.83</v>
      </c>
      <c r="DR44" s="766">
        <v>48.95</v>
      </c>
    </row>
    <row r="45" spans="1:122">
      <c r="A45" s="944">
        <v>43</v>
      </c>
      <c r="B45" s="96"/>
      <c r="C45" s="96"/>
      <c r="D45" s="96"/>
      <c r="E45" s="96"/>
      <c r="F45" s="96"/>
      <c r="G45" s="96"/>
      <c r="H45" s="96"/>
      <c r="I45" s="96"/>
      <c r="J45" s="96"/>
      <c r="K45" s="96"/>
      <c r="L45" s="96"/>
      <c r="M45" s="96"/>
      <c r="N45" s="96"/>
      <c r="O45" s="96"/>
      <c r="P45" s="96"/>
      <c r="Q45" s="96"/>
      <c r="R45" s="96"/>
      <c r="S45" s="96"/>
      <c r="T45" s="96"/>
      <c r="U45" s="96"/>
      <c r="V45" s="766"/>
      <c r="W45" s="766">
        <v>31.82</v>
      </c>
      <c r="X45" s="766">
        <v>32.049999999999997</v>
      </c>
      <c r="Y45" s="766">
        <v>32.119999999999997</v>
      </c>
      <c r="Z45" s="766">
        <v>32.35</v>
      </c>
      <c r="AA45" s="766">
        <v>32.549999999999997</v>
      </c>
      <c r="AB45" s="766">
        <v>32.71</v>
      </c>
      <c r="AC45" s="766">
        <v>32.729999999999997</v>
      </c>
      <c r="AD45" s="766">
        <v>32.68</v>
      </c>
      <c r="AE45" s="766">
        <v>32.770000000000003</v>
      </c>
      <c r="AF45" s="766">
        <v>33</v>
      </c>
      <c r="AG45" s="766">
        <v>33.26</v>
      </c>
      <c r="AH45" s="766">
        <v>33.56</v>
      </c>
      <c r="AI45" s="766">
        <v>33.840000000000003</v>
      </c>
      <c r="AJ45" s="766">
        <v>34.15</v>
      </c>
      <c r="AK45" s="766">
        <v>34.46</v>
      </c>
      <c r="AL45" s="766">
        <v>34.83</v>
      </c>
      <c r="AM45" s="766">
        <v>35.17</v>
      </c>
      <c r="AN45" s="766">
        <v>35.4</v>
      </c>
      <c r="AO45" s="766">
        <v>35.57</v>
      </c>
      <c r="AP45" s="766">
        <v>35.78</v>
      </c>
      <c r="AQ45" s="766">
        <v>35.950000000000003</v>
      </c>
      <c r="AR45" s="766">
        <v>36.19</v>
      </c>
      <c r="AS45" s="766">
        <v>36.229999999999997</v>
      </c>
      <c r="AT45" s="766">
        <v>36.32</v>
      </c>
      <c r="AU45" s="766">
        <v>36.42</v>
      </c>
      <c r="AV45" s="766">
        <v>36.53</v>
      </c>
      <c r="AW45" s="766">
        <v>36.78</v>
      </c>
      <c r="AX45" s="766">
        <v>36.93</v>
      </c>
      <c r="AY45" s="766">
        <v>37.03</v>
      </c>
      <c r="AZ45" s="766">
        <v>37.130000000000003</v>
      </c>
      <c r="BA45" s="766">
        <v>37.229999999999997</v>
      </c>
      <c r="BB45" s="766">
        <v>37.369999999999997</v>
      </c>
      <c r="BC45" s="766">
        <v>37.520000000000003</v>
      </c>
      <c r="BD45" s="766">
        <v>37.68</v>
      </c>
      <c r="BE45" s="766">
        <v>37.869999999999997</v>
      </c>
      <c r="BF45" s="766">
        <v>38.06</v>
      </c>
      <c r="BG45" s="766">
        <v>38.229999999999997</v>
      </c>
      <c r="BH45" s="766">
        <v>38.46</v>
      </c>
      <c r="BI45" s="766">
        <v>38.64</v>
      </c>
      <c r="BJ45" s="766">
        <v>38.85</v>
      </c>
      <c r="BK45" s="766">
        <v>39.04</v>
      </c>
      <c r="BL45" s="766">
        <v>39.26</v>
      </c>
      <c r="BM45" s="766">
        <v>39.47</v>
      </c>
      <c r="BN45" s="766">
        <v>39.67</v>
      </c>
      <c r="BO45" s="766">
        <v>39.85</v>
      </c>
      <c r="BP45" s="766">
        <v>40.04</v>
      </c>
      <c r="BQ45" s="766">
        <v>40.21</v>
      </c>
      <c r="BR45" s="766">
        <v>40.39</v>
      </c>
      <c r="BS45" s="766">
        <v>40.56</v>
      </c>
      <c r="BT45" s="888">
        <v>40.729999999999997</v>
      </c>
      <c r="BU45" s="766">
        <v>40.880000000000003</v>
      </c>
      <c r="BV45" s="766">
        <v>41.06</v>
      </c>
      <c r="BW45" s="766">
        <v>41.23</v>
      </c>
      <c r="BX45" s="766">
        <v>41.4</v>
      </c>
      <c r="BY45" s="766">
        <v>41.56</v>
      </c>
      <c r="BZ45" s="766">
        <v>41.72</v>
      </c>
      <c r="CA45" s="766">
        <v>41.89</v>
      </c>
      <c r="CB45" s="766">
        <v>42.05</v>
      </c>
      <c r="CC45" s="766">
        <v>42.21</v>
      </c>
      <c r="CD45" s="766">
        <v>42.38</v>
      </c>
      <c r="CE45" s="766">
        <v>42.54</v>
      </c>
      <c r="CF45" s="766">
        <v>42.69</v>
      </c>
      <c r="CG45" s="766">
        <v>42.85</v>
      </c>
      <c r="CH45" s="766">
        <v>43.01</v>
      </c>
      <c r="CI45" s="766">
        <v>43.16</v>
      </c>
      <c r="CJ45" s="766">
        <v>43.32</v>
      </c>
      <c r="CK45" s="766">
        <v>43.47</v>
      </c>
      <c r="CL45" s="766">
        <v>43.63</v>
      </c>
      <c r="CM45" s="766">
        <v>43.78</v>
      </c>
      <c r="CN45" s="766">
        <v>43.93</v>
      </c>
      <c r="CO45" s="766">
        <v>44.08</v>
      </c>
      <c r="CP45" s="766">
        <v>44.23</v>
      </c>
      <c r="CQ45" s="766">
        <v>44.37</v>
      </c>
      <c r="CR45" s="766">
        <v>44.52</v>
      </c>
      <c r="CS45" s="766">
        <v>44.67</v>
      </c>
      <c r="CT45" s="766">
        <v>44.81</v>
      </c>
      <c r="CU45" s="766">
        <v>44.95</v>
      </c>
      <c r="CV45" s="766">
        <v>45.1</v>
      </c>
      <c r="CW45" s="766">
        <v>45.24</v>
      </c>
      <c r="CX45" s="766">
        <v>45.38</v>
      </c>
      <c r="CY45" s="766">
        <v>45.52</v>
      </c>
      <c r="CZ45" s="766">
        <v>45.66</v>
      </c>
      <c r="DA45" s="766">
        <v>45.79</v>
      </c>
      <c r="DB45" s="766">
        <v>45.93</v>
      </c>
      <c r="DC45" s="766">
        <v>46.07</v>
      </c>
      <c r="DD45" s="766">
        <v>46.2</v>
      </c>
      <c r="DE45" s="766">
        <v>46.33</v>
      </c>
      <c r="DF45" s="766">
        <v>46.47</v>
      </c>
      <c r="DG45" s="766">
        <v>46.6</v>
      </c>
      <c r="DH45" s="766">
        <v>46.73</v>
      </c>
      <c r="DI45" s="766">
        <v>46.86</v>
      </c>
      <c r="DJ45" s="766">
        <v>46.98</v>
      </c>
      <c r="DK45" s="766">
        <v>47.11</v>
      </c>
      <c r="DL45" s="766">
        <v>47.24</v>
      </c>
      <c r="DM45" s="766">
        <v>47.36</v>
      </c>
      <c r="DN45" s="766">
        <v>47.49</v>
      </c>
      <c r="DO45" s="766">
        <v>47.61</v>
      </c>
      <c r="DP45" s="766">
        <v>47.73</v>
      </c>
      <c r="DQ45" s="766">
        <v>47.85</v>
      </c>
      <c r="DR45" s="766">
        <v>47.97</v>
      </c>
    </row>
    <row r="46" spans="1:122">
      <c r="A46" s="944">
        <v>44</v>
      </c>
      <c r="B46" s="96"/>
      <c r="C46" s="96"/>
      <c r="D46" s="96"/>
      <c r="E46" s="96"/>
      <c r="F46" s="96"/>
      <c r="G46" s="96"/>
      <c r="H46" s="96"/>
      <c r="I46" s="96"/>
      <c r="J46" s="96"/>
      <c r="K46" s="96"/>
      <c r="L46" s="96"/>
      <c r="M46" s="96"/>
      <c r="N46" s="96"/>
      <c r="O46" s="96"/>
      <c r="P46" s="96"/>
      <c r="Q46" s="96"/>
      <c r="R46" s="96"/>
      <c r="S46" s="96"/>
      <c r="T46" s="96"/>
      <c r="U46" s="96"/>
      <c r="V46" s="766"/>
      <c r="W46" s="766">
        <v>30.93</v>
      </c>
      <c r="X46" s="766">
        <v>31.16</v>
      </c>
      <c r="Y46" s="766">
        <v>31.24</v>
      </c>
      <c r="Z46" s="766">
        <v>31.48</v>
      </c>
      <c r="AA46" s="766">
        <v>31.68</v>
      </c>
      <c r="AB46" s="766">
        <v>31.84</v>
      </c>
      <c r="AC46" s="766">
        <v>31.86</v>
      </c>
      <c r="AD46" s="766">
        <v>31.81</v>
      </c>
      <c r="AE46" s="766">
        <v>31.9</v>
      </c>
      <c r="AF46" s="766">
        <v>32.119999999999997</v>
      </c>
      <c r="AG46" s="766">
        <v>32.4</v>
      </c>
      <c r="AH46" s="766">
        <v>32.700000000000003</v>
      </c>
      <c r="AI46" s="766">
        <v>32.97</v>
      </c>
      <c r="AJ46" s="766">
        <v>33.29</v>
      </c>
      <c r="AK46" s="766">
        <v>33.590000000000003</v>
      </c>
      <c r="AL46" s="766">
        <v>33.96</v>
      </c>
      <c r="AM46" s="766">
        <v>34.299999999999997</v>
      </c>
      <c r="AN46" s="766">
        <v>34.53</v>
      </c>
      <c r="AO46" s="766">
        <v>34.700000000000003</v>
      </c>
      <c r="AP46" s="766">
        <v>34.89</v>
      </c>
      <c r="AQ46" s="766">
        <v>35.06</v>
      </c>
      <c r="AR46" s="766">
        <v>35.31</v>
      </c>
      <c r="AS46" s="766">
        <v>35.340000000000003</v>
      </c>
      <c r="AT46" s="766">
        <v>35.43</v>
      </c>
      <c r="AU46" s="766">
        <v>35.53</v>
      </c>
      <c r="AV46" s="766">
        <v>35.64</v>
      </c>
      <c r="AW46" s="766">
        <v>35.89</v>
      </c>
      <c r="AX46" s="766">
        <v>36.049999999999997</v>
      </c>
      <c r="AY46" s="766">
        <v>36.15</v>
      </c>
      <c r="AZ46" s="766">
        <v>36.24</v>
      </c>
      <c r="BA46" s="766">
        <v>36.35</v>
      </c>
      <c r="BB46" s="766">
        <v>36.49</v>
      </c>
      <c r="BC46" s="766">
        <v>36.630000000000003</v>
      </c>
      <c r="BD46" s="766">
        <v>36.79</v>
      </c>
      <c r="BE46" s="766">
        <v>36.979999999999997</v>
      </c>
      <c r="BF46" s="766">
        <v>37.17</v>
      </c>
      <c r="BG46" s="766">
        <v>37.33</v>
      </c>
      <c r="BH46" s="766">
        <v>37.56</v>
      </c>
      <c r="BI46" s="766">
        <v>37.729999999999997</v>
      </c>
      <c r="BJ46" s="766">
        <v>37.950000000000003</v>
      </c>
      <c r="BK46" s="766">
        <v>38.130000000000003</v>
      </c>
      <c r="BL46" s="766">
        <v>38.35</v>
      </c>
      <c r="BM46" s="766">
        <v>38.549999999999997</v>
      </c>
      <c r="BN46" s="766">
        <v>38.75</v>
      </c>
      <c r="BO46" s="766">
        <v>38.93</v>
      </c>
      <c r="BP46" s="766">
        <v>39.11</v>
      </c>
      <c r="BQ46" s="766">
        <v>39.28</v>
      </c>
      <c r="BR46" s="766">
        <v>39.46</v>
      </c>
      <c r="BS46" s="766">
        <v>39.619999999999997</v>
      </c>
      <c r="BT46" s="888">
        <v>39.79</v>
      </c>
      <c r="BU46" s="766">
        <v>39.950000000000003</v>
      </c>
      <c r="BV46" s="766">
        <v>40.130000000000003</v>
      </c>
      <c r="BW46" s="766">
        <v>40.29</v>
      </c>
      <c r="BX46" s="766">
        <v>40.46</v>
      </c>
      <c r="BY46" s="766">
        <v>40.619999999999997</v>
      </c>
      <c r="BZ46" s="766">
        <v>40.79</v>
      </c>
      <c r="CA46" s="766">
        <v>40.950000000000003</v>
      </c>
      <c r="CB46" s="766">
        <v>41.11</v>
      </c>
      <c r="CC46" s="766">
        <v>41.27</v>
      </c>
      <c r="CD46" s="766">
        <v>41.43</v>
      </c>
      <c r="CE46" s="766">
        <v>41.59</v>
      </c>
      <c r="CF46" s="766">
        <v>41.75</v>
      </c>
      <c r="CG46" s="766">
        <v>41.91</v>
      </c>
      <c r="CH46" s="766">
        <v>42.06</v>
      </c>
      <c r="CI46" s="766">
        <v>42.22</v>
      </c>
      <c r="CJ46" s="766">
        <v>42.37</v>
      </c>
      <c r="CK46" s="766">
        <v>42.53</v>
      </c>
      <c r="CL46" s="766">
        <v>42.68</v>
      </c>
      <c r="CM46" s="766">
        <v>42.83</v>
      </c>
      <c r="CN46" s="766">
        <v>42.98</v>
      </c>
      <c r="CO46" s="766">
        <v>43.13</v>
      </c>
      <c r="CP46" s="766">
        <v>43.27</v>
      </c>
      <c r="CQ46" s="766">
        <v>43.42</v>
      </c>
      <c r="CR46" s="766">
        <v>43.57</v>
      </c>
      <c r="CS46" s="766">
        <v>43.71</v>
      </c>
      <c r="CT46" s="766">
        <v>43.86</v>
      </c>
      <c r="CU46" s="766">
        <v>44</v>
      </c>
      <c r="CV46" s="766">
        <v>44.14</v>
      </c>
      <c r="CW46" s="766">
        <v>44.28</v>
      </c>
      <c r="CX46" s="766">
        <v>44.42</v>
      </c>
      <c r="CY46" s="766">
        <v>44.56</v>
      </c>
      <c r="CZ46" s="766">
        <v>44.7</v>
      </c>
      <c r="DA46" s="766">
        <v>44.83</v>
      </c>
      <c r="DB46" s="766">
        <v>44.97</v>
      </c>
      <c r="DC46" s="766">
        <v>45.1</v>
      </c>
      <c r="DD46" s="766">
        <v>45.24</v>
      </c>
      <c r="DE46" s="766">
        <v>45.37</v>
      </c>
      <c r="DF46" s="766">
        <v>45.5</v>
      </c>
      <c r="DG46" s="766">
        <v>45.63</v>
      </c>
      <c r="DH46" s="766">
        <v>45.76</v>
      </c>
      <c r="DI46" s="766">
        <v>45.89</v>
      </c>
      <c r="DJ46" s="766">
        <v>46.02</v>
      </c>
      <c r="DK46" s="766">
        <v>46.14</v>
      </c>
      <c r="DL46" s="766">
        <v>46.27</v>
      </c>
      <c r="DM46" s="766">
        <v>46.39</v>
      </c>
      <c r="DN46" s="766">
        <v>46.52</v>
      </c>
      <c r="DO46" s="766">
        <v>46.64</v>
      </c>
      <c r="DP46" s="766">
        <v>46.76</v>
      </c>
      <c r="DQ46" s="766">
        <v>46.88</v>
      </c>
      <c r="DR46" s="766">
        <v>47</v>
      </c>
    </row>
    <row r="47" spans="1:122">
      <c r="A47" s="944">
        <v>45</v>
      </c>
      <c r="B47" s="96"/>
      <c r="C47" s="96"/>
      <c r="D47" s="96"/>
      <c r="E47" s="96"/>
      <c r="F47" s="96"/>
      <c r="G47" s="96"/>
      <c r="H47" s="96"/>
      <c r="I47" s="96"/>
      <c r="J47" s="96"/>
      <c r="K47" s="96"/>
      <c r="L47" s="96"/>
      <c r="M47" s="96"/>
      <c r="N47" s="96"/>
      <c r="O47" s="96"/>
      <c r="P47" s="96"/>
      <c r="Q47" s="96"/>
      <c r="R47" s="96"/>
      <c r="S47" s="96"/>
      <c r="T47" s="96"/>
      <c r="U47" s="96"/>
      <c r="V47" s="766"/>
      <c r="W47" s="766">
        <v>30.06</v>
      </c>
      <c r="X47" s="766">
        <v>30.29</v>
      </c>
      <c r="Y47" s="766">
        <v>30.37</v>
      </c>
      <c r="Z47" s="766">
        <v>30.61</v>
      </c>
      <c r="AA47" s="766">
        <v>30.81</v>
      </c>
      <c r="AB47" s="766">
        <v>30.97</v>
      </c>
      <c r="AC47" s="766">
        <v>30.99</v>
      </c>
      <c r="AD47" s="766">
        <v>30.96</v>
      </c>
      <c r="AE47" s="766">
        <v>31.04</v>
      </c>
      <c r="AF47" s="766">
        <v>31.26</v>
      </c>
      <c r="AG47" s="766">
        <v>31.54</v>
      </c>
      <c r="AH47" s="766">
        <v>31.84</v>
      </c>
      <c r="AI47" s="766">
        <v>32.11</v>
      </c>
      <c r="AJ47" s="766">
        <v>32.43</v>
      </c>
      <c r="AK47" s="766">
        <v>32.729999999999997</v>
      </c>
      <c r="AL47" s="766">
        <v>33.1</v>
      </c>
      <c r="AM47" s="766">
        <v>33.43</v>
      </c>
      <c r="AN47" s="766">
        <v>33.659999999999997</v>
      </c>
      <c r="AO47" s="766">
        <v>33.82</v>
      </c>
      <c r="AP47" s="766">
        <v>34.020000000000003</v>
      </c>
      <c r="AQ47" s="766">
        <v>34.18</v>
      </c>
      <c r="AR47" s="766">
        <v>34.43</v>
      </c>
      <c r="AS47" s="766">
        <v>34.46</v>
      </c>
      <c r="AT47" s="766">
        <v>34.549999999999997</v>
      </c>
      <c r="AU47" s="766">
        <v>34.65</v>
      </c>
      <c r="AV47" s="766">
        <v>34.76</v>
      </c>
      <c r="AW47" s="766">
        <v>35.020000000000003</v>
      </c>
      <c r="AX47" s="766">
        <v>35.17</v>
      </c>
      <c r="AY47" s="766">
        <v>35.270000000000003</v>
      </c>
      <c r="AZ47" s="766">
        <v>35.36</v>
      </c>
      <c r="BA47" s="766">
        <v>35.47</v>
      </c>
      <c r="BB47" s="766">
        <v>35.6</v>
      </c>
      <c r="BC47" s="766">
        <v>35.75</v>
      </c>
      <c r="BD47" s="766">
        <v>35.9</v>
      </c>
      <c r="BE47" s="766">
        <v>36.090000000000003</v>
      </c>
      <c r="BF47" s="766">
        <v>36.270000000000003</v>
      </c>
      <c r="BG47" s="766">
        <v>36.43</v>
      </c>
      <c r="BH47" s="766">
        <v>36.659999999999997</v>
      </c>
      <c r="BI47" s="766">
        <v>36.83</v>
      </c>
      <c r="BJ47" s="766">
        <v>37.04</v>
      </c>
      <c r="BK47" s="766">
        <v>37.22</v>
      </c>
      <c r="BL47" s="766">
        <v>37.43</v>
      </c>
      <c r="BM47" s="766">
        <v>37.630000000000003</v>
      </c>
      <c r="BN47" s="766">
        <v>37.83</v>
      </c>
      <c r="BO47" s="766">
        <v>38</v>
      </c>
      <c r="BP47" s="766">
        <v>38.18</v>
      </c>
      <c r="BQ47" s="766">
        <v>38.35</v>
      </c>
      <c r="BR47" s="766">
        <v>38.53</v>
      </c>
      <c r="BS47" s="766">
        <v>38.69</v>
      </c>
      <c r="BT47" s="888">
        <v>38.86</v>
      </c>
      <c r="BU47" s="766">
        <v>39.020000000000003</v>
      </c>
      <c r="BV47" s="766">
        <v>39.200000000000003</v>
      </c>
      <c r="BW47" s="766">
        <v>39.36</v>
      </c>
      <c r="BX47" s="766">
        <v>39.53</v>
      </c>
      <c r="BY47" s="766">
        <v>39.69</v>
      </c>
      <c r="BZ47" s="766">
        <v>39.85</v>
      </c>
      <c r="CA47" s="766">
        <v>40.020000000000003</v>
      </c>
      <c r="CB47" s="766">
        <v>40.18</v>
      </c>
      <c r="CC47" s="766">
        <v>40.340000000000003</v>
      </c>
      <c r="CD47" s="766">
        <v>40.5</v>
      </c>
      <c r="CE47" s="766">
        <v>40.65</v>
      </c>
      <c r="CF47" s="766">
        <v>40.81</v>
      </c>
      <c r="CG47" s="766">
        <v>40.97</v>
      </c>
      <c r="CH47" s="766">
        <v>41.12</v>
      </c>
      <c r="CI47" s="766">
        <v>41.28</v>
      </c>
      <c r="CJ47" s="766">
        <v>41.43</v>
      </c>
      <c r="CK47" s="766">
        <v>41.58</v>
      </c>
      <c r="CL47" s="766">
        <v>41.73</v>
      </c>
      <c r="CM47" s="766">
        <v>41.88</v>
      </c>
      <c r="CN47" s="766">
        <v>42.03</v>
      </c>
      <c r="CO47" s="766">
        <v>42.18</v>
      </c>
      <c r="CP47" s="766">
        <v>42.32</v>
      </c>
      <c r="CQ47" s="766">
        <v>42.47</v>
      </c>
      <c r="CR47" s="766">
        <v>42.62</v>
      </c>
      <c r="CS47" s="766">
        <v>42.76</v>
      </c>
      <c r="CT47" s="766">
        <v>42.9</v>
      </c>
      <c r="CU47" s="766">
        <v>43.04</v>
      </c>
      <c r="CV47" s="766">
        <v>43.18</v>
      </c>
      <c r="CW47" s="766">
        <v>43.32</v>
      </c>
      <c r="CX47" s="766">
        <v>43.46</v>
      </c>
      <c r="CY47" s="766">
        <v>43.6</v>
      </c>
      <c r="CZ47" s="766">
        <v>43.74</v>
      </c>
      <c r="DA47" s="766">
        <v>43.87</v>
      </c>
      <c r="DB47" s="766">
        <v>44.01</v>
      </c>
      <c r="DC47" s="766">
        <v>44.14</v>
      </c>
      <c r="DD47" s="766">
        <v>44.28</v>
      </c>
      <c r="DE47" s="766">
        <v>44.41</v>
      </c>
      <c r="DF47" s="766">
        <v>44.54</v>
      </c>
      <c r="DG47" s="766">
        <v>44.67</v>
      </c>
      <c r="DH47" s="766">
        <v>44.8</v>
      </c>
      <c r="DI47" s="766">
        <v>44.93</v>
      </c>
      <c r="DJ47" s="766">
        <v>45.05</v>
      </c>
      <c r="DK47" s="766">
        <v>45.18</v>
      </c>
      <c r="DL47" s="766">
        <v>45.3</v>
      </c>
      <c r="DM47" s="766">
        <v>45.43</v>
      </c>
      <c r="DN47" s="766">
        <v>45.55</v>
      </c>
      <c r="DO47" s="766">
        <v>45.67</v>
      </c>
      <c r="DP47" s="766">
        <v>45.79</v>
      </c>
      <c r="DQ47" s="766">
        <v>45.91</v>
      </c>
      <c r="DR47" s="766">
        <v>46.03</v>
      </c>
    </row>
    <row r="48" spans="1:122">
      <c r="A48" s="944">
        <v>46</v>
      </c>
      <c r="B48" s="96"/>
      <c r="C48" s="96"/>
      <c r="D48" s="96"/>
      <c r="E48" s="96"/>
      <c r="F48" s="96"/>
      <c r="G48" s="96"/>
      <c r="H48" s="96"/>
      <c r="I48" s="96"/>
      <c r="J48" s="96"/>
      <c r="K48" s="96"/>
      <c r="L48" s="96"/>
      <c r="M48" s="96"/>
      <c r="N48" s="96"/>
      <c r="O48" s="96"/>
      <c r="P48" s="96"/>
      <c r="Q48" s="96"/>
      <c r="R48" s="96"/>
      <c r="S48" s="96"/>
      <c r="T48" s="96"/>
      <c r="U48" s="96"/>
      <c r="V48" s="766"/>
      <c r="W48" s="766">
        <v>29.19</v>
      </c>
      <c r="X48" s="766">
        <v>29.43</v>
      </c>
      <c r="Y48" s="766">
        <v>29.51</v>
      </c>
      <c r="Z48" s="766">
        <v>29.75</v>
      </c>
      <c r="AA48" s="766">
        <v>29.95</v>
      </c>
      <c r="AB48" s="766">
        <v>30.12</v>
      </c>
      <c r="AC48" s="766">
        <v>30.14</v>
      </c>
      <c r="AD48" s="766">
        <v>30.1</v>
      </c>
      <c r="AE48" s="766">
        <v>30.19</v>
      </c>
      <c r="AF48" s="766">
        <v>30.42</v>
      </c>
      <c r="AG48" s="766">
        <v>30.69</v>
      </c>
      <c r="AH48" s="766">
        <v>30.99</v>
      </c>
      <c r="AI48" s="766">
        <v>31.26</v>
      </c>
      <c r="AJ48" s="766">
        <v>31.58</v>
      </c>
      <c r="AK48" s="766">
        <v>31.88</v>
      </c>
      <c r="AL48" s="766">
        <v>32.25</v>
      </c>
      <c r="AM48" s="766">
        <v>32.57</v>
      </c>
      <c r="AN48" s="766">
        <v>32.799999999999997</v>
      </c>
      <c r="AO48" s="766">
        <v>32.96</v>
      </c>
      <c r="AP48" s="766">
        <v>33.15</v>
      </c>
      <c r="AQ48" s="766">
        <v>33.32</v>
      </c>
      <c r="AR48" s="766">
        <v>33.549999999999997</v>
      </c>
      <c r="AS48" s="766">
        <v>33.590000000000003</v>
      </c>
      <c r="AT48" s="766">
        <v>33.67</v>
      </c>
      <c r="AU48" s="766">
        <v>33.78</v>
      </c>
      <c r="AV48" s="766">
        <v>33.9</v>
      </c>
      <c r="AW48" s="766">
        <v>34.14</v>
      </c>
      <c r="AX48" s="766">
        <v>34.299999999999997</v>
      </c>
      <c r="AY48" s="766">
        <v>34.4</v>
      </c>
      <c r="AZ48" s="766">
        <v>34.49</v>
      </c>
      <c r="BA48" s="766">
        <v>34.6</v>
      </c>
      <c r="BB48" s="766">
        <v>34.729999999999997</v>
      </c>
      <c r="BC48" s="766">
        <v>34.869999999999997</v>
      </c>
      <c r="BD48" s="766">
        <v>35.020000000000003</v>
      </c>
      <c r="BE48" s="766">
        <v>35.200000000000003</v>
      </c>
      <c r="BF48" s="766">
        <v>35.39</v>
      </c>
      <c r="BG48" s="766">
        <v>35.549999999999997</v>
      </c>
      <c r="BH48" s="766">
        <v>35.770000000000003</v>
      </c>
      <c r="BI48" s="766">
        <v>35.93</v>
      </c>
      <c r="BJ48" s="766">
        <v>36.14</v>
      </c>
      <c r="BK48" s="766">
        <v>36.32</v>
      </c>
      <c r="BL48" s="766">
        <v>36.53</v>
      </c>
      <c r="BM48" s="766">
        <v>36.72</v>
      </c>
      <c r="BN48" s="766">
        <v>36.92</v>
      </c>
      <c r="BO48" s="766">
        <v>37.090000000000003</v>
      </c>
      <c r="BP48" s="766">
        <v>37.270000000000003</v>
      </c>
      <c r="BQ48" s="766">
        <v>37.43</v>
      </c>
      <c r="BR48" s="766">
        <v>37.61</v>
      </c>
      <c r="BS48" s="766">
        <v>37.770000000000003</v>
      </c>
      <c r="BT48" s="888">
        <v>37.94</v>
      </c>
      <c r="BU48" s="766">
        <v>38.1</v>
      </c>
      <c r="BV48" s="766">
        <v>38.270000000000003</v>
      </c>
      <c r="BW48" s="766">
        <v>38.44</v>
      </c>
      <c r="BX48" s="766">
        <v>38.6</v>
      </c>
      <c r="BY48" s="766">
        <v>38.76</v>
      </c>
      <c r="BZ48" s="766">
        <v>38.92</v>
      </c>
      <c r="CA48" s="766">
        <v>39.090000000000003</v>
      </c>
      <c r="CB48" s="766">
        <v>39.25</v>
      </c>
      <c r="CC48" s="766">
        <v>39.4</v>
      </c>
      <c r="CD48" s="766">
        <v>39.56</v>
      </c>
      <c r="CE48" s="766">
        <v>39.72</v>
      </c>
      <c r="CF48" s="766">
        <v>39.869999999999997</v>
      </c>
      <c r="CG48" s="766">
        <v>40.03</v>
      </c>
      <c r="CH48" s="766">
        <v>40.18</v>
      </c>
      <c r="CI48" s="766">
        <v>40.340000000000003</v>
      </c>
      <c r="CJ48" s="766">
        <v>40.49</v>
      </c>
      <c r="CK48" s="766">
        <v>40.64</v>
      </c>
      <c r="CL48" s="766">
        <v>40.79</v>
      </c>
      <c r="CM48" s="766">
        <v>40.94</v>
      </c>
      <c r="CN48" s="766">
        <v>41.09</v>
      </c>
      <c r="CO48" s="766">
        <v>41.23</v>
      </c>
      <c r="CP48" s="766">
        <v>41.38</v>
      </c>
      <c r="CQ48" s="766">
        <v>41.52</v>
      </c>
      <c r="CR48" s="766">
        <v>41.67</v>
      </c>
      <c r="CS48" s="766">
        <v>41.81</v>
      </c>
      <c r="CT48" s="766">
        <v>41.95</v>
      </c>
      <c r="CU48" s="766">
        <v>42.09</v>
      </c>
      <c r="CV48" s="766">
        <v>42.23</v>
      </c>
      <c r="CW48" s="766">
        <v>42.37</v>
      </c>
      <c r="CX48" s="766">
        <v>42.51</v>
      </c>
      <c r="CY48" s="766">
        <v>42.65</v>
      </c>
      <c r="CZ48" s="766">
        <v>42.78</v>
      </c>
      <c r="DA48" s="766">
        <v>42.92</v>
      </c>
      <c r="DB48" s="766">
        <v>43.05</v>
      </c>
      <c r="DC48" s="766">
        <v>43.19</v>
      </c>
      <c r="DD48" s="766">
        <v>43.32</v>
      </c>
      <c r="DE48" s="766">
        <v>43.45</v>
      </c>
      <c r="DF48" s="766">
        <v>43.58</v>
      </c>
      <c r="DG48" s="766">
        <v>43.71</v>
      </c>
      <c r="DH48" s="766">
        <v>43.84</v>
      </c>
      <c r="DI48" s="766">
        <v>43.96</v>
      </c>
      <c r="DJ48" s="766">
        <v>44.09</v>
      </c>
      <c r="DK48" s="766">
        <v>44.22</v>
      </c>
      <c r="DL48" s="766">
        <v>44.34</v>
      </c>
      <c r="DM48" s="766">
        <v>44.46</v>
      </c>
      <c r="DN48" s="766">
        <v>44.59</v>
      </c>
      <c r="DO48" s="766">
        <v>44.71</v>
      </c>
      <c r="DP48" s="766">
        <v>44.83</v>
      </c>
      <c r="DQ48" s="766">
        <v>44.95</v>
      </c>
      <c r="DR48" s="766">
        <v>45.07</v>
      </c>
    </row>
    <row r="49" spans="1:122">
      <c r="A49" s="944">
        <v>47</v>
      </c>
      <c r="B49" s="96"/>
      <c r="C49" s="96"/>
      <c r="D49" s="96"/>
      <c r="E49" s="96"/>
      <c r="F49" s="96"/>
      <c r="G49" s="96"/>
      <c r="H49" s="96"/>
      <c r="I49" s="96"/>
      <c r="J49" s="96"/>
      <c r="K49" s="96"/>
      <c r="L49" s="96"/>
      <c r="M49" s="96"/>
      <c r="N49" s="96"/>
      <c r="O49" s="96"/>
      <c r="P49" s="96"/>
      <c r="Q49" s="96"/>
      <c r="R49" s="96"/>
      <c r="S49" s="96"/>
      <c r="T49" s="96"/>
      <c r="U49" s="96"/>
      <c r="V49" s="766"/>
      <c r="W49" s="766">
        <v>28.33</v>
      </c>
      <c r="X49" s="766">
        <v>28.57</v>
      </c>
      <c r="Y49" s="766">
        <v>28.66</v>
      </c>
      <c r="Z49" s="766">
        <v>28.9</v>
      </c>
      <c r="AA49" s="766">
        <v>29.11</v>
      </c>
      <c r="AB49" s="766">
        <v>29.27</v>
      </c>
      <c r="AC49" s="766">
        <v>29.29</v>
      </c>
      <c r="AD49" s="766">
        <v>29.25</v>
      </c>
      <c r="AE49" s="766">
        <v>29.35</v>
      </c>
      <c r="AF49" s="766">
        <v>29.58</v>
      </c>
      <c r="AG49" s="766">
        <v>29.86</v>
      </c>
      <c r="AH49" s="766">
        <v>30.15</v>
      </c>
      <c r="AI49" s="766">
        <v>30.42</v>
      </c>
      <c r="AJ49" s="766">
        <v>30.74</v>
      </c>
      <c r="AK49" s="766">
        <v>31.04</v>
      </c>
      <c r="AL49" s="766">
        <v>31.4</v>
      </c>
      <c r="AM49" s="766">
        <v>31.72</v>
      </c>
      <c r="AN49" s="766">
        <v>31.95</v>
      </c>
      <c r="AO49" s="766">
        <v>32.11</v>
      </c>
      <c r="AP49" s="766">
        <v>32.29</v>
      </c>
      <c r="AQ49" s="766">
        <v>32.450000000000003</v>
      </c>
      <c r="AR49" s="766">
        <v>32.69</v>
      </c>
      <c r="AS49" s="766">
        <v>32.729999999999997</v>
      </c>
      <c r="AT49" s="766">
        <v>32.81</v>
      </c>
      <c r="AU49" s="766">
        <v>32.92</v>
      </c>
      <c r="AV49" s="766">
        <v>33.04</v>
      </c>
      <c r="AW49" s="766">
        <v>33.28</v>
      </c>
      <c r="AX49" s="766">
        <v>33.43</v>
      </c>
      <c r="AY49" s="766">
        <v>33.520000000000003</v>
      </c>
      <c r="AZ49" s="766">
        <v>33.619999999999997</v>
      </c>
      <c r="BA49" s="766">
        <v>33.729999999999997</v>
      </c>
      <c r="BB49" s="766">
        <v>33.85</v>
      </c>
      <c r="BC49" s="766">
        <v>33.99</v>
      </c>
      <c r="BD49" s="766">
        <v>34.14</v>
      </c>
      <c r="BE49" s="766">
        <v>34.32</v>
      </c>
      <c r="BF49" s="766">
        <v>34.51</v>
      </c>
      <c r="BG49" s="766">
        <v>34.67</v>
      </c>
      <c r="BH49" s="766">
        <v>34.880000000000003</v>
      </c>
      <c r="BI49" s="766">
        <v>35.04</v>
      </c>
      <c r="BJ49" s="766">
        <v>35.24</v>
      </c>
      <c r="BK49" s="766">
        <v>35.42</v>
      </c>
      <c r="BL49" s="766">
        <v>35.619999999999997</v>
      </c>
      <c r="BM49" s="766">
        <v>35.82</v>
      </c>
      <c r="BN49" s="766">
        <v>36.01</v>
      </c>
      <c r="BO49" s="766">
        <v>36.17</v>
      </c>
      <c r="BP49" s="766">
        <v>36.35</v>
      </c>
      <c r="BQ49" s="766">
        <v>36.520000000000003</v>
      </c>
      <c r="BR49" s="766">
        <v>36.69</v>
      </c>
      <c r="BS49" s="766">
        <v>36.85</v>
      </c>
      <c r="BT49" s="888">
        <v>37.020000000000003</v>
      </c>
      <c r="BU49" s="766">
        <v>37.18</v>
      </c>
      <c r="BV49" s="766">
        <v>37.35</v>
      </c>
      <c r="BW49" s="766">
        <v>37.51</v>
      </c>
      <c r="BX49" s="766">
        <v>37.68</v>
      </c>
      <c r="BY49" s="766">
        <v>37.840000000000003</v>
      </c>
      <c r="BZ49" s="766">
        <v>38</v>
      </c>
      <c r="CA49" s="766">
        <v>38.159999999999997</v>
      </c>
      <c r="CB49" s="766">
        <v>38.32</v>
      </c>
      <c r="CC49" s="766">
        <v>38.479999999999997</v>
      </c>
      <c r="CD49" s="766">
        <v>38.630000000000003</v>
      </c>
      <c r="CE49" s="766">
        <v>38.79</v>
      </c>
      <c r="CF49" s="766">
        <v>38.94</v>
      </c>
      <c r="CG49" s="766">
        <v>39.1</v>
      </c>
      <c r="CH49" s="766">
        <v>39.25</v>
      </c>
      <c r="CI49" s="766">
        <v>39.4</v>
      </c>
      <c r="CJ49" s="766">
        <v>39.549999999999997</v>
      </c>
      <c r="CK49" s="766">
        <v>39.700000000000003</v>
      </c>
      <c r="CL49" s="766">
        <v>39.85</v>
      </c>
      <c r="CM49" s="766">
        <v>40</v>
      </c>
      <c r="CN49" s="766">
        <v>40.14</v>
      </c>
      <c r="CO49" s="766">
        <v>40.29</v>
      </c>
      <c r="CP49" s="766">
        <v>40.44</v>
      </c>
      <c r="CQ49" s="766">
        <v>40.58</v>
      </c>
      <c r="CR49" s="766">
        <v>40.72</v>
      </c>
      <c r="CS49" s="766">
        <v>40.86</v>
      </c>
      <c r="CT49" s="766">
        <v>41.01</v>
      </c>
      <c r="CU49" s="766">
        <v>41.15</v>
      </c>
      <c r="CV49" s="766">
        <v>41.28</v>
      </c>
      <c r="CW49" s="766">
        <v>41.42</v>
      </c>
      <c r="CX49" s="766">
        <v>41.56</v>
      </c>
      <c r="CY49" s="766">
        <v>41.7</v>
      </c>
      <c r="CZ49" s="766">
        <v>41.83</v>
      </c>
      <c r="DA49" s="766">
        <v>41.97</v>
      </c>
      <c r="DB49" s="766">
        <v>42.1</v>
      </c>
      <c r="DC49" s="766">
        <v>42.23</v>
      </c>
      <c r="DD49" s="766">
        <v>42.36</v>
      </c>
      <c r="DE49" s="766">
        <v>42.49</v>
      </c>
      <c r="DF49" s="766">
        <v>42.62</v>
      </c>
      <c r="DG49" s="766">
        <v>42.75</v>
      </c>
      <c r="DH49" s="766">
        <v>42.88</v>
      </c>
      <c r="DI49" s="766">
        <v>43.01</v>
      </c>
      <c r="DJ49" s="766">
        <v>43.13</v>
      </c>
      <c r="DK49" s="766">
        <v>43.26</v>
      </c>
      <c r="DL49" s="766">
        <v>43.38</v>
      </c>
      <c r="DM49" s="766">
        <v>43.5</v>
      </c>
      <c r="DN49" s="766">
        <v>43.62</v>
      </c>
      <c r="DO49" s="766">
        <v>43.74</v>
      </c>
      <c r="DP49" s="766">
        <v>43.86</v>
      </c>
      <c r="DQ49" s="766">
        <v>43.98</v>
      </c>
      <c r="DR49" s="766">
        <v>44.1</v>
      </c>
    </row>
    <row r="50" spans="1:122">
      <c r="A50" s="944">
        <v>48</v>
      </c>
      <c r="B50" s="96"/>
      <c r="C50" s="96"/>
      <c r="D50" s="96"/>
      <c r="E50" s="96"/>
      <c r="F50" s="96"/>
      <c r="G50" s="96"/>
      <c r="H50" s="96"/>
      <c r="I50" s="96"/>
      <c r="J50" s="96"/>
      <c r="K50" s="96"/>
      <c r="L50" s="96"/>
      <c r="M50" s="96"/>
      <c r="N50" s="96"/>
      <c r="O50" s="96"/>
      <c r="P50" s="96"/>
      <c r="Q50" s="96"/>
      <c r="R50" s="96"/>
      <c r="S50" s="96"/>
      <c r="T50" s="96"/>
      <c r="U50" s="96"/>
      <c r="V50" s="766"/>
      <c r="W50" s="766">
        <v>27.48</v>
      </c>
      <c r="X50" s="766">
        <v>27.73</v>
      </c>
      <c r="Y50" s="766">
        <v>27.82</v>
      </c>
      <c r="Z50" s="766">
        <v>28.06</v>
      </c>
      <c r="AA50" s="766">
        <v>28.27</v>
      </c>
      <c r="AB50" s="766">
        <v>28.43</v>
      </c>
      <c r="AC50" s="766">
        <v>28.46</v>
      </c>
      <c r="AD50" s="766">
        <v>28.42</v>
      </c>
      <c r="AE50" s="766">
        <v>28.52</v>
      </c>
      <c r="AF50" s="766">
        <v>28.75</v>
      </c>
      <c r="AG50" s="766">
        <v>29.03</v>
      </c>
      <c r="AH50" s="766">
        <v>29.32</v>
      </c>
      <c r="AI50" s="766">
        <v>29.59</v>
      </c>
      <c r="AJ50" s="766">
        <v>29.9</v>
      </c>
      <c r="AK50" s="766">
        <v>30.2</v>
      </c>
      <c r="AL50" s="766">
        <v>30.56</v>
      </c>
      <c r="AM50" s="766">
        <v>30.88</v>
      </c>
      <c r="AN50" s="766">
        <v>31.1</v>
      </c>
      <c r="AO50" s="766">
        <v>31.26</v>
      </c>
      <c r="AP50" s="766">
        <v>31.44</v>
      </c>
      <c r="AQ50" s="766">
        <v>31.6</v>
      </c>
      <c r="AR50" s="766">
        <v>31.84</v>
      </c>
      <c r="AS50" s="766">
        <v>31.88</v>
      </c>
      <c r="AT50" s="766">
        <v>31.96</v>
      </c>
      <c r="AU50" s="766">
        <v>32.07</v>
      </c>
      <c r="AV50" s="766">
        <v>32.18</v>
      </c>
      <c r="AW50" s="766">
        <v>32.43</v>
      </c>
      <c r="AX50" s="766">
        <v>32.57</v>
      </c>
      <c r="AY50" s="766">
        <v>32.659999999999997</v>
      </c>
      <c r="AZ50" s="766">
        <v>32.76</v>
      </c>
      <c r="BA50" s="766">
        <v>32.86</v>
      </c>
      <c r="BB50" s="766">
        <v>32.99</v>
      </c>
      <c r="BC50" s="766">
        <v>33.119999999999997</v>
      </c>
      <c r="BD50" s="766">
        <v>33.28</v>
      </c>
      <c r="BE50" s="766">
        <v>33.46</v>
      </c>
      <c r="BF50" s="766">
        <v>33.64</v>
      </c>
      <c r="BG50" s="766">
        <v>33.79</v>
      </c>
      <c r="BH50" s="766">
        <v>34</v>
      </c>
      <c r="BI50" s="766">
        <v>34.15</v>
      </c>
      <c r="BJ50" s="766">
        <v>34.35</v>
      </c>
      <c r="BK50" s="766">
        <v>34.53</v>
      </c>
      <c r="BL50" s="766">
        <v>34.729999999999997</v>
      </c>
      <c r="BM50" s="766">
        <v>34.92</v>
      </c>
      <c r="BN50" s="766">
        <v>35.1</v>
      </c>
      <c r="BO50" s="766">
        <v>35.270000000000003</v>
      </c>
      <c r="BP50" s="766">
        <v>35.44</v>
      </c>
      <c r="BQ50" s="766">
        <v>35.61</v>
      </c>
      <c r="BR50" s="766">
        <v>35.78</v>
      </c>
      <c r="BS50" s="766">
        <v>35.94</v>
      </c>
      <c r="BT50" s="888">
        <v>36.11</v>
      </c>
      <c r="BU50" s="766">
        <v>36.270000000000003</v>
      </c>
      <c r="BV50" s="766">
        <v>36.44</v>
      </c>
      <c r="BW50" s="766">
        <v>36.6</v>
      </c>
      <c r="BX50" s="766">
        <v>36.76</v>
      </c>
      <c r="BY50" s="766">
        <v>36.92</v>
      </c>
      <c r="BZ50" s="766">
        <v>37.08</v>
      </c>
      <c r="CA50" s="766">
        <v>37.24</v>
      </c>
      <c r="CB50" s="766">
        <v>37.39</v>
      </c>
      <c r="CC50" s="766">
        <v>37.549999999999997</v>
      </c>
      <c r="CD50" s="766">
        <v>37.71</v>
      </c>
      <c r="CE50" s="766">
        <v>37.86</v>
      </c>
      <c r="CF50" s="766">
        <v>38.01</v>
      </c>
      <c r="CG50" s="766">
        <v>38.17</v>
      </c>
      <c r="CH50" s="766">
        <v>38.32</v>
      </c>
      <c r="CI50" s="766">
        <v>38.47</v>
      </c>
      <c r="CJ50" s="766">
        <v>38.619999999999997</v>
      </c>
      <c r="CK50" s="766">
        <v>38.770000000000003</v>
      </c>
      <c r="CL50" s="766">
        <v>38.909999999999997</v>
      </c>
      <c r="CM50" s="766">
        <v>39.06</v>
      </c>
      <c r="CN50" s="766">
        <v>39.21</v>
      </c>
      <c r="CO50" s="766">
        <v>39.35</v>
      </c>
      <c r="CP50" s="766">
        <v>39.5</v>
      </c>
      <c r="CQ50" s="766">
        <v>39.64</v>
      </c>
      <c r="CR50" s="766">
        <v>39.78</v>
      </c>
      <c r="CS50" s="766">
        <v>39.92</v>
      </c>
      <c r="CT50" s="766">
        <v>40.06</v>
      </c>
      <c r="CU50" s="766">
        <v>40.200000000000003</v>
      </c>
      <c r="CV50" s="766">
        <v>40.340000000000003</v>
      </c>
      <c r="CW50" s="766">
        <v>40.479999999999997</v>
      </c>
      <c r="CX50" s="766">
        <v>40.61</v>
      </c>
      <c r="CY50" s="766">
        <v>40.75</v>
      </c>
      <c r="CZ50" s="766">
        <v>40.880000000000003</v>
      </c>
      <c r="DA50" s="766">
        <v>41.02</v>
      </c>
      <c r="DB50" s="766">
        <v>41.15</v>
      </c>
      <c r="DC50" s="766">
        <v>41.28</v>
      </c>
      <c r="DD50" s="766">
        <v>41.41</v>
      </c>
      <c r="DE50" s="766">
        <v>41.54</v>
      </c>
      <c r="DF50" s="766">
        <v>41.67</v>
      </c>
      <c r="DG50" s="766">
        <v>41.8</v>
      </c>
      <c r="DH50" s="766">
        <v>41.92</v>
      </c>
      <c r="DI50" s="766">
        <v>42.05</v>
      </c>
      <c r="DJ50" s="766">
        <v>42.17</v>
      </c>
      <c r="DK50" s="766">
        <v>42.3</v>
      </c>
      <c r="DL50" s="766">
        <v>42.42</v>
      </c>
      <c r="DM50" s="766">
        <v>42.54</v>
      </c>
      <c r="DN50" s="766">
        <v>42.66</v>
      </c>
      <c r="DO50" s="766">
        <v>42.78</v>
      </c>
      <c r="DP50" s="766">
        <v>42.9</v>
      </c>
      <c r="DQ50" s="766">
        <v>43.02</v>
      </c>
      <c r="DR50" s="766">
        <v>43.14</v>
      </c>
    </row>
    <row r="51" spans="1:122">
      <c r="A51" s="944">
        <v>49</v>
      </c>
      <c r="B51" s="96"/>
      <c r="C51" s="96"/>
      <c r="D51" s="96"/>
      <c r="E51" s="96"/>
      <c r="F51" s="96"/>
      <c r="G51" s="96"/>
      <c r="H51" s="96"/>
      <c r="I51" s="96"/>
      <c r="J51" s="96"/>
      <c r="K51" s="96"/>
      <c r="L51" s="96"/>
      <c r="M51" s="96"/>
      <c r="N51" s="96"/>
      <c r="O51" s="96"/>
      <c r="P51" s="96"/>
      <c r="Q51" s="96"/>
      <c r="R51" s="96"/>
      <c r="S51" s="96"/>
      <c r="T51" s="96"/>
      <c r="U51" s="96"/>
      <c r="V51" s="766"/>
      <c r="W51" s="766">
        <v>26.65</v>
      </c>
      <c r="X51" s="766">
        <v>26.9</v>
      </c>
      <c r="Y51" s="766">
        <v>26.98</v>
      </c>
      <c r="Z51" s="766">
        <v>27.23</v>
      </c>
      <c r="AA51" s="766">
        <v>27.44</v>
      </c>
      <c r="AB51" s="766">
        <v>27.61</v>
      </c>
      <c r="AC51" s="766">
        <v>27.63</v>
      </c>
      <c r="AD51" s="766">
        <v>27.6</v>
      </c>
      <c r="AE51" s="766">
        <v>27.7</v>
      </c>
      <c r="AF51" s="766">
        <v>27.93</v>
      </c>
      <c r="AG51" s="766">
        <v>28.21</v>
      </c>
      <c r="AH51" s="766">
        <v>28.5</v>
      </c>
      <c r="AI51" s="766">
        <v>28.76</v>
      </c>
      <c r="AJ51" s="766">
        <v>29.07</v>
      </c>
      <c r="AK51" s="766">
        <v>29.37</v>
      </c>
      <c r="AL51" s="766">
        <v>29.73</v>
      </c>
      <c r="AM51" s="766">
        <v>30.04</v>
      </c>
      <c r="AN51" s="766">
        <v>30.26</v>
      </c>
      <c r="AO51" s="766">
        <v>30.42</v>
      </c>
      <c r="AP51" s="766">
        <v>30.59</v>
      </c>
      <c r="AQ51" s="766">
        <v>30.76</v>
      </c>
      <c r="AR51" s="766">
        <v>30.99</v>
      </c>
      <c r="AS51" s="766">
        <v>31.04</v>
      </c>
      <c r="AT51" s="766">
        <v>31.13</v>
      </c>
      <c r="AU51" s="766">
        <v>31.23</v>
      </c>
      <c r="AV51" s="766">
        <v>31.33</v>
      </c>
      <c r="AW51" s="766">
        <v>31.57</v>
      </c>
      <c r="AX51" s="766">
        <v>31.71</v>
      </c>
      <c r="AY51" s="766">
        <v>31.8</v>
      </c>
      <c r="AZ51" s="766">
        <v>31.9</v>
      </c>
      <c r="BA51" s="766">
        <v>32</v>
      </c>
      <c r="BB51" s="766">
        <v>32.130000000000003</v>
      </c>
      <c r="BC51" s="766">
        <v>32.26</v>
      </c>
      <c r="BD51" s="766">
        <v>32.409999999999997</v>
      </c>
      <c r="BE51" s="766">
        <v>32.590000000000003</v>
      </c>
      <c r="BF51" s="766">
        <v>32.76</v>
      </c>
      <c r="BG51" s="766">
        <v>32.92</v>
      </c>
      <c r="BH51" s="766">
        <v>33.119999999999997</v>
      </c>
      <c r="BI51" s="766">
        <v>33.270000000000003</v>
      </c>
      <c r="BJ51" s="766">
        <v>33.47</v>
      </c>
      <c r="BK51" s="766">
        <v>33.64</v>
      </c>
      <c r="BL51" s="766">
        <v>33.840000000000003</v>
      </c>
      <c r="BM51" s="766">
        <v>34.020000000000003</v>
      </c>
      <c r="BN51" s="766">
        <v>34.200000000000003</v>
      </c>
      <c r="BO51" s="766">
        <v>34.369999999999997</v>
      </c>
      <c r="BP51" s="766">
        <v>34.54</v>
      </c>
      <c r="BQ51" s="766">
        <v>34.71</v>
      </c>
      <c r="BR51" s="766">
        <v>34.880000000000003</v>
      </c>
      <c r="BS51" s="766">
        <v>35.04</v>
      </c>
      <c r="BT51" s="888">
        <v>35.200000000000003</v>
      </c>
      <c r="BU51" s="766">
        <v>35.36</v>
      </c>
      <c r="BV51" s="766">
        <v>35.53</v>
      </c>
      <c r="BW51" s="766">
        <v>35.69</v>
      </c>
      <c r="BX51" s="766">
        <v>35.85</v>
      </c>
      <c r="BY51" s="766">
        <v>36</v>
      </c>
      <c r="BZ51" s="766">
        <v>36.159999999999997</v>
      </c>
      <c r="CA51" s="766">
        <v>36.32</v>
      </c>
      <c r="CB51" s="766">
        <v>36.479999999999997</v>
      </c>
      <c r="CC51" s="766">
        <v>36.630000000000003</v>
      </c>
      <c r="CD51" s="766">
        <v>36.78</v>
      </c>
      <c r="CE51" s="766">
        <v>36.94</v>
      </c>
      <c r="CF51" s="766">
        <v>37.090000000000003</v>
      </c>
      <c r="CG51" s="766">
        <v>37.24</v>
      </c>
      <c r="CH51" s="766">
        <v>37.39</v>
      </c>
      <c r="CI51" s="766">
        <v>37.54</v>
      </c>
      <c r="CJ51" s="766">
        <v>37.69</v>
      </c>
      <c r="CK51" s="766">
        <v>37.840000000000003</v>
      </c>
      <c r="CL51" s="766">
        <v>37.979999999999997</v>
      </c>
      <c r="CM51" s="766">
        <v>38.130000000000003</v>
      </c>
      <c r="CN51" s="766">
        <v>38.270000000000003</v>
      </c>
      <c r="CO51" s="766">
        <v>38.42</v>
      </c>
      <c r="CP51" s="766">
        <v>38.56</v>
      </c>
      <c r="CQ51" s="766">
        <v>38.700000000000003</v>
      </c>
      <c r="CR51" s="766">
        <v>38.840000000000003</v>
      </c>
      <c r="CS51" s="766">
        <v>38.979999999999997</v>
      </c>
      <c r="CT51" s="766">
        <v>39.119999999999997</v>
      </c>
      <c r="CU51" s="766">
        <v>39.26</v>
      </c>
      <c r="CV51" s="766">
        <v>39.4</v>
      </c>
      <c r="CW51" s="766">
        <v>39.53</v>
      </c>
      <c r="CX51" s="766">
        <v>39.67</v>
      </c>
      <c r="CY51" s="766">
        <v>39.799999999999997</v>
      </c>
      <c r="CZ51" s="766">
        <v>39.94</v>
      </c>
      <c r="DA51" s="766">
        <v>40.07</v>
      </c>
      <c r="DB51" s="766">
        <v>40.200000000000003</v>
      </c>
      <c r="DC51" s="766">
        <v>40.33</v>
      </c>
      <c r="DD51" s="766">
        <v>40.46</v>
      </c>
      <c r="DE51" s="766">
        <v>40.590000000000003</v>
      </c>
      <c r="DF51" s="766">
        <v>40.72</v>
      </c>
      <c r="DG51" s="766">
        <v>40.85</v>
      </c>
      <c r="DH51" s="766">
        <v>40.97</v>
      </c>
      <c r="DI51" s="766">
        <v>41.1</v>
      </c>
      <c r="DJ51" s="766">
        <v>41.22</v>
      </c>
      <c r="DK51" s="766">
        <v>41.34</v>
      </c>
      <c r="DL51" s="766">
        <v>41.47</v>
      </c>
      <c r="DM51" s="766">
        <v>41.59</v>
      </c>
      <c r="DN51" s="766">
        <v>41.71</v>
      </c>
      <c r="DO51" s="766">
        <v>41.83</v>
      </c>
      <c r="DP51" s="766">
        <v>41.95</v>
      </c>
      <c r="DQ51" s="766">
        <v>42.06</v>
      </c>
      <c r="DR51" s="766">
        <v>42.18</v>
      </c>
    </row>
    <row r="52" spans="1:122">
      <c r="A52" s="944">
        <v>50</v>
      </c>
      <c r="B52" s="96"/>
      <c r="C52" s="96"/>
      <c r="D52" s="96"/>
      <c r="E52" s="96"/>
      <c r="F52" s="96"/>
      <c r="G52" s="96"/>
      <c r="H52" s="96"/>
      <c r="I52" s="96"/>
      <c r="J52" s="96"/>
      <c r="K52" s="96"/>
      <c r="L52" s="96"/>
      <c r="M52" s="96"/>
      <c r="N52" s="96"/>
      <c r="O52" s="96"/>
      <c r="P52" s="96"/>
      <c r="Q52" s="96"/>
      <c r="R52" s="96"/>
      <c r="S52" s="96"/>
      <c r="T52" s="96"/>
      <c r="U52" s="96"/>
      <c r="V52" s="766"/>
      <c r="W52" s="766">
        <v>25.83</v>
      </c>
      <c r="X52" s="766">
        <v>26.07</v>
      </c>
      <c r="Y52" s="766">
        <v>26.16</v>
      </c>
      <c r="Z52" s="766">
        <v>26.41</v>
      </c>
      <c r="AA52" s="766">
        <v>26.62</v>
      </c>
      <c r="AB52" s="766">
        <v>26.79</v>
      </c>
      <c r="AC52" s="766">
        <v>26.81</v>
      </c>
      <c r="AD52" s="766">
        <v>26.78</v>
      </c>
      <c r="AE52" s="766">
        <v>26.9</v>
      </c>
      <c r="AF52" s="766">
        <v>27.13</v>
      </c>
      <c r="AG52" s="766">
        <v>27.41</v>
      </c>
      <c r="AH52" s="766">
        <v>27.69</v>
      </c>
      <c r="AI52" s="766">
        <v>27.95</v>
      </c>
      <c r="AJ52" s="766">
        <v>28.24</v>
      </c>
      <c r="AK52" s="766">
        <v>28.54</v>
      </c>
      <c r="AL52" s="766">
        <v>28.9</v>
      </c>
      <c r="AM52" s="766">
        <v>29.21</v>
      </c>
      <c r="AN52" s="766">
        <v>29.43</v>
      </c>
      <c r="AO52" s="766">
        <v>29.58</v>
      </c>
      <c r="AP52" s="766">
        <v>29.76</v>
      </c>
      <c r="AQ52" s="766">
        <v>29.94</v>
      </c>
      <c r="AR52" s="766">
        <v>30.16</v>
      </c>
      <c r="AS52" s="766">
        <v>30.21</v>
      </c>
      <c r="AT52" s="766">
        <v>30.29</v>
      </c>
      <c r="AU52" s="766">
        <v>30.4</v>
      </c>
      <c r="AV52" s="766">
        <v>30.49</v>
      </c>
      <c r="AW52" s="766">
        <v>30.73</v>
      </c>
      <c r="AX52" s="766">
        <v>30.86</v>
      </c>
      <c r="AY52" s="766">
        <v>30.94</v>
      </c>
      <c r="AZ52" s="766">
        <v>31.05</v>
      </c>
      <c r="BA52" s="766">
        <v>31.14</v>
      </c>
      <c r="BB52" s="766">
        <v>31.27</v>
      </c>
      <c r="BC52" s="766">
        <v>31.4</v>
      </c>
      <c r="BD52" s="766">
        <v>31.56</v>
      </c>
      <c r="BE52" s="766">
        <v>31.73</v>
      </c>
      <c r="BF52" s="766">
        <v>31.9</v>
      </c>
      <c r="BG52" s="766">
        <v>32.049999999999997</v>
      </c>
      <c r="BH52" s="766">
        <v>32.25</v>
      </c>
      <c r="BI52" s="766">
        <v>32.4</v>
      </c>
      <c r="BJ52" s="766">
        <v>32.590000000000003</v>
      </c>
      <c r="BK52" s="766">
        <v>32.76</v>
      </c>
      <c r="BL52" s="766">
        <v>32.96</v>
      </c>
      <c r="BM52" s="766">
        <v>33.130000000000003</v>
      </c>
      <c r="BN52" s="766">
        <v>33.31</v>
      </c>
      <c r="BO52" s="766">
        <v>33.479999999999997</v>
      </c>
      <c r="BP52" s="766">
        <v>33.65</v>
      </c>
      <c r="BQ52" s="766">
        <v>33.81</v>
      </c>
      <c r="BR52" s="766">
        <v>33.97</v>
      </c>
      <c r="BS52" s="766">
        <v>34.14</v>
      </c>
      <c r="BT52" s="888">
        <v>34.299999999999997</v>
      </c>
      <c r="BU52" s="766">
        <v>34.46</v>
      </c>
      <c r="BV52" s="766">
        <v>34.619999999999997</v>
      </c>
      <c r="BW52" s="766">
        <v>34.78</v>
      </c>
      <c r="BX52" s="766">
        <v>34.94</v>
      </c>
      <c r="BY52" s="766">
        <v>35.1</v>
      </c>
      <c r="BZ52" s="766">
        <v>35.25</v>
      </c>
      <c r="CA52" s="766">
        <v>35.409999999999997</v>
      </c>
      <c r="CB52" s="766">
        <v>35.56</v>
      </c>
      <c r="CC52" s="766">
        <v>35.72</v>
      </c>
      <c r="CD52" s="766">
        <v>35.869999999999997</v>
      </c>
      <c r="CE52" s="766">
        <v>36.020000000000003</v>
      </c>
      <c r="CF52" s="766">
        <v>36.17</v>
      </c>
      <c r="CG52" s="766">
        <v>36.32</v>
      </c>
      <c r="CH52" s="766">
        <v>36.47</v>
      </c>
      <c r="CI52" s="766">
        <v>36.619999999999997</v>
      </c>
      <c r="CJ52" s="766">
        <v>36.770000000000003</v>
      </c>
      <c r="CK52" s="766">
        <v>36.909999999999997</v>
      </c>
      <c r="CL52" s="766">
        <v>37.06</v>
      </c>
      <c r="CM52" s="766">
        <v>37.200000000000003</v>
      </c>
      <c r="CN52" s="766">
        <v>37.35</v>
      </c>
      <c r="CO52" s="766">
        <v>37.49</v>
      </c>
      <c r="CP52" s="766">
        <v>37.630000000000003</v>
      </c>
      <c r="CQ52" s="766">
        <v>37.770000000000003</v>
      </c>
      <c r="CR52" s="766">
        <v>37.909999999999997</v>
      </c>
      <c r="CS52" s="766">
        <v>38.049999999999997</v>
      </c>
      <c r="CT52" s="766">
        <v>38.19</v>
      </c>
      <c r="CU52" s="766">
        <v>38.33</v>
      </c>
      <c r="CV52" s="766">
        <v>38.46</v>
      </c>
      <c r="CW52" s="766">
        <v>38.6</v>
      </c>
      <c r="CX52" s="766">
        <v>38.729999999999997</v>
      </c>
      <c r="CY52" s="766">
        <v>38.86</v>
      </c>
      <c r="CZ52" s="766">
        <v>39</v>
      </c>
      <c r="DA52" s="766">
        <v>39.130000000000003</v>
      </c>
      <c r="DB52" s="766">
        <v>39.26</v>
      </c>
      <c r="DC52" s="766">
        <v>39.39</v>
      </c>
      <c r="DD52" s="766">
        <v>39.520000000000003</v>
      </c>
      <c r="DE52" s="766">
        <v>39.65</v>
      </c>
      <c r="DF52" s="766">
        <v>39.770000000000003</v>
      </c>
      <c r="DG52" s="766">
        <v>39.9</v>
      </c>
      <c r="DH52" s="766">
        <v>40.020000000000003</v>
      </c>
      <c r="DI52" s="766">
        <v>40.15</v>
      </c>
      <c r="DJ52" s="766">
        <v>40.270000000000003</v>
      </c>
      <c r="DK52" s="766">
        <v>40.39</v>
      </c>
      <c r="DL52" s="766">
        <v>40.51</v>
      </c>
      <c r="DM52" s="766">
        <v>40.630000000000003</v>
      </c>
      <c r="DN52" s="766">
        <v>40.75</v>
      </c>
      <c r="DO52" s="766">
        <v>40.869999999999997</v>
      </c>
      <c r="DP52" s="766">
        <v>40.99</v>
      </c>
      <c r="DQ52" s="766">
        <v>41.11</v>
      </c>
      <c r="DR52" s="766">
        <v>41.22</v>
      </c>
    </row>
    <row r="53" spans="1:122">
      <c r="A53" s="944">
        <v>51</v>
      </c>
      <c r="B53" s="96"/>
      <c r="C53" s="96"/>
      <c r="D53" s="96"/>
      <c r="E53" s="96"/>
      <c r="F53" s="96"/>
      <c r="G53" s="96"/>
      <c r="H53" s="96"/>
      <c r="I53" s="96"/>
      <c r="J53" s="96"/>
      <c r="K53" s="96"/>
      <c r="L53" s="96"/>
      <c r="M53" s="96"/>
      <c r="N53" s="96"/>
      <c r="O53" s="96"/>
      <c r="P53" s="96"/>
      <c r="Q53" s="96"/>
      <c r="R53" s="96"/>
      <c r="S53" s="96"/>
      <c r="T53" s="96"/>
      <c r="U53" s="96"/>
      <c r="V53" s="766"/>
      <c r="W53" s="766">
        <v>25.02</v>
      </c>
      <c r="X53" s="766">
        <v>25.26</v>
      </c>
      <c r="Y53" s="766">
        <v>25.35</v>
      </c>
      <c r="Z53" s="766">
        <v>25.61</v>
      </c>
      <c r="AA53" s="766">
        <v>25.82</v>
      </c>
      <c r="AB53" s="766">
        <v>25.99</v>
      </c>
      <c r="AC53" s="766">
        <v>26.01</v>
      </c>
      <c r="AD53" s="766">
        <v>25.98</v>
      </c>
      <c r="AE53" s="766">
        <v>26.1</v>
      </c>
      <c r="AF53" s="766">
        <v>26.33</v>
      </c>
      <c r="AG53" s="766">
        <v>26.6</v>
      </c>
      <c r="AH53" s="766">
        <v>26.89</v>
      </c>
      <c r="AI53" s="766">
        <v>27.15</v>
      </c>
      <c r="AJ53" s="766">
        <v>27.44</v>
      </c>
      <c r="AK53" s="766">
        <v>27.73</v>
      </c>
      <c r="AL53" s="766">
        <v>28.09</v>
      </c>
      <c r="AM53" s="766">
        <v>28.39</v>
      </c>
      <c r="AN53" s="766">
        <v>28.61</v>
      </c>
      <c r="AO53" s="766">
        <v>28.76</v>
      </c>
      <c r="AP53" s="766">
        <v>28.95</v>
      </c>
      <c r="AQ53" s="766">
        <v>29.12</v>
      </c>
      <c r="AR53" s="766">
        <v>29.33</v>
      </c>
      <c r="AS53" s="766">
        <v>29.38</v>
      </c>
      <c r="AT53" s="766">
        <v>29.46</v>
      </c>
      <c r="AU53" s="766">
        <v>29.57</v>
      </c>
      <c r="AV53" s="766">
        <v>29.66</v>
      </c>
      <c r="AW53" s="766">
        <v>29.89</v>
      </c>
      <c r="AX53" s="766">
        <v>30.01</v>
      </c>
      <c r="AY53" s="766">
        <v>30.1</v>
      </c>
      <c r="AZ53" s="766">
        <v>30.2</v>
      </c>
      <c r="BA53" s="766">
        <v>30.3</v>
      </c>
      <c r="BB53" s="766">
        <v>30.42</v>
      </c>
      <c r="BC53" s="766">
        <v>30.56</v>
      </c>
      <c r="BD53" s="766">
        <v>30.71</v>
      </c>
      <c r="BE53" s="766">
        <v>30.87</v>
      </c>
      <c r="BF53" s="766">
        <v>31.04</v>
      </c>
      <c r="BG53" s="766">
        <v>31.19</v>
      </c>
      <c r="BH53" s="766">
        <v>31.38</v>
      </c>
      <c r="BI53" s="766">
        <v>31.53</v>
      </c>
      <c r="BJ53" s="766">
        <v>31.72</v>
      </c>
      <c r="BK53" s="766">
        <v>31.89</v>
      </c>
      <c r="BL53" s="766">
        <v>32.08</v>
      </c>
      <c r="BM53" s="766">
        <v>32.25</v>
      </c>
      <c r="BN53" s="766">
        <v>32.43</v>
      </c>
      <c r="BO53" s="766">
        <v>32.590000000000003</v>
      </c>
      <c r="BP53" s="766">
        <v>32.76</v>
      </c>
      <c r="BQ53" s="766">
        <v>32.92</v>
      </c>
      <c r="BR53" s="766">
        <v>33.08</v>
      </c>
      <c r="BS53" s="766">
        <v>33.24</v>
      </c>
      <c r="BT53" s="888">
        <v>33.4</v>
      </c>
      <c r="BU53" s="766">
        <v>33.56</v>
      </c>
      <c r="BV53" s="766">
        <v>33.72</v>
      </c>
      <c r="BW53" s="766">
        <v>33.880000000000003</v>
      </c>
      <c r="BX53" s="766">
        <v>34.04</v>
      </c>
      <c r="BY53" s="766">
        <v>34.19</v>
      </c>
      <c r="BZ53" s="766">
        <v>34.35</v>
      </c>
      <c r="CA53" s="766">
        <v>34.5</v>
      </c>
      <c r="CB53" s="766">
        <v>34.659999999999997</v>
      </c>
      <c r="CC53" s="766">
        <v>34.81</v>
      </c>
      <c r="CD53" s="766">
        <v>34.96</v>
      </c>
      <c r="CE53" s="766">
        <v>35.11</v>
      </c>
      <c r="CF53" s="766">
        <v>35.26</v>
      </c>
      <c r="CG53" s="766">
        <v>35.409999999999997</v>
      </c>
      <c r="CH53" s="766">
        <v>35.56</v>
      </c>
      <c r="CI53" s="766">
        <v>35.700000000000003</v>
      </c>
      <c r="CJ53" s="766">
        <v>35.85</v>
      </c>
      <c r="CK53" s="766">
        <v>35.99</v>
      </c>
      <c r="CL53" s="766">
        <v>36.14</v>
      </c>
      <c r="CM53" s="766">
        <v>36.28</v>
      </c>
      <c r="CN53" s="766">
        <v>36.42</v>
      </c>
      <c r="CO53" s="766">
        <v>36.56</v>
      </c>
      <c r="CP53" s="766">
        <v>36.71</v>
      </c>
      <c r="CQ53" s="766">
        <v>36.840000000000003</v>
      </c>
      <c r="CR53" s="766">
        <v>36.979999999999997</v>
      </c>
      <c r="CS53" s="766">
        <v>37.119999999999997</v>
      </c>
      <c r="CT53" s="766">
        <v>37.26</v>
      </c>
      <c r="CU53" s="766">
        <v>37.39</v>
      </c>
      <c r="CV53" s="766">
        <v>37.53</v>
      </c>
      <c r="CW53" s="766">
        <v>37.659999999999997</v>
      </c>
      <c r="CX53" s="766">
        <v>37.799999999999997</v>
      </c>
      <c r="CY53" s="766">
        <v>37.93</v>
      </c>
      <c r="CZ53" s="766">
        <v>38.06</v>
      </c>
      <c r="DA53" s="766">
        <v>38.19</v>
      </c>
      <c r="DB53" s="766">
        <v>38.32</v>
      </c>
      <c r="DC53" s="766">
        <v>38.450000000000003</v>
      </c>
      <c r="DD53" s="766">
        <v>38.58</v>
      </c>
      <c r="DE53" s="766">
        <v>38.700000000000003</v>
      </c>
      <c r="DF53" s="766">
        <v>38.83</v>
      </c>
      <c r="DG53" s="766">
        <v>38.96</v>
      </c>
      <c r="DH53" s="766">
        <v>39.08</v>
      </c>
      <c r="DI53" s="766">
        <v>39.200000000000003</v>
      </c>
      <c r="DJ53" s="766">
        <v>39.32</v>
      </c>
      <c r="DK53" s="766">
        <v>39.450000000000003</v>
      </c>
      <c r="DL53" s="766">
        <v>39.57</v>
      </c>
      <c r="DM53" s="766">
        <v>39.69</v>
      </c>
      <c r="DN53" s="766">
        <v>39.799999999999997</v>
      </c>
      <c r="DO53" s="766">
        <v>39.92</v>
      </c>
      <c r="DP53" s="766">
        <v>40.04</v>
      </c>
      <c r="DQ53" s="766">
        <v>40.159999999999997</v>
      </c>
      <c r="DR53" s="766">
        <v>40.270000000000003</v>
      </c>
    </row>
    <row r="54" spans="1:122">
      <c r="A54" s="944">
        <v>52</v>
      </c>
      <c r="B54" s="96"/>
      <c r="C54" s="96"/>
      <c r="D54" s="96"/>
      <c r="E54" s="96"/>
      <c r="F54" s="96"/>
      <c r="G54" s="96"/>
      <c r="H54" s="96"/>
      <c r="I54" s="96"/>
      <c r="J54" s="96"/>
      <c r="K54" s="96"/>
      <c r="L54" s="96"/>
      <c r="M54" s="96"/>
      <c r="N54" s="96"/>
      <c r="O54" s="96"/>
      <c r="P54" s="96"/>
      <c r="Q54" s="96"/>
      <c r="R54" s="96"/>
      <c r="S54" s="96"/>
      <c r="T54" s="96"/>
      <c r="U54" s="96"/>
      <c r="V54" s="766"/>
      <c r="W54" s="766">
        <v>24.22</v>
      </c>
      <c r="X54" s="766">
        <v>24.46</v>
      </c>
      <c r="Y54" s="766">
        <v>24.57</v>
      </c>
      <c r="Z54" s="766">
        <v>24.81</v>
      </c>
      <c r="AA54" s="766">
        <v>25.02</v>
      </c>
      <c r="AB54" s="766">
        <v>25.2</v>
      </c>
      <c r="AC54" s="766">
        <v>25.21</v>
      </c>
      <c r="AD54" s="766">
        <v>25.19</v>
      </c>
      <c r="AE54" s="766">
        <v>25.31</v>
      </c>
      <c r="AF54" s="766">
        <v>25.54</v>
      </c>
      <c r="AG54" s="766">
        <v>25.81</v>
      </c>
      <c r="AH54" s="766">
        <v>26.09</v>
      </c>
      <c r="AI54" s="766">
        <v>26.35</v>
      </c>
      <c r="AJ54" s="766">
        <v>26.64</v>
      </c>
      <c r="AK54" s="766">
        <v>26.93</v>
      </c>
      <c r="AL54" s="766">
        <v>27.27</v>
      </c>
      <c r="AM54" s="766">
        <v>27.58</v>
      </c>
      <c r="AN54" s="766">
        <v>27.79</v>
      </c>
      <c r="AO54" s="766">
        <v>27.96</v>
      </c>
      <c r="AP54" s="766">
        <v>28.14</v>
      </c>
      <c r="AQ54" s="766">
        <v>28.31</v>
      </c>
      <c r="AR54" s="766">
        <v>28.51</v>
      </c>
      <c r="AS54" s="766">
        <v>28.57</v>
      </c>
      <c r="AT54" s="766">
        <v>28.65</v>
      </c>
      <c r="AU54" s="766">
        <v>28.75</v>
      </c>
      <c r="AV54" s="766">
        <v>28.83</v>
      </c>
      <c r="AW54" s="766">
        <v>29.05</v>
      </c>
      <c r="AX54" s="766">
        <v>29.17</v>
      </c>
      <c r="AY54" s="766">
        <v>29.25</v>
      </c>
      <c r="AZ54" s="766">
        <v>29.36</v>
      </c>
      <c r="BA54" s="766">
        <v>29.46</v>
      </c>
      <c r="BB54" s="766">
        <v>29.58</v>
      </c>
      <c r="BC54" s="766">
        <v>29.71</v>
      </c>
      <c r="BD54" s="766">
        <v>29.86</v>
      </c>
      <c r="BE54" s="766">
        <v>30.02</v>
      </c>
      <c r="BF54" s="766">
        <v>30.18</v>
      </c>
      <c r="BG54" s="766">
        <v>30.34</v>
      </c>
      <c r="BH54" s="766">
        <v>30.53</v>
      </c>
      <c r="BI54" s="766">
        <v>30.68</v>
      </c>
      <c r="BJ54" s="766">
        <v>30.85</v>
      </c>
      <c r="BK54" s="766">
        <v>31.02</v>
      </c>
      <c r="BL54" s="766">
        <v>31.21</v>
      </c>
      <c r="BM54" s="766">
        <v>31.37</v>
      </c>
      <c r="BN54" s="766">
        <v>31.55</v>
      </c>
      <c r="BO54" s="766">
        <v>31.71</v>
      </c>
      <c r="BP54" s="766">
        <v>31.88</v>
      </c>
      <c r="BQ54" s="766">
        <v>32.04</v>
      </c>
      <c r="BR54" s="766">
        <v>32.200000000000003</v>
      </c>
      <c r="BS54" s="766">
        <v>32.36</v>
      </c>
      <c r="BT54" s="888">
        <v>32.520000000000003</v>
      </c>
      <c r="BU54" s="766">
        <v>32.67</v>
      </c>
      <c r="BV54" s="766">
        <v>32.83</v>
      </c>
      <c r="BW54" s="766">
        <v>32.99</v>
      </c>
      <c r="BX54" s="766">
        <v>33.14</v>
      </c>
      <c r="BY54" s="766">
        <v>33.299999999999997</v>
      </c>
      <c r="BZ54" s="766">
        <v>33.450000000000003</v>
      </c>
      <c r="CA54" s="766">
        <v>33.6</v>
      </c>
      <c r="CB54" s="766">
        <v>33.75</v>
      </c>
      <c r="CC54" s="766">
        <v>33.9</v>
      </c>
      <c r="CD54" s="766">
        <v>34.049999999999997</v>
      </c>
      <c r="CE54" s="766">
        <v>34.200000000000003</v>
      </c>
      <c r="CF54" s="766">
        <v>34.35</v>
      </c>
      <c r="CG54" s="766">
        <v>34.5</v>
      </c>
      <c r="CH54" s="766">
        <v>34.65</v>
      </c>
      <c r="CI54" s="766">
        <v>34.79</v>
      </c>
      <c r="CJ54" s="766">
        <v>34.94</v>
      </c>
      <c r="CK54" s="766">
        <v>35.08</v>
      </c>
      <c r="CL54" s="766">
        <v>35.22</v>
      </c>
      <c r="CM54" s="766">
        <v>35.36</v>
      </c>
      <c r="CN54" s="766">
        <v>35.51</v>
      </c>
      <c r="CO54" s="766">
        <v>35.65</v>
      </c>
      <c r="CP54" s="766">
        <v>35.79</v>
      </c>
      <c r="CQ54" s="766">
        <v>35.92</v>
      </c>
      <c r="CR54" s="766">
        <v>36.06</v>
      </c>
      <c r="CS54" s="766">
        <v>36.200000000000003</v>
      </c>
      <c r="CT54" s="766">
        <v>36.33</v>
      </c>
      <c r="CU54" s="766">
        <v>36.47</v>
      </c>
      <c r="CV54" s="766">
        <v>36.6</v>
      </c>
      <c r="CW54" s="766">
        <v>36.74</v>
      </c>
      <c r="CX54" s="766">
        <v>36.869999999999997</v>
      </c>
      <c r="CY54" s="766">
        <v>37</v>
      </c>
      <c r="CZ54" s="766">
        <v>37.130000000000003</v>
      </c>
      <c r="DA54" s="766">
        <v>37.26</v>
      </c>
      <c r="DB54" s="766">
        <v>37.39</v>
      </c>
      <c r="DC54" s="766">
        <v>37.51</v>
      </c>
      <c r="DD54" s="766">
        <v>37.64</v>
      </c>
      <c r="DE54" s="766">
        <v>37.770000000000003</v>
      </c>
      <c r="DF54" s="766">
        <v>37.89</v>
      </c>
      <c r="DG54" s="766">
        <v>38.020000000000003</v>
      </c>
      <c r="DH54" s="766">
        <v>38.14</v>
      </c>
      <c r="DI54" s="766">
        <v>38.26</v>
      </c>
      <c r="DJ54" s="766">
        <v>38.380000000000003</v>
      </c>
      <c r="DK54" s="766">
        <v>38.5</v>
      </c>
      <c r="DL54" s="766">
        <v>38.619999999999997</v>
      </c>
      <c r="DM54" s="766">
        <v>38.74</v>
      </c>
      <c r="DN54" s="766">
        <v>38.86</v>
      </c>
      <c r="DO54" s="766">
        <v>38.979999999999997</v>
      </c>
      <c r="DP54" s="766">
        <v>39.090000000000003</v>
      </c>
      <c r="DQ54" s="766">
        <v>39.21</v>
      </c>
      <c r="DR54" s="766">
        <v>39.32</v>
      </c>
    </row>
    <row r="55" spans="1:122">
      <c r="A55" s="944">
        <v>53</v>
      </c>
      <c r="B55" s="96"/>
      <c r="C55" s="96"/>
      <c r="D55" s="96"/>
      <c r="E55" s="96"/>
      <c r="F55" s="96"/>
      <c r="G55" s="96"/>
      <c r="H55" s="96"/>
      <c r="I55" s="96"/>
      <c r="J55" s="96"/>
      <c r="K55" s="96"/>
      <c r="L55" s="96"/>
      <c r="M55" s="96"/>
      <c r="N55" s="96"/>
      <c r="O55" s="96"/>
      <c r="P55" s="96"/>
      <c r="Q55" s="96"/>
      <c r="R55" s="96"/>
      <c r="S55" s="96"/>
      <c r="T55" s="96"/>
      <c r="U55" s="96"/>
      <c r="V55" s="766"/>
      <c r="W55" s="766">
        <v>23.44</v>
      </c>
      <c r="X55" s="766">
        <v>23.68</v>
      </c>
      <c r="Y55" s="766">
        <v>23.79</v>
      </c>
      <c r="Z55" s="766">
        <v>24.03</v>
      </c>
      <c r="AA55" s="766">
        <v>24.23</v>
      </c>
      <c r="AB55" s="766">
        <v>24.41</v>
      </c>
      <c r="AC55" s="766">
        <v>24.44</v>
      </c>
      <c r="AD55" s="766">
        <v>24.41</v>
      </c>
      <c r="AE55" s="766">
        <v>24.53</v>
      </c>
      <c r="AF55" s="766">
        <v>24.76</v>
      </c>
      <c r="AG55" s="766">
        <v>25.03</v>
      </c>
      <c r="AH55" s="766">
        <v>25.31</v>
      </c>
      <c r="AI55" s="766">
        <v>25.56</v>
      </c>
      <c r="AJ55" s="766">
        <v>25.85</v>
      </c>
      <c r="AK55" s="766">
        <v>26.14</v>
      </c>
      <c r="AL55" s="766">
        <v>26.47</v>
      </c>
      <c r="AM55" s="766">
        <v>26.77</v>
      </c>
      <c r="AN55" s="766">
        <v>27</v>
      </c>
      <c r="AO55" s="766">
        <v>27.16</v>
      </c>
      <c r="AP55" s="766">
        <v>27.33</v>
      </c>
      <c r="AQ55" s="766">
        <v>27.5</v>
      </c>
      <c r="AR55" s="766">
        <v>27.71</v>
      </c>
      <c r="AS55" s="766">
        <v>27.76</v>
      </c>
      <c r="AT55" s="766">
        <v>27.84</v>
      </c>
      <c r="AU55" s="766">
        <v>27.93</v>
      </c>
      <c r="AV55" s="766">
        <v>28</v>
      </c>
      <c r="AW55" s="766">
        <v>28.23</v>
      </c>
      <c r="AX55" s="766">
        <v>28.33</v>
      </c>
      <c r="AY55" s="766">
        <v>28.43</v>
      </c>
      <c r="AZ55" s="766">
        <v>28.53</v>
      </c>
      <c r="BA55" s="766">
        <v>28.62</v>
      </c>
      <c r="BB55" s="766">
        <v>28.75</v>
      </c>
      <c r="BC55" s="766">
        <v>28.88</v>
      </c>
      <c r="BD55" s="766">
        <v>29.03</v>
      </c>
      <c r="BE55" s="766">
        <v>29.18</v>
      </c>
      <c r="BF55" s="766">
        <v>29.34</v>
      </c>
      <c r="BG55" s="766">
        <v>29.49</v>
      </c>
      <c r="BH55" s="766">
        <v>29.68</v>
      </c>
      <c r="BI55" s="766">
        <v>29.83</v>
      </c>
      <c r="BJ55" s="766">
        <v>30</v>
      </c>
      <c r="BK55" s="766">
        <v>30.16</v>
      </c>
      <c r="BL55" s="766">
        <v>30.35</v>
      </c>
      <c r="BM55" s="766">
        <v>30.51</v>
      </c>
      <c r="BN55" s="766">
        <v>30.68</v>
      </c>
      <c r="BO55" s="766">
        <v>30.84</v>
      </c>
      <c r="BP55" s="766">
        <v>31</v>
      </c>
      <c r="BQ55" s="766">
        <v>31.16</v>
      </c>
      <c r="BR55" s="766">
        <v>31.32</v>
      </c>
      <c r="BS55" s="766">
        <v>31.48</v>
      </c>
      <c r="BT55" s="888">
        <v>31.64</v>
      </c>
      <c r="BU55" s="766">
        <v>31.79</v>
      </c>
      <c r="BV55" s="766">
        <v>31.95</v>
      </c>
      <c r="BW55" s="766">
        <v>32.1</v>
      </c>
      <c r="BX55" s="766">
        <v>32.25</v>
      </c>
      <c r="BY55" s="766">
        <v>32.409999999999997</v>
      </c>
      <c r="BZ55" s="766">
        <v>32.56</v>
      </c>
      <c r="CA55" s="766">
        <v>32.71</v>
      </c>
      <c r="CB55" s="766">
        <v>32.86</v>
      </c>
      <c r="CC55" s="766">
        <v>33.01</v>
      </c>
      <c r="CD55" s="766">
        <v>33.159999999999997</v>
      </c>
      <c r="CE55" s="766">
        <v>33.299999999999997</v>
      </c>
      <c r="CF55" s="766">
        <v>33.450000000000003</v>
      </c>
      <c r="CG55" s="766">
        <v>33.6</v>
      </c>
      <c r="CH55" s="766">
        <v>33.74</v>
      </c>
      <c r="CI55" s="766">
        <v>33.89</v>
      </c>
      <c r="CJ55" s="766">
        <v>34.03</v>
      </c>
      <c r="CK55" s="766">
        <v>34.17</v>
      </c>
      <c r="CL55" s="766">
        <v>34.31</v>
      </c>
      <c r="CM55" s="766">
        <v>34.450000000000003</v>
      </c>
      <c r="CN55" s="766">
        <v>34.590000000000003</v>
      </c>
      <c r="CO55" s="766">
        <v>34.729999999999997</v>
      </c>
      <c r="CP55" s="766">
        <v>34.869999999999997</v>
      </c>
      <c r="CQ55" s="766">
        <v>35.01</v>
      </c>
      <c r="CR55" s="766">
        <v>35.14</v>
      </c>
      <c r="CS55" s="766">
        <v>35.28</v>
      </c>
      <c r="CT55" s="766">
        <v>35.409999999999997</v>
      </c>
      <c r="CU55" s="766">
        <v>35.549999999999997</v>
      </c>
      <c r="CV55" s="766">
        <v>35.68</v>
      </c>
      <c r="CW55" s="766">
        <v>35.81</v>
      </c>
      <c r="CX55" s="766">
        <v>35.94</v>
      </c>
      <c r="CY55" s="766">
        <v>36.07</v>
      </c>
      <c r="CZ55" s="766">
        <v>36.200000000000003</v>
      </c>
      <c r="DA55" s="766">
        <v>36.33</v>
      </c>
      <c r="DB55" s="766">
        <v>36.46</v>
      </c>
      <c r="DC55" s="766">
        <v>36.58</v>
      </c>
      <c r="DD55" s="766">
        <v>36.71</v>
      </c>
      <c r="DE55" s="766">
        <v>36.840000000000003</v>
      </c>
      <c r="DF55" s="766">
        <v>36.96</v>
      </c>
      <c r="DG55" s="766">
        <v>37.08</v>
      </c>
      <c r="DH55" s="766">
        <v>37.200000000000003</v>
      </c>
      <c r="DI55" s="766">
        <v>37.33</v>
      </c>
      <c r="DJ55" s="766">
        <v>37.450000000000003</v>
      </c>
      <c r="DK55" s="766">
        <v>37.57</v>
      </c>
      <c r="DL55" s="766">
        <v>37.68</v>
      </c>
      <c r="DM55" s="766">
        <v>37.799999999999997</v>
      </c>
      <c r="DN55" s="766">
        <v>37.92</v>
      </c>
      <c r="DO55" s="766">
        <v>38.03</v>
      </c>
      <c r="DP55" s="766">
        <v>38.15</v>
      </c>
      <c r="DQ55" s="766">
        <v>38.26</v>
      </c>
      <c r="DR55" s="766">
        <v>38.380000000000003</v>
      </c>
    </row>
    <row r="56" spans="1:122">
      <c r="A56" s="944">
        <v>54</v>
      </c>
      <c r="B56" s="96"/>
      <c r="C56" s="96"/>
      <c r="D56" s="96"/>
      <c r="E56" s="96"/>
      <c r="F56" s="96"/>
      <c r="G56" s="96"/>
      <c r="H56" s="96"/>
      <c r="I56" s="96"/>
      <c r="J56" s="96"/>
      <c r="K56" s="96"/>
      <c r="L56" s="96"/>
      <c r="M56" s="96"/>
      <c r="N56" s="96"/>
      <c r="O56" s="96"/>
      <c r="P56" s="96"/>
      <c r="Q56" s="96"/>
      <c r="R56" s="96"/>
      <c r="S56" s="96"/>
      <c r="T56" s="96"/>
      <c r="U56" s="96"/>
      <c r="V56" s="766"/>
      <c r="W56" s="766">
        <v>22.67</v>
      </c>
      <c r="X56" s="766">
        <v>22.91</v>
      </c>
      <c r="Y56" s="766">
        <v>23.02</v>
      </c>
      <c r="Z56" s="766">
        <v>23.26</v>
      </c>
      <c r="AA56" s="766">
        <v>23.46</v>
      </c>
      <c r="AB56" s="766">
        <v>23.64</v>
      </c>
      <c r="AC56" s="766">
        <v>23.67</v>
      </c>
      <c r="AD56" s="766">
        <v>23.64</v>
      </c>
      <c r="AE56" s="766">
        <v>23.76</v>
      </c>
      <c r="AF56" s="766">
        <v>24</v>
      </c>
      <c r="AG56" s="766">
        <v>24.25</v>
      </c>
      <c r="AH56" s="766">
        <v>24.53</v>
      </c>
      <c r="AI56" s="766">
        <v>24.79</v>
      </c>
      <c r="AJ56" s="766">
        <v>25.07</v>
      </c>
      <c r="AK56" s="766">
        <v>25.36</v>
      </c>
      <c r="AL56" s="766">
        <v>25.69</v>
      </c>
      <c r="AM56" s="766">
        <v>26</v>
      </c>
      <c r="AN56" s="766">
        <v>26.21</v>
      </c>
      <c r="AO56" s="766">
        <v>26.37</v>
      </c>
      <c r="AP56" s="766">
        <v>26.54</v>
      </c>
      <c r="AQ56" s="766">
        <v>26.7</v>
      </c>
      <c r="AR56" s="766">
        <v>26.91</v>
      </c>
      <c r="AS56" s="766">
        <v>26.95</v>
      </c>
      <c r="AT56" s="766">
        <v>27.03</v>
      </c>
      <c r="AU56" s="766">
        <v>27.11</v>
      </c>
      <c r="AV56" s="766">
        <v>27.19</v>
      </c>
      <c r="AW56" s="766">
        <v>27.4</v>
      </c>
      <c r="AX56" s="766">
        <v>27.5</v>
      </c>
      <c r="AY56" s="766">
        <v>27.61</v>
      </c>
      <c r="AZ56" s="766">
        <v>27.71</v>
      </c>
      <c r="BA56" s="766">
        <v>27.8</v>
      </c>
      <c r="BB56" s="766">
        <v>27.92</v>
      </c>
      <c r="BC56" s="766">
        <v>28.05</v>
      </c>
      <c r="BD56" s="766">
        <v>28.19</v>
      </c>
      <c r="BE56" s="766">
        <v>28.34</v>
      </c>
      <c r="BF56" s="766">
        <v>28.5</v>
      </c>
      <c r="BG56" s="766">
        <v>28.66</v>
      </c>
      <c r="BH56" s="766">
        <v>28.83</v>
      </c>
      <c r="BI56" s="766">
        <v>28.98</v>
      </c>
      <c r="BJ56" s="766">
        <v>29.16</v>
      </c>
      <c r="BK56" s="766">
        <v>29.31</v>
      </c>
      <c r="BL56" s="766">
        <v>29.5</v>
      </c>
      <c r="BM56" s="766">
        <v>29.65</v>
      </c>
      <c r="BN56" s="766">
        <v>29.82</v>
      </c>
      <c r="BO56" s="766">
        <v>29.98</v>
      </c>
      <c r="BP56" s="766">
        <v>30.14</v>
      </c>
      <c r="BQ56" s="766">
        <v>30.29</v>
      </c>
      <c r="BR56" s="766">
        <v>30.45</v>
      </c>
      <c r="BS56" s="766">
        <v>30.61</v>
      </c>
      <c r="BT56" s="888">
        <v>30.76</v>
      </c>
      <c r="BU56" s="766">
        <v>30.92</v>
      </c>
      <c r="BV56" s="766">
        <v>31.07</v>
      </c>
      <c r="BW56" s="766">
        <v>31.22</v>
      </c>
      <c r="BX56" s="766">
        <v>31.37</v>
      </c>
      <c r="BY56" s="766">
        <v>31.53</v>
      </c>
      <c r="BZ56" s="766">
        <v>31.68</v>
      </c>
      <c r="CA56" s="766">
        <v>31.82</v>
      </c>
      <c r="CB56" s="766">
        <v>31.97</v>
      </c>
      <c r="CC56" s="766">
        <v>32.119999999999997</v>
      </c>
      <c r="CD56" s="766">
        <v>32.270000000000003</v>
      </c>
      <c r="CE56" s="766">
        <v>32.409999999999997</v>
      </c>
      <c r="CF56" s="766">
        <v>32.56</v>
      </c>
      <c r="CG56" s="766">
        <v>32.700000000000003</v>
      </c>
      <c r="CH56" s="766">
        <v>32.85</v>
      </c>
      <c r="CI56" s="766">
        <v>32.99</v>
      </c>
      <c r="CJ56" s="766">
        <v>33.130000000000003</v>
      </c>
      <c r="CK56" s="766">
        <v>33.270000000000003</v>
      </c>
      <c r="CL56" s="766">
        <v>33.409999999999997</v>
      </c>
      <c r="CM56" s="766">
        <v>33.549999999999997</v>
      </c>
      <c r="CN56" s="766">
        <v>33.69</v>
      </c>
      <c r="CO56" s="766">
        <v>33.83</v>
      </c>
      <c r="CP56" s="766">
        <v>33.96</v>
      </c>
      <c r="CQ56" s="766">
        <v>34.1</v>
      </c>
      <c r="CR56" s="766">
        <v>34.229999999999997</v>
      </c>
      <c r="CS56" s="766">
        <v>34.369999999999997</v>
      </c>
      <c r="CT56" s="766">
        <v>34.5</v>
      </c>
      <c r="CU56" s="766">
        <v>34.630000000000003</v>
      </c>
      <c r="CV56" s="766">
        <v>34.76</v>
      </c>
      <c r="CW56" s="766">
        <v>34.89</v>
      </c>
      <c r="CX56" s="766">
        <v>35.020000000000003</v>
      </c>
      <c r="CY56" s="766">
        <v>35.15</v>
      </c>
      <c r="CZ56" s="766">
        <v>35.28</v>
      </c>
      <c r="DA56" s="766">
        <v>35.409999999999997</v>
      </c>
      <c r="DB56" s="766">
        <v>35.53</v>
      </c>
      <c r="DC56" s="766">
        <v>35.659999999999997</v>
      </c>
      <c r="DD56" s="766">
        <v>35.78</v>
      </c>
      <c r="DE56" s="766">
        <v>35.909999999999997</v>
      </c>
      <c r="DF56" s="766">
        <v>36.03</v>
      </c>
      <c r="DG56" s="766">
        <v>36.15</v>
      </c>
      <c r="DH56" s="766">
        <v>36.270000000000003</v>
      </c>
      <c r="DI56" s="766">
        <v>36.39</v>
      </c>
      <c r="DJ56" s="766">
        <v>36.51</v>
      </c>
      <c r="DK56" s="766">
        <v>36.630000000000003</v>
      </c>
      <c r="DL56" s="766">
        <v>36.75</v>
      </c>
      <c r="DM56" s="766">
        <v>36.869999999999997</v>
      </c>
      <c r="DN56" s="766">
        <v>36.979999999999997</v>
      </c>
      <c r="DO56" s="766">
        <v>37.1</v>
      </c>
      <c r="DP56" s="766">
        <v>37.21</v>
      </c>
      <c r="DQ56" s="766">
        <v>37.32</v>
      </c>
      <c r="DR56" s="766">
        <v>37.44</v>
      </c>
    </row>
    <row r="57" spans="1:122">
      <c r="A57" s="944">
        <v>55</v>
      </c>
      <c r="B57" s="96"/>
      <c r="C57" s="96"/>
      <c r="D57" s="96"/>
      <c r="E57" s="96"/>
      <c r="F57" s="96"/>
      <c r="G57" s="96"/>
      <c r="H57" s="96"/>
      <c r="I57" s="96"/>
      <c r="J57" s="96"/>
      <c r="K57" s="96"/>
      <c r="L57" s="96"/>
      <c r="M57" s="96"/>
      <c r="N57" s="96"/>
      <c r="O57" s="96"/>
      <c r="P57" s="96"/>
      <c r="Q57" s="96"/>
      <c r="R57" s="96"/>
      <c r="S57" s="96"/>
      <c r="T57" s="96"/>
      <c r="U57" s="96"/>
      <c r="V57" s="766"/>
      <c r="W57" s="766">
        <v>21.91</v>
      </c>
      <c r="X57" s="766">
        <v>22.15</v>
      </c>
      <c r="Y57" s="766">
        <v>22.25</v>
      </c>
      <c r="Z57" s="766">
        <v>22.5</v>
      </c>
      <c r="AA57" s="766">
        <v>22.69</v>
      </c>
      <c r="AB57" s="766">
        <v>22.88</v>
      </c>
      <c r="AC57" s="766">
        <v>22.9</v>
      </c>
      <c r="AD57" s="766">
        <v>22.88</v>
      </c>
      <c r="AE57" s="766">
        <v>23.01</v>
      </c>
      <c r="AF57" s="766">
        <v>23.24</v>
      </c>
      <c r="AG57" s="766">
        <v>23.5</v>
      </c>
      <c r="AH57" s="766">
        <v>23.77</v>
      </c>
      <c r="AI57" s="766">
        <v>24.03</v>
      </c>
      <c r="AJ57" s="766">
        <v>24.29</v>
      </c>
      <c r="AK57" s="766">
        <v>24.59</v>
      </c>
      <c r="AL57" s="766">
        <v>24.91</v>
      </c>
      <c r="AM57" s="766">
        <v>25.22</v>
      </c>
      <c r="AN57" s="766">
        <v>25.43</v>
      </c>
      <c r="AO57" s="766">
        <v>25.59</v>
      </c>
      <c r="AP57" s="766">
        <v>25.75</v>
      </c>
      <c r="AQ57" s="766">
        <v>25.92</v>
      </c>
      <c r="AR57" s="766">
        <v>26.11</v>
      </c>
      <c r="AS57" s="766">
        <v>26.15</v>
      </c>
      <c r="AT57" s="766">
        <v>26.23</v>
      </c>
      <c r="AU57" s="766">
        <v>26.31</v>
      </c>
      <c r="AV57" s="766">
        <v>26.38</v>
      </c>
      <c r="AW57" s="766">
        <v>26.59</v>
      </c>
      <c r="AX57" s="766">
        <v>26.69</v>
      </c>
      <c r="AY57" s="766">
        <v>26.79</v>
      </c>
      <c r="AZ57" s="766">
        <v>26.89</v>
      </c>
      <c r="BA57" s="766">
        <v>26.98</v>
      </c>
      <c r="BB57" s="766">
        <v>27.09</v>
      </c>
      <c r="BC57" s="766">
        <v>27.23</v>
      </c>
      <c r="BD57" s="766">
        <v>27.37</v>
      </c>
      <c r="BE57" s="766">
        <v>27.52</v>
      </c>
      <c r="BF57" s="766">
        <v>27.68</v>
      </c>
      <c r="BG57" s="766">
        <v>27.83</v>
      </c>
      <c r="BH57" s="766">
        <v>28.01</v>
      </c>
      <c r="BI57" s="766">
        <v>28.15</v>
      </c>
      <c r="BJ57" s="766">
        <v>28.32</v>
      </c>
      <c r="BK57" s="766">
        <v>28.48</v>
      </c>
      <c r="BL57" s="766">
        <v>28.65</v>
      </c>
      <c r="BM57" s="766">
        <v>28.81</v>
      </c>
      <c r="BN57" s="766">
        <v>28.97</v>
      </c>
      <c r="BO57" s="766">
        <v>29.12</v>
      </c>
      <c r="BP57" s="766">
        <v>29.28</v>
      </c>
      <c r="BQ57" s="766">
        <v>29.44</v>
      </c>
      <c r="BR57" s="766">
        <v>29.59</v>
      </c>
      <c r="BS57" s="766">
        <v>29.74</v>
      </c>
      <c r="BT57" s="888">
        <v>29.9</v>
      </c>
      <c r="BU57" s="766">
        <v>30.05</v>
      </c>
      <c r="BV57" s="766">
        <v>30.2</v>
      </c>
      <c r="BW57" s="766">
        <v>30.35</v>
      </c>
      <c r="BX57" s="766">
        <v>30.5</v>
      </c>
      <c r="BY57" s="766">
        <v>30.65</v>
      </c>
      <c r="BZ57" s="766">
        <v>30.8</v>
      </c>
      <c r="CA57" s="766">
        <v>30.95</v>
      </c>
      <c r="CB57" s="766">
        <v>31.09</v>
      </c>
      <c r="CC57" s="766">
        <v>31.24</v>
      </c>
      <c r="CD57" s="766">
        <v>31.38</v>
      </c>
      <c r="CE57" s="766">
        <v>31.53</v>
      </c>
      <c r="CF57" s="766">
        <v>31.67</v>
      </c>
      <c r="CG57" s="766">
        <v>31.81</v>
      </c>
      <c r="CH57" s="766">
        <v>31.96</v>
      </c>
      <c r="CI57" s="766">
        <v>32.1</v>
      </c>
      <c r="CJ57" s="766">
        <v>32.24</v>
      </c>
      <c r="CK57" s="766">
        <v>32.380000000000003</v>
      </c>
      <c r="CL57" s="766">
        <v>32.520000000000003</v>
      </c>
      <c r="CM57" s="766">
        <v>32.65</v>
      </c>
      <c r="CN57" s="766">
        <v>32.79</v>
      </c>
      <c r="CO57" s="766">
        <v>32.93</v>
      </c>
      <c r="CP57" s="766">
        <v>33.06</v>
      </c>
      <c r="CQ57" s="766">
        <v>33.19</v>
      </c>
      <c r="CR57" s="766">
        <v>33.33</v>
      </c>
      <c r="CS57" s="766">
        <v>33.46</v>
      </c>
      <c r="CT57" s="766">
        <v>33.590000000000003</v>
      </c>
      <c r="CU57" s="766">
        <v>33.72</v>
      </c>
      <c r="CV57" s="766">
        <v>33.85</v>
      </c>
      <c r="CW57" s="766">
        <v>33.979999999999997</v>
      </c>
      <c r="CX57" s="766">
        <v>34.11</v>
      </c>
      <c r="CY57" s="766">
        <v>34.24</v>
      </c>
      <c r="CZ57" s="766">
        <v>34.369999999999997</v>
      </c>
      <c r="DA57" s="766">
        <v>34.49</v>
      </c>
      <c r="DB57" s="766">
        <v>34.619999999999997</v>
      </c>
      <c r="DC57" s="766">
        <v>34.74</v>
      </c>
      <c r="DD57" s="766">
        <v>34.86</v>
      </c>
      <c r="DE57" s="766">
        <v>34.99</v>
      </c>
      <c r="DF57" s="766">
        <v>35.11</v>
      </c>
      <c r="DG57" s="766">
        <v>35.229999999999997</v>
      </c>
      <c r="DH57" s="766">
        <v>35.35</v>
      </c>
      <c r="DI57" s="766">
        <v>35.47</v>
      </c>
      <c r="DJ57" s="766">
        <v>35.58</v>
      </c>
      <c r="DK57" s="766">
        <v>35.700000000000003</v>
      </c>
      <c r="DL57" s="766">
        <v>35.82</v>
      </c>
      <c r="DM57" s="766">
        <v>35.93</v>
      </c>
      <c r="DN57" s="766">
        <v>36.049999999999997</v>
      </c>
      <c r="DO57" s="766">
        <v>36.159999999999997</v>
      </c>
      <c r="DP57" s="766">
        <v>36.28</v>
      </c>
      <c r="DQ57" s="766">
        <v>36.39</v>
      </c>
      <c r="DR57" s="766">
        <v>36.5</v>
      </c>
    </row>
    <row r="58" spans="1:122">
      <c r="A58" s="944">
        <v>56</v>
      </c>
      <c r="B58" s="96"/>
      <c r="C58" s="96"/>
      <c r="D58" s="96"/>
      <c r="E58" s="96"/>
      <c r="F58" s="96"/>
      <c r="G58" s="96"/>
      <c r="H58" s="96"/>
      <c r="I58" s="96"/>
      <c r="J58" s="96"/>
      <c r="K58" s="96"/>
      <c r="L58" s="96"/>
      <c r="M58" s="96"/>
      <c r="N58" s="96"/>
      <c r="O58" s="96"/>
      <c r="P58" s="96"/>
      <c r="Q58" s="96"/>
      <c r="R58" s="96"/>
      <c r="S58" s="96"/>
      <c r="T58" s="96"/>
      <c r="U58" s="96"/>
      <c r="V58" s="766"/>
      <c r="W58" s="766">
        <v>21.16</v>
      </c>
      <c r="X58" s="766">
        <v>21.4</v>
      </c>
      <c r="Y58" s="766">
        <v>21.5</v>
      </c>
      <c r="Z58" s="766">
        <v>21.75</v>
      </c>
      <c r="AA58" s="766">
        <v>21.94</v>
      </c>
      <c r="AB58" s="766">
        <v>22.13</v>
      </c>
      <c r="AC58" s="766">
        <v>22.16</v>
      </c>
      <c r="AD58" s="766">
        <v>22.14</v>
      </c>
      <c r="AE58" s="766">
        <v>22.27</v>
      </c>
      <c r="AF58" s="766">
        <v>22.49</v>
      </c>
      <c r="AG58" s="766">
        <v>22.75</v>
      </c>
      <c r="AH58" s="766">
        <v>23.02</v>
      </c>
      <c r="AI58" s="766">
        <v>23.27</v>
      </c>
      <c r="AJ58" s="766">
        <v>23.54</v>
      </c>
      <c r="AK58" s="766">
        <v>23.84</v>
      </c>
      <c r="AL58" s="766">
        <v>24.15</v>
      </c>
      <c r="AM58" s="766">
        <v>24.45</v>
      </c>
      <c r="AN58" s="766">
        <v>24.66</v>
      </c>
      <c r="AO58" s="766">
        <v>24.81</v>
      </c>
      <c r="AP58" s="766">
        <v>24.98</v>
      </c>
      <c r="AQ58" s="766">
        <v>25.13</v>
      </c>
      <c r="AR58" s="766">
        <v>25.31</v>
      </c>
      <c r="AS58" s="766">
        <v>25.35</v>
      </c>
      <c r="AT58" s="766">
        <v>25.44</v>
      </c>
      <c r="AU58" s="766">
        <v>25.51</v>
      </c>
      <c r="AV58" s="766">
        <v>25.58</v>
      </c>
      <c r="AW58" s="766">
        <v>25.79</v>
      </c>
      <c r="AX58" s="766">
        <v>25.88</v>
      </c>
      <c r="AY58" s="766">
        <v>25.98</v>
      </c>
      <c r="AZ58" s="766">
        <v>26.08</v>
      </c>
      <c r="BA58" s="766">
        <v>26.17</v>
      </c>
      <c r="BB58" s="766">
        <v>26.27</v>
      </c>
      <c r="BC58" s="766">
        <v>26.41</v>
      </c>
      <c r="BD58" s="766">
        <v>26.56</v>
      </c>
      <c r="BE58" s="766">
        <v>26.71</v>
      </c>
      <c r="BF58" s="766">
        <v>26.86</v>
      </c>
      <c r="BG58" s="766">
        <v>27.01</v>
      </c>
      <c r="BH58" s="766">
        <v>27.18</v>
      </c>
      <c r="BI58" s="766">
        <v>27.32</v>
      </c>
      <c r="BJ58" s="766">
        <v>27.5</v>
      </c>
      <c r="BK58" s="766">
        <v>27.64</v>
      </c>
      <c r="BL58" s="766">
        <v>27.82</v>
      </c>
      <c r="BM58" s="766">
        <v>27.97</v>
      </c>
      <c r="BN58" s="766">
        <v>28.12</v>
      </c>
      <c r="BO58" s="766">
        <v>28.28</v>
      </c>
      <c r="BP58" s="766">
        <v>28.43</v>
      </c>
      <c r="BQ58" s="766">
        <v>28.59</v>
      </c>
      <c r="BR58" s="766">
        <v>28.74</v>
      </c>
      <c r="BS58" s="766">
        <v>28.89</v>
      </c>
      <c r="BT58" s="888">
        <v>29.04</v>
      </c>
      <c r="BU58" s="766">
        <v>29.19</v>
      </c>
      <c r="BV58" s="766">
        <v>29.34</v>
      </c>
      <c r="BW58" s="766">
        <v>29.49</v>
      </c>
      <c r="BX58" s="766">
        <v>29.64</v>
      </c>
      <c r="BY58" s="766">
        <v>29.79</v>
      </c>
      <c r="BZ58" s="766">
        <v>29.93</v>
      </c>
      <c r="CA58" s="766">
        <v>30.08</v>
      </c>
      <c r="CB58" s="766">
        <v>30.22</v>
      </c>
      <c r="CC58" s="766">
        <v>30.37</v>
      </c>
      <c r="CD58" s="766">
        <v>30.51</v>
      </c>
      <c r="CE58" s="766">
        <v>30.65</v>
      </c>
      <c r="CF58" s="766">
        <v>30.79</v>
      </c>
      <c r="CG58" s="766">
        <v>30.93</v>
      </c>
      <c r="CH58" s="766">
        <v>31.07</v>
      </c>
      <c r="CI58" s="766">
        <v>31.21</v>
      </c>
      <c r="CJ58" s="766">
        <v>31.35</v>
      </c>
      <c r="CK58" s="766">
        <v>31.49</v>
      </c>
      <c r="CL58" s="766">
        <v>31.63</v>
      </c>
      <c r="CM58" s="766">
        <v>31.76</v>
      </c>
      <c r="CN58" s="766">
        <v>31.9</v>
      </c>
      <c r="CO58" s="766">
        <v>32.03</v>
      </c>
      <c r="CP58" s="766">
        <v>32.17</v>
      </c>
      <c r="CQ58" s="766">
        <v>32.299999999999997</v>
      </c>
      <c r="CR58" s="766">
        <v>32.43</v>
      </c>
      <c r="CS58" s="766">
        <v>32.56</v>
      </c>
      <c r="CT58" s="766">
        <v>32.69</v>
      </c>
      <c r="CU58" s="766">
        <v>32.82</v>
      </c>
      <c r="CV58" s="766">
        <v>32.950000000000003</v>
      </c>
      <c r="CW58" s="766">
        <v>33.08</v>
      </c>
      <c r="CX58" s="766">
        <v>33.200000000000003</v>
      </c>
      <c r="CY58" s="766">
        <v>33.33</v>
      </c>
      <c r="CZ58" s="766">
        <v>33.46</v>
      </c>
      <c r="DA58" s="766">
        <v>33.58</v>
      </c>
      <c r="DB58" s="766">
        <v>33.700000000000003</v>
      </c>
      <c r="DC58" s="766">
        <v>33.83</v>
      </c>
      <c r="DD58" s="766">
        <v>33.950000000000003</v>
      </c>
      <c r="DE58" s="766">
        <v>34.07</v>
      </c>
      <c r="DF58" s="766">
        <v>34.19</v>
      </c>
      <c r="DG58" s="766">
        <v>34.31</v>
      </c>
      <c r="DH58" s="766">
        <v>34.43</v>
      </c>
      <c r="DI58" s="766">
        <v>34.549999999999997</v>
      </c>
      <c r="DJ58" s="766">
        <v>34.659999999999997</v>
      </c>
      <c r="DK58" s="766">
        <v>34.78</v>
      </c>
      <c r="DL58" s="766">
        <v>34.89</v>
      </c>
      <c r="DM58" s="766">
        <v>35.01</v>
      </c>
      <c r="DN58" s="766">
        <v>35.119999999999997</v>
      </c>
      <c r="DO58" s="766">
        <v>35.229999999999997</v>
      </c>
      <c r="DP58" s="766">
        <v>35.35</v>
      </c>
      <c r="DQ58" s="766">
        <v>35.46</v>
      </c>
      <c r="DR58" s="766">
        <v>35.57</v>
      </c>
    </row>
    <row r="59" spans="1:122">
      <c r="A59" s="944">
        <v>57</v>
      </c>
      <c r="B59" s="96"/>
      <c r="C59" s="96"/>
      <c r="D59" s="96"/>
      <c r="E59" s="96"/>
      <c r="F59" s="96"/>
      <c r="G59" s="96"/>
      <c r="H59" s="96"/>
      <c r="I59" s="96"/>
      <c r="J59" s="96"/>
      <c r="K59" s="96"/>
      <c r="L59" s="96"/>
      <c r="M59" s="96"/>
      <c r="N59" s="96"/>
      <c r="O59" s="96"/>
      <c r="P59" s="96"/>
      <c r="Q59" s="96"/>
      <c r="R59" s="96"/>
      <c r="S59" s="96"/>
      <c r="T59" s="96"/>
      <c r="U59" s="96"/>
      <c r="V59" s="766"/>
      <c r="W59" s="766">
        <v>20.43</v>
      </c>
      <c r="X59" s="766">
        <v>20.66</v>
      </c>
      <c r="Y59" s="766">
        <v>20.77</v>
      </c>
      <c r="Z59" s="766">
        <v>21.02</v>
      </c>
      <c r="AA59" s="766">
        <v>21.2</v>
      </c>
      <c r="AB59" s="766">
        <v>21.4</v>
      </c>
      <c r="AC59" s="766">
        <v>21.42</v>
      </c>
      <c r="AD59" s="766">
        <v>21.41</v>
      </c>
      <c r="AE59" s="766">
        <v>21.54</v>
      </c>
      <c r="AF59" s="766">
        <v>21.76</v>
      </c>
      <c r="AG59" s="766">
        <v>22.01</v>
      </c>
      <c r="AH59" s="766">
        <v>22.28</v>
      </c>
      <c r="AI59" s="766">
        <v>22.54</v>
      </c>
      <c r="AJ59" s="766">
        <v>22.81</v>
      </c>
      <c r="AK59" s="766">
        <v>23.09</v>
      </c>
      <c r="AL59" s="766">
        <v>23.4</v>
      </c>
      <c r="AM59" s="766">
        <v>23.69</v>
      </c>
      <c r="AN59" s="766">
        <v>23.89</v>
      </c>
      <c r="AO59" s="766">
        <v>24.05</v>
      </c>
      <c r="AP59" s="766">
        <v>24.2</v>
      </c>
      <c r="AQ59" s="766">
        <v>24.35</v>
      </c>
      <c r="AR59" s="766">
        <v>24.52</v>
      </c>
      <c r="AS59" s="766">
        <v>24.57</v>
      </c>
      <c r="AT59" s="766">
        <v>24.64</v>
      </c>
      <c r="AU59" s="766">
        <v>24.72</v>
      </c>
      <c r="AV59" s="766">
        <v>24.79</v>
      </c>
      <c r="AW59" s="766">
        <v>24.98</v>
      </c>
      <c r="AX59" s="766">
        <v>25.08</v>
      </c>
      <c r="AY59" s="766">
        <v>25.18</v>
      </c>
      <c r="AZ59" s="766">
        <v>25.28</v>
      </c>
      <c r="BA59" s="766">
        <v>25.37</v>
      </c>
      <c r="BB59" s="766">
        <v>25.47</v>
      </c>
      <c r="BC59" s="766">
        <v>25.6</v>
      </c>
      <c r="BD59" s="766">
        <v>25.75</v>
      </c>
      <c r="BE59" s="766">
        <v>25.89</v>
      </c>
      <c r="BF59" s="766">
        <v>26.05</v>
      </c>
      <c r="BG59" s="766">
        <v>26.19</v>
      </c>
      <c r="BH59" s="766">
        <v>26.36</v>
      </c>
      <c r="BI59" s="766">
        <v>26.51</v>
      </c>
      <c r="BJ59" s="766">
        <v>26.68</v>
      </c>
      <c r="BK59" s="766">
        <v>26.82</v>
      </c>
      <c r="BL59" s="766">
        <v>26.98</v>
      </c>
      <c r="BM59" s="766">
        <v>27.14</v>
      </c>
      <c r="BN59" s="766">
        <v>27.29</v>
      </c>
      <c r="BO59" s="766">
        <v>27.44</v>
      </c>
      <c r="BP59" s="766">
        <v>27.6</v>
      </c>
      <c r="BQ59" s="766">
        <v>27.75</v>
      </c>
      <c r="BR59" s="766">
        <v>27.9</v>
      </c>
      <c r="BS59" s="766">
        <v>28.05</v>
      </c>
      <c r="BT59" s="888">
        <v>28.2</v>
      </c>
      <c r="BU59" s="766">
        <v>28.34</v>
      </c>
      <c r="BV59" s="766">
        <v>28.49</v>
      </c>
      <c r="BW59" s="766">
        <v>28.64</v>
      </c>
      <c r="BX59" s="766">
        <v>28.78</v>
      </c>
      <c r="BY59" s="766">
        <v>28.93</v>
      </c>
      <c r="BZ59" s="766">
        <v>29.07</v>
      </c>
      <c r="CA59" s="766">
        <v>29.22</v>
      </c>
      <c r="CB59" s="766">
        <v>29.36</v>
      </c>
      <c r="CC59" s="766">
        <v>29.5</v>
      </c>
      <c r="CD59" s="766">
        <v>29.64</v>
      </c>
      <c r="CE59" s="766">
        <v>29.78</v>
      </c>
      <c r="CF59" s="766">
        <v>29.92</v>
      </c>
      <c r="CG59" s="766">
        <v>30.06</v>
      </c>
      <c r="CH59" s="766">
        <v>30.2</v>
      </c>
      <c r="CI59" s="766">
        <v>30.34</v>
      </c>
      <c r="CJ59" s="766">
        <v>30.47</v>
      </c>
      <c r="CK59" s="766">
        <v>30.61</v>
      </c>
      <c r="CL59" s="766">
        <v>30.74</v>
      </c>
      <c r="CM59" s="766">
        <v>30.88</v>
      </c>
      <c r="CN59" s="766">
        <v>31.01</v>
      </c>
      <c r="CO59" s="766">
        <v>31.15</v>
      </c>
      <c r="CP59" s="766">
        <v>31.28</v>
      </c>
      <c r="CQ59" s="766">
        <v>31.41</v>
      </c>
      <c r="CR59" s="766">
        <v>31.54</v>
      </c>
      <c r="CS59" s="766">
        <v>31.67</v>
      </c>
      <c r="CT59" s="766">
        <v>31.8</v>
      </c>
      <c r="CU59" s="766">
        <v>31.92</v>
      </c>
      <c r="CV59" s="766">
        <v>32.049999999999997</v>
      </c>
      <c r="CW59" s="766">
        <v>32.18</v>
      </c>
      <c r="CX59" s="766">
        <v>32.299999999999997</v>
      </c>
      <c r="CY59" s="766">
        <v>32.43</v>
      </c>
      <c r="CZ59" s="766">
        <v>32.549999999999997</v>
      </c>
      <c r="DA59" s="766">
        <v>32.67</v>
      </c>
      <c r="DB59" s="766">
        <v>32.799999999999997</v>
      </c>
      <c r="DC59" s="766">
        <v>32.92</v>
      </c>
      <c r="DD59" s="766">
        <v>33.04</v>
      </c>
      <c r="DE59" s="766">
        <v>33.159999999999997</v>
      </c>
      <c r="DF59" s="766">
        <v>33.28</v>
      </c>
      <c r="DG59" s="766">
        <v>33.4</v>
      </c>
      <c r="DH59" s="766">
        <v>33.51</v>
      </c>
      <c r="DI59" s="766">
        <v>33.630000000000003</v>
      </c>
      <c r="DJ59" s="766">
        <v>33.74</v>
      </c>
      <c r="DK59" s="766">
        <v>33.86</v>
      </c>
      <c r="DL59" s="766">
        <v>33.97</v>
      </c>
      <c r="DM59" s="766">
        <v>34.090000000000003</v>
      </c>
      <c r="DN59" s="766">
        <v>34.200000000000003</v>
      </c>
      <c r="DO59" s="766">
        <v>34.31</v>
      </c>
      <c r="DP59" s="766">
        <v>34.42</v>
      </c>
      <c r="DQ59" s="766">
        <v>34.53</v>
      </c>
      <c r="DR59" s="766">
        <v>34.64</v>
      </c>
    </row>
    <row r="60" spans="1:122">
      <c r="A60" s="944">
        <v>58</v>
      </c>
      <c r="B60" s="96"/>
      <c r="C60" s="96"/>
      <c r="D60" s="96"/>
      <c r="E60" s="96"/>
      <c r="F60" s="96"/>
      <c r="G60" s="96"/>
      <c r="H60" s="96"/>
      <c r="I60" s="96"/>
      <c r="J60" s="96"/>
      <c r="K60" s="96"/>
      <c r="L60" s="96"/>
      <c r="M60" s="96"/>
      <c r="N60" s="96"/>
      <c r="O60" s="96"/>
      <c r="P60" s="96"/>
      <c r="Q60" s="96"/>
      <c r="R60" s="96"/>
      <c r="S60" s="96"/>
      <c r="T60" s="96"/>
      <c r="U60" s="96"/>
      <c r="V60" s="766"/>
      <c r="W60" s="766">
        <v>19.71</v>
      </c>
      <c r="X60" s="766">
        <v>19.940000000000001</v>
      </c>
      <c r="Y60" s="766">
        <v>20.059999999999999</v>
      </c>
      <c r="Z60" s="766">
        <v>20.29</v>
      </c>
      <c r="AA60" s="766">
        <v>20.48</v>
      </c>
      <c r="AB60" s="766">
        <v>20.67</v>
      </c>
      <c r="AC60" s="766">
        <v>20.69</v>
      </c>
      <c r="AD60" s="766">
        <v>20.68</v>
      </c>
      <c r="AE60" s="766">
        <v>20.82</v>
      </c>
      <c r="AF60" s="766">
        <v>21.04</v>
      </c>
      <c r="AG60" s="766">
        <v>21.28</v>
      </c>
      <c r="AH60" s="766">
        <v>21.55</v>
      </c>
      <c r="AI60" s="766">
        <v>21.81</v>
      </c>
      <c r="AJ60" s="766">
        <v>22.08</v>
      </c>
      <c r="AK60" s="766">
        <v>22.35</v>
      </c>
      <c r="AL60" s="766">
        <v>22.66</v>
      </c>
      <c r="AM60" s="766">
        <v>22.95</v>
      </c>
      <c r="AN60" s="766">
        <v>23.15</v>
      </c>
      <c r="AO60" s="766">
        <v>23.29</v>
      </c>
      <c r="AP60" s="766">
        <v>23.44</v>
      </c>
      <c r="AQ60" s="766">
        <v>23.57</v>
      </c>
      <c r="AR60" s="766">
        <v>23.74</v>
      </c>
      <c r="AS60" s="766">
        <v>23.79</v>
      </c>
      <c r="AT60" s="766">
        <v>23.86</v>
      </c>
      <c r="AU60" s="766">
        <v>23.94</v>
      </c>
      <c r="AV60" s="766">
        <v>24</v>
      </c>
      <c r="AW60" s="766">
        <v>24.19</v>
      </c>
      <c r="AX60" s="766">
        <v>24.28</v>
      </c>
      <c r="AY60" s="766">
        <v>24.37</v>
      </c>
      <c r="AZ60" s="766">
        <v>24.48</v>
      </c>
      <c r="BA60" s="766">
        <v>24.56</v>
      </c>
      <c r="BB60" s="766">
        <v>24.67</v>
      </c>
      <c r="BC60" s="766">
        <v>24.81</v>
      </c>
      <c r="BD60" s="766">
        <v>24.95</v>
      </c>
      <c r="BE60" s="766">
        <v>25.1</v>
      </c>
      <c r="BF60" s="766">
        <v>25.25</v>
      </c>
      <c r="BG60" s="766">
        <v>25.4</v>
      </c>
      <c r="BH60" s="766">
        <v>25.55</v>
      </c>
      <c r="BI60" s="766">
        <v>25.7</v>
      </c>
      <c r="BJ60" s="766">
        <v>25.87</v>
      </c>
      <c r="BK60" s="766">
        <v>26.01</v>
      </c>
      <c r="BL60" s="766">
        <v>26.17</v>
      </c>
      <c r="BM60" s="766">
        <v>26.32</v>
      </c>
      <c r="BN60" s="766">
        <v>26.47</v>
      </c>
      <c r="BO60" s="766">
        <v>26.62</v>
      </c>
      <c r="BP60" s="766">
        <v>26.77</v>
      </c>
      <c r="BQ60" s="766">
        <v>26.92</v>
      </c>
      <c r="BR60" s="766">
        <v>27.07</v>
      </c>
      <c r="BS60" s="766">
        <v>27.21</v>
      </c>
      <c r="BT60" s="888">
        <v>27.36</v>
      </c>
      <c r="BU60" s="766">
        <v>27.51</v>
      </c>
      <c r="BV60" s="766">
        <v>27.65</v>
      </c>
      <c r="BW60" s="766">
        <v>27.79</v>
      </c>
      <c r="BX60" s="766">
        <v>27.94</v>
      </c>
      <c r="BY60" s="766">
        <v>28.08</v>
      </c>
      <c r="BZ60" s="766">
        <v>28.22</v>
      </c>
      <c r="CA60" s="766">
        <v>28.36</v>
      </c>
      <c r="CB60" s="766">
        <v>28.51</v>
      </c>
      <c r="CC60" s="766">
        <v>28.65</v>
      </c>
      <c r="CD60" s="766">
        <v>28.78</v>
      </c>
      <c r="CE60" s="766">
        <v>28.92</v>
      </c>
      <c r="CF60" s="766">
        <v>29.06</v>
      </c>
      <c r="CG60" s="766">
        <v>29.2</v>
      </c>
      <c r="CH60" s="766">
        <v>29.33</v>
      </c>
      <c r="CI60" s="766">
        <v>29.47</v>
      </c>
      <c r="CJ60" s="766">
        <v>29.6</v>
      </c>
      <c r="CK60" s="766">
        <v>29.74</v>
      </c>
      <c r="CL60" s="766">
        <v>29.87</v>
      </c>
      <c r="CM60" s="766">
        <v>30</v>
      </c>
      <c r="CN60" s="766">
        <v>30.14</v>
      </c>
      <c r="CO60" s="766">
        <v>30.27</v>
      </c>
      <c r="CP60" s="766">
        <v>30.4</v>
      </c>
      <c r="CQ60" s="766">
        <v>30.53</v>
      </c>
      <c r="CR60" s="766">
        <v>30.65</v>
      </c>
      <c r="CS60" s="766">
        <v>30.78</v>
      </c>
      <c r="CT60" s="766">
        <v>30.91</v>
      </c>
      <c r="CU60" s="766">
        <v>31.04</v>
      </c>
      <c r="CV60" s="766">
        <v>31.16</v>
      </c>
      <c r="CW60" s="766">
        <v>31.29</v>
      </c>
      <c r="CX60" s="766">
        <v>31.41</v>
      </c>
      <c r="CY60" s="766">
        <v>31.53</v>
      </c>
      <c r="CZ60" s="766">
        <v>31.65</v>
      </c>
      <c r="DA60" s="766">
        <v>31.78</v>
      </c>
      <c r="DB60" s="766">
        <v>31.9</v>
      </c>
      <c r="DC60" s="766">
        <v>32.020000000000003</v>
      </c>
      <c r="DD60" s="766">
        <v>32.14</v>
      </c>
      <c r="DE60" s="766">
        <v>32.25</v>
      </c>
      <c r="DF60" s="766">
        <v>32.369999999999997</v>
      </c>
      <c r="DG60" s="766">
        <v>32.49</v>
      </c>
      <c r="DH60" s="766">
        <v>32.6</v>
      </c>
      <c r="DI60" s="766">
        <v>32.72</v>
      </c>
      <c r="DJ60" s="766">
        <v>32.83</v>
      </c>
      <c r="DK60" s="766">
        <v>32.950000000000003</v>
      </c>
      <c r="DL60" s="766">
        <v>33.06</v>
      </c>
      <c r="DM60" s="766">
        <v>33.17</v>
      </c>
      <c r="DN60" s="766">
        <v>33.28</v>
      </c>
      <c r="DO60" s="766">
        <v>33.39</v>
      </c>
      <c r="DP60" s="766">
        <v>33.5</v>
      </c>
      <c r="DQ60" s="766">
        <v>33.61</v>
      </c>
      <c r="DR60" s="766">
        <v>33.72</v>
      </c>
    </row>
    <row r="61" spans="1:122">
      <c r="A61" s="944">
        <v>59</v>
      </c>
      <c r="B61" s="96"/>
      <c r="C61" s="96"/>
      <c r="D61" s="96"/>
      <c r="E61" s="96"/>
      <c r="F61" s="96"/>
      <c r="G61" s="96"/>
      <c r="H61" s="96"/>
      <c r="I61" s="96"/>
      <c r="J61" s="96"/>
      <c r="K61" s="96"/>
      <c r="L61" s="96"/>
      <c r="M61" s="96"/>
      <c r="N61" s="96"/>
      <c r="O61" s="96"/>
      <c r="P61" s="96"/>
      <c r="Q61" s="96"/>
      <c r="R61" s="96"/>
      <c r="S61" s="96"/>
      <c r="T61" s="96"/>
      <c r="U61" s="96"/>
      <c r="V61" s="766"/>
      <c r="W61" s="766">
        <v>19.010000000000002</v>
      </c>
      <c r="X61" s="766">
        <v>19.239999999999998</v>
      </c>
      <c r="Y61" s="766">
        <v>19.36</v>
      </c>
      <c r="Z61" s="766">
        <v>19.579999999999998</v>
      </c>
      <c r="AA61" s="766">
        <v>19.77</v>
      </c>
      <c r="AB61" s="766">
        <v>19.96</v>
      </c>
      <c r="AC61" s="766">
        <v>19.98</v>
      </c>
      <c r="AD61" s="766">
        <v>19.98</v>
      </c>
      <c r="AE61" s="766">
        <v>20.100000000000001</v>
      </c>
      <c r="AF61" s="766">
        <v>20.32</v>
      </c>
      <c r="AG61" s="766">
        <v>20.57</v>
      </c>
      <c r="AH61" s="766">
        <v>20.84</v>
      </c>
      <c r="AI61" s="766">
        <v>21.1</v>
      </c>
      <c r="AJ61" s="766">
        <v>21.36</v>
      </c>
      <c r="AK61" s="766">
        <v>21.63</v>
      </c>
      <c r="AL61" s="766">
        <v>21.93</v>
      </c>
      <c r="AM61" s="766">
        <v>22.21</v>
      </c>
      <c r="AN61" s="766">
        <v>22.4</v>
      </c>
      <c r="AO61" s="766">
        <v>22.54</v>
      </c>
      <c r="AP61" s="766">
        <v>22.68</v>
      </c>
      <c r="AQ61" s="766">
        <v>22.8</v>
      </c>
      <c r="AR61" s="766">
        <v>22.97</v>
      </c>
      <c r="AS61" s="766">
        <v>23.02</v>
      </c>
      <c r="AT61" s="766">
        <v>23.09</v>
      </c>
      <c r="AU61" s="766">
        <v>23.16</v>
      </c>
      <c r="AV61" s="766">
        <v>23.22</v>
      </c>
      <c r="AW61" s="766">
        <v>23.41</v>
      </c>
      <c r="AX61" s="766">
        <v>23.5</v>
      </c>
      <c r="AY61" s="766">
        <v>23.58</v>
      </c>
      <c r="AZ61" s="766">
        <v>23.69</v>
      </c>
      <c r="BA61" s="766">
        <v>23.78</v>
      </c>
      <c r="BB61" s="766">
        <v>23.9</v>
      </c>
      <c r="BC61" s="766">
        <v>24.03</v>
      </c>
      <c r="BD61" s="766">
        <v>24.17</v>
      </c>
      <c r="BE61" s="766">
        <v>24.31</v>
      </c>
      <c r="BF61" s="766">
        <v>24.46</v>
      </c>
      <c r="BG61" s="766">
        <v>24.61</v>
      </c>
      <c r="BH61" s="766">
        <v>24.76</v>
      </c>
      <c r="BI61" s="766">
        <v>24.91</v>
      </c>
      <c r="BJ61" s="766">
        <v>25.06</v>
      </c>
      <c r="BK61" s="766">
        <v>25.21</v>
      </c>
      <c r="BL61" s="766">
        <v>25.36</v>
      </c>
      <c r="BM61" s="766">
        <v>25.51</v>
      </c>
      <c r="BN61" s="766">
        <v>25.66</v>
      </c>
      <c r="BO61" s="766">
        <v>25.8</v>
      </c>
      <c r="BP61" s="766">
        <v>25.95</v>
      </c>
      <c r="BQ61" s="766">
        <v>26.1</v>
      </c>
      <c r="BR61" s="766">
        <v>26.24</v>
      </c>
      <c r="BS61" s="766">
        <v>26.39</v>
      </c>
      <c r="BT61" s="888">
        <v>26.53</v>
      </c>
      <c r="BU61" s="766">
        <v>26.68</v>
      </c>
      <c r="BV61" s="766">
        <v>26.82</v>
      </c>
      <c r="BW61" s="766">
        <v>26.96</v>
      </c>
      <c r="BX61" s="766">
        <v>27.1</v>
      </c>
      <c r="BY61" s="766">
        <v>27.24</v>
      </c>
      <c r="BZ61" s="766">
        <v>27.38</v>
      </c>
      <c r="CA61" s="766">
        <v>27.52</v>
      </c>
      <c r="CB61" s="766">
        <v>27.66</v>
      </c>
      <c r="CC61" s="766">
        <v>27.8</v>
      </c>
      <c r="CD61" s="766">
        <v>27.93</v>
      </c>
      <c r="CE61" s="766">
        <v>28.07</v>
      </c>
      <c r="CF61" s="766">
        <v>28.21</v>
      </c>
      <c r="CG61" s="766">
        <v>28.34</v>
      </c>
      <c r="CH61" s="766">
        <v>28.48</v>
      </c>
      <c r="CI61" s="766">
        <v>28.61</v>
      </c>
      <c r="CJ61" s="766">
        <v>28.74</v>
      </c>
      <c r="CK61" s="766">
        <v>28.87</v>
      </c>
      <c r="CL61" s="766">
        <v>29.01</v>
      </c>
      <c r="CM61" s="766">
        <v>29.14</v>
      </c>
      <c r="CN61" s="766">
        <v>29.27</v>
      </c>
      <c r="CO61" s="766">
        <v>29.39</v>
      </c>
      <c r="CP61" s="766">
        <v>29.52</v>
      </c>
      <c r="CQ61" s="766">
        <v>29.65</v>
      </c>
      <c r="CR61" s="766">
        <v>29.78</v>
      </c>
      <c r="CS61" s="766">
        <v>29.9</v>
      </c>
      <c r="CT61" s="766">
        <v>30.03</v>
      </c>
      <c r="CU61" s="766">
        <v>30.15</v>
      </c>
      <c r="CV61" s="766">
        <v>30.28</v>
      </c>
      <c r="CW61" s="766">
        <v>30.4</v>
      </c>
      <c r="CX61" s="766">
        <v>30.52</v>
      </c>
      <c r="CY61" s="766">
        <v>30.64</v>
      </c>
      <c r="CZ61" s="766">
        <v>30.76</v>
      </c>
      <c r="DA61" s="766">
        <v>30.88</v>
      </c>
      <c r="DB61" s="766">
        <v>31</v>
      </c>
      <c r="DC61" s="766">
        <v>31.12</v>
      </c>
      <c r="DD61" s="766">
        <v>31.24</v>
      </c>
      <c r="DE61" s="766">
        <v>31.35</v>
      </c>
      <c r="DF61" s="766">
        <v>31.47</v>
      </c>
      <c r="DG61" s="766">
        <v>31.58</v>
      </c>
      <c r="DH61" s="766">
        <v>31.7</v>
      </c>
      <c r="DI61" s="766">
        <v>31.81</v>
      </c>
      <c r="DJ61" s="766">
        <v>31.93</v>
      </c>
      <c r="DK61" s="766">
        <v>32.04</v>
      </c>
      <c r="DL61" s="766">
        <v>32.15</v>
      </c>
      <c r="DM61" s="766">
        <v>32.26</v>
      </c>
      <c r="DN61" s="766">
        <v>32.369999999999997</v>
      </c>
      <c r="DO61" s="766">
        <v>32.479999999999997</v>
      </c>
      <c r="DP61" s="766">
        <v>32.590000000000003</v>
      </c>
      <c r="DQ61" s="766">
        <v>32.69</v>
      </c>
      <c r="DR61" s="766">
        <v>32.799999999999997</v>
      </c>
    </row>
    <row r="62" spans="1:122">
      <c r="A62" s="944">
        <v>60</v>
      </c>
      <c r="B62" s="96"/>
      <c r="C62" s="96"/>
      <c r="D62" s="96"/>
      <c r="E62" s="96"/>
      <c r="F62" s="96"/>
      <c r="G62" s="96"/>
      <c r="H62" s="96"/>
      <c r="I62" s="96"/>
      <c r="J62" s="96"/>
      <c r="K62" s="96"/>
      <c r="L62" s="96"/>
      <c r="M62" s="96"/>
      <c r="N62" s="96"/>
      <c r="O62" s="96"/>
      <c r="P62" s="96"/>
      <c r="Q62" s="96"/>
      <c r="R62" s="96"/>
      <c r="S62" s="96"/>
      <c r="T62" s="96"/>
      <c r="U62" s="96"/>
      <c r="V62" s="766"/>
      <c r="W62" s="766">
        <v>18.32</v>
      </c>
      <c r="X62" s="766">
        <v>18.55</v>
      </c>
      <c r="Y62" s="766">
        <v>18.670000000000002</v>
      </c>
      <c r="Z62" s="766">
        <v>18.88</v>
      </c>
      <c r="AA62" s="766">
        <v>19.07</v>
      </c>
      <c r="AB62" s="766">
        <v>19.260000000000002</v>
      </c>
      <c r="AC62" s="766">
        <v>19.28</v>
      </c>
      <c r="AD62" s="766">
        <v>19.28</v>
      </c>
      <c r="AE62" s="766">
        <v>19.399999999999999</v>
      </c>
      <c r="AF62" s="766">
        <v>19.63</v>
      </c>
      <c r="AG62" s="766">
        <v>19.88</v>
      </c>
      <c r="AH62" s="766">
        <v>20.14</v>
      </c>
      <c r="AI62" s="766">
        <v>20.399999999999999</v>
      </c>
      <c r="AJ62" s="766">
        <v>20.65</v>
      </c>
      <c r="AK62" s="766">
        <v>20.92</v>
      </c>
      <c r="AL62" s="766">
        <v>21.22</v>
      </c>
      <c r="AM62" s="766">
        <v>21.47</v>
      </c>
      <c r="AN62" s="766">
        <v>21.66</v>
      </c>
      <c r="AO62" s="766">
        <v>21.79</v>
      </c>
      <c r="AP62" s="766">
        <v>21.92</v>
      </c>
      <c r="AQ62" s="766">
        <v>22.05</v>
      </c>
      <c r="AR62" s="766">
        <v>22.21</v>
      </c>
      <c r="AS62" s="766">
        <v>22.26</v>
      </c>
      <c r="AT62" s="766">
        <v>22.33</v>
      </c>
      <c r="AU62" s="766">
        <v>22.39</v>
      </c>
      <c r="AV62" s="766">
        <v>22.45</v>
      </c>
      <c r="AW62" s="766">
        <v>22.63</v>
      </c>
      <c r="AX62" s="766">
        <v>22.72</v>
      </c>
      <c r="AY62" s="766">
        <v>22.81</v>
      </c>
      <c r="AZ62" s="766">
        <v>22.91</v>
      </c>
      <c r="BA62" s="766">
        <v>23</v>
      </c>
      <c r="BB62" s="766">
        <v>23.12</v>
      </c>
      <c r="BC62" s="766">
        <v>23.26</v>
      </c>
      <c r="BD62" s="766">
        <v>23.39</v>
      </c>
      <c r="BE62" s="766">
        <v>23.54</v>
      </c>
      <c r="BF62" s="766">
        <v>23.68</v>
      </c>
      <c r="BG62" s="766">
        <v>23.83</v>
      </c>
      <c r="BH62" s="766">
        <v>23.98</v>
      </c>
      <c r="BI62" s="766">
        <v>24.12</v>
      </c>
      <c r="BJ62" s="766">
        <v>24.27</v>
      </c>
      <c r="BK62" s="766">
        <v>24.42</v>
      </c>
      <c r="BL62" s="766">
        <v>24.56</v>
      </c>
      <c r="BM62" s="766">
        <v>24.71</v>
      </c>
      <c r="BN62" s="766">
        <v>24.86</v>
      </c>
      <c r="BO62" s="766">
        <v>25</v>
      </c>
      <c r="BP62" s="766">
        <v>25.15</v>
      </c>
      <c r="BQ62" s="766">
        <v>25.29</v>
      </c>
      <c r="BR62" s="766">
        <v>25.43</v>
      </c>
      <c r="BS62" s="766">
        <v>25.57</v>
      </c>
      <c r="BT62" s="888">
        <v>25.72</v>
      </c>
      <c r="BU62" s="766">
        <v>25.86</v>
      </c>
      <c r="BV62" s="766">
        <v>26</v>
      </c>
      <c r="BW62" s="766">
        <v>26.14</v>
      </c>
      <c r="BX62" s="766">
        <v>26.27</v>
      </c>
      <c r="BY62" s="766">
        <v>26.41</v>
      </c>
      <c r="BZ62" s="766">
        <v>26.55</v>
      </c>
      <c r="CA62" s="766">
        <v>26.69</v>
      </c>
      <c r="CB62" s="766">
        <v>26.82</v>
      </c>
      <c r="CC62" s="766">
        <v>26.96</v>
      </c>
      <c r="CD62" s="766">
        <v>27.09</v>
      </c>
      <c r="CE62" s="766">
        <v>27.23</v>
      </c>
      <c r="CF62" s="766">
        <v>27.36</v>
      </c>
      <c r="CG62" s="766">
        <v>27.49</v>
      </c>
      <c r="CH62" s="766">
        <v>27.63</v>
      </c>
      <c r="CI62" s="766">
        <v>27.76</v>
      </c>
      <c r="CJ62" s="766">
        <v>27.89</v>
      </c>
      <c r="CK62" s="766">
        <v>28.02</v>
      </c>
      <c r="CL62" s="766">
        <v>28.15</v>
      </c>
      <c r="CM62" s="766">
        <v>28.28</v>
      </c>
      <c r="CN62" s="766">
        <v>28.4</v>
      </c>
      <c r="CO62" s="766">
        <v>28.53</v>
      </c>
      <c r="CP62" s="766">
        <v>28.66</v>
      </c>
      <c r="CQ62" s="766">
        <v>28.78</v>
      </c>
      <c r="CR62" s="766">
        <v>28.91</v>
      </c>
      <c r="CS62" s="766">
        <v>29.03</v>
      </c>
      <c r="CT62" s="766">
        <v>29.15</v>
      </c>
      <c r="CU62" s="766">
        <v>29.28</v>
      </c>
      <c r="CV62" s="766">
        <v>29.4</v>
      </c>
      <c r="CW62" s="766">
        <v>29.52</v>
      </c>
      <c r="CX62" s="766">
        <v>29.64</v>
      </c>
      <c r="CY62" s="766">
        <v>29.76</v>
      </c>
      <c r="CZ62" s="766">
        <v>29.88</v>
      </c>
      <c r="DA62" s="766">
        <v>30</v>
      </c>
      <c r="DB62" s="766">
        <v>30.11</v>
      </c>
      <c r="DC62" s="766">
        <v>30.23</v>
      </c>
      <c r="DD62" s="766">
        <v>30.35</v>
      </c>
      <c r="DE62" s="766">
        <v>30.46</v>
      </c>
      <c r="DF62" s="766">
        <v>30.57</v>
      </c>
      <c r="DG62" s="766">
        <v>30.69</v>
      </c>
      <c r="DH62" s="766">
        <v>30.8</v>
      </c>
      <c r="DI62" s="766">
        <v>30.91</v>
      </c>
      <c r="DJ62" s="766">
        <v>31.02</v>
      </c>
      <c r="DK62" s="766">
        <v>31.13</v>
      </c>
      <c r="DL62" s="766">
        <v>31.24</v>
      </c>
      <c r="DM62" s="766">
        <v>31.35</v>
      </c>
      <c r="DN62" s="766">
        <v>31.46</v>
      </c>
      <c r="DO62" s="766">
        <v>31.57</v>
      </c>
      <c r="DP62" s="766">
        <v>31.68</v>
      </c>
      <c r="DQ62" s="766">
        <v>31.78</v>
      </c>
      <c r="DR62" s="766">
        <v>31.89</v>
      </c>
    </row>
    <row r="63" spans="1:122">
      <c r="A63" s="944">
        <v>61</v>
      </c>
      <c r="B63" s="96"/>
      <c r="C63" s="96"/>
      <c r="D63" s="96"/>
      <c r="E63" s="96"/>
      <c r="F63" s="96"/>
      <c r="G63" s="96"/>
      <c r="H63" s="96"/>
      <c r="I63" s="96"/>
      <c r="J63" s="96"/>
      <c r="K63" s="96"/>
      <c r="L63" s="96"/>
      <c r="M63" s="96"/>
      <c r="N63" s="96"/>
      <c r="O63" s="96"/>
      <c r="P63" s="96"/>
      <c r="Q63" s="96"/>
      <c r="R63" s="96"/>
      <c r="S63" s="96"/>
      <c r="T63" s="96"/>
      <c r="U63" s="96"/>
      <c r="V63" s="766"/>
      <c r="W63" s="766">
        <v>17.64</v>
      </c>
      <c r="X63" s="766">
        <v>17.87</v>
      </c>
      <c r="Y63" s="766">
        <v>17.989999999999998</v>
      </c>
      <c r="Z63" s="766">
        <v>18.190000000000001</v>
      </c>
      <c r="AA63" s="766">
        <v>18.38</v>
      </c>
      <c r="AB63" s="766">
        <v>18.57</v>
      </c>
      <c r="AC63" s="766">
        <v>18.579999999999998</v>
      </c>
      <c r="AD63" s="766">
        <v>18.600000000000001</v>
      </c>
      <c r="AE63" s="766">
        <v>18.72</v>
      </c>
      <c r="AF63" s="766">
        <v>18.96</v>
      </c>
      <c r="AG63" s="766">
        <v>19.2</v>
      </c>
      <c r="AH63" s="766">
        <v>19.46</v>
      </c>
      <c r="AI63" s="766">
        <v>19.71</v>
      </c>
      <c r="AJ63" s="766">
        <v>19.95</v>
      </c>
      <c r="AK63" s="766">
        <v>20.22</v>
      </c>
      <c r="AL63" s="766">
        <v>20.5</v>
      </c>
      <c r="AM63" s="766">
        <v>20.75</v>
      </c>
      <c r="AN63" s="766">
        <v>20.92</v>
      </c>
      <c r="AO63" s="766">
        <v>21.05</v>
      </c>
      <c r="AP63" s="766">
        <v>21.17</v>
      </c>
      <c r="AQ63" s="766">
        <v>21.31</v>
      </c>
      <c r="AR63" s="766">
        <v>21.45</v>
      </c>
      <c r="AS63" s="766">
        <v>21.51</v>
      </c>
      <c r="AT63" s="766">
        <v>21.57</v>
      </c>
      <c r="AU63" s="766">
        <v>21.63</v>
      </c>
      <c r="AV63" s="766">
        <v>21.69</v>
      </c>
      <c r="AW63" s="766">
        <v>21.87</v>
      </c>
      <c r="AX63" s="766">
        <v>21.96</v>
      </c>
      <c r="AY63" s="766">
        <v>22.05</v>
      </c>
      <c r="AZ63" s="766">
        <v>22.15</v>
      </c>
      <c r="BA63" s="766">
        <v>22.24</v>
      </c>
      <c r="BB63" s="766">
        <v>22.36</v>
      </c>
      <c r="BC63" s="766">
        <v>22.49</v>
      </c>
      <c r="BD63" s="766">
        <v>22.63</v>
      </c>
      <c r="BE63" s="766">
        <v>22.77</v>
      </c>
      <c r="BF63" s="766">
        <v>22.91</v>
      </c>
      <c r="BG63" s="766">
        <v>23.06</v>
      </c>
      <c r="BH63" s="766">
        <v>23.2</v>
      </c>
      <c r="BI63" s="766">
        <v>23.35</v>
      </c>
      <c r="BJ63" s="766">
        <v>23.49</v>
      </c>
      <c r="BK63" s="766">
        <v>23.64</v>
      </c>
      <c r="BL63" s="766">
        <v>23.78</v>
      </c>
      <c r="BM63" s="766">
        <v>23.92</v>
      </c>
      <c r="BN63" s="766">
        <v>24.07</v>
      </c>
      <c r="BO63" s="766">
        <v>24.21</v>
      </c>
      <c r="BP63" s="766">
        <v>24.35</v>
      </c>
      <c r="BQ63" s="766">
        <v>24.49</v>
      </c>
      <c r="BR63" s="766">
        <v>24.63</v>
      </c>
      <c r="BS63" s="766">
        <v>24.77</v>
      </c>
      <c r="BT63" s="888">
        <v>24.91</v>
      </c>
      <c r="BU63" s="766">
        <v>25.05</v>
      </c>
      <c r="BV63" s="766">
        <v>25.18</v>
      </c>
      <c r="BW63" s="766">
        <v>25.32</v>
      </c>
      <c r="BX63" s="766">
        <v>25.46</v>
      </c>
      <c r="BY63" s="766">
        <v>25.59</v>
      </c>
      <c r="BZ63" s="766">
        <v>25.73</v>
      </c>
      <c r="CA63" s="766">
        <v>25.86</v>
      </c>
      <c r="CB63" s="766">
        <v>26</v>
      </c>
      <c r="CC63" s="766">
        <v>26.13</v>
      </c>
      <c r="CD63" s="766">
        <v>26.26</v>
      </c>
      <c r="CE63" s="766">
        <v>26.39</v>
      </c>
      <c r="CF63" s="766">
        <v>26.52</v>
      </c>
      <c r="CG63" s="766">
        <v>26.65</v>
      </c>
      <c r="CH63" s="766">
        <v>26.78</v>
      </c>
      <c r="CI63" s="766">
        <v>26.91</v>
      </c>
      <c r="CJ63" s="766">
        <v>27.04</v>
      </c>
      <c r="CK63" s="766">
        <v>27.17</v>
      </c>
      <c r="CL63" s="766">
        <v>27.3</v>
      </c>
      <c r="CM63" s="766">
        <v>27.42</v>
      </c>
      <c r="CN63" s="766">
        <v>27.55</v>
      </c>
      <c r="CO63" s="766">
        <v>27.67</v>
      </c>
      <c r="CP63" s="766">
        <v>27.8</v>
      </c>
      <c r="CQ63" s="766">
        <v>27.92</v>
      </c>
      <c r="CR63" s="766">
        <v>28.04</v>
      </c>
      <c r="CS63" s="766">
        <v>28.17</v>
      </c>
      <c r="CT63" s="766">
        <v>28.29</v>
      </c>
      <c r="CU63" s="766">
        <v>28.41</v>
      </c>
      <c r="CV63" s="766">
        <v>28.53</v>
      </c>
      <c r="CW63" s="766">
        <v>28.65</v>
      </c>
      <c r="CX63" s="766">
        <v>28.76</v>
      </c>
      <c r="CY63" s="766">
        <v>28.88</v>
      </c>
      <c r="CZ63" s="766">
        <v>29</v>
      </c>
      <c r="DA63" s="766">
        <v>29.12</v>
      </c>
      <c r="DB63" s="766">
        <v>29.23</v>
      </c>
      <c r="DC63" s="766">
        <v>29.35</v>
      </c>
      <c r="DD63" s="766">
        <v>29.46</v>
      </c>
      <c r="DE63" s="766">
        <v>29.57</v>
      </c>
      <c r="DF63" s="766">
        <v>29.69</v>
      </c>
      <c r="DG63" s="766">
        <v>29.8</v>
      </c>
      <c r="DH63" s="766">
        <v>29.91</v>
      </c>
      <c r="DI63" s="766">
        <v>30.02</v>
      </c>
      <c r="DJ63" s="766">
        <v>30.13</v>
      </c>
      <c r="DK63" s="766">
        <v>30.24</v>
      </c>
      <c r="DL63" s="766">
        <v>30.35</v>
      </c>
      <c r="DM63" s="766">
        <v>30.45</v>
      </c>
      <c r="DN63" s="766">
        <v>30.56</v>
      </c>
      <c r="DO63" s="766">
        <v>30.67</v>
      </c>
      <c r="DP63" s="766">
        <v>30.77</v>
      </c>
      <c r="DQ63" s="766">
        <v>30.87</v>
      </c>
      <c r="DR63" s="766">
        <v>30.98</v>
      </c>
    </row>
    <row r="64" spans="1:122">
      <c r="A64" s="944">
        <v>62</v>
      </c>
      <c r="B64" s="96"/>
      <c r="C64" s="96"/>
      <c r="D64" s="96"/>
      <c r="E64" s="96"/>
      <c r="F64" s="96"/>
      <c r="G64" s="96"/>
      <c r="H64" s="96"/>
      <c r="I64" s="96"/>
      <c r="J64" s="96"/>
      <c r="K64" s="96"/>
      <c r="L64" s="96"/>
      <c r="M64" s="96"/>
      <c r="N64" s="96"/>
      <c r="O64" s="96"/>
      <c r="P64" s="96"/>
      <c r="Q64" s="96"/>
      <c r="R64" s="96"/>
      <c r="S64" s="96"/>
      <c r="T64" s="96"/>
      <c r="U64" s="96"/>
      <c r="V64" s="766"/>
      <c r="W64" s="766">
        <v>16.98</v>
      </c>
      <c r="X64" s="766">
        <v>17.21</v>
      </c>
      <c r="Y64" s="766">
        <v>17.329999999999998</v>
      </c>
      <c r="Z64" s="766">
        <v>17.53</v>
      </c>
      <c r="AA64" s="766">
        <v>17.71</v>
      </c>
      <c r="AB64" s="766">
        <v>17.89</v>
      </c>
      <c r="AC64" s="766">
        <v>17.91</v>
      </c>
      <c r="AD64" s="766">
        <v>17.93</v>
      </c>
      <c r="AE64" s="766">
        <v>18.059999999999999</v>
      </c>
      <c r="AF64" s="766">
        <v>18.29</v>
      </c>
      <c r="AG64" s="766">
        <v>18.52</v>
      </c>
      <c r="AH64" s="766">
        <v>18.78</v>
      </c>
      <c r="AI64" s="766">
        <v>19.03</v>
      </c>
      <c r="AJ64" s="766">
        <v>19.27</v>
      </c>
      <c r="AK64" s="766">
        <v>19.53</v>
      </c>
      <c r="AL64" s="766">
        <v>19.79</v>
      </c>
      <c r="AM64" s="766">
        <v>20.03</v>
      </c>
      <c r="AN64" s="766">
        <v>20.2</v>
      </c>
      <c r="AO64" s="766">
        <v>20.32</v>
      </c>
      <c r="AP64" s="766">
        <v>20.440000000000001</v>
      </c>
      <c r="AQ64" s="766">
        <v>20.57</v>
      </c>
      <c r="AR64" s="766">
        <v>20.71</v>
      </c>
      <c r="AS64" s="766">
        <v>20.76</v>
      </c>
      <c r="AT64" s="766">
        <v>20.81</v>
      </c>
      <c r="AU64" s="766">
        <v>20.88</v>
      </c>
      <c r="AV64" s="766">
        <v>20.94</v>
      </c>
      <c r="AW64" s="766">
        <v>21.11</v>
      </c>
      <c r="AX64" s="766">
        <v>21.2</v>
      </c>
      <c r="AY64" s="766">
        <v>21.3</v>
      </c>
      <c r="AZ64" s="766">
        <v>21.39</v>
      </c>
      <c r="BA64" s="766">
        <v>21.49</v>
      </c>
      <c r="BB64" s="766">
        <v>21.6</v>
      </c>
      <c r="BC64" s="766">
        <v>21.74</v>
      </c>
      <c r="BD64" s="766">
        <v>21.87</v>
      </c>
      <c r="BE64" s="766">
        <v>22.01</v>
      </c>
      <c r="BF64" s="766">
        <v>22.16</v>
      </c>
      <c r="BG64" s="1234">
        <v>22.3</v>
      </c>
      <c r="BH64" s="766">
        <v>22.44</v>
      </c>
      <c r="BI64" s="766">
        <v>22.58</v>
      </c>
      <c r="BJ64" s="766">
        <v>22.72</v>
      </c>
      <c r="BK64" s="766">
        <v>22.87</v>
      </c>
      <c r="BL64" s="766">
        <v>23.01</v>
      </c>
      <c r="BM64" s="766">
        <v>23.15</v>
      </c>
      <c r="BN64" s="766">
        <v>23.29</v>
      </c>
      <c r="BO64" s="766">
        <v>23.42</v>
      </c>
      <c r="BP64" s="766">
        <v>23.56</v>
      </c>
      <c r="BQ64" s="766">
        <v>23.7</v>
      </c>
      <c r="BR64" s="766">
        <v>23.84</v>
      </c>
      <c r="BS64" s="766">
        <v>23.97</v>
      </c>
      <c r="BT64" s="888">
        <v>24.11</v>
      </c>
      <c r="BU64" s="766">
        <v>24.25</v>
      </c>
      <c r="BV64" s="766">
        <v>24.38</v>
      </c>
      <c r="BW64" s="766">
        <v>24.52</v>
      </c>
      <c r="BX64" s="766">
        <v>24.65</v>
      </c>
      <c r="BY64" s="766">
        <v>24.78</v>
      </c>
      <c r="BZ64" s="766">
        <v>24.91</v>
      </c>
      <c r="CA64" s="766">
        <v>25.05</v>
      </c>
      <c r="CB64" s="766">
        <v>25.18</v>
      </c>
      <c r="CC64" s="766">
        <v>25.31</v>
      </c>
      <c r="CD64" s="766">
        <v>25.44</v>
      </c>
      <c r="CE64" s="766">
        <v>25.57</v>
      </c>
      <c r="CF64" s="766">
        <v>25.7</v>
      </c>
      <c r="CG64" s="766">
        <v>25.82</v>
      </c>
      <c r="CH64" s="766">
        <v>25.95</v>
      </c>
      <c r="CI64" s="766">
        <v>26.08</v>
      </c>
      <c r="CJ64" s="766">
        <v>26.2</v>
      </c>
      <c r="CK64" s="766">
        <v>26.33</v>
      </c>
      <c r="CL64" s="766">
        <v>26.45</v>
      </c>
      <c r="CM64" s="766">
        <v>26.58</v>
      </c>
      <c r="CN64" s="766">
        <v>26.7</v>
      </c>
      <c r="CO64" s="766">
        <v>26.82</v>
      </c>
      <c r="CP64" s="766">
        <v>26.95</v>
      </c>
      <c r="CQ64" s="766">
        <v>27.07</v>
      </c>
      <c r="CR64" s="766">
        <v>27.19</v>
      </c>
      <c r="CS64" s="766">
        <v>27.31</v>
      </c>
      <c r="CT64" s="766">
        <v>27.43</v>
      </c>
      <c r="CU64" s="766">
        <v>27.54</v>
      </c>
      <c r="CV64" s="766">
        <v>27.66</v>
      </c>
      <c r="CW64" s="766">
        <v>27.78</v>
      </c>
      <c r="CX64" s="766">
        <v>27.9</v>
      </c>
      <c r="CY64" s="766">
        <v>28.01</v>
      </c>
      <c r="CZ64" s="766">
        <v>28.13</v>
      </c>
      <c r="DA64" s="766">
        <v>28.24</v>
      </c>
      <c r="DB64" s="766">
        <v>28.35</v>
      </c>
      <c r="DC64" s="766">
        <v>28.47</v>
      </c>
      <c r="DD64" s="766">
        <v>28.58</v>
      </c>
      <c r="DE64" s="766">
        <v>28.69</v>
      </c>
      <c r="DF64" s="766">
        <v>28.8</v>
      </c>
      <c r="DG64" s="766">
        <v>28.91</v>
      </c>
      <c r="DH64" s="766">
        <v>29.02</v>
      </c>
      <c r="DI64" s="766">
        <v>29.13</v>
      </c>
      <c r="DJ64" s="766">
        <v>29.24</v>
      </c>
      <c r="DK64" s="766">
        <v>29.34</v>
      </c>
      <c r="DL64" s="766">
        <v>29.45</v>
      </c>
      <c r="DM64" s="766">
        <v>29.56</v>
      </c>
      <c r="DN64" s="766">
        <v>29.66</v>
      </c>
      <c r="DO64" s="766">
        <v>29.77</v>
      </c>
      <c r="DP64" s="766">
        <v>29.87</v>
      </c>
      <c r="DQ64" s="766">
        <v>29.97</v>
      </c>
      <c r="DR64" s="766">
        <v>30.07</v>
      </c>
    </row>
    <row r="65" spans="1:122">
      <c r="A65" s="944">
        <v>63</v>
      </c>
      <c r="B65" s="96"/>
      <c r="C65" s="96"/>
      <c r="D65" s="96"/>
      <c r="E65" s="96"/>
      <c r="F65" s="96"/>
      <c r="G65" s="96"/>
      <c r="H65" s="96"/>
      <c r="I65" s="96"/>
      <c r="J65" s="96"/>
      <c r="K65" s="96"/>
      <c r="L65" s="96"/>
      <c r="M65" s="96"/>
      <c r="N65" s="96"/>
      <c r="O65" s="96"/>
      <c r="P65" s="96"/>
      <c r="Q65" s="96"/>
      <c r="R65" s="96"/>
      <c r="S65" s="96"/>
      <c r="T65" s="96"/>
      <c r="U65" s="96"/>
      <c r="V65" s="766"/>
      <c r="W65" s="766">
        <v>16.329999999999998</v>
      </c>
      <c r="X65" s="766">
        <v>16.55</v>
      </c>
      <c r="Y65" s="766">
        <v>16.68</v>
      </c>
      <c r="Z65" s="766">
        <v>16.87</v>
      </c>
      <c r="AA65" s="766">
        <v>17.04</v>
      </c>
      <c r="AB65" s="766">
        <v>17.22</v>
      </c>
      <c r="AC65" s="766">
        <v>17.260000000000002</v>
      </c>
      <c r="AD65" s="766">
        <v>17.28</v>
      </c>
      <c r="AE65" s="766">
        <v>17.399999999999999</v>
      </c>
      <c r="AF65" s="766">
        <v>17.64</v>
      </c>
      <c r="AG65" s="766">
        <v>17.87</v>
      </c>
      <c r="AH65" s="766">
        <v>18.12</v>
      </c>
      <c r="AI65" s="766">
        <v>18.36</v>
      </c>
      <c r="AJ65" s="766">
        <v>18.59</v>
      </c>
      <c r="AK65" s="766">
        <v>18.84</v>
      </c>
      <c r="AL65" s="766">
        <v>19.100000000000001</v>
      </c>
      <c r="AM65" s="766">
        <v>19.309999999999999</v>
      </c>
      <c r="AN65" s="766">
        <v>19.48</v>
      </c>
      <c r="AO65" s="766">
        <v>19.600000000000001</v>
      </c>
      <c r="AP65" s="766">
        <v>19.71</v>
      </c>
      <c r="AQ65" s="766">
        <v>19.829999999999998</v>
      </c>
      <c r="AR65" s="766">
        <v>19.97</v>
      </c>
      <c r="AS65" s="766">
        <v>20.010000000000002</v>
      </c>
      <c r="AT65" s="766">
        <v>20.07</v>
      </c>
      <c r="AU65" s="766">
        <v>20.13</v>
      </c>
      <c r="AV65" s="766">
        <v>20.190000000000001</v>
      </c>
      <c r="AW65" s="766">
        <v>20.36</v>
      </c>
      <c r="AX65" s="766">
        <v>20.45</v>
      </c>
      <c r="AY65" s="766">
        <v>20.55</v>
      </c>
      <c r="AZ65" s="766">
        <v>20.64</v>
      </c>
      <c r="BA65" s="766">
        <v>20.74</v>
      </c>
      <c r="BB65" s="766">
        <v>20.87</v>
      </c>
      <c r="BC65" s="766">
        <v>21</v>
      </c>
      <c r="BD65" s="766">
        <v>21.12</v>
      </c>
      <c r="BE65" s="766">
        <v>21.27</v>
      </c>
      <c r="BF65" s="766">
        <v>21.41</v>
      </c>
      <c r="BG65" s="766">
        <v>21.55</v>
      </c>
      <c r="BH65" s="766">
        <v>21.69</v>
      </c>
      <c r="BI65" s="766">
        <v>21.83</v>
      </c>
      <c r="BJ65" s="766">
        <v>21.97</v>
      </c>
      <c r="BK65" s="766">
        <v>22.1</v>
      </c>
      <c r="BL65" s="766">
        <v>22.24</v>
      </c>
      <c r="BM65" s="766">
        <v>22.38</v>
      </c>
      <c r="BN65" s="766">
        <v>22.52</v>
      </c>
      <c r="BO65" s="766">
        <v>22.65</v>
      </c>
      <c r="BP65" s="766">
        <v>22.79</v>
      </c>
      <c r="BQ65" s="766">
        <v>22.92</v>
      </c>
      <c r="BR65" s="766">
        <v>23.06</v>
      </c>
      <c r="BS65" s="766">
        <v>23.19</v>
      </c>
      <c r="BT65" s="888">
        <v>23.32</v>
      </c>
      <c r="BU65" s="766">
        <v>23.45</v>
      </c>
      <c r="BV65" s="766">
        <v>23.59</v>
      </c>
      <c r="BW65" s="766">
        <v>23.72</v>
      </c>
      <c r="BX65" s="766">
        <v>23.85</v>
      </c>
      <c r="BY65" s="766">
        <v>23.98</v>
      </c>
      <c r="BZ65" s="766">
        <v>24.11</v>
      </c>
      <c r="CA65" s="766">
        <v>24.24</v>
      </c>
      <c r="CB65" s="766">
        <v>24.37</v>
      </c>
      <c r="CC65" s="766">
        <v>24.49</v>
      </c>
      <c r="CD65" s="766">
        <v>24.62</v>
      </c>
      <c r="CE65" s="766">
        <v>24.75</v>
      </c>
      <c r="CF65" s="766">
        <v>24.87</v>
      </c>
      <c r="CG65" s="766">
        <v>25</v>
      </c>
      <c r="CH65" s="766">
        <v>25.12</v>
      </c>
      <c r="CI65" s="766">
        <v>25.25</v>
      </c>
      <c r="CJ65" s="766">
        <v>25.37</v>
      </c>
      <c r="CK65" s="766">
        <v>25.5</v>
      </c>
      <c r="CL65" s="766">
        <v>25.62</v>
      </c>
      <c r="CM65" s="766">
        <v>25.74</v>
      </c>
      <c r="CN65" s="766">
        <v>25.86</v>
      </c>
      <c r="CO65" s="766">
        <v>25.98</v>
      </c>
      <c r="CP65" s="766">
        <v>26.1</v>
      </c>
      <c r="CQ65" s="766">
        <v>26.22</v>
      </c>
      <c r="CR65" s="766">
        <v>26.34</v>
      </c>
      <c r="CS65" s="766">
        <v>26.45</v>
      </c>
      <c r="CT65" s="766">
        <v>26.57</v>
      </c>
      <c r="CU65" s="766">
        <v>26.69</v>
      </c>
      <c r="CV65" s="766">
        <v>26.8</v>
      </c>
      <c r="CW65" s="766">
        <v>26.92</v>
      </c>
      <c r="CX65" s="766">
        <v>27.03</v>
      </c>
      <c r="CY65" s="766">
        <v>27.15</v>
      </c>
      <c r="CZ65" s="766">
        <v>27.26</v>
      </c>
      <c r="DA65" s="766">
        <v>27.37</v>
      </c>
      <c r="DB65" s="766">
        <v>27.48</v>
      </c>
      <c r="DC65" s="766">
        <v>27.59</v>
      </c>
      <c r="DD65" s="766">
        <v>27.7</v>
      </c>
      <c r="DE65" s="766">
        <v>27.81</v>
      </c>
      <c r="DF65" s="766">
        <v>27.92</v>
      </c>
      <c r="DG65" s="766">
        <v>28.03</v>
      </c>
      <c r="DH65" s="766">
        <v>28.14</v>
      </c>
      <c r="DI65" s="766">
        <v>28.25</v>
      </c>
      <c r="DJ65" s="766">
        <v>28.35</v>
      </c>
      <c r="DK65" s="766">
        <v>28.46</v>
      </c>
      <c r="DL65" s="766">
        <v>28.56</v>
      </c>
      <c r="DM65" s="766">
        <v>28.67</v>
      </c>
      <c r="DN65" s="766">
        <v>28.77</v>
      </c>
      <c r="DO65" s="766">
        <v>28.87</v>
      </c>
      <c r="DP65" s="766">
        <v>28.97</v>
      </c>
      <c r="DQ65" s="766">
        <v>29.07</v>
      </c>
      <c r="DR65" s="766">
        <v>29.17</v>
      </c>
    </row>
    <row r="66" spans="1:122">
      <c r="A66" s="944">
        <v>64</v>
      </c>
      <c r="B66" s="96"/>
      <c r="C66" s="96"/>
      <c r="D66" s="96"/>
      <c r="E66" s="96"/>
      <c r="F66" s="96"/>
      <c r="G66" s="96"/>
      <c r="H66" s="96"/>
      <c r="I66" s="96"/>
      <c r="J66" s="96"/>
      <c r="K66" s="96"/>
      <c r="L66" s="96"/>
      <c r="M66" s="96"/>
      <c r="N66" s="96"/>
      <c r="O66" s="96"/>
      <c r="P66" s="96"/>
      <c r="Q66" s="96"/>
      <c r="R66" s="96"/>
      <c r="S66" s="96"/>
      <c r="T66" s="96"/>
      <c r="U66" s="96"/>
      <c r="V66" s="766"/>
      <c r="W66" s="766">
        <v>15.71</v>
      </c>
      <c r="X66" s="766">
        <v>15.91</v>
      </c>
      <c r="Y66" s="766">
        <v>16.04</v>
      </c>
      <c r="Z66" s="766">
        <v>16.23</v>
      </c>
      <c r="AA66" s="766">
        <v>16.39</v>
      </c>
      <c r="AB66" s="766">
        <v>16.579999999999998</v>
      </c>
      <c r="AC66" s="766">
        <v>16.62</v>
      </c>
      <c r="AD66" s="766">
        <v>16.64</v>
      </c>
      <c r="AE66" s="766">
        <v>16.760000000000002</v>
      </c>
      <c r="AF66" s="766">
        <v>17</v>
      </c>
      <c r="AG66" s="766">
        <v>17.22</v>
      </c>
      <c r="AH66" s="766">
        <v>17.47</v>
      </c>
      <c r="AI66" s="766">
        <v>17.7</v>
      </c>
      <c r="AJ66" s="766">
        <v>17.91</v>
      </c>
      <c r="AK66" s="766">
        <v>18.149999999999999</v>
      </c>
      <c r="AL66" s="766">
        <v>18.41</v>
      </c>
      <c r="AM66" s="766">
        <v>18.61</v>
      </c>
      <c r="AN66" s="766">
        <v>18.77</v>
      </c>
      <c r="AO66" s="766">
        <v>18.89</v>
      </c>
      <c r="AP66" s="766">
        <v>18.989999999999998</v>
      </c>
      <c r="AQ66" s="766">
        <v>19.11</v>
      </c>
      <c r="AR66" s="766">
        <v>19.23</v>
      </c>
      <c r="AS66" s="766">
        <v>19.28</v>
      </c>
      <c r="AT66" s="766">
        <v>19.329999999999998</v>
      </c>
      <c r="AU66" s="766">
        <v>19.399999999999999</v>
      </c>
      <c r="AV66" s="766">
        <v>19.46</v>
      </c>
      <c r="AW66" s="766">
        <v>19.62</v>
      </c>
      <c r="AX66" s="766">
        <v>19.7</v>
      </c>
      <c r="AY66" s="766">
        <v>19.809999999999999</v>
      </c>
      <c r="AZ66" s="766">
        <v>19.899999999999999</v>
      </c>
      <c r="BA66" s="766">
        <v>20.010000000000002</v>
      </c>
      <c r="BB66" s="766">
        <v>20.14</v>
      </c>
      <c r="BC66" s="766">
        <v>20.27</v>
      </c>
      <c r="BD66" s="766">
        <v>20.399999999999999</v>
      </c>
      <c r="BE66" s="766">
        <v>20.54</v>
      </c>
      <c r="BF66" s="766">
        <v>20.68</v>
      </c>
      <c r="BG66" s="766">
        <v>20.81</v>
      </c>
      <c r="BH66" s="766">
        <v>20.95</v>
      </c>
      <c r="BI66" s="766">
        <v>21.08</v>
      </c>
      <c r="BJ66" s="766">
        <v>21.22</v>
      </c>
      <c r="BK66" s="766">
        <v>21.35</v>
      </c>
      <c r="BL66" s="766">
        <v>21.49</v>
      </c>
      <c r="BM66" s="766">
        <v>21.62</v>
      </c>
      <c r="BN66" s="766">
        <v>21.75</v>
      </c>
      <c r="BO66" s="766">
        <v>21.89</v>
      </c>
      <c r="BP66" s="766">
        <v>22.02</v>
      </c>
      <c r="BQ66" s="766">
        <v>22.15</v>
      </c>
      <c r="BR66" s="766">
        <v>22.28</v>
      </c>
      <c r="BS66" s="766">
        <v>22.41</v>
      </c>
      <c r="BT66" s="888">
        <v>22.54</v>
      </c>
      <c r="BU66" s="766">
        <v>22.67</v>
      </c>
      <c r="BV66" s="766">
        <v>22.8</v>
      </c>
      <c r="BW66" s="766">
        <v>22.93</v>
      </c>
      <c r="BX66" s="766">
        <v>23.06</v>
      </c>
      <c r="BY66" s="766">
        <v>23.18</v>
      </c>
      <c r="BZ66" s="766">
        <v>23.31</v>
      </c>
      <c r="CA66" s="766">
        <v>23.44</v>
      </c>
      <c r="CB66" s="766">
        <v>23.56</v>
      </c>
      <c r="CC66" s="766">
        <v>23.69</v>
      </c>
      <c r="CD66" s="766">
        <v>23.81</v>
      </c>
      <c r="CE66" s="766">
        <v>23.94</v>
      </c>
      <c r="CF66" s="766">
        <v>24.06</v>
      </c>
      <c r="CG66" s="766">
        <v>24.18</v>
      </c>
      <c r="CH66" s="766">
        <v>24.3</v>
      </c>
      <c r="CI66" s="766">
        <v>24.43</v>
      </c>
      <c r="CJ66" s="766">
        <v>24.55</v>
      </c>
      <c r="CK66" s="766">
        <v>24.67</v>
      </c>
      <c r="CL66" s="766">
        <v>24.79</v>
      </c>
      <c r="CM66" s="766">
        <v>24.91</v>
      </c>
      <c r="CN66" s="766">
        <v>25.03</v>
      </c>
      <c r="CO66" s="766">
        <v>25.14</v>
      </c>
      <c r="CP66" s="766">
        <v>25.26</v>
      </c>
      <c r="CQ66" s="766">
        <v>25.38</v>
      </c>
      <c r="CR66" s="766">
        <v>25.49</v>
      </c>
      <c r="CS66" s="766">
        <v>25.61</v>
      </c>
      <c r="CT66" s="766">
        <v>25.72</v>
      </c>
      <c r="CU66" s="766">
        <v>25.84</v>
      </c>
      <c r="CV66" s="766">
        <v>25.95</v>
      </c>
      <c r="CW66" s="766">
        <v>26.06</v>
      </c>
      <c r="CX66" s="766">
        <v>26.18</v>
      </c>
      <c r="CY66" s="766">
        <v>26.29</v>
      </c>
      <c r="CZ66" s="766">
        <v>26.4</v>
      </c>
      <c r="DA66" s="766">
        <v>26.51</v>
      </c>
      <c r="DB66" s="766">
        <v>26.62</v>
      </c>
      <c r="DC66" s="766">
        <v>26.73</v>
      </c>
      <c r="DD66" s="766">
        <v>26.83</v>
      </c>
      <c r="DE66" s="766">
        <v>26.94</v>
      </c>
      <c r="DF66" s="766">
        <v>27.05</v>
      </c>
      <c r="DG66" s="766">
        <v>27.15</v>
      </c>
      <c r="DH66" s="766">
        <v>27.26</v>
      </c>
      <c r="DI66" s="766">
        <v>27.37</v>
      </c>
      <c r="DJ66" s="766">
        <v>27.47</v>
      </c>
      <c r="DK66" s="766">
        <v>27.57</v>
      </c>
      <c r="DL66" s="766">
        <v>27.68</v>
      </c>
      <c r="DM66" s="766">
        <v>27.78</v>
      </c>
      <c r="DN66" s="766">
        <v>27.88</v>
      </c>
      <c r="DO66" s="766">
        <v>27.98</v>
      </c>
      <c r="DP66" s="766">
        <v>28.08</v>
      </c>
      <c r="DQ66" s="766">
        <v>28.18</v>
      </c>
      <c r="DR66" s="766">
        <v>28.28</v>
      </c>
    </row>
    <row r="67" spans="1:122">
      <c r="A67" s="944">
        <v>65</v>
      </c>
      <c r="B67" s="96"/>
      <c r="C67" s="96"/>
      <c r="D67" s="96"/>
      <c r="E67" s="96"/>
      <c r="F67" s="96"/>
      <c r="G67" s="96"/>
      <c r="H67" s="96"/>
      <c r="I67" s="96"/>
      <c r="J67" s="96"/>
      <c r="K67" s="96"/>
      <c r="L67" s="96"/>
      <c r="M67" s="96"/>
      <c r="N67" s="96"/>
      <c r="O67" s="96"/>
      <c r="P67" s="96"/>
      <c r="Q67" s="96"/>
      <c r="R67" s="96"/>
      <c r="S67" s="96"/>
      <c r="T67" s="96"/>
      <c r="U67" s="96"/>
      <c r="V67" s="766"/>
      <c r="W67" s="766">
        <v>15.08</v>
      </c>
      <c r="X67" s="766">
        <v>15.28</v>
      </c>
      <c r="Y67" s="766">
        <v>15.4</v>
      </c>
      <c r="Z67" s="766">
        <v>15.6</v>
      </c>
      <c r="AA67" s="766">
        <v>15.76</v>
      </c>
      <c r="AB67" s="766">
        <v>15.95</v>
      </c>
      <c r="AC67" s="766">
        <v>15.99</v>
      </c>
      <c r="AD67" s="766">
        <v>16.02</v>
      </c>
      <c r="AE67" s="766">
        <v>16.14</v>
      </c>
      <c r="AF67" s="766">
        <v>16.37</v>
      </c>
      <c r="AG67" s="766">
        <v>16.59</v>
      </c>
      <c r="AH67" s="766">
        <v>16.82</v>
      </c>
      <c r="AI67" s="766">
        <v>17.04</v>
      </c>
      <c r="AJ67" s="766">
        <v>17.239999999999998</v>
      </c>
      <c r="AK67" s="766">
        <v>17.48</v>
      </c>
      <c r="AL67" s="766">
        <v>17.72</v>
      </c>
      <c r="AM67" s="766">
        <v>17.91</v>
      </c>
      <c r="AN67" s="766">
        <v>18.07</v>
      </c>
      <c r="AO67" s="766">
        <v>18.18</v>
      </c>
      <c r="AP67" s="766">
        <v>18.27</v>
      </c>
      <c r="AQ67" s="766">
        <v>18.38</v>
      </c>
      <c r="AR67" s="766">
        <v>18.510000000000002</v>
      </c>
      <c r="AS67" s="766">
        <v>18.55</v>
      </c>
      <c r="AT67" s="766">
        <v>18.600000000000001</v>
      </c>
      <c r="AU67" s="766">
        <v>18.670000000000002</v>
      </c>
      <c r="AV67" s="766">
        <v>18.739999999999998</v>
      </c>
      <c r="AW67" s="766">
        <v>18.89</v>
      </c>
      <c r="AX67" s="766">
        <v>18.98</v>
      </c>
      <c r="AY67" s="766">
        <v>19.079999999999998</v>
      </c>
      <c r="AZ67" s="766">
        <v>19.18</v>
      </c>
      <c r="BA67" s="766">
        <v>19.29</v>
      </c>
      <c r="BB67" s="766">
        <v>19.420000000000002</v>
      </c>
      <c r="BC67" s="766">
        <v>19.559999999999999</v>
      </c>
      <c r="BD67" s="766">
        <v>19.690000000000001</v>
      </c>
      <c r="BE67" s="766">
        <v>19.82</v>
      </c>
      <c r="BF67" s="766">
        <v>19.95</v>
      </c>
      <c r="BG67" s="766">
        <v>20.079999999999998</v>
      </c>
      <c r="BH67" s="766">
        <v>20.22</v>
      </c>
      <c r="BI67" s="766">
        <v>20.350000000000001</v>
      </c>
      <c r="BJ67" s="766">
        <v>20.48</v>
      </c>
      <c r="BK67" s="766">
        <v>20.61</v>
      </c>
      <c r="BL67" s="766">
        <v>20.74</v>
      </c>
      <c r="BM67" s="766">
        <v>20.87</v>
      </c>
      <c r="BN67" s="766">
        <v>21</v>
      </c>
      <c r="BO67" s="766">
        <v>21.13</v>
      </c>
      <c r="BP67" s="766">
        <v>21.26</v>
      </c>
      <c r="BQ67" s="766">
        <v>21.39</v>
      </c>
      <c r="BR67" s="766">
        <v>21.51</v>
      </c>
      <c r="BS67" s="766">
        <v>21.64</v>
      </c>
      <c r="BT67" s="888">
        <v>21.77</v>
      </c>
      <c r="BU67" s="766">
        <v>21.9</v>
      </c>
      <c r="BV67" s="766">
        <v>22.02</v>
      </c>
      <c r="BW67" s="766">
        <v>22.15</v>
      </c>
      <c r="BX67" s="766">
        <v>22.27</v>
      </c>
      <c r="BY67" s="766">
        <v>22.4</v>
      </c>
      <c r="BZ67" s="766">
        <v>22.52</v>
      </c>
      <c r="CA67" s="766">
        <v>22.64</v>
      </c>
      <c r="CB67" s="766">
        <v>22.77</v>
      </c>
      <c r="CC67" s="766">
        <v>22.89</v>
      </c>
      <c r="CD67" s="766">
        <v>23.01</v>
      </c>
      <c r="CE67" s="766">
        <v>23.13</v>
      </c>
      <c r="CF67" s="766">
        <v>23.25</v>
      </c>
      <c r="CG67" s="766">
        <v>23.37</v>
      </c>
      <c r="CH67" s="766">
        <v>23.49</v>
      </c>
      <c r="CI67" s="766">
        <v>23.61</v>
      </c>
      <c r="CJ67" s="766">
        <v>23.73</v>
      </c>
      <c r="CK67" s="766">
        <v>23.85</v>
      </c>
      <c r="CL67" s="766">
        <v>23.96</v>
      </c>
      <c r="CM67" s="766">
        <v>24.08</v>
      </c>
      <c r="CN67" s="766">
        <v>24.2</v>
      </c>
      <c r="CO67" s="766">
        <v>24.31</v>
      </c>
      <c r="CP67" s="766">
        <v>24.43</v>
      </c>
      <c r="CQ67" s="766">
        <v>24.54</v>
      </c>
      <c r="CR67" s="766">
        <v>24.65</v>
      </c>
      <c r="CS67" s="766">
        <v>24.77</v>
      </c>
      <c r="CT67" s="766">
        <v>24.88</v>
      </c>
      <c r="CU67" s="766">
        <v>24.99</v>
      </c>
      <c r="CV67" s="766">
        <v>25.1</v>
      </c>
      <c r="CW67" s="766">
        <v>25.21</v>
      </c>
      <c r="CX67" s="766">
        <v>25.32</v>
      </c>
      <c r="CY67" s="766">
        <v>25.43</v>
      </c>
      <c r="CZ67" s="766">
        <v>25.54</v>
      </c>
      <c r="DA67" s="766">
        <v>25.65</v>
      </c>
      <c r="DB67" s="766">
        <v>25.76</v>
      </c>
      <c r="DC67" s="766">
        <v>25.86</v>
      </c>
      <c r="DD67" s="766">
        <v>25.97</v>
      </c>
      <c r="DE67" s="766">
        <v>26.07</v>
      </c>
      <c r="DF67" s="766">
        <v>26.18</v>
      </c>
      <c r="DG67" s="766">
        <v>26.28</v>
      </c>
      <c r="DH67" s="766">
        <v>26.39</v>
      </c>
      <c r="DI67" s="766">
        <v>26.49</v>
      </c>
      <c r="DJ67" s="766">
        <v>26.59</v>
      </c>
      <c r="DK67" s="766">
        <v>26.69</v>
      </c>
      <c r="DL67" s="766">
        <v>26.79</v>
      </c>
      <c r="DM67" s="766">
        <v>26.89</v>
      </c>
      <c r="DN67" s="766">
        <v>26.99</v>
      </c>
      <c r="DO67" s="766">
        <v>27.09</v>
      </c>
      <c r="DP67" s="766">
        <v>27.19</v>
      </c>
      <c r="DQ67" s="766">
        <v>27.29</v>
      </c>
      <c r="DR67" s="766">
        <v>27.39</v>
      </c>
    </row>
    <row r="68" spans="1:122">
      <c r="A68" s="944">
        <v>66</v>
      </c>
      <c r="B68" s="96"/>
      <c r="C68" s="96"/>
      <c r="D68" s="96"/>
      <c r="E68" s="96"/>
      <c r="F68" s="96"/>
      <c r="G68" s="96"/>
      <c r="H68" s="96"/>
      <c r="I68" s="96"/>
      <c r="J68" s="96"/>
      <c r="K68" s="96"/>
      <c r="L68" s="96"/>
      <c r="M68" s="96"/>
      <c r="N68" s="96"/>
      <c r="O68" s="96"/>
      <c r="P68" s="96"/>
      <c r="Q68" s="96"/>
      <c r="R68" s="96"/>
      <c r="S68" s="96"/>
      <c r="T68" s="96"/>
      <c r="U68" s="96"/>
      <c r="V68" s="766"/>
      <c r="W68" s="766">
        <v>14.48</v>
      </c>
      <c r="X68" s="766">
        <v>14.66</v>
      </c>
      <c r="Y68" s="766">
        <v>14.79</v>
      </c>
      <c r="Z68" s="766">
        <v>14.99</v>
      </c>
      <c r="AA68" s="766">
        <v>15.15</v>
      </c>
      <c r="AB68" s="766">
        <v>15.33</v>
      </c>
      <c r="AC68" s="766">
        <v>15.37</v>
      </c>
      <c r="AD68" s="766">
        <v>15.4</v>
      </c>
      <c r="AE68" s="766">
        <v>15.52</v>
      </c>
      <c r="AF68" s="766">
        <v>15.76</v>
      </c>
      <c r="AG68" s="766">
        <v>15.96</v>
      </c>
      <c r="AH68" s="766">
        <v>16.18</v>
      </c>
      <c r="AI68" s="766">
        <v>16.39</v>
      </c>
      <c r="AJ68" s="766">
        <v>16.579999999999998</v>
      </c>
      <c r="AK68" s="766">
        <v>16.8</v>
      </c>
      <c r="AL68" s="766">
        <v>17.04</v>
      </c>
      <c r="AM68" s="766">
        <v>17.22</v>
      </c>
      <c r="AN68" s="766">
        <v>17.37</v>
      </c>
      <c r="AO68" s="766">
        <v>17.48</v>
      </c>
      <c r="AP68" s="766">
        <v>17.559999999999999</v>
      </c>
      <c r="AQ68" s="766">
        <v>17.66</v>
      </c>
      <c r="AR68" s="766">
        <v>17.79</v>
      </c>
      <c r="AS68" s="766">
        <v>17.829999999999998</v>
      </c>
      <c r="AT68" s="766">
        <v>17.88</v>
      </c>
      <c r="AU68" s="766">
        <v>17.96</v>
      </c>
      <c r="AV68" s="766">
        <v>18.03</v>
      </c>
      <c r="AW68" s="766">
        <v>18.18</v>
      </c>
      <c r="AX68" s="766">
        <v>18.260000000000002</v>
      </c>
      <c r="AY68" s="766">
        <v>18.37</v>
      </c>
      <c r="AZ68" s="766">
        <v>18.48</v>
      </c>
      <c r="BA68" s="766">
        <v>18.59</v>
      </c>
      <c r="BB68" s="766">
        <v>18.72</v>
      </c>
      <c r="BC68" s="766">
        <v>18.850000000000001</v>
      </c>
      <c r="BD68" s="766">
        <v>18.98</v>
      </c>
      <c r="BE68" s="766">
        <v>19.11</v>
      </c>
      <c r="BF68" s="766">
        <v>19.23</v>
      </c>
      <c r="BG68" s="766">
        <v>19.36</v>
      </c>
      <c r="BH68" s="766">
        <v>19.489999999999998</v>
      </c>
      <c r="BI68" s="766">
        <v>19.62</v>
      </c>
      <c r="BJ68" s="766">
        <v>19.75</v>
      </c>
      <c r="BK68" s="766">
        <v>19.87</v>
      </c>
      <c r="BL68" s="766">
        <v>20</v>
      </c>
      <c r="BM68" s="766">
        <v>20.13</v>
      </c>
      <c r="BN68" s="766">
        <v>20.25</v>
      </c>
      <c r="BO68" s="766">
        <v>20.38</v>
      </c>
      <c r="BP68" s="766">
        <v>20.51</v>
      </c>
      <c r="BQ68" s="766">
        <v>20.63</v>
      </c>
      <c r="BR68" s="766">
        <v>20.76</v>
      </c>
      <c r="BS68" s="766">
        <v>20.88</v>
      </c>
      <c r="BT68" s="888">
        <v>21</v>
      </c>
      <c r="BU68" s="766">
        <v>21.13</v>
      </c>
      <c r="BV68" s="766">
        <v>21.25</v>
      </c>
      <c r="BW68" s="766">
        <v>21.37</v>
      </c>
      <c r="BX68" s="766">
        <v>21.49</v>
      </c>
      <c r="BY68" s="766">
        <v>21.61</v>
      </c>
      <c r="BZ68" s="766">
        <v>21.73</v>
      </c>
      <c r="CA68" s="766">
        <v>21.86</v>
      </c>
      <c r="CB68" s="766">
        <v>21.97</v>
      </c>
      <c r="CC68" s="766">
        <v>22.09</v>
      </c>
      <c r="CD68" s="766">
        <v>22.21</v>
      </c>
      <c r="CE68" s="766">
        <v>22.33</v>
      </c>
      <c r="CF68" s="766">
        <v>22.45</v>
      </c>
      <c r="CG68" s="766">
        <v>22.57</v>
      </c>
      <c r="CH68" s="766">
        <v>22.68</v>
      </c>
      <c r="CI68" s="766">
        <v>22.8</v>
      </c>
      <c r="CJ68" s="766">
        <v>22.91</v>
      </c>
      <c r="CK68" s="766">
        <v>23.03</v>
      </c>
      <c r="CL68" s="766">
        <v>23.14</v>
      </c>
      <c r="CM68" s="766">
        <v>23.26</v>
      </c>
      <c r="CN68" s="766">
        <v>23.37</v>
      </c>
      <c r="CO68" s="766">
        <v>23.48</v>
      </c>
      <c r="CP68" s="766">
        <v>23.6</v>
      </c>
      <c r="CQ68" s="766">
        <v>23.71</v>
      </c>
      <c r="CR68" s="766">
        <v>23.82</v>
      </c>
      <c r="CS68" s="766">
        <v>23.93</v>
      </c>
      <c r="CT68" s="766">
        <v>24.04</v>
      </c>
      <c r="CU68" s="766">
        <v>24.15</v>
      </c>
      <c r="CV68" s="766">
        <v>24.26</v>
      </c>
      <c r="CW68" s="766">
        <v>24.37</v>
      </c>
      <c r="CX68" s="766">
        <v>24.47</v>
      </c>
      <c r="CY68" s="766">
        <v>24.58</v>
      </c>
      <c r="CZ68" s="766">
        <v>24.69</v>
      </c>
      <c r="DA68" s="766">
        <v>24.79</v>
      </c>
      <c r="DB68" s="766">
        <v>24.9</v>
      </c>
      <c r="DC68" s="766">
        <v>25</v>
      </c>
      <c r="DD68" s="766">
        <v>25.11</v>
      </c>
      <c r="DE68" s="766">
        <v>25.21</v>
      </c>
      <c r="DF68" s="766">
        <v>25.31</v>
      </c>
      <c r="DG68" s="766">
        <v>25.41</v>
      </c>
      <c r="DH68" s="766">
        <v>25.52</v>
      </c>
      <c r="DI68" s="766">
        <v>25.62</v>
      </c>
      <c r="DJ68" s="766">
        <v>25.72</v>
      </c>
      <c r="DK68" s="766">
        <v>25.82</v>
      </c>
      <c r="DL68" s="766">
        <v>25.92</v>
      </c>
      <c r="DM68" s="766">
        <v>26.01</v>
      </c>
      <c r="DN68" s="766">
        <v>26.11</v>
      </c>
      <c r="DO68" s="766">
        <v>26.21</v>
      </c>
      <c r="DP68" s="766">
        <v>26.31</v>
      </c>
      <c r="DQ68" s="766">
        <v>26.4</v>
      </c>
      <c r="DR68" s="766">
        <v>26.5</v>
      </c>
    </row>
    <row r="69" spans="1:122">
      <c r="A69" s="944">
        <v>67</v>
      </c>
      <c r="B69" s="96"/>
      <c r="C69" s="96"/>
      <c r="D69" s="96"/>
      <c r="E69" s="96"/>
      <c r="F69" s="96"/>
      <c r="G69" s="96"/>
      <c r="H69" s="96"/>
      <c r="I69" s="96"/>
      <c r="J69" s="96"/>
      <c r="K69" s="96"/>
      <c r="L69" s="96"/>
      <c r="M69" s="96"/>
      <c r="N69" s="96"/>
      <c r="O69" s="96"/>
      <c r="P69" s="96"/>
      <c r="Q69" s="96"/>
      <c r="R69" s="96"/>
      <c r="S69" s="96"/>
      <c r="T69" s="96"/>
      <c r="U69" s="96"/>
      <c r="V69" s="766"/>
      <c r="W69" s="766">
        <v>13.88</v>
      </c>
      <c r="X69" s="766">
        <v>14.06</v>
      </c>
      <c r="Y69" s="766">
        <v>14.2</v>
      </c>
      <c r="Z69" s="766">
        <v>14.4</v>
      </c>
      <c r="AA69" s="766">
        <v>14.54</v>
      </c>
      <c r="AB69" s="766">
        <v>14.72</v>
      </c>
      <c r="AC69" s="766">
        <v>14.78</v>
      </c>
      <c r="AD69" s="766">
        <v>14.8</v>
      </c>
      <c r="AE69" s="766">
        <v>14.92</v>
      </c>
      <c r="AF69" s="766">
        <v>15.14</v>
      </c>
      <c r="AG69" s="766">
        <v>15.34</v>
      </c>
      <c r="AH69" s="766">
        <v>15.54</v>
      </c>
      <c r="AI69" s="766">
        <v>15.75</v>
      </c>
      <c r="AJ69" s="766">
        <v>15.92</v>
      </c>
      <c r="AK69" s="766">
        <v>16.14</v>
      </c>
      <c r="AL69" s="766">
        <v>16.37</v>
      </c>
      <c r="AM69" s="766">
        <v>16.55</v>
      </c>
      <c r="AN69" s="766">
        <v>16.68</v>
      </c>
      <c r="AO69" s="766">
        <v>16.78</v>
      </c>
      <c r="AP69" s="766">
        <v>16.87</v>
      </c>
      <c r="AQ69" s="766">
        <v>16.96</v>
      </c>
      <c r="AR69" s="766">
        <v>17.079999999999998</v>
      </c>
      <c r="AS69" s="766">
        <v>17.12</v>
      </c>
      <c r="AT69" s="766">
        <v>17.18</v>
      </c>
      <c r="AU69" s="766">
        <v>17.25</v>
      </c>
      <c r="AV69" s="766">
        <v>17.32</v>
      </c>
      <c r="AW69" s="766">
        <v>17.47</v>
      </c>
      <c r="AX69" s="766">
        <v>17.559999999999999</v>
      </c>
      <c r="AY69" s="766">
        <v>17.670000000000002</v>
      </c>
      <c r="AZ69" s="766">
        <v>17.77</v>
      </c>
      <c r="BA69" s="766">
        <v>17.899999999999999</v>
      </c>
      <c r="BB69" s="766">
        <v>18.02</v>
      </c>
      <c r="BC69" s="766">
        <v>18.149999999999999</v>
      </c>
      <c r="BD69" s="766">
        <v>18.27</v>
      </c>
      <c r="BE69" s="766">
        <v>18.399999999999999</v>
      </c>
      <c r="BF69" s="766">
        <v>18.52</v>
      </c>
      <c r="BG69" s="766">
        <v>18.649999999999999</v>
      </c>
      <c r="BH69" s="766">
        <v>18.77</v>
      </c>
      <c r="BI69" s="766">
        <v>18.899999999999999</v>
      </c>
      <c r="BJ69" s="766">
        <v>19.02</v>
      </c>
      <c r="BK69" s="766">
        <v>19.149999999999999</v>
      </c>
      <c r="BL69" s="766">
        <v>19.27</v>
      </c>
      <c r="BM69" s="766">
        <v>19.39</v>
      </c>
      <c r="BN69" s="766">
        <v>19.510000000000002</v>
      </c>
      <c r="BO69" s="766">
        <v>19.64</v>
      </c>
      <c r="BP69" s="766">
        <v>19.760000000000002</v>
      </c>
      <c r="BQ69" s="766">
        <v>19.88</v>
      </c>
      <c r="BR69" s="766">
        <v>20</v>
      </c>
      <c r="BS69" s="766">
        <v>20.12</v>
      </c>
      <c r="BT69" s="888">
        <v>20.239999999999998</v>
      </c>
      <c r="BU69" s="766">
        <v>20.36</v>
      </c>
      <c r="BV69" s="766">
        <v>20.48</v>
      </c>
      <c r="BW69" s="766">
        <v>20.6</v>
      </c>
      <c r="BX69" s="766">
        <v>20.72</v>
      </c>
      <c r="BY69" s="766">
        <v>20.84</v>
      </c>
      <c r="BZ69" s="766">
        <v>20.96</v>
      </c>
      <c r="CA69" s="766">
        <v>21.07</v>
      </c>
      <c r="CB69" s="766">
        <v>21.19</v>
      </c>
      <c r="CC69" s="766">
        <v>21.31</v>
      </c>
      <c r="CD69" s="766">
        <v>21.42</v>
      </c>
      <c r="CE69" s="766">
        <v>21.54</v>
      </c>
      <c r="CF69" s="766">
        <v>21.65</v>
      </c>
      <c r="CG69" s="766">
        <v>21.77</v>
      </c>
      <c r="CH69" s="766">
        <v>21.88</v>
      </c>
      <c r="CI69" s="766">
        <v>21.99</v>
      </c>
      <c r="CJ69" s="766">
        <v>22.1</v>
      </c>
      <c r="CK69" s="766">
        <v>22.22</v>
      </c>
      <c r="CL69" s="766">
        <v>22.33</v>
      </c>
      <c r="CM69" s="766">
        <v>22.44</v>
      </c>
      <c r="CN69" s="766">
        <v>22.55</v>
      </c>
      <c r="CO69" s="766">
        <v>22.66</v>
      </c>
      <c r="CP69" s="766">
        <v>22.77</v>
      </c>
      <c r="CQ69" s="766">
        <v>22.88</v>
      </c>
      <c r="CR69" s="766">
        <v>22.99</v>
      </c>
      <c r="CS69" s="766">
        <v>23.1</v>
      </c>
      <c r="CT69" s="766">
        <v>23.2</v>
      </c>
      <c r="CU69" s="766">
        <v>23.31</v>
      </c>
      <c r="CV69" s="766">
        <v>23.42</v>
      </c>
      <c r="CW69" s="766">
        <v>23.52</v>
      </c>
      <c r="CX69" s="766">
        <v>23.63</v>
      </c>
      <c r="CY69" s="766">
        <v>23.73</v>
      </c>
      <c r="CZ69" s="766">
        <v>23.84</v>
      </c>
      <c r="DA69" s="766">
        <v>23.94</v>
      </c>
      <c r="DB69" s="766">
        <v>24.04</v>
      </c>
      <c r="DC69" s="766">
        <v>24.14</v>
      </c>
      <c r="DD69" s="766">
        <v>24.25</v>
      </c>
      <c r="DE69" s="766">
        <v>24.35</v>
      </c>
      <c r="DF69" s="766">
        <v>24.45</v>
      </c>
      <c r="DG69" s="766">
        <v>24.55</v>
      </c>
      <c r="DH69" s="766">
        <v>24.65</v>
      </c>
      <c r="DI69" s="766">
        <v>24.75</v>
      </c>
      <c r="DJ69" s="766">
        <v>24.84</v>
      </c>
      <c r="DK69" s="766">
        <v>24.94</v>
      </c>
      <c r="DL69" s="766">
        <v>25.04</v>
      </c>
      <c r="DM69" s="766">
        <v>25.14</v>
      </c>
      <c r="DN69" s="766">
        <v>25.23</v>
      </c>
      <c r="DO69" s="766">
        <v>25.33</v>
      </c>
      <c r="DP69" s="766">
        <v>25.42</v>
      </c>
      <c r="DQ69" s="766">
        <v>25.52</v>
      </c>
      <c r="DR69" s="766">
        <v>25.61</v>
      </c>
    </row>
    <row r="70" spans="1:122">
      <c r="A70" s="944">
        <v>68</v>
      </c>
      <c r="B70" s="96"/>
      <c r="C70" s="96"/>
      <c r="D70" s="96"/>
      <c r="E70" s="96"/>
      <c r="F70" s="96"/>
      <c r="G70" s="96"/>
      <c r="H70" s="96"/>
      <c r="I70" s="96"/>
      <c r="J70" s="96"/>
      <c r="K70" s="96"/>
      <c r="L70" s="96"/>
      <c r="M70" s="96"/>
      <c r="N70" s="96"/>
      <c r="O70" s="96"/>
      <c r="P70" s="96"/>
      <c r="Q70" s="96"/>
      <c r="R70" s="96"/>
      <c r="S70" s="96"/>
      <c r="T70" s="96"/>
      <c r="U70" s="96"/>
      <c r="V70" s="766"/>
      <c r="W70" s="766">
        <v>13.3</v>
      </c>
      <c r="X70" s="766">
        <v>13.48</v>
      </c>
      <c r="Y70" s="766">
        <v>13.61</v>
      </c>
      <c r="Z70" s="766">
        <v>13.82</v>
      </c>
      <c r="AA70" s="766">
        <v>13.95</v>
      </c>
      <c r="AB70" s="766">
        <v>14.13</v>
      </c>
      <c r="AC70" s="766">
        <v>14.19</v>
      </c>
      <c r="AD70" s="766">
        <v>14.22</v>
      </c>
      <c r="AE70" s="766">
        <v>14.32</v>
      </c>
      <c r="AF70" s="766">
        <v>14.53</v>
      </c>
      <c r="AG70" s="766">
        <v>14.72</v>
      </c>
      <c r="AH70" s="766">
        <v>14.92</v>
      </c>
      <c r="AI70" s="766">
        <v>15.11</v>
      </c>
      <c r="AJ70" s="766">
        <v>15.28</v>
      </c>
      <c r="AK70" s="766">
        <v>15.49</v>
      </c>
      <c r="AL70" s="766">
        <v>15.7</v>
      </c>
      <c r="AM70" s="766">
        <v>15.87</v>
      </c>
      <c r="AN70" s="766">
        <v>16</v>
      </c>
      <c r="AO70" s="766">
        <v>16.09</v>
      </c>
      <c r="AP70" s="766">
        <v>16.170000000000002</v>
      </c>
      <c r="AQ70" s="766">
        <v>16.260000000000002</v>
      </c>
      <c r="AR70" s="766">
        <v>16.37</v>
      </c>
      <c r="AS70" s="766">
        <v>16.420000000000002</v>
      </c>
      <c r="AT70" s="766">
        <v>16.48</v>
      </c>
      <c r="AU70" s="766">
        <v>16.55</v>
      </c>
      <c r="AV70" s="766">
        <v>16.63</v>
      </c>
      <c r="AW70" s="766">
        <v>16.77</v>
      </c>
      <c r="AX70" s="766">
        <v>16.87</v>
      </c>
      <c r="AY70" s="766">
        <v>16.98</v>
      </c>
      <c r="AZ70" s="766">
        <v>17.09</v>
      </c>
      <c r="BA70" s="766">
        <v>17.21</v>
      </c>
      <c r="BB70" s="766">
        <v>17.34</v>
      </c>
      <c r="BC70" s="766">
        <v>17.46</v>
      </c>
      <c r="BD70" s="766">
        <v>17.579999999999998</v>
      </c>
      <c r="BE70" s="766">
        <v>17.7</v>
      </c>
      <c r="BF70" s="766">
        <v>17.82</v>
      </c>
      <c r="BG70" s="766">
        <v>17.940000000000001</v>
      </c>
      <c r="BH70" s="766">
        <v>18.059999999999999</v>
      </c>
      <c r="BI70" s="766">
        <v>18.18</v>
      </c>
      <c r="BJ70" s="766">
        <v>18.3</v>
      </c>
      <c r="BK70" s="766">
        <v>18.420000000000002</v>
      </c>
      <c r="BL70" s="766">
        <v>18.54</v>
      </c>
      <c r="BM70" s="766">
        <v>18.66</v>
      </c>
      <c r="BN70" s="766">
        <v>18.78</v>
      </c>
      <c r="BO70" s="766">
        <v>18.899999999999999</v>
      </c>
      <c r="BP70" s="766">
        <v>19.02</v>
      </c>
      <c r="BQ70" s="766">
        <v>19.14</v>
      </c>
      <c r="BR70" s="766">
        <v>19.25</v>
      </c>
      <c r="BS70" s="766">
        <v>19.37</v>
      </c>
      <c r="BT70" s="888">
        <v>19.489999999999998</v>
      </c>
      <c r="BU70" s="766">
        <v>19.600000000000001</v>
      </c>
      <c r="BV70" s="766">
        <v>19.72</v>
      </c>
      <c r="BW70" s="766">
        <v>19.84</v>
      </c>
      <c r="BX70" s="766">
        <v>19.95</v>
      </c>
      <c r="BY70" s="766">
        <v>20.07</v>
      </c>
      <c r="BZ70" s="766">
        <v>20.18</v>
      </c>
      <c r="CA70" s="766">
        <v>20.29</v>
      </c>
      <c r="CB70" s="766">
        <v>20.41</v>
      </c>
      <c r="CC70" s="766">
        <v>20.52</v>
      </c>
      <c r="CD70" s="766">
        <v>20.63</v>
      </c>
      <c r="CE70" s="766">
        <v>20.75</v>
      </c>
      <c r="CF70" s="766">
        <v>20.86</v>
      </c>
      <c r="CG70" s="766">
        <v>20.97</v>
      </c>
      <c r="CH70" s="766">
        <v>21.08</v>
      </c>
      <c r="CI70" s="766">
        <v>21.19</v>
      </c>
      <c r="CJ70" s="766">
        <v>21.3</v>
      </c>
      <c r="CK70" s="766">
        <v>21.41</v>
      </c>
      <c r="CL70" s="766">
        <v>21.52</v>
      </c>
      <c r="CM70" s="766">
        <v>21.63</v>
      </c>
      <c r="CN70" s="766">
        <v>21.73</v>
      </c>
      <c r="CO70" s="766">
        <v>21.84</v>
      </c>
      <c r="CP70" s="766">
        <v>21.95</v>
      </c>
      <c r="CQ70" s="766">
        <v>22.05</v>
      </c>
      <c r="CR70" s="766">
        <v>22.16</v>
      </c>
      <c r="CS70" s="766">
        <v>22.27</v>
      </c>
      <c r="CT70" s="766">
        <v>22.37</v>
      </c>
      <c r="CU70" s="766">
        <v>22.48</v>
      </c>
      <c r="CV70" s="766">
        <v>22.58</v>
      </c>
      <c r="CW70" s="766">
        <v>22.68</v>
      </c>
      <c r="CX70" s="766">
        <v>22.79</v>
      </c>
      <c r="CY70" s="766">
        <v>22.89</v>
      </c>
      <c r="CZ70" s="766">
        <v>22.99</v>
      </c>
      <c r="DA70" s="766">
        <v>23.09</v>
      </c>
      <c r="DB70" s="766">
        <v>23.19</v>
      </c>
      <c r="DC70" s="766">
        <v>23.29</v>
      </c>
      <c r="DD70" s="766">
        <v>23.39</v>
      </c>
      <c r="DE70" s="766">
        <v>23.49</v>
      </c>
      <c r="DF70" s="766">
        <v>23.59</v>
      </c>
      <c r="DG70" s="766">
        <v>23.69</v>
      </c>
      <c r="DH70" s="766">
        <v>23.78</v>
      </c>
      <c r="DI70" s="766">
        <v>23.88</v>
      </c>
      <c r="DJ70" s="766">
        <v>23.98</v>
      </c>
      <c r="DK70" s="766">
        <v>24.07</v>
      </c>
      <c r="DL70" s="766">
        <v>24.17</v>
      </c>
      <c r="DM70" s="766">
        <v>24.26</v>
      </c>
      <c r="DN70" s="766">
        <v>24.35</v>
      </c>
      <c r="DO70" s="766">
        <v>24.45</v>
      </c>
      <c r="DP70" s="766">
        <v>24.54</v>
      </c>
      <c r="DQ70" s="766">
        <v>24.63</v>
      </c>
      <c r="DR70" s="766">
        <v>24.72</v>
      </c>
    </row>
    <row r="71" spans="1:122">
      <c r="A71" s="944">
        <v>69</v>
      </c>
      <c r="B71" s="96"/>
      <c r="C71" s="96"/>
      <c r="D71" s="96"/>
      <c r="E71" s="96"/>
      <c r="F71" s="96"/>
      <c r="G71" s="96"/>
      <c r="H71" s="96"/>
      <c r="I71" s="96"/>
      <c r="J71" s="96"/>
      <c r="K71" s="96"/>
      <c r="L71" s="96"/>
      <c r="M71" s="96"/>
      <c r="N71" s="96"/>
      <c r="O71" s="96"/>
      <c r="P71" s="96"/>
      <c r="Q71" s="96"/>
      <c r="R71" s="96"/>
      <c r="S71" s="96"/>
      <c r="T71" s="96"/>
      <c r="U71" s="96"/>
      <c r="V71" s="766"/>
      <c r="W71" s="766">
        <v>12.74</v>
      </c>
      <c r="X71" s="766">
        <v>12.91</v>
      </c>
      <c r="Y71" s="766">
        <v>13.03</v>
      </c>
      <c r="Z71" s="766">
        <v>13.25</v>
      </c>
      <c r="AA71" s="766">
        <v>13.37</v>
      </c>
      <c r="AB71" s="766">
        <v>13.54</v>
      </c>
      <c r="AC71" s="766">
        <v>13.62</v>
      </c>
      <c r="AD71" s="766">
        <v>13.64</v>
      </c>
      <c r="AE71" s="766">
        <v>13.73</v>
      </c>
      <c r="AF71" s="766">
        <v>13.94</v>
      </c>
      <c r="AG71" s="766">
        <v>14.12</v>
      </c>
      <c r="AH71" s="766">
        <v>14.3</v>
      </c>
      <c r="AI71" s="766">
        <v>14.48</v>
      </c>
      <c r="AJ71" s="766">
        <v>14.66</v>
      </c>
      <c r="AK71" s="766">
        <v>14.85</v>
      </c>
      <c r="AL71" s="766">
        <v>15.04</v>
      </c>
      <c r="AM71" s="766">
        <v>15.2</v>
      </c>
      <c r="AN71" s="766">
        <v>15.31</v>
      </c>
      <c r="AO71" s="766">
        <v>15.4</v>
      </c>
      <c r="AP71" s="766">
        <v>15.48</v>
      </c>
      <c r="AQ71" s="766">
        <v>15.57</v>
      </c>
      <c r="AR71" s="766">
        <v>15.68</v>
      </c>
      <c r="AS71" s="766">
        <v>15.73</v>
      </c>
      <c r="AT71" s="766">
        <v>15.8</v>
      </c>
      <c r="AU71" s="766">
        <v>15.86</v>
      </c>
      <c r="AV71" s="766">
        <v>15.95</v>
      </c>
      <c r="AW71" s="766">
        <v>16.09</v>
      </c>
      <c r="AX71" s="766">
        <v>16.190000000000001</v>
      </c>
      <c r="AY71" s="766">
        <v>16.3</v>
      </c>
      <c r="AZ71" s="766">
        <v>16.420000000000002</v>
      </c>
      <c r="BA71" s="766">
        <v>16.54</v>
      </c>
      <c r="BB71" s="766">
        <v>16.649999999999999</v>
      </c>
      <c r="BC71" s="766">
        <v>16.77</v>
      </c>
      <c r="BD71" s="766">
        <v>16.89</v>
      </c>
      <c r="BE71" s="766">
        <v>17</v>
      </c>
      <c r="BF71" s="766">
        <v>17.12</v>
      </c>
      <c r="BG71" s="766">
        <v>17.239999999999998</v>
      </c>
      <c r="BH71" s="766">
        <v>17.350000000000001</v>
      </c>
      <c r="BI71" s="766">
        <v>17.47</v>
      </c>
      <c r="BJ71" s="766">
        <v>17.59</v>
      </c>
      <c r="BK71" s="766">
        <v>17.7</v>
      </c>
      <c r="BL71" s="766">
        <v>17.82</v>
      </c>
      <c r="BM71" s="766">
        <v>17.940000000000001</v>
      </c>
      <c r="BN71" s="766">
        <v>18.05</v>
      </c>
      <c r="BO71" s="766">
        <v>18.170000000000002</v>
      </c>
      <c r="BP71" s="766">
        <v>18.28</v>
      </c>
      <c r="BQ71" s="766">
        <v>18.399999999999999</v>
      </c>
      <c r="BR71" s="766">
        <v>18.510000000000002</v>
      </c>
      <c r="BS71" s="766">
        <v>18.62</v>
      </c>
      <c r="BT71" s="888">
        <v>18.739999999999998</v>
      </c>
      <c r="BU71" s="766">
        <v>18.850000000000001</v>
      </c>
      <c r="BV71" s="766">
        <v>18.96</v>
      </c>
      <c r="BW71" s="766">
        <v>19.07</v>
      </c>
      <c r="BX71" s="766">
        <v>19.190000000000001</v>
      </c>
      <c r="BY71" s="766">
        <v>19.3</v>
      </c>
      <c r="BZ71" s="766">
        <v>19.41</v>
      </c>
      <c r="CA71" s="766">
        <v>19.52</v>
      </c>
      <c r="CB71" s="766">
        <v>19.63</v>
      </c>
      <c r="CC71" s="766">
        <v>19.739999999999998</v>
      </c>
      <c r="CD71" s="766">
        <v>19.850000000000001</v>
      </c>
      <c r="CE71" s="766">
        <v>19.96</v>
      </c>
      <c r="CF71" s="766">
        <v>20.07</v>
      </c>
      <c r="CG71" s="766">
        <v>20.18</v>
      </c>
      <c r="CH71" s="766">
        <v>20.28</v>
      </c>
      <c r="CI71" s="766">
        <v>20.39</v>
      </c>
      <c r="CJ71" s="766">
        <v>20.5</v>
      </c>
      <c r="CK71" s="766">
        <v>20.6</v>
      </c>
      <c r="CL71" s="766">
        <v>20.71</v>
      </c>
      <c r="CM71" s="766">
        <v>20.82</v>
      </c>
      <c r="CN71" s="766">
        <v>20.92</v>
      </c>
      <c r="CO71" s="766">
        <v>21.03</v>
      </c>
      <c r="CP71" s="766">
        <v>21.13</v>
      </c>
      <c r="CQ71" s="766">
        <v>21.23</v>
      </c>
      <c r="CR71" s="766">
        <v>21.34</v>
      </c>
      <c r="CS71" s="766">
        <v>21.44</v>
      </c>
      <c r="CT71" s="766">
        <v>21.54</v>
      </c>
      <c r="CU71" s="766">
        <v>21.64</v>
      </c>
      <c r="CV71" s="766">
        <v>21.74</v>
      </c>
      <c r="CW71" s="766">
        <v>21.85</v>
      </c>
      <c r="CX71" s="766">
        <v>21.95</v>
      </c>
      <c r="CY71" s="766">
        <v>22.05</v>
      </c>
      <c r="CZ71" s="766">
        <v>22.15</v>
      </c>
      <c r="DA71" s="766">
        <v>22.24</v>
      </c>
      <c r="DB71" s="766">
        <v>22.34</v>
      </c>
      <c r="DC71" s="766">
        <v>22.44</v>
      </c>
      <c r="DD71" s="766">
        <v>22.54</v>
      </c>
      <c r="DE71" s="766">
        <v>22.63</v>
      </c>
      <c r="DF71" s="766">
        <v>22.73</v>
      </c>
      <c r="DG71" s="766">
        <v>22.83</v>
      </c>
      <c r="DH71" s="766">
        <v>22.92</v>
      </c>
      <c r="DI71" s="766">
        <v>23.01</v>
      </c>
      <c r="DJ71" s="766">
        <v>23.11</v>
      </c>
      <c r="DK71" s="766">
        <v>23.2</v>
      </c>
      <c r="DL71" s="766">
        <v>23.3</v>
      </c>
      <c r="DM71" s="766">
        <v>23.39</v>
      </c>
      <c r="DN71" s="766">
        <v>23.48</v>
      </c>
      <c r="DO71" s="766">
        <v>23.57</v>
      </c>
      <c r="DP71" s="766">
        <v>23.66</v>
      </c>
      <c r="DQ71" s="766">
        <v>23.75</v>
      </c>
      <c r="DR71" s="766">
        <v>23.84</v>
      </c>
    </row>
    <row r="72" spans="1:122">
      <c r="A72" s="944">
        <v>70</v>
      </c>
      <c r="B72" s="96"/>
      <c r="C72" s="96"/>
      <c r="D72" s="96"/>
      <c r="E72" s="96"/>
      <c r="F72" s="96"/>
      <c r="G72" s="96"/>
      <c r="H72" s="96"/>
      <c r="I72" s="96"/>
      <c r="J72" s="96"/>
      <c r="K72" s="96"/>
      <c r="L72" s="96"/>
      <c r="M72" s="96"/>
      <c r="N72" s="96"/>
      <c r="O72" s="96"/>
      <c r="P72" s="96"/>
      <c r="Q72" s="96"/>
      <c r="R72" s="96"/>
      <c r="S72" s="96"/>
      <c r="T72" s="96"/>
      <c r="U72" s="96"/>
      <c r="V72" s="766"/>
      <c r="W72" s="766">
        <v>12.18</v>
      </c>
      <c r="X72" s="766">
        <v>12.35</v>
      </c>
      <c r="Y72" s="766">
        <v>12.48</v>
      </c>
      <c r="Z72" s="766">
        <v>12.69</v>
      </c>
      <c r="AA72" s="766">
        <v>12.8</v>
      </c>
      <c r="AB72" s="766">
        <v>12.99</v>
      </c>
      <c r="AC72" s="766">
        <v>13.04</v>
      </c>
      <c r="AD72" s="766">
        <v>13.07</v>
      </c>
      <c r="AE72" s="766">
        <v>13.16</v>
      </c>
      <c r="AF72" s="766">
        <v>13.34</v>
      </c>
      <c r="AG72" s="766">
        <v>13.51</v>
      </c>
      <c r="AH72" s="766">
        <v>13.68</v>
      </c>
      <c r="AI72" s="766">
        <v>13.86</v>
      </c>
      <c r="AJ72" s="766">
        <v>14.03</v>
      </c>
      <c r="AK72" s="766">
        <v>14.21</v>
      </c>
      <c r="AL72" s="766">
        <v>14.39</v>
      </c>
      <c r="AM72" s="766">
        <v>14.53</v>
      </c>
      <c r="AN72" s="766">
        <v>14.64</v>
      </c>
      <c r="AO72" s="766">
        <v>14.73</v>
      </c>
      <c r="AP72" s="766">
        <v>14.8</v>
      </c>
      <c r="AQ72" s="766">
        <v>14.9</v>
      </c>
      <c r="AR72" s="766">
        <v>15</v>
      </c>
      <c r="AS72" s="766">
        <v>15.06</v>
      </c>
      <c r="AT72" s="766">
        <v>15.11</v>
      </c>
      <c r="AU72" s="766">
        <v>15.19</v>
      </c>
      <c r="AV72" s="766">
        <v>15.28</v>
      </c>
      <c r="AW72" s="766">
        <v>15.42</v>
      </c>
      <c r="AX72" s="766">
        <v>15.53</v>
      </c>
      <c r="AY72" s="766">
        <v>15.64</v>
      </c>
      <c r="AZ72" s="766">
        <v>15.75</v>
      </c>
      <c r="BA72" s="766">
        <v>15.86</v>
      </c>
      <c r="BB72" s="766">
        <v>15.97</v>
      </c>
      <c r="BC72" s="766">
        <v>16.09</v>
      </c>
      <c r="BD72" s="766">
        <v>16.2</v>
      </c>
      <c r="BE72" s="766">
        <v>16.309999999999999</v>
      </c>
      <c r="BF72" s="766">
        <v>16.43</v>
      </c>
      <c r="BG72" s="766">
        <v>16.54</v>
      </c>
      <c r="BH72" s="766">
        <v>16.649999999999999</v>
      </c>
      <c r="BI72" s="766">
        <v>16.77</v>
      </c>
      <c r="BJ72" s="766">
        <v>16.88</v>
      </c>
      <c r="BK72" s="766">
        <v>16.989999999999998</v>
      </c>
      <c r="BL72" s="766">
        <v>17.100000000000001</v>
      </c>
      <c r="BM72" s="766">
        <v>17.21</v>
      </c>
      <c r="BN72" s="766">
        <v>17.329999999999998</v>
      </c>
      <c r="BO72" s="766">
        <v>17.440000000000001</v>
      </c>
      <c r="BP72" s="766">
        <v>17.55</v>
      </c>
      <c r="BQ72" s="766">
        <v>17.66</v>
      </c>
      <c r="BR72" s="766">
        <v>17.77</v>
      </c>
      <c r="BS72" s="766">
        <v>17.88</v>
      </c>
      <c r="BT72" s="888">
        <v>17.989999999999998</v>
      </c>
      <c r="BU72" s="766">
        <v>18.100000000000001</v>
      </c>
      <c r="BV72" s="766">
        <v>18.21</v>
      </c>
      <c r="BW72" s="766">
        <v>18.32</v>
      </c>
      <c r="BX72" s="766">
        <v>18.43</v>
      </c>
      <c r="BY72" s="766">
        <v>18.53</v>
      </c>
      <c r="BZ72" s="766">
        <v>18.64</v>
      </c>
      <c r="CA72" s="766">
        <v>18.75</v>
      </c>
      <c r="CB72" s="766">
        <v>18.86</v>
      </c>
      <c r="CC72" s="766">
        <v>18.96</v>
      </c>
      <c r="CD72" s="766">
        <v>19.07</v>
      </c>
      <c r="CE72" s="766">
        <v>19.18</v>
      </c>
      <c r="CF72" s="766">
        <v>19.28</v>
      </c>
      <c r="CG72" s="766">
        <v>19.39</v>
      </c>
      <c r="CH72" s="766">
        <v>19.489999999999998</v>
      </c>
      <c r="CI72" s="766">
        <v>19.600000000000001</v>
      </c>
      <c r="CJ72" s="766">
        <v>19.7</v>
      </c>
      <c r="CK72" s="766">
        <v>19.8</v>
      </c>
      <c r="CL72" s="766">
        <v>19.91</v>
      </c>
      <c r="CM72" s="766">
        <v>20.010000000000002</v>
      </c>
      <c r="CN72" s="766">
        <v>20.11</v>
      </c>
      <c r="CO72" s="766">
        <v>20.21</v>
      </c>
      <c r="CP72" s="766">
        <v>20.309999999999999</v>
      </c>
      <c r="CQ72" s="766">
        <v>20.420000000000002</v>
      </c>
      <c r="CR72" s="766">
        <v>20.52</v>
      </c>
      <c r="CS72" s="766">
        <v>20.62</v>
      </c>
      <c r="CT72" s="766">
        <v>20.72</v>
      </c>
      <c r="CU72" s="766">
        <v>20.81</v>
      </c>
      <c r="CV72" s="766">
        <v>20.91</v>
      </c>
      <c r="CW72" s="766">
        <v>21.01</v>
      </c>
      <c r="CX72" s="766">
        <v>21.11</v>
      </c>
      <c r="CY72" s="766">
        <v>21.21</v>
      </c>
      <c r="CZ72" s="766">
        <v>21.3</v>
      </c>
      <c r="DA72" s="766">
        <v>21.4</v>
      </c>
      <c r="DB72" s="766">
        <v>21.5</v>
      </c>
      <c r="DC72" s="766">
        <v>21.59</v>
      </c>
      <c r="DD72" s="766">
        <v>21.69</v>
      </c>
      <c r="DE72" s="766">
        <v>21.78</v>
      </c>
      <c r="DF72" s="766">
        <v>21.87</v>
      </c>
      <c r="DG72" s="766">
        <v>21.97</v>
      </c>
      <c r="DH72" s="766">
        <v>22.06</v>
      </c>
      <c r="DI72" s="766">
        <v>22.15</v>
      </c>
      <c r="DJ72" s="766">
        <v>22.24</v>
      </c>
      <c r="DK72" s="766">
        <v>22.34</v>
      </c>
      <c r="DL72" s="766">
        <v>22.43</v>
      </c>
      <c r="DM72" s="766">
        <v>22.52</v>
      </c>
      <c r="DN72" s="766">
        <v>22.61</v>
      </c>
      <c r="DO72" s="766">
        <v>22.7</v>
      </c>
      <c r="DP72" s="766">
        <v>22.79</v>
      </c>
      <c r="DQ72" s="766">
        <v>22.87</v>
      </c>
      <c r="DR72" s="766">
        <v>22.96</v>
      </c>
    </row>
    <row r="73" spans="1:122">
      <c r="A73" s="944">
        <v>71</v>
      </c>
      <c r="B73" s="96"/>
      <c r="C73" s="96"/>
      <c r="D73" s="96"/>
      <c r="E73" s="96"/>
      <c r="F73" s="96"/>
      <c r="G73" s="96"/>
      <c r="H73" s="96"/>
      <c r="I73" s="96"/>
      <c r="J73" s="96"/>
      <c r="K73" s="96"/>
      <c r="L73" s="96"/>
      <c r="M73" s="96"/>
      <c r="N73" s="96"/>
      <c r="O73" s="96"/>
      <c r="P73" s="96"/>
      <c r="Q73" s="96"/>
      <c r="R73" s="96"/>
      <c r="S73" s="96"/>
      <c r="T73" s="96"/>
      <c r="U73" s="96"/>
      <c r="V73" s="766"/>
      <c r="W73" s="766">
        <v>11.64</v>
      </c>
      <c r="X73" s="766">
        <v>11.81</v>
      </c>
      <c r="Y73" s="766">
        <v>11.93</v>
      </c>
      <c r="Z73" s="766">
        <v>12.15</v>
      </c>
      <c r="AA73" s="766">
        <v>12.25</v>
      </c>
      <c r="AB73" s="766">
        <v>12.41</v>
      </c>
      <c r="AC73" s="766">
        <v>12.48</v>
      </c>
      <c r="AD73" s="766">
        <v>12.5</v>
      </c>
      <c r="AE73" s="766">
        <v>12.58</v>
      </c>
      <c r="AF73" s="766">
        <v>12.76</v>
      </c>
      <c r="AG73" s="766">
        <v>12.91</v>
      </c>
      <c r="AH73" s="766">
        <v>13.09</v>
      </c>
      <c r="AI73" s="766">
        <v>13.25</v>
      </c>
      <c r="AJ73" s="766">
        <v>13.41</v>
      </c>
      <c r="AK73" s="766">
        <v>13.56</v>
      </c>
      <c r="AL73" s="766">
        <v>13.74</v>
      </c>
      <c r="AM73" s="766">
        <v>13.87</v>
      </c>
      <c r="AN73" s="766">
        <v>13.98</v>
      </c>
      <c r="AO73" s="766">
        <v>14.07</v>
      </c>
      <c r="AP73" s="766">
        <v>14.14</v>
      </c>
      <c r="AQ73" s="766">
        <v>14.23</v>
      </c>
      <c r="AR73" s="766">
        <v>14.33</v>
      </c>
      <c r="AS73" s="766">
        <v>14.38</v>
      </c>
      <c r="AT73" s="766">
        <v>14.45</v>
      </c>
      <c r="AU73" s="766">
        <v>14.54</v>
      </c>
      <c r="AV73" s="766">
        <v>14.63</v>
      </c>
      <c r="AW73" s="766">
        <v>14.76</v>
      </c>
      <c r="AX73" s="766">
        <v>14.87</v>
      </c>
      <c r="AY73" s="766">
        <v>14.97</v>
      </c>
      <c r="AZ73" s="766">
        <v>15.08</v>
      </c>
      <c r="BA73" s="766">
        <v>15.19</v>
      </c>
      <c r="BB73" s="766">
        <v>15.3</v>
      </c>
      <c r="BC73" s="766">
        <v>15.41</v>
      </c>
      <c r="BD73" s="766">
        <v>15.52</v>
      </c>
      <c r="BE73" s="766">
        <v>15.63</v>
      </c>
      <c r="BF73" s="766">
        <v>15.74</v>
      </c>
      <c r="BG73" s="766">
        <v>15.85</v>
      </c>
      <c r="BH73" s="766">
        <v>15.96</v>
      </c>
      <c r="BI73" s="766">
        <v>16.059999999999999</v>
      </c>
      <c r="BJ73" s="766">
        <v>16.170000000000002</v>
      </c>
      <c r="BK73" s="766">
        <v>16.28</v>
      </c>
      <c r="BL73" s="766">
        <v>16.39</v>
      </c>
      <c r="BM73" s="766">
        <v>16.5</v>
      </c>
      <c r="BN73" s="766">
        <v>16.61</v>
      </c>
      <c r="BO73" s="766">
        <v>16.71</v>
      </c>
      <c r="BP73" s="766">
        <v>16.82</v>
      </c>
      <c r="BQ73" s="766">
        <v>16.93</v>
      </c>
      <c r="BR73" s="766">
        <v>17.03</v>
      </c>
      <c r="BS73" s="766">
        <v>17.14</v>
      </c>
      <c r="BT73" s="888">
        <v>17.25</v>
      </c>
      <c r="BU73" s="766">
        <v>17.350000000000001</v>
      </c>
      <c r="BV73" s="766">
        <v>17.46</v>
      </c>
      <c r="BW73" s="766">
        <v>17.559999999999999</v>
      </c>
      <c r="BX73" s="766">
        <v>17.670000000000002</v>
      </c>
      <c r="BY73" s="766">
        <v>17.77</v>
      </c>
      <c r="BZ73" s="766">
        <v>17.88</v>
      </c>
      <c r="CA73" s="766">
        <v>17.98</v>
      </c>
      <c r="CB73" s="766">
        <v>18.09</v>
      </c>
      <c r="CC73" s="766">
        <v>18.190000000000001</v>
      </c>
      <c r="CD73" s="766">
        <v>18.29</v>
      </c>
      <c r="CE73" s="766">
        <v>18.399999999999999</v>
      </c>
      <c r="CF73" s="766">
        <v>18.5</v>
      </c>
      <c r="CG73" s="766">
        <v>18.600000000000001</v>
      </c>
      <c r="CH73" s="766">
        <v>18.7</v>
      </c>
      <c r="CI73" s="766">
        <v>18.8</v>
      </c>
      <c r="CJ73" s="766">
        <v>18.899999999999999</v>
      </c>
      <c r="CK73" s="766">
        <v>19.010000000000002</v>
      </c>
      <c r="CL73" s="766">
        <v>19.11</v>
      </c>
      <c r="CM73" s="766">
        <v>19.21</v>
      </c>
      <c r="CN73" s="766">
        <v>19.3</v>
      </c>
      <c r="CO73" s="766">
        <v>19.399999999999999</v>
      </c>
      <c r="CP73" s="766">
        <v>19.5</v>
      </c>
      <c r="CQ73" s="766">
        <v>19.600000000000001</v>
      </c>
      <c r="CR73" s="766">
        <v>19.7</v>
      </c>
      <c r="CS73" s="766">
        <v>19.8</v>
      </c>
      <c r="CT73" s="766">
        <v>19.89</v>
      </c>
      <c r="CU73" s="766">
        <v>19.989999999999998</v>
      </c>
      <c r="CV73" s="766">
        <v>20.09</v>
      </c>
      <c r="CW73" s="766">
        <v>20.18</v>
      </c>
      <c r="CX73" s="766">
        <v>20.28</v>
      </c>
      <c r="CY73" s="766">
        <v>20.37</v>
      </c>
      <c r="CZ73" s="766">
        <v>20.47</v>
      </c>
      <c r="DA73" s="766">
        <v>20.56</v>
      </c>
      <c r="DB73" s="766">
        <v>20.65</v>
      </c>
      <c r="DC73" s="766">
        <v>20.75</v>
      </c>
      <c r="DD73" s="766">
        <v>20.84</v>
      </c>
      <c r="DE73" s="766">
        <v>20.93</v>
      </c>
      <c r="DF73" s="766">
        <v>21.02</v>
      </c>
      <c r="DG73" s="766">
        <v>21.11</v>
      </c>
      <c r="DH73" s="766">
        <v>21.2</v>
      </c>
      <c r="DI73" s="766">
        <v>21.29</v>
      </c>
      <c r="DJ73" s="766">
        <v>21.38</v>
      </c>
      <c r="DK73" s="766">
        <v>21.47</v>
      </c>
      <c r="DL73" s="766">
        <v>21.56</v>
      </c>
      <c r="DM73" s="766">
        <v>21.65</v>
      </c>
      <c r="DN73" s="766">
        <v>21.74</v>
      </c>
      <c r="DO73" s="766">
        <v>21.82</v>
      </c>
      <c r="DP73" s="766">
        <v>21.91</v>
      </c>
      <c r="DQ73" s="766">
        <v>22</v>
      </c>
      <c r="DR73" s="766">
        <v>22.08</v>
      </c>
    </row>
    <row r="74" spans="1:122">
      <c r="A74" s="944">
        <v>72</v>
      </c>
      <c r="B74" s="96"/>
      <c r="C74" s="96"/>
      <c r="D74" s="96"/>
      <c r="E74" s="96"/>
      <c r="F74" s="96"/>
      <c r="G74" s="96"/>
      <c r="H74" s="96"/>
      <c r="I74" s="96"/>
      <c r="J74" s="96"/>
      <c r="K74" s="96"/>
      <c r="L74" s="96"/>
      <c r="M74" s="96"/>
      <c r="N74" s="96"/>
      <c r="O74" s="96"/>
      <c r="P74" s="96"/>
      <c r="Q74" s="96"/>
      <c r="R74" s="96"/>
      <c r="S74" s="96"/>
      <c r="T74" s="96"/>
      <c r="U74" s="96"/>
      <c r="V74" s="766"/>
      <c r="W74" s="766">
        <v>11.12</v>
      </c>
      <c r="X74" s="766">
        <v>11.28</v>
      </c>
      <c r="Y74" s="766">
        <v>11.4</v>
      </c>
      <c r="Z74" s="766">
        <v>11.63</v>
      </c>
      <c r="AA74" s="766">
        <v>11.71</v>
      </c>
      <c r="AB74" s="766">
        <v>11.86</v>
      </c>
      <c r="AC74" s="766">
        <v>11.92</v>
      </c>
      <c r="AD74" s="766">
        <v>11.94</v>
      </c>
      <c r="AE74" s="766">
        <v>12.01</v>
      </c>
      <c r="AF74" s="766">
        <v>12.18</v>
      </c>
      <c r="AG74" s="766">
        <v>12.33</v>
      </c>
      <c r="AH74" s="766">
        <v>12.49</v>
      </c>
      <c r="AI74" s="766">
        <v>12.64</v>
      </c>
      <c r="AJ74" s="766">
        <v>12.79</v>
      </c>
      <c r="AK74" s="766">
        <v>12.93</v>
      </c>
      <c r="AL74" s="766">
        <v>13.1</v>
      </c>
      <c r="AM74" s="766">
        <v>13.23</v>
      </c>
      <c r="AN74" s="766">
        <v>13.32</v>
      </c>
      <c r="AO74" s="766">
        <v>13.41</v>
      </c>
      <c r="AP74" s="766">
        <v>13.48</v>
      </c>
      <c r="AQ74" s="766">
        <v>13.57</v>
      </c>
      <c r="AR74" s="766">
        <v>13.66</v>
      </c>
      <c r="AS74" s="766">
        <v>13.73</v>
      </c>
      <c r="AT74" s="766">
        <v>13.8</v>
      </c>
      <c r="AU74" s="766">
        <v>13.89</v>
      </c>
      <c r="AV74" s="766">
        <v>14</v>
      </c>
      <c r="AW74" s="766">
        <v>14.11</v>
      </c>
      <c r="AX74" s="766">
        <v>14.21</v>
      </c>
      <c r="AY74" s="766">
        <v>14.32</v>
      </c>
      <c r="AZ74" s="766">
        <v>14.42</v>
      </c>
      <c r="BA74" s="766">
        <v>14.53</v>
      </c>
      <c r="BB74" s="766">
        <v>14.63</v>
      </c>
      <c r="BC74" s="766">
        <v>14.74</v>
      </c>
      <c r="BD74" s="766">
        <v>14.84</v>
      </c>
      <c r="BE74" s="766">
        <v>14.95</v>
      </c>
      <c r="BF74" s="766">
        <v>15.05</v>
      </c>
      <c r="BG74" s="766">
        <v>15.16</v>
      </c>
      <c r="BH74" s="766">
        <v>15.26</v>
      </c>
      <c r="BI74" s="766">
        <v>15.37</v>
      </c>
      <c r="BJ74" s="766">
        <v>15.47</v>
      </c>
      <c r="BK74" s="766">
        <v>15.58</v>
      </c>
      <c r="BL74" s="766">
        <v>15.68</v>
      </c>
      <c r="BM74" s="766">
        <v>15.79</v>
      </c>
      <c r="BN74" s="766">
        <v>15.89</v>
      </c>
      <c r="BO74" s="766">
        <v>15.99</v>
      </c>
      <c r="BP74" s="766">
        <v>16.100000000000001</v>
      </c>
      <c r="BQ74" s="766">
        <v>16.2</v>
      </c>
      <c r="BR74" s="766">
        <v>16.3</v>
      </c>
      <c r="BS74" s="766">
        <v>16.41</v>
      </c>
      <c r="BT74" s="888">
        <v>16.510000000000002</v>
      </c>
      <c r="BU74" s="766">
        <v>16.61</v>
      </c>
      <c r="BV74" s="766">
        <v>16.71</v>
      </c>
      <c r="BW74" s="766">
        <v>16.82</v>
      </c>
      <c r="BX74" s="766">
        <v>16.920000000000002</v>
      </c>
      <c r="BY74" s="766">
        <v>17.02</v>
      </c>
      <c r="BZ74" s="766">
        <v>17.12</v>
      </c>
      <c r="CA74" s="766">
        <v>17.22</v>
      </c>
      <c r="CB74" s="766">
        <v>17.32</v>
      </c>
      <c r="CC74" s="766">
        <v>17.420000000000002</v>
      </c>
      <c r="CD74" s="766">
        <v>17.52</v>
      </c>
      <c r="CE74" s="766">
        <v>17.62</v>
      </c>
      <c r="CF74" s="766">
        <v>17.72</v>
      </c>
      <c r="CG74" s="766">
        <v>17.82</v>
      </c>
      <c r="CH74" s="766">
        <v>17.920000000000002</v>
      </c>
      <c r="CI74" s="766">
        <v>18.02</v>
      </c>
      <c r="CJ74" s="766">
        <v>18.12</v>
      </c>
      <c r="CK74" s="766">
        <v>18.21</v>
      </c>
      <c r="CL74" s="766">
        <v>18.309999999999999</v>
      </c>
      <c r="CM74" s="766">
        <v>18.41</v>
      </c>
      <c r="CN74" s="766">
        <v>18.5</v>
      </c>
      <c r="CO74" s="766">
        <v>18.600000000000001</v>
      </c>
      <c r="CP74" s="766">
        <v>18.7</v>
      </c>
      <c r="CQ74" s="766">
        <v>18.79</v>
      </c>
      <c r="CR74" s="766">
        <v>18.89</v>
      </c>
      <c r="CS74" s="766">
        <v>18.98</v>
      </c>
      <c r="CT74" s="766">
        <v>19.07</v>
      </c>
      <c r="CU74" s="766">
        <v>19.170000000000002</v>
      </c>
      <c r="CV74" s="766">
        <v>19.260000000000002</v>
      </c>
      <c r="CW74" s="766">
        <v>19.350000000000001</v>
      </c>
      <c r="CX74" s="766">
        <v>19.45</v>
      </c>
      <c r="CY74" s="766">
        <v>19.54</v>
      </c>
      <c r="CZ74" s="766">
        <v>19.63</v>
      </c>
      <c r="DA74" s="766">
        <v>19.72</v>
      </c>
      <c r="DB74" s="766">
        <v>19.809999999999999</v>
      </c>
      <c r="DC74" s="766">
        <v>19.899999999999999</v>
      </c>
      <c r="DD74" s="766">
        <v>19.989999999999998</v>
      </c>
      <c r="DE74" s="766">
        <v>20.079999999999998</v>
      </c>
      <c r="DF74" s="766">
        <v>20.170000000000002</v>
      </c>
      <c r="DG74" s="766">
        <v>20.260000000000002</v>
      </c>
      <c r="DH74" s="766">
        <v>20.350000000000001</v>
      </c>
      <c r="DI74" s="766">
        <v>20.440000000000001</v>
      </c>
      <c r="DJ74" s="766">
        <v>20.53</v>
      </c>
      <c r="DK74" s="766">
        <v>20.61</v>
      </c>
      <c r="DL74" s="766">
        <v>20.7</v>
      </c>
      <c r="DM74" s="766">
        <v>20.79</v>
      </c>
      <c r="DN74" s="766">
        <v>20.87</v>
      </c>
      <c r="DO74" s="766">
        <v>20.96</v>
      </c>
      <c r="DP74" s="766">
        <v>21.04</v>
      </c>
      <c r="DQ74" s="766">
        <v>21.13</v>
      </c>
      <c r="DR74" s="766">
        <v>21.21</v>
      </c>
    </row>
    <row r="75" spans="1:122">
      <c r="A75" s="944">
        <v>73</v>
      </c>
      <c r="B75" s="96"/>
      <c r="C75" s="96"/>
      <c r="D75" s="96"/>
      <c r="E75" s="96"/>
      <c r="F75" s="96"/>
      <c r="G75" s="96"/>
      <c r="H75" s="96"/>
      <c r="I75" s="96"/>
      <c r="J75" s="96"/>
      <c r="K75" s="96"/>
      <c r="L75" s="96"/>
      <c r="M75" s="96"/>
      <c r="N75" s="96"/>
      <c r="O75" s="96"/>
      <c r="P75" s="96"/>
      <c r="Q75" s="96"/>
      <c r="R75" s="96"/>
      <c r="S75" s="96"/>
      <c r="T75" s="96"/>
      <c r="U75" s="96"/>
      <c r="V75" s="766"/>
      <c r="W75" s="766">
        <v>10.62</v>
      </c>
      <c r="X75" s="766">
        <v>10.77</v>
      </c>
      <c r="Y75" s="766">
        <v>10.9</v>
      </c>
      <c r="Z75" s="766">
        <v>11.1</v>
      </c>
      <c r="AA75" s="766">
        <v>11.17</v>
      </c>
      <c r="AB75" s="766">
        <v>11.32</v>
      </c>
      <c r="AC75" s="766">
        <v>11.37</v>
      </c>
      <c r="AD75" s="766">
        <v>11.37</v>
      </c>
      <c r="AE75" s="766">
        <v>11.45</v>
      </c>
      <c r="AF75" s="766">
        <v>11.62</v>
      </c>
      <c r="AG75" s="766">
        <v>11.76</v>
      </c>
      <c r="AH75" s="766">
        <v>11.89</v>
      </c>
      <c r="AI75" s="766">
        <v>12.03</v>
      </c>
      <c r="AJ75" s="766">
        <v>12.17</v>
      </c>
      <c r="AK75" s="766">
        <v>12.31</v>
      </c>
      <c r="AL75" s="766">
        <v>12.47</v>
      </c>
      <c r="AM75" s="766">
        <v>12.58</v>
      </c>
      <c r="AN75" s="766">
        <v>12.68</v>
      </c>
      <c r="AO75" s="766">
        <v>12.77</v>
      </c>
      <c r="AP75" s="766">
        <v>12.84</v>
      </c>
      <c r="AQ75" s="766">
        <v>12.92</v>
      </c>
      <c r="AR75" s="766">
        <v>13.02</v>
      </c>
      <c r="AS75" s="766">
        <v>13.08</v>
      </c>
      <c r="AT75" s="766">
        <v>13.16</v>
      </c>
      <c r="AU75" s="766">
        <v>13.26</v>
      </c>
      <c r="AV75" s="766">
        <v>13.37</v>
      </c>
      <c r="AW75" s="766">
        <v>13.47</v>
      </c>
      <c r="AX75" s="766">
        <v>13.57</v>
      </c>
      <c r="AY75" s="766">
        <v>13.67</v>
      </c>
      <c r="AZ75" s="766">
        <v>13.77</v>
      </c>
      <c r="BA75" s="766">
        <v>13.87</v>
      </c>
      <c r="BB75" s="766">
        <v>13.97</v>
      </c>
      <c r="BC75" s="766">
        <v>14.07</v>
      </c>
      <c r="BD75" s="766">
        <v>14.17</v>
      </c>
      <c r="BE75" s="766">
        <v>14.27</v>
      </c>
      <c r="BF75" s="766">
        <v>14.37</v>
      </c>
      <c r="BG75" s="766">
        <v>14.47</v>
      </c>
      <c r="BH75" s="766">
        <v>14.58</v>
      </c>
      <c r="BI75" s="766">
        <v>14.68</v>
      </c>
      <c r="BJ75" s="766">
        <v>14.78</v>
      </c>
      <c r="BK75" s="766">
        <v>14.88</v>
      </c>
      <c r="BL75" s="766">
        <v>14.98</v>
      </c>
      <c r="BM75" s="766">
        <v>15.08</v>
      </c>
      <c r="BN75" s="766">
        <v>15.18</v>
      </c>
      <c r="BO75" s="766">
        <v>15.28</v>
      </c>
      <c r="BP75" s="766">
        <v>15.38</v>
      </c>
      <c r="BQ75" s="766">
        <v>15.48</v>
      </c>
      <c r="BR75" s="766">
        <v>15.58</v>
      </c>
      <c r="BS75" s="766">
        <v>15.68</v>
      </c>
      <c r="BT75" s="888">
        <v>15.78</v>
      </c>
      <c r="BU75" s="766">
        <v>15.88</v>
      </c>
      <c r="BV75" s="766">
        <v>15.98</v>
      </c>
      <c r="BW75" s="766">
        <v>16.07</v>
      </c>
      <c r="BX75" s="766">
        <v>16.170000000000002</v>
      </c>
      <c r="BY75" s="766">
        <v>16.27</v>
      </c>
      <c r="BZ75" s="766">
        <v>16.37</v>
      </c>
      <c r="CA75" s="766">
        <v>16.47</v>
      </c>
      <c r="CB75" s="766">
        <v>16.559999999999999</v>
      </c>
      <c r="CC75" s="766">
        <v>16.66</v>
      </c>
      <c r="CD75" s="766">
        <v>16.760000000000002</v>
      </c>
      <c r="CE75" s="766">
        <v>16.850000000000001</v>
      </c>
      <c r="CF75" s="766">
        <v>16.95</v>
      </c>
      <c r="CG75" s="766">
        <v>17.05</v>
      </c>
      <c r="CH75" s="766">
        <v>17.14</v>
      </c>
      <c r="CI75" s="766">
        <v>17.239999999999998</v>
      </c>
      <c r="CJ75" s="766">
        <v>17.329999999999998</v>
      </c>
      <c r="CK75" s="766">
        <v>17.43</v>
      </c>
      <c r="CL75" s="766">
        <v>17.52</v>
      </c>
      <c r="CM75" s="766">
        <v>17.61</v>
      </c>
      <c r="CN75" s="766">
        <v>17.71</v>
      </c>
      <c r="CO75" s="766">
        <v>17.8</v>
      </c>
      <c r="CP75" s="766">
        <v>17.89</v>
      </c>
      <c r="CQ75" s="766">
        <v>17.989999999999998</v>
      </c>
      <c r="CR75" s="766">
        <v>18.079999999999998</v>
      </c>
      <c r="CS75" s="766">
        <v>18.170000000000002</v>
      </c>
      <c r="CT75" s="766">
        <v>18.260000000000002</v>
      </c>
      <c r="CU75" s="766">
        <v>18.350000000000001</v>
      </c>
      <c r="CV75" s="766">
        <v>18.440000000000001</v>
      </c>
      <c r="CW75" s="766">
        <v>18.53</v>
      </c>
      <c r="CX75" s="766">
        <v>18.62</v>
      </c>
      <c r="CY75" s="766">
        <v>18.71</v>
      </c>
      <c r="CZ75" s="766">
        <v>18.8</v>
      </c>
      <c r="DA75" s="766">
        <v>18.89</v>
      </c>
      <c r="DB75" s="766">
        <v>18.98</v>
      </c>
      <c r="DC75" s="766">
        <v>19.07</v>
      </c>
      <c r="DD75" s="766">
        <v>19.16</v>
      </c>
      <c r="DE75" s="766">
        <v>19.239999999999998</v>
      </c>
      <c r="DF75" s="766">
        <v>19.329999999999998</v>
      </c>
      <c r="DG75" s="766">
        <v>19.420000000000002</v>
      </c>
      <c r="DH75" s="766">
        <v>19.5</v>
      </c>
      <c r="DI75" s="766">
        <v>19.59</v>
      </c>
      <c r="DJ75" s="766">
        <v>19.670000000000002</v>
      </c>
      <c r="DK75" s="766">
        <v>19.760000000000002</v>
      </c>
      <c r="DL75" s="766">
        <v>19.84</v>
      </c>
      <c r="DM75" s="766">
        <v>19.93</v>
      </c>
      <c r="DN75" s="766">
        <v>20.010000000000002</v>
      </c>
      <c r="DO75" s="766">
        <v>20.09</v>
      </c>
      <c r="DP75" s="766">
        <v>20.18</v>
      </c>
      <c r="DQ75" s="766">
        <v>20.260000000000002</v>
      </c>
      <c r="DR75" s="766">
        <v>20.34</v>
      </c>
    </row>
    <row r="76" spans="1:122">
      <c r="A76" s="944">
        <v>74</v>
      </c>
      <c r="B76" s="96"/>
      <c r="C76" s="96"/>
      <c r="D76" s="96"/>
      <c r="E76" s="96"/>
      <c r="F76" s="96"/>
      <c r="G76" s="96"/>
      <c r="H76" s="96"/>
      <c r="I76" s="96"/>
      <c r="J76" s="96"/>
      <c r="K76" s="96"/>
      <c r="L76" s="96"/>
      <c r="M76" s="96"/>
      <c r="N76" s="96"/>
      <c r="O76" s="96"/>
      <c r="P76" s="96"/>
      <c r="Q76" s="96"/>
      <c r="R76" s="96"/>
      <c r="S76" s="96"/>
      <c r="T76" s="96"/>
      <c r="U76" s="96"/>
      <c r="V76" s="766"/>
      <c r="W76" s="766">
        <v>10.119999999999999</v>
      </c>
      <c r="X76" s="766">
        <v>10.27</v>
      </c>
      <c r="Y76" s="766">
        <v>10.39</v>
      </c>
      <c r="Z76" s="766">
        <v>10.58</v>
      </c>
      <c r="AA76" s="766">
        <v>10.65</v>
      </c>
      <c r="AB76" s="766">
        <v>10.77</v>
      </c>
      <c r="AC76" s="766">
        <v>10.81</v>
      </c>
      <c r="AD76" s="766">
        <v>10.82</v>
      </c>
      <c r="AE76" s="766">
        <v>10.91</v>
      </c>
      <c r="AF76" s="766">
        <v>11.06</v>
      </c>
      <c r="AG76" s="766">
        <v>11.19</v>
      </c>
      <c r="AH76" s="766">
        <v>11.29</v>
      </c>
      <c r="AI76" s="766">
        <v>11.43</v>
      </c>
      <c r="AJ76" s="766">
        <v>11.57</v>
      </c>
      <c r="AK76" s="766">
        <v>11.7</v>
      </c>
      <c r="AL76" s="766">
        <v>11.84</v>
      </c>
      <c r="AM76" s="766">
        <v>11.95</v>
      </c>
      <c r="AN76" s="766">
        <v>12.04</v>
      </c>
      <c r="AO76" s="766">
        <v>12.14</v>
      </c>
      <c r="AP76" s="766">
        <v>12.19</v>
      </c>
      <c r="AQ76" s="766">
        <v>12.29</v>
      </c>
      <c r="AR76" s="766">
        <v>12.37</v>
      </c>
      <c r="AS76" s="766">
        <v>12.45</v>
      </c>
      <c r="AT76" s="766">
        <v>12.54</v>
      </c>
      <c r="AU76" s="766">
        <v>12.64</v>
      </c>
      <c r="AV76" s="766">
        <v>12.73</v>
      </c>
      <c r="AW76" s="766">
        <v>12.83</v>
      </c>
      <c r="AX76" s="766">
        <v>12.93</v>
      </c>
      <c r="AY76" s="766">
        <v>13.02</v>
      </c>
      <c r="AZ76" s="766">
        <v>13.12</v>
      </c>
      <c r="BA76" s="766">
        <v>13.21</v>
      </c>
      <c r="BB76" s="766">
        <v>13.31</v>
      </c>
      <c r="BC76" s="766">
        <v>13.41</v>
      </c>
      <c r="BD76" s="766">
        <v>13.51</v>
      </c>
      <c r="BE76" s="766">
        <v>13.6</v>
      </c>
      <c r="BF76" s="766">
        <v>13.7</v>
      </c>
      <c r="BG76" s="766">
        <v>13.8</v>
      </c>
      <c r="BH76" s="766">
        <v>13.89</v>
      </c>
      <c r="BI76" s="766">
        <v>13.99</v>
      </c>
      <c r="BJ76" s="766">
        <v>14.09</v>
      </c>
      <c r="BK76" s="766">
        <v>14.19</v>
      </c>
      <c r="BL76" s="766">
        <v>14.28</v>
      </c>
      <c r="BM76" s="766">
        <v>14.38</v>
      </c>
      <c r="BN76" s="766">
        <v>14.48</v>
      </c>
      <c r="BO76" s="766">
        <v>14.57</v>
      </c>
      <c r="BP76" s="766">
        <v>14.67</v>
      </c>
      <c r="BQ76" s="766">
        <v>14.77</v>
      </c>
      <c r="BR76" s="766">
        <v>14.86</v>
      </c>
      <c r="BS76" s="766">
        <v>14.96</v>
      </c>
      <c r="BT76" s="888">
        <v>15.05</v>
      </c>
      <c r="BU76" s="766">
        <v>15.15</v>
      </c>
      <c r="BV76" s="766">
        <v>15.24</v>
      </c>
      <c r="BW76" s="766">
        <v>15.34</v>
      </c>
      <c r="BX76" s="766">
        <v>15.43</v>
      </c>
      <c r="BY76" s="766">
        <v>15.53</v>
      </c>
      <c r="BZ76" s="766">
        <v>15.62</v>
      </c>
      <c r="CA76" s="766">
        <v>15.72</v>
      </c>
      <c r="CB76" s="766">
        <v>15.81</v>
      </c>
      <c r="CC76" s="766">
        <v>15.9</v>
      </c>
      <c r="CD76" s="766">
        <v>16</v>
      </c>
      <c r="CE76" s="766">
        <v>16.09</v>
      </c>
      <c r="CF76" s="766">
        <v>16.18</v>
      </c>
      <c r="CG76" s="766">
        <v>16.28</v>
      </c>
      <c r="CH76" s="766">
        <v>16.37</v>
      </c>
      <c r="CI76" s="766">
        <v>16.46</v>
      </c>
      <c r="CJ76" s="766">
        <v>16.55</v>
      </c>
      <c r="CK76" s="766">
        <v>16.64</v>
      </c>
      <c r="CL76" s="766">
        <v>16.739999999999998</v>
      </c>
      <c r="CM76" s="766">
        <v>16.829999999999998</v>
      </c>
      <c r="CN76" s="766">
        <v>16.920000000000002</v>
      </c>
      <c r="CO76" s="766">
        <v>17.010000000000002</v>
      </c>
      <c r="CP76" s="766">
        <v>17.100000000000001</v>
      </c>
      <c r="CQ76" s="766">
        <v>17.190000000000001</v>
      </c>
      <c r="CR76" s="766">
        <v>17.28</v>
      </c>
      <c r="CS76" s="766">
        <v>17.37</v>
      </c>
      <c r="CT76" s="766">
        <v>17.46</v>
      </c>
      <c r="CU76" s="766">
        <v>17.54</v>
      </c>
      <c r="CV76" s="766">
        <v>17.63</v>
      </c>
      <c r="CW76" s="766">
        <v>17.72</v>
      </c>
      <c r="CX76" s="766">
        <v>17.809999999999999</v>
      </c>
      <c r="CY76" s="766">
        <v>17.89</v>
      </c>
      <c r="CZ76" s="766">
        <v>17.98</v>
      </c>
      <c r="DA76" s="766">
        <v>18.07</v>
      </c>
      <c r="DB76" s="766">
        <v>18.149999999999999</v>
      </c>
      <c r="DC76" s="766">
        <v>18.239999999999998</v>
      </c>
      <c r="DD76" s="766">
        <v>18.32</v>
      </c>
      <c r="DE76" s="766">
        <v>18.41</v>
      </c>
      <c r="DF76" s="766">
        <v>18.489999999999998</v>
      </c>
      <c r="DG76" s="766">
        <v>18.579999999999998</v>
      </c>
      <c r="DH76" s="766">
        <v>18.66</v>
      </c>
      <c r="DI76" s="766">
        <v>18.739999999999998</v>
      </c>
      <c r="DJ76" s="766">
        <v>18.829999999999998</v>
      </c>
      <c r="DK76" s="766">
        <v>18.91</v>
      </c>
      <c r="DL76" s="766">
        <v>18.989999999999998</v>
      </c>
      <c r="DM76" s="766">
        <v>19.07</v>
      </c>
      <c r="DN76" s="766">
        <v>19.16</v>
      </c>
      <c r="DO76" s="766">
        <v>19.239999999999998</v>
      </c>
      <c r="DP76" s="766">
        <v>19.32</v>
      </c>
      <c r="DQ76" s="766">
        <v>19.399999999999999</v>
      </c>
      <c r="DR76" s="766">
        <v>19.48</v>
      </c>
    </row>
    <row r="77" spans="1:122">
      <c r="A77" s="944">
        <v>75</v>
      </c>
      <c r="B77" s="96"/>
      <c r="C77" s="96"/>
      <c r="D77" s="96"/>
      <c r="E77" s="96"/>
      <c r="F77" s="96"/>
      <c r="G77" s="96"/>
      <c r="H77" s="96"/>
      <c r="I77" s="96"/>
      <c r="J77" s="96"/>
      <c r="K77" s="96"/>
      <c r="L77" s="96"/>
      <c r="M77" s="96"/>
      <c r="N77" s="96"/>
      <c r="O77" s="96"/>
      <c r="P77" s="96"/>
      <c r="Q77" s="96"/>
      <c r="R77" s="96"/>
      <c r="S77" s="96"/>
      <c r="T77" s="96"/>
      <c r="U77" s="96"/>
      <c r="V77" s="766"/>
      <c r="W77" s="766">
        <v>9.65</v>
      </c>
      <c r="X77" s="766">
        <v>9.7799999999999994</v>
      </c>
      <c r="Y77" s="766">
        <v>9.89</v>
      </c>
      <c r="Z77" s="766">
        <v>10.07</v>
      </c>
      <c r="AA77" s="766">
        <v>10.119999999999999</v>
      </c>
      <c r="AB77" s="766">
        <v>10.24</v>
      </c>
      <c r="AC77" s="766">
        <v>10.27</v>
      </c>
      <c r="AD77" s="766">
        <v>10.29</v>
      </c>
      <c r="AE77" s="766">
        <v>10.37</v>
      </c>
      <c r="AF77" s="766">
        <v>10.5</v>
      </c>
      <c r="AG77" s="766">
        <v>10.62</v>
      </c>
      <c r="AH77" s="766">
        <v>10.71</v>
      </c>
      <c r="AI77" s="766">
        <v>10.85</v>
      </c>
      <c r="AJ77" s="766">
        <v>10.98</v>
      </c>
      <c r="AK77" s="766">
        <v>11.1</v>
      </c>
      <c r="AL77" s="766">
        <v>11.23</v>
      </c>
      <c r="AM77" s="766">
        <v>11.33</v>
      </c>
      <c r="AN77" s="766">
        <v>11.42</v>
      </c>
      <c r="AO77" s="766">
        <v>11.5</v>
      </c>
      <c r="AP77" s="766">
        <v>11.58</v>
      </c>
      <c r="AQ77" s="766">
        <v>11.66</v>
      </c>
      <c r="AR77" s="766">
        <v>11.75</v>
      </c>
      <c r="AS77" s="766">
        <v>11.84</v>
      </c>
      <c r="AT77" s="766">
        <v>11.92</v>
      </c>
      <c r="AU77" s="766">
        <v>12.01</v>
      </c>
      <c r="AV77" s="766">
        <v>12.11</v>
      </c>
      <c r="AW77" s="766">
        <v>12.2</v>
      </c>
      <c r="AX77" s="766">
        <v>12.29</v>
      </c>
      <c r="AY77" s="766">
        <v>12.38</v>
      </c>
      <c r="AZ77" s="766">
        <v>12.47</v>
      </c>
      <c r="BA77" s="766">
        <v>12.57</v>
      </c>
      <c r="BB77" s="766">
        <v>12.66</v>
      </c>
      <c r="BC77" s="766">
        <v>12.75</v>
      </c>
      <c r="BD77" s="766">
        <v>12.85</v>
      </c>
      <c r="BE77" s="766">
        <v>12.94</v>
      </c>
      <c r="BF77" s="766">
        <v>13.03</v>
      </c>
      <c r="BG77" s="766">
        <v>13.13</v>
      </c>
      <c r="BH77" s="766">
        <v>13.22</v>
      </c>
      <c r="BI77" s="766">
        <v>13.31</v>
      </c>
      <c r="BJ77" s="766">
        <v>13.41</v>
      </c>
      <c r="BK77" s="766">
        <v>13.5</v>
      </c>
      <c r="BL77" s="766">
        <v>13.59</v>
      </c>
      <c r="BM77" s="766">
        <v>13.69</v>
      </c>
      <c r="BN77" s="766">
        <v>13.78</v>
      </c>
      <c r="BO77" s="766">
        <v>13.87</v>
      </c>
      <c r="BP77" s="766">
        <v>13.96</v>
      </c>
      <c r="BQ77" s="766">
        <v>14.06</v>
      </c>
      <c r="BR77" s="766">
        <v>14.15</v>
      </c>
      <c r="BS77" s="766">
        <v>14.24</v>
      </c>
      <c r="BT77" s="888">
        <v>14.33</v>
      </c>
      <c r="BU77" s="766">
        <v>14.43</v>
      </c>
      <c r="BV77" s="766">
        <v>14.52</v>
      </c>
      <c r="BW77" s="766">
        <v>14.61</v>
      </c>
      <c r="BX77" s="766">
        <v>14.7</v>
      </c>
      <c r="BY77" s="766">
        <v>14.79</v>
      </c>
      <c r="BZ77" s="766">
        <v>14.88</v>
      </c>
      <c r="CA77" s="766">
        <v>14.97</v>
      </c>
      <c r="CB77" s="766">
        <v>15.07</v>
      </c>
      <c r="CC77" s="766">
        <v>15.16</v>
      </c>
      <c r="CD77" s="766">
        <v>15.25</v>
      </c>
      <c r="CE77" s="766">
        <v>15.34</v>
      </c>
      <c r="CF77" s="766">
        <v>15.43</v>
      </c>
      <c r="CG77" s="766">
        <v>15.52</v>
      </c>
      <c r="CH77" s="766">
        <v>15.6</v>
      </c>
      <c r="CI77" s="766">
        <v>15.69</v>
      </c>
      <c r="CJ77" s="766">
        <v>15.78</v>
      </c>
      <c r="CK77" s="766">
        <v>15.87</v>
      </c>
      <c r="CL77" s="766">
        <v>15.96</v>
      </c>
      <c r="CM77" s="766">
        <v>16.05</v>
      </c>
      <c r="CN77" s="766">
        <v>16.14</v>
      </c>
      <c r="CO77" s="766">
        <v>16.22</v>
      </c>
      <c r="CP77" s="766">
        <v>16.309999999999999</v>
      </c>
      <c r="CQ77" s="766">
        <v>16.399999999999999</v>
      </c>
      <c r="CR77" s="766">
        <v>16.48</v>
      </c>
      <c r="CS77" s="766">
        <v>16.57</v>
      </c>
      <c r="CT77" s="766">
        <v>16.66</v>
      </c>
      <c r="CU77" s="766">
        <v>16.739999999999998</v>
      </c>
      <c r="CV77" s="766">
        <v>16.829999999999998</v>
      </c>
      <c r="CW77" s="766">
        <v>16.91</v>
      </c>
      <c r="CX77" s="766">
        <v>17</v>
      </c>
      <c r="CY77" s="766">
        <v>17.079999999999998</v>
      </c>
      <c r="CZ77" s="766">
        <v>17.170000000000002</v>
      </c>
      <c r="DA77" s="766">
        <v>17.25</v>
      </c>
      <c r="DB77" s="766">
        <v>17.329999999999998</v>
      </c>
      <c r="DC77" s="766">
        <v>17.420000000000002</v>
      </c>
      <c r="DD77" s="766">
        <v>17.5</v>
      </c>
      <c r="DE77" s="766">
        <v>17.579999999999998</v>
      </c>
      <c r="DF77" s="766">
        <v>17.66</v>
      </c>
      <c r="DG77" s="766">
        <v>17.739999999999998</v>
      </c>
      <c r="DH77" s="766">
        <v>17.829999999999998</v>
      </c>
      <c r="DI77" s="766">
        <v>17.91</v>
      </c>
      <c r="DJ77" s="766">
        <v>17.989999999999998</v>
      </c>
      <c r="DK77" s="766">
        <v>18.07</v>
      </c>
      <c r="DL77" s="766">
        <v>18.149999999999999</v>
      </c>
      <c r="DM77" s="766">
        <v>18.23</v>
      </c>
      <c r="DN77" s="766">
        <v>18.309999999999999</v>
      </c>
      <c r="DO77" s="766">
        <v>18.39</v>
      </c>
      <c r="DP77" s="766">
        <v>18.46</v>
      </c>
      <c r="DQ77" s="766">
        <v>18.54</v>
      </c>
      <c r="DR77" s="766">
        <v>18.62</v>
      </c>
    </row>
    <row r="78" spans="1:122">
      <c r="A78" s="944">
        <v>76</v>
      </c>
      <c r="B78" s="96"/>
      <c r="C78" s="96"/>
      <c r="D78" s="96"/>
      <c r="E78" s="96"/>
      <c r="F78" s="96"/>
      <c r="G78" s="96"/>
      <c r="H78" s="96"/>
      <c r="I78" s="96"/>
      <c r="J78" s="96"/>
      <c r="K78" s="96"/>
      <c r="L78" s="96"/>
      <c r="M78" s="96"/>
      <c r="N78" s="96"/>
      <c r="O78" s="96"/>
      <c r="P78" s="96"/>
      <c r="Q78" s="96"/>
      <c r="R78" s="96"/>
      <c r="S78" s="96"/>
      <c r="T78" s="96"/>
      <c r="U78" s="96"/>
      <c r="V78" s="766"/>
      <c r="W78" s="766">
        <v>9.18</v>
      </c>
      <c r="X78" s="766">
        <v>9.3000000000000007</v>
      </c>
      <c r="Y78" s="766">
        <v>9.4</v>
      </c>
      <c r="Z78" s="766">
        <v>9.56</v>
      </c>
      <c r="AA78" s="766">
        <v>9.61</v>
      </c>
      <c r="AB78" s="766">
        <v>9.7100000000000009</v>
      </c>
      <c r="AC78" s="766">
        <v>9.75</v>
      </c>
      <c r="AD78" s="766">
        <v>9.77</v>
      </c>
      <c r="AE78" s="766">
        <v>9.83</v>
      </c>
      <c r="AF78" s="766">
        <v>9.9499999999999993</v>
      </c>
      <c r="AG78" s="766">
        <v>10.050000000000001</v>
      </c>
      <c r="AH78" s="766">
        <v>10.15</v>
      </c>
      <c r="AI78" s="766">
        <v>10.27</v>
      </c>
      <c r="AJ78" s="766">
        <v>10.39</v>
      </c>
      <c r="AK78" s="766">
        <v>10.51</v>
      </c>
      <c r="AL78" s="766">
        <v>10.63</v>
      </c>
      <c r="AM78" s="766">
        <v>10.73</v>
      </c>
      <c r="AN78" s="766">
        <v>10.8</v>
      </c>
      <c r="AO78" s="766">
        <v>10.9</v>
      </c>
      <c r="AP78" s="766">
        <v>10.97</v>
      </c>
      <c r="AQ78" s="766">
        <v>11.05</v>
      </c>
      <c r="AR78" s="766">
        <v>11.14</v>
      </c>
      <c r="AS78" s="766">
        <v>11.22</v>
      </c>
      <c r="AT78" s="766">
        <v>11.31</v>
      </c>
      <c r="AU78" s="766">
        <v>11.4</v>
      </c>
      <c r="AV78" s="766">
        <v>11.48</v>
      </c>
      <c r="AW78" s="766">
        <v>11.57</v>
      </c>
      <c r="AX78" s="766">
        <v>11.66</v>
      </c>
      <c r="AY78" s="766">
        <v>11.75</v>
      </c>
      <c r="AZ78" s="766">
        <v>11.84</v>
      </c>
      <c r="BA78" s="766">
        <v>11.93</v>
      </c>
      <c r="BB78" s="766">
        <v>12.01</v>
      </c>
      <c r="BC78" s="766">
        <v>12.1</v>
      </c>
      <c r="BD78" s="766">
        <v>12.19</v>
      </c>
      <c r="BE78" s="766">
        <v>12.28</v>
      </c>
      <c r="BF78" s="766">
        <v>12.37</v>
      </c>
      <c r="BG78" s="766">
        <v>12.46</v>
      </c>
      <c r="BH78" s="766">
        <v>12.55</v>
      </c>
      <c r="BI78" s="766">
        <v>12.64</v>
      </c>
      <c r="BJ78" s="766">
        <v>12.73</v>
      </c>
      <c r="BK78" s="766">
        <v>12.82</v>
      </c>
      <c r="BL78" s="766">
        <v>12.91</v>
      </c>
      <c r="BM78" s="766">
        <v>13</v>
      </c>
      <c r="BN78" s="766">
        <v>13.09</v>
      </c>
      <c r="BO78" s="766">
        <v>13.18</v>
      </c>
      <c r="BP78" s="766">
        <v>13.27</v>
      </c>
      <c r="BQ78" s="766">
        <v>13.36</v>
      </c>
      <c r="BR78" s="766">
        <v>13.45</v>
      </c>
      <c r="BS78" s="766">
        <v>13.53</v>
      </c>
      <c r="BT78" s="888">
        <v>13.62</v>
      </c>
      <c r="BU78" s="766">
        <v>13.71</v>
      </c>
      <c r="BV78" s="766">
        <v>13.8</v>
      </c>
      <c r="BW78" s="766">
        <v>13.89</v>
      </c>
      <c r="BX78" s="766">
        <v>13.98</v>
      </c>
      <c r="BY78" s="766">
        <v>14.06</v>
      </c>
      <c r="BZ78" s="766">
        <v>14.15</v>
      </c>
      <c r="CA78" s="766">
        <v>14.24</v>
      </c>
      <c r="CB78" s="766">
        <v>14.33</v>
      </c>
      <c r="CC78" s="766">
        <v>14.41</v>
      </c>
      <c r="CD78" s="766">
        <v>14.5</v>
      </c>
      <c r="CE78" s="766">
        <v>14.59</v>
      </c>
      <c r="CF78" s="766">
        <v>14.68</v>
      </c>
      <c r="CG78" s="766">
        <v>14.76</v>
      </c>
      <c r="CH78" s="766">
        <v>14.85</v>
      </c>
      <c r="CI78" s="766">
        <v>14.93</v>
      </c>
      <c r="CJ78" s="766">
        <v>15.02</v>
      </c>
      <c r="CK78" s="766">
        <v>15.11</v>
      </c>
      <c r="CL78" s="766">
        <v>15.19</v>
      </c>
      <c r="CM78" s="766">
        <v>15.28</v>
      </c>
      <c r="CN78" s="766">
        <v>15.36</v>
      </c>
      <c r="CO78" s="766">
        <v>15.45</v>
      </c>
      <c r="CP78" s="766">
        <v>15.53</v>
      </c>
      <c r="CQ78" s="766">
        <v>15.61</v>
      </c>
      <c r="CR78" s="766">
        <v>15.7</v>
      </c>
      <c r="CS78" s="766">
        <v>15.78</v>
      </c>
      <c r="CT78" s="766">
        <v>15.86</v>
      </c>
      <c r="CU78" s="766">
        <v>15.95</v>
      </c>
      <c r="CV78" s="766">
        <v>16.03</v>
      </c>
      <c r="CW78" s="766">
        <v>16.11</v>
      </c>
      <c r="CX78" s="766">
        <v>16.190000000000001</v>
      </c>
      <c r="CY78" s="766">
        <v>16.28</v>
      </c>
      <c r="CZ78" s="766">
        <v>16.36</v>
      </c>
      <c r="DA78" s="766">
        <v>16.440000000000001</v>
      </c>
      <c r="DB78" s="766">
        <v>16.52</v>
      </c>
      <c r="DC78" s="766">
        <v>16.600000000000001</v>
      </c>
      <c r="DD78" s="766">
        <v>16.68</v>
      </c>
      <c r="DE78" s="766">
        <v>16.760000000000002</v>
      </c>
      <c r="DF78" s="766">
        <v>16.84</v>
      </c>
      <c r="DG78" s="766">
        <v>16.920000000000002</v>
      </c>
      <c r="DH78" s="766">
        <v>17</v>
      </c>
      <c r="DI78" s="766">
        <v>17.079999999999998</v>
      </c>
      <c r="DJ78" s="766">
        <v>17.16</v>
      </c>
      <c r="DK78" s="766">
        <v>17.23</v>
      </c>
      <c r="DL78" s="766">
        <v>17.309999999999999</v>
      </c>
      <c r="DM78" s="766">
        <v>17.39</v>
      </c>
      <c r="DN78" s="766">
        <v>17.47</v>
      </c>
      <c r="DO78" s="766">
        <v>17.54</v>
      </c>
      <c r="DP78" s="766">
        <v>17.62</v>
      </c>
      <c r="DQ78" s="766">
        <v>17.690000000000001</v>
      </c>
      <c r="DR78" s="766">
        <v>17.77</v>
      </c>
    </row>
    <row r="79" spans="1:122">
      <c r="A79" s="944">
        <v>77</v>
      </c>
      <c r="B79" s="96"/>
      <c r="C79" s="96"/>
      <c r="D79" s="96"/>
      <c r="E79" s="96"/>
      <c r="F79" s="96"/>
      <c r="G79" s="96"/>
      <c r="H79" s="96"/>
      <c r="I79" s="96"/>
      <c r="J79" s="96"/>
      <c r="K79" s="96"/>
      <c r="L79" s="96"/>
      <c r="M79" s="96"/>
      <c r="N79" s="96"/>
      <c r="O79" s="96"/>
      <c r="P79" s="96"/>
      <c r="Q79" s="96"/>
      <c r="R79" s="96"/>
      <c r="S79" s="96"/>
      <c r="T79" s="96"/>
      <c r="U79" s="96"/>
      <c r="V79" s="766"/>
      <c r="W79" s="766">
        <v>8.7200000000000006</v>
      </c>
      <c r="X79" s="766">
        <v>8.83</v>
      </c>
      <c r="Y79" s="766">
        <v>8.91</v>
      </c>
      <c r="Z79" s="766">
        <v>9.0500000000000007</v>
      </c>
      <c r="AA79" s="766">
        <v>9.1</v>
      </c>
      <c r="AB79" s="766">
        <v>9.1999999999999993</v>
      </c>
      <c r="AC79" s="766">
        <v>9.2200000000000006</v>
      </c>
      <c r="AD79" s="766">
        <v>9.24</v>
      </c>
      <c r="AE79" s="766">
        <v>9.3000000000000007</v>
      </c>
      <c r="AF79" s="766">
        <v>9.4</v>
      </c>
      <c r="AG79" s="766">
        <v>9.5</v>
      </c>
      <c r="AH79" s="766">
        <v>9.59</v>
      </c>
      <c r="AI79" s="766">
        <v>9.6999999999999993</v>
      </c>
      <c r="AJ79" s="766">
        <v>9.82</v>
      </c>
      <c r="AK79" s="766">
        <v>9.93</v>
      </c>
      <c r="AL79" s="766">
        <v>10.06</v>
      </c>
      <c r="AM79" s="766">
        <v>10.130000000000001</v>
      </c>
      <c r="AN79" s="766">
        <v>10.210000000000001</v>
      </c>
      <c r="AO79" s="766">
        <v>10.3</v>
      </c>
      <c r="AP79" s="766">
        <v>10.38</v>
      </c>
      <c r="AQ79" s="766">
        <v>10.46</v>
      </c>
      <c r="AR79" s="766">
        <v>10.54</v>
      </c>
      <c r="AS79" s="766">
        <v>10.62</v>
      </c>
      <c r="AT79" s="766">
        <v>10.7</v>
      </c>
      <c r="AU79" s="766">
        <v>10.79</v>
      </c>
      <c r="AV79" s="766">
        <v>10.87</v>
      </c>
      <c r="AW79" s="766">
        <v>10.95</v>
      </c>
      <c r="AX79" s="766">
        <v>11.04</v>
      </c>
      <c r="AY79" s="766">
        <v>11.12</v>
      </c>
      <c r="AZ79" s="766">
        <v>11.21</v>
      </c>
      <c r="BA79" s="766">
        <v>11.29</v>
      </c>
      <c r="BB79" s="766">
        <v>11.38</v>
      </c>
      <c r="BC79" s="766">
        <v>11.46</v>
      </c>
      <c r="BD79" s="766">
        <v>11.55</v>
      </c>
      <c r="BE79" s="766">
        <v>11.64</v>
      </c>
      <c r="BF79" s="766">
        <v>11.72</v>
      </c>
      <c r="BG79" s="766">
        <v>11.81</v>
      </c>
      <c r="BH79" s="766">
        <v>11.89</v>
      </c>
      <c r="BI79" s="766">
        <v>11.98</v>
      </c>
      <c r="BJ79" s="766">
        <v>12.07</v>
      </c>
      <c r="BK79" s="766">
        <v>12.15</v>
      </c>
      <c r="BL79" s="766">
        <v>12.24</v>
      </c>
      <c r="BM79" s="766">
        <v>12.32</v>
      </c>
      <c r="BN79" s="766">
        <v>12.41</v>
      </c>
      <c r="BO79" s="766">
        <v>12.49</v>
      </c>
      <c r="BP79" s="766">
        <v>12.58</v>
      </c>
      <c r="BQ79" s="766">
        <v>12.67</v>
      </c>
      <c r="BR79" s="766">
        <v>12.75</v>
      </c>
      <c r="BS79" s="766">
        <v>12.84</v>
      </c>
      <c r="BT79" s="888">
        <v>12.92</v>
      </c>
      <c r="BU79" s="766">
        <v>13.01</v>
      </c>
      <c r="BV79" s="766">
        <v>13.09</v>
      </c>
      <c r="BW79" s="766">
        <v>13.18</v>
      </c>
      <c r="BX79" s="766">
        <v>13.26</v>
      </c>
      <c r="BY79" s="766">
        <v>13.35</v>
      </c>
      <c r="BZ79" s="766">
        <v>13.43</v>
      </c>
      <c r="CA79" s="766">
        <v>13.51</v>
      </c>
      <c r="CB79" s="766">
        <v>13.6</v>
      </c>
      <c r="CC79" s="766">
        <v>13.68</v>
      </c>
      <c r="CD79" s="766">
        <v>13.77</v>
      </c>
      <c r="CE79" s="766">
        <v>13.85</v>
      </c>
      <c r="CF79" s="766">
        <v>13.93</v>
      </c>
      <c r="CG79" s="766">
        <v>14.02</v>
      </c>
      <c r="CH79" s="766">
        <v>14.1</v>
      </c>
      <c r="CI79" s="766">
        <v>14.18</v>
      </c>
      <c r="CJ79" s="766">
        <v>14.27</v>
      </c>
      <c r="CK79" s="766">
        <v>14.35</v>
      </c>
      <c r="CL79" s="766">
        <v>14.43</v>
      </c>
      <c r="CM79" s="766">
        <v>14.51</v>
      </c>
      <c r="CN79" s="766">
        <v>14.59</v>
      </c>
      <c r="CO79" s="766">
        <v>14.68</v>
      </c>
      <c r="CP79" s="766">
        <v>14.76</v>
      </c>
      <c r="CQ79" s="766">
        <v>14.84</v>
      </c>
      <c r="CR79" s="766">
        <v>14.92</v>
      </c>
      <c r="CS79" s="766">
        <v>15</v>
      </c>
      <c r="CT79" s="766">
        <v>15.08</v>
      </c>
      <c r="CU79" s="766">
        <v>15.16</v>
      </c>
      <c r="CV79" s="766">
        <v>15.24</v>
      </c>
      <c r="CW79" s="766">
        <v>15.32</v>
      </c>
      <c r="CX79" s="766">
        <v>15.4</v>
      </c>
      <c r="CY79" s="766">
        <v>15.48</v>
      </c>
      <c r="CZ79" s="766">
        <v>15.56</v>
      </c>
      <c r="DA79" s="766">
        <v>15.64</v>
      </c>
      <c r="DB79" s="766">
        <v>15.72</v>
      </c>
      <c r="DC79" s="766">
        <v>15.79</v>
      </c>
      <c r="DD79" s="766">
        <v>15.87</v>
      </c>
      <c r="DE79" s="766">
        <v>15.95</v>
      </c>
      <c r="DF79" s="766">
        <v>16.03</v>
      </c>
      <c r="DG79" s="766">
        <v>16.100000000000001</v>
      </c>
      <c r="DH79" s="766">
        <v>16.18</v>
      </c>
      <c r="DI79" s="766">
        <v>16.260000000000002</v>
      </c>
      <c r="DJ79" s="766">
        <v>16.329999999999998</v>
      </c>
      <c r="DK79" s="766">
        <v>16.41</v>
      </c>
      <c r="DL79" s="766">
        <v>16.48</v>
      </c>
      <c r="DM79" s="766">
        <v>16.559999999999999</v>
      </c>
      <c r="DN79" s="766">
        <v>16.63</v>
      </c>
      <c r="DO79" s="766">
        <v>16.71</v>
      </c>
      <c r="DP79" s="766">
        <v>16.78</v>
      </c>
      <c r="DQ79" s="766">
        <v>16.850000000000001</v>
      </c>
      <c r="DR79" s="766">
        <v>16.93</v>
      </c>
    </row>
    <row r="80" spans="1:122">
      <c r="A80" s="944">
        <v>78</v>
      </c>
      <c r="B80" s="96"/>
      <c r="C80" s="96"/>
      <c r="D80" s="96"/>
      <c r="E80" s="96"/>
      <c r="F80" s="96"/>
      <c r="G80" s="96"/>
      <c r="H80" s="96"/>
      <c r="I80" s="96"/>
      <c r="J80" s="96"/>
      <c r="K80" s="96"/>
      <c r="L80" s="96"/>
      <c r="M80" s="96"/>
      <c r="N80" s="96"/>
      <c r="O80" s="96"/>
      <c r="P80" s="96"/>
      <c r="Q80" s="96"/>
      <c r="R80" s="96"/>
      <c r="S80" s="96"/>
      <c r="T80" s="96"/>
      <c r="U80" s="96"/>
      <c r="V80" s="766"/>
      <c r="W80" s="766">
        <v>8.27</v>
      </c>
      <c r="X80" s="766">
        <v>8.36</v>
      </c>
      <c r="Y80" s="766">
        <v>8.42</v>
      </c>
      <c r="Z80" s="766">
        <v>8.56</v>
      </c>
      <c r="AA80" s="766">
        <v>8.61</v>
      </c>
      <c r="AB80" s="766">
        <v>8.6999999999999993</v>
      </c>
      <c r="AC80" s="766">
        <v>8.7200000000000006</v>
      </c>
      <c r="AD80" s="766">
        <v>8.73</v>
      </c>
      <c r="AE80" s="766">
        <v>8.77</v>
      </c>
      <c r="AF80" s="766">
        <v>8.8699999999999992</v>
      </c>
      <c r="AG80" s="766">
        <v>8.9700000000000006</v>
      </c>
      <c r="AH80" s="766">
        <v>9.0399999999999991</v>
      </c>
      <c r="AI80" s="766">
        <v>9.16</v>
      </c>
      <c r="AJ80" s="766">
        <v>9.27</v>
      </c>
      <c r="AK80" s="766">
        <v>9.3800000000000008</v>
      </c>
      <c r="AL80" s="766">
        <v>9.4700000000000006</v>
      </c>
      <c r="AM80" s="766">
        <v>9.56</v>
      </c>
      <c r="AN80" s="766">
        <v>9.6300000000000008</v>
      </c>
      <c r="AO80" s="766">
        <v>9.7200000000000006</v>
      </c>
      <c r="AP80" s="766">
        <v>9.7899999999999991</v>
      </c>
      <c r="AQ80" s="766">
        <v>9.8699999999999992</v>
      </c>
      <c r="AR80" s="766">
        <v>9.9499999999999993</v>
      </c>
      <c r="AS80" s="766">
        <v>10.029999999999999</v>
      </c>
      <c r="AT80" s="766">
        <v>10.11</v>
      </c>
      <c r="AU80" s="766">
        <v>10.19</v>
      </c>
      <c r="AV80" s="766">
        <v>10.27</v>
      </c>
      <c r="AW80" s="766">
        <v>10.35</v>
      </c>
      <c r="AX80" s="766">
        <v>10.43</v>
      </c>
      <c r="AY80" s="766">
        <v>10.51</v>
      </c>
      <c r="AZ80" s="766">
        <v>10.59</v>
      </c>
      <c r="BA80" s="766">
        <v>10.67</v>
      </c>
      <c r="BB80" s="766">
        <v>10.75</v>
      </c>
      <c r="BC80" s="766">
        <v>10.83</v>
      </c>
      <c r="BD80" s="766">
        <v>10.92</v>
      </c>
      <c r="BE80" s="766">
        <v>11</v>
      </c>
      <c r="BF80" s="766">
        <v>11.08</v>
      </c>
      <c r="BG80" s="766">
        <v>11.16</v>
      </c>
      <c r="BH80" s="766">
        <v>11.24</v>
      </c>
      <c r="BI80" s="766">
        <v>11.33</v>
      </c>
      <c r="BJ80" s="766">
        <v>11.41</v>
      </c>
      <c r="BK80" s="766">
        <v>11.49</v>
      </c>
      <c r="BL80" s="766">
        <v>11.57</v>
      </c>
      <c r="BM80" s="766">
        <v>11.66</v>
      </c>
      <c r="BN80" s="766">
        <v>11.74</v>
      </c>
      <c r="BO80" s="766">
        <v>11.82</v>
      </c>
      <c r="BP80" s="766">
        <v>11.9</v>
      </c>
      <c r="BQ80" s="766">
        <v>11.98</v>
      </c>
      <c r="BR80" s="766">
        <v>12.07</v>
      </c>
      <c r="BS80" s="766">
        <v>12.15</v>
      </c>
      <c r="BT80" s="888">
        <v>12.23</v>
      </c>
      <c r="BU80" s="766">
        <v>12.31</v>
      </c>
      <c r="BV80" s="766">
        <v>12.39</v>
      </c>
      <c r="BW80" s="766">
        <v>12.47</v>
      </c>
      <c r="BX80" s="766">
        <v>12.56</v>
      </c>
      <c r="BY80" s="766">
        <v>12.64</v>
      </c>
      <c r="BZ80" s="766">
        <v>12.72</v>
      </c>
      <c r="CA80" s="766">
        <v>12.8</v>
      </c>
      <c r="CB80" s="766">
        <v>12.88</v>
      </c>
      <c r="CC80" s="766">
        <v>12.96</v>
      </c>
      <c r="CD80" s="766">
        <v>13.04</v>
      </c>
      <c r="CE80" s="766">
        <v>13.12</v>
      </c>
      <c r="CF80" s="766">
        <v>13.2</v>
      </c>
      <c r="CG80" s="766">
        <v>13.28</v>
      </c>
      <c r="CH80" s="766">
        <v>13.36</v>
      </c>
      <c r="CI80" s="766">
        <v>13.44</v>
      </c>
      <c r="CJ80" s="766">
        <v>13.52</v>
      </c>
      <c r="CK80" s="766">
        <v>13.6</v>
      </c>
      <c r="CL80" s="766">
        <v>13.68</v>
      </c>
      <c r="CM80" s="766">
        <v>13.76</v>
      </c>
      <c r="CN80" s="766">
        <v>13.84</v>
      </c>
      <c r="CO80" s="766">
        <v>13.92</v>
      </c>
      <c r="CP80" s="766">
        <v>14</v>
      </c>
      <c r="CQ80" s="766">
        <v>14.07</v>
      </c>
      <c r="CR80" s="766">
        <v>14.15</v>
      </c>
      <c r="CS80" s="766">
        <v>14.23</v>
      </c>
      <c r="CT80" s="766">
        <v>14.31</v>
      </c>
      <c r="CU80" s="766">
        <v>14.39</v>
      </c>
      <c r="CV80" s="766">
        <v>14.46</v>
      </c>
      <c r="CW80" s="766">
        <v>14.54</v>
      </c>
      <c r="CX80" s="766">
        <v>14.62</v>
      </c>
      <c r="CY80" s="766">
        <v>14.69</v>
      </c>
      <c r="CZ80" s="766">
        <v>14.77</v>
      </c>
      <c r="DA80" s="766">
        <v>14.85</v>
      </c>
      <c r="DB80" s="766">
        <v>14.92</v>
      </c>
      <c r="DC80" s="766">
        <v>15</v>
      </c>
      <c r="DD80" s="766">
        <v>15.07</v>
      </c>
      <c r="DE80" s="766">
        <v>15.15</v>
      </c>
      <c r="DF80" s="766">
        <v>15.22</v>
      </c>
      <c r="DG80" s="766">
        <v>15.3</v>
      </c>
      <c r="DH80" s="766">
        <v>15.37</v>
      </c>
      <c r="DI80" s="766">
        <v>15.44</v>
      </c>
      <c r="DJ80" s="766">
        <v>15.52</v>
      </c>
      <c r="DK80" s="766">
        <v>15.59</v>
      </c>
      <c r="DL80" s="766">
        <v>15.66</v>
      </c>
      <c r="DM80" s="766">
        <v>15.74</v>
      </c>
      <c r="DN80" s="766">
        <v>15.81</v>
      </c>
      <c r="DO80" s="766">
        <v>15.88</v>
      </c>
      <c r="DP80" s="766">
        <v>15.95</v>
      </c>
      <c r="DQ80" s="766">
        <v>16.02</v>
      </c>
      <c r="DR80" s="766">
        <v>16.09</v>
      </c>
    </row>
    <row r="81" spans="1:122">
      <c r="A81" s="944">
        <v>79</v>
      </c>
      <c r="B81" s="96"/>
      <c r="C81" s="96"/>
      <c r="D81" s="96"/>
      <c r="E81" s="96"/>
      <c r="F81" s="96"/>
      <c r="G81" s="96"/>
      <c r="H81" s="96"/>
      <c r="I81" s="96"/>
      <c r="J81" s="96"/>
      <c r="K81" s="96"/>
      <c r="L81" s="96"/>
      <c r="M81" s="96"/>
      <c r="N81" s="96"/>
      <c r="O81" s="96"/>
      <c r="P81" s="96"/>
      <c r="Q81" s="96"/>
      <c r="R81" s="96"/>
      <c r="S81" s="96"/>
      <c r="T81" s="96"/>
      <c r="U81" s="96"/>
      <c r="V81" s="766"/>
      <c r="W81" s="766">
        <v>7.83</v>
      </c>
      <c r="X81" s="766">
        <v>7.89</v>
      </c>
      <c r="Y81" s="766">
        <v>7.96</v>
      </c>
      <c r="Z81" s="766">
        <v>8.09</v>
      </c>
      <c r="AA81" s="766">
        <v>8.1300000000000008</v>
      </c>
      <c r="AB81" s="766">
        <v>8.1999999999999993</v>
      </c>
      <c r="AC81" s="766">
        <v>8.2200000000000006</v>
      </c>
      <c r="AD81" s="766">
        <v>8.2200000000000006</v>
      </c>
      <c r="AE81" s="766">
        <v>8.27</v>
      </c>
      <c r="AF81" s="766">
        <v>8.36</v>
      </c>
      <c r="AG81" s="766">
        <v>8.4499999999999993</v>
      </c>
      <c r="AH81" s="766">
        <v>8.52</v>
      </c>
      <c r="AI81" s="766">
        <v>8.6300000000000008</v>
      </c>
      <c r="AJ81" s="766">
        <v>8.73</v>
      </c>
      <c r="AK81" s="766">
        <v>8.81</v>
      </c>
      <c r="AL81" s="766">
        <v>8.92</v>
      </c>
      <c r="AM81" s="766">
        <v>8.99</v>
      </c>
      <c r="AN81" s="766">
        <v>9.07</v>
      </c>
      <c r="AO81" s="766">
        <v>9.15</v>
      </c>
      <c r="AP81" s="766">
        <v>9.2200000000000006</v>
      </c>
      <c r="AQ81" s="766">
        <v>9.3000000000000007</v>
      </c>
      <c r="AR81" s="766">
        <v>9.3699999999999992</v>
      </c>
      <c r="AS81" s="766">
        <v>9.4499999999999993</v>
      </c>
      <c r="AT81" s="766">
        <v>9.52</v>
      </c>
      <c r="AU81" s="766">
        <v>9.6</v>
      </c>
      <c r="AV81" s="766">
        <v>9.67</v>
      </c>
      <c r="AW81" s="766">
        <v>9.75</v>
      </c>
      <c r="AX81" s="766">
        <v>9.82</v>
      </c>
      <c r="AY81" s="766">
        <v>9.9</v>
      </c>
      <c r="AZ81" s="766">
        <v>9.98</v>
      </c>
      <c r="BA81" s="766">
        <v>10.06</v>
      </c>
      <c r="BB81" s="766">
        <v>10.14</v>
      </c>
      <c r="BC81" s="766">
        <v>10.210000000000001</v>
      </c>
      <c r="BD81" s="766">
        <v>10.29</v>
      </c>
      <c r="BE81" s="766">
        <v>10.37</v>
      </c>
      <c r="BF81" s="766">
        <v>10.45</v>
      </c>
      <c r="BG81" s="766">
        <v>10.53</v>
      </c>
      <c r="BH81" s="766">
        <v>10.61</v>
      </c>
      <c r="BI81" s="766">
        <v>10.69</v>
      </c>
      <c r="BJ81" s="766">
        <v>10.76</v>
      </c>
      <c r="BK81" s="766">
        <v>10.84</v>
      </c>
      <c r="BL81" s="766">
        <v>10.92</v>
      </c>
      <c r="BM81" s="766">
        <v>11</v>
      </c>
      <c r="BN81" s="766">
        <v>11.08</v>
      </c>
      <c r="BO81" s="766">
        <v>11.16</v>
      </c>
      <c r="BP81" s="766">
        <v>11.24</v>
      </c>
      <c r="BQ81" s="766">
        <v>11.31</v>
      </c>
      <c r="BR81" s="766">
        <v>11.39</v>
      </c>
      <c r="BS81" s="766">
        <v>11.47</v>
      </c>
      <c r="BT81" s="888">
        <v>11.55</v>
      </c>
      <c r="BU81" s="766">
        <v>11.63</v>
      </c>
      <c r="BV81" s="766">
        <v>11.71</v>
      </c>
      <c r="BW81" s="766">
        <v>11.78</v>
      </c>
      <c r="BX81" s="766">
        <v>11.86</v>
      </c>
      <c r="BY81" s="766">
        <v>11.94</v>
      </c>
      <c r="BZ81" s="766">
        <v>12.02</v>
      </c>
      <c r="CA81" s="766">
        <v>12.1</v>
      </c>
      <c r="CB81" s="766">
        <v>12.17</v>
      </c>
      <c r="CC81" s="766">
        <v>12.25</v>
      </c>
      <c r="CD81" s="766">
        <v>12.33</v>
      </c>
      <c r="CE81" s="766">
        <v>12.41</v>
      </c>
      <c r="CF81" s="766">
        <v>12.48</v>
      </c>
      <c r="CG81" s="766">
        <v>12.56</v>
      </c>
      <c r="CH81" s="766">
        <v>12.64</v>
      </c>
      <c r="CI81" s="766">
        <v>12.71</v>
      </c>
      <c r="CJ81" s="766">
        <v>12.79</v>
      </c>
      <c r="CK81" s="766">
        <v>12.87</v>
      </c>
      <c r="CL81" s="766">
        <v>12.94</v>
      </c>
      <c r="CM81" s="766">
        <v>13.02</v>
      </c>
      <c r="CN81" s="766">
        <v>13.1</v>
      </c>
      <c r="CO81" s="766">
        <v>13.17</v>
      </c>
      <c r="CP81" s="766">
        <v>13.25</v>
      </c>
      <c r="CQ81" s="766">
        <v>13.32</v>
      </c>
      <c r="CR81" s="766">
        <v>13.4</v>
      </c>
      <c r="CS81" s="766">
        <v>13.47</v>
      </c>
      <c r="CT81" s="766">
        <v>13.55</v>
      </c>
      <c r="CU81" s="766">
        <v>13.62</v>
      </c>
      <c r="CV81" s="766">
        <v>13.7</v>
      </c>
      <c r="CW81" s="766">
        <v>13.77</v>
      </c>
      <c r="CX81" s="766">
        <v>13.84</v>
      </c>
      <c r="CY81" s="766">
        <v>13.92</v>
      </c>
      <c r="CZ81" s="766">
        <v>13.99</v>
      </c>
      <c r="DA81" s="766">
        <v>14.07</v>
      </c>
      <c r="DB81" s="766">
        <v>14.14</v>
      </c>
      <c r="DC81" s="766">
        <v>14.21</v>
      </c>
      <c r="DD81" s="766">
        <v>14.28</v>
      </c>
      <c r="DE81" s="766">
        <v>14.36</v>
      </c>
      <c r="DF81" s="766">
        <v>14.43</v>
      </c>
      <c r="DG81" s="766">
        <v>14.5</v>
      </c>
      <c r="DH81" s="766">
        <v>14.57</v>
      </c>
      <c r="DI81" s="766">
        <v>14.64</v>
      </c>
      <c r="DJ81" s="766">
        <v>14.71</v>
      </c>
      <c r="DK81" s="766">
        <v>14.78</v>
      </c>
      <c r="DL81" s="766">
        <v>14.86</v>
      </c>
      <c r="DM81" s="766">
        <v>14.93</v>
      </c>
      <c r="DN81" s="766">
        <v>15</v>
      </c>
      <c r="DO81" s="766">
        <v>15.07</v>
      </c>
      <c r="DP81" s="766">
        <v>15.13</v>
      </c>
      <c r="DQ81" s="766">
        <v>15.2</v>
      </c>
      <c r="DR81" s="766">
        <v>15.27</v>
      </c>
    </row>
    <row r="82" spans="1:122">
      <c r="A82" s="944">
        <v>80</v>
      </c>
      <c r="B82" s="96"/>
      <c r="C82" s="96"/>
      <c r="D82" s="96"/>
      <c r="E82" s="96"/>
      <c r="F82" s="96"/>
      <c r="G82" s="96"/>
      <c r="H82" s="96"/>
      <c r="I82" s="96"/>
      <c r="J82" s="96"/>
      <c r="K82" s="96"/>
      <c r="L82" s="96"/>
      <c r="M82" s="96"/>
      <c r="N82" s="96"/>
      <c r="O82" s="96"/>
      <c r="P82" s="96"/>
      <c r="Q82" s="96"/>
      <c r="R82" s="96"/>
      <c r="S82" s="96"/>
      <c r="T82" s="96"/>
      <c r="U82" s="96"/>
      <c r="V82" s="766"/>
      <c r="W82" s="766">
        <v>7.38</v>
      </c>
      <c r="X82" s="766">
        <v>7.43</v>
      </c>
      <c r="Y82" s="766">
        <v>7.51</v>
      </c>
      <c r="Z82" s="766">
        <v>7.62</v>
      </c>
      <c r="AA82" s="766">
        <v>7.65</v>
      </c>
      <c r="AB82" s="766">
        <v>7.71</v>
      </c>
      <c r="AC82" s="766">
        <v>7.71</v>
      </c>
      <c r="AD82" s="766">
        <v>7.72</v>
      </c>
      <c r="AE82" s="766">
        <v>7.78</v>
      </c>
      <c r="AF82" s="766">
        <v>7.86</v>
      </c>
      <c r="AG82" s="766">
        <v>7.94</v>
      </c>
      <c r="AH82" s="766">
        <v>8.01</v>
      </c>
      <c r="AI82" s="766">
        <v>8.1199999999999992</v>
      </c>
      <c r="AJ82" s="766">
        <v>8.1999999999999993</v>
      </c>
      <c r="AK82" s="766">
        <v>8.2799999999999994</v>
      </c>
      <c r="AL82" s="766">
        <v>8.3699999999999992</v>
      </c>
      <c r="AM82" s="766">
        <v>8.4499999999999993</v>
      </c>
      <c r="AN82" s="766">
        <v>8.5299999999999994</v>
      </c>
      <c r="AO82" s="766">
        <v>8.6</v>
      </c>
      <c r="AP82" s="766">
        <v>8.66</v>
      </c>
      <c r="AQ82" s="766">
        <v>8.73</v>
      </c>
      <c r="AR82" s="766">
        <v>8.8000000000000007</v>
      </c>
      <c r="AS82" s="766">
        <v>8.8800000000000008</v>
      </c>
      <c r="AT82" s="766">
        <v>8.9499999999999993</v>
      </c>
      <c r="AU82" s="766">
        <v>9.02</v>
      </c>
      <c r="AV82" s="766">
        <v>9.09</v>
      </c>
      <c r="AW82" s="766">
        <v>9.16</v>
      </c>
      <c r="AX82" s="766">
        <v>9.24</v>
      </c>
      <c r="AY82" s="766">
        <v>9.31</v>
      </c>
      <c r="AZ82" s="766">
        <v>9.3800000000000008</v>
      </c>
      <c r="BA82" s="766">
        <v>9.4600000000000009</v>
      </c>
      <c r="BB82" s="766">
        <v>9.5299999999999994</v>
      </c>
      <c r="BC82" s="766">
        <v>9.61</v>
      </c>
      <c r="BD82" s="766">
        <v>9.68</v>
      </c>
      <c r="BE82" s="766">
        <v>9.76</v>
      </c>
      <c r="BF82" s="766">
        <v>9.83</v>
      </c>
      <c r="BG82" s="766">
        <v>9.91</v>
      </c>
      <c r="BH82" s="766">
        <v>9.98</v>
      </c>
      <c r="BI82" s="766">
        <v>10.06</v>
      </c>
      <c r="BJ82" s="766">
        <v>10.130000000000001</v>
      </c>
      <c r="BK82" s="766">
        <v>10.210000000000001</v>
      </c>
      <c r="BL82" s="766">
        <v>10.28</v>
      </c>
      <c r="BM82" s="766">
        <v>10.36</v>
      </c>
      <c r="BN82" s="766">
        <v>10.43</v>
      </c>
      <c r="BO82" s="766">
        <v>10.51</v>
      </c>
      <c r="BP82" s="766">
        <v>10.58</v>
      </c>
      <c r="BQ82" s="766">
        <v>10.66</v>
      </c>
      <c r="BR82" s="766">
        <v>10.73</v>
      </c>
      <c r="BS82" s="766">
        <v>10.81</v>
      </c>
      <c r="BT82" s="888">
        <v>10.88</v>
      </c>
      <c r="BU82" s="766">
        <v>10.96</v>
      </c>
      <c r="BV82" s="766">
        <v>11.03</v>
      </c>
      <c r="BW82" s="766">
        <v>11.11</v>
      </c>
      <c r="BX82" s="766">
        <v>11.18</v>
      </c>
      <c r="BY82" s="766">
        <v>11.26</v>
      </c>
      <c r="BZ82" s="766">
        <v>11.33</v>
      </c>
      <c r="CA82" s="766">
        <v>11.41</v>
      </c>
      <c r="CB82" s="766">
        <v>11.48</v>
      </c>
      <c r="CC82" s="766">
        <v>11.55</v>
      </c>
      <c r="CD82" s="766">
        <v>11.63</v>
      </c>
      <c r="CE82" s="766">
        <v>11.7</v>
      </c>
      <c r="CF82" s="766">
        <v>11.78</v>
      </c>
      <c r="CG82" s="766">
        <v>11.85</v>
      </c>
      <c r="CH82" s="766">
        <v>11.92</v>
      </c>
      <c r="CI82" s="766">
        <v>12</v>
      </c>
      <c r="CJ82" s="766">
        <v>12.07</v>
      </c>
      <c r="CK82" s="766">
        <v>12.14</v>
      </c>
      <c r="CL82" s="766">
        <v>12.22</v>
      </c>
      <c r="CM82" s="766">
        <v>12.29</v>
      </c>
      <c r="CN82" s="766">
        <v>12.36</v>
      </c>
      <c r="CO82" s="766">
        <v>12.44</v>
      </c>
      <c r="CP82" s="766">
        <v>12.51</v>
      </c>
      <c r="CQ82" s="766">
        <v>12.58</v>
      </c>
      <c r="CR82" s="766">
        <v>12.65</v>
      </c>
      <c r="CS82" s="766">
        <v>12.73</v>
      </c>
      <c r="CT82" s="766">
        <v>12.8</v>
      </c>
      <c r="CU82" s="766">
        <v>12.87</v>
      </c>
      <c r="CV82" s="766">
        <v>12.94</v>
      </c>
      <c r="CW82" s="766">
        <v>13.01</v>
      </c>
      <c r="CX82" s="766">
        <v>13.08</v>
      </c>
      <c r="CY82" s="766">
        <v>13.16</v>
      </c>
      <c r="CZ82" s="766">
        <v>13.23</v>
      </c>
      <c r="DA82" s="766">
        <v>13.3</v>
      </c>
      <c r="DB82" s="766">
        <v>13.37</v>
      </c>
      <c r="DC82" s="766">
        <v>13.44</v>
      </c>
      <c r="DD82" s="766">
        <v>13.51</v>
      </c>
      <c r="DE82" s="766">
        <v>13.58</v>
      </c>
      <c r="DF82" s="766">
        <v>13.65</v>
      </c>
      <c r="DG82" s="766">
        <v>13.72</v>
      </c>
      <c r="DH82" s="766">
        <v>13.79</v>
      </c>
      <c r="DI82" s="766">
        <v>13.85</v>
      </c>
      <c r="DJ82" s="766">
        <v>13.92</v>
      </c>
      <c r="DK82" s="766">
        <v>13.99</v>
      </c>
      <c r="DL82" s="766">
        <v>14.06</v>
      </c>
      <c r="DM82" s="766">
        <v>14.13</v>
      </c>
      <c r="DN82" s="766">
        <v>14.19</v>
      </c>
      <c r="DO82" s="766">
        <v>14.26</v>
      </c>
      <c r="DP82" s="766">
        <v>14.33</v>
      </c>
      <c r="DQ82" s="766">
        <v>14.39</v>
      </c>
      <c r="DR82" s="766">
        <v>14.46</v>
      </c>
    </row>
    <row r="83" spans="1:122">
      <c r="A83" s="944">
        <v>81</v>
      </c>
      <c r="B83" s="96"/>
      <c r="C83" s="96"/>
      <c r="D83" s="96"/>
      <c r="E83" s="96"/>
      <c r="F83" s="96"/>
      <c r="G83" s="96"/>
      <c r="H83" s="96"/>
      <c r="I83" s="96"/>
      <c r="J83" s="96"/>
      <c r="K83" s="96"/>
      <c r="L83" s="96"/>
      <c r="M83" s="96"/>
      <c r="N83" s="96"/>
      <c r="O83" s="96"/>
      <c r="P83" s="96"/>
      <c r="Q83" s="96"/>
      <c r="R83" s="96"/>
      <c r="S83" s="96"/>
      <c r="T83" s="96"/>
      <c r="U83" s="96"/>
      <c r="V83" s="766"/>
      <c r="W83" s="766">
        <v>6.95</v>
      </c>
      <c r="X83" s="766">
        <v>7.01</v>
      </c>
      <c r="Y83" s="766">
        <v>7.07</v>
      </c>
      <c r="Z83" s="766">
        <v>7.16</v>
      </c>
      <c r="AA83" s="766">
        <v>7.17</v>
      </c>
      <c r="AB83" s="766">
        <v>7.23</v>
      </c>
      <c r="AC83" s="766">
        <v>7.24</v>
      </c>
      <c r="AD83" s="766">
        <v>7.25</v>
      </c>
      <c r="AE83" s="766">
        <v>7.29</v>
      </c>
      <c r="AF83" s="766">
        <v>7.37</v>
      </c>
      <c r="AG83" s="766">
        <v>7.45</v>
      </c>
      <c r="AH83" s="766">
        <v>7.51</v>
      </c>
      <c r="AI83" s="766">
        <v>7.6</v>
      </c>
      <c r="AJ83" s="766">
        <v>7.69</v>
      </c>
      <c r="AK83" s="766">
        <v>7.76</v>
      </c>
      <c r="AL83" s="766">
        <v>7.85</v>
      </c>
      <c r="AM83" s="766">
        <v>7.92</v>
      </c>
      <c r="AN83" s="766">
        <v>7.99</v>
      </c>
      <c r="AO83" s="766">
        <v>8.0500000000000007</v>
      </c>
      <c r="AP83" s="766">
        <v>8.1199999999999992</v>
      </c>
      <c r="AQ83" s="766">
        <v>8.19</v>
      </c>
      <c r="AR83" s="766">
        <v>8.25</v>
      </c>
      <c r="AS83" s="766">
        <v>8.32</v>
      </c>
      <c r="AT83" s="766">
        <v>8.39</v>
      </c>
      <c r="AU83" s="766">
        <v>8.4600000000000009</v>
      </c>
      <c r="AV83" s="766">
        <v>8.52</v>
      </c>
      <c r="AW83" s="766">
        <v>8.59</v>
      </c>
      <c r="AX83" s="766">
        <v>8.66</v>
      </c>
      <c r="AY83" s="766">
        <v>8.73</v>
      </c>
      <c r="AZ83" s="766">
        <v>8.81</v>
      </c>
      <c r="BA83" s="766">
        <v>8.8800000000000008</v>
      </c>
      <c r="BB83" s="766">
        <v>8.9499999999999993</v>
      </c>
      <c r="BC83" s="766">
        <v>9.02</v>
      </c>
      <c r="BD83" s="766">
        <v>9.09</v>
      </c>
      <c r="BE83" s="766">
        <v>9.16</v>
      </c>
      <c r="BF83" s="766">
        <v>9.23</v>
      </c>
      <c r="BG83" s="766">
        <v>9.3000000000000007</v>
      </c>
      <c r="BH83" s="766">
        <v>9.3699999999999992</v>
      </c>
      <c r="BI83" s="766">
        <v>9.4499999999999993</v>
      </c>
      <c r="BJ83" s="766">
        <v>9.52</v>
      </c>
      <c r="BK83" s="766">
        <v>9.59</v>
      </c>
      <c r="BL83" s="766">
        <v>9.66</v>
      </c>
      <c r="BM83" s="766">
        <v>9.73</v>
      </c>
      <c r="BN83" s="766">
        <v>9.8000000000000007</v>
      </c>
      <c r="BO83" s="766">
        <v>9.8699999999999992</v>
      </c>
      <c r="BP83" s="766">
        <v>9.9499999999999993</v>
      </c>
      <c r="BQ83" s="766">
        <v>10.02</v>
      </c>
      <c r="BR83" s="766">
        <v>10.09</v>
      </c>
      <c r="BS83" s="766">
        <v>10.16</v>
      </c>
      <c r="BT83" s="888">
        <v>10.23</v>
      </c>
      <c r="BU83" s="766">
        <v>10.3</v>
      </c>
      <c r="BV83" s="766">
        <v>10.37</v>
      </c>
      <c r="BW83" s="766">
        <v>10.45</v>
      </c>
      <c r="BX83" s="766">
        <v>10.52</v>
      </c>
      <c r="BY83" s="766">
        <v>10.59</v>
      </c>
      <c r="BZ83" s="766">
        <v>10.66</v>
      </c>
      <c r="CA83" s="766">
        <v>10.73</v>
      </c>
      <c r="CB83" s="766">
        <v>10.8</v>
      </c>
      <c r="CC83" s="766">
        <v>10.87</v>
      </c>
      <c r="CD83" s="766">
        <v>10.94</v>
      </c>
      <c r="CE83" s="766">
        <v>11.02</v>
      </c>
      <c r="CF83" s="766">
        <v>11.09</v>
      </c>
      <c r="CG83" s="766">
        <v>11.16</v>
      </c>
      <c r="CH83" s="766">
        <v>11.23</v>
      </c>
      <c r="CI83" s="766">
        <v>11.3</v>
      </c>
      <c r="CJ83" s="766">
        <v>11.37</v>
      </c>
      <c r="CK83" s="766">
        <v>11.44</v>
      </c>
      <c r="CL83" s="766">
        <v>11.51</v>
      </c>
      <c r="CM83" s="766">
        <v>11.58</v>
      </c>
      <c r="CN83" s="766">
        <v>11.65</v>
      </c>
      <c r="CO83" s="766">
        <v>11.72</v>
      </c>
      <c r="CP83" s="766">
        <v>11.79</v>
      </c>
      <c r="CQ83" s="766">
        <v>11.86</v>
      </c>
      <c r="CR83" s="766">
        <v>11.93</v>
      </c>
      <c r="CS83" s="766">
        <v>12</v>
      </c>
      <c r="CT83" s="766">
        <v>12.07</v>
      </c>
      <c r="CU83" s="766">
        <v>12.13</v>
      </c>
      <c r="CV83" s="766">
        <v>12.2</v>
      </c>
      <c r="CW83" s="766">
        <v>12.27</v>
      </c>
      <c r="CX83" s="766">
        <v>12.34</v>
      </c>
      <c r="CY83" s="766">
        <v>12.41</v>
      </c>
      <c r="CZ83" s="766">
        <v>12.48</v>
      </c>
      <c r="DA83" s="766">
        <v>12.54</v>
      </c>
      <c r="DB83" s="766">
        <v>12.61</v>
      </c>
      <c r="DC83" s="766">
        <v>12.68</v>
      </c>
      <c r="DD83" s="766">
        <v>12.75</v>
      </c>
      <c r="DE83" s="766">
        <v>12.81</v>
      </c>
      <c r="DF83" s="766">
        <v>12.88</v>
      </c>
      <c r="DG83" s="766">
        <v>12.95</v>
      </c>
      <c r="DH83" s="766">
        <v>13.01</v>
      </c>
      <c r="DI83" s="766">
        <v>13.08</v>
      </c>
      <c r="DJ83" s="766">
        <v>13.14</v>
      </c>
      <c r="DK83" s="766">
        <v>13.21</v>
      </c>
      <c r="DL83" s="766">
        <v>13.28</v>
      </c>
      <c r="DM83" s="766">
        <v>13.34</v>
      </c>
      <c r="DN83" s="766">
        <v>13.41</v>
      </c>
      <c r="DO83" s="766">
        <v>13.47</v>
      </c>
      <c r="DP83" s="766">
        <v>13.54</v>
      </c>
      <c r="DQ83" s="766">
        <v>13.6</v>
      </c>
      <c r="DR83" s="766">
        <v>13.66</v>
      </c>
    </row>
    <row r="84" spans="1:122">
      <c r="A84" s="944">
        <v>82</v>
      </c>
      <c r="B84" s="96"/>
      <c r="C84" s="96"/>
      <c r="D84" s="96"/>
      <c r="E84" s="96"/>
      <c r="F84" s="96"/>
      <c r="G84" s="96"/>
      <c r="H84" s="96"/>
      <c r="I84" s="96"/>
      <c r="J84" s="96"/>
      <c r="K84" s="96"/>
      <c r="L84" s="96"/>
      <c r="M84" s="96"/>
      <c r="N84" s="96"/>
      <c r="O84" s="96"/>
      <c r="P84" s="96"/>
      <c r="Q84" s="96"/>
      <c r="R84" s="96"/>
      <c r="S84" s="96"/>
      <c r="T84" s="96"/>
      <c r="U84" s="96"/>
      <c r="V84" s="766"/>
      <c r="W84" s="766">
        <v>6.54</v>
      </c>
      <c r="X84" s="766">
        <v>6.58</v>
      </c>
      <c r="Y84" s="766">
        <v>6.64</v>
      </c>
      <c r="Z84" s="766">
        <v>6.71</v>
      </c>
      <c r="AA84" s="766">
        <v>6.71</v>
      </c>
      <c r="AB84" s="766">
        <v>6.77</v>
      </c>
      <c r="AC84" s="766">
        <v>6.79</v>
      </c>
      <c r="AD84" s="766">
        <v>6.79</v>
      </c>
      <c r="AE84" s="766">
        <v>6.83</v>
      </c>
      <c r="AF84" s="766">
        <v>6.89</v>
      </c>
      <c r="AG84" s="766">
        <v>6.99</v>
      </c>
      <c r="AH84" s="766">
        <v>7.03</v>
      </c>
      <c r="AI84" s="766">
        <v>7.13</v>
      </c>
      <c r="AJ84" s="766">
        <v>7.2</v>
      </c>
      <c r="AK84" s="766">
        <v>7.28</v>
      </c>
      <c r="AL84" s="766">
        <v>7.35</v>
      </c>
      <c r="AM84" s="766">
        <v>7.41</v>
      </c>
      <c r="AN84" s="766">
        <v>7.47</v>
      </c>
      <c r="AO84" s="766">
        <v>7.53</v>
      </c>
      <c r="AP84" s="766">
        <v>7.59</v>
      </c>
      <c r="AQ84" s="766">
        <v>7.66</v>
      </c>
      <c r="AR84" s="766">
        <v>7.72</v>
      </c>
      <c r="AS84" s="766">
        <v>7.78</v>
      </c>
      <c r="AT84" s="766">
        <v>7.85</v>
      </c>
      <c r="AU84" s="766">
        <v>7.91</v>
      </c>
      <c r="AV84" s="766">
        <v>7.98</v>
      </c>
      <c r="AW84" s="766">
        <v>8.0399999999999991</v>
      </c>
      <c r="AX84" s="766">
        <v>8.11</v>
      </c>
      <c r="AY84" s="766">
        <v>8.18</v>
      </c>
      <c r="AZ84" s="766">
        <v>8.24</v>
      </c>
      <c r="BA84" s="766">
        <v>8.31</v>
      </c>
      <c r="BB84" s="766">
        <v>8.3800000000000008</v>
      </c>
      <c r="BC84" s="766">
        <v>8.4499999999999993</v>
      </c>
      <c r="BD84" s="766">
        <v>8.51</v>
      </c>
      <c r="BE84" s="766">
        <v>8.58</v>
      </c>
      <c r="BF84" s="766">
        <v>8.65</v>
      </c>
      <c r="BG84" s="766">
        <v>8.7200000000000006</v>
      </c>
      <c r="BH84" s="766">
        <v>8.7799999999999994</v>
      </c>
      <c r="BI84" s="766">
        <v>8.85</v>
      </c>
      <c r="BJ84" s="766">
        <v>8.92</v>
      </c>
      <c r="BK84" s="766">
        <v>8.99</v>
      </c>
      <c r="BL84" s="766">
        <v>9.06</v>
      </c>
      <c r="BM84" s="766">
        <v>9.1199999999999992</v>
      </c>
      <c r="BN84" s="766">
        <v>9.19</v>
      </c>
      <c r="BO84" s="766">
        <v>9.26</v>
      </c>
      <c r="BP84" s="766">
        <v>9.33</v>
      </c>
      <c r="BQ84" s="766">
        <v>9.4</v>
      </c>
      <c r="BR84" s="766">
        <v>9.4600000000000009</v>
      </c>
      <c r="BS84" s="766">
        <v>9.5299999999999994</v>
      </c>
      <c r="BT84" s="888">
        <v>9.6</v>
      </c>
      <c r="BU84" s="766">
        <v>9.67</v>
      </c>
      <c r="BV84" s="766">
        <v>9.74</v>
      </c>
      <c r="BW84" s="766">
        <v>9.8000000000000007</v>
      </c>
      <c r="BX84" s="766">
        <v>9.8699999999999992</v>
      </c>
      <c r="BY84" s="766">
        <v>9.94</v>
      </c>
      <c r="BZ84" s="766">
        <v>10.01</v>
      </c>
      <c r="CA84" s="766">
        <v>10.08</v>
      </c>
      <c r="CB84" s="766">
        <v>10.14</v>
      </c>
      <c r="CC84" s="766">
        <v>10.210000000000001</v>
      </c>
      <c r="CD84" s="766">
        <v>10.28</v>
      </c>
      <c r="CE84" s="766">
        <v>10.35</v>
      </c>
      <c r="CF84" s="766">
        <v>10.41</v>
      </c>
      <c r="CG84" s="766">
        <v>10.48</v>
      </c>
      <c r="CH84" s="766">
        <v>10.55</v>
      </c>
      <c r="CI84" s="766">
        <v>10.62</v>
      </c>
      <c r="CJ84" s="766">
        <v>10.68</v>
      </c>
      <c r="CK84" s="766">
        <v>10.75</v>
      </c>
      <c r="CL84" s="766">
        <v>10.82</v>
      </c>
      <c r="CM84" s="766">
        <v>10.88</v>
      </c>
      <c r="CN84" s="766">
        <v>10.95</v>
      </c>
      <c r="CO84" s="766">
        <v>11.02</v>
      </c>
      <c r="CP84" s="766">
        <v>11.08</v>
      </c>
      <c r="CQ84" s="766">
        <v>11.15</v>
      </c>
      <c r="CR84" s="766">
        <v>11.22</v>
      </c>
      <c r="CS84" s="766">
        <v>11.28</v>
      </c>
      <c r="CT84" s="766">
        <v>11.35</v>
      </c>
      <c r="CU84" s="766">
        <v>11.42</v>
      </c>
      <c r="CV84" s="766">
        <v>11.48</v>
      </c>
      <c r="CW84" s="766">
        <v>11.55</v>
      </c>
      <c r="CX84" s="766">
        <v>11.61</v>
      </c>
      <c r="CY84" s="766">
        <v>11.68</v>
      </c>
      <c r="CZ84" s="766">
        <v>11.74</v>
      </c>
      <c r="DA84" s="766">
        <v>11.81</v>
      </c>
      <c r="DB84" s="766">
        <v>11.87</v>
      </c>
      <c r="DC84" s="766">
        <v>11.94</v>
      </c>
      <c r="DD84" s="766">
        <v>12</v>
      </c>
      <c r="DE84" s="766">
        <v>12.07</v>
      </c>
      <c r="DF84" s="766">
        <v>12.13</v>
      </c>
      <c r="DG84" s="766">
        <v>12.19</v>
      </c>
      <c r="DH84" s="766">
        <v>12.26</v>
      </c>
      <c r="DI84" s="766">
        <v>12.32</v>
      </c>
      <c r="DJ84" s="766">
        <v>12.38</v>
      </c>
      <c r="DK84" s="766">
        <v>12.45</v>
      </c>
      <c r="DL84" s="766">
        <v>12.51</v>
      </c>
      <c r="DM84" s="766">
        <v>12.57</v>
      </c>
      <c r="DN84" s="766">
        <v>12.63</v>
      </c>
      <c r="DO84" s="766">
        <v>12.7</v>
      </c>
      <c r="DP84" s="766">
        <v>12.76</v>
      </c>
      <c r="DQ84" s="766">
        <v>12.82</v>
      </c>
      <c r="DR84" s="766">
        <v>12.88</v>
      </c>
    </row>
    <row r="85" spans="1:122">
      <c r="A85" s="944">
        <v>83</v>
      </c>
      <c r="B85" s="96"/>
      <c r="C85" s="96"/>
      <c r="D85" s="96"/>
      <c r="E85" s="96"/>
      <c r="F85" s="96"/>
      <c r="G85" s="96"/>
      <c r="H85" s="96"/>
      <c r="I85" s="96"/>
      <c r="J85" s="96"/>
      <c r="K85" s="96"/>
      <c r="L85" s="96"/>
      <c r="M85" s="96"/>
      <c r="N85" s="96"/>
      <c r="O85" s="96"/>
      <c r="P85" s="96"/>
      <c r="Q85" s="96"/>
      <c r="R85" s="96"/>
      <c r="S85" s="96"/>
      <c r="T85" s="96"/>
      <c r="U85" s="96"/>
      <c r="V85" s="766"/>
      <c r="W85" s="766">
        <v>6.13</v>
      </c>
      <c r="X85" s="766">
        <v>6.17</v>
      </c>
      <c r="Y85" s="766">
        <v>6.21</v>
      </c>
      <c r="Z85" s="766">
        <v>6.26</v>
      </c>
      <c r="AA85" s="766">
        <v>6.28</v>
      </c>
      <c r="AB85" s="766">
        <v>6.34</v>
      </c>
      <c r="AC85" s="766">
        <v>6.33</v>
      </c>
      <c r="AD85" s="766">
        <v>6.34</v>
      </c>
      <c r="AE85" s="766">
        <v>6.38</v>
      </c>
      <c r="AF85" s="766">
        <v>6.46</v>
      </c>
      <c r="AG85" s="766">
        <v>6.53</v>
      </c>
      <c r="AH85" s="766">
        <v>6.57</v>
      </c>
      <c r="AI85" s="766">
        <v>6.66</v>
      </c>
      <c r="AJ85" s="766">
        <v>6.73</v>
      </c>
      <c r="AK85" s="766">
        <v>6.8</v>
      </c>
      <c r="AL85" s="766">
        <v>6.86</v>
      </c>
      <c r="AM85" s="766">
        <v>6.91</v>
      </c>
      <c r="AN85" s="766">
        <v>6.97</v>
      </c>
      <c r="AO85" s="766">
        <v>7.03</v>
      </c>
      <c r="AP85" s="766">
        <v>7.09</v>
      </c>
      <c r="AQ85" s="766">
        <v>7.15</v>
      </c>
      <c r="AR85" s="766">
        <v>7.21</v>
      </c>
      <c r="AS85" s="766">
        <v>7.27</v>
      </c>
      <c r="AT85" s="766">
        <v>7.33</v>
      </c>
      <c r="AU85" s="766">
        <v>7.39</v>
      </c>
      <c r="AV85" s="766">
        <v>7.45</v>
      </c>
      <c r="AW85" s="766">
        <v>7.51</v>
      </c>
      <c r="AX85" s="766">
        <v>7.58</v>
      </c>
      <c r="AY85" s="766">
        <v>7.64</v>
      </c>
      <c r="AZ85" s="766">
        <v>7.7</v>
      </c>
      <c r="BA85" s="766">
        <v>7.77</v>
      </c>
      <c r="BB85" s="766">
        <v>7.83</v>
      </c>
      <c r="BC85" s="766">
        <v>7.89</v>
      </c>
      <c r="BD85" s="766">
        <v>7.96</v>
      </c>
      <c r="BE85" s="766">
        <v>8.02</v>
      </c>
      <c r="BF85" s="766">
        <v>8.09</v>
      </c>
      <c r="BG85" s="766">
        <v>8.15</v>
      </c>
      <c r="BH85" s="766">
        <v>8.2100000000000009</v>
      </c>
      <c r="BI85" s="766">
        <v>8.2799999999999994</v>
      </c>
      <c r="BJ85" s="766">
        <v>8.34</v>
      </c>
      <c r="BK85" s="766">
        <v>8.41</v>
      </c>
      <c r="BL85" s="766">
        <v>8.4700000000000006</v>
      </c>
      <c r="BM85" s="766">
        <v>8.5399999999999991</v>
      </c>
      <c r="BN85" s="766">
        <v>8.6</v>
      </c>
      <c r="BO85" s="766">
        <v>8.67</v>
      </c>
      <c r="BP85" s="766">
        <v>8.73</v>
      </c>
      <c r="BQ85" s="766">
        <v>8.7899999999999991</v>
      </c>
      <c r="BR85" s="766">
        <v>8.86</v>
      </c>
      <c r="BS85" s="766">
        <v>8.92</v>
      </c>
      <c r="BT85" s="888">
        <v>8.99</v>
      </c>
      <c r="BU85" s="766">
        <v>9.0500000000000007</v>
      </c>
      <c r="BV85" s="766">
        <v>9.1199999999999992</v>
      </c>
      <c r="BW85" s="766">
        <v>9.18</v>
      </c>
      <c r="BX85" s="766">
        <v>9.25</v>
      </c>
      <c r="BY85" s="766">
        <v>9.31</v>
      </c>
      <c r="BZ85" s="766">
        <v>9.3800000000000008</v>
      </c>
      <c r="CA85" s="766">
        <v>9.44</v>
      </c>
      <c r="CB85" s="766">
        <v>9.5</v>
      </c>
      <c r="CC85" s="766">
        <v>9.57</v>
      </c>
      <c r="CD85" s="766">
        <v>9.6300000000000008</v>
      </c>
      <c r="CE85" s="766">
        <v>9.6999999999999993</v>
      </c>
      <c r="CF85" s="766">
        <v>9.76</v>
      </c>
      <c r="CG85" s="766">
        <v>9.83</v>
      </c>
      <c r="CH85" s="766">
        <v>9.89</v>
      </c>
      <c r="CI85" s="766">
        <v>9.9499999999999993</v>
      </c>
      <c r="CJ85" s="766">
        <v>10.02</v>
      </c>
      <c r="CK85" s="766">
        <v>10.08</v>
      </c>
      <c r="CL85" s="766">
        <v>10.15</v>
      </c>
      <c r="CM85" s="766">
        <v>10.210000000000001</v>
      </c>
      <c r="CN85" s="766">
        <v>10.27</v>
      </c>
      <c r="CO85" s="766">
        <v>10.34</v>
      </c>
      <c r="CP85" s="766">
        <v>10.4</v>
      </c>
      <c r="CQ85" s="766">
        <v>10.46</v>
      </c>
      <c r="CR85" s="766">
        <v>10.53</v>
      </c>
      <c r="CS85" s="766">
        <v>10.59</v>
      </c>
      <c r="CT85" s="766">
        <v>10.65</v>
      </c>
      <c r="CU85" s="766">
        <v>10.72</v>
      </c>
      <c r="CV85" s="766">
        <v>10.78</v>
      </c>
      <c r="CW85" s="766">
        <v>10.84</v>
      </c>
      <c r="CX85" s="766">
        <v>10.9</v>
      </c>
      <c r="CY85" s="766">
        <v>10.97</v>
      </c>
      <c r="CZ85" s="766">
        <v>11.03</v>
      </c>
      <c r="DA85" s="766">
        <v>11.09</v>
      </c>
      <c r="DB85" s="766">
        <v>11.15</v>
      </c>
      <c r="DC85" s="766">
        <v>11.21</v>
      </c>
      <c r="DD85" s="766">
        <v>11.28</v>
      </c>
      <c r="DE85" s="766">
        <v>11.34</v>
      </c>
      <c r="DF85" s="766">
        <v>11.4</v>
      </c>
      <c r="DG85" s="766">
        <v>11.46</v>
      </c>
      <c r="DH85" s="766">
        <v>11.52</v>
      </c>
      <c r="DI85" s="766">
        <v>11.58</v>
      </c>
      <c r="DJ85" s="766">
        <v>11.64</v>
      </c>
      <c r="DK85" s="766">
        <v>11.7</v>
      </c>
      <c r="DL85" s="766">
        <v>11.76</v>
      </c>
      <c r="DM85" s="766">
        <v>11.82</v>
      </c>
      <c r="DN85" s="766">
        <v>11.88</v>
      </c>
      <c r="DO85" s="766">
        <v>11.94</v>
      </c>
      <c r="DP85" s="766">
        <v>12</v>
      </c>
      <c r="DQ85" s="766">
        <v>12.06</v>
      </c>
      <c r="DR85" s="766">
        <v>12.12</v>
      </c>
    </row>
    <row r="86" spans="1:122">
      <c r="A86" s="944">
        <v>84</v>
      </c>
      <c r="B86" s="96"/>
      <c r="C86" s="96"/>
      <c r="D86" s="96"/>
      <c r="E86" s="96"/>
      <c r="F86" s="96"/>
      <c r="G86" s="96"/>
      <c r="H86" s="96"/>
      <c r="I86" s="96"/>
      <c r="J86" s="96"/>
      <c r="K86" s="96"/>
      <c r="L86" s="96"/>
      <c r="M86" s="96"/>
      <c r="N86" s="96"/>
      <c r="O86" s="96"/>
      <c r="P86" s="96"/>
      <c r="Q86" s="96"/>
      <c r="R86" s="96"/>
      <c r="S86" s="96"/>
      <c r="T86" s="96"/>
      <c r="U86" s="96"/>
      <c r="V86" s="766"/>
      <c r="W86" s="766">
        <v>5.74</v>
      </c>
      <c r="X86" s="766">
        <v>5.77</v>
      </c>
      <c r="Y86" s="766">
        <v>5.79</v>
      </c>
      <c r="Z86" s="766">
        <v>5.84</v>
      </c>
      <c r="AA86" s="766">
        <v>5.85</v>
      </c>
      <c r="AB86" s="766">
        <v>5.9</v>
      </c>
      <c r="AC86" s="766">
        <v>5.9</v>
      </c>
      <c r="AD86" s="766">
        <v>5.92</v>
      </c>
      <c r="AE86" s="766">
        <v>5.97</v>
      </c>
      <c r="AF86" s="766">
        <v>6.02</v>
      </c>
      <c r="AG86" s="766">
        <v>6.1</v>
      </c>
      <c r="AH86" s="766">
        <v>6.13</v>
      </c>
      <c r="AI86" s="766">
        <v>6.22</v>
      </c>
      <c r="AJ86" s="766">
        <v>6.28</v>
      </c>
      <c r="AK86" s="766">
        <v>6.34</v>
      </c>
      <c r="AL86" s="766">
        <v>6.39</v>
      </c>
      <c r="AM86" s="766">
        <v>6.44</v>
      </c>
      <c r="AN86" s="766">
        <v>6.5</v>
      </c>
      <c r="AO86" s="766">
        <v>6.55</v>
      </c>
      <c r="AP86" s="766">
        <v>6.61</v>
      </c>
      <c r="AQ86" s="766">
        <v>6.66</v>
      </c>
      <c r="AR86" s="766">
        <v>6.72</v>
      </c>
      <c r="AS86" s="766">
        <v>6.77</v>
      </c>
      <c r="AT86" s="766">
        <v>6.83</v>
      </c>
      <c r="AU86" s="766">
        <v>6.89</v>
      </c>
      <c r="AV86" s="766">
        <v>6.95</v>
      </c>
      <c r="AW86" s="766">
        <v>7.01</v>
      </c>
      <c r="AX86" s="766">
        <v>7.07</v>
      </c>
      <c r="AY86" s="766">
        <v>7.13</v>
      </c>
      <c r="AZ86" s="766">
        <v>7.19</v>
      </c>
      <c r="BA86" s="766">
        <v>7.25</v>
      </c>
      <c r="BB86" s="766">
        <v>7.31</v>
      </c>
      <c r="BC86" s="766">
        <v>7.37</v>
      </c>
      <c r="BD86" s="766">
        <v>7.43</v>
      </c>
      <c r="BE86" s="766">
        <v>7.49</v>
      </c>
      <c r="BF86" s="766">
        <v>7.55</v>
      </c>
      <c r="BG86" s="766">
        <v>7.61</v>
      </c>
      <c r="BH86" s="766">
        <v>7.67</v>
      </c>
      <c r="BI86" s="766">
        <v>7.73</v>
      </c>
      <c r="BJ86" s="766">
        <v>7.79</v>
      </c>
      <c r="BK86" s="766">
        <v>7.85</v>
      </c>
      <c r="BL86" s="766">
        <v>7.91</v>
      </c>
      <c r="BM86" s="766">
        <v>7.97</v>
      </c>
      <c r="BN86" s="766">
        <v>8.0299999999999994</v>
      </c>
      <c r="BO86" s="766">
        <v>8.1</v>
      </c>
      <c r="BP86" s="766">
        <v>8.16</v>
      </c>
      <c r="BQ86" s="766">
        <v>8.2200000000000006</v>
      </c>
      <c r="BR86" s="766">
        <v>8.2799999999999994</v>
      </c>
      <c r="BS86" s="766">
        <v>8.34</v>
      </c>
      <c r="BT86" s="888">
        <v>8.4</v>
      </c>
      <c r="BU86" s="766">
        <v>8.4600000000000009</v>
      </c>
      <c r="BV86" s="766">
        <v>8.52</v>
      </c>
      <c r="BW86" s="766">
        <v>8.58</v>
      </c>
      <c r="BX86" s="766">
        <v>8.65</v>
      </c>
      <c r="BY86" s="766">
        <v>8.7100000000000009</v>
      </c>
      <c r="BZ86" s="766">
        <v>8.77</v>
      </c>
      <c r="CA86" s="766">
        <v>8.83</v>
      </c>
      <c r="CB86" s="766">
        <v>8.89</v>
      </c>
      <c r="CC86" s="766">
        <v>8.9499999999999993</v>
      </c>
      <c r="CD86" s="766">
        <v>9.01</v>
      </c>
      <c r="CE86" s="766">
        <v>9.07</v>
      </c>
      <c r="CF86" s="766">
        <v>9.1300000000000008</v>
      </c>
      <c r="CG86" s="766">
        <v>9.19</v>
      </c>
      <c r="CH86" s="766">
        <v>9.26</v>
      </c>
      <c r="CI86" s="766">
        <v>9.32</v>
      </c>
      <c r="CJ86" s="766">
        <v>9.3800000000000008</v>
      </c>
      <c r="CK86" s="766">
        <v>9.44</v>
      </c>
      <c r="CL86" s="766">
        <v>9.5</v>
      </c>
      <c r="CM86" s="766">
        <v>9.56</v>
      </c>
      <c r="CN86" s="766">
        <v>9.6199999999999992</v>
      </c>
      <c r="CO86" s="766">
        <v>9.68</v>
      </c>
      <c r="CP86" s="766">
        <v>9.74</v>
      </c>
      <c r="CQ86" s="766">
        <v>9.8000000000000007</v>
      </c>
      <c r="CR86" s="766">
        <v>9.86</v>
      </c>
      <c r="CS86" s="766">
        <v>9.92</v>
      </c>
      <c r="CT86" s="766">
        <v>9.98</v>
      </c>
      <c r="CU86" s="766">
        <v>10.039999999999999</v>
      </c>
      <c r="CV86" s="766">
        <v>10.1</v>
      </c>
      <c r="CW86" s="766">
        <v>10.16</v>
      </c>
      <c r="CX86" s="766">
        <v>10.220000000000001</v>
      </c>
      <c r="CY86" s="766">
        <v>10.28</v>
      </c>
      <c r="CZ86" s="766">
        <v>10.34</v>
      </c>
      <c r="DA86" s="766">
        <v>10.4</v>
      </c>
      <c r="DB86" s="766">
        <v>10.45</v>
      </c>
      <c r="DC86" s="766">
        <v>10.51</v>
      </c>
      <c r="DD86" s="766">
        <v>10.57</v>
      </c>
      <c r="DE86" s="766">
        <v>10.63</v>
      </c>
      <c r="DF86" s="766">
        <v>10.69</v>
      </c>
      <c r="DG86" s="766">
        <v>10.75</v>
      </c>
      <c r="DH86" s="766">
        <v>10.8</v>
      </c>
      <c r="DI86" s="766">
        <v>10.86</v>
      </c>
      <c r="DJ86" s="766">
        <v>10.92</v>
      </c>
      <c r="DK86" s="766">
        <v>10.98</v>
      </c>
      <c r="DL86" s="766">
        <v>11.03</v>
      </c>
      <c r="DM86" s="766">
        <v>11.09</v>
      </c>
      <c r="DN86" s="766">
        <v>11.15</v>
      </c>
      <c r="DO86" s="766">
        <v>11.2</v>
      </c>
      <c r="DP86" s="766">
        <v>11.26</v>
      </c>
      <c r="DQ86" s="766">
        <v>11.32</v>
      </c>
      <c r="DR86" s="766">
        <v>11.37</v>
      </c>
    </row>
    <row r="87" spans="1:122">
      <c r="A87" s="944">
        <v>85</v>
      </c>
      <c r="B87" s="96"/>
      <c r="C87" s="96"/>
      <c r="D87" s="96"/>
      <c r="E87" s="96"/>
      <c r="F87" s="96"/>
      <c r="G87" s="96"/>
      <c r="H87" s="96"/>
      <c r="I87" s="96"/>
      <c r="J87" s="96"/>
      <c r="K87" s="96"/>
      <c r="L87" s="96"/>
      <c r="M87" s="96"/>
      <c r="N87" s="96"/>
      <c r="O87" s="96"/>
      <c r="P87" s="96"/>
      <c r="Q87" s="96"/>
      <c r="R87" s="96"/>
      <c r="S87" s="96"/>
      <c r="T87" s="96"/>
      <c r="U87" s="96"/>
      <c r="V87" s="766"/>
      <c r="W87" s="766">
        <v>5.36</v>
      </c>
      <c r="X87" s="766">
        <v>5.36</v>
      </c>
      <c r="Y87" s="766">
        <v>5.39</v>
      </c>
      <c r="Z87" s="766">
        <v>5.44</v>
      </c>
      <c r="AA87" s="766">
        <v>5.44</v>
      </c>
      <c r="AB87" s="766">
        <v>5.49</v>
      </c>
      <c r="AC87" s="766">
        <v>5.49</v>
      </c>
      <c r="AD87" s="766">
        <v>5.52</v>
      </c>
      <c r="AE87" s="766">
        <v>5.55</v>
      </c>
      <c r="AF87" s="766">
        <v>5.63</v>
      </c>
      <c r="AG87" s="766">
        <v>5.68</v>
      </c>
      <c r="AH87" s="766">
        <v>5.72</v>
      </c>
      <c r="AI87" s="766">
        <v>5.8</v>
      </c>
      <c r="AJ87" s="766">
        <v>5.85</v>
      </c>
      <c r="AK87" s="766">
        <v>5.9</v>
      </c>
      <c r="AL87" s="766">
        <v>5.94</v>
      </c>
      <c r="AM87" s="766">
        <v>6</v>
      </c>
      <c r="AN87" s="766">
        <v>6.05</v>
      </c>
      <c r="AO87" s="766">
        <v>6.1</v>
      </c>
      <c r="AP87" s="766">
        <v>6.15</v>
      </c>
      <c r="AQ87" s="766">
        <v>6.2</v>
      </c>
      <c r="AR87" s="766">
        <v>6.25</v>
      </c>
      <c r="AS87" s="766">
        <v>6.31</v>
      </c>
      <c r="AT87" s="766">
        <v>6.36</v>
      </c>
      <c r="AU87" s="766">
        <v>6.42</v>
      </c>
      <c r="AV87" s="766">
        <v>6.47</v>
      </c>
      <c r="AW87" s="766">
        <v>6.53</v>
      </c>
      <c r="AX87" s="766">
        <v>6.58</v>
      </c>
      <c r="AY87" s="766">
        <v>6.64</v>
      </c>
      <c r="AZ87" s="766">
        <v>6.7</v>
      </c>
      <c r="BA87" s="766">
        <v>6.75</v>
      </c>
      <c r="BB87" s="766">
        <v>6.81</v>
      </c>
      <c r="BC87" s="766">
        <v>6.87</v>
      </c>
      <c r="BD87" s="766">
        <v>6.92</v>
      </c>
      <c r="BE87" s="766">
        <v>6.98</v>
      </c>
      <c r="BF87" s="766">
        <v>7.04</v>
      </c>
      <c r="BG87" s="766">
        <v>7.09</v>
      </c>
      <c r="BH87" s="766">
        <v>7.15</v>
      </c>
      <c r="BI87" s="766">
        <v>7.21</v>
      </c>
      <c r="BJ87" s="766">
        <v>7.26</v>
      </c>
      <c r="BK87" s="766">
        <v>7.32</v>
      </c>
      <c r="BL87" s="766">
        <v>7.38</v>
      </c>
      <c r="BM87" s="766">
        <v>7.44</v>
      </c>
      <c r="BN87" s="766">
        <v>7.49</v>
      </c>
      <c r="BO87" s="766">
        <v>7.55</v>
      </c>
      <c r="BP87" s="766">
        <v>7.61</v>
      </c>
      <c r="BQ87" s="766">
        <v>7.67</v>
      </c>
      <c r="BR87" s="766">
        <v>7.72</v>
      </c>
      <c r="BS87" s="766">
        <v>7.78</v>
      </c>
      <c r="BT87" s="888">
        <v>7.84</v>
      </c>
      <c r="BU87" s="766">
        <v>7.9</v>
      </c>
      <c r="BV87" s="766">
        <v>7.95</v>
      </c>
      <c r="BW87" s="766">
        <v>8.01</v>
      </c>
      <c r="BX87" s="766">
        <v>8.07</v>
      </c>
      <c r="BY87" s="766">
        <v>8.1300000000000008</v>
      </c>
      <c r="BZ87" s="766">
        <v>8.18</v>
      </c>
      <c r="CA87" s="766">
        <v>8.24</v>
      </c>
      <c r="CB87" s="766">
        <v>8.3000000000000007</v>
      </c>
      <c r="CC87" s="766">
        <v>8.36</v>
      </c>
      <c r="CD87" s="766">
        <v>8.42</v>
      </c>
      <c r="CE87" s="766">
        <v>8.4700000000000006</v>
      </c>
      <c r="CF87" s="766">
        <v>8.5299999999999994</v>
      </c>
      <c r="CG87" s="766">
        <v>8.59</v>
      </c>
      <c r="CH87" s="766">
        <v>8.65</v>
      </c>
      <c r="CI87" s="766">
        <v>8.6999999999999993</v>
      </c>
      <c r="CJ87" s="766">
        <v>8.76</v>
      </c>
      <c r="CK87" s="766">
        <v>8.82</v>
      </c>
      <c r="CL87" s="766">
        <v>8.8699999999999992</v>
      </c>
      <c r="CM87" s="766">
        <v>8.93</v>
      </c>
      <c r="CN87" s="766">
        <v>8.99</v>
      </c>
      <c r="CO87" s="766">
        <v>9.0500000000000007</v>
      </c>
      <c r="CP87" s="766">
        <v>9.1</v>
      </c>
      <c r="CQ87" s="766">
        <v>9.16</v>
      </c>
      <c r="CR87" s="766">
        <v>9.2200000000000006</v>
      </c>
      <c r="CS87" s="766">
        <v>9.27</v>
      </c>
      <c r="CT87" s="766">
        <v>9.33</v>
      </c>
      <c r="CU87" s="766">
        <v>9.39</v>
      </c>
      <c r="CV87" s="766">
        <v>9.44</v>
      </c>
      <c r="CW87" s="766">
        <v>9.5</v>
      </c>
      <c r="CX87" s="766">
        <v>9.56</v>
      </c>
      <c r="CY87" s="766">
        <v>9.61</v>
      </c>
      <c r="CZ87" s="766">
        <v>9.67</v>
      </c>
      <c r="DA87" s="766">
        <v>9.7200000000000006</v>
      </c>
      <c r="DB87" s="766">
        <v>9.7799999999999994</v>
      </c>
      <c r="DC87" s="766">
        <v>9.84</v>
      </c>
      <c r="DD87" s="766">
        <v>9.89</v>
      </c>
      <c r="DE87" s="766">
        <v>9.9499999999999993</v>
      </c>
      <c r="DF87" s="766">
        <v>10</v>
      </c>
      <c r="DG87" s="766">
        <v>10.06</v>
      </c>
      <c r="DH87" s="766">
        <v>10.11</v>
      </c>
      <c r="DI87" s="766">
        <v>10.17</v>
      </c>
      <c r="DJ87" s="766">
        <v>10.220000000000001</v>
      </c>
      <c r="DK87" s="766">
        <v>10.28</v>
      </c>
      <c r="DL87" s="766">
        <v>10.33</v>
      </c>
      <c r="DM87" s="766">
        <v>10.38</v>
      </c>
      <c r="DN87" s="766">
        <v>10.44</v>
      </c>
      <c r="DO87" s="766">
        <v>10.49</v>
      </c>
      <c r="DP87" s="766">
        <v>10.55</v>
      </c>
      <c r="DQ87" s="766">
        <v>10.6</v>
      </c>
      <c r="DR87" s="766">
        <v>10.65</v>
      </c>
    </row>
    <row r="88" spans="1:122">
      <c r="A88" s="944">
        <v>86</v>
      </c>
      <c r="B88" s="96"/>
      <c r="C88" s="96"/>
      <c r="D88" s="96"/>
      <c r="E88" s="96"/>
      <c r="F88" s="96"/>
      <c r="G88" s="96"/>
      <c r="H88" s="96"/>
      <c r="I88" s="96"/>
      <c r="J88" s="96"/>
      <c r="K88" s="96"/>
      <c r="L88" s="96"/>
      <c r="M88" s="96"/>
      <c r="N88" s="96"/>
      <c r="O88" s="96"/>
      <c r="P88" s="96"/>
      <c r="Q88" s="96"/>
      <c r="R88" s="96"/>
      <c r="S88" s="96"/>
      <c r="T88" s="96"/>
      <c r="U88" s="96"/>
      <c r="V88" s="766"/>
      <c r="W88" s="766">
        <v>4.9800000000000004</v>
      </c>
      <c r="X88" s="766">
        <v>4.9800000000000004</v>
      </c>
      <c r="Y88" s="766">
        <v>5.0199999999999996</v>
      </c>
      <c r="Z88" s="766">
        <v>5.04</v>
      </c>
      <c r="AA88" s="766">
        <v>5.0599999999999996</v>
      </c>
      <c r="AB88" s="766">
        <v>5.0999999999999996</v>
      </c>
      <c r="AC88" s="766">
        <v>5.13</v>
      </c>
      <c r="AD88" s="766">
        <v>5.13</v>
      </c>
      <c r="AE88" s="766">
        <v>5.18</v>
      </c>
      <c r="AF88" s="766">
        <v>5.23</v>
      </c>
      <c r="AG88" s="766">
        <v>5.3</v>
      </c>
      <c r="AH88" s="766">
        <v>5.34</v>
      </c>
      <c r="AI88" s="766">
        <v>5.39</v>
      </c>
      <c r="AJ88" s="766">
        <v>5.44</v>
      </c>
      <c r="AK88" s="766">
        <v>5.48</v>
      </c>
      <c r="AL88" s="766">
        <v>5.53</v>
      </c>
      <c r="AM88" s="766">
        <v>5.57</v>
      </c>
      <c r="AN88" s="766">
        <v>5.62</v>
      </c>
      <c r="AO88" s="766">
        <v>5.67</v>
      </c>
      <c r="AP88" s="766">
        <v>5.72</v>
      </c>
      <c r="AQ88" s="766">
        <v>5.77</v>
      </c>
      <c r="AR88" s="766">
        <v>5.82</v>
      </c>
      <c r="AS88" s="766">
        <v>5.87</v>
      </c>
      <c r="AT88" s="766">
        <v>5.92</v>
      </c>
      <c r="AU88" s="766">
        <v>5.97</v>
      </c>
      <c r="AV88" s="766">
        <v>6.02</v>
      </c>
      <c r="AW88" s="766">
        <v>6.08</v>
      </c>
      <c r="AX88" s="766">
        <v>6.13</v>
      </c>
      <c r="AY88" s="766">
        <v>6.18</v>
      </c>
      <c r="AZ88" s="766">
        <v>6.23</v>
      </c>
      <c r="BA88" s="766">
        <v>6.29</v>
      </c>
      <c r="BB88" s="766">
        <v>6.34</v>
      </c>
      <c r="BC88" s="766">
        <v>6.39</v>
      </c>
      <c r="BD88" s="766">
        <v>6.45</v>
      </c>
      <c r="BE88" s="766">
        <v>6.5</v>
      </c>
      <c r="BF88" s="766">
        <v>6.55</v>
      </c>
      <c r="BG88" s="766">
        <v>6.61</v>
      </c>
      <c r="BH88" s="766">
        <v>6.66</v>
      </c>
      <c r="BI88" s="766">
        <v>6.71</v>
      </c>
      <c r="BJ88" s="766">
        <v>6.77</v>
      </c>
      <c r="BK88" s="766">
        <v>6.82</v>
      </c>
      <c r="BL88" s="766">
        <v>6.87</v>
      </c>
      <c r="BM88" s="766">
        <v>6.93</v>
      </c>
      <c r="BN88" s="766">
        <v>6.98</v>
      </c>
      <c r="BO88" s="766">
        <v>7.03</v>
      </c>
      <c r="BP88" s="766">
        <v>7.09</v>
      </c>
      <c r="BQ88" s="766">
        <v>7.14</v>
      </c>
      <c r="BR88" s="766">
        <v>7.2</v>
      </c>
      <c r="BS88" s="766">
        <v>7.25</v>
      </c>
      <c r="BT88" s="888">
        <v>7.3</v>
      </c>
      <c r="BU88" s="766">
        <v>7.36</v>
      </c>
      <c r="BV88" s="766">
        <v>7.41</v>
      </c>
      <c r="BW88" s="766">
        <v>7.47</v>
      </c>
      <c r="BX88" s="766">
        <v>7.52</v>
      </c>
      <c r="BY88" s="766">
        <v>7.57</v>
      </c>
      <c r="BZ88" s="766">
        <v>7.63</v>
      </c>
      <c r="CA88" s="766">
        <v>7.68</v>
      </c>
      <c r="CB88" s="766">
        <v>7.74</v>
      </c>
      <c r="CC88" s="766">
        <v>7.79</v>
      </c>
      <c r="CD88" s="766">
        <v>7.85</v>
      </c>
      <c r="CE88" s="766">
        <v>7.9</v>
      </c>
      <c r="CF88" s="766">
        <v>7.95</v>
      </c>
      <c r="CG88" s="766">
        <v>8.01</v>
      </c>
      <c r="CH88" s="766">
        <v>8.06</v>
      </c>
      <c r="CI88" s="766">
        <v>8.1199999999999992</v>
      </c>
      <c r="CJ88" s="766">
        <v>8.17</v>
      </c>
      <c r="CK88" s="766">
        <v>8.2200000000000006</v>
      </c>
      <c r="CL88" s="766">
        <v>8.2799999999999994</v>
      </c>
      <c r="CM88" s="766">
        <v>8.33</v>
      </c>
      <c r="CN88" s="766">
        <v>8.39</v>
      </c>
      <c r="CO88" s="766">
        <v>8.44</v>
      </c>
      <c r="CP88" s="766">
        <v>8.49</v>
      </c>
      <c r="CQ88" s="766">
        <v>8.5500000000000007</v>
      </c>
      <c r="CR88" s="766">
        <v>8.6</v>
      </c>
      <c r="CS88" s="766">
        <v>8.65</v>
      </c>
      <c r="CT88" s="766">
        <v>8.7100000000000009</v>
      </c>
      <c r="CU88" s="766">
        <v>8.76</v>
      </c>
      <c r="CV88" s="766">
        <v>8.81</v>
      </c>
      <c r="CW88" s="766">
        <v>8.8699999999999992</v>
      </c>
      <c r="CX88" s="766">
        <v>8.92</v>
      </c>
      <c r="CY88" s="766">
        <v>8.9700000000000006</v>
      </c>
      <c r="CZ88" s="766">
        <v>9.02</v>
      </c>
      <c r="DA88" s="766">
        <v>9.08</v>
      </c>
      <c r="DB88" s="766">
        <v>9.1300000000000008</v>
      </c>
      <c r="DC88" s="766">
        <v>9.18</v>
      </c>
      <c r="DD88" s="766">
        <v>9.23</v>
      </c>
      <c r="DE88" s="766">
        <v>9.2899999999999991</v>
      </c>
      <c r="DF88" s="766">
        <v>9.34</v>
      </c>
      <c r="DG88" s="766">
        <v>9.39</v>
      </c>
      <c r="DH88" s="766">
        <v>9.44</v>
      </c>
      <c r="DI88" s="766">
        <v>9.49</v>
      </c>
      <c r="DJ88" s="766">
        <v>9.5500000000000007</v>
      </c>
      <c r="DK88" s="766">
        <v>9.6</v>
      </c>
      <c r="DL88" s="766">
        <v>9.65</v>
      </c>
      <c r="DM88" s="766">
        <v>9.6999999999999993</v>
      </c>
      <c r="DN88" s="766">
        <v>9.75</v>
      </c>
      <c r="DO88" s="766">
        <v>9.8000000000000007</v>
      </c>
      <c r="DP88" s="766">
        <v>9.85</v>
      </c>
      <c r="DQ88" s="766">
        <v>9.9</v>
      </c>
      <c r="DR88" s="766">
        <v>9.9499999999999993</v>
      </c>
    </row>
    <row r="89" spans="1:122">
      <c r="A89" s="944">
        <v>87</v>
      </c>
      <c r="B89" s="96"/>
      <c r="C89" s="96"/>
      <c r="D89" s="96"/>
      <c r="E89" s="96"/>
      <c r="F89" s="96"/>
      <c r="G89" s="96"/>
      <c r="H89" s="96"/>
      <c r="I89" s="96"/>
      <c r="J89" s="96"/>
      <c r="K89" s="96"/>
      <c r="L89" s="96"/>
      <c r="M89" s="96"/>
      <c r="N89" s="96"/>
      <c r="O89" s="96"/>
      <c r="P89" s="96"/>
      <c r="Q89" s="96"/>
      <c r="R89" s="96"/>
      <c r="S89" s="96"/>
      <c r="T89" s="96"/>
      <c r="U89" s="96"/>
      <c r="V89" s="766"/>
      <c r="W89" s="766">
        <v>4.6399999999999997</v>
      </c>
      <c r="X89" s="766">
        <v>4.62</v>
      </c>
      <c r="Y89" s="766">
        <v>4.6399999999999997</v>
      </c>
      <c r="Z89" s="766">
        <v>4.68</v>
      </c>
      <c r="AA89" s="766">
        <v>4.7</v>
      </c>
      <c r="AB89" s="766">
        <v>4.76</v>
      </c>
      <c r="AC89" s="766">
        <v>4.74</v>
      </c>
      <c r="AD89" s="766">
        <v>4.78</v>
      </c>
      <c r="AE89" s="766">
        <v>4.8</v>
      </c>
      <c r="AF89" s="766">
        <v>4.88</v>
      </c>
      <c r="AG89" s="766">
        <v>4.93</v>
      </c>
      <c r="AH89" s="766">
        <v>4.97</v>
      </c>
      <c r="AI89" s="766">
        <v>5.01</v>
      </c>
      <c r="AJ89" s="766">
        <v>5.05</v>
      </c>
      <c r="AK89" s="766">
        <v>5.09</v>
      </c>
      <c r="AL89" s="766">
        <v>5.14</v>
      </c>
      <c r="AM89" s="766">
        <v>5.18</v>
      </c>
      <c r="AN89" s="766">
        <v>5.23</v>
      </c>
      <c r="AO89" s="766">
        <v>5.27</v>
      </c>
      <c r="AP89" s="766">
        <v>5.32</v>
      </c>
      <c r="AQ89" s="766">
        <v>5.36</v>
      </c>
      <c r="AR89" s="766">
        <v>5.41</v>
      </c>
      <c r="AS89" s="766">
        <v>5.46</v>
      </c>
      <c r="AT89" s="766">
        <v>5.5</v>
      </c>
      <c r="AU89" s="766">
        <v>5.55</v>
      </c>
      <c r="AV89" s="766">
        <v>5.6</v>
      </c>
      <c r="AW89" s="766">
        <v>5.65</v>
      </c>
      <c r="AX89" s="766">
        <v>5.7</v>
      </c>
      <c r="AY89" s="766">
        <v>5.75</v>
      </c>
      <c r="AZ89" s="766">
        <v>5.8</v>
      </c>
      <c r="BA89" s="766">
        <v>5.85</v>
      </c>
      <c r="BB89" s="766">
        <v>5.9</v>
      </c>
      <c r="BC89" s="766">
        <v>5.95</v>
      </c>
      <c r="BD89" s="766">
        <v>5.99</v>
      </c>
      <c r="BE89" s="766">
        <v>6.04</v>
      </c>
      <c r="BF89" s="766">
        <v>6.09</v>
      </c>
      <c r="BG89" s="766">
        <v>6.14</v>
      </c>
      <c r="BH89" s="766">
        <v>6.19</v>
      </c>
      <c r="BI89" s="766">
        <v>6.24</v>
      </c>
      <c r="BJ89" s="766">
        <v>6.29</v>
      </c>
      <c r="BK89" s="766">
        <v>6.34</v>
      </c>
      <c r="BL89" s="766">
        <v>6.39</v>
      </c>
      <c r="BM89" s="766">
        <v>6.44</v>
      </c>
      <c r="BN89" s="766">
        <v>6.49</v>
      </c>
      <c r="BO89" s="766">
        <v>6.54</v>
      </c>
      <c r="BP89" s="766">
        <v>6.6</v>
      </c>
      <c r="BQ89" s="766">
        <v>6.65</v>
      </c>
      <c r="BR89" s="766">
        <v>6.7</v>
      </c>
      <c r="BS89" s="766">
        <v>6.75</v>
      </c>
      <c r="BT89" s="888">
        <v>6.8</v>
      </c>
      <c r="BU89" s="766">
        <v>6.85</v>
      </c>
      <c r="BV89" s="766">
        <v>6.9</v>
      </c>
      <c r="BW89" s="766">
        <v>6.95</v>
      </c>
      <c r="BX89" s="766">
        <v>7</v>
      </c>
      <c r="BY89" s="766">
        <v>7.05</v>
      </c>
      <c r="BZ89" s="766">
        <v>7.1</v>
      </c>
      <c r="CA89" s="766">
        <v>7.15</v>
      </c>
      <c r="CB89" s="766">
        <v>7.2</v>
      </c>
      <c r="CC89" s="766">
        <v>7.25</v>
      </c>
      <c r="CD89" s="766">
        <v>7.3</v>
      </c>
      <c r="CE89" s="766">
        <v>7.35</v>
      </c>
      <c r="CF89" s="766">
        <v>7.4</v>
      </c>
      <c r="CG89" s="766">
        <v>7.46</v>
      </c>
      <c r="CH89" s="766">
        <v>7.51</v>
      </c>
      <c r="CI89" s="766">
        <v>7.56</v>
      </c>
      <c r="CJ89" s="766">
        <v>7.61</v>
      </c>
      <c r="CK89" s="766">
        <v>7.66</v>
      </c>
      <c r="CL89" s="766">
        <v>7.71</v>
      </c>
      <c r="CM89" s="766">
        <v>7.76</v>
      </c>
      <c r="CN89" s="766">
        <v>7.81</v>
      </c>
      <c r="CO89" s="766">
        <v>7.86</v>
      </c>
      <c r="CP89" s="766">
        <v>7.91</v>
      </c>
      <c r="CQ89" s="766">
        <v>7.96</v>
      </c>
      <c r="CR89" s="766">
        <v>8.01</v>
      </c>
      <c r="CS89" s="766">
        <v>8.06</v>
      </c>
      <c r="CT89" s="766">
        <v>8.11</v>
      </c>
      <c r="CU89" s="766">
        <v>8.16</v>
      </c>
      <c r="CV89" s="766">
        <v>8.2100000000000009</v>
      </c>
      <c r="CW89" s="766">
        <v>8.26</v>
      </c>
      <c r="CX89" s="766">
        <v>8.31</v>
      </c>
      <c r="CY89" s="766">
        <v>8.36</v>
      </c>
      <c r="CZ89" s="766">
        <v>8.41</v>
      </c>
      <c r="DA89" s="766">
        <v>8.4600000000000009</v>
      </c>
      <c r="DB89" s="766">
        <v>8.51</v>
      </c>
      <c r="DC89" s="766">
        <v>8.56</v>
      </c>
      <c r="DD89" s="766">
        <v>8.61</v>
      </c>
      <c r="DE89" s="766">
        <v>8.65</v>
      </c>
      <c r="DF89" s="766">
        <v>8.6999999999999993</v>
      </c>
      <c r="DG89" s="766">
        <v>8.75</v>
      </c>
      <c r="DH89" s="766">
        <v>8.8000000000000007</v>
      </c>
      <c r="DI89" s="766">
        <v>8.85</v>
      </c>
      <c r="DJ89" s="766">
        <v>8.9</v>
      </c>
      <c r="DK89" s="766">
        <v>8.9499999999999993</v>
      </c>
      <c r="DL89" s="766">
        <v>8.99</v>
      </c>
      <c r="DM89" s="766">
        <v>9.0399999999999991</v>
      </c>
      <c r="DN89" s="766">
        <v>9.09</v>
      </c>
      <c r="DO89" s="766">
        <v>9.14</v>
      </c>
      <c r="DP89" s="766">
        <v>9.19</v>
      </c>
      <c r="DQ89" s="766">
        <v>9.23</v>
      </c>
      <c r="DR89" s="766">
        <v>9.2799999999999994</v>
      </c>
    </row>
    <row r="90" spans="1:122">
      <c r="A90" s="944">
        <v>88</v>
      </c>
      <c r="B90" s="96"/>
      <c r="C90" s="96"/>
      <c r="D90" s="96"/>
      <c r="E90" s="96"/>
      <c r="F90" s="96"/>
      <c r="G90" s="96"/>
      <c r="H90" s="96"/>
      <c r="I90" s="96"/>
      <c r="J90" s="96"/>
      <c r="K90" s="96"/>
      <c r="L90" s="96"/>
      <c r="M90" s="96"/>
      <c r="N90" s="96"/>
      <c r="O90" s="96"/>
      <c r="P90" s="96"/>
      <c r="Q90" s="96"/>
      <c r="R90" s="96"/>
      <c r="S90" s="96"/>
      <c r="T90" s="96"/>
      <c r="U90" s="96"/>
      <c r="V90" s="766"/>
      <c r="W90" s="766">
        <v>4.3099999999999996</v>
      </c>
      <c r="X90" s="766">
        <v>4.2699999999999996</v>
      </c>
      <c r="Y90" s="766">
        <v>4.3099999999999996</v>
      </c>
      <c r="Z90" s="766">
        <v>4.34</v>
      </c>
      <c r="AA90" s="766">
        <v>4.38</v>
      </c>
      <c r="AB90" s="766">
        <v>4.4000000000000004</v>
      </c>
      <c r="AC90" s="766">
        <v>4.41</v>
      </c>
      <c r="AD90" s="766">
        <v>4.43</v>
      </c>
      <c r="AE90" s="766">
        <v>4.4800000000000004</v>
      </c>
      <c r="AF90" s="766">
        <v>4.53</v>
      </c>
      <c r="AG90" s="766">
        <v>4.58</v>
      </c>
      <c r="AH90" s="766">
        <v>4.62</v>
      </c>
      <c r="AI90" s="766">
        <v>4.6500000000000004</v>
      </c>
      <c r="AJ90" s="766">
        <v>4.6900000000000004</v>
      </c>
      <c r="AK90" s="766">
        <v>4.7300000000000004</v>
      </c>
      <c r="AL90" s="766">
        <v>4.7699999999999996</v>
      </c>
      <c r="AM90" s="766">
        <v>4.8099999999999996</v>
      </c>
      <c r="AN90" s="766">
        <v>4.8499999999999996</v>
      </c>
      <c r="AO90" s="766">
        <v>4.9000000000000004</v>
      </c>
      <c r="AP90" s="766">
        <v>4.9400000000000004</v>
      </c>
      <c r="AQ90" s="766">
        <v>4.9800000000000004</v>
      </c>
      <c r="AR90" s="766">
        <v>5.03</v>
      </c>
      <c r="AS90" s="766">
        <v>5.07</v>
      </c>
      <c r="AT90" s="766">
        <v>5.12</v>
      </c>
      <c r="AU90" s="766">
        <v>5.16</v>
      </c>
      <c r="AV90" s="766">
        <v>5.21</v>
      </c>
      <c r="AW90" s="766">
        <v>5.25</v>
      </c>
      <c r="AX90" s="766">
        <v>5.3</v>
      </c>
      <c r="AY90" s="766">
        <v>5.34</v>
      </c>
      <c r="AZ90" s="766">
        <v>5.39</v>
      </c>
      <c r="BA90" s="766">
        <v>5.43</v>
      </c>
      <c r="BB90" s="766">
        <v>5.48</v>
      </c>
      <c r="BC90" s="766">
        <v>5.52</v>
      </c>
      <c r="BD90" s="766">
        <v>5.57</v>
      </c>
      <c r="BE90" s="766">
        <v>5.62</v>
      </c>
      <c r="BF90" s="766">
        <v>5.66</v>
      </c>
      <c r="BG90" s="766">
        <v>5.71</v>
      </c>
      <c r="BH90" s="766">
        <v>5.76</v>
      </c>
      <c r="BI90" s="766">
        <v>5.8</v>
      </c>
      <c r="BJ90" s="766">
        <v>5.85</v>
      </c>
      <c r="BK90" s="766">
        <v>5.9</v>
      </c>
      <c r="BL90" s="766">
        <v>5.94</v>
      </c>
      <c r="BM90" s="766">
        <v>5.99</v>
      </c>
      <c r="BN90" s="766">
        <v>6.04</v>
      </c>
      <c r="BO90" s="766">
        <v>6.08</v>
      </c>
      <c r="BP90" s="766">
        <v>6.13</v>
      </c>
      <c r="BQ90" s="766">
        <v>6.18</v>
      </c>
      <c r="BR90" s="766">
        <v>6.22</v>
      </c>
      <c r="BS90" s="766">
        <v>6.27</v>
      </c>
      <c r="BT90" s="888">
        <v>6.32</v>
      </c>
      <c r="BU90" s="766">
        <v>6.36</v>
      </c>
      <c r="BV90" s="766">
        <v>6.41</v>
      </c>
      <c r="BW90" s="766">
        <v>6.46</v>
      </c>
      <c r="BX90" s="766">
        <v>6.51</v>
      </c>
      <c r="BY90" s="766">
        <v>6.55</v>
      </c>
      <c r="BZ90" s="766">
        <v>6.6</v>
      </c>
      <c r="CA90" s="766">
        <v>6.65</v>
      </c>
      <c r="CB90" s="766">
        <v>6.69</v>
      </c>
      <c r="CC90" s="766">
        <v>6.74</v>
      </c>
      <c r="CD90" s="766">
        <v>6.79</v>
      </c>
      <c r="CE90" s="766">
        <v>6.84</v>
      </c>
      <c r="CF90" s="766">
        <v>6.88</v>
      </c>
      <c r="CG90" s="766">
        <v>6.93</v>
      </c>
      <c r="CH90" s="766">
        <v>6.98</v>
      </c>
      <c r="CI90" s="766">
        <v>7.02</v>
      </c>
      <c r="CJ90" s="766">
        <v>7.07</v>
      </c>
      <c r="CK90" s="766">
        <v>7.12</v>
      </c>
      <c r="CL90" s="766">
        <v>7.16</v>
      </c>
      <c r="CM90" s="766">
        <v>7.21</v>
      </c>
      <c r="CN90" s="766">
        <v>7.26</v>
      </c>
      <c r="CO90" s="766">
        <v>7.31</v>
      </c>
      <c r="CP90" s="766">
        <v>7.35</v>
      </c>
      <c r="CQ90" s="766">
        <v>7.4</v>
      </c>
      <c r="CR90" s="766">
        <v>7.45</v>
      </c>
      <c r="CS90" s="766">
        <v>7.49</v>
      </c>
      <c r="CT90" s="766">
        <v>7.54</v>
      </c>
      <c r="CU90" s="766">
        <v>7.59</v>
      </c>
      <c r="CV90" s="766">
        <v>7.63</v>
      </c>
      <c r="CW90" s="766">
        <v>7.68</v>
      </c>
      <c r="CX90" s="766">
        <v>7.73</v>
      </c>
      <c r="CY90" s="766">
        <v>7.77</v>
      </c>
      <c r="CZ90" s="766">
        <v>7.82</v>
      </c>
      <c r="DA90" s="766">
        <v>7.86</v>
      </c>
      <c r="DB90" s="766">
        <v>7.91</v>
      </c>
      <c r="DC90" s="766">
        <v>7.96</v>
      </c>
      <c r="DD90" s="766">
        <v>8</v>
      </c>
      <c r="DE90" s="766">
        <v>8.0500000000000007</v>
      </c>
      <c r="DF90" s="766">
        <v>8.09</v>
      </c>
      <c r="DG90" s="766">
        <v>8.14</v>
      </c>
      <c r="DH90" s="766">
        <v>8.18</v>
      </c>
      <c r="DI90" s="766">
        <v>8.23</v>
      </c>
      <c r="DJ90" s="766">
        <v>8.27</v>
      </c>
      <c r="DK90" s="766">
        <v>8.32</v>
      </c>
      <c r="DL90" s="766">
        <v>8.36</v>
      </c>
      <c r="DM90" s="766">
        <v>8.41</v>
      </c>
      <c r="DN90" s="766">
        <v>8.4499999999999993</v>
      </c>
      <c r="DO90" s="766">
        <v>8.5</v>
      </c>
      <c r="DP90" s="766">
        <v>8.5399999999999991</v>
      </c>
      <c r="DQ90" s="766">
        <v>8.59</v>
      </c>
      <c r="DR90" s="766">
        <v>8.6300000000000008</v>
      </c>
    </row>
    <row r="91" spans="1:122">
      <c r="A91" s="944">
        <v>89</v>
      </c>
      <c r="B91" s="96"/>
      <c r="C91" s="96"/>
      <c r="D91" s="96"/>
      <c r="E91" s="96"/>
      <c r="F91" s="96"/>
      <c r="G91" s="96"/>
      <c r="H91" s="96"/>
      <c r="I91" s="96"/>
      <c r="J91" s="96"/>
      <c r="K91" s="96"/>
      <c r="L91" s="96"/>
      <c r="M91" s="96"/>
      <c r="N91" s="96"/>
      <c r="O91" s="96"/>
      <c r="P91" s="96"/>
      <c r="Q91" s="96"/>
      <c r="R91" s="96"/>
      <c r="S91" s="96"/>
      <c r="T91" s="96"/>
      <c r="U91" s="96"/>
      <c r="V91" s="766"/>
      <c r="W91" s="766">
        <v>3.96</v>
      </c>
      <c r="X91" s="766">
        <v>3.95</v>
      </c>
      <c r="Y91" s="766">
        <v>3.99</v>
      </c>
      <c r="Z91" s="766">
        <v>4.04</v>
      </c>
      <c r="AA91" s="766">
        <v>4.04</v>
      </c>
      <c r="AB91" s="766">
        <v>4.09</v>
      </c>
      <c r="AC91" s="766">
        <v>4.08</v>
      </c>
      <c r="AD91" s="766">
        <v>4.13</v>
      </c>
      <c r="AE91" s="766">
        <v>4.18</v>
      </c>
      <c r="AF91" s="766">
        <v>4.22</v>
      </c>
      <c r="AG91" s="766">
        <v>4.25</v>
      </c>
      <c r="AH91" s="766">
        <v>4.29</v>
      </c>
      <c r="AI91" s="766">
        <v>4.32</v>
      </c>
      <c r="AJ91" s="766">
        <v>4.3600000000000003</v>
      </c>
      <c r="AK91" s="766">
        <v>4.3899999999999997</v>
      </c>
      <c r="AL91" s="766">
        <v>4.43</v>
      </c>
      <c r="AM91" s="766">
        <v>4.47</v>
      </c>
      <c r="AN91" s="766">
        <v>4.51</v>
      </c>
      <c r="AO91" s="766">
        <v>4.55</v>
      </c>
      <c r="AP91" s="766">
        <v>4.59</v>
      </c>
      <c r="AQ91" s="766">
        <v>4.63</v>
      </c>
      <c r="AR91" s="766">
        <v>4.67</v>
      </c>
      <c r="AS91" s="766">
        <v>4.71</v>
      </c>
      <c r="AT91" s="766">
        <v>4.75</v>
      </c>
      <c r="AU91" s="766">
        <v>4.79</v>
      </c>
      <c r="AV91" s="766">
        <v>4.83</v>
      </c>
      <c r="AW91" s="766">
        <v>4.88</v>
      </c>
      <c r="AX91" s="766">
        <v>4.92</v>
      </c>
      <c r="AY91" s="766">
        <v>4.96</v>
      </c>
      <c r="AZ91" s="766">
        <v>5</v>
      </c>
      <c r="BA91" s="766">
        <v>5.04</v>
      </c>
      <c r="BB91" s="766">
        <v>5.09</v>
      </c>
      <c r="BC91" s="766">
        <v>5.13</v>
      </c>
      <c r="BD91" s="766">
        <v>5.17</v>
      </c>
      <c r="BE91" s="766">
        <v>5.21</v>
      </c>
      <c r="BF91" s="766">
        <v>5.26</v>
      </c>
      <c r="BG91" s="766">
        <v>5.3</v>
      </c>
      <c r="BH91" s="766">
        <v>5.34</v>
      </c>
      <c r="BI91" s="766">
        <v>5.39</v>
      </c>
      <c r="BJ91" s="766">
        <v>5.43</v>
      </c>
      <c r="BK91" s="766">
        <v>5.47</v>
      </c>
      <c r="BL91" s="766">
        <v>5.52</v>
      </c>
      <c r="BM91" s="766">
        <v>5.56</v>
      </c>
      <c r="BN91" s="766">
        <v>5.6</v>
      </c>
      <c r="BO91" s="766">
        <v>5.65</v>
      </c>
      <c r="BP91" s="766">
        <v>5.69</v>
      </c>
      <c r="BQ91" s="766">
        <v>5.73</v>
      </c>
      <c r="BR91" s="766">
        <v>5.78</v>
      </c>
      <c r="BS91" s="766">
        <v>5.82</v>
      </c>
      <c r="BT91" s="888">
        <v>5.86</v>
      </c>
      <c r="BU91" s="766">
        <v>5.91</v>
      </c>
      <c r="BV91" s="766">
        <v>5.95</v>
      </c>
      <c r="BW91" s="766">
        <v>5.99</v>
      </c>
      <c r="BX91" s="766">
        <v>6.04</v>
      </c>
      <c r="BY91" s="766">
        <v>6.08</v>
      </c>
      <c r="BZ91" s="766">
        <v>6.12</v>
      </c>
      <c r="CA91" s="766">
        <v>6.17</v>
      </c>
      <c r="CB91" s="766">
        <v>6.21</v>
      </c>
      <c r="CC91" s="766">
        <v>6.26</v>
      </c>
      <c r="CD91" s="766">
        <v>6.3</v>
      </c>
      <c r="CE91" s="766">
        <v>6.34</v>
      </c>
      <c r="CF91" s="766">
        <v>6.39</v>
      </c>
      <c r="CG91" s="766">
        <v>6.43</v>
      </c>
      <c r="CH91" s="766">
        <v>6.47</v>
      </c>
      <c r="CI91" s="766">
        <v>6.52</v>
      </c>
      <c r="CJ91" s="766">
        <v>6.56</v>
      </c>
      <c r="CK91" s="766">
        <v>6.6</v>
      </c>
      <c r="CL91" s="766">
        <v>6.65</v>
      </c>
      <c r="CM91" s="766">
        <v>6.69</v>
      </c>
      <c r="CN91" s="766">
        <v>6.73</v>
      </c>
      <c r="CO91" s="766">
        <v>6.78</v>
      </c>
      <c r="CP91" s="766">
        <v>6.82</v>
      </c>
      <c r="CQ91" s="766">
        <v>6.87</v>
      </c>
      <c r="CR91" s="766">
        <v>6.91</v>
      </c>
      <c r="CS91" s="766">
        <v>6.95</v>
      </c>
      <c r="CT91" s="766">
        <v>7</v>
      </c>
      <c r="CU91" s="766">
        <v>7.04</v>
      </c>
      <c r="CV91" s="766">
        <v>7.08</v>
      </c>
      <c r="CW91" s="766">
        <v>7.12</v>
      </c>
      <c r="CX91" s="766">
        <v>7.17</v>
      </c>
      <c r="CY91" s="766">
        <v>7.21</v>
      </c>
      <c r="CZ91" s="766">
        <v>7.25</v>
      </c>
      <c r="DA91" s="766">
        <v>7.3</v>
      </c>
      <c r="DB91" s="766">
        <v>7.34</v>
      </c>
      <c r="DC91" s="766">
        <v>7.38</v>
      </c>
      <c r="DD91" s="766">
        <v>7.42</v>
      </c>
      <c r="DE91" s="766">
        <v>7.47</v>
      </c>
      <c r="DF91" s="766">
        <v>7.51</v>
      </c>
      <c r="DG91" s="766">
        <v>7.55</v>
      </c>
      <c r="DH91" s="766">
        <v>7.59</v>
      </c>
      <c r="DI91" s="766">
        <v>7.64</v>
      </c>
      <c r="DJ91" s="766">
        <v>7.68</v>
      </c>
      <c r="DK91" s="766">
        <v>7.72</v>
      </c>
      <c r="DL91" s="766">
        <v>7.76</v>
      </c>
      <c r="DM91" s="766">
        <v>7.8</v>
      </c>
      <c r="DN91" s="766">
        <v>7.84</v>
      </c>
      <c r="DO91" s="766">
        <v>7.89</v>
      </c>
      <c r="DP91" s="766">
        <v>7.93</v>
      </c>
      <c r="DQ91" s="766">
        <v>7.97</v>
      </c>
      <c r="DR91" s="766">
        <v>8.01</v>
      </c>
    </row>
    <row r="92" spans="1:122">
      <c r="A92" s="944">
        <v>90</v>
      </c>
      <c r="B92" s="96"/>
      <c r="C92" s="96"/>
      <c r="D92" s="96"/>
      <c r="E92" s="96"/>
      <c r="F92" s="96"/>
      <c r="G92" s="96"/>
      <c r="H92" s="96"/>
      <c r="I92" s="96"/>
      <c r="J92" s="96"/>
      <c r="K92" s="96"/>
      <c r="L92" s="96"/>
      <c r="M92" s="96"/>
      <c r="N92" s="96"/>
      <c r="O92" s="96"/>
      <c r="P92" s="96"/>
      <c r="Q92" s="96"/>
      <c r="R92" s="96"/>
      <c r="S92" s="96"/>
      <c r="T92" s="96"/>
      <c r="U92" s="96"/>
      <c r="V92" s="766"/>
      <c r="W92" s="766">
        <v>3.67</v>
      </c>
      <c r="X92" s="766">
        <v>3.65</v>
      </c>
      <c r="Y92" s="766">
        <v>3.72</v>
      </c>
      <c r="Z92" s="766">
        <v>3.72</v>
      </c>
      <c r="AA92" s="766">
        <v>3.75</v>
      </c>
      <c r="AB92" s="766">
        <v>3.78</v>
      </c>
      <c r="AC92" s="766">
        <v>3.8</v>
      </c>
      <c r="AD92" s="766">
        <v>3.85</v>
      </c>
      <c r="AE92" s="766">
        <v>3.88</v>
      </c>
      <c r="AF92" s="766">
        <v>3.91</v>
      </c>
      <c r="AG92" s="766">
        <v>3.95</v>
      </c>
      <c r="AH92" s="766">
        <v>3.98</v>
      </c>
      <c r="AI92" s="766">
        <v>4.01</v>
      </c>
      <c r="AJ92" s="766">
        <v>4.05</v>
      </c>
      <c r="AK92" s="766">
        <v>4.08</v>
      </c>
      <c r="AL92" s="766">
        <v>4.1100000000000003</v>
      </c>
      <c r="AM92" s="766">
        <v>4.1500000000000004</v>
      </c>
      <c r="AN92" s="766">
        <v>4.18</v>
      </c>
      <c r="AO92" s="766">
        <v>4.22</v>
      </c>
      <c r="AP92" s="766">
        <v>4.25</v>
      </c>
      <c r="AQ92" s="766">
        <v>4.29</v>
      </c>
      <c r="AR92" s="766">
        <v>4.33</v>
      </c>
      <c r="AS92" s="766">
        <v>4.37</v>
      </c>
      <c r="AT92" s="766">
        <v>4.41</v>
      </c>
      <c r="AU92" s="766">
        <v>4.45</v>
      </c>
      <c r="AV92" s="766">
        <v>4.4800000000000004</v>
      </c>
      <c r="AW92" s="766">
        <v>4.5199999999999996</v>
      </c>
      <c r="AX92" s="766">
        <v>4.5599999999999996</v>
      </c>
      <c r="AY92" s="766">
        <v>4.5999999999999996</v>
      </c>
      <c r="AZ92" s="766">
        <v>4.6399999999999997</v>
      </c>
      <c r="BA92" s="766">
        <v>4.68</v>
      </c>
      <c r="BB92" s="766">
        <v>4.72</v>
      </c>
      <c r="BC92" s="766">
        <v>4.76</v>
      </c>
      <c r="BD92" s="766">
        <v>4.8</v>
      </c>
      <c r="BE92" s="766">
        <v>4.84</v>
      </c>
      <c r="BF92" s="766">
        <v>4.87</v>
      </c>
      <c r="BG92" s="766">
        <v>4.91</v>
      </c>
      <c r="BH92" s="766">
        <v>4.95</v>
      </c>
      <c r="BI92" s="766">
        <v>4.99</v>
      </c>
      <c r="BJ92" s="766">
        <v>5.03</v>
      </c>
      <c r="BK92" s="766">
        <v>5.07</v>
      </c>
      <c r="BL92" s="766">
        <v>5.1100000000000003</v>
      </c>
      <c r="BM92" s="766">
        <v>5.15</v>
      </c>
      <c r="BN92" s="766">
        <v>5.19</v>
      </c>
      <c r="BO92" s="766">
        <v>5.23</v>
      </c>
      <c r="BP92" s="766">
        <v>5.27</v>
      </c>
      <c r="BQ92" s="766">
        <v>5.31</v>
      </c>
      <c r="BR92" s="766">
        <v>5.35</v>
      </c>
      <c r="BS92" s="766">
        <v>5.39</v>
      </c>
      <c r="BT92" s="888">
        <v>5.43</v>
      </c>
      <c r="BU92" s="766">
        <v>5.47</v>
      </c>
      <c r="BV92" s="766">
        <v>5.51</v>
      </c>
      <c r="BW92" s="766">
        <v>5.55</v>
      </c>
      <c r="BX92" s="766">
        <v>5.59</v>
      </c>
      <c r="BY92" s="766">
        <v>5.63</v>
      </c>
      <c r="BZ92" s="766">
        <v>5.67</v>
      </c>
      <c r="CA92" s="766">
        <v>5.71</v>
      </c>
      <c r="CB92" s="766">
        <v>5.75</v>
      </c>
      <c r="CC92" s="766">
        <v>5.79</v>
      </c>
      <c r="CD92" s="766">
        <v>5.83</v>
      </c>
      <c r="CE92" s="766">
        <v>5.87</v>
      </c>
      <c r="CF92" s="766">
        <v>5.91</v>
      </c>
      <c r="CG92" s="766">
        <v>5.96</v>
      </c>
      <c r="CH92" s="766">
        <v>6</v>
      </c>
      <c r="CI92" s="766">
        <v>6.04</v>
      </c>
      <c r="CJ92" s="766">
        <v>6.08</v>
      </c>
      <c r="CK92" s="766">
        <v>6.12</v>
      </c>
      <c r="CL92" s="766">
        <v>6.16</v>
      </c>
      <c r="CM92" s="766">
        <v>6.2</v>
      </c>
      <c r="CN92" s="766">
        <v>6.24</v>
      </c>
      <c r="CO92" s="766">
        <v>6.28</v>
      </c>
      <c r="CP92" s="766">
        <v>6.32</v>
      </c>
      <c r="CQ92" s="766">
        <v>6.36</v>
      </c>
      <c r="CR92" s="766">
        <v>6.4</v>
      </c>
      <c r="CS92" s="766">
        <v>6.44</v>
      </c>
      <c r="CT92" s="766">
        <v>6.48</v>
      </c>
      <c r="CU92" s="766">
        <v>6.52</v>
      </c>
      <c r="CV92" s="766">
        <v>6.56</v>
      </c>
      <c r="CW92" s="766">
        <v>6.59</v>
      </c>
      <c r="CX92" s="766">
        <v>6.63</v>
      </c>
      <c r="CY92" s="766">
        <v>6.67</v>
      </c>
      <c r="CZ92" s="766">
        <v>6.71</v>
      </c>
      <c r="DA92" s="766">
        <v>6.75</v>
      </c>
      <c r="DB92" s="766">
        <v>6.79</v>
      </c>
      <c r="DC92" s="766">
        <v>6.83</v>
      </c>
      <c r="DD92" s="766">
        <v>6.87</v>
      </c>
      <c r="DE92" s="766">
        <v>6.91</v>
      </c>
      <c r="DF92" s="766">
        <v>6.95</v>
      </c>
      <c r="DG92" s="766">
        <v>6.99</v>
      </c>
      <c r="DH92" s="766">
        <v>7.03</v>
      </c>
      <c r="DI92" s="766">
        <v>7.07</v>
      </c>
      <c r="DJ92" s="766">
        <v>7.1</v>
      </c>
      <c r="DK92" s="766">
        <v>7.14</v>
      </c>
      <c r="DL92" s="766">
        <v>7.18</v>
      </c>
      <c r="DM92" s="766">
        <v>7.22</v>
      </c>
      <c r="DN92" s="766">
        <v>7.26</v>
      </c>
      <c r="DO92" s="766">
        <v>7.3</v>
      </c>
      <c r="DP92" s="766">
        <v>7.33</v>
      </c>
      <c r="DQ92" s="766">
        <v>7.37</v>
      </c>
      <c r="DR92" s="766">
        <v>7.41</v>
      </c>
    </row>
    <row r="93" spans="1:122">
      <c r="A93" s="944">
        <v>91</v>
      </c>
      <c r="B93" s="96"/>
      <c r="C93" s="96"/>
      <c r="D93" s="96"/>
      <c r="E93" s="96"/>
      <c r="F93" s="96"/>
      <c r="G93" s="96"/>
      <c r="H93" s="96"/>
      <c r="I93" s="96"/>
      <c r="J93" s="96"/>
      <c r="K93" s="96"/>
      <c r="L93" s="96"/>
      <c r="M93" s="96"/>
      <c r="N93" s="96"/>
      <c r="O93" s="96"/>
      <c r="P93" s="96"/>
      <c r="Q93" s="96"/>
      <c r="R93" s="96"/>
      <c r="S93" s="96"/>
      <c r="T93" s="96"/>
      <c r="U93" s="96"/>
      <c r="V93" s="766"/>
      <c r="W93" s="766">
        <v>3.39</v>
      </c>
      <c r="X93" s="766">
        <v>3.39</v>
      </c>
      <c r="Y93" s="766">
        <v>3.42</v>
      </c>
      <c r="Z93" s="766">
        <v>3.43</v>
      </c>
      <c r="AA93" s="766">
        <v>3.45</v>
      </c>
      <c r="AB93" s="766">
        <v>3.52</v>
      </c>
      <c r="AC93" s="766">
        <v>3.55</v>
      </c>
      <c r="AD93" s="766">
        <v>3.57</v>
      </c>
      <c r="AE93" s="766">
        <v>3.6</v>
      </c>
      <c r="AF93" s="766">
        <v>3.63</v>
      </c>
      <c r="AG93" s="766">
        <v>3.66</v>
      </c>
      <c r="AH93" s="766">
        <v>3.69</v>
      </c>
      <c r="AI93" s="766">
        <v>3.72</v>
      </c>
      <c r="AJ93" s="766">
        <v>3.75</v>
      </c>
      <c r="AK93" s="766">
        <v>3.78</v>
      </c>
      <c r="AL93" s="766">
        <v>3.81</v>
      </c>
      <c r="AM93" s="766">
        <v>3.84</v>
      </c>
      <c r="AN93" s="766">
        <v>3.88</v>
      </c>
      <c r="AO93" s="766">
        <v>3.91</v>
      </c>
      <c r="AP93" s="766">
        <v>3.95</v>
      </c>
      <c r="AQ93" s="766">
        <v>3.98</v>
      </c>
      <c r="AR93" s="766">
        <v>4.0199999999999996</v>
      </c>
      <c r="AS93" s="766">
        <v>4.05</v>
      </c>
      <c r="AT93" s="766">
        <v>4.09</v>
      </c>
      <c r="AU93" s="766">
        <v>4.12</v>
      </c>
      <c r="AV93" s="766">
        <v>4.16</v>
      </c>
      <c r="AW93" s="766">
        <v>4.1900000000000004</v>
      </c>
      <c r="AX93" s="766">
        <v>4.2300000000000004</v>
      </c>
      <c r="AY93" s="766">
        <v>4.26</v>
      </c>
      <c r="AZ93" s="766">
        <v>4.3</v>
      </c>
      <c r="BA93" s="766">
        <v>4.34</v>
      </c>
      <c r="BB93" s="766">
        <v>4.37</v>
      </c>
      <c r="BC93" s="766">
        <v>4.41</v>
      </c>
      <c r="BD93" s="766">
        <v>4.4400000000000004</v>
      </c>
      <c r="BE93" s="766">
        <v>4.4800000000000004</v>
      </c>
      <c r="BF93" s="766">
        <v>4.51</v>
      </c>
      <c r="BG93" s="766">
        <v>4.55</v>
      </c>
      <c r="BH93" s="766">
        <v>4.59</v>
      </c>
      <c r="BI93" s="766">
        <v>4.62</v>
      </c>
      <c r="BJ93" s="766">
        <v>4.66</v>
      </c>
      <c r="BK93" s="766">
        <v>4.7</v>
      </c>
      <c r="BL93" s="766">
        <v>4.7300000000000004</v>
      </c>
      <c r="BM93" s="766">
        <v>4.7699999999999996</v>
      </c>
      <c r="BN93" s="766">
        <v>4.8099999999999996</v>
      </c>
      <c r="BO93" s="766">
        <v>4.84</v>
      </c>
      <c r="BP93" s="766">
        <v>4.88</v>
      </c>
      <c r="BQ93" s="766">
        <v>4.92</v>
      </c>
      <c r="BR93" s="766">
        <v>4.95</v>
      </c>
      <c r="BS93" s="766">
        <v>4.99</v>
      </c>
      <c r="BT93" s="888">
        <v>5.03</v>
      </c>
      <c r="BU93" s="766">
        <v>5.0599999999999996</v>
      </c>
      <c r="BV93" s="766">
        <v>5.0999999999999996</v>
      </c>
      <c r="BW93" s="766">
        <v>5.14</v>
      </c>
      <c r="BX93" s="766">
        <v>5.17</v>
      </c>
      <c r="BY93" s="766">
        <v>5.21</v>
      </c>
      <c r="BZ93" s="766">
        <v>5.25</v>
      </c>
      <c r="CA93" s="766">
        <v>5.28</v>
      </c>
      <c r="CB93" s="766">
        <v>5.32</v>
      </c>
      <c r="CC93" s="766">
        <v>5.36</v>
      </c>
      <c r="CD93" s="766">
        <v>5.39</v>
      </c>
      <c r="CE93" s="766">
        <v>5.43</v>
      </c>
      <c r="CF93" s="766">
        <v>5.47</v>
      </c>
      <c r="CG93" s="766">
        <v>5.5</v>
      </c>
      <c r="CH93" s="766">
        <v>5.54</v>
      </c>
      <c r="CI93" s="766">
        <v>5.58</v>
      </c>
      <c r="CJ93" s="766">
        <v>5.61</v>
      </c>
      <c r="CK93" s="766">
        <v>5.65</v>
      </c>
      <c r="CL93" s="766">
        <v>5.69</v>
      </c>
      <c r="CM93" s="766">
        <v>5.72</v>
      </c>
      <c r="CN93" s="766">
        <v>5.76</v>
      </c>
      <c r="CO93" s="766">
        <v>5.8</v>
      </c>
      <c r="CP93" s="766">
        <v>5.83</v>
      </c>
      <c r="CQ93" s="766">
        <v>5.87</v>
      </c>
      <c r="CR93" s="766">
        <v>5.91</v>
      </c>
      <c r="CS93" s="766">
        <v>5.94</v>
      </c>
      <c r="CT93" s="766">
        <v>5.98</v>
      </c>
      <c r="CU93" s="766">
        <v>6.02</v>
      </c>
      <c r="CV93" s="766">
        <v>6.05</v>
      </c>
      <c r="CW93" s="766">
        <v>6.09</v>
      </c>
      <c r="CX93" s="766">
        <v>6.13</v>
      </c>
      <c r="CY93" s="766">
        <v>6.16</v>
      </c>
      <c r="CZ93" s="766">
        <v>6.2</v>
      </c>
      <c r="DA93" s="766">
        <v>6.23</v>
      </c>
      <c r="DB93" s="766">
        <v>6.27</v>
      </c>
      <c r="DC93" s="766">
        <v>6.31</v>
      </c>
      <c r="DD93" s="766">
        <v>6.34</v>
      </c>
      <c r="DE93" s="766">
        <v>6.38</v>
      </c>
      <c r="DF93" s="766">
        <v>6.41</v>
      </c>
      <c r="DG93" s="766">
        <v>6.45</v>
      </c>
      <c r="DH93" s="766">
        <v>6.48</v>
      </c>
      <c r="DI93" s="766">
        <v>6.52</v>
      </c>
      <c r="DJ93" s="766">
        <v>6.56</v>
      </c>
      <c r="DK93" s="766">
        <v>6.59</v>
      </c>
      <c r="DL93" s="766">
        <v>6.63</v>
      </c>
      <c r="DM93" s="766">
        <v>6.66</v>
      </c>
      <c r="DN93" s="766">
        <v>6.7</v>
      </c>
      <c r="DO93" s="766">
        <v>6.73</v>
      </c>
      <c r="DP93" s="766">
        <v>6.77</v>
      </c>
      <c r="DQ93" s="766">
        <v>6.8</v>
      </c>
      <c r="DR93" s="766">
        <v>6.83</v>
      </c>
    </row>
    <row r="94" spans="1:122">
      <c r="A94" s="944">
        <v>92</v>
      </c>
      <c r="B94" s="96"/>
      <c r="C94" s="96"/>
      <c r="D94" s="96"/>
      <c r="E94" s="96"/>
      <c r="F94" s="96"/>
      <c r="G94" s="96"/>
      <c r="H94" s="96"/>
      <c r="I94" s="96"/>
      <c r="J94" s="96"/>
      <c r="K94" s="96"/>
      <c r="L94" s="96"/>
      <c r="M94" s="96"/>
      <c r="N94" s="96"/>
      <c r="O94" s="96"/>
      <c r="P94" s="96"/>
      <c r="Q94" s="96"/>
      <c r="R94" s="96"/>
      <c r="S94" s="96"/>
      <c r="T94" s="96"/>
      <c r="U94" s="96"/>
      <c r="V94" s="766"/>
      <c r="W94" s="766">
        <v>3.17</v>
      </c>
      <c r="X94" s="766">
        <v>3.12</v>
      </c>
      <c r="Y94" s="766">
        <v>3.19</v>
      </c>
      <c r="Z94" s="766">
        <v>3.16</v>
      </c>
      <c r="AA94" s="766">
        <v>3.21</v>
      </c>
      <c r="AB94" s="766">
        <v>3.26</v>
      </c>
      <c r="AC94" s="766">
        <v>3.29</v>
      </c>
      <c r="AD94" s="766">
        <v>3.32</v>
      </c>
      <c r="AE94" s="766">
        <v>3.34</v>
      </c>
      <c r="AF94" s="766">
        <v>3.37</v>
      </c>
      <c r="AG94" s="766">
        <v>3.4</v>
      </c>
      <c r="AH94" s="766">
        <v>3.42</v>
      </c>
      <c r="AI94" s="766">
        <v>3.45</v>
      </c>
      <c r="AJ94" s="766">
        <v>3.48</v>
      </c>
      <c r="AK94" s="766">
        <v>3.51</v>
      </c>
      <c r="AL94" s="766">
        <v>3.53</v>
      </c>
      <c r="AM94" s="766">
        <v>3.56</v>
      </c>
      <c r="AN94" s="766">
        <v>3.59</v>
      </c>
      <c r="AO94" s="766">
        <v>3.63</v>
      </c>
      <c r="AP94" s="766">
        <v>3.66</v>
      </c>
      <c r="AQ94" s="766">
        <v>3.69</v>
      </c>
      <c r="AR94" s="766">
        <v>3.72</v>
      </c>
      <c r="AS94" s="766">
        <v>3.75</v>
      </c>
      <c r="AT94" s="766">
        <v>3.79</v>
      </c>
      <c r="AU94" s="766">
        <v>3.82</v>
      </c>
      <c r="AV94" s="766">
        <v>3.85</v>
      </c>
      <c r="AW94" s="766">
        <v>3.88</v>
      </c>
      <c r="AX94" s="766">
        <v>3.91</v>
      </c>
      <c r="AY94" s="766">
        <v>3.95</v>
      </c>
      <c r="AZ94" s="766">
        <v>3.98</v>
      </c>
      <c r="BA94" s="766">
        <v>4.01</v>
      </c>
      <c r="BB94" s="766">
        <v>4.05</v>
      </c>
      <c r="BC94" s="766">
        <v>4.08</v>
      </c>
      <c r="BD94" s="766">
        <v>4.1100000000000003</v>
      </c>
      <c r="BE94" s="766">
        <v>4.1399999999999997</v>
      </c>
      <c r="BF94" s="766">
        <v>4.18</v>
      </c>
      <c r="BG94" s="766">
        <v>4.21</v>
      </c>
      <c r="BH94" s="766">
        <v>4.24</v>
      </c>
      <c r="BI94" s="766">
        <v>4.28</v>
      </c>
      <c r="BJ94" s="766">
        <v>4.3099999999999996</v>
      </c>
      <c r="BK94" s="766">
        <v>4.34</v>
      </c>
      <c r="BL94" s="766">
        <v>4.38</v>
      </c>
      <c r="BM94" s="766">
        <v>4.41</v>
      </c>
      <c r="BN94" s="766">
        <v>4.4400000000000004</v>
      </c>
      <c r="BO94" s="766">
        <v>4.47</v>
      </c>
      <c r="BP94" s="766">
        <v>4.51</v>
      </c>
      <c r="BQ94" s="766">
        <v>4.54</v>
      </c>
      <c r="BR94" s="766">
        <v>4.58</v>
      </c>
      <c r="BS94" s="766">
        <v>4.6100000000000003</v>
      </c>
      <c r="BT94" s="888">
        <v>4.6399999999999997</v>
      </c>
      <c r="BU94" s="766">
        <v>4.68</v>
      </c>
      <c r="BV94" s="766">
        <v>4.71</v>
      </c>
      <c r="BW94" s="766">
        <v>4.74</v>
      </c>
      <c r="BX94" s="766">
        <v>4.78</v>
      </c>
      <c r="BY94" s="766">
        <v>4.8099999999999996</v>
      </c>
      <c r="BZ94" s="766">
        <v>4.84</v>
      </c>
      <c r="CA94" s="766">
        <v>4.88</v>
      </c>
      <c r="CB94" s="766">
        <v>4.91</v>
      </c>
      <c r="CC94" s="766">
        <v>4.9400000000000004</v>
      </c>
      <c r="CD94" s="766">
        <v>4.9800000000000004</v>
      </c>
      <c r="CE94" s="766">
        <v>5.01</v>
      </c>
      <c r="CF94" s="766">
        <v>5.04</v>
      </c>
      <c r="CG94" s="766">
        <v>5.08</v>
      </c>
      <c r="CH94" s="766">
        <v>5.1100000000000003</v>
      </c>
      <c r="CI94" s="766">
        <v>5.14</v>
      </c>
      <c r="CJ94" s="766">
        <v>5.18</v>
      </c>
      <c r="CK94" s="766">
        <v>5.21</v>
      </c>
      <c r="CL94" s="766">
        <v>5.24</v>
      </c>
      <c r="CM94" s="766">
        <v>5.28</v>
      </c>
      <c r="CN94" s="766">
        <v>5.31</v>
      </c>
      <c r="CO94" s="766">
        <v>5.34</v>
      </c>
      <c r="CP94" s="766">
        <v>5.38</v>
      </c>
      <c r="CQ94" s="766">
        <v>5.41</v>
      </c>
      <c r="CR94" s="766">
        <v>5.44</v>
      </c>
      <c r="CS94" s="766">
        <v>5.48</v>
      </c>
      <c r="CT94" s="766">
        <v>5.51</v>
      </c>
      <c r="CU94" s="766">
        <v>5.54</v>
      </c>
      <c r="CV94" s="766">
        <v>5.58</v>
      </c>
      <c r="CW94" s="766">
        <v>5.61</v>
      </c>
      <c r="CX94" s="766">
        <v>5.64</v>
      </c>
      <c r="CY94" s="766">
        <v>5.67</v>
      </c>
      <c r="CZ94" s="766">
        <v>5.71</v>
      </c>
      <c r="DA94" s="766">
        <v>5.74</v>
      </c>
      <c r="DB94" s="766">
        <v>5.77</v>
      </c>
      <c r="DC94" s="766">
        <v>5.8</v>
      </c>
      <c r="DD94" s="766">
        <v>5.84</v>
      </c>
      <c r="DE94" s="766">
        <v>5.87</v>
      </c>
      <c r="DF94" s="766">
        <v>5.9</v>
      </c>
      <c r="DG94" s="766">
        <v>5.93</v>
      </c>
      <c r="DH94" s="766">
        <v>5.97</v>
      </c>
      <c r="DI94" s="766">
        <v>6</v>
      </c>
      <c r="DJ94" s="766">
        <v>6.03</v>
      </c>
      <c r="DK94" s="766">
        <v>6.06</v>
      </c>
      <c r="DL94" s="766">
        <v>6.09</v>
      </c>
      <c r="DM94" s="766">
        <v>6.13</v>
      </c>
      <c r="DN94" s="766">
        <v>6.16</v>
      </c>
      <c r="DO94" s="766">
        <v>6.19</v>
      </c>
      <c r="DP94" s="766">
        <v>6.22</v>
      </c>
      <c r="DQ94" s="766">
        <v>6.25</v>
      </c>
      <c r="DR94" s="766">
        <v>6.28</v>
      </c>
    </row>
    <row r="95" spans="1:122">
      <c r="A95" s="944">
        <v>93</v>
      </c>
      <c r="B95" s="96"/>
      <c r="C95" s="96"/>
      <c r="D95" s="96"/>
      <c r="E95" s="96"/>
      <c r="F95" s="96"/>
      <c r="G95" s="96"/>
      <c r="H95" s="96"/>
      <c r="I95" s="96"/>
      <c r="J95" s="96"/>
      <c r="K95" s="96"/>
      <c r="L95" s="96"/>
      <c r="M95" s="96"/>
      <c r="N95" s="96"/>
      <c r="O95" s="96"/>
      <c r="P95" s="96"/>
      <c r="Q95" s="96"/>
      <c r="R95" s="96"/>
      <c r="S95" s="96"/>
      <c r="T95" s="96"/>
      <c r="U95" s="96"/>
      <c r="V95" s="766"/>
      <c r="W95" s="766">
        <v>2.93</v>
      </c>
      <c r="X95" s="766">
        <v>2.92</v>
      </c>
      <c r="Y95" s="766">
        <v>2.94</v>
      </c>
      <c r="Z95" s="766">
        <v>2.95</v>
      </c>
      <c r="AA95" s="766">
        <v>3.01</v>
      </c>
      <c r="AB95" s="766">
        <v>3.03</v>
      </c>
      <c r="AC95" s="766">
        <v>3.05</v>
      </c>
      <c r="AD95" s="766">
        <v>3.08</v>
      </c>
      <c r="AE95" s="766">
        <v>3.1</v>
      </c>
      <c r="AF95" s="766">
        <v>3.13</v>
      </c>
      <c r="AG95" s="766">
        <v>3.15</v>
      </c>
      <c r="AH95" s="766">
        <v>3.18</v>
      </c>
      <c r="AI95" s="766">
        <v>3.2</v>
      </c>
      <c r="AJ95" s="766">
        <v>3.22</v>
      </c>
      <c r="AK95" s="766">
        <v>3.25</v>
      </c>
      <c r="AL95" s="766">
        <v>3.27</v>
      </c>
      <c r="AM95" s="766">
        <v>3.3</v>
      </c>
      <c r="AN95" s="766">
        <v>3.33</v>
      </c>
      <c r="AO95" s="766">
        <v>3.36</v>
      </c>
      <c r="AP95" s="766">
        <v>3.39</v>
      </c>
      <c r="AQ95" s="766">
        <v>3.42</v>
      </c>
      <c r="AR95" s="766">
        <v>3.45</v>
      </c>
      <c r="AS95" s="766">
        <v>3.48</v>
      </c>
      <c r="AT95" s="766">
        <v>3.51</v>
      </c>
      <c r="AU95" s="766">
        <v>3.53</v>
      </c>
      <c r="AV95" s="766">
        <v>3.56</v>
      </c>
      <c r="AW95" s="766">
        <v>3.59</v>
      </c>
      <c r="AX95" s="766">
        <v>3.62</v>
      </c>
      <c r="AY95" s="766">
        <v>3.65</v>
      </c>
      <c r="AZ95" s="766">
        <v>3.68</v>
      </c>
      <c r="BA95" s="766">
        <v>3.71</v>
      </c>
      <c r="BB95" s="766">
        <v>3.74</v>
      </c>
      <c r="BC95" s="766">
        <v>3.77</v>
      </c>
      <c r="BD95" s="766">
        <v>3.8</v>
      </c>
      <c r="BE95" s="766">
        <v>3.83</v>
      </c>
      <c r="BF95" s="766">
        <v>3.86</v>
      </c>
      <c r="BG95" s="766">
        <v>3.89</v>
      </c>
      <c r="BH95" s="766">
        <v>3.92</v>
      </c>
      <c r="BI95" s="766">
        <v>3.95</v>
      </c>
      <c r="BJ95" s="766">
        <v>3.98</v>
      </c>
      <c r="BK95" s="766">
        <v>4.01</v>
      </c>
      <c r="BL95" s="766">
        <v>4.04</v>
      </c>
      <c r="BM95" s="766">
        <v>4.07</v>
      </c>
      <c r="BN95" s="766">
        <v>4.0999999999999996</v>
      </c>
      <c r="BO95" s="766">
        <v>4.13</v>
      </c>
      <c r="BP95" s="766">
        <v>4.16</v>
      </c>
      <c r="BQ95" s="766">
        <v>4.1900000000000004</v>
      </c>
      <c r="BR95" s="766">
        <v>4.22</v>
      </c>
      <c r="BS95" s="766">
        <v>4.25</v>
      </c>
      <c r="BT95" s="888">
        <v>4.28</v>
      </c>
      <c r="BU95" s="766">
        <v>4.3099999999999996</v>
      </c>
      <c r="BV95" s="766">
        <v>4.34</v>
      </c>
      <c r="BW95" s="766">
        <v>4.37</v>
      </c>
      <c r="BX95" s="766">
        <v>4.4000000000000004</v>
      </c>
      <c r="BY95" s="766">
        <v>4.43</v>
      </c>
      <c r="BZ95" s="766">
        <v>4.46</v>
      </c>
      <c r="CA95" s="766">
        <v>4.49</v>
      </c>
      <c r="CB95" s="766">
        <v>4.5199999999999996</v>
      </c>
      <c r="CC95" s="766">
        <v>4.55</v>
      </c>
      <c r="CD95" s="766">
        <v>4.58</v>
      </c>
      <c r="CE95" s="766">
        <v>4.6100000000000003</v>
      </c>
      <c r="CF95" s="766">
        <v>4.6399999999999997</v>
      </c>
      <c r="CG95" s="766">
        <v>4.67</v>
      </c>
      <c r="CH95" s="766">
        <v>4.7</v>
      </c>
      <c r="CI95" s="766">
        <v>4.7300000000000004</v>
      </c>
      <c r="CJ95" s="766">
        <v>4.76</v>
      </c>
      <c r="CK95" s="766">
        <v>4.79</v>
      </c>
      <c r="CL95" s="766">
        <v>4.82</v>
      </c>
      <c r="CM95" s="766">
        <v>4.8499999999999996</v>
      </c>
      <c r="CN95" s="766">
        <v>4.88</v>
      </c>
      <c r="CO95" s="766">
        <v>4.91</v>
      </c>
      <c r="CP95" s="766">
        <v>4.9400000000000004</v>
      </c>
      <c r="CQ95" s="766">
        <v>4.97</v>
      </c>
      <c r="CR95" s="766">
        <v>5</v>
      </c>
      <c r="CS95" s="766">
        <v>5.03</v>
      </c>
      <c r="CT95" s="766">
        <v>5.0599999999999996</v>
      </c>
      <c r="CU95" s="766">
        <v>5.09</v>
      </c>
      <c r="CV95" s="766">
        <v>5.12</v>
      </c>
      <c r="CW95" s="766">
        <v>5.15</v>
      </c>
      <c r="CX95" s="766">
        <v>5.18</v>
      </c>
      <c r="CY95" s="766">
        <v>5.21</v>
      </c>
      <c r="CZ95" s="766">
        <v>5.24</v>
      </c>
      <c r="DA95" s="766">
        <v>5.27</v>
      </c>
      <c r="DB95" s="766">
        <v>5.3</v>
      </c>
      <c r="DC95" s="766">
        <v>5.33</v>
      </c>
      <c r="DD95" s="766">
        <v>5.36</v>
      </c>
      <c r="DE95" s="766">
        <v>5.38</v>
      </c>
      <c r="DF95" s="766">
        <v>5.41</v>
      </c>
      <c r="DG95" s="766">
        <v>5.44</v>
      </c>
      <c r="DH95" s="766">
        <v>5.47</v>
      </c>
      <c r="DI95" s="766">
        <v>5.5</v>
      </c>
      <c r="DJ95" s="766">
        <v>5.53</v>
      </c>
      <c r="DK95" s="766">
        <v>5.56</v>
      </c>
      <c r="DL95" s="766">
        <v>5.59</v>
      </c>
      <c r="DM95" s="766">
        <v>5.61</v>
      </c>
      <c r="DN95" s="766">
        <v>5.64</v>
      </c>
      <c r="DO95" s="766">
        <v>5.67</v>
      </c>
      <c r="DP95" s="766">
        <v>5.7</v>
      </c>
      <c r="DQ95" s="766">
        <v>5.73</v>
      </c>
      <c r="DR95" s="766">
        <v>5.76</v>
      </c>
    </row>
    <row r="96" spans="1:122">
      <c r="A96" s="944">
        <v>94</v>
      </c>
      <c r="B96" s="96"/>
      <c r="C96" s="96"/>
      <c r="D96" s="96"/>
      <c r="E96" s="96"/>
      <c r="F96" s="96"/>
      <c r="G96" s="96"/>
      <c r="H96" s="96"/>
      <c r="I96" s="96"/>
      <c r="J96" s="96"/>
      <c r="K96" s="96"/>
      <c r="L96" s="96"/>
      <c r="M96" s="96"/>
      <c r="N96" s="96"/>
      <c r="O96" s="96"/>
      <c r="P96" s="96"/>
      <c r="Q96" s="96"/>
      <c r="R96" s="96"/>
      <c r="S96" s="96"/>
      <c r="T96" s="96"/>
      <c r="U96" s="96"/>
      <c r="V96" s="766"/>
      <c r="W96" s="766">
        <v>2.77</v>
      </c>
      <c r="X96" s="766">
        <v>2.67</v>
      </c>
      <c r="Y96" s="766">
        <v>2.73</v>
      </c>
      <c r="Z96" s="766">
        <v>2.76</v>
      </c>
      <c r="AA96" s="766">
        <v>2.79</v>
      </c>
      <c r="AB96" s="766">
        <v>2.81</v>
      </c>
      <c r="AC96" s="766">
        <v>2.84</v>
      </c>
      <c r="AD96" s="766">
        <v>2.86</v>
      </c>
      <c r="AE96" s="766">
        <v>2.88</v>
      </c>
      <c r="AF96" s="766">
        <v>2.9</v>
      </c>
      <c r="AG96" s="766">
        <v>2.92</v>
      </c>
      <c r="AH96" s="766">
        <v>2.95</v>
      </c>
      <c r="AI96" s="766">
        <v>2.97</v>
      </c>
      <c r="AJ96" s="766">
        <v>2.99</v>
      </c>
      <c r="AK96" s="766">
        <v>3.01</v>
      </c>
      <c r="AL96" s="766">
        <v>3.04</v>
      </c>
      <c r="AM96" s="766">
        <v>3.06</v>
      </c>
      <c r="AN96" s="766">
        <v>3.09</v>
      </c>
      <c r="AO96" s="766">
        <v>3.11</v>
      </c>
      <c r="AP96" s="766">
        <v>3.14</v>
      </c>
      <c r="AQ96" s="766">
        <v>3.17</v>
      </c>
      <c r="AR96" s="766">
        <v>3.19</v>
      </c>
      <c r="AS96" s="766">
        <v>3.22</v>
      </c>
      <c r="AT96" s="766">
        <v>3.25</v>
      </c>
      <c r="AU96" s="766">
        <v>3.27</v>
      </c>
      <c r="AV96" s="766">
        <v>3.3</v>
      </c>
      <c r="AW96" s="766">
        <v>3.32</v>
      </c>
      <c r="AX96" s="766">
        <v>3.35</v>
      </c>
      <c r="AY96" s="766">
        <v>3.38</v>
      </c>
      <c r="AZ96" s="766">
        <v>3.4</v>
      </c>
      <c r="BA96" s="766">
        <v>3.43</v>
      </c>
      <c r="BB96" s="766">
        <v>3.46</v>
      </c>
      <c r="BC96" s="766">
        <v>3.48</v>
      </c>
      <c r="BD96" s="766">
        <v>3.51</v>
      </c>
      <c r="BE96" s="766">
        <v>3.54</v>
      </c>
      <c r="BF96" s="766">
        <v>3.56</v>
      </c>
      <c r="BG96" s="766">
        <v>3.59</v>
      </c>
      <c r="BH96" s="766">
        <v>3.62</v>
      </c>
      <c r="BI96" s="766">
        <v>3.64</v>
      </c>
      <c r="BJ96" s="766">
        <v>3.67</v>
      </c>
      <c r="BK96" s="766">
        <v>3.7</v>
      </c>
      <c r="BL96" s="766">
        <v>3.73</v>
      </c>
      <c r="BM96" s="766">
        <v>3.75</v>
      </c>
      <c r="BN96" s="766">
        <v>3.78</v>
      </c>
      <c r="BO96" s="766">
        <v>3.81</v>
      </c>
      <c r="BP96" s="766">
        <v>3.83</v>
      </c>
      <c r="BQ96" s="766">
        <v>3.86</v>
      </c>
      <c r="BR96" s="766">
        <v>3.89</v>
      </c>
      <c r="BS96" s="766">
        <v>3.91</v>
      </c>
      <c r="BT96" s="888">
        <v>3.94</v>
      </c>
      <c r="BU96" s="766">
        <v>3.97</v>
      </c>
      <c r="BV96" s="766">
        <v>3.99</v>
      </c>
      <c r="BW96" s="766">
        <v>4.0199999999999996</v>
      </c>
      <c r="BX96" s="766">
        <v>4.05</v>
      </c>
      <c r="BY96" s="766">
        <v>4.08</v>
      </c>
      <c r="BZ96" s="766">
        <v>4.0999999999999996</v>
      </c>
      <c r="CA96" s="766">
        <v>4.13</v>
      </c>
      <c r="CB96" s="766">
        <v>4.16</v>
      </c>
      <c r="CC96" s="766">
        <v>4.18</v>
      </c>
      <c r="CD96" s="766">
        <v>4.21</v>
      </c>
      <c r="CE96" s="766">
        <v>4.24</v>
      </c>
      <c r="CF96" s="766">
        <v>4.26</v>
      </c>
      <c r="CG96" s="766">
        <v>4.29</v>
      </c>
      <c r="CH96" s="766">
        <v>4.32</v>
      </c>
      <c r="CI96" s="766">
        <v>4.34</v>
      </c>
      <c r="CJ96" s="766">
        <v>4.37</v>
      </c>
      <c r="CK96" s="766">
        <v>4.4000000000000004</v>
      </c>
      <c r="CL96" s="766">
        <v>4.42</v>
      </c>
      <c r="CM96" s="766">
        <v>4.45</v>
      </c>
      <c r="CN96" s="766">
        <v>4.4800000000000004</v>
      </c>
      <c r="CO96" s="766">
        <v>4.5</v>
      </c>
      <c r="CP96" s="766">
        <v>4.53</v>
      </c>
      <c r="CQ96" s="766">
        <v>4.5599999999999996</v>
      </c>
      <c r="CR96" s="766">
        <v>4.58</v>
      </c>
      <c r="CS96" s="766">
        <v>4.6100000000000003</v>
      </c>
      <c r="CT96" s="766">
        <v>4.6399999999999997</v>
      </c>
      <c r="CU96" s="766">
        <v>4.66</v>
      </c>
      <c r="CV96" s="766">
        <v>4.6900000000000004</v>
      </c>
      <c r="CW96" s="766">
        <v>4.72</v>
      </c>
      <c r="CX96" s="766">
        <v>4.74</v>
      </c>
      <c r="CY96" s="766">
        <v>4.7699999999999996</v>
      </c>
      <c r="CZ96" s="766">
        <v>4.79</v>
      </c>
      <c r="DA96" s="766">
        <v>4.82</v>
      </c>
      <c r="DB96" s="766">
        <v>4.8499999999999996</v>
      </c>
      <c r="DC96" s="766">
        <v>4.87</v>
      </c>
      <c r="DD96" s="766">
        <v>4.9000000000000004</v>
      </c>
      <c r="DE96" s="766">
        <v>4.92</v>
      </c>
      <c r="DF96" s="766">
        <v>4.95</v>
      </c>
      <c r="DG96" s="766">
        <v>4.97</v>
      </c>
      <c r="DH96" s="766">
        <v>5</v>
      </c>
      <c r="DI96" s="766">
        <v>5.03</v>
      </c>
      <c r="DJ96" s="766">
        <v>5.05</v>
      </c>
      <c r="DK96" s="766">
        <v>5.08</v>
      </c>
      <c r="DL96" s="766">
        <v>5.0999999999999996</v>
      </c>
      <c r="DM96" s="766">
        <v>5.13</v>
      </c>
      <c r="DN96" s="766">
        <v>5.15</v>
      </c>
      <c r="DO96" s="766">
        <v>5.18</v>
      </c>
      <c r="DP96" s="766">
        <v>5.2</v>
      </c>
      <c r="DQ96" s="766">
        <v>5.23</v>
      </c>
      <c r="DR96" s="766">
        <v>5.25</v>
      </c>
    </row>
    <row r="97" spans="1:122">
      <c r="A97" s="944">
        <v>95</v>
      </c>
      <c r="B97" s="96"/>
      <c r="C97" s="96"/>
      <c r="D97" s="96"/>
      <c r="E97" s="96"/>
      <c r="F97" s="96"/>
      <c r="G97" s="96"/>
      <c r="H97" s="96"/>
      <c r="I97" s="96"/>
      <c r="J97" s="96"/>
      <c r="K97" s="96"/>
      <c r="L97" s="96"/>
      <c r="M97" s="96"/>
      <c r="N97" s="96"/>
      <c r="O97" s="96"/>
      <c r="P97" s="96"/>
      <c r="Q97" s="96"/>
      <c r="R97" s="96"/>
      <c r="S97" s="96"/>
      <c r="T97" s="96"/>
      <c r="U97" s="96"/>
      <c r="V97" s="766"/>
      <c r="W97" s="766">
        <v>2.58</v>
      </c>
      <c r="X97" s="766">
        <v>2.4900000000000002</v>
      </c>
      <c r="Y97" s="766">
        <v>2.54</v>
      </c>
      <c r="Z97" s="766">
        <v>2.57</v>
      </c>
      <c r="AA97" s="766">
        <v>2.6</v>
      </c>
      <c r="AB97" s="766">
        <v>2.62</v>
      </c>
      <c r="AC97" s="766">
        <v>2.64</v>
      </c>
      <c r="AD97" s="766">
        <v>2.66</v>
      </c>
      <c r="AE97" s="766">
        <v>2.68</v>
      </c>
      <c r="AF97" s="766">
        <v>2.7</v>
      </c>
      <c r="AG97" s="766">
        <v>2.72</v>
      </c>
      <c r="AH97" s="766">
        <v>2.74</v>
      </c>
      <c r="AI97" s="766">
        <v>2.76</v>
      </c>
      <c r="AJ97" s="766">
        <v>2.78</v>
      </c>
      <c r="AK97" s="766">
        <v>2.8</v>
      </c>
      <c r="AL97" s="766">
        <v>2.82</v>
      </c>
      <c r="AM97" s="766">
        <v>2.84</v>
      </c>
      <c r="AN97" s="766">
        <v>2.87</v>
      </c>
      <c r="AO97" s="766">
        <v>2.89</v>
      </c>
      <c r="AP97" s="766">
        <v>2.91</v>
      </c>
      <c r="AQ97" s="766">
        <v>2.94</v>
      </c>
      <c r="AR97" s="766">
        <v>2.96</v>
      </c>
      <c r="AS97" s="766">
        <v>2.98</v>
      </c>
      <c r="AT97" s="766">
        <v>3.01</v>
      </c>
      <c r="AU97" s="766">
        <v>3.03</v>
      </c>
      <c r="AV97" s="766">
        <v>3.05</v>
      </c>
      <c r="AW97" s="766">
        <v>3.08</v>
      </c>
      <c r="AX97" s="766">
        <v>3.1</v>
      </c>
      <c r="AY97" s="766">
        <v>3.12</v>
      </c>
      <c r="AZ97" s="766">
        <v>3.15</v>
      </c>
      <c r="BA97" s="766">
        <v>3.17</v>
      </c>
      <c r="BB97" s="766">
        <v>3.2</v>
      </c>
      <c r="BC97" s="766">
        <v>3.22</v>
      </c>
      <c r="BD97" s="766">
        <v>3.24</v>
      </c>
      <c r="BE97" s="766">
        <v>3.27</v>
      </c>
      <c r="BF97" s="766">
        <v>3.29</v>
      </c>
      <c r="BG97" s="766">
        <v>3.31</v>
      </c>
      <c r="BH97" s="766">
        <v>3.34</v>
      </c>
      <c r="BI97" s="766">
        <v>3.36</v>
      </c>
      <c r="BJ97" s="766">
        <v>3.39</v>
      </c>
      <c r="BK97" s="766">
        <v>3.41</v>
      </c>
      <c r="BL97" s="766">
        <v>3.43</v>
      </c>
      <c r="BM97" s="766">
        <v>3.46</v>
      </c>
      <c r="BN97" s="766">
        <v>3.48</v>
      </c>
      <c r="BO97" s="766">
        <v>3.5</v>
      </c>
      <c r="BP97" s="766">
        <v>3.53</v>
      </c>
      <c r="BQ97" s="766">
        <v>3.55</v>
      </c>
      <c r="BR97" s="766">
        <v>3.58</v>
      </c>
      <c r="BS97" s="766">
        <v>3.6</v>
      </c>
      <c r="BT97" s="888">
        <v>3.62</v>
      </c>
      <c r="BU97" s="766">
        <v>3.65</v>
      </c>
      <c r="BV97" s="766">
        <v>3.67</v>
      </c>
      <c r="BW97" s="766">
        <v>3.69</v>
      </c>
      <c r="BX97" s="766">
        <v>3.72</v>
      </c>
      <c r="BY97" s="766">
        <v>3.74</v>
      </c>
      <c r="BZ97" s="766">
        <v>3.77</v>
      </c>
      <c r="CA97" s="766">
        <v>3.79</v>
      </c>
      <c r="CB97" s="766">
        <v>3.81</v>
      </c>
      <c r="CC97" s="766">
        <v>3.84</v>
      </c>
      <c r="CD97" s="766">
        <v>3.86</v>
      </c>
      <c r="CE97" s="766">
        <v>3.88</v>
      </c>
      <c r="CF97" s="766">
        <v>3.91</v>
      </c>
      <c r="CG97" s="766">
        <v>3.93</v>
      </c>
      <c r="CH97" s="766">
        <v>3.96</v>
      </c>
      <c r="CI97" s="766">
        <v>3.98</v>
      </c>
      <c r="CJ97" s="766">
        <v>4</v>
      </c>
      <c r="CK97" s="766">
        <v>4.03</v>
      </c>
      <c r="CL97" s="766">
        <v>4.05</v>
      </c>
      <c r="CM97" s="766">
        <v>4.07</v>
      </c>
      <c r="CN97" s="766">
        <v>4.0999999999999996</v>
      </c>
      <c r="CO97" s="766">
        <v>4.12</v>
      </c>
      <c r="CP97" s="766">
        <v>4.1399999999999997</v>
      </c>
      <c r="CQ97" s="766">
        <v>4.17</v>
      </c>
      <c r="CR97" s="766">
        <v>4.1900000000000004</v>
      </c>
      <c r="CS97" s="766">
        <v>4.21</v>
      </c>
      <c r="CT97" s="766">
        <v>4.2300000000000004</v>
      </c>
      <c r="CU97" s="766">
        <v>4.26</v>
      </c>
      <c r="CV97" s="766">
        <v>4.28</v>
      </c>
      <c r="CW97" s="766">
        <v>4.3</v>
      </c>
      <c r="CX97" s="766">
        <v>4.33</v>
      </c>
      <c r="CY97" s="766">
        <v>4.3499999999999996</v>
      </c>
      <c r="CZ97" s="766">
        <v>4.37</v>
      </c>
      <c r="DA97" s="766">
        <v>4.3899999999999997</v>
      </c>
      <c r="DB97" s="766">
        <v>4.42</v>
      </c>
      <c r="DC97" s="766">
        <v>4.4400000000000004</v>
      </c>
      <c r="DD97" s="766">
        <v>4.46</v>
      </c>
      <c r="DE97" s="766">
        <v>4.4800000000000004</v>
      </c>
      <c r="DF97" s="766">
        <v>4.51</v>
      </c>
      <c r="DG97" s="766">
        <v>4.53</v>
      </c>
      <c r="DH97" s="766">
        <v>4.55</v>
      </c>
      <c r="DI97" s="766">
        <v>4.57</v>
      </c>
      <c r="DJ97" s="766">
        <v>4.5999999999999996</v>
      </c>
      <c r="DK97" s="766">
        <v>4.62</v>
      </c>
      <c r="DL97" s="766">
        <v>4.6399999999999997</v>
      </c>
      <c r="DM97" s="766">
        <v>4.66</v>
      </c>
      <c r="DN97" s="766">
        <v>4.68</v>
      </c>
      <c r="DO97" s="766">
        <v>4.71</v>
      </c>
      <c r="DP97" s="766">
        <v>4.7300000000000004</v>
      </c>
      <c r="DQ97" s="766">
        <v>4.75</v>
      </c>
      <c r="DR97" s="766">
        <v>4.7699999999999996</v>
      </c>
    </row>
    <row r="98" spans="1:122">
      <c r="A98" s="944">
        <v>96</v>
      </c>
      <c r="B98" s="96"/>
      <c r="C98" s="96"/>
      <c r="D98" s="96"/>
      <c r="E98" s="96"/>
      <c r="F98" s="96"/>
      <c r="G98" s="96"/>
      <c r="H98" s="96"/>
      <c r="I98" s="96"/>
      <c r="J98" s="96"/>
      <c r="K98" s="96"/>
      <c r="L98" s="96"/>
      <c r="M98" s="96"/>
      <c r="N98" s="96"/>
      <c r="O98" s="96"/>
      <c r="P98" s="96"/>
      <c r="Q98" s="96"/>
      <c r="R98" s="96"/>
      <c r="S98" s="96"/>
      <c r="T98" s="96"/>
      <c r="U98" s="96"/>
      <c r="V98" s="766"/>
      <c r="W98" s="766">
        <v>2.41</v>
      </c>
      <c r="X98" s="766">
        <v>2.33</v>
      </c>
      <c r="Y98" s="766">
        <v>2.38</v>
      </c>
      <c r="Z98" s="766">
        <v>2.4</v>
      </c>
      <c r="AA98" s="766">
        <v>2.4300000000000002</v>
      </c>
      <c r="AB98" s="766">
        <v>2.4500000000000002</v>
      </c>
      <c r="AC98" s="766">
        <v>2.46</v>
      </c>
      <c r="AD98" s="766">
        <v>2.48</v>
      </c>
      <c r="AE98" s="766">
        <v>2.5</v>
      </c>
      <c r="AF98" s="766">
        <v>2.52</v>
      </c>
      <c r="AG98" s="766">
        <v>2.54</v>
      </c>
      <c r="AH98" s="766">
        <v>2.5499999999999998</v>
      </c>
      <c r="AI98" s="766">
        <v>2.57</v>
      </c>
      <c r="AJ98" s="766">
        <v>2.59</v>
      </c>
      <c r="AK98" s="766">
        <v>2.61</v>
      </c>
      <c r="AL98" s="766">
        <v>2.63</v>
      </c>
      <c r="AM98" s="766">
        <v>2.65</v>
      </c>
      <c r="AN98" s="766">
        <v>2.67</v>
      </c>
      <c r="AO98" s="766">
        <v>2.69</v>
      </c>
      <c r="AP98" s="766">
        <v>2.71</v>
      </c>
      <c r="AQ98" s="766">
        <v>2.73</v>
      </c>
      <c r="AR98" s="766">
        <v>2.75</v>
      </c>
      <c r="AS98" s="766">
        <v>2.77</v>
      </c>
      <c r="AT98" s="766">
        <v>2.79</v>
      </c>
      <c r="AU98" s="766">
        <v>2.81</v>
      </c>
      <c r="AV98" s="766">
        <v>2.84</v>
      </c>
      <c r="AW98" s="766">
        <v>2.86</v>
      </c>
      <c r="AX98" s="766">
        <v>2.88</v>
      </c>
      <c r="AY98" s="766">
        <v>2.9</v>
      </c>
      <c r="AZ98" s="766">
        <v>2.92</v>
      </c>
      <c r="BA98" s="766">
        <v>2.94</v>
      </c>
      <c r="BB98" s="766">
        <v>2.96</v>
      </c>
      <c r="BC98" s="766">
        <v>2.98</v>
      </c>
      <c r="BD98" s="766">
        <v>3</v>
      </c>
      <c r="BE98" s="766">
        <v>3.03</v>
      </c>
      <c r="BF98" s="766">
        <v>3.05</v>
      </c>
      <c r="BG98" s="766">
        <v>3.07</v>
      </c>
      <c r="BH98" s="766">
        <v>3.09</v>
      </c>
      <c r="BI98" s="766">
        <v>3.11</v>
      </c>
      <c r="BJ98" s="766">
        <v>3.13</v>
      </c>
      <c r="BK98" s="766">
        <v>3.15</v>
      </c>
      <c r="BL98" s="766">
        <v>3.17</v>
      </c>
      <c r="BM98" s="766">
        <v>3.2</v>
      </c>
      <c r="BN98" s="766">
        <v>3.22</v>
      </c>
      <c r="BO98" s="766">
        <v>3.24</v>
      </c>
      <c r="BP98" s="766">
        <v>3.26</v>
      </c>
      <c r="BQ98" s="766">
        <v>3.28</v>
      </c>
      <c r="BR98" s="766">
        <v>3.3</v>
      </c>
      <c r="BS98" s="766">
        <v>3.32</v>
      </c>
      <c r="BT98" s="888">
        <v>3.34</v>
      </c>
      <c r="BU98" s="766">
        <v>3.37</v>
      </c>
      <c r="BV98" s="766">
        <v>3.39</v>
      </c>
      <c r="BW98" s="766">
        <v>3.41</v>
      </c>
      <c r="BX98" s="766">
        <v>3.43</v>
      </c>
      <c r="BY98" s="766">
        <v>3.45</v>
      </c>
      <c r="BZ98" s="766">
        <v>3.47</v>
      </c>
      <c r="CA98" s="766">
        <v>3.49</v>
      </c>
      <c r="CB98" s="766">
        <v>3.51</v>
      </c>
      <c r="CC98" s="766">
        <v>3.53</v>
      </c>
      <c r="CD98" s="766">
        <v>3.55</v>
      </c>
      <c r="CE98" s="766">
        <v>3.58</v>
      </c>
      <c r="CF98" s="766">
        <v>3.6</v>
      </c>
      <c r="CG98" s="766">
        <v>3.62</v>
      </c>
      <c r="CH98" s="766">
        <v>3.64</v>
      </c>
      <c r="CI98" s="766">
        <v>3.66</v>
      </c>
      <c r="CJ98" s="766">
        <v>3.68</v>
      </c>
      <c r="CK98" s="766">
        <v>3.7</v>
      </c>
      <c r="CL98" s="766">
        <v>3.72</v>
      </c>
      <c r="CM98" s="766">
        <v>3.74</v>
      </c>
      <c r="CN98" s="766">
        <v>3.76</v>
      </c>
      <c r="CO98" s="766">
        <v>3.78</v>
      </c>
      <c r="CP98" s="766">
        <v>3.8</v>
      </c>
      <c r="CQ98" s="766">
        <v>3.82</v>
      </c>
      <c r="CR98" s="766">
        <v>3.84</v>
      </c>
      <c r="CS98" s="766">
        <v>3.86</v>
      </c>
      <c r="CT98" s="766">
        <v>3.88</v>
      </c>
      <c r="CU98" s="766">
        <v>3.9</v>
      </c>
      <c r="CV98" s="766">
        <v>3.92</v>
      </c>
      <c r="CW98" s="766">
        <v>3.94</v>
      </c>
      <c r="CX98" s="766">
        <v>3.96</v>
      </c>
      <c r="CY98" s="766">
        <v>3.98</v>
      </c>
      <c r="CZ98" s="766">
        <v>4</v>
      </c>
      <c r="DA98" s="766">
        <v>4.0199999999999996</v>
      </c>
      <c r="DB98" s="766">
        <v>4.04</v>
      </c>
      <c r="DC98" s="766">
        <v>4.0599999999999996</v>
      </c>
      <c r="DD98" s="766">
        <v>4.08</v>
      </c>
      <c r="DE98" s="766">
        <v>4.0999999999999996</v>
      </c>
      <c r="DF98" s="766">
        <v>4.12</v>
      </c>
      <c r="DG98" s="766">
        <v>4.1399999999999997</v>
      </c>
      <c r="DH98" s="766">
        <v>4.16</v>
      </c>
      <c r="DI98" s="766">
        <v>4.18</v>
      </c>
      <c r="DJ98" s="766">
        <v>4.2</v>
      </c>
      <c r="DK98" s="766">
        <v>4.22</v>
      </c>
      <c r="DL98" s="766">
        <v>4.24</v>
      </c>
      <c r="DM98" s="766">
        <v>4.26</v>
      </c>
      <c r="DN98" s="766">
        <v>4.28</v>
      </c>
      <c r="DO98" s="766">
        <v>4.3</v>
      </c>
      <c r="DP98" s="766">
        <v>4.32</v>
      </c>
      <c r="DQ98" s="766">
        <v>4.33</v>
      </c>
      <c r="DR98" s="766">
        <v>4.3499999999999996</v>
      </c>
    </row>
    <row r="99" spans="1:122">
      <c r="A99" s="944">
        <v>97</v>
      </c>
      <c r="B99" s="96"/>
      <c r="C99" s="96"/>
      <c r="D99" s="96"/>
      <c r="E99" s="96"/>
      <c r="F99" s="96"/>
      <c r="G99" s="96"/>
      <c r="H99" s="96"/>
      <c r="I99" s="96"/>
      <c r="J99" s="96"/>
      <c r="K99" s="96"/>
      <c r="L99" s="96"/>
      <c r="M99" s="96"/>
      <c r="N99" s="96"/>
      <c r="O99" s="96"/>
      <c r="P99" s="96"/>
      <c r="Q99" s="96"/>
      <c r="R99" s="96"/>
      <c r="S99" s="96"/>
      <c r="T99" s="96"/>
      <c r="U99" s="96"/>
      <c r="V99" s="766"/>
      <c r="W99" s="766">
        <v>2.25</v>
      </c>
      <c r="X99" s="766">
        <v>2.1800000000000002</v>
      </c>
      <c r="Y99" s="766">
        <v>2.23</v>
      </c>
      <c r="Z99" s="766">
        <v>2.25</v>
      </c>
      <c r="AA99" s="766">
        <v>2.27</v>
      </c>
      <c r="AB99" s="766">
        <v>2.29</v>
      </c>
      <c r="AC99" s="766">
        <v>2.31</v>
      </c>
      <c r="AD99" s="766">
        <v>2.3199999999999998</v>
      </c>
      <c r="AE99" s="766">
        <v>2.34</v>
      </c>
      <c r="AF99" s="766">
        <v>2.35</v>
      </c>
      <c r="AG99" s="766">
        <v>2.37</v>
      </c>
      <c r="AH99" s="766">
        <v>2.39</v>
      </c>
      <c r="AI99" s="766">
        <v>2.4</v>
      </c>
      <c r="AJ99" s="766">
        <v>2.42</v>
      </c>
      <c r="AK99" s="766">
        <v>2.44</v>
      </c>
      <c r="AL99" s="766">
        <v>2.4500000000000002</v>
      </c>
      <c r="AM99" s="766">
        <v>2.4700000000000002</v>
      </c>
      <c r="AN99" s="766">
        <v>2.4900000000000002</v>
      </c>
      <c r="AO99" s="766">
        <v>2.5099999999999998</v>
      </c>
      <c r="AP99" s="766">
        <v>2.5299999999999998</v>
      </c>
      <c r="AQ99" s="766">
        <v>2.5499999999999998</v>
      </c>
      <c r="AR99" s="766">
        <v>2.57</v>
      </c>
      <c r="AS99" s="766">
        <v>2.58</v>
      </c>
      <c r="AT99" s="766">
        <v>2.6</v>
      </c>
      <c r="AU99" s="766">
        <v>2.62</v>
      </c>
      <c r="AV99" s="766">
        <v>2.64</v>
      </c>
      <c r="AW99" s="766">
        <v>2.66</v>
      </c>
      <c r="AX99" s="766">
        <v>2.68</v>
      </c>
      <c r="AY99" s="766">
        <v>2.7</v>
      </c>
      <c r="AZ99" s="766">
        <v>2.72</v>
      </c>
      <c r="BA99" s="766">
        <v>2.74</v>
      </c>
      <c r="BB99" s="766">
        <v>2.76</v>
      </c>
      <c r="BC99" s="766">
        <v>2.78</v>
      </c>
      <c r="BD99" s="766">
        <v>2.79</v>
      </c>
      <c r="BE99" s="766">
        <v>2.81</v>
      </c>
      <c r="BF99" s="766">
        <v>2.83</v>
      </c>
      <c r="BG99" s="766">
        <v>2.85</v>
      </c>
      <c r="BH99" s="766">
        <v>2.87</v>
      </c>
      <c r="BI99" s="766">
        <v>2.89</v>
      </c>
      <c r="BJ99" s="766">
        <v>2.91</v>
      </c>
      <c r="BK99" s="766">
        <v>2.93</v>
      </c>
      <c r="BL99" s="766">
        <v>2.95</v>
      </c>
      <c r="BM99" s="766">
        <v>2.97</v>
      </c>
      <c r="BN99" s="766">
        <v>2.98</v>
      </c>
      <c r="BO99" s="766">
        <v>3</v>
      </c>
      <c r="BP99" s="766">
        <v>3.02</v>
      </c>
      <c r="BQ99" s="766">
        <v>3.04</v>
      </c>
      <c r="BR99" s="766">
        <v>3.06</v>
      </c>
      <c r="BS99" s="766">
        <v>3.08</v>
      </c>
      <c r="BT99" s="888">
        <v>3.1</v>
      </c>
      <c r="BU99" s="766">
        <v>3.12</v>
      </c>
      <c r="BV99" s="766">
        <v>3.14</v>
      </c>
      <c r="BW99" s="766">
        <v>3.15</v>
      </c>
      <c r="BX99" s="766">
        <v>3.17</v>
      </c>
      <c r="BY99" s="766">
        <v>3.19</v>
      </c>
      <c r="BZ99" s="766">
        <v>3.21</v>
      </c>
      <c r="CA99" s="766">
        <v>3.23</v>
      </c>
      <c r="CB99" s="766">
        <v>3.25</v>
      </c>
      <c r="CC99" s="766">
        <v>3.27</v>
      </c>
      <c r="CD99" s="766">
        <v>3.29</v>
      </c>
      <c r="CE99" s="766">
        <v>3.3</v>
      </c>
      <c r="CF99" s="766">
        <v>3.32</v>
      </c>
      <c r="CG99" s="766">
        <v>3.34</v>
      </c>
      <c r="CH99" s="766">
        <v>3.36</v>
      </c>
      <c r="CI99" s="766">
        <v>3.38</v>
      </c>
      <c r="CJ99" s="766">
        <v>3.4</v>
      </c>
      <c r="CK99" s="766">
        <v>3.41</v>
      </c>
      <c r="CL99" s="766">
        <v>3.43</v>
      </c>
      <c r="CM99" s="766">
        <v>3.45</v>
      </c>
      <c r="CN99" s="766">
        <v>3.47</v>
      </c>
      <c r="CO99" s="766">
        <v>3.49</v>
      </c>
      <c r="CP99" s="766">
        <v>3.51</v>
      </c>
      <c r="CQ99" s="766">
        <v>3.52</v>
      </c>
      <c r="CR99" s="766">
        <v>3.54</v>
      </c>
      <c r="CS99" s="766">
        <v>3.56</v>
      </c>
      <c r="CT99" s="766">
        <v>3.58</v>
      </c>
      <c r="CU99" s="766">
        <v>3.6</v>
      </c>
      <c r="CV99" s="766">
        <v>3.61</v>
      </c>
      <c r="CW99" s="766">
        <v>3.63</v>
      </c>
      <c r="CX99" s="766">
        <v>3.65</v>
      </c>
      <c r="CY99" s="766">
        <v>3.67</v>
      </c>
      <c r="CZ99" s="766">
        <v>3.68</v>
      </c>
      <c r="DA99" s="766">
        <v>3.7</v>
      </c>
      <c r="DB99" s="766">
        <v>3.72</v>
      </c>
      <c r="DC99" s="766">
        <v>3.74</v>
      </c>
      <c r="DD99" s="766">
        <v>3.75</v>
      </c>
      <c r="DE99" s="766">
        <v>3.77</v>
      </c>
      <c r="DF99" s="766">
        <v>3.79</v>
      </c>
      <c r="DG99" s="766">
        <v>3.81</v>
      </c>
      <c r="DH99" s="766">
        <v>3.82</v>
      </c>
      <c r="DI99" s="766">
        <v>3.84</v>
      </c>
      <c r="DJ99" s="766">
        <v>3.86</v>
      </c>
      <c r="DK99" s="766">
        <v>3.88</v>
      </c>
      <c r="DL99" s="766">
        <v>3.89</v>
      </c>
      <c r="DM99" s="766">
        <v>3.91</v>
      </c>
      <c r="DN99" s="766">
        <v>3.93</v>
      </c>
      <c r="DO99" s="766">
        <v>3.94</v>
      </c>
      <c r="DP99" s="766">
        <v>3.96</v>
      </c>
      <c r="DQ99" s="766">
        <v>3.98</v>
      </c>
      <c r="DR99" s="766">
        <v>3.99</v>
      </c>
    </row>
    <row r="100" spans="1:122">
      <c r="A100" s="944">
        <v>98</v>
      </c>
      <c r="B100" s="96"/>
      <c r="C100" s="96"/>
      <c r="D100" s="96"/>
      <c r="E100" s="96"/>
      <c r="F100" s="96"/>
      <c r="G100" s="96"/>
      <c r="H100" s="96"/>
      <c r="I100" s="96"/>
      <c r="J100" s="96"/>
      <c r="K100" s="96"/>
      <c r="L100" s="96"/>
      <c r="M100" s="96"/>
      <c r="N100" s="96"/>
      <c r="O100" s="96"/>
      <c r="P100" s="96"/>
      <c r="Q100" s="96"/>
      <c r="R100" s="96"/>
      <c r="S100" s="96"/>
      <c r="T100" s="96"/>
      <c r="U100" s="96"/>
      <c r="V100" s="766"/>
      <c r="W100" s="766">
        <v>2.12</v>
      </c>
      <c r="X100" s="766">
        <v>2.0499999999999998</v>
      </c>
      <c r="Y100" s="766">
        <v>2.09</v>
      </c>
      <c r="Z100" s="766">
        <v>2.11</v>
      </c>
      <c r="AA100" s="766">
        <v>2.13</v>
      </c>
      <c r="AB100" s="766">
        <v>2.15</v>
      </c>
      <c r="AC100" s="766">
        <v>2.16</v>
      </c>
      <c r="AD100" s="766">
        <v>2.1800000000000002</v>
      </c>
      <c r="AE100" s="766">
        <v>2.19</v>
      </c>
      <c r="AF100" s="766">
        <v>2.21</v>
      </c>
      <c r="AG100" s="766">
        <v>2.2200000000000002</v>
      </c>
      <c r="AH100" s="766">
        <v>2.2400000000000002</v>
      </c>
      <c r="AI100" s="766">
        <v>2.25</v>
      </c>
      <c r="AJ100" s="766">
        <v>2.27</v>
      </c>
      <c r="AK100" s="766">
        <v>2.2799999999999998</v>
      </c>
      <c r="AL100" s="766">
        <v>2.2999999999999998</v>
      </c>
      <c r="AM100" s="766">
        <v>2.3199999999999998</v>
      </c>
      <c r="AN100" s="766">
        <v>2.33</v>
      </c>
      <c r="AO100" s="766">
        <v>2.35</v>
      </c>
      <c r="AP100" s="766">
        <v>2.37</v>
      </c>
      <c r="AQ100" s="766">
        <v>2.38</v>
      </c>
      <c r="AR100" s="766">
        <v>2.4</v>
      </c>
      <c r="AS100" s="766">
        <v>2.42</v>
      </c>
      <c r="AT100" s="766">
        <v>2.44</v>
      </c>
      <c r="AU100" s="766">
        <v>2.4500000000000002</v>
      </c>
      <c r="AV100" s="766">
        <v>2.4700000000000002</v>
      </c>
      <c r="AW100" s="766">
        <v>2.4900000000000002</v>
      </c>
      <c r="AX100" s="766">
        <v>2.5</v>
      </c>
      <c r="AY100" s="766">
        <v>2.52</v>
      </c>
      <c r="AZ100" s="766">
        <v>2.54</v>
      </c>
      <c r="BA100" s="766">
        <v>2.56</v>
      </c>
      <c r="BB100" s="766">
        <v>2.57</v>
      </c>
      <c r="BC100" s="766">
        <v>2.59</v>
      </c>
      <c r="BD100" s="766">
        <v>2.61</v>
      </c>
      <c r="BE100" s="766">
        <v>2.63</v>
      </c>
      <c r="BF100" s="766">
        <v>2.64</v>
      </c>
      <c r="BG100" s="766">
        <v>2.66</v>
      </c>
      <c r="BH100" s="766">
        <v>2.68</v>
      </c>
      <c r="BI100" s="766">
        <v>2.69</v>
      </c>
      <c r="BJ100" s="766">
        <v>2.71</v>
      </c>
      <c r="BK100" s="766">
        <v>2.73</v>
      </c>
      <c r="BL100" s="766">
        <v>2.75</v>
      </c>
      <c r="BM100" s="766">
        <v>2.76</v>
      </c>
      <c r="BN100" s="766">
        <v>2.78</v>
      </c>
      <c r="BO100" s="766">
        <v>2.8</v>
      </c>
      <c r="BP100" s="766">
        <v>2.81</v>
      </c>
      <c r="BQ100" s="766">
        <v>2.83</v>
      </c>
      <c r="BR100" s="766">
        <v>2.85</v>
      </c>
      <c r="BS100" s="766">
        <v>2.86</v>
      </c>
      <c r="BT100" s="888">
        <v>2.88</v>
      </c>
      <c r="BU100" s="766">
        <v>2.9</v>
      </c>
      <c r="BV100" s="766">
        <v>2.92</v>
      </c>
      <c r="BW100" s="766">
        <v>2.93</v>
      </c>
      <c r="BX100" s="766">
        <v>2.95</v>
      </c>
      <c r="BY100" s="766">
        <v>2.97</v>
      </c>
      <c r="BZ100" s="766">
        <v>2.98</v>
      </c>
      <c r="CA100" s="766">
        <v>3</v>
      </c>
      <c r="CB100" s="766">
        <v>3.02</v>
      </c>
      <c r="CC100" s="766">
        <v>3.03</v>
      </c>
      <c r="CD100" s="766">
        <v>3.05</v>
      </c>
      <c r="CE100" s="766">
        <v>3.07</v>
      </c>
      <c r="CF100" s="766">
        <v>3.08</v>
      </c>
      <c r="CG100" s="766">
        <v>3.1</v>
      </c>
      <c r="CH100" s="766">
        <v>3.12</v>
      </c>
      <c r="CI100" s="766">
        <v>3.13</v>
      </c>
      <c r="CJ100" s="766">
        <v>3.15</v>
      </c>
      <c r="CK100" s="766">
        <v>3.17</v>
      </c>
      <c r="CL100" s="766">
        <v>3.18</v>
      </c>
      <c r="CM100" s="766">
        <v>3.2</v>
      </c>
      <c r="CN100" s="766">
        <v>3.22</v>
      </c>
      <c r="CO100" s="766">
        <v>3.23</v>
      </c>
      <c r="CP100" s="766">
        <v>3.25</v>
      </c>
      <c r="CQ100" s="766">
        <v>3.26</v>
      </c>
      <c r="CR100" s="766">
        <v>3.28</v>
      </c>
      <c r="CS100" s="766">
        <v>3.3</v>
      </c>
      <c r="CT100" s="766">
        <v>3.31</v>
      </c>
      <c r="CU100" s="766">
        <v>3.33</v>
      </c>
      <c r="CV100" s="766">
        <v>3.34</v>
      </c>
      <c r="CW100" s="766">
        <v>3.36</v>
      </c>
      <c r="CX100" s="766">
        <v>3.38</v>
      </c>
      <c r="CY100" s="766">
        <v>3.39</v>
      </c>
      <c r="CZ100" s="766">
        <v>3.41</v>
      </c>
      <c r="DA100" s="766">
        <v>3.42</v>
      </c>
      <c r="DB100" s="766">
        <v>3.44</v>
      </c>
      <c r="DC100" s="766">
        <v>3.45</v>
      </c>
      <c r="DD100" s="766">
        <v>3.47</v>
      </c>
      <c r="DE100" s="766">
        <v>3.48</v>
      </c>
      <c r="DF100" s="766">
        <v>3.5</v>
      </c>
      <c r="DG100" s="766">
        <v>3.52</v>
      </c>
      <c r="DH100" s="766">
        <v>3.53</v>
      </c>
      <c r="DI100" s="766">
        <v>3.55</v>
      </c>
      <c r="DJ100" s="766">
        <v>3.56</v>
      </c>
      <c r="DK100" s="766">
        <v>3.58</v>
      </c>
      <c r="DL100" s="766">
        <v>3.59</v>
      </c>
      <c r="DM100" s="766">
        <v>3.61</v>
      </c>
      <c r="DN100" s="766">
        <v>3.62</v>
      </c>
      <c r="DO100" s="766">
        <v>3.64</v>
      </c>
      <c r="DP100" s="766">
        <v>3.65</v>
      </c>
      <c r="DQ100" s="766">
        <v>3.67</v>
      </c>
      <c r="DR100" s="766">
        <v>3.68</v>
      </c>
    </row>
    <row r="101" spans="1:122">
      <c r="A101" s="944">
        <v>99</v>
      </c>
      <c r="B101" s="96"/>
      <c r="C101" s="96"/>
      <c r="D101" s="96"/>
      <c r="E101" s="96"/>
      <c r="F101" s="96"/>
      <c r="G101" s="96"/>
      <c r="H101" s="96"/>
      <c r="I101" s="96"/>
      <c r="J101" s="96"/>
      <c r="K101" s="96"/>
      <c r="L101" s="96"/>
      <c r="M101" s="96"/>
      <c r="N101" s="96"/>
      <c r="O101" s="96"/>
      <c r="P101" s="96"/>
      <c r="Q101" s="96"/>
      <c r="R101" s="96"/>
      <c r="S101" s="96"/>
      <c r="T101" s="96"/>
      <c r="U101" s="96"/>
      <c r="V101" s="766"/>
      <c r="W101" s="766">
        <v>2</v>
      </c>
      <c r="X101" s="766">
        <v>1.94</v>
      </c>
      <c r="Y101" s="766">
        <v>1.97</v>
      </c>
      <c r="Z101" s="766">
        <v>1.99</v>
      </c>
      <c r="AA101" s="766">
        <v>2.0099999999999998</v>
      </c>
      <c r="AB101" s="766">
        <v>2.02</v>
      </c>
      <c r="AC101" s="766">
        <v>2.04</v>
      </c>
      <c r="AD101" s="766">
        <v>2.0499999999999998</v>
      </c>
      <c r="AE101" s="766">
        <v>2.0699999999999998</v>
      </c>
      <c r="AF101" s="766">
        <v>2.08</v>
      </c>
      <c r="AG101" s="766">
        <v>2.09</v>
      </c>
      <c r="AH101" s="766">
        <v>2.11</v>
      </c>
      <c r="AI101" s="766">
        <v>2.12</v>
      </c>
      <c r="AJ101" s="766">
        <v>2.13</v>
      </c>
      <c r="AK101" s="766">
        <v>2.15</v>
      </c>
      <c r="AL101" s="766">
        <v>2.16</v>
      </c>
      <c r="AM101" s="766">
        <v>2.1800000000000002</v>
      </c>
      <c r="AN101" s="766">
        <v>2.19</v>
      </c>
      <c r="AO101" s="766">
        <v>2.21</v>
      </c>
      <c r="AP101" s="766">
        <v>2.2200000000000002</v>
      </c>
      <c r="AQ101" s="766">
        <v>2.2400000000000002</v>
      </c>
      <c r="AR101" s="766">
        <v>2.2599999999999998</v>
      </c>
      <c r="AS101" s="766">
        <v>2.27</v>
      </c>
      <c r="AT101" s="766">
        <v>2.29</v>
      </c>
      <c r="AU101" s="766">
        <v>2.2999999999999998</v>
      </c>
      <c r="AV101" s="766">
        <v>2.3199999999999998</v>
      </c>
      <c r="AW101" s="766">
        <v>2.33</v>
      </c>
      <c r="AX101" s="766">
        <v>2.35</v>
      </c>
      <c r="AY101" s="766">
        <v>2.37</v>
      </c>
      <c r="AZ101" s="766">
        <v>2.38</v>
      </c>
      <c r="BA101" s="766">
        <v>2.4</v>
      </c>
      <c r="BB101" s="766">
        <v>2.41</v>
      </c>
      <c r="BC101" s="766">
        <v>2.4300000000000002</v>
      </c>
      <c r="BD101" s="766">
        <v>2.44</v>
      </c>
      <c r="BE101" s="766">
        <v>2.46</v>
      </c>
      <c r="BF101" s="766">
        <v>2.4700000000000002</v>
      </c>
      <c r="BG101" s="766">
        <v>2.4900000000000002</v>
      </c>
      <c r="BH101" s="766">
        <v>2.5099999999999998</v>
      </c>
      <c r="BI101" s="766">
        <v>2.52</v>
      </c>
      <c r="BJ101" s="766">
        <v>2.54</v>
      </c>
      <c r="BK101" s="766">
        <v>2.5499999999999998</v>
      </c>
      <c r="BL101" s="766">
        <v>2.57</v>
      </c>
      <c r="BM101" s="766">
        <v>2.58</v>
      </c>
      <c r="BN101" s="766">
        <v>2.6</v>
      </c>
      <c r="BO101" s="766">
        <v>2.62</v>
      </c>
      <c r="BP101" s="766">
        <v>2.63</v>
      </c>
      <c r="BQ101" s="766">
        <v>2.65</v>
      </c>
      <c r="BR101" s="766">
        <v>2.66</v>
      </c>
      <c r="BS101" s="766">
        <v>2.68</v>
      </c>
      <c r="BT101" s="888">
        <v>2.69</v>
      </c>
      <c r="BU101" s="766">
        <v>2.71</v>
      </c>
      <c r="BV101" s="766">
        <v>2.72</v>
      </c>
      <c r="BW101" s="766">
        <v>2.74</v>
      </c>
      <c r="BX101" s="766">
        <v>2.75</v>
      </c>
      <c r="BY101" s="766">
        <v>2.77</v>
      </c>
      <c r="BZ101" s="766">
        <v>2.78</v>
      </c>
      <c r="CA101" s="766">
        <v>2.8</v>
      </c>
      <c r="CB101" s="766">
        <v>2.81</v>
      </c>
      <c r="CC101" s="766">
        <v>2.83</v>
      </c>
      <c r="CD101" s="766">
        <v>2.84</v>
      </c>
      <c r="CE101" s="766">
        <v>2.86</v>
      </c>
      <c r="CF101" s="766">
        <v>2.87</v>
      </c>
      <c r="CG101" s="766">
        <v>2.89</v>
      </c>
      <c r="CH101" s="766">
        <v>2.9</v>
      </c>
      <c r="CI101" s="766">
        <v>2.92</v>
      </c>
      <c r="CJ101" s="766">
        <v>2.93</v>
      </c>
      <c r="CK101" s="766">
        <v>2.95</v>
      </c>
      <c r="CL101" s="766">
        <v>2.96</v>
      </c>
      <c r="CM101" s="766">
        <v>2.98</v>
      </c>
      <c r="CN101" s="766">
        <v>2.99</v>
      </c>
      <c r="CO101" s="766">
        <v>3.01</v>
      </c>
      <c r="CP101" s="766">
        <v>3.02</v>
      </c>
      <c r="CQ101" s="766">
        <v>3.04</v>
      </c>
      <c r="CR101" s="766">
        <v>3.05</v>
      </c>
      <c r="CS101" s="766">
        <v>3.07</v>
      </c>
      <c r="CT101" s="766">
        <v>3.08</v>
      </c>
      <c r="CU101" s="766">
        <v>3.09</v>
      </c>
      <c r="CV101" s="766">
        <v>3.11</v>
      </c>
      <c r="CW101" s="766">
        <v>3.12</v>
      </c>
      <c r="CX101" s="766">
        <v>3.14</v>
      </c>
      <c r="CY101" s="766">
        <v>3.15</v>
      </c>
      <c r="CZ101" s="766">
        <v>3.17</v>
      </c>
      <c r="DA101" s="766">
        <v>3.18</v>
      </c>
      <c r="DB101" s="766">
        <v>3.19</v>
      </c>
      <c r="DC101" s="766">
        <v>3.21</v>
      </c>
      <c r="DD101" s="766">
        <v>3.22</v>
      </c>
      <c r="DE101" s="766">
        <v>3.23</v>
      </c>
      <c r="DF101" s="766">
        <v>3.25</v>
      </c>
      <c r="DG101" s="766">
        <v>3.26</v>
      </c>
      <c r="DH101" s="766">
        <v>3.28</v>
      </c>
      <c r="DI101" s="766">
        <v>3.29</v>
      </c>
      <c r="DJ101" s="766">
        <v>3.3</v>
      </c>
      <c r="DK101" s="766">
        <v>3.32</v>
      </c>
      <c r="DL101" s="766">
        <v>3.33</v>
      </c>
      <c r="DM101" s="766">
        <v>3.34</v>
      </c>
      <c r="DN101" s="766">
        <v>3.36</v>
      </c>
      <c r="DO101" s="766">
        <v>3.37</v>
      </c>
      <c r="DP101" s="766">
        <v>3.38</v>
      </c>
      <c r="DQ101" s="766">
        <v>3.4</v>
      </c>
      <c r="DR101" s="766">
        <v>3.41</v>
      </c>
    </row>
    <row r="102" spans="1:122">
      <c r="A102" s="944">
        <v>100</v>
      </c>
      <c r="B102" s="96"/>
      <c r="C102" s="96"/>
      <c r="D102" s="96"/>
      <c r="E102" s="96"/>
      <c r="F102" s="96"/>
      <c r="G102" s="96"/>
      <c r="H102" s="96"/>
      <c r="I102" s="96"/>
      <c r="J102" s="96"/>
      <c r="K102" s="96"/>
      <c r="L102" s="96"/>
      <c r="M102" s="96"/>
      <c r="N102" s="96"/>
      <c r="O102" s="96"/>
      <c r="P102" s="96"/>
      <c r="Q102" s="96"/>
      <c r="R102" s="96"/>
      <c r="S102" s="96"/>
      <c r="T102" s="96"/>
      <c r="U102" s="96"/>
      <c r="V102" s="766"/>
      <c r="W102" s="766">
        <v>1.89</v>
      </c>
      <c r="X102" s="766">
        <v>1.83</v>
      </c>
      <c r="Y102" s="766">
        <v>1.87</v>
      </c>
      <c r="Z102" s="766">
        <v>1.88</v>
      </c>
      <c r="AA102" s="766">
        <v>1.9</v>
      </c>
      <c r="AB102" s="766">
        <v>1.91</v>
      </c>
      <c r="AC102" s="766">
        <v>1.93</v>
      </c>
      <c r="AD102" s="766">
        <v>1.94</v>
      </c>
      <c r="AE102" s="766">
        <v>1.95</v>
      </c>
      <c r="AF102" s="766">
        <v>1.96</v>
      </c>
      <c r="AG102" s="766">
        <v>1.98</v>
      </c>
      <c r="AH102" s="766">
        <v>1.99</v>
      </c>
      <c r="AI102" s="766">
        <v>2</v>
      </c>
      <c r="AJ102" s="766">
        <v>2.0099999999999998</v>
      </c>
      <c r="AK102" s="766">
        <v>2.0299999999999998</v>
      </c>
      <c r="AL102" s="766">
        <v>2.04</v>
      </c>
      <c r="AM102" s="766">
        <v>2.0499999999999998</v>
      </c>
      <c r="AN102" s="766">
        <v>2.0699999999999998</v>
      </c>
      <c r="AO102" s="766">
        <v>2.08</v>
      </c>
      <c r="AP102" s="766">
        <v>2.1</v>
      </c>
      <c r="AQ102" s="766">
        <v>2.11</v>
      </c>
      <c r="AR102" s="766">
        <v>2.13</v>
      </c>
      <c r="AS102" s="766">
        <v>2.14</v>
      </c>
      <c r="AT102" s="766">
        <v>2.15</v>
      </c>
      <c r="AU102" s="766">
        <v>2.17</v>
      </c>
      <c r="AV102" s="766">
        <v>2.1800000000000002</v>
      </c>
      <c r="AW102" s="766">
        <v>2.2000000000000002</v>
      </c>
      <c r="AX102" s="766">
        <v>2.21</v>
      </c>
      <c r="AY102" s="766">
        <v>2.23</v>
      </c>
      <c r="AZ102" s="766">
        <v>2.2400000000000002</v>
      </c>
      <c r="BA102" s="766">
        <v>2.2599999999999998</v>
      </c>
      <c r="BB102" s="766">
        <v>2.27</v>
      </c>
      <c r="BC102" s="766">
        <v>2.2799999999999998</v>
      </c>
      <c r="BD102" s="766">
        <v>2.2999999999999998</v>
      </c>
      <c r="BE102" s="766">
        <v>2.31</v>
      </c>
      <c r="BF102" s="766">
        <v>2.33</v>
      </c>
      <c r="BG102" s="766">
        <v>2.34</v>
      </c>
      <c r="BH102" s="766">
        <v>2.36</v>
      </c>
      <c r="BI102" s="766">
        <v>2.37</v>
      </c>
      <c r="BJ102" s="766">
        <v>2.38</v>
      </c>
      <c r="BK102" s="766">
        <v>2.4</v>
      </c>
      <c r="BL102" s="766">
        <v>2.41</v>
      </c>
      <c r="BM102" s="766">
        <v>2.4300000000000002</v>
      </c>
      <c r="BN102" s="766">
        <v>2.44</v>
      </c>
      <c r="BO102" s="766">
        <v>2.46</v>
      </c>
      <c r="BP102" s="766">
        <v>2.4700000000000002</v>
      </c>
      <c r="BQ102" s="766">
        <v>2.48</v>
      </c>
      <c r="BR102" s="766">
        <v>2.5</v>
      </c>
      <c r="BS102" s="766">
        <v>2.5099999999999998</v>
      </c>
      <c r="BT102" s="888">
        <v>2.5299999999999998</v>
      </c>
      <c r="BU102" s="766">
        <v>2.54</v>
      </c>
      <c r="BV102" s="766">
        <v>2.5499999999999998</v>
      </c>
      <c r="BW102" s="766">
        <v>2.57</v>
      </c>
      <c r="BX102" s="766">
        <v>2.58</v>
      </c>
      <c r="BY102" s="766">
        <v>2.6</v>
      </c>
      <c r="BZ102" s="766">
        <v>2.61</v>
      </c>
      <c r="CA102" s="766">
        <v>2.62</v>
      </c>
      <c r="CB102" s="766">
        <v>2.64</v>
      </c>
      <c r="CC102" s="766">
        <v>2.65</v>
      </c>
      <c r="CD102" s="766">
        <v>2.66</v>
      </c>
      <c r="CE102" s="766">
        <v>2.68</v>
      </c>
      <c r="CF102" s="766">
        <v>2.69</v>
      </c>
      <c r="CG102" s="766">
        <v>2.7</v>
      </c>
      <c r="CH102" s="766">
        <v>2.72</v>
      </c>
      <c r="CI102" s="766">
        <v>2.73</v>
      </c>
      <c r="CJ102" s="766">
        <v>2.75</v>
      </c>
      <c r="CK102" s="766">
        <v>2.76</v>
      </c>
      <c r="CL102" s="766">
        <v>2.77</v>
      </c>
      <c r="CM102" s="766">
        <v>2.79</v>
      </c>
      <c r="CN102" s="766">
        <v>2.8</v>
      </c>
      <c r="CO102" s="766">
        <v>2.81</v>
      </c>
      <c r="CP102" s="766">
        <v>2.83</v>
      </c>
      <c r="CQ102" s="766">
        <v>2.84</v>
      </c>
      <c r="CR102" s="766">
        <v>2.85</v>
      </c>
      <c r="CS102" s="766">
        <v>2.86</v>
      </c>
      <c r="CT102" s="766">
        <v>2.88</v>
      </c>
      <c r="CU102" s="766">
        <v>2.89</v>
      </c>
      <c r="CV102" s="766">
        <v>2.9</v>
      </c>
      <c r="CW102" s="766">
        <v>2.92</v>
      </c>
      <c r="CX102" s="766">
        <v>2.93</v>
      </c>
      <c r="CY102" s="766">
        <v>2.94</v>
      </c>
      <c r="CZ102" s="766">
        <v>2.95</v>
      </c>
      <c r="DA102" s="766">
        <v>2.97</v>
      </c>
      <c r="DB102" s="766">
        <v>2.98</v>
      </c>
      <c r="DC102" s="766">
        <v>2.99</v>
      </c>
      <c r="DD102" s="766">
        <v>3.01</v>
      </c>
      <c r="DE102" s="766">
        <v>3.02</v>
      </c>
      <c r="DF102" s="766">
        <v>3.03</v>
      </c>
      <c r="DG102" s="766">
        <v>3.04</v>
      </c>
      <c r="DH102" s="766">
        <v>3.05</v>
      </c>
      <c r="DI102" s="766">
        <v>3.07</v>
      </c>
      <c r="DJ102" s="766">
        <v>3.08</v>
      </c>
      <c r="DK102" s="766">
        <v>3.09</v>
      </c>
      <c r="DL102" s="766">
        <v>3.1</v>
      </c>
      <c r="DM102" s="766">
        <v>3.12</v>
      </c>
      <c r="DN102" s="766">
        <v>3.13</v>
      </c>
      <c r="DO102" s="766">
        <v>3.14</v>
      </c>
      <c r="DP102" s="766">
        <v>3.15</v>
      </c>
      <c r="DQ102" s="766">
        <v>3.16</v>
      </c>
      <c r="DR102" s="766">
        <v>3.18</v>
      </c>
    </row>
    <row r="104" spans="1:122">
      <c r="B104" s="5" t="s">
        <v>382</v>
      </c>
    </row>
  </sheetData>
  <phoneticPr fontId="47" type="noConversion"/>
  <hyperlinks>
    <hyperlink ref="B104" r:id="rId1" display="https://www.destatis.de/SiteGlobals/Forms/Suche/Expertensuche_Formular.html?resourceId=2402&amp;input_=2408&amp;pageLocale=de&amp;templateQueryString=generationensterbetafeln&amp;submit.x=0&amp;submit.y=0" xr:uid="{CD2B78BA-C676-4A21-AECE-1ECD86A19282}"/>
    <hyperlink ref="A1" r:id="rId2" display="https://view.officeapps.live.com/op/view.aspx?src=https%3A%2F%2Fwww.destatis.de%2FDE%2FThemen%2FGesellschaft-Umwelt%2FBevoelkerung%2FSterbefaelle-Lebenserwartung%2FPublikationen%2FDownloads-Sterbefaelle%2Fkohortensterbetafeln-5126101209005.xlsx%3F__blob%3DpublicationFile&amp;wdOrigin=BROWSELINK" xr:uid="{0E97B035-E712-429C-ADBC-308ABADFF1B1}"/>
  </hyperlinks>
  <pageMargins left="0.7" right="0.7" top="0.78740157499999996" bottom="0.78740157499999996" header="0.3" footer="0.3"/>
  <pageSetup paperSize="9" orientation="portrait"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26"/>
  <dimension ref="A2:AB84"/>
  <sheetViews>
    <sheetView topLeftCell="M1" workbookViewId="0">
      <selection activeCell="X1" sqref="X1:AB1048576"/>
    </sheetView>
  </sheetViews>
  <sheetFormatPr baseColWidth="10" defaultColWidth="11.125" defaultRowHeight="14.25"/>
  <cols>
    <col min="1" max="1" width="21" customWidth="1"/>
    <col min="2" max="2" width="6.125" customWidth="1"/>
    <col min="3" max="10" width="11" customWidth="1"/>
    <col min="11" max="11" width="6.125" customWidth="1"/>
    <col min="12" max="19" width="11" customWidth="1"/>
    <col min="20" max="20" width="6.125" customWidth="1"/>
    <col min="21" max="28" width="11" customWidth="1"/>
  </cols>
  <sheetData>
    <row r="2" spans="1:28" ht="66" customHeight="1">
      <c r="A2" t="s">
        <v>189</v>
      </c>
      <c r="B2" s="3755" t="s">
        <v>7</v>
      </c>
      <c r="C2" s="143" t="s">
        <v>0</v>
      </c>
      <c r="D2" s="143" t="s">
        <v>1</v>
      </c>
      <c r="E2" s="143" t="s">
        <v>2</v>
      </c>
      <c r="F2" s="143" t="s">
        <v>1751</v>
      </c>
      <c r="G2" s="143" t="s">
        <v>4</v>
      </c>
      <c r="H2" s="3197" t="s">
        <v>5</v>
      </c>
      <c r="I2" s="3197"/>
      <c r="J2" s="3197"/>
      <c r="K2" s="132"/>
      <c r="L2" s="143" t="s">
        <v>0</v>
      </c>
      <c r="M2" s="143" t="s">
        <v>1</v>
      </c>
      <c r="N2" s="143" t="s">
        <v>2</v>
      </c>
      <c r="O2" s="143" t="s">
        <v>1751</v>
      </c>
      <c r="P2" s="143" t="s">
        <v>4</v>
      </c>
      <c r="Q2" s="3197" t="s">
        <v>6</v>
      </c>
      <c r="R2" s="3197"/>
      <c r="S2" s="3197"/>
      <c r="T2" s="132"/>
      <c r="U2" s="143" t="s">
        <v>0</v>
      </c>
      <c r="V2" s="143" t="s">
        <v>1</v>
      </c>
      <c r="W2" s="143" t="s">
        <v>2</v>
      </c>
      <c r="X2" s="143" t="s">
        <v>1751</v>
      </c>
      <c r="Y2" s="143" t="s">
        <v>4</v>
      </c>
      <c r="Z2" s="3197" t="s">
        <v>6</v>
      </c>
      <c r="AA2" s="3197"/>
      <c r="AB2" s="3197"/>
    </row>
    <row r="3" spans="1:28" s="2" customFormat="1" ht="13.5">
      <c r="A3" s="61">
        <v>43111</v>
      </c>
      <c r="B3" s="3755"/>
      <c r="C3" s="145" t="s">
        <v>17</v>
      </c>
      <c r="D3" s="145" t="s">
        <v>18</v>
      </c>
      <c r="E3" s="145" t="s">
        <v>24</v>
      </c>
      <c r="F3" s="145"/>
      <c r="G3" s="145"/>
      <c r="H3" s="145" t="s">
        <v>8</v>
      </c>
      <c r="I3" s="145" t="s">
        <v>9</v>
      </c>
      <c r="J3" s="145" t="s">
        <v>10</v>
      </c>
      <c r="K3" s="145" t="s">
        <v>7</v>
      </c>
      <c r="L3" s="145" t="s">
        <v>19</v>
      </c>
      <c r="M3" s="145" t="s">
        <v>20</v>
      </c>
      <c r="N3" s="145" t="s">
        <v>26</v>
      </c>
      <c r="O3" s="145"/>
      <c r="P3" s="145"/>
      <c r="Q3" s="145" t="s">
        <v>8</v>
      </c>
      <c r="R3" s="145" t="s">
        <v>9</v>
      </c>
      <c r="S3" s="145" t="s">
        <v>10</v>
      </c>
      <c r="T3" s="145" t="s">
        <v>7</v>
      </c>
      <c r="U3" s="145" t="s">
        <v>19</v>
      </c>
      <c r="V3" s="145" t="s">
        <v>20</v>
      </c>
      <c r="W3" s="145" t="s">
        <v>26</v>
      </c>
      <c r="X3" s="145" t="s">
        <v>27</v>
      </c>
      <c r="Y3" s="145"/>
      <c r="Z3" s="145" t="s">
        <v>8</v>
      </c>
      <c r="AA3" s="145" t="s">
        <v>9</v>
      </c>
      <c r="AB3" s="145" t="s">
        <v>10</v>
      </c>
    </row>
    <row r="4" spans="1:28">
      <c r="B4" s="51">
        <v>20</v>
      </c>
      <c r="C4" s="1">
        <v>0.248</v>
      </c>
      <c r="D4" s="1">
        <v>5.0030000000000001</v>
      </c>
      <c r="E4" s="1">
        <v>0.55300000000000005</v>
      </c>
      <c r="F4" s="1">
        <v>0.55300000000000005</v>
      </c>
      <c r="G4" s="1">
        <v>5.556</v>
      </c>
      <c r="H4" s="775">
        <v>5.2155625657202942E-2</v>
      </c>
      <c r="I4" s="775">
        <v>0.11629863301787594</v>
      </c>
      <c r="J4" s="775">
        <v>0.16845425867507888</v>
      </c>
      <c r="K4" s="51">
        <v>20</v>
      </c>
      <c r="L4" s="1">
        <v>0.26200000000000001</v>
      </c>
      <c r="M4" s="1">
        <v>5.8029999999999999</v>
      </c>
      <c r="N4" s="1">
        <v>0.433</v>
      </c>
      <c r="O4" s="1">
        <v>0.13900000000000001</v>
      </c>
      <c r="P4" s="1">
        <v>5.9420000000000002</v>
      </c>
      <c r="Q4" s="775">
        <v>4.7283883775491788E-2</v>
      </c>
      <c r="R4" s="775">
        <v>7.8144739216747874E-2</v>
      </c>
      <c r="S4" s="775">
        <v>0.12542862299223967</v>
      </c>
      <c r="T4" s="51">
        <v>20</v>
      </c>
      <c r="U4" s="1">
        <f>(L4+C4)/2</f>
        <v>0.255</v>
      </c>
      <c r="V4" s="1">
        <f>+(M4+D4)/2</f>
        <v>5.4030000000000005</v>
      </c>
      <c r="W4" s="1">
        <f>(N4+E4)/2</f>
        <v>0.49299999999999999</v>
      </c>
      <c r="X4" s="1">
        <v>0.49299999999999999</v>
      </c>
      <c r="Y4" s="1">
        <v>5.8960000000000008</v>
      </c>
      <c r="Z4" s="775">
        <v>4.9533799533799529E-2</v>
      </c>
      <c r="AA4" s="775">
        <v>9.5765345765345747E-2</v>
      </c>
      <c r="AB4" s="775">
        <v>0.14529914529914528</v>
      </c>
    </row>
    <row r="5" spans="1:28">
      <c r="B5" s="51">
        <v>21</v>
      </c>
      <c r="C5" s="1">
        <v>0.28599999999999998</v>
      </c>
      <c r="D5" s="1">
        <v>5.1559999999999997</v>
      </c>
      <c r="E5" s="1">
        <v>0.64300000000000002</v>
      </c>
      <c r="F5" s="1">
        <v>0.64300000000000002</v>
      </c>
      <c r="G5" s="1">
        <v>5.7989999999999995</v>
      </c>
      <c r="H5" s="775">
        <v>5.8726899383983566E-2</v>
      </c>
      <c r="I5" s="775">
        <v>0.13203285420944558</v>
      </c>
      <c r="J5" s="775">
        <v>0.19075975359342914</v>
      </c>
      <c r="K5" s="51">
        <v>21</v>
      </c>
      <c r="L5" s="1">
        <v>0.314</v>
      </c>
      <c r="M5" s="1">
        <v>5.9770000000000003</v>
      </c>
      <c r="N5" s="1">
        <v>0.44500000000000001</v>
      </c>
      <c r="O5" s="1">
        <v>0.16800000000000001</v>
      </c>
      <c r="P5" s="1">
        <v>6.1450000000000005</v>
      </c>
      <c r="Q5" s="775">
        <v>5.5447642592265582E-2</v>
      </c>
      <c r="R5" s="775">
        <v>7.8580257813879562E-2</v>
      </c>
      <c r="S5" s="775">
        <v>0.13402790040614515</v>
      </c>
      <c r="T5" s="51">
        <v>21</v>
      </c>
      <c r="U5" s="1">
        <f t="shared" ref="U5:U68" si="0">(L5+C5)/2</f>
        <v>0.3</v>
      </c>
      <c r="V5" s="1">
        <f t="shared" ref="V5:V68" si="1">+(M5+D5)/2</f>
        <v>5.5664999999999996</v>
      </c>
      <c r="W5" s="1">
        <f t="shared" ref="W5:W68" si="2">(N5+E5)/2</f>
        <v>0.54400000000000004</v>
      </c>
      <c r="X5" s="1">
        <v>0.54400000000000004</v>
      </c>
      <c r="Y5" s="1">
        <v>6.1105</v>
      </c>
      <c r="Z5" s="775">
        <v>5.6963827969239531E-2</v>
      </c>
      <c r="AA5" s="775">
        <v>0.1032944080508877</v>
      </c>
      <c r="AB5" s="775">
        <v>0.16025823602012723</v>
      </c>
    </row>
    <row r="6" spans="1:28">
      <c r="B6" s="51">
        <v>22</v>
      </c>
      <c r="C6" s="1">
        <v>0.32600000000000001</v>
      </c>
      <c r="D6" s="1">
        <v>5.3120000000000003</v>
      </c>
      <c r="E6" s="1">
        <v>0.73899999999999999</v>
      </c>
      <c r="F6" s="1">
        <v>0.73899999999999999</v>
      </c>
      <c r="G6" s="1">
        <v>6.0510000000000002</v>
      </c>
      <c r="H6" s="775">
        <v>6.5383072603289197E-2</v>
      </c>
      <c r="I6" s="775">
        <v>0.14821500200561571</v>
      </c>
      <c r="J6" s="775">
        <v>0.2135980746089049</v>
      </c>
      <c r="K6" s="51">
        <v>22</v>
      </c>
      <c r="L6" s="1">
        <v>0.36299999999999999</v>
      </c>
      <c r="M6" s="1">
        <v>6.1550000000000002</v>
      </c>
      <c r="N6" s="1">
        <v>0.45800000000000002</v>
      </c>
      <c r="O6" s="1">
        <v>0.19500000000000001</v>
      </c>
      <c r="P6" s="1">
        <v>6.3500000000000005</v>
      </c>
      <c r="Q6" s="775">
        <v>6.2672651933701654E-2</v>
      </c>
      <c r="R6" s="775">
        <v>7.9074585635359115E-2</v>
      </c>
      <c r="S6" s="775">
        <v>0.14174723756906077</v>
      </c>
      <c r="T6" s="51">
        <v>22</v>
      </c>
      <c r="U6" s="1">
        <f t="shared" si="0"/>
        <v>0.34450000000000003</v>
      </c>
      <c r="V6" s="1">
        <f t="shared" si="1"/>
        <v>5.7335000000000003</v>
      </c>
      <c r="W6" s="1">
        <f t="shared" si="2"/>
        <v>0.59850000000000003</v>
      </c>
      <c r="X6" s="1">
        <v>0.59850000000000003</v>
      </c>
      <c r="Y6" s="1">
        <v>6.3320000000000007</v>
      </c>
      <c r="Z6" s="775">
        <v>6.3926516979031359E-2</v>
      </c>
      <c r="AA6" s="775">
        <v>0.11105956578214882</v>
      </c>
      <c r="AB6" s="775">
        <v>0.17498608276118016</v>
      </c>
    </row>
    <row r="7" spans="1:28">
      <c r="B7" s="51">
        <v>23</v>
      </c>
      <c r="C7" s="1">
        <v>0.36599999999999999</v>
      </c>
      <c r="D7" s="1">
        <v>5.4720000000000004</v>
      </c>
      <c r="E7" s="1">
        <v>0.83899999999999997</v>
      </c>
      <c r="F7" s="1">
        <v>0.83899999999999997</v>
      </c>
      <c r="G7" s="1">
        <v>6.3109999999999999</v>
      </c>
      <c r="H7" s="775">
        <v>7.1680376028202097E-2</v>
      </c>
      <c r="I7" s="775">
        <v>0.1643164904034469</v>
      </c>
      <c r="J7" s="775">
        <v>0.23599686643164899</v>
      </c>
      <c r="K7" s="51">
        <v>23</v>
      </c>
      <c r="L7" s="1">
        <v>0.40300000000000002</v>
      </c>
      <c r="M7" s="1">
        <v>6.3390000000000004</v>
      </c>
      <c r="N7" s="1">
        <v>0.47099999999999997</v>
      </c>
      <c r="O7" s="1">
        <v>0.218</v>
      </c>
      <c r="P7" s="1">
        <v>6.5570000000000004</v>
      </c>
      <c r="Q7" s="775">
        <v>6.7890835579514835E-2</v>
      </c>
      <c r="R7" s="775">
        <v>7.934636118598383E-2</v>
      </c>
      <c r="S7" s="775">
        <v>0.14723719676549868</v>
      </c>
      <c r="T7" s="51">
        <v>23</v>
      </c>
      <c r="U7" s="1">
        <f t="shared" si="0"/>
        <v>0.38450000000000001</v>
      </c>
      <c r="V7" s="1">
        <f t="shared" si="1"/>
        <v>5.9055</v>
      </c>
      <c r="W7" s="1">
        <f t="shared" si="2"/>
        <v>0.65500000000000003</v>
      </c>
      <c r="X7" s="1">
        <v>0.65500000000000003</v>
      </c>
      <c r="Y7" s="1">
        <v>6.5605000000000002</v>
      </c>
      <c r="Z7" s="775">
        <v>6.9643180583227673E-2</v>
      </c>
      <c r="AA7" s="775">
        <v>0.11863792791161022</v>
      </c>
      <c r="AB7" s="775">
        <v>0.1882811084948379</v>
      </c>
    </row>
    <row r="8" spans="1:28">
      <c r="B8" s="51">
        <v>24</v>
      </c>
      <c r="C8" s="1">
        <v>0.40100000000000002</v>
      </c>
      <c r="D8" s="1">
        <v>5.6369999999999996</v>
      </c>
      <c r="E8" s="1">
        <v>0.93100000000000005</v>
      </c>
      <c r="F8" s="1">
        <v>0.93100000000000005</v>
      </c>
      <c r="G8" s="1">
        <v>6.5679999999999996</v>
      </c>
      <c r="H8" s="775">
        <v>7.6585179526356004E-2</v>
      </c>
      <c r="I8" s="775">
        <v>0.17780748663101606</v>
      </c>
      <c r="J8" s="775">
        <v>0.25439266615737205</v>
      </c>
      <c r="K8" s="51">
        <v>24</v>
      </c>
      <c r="L8" s="1">
        <v>0.44</v>
      </c>
      <c r="M8" s="1">
        <v>6.5270000000000001</v>
      </c>
      <c r="N8" s="1">
        <v>0.48299999999999998</v>
      </c>
      <c r="O8" s="1">
        <v>0.23899999999999999</v>
      </c>
      <c r="P8" s="1">
        <v>6.766</v>
      </c>
      <c r="Q8" s="775">
        <v>7.2285197962871695E-2</v>
      </c>
      <c r="R8" s="775">
        <v>7.9349433218334153E-2</v>
      </c>
      <c r="S8" s="775">
        <v>0.15163463118120585</v>
      </c>
      <c r="T8" s="51">
        <v>24</v>
      </c>
      <c r="U8" s="1">
        <f t="shared" si="0"/>
        <v>0.42049999999999998</v>
      </c>
      <c r="V8" s="1">
        <f t="shared" si="1"/>
        <v>6.0819999999999999</v>
      </c>
      <c r="W8" s="1">
        <f t="shared" si="2"/>
        <v>0.70700000000000007</v>
      </c>
      <c r="X8" s="1">
        <v>0.70700000000000007</v>
      </c>
      <c r="Y8" s="1">
        <v>6.7889999999999997</v>
      </c>
      <c r="Z8" s="775">
        <v>7.4273602402190234E-2</v>
      </c>
      <c r="AA8" s="775">
        <v>0.12487856575112603</v>
      </c>
      <c r="AB8" s="775">
        <v>0.19915216815331627</v>
      </c>
    </row>
    <row r="9" spans="1:28">
      <c r="B9" s="51">
        <v>25</v>
      </c>
      <c r="C9" s="1">
        <v>0.433</v>
      </c>
      <c r="D9" s="1">
        <v>5.8049999999999997</v>
      </c>
      <c r="E9" s="1">
        <v>1.016</v>
      </c>
      <c r="F9" s="1">
        <v>1.016</v>
      </c>
      <c r="G9" s="1">
        <v>6.8209999999999997</v>
      </c>
      <c r="H9" s="775">
        <v>8.0603127326880117E-2</v>
      </c>
      <c r="I9" s="775">
        <v>0.18912881608339538</v>
      </c>
      <c r="J9" s="775">
        <v>0.26973194341027551</v>
      </c>
      <c r="K9" s="51">
        <v>25</v>
      </c>
      <c r="L9" s="1">
        <v>0.47599999999999998</v>
      </c>
      <c r="M9" s="1">
        <v>6.7190000000000003</v>
      </c>
      <c r="N9" s="1">
        <v>0.496</v>
      </c>
      <c r="O9" s="1">
        <v>0.26</v>
      </c>
      <c r="P9" s="1">
        <v>6.9790000000000001</v>
      </c>
      <c r="Q9" s="775">
        <v>7.6245394842223285E-2</v>
      </c>
      <c r="R9" s="775">
        <v>7.9448982860804096E-2</v>
      </c>
      <c r="S9" s="775">
        <v>0.15569437770302738</v>
      </c>
      <c r="T9" s="51">
        <v>25</v>
      </c>
      <c r="U9" s="1">
        <f t="shared" si="0"/>
        <v>0.45450000000000002</v>
      </c>
      <c r="V9" s="1">
        <f t="shared" si="1"/>
        <v>6.2620000000000005</v>
      </c>
      <c r="W9" s="1">
        <f t="shared" si="2"/>
        <v>0.75600000000000001</v>
      </c>
      <c r="X9" s="1">
        <v>0.75600000000000001</v>
      </c>
      <c r="Y9" s="1">
        <v>7.0180000000000007</v>
      </c>
      <c r="Z9" s="775">
        <v>7.8260869565217397E-2</v>
      </c>
      <c r="AA9" s="775">
        <v>0.1301764959104606</v>
      </c>
      <c r="AB9" s="775">
        <v>0.20843736547567798</v>
      </c>
    </row>
    <row r="10" spans="1:28">
      <c r="B10" s="51">
        <v>26</v>
      </c>
      <c r="C10" s="1">
        <v>0.46100000000000002</v>
      </c>
      <c r="D10" s="1">
        <v>5.9770000000000003</v>
      </c>
      <c r="E10" s="1">
        <v>1.0980000000000001</v>
      </c>
      <c r="F10" s="1">
        <v>1.0980000000000001</v>
      </c>
      <c r="G10" s="1">
        <v>7.0750000000000002</v>
      </c>
      <c r="H10" s="775">
        <v>8.3575054387237127E-2</v>
      </c>
      <c r="I10" s="775">
        <v>0.19905728788977523</v>
      </c>
      <c r="J10" s="775">
        <v>0.28263234227701234</v>
      </c>
      <c r="K10" s="51">
        <v>26</v>
      </c>
      <c r="L10" s="1">
        <v>0.51100000000000001</v>
      </c>
      <c r="M10" s="1">
        <v>6.915</v>
      </c>
      <c r="N10" s="1">
        <v>0.50800000000000001</v>
      </c>
      <c r="O10" s="1">
        <v>0.28199999999999997</v>
      </c>
      <c r="P10" s="1">
        <v>7.1970000000000001</v>
      </c>
      <c r="Q10" s="775">
        <v>7.9793878825733924E-2</v>
      </c>
      <c r="R10" s="775">
        <v>7.9325421611492822E-2</v>
      </c>
      <c r="S10" s="775">
        <v>0.15911930043722675</v>
      </c>
      <c r="T10" s="51">
        <v>26</v>
      </c>
      <c r="U10" s="1">
        <f t="shared" si="0"/>
        <v>0.48599999999999999</v>
      </c>
      <c r="V10" s="1">
        <f t="shared" si="1"/>
        <v>6.4459999999999997</v>
      </c>
      <c r="W10" s="1">
        <f t="shared" si="2"/>
        <v>0.80300000000000005</v>
      </c>
      <c r="X10" s="1">
        <v>0.80300000000000005</v>
      </c>
      <c r="Y10" s="1">
        <v>7.2489999999999997</v>
      </c>
      <c r="Z10" s="775">
        <v>8.154362416107383E-2</v>
      </c>
      <c r="AA10" s="775">
        <v>0.13473154362416109</v>
      </c>
      <c r="AB10" s="775">
        <v>0.21627516778523492</v>
      </c>
    </row>
    <row r="11" spans="1:28">
      <c r="B11" s="51">
        <v>27</v>
      </c>
      <c r="C11" s="1">
        <v>0.48699999999999999</v>
      </c>
      <c r="D11" s="1">
        <v>6.1529999999999996</v>
      </c>
      <c r="E11" s="1">
        <v>1.1759999999999999</v>
      </c>
      <c r="F11" s="1">
        <v>1.1759999999999999</v>
      </c>
      <c r="G11" s="1">
        <v>7.3289999999999997</v>
      </c>
      <c r="H11" s="775">
        <v>8.5951288386869051E-2</v>
      </c>
      <c r="I11" s="775">
        <v>0.20755382986233675</v>
      </c>
      <c r="J11" s="775">
        <v>0.29350511824920578</v>
      </c>
      <c r="K11" s="51">
        <v>27</v>
      </c>
      <c r="L11" s="1">
        <v>0.54600000000000004</v>
      </c>
      <c r="M11" s="1">
        <v>7.1159999999999997</v>
      </c>
      <c r="N11" s="1">
        <v>0.52</v>
      </c>
      <c r="O11" s="1">
        <v>0.30299999999999999</v>
      </c>
      <c r="P11" s="1">
        <v>7.4189999999999996</v>
      </c>
      <c r="Q11" s="775">
        <v>8.3105022831050243E-2</v>
      </c>
      <c r="R11" s="775">
        <v>7.9147640791476417E-2</v>
      </c>
      <c r="S11" s="775">
        <v>0.16225266362252666</v>
      </c>
      <c r="T11" s="51">
        <v>27</v>
      </c>
      <c r="U11" s="1">
        <f t="shared" si="0"/>
        <v>0.51649999999999996</v>
      </c>
      <c r="V11" s="1">
        <f t="shared" si="1"/>
        <v>6.6344999999999992</v>
      </c>
      <c r="W11" s="1">
        <f t="shared" si="2"/>
        <v>0.84799999999999998</v>
      </c>
      <c r="X11" s="1">
        <v>0.84799999999999998</v>
      </c>
      <c r="Y11" s="1">
        <v>7.482499999999999</v>
      </c>
      <c r="Z11" s="775">
        <v>8.4423014056881338E-2</v>
      </c>
      <c r="AA11" s="775">
        <v>0.13860738803530567</v>
      </c>
      <c r="AB11" s="775">
        <v>0.223030402092187</v>
      </c>
    </row>
    <row r="12" spans="1:28">
      <c r="B12" s="51">
        <v>28</v>
      </c>
      <c r="C12" s="1">
        <v>0.51</v>
      </c>
      <c r="D12" s="1">
        <v>6.3339999999999996</v>
      </c>
      <c r="E12" s="1">
        <v>1.2529999999999999</v>
      </c>
      <c r="F12" s="1">
        <v>1.2529999999999999</v>
      </c>
      <c r="G12" s="1">
        <v>7.5869999999999997</v>
      </c>
      <c r="H12" s="775">
        <v>8.7568681318681327E-2</v>
      </c>
      <c r="I12" s="775">
        <v>0.21514423076923075</v>
      </c>
      <c r="J12" s="775">
        <v>0.30271291208791207</v>
      </c>
      <c r="K12" s="51">
        <v>28</v>
      </c>
      <c r="L12" s="1">
        <v>0.57799999999999996</v>
      </c>
      <c r="M12" s="1">
        <v>7.3209999999999997</v>
      </c>
      <c r="N12" s="1">
        <v>0.53200000000000003</v>
      </c>
      <c r="O12" s="1">
        <v>0.32400000000000001</v>
      </c>
      <c r="P12" s="1">
        <v>7.6449999999999996</v>
      </c>
      <c r="Q12" s="775">
        <v>8.5718522912650155E-2</v>
      </c>
      <c r="R12" s="775">
        <v>7.8896633545899458E-2</v>
      </c>
      <c r="S12" s="775">
        <v>0.16461515645854963</v>
      </c>
      <c r="T12" s="51">
        <v>28</v>
      </c>
      <c r="U12" s="1">
        <f t="shared" si="0"/>
        <v>0.54400000000000004</v>
      </c>
      <c r="V12" s="1">
        <f t="shared" si="1"/>
        <v>6.8274999999999997</v>
      </c>
      <c r="W12" s="1">
        <f t="shared" si="2"/>
        <v>0.89249999999999996</v>
      </c>
      <c r="X12" s="1">
        <v>0.89249999999999996</v>
      </c>
      <c r="Y12" s="1">
        <v>7.72</v>
      </c>
      <c r="Z12" s="775">
        <v>8.6575952892496227E-2</v>
      </c>
      <c r="AA12" s="775">
        <v>0.14203867271425161</v>
      </c>
      <c r="AB12" s="775">
        <v>0.22861462560674783</v>
      </c>
    </row>
    <row r="13" spans="1:28">
      <c r="B13" s="51">
        <v>29</v>
      </c>
      <c r="C13" s="1">
        <v>0.53100000000000003</v>
      </c>
      <c r="D13" s="1">
        <v>6.5179999999999998</v>
      </c>
      <c r="E13" s="1">
        <v>1.3280000000000001</v>
      </c>
      <c r="F13" s="1">
        <v>1.3280000000000001</v>
      </c>
      <c r="G13" s="1">
        <v>7.8460000000000001</v>
      </c>
      <c r="H13" s="775">
        <v>8.8692166360447633E-2</v>
      </c>
      <c r="I13" s="775">
        <v>0.22181393018206114</v>
      </c>
      <c r="J13" s="775">
        <v>0.31050609654250877</v>
      </c>
      <c r="K13" s="51">
        <v>29</v>
      </c>
      <c r="L13" s="1">
        <v>0.60799999999999998</v>
      </c>
      <c r="M13" s="1">
        <v>7.5309999999999997</v>
      </c>
      <c r="N13" s="1">
        <v>0.54300000000000004</v>
      </c>
      <c r="O13" s="1">
        <v>0.34399999999999997</v>
      </c>
      <c r="P13" s="1">
        <v>7.875</v>
      </c>
      <c r="Q13" s="775">
        <v>8.782319803553372E-2</v>
      </c>
      <c r="R13" s="775">
        <v>7.8434204824498061E-2</v>
      </c>
      <c r="S13" s="775">
        <v>0.16625740286003177</v>
      </c>
      <c r="T13" s="51">
        <v>29</v>
      </c>
      <c r="U13" s="1">
        <f t="shared" si="0"/>
        <v>0.56950000000000001</v>
      </c>
      <c r="V13" s="1">
        <f t="shared" si="1"/>
        <v>7.0244999999999997</v>
      </c>
      <c r="W13" s="1">
        <f t="shared" si="2"/>
        <v>0.9355</v>
      </c>
      <c r="X13" s="1">
        <v>0.9355</v>
      </c>
      <c r="Y13" s="1">
        <v>7.96</v>
      </c>
      <c r="Z13" s="775">
        <v>8.8226181254841204E-2</v>
      </c>
      <c r="AA13" s="775">
        <v>0.14492641363284275</v>
      </c>
      <c r="AB13" s="775">
        <v>0.23315259488768397</v>
      </c>
    </row>
    <row r="14" spans="1:28">
      <c r="B14" s="51">
        <v>30</v>
      </c>
      <c r="C14" s="1">
        <v>0.55100000000000005</v>
      </c>
      <c r="D14" s="1">
        <v>6.7080000000000002</v>
      </c>
      <c r="E14" s="1">
        <v>1.403</v>
      </c>
      <c r="F14" s="1">
        <v>1.403</v>
      </c>
      <c r="G14" s="1">
        <v>8.1110000000000007</v>
      </c>
      <c r="H14" s="775">
        <v>8.9491635536787406E-2</v>
      </c>
      <c r="I14" s="775">
        <v>0.22787071625791783</v>
      </c>
      <c r="J14" s="775">
        <v>0.31736235179470523</v>
      </c>
      <c r="K14" s="51">
        <v>30</v>
      </c>
      <c r="L14" s="1">
        <v>0.63700000000000001</v>
      </c>
      <c r="M14" s="1">
        <v>7.7450000000000001</v>
      </c>
      <c r="N14" s="1">
        <v>0.55400000000000005</v>
      </c>
      <c r="O14" s="1">
        <v>0.36399999999999999</v>
      </c>
      <c r="P14" s="1">
        <v>8.109</v>
      </c>
      <c r="Q14" s="775">
        <v>8.9617332583005055E-2</v>
      </c>
      <c r="R14" s="775">
        <v>7.794034890264491E-2</v>
      </c>
      <c r="S14" s="775">
        <v>0.16755768148564998</v>
      </c>
      <c r="T14" s="51">
        <v>30</v>
      </c>
      <c r="U14" s="1">
        <f t="shared" si="0"/>
        <v>0.59400000000000008</v>
      </c>
      <c r="V14" s="1">
        <f t="shared" si="1"/>
        <v>7.2264999999999997</v>
      </c>
      <c r="W14" s="1">
        <f t="shared" si="2"/>
        <v>0.97850000000000004</v>
      </c>
      <c r="X14" s="1">
        <v>0.97850000000000004</v>
      </c>
      <c r="Y14" s="1">
        <v>8.2050000000000001</v>
      </c>
      <c r="Z14" s="775">
        <v>8.9558989822842092E-2</v>
      </c>
      <c r="AA14" s="775">
        <v>0.14753109687146629</v>
      </c>
      <c r="AB14" s="775">
        <v>0.23709008669430837</v>
      </c>
    </row>
    <row r="15" spans="1:28">
      <c r="B15" s="51">
        <v>31</v>
      </c>
      <c r="C15" s="1">
        <v>0.56899999999999995</v>
      </c>
      <c r="D15" s="1">
        <v>6.9029999999999996</v>
      </c>
      <c r="E15" s="1">
        <v>1.476</v>
      </c>
      <c r="F15" s="1">
        <v>1.476</v>
      </c>
      <c r="G15" s="1">
        <v>8.3789999999999996</v>
      </c>
      <c r="H15" s="775">
        <v>8.983264919482159E-2</v>
      </c>
      <c r="I15" s="775">
        <v>0.23302810230502052</v>
      </c>
      <c r="J15" s="775">
        <v>0.32286075149984211</v>
      </c>
      <c r="K15" s="51">
        <v>31</v>
      </c>
      <c r="L15" s="1">
        <v>0.66200000000000003</v>
      </c>
      <c r="M15" s="1">
        <v>7.9630000000000001</v>
      </c>
      <c r="N15" s="1">
        <v>0.56399999999999995</v>
      </c>
      <c r="O15" s="1">
        <v>0.38400000000000001</v>
      </c>
      <c r="P15" s="1">
        <v>8.3469999999999995</v>
      </c>
      <c r="Q15" s="775">
        <v>9.0672510614984256E-2</v>
      </c>
      <c r="R15" s="775">
        <v>7.7249691823037925E-2</v>
      </c>
      <c r="S15" s="775">
        <v>0.16792220243802219</v>
      </c>
      <c r="T15" s="51">
        <v>31</v>
      </c>
      <c r="U15" s="1">
        <f t="shared" si="0"/>
        <v>0.61549999999999994</v>
      </c>
      <c r="V15" s="1">
        <f t="shared" si="1"/>
        <v>7.4329999999999998</v>
      </c>
      <c r="W15" s="1">
        <f t="shared" si="2"/>
        <v>1.02</v>
      </c>
      <c r="X15" s="1">
        <v>1.02</v>
      </c>
      <c r="Y15" s="1">
        <v>8.4529999999999994</v>
      </c>
      <c r="Z15" s="775">
        <v>9.028236156949028E-2</v>
      </c>
      <c r="AA15" s="775">
        <v>0.14961496149614961</v>
      </c>
      <c r="AB15" s="775">
        <v>0.23989732306563988</v>
      </c>
    </row>
    <row r="16" spans="1:28">
      <c r="B16" s="51">
        <v>32</v>
      </c>
      <c r="C16" s="1">
        <v>0.58599999999999997</v>
      </c>
      <c r="D16" s="1">
        <v>7.1020000000000003</v>
      </c>
      <c r="E16" s="1">
        <v>1.55</v>
      </c>
      <c r="F16" s="1">
        <v>1.55</v>
      </c>
      <c r="G16" s="1">
        <v>8.652000000000001</v>
      </c>
      <c r="H16" s="775">
        <v>8.9932473910374455E-2</v>
      </c>
      <c r="I16" s="775">
        <v>0.23787599754450584</v>
      </c>
      <c r="J16" s="775">
        <v>0.32780847145488029</v>
      </c>
      <c r="K16" s="51">
        <v>32</v>
      </c>
      <c r="L16" s="1">
        <v>0.68600000000000005</v>
      </c>
      <c r="M16" s="1">
        <v>8.1869999999999994</v>
      </c>
      <c r="N16" s="1">
        <v>0.57399999999999995</v>
      </c>
      <c r="O16" s="1">
        <v>0.40300000000000002</v>
      </c>
      <c r="P16" s="1">
        <v>8.59</v>
      </c>
      <c r="Q16" s="775">
        <v>9.1454472736968412E-2</v>
      </c>
      <c r="R16" s="775">
        <v>7.6523130249300089E-2</v>
      </c>
      <c r="S16" s="775">
        <v>0.16797760298626851</v>
      </c>
      <c r="T16" s="51">
        <v>32</v>
      </c>
      <c r="U16" s="1">
        <f t="shared" si="0"/>
        <v>0.63600000000000001</v>
      </c>
      <c r="V16" s="1">
        <f t="shared" si="1"/>
        <v>7.6444999999999999</v>
      </c>
      <c r="W16" s="1">
        <f t="shared" si="2"/>
        <v>1.0620000000000001</v>
      </c>
      <c r="X16" s="1">
        <v>1.0620000000000001</v>
      </c>
      <c r="Y16" s="1">
        <v>8.7065000000000001</v>
      </c>
      <c r="Z16" s="775">
        <v>9.0746950131982598E-2</v>
      </c>
      <c r="AA16" s="775">
        <v>0.15153028465434831</v>
      </c>
      <c r="AB16" s="775">
        <v>0.2422772347863309</v>
      </c>
    </row>
    <row r="17" spans="2:28">
      <c r="B17" s="51">
        <v>33</v>
      </c>
      <c r="C17" s="1">
        <v>0.60199999999999998</v>
      </c>
      <c r="D17" s="1">
        <v>7.3070000000000004</v>
      </c>
      <c r="E17" s="1">
        <v>1.6240000000000001</v>
      </c>
      <c r="F17" s="1">
        <v>1.6240000000000001</v>
      </c>
      <c r="G17" s="1">
        <v>8.9310000000000009</v>
      </c>
      <c r="H17" s="775">
        <v>8.9783743475018635E-2</v>
      </c>
      <c r="I17" s="775">
        <v>0.24220730797912007</v>
      </c>
      <c r="J17" s="775">
        <v>0.33199105145413871</v>
      </c>
      <c r="K17" s="51">
        <v>33</v>
      </c>
      <c r="L17" s="1">
        <v>0.70699999999999996</v>
      </c>
      <c r="M17" s="1">
        <v>8.4149999999999991</v>
      </c>
      <c r="N17" s="1">
        <v>0.58299999999999996</v>
      </c>
      <c r="O17" s="1">
        <v>0.42099999999999999</v>
      </c>
      <c r="P17" s="1">
        <v>8.8359999999999985</v>
      </c>
      <c r="Q17" s="775">
        <v>9.1722885313959529E-2</v>
      </c>
      <c r="R17" s="775">
        <v>7.5635703165542301E-2</v>
      </c>
      <c r="S17" s="775">
        <v>0.16735858847950183</v>
      </c>
      <c r="T17" s="51">
        <v>33</v>
      </c>
      <c r="U17" s="1">
        <f t="shared" si="0"/>
        <v>0.65449999999999997</v>
      </c>
      <c r="V17" s="1">
        <f t="shared" si="1"/>
        <v>7.8609999999999998</v>
      </c>
      <c r="W17" s="1">
        <f t="shared" si="2"/>
        <v>1.1034999999999999</v>
      </c>
      <c r="X17" s="1">
        <v>1.1034999999999999</v>
      </c>
      <c r="Y17" s="1">
        <v>8.9644999999999992</v>
      </c>
      <c r="Z17" s="775">
        <v>9.0820786789703734E-2</v>
      </c>
      <c r="AA17" s="775">
        <v>0.15312565045445084</v>
      </c>
      <c r="AB17" s="775">
        <v>0.24394643724415457</v>
      </c>
    </row>
    <row r="18" spans="2:28">
      <c r="B18" s="51">
        <v>34</v>
      </c>
      <c r="C18" s="1">
        <v>0.61599999999999999</v>
      </c>
      <c r="D18" s="1">
        <v>7.5170000000000003</v>
      </c>
      <c r="E18" s="1">
        <v>1.6970000000000001</v>
      </c>
      <c r="F18" s="1">
        <v>1.6970000000000001</v>
      </c>
      <c r="G18" s="1">
        <v>9.2140000000000004</v>
      </c>
      <c r="H18" s="775">
        <v>8.9262425735400663E-2</v>
      </c>
      <c r="I18" s="775">
        <v>0.24590639037820605</v>
      </c>
      <c r="J18" s="775">
        <v>0.33516881611360672</v>
      </c>
      <c r="K18" s="51">
        <v>34</v>
      </c>
      <c r="L18" s="1">
        <v>0.72399999999999998</v>
      </c>
      <c r="M18" s="1">
        <v>8.6479999999999997</v>
      </c>
      <c r="N18" s="1">
        <v>0.59199999999999997</v>
      </c>
      <c r="O18" s="1">
        <v>0.439</v>
      </c>
      <c r="P18" s="1">
        <v>9.0869999999999997</v>
      </c>
      <c r="Q18" s="775">
        <v>9.1367995961635542E-2</v>
      </c>
      <c r="R18" s="775">
        <v>7.4709742554265518E-2</v>
      </c>
      <c r="S18" s="775">
        <v>0.16607773851590107</v>
      </c>
      <c r="T18" s="51">
        <v>34</v>
      </c>
      <c r="U18" s="1">
        <f t="shared" si="0"/>
        <v>0.66999999999999993</v>
      </c>
      <c r="V18" s="1">
        <f t="shared" si="1"/>
        <v>8.0824999999999996</v>
      </c>
      <c r="W18" s="1">
        <f t="shared" si="2"/>
        <v>1.1445000000000001</v>
      </c>
      <c r="X18" s="1">
        <v>1.1445000000000001</v>
      </c>
      <c r="Y18" s="1">
        <v>9.2270000000000003</v>
      </c>
      <c r="Z18" s="775">
        <v>9.0387858347386163E-2</v>
      </c>
      <c r="AA18" s="775">
        <v>0.15440134907251266</v>
      </c>
      <c r="AB18" s="775">
        <v>0.24478920741989882</v>
      </c>
    </row>
    <row r="19" spans="2:28">
      <c r="B19" s="51">
        <v>35</v>
      </c>
      <c r="C19" s="1">
        <v>0.628</v>
      </c>
      <c r="D19" s="1">
        <v>7.7329999999999997</v>
      </c>
      <c r="E19" s="1">
        <v>1.7709999999999999</v>
      </c>
      <c r="F19" s="1">
        <v>1.7709999999999999</v>
      </c>
      <c r="G19" s="1">
        <v>9.5039999999999996</v>
      </c>
      <c r="H19" s="775">
        <v>8.8388458831808597E-2</v>
      </c>
      <c r="I19" s="775">
        <v>0.24926108374384237</v>
      </c>
      <c r="J19" s="775">
        <v>0.33764954257565094</v>
      </c>
      <c r="K19" s="51">
        <v>35</v>
      </c>
      <c r="L19" s="1">
        <v>0.73799999999999999</v>
      </c>
      <c r="M19" s="1">
        <v>8.8859999999999992</v>
      </c>
      <c r="N19" s="1">
        <v>0.60099999999999998</v>
      </c>
      <c r="O19" s="1">
        <v>0.45600000000000002</v>
      </c>
      <c r="P19" s="1">
        <v>9.3419999999999987</v>
      </c>
      <c r="Q19" s="775">
        <v>9.0574374079528716E-2</v>
      </c>
      <c r="R19" s="775">
        <v>7.376043200785469E-2</v>
      </c>
      <c r="S19" s="775">
        <v>0.16433480608738341</v>
      </c>
      <c r="T19" s="51">
        <v>35</v>
      </c>
      <c r="U19" s="1">
        <f t="shared" si="0"/>
        <v>0.68300000000000005</v>
      </c>
      <c r="V19" s="1">
        <f t="shared" si="1"/>
        <v>8.3094999999999999</v>
      </c>
      <c r="W19" s="1">
        <f t="shared" si="2"/>
        <v>1.1859999999999999</v>
      </c>
      <c r="X19" s="1">
        <v>1.1859999999999999</v>
      </c>
      <c r="Y19" s="1">
        <v>9.4954999999999998</v>
      </c>
      <c r="Z19" s="775">
        <v>8.9556152887956472E-2</v>
      </c>
      <c r="AA19" s="775">
        <v>0.15551039139841341</v>
      </c>
      <c r="AB19" s="775">
        <v>0.24506654428636987</v>
      </c>
    </row>
    <row r="20" spans="2:28">
      <c r="B20" s="51">
        <v>36</v>
      </c>
      <c r="C20" s="1">
        <v>0.63600000000000001</v>
      </c>
      <c r="D20" s="1">
        <v>7.952</v>
      </c>
      <c r="E20" s="1">
        <v>1.8460000000000001</v>
      </c>
      <c r="F20" s="1">
        <v>1.8460000000000001</v>
      </c>
      <c r="G20" s="1">
        <v>9.798</v>
      </c>
      <c r="H20" s="775">
        <v>8.6932750136686721E-2</v>
      </c>
      <c r="I20" s="775">
        <v>0.25232367413887374</v>
      </c>
      <c r="J20" s="775">
        <v>0.33925642427556046</v>
      </c>
      <c r="K20" s="51">
        <v>36</v>
      </c>
      <c r="L20" s="1">
        <v>0.748</v>
      </c>
      <c r="M20" s="1">
        <v>9.1280000000000001</v>
      </c>
      <c r="N20" s="1">
        <v>0.60899999999999999</v>
      </c>
      <c r="O20" s="1">
        <v>0.47199999999999998</v>
      </c>
      <c r="P20" s="1">
        <v>9.6</v>
      </c>
      <c r="Q20" s="775">
        <v>8.9260143198090683E-2</v>
      </c>
      <c r="R20" s="775">
        <v>7.2673031026252971E-2</v>
      </c>
      <c r="S20" s="775">
        <v>0.16193317422434367</v>
      </c>
      <c r="T20" s="51">
        <v>36</v>
      </c>
      <c r="U20" s="1">
        <f t="shared" si="0"/>
        <v>0.69199999999999995</v>
      </c>
      <c r="V20" s="1">
        <f t="shared" si="1"/>
        <v>8.5399999999999991</v>
      </c>
      <c r="W20" s="1">
        <f t="shared" si="2"/>
        <v>1.2275</v>
      </c>
      <c r="X20" s="1">
        <v>1.2275</v>
      </c>
      <c r="Y20" s="1">
        <v>9.7674999999999983</v>
      </c>
      <c r="Z20" s="775">
        <v>8.8175331294597356E-2</v>
      </c>
      <c r="AA20" s="775">
        <v>0.1564092762487258</v>
      </c>
      <c r="AB20" s="775">
        <v>0.24458460754332317</v>
      </c>
    </row>
    <row r="21" spans="2:28">
      <c r="B21" s="51">
        <v>37</v>
      </c>
      <c r="C21" s="1">
        <v>0.64100000000000001</v>
      </c>
      <c r="D21" s="1">
        <v>8.1750000000000007</v>
      </c>
      <c r="E21" s="1">
        <v>1.92</v>
      </c>
      <c r="F21" s="1">
        <v>1.92</v>
      </c>
      <c r="G21" s="1">
        <v>10.095000000000001</v>
      </c>
      <c r="H21" s="775">
        <v>8.508096628616936E-2</v>
      </c>
      <c r="I21" s="775">
        <v>0.25484470400849479</v>
      </c>
      <c r="J21" s="775">
        <v>0.33992567029466414</v>
      </c>
      <c r="K21" s="51">
        <v>37</v>
      </c>
      <c r="L21" s="1">
        <v>0.752</v>
      </c>
      <c r="M21" s="1">
        <v>9.3740000000000006</v>
      </c>
      <c r="N21" s="1">
        <v>0.61699999999999999</v>
      </c>
      <c r="O21" s="1">
        <v>0.48799999999999999</v>
      </c>
      <c r="P21" s="1">
        <v>9.8620000000000001</v>
      </c>
      <c r="Q21" s="775">
        <v>8.7218742751101835E-2</v>
      </c>
      <c r="R21" s="775">
        <v>7.1561122709348182E-2</v>
      </c>
      <c r="S21" s="775">
        <v>0.15877986546045003</v>
      </c>
      <c r="T21" s="51">
        <v>37</v>
      </c>
      <c r="U21" s="1">
        <f t="shared" si="0"/>
        <v>0.69650000000000001</v>
      </c>
      <c r="V21" s="1">
        <f t="shared" si="1"/>
        <v>8.7744999999999997</v>
      </c>
      <c r="W21" s="1">
        <f t="shared" si="2"/>
        <v>1.2685</v>
      </c>
      <c r="X21" s="1">
        <v>1.2685</v>
      </c>
      <c r="Y21" s="1">
        <v>10.042999999999999</v>
      </c>
      <c r="Z21" s="775">
        <v>8.6221837088388223E-2</v>
      </c>
      <c r="AA21" s="775">
        <v>0.15703144342659076</v>
      </c>
      <c r="AB21" s="775">
        <v>0.24325328051497896</v>
      </c>
    </row>
    <row r="22" spans="2:28">
      <c r="B22" s="51">
        <v>38</v>
      </c>
      <c r="C22" s="1">
        <v>0.63900000000000001</v>
      </c>
      <c r="D22" s="1">
        <v>8.4019999999999992</v>
      </c>
      <c r="E22" s="1">
        <v>1.9930000000000001</v>
      </c>
      <c r="F22" s="1">
        <v>1.9930000000000001</v>
      </c>
      <c r="G22" s="1">
        <v>10.395</v>
      </c>
      <c r="H22" s="775">
        <v>8.2313538580445711E-2</v>
      </c>
      <c r="I22" s="775">
        <v>0.25673064536905837</v>
      </c>
      <c r="J22" s="775">
        <v>0.33904418394950409</v>
      </c>
      <c r="K22" s="51">
        <v>38</v>
      </c>
      <c r="L22" s="1">
        <v>0.75</v>
      </c>
      <c r="M22" s="1">
        <v>9.6229999999999993</v>
      </c>
      <c r="N22" s="1">
        <v>0.624</v>
      </c>
      <c r="O22" s="1">
        <v>0.503</v>
      </c>
      <c r="P22" s="1">
        <v>10.125999999999999</v>
      </c>
      <c r="Q22" s="775">
        <v>8.4526090386566E-2</v>
      </c>
      <c r="R22" s="775">
        <v>7.03257072016229E-2</v>
      </c>
      <c r="S22" s="775">
        <v>0.1548517975881889</v>
      </c>
      <c r="T22" s="51">
        <v>38</v>
      </c>
      <c r="U22" s="1">
        <f t="shared" si="0"/>
        <v>0.69450000000000001</v>
      </c>
      <c r="V22" s="1">
        <f t="shared" si="1"/>
        <v>9.0124999999999993</v>
      </c>
      <c r="W22" s="1">
        <f t="shared" si="2"/>
        <v>1.3085</v>
      </c>
      <c r="X22" s="1">
        <v>1.3085</v>
      </c>
      <c r="Y22" s="1">
        <v>10.321</v>
      </c>
      <c r="Z22" s="775">
        <v>8.3493628276027895E-2</v>
      </c>
      <c r="AA22" s="775">
        <v>0.15730944938687186</v>
      </c>
      <c r="AB22" s="775">
        <v>0.24080307766289977</v>
      </c>
    </row>
    <row r="23" spans="2:28">
      <c r="B23" s="51">
        <v>39</v>
      </c>
      <c r="C23" s="1">
        <v>0.63300000000000001</v>
      </c>
      <c r="D23" s="1">
        <v>8.6329999999999991</v>
      </c>
      <c r="E23" s="1">
        <v>2.0670000000000002</v>
      </c>
      <c r="F23" s="1">
        <v>2.0670000000000002</v>
      </c>
      <c r="G23" s="1">
        <v>10.7</v>
      </c>
      <c r="H23" s="775">
        <v>7.9125000000000015E-2</v>
      </c>
      <c r="I23" s="775">
        <v>0.25837500000000008</v>
      </c>
      <c r="J23" s="775">
        <v>0.33750000000000008</v>
      </c>
      <c r="K23" s="51">
        <v>39</v>
      </c>
      <c r="L23" s="1">
        <v>0.74199999999999999</v>
      </c>
      <c r="M23" s="1">
        <v>9.8759999999999994</v>
      </c>
      <c r="N23" s="1">
        <v>0.63</v>
      </c>
      <c r="O23" s="1">
        <v>0.51700000000000002</v>
      </c>
      <c r="P23" s="1">
        <v>10.392999999999999</v>
      </c>
      <c r="Q23" s="775">
        <v>8.1234946354280704E-2</v>
      </c>
      <c r="R23" s="775">
        <v>6.8973067659294937E-2</v>
      </c>
      <c r="S23" s="775">
        <v>0.15020801401357564</v>
      </c>
      <c r="T23" s="51">
        <v>39</v>
      </c>
      <c r="U23" s="1">
        <f t="shared" si="0"/>
        <v>0.6875</v>
      </c>
      <c r="V23" s="1">
        <f t="shared" si="1"/>
        <v>9.2545000000000002</v>
      </c>
      <c r="W23" s="1">
        <f t="shared" si="2"/>
        <v>1.3485</v>
      </c>
      <c r="X23" s="1">
        <v>1.3485</v>
      </c>
      <c r="Y23" s="1">
        <v>10.603</v>
      </c>
      <c r="Z23" s="775">
        <v>8.0249795727792686E-2</v>
      </c>
      <c r="AA23" s="775">
        <v>0.15740632660207773</v>
      </c>
      <c r="AB23" s="775">
        <v>0.23765612232987043</v>
      </c>
    </row>
    <row r="24" spans="2:28">
      <c r="B24" s="51">
        <v>40</v>
      </c>
      <c r="C24" s="1">
        <v>0.623</v>
      </c>
      <c r="D24" s="1">
        <v>8.8689999999999998</v>
      </c>
      <c r="E24" s="1">
        <v>2.1419999999999999</v>
      </c>
      <c r="F24" s="1">
        <v>2.1419999999999999</v>
      </c>
      <c r="G24" s="1">
        <v>11.010999999999999</v>
      </c>
      <c r="H24" s="775">
        <v>7.5551782682512725E-2</v>
      </c>
      <c r="I24" s="775">
        <v>0.25976230899830216</v>
      </c>
      <c r="J24" s="775">
        <v>0.33531409168081489</v>
      </c>
      <c r="K24" s="51">
        <v>40</v>
      </c>
      <c r="L24" s="1">
        <v>0.73</v>
      </c>
      <c r="M24" s="1">
        <v>10.135</v>
      </c>
      <c r="N24" s="1">
        <v>0.63600000000000001</v>
      </c>
      <c r="O24" s="1">
        <v>0.53100000000000003</v>
      </c>
      <c r="P24" s="1">
        <v>10.666</v>
      </c>
      <c r="Q24" s="775">
        <v>7.7618288144603934E-2</v>
      </c>
      <c r="R24" s="775">
        <v>6.7623604465709738E-2</v>
      </c>
      <c r="S24" s="775">
        <v>0.14524189261031367</v>
      </c>
      <c r="T24" s="51">
        <v>40</v>
      </c>
      <c r="U24" s="1">
        <f t="shared" si="0"/>
        <v>0.67649999999999999</v>
      </c>
      <c r="V24" s="1">
        <f t="shared" si="1"/>
        <v>9.5019999999999989</v>
      </c>
      <c r="W24" s="1">
        <f t="shared" si="2"/>
        <v>1.389</v>
      </c>
      <c r="X24" s="1">
        <v>1.389</v>
      </c>
      <c r="Y24" s="1">
        <v>10.890999999999998</v>
      </c>
      <c r="Z24" s="775">
        <v>7.6652880856608707E-2</v>
      </c>
      <c r="AA24" s="775">
        <v>0.15738485071667332</v>
      </c>
      <c r="AB24" s="775">
        <v>0.23403773157328203</v>
      </c>
    </row>
    <row r="25" spans="2:28">
      <c r="B25" s="51">
        <v>41</v>
      </c>
      <c r="C25" s="1">
        <v>0.61099999999999999</v>
      </c>
      <c r="D25" s="1">
        <v>9.1120000000000001</v>
      </c>
      <c r="E25" s="1">
        <v>2.2170000000000001</v>
      </c>
      <c r="F25" s="1">
        <v>2.2170000000000001</v>
      </c>
      <c r="G25" s="1">
        <v>11.329000000000001</v>
      </c>
      <c r="H25" s="775">
        <v>7.1873897188566058E-2</v>
      </c>
      <c r="I25" s="775">
        <v>0.26079284790024704</v>
      </c>
      <c r="J25" s="775">
        <v>0.33266674508881311</v>
      </c>
      <c r="K25" s="51">
        <v>41</v>
      </c>
      <c r="L25" s="1">
        <v>0.71299999999999997</v>
      </c>
      <c r="M25" s="1">
        <v>10.398999999999999</v>
      </c>
      <c r="N25" s="1">
        <v>0.64200000000000002</v>
      </c>
      <c r="O25" s="1">
        <v>0.54400000000000004</v>
      </c>
      <c r="P25" s="1">
        <v>10.943</v>
      </c>
      <c r="Q25" s="775">
        <v>7.3611397893867433E-2</v>
      </c>
      <c r="R25" s="775">
        <v>6.6281230642163944E-2</v>
      </c>
      <c r="S25" s="775">
        <v>0.13989262853603138</v>
      </c>
      <c r="T25" s="51">
        <v>41</v>
      </c>
      <c r="U25" s="1">
        <f t="shared" si="0"/>
        <v>0.66199999999999992</v>
      </c>
      <c r="V25" s="1">
        <f t="shared" si="1"/>
        <v>9.7554999999999996</v>
      </c>
      <c r="W25" s="1">
        <f t="shared" si="2"/>
        <v>1.4295</v>
      </c>
      <c r="X25" s="1">
        <v>1.4295</v>
      </c>
      <c r="Y25" s="1">
        <v>11.184999999999999</v>
      </c>
      <c r="Z25" s="775">
        <v>7.2799252213119267E-2</v>
      </c>
      <c r="AA25" s="775">
        <v>0.15720019794358608</v>
      </c>
      <c r="AB25" s="775">
        <v>0.22999945015670537</v>
      </c>
    </row>
    <row r="26" spans="2:28">
      <c r="B26" s="51">
        <v>42</v>
      </c>
      <c r="C26" s="1">
        <v>0.59799999999999998</v>
      </c>
      <c r="D26" s="1">
        <v>9.3640000000000008</v>
      </c>
      <c r="E26" s="1">
        <v>2.294</v>
      </c>
      <c r="F26" s="1">
        <v>2.294</v>
      </c>
      <c r="G26" s="1">
        <v>11.658000000000001</v>
      </c>
      <c r="H26" s="775">
        <v>6.8218115446041519E-2</v>
      </c>
      <c r="I26" s="775">
        <v>0.26169290440337667</v>
      </c>
      <c r="J26" s="775">
        <v>0.32991101984941817</v>
      </c>
      <c r="K26" s="51">
        <v>42</v>
      </c>
      <c r="L26" s="1">
        <v>0.69399999999999995</v>
      </c>
      <c r="M26" s="1">
        <v>10.672000000000001</v>
      </c>
      <c r="N26" s="1">
        <v>0.64800000000000002</v>
      </c>
      <c r="O26" s="1">
        <v>0.55700000000000005</v>
      </c>
      <c r="P26" s="1">
        <v>11.229000000000001</v>
      </c>
      <c r="Q26" s="775">
        <v>6.9553016636600504E-2</v>
      </c>
      <c r="R26" s="775">
        <v>6.4942874323511715E-2</v>
      </c>
      <c r="S26" s="775">
        <v>0.13449589096011222</v>
      </c>
      <c r="T26" s="51">
        <v>42</v>
      </c>
      <c r="U26" s="1">
        <f t="shared" si="0"/>
        <v>0.64599999999999991</v>
      </c>
      <c r="V26" s="1">
        <f t="shared" si="1"/>
        <v>10.018000000000001</v>
      </c>
      <c r="W26" s="1">
        <f t="shared" si="2"/>
        <v>1.4710000000000001</v>
      </c>
      <c r="X26" s="1">
        <v>1.4710000000000001</v>
      </c>
      <c r="Y26" s="1">
        <v>11.489000000000001</v>
      </c>
      <c r="Z26" s="775">
        <v>6.8928723858301316E-2</v>
      </c>
      <c r="AA26" s="775">
        <v>0.15695689287238584</v>
      </c>
      <c r="AB26" s="775">
        <v>0.22588561673068716</v>
      </c>
    </row>
    <row r="27" spans="2:28">
      <c r="B27" s="51">
        <v>43</v>
      </c>
      <c r="C27" s="1">
        <v>0.58499999999999996</v>
      </c>
      <c r="D27" s="1">
        <v>9.625</v>
      </c>
      <c r="E27" s="1">
        <v>2.3719999999999999</v>
      </c>
      <c r="F27" s="1">
        <v>2.3719999999999999</v>
      </c>
      <c r="G27" s="1">
        <v>11.997</v>
      </c>
      <c r="H27" s="775">
        <v>6.4712389380530977E-2</v>
      </c>
      <c r="I27" s="775">
        <v>0.26238938053097344</v>
      </c>
      <c r="J27" s="775">
        <v>0.32710176991150441</v>
      </c>
      <c r="K27" s="51">
        <v>43</v>
      </c>
      <c r="L27" s="1">
        <v>0.67300000000000004</v>
      </c>
      <c r="M27" s="1">
        <v>10.952</v>
      </c>
      <c r="N27" s="1">
        <v>0.65300000000000002</v>
      </c>
      <c r="O27" s="1">
        <v>0.56899999999999995</v>
      </c>
      <c r="P27" s="1">
        <v>11.521000000000001</v>
      </c>
      <c r="Q27" s="775">
        <v>6.5473295067613582E-2</v>
      </c>
      <c r="R27" s="775">
        <v>6.352758050394007E-2</v>
      </c>
      <c r="S27" s="775">
        <v>0.12900087557155365</v>
      </c>
      <c r="T27" s="51">
        <v>43</v>
      </c>
      <c r="U27" s="1">
        <f t="shared" si="0"/>
        <v>0.629</v>
      </c>
      <c r="V27" s="1">
        <f t="shared" si="1"/>
        <v>10.288499999999999</v>
      </c>
      <c r="W27" s="1">
        <f t="shared" si="2"/>
        <v>1.5125</v>
      </c>
      <c r="X27" s="1">
        <v>1.5125</v>
      </c>
      <c r="Y27" s="1">
        <v>11.800999999999998</v>
      </c>
      <c r="Z27" s="775">
        <v>6.5117242093276059E-2</v>
      </c>
      <c r="AA27" s="775">
        <v>0.15658160360267095</v>
      </c>
      <c r="AB27" s="775">
        <v>0.221698845695947</v>
      </c>
    </row>
    <row r="28" spans="2:28">
      <c r="B28" s="51">
        <v>44</v>
      </c>
      <c r="C28" s="1">
        <v>0.57099999999999995</v>
      </c>
      <c r="D28" s="1">
        <v>9.8949999999999996</v>
      </c>
      <c r="E28" s="1">
        <v>2.4510000000000001</v>
      </c>
      <c r="F28" s="1">
        <v>2.4510000000000001</v>
      </c>
      <c r="G28" s="1">
        <v>12.346</v>
      </c>
      <c r="H28" s="775">
        <v>6.1239811239811238E-2</v>
      </c>
      <c r="I28" s="775">
        <v>0.26287001287001288</v>
      </c>
      <c r="J28" s="775">
        <v>0.32410982410982414</v>
      </c>
      <c r="K28" s="51">
        <v>44</v>
      </c>
      <c r="L28" s="1">
        <v>0.65</v>
      </c>
      <c r="M28" s="1">
        <v>11.242000000000001</v>
      </c>
      <c r="N28" s="1">
        <v>0.65900000000000003</v>
      </c>
      <c r="O28" s="1">
        <v>0.58199999999999996</v>
      </c>
      <c r="P28" s="1">
        <v>11.824000000000002</v>
      </c>
      <c r="Q28" s="775">
        <v>6.1367069486404836E-2</v>
      </c>
      <c r="R28" s="775">
        <v>6.2216767371601207E-2</v>
      </c>
      <c r="S28" s="775">
        <v>0.12358383685800604</v>
      </c>
      <c r="T28" s="51">
        <v>44</v>
      </c>
      <c r="U28" s="1">
        <f t="shared" si="0"/>
        <v>0.61050000000000004</v>
      </c>
      <c r="V28" s="1">
        <f t="shared" si="1"/>
        <v>10.5685</v>
      </c>
      <c r="W28" s="1">
        <f t="shared" si="2"/>
        <v>1.5550000000000002</v>
      </c>
      <c r="X28" s="1">
        <v>1.5550000000000002</v>
      </c>
      <c r="Y28" s="1">
        <v>12.1235</v>
      </c>
      <c r="Z28" s="775">
        <v>6.1307491464149433E-2</v>
      </c>
      <c r="AA28" s="775">
        <v>0.15615585458927497</v>
      </c>
      <c r="AB28" s="775">
        <v>0.21746334605342441</v>
      </c>
    </row>
    <row r="29" spans="2:28">
      <c r="B29" s="51">
        <v>45</v>
      </c>
      <c r="C29" s="1">
        <v>0.55600000000000005</v>
      </c>
      <c r="D29" s="1">
        <v>10.175000000000001</v>
      </c>
      <c r="E29" s="1">
        <v>2.5299999999999998</v>
      </c>
      <c r="F29" s="1">
        <v>2.5299999999999998</v>
      </c>
      <c r="G29" s="1">
        <v>12.705</v>
      </c>
      <c r="H29" s="775">
        <v>5.7802266347853216E-2</v>
      </c>
      <c r="I29" s="775">
        <v>0.26302110406487161</v>
      </c>
      <c r="J29" s="775">
        <v>0.32082337041272485</v>
      </c>
      <c r="K29" s="51">
        <v>45</v>
      </c>
      <c r="L29" s="1">
        <v>0.625</v>
      </c>
      <c r="M29" s="1">
        <v>11.542</v>
      </c>
      <c r="N29" s="1">
        <v>0.66500000000000004</v>
      </c>
      <c r="O29" s="1">
        <v>0.59399999999999997</v>
      </c>
      <c r="P29" s="1">
        <v>12.135999999999999</v>
      </c>
      <c r="Q29" s="775">
        <v>5.7250160300448841E-2</v>
      </c>
      <c r="R29" s="775">
        <v>6.0914170559677572E-2</v>
      </c>
      <c r="S29" s="775">
        <v>0.11816433086012641</v>
      </c>
      <c r="T29" s="51">
        <v>45</v>
      </c>
      <c r="U29" s="1">
        <f t="shared" si="0"/>
        <v>0.59050000000000002</v>
      </c>
      <c r="V29" s="1">
        <f t="shared" si="1"/>
        <v>10.858499999999999</v>
      </c>
      <c r="W29" s="1">
        <f t="shared" si="2"/>
        <v>1.5974999999999999</v>
      </c>
      <c r="X29" s="1">
        <v>1.5974999999999999</v>
      </c>
      <c r="Y29" s="1">
        <v>12.456</v>
      </c>
      <c r="Z29" s="775">
        <v>5.7508765095442158E-2</v>
      </c>
      <c r="AA29" s="775">
        <v>0.15558044409816907</v>
      </c>
      <c r="AB29" s="775">
        <v>0.21308920919361124</v>
      </c>
    </row>
    <row r="30" spans="2:28">
      <c r="B30" s="51">
        <v>46</v>
      </c>
      <c r="C30" s="1">
        <v>0.54</v>
      </c>
      <c r="D30" s="1">
        <v>10.465</v>
      </c>
      <c r="E30" s="1">
        <v>2.6080000000000001</v>
      </c>
      <c r="F30" s="1">
        <v>2.6080000000000001</v>
      </c>
      <c r="G30" s="1">
        <v>13.073</v>
      </c>
      <c r="H30" s="775">
        <v>5.4408060453400506E-2</v>
      </c>
      <c r="I30" s="775">
        <v>0.26277078085642319</v>
      </c>
      <c r="J30" s="775">
        <v>0.31717884130982371</v>
      </c>
      <c r="K30" s="51">
        <v>46</v>
      </c>
      <c r="L30" s="1">
        <v>0.59899999999999998</v>
      </c>
      <c r="M30" s="1">
        <v>11.851000000000001</v>
      </c>
      <c r="N30" s="1">
        <v>0.67</v>
      </c>
      <c r="O30" s="1">
        <v>0.60599999999999998</v>
      </c>
      <c r="P30" s="1">
        <v>12.457000000000001</v>
      </c>
      <c r="Q30" s="775">
        <v>5.3234980447920362E-2</v>
      </c>
      <c r="R30" s="775">
        <v>5.9544969783149659E-2</v>
      </c>
      <c r="S30" s="775">
        <v>0.11277995023107001</v>
      </c>
      <c r="T30" s="51">
        <v>46</v>
      </c>
      <c r="U30" s="1">
        <f t="shared" si="0"/>
        <v>0.56950000000000001</v>
      </c>
      <c r="V30" s="1">
        <f t="shared" si="1"/>
        <v>11.158000000000001</v>
      </c>
      <c r="W30" s="1">
        <f t="shared" si="2"/>
        <v>1.639</v>
      </c>
      <c r="X30" s="1">
        <v>1.639</v>
      </c>
      <c r="Y30" s="1">
        <v>12.797000000000001</v>
      </c>
      <c r="Z30" s="775">
        <v>5.3784766491948806E-2</v>
      </c>
      <c r="AA30" s="775">
        <v>0.15479057468007743</v>
      </c>
      <c r="AB30" s="775">
        <v>0.20857534117202622</v>
      </c>
    </row>
    <row r="31" spans="2:28">
      <c r="B31" s="51">
        <v>47</v>
      </c>
      <c r="C31" s="1">
        <v>0.52100000000000002</v>
      </c>
      <c r="D31" s="1">
        <v>10.765000000000001</v>
      </c>
      <c r="E31" s="1">
        <v>2.6869999999999998</v>
      </c>
      <c r="F31" s="1">
        <v>2.6869999999999998</v>
      </c>
      <c r="G31" s="1">
        <v>13.452</v>
      </c>
      <c r="H31" s="775">
        <v>5.0859039437719647E-2</v>
      </c>
      <c r="I31" s="775">
        <v>0.2622998828582585</v>
      </c>
      <c r="J31" s="775">
        <v>0.31315892229597814</v>
      </c>
      <c r="K31" s="51">
        <v>47</v>
      </c>
      <c r="L31" s="1">
        <v>0.57099999999999995</v>
      </c>
      <c r="M31" s="1">
        <v>12.17</v>
      </c>
      <c r="N31" s="1">
        <v>0.67500000000000004</v>
      </c>
      <c r="O31" s="1">
        <v>0.61799999999999999</v>
      </c>
      <c r="P31" s="1">
        <v>12.788</v>
      </c>
      <c r="Q31" s="775">
        <v>4.9228381757048016E-2</v>
      </c>
      <c r="R31" s="775">
        <v>5.819467195447884E-2</v>
      </c>
      <c r="S31" s="775">
        <v>0.10742305371152686</v>
      </c>
      <c r="T31" s="51">
        <v>47</v>
      </c>
      <c r="U31" s="1">
        <f t="shared" si="0"/>
        <v>0.54600000000000004</v>
      </c>
      <c r="V31" s="1">
        <f t="shared" si="1"/>
        <v>11.467500000000001</v>
      </c>
      <c r="W31" s="1">
        <f t="shared" si="2"/>
        <v>1.681</v>
      </c>
      <c r="X31" s="1">
        <v>1.681</v>
      </c>
      <c r="Y31" s="1">
        <v>13.148500000000002</v>
      </c>
      <c r="Z31" s="775">
        <v>4.9993132811426998E-2</v>
      </c>
      <c r="AA31" s="775">
        <v>0.15391658654946663</v>
      </c>
      <c r="AB31" s="775">
        <v>0.20390971936089364</v>
      </c>
    </row>
    <row r="32" spans="2:28">
      <c r="B32" s="51">
        <v>48</v>
      </c>
      <c r="C32" s="1">
        <v>0.5</v>
      </c>
      <c r="D32" s="1">
        <v>11.074</v>
      </c>
      <c r="E32" s="1">
        <v>2.7639999999999998</v>
      </c>
      <c r="F32" s="1">
        <v>2.7639999999999998</v>
      </c>
      <c r="G32" s="1">
        <v>13.837999999999999</v>
      </c>
      <c r="H32" s="775">
        <v>4.728579534707774E-2</v>
      </c>
      <c r="I32" s="775">
        <v>0.26139587667864572</v>
      </c>
      <c r="J32" s="775">
        <v>0.30868167202572344</v>
      </c>
      <c r="K32" s="51">
        <v>48</v>
      </c>
      <c r="L32" s="1">
        <v>0.54</v>
      </c>
      <c r="M32" s="1">
        <v>12.499000000000001</v>
      </c>
      <c r="N32" s="1">
        <v>0.68</v>
      </c>
      <c r="O32" s="1">
        <v>0.629</v>
      </c>
      <c r="P32" s="1">
        <v>13.128</v>
      </c>
      <c r="Q32" s="775">
        <v>4.5154277113471031E-2</v>
      </c>
      <c r="R32" s="775">
        <v>5.6860941550296855E-2</v>
      </c>
      <c r="S32" s="775">
        <v>0.10201521866376789</v>
      </c>
      <c r="T32" s="51">
        <v>48</v>
      </c>
      <c r="U32" s="1">
        <f t="shared" si="0"/>
        <v>0.52</v>
      </c>
      <c r="V32" s="1">
        <f t="shared" si="1"/>
        <v>11.7865</v>
      </c>
      <c r="W32" s="1">
        <f t="shared" si="2"/>
        <v>1.722</v>
      </c>
      <c r="X32" s="1">
        <v>1.722</v>
      </c>
      <c r="Y32" s="1">
        <v>13.5085</v>
      </c>
      <c r="Z32" s="775">
        <v>4.6154528913149605E-2</v>
      </c>
      <c r="AA32" s="775">
        <v>0.15284249767008387</v>
      </c>
      <c r="AB32" s="775">
        <v>0.19899702658323348</v>
      </c>
    </row>
    <row r="33" spans="2:28">
      <c r="B33" s="51">
        <v>49</v>
      </c>
      <c r="C33" s="1">
        <v>0.47499999999999998</v>
      </c>
      <c r="D33" s="1">
        <v>11.394</v>
      </c>
      <c r="E33" s="1">
        <v>2.84</v>
      </c>
      <c r="F33" s="1">
        <v>2.84</v>
      </c>
      <c r="G33" s="1">
        <v>14.234</v>
      </c>
      <c r="H33" s="775">
        <v>4.3502152211740995E-2</v>
      </c>
      <c r="I33" s="775">
        <v>0.26009707848704089</v>
      </c>
      <c r="J33" s="775">
        <v>0.30359923069878186</v>
      </c>
      <c r="K33" s="51">
        <v>49</v>
      </c>
      <c r="L33" s="1">
        <v>0.50700000000000001</v>
      </c>
      <c r="M33" s="1">
        <v>12.839</v>
      </c>
      <c r="N33" s="1">
        <v>0.68400000000000005</v>
      </c>
      <c r="O33" s="1">
        <v>0.63900000000000001</v>
      </c>
      <c r="P33" s="1">
        <v>13.478</v>
      </c>
      <c r="Q33" s="775">
        <v>4.1112552708400904E-2</v>
      </c>
      <c r="R33" s="775">
        <v>5.5465455724943241E-2</v>
      </c>
      <c r="S33" s="775">
        <v>9.6578008433344145E-2</v>
      </c>
      <c r="T33" s="51">
        <v>49</v>
      </c>
      <c r="U33" s="1">
        <f t="shared" si="0"/>
        <v>0.49099999999999999</v>
      </c>
      <c r="V33" s="1">
        <f t="shared" si="1"/>
        <v>12.1165</v>
      </c>
      <c r="W33" s="1">
        <f t="shared" si="2"/>
        <v>1.762</v>
      </c>
      <c r="X33" s="1">
        <v>1.762</v>
      </c>
      <c r="Y33" s="1">
        <v>13.878500000000001</v>
      </c>
      <c r="Z33" s="775">
        <v>4.223474259171648E-2</v>
      </c>
      <c r="AA33" s="775">
        <v>0.15156337361833899</v>
      </c>
      <c r="AB33" s="775">
        <v>0.19379811621005547</v>
      </c>
    </row>
    <row r="34" spans="2:28">
      <c r="B34" s="51">
        <v>50</v>
      </c>
      <c r="C34" s="1">
        <v>0.44500000000000001</v>
      </c>
      <c r="D34" s="1">
        <v>11.725</v>
      </c>
      <c r="E34" s="1">
        <v>2.9140000000000001</v>
      </c>
      <c r="F34" s="1">
        <v>2.9140000000000001</v>
      </c>
      <c r="G34" s="1">
        <v>14.638999999999999</v>
      </c>
      <c r="H34" s="775">
        <v>3.9450354609929079E-2</v>
      </c>
      <c r="I34" s="775">
        <v>0.25833333333333336</v>
      </c>
      <c r="J34" s="775">
        <v>0.29778368794326243</v>
      </c>
      <c r="K34" s="51">
        <v>50</v>
      </c>
      <c r="L34" s="1">
        <v>0.47</v>
      </c>
      <c r="M34" s="1">
        <v>13.189</v>
      </c>
      <c r="N34" s="1">
        <v>0.68799999999999994</v>
      </c>
      <c r="O34" s="1">
        <v>0.64900000000000002</v>
      </c>
      <c r="P34" s="1">
        <v>13.838000000000001</v>
      </c>
      <c r="Q34" s="775">
        <v>3.6952590612469534E-2</v>
      </c>
      <c r="R34" s="775">
        <v>5.4092302853997951E-2</v>
      </c>
      <c r="S34" s="775">
        <v>9.1044893466467491E-2</v>
      </c>
      <c r="T34" s="51">
        <v>50</v>
      </c>
      <c r="U34" s="1">
        <f t="shared" si="0"/>
        <v>0.45750000000000002</v>
      </c>
      <c r="V34" s="1">
        <f t="shared" si="1"/>
        <v>12.457000000000001</v>
      </c>
      <c r="W34" s="1">
        <f t="shared" si="2"/>
        <v>1.8010000000000002</v>
      </c>
      <c r="X34" s="1">
        <v>1.8010000000000002</v>
      </c>
      <c r="Y34" s="1">
        <v>14.258000000000001</v>
      </c>
      <c r="Z34" s="775">
        <v>3.8126588607858655E-2</v>
      </c>
      <c r="AA34" s="775">
        <v>0.15008958706612777</v>
      </c>
      <c r="AB34" s="775">
        <v>0.18821617567398641</v>
      </c>
    </row>
    <row r="35" spans="2:28">
      <c r="B35" s="51">
        <v>51</v>
      </c>
      <c r="C35" s="1">
        <v>0.41199999999999998</v>
      </c>
      <c r="D35" s="1">
        <v>12.067</v>
      </c>
      <c r="E35" s="1">
        <v>2.9860000000000002</v>
      </c>
      <c r="F35" s="1">
        <v>2.9860000000000002</v>
      </c>
      <c r="G35" s="1">
        <v>15.053000000000001</v>
      </c>
      <c r="H35" s="775">
        <v>3.5349635349635353E-2</v>
      </c>
      <c r="I35" s="775">
        <v>0.25619905619905625</v>
      </c>
      <c r="J35" s="775">
        <v>0.29154869154869162</v>
      </c>
      <c r="K35" s="51">
        <v>51</v>
      </c>
      <c r="L35" s="1">
        <v>0.43</v>
      </c>
      <c r="M35" s="1">
        <v>13.548999999999999</v>
      </c>
      <c r="N35" s="1">
        <v>0.69099999999999995</v>
      </c>
      <c r="O35" s="1">
        <v>0.65700000000000003</v>
      </c>
      <c r="P35" s="1">
        <v>14.206</v>
      </c>
      <c r="Q35" s="775">
        <v>3.2776888482353841E-2</v>
      </c>
      <c r="R35" s="775">
        <v>5.2671697537922092E-2</v>
      </c>
      <c r="S35" s="775">
        <v>8.5448586020275941E-2</v>
      </c>
      <c r="T35" s="51">
        <v>51</v>
      </c>
      <c r="U35" s="1">
        <f t="shared" si="0"/>
        <v>0.42099999999999999</v>
      </c>
      <c r="V35" s="1">
        <f t="shared" si="1"/>
        <v>12.808</v>
      </c>
      <c r="W35" s="1">
        <f t="shared" si="2"/>
        <v>1.8385</v>
      </c>
      <c r="X35" s="1">
        <v>1.8385</v>
      </c>
      <c r="Y35" s="1">
        <v>14.6465</v>
      </c>
      <c r="Z35" s="775">
        <v>3.3987244692015819E-2</v>
      </c>
      <c r="AA35" s="775">
        <v>0.14842173246145152</v>
      </c>
      <c r="AB35" s="775">
        <v>0.18240897715346732</v>
      </c>
    </row>
    <row r="36" spans="2:28">
      <c r="B36" s="51">
        <v>52</v>
      </c>
      <c r="C36" s="1">
        <v>0.375</v>
      </c>
      <c r="D36" s="1">
        <v>12.422000000000001</v>
      </c>
      <c r="E36" s="1">
        <v>3.0569999999999999</v>
      </c>
      <c r="F36" s="1">
        <v>3.0569999999999999</v>
      </c>
      <c r="G36" s="1">
        <v>15.479000000000001</v>
      </c>
      <c r="H36" s="775">
        <v>3.1128081680086326E-2</v>
      </c>
      <c r="I36" s="775">
        <v>0.25375612185606372</v>
      </c>
      <c r="J36" s="775">
        <v>0.28488420353615007</v>
      </c>
      <c r="K36" s="51">
        <v>52</v>
      </c>
      <c r="L36" s="1">
        <v>0.38700000000000001</v>
      </c>
      <c r="M36" s="1">
        <v>13.920999999999999</v>
      </c>
      <c r="N36" s="1">
        <v>0.69399999999999995</v>
      </c>
      <c r="O36" s="1">
        <v>0.66500000000000004</v>
      </c>
      <c r="P36" s="1">
        <v>14.585999999999999</v>
      </c>
      <c r="Q36" s="775">
        <v>2.8594650509827107E-2</v>
      </c>
      <c r="R36" s="775">
        <v>5.1278262154573664E-2</v>
      </c>
      <c r="S36" s="775">
        <v>7.9872912664400775E-2</v>
      </c>
      <c r="T36" s="51">
        <v>52</v>
      </c>
      <c r="U36" s="1">
        <f t="shared" si="0"/>
        <v>0.38100000000000001</v>
      </c>
      <c r="V36" s="1">
        <f t="shared" si="1"/>
        <v>13.1715</v>
      </c>
      <c r="W36" s="1">
        <f t="shared" si="2"/>
        <v>1.8754999999999999</v>
      </c>
      <c r="X36" s="1">
        <v>1.8754999999999999</v>
      </c>
      <c r="Y36" s="1">
        <v>15.047000000000001</v>
      </c>
      <c r="Z36" s="775">
        <v>2.9787733083147649E-2</v>
      </c>
      <c r="AA36" s="775">
        <v>0.14663226613502209</v>
      </c>
      <c r="AB36" s="775">
        <v>0.17641999921816973</v>
      </c>
    </row>
    <row r="37" spans="2:28">
      <c r="B37" s="51">
        <v>53</v>
      </c>
      <c r="C37" s="1">
        <v>0.33400000000000002</v>
      </c>
      <c r="D37" s="1">
        <v>12.79</v>
      </c>
      <c r="E37" s="1">
        <v>3.125</v>
      </c>
      <c r="F37" s="1">
        <v>3.125</v>
      </c>
      <c r="G37" s="1">
        <v>15.914999999999999</v>
      </c>
      <c r="H37" s="775">
        <v>2.681438664097624E-2</v>
      </c>
      <c r="I37" s="775">
        <v>0.25088310854206808</v>
      </c>
      <c r="J37" s="775">
        <v>0.27769749518304432</v>
      </c>
      <c r="K37" s="51">
        <v>53</v>
      </c>
      <c r="L37" s="1">
        <v>0.34100000000000003</v>
      </c>
      <c r="M37" s="1">
        <v>14.305</v>
      </c>
      <c r="N37" s="1">
        <v>0.69499999999999995</v>
      </c>
      <c r="O37" s="1">
        <v>0.67100000000000004</v>
      </c>
      <c r="P37" s="1">
        <v>14.975999999999999</v>
      </c>
      <c r="Q37" s="775">
        <v>2.4419936980807792E-2</v>
      </c>
      <c r="R37" s="775">
        <v>4.9770839301059862E-2</v>
      </c>
      <c r="S37" s="775">
        <v>7.4190776281867654E-2</v>
      </c>
      <c r="T37" s="51">
        <v>53</v>
      </c>
      <c r="U37" s="1">
        <f t="shared" si="0"/>
        <v>0.33750000000000002</v>
      </c>
      <c r="V37" s="1">
        <f t="shared" si="1"/>
        <v>13.547499999999999</v>
      </c>
      <c r="W37" s="1">
        <f t="shared" si="2"/>
        <v>1.91</v>
      </c>
      <c r="X37" s="1">
        <v>1.91</v>
      </c>
      <c r="Y37" s="1">
        <v>15.4575</v>
      </c>
      <c r="Z37" s="775">
        <v>2.5548826646479943E-2</v>
      </c>
      <c r="AA37" s="775">
        <v>0.14458743376230129</v>
      </c>
      <c r="AB37" s="775">
        <v>0.17013626040878124</v>
      </c>
    </row>
    <row r="38" spans="2:28">
      <c r="B38" s="51">
        <v>54</v>
      </c>
      <c r="C38" s="1">
        <v>0.28999999999999998</v>
      </c>
      <c r="D38" s="1">
        <v>13.172000000000001</v>
      </c>
      <c r="E38" s="1">
        <v>3.1920000000000002</v>
      </c>
      <c r="F38" s="1">
        <v>3.1920000000000002</v>
      </c>
      <c r="G38" s="1">
        <v>16.364000000000001</v>
      </c>
      <c r="H38" s="775">
        <v>2.2512032293122181E-2</v>
      </c>
      <c r="I38" s="775">
        <v>0.24778761061946902</v>
      </c>
      <c r="J38" s="775">
        <v>0.27029964291259123</v>
      </c>
      <c r="K38" s="51">
        <v>54</v>
      </c>
      <c r="L38" s="1">
        <v>0.29099999999999998</v>
      </c>
      <c r="M38" s="1">
        <v>14.701000000000001</v>
      </c>
      <c r="N38" s="1">
        <v>0.69699999999999995</v>
      </c>
      <c r="O38" s="1">
        <v>0.67600000000000005</v>
      </c>
      <c r="P38" s="1">
        <v>15.377000000000001</v>
      </c>
      <c r="Q38" s="775">
        <v>2.0194309507286606E-2</v>
      </c>
      <c r="R38" s="775">
        <v>4.8369188063844548E-2</v>
      </c>
      <c r="S38" s="775">
        <v>6.8563497571131157E-2</v>
      </c>
      <c r="T38" s="51">
        <v>54</v>
      </c>
      <c r="U38" s="1">
        <f t="shared" si="0"/>
        <v>0.29049999999999998</v>
      </c>
      <c r="V38" s="1">
        <f t="shared" si="1"/>
        <v>13.936500000000001</v>
      </c>
      <c r="W38" s="1">
        <f t="shared" si="2"/>
        <v>1.9445000000000001</v>
      </c>
      <c r="X38" s="1">
        <v>1.9445000000000001</v>
      </c>
      <c r="Y38" s="1">
        <v>15.881</v>
      </c>
      <c r="Z38" s="775">
        <v>2.1288289608676531E-2</v>
      </c>
      <c r="AA38" s="775">
        <v>0.14249596951487614</v>
      </c>
      <c r="AB38" s="775">
        <v>0.16378425912355268</v>
      </c>
    </row>
    <row r="39" spans="2:28">
      <c r="B39" s="51">
        <v>55</v>
      </c>
      <c r="C39" s="1">
        <v>0.24299999999999999</v>
      </c>
      <c r="D39" s="1">
        <v>13.568</v>
      </c>
      <c r="E39" s="1">
        <v>3.258</v>
      </c>
      <c r="F39" s="1">
        <v>3.258</v>
      </c>
      <c r="G39" s="1">
        <v>16.826000000000001</v>
      </c>
      <c r="H39" s="775">
        <v>1.823639774859287E-2</v>
      </c>
      <c r="I39" s="775">
        <v>0.24450281425891182</v>
      </c>
      <c r="J39" s="775">
        <v>0.26273921200750472</v>
      </c>
      <c r="K39" s="51">
        <v>55</v>
      </c>
      <c r="L39" s="1">
        <v>0.24</v>
      </c>
      <c r="M39" s="1">
        <v>15.111000000000001</v>
      </c>
      <c r="N39" s="1">
        <v>0.69699999999999995</v>
      </c>
      <c r="O39" s="1">
        <v>0.68100000000000005</v>
      </c>
      <c r="P39" s="1">
        <v>15.792000000000002</v>
      </c>
      <c r="Q39" s="775">
        <v>1.6138793625176517E-2</v>
      </c>
      <c r="R39" s="775">
        <v>4.6869746486450134E-2</v>
      </c>
      <c r="S39" s="775">
        <v>6.3008540111626654E-2</v>
      </c>
      <c r="T39" s="51">
        <v>55</v>
      </c>
      <c r="U39" s="1">
        <f t="shared" si="0"/>
        <v>0.24149999999999999</v>
      </c>
      <c r="V39" s="1">
        <f t="shared" si="1"/>
        <v>14.339500000000001</v>
      </c>
      <c r="W39" s="1">
        <f t="shared" si="2"/>
        <v>1.9775</v>
      </c>
      <c r="X39" s="1">
        <v>1.9775</v>
      </c>
      <c r="Y39" s="1">
        <v>16.317</v>
      </c>
      <c r="Z39" s="775">
        <v>1.7130089374379345E-2</v>
      </c>
      <c r="AA39" s="775">
        <v>0.14026812313803375</v>
      </c>
      <c r="AB39" s="775">
        <v>0.15739821251241309</v>
      </c>
    </row>
    <row r="40" spans="2:28">
      <c r="B40" s="51">
        <v>56</v>
      </c>
      <c r="C40" s="1">
        <v>0.193</v>
      </c>
      <c r="D40" s="1">
        <v>13.98</v>
      </c>
      <c r="E40" s="1">
        <v>3.323</v>
      </c>
      <c r="F40" s="1">
        <v>3.323</v>
      </c>
      <c r="G40" s="1">
        <v>17.303000000000001</v>
      </c>
      <c r="H40" s="775">
        <v>1.399869442228186E-2</v>
      </c>
      <c r="I40" s="775">
        <v>0.24102415318778558</v>
      </c>
      <c r="J40" s="775">
        <v>0.25502284761006744</v>
      </c>
      <c r="K40" s="51">
        <v>56</v>
      </c>
      <c r="L40" s="1">
        <v>0.187</v>
      </c>
      <c r="M40" s="1">
        <v>15.536</v>
      </c>
      <c r="N40" s="1">
        <v>0.69799999999999995</v>
      </c>
      <c r="O40" s="1">
        <v>0.68500000000000005</v>
      </c>
      <c r="P40" s="1">
        <v>16.221</v>
      </c>
      <c r="Q40" s="775">
        <v>1.2183204117532086E-2</v>
      </c>
      <c r="R40" s="775">
        <v>4.5475275262232065E-2</v>
      </c>
      <c r="S40" s="775">
        <v>5.7658479379764149E-2</v>
      </c>
      <c r="T40" s="51">
        <v>56</v>
      </c>
      <c r="U40" s="1">
        <f t="shared" si="0"/>
        <v>0.19</v>
      </c>
      <c r="V40" s="1">
        <f t="shared" si="1"/>
        <v>14.757999999999999</v>
      </c>
      <c r="W40" s="1">
        <f t="shared" si="2"/>
        <v>2.0105</v>
      </c>
      <c r="X40" s="1">
        <v>2.0105</v>
      </c>
      <c r="Y40" s="1">
        <v>16.7685</v>
      </c>
      <c r="Z40" s="775">
        <v>1.3042284459088413E-2</v>
      </c>
      <c r="AA40" s="775">
        <v>0.13800796265788029</v>
      </c>
      <c r="AB40" s="775">
        <v>0.15105024711696871</v>
      </c>
    </row>
    <row r="41" spans="2:28">
      <c r="B41" s="51">
        <v>57</v>
      </c>
      <c r="C41" s="1">
        <v>0.14399999999999999</v>
      </c>
      <c r="D41" s="1">
        <v>14.409000000000001</v>
      </c>
      <c r="E41" s="1">
        <v>3.3879999999999999</v>
      </c>
      <c r="F41" s="1">
        <v>3.3879999999999999</v>
      </c>
      <c r="G41" s="1">
        <v>17.797000000000001</v>
      </c>
      <c r="H41" s="775">
        <v>1.0094637223974762E-2</v>
      </c>
      <c r="I41" s="775">
        <v>0.23750438135296179</v>
      </c>
      <c r="J41" s="775">
        <v>0.24759901857693656</v>
      </c>
      <c r="K41" s="51">
        <v>57</v>
      </c>
      <c r="L41" s="1">
        <v>0.13600000000000001</v>
      </c>
      <c r="M41" s="1">
        <v>15.978</v>
      </c>
      <c r="N41" s="1">
        <v>0.69799999999999995</v>
      </c>
      <c r="O41" s="1">
        <v>0.68799999999999994</v>
      </c>
      <c r="P41" s="1">
        <v>16.666</v>
      </c>
      <c r="Q41" s="775">
        <v>8.5847746496654463E-3</v>
      </c>
      <c r="R41" s="775">
        <v>4.4060093422547651E-2</v>
      </c>
      <c r="S41" s="775">
        <v>5.2644868072213094E-2</v>
      </c>
      <c r="T41" s="51">
        <v>57</v>
      </c>
      <c r="U41" s="1">
        <f t="shared" si="0"/>
        <v>0.14000000000000001</v>
      </c>
      <c r="V41" s="1">
        <f t="shared" si="1"/>
        <v>15.1935</v>
      </c>
      <c r="W41" s="1">
        <f t="shared" si="2"/>
        <v>2.0430000000000001</v>
      </c>
      <c r="X41" s="1">
        <v>2.0430000000000001</v>
      </c>
      <c r="Y41" s="1">
        <v>17.236499999999999</v>
      </c>
      <c r="Z41" s="775">
        <v>9.3001627528481751E-3</v>
      </c>
      <c r="AA41" s="775">
        <v>0.13571594645763446</v>
      </c>
      <c r="AB41" s="775">
        <v>0.14501610921048264</v>
      </c>
    </row>
    <row r="42" spans="2:28">
      <c r="B42" s="51">
        <v>58</v>
      </c>
      <c r="C42" s="1">
        <v>9.6000000000000002E-2</v>
      </c>
      <c r="D42" s="1">
        <v>14.856999999999999</v>
      </c>
      <c r="E42" s="1">
        <v>3.4550000000000001</v>
      </c>
      <c r="F42" s="1">
        <v>3.4550000000000001</v>
      </c>
      <c r="G42" s="1">
        <v>18.311999999999998</v>
      </c>
      <c r="H42" s="775">
        <v>6.5036244156899941E-3</v>
      </c>
      <c r="I42" s="775">
        <v>0.23406273287717635</v>
      </c>
      <c r="J42" s="775">
        <v>0.24056635729286635</v>
      </c>
      <c r="K42" s="51">
        <v>58</v>
      </c>
      <c r="L42" s="1">
        <v>8.8999999999999996E-2</v>
      </c>
      <c r="M42" s="1">
        <v>16.440000000000001</v>
      </c>
      <c r="N42" s="1">
        <v>0.69899999999999995</v>
      </c>
      <c r="O42" s="1">
        <v>0.69199999999999995</v>
      </c>
      <c r="P42" s="1">
        <v>17.132000000000001</v>
      </c>
      <c r="Q42" s="775">
        <v>5.4430921656167808E-3</v>
      </c>
      <c r="R42" s="775">
        <v>4.2749678918720557E-2</v>
      </c>
      <c r="S42" s="775">
        <v>4.8192771084337338E-2</v>
      </c>
      <c r="T42" s="51">
        <v>58</v>
      </c>
      <c r="U42" s="1">
        <f t="shared" si="0"/>
        <v>9.2499999999999999E-2</v>
      </c>
      <c r="V42" s="1">
        <f t="shared" si="1"/>
        <v>15.6485</v>
      </c>
      <c r="W42" s="1">
        <f t="shared" si="2"/>
        <v>2.077</v>
      </c>
      <c r="X42" s="1">
        <v>2.077</v>
      </c>
      <c r="Y42" s="1">
        <v>17.7255</v>
      </c>
      <c r="Z42" s="775">
        <v>5.9462586783234758E-3</v>
      </c>
      <c r="AA42" s="775">
        <v>0.13351761378246335</v>
      </c>
      <c r="AB42" s="775">
        <v>0.13946387246078681</v>
      </c>
    </row>
    <row r="43" spans="2:28">
      <c r="B43" s="51">
        <v>59</v>
      </c>
      <c r="C43" s="1">
        <v>5.5E-2</v>
      </c>
      <c r="D43" s="1">
        <v>15.327</v>
      </c>
      <c r="E43" s="1">
        <v>3.524</v>
      </c>
      <c r="F43" s="1">
        <v>3.524</v>
      </c>
      <c r="G43" s="1">
        <v>18.850999999999999</v>
      </c>
      <c r="H43" s="775">
        <v>3.6013619696176006E-3</v>
      </c>
      <c r="I43" s="775">
        <v>0.23074908328968047</v>
      </c>
      <c r="J43" s="775">
        <v>0.23435044525929807</v>
      </c>
      <c r="K43" s="51">
        <v>59</v>
      </c>
      <c r="L43" s="1">
        <v>4.9000000000000002E-2</v>
      </c>
      <c r="M43" s="1">
        <v>16.925999999999998</v>
      </c>
      <c r="N43" s="1">
        <v>0.7</v>
      </c>
      <c r="O43" s="1">
        <v>0.69499999999999995</v>
      </c>
      <c r="P43" s="1">
        <v>17.620999999999999</v>
      </c>
      <c r="Q43" s="775">
        <v>2.9033596018249691E-3</v>
      </c>
      <c r="R43" s="775">
        <v>4.14765657403567E-2</v>
      </c>
      <c r="S43" s="775">
        <v>4.4379925342181666E-2</v>
      </c>
      <c r="T43" s="51">
        <v>59</v>
      </c>
      <c r="U43" s="1">
        <f t="shared" si="0"/>
        <v>5.2000000000000005E-2</v>
      </c>
      <c r="V43" s="1">
        <f t="shared" si="1"/>
        <v>16.1265</v>
      </c>
      <c r="W43" s="1">
        <f t="shared" si="2"/>
        <v>2.1120000000000001</v>
      </c>
      <c r="X43" s="1">
        <v>2.1120000000000001</v>
      </c>
      <c r="Y43" s="1">
        <v>18.238500000000002</v>
      </c>
      <c r="Z43" s="775">
        <v>3.2349373230893654E-3</v>
      </c>
      <c r="AA43" s="775">
        <v>0.13138822358393729</v>
      </c>
      <c r="AB43" s="775">
        <v>0.13462316090702664</v>
      </c>
    </row>
    <row r="44" spans="2:28">
      <c r="B44" s="51">
        <v>60</v>
      </c>
      <c r="C44" s="1">
        <v>2.4E-2</v>
      </c>
      <c r="D44" s="1">
        <v>15.821999999999999</v>
      </c>
      <c r="E44" s="1">
        <v>3.597</v>
      </c>
      <c r="F44" s="1">
        <v>3.597</v>
      </c>
      <c r="G44" s="1">
        <v>19.419</v>
      </c>
      <c r="H44" s="775">
        <v>1.5191796429927839E-3</v>
      </c>
      <c r="I44" s="775">
        <v>0.22768704899354347</v>
      </c>
      <c r="J44" s="775">
        <v>0.22920622863653625</v>
      </c>
      <c r="K44" s="51">
        <v>60</v>
      </c>
      <c r="L44" s="1">
        <v>2.1000000000000001E-2</v>
      </c>
      <c r="M44" s="1">
        <v>17.440000000000001</v>
      </c>
      <c r="N44" s="1">
        <v>0.70099999999999996</v>
      </c>
      <c r="O44" s="1">
        <v>0.69899999999999995</v>
      </c>
      <c r="P44" s="1">
        <v>18.139000000000003</v>
      </c>
      <c r="Q44" s="775">
        <v>1.2055801136689821E-3</v>
      </c>
      <c r="R44" s="775">
        <v>4.0243412365807446E-2</v>
      </c>
      <c r="S44" s="775">
        <v>4.1448992479476428E-2</v>
      </c>
      <c r="T44" s="51">
        <v>60</v>
      </c>
      <c r="U44" s="1">
        <f t="shared" si="0"/>
        <v>2.2499999999999999E-2</v>
      </c>
      <c r="V44" s="1">
        <f t="shared" si="1"/>
        <v>16.631</v>
      </c>
      <c r="W44" s="1">
        <f t="shared" si="2"/>
        <v>2.149</v>
      </c>
      <c r="X44" s="1">
        <v>2.149</v>
      </c>
      <c r="Y44" s="1">
        <v>18.78</v>
      </c>
      <c r="Z44" s="775">
        <v>1.3547280007225216E-3</v>
      </c>
      <c r="AA44" s="775">
        <v>0.12939157660234218</v>
      </c>
      <c r="AB44" s="775">
        <v>0.13074630460306472</v>
      </c>
    </row>
    <row r="45" spans="2:28">
      <c r="B45" s="51">
        <v>61</v>
      </c>
      <c r="C45" s="1">
        <v>6.0000000000000001E-3</v>
      </c>
      <c r="D45" s="1">
        <v>16.346</v>
      </c>
      <c r="E45" s="1">
        <v>3.673</v>
      </c>
      <c r="F45" s="1">
        <v>3.673</v>
      </c>
      <c r="G45" s="1">
        <v>20.018999999999998</v>
      </c>
      <c r="H45" s="775">
        <v>3.671970624235006E-4</v>
      </c>
      <c r="I45" s="775">
        <v>0.22478580171358631</v>
      </c>
      <c r="J45" s="775">
        <v>0.22515299877600981</v>
      </c>
      <c r="K45" s="51">
        <v>61</v>
      </c>
      <c r="L45" s="1">
        <v>4.0000000000000001E-3</v>
      </c>
      <c r="M45" s="1">
        <v>17.984999999999999</v>
      </c>
      <c r="N45" s="1">
        <v>0.70199999999999996</v>
      </c>
      <c r="O45" s="1">
        <v>0.70199999999999996</v>
      </c>
      <c r="P45" s="1">
        <v>18.686999999999998</v>
      </c>
      <c r="Q45" s="775">
        <v>2.2245703798453928E-4</v>
      </c>
      <c r="R45" s="775">
        <v>3.9041210166286637E-2</v>
      </c>
      <c r="S45" s="775">
        <v>3.9263667204271178E-2</v>
      </c>
      <c r="T45" s="51">
        <v>61</v>
      </c>
      <c r="U45" s="1">
        <f t="shared" si="0"/>
        <v>5.0000000000000001E-3</v>
      </c>
      <c r="V45" s="1">
        <f t="shared" si="1"/>
        <v>17.165500000000002</v>
      </c>
      <c r="W45" s="1">
        <f t="shared" si="2"/>
        <v>2.1875</v>
      </c>
      <c r="X45" s="1">
        <v>2.1875</v>
      </c>
      <c r="Y45" s="1">
        <v>19.353000000000002</v>
      </c>
      <c r="Z45" s="775">
        <v>2.9136680166661806E-4</v>
      </c>
      <c r="AA45" s="775">
        <v>0.1274729757291454</v>
      </c>
      <c r="AB45" s="775">
        <v>0.12776434253081201</v>
      </c>
    </row>
    <row r="46" spans="2:28">
      <c r="B46" s="51">
        <v>62</v>
      </c>
      <c r="C46" s="1">
        <v>0</v>
      </c>
      <c r="D46" s="1">
        <v>16.902999999999999</v>
      </c>
      <c r="E46" s="1">
        <v>3.734</v>
      </c>
      <c r="F46" s="1">
        <v>3.734</v>
      </c>
      <c r="G46" s="1">
        <v>20.637</v>
      </c>
      <c r="H46" s="775">
        <v>0</v>
      </c>
      <c r="I46" s="775">
        <v>0.22090753120747797</v>
      </c>
      <c r="J46" s="775">
        <v>0.22090753120747797</v>
      </c>
      <c r="K46" s="51">
        <v>62</v>
      </c>
      <c r="L46" s="1">
        <v>0</v>
      </c>
      <c r="M46" s="1">
        <v>18.562000000000001</v>
      </c>
      <c r="N46" s="1">
        <v>0.70299999999999996</v>
      </c>
      <c r="O46" s="1">
        <v>0.70299999999999996</v>
      </c>
      <c r="P46" s="1">
        <v>19.265000000000001</v>
      </c>
      <c r="Q46" s="775">
        <v>0</v>
      </c>
      <c r="R46" s="775">
        <v>3.7873074022195877E-2</v>
      </c>
      <c r="S46" s="775">
        <v>3.7873074022195877E-2</v>
      </c>
      <c r="T46" s="51">
        <v>62</v>
      </c>
      <c r="U46" s="1">
        <f t="shared" si="0"/>
        <v>0</v>
      </c>
      <c r="V46" s="1">
        <f t="shared" si="1"/>
        <v>17.732500000000002</v>
      </c>
      <c r="W46" s="1">
        <f t="shared" si="2"/>
        <v>2.2185000000000001</v>
      </c>
      <c r="X46" s="1">
        <v>2.2185000000000001</v>
      </c>
      <c r="Y46" s="1">
        <v>19.951000000000001</v>
      </c>
      <c r="Z46" s="1561">
        <v>0</v>
      </c>
      <c r="AA46" s="1561">
        <v>0.12510926265332017</v>
      </c>
      <c r="AB46" s="775">
        <v>0.12510926265332017</v>
      </c>
    </row>
    <row r="47" spans="2:28">
      <c r="B47" s="4">
        <v>63</v>
      </c>
      <c r="C47" s="147">
        <v>0</v>
      </c>
      <c r="D47" s="147">
        <v>16.530999999999999</v>
      </c>
      <c r="E47" s="147">
        <v>3.7530000000000001</v>
      </c>
      <c r="F47" s="147">
        <v>3.7530000000000001</v>
      </c>
      <c r="G47" s="147">
        <v>20.283999999999999</v>
      </c>
      <c r="H47" s="148">
        <v>0</v>
      </c>
      <c r="I47" s="148">
        <v>0.22702800798499789</v>
      </c>
      <c r="J47" s="148">
        <v>0.22702800798499789</v>
      </c>
      <c r="K47" s="4">
        <v>63</v>
      </c>
      <c r="L47" s="147">
        <v>0</v>
      </c>
      <c r="M47" s="147">
        <v>18.431000000000001</v>
      </c>
      <c r="N47" s="147">
        <v>0.68600000000000005</v>
      </c>
      <c r="O47" s="147">
        <v>0.68600000000000005</v>
      </c>
      <c r="P47" s="147">
        <v>19.117000000000001</v>
      </c>
      <c r="Q47" s="148">
        <v>0</v>
      </c>
      <c r="R47" s="148">
        <v>3.7219901253323209E-2</v>
      </c>
      <c r="S47" s="148">
        <v>3.7219901253323209E-2</v>
      </c>
      <c r="T47" s="4">
        <v>63</v>
      </c>
      <c r="U47" s="147">
        <f t="shared" si="0"/>
        <v>0</v>
      </c>
      <c r="V47" s="147">
        <f t="shared" si="1"/>
        <v>17.481000000000002</v>
      </c>
      <c r="W47" s="147">
        <f t="shared" si="2"/>
        <v>2.2195</v>
      </c>
      <c r="X47" s="147">
        <v>2.2195</v>
      </c>
      <c r="Y47" s="147">
        <v>19.700500000000002</v>
      </c>
      <c r="Z47" s="148">
        <v>0</v>
      </c>
      <c r="AA47" s="148">
        <v>0.12696642068531547</v>
      </c>
      <c r="AB47" s="148">
        <v>0.12696642068531547</v>
      </c>
    </row>
    <row r="48" spans="2:28">
      <c r="B48" s="4">
        <v>64</v>
      </c>
      <c r="C48" s="147">
        <v>0</v>
      </c>
      <c r="D48" s="147">
        <v>16.154</v>
      </c>
      <c r="E48" s="147">
        <v>3.7669999999999999</v>
      </c>
      <c r="F48" s="147">
        <v>3.7669999999999999</v>
      </c>
      <c r="G48" s="147">
        <v>19.920999999999999</v>
      </c>
      <c r="H48" s="148">
        <v>0</v>
      </c>
      <c r="I48" s="148">
        <v>0.23319301720935989</v>
      </c>
      <c r="J48" s="148">
        <v>0.23319301720935989</v>
      </c>
      <c r="K48" s="4">
        <v>64</v>
      </c>
      <c r="L48" s="147">
        <v>0</v>
      </c>
      <c r="M48" s="147">
        <v>18.055</v>
      </c>
      <c r="N48" s="147">
        <v>0.66700000000000004</v>
      </c>
      <c r="O48" s="147">
        <v>0.66700000000000004</v>
      </c>
      <c r="P48" s="147">
        <v>18.722000000000001</v>
      </c>
      <c r="Q48" s="148">
        <v>0</v>
      </c>
      <c r="R48" s="148">
        <v>3.6942675159235674E-2</v>
      </c>
      <c r="S48" s="148">
        <v>3.6942675159235674E-2</v>
      </c>
      <c r="T48" s="4">
        <v>64</v>
      </c>
      <c r="U48" s="147">
        <f t="shared" si="0"/>
        <v>0</v>
      </c>
      <c r="V48" s="147">
        <f t="shared" si="1"/>
        <v>17.104500000000002</v>
      </c>
      <c r="W48" s="147">
        <f t="shared" si="2"/>
        <v>2.2170000000000001</v>
      </c>
      <c r="X48" s="147">
        <v>2.2170000000000001</v>
      </c>
      <c r="Y48" s="147">
        <v>19.3215</v>
      </c>
      <c r="Z48" s="148">
        <v>0</v>
      </c>
      <c r="AA48" s="148">
        <v>0.12961501359291414</v>
      </c>
      <c r="AB48" s="148">
        <v>0.12961501359291414</v>
      </c>
    </row>
    <row r="49" spans="2:28">
      <c r="B49" s="4">
        <v>65</v>
      </c>
      <c r="C49" s="147">
        <v>0</v>
      </c>
      <c r="D49" s="147">
        <v>15.77</v>
      </c>
      <c r="E49" s="147">
        <v>3.7749999999999999</v>
      </c>
      <c r="F49" s="147">
        <v>3.7749999999999999</v>
      </c>
      <c r="G49" s="147">
        <v>19.544999999999998</v>
      </c>
      <c r="H49" s="148">
        <v>0</v>
      </c>
      <c r="I49" s="148">
        <v>0.23937856689917564</v>
      </c>
      <c r="J49" s="148">
        <v>0.23937856689917564</v>
      </c>
      <c r="K49" s="4">
        <v>65</v>
      </c>
      <c r="L49" s="147">
        <v>0</v>
      </c>
      <c r="M49" s="147">
        <v>17.669</v>
      </c>
      <c r="N49" s="147">
        <v>0.64900000000000002</v>
      </c>
      <c r="O49" s="147">
        <v>0.64900000000000002</v>
      </c>
      <c r="P49" s="147">
        <v>18.318000000000001</v>
      </c>
      <c r="Q49" s="148">
        <v>0</v>
      </c>
      <c r="R49" s="148">
        <v>3.6730997792744358E-2</v>
      </c>
      <c r="S49" s="151">
        <v>3.6730997792744358E-2</v>
      </c>
      <c r="T49" s="4">
        <v>65</v>
      </c>
      <c r="U49" s="147">
        <f t="shared" si="0"/>
        <v>0</v>
      </c>
      <c r="V49" s="147">
        <f t="shared" si="1"/>
        <v>16.7195</v>
      </c>
      <c r="W49" s="147">
        <f t="shared" si="2"/>
        <v>2.2119999999999997</v>
      </c>
      <c r="X49" s="147">
        <v>2.2119999999999997</v>
      </c>
      <c r="Y49" s="147">
        <v>18.9315</v>
      </c>
      <c r="Z49" s="148">
        <v>0</v>
      </c>
      <c r="AA49" s="148">
        <v>0.13230060707557043</v>
      </c>
      <c r="AB49" s="151">
        <v>0.13230060707557043</v>
      </c>
    </row>
    <row r="50" spans="2:28">
      <c r="B50" s="4">
        <v>66</v>
      </c>
      <c r="C50" s="147"/>
      <c r="D50" s="147">
        <v>15.379</v>
      </c>
      <c r="E50" s="147">
        <v>3.778</v>
      </c>
      <c r="F50" s="147">
        <v>3.778</v>
      </c>
      <c r="G50" s="147">
        <v>19.157</v>
      </c>
      <c r="H50" s="148">
        <v>0</v>
      </c>
      <c r="I50" s="148">
        <v>0.24565966577800899</v>
      </c>
      <c r="J50" s="148">
        <v>0.24565966577800899</v>
      </c>
      <c r="K50" s="4">
        <v>66</v>
      </c>
      <c r="L50" s="147">
        <v>0</v>
      </c>
      <c r="M50" s="147">
        <v>17.274000000000001</v>
      </c>
      <c r="N50" s="147">
        <v>0.63</v>
      </c>
      <c r="O50" s="147">
        <v>0.63</v>
      </c>
      <c r="P50" s="147">
        <v>17.904</v>
      </c>
      <c r="Q50" s="148">
        <v>0</v>
      </c>
      <c r="R50" s="148">
        <v>3.647099687391455E-2</v>
      </c>
      <c r="S50" s="151">
        <v>3.647099687391455E-2</v>
      </c>
      <c r="T50" s="4">
        <v>66</v>
      </c>
      <c r="U50" s="147">
        <f t="shared" si="0"/>
        <v>0</v>
      </c>
      <c r="V50" s="147">
        <f t="shared" si="1"/>
        <v>16.326499999999999</v>
      </c>
      <c r="W50" s="147">
        <f t="shared" si="2"/>
        <v>2.2040000000000002</v>
      </c>
      <c r="X50" s="147">
        <v>2.2040000000000002</v>
      </c>
      <c r="Y50" s="147">
        <v>18.5305</v>
      </c>
      <c r="Z50" s="148">
        <v>0</v>
      </c>
      <c r="AA50" s="148">
        <v>0.13499525311609961</v>
      </c>
      <c r="AB50" s="151">
        <v>0.13499525311609961</v>
      </c>
    </row>
    <row r="51" spans="2:28">
      <c r="B51" s="4">
        <v>67</v>
      </c>
      <c r="C51" s="147"/>
      <c r="D51" s="147">
        <v>14.98</v>
      </c>
      <c r="E51" s="147">
        <v>3.778</v>
      </c>
      <c r="F51" s="147">
        <v>3.778</v>
      </c>
      <c r="G51" s="147">
        <v>18.757999999999999</v>
      </c>
      <c r="H51" s="148">
        <v>0</v>
      </c>
      <c r="I51" s="148">
        <v>0.25220293724966619</v>
      </c>
      <c r="J51" s="148">
        <v>0.25220293724966619</v>
      </c>
      <c r="K51" s="4">
        <v>67</v>
      </c>
      <c r="L51" s="147">
        <v>0</v>
      </c>
      <c r="M51" s="147">
        <v>16.867000000000001</v>
      </c>
      <c r="N51" s="147">
        <v>0.61</v>
      </c>
      <c r="O51" s="147">
        <v>0.61</v>
      </c>
      <c r="P51" s="147">
        <v>17.477</v>
      </c>
      <c r="Q51" s="148">
        <v>0</v>
      </c>
      <c r="R51" s="148">
        <v>3.6165293176024189E-2</v>
      </c>
      <c r="S51" s="151">
        <v>3.6165293176024189E-2</v>
      </c>
      <c r="T51" s="4">
        <v>67</v>
      </c>
      <c r="U51" s="147">
        <f t="shared" si="0"/>
        <v>0</v>
      </c>
      <c r="V51" s="147">
        <f t="shared" si="1"/>
        <v>15.923500000000001</v>
      </c>
      <c r="W51" s="147">
        <f t="shared" si="2"/>
        <v>2.194</v>
      </c>
      <c r="X51" s="147">
        <v>2.194</v>
      </c>
      <c r="Y51" s="147">
        <v>18.1175</v>
      </c>
      <c r="Z51" s="148">
        <v>0</v>
      </c>
      <c r="AA51" s="148">
        <v>0.1377837786918705</v>
      </c>
      <c r="AB51" s="151">
        <v>0.1377837786918705</v>
      </c>
    </row>
    <row r="52" spans="2:28">
      <c r="B52" s="4">
        <v>68</v>
      </c>
      <c r="C52" s="147"/>
      <c r="D52" s="147">
        <v>14.573</v>
      </c>
      <c r="E52" s="147">
        <v>3.7770000000000001</v>
      </c>
      <c r="F52" s="147">
        <v>3.7770000000000001</v>
      </c>
      <c r="G52" s="147">
        <v>18.350000000000001</v>
      </c>
      <c r="H52" s="148">
        <v>0</v>
      </c>
      <c r="I52" s="148">
        <v>0.25917793179166954</v>
      </c>
      <c r="J52" s="148">
        <v>0.25917793179166954</v>
      </c>
      <c r="K52" s="4">
        <v>68</v>
      </c>
      <c r="L52" s="147">
        <v>0</v>
      </c>
      <c r="M52" s="147">
        <v>16.448</v>
      </c>
      <c r="N52" s="147">
        <v>0.59099999999999997</v>
      </c>
      <c r="O52" s="147">
        <v>0.59099999999999997</v>
      </c>
      <c r="P52" s="147">
        <v>17.039000000000001</v>
      </c>
      <c r="Q52" s="148">
        <v>0</v>
      </c>
      <c r="R52" s="148">
        <v>3.5931420233463032E-2</v>
      </c>
      <c r="S52" s="151">
        <v>3.5931420233463032E-2</v>
      </c>
      <c r="T52" s="4">
        <v>68</v>
      </c>
      <c r="U52" s="147">
        <f t="shared" si="0"/>
        <v>0</v>
      </c>
      <c r="V52" s="147">
        <f t="shared" si="1"/>
        <v>15.5105</v>
      </c>
      <c r="W52" s="147">
        <f t="shared" si="2"/>
        <v>2.1840000000000002</v>
      </c>
      <c r="X52" s="147">
        <v>2.1840000000000002</v>
      </c>
      <c r="Y52" s="147">
        <v>17.694500000000001</v>
      </c>
      <c r="Z52" s="148">
        <v>0</v>
      </c>
      <c r="AA52" s="148">
        <v>0.14080783985042392</v>
      </c>
      <c r="AB52" s="151">
        <v>0.14080783985042392</v>
      </c>
    </row>
    <row r="53" spans="2:28">
      <c r="B53" s="4">
        <v>69</v>
      </c>
      <c r="C53" s="147"/>
      <c r="D53" s="147">
        <v>14.156000000000001</v>
      </c>
      <c r="E53" s="147">
        <v>3.7730000000000001</v>
      </c>
      <c r="F53" s="147">
        <v>3.7730000000000001</v>
      </c>
      <c r="G53" s="147">
        <v>17.929000000000002</v>
      </c>
      <c r="H53" s="148">
        <v>0</v>
      </c>
      <c r="I53" s="148">
        <v>0.26653009324667987</v>
      </c>
      <c r="J53" s="148">
        <v>0.26653009324667987</v>
      </c>
      <c r="K53" s="4">
        <v>69</v>
      </c>
      <c r="L53" s="147">
        <v>0</v>
      </c>
      <c r="M53" s="147">
        <v>16.016999999999999</v>
      </c>
      <c r="N53" s="147">
        <v>0.57199999999999995</v>
      </c>
      <c r="O53" s="147">
        <v>0.57199999999999995</v>
      </c>
      <c r="P53" s="147">
        <v>16.588999999999999</v>
      </c>
      <c r="Q53" s="148">
        <v>0</v>
      </c>
      <c r="R53" s="148">
        <v>3.5712055940563148E-2</v>
      </c>
      <c r="S53" s="151">
        <v>3.5712055940563148E-2</v>
      </c>
      <c r="T53" s="4">
        <v>69</v>
      </c>
      <c r="U53" s="147">
        <f t="shared" si="0"/>
        <v>0</v>
      </c>
      <c r="V53" s="147">
        <f t="shared" si="1"/>
        <v>15.086500000000001</v>
      </c>
      <c r="W53" s="147">
        <f t="shared" si="2"/>
        <v>2.1724999999999999</v>
      </c>
      <c r="X53" s="147">
        <v>2.1724999999999999</v>
      </c>
      <c r="Y53" s="147">
        <v>17.259</v>
      </c>
      <c r="Z53" s="148">
        <v>0</v>
      </c>
      <c r="AA53" s="148">
        <v>0.14400291651476485</v>
      </c>
      <c r="AB53" s="151">
        <v>0.14400291651476485</v>
      </c>
    </row>
    <row r="54" spans="2:28">
      <c r="B54" s="4">
        <v>70</v>
      </c>
      <c r="C54" s="147"/>
      <c r="D54" s="147">
        <v>13.728999999999999</v>
      </c>
      <c r="E54" s="147">
        <v>3.7669999999999999</v>
      </c>
      <c r="F54" s="147">
        <v>3.7669999999999999</v>
      </c>
      <c r="G54" s="147">
        <v>17.495999999999999</v>
      </c>
      <c r="H54" s="148">
        <v>0</v>
      </c>
      <c r="I54" s="148">
        <v>0.27438269356835898</v>
      </c>
      <c r="J54" s="148">
        <v>0.27438269356835898</v>
      </c>
      <c r="K54" s="4">
        <v>70</v>
      </c>
      <c r="L54" s="147">
        <v>0</v>
      </c>
      <c r="M54" s="147">
        <v>15.574</v>
      </c>
      <c r="N54" s="147">
        <v>0.55100000000000005</v>
      </c>
      <c r="O54" s="147">
        <v>0.55100000000000005</v>
      </c>
      <c r="P54" s="147">
        <v>16.125</v>
      </c>
      <c r="Q54" s="148">
        <v>0</v>
      </c>
      <c r="R54" s="148">
        <v>3.5379478618209843E-2</v>
      </c>
      <c r="S54" s="151">
        <v>3.5379478618209843E-2</v>
      </c>
      <c r="T54" s="4">
        <v>70</v>
      </c>
      <c r="U54" s="147">
        <f t="shared" si="0"/>
        <v>0</v>
      </c>
      <c r="V54" s="147">
        <f t="shared" si="1"/>
        <v>14.651499999999999</v>
      </c>
      <c r="W54" s="147">
        <f t="shared" si="2"/>
        <v>2.1589999999999998</v>
      </c>
      <c r="X54" s="147">
        <v>2.1589999999999998</v>
      </c>
      <c r="Y54" s="147">
        <v>16.810499999999998</v>
      </c>
      <c r="Z54" s="148">
        <v>0</v>
      </c>
      <c r="AA54" s="148">
        <v>0.14735692591202265</v>
      </c>
      <c r="AB54" s="151">
        <v>0.14735692591202265</v>
      </c>
    </row>
    <row r="55" spans="2:28">
      <c r="B55" s="4">
        <v>71</v>
      </c>
      <c r="C55" s="147"/>
      <c r="D55" s="147">
        <v>13.292999999999999</v>
      </c>
      <c r="E55" s="147">
        <v>3.758</v>
      </c>
      <c r="F55" s="147">
        <v>3.758</v>
      </c>
      <c r="G55" s="147">
        <v>17.050999999999998</v>
      </c>
      <c r="H55" s="148">
        <v>0</v>
      </c>
      <c r="I55" s="148">
        <v>0.28270518317911686</v>
      </c>
      <c r="J55" s="148">
        <v>0.28270518317911686</v>
      </c>
      <c r="K55" s="4">
        <v>71</v>
      </c>
      <c r="L55" s="147">
        <v>0</v>
      </c>
      <c r="M55" s="147">
        <v>15.118</v>
      </c>
      <c r="N55" s="147">
        <v>0.53100000000000003</v>
      </c>
      <c r="O55" s="147">
        <v>0.53100000000000003</v>
      </c>
      <c r="P55" s="147">
        <v>15.649000000000001</v>
      </c>
      <c r="Q55" s="148">
        <v>0</v>
      </c>
      <c r="R55" s="148">
        <v>3.5123693610265912E-2</v>
      </c>
      <c r="S55" s="151">
        <v>3.5123693610265912E-2</v>
      </c>
      <c r="T55" s="4">
        <v>71</v>
      </c>
      <c r="U55" s="147">
        <f t="shared" si="0"/>
        <v>0</v>
      </c>
      <c r="V55" s="147">
        <f t="shared" si="1"/>
        <v>14.205500000000001</v>
      </c>
      <c r="W55" s="147">
        <f t="shared" si="2"/>
        <v>2.1444999999999999</v>
      </c>
      <c r="X55" s="147">
        <v>2.1444999999999999</v>
      </c>
      <c r="Y55" s="147">
        <v>16.350000000000001</v>
      </c>
      <c r="Z55" s="148">
        <v>0</v>
      </c>
      <c r="AA55" s="148">
        <v>0.15096265530956318</v>
      </c>
      <c r="AB55" s="151">
        <v>0.15096265530956318</v>
      </c>
    </row>
    <row r="56" spans="2:28">
      <c r="B56" s="4">
        <v>72</v>
      </c>
      <c r="C56" s="147"/>
      <c r="D56" s="147">
        <v>12.846</v>
      </c>
      <c r="E56" s="147">
        <v>3.7469999999999999</v>
      </c>
      <c r="F56" s="147">
        <v>3.7469999999999999</v>
      </c>
      <c r="G56" s="147">
        <v>16.593</v>
      </c>
      <c r="H56" s="148">
        <v>0</v>
      </c>
      <c r="I56" s="148">
        <v>0.29168612797758053</v>
      </c>
      <c r="J56" s="148">
        <v>0.29168612797758053</v>
      </c>
      <c r="K56" s="4">
        <v>72</v>
      </c>
      <c r="L56" s="147">
        <v>0</v>
      </c>
      <c r="M56" s="147">
        <v>14.648999999999999</v>
      </c>
      <c r="N56" s="147">
        <v>0.51</v>
      </c>
      <c r="O56" s="147">
        <v>0.51</v>
      </c>
      <c r="P56" s="147">
        <v>15.158999999999999</v>
      </c>
      <c r="Q56" s="148">
        <v>0</v>
      </c>
      <c r="R56" s="148">
        <v>3.481466311693631E-2</v>
      </c>
      <c r="S56" s="151">
        <v>3.481466311693631E-2</v>
      </c>
      <c r="T56" s="4">
        <v>72</v>
      </c>
      <c r="U56" s="147">
        <f t="shared" si="0"/>
        <v>0</v>
      </c>
      <c r="V56" s="147">
        <f t="shared" si="1"/>
        <v>13.747499999999999</v>
      </c>
      <c r="W56" s="147">
        <f t="shared" si="2"/>
        <v>2.1284999999999998</v>
      </c>
      <c r="X56" s="147">
        <v>2.1284999999999998</v>
      </c>
      <c r="Y56" s="147">
        <v>15.875999999999998</v>
      </c>
      <c r="Z56" s="148">
        <v>0</v>
      </c>
      <c r="AA56" s="148">
        <v>0.15482815057283142</v>
      </c>
      <c r="AB56" s="151">
        <v>0.15482815057283142</v>
      </c>
    </row>
    <row r="57" spans="2:28">
      <c r="B57" s="4">
        <v>73</v>
      </c>
      <c r="C57" s="147"/>
      <c r="D57" s="147">
        <v>12.388999999999999</v>
      </c>
      <c r="E57" s="147">
        <v>3.7389999999999999</v>
      </c>
      <c r="F57" s="147">
        <v>3.7389999999999999</v>
      </c>
      <c r="G57" s="147">
        <v>16.128</v>
      </c>
      <c r="H57" s="148">
        <v>0</v>
      </c>
      <c r="I57" s="148">
        <v>0.30179998385664702</v>
      </c>
      <c r="J57" s="148">
        <v>0.30179998385664702</v>
      </c>
      <c r="K57" s="4">
        <v>73</v>
      </c>
      <c r="L57" s="147">
        <v>0</v>
      </c>
      <c r="M57" s="147">
        <v>14.167999999999999</v>
      </c>
      <c r="N57" s="147">
        <v>0.48899999999999999</v>
      </c>
      <c r="O57" s="147">
        <v>0.48899999999999999</v>
      </c>
      <c r="P57" s="147">
        <v>14.657</v>
      </c>
      <c r="Q57" s="148">
        <v>0</v>
      </c>
      <c r="R57" s="148">
        <v>3.4514398644833431E-2</v>
      </c>
      <c r="S57" s="151">
        <v>3.4514398644833431E-2</v>
      </c>
      <c r="T57" s="4">
        <v>73</v>
      </c>
      <c r="U57" s="147">
        <f t="shared" si="0"/>
        <v>0</v>
      </c>
      <c r="V57" s="147">
        <f t="shared" si="1"/>
        <v>13.278499999999999</v>
      </c>
      <c r="W57" s="147">
        <f t="shared" si="2"/>
        <v>2.1139999999999999</v>
      </c>
      <c r="X57" s="147">
        <v>2.1139999999999999</v>
      </c>
      <c r="Y57" s="147">
        <v>15.392499999999998</v>
      </c>
      <c r="Z57" s="148">
        <v>0</v>
      </c>
      <c r="AA57" s="148">
        <v>0.15920472944986255</v>
      </c>
      <c r="AB57" s="151">
        <v>0.15920472944986255</v>
      </c>
    </row>
    <row r="58" spans="2:28">
      <c r="B58" s="4">
        <v>74</v>
      </c>
      <c r="C58" s="147"/>
      <c r="D58" s="147">
        <v>11.923999999999999</v>
      </c>
      <c r="E58" s="147">
        <v>3.7290000000000001</v>
      </c>
      <c r="F58" s="147">
        <v>3.7290000000000001</v>
      </c>
      <c r="G58" s="147">
        <v>15.652999999999999</v>
      </c>
      <c r="H58" s="148">
        <v>0</v>
      </c>
      <c r="I58" s="148">
        <v>0.3127306273062731</v>
      </c>
      <c r="J58" s="148">
        <v>0.3127306273062731</v>
      </c>
      <c r="K58" s="4">
        <v>74</v>
      </c>
      <c r="L58" s="147">
        <v>0</v>
      </c>
      <c r="M58" s="147">
        <v>13.676</v>
      </c>
      <c r="N58" s="147">
        <v>0.46899999999999997</v>
      </c>
      <c r="O58" s="147">
        <v>0.46899999999999997</v>
      </c>
      <c r="P58" s="147">
        <v>14.145</v>
      </c>
      <c r="Q58" s="148">
        <v>0</v>
      </c>
      <c r="R58" s="148">
        <v>3.4293653114945886E-2</v>
      </c>
      <c r="S58" s="151">
        <v>3.4293653114945886E-2</v>
      </c>
      <c r="T58" s="4">
        <v>74</v>
      </c>
      <c r="U58" s="147">
        <f t="shared" si="0"/>
        <v>0</v>
      </c>
      <c r="V58" s="147">
        <f t="shared" si="1"/>
        <v>12.8</v>
      </c>
      <c r="W58" s="147">
        <f t="shared" si="2"/>
        <v>2.0990000000000002</v>
      </c>
      <c r="X58" s="147">
        <v>2.0990000000000002</v>
      </c>
      <c r="Y58" s="147">
        <v>14.899000000000001</v>
      </c>
      <c r="Z58" s="148">
        <v>0</v>
      </c>
      <c r="AA58" s="148">
        <v>0.16398437500000002</v>
      </c>
      <c r="AB58" s="151">
        <v>0.16398437500000002</v>
      </c>
    </row>
    <row r="59" spans="2:28">
      <c r="B59" s="4">
        <v>75</v>
      </c>
      <c r="C59" s="147"/>
      <c r="D59" s="147">
        <v>11.45</v>
      </c>
      <c r="E59" s="147">
        <v>3.7160000000000002</v>
      </c>
      <c r="F59" s="147">
        <v>3.7160000000000002</v>
      </c>
      <c r="G59" s="147">
        <v>15.166</v>
      </c>
      <c r="H59" s="148">
        <v>0</v>
      </c>
      <c r="I59" s="148">
        <v>0.32454148471615724</v>
      </c>
      <c r="J59" s="148">
        <v>0.32454148471615724</v>
      </c>
      <c r="K59" s="4">
        <v>75</v>
      </c>
      <c r="L59" s="147">
        <v>0</v>
      </c>
      <c r="M59" s="147">
        <v>13.173999999999999</v>
      </c>
      <c r="N59" s="147">
        <v>0.44800000000000001</v>
      </c>
      <c r="O59" s="147">
        <v>0.44800000000000001</v>
      </c>
      <c r="P59" s="147">
        <v>13.622</v>
      </c>
      <c r="Q59" s="148">
        <v>0</v>
      </c>
      <c r="R59" s="148">
        <v>3.4006376195536668E-2</v>
      </c>
      <c r="S59" s="151">
        <v>3.4006376195536668E-2</v>
      </c>
      <c r="T59" s="4">
        <v>75</v>
      </c>
      <c r="U59" s="147">
        <f t="shared" si="0"/>
        <v>0</v>
      </c>
      <c r="V59" s="147">
        <f t="shared" si="1"/>
        <v>12.311999999999999</v>
      </c>
      <c r="W59" s="147">
        <f t="shared" si="2"/>
        <v>2.0820000000000003</v>
      </c>
      <c r="X59" s="147">
        <v>2.0820000000000003</v>
      </c>
      <c r="Y59" s="147">
        <v>14.394</v>
      </c>
      <c r="Z59" s="148">
        <v>0</v>
      </c>
      <c r="AA59" s="148">
        <v>0.16910331384015598</v>
      </c>
      <c r="AB59" s="151">
        <v>0.16910331384015598</v>
      </c>
    </row>
    <row r="60" spans="2:28">
      <c r="B60" s="4">
        <v>76</v>
      </c>
      <c r="C60" s="147"/>
      <c r="D60" s="147">
        <v>10.97</v>
      </c>
      <c r="E60" s="147">
        <v>3.698</v>
      </c>
      <c r="F60" s="147">
        <v>3.698</v>
      </c>
      <c r="G60" s="147">
        <v>14.668000000000001</v>
      </c>
      <c r="H60" s="148">
        <v>0</v>
      </c>
      <c r="I60" s="148">
        <v>0.3371011850501367</v>
      </c>
      <c r="J60" s="148">
        <v>0.3371011850501367</v>
      </c>
      <c r="K60" s="4">
        <v>76</v>
      </c>
      <c r="L60" s="147">
        <v>0</v>
      </c>
      <c r="M60" s="147">
        <v>12.663</v>
      </c>
      <c r="N60" s="147">
        <v>0.42699999999999999</v>
      </c>
      <c r="O60" s="147">
        <v>0.42699999999999999</v>
      </c>
      <c r="P60" s="147">
        <v>13.09</v>
      </c>
      <c r="Q60" s="148">
        <v>0</v>
      </c>
      <c r="R60" s="148">
        <v>3.3720287451630734E-2</v>
      </c>
      <c r="S60" s="151">
        <v>3.3720287451630734E-2</v>
      </c>
      <c r="T60" s="4">
        <v>76</v>
      </c>
      <c r="U60" s="147">
        <f t="shared" si="0"/>
        <v>0</v>
      </c>
      <c r="V60" s="147">
        <f t="shared" si="1"/>
        <v>11.816500000000001</v>
      </c>
      <c r="W60" s="147">
        <f t="shared" si="2"/>
        <v>2.0625</v>
      </c>
      <c r="X60" s="147">
        <v>2.0625</v>
      </c>
      <c r="Y60" s="147">
        <v>13.879000000000001</v>
      </c>
      <c r="Z60" s="148">
        <v>0</v>
      </c>
      <c r="AA60" s="148">
        <v>0.17454406973300043</v>
      </c>
      <c r="AB60" s="151">
        <v>0.17454406973300043</v>
      </c>
    </row>
    <row r="61" spans="2:28">
      <c r="B61" s="4">
        <v>77</v>
      </c>
      <c r="C61" s="147"/>
      <c r="D61" s="147">
        <v>10.484999999999999</v>
      </c>
      <c r="E61" s="147">
        <v>3.6749999999999998</v>
      </c>
      <c r="F61" s="147">
        <v>3.6749999999999998</v>
      </c>
      <c r="G61" s="147">
        <v>14.16</v>
      </c>
      <c r="H61" s="148">
        <v>0</v>
      </c>
      <c r="I61" s="148">
        <v>0.35050071530758226</v>
      </c>
      <c r="J61" s="148">
        <v>0.35050071530758226</v>
      </c>
      <c r="K61" s="4">
        <v>77</v>
      </c>
      <c r="L61" s="147">
        <v>0</v>
      </c>
      <c r="M61" s="147">
        <v>12.143000000000001</v>
      </c>
      <c r="N61" s="147">
        <v>0.40400000000000003</v>
      </c>
      <c r="O61" s="147">
        <v>0.40400000000000003</v>
      </c>
      <c r="P61" s="147">
        <v>12.547000000000001</v>
      </c>
      <c r="Q61" s="148">
        <v>0</v>
      </c>
      <c r="R61" s="148">
        <v>3.327019682121387E-2</v>
      </c>
      <c r="S61" s="151">
        <v>3.327019682121387E-2</v>
      </c>
      <c r="T61" s="4">
        <v>77</v>
      </c>
      <c r="U61" s="147">
        <f t="shared" si="0"/>
        <v>0</v>
      </c>
      <c r="V61" s="147">
        <f t="shared" si="1"/>
        <v>11.314</v>
      </c>
      <c r="W61" s="147">
        <f t="shared" si="2"/>
        <v>2.0394999999999999</v>
      </c>
      <c r="X61" s="147">
        <v>2.0394999999999999</v>
      </c>
      <c r="Y61" s="147">
        <v>13.3535</v>
      </c>
      <c r="Z61" s="148">
        <v>0</v>
      </c>
      <c r="AA61" s="148">
        <v>0.18026339048965881</v>
      </c>
      <c r="AB61" s="151">
        <v>0.18026339048965881</v>
      </c>
    </row>
    <row r="62" spans="2:28">
      <c r="B62" s="4">
        <v>78</v>
      </c>
      <c r="C62" s="147"/>
      <c r="D62" s="147">
        <v>9.9969999999999999</v>
      </c>
      <c r="E62" s="147">
        <v>3.645</v>
      </c>
      <c r="F62" s="147">
        <v>3.645</v>
      </c>
      <c r="G62" s="147">
        <v>13.641999999999999</v>
      </c>
      <c r="H62" s="148">
        <v>0</v>
      </c>
      <c r="I62" s="148">
        <v>0.36460938281484445</v>
      </c>
      <c r="J62" s="148">
        <v>0.36460938281484445</v>
      </c>
      <c r="K62" s="4">
        <v>78</v>
      </c>
      <c r="L62" s="147">
        <v>0</v>
      </c>
      <c r="M62" s="147">
        <v>11.618</v>
      </c>
      <c r="N62" s="147">
        <v>0.38100000000000001</v>
      </c>
      <c r="O62" s="147">
        <v>0.38100000000000001</v>
      </c>
      <c r="P62" s="147">
        <v>11.999000000000001</v>
      </c>
      <c r="Q62" s="148">
        <v>0</v>
      </c>
      <c r="R62" s="148">
        <v>3.279394043725254E-2</v>
      </c>
      <c r="S62" s="151">
        <v>3.279394043725254E-2</v>
      </c>
      <c r="T62" s="4">
        <v>78</v>
      </c>
      <c r="U62" s="147">
        <f t="shared" si="0"/>
        <v>0</v>
      </c>
      <c r="V62" s="147">
        <f t="shared" si="1"/>
        <v>10.807500000000001</v>
      </c>
      <c r="W62" s="147">
        <f t="shared" si="2"/>
        <v>2.0129999999999999</v>
      </c>
      <c r="X62" s="147">
        <v>2.0129999999999999</v>
      </c>
      <c r="Y62" s="147">
        <v>12.820500000000001</v>
      </c>
      <c r="Z62" s="148">
        <v>0</v>
      </c>
      <c r="AA62" s="148">
        <v>0.1862595419847328</v>
      </c>
      <c r="AB62" s="151">
        <v>0.1862595419847328</v>
      </c>
    </row>
    <row r="63" spans="2:28">
      <c r="B63" s="4">
        <v>79</v>
      </c>
      <c r="C63" s="147"/>
      <c r="D63" s="147">
        <v>9.5079999999999991</v>
      </c>
      <c r="E63" s="147">
        <v>3.6070000000000002</v>
      </c>
      <c r="F63" s="147">
        <v>3.6070000000000002</v>
      </c>
      <c r="G63" s="147">
        <v>13.114999999999998</v>
      </c>
      <c r="H63" s="148">
        <v>0</v>
      </c>
      <c r="I63" s="148">
        <v>0.37936474547749272</v>
      </c>
      <c r="J63" s="148">
        <v>0.37936474547749272</v>
      </c>
      <c r="K63" s="4">
        <v>79</v>
      </c>
      <c r="L63" s="147">
        <v>0</v>
      </c>
      <c r="M63" s="147">
        <v>11.087999999999999</v>
      </c>
      <c r="N63" s="147">
        <v>0.35699999999999998</v>
      </c>
      <c r="O63" s="147">
        <v>0.35699999999999998</v>
      </c>
      <c r="P63" s="147">
        <v>11.444999999999999</v>
      </c>
      <c r="Q63" s="148">
        <v>0</v>
      </c>
      <c r="R63" s="148">
        <v>3.2196969696969696E-2</v>
      </c>
      <c r="S63" s="151">
        <v>3.2196969696969696E-2</v>
      </c>
      <c r="T63" s="4">
        <v>79</v>
      </c>
      <c r="U63" s="147">
        <f t="shared" si="0"/>
        <v>0</v>
      </c>
      <c r="V63" s="147">
        <f t="shared" si="1"/>
        <v>10.297999999999998</v>
      </c>
      <c r="W63" s="147">
        <f t="shared" si="2"/>
        <v>1.9820000000000002</v>
      </c>
      <c r="X63" s="147">
        <v>1.9820000000000002</v>
      </c>
      <c r="Y63" s="147">
        <v>12.279999999999998</v>
      </c>
      <c r="Z63" s="148">
        <v>0</v>
      </c>
      <c r="AA63" s="148">
        <v>0.19246455622450967</v>
      </c>
      <c r="AB63" s="151">
        <v>0.19246455622450967</v>
      </c>
    </row>
    <row r="64" spans="2:28">
      <c r="B64" s="4">
        <v>80</v>
      </c>
      <c r="C64" s="147"/>
      <c r="D64" s="147">
        <v>9.0210000000000008</v>
      </c>
      <c r="E64" s="147">
        <v>3.5619999999999998</v>
      </c>
      <c r="F64" s="147">
        <v>3.5619999999999998</v>
      </c>
      <c r="G64" s="147">
        <v>12.583</v>
      </c>
      <c r="H64" s="148">
        <v>0</v>
      </c>
      <c r="I64" s="148">
        <v>0.39485644607028042</v>
      </c>
      <c r="J64" s="148">
        <v>0.39485644607028042</v>
      </c>
      <c r="K64" s="4">
        <v>80</v>
      </c>
      <c r="L64" s="147">
        <v>0</v>
      </c>
      <c r="M64" s="147">
        <v>10.555</v>
      </c>
      <c r="N64" s="147">
        <v>0.33300000000000002</v>
      </c>
      <c r="O64" s="147">
        <v>0.33300000000000002</v>
      </c>
      <c r="P64" s="147">
        <v>10.888</v>
      </c>
      <c r="Q64" s="148">
        <v>0</v>
      </c>
      <c r="R64" s="148">
        <v>3.15490288962577E-2</v>
      </c>
      <c r="S64" s="151">
        <v>3.15490288962577E-2</v>
      </c>
      <c r="T64" s="4">
        <v>80</v>
      </c>
      <c r="U64" s="147">
        <f t="shared" si="0"/>
        <v>0</v>
      </c>
      <c r="V64" s="147">
        <f t="shared" si="1"/>
        <v>9.7880000000000003</v>
      </c>
      <c r="W64" s="147">
        <f t="shared" si="2"/>
        <v>1.9475</v>
      </c>
      <c r="X64" s="147">
        <v>1.9475</v>
      </c>
      <c r="Y64" s="147">
        <v>11.7355</v>
      </c>
      <c r="Z64" s="148">
        <v>0</v>
      </c>
      <c r="AA64" s="148">
        <v>0.19896812423375562</v>
      </c>
      <c r="AB64" s="151">
        <v>0.19896812423375562</v>
      </c>
    </row>
    <row r="65" spans="2:28">
      <c r="B65" s="4">
        <v>81</v>
      </c>
      <c r="C65" s="147"/>
      <c r="D65" s="147">
        <v>8.5380000000000003</v>
      </c>
      <c r="E65" s="147">
        <v>3.5070000000000001</v>
      </c>
      <c r="F65" s="147">
        <v>3.5070000000000001</v>
      </c>
      <c r="G65" s="147">
        <v>12.045</v>
      </c>
      <c r="H65" s="148">
        <v>0</v>
      </c>
      <c r="I65" s="148">
        <v>0.4107519325368939</v>
      </c>
      <c r="J65" s="148">
        <v>0.4107519325368939</v>
      </c>
      <c r="K65" s="4">
        <v>81</v>
      </c>
      <c r="L65" s="147">
        <v>0</v>
      </c>
      <c r="M65" s="147">
        <v>10.023</v>
      </c>
      <c r="N65" s="147">
        <v>0.309</v>
      </c>
      <c r="O65" s="147">
        <v>0.309</v>
      </c>
      <c r="P65" s="147">
        <v>10.331999999999999</v>
      </c>
      <c r="Q65" s="148">
        <v>0</v>
      </c>
      <c r="R65" s="148">
        <v>3.0829093085902426E-2</v>
      </c>
      <c r="S65" s="151">
        <v>3.0829093085902426E-2</v>
      </c>
      <c r="T65" s="4">
        <v>81</v>
      </c>
      <c r="U65" s="147">
        <f t="shared" si="0"/>
        <v>0</v>
      </c>
      <c r="V65" s="147">
        <f t="shared" si="1"/>
        <v>9.2805</v>
      </c>
      <c r="W65" s="147">
        <f t="shared" si="2"/>
        <v>1.9080000000000001</v>
      </c>
      <c r="X65" s="147">
        <v>1.9080000000000001</v>
      </c>
      <c r="Y65" s="147">
        <v>11.188499999999999</v>
      </c>
      <c r="Z65" s="148">
        <v>0</v>
      </c>
      <c r="AA65" s="148">
        <v>0.20559237110069503</v>
      </c>
      <c r="AB65" s="151">
        <v>0.20559237110069503</v>
      </c>
    </row>
    <row r="66" spans="2:28">
      <c r="B66" s="4">
        <v>82</v>
      </c>
      <c r="C66" s="147"/>
      <c r="D66" s="147">
        <v>8.0619999999999994</v>
      </c>
      <c r="E66" s="147">
        <v>3.4260000000000002</v>
      </c>
      <c r="F66" s="147">
        <v>3.4260000000000002</v>
      </c>
      <c r="G66" s="147">
        <v>11.488</v>
      </c>
      <c r="H66" s="148">
        <v>0</v>
      </c>
      <c r="I66" s="148">
        <v>0.42495658645497403</v>
      </c>
      <c r="J66" s="148">
        <v>0.42495658645497403</v>
      </c>
      <c r="K66" s="4">
        <v>82</v>
      </c>
      <c r="L66" s="147">
        <v>0</v>
      </c>
      <c r="M66" s="147">
        <v>9.4920000000000009</v>
      </c>
      <c r="N66" s="147">
        <v>0.28499999999999998</v>
      </c>
      <c r="O66" s="147">
        <v>0.28499999999999998</v>
      </c>
      <c r="P66" s="147">
        <v>9.777000000000001</v>
      </c>
      <c r="Q66" s="148">
        <v>0</v>
      </c>
      <c r="R66" s="148">
        <v>3.0025284450063205E-2</v>
      </c>
      <c r="S66" s="151">
        <v>3.0025284450063205E-2</v>
      </c>
      <c r="T66" s="4">
        <v>82</v>
      </c>
      <c r="U66" s="147">
        <f t="shared" si="0"/>
        <v>0</v>
      </c>
      <c r="V66" s="147">
        <f t="shared" si="1"/>
        <v>8.777000000000001</v>
      </c>
      <c r="W66" s="147">
        <f t="shared" si="2"/>
        <v>1.8555000000000001</v>
      </c>
      <c r="X66" s="147">
        <v>1.8555000000000001</v>
      </c>
      <c r="Y66" s="147">
        <v>10.6325</v>
      </c>
      <c r="Z66" s="148">
        <v>0</v>
      </c>
      <c r="AA66" s="148">
        <v>0.21140480802096387</v>
      </c>
      <c r="AB66" s="151">
        <v>0.21140480802096387</v>
      </c>
    </row>
    <row r="67" spans="2:28">
      <c r="B67" s="4">
        <v>83</v>
      </c>
      <c r="C67" s="147"/>
      <c r="D67" s="147">
        <v>7.5960000000000001</v>
      </c>
      <c r="E67" s="147">
        <v>3.3330000000000002</v>
      </c>
      <c r="F67" s="147">
        <v>3.3330000000000002</v>
      </c>
      <c r="G67" s="147">
        <v>10.929</v>
      </c>
      <c r="H67" s="148">
        <v>0</v>
      </c>
      <c r="I67" s="148">
        <v>0.43878357030015802</v>
      </c>
      <c r="J67" s="148">
        <v>0.43878357030015802</v>
      </c>
      <c r="K67" s="4">
        <v>83</v>
      </c>
      <c r="L67" s="147">
        <v>0</v>
      </c>
      <c r="M67" s="147">
        <v>8.9670000000000005</v>
      </c>
      <c r="N67" s="147">
        <v>0.26100000000000001</v>
      </c>
      <c r="O67" s="147">
        <v>0.26100000000000001</v>
      </c>
      <c r="P67" s="147">
        <v>9.2279999999999998</v>
      </c>
      <c r="Q67" s="148">
        <v>0</v>
      </c>
      <c r="R67" s="148">
        <v>2.9106724657075946E-2</v>
      </c>
      <c r="S67" s="151">
        <v>2.9106724657075946E-2</v>
      </c>
      <c r="T67" s="4">
        <v>83</v>
      </c>
      <c r="U67" s="147">
        <f t="shared" si="0"/>
        <v>0</v>
      </c>
      <c r="V67" s="147">
        <f t="shared" si="1"/>
        <v>8.2815000000000012</v>
      </c>
      <c r="W67" s="147">
        <f t="shared" si="2"/>
        <v>1.7970000000000002</v>
      </c>
      <c r="X67" s="147">
        <v>1.7970000000000002</v>
      </c>
      <c r="Y67" s="147">
        <v>10.078500000000002</v>
      </c>
      <c r="Z67" s="148">
        <v>0</v>
      </c>
      <c r="AA67" s="148">
        <v>0.21698967578337255</v>
      </c>
      <c r="AB67" s="151">
        <v>0.21698967578337255</v>
      </c>
    </row>
    <row r="68" spans="2:28">
      <c r="B68" s="4">
        <v>84</v>
      </c>
      <c r="C68" s="147"/>
      <c r="D68" s="147">
        <v>7.1429999999999998</v>
      </c>
      <c r="E68" s="147">
        <v>3.2280000000000002</v>
      </c>
      <c r="F68" s="147">
        <v>3.2280000000000002</v>
      </c>
      <c r="G68" s="147">
        <v>10.371</v>
      </c>
      <c r="H68" s="148">
        <v>0</v>
      </c>
      <c r="I68" s="148">
        <v>0.45191096178076445</v>
      </c>
      <c r="J68" s="148">
        <v>0.45191096178076445</v>
      </c>
      <c r="K68" s="4">
        <v>84</v>
      </c>
      <c r="L68" s="147">
        <v>0</v>
      </c>
      <c r="M68" s="147">
        <v>8.4499999999999993</v>
      </c>
      <c r="N68" s="147">
        <v>0.23799999999999999</v>
      </c>
      <c r="O68" s="147">
        <v>0.23799999999999999</v>
      </c>
      <c r="P68" s="147">
        <v>8.6879999999999988</v>
      </c>
      <c r="Q68" s="148">
        <v>0</v>
      </c>
      <c r="R68" s="148">
        <v>2.816568047337278E-2</v>
      </c>
      <c r="S68" s="151">
        <v>2.816568047337278E-2</v>
      </c>
      <c r="T68" s="4">
        <v>84</v>
      </c>
      <c r="U68" s="147">
        <f t="shared" si="0"/>
        <v>0</v>
      </c>
      <c r="V68" s="147">
        <f t="shared" si="1"/>
        <v>7.7965</v>
      </c>
      <c r="W68" s="147">
        <f t="shared" si="2"/>
        <v>1.7330000000000001</v>
      </c>
      <c r="X68" s="147">
        <v>1.7330000000000001</v>
      </c>
      <c r="Y68" s="147">
        <v>9.5295000000000005</v>
      </c>
      <c r="Z68" s="148">
        <v>0</v>
      </c>
      <c r="AA68" s="148">
        <v>0.22227922785865453</v>
      </c>
      <c r="AB68" s="151">
        <v>0.22227922785865453</v>
      </c>
    </row>
    <row r="69" spans="2:28">
      <c r="B69" s="4">
        <v>85</v>
      </c>
      <c r="C69" s="147"/>
      <c r="D69" s="147">
        <v>6.7080000000000002</v>
      </c>
      <c r="E69" s="147">
        <v>3.1139999999999999</v>
      </c>
      <c r="F69" s="147">
        <v>3.1139999999999999</v>
      </c>
      <c r="G69" s="147">
        <v>9.8219999999999992</v>
      </c>
      <c r="H69" s="148">
        <v>0</v>
      </c>
      <c r="I69" s="148">
        <v>0.46422182468694095</v>
      </c>
      <c r="J69" s="148">
        <v>0.46422182468694095</v>
      </c>
      <c r="K69" s="4">
        <v>85</v>
      </c>
      <c r="L69" s="147">
        <v>0</v>
      </c>
      <c r="M69" s="147">
        <v>7.944</v>
      </c>
      <c r="N69" s="147">
        <v>0.21199999999999999</v>
      </c>
      <c r="O69" s="147">
        <v>0.21199999999999999</v>
      </c>
      <c r="P69" s="147">
        <v>8.1560000000000006</v>
      </c>
      <c r="Q69" s="148">
        <v>0</v>
      </c>
      <c r="R69" s="148">
        <v>2.6686807653575024E-2</v>
      </c>
      <c r="S69" s="151">
        <v>2.6686807653575024E-2</v>
      </c>
      <c r="T69" s="4">
        <v>85</v>
      </c>
      <c r="U69" s="147">
        <f t="shared" ref="U69:U84" si="3">(L69+C69)/2</f>
        <v>0</v>
      </c>
      <c r="V69" s="147">
        <f t="shared" ref="V69:V84" si="4">+(M69+D69)/2</f>
        <v>7.3260000000000005</v>
      </c>
      <c r="W69" s="147">
        <f t="shared" ref="W69:W84" si="5">(N69+E69)/2</f>
        <v>1.663</v>
      </c>
      <c r="X69" s="147">
        <v>1.663</v>
      </c>
      <c r="Y69" s="147">
        <v>8.9890000000000008</v>
      </c>
      <c r="Z69" s="148">
        <v>0</v>
      </c>
      <c r="AA69" s="148">
        <v>0.22699972699972698</v>
      </c>
      <c r="AB69" s="151">
        <v>0.22699972699972698</v>
      </c>
    </row>
    <row r="70" spans="2:28">
      <c r="B70" s="4">
        <v>86</v>
      </c>
      <c r="C70" s="147"/>
      <c r="D70" s="147">
        <v>6.2949999999999999</v>
      </c>
      <c r="E70" s="147">
        <v>2.992</v>
      </c>
      <c r="F70" s="147">
        <v>2.992</v>
      </c>
      <c r="G70" s="147">
        <v>9.286999999999999</v>
      </c>
      <c r="H70" s="148">
        <v>0</v>
      </c>
      <c r="I70" s="148">
        <v>0.47529785544082603</v>
      </c>
      <c r="J70" s="148">
        <v>0.47529785544082603</v>
      </c>
      <c r="K70" s="4">
        <v>86</v>
      </c>
      <c r="L70" s="147">
        <v>0</v>
      </c>
      <c r="M70" s="147">
        <v>7.452</v>
      </c>
      <c r="N70" s="147">
        <v>0.186</v>
      </c>
      <c r="O70" s="147">
        <v>0.186</v>
      </c>
      <c r="P70" s="147">
        <v>7.6379999999999999</v>
      </c>
      <c r="Q70" s="148">
        <v>0</v>
      </c>
      <c r="R70" s="148">
        <v>2.4959742351046699E-2</v>
      </c>
      <c r="S70" s="151">
        <v>2.4959742351046699E-2</v>
      </c>
      <c r="T70" s="4">
        <v>86</v>
      </c>
      <c r="U70" s="147">
        <f t="shared" si="3"/>
        <v>0</v>
      </c>
      <c r="V70" s="147">
        <f t="shared" si="4"/>
        <v>6.8734999999999999</v>
      </c>
      <c r="W70" s="147">
        <f t="shared" si="5"/>
        <v>1.589</v>
      </c>
      <c r="X70" s="147">
        <v>1.589</v>
      </c>
      <c r="Y70" s="147">
        <v>8.4625000000000004</v>
      </c>
      <c r="Z70" s="148">
        <v>0</v>
      </c>
      <c r="AA70" s="148">
        <v>0.23117771150069105</v>
      </c>
      <c r="AB70" s="151">
        <v>0.23117771150069105</v>
      </c>
    </row>
    <row r="71" spans="2:28">
      <c r="B71" s="4">
        <v>87</v>
      </c>
      <c r="C71" s="147"/>
      <c r="D71" s="147">
        <v>5.9089999999999998</v>
      </c>
      <c r="E71" s="147">
        <v>2.8650000000000002</v>
      </c>
      <c r="F71" s="147">
        <v>2.8650000000000002</v>
      </c>
      <c r="G71" s="147">
        <v>8.7740000000000009</v>
      </c>
      <c r="H71" s="148">
        <v>0</v>
      </c>
      <c r="I71" s="148">
        <v>0.4848536131325098</v>
      </c>
      <c r="J71" s="148">
        <v>0.4848536131325098</v>
      </c>
      <c r="K71" s="4">
        <v>87</v>
      </c>
      <c r="L71" s="147">
        <v>0</v>
      </c>
      <c r="M71" s="147">
        <v>6.9770000000000003</v>
      </c>
      <c r="N71" s="147">
        <v>0.16200000000000001</v>
      </c>
      <c r="O71" s="147">
        <v>0.16200000000000001</v>
      </c>
      <c r="P71" s="147">
        <v>7.1390000000000002</v>
      </c>
      <c r="Q71" s="148">
        <v>0</v>
      </c>
      <c r="R71" s="148">
        <v>2.3219148631216855E-2</v>
      </c>
      <c r="S71" s="151">
        <v>2.3219148631216855E-2</v>
      </c>
      <c r="T71" s="4">
        <v>87</v>
      </c>
      <c r="U71" s="147">
        <f t="shared" si="3"/>
        <v>0</v>
      </c>
      <c r="V71" s="147">
        <f t="shared" si="4"/>
        <v>6.4429999999999996</v>
      </c>
      <c r="W71" s="147">
        <f t="shared" si="5"/>
        <v>1.5135000000000001</v>
      </c>
      <c r="X71" s="147">
        <v>1.5135000000000001</v>
      </c>
      <c r="Y71" s="147">
        <v>7.9565000000000001</v>
      </c>
      <c r="Z71" s="148">
        <v>0</v>
      </c>
      <c r="AA71" s="148">
        <v>0.23490609964302345</v>
      </c>
      <c r="AB71" s="151">
        <v>0.23490609964302345</v>
      </c>
    </row>
    <row r="72" spans="2:28">
      <c r="B72" s="4">
        <v>88</v>
      </c>
      <c r="C72" s="147"/>
      <c r="D72" s="147">
        <v>5.5570000000000004</v>
      </c>
      <c r="E72" s="147">
        <v>2.7050000000000001</v>
      </c>
      <c r="F72" s="147">
        <v>2.7050000000000001</v>
      </c>
      <c r="G72" s="147">
        <v>8.2620000000000005</v>
      </c>
      <c r="H72" s="148">
        <v>0</v>
      </c>
      <c r="I72" s="148">
        <v>0.48677343890588443</v>
      </c>
      <c r="J72" s="148">
        <v>0.48677343890588443</v>
      </c>
      <c r="K72" s="4">
        <v>88</v>
      </c>
      <c r="L72" s="147">
        <v>0</v>
      </c>
      <c r="M72" s="147">
        <v>6.5209999999999999</v>
      </c>
      <c r="N72" s="147">
        <v>0.14000000000000001</v>
      </c>
      <c r="O72" s="147">
        <v>0.14000000000000001</v>
      </c>
      <c r="P72" s="147">
        <v>6.6609999999999996</v>
      </c>
      <c r="Q72" s="148">
        <v>0</v>
      </c>
      <c r="R72" s="148">
        <v>2.1469099831314217E-2</v>
      </c>
      <c r="S72" s="151">
        <v>2.1469099831314217E-2</v>
      </c>
      <c r="T72" s="4">
        <v>88</v>
      </c>
      <c r="U72" s="147">
        <f t="shared" si="3"/>
        <v>0</v>
      </c>
      <c r="V72" s="147">
        <f t="shared" si="4"/>
        <v>6.0389999999999997</v>
      </c>
      <c r="W72" s="147">
        <f t="shared" si="5"/>
        <v>1.4225000000000001</v>
      </c>
      <c r="X72" s="147">
        <v>1.4225000000000001</v>
      </c>
      <c r="Y72" s="147">
        <v>7.4615</v>
      </c>
      <c r="Z72" s="148">
        <v>0</v>
      </c>
      <c r="AA72" s="148">
        <v>0.23555224374896508</v>
      </c>
      <c r="AB72" s="151">
        <v>0.23555224374896508</v>
      </c>
    </row>
    <row r="73" spans="2:28">
      <c r="B73" s="4">
        <v>89</v>
      </c>
      <c r="C73" s="147"/>
      <c r="D73" s="147">
        <v>5.2469999999999999</v>
      </c>
      <c r="E73" s="147">
        <v>2.5379999999999998</v>
      </c>
      <c r="F73" s="147">
        <v>2.5379999999999998</v>
      </c>
      <c r="G73" s="147">
        <v>7.7850000000000001</v>
      </c>
      <c r="H73" s="148">
        <v>0</v>
      </c>
      <c r="I73" s="148">
        <v>0.483704974271012</v>
      </c>
      <c r="J73" s="148">
        <v>0.483704974271012</v>
      </c>
      <c r="K73" s="4">
        <v>89</v>
      </c>
      <c r="L73" s="147">
        <v>0</v>
      </c>
      <c r="M73" s="147">
        <v>6.093</v>
      </c>
      <c r="N73" s="147">
        <v>0.11700000000000001</v>
      </c>
      <c r="O73" s="147">
        <v>0.11700000000000001</v>
      </c>
      <c r="P73" s="147">
        <v>6.21</v>
      </c>
      <c r="Q73" s="148">
        <v>0</v>
      </c>
      <c r="R73" s="148">
        <v>1.9202363367799114E-2</v>
      </c>
      <c r="S73" s="151">
        <v>1.9202363367799114E-2</v>
      </c>
      <c r="T73" s="4">
        <v>89</v>
      </c>
      <c r="U73" s="147">
        <f t="shared" si="3"/>
        <v>0</v>
      </c>
      <c r="V73" s="147">
        <f t="shared" si="4"/>
        <v>5.67</v>
      </c>
      <c r="W73" s="147">
        <f t="shared" si="5"/>
        <v>1.3274999999999999</v>
      </c>
      <c r="X73" s="147">
        <v>1.3274999999999999</v>
      </c>
      <c r="Y73" s="147">
        <v>6.9974999999999996</v>
      </c>
      <c r="Z73" s="148">
        <v>0</v>
      </c>
      <c r="AA73" s="148">
        <v>0.2341269841269841</v>
      </c>
      <c r="AB73" s="151">
        <v>0.2341269841269841</v>
      </c>
    </row>
    <row r="74" spans="2:28">
      <c r="B74" s="4">
        <v>90</v>
      </c>
      <c r="C74" s="147"/>
      <c r="D74" s="147">
        <v>4.9669999999999996</v>
      </c>
      <c r="E74" s="147">
        <v>2.3759999999999999</v>
      </c>
      <c r="F74" s="147">
        <v>2.3759999999999999</v>
      </c>
      <c r="G74" s="147">
        <v>7.343</v>
      </c>
      <c r="H74" s="148">
        <v>0</v>
      </c>
      <c r="I74" s="148">
        <v>0.47835715723776928</v>
      </c>
      <c r="J74" s="148">
        <v>0.47835715723776928</v>
      </c>
      <c r="K74" s="4">
        <v>90</v>
      </c>
      <c r="L74" s="147">
        <v>0</v>
      </c>
      <c r="M74" s="147">
        <v>5.694</v>
      </c>
      <c r="N74" s="147">
        <v>9.7000000000000003E-2</v>
      </c>
      <c r="O74" s="147">
        <v>9.7000000000000003E-2</v>
      </c>
      <c r="P74" s="147">
        <v>5.7910000000000004</v>
      </c>
      <c r="Q74" s="148">
        <v>0</v>
      </c>
      <c r="R74" s="148">
        <v>1.7035475939585529E-2</v>
      </c>
      <c r="S74" s="151">
        <v>1.7035475939585529E-2</v>
      </c>
      <c r="T74" s="4">
        <v>90</v>
      </c>
      <c r="U74" s="147">
        <f t="shared" si="3"/>
        <v>0</v>
      </c>
      <c r="V74" s="147">
        <f t="shared" si="4"/>
        <v>5.3304999999999998</v>
      </c>
      <c r="W74" s="147">
        <f t="shared" si="5"/>
        <v>1.2364999999999999</v>
      </c>
      <c r="X74" s="147">
        <v>1.2364999999999999</v>
      </c>
      <c r="Y74" s="147">
        <v>6.5670000000000002</v>
      </c>
      <c r="Z74" s="148">
        <v>0</v>
      </c>
      <c r="AA74" s="148">
        <v>0.23196698245943156</v>
      </c>
      <c r="AB74" s="151">
        <v>0.23196698245943156</v>
      </c>
    </row>
    <row r="75" spans="2:28">
      <c r="B75" s="4">
        <v>91</v>
      </c>
      <c r="C75" s="147"/>
      <c r="D75" s="147">
        <v>4.7060000000000004</v>
      </c>
      <c r="E75" s="147">
        <v>2.1920000000000002</v>
      </c>
      <c r="F75" s="147">
        <v>2.1920000000000002</v>
      </c>
      <c r="G75" s="147">
        <v>6.8980000000000006</v>
      </c>
      <c r="H75" s="148">
        <v>0</v>
      </c>
      <c r="I75" s="148">
        <v>0.46578835529111773</v>
      </c>
      <c r="J75" s="148">
        <v>0.46578835529111773</v>
      </c>
      <c r="K75" s="4">
        <v>91</v>
      </c>
      <c r="L75" s="147">
        <v>0</v>
      </c>
      <c r="M75" s="147">
        <v>5.3259999999999996</v>
      </c>
      <c r="N75" s="147">
        <v>0.08</v>
      </c>
      <c r="O75" s="147">
        <v>0.08</v>
      </c>
      <c r="P75" s="147">
        <v>5.4059999999999997</v>
      </c>
      <c r="Q75" s="148">
        <v>0</v>
      </c>
      <c r="R75" s="148">
        <v>1.5020653398422833E-2</v>
      </c>
      <c r="S75" s="151">
        <v>1.5020653398422833E-2</v>
      </c>
      <c r="T75" s="4">
        <v>91</v>
      </c>
      <c r="U75" s="147">
        <f t="shared" si="3"/>
        <v>0</v>
      </c>
      <c r="V75" s="147">
        <f t="shared" si="4"/>
        <v>5.016</v>
      </c>
      <c r="W75" s="147">
        <f t="shared" si="5"/>
        <v>1.1360000000000001</v>
      </c>
      <c r="X75" s="147">
        <v>1.1360000000000001</v>
      </c>
      <c r="Y75" s="147">
        <v>6.1520000000000001</v>
      </c>
      <c r="Z75" s="148">
        <v>0</v>
      </c>
      <c r="AA75" s="148">
        <v>0.22647527910685808</v>
      </c>
      <c r="AB75" s="151">
        <v>0.22647527910685808</v>
      </c>
    </row>
    <row r="76" spans="2:28">
      <c r="B76" s="4">
        <v>92</v>
      </c>
      <c r="C76" s="147"/>
      <c r="D76" s="147">
        <v>4.4630000000000001</v>
      </c>
      <c r="E76" s="147">
        <v>2.024</v>
      </c>
      <c r="F76" s="147">
        <v>2.024</v>
      </c>
      <c r="G76" s="147">
        <v>6.4870000000000001</v>
      </c>
      <c r="H76" s="148">
        <v>0</v>
      </c>
      <c r="I76" s="148">
        <v>0.45350660990365227</v>
      </c>
      <c r="J76" s="148">
        <v>0.45350660990365227</v>
      </c>
      <c r="K76" s="4">
        <v>92</v>
      </c>
      <c r="L76" s="147">
        <v>0</v>
      </c>
      <c r="M76" s="147">
        <v>4.99</v>
      </c>
      <c r="N76" s="147">
        <v>6.4000000000000001E-2</v>
      </c>
      <c r="O76" s="147">
        <v>6.4000000000000001E-2</v>
      </c>
      <c r="P76" s="147">
        <v>5.0540000000000003</v>
      </c>
      <c r="Q76" s="148">
        <v>0</v>
      </c>
      <c r="R76" s="148">
        <v>1.282565130260521E-2</v>
      </c>
      <c r="S76" s="151">
        <v>1.282565130260521E-2</v>
      </c>
      <c r="T76" s="4">
        <v>92</v>
      </c>
      <c r="U76" s="147">
        <f t="shared" si="3"/>
        <v>0</v>
      </c>
      <c r="V76" s="147">
        <f t="shared" si="4"/>
        <v>4.7264999999999997</v>
      </c>
      <c r="W76" s="147">
        <f t="shared" si="5"/>
        <v>1.044</v>
      </c>
      <c r="X76" s="147">
        <v>1.044</v>
      </c>
      <c r="Y76" s="147">
        <v>5.7705000000000002</v>
      </c>
      <c r="Z76" s="148">
        <v>0</v>
      </c>
      <c r="AA76" s="148">
        <v>0.22088225960012697</v>
      </c>
      <c r="AB76" s="151">
        <v>0.22088225960012697</v>
      </c>
    </row>
    <row r="77" spans="2:28">
      <c r="B77" s="4">
        <v>93</v>
      </c>
      <c r="C77" s="147"/>
      <c r="D77" s="147">
        <v>4.2380000000000004</v>
      </c>
      <c r="E77" s="147">
        <v>1.839</v>
      </c>
      <c r="F77" s="147">
        <v>1.839</v>
      </c>
      <c r="G77" s="147">
        <v>6.077</v>
      </c>
      <c r="H77" s="148">
        <v>0</v>
      </c>
      <c r="I77" s="148">
        <v>0.43393109957527132</v>
      </c>
      <c r="J77" s="148">
        <v>0.43393109957527132</v>
      </c>
      <c r="K77" s="4">
        <v>93</v>
      </c>
      <c r="L77" s="147">
        <v>0</v>
      </c>
      <c r="M77" s="147">
        <v>4.6840000000000002</v>
      </c>
      <c r="N77" s="147">
        <v>5.1999999999999998E-2</v>
      </c>
      <c r="O77" s="147">
        <v>5.1999999999999998E-2</v>
      </c>
      <c r="P77" s="147">
        <v>4.7359999999999998</v>
      </c>
      <c r="Q77" s="148">
        <v>0</v>
      </c>
      <c r="R77" s="148">
        <v>1.1101622544833475E-2</v>
      </c>
      <c r="S77" s="151">
        <v>1.1101622544833475E-2</v>
      </c>
      <c r="T77" s="4">
        <v>93</v>
      </c>
      <c r="U77" s="147">
        <f t="shared" si="3"/>
        <v>0</v>
      </c>
      <c r="V77" s="147">
        <f t="shared" si="4"/>
        <v>4.4610000000000003</v>
      </c>
      <c r="W77" s="147">
        <f t="shared" si="5"/>
        <v>0.94550000000000001</v>
      </c>
      <c r="X77" s="147">
        <v>0.94550000000000001</v>
      </c>
      <c r="Y77" s="147">
        <v>5.4065000000000003</v>
      </c>
      <c r="Z77" s="148">
        <v>0</v>
      </c>
      <c r="AA77" s="148">
        <v>0.21194799372338038</v>
      </c>
      <c r="AB77" s="151">
        <v>0.21194799372338038</v>
      </c>
    </row>
    <row r="78" spans="2:28">
      <c r="B78" s="4">
        <v>94</v>
      </c>
      <c r="C78" s="147"/>
      <c r="D78" s="147">
        <v>4.0309999999999997</v>
      </c>
      <c r="E78" s="147">
        <v>1.6739999999999999</v>
      </c>
      <c r="F78" s="147">
        <v>1.6739999999999999</v>
      </c>
      <c r="G78" s="147">
        <v>5.7050000000000001</v>
      </c>
      <c r="H78" s="148">
        <v>0</v>
      </c>
      <c r="I78" s="148">
        <v>0.41528156784916898</v>
      </c>
      <c r="J78" s="148">
        <v>0.41528156784916898</v>
      </c>
      <c r="K78" s="4">
        <v>94</v>
      </c>
      <c r="L78" s="147">
        <v>0</v>
      </c>
      <c r="M78" s="147">
        <v>4.4039999999999999</v>
      </c>
      <c r="N78" s="147">
        <v>4.2000000000000003E-2</v>
      </c>
      <c r="O78" s="147">
        <v>4.2000000000000003E-2</v>
      </c>
      <c r="P78" s="147">
        <v>4.4459999999999997</v>
      </c>
      <c r="Q78" s="148">
        <v>0</v>
      </c>
      <c r="R78" s="148">
        <v>9.5367847411444145E-3</v>
      </c>
      <c r="S78" s="151">
        <v>9.5367847411444145E-3</v>
      </c>
      <c r="T78" s="4">
        <v>94</v>
      </c>
      <c r="U78" s="147">
        <f t="shared" si="3"/>
        <v>0</v>
      </c>
      <c r="V78" s="147">
        <f t="shared" si="4"/>
        <v>4.2174999999999994</v>
      </c>
      <c r="W78" s="147">
        <f t="shared" si="5"/>
        <v>0.85799999999999998</v>
      </c>
      <c r="X78" s="147">
        <v>0.85799999999999998</v>
      </c>
      <c r="Y78" s="147">
        <v>5.075499999999999</v>
      </c>
      <c r="Z78" s="148">
        <v>0</v>
      </c>
      <c r="AA78" s="148">
        <v>0.20343805572021342</v>
      </c>
      <c r="AB78" s="151">
        <v>0.20343805572021342</v>
      </c>
    </row>
    <row r="79" spans="2:28">
      <c r="B79" s="4">
        <v>95</v>
      </c>
      <c r="C79" s="147"/>
      <c r="D79" s="147">
        <v>3.8420000000000001</v>
      </c>
      <c r="E79" s="147">
        <v>1.528</v>
      </c>
      <c r="F79" s="147">
        <v>1.528</v>
      </c>
      <c r="G79" s="147">
        <v>5.37</v>
      </c>
      <c r="H79" s="148">
        <v>0</v>
      </c>
      <c r="I79" s="148">
        <v>0.39770952628839146</v>
      </c>
      <c r="J79" s="148">
        <v>0.39770952628839146</v>
      </c>
      <c r="K79" s="4">
        <v>95</v>
      </c>
      <c r="L79" s="147">
        <v>0</v>
      </c>
      <c r="M79" s="147">
        <v>4.149</v>
      </c>
      <c r="N79" s="147">
        <v>3.4000000000000002E-2</v>
      </c>
      <c r="O79" s="147">
        <v>3.4000000000000002E-2</v>
      </c>
      <c r="P79" s="147">
        <v>4.1829999999999998</v>
      </c>
      <c r="Q79" s="148">
        <v>0</v>
      </c>
      <c r="R79" s="148">
        <v>8.1947457218606891E-3</v>
      </c>
      <c r="S79" s="151">
        <v>8.1947457218606891E-3</v>
      </c>
      <c r="T79" s="4">
        <v>95</v>
      </c>
      <c r="U79" s="147">
        <f t="shared" si="3"/>
        <v>0</v>
      </c>
      <c r="V79" s="147">
        <f t="shared" si="4"/>
        <v>3.9954999999999998</v>
      </c>
      <c r="W79" s="147">
        <f t="shared" si="5"/>
        <v>0.78100000000000003</v>
      </c>
      <c r="X79" s="147">
        <v>0.78100000000000003</v>
      </c>
      <c r="Y79" s="147">
        <v>4.7764999999999995</v>
      </c>
      <c r="Z79" s="148">
        <v>0</v>
      </c>
      <c r="AA79" s="148">
        <v>0.1954699036415968</v>
      </c>
      <c r="AB79" s="151">
        <v>0.1954699036415968</v>
      </c>
    </row>
    <row r="80" spans="2:28">
      <c r="B80" s="4">
        <v>96</v>
      </c>
      <c r="C80" s="147"/>
      <c r="D80" s="147">
        <v>3.67</v>
      </c>
      <c r="E80" s="147">
        <v>1.3640000000000001</v>
      </c>
      <c r="F80" s="147">
        <v>1.3640000000000001</v>
      </c>
      <c r="G80" s="147">
        <v>5.0339999999999998</v>
      </c>
      <c r="H80" s="148">
        <v>0</v>
      </c>
      <c r="I80" s="148">
        <v>0.3716621253405995</v>
      </c>
      <c r="J80" s="148">
        <v>0.3716621253405995</v>
      </c>
      <c r="K80" s="4">
        <v>96</v>
      </c>
      <c r="L80" s="147">
        <v>0</v>
      </c>
      <c r="M80" s="147">
        <v>3.919</v>
      </c>
      <c r="N80" s="147">
        <v>2.7E-2</v>
      </c>
      <c r="O80" s="147">
        <v>2.7E-2</v>
      </c>
      <c r="P80" s="147">
        <v>3.9460000000000002</v>
      </c>
      <c r="Q80" s="148">
        <v>0</v>
      </c>
      <c r="R80" s="148">
        <v>6.8895126307731563E-3</v>
      </c>
      <c r="S80" s="151">
        <v>6.8895126307731563E-3</v>
      </c>
      <c r="T80" s="4">
        <v>96</v>
      </c>
      <c r="U80" s="147">
        <f t="shared" si="3"/>
        <v>0</v>
      </c>
      <c r="V80" s="147">
        <f t="shared" si="4"/>
        <v>3.7945000000000002</v>
      </c>
      <c r="W80" s="147">
        <f t="shared" si="5"/>
        <v>0.69550000000000001</v>
      </c>
      <c r="X80" s="147">
        <v>0.69550000000000001</v>
      </c>
      <c r="Y80" s="147">
        <v>4.49</v>
      </c>
      <c r="Z80" s="148">
        <v>0</v>
      </c>
      <c r="AA80" s="148">
        <v>0.18329160627223612</v>
      </c>
      <c r="AB80" s="151">
        <v>0.18329160627223612</v>
      </c>
    </row>
    <row r="81" spans="2:28">
      <c r="B81" s="4">
        <v>97</v>
      </c>
      <c r="C81" s="147"/>
      <c r="D81" s="147">
        <v>3.5129999999999999</v>
      </c>
      <c r="E81" s="147">
        <v>1.2110000000000001</v>
      </c>
      <c r="F81" s="147">
        <v>1.2110000000000001</v>
      </c>
      <c r="G81" s="147">
        <v>4.7240000000000002</v>
      </c>
      <c r="H81" s="148">
        <v>0</v>
      </c>
      <c r="I81" s="148">
        <v>0.34471961286649588</v>
      </c>
      <c r="J81" s="148">
        <v>0.34471961286649588</v>
      </c>
      <c r="K81" s="4">
        <v>97</v>
      </c>
      <c r="L81" s="147">
        <v>0</v>
      </c>
      <c r="M81" s="147">
        <v>3.7130000000000001</v>
      </c>
      <c r="N81" s="147">
        <v>2.1000000000000001E-2</v>
      </c>
      <c r="O81" s="147">
        <v>2.1000000000000001E-2</v>
      </c>
      <c r="P81" s="147">
        <v>3.734</v>
      </c>
      <c r="Q81" s="148">
        <v>0</v>
      </c>
      <c r="R81" s="148">
        <v>5.655803932130353E-3</v>
      </c>
      <c r="S81" s="151">
        <v>5.655803932130353E-3</v>
      </c>
      <c r="T81" s="4">
        <v>97</v>
      </c>
      <c r="U81" s="147">
        <f t="shared" si="3"/>
        <v>0</v>
      </c>
      <c r="V81" s="147">
        <f t="shared" si="4"/>
        <v>3.613</v>
      </c>
      <c r="W81" s="147">
        <f t="shared" si="5"/>
        <v>0.61599999999999999</v>
      </c>
      <c r="X81" s="147">
        <v>0.61599999999999999</v>
      </c>
      <c r="Y81" s="147">
        <v>4.2290000000000001</v>
      </c>
      <c r="Z81" s="148">
        <v>0</v>
      </c>
      <c r="AA81" s="148">
        <v>0.17049543315804042</v>
      </c>
      <c r="AB81" s="151">
        <v>0.17049543315804042</v>
      </c>
    </row>
    <row r="82" spans="2:28">
      <c r="B82" s="4">
        <v>98</v>
      </c>
      <c r="C82" s="147"/>
      <c r="D82" s="147">
        <v>3.371</v>
      </c>
      <c r="E82" s="147">
        <v>1.038</v>
      </c>
      <c r="F82" s="147">
        <v>1.038</v>
      </c>
      <c r="G82" s="147">
        <v>4.4089999999999998</v>
      </c>
      <c r="H82" s="148">
        <v>0</v>
      </c>
      <c r="I82" s="148">
        <v>0.30792049836843666</v>
      </c>
      <c r="J82" s="148">
        <v>0.30792049836843666</v>
      </c>
      <c r="K82" s="4">
        <v>98</v>
      </c>
      <c r="L82" s="147">
        <v>0</v>
      </c>
      <c r="M82" s="147">
        <v>3.53</v>
      </c>
      <c r="N82" s="147">
        <v>1.6E-2</v>
      </c>
      <c r="O82" s="147">
        <v>1.6E-2</v>
      </c>
      <c r="P82" s="147">
        <v>3.5459999999999998</v>
      </c>
      <c r="Q82" s="148">
        <v>0</v>
      </c>
      <c r="R82" s="148">
        <v>4.5325779036827201E-3</v>
      </c>
      <c r="S82" s="151">
        <v>4.5325779036827201E-3</v>
      </c>
      <c r="T82" s="4">
        <v>98</v>
      </c>
      <c r="U82" s="147">
        <f t="shared" si="3"/>
        <v>0</v>
      </c>
      <c r="V82" s="147">
        <f t="shared" si="4"/>
        <v>3.4504999999999999</v>
      </c>
      <c r="W82" s="147">
        <f t="shared" si="5"/>
        <v>0.52700000000000002</v>
      </c>
      <c r="X82" s="147">
        <v>0.52700000000000002</v>
      </c>
      <c r="Y82" s="147">
        <v>3.9775</v>
      </c>
      <c r="Z82" s="148">
        <v>0</v>
      </c>
      <c r="AA82" s="148">
        <v>0.15273148819011739</v>
      </c>
      <c r="AB82" s="151">
        <v>0.15273148819011739</v>
      </c>
    </row>
    <row r="83" spans="2:28">
      <c r="B83" s="4">
        <v>99</v>
      </c>
      <c r="C83" s="147"/>
      <c r="D83" s="147">
        <v>3.2429999999999999</v>
      </c>
      <c r="E83" s="147">
        <v>0.84499999999999997</v>
      </c>
      <c r="F83" s="147">
        <v>0.84499999999999997</v>
      </c>
      <c r="G83" s="147">
        <v>4.0880000000000001</v>
      </c>
      <c r="H83" s="148">
        <v>0</v>
      </c>
      <c r="I83" s="148">
        <v>0.26056120875732347</v>
      </c>
      <c r="J83" s="148">
        <v>0.26056120875732347</v>
      </c>
      <c r="K83" s="4">
        <v>99</v>
      </c>
      <c r="L83" s="147">
        <v>0</v>
      </c>
      <c r="M83" s="147">
        <v>3.3690000000000002</v>
      </c>
      <c r="N83" s="147">
        <v>1.2999999999999999E-2</v>
      </c>
      <c r="O83" s="147">
        <v>1.2999999999999999E-2</v>
      </c>
      <c r="P83" s="147">
        <v>3.3820000000000001</v>
      </c>
      <c r="Q83" s="148">
        <v>0</v>
      </c>
      <c r="R83" s="148">
        <v>3.8587117839121395E-3</v>
      </c>
      <c r="S83" s="151">
        <v>3.8587117839121395E-3</v>
      </c>
      <c r="T83" s="4">
        <v>99</v>
      </c>
      <c r="U83" s="147">
        <f t="shared" si="3"/>
        <v>0</v>
      </c>
      <c r="V83" s="147">
        <f t="shared" si="4"/>
        <v>3.306</v>
      </c>
      <c r="W83" s="147">
        <f t="shared" si="5"/>
        <v>0.42899999999999999</v>
      </c>
      <c r="X83" s="147">
        <v>0.42899999999999999</v>
      </c>
      <c r="Y83" s="147">
        <v>3.7349999999999999</v>
      </c>
      <c r="Z83" s="148">
        <v>0</v>
      </c>
      <c r="AA83" s="148">
        <v>0.12976406533575316</v>
      </c>
      <c r="AB83" s="151">
        <v>0.12976406533575316</v>
      </c>
    </row>
    <row r="84" spans="2:28">
      <c r="B84" s="4">
        <v>100</v>
      </c>
      <c r="C84" s="147"/>
      <c r="D84" s="147">
        <v>3.1269999999999998</v>
      </c>
      <c r="E84" s="147">
        <v>0.67</v>
      </c>
      <c r="F84" s="147">
        <v>0.67</v>
      </c>
      <c r="G84" s="147">
        <v>3.7969999999999997</v>
      </c>
      <c r="H84" s="148">
        <v>0</v>
      </c>
      <c r="I84" s="148">
        <v>0.21426287176207229</v>
      </c>
      <c r="J84" s="148">
        <v>0.21426287176207229</v>
      </c>
      <c r="K84" s="4">
        <v>100</v>
      </c>
      <c r="L84" s="147">
        <v>0</v>
      </c>
      <c r="M84" s="147">
        <v>3.2309999999999999</v>
      </c>
      <c r="N84" s="147">
        <v>0.01</v>
      </c>
      <c r="O84" s="147">
        <v>0.01</v>
      </c>
      <c r="P84" s="147">
        <v>3.2409999999999997</v>
      </c>
      <c r="Q84" s="148">
        <v>0</v>
      </c>
      <c r="R84" s="148">
        <v>3.0950170225936243E-3</v>
      </c>
      <c r="S84" s="151">
        <v>3.0950170225936243E-3</v>
      </c>
      <c r="T84" s="4">
        <v>100</v>
      </c>
      <c r="U84" s="147">
        <f t="shared" si="3"/>
        <v>0</v>
      </c>
      <c r="V84" s="147">
        <f t="shared" si="4"/>
        <v>3.1789999999999998</v>
      </c>
      <c r="W84" s="147">
        <f t="shared" si="5"/>
        <v>0.34</v>
      </c>
      <c r="X84" s="147">
        <v>0.34</v>
      </c>
      <c r="Y84" s="147">
        <v>3.5189999999999997</v>
      </c>
      <c r="Z84" s="148">
        <v>0</v>
      </c>
      <c r="AA84" s="148">
        <v>0.10695187165775402</v>
      </c>
      <c r="AB84" s="151">
        <v>0.10695187165775402</v>
      </c>
    </row>
  </sheetData>
  <mergeCells count="4">
    <mergeCell ref="B2:B3"/>
    <mergeCell ref="H2:J2"/>
    <mergeCell ref="Q2:S2"/>
    <mergeCell ref="Z2:AB2"/>
  </mergeCells>
  <pageMargins left="0.7" right="0.7" top="0.78740157499999996" bottom="0.78740157499999996"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27"/>
  <dimension ref="A2:AB86"/>
  <sheetViews>
    <sheetView topLeftCell="J1" zoomScale="85" zoomScaleNormal="85" workbookViewId="0">
      <selection activeCell="AC48" sqref="AC48"/>
    </sheetView>
  </sheetViews>
  <sheetFormatPr baseColWidth="10" defaultRowHeight="14.25"/>
  <cols>
    <col min="1" max="1" width="21" customWidth="1"/>
    <col min="2" max="2" width="6.125" customWidth="1"/>
    <col min="3" max="10" width="11" customWidth="1"/>
    <col min="11" max="11" width="6.125" customWidth="1"/>
    <col min="12" max="19" width="11" customWidth="1"/>
    <col min="20" max="20" width="6.125" customWidth="1"/>
    <col min="21" max="28" width="11" customWidth="1"/>
  </cols>
  <sheetData>
    <row r="2" spans="1:28" ht="66" customHeight="1">
      <c r="A2" t="s">
        <v>173</v>
      </c>
      <c r="B2" s="3760" t="s">
        <v>7</v>
      </c>
      <c r="C2" s="1786" t="s">
        <v>0</v>
      </c>
      <c r="D2" s="1786" t="s">
        <v>1</v>
      </c>
      <c r="E2" s="1786" t="s">
        <v>2</v>
      </c>
      <c r="F2" s="1786" t="s">
        <v>1751</v>
      </c>
      <c r="G2" s="1786" t="s">
        <v>4</v>
      </c>
      <c r="H2" s="3762" t="s">
        <v>5</v>
      </c>
      <c r="I2" s="3762"/>
      <c r="J2" s="3763"/>
      <c r="K2" s="69"/>
      <c r="L2" s="70" t="s">
        <v>0</v>
      </c>
      <c r="M2" s="70" t="s">
        <v>1</v>
      </c>
      <c r="N2" s="70" t="s">
        <v>2</v>
      </c>
      <c r="O2" s="70" t="s">
        <v>1751</v>
      </c>
      <c r="P2" s="70" t="s">
        <v>4</v>
      </c>
      <c r="Q2" s="3231" t="s">
        <v>6</v>
      </c>
      <c r="R2" s="3231"/>
      <c r="S2" s="3231"/>
      <c r="T2" s="69"/>
      <c r="U2" s="70" t="s">
        <v>0</v>
      </c>
      <c r="V2" s="70" t="s">
        <v>1</v>
      </c>
      <c r="W2" s="70" t="s">
        <v>2</v>
      </c>
      <c r="X2" s="70" t="s">
        <v>1751</v>
      </c>
      <c r="Y2" s="70" t="s">
        <v>4</v>
      </c>
      <c r="Z2" s="3231" t="s">
        <v>6</v>
      </c>
      <c r="AA2" s="3231"/>
      <c r="AB2" s="3231"/>
    </row>
    <row r="3" spans="1:28" s="2" customFormat="1" ht="13.5">
      <c r="A3" s="61">
        <v>43111</v>
      </c>
      <c r="B3" s="3761"/>
      <c r="C3" s="71" t="s">
        <v>17</v>
      </c>
      <c r="D3" s="71" t="s">
        <v>18</v>
      </c>
      <c r="E3" s="71" t="s">
        <v>24</v>
      </c>
      <c r="F3" s="71" t="s">
        <v>25</v>
      </c>
      <c r="G3" s="71"/>
      <c r="H3" s="71" t="s">
        <v>8</v>
      </c>
      <c r="I3" s="71" t="s">
        <v>9</v>
      </c>
      <c r="J3" s="71" t="s">
        <v>10</v>
      </c>
      <c r="K3" s="71" t="s">
        <v>7</v>
      </c>
      <c r="L3" s="71" t="s">
        <v>19</v>
      </c>
      <c r="M3" s="71" t="s">
        <v>20</v>
      </c>
      <c r="N3" s="71" t="s">
        <v>26</v>
      </c>
      <c r="O3" s="71" t="s">
        <v>27</v>
      </c>
      <c r="P3" s="71"/>
      <c r="Q3" s="71" t="s">
        <v>8</v>
      </c>
      <c r="R3" s="71" t="s">
        <v>9</v>
      </c>
      <c r="S3" s="71" t="s">
        <v>10</v>
      </c>
      <c r="T3" s="71" t="s">
        <v>7</v>
      </c>
      <c r="U3" s="71" t="s">
        <v>19</v>
      </c>
      <c r="V3" s="71" t="s">
        <v>20</v>
      </c>
      <c r="W3" s="71" t="s">
        <v>26</v>
      </c>
      <c r="X3" s="71" t="s">
        <v>27</v>
      </c>
      <c r="Y3" s="71"/>
      <c r="Z3" s="71" t="s">
        <v>8</v>
      </c>
      <c r="AA3" s="71" t="s">
        <v>9</v>
      </c>
      <c r="AB3" s="71" t="s">
        <v>10</v>
      </c>
    </row>
    <row r="4" spans="1:28">
      <c r="B4" s="51">
        <v>20</v>
      </c>
      <c r="C4" s="1">
        <v>0.23400000000000001</v>
      </c>
      <c r="D4" s="1">
        <v>5.2350000000000003</v>
      </c>
      <c r="E4" s="1">
        <v>0.55200000000000005</v>
      </c>
      <c r="F4" s="1">
        <v>0.55200000000000005</v>
      </c>
      <c r="G4" s="1">
        <v>5.7870000000000008</v>
      </c>
      <c r="H4" s="775">
        <v>4.6790641871625675E-2</v>
      </c>
      <c r="I4" s="775">
        <v>0.11037792441511698</v>
      </c>
      <c r="J4" s="775">
        <v>0.15716856628674267</v>
      </c>
      <c r="K4" s="51">
        <v>20</v>
      </c>
      <c r="L4" s="1">
        <v>0.248</v>
      </c>
      <c r="M4" s="1">
        <v>6.0389999999999997</v>
      </c>
      <c r="N4" s="1">
        <v>0.13900000000000001</v>
      </c>
      <c r="O4" s="1">
        <v>0.13900000000000001</v>
      </c>
      <c r="P4" s="1">
        <v>6.1779999999999999</v>
      </c>
      <c r="Q4" s="775">
        <v>4.2825073389742709E-2</v>
      </c>
      <c r="R4" s="775">
        <v>2.4002762907960634E-2</v>
      </c>
      <c r="S4" s="775">
        <v>6.6827836297703336E-2</v>
      </c>
      <c r="T4" s="51">
        <v>20</v>
      </c>
      <c r="U4" s="1">
        <v>0.24099999999999999</v>
      </c>
      <c r="V4" s="1">
        <v>5.6370000000000005</v>
      </c>
      <c r="W4" s="1">
        <v>0.34550000000000003</v>
      </c>
      <c r="X4" s="1">
        <v>0.34550000000000003</v>
      </c>
      <c r="Y4" s="1">
        <v>5.9825000000000008</v>
      </c>
      <c r="Z4" s="775">
        <v>4.4662713120830234E-2</v>
      </c>
      <c r="AA4" s="775">
        <v>6.4028910303928835E-2</v>
      </c>
      <c r="AB4" s="775">
        <v>0.10869162342475908</v>
      </c>
    </row>
    <row r="5" spans="1:28">
      <c r="B5" s="51">
        <v>21</v>
      </c>
      <c r="C5" s="1">
        <v>0.27</v>
      </c>
      <c r="D5" s="1">
        <v>5.3949999999999996</v>
      </c>
      <c r="E5" s="1">
        <v>0.64200000000000002</v>
      </c>
      <c r="F5" s="1">
        <v>0.64200000000000002</v>
      </c>
      <c r="G5" s="1">
        <v>6.0369999999999999</v>
      </c>
      <c r="H5" s="775">
        <v>5.2682926829268298E-2</v>
      </c>
      <c r="I5" s="775">
        <v>0.12526829268292683</v>
      </c>
      <c r="J5" s="775">
        <v>0.17795121951219511</v>
      </c>
      <c r="K5" s="51">
        <v>21</v>
      </c>
      <c r="L5" s="1">
        <v>0.29799999999999999</v>
      </c>
      <c r="M5" s="1">
        <v>6.22</v>
      </c>
      <c r="N5" s="1">
        <v>0.16800000000000001</v>
      </c>
      <c r="O5" s="1">
        <v>0.16800000000000001</v>
      </c>
      <c r="P5" s="1">
        <v>6.3879999999999999</v>
      </c>
      <c r="Q5" s="775">
        <v>5.0320837554880107E-2</v>
      </c>
      <c r="R5" s="775">
        <v>2.8368794326241138E-2</v>
      </c>
      <c r="S5" s="775">
        <v>7.8689631881121241E-2</v>
      </c>
      <c r="T5" s="51">
        <v>21</v>
      </c>
      <c r="U5" s="1">
        <v>0.28400000000000003</v>
      </c>
      <c r="V5" s="1">
        <v>5.8074999999999992</v>
      </c>
      <c r="W5" s="1">
        <v>0.40500000000000003</v>
      </c>
      <c r="X5" s="1">
        <v>0.40500000000000003</v>
      </c>
      <c r="Y5" s="1">
        <v>6.2124999999999995</v>
      </c>
      <c r="Z5" s="775">
        <v>5.1416674210192824E-2</v>
      </c>
      <c r="AA5" s="775">
        <v>7.3323074137774974E-2</v>
      </c>
      <c r="AB5" s="775">
        <v>0.1247397483479678</v>
      </c>
    </row>
    <row r="6" spans="1:28">
      <c r="B6" s="51">
        <v>22</v>
      </c>
      <c r="C6" s="1">
        <v>0.307</v>
      </c>
      <c r="D6" s="1">
        <v>5.5590000000000002</v>
      </c>
      <c r="E6" s="1">
        <v>0.73699999999999999</v>
      </c>
      <c r="F6" s="1">
        <v>0.73699999999999999</v>
      </c>
      <c r="G6" s="1">
        <v>6.2960000000000003</v>
      </c>
      <c r="H6" s="775">
        <v>5.8453922315308458E-2</v>
      </c>
      <c r="I6" s="775">
        <v>0.14032749428789032</v>
      </c>
      <c r="J6" s="775">
        <v>0.19878141660319879</v>
      </c>
      <c r="K6" s="51">
        <v>22</v>
      </c>
      <c r="L6" s="1">
        <v>0.34399999999999997</v>
      </c>
      <c r="M6" s="1">
        <v>6.4059999999999997</v>
      </c>
      <c r="N6" s="1">
        <v>0.19500000000000001</v>
      </c>
      <c r="O6" s="1">
        <v>0.19500000000000001</v>
      </c>
      <c r="P6" s="1">
        <v>6.601</v>
      </c>
      <c r="Q6" s="775">
        <v>5.6746948201913561E-2</v>
      </c>
      <c r="R6" s="775">
        <v>3.2167601451666118E-2</v>
      </c>
      <c r="S6" s="775">
        <v>8.8914549653579672E-2</v>
      </c>
      <c r="T6" s="51">
        <v>22</v>
      </c>
      <c r="U6" s="1">
        <v>0.32550000000000001</v>
      </c>
      <c r="V6" s="1">
        <v>5.9824999999999999</v>
      </c>
      <c r="W6" s="1">
        <v>0.46599999999999997</v>
      </c>
      <c r="X6" s="1">
        <v>0.46599999999999997</v>
      </c>
      <c r="Y6" s="1">
        <v>6.4485000000000001</v>
      </c>
      <c r="Z6" s="775">
        <v>5.7539331801308116E-2</v>
      </c>
      <c r="AA6" s="775">
        <v>8.2375817571150783E-2</v>
      </c>
      <c r="AB6" s="775">
        <v>0.13991514937245891</v>
      </c>
    </row>
    <row r="7" spans="1:28">
      <c r="B7" s="51">
        <v>23</v>
      </c>
      <c r="C7" s="1">
        <v>0.34499999999999997</v>
      </c>
      <c r="D7" s="1">
        <v>5.7270000000000003</v>
      </c>
      <c r="E7" s="1">
        <v>0.83699999999999997</v>
      </c>
      <c r="F7" s="1">
        <v>0.83699999999999997</v>
      </c>
      <c r="G7" s="1">
        <v>6.5640000000000001</v>
      </c>
      <c r="H7" s="775">
        <v>6.4102564102564097E-2</v>
      </c>
      <c r="I7" s="775">
        <v>0.15551839464882941</v>
      </c>
      <c r="J7" s="775">
        <v>0.21962095875139351</v>
      </c>
      <c r="K7" s="51">
        <v>23</v>
      </c>
      <c r="L7" s="1">
        <v>0.38200000000000001</v>
      </c>
      <c r="M7" s="1">
        <v>6.5970000000000004</v>
      </c>
      <c r="N7" s="1">
        <v>0.217</v>
      </c>
      <c r="O7" s="1">
        <v>0.217</v>
      </c>
      <c r="P7" s="1">
        <v>6.8140000000000001</v>
      </c>
      <c r="Q7" s="775">
        <v>6.1464199517296855E-2</v>
      </c>
      <c r="R7" s="775">
        <v>3.4915526950925174E-2</v>
      </c>
      <c r="S7" s="775">
        <v>9.6379726468222029E-2</v>
      </c>
      <c r="T7" s="51">
        <v>23</v>
      </c>
      <c r="U7" s="1">
        <v>0.36349999999999999</v>
      </c>
      <c r="V7" s="1">
        <v>6.1620000000000008</v>
      </c>
      <c r="W7" s="1">
        <v>0.52700000000000002</v>
      </c>
      <c r="X7" s="1">
        <v>0.52700000000000002</v>
      </c>
      <c r="Y7" s="1">
        <v>6.6890000000000009</v>
      </c>
      <c r="Z7" s="775">
        <v>6.26886263688885E-2</v>
      </c>
      <c r="AA7" s="775">
        <v>9.0885573855307406E-2</v>
      </c>
      <c r="AB7" s="775">
        <v>0.15357420022419591</v>
      </c>
    </row>
    <row r="8" spans="1:28">
      <c r="B8" s="51">
        <v>24</v>
      </c>
      <c r="C8" s="1">
        <v>0.378</v>
      </c>
      <c r="D8" s="1">
        <v>5.899</v>
      </c>
      <c r="E8" s="1">
        <v>0.92900000000000005</v>
      </c>
      <c r="F8" s="1">
        <v>0.92900000000000005</v>
      </c>
      <c r="G8" s="1">
        <v>6.8280000000000003</v>
      </c>
      <c r="H8" s="775">
        <v>6.846585763448651E-2</v>
      </c>
      <c r="I8" s="775">
        <v>0.16826661836623802</v>
      </c>
      <c r="J8" s="775">
        <v>0.23673247600072453</v>
      </c>
      <c r="K8" s="51">
        <v>24</v>
      </c>
      <c r="L8" s="1">
        <v>0.41699999999999998</v>
      </c>
      <c r="M8" s="1">
        <v>6.7930000000000001</v>
      </c>
      <c r="N8" s="1">
        <v>0.23899999999999999</v>
      </c>
      <c r="O8" s="1">
        <v>0.23899999999999999</v>
      </c>
      <c r="P8" s="1">
        <v>7.032</v>
      </c>
      <c r="Q8" s="775">
        <v>6.5401505646173141E-2</v>
      </c>
      <c r="R8" s="775">
        <v>3.7484316185696358E-2</v>
      </c>
      <c r="S8" s="775">
        <v>0.10288582183186951</v>
      </c>
      <c r="T8" s="51">
        <v>24</v>
      </c>
      <c r="U8" s="1">
        <v>0.39749999999999996</v>
      </c>
      <c r="V8" s="1">
        <v>6.3460000000000001</v>
      </c>
      <c r="W8" s="1">
        <v>0.58400000000000007</v>
      </c>
      <c r="X8" s="1">
        <v>0.58400000000000007</v>
      </c>
      <c r="Y8" s="1">
        <v>6.93</v>
      </c>
      <c r="Z8" s="775">
        <v>6.6823568966966451E-2</v>
      </c>
      <c r="AA8" s="775">
        <v>9.8176010759014887E-2</v>
      </c>
      <c r="AB8" s="775">
        <v>0.16499957972598134</v>
      </c>
    </row>
    <row r="9" spans="1:28">
      <c r="B9" s="51">
        <v>25</v>
      </c>
      <c r="C9" s="1">
        <v>0.40699999999999997</v>
      </c>
      <c r="D9" s="1">
        <v>6.0750000000000002</v>
      </c>
      <c r="E9" s="1">
        <v>1.014</v>
      </c>
      <c r="F9" s="1">
        <v>1.014</v>
      </c>
      <c r="G9" s="1">
        <v>7.0890000000000004</v>
      </c>
      <c r="H9" s="775">
        <v>7.1806633733239228E-2</v>
      </c>
      <c r="I9" s="775">
        <v>0.17889908256880735</v>
      </c>
      <c r="J9" s="775">
        <v>0.25070571630204658</v>
      </c>
      <c r="K9" s="51">
        <v>25</v>
      </c>
      <c r="L9" s="1">
        <v>0.45</v>
      </c>
      <c r="M9" s="1">
        <v>6.9930000000000003</v>
      </c>
      <c r="N9" s="1">
        <v>0.26</v>
      </c>
      <c r="O9" s="1">
        <v>0.26</v>
      </c>
      <c r="P9" s="1">
        <v>7.2530000000000001</v>
      </c>
      <c r="Q9" s="775">
        <v>6.8775790921595595E-2</v>
      </c>
      <c r="R9" s="775">
        <v>3.9737123643588571E-2</v>
      </c>
      <c r="S9" s="775">
        <v>0.10851291456518417</v>
      </c>
      <c r="T9" s="51">
        <v>25</v>
      </c>
      <c r="U9" s="1">
        <v>0.42849999999999999</v>
      </c>
      <c r="V9" s="1">
        <v>6.5340000000000007</v>
      </c>
      <c r="W9" s="1">
        <v>0.63700000000000001</v>
      </c>
      <c r="X9" s="1">
        <v>0.63700000000000001</v>
      </c>
      <c r="Y9" s="1">
        <v>7.1710000000000012</v>
      </c>
      <c r="Z9" s="775">
        <v>7.0182622225861913E-2</v>
      </c>
      <c r="AA9" s="775">
        <v>0.10433215952829414</v>
      </c>
      <c r="AB9" s="775">
        <v>0.17451478175415605</v>
      </c>
    </row>
    <row r="10" spans="1:28">
      <c r="B10" s="51">
        <v>26</v>
      </c>
      <c r="C10" s="1">
        <v>0.433</v>
      </c>
      <c r="D10" s="1">
        <v>6.2560000000000002</v>
      </c>
      <c r="E10" s="1">
        <v>1.0960000000000001</v>
      </c>
      <c r="F10" s="1">
        <v>1.0960000000000001</v>
      </c>
      <c r="G10" s="1">
        <v>7.3520000000000003</v>
      </c>
      <c r="H10" s="775">
        <v>7.4360295380388117E-2</v>
      </c>
      <c r="I10" s="775">
        <v>0.18821913103211405</v>
      </c>
      <c r="J10" s="775">
        <v>0.26257942641250215</v>
      </c>
      <c r="K10" s="51">
        <v>26</v>
      </c>
      <c r="L10" s="1">
        <v>0.48299999999999998</v>
      </c>
      <c r="M10" s="1">
        <v>7.1980000000000004</v>
      </c>
      <c r="N10" s="1">
        <v>0.28100000000000003</v>
      </c>
      <c r="O10" s="1">
        <v>0.28100000000000003</v>
      </c>
      <c r="P10" s="1">
        <v>7.4790000000000001</v>
      </c>
      <c r="Q10" s="775">
        <v>7.192851824274013E-2</v>
      </c>
      <c r="R10" s="775">
        <v>4.1846612062546536E-2</v>
      </c>
      <c r="S10" s="775">
        <v>0.11377513030528666</v>
      </c>
      <c r="T10" s="51">
        <v>26</v>
      </c>
      <c r="U10" s="1">
        <v>0.45799999999999996</v>
      </c>
      <c r="V10" s="1">
        <v>6.7270000000000003</v>
      </c>
      <c r="W10" s="1">
        <v>0.68850000000000011</v>
      </c>
      <c r="X10" s="1">
        <v>0.68850000000000011</v>
      </c>
      <c r="Y10" s="1">
        <v>7.4155000000000006</v>
      </c>
      <c r="Z10" s="775">
        <v>7.3057903971925339E-2</v>
      </c>
      <c r="AA10" s="775">
        <v>0.10982612856914981</v>
      </c>
      <c r="AB10" s="775">
        <v>0.18288403254107516</v>
      </c>
    </row>
    <row r="11" spans="1:28">
      <c r="B11" s="51">
        <v>27</v>
      </c>
      <c r="C11" s="1">
        <v>0.45700000000000002</v>
      </c>
      <c r="D11" s="1">
        <v>6.4409999999999998</v>
      </c>
      <c r="E11" s="1">
        <v>1.1739999999999999</v>
      </c>
      <c r="F11" s="1">
        <v>1.1739999999999999</v>
      </c>
      <c r="G11" s="1">
        <v>7.6150000000000002</v>
      </c>
      <c r="H11" s="775">
        <v>7.6370320855614973E-2</v>
      </c>
      <c r="I11" s="775">
        <v>0.19618983957219249</v>
      </c>
      <c r="J11" s="775">
        <v>0.27256016042780745</v>
      </c>
      <c r="K11" s="51">
        <v>27</v>
      </c>
      <c r="L11" s="1">
        <v>0.51500000000000001</v>
      </c>
      <c r="M11" s="1">
        <v>7.4080000000000004</v>
      </c>
      <c r="N11" s="1">
        <v>0.30199999999999999</v>
      </c>
      <c r="O11" s="1">
        <v>0.30199999999999999</v>
      </c>
      <c r="P11" s="1">
        <v>7.71</v>
      </c>
      <c r="Q11" s="775">
        <v>7.4713477440882053E-2</v>
      </c>
      <c r="R11" s="775">
        <v>4.3812563470187138E-2</v>
      </c>
      <c r="S11" s="775">
        <v>0.11852604091106919</v>
      </c>
      <c r="T11" s="51">
        <v>27</v>
      </c>
      <c r="U11" s="1">
        <v>0.48599999999999999</v>
      </c>
      <c r="V11" s="1">
        <v>6.9245000000000001</v>
      </c>
      <c r="W11" s="1">
        <v>0.73799999999999999</v>
      </c>
      <c r="X11" s="1">
        <v>0.73799999999999999</v>
      </c>
      <c r="Y11" s="1">
        <v>7.6624999999999996</v>
      </c>
      <c r="Z11" s="775">
        <v>7.5483420051254163E-2</v>
      </c>
      <c r="AA11" s="775">
        <v>0.11462297118894152</v>
      </c>
      <c r="AB11" s="775">
        <v>0.19010639124019568</v>
      </c>
    </row>
    <row r="12" spans="1:28">
      <c r="B12" s="51">
        <v>28</v>
      </c>
      <c r="C12" s="1">
        <v>0.47799999999999998</v>
      </c>
      <c r="D12" s="1">
        <v>6.63</v>
      </c>
      <c r="E12" s="1">
        <v>1.2509999999999999</v>
      </c>
      <c r="F12" s="1">
        <v>1.2509999999999999</v>
      </c>
      <c r="G12" s="1">
        <v>7.8810000000000002</v>
      </c>
      <c r="H12" s="775">
        <v>7.7698309492847853E-2</v>
      </c>
      <c r="I12" s="775">
        <v>0.20334850455136538</v>
      </c>
      <c r="J12" s="775">
        <v>0.28104681404421322</v>
      </c>
      <c r="K12" s="51">
        <v>28</v>
      </c>
      <c r="L12" s="1">
        <v>0.54500000000000004</v>
      </c>
      <c r="M12" s="1">
        <v>7.6219999999999999</v>
      </c>
      <c r="N12" s="1">
        <v>0.32300000000000001</v>
      </c>
      <c r="O12" s="1">
        <v>0.32300000000000001</v>
      </c>
      <c r="P12" s="1">
        <v>7.9450000000000003</v>
      </c>
      <c r="Q12" s="775">
        <v>7.7010032499646747E-2</v>
      </c>
      <c r="R12" s="775">
        <v>4.564080825208422E-2</v>
      </c>
      <c r="S12" s="775">
        <v>0.12265084075173097</v>
      </c>
      <c r="T12" s="51">
        <v>28</v>
      </c>
      <c r="U12" s="1">
        <v>0.51150000000000007</v>
      </c>
      <c r="V12" s="1">
        <v>7.1259999999999994</v>
      </c>
      <c r="W12" s="1">
        <v>0.78699999999999992</v>
      </c>
      <c r="X12" s="1">
        <v>0.78699999999999992</v>
      </c>
      <c r="Y12" s="1">
        <v>7.9129999999999994</v>
      </c>
      <c r="Z12" s="775">
        <v>7.7330108095850045E-2</v>
      </c>
      <c r="AA12" s="775">
        <v>0.11898102653261773</v>
      </c>
      <c r="AB12" s="775">
        <v>0.19631113462846778</v>
      </c>
    </row>
    <row r="13" spans="1:28">
      <c r="B13" s="51">
        <v>29</v>
      </c>
      <c r="C13" s="1">
        <v>0.498</v>
      </c>
      <c r="D13" s="1">
        <v>6.8250000000000002</v>
      </c>
      <c r="E13" s="1">
        <v>1.3260000000000001</v>
      </c>
      <c r="F13" s="1">
        <v>1.3260000000000001</v>
      </c>
      <c r="G13" s="1">
        <v>8.1509999999999998</v>
      </c>
      <c r="H13" s="775">
        <v>7.871028923660503E-2</v>
      </c>
      <c r="I13" s="775">
        <v>0.20957799905168328</v>
      </c>
      <c r="J13" s="775">
        <v>0.28828828828828834</v>
      </c>
      <c r="K13" s="51">
        <v>29</v>
      </c>
      <c r="L13" s="1">
        <v>0.57299999999999995</v>
      </c>
      <c r="M13" s="1">
        <v>7.84</v>
      </c>
      <c r="N13" s="1">
        <v>0.34399999999999997</v>
      </c>
      <c r="O13" s="1">
        <v>0.34399999999999997</v>
      </c>
      <c r="P13" s="1">
        <v>8.1839999999999993</v>
      </c>
      <c r="Q13" s="775">
        <v>7.8849594055318564E-2</v>
      </c>
      <c r="R13" s="775">
        <v>4.7337278106508875E-2</v>
      </c>
      <c r="S13" s="775">
        <v>0.12618687216182745</v>
      </c>
      <c r="T13" s="51">
        <v>29</v>
      </c>
      <c r="U13" s="1">
        <v>0.53549999999999998</v>
      </c>
      <c r="V13" s="1">
        <v>7.3324999999999996</v>
      </c>
      <c r="W13" s="1">
        <v>0.83499999999999996</v>
      </c>
      <c r="X13" s="1">
        <v>0.83499999999999996</v>
      </c>
      <c r="Y13" s="1">
        <v>8.1675000000000004</v>
      </c>
      <c r="Z13" s="775">
        <v>7.8784757981462408E-2</v>
      </c>
      <c r="AA13" s="775">
        <v>0.12284831543327938</v>
      </c>
      <c r="AB13" s="775">
        <v>0.20163307341474179</v>
      </c>
    </row>
    <row r="14" spans="1:28">
      <c r="B14" s="51">
        <v>30</v>
      </c>
      <c r="C14" s="1">
        <v>0.51500000000000001</v>
      </c>
      <c r="D14" s="1">
        <v>7.024</v>
      </c>
      <c r="E14" s="1">
        <v>1.4</v>
      </c>
      <c r="F14" s="1">
        <v>1.4</v>
      </c>
      <c r="G14" s="1">
        <v>8.4239999999999995</v>
      </c>
      <c r="H14" s="775">
        <v>7.9121216776770628E-2</v>
      </c>
      <c r="I14" s="775">
        <v>0.21508680288830848</v>
      </c>
      <c r="J14" s="775">
        <v>0.29420801966507909</v>
      </c>
      <c r="K14" s="51">
        <v>30</v>
      </c>
      <c r="L14" s="1">
        <v>0.59899999999999998</v>
      </c>
      <c r="M14" s="1">
        <v>8.0640000000000001</v>
      </c>
      <c r="N14" s="1">
        <v>0.36399999999999999</v>
      </c>
      <c r="O14" s="1">
        <v>0.36399999999999999</v>
      </c>
      <c r="P14" s="1">
        <v>8.4280000000000008</v>
      </c>
      <c r="Q14" s="775">
        <v>8.0241125251172135E-2</v>
      </c>
      <c r="R14" s="775">
        <v>4.8760884125920965E-2</v>
      </c>
      <c r="S14" s="775">
        <v>0.12900200937709311</v>
      </c>
      <c r="T14" s="51">
        <v>30</v>
      </c>
      <c r="U14" s="1">
        <v>0.55699999999999994</v>
      </c>
      <c r="V14" s="1">
        <v>7.5440000000000005</v>
      </c>
      <c r="W14" s="1">
        <v>0.8819999999999999</v>
      </c>
      <c r="X14" s="1">
        <v>0.8819999999999999</v>
      </c>
      <c r="Y14" s="1">
        <v>8.4260000000000002</v>
      </c>
      <c r="Z14" s="775">
        <v>7.9719479032488896E-2</v>
      </c>
      <c r="AA14" s="775">
        <v>0.12623443537999141</v>
      </c>
      <c r="AB14" s="775">
        <v>0.20595391441248029</v>
      </c>
    </row>
    <row r="15" spans="1:28">
      <c r="B15" s="51">
        <v>31</v>
      </c>
      <c r="C15" s="1">
        <v>0.53200000000000003</v>
      </c>
      <c r="D15" s="1">
        <v>7.2279999999999998</v>
      </c>
      <c r="E15" s="1">
        <v>1.474</v>
      </c>
      <c r="F15" s="1">
        <v>1.474</v>
      </c>
      <c r="G15" s="1">
        <v>8.702</v>
      </c>
      <c r="H15" s="775">
        <v>7.9450418160095584E-2</v>
      </c>
      <c r="I15" s="775">
        <v>0.22013142174432498</v>
      </c>
      <c r="J15" s="775">
        <v>0.29958183990442055</v>
      </c>
      <c r="K15" s="51">
        <v>31</v>
      </c>
      <c r="L15" s="1">
        <v>0.622</v>
      </c>
      <c r="M15" s="1">
        <v>8.2929999999999993</v>
      </c>
      <c r="N15" s="1">
        <v>0.38300000000000001</v>
      </c>
      <c r="O15" s="1">
        <v>0.38300000000000001</v>
      </c>
      <c r="P15" s="1">
        <v>8.6759999999999984</v>
      </c>
      <c r="Q15" s="775">
        <v>8.1084604354060758E-2</v>
      </c>
      <c r="R15" s="775">
        <v>4.9928301394863775E-2</v>
      </c>
      <c r="S15" s="775">
        <v>0.13101290574892455</v>
      </c>
      <c r="T15" s="51">
        <v>31</v>
      </c>
      <c r="U15" s="1">
        <v>0.57699999999999996</v>
      </c>
      <c r="V15" s="1">
        <v>7.7604999999999995</v>
      </c>
      <c r="W15" s="1">
        <v>0.92849999999999999</v>
      </c>
      <c r="X15" s="1">
        <v>0.92849999999999999</v>
      </c>
      <c r="Y15" s="1">
        <v>8.6890000000000001</v>
      </c>
      <c r="Z15" s="775">
        <v>8.0322962344261159E-2</v>
      </c>
      <c r="AA15" s="775">
        <v>0.12925454165796618</v>
      </c>
      <c r="AB15" s="775">
        <v>0.20957750400222735</v>
      </c>
    </row>
    <row r="16" spans="1:28">
      <c r="B16" s="51">
        <v>32</v>
      </c>
      <c r="C16" s="1">
        <v>0.54700000000000004</v>
      </c>
      <c r="D16" s="1">
        <v>7.4379999999999997</v>
      </c>
      <c r="E16" s="1">
        <v>1.5469999999999999</v>
      </c>
      <c r="F16" s="1">
        <v>1.5469999999999999</v>
      </c>
      <c r="G16" s="1">
        <v>8.9849999999999994</v>
      </c>
      <c r="H16" s="775">
        <v>7.9378900014511686E-2</v>
      </c>
      <c r="I16" s="775">
        <v>0.22449571905383833</v>
      </c>
      <c r="J16" s="775">
        <v>0.30387461906835</v>
      </c>
      <c r="K16" s="51">
        <v>32</v>
      </c>
      <c r="L16" s="1">
        <v>0.64300000000000002</v>
      </c>
      <c r="M16" s="1">
        <v>8.5269999999999992</v>
      </c>
      <c r="N16" s="1">
        <v>0.40200000000000002</v>
      </c>
      <c r="O16" s="1">
        <v>0.40200000000000002</v>
      </c>
      <c r="P16" s="1">
        <v>8.9289999999999985</v>
      </c>
      <c r="Q16" s="775">
        <v>8.1557584982242526E-2</v>
      </c>
      <c r="R16" s="775">
        <v>5.0989345509893459E-2</v>
      </c>
      <c r="S16" s="775">
        <v>0.13254693049213598</v>
      </c>
      <c r="T16" s="51">
        <v>32</v>
      </c>
      <c r="U16" s="1">
        <v>0.59499999999999997</v>
      </c>
      <c r="V16" s="1">
        <v>7.9824999999999999</v>
      </c>
      <c r="W16" s="1">
        <v>0.97449999999999992</v>
      </c>
      <c r="X16" s="1">
        <v>0.97449999999999992</v>
      </c>
      <c r="Y16" s="1">
        <v>8.9570000000000007</v>
      </c>
      <c r="Z16" s="775">
        <v>8.0541455160744499E-2</v>
      </c>
      <c r="AA16" s="775">
        <v>0.13191201353637899</v>
      </c>
      <c r="AB16" s="775">
        <v>0.2124534686971235</v>
      </c>
    </row>
    <row r="17" spans="2:28">
      <c r="B17" s="51">
        <v>33</v>
      </c>
      <c r="C17" s="1">
        <v>0.56000000000000005</v>
      </c>
      <c r="D17" s="1">
        <v>7.6539999999999999</v>
      </c>
      <c r="E17" s="1">
        <v>1.621</v>
      </c>
      <c r="F17" s="1">
        <v>1.621</v>
      </c>
      <c r="G17" s="1">
        <v>9.2750000000000004</v>
      </c>
      <c r="H17" s="775">
        <v>7.8939949252889774E-2</v>
      </c>
      <c r="I17" s="775">
        <v>0.22850296024809699</v>
      </c>
      <c r="J17" s="775">
        <v>0.30744290950098674</v>
      </c>
      <c r="K17" s="51">
        <v>33</v>
      </c>
      <c r="L17" s="1">
        <v>0.66100000000000003</v>
      </c>
      <c r="M17" s="1">
        <v>8.766</v>
      </c>
      <c r="N17" s="1">
        <v>0.42</v>
      </c>
      <c r="O17" s="1">
        <v>0.42</v>
      </c>
      <c r="P17" s="1">
        <v>9.1859999999999999</v>
      </c>
      <c r="Q17" s="775">
        <v>8.1554595928439236E-2</v>
      </c>
      <c r="R17" s="775">
        <v>5.1819864281307831E-2</v>
      </c>
      <c r="S17" s="775">
        <v>0.13337446020974708</v>
      </c>
      <c r="T17" s="51">
        <v>33</v>
      </c>
      <c r="U17" s="1">
        <v>0.61050000000000004</v>
      </c>
      <c r="V17" s="1">
        <v>8.2100000000000009</v>
      </c>
      <c r="W17" s="1">
        <v>1.0205</v>
      </c>
      <c r="X17" s="1">
        <v>1.0205</v>
      </c>
      <c r="Y17" s="1">
        <v>9.230500000000001</v>
      </c>
      <c r="Z17" s="775">
        <v>8.033423251529706E-2</v>
      </c>
      <c r="AA17" s="775">
        <v>0.13428515033883806</v>
      </c>
      <c r="AB17" s="775">
        <v>0.21461938285413512</v>
      </c>
    </row>
    <row r="18" spans="2:28">
      <c r="B18" s="51">
        <v>34</v>
      </c>
      <c r="C18" s="1">
        <v>0.57199999999999995</v>
      </c>
      <c r="D18" s="1">
        <v>7.875</v>
      </c>
      <c r="E18" s="1">
        <v>1.694</v>
      </c>
      <c r="F18" s="1">
        <v>1.694</v>
      </c>
      <c r="G18" s="1">
        <v>9.5689999999999991</v>
      </c>
      <c r="H18" s="775">
        <v>7.8323976448035043E-2</v>
      </c>
      <c r="I18" s="775">
        <v>0.23195946871148843</v>
      </c>
      <c r="J18" s="775">
        <v>0.31028344515952344</v>
      </c>
      <c r="K18" s="51">
        <v>34</v>
      </c>
      <c r="L18" s="1">
        <v>0.67700000000000005</v>
      </c>
      <c r="M18" s="1">
        <v>9.01</v>
      </c>
      <c r="N18" s="1">
        <v>0.438</v>
      </c>
      <c r="O18" s="1">
        <v>0.438</v>
      </c>
      <c r="P18" s="1">
        <v>9.4480000000000004</v>
      </c>
      <c r="Q18" s="775">
        <v>8.1243249729989198E-2</v>
      </c>
      <c r="R18" s="775">
        <v>5.2562102484099364E-2</v>
      </c>
      <c r="S18" s="775">
        <v>0.13380535221408857</v>
      </c>
      <c r="T18" s="51">
        <v>34</v>
      </c>
      <c r="U18" s="1">
        <v>0.62450000000000006</v>
      </c>
      <c r="V18" s="1">
        <v>8.442499999999999</v>
      </c>
      <c r="W18" s="1">
        <v>1.0660000000000001</v>
      </c>
      <c r="X18" s="1">
        <v>1.0660000000000001</v>
      </c>
      <c r="Y18" s="1">
        <v>9.5084999999999997</v>
      </c>
      <c r="Z18" s="775">
        <v>7.9879764645689452E-2</v>
      </c>
      <c r="AA18" s="775">
        <v>0.13635200818623691</v>
      </c>
      <c r="AB18" s="775">
        <v>0.21623177283192635</v>
      </c>
    </row>
    <row r="19" spans="2:28">
      <c r="B19" s="51">
        <v>35</v>
      </c>
      <c r="C19" s="1">
        <v>0.58199999999999996</v>
      </c>
      <c r="D19" s="1">
        <v>8.1010000000000009</v>
      </c>
      <c r="E19" s="1">
        <v>1.768</v>
      </c>
      <c r="F19" s="1">
        <v>1.768</v>
      </c>
      <c r="G19" s="1">
        <v>9.8690000000000015</v>
      </c>
      <c r="H19" s="775">
        <v>7.7403910094427431E-2</v>
      </c>
      <c r="I19" s="775">
        <v>0.23513765128341532</v>
      </c>
      <c r="J19" s="775">
        <v>0.31254156137784272</v>
      </c>
      <c r="K19" s="51">
        <v>35</v>
      </c>
      <c r="L19" s="1">
        <v>0.68799999999999994</v>
      </c>
      <c r="M19" s="1">
        <v>9.2590000000000003</v>
      </c>
      <c r="N19" s="1">
        <v>0.45500000000000002</v>
      </c>
      <c r="O19" s="1">
        <v>0.45500000000000002</v>
      </c>
      <c r="P19" s="1">
        <v>9.7140000000000004</v>
      </c>
      <c r="Q19" s="775">
        <v>8.0270680200676695E-2</v>
      </c>
      <c r="R19" s="775">
        <v>5.3085987632714972E-2</v>
      </c>
      <c r="S19" s="775">
        <v>0.13335666783339167</v>
      </c>
      <c r="T19" s="51">
        <v>35</v>
      </c>
      <c r="U19" s="1">
        <v>0.63500000000000001</v>
      </c>
      <c r="V19" s="1">
        <v>8.68</v>
      </c>
      <c r="W19" s="1">
        <v>1.1114999999999999</v>
      </c>
      <c r="X19" s="1">
        <v>1.1114999999999999</v>
      </c>
      <c r="Y19" s="1">
        <v>9.7914999999999992</v>
      </c>
      <c r="Z19" s="775">
        <v>7.8931013051584842E-2</v>
      </c>
      <c r="AA19" s="775">
        <v>0.13816034804226227</v>
      </c>
      <c r="AB19" s="775">
        <v>0.21709136109384711</v>
      </c>
    </row>
    <row r="20" spans="2:28">
      <c r="B20" s="51">
        <v>36</v>
      </c>
      <c r="C20" s="1">
        <v>0.58899999999999997</v>
      </c>
      <c r="D20" s="1">
        <v>8.3330000000000002</v>
      </c>
      <c r="E20" s="1">
        <v>1.8420000000000001</v>
      </c>
      <c r="F20" s="1">
        <v>1.8420000000000001</v>
      </c>
      <c r="G20" s="1">
        <v>10.175000000000001</v>
      </c>
      <c r="H20" s="775">
        <v>7.6058884297520654E-2</v>
      </c>
      <c r="I20" s="775">
        <v>0.23786157024793389</v>
      </c>
      <c r="J20" s="775">
        <v>0.31392045454545453</v>
      </c>
      <c r="K20" s="51">
        <v>36</v>
      </c>
      <c r="L20" s="1">
        <v>0.69499999999999995</v>
      </c>
      <c r="M20" s="1">
        <v>9.5129999999999999</v>
      </c>
      <c r="N20" s="1">
        <v>0.47199999999999998</v>
      </c>
      <c r="O20" s="1">
        <v>0.47199999999999998</v>
      </c>
      <c r="P20" s="1">
        <v>9.9849999999999994</v>
      </c>
      <c r="Q20" s="775">
        <v>7.8816058063052849E-2</v>
      </c>
      <c r="R20" s="775">
        <v>5.3526876842821501E-2</v>
      </c>
      <c r="S20" s="775">
        <v>0.13234293490587434</v>
      </c>
      <c r="T20" s="51">
        <v>36</v>
      </c>
      <c r="U20" s="1">
        <v>0.6419999999999999</v>
      </c>
      <c r="V20" s="1">
        <v>8.923</v>
      </c>
      <c r="W20" s="1">
        <v>1.157</v>
      </c>
      <c r="X20" s="1">
        <v>1.157</v>
      </c>
      <c r="Y20" s="1">
        <v>10.08</v>
      </c>
      <c r="Z20" s="775">
        <v>7.7526868735659921E-2</v>
      </c>
      <c r="AA20" s="775">
        <v>0.13971742543171115</v>
      </c>
      <c r="AB20" s="775">
        <v>0.21724429416737107</v>
      </c>
    </row>
    <row r="21" spans="2:28">
      <c r="B21" s="51">
        <v>37</v>
      </c>
      <c r="C21" s="1">
        <v>0.59099999999999997</v>
      </c>
      <c r="D21" s="1">
        <v>8.5679999999999996</v>
      </c>
      <c r="E21" s="1">
        <v>1.9159999999999999</v>
      </c>
      <c r="F21" s="1">
        <v>1.9159999999999999</v>
      </c>
      <c r="G21" s="1">
        <v>10.484</v>
      </c>
      <c r="H21" s="775">
        <v>7.4088003008649872E-2</v>
      </c>
      <c r="I21" s="775">
        <v>0.24019054782499688</v>
      </c>
      <c r="J21" s="775">
        <v>0.31427855083364675</v>
      </c>
      <c r="K21" s="51">
        <v>37</v>
      </c>
      <c r="L21" s="1">
        <v>0.69699999999999995</v>
      </c>
      <c r="M21" s="1">
        <v>9.7710000000000008</v>
      </c>
      <c r="N21" s="1">
        <v>0.48799999999999999</v>
      </c>
      <c r="O21" s="1">
        <v>0.48799999999999999</v>
      </c>
      <c r="P21" s="1">
        <v>10.259</v>
      </c>
      <c r="Q21" s="775">
        <v>7.6812871941811744E-2</v>
      </c>
      <c r="R21" s="775">
        <v>5.3780030857394745E-2</v>
      </c>
      <c r="S21" s="775">
        <v>0.13059290279920649</v>
      </c>
      <c r="T21" s="51">
        <v>37</v>
      </c>
      <c r="U21" s="1">
        <v>0.64399999999999991</v>
      </c>
      <c r="V21" s="1">
        <v>9.1694999999999993</v>
      </c>
      <c r="W21" s="1">
        <v>1.202</v>
      </c>
      <c r="X21" s="1">
        <v>1.202</v>
      </c>
      <c r="Y21" s="1">
        <v>10.371499999999999</v>
      </c>
      <c r="Z21" s="775">
        <v>7.5538091607530347E-2</v>
      </c>
      <c r="AA21" s="775">
        <v>0.14098879831094951</v>
      </c>
      <c r="AB21" s="775">
        <v>0.21652688991847985</v>
      </c>
    </row>
    <row r="22" spans="2:28">
      <c r="B22" s="51">
        <v>38</v>
      </c>
      <c r="C22" s="1">
        <v>0.58799999999999997</v>
      </c>
      <c r="D22" s="1">
        <v>8.8079999999999998</v>
      </c>
      <c r="E22" s="1">
        <v>1.99</v>
      </c>
      <c r="F22" s="1">
        <v>1.99</v>
      </c>
      <c r="G22" s="1">
        <v>10.798</v>
      </c>
      <c r="H22" s="775">
        <v>7.153284671532846E-2</v>
      </c>
      <c r="I22" s="775">
        <v>0.24209245742092456</v>
      </c>
      <c r="J22" s="775">
        <v>0.313625304136253</v>
      </c>
      <c r="K22" s="51">
        <v>38</v>
      </c>
      <c r="L22" s="1">
        <v>0.69299999999999995</v>
      </c>
      <c r="M22" s="1">
        <v>10.034000000000001</v>
      </c>
      <c r="N22" s="1">
        <v>0.503</v>
      </c>
      <c r="O22" s="1">
        <v>0.503</v>
      </c>
      <c r="P22" s="1">
        <v>10.537000000000001</v>
      </c>
      <c r="Q22" s="775">
        <v>7.4189058987260456E-2</v>
      </c>
      <c r="R22" s="775">
        <v>5.3848624344288616E-2</v>
      </c>
      <c r="S22" s="775">
        <v>0.12803768333154908</v>
      </c>
      <c r="T22" s="51">
        <v>38</v>
      </c>
      <c r="U22" s="1">
        <v>0.64049999999999996</v>
      </c>
      <c r="V22" s="1">
        <v>9.4209999999999994</v>
      </c>
      <c r="W22" s="1">
        <v>1.2464999999999999</v>
      </c>
      <c r="X22" s="1">
        <v>1.2464999999999999</v>
      </c>
      <c r="Y22" s="1">
        <v>10.667499999999999</v>
      </c>
      <c r="Z22" s="775">
        <v>7.2945732019816634E-2</v>
      </c>
      <c r="AA22" s="775">
        <v>0.14196230283013495</v>
      </c>
      <c r="AB22" s="775">
        <v>0.21490803484995158</v>
      </c>
    </row>
    <row r="23" spans="2:28">
      <c r="B23" s="51">
        <v>39</v>
      </c>
      <c r="C23" s="1">
        <v>0.57999999999999996</v>
      </c>
      <c r="D23" s="1">
        <v>9.0519999999999996</v>
      </c>
      <c r="E23" s="1">
        <v>2.0640000000000001</v>
      </c>
      <c r="F23" s="1">
        <v>2.0640000000000001</v>
      </c>
      <c r="G23" s="1">
        <v>11.116</v>
      </c>
      <c r="H23" s="775">
        <v>6.8460812086874406E-2</v>
      </c>
      <c r="I23" s="775">
        <v>0.2436260623229462</v>
      </c>
      <c r="J23" s="775">
        <v>0.31208687440982064</v>
      </c>
      <c r="K23" s="51">
        <v>39</v>
      </c>
      <c r="L23" s="1">
        <v>0.68400000000000005</v>
      </c>
      <c r="M23" s="1">
        <v>10.301</v>
      </c>
      <c r="N23" s="1">
        <v>0.51700000000000002</v>
      </c>
      <c r="O23" s="1">
        <v>0.51700000000000002</v>
      </c>
      <c r="P23" s="1">
        <v>10.818</v>
      </c>
      <c r="Q23" s="775">
        <v>7.1124051159405219E-2</v>
      </c>
      <c r="R23" s="775">
        <v>5.3758968493293126E-2</v>
      </c>
      <c r="S23" s="775">
        <v>0.12488301965269835</v>
      </c>
      <c r="T23" s="51">
        <v>39</v>
      </c>
      <c r="U23" s="1">
        <v>0.63200000000000001</v>
      </c>
      <c r="V23" s="1">
        <v>9.6765000000000008</v>
      </c>
      <c r="W23" s="1">
        <v>1.2905</v>
      </c>
      <c r="X23" s="1">
        <v>1.2905</v>
      </c>
      <c r="Y23" s="1">
        <v>10.967000000000001</v>
      </c>
      <c r="Z23" s="775">
        <v>6.9876720658963998E-2</v>
      </c>
      <c r="AA23" s="775">
        <v>0.14268339875062191</v>
      </c>
      <c r="AB23" s="775">
        <v>0.21256011940958591</v>
      </c>
    </row>
    <row r="24" spans="2:28">
      <c r="B24" s="51">
        <v>40</v>
      </c>
      <c r="C24" s="1">
        <v>0.56799999999999995</v>
      </c>
      <c r="D24" s="1">
        <v>9.3019999999999996</v>
      </c>
      <c r="E24" s="1">
        <v>2.1389999999999998</v>
      </c>
      <c r="F24" s="1">
        <v>2.1389999999999998</v>
      </c>
      <c r="G24" s="1">
        <v>11.440999999999999</v>
      </c>
      <c r="H24" s="775">
        <v>6.5033203572246387E-2</v>
      </c>
      <c r="I24" s="775">
        <v>0.24490496908632928</v>
      </c>
      <c r="J24" s="775">
        <v>0.30993817265857565</v>
      </c>
      <c r="K24" s="51">
        <v>40</v>
      </c>
      <c r="L24" s="1">
        <v>0.66900000000000004</v>
      </c>
      <c r="M24" s="1">
        <v>10.573</v>
      </c>
      <c r="N24" s="1">
        <v>0.53</v>
      </c>
      <c r="O24" s="1">
        <v>0.53</v>
      </c>
      <c r="P24" s="1">
        <v>11.103</v>
      </c>
      <c r="Q24" s="775">
        <v>6.7548465266558971E-2</v>
      </c>
      <c r="R24" s="775">
        <v>5.3513731825525046E-2</v>
      </c>
      <c r="S24" s="775">
        <v>0.12106219709208402</v>
      </c>
      <c r="T24" s="51">
        <v>40</v>
      </c>
      <c r="U24" s="1">
        <v>0.61850000000000005</v>
      </c>
      <c r="V24" s="1">
        <v>9.9375</v>
      </c>
      <c r="W24" s="1">
        <v>1.3344999999999998</v>
      </c>
      <c r="X24" s="1">
        <v>1.3344999999999998</v>
      </c>
      <c r="Y24" s="1">
        <v>11.272</v>
      </c>
      <c r="Z24" s="775">
        <v>6.6369782165468405E-2</v>
      </c>
      <c r="AA24" s="775">
        <v>0.14320206030689989</v>
      </c>
      <c r="AB24" s="775">
        <v>0.20957184247236829</v>
      </c>
    </row>
    <row r="25" spans="2:28">
      <c r="B25" s="51">
        <v>41</v>
      </c>
      <c r="C25" s="1">
        <v>0.55400000000000005</v>
      </c>
      <c r="D25" s="1">
        <v>9.5589999999999993</v>
      </c>
      <c r="E25" s="1">
        <v>2.2149999999999999</v>
      </c>
      <c r="F25" s="1">
        <v>2.2149999999999999</v>
      </c>
      <c r="G25" s="1">
        <v>11.773999999999999</v>
      </c>
      <c r="H25" s="775">
        <v>6.1521377012770696E-2</v>
      </c>
      <c r="I25" s="775">
        <v>0.24597445863409217</v>
      </c>
      <c r="J25" s="775">
        <v>0.30749583564686289</v>
      </c>
      <c r="K25" s="51">
        <v>41</v>
      </c>
      <c r="L25" s="1">
        <v>0.65100000000000002</v>
      </c>
      <c r="M25" s="1">
        <v>10.853</v>
      </c>
      <c r="N25" s="1">
        <v>0.54400000000000004</v>
      </c>
      <c r="O25" s="1">
        <v>0.54400000000000004</v>
      </c>
      <c r="P25" s="1">
        <v>11.397</v>
      </c>
      <c r="Q25" s="775">
        <v>6.3811017447559307E-2</v>
      </c>
      <c r="R25" s="775">
        <v>5.3322877867084888E-2</v>
      </c>
      <c r="S25" s="775">
        <v>0.11713389531464419</v>
      </c>
      <c r="T25" s="51">
        <v>41</v>
      </c>
      <c r="U25" s="1">
        <v>0.60250000000000004</v>
      </c>
      <c r="V25" s="1">
        <v>10.206</v>
      </c>
      <c r="W25" s="1">
        <v>1.3794999999999999</v>
      </c>
      <c r="X25" s="1">
        <v>1.3794999999999999</v>
      </c>
      <c r="Y25" s="1">
        <v>11.5855</v>
      </c>
      <c r="Z25" s="775">
        <v>6.2737543603894413E-2</v>
      </c>
      <c r="AA25" s="775">
        <v>0.14364554589472586</v>
      </c>
      <c r="AB25" s="775">
        <v>0.20638308949862028</v>
      </c>
    </row>
    <row r="26" spans="2:28">
      <c r="B26" s="51">
        <v>42</v>
      </c>
      <c r="C26" s="1">
        <v>0.54</v>
      </c>
      <c r="D26" s="1">
        <v>9.8260000000000005</v>
      </c>
      <c r="E26" s="1">
        <v>2.2919999999999998</v>
      </c>
      <c r="F26" s="1">
        <v>2.2919999999999998</v>
      </c>
      <c r="G26" s="1">
        <v>12.118</v>
      </c>
      <c r="H26" s="775">
        <v>5.8152056859788928E-2</v>
      </c>
      <c r="I26" s="775">
        <v>0.24682317467154852</v>
      </c>
      <c r="J26" s="775">
        <v>0.30497523153133743</v>
      </c>
      <c r="K26" s="51">
        <v>42</v>
      </c>
      <c r="L26" s="1">
        <v>0.63</v>
      </c>
      <c r="M26" s="1">
        <v>11.141</v>
      </c>
      <c r="N26" s="1">
        <v>0.55700000000000005</v>
      </c>
      <c r="O26" s="1">
        <v>0.55700000000000005</v>
      </c>
      <c r="P26" s="1">
        <v>11.698</v>
      </c>
      <c r="Q26" s="775">
        <v>5.993720863856912E-2</v>
      </c>
      <c r="R26" s="775">
        <v>5.2992103510607944E-2</v>
      </c>
      <c r="S26" s="775">
        <v>0.11292931214917706</v>
      </c>
      <c r="T26" s="51">
        <v>42</v>
      </c>
      <c r="U26" s="1">
        <v>0.58499999999999996</v>
      </c>
      <c r="V26" s="1">
        <v>10.483499999999999</v>
      </c>
      <c r="W26" s="1">
        <v>1.4244999999999999</v>
      </c>
      <c r="X26" s="1">
        <v>1.4244999999999999</v>
      </c>
      <c r="Y26" s="1">
        <v>11.907999999999999</v>
      </c>
      <c r="Z26" s="775">
        <v>5.9099863615699355E-2</v>
      </c>
      <c r="AA26" s="775">
        <v>0.14391069353942518</v>
      </c>
      <c r="AB26" s="775">
        <v>0.20301055715512453</v>
      </c>
    </row>
    <row r="27" spans="2:28">
      <c r="B27" s="51">
        <v>43</v>
      </c>
      <c r="C27" s="1">
        <v>0.52500000000000002</v>
      </c>
      <c r="D27" s="1">
        <v>10.102</v>
      </c>
      <c r="E27" s="1">
        <v>2.37</v>
      </c>
      <c r="F27" s="1">
        <v>2.37</v>
      </c>
      <c r="G27" s="1">
        <v>12.472000000000001</v>
      </c>
      <c r="H27" s="775">
        <v>5.4818836796491598E-2</v>
      </c>
      <c r="I27" s="775">
        <v>0.24746789182416207</v>
      </c>
      <c r="J27" s="775">
        <v>0.30228672862065364</v>
      </c>
      <c r="K27" s="51">
        <v>43</v>
      </c>
      <c r="L27" s="1">
        <v>0.60699999999999998</v>
      </c>
      <c r="M27" s="1">
        <v>11.436999999999999</v>
      </c>
      <c r="N27" s="1">
        <v>0.56999999999999995</v>
      </c>
      <c r="O27" s="1">
        <v>0.56999999999999995</v>
      </c>
      <c r="P27" s="1">
        <v>12.007</v>
      </c>
      <c r="Q27" s="775">
        <v>5.6048014773776543E-2</v>
      </c>
      <c r="R27" s="775">
        <v>5.2631578947368418E-2</v>
      </c>
      <c r="S27" s="775">
        <v>0.10867959372114497</v>
      </c>
      <c r="T27" s="51">
        <v>43</v>
      </c>
      <c r="U27" s="1">
        <v>0.56600000000000006</v>
      </c>
      <c r="V27" s="1">
        <v>10.769500000000001</v>
      </c>
      <c r="W27" s="1">
        <v>1.47</v>
      </c>
      <c r="X27" s="1">
        <v>1.47</v>
      </c>
      <c r="Y27" s="1">
        <v>12.239500000000001</v>
      </c>
      <c r="Z27" s="775">
        <v>5.547116185622581E-2</v>
      </c>
      <c r="AA27" s="775">
        <v>0.14406821188807761</v>
      </c>
      <c r="AB27" s="775">
        <v>0.19953937374430342</v>
      </c>
    </row>
    <row r="28" spans="2:28">
      <c r="B28" s="51">
        <v>44</v>
      </c>
      <c r="C28" s="1">
        <v>0.50900000000000001</v>
      </c>
      <c r="D28" s="1">
        <v>10.388</v>
      </c>
      <c r="E28" s="1">
        <v>2.4489999999999998</v>
      </c>
      <c r="F28" s="1">
        <v>2.4489999999999998</v>
      </c>
      <c r="G28" s="1">
        <v>12.837</v>
      </c>
      <c r="H28" s="775">
        <v>5.152343354590546E-2</v>
      </c>
      <c r="I28" s="775">
        <v>0.24789958497823666</v>
      </c>
      <c r="J28" s="775">
        <v>0.2994230185241421</v>
      </c>
      <c r="K28" s="51">
        <v>44</v>
      </c>
      <c r="L28" s="1">
        <v>0.58299999999999996</v>
      </c>
      <c r="M28" s="1">
        <v>11.744</v>
      </c>
      <c r="N28" s="1">
        <v>0.58199999999999996</v>
      </c>
      <c r="O28" s="1">
        <v>0.58199999999999996</v>
      </c>
      <c r="P28" s="1">
        <v>12.326000000000001</v>
      </c>
      <c r="Q28" s="775">
        <v>5.2235462772153032E-2</v>
      </c>
      <c r="R28" s="775">
        <v>5.2145865065854315E-2</v>
      </c>
      <c r="S28" s="775">
        <v>0.10438132783800735</v>
      </c>
      <c r="T28" s="51">
        <v>44</v>
      </c>
      <c r="U28" s="1">
        <v>0.54600000000000004</v>
      </c>
      <c r="V28" s="1">
        <v>11.065999999999999</v>
      </c>
      <c r="W28" s="1">
        <v>1.5154999999999998</v>
      </c>
      <c r="X28" s="1">
        <v>1.5154999999999998</v>
      </c>
      <c r="Y28" s="1">
        <v>12.581499999999998</v>
      </c>
      <c r="Z28" s="775">
        <v>5.1901140684410652E-2</v>
      </c>
      <c r="AA28" s="775">
        <v>0.14405893536121672</v>
      </c>
      <c r="AB28" s="775">
        <v>0.19596007604562737</v>
      </c>
    </row>
    <row r="29" spans="2:28">
      <c r="B29" s="51">
        <v>45</v>
      </c>
      <c r="C29" s="1">
        <v>0.49299999999999999</v>
      </c>
      <c r="D29" s="1">
        <v>10.685</v>
      </c>
      <c r="E29" s="1">
        <v>2.528</v>
      </c>
      <c r="F29" s="1">
        <v>2.528</v>
      </c>
      <c r="G29" s="1">
        <v>13.213000000000001</v>
      </c>
      <c r="H29" s="775">
        <v>4.8371271585557298E-2</v>
      </c>
      <c r="I29" s="775">
        <v>0.24803767660910517</v>
      </c>
      <c r="J29" s="775">
        <v>0.29640894819466246</v>
      </c>
      <c r="K29" s="51">
        <v>45</v>
      </c>
      <c r="L29" s="1">
        <v>0.55700000000000005</v>
      </c>
      <c r="M29" s="1">
        <v>12.06</v>
      </c>
      <c r="N29" s="1">
        <v>0.59499999999999997</v>
      </c>
      <c r="O29" s="1">
        <v>0.59499999999999997</v>
      </c>
      <c r="P29" s="1">
        <v>12.655000000000001</v>
      </c>
      <c r="Q29" s="775">
        <v>4.8422150743284362E-2</v>
      </c>
      <c r="R29" s="775">
        <v>5.1725636790402499E-2</v>
      </c>
      <c r="S29" s="775">
        <v>0.10014778753368686</v>
      </c>
      <c r="T29" s="51">
        <v>45</v>
      </c>
      <c r="U29" s="1">
        <v>0.52500000000000002</v>
      </c>
      <c r="V29" s="1">
        <v>11.3725</v>
      </c>
      <c r="W29" s="1">
        <v>1.5615000000000001</v>
      </c>
      <c r="X29" s="1">
        <v>1.5615000000000001</v>
      </c>
      <c r="Y29" s="1">
        <v>12.934000000000001</v>
      </c>
      <c r="Z29" s="775">
        <v>4.8398248444342012E-2</v>
      </c>
      <c r="AA29" s="775">
        <v>0.14395021894445725</v>
      </c>
      <c r="AB29" s="775">
        <v>0.19234846738879927</v>
      </c>
    </row>
    <row r="30" spans="2:28">
      <c r="B30" s="51">
        <v>46</v>
      </c>
      <c r="C30" s="1">
        <v>0.47499999999999998</v>
      </c>
      <c r="D30" s="1">
        <v>10.992000000000001</v>
      </c>
      <c r="E30" s="1">
        <v>2.6070000000000002</v>
      </c>
      <c r="F30" s="1">
        <v>2.6070000000000002</v>
      </c>
      <c r="G30" s="1">
        <v>13.599</v>
      </c>
      <c r="H30" s="775">
        <v>4.5164970999334406E-2</v>
      </c>
      <c r="I30" s="775">
        <v>0.24788437767424171</v>
      </c>
      <c r="J30" s="775">
        <v>0.29304934867357613</v>
      </c>
      <c r="K30" s="51">
        <v>46</v>
      </c>
      <c r="L30" s="1">
        <v>0.53</v>
      </c>
      <c r="M30" s="1">
        <v>12.387</v>
      </c>
      <c r="N30" s="1">
        <v>0.60699999999999998</v>
      </c>
      <c r="O30" s="1">
        <v>0.60699999999999998</v>
      </c>
      <c r="P30" s="1">
        <v>12.994</v>
      </c>
      <c r="Q30" s="775">
        <v>4.4699333726912371E-2</v>
      </c>
      <c r="R30" s="775">
        <v>5.1193387872143031E-2</v>
      </c>
      <c r="S30" s="775">
        <v>9.5892721599055403E-2</v>
      </c>
      <c r="T30" s="51">
        <v>46</v>
      </c>
      <c r="U30" s="1">
        <v>0.50249999999999995</v>
      </c>
      <c r="V30" s="1">
        <v>11.689500000000001</v>
      </c>
      <c r="W30" s="1">
        <v>1.6070000000000002</v>
      </c>
      <c r="X30" s="1">
        <v>1.6070000000000002</v>
      </c>
      <c r="Y30" s="1">
        <v>13.296500000000002</v>
      </c>
      <c r="Z30" s="775">
        <v>4.4918208635022785E-2</v>
      </c>
      <c r="AA30" s="775">
        <v>0.14364887816215249</v>
      </c>
      <c r="AB30" s="775">
        <v>0.18856708679717527</v>
      </c>
    </row>
    <row r="31" spans="2:28">
      <c r="B31" s="51">
        <v>47</v>
      </c>
      <c r="C31" s="1">
        <v>0.45500000000000002</v>
      </c>
      <c r="D31" s="1">
        <v>11.31</v>
      </c>
      <c r="E31" s="1">
        <v>2.6859999999999999</v>
      </c>
      <c r="F31" s="1">
        <v>2.6859999999999999</v>
      </c>
      <c r="G31" s="1">
        <v>13.996</v>
      </c>
      <c r="H31" s="775">
        <v>4.1916167664670656E-2</v>
      </c>
      <c r="I31" s="775">
        <v>0.24744357438968215</v>
      </c>
      <c r="J31" s="775">
        <v>0.28935974205435278</v>
      </c>
      <c r="K31" s="51">
        <v>47</v>
      </c>
      <c r="L31" s="1">
        <v>0.501</v>
      </c>
      <c r="M31" s="1">
        <v>12.725</v>
      </c>
      <c r="N31" s="1">
        <v>0.61899999999999999</v>
      </c>
      <c r="O31" s="1">
        <v>0.61899999999999999</v>
      </c>
      <c r="P31" s="1">
        <v>13.343999999999999</v>
      </c>
      <c r="Q31" s="775">
        <v>4.0984947643979058E-2</v>
      </c>
      <c r="R31" s="775">
        <v>5.0638089005235601E-2</v>
      </c>
      <c r="S31" s="775">
        <v>9.1623036649214659E-2</v>
      </c>
      <c r="T31" s="51">
        <v>47</v>
      </c>
      <c r="U31" s="1">
        <v>0.47799999999999998</v>
      </c>
      <c r="V31" s="1">
        <v>12.0175</v>
      </c>
      <c r="W31" s="1">
        <v>1.6524999999999999</v>
      </c>
      <c r="X31" s="1">
        <v>1.6524999999999999</v>
      </c>
      <c r="Y31" s="1">
        <v>13.67</v>
      </c>
      <c r="Z31" s="775">
        <v>4.1422938602192469E-2</v>
      </c>
      <c r="AA31" s="775">
        <v>0.14320377832661726</v>
      </c>
      <c r="AB31" s="775">
        <v>0.18462671692880972</v>
      </c>
    </row>
    <row r="32" spans="2:28">
      <c r="B32" s="51">
        <v>48</v>
      </c>
      <c r="C32" s="1">
        <v>0.433</v>
      </c>
      <c r="D32" s="1">
        <v>11.638</v>
      </c>
      <c r="E32" s="1">
        <v>2.7639999999999998</v>
      </c>
      <c r="F32" s="1">
        <v>2.7639999999999998</v>
      </c>
      <c r="G32" s="1">
        <v>14.401999999999999</v>
      </c>
      <c r="H32" s="775">
        <v>3.8643462739848283E-2</v>
      </c>
      <c r="I32" s="775">
        <v>0.24667559125390448</v>
      </c>
      <c r="J32" s="775">
        <v>0.28531905399375279</v>
      </c>
      <c r="K32" s="51">
        <v>48</v>
      </c>
      <c r="L32" s="1">
        <v>0.46899999999999997</v>
      </c>
      <c r="M32" s="1">
        <v>13.074</v>
      </c>
      <c r="N32" s="1">
        <v>0.63100000000000001</v>
      </c>
      <c r="O32" s="1">
        <v>0.63100000000000001</v>
      </c>
      <c r="P32" s="1">
        <v>13.705</v>
      </c>
      <c r="Q32" s="775">
        <v>3.7207457358191191E-2</v>
      </c>
      <c r="R32" s="775">
        <v>5.0059500198333995E-2</v>
      </c>
      <c r="S32" s="775">
        <v>8.7266957556525193E-2</v>
      </c>
      <c r="T32" s="51">
        <v>48</v>
      </c>
      <c r="U32" s="1">
        <v>0.45099999999999996</v>
      </c>
      <c r="V32" s="1">
        <v>12.356</v>
      </c>
      <c r="W32" s="1">
        <v>1.6974999999999998</v>
      </c>
      <c r="X32" s="1">
        <v>1.6974999999999998</v>
      </c>
      <c r="Y32" s="1">
        <v>14.0535</v>
      </c>
      <c r="Z32" s="775">
        <v>3.7883242335153298E-2</v>
      </c>
      <c r="AA32" s="775">
        <v>0.14258714825703486</v>
      </c>
      <c r="AB32" s="775">
        <v>0.18047039059218817</v>
      </c>
    </row>
    <row r="33" spans="2:28">
      <c r="B33" s="51">
        <v>49</v>
      </c>
      <c r="C33" s="1">
        <v>0.40699999999999997</v>
      </c>
      <c r="D33" s="1">
        <v>11.978</v>
      </c>
      <c r="E33" s="1">
        <v>2.8410000000000002</v>
      </c>
      <c r="F33" s="1">
        <v>2.8410000000000002</v>
      </c>
      <c r="G33" s="1">
        <v>14.818999999999999</v>
      </c>
      <c r="H33" s="775">
        <v>3.5174142252182176E-2</v>
      </c>
      <c r="I33" s="775">
        <v>0.24552761213378277</v>
      </c>
      <c r="J33" s="775">
        <v>0.28070175438596495</v>
      </c>
      <c r="K33" s="51">
        <v>49</v>
      </c>
      <c r="L33" s="1">
        <v>0.436</v>
      </c>
      <c r="M33" s="1">
        <v>13.433</v>
      </c>
      <c r="N33" s="1">
        <v>0.64100000000000001</v>
      </c>
      <c r="O33" s="1">
        <v>0.64100000000000001</v>
      </c>
      <c r="P33" s="1">
        <v>14.074</v>
      </c>
      <c r="Q33" s="775">
        <v>3.3546202969916138E-2</v>
      </c>
      <c r="R33" s="775">
        <v>4.9319073632376705E-2</v>
      </c>
      <c r="S33" s="775">
        <v>8.2865276602292842E-2</v>
      </c>
      <c r="T33" s="51">
        <v>49</v>
      </c>
      <c r="U33" s="1">
        <v>0.42149999999999999</v>
      </c>
      <c r="V33" s="1">
        <v>12.705500000000001</v>
      </c>
      <c r="W33" s="1">
        <v>1.7410000000000001</v>
      </c>
      <c r="X33" s="1">
        <v>1.7410000000000001</v>
      </c>
      <c r="Y33" s="1">
        <v>14.4465</v>
      </c>
      <c r="Z33" s="775">
        <v>3.4312927385216539E-2</v>
      </c>
      <c r="AA33" s="775">
        <v>0.14172907847606642</v>
      </c>
      <c r="AB33" s="775">
        <v>0.17604200586128296</v>
      </c>
    </row>
    <row r="34" spans="2:28">
      <c r="B34" s="51">
        <v>50</v>
      </c>
      <c r="C34" s="1">
        <v>0.377</v>
      </c>
      <c r="D34" s="1">
        <v>12.329000000000001</v>
      </c>
      <c r="E34" s="1">
        <v>2.9159999999999999</v>
      </c>
      <c r="F34" s="1">
        <v>2.9159999999999999</v>
      </c>
      <c r="G34" s="1">
        <v>15.245000000000001</v>
      </c>
      <c r="H34" s="775">
        <v>3.1542838018741637E-2</v>
      </c>
      <c r="I34" s="775">
        <v>0.24397590361445784</v>
      </c>
      <c r="J34" s="775">
        <v>0.27551874163319945</v>
      </c>
      <c r="K34" s="51">
        <v>50</v>
      </c>
      <c r="L34" s="1">
        <v>0.39900000000000002</v>
      </c>
      <c r="M34" s="1">
        <v>13.805</v>
      </c>
      <c r="N34" s="1">
        <v>0.65100000000000002</v>
      </c>
      <c r="O34" s="1">
        <v>0.65100000000000002</v>
      </c>
      <c r="P34" s="1">
        <v>14.456</v>
      </c>
      <c r="Q34" s="775">
        <v>2.9762792779352534E-2</v>
      </c>
      <c r="R34" s="775">
        <v>4.8560346113680444E-2</v>
      </c>
      <c r="S34" s="775">
        <v>7.8323138893032981E-2</v>
      </c>
      <c r="T34" s="51">
        <v>50</v>
      </c>
      <c r="U34" s="1">
        <v>0.38800000000000001</v>
      </c>
      <c r="V34" s="1">
        <v>13.067</v>
      </c>
      <c r="W34" s="1">
        <v>1.7835000000000001</v>
      </c>
      <c r="X34" s="1">
        <v>1.7835000000000001</v>
      </c>
      <c r="Y34" s="1">
        <v>14.8505</v>
      </c>
      <c r="Z34" s="775">
        <v>3.0601782474958594E-2</v>
      </c>
      <c r="AA34" s="775">
        <v>0.14066566763940375</v>
      </c>
      <c r="AB34" s="775">
        <v>0.17126745011436234</v>
      </c>
    </row>
    <row r="35" spans="2:28">
      <c r="B35" s="51">
        <v>51</v>
      </c>
      <c r="C35" s="1">
        <v>0.34399999999999997</v>
      </c>
      <c r="D35" s="1">
        <v>12.693</v>
      </c>
      <c r="E35" s="1">
        <v>2.9889999999999999</v>
      </c>
      <c r="F35" s="1">
        <v>2.9889999999999999</v>
      </c>
      <c r="G35" s="1">
        <v>15.681999999999999</v>
      </c>
      <c r="H35" s="775">
        <v>2.7856506599724672E-2</v>
      </c>
      <c r="I35" s="775">
        <v>0.24204389019353792</v>
      </c>
      <c r="J35" s="775">
        <v>0.26990039679326261</v>
      </c>
      <c r="K35" s="51">
        <v>51</v>
      </c>
      <c r="L35" s="1">
        <v>0.36</v>
      </c>
      <c r="M35" s="1">
        <v>14.188000000000001</v>
      </c>
      <c r="N35" s="1">
        <v>0.66</v>
      </c>
      <c r="O35" s="1">
        <v>0.66</v>
      </c>
      <c r="P35" s="1">
        <v>14.848000000000001</v>
      </c>
      <c r="Q35" s="775">
        <v>2.6034133641886024E-2</v>
      </c>
      <c r="R35" s="775">
        <v>4.7729245010124384E-2</v>
      </c>
      <c r="S35" s="775">
        <v>7.3763378652010408E-2</v>
      </c>
      <c r="T35" s="51">
        <v>51</v>
      </c>
      <c r="U35" s="1">
        <v>0.35199999999999998</v>
      </c>
      <c r="V35" s="1">
        <v>13.4405</v>
      </c>
      <c r="W35" s="1">
        <v>1.8245</v>
      </c>
      <c r="X35" s="1">
        <v>1.8245</v>
      </c>
      <c r="Y35" s="1">
        <v>15.265000000000001</v>
      </c>
      <c r="Z35" s="775">
        <v>2.6893838102150742E-2</v>
      </c>
      <c r="AA35" s="775">
        <v>0.13939718073117624</v>
      </c>
      <c r="AB35" s="775">
        <v>0.16629101883332698</v>
      </c>
    </row>
    <row r="36" spans="2:28">
      <c r="B36" s="51">
        <v>52</v>
      </c>
      <c r="C36" s="1">
        <v>0.308</v>
      </c>
      <c r="D36" s="1">
        <v>13.071</v>
      </c>
      <c r="E36" s="1">
        <v>3.0609999999999999</v>
      </c>
      <c r="F36" s="1">
        <v>3.0609999999999999</v>
      </c>
      <c r="G36" s="1">
        <v>16.131999999999998</v>
      </c>
      <c r="H36" s="775">
        <v>2.4132257306275953E-2</v>
      </c>
      <c r="I36" s="775">
        <v>0.23983389485230744</v>
      </c>
      <c r="J36" s="775">
        <v>0.26396615215858338</v>
      </c>
      <c r="K36" s="51">
        <v>52</v>
      </c>
      <c r="L36" s="1">
        <v>0.318</v>
      </c>
      <c r="M36" s="1">
        <v>14.583</v>
      </c>
      <c r="N36" s="1">
        <v>0.66800000000000004</v>
      </c>
      <c r="O36" s="1">
        <v>0.66800000000000004</v>
      </c>
      <c r="P36" s="1">
        <v>15.250999999999999</v>
      </c>
      <c r="Q36" s="775">
        <v>2.2292323869610935E-2</v>
      </c>
      <c r="R36" s="775">
        <v>4.6827900455660709E-2</v>
      </c>
      <c r="S36" s="775">
        <v>6.9120224325271651E-2</v>
      </c>
      <c r="T36" s="51">
        <v>52</v>
      </c>
      <c r="U36" s="1">
        <v>0.313</v>
      </c>
      <c r="V36" s="1">
        <v>13.827</v>
      </c>
      <c r="W36" s="1">
        <v>1.8645</v>
      </c>
      <c r="X36" s="1">
        <v>1.8645</v>
      </c>
      <c r="Y36" s="1">
        <v>15.6915</v>
      </c>
      <c r="Z36" s="775">
        <v>2.3161166198016874E-2</v>
      </c>
      <c r="AA36" s="775">
        <v>0.13796803315080658</v>
      </c>
      <c r="AB36" s="775">
        <v>0.16112919934882344</v>
      </c>
    </row>
    <row r="37" spans="2:28">
      <c r="B37" s="51">
        <v>53</v>
      </c>
      <c r="C37" s="1">
        <v>0.26900000000000002</v>
      </c>
      <c r="D37" s="1">
        <v>13.462999999999999</v>
      </c>
      <c r="E37" s="1">
        <v>3.1309999999999998</v>
      </c>
      <c r="F37" s="1">
        <v>3.1309999999999998</v>
      </c>
      <c r="G37" s="1">
        <v>16.593999999999998</v>
      </c>
      <c r="H37" s="775">
        <v>2.0388055176595424E-2</v>
      </c>
      <c r="I37" s="775">
        <v>0.23730483553130211</v>
      </c>
      <c r="J37" s="775">
        <v>0.25769289070789753</v>
      </c>
      <c r="K37" s="51">
        <v>53</v>
      </c>
      <c r="L37" s="1">
        <v>0.27400000000000002</v>
      </c>
      <c r="M37" s="1">
        <v>14.992000000000001</v>
      </c>
      <c r="N37" s="1">
        <v>0.67600000000000005</v>
      </c>
      <c r="O37" s="1">
        <v>0.67600000000000005</v>
      </c>
      <c r="P37" s="1">
        <v>15.668000000000001</v>
      </c>
      <c r="Q37" s="775">
        <v>1.8616659872265254E-2</v>
      </c>
      <c r="R37" s="775">
        <v>4.5930153553471943E-2</v>
      </c>
      <c r="S37" s="775">
        <v>6.4546813425737204E-2</v>
      </c>
      <c r="T37" s="51">
        <v>53</v>
      </c>
      <c r="U37" s="1">
        <v>0.27150000000000002</v>
      </c>
      <c r="V37" s="1">
        <v>14.227499999999999</v>
      </c>
      <c r="W37" s="1">
        <v>1.9035</v>
      </c>
      <c r="X37" s="1">
        <v>1.9035</v>
      </c>
      <c r="Y37" s="1">
        <v>16.131</v>
      </c>
      <c r="Z37" s="775">
        <v>1.9453998280309547E-2</v>
      </c>
      <c r="AA37" s="775">
        <v>0.13639294926913156</v>
      </c>
      <c r="AB37" s="775">
        <v>0.15584694754944112</v>
      </c>
    </row>
    <row r="38" spans="2:28">
      <c r="B38" s="51">
        <v>54</v>
      </c>
      <c r="C38" s="1">
        <v>0.22700000000000001</v>
      </c>
      <c r="D38" s="1">
        <v>13.87</v>
      </c>
      <c r="E38" s="1">
        <v>3.2</v>
      </c>
      <c r="F38" s="1">
        <v>3.2</v>
      </c>
      <c r="G38" s="1">
        <v>17.07</v>
      </c>
      <c r="H38" s="775">
        <v>1.6638569229641575E-2</v>
      </c>
      <c r="I38" s="775">
        <v>0.23455251777468303</v>
      </c>
      <c r="J38" s="775">
        <v>0.25119108700432458</v>
      </c>
      <c r="K38" s="51">
        <v>54</v>
      </c>
      <c r="L38" s="1">
        <v>0.22800000000000001</v>
      </c>
      <c r="M38" s="1">
        <v>15.414</v>
      </c>
      <c r="N38" s="1">
        <v>0.68200000000000005</v>
      </c>
      <c r="O38" s="1">
        <v>0.68200000000000005</v>
      </c>
      <c r="P38" s="1">
        <v>16.096</v>
      </c>
      <c r="Q38" s="775">
        <v>1.5013828526274201E-2</v>
      </c>
      <c r="R38" s="775">
        <v>4.4909785328592126E-2</v>
      </c>
      <c r="S38" s="775">
        <v>5.9923613854866331E-2</v>
      </c>
      <c r="T38" s="51">
        <v>54</v>
      </c>
      <c r="U38" s="1">
        <v>0.22750000000000001</v>
      </c>
      <c r="V38" s="1">
        <v>14.641999999999999</v>
      </c>
      <c r="W38" s="1">
        <v>1.9410000000000001</v>
      </c>
      <c r="X38" s="1">
        <v>1.9410000000000001</v>
      </c>
      <c r="Y38" s="1">
        <v>16.582999999999998</v>
      </c>
      <c r="Z38" s="775">
        <v>1.5782718790107182E-2</v>
      </c>
      <c r="AA38" s="775">
        <v>0.13465607547955183</v>
      </c>
      <c r="AB38" s="775">
        <v>0.150438794269659</v>
      </c>
    </row>
    <row r="39" spans="2:28">
      <c r="B39" s="51">
        <v>55</v>
      </c>
      <c r="C39" s="1">
        <v>0.183</v>
      </c>
      <c r="D39" s="1">
        <v>14.294</v>
      </c>
      <c r="E39" s="1">
        <v>3.2679999999999998</v>
      </c>
      <c r="F39" s="1">
        <v>3.2679999999999998</v>
      </c>
      <c r="G39" s="1">
        <v>17.562000000000001</v>
      </c>
      <c r="H39" s="775">
        <v>1.2968606052016158E-2</v>
      </c>
      <c r="I39" s="775">
        <v>0.23159237474310818</v>
      </c>
      <c r="J39" s="775">
        <v>0.24456098079512434</v>
      </c>
      <c r="K39" s="51">
        <v>55</v>
      </c>
      <c r="L39" s="1">
        <v>0.18099999999999999</v>
      </c>
      <c r="M39" s="1">
        <v>15.852</v>
      </c>
      <c r="N39" s="1">
        <v>0.68799999999999994</v>
      </c>
      <c r="O39" s="1">
        <v>0.68799999999999994</v>
      </c>
      <c r="P39" s="1">
        <v>16.54</v>
      </c>
      <c r="Q39" s="775">
        <v>1.1549996809393146E-2</v>
      </c>
      <c r="R39" s="775">
        <v>4.3902750303107647E-2</v>
      </c>
      <c r="S39" s="775">
        <v>5.5452747112500797E-2</v>
      </c>
      <c r="T39" s="51">
        <v>55</v>
      </c>
      <c r="U39" s="1">
        <v>0.182</v>
      </c>
      <c r="V39" s="1">
        <v>15.073</v>
      </c>
      <c r="W39" s="1">
        <v>1.9779999999999998</v>
      </c>
      <c r="X39" s="1">
        <v>1.9779999999999998</v>
      </c>
      <c r="Y39" s="1">
        <v>17.051000000000002</v>
      </c>
      <c r="Z39" s="775">
        <v>1.2222147605936472E-2</v>
      </c>
      <c r="AA39" s="775">
        <v>0.13283191189308977</v>
      </c>
      <c r="AB39" s="775">
        <v>0.14505405949902625</v>
      </c>
    </row>
    <row r="40" spans="2:28">
      <c r="B40" s="51">
        <v>56</v>
      </c>
      <c r="C40" s="1">
        <v>0.13800000000000001</v>
      </c>
      <c r="D40" s="1">
        <v>14.734</v>
      </c>
      <c r="E40" s="1">
        <v>3.3359999999999999</v>
      </c>
      <c r="F40" s="1">
        <v>3.3359999999999999</v>
      </c>
      <c r="G40" s="1">
        <v>18.07</v>
      </c>
      <c r="H40" s="775">
        <v>9.4546451082488363E-3</v>
      </c>
      <c r="I40" s="775">
        <v>0.22855576870375444</v>
      </c>
      <c r="J40" s="775">
        <v>0.23801041381200327</v>
      </c>
      <c r="K40" s="51">
        <v>56</v>
      </c>
      <c r="L40" s="1">
        <v>0.13500000000000001</v>
      </c>
      <c r="M40" s="1">
        <v>16.306000000000001</v>
      </c>
      <c r="N40" s="1">
        <v>0.69299999999999995</v>
      </c>
      <c r="O40" s="1">
        <v>0.69299999999999995</v>
      </c>
      <c r="P40" s="1">
        <v>16.999000000000002</v>
      </c>
      <c r="Q40" s="775">
        <v>8.3482777812132845E-3</v>
      </c>
      <c r="R40" s="775">
        <v>4.2854492610228181E-2</v>
      </c>
      <c r="S40" s="775">
        <v>5.1202770391441464E-2</v>
      </c>
      <c r="T40" s="51">
        <v>56</v>
      </c>
      <c r="U40" s="1">
        <v>0.13650000000000001</v>
      </c>
      <c r="V40" s="1">
        <v>15.52</v>
      </c>
      <c r="W40" s="1">
        <v>2.0145</v>
      </c>
      <c r="X40" s="1">
        <v>2.0145</v>
      </c>
      <c r="Y40" s="1">
        <v>17.534500000000001</v>
      </c>
      <c r="Z40" s="775">
        <v>8.87314330288946E-3</v>
      </c>
      <c r="AA40" s="775">
        <v>0.13095199401956642</v>
      </c>
      <c r="AB40" s="775">
        <v>0.13982513732245588</v>
      </c>
    </row>
    <row r="41" spans="2:28">
      <c r="B41" s="51">
        <v>57</v>
      </c>
      <c r="C41" s="1">
        <v>9.5000000000000001E-2</v>
      </c>
      <c r="D41" s="1">
        <v>15.194000000000001</v>
      </c>
      <c r="E41" s="1">
        <v>3.4049999999999998</v>
      </c>
      <c r="F41" s="1">
        <v>3.4049999999999998</v>
      </c>
      <c r="G41" s="1">
        <v>18.599</v>
      </c>
      <c r="H41" s="775">
        <v>6.2918074044638721E-3</v>
      </c>
      <c r="I41" s="775">
        <v>0.22551162328631033</v>
      </c>
      <c r="J41" s="775">
        <v>0.23180343069077419</v>
      </c>
      <c r="K41" s="51">
        <v>57</v>
      </c>
      <c r="L41" s="1">
        <v>9.0999999999999998E-2</v>
      </c>
      <c r="M41" s="1">
        <v>16.78</v>
      </c>
      <c r="N41" s="1">
        <v>0.69799999999999995</v>
      </c>
      <c r="O41" s="1">
        <v>0.69799999999999995</v>
      </c>
      <c r="P41" s="1">
        <v>17.478000000000002</v>
      </c>
      <c r="Q41" s="775">
        <v>5.4526933908562525E-3</v>
      </c>
      <c r="R41" s="775">
        <v>4.1823955899095211E-2</v>
      </c>
      <c r="S41" s="775">
        <v>4.7276649289951463E-2</v>
      </c>
      <c r="T41" s="51">
        <v>57</v>
      </c>
      <c r="U41" s="1">
        <v>9.2999999999999999E-2</v>
      </c>
      <c r="V41" s="1">
        <v>15.987000000000002</v>
      </c>
      <c r="W41" s="1">
        <v>2.0514999999999999</v>
      </c>
      <c r="X41" s="1">
        <v>2.0514999999999999</v>
      </c>
      <c r="Y41" s="1">
        <v>18.038500000000003</v>
      </c>
      <c r="Z41" s="775">
        <v>5.8512646281615698E-3</v>
      </c>
      <c r="AA41" s="775">
        <v>0.12907386435132753</v>
      </c>
      <c r="AB41" s="775">
        <v>0.13492512897948911</v>
      </c>
    </row>
    <row r="42" spans="2:28">
      <c r="B42" s="51">
        <v>58</v>
      </c>
      <c r="C42" s="1">
        <v>5.6000000000000001E-2</v>
      </c>
      <c r="D42" s="1">
        <v>15.673999999999999</v>
      </c>
      <c r="E42" s="1">
        <v>3.476</v>
      </c>
      <c r="F42" s="1">
        <v>3.476</v>
      </c>
      <c r="G42" s="1">
        <v>19.149999999999999</v>
      </c>
      <c r="H42" s="775">
        <v>3.5856063516455372E-3</v>
      </c>
      <c r="I42" s="775">
        <v>0.22256370854142654</v>
      </c>
      <c r="J42" s="775">
        <v>0.22614931489307208</v>
      </c>
      <c r="K42" s="51">
        <v>58</v>
      </c>
      <c r="L42" s="1">
        <v>5.1999999999999998E-2</v>
      </c>
      <c r="M42" s="1">
        <v>17.276</v>
      </c>
      <c r="N42" s="1">
        <v>0.70299999999999996</v>
      </c>
      <c r="O42" s="1">
        <v>0.70299999999999996</v>
      </c>
      <c r="P42" s="1">
        <v>17.978999999999999</v>
      </c>
      <c r="Q42" s="775">
        <v>3.0190431955411053E-3</v>
      </c>
      <c r="R42" s="775">
        <v>4.0815141662796095E-2</v>
      </c>
      <c r="S42" s="775">
        <v>4.3834184858337198E-2</v>
      </c>
      <c r="T42" s="51">
        <v>58</v>
      </c>
      <c r="U42" s="1">
        <v>5.3999999999999999E-2</v>
      </c>
      <c r="V42" s="1">
        <v>16.475000000000001</v>
      </c>
      <c r="W42" s="1">
        <v>2.0895000000000001</v>
      </c>
      <c r="X42" s="1">
        <v>2.0895000000000001</v>
      </c>
      <c r="Y42" s="1">
        <v>18.564500000000002</v>
      </c>
      <c r="Z42" s="775">
        <v>3.2884720784361484E-3</v>
      </c>
      <c r="AA42" s="775">
        <v>0.1272456001461543</v>
      </c>
      <c r="AB42" s="775">
        <v>0.13053407222459046</v>
      </c>
    </row>
    <row r="43" spans="2:28">
      <c r="B43" s="51">
        <v>59</v>
      </c>
      <c r="C43" s="1">
        <v>2.5999999999999999E-2</v>
      </c>
      <c r="D43" s="1">
        <v>16.178000000000001</v>
      </c>
      <c r="E43" s="1">
        <v>3.5510000000000002</v>
      </c>
      <c r="F43" s="1">
        <v>3.5510000000000002</v>
      </c>
      <c r="G43" s="1">
        <v>19.728999999999999</v>
      </c>
      <c r="H43" s="775">
        <v>1.6097077761267954E-3</v>
      </c>
      <c r="I43" s="775">
        <v>0.21984893511639425</v>
      </c>
      <c r="J43" s="775">
        <v>0.22145864289252104</v>
      </c>
      <c r="K43" s="51">
        <v>59</v>
      </c>
      <c r="L43" s="1">
        <v>2.3E-2</v>
      </c>
      <c r="M43" s="1">
        <v>17.797000000000001</v>
      </c>
      <c r="N43" s="1">
        <v>0.70799999999999996</v>
      </c>
      <c r="O43" s="1">
        <v>0.70799999999999996</v>
      </c>
      <c r="P43" s="1">
        <v>18.504999999999999</v>
      </c>
      <c r="Q43" s="775">
        <v>1.2940249803083154E-3</v>
      </c>
      <c r="R43" s="775">
        <v>3.9833464611229885E-2</v>
      </c>
      <c r="S43" s="775">
        <v>4.1127489591538204E-2</v>
      </c>
      <c r="T43" s="51">
        <v>59</v>
      </c>
      <c r="U43" s="1">
        <v>2.4500000000000001E-2</v>
      </c>
      <c r="V43" s="1">
        <v>16.987500000000001</v>
      </c>
      <c r="W43" s="1">
        <v>2.1295000000000002</v>
      </c>
      <c r="X43" s="1">
        <v>2.1295000000000002</v>
      </c>
      <c r="Y43" s="1">
        <v>19.117000000000001</v>
      </c>
      <c r="Z43" s="775">
        <v>1.4443199905677061E-3</v>
      </c>
      <c r="AA43" s="775">
        <v>0.12553793550669104</v>
      </c>
      <c r="AB43" s="775">
        <v>0.12698225549725875</v>
      </c>
    </row>
    <row r="44" spans="2:28">
      <c r="B44" s="51">
        <v>60</v>
      </c>
      <c r="C44" s="1">
        <v>6.0000000000000001E-3</v>
      </c>
      <c r="D44" s="1">
        <v>16.707999999999998</v>
      </c>
      <c r="E44" s="1">
        <v>3.629</v>
      </c>
      <c r="F44" s="1">
        <v>3.629</v>
      </c>
      <c r="G44" s="1">
        <v>20.337</v>
      </c>
      <c r="H44" s="775">
        <v>3.5923841456113044E-4</v>
      </c>
      <c r="I44" s="775">
        <v>0.21727936774039039</v>
      </c>
      <c r="J44" s="775">
        <v>0.21763860615495151</v>
      </c>
      <c r="K44" s="51">
        <v>60</v>
      </c>
      <c r="L44" s="1">
        <v>5.0000000000000001E-3</v>
      </c>
      <c r="M44" s="1">
        <v>18.347999999999999</v>
      </c>
      <c r="N44" s="1">
        <v>0.71399999999999997</v>
      </c>
      <c r="O44" s="1">
        <v>0.71399999999999997</v>
      </c>
      <c r="P44" s="1">
        <v>19.061999999999998</v>
      </c>
      <c r="Q44" s="775">
        <v>2.7258354685711169E-4</v>
      </c>
      <c r="R44" s="775">
        <v>3.8924930491195553E-2</v>
      </c>
      <c r="S44" s="775">
        <v>3.9197514038052668E-2</v>
      </c>
      <c r="T44" s="51">
        <v>60</v>
      </c>
      <c r="U44" s="1">
        <v>5.4999999999999997E-3</v>
      </c>
      <c r="V44" s="1">
        <v>17.527999999999999</v>
      </c>
      <c r="W44" s="1">
        <v>2.1715</v>
      </c>
      <c r="X44" s="1">
        <v>2.1715</v>
      </c>
      <c r="Y44" s="1">
        <v>19.6995</v>
      </c>
      <c r="Z44" s="775">
        <v>3.13882151519475E-4</v>
      </c>
      <c r="AA44" s="775">
        <v>0.12392638036809818</v>
      </c>
      <c r="AB44" s="775">
        <v>0.12424026251961766</v>
      </c>
    </row>
    <row r="45" spans="2:28">
      <c r="B45" s="51">
        <v>61</v>
      </c>
      <c r="C45" s="1">
        <v>0</v>
      </c>
      <c r="D45" s="1">
        <v>17.268999999999998</v>
      </c>
      <c r="E45" s="1">
        <v>3.7109999999999999</v>
      </c>
      <c r="F45" s="1">
        <v>3.7109999999999999</v>
      </c>
      <c r="G45" s="1">
        <v>20.979999999999997</v>
      </c>
      <c r="H45" s="775">
        <v>0</v>
      </c>
      <c r="I45" s="775">
        <v>0.2148937402281545</v>
      </c>
      <c r="J45" s="775">
        <v>0.2148937402281545</v>
      </c>
      <c r="K45" s="51">
        <v>61</v>
      </c>
      <c r="L45" s="1">
        <v>0</v>
      </c>
      <c r="M45" s="1">
        <v>18.93</v>
      </c>
      <c r="N45" s="1">
        <v>0.71899999999999997</v>
      </c>
      <c r="O45" s="1">
        <v>0.71899999999999997</v>
      </c>
      <c r="P45" s="1">
        <v>19.649000000000001</v>
      </c>
      <c r="Q45" s="775">
        <v>0</v>
      </c>
      <c r="R45" s="775">
        <v>3.7982039091389329E-2</v>
      </c>
      <c r="S45" s="775">
        <v>3.7982039091389329E-2</v>
      </c>
      <c r="T45" s="51">
        <v>61</v>
      </c>
      <c r="U45" s="1">
        <v>0</v>
      </c>
      <c r="V45" s="1">
        <v>18.099499999999999</v>
      </c>
      <c r="W45" s="1">
        <v>2.2149999999999999</v>
      </c>
      <c r="X45" s="1">
        <v>2.2149999999999999</v>
      </c>
      <c r="Y45" s="1">
        <v>20.314499999999999</v>
      </c>
      <c r="Z45" s="775">
        <v>0</v>
      </c>
      <c r="AA45" s="775">
        <v>0.12237907124506202</v>
      </c>
      <c r="AB45" s="775">
        <v>0.12237907124506202</v>
      </c>
    </row>
    <row r="46" spans="2:28">
      <c r="B46" s="51">
        <v>62</v>
      </c>
      <c r="C46" s="1">
        <v>0</v>
      </c>
      <c r="D46" s="1">
        <v>16.902999999999999</v>
      </c>
      <c r="E46" s="1">
        <v>3.734</v>
      </c>
      <c r="F46" s="1">
        <v>3.734</v>
      </c>
      <c r="G46" s="1">
        <v>20.637</v>
      </c>
      <c r="H46" s="775">
        <v>0</v>
      </c>
      <c r="I46" s="775">
        <v>0.22090753120747797</v>
      </c>
      <c r="J46" s="775">
        <v>0.22090753120747797</v>
      </c>
      <c r="K46" s="51">
        <v>62</v>
      </c>
      <c r="L46" s="1">
        <v>0</v>
      </c>
      <c r="M46" s="1">
        <v>18.798999999999999</v>
      </c>
      <c r="N46" s="1">
        <v>0.70299999999999996</v>
      </c>
      <c r="O46" s="1">
        <v>0.70299999999999996</v>
      </c>
      <c r="P46" s="1">
        <v>19.501999999999999</v>
      </c>
      <c r="Q46" s="775">
        <v>0</v>
      </c>
      <c r="R46" s="775">
        <v>3.7395606149263259E-2</v>
      </c>
      <c r="S46" s="775">
        <v>3.7395606149263259E-2</v>
      </c>
      <c r="T46" s="51">
        <v>62</v>
      </c>
      <c r="U46" s="1">
        <v>0</v>
      </c>
      <c r="V46" s="1">
        <v>17.850999999999999</v>
      </c>
      <c r="W46" s="1">
        <v>2.2185000000000001</v>
      </c>
      <c r="X46" s="1">
        <v>2.2185000000000001</v>
      </c>
      <c r="Y46" s="1">
        <v>20.069499999999998</v>
      </c>
      <c r="Z46" s="775">
        <v>0</v>
      </c>
      <c r="AA46" s="775">
        <v>0.12427875189065039</v>
      </c>
      <c r="AB46" s="775">
        <v>0.12427875189065039</v>
      </c>
    </row>
    <row r="47" spans="2:28">
      <c r="B47" s="51">
        <v>63</v>
      </c>
      <c r="C47" s="1">
        <v>0</v>
      </c>
      <c r="D47" s="1">
        <v>16.530999999999999</v>
      </c>
      <c r="E47" s="1">
        <v>3.7530000000000001</v>
      </c>
      <c r="F47" s="1">
        <v>3.7530000000000001</v>
      </c>
      <c r="G47" s="1">
        <v>20.283999999999999</v>
      </c>
      <c r="H47" s="775">
        <v>0</v>
      </c>
      <c r="I47" s="775">
        <v>0.22702800798499789</v>
      </c>
      <c r="J47" s="775">
        <v>0.22702800798499789</v>
      </c>
      <c r="K47" s="51">
        <v>63</v>
      </c>
      <c r="L47" s="1">
        <v>0</v>
      </c>
      <c r="M47" s="1">
        <v>18.431000000000001</v>
      </c>
      <c r="N47" s="1">
        <v>0.68600000000000005</v>
      </c>
      <c r="O47" s="1">
        <v>0.68600000000000005</v>
      </c>
      <c r="P47" s="1">
        <v>19.117000000000001</v>
      </c>
      <c r="Q47" s="775">
        <v>0</v>
      </c>
      <c r="R47" s="775">
        <v>3.7219901253323209E-2</v>
      </c>
      <c r="S47" s="775">
        <v>3.7219901253323209E-2</v>
      </c>
      <c r="T47" s="51">
        <v>63</v>
      </c>
      <c r="U47" s="1">
        <v>0</v>
      </c>
      <c r="V47" s="1">
        <v>17.481000000000002</v>
      </c>
      <c r="W47" s="1">
        <v>2.2195</v>
      </c>
      <c r="X47" s="1">
        <v>2.2195</v>
      </c>
      <c r="Y47" s="1">
        <v>19.700500000000002</v>
      </c>
      <c r="Z47" s="775">
        <v>0</v>
      </c>
      <c r="AA47" s="775">
        <v>0.12696642068531547</v>
      </c>
      <c r="AB47" s="775">
        <v>0.12696642068531547</v>
      </c>
    </row>
    <row r="48" spans="2:28">
      <c r="B48" s="51">
        <v>64</v>
      </c>
      <c r="C48" s="1">
        <v>0</v>
      </c>
      <c r="D48" s="1">
        <v>16.154</v>
      </c>
      <c r="E48" s="1">
        <v>3.7669999999999999</v>
      </c>
      <c r="F48" s="1">
        <v>3.7669999999999999</v>
      </c>
      <c r="G48" s="1">
        <v>19.920999999999999</v>
      </c>
      <c r="H48" s="775">
        <v>0</v>
      </c>
      <c r="I48" s="775">
        <v>0.23319301720935989</v>
      </c>
      <c r="J48" s="775">
        <v>0.23319301720935989</v>
      </c>
      <c r="K48" s="51">
        <v>64</v>
      </c>
      <c r="L48" s="1">
        <v>0</v>
      </c>
      <c r="M48" s="1">
        <v>18.055</v>
      </c>
      <c r="N48" s="1">
        <v>0.66700000000000004</v>
      </c>
      <c r="O48" s="1">
        <v>0.66700000000000004</v>
      </c>
      <c r="P48" s="1">
        <v>18.722000000000001</v>
      </c>
      <c r="Q48" s="775">
        <v>0</v>
      </c>
      <c r="R48" s="775">
        <v>3.6942675159235674E-2</v>
      </c>
      <c r="S48" s="775">
        <v>3.6942675159235674E-2</v>
      </c>
      <c r="T48" s="51">
        <v>64</v>
      </c>
      <c r="U48" s="1">
        <v>0</v>
      </c>
      <c r="V48" s="1">
        <v>17.104500000000002</v>
      </c>
      <c r="W48" s="1">
        <v>2.2170000000000001</v>
      </c>
      <c r="X48" s="1">
        <v>2.2170000000000001</v>
      </c>
      <c r="Y48" s="1">
        <v>19.3215</v>
      </c>
      <c r="Z48" s="775">
        <v>0</v>
      </c>
      <c r="AA48" s="775">
        <v>0.12961501359291414</v>
      </c>
      <c r="AB48" s="775">
        <v>0.12961501359291414</v>
      </c>
    </row>
    <row r="49" spans="2:28">
      <c r="B49" s="51">
        <v>65</v>
      </c>
      <c r="C49" s="1">
        <v>0</v>
      </c>
      <c r="D49" s="1">
        <v>15.77</v>
      </c>
      <c r="E49" s="1">
        <v>3.7749999999999999</v>
      </c>
      <c r="F49" s="1">
        <v>3.7749999999999999</v>
      </c>
      <c r="G49" s="1">
        <v>19.544999999999998</v>
      </c>
      <c r="H49" s="775">
        <v>0</v>
      </c>
      <c r="I49" s="775">
        <v>0.23937856689917564</v>
      </c>
      <c r="J49" s="775">
        <v>0.23937856689917564</v>
      </c>
      <c r="K49" s="51">
        <v>65</v>
      </c>
      <c r="L49" s="1">
        <v>0</v>
      </c>
      <c r="M49" s="1">
        <v>17.669</v>
      </c>
      <c r="N49" s="1">
        <v>0.64900000000000002</v>
      </c>
      <c r="O49" s="1">
        <v>0.64900000000000002</v>
      </c>
      <c r="P49" s="1">
        <v>18.318000000000001</v>
      </c>
      <c r="Q49" s="775">
        <v>0</v>
      </c>
      <c r="R49" s="775">
        <v>3.6730997792744358E-2</v>
      </c>
      <c r="S49" s="1787">
        <v>3.6730997792744358E-2</v>
      </c>
      <c r="T49" s="51">
        <v>65</v>
      </c>
      <c r="U49" s="1">
        <v>0</v>
      </c>
      <c r="V49" s="1">
        <v>16.7195</v>
      </c>
      <c r="W49" s="1">
        <v>2.2119999999999997</v>
      </c>
      <c r="X49" s="1">
        <v>2.2119999999999997</v>
      </c>
      <c r="Y49" s="1">
        <v>18.9315</v>
      </c>
      <c r="Z49" s="775">
        <v>0</v>
      </c>
      <c r="AA49" s="775">
        <v>0.13230060707557043</v>
      </c>
      <c r="AB49" s="1787">
        <v>0.13230060707557043</v>
      </c>
    </row>
    <row r="50" spans="2:28">
      <c r="B50" s="51">
        <v>66</v>
      </c>
      <c r="C50" s="1"/>
      <c r="D50" s="1">
        <v>15.379</v>
      </c>
      <c r="E50" s="1">
        <v>3.778</v>
      </c>
      <c r="F50" s="1">
        <v>3.778</v>
      </c>
      <c r="G50" s="1">
        <v>19.157</v>
      </c>
      <c r="H50" s="775">
        <v>0</v>
      </c>
      <c r="I50" s="775">
        <v>0.24565966577800899</v>
      </c>
      <c r="J50" s="775">
        <v>0.24565966577800899</v>
      </c>
      <c r="K50" s="51">
        <v>66</v>
      </c>
      <c r="L50" s="1">
        <v>0</v>
      </c>
      <c r="M50" s="1">
        <v>17.274000000000001</v>
      </c>
      <c r="N50" s="1">
        <v>0.63</v>
      </c>
      <c r="O50" s="1">
        <v>0.63</v>
      </c>
      <c r="P50" s="1">
        <v>17.904</v>
      </c>
      <c r="Q50" s="775">
        <v>0</v>
      </c>
      <c r="R50" s="775">
        <v>3.647099687391455E-2</v>
      </c>
      <c r="S50" s="1787">
        <v>3.647099687391455E-2</v>
      </c>
      <c r="T50" s="51">
        <v>66</v>
      </c>
      <c r="U50" s="1">
        <v>0</v>
      </c>
      <c r="V50" s="1">
        <v>16.326499999999999</v>
      </c>
      <c r="W50" s="1">
        <v>2.2040000000000002</v>
      </c>
      <c r="X50" s="1">
        <v>2.2040000000000002</v>
      </c>
      <c r="Y50" s="1">
        <v>18.5305</v>
      </c>
      <c r="Z50" s="775">
        <v>0</v>
      </c>
      <c r="AA50" s="775">
        <v>0.13499525311609961</v>
      </c>
      <c r="AB50" s="1787">
        <v>0.13499525311609961</v>
      </c>
    </row>
    <row r="51" spans="2:28">
      <c r="B51" s="51">
        <v>67</v>
      </c>
      <c r="C51" s="1"/>
      <c r="D51" s="1">
        <v>14.98</v>
      </c>
      <c r="E51" s="1">
        <v>3.778</v>
      </c>
      <c r="F51" s="1">
        <v>3.778</v>
      </c>
      <c r="G51" s="1">
        <v>18.757999999999999</v>
      </c>
      <c r="H51" s="775">
        <v>0</v>
      </c>
      <c r="I51" s="775">
        <v>0.25220293724966619</v>
      </c>
      <c r="J51" s="775">
        <v>0.25220293724966619</v>
      </c>
      <c r="K51" s="51">
        <v>67</v>
      </c>
      <c r="L51" s="1">
        <v>0</v>
      </c>
      <c r="M51" s="1">
        <v>16.867000000000001</v>
      </c>
      <c r="N51" s="1">
        <v>0.61</v>
      </c>
      <c r="O51" s="1">
        <v>0.61</v>
      </c>
      <c r="P51" s="1">
        <v>17.477</v>
      </c>
      <c r="Q51" s="775">
        <v>0</v>
      </c>
      <c r="R51" s="775">
        <v>3.6165293176024189E-2</v>
      </c>
      <c r="S51" s="1787">
        <v>3.6165293176024189E-2</v>
      </c>
      <c r="T51" s="51">
        <v>67</v>
      </c>
      <c r="U51" s="1">
        <v>0</v>
      </c>
      <c r="V51" s="1">
        <v>15.923500000000001</v>
      </c>
      <c r="W51" s="1">
        <v>2.194</v>
      </c>
      <c r="X51" s="1">
        <v>2.194</v>
      </c>
      <c r="Y51" s="1">
        <v>18.1175</v>
      </c>
      <c r="Z51" s="775">
        <v>0</v>
      </c>
      <c r="AA51" s="775">
        <v>0.1377837786918705</v>
      </c>
      <c r="AB51" s="1787">
        <v>0.1377837786918705</v>
      </c>
    </row>
    <row r="52" spans="2:28">
      <c r="B52" s="51">
        <v>68</v>
      </c>
      <c r="C52" s="1"/>
      <c r="D52" s="1">
        <v>14.573</v>
      </c>
      <c r="E52" s="1">
        <v>3.7770000000000001</v>
      </c>
      <c r="F52" s="1">
        <v>3.7770000000000001</v>
      </c>
      <c r="G52" s="1">
        <v>18.350000000000001</v>
      </c>
      <c r="H52" s="775">
        <v>0</v>
      </c>
      <c r="I52" s="775">
        <v>0.25917793179166954</v>
      </c>
      <c r="J52" s="775">
        <v>0.25917793179166954</v>
      </c>
      <c r="K52" s="51">
        <v>68</v>
      </c>
      <c r="L52" s="1">
        <v>0</v>
      </c>
      <c r="M52" s="1">
        <v>16.448</v>
      </c>
      <c r="N52" s="1">
        <v>0.59099999999999997</v>
      </c>
      <c r="O52" s="1">
        <v>0.59099999999999997</v>
      </c>
      <c r="P52" s="1">
        <v>17.039000000000001</v>
      </c>
      <c r="Q52" s="775">
        <v>0</v>
      </c>
      <c r="R52" s="775">
        <v>3.5931420233463032E-2</v>
      </c>
      <c r="S52" s="1787">
        <v>3.5931420233463032E-2</v>
      </c>
      <c r="T52" s="51">
        <v>68</v>
      </c>
      <c r="U52" s="1">
        <v>0</v>
      </c>
      <c r="V52" s="1">
        <v>15.5105</v>
      </c>
      <c r="W52" s="1">
        <v>2.1840000000000002</v>
      </c>
      <c r="X52" s="1">
        <v>2.1840000000000002</v>
      </c>
      <c r="Y52" s="1">
        <v>17.694500000000001</v>
      </c>
      <c r="Z52" s="775">
        <v>0</v>
      </c>
      <c r="AA52" s="775">
        <v>0.14080783985042392</v>
      </c>
      <c r="AB52" s="1787">
        <v>0.14080783985042392</v>
      </c>
    </row>
    <row r="53" spans="2:28">
      <c r="B53" s="51">
        <v>69</v>
      </c>
      <c r="C53" s="1"/>
      <c r="D53" s="1">
        <v>14.156000000000001</v>
      </c>
      <c r="E53" s="1">
        <v>3.7730000000000001</v>
      </c>
      <c r="F53" s="1">
        <v>3.7730000000000001</v>
      </c>
      <c r="G53" s="1">
        <v>17.929000000000002</v>
      </c>
      <c r="H53" s="775">
        <v>0</v>
      </c>
      <c r="I53" s="775">
        <v>0.26653009324667987</v>
      </c>
      <c r="J53" s="775">
        <v>0.26653009324667987</v>
      </c>
      <c r="K53" s="51">
        <v>69</v>
      </c>
      <c r="L53" s="1">
        <v>0</v>
      </c>
      <c r="M53" s="1">
        <v>16.016999999999999</v>
      </c>
      <c r="N53" s="1">
        <v>0.57199999999999995</v>
      </c>
      <c r="O53" s="1">
        <v>0.57199999999999995</v>
      </c>
      <c r="P53" s="1">
        <v>16.588999999999999</v>
      </c>
      <c r="Q53" s="775">
        <v>0</v>
      </c>
      <c r="R53" s="775">
        <v>3.5712055940563148E-2</v>
      </c>
      <c r="S53" s="1787">
        <v>3.5712055940563148E-2</v>
      </c>
      <c r="T53" s="51">
        <v>69</v>
      </c>
      <c r="U53" s="1">
        <v>0</v>
      </c>
      <c r="V53" s="1">
        <v>15.086500000000001</v>
      </c>
      <c r="W53" s="1">
        <v>2.1724999999999999</v>
      </c>
      <c r="X53" s="1">
        <v>2.1724999999999999</v>
      </c>
      <c r="Y53" s="1">
        <v>17.259</v>
      </c>
      <c r="Z53" s="775">
        <v>0</v>
      </c>
      <c r="AA53" s="775">
        <v>0.14400291651476485</v>
      </c>
      <c r="AB53" s="1787">
        <v>0.14400291651476485</v>
      </c>
    </row>
    <row r="54" spans="2:28">
      <c r="B54" s="51">
        <v>70</v>
      </c>
      <c r="C54" s="1"/>
      <c r="D54" s="1">
        <v>13.728999999999999</v>
      </c>
      <c r="E54" s="1">
        <v>3.7669999999999999</v>
      </c>
      <c r="F54" s="1">
        <v>3.7669999999999999</v>
      </c>
      <c r="G54" s="1">
        <v>17.495999999999999</v>
      </c>
      <c r="H54" s="775">
        <v>0</v>
      </c>
      <c r="I54" s="775">
        <v>0.27438269356835898</v>
      </c>
      <c r="J54" s="775">
        <v>0.27438269356835898</v>
      </c>
      <c r="K54" s="51">
        <v>70</v>
      </c>
      <c r="L54" s="1">
        <v>0</v>
      </c>
      <c r="M54" s="1">
        <v>15.574</v>
      </c>
      <c r="N54" s="1">
        <v>0.55100000000000005</v>
      </c>
      <c r="O54" s="1">
        <v>0.55100000000000005</v>
      </c>
      <c r="P54" s="1">
        <v>16.125</v>
      </c>
      <c r="Q54" s="775">
        <v>0</v>
      </c>
      <c r="R54" s="775">
        <v>3.5379478618209843E-2</v>
      </c>
      <c r="S54" s="1787">
        <v>3.5379478618209843E-2</v>
      </c>
      <c r="T54" s="51">
        <v>70</v>
      </c>
      <c r="U54" s="1">
        <v>0</v>
      </c>
      <c r="V54" s="1">
        <v>14.651499999999999</v>
      </c>
      <c r="W54" s="1">
        <v>2.1589999999999998</v>
      </c>
      <c r="X54" s="1">
        <v>2.1589999999999998</v>
      </c>
      <c r="Y54" s="1">
        <v>16.810499999999998</v>
      </c>
      <c r="Z54" s="775">
        <v>0</v>
      </c>
      <c r="AA54" s="775">
        <v>0.14735692591202265</v>
      </c>
      <c r="AB54" s="1787">
        <v>0.14735692591202265</v>
      </c>
    </row>
    <row r="55" spans="2:28">
      <c r="B55" s="51">
        <v>71</v>
      </c>
      <c r="C55" s="1"/>
      <c r="D55" s="1">
        <v>13.292999999999999</v>
      </c>
      <c r="E55" s="1">
        <v>3.758</v>
      </c>
      <c r="F55" s="1">
        <v>3.758</v>
      </c>
      <c r="G55" s="1">
        <v>17.050999999999998</v>
      </c>
      <c r="H55" s="775">
        <v>0</v>
      </c>
      <c r="I55" s="775">
        <v>0.28270518317911686</v>
      </c>
      <c r="J55" s="775">
        <v>0.28270518317911686</v>
      </c>
      <c r="K55" s="51">
        <v>71</v>
      </c>
      <c r="L55" s="1">
        <v>0</v>
      </c>
      <c r="M55" s="1">
        <v>15.118</v>
      </c>
      <c r="N55" s="1">
        <v>0.53100000000000003</v>
      </c>
      <c r="O55" s="1">
        <v>0.53100000000000003</v>
      </c>
      <c r="P55" s="1">
        <v>15.649000000000001</v>
      </c>
      <c r="Q55" s="775">
        <v>0</v>
      </c>
      <c r="R55" s="775">
        <v>3.5123693610265912E-2</v>
      </c>
      <c r="S55" s="1787">
        <v>3.5123693610265912E-2</v>
      </c>
      <c r="T55" s="51">
        <v>71</v>
      </c>
      <c r="U55" s="1">
        <v>0</v>
      </c>
      <c r="V55" s="1">
        <v>14.205500000000001</v>
      </c>
      <c r="W55" s="1">
        <v>2.1444999999999999</v>
      </c>
      <c r="X55" s="1">
        <v>2.1444999999999999</v>
      </c>
      <c r="Y55" s="1">
        <v>16.350000000000001</v>
      </c>
      <c r="Z55" s="775">
        <v>0</v>
      </c>
      <c r="AA55" s="775">
        <v>0.15096265530956318</v>
      </c>
      <c r="AB55" s="1787">
        <v>0.15096265530956318</v>
      </c>
    </row>
    <row r="56" spans="2:28">
      <c r="B56" s="51">
        <v>72</v>
      </c>
      <c r="C56" s="1"/>
      <c r="D56" s="1">
        <v>12.846</v>
      </c>
      <c r="E56" s="1">
        <v>3.7469999999999999</v>
      </c>
      <c r="F56" s="1">
        <v>3.7469999999999999</v>
      </c>
      <c r="G56" s="1">
        <v>16.593</v>
      </c>
      <c r="H56" s="775">
        <v>0</v>
      </c>
      <c r="I56" s="775">
        <v>0.29168612797758053</v>
      </c>
      <c r="J56" s="775">
        <v>0.29168612797758053</v>
      </c>
      <c r="K56" s="51">
        <v>72</v>
      </c>
      <c r="L56" s="1">
        <v>0</v>
      </c>
      <c r="M56" s="1">
        <v>14.648999999999999</v>
      </c>
      <c r="N56" s="1">
        <v>0.51</v>
      </c>
      <c r="O56" s="1">
        <v>0.51</v>
      </c>
      <c r="P56" s="1">
        <v>15.158999999999999</v>
      </c>
      <c r="Q56" s="775">
        <v>0</v>
      </c>
      <c r="R56" s="775">
        <v>3.481466311693631E-2</v>
      </c>
      <c r="S56" s="1787">
        <v>3.481466311693631E-2</v>
      </c>
      <c r="T56" s="51">
        <v>72</v>
      </c>
      <c r="U56" s="1">
        <v>0</v>
      </c>
      <c r="V56" s="1">
        <v>13.747499999999999</v>
      </c>
      <c r="W56" s="1">
        <v>2.1284999999999998</v>
      </c>
      <c r="X56" s="1">
        <v>2.1284999999999998</v>
      </c>
      <c r="Y56" s="1">
        <v>15.875999999999998</v>
      </c>
      <c r="Z56" s="775">
        <v>0</v>
      </c>
      <c r="AA56" s="775">
        <v>0.15482815057283142</v>
      </c>
      <c r="AB56" s="1787">
        <v>0.15482815057283142</v>
      </c>
    </row>
    <row r="57" spans="2:28">
      <c r="B57" s="51">
        <v>73</v>
      </c>
      <c r="C57" s="1"/>
      <c r="D57" s="1">
        <v>12.388999999999999</v>
      </c>
      <c r="E57" s="1">
        <v>3.7389999999999999</v>
      </c>
      <c r="F57" s="1">
        <v>3.7389999999999999</v>
      </c>
      <c r="G57" s="1">
        <v>16.128</v>
      </c>
      <c r="H57" s="775">
        <v>0</v>
      </c>
      <c r="I57" s="775">
        <v>0.30179998385664702</v>
      </c>
      <c r="J57" s="775">
        <v>0.30179998385664702</v>
      </c>
      <c r="K57" s="51">
        <v>73</v>
      </c>
      <c r="L57" s="1">
        <v>0</v>
      </c>
      <c r="M57" s="1">
        <v>14.167999999999999</v>
      </c>
      <c r="N57" s="1">
        <v>0.48899999999999999</v>
      </c>
      <c r="O57" s="1">
        <v>0.48899999999999999</v>
      </c>
      <c r="P57" s="1">
        <v>14.657</v>
      </c>
      <c r="Q57" s="775">
        <v>0</v>
      </c>
      <c r="R57" s="775">
        <v>3.4514398644833431E-2</v>
      </c>
      <c r="S57" s="1787">
        <v>3.4514398644833431E-2</v>
      </c>
      <c r="T57" s="51">
        <v>73</v>
      </c>
      <c r="U57" s="1">
        <v>0</v>
      </c>
      <c r="V57" s="1">
        <v>13.278499999999999</v>
      </c>
      <c r="W57" s="1">
        <v>2.1139999999999999</v>
      </c>
      <c r="X57" s="1">
        <v>2.1139999999999999</v>
      </c>
      <c r="Y57" s="1">
        <v>15.392499999999998</v>
      </c>
      <c r="Z57" s="775">
        <v>0</v>
      </c>
      <c r="AA57" s="775">
        <v>0.15920472944986255</v>
      </c>
      <c r="AB57" s="1787">
        <v>0.15920472944986255</v>
      </c>
    </row>
    <row r="58" spans="2:28">
      <c r="B58" s="51">
        <v>74</v>
      </c>
      <c r="C58" s="1"/>
      <c r="D58" s="1">
        <v>11.923999999999999</v>
      </c>
      <c r="E58" s="1">
        <v>3.7290000000000001</v>
      </c>
      <c r="F58" s="1">
        <v>3.7290000000000001</v>
      </c>
      <c r="G58" s="1">
        <v>15.652999999999999</v>
      </c>
      <c r="H58" s="775">
        <v>0</v>
      </c>
      <c r="I58" s="775">
        <v>0.3127306273062731</v>
      </c>
      <c r="J58" s="775">
        <v>0.3127306273062731</v>
      </c>
      <c r="K58" s="51">
        <v>74</v>
      </c>
      <c r="L58" s="1">
        <v>0</v>
      </c>
      <c r="M58" s="1">
        <v>13.676</v>
      </c>
      <c r="N58" s="1">
        <v>0.46899999999999997</v>
      </c>
      <c r="O58" s="1">
        <v>0.46899999999999997</v>
      </c>
      <c r="P58" s="1">
        <v>14.145</v>
      </c>
      <c r="Q58" s="775">
        <v>0</v>
      </c>
      <c r="R58" s="775">
        <v>3.4293653114945886E-2</v>
      </c>
      <c r="S58" s="1787">
        <v>3.4293653114945886E-2</v>
      </c>
      <c r="T58" s="51">
        <v>74</v>
      </c>
      <c r="U58" s="1">
        <v>0</v>
      </c>
      <c r="V58" s="1">
        <v>12.8</v>
      </c>
      <c r="W58" s="1">
        <v>2.0990000000000002</v>
      </c>
      <c r="X58" s="1">
        <v>2.0990000000000002</v>
      </c>
      <c r="Y58" s="1">
        <v>14.899000000000001</v>
      </c>
      <c r="Z58" s="775">
        <v>0</v>
      </c>
      <c r="AA58" s="775">
        <v>0.16398437500000002</v>
      </c>
      <c r="AB58" s="1787">
        <v>0.16398437500000002</v>
      </c>
    </row>
    <row r="59" spans="2:28">
      <c r="B59" s="51">
        <v>75</v>
      </c>
      <c r="C59" s="1"/>
      <c r="D59" s="1">
        <v>11.45</v>
      </c>
      <c r="E59" s="1">
        <v>3.7160000000000002</v>
      </c>
      <c r="F59" s="1">
        <v>3.7160000000000002</v>
      </c>
      <c r="G59" s="1">
        <v>15.166</v>
      </c>
      <c r="H59" s="775">
        <v>0</v>
      </c>
      <c r="I59" s="775">
        <v>0.32454148471615724</v>
      </c>
      <c r="J59" s="775">
        <v>0.32454148471615724</v>
      </c>
      <c r="K59" s="51">
        <v>75</v>
      </c>
      <c r="L59" s="1">
        <v>0</v>
      </c>
      <c r="M59" s="1">
        <v>13.173999999999999</v>
      </c>
      <c r="N59" s="1">
        <v>0.44800000000000001</v>
      </c>
      <c r="O59" s="1">
        <v>0.44800000000000001</v>
      </c>
      <c r="P59" s="1">
        <v>13.622</v>
      </c>
      <c r="Q59" s="775">
        <v>0</v>
      </c>
      <c r="R59" s="775">
        <v>3.4006376195536668E-2</v>
      </c>
      <c r="S59" s="1787">
        <v>3.4006376195536668E-2</v>
      </c>
      <c r="T59" s="51">
        <v>75</v>
      </c>
      <c r="U59" s="1">
        <v>0</v>
      </c>
      <c r="V59" s="1">
        <v>12.311999999999999</v>
      </c>
      <c r="W59" s="1">
        <v>2.0820000000000003</v>
      </c>
      <c r="X59" s="1">
        <v>2.0820000000000003</v>
      </c>
      <c r="Y59" s="1">
        <v>14.394</v>
      </c>
      <c r="Z59" s="775">
        <v>0</v>
      </c>
      <c r="AA59" s="775">
        <v>0.16910331384015598</v>
      </c>
      <c r="AB59" s="1787">
        <v>0.16910331384015598</v>
      </c>
    </row>
    <row r="60" spans="2:28">
      <c r="B60" s="51">
        <v>76</v>
      </c>
      <c r="C60" s="1"/>
      <c r="D60" s="1">
        <v>10.97</v>
      </c>
      <c r="E60" s="1">
        <v>3.698</v>
      </c>
      <c r="F60" s="1">
        <v>3.698</v>
      </c>
      <c r="G60" s="1">
        <v>14.668000000000001</v>
      </c>
      <c r="H60" s="775">
        <v>0</v>
      </c>
      <c r="I60" s="775">
        <v>0.3371011850501367</v>
      </c>
      <c r="J60" s="775">
        <v>0.3371011850501367</v>
      </c>
      <c r="K60" s="51">
        <v>76</v>
      </c>
      <c r="L60" s="1">
        <v>0</v>
      </c>
      <c r="M60" s="1">
        <v>12.663</v>
      </c>
      <c r="N60" s="1">
        <v>0.42699999999999999</v>
      </c>
      <c r="O60" s="1">
        <v>0.42699999999999999</v>
      </c>
      <c r="P60" s="1">
        <v>13.09</v>
      </c>
      <c r="Q60" s="775">
        <v>0</v>
      </c>
      <c r="R60" s="775">
        <v>3.3720287451630734E-2</v>
      </c>
      <c r="S60" s="1787">
        <v>3.3720287451630734E-2</v>
      </c>
      <c r="T60" s="51">
        <v>76</v>
      </c>
      <c r="U60" s="1">
        <v>0</v>
      </c>
      <c r="V60" s="1">
        <v>11.816500000000001</v>
      </c>
      <c r="W60" s="1">
        <v>2.0625</v>
      </c>
      <c r="X60" s="1">
        <v>2.0625</v>
      </c>
      <c r="Y60" s="1">
        <v>13.879000000000001</v>
      </c>
      <c r="Z60" s="775">
        <v>0</v>
      </c>
      <c r="AA60" s="775">
        <v>0.17454406973300043</v>
      </c>
      <c r="AB60" s="1787">
        <v>0.17454406973300043</v>
      </c>
    </row>
    <row r="61" spans="2:28">
      <c r="B61" s="51">
        <v>77</v>
      </c>
      <c r="C61" s="1"/>
      <c r="D61" s="1">
        <v>10.484999999999999</v>
      </c>
      <c r="E61" s="1">
        <v>3.6749999999999998</v>
      </c>
      <c r="F61" s="1">
        <v>3.6749999999999998</v>
      </c>
      <c r="G61" s="1">
        <v>14.16</v>
      </c>
      <c r="H61" s="775">
        <v>0</v>
      </c>
      <c r="I61" s="775">
        <v>0.35050071530758226</v>
      </c>
      <c r="J61" s="775">
        <v>0.35050071530758226</v>
      </c>
      <c r="K61" s="51">
        <v>77</v>
      </c>
      <c r="L61" s="1">
        <v>0</v>
      </c>
      <c r="M61" s="1">
        <v>12.143000000000001</v>
      </c>
      <c r="N61" s="1">
        <v>0.40400000000000003</v>
      </c>
      <c r="O61" s="1">
        <v>0.40400000000000003</v>
      </c>
      <c r="P61" s="1">
        <v>12.547000000000001</v>
      </c>
      <c r="Q61" s="775">
        <v>0</v>
      </c>
      <c r="R61" s="775">
        <v>3.327019682121387E-2</v>
      </c>
      <c r="S61" s="1787">
        <v>3.327019682121387E-2</v>
      </c>
      <c r="T61" s="51">
        <v>77</v>
      </c>
      <c r="U61" s="1">
        <v>0</v>
      </c>
      <c r="V61" s="1">
        <v>11.314</v>
      </c>
      <c r="W61" s="1">
        <v>2.0394999999999999</v>
      </c>
      <c r="X61" s="1">
        <v>2.0394999999999999</v>
      </c>
      <c r="Y61" s="1">
        <v>13.3535</v>
      </c>
      <c r="Z61" s="775">
        <v>0</v>
      </c>
      <c r="AA61" s="775">
        <v>0.18026339048965881</v>
      </c>
      <c r="AB61" s="1787">
        <v>0.18026339048965881</v>
      </c>
    </row>
    <row r="62" spans="2:28">
      <c r="B62" s="51">
        <v>78</v>
      </c>
      <c r="C62" s="1"/>
      <c r="D62" s="1">
        <v>9.9969999999999999</v>
      </c>
      <c r="E62" s="1">
        <v>3.645</v>
      </c>
      <c r="F62" s="1">
        <v>3.645</v>
      </c>
      <c r="G62" s="1">
        <v>13.641999999999999</v>
      </c>
      <c r="H62" s="775">
        <v>0</v>
      </c>
      <c r="I62" s="775">
        <v>0.36460938281484445</v>
      </c>
      <c r="J62" s="775">
        <v>0.36460938281484445</v>
      </c>
      <c r="K62" s="51">
        <v>78</v>
      </c>
      <c r="L62" s="1">
        <v>0</v>
      </c>
      <c r="M62" s="1">
        <v>11.618</v>
      </c>
      <c r="N62" s="1">
        <v>0.38100000000000001</v>
      </c>
      <c r="O62" s="1">
        <v>0.38100000000000001</v>
      </c>
      <c r="P62" s="1">
        <v>11.999000000000001</v>
      </c>
      <c r="Q62" s="775">
        <v>0</v>
      </c>
      <c r="R62" s="775">
        <v>3.279394043725254E-2</v>
      </c>
      <c r="S62" s="1787">
        <v>3.279394043725254E-2</v>
      </c>
      <c r="T62" s="51">
        <v>78</v>
      </c>
      <c r="U62" s="1">
        <v>0</v>
      </c>
      <c r="V62" s="1">
        <v>10.807500000000001</v>
      </c>
      <c r="W62" s="1">
        <v>2.0129999999999999</v>
      </c>
      <c r="X62" s="1">
        <v>2.0129999999999999</v>
      </c>
      <c r="Y62" s="1">
        <v>12.820500000000001</v>
      </c>
      <c r="Z62" s="775">
        <v>0</v>
      </c>
      <c r="AA62" s="775">
        <v>0.1862595419847328</v>
      </c>
      <c r="AB62" s="1787">
        <v>0.1862595419847328</v>
      </c>
    </row>
    <row r="63" spans="2:28">
      <c r="B63" s="51">
        <v>79</v>
      </c>
      <c r="C63" s="1"/>
      <c r="D63" s="1">
        <v>9.5079999999999991</v>
      </c>
      <c r="E63" s="1">
        <v>3.6070000000000002</v>
      </c>
      <c r="F63" s="1">
        <v>3.6070000000000002</v>
      </c>
      <c r="G63" s="1">
        <v>13.114999999999998</v>
      </c>
      <c r="H63" s="775">
        <v>0</v>
      </c>
      <c r="I63" s="775">
        <v>0.37936474547749272</v>
      </c>
      <c r="J63" s="775">
        <v>0.37936474547749272</v>
      </c>
      <c r="K63" s="51">
        <v>79</v>
      </c>
      <c r="L63" s="1">
        <v>0</v>
      </c>
      <c r="M63" s="1">
        <v>11.087999999999999</v>
      </c>
      <c r="N63" s="1">
        <v>0.35699999999999998</v>
      </c>
      <c r="O63" s="1">
        <v>0.35699999999999998</v>
      </c>
      <c r="P63" s="1">
        <v>11.444999999999999</v>
      </c>
      <c r="Q63" s="775">
        <v>0</v>
      </c>
      <c r="R63" s="775">
        <v>3.2196969696969696E-2</v>
      </c>
      <c r="S63" s="1787">
        <v>3.2196969696969696E-2</v>
      </c>
      <c r="T63" s="51">
        <v>79</v>
      </c>
      <c r="U63" s="1">
        <v>0</v>
      </c>
      <c r="V63" s="1">
        <v>10.297999999999998</v>
      </c>
      <c r="W63" s="1">
        <v>1.9820000000000002</v>
      </c>
      <c r="X63" s="1">
        <v>1.9820000000000002</v>
      </c>
      <c r="Y63" s="1">
        <v>12.279999999999998</v>
      </c>
      <c r="Z63" s="775">
        <v>0</v>
      </c>
      <c r="AA63" s="775">
        <v>0.19246455622450967</v>
      </c>
      <c r="AB63" s="1787">
        <v>0.19246455622450967</v>
      </c>
    </row>
    <row r="64" spans="2:28">
      <c r="B64" s="51">
        <v>80</v>
      </c>
      <c r="C64" s="1"/>
      <c r="D64" s="1">
        <v>9.0210000000000008</v>
      </c>
      <c r="E64" s="1">
        <v>3.5619999999999998</v>
      </c>
      <c r="F64" s="1">
        <v>3.5619999999999998</v>
      </c>
      <c r="G64" s="1">
        <v>12.583</v>
      </c>
      <c r="H64" s="775">
        <v>0</v>
      </c>
      <c r="I64" s="775">
        <v>0.39485644607028042</v>
      </c>
      <c r="J64" s="775">
        <v>0.39485644607028042</v>
      </c>
      <c r="K64" s="51">
        <v>80</v>
      </c>
      <c r="L64" s="1">
        <v>0</v>
      </c>
      <c r="M64" s="1">
        <v>10.555</v>
      </c>
      <c r="N64" s="1">
        <v>0.33300000000000002</v>
      </c>
      <c r="O64" s="1">
        <v>0.33300000000000002</v>
      </c>
      <c r="P64" s="1">
        <v>10.888</v>
      </c>
      <c r="Q64" s="775">
        <v>0</v>
      </c>
      <c r="R64" s="775">
        <v>3.15490288962577E-2</v>
      </c>
      <c r="S64" s="1787">
        <v>3.15490288962577E-2</v>
      </c>
      <c r="T64" s="51">
        <v>80</v>
      </c>
      <c r="U64" s="1">
        <v>0</v>
      </c>
      <c r="V64" s="1">
        <v>9.7880000000000003</v>
      </c>
      <c r="W64" s="1">
        <v>1.9475</v>
      </c>
      <c r="X64" s="1">
        <v>1.9475</v>
      </c>
      <c r="Y64" s="1">
        <v>11.7355</v>
      </c>
      <c r="Z64" s="775">
        <v>0</v>
      </c>
      <c r="AA64" s="775">
        <v>0.19896812423375562</v>
      </c>
      <c r="AB64" s="1787">
        <v>0.19896812423375562</v>
      </c>
    </row>
    <row r="65" spans="2:28">
      <c r="B65" s="51">
        <v>81</v>
      </c>
      <c r="C65" s="1"/>
      <c r="D65" s="1">
        <v>8.5380000000000003</v>
      </c>
      <c r="E65" s="1">
        <v>3.5070000000000001</v>
      </c>
      <c r="F65" s="1">
        <v>3.5070000000000001</v>
      </c>
      <c r="G65" s="1">
        <v>12.045</v>
      </c>
      <c r="H65" s="775">
        <v>0</v>
      </c>
      <c r="I65" s="775">
        <v>0.4107519325368939</v>
      </c>
      <c r="J65" s="775">
        <v>0.4107519325368939</v>
      </c>
      <c r="K65" s="51">
        <v>81</v>
      </c>
      <c r="L65" s="1">
        <v>0</v>
      </c>
      <c r="M65" s="1">
        <v>10.023</v>
      </c>
      <c r="N65" s="1">
        <v>0.309</v>
      </c>
      <c r="O65" s="1">
        <v>0.309</v>
      </c>
      <c r="P65" s="1">
        <v>10.331999999999999</v>
      </c>
      <c r="Q65" s="775">
        <v>0</v>
      </c>
      <c r="R65" s="775">
        <v>3.0829093085902426E-2</v>
      </c>
      <c r="S65" s="1787">
        <v>3.0829093085902426E-2</v>
      </c>
      <c r="T65" s="51">
        <v>81</v>
      </c>
      <c r="U65" s="1">
        <v>0</v>
      </c>
      <c r="V65" s="1">
        <v>9.2805</v>
      </c>
      <c r="W65" s="1">
        <v>1.9080000000000001</v>
      </c>
      <c r="X65" s="1">
        <v>1.9080000000000001</v>
      </c>
      <c r="Y65" s="1">
        <v>11.188499999999999</v>
      </c>
      <c r="Z65" s="775">
        <v>0</v>
      </c>
      <c r="AA65" s="775">
        <v>0.20559237110069503</v>
      </c>
      <c r="AB65" s="1787">
        <v>0.20559237110069503</v>
      </c>
    </row>
    <row r="66" spans="2:28">
      <c r="B66" s="51">
        <v>82</v>
      </c>
      <c r="C66" s="1"/>
      <c r="D66" s="1">
        <v>8.0619999999999994</v>
      </c>
      <c r="E66" s="1">
        <v>3.4260000000000002</v>
      </c>
      <c r="F66" s="1">
        <v>3.4260000000000002</v>
      </c>
      <c r="G66" s="1">
        <v>11.488</v>
      </c>
      <c r="H66" s="775">
        <v>0</v>
      </c>
      <c r="I66" s="775">
        <v>0.42495658645497403</v>
      </c>
      <c r="J66" s="775">
        <v>0.42495658645497403</v>
      </c>
      <c r="K66" s="51">
        <v>82</v>
      </c>
      <c r="L66" s="1">
        <v>0</v>
      </c>
      <c r="M66" s="1">
        <v>9.4920000000000009</v>
      </c>
      <c r="N66" s="1">
        <v>0.28499999999999998</v>
      </c>
      <c r="O66" s="1">
        <v>0.28499999999999998</v>
      </c>
      <c r="P66" s="1">
        <v>9.777000000000001</v>
      </c>
      <c r="Q66" s="775">
        <v>0</v>
      </c>
      <c r="R66" s="775">
        <v>3.0025284450063205E-2</v>
      </c>
      <c r="S66" s="1787">
        <v>3.0025284450063205E-2</v>
      </c>
      <c r="T66" s="51">
        <v>82</v>
      </c>
      <c r="U66" s="1">
        <v>0</v>
      </c>
      <c r="V66" s="1">
        <v>8.777000000000001</v>
      </c>
      <c r="W66" s="1">
        <v>1.8555000000000001</v>
      </c>
      <c r="X66" s="1">
        <v>1.8555000000000001</v>
      </c>
      <c r="Y66" s="1">
        <v>10.6325</v>
      </c>
      <c r="Z66" s="775">
        <v>0</v>
      </c>
      <c r="AA66" s="775">
        <v>0.21140480802096387</v>
      </c>
      <c r="AB66" s="1787">
        <v>0.21140480802096387</v>
      </c>
    </row>
    <row r="67" spans="2:28">
      <c r="B67" s="51">
        <v>83</v>
      </c>
      <c r="C67" s="1"/>
      <c r="D67" s="1">
        <v>7.5960000000000001</v>
      </c>
      <c r="E67" s="1">
        <v>3.3330000000000002</v>
      </c>
      <c r="F67" s="1">
        <v>3.3330000000000002</v>
      </c>
      <c r="G67" s="1">
        <v>10.929</v>
      </c>
      <c r="H67" s="775">
        <v>0</v>
      </c>
      <c r="I67" s="775">
        <v>0.43878357030015802</v>
      </c>
      <c r="J67" s="775">
        <v>0.43878357030015802</v>
      </c>
      <c r="K67" s="51">
        <v>83</v>
      </c>
      <c r="L67" s="1">
        <v>0</v>
      </c>
      <c r="M67" s="1">
        <v>8.9670000000000005</v>
      </c>
      <c r="N67" s="1">
        <v>0.26100000000000001</v>
      </c>
      <c r="O67" s="1">
        <v>0.26100000000000001</v>
      </c>
      <c r="P67" s="1">
        <v>9.2279999999999998</v>
      </c>
      <c r="Q67" s="775">
        <v>0</v>
      </c>
      <c r="R67" s="775">
        <v>2.9106724657075946E-2</v>
      </c>
      <c r="S67" s="1787">
        <v>2.9106724657075946E-2</v>
      </c>
      <c r="T67" s="51">
        <v>83</v>
      </c>
      <c r="U67" s="1">
        <v>0</v>
      </c>
      <c r="V67" s="1">
        <v>8.2815000000000012</v>
      </c>
      <c r="W67" s="1">
        <v>1.7970000000000002</v>
      </c>
      <c r="X67" s="1">
        <v>1.7970000000000002</v>
      </c>
      <c r="Y67" s="1">
        <v>10.078500000000002</v>
      </c>
      <c r="Z67" s="775">
        <v>0</v>
      </c>
      <c r="AA67" s="775">
        <v>0.21698967578337255</v>
      </c>
      <c r="AB67" s="1787">
        <v>0.21698967578337255</v>
      </c>
    </row>
    <row r="68" spans="2:28">
      <c r="B68" s="51">
        <v>84</v>
      </c>
      <c r="C68" s="1"/>
      <c r="D68" s="1">
        <v>7.1429999999999998</v>
      </c>
      <c r="E68" s="1">
        <v>3.2280000000000002</v>
      </c>
      <c r="F68" s="1">
        <v>3.2280000000000002</v>
      </c>
      <c r="G68" s="1">
        <v>10.371</v>
      </c>
      <c r="H68" s="775">
        <v>0</v>
      </c>
      <c r="I68" s="775">
        <v>0.45191096178076445</v>
      </c>
      <c r="J68" s="775">
        <v>0.45191096178076445</v>
      </c>
      <c r="K68" s="51">
        <v>84</v>
      </c>
      <c r="L68" s="1">
        <v>0</v>
      </c>
      <c r="M68" s="1">
        <v>8.4499999999999993</v>
      </c>
      <c r="N68" s="1">
        <v>0.23799999999999999</v>
      </c>
      <c r="O68" s="1">
        <v>0.23799999999999999</v>
      </c>
      <c r="P68" s="1">
        <v>8.6879999999999988</v>
      </c>
      <c r="Q68" s="775">
        <v>0</v>
      </c>
      <c r="R68" s="775">
        <v>2.816568047337278E-2</v>
      </c>
      <c r="S68" s="1787">
        <v>2.816568047337278E-2</v>
      </c>
      <c r="T68" s="51">
        <v>84</v>
      </c>
      <c r="U68" s="1">
        <v>0</v>
      </c>
      <c r="V68" s="1">
        <v>7.7965</v>
      </c>
      <c r="W68" s="1">
        <v>1.7330000000000001</v>
      </c>
      <c r="X68" s="1">
        <v>1.7330000000000001</v>
      </c>
      <c r="Y68" s="1">
        <v>9.5295000000000005</v>
      </c>
      <c r="Z68" s="775">
        <v>0</v>
      </c>
      <c r="AA68" s="775">
        <v>0.22227922785865453</v>
      </c>
      <c r="AB68" s="1787">
        <v>0.22227922785865453</v>
      </c>
    </row>
    <row r="69" spans="2:28">
      <c r="B69" s="51">
        <v>85</v>
      </c>
      <c r="C69" s="1"/>
      <c r="D69" s="1">
        <v>6.7080000000000002</v>
      </c>
      <c r="E69" s="1">
        <v>3.1139999999999999</v>
      </c>
      <c r="F69" s="1">
        <v>3.1139999999999999</v>
      </c>
      <c r="G69" s="1">
        <v>9.8219999999999992</v>
      </c>
      <c r="H69" s="775">
        <v>0</v>
      </c>
      <c r="I69" s="775">
        <v>0.46422182468694095</v>
      </c>
      <c r="J69" s="775">
        <v>0.46422182468694095</v>
      </c>
      <c r="K69" s="51">
        <v>85</v>
      </c>
      <c r="L69" s="1">
        <v>0</v>
      </c>
      <c r="M69" s="1">
        <v>7.944</v>
      </c>
      <c r="N69" s="1">
        <v>0.21199999999999999</v>
      </c>
      <c r="O69" s="1">
        <v>0.21199999999999999</v>
      </c>
      <c r="P69" s="1">
        <v>8.1560000000000006</v>
      </c>
      <c r="Q69" s="775">
        <v>0</v>
      </c>
      <c r="R69" s="775">
        <v>2.6686807653575024E-2</v>
      </c>
      <c r="S69" s="1787">
        <v>2.6686807653575024E-2</v>
      </c>
      <c r="T69" s="51">
        <v>85</v>
      </c>
      <c r="U69" s="1">
        <v>0</v>
      </c>
      <c r="V69" s="1">
        <v>7.3260000000000005</v>
      </c>
      <c r="W69" s="1">
        <v>1.663</v>
      </c>
      <c r="X69" s="1">
        <v>1.663</v>
      </c>
      <c r="Y69" s="1">
        <v>8.9890000000000008</v>
      </c>
      <c r="Z69" s="775">
        <v>0</v>
      </c>
      <c r="AA69" s="775">
        <v>0.22699972699972698</v>
      </c>
      <c r="AB69" s="1787">
        <v>0.22699972699972698</v>
      </c>
    </row>
    <row r="70" spans="2:28">
      <c r="B70" s="51">
        <v>86</v>
      </c>
      <c r="C70" s="1"/>
      <c r="D70" s="1">
        <v>6.2949999999999999</v>
      </c>
      <c r="E70" s="1">
        <v>2.992</v>
      </c>
      <c r="F70" s="1">
        <v>2.992</v>
      </c>
      <c r="G70" s="1">
        <v>9.286999999999999</v>
      </c>
      <c r="H70" s="775">
        <v>0</v>
      </c>
      <c r="I70" s="775">
        <v>0.47529785544082603</v>
      </c>
      <c r="J70" s="775">
        <v>0.47529785544082603</v>
      </c>
      <c r="K70" s="51">
        <v>86</v>
      </c>
      <c r="L70" s="1">
        <v>0</v>
      </c>
      <c r="M70" s="1">
        <v>7.452</v>
      </c>
      <c r="N70" s="1">
        <v>0.186</v>
      </c>
      <c r="O70" s="1">
        <v>0.186</v>
      </c>
      <c r="P70" s="1">
        <v>7.6379999999999999</v>
      </c>
      <c r="Q70" s="775">
        <v>0</v>
      </c>
      <c r="R70" s="775">
        <v>2.4959742351046699E-2</v>
      </c>
      <c r="S70" s="1787">
        <v>2.4959742351046699E-2</v>
      </c>
      <c r="T70" s="51">
        <v>86</v>
      </c>
      <c r="U70" s="1">
        <v>0</v>
      </c>
      <c r="V70" s="1">
        <v>6.8734999999999999</v>
      </c>
      <c r="W70" s="1">
        <v>1.589</v>
      </c>
      <c r="X70" s="1">
        <v>1.589</v>
      </c>
      <c r="Y70" s="1">
        <v>8.4625000000000004</v>
      </c>
      <c r="Z70" s="775">
        <v>0</v>
      </c>
      <c r="AA70" s="775">
        <v>0.23117771150069105</v>
      </c>
      <c r="AB70" s="1787">
        <v>0.23117771150069105</v>
      </c>
    </row>
    <row r="71" spans="2:28">
      <c r="B71" s="51">
        <v>87</v>
      </c>
      <c r="C71" s="1"/>
      <c r="D71" s="1">
        <v>5.9089999999999998</v>
      </c>
      <c r="E71" s="1">
        <v>2.8650000000000002</v>
      </c>
      <c r="F71" s="1">
        <v>2.8650000000000002</v>
      </c>
      <c r="G71" s="1">
        <v>8.7740000000000009</v>
      </c>
      <c r="H71" s="775">
        <v>0</v>
      </c>
      <c r="I71" s="775">
        <v>0.4848536131325098</v>
      </c>
      <c r="J71" s="775">
        <v>0.4848536131325098</v>
      </c>
      <c r="K71" s="51">
        <v>87</v>
      </c>
      <c r="L71" s="1">
        <v>0</v>
      </c>
      <c r="M71" s="1">
        <v>6.9770000000000003</v>
      </c>
      <c r="N71" s="1">
        <v>0.16200000000000001</v>
      </c>
      <c r="O71" s="1">
        <v>0.16200000000000001</v>
      </c>
      <c r="P71" s="1">
        <v>7.1390000000000002</v>
      </c>
      <c r="Q71" s="775">
        <v>0</v>
      </c>
      <c r="R71" s="775">
        <v>2.3219148631216855E-2</v>
      </c>
      <c r="S71" s="1787">
        <v>2.3219148631216855E-2</v>
      </c>
      <c r="T71" s="51">
        <v>87</v>
      </c>
      <c r="U71" s="1">
        <v>0</v>
      </c>
      <c r="V71" s="1">
        <v>6.4429999999999996</v>
      </c>
      <c r="W71" s="1">
        <v>1.5135000000000001</v>
      </c>
      <c r="X71" s="1">
        <v>1.5135000000000001</v>
      </c>
      <c r="Y71" s="1">
        <v>7.9565000000000001</v>
      </c>
      <c r="Z71" s="775">
        <v>0</v>
      </c>
      <c r="AA71" s="775">
        <v>0.23490609964302345</v>
      </c>
      <c r="AB71" s="1787">
        <v>0.23490609964302345</v>
      </c>
    </row>
    <row r="72" spans="2:28">
      <c r="B72" s="51">
        <v>88</v>
      </c>
      <c r="C72" s="1"/>
      <c r="D72" s="1">
        <v>5.5570000000000004</v>
      </c>
      <c r="E72" s="1">
        <v>2.7050000000000001</v>
      </c>
      <c r="F72" s="1">
        <v>2.7050000000000001</v>
      </c>
      <c r="G72" s="1">
        <v>8.2620000000000005</v>
      </c>
      <c r="H72" s="775">
        <v>0</v>
      </c>
      <c r="I72" s="775">
        <v>0.48677343890588443</v>
      </c>
      <c r="J72" s="775">
        <v>0.48677343890588443</v>
      </c>
      <c r="K72" s="51">
        <v>88</v>
      </c>
      <c r="L72" s="1">
        <v>0</v>
      </c>
      <c r="M72" s="1">
        <v>6.5209999999999999</v>
      </c>
      <c r="N72" s="1">
        <v>0.14000000000000001</v>
      </c>
      <c r="O72" s="1">
        <v>0.14000000000000001</v>
      </c>
      <c r="P72" s="1">
        <v>6.6609999999999996</v>
      </c>
      <c r="Q72" s="775">
        <v>0</v>
      </c>
      <c r="R72" s="775">
        <v>2.1469099831314217E-2</v>
      </c>
      <c r="S72" s="1787">
        <v>2.1469099831314217E-2</v>
      </c>
      <c r="T72" s="51">
        <v>88</v>
      </c>
      <c r="U72" s="1">
        <v>0</v>
      </c>
      <c r="V72" s="1">
        <v>6.0389999999999997</v>
      </c>
      <c r="W72" s="1">
        <v>1.4225000000000001</v>
      </c>
      <c r="X72" s="1">
        <v>1.4225000000000001</v>
      </c>
      <c r="Y72" s="1">
        <v>7.4615</v>
      </c>
      <c r="Z72" s="775">
        <v>0</v>
      </c>
      <c r="AA72" s="775">
        <v>0.23555224374896508</v>
      </c>
      <c r="AB72" s="1787">
        <v>0.23555224374896508</v>
      </c>
    </row>
    <row r="73" spans="2:28">
      <c r="B73" s="51">
        <v>89</v>
      </c>
      <c r="C73" s="1"/>
      <c r="D73" s="1">
        <v>5.2469999999999999</v>
      </c>
      <c r="E73" s="1">
        <v>2.5379999999999998</v>
      </c>
      <c r="F73" s="1">
        <v>2.5379999999999998</v>
      </c>
      <c r="G73" s="1">
        <v>7.7850000000000001</v>
      </c>
      <c r="H73" s="775">
        <v>0</v>
      </c>
      <c r="I73" s="775">
        <v>0.483704974271012</v>
      </c>
      <c r="J73" s="775">
        <v>0.483704974271012</v>
      </c>
      <c r="K73" s="51">
        <v>89</v>
      </c>
      <c r="L73" s="1">
        <v>0</v>
      </c>
      <c r="M73" s="1">
        <v>6.093</v>
      </c>
      <c r="N73" s="1">
        <v>0.11700000000000001</v>
      </c>
      <c r="O73" s="1">
        <v>0.11700000000000001</v>
      </c>
      <c r="P73" s="1">
        <v>6.21</v>
      </c>
      <c r="Q73" s="775">
        <v>0</v>
      </c>
      <c r="R73" s="775">
        <v>1.9202363367799114E-2</v>
      </c>
      <c r="S73" s="1787">
        <v>1.9202363367799114E-2</v>
      </c>
      <c r="T73" s="51">
        <v>89</v>
      </c>
      <c r="U73" s="1">
        <v>0</v>
      </c>
      <c r="V73" s="1">
        <v>5.67</v>
      </c>
      <c r="W73" s="1">
        <v>1.3274999999999999</v>
      </c>
      <c r="X73" s="1">
        <v>1.3274999999999999</v>
      </c>
      <c r="Y73" s="1">
        <v>6.9974999999999996</v>
      </c>
      <c r="Z73" s="775">
        <v>0</v>
      </c>
      <c r="AA73" s="775">
        <v>0.2341269841269841</v>
      </c>
      <c r="AB73" s="1787">
        <v>0.2341269841269841</v>
      </c>
    </row>
    <row r="74" spans="2:28">
      <c r="B74" s="51">
        <v>90</v>
      </c>
      <c r="C74" s="1"/>
      <c r="D74" s="1">
        <v>4.9669999999999996</v>
      </c>
      <c r="E74" s="1">
        <v>2.3759999999999999</v>
      </c>
      <c r="F74" s="1">
        <v>2.3759999999999999</v>
      </c>
      <c r="G74" s="1">
        <v>7.343</v>
      </c>
      <c r="H74" s="775">
        <v>0</v>
      </c>
      <c r="I74" s="775">
        <v>0.47835715723776928</v>
      </c>
      <c r="J74" s="775">
        <v>0.47835715723776928</v>
      </c>
      <c r="K74" s="51">
        <v>90</v>
      </c>
      <c r="L74" s="1">
        <v>0</v>
      </c>
      <c r="M74" s="1">
        <v>5.694</v>
      </c>
      <c r="N74" s="1">
        <v>9.7000000000000003E-2</v>
      </c>
      <c r="O74" s="1">
        <v>9.7000000000000003E-2</v>
      </c>
      <c r="P74" s="1">
        <v>5.7910000000000004</v>
      </c>
      <c r="Q74" s="775">
        <v>0</v>
      </c>
      <c r="R74" s="775">
        <v>1.7035475939585529E-2</v>
      </c>
      <c r="S74" s="1787">
        <v>1.7035475939585529E-2</v>
      </c>
      <c r="T74" s="51">
        <v>90</v>
      </c>
      <c r="U74" s="1">
        <v>0</v>
      </c>
      <c r="V74" s="1">
        <v>5.3304999999999998</v>
      </c>
      <c r="W74" s="1">
        <v>1.2364999999999999</v>
      </c>
      <c r="X74" s="1">
        <v>1.2364999999999999</v>
      </c>
      <c r="Y74" s="1">
        <v>6.5670000000000002</v>
      </c>
      <c r="Z74" s="775">
        <v>0</v>
      </c>
      <c r="AA74" s="775">
        <v>0.23196698245943156</v>
      </c>
      <c r="AB74" s="1787">
        <v>0.23196698245943156</v>
      </c>
    </row>
    <row r="75" spans="2:28">
      <c r="B75" s="51">
        <v>91</v>
      </c>
      <c r="C75" s="1"/>
      <c r="D75" s="1">
        <v>4.7060000000000004</v>
      </c>
      <c r="E75" s="1">
        <v>2.1920000000000002</v>
      </c>
      <c r="F75" s="1">
        <v>2.1920000000000002</v>
      </c>
      <c r="G75" s="1">
        <v>6.8980000000000006</v>
      </c>
      <c r="H75" s="775">
        <v>0</v>
      </c>
      <c r="I75" s="775">
        <v>0.46578835529111773</v>
      </c>
      <c r="J75" s="775">
        <v>0.46578835529111773</v>
      </c>
      <c r="K75" s="51">
        <v>91</v>
      </c>
      <c r="L75" s="1">
        <v>0</v>
      </c>
      <c r="M75" s="1">
        <v>5.3259999999999996</v>
      </c>
      <c r="N75" s="1">
        <v>0.08</v>
      </c>
      <c r="O75" s="1">
        <v>0.08</v>
      </c>
      <c r="P75" s="1">
        <v>5.4059999999999997</v>
      </c>
      <c r="Q75" s="775">
        <v>0</v>
      </c>
      <c r="R75" s="775">
        <v>1.5020653398422833E-2</v>
      </c>
      <c r="S75" s="1787">
        <v>1.5020653398422833E-2</v>
      </c>
      <c r="T75" s="51">
        <v>91</v>
      </c>
      <c r="U75" s="1">
        <v>0</v>
      </c>
      <c r="V75" s="1">
        <v>5.016</v>
      </c>
      <c r="W75" s="1">
        <v>1.1360000000000001</v>
      </c>
      <c r="X75" s="1">
        <v>1.1360000000000001</v>
      </c>
      <c r="Y75" s="1">
        <v>6.1520000000000001</v>
      </c>
      <c r="Z75" s="775">
        <v>0</v>
      </c>
      <c r="AA75" s="775">
        <v>0.22647527910685808</v>
      </c>
      <c r="AB75" s="1787">
        <v>0.22647527910685808</v>
      </c>
    </row>
    <row r="76" spans="2:28">
      <c r="B76" s="51">
        <v>92</v>
      </c>
      <c r="C76" s="1"/>
      <c r="D76" s="1">
        <v>4.4630000000000001</v>
      </c>
      <c r="E76" s="1">
        <v>2.024</v>
      </c>
      <c r="F76" s="1">
        <v>2.024</v>
      </c>
      <c r="G76" s="1">
        <v>6.4870000000000001</v>
      </c>
      <c r="H76" s="775">
        <v>0</v>
      </c>
      <c r="I76" s="775">
        <v>0.45350660990365227</v>
      </c>
      <c r="J76" s="775">
        <v>0.45350660990365227</v>
      </c>
      <c r="K76" s="51">
        <v>92</v>
      </c>
      <c r="L76" s="1">
        <v>0</v>
      </c>
      <c r="M76" s="1">
        <v>4.99</v>
      </c>
      <c r="N76" s="1">
        <v>6.4000000000000001E-2</v>
      </c>
      <c r="O76" s="1">
        <v>6.4000000000000001E-2</v>
      </c>
      <c r="P76" s="1">
        <v>5.0540000000000003</v>
      </c>
      <c r="Q76" s="775">
        <v>0</v>
      </c>
      <c r="R76" s="775">
        <v>1.282565130260521E-2</v>
      </c>
      <c r="S76" s="1787">
        <v>1.282565130260521E-2</v>
      </c>
      <c r="T76" s="51">
        <v>92</v>
      </c>
      <c r="U76" s="1">
        <v>0</v>
      </c>
      <c r="V76" s="1">
        <v>4.7264999999999997</v>
      </c>
      <c r="W76" s="1">
        <v>1.044</v>
      </c>
      <c r="X76" s="1">
        <v>1.044</v>
      </c>
      <c r="Y76" s="1">
        <v>5.7705000000000002</v>
      </c>
      <c r="Z76" s="775">
        <v>0</v>
      </c>
      <c r="AA76" s="775">
        <v>0.22088225960012697</v>
      </c>
      <c r="AB76" s="1787">
        <v>0.22088225960012697</v>
      </c>
    </row>
    <row r="77" spans="2:28">
      <c r="B77" s="51">
        <v>93</v>
      </c>
      <c r="C77" s="1"/>
      <c r="D77" s="1">
        <v>4.2380000000000004</v>
      </c>
      <c r="E77" s="1">
        <v>1.839</v>
      </c>
      <c r="F77" s="1">
        <v>1.839</v>
      </c>
      <c r="G77" s="1">
        <v>6.077</v>
      </c>
      <c r="H77" s="775">
        <v>0</v>
      </c>
      <c r="I77" s="775">
        <v>0.43393109957527132</v>
      </c>
      <c r="J77" s="775">
        <v>0.43393109957527132</v>
      </c>
      <c r="K77" s="51">
        <v>93</v>
      </c>
      <c r="L77" s="1">
        <v>0</v>
      </c>
      <c r="M77" s="1">
        <v>4.6840000000000002</v>
      </c>
      <c r="N77" s="1">
        <v>5.1999999999999998E-2</v>
      </c>
      <c r="O77" s="1">
        <v>5.1999999999999998E-2</v>
      </c>
      <c r="P77" s="1">
        <v>4.7359999999999998</v>
      </c>
      <c r="Q77" s="775">
        <v>0</v>
      </c>
      <c r="R77" s="775">
        <v>1.1101622544833475E-2</v>
      </c>
      <c r="S77" s="1787">
        <v>1.1101622544833475E-2</v>
      </c>
      <c r="T77" s="51">
        <v>93</v>
      </c>
      <c r="U77" s="1">
        <v>0</v>
      </c>
      <c r="V77" s="1">
        <v>4.4610000000000003</v>
      </c>
      <c r="W77" s="1">
        <v>0.94550000000000001</v>
      </c>
      <c r="X77" s="1">
        <v>0.94550000000000001</v>
      </c>
      <c r="Y77" s="1">
        <v>5.4065000000000003</v>
      </c>
      <c r="Z77" s="775">
        <v>0</v>
      </c>
      <c r="AA77" s="775">
        <v>0.21194799372338038</v>
      </c>
      <c r="AB77" s="1787">
        <v>0.21194799372338038</v>
      </c>
    </row>
    <row r="78" spans="2:28">
      <c r="B78" s="51">
        <v>94</v>
      </c>
      <c r="C78" s="1"/>
      <c r="D78" s="1">
        <v>4.0309999999999997</v>
      </c>
      <c r="E78" s="1">
        <v>1.6739999999999999</v>
      </c>
      <c r="F78" s="1">
        <v>1.6739999999999999</v>
      </c>
      <c r="G78" s="1">
        <v>5.7050000000000001</v>
      </c>
      <c r="H78" s="775">
        <v>0</v>
      </c>
      <c r="I78" s="775">
        <v>0.41528156784916898</v>
      </c>
      <c r="J78" s="775">
        <v>0.41528156784916898</v>
      </c>
      <c r="K78" s="51">
        <v>94</v>
      </c>
      <c r="L78" s="1">
        <v>0</v>
      </c>
      <c r="M78" s="1">
        <v>4.4039999999999999</v>
      </c>
      <c r="N78" s="1">
        <v>4.2000000000000003E-2</v>
      </c>
      <c r="O78" s="1">
        <v>4.2000000000000003E-2</v>
      </c>
      <c r="P78" s="1">
        <v>4.4459999999999997</v>
      </c>
      <c r="Q78" s="775">
        <v>0</v>
      </c>
      <c r="R78" s="775">
        <v>9.5367847411444145E-3</v>
      </c>
      <c r="S78" s="1787">
        <v>9.5367847411444145E-3</v>
      </c>
      <c r="T78" s="51">
        <v>94</v>
      </c>
      <c r="U78" s="1">
        <v>0</v>
      </c>
      <c r="V78" s="1">
        <v>4.2174999999999994</v>
      </c>
      <c r="W78" s="1">
        <v>0.85799999999999998</v>
      </c>
      <c r="X78" s="1">
        <v>0.85799999999999998</v>
      </c>
      <c r="Y78" s="1">
        <v>5.075499999999999</v>
      </c>
      <c r="Z78" s="775">
        <v>0</v>
      </c>
      <c r="AA78" s="775">
        <v>0.20343805572021342</v>
      </c>
      <c r="AB78" s="1787">
        <v>0.20343805572021342</v>
      </c>
    </row>
    <row r="79" spans="2:28">
      <c r="B79" s="51">
        <v>95</v>
      </c>
      <c r="C79" s="1"/>
      <c r="D79" s="1">
        <v>3.8420000000000001</v>
      </c>
      <c r="E79" s="1">
        <v>1.528</v>
      </c>
      <c r="F79" s="1">
        <v>1.528</v>
      </c>
      <c r="G79" s="1">
        <v>5.37</v>
      </c>
      <c r="H79" s="775">
        <v>0</v>
      </c>
      <c r="I79" s="775">
        <v>0.39770952628839146</v>
      </c>
      <c r="J79" s="775">
        <v>0.39770952628839146</v>
      </c>
      <c r="K79" s="51">
        <v>95</v>
      </c>
      <c r="L79" s="1">
        <v>0</v>
      </c>
      <c r="M79" s="1">
        <v>4.149</v>
      </c>
      <c r="N79" s="1">
        <v>3.4000000000000002E-2</v>
      </c>
      <c r="O79" s="1">
        <v>3.4000000000000002E-2</v>
      </c>
      <c r="P79" s="1">
        <v>4.1829999999999998</v>
      </c>
      <c r="Q79" s="775">
        <v>0</v>
      </c>
      <c r="R79" s="775">
        <v>8.1947457218606891E-3</v>
      </c>
      <c r="S79" s="1787">
        <v>8.1947457218606891E-3</v>
      </c>
      <c r="T79" s="51">
        <v>95</v>
      </c>
      <c r="U79" s="1">
        <v>0</v>
      </c>
      <c r="V79" s="1">
        <v>3.9954999999999998</v>
      </c>
      <c r="W79" s="1">
        <v>0.78100000000000003</v>
      </c>
      <c r="X79" s="1">
        <v>0.78100000000000003</v>
      </c>
      <c r="Y79" s="1">
        <v>4.7764999999999995</v>
      </c>
      <c r="Z79" s="775">
        <v>0</v>
      </c>
      <c r="AA79" s="775">
        <v>0.1954699036415968</v>
      </c>
      <c r="AB79" s="1787">
        <v>0.1954699036415968</v>
      </c>
    </row>
    <row r="80" spans="2:28">
      <c r="B80" s="51">
        <v>96</v>
      </c>
      <c r="C80" s="1"/>
      <c r="D80" s="1">
        <v>3.67</v>
      </c>
      <c r="E80" s="1">
        <v>1.3640000000000001</v>
      </c>
      <c r="F80" s="1">
        <v>1.3640000000000001</v>
      </c>
      <c r="G80" s="1">
        <v>5.0339999999999998</v>
      </c>
      <c r="H80" s="775">
        <v>0</v>
      </c>
      <c r="I80" s="775">
        <v>0.3716621253405995</v>
      </c>
      <c r="J80" s="775">
        <v>0.3716621253405995</v>
      </c>
      <c r="K80" s="51">
        <v>96</v>
      </c>
      <c r="L80" s="1">
        <v>0</v>
      </c>
      <c r="M80" s="1">
        <v>3.919</v>
      </c>
      <c r="N80" s="1">
        <v>2.7E-2</v>
      </c>
      <c r="O80" s="1">
        <v>2.7E-2</v>
      </c>
      <c r="P80" s="1">
        <v>3.9460000000000002</v>
      </c>
      <c r="Q80" s="775">
        <v>0</v>
      </c>
      <c r="R80" s="775">
        <v>6.8895126307731563E-3</v>
      </c>
      <c r="S80" s="1787">
        <v>6.8895126307731563E-3</v>
      </c>
      <c r="T80" s="51">
        <v>96</v>
      </c>
      <c r="U80" s="1">
        <v>0</v>
      </c>
      <c r="V80" s="1">
        <v>3.7945000000000002</v>
      </c>
      <c r="W80" s="1">
        <v>0.69550000000000001</v>
      </c>
      <c r="X80" s="1">
        <v>0.69550000000000001</v>
      </c>
      <c r="Y80" s="1">
        <v>4.49</v>
      </c>
      <c r="Z80" s="775">
        <v>0</v>
      </c>
      <c r="AA80" s="775">
        <v>0.18329160627223612</v>
      </c>
      <c r="AB80" s="1787">
        <v>0.18329160627223612</v>
      </c>
    </row>
    <row r="81" spans="2:28">
      <c r="B81" s="51">
        <v>97</v>
      </c>
      <c r="C81" s="1"/>
      <c r="D81" s="1">
        <v>3.5129999999999999</v>
      </c>
      <c r="E81" s="1">
        <v>1.2110000000000001</v>
      </c>
      <c r="F81" s="1">
        <v>1.2110000000000001</v>
      </c>
      <c r="G81" s="1">
        <v>4.7240000000000002</v>
      </c>
      <c r="H81" s="775">
        <v>0</v>
      </c>
      <c r="I81" s="775">
        <v>0.34471961286649588</v>
      </c>
      <c r="J81" s="775">
        <v>0.34471961286649588</v>
      </c>
      <c r="K81" s="51">
        <v>97</v>
      </c>
      <c r="L81" s="1">
        <v>0</v>
      </c>
      <c r="M81" s="1">
        <v>3.7130000000000001</v>
      </c>
      <c r="N81" s="1">
        <v>2.1000000000000001E-2</v>
      </c>
      <c r="O81" s="1">
        <v>2.1000000000000001E-2</v>
      </c>
      <c r="P81" s="1">
        <v>3.734</v>
      </c>
      <c r="Q81" s="775">
        <v>0</v>
      </c>
      <c r="R81" s="775">
        <v>5.655803932130353E-3</v>
      </c>
      <c r="S81" s="1787">
        <v>5.655803932130353E-3</v>
      </c>
      <c r="T81" s="51">
        <v>97</v>
      </c>
      <c r="U81" s="1">
        <v>0</v>
      </c>
      <c r="V81" s="1">
        <v>3.613</v>
      </c>
      <c r="W81" s="1">
        <v>0.61599999999999999</v>
      </c>
      <c r="X81" s="1">
        <v>0.61599999999999999</v>
      </c>
      <c r="Y81" s="1">
        <v>4.2290000000000001</v>
      </c>
      <c r="Z81" s="775">
        <v>0</v>
      </c>
      <c r="AA81" s="775">
        <v>0.17049543315804042</v>
      </c>
      <c r="AB81" s="1787">
        <v>0.17049543315804042</v>
      </c>
    </row>
    <row r="82" spans="2:28">
      <c r="B82" s="51">
        <v>98</v>
      </c>
      <c r="C82" s="1"/>
      <c r="D82" s="1">
        <v>3.371</v>
      </c>
      <c r="E82" s="1">
        <v>1.038</v>
      </c>
      <c r="F82" s="1">
        <v>1.038</v>
      </c>
      <c r="G82" s="1">
        <v>4.4089999999999998</v>
      </c>
      <c r="H82" s="775">
        <v>0</v>
      </c>
      <c r="I82" s="775">
        <v>0.30792049836843666</v>
      </c>
      <c r="J82" s="775">
        <v>0.30792049836843666</v>
      </c>
      <c r="K82" s="51">
        <v>98</v>
      </c>
      <c r="L82" s="1">
        <v>0</v>
      </c>
      <c r="M82" s="1">
        <v>3.53</v>
      </c>
      <c r="N82" s="1">
        <v>1.6E-2</v>
      </c>
      <c r="O82" s="1">
        <v>1.6E-2</v>
      </c>
      <c r="P82" s="1">
        <v>3.5459999999999998</v>
      </c>
      <c r="Q82" s="775">
        <v>0</v>
      </c>
      <c r="R82" s="775">
        <v>4.5325779036827201E-3</v>
      </c>
      <c r="S82" s="1787">
        <v>4.5325779036827201E-3</v>
      </c>
      <c r="T82" s="51">
        <v>98</v>
      </c>
      <c r="U82" s="1">
        <v>0</v>
      </c>
      <c r="V82" s="1">
        <v>3.4504999999999999</v>
      </c>
      <c r="W82" s="1">
        <v>0.52700000000000002</v>
      </c>
      <c r="X82" s="1">
        <v>0.52700000000000002</v>
      </c>
      <c r="Y82" s="1">
        <v>3.9775</v>
      </c>
      <c r="Z82" s="775">
        <v>0</v>
      </c>
      <c r="AA82" s="775">
        <v>0.15273148819011739</v>
      </c>
      <c r="AB82" s="1787">
        <v>0.15273148819011739</v>
      </c>
    </row>
    <row r="83" spans="2:28">
      <c r="B83" s="51">
        <v>99</v>
      </c>
      <c r="C83" s="1"/>
      <c r="D83" s="1">
        <v>3.2429999999999999</v>
      </c>
      <c r="E83" s="1">
        <v>0.84499999999999997</v>
      </c>
      <c r="F83" s="1">
        <v>0.84499999999999997</v>
      </c>
      <c r="G83" s="1">
        <v>4.0880000000000001</v>
      </c>
      <c r="H83" s="775">
        <v>0</v>
      </c>
      <c r="I83" s="775">
        <v>0.26056120875732347</v>
      </c>
      <c r="J83" s="775">
        <v>0.26056120875732347</v>
      </c>
      <c r="K83" s="51">
        <v>99</v>
      </c>
      <c r="L83" s="1">
        <v>0</v>
      </c>
      <c r="M83" s="1">
        <v>3.3690000000000002</v>
      </c>
      <c r="N83" s="1">
        <v>1.2999999999999999E-2</v>
      </c>
      <c r="O83" s="1">
        <v>1.2999999999999999E-2</v>
      </c>
      <c r="P83" s="1">
        <v>3.3820000000000001</v>
      </c>
      <c r="Q83" s="775">
        <v>0</v>
      </c>
      <c r="R83" s="775">
        <v>3.8587117839121395E-3</v>
      </c>
      <c r="S83" s="1787">
        <v>3.8587117839121395E-3</v>
      </c>
      <c r="T83" s="51">
        <v>99</v>
      </c>
      <c r="U83" s="1">
        <v>0</v>
      </c>
      <c r="V83" s="1">
        <v>3.306</v>
      </c>
      <c r="W83" s="1">
        <v>0.42899999999999999</v>
      </c>
      <c r="X83" s="1">
        <v>0.42899999999999999</v>
      </c>
      <c r="Y83" s="1">
        <v>3.7349999999999999</v>
      </c>
      <c r="Z83" s="775">
        <v>0</v>
      </c>
      <c r="AA83" s="775">
        <v>0.12976406533575316</v>
      </c>
      <c r="AB83" s="1787">
        <v>0.12976406533575316</v>
      </c>
    </row>
    <row r="84" spans="2:28">
      <c r="B84" s="51">
        <v>100</v>
      </c>
      <c r="C84" s="1"/>
      <c r="D84" s="1">
        <v>3.1269999999999998</v>
      </c>
      <c r="E84" s="1">
        <v>0.67</v>
      </c>
      <c r="F84" s="1">
        <v>0.67</v>
      </c>
      <c r="G84" s="1">
        <v>3.7969999999999997</v>
      </c>
      <c r="H84" s="775">
        <v>0</v>
      </c>
      <c r="I84" s="775">
        <v>0.21426287176207229</v>
      </c>
      <c r="J84" s="775">
        <v>0.21426287176207229</v>
      </c>
      <c r="K84" s="51">
        <v>100</v>
      </c>
      <c r="L84" s="1">
        <v>0</v>
      </c>
      <c r="M84" s="1">
        <v>3.2309999999999999</v>
      </c>
      <c r="N84" s="1">
        <v>0.01</v>
      </c>
      <c r="O84" s="1">
        <v>0.01</v>
      </c>
      <c r="P84" s="1">
        <v>3.2409999999999997</v>
      </c>
      <c r="Q84" s="775">
        <v>0</v>
      </c>
      <c r="R84" s="775">
        <v>3.0950170225936243E-3</v>
      </c>
      <c r="S84" s="1787">
        <v>3.0950170225936243E-3</v>
      </c>
      <c r="T84" s="51">
        <v>100</v>
      </c>
      <c r="U84" s="1">
        <v>0</v>
      </c>
      <c r="V84" s="1">
        <v>3.1789999999999998</v>
      </c>
      <c r="W84" s="1">
        <v>0.34</v>
      </c>
      <c r="X84" s="1">
        <v>0.34</v>
      </c>
      <c r="Y84" s="1">
        <v>3.5189999999999997</v>
      </c>
      <c r="Z84" s="775">
        <v>0</v>
      </c>
      <c r="AA84" s="775">
        <v>0.10695187165775402</v>
      </c>
      <c r="AB84" s="1787">
        <v>0.10695187165775402</v>
      </c>
    </row>
    <row r="85" spans="2:28">
      <c r="I85" s="775"/>
    </row>
    <row r="86" spans="2:28">
      <c r="I86" s="775"/>
    </row>
  </sheetData>
  <mergeCells count="4">
    <mergeCell ref="B2:B3"/>
    <mergeCell ref="H2:J2"/>
    <mergeCell ref="Q2:S2"/>
    <mergeCell ref="Z2:AB2"/>
  </mergeCells>
  <pageMargins left="0.7" right="0.7" top="0.78740157499999996" bottom="0.78740157499999996"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28"/>
  <dimension ref="A2:AB84"/>
  <sheetViews>
    <sheetView workbookViewId="0">
      <selection activeCell="F37" sqref="F37"/>
    </sheetView>
  </sheetViews>
  <sheetFormatPr baseColWidth="10" defaultColWidth="11.125" defaultRowHeight="14.25"/>
  <cols>
    <col min="1" max="1" width="21" customWidth="1"/>
    <col min="2" max="2" width="6.125" customWidth="1"/>
    <col min="3" max="10" width="11" customWidth="1"/>
    <col min="11" max="11" width="6.125" customWidth="1"/>
    <col min="12" max="19" width="11" customWidth="1"/>
    <col min="20" max="20" width="6.125" customWidth="1"/>
    <col min="21" max="28" width="11" customWidth="1"/>
  </cols>
  <sheetData>
    <row r="2" spans="1:28" ht="66" customHeight="1">
      <c r="A2" t="s">
        <v>183</v>
      </c>
      <c r="B2" s="3755" t="s">
        <v>7</v>
      </c>
      <c r="C2" s="143" t="s">
        <v>0</v>
      </c>
      <c r="D2" s="143" t="s">
        <v>1</v>
      </c>
      <c r="E2" s="143" t="s">
        <v>2</v>
      </c>
      <c r="F2" s="143" t="s">
        <v>1751</v>
      </c>
      <c r="G2" s="143" t="s">
        <v>4</v>
      </c>
      <c r="H2" s="3197" t="s">
        <v>5</v>
      </c>
      <c r="I2" s="3197"/>
      <c r="J2" s="3197"/>
      <c r="K2" s="132"/>
      <c r="L2" s="143" t="s">
        <v>0</v>
      </c>
      <c r="M2" s="143" t="s">
        <v>1</v>
      </c>
      <c r="N2" s="143" t="s">
        <v>2</v>
      </c>
      <c r="O2" s="143" t="s">
        <v>1751</v>
      </c>
      <c r="P2" s="143" t="s">
        <v>4</v>
      </c>
      <c r="Q2" s="3197" t="s">
        <v>6</v>
      </c>
      <c r="R2" s="3197"/>
      <c r="S2" s="3197"/>
      <c r="T2" s="132"/>
      <c r="U2" s="143" t="s">
        <v>0</v>
      </c>
      <c r="V2" s="143" t="s">
        <v>1</v>
      </c>
      <c r="W2" s="143" t="s">
        <v>2</v>
      </c>
      <c r="X2" s="143" t="s">
        <v>1751</v>
      </c>
      <c r="Y2" s="143" t="s">
        <v>4</v>
      </c>
      <c r="Z2" s="3197" t="s">
        <v>6</v>
      </c>
      <c r="AA2" s="3197"/>
      <c r="AB2" s="3197"/>
    </row>
    <row r="3" spans="1:28" s="138" customFormat="1" ht="12.75">
      <c r="A3" s="1788">
        <v>43112</v>
      </c>
      <c r="B3" s="3755"/>
      <c r="C3" s="145" t="s">
        <v>184</v>
      </c>
      <c r="D3" s="145" t="s">
        <v>185</v>
      </c>
      <c r="E3" s="145" t="s">
        <v>186</v>
      </c>
      <c r="F3" s="145"/>
      <c r="G3" s="145"/>
      <c r="H3" s="145" t="s">
        <v>8</v>
      </c>
      <c r="I3" s="145" t="s">
        <v>9</v>
      </c>
      <c r="J3" s="145" t="s">
        <v>10</v>
      </c>
      <c r="K3" s="145" t="s">
        <v>7</v>
      </c>
      <c r="L3" s="145" t="s">
        <v>187</v>
      </c>
      <c r="M3" s="145" t="s">
        <v>188</v>
      </c>
      <c r="N3" s="145" t="s">
        <v>26</v>
      </c>
      <c r="O3" s="145"/>
      <c r="P3" s="145"/>
      <c r="Q3" s="145" t="s">
        <v>8</v>
      </c>
      <c r="R3" s="145" t="s">
        <v>9</v>
      </c>
      <c r="S3" s="145" t="s">
        <v>10</v>
      </c>
      <c r="T3" s="145" t="s">
        <v>7</v>
      </c>
      <c r="U3" s="145" t="s">
        <v>187</v>
      </c>
      <c r="V3" s="145" t="s">
        <v>188</v>
      </c>
      <c r="W3" s="145" t="s">
        <v>26</v>
      </c>
      <c r="X3" s="145"/>
      <c r="Y3" s="145"/>
      <c r="Z3" s="145" t="s">
        <v>8</v>
      </c>
      <c r="AA3" s="145" t="s">
        <v>9</v>
      </c>
      <c r="AB3" s="145" t="s">
        <v>10</v>
      </c>
    </row>
    <row r="4" spans="1:28">
      <c r="B4" s="51">
        <v>20</v>
      </c>
      <c r="C4" s="1">
        <v>0.221</v>
      </c>
      <c r="D4" s="1">
        <v>5.4779999999999998</v>
      </c>
      <c r="E4" s="1">
        <v>0.55200000000000005</v>
      </c>
      <c r="F4" s="1">
        <v>0.55200000000000005</v>
      </c>
      <c r="G4" s="1">
        <v>6.0299999999999994</v>
      </c>
      <c r="H4" s="1789">
        <v>4.2039185847441513E-2</v>
      </c>
      <c r="I4" s="775">
        <v>0.10500285333840595</v>
      </c>
      <c r="J4" s="775">
        <v>0.14704203918584746</v>
      </c>
      <c r="K4" s="51">
        <v>20</v>
      </c>
      <c r="L4" s="1">
        <v>0.23499999999999999</v>
      </c>
      <c r="M4" s="1">
        <v>6.2839999999999998</v>
      </c>
      <c r="N4" s="1">
        <v>0.13900000000000001</v>
      </c>
      <c r="O4" s="1">
        <v>0.13900000000000001</v>
      </c>
      <c r="P4" s="1">
        <v>6.423</v>
      </c>
      <c r="Q4" s="775">
        <v>3.8849396594478426E-2</v>
      </c>
      <c r="R4" s="775">
        <v>2.2979004794180861E-2</v>
      </c>
      <c r="S4" s="775">
        <v>6.182840138865929E-2</v>
      </c>
      <c r="T4" s="51">
        <v>20</v>
      </c>
      <c r="U4" s="1">
        <v>0.22799999999999998</v>
      </c>
      <c r="V4" s="1">
        <v>5.8810000000000002</v>
      </c>
      <c r="W4" s="1">
        <v>0.34550000000000003</v>
      </c>
      <c r="X4" s="1">
        <v>0.34550000000000003</v>
      </c>
      <c r="Y4" s="1">
        <v>6.2265000000000006</v>
      </c>
      <c r="Z4" s="775">
        <v>4.0332566778701569E-2</v>
      </c>
      <c r="AA4" s="775">
        <v>6.1117990447549973E-2</v>
      </c>
      <c r="AB4" s="775">
        <v>0.10145055722625154</v>
      </c>
    </row>
    <row r="5" spans="1:28">
      <c r="B5" s="51">
        <v>21</v>
      </c>
      <c r="C5" s="1">
        <v>0.254</v>
      </c>
      <c r="D5" s="1">
        <v>5.6449999999999996</v>
      </c>
      <c r="E5" s="1">
        <v>0.64200000000000002</v>
      </c>
      <c r="F5" s="1">
        <v>0.64200000000000002</v>
      </c>
      <c r="G5" s="1">
        <v>6.2869999999999999</v>
      </c>
      <c r="H5" s="1789">
        <v>4.7115562975329255E-2</v>
      </c>
      <c r="I5" s="775">
        <v>0.11908736783528102</v>
      </c>
      <c r="J5" s="775">
        <v>0.16620293081061027</v>
      </c>
      <c r="K5" s="51">
        <v>21</v>
      </c>
      <c r="L5" s="1">
        <v>0.28199999999999997</v>
      </c>
      <c r="M5" s="1">
        <v>6.4729999999999999</v>
      </c>
      <c r="N5" s="1">
        <v>0.16700000000000001</v>
      </c>
      <c r="O5" s="1">
        <v>0.16700000000000001</v>
      </c>
      <c r="P5" s="1">
        <v>6.64</v>
      </c>
      <c r="Q5" s="775">
        <v>4.5549991923760295E-2</v>
      </c>
      <c r="R5" s="775">
        <v>2.6974640607333226E-2</v>
      </c>
      <c r="S5" s="775">
        <v>7.2524632531093522E-2</v>
      </c>
      <c r="T5" s="51">
        <v>21</v>
      </c>
      <c r="U5" s="1">
        <v>0.26800000000000002</v>
      </c>
      <c r="V5" s="1">
        <v>6.0589999999999993</v>
      </c>
      <c r="W5" s="1">
        <v>0.40450000000000003</v>
      </c>
      <c r="X5" s="1">
        <v>0.40450000000000003</v>
      </c>
      <c r="Y5" s="1">
        <v>6.4634999999999989</v>
      </c>
      <c r="Z5" s="775">
        <v>4.6278708340528413E-2</v>
      </c>
      <c r="AA5" s="775">
        <v>6.9849766879640826E-2</v>
      </c>
      <c r="AB5" s="775">
        <v>0.11612847522016924</v>
      </c>
    </row>
    <row r="6" spans="1:28">
      <c r="B6" s="51">
        <v>22</v>
      </c>
      <c r="C6" s="1">
        <v>0.28899999999999998</v>
      </c>
      <c r="D6" s="1">
        <v>5.8170000000000002</v>
      </c>
      <c r="E6" s="1">
        <v>0.73799999999999999</v>
      </c>
      <c r="F6" s="1">
        <v>0.73799999999999999</v>
      </c>
      <c r="G6" s="1">
        <v>6.5549999999999997</v>
      </c>
      <c r="H6" s="1789">
        <v>5.2279305354558603E-2</v>
      </c>
      <c r="I6" s="775">
        <v>0.13350217076700432</v>
      </c>
      <c r="J6" s="775">
        <v>0.18578147612156293</v>
      </c>
      <c r="K6" s="51">
        <v>22</v>
      </c>
      <c r="L6" s="1">
        <v>0.32500000000000001</v>
      </c>
      <c r="M6" s="1">
        <v>6.6669999999999998</v>
      </c>
      <c r="N6" s="1">
        <v>0.19400000000000001</v>
      </c>
      <c r="O6" s="1">
        <v>0.19400000000000001</v>
      </c>
      <c r="P6" s="1">
        <v>6.8609999999999998</v>
      </c>
      <c r="Q6" s="775">
        <v>5.1245663828445288E-2</v>
      </c>
      <c r="R6" s="775">
        <v>3.0589719331441188E-2</v>
      </c>
      <c r="S6" s="775">
        <v>8.1835383159886477E-2</v>
      </c>
      <c r="T6" s="51">
        <v>22</v>
      </c>
      <c r="U6" s="1">
        <v>0.307</v>
      </c>
      <c r="V6" s="1">
        <v>6.242</v>
      </c>
      <c r="W6" s="1">
        <v>0.46599999999999997</v>
      </c>
      <c r="X6" s="1">
        <v>0.46599999999999997</v>
      </c>
      <c r="Y6" s="1">
        <v>6.7080000000000002</v>
      </c>
      <c r="Z6" s="775">
        <v>5.1727042965459144E-2</v>
      </c>
      <c r="AA6" s="775">
        <v>7.851727042965459E-2</v>
      </c>
      <c r="AB6" s="775">
        <v>0.13024431339511372</v>
      </c>
    </row>
    <row r="7" spans="1:28">
      <c r="B7" s="51">
        <v>23</v>
      </c>
      <c r="C7" s="1">
        <v>0.32400000000000001</v>
      </c>
      <c r="D7" s="1">
        <v>5.9930000000000003</v>
      </c>
      <c r="E7" s="1">
        <v>0.83799999999999997</v>
      </c>
      <c r="F7" s="1">
        <v>0.83799999999999997</v>
      </c>
      <c r="G7" s="1">
        <v>6.8310000000000004</v>
      </c>
      <c r="H7" s="1789">
        <v>5.7152937025930495E-2</v>
      </c>
      <c r="I7" s="775">
        <v>0.14782148527077085</v>
      </c>
      <c r="J7" s="775">
        <v>0.20497442229670135</v>
      </c>
      <c r="K7" s="51">
        <v>23</v>
      </c>
      <c r="L7" s="1">
        <v>0.36099999999999999</v>
      </c>
      <c r="M7" s="1">
        <v>6.8659999999999997</v>
      </c>
      <c r="N7" s="1">
        <v>0.217</v>
      </c>
      <c r="O7" s="1">
        <v>0.217</v>
      </c>
      <c r="P7" s="1">
        <v>7.0829999999999993</v>
      </c>
      <c r="Q7" s="775">
        <v>5.549577248270561E-2</v>
      </c>
      <c r="R7" s="775">
        <v>3.3358954650269022E-2</v>
      </c>
      <c r="S7" s="775">
        <v>8.8854727132974626E-2</v>
      </c>
      <c r="T7" s="51">
        <v>23</v>
      </c>
      <c r="U7" s="1">
        <v>0.34250000000000003</v>
      </c>
      <c r="V7" s="1">
        <v>6.4295</v>
      </c>
      <c r="W7" s="1">
        <v>0.52749999999999997</v>
      </c>
      <c r="X7" s="1">
        <v>0.52749999999999997</v>
      </c>
      <c r="Y7" s="1">
        <v>6.9569999999999999</v>
      </c>
      <c r="Z7" s="775">
        <v>5.6267455232462633E-2</v>
      </c>
      <c r="AA7" s="775">
        <v>8.6660095285033684E-2</v>
      </c>
      <c r="AB7" s="775">
        <v>0.14292755051749631</v>
      </c>
    </row>
    <row r="8" spans="1:28">
      <c r="B8" s="51">
        <v>24</v>
      </c>
      <c r="C8" s="1">
        <v>0.35499999999999998</v>
      </c>
      <c r="D8" s="1">
        <v>6.173</v>
      </c>
      <c r="E8" s="1">
        <v>0.93</v>
      </c>
      <c r="F8" s="1">
        <v>0.93</v>
      </c>
      <c r="G8" s="1">
        <v>7.1029999999999998</v>
      </c>
      <c r="H8" s="1789">
        <v>6.1017531797868688E-2</v>
      </c>
      <c r="I8" s="775">
        <v>0.15984874527328982</v>
      </c>
      <c r="J8" s="775">
        <v>0.22086627707115852</v>
      </c>
      <c r="K8" s="51">
        <v>24</v>
      </c>
      <c r="L8" s="1">
        <v>0.39300000000000002</v>
      </c>
      <c r="M8" s="1">
        <v>7.07</v>
      </c>
      <c r="N8" s="1">
        <v>0.23799999999999999</v>
      </c>
      <c r="O8" s="1">
        <v>0.23799999999999999</v>
      </c>
      <c r="P8" s="1">
        <v>7.3079999999999998</v>
      </c>
      <c r="Q8" s="775">
        <v>5.8858768908192298E-2</v>
      </c>
      <c r="R8" s="775">
        <v>3.56447506365134E-2</v>
      </c>
      <c r="S8" s="775">
        <v>9.4503519544705705E-2</v>
      </c>
      <c r="T8" s="51">
        <v>24</v>
      </c>
      <c r="U8" s="1">
        <v>0.374</v>
      </c>
      <c r="V8" s="1">
        <v>6.6215000000000002</v>
      </c>
      <c r="W8" s="1">
        <v>0.58400000000000007</v>
      </c>
      <c r="X8" s="1">
        <v>0.58400000000000007</v>
      </c>
      <c r="Y8" s="1">
        <v>7.2055000000000007</v>
      </c>
      <c r="Z8" s="775">
        <v>5.9863945578231291E-2</v>
      </c>
      <c r="AA8" s="775">
        <v>9.3477390956382564E-2</v>
      </c>
      <c r="AB8" s="775">
        <v>0.15334133653461385</v>
      </c>
    </row>
    <row r="9" spans="1:28">
      <c r="B9" s="51">
        <v>25</v>
      </c>
      <c r="C9" s="1">
        <v>0.38200000000000001</v>
      </c>
      <c r="D9" s="1">
        <v>6.3579999999999997</v>
      </c>
      <c r="E9" s="1">
        <v>1.0149999999999999</v>
      </c>
      <c r="F9" s="1">
        <v>1.0149999999999999</v>
      </c>
      <c r="G9" s="1">
        <v>7.3729999999999993</v>
      </c>
      <c r="H9" s="1789">
        <v>6.3922356091030794E-2</v>
      </c>
      <c r="I9" s="775">
        <v>0.16984605087014723</v>
      </c>
      <c r="J9" s="775">
        <v>0.23376840696117801</v>
      </c>
      <c r="K9" s="51">
        <v>25</v>
      </c>
      <c r="L9" s="1">
        <v>0.42499999999999999</v>
      </c>
      <c r="M9" s="1">
        <v>7.2789999999999999</v>
      </c>
      <c r="N9" s="1">
        <v>0.26</v>
      </c>
      <c r="O9" s="1">
        <v>0.26</v>
      </c>
      <c r="P9" s="1">
        <v>7.5389999999999997</v>
      </c>
      <c r="Q9" s="775">
        <v>6.2007586810621532E-2</v>
      </c>
      <c r="R9" s="775">
        <v>3.7934053107674351E-2</v>
      </c>
      <c r="S9" s="775">
        <v>9.9941639918295883E-2</v>
      </c>
      <c r="T9" s="51">
        <v>25</v>
      </c>
      <c r="U9" s="1">
        <v>0.40349999999999997</v>
      </c>
      <c r="V9" s="1">
        <v>6.8185000000000002</v>
      </c>
      <c r="W9" s="1">
        <v>0.63749999999999996</v>
      </c>
      <c r="X9" s="1">
        <v>0.63749999999999996</v>
      </c>
      <c r="Y9" s="1">
        <v>7.4560000000000004</v>
      </c>
      <c r="Z9" s="775">
        <v>6.2899454403741228E-2</v>
      </c>
      <c r="AA9" s="775">
        <v>9.9376461418550263E-2</v>
      </c>
      <c r="AB9" s="775">
        <v>0.16227591582229151</v>
      </c>
    </row>
    <row r="10" spans="1:28">
      <c r="B10" s="51">
        <v>26</v>
      </c>
      <c r="C10" s="1">
        <v>0.40600000000000003</v>
      </c>
      <c r="D10" s="1">
        <v>6.548</v>
      </c>
      <c r="E10" s="1">
        <v>1.097</v>
      </c>
      <c r="F10" s="1">
        <v>1.097</v>
      </c>
      <c r="G10" s="1">
        <v>7.6449999999999996</v>
      </c>
      <c r="H10" s="1789">
        <v>6.6102246825138392E-2</v>
      </c>
      <c r="I10" s="775">
        <v>0.17860631716053402</v>
      </c>
      <c r="J10" s="775">
        <v>0.24470856398567242</v>
      </c>
      <c r="K10" s="51">
        <v>26</v>
      </c>
      <c r="L10" s="1">
        <v>0.45600000000000002</v>
      </c>
      <c r="M10" s="1">
        <v>7.4930000000000003</v>
      </c>
      <c r="N10" s="1">
        <v>0.28100000000000003</v>
      </c>
      <c r="O10" s="1">
        <v>0.28100000000000003</v>
      </c>
      <c r="P10" s="1">
        <v>7.774</v>
      </c>
      <c r="Q10" s="775">
        <v>6.48003410544266E-2</v>
      </c>
      <c r="R10" s="775">
        <v>3.9931789114679553E-2</v>
      </c>
      <c r="S10" s="775">
        <v>0.10473213016910615</v>
      </c>
      <c r="T10" s="51">
        <v>26</v>
      </c>
      <c r="U10" s="1">
        <v>0.43100000000000005</v>
      </c>
      <c r="V10" s="1">
        <v>7.0205000000000002</v>
      </c>
      <c r="W10" s="1">
        <v>0.68900000000000006</v>
      </c>
      <c r="X10" s="1">
        <v>0.68900000000000006</v>
      </c>
      <c r="Y10" s="1">
        <v>7.7095000000000002</v>
      </c>
      <c r="Z10" s="775">
        <v>6.540708703240003E-2</v>
      </c>
      <c r="AA10" s="775">
        <v>0.104560285302375</v>
      </c>
      <c r="AB10" s="775">
        <v>0.16996737233477505</v>
      </c>
    </row>
    <row r="11" spans="1:28">
      <c r="B11" s="51">
        <v>27</v>
      </c>
      <c r="C11" s="1">
        <v>0.42799999999999999</v>
      </c>
      <c r="D11" s="1">
        <v>6.742</v>
      </c>
      <c r="E11" s="1">
        <v>1.175</v>
      </c>
      <c r="F11" s="1">
        <v>1.175</v>
      </c>
      <c r="G11" s="1">
        <v>7.9169999999999998</v>
      </c>
      <c r="H11" s="1789">
        <v>6.7785872663921443E-2</v>
      </c>
      <c r="I11" s="775">
        <v>0.18609439341146658</v>
      </c>
      <c r="J11" s="775">
        <v>0.25388026607538805</v>
      </c>
      <c r="K11" s="51">
        <v>27</v>
      </c>
      <c r="L11" s="1">
        <v>0.48499999999999999</v>
      </c>
      <c r="M11" s="1">
        <v>7.7110000000000003</v>
      </c>
      <c r="N11" s="1">
        <v>0.30199999999999999</v>
      </c>
      <c r="O11" s="1">
        <v>0.30199999999999999</v>
      </c>
      <c r="P11" s="1">
        <v>8.0129999999999999</v>
      </c>
      <c r="Q11" s="775">
        <v>6.7118737890949354E-2</v>
      </c>
      <c r="R11" s="775">
        <v>4.1793523387766401E-2</v>
      </c>
      <c r="S11" s="775">
        <v>0.10891226127871576</v>
      </c>
      <c r="T11" s="51">
        <v>27</v>
      </c>
      <c r="U11" s="1">
        <v>0.45650000000000002</v>
      </c>
      <c r="V11" s="1">
        <v>7.2264999999999997</v>
      </c>
      <c r="W11" s="1">
        <v>0.73850000000000005</v>
      </c>
      <c r="X11" s="1">
        <v>0.73850000000000005</v>
      </c>
      <c r="Y11" s="1">
        <v>7.9649999999999999</v>
      </c>
      <c r="Z11" s="775">
        <v>6.742983751846382E-2</v>
      </c>
      <c r="AA11" s="775">
        <v>0.10908419497784344</v>
      </c>
      <c r="AB11" s="775">
        <v>0.17651403249630726</v>
      </c>
    </row>
    <row r="12" spans="1:28">
      <c r="B12" s="51">
        <v>28</v>
      </c>
      <c r="C12" s="1">
        <v>0.44700000000000001</v>
      </c>
      <c r="D12" s="1">
        <v>6.94</v>
      </c>
      <c r="E12" s="1">
        <v>1.252</v>
      </c>
      <c r="F12" s="1">
        <v>1.252</v>
      </c>
      <c r="G12" s="1">
        <v>8.1920000000000002</v>
      </c>
      <c r="H12" s="1789">
        <v>6.8843369782843056E-2</v>
      </c>
      <c r="I12" s="775">
        <v>0.19282304019713536</v>
      </c>
      <c r="J12" s="775">
        <v>0.26166640997997842</v>
      </c>
      <c r="K12" s="51">
        <v>28</v>
      </c>
      <c r="L12" s="1">
        <v>0.51300000000000001</v>
      </c>
      <c r="M12" s="1">
        <v>7.9349999999999996</v>
      </c>
      <c r="N12" s="1">
        <v>0.32300000000000001</v>
      </c>
      <c r="O12" s="1">
        <v>0.32300000000000001</v>
      </c>
      <c r="P12" s="1">
        <v>8.2579999999999991</v>
      </c>
      <c r="Q12" s="775">
        <v>6.9118835893290223E-2</v>
      </c>
      <c r="R12" s="775">
        <v>4.3519267043923476E-2</v>
      </c>
      <c r="S12" s="775">
        <v>0.1126381029372137</v>
      </c>
      <c r="T12" s="51">
        <v>28</v>
      </c>
      <c r="U12" s="1">
        <v>0.48</v>
      </c>
      <c r="V12" s="1">
        <v>7.4375</v>
      </c>
      <c r="W12" s="1">
        <v>0.78749999999999998</v>
      </c>
      <c r="X12" s="1">
        <v>0.78749999999999998</v>
      </c>
      <c r="Y12" s="1">
        <v>8.2249999999999996</v>
      </c>
      <c r="Z12" s="775">
        <v>6.8990298239310105E-2</v>
      </c>
      <c r="AA12" s="775">
        <v>0.11318720804886813</v>
      </c>
      <c r="AB12" s="775">
        <v>0.18217750628817825</v>
      </c>
    </row>
    <row r="13" spans="1:28">
      <c r="B13" s="51">
        <v>29</v>
      </c>
      <c r="C13" s="1">
        <v>0.46500000000000002</v>
      </c>
      <c r="D13" s="1">
        <v>7.1440000000000001</v>
      </c>
      <c r="E13" s="1">
        <v>1.327</v>
      </c>
      <c r="F13" s="1">
        <v>1.327</v>
      </c>
      <c r="G13" s="1">
        <v>8.4710000000000001</v>
      </c>
      <c r="H13" s="1789">
        <v>6.9621200778559669E-2</v>
      </c>
      <c r="I13" s="775">
        <v>0.19868243749064229</v>
      </c>
      <c r="J13" s="775">
        <v>0.26830363826920195</v>
      </c>
      <c r="K13" s="51">
        <v>29</v>
      </c>
      <c r="L13" s="1">
        <v>0.53800000000000003</v>
      </c>
      <c r="M13" s="1">
        <v>8.1630000000000003</v>
      </c>
      <c r="N13" s="1">
        <v>0.34300000000000003</v>
      </c>
      <c r="O13" s="1">
        <v>0.34300000000000003</v>
      </c>
      <c r="P13" s="1">
        <v>8.5060000000000002</v>
      </c>
      <c r="Q13" s="775">
        <v>7.0557377049180331E-2</v>
      </c>
      <c r="R13" s="775">
        <v>4.498360655737705E-2</v>
      </c>
      <c r="S13" s="775">
        <v>0.11554098360655737</v>
      </c>
      <c r="T13" s="51">
        <v>29</v>
      </c>
      <c r="U13" s="1">
        <v>0.50150000000000006</v>
      </c>
      <c r="V13" s="1">
        <v>7.6535000000000002</v>
      </c>
      <c r="W13" s="1">
        <v>0.83499999999999996</v>
      </c>
      <c r="X13" s="1">
        <v>0.83499999999999996</v>
      </c>
      <c r="Y13" s="1">
        <v>8.4885000000000002</v>
      </c>
      <c r="Z13" s="775">
        <v>7.012024608501119E-2</v>
      </c>
      <c r="AA13" s="775">
        <v>0.11675055928411632</v>
      </c>
      <c r="AB13" s="775">
        <v>0.18687080536912751</v>
      </c>
    </row>
    <row r="14" spans="1:28">
      <c r="B14" s="51">
        <v>30</v>
      </c>
      <c r="C14" s="1">
        <v>0.48</v>
      </c>
      <c r="D14" s="1">
        <v>7.3540000000000001</v>
      </c>
      <c r="E14" s="1">
        <v>1.4019999999999999</v>
      </c>
      <c r="F14" s="1">
        <v>1.4019999999999999</v>
      </c>
      <c r="G14" s="1">
        <v>8.7560000000000002</v>
      </c>
      <c r="H14" s="1789">
        <v>6.9828338667442535E-2</v>
      </c>
      <c r="I14" s="775">
        <v>0.20395693919115504</v>
      </c>
      <c r="J14" s="775">
        <v>0.27378527785859758</v>
      </c>
      <c r="K14" s="51">
        <v>30</v>
      </c>
      <c r="L14" s="1">
        <v>0.56200000000000006</v>
      </c>
      <c r="M14" s="1">
        <v>8.3970000000000002</v>
      </c>
      <c r="N14" s="1">
        <v>0.36299999999999999</v>
      </c>
      <c r="O14" s="1">
        <v>0.36299999999999999</v>
      </c>
      <c r="P14" s="1">
        <v>8.76</v>
      </c>
      <c r="Q14" s="775">
        <v>7.1729419272495223E-2</v>
      </c>
      <c r="R14" s="775">
        <v>4.6330567964262923E-2</v>
      </c>
      <c r="S14" s="775">
        <v>0.11805998723675815</v>
      </c>
      <c r="T14" s="51">
        <v>30</v>
      </c>
      <c r="U14" s="1">
        <v>0.52100000000000002</v>
      </c>
      <c r="V14" s="1">
        <v>7.8755000000000006</v>
      </c>
      <c r="W14" s="1">
        <v>0.88249999999999995</v>
      </c>
      <c r="X14" s="1">
        <v>0.88249999999999995</v>
      </c>
      <c r="Y14" s="1">
        <v>8.7580000000000009</v>
      </c>
      <c r="Z14" s="775">
        <v>7.0840981711877082E-2</v>
      </c>
      <c r="AA14" s="775">
        <v>0.11999456115303554</v>
      </c>
      <c r="AB14" s="775">
        <v>0.19083554286491261</v>
      </c>
    </row>
    <row r="15" spans="1:28">
      <c r="B15" s="51">
        <v>31</v>
      </c>
      <c r="C15" s="1">
        <v>0.495</v>
      </c>
      <c r="D15" s="1">
        <v>7.5679999999999996</v>
      </c>
      <c r="E15" s="1">
        <v>1.4750000000000001</v>
      </c>
      <c r="F15" s="1">
        <v>1.4750000000000001</v>
      </c>
      <c r="G15" s="1">
        <v>9.0429999999999993</v>
      </c>
      <c r="H15" s="1789">
        <v>6.9984447900466568E-2</v>
      </c>
      <c r="I15" s="775">
        <v>0.20853951647108726</v>
      </c>
      <c r="J15" s="775">
        <v>0.2785239643715538</v>
      </c>
      <c r="K15" s="51">
        <v>31</v>
      </c>
      <c r="L15" s="1">
        <v>0.58299999999999996</v>
      </c>
      <c r="M15" s="1">
        <v>8.6359999999999992</v>
      </c>
      <c r="N15" s="1">
        <v>0.38300000000000001</v>
      </c>
      <c r="O15" s="1">
        <v>0.38300000000000001</v>
      </c>
      <c r="P15" s="1">
        <v>9.0189999999999984</v>
      </c>
      <c r="Q15" s="775">
        <v>7.2395380603501799E-2</v>
      </c>
      <c r="R15" s="775">
        <v>4.755991555941886E-2</v>
      </c>
      <c r="S15" s="775">
        <v>0.11995529616292067</v>
      </c>
      <c r="T15" s="51">
        <v>31</v>
      </c>
      <c r="U15" s="1">
        <v>0.53899999999999992</v>
      </c>
      <c r="V15" s="1">
        <v>8.1020000000000003</v>
      </c>
      <c r="W15" s="1">
        <v>0.92900000000000005</v>
      </c>
      <c r="X15" s="1">
        <v>0.92900000000000005</v>
      </c>
      <c r="Y15" s="1">
        <v>9.0310000000000006</v>
      </c>
      <c r="Z15" s="775">
        <v>7.1268015337828894E-2</v>
      </c>
      <c r="AA15" s="775">
        <v>0.12283485389395742</v>
      </c>
      <c r="AB15" s="775">
        <v>0.19410286923178632</v>
      </c>
    </row>
    <row r="16" spans="1:28">
      <c r="B16" s="51">
        <v>32</v>
      </c>
      <c r="C16" s="1">
        <v>0.50800000000000001</v>
      </c>
      <c r="D16" s="1">
        <v>7.7889999999999997</v>
      </c>
      <c r="E16" s="1">
        <v>1.5489999999999999</v>
      </c>
      <c r="F16" s="1">
        <v>1.5489999999999999</v>
      </c>
      <c r="G16" s="1">
        <v>9.3379999999999992</v>
      </c>
      <c r="H16" s="1789">
        <v>6.9770635901661868E-2</v>
      </c>
      <c r="I16" s="775">
        <v>0.21274550199148468</v>
      </c>
      <c r="J16" s="775">
        <v>0.28251613789314656</v>
      </c>
      <c r="K16" s="51">
        <v>32</v>
      </c>
      <c r="L16" s="1">
        <v>0.60099999999999998</v>
      </c>
      <c r="M16" s="1">
        <v>8.8810000000000002</v>
      </c>
      <c r="N16" s="1">
        <v>0.40200000000000002</v>
      </c>
      <c r="O16" s="1">
        <v>0.40200000000000002</v>
      </c>
      <c r="P16" s="1">
        <v>9.2829999999999995</v>
      </c>
      <c r="Q16" s="775">
        <v>7.2584541062801919E-2</v>
      </c>
      <c r="R16" s="775">
        <v>4.8550724637681154E-2</v>
      </c>
      <c r="S16" s="775">
        <v>0.12113526570048308</v>
      </c>
      <c r="T16" s="51">
        <v>32</v>
      </c>
      <c r="U16" s="1">
        <v>0.55449999999999999</v>
      </c>
      <c r="V16" s="1">
        <v>8.3350000000000009</v>
      </c>
      <c r="W16" s="1">
        <v>0.97550000000000003</v>
      </c>
      <c r="X16" s="1">
        <v>0.97550000000000003</v>
      </c>
      <c r="Y16" s="1">
        <v>9.3105000000000011</v>
      </c>
      <c r="Z16" s="775">
        <v>7.126791337317652E-2</v>
      </c>
      <c r="AA16" s="775">
        <v>0.12537754643017801</v>
      </c>
      <c r="AB16" s="775">
        <v>0.19664545980335452</v>
      </c>
    </row>
    <row r="17" spans="2:28">
      <c r="B17" s="51">
        <v>33</v>
      </c>
      <c r="C17" s="1">
        <v>0.52</v>
      </c>
      <c r="D17" s="1">
        <v>8.016</v>
      </c>
      <c r="E17" s="1">
        <v>1.623</v>
      </c>
      <c r="F17" s="1">
        <v>1.623</v>
      </c>
      <c r="G17" s="1">
        <v>9.6389999999999993</v>
      </c>
      <c r="H17" s="1789">
        <v>6.9370330843116321E-2</v>
      </c>
      <c r="I17" s="775">
        <v>0.21651547491995729</v>
      </c>
      <c r="J17" s="775">
        <v>0.2858858057630736</v>
      </c>
      <c r="K17" s="51">
        <v>33</v>
      </c>
      <c r="L17" s="1">
        <v>0.61699999999999999</v>
      </c>
      <c r="M17" s="1">
        <v>9.1310000000000002</v>
      </c>
      <c r="N17" s="1">
        <v>0.42</v>
      </c>
      <c r="O17" s="1">
        <v>0.42</v>
      </c>
      <c r="P17" s="1">
        <v>9.5510000000000002</v>
      </c>
      <c r="Q17" s="775">
        <v>7.2468874794456198E-2</v>
      </c>
      <c r="R17" s="775">
        <v>4.9330514446793518E-2</v>
      </c>
      <c r="S17" s="775">
        <v>0.12179938924124972</v>
      </c>
      <c r="T17" s="51">
        <v>33</v>
      </c>
      <c r="U17" s="1">
        <v>0.56850000000000001</v>
      </c>
      <c r="V17" s="1">
        <v>8.5734999999999992</v>
      </c>
      <c r="W17" s="1">
        <v>1.0215000000000001</v>
      </c>
      <c r="X17" s="1">
        <v>1.0215000000000001</v>
      </c>
      <c r="Y17" s="1">
        <v>9.5949999999999989</v>
      </c>
      <c r="Z17" s="775">
        <v>7.1018113678950667E-2</v>
      </c>
      <c r="AA17" s="775">
        <v>0.12760774515927548</v>
      </c>
      <c r="AB17" s="775">
        <v>0.19862585883822614</v>
      </c>
    </row>
    <row r="18" spans="2:28">
      <c r="B18" s="51">
        <v>34</v>
      </c>
      <c r="C18" s="1">
        <v>0.53</v>
      </c>
      <c r="D18" s="1">
        <v>8.2479999999999993</v>
      </c>
      <c r="E18" s="1">
        <v>1.6970000000000001</v>
      </c>
      <c r="F18" s="1">
        <v>1.6970000000000001</v>
      </c>
      <c r="G18" s="1">
        <v>9.9450000000000003</v>
      </c>
      <c r="H18" s="1789">
        <v>6.8670640062192284E-2</v>
      </c>
      <c r="I18" s="775">
        <v>0.2198756154444157</v>
      </c>
      <c r="J18" s="775">
        <v>0.28854625550660795</v>
      </c>
      <c r="K18" s="51">
        <v>34</v>
      </c>
      <c r="L18" s="1">
        <v>0.63</v>
      </c>
      <c r="M18" s="1">
        <v>9.3870000000000005</v>
      </c>
      <c r="N18" s="1">
        <v>0.438</v>
      </c>
      <c r="O18" s="1">
        <v>0.438</v>
      </c>
      <c r="P18" s="1">
        <v>9.8250000000000011</v>
      </c>
      <c r="Q18" s="775">
        <v>7.1942446043165464E-2</v>
      </c>
      <c r="R18" s="775">
        <v>5.0017129153819805E-2</v>
      </c>
      <c r="S18" s="775">
        <v>0.12195957519698528</v>
      </c>
      <c r="T18" s="51">
        <v>34</v>
      </c>
      <c r="U18" s="1">
        <v>0.58000000000000007</v>
      </c>
      <c r="V18" s="1">
        <v>8.817499999999999</v>
      </c>
      <c r="W18" s="1">
        <v>1.0675000000000001</v>
      </c>
      <c r="X18" s="1">
        <v>1.0675000000000001</v>
      </c>
      <c r="Y18" s="1">
        <v>9.8849999999999998</v>
      </c>
      <c r="Z18" s="775">
        <v>7.0409711684370282E-2</v>
      </c>
      <c r="AA18" s="775">
        <v>0.12959028831562977</v>
      </c>
      <c r="AB18" s="775">
        <v>0.20000000000000007</v>
      </c>
    </row>
    <row r="19" spans="2:28">
      <c r="B19" s="51">
        <v>35</v>
      </c>
      <c r="C19" s="1">
        <v>0.53800000000000003</v>
      </c>
      <c r="D19" s="1">
        <v>8.4870000000000001</v>
      </c>
      <c r="E19" s="1">
        <v>1.7709999999999999</v>
      </c>
      <c r="F19" s="1">
        <v>1.7709999999999999</v>
      </c>
      <c r="G19" s="1">
        <v>10.257999999999999</v>
      </c>
      <c r="H19" s="1789">
        <v>6.7681469367216002E-2</v>
      </c>
      <c r="I19" s="775">
        <v>0.22279532016605863</v>
      </c>
      <c r="J19" s="775">
        <v>0.2904767895332746</v>
      </c>
      <c r="K19" s="51">
        <v>35</v>
      </c>
      <c r="L19" s="1">
        <v>0.63900000000000001</v>
      </c>
      <c r="M19" s="1">
        <v>9.6479999999999997</v>
      </c>
      <c r="N19" s="1">
        <v>0.45500000000000002</v>
      </c>
      <c r="O19" s="1">
        <v>0.45500000000000002</v>
      </c>
      <c r="P19" s="1">
        <v>10.103</v>
      </c>
      <c r="Q19" s="775">
        <v>7.0929070929070928E-2</v>
      </c>
      <c r="R19" s="775">
        <v>5.0505050505050504E-2</v>
      </c>
      <c r="S19" s="775">
        <v>0.12143412143412144</v>
      </c>
      <c r="T19" s="51">
        <v>35</v>
      </c>
      <c r="U19" s="1">
        <v>0.58850000000000002</v>
      </c>
      <c r="V19" s="1">
        <v>9.067499999999999</v>
      </c>
      <c r="W19" s="1">
        <v>1.113</v>
      </c>
      <c r="X19" s="1">
        <v>1.113</v>
      </c>
      <c r="Y19" s="1">
        <v>10.180499999999999</v>
      </c>
      <c r="Z19" s="775">
        <v>6.9406769666234241E-2</v>
      </c>
      <c r="AA19" s="775">
        <v>0.1312654794197429</v>
      </c>
      <c r="AB19" s="775">
        <v>0.20067224908597714</v>
      </c>
    </row>
    <row r="20" spans="2:28">
      <c r="B20" s="51">
        <v>36</v>
      </c>
      <c r="C20" s="1">
        <v>0.54200000000000004</v>
      </c>
      <c r="D20" s="1">
        <v>8.73</v>
      </c>
      <c r="E20" s="1">
        <v>1.845</v>
      </c>
      <c r="F20" s="1">
        <v>1.845</v>
      </c>
      <c r="G20" s="1">
        <v>10.575000000000001</v>
      </c>
      <c r="H20" s="1789">
        <v>6.6194430874450413E-2</v>
      </c>
      <c r="I20" s="775">
        <v>0.22532975085490961</v>
      </c>
      <c r="J20" s="775">
        <v>0.29152418172936001</v>
      </c>
      <c r="K20" s="51">
        <v>36</v>
      </c>
      <c r="L20" s="1">
        <v>0.64400000000000002</v>
      </c>
      <c r="M20" s="1">
        <v>9.9149999999999991</v>
      </c>
      <c r="N20" s="1">
        <v>0.47199999999999998</v>
      </c>
      <c r="O20" s="1">
        <v>0.47199999999999998</v>
      </c>
      <c r="P20" s="1">
        <v>10.386999999999999</v>
      </c>
      <c r="Q20" s="775">
        <v>6.9463919749757311E-2</v>
      </c>
      <c r="R20" s="775">
        <v>5.0911444288642006E-2</v>
      </c>
      <c r="S20" s="775">
        <v>0.12037536403839932</v>
      </c>
      <c r="T20" s="51">
        <v>36</v>
      </c>
      <c r="U20" s="1">
        <v>0.59299999999999997</v>
      </c>
      <c r="V20" s="1">
        <v>9.3224999999999998</v>
      </c>
      <c r="W20" s="1">
        <v>1.1585000000000001</v>
      </c>
      <c r="X20" s="1">
        <v>1.1585000000000001</v>
      </c>
      <c r="Y20" s="1">
        <v>10.481</v>
      </c>
      <c r="Z20" s="775">
        <v>6.7930580216507247E-2</v>
      </c>
      <c r="AA20" s="775">
        <v>0.13271092273326079</v>
      </c>
      <c r="AB20" s="775">
        <v>0.20064150294976804</v>
      </c>
    </row>
    <row r="21" spans="2:28">
      <c r="B21" s="51">
        <v>37</v>
      </c>
      <c r="C21" s="1">
        <v>0.54300000000000004</v>
      </c>
      <c r="D21" s="1">
        <v>8.9789999999999992</v>
      </c>
      <c r="E21" s="1">
        <v>1.919</v>
      </c>
      <c r="F21" s="1">
        <v>1.919</v>
      </c>
      <c r="G21" s="1">
        <v>10.898</v>
      </c>
      <c r="H21" s="1789">
        <v>6.4366998577524898E-2</v>
      </c>
      <c r="I21" s="775">
        <v>0.22747747747747749</v>
      </c>
      <c r="J21" s="775">
        <v>0.29184447605500241</v>
      </c>
      <c r="K21" s="51">
        <v>37</v>
      </c>
      <c r="L21" s="1">
        <v>0.64300000000000002</v>
      </c>
      <c r="M21" s="1">
        <v>10.186</v>
      </c>
      <c r="N21" s="1">
        <v>0.48799999999999999</v>
      </c>
      <c r="O21" s="1">
        <v>0.48799999999999999</v>
      </c>
      <c r="P21" s="1">
        <v>10.673999999999999</v>
      </c>
      <c r="Q21" s="775">
        <v>6.7379230849837587E-2</v>
      </c>
      <c r="R21" s="775">
        <v>5.1136959027559471E-2</v>
      </c>
      <c r="S21" s="775">
        <v>0.11851618987739707</v>
      </c>
      <c r="T21" s="51">
        <v>37</v>
      </c>
      <c r="U21" s="1">
        <v>0.59299999999999997</v>
      </c>
      <c r="V21" s="1">
        <v>9.5824999999999996</v>
      </c>
      <c r="W21" s="1">
        <v>1.2035</v>
      </c>
      <c r="X21" s="1">
        <v>1.2035</v>
      </c>
      <c r="Y21" s="1">
        <v>10.786</v>
      </c>
      <c r="Z21" s="775">
        <v>6.5965849046109346E-2</v>
      </c>
      <c r="AA21" s="775">
        <v>0.13387841370487791</v>
      </c>
      <c r="AB21" s="775">
        <v>0.19984426275098727</v>
      </c>
    </row>
    <row r="22" spans="2:28">
      <c r="B22" s="51">
        <v>38</v>
      </c>
      <c r="C22" s="1">
        <v>0.53800000000000003</v>
      </c>
      <c r="D22" s="1">
        <v>9.2319999999999993</v>
      </c>
      <c r="E22" s="1">
        <v>1.994</v>
      </c>
      <c r="F22" s="1">
        <v>1.994</v>
      </c>
      <c r="G22" s="1">
        <v>11.225999999999999</v>
      </c>
      <c r="H22" s="1789">
        <v>6.1881757533931457E-2</v>
      </c>
      <c r="I22" s="775">
        <v>0.22935357717966415</v>
      </c>
      <c r="J22" s="775">
        <v>0.29123533471359558</v>
      </c>
      <c r="K22" s="51">
        <v>38</v>
      </c>
      <c r="L22" s="1">
        <v>0.63700000000000001</v>
      </c>
      <c r="M22" s="1">
        <v>10.462</v>
      </c>
      <c r="N22" s="1">
        <v>0.503</v>
      </c>
      <c r="O22" s="1">
        <v>0.503</v>
      </c>
      <c r="P22" s="1">
        <v>10.965</v>
      </c>
      <c r="Q22" s="775">
        <v>6.4834605597964376E-2</v>
      </c>
      <c r="R22" s="775">
        <v>5.1195928753180665E-2</v>
      </c>
      <c r="S22" s="775">
        <v>0.11603053435114505</v>
      </c>
      <c r="T22" s="51">
        <v>38</v>
      </c>
      <c r="U22" s="1">
        <v>0.58750000000000002</v>
      </c>
      <c r="V22" s="1">
        <v>9.8469999999999995</v>
      </c>
      <c r="W22" s="1">
        <v>1.2484999999999999</v>
      </c>
      <c r="X22" s="1">
        <v>1.2484999999999999</v>
      </c>
      <c r="Y22" s="1">
        <v>11.095499999999999</v>
      </c>
      <c r="Z22" s="775">
        <v>6.3448350342891091E-2</v>
      </c>
      <c r="AA22" s="775">
        <v>0.13483449430314812</v>
      </c>
      <c r="AB22" s="775">
        <v>0.19828284464603921</v>
      </c>
    </row>
    <row r="23" spans="2:28">
      <c r="B23" s="51">
        <v>39</v>
      </c>
      <c r="C23" s="1">
        <v>0.52800000000000002</v>
      </c>
      <c r="D23" s="1">
        <v>9.49</v>
      </c>
      <c r="E23" s="1">
        <v>2.0680000000000001</v>
      </c>
      <c r="F23" s="1">
        <v>2.0680000000000001</v>
      </c>
      <c r="G23" s="1">
        <v>11.558</v>
      </c>
      <c r="H23" s="1789">
        <v>5.8915420665030131E-2</v>
      </c>
      <c r="I23" s="775">
        <v>0.23075206427136802</v>
      </c>
      <c r="J23" s="775">
        <v>0.28966748493639816</v>
      </c>
      <c r="K23" s="51">
        <v>39</v>
      </c>
      <c r="L23" s="1">
        <v>0.626</v>
      </c>
      <c r="M23" s="1">
        <v>10.743</v>
      </c>
      <c r="N23" s="1">
        <v>0.51700000000000002</v>
      </c>
      <c r="O23" s="1">
        <v>0.51700000000000002</v>
      </c>
      <c r="P23" s="1">
        <v>11.26</v>
      </c>
      <c r="Q23" s="775">
        <v>6.1876050212513585E-2</v>
      </c>
      <c r="R23" s="775">
        <v>5.1102105367203714E-2</v>
      </c>
      <c r="S23" s="775">
        <v>0.1129781555797173</v>
      </c>
      <c r="T23" s="51">
        <v>39</v>
      </c>
      <c r="U23" s="1">
        <v>0.57699999999999996</v>
      </c>
      <c r="V23" s="1">
        <v>10.1165</v>
      </c>
      <c r="W23" s="1">
        <v>1.2925</v>
      </c>
      <c r="X23" s="1">
        <v>1.2925</v>
      </c>
      <c r="Y23" s="1">
        <v>11.409000000000001</v>
      </c>
      <c r="Z23" s="775">
        <v>6.0485350385240312E-2</v>
      </c>
      <c r="AA23" s="775">
        <v>0.13548928140887886</v>
      </c>
      <c r="AB23" s="775">
        <v>0.19597463179411917</v>
      </c>
    </row>
    <row r="24" spans="2:28">
      <c r="B24" s="51">
        <v>40</v>
      </c>
      <c r="C24" s="1">
        <v>0.51500000000000001</v>
      </c>
      <c r="D24" s="1">
        <v>9.7539999999999996</v>
      </c>
      <c r="E24" s="1">
        <v>2.1429999999999998</v>
      </c>
      <c r="F24" s="1">
        <v>2.1429999999999998</v>
      </c>
      <c r="G24" s="1">
        <v>11.896999999999998</v>
      </c>
      <c r="H24" s="1789">
        <v>5.5741963415954117E-2</v>
      </c>
      <c r="I24" s="775">
        <v>0.23195150990366922</v>
      </c>
      <c r="J24" s="775">
        <v>0.28769347331962336</v>
      </c>
      <c r="K24" s="51">
        <v>40</v>
      </c>
      <c r="L24" s="1">
        <v>0.60899999999999999</v>
      </c>
      <c r="M24" s="1">
        <v>11.031000000000001</v>
      </c>
      <c r="N24" s="1">
        <v>0.53100000000000003</v>
      </c>
      <c r="O24" s="1">
        <v>0.53100000000000003</v>
      </c>
      <c r="P24" s="1">
        <v>11.562000000000001</v>
      </c>
      <c r="Q24" s="775">
        <v>5.8434081750143925E-2</v>
      </c>
      <c r="R24" s="775">
        <v>5.0949913644214161E-2</v>
      </c>
      <c r="S24" s="775">
        <v>0.10938399539435809</v>
      </c>
      <c r="T24" s="51">
        <v>40</v>
      </c>
      <c r="U24" s="1">
        <v>0.56200000000000006</v>
      </c>
      <c r="V24" s="1">
        <v>10.3925</v>
      </c>
      <c r="W24" s="1">
        <v>1.337</v>
      </c>
      <c r="X24" s="1">
        <v>1.337</v>
      </c>
      <c r="Y24" s="1">
        <v>11.7295</v>
      </c>
      <c r="Z24" s="775">
        <v>5.7169014800874829E-2</v>
      </c>
      <c r="AA24" s="775">
        <v>0.13600528965973246</v>
      </c>
      <c r="AB24" s="775">
        <v>0.19317430446060729</v>
      </c>
    </row>
    <row r="25" spans="2:28">
      <c r="B25" s="51">
        <v>41</v>
      </c>
      <c r="C25" s="1">
        <v>0.499</v>
      </c>
      <c r="D25" s="1">
        <v>10.026999999999999</v>
      </c>
      <c r="E25" s="1">
        <v>2.2200000000000002</v>
      </c>
      <c r="F25" s="1">
        <v>2.2200000000000002</v>
      </c>
      <c r="G25" s="1">
        <v>12.247</v>
      </c>
      <c r="H25" s="1789">
        <v>5.2371956339210754E-2</v>
      </c>
      <c r="I25" s="775">
        <v>0.23299748110831239</v>
      </c>
      <c r="J25" s="775">
        <v>0.28536943744752313</v>
      </c>
      <c r="K25" s="51">
        <v>41</v>
      </c>
      <c r="L25" s="1">
        <v>0.59</v>
      </c>
      <c r="M25" s="1">
        <v>11.324999999999999</v>
      </c>
      <c r="N25" s="1">
        <v>0.54500000000000004</v>
      </c>
      <c r="O25" s="1">
        <v>0.54500000000000004</v>
      </c>
      <c r="P25" s="1">
        <v>11.87</v>
      </c>
      <c r="Q25" s="775">
        <v>5.4960409874243131E-2</v>
      </c>
      <c r="R25" s="775">
        <v>5.0768514205868663E-2</v>
      </c>
      <c r="S25" s="775">
        <v>0.10572892408011179</v>
      </c>
      <c r="T25" s="51">
        <v>41</v>
      </c>
      <c r="U25" s="1">
        <v>0.54449999999999998</v>
      </c>
      <c r="V25" s="1">
        <v>10.675999999999998</v>
      </c>
      <c r="W25" s="1">
        <v>1.3825000000000001</v>
      </c>
      <c r="X25" s="1">
        <v>1.3825000000000001</v>
      </c>
      <c r="Y25" s="1">
        <v>12.058499999999999</v>
      </c>
      <c r="Z25" s="775">
        <v>5.3743275921630564E-2</v>
      </c>
      <c r="AA25" s="775">
        <v>0.13645560874500323</v>
      </c>
      <c r="AB25" s="775">
        <v>0.19019888466663379</v>
      </c>
    </row>
    <row r="26" spans="2:28">
      <c r="B26" s="51">
        <v>42</v>
      </c>
      <c r="C26" s="1">
        <v>0.48299999999999998</v>
      </c>
      <c r="D26" s="1">
        <v>10.308999999999999</v>
      </c>
      <c r="E26" s="1">
        <v>2.2970000000000002</v>
      </c>
      <c r="F26" s="1">
        <v>2.2970000000000002</v>
      </c>
      <c r="G26" s="1">
        <v>12.606</v>
      </c>
      <c r="H26" s="1789">
        <v>4.9155302259312035E-2</v>
      </c>
      <c r="I26" s="775">
        <v>0.23376755546509265</v>
      </c>
      <c r="J26" s="775">
        <v>0.28292285772440467</v>
      </c>
      <c r="K26" s="51">
        <v>42</v>
      </c>
      <c r="L26" s="1">
        <v>0.56699999999999995</v>
      </c>
      <c r="M26" s="1">
        <v>11.629</v>
      </c>
      <c r="N26" s="1">
        <v>0.55800000000000005</v>
      </c>
      <c r="O26" s="1">
        <v>0.55800000000000005</v>
      </c>
      <c r="P26" s="1">
        <v>12.186999999999999</v>
      </c>
      <c r="Q26" s="775">
        <v>5.1256553968540952E-2</v>
      </c>
      <c r="R26" s="775">
        <v>5.0442957873802215E-2</v>
      </c>
      <c r="S26" s="775">
        <v>0.10169951184234316</v>
      </c>
      <c r="T26" s="51">
        <v>42</v>
      </c>
      <c r="U26" s="1">
        <v>0.52499999999999991</v>
      </c>
      <c r="V26" s="1">
        <v>10.968999999999999</v>
      </c>
      <c r="W26" s="1">
        <v>1.4275000000000002</v>
      </c>
      <c r="X26" s="1">
        <v>1.4275000000000002</v>
      </c>
      <c r="Y26" s="1">
        <v>12.3965</v>
      </c>
      <c r="Z26" s="775">
        <v>5.0268096514745307E-2</v>
      </c>
      <c r="AA26" s="775">
        <v>0.13668134814247418</v>
      </c>
      <c r="AB26" s="775">
        <v>0.18694944465721949</v>
      </c>
    </row>
    <row r="27" spans="2:28">
      <c r="B27" s="51">
        <v>43</v>
      </c>
      <c r="C27" s="1">
        <v>0.46700000000000003</v>
      </c>
      <c r="D27" s="1">
        <v>10.601000000000001</v>
      </c>
      <c r="E27" s="1">
        <v>2.3759999999999999</v>
      </c>
      <c r="F27" s="1">
        <v>2.3759999999999999</v>
      </c>
      <c r="G27" s="1">
        <v>12.977</v>
      </c>
      <c r="H27" s="1789">
        <v>4.608249457272548E-2</v>
      </c>
      <c r="I27" s="775">
        <v>0.23445825932504438</v>
      </c>
      <c r="J27" s="775">
        <v>0.28054075389776989</v>
      </c>
      <c r="K27" s="51">
        <v>43</v>
      </c>
      <c r="L27" s="1">
        <v>0.54300000000000004</v>
      </c>
      <c r="M27" s="1">
        <v>11.942</v>
      </c>
      <c r="N27" s="1">
        <v>0.57099999999999995</v>
      </c>
      <c r="O27" s="1">
        <v>0.57099999999999995</v>
      </c>
      <c r="P27" s="1">
        <v>12.513</v>
      </c>
      <c r="Q27" s="775">
        <v>4.7635757522589701E-2</v>
      </c>
      <c r="R27" s="775">
        <v>5.0092113343275721E-2</v>
      </c>
      <c r="S27" s="775">
        <v>9.7727870865865429E-2</v>
      </c>
      <c r="T27" s="51">
        <v>43</v>
      </c>
      <c r="U27" s="1">
        <v>0.505</v>
      </c>
      <c r="V27" s="1">
        <v>11.2715</v>
      </c>
      <c r="W27" s="1">
        <v>1.4735</v>
      </c>
      <c r="X27" s="1">
        <v>1.4735</v>
      </c>
      <c r="Y27" s="1">
        <v>12.744999999999999</v>
      </c>
      <c r="Z27" s="775">
        <v>4.6904750847536342E-2</v>
      </c>
      <c r="AA27" s="775">
        <v>0.13685970371058379</v>
      </c>
      <c r="AB27" s="775">
        <v>0.18376445455812013</v>
      </c>
    </row>
    <row r="28" spans="2:28">
      <c r="B28" s="51">
        <v>44</v>
      </c>
      <c r="C28" s="1">
        <v>0.45</v>
      </c>
      <c r="D28" s="1">
        <v>10.904</v>
      </c>
      <c r="E28" s="1">
        <v>2.456</v>
      </c>
      <c r="F28" s="1">
        <v>2.456</v>
      </c>
      <c r="G28" s="1">
        <v>13.36</v>
      </c>
      <c r="H28" s="1789">
        <v>4.3045724124736943E-2</v>
      </c>
      <c r="I28" s="775">
        <v>0.23493399655634206</v>
      </c>
      <c r="J28" s="775">
        <v>0.27797972068107901</v>
      </c>
      <c r="K28" s="51">
        <v>44</v>
      </c>
      <c r="L28" s="1">
        <v>0.51700000000000002</v>
      </c>
      <c r="M28" s="1">
        <v>12.266</v>
      </c>
      <c r="N28" s="1">
        <v>0.58399999999999996</v>
      </c>
      <c r="O28" s="1">
        <v>0.58399999999999996</v>
      </c>
      <c r="P28" s="1">
        <v>12.85</v>
      </c>
      <c r="Q28" s="775">
        <v>4.4003744999574435E-2</v>
      </c>
      <c r="R28" s="775">
        <v>4.9706357987913861E-2</v>
      </c>
      <c r="S28" s="775">
        <v>9.3710102987488303E-2</v>
      </c>
      <c r="T28" s="51">
        <v>44</v>
      </c>
      <c r="U28" s="1">
        <v>0.48350000000000004</v>
      </c>
      <c r="V28" s="1">
        <v>11.585000000000001</v>
      </c>
      <c r="W28" s="1">
        <v>1.52</v>
      </c>
      <c r="X28" s="1">
        <v>1.52</v>
      </c>
      <c r="Y28" s="1">
        <v>13.105</v>
      </c>
      <c r="Z28" s="775">
        <v>4.3552673062198802E-2</v>
      </c>
      <c r="AA28" s="775">
        <v>0.1369184344457956</v>
      </c>
      <c r="AB28" s="775">
        <v>0.18047110750799439</v>
      </c>
    </row>
    <row r="29" spans="2:28">
      <c r="B29" s="51">
        <v>45</v>
      </c>
      <c r="C29" s="1">
        <v>0.432</v>
      </c>
      <c r="D29" s="1">
        <v>11.218</v>
      </c>
      <c r="E29" s="1">
        <v>2.536</v>
      </c>
      <c r="F29" s="1">
        <v>2.536</v>
      </c>
      <c r="G29" s="1">
        <v>13.754</v>
      </c>
      <c r="H29" s="1789">
        <v>4.0051919154459485E-2</v>
      </c>
      <c r="I29" s="775">
        <v>0.23511959948080846</v>
      </c>
      <c r="J29" s="775">
        <v>0.27517151863526795</v>
      </c>
      <c r="K29" s="51">
        <v>45</v>
      </c>
      <c r="L29" s="1">
        <v>0.49099999999999999</v>
      </c>
      <c r="M29" s="1">
        <v>12.6</v>
      </c>
      <c r="N29" s="1">
        <v>0.59699999999999998</v>
      </c>
      <c r="O29" s="1">
        <v>0.59699999999999998</v>
      </c>
      <c r="P29" s="1">
        <v>13.196999999999999</v>
      </c>
      <c r="Q29" s="775">
        <v>4.0548352465108593E-2</v>
      </c>
      <c r="R29" s="775">
        <v>4.9302171938227765E-2</v>
      </c>
      <c r="S29" s="775">
        <v>8.9850524403336351E-2</v>
      </c>
      <c r="T29" s="51">
        <v>45</v>
      </c>
      <c r="U29" s="1">
        <v>0.46150000000000002</v>
      </c>
      <c r="V29" s="1">
        <v>11.908999999999999</v>
      </c>
      <c r="W29" s="1">
        <v>1.5665</v>
      </c>
      <c r="X29" s="1">
        <v>1.5665</v>
      </c>
      <c r="Y29" s="1">
        <v>13.475499999999998</v>
      </c>
      <c r="Z29" s="775">
        <v>4.0314479143917892E-2</v>
      </c>
      <c r="AA29" s="775">
        <v>0.13684210526315793</v>
      </c>
      <c r="AB29" s="775">
        <v>0.17715658440707582</v>
      </c>
    </row>
    <row r="30" spans="2:28">
      <c r="B30" s="51">
        <v>46</v>
      </c>
      <c r="C30" s="1">
        <v>0.41299999999999998</v>
      </c>
      <c r="D30" s="1">
        <v>11.542999999999999</v>
      </c>
      <c r="E30" s="1">
        <v>2.6160000000000001</v>
      </c>
      <c r="F30" s="1">
        <v>2.6160000000000001</v>
      </c>
      <c r="G30" s="1">
        <v>14.158999999999999</v>
      </c>
      <c r="H30" s="1789">
        <v>3.7106918238993709E-2</v>
      </c>
      <c r="I30" s="775">
        <v>0.2350404312668464</v>
      </c>
      <c r="J30" s="775">
        <v>0.27214734950584013</v>
      </c>
      <c r="K30" s="51">
        <v>46</v>
      </c>
      <c r="L30" s="1">
        <v>0.46200000000000002</v>
      </c>
      <c r="M30" s="1">
        <v>12.946</v>
      </c>
      <c r="N30" s="1">
        <v>0.61</v>
      </c>
      <c r="O30" s="1">
        <v>0.61</v>
      </c>
      <c r="P30" s="1">
        <v>13.555999999999999</v>
      </c>
      <c r="Q30" s="775">
        <v>3.7007369432874082E-2</v>
      </c>
      <c r="R30" s="775">
        <v>4.8862544056392183E-2</v>
      </c>
      <c r="S30" s="775">
        <v>8.5869913489266259E-2</v>
      </c>
      <c r="T30" s="51">
        <v>46</v>
      </c>
      <c r="U30" s="1">
        <v>0.4375</v>
      </c>
      <c r="V30" s="1">
        <v>12.244499999999999</v>
      </c>
      <c r="W30" s="1">
        <v>1.613</v>
      </c>
      <c r="X30" s="1">
        <v>1.613</v>
      </c>
      <c r="Y30" s="1">
        <v>13.857499999999998</v>
      </c>
      <c r="Z30" s="775">
        <v>3.7054289828068097E-2</v>
      </c>
      <c r="AA30" s="775">
        <v>0.13661387312611165</v>
      </c>
      <c r="AB30" s="775">
        <v>0.17366816295417975</v>
      </c>
    </row>
    <row r="31" spans="2:28">
      <c r="B31" s="51">
        <v>47</v>
      </c>
      <c r="C31" s="1">
        <v>0.39200000000000002</v>
      </c>
      <c r="D31" s="1">
        <v>11.879</v>
      </c>
      <c r="E31" s="1">
        <v>2.6960000000000002</v>
      </c>
      <c r="F31" s="1">
        <v>2.6960000000000002</v>
      </c>
      <c r="G31" s="1">
        <v>14.574999999999999</v>
      </c>
      <c r="H31" s="1789">
        <v>3.4125533211456428E-2</v>
      </c>
      <c r="I31" s="775">
        <v>0.23470009576042483</v>
      </c>
      <c r="J31" s="775">
        <v>0.26882562897188128</v>
      </c>
      <c r="K31" s="51">
        <v>47</v>
      </c>
      <c r="L31" s="1">
        <v>0.433</v>
      </c>
      <c r="M31" s="1">
        <v>13.303000000000001</v>
      </c>
      <c r="N31" s="1">
        <v>0.622</v>
      </c>
      <c r="O31" s="1">
        <v>0.622</v>
      </c>
      <c r="P31" s="1">
        <v>13.925000000000001</v>
      </c>
      <c r="Q31" s="775">
        <v>3.3644133644133642E-2</v>
      </c>
      <c r="R31" s="775">
        <v>4.8329448329448327E-2</v>
      </c>
      <c r="S31" s="775">
        <v>8.1973581973581969E-2</v>
      </c>
      <c r="T31" s="51">
        <v>47</v>
      </c>
      <c r="U31" s="1">
        <v>0.41249999999999998</v>
      </c>
      <c r="V31" s="1">
        <v>12.591000000000001</v>
      </c>
      <c r="W31" s="1">
        <v>1.659</v>
      </c>
      <c r="X31" s="1">
        <v>1.659</v>
      </c>
      <c r="Y31" s="1">
        <v>14.250000000000002</v>
      </c>
      <c r="Z31" s="775">
        <v>3.3871166399802928E-2</v>
      </c>
      <c r="AA31" s="775">
        <v>0.1362236728661165</v>
      </c>
      <c r="AB31" s="775">
        <v>0.17009483926591942</v>
      </c>
    </row>
    <row r="32" spans="2:28">
      <c r="B32" s="51">
        <v>48</v>
      </c>
      <c r="C32" s="1">
        <v>0.36899999999999999</v>
      </c>
      <c r="D32" s="1">
        <v>12.227</v>
      </c>
      <c r="E32" s="1">
        <v>2.7749999999999999</v>
      </c>
      <c r="F32" s="1">
        <v>2.7749999999999999</v>
      </c>
      <c r="G32" s="1">
        <v>15.002000000000001</v>
      </c>
      <c r="H32" s="1789">
        <v>3.1118232416933712E-2</v>
      </c>
      <c r="I32" s="775">
        <v>0.23401922752572102</v>
      </c>
      <c r="J32" s="775">
        <v>0.26513745994265475</v>
      </c>
      <c r="K32" s="51">
        <v>48</v>
      </c>
      <c r="L32" s="1">
        <v>0.40100000000000002</v>
      </c>
      <c r="M32" s="1">
        <v>13.672000000000001</v>
      </c>
      <c r="N32" s="1">
        <v>0.63400000000000001</v>
      </c>
      <c r="O32" s="1">
        <v>0.63400000000000001</v>
      </c>
      <c r="P32" s="1">
        <v>14.306000000000001</v>
      </c>
      <c r="Q32" s="775">
        <v>3.0216261020269763E-2</v>
      </c>
      <c r="R32" s="775">
        <v>4.7773340366212037E-2</v>
      </c>
      <c r="S32" s="775">
        <v>7.7989601386481797E-2</v>
      </c>
      <c r="T32" s="51">
        <v>48</v>
      </c>
      <c r="U32" s="1">
        <v>0.38500000000000001</v>
      </c>
      <c r="V32" s="1">
        <v>12.9495</v>
      </c>
      <c r="W32" s="1">
        <v>1.7044999999999999</v>
      </c>
      <c r="X32" s="1">
        <v>1.7044999999999999</v>
      </c>
      <c r="Y32" s="1">
        <v>14.654</v>
      </c>
      <c r="Z32" s="775">
        <v>3.064188785864937E-2</v>
      </c>
      <c r="AA32" s="775">
        <v>0.13565999442874765</v>
      </c>
      <c r="AB32" s="775">
        <v>0.16630188228739703</v>
      </c>
    </row>
    <row r="33" spans="2:28">
      <c r="B33" s="51">
        <v>49</v>
      </c>
      <c r="C33" s="1">
        <v>0.34200000000000003</v>
      </c>
      <c r="D33" s="1">
        <v>12.587999999999999</v>
      </c>
      <c r="E33" s="1">
        <v>2.8530000000000002</v>
      </c>
      <c r="F33" s="1">
        <v>2.8530000000000002</v>
      </c>
      <c r="G33" s="1">
        <v>15.440999999999999</v>
      </c>
      <c r="H33" s="1789">
        <v>2.7927486526212648E-2</v>
      </c>
      <c r="I33" s="775">
        <v>0.23297403233708971</v>
      </c>
      <c r="J33" s="775">
        <v>0.26090151886330237</v>
      </c>
      <c r="K33" s="51">
        <v>49</v>
      </c>
      <c r="L33" s="1">
        <v>0.36799999999999999</v>
      </c>
      <c r="M33" s="1">
        <v>14.053000000000001</v>
      </c>
      <c r="N33" s="1">
        <v>0.64500000000000002</v>
      </c>
      <c r="O33" s="1">
        <v>0.64500000000000002</v>
      </c>
      <c r="P33" s="1">
        <v>14.698</v>
      </c>
      <c r="Q33" s="775">
        <v>2.6890756302521007E-2</v>
      </c>
      <c r="R33" s="775">
        <v>4.7131896236755573E-2</v>
      </c>
      <c r="S33" s="775">
        <v>7.4022652539276576E-2</v>
      </c>
      <c r="T33" s="51">
        <v>49</v>
      </c>
      <c r="U33" s="1">
        <v>0.35499999999999998</v>
      </c>
      <c r="V33" s="1">
        <v>13.320499999999999</v>
      </c>
      <c r="W33" s="1">
        <v>1.7490000000000001</v>
      </c>
      <c r="X33" s="1">
        <v>1.7490000000000001</v>
      </c>
      <c r="Y33" s="1">
        <v>15.0695</v>
      </c>
      <c r="Z33" s="775">
        <v>2.7380355558983459E-2</v>
      </c>
      <c r="AA33" s="775">
        <v>0.13489645597932978</v>
      </c>
      <c r="AB33" s="775">
        <v>0.16227681153831325</v>
      </c>
    </row>
    <row r="34" spans="2:28">
      <c r="B34" s="51">
        <v>50</v>
      </c>
      <c r="C34" s="1">
        <v>0.312</v>
      </c>
      <c r="D34" s="1">
        <v>12.96</v>
      </c>
      <c r="E34" s="1">
        <v>2.93</v>
      </c>
      <c r="F34" s="1">
        <v>2.93</v>
      </c>
      <c r="G34" s="1">
        <v>15.89</v>
      </c>
      <c r="H34" s="1789">
        <v>2.4667931688804552E-2</v>
      </c>
      <c r="I34" s="775">
        <v>0.23165717900063248</v>
      </c>
      <c r="J34" s="775">
        <v>0.25632511068943703</v>
      </c>
      <c r="K34" s="51">
        <v>50</v>
      </c>
      <c r="L34" s="1">
        <v>0.33200000000000002</v>
      </c>
      <c r="M34" s="1">
        <v>14.446</v>
      </c>
      <c r="N34" s="1">
        <v>0.65600000000000003</v>
      </c>
      <c r="O34" s="1">
        <v>0.65600000000000003</v>
      </c>
      <c r="P34" s="1">
        <v>15.102</v>
      </c>
      <c r="Q34" s="775">
        <v>2.3522743375371975E-2</v>
      </c>
      <c r="R34" s="775">
        <v>4.647867365736149E-2</v>
      </c>
      <c r="S34" s="775">
        <v>7.0001417032733465E-2</v>
      </c>
      <c r="T34" s="51">
        <v>50</v>
      </c>
      <c r="U34" s="1">
        <v>0.32200000000000001</v>
      </c>
      <c r="V34" s="1">
        <v>13.702999999999999</v>
      </c>
      <c r="W34" s="1">
        <v>1.7930000000000001</v>
      </c>
      <c r="X34" s="1">
        <v>1.7930000000000001</v>
      </c>
      <c r="Y34" s="1">
        <v>15.495999999999999</v>
      </c>
      <c r="Z34" s="775">
        <v>2.4063971302593228E-2</v>
      </c>
      <c r="AA34" s="775">
        <v>0.13399596442717288</v>
      </c>
      <c r="AB34" s="775">
        <v>0.15805993572976609</v>
      </c>
    </row>
    <row r="35" spans="2:28">
      <c r="B35" s="51">
        <v>51</v>
      </c>
      <c r="C35" s="1">
        <v>0.28000000000000003</v>
      </c>
      <c r="D35" s="1">
        <v>13.347</v>
      </c>
      <c r="E35" s="1">
        <v>3.0049999999999999</v>
      </c>
      <c r="F35" s="1">
        <v>3.0049999999999999</v>
      </c>
      <c r="G35" s="1">
        <v>16.352</v>
      </c>
      <c r="H35" s="1789">
        <v>2.1428024795285838E-2</v>
      </c>
      <c r="I35" s="775">
        <v>0.22996862324940689</v>
      </c>
      <c r="J35" s="775">
        <v>0.25139664804469275</v>
      </c>
      <c r="K35" s="51">
        <v>51</v>
      </c>
      <c r="L35" s="1">
        <v>0.29399999999999998</v>
      </c>
      <c r="M35" s="1">
        <v>14.852</v>
      </c>
      <c r="N35" s="1">
        <v>0.66600000000000004</v>
      </c>
      <c r="O35" s="1">
        <v>0.66600000000000004</v>
      </c>
      <c r="P35" s="1">
        <v>15.518000000000001</v>
      </c>
      <c r="Q35" s="775">
        <v>2.0195081741997526E-2</v>
      </c>
      <c r="R35" s="775">
        <v>4.5748042313504607E-2</v>
      </c>
      <c r="S35" s="775">
        <v>6.5943124055502136E-2</v>
      </c>
      <c r="T35" s="51">
        <v>51</v>
      </c>
      <c r="U35" s="1">
        <v>0.28700000000000003</v>
      </c>
      <c r="V35" s="1">
        <v>14.099499999999999</v>
      </c>
      <c r="W35" s="1">
        <v>1.8354999999999999</v>
      </c>
      <c r="X35" s="1">
        <v>1.8354999999999999</v>
      </c>
      <c r="Y35" s="1">
        <v>15.934999999999999</v>
      </c>
      <c r="Z35" s="775">
        <v>2.077828054298643E-2</v>
      </c>
      <c r="AA35" s="775">
        <v>0.13288687782805431</v>
      </c>
      <c r="AB35" s="775">
        <v>0.15366515837104072</v>
      </c>
    </row>
    <row r="36" spans="2:28">
      <c r="B36" s="51">
        <v>52</v>
      </c>
      <c r="C36" s="1">
        <v>0.245</v>
      </c>
      <c r="D36" s="1">
        <v>13.747999999999999</v>
      </c>
      <c r="E36" s="1">
        <v>3.0790000000000002</v>
      </c>
      <c r="F36" s="1">
        <v>3.0790000000000002</v>
      </c>
      <c r="G36" s="1">
        <v>16.826999999999998</v>
      </c>
      <c r="H36" s="1789">
        <v>1.8144116122343183E-2</v>
      </c>
      <c r="I36" s="775">
        <v>0.228023402206917</v>
      </c>
      <c r="J36" s="775">
        <v>0.24616751832926018</v>
      </c>
      <c r="K36" s="51">
        <v>52</v>
      </c>
      <c r="L36" s="1">
        <v>0.254</v>
      </c>
      <c r="M36" s="1">
        <v>15.272</v>
      </c>
      <c r="N36" s="1">
        <v>0.67500000000000004</v>
      </c>
      <c r="O36" s="1">
        <v>0.67500000000000004</v>
      </c>
      <c r="P36" s="1">
        <v>15.947000000000001</v>
      </c>
      <c r="Q36" s="775">
        <v>1.6913037688107604E-2</v>
      </c>
      <c r="R36" s="775">
        <v>4.4946064722333201E-2</v>
      </c>
      <c r="S36" s="775">
        <v>6.1859102410440805E-2</v>
      </c>
      <c r="T36" s="51">
        <v>52</v>
      </c>
      <c r="U36" s="1">
        <v>0.2495</v>
      </c>
      <c r="V36" s="1">
        <v>14.51</v>
      </c>
      <c r="W36" s="1">
        <v>1.8770000000000002</v>
      </c>
      <c r="X36" s="1">
        <v>1.8770000000000002</v>
      </c>
      <c r="Y36" s="1">
        <v>16.387</v>
      </c>
      <c r="Z36" s="775">
        <v>1.7495880228603485E-2</v>
      </c>
      <c r="AA36" s="775">
        <v>0.13162231338312122</v>
      </c>
      <c r="AB36" s="775">
        <v>0.14911819361172471</v>
      </c>
    </row>
    <row r="37" spans="2:28">
      <c r="B37" s="51">
        <v>53</v>
      </c>
      <c r="C37" s="1">
        <v>0.20799999999999999</v>
      </c>
      <c r="D37" s="1">
        <v>14.166</v>
      </c>
      <c r="E37" s="1">
        <v>3.1520000000000001</v>
      </c>
      <c r="F37" s="1">
        <v>3.1520000000000001</v>
      </c>
      <c r="G37" s="1">
        <v>17.318000000000001</v>
      </c>
      <c r="H37" s="1789">
        <v>1.4901848402349906E-2</v>
      </c>
      <c r="I37" s="775">
        <v>0.22582031809714859</v>
      </c>
      <c r="J37" s="775">
        <v>0.24072216649949849</v>
      </c>
      <c r="K37" s="51">
        <v>53</v>
      </c>
      <c r="L37" s="1">
        <v>0.21299999999999999</v>
      </c>
      <c r="M37" s="1">
        <v>15.706</v>
      </c>
      <c r="N37" s="1">
        <v>0.68300000000000005</v>
      </c>
      <c r="O37" s="1">
        <v>0.68300000000000005</v>
      </c>
      <c r="P37" s="1">
        <v>16.388999999999999</v>
      </c>
      <c r="Q37" s="775">
        <v>1.3748144323242754E-2</v>
      </c>
      <c r="R37" s="775">
        <v>4.4084425224294843E-2</v>
      </c>
      <c r="S37" s="775">
        <v>5.7832569547537599E-2</v>
      </c>
      <c r="T37" s="51">
        <v>53</v>
      </c>
      <c r="U37" s="1">
        <v>0.21049999999999999</v>
      </c>
      <c r="V37" s="1">
        <v>14.936</v>
      </c>
      <c r="W37" s="1">
        <v>1.9175</v>
      </c>
      <c r="X37" s="1">
        <v>1.9175</v>
      </c>
      <c r="Y37" s="1">
        <v>16.8535</v>
      </c>
      <c r="Z37" s="775">
        <v>1.4294930562629451E-2</v>
      </c>
      <c r="AA37" s="775">
        <v>0.13021629146718278</v>
      </c>
      <c r="AB37" s="775">
        <v>0.14451122202981223</v>
      </c>
    </row>
    <row r="38" spans="2:28">
      <c r="B38" s="51">
        <v>54</v>
      </c>
      <c r="C38" s="1">
        <v>0.16900000000000001</v>
      </c>
      <c r="D38" s="1">
        <v>14.599</v>
      </c>
      <c r="E38" s="1">
        <v>3.2229999999999999</v>
      </c>
      <c r="F38" s="1">
        <v>3.2229999999999999</v>
      </c>
      <c r="G38" s="1">
        <v>17.821999999999999</v>
      </c>
      <c r="H38" s="1789">
        <v>1.1711711711711714E-2</v>
      </c>
      <c r="I38" s="775">
        <v>0.22335412335412336</v>
      </c>
      <c r="J38" s="775">
        <v>0.23506583506583506</v>
      </c>
      <c r="K38" s="51">
        <v>54</v>
      </c>
      <c r="L38" s="1">
        <v>0.17</v>
      </c>
      <c r="M38" s="1">
        <v>16.155999999999999</v>
      </c>
      <c r="N38" s="1">
        <v>0.69099999999999995</v>
      </c>
      <c r="O38" s="1">
        <v>0.69099999999999995</v>
      </c>
      <c r="P38" s="1">
        <v>16.846999999999998</v>
      </c>
      <c r="Q38" s="775">
        <v>1.063430501688978E-2</v>
      </c>
      <c r="R38" s="775">
        <v>4.3225322156887278E-2</v>
      </c>
      <c r="S38" s="775">
        <v>5.3859627173777055E-2</v>
      </c>
      <c r="T38" s="51">
        <v>54</v>
      </c>
      <c r="U38" s="1">
        <v>0.16950000000000001</v>
      </c>
      <c r="V38" s="1">
        <v>15.3775</v>
      </c>
      <c r="W38" s="1">
        <v>1.9569999999999999</v>
      </c>
      <c r="X38" s="1">
        <v>1.9569999999999999</v>
      </c>
      <c r="Y38" s="1">
        <v>17.334499999999998</v>
      </c>
      <c r="Z38" s="775">
        <v>1.1145449763282484E-2</v>
      </c>
      <c r="AA38" s="775">
        <v>0.12868227248816411</v>
      </c>
      <c r="AB38" s="775">
        <v>0.1398277222514466</v>
      </c>
    </row>
    <row r="39" spans="2:28">
      <c r="B39" s="51">
        <v>55</v>
      </c>
      <c r="C39" s="1">
        <v>0.129</v>
      </c>
      <c r="D39" s="1">
        <v>15.051</v>
      </c>
      <c r="E39" s="1">
        <v>3.2949999999999999</v>
      </c>
      <c r="F39" s="1">
        <v>3.2949999999999999</v>
      </c>
      <c r="G39" s="1">
        <v>18.346</v>
      </c>
      <c r="H39" s="1789">
        <v>8.6449537595496579E-3</v>
      </c>
      <c r="I39" s="775">
        <v>0.22081490416834204</v>
      </c>
      <c r="J39" s="775">
        <v>0.2294598579278917</v>
      </c>
      <c r="K39" s="51">
        <v>55</v>
      </c>
      <c r="L39" s="1">
        <v>0.128</v>
      </c>
      <c r="M39" s="1">
        <v>16.623000000000001</v>
      </c>
      <c r="N39" s="1">
        <v>0.69799999999999995</v>
      </c>
      <c r="O39" s="1">
        <v>0.69799999999999995</v>
      </c>
      <c r="P39" s="1">
        <v>17.321000000000002</v>
      </c>
      <c r="Q39" s="775">
        <v>7.7599272506820244E-3</v>
      </c>
      <c r="R39" s="775">
        <v>4.231585328887541E-2</v>
      </c>
      <c r="S39" s="775">
        <v>5.0075780539557434E-2</v>
      </c>
      <c r="T39" s="51">
        <v>55</v>
      </c>
      <c r="U39" s="1">
        <v>0.1285</v>
      </c>
      <c r="V39" s="1">
        <v>15.837</v>
      </c>
      <c r="W39" s="1">
        <v>1.9964999999999999</v>
      </c>
      <c r="X39" s="1">
        <v>1.9964999999999999</v>
      </c>
      <c r="Y39" s="1">
        <v>17.833500000000001</v>
      </c>
      <c r="Z39" s="775">
        <v>8.1802845593150209E-3</v>
      </c>
      <c r="AA39" s="775">
        <v>0.1270967947289684</v>
      </c>
      <c r="AB39" s="775">
        <v>0.13527707928828342</v>
      </c>
    </row>
    <row r="40" spans="2:28">
      <c r="B40" s="51">
        <v>56</v>
      </c>
      <c r="C40" s="1">
        <v>9.0999999999999998E-2</v>
      </c>
      <c r="D40" s="1">
        <v>15.521000000000001</v>
      </c>
      <c r="E40" s="1">
        <v>3.367</v>
      </c>
      <c r="F40" s="1">
        <v>3.367</v>
      </c>
      <c r="G40" s="1">
        <v>18.888000000000002</v>
      </c>
      <c r="H40" s="1789">
        <v>5.8976020738820472E-3</v>
      </c>
      <c r="I40" s="775">
        <v>0.21821127673363575</v>
      </c>
      <c r="J40" s="775">
        <v>0.22410887880751779</v>
      </c>
      <c r="K40" s="51">
        <v>56</v>
      </c>
      <c r="L40" s="1">
        <v>8.7999999999999995E-2</v>
      </c>
      <c r="M40" s="1">
        <v>17.108000000000001</v>
      </c>
      <c r="N40" s="1">
        <v>0.70399999999999996</v>
      </c>
      <c r="O40" s="1">
        <v>0.70399999999999996</v>
      </c>
      <c r="P40" s="1">
        <v>17.812000000000001</v>
      </c>
      <c r="Q40" s="775">
        <v>5.1703877790834308E-3</v>
      </c>
      <c r="R40" s="775">
        <v>4.1363102232667447E-2</v>
      </c>
      <c r="S40" s="775">
        <v>4.6533490011750875E-2</v>
      </c>
      <c r="T40" s="51">
        <v>56</v>
      </c>
      <c r="U40" s="1">
        <v>8.9499999999999996E-2</v>
      </c>
      <c r="V40" s="1">
        <v>16.314500000000002</v>
      </c>
      <c r="W40" s="1">
        <v>2.0354999999999999</v>
      </c>
      <c r="X40" s="1">
        <v>2.0354999999999999</v>
      </c>
      <c r="Y40" s="1">
        <v>18.350000000000001</v>
      </c>
      <c r="Z40" s="775">
        <v>5.5161787365177193E-3</v>
      </c>
      <c r="AA40" s="775">
        <v>0.12545454545454543</v>
      </c>
      <c r="AB40" s="775">
        <v>0.13097072419106315</v>
      </c>
    </row>
    <row r="41" spans="2:28">
      <c r="B41" s="51">
        <v>57</v>
      </c>
      <c r="C41" s="1">
        <v>5.5E-2</v>
      </c>
      <c r="D41" s="1">
        <v>16.012</v>
      </c>
      <c r="E41" s="1">
        <v>3.4409999999999998</v>
      </c>
      <c r="F41" s="1">
        <v>3.4409999999999998</v>
      </c>
      <c r="G41" s="1">
        <v>19.452999999999999</v>
      </c>
      <c r="H41" s="1789">
        <v>3.4467631760355956E-3</v>
      </c>
      <c r="I41" s="775">
        <v>0.21564203797706333</v>
      </c>
      <c r="J41" s="775">
        <v>0.21908880115309892</v>
      </c>
      <c r="K41" s="51">
        <v>57</v>
      </c>
      <c r="L41" s="1">
        <v>5.1999999999999998E-2</v>
      </c>
      <c r="M41" s="1">
        <v>17.614000000000001</v>
      </c>
      <c r="N41" s="1">
        <v>0.71099999999999997</v>
      </c>
      <c r="O41" s="1">
        <v>0.71099999999999997</v>
      </c>
      <c r="P41" s="1">
        <v>18.324999999999999</v>
      </c>
      <c r="Q41" s="775">
        <v>2.9609383897050445E-3</v>
      </c>
      <c r="R41" s="775">
        <v>4.0485138366928589E-2</v>
      </c>
      <c r="S41" s="775">
        <v>4.3446076756633631E-2</v>
      </c>
      <c r="T41" s="51">
        <v>57</v>
      </c>
      <c r="U41" s="1">
        <v>5.3499999999999999E-2</v>
      </c>
      <c r="V41" s="1">
        <v>16.813000000000002</v>
      </c>
      <c r="W41" s="1">
        <v>2.0760000000000001</v>
      </c>
      <c r="X41" s="1">
        <v>2.0760000000000001</v>
      </c>
      <c r="Y41" s="1">
        <v>18.889000000000003</v>
      </c>
      <c r="Z41" s="775">
        <v>3.192219338285748E-3</v>
      </c>
      <c r="AA41" s="775">
        <v>0.1238700438557236</v>
      </c>
      <c r="AB41" s="775">
        <v>0.12706226319400934</v>
      </c>
    </row>
    <row r="42" spans="2:28">
      <c r="B42" s="51">
        <v>58</v>
      </c>
      <c r="C42" s="1">
        <v>2.5999999999999999E-2</v>
      </c>
      <c r="D42" s="1">
        <v>16.524999999999999</v>
      </c>
      <c r="E42" s="1">
        <v>3.5169999999999999</v>
      </c>
      <c r="F42" s="1">
        <v>3.5169999999999999</v>
      </c>
      <c r="G42" s="1">
        <v>20.041999999999998</v>
      </c>
      <c r="H42" s="1789">
        <v>1.57585308200497E-3</v>
      </c>
      <c r="I42" s="775">
        <v>0.21316443420813383</v>
      </c>
      <c r="J42" s="775">
        <v>0.2147402872901388</v>
      </c>
      <c r="K42" s="51">
        <v>58</v>
      </c>
      <c r="L42" s="1">
        <v>2.4E-2</v>
      </c>
      <c r="M42" s="1">
        <v>18.143999999999998</v>
      </c>
      <c r="N42" s="1">
        <v>0.71799999999999997</v>
      </c>
      <c r="O42" s="1">
        <v>0.71799999999999997</v>
      </c>
      <c r="P42" s="1">
        <v>18.861999999999998</v>
      </c>
      <c r="Q42" s="775">
        <v>1.3245033112582784E-3</v>
      </c>
      <c r="R42" s="775">
        <v>3.9624724061810161E-2</v>
      </c>
      <c r="S42" s="775">
        <v>4.0949227373068442E-2</v>
      </c>
      <c r="T42" s="51">
        <v>58</v>
      </c>
      <c r="U42" s="1">
        <v>2.5000000000000001E-2</v>
      </c>
      <c r="V42" s="1">
        <v>17.334499999999998</v>
      </c>
      <c r="W42" s="1">
        <v>2.1174999999999997</v>
      </c>
      <c r="X42" s="1">
        <v>2.1174999999999997</v>
      </c>
      <c r="Y42" s="1">
        <v>19.451999999999998</v>
      </c>
      <c r="Z42" s="775">
        <v>1.4442935960021954E-3</v>
      </c>
      <c r="AA42" s="775">
        <v>0.12233166758138593</v>
      </c>
      <c r="AB42" s="775">
        <v>0.12377596117738812</v>
      </c>
    </row>
    <row r="43" spans="2:28">
      <c r="B43" s="51">
        <v>59</v>
      </c>
      <c r="C43" s="1">
        <v>6.0000000000000001E-3</v>
      </c>
      <c r="D43" s="1">
        <v>17.064</v>
      </c>
      <c r="E43" s="1">
        <v>3.5979999999999999</v>
      </c>
      <c r="F43" s="1">
        <v>3.5979999999999999</v>
      </c>
      <c r="G43" s="1">
        <v>20.661999999999999</v>
      </c>
      <c r="H43" s="1789">
        <v>3.5174111853675694E-4</v>
      </c>
      <c r="I43" s="775">
        <v>0.21092742408254192</v>
      </c>
      <c r="J43" s="775">
        <v>0.21127916520107867</v>
      </c>
      <c r="K43" s="51">
        <v>59</v>
      </c>
      <c r="L43" s="1">
        <v>6.0000000000000001E-3</v>
      </c>
      <c r="M43" s="1">
        <v>18.702000000000002</v>
      </c>
      <c r="N43" s="1">
        <v>0.72599999999999998</v>
      </c>
      <c r="O43" s="1">
        <v>0.72599999999999998</v>
      </c>
      <c r="P43" s="1">
        <v>19.428000000000001</v>
      </c>
      <c r="Q43" s="775">
        <v>3.2092426187419767E-4</v>
      </c>
      <c r="R43" s="775">
        <v>3.8831835686777914E-2</v>
      </c>
      <c r="S43" s="775">
        <v>3.9152759948652111E-2</v>
      </c>
      <c r="T43" s="51">
        <v>59</v>
      </c>
      <c r="U43" s="1">
        <v>6.0000000000000001E-3</v>
      </c>
      <c r="V43" s="1">
        <v>17.883000000000003</v>
      </c>
      <c r="W43" s="1">
        <v>2.1619999999999999</v>
      </c>
      <c r="X43" s="1">
        <v>2.1619999999999999</v>
      </c>
      <c r="Y43" s="1">
        <v>20.045000000000002</v>
      </c>
      <c r="Z43" s="775">
        <v>3.3562678301728475E-4</v>
      </c>
      <c r="AA43" s="775">
        <v>0.1209375174805616</v>
      </c>
      <c r="AB43" s="775">
        <v>0.12127314426357888</v>
      </c>
    </row>
    <row r="44" spans="2:28">
      <c r="B44" s="51">
        <v>60</v>
      </c>
      <c r="C44" s="1">
        <v>0</v>
      </c>
      <c r="D44" s="1">
        <v>17.631</v>
      </c>
      <c r="E44" s="1">
        <v>3.6840000000000002</v>
      </c>
      <c r="F44" s="1">
        <v>3.6840000000000002</v>
      </c>
      <c r="G44" s="1">
        <v>21.315000000000001</v>
      </c>
      <c r="H44" s="1789">
        <v>0</v>
      </c>
      <c r="I44" s="775">
        <v>0.20895014463161476</v>
      </c>
      <c r="J44" s="775">
        <v>0.20895014463161476</v>
      </c>
      <c r="K44" s="51">
        <v>60</v>
      </c>
      <c r="L44" s="1">
        <v>0</v>
      </c>
      <c r="M44" s="1">
        <v>19.291</v>
      </c>
      <c r="N44" s="1">
        <v>0.73399999999999999</v>
      </c>
      <c r="O44" s="1">
        <v>0.73399999999999999</v>
      </c>
      <c r="P44" s="1">
        <v>20.024999999999999</v>
      </c>
      <c r="Q44" s="775">
        <v>0</v>
      </c>
      <c r="R44" s="775">
        <v>3.8048831061116582E-2</v>
      </c>
      <c r="S44" s="775">
        <v>3.8048831061116582E-2</v>
      </c>
      <c r="T44" s="51">
        <v>60</v>
      </c>
      <c r="U44" s="1">
        <v>0</v>
      </c>
      <c r="V44" s="1">
        <v>18.460999999999999</v>
      </c>
      <c r="W44" s="1">
        <v>2.2090000000000001</v>
      </c>
      <c r="X44" s="1">
        <v>2.2090000000000001</v>
      </c>
      <c r="Y44" s="1">
        <v>20.669999999999998</v>
      </c>
      <c r="Z44" s="775">
        <v>0</v>
      </c>
      <c r="AA44" s="775">
        <v>0.11965765668165323</v>
      </c>
      <c r="AB44" s="775">
        <v>0.11965765668165323</v>
      </c>
    </row>
    <row r="45" spans="2:28">
      <c r="B45" s="51">
        <v>61</v>
      </c>
      <c r="C45" s="1">
        <v>0</v>
      </c>
      <c r="D45" s="1">
        <v>17.268999999999998</v>
      </c>
      <c r="E45" s="1">
        <v>3.7109999999999999</v>
      </c>
      <c r="F45" s="1">
        <v>3.7109999999999999</v>
      </c>
      <c r="G45" s="1">
        <v>20.979999999999997</v>
      </c>
      <c r="H45" s="1789">
        <v>0</v>
      </c>
      <c r="I45" s="775">
        <v>0.2148937402281545</v>
      </c>
      <c r="J45" s="775">
        <v>0.2148937402281545</v>
      </c>
      <c r="K45" s="51">
        <v>61</v>
      </c>
      <c r="L45" s="1">
        <v>0</v>
      </c>
      <c r="M45" s="1">
        <v>19.158000000000001</v>
      </c>
      <c r="N45" s="1">
        <v>0.71899999999999997</v>
      </c>
      <c r="O45" s="1">
        <v>0.71899999999999997</v>
      </c>
      <c r="P45" s="1">
        <v>19.877000000000002</v>
      </c>
      <c r="Q45" s="775">
        <v>0</v>
      </c>
      <c r="R45" s="775">
        <v>3.7530013571354E-2</v>
      </c>
      <c r="S45" s="775">
        <v>3.7530013571354E-2</v>
      </c>
      <c r="T45" s="51">
        <v>61</v>
      </c>
      <c r="U45" s="1">
        <v>0</v>
      </c>
      <c r="V45" s="1">
        <v>18.2135</v>
      </c>
      <c r="W45" s="1">
        <v>2.2149999999999999</v>
      </c>
      <c r="X45" s="1">
        <v>2.2149999999999999</v>
      </c>
      <c r="Y45" s="1">
        <v>20.4285</v>
      </c>
      <c r="Z45" s="775">
        <v>0</v>
      </c>
      <c r="AA45" s="775">
        <v>0.12161308919208279</v>
      </c>
      <c r="AB45" s="775">
        <v>0.12161308919208279</v>
      </c>
    </row>
    <row r="46" spans="2:28">
      <c r="B46" s="51">
        <v>62</v>
      </c>
      <c r="C46" s="1">
        <v>0</v>
      </c>
      <c r="D46" s="1">
        <v>16.902999999999999</v>
      </c>
      <c r="E46" s="1">
        <v>3.734</v>
      </c>
      <c r="F46" s="1">
        <v>3.734</v>
      </c>
      <c r="G46" s="1">
        <v>20.637</v>
      </c>
      <c r="H46" s="1789">
        <v>0</v>
      </c>
      <c r="I46" s="775">
        <v>0.22090753120747797</v>
      </c>
      <c r="J46" s="775">
        <v>0.22090753120747797</v>
      </c>
      <c r="K46" s="51">
        <v>62</v>
      </c>
      <c r="L46" s="1">
        <v>0</v>
      </c>
      <c r="M46" s="1">
        <v>18.798999999999999</v>
      </c>
      <c r="N46" s="1">
        <v>0.70299999999999996</v>
      </c>
      <c r="O46" s="1">
        <v>0.70299999999999996</v>
      </c>
      <c r="P46" s="1">
        <v>19.501999999999999</v>
      </c>
      <c r="Q46" s="775">
        <v>0</v>
      </c>
      <c r="R46" s="775">
        <v>3.7395606149263259E-2</v>
      </c>
      <c r="S46" s="775">
        <v>3.7395606149263259E-2</v>
      </c>
      <c r="T46" s="51">
        <v>62</v>
      </c>
      <c r="U46" s="1">
        <v>0</v>
      </c>
      <c r="V46" s="1">
        <v>17.850999999999999</v>
      </c>
      <c r="W46" s="1">
        <v>2.2185000000000001</v>
      </c>
      <c r="X46" s="1">
        <v>2.2185000000000001</v>
      </c>
      <c r="Y46" s="1">
        <v>20.069499999999998</v>
      </c>
      <c r="Z46" s="775">
        <v>0</v>
      </c>
      <c r="AA46" s="775">
        <v>0.12427875189065039</v>
      </c>
      <c r="AB46" s="775">
        <v>0.12427875189065039</v>
      </c>
    </row>
    <row r="47" spans="2:28">
      <c r="B47" s="51">
        <v>63</v>
      </c>
      <c r="C47" s="1">
        <v>0</v>
      </c>
      <c r="D47" s="1">
        <v>16.530999999999999</v>
      </c>
      <c r="E47" s="1">
        <v>3.7530000000000001</v>
      </c>
      <c r="F47" s="1">
        <v>3.7530000000000001</v>
      </c>
      <c r="G47" s="1">
        <v>20.283999999999999</v>
      </c>
      <c r="H47" s="1789">
        <v>0</v>
      </c>
      <c r="I47" s="775">
        <v>0.22702800798499789</v>
      </c>
      <c r="J47" s="775">
        <v>0.22702800798499789</v>
      </c>
      <c r="K47" s="51">
        <v>63</v>
      </c>
      <c r="L47" s="1">
        <v>0</v>
      </c>
      <c r="M47" s="1">
        <v>18.431000000000001</v>
      </c>
      <c r="N47" s="1">
        <v>0.68600000000000005</v>
      </c>
      <c r="O47" s="1">
        <v>0.68600000000000005</v>
      </c>
      <c r="P47" s="1">
        <v>19.117000000000001</v>
      </c>
      <c r="Q47" s="775">
        <v>0</v>
      </c>
      <c r="R47" s="775">
        <v>3.7219901253323209E-2</v>
      </c>
      <c r="S47" s="775">
        <v>3.7219901253323209E-2</v>
      </c>
      <c r="T47" s="51">
        <v>63</v>
      </c>
      <c r="U47" s="1">
        <v>0</v>
      </c>
      <c r="V47" s="1">
        <v>17.481000000000002</v>
      </c>
      <c r="W47" s="1">
        <v>2.2195</v>
      </c>
      <c r="X47" s="1">
        <v>2.2195</v>
      </c>
      <c r="Y47" s="1">
        <v>19.700500000000002</v>
      </c>
      <c r="Z47" s="775">
        <v>0</v>
      </c>
      <c r="AA47" s="775">
        <v>0.12696642068531547</v>
      </c>
      <c r="AB47" s="775">
        <v>0.12696642068531547</v>
      </c>
    </row>
    <row r="48" spans="2:28">
      <c r="B48" s="51">
        <v>64</v>
      </c>
      <c r="C48" s="1">
        <v>0</v>
      </c>
      <c r="D48" s="1">
        <v>16.154</v>
      </c>
      <c r="E48" s="1">
        <v>3.7669999999999999</v>
      </c>
      <c r="F48" s="1">
        <v>3.7669999999999999</v>
      </c>
      <c r="G48" s="1">
        <v>19.920999999999999</v>
      </c>
      <c r="H48" s="1789">
        <v>0</v>
      </c>
      <c r="I48" s="775">
        <v>0.23319301720935989</v>
      </c>
      <c r="J48" s="775">
        <v>0.23319301720935989</v>
      </c>
      <c r="K48" s="51">
        <v>64</v>
      </c>
      <c r="L48" s="1">
        <v>0</v>
      </c>
      <c r="M48" s="1">
        <v>18.055</v>
      </c>
      <c r="N48" s="1">
        <v>0.66700000000000004</v>
      </c>
      <c r="O48" s="1">
        <v>0.66700000000000004</v>
      </c>
      <c r="P48" s="1">
        <v>18.722000000000001</v>
      </c>
      <c r="Q48" s="775">
        <v>0</v>
      </c>
      <c r="R48" s="775">
        <v>3.6942675159235674E-2</v>
      </c>
      <c r="S48" s="775">
        <v>3.6942675159235674E-2</v>
      </c>
      <c r="T48" s="51">
        <v>64</v>
      </c>
      <c r="U48" s="1">
        <v>0</v>
      </c>
      <c r="V48" s="1">
        <v>17.104500000000002</v>
      </c>
      <c r="W48" s="1">
        <v>2.2170000000000001</v>
      </c>
      <c r="X48" s="1">
        <v>2.2170000000000001</v>
      </c>
      <c r="Y48" s="1">
        <v>19.3215</v>
      </c>
      <c r="Z48" s="775">
        <v>0</v>
      </c>
      <c r="AA48" s="775">
        <v>0.12961501359291414</v>
      </c>
      <c r="AB48" s="775">
        <v>0.12961501359291414</v>
      </c>
    </row>
    <row r="49" spans="2:28">
      <c r="B49" s="51">
        <v>65</v>
      </c>
      <c r="C49" s="1">
        <v>0</v>
      </c>
      <c r="D49" s="1">
        <v>15.77</v>
      </c>
      <c r="E49" s="1">
        <v>3.7749999999999999</v>
      </c>
      <c r="F49" s="1">
        <v>3.7749999999999999</v>
      </c>
      <c r="G49" s="1">
        <v>19.544999999999998</v>
      </c>
      <c r="H49" s="1789">
        <v>0</v>
      </c>
      <c r="I49" s="775">
        <v>0.23937856689917564</v>
      </c>
      <c r="J49" s="775">
        <v>0.23937856689917564</v>
      </c>
      <c r="K49" s="51">
        <v>65</v>
      </c>
      <c r="L49" s="1">
        <v>0</v>
      </c>
      <c r="M49" s="1">
        <v>17.669</v>
      </c>
      <c r="N49" s="1">
        <v>0.64900000000000002</v>
      </c>
      <c r="O49" s="1">
        <v>0.64900000000000002</v>
      </c>
      <c r="P49" s="1">
        <v>18.318000000000001</v>
      </c>
      <c r="Q49" s="775">
        <v>0</v>
      </c>
      <c r="R49" s="775">
        <v>3.6730997792744358E-2</v>
      </c>
      <c r="S49" s="1787">
        <v>3.6730997792744358E-2</v>
      </c>
      <c r="T49" s="51">
        <v>65</v>
      </c>
      <c r="U49" s="1">
        <v>0</v>
      </c>
      <c r="V49" s="1">
        <v>16.7195</v>
      </c>
      <c r="W49" s="1">
        <v>2.2119999999999997</v>
      </c>
      <c r="X49" s="1">
        <v>2.2119999999999997</v>
      </c>
      <c r="Y49" s="1">
        <v>18.9315</v>
      </c>
      <c r="Z49" s="775">
        <v>0</v>
      </c>
      <c r="AA49" s="775">
        <v>0.13230060707557043</v>
      </c>
      <c r="AB49" s="1787">
        <v>0.13230060707557043</v>
      </c>
    </row>
    <row r="50" spans="2:28">
      <c r="B50" s="51">
        <v>66</v>
      </c>
      <c r="C50" s="1"/>
      <c r="D50" s="1">
        <v>15.379</v>
      </c>
      <c r="E50" s="1">
        <v>3.778</v>
      </c>
      <c r="F50" s="1">
        <v>3.778</v>
      </c>
      <c r="G50" s="1">
        <v>19.157</v>
      </c>
      <c r="H50" s="1789">
        <v>0</v>
      </c>
      <c r="I50" s="775">
        <v>0.24565966577800899</v>
      </c>
      <c r="J50" s="775">
        <v>0.24565966577800899</v>
      </c>
      <c r="K50" s="51">
        <v>66</v>
      </c>
      <c r="L50" s="1">
        <v>0</v>
      </c>
      <c r="M50" s="1">
        <v>17.274000000000001</v>
      </c>
      <c r="N50" s="1">
        <v>0.63</v>
      </c>
      <c r="O50" s="1">
        <v>0.63</v>
      </c>
      <c r="P50" s="1">
        <v>17.904</v>
      </c>
      <c r="Q50" s="775">
        <v>0</v>
      </c>
      <c r="R50" s="775">
        <v>3.647099687391455E-2</v>
      </c>
      <c r="S50" s="1787">
        <v>3.647099687391455E-2</v>
      </c>
      <c r="T50" s="51">
        <v>66</v>
      </c>
      <c r="U50" s="1">
        <v>0</v>
      </c>
      <c r="V50" s="1">
        <v>16.326499999999999</v>
      </c>
      <c r="W50" s="1">
        <v>2.2040000000000002</v>
      </c>
      <c r="X50" s="1">
        <v>2.2040000000000002</v>
      </c>
      <c r="Y50" s="1">
        <v>18.5305</v>
      </c>
      <c r="Z50" s="775">
        <v>0</v>
      </c>
      <c r="AA50" s="775">
        <v>0.13499525311609961</v>
      </c>
      <c r="AB50" s="1787">
        <v>0.13499525311609961</v>
      </c>
    </row>
    <row r="51" spans="2:28">
      <c r="B51" s="51">
        <v>67</v>
      </c>
      <c r="C51" s="1"/>
      <c r="D51" s="1">
        <v>14.98</v>
      </c>
      <c r="E51" s="1">
        <v>3.778</v>
      </c>
      <c r="F51" s="1">
        <v>3.778</v>
      </c>
      <c r="G51" s="1">
        <v>18.757999999999999</v>
      </c>
      <c r="H51" s="1789">
        <v>0</v>
      </c>
      <c r="I51" s="775">
        <v>0.25220293724966619</v>
      </c>
      <c r="J51" s="775">
        <v>0.25220293724966619</v>
      </c>
      <c r="K51" s="51">
        <v>67</v>
      </c>
      <c r="L51" s="1">
        <v>0</v>
      </c>
      <c r="M51" s="1">
        <v>16.867000000000001</v>
      </c>
      <c r="N51" s="1">
        <v>0.61</v>
      </c>
      <c r="O51" s="1">
        <v>0.61</v>
      </c>
      <c r="P51" s="1">
        <v>17.477</v>
      </c>
      <c r="Q51" s="775">
        <v>0</v>
      </c>
      <c r="R51" s="775">
        <v>3.6165293176024189E-2</v>
      </c>
      <c r="S51" s="1787">
        <v>3.6165293176024189E-2</v>
      </c>
      <c r="T51" s="51">
        <v>67</v>
      </c>
      <c r="U51" s="1">
        <v>0</v>
      </c>
      <c r="V51" s="1">
        <v>15.923500000000001</v>
      </c>
      <c r="W51" s="1">
        <v>2.194</v>
      </c>
      <c r="X51" s="1">
        <v>2.194</v>
      </c>
      <c r="Y51" s="1">
        <v>18.1175</v>
      </c>
      <c r="Z51" s="775">
        <v>0</v>
      </c>
      <c r="AA51" s="775">
        <v>0.1377837786918705</v>
      </c>
      <c r="AB51" s="1787">
        <v>0.1377837786918705</v>
      </c>
    </row>
    <row r="52" spans="2:28">
      <c r="B52" s="51">
        <v>68</v>
      </c>
      <c r="C52" s="1"/>
      <c r="D52" s="1">
        <v>14.573</v>
      </c>
      <c r="E52" s="1">
        <v>3.7770000000000001</v>
      </c>
      <c r="F52" s="1">
        <v>3.7770000000000001</v>
      </c>
      <c r="G52" s="1">
        <v>18.350000000000001</v>
      </c>
      <c r="H52" s="1789">
        <v>0</v>
      </c>
      <c r="I52" s="775">
        <v>0.25917793179166954</v>
      </c>
      <c r="J52" s="775">
        <v>0.25917793179166954</v>
      </c>
      <c r="K52" s="51">
        <v>68</v>
      </c>
      <c r="L52" s="1">
        <v>0</v>
      </c>
      <c r="M52" s="1">
        <v>16.448</v>
      </c>
      <c r="N52" s="1">
        <v>0.59099999999999997</v>
      </c>
      <c r="O52" s="1">
        <v>0.59099999999999997</v>
      </c>
      <c r="P52" s="1">
        <v>17.039000000000001</v>
      </c>
      <c r="Q52" s="775">
        <v>0</v>
      </c>
      <c r="R52" s="775">
        <v>3.5931420233463032E-2</v>
      </c>
      <c r="S52" s="1787">
        <v>3.5931420233463032E-2</v>
      </c>
      <c r="T52" s="51">
        <v>68</v>
      </c>
      <c r="U52" s="1">
        <v>0</v>
      </c>
      <c r="V52" s="1">
        <v>15.5105</v>
      </c>
      <c r="W52" s="1">
        <v>2.1840000000000002</v>
      </c>
      <c r="X52" s="1">
        <v>2.1840000000000002</v>
      </c>
      <c r="Y52" s="1">
        <v>17.694500000000001</v>
      </c>
      <c r="Z52" s="775">
        <v>0</v>
      </c>
      <c r="AA52" s="775">
        <v>0.14080783985042392</v>
      </c>
      <c r="AB52" s="1787">
        <v>0.14080783985042392</v>
      </c>
    </row>
    <row r="53" spans="2:28">
      <c r="B53" s="51">
        <v>69</v>
      </c>
      <c r="C53" s="1"/>
      <c r="D53" s="1">
        <v>14.156000000000001</v>
      </c>
      <c r="E53" s="1">
        <v>3.7730000000000001</v>
      </c>
      <c r="F53" s="1">
        <v>3.7730000000000001</v>
      </c>
      <c r="G53" s="1">
        <v>17.929000000000002</v>
      </c>
      <c r="H53" s="1789">
        <v>0</v>
      </c>
      <c r="I53" s="775">
        <v>0.26653009324667987</v>
      </c>
      <c r="J53" s="775">
        <v>0.26653009324667987</v>
      </c>
      <c r="K53" s="51">
        <v>69</v>
      </c>
      <c r="L53" s="1">
        <v>0</v>
      </c>
      <c r="M53" s="1">
        <v>16.016999999999999</v>
      </c>
      <c r="N53" s="1">
        <v>0.57199999999999995</v>
      </c>
      <c r="O53" s="1">
        <v>0.57199999999999995</v>
      </c>
      <c r="P53" s="1">
        <v>16.588999999999999</v>
      </c>
      <c r="Q53" s="775">
        <v>0</v>
      </c>
      <c r="R53" s="775">
        <v>3.5712055940563148E-2</v>
      </c>
      <c r="S53" s="1787">
        <v>3.5712055940563148E-2</v>
      </c>
      <c r="T53" s="51">
        <v>69</v>
      </c>
      <c r="U53" s="1">
        <v>0</v>
      </c>
      <c r="V53" s="1">
        <v>15.086500000000001</v>
      </c>
      <c r="W53" s="1">
        <v>2.1724999999999999</v>
      </c>
      <c r="X53" s="1">
        <v>2.1724999999999999</v>
      </c>
      <c r="Y53" s="1">
        <v>17.259</v>
      </c>
      <c r="Z53" s="775">
        <v>0</v>
      </c>
      <c r="AA53" s="775">
        <v>0.14400291651476485</v>
      </c>
      <c r="AB53" s="1787">
        <v>0.14400291651476485</v>
      </c>
    </row>
    <row r="54" spans="2:28">
      <c r="B54" s="51">
        <v>70</v>
      </c>
      <c r="C54" s="1"/>
      <c r="D54" s="1">
        <v>13.728999999999999</v>
      </c>
      <c r="E54" s="1">
        <v>3.7669999999999999</v>
      </c>
      <c r="F54" s="1">
        <v>3.7669999999999999</v>
      </c>
      <c r="G54" s="1">
        <v>17.495999999999999</v>
      </c>
      <c r="H54" s="1789">
        <v>0</v>
      </c>
      <c r="I54" s="775">
        <v>0.27438269356835898</v>
      </c>
      <c r="J54" s="775">
        <v>0.27438269356835898</v>
      </c>
      <c r="K54" s="51">
        <v>70</v>
      </c>
      <c r="L54" s="1">
        <v>0</v>
      </c>
      <c r="M54" s="1">
        <v>15.574</v>
      </c>
      <c r="N54" s="1">
        <v>0.55100000000000005</v>
      </c>
      <c r="O54" s="1">
        <v>0.55100000000000005</v>
      </c>
      <c r="P54" s="1">
        <v>16.125</v>
      </c>
      <c r="Q54" s="775">
        <v>0</v>
      </c>
      <c r="R54" s="775">
        <v>3.5379478618209843E-2</v>
      </c>
      <c r="S54" s="1787">
        <v>3.5379478618209843E-2</v>
      </c>
      <c r="T54" s="51">
        <v>70</v>
      </c>
      <c r="U54" s="1">
        <v>0</v>
      </c>
      <c r="V54" s="1">
        <v>14.651499999999999</v>
      </c>
      <c r="W54" s="1">
        <v>2.1589999999999998</v>
      </c>
      <c r="X54" s="1">
        <v>2.1589999999999998</v>
      </c>
      <c r="Y54" s="1">
        <v>16.810499999999998</v>
      </c>
      <c r="Z54" s="775">
        <v>0</v>
      </c>
      <c r="AA54" s="775">
        <v>0.14735692591202265</v>
      </c>
      <c r="AB54" s="1787">
        <v>0.14735692591202265</v>
      </c>
    </row>
    <row r="55" spans="2:28">
      <c r="B55" s="51">
        <v>71</v>
      </c>
      <c r="C55" s="1"/>
      <c r="D55" s="1">
        <v>13.292999999999999</v>
      </c>
      <c r="E55" s="1">
        <v>3.758</v>
      </c>
      <c r="F55" s="1">
        <v>3.758</v>
      </c>
      <c r="G55" s="1">
        <v>17.050999999999998</v>
      </c>
      <c r="H55" s="1789">
        <v>0</v>
      </c>
      <c r="I55" s="775">
        <v>0.28270518317911686</v>
      </c>
      <c r="J55" s="775">
        <v>0.28270518317911686</v>
      </c>
      <c r="K55" s="51">
        <v>71</v>
      </c>
      <c r="L55" s="1">
        <v>0</v>
      </c>
      <c r="M55" s="1">
        <v>15.118</v>
      </c>
      <c r="N55" s="1">
        <v>0.53100000000000003</v>
      </c>
      <c r="O55" s="1">
        <v>0.53100000000000003</v>
      </c>
      <c r="P55" s="1">
        <v>15.649000000000001</v>
      </c>
      <c r="Q55" s="775">
        <v>0</v>
      </c>
      <c r="R55" s="775">
        <v>3.5123693610265912E-2</v>
      </c>
      <c r="S55" s="1787">
        <v>3.5123693610265912E-2</v>
      </c>
      <c r="T55" s="51">
        <v>71</v>
      </c>
      <c r="U55" s="1">
        <v>0</v>
      </c>
      <c r="V55" s="1">
        <v>14.205500000000001</v>
      </c>
      <c r="W55" s="1">
        <v>2.1444999999999999</v>
      </c>
      <c r="X55" s="1">
        <v>2.1444999999999999</v>
      </c>
      <c r="Y55" s="1">
        <v>16.350000000000001</v>
      </c>
      <c r="Z55" s="775">
        <v>0</v>
      </c>
      <c r="AA55" s="775">
        <v>0.15096265530956318</v>
      </c>
      <c r="AB55" s="1787">
        <v>0.15096265530956318</v>
      </c>
    </row>
    <row r="56" spans="2:28">
      <c r="B56" s="51">
        <v>72</v>
      </c>
      <c r="C56" s="1"/>
      <c r="D56" s="1">
        <v>12.846</v>
      </c>
      <c r="E56" s="1">
        <v>3.7469999999999999</v>
      </c>
      <c r="F56" s="1">
        <v>3.7469999999999999</v>
      </c>
      <c r="G56" s="1">
        <v>16.593</v>
      </c>
      <c r="H56" s="1789">
        <v>0</v>
      </c>
      <c r="I56" s="775">
        <v>0.29168612797758053</v>
      </c>
      <c r="J56" s="775">
        <v>0.29168612797758053</v>
      </c>
      <c r="K56" s="51">
        <v>72</v>
      </c>
      <c r="L56" s="1">
        <v>0</v>
      </c>
      <c r="M56" s="1">
        <v>14.648999999999999</v>
      </c>
      <c r="N56" s="1">
        <v>0.51</v>
      </c>
      <c r="O56" s="1">
        <v>0.51</v>
      </c>
      <c r="P56" s="1">
        <v>15.158999999999999</v>
      </c>
      <c r="Q56" s="775">
        <v>0</v>
      </c>
      <c r="R56" s="775">
        <v>3.481466311693631E-2</v>
      </c>
      <c r="S56" s="1787">
        <v>3.481466311693631E-2</v>
      </c>
      <c r="T56" s="51">
        <v>72</v>
      </c>
      <c r="U56" s="1">
        <v>0</v>
      </c>
      <c r="V56" s="1">
        <v>13.747499999999999</v>
      </c>
      <c r="W56" s="1">
        <v>2.1284999999999998</v>
      </c>
      <c r="X56" s="1">
        <v>2.1284999999999998</v>
      </c>
      <c r="Y56" s="1">
        <v>15.875999999999998</v>
      </c>
      <c r="Z56" s="775">
        <v>0</v>
      </c>
      <c r="AA56" s="775">
        <v>0.15482815057283142</v>
      </c>
      <c r="AB56" s="1787">
        <v>0.15482815057283142</v>
      </c>
    </row>
    <row r="57" spans="2:28">
      <c r="B57" s="51">
        <v>73</v>
      </c>
      <c r="C57" s="1"/>
      <c r="D57" s="1">
        <v>12.388999999999999</v>
      </c>
      <c r="E57" s="1">
        <v>3.7389999999999999</v>
      </c>
      <c r="F57" s="1">
        <v>3.7389999999999999</v>
      </c>
      <c r="G57" s="1">
        <v>16.128</v>
      </c>
      <c r="H57" s="1789">
        <v>0</v>
      </c>
      <c r="I57" s="775">
        <v>0.30179998385664702</v>
      </c>
      <c r="J57" s="775">
        <v>0.30179998385664702</v>
      </c>
      <c r="K57" s="51">
        <v>73</v>
      </c>
      <c r="L57" s="1">
        <v>0</v>
      </c>
      <c r="M57" s="1">
        <v>14.167999999999999</v>
      </c>
      <c r="N57" s="1">
        <v>0.48899999999999999</v>
      </c>
      <c r="O57" s="1">
        <v>0.48899999999999999</v>
      </c>
      <c r="P57" s="1">
        <v>14.657</v>
      </c>
      <c r="Q57" s="775">
        <v>0</v>
      </c>
      <c r="R57" s="775">
        <v>3.4514398644833431E-2</v>
      </c>
      <c r="S57" s="1787">
        <v>3.4514398644833431E-2</v>
      </c>
      <c r="T57" s="51">
        <v>73</v>
      </c>
      <c r="U57" s="1">
        <v>0</v>
      </c>
      <c r="V57" s="1">
        <v>13.278499999999999</v>
      </c>
      <c r="W57" s="1">
        <v>2.1139999999999999</v>
      </c>
      <c r="X57" s="1">
        <v>2.1139999999999999</v>
      </c>
      <c r="Y57" s="1">
        <v>15.392499999999998</v>
      </c>
      <c r="Z57" s="775">
        <v>0</v>
      </c>
      <c r="AA57" s="775">
        <v>0.15920472944986255</v>
      </c>
      <c r="AB57" s="1787">
        <v>0.15920472944986255</v>
      </c>
    </row>
    <row r="58" spans="2:28">
      <c r="B58" s="51">
        <v>74</v>
      </c>
      <c r="C58" s="1"/>
      <c r="D58" s="1">
        <v>11.923999999999999</v>
      </c>
      <c r="E58" s="1">
        <v>3.7290000000000001</v>
      </c>
      <c r="F58" s="1">
        <v>3.7290000000000001</v>
      </c>
      <c r="G58" s="1">
        <v>15.652999999999999</v>
      </c>
      <c r="H58" s="1789">
        <v>0</v>
      </c>
      <c r="I58" s="775">
        <v>0.3127306273062731</v>
      </c>
      <c r="J58" s="775">
        <v>0.3127306273062731</v>
      </c>
      <c r="K58" s="51">
        <v>74</v>
      </c>
      <c r="L58" s="1">
        <v>0</v>
      </c>
      <c r="M58" s="1">
        <v>13.676</v>
      </c>
      <c r="N58" s="1">
        <v>0.46899999999999997</v>
      </c>
      <c r="O58" s="1">
        <v>0.46899999999999997</v>
      </c>
      <c r="P58" s="1">
        <v>14.145</v>
      </c>
      <c r="Q58" s="775">
        <v>0</v>
      </c>
      <c r="R58" s="775">
        <v>3.4293653114945886E-2</v>
      </c>
      <c r="S58" s="1787">
        <v>3.4293653114945886E-2</v>
      </c>
      <c r="T58" s="51">
        <v>74</v>
      </c>
      <c r="U58" s="1">
        <v>0</v>
      </c>
      <c r="V58" s="1">
        <v>12.8</v>
      </c>
      <c r="W58" s="1">
        <v>2.0990000000000002</v>
      </c>
      <c r="X58" s="1">
        <v>2.0990000000000002</v>
      </c>
      <c r="Y58" s="1">
        <v>14.899000000000001</v>
      </c>
      <c r="Z58" s="775">
        <v>0</v>
      </c>
      <c r="AA58" s="775">
        <v>0.16398437500000002</v>
      </c>
      <c r="AB58" s="1787">
        <v>0.16398437500000002</v>
      </c>
    </row>
    <row r="59" spans="2:28">
      <c r="B59" s="51">
        <v>75</v>
      </c>
      <c r="C59" s="1"/>
      <c r="D59" s="1">
        <v>11.45</v>
      </c>
      <c r="E59" s="1">
        <v>3.7160000000000002</v>
      </c>
      <c r="F59" s="1">
        <v>3.7160000000000002</v>
      </c>
      <c r="G59" s="1">
        <v>15.166</v>
      </c>
      <c r="H59" s="1789">
        <v>0</v>
      </c>
      <c r="I59" s="775">
        <v>0.32454148471615724</v>
      </c>
      <c r="J59" s="775">
        <v>0.32454148471615724</v>
      </c>
      <c r="K59" s="51">
        <v>75</v>
      </c>
      <c r="L59" s="1">
        <v>0</v>
      </c>
      <c r="M59" s="1">
        <v>13.173999999999999</v>
      </c>
      <c r="N59" s="1">
        <v>0.44800000000000001</v>
      </c>
      <c r="O59" s="1">
        <v>0.44800000000000001</v>
      </c>
      <c r="P59" s="1">
        <v>13.622</v>
      </c>
      <c r="Q59" s="775">
        <v>0</v>
      </c>
      <c r="R59" s="775">
        <v>3.4006376195536668E-2</v>
      </c>
      <c r="S59" s="1787">
        <v>3.4006376195536668E-2</v>
      </c>
      <c r="T59" s="51">
        <v>75</v>
      </c>
      <c r="U59" s="1">
        <v>0</v>
      </c>
      <c r="V59" s="1">
        <v>12.311999999999999</v>
      </c>
      <c r="W59" s="1">
        <v>2.0820000000000003</v>
      </c>
      <c r="X59" s="1">
        <v>2.0820000000000003</v>
      </c>
      <c r="Y59" s="1">
        <v>14.394</v>
      </c>
      <c r="Z59" s="775">
        <v>0</v>
      </c>
      <c r="AA59" s="775">
        <v>0.16910331384015598</v>
      </c>
      <c r="AB59" s="1787">
        <v>0.16910331384015598</v>
      </c>
    </row>
    <row r="60" spans="2:28">
      <c r="B60" s="51">
        <v>76</v>
      </c>
      <c r="C60" s="1"/>
      <c r="D60" s="1">
        <v>10.97</v>
      </c>
      <c r="E60" s="1">
        <v>3.698</v>
      </c>
      <c r="F60" s="1">
        <v>3.698</v>
      </c>
      <c r="G60" s="1">
        <v>14.668000000000001</v>
      </c>
      <c r="H60" s="1789">
        <v>0</v>
      </c>
      <c r="I60" s="775">
        <v>0.3371011850501367</v>
      </c>
      <c r="J60" s="775">
        <v>0.3371011850501367</v>
      </c>
      <c r="K60" s="51">
        <v>76</v>
      </c>
      <c r="L60" s="1">
        <v>0</v>
      </c>
      <c r="M60" s="1">
        <v>12.663</v>
      </c>
      <c r="N60" s="1">
        <v>0.42699999999999999</v>
      </c>
      <c r="O60" s="1">
        <v>0.42699999999999999</v>
      </c>
      <c r="P60" s="1">
        <v>13.09</v>
      </c>
      <c r="Q60" s="775">
        <v>0</v>
      </c>
      <c r="R60" s="775">
        <v>3.3720287451630734E-2</v>
      </c>
      <c r="S60" s="1787">
        <v>3.3720287451630734E-2</v>
      </c>
      <c r="T60" s="51">
        <v>76</v>
      </c>
      <c r="U60" s="1">
        <v>0</v>
      </c>
      <c r="V60" s="1">
        <v>11.816500000000001</v>
      </c>
      <c r="W60" s="1">
        <v>2.0625</v>
      </c>
      <c r="X60" s="1">
        <v>2.0625</v>
      </c>
      <c r="Y60" s="1">
        <v>13.879000000000001</v>
      </c>
      <c r="Z60" s="775">
        <v>0</v>
      </c>
      <c r="AA60" s="775">
        <v>0.17454406973300043</v>
      </c>
      <c r="AB60" s="1787">
        <v>0.17454406973300043</v>
      </c>
    </row>
    <row r="61" spans="2:28">
      <c r="B61" s="51">
        <v>77</v>
      </c>
      <c r="C61" s="1"/>
      <c r="D61" s="1">
        <v>10.484999999999999</v>
      </c>
      <c r="E61" s="1">
        <v>3.6749999999999998</v>
      </c>
      <c r="F61" s="1">
        <v>3.6749999999999998</v>
      </c>
      <c r="G61" s="1">
        <v>14.16</v>
      </c>
      <c r="H61" s="1789">
        <v>0</v>
      </c>
      <c r="I61" s="775">
        <v>0.35050071530758226</v>
      </c>
      <c r="J61" s="775">
        <v>0.35050071530758226</v>
      </c>
      <c r="K61" s="51">
        <v>77</v>
      </c>
      <c r="L61" s="1">
        <v>0</v>
      </c>
      <c r="M61" s="1">
        <v>12.143000000000001</v>
      </c>
      <c r="N61" s="1">
        <v>0.40400000000000003</v>
      </c>
      <c r="O61" s="1">
        <v>0.40400000000000003</v>
      </c>
      <c r="P61" s="1">
        <v>12.547000000000001</v>
      </c>
      <c r="Q61" s="775">
        <v>0</v>
      </c>
      <c r="R61" s="775">
        <v>3.327019682121387E-2</v>
      </c>
      <c r="S61" s="1787">
        <v>3.327019682121387E-2</v>
      </c>
      <c r="T61" s="51">
        <v>77</v>
      </c>
      <c r="U61" s="1">
        <v>0</v>
      </c>
      <c r="V61" s="1">
        <v>11.314</v>
      </c>
      <c r="W61" s="1">
        <v>2.0394999999999999</v>
      </c>
      <c r="X61" s="1">
        <v>2.0394999999999999</v>
      </c>
      <c r="Y61" s="1">
        <v>13.3535</v>
      </c>
      <c r="Z61" s="775">
        <v>0</v>
      </c>
      <c r="AA61" s="775">
        <v>0.18026339048965881</v>
      </c>
      <c r="AB61" s="1787">
        <v>0.18026339048965881</v>
      </c>
    </row>
    <row r="62" spans="2:28">
      <c r="B62" s="51">
        <v>78</v>
      </c>
      <c r="C62" s="1"/>
      <c r="D62" s="1">
        <v>9.9969999999999999</v>
      </c>
      <c r="E62" s="1">
        <v>3.645</v>
      </c>
      <c r="F62" s="1">
        <v>3.645</v>
      </c>
      <c r="G62" s="1">
        <v>13.641999999999999</v>
      </c>
      <c r="H62" s="1789">
        <v>0</v>
      </c>
      <c r="I62" s="775">
        <v>0.36460938281484445</v>
      </c>
      <c r="J62" s="775">
        <v>0.36460938281484445</v>
      </c>
      <c r="K62" s="51">
        <v>78</v>
      </c>
      <c r="L62" s="1">
        <v>0</v>
      </c>
      <c r="M62" s="1">
        <v>11.618</v>
      </c>
      <c r="N62" s="1">
        <v>0.38100000000000001</v>
      </c>
      <c r="O62" s="1">
        <v>0.38100000000000001</v>
      </c>
      <c r="P62" s="1">
        <v>11.999000000000001</v>
      </c>
      <c r="Q62" s="775">
        <v>0</v>
      </c>
      <c r="R62" s="775">
        <v>3.279394043725254E-2</v>
      </c>
      <c r="S62" s="1787">
        <v>3.279394043725254E-2</v>
      </c>
      <c r="T62" s="51">
        <v>78</v>
      </c>
      <c r="U62" s="1">
        <v>0</v>
      </c>
      <c r="V62" s="1">
        <v>10.807500000000001</v>
      </c>
      <c r="W62" s="1">
        <v>2.0129999999999999</v>
      </c>
      <c r="X62" s="1">
        <v>2.0129999999999999</v>
      </c>
      <c r="Y62" s="1">
        <v>12.820500000000001</v>
      </c>
      <c r="Z62" s="775">
        <v>0</v>
      </c>
      <c r="AA62" s="775">
        <v>0.1862595419847328</v>
      </c>
      <c r="AB62" s="1787">
        <v>0.1862595419847328</v>
      </c>
    </row>
    <row r="63" spans="2:28">
      <c r="B63" s="51">
        <v>79</v>
      </c>
      <c r="C63" s="1"/>
      <c r="D63" s="1">
        <v>9.5079999999999991</v>
      </c>
      <c r="E63" s="1">
        <v>3.6070000000000002</v>
      </c>
      <c r="F63" s="1">
        <v>3.6070000000000002</v>
      </c>
      <c r="G63" s="1">
        <v>13.114999999999998</v>
      </c>
      <c r="H63" s="1789">
        <v>0</v>
      </c>
      <c r="I63" s="775">
        <v>0.37936474547749272</v>
      </c>
      <c r="J63" s="775">
        <v>0.37936474547749272</v>
      </c>
      <c r="K63" s="51">
        <v>79</v>
      </c>
      <c r="L63" s="1">
        <v>0</v>
      </c>
      <c r="M63" s="1">
        <v>11.087999999999999</v>
      </c>
      <c r="N63" s="1">
        <v>0.35699999999999998</v>
      </c>
      <c r="O63" s="1">
        <v>0.35699999999999998</v>
      </c>
      <c r="P63" s="1">
        <v>11.444999999999999</v>
      </c>
      <c r="Q63" s="775">
        <v>0</v>
      </c>
      <c r="R63" s="775">
        <v>3.2196969696969696E-2</v>
      </c>
      <c r="S63" s="1787">
        <v>3.2196969696969696E-2</v>
      </c>
      <c r="T63" s="51">
        <v>79</v>
      </c>
      <c r="U63" s="1">
        <v>0</v>
      </c>
      <c r="V63" s="1">
        <v>10.297999999999998</v>
      </c>
      <c r="W63" s="1">
        <v>1.9820000000000002</v>
      </c>
      <c r="X63" s="1">
        <v>1.9820000000000002</v>
      </c>
      <c r="Y63" s="1">
        <v>12.279999999999998</v>
      </c>
      <c r="Z63" s="775">
        <v>0</v>
      </c>
      <c r="AA63" s="775">
        <v>0.19246455622450967</v>
      </c>
      <c r="AB63" s="1787">
        <v>0.19246455622450967</v>
      </c>
    </row>
    <row r="64" spans="2:28">
      <c r="B64" s="51">
        <v>80</v>
      </c>
      <c r="C64" s="1"/>
      <c r="D64" s="1">
        <v>9.0210000000000008</v>
      </c>
      <c r="E64" s="1">
        <v>3.5619999999999998</v>
      </c>
      <c r="F64" s="1">
        <v>3.5619999999999998</v>
      </c>
      <c r="G64" s="1">
        <v>12.583</v>
      </c>
      <c r="H64" s="1789">
        <v>0</v>
      </c>
      <c r="I64" s="775">
        <v>0.39485644607028042</v>
      </c>
      <c r="J64" s="775">
        <v>0.39485644607028042</v>
      </c>
      <c r="K64" s="51">
        <v>80</v>
      </c>
      <c r="L64" s="1">
        <v>0</v>
      </c>
      <c r="M64" s="1">
        <v>10.555</v>
      </c>
      <c r="N64" s="1">
        <v>0.33300000000000002</v>
      </c>
      <c r="O64" s="1">
        <v>0.33300000000000002</v>
      </c>
      <c r="P64" s="1">
        <v>10.888</v>
      </c>
      <c r="Q64" s="775">
        <v>0</v>
      </c>
      <c r="R64" s="775">
        <v>3.15490288962577E-2</v>
      </c>
      <c r="S64" s="1787">
        <v>3.15490288962577E-2</v>
      </c>
      <c r="T64" s="51">
        <v>80</v>
      </c>
      <c r="U64" s="1">
        <v>0</v>
      </c>
      <c r="V64" s="1">
        <v>9.7880000000000003</v>
      </c>
      <c r="W64" s="1">
        <v>1.9475</v>
      </c>
      <c r="X64" s="1">
        <v>1.9475</v>
      </c>
      <c r="Y64" s="1">
        <v>11.7355</v>
      </c>
      <c r="Z64" s="775">
        <v>0</v>
      </c>
      <c r="AA64" s="775">
        <v>0.19896812423375562</v>
      </c>
      <c r="AB64" s="1787">
        <v>0.19896812423375562</v>
      </c>
    </row>
    <row r="65" spans="2:28">
      <c r="B65" s="51">
        <v>81</v>
      </c>
      <c r="C65" s="1"/>
      <c r="D65" s="1">
        <v>8.5380000000000003</v>
      </c>
      <c r="E65" s="1">
        <v>3.5070000000000001</v>
      </c>
      <c r="F65" s="1">
        <v>3.5070000000000001</v>
      </c>
      <c r="G65" s="1">
        <v>12.045</v>
      </c>
      <c r="H65" s="1789">
        <v>0</v>
      </c>
      <c r="I65" s="775">
        <v>0.4107519325368939</v>
      </c>
      <c r="J65" s="775">
        <v>0.4107519325368939</v>
      </c>
      <c r="K65" s="51">
        <v>81</v>
      </c>
      <c r="L65" s="1">
        <v>0</v>
      </c>
      <c r="M65" s="1">
        <v>10.023</v>
      </c>
      <c r="N65" s="1">
        <v>0.309</v>
      </c>
      <c r="O65" s="1">
        <v>0.309</v>
      </c>
      <c r="P65" s="1">
        <v>10.331999999999999</v>
      </c>
      <c r="Q65" s="775">
        <v>0</v>
      </c>
      <c r="R65" s="775">
        <v>3.0829093085902426E-2</v>
      </c>
      <c r="S65" s="1787">
        <v>3.0829093085902426E-2</v>
      </c>
      <c r="T65" s="51">
        <v>81</v>
      </c>
      <c r="U65" s="1">
        <v>0</v>
      </c>
      <c r="V65" s="1">
        <v>9.2805</v>
      </c>
      <c r="W65" s="1">
        <v>1.9080000000000001</v>
      </c>
      <c r="X65" s="1">
        <v>1.9080000000000001</v>
      </c>
      <c r="Y65" s="1">
        <v>11.188499999999999</v>
      </c>
      <c r="Z65" s="775">
        <v>0</v>
      </c>
      <c r="AA65" s="775">
        <v>0.20559237110069503</v>
      </c>
      <c r="AB65" s="1787">
        <v>0.20559237110069503</v>
      </c>
    </row>
    <row r="66" spans="2:28">
      <c r="B66" s="51">
        <v>82</v>
      </c>
      <c r="C66" s="1"/>
      <c r="D66" s="1">
        <v>8.0619999999999994</v>
      </c>
      <c r="E66" s="1">
        <v>3.4260000000000002</v>
      </c>
      <c r="F66" s="1">
        <v>3.4260000000000002</v>
      </c>
      <c r="G66" s="1">
        <v>11.488</v>
      </c>
      <c r="H66" s="1789">
        <v>0</v>
      </c>
      <c r="I66" s="775">
        <v>0.42495658645497403</v>
      </c>
      <c r="J66" s="775">
        <v>0.42495658645497403</v>
      </c>
      <c r="K66" s="51">
        <v>82</v>
      </c>
      <c r="L66" s="1">
        <v>0</v>
      </c>
      <c r="M66" s="1">
        <v>9.4920000000000009</v>
      </c>
      <c r="N66" s="1">
        <v>0.28499999999999998</v>
      </c>
      <c r="O66" s="1">
        <v>0.28499999999999998</v>
      </c>
      <c r="P66" s="1">
        <v>9.777000000000001</v>
      </c>
      <c r="Q66" s="775">
        <v>0</v>
      </c>
      <c r="R66" s="775">
        <v>3.0025284450063205E-2</v>
      </c>
      <c r="S66" s="1787">
        <v>3.0025284450063205E-2</v>
      </c>
      <c r="T66" s="51">
        <v>82</v>
      </c>
      <c r="U66" s="1">
        <v>0</v>
      </c>
      <c r="V66" s="1">
        <v>8.777000000000001</v>
      </c>
      <c r="W66" s="1">
        <v>1.8555000000000001</v>
      </c>
      <c r="X66" s="1">
        <v>1.8555000000000001</v>
      </c>
      <c r="Y66" s="1">
        <v>10.6325</v>
      </c>
      <c r="Z66" s="775">
        <v>0</v>
      </c>
      <c r="AA66" s="775">
        <v>0.21140480802096387</v>
      </c>
      <c r="AB66" s="1787">
        <v>0.21140480802096387</v>
      </c>
    </row>
    <row r="67" spans="2:28">
      <c r="B67" s="51">
        <v>83</v>
      </c>
      <c r="C67" s="1"/>
      <c r="D67" s="1">
        <v>7.5960000000000001</v>
      </c>
      <c r="E67" s="1">
        <v>3.3330000000000002</v>
      </c>
      <c r="F67" s="1">
        <v>3.3330000000000002</v>
      </c>
      <c r="G67" s="1">
        <v>10.929</v>
      </c>
      <c r="H67" s="1789">
        <v>0</v>
      </c>
      <c r="I67" s="775">
        <v>0.43878357030015802</v>
      </c>
      <c r="J67" s="775">
        <v>0.43878357030015802</v>
      </c>
      <c r="K67" s="51">
        <v>83</v>
      </c>
      <c r="L67" s="1">
        <v>0</v>
      </c>
      <c r="M67" s="1">
        <v>8.9670000000000005</v>
      </c>
      <c r="N67" s="1">
        <v>0.26100000000000001</v>
      </c>
      <c r="O67" s="1">
        <v>0.26100000000000001</v>
      </c>
      <c r="P67" s="1">
        <v>9.2279999999999998</v>
      </c>
      <c r="Q67" s="775">
        <v>0</v>
      </c>
      <c r="R67" s="775">
        <v>2.9106724657075946E-2</v>
      </c>
      <c r="S67" s="1787">
        <v>2.9106724657075946E-2</v>
      </c>
      <c r="T67" s="51">
        <v>83</v>
      </c>
      <c r="U67" s="1">
        <v>0</v>
      </c>
      <c r="V67" s="1">
        <v>8.2815000000000012</v>
      </c>
      <c r="W67" s="1">
        <v>1.7970000000000002</v>
      </c>
      <c r="X67" s="1">
        <v>1.7970000000000002</v>
      </c>
      <c r="Y67" s="1">
        <v>10.078500000000002</v>
      </c>
      <c r="Z67" s="775">
        <v>0</v>
      </c>
      <c r="AA67" s="775">
        <v>0.21698967578337255</v>
      </c>
      <c r="AB67" s="1787">
        <v>0.21698967578337255</v>
      </c>
    </row>
    <row r="68" spans="2:28">
      <c r="B68" s="51">
        <v>84</v>
      </c>
      <c r="C68" s="1"/>
      <c r="D68" s="1">
        <v>7.1429999999999998</v>
      </c>
      <c r="E68" s="1">
        <v>3.2280000000000002</v>
      </c>
      <c r="F68" s="1">
        <v>3.2280000000000002</v>
      </c>
      <c r="G68" s="1">
        <v>10.371</v>
      </c>
      <c r="H68" s="1789">
        <v>0</v>
      </c>
      <c r="I68" s="775">
        <v>0.45191096178076445</v>
      </c>
      <c r="J68" s="775">
        <v>0.45191096178076445</v>
      </c>
      <c r="K68" s="51">
        <v>84</v>
      </c>
      <c r="L68" s="1">
        <v>0</v>
      </c>
      <c r="M68" s="1">
        <v>8.4499999999999993</v>
      </c>
      <c r="N68" s="1">
        <v>0.23799999999999999</v>
      </c>
      <c r="O68" s="1">
        <v>0.23799999999999999</v>
      </c>
      <c r="P68" s="1">
        <v>8.6879999999999988</v>
      </c>
      <c r="Q68" s="775">
        <v>0</v>
      </c>
      <c r="R68" s="775">
        <v>2.816568047337278E-2</v>
      </c>
      <c r="S68" s="1787">
        <v>2.816568047337278E-2</v>
      </c>
      <c r="T68" s="51">
        <v>84</v>
      </c>
      <c r="U68" s="1">
        <v>0</v>
      </c>
      <c r="V68" s="1">
        <v>7.7965</v>
      </c>
      <c r="W68" s="1">
        <v>1.7330000000000001</v>
      </c>
      <c r="X68" s="1">
        <v>1.7330000000000001</v>
      </c>
      <c r="Y68" s="1">
        <v>9.5295000000000005</v>
      </c>
      <c r="Z68" s="775">
        <v>0</v>
      </c>
      <c r="AA68" s="775">
        <v>0.22227922785865453</v>
      </c>
      <c r="AB68" s="1787">
        <v>0.22227922785865453</v>
      </c>
    </row>
    <row r="69" spans="2:28">
      <c r="B69" s="51">
        <v>85</v>
      </c>
      <c r="C69" s="1"/>
      <c r="D69" s="1">
        <v>6.7080000000000002</v>
      </c>
      <c r="E69" s="1">
        <v>3.1139999999999999</v>
      </c>
      <c r="F69" s="1">
        <v>3.1139999999999999</v>
      </c>
      <c r="G69" s="1">
        <v>9.8219999999999992</v>
      </c>
      <c r="H69" s="1789">
        <v>0</v>
      </c>
      <c r="I69" s="775">
        <v>0.46422182468694095</v>
      </c>
      <c r="J69" s="775">
        <v>0.46422182468694095</v>
      </c>
      <c r="K69" s="51">
        <v>85</v>
      </c>
      <c r="L69" s="1">
        <v>0</v>
      </c>
      <c r="M69" s="1">
        <v>7.944</v>
      </c>
      <c r="N69" s="1">
        <v>0.21199999999999999</v>
      </c>
      <c r="O69" s="1">
        <v>0.21199999999999999</v>
      </c>
      <c r="P69" s="1">
        <v>8.1560000000000006</v>
      </c>
      <c r="Q69" s="775">
        <v>0</v>
      </c>
      <c r="R69" s="775">
        <v>2.6686807653575024E-2</v>
      </c>
      <c r="S69" s="1787">
        <v>2.6686807653575024E-2</v>
      </c>
      <c r="T69" s="51">
        <v>85</v>
      </c>
      <c r="U69" s="1">
        <v>0</v>
      </c>
      <c r="V69" s="1">
        <v>7.3260000000000005</v>
      </c>
      <c r="W69" s="1">
        <v>1.663</v>
      </c>
      <c r="X69" s="1">
        <v>1.663</v>
      </c>
      <c r="Y69" s="1">
        <v>8.9890000000000008</v>
      </c>
      <c r="Z69" s="775">
        <v>0</v>
      </c>
      <c r="AA69" s="775">
        <v>0.22699972699972698</v>
      </c>
      <c r="AB69" s="1787">
        <v>0.22699972699972698</v>
      </c>
    </row>
    <row r="70" spans="2:28">
      <c r="B70" s="51">
        <v>86</v>
      </c>
      <c r="C70" s="1"/>
      <c r="D70" s="1">
        <v>6.2949999999999999</v>
      </c>
      <c r="E70" s="1">
        <v>2.992</v>
      </c>
      <c r="F70" s="1">
        <v>2.992</v>
      </c>
      <c r="G70" s="1">
        <v>9.286999999999999</v>
      </c>
      <c r="H70" s="1789">
        <v>0</v>
      </c>
      <c r="I70" s="775">
        <v>0.47529785544082603</v>
      </c>
      <c r="J70" s="775">
        <v>0.47529785544082603</v>
      </c>
      <c r="K70" s="51">
        <v>86</v>
      </c>
      <c r="L70" s="1">
        <v>0</v>
      </c>
      <c r="M70" s="1">
        <v>7.452</v>
      </c>
      <c r="N70" s="1">
        <v>0.186</v>
      </c>
      <c r="O70" s="1">
        <v>0.186</v>
      </c>
      <c r="P70" s="1">
        <v>7.6379999999999999</v>
      </c>
      <c r="Q70" s="775">
        <v>0</v>
      </c>
      <c r="R70" s="775">
        <v>2.4959742351046699E-2</v>
      </c>
      <c r="S70" s="1787">
        <v>2.4959742351046699E-2</v>
      </c>
      <c r="T70" s="51">
        <v>86</v>
      </c>
      <c r="U70" s="1">
        <v>0</v>
      </c>
      <c r="V70" s="1">
        <v>6.8734999999999999</v>
      </c>
      <c r="W70" s="1">
        <v>1.589</v>
      </c>
      <c r="X70" s="1">
        <v>1.589</v>
      </c>
      <c r="Y70" s="1">
        <v>8.4625000000000004</v>
      </c>
      <c r="Z70" s="775">
        <v>0</v>
      </c>
      <c r="AA70" s="775">
        <v>0.23117771150069105</v>
      </c>
      <c r="AB70" s="1787">
        <v>0.23117771150069105</v>
      </c>
    </row>
    <row r="71" spans="2:28">
      <c r="B71" s="51">
        <v>87</v>
      </c>
      <c r="C71" s="1"/>
      <c r="D71" s="1">
        <v>5.9089999999999998</v>
      </c>
      <c r="E71" s="1">
        <v>2.8650000000000002</v>
      </c>
      <c r="F71" s="1">
        <v>2.8650000000000002</v>
      </c>
      <c r="G71" s="1">
        <v>8.7740000000000009</v>
      </c>
      <c r="H71" s="1789">
        <v>0</v>
      </c>
      <c r="I71" s="775">
        <v>0.4848536131325098</v>
      </c>
      <c r="J71" s="775">
        <v>0.4848536131325098</v>
      </c>
      <c r="K71" s="51">
        <v>87</v>
      </c>
      <c r="L71" s="1">
        <v>0</v>
      </c>
      <c r="M71" s="1">
        <v>6.9770000000000003</v>
      </c>
      <c r="N71" s="1">
        <v>0.16200000000000001</v>
      </c>
      <c r="O71" s="1">
        <v>0.16200000000000001</v>
      </c>
      <c r="P71" s="1">
        <v>7.1390000000000002</v>
      </c>
      <c r="Q71" s="775">
        <v>0</v>
      </c>
      <c r="R71" s="775">
        <v>2.3219148631216855E-2</v>
      </c>
      <c r="S71" s="1787">
        <v>2.3219148631216855E-2</v>
      </c>
      <c r="T71" s="51">
        <v>87</v>
      </c>
      <c r="U71" s="1">
        <v>0</v>
      </c>
      <c r="V71" s="1">
        <v>6.4429999999999996</v>
      </c>
      <c r="W71" s="1">
        <v>1.5135000000000001</v>
      </c>
      <c r="X71" s="1">
        <v>1.5135000000000001</v>
      </c>
      <c r="Y71" s="1">
        <v>7.9565000000000001</v>
      </c>
      <c r="Z71" s="775">
        <v>0</v>
      </c>
      <c r="AA71" s="775">
        <v>0.23490609964302345</v>
      </c>
      <c r="AB71" s="1787">
        <v>0.23490609964302345</v>
      </c>
    </row>
    <row r="72" spans="2:28">
      <c r="B72" s="51">
        <v>88</v>
      </c>
      <c r="C72" s="1"/>
      <c r="D72" s="1">
        <v>5.5570000000000004</v>
      </c>
      <c r="E72" s="1">
        <v>2.7050000000000001</v>
      </c>
      <c r="F72" s="1">
        <v>2.7050000000000001</v>
      </c>
      <c r="G72" s="1">
        <v>8.2620000000000005</v>
      </c>
      <c r="H72" s="1789">
        <v>0</v>
      </c>
      <c r="I72" s="775">
        <v>0.48677343890588443</v>
      </c>
      <c r="J72" s="775">
        <v>0.48677343890588443</v>
      </c>
      <c r="K72" s="51">
        <v>88</v>
      </c>
      <c r="L72" s="1">
        <v>0</v>
      </c>
      <c r="M72" s="1">
        <v>6.5209999999999999</v>
      </c>
      <c r="N72" s="1">
        <v>0.14000000000000001</v>
      </c>
      <c r="O72" s="1">
        <v>0.14000000000000001</v>
      </c>
      <c r="P72" s="1">
        <v>6.6609999999999996</v>
      </c>
      <c r="Q72" s="775">
        <v>0</v>
      </c>
      <c r="R72" s="775">
        <v>2.1469099831314217E-2</v>
      </c>
      <c r="S72" s="1787">
        <v>2.1469099831314217E-2</v>
      </c>
      <c r="T72" s="51">
        <v>88</v>
      </c>
      <c r="U72" s="1">
        <v>0</v>
      </c>
      <c r="V72" s="1">
        <v>6.0389999999999997</v>
      </c>
      <c r="W72" s="1">
        <v>1.4225000000000001</v>
      </c>
      <c r="X72" s="1">
        <v>1.4225000000000001</v>
      </c>
      <c r="Y72" s="1">
        <v>7.4615</v>
      </c>
      <c r="Z72" s="775">
        <v>0</v>
      </c>
      <c r="AA72" s="775">
        <v>0.23555224374896508</v>
      </c>
      <c r="AB72" s="1787">
        <v>0.23555224374896508</v>
      </c>
    </row>
    <row r="73" spans="2:28">
      <c r="B73" s="51">
        <v>89</v>
      </c>
      <c r="C73" s="1"/>
      <c r="D73" s="1">
        <v>5.2469999999999999</v>
      </c>
      <c r="E73" s="1">
        <v>2.5379999999999998</v>
      </c>
      <c r="F73" s="1">
        <v>2.5379999999999998</v>
      </c>
      <c r="G73" s="1">
        <v>7.7850000000000001</v>
      </c>
      <c r="H73" s="1789">
        <v>0</v>
      </c>
      <c r="I73" s="775">
        <v>0.483704974271012</v>
      </c>
      <c r="J73" s="775">
        <v>0.483704974271012</v>
      </c>
      <c r="K73" s="51">
        <v>89</v>
      </c>
      <c r="L73" s="1">
        <v>0</v>
      </c>
      <c r="M73" s="1">
        <v>6.093</v>
      </c>
      <c r="N73" s="1">
        <v>0.11700000000000001</v>
      </c>
      <c r="O73" s="1">
        <v>0.11700000000000001</v>
      </c>
      <c r="P73" s="1">
        <v>6.21</v>
      </c>
      <c r="Q73" s="775">
        <v>0</v>
      </c>
      <c r="R73" s="775">
        <v>1.9202363367799114E-2</v>
      </c>
      <c r="S73" s="1787">
        <v>1.9202363367799114E-2</v>
      </c>
      <c r="T73" s="51">
        <v>89</v>
      </c>
      <c r="U73" s="1">
        <v>0</v>
      </c>
      <c r="V73" s="1">
        <v>5.67</v>
      </c>
      <c r="W73" s="1">
        <v>1.3274999999999999</v>
      </c>
      <c r="X73" s="1">
        <v>1.3274999999999999</v>
      </c>
      <c r="Y73" s="1">
        <v>6.9974999999999996</v>
      </c>
      <c r="Z73" s="775">
        <v>0</v>
      </c>
      <c r="AA73" s="775">
        <v>0.2341269841269841</v>
      </c>
      <c r="AB73" s="1787">
        <v>0.2341269841269841</v>
      </c>
    </row>
    <row r="74" spans="2:28">
      <c r="B74" s="51">
        <v>90</v>
      </c>
      <c r="C74" s="1"/>
      <c r="D74" s="1">
        <v>4.9669999999999996</v>
      </c>
      <c r="E74" s="1">
        <v>2.3759999999999999</v>
      </c>
      <c r="F74" s="1">
        <v>2.3759999999999999</v>
      </c>
      <c r="G74" s="1">
        <v>7.343</v>
      </c>
      <c r="H74" s="1789">
        <v>0</v>
      </c>
      <c r="I74" s="775">
        <v>0.47835715723776928</v>
      </c>
      <c r="J74" s="775">
        <v>0.47835715723776928</v>
      </c>
      <c r="K74" s="51">
        <v>90</v>
      </c>
      <c r="L74" s="1">
        <v>0</v>
      </c>
      <c r="M74" s="1">
        <v>5.694</v>
      </c>
      <c r="N74" s="1">
        <v>9.7000000000000003E-2</v>
      </c>
      <c r="O74" s="1">
        <v>9.7000000000000003E-2</v>
      </c>
      <c r="P74" s="1">
        <v>5.7910000000000004</v>
      </c>
      <c r="Q74" s="775">
        <v>0</v>
      </c>
      <c r="R74" s="775">
        <v>1.7035475939585529E-2</v>
      </c>
      <c r="S74" s="1787">
        <v>1.7035475939585529E-2</v>
      </c>
      <c r="T74" s="51">
        <v>90</v>
      </c>
      <c r="U74" s="1">
        <v>0</v>
      </c>
      <c r="V74" s="1">
        <v>5.3304999999999998</v>
      </c>
      <c r="W74" s="1">
        <v>1.2364999999999999</v>
      </c>
      <c r="X74" s="1">
        <v>1.2364999999999999</v>
      </c>
      <c r="Y74" s="1">
        <v>6.5670000000000002</v>
      </c>
      <c r="Z74" s="775">
        <v>0</v>
      </c>
      <c r="AA74" s="775">
        <v>0.23196698245943156</v>
      </c>
      <c r="AB74" s="1787">
        <v>0.23196698245943156</v>
      </c>
    </row>
    <row r="75" spans="2:28">
      <c r="B75" s="51">
        <v>91</v>
      </c>
      <c r="C75" s="1"/>
      <c r="D75" s="1">
        <v>4.7060000000000004</v>
      </c>
      <c r="E75" s="1">
        <v>2.1920000000000002</v>
      </c>
      <c r="F75" s="1">
        <v>2.1920000000000002</v>
      </c>
      <c r="G75" s="1">
        <v>6.8980000000000006</v>
      </c>
      <c r="H75" s="1789">
        <v>0</v>
      </c>
      <c r="I75" s="775">
        <v>0.46578835529111773</v>
      </c>
      <c r="J75" s="775">
        <v>0.46578835529111773</v>
      </c>
      <c r="K75" s="51">
        <v>91</v>
      </c>
      <c r="L75" s="1">
        <v>0</v>
      </c>
      <c r="M75" s="1">
        <v>5.3259999999999996</v>
      </c>
      <c r="N75" s="1">
        <v>0.08</v>
      </c>
      <c r="O75" s="1">
        <v>0.08</v>
      </c>
      <c r="P75" s="1">
        <v>5.4059999999999997</v>
      </c>
      <c r="Q75" s="775">
        <v>0</v>
      </c>
      <c r="R75" s="775">
        <v>1.5020653398422833E-2</v>
      </c>
      <c r="S75" s="1787">
        <v>1.5020653398422833E-2</v>
      </c>
      <c r="T75" s="51">
        <v>91</v>
      </c>
      <c r="U75" s="1">
        <v>0</v>
      </c>
      <c r="V75" s="1">
        <v>5.016</v>
      </c>
      <c r="W75" s="1">
        <v>1.1360000000000001</v>
      </c>
      <c r="X75" s="1">
        <v>1.1360000000000001</v>
      </c>
      <c r="Y75" s="1">
        <v>6.1520000000000001</v>
      </c>
      <c r="Z75" s="775">
        <v>0</v>
      </c>
      <c r="AA75" s="775">
        <v>0.22647527910685808</v>
      </c>
      <c r="AB75" s="1787">
        <v>0.22647527910685808</v>
      </c>
    </row>
    <row r="76" spans="2:28">
      <c r="B76" s="51">
        <v>92</v>
      </c>
      <c r="C76" s="1"/>
      <c r="D76" s="1">
        <v>4.4630000000000001</v>
      </c>
      <c r="E76" s="1">
        <v>2.024</v>
      </c>
      <c r="F76" s="1">
        <v>2.024</v>
      </c>
      <c r="G76" s="1">
        <v>6.4870000000000001</v>
      </c>
      <c r="H76" s="1789">
        <v>0</v>
      </c>
      <c r="I76" s="775">
        <v>0.45350660990365227</v>
      </c>
      <c r="J76" s="775">
        <v>0.45350660990365227</v>
      </c>
      <c r="K76" s="51">
        <v>92</v>
      </c>
      <c r="L76" s="1">
        <v>0</v>
      </c>
      <c r="M76" s="1">
        <v>4.99</v>
      </c>
      <c r="N76" s="1">
        <v>6.4000000000000001E-2</v>
      </c>
      <c r="O76" s="1">
        <v>6.4000000000000001E-2</v>
      </c>
      <c r="P76" s="1">
        <v>5.0540000000000003</v>
      </c>
      <c r="Q76" s="775">
        <v>0</v>
      </c>
      <c r="R76" s="775">
        <v>1.282565130260521E-2</v>
      </c>
      <c r="S76" s="1787">
        <v>1.282565130260521E-2</v>
      </c>
      <c r="T76" s="51">
        <v>92</v>
      </c>
      <c r="U76" s="1">
        <v>0</v>
      </c>
      <c r="V76" s="1">
        <v>4.7264999999999997</v>
      </c>
      <c r="W76" s="1">
        <v>1.044</v>
      </c>
      <c r="X76" s="1">
        <v>1.044</v>
      </c>
      <c r="Y76" s="1">
        <v>5.7705000000000002</v>
      </c>
      <c r="Z76" s="775">
        <v>0</v>
      </c>
      <c r="AA76" s="775">
        <v>0.22088225960012697</v>
      </c>
      <c r="AB76" s="1787">
        <v>0.22088225960012697</v>
      </c>
    </row>
    <row r="77" spans="2:28">
      <c r="B77" s="51">
        <v>93</v>
      </c>
      <c r="C77" s="1"/>
      <c r="D77" s="1">
        <v>4.2380000000000004</v>
      </c>
      <c r="E77" s="1">
        <v>1.839</v>
      </c>
      <c r="F77" s="1">
        <v>1.839</v>
      </c>
      <c r="G77" s="1">
        <v>6.077</v>
      </c>
      <c r="H77" s="1789">
        <v>0</v>
      </c>
      <c r="I77" s="775">
        <v>0.43393109957527132</v>
      </c>
      <c r="J77" s="775">
        <v>0.43393109957527132</v>
      </c>
      <c r="K77" s="51">
        <v>93</v>
      </c>
      <c r="L77" s="1">
        <v>0</v>
      </c>
      <c r="M77" s="1">
        <v>4.6840000000000002</v>
      </c>
      <c r="N77" s="1">
        <v>5.1999999999999998E-2</v>
      </c>
      <c r="O77" s="1">
        <v>5.1999999999999998E-2</v>
      </c>
      <c r="P77" s="1">
        <v>4.7359999999999998</v>
      </c>
      <c r="Q77" s="775">
        <v>0</v>
      </c>
      <c r="R77" s="775">
        <v>1.1101622544833475E-2</v>
      </c>
      <c r="S77" s="1787">
        <v>1.1101622544833475E-2</v>
      </c>
      <c r="T77" s="51">
        <v>93</v>
      </c>
      <c r="U77" s="1">
        <v>0</v>
      </c>
      <c r="V77" s="1">
        <v>4.4610000000000003</v>
      </c>
      <c r="W77" s="1">
        <v>0.94550000000000001</v>
      </c>
      <c r="X77" s="1">
        <v>0.94550000000000001</v>
      </c>
      <c r="Y77" s="1">
        <v>5.4065000000000003</v>
      </c>
      <c r="Z77" s="775">
        <v>0</v>
      </c>
      <c r="AA77" s="775">
        <v>0.21194799372338038</v>
      </c>
      <c r="AB77" s="1787">
        <v>0.21194799372338038</v>
      </c>
    </row>
    <row r="78" spans="2:28">
      <c r="B78" s="51">
        <v>94</v>
      </c>
      <c r="C78" s="1"/>
      <c r="D78" s="1">
        <v>4.0309999999999997</v>
      </c>
      <c r="E78" s="1">
        <v>1.6739999999999999</v>
      </c>
      <c r="F78" s="1">
        <v>1.6739999999999999</v>
      </c>
      <c r="G78" s="1">
        <v>5.7050000000000001</v>
      </c>
      <c r="H78" s="1789">
        <v>0</v>
      </c>
      <c r="I78" s="775">
        <v>0.41528156784916898</v>
      </c>
      <c r="J78" s="775">
        <v>0.41528156784916898</v>
      </c>
      <c r="K78" s="51">
        <v>94</v>
      </c>
      <c r="L78" s="1">
        <v>0</v>
      </c>
      <c r="M78" s="1">
        <v>4.4039999999999999</v>
      </c>
      <c r="N78" s="1">
        <v>4.2000000000000003E-2</v>
      </c>
      <c r="O78" s="1">
        <v>4.2000000000000003E-2</v>
      </c>
      <c r="P78" s="1">
        <v>4.4459999999999997</v>
      </c>
      <c r="Q78" s="775">
        <v>0</v>
      </c>
      <c r="R78" s="775">
        <v>9.5367847411444145E-3</v>
      </c>
      <c r="S78" s="1787">
        <v>9.5367847411444145E-3</v>
      </c>
      <c r="T78" s="51">
        <v>94</v>
      </c>
      <c r="U78" s="1">
        <v>0</v>
      </c>
      <c r="V78" s="1">
        <v>4.2174999999999994</v>
      </c>
      <c r="W78" s="1">
        <v>0.85799999999999998</v>
      </c>
      <c r="X78" s="1">
        <v>0.85799999999999998</v>
      </c>
      <c r="Y78" s="1">
        <v>5.075499999999999</v>
      </c>
      <c r="Z78" s="775">
        <v>0</v>
      </c>
      <c r="AA78" s="775">
        <v>0.20343805572021342</v>
      </c>
      <c r="AB78" s="1787">
        <v>0.20343805572021342</v>
      </c>
    </row>
    <row r="79" spans="2:28">
      <c r="B79" s="51">
        <v>95</v>
      </c>
      <c r="C79" s="1"/>
      <c r="D79" s="1">
        <v>3.8420000000000001</v>
      </c>
      <c r="E79" s="1">
        <v>1.528</v>
      </c>
      <c r="F79" s="1">
        <v>1.528</v>
      </c>
      <c r="G79" s="1">
        <v>5.37</v>
      </c>
      <c r="H79" s="1789">
        <v>0</v>
      </c>
      <c r="I79" s="775">
        <v>0.39770952628839146</v>
      </c>
      <c r="J79" s="775">
        <v>0.39770952628839146</v>
      </c>
      <c r="K79" s="51">
        <v>95</v>
      </c>
      <c r="L79" s="1">
        <v>0</v>
      </c>
      <c r="M79" s="1">
        <v>4.149</v>
      </c>
      <c r="N79" s="1">
        <v>3.4000000000000002E-2</v>
      </c>
      <c r="O79" s="1">
        <v>3.4000000000000002E-2</v>
      </c>
      <c r="P79" s="1">
        <v>4.1829999999999998</v>
      </c>
      <c r="Q79" s="775">
        <v>0</v>
      </c>
      <c r="R79" s="775">
        <v>8.1947457218606891E-3</v>
      </c>
      <c r="S79" s="1787">
        <v>8.1947457218606891E-3</v>
      </c>
      <c r="T79" s="51">
        <v>95</v>
      </c>
      <c r="U79" s="1">
        <v>0</v>
      </c>
      <c r="V79" s="1">
        <v>3.9954999999999998</v>
      </c>
      <c r="W79" s="1">
        <v>0.78100000000000003</v>
      </c>
      <c r="X79" s="1">
        <v>0.78100000000000003</v>
      </c>
      <c r="Y79" s="1">
        <v>4.7764999999999995</v>
      </c>
      <c r="Z79" s="775">
        <v>0</v>
      </c>
      <c r="AA79" s="775">
        <v>0.1954699036415968</v>
      </c>
      <c r="AB79" s="1787">
        <v>0.1954699036415968</v>
      </c>
    </row>
    <row r="80" spans="2:28">
      <c r="B80" s="51">
        <v>96</v>
      </c>
      <c r="C80" s="1"/>
      <c r="D80" s="1">
        <v>3.67</v>
      </c>
      <c r="E80" s="1">
        <v>1.3640000000000001</v>
      </c>
      <c r="F80" s="1">
        <v>1.3640000000000001</v>
      </c>
      <c r="G80" s="1">
        <v>5.0339999999999998</v>
      </c>
      <c r="H80" s="1789">
        <v>0</v>
      </c>
      <c r="I80" s="775">
        <v>0.3716621253405995</v>
      </c>
      <c r="J80" s="775">
        <v>0.3716621253405995</v>
      </c>
      <c r="K80" s="51">
        <v>96</v>
      </c>
      <c r="L80" s="1">
        <v>0</v>
      </c>
      <c r="M80" s="1">
        <v>3.919</v>
      </c>
      <c r="N80" s="1">
        <v>2.7E-2</v>
      </c>
      <c r="O80" s="1">
        <v>2.7E-2</v>
      </c>
      <c r="P80" s="1">
        <v>3.9460000000000002</v>
      </c>
      <c r="Q80" s="775">
        <v>0</v>
      </c>
      <c r="R80" s="775">
        <v>6.8895126307731563E-3</v>
      </c>
      <c r="S80" s="1787">
        <v>6.8895126307731563E-3</v>
      </c>
      <c r="T80" s="51">
        <v>96</v>
      </c>
      <c r="U80" s="1">
        <v>0</v>
      </c>
      <c r="V80" s="1">
        <v>3.7945000000000002</v>
      </c>
      <c r="W80" s="1">
        <v>0.69550000000000001</v>
      </c>
      <c r="X80" s="1">
        <v>0.69550000000000001</v>
      </c>
      <c r="Y80" s="1">
        <v>4.49</v>
      </c>
      <c r="Z80" s="775">
        <v>0</v>
      </c>
      <c r="AA80" s="775">
        <v>0.18329160627223612</v>
      </c>
      <c r="AB80" s="1787">
        <v>0.18329160627223612</v>
      </c>
    </row>
    <row r="81" spans="2:28">
      <c r="B81" s="51">
        <v>97</v>
      </c>
      <c r="C81" s="1"/>
      <c r="D81" s="1">
        <v>3.5129999999999999</v>
      </c>
      <c r="E81" s="1">
        <v>1.2110000000000001</v>
      </c>
      <c r="F81" s="1">
        <v>1.2110000000000001</v>
      </c>
      <c r="G81" s="1">
        <v>4.7240000000000002</v>
      </c>
      <c r="H81" s="1789">
        <v>0</v>
      </c>
      <c r="I81" s="775">
        <v>0.34471961286649588</v>
      </c>
      <c r="J81" s="775">
        <v>0.34471961286649588</v>
      </c>
      <c r="K81" s="51">
        <v>97</v>
      </c>
      <c r="L81" s="1">
        <v>0</v>
      </c>
      <c r="M81" s="1">
        <v>3.7130000000000001</v>
      </c>
      <c r="N81" s="1">
        <v>2.1000000000000001E-2</v>
      </c>
      <c r="O81" s="1">
        <v>2.1000000000000001E-2</v>
      </c>
      <c r="P81" s="1">
        <v>3.734</v>
      </c>
      <c r="Q81" s="775">
        <v>0</v>
      </c>
      <c r="R81" s="775">
        <v>5.655803932130353E-3</v>
      </c>
      <c r="S81" s="1787">
        <v>5.655803932130353E-3</v>
      </c>
      <c r="T81" s="51">
        <v>97</v>
      </c>
      <c r="U81" s="1">
        <v>0</v>
      </c>
      <c r="V81" s="1">
        <v>3.613</v>
      </c>
      <c r="W81" s="1">
        <v>0.61599999999999999</v>
      </c>
      <c r="X81" s="1">
        <v>0.61599999999999999</v>
      </c>
      <c r="Y81" s="1">
        <v>4.2290000000000001</v>
      </c>
      <c r="Z81" s="775">
        <v>0</v>
      </c>
      <c r="AA81" s="775">
        <v>0.17049543315804042</v>
      </c>
      <c r="AB81" s="1787">
        <v>0.17049543315804042</v>
      </c>
    </row>
    <row r="82" spans="2:28">
      <c r="B82" s="51">
        <v>98</v>
      </c>
      <c r="C82" s="1"/>
      <c r="D82" s="1">
        <v>3.371</v>
      </c>
      <c r="E82" s="1">
        <v>1.038</v>
      </c>
      <c r="F82" s="1">
        <v>1.038</v>
      </c>
      <c r="G82" s="1">
        <v>4.4089999999999998</v>
      </c>
      <c r="H82" s="1789">
        <v>0</v>
      </c>
      <c r="I82" s="775">
        <v>0.30792049836843666</v>
      </c>
      <c r="J82" s="775">
        <v>0.30792049836843666</v>
      </c>
      <c r="K82" s="51">
        <v>98</v>
      </c>
      <c r="L82" s="1">
        <v>0</v>
      </c>
      <c r="M82" s="1">
        <v>3.53</v>
      </c>
      <c r="N82" s="1">
        <v>1.6E-2</v>
      </c>
      <c r="O82" s="1">
        <v>1.6E-2</v>
      </c>
      <c r="P82" s="1">
        <v>3.5459999999999998</v>
      </c>
      <c r="Q82" s="775">
        <v>0</v>
      </c>
      <c r="R82" s="775">
        <v>4.5325779036827201E-3</v>
      </c>
      <c r="S82" s="1787">
        <v>4.5325779036827201E-3</v>
      </c>
      <c r="T82" s="51">
        <v>98</v>
      </c>
      <c r="U82" s="1">
        <v>0</v>
      </c>
      <c r="V82" s="1">
        <v>3.4504999999999999</v>
      </c>
      <c r="W82" s="1">
        <v>0.52700000000000002</v>
      </c>
      <c r="X82" s="1">
        <v>0.52700000000000002</v>
      </c>
      <c r="Y82" s="1">
        <v>3.9775</v>
      </c>
      <c r="Z82" s="775">
        <v>0</v>
      </c>
      <c r="AA82" s="775">
        <v>0.15273148819011739</v>
      </c>
      <c r="AB82" s="1787">
        <v>0.15273148819011739</v>
      </c>
    </row>
    <row r="83" spans="2:28">
      <c r="B83" s="51">
        <v>99</v>
      </c>
      <c r="C83" s="1"/>
      <c r="D83" s="1">
        <v>3.2429999999999999</v>
      </c>
      <c r="E83" s="1">
        <v>0.84499999999999997</v>
      </c>
      <c r="F83" s="1">
        <v>0.84499999999999997</v>
      </c>
      <c r="G83" s="1">
        <v>4.0880000000000001</v>
      </c>
      <c r="H83" s="1789">
        <v>0</v>
      </c>
      <c r="I83" s="775">
        <v>0.26056120875732347</v>
      </c>
      <c r="J83" s="775">
        <v>0.26056120875732347</v>
      </c>
      <c r="K83" s="51">
        <v>99</v>
      </c>
      <c r="L83" s="1">
        <v>0</v>
      </c>
      <c r="M83" s="1">
        <v>3.3690000000000002</v>
      </c>
      <c r="N83" s="1">
        <v>1.2999999999999999E-2</v>
      </c>
      <c r="O83" s="1">
        <v>1.2999999999999999E-2</v>
      </c>
      <c r="P83" s="1">
        <v>3.3820000000000001</v>
      </c>
      <c r="Q83" s="775">
        <v>0</v>
      </c>
      <c r="R83" s="775">
        <v>3.8587117839121395E-3</v>
      </c>
      <c r="S83" s="1787">
        <v>3.8587117839121395E-3</v>
      </c>
      <c r="T83" s="51">
        <v>99</v>
      </c>
      <c r="U83" s="1">
        <v>0</v>
      </c>
      <c r="V83" s="1">
        <v>3.306</v>
      </c>
      <c r="W83" s="1">
        <v>0.42899999999999999</v>
      </c>
      <c r="X83" s="1">
        <v>0.42899999999999999</v>
      </c>
      <c r="Y83" s="1">
        <v>3.7349999999999999</v>
      </c>
      <c r="Z83" s="775">
        <v>0</v>
      </c>
      <c r="AA83" s="775">
        <v>0.12976406533575316</v>
      </c>
      <c r="AB83" s="1787">
        <v>0.12976406533575316</v>
      </c>
    </row>
    <row r="84" spans="2:28">
      <c r="B84" s="51">
        <v>100</v>
      </c>
      <c r="C84" s="1"/>
      <c r="D84" s="1">
        <v>3.1269999999999998</v>
      </c>
      <c r="E84" s="1">
        <v>0.67</v>
      </c>
      <c r="F84" s="1">
        <v>0.67</v>
      </c>
      <c r="G84" s="1">
        <v>3.7969999999999997</v>
      </c>
      <c r="H84" s="1789">
        <v>0</v>
      </c>
      <c r="I84" s="775">
        <v>0.21426287176207229</v>
      </c>
      <c r="J84" s="775">
        <v>0.21426287176207229</v>
      </c>
      <c r="K84" s="51">
        <v>100</v>
      </c>
      <c r="L84" s="1">
        <v>0</v>
      </c>
      <c r="M84" s="1">
        <v>3.2309999999999999</v>
      </c>
      <c r="N84" s="1">
        <v>0.01</v>
      </c>
      <c r="O84" s="1">
        <v>0.01</v>
      </c>
      <c r="P84" s="1">
        <v>3.2409999999999997</v>
      </c>
      <c r="Q84" s="775">
        <v>0</v>
      </c>
      <c r="R84" s="775">
        <v>3.0950170225936243E-3</v>
      </c>
      <c r="S84" s="1787">
        <v>3.0950170225936243E-3</v>
      </c>
      <c r="T84" s="51">
        <v>100</v>
      </c>
      <c r="U84" s="1">
        <v>0</v>
      </c>
      <c r="V84" s="1">
        <v>3.1789999999999998</v>
      </c>
      <c r="W84" s="1">
        <v>0.34</v>
      </c>
      <c r="X84" s="1">
        <v>0.34</v>
      </c>
      <c r="Y84" s="1">
        <v>3.5189999999999997</v>
      </c>
      <c r="Z84" s="775">
        <v>0</v>
      </c>
      <c r="AA84" s="775">
        <v>0.10695187165775402</v>
      </c>
      <c r="AB84" s="1787">
        <v>0.10695187165775402</v>
      </c>
    </row>
  </sheetData>
  <mergeCells count="4">
    <mergeCell ref="B2:B3"/>
    <mergeCell ref="H2:J2"/>
    <mergeCell ref="Q2:S2"/>
    <mergeCell ref="Z2:AB2"/>
  </mergeCells>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dimension ref="A1:DR117"/>
  <sheetViews>
    <sheetView workbookViewId="0">
      <pane xSplit="1" ySplit="1" topLeftCell="P52" activePane="bottomRight" state="frozen"/>
      <selection activeCell="BD89" sqref="BD89"/>
      <selection pane="topRight" activeCell="BD89" sqref="BD89"/>
      <selection pane="bottomLeft" activeCell="BD89" sqref="BD89"/>
      <selection pane="bottomRight" activeCell="BJ66" sqref="BJ66"/>
    </sheetView>
  </sheetViews>
  <sheetFormatPr baseColWidth="10" defaultColWidth="11.125" defaultRowHeight="14.25"/>
  <cols>
    <col min="1" max="1" width="5.5" style="25" customWidth="1"/>
    <col min="2" max="122" width="5.5" customWidth="1"/>
  </cols>
  <sheetData>
    <row r="1" spans="1:122" s="25" customFormat="1">
      <c r="A1" s="942" t="s">
        <v>937</v>
      </c>
      <c r="B1" s="948">
        <v>1900</v>
      </c>
      <c r="C1" s="948">
        <v>1901</v>
      </c>
      <c r="D1" s="948">
        <v>1902</v>
      </c>
      <c r="E1" s="948">
        <v>1903</v>
      </c>
      <c r="F1" s="948">
        <v>1904</v>
      </c>
      <c r="G1" s="948">
        <v>1905</v>
      </c>
      <c r="H1" s="948">
        <v>1906</v>
      </c>
      <c r="I1" s="948">
        <v>1907</v>
      </c>
      <c r="J1" s="948">
        <v>1908</v>
      </c>
      <c r="K1" s="948">
        <v>1909</v>
      </c>
      <c r="L1" s="948">
        <v>1910</v>
      </c>
      <c r="M1" s="948">
        <v>1911</v>
      </c>
      <c r="N1" s="948">
        <v>1912</v>
      </c>
      <c r="O1" s="948">
        <v>1913</v>
      </c>
      <c r="P1" s="948">
        <v>1914</v>
      </c>
      <c r="Q1" s="948">
        <v>1915</v>
      </c>
      <c r="R1" s="948">
        <v>1916</v>
      </c>
      <c r="S1" s="948">
        <v>1917</v>
      </c>
      <c r="T1" s="948">
        <v>1918</v>
      </c>
      <c r="U1" s="948">
        <v>1919</v>
      </c>
      <c r="V1" s="948">
        <v>1920</v>
      </c>
      <c r="W1" s="948">
        <v>1921</v>
      </c>
      <c r="X1" s="948">
        <v>1922</v>
      </c>
      <c r="Y1" s="948">
        <v>1923</v>
      </c>
      <c r="Z1" s="948">
        <v>1924</v>
      </c>
      <c r="AA1" s="948">
        <v>1925</v>
      </c>
      <c r="AB1" s="948">
        <v>1926</v>
      </c>
      <c r="AC1" s="948">
        <v>1927</v>
      </c>
      <c r="AD1" s="948">
        <v>1928</v>
      </c>
      <c r="AE1" s="948">
        <v>1929</v>
      </c>
      <c r="AF1" s="948">
        <v>1930</v>
      </c>
      <c r="AG1" s="948">
        <v>1931</v>
      </c>
      <c r="AH1" s="948">
        <v>1932</v>
      </c>
      <c r="AI1" s="948">
        <v>1933</v>
      </c>
      <c r="AJ1" s="948">
        <v>1934</v>
      </c>
      <c r="AK1" s="948">
        <v>1935</v>
      </c>
      <c r="AL1" s="948">
        <v>1936</v>
      </c>
      <c r="AM1" s="948">
        <v>1937</v>
      </c>
      <c r="AN1" s="948">
        <v>1938</v>
      </c>
      <c r="AO1" s="948">
        <v>1939</v>
      </c>
      <c r="AP1" s="948">
        <v>1940</v>
      </c>
      <c r="AQ1" s="948">
        <v>1941</v>
      </c>
      <c r="AR1" s="948">
        <v>1942</v>
      </c>
      <c r="AS1" s="948">
        <v>1943</v>
      </c>
      <c r="AT1" s="948">
        <v>1944</v>
      </c>
      <c r="AU1" s="948">
        <v>1945</v>
      </c>
      <c r="AV1" s="948">
        <v>1946</v>
      </c>
      <c r="AW1" s="948">
        <v>1947</v>
      </c>
      <c r="AX1" s="948">
        <v>1948</v>
      </c>
      <c r="AY1" s="948">
        <v>1949</v>
      </c>
      <c r="AZ1" s="948">
        <v>1950</v>
      </c>
      <c r="BA1" s="948">
        <v>1951</v>
      </c>
      <c r="BB1" s="948">
        <v>1952</v>
      </c>
      <c r="BC1" s="948">
        <v>1953</v>
      </c>
      <c r="BD1" s="948">
        <v>1954</v>
      </c>
      <c r="BE1" s="948">
        <v>1955</v>
      </c>
      <c r="BF1" s="948">
        <v>1956</v>
      </c>
      <c r="BG1" s="948">
        <v>1957</v>
      </c>
      <c r="BH1" s="948">
        <v>1958</v>
      </c>
      <c r="BI1" s="948">
        <v>1959</v>
      </c>
      <c r="BJ1" s="948">
        <v>1960</v>
      </c>
      <c r="BK1" s="948">
        <v>1961</v>
      </c>
      <c r="BL1" s="948">
        <v>1962</v>
      </c>
      <c r="BM1" s="948">
        <v>1963</v>
      </c>
      <c r="BN1" s="948">
        <v>1964</v>
      </c>
      <c r="BO1" s="948">
        <v>1965</v>
      </c>
      <c r="BP1" s="948">
        <v>1966</v>
      </c>
      <c r="BQ1" s="948">
        <v>1967</v>
      </c>
      <c r="BR1" s="948">
        <v>1968</v>
      </c>
      <c r="BS1" s="948">
        <v>1969</v>
      </c>
      <c r="BT1" s="948">
        <v>1970</v>
      </c>
      <c r="BU1" s="948">
        <v>1971</v>
      </c>
      <c r="BV1" s="948">
        <v>1972</v>
      </c>
      <c r="BW1" s="948">
        <v>1973</v>
      </c>
      <c r="BX1" s="948">
        <v>1974</v>
      </c>
      <c r="BY1" s="948">
        <v>1975</v>
      </c>
      <c r="BZ1" s="948">
        <v>1976</v>
      </c>
      <c r="CA1" s="948">
        <v>1977</v>
      </c>
      <c r="CB1" s="948">
        <v>1978</v>
      </c>
      <c r="CC1" s="948">
        <v>1979</v>
      </c>
      <c r="CD1" s="948">
        <v>1980</v>
      </c>
      <c r="CE1" s="948">
        <v>1981</v>
      </c>
      <c r="CF1" s="948">
        <v>1982</v>
      </c>
      <c r="CG1" s="948">
        <v>1983</v>
      </c>
      <c r="CH1" s="948">
        <v>1984</v>
      </c>
      <c r="CI1" s="948">
        <v>1985</v>
      </c>
      <c r="CJ1" s="948">
        <v>1986</v>
      </c>
      <c r="CK1" s="948">
        <v>1987</v>
      </c>
      <c r="CL1" s="948">
        <v>1988</v>
      </c>
      <c r="CM1" s="948">
        <v>1989</v>
      </c>
      <c r="CN1" s="948">
        <v>1990</v>
      </c>
      <c r="CO1" s="948">
        <v>1991</v>
      </c>
      <c r="CP1" s="948">
        <v>1992</v>
      </c>
      <c r="CQ1" s="948">
        <v>1993</v>
      </c>
      <c r="CR1" s="948">
        <v>1994</v>
      </c>
      <c r="CS1" s="948">
        <v>1995</v>
      </c>
      <c r="CT1" s="948">
        <v>1996</v>
      </c>
      <c r="CU1" s="948">
        <v>1997</v>
      </c>
      <c r="CV1" s="948">
        <v>1998</v>
      </c>
      <c r="CW1" s="948">
        <v>1999</v>
      </c>
      <c r="CX1" s="948">
        <v>2000</v>
      </c>
      <c r="CY1" s="948">
        <v>2001</v>
      </c>
      <c r="CZ1" s="948">
        <v>2002</v>
      </c>
      <c r="DA1" s="948">
        <v>2003</v>
      </c>
      <c r="DB1" s="948">
        <v>2004</v>
      </c>
      <c r="DC1" s="948">
        <v>2005</v>
      </c>
      <c r="DD1" s="948">
        <v>2006</v>
      </c>
      <c r="DE1" s="948">
        <v>2007</v>
      </c>
      <c r="DF1" s="948">
        <v>2008</v>
      </c>
      <c r="DG1" s="948">
        <v>2009</v>
      </c>
      <c r="DH1" s="948">
        <v>2010</v>
      </c>
      <c r="DI1" s="948">
        <v>2011</v>
      </c>
      <c r="DJ1" s="948">
        <v>2012</v>
      </c>
      <c r="DK1" s="948">
        <v>2013</v>
      </c>
      <c r="DL1" s="948">
        <v>2014</v>
      </c>
      <c r="DM1" s="948">
        <v>2015</v>
      </c>
      <c r="DN1" s="948">
        <v>2016</v>
      </c>
      <c r="DO1" s="948">
        <v>2017</v>
      </c>
      <c r="DP1" s="948">
        <v>2018</v>
      </c>
      <c r="DQ1" s="948">
        <v>2019</v>
      </c>
      <c r="DR1" s="948">
        <v>2020</v>
      </c>
    </row>
    <row r="2" spans="1:122">
      <c r="A2" s="950">
        <v>0</v>
      </c>
      <c r="B2" s="94"/>
      <c r="C2" s="94"/>
      <c r="D2" s="94"/>
      <c r="E2" s="94"/>
      <c r="F2" s="94"/>
      <c r="G2" s="94"/>
      <c r="H2" s="94"/>
      <c r="I2" s="94"/>
      <c r="J2" s="94"/>
      <c r="K2" s="94"/>
      <c r="L2" s="94"/>
      <c r="M2" s="94"/>
      <c r="N2" s="94"/>
      <c r="O2" s="94"/>
      <c r="P2" s="94"/>
      <c r="Q2" s="94"/>
      <c r="R2" s="94"/>
      <c r="S2" s="94"/>
      <c r="T2" s="94"/>
      <c r="U2" s="94"/>
      <c r="V2" s="766"/>
      <c r="W2" s="766">
        <v>65.28</v>
      </c>
      <c r="X2" s="766">
        <v>66.06</v>
      </c>
      <c r="Y2" s="766">
        <v>66.28</v>
      </c>
      <c r="Z2" s="766">
        <v>68.099999999999994</v>
      </c>
      <c r="AA2" s="766">
        <v>68.569999999999993</v>
      </c>
      <c r="AB2" s="766">
        <v>69.209999999999994</v>
      </c>
      <c r="AC2" s="766">
        <v>70.08</v>
      </c>
      <c r="AD2" s="766">
        <v>70.86</v>
      </c>
      <c r="AE2" s="766">
        <v>70.98</v>
      </c>
      <c r="AF2" s="766">
        <v>72.040000000000006</v>
      </c>
      <c r="AG2" s="766">
        <v>72.569999999999993</v>
      </c>
      <c r="AH2" s="766">
        <v>72.86</v>
      </c>
      <c r="AI2" s="766">
        <v>73.349999999999994</v>
      </c>
      <c r="AJ2" s="766">
        <v>74.55</v>
      </c>
      <c r="AK2" s="766">
        <v>74.78</v>
      </c>
      <c r="AL2" s="766">
        <v>75.31</v>
      </c>
      <c r="AM2" s="766">
        <v>75.75</v>
      </c>
      <c r="AN2" s="766">
        <v>76.33</v>
      </c>
      <c r="AO2" s="766">
        <v>76.489999999999995</v>
      </c>
      <c r="AP2" s="766">
        <v>76.69</v>
      </c>
      <c r="AQ2" s="766">
        <v>76.81</v>
      </c>
      <c r="AR2" s="766">
        <v>76.88</v>
      </c>
      <c r="AS2" s="766">
        <v>76.489999999999995</v>
      </c>
      <c r="AT2" s="766">
        <v>75.92</v>
      </c>
      <c r="AU2" s="766">
        <v>75.05</v>
      </c>
      <c r="AV2" s="766">
        <v>75.27</v>
      </c>
      <c r="AW2" s="766">
        <v>75.73</v>
      </c>
      <c r="AX2" s="766">
        <v>77.45</v>
      </c>
      <c r="AY2" s="766">
        <v>78.94</v>
      </c>
      <c r="AZ2" s="766">
        <v>79.13</v>
      </c>
      <c r="BA2" s="766">
        <v>79.3</v>
      </c>
      <c r="BB2" s="766">
        <v>79.900000000000006</v>
      </c>
      <c r="BC2" s="766">
        <v>80.22</v>
      </c>
      <c r="BD2" s="766">
        <v>80.59</v>
      </c>
      <c r="BE2" s="766">
        <v>80.78</v>
      </c>
      <c r="BF2" s="766">
        <v>81.209999999999994</v>
      </c>
      <c r="BG2" s="766">
        <v>81.5</v>
      </c>
      <c r="BH2" s="766">
        <v>81.83</v>
      </c>
      <c r="BI2" s="766">
        <v>82.04</v>
      </c>
      <c r="BJ2" s="766">
        <v>82.37</v>
      </c>
      <c r="BK2" s="766">
        <v>82.73</v>
      </c>
      <c r="BL2" s="766">
        <v>83.14</v>
      </c>
      <c r="BM2" s="766">
        <v>83.5</v>
      </c>
      <c r="BN2" s="766">
        <v>83.84</v>
      </c>
      <c r="BO2" s="766">
        <v>84.12</v>
      </c>
      <c r="BP2" s="766">
        <v>84.41</v>
      </c>
      <c r="BQ2" s="766">
        <v>84.61</v>
      </c>
      <c r="BR2" s="766">
        <v>84.83</v>
      </c>
      <c r="BS2" s="766">
        <v>84.98</v>
      </c>
      <c r="BT2" s="766">
        <v>85.18</v>
      </c>
      <c r="BU2" s="766">
        <v>85.36</v>
      </c>
      <c r="BV2" s="766">
        <v>85.58</v>
      </c>
      <c r="BW2" s="766">
        <v>85.79</v>
      </c>
      <c r="BX2" s="766">
        <v>86.01</v>
      </c>
      <c r="BY2" s="766">
        <v>86.22</v>
      </c>
      <c r="BZ2" s="766">
        <v>86.54</v>
      </c>
      <c r="CA2" s="766">
        <v>86.82</v>
      </c>
      <c r="CB2" s="766">
        <v>87.04</v>
      </c>
      <c r="CC2" s="766">
        <v>87.24</v>
      </c>
      <c r="CD2" s="766">
        <v>87.44</v>
      </c>
      <c r="CE2" s="766">
        <v>87.64</v>
      </c>
      <c r="CF2" s="766">
        <v>87.83</v>
      </c>
      <c r="CG2" s="766">
        <v>88.04</v>
      </c>
      <c r="CH2" s="766">
        <v>88.22</v>
      </c>
      <c r="CI2" s="766">
        <v>88.43</v>
      </c>
      <c r="CJ2" s="766">
        <v>88.59</v>
      </c>
      <c r="CK2" s="766">
        <v>88.77</v>
      </c>
      <c r="CL2" s="766">
        <v>88.98</v>
      </c>
      <c r="CM2" s="766">
        <v>89.13</v>
      </c>
      <c r="CN2" s="766">
        <v>89.31</v>
      </c>
      <c r="CO2" s="766">
        <v>89.46</v>
      </c>
      <c r="CP2" s="766">
        <v>89.64</v>
      </c>
      <c r="CQ2" s="766">
        <v>89.79</v>
      </c>
      <c r="CR2" s="766">
        <v>89.95</v>
      </c>
      <c r="CS2" s="766">
        <v>90.1</v>
      </c>
      <c r="CT2" s="766">
        <v>90.25</v>
      </c>
      <c r="CU2" s="766">
        <v>90.39</v>
      </c>
      <c r="CV2" s="766">
        <v>90.5</v>
      </c>
      <c r="CW2" s="766">
        <v>90.65</v>
      </c>
      <c r="CX2" s="766">
        <v>90.79</v>
      </c>
      <c r="CY2" s="766">
        <v>90.92</v>
      </c>
      <c r="CZ2" s="766">
        <v>91.02</v>
      </c>
      <c r="DA2" s="766">
        <v>91.15</v>
      </c>
      <c r="DB2" s="766">
        <v>91.27</v>
      </c>
      <c r="DC2" s="766">
        <v>91.42</v>
      </c>
      <c r="DD2" s="766">
        <v>91.53</v>
      </c>
      <c r="DE2" s="766">
        <v>91.66</v>
      </c>
      <c r="DF2" s="766">
        <v>91.81</v>
      </c>
      <c r="DG2" s="766">
        <v>91.9</v>
      </c>
      <c r="DH2" s="766">
        <v>92.03</v>
      </c>
      <c r="DI2" s="766">
        <v>92.11</v>
      </c>
      <c r="DJ2" s="766">
        <v>92.24</v>
      </c>
      <c r="DK2" s="766">
        <v>92.36</v>
      </c>
      <c r="DL2" s="766">
        <v>92.47</v>
      </c>
      <c r="DM2" s="766">
        <v>92.55</v>
      </c>
      <c r="DN2" s="766">
        <v>92.66</v>
      </c>
      <c r="DO2" s="766">
        <v>92.77</v>
      </c>
      <c r="DP2" s="766">
        <v>92.89</v>
      </c>
      <c r="DQ2" s="766">
        <v>93.01</v>
      </c>
      <c r="DR2" s="766">
        <v>93.12</v>
      </c>
    </row>
    <row r="3" spans="1:122">
      <c r="A3" s="950">
        <v>1</v>
      </c>
      <c r="B3" s="94"/>
      <c r="C3" s="94"/>
      <c r="D3" s="94"/>
      <c r="E3" s="94"/>
      <c r="F3" s="94"/>
      <c r="G3" s="94"/>
      <c r="H3" s="94"/>
      <c r="I3" s="94"/>
      <c r="J3" s="94"/>
      <c r="K3" s="94"/>
      <c r="L3" s="94"/>
      <c r="M3" s="94"/>
      <c r="N3" s="94"/>
      <c r="O3" s="94"/>
      <c r="P3" s="94"/>
      <c r="Q3" s="94"/>
      <c r="R3" s="94"/>
      <c r="S3" s="94"/>
      <c r="T3" s="94"/>
      <c r="U3" s="94"/>
      <c r="V3" s="766"/>
      <c r="W3" s="766">
        <v>73.16</v>
      </c>
      <c r="X3" s="766">
        <v>73.69</v>
      </c>
      <c r="Y3" s="766">
        <v>74.2</v>
      </c>
      <c r="Z3" s="766">
        <v>74.47</v>
      </c>
      <c r="AA3" s="766">
        <v>74.66</v>
      </c>
      <c r="AB3" s="766">
        <v>75.11</v>
      </c>
      <c r="AC3" s="766">
        <v>75.650000000000006</v>
      </c>
      <c r="AD3" s="766">
        <v>75.92</v>
      </c>
      <c r="AE3" s="766">
        <v>76.5</v>
      </c>
      <c r="AF3" s="766">
        <v>76.86</v>
      </c>
      <c r="AG3" s="766">
        <v>77.150000000000006</v>
      </c>
      <c r="AH3" s="766">
        <v>77.41</v>
      </c>
      <c r="AI3" s="766">
        <v>77.680000000000007</v>
      </c>
      <c r="AJ3" s="766">
        <v>78.13</v>
      </c>
      <c r="AK3" s="766">
        <v>78.53</v>
      </c>
      <c r="AL3" s="766">
        <v>78.930000000000007</v>
      </c>
      <c r="AM3" s="766">
        <v>79.27</v>
      </c>
      <c r="AN3" s="766">
        <v>79.540000000000006</v>
      </c>
      <c r="AO3" s="766">
        <v>79.81</v>
      </c>
      <c r="AP3" s="766">
        <v>80.02</v>
      </c>
      <c r="AQ3" s="766">
        <v>80.14</v>
      </c>
      <c r="AR3" s="766">
        <v>80.209999999999994</v>
      </c>
      <c r="AS3" s="766">
        <v>80.260000000000005</v>
      </c>
      <c r="AT3" s="766">
        <v>80.34</v>
      </c>
      <c r="AU3" s="766">
        <v>80.58</v>
      </c>
      <c r="AV3" s="766">
        <v>80.849999999999994</v>
      </c>
      <c r="AW3" s="766">
        <v>81.36</v>
      </c>
      <c r="AX3" s="766">
        <v>81.81</v>
      </c>
      <c r="AY3" s="766">
        <v>82.01</v>
      </c>
      <c r="AZ3" s="766">
        <v>82.2</v>
      </c>
      <c r="BA3" s="766">
        <v>82.38</v>
      </c>
      <c r="BB3" s="766">
        <v>82.53</v>
      </c>
      <c r="BC3" s="766">
        <v>82.69</v>
      </c>
      <c r="BD3" s="766">
        <v>82.82</v>
      </c>
      <c r="BE3" s="766">
        <v>82.97</v>
      </c>
      <c r="BF3" s="766">
        <v>83.16</v>
      </c>
      <c r="BG3" s="766">
        <v>83.38</v>
      </c>
      <c r="BH3" s="766">
        <v>83.57</v>
      </c>
      <c r="BI3" s="766">
        <v>83.74</v>
      </c>
      <c r="BJ3" s="766">
        <v>83.92</v>
      </c>
      <c r="BK3" s="766">
        <v>84.11</v>
      </c>
      <c r="BL3" s="766">
        <v>84.34</v>
      </c>
      <c r="BM3" s="766">
        <v>84.56</v>
      </c>
      <c r="BN3" s="766">
        <v>84.74</v>
      </c>
      <c r="BO3" s="766">
        <v>84.92</v>
      </c>
      <c r="BP3" s="766">
        <v>85.13</v>
      </c>
      <c r="BQ3" s="766">
        <v>85.31</v>
      </c>
      <c r="BR3" s="766">
        <v>85.46</v>
      </c>
      <c r="BS3" s="766">
        <v>85.67</v>
      </c>
      <c r="BT3" s="766">
        <v>85.84</v>
      </c>
      <c r="BU3" s="766">
        <v>86</v>
      </c>
      <c r="BV3" s="766">
        <v>86.17</v>
      </c>
      <c r="BW3" s="766">
        <v>86.33</v>
      </c>
      <c r="BX3" s="766">
        <v>86.49</v>
      </c>
      <c r="BY3" s="766">
        <v>86.65</v>
      </c>
      <c r="BZ3" s="766">
        <v>86.78</v>
      </c>
      <c r="CA3" s="766">
        <v>86.94</v>
      </c>
      <c r="CB3" s="766">
        <v>87.11</v>
      </c>
      <c r="CC3" s="766">
        <v>87.24</v>
      </c>
      <c r="CD3" s="766">
        <v>87.4</v>
      </c>
      <c r="CE3" s="766">
        <v>87.54</v>
      </c>
      <c r="CF3" s="766">
        <v>87.68</v>
      </c>
      <c r="CG3" s="766">
        <v>87.83</v>
      </c>
      <c r="CH3" s="766">
        <v>87.98</v>
      </c>
      <c r="CI3" s="766">
        <v>88.14</v>
      </c>
      <c r="CJ3" s="766">
        <v>88.26</v>
      </c>
      <c r="CK3" s="766">
        <v>88.41</v>
      </c>
      <c r="CL3" s="766">
        <v>88.56</v>
      </c>
      <c r="CM3" s="766">
        <v>88.7</v>
      </c>
      <c r="CN3" s="766">
        <v>88.85</v>
      </c>
      <c r="CO3" s="766">
        <v>88.98</v>
      </c>
      <c r="CP3" s="766">
        <v>89.12</v>
      </c>
      <c r="CQ3" s="766">
        <v>89.24</v>
      </c>
      <c r="CR3" s="766">
        <v>89.38</v>
      </c>
      <c r="CS3" s="766">
        <v>89.52</v>
      </c>
      <c r="CT3" s="766">
        <v>89.65</v>
      </c>
      <c r="CU3" s="766">
        <v>89.77</v>
      </c>
      <c r="CV3" s="766">
        <v>89.88</v>
      </c>
      <c r="CW3" s="766">
        <v>90.01</v>
      </c>
      <c r="CX3" s="766">
        <v>90.14</v>
      </c>
      <c r="CY3" s="766">
        <v>90.26</v>
      </c>
      <c r="CZ3" s="766">
        <v>90.37</v>
      </c>
      <c r="DA3" s="766">
        <v>90.5</v>
      </c>
      <c r="DB3" s="766">
        <v>90.61</v>
      </c>
      <c r="DC3" s="766">
        <v>90.73</v>
      </c>
      <c r="DD3" s="766">
        <v>90.85</v>
      </c>
      <c r="DE3" s="766">
        <v>90.97</v>
      </c>
      <c r="DF3" s="766">
        <v>91.09</v>
      </c>
      <c r="DG3" s="766">
        <v>91.19</v>
      </c>
      <c r="DH3" s="766">
        <v>91.31</v>
      </c>
      <c r="DI3" s="766">
        <v>91.42</v>
      </c>
      <c r="DJ3" s="766">
        <v>91.52</v>
      </c>
      <c r="DK3" s="766">
        <v>91.63</v>
      </c>
      <c r="DL3" s="766">
        <v>91.74</v>
      </c>
      <c r="DM3" s="766">
        <v>91.84</v>
      </c>
      <c r="DN3" s="766">
        <v>91.95</v>
      </c>
      <c r="DO3" s="766">
        <v>92.05</v>
      </c>
      <c r="DP3" s="766">
        <v>92.16</v>
      </c>
      <c r="DQ3" s="766">
        <v>92.26</v>
      </c>
      <c r="DR3" s="766">
        <v>92.36</v>
      </c>
    </row>
    <row r="4" spans="1:122">
      <c r="A4" s="950">
        <v>2</v>
      </c>
      <c r="B4" s="94"/>
      <c r="C4" s="94"/>
      <c r="D4" s="94"/>
      <c r="E4" s="94"/>
      <c r="F4" s="94"/>
      <c r="G4" s="94"/>
      <c r="H4" s="94"/>
      <c r="I4" s="94"/>
      <c r="J4" s="94"/>
      <c r="K4" s="94"/>
      <c r="L4" s="94"/>
      <c r="M4" s="94"/>
      <c r="N4" s="94"/>
      <c r="O4" s="94"/>
      <c r="P4" s="94"/>
      <c r="Q4" s="94"/>
      <c r="R4" s="94"/>
      <c r="S4" s="94"/>
      <c r="T4" s="94"/>
      <c r="U4" s="94"/>
      <c r="V4" s="766"/>
      <c r="W4" s="766">
        <v>73.52</v>
      </c>
      <c r="X4" s="766">
        <v>74.099999999999994</v>
      </c>
      <c r="Y4" s="766">
        <v>74.31</v>
      </c>
      <c r="Z4" s="766">
        <v>74.59</v>
      </c>
      <c r="AA4" s="766">
        <v>74.790000000000006</v>
      </c>
      <c r="AB4" s="766">
        <v>75.150000000000006</v>
      </c>
      <c r="AC4" s="766">
        <v>75.489999999999995</v>
      </c>
      <c r="AD4" s="766">
        <v>75.819999999999993</v>
      </c>
      <c r="AE4" s="766">
        <v>76.19</v>
      </c>
      <c r="AF4" s="766">
        <v>76.52</v>
      </c>
      <c r="AG4" s="766">
        <v>76.78</v>
      </c>
      <c r="AH4" s="766">
        <v>77.05</v>
      </c>
      <c r="AI4" s="766">
        <v>77.319999999999993</v>
      </c>
      <c r="AJ4" s="766">
        <v>77.69</v>
      </c>
      <c r="AK4" s="766">
        <v>78.08</v>
      </c>
      <c r="AL4" s="766">
        <v>78.47</v>
      </c>
      <c r="AM4" s="766">
        <v>78.77</v>
      </c>
      <c r="AN4" s="766">
        <v>79.05</v>
      </c>
      <c r="AO4" s="766">
        <v>79.319999999999993</v>
      </c>
      <c r="AP4" s="766">
        <v>79.53</v>
      </c>
      <c r="AQ4" s="766">
        <v>79.66</v>
      </c>
      <c r="AR4" s="766">
        <v>79.78</v>
      </c>
      <c r="AS4" s="766">
        <v>79.91</v>
      </c>
      <c r="AT4" s="766">
        <v>80.12</v>
      </c>
      <c r="AU4" s="766">
        <v>80.349999999999994</v>
      </c>
      <c r="AV4" s="766">
        <v>80.63</v>
      </c>
      <c r="AW4" s="766">
        <v>80.98</v>
      </c>
      <c r="AX4" s="766">
        <v>81.099999999999994</v>
      </c>
      <c r="AY4" s="766">
        <v>81.3</v>
      </c>
      <c r="AZ4" s="766">
        <v>81.5</v>
      </c>
      <c r="BA4" s="766">
        <v>81.650000000000006</v>
      </c>
      <c r="BB4" s="766">
        <v>81.78</v>
      </c>
      <c r="BC4" s="766">
        <v>81.92</v>
      </c>
      <c r="BD4" s="766">
        <v>82.06</v>
      </c>
      <c r="BE4" s="766">
        <v>82.18</v>
      </c>
      <c r="BF4" s="766">
        <v>82.39</v>
      </c>
      <c r="BG4" s="766">
        <v>82.57</v>
      </c>
      <c r="BH4" s="766">
        <v>82.77</v>
      </c>
      <c r="BI4" s="766">
        <v>82.92</v>
      </c>
      <c r="BJ4" s="766">
        <v>83.1</v>
      </c>
      <c r="BK4" s="766">
        <v>83.28</v>
      </c>
      <c r="BL4" s="766">
        <v>83.49</v>
      </c>
      <c r="BM4" s="766">
        <v>83.71</v>
      </c>
      <c r="BN4" s="766">
        <v>83.88</v>
      </c>
      <c r="BO4" s="766">
        <v>84.05</v>
      </c>
      <c r="BP4" s="766">
        <v>84.26</v>
      </c>
      <c r="BQ4" s="766">
        <v>84.43</v>
      </c>
      <c r="BR4" s="766">
        <v>84.59</v>
      </c>
      <c r="BS4" s="766">
        <v>84.79</v>
      </c>
      <c r="BT4" s="766">
        <v>84.95</v>
      </c>
      <c r="BU4" s="766">
        <v>85.1</v>
      </c>
      <c r="BV4" s="766">
        <v>85.27</v>
      </c>
      <c r="BW4" s="766">
        <v>85.43</v>
      </c>
      <c r="BX4" s="766">
        <v>85.58</v>
      </c>
      <c r="BY4" s="766">
        <v>85.73</v>
      </c>
      <c r="BZ4" s="766">
        <v>85.86</v>
      </c>
      <c r="CA4" s="766">
        <v>86.02</v>
      </c>
      <c r="CB4" s="766">
        <v>86.19</v>
      </c>
      <c r="CC4" s="766">
        <v>86.32</v>
      </c>
      <c r="CD4" s="766">
        <v>86.47</v>
      </c>
      <c r="CE4" s="766">
        <v>86.61</v>
      </c>
      <c r="CF4" s="766">
        <v>86.75</v>
      </c>
      <c r="CG4" s="766">
        <v>86.89</v>
      </c>
      <c r="CH4" s="766">
        <v>87.05</v>
      </c>
      <c r="CI4" s="766">
        <v>87.2</v>
      </c>
      <c r="CJ4" s="766">
        <v>87.31</v>
      </c>
      <c r="CK4" s="766">
        <v>87.46</v>
      </c>
      <c r="CL4" s="766">
        <v>87.61</v>
      </c>
      <c r="CM4" s="766">
        <v>87.75</v>
      </c>
      <c r="CN4" s="766">
        <v>87.9</v>
      </c>
      <c r="CO4" s="766">
        <v>88.03</v>
      </c>
      <c r="CP4" s="766">
        <v>88.17</v>
      </c>
      <c r="CQ4" s="766">
        <v>88.29</v>
      </c>
      <c r="CR4" s="766">
        <v>88.42</v>
      </c>
      <c r="CS4" s="766">
        <v>88.55</v>
      </c>
      <c r="CT4" s="766">
        <v>88.69</v>
      </c>
      <c r="CU4" s="766">
        <v>88.8</v>
      </c>
      <c r="CV4" s="766">
        <v>88.91</v>
      </c>
      <c r="CW4" s="766">
        <v>89.05</v>
      </c>
      <c r="CX4" s="766">
        <v>89.17</v>
      </c>
      <c r="CY4" s="766">
        <v>89.3</v>
      </c>
      <c r="CZ4" s="766">
        <v>89.41</v>
      </c>
      <c r="DA4" s="766">
        <v>89.53</v>
      </c>
      <c r="DB4" s="766">
        <v>89.64</v>
      </c>
      <c r="DC4" s="766">
        <v>89.76</v>
      </c>
      <c r="DD4" s="766">
        <v>89.88</v>
      </c>
      <c r="DE4" s="766">
        <v>89.99</v>
      </c>
      <c r="DF4" s="766">
        <v>90.11</v>
      </c>
      <c r="DG4" s="766">
        <v>90.22</v>
      </c>
      <c r="DH4" s="766">
        <v>90.33</v>
      </c>
      <c r="DI4" s="766">
        <v>90.44</v>
      </c>
      <c r="DJ4" s="766">
        <v>90.54</v>
      </c>
      <c r="DK4" s="766">
        <v>90.65</v>
      </c>
      <c r="DL4" s="766">
        <v>90.76</v>
      </c>
      <c r="DM4" s="766">
        <v>90.86</v>
      </c>
      <c r="DN4" s="766">
        <v>90.97</v>
      </c>
      <c r="DO4" s="766">
        <v>91.07</v>
      </c>
      <c r="DP4" s="766">
        <v>91.18</v>
      </c>
      <c r="DQ4" s="766">
        <v>91.28</v>
      </c>
      <c r="DR4" s="766">
        <v>91.38</v>
      </c>
    </row>
    <row r="5" spans="1:122">
      <c r="A5" s="950">
        <v>3</v>
      </c>
      <c r="B5" s="94"/>
      <c r="C5" s="94"/>
      <c r="D5" s="94"/>
      <c r="E5" s="94"/>
      <c r="F5" s="94"/>
      <c r="G5" s="94"/>
      <c r="H5" s="94"/>
      <c r="I5" s="94"/>
      <c r="J5" s="94"/>
      <c r="K5" s="94"/>
      <c r="L5" s="94"/>
      <c r="M5" s="94"/>
      <c r="N5" s="94"/>
      <c r="O5" s="94"/>
      <c r="P5" s="94"/>
      <c r="Q5" s="94"/>
      <c r="R5" s="94"/>
      <c r="S5" s="94"/>
      <c r="T5" s="94"/>
      <c r="U5" s="94"/>
      <c r="V5" s="766"/>
      <c r="W5" s="766">
        <v>73.31</v>
      </c>
      <c r="X5" s="766">
        <v>73.53</v>
      </c>
      <c r="Y5" s="766">
        <v>73.739999999999995</v>
      </c>
      <c r="Z5" s="766">
        <v>74.010000000000005</v>
      </c>
      <c r="AA5" s="766">
        <v>74.239999999999995</v>
      </c>
      <c r="AB5" s="766">
        <v>74.56</v>
      </c>
      <c r="AC5" s="766">
        <v>74.95</v>
      </c>
      <c r="AD5" s="766">
        <v>75.19</v>
      </c>
      <c r="AE5" s="766">
        <v>75.52</v>
      </c>
      <c r="AF5" s="766">
        <v>75.819999999999993</v>
      </c>
      <c r="AG5" s="766">
        <v>76.09</v>
      </c>
      <c r="AH5" s="766">
        <v>76.36</v>
      </c>
      <c r="AI5" s="766">
        <v>76.67</v>
      </c>
      <c r="AJ5" s="766">
        <v>77.08</v>
      </c>
      <c r="AK5" s="766">
        <v>77.41</v>
      </c>
      <c r="AL5" s="766">
        <v>77.78</v>
      </c>
      <c r="AM5" s="766">
        <v>78.099999999999994</v>
      </c>
      <c r="AN5" s="766">
        <v>78.38</v>
      </c>
      <c r="AO5" s="766">
        <v>78.650000000000006</v>
      </c>
      <c r="AP5" s="766">
        <v>78.86</v>
      </c>
      <c r="AQ5" s="766">
        <v>79.02</v>
      </c>
      <c r="AR5" s="766">
        <v>79.2</v>
      </c>
      <c r="AS5" s="766">
        <v>79.41</v>
      </c>
      <c r="AT5" s="766">
        <v>79.5</v>
      </c>
      <c r="AU5" s="766">
        <v>79.73</v>
      </c>
      <c r="AV5" s="766">
        <v>79.88</v>
      </c>
      <c r="AW5" s="766">
        <v>80.16</v>
      </c>
      <c r="AX5" s="766">
        <v>80.27</v>
      </c>
      <c r="AY5" s="766">
        <v>80.48</v>
      </c>
      <c r="AZ5" s="766">
        <v>80.62</v>
      </c>
      <c r="BA5" s="766">
        <v>80.78</v>
      </c>
      <c r="BB5" s="766">
        <v>80.900000000000006</v>
      </c>
      <c r="BC5" s="766">
        <v>81.040000000000006</v>
      </c>
      <c r="BD5" s="766">
        <v>81.17</v>
      </c>
      <c r="BE5" s="766">
        <v>81.290000000000006</v>
      </c>
      <c r="BF5" s="766">
        <v>81.489999999999995</v>
      </c>
      <c r="BG5" s="766">
        <v>81.67</v>
      </c>
      <c r="BH5" s="766">
        <v>81.86</v>
      </c>
      <c r="BI5" s="766">
        <v>82.01</v>
      </c>
      <c r="BJ5" s="766">
        <v>82.19</v>
      </c>
      <c r="BK5" s="766">
        <v>82.37</v>
      </c>
      <c r="BL5" s="766">
        <v>82.57</v>
      </c>
      <c r="BM5" s="766">
        <v>82.78</v>
      </c>
      <c r="BN5" s="766">
        <v>82.96</v>
      </c>
      <c r="BO5" s="766">
        <v>83.12</v>
      </c>
      <c r="BP5" s="766">
        <v>83.33</v>
      </c>
      <c r="BQ5" s="766">
        <v>83.51</v>
      </c>
      <c r="BR5" s="766">
        <v>83.65</v>
      </c>
      <c r="BS5" s="766">
        <v>83.85</v>
      </c>
      <c r="BT5" s="766">
        <v>84.01</v>
      </c>
      <c r="BU5" s="766">
        <v>84.16</v>
      </c>
      <c r="BV5" s="766">
        <v>84.33</v>
      </c>
      <c r="BW5" s="766">
        <v>84.48</v>
      </c>
      <c r="BX5" s="766">
        <v>84.63</v>
      </c>
      <c r="BY5" s="766">
        <v>84.78</v>
      </c>
      <c r="BZ5" s="766">
        <v>84.91</v>
      </c>
      <c r="CA5" s="766">
        <v>85.07</v>
      </c>
      <c r="CB5" s="766">
        <v>85.23</v>
      </c>
      <c r="CC5" s="766">
        <v>85.37</v>
      </c>
      <c r="CD5" s="766">
        <v>85.51</v>
      </c>
      <c r="CE5" s="766">
        <v>85.64</v>
      </c>
      <c r="CF5" s="766">
        <v>85.79</v>
      </c>
      <c r="CG5" s="766">
        <v>85.92</v>
      </c>
      <c r="CH5" s="766">
        <v>86.08</v>
      </c>
      <c r="CI5" s="766">
        <v>86.23</v>
      </c>
      <c r="CJ5" s="766">
        <v>86.35</v>
      </c>
      <c r="CK5" s="766">
        <v>86.49</v>
      </c>
      <c r="CL5" s="766">
        <v>86.64</v>
      </c>
      <c r="CM5" s="766">
        <v>86.78</v>
      </c>
      <c r="CN5" s="766">
        <v>86.92</v>
      </c>
      <c r="CO5" s="766">
        <v>87.05</v>
      </c>
      <c r="CP5" s="766">
        <v>87.19</v>
      </c>
      <c r="CQ5" s="766">
        <v>87.31</v>
      </c>
      <c r="CR5" s="766">
        <v>87.44</v>
      </c>
      <c r="CS5" s="766">
        <v>87.58</v>
      </c>
      <c r="CT5" s="766">
        <v>87.71</v>
      </c>
      <c r="CU5" s="766">
        <v>87.82</v>
      </c>
      <c r="CV5" s="766">
        <v>87.93</v>
      </c>
      <c r="CW5" s="766">
        <v>88.06</v>
      </c>
      <c r="CX5" s="766">
        <v>88.19</v>
      </c>
      <c r="CY5" s="766">
        <v>88.32</v>
      </c>
      <c r="CZ5" s="766">
        <v>88.42</v>
      </c>
      <c r="DA5" s="766">
        <v>88.54</v>
      </c>
      <c r="DB5" s="766">
        <v>88.65</v>
      </c>
      <c r="DC5" s="766">
        <v>88.77</v>
      </c>
      <c r="DD5" s="766">
        <v>88.89</v>
      </c>
      <c r="DE5" s="766">
        <v>89</v>
      </c>
      <c r="DF5" s="766">
        <v>89.13</v>
      </c>
      <c r="DG5" s="766">
        <v>89.23</v>
      </c>
      <c r="DH5" s="766">
        <v>89.34</v>
      </c>
      <c r="DI5" s="766">
        <v>89.45</v>
      </c>
      <c r="DJ5" s="766">
        <v>89.55</v>
      </c>
      <c r="DK5" s="766">
        <v>89.67</v>
      </c>
      <c r="DL5" s="766">
        <v>89.77</v>
      </c>
      <c r="DM5" s="766">
        <v>89.88</v>
      </c>
      <c r="DN5" s="766">
        <v>89.98</v>
      </c>
      <c r="DO5" s="766">
        <v>90.09</v>
      </c>
      <c r="DP5" s="766">
        <v>90.19</v>
      </c>
      <c r="DQ5" s="766">
        <v>90.29</v>
      </c>
      <c r="DR5" s="766">
        <v>90.39</v>
      </c>
    </row>
    <row r="6" spans="1:122">
      <c r="A6" s="950">
        <v>4</v>
      </c>
      <c r="B6" s="94"/>
      <c r="C6" s="94"/>
      <c r="D6" s="94"/>
      <c r="E6" s="94"/>
      <c r="F6" s="94"/>
      <c r="G6" s="94"/>
      <c r="H6" s="94"/>
      <c r="I6" s="94"/>
      <c r="J6" s="94"/>
      <c r="K6" s="94"/>
      <c r="L6" s="94"/>
      <c r="M6" s="94"/>
      <c r="N6" s="94"/>
      <c r="O6" s="94"/>
      <c r="P6" s="94"/>
      <c r="Q6" s="94"/>
      <c r="R6" s="94"/>
      <c r="S6" s="94"/>
      <c r="T6" s="94"/>
      <c r="U6" s="94"/>
      <c r="V6" s="766"/>
      <c r="W6" s="766">
        <v>72.569999999999993</v>
      </c>
      <c r="X6" s="766">
        <v>72.790000000000006</v>
      </c>
      <c r="Y6" s="766">
        <v>73.010000000000005</v>
      </c>
      <c r="Z6" s="766">
        <v>73.3</v>
      </c>
      <c r="AA6" s="766">
        <v>73.52</v>
      </c>
      <c r="AB6" s="766">
        <v>73.86</v>
      </c>
      <c r="AC6" s="766">
        <v>74.22</v>
      </c>
      <c r="AD6" s="766">
        <v>74.430000000000007</v>
      </c>
      <c r="AE6" s="766">
        <v>74.739999999999995</v>
      </c>
      <c r="AF6" s="766">
        <v>75.040000000000006</v>
      </c>
      <c r="AG6" s="766">
        <v>75.31</v>
      </c>
      <c r="AH6" s="766">
        <v>75.61</v>
      </c>
      <c r="AI6" s="766">
        <v>75.95</v>
      </c>
      <c r="AJ6" s="766">
        <v>76.319999999999993</v>
      </c>
      <c r="AK6" s="766">
        <v>76.63</v>
      </c>
      <c r="AL6" s="766">
        <v>77.010000000000005</v>
      </c>
      <c r="AM6" s="766">
        <v>77.34</v>
      </c>
      <c r="AN6" s="766">
        <v>77.62</v>
      </c>
      <c r="AO6" s="766">
        <v>77.89</v>
      </c>
      <c r="AP6" s="766">
        <v>78.13</v>
      </c>
      <c r="AQ6" s="766">
        <v>78.319999999999993</v>
      </c>
      <c r="AR6" s="766">
        <v>78.56</v>
      </c>
      <c r="AS6" s="766">
        <v>78.69</v>
      </c>
      <c r="AT6" s="766">
        <v>78.78</v>
      </c>
      <c r="AU6" s="766">
        <v>78.92</v>
      </c>
      <c r="AV6" s="766">
        <v>79.010000000000005</v>
      </c>
      <c r="AW6" s="766">
        <v>79.290000000000006</v>
      </c>
      <c r="AX6" s="766">
        <v>79.400000000000006</v>
      </c>
      <c r="AY6" s="766">
        <v>79.56</v>
      </c>
      <c r="AZ6" s="766">
        <v>79.7</v>
      </c>
      <c r="BA6" s="766">
        <v>79.86</v>
      </c>
      <c r="BB6" s="766">
        <v>79.98</v>
      </c>
      <c r="BC6" s="766">
        <v>80.12</v>
      </c>
      <c r="BD6" s="766">
        <v>80.25</v>
      </c>
      <c r="BE6" s="766">
        <v>80.36</v>
      </c>
      <c r="BF6" s="766">
        <v>80.56</v>
      </c>
      <c r="BG6" s="766">
        <v>80.739999999999995</v>
      </c>
      <c r="BH6" s="766">
        <v>80.930000000000007</v>
      </c>
      <c r="BI6" s="766">
        <v>81.069999999999993</v>
      </c>
      <c r="BJ6" s="766">
        <v>81.25</v>
      </c>
      <c r="BK6" s="766">
        <v>81.42</v>
      </c>
      <c r="BL6" s="766">
        <v>81.62</v>
      </c>
      <c r="BM6" s="766">
        <v>81.84</v>
      </c>
      <c r="BN6" s="766">
        <v>82.01</v>
      </c>
      <c r="BO6" s="766">
        <v>82.18</v>
      </c>
      <c r="BP6" s="766">
        <v>82.38</v>
      </c>
      <c r="BQ6" s="766">
        <v>82.56</v>
      </c>
      <c r="BR6" s="766">
        <v>82.7</v>
      </c>
      <c r="BS6" s="766">
        <v>82.9</v>
      </c>
      <c r="BT6" s="766">
        <v>83.06</v>
      </c>
      <c r="BU6" s="766">
        <v>83.2</v>
      </c>
      <c r="BV6" s="766">
        <v>83.37</v>
      </c>
      <c r="BW6" s="766">
        <v>83.52</v>
      </c>
      <c r="BX6" s="766">
        <v>83.68</v>
      </c>
      <c r="BY6" s="766">
        <v>83.82</v>
      </c>
      <c r="BZ6" s="766">
        <v>83.95</v>
      </c>
      <c r="CA6" s="766">
        <v>84.1</v>
      </c>
      <c r="CB6" s="766">
        <v>84.26</v>
      </c>
      <c r="CC6" s="766">
        <v>84.4</v>
      </c>
      <c r="CD6" s="766">
        <v>84.54</v>
      </c>
      <c r="CE6" s="766">
        <v>84.67</v>
      </c>
      <c r="CF6" s="766">
        <v>84.82</v>
      </c>
      <c r="CG6" s="766">
        <v>84.95</v>
      </c>
      <c r="CH6" s="766">
        <v>85.11</v>
      </c>
      <c r="CI6" s="766">
        <v>85.26</v>
      </c>
      <c r="CJ6" s="766">
        <v>85.37</v>
      </c>
      <c r="CK6" s="766">
        <v>85.52</v>
      </c>
      <c r="CL6" s="766">
        <v>85.66</v>
      </c>
      <c r="CM6" s="766">
        <v>85.8</v>
      </c>
      <c r="CN6" s="766">
        <v>85.94</v>
      </c>
      <c r="CO6" s="766">
        <v>86.07</v>
      </c>
      <c r="CP6" s="766">
        <v>86.21</v>
      </c>
      <c r="CQ6" s="766">
        <v>86.32</v>
      </c>
      <c r="CR6" s="766">
        <v>86.45</v>
      </c>
      <c r="CS6" s="766">
        <v>86.59</v>
      </c>
      <c r="CT6" s="766">
        <v>86.72</v>
      </c>
      <c r="CU6" s="766">
        <v>86.84</v>
      </c>
      <c r="CV6" s="766">
        <v>86.94</v>
      </c>
      <c r="CW6" s="766">
        <v>87.08</v>
      </c>
      <c r="CX6" s="766">
        <v>87.2</v>
      </c>
      <c r="CY6" s="766">
        <v>87.33</v>
      </c>
      <c r="CZ6" s="766">
        <v>87.43</v>
      </c>
      <c r="DA6" s="766">
        <v>87.56</v>
      </c>
      <c r="DB6" s="766">
        <v>87.67</v>
      </c>
      <c r="DC6" s="766">
        <v>87.79</v>
      </c>
      <c r="DD6" s="766">
        <v>87.9</v>
      </c>
      <c r="DE6" s="766">
        <v>88.01</v>
      </c>
      <c r="DF6" s="766">
        <v>88.14</v>
      </c>
      <c r="DG6" s="766">
        <v>88.24</v>
      </c>
      <c r="DH6" s="766">
        <v>88.35</v>
      </c>
      <c r="DI6" s="766">
        <v>88.46</v>
      </c>
      <c r="DJ6" s="766">
        <v>88.56</v>
      </c>
      <c r="DK6" s="766">
        <v>88.68</v>
      </c>
      <c r="DL6" s="766">
        <v>88.78</v>
      </c>
      <c r="DM6" s="766">
        <v>88.89</v>
      </c>
      <c r="DN6" s="766">
        <v>88.99</v>
      </c>
      <c r="DO6" s="766">
        <v>89.1</v>
      </c>
      <c r="DP6" s="766">
        <v>89.2</v>
      </c>
      <c r="DQ6" s="766">
        <v>89.3</v>
      </c>
      <c r="DR6" s="766">
        <v>89.4</v>
      </c>
    </row>
    <row r="7" spans="1:122">
      <c r="A7" s="950">
        <v>5</v>
      </c>
      <c r="B7" s="94"/>
      <c r="C7" s="94"/>
      <c r="D7" s="94"/>
      <c r="E7" s="94"/>
      <c r="F7" s="94"/>
      <c r="G7" s="94"/>
      <c r="H7" s="94"/>
      <c r="I7" s="94"/>
      <c r="J7" s="94"/>
      <c r="K7" s="94"/>
      <c r="L7" s="94"/>
      <c r="M7" s="94"/>
      <c r="N7" s="94"/>
      <c r="O7" s="94"/>
      <c r="P7" s="94"/>
      <c r="Q7" s="94"/>
      <c r="R7" s="94"/>
      <c r="S7" s="94"/>
      <c r="T7" s="94"/>
      <c r="U7" s="94"/>
      <c r="V7" s="766"/>
      <c r="W7" s="766">
        <v>71.78</v>
      </c>
      <c r="X7" s="766">
        <v>72</v>
      </c>
      <c r="Y7" s="766">
        <v>72.23</v>
      </c>
      <c r="Z7" s="766">
        <v>72.52</v>
      </c>
      <c r="AA7" s="766">
        <v>72.760000000000005</v>
      </c>
      <c r="AB7" s="766">
        <v>73.09</v>
      </c>
      <c r="AC7" s="766">
        <v>73.41</v>
      </c>
      <c r="AD7" s="766">
        <v>73.61</v>
      </c>
      <c r="AE7" s="766">
        <v>73.92</v>
      </c>
      <c r="AF7" s="766">
        <v>74.23</v>
      </c>
      <c r="AG7" s="766">
        <v>74.52</v>
      </c>
      <c r="AH7" s="766">
        <v>74.84</v>
      </c>
      <c r="AI7" s="766">
        <v>75.150000000000006</v>
      </c>
      <c r="AJ7" s="766">
        <v>75.510000000000005</v>
      </c>
      <c r="AK7" s="766">
        <v>75.83</v>
      </c>
      <c r="AL7" s="766">
        <v>76.209999999999994</v>
      </c>
      <c r="AM7" s="766">
        <v>76.540000000000006</v>
      </c>
      <c r="AN7" s="766">
        <v>76.819999999999993</v>
      </c>
      <c r="AO7" s="766">
        <v>77.11</v>
      </c>
      <c r="AP7" s="766">
        <v>77.38</v>
      </c>
      <c r="AQ7" s="766">
        <v>77.63</v>
      </c>
      <c r="AR7" s="766">
        <v>77.75</v>
      </c>
      <c r="AS7" s="766">
        <v>77.88</v>
      </c>
      <c r="AT7" s="766">
        <v>77.91</v>
      </c>
      <c r="AU7" s="766">
        <v>78.02</v>
      </c>
      <c r="AV7" s="766">
        <v>78.11</v>
      </c>
      <c r="AW7" s="766">
        <v>78.39</v>
      </c>
      <c r="AX7" s="766">
        <v>78.47</v>
      </c>
      <c r="AY7" s="766">
        <v>78.63</v>
      </c>
      <c r="AZ7" s="766">
        <v>78.77</v>
      </c>
      <c r="BA7" s="766">
        <v>78.91</v>
      </c>
      <c r="BB7" s="766">
        <v>79.040000000000006</v>
      </c>
      <c r="BC7" s="766">
        <v>79.180000000000007</v>
      </c>
      <c r="BD7" s="766">
        <v>79.31</v>
      </c>
      <c r="BE7" s="766">
        <v>79.41</v>
      </c>
      <c r="BF7" s="766">
        <v>79.62</v>
      </c>
      <c r="BG7" s="766">
        <v>79.790000000000006</v>
      </c>
      <c r="BH7" s="766">
        <v>79.97</v>
      </c>
      <c r="BI7" s="766">
        <v>80.12</v>
      </c>
      <c r="BJ7" s="766">
        <v>80.290000000000006</v>
      </c>
      <c r="BK7" s="766">
        <v>80.47</v>
      </c>
      <c r="BL7" s="766">
        <v>80.67</v>
      </c>
      <c r="BM7" s="766">
        <v>80.89</v>
      </c>
      <c r="BN7" s="766">
        <v>81.06</v>
      </c>
      <c r="BO7" s="766">
        <v>81.22</v>
      </c>
      <c r="BP7" s="766">
        <v>81.42</v>
      </c>
      <c r="BQ7" s="766">
        <v>81.599999999999994</v>
      </c>
      <c r="BR7" s="766">
        <v>81.75</v>
      </c>
      <c r="BS7" s="766">
        <v>81.93</v>
      </c>
      <c r="BT7" s="766">
        <v>82.1</v>
      </c>
      <c r="BU7" s="766">
        <v>82.24</v>
      </c>
      <c r="BV7" s="766">
        <v>82.41</v>
      </c>
      <c r="BW7" s="766">
        <v>82.56</v>
      </c>
      <c r="BX7" s="766">
        <v>82.71</v>
      </c>
      <c r="BY7" s="766">
        <v>82.85</v>
      </c>
      <c r="BZ7" s="766">
        <v>82.98</v>
      </c>
      <c r="CA7" s="766">
        <v>83.13</v>
      </c>
      <c r="CB7" s="766">
        <v>83.29</v>
      </c>
      <c r="CC7" s="766">
        <v>83.42</v>
      </c>
      <c r="CD7" s="766">
        <v>83.56</v>
      </c>
      <c r="CE7" s="766">
        <v>83.69</v>
      </c>
      <c r="CF7" s="766">
        <v>83.84</v>
      </c>
      <c r="CG7" s="766">
        <v>83.97</v>
      </c>
      <c r="CH7" s="766">
        <v>84.12</v>
      </c>
      <c r="CI7" s="766">
        <v>84.28</v>
      </c>
      <c r="CJ7" s="766">
        <v>84.39</v>
      </c>
      <c r="CK7" s="766">
        <v>84.54</v>
      </c>
      <c r="CL7" s="766">
        <v>84.68</v>
      </c>
      <c r="CM7" s="766">
        <v>84.82</v>
      </c>
      <c r="CN7" s="766">
        <v>84.96</v>
      </c>
      <c r="CO7" s="766">
        <v>85.09</v>
      </c>
      <c r="CP7" s="766">
        <v>85.22</v>
      </c>
      <c r="CQ7" s="766">
        <v>85.34</v>
      </c>
      <c r="CR7" s="766">
        <v>85.46</v>
      </c>
      <c r="CS7" s="766">
        <v>85.61</v>
      </c>
      <c r="CT7" s="766">
        <v>85.73</v>
      </c>
      <c r="CU7" s="766">
        <v>85.85</v>
      </c>
      <c r="CV7" s="766">
        <v>85.96</v>
      </c>
      <c r="CW7" s="766">
        <v>86.09</v>
      </c>
      <c r="CX7" s="766">
        <v>86.21</v>
      </c>
      <c r="CY7" s="766">
        <v>86.34</v>
      </c>
      <c r="CZ7" s="766">
        <v>86.44</v>
      </c>
      <c r="DA7" s="766">
        <v>86.57</v>
      </c>
      <c r="DB7" s="766">
        <v>86.68</v>
      </c>
      <c r="DC7" s="766">
        <v>86.8</v>
      </c>
      <c r="DD7" s="766">
        <v>86.91</v>
      </c>
      <c r="DE7" s="766">
        <v>87.02</v>
      </c>
      <c r="DF7" s="766">
        <v>87.14</v>
      </c>
      <c r="DG7" s="766">
        <v>87.25</v>
      </c>
      <c r="DH7" s="766">
        <v>87.36</v>
      </c>
      <c r="DI7" s="766">
        <v>87.47</v>
      </c>
      <c r="DJ7" s="766">
        <v>87.57</v>
      </c>
      <c r="DK7" s="766">
        <v>87.68</v>
      </c>
      <c r="DL7" s="766">
        <v>87.79</v>
      </c>
      <c r="DM7" s="766">
        <v>87.9</v>
      </c>
      <c r="DN7" s="766">
        <v>88</v>
      </c>
      <c r="DO7" s="766">
        <v>88.1</v>
      </c>
      <c r="DP7" s="766">
        <v>88.21</v>
      </c>
      <c r="DQ7" s="766">
        <v>88.31</v>
      </c>
      <c r="DR7" s="766">
        <v>88.41</v>
      </c>
    </row>
    <row r="8" spans="1:122">
      <c r="A8" s="950">
        <v>6</v>
      </c>
      <c r="B8" s="94"/>
      <c r="C8" s="94"/>
      <c r="D8" s="94"/>
      <c r="E8" s="94"/>
      <c r="F8" s="94"/>
      <c r="G8" s="94"/>
      <c r="H8" s="94"/>
      <c r="I8" s="94"/>
      <c r="J8" s="94"/>
      <c r="K8" s="94"/>
      <c r="L8" s="94"/>
      <c r="M8" s="94"/>
      <c r="N8" s="94"/>
      <c r="O8" s="94"/>
      <c r="P8" s="94"/>
      <c r="Q8" s="94"/>
      <c r="R8" s="94"/>
      <c r="S8" s="94"/>
      <c r="T8" s="94"/>
      <c r="U8" s="94"/>
      <c r="V8" s="766"/>
      <c r="W8" s="766">
        <v>70.94</v>
      </c>
      <c r="X8" s="766">
        <v>71.17</v>
      </c>
      <c r="Y8" s="766">
        <v>71.41</v>
      </c>
      <c r="Z8" s="766">
        <v>71.72</v>
      </c>
      <c r="AA8" s="766">
        <v>71.959999999999994</v>
      </c>
      <c r="AB8" s="766">
        <v>72.260000000000005</v>
      </c>
      <c r="AC8" s="766">
        <v>72.569999999999993</v>
      </c>
      <c r="AD8" s="766">
        <v>72.77</v>
      </c>
      <c r="AE8" s="766">
        <v>73.08</v>
      </c>
      <c r="AF8" s="766">
        <v>73.41</v>
      </c>
      <c r="AG8" s="766">
        <v>73.72</v>
      </c>
      <c r="AH8" s="766">
        <v>74.02</v>
      </c>
      <c r="AI8" s="766">
        <v>74.31</v>
      </c>
      <c r="AJ8" s="766">
        <v>74.680000000000007</v>
      </c>
      <c r="AK8" s="766">
        <v>75</v>
      </c>
      <c r="AL8" s="766">
        <v>75.39</v>
      </c>
      <c r="AM8" s="766">
        <v>75.709999999999994</v>
      </c>
      <c r="AN8" s="766">
        <v>76.010000000000005</v>
      </c>
      <c r="AO8" s="766">
        <v>76.33</v>
      </c>
      <c r="AP8" s="766">
        <v>76.64</v>
      </c>
      <c r="AQ8" s="766">
        <v>76.760000000000005</v>
      </c>
      <c r="AR8" s="766">
        <v>76.89</v>
      </c>
      <c r="AS8" s="766">
        <v>76.98</v>
      </c>
      <c r="AT8" s="766">
        <v>76.98</v>
      </c>
      <c r="AU8" s="766">
        <v>77.099999999999994</v>
      </c>
      <c r="AV8" s="766">
        <v>77.19</v>
      </c>
      <c r="AW8" s="766">
        <v>77.45</v>
      </c>
      <c r="AX8" s="766">
        <v>77.52</v>
      </c>
      <c r="AY8" s="766">
        <v>77.69</v>
      </c>
      <c r="AZ8" s="766">
        <v>77.819999999999993</v>
      </c>
      <c r="BA8" s="766">
        <v>77.959999999999994</v>
      </c>
      <c r="BB8" s="766">
        <v>78.09</v>
      </c>
      <c r="BC8" s="766">
        <v>78.23</v>
      </c>
      <c r="BD8" s="766">
        <v>78.349999999999994</v>
      </c>
      <c r="BE8" s="766">
        <v>78.459999999999994</v>
      </c>
      <c r="BF8" s="766">
        <v>78.66</v>
      </c>
      <c r="BG8" s="766">
        <v>78.83</v>
      </c>
      <c r="BH8" s="766">
        <v>79.010000000000005</v>
      </c>
      <c r="BI8" s="766">
        <v>79.16</v>
      </c>
      <c r="BJ8" s="766">
        <v>79.33</v>
      </c>
      <c r="BK8" s="766">
        <v>79.510000000000005</v>
      </c>
      <c r="BL8" s="766">
        <v>79.709999999999994</v>
      </c>
      <c r="BM8" s="766">
        <v>79.92</v>
      </c>
      <c r="BN8" s="766">
        <v>80.099999999999994</v>
      </c>
      <c r="BO8" s="766">
        <v>80.260000000000005</v>
      </c>
      <c r="BP8" s="766">
        <v>80.459999999999994</v>
      </c>
      <c r="BQ8" s="766">
        <v>80.64</v>
      </c>
      <c r="BR8" s="766">
        <v>80.78</v>
      </c>
      <c r="BS8" s="766">
        <v>80.97</v>
      </c>
      <c r="BT8" s="766">
        <v>81.13</v>
      </c>
      <c r="BU8" s="766">
        <v>81.27</v>
      </c>
      <c r="BV8" s="766">
        <v>81.430000000000007</v>
      </c>
      <c r="BW8" s="766">
        <v>81.59</v>
      </c>
      <c r="BX8" s="766">
        <v>81.73</v>
      </c>
      <c r="BY8" s="766">
        <v>81.87</v>
      </c>
      <c r="BZ8" s="766">
        <v>82.01</v>
      </c>
      <c r="CA8" s="766">
        <v>82.15</v>
      </c>
      <c r="CB8" s="766">
        <v>82.31</v>
      </c>
      <c r="CC8" s="766">
        <v>82.45</v>
      </c>
      <c r="CD8" s="766">
        <v>82.58</v>
      </c>
      <c r="CE8" s="766">
        <v>82.71</v>
      </c>
      <c r="CF8" s="766">
        <v>82.85</v>
      </c>
      <c r="CG8" s="766">
        <v>82.98</v>
      </c>
      <c r="CH8" s="766">
        <v>83.14</v>
      </c>
      <c r="CI8" s="766">
        <v>83.29</v>
      </c>
      <c r="CJ8" s="766">
        <v>83.41</v>
      </c>
      <c r="CK8" s="766">
        <v>83.56</v>
      </c>
      <c r="CL8" s="766">
        <v>83.69</v>
      </c>
      <c r="CM8" s="766">
        <v>83.83</v>
      </c>
      <c r="CN8" s="766">
        <v>83.97</v>
      </c>
      <c r="CO8" s="766">
        <v>84.1</v>
      </c>
      <c r="CP8" s="766">
        <v>84.23</v>
      </c>
      <c r="CQ8" s="766">
        <v>84.35</v>
      </c>
      <c r="CR8" s="766">
        <v>84.47</v>
      </c>
      <c r="CS8" s="766">
        <v>84.61</v>
      </c>
      <c r="CT8" s="766">
        <v>84.74</v>
      </c>
      <c r="CU8" s="766">
        <v>84.86</v>
      </c>
      <c r="CV8" s="766">
        <v>84.97</v>
      </c>
      <c r="CW8" s="766">
        <v>85.1</v>
      </c>
      <c r="CX8" s="766">
        <v>85.22</v>
      </c>
      <c r="CY8" s="766">
        <v>85.34</v>
      </c>
      <c r="CZ8" s="766">
        <v>85.45</v>
      </c>
      <c r="DA8" s="766">
        <v>85.57</v>
      </c>
      <c r="DB8" s="766">
        <v>85.69</v>
      </c>
      <c r="DC8" s="766">
        <v>85.81</v>
      </c>
      <c r="DD8" s="766">
        <v>85.92</v>
      </c>
      <c r="DE8" s="766">
        <v>86.03</v>
      </c>
      <c r="DF8" s="766">
        <v>86.15</v>
      </c>
      <c r="DG8" s="766">
        <v>86.26</v>
      </c>
      <c r="DH8" s="766">
        <v>86.36</v>
      </c>
      <c r="DI8" s="766">
        <v>86.47</v>
      </c>
      <c r="DJ8" s="766">
        <v>86.58</v>
      </c>
      <c r="DK8" s="766">
        <v>86.69</v>
      </c>
      <c r="DL8" s="766">
        <v>86.8</v>
      </c>
      <c r="DM8" s="766">
        <v>86.9</v>
      </c>
      <c r="DN8" s="766">
        <v>87.01</v>
      </c>
      <c r="DO8" s="766">
        <v>87.11</v>
      </c>
      <c r="DP8" s="766">
        <v>87.21</v>
      </c>
      <c r="DQ8" s="766">
        <v>87.31</v>
      </c>
      <c r="DR8" s="766">
        <v>87.41</v>
      </c>
    </row>
    <row r="9" spans="1:122">
      <c r="A9" s="950">
        <v>7</v>
      </c>
      <c r="B9" s="94"/>
      <c r="C9" s="94"/>
      <c r="D9" s="94"/>
      <c r="E9" s="94"/>
      <c r="F9" s="94"/>
      <c r="G9" s="94"/>
      <c r="H9" s="94"/>
      <c r="I9" s="94"/>
      <c r="J9" s="94"/>
      <c r="K9" s="94"/>
      <c r="L9" s="94"/>
      <c r="M9" s="94"/>
      <c r="N9" s="94"/>
      <c r="O9" s="94"/>
      <c r="P9" s="94"/>
      <c r="Q9" s="94"/>
      <c r="R9" s="94"/>
      <c r="S9" s="94"/>
      <c r="T9" s="94"/>
      <c r="U9" s="94"/>
      <c r="V9" s="766"/>
      <c r="W9" s="766">
        <v>70.069999999999993</v>
      </c>
      <c r="X9" s="766">
        <v>70.319999999999993</v>
      </c>
      <c r="Y9" s="766">
        <v>70.58</v>
      </c>
      <c r="Z9" s="766">
        <v>70.900000000000006</v>
      </c>
      <c r="AA9" s="766">
        <v>71.11</v>
      </c>
      <c r="AB9" s="766">
        <v>71.400000000000006</v>
      </c>
      <c r="AC9" s="766">
        <v>71.709999999999994</v>
      </c>
      <c r="AD9" s="766">
        <v>71.91</v>
      </c>
      <c r="AE9" s="766">
        <v>72.239999999999995</v>
      </c>
      <c r="AF9" s="766">
        <v>72.59</v>
      </c>
      <c r="AG9" s="766">
        <v>72.87</v>
      </c>
      <c r="AH9" s="766">
        <v>73.16</v>
      </c>
      <c r="AI9" s="766">
        <v>73.47</v>
      </c>
      <c r="AJ9" s="766">
        <v>73.83</v>
      </c>
      <c r="AK9" s="766">
        <v>74.16</v>
      </c>
      <c r="AL9" s="766">
        <v>74.540000000000006</v>
      </c>
      <c r="AM9" s="766">
        <v>74.88</v>
      </c>
      <c r="AN9" s="766">
        <v>75.209999999999994</v>
      </c>
      <c r="AO9" s="766">
        <v>75.56</v>
      </c>
      <c r="AP9" s="766">
        <v>75.75</v>
      </c>
      <c r="AQ9" s="766">
        <v>75.87</v>
      </c>
      <c r="AR9" s="766">
        <v>75.959999999999994</v>
      </c>
      <c r="AS9" s="766">
        <v>76.040000000000006</v>
      </c>
      <c r="AT9" s="766">
        <v>76.05</v>
      </c>
      <c r="AU9" s="766">
        <v>76.16</v>
      </c>
      <c r="AV9" s="766">
        <v>76.239999999999995</v>
      </c>
      <c r="AW9" s="766">
        <v>76.489999999999995</v>
      </c>
      <c r="AX9" s="766">
        <v>76.569999999999993</v>
      </c>
      <c r="AY9" s="766">
        <v>76.73</v>
      </c>
      <c r="AZ9" s="766">
        <v>76.86</v>
      </c>
      <c r="BA9" s="766">
        <v>77</v>
      </c>
      <c r="BB9" s="766">
        <v>77.13</v>
      </c>
      <c r="BC9" s="766">
        <v>77.260000000000005</v>
      </c>
      <c r="BD9" s="766">
        <v>77.38</v>
      </c>
      <c r="BE9" s="766">
        <v>77.489999999999995</v>
      </c>
      <c r="BF9" s="766">
        <v>77.69</v>
      </c>
      <c r="BG9" s="766">
        <v>77.87</v>
      </c>
      <c r="BH9" s="766">
        <v>78.05</v>
      </c>
      <c r="BI9" s="766">
        <v>78.19</v>
      </c>
      <c r="BJ9" s="766">
        <v>78.37</v>
      </c>
      <c r="BK9" s="766">
        <v>78.55</v>
      </c>
      <c r="BL9" s="766">
        <v>78.739999999999995</v>
      </c>
      <c r="BM9" s="766">
        <v>78.959999999999994</v>
      </c>
      <c r="BN9" s="766">
        <v>79.13</v>
      </c>
      <c r="BO9" s="766">
        <v>79.3</v>
      </c>
      <c r="BP9" s="766">
        <v>79.489999999999995</v>
      </c>
      <c r="BQ9" s="766">
        <v>79.67</v>
      </c>
      <c r="BR9" s="766">
        <v>79.81</v>
      </c>
      <c r="BS9" s="766">
        <v>80</v>
      </c>
      <c r="BT9" s="766">
        <v>80.16</v>
      </c>
      <c r="BU9" s="766">
        <v>80.3</v>
      </c>
      <c r="BV9" s="766">
        <v>80.459999999999994</v>
      </c>
      <c r="BW9" s="766">
        <v>80.62</v>
      </c>
      <c r="BX9" s="766">
        <v>80.75</v>
      </c>
      <c r="BY9" s="766">
        <v>80.900000000000006</v>
      </c>
      <c r="BZ9" s="766">
        <v>81.03</v>
      </c>
      <c r="CA9" s="766">
        <v>81.16</v>
      </c>
      <c r="CB9" s="766">
        <v>81.33</v>
      </c>
      <c r="CC9" s="766">
        <v>81.459999999999994</v>
      </c>
      <c r="CD9" s="766">
        <v>81.59</v>
      </c>
      <c r="CE9" s="766">
        <v>81.72</v>
      </c>
      <c r="CF9" s="766">
        <v>81.87</v>
      </c>
      <c r="CG9" s="766">
        <v>82</v>
      </c>
      <c r="CH9" s="766">
        <v>82.16</v>
      </c>
      <c r="CI9" s="766">
        <v>82.31</v>
      </c>
      <c r="CJ9" s="766">
        <v>82.42</v>
      </c>
      <c r="CK9" s="766">
        <v>82.56</v>
      </c>
      <c r="CL9" s="766">
        <v>82.71</v>
      </c>
      <c r="CM9" s="766">
        <v>82.84</v>
      </c>
      <c r="CN9" s="766">
        <v>82.98</v>
      </c>
      <c r="CO9" s="766">
        <v>83.11</v>
      </c>
      <c r="CP9" s="766">
        <v>83.24</v>
      </c>
      <c r="CQ9" s="766">
        <v>83.36</v>
      </c>
      <c r="CR9" s="766">
        <v>83.49</v>
      </c>
      <c r="CS9" s="766">
        <v>83.62</v>
      </c>
      <c r="CT9" s="766">
        <v>83.75</v>
      </c>
      <c r="CU9" s="766">
        <v>83.87</v>
      </c>
      <c r="CV9" s="766">
        <v>83.98</v>
      </c>
      <c r="CW9" s="766">
        <v>84.11</v>
      </c>
      <c r="CX9" s="766">
        <v>84.23</v>
      </c>
      <c r="CY9" s="766">
        <v>84.35</v>
      </c>
      <c r="CZ9" s="766">
        <v>84.46</v>
      </c>
      <c r="DA9" s="766">
        <v>84.58</v>
      </c>
      <c r="DB9" s="766">
        <v>84.69</v>
      </c>
      <c r="DC9" s="766">
        <v>84.81</v>
      </c>
      <c r="DD9" s="766">
        <v>84.93</v>
      </c>
      <c r="DE9" s="766">
        <v>85.04</v>
      </c>
      <c r="DF9" s="766">
        <v>85.15</v>
      </c>
      <c r="DG9" s="766">
        <v>85.26</v>
      </c>
      <c r="DH9" s="766">
        <v>85.37</v>
      </c>
      <c r="DI9" s="766">
        <v>85.48</v>
      </c>
      <c r="DJ9" s="766">
        <v>85.59</v>
      </c>
      <c r="DK9" s="766">
        <v>85.7</v>
      </c>
      <c r="DL9" s="766">
        <v>85.8</v>
      </c>
      <c r="DM9" s="766">
        <v>85.91</v>
      </c>
      <c r="DN9" s="766">
        <v>86.01</v>
      </c>
      <c r="DO9" s="766">
        <v>86.11</v>
      </c>
      <c r="DP9" s="766">
        <v>86.22</v>
      </c>
      <c r="DQ9" s="766">
        <v>86.32</v>
      </c>
      <c r="DR9" s="766">
        <v>86.42</v>
      </c>
    </row>
    <row r="10" spans="1:122">
      <c r="A10" s="950">
        <v>8</v>
      </c>
      <c r="B10" s="94"/>
      <c r="C10" s="94"/>
      <c r="D10" s="94"/>
      <c r="E10" s="94"/>
      <c r="F10" s="94"/>
      <c r="G10" s="94"/>
      <c r="H10" s="94"/>
      <c r="I10" s="94"/>
      <c r="J10" s="94"/>
      <c r="K10" s="94"/>
      <c r="L10" s="94"/>
      <c r="M10" s="94"/>
      <c r="N10" s="94"/>
      <c r="O10" s="94"/>
      <c r="P10" s="94"/>
      <c r="Q10" s="94"/>
      <c r="R10" s="94"/>
      <c r="S10" s="94"/>
      <c r="T10" s="94"/>
      <c r="U10" s="94"/>
      <c r="V10" s="766"/>
      <c r="W10" s="766">
        <v>69.2</v>
      </c>
      <c r="X10" s="766">
        <v>69.45</v>
      </c>
      <c r="Y10" s="766">
        <v>69.709999999999994</v>
      </c>
      <c r="Z10" s="766">
        <v>70.010000000000005</v>
      </c>
      <c r="AA10" s="766">
        <v>70.23</v>
      </c>
      <c r="AB10" s="766">
        <v>70.52</v>
      </c>
      <c r="AC10" s="766">
        <v>70.83</v>
      </c>
      <c r="AD10" s="766">
        <v>71.06</v>
      </c>
      <c r="AE10" s="766">
        <v>71.39</v>
      </c>
      <c r="AF10" s="766">
        <v>71.72</v>
      </c>
      <c r="AG10" s="766">
        <v>72</v>
      </c>
      <c r="AH10" s="766">
        <v>72.290000000000006</v>
      </c>
      <c r="AI10" s="766">
        <v>72.599999999999994</v>
      </c>
      <c r="AJ10" s="766">
        <v>72.959999999999994</v>
      </c>
      <c r="AK10" s="766">
        <v>73.290000000000006</v>
      </c>
      <c r="AL10" s="766">
        <v>73.69</v>
      </c>
      <c r="AM10" s="766">
        <v>74.05</v>
      </c>
      <c r="AN10" s="766">
        <v>74.41</v>
      </c>
      <c r="AO10" s="766">
        <v>74.650000000000006</v>
      </c>
      <c r="AP10" s="766">
        <v>74.83</v>
      </c>
      <c r="AQ10" s="766">
        <v>74.94</v>
      </c>
      <c r="AR10" s="766">
        <v>75.010000000000005</v>
      </c>
      <c r="AS10" s="766">
        <v>75.09</v>
      </c>
      <c r="AT10" s="766">
        <v>75.09</v>
      </c>
      <c r="AU10" s="766">
        <v>75.2</v>
      </c>
      <c r="AV10" s="766">
        <v>75.27</v>
      </c>
      <c r="AW10" s="766">
        <v>75.52</v>
      </c>
      <c r="AX10" s="766">
        <v>75.599999999999994</v>
      </c>
      <c r="AY10" s="766">
        <v>75.760000000000005</v>
      </c>
      <c r="AZ10" s="766">
        <v>75.89</v>
      </c>
      <c r="BA10" s="766">
        <v>76.03</v>
      </c>
      <c r="BB10" s="766">
        <v>76.16</v>
      </c>
      <c r="BC10" s="766">
        <v>76.290000000000006</v>
      </c>
      <c r="BD10" s="766">
        <v>76.42</v>
      </c>
      <c r="BE10" s="766">
        <v>76.53</v>
      </c>
      <c r="BF10" s="766">
        <v>76.72</v>
      </c>
      <c r="BG10" s="766">
        <v>76.900000000000006</v>
      </c>
      <c r="BH10" s="766">
        <v>77.08</v>
      </c>
      <c r="BI10" s="766">
        <v>77.22</v>
      </c>
      <c r="BJ10" s="766">
        <v>77.400000000000006</v>
      </c>
      <c r="BK10" s="766">
        <v>77.58</v>
      </c>
      <c r="BL10" s="766">
        <v>77.77</v>
      </c>
      <c r="BM10" s="766">
        <v>77.989999999999995</v>
      </c>
      <c r="BN10" s="766">
        <v>78.16</v>
      </c>
      <c r="BO10" s="766">
        <v>78.33</v>
      </c>
      <c r="BP10" s="766">
        <v>78.52</v>
      </c>
      <c r="BQ10" s="766">
        <v>78.7</v>
      </c>
      <c r="BR10" s="766">
        <v>78.84</v>
      </c>
      <c r="BS10" s="766">
        <v>79.02</v>
      </c>
      <c r="BT10" s="766">
        <v>79.180000000000007</v>
      </c>
      <c r="BU10" s="766">
        <v>79.319999999999993</v>
      </c>
      <c r="BV10" s="766">
        <v>79.48</v>
      </c>
      <c r="BW10" s="766">
        <v>79.64</v>
      </c>
      <c r="BX10" s="766">
        <v>79.77</v>
      </c>
      <c r="BY10" s="766">
        <v>79.92</v>
      </c>
      <c r="BZ10" s="766">
        <v>80.05</v>
      </c>
      <c r="CA10" s="766">
        <v>80.180000000000007</v>
      </c>
      <c r="CB10" s="766">
        <v>80.34</v>
      </c>
      <c r="CC10" s="766">
        <v>80.48</v>
      </c>
      <c r="CD10" s="766">
        <v>80.61</v>
      </c>
      <c r="CE10" s="766">
        <v>80.739999999999995</v>
      </c>
      <c r="CF10" s="766">
        <v>80.89</v>
      </c>
      <c r="CG10" s="766">
        <v>81.010000000000005</v>
      </c>
      <c r="CH10" s="766">
        <v>81.17</v>
      </c>
      <c r="CI10" s="766">
        <v>81.319999999999993</v>
      </c>
      <c r="CJ10" s="766">
        <v>81.44</v>
      </c>
      <c r="CK10" s="766">
        <v>81.58</v>
      </c>
      <c r="CL10" s="766">
        <v>81.72</v>
      </c>
      <c r="CM10" s="766">
        <v>81.849999999999994</v>
      </c>
      <c r="CN10" s="766">
        <v>81.99</v>
      </c>
      <c r="CO10" s="766">
        <v>82.11</v>
      </c>
      <c r="CP10" s="766">
        <v>82.25</v>
      </c>
      <c r="CQ10" s="766">
        <v>82.36</v>
      </c>
      <c r="CR10" s="766">
        <v>82.49</v>
      </c>
      <c r="CS10" s="766">
        <v>82.63</v>
      </c>
      <c r="CT10" s="766">
        <v>82.76</v>
      </c>
      <c r="CU10" s="766">
        <v>82.87</v>
      </c>
      <c r="CV10" s="766">
        <v>82.99</v>
      </c>
      <c r="CW10" s="766">
        <v>83.11</v>
      </c>
      <c r="CX10" s="766">
        <v>83.23</v>
      </c>
      <c r="CY10" s="766">
        <v>83.35</v>
      </c>
      <c r="CZ10" s="766">
        <v>83.47</v>
      </c>
      <c r="DA10" s="766">
        <v>83.59</v>
      </c>
      <c r="DB10" s="766">
        <v>83.7</v>
      </c>
      <c r="DC10" s="766">
        <v>83.82</v>
      </c>
      <c r="DD10" s="766">
        <v>83.93</v>
      </c>
      <c r="DE10" s="766">
        <v>84.04</v>
      </c>
      <c r="DF10" s="766">
        <v>84.16</v>
      </c>
      <c r="DG10" s="766">
        <v>84.27</v>
      </c>
      <c r="DH10" s="766">
        <v>84.38</v>
      </c>
      <c r="DI10" s="766">
        <v>84.49</v>
      </c>
      <c r="DJ10" s="766">
        <v>84.59</v>
      </c>
      <c r="DK10" s="766">
        <v>84.7</v>
      </c>
      <c r="DL10" s="766">
        <v>84.81</v>
      </c>
      <c r="DM10" s="766">
        <v>84.91</v>
      </c>
      <c r="DN10" s="766">
        <v>85.02</v>
      </c>
      <c r="DO10" s="766">
        <v>85.12</v>
      </c>
      <c r="DP10" s="766">
        <v>85.22</v>
      </c>
      <c r="DQ10" s="766">
        <v>85.32</v>
      </c>
      <c r="DR10" s="766">
        <v>85.42</v>
      </c>
    </row>
    <row r="11" spans="1:122">
      <c r="A11" s="950">
        <v>9</v>
      </c>
      <c r="B11" s="94"/>
      <c r="C11" s="94"/>
      <c r="D11" s="94"/>
      <c r="E11" s="94"/>
      <c r="F11" s="94"/>
      <c r="G11" s="94"/>
      <c r="H11" s="94"/>
      <c r="I11" s="94"/>
      <c r="J11" s="94"/>
      <c r="K11" s="94"/>
      <c r="L11" s="94"/>
      <c r="M11" s="94"/>
      <c r="N11" s="94"/>
      <c r="O11" s="94"/>
      <c r="P11" s="94"/>
      <c r="Q11" s="94"/>
      <c r="R11" s="94"/>
      <c r="S11" s="94"/>
      <c r="T11" s="94"/>
      <c r="U11" s="94"/>
      <c r="V11" s="766"/>
      <c r="W11" s="766">
        <v>68.31</v>
      </c>
      <c r="X11" s="766">
        <v>68.569999999999993</v>
      </c>
      <c r="Y11" s="766">
        <v>68.8</v>
      </c>
      <c r="Z11" s="766">
        <v>69.11</v>
      </c>
      <c r="AA11" s="766">
        <v>69.33</v>
      </c>
      <c r="AB11" s="766">
        <v>69.63</v>
      </c>
      <c r="AC11" s="766">
        <v>69.959999999999994</v>
      </c>
      <c r="AD11" s="766">
        <v>70.180000000000007</v>
      </c>
      <c r="AE11" s="766">
        <v>70.5</v>
      </c>
      <c r="AF11" s="766">
        <v>70.819999999999993</v>
      </c>
      <c r="AG11" s="766">
        <v>71.11</v>
      </c>
      <c r="AH11" s="766">
        <v>71.400000000000006</v>
      </c>
      <c r="AI11" s="766">
        <v>71.709999999999994</v>
      </c>
      <c r="AJ11" s="766">
        <v>72.069999999999993</v>
      </c>
      <c r="AK11" s="766">
        <v>72.41</v>
      </c>
      <c r="AL11" s="766">
        <v>72.83</v>
      </c>
      <c r="AM11" s="766">
        <v>73.22</v>
      </c>
      <c r="AN11" s="766">
        <v>73.48</v>
      </c>
      <c r="AO11" s="766">
        <v>73.73</v>
      </c>
      <c r="AP11" s="766">
        <v>73.89</v>
      </c>
      <c r="AQ11" s="766">
        <v>73.98</v>
      </c>
      <c r="AR11" s="766">
        <v>74.05</v>
      </c>
      <c r="AS11" s="766">
        <v>74.13</v>
      </c>
      <c r="AT11" s="766">
        <v>74.13</v>
      </c>
      <c r="AU11" s="766">
        <v>74.23</v>
      </c>
      <c r="AV11" s="766">
        <v>74.3</v>
      </c>
      <c r="AW11" s="766">
        <v>74.55</v>
      </c>
      <c r="AX11" s="766">
        <v>74.63</v>
      </c>
      <c r="AY11" s="766">
        <v>74.78</v>
      </c>
      <c r="AZ11" s="766">
        <v>74.92</v>
      </c>
      <c r="BA11" s="766">
        <v>75.06</v>
      </c>
      <c r="BB11" s="766">
        <v>75.19</v>
      </c>
      <c r="BC11" s="766">
        <v>75.319999999999993</v>
      </c>
      <c r="BD11" s="766">
        <v>75.45</v>
      </c>
      <c r="BE11" s="766">
        <v>75.55</v>
      </c>
      <c r="BF11" s="766">
        <v>75.739999999999995</v>
      </c>
      <c r="BG11" s="766">
        <v>75.92</v>
      </c>
      <c r="BH11" s="766">
        <v>76.099999999999994</v>
      </c>
      <c r="BI11" s="766">
        <v>76.25</v>
      </c>
      <c r="BJ11" s="766">
        <v>76.42</v>
      </c>
      <c r="BK11" s="766">
        <v>76.599999999999994</v>
      </c>
      <c r="BL11" s="766">
        <v>76.8</v>
      </c>
      <c r="BM11" s="766">
        <v>77.02</v>
      </c>
      <c r="BN11" s="766">
        <v>77.19</v>
      </c>
      <c r="BO11" s="766">
        <v>77.349999999999994</v>
      </c>
      <c r="BP11" s="766">
        <v>77.540000000000006</v>
      </c>
      <c r="BQ11" s="766">
        <v>77.72</v>
      </c>
      <c r="BR11" s="766">
        <v>77.86</v>
      </c>
      <c r="BS11" s="766">
        <v>78.040000000000006</v>
      </c>
      <c r="BT11" s="766">
        <v>78.2</v>
      </c>
      <c r="BU11" s="766">
        <v>78.34</v>
      </c>
      <c r="BV11" s="766">
        <v>78.5</v>
      </c>
      <c r="BW11" s="766">
        <v>78.650000000000006</v>
      </c>
      <c r="BX11" s="766">
        <v>78.790000000000006</v>
      </c>
      <c r="BY11" s="766">
        <v>78.930000000000007</v>
      </c>
      <c r="BZ11" s="766">
        <v>79.06</v>
      </c>
      <c r="CA11" s="766">
        <v>79.2</v>
      </c>
      <c r="CB11" s="766">
        <v>79.36</v>
      </c>
      <c r="CC11" s="766">
        <v>79.489999999999995</v>
      </c>
      <c r="CD11" s="766">
        <v>79.62</v>
      </c>
      <c r="CE11" s="766">
        <v>79.760000000000005</v>
      </c>
      <c r="CF11" s="766">
        <v>79.900000000000006</v>
      </c>
      <c r="CG11" s="766">
        <v>80.03</v>
      </c>
      <c r="CH11" s="766">
        <v>80.180000000000007</v>
      </c>
      <c r="CI11" s="766">
        <v>80.33</v>
      </c>
      <c r="CJ11" s="766">
        <v>80.45</v>
      </c>
      <c r="CK11" s="766">
        <v>80.59</v>
      </c>
      <c r="CL11" s="766">
        <v>80.72</v>
      </c>
      <c r="CM11" s="766">
        <v>80.86</v>
      </c>
      <c r="CN11" s="766">
        <v>80.989999999999995</v>
      </c>
      <c r="CO11" s="766">
        <v>81.12</v>
      </c>
      <c r="CP11" s="766">
        <v>81.25</v>
      </c>
      <c r="CQ11" s="766">
        <v>81.37</v>
      </c>
      <c r="CR11" s="766">
        <v>81.5</v>
      </c>
      <c r="CS11" s="766">
        <v>81.64</v>
      </c>
      <c r="CT11" s="766">
        <v>81.760000000000005</v>
      </c>
      <c r="CU11" s="766">
        <v>81.88</v>
      </c>
      <c r="CV11" s="766">
        <v>81.99</v>
      </c>
      <c r="CW11" s="766">
        <v>82.12</v>
      </c>
      <c r="CX11" s="766">
        <v>82.24</v>
      </c>
      <c r="CY11" s="766">
        <v>82.36</v>
      </c>
      <c r="CZ11" s="766">
        <v>82.48</v>
      </c>
      <c r="DA11" s="766">
        <v>82.59</v>
      </c>
      <c r="DB11" s="766">
        <v>82.71</v>
      </c>
      <c r="DC11" s="766">
        <v>82.82</v>
      </c>
      <c r="DD11" s="766">
        <v>82.94</v>
      </c>
      <c r="DE11" s="766">
        <v>83.05</v>
      </c>
      <c r="DF11" s="766">
        <v>83.16</v>
      </c>
      <c r="DG11" s="766">
        <v>83.27</v>
      </c>
      <c r="DH11" s="766">
        <v>83.38</v>
      </c>
      <c r="DI11" s="766">
        <v>83.49</v>
      </c>
      <c r="DJ11" s="766">
        <v>83.6</v>
      </c>
      <c r="DK11" s="766">
        <v>83.71</v>
      </c>
      <c r="DL11" s="766">
        <v>83.81</v>
      </c>
      <c r="DM11" s="766">
        <v>83.92</v>
      </c>
      <c r="DN11" s="766">
        <v>84.02</v>
      </c>
      <c r="DO11" s="766">
        <v>84.12</v>
      </c>
      <c r="DP11" s="766">
        <v>84.22</v>
      </c>
      <c r="DQ11" s="766">
        <v>84.33</v>
      </c>
      <c r="DR11" s="766">
        <v>84.43</v>
      </c>
    </row>
    <row r="12" spans="1:122">
      <c r="A12" s="950">
        <v>10</v>
      </c>
      <c r="B12" s="94"/>
      <c r="C12" s="94"/>
      <c r="D12" s="94"/>
      <c r="E12" s="94"/>
      <c r="F12" s="94"/>
      <c r="G12" s="94"/>
      <c r="H12" s="94"/>
      <c r="I12" s="94"/>
      <c r="J12" s="94"/>
      <c r="K12" s="94"/>
      <c r="L12" s="94"/>
      <c r="M12" s="94"/>
      <c r="N12" s="94"/>
      <c r="O12" s="94"/>
      <c r="P12" s="94"/>
      <c r="Q12" s="94"/>
      <c r="R12" s="94"/>
      <c r="S12" s="94"/>
      <c r="T12" s="94"/>
      <c r="U12" s="94"/>
      <c r="V12" s="766"/>
      <c r="W12" s="766">
        <v>67.41</v>
      </c>
      <c r="X12" s="766">
        <v>67.650000000000006</v>
      </c>
      <c r="Y12" s="766">
        <v>67.89</v>
      </c>
      <c r="Z12" s="766">
        <v>68.2</v>
      </c>
      <c r="AA12" s="766">
        <v>68.42</v>
      </c>
      <c r="AB12" s="766">
        <v>68.73</v>
      </c>
      <c r="AC12" s="766">
        <v>69.069999999999993</v>
      </c>
      <c r="AD12" s="766">
        <v>69.27</v>
      </c>
      <c r="AE12" s="766">
        <v>69.58</v>
      </c>
      <c r="AF12" s="766">
        <v>69.92</v>
      </c>
      <c r="AG12" s="766">
        <v>70.2</v>
      </c>
      <c r="AH12" s="766">
        <v>70.5</v>
      </c>
      <c r="AI12" s="766">
        <v>70.8</v>
      </c>
      <c r="AJ12" s="766">
        <v>71.180000000000007</v>
      </c>
      <c r="AK12" s="766">
        <v>71.53</v>
      </c>
      <c r="AL12" s="766">
        <v>71.97</v>
      </c>
      <c r="AM12" s="766">
        <v>72.290000000000006</v>
      </c>
      <c r="AN12" s="766">
        <v>72.56</v>
      </c>
      <c r="AO12" s="766">
        <v>72.78</v>
      </c>
      <c r="AP12" s="766">
        <v>72.930000000000007</v>
      </c>
      <c r="AQ12" s="766">
        <v>73.02</v>
      </c>
      <c r="AR12" s="766">
        <v>73.09</v>
      </c>
      <c r="AS12" s="766">
        <v>73.16</v>
      </c>
      <c r="AT12" s="766">
        <v>73.16</v>
      </c>
      <c r="AU12" s="766">
        <v>73.25</v>
      </c>
      <c r="AV12" s="766">
        <v>73.319999999999993</v>
      </c>
      <c r="AW12" s="766">
        <v>73.58</v>
      </c>
      <c r="AX12" s="766">
        <v>73.66</v>
      </c>
      <c r="AY12" s="766">
        <v>73.81</v>
      </c>
      <c r="AZ12" s="766">
        <v>73.94</v>
      </c>
      <c r="BA12" s="766">
        <v>74.09</v>
      </c>
      <c r="BB12" s="766">
        <v>74.209999999999994</v>
      </c>
      <c r="BC12" s="766">
        <v>74.34</v>
      </c>
      <c r="BD12" s="766">
        <v>74.47</v>
      </c>
      <c r="BE12" s="766">
        <v>74.58</v>
      </c>
      <c r="BF12" s="766">
        <v>74.760000000000005</v>
      </c>
      <c r="BG12" s="766">
        <v>74.94</v>
      </c>
      <c r="BH12" s="766">
        <v>75.13</v>
      </c>
      <c r="BI12" s="766">
        <v>75.28</v>
      </c>
      <c r="BJ12" s="766">
        <v>75.45</v>
      </c>
      <c r="BK12" s="766">
        <v>75.63</v>
      </c>
      <c r="BL12" s="766">
        <v>75.83</v>
      </c>
      <c r="BM12" s="766">
        <v>76.040000000000006</v>
      </c>
      <c r="BN12" s="766">
        <v>76.209999999999994</v>
      </c>
      <c r="BO12" s="766">
        <v>76.37</v>
      </c>
      <c r="BP12" s="766">
        <v>76.569999999999993</v>
      </c>
      <c r="BQ12" s="766">
        <v>76.73</v>
      </c>
      <c r="BR12" s="766">
        <v>76.88</v>
      </c>
      <c r="BS12" s="766">
        <v>77.06</v>
      </c>
      <c r="BT12" s="766">
        <v>77.22</v>
      </c>
      <c r="BU12" s="766">
        <v>77.36</v>
      </c>
      <c r="BV12" s="766">
        <v>77.510000000000005</v>
      </c>
      <c r="BW12" s="766">
        <v>77.67</v>
      </c>
      <c r="BX12" s="766">
        <v>77.8</v>
      </c>
      <c r="BY12" s="766">
        <v>77.95</v>
      </c>
      <c r="BZ12" s="766">
        <v>78.08</v>
      </c>
      <c r="CA12" s="766">
        <v>78.209999999999994</v>
      </c>
      <c r="CB12" s="766">
        <v>78.37</v>
      </c>
      <c r="CC12" s="766">
        <v>78.5</v>
      </c>
      <c r="CD12" s="766">
        <v>78.63</v>
      </c>
      <c r="CE12" s="766">
        <v>78.77</v>
      </c>
      <c r="CF12" s="766">
        <v>78.91</v>
      </c>
      <c r="CG12" s="766">
        <v>79.040000000000006</v>
      </c>
      <c r="CH12" s="766">
        <v>79.19</v>
      </c>
      <c r="CI12" s="766">
        <v>79.34</v>
      </c>
      <c r="CJ12" s="766">
        <v>79.45</v>
      </c>
      <c r="CK12" s="766">
        <v>79.59</v>
      </c>
      <c r="CL12" s="766">
        <v>79.73</v>
      </c>
      <c r="CM12" s="766">
        <v>79.87</v>
      </c>
      <c r="CN12" s="766">
        <v>80</v>
      </c>
      <c r="CO12" s="766">
        <v>80.13</v>
      </c>
      <c r="CP12" s="766">
        <v>80.260000000000005</v>
      </c>
      <c r="CQ12" s="766">
        <v>80.38</v>
      </c>
      <c r="CR12" s="766">
        <v>80.5</v>
      </c>
      <c r="CS12" s="766">
        <v>80.650000000000006</v>
      </c>
      <c r="CT12" s="766">
        <v>80.77</v>
      </c>
      <c r="CU12" s="766">
        <v>80.89</v>
      </c>
      <c r="CV12" s="766">
        <v>81</v>
      </c>
      <c r="CW12" s="766">
        <v>81.12</v>
      </c>
      <c r="CX12" s="766">
        <v>81.239999999999995</v>
      </c>
      <c r="CY12" s="766">
        <v>81.37</v>
      </c>
      <c r="CZ12" s="766">
        <v>81.48</v>
      </c>
      <c r="DA12" s="766">
        <v>81.599999999999994</v>
      </c>
      <c r="DB12" s="766">
        <v>81.709999999999994</v>
      </c>
      <c r="DC12" s="766">
        <v>81.83</v>
      </c>
      <c r="DD12" s="766">
        <v>81.94</v>
      </c>
      <c r="DE12" s="766">
        <v>82.05</v>
      </c>
      <c r="DF12" s="766">
        <v>82.17</v>
      </c>
      <c r="DG12" s="766">
        <v>82.28</v>
      </c>
      <c r="DH12" s="766">
        <v>82.39</v>
      </c>
      <c r="DI12" s="766">
        <v>82.5</v>
      </c>
      <c r="DJ12" s="766">
        <v>82.6</v>
      </c>
      <c r="DK12" s="766">
        <v>82.71</v>
      </c>
      <c r="DL12" s="766">
        <v>82.82</v>
      </c>
      <c r="DM12" s="766">
        <v>82.92</v>
      </c>
      <c r="DN12" s="766">
        <v>83.02</v>
      </c>
      <c r="DO12" s="766">
        <v>83.13</v>
      </c>
      <c r="DP12" s="766">
        <v>83.23</v>
      </c>
      <c r="DQ12" s="766">
        <v>83.33</v>
      </c>
      <c r="DR12" s="766">
        <v>83.43</v>
      </c>
    </row>
    <row r="13" spans="1:122">
      <c r="A13" s="950">
        <v>11</v>
      </c>
      <c r="B13" s="94"/>
      <c r="C13" s="94"/>
      <c r="D13" s="94"/>
      <c r="E13" s="94"/>
      <c r="F13" s="94"/>
      <c r="G13" s="94"/>
      <c r="H13" s="94"/>
      <c r="I13" s="94"/>
      <c r="J13" s="94"/>
      <c r="K13" s="94"/>
      <c r="L13" s="94"/>
      <c r="M13" s="94"/>
      <c r="N13" s="94"/>
      <c r="O13" s="94"/>
      <c r="P13" s="94"/>
      <c r="Q13" s="94"/>
      <c r="R13" s="94"/>
      <c r="S13" s="94"/>
      <c r="T13" s="94"/>
      <c r="U13" s="94"/>
      <c r="V13" s="766"/>
      <c r="W13" s="766">
        <v>66.48</v>
      </c>
      <c r="X13" s="766">
        <v>66.72</v>
      </c>
      <c r="Y13" s="766">
        <v>66.97</v>
      </c>
      <c r="Z13" s="766">
        <v>67.28</v>
      </c>
      <c r="AA13" s="766">
        <v>67.52</v>
      </c>
      <c r="AB13" s="766">
        <v>67.819999999999993</v>
      </c>
      <c r="AC13" s="766">
        <v>68.150000000000006</v>
      </c>
      <c r="AD13" s="766">
        <v>68.349999999999994</v>
      </c>
      <c r="AE13" s="766">
        <v>68.67</v>
      </c>
      <c r="AF13" s="766">
        <v>69</v>
      </c>
      <c r="AG13" s="766">
        <v>69.290000000000006</v>
      </c>
      <c r="AH13" s="766">
        <v>69.58</v>
      </c>
      <c r="AI13" s="766">
        <v>69.900000000000006</v>
      </c>
      <c r="AJ13" s="766">
        <v>70.290000000000006</v>
      </c>
      <c r="AK13" s="766">
        <v>70.66</v>
      </c>
      <c r="AL13" s="766">
        <v>71.040000000000006</v>
      </c>
      <c r="AM13" s="766">
        <v>71.36</v>
      </c>
      <c r="AN13" s="766">
        <v>71.61</v>
      </c>
      <c r="AO13" s="766">
        <v>71.819999999999993</v>
      </c>
      <c r="AP13" s="766">
        <v>71.97</v>
      </c>
      <c r="AQ13" s="766">
        <v>72.05</v>
      </c>
      <c r="AR13" s="766">
        <v>72.11</v>
      </c>
      <c r="AS13" s="766">
        <v>72.19</v>
      </c>
      <c r="AT13" s="766">
        <v>72.180000000000007</v>
      </c>
      <c r="AU13" s="766">
        <v>72.27</v>
      </c>
      <c r="AV13" s="766">
        <v>72.349999999999994</v>
      </c>
      <c r="AW13" s="766">
        <v>72.61</v>
      </c>
      <c r="AX13" s="766">
        <v>72.680000000000007</v>
      </c>
      <c r="AY13" s="766">
        <v>72.83</v>
      </c>
      <c r="AZ13" s="766">
        <v>72.959999999999994</v>
      </c>
      <c r="BA13" s="766">
        <v>73.11</v>
      </c>
      <c r="BB13" s="766">
        <v>73.23</v>
      </c>
      <c r="BC13" s="766">
        <v>73.36</v>
      </c>
      <c r="BD13" s="766">
        <v>73.489999999999995</v>
      </c>
      <c r="BE13" s="766">
        <v>73.599999999999994</v>
      </c>
      <c r="BF13" s="766">
        <v>73.78</v>
      </c>
      <c r="BG13" s="766">
        <v>73.959999999999994</v>
      </c>
      <c r="BH13" s="766">
        <v>74.150000000000006</v>
      </c>
      <c r="BI13" s="766">
        <v>74.3</v>
      </c>
      <c r="BJ13" s="766">
        <v>74.47</v>
      </c>
      <c r="BK13" s="766">
        <v>74.650000000000006</v>
      </c>
      <c r="BL13" s="766">
        <v>74.849999999999994</v>
      </c>
      <c r="BM13" s="766">
        <v>75.06</v>
      </c>
      <c r="BN13" s="766">
        <v>75.22</v>
      </c>
      <c r="BO13" s="766">
        <v>75.39</v>
      </c>
      <c r="BP13" s="766">
        <v>75.58</v>
      </c>
      <c r="BQ13" s="766">
        <v>75.75</v>
      </c>
      <c r="BR13" s="766">
        <v>75.900000000000006</v>
      </c>
      <c r="BS13" s="766">
        <v>76.08</v>
      </c>
      <c r="BT13" s="766">
        <v>76.239999999999995</v>
      </c>
      <c r="BU13" s="766">
        <v>76.37</v>
      </c>
      <c r="BV13" s="766">
        <v>76.52</v>
      </c>
      <c r="BW13" s="766">
        <v>76.680000000000007</v>
      </c>
      <c r="BX13" s="766">
        <v>76.81</v>
      </c>
      <c r="BY13" s="766">
        <v>76.959999999999994</v>
      </c>
      <c r="BZ13" s="766">
        <v>77.09</v>
      </c>
      <c r="CA13" s="766">
        <v>77.22</v>
      </c>
      <c r="CB13" s="766">
        <v>77.38</v>
      </c>
      <c r="CC13" s="766">
        <v>77.510000000000005</v>
      </c>
      <c r="CD13" s="766">
        <v>77.64</v>
      </c>
      <c r="CE13" s="766">
        <v>77.78</v>
      </c>
      <c r="CF13" s="766">
        <v>77.92</v>
      </c>
      <c r="CG13" s="766">
        <v>78.05</v>
      </c>
      <c r="CH13" s="766">
        <v>78.19</v>
      </c>
      <c r="CI13" s="766">
        <v>78.349999999999994</v>
      </c>
      <c r="CJ13" s="766">
        <v>78.459999999999994</v>
      </c>
      <c r="CK13" s="766">
        <v>78.599999999999994</v>
      </c>
      <c r="CL13" s="766">
        <v>78.739999999999995</v>
      </c>
      <c r="CM13" s="766">
        <v>78.88</v>
      </c>
      <c r="CN13" s="766">
        <v>79.010000000000005</v>
      </c>
      <c r="CO13" s="766">
        <v>79.14</v>
      </c>
      <c r="CP13" s="766">
        <v>79.27</v>
      </c>
      <c r="CQ13" s="766">
        <v>79.38</v>
      </c>
      <c r="CR13" s="766">
        <v>79.510000000000005</v>
      </c>
      <c r="CS13" s="766">
        <v>79.650000000000006</v>
      </c>
      <c r="CT13" s="766">
        <v>79.77</v>
      </c>
      <c r="CU13" s="766">
        <v>79.89</v>
      </c>
      <c r="CV13" s="766">
        <v>80</v>
      </c>
      <c r="CW13" s="766">
        <v>80.13</v>
      </c>
      <c r="CX13" s="766">
        <v>80.25</v>
      </c>
      <c r="CY13" s="766">
        <v>80.37</v>
      </c>
      <c r="CZ13" s="766">
        <v>80.489999999999995</v>
      </c>
      <c r="DA13" s="766">
        <v>80.599999999999994</v>
      </c>
      <c r="DB13" s="766">
        <v>80.72</v>
      </c>
      <c r="DC13" s="766">
        <v>80.83</v>
      </c>
      <c r="DD13" s="766">
        <v>80.95</v>
      </c>
      <c r="DE13" s="766">
        <v>81.06</v>
      </c>
      <c r="DF13" s="766">
        <v>81.17</v>
      </c>
      <c r="DG13" s="766">
        <v>81.28</v>
      </c>
      <c r="DH13" s="766">
        <v>81.39</v>
      </c>
      <c r="DI13" s="766">
        <v>81.5</v>
      </c>
      <c r="DJ13" s="766">
        <v>81.61</v>
      </c>
      <c r="DK13" s="766">
        <v>81.709999999999994</v>
      </c>
      <c r="DL13" s="766">
        <v>81.819999999999993</v>
      </c>
      <c r="DM13" s="766">
        <v>81.92</v>
      </c>
      <c r="DN13" s="766">
        <v>82.03</v>
      </c>
      <c r="DO13" s="766">
        <v>82.13</v>
      </c>
      <c r="DP13" s="766">
        <v>82.23</v>
      </c>
      <c r="DQ13" s="766">
        <v>82.33</v>
      </c>
      <c r="DR13" s="766">
        <v>82.43</v>
      </c>
    </row>
    <row r="14" spans="1:122">
      <c r="A14" s="950">
        <v>12</v>
      </c>
      <c r="B14" s="94"/>
      <c r="C14" s="94"/>
      <c r="D14" s="94"/>
      <c r="E14" s="94"/>
      <c r="F14" s="94"/>
      <c r="G14" s="94"/>
      <c r="H14" s="94"/>
      <c r="I14" s="94"/>
      <c r="J14" s="94"/>
      <c r="K14" s="94"/>
      <c r="L14" s="94"/>
      <c r="M14" s="94"/>
      <c r="N14" s="94"/>
      <c r="O14" s="94"/>
      <c r="P14" s="94"/>
      <c r="Q14" s="94"/>
      <c r="R14" s="94"/>
      <c r="S14" s="94"/>
      <c r="T14" s="94"/>
      <c r="U14" s="94"/>
      <c r="V14" s="766"/>
      <c r="W14" s="766">
        <v>65.55</v>
      </c>
      <c r="X14" s="766">
        <v>65.790000000000006</v>
      </c>
      <c r="Y14" s="766">
        <v>66.040000000000006</v>
      </c>
      <c r="Z14" s="766">
        <v>66.36</v>
      </c>
      <c r="AA14" s="766">
        <v>66.599999999999994</v>
      </c>
      <c r="AB14" s="766">
        <v>66.900000000000006</v>
      </c>
      <c r="AC14" s="766">
        <v>67.22</v>
      </c>
      <c r="AD14" s="766">
        <v>67.430000000000007</v>
      </c>
      <c r="AE14" s="766">
        <v>67.739999999999995</v>
      </c>
      <c r="AF14" s="766">
        <v>68.08</v>
      </c>
      <c r="AG14" s="766">
        <v>68.36</v>
      </c>
      <c r="AH14" s="766">
        <v>68.66</v>
      </c>
      <c r="AI14" s="766">
        <v>68.989999999999995</v>
      </c>
      <c r="AJ14" s="766">
        <v>69.400000000000006</v>
      </c>
      <c r="AK14" s="766">
        <v>69.72</v>
      </c>
      <c r="AL14" s="766">
        <v>70.099999999999994</v>
      </c>
      <c r="AM14" s="766">
        <v>70.41</v>
      </c>
      <c r="AN14" s="766">
        <v>70.64</v>
      </c>
      <c r="AO14" s="766">
        <v>70.849999999999994</v>
      </c>
      <c r="AP14" s="766">
        <v>71</v>
      </c>
      <c r="AQ14" s="766">
        <v>71.08</v>
      </c>
      <c r="AR14" s="766">
        <v>71.14</v>
      </c>
      <c r="AS14" s="766">
        <v>71.209999999999994</v>
      </c>
      <c r="AT14" s="766">
        <v>71.2</v>
      </c>
      <c r="AU14" s="766">
        <v>71.3</v>
      </c>
      <c r="AV14" s="766">
        <v>71.37</v>
      </c>
      <c r="AW14" s="766">
        <v>71.63</v>
      </c>
      <c r="AX14" s="766">
        <v>71.7</v>
      </c>
      <c r="AY14" s="766">
        <v>71.849999999999994</v>
      </c>
      <c r="AZ14" s="766">
        <v>71.98</v>
      </c>
      <c r="BA14" s="766">
        <v>72.13</v>
      </c>
      <c r="BB14" s="766">
        <v>72.25</v>
      </c>
      <c r="BC14" s="766">
        <v>72.38</v>
      </c>
      <c r="BD14" s="766">
        <v>72.510000000000005</v>
      </c>
      <c r="BE14" s="766">
        <v>72.62</v>
      </c>
      <c r="BF14" s="766">
        <v>72.81</v>
      </c>
      <c r="BG14" s="766">
        <v>72.98</v>
      </c>
      <c r="BH14" s="766">
        <v>73.17</v>
      </c>
      <c r="BI14" s="766">
        <v>73.319999999999993</v>
      </c>
      <c r="BJ14" s="766">
        <v>73.489999999999995</v>
      </c>
      <c r="BK14" s="766">
        <v>73.67</v>
      </c>
      <c r="BL14" s="766">
        <v>73.86</v>
      </c>
      <c r="BM14" s="766">
        <v>74.069999999999993</v>
      </c>
      <c r="BN14" s="766">
        <v>74.239999999999995</v>
      </c>
      <c r="BO14" s="766">
        <v>74.41</v>
      </c>
      <c r="BP14" s="766">
        <v>74.599999999999994</v>
      </c>
      <c r="BQ14" s="766">
        <v>74.760000000000005</v>
      </c>
      <c r="BR14" s="766">
        <v>74.91</v>
      </c>
      <c r="BS14" s="766">
        <v>75.09</v>
      </c>
      <c r="BT14" s="766">
        <v>75.25</v>
      </c>
      <c r="BU14" s="766">
        <v>75.38</v>
      </c>
      <c r="BV14" s="766">
        <v>75.540000000000006</v>
      </c>
      <c r="BW14" s="766">
        <v>75.69</v>
      </c>
      <c r="BX14" s="766">
        <v>75.83</v>
      </c>
      <c r="BY14" s="766">
        <v>75.97</v>
      </c>
      <c r="BZ14" s="766">
        <v>76.099999999999994</v>
      </c>
      <c r="CA14" s="766">
        <v>76.23</v>
      </c>
      <c r="CB14" s="766">
        <v>76.39</v>
      </c>
      <c r="CC14" s="766">
        <v>76.53</v>
      </c>
      <c r="CD14" s="766">
        <v>76.650000000000006</v>
      </c>
      <c r="CE14" s="766">
        <v>76.790000000000006</v>
      </c>
      <c r="CF14" s="766">
        <v>76.930000000000007</v>
      </c>
      <c r="CG14" s="766">
        <v>77.06</v>
      </c>
      <c r="CH14" s="766">
        <v>77.2</v>
      </c>
      <c r="CI14" s="766">
        <v>77.36</v>
      </c>
      <c r="CJ14" s="766">
        <v>77.47</v>
      </c>
      <c r="CK14" s="766">
        <v>77.61</v>
      </c>
      <c r="CL14" s="766">
        <v>77.75</v>
      </c>
      <c r="CM14" s="766">
        <v>77.88</v>
      </c>
      <c r="CN14" s="766">
        <v>78.02</v>
      </c>
      <c r="CO14" s="766">
        <v>78.14</v>
      </c>
      <c r="CP14" s="766">
        <v>78.28</v>
      </c>
      <c r="CQ14" s="766">
        <v>78.39</v>
      </c>
      <c r="CR14" s="766">
        <v>78.52</v>
      </c>
      <c r="CS14" s="766">
        <v>78.66</v>
      </c>
      <c r="CT14" s="766">
        <v>78.78</v>
      </c>
      <c r="CU14" s="766">
        <v>78.900000000000006</v>
      </c>
      <c r="CV14" s="766">
        <v>79.010000000000005</v>
      </c>
      <c r="CW14" s="766">
        <v>79.14</v>
      </c>
      <c r="CX14" s="766">
        <v>79.260000000000005</v>
      </c>
      <c r="CY14" s="766">
        <v>79.37</v>
      </c>
      <c r="CZ14" s="766">
        <v>79.489999999999995</v>
      </c>
      <c r="DA14" s="766">
        <v>79.61</v>
      </c>
      <c r="DB14" s="766">
        <v>79.73</v>
      </c>
      <c r="DC14" s="766">
        <v>79.84</v>
      </c>
      <c r="DD14" s="766">
        <v>79.95</v>
      </c>
      <c r="DE14" s="766">
        <v>80.069999999999993</v>
      </c>
      <c r="DF14" s="766">
        <v>80.180000000000007</v>
      </c>
      <c r="DG14" s="766">
        <v>80.290000000000006</v>
      </c>
      <c r="DH14" s="766">
        <v>80.400000000000006</v>
      </c>
      <c r="DI14" s="766">
        <v>80.510000000000005</v>
      </c>
      <c r="DJ14" s="766">
        <v>80.61</v>
      </c>
      <c r="DK14" s="766">
        <v>80.72</v>
      </c>
      <c r="DL14" s="766">
        <v>80.819999999999993</v>
      </c>
      <c r="DM14" s="766">
        <v>80.930000000000007</v>
      </c>
      <c r="DN14" s="766">
        <v>81.03</v>
      </c>
      <c r="DO14" s="766">
        <v>81.13</v>
      </c>
      <c r="DP14" s="766">
        <v>81.239999999999995</v>
      </c>
      <c r="DQ14" s="766">
        <v>81.34</v>
      </c>
      <c r="DR14" s="766">
        <v>81.44</v>
      </c>
    </row>
    <row r="15" spans="1:122">
      <c r="A15" s="950">
        <v>13</v>
      </c>
      <c r="B15" s="94"/>
      <c r="C15" s="94"/>
      <c r="D15" s="94"/>
      <c r="E15" s="94"/>
      <c r="F15" s="94"/>
      <c r="G15" s="94"/>
      <c r="H15" s="94"/>
      <c r="I15" s="94"/>
      <c r="J15" s="94"/>
      <c r="K15" s="94"/>
      <c r="L15" s="94"/>
      <c r="M15" s="94"/>
      <c r="N15" s="94"/>
      <c r="O15" s="94"/>
      <c r="P15" s="94"/>
      <c r="Q15" s="94"/>
      <c r="R15" s="94"/>
      <c r="S15" s="94"/>
      <c r="T15" s="94"/>
      <c r="U15" s="94"/>
      <c r="V15" s="766"/>
      <c r="W15" s="766">
        <v>64.61</v>
      </c>
      <c r="X15" s="766">
        <v>64.86</v>
      </c>
      <c r="Y15" s="766">
        <v>65.12</v>
      </c>
      <c r="Z15" s="766">
        <v>65.45</v>
      </c>
      <c r="AA15" s="766">
        <v>65.680000000000007</v>
      </c>
      <c r="AB15" s="766">
        <v>65.97</v>
      </c>
      <c r="AC15" s="766">
        <v>66.3</v>
      </c>
      <c r="AD15" s="766">
        <v>66.510000000000005</v>
      </c>
      <c r="AE15" s="766">
        <v>66.819999999999993</v>
      </c>
      <c r="AF15" s="766">
        <v>67.16</v>
      </c>
      <c r="AG15" s="766">
        <v>67.45</v>
      </c>
      <c r="AH15" s="766">
        <v>67.77</v>
      </c>
      <c r="AI15" s="766">
        <v>68.12</v>
      </c>
      <c r="AJ15" s="766">
        <v>68.459999999999994</v>
      </c>
      <c r="AK15" s="766">
        <v>68.790000000000006</v>
      </c>
      <c r="AL15" s="766">
        <v>69.150000000000006</v>
      </c>
      <c r="AM15" s="766">
        <v>69.44</v>
      </c>
      <c r="AN15" s="766">
        <v>69.67</v>
      </c>
      <c r="AO15" s="766">
        <v>69.88</v>
      </c>
      <c r="AP15" s="766">
        <v>70.02</v>
      </c>
      <c r="AQ15" s="766">
        <v>70.099999999999994</v>
      </c>
      <c r="AR15" s="766">
        <v>70.16</v>
      </c>
      <c r="AS15" s="766">
        <v>70.23</v>
      </c>
      <c r="AT15" s="766">
        <v>70.22</v>
      </c>
      <c r="AU15" s="766">
        <v>70.319999999999993</v>
      </c>
      <c r="AV15" s="766">
        <v>70.39</v>
      </c>
      <c r="AW15" s="766">
        <v>70.650000000000006</v>
      </c>
      <c r="AX15" s="766">
        <v>70.72</v>
      </c>
      <c r="AY15" s="766">
        <v>70.88</v>
      </c>
      <c r="AZ15" s="766">
        <v>71</v>
      </c>
      <c r="BA15" s="766">
        <v>71.150000000000006</v>
      </c>
      <c r="BB15" s="766">
        <v>71.27</v>
      </c>
      <c r="BC15" s="766">
        <v>71.400000000000006</v>
      </c>
      <c r="BD15" s="766">
        <v>71.53</v>
      </c>
      <c r="BE15" s="766">
        <v>71.64</v>
      </c>
      <c r="BF15" s="766">
        <v>71.83</v>
      </c>
      <c r="BG15" s="766">
        <v>72</v>
      </c>
      <c r="BH15" s="766">
        <v>72.19</v>
      </c>
      <c r="BI15" s="766">
        <v>72.34</v>
      </c>
      <c r="BJ15" s="766">
        <v>72.510000000000005</v>
      </c>
      <c r="BK15" s="766">
        <v>72.680000000000007</v>
      </c>
      <c r="BL15" s="766">
        <v>72.88</v>
      </c>
      <c r="BM15" s="766">
        <v>73.09</v>
      </c>
      <c r="BN15" s="766">
        <v>73.260000000000005</v>
      </c>
      <c r="BO15" s="766">
        <v>73.42</v>
      </c>
      <c r="BP15" s="766">
        <v>73.61</v>
      </c>
      <c r="BQ15" s="766">
        <v>73.78</v>
      </c>
      <c r="BR15" s="766">
        <v>73.930000000000007</v>
      </c>
      <c r="BS15" s="766">
        <v>74.11</v>
      </c>
      <c r="BT15" s="766">
        <v>74.27</v>
      </c>
      <c r="BU15" s="766">
        <v>74.400000000000006</v>
      </c>
      <c r="BV15" s="766">
        <v>74.55</v>
      </c>
      <c r="BW15" s="766">
        <v>74.7</v>
      </c>
      <c r="BX15" s="766">
        <v>74.84</v>
      </c>
      <c r="BY15" s="766">
        <v>74.98</v>
      </c>
      <c r="BZ15" s="766">
        <v>75.11</v>
      </c>
      <c r="CA15" s="766">
        <v>75.239999999999995</v>
      </c>
      <c r="CB15" s="766">
        <v>75.400000000000006</v>
      </c>
      <c r="CC15" s="766">
        <v>75.540000000000006</v>
      </c>
      <c r="CD15" s="766">
        <v>75.66</v>
      </c>
      <c r="CE15" s="766">
        <v>75.8</v>
      </c>
      <c r="CF15" s="766">
        <v>75.94</v>
      </c>
      <c r="CG15" s="766">
        <v>76.069999999999993</v>
      </c>
      <c r="CH15" s="766">
        <v>76.209999999999994</v>
      </c>
      <c r="CI15" s="766">
        <v>76.37</v>
      </c>
      <c r="CJ15" s="766">
        <v>76.48</v>
      </c>
      <c r="CK15" s="766">
        <v>76.62</v>
      </c>
      <c r="CL15" s="766">
        <v>76.75</v>
      </c>
      <c r="CM15" s="766">
        <v>76.89</v>
      </c>
      <c r="CN15" s="766">
        <v>77.03</v>
      </c>
      <c r="CO15" s="766">
        <v>77.150000000000006</v>
      </c>
      <c r="CP15" s="766">
        <v>77.290000000000006</v>
      </c>
      <c r="CQ15" s="766">
        <v>77.39</v>
      </c>
      <c r="CR15" s="766">
        <v>77.53</v>
      </c>
      <c r="CS15" s="766">
        <v>77.66</v>
      </c>
      <c r="CT15" s="766">
        <v>77.790000000000006</v>
      </c>
      <c r="CU15" s="766">
        <v>77.900000000000006</v>
      </c>
      <c r="CV15" s="766">
        <v>78.02</v>
      </c>
      <c r="CW15" s="766">
        <v>78.14</v>
      </c>
      <c r="CX15" s="766">
        <v>78.260000000000005</v>
      </c>
      <c r="CY15" s="766">
        <v>78.38</v>
      </c>
      <c r="CZ15" s="766">
        <v>78.5</v>
      </c>
      <c r="DA15" s="766">
        <v>78.61</v>
      </c>
      <c r="DB15" s="766">
        <v>78.73</v>
      </c>
      <c r="DC15" s="766">
        <v>78.849999999999994</v>
      </c>
      <c r="DD15" s="766">
        <v>78.959999999999994</v>
      </c>
      <c r="DE15" s="766">
        <v>79.069999999999993</v>
      </c>
      <c r="DF15" s="766">
        <v>79.180000000000007</v>
      </c>
      <c r="DG15" s="766">
        <v>79.290000000000006</v>
      </c>
      <c r="DH15" s="766">
        <v>79.400000000000006</v>
      </c>
      <c r="DI15" s="766">
        <v>79.510000000000005</v>
      </c>
      <c r="DJ15" s="766">
        <v>79.62</v>
      </c>
      <c r="DK15" s="766">
        <v>79.72</v>
      </c>
      <c r="DL15" s="766">
        <v>79.83</v>
      </c>
      <c r="DM15" s="766">
        <v>79.930000000000007</v>
      </c>
      <c r="DN15" s="766">
        <v>80.040000000000006</v>
      </c>
      <c r="DO15" s="766">
        <v>80.14</v>
      </c>
      <c r="DP15" s="766">
        <v>80.239999999999995</v>
      </c>
      <c r="DQ15" s="766">
        <v>80.34</v>
      </c>
      <c r="DR15" s="766">
        <v>80.44</v>
      </c>
    </row>
    <row r="16" spans="1:122">
      <c r="A16" s="950">
        <v>14</v>
      </c>
      <c r="B16" s="94"/>
      <c r="C16" s="94"/>
      <c r="D16" s="94"/>
      <c r="E16" s="94"/>
      <c r="F16" s="94"/>
      <c r="G16" s="94"/>
      <c r="H16" s="94"/>
      <c r="I16" s="94"/>
      <c r="J16" s="94"/>
      <c r="K16" s="94"/>
      <c r="L16" s="94"/>
      <c r="M16" s="94"/>
      <c r="N16" s="94"/>
      <c r="O16" s="94"/>
      <c r="P16" s="94"/>
      <c r="Q16" s="94"/>
      <c r="R16" s="94"/>
      <c r="S16" s="94"/>
      <c r="T16" s="94"/>
      <c r="U16" s="94"/>
      <c r="V16" s="766"/>
      <c r="W16" s="766">
        <v>63.68</v>
      </c>
      <c r="X16" s="766">
        <v>63.95</v>
      </c>
      <c r="Y16" s="766">
        <v>64.209999999999994</v>
      </c>
      <c r="Z16" s="766">
        <v>64.53</v>
      </c>
      <c r="AA16" s="766">
        <v>64.760000000000005</v>
      </c>
      <c r="AB16" s="766">
        <v>65.06</v>
      </c>
      <c r="AC16" s="766">
        <v>65.38</v>
      </c>
      <c r="AD16" s="766">
        <v>65.59</v>
      </c>
      <c r="AE16" s="766">
        <v>65.91</v>
      </c>
      <c r="AF16" s="766">
        <v>66.25</v>
      </c>
      <c r="AG16" s="766">
        <v>66.56</v>
      </c>
      <c r="AH16" s="766">
        <v>66.900000000000006</v>
      </c>
      <c r="AI16" s="766">
        <v>67.180000000000007</v>
      </c>
      <c r="AJ16" s="766">
        <v>67.53</v>
      </c>
      <c r="AK16" s="766">
        <v>67.84</v>
      </c>
      <c r="AL16" s="766">
        <v>68.19</v>
      </c>
      <c r="AM16" s="766">
        <v>68.48</v>
      </c>
      <c r="AN16" s="766">
        <v>68.709999999999994</v>
      </c>
      <c r="AO16" s="766">
        <v>68.91</v>
      </c>
      <c r="AP16" s="766">
        <v>69.05</v>
      </c>
      <c r="AQ16" s="766">
        <v>69.13</v>
      </c>
      <c r="AR16" s="766">
        <v>69.19</v>
      </c>
      <c r="AS16" s="766">
        <v>69.260000000000005</v>
      </c>
      <c r="AT16" s="766">
        <v>69.25</v>
      </c>
      <c r="AU16" s="766">
        <v>69.34</v>
      </c>
      <c r="AV16" s="766">
        <v>69.41</v>
      </c>
      <c r="AW16" s="766">
        <v>69.67</v>
      </c>
      <c r="AX16" s="766">
        <v>69.739999999999995</v>
      </c>
      <c r="AY16" s="766">
        <v>69.900000000000006</v>
      </c>
      <c r="AZ16" s="766">
        <v>70.02</v>
      </c>
      <c r="BA16" s="766">
        <v>70.17</v>
      </c>
      <c r="BB16" s="766">
        <v>70.3</v>
      </c>
      <c r="BC16" s="766">
        <v>70.42</v>
      </c>
      <c r="BD16" s="766">
        <v>70.55</v>
      </c>
      <c r="BE16" s="766">
        <v>70.66</v>
      </c>
      <c r="BF16" s="766">
        <v>70.849999999999994</v>
      </c>
      <c r="BG16" s="766">
        <v>71.02</v>
      </c>
      <c r="BH16" s="766">
        <v>71.209999999999994</v>
      </c>
      <c r="BI16" s="766">
        <v>71.36</v>
      </c>
      <c r="BJ16" s="766">
        <v>71.53</v>
      </c>
      <c r="BK16" s="766">
        <v>71.7</v>
      </c>
      <c r="BL16" s="766">
        <v>71.900000000000006</v>
      </c>
      <c r="BM16" s="766">
        <v>72.11</v>
      </c>
      <c r="BN16" s="766">
        <v>72.27</v>
      </c>
      <c r="BO16" s="766">
        <v>72.44</v>
      </c>
      <c r="BP16" s="766">
        <v>72.63</v>
      </c>
      <c r="BQ16" s="766">
        <v>72.790000000000006</v>
      </c>
      <c r="BR16" s="766">
        <v>72.94</v>
      </c>
      <c r="BS16" s="766">
        <v>73.12</v>
      </c>
      <c r="BT16" s="766">
        <v>73.28</v>
      </c>
      <c r="BU16" s="766">
        <v>73.41</v>
      </c>
      <c r="BV16" s="766">
        <v>73.56</v>
      </c>
      <c r="BW16" s="766">
        <v>73.709999999999994</v>
      </c>
      <c r="BX16" s="766">
        <v>73.849999999999994</v>
      </c>
      <c r="BY16" s="766">
        <v>73.989999999999995</v>
      </c>
      <c r="BZ16" s="766">
        <v>74.12</v>
      </c>
      <c r="CA16" s="766">
        <v>74.25</v>
      </c>
      <c r="CB16" s="766">
        <v>74.41</v>
      </c>
      <c r="CC16" s="766">
        <v>74.55</v>
      </c>
      <c r="CD16" s="766">
        <v>74.680000000000007</v>
      </c>
      <c r="CE16" s="766">
        <v>74.81</v>
      </c>
      <c r="CF16" s="766">
        <v>74.95</v>
      </c>
      <c r="CG16" s="766">
        <v>75.069999999999993</v>
      </c>
      <c r="CH16" s="766">
        <v>75.22</v>
      </c>
      <c r="CI16" s="766">
        <v>75.37</v>
      </c>
      <c r="CJ16" s="766">
        <v>75.489999999999995</v>
      </c>
      <c r="CK16" s="766">
        <v>75.62</v>
      </c>
      <c r="CL16" s="766">
        <v>75.77</v>
      </c>
      <c r="CM16" s="766">
        <v>75.900000000000006</v>
      </c>
      <c r="CN16" s="766">
        <v>76.03</v>
      </c>
      <c r="CO16" s="766">
        <v>76.150000000000006</v>
      </c>
      <c r="CP16" s="766">
        <v>76.290000000000006</v>
      </c>
      <c r="CQ16" s="766">
        <v>76.400000000000006</v>
      </c>
      <c r="CR16" s="766">
        <v>76.540000000000006</v>
      </c>
      <c r="CS16" s="766">
        <v>76.67</v>
      </c>
      <c r="CT16" s="766">
        <v>76.790000000000006</v>
      </c>
      <c r="CU16" s="766">
        <v>76.91</v>
      </c>
      <c r="CV16" s="766">
        <v>77.03</v>
      </c>
      <c r="CW16" s="766">
        <v>77.150000000000006</v>
      </c>
      <c r="CX16" s="766">
        <v>77.27</v>
      </c>
      <c r="CY16" s="766">
        <v>77.39</v>
      </c>
      <c r="CZ16" s="766">
        <v>77.510000000000005</v>
      </c>
      <c r="DA16" s="766">
        <v>77.62</v>
      </c>
      <c r="DB16" s="766">
        <v>77.739999999999995</v>
      </c>
      <c r="DC16" s="766">
        <v>77.849999999999994</v>
      </c>
      <c r="DD16" s="766">
        <v>77.97</v>
      </c>
      <c r="DE16" s="766">
        <v>78.08</v>
      </c>
      <c r="DF16" s="766">
        <v>78.19</v>
      </c>
      <c r="DG16" s="766">
        <v>78.3</v>
      </c>
      <c r="DH16" s="766">
        <v>78.41</v>
      </c>
      <c r="DI16" s="766">
        <v>78.52</v>
      </c>
      <c r="DJ16" s="766">
        <v>78.62</v>
      </c>
      <c r="DK16" s="766">
        <v>78.73</v>
      </c>
      <c r="DL16" s="766">
        <v>78.83</v>
      </c>
      <c r="DM16" s="766">
        <v>78.94</v>
      </c>
      <c r="DN16" s="766">
        <v>79.040000000000006</v>
      </c>
      <c r="DO16" s="766">
        <v>79.14</v>
      </c>
      <c r="DP16" s="766">
        <v>79.239999999999995</v>
      </c>
      <c r="DQ16" s="766">
        <v>79.34</v>
      </c>
      <c r="DR16" s="766">
        <v>79.44</v>
      </c>
    </row>
    <row r="17" spans="1:122">
      <c r="A17" s="950">
        <v>15</v>
      </c>
      <c r="B17" s="94"/>
      <c r="C17" s="94"/>
      <c r="D17" s="94"/>
      <c r="E17" s="94"/>
      <c r="F17" s="94"/>
      <c r="G17" s="94"/>
      <c r="H17" s="94"/>
      <c r="I17" s="94"/>
      <c r="J17" s="94"/>
      <c r="K17" s="94"/>
      <c r="L17" s="94"/>
      <c r="M17" s="94"/>
      <c r="N17" s="94"/>
      <c r="O17" s="94"/>
      <c r="P17" s="94"/>
      <c r="Q17" s="94"/>
      <c r="R17" s="94"/>
      <c r="S17" s="94"/>
      <c r="T17" s="94"/>
      <c r="U17" s="94"/>
      <c r="V17" s="766"/>
      <c r="W17" s="766">
        <v>62.77</v>
      </c>
      <c r="X17" s="766">
        <v>63.04</v>
      </c>
      <c r="Y17" s="766">
        <v>63.3</v>
      </c>
      <c r="Z17" s="766">
        <v>63.61</v>
      </c>
      <c r="AA17" s="766">
        <v>63.84</v>
      </c>
      <c r="AB17" s="766">
        <v>64.14</v>
      </c>
      <c r="AC17" s="766">
        <v>64.47</v>
      </c>
      <c r="AD17" s="766">
        <v>64.680000000000007</v>
      </c>
      <c r="AE17" s="766">
        <v>65.010000000000005</v>
      </c>
      <c r="AF17" s="766">
        <v>65.36</v>
      </c>
      <c r="AG17" s="766">
        <v>65.69</v>
      </c>
      <c r="AH17" s="766">
        <v>65.97</v>
      </c>
      <c r="AI17" s="766">
        <v>66.25</v>
      </c>
      <c r="AJ17" s="766">
        <v>66.59</v>
      </c>
      <c r="AK17" s="766">
        <v>66.88</v>
      </c>
      <c r="AL17" s="766">
        <v>67.23</v>
      </c>
      <c r="AM17" s="766">
        <v>67.52</v>
      </c>
      <c r="AN17" s="766">
        <v>67.739999999999995</v>
      </c>
      <c r="AO17" s="766">
        <v>67.94</v>
      </c>
      <c r="AP17" s="766">
        <v>68.08</v>
      </c>
      <c r="AQ17" s="766">
        <v>68.150000000000006</v>
      </c>
      <c r="AR17" s="766">
        <v>68.209999999999994</v>
      </c>
      <c r="AS17" s="766">
        <v>68.290000000000006</v>
      </c>
      <c r="AT17" s="766">
        <v>68.28</v>
      </c>
      <c r="AU17" s="766">
        <v>68.37</v>
      </c>
      <c r="AV17" s="766">
        <v>68.430000000000007</v>
      </c>
      <c r="AW17" s="766">
        <v>68.7</v>
      </c>
      <c r="AX17" s="766">
        <v>68.760000000000005</v>
      </c>
      <c r="AY17" s="766">
        <v>68.92</v>
      </c>
      <c r="AZ17" s="766">
        <v>69.040000000000006</v>
      </c>
      <c r="BA17" s="766">
        <v>69.19</v>
      </c>
      <c r="BB17" s="766">
        <v>69.319999999999993</v>
      </c>
      <c r="BC17" s="766">
        <v>69.44</v>
      </c>
      <c r="BD17" s="766">
        <v>69.58</v>
      </c>
      <c r="BE17" s="766">
        <v>69.69</v>
      </c>
      <c r="BF17" s="766">
        <v>69.87</v>
      </c>
      <c r="BG17" s="766">
        <v>70.040000000000006</v>
      </c>
      <c r="BH17" s="766">
        <v>70.23</v>
      </c>
      <c r="BI17" s="766">
        <v>70.38</v>
      </c>
      <c r="BJ17" s="766">
        <v>70.55</v>
      </c>
      <c r="BK17" s="766">
        <v>70.72</v>
      </c>
      <c r="BL17" s="766">
        <v>70.92</v>
      </c>
      <c r="BM17" s="766">
        <v>71.13</v>
      </c>
      <c r="BN17" s="766">
        <v>71.290000000000006</v>
      </c>
      <c r="BO17" s="766">
        <v>71.459999999999994</v>
      </c>
      <c r="BP17" s="766">
        <v>71.650000000000006</v>
      </c>
      <c r="BQ17" s="766">
        <v>71.81</v>
      </c>
      <c r="BR17" s="766">
        <v>71.959999999999994</v>
      </c>
      <c r="BS17" s="766">
        <v>72.14</v>
      </c>
      <c r="BT17" s="766">
        <v>72.290000000000006</v>
      </c>
      <c r="BU17" s="766">
        <v>72.430000000000007</v>
      </c>
      <c r="BV17" s="766">
        <v>72.569999999999993</v>
      </c>
      <c r="BW17" s="766">
        <v>72.72</v>
      </c>
      <c r="BX17" s="766">
        <v>72.86</v>
      </c>
      <c r="BY17" s="766">
        <v>73</v>
      </c>
      <c r="BZ17" s="766">
        <v>73.14</v>
      </c>
      <c r="CA17" s="766">
        <v>73.260000000000005</v>
      </c>
      <c r="CB17" s="766">
        <v>73.42</v>
      </c>
      <c r="CC17" s="766">
        <v>73.56</v>
      </c>
      <c r="CD17" s="766">
        <v>73.69</v>
      </c>
      <c r="CE17" s="766">
        <v>73.819999999999993</v>
      </c>
      <c r="CF17" s="766">
        <v>73.959999999999994</v>
      </c>
      <c r="CG17" s="766">
        <v>74.08</v>
      </c>
      <c r="CH17" s="766">
        <v>74.23</v>
      </c>
      <c r="CI17" s="766">
        <v>74.39</v>
      </c>
      <c r="CJ17" s="766">
        <v>74.5</v>
      </c>
      <c r="CK17" s="766">
        <v>74.63</v>
      </c>
      <c r="CL17" s="766">
        <v>74.78</v>
      </c>
      <c r="CM17" s="766">
        <v>74.91</v>
      </c>
      <c r="CN17" s="766">
        <v>75.040000000000006</v>
      </c>
      <c r="CO17" s="766">
        <v>75.17</v>
      </c>
      <c r="CP17" s="766">
        <v>75.3</v>
      </c>
      <c r="CQ17" s="766">
        <v>75.41</v>
      </c>
      <c r="CR17" s="766">
        <v>75.540000000000006</v>
      </c>
      <c r="CS17" s="766">
        <v>75.680000000000007</v>
      </c>
      <c r="CT17" s="766">
        <v>75.8</v>
      </c>
      <c r="CU17" s="766">
        <v>75.91</v>
      </c>
      <c r="CV17" s="766">
        <v>76.03</v>
      </c>
      <c r="CW17" s="766">
        <v>76.16</v>
      </c>
      <c r="CX17" s="766">
        <v>76.28</v>
      </c>
      <c r="CY17" s="766">
        <v>76.39</v>
      </c>
      <c r="CZ17" s="766">
        <v>76.510000000000005</v>
      </c>
      <c r="DA17" s="766">
        <v>76.63</v>
      </c>
      <c r="DB17" s="766">
        <v>76.75</v>
      </c>
      <c r="DC17" s="766">
        <v>76.86</v>
      </c>
      <c r="DD17" s="766">
        <v>76.97</v>
      </c>
      <c r="DE17" s="766">
        <v>77.08</v>
      </c>
      <c r="DF17" s="766">
        <v>77.2</v>
      </c>
      <c r="DG17" s="766">
        <v>77.3</v>
      </c>
      <c r="DH17" s="766">
        <v>77.41</v>
      </c>
      <c r="DI17" s="766">
        <v>77.52</v>
      </c>
      <c r="DJ17" s="766">
        <v>77.63</v>
      </c>
      <c r="DK17" s="766">
        <v>77.73</v>
      </c>
      <c r="DL17" s="766">
        <v>77.84</v>
      </c>
      <c r="DM17" s="766">
        <v>77.94</v>
      </c>
      <c r="DN17" s="766">
        <v>78.05</v>
      </c>
      <c r="DO17" s="766">
        <v>78.150000000000006</v>
      </c>
      <c r="DP17" s="766">
        <v>78.25</v>
      </c>
      <c r="DQ17" s="766">
        <v>78.349999999999994</v>
      </c>
      <c r="DR17" s="766">
        <v>78.45</v>
      </c>
    </row>
    <row r="18" spans="1:122">
      <c r="A18" s="950">
        <v>16</v>
      </c>
      <c r="B18" s="94"/>
      <c r="C18" s="94"/>
      <c r="D18" s="94"/>
      <c r="E18" s="94"/>
      <c r="F18" s="94"/>
      <c r="G18" s="94"/>
      <c r="H18" s="94"/>
      <c r="I18" s="94"/>
      <c r="J18" s="94"/>
      <c r="K18" s="94"/>
      <c r="L18" s="94"/>
      <c r="M18" s="94"/>
      <c r="N18" s="94"/>
      <c r="O18" s="94"/>
      <c r="P18" s="94"/>
      <c r="Q18" s="94"/>
      <c r="R18" s="94"/>
      <c r="S18" s="94"/>
      <c r="T18" s="94"/>
      <c r="U18" s="94"/>
      <c r="V18" s="766"/>
      <c r="W18" s="766">
        <v>61.87</v>
      </c>
      <c r="X18" s="766">
        <v>62.13</v>
      </c>
      <c r="Y18" s="766">
        <v>62.39</v>
      </c>
      <c r="Z18" s="766">
        <v>62.7</v>
      </c>
      <c r="AA18" s="766">
        <v>62.93</v>
      </c>
      <c r="AB18" s="766">
        <v>63.24</v>
      </c>
      <c r="AC18" s="766">
        <v>63.56</v>
      </c>
      <c r="AD18" s="766">
        <v>63.78</v>
      </c>
      <c r="AE18" s="766">
        <v>64.12</v>
      </c>
      <c r="AF18" s="766">
        <v>64.510000000000005</v>
      </c>
      <c r="AG18" s="766">
        <v>64.78</v>
      </c>
      <c r="AH18" s="766">
        <v>65.06</v>
      </c>
      <c r="AI18" s="766">
        <v>65.319999999999993</v>
      </c>
      <c r="AJ18" s="766">
        <v>65.63</v>
      </c>
      <c r="AK18" s="766">
        <v>65.92</v>
      </c>
      <c r="AL18" s="766">
        <v>66.27</v>
      </c>
      <c r="AM18" s="766">
        <v>66.55</v>
      </c>
      <c r="AN18" s="766">
        <v>66.77</v>
      </c>
      <c r="AO18" s="766">
        <v>66.97</v>
      </c>
      <c r="AP18" s="766">
        <v>67.11</v>
      </c>
      <c r="AQ18" s="766">
        <v>67.19</v>
      </c>
      <c r="AR18" s="766">
        <v>67.239999999999995</v>
      </c>
      <c r="AS18" s="766">
        <v>67.31</v>
      </c>
      <c r="AT18" s="766">
        <v>67.31</v>
      </c>
      <c r="AU18" s="766">
        <v>67.400000000000006</v>
      </c>
      <c r="AV18" s="766">
        <v>67.459999999999994</v>
      </c>
      <c r="AW18" s="766">
        <v>67.73</v>
      </c>
      <c r="AX18" s="766">
        <v>67.790000000000006</v>
      </c>
      <c r="AY18" s="766">
        <v>67.94</v>
      </c>
      <c r="AZ18" s="766">
        <v>68.069999999999993</v>
      </c>
      <c r="BA18" s="766">
        <v>68.22</v>
      </c>
      <c r="BB18" s="766">
        <v>68.349999999999994</v>
      </c>
      <c r="BC18" s="766">
        <v>68.47</v>
      </c>
      <c r="BD18" s="766">
        <v>68.61</v>
      </c>
      <c r="BE18" s="766">
        <v>68.72</v>
      </c>
      <c r="BF18" s="766">
        <v>68.900000000000006</v>
      </c>
      <c r="BG18" s="766">
        <v>69.069999999999993</v>
      </c>
      <c r="BH18" s="766">
        <v>69.260000000000005</v>
      </c>
      <c r="BI18" s="766">
        <v>69.41</v>
      </c>
      <c r="BJ18" s="766">
        <v>69.58</v>
      </c>
      <c r="BK18" s="766">
        <v>69.75</v>
      </c>
      <c r="BL18" s="766">
        <v>69.95</v>
      </c>
      <c r="BM18" s="766">
        <v>70.150000000000006</v>
      </c>
      <c r="BN18" s="766">
        <v>70.319999999999993</v>
      </c>
      <c r="BO18" s="766">
        <v>70.48</v>
      </c>
      <c r="BP18" s="766">
        <v>70.67</v>
      </c>
      <c r="BQ18" s="766">
        <v>70.83</v>
      </c>
      <c r="BR18" s="766">
        <v>70.98</v>
      </c>
      <c r="BS18" s="766">
        <v>71.16</v>
      </c>
      <c r="BT18" s="766">
        <v>71.31</v>
      </c>
      <c r="BU18" s="766">
        <v>71.44</v>
      </c>
      <c r="BV18" s="766">
        <v>71.59</v>
      </c>
      <c r="BW18" s="766">
        <v>71.739999999999995</v>
      </c>
      <c r="BX18" s="766">
        <v>71.88</v>
      </c>
      <c r="BY18" s="766">
        <v>72.02</v>
      </c>
      <c r="BZ18" s="766">
        <v>72.16</v>
      </c>
      <c r="CA18" s="766">
        <v>72.27</v>
      </c>
      <c r="CB18" s="766">
        <v>72.44</v>
      </c>
      <c r="CC18" s="766">
        <v>72.58</v>
      </c>
      <c r="CD18" s="766">
        <v>72.709999999999994</v>
      </c>
      <c r="CE18" s="766">
        <v>72.83</v>
      </c>
      <c r="CF18" s="766">
        <v>72.98</v>
      </c>
      <c r="CG18" s="766">
        <v>73.099999999999994</v>
      </c>
      <c r="CH18" s="766">
        <v>73.25</v>
      </c>
      <c r="CI18" s="766">
        <v>73.400000000000006</v>
      </c>
      <c r="CJ18" s="766">
        <v>73.510000000000005</v>
      </c>
      <c r="CK18" s="766">
        <v>73.650000000000006</v>
      </c>
      <c r="CL18" s="766">
        <v>73.790000000000006</v>
      </c>
      <c r="CM18" s="766">
        <v>73.92</v>
      </c>
      <c r="CN18" s="766">
        <v>74.05</v>
      </c>
      <c r="CO18" s="766">
        <v>74.180000000000007</v>
      </c>
      <c r="CP18" s="766">
        <v>74.31</v>
      </c>
      <c r="CQ18" s="766">
        <v>74.42</v>
      </c>
      <c r="CR18" s="766">
        <v>74.56</v>
      </c>
      <c r="CS18" s="766">
        <v>74.69</v>
      </c>
      <c r="CT18" s="766">
        <v>74.81</v>
      </c>
      <c r="CU18" s="766">
        <v>74.92</v>
      </c>
      <c r="CV18" s="766">
        <v>75.040000000000006</v>
      </c>
      <c r="CW18" s="766">
        <v>75.17</v>
      </c>
      <c r="CX18" s="766">
        <v>75.290000000000006</v>
      </c>
      <c r="CY18" s="766">
        <v>75.400000000000006</v>
      </c>
      <c r="CZ18" s="766">
        <v>75.52</v>
      </c>
      <c r="DA18" s="766">
        <v>75.64</v>
      </c>
      <c r="DB18" s="766">
        <v>75.75</v>
      </c>
      <c r="DC18" s="766">
        <v>75.87</v>
      </c>
      <c r="DD18" s="766">
        <v>75.98</v>
      </c>
      <c r="DE18" s="766">
        <v>76.09</v>
      </c>
      <c r="DF18" s="766">
        <v>76.2</v>
      </c>
      <c r="DG18" s="766">
        <v>76.31</v>
      </c>
      <c r="DH18" s="766">
        <v>76.42</v>
      </c>
      <c r="DI18" s="766">
        <v>76.53</v>
      </c>
      <c r="DJ18" s="766">
        <v>76.63</v>
      </c>
      <c r="DK18" s="766">
        <v>76.739999999999995</v>
      </c>
      <c r="DL18" s="766">
        <v>76.849999999999994</v>
      </c>
      <c r="DM18" s="766">
        <v>76.95</v>
      </c>
      <c r="DN18" s="766">
        <v>77.05</v>
      </c>
      <c r="DO18" s="766">
        <v>77.150000000000006</v>
      </c>
      <c r="DP18" s="766">
        <v>77.25</v>
      </c>
      <c r="DQ18" s="766">
        <v>77.349999999999994</v>
      </c>
      <c r="DR18" s="766">
        <v>77.45</v>
      </c>
    </row>
    <row r="19" spans="1:122">
      <c r="A19" s="950">
        <v>17</v>
      </c>
      <c r="B19" s="94"/>
      <c r="C19" s="94"/>
      <c r="D19" s="94"/>
      <c r="E19" s="94"/>
      <c r="F19" s="94"/>
      <c r="G19" s="94"/>
      <c r="H19" s="94"/>
      <c r="I19" s="94"/>
      <c r="J19" s="94"/>
      <c r="K19" s="94"/>
      <c r="L19" s="94"/>
      <c r="M19" s="94"/>
      <c r="N19" s="94"/>
      <c r="O19" s="94"/>
      <c r="P19" s="94"/>
      <c r="Q19" s="94"/>
      <c r="R19" s="94"/>
      <c r="S19" s="94"/>
      <c r="T19" s="94"/>
      <c r="U19" s="94"/>
      <c r="V19" s="766"/>
      <c r="W19" s="766">
        <v>60.96</v>
      </c>
      <c r="X19" s="766">
        <v>61.22</v>
      </c>
      <c r="Y19" s="766">
        <v>61.48</v>
      </c>
      <c r="Z19" s="766">
        <v>61.8</v>
      </c>
      <c r="AA19" s="766">
        <v>62.03</v>
      </c>
      <c r="AB19" s="766">
        <v>62.33</v>
      </c>
      <c r="AC19" s="766">
        <v>62.67</v>
      </c>
      <c r="AD19" s="766">
        <v>62.9</v>
      </c>
      <c r="AE19" s="766">
        <v>63.29</v>
      </c>
      <c r="AF19" s="766">
        <v>63.61</v>
      </c>
      <c r="AG19" s="766">
        <v>63.88</v>
      </c>
      <c r="AH19" s="766">
        <v>64.14</v>
      </c>
      <c r="AI19" s="766">
        <v>64.37</v>
      </c>
      <c r="AJ19" s="766">
        <v>64.680000000000007</v>
      </c>
      <c r="AK19" s="766">
        <v>64.97</v>
      </c>
      <c r="AL19" s="766">
        <v>65.319999999999993</v>
      </c>
      <c r="AM19" s="766">
        <v>65.59</v>
      </c>
      <c r="AN19" s="766">
        <v>65.81</v>
      </c>
      <c r="AO19" s="766">
        <v>66</v>
      </c>
      <c r="AP19" s="766">
        <v>66.14</v>
      </c>
      <c r="AQ19" s="766">
        <v>66.22</v>
      </c>
      <c r="AR19" s="766">
        <v>66.28</v>
      </c>
      <c r="AS19" s="766">
        <v>66.349999999999994</v>
      </c>
      <c r="AT19" s="766">
        <v>66.34</v>
      </c>
      <c r="AU19" s="766">
        <v>66.430000000000007</v>
      </c>
      <c r="AV19" s="766">
        <v>66.489999999999995</v>
      </c>
      <c r="AW19" s="766">
        <v>66.760000000000005</v>
      </c>
      <c r="AX19" s="766">
        <v>66.819999999999993</v>
      </c>
      <c r="AY19" s="766">
        <v>66.97</v>
      </c>
      <c r="AZ19" s="766">
        <v>67.11</v>
      </c>
      <c r="BA19" s="766">
        <v>67.25</v>
      </c>
      <c r="BB19" s="766">
        <v>67.38</v>
      </c>
      <c r="BC19" s="766">
        <v>67.5</v>
      </c>
      <c r="BD19" s="766">
        <v>67.64</v>
      </c>
      <c r="BE19" s="766">
        <v>67.760000000000005</v>
      </c>
      <c r="BF19" s="766">
        <v>67.94</v>
      </c>
      <c r="BG19" s="766">
        <v>68.11</v>
      </c>
      <c r="BH19" s="766">
        <v>68.290000000000006</v>
      </c>
      <c r="BI19" s="766">
        <v>68.44</v>
      </c>
      <c r="BJ19" s="766">
        <v>68.62</v>
      </c>
      <c r="BK19" s="766">
        <v>68.790000000000006</v>
      </c>
      <c r="BL19" s="766">
        <v>68.98</v>
      </c>
      <c r="BM19" s="766">
        <v>69.19</v>
      </c>
      <c r="BN19" s="766">
        <v>69.349999999999994</v>
      </c>
      <c r="BO19" s="766">
        <v>69.510000000000005</v>
      </c>
      <c r="BP19" s="766">
        <v>69.7</v>
      </c>
      <c r="BQ19" s="766">
        <v>69.849999999999994</v>
      </c>
      <c r="BR19" s="766">
        <v>70</v>
      </c>
      <c r="BS19" s="766">
        <v>70.180000000000007</v>
      </c>
      <c r="BT19" s="766">
        <v>70.33</v>
      </c>
      <c r="BU19" s="766">
        <v>70.459999999999994</v>
      </c>
      <c r="BV19" s="766">
        <v>70.599999999999994</v>
      </c>
      <c r="BW19" s="766">
        <v>70.760000000000005</v>
      </c>
      <c r="BX19" s="766">
        <v>70.900000000000006</v>
      </c>
      <c r="BY19" s="766">
        <v>71.040000000000006</v>
      </c>
      <c r="BZ19" s="766">
        <v>71.180000000000007</v>
      </c>
      <c r="CA19" s="766">
        <v>71.3</v>
      </c>
      <c r="CB19" s="766">
        <v>71.459999999999994</v>
      </c>
      <c r="CC19" s="766">
        <v>71.599999999999994</v>
      </c>
      <c r="CD19" s="766">
        <v>71.73</v>
      </c>
      <c r="CE19" s="766">
        <v>71.849999999999994</v>
      </c>
      <c r="CF19" s="766">
        <v>71.989999999999995</v>
      </c>
      <c r="CG19" s="766">
        <v>72.11</v>
      </c>
      <c r="CH19" s="766">
        <v>72.260000000000005</v>
      </c>
      <c r="CI19" s="766">
        <v>72.41</v>
      </c>
      <c r="CJ19" s="766">
        <v>72.53</v>
      </c>
      <c r="CK19" s="766">
        <v>72.66</v>
      </c>
      <c r="CL19" s="766">
        <v>72.8</v>
      </c>
      <c r="CM19" s="766">
        <v>72.930000000000007</v>
      </c>
      <c r="CN19" s="766">
        <v>73.06</v>
      </c>
      <c r="CO19" s="766">
        <v>73.19</v>
      </c>
      <c r="CP19" s="766">
        <v>73.33</v>
      </c>
      <c r="CQ19" s="766">
        <v>73.430000000000007</v>
      </c>
      <c r="CR19" s="766">
        <v>73.569999999999993</v>
      </c>
      <c r="CS19" s="766">
        <v>73.7</v>
      </c>
      <c r="CT19" s="766">
        <v>73.81</v>
      </c>
      <c r="CU19" s="766">
        <v>73.94</v>
      </c>
      <c r="CV19" s="766">
        <v>74.05</v>
      </c>
      <c r="CW19" s="766">
        <v>74.180000000000007</v>
      </c>
      <c r="CX19" s="766">
        <v>74.3</v>
      </c>
      <c r="CY19" s="766">
        <v>74.42</v>
      </c>
      <c r="CZ19" s="766">
        <v>74.53</v>
      </c>
      <c r="DA19" s="766">
        <v>74.650000000000006</v>
      </c>
      <c r="DB19" s="766">
        <v>74.760000000000005</v>
      </c>
      <c r="DC19" s="766">
        <v>74.88</v>
      </c>
      <c r="DD19" s="766">
        <v>74.989999999999995</v>
      </c>
      <c r="DE19" s="766">
        <v>75.099999999999994</v>
      </c>
      <c r="DF19" s="766">
        <v>75.209999999999994</v>
      </c>
      <c r="DG19" s="766">
        <v>75.319999999999993</v>
      </c>
      <c r="DH19" s="766">
        <v>75.430000000000007</v>
      </c>
      <c r="DI19" s="766">
        <v>75.540000000000006</v>
      </c>
      <c r="DJ19" s="766">
        <v>75.64</v>
      </c>
      <c r="DK19" s="766">
        <v>75.75</v>
      </c>
      <c r="DL19" s="766">
        <v>75.849999999999994</v>
      </c>
      <c r="DM19" s="766">
        <v>75.959999999999994</v>
      </c>
      <c r="DN19" s="766">
        <v>76.06</v>
      </c>
      <c r="DO19" s="766">
        <v>76.16</v>
      </c>
      <c r="DP19" s="766">
        <v>76.260000000000005</v>
      </c>
      <c r="DQ19" s="766">
        <v>76.36</v>
      </c>
      <c r="DR19" s="766">
        <v>76.459999999999994</v>
      </c>
    </row>
    <row r="20" spans="1:122">
      <c r="A20" s="950">
        <v>18</v>
      </c>
      <c r="B20" s="94"/>
      <c r="C20" s="94"/>
      <c r="D20" s="94"/>
      <c r="E20" s="94"/>
      <c r="F20" s="94"/>
      <c r="G20" s="94"/>
      <c r="H20" s="94"/>
      <c r="I20" s="94"/>
      <c r="J20" s="94"/>
      <c r="K20" s="94"/>
      <c r="L20" s="94"/>
      <c r="M20" s="94"/>
      <c r="N20" s="94"/>
      <c r="O20" s="94"/>
      <c r="P20" s="94"/>
      <c r="Q20" s="94"/>
      <c r="R20" s="94"/>
      <c r="S20" s="94"/>
      <c r="T20" s="94"/>
      <c r="U20" s="94"/>
      <c r="V20" s="766"/>
      <c r="W20" s="766">
        <v>60.06</v>
      </c>
      <c r="X20" s="766">
        <v>60.32</v>
      </c>
      <c r="Y20" s="766">
        <v>60.58</v>
      </c>
      <c r="Z20" s="766">
        <v>60.9</v>
      </c>
      <c r="AA20" s="766">
        <v>61.13</v>
      </c>
      <c r="AB20" s="766">
        <v>61.44</v>
      </c>
      <c r="AC20" s="766">
        <v>61.79</v>
      </c>
      <c r="AD20" s="766">
        <v>62.08</v>
      </c>
      <c r="AE20" s="766">
        <v>62.4</v>
      </c>
      <c r="AF20" s="766">
        <v>62.72</v>
      </c>
      <c r="AG20" s="766">
        <v>62.96</v>
      </c>
      <c r="AH20" s="766">
        <v>63.19</v>
      </c>
      <c r="AI20" s="766">
        <v>63.43</v>
      </c>
      <c r="AJ20" s="766">
        <v>63.74</v>
      </c>
      <c r="AK20" s="766">
        <v>64.02</v>
      </c>
      <c r="AL20" s="766">
        <v>64.349999999999994</v>
      </c>
      <c r="AM20" s="766">
        <v>64.63</v>
      </c>
      <c r="AN20" s="766">
        <v>64.849999999999994</v>
      </c>
      <c r="AO20" s="766">
        <v>65.040000000000006</v>
      </c>
      <c r="AP20" s="766">
        <v>65.180000000000007</v>
      </c>
      <c r="AQ20" s="766">
        <v>65.25</v>
      </c>
      <c r="AR20" s="766">
        <v>65.31</v>
      </c>
      <c r="AS20" s="766">
        <v>65.38</v>
      </c>
      <c r="AT20" s="766">
        <v>65.37</v>
      </c>
      <c r="AU20" s="766">
        <v>65.459999999999994</v>
      </c>
      <c r="AV20" s="766">
        <v>65.52</v>
      </c>
      <c r="AW20" s="766">
        <v>65.790000000000006</v>
      </c>
      <c r="AX20" s="766">
        <v>65.849999999999994</v>
      </c>
      <c r="AY20" s="766">
        <v>66</v>
      </c>
      <c r="AZ20" s="766">
        <v>66.14</v>
      </c>
      <c r="BA20" s="766">
        <v>66.290000000000006</v>
      </c>
      <c r="BB20" s="766">
        <v>66.41</v>
      </c>
      <c r="BC20" s="766">
        <v>66.540000000000006</v>
      </c>
      <c r="BD20" s="766">
        <v>66.680000000000007</v>
      </c>
      <c r="BE20" s="766">
        <v>66.8</v>
      </c>
      <c r="BF20" s="766">
        <v>66.97</v>
      </c>
      <c r="BG20" s="766">
        <v>67.14</v>
      </c>
      <c r="BH20" s="766">
        <v>67.33</v>
      </c>
      <c r="BI20" s="766">
        <v>67.48</v>
      </c>
      <c r="BJ20" s="766">
        <v>67.66</v>
      </c>
      <c r="BK20" s="766">
        <v>67.83</v>
      </c>
      <c r="BL20" s="766">
        <v>68.010000000000005</v>
      </c>
      <c r="BM20" s="766">
        <v>68.22</v>
      </c>
      <c r="BN20" s="766">
        <v>68.39</v>
      </c>
      <c r="BO20" s="766">
        <v>68.540000000000006</v>
      </c>
      <c r="BP20" s="766">
        <v>68.73</v>
      </c>
      <c r="BQ20" s="766">
        <v>68.88</v>
      </c>
      <c r="BR20" s="766">
        <v>69.03</v>
      </c>
      <c r="BS20" s="766">
        <v>69.2</v>
      </c>
      <c r="BT20" s="766">
        <v>69.36</v>
      </c>
      <c r="BU20" s="766">
        <v>69.489999999999995</v>
      </c>
      <c r="BV20" s="766">
        <v>69.63</v>
      </c>
      <c r="BW20" s="766">
        <v>69.78</v>
      </c>
      <c r="BX20" s="766">
        <v>69.92</v>
      </c>
      <c r="BY20" s="766">
        <v>70.06</v>
      </c>
      <c r="BZ20" s="766">
        <v>70.2</v>
      </c>
      <c r="CA20" s="766">
        <v>70.319999999999993</v>
      </c>
      <c r="CB20" s="766">
        <v>70.48</v>
      </c>
      <c r="CC20" s="766">
        <v>70.61</v>
      </c>
      <c r="CD20" s="766">
        <v>70.739999999999995</v>
      </c>
      <c r="CE20" s="766">
        <v>70.88</v>
      </c>
      <c r="CF20" s="766">
        <v>71.02</v>
      </c>
      <c r="CG20" s="766">
        <v>71.13</v>
      </c>
      <c r="CH20" s="766">
        <v>71.28</v>
      </c>
      <c r="CI20" s="766">
        <v>71.430000000000007</v>
      </c>
      <c r="CJ20" s="766">
        <v>71.540000000000006</v>
      </c>
      <c r="CK20" s="766">
        <v>71.680000000000007</v>
      </c>
      <c r="CL20" s="766">
        <v>71.819999999999993</v>
      </c>
      <c r="CM20" s="766">
        <v>71.94</v>
      </c>
      <c r="CN20" s="766">
        <v>72.08</v>
      </c>
      <c r="CO20" s="766">
        <v>72.2</v>
      </c>
      <c r="CP20" s="766">
        <v>72.34</v>
      </c>
      <c r="CQ20" s="766">
        <v>72.45</v>
      </c>
      <c r="CR20" s="766">
        <v>72.58</v>
      </c>
      <c r="CS20" s="766">
        <v>72.709999999999994</v>
      </c>
      <c r="CT20" s="766">
        <v>72.83</v>
      </c>
      <c r="CU20" s="766">
        <v>72.94</v>
      </c>
      <c r="CV20" s="766">
        <v>73.069999999999993</v>
      </c>
      <c r="CW20" s="766">
        <v>73.19</v>
      </c>
      <c r="CX20" s="766">
        <v>73.31</v>
      </c>
      <c r="CY20" s="766">
        <v>73.430000000000007</v>
      </c>
      <c r="CZ20" s="766">
        <v>73.540000000000006</v>
      </c>
      <c r="DA20" s="766">
        <v>73.66</v>
      </c>
      <c r="DB20" s="766">
        <v>73.77</v>
      </c>
      <c r="DC20" s="766">
        <v>73.88</v>
      </c>
      <c r="DD20" s="766">
        <v>74</v>
      </c>
      <c r="DE20" s="766">
        <v>74.11</v>
      </c>
      <c r="DF20" s="766">
        <v>74.22</v>
      </c>
      <c r="DG20" s="766">
        <v>74.33</v>
      </c>
      <c r="DH20" s="766">
        <v>74.44</v>
      </c>
      <c r="DI20" s="766">
        <v>74.540000000000006</v>
      </c>
      <c r="DJ20" s="766">
        <v>74.650000000000006</v>
      </c>
      <c r="DK20" s="766">
        <v>74.75</v>
      </c>
      <c r="DL20" s="766">
        <v>74.86</v>
      </c>
      <c r="DM20" s="766">
        <v>74.959999999999994</v>
      </c>
      <c r="DN20" s="766">
        <v>75.06</v>
      </c>
      <c r="DO20" s="766">
        <v>75.17</v>
      </c>
      <c r="DP20" s="766">
        <v>75.27</v>
      </c>
      <c r="DQ20" s="766">
        <v>75.37</v>
      </c>
      <c r="DR20" s="766">
        <v>75.459999999999994</v>
      </c>
    </row>
    <row r="21" spans="1:122">
      <c r="A21" s="950">
        <v>19</v>
      </c>
      <c r="B21" s="94"/>
      <c r="C21" s="94"/>
      <c r="D21" s="94"/>
      <c r="E21" s="94"/>
      <c r="F21" s="94"/>
      <c r="G21" s="94"/>
      <c r="H21" s="94"/>
      <c r="I21" s="94"/>
      <c r="J21" s="94"/>
      <c r="K21" s="94"/>
      <c r="L21" s="94"/>
      <c r="M21" s="94"/>
      <c r="N21" s="94"/>
      <c r="O21" s="94"/>
      <c r="P21" s="94"/>
      <c r="Q21" s="94"/>
      <c r="R21" s="94"/>
      <c r="S21" s="94"/>
      <c r="T21" s="94"/>
      <c r="U21" s="94"/>
      <c r="V21" s="766"/>
      <c r="W21" s="766">
        <v>59.16</v>
      </c>
      <c r="X21" s="766">
        <v>59.43</v>
      </c>
      <c r="Y21" s="766">
        <v>59.69</v>
      </c>
      <c r="Z21" s="766">
        <v>60.01</v>
      </c>
      <c r="AA21" s="766">
        <v>60.25</v>
      </c>
      <c r="AB21" s="766">
        <v>60.58</v>
      </c>
      <c r="AC21" s="766">
        <v>60.99</v>
      </c>
      <c r="AD21" s="766">
        <v>61.2</v>
      </c>
      <c r="AE21" s="766">
        <v>61.52</v>
      </c>
      <c r="AF21" s="766">
        <v>61.81</v>
      </c>
      <c r="AG21" s="766">
        <v>62.02</v>
      </c>
      <c r="AH21" s="766">
        <v>62.25</v>
      </c>
      <c r="AI21" s="766">
        <v>62.49</v>
      </c>
      <c r="AJ21" s="766">
        <v>62.78</v>
      </c>
      <c r="AK21" s="766">
        <v>63.06</v>
      </c>
      <c r="AL21" s="766">
        <v>63.4</v>
      </c>
      <c r="AM21" s="766">
        <v>63.67</v>
      </c>
      <c r="AN21" s="766">
        <v>63.88</v>
      </c>
      <c r="AO21" s="766">
        <v>64.069999999999993</v>
      </c>
      <c r="AP21" s="766">
        <v>64.209999999999994</v>
      </c>
      <c r="AQ21" s="766">
        <v>64.290000000000006</v>
      </c>
      <c r="AR21" s="766">
        <v>64.349999999999994</v>
      </c>
      <c r="AS21" s="766">
        <v>64.42</v>
      </c>
      <c r="AT21" s="766">
        <v>64.41</v>
      </c>
      <c r="AU21" s="766">
        <v>64.489999999999995</v>
      </c>
      <c r="AV21" s="766">
        <v>64.56</v>
      </c>
      <c r="AW21" s="766">
        <v>64.83</v>
      </c>
      <c r="AX21" s="766">
        <v>64.89</v>
      </c>
      <c r="AY21" s="766">
        <v>65.040000000000006</v>
      </c>
      <c r="AZ21" s="766">
        <v>65.180000000000007</v>
      </c>
      <c r="BA21" s="766">
        <v>65.33</v>
      </c>
      <c r="BB21" s="766">
        <v>65.459999999999994</v>
      </c>
      <c r="BC21" s="766">
        <v>65.58</v>
      </c>
      <c r="BD21" s="766">
        <v>65.72</v>
      </c>
      <c r="BE21" s="766">
        <v>65.83</v>
      </c>
      <c r="BF21" s="766">
        <v>66.010000000000005</v>
      </c>
      <c r="BG21" s="766">
        <v>66.180000000000007</v>
      </c>
      <c r="BH21" s="766">
        <v>66.37</v>
      </c>
      <c r="BI21" s="766">
        <v>66.52</v>
      </c>
      <c r="BJ21" s="766">
        <v>66.69</v>
      </c>
      <c r="BK21" s="766">
        <v>66.86</v>
      </c>
      <c r="BL21" s="766">
        <v>67.05</v>
      </c>
      <c r="BM21" s="766">
        <v>67.260000000000005</v>
      </c>
      <c r="BN21" s="766">
        <v>67.42</v>
      </c>
      <c r="BO21" s="766">
        <v>67.569999999999993</v>
      </c>
      <c r="BP21" s="766">
        <v>67.760000000000005</v>
      </c>
      <c r="BQ21" s="766">
        <v>67.91</v>
      </c>
      <c r="BR21" s="766">
        <v>68.05</v>
      </c>
      <c r="BS21" s="766">
        <v>68.23</v>
      </c>
      <c r="BT21" s="766">
        <v>68.38</v>
      </c>
      <c r="BU21" s="766">
        <v>68.510000000000005</v>
      </c>
      <c r="BV21" s="766">
        <v>68.66</v>
      </c>
      <c r="BW21" s="766">
        <v>68.81</v>
      </c>
      <c r="BX21" s="766">
        <v>68.94</v>
      </c>
      <c r="BY21" s="766">
        <v>69.09</v>
      </c>
      <c r="BZ21" s="766">
        <v>69.23</v>
      </c>
      <c r="CA21" s="766">
        <v>69.34</v>
      </c>
      <c r="CB21" s="766">
        <v>69.510000000000005</v>
      </c>
      <c r="CC21" s="766">
        <v>69.64</v>
      </c>
      <c r="CD21" s="766">
        <v>69.77</v>
      </c>
      <c r="CE21" s="766">
        <v>69.900000000000006</v>
      </c>
      <c r="CF21" s="766">
        <v>70.040000000000006</v>
      </c>
      <c r="CG21" s="766">
        <v>70.16</v>
      </c>
      <c r="CH21" s="766">
        <v>70.3</v>
      </c>
      <c r="CI21" s="766">
        <v>70.45</v>
      </c>
      <c r="CJ21" s="766">
        <v>70.56</v>
      </c>
      <c r="CK21" s="766">
        <v>70.69</v>
      </c>
      <c r="CL21" s="766">
        <v>70.83</v>
      </c>
      <c r="CM21" s="766">
        <v>70.959999999999994</v>
      </c>
      <c r="CN21" s="766">
        <v>71.09</v>
      </c>
      <c r="CO21" s="766">
        <v>71.22</v>
      </c>
      <c r="CP21" s="766">
        <v>71.349999999999994</v>
      </c>
      <c r="CQ21" s="766">
        <v>71.459999999999994</v>
      </c>
      <c r="CR21" s="766">
        <v>71.599999999999994</v>
      </c>
      <c r="CS21" s="766">
        <v>71.72</v>
      </c>
      <c r="CT21" s="766">
        <v>71.84</v>
      </c>
      <c r="CU21" s="766">
        <v>71.959999999999994</v>
      </c>
      <c r="CV21" s="766">
        <v>72.08</v>
      </c>
      <c r="CW21" s="766">
        <v>72.2</v>
      </c>
      <c r="CX21" s="766">
        <v>72.319999999999993</v>
      </c>
      <c r="CY21" s="766">
        <v>72.44</v>
      </c>
      <c r="CZ21" s="766">
        <v>72.55</v>
      </c>
      <c r="DA21" s="766">
        <v>72.67</v>
      </c>
      <c r="DB21" s="766">
        <v>72.78</v>
      </c>
      <c r="DC21" s="766">
        <v>72.89</v>
      </c>
      <c r="DD21" s="766">
        <v>73.010000000000005</v>
      </c>
      <c r="DE21" s="766">
        <v>73.12</v>
      </c>
      <c r="DF21" s="766">
        <v>73.23</v>
      </c>
      <c r="DG21" s="766">
        <v>73.34</v>
      </c>
      <c r="DH21" s="766">
        <v>73.44</v>
      </c>
      <c r="DI21" s="766">
        <v>73.55</v>
      </c>
      <c r="DJ21" s="766">
        <v>73.66</v>
      </c>
      <c r="DK21" s="766">
        <v>73.760000000000005</v>
      </c>
      <c r="DL21" s="766">
        <v>73.87</v>
      </c>
      <c r="DM21" s="766">
        <v>73.97</v>
      </c>
      <c r="DN21" s="766">
        <v>74.069999999999993</v>
      </c>
      <c r="DO21" s="766">
        <v>74.17</v>
      </c>
      <c r="DP21" s="766">
        <v>74.27</v>
      </c>
      <c r="DQ21" s="766">
        <v>74.37</v>
      </c>
      <c r="DR21" s="766">
        <v>74.47</v>
      </c>
    </row>
    <row r="22" spans="1:122">
      <c r="A22" s="950">
        <v>20</v>
      </c>
      <c r="B22" s="94"/>
      <c r="C22" s="94"/>
      <c r="D22" s="94"/>
      <c r="E22" s="94"/>
      <c r="F22" s="94"/>
      <c r="G22" s="94"/>
      <c r="H22" s="94"/>
      <c r="I22" s="94"/>
      <c r="J22" s="94"/>
      <c r="K22" s="94"/>
      <c r="L22" s="94"/>
      <c r="M22" s="94"/>
      <c r="N22" s="94"/>
      <c r="O22" s="94"/>
      <c r="P22" s="94"/>
      <c r="Q22" s="94"/>
      <c r="R22" s="94"/>
      <c r="S22" s="94"/>
      <c r="T22" s="94"/>
      <c r="U22" s="94"/>
      <c r="V22" s="766"/>
      <c r="W22" s="766">
        <v>58.28</v>
      </c>
      <c r="X22" s="766">
        <v>58.54</v>
      </c>
      <c r="Y22" s="766">
        <v>58.8</v>
      </c>
      <c r="Z22" s="766">
        <v>59.13</v>
      </c>
      <c r="AA22" s="766">
        <v>59.39</v>
      </c>
      <c r="AB22" s="766">
        <v>59.78</v>
      </c>
      <c r="AC22" s="766">
        <v>60.12</v>
      </c>
      <c r="AD22" s="766">
        <v>60.34</v>
      </c>
      <c r="AE22" s="766">
        <v>60.62</v>
      </c>
      <c r="AF22" s="766">
        <v>60.88</v>
      </c>
      <c r="AG22" s="766">
        <v>61.09</v>
      </c>
      <c r="AH22" s="766">
        <v>61.32</v>
      </c>
      <c r="AI22" s="766">
        <v>61.54</v>
      </c>
      <c r="AJ22" s="766">
        <v>61.83</v>
      </c>
      <c r="AK22" s="766">
        <v>62.11</v>
      </c>
      <c r="AL22" s="766">
        <v>62.44</v>
      </c>
      <c r="AM22" s="766">
        <v>62.71</v>
      </c>
      <c r="AN22" s="766">
        <v>62.93</v>
      </c>
      <c r="AO22" s="766">
        <v>63.11</v>
      </c>
      <c r="AP22" s="766">
        <v>63.25</v>
      </c>
      <c r="AQ22" s="766">
        <v>63.33</v>
      </c>
      <c r="AR22" s="766">
        <v>63.39</v>
      </c>
      <c r="AS22" s="766">
        <v>63.46</v>
      </c>
      <c r="AT22" s="766">
        <v>63.45</v>
      </c>
      <c r="AU22" s="766">
        <v>63.53</v>
      </c>
      <c r="AV22" s="766">
        <v>63.6</v>
      </c>
      <c r="AW22" s="766">
        <v>63.86</v>
      </c>
      <c r="AX22" s="766">
        <v>63.93</v>
      </c>
      <c r="AY22" s="766">
        <v>64.08</v>
      </c>
      <c r="AZ22" s="766">
        <v>64.22</v>
      </c>
      <c r="BA22" s="766">
        <v>64.37</v>
      </c>
      <c r="BB22" s="766">
        <v>64.5</v>
      </c>
      <c r="BC22" s="766">
        <v>64.62</v>
      </c>
      <c r="BD22" s="766">
        <v>64.75</v>
      </c>
      <c r="BE22" s="766">
        <v>64.87</v>
      </c>
      <c r="BF22" s="766">
        <v>65.05</v>
      </c>
      <c r="BG22" s="766">
        <v>65.22</v>
      </c>
      <c r="BH22" s="766">
        <v>65.41</v>
      </c>
      <c r="BI22" s="766">
        <v>65.56</v>
      </c>
      <c r="BJ22" s="766">
        <v>65.73</v>
      </c>
      <c r="BK22" s="766">
        <v>65.900000000000006</v>
      </c>
      <c r="BL22" s="766">
        <v>66.09</v>
      </c>
      <c r="BM22" s="766">
        <v>66.290000000000006</v>
      </c>
      <c r="BN22" s="766">
        <v>66.459999999999994</v>
      </c>
      <c r="BO22" s="766">
        <v>66.61</v>
      </c>
      <c r="BP22" s="766">
        <v>66.78</v>
      </c>
      <c r="BQ22" s="766">
        <v>66.930000000000007</v>
      </c>
      <c r="BR22" s="766">
        <v>67.08</v>
      </c>
      <c r="BS22" s="766">
        <v>67.25</v>
      </c>
      <c r="BT22" s="766">
        <v>67.41</v>
      </c>
      <c r="BU22" s="766">
        <v>67.540000000000006</v>
      </c>
      <c r="BV22" s="766">
        <v>67.69</v>
      </c>
      <c r="BW22" s="766">
        <v>67.83</v>
      </c>
      <c r="BX22" s="766">
        <v>67.97</v>
      </c>
      <c r="BY22" s="766">
        <v>68.11</v>
      </c>
      <c r="BZ22" s="766">
        <v>68.25</v>
      </c>
      <c r="CA22" s="766">
        <v>68.37</v>
      </c>
      <c r="CB22" s="766">
        <v>68.53</v>
      </c>
      <c r="CC22" s="766">
        <v>68.67</v>
      </c>
      <c r="CD22" s="766">
        <v>68.790000000000006</v>
      </c>
      <c r="CE22" s="766">
        <v>68.930000000000007</v>
      </c>
      <c r="CF22" s="766">
        <v>69.06</v>
      </c>
      <c r="CG22" s="766">
        <v>69.180000000000007</v>
      </c>
      <c r="CH22" s="766">
        <v>69.319999999999993</v>
      </c>
      <c r="CI22" s="766">
        <v>69.459999999999994</v>
      </c>
      <c r="CJ22" s="766">
        <v>69.58</v>
      </c>
      <c r="CK22" s="766">
        <v>69.709999999999994</v>
      </c>
      <c r="CL22" s="766">
        <v>69.849999999999994</v>
      </c>
      <c r="CM22" s="766">
        <v>69.97</v>
      </c>
      <c r="CN22" s="766">
        <v>70.11</v>
      </c>
      <c r="CO22" s="766">
        <v>70.23</v>
      </c>
      <c r="CP22" s="766">
        <v>70.37</v>
      </c>
      <c r="CQ22" s="766">
        <v>70.48</v>
      </c>
      <c r="CR22" s="766">
        <v>70.61</v>
      </c>
      <c r="CS22" s="766">
        <v>70.73</v>
      </c>
      <c r="CT22" s="766">
        <v>70.849999999999994</v>
      </c>
      <c r="CU22" s="766">
        <v>70.97</v>
      </c>
      <c r="CV22" s="766">
        <v>71.09</v>
      </c>
      <c r="CW22" s="766">
        <v>71.209999999999994</v>
      </c>
      <c r="CX22" s="766">
        <v>71.33</v>
      </c>
      <c r="CY22" s="766">
        <v>71.45</v>
      </c>
      <c r="CZ22" s="766">
        <v>71.56</v>
      </c>
      <c r="DA22" s="766">
        <v>71.680000000000007</v>
      </c>
      <c r="DB22" s="766">
        <v>71.790000000000006</v>
      </c>
      <c r="DC22" s="766">
        <v>71.900000000000006</v>
      </c>
      <c r="DD22" s="766">
        <v>72.02</v>
      </c>
      <c r="DE22" s="766">
        <v>72.13</v>
      </c>
      <c r="DF22" s="766">
        <v>72.239999999999995</v>
      </c>
      <c r="DG22" s="766">
        <v>72.349999999999994</v>
      </c>
      <c r="DH22" s="766">
        <v>72.45</v>
      </c>
      <c r="DI22" s="766">
        <v>72.56</v>
      </c>
      <c r="DJ22" s="766">
        <v>72.67</v>
      </c>
      <c r="DK22" s="766">
        <v>72.77</v>
      </c>
      <c r="DL22" s="766">
        <v>72.87</v>
      </c>
      <c r="DM22" s="766">
        <v>72.98</v>
      </c>
      <c r="DN22" s="766">
        <v>73.08</v>
      </c>
      <c r="DO22" s="766">
        <v>73.180000000000007</v>
      </c>
      <c r="DP22" s="766">
        <v>73.28</v>
      </c>
      <c r="DQ22" s="766">
        <v>73.38</v>
      </c>
      <c r="DR22" s="766">
        <v>73.48</v>
      </c>
    </row>
    <row r="23" spans="1:122">
      <c r="A23" s="950">
        <v>21</v>
      </c>
      <c r="B23" s="94"/>
      <c r="C23" s="94"/>
      <c r="D23" s="94"/>
      <c r="E23" s="94"/>
      <c r="F23" s="94"/>
      <c r="G23" s="94"/>
      <c r="H23" s="94"/>
      <c r="I23" s="94"/>
      <c r="J23" s="94"/>
      <c r="K23" s="94"/>
      <c r="L23" s="94"/>
      <c r="M23" s="94"/>
      <c r="N23" s="94"/>
      <c r="O23" s="94"/>
      <c r="P23" s="94"/>
      <c r="Q23" s="94"/>
      <c r="R23" s="94"/>
      <c r="S23" s="94"/>
      <c r="T23" s="94"/>
      <c r="U23" s="94"/>
      <c r="V23" s="766"/>
      <c r="W23" s="766">
        <v>57.4</v>
      </c>
      <c r="X23" s="766">
        <v>57.66</v>
      </c>
      <c r="Y23" s="766">
        <v>57.93</v>
      </c>
      <c r="Z23" s="766">
        <v>58.28</v>
      </c>
      <c r="AA23" s="766">
        <v>58.61</v>
      </c>
      <c r="AB23" s="766">
        <v>58.93</v>
      </c>
      <c r="AC23" s="766">
        <v>59.27</v>
      </c>
      <c r="AD23" s="766">
        <v>59.44</v>
      </c>
      <c r="AE23" s="766">
        <v>59.69</v>
      </c>
      <c r="AF23" s="766">
        <v>59.95</v>
      </c>
      <c r="AG23" s="766">
        <v>60.16</v>
      </c>
      <c r="AH23" s="766">
        <v>60.37</v>
      </c>
      <c r="AI23" s="766">
        <v>60.59</v>
      </c>
      <c r="AJ23" s="766">
        <v>60.88</v>
      </c>
      <c r="AK23" s="766">
        <v>61.15</v>
      </c>
      <c r="AL23" s="766">
        <v>61.49</v>
      </c>
      <c r="AM23" s="766">
        <v>61.76</v>
      </c>
      <c r="AN23" s="766">
        <v>61.97</v>
      </c>
      <c r="AO23" s="766">
        <v>62.15</v>
      </c>
      <c r="AP23" s="766">
        <v>62.29</v>
      </c>
      <c r="AQ23" s="766">
        <v>62.37</v>
      </c>
      <c r="AR23" s="766">
        <v>62.43</v>
      </c>
      <c r="AS23" s="766">
        <v>62.49</v>
      </c>
      <c r="AT23" s="766">
        <v>62.48</v>
      </c>
      <c r="AU23" s="766">
        <v>62.57</v>
      </c>
      <c r="AV23" s="766">
        <v>62.64</v>
      </c>
      <c r="AW23" s="766">
        <v>62.9</v>
      </c>
      <c r="AX23" s="766">
        <v>62.97</v>
      </c>
      <c r="AY23" s="766">
        <v>63.12</v>
      </c>
      <c r="AZ23" s="766">
        <v>63.26</v>
      </c>
      <c r="BA23" s="766">
        <v>63.41</v>
      </c>
      <c r="BB23" s="766">
        <v>63.54</v>
      </c>
      <c r="BC23" s="766">
        <v>63.66</v>
      </c>
      <c r="BD23" s="766">
        <v>63.79</v>
      </c>
      <c r="BE23" s="766">
        <v>63.91</v>
      </c>
      <c r="BF23" s="766">
        <v>64.09</v>
      </c>
      <c r="BG23" s="766">
        <v>64.260000000000005</v>
      </c>
      <c r="BH23" s="766">
        <v>64.45</v>
      </c>
      <c r="BI23" s="766">
        <v>64.59</v>
      </c>
      <c r="BJ23" s="766">
        <v>64.760000000000005</v>
      </c>
      <c r="BK23" s="766">
        <v>64.930000000000007</v>
      </c>
      <c r="BL23" s="766">
        <v>65.12</v>
      </c>
      <c r="BM23" s="766">
        <v>65.319999999999993</v>
      </c>
      <c r="BN23" s="766">
        <v>65.489999999999995</v>
      </c>
      <c r="BO23" s="766">
        <v>65.63</v>
      </c>
      <c r="BP23" s="766">
        <v>65.81</v>
      </c>
      <c r="BQ23" s="766">
        <v>65.959999999999994</v>
      </c>
      <c r="BR23" s="766">
        <v>66.11</v>
      </c>
      <c r="BS23" s="766">
        <v>66.28</v>
      </c>
      <c r="BT23" s="766">
        <v>66.430000000000007</v>
      </c>
      <c r="BU23" s="766">
        <v>66.569999999999993</v>
      </c>
      <c r="BV23" s="766">
        <v>66.709999999999994</v>
      </c>
      <c r="BW23" s="766">
        <v>66.86</v>
      </c>
      <c r="BX23" s="766">
        <v>66.989999999999995</v>
      </c>
      <c r="BY23" s="766">
        <v>67.14</v>
      </c>
      <c r="BZ23" s="766">
        <v>67.28</v>
      </c>
      <c r="CA23" s="766">
        <v>67.400000000000006</v>
      </c>
      <c r="CB23" s="766">
        <v>67.55</v>
      </c>
      <c r="CC23" s="766">
        <v>67.69</v>
      </c>
      <c r="CD23" s="766">
        <v>67.819999999999993</v>
      </c>
      <c r="CE23" s="766">
        <v>67.95</v>
      </c>
      <c r="CF23" s="766">
        <v>68.08</v>
      </c>
      <c r="CG23" s="766">
        <v>68.2</v>
      </c>
      <c r="CH23" s="766">
        <v>68.34</v>
      </c>
      <c r="CI23" s="766">
        <v>68.48</v>
      </c>
      <c r="CJ23" s="766">
        <v>68.59</v>
      </c>
      <c r="CK23" s="766">
        <v>68.73</v>
      </c>
      <c r="CL23" s="766">
        <v>68.86</v>
      </c>
      <c r="CM23" s="766">
        <v>68.98</v>
      </c>
      <c r="CN23" s="766">
        <v>69.12</v>
      </c>
      <c r="CO23" s="766">
        <v>69.25</v>
      </c>
      <c r="CP23" s="766">
        <v>69.38</v>
      </c>
      <c r="CQ23" s="766">
        <v>69.489999999999995</v>
      </c>
      <c r="CR23" s="766">
        <v>69.62</v>
      </c>
      <c r="CS23" s="766">
        <v>69.75</v>
      </c>
      <c r="CT23" s="766">
        <v>69.87</v>
      </c>
      <c r="CU23" s="766">
        <v>69.989999999999995</v>
      </c>
      <c r="CV23" s="766">
        <v>70.11</v>
      </c>
      <c r="CW23" s="766">
        <v>70.22</v>
      </c>
      <c r="CX23" s="766">
        <v>70.34</v>
      </c>
      <c r="CY23" s="766">
        <v>70.459999999999994</v>
      </c>
      <c r="CZ23" s="766">
        <v>70.569999999999993</v>
      </c>
      <c r="DA23" s="766">
        <v>70.69</v>
      </c>
      <c r="DB23" s="766">
        <v>70.8</v>
      </c>
      <c r="DC23" s="766">
        <v>70.91</v>
      </c>
      <c r="DD23" s="766">
        <v>71.03</v>
      </c>
      <c r="DE23" s="766">
        <v>71.14</v>
      </c>
      <c r="DF23" s="766">
        <v>71.25</v>
      </c>
      <c r="DG23" s="766">
        <v>71.349999999999994</v>
      </c>
      <c r="DH23" s="766">
        <v>71.459999999999994</v>
      </c>
      <c r="DI23" s="766">
        <v>71.569999999999993</v>
      </c>
      <c r="DJ23" s="766">
        <v>71.67</v>
      </c>
      <c r="DK23" s="766">
        <v>71.78</v>
      </c>
      <c r="DL23" s="766">
        <v>71.88</v>
      </c>
      <c r="DM23" s="766">
        <v>71.98</v>
      </c>
      <c r="DN23" s="766">
        <v>72.09</v>
      </c>
      <c r="DO23" s="766">
        <v>72.19</v>
      </c>
      <c r="DP23" s="766">
        <v>72.290000000000006</v>
      </c>
      <c r="DQ23" s="766">
        <v>72.39</v>
      </c>
      <c r="DR23" s="766">
        <v>72.48</v>
      </c>
    </row>
    <row r="24" spans="1:122">
      <c r="A24" s="950">
        <v>22</v>
      </c>
      <c r="B24" s="94"/>
      <c r="C24" s="94"/>
      <c r="D24" s="94"/>
      <c r="E24" s="94"/>
      <c r="F24" s="94"/>
      <c r="G24" s="94"/>
      <c r="H24" s="94"/>
      <c r="I24" s="94"/>
      <c r="J24" s="94"/>
      <c r="K24" s="94"/>
      <c r="L24" s="94"/>
      <c r="M24" s="94"/>
      <c r="N24" s="94"/>
      <c r="O24" s="94"/>
      <c r="P24" s="94"/>
      <c r="Q24" s="94"/>
      <c r="R24" s="94"/>
      <c r="S24" s="94"/>
      <c r="T24" s="94"/>
      <c r="U24" s="94"/>
      <c r="V24" s="766"/>
      <c r="W24" s="766">
        <v>56.52</v>
      </c>
      <c r="X24" s="766">
        <v>56.8</v>
      </c>
      <c r="Y24" s="766">
        <v>57.09</v>
      </c>
      <c r="Z24" s="766">
        <v>57.51</v>
      </c>
      <c r="AA24" s="766">
        <v>57.75</v>
      </c>
      <c r="AB24" s="766">
        <v>58.07</v>
      </c>
      <c r="AC24" s="766">
        <v>58.37</v>
      </c>
      <c r="AD24" s="766">
        <v>58.52</v>
      </c>
      <c r="AE24" s="766">
        <v>58.76</v>
      </c>
      <c r="AF24" s="766">
        <v>59.02</v>
      </c>
      <c r="AG24" s="766">
        <v>59.21</v>
      </c>
      <c r="AH24" s="766">
        <v>59.42</v>
      </c>
      <c r="AI24" s="766">
        <v>59.64</v>
      </c>
      <c r="AJ24" s="766">
        <v>59.92</v>
      </c>
      <c r="AK24" s="766">
        <v>60.2</v>
      </c>
      <c r="AL24" s="766">
        <v>60.52</v>
      </c>
      <c r="AM24" s="766">
        <v>60.8</v>
      </c>
      <c r="AN24" s="766">
        <v>61</v>
      </c>
      <c r="AO24" s="766">
        <v>61.19</v>
      </c>
      <c r="AP24" s="766">
        <v>61.33</v>
      </c>
      <c r="AQ24" s="766">
        <v>61.4</v>
      </c>
      <c r="AR24" s="766">
        <v>61.46</v>
      </c>
      <c r="AS24" s="766">
        <v>61.53</v>
      </c>
      <c r="AT24" s="766">
        <v>61.52</v>
      </c>
      <c r="AU24" s="766">
        <v>61.6</v>
      </c>
      <c r="AV24" s="766">
        <v>61.67</v>
      </c>
      <c r="AW24" s="766">
        <v>61.93</v>
      </c>
      <c r="AX24" s="766">
        <v>62</v>
      </c>
      <c r="AY24" s="766">
        <v>62.15</v>
      </c>
      <c r="AZ24" s="766">
        <v>62.3</v>
      </c>
      <c r="BA24" s="766">
        <v>62.45</v>
      </c>
      <c r="BB24" s="766">
        <v>62.58</v>
      </c>
      <c r="BC24" s="766">
        <v>62.7</v>
      </c>
      <c r="BD24" s="766">
        <v>62.82</v>
      </c>
      <c r="BE24" s="766">
        <v>62.95</v>
      </c>
      <c r="BF24" s="766">
        <v>63.12</v>
      </c>
      <c r="BG24" s="766">
        <v>63.29</v>
      </c>
      <c r="BH24" s="766">
        <v>63.48</v>
      </c>
      <c r="BI24" s="766">
        <v>63.62</v>
      </c>
      <c r="BJ24" s="766">
        <v>63.79</v>
      </c>
      <c r="BK24" s="766">
        <v>63.95</v>
      </c>
      <c r="BL24" s="766">
        <v>64.150000000000006</v>
      </c>
      <c r="BM24" s="766">
        <v>64.34</v>
      </c>
      <c r="BN24" s="766">
        <v>64.510000000000005</v>
      </c>
      <c r="BO24" s="766">
        <v>64.650000000000006</v>
      </c>
      <c r="BP24" s="766">
        <v>64.84</v>
      </c>
      <c r="BQ24" s="766">
        <v>64.98</v>
      </c>
      <c r="BR24" s="766">
        <v>65.13</v>
      </c>
      <c r="BS24" s="766">
        <v>65.31</v>
      </c>
      <c r="BT24" s="766">
        <v>65.459999999999994</v>
      </c>
      <c r="BU24" s="766">
        <v>65.59</v>
      </c>
      <c r="BV24" s="766">
        <v>65.73</v>
      </c>
      <c r="BW24" s="766">
        <v>65.88</v>
      </c>
      <c r="BX24" s="766">
        <v>66.02</v>
      </c>
      <c r="BY24" s="766">
        <v>66.16</v>
      </c>
      <c r="BZ24" s="766">
        <v>66.3</v>
      </c>
      <c r="CA24" s="766">
        <v>66.42</v>
      </c>
      <c r="CB24" s="766">
        <v>66.58</v>
      </c>
      <c r="CC24" s="766">
        <v>66.709999999999994</v>
      </c>
      <c r="CD24" s="766">
        <v>66.84</v>
      </c>
      <c r="CE24" s="766">
        <v>66.959999999999994</v>
      </c>
      <c r="CF24" s="766">
        <v>67.099999999999994</v>
      </c>
      <c r="CG24" s="766">
        <v>67.22</v>
      </c>
      <c r="CH24" s="766">
        <v>67.36</v>
      </c>
      <c r="CI24" s="766">
        <v>67.489999999999995</v>
      </c>
      <c r="CJ24" s="766">
        <v>67.61</v>
      </c>
      <c r="CK24" s="766">
        <v>67.739999999999995</v>
      </c>
      <c r="CL24" s="766">
        <v>67.87</v>
      </c>
      <c r="CM24" s="766">
        <v>68</v>
      </c>
      <c r="CN24" s="766">
        <v>68.13</v>
      </c>
      <c r="CO24" s="766">
        <v>68.260000000000005</v>
      </c>
      <c r="CP24" s="766">
        <v>68.39</v>
      </c>
      <c r="CQ24" s="766">
        <v>68.5</v>
      </c>
      <c r="CR24" s="766">
        <v>68.63</v>
      </c>
      <c r="CS24" s="766">
        <v>68.760000000000005</v>
      </c>
      <c r="CT24" s="766">
        <v>68.88</v>
      </c>
      <c r="CU24" s="766">
        <v>69</v>
      </c>
      <c r="CV24" s="766">
        <v>69.12</v>
      </c>
      <c r="CW24" s="766">
        <v>69.239999999999995</v>
      </c>
      <c r="CX24" s="766">
        <v>69.349999999999994</v>
      </c>
      <c r="CY24" s="766">
        <v>69.47</v>
      </c>
      <c r="CZ24" s="766">
        <v>69.58</v>
      </c>
      <c r="DA24" s="766">
        <v>69.7</v>
      </c>
      <c r="DB24" s="766">
        <v>69.81</v>
      </c>
      <c r="DC24" s="766">
        <v>69.92</v>
      </c>
      <c r="DD24" s="766">
        <v>70.03</v>
      </c>
      <c r="DE24" s="766">
        <v>70.14</v>
      </c>
      <c r="DF24" s="766">
        <v>70.25</v>
      </c>
      <c r="DG24" s="766">
        <v>70.36</v>
      </c>
      <c r="DH24" s="766">
        <v>70.47</v>
      </c>
      <c r="DI24" s="766">
        <v>70.58</v>
      </c>
      <c r="DJ24" s="766">
        <v>70.680000000000007</v>
      </c>
      <c r="DK24" s="766">
        <v>70.790000000000006</v>
      </c>
      <c r="DL24" s="766">
        <v>70.89</v>
      </c>
      <c r="DM24" s="766">
        <v>70.989999999999995</v>
      </c>
      <c r="DN24" s="766">
        <v>71.09</v>
      </c>
      <c r="DO24" s="766">
        <v>71.19</v>
      </c>
      <c r="DP24" s="766">
        <v>71.290000000000006</v>
      </c>
      <c r="DQ24" s="766">
        <v>71.39</v>
      </c>
      <c r="DR24" s="766">
        <v>71.489999999999995</v>
      </c>
    </row>
    <row r="25" spans="1:122">
      <c r="A25" s="950">
        <v>23</v>
      </c>
      <c r="B25" s="94"/>
      <c r="C25" s="94"/>
      <c r="D25" s="94"/>
      <c r="E25" s="94"/>
      <c r="F25" s="94"/>
      <c r="G25" s="94"/>
      <c r="H25" s="94"/>
      <c r="I25" s="94"/>
      <c r="J25" s="94"/>
      <c r="K25" s="94"/>
      <c r="L25" s="94"/>
      <c r="M25" s="94"/>
      <c r="N25" s="94"/>
      <c r="O25" s="94"/>
      <c r="P25" s="94"/>
      <c r="Q25" s="94"/>
      <c r="R25" s="94"/>
      <c r="S25" s="94"/>
      <c r="T25" s="94"/>
      <c r="U25" s="94"/>
      <c r="V25" s="766"/>
      <c r="W25" s="766">
        <v>55.66</v>
      </c>
      <c r="X25" s="766">
        <v>55.95</v>
      </c>
      <c r="Y25" s="766">
        <v>56.32</v>
      </c>
      <c r="Z25" s="766">
        <v>56.65</v>
      </c>
      <c r="AA25" s="766">
        <v>56.9</v>
      </c>
      <c r="AB25" s="766">
        <v>57.18</v>
      </c>
      <c r="AC25" s="766">
        <v>57.44</v>
      </c>
      <c r="AD25" s="766">
        <v>57.59</v>
      </c>
      <c r="AE25" s="766">
        <v>57.84</v>
      </c>
      <c r="AF25" s="766">
        <v>58.08</v>
      </c>
      <c r="AG25" s="766">
        <v>58.27</v>
      </c>
      <c r="AH25" s="766">
        <v>58.47</v>
      </c>
      <c r="AI25" s="766">
        <v>58.68</v>
      </c>
      <c r="AJ25" s="766">
        <v>58.96</v>
      </c>
      <c r="AK25" s="766">
        <v>59.24</v>
      </c>
      <c r="AL25" s="766">
        <v>59.56</v>
      </c>
      <c r="AM25" s="766">
        <v>59.84</v>
      </c>
      <c r="AN25" s="766">
        <v>60.04</v>
      </c>
      <c r="AO25" s="766">
        <v>60.22</v>
      </c>
      <c r="AP25" s="766">
        <v>60.37</v>
      </c>
      <c r="AQ25" s="766">
        <v>60.43</v>
      </c>
      <c r="AR25" s="766">
        <v>60.5</v>
      </c>
      <c r="AS25" s="766">
        <v>60.56</v>
      </c>
      <c r="AT25" s="766">
        <v>60.56</v>
      </c>
      <c r="AU25" s="766">
        <v>60.64</v>
      </c>
      <c r="AV25" s="766">
        <v>60.71</v>
      </c>
      <c r="AW25" s="766">
        <v>60.97</v>
      </c>
      <c r="AX25" s="766">
        <v>61.04</v>
      </c>
      <c r="AY25" s="766">
        <v>61.19</v>
      </c>
      <c r="AZ25" s="766">
        <v>61.33</v>
      </c>
      <c r="BA25" s="766">
        <v>61.48</v>
      </c>
      <c r="BB25" s="766">
        <v>61.61</v>
      </c>
      <c r="BC25" s="766">
        <v>61.73</v>
      </c>
      <c r="BD25" s="766">
        <v>61.86</v>
      </c>
      <c r="BE25" s="766">
        <v>61.99</v>
      </c>
      <c r="BF25" s="766">
        <v>62.16</v>
      </c>
      <c r="BG25" s="766">
        <v>62.32</v>
      </c>
      <c r="BH25" s="766">
        <v>62.52</v>
      </c>
      <c r="BI25" s="766">
        <v>62.65</v>
      </c>
      <c r="BJ25" s="766">
        <v>62.82</v>
      </c>
      <c r="BK25" s="766">
        <v>62.98</v>
      </c>
      <c r="BL25" s="766">
        <v>63.17</v>
      </c>
      <c r="BM25" s="766">
        <v>63.37</v>
      </c>
      <c r="BN25" s="766">
        <v>63.54</v>
      </c>
      <c r="BO25" s="766">
        <v>63.68</v>
      </c>
      <c r="BP25" s="766">
        <v>63.86</v>
      </c>
      <c r="BQ25" s="766">
        <v>64.010000000000005</v>
      </c>
      <c r="BR25" s="766">
        <v>64.16</v>
      </c>
      <c r="BS25" s="766">
        <v>64.33</v>
      </c>
      <c r="BT25" s="766">
        <v>64.48</v>
      </c>
      <c r="BU25" s="766">
        <v>64.62</v>
      </c>
      <c r="BV25" s="766">
        <v>64.75</v>
      </c>
      <c r="BW25" s="766">
        <v>64.91</v>
      </c>
      <c r="BX25" s="766">
        <v>65.040000000000006</v>
      </c>
      <c r="BY25" s="766">
        <v>65.180000000000007</v>
      </c>
      <c r="BZ25" s="766">
        <v>65.319999999999993</v>
      </c>
      <c r="CA25" s="766">
        <v>65.44</v>
      </c>
      <c r="CB25" s="766">
        <v>65.59</v>
      </c>
      <c r="CC25" s="766">
        <v>65.73</v>
      </c>
      <c r="CD25" s="766">
        <v>65.86</v>
      </c>
      <c r="CE25" s="766">
        <v>65.98</v>
      </c>
      <c r="CF25" s="766">
        <v>66.11</v>
      </c>
      <c r="CG25" s="766">
        <v>66.23</v>
      </c>
      <c r="CH25" s="766">
        <v>66.37</v>
      </c>
      <c r="CI25" s="766">
        <v>66.510000000000005</v>
      </c>
      <c r="CJ25" s="766">
        <v>66.62</v>
      </c>
      <c r="CK25" s="766">
        <v>66.760000000000005</v>
      </c>
      <c r="CL25" s="766">
        <v>66.89</v>
      </c>
      <c r="CM25" s="766">
        <v>67.02</v>
      </c>
      <c r="CN25" s="766">
        <v>67.150000000000006</v>
      </c>
      <c r="CO25" s="766">
        <v>67.27</v>
      </c>
      <c r="CP25" s="766">
        <v>67.400000000000006</v>
      </c>
      <c r="CQ25" s="766">
        <v>67.52</v>
      </c>
      <c r="CR25" s="766">
        <v>67.64</v>
      </c>
      <c r="CS25" s="766">
        <v>67.77</v>
      </c>
      <c r="CT25" s="766">
        <v>67.89</v>
      </c>
      <c r="CU25" s="766">
        <v>68.010000000000005</v>
      </c>
      <c r="CV25" s="766">
        <v>68.13</v>
      </c>
      <c r="CW25" s="766">
        <v>68.25</v>
      </c>
      <c r="CX25" s="766">
        <v>68.36</v>
      </c>
      <c r="CY25" s="766">
        <v>68.48</v>
      </c>
      <c r="CZ25" s="766">
        <v>68.59</v>
      </c>
      <c r="DA25" s="766">
        <v>68.709999999999994</v>
      </c>
      <c r="DB25" s="766">
        <v>68.819999999999993</v>
      </c>
      <c r="DC25" s="766">
        <v>68.930000000000007</v>
      </c>
      <c r="DD25" s="766">
        <v>69.040000000000006</v>
      </c>
      <c r="DE25" s="766">
        <v>69.150000000000006</v>
      </c>
      <c r="DF25" s="766">
        <v>69.260000000000005</v>
      </c>
      <c r="DG25" s="766">
        <v>69.37</v>
      </c>
      <c r="DH25" s="766">
        <v>69.48</v>
      </c>
      <c r="DI25" s="766">
        <v>69.58</v>
      </c>
      <c r="DJ25" s="766">
        <v>69.69</v>
      </c>
      <c r="DK25" s="766">
        <v>69.790000000000006</v>
      </c>
      <c r="DL25" s="766">
        <v>69.900000000000006</v>
      </c>
      <c r="DM25" s="766">
        <v>70</v>
      </c>
      <c r="DN25" s="766">
        <v>70.099999999999994</v>
      </c>
      <c r="DO25" s="766">
        <v>70.2</v>
      </c>
      <c r="DP25" s="766">
        <v>70.3</v>
      </c>
      <c r="DQ25" s="766">
        <v>70.400000000000006</v>
      </c>
      <c r="DR25" s="766">
        <v>70.5</v>
      </c>
    </row>
    <row r="26" spans="1:122">
      <c r="A26" s="950">
        <v>24</v>
      </c>
      <c r="B26" s="94"/>
      <c r="C26" s="94"/>
      <c r="D26" s="94"/>
      <c r="E26" s="94"/>
      <c r="F26" s="94"/>
      <c r="G26" s="94"/>
      <c r="H26" s="94"/>
      <c r="I26" s="94"/>
      <c r="J26" s="94"/>
      <c r="K26" s="94"/>
      <c r="L26" s="94"/>
      <c r="M26" s="94"/>
      <c r="N26" s="94"/>
      <c r="O26" s="94"/>
      <c r="P26" s="94"/>
      <c r="Q26" s="94"/>
      <c r="R26" s="94"/>
      <c r="S26" s="94"/>
      <c r="T26" s="94"/>
      <c r="U26" s="94"/>
      <c r="V26" s="766"/>
      <c r="W26" s="766">
        <v>54.81</v>
      </c>
      <c r="X26" s="766">
        <v>55.18</v>
      </c>
      <c r="Y26" s="766">
        <v>55.46</v>
      </c>
      <c r="Z26" s="766">
        <v>55.8</v>
      </c>
      <c r="AA26" s="766">
        <v>56.01</v>
      </c>
      <c r="AB26" s="766">
        <v>56.26</v>
      </c>
      <c r="AC26" s="766">
        <v>56.52</v>
      </c>
      <c r="AD26" s="766">
        <v>56.66</v>
      </c>
      <c r="AE26" s="766">
        <v>56.9</v>
      </c>
      <c r="AF26" s="766">
        <v>57.13</v>
      </c>
      <c r="AG26" s="766">
        <v>57.32</v>
      </c>
      <c r="AH26" s="766">
        <v>57.52</v>
      </c>
      <c r="AI26" s="766">
        <v>57.73</v>
      </c>
      <c r="AJ26" s="766">
        <v>58.01</v>
      </c>
      <c r="AK26" s="766">
        <v>58.29</v>
      </c>
      <c r="AL26" s="766">
        <v>58.6</v>
      </c>
      <c r="AM26" s="766">
        <v>58.88</v>
      </c>
      <c r="AN26" s="766">
        <v>59.09</v>
      </c>
      <c r="AO26" s="766">
        <v>59.26</v>
      </c>
      <c r="AP26" s="766">
        <v>59.41</v>
      </c>
      <c r="AQ26" s="766">
        <v>59.47</v>
      </c>
      <c r="AR26" s="766">
        <v>59.54</v>
      </c>
      <c r="AS26" s="766">
        <v>59.6</v>
      </c>
      <c r="AT26" s="766">
        <v>59.59</v>
      </c>
      <c r="AU26" s="766">
        <v>59.67</v>
      </c>
      <c r="AV26" s="766">
        <v>59.75</v>
      </c>
      <c r="AW26" s="766">
        <v>60</v>
      </c>
      <c r="AX26" s="766">
        <v>60.07</v>
      </c>
      <c r="AY26" s="766">
        <v>60.23</v>
      </c>
      <c r="AZ26" s="766">
        <v>60.37</v>
      </c>
      <c r="BA26" s="766">
        <v>60.51</v>
      </c>
      <c r="BB26" s="766">
        <v>60.65</v>
      </c>
      <c r="BC26" s="766">
        <v>60.76</v>
      </c>
      <c r="BD26" s="766">
        <v>60.89</v>
      </c>
      <c r="BE26" s="766">
        <v>61.02</v>
      </c>
      <c r="BF26" s="766">
        <v>61.19</v>
      </c>
      <c r="BG26" s="766">
        <v>61.35</v>
      </c>
      <c r="BH26" s="766">
        <v>61.54</v>
      </c>
      <c r="BI26" s="766">
        <v>61.68</v>
      </c>
      <c r="BJ26" s="766">
        <v>61.85</v>
      </c>
      <c r="BK26" s="766">
        <v>62.01</v>
      </c>
      <c r="BL26" s="766">
        <v>62.2</v>
      </c>
      <c r="BM26" s="766">
        <v>62.39</v>
      </c>
      <c r="BN26" s="766">
        <v>62.56</v>
      </c>
      <c r="BO26" s="766">
        <v>62.7</v>
      </c>
      <c r="BP26" s="766">
        <v>62.89</v>
      </c>
      <c r="BQ26" s="766">
        <v>63.03</v>
      </c>
      <c r="BR26" s="766">
        <v>63.18</v>
      </c>
      <c r="BS26" s="766">
        <v>63.35</v>
      </c>
      <c r="BT26" s="766">
        <v>63.5</v>
      </c>
      <c r="BU26" s="766">
        <v>63.64</v>
      </c>
      <c r="BV26" s="766">
        <v>63.77</v>
      </c>
      <c r="BW26" s="766">
        <v>63.92</v>
      </c>
      <c r="BX26" s="766">
        <v>64.06</v>
      </c>
      <c r="BY26" s="766">
        <v>64.2</v>
      </c>
      <c r="BZ26" s="766">
        <v>64.34</v>
      </c>
      <c r="CA26" s="766">
        <v>64.459999999999994</v>
      </c>
      <c r="CB26" s="766">
        <v>64.61</v>
      </c>
      <c r="CC26" s="766">
        <v>64.739999999999995</v>
      </c>
      <c r="CD26" s="766">
        <v>64.87</v>
      </c>
      <c r="CE26" s="766">
        <v>65</v>
      </c>
      <c r="CF26" s="766">
        <v>65.13</v>
      </c>
      <c r="CG26" s="766">
        <v>65.25</v>
      </c>
      <c r="CH26" s="766">
        <v>65.39</v>
      </c>
      <c r="CI26" s="766">
        <v>65.52</v>
      </c>
      <c r="CJ26" s="766">
        <v>65.64</v>
      </c>
      <c r="CK26" s="766">
        <v>65.78</v>
      </c>
      <c r="CL26" s="766">
        <v>65.900000000000006</v>
      </c>
      <c r="CM26" s="766">
        <v>66.03</v>
      </c>
      <c r="CN26" s="766">
        <v>66.16</v>
      </c>
      <c r="CO26" s="766">
        <v>66.290000000000006</v>
      </c>
      <c r="CP26" s="766">
        <v>66.41</v>
      </c>
      <c r="CQ26" s="766">
        <v>66.53</v>
      </c>
      <c r="CR26" s="766">
        <v>66.66</v>
      </c>
      <c r="CS26" s="766">
        <v>66.78</v>
      </c>
      <c r="CT26" s="766">
        <v>66.900000000000006</v>
      </c>
      <c r="CU26" s="766">
        <v>67.02</v>
      </c>
      <c r="CV26" s="766">
        <v>67.14</v>
      </c>
      <c r="CW26" s="766">
        <v>67.260000000000005</v>
      </c>
      <c r="CX26" s="766">
        <v>67.37</v>
      </c>
      <c r="CY26" s="766">
        <v>67.489999999999995</v>
      </c>
      <c r="CZ26" s="766">
        <v>67.599999999999994</v>
      </c>
      <c r="DA26" s="766">
        <v>67.72</v>
      </c>
      <c r="DB26" s="766">
        <v>67.83</v>
      </c>
      <c r="DC26" s="766">
        <v>67.94</v>
      </c>
      <c r="DD26" s="766">
        <v>68.05</v>
      </c>
      <c r="DE26" s="766">
        <v>68.16</v>
      </c>
      <c r="DF26" s="766">
        <v>68.27</v>
      </c>
      <c r="DG26" s="766">
        <v>68.38</v>
      </c>
      <c r="DH26" s="766">
        <v>68.48</v>
      </c>
      <c r="DI26" s="766">
        <v>68.59</v>
      </c>
      <c r="DJ26" s="766">
        <v>68.69</v>
      </c>
      <c r="DK26" s="766">
        <v>68.8</v>
      </c>
      <c r="DL26" s="766">
        <v>68.900000000000006</v>
      </c>
      <c r="DM26" s="766">
        <v>69</v>
      </c>
      <c r="DN26" s="766">
        <v>69.11</v>
      </c>
      <c r="DO26" s="766">
        <v>69.209999999999994</v>
      </c>
      <c r="DP26" s="766">
        <v>69.3</v>
      </c>
      <c r="DQ26" s="766">
        <v>69.400000000000006</v>
      </c>
      <c r="DR26" s="766">
        <v>69.5</v>
      </c>
    </row>
    <row r="27" spans="1:122">
      <c r="A27" s="950">
        <v>25</v>
      </c>
      <c r="B27" s="94"/>
      <c r="C27" s="94"/>
      <c r="D27" s="94"/>
      <c r="E27" s="94"/>
      <c r="F27" s="94"/>
      <c r="G27" s="94"/>
      <c r="H27" s="94"/>
      <c r="I27" s="94"/>
      <c r="J27" s="94"/>
      <c r="K27" s="94"/>
      <c r="L27" s="94"/>
      <c r="M27" s="94"/>
      <c r="N27" s="94"/>
      <c r="O27" s="94"/>
      <c r="P27" s="94"/>
      <c r="Q27" s="94"/>
      <c r="R27" s="94"/>
      <c r="S27" s="94"/>
      <c r="T27" s="94"/>
      <c r="U27" s="94"/>
      <c r="V27" s="766"/>
      <c r="W27" s="766">
        <v>54.04</v>
      </c>
      <c r="X27" s="766">
        <v>54.32</v>
      </c>
      <c r="Y27" s="766">
        <v>54.6</v>
      </c>
      <c r="Z27" s="766">
        <v>54.92</v>
      </c>
      <c r="AA27" s="766">
        <v>55.09</v>
      </c>
      <c r="AB27" s="766">
        <v>55.33</v>
      </c>
      <c r="AC27" s="766">
        <v>55.59</v>
      </c>
      <c r="AD27" s="766">
        <v>55.73</v>
      </c>
      <c r="AE27" s="766">
        <v>55.95</v>
      </c>
      <c r="AF27" s="766">
        <v>56.18</v>
      </c>
      <c r="AG27" s="766">
        <v>56.37</v>
      </c>
      <c r="AH27" s="766">
        <v>56.57</v>
      </c>
      <c r="AI27" s="766">
        <v>56.77</v>
      </c>
      <c r="AJ27" s="766">
        <v>57.05</v>
      </c>
      <c r="AK27" s="766">
        <v>57.33</v>
      </c>
      <c r="AL27" s="766">
        <v>57.64</v>
      </c>
      <c r="AM27" s="766">
        <v>57.92</v>
      </c>
      <c r="AN27" s="766">
        <v>58.12</v>
      </c>
      <c r="AO27" s="766">
        <v>58.3</v>
      </c>
      <c r="AP27" s="766">
        <v>58.44</v>
      </c>
      <c r="AQ27" s="766">
        <v>58.51</v>
      </c>
      <c r="AR27" s="766">
        <v>58.58</v>
      </c>
      <c r="AS27" s="766">
        <v>58.64</v>
      </c>
      <c r="AT27" s="766">
        <v>58.63</v>
      </c>
      <c r="AU27" s="766">
        <v>58.71</v>
      </c>
      <c r="AV27" s="766">
        <v>58.79</v>
      </c>
      <c r="AW27" s="766">
        <v>59.04</v>
      </c>
      <c r="AX27" s="766">
        <v>59.11</v>
      </c>
      <c r="AY27" s="766">
        <v>59.26</v>
      </c>
      <c r="AZ27" s="766">
        <v>59.4</v>
      </c>
      <c r="BA27" s="766">
        <v>59.55</v>
      </c>
      <c r="BB27" s="766">
        <v>59.68</v>
      </c>
      <c r="BC27" s="766">
        <v>59.8</v>
      </c>
      <c r="BD27" s="766">
        <v>59.93</v>
      </c>
      <c r="BE27" s="766">
        <v>60.05</v>
      </c>
      <c r="BF27" s="766">
        <v>60.22</v>
      </c>
      <c r="BG27" s="766">
        <v>60.38</v>
      </c>
      <c r="BH27" s="766">
        <v>60.57</v>
      </c>
      <c r="BI27" s="766">
        <v>60.71</v>
      </c>
      <c r="BJ27" s="766">
        <v>60.87</v>
      </c>
      <c r="BK27" s="766">
        <v>61.04</v>
      </c>
      <c r="BL27" s="766">
        <v>61.22</v>
      </c>
      <c r="BM27" s="766">
        <v>61.42</v>
      </c>
      <c r="BN27" s="766">
        <v>61.58</v>
      </c>
      <c r="BO27" s="766">
        <v>61.73</v>
      </c>
      <c r="BP27" s="766">
        <v>61.91</v>
      </c>
      <c r="BQ27" s="766">
        <v>62.06</v>
      </c>
      <c r="BR27" s="766">
        <v>62.2</v>
      </c>
      <c r="BS27" s="766">
        <v>62.37</v>
      </c>
      <c r="BT27" s="766">
        <v>62.52</v>
      </c>
      <c r="BU27" s="766">
        <v>62.66</v>
      </c>
      <c r="BV27" s="766">
        <v>62.79</v>
      </c>
      <c r="BW27" s="766">
        <v>62.94</v>
      </c>
      <c r="BX27" s="766">
        <v>63.08</v>
      </c>
      <c r="BY27" s="766">
        <v>63.22</v>
      </c>
      <c r="BZ27" s="766">
        <v>63.35</v>
      </c>
      <c r="CA27" s="766">
        <v>63.48</v>
      </c>
      <c r="CB27" s="766">
        <v>63.62</v>
      </c>
      <c r="CC27" s="766">
        <v>63.76</v>
      </c>
      <c r="CD27" s="766">
        <v>63.89</v>
      </c>
      <c r="CE27" s="766">
        <v>64.010000000000005</v>
      </c>
      <c r="CF27" s="766">
        <v>64.14</v>
      </c>
      <c r="CG27" s="766">
        <v>64.260000000000005</v>
      </c>
      <c r="CH27" s="766">
        <v>64.400000000000006</v>
      </c>
      <c r="CI27" s="766">
        <v>64.540000000000006</v>
      </c>
      <c r="CJ27" s="766">
        <v>64.650000000000006</v>
      </c>
      <c r="CK27" s="766">
        <v>64.790000000000006</v>
      </c>
      <c r="CL27" s="766">
        <v>64.92</v>
      </c>
      <c r="CM27" s="766">
        <v>65.040000000000006</v>
      </c>
      <c r="CN27" s="766">
        <v>65.17</v>
      </c>
      <c r="CO27" s="766">
        <v>65.3</v>
      </c>
      <c r="CP27" s="766">
        <v>65.42</v>
      </c>
      <c r="CQ27" s="766">
        <v>65.540000000000006</v>
      </c>
      <c r="CR27" s="766">
        <v>65.67</v>
      </c>
      <c r="CS27" s="766">
        <v>65.790000000000006</v>
      </c>
      <c r="CT27" s="766">
        <v>65.91</v>
      </c>
      <c r="CU27" s="766">
        <v>66.03</v>
      </c>
      <c r="CV27" s="766">
        <v>66.150000000000006</v>
      </c>
      <c r="CW27" s="766">
        <v>66.27</v>
      </c>
      <c r="CX27" s="766">
        <v>66.38</v>
      </c>
      <c r="CY27" s="766">
        <v>66.5</v>
      </c>
      <c r="CZ27" s="766">
        <v>66.61</v>
      </c>
      <c r="DA27" s="766">
        <v>66.73</v>
      </c>
      <c r="DB27" s="766">
        <v>66.84</v>
      </c>
      <c r="DC27" s="766">
        <v>66.95</v>
      </c>
      <c r="DD27" s="766">
        <v>67.06</v>
      </c>
      <c r="DE27" s="766">
        <v>67.17</v>
      </c>
      <c r="DF27" s="766">
        <v>67.28</v>
      </c>
      <c r="DG27" s="766">
        <v>67.38</v>
      </c>
      <c r="DH27" s="766">
        <v>67.489999999999995</v>
      </c>
      <c r="DI27" s="766">
        <v>67.599999999999994</v>
      </c>
      <c r="DJ27" s="766">
        <v>67.7</v>
      </c>
      <c r="DK27" s="766">
        <v>67.81</v>
      </c>
      <c r="DL27" s="766">
        <v>67.91</v>
      </c>
      <c r="DM27" s="766">
        <v>68.010000000000005</v>
      </c>
      <c r="DN27" s="766">
        <v>68.11</v>
      </c>
      <c r="DO27" s="766">
        <v>68.209999999999994</v>
      </c>
      <c r="DP27" s="766">
        <v>68.31</v>
      </c>
      <c r="DQ27" s="766">
        <v>68.41</v>
      </c>
      <c r="DR27" s="766">
        <v>68.510000000000005</v>
      </c>
    </row>
    <row r="28" spans="1:122">
      <c r="A28" s="950">
        <v>26</v>
      </c>
      <c r="B28" s="94"/>
      <c r="C28" s="94"/>
      <c r="D28" s="94"/>
      <c r="E28" s="94"/>
      <c r="F28" s="94"/>
      <c r="G28" s="94"/>
      <c r="H28" s="94"/>
      <c r="I28" s="94"/>
      <c r="J28" s="94"/>
      <c r="K28" s="94"/>
      <c r="L28" s="94"/>
      <c r="M28" s="94"/>
      <c r="N28" s="94"/>
      <c r="O28" s="94"/>
      <c r="P28" s="94"/>
      <c r="Q28" s="94"/>
      <c r="R28" s="94"/>
      <c r="S28" s="94"/>
      <c r="T28" s="94"/>
      <c r="U28" s="94"/>
      <c r="V28" s="766"/>
      <c r="W28" s="766">
        <v>53.18</v>
      </c>
      <c r="X28" s="766">
        <v>53.46</v>
      </c>
      <c r="Y28" s="766">
        <v>53.72</v>
      </c>
      <c r="Z28" s="766">
        <v>53.99</v>
      </c>
      <c r="AA28" s="766">
        <v>54.16</v>
      </c>
      <c r="AB28" s="766">
        <v>54.4</v>
      </c>
      <c r="AC28" s="766">
        <v>54.65</v>
      </c>
      <c r="AD28" s="766">
        <v>54.78</v>
      </c>
      <c r="AE28" s="766">
        <v>55</v>
      </c>
      <c r="AF28" s="766">
        <v>55.23</v>
      </c>
      <c r="AG28" s="766">
        <v>55.42</v>
      </c>
      <c r="AH28" s="766">
        <v>55.62</v>
      </c>
      <c r="AI28" s="766">
        <v>55.81</v>
      </c>
      <c r="AJ28" s="766">
        <v>56.1</v>
      </c>
      <c r="AK28" s="766">
        <v>56.37</v>
      </c>
      <c r="AL28" s="766">
        <v>56.68</v>
      </c>
      <c r="AM28" s="766">
        <v>56.96</v>
      </c>
      <c r="AN28" s="766">
        <v>57.16</v>
      </c>
      <c r="AO28" s="766">
        <v>57.33</v>
      </c>
      <c r="AP28" s="766">
        <v>57.48</v>
      </c>
      <c r="AQ28" s="766">
        <v>57.54</v>
      </c>
      <c r="AR28" s="766">
        <v>57.62</v>
      </c>
      <c r="AS28" s="766">
        <v>57.67</v>
      </c>
      <c r="AT28" s="766">
        <v>57.66</v>
      </c>
      <c r="AU28" s="766">
        <v>57.74</v>
      </c>
      <c r="AV28" s="766">
        <v>57.82</v>
      </c>
      <c r="AW28" s="766">
        <v>58.07</v>
      </c>
      <c r="AX28" s="766">
        <v>58.15</v>
      </c>
      <c r="AY28" s="766">
        <v>58.3</v>
      </c>
      <c r="AZ28" s="766">
        <v>58.43</v>
      </c>
      <c r="BA28" s="766">
        <v>58.58</v>
      </c>
      <c r="BB28" s="766">
        <v>58.72</v>
      </c>
      <c r="BC28" s="766">
        <v>58.83</v>
      </c>
      <c r="BD28" s="766">
        <v>58.96</v>
      </c>
      <c r="BE28" s="766">
        <v>59.08</v>
      </c>
      <c r="BF28" s="766">
        <v>59.24</v>
      </c>
      <c r="BG28" s="766">
        <v>59.41</v>
      </c>
      <c r="BH28" s="766">
        <v>59.6</v>
      </c>
      <c r="BI28" s="766">
        <v>59.74</v>
      </c>
      <c r="BJ28" s="766">
        <v>59.9</v>
      </c>
      <c r="BK28" s="766">
        <v>60.06</v>
      </c>
      <c r="BL28" s="766">
        <v>60.25</v>
      </c>
      <c r="BM28" s="766">
        <v>60.44</v>
      </c>
      <c r="BN28" s="766">
        <v>60.61</v>
      </c>
      <c r="BO28" s="766">
        <v>60.76</v>
      </c>
      <c r="BP28" s="766">
        <v>60.93</v>
      </c>
      <c r="BQ28" s="766">
        <v>61.08</v>
      </c>
      <c r="BR28" s="766">
        <v>61.23</v>
      </c>
      <c r="BS28" s="766">
        <v>61.39</v>
      </c>
      <c r="BT28" s="766">
        <v>61.54</v>
      </c>
      <c r="BU28" s="766">
        <v>61.68</v>
      </c>
      <c r="BV28" s="766">
        <v>61.81</v>
      </c>
      <c r="BW28" s="766">
        <v>61.97</v>
      </c>
      <c r="BX28" s="766">
        <v>62.09</v>
      </c>
      <c r="BY28" s="766">
        <v>62.24</v>
      </c>
      <c r="BZ28" s="766">
        <v>62.37</v>
      </c>
      <c r="CA28" s="766">
        <v>62.5</v>
      </c>
      <c r="CB28" s="766">
        <v>62.64</v>
      </c>
      <c r="CC28" s="766">
        <v>62.77</v>
      </c>
      <c r="CD28" s="766">
        <v>62.9</v>
      </c>
      <c r="CE28" s="766">
        <v>63.03</v>
      </c>
      <c r="CF28" s="766">
        <v>63.16</v>
      </c>
      <c r="CG28" s="766">
        <v>63.28</v>
      </c>
      <c r="CH28" s="766">
        <v>63.42</v>
      </c>
      <c r="CI28" s="766">
        <v>63.55</v>
      </c>
      <c r="CJ28" s="766">
        <v>63.67</v>
      </c>
      <c r="CK28" s="766">
        <v>63.8</v>
      </c>
      <c r="CL28" s="766">
        <v>63.93</v>
      </c>
      <c r="CM28" s="766">
        <v>64.06</v>
      </c>
      <c r="CN28" s="766">
        <v>64.180000000000007</v>
      </c>
      <c r="CO28" s="766">
        <v>64.31</v>
      </c>
      <c r="CP28" s="766">
        <v>64.44</v>
      </c>
      <c r="CQ28" s="766">
        <v>64.56</v>
      </c>
      <c r="CR28" s="766">
        <v>64.680000000000007</v>
      </c>
      <c r="CS28" s="766">
        <v>64.8</v>
      </c>
      <c r="CT28" s="766">
        <v>64.92</v>
      </c>
      <c r="CU28" s="766">
        <v>65.040000000000006</v>
      </c>
      <c r="CV28" s="766">
        <v>65.16</v>
      </c>
      <c r="CW28" s="766">
        <v>65.28</v>
      </c>
      <c r="CX28" s="766">
        <v>65.39</v>
      </c>
      <c r="CY28" s="766">
        <v>65.510000000000005</v>
      </c>
      <c r="CZ28" s="766">
        <v>65.62</v>
      </c>
      <c r="DA28" s="766">
        <v>65.73</v>
      </c>
      <c r="DB28" s="766">
        <v>65.849999999999994</v>
      </c>
      <c r="DC28" s="766">
        <v>65.959999999999994</v>
      </c>
      <c r="DD28" s="766">
        <v>66.069999999999993</v>
      </c>
      <c r="DE28" s="766">
        <v>66.180000000000007</v>
      </c>
      <c r="DF28" s="766">
        <v>66.290000000000006</v>
      </c>
      <c r="DG28" s="766">
        <v>66.39</v>
      </c>
      <c r="DH28" s="766">
        <v>66.5</v>
      </c>
      <c r="DI28" s="766">
        <v>66.599999999999994</v>
      </c>
      <c r="DJ28" s="766">
        <v>66.709999999999994</v>
      </c>
      <c r="DK28" s="766">
        <v>66.81</v>
      </c>
      <c r="DL28" s="766">
        <v>66.92</v>
      </c>
      <c r="DM28" s="766">
        <v>67.02</v>
      </c>
      <c r="DN28" s="766">
        <v>67.12</v>
      </c>
      <c r="DO28" s="766">
        <v>67.22</v>
      </c>
      <c r="DP28" s="766">
        <v>67.319999999999993</v>
      </c>
      <c r="DQ28" s="766">
        <v>67.41</v>
      </c>
      <c r="DR28" s="766">
        <v>67.510000000000005</v>
      </c>
    </row>
    <row r="29" spans="1:122">
      <c r="A29" s="950">
        <v>27</v>
      </c>
      <c r="B29" s="94"/>
      <c r="C29" s="94"/>
      <c r="D29" s="94"/>
      <c r="E29" s="94"/>
      <c r="F29" s="94"/>
      <c r="G29" s="94"/>
      <c r="H29" s="94"/>
      <c r="I29" s="94"/>
      <c r="J29" s="94"/>
      <c r="K29" s="94"/>
      <c r="L29" s="94"/>
      <c r="M29" s="94"/>
      <c r="N29" s="94"/>
      <c r="O29" s="94"/>
      <c r="P29" s="94"/>
      <c r="Q29" s="94"/>
      <c r="R29" s="94"/>
      <c r="S29" s="94"/>
      <c r="T29" s="94"/>
      <c r="U29" s="94"/>
      <c r="V29" s="766"/>
      <c r="W29" s="766">
        <v>52.31</v>
      </c>
      <c r="X29" s="766">
        <v>52.57</v>
      </c>
      <c r="Y29" s="766">
        <v>52.79</v>
      </c>
      <c r="Z29" s="766">
        <v>53.06</v>
      </c>
      <c r="AA29" s="766">
        <v>53.23</v>
      </c>
      <c r="AB29" s="766">
        <v>53.46</v>
      </c>
      <c r="AC29" s="766">
        <v>53.71</v>
      </c>
      <c r="AD29" s="766">
        <v>53.84</v>
      </c>
      <c r="AE29" s="766">
        <v>54.06</v>
      </c>
      <c r="AF29" s="766">
        <v>54.28</v>
      </c>
      <c r="AG29" s="766">
        <v>54.47</v>
      </c>
      <c r="AH29" s="766">
        <v>54.66</v>
      </c>
      <c r="AI29" s="766">
        <v>54.86</v>
      </c>
      <c r="AJ29" s="766">
        <v>55.14</v>
      </c>
      <c r="AK29" s="766">
        <v>55.42</v>
      </c>
      <c r="AL29" s="766">
        <v>55.72</v>
      </c>
      <c r="AM29" s="766">
        <v>55.99</v>
      </c>
      <c r="AN29" s="766">
        <v>56.2</v>
      </c>
      <c r="AO29" s="766">
        <v>56.37</v>
      </c>
      <c r="AP29" s="766">
        <v>56.52</v>
      </c>
      <c r="AQ29" s="766">
        <v>56.58</v>
      </c>
      <c r="AR29" s="766">
        <v>56.66</v>
      </c>
      <c r="AS29" s="766">
        <v>56.71</v>
      </c>
      <c r="AT29" s="766">
        <v>56.7</v>
      </c>
      <c r="AU29" s="766">
        <v>56.78</v>
      </c>
      <c r="AV29" s="766">
        <v>56.86</v>
      </c>
      <c r="AW29" s="766">
        <v>57.11</v>
      </c>
      <c r="AX29" s="766">
        <v>57.18</v>
      </c>
      <c r="AY29" s="766">
        <v>57.33</v>
      </c>
      <c r="AZ29" s="766">
        <v>57.47</v>
      </c>
      <c r="BA29" s="766">
        <v>57.61</v>
      </c>
      <c r="BB29" s="766">
        <v>57.75</v>
      </c>
      <c r="BC29" s="766">
        <v>57.86</v>
      </c>
      <c r="BD29" s="766">
        <v>58</v>
      </c>
      <c r="BE29" s="766">
        <v>58.12</v>
      </c>
      <c r="BF29" s="766">
        <v>58.27</v>
      </c>
      <c r="BG29" s="766">
        <v>58.44</v>
      </c>
      <c r="BH29" s="766">
        <v>58.63</v>
      </c>
      <c r="BI29" s="766">
        <v>58.76</v>
      </c>
      <c r="BJ29" s="766">
        <v>58.92</v>
      </c>
      <c r="BK29" s="766">
        <v>59.08</v>
      </c>
      <c r="BL29" s="766">
        <v>59.27</v>
      </c>
      <c r="BM29" s="766">
        <v>59.46</v>
      </c>
      <c r="BN29" s="766">
        <v>59.63</v>
      </c>
      <c r="BO29" s="766">
        <v>59.78</v>
      </c>
      <c r="BP29" s="766">
        <v>59.95</v>
      </c>
      <c r="BQ29" s="766">
        <v>60.11</v>
      </c>
      <c r="BR29" s="766">
        <v>60.25</v>
      </c>
      <c r="BS29" s="766">
        <v>60.41</v>
      </c>
      <c r="BT29" s="766">
        <v>60.56</v>
      </c>
      <c r="BU29" s="766">
        <v>60.7</v>
      </c>
      <c r="BV29" s="766">
        <v>60.83</v>
      </c>
      <c r="BW29" s="766">
        <v>60.98</v>
      </c>
      <c r="BX29" s="766">
        <v>61.11</v>
      </c>
      <c r="BY29" s="766">
        <v>61.25</v>
      </c>
      <c r="BZ29" s="766">
        <v>61.39</v>
      </c>
      <c r="CA29" s="766">
        <v>61.52</v>
      </c>
      <c r="CB29" s="766">
        <v>61.65</v>
      </c>
      <c r="CC29" s="766">
        <v>61.79</v>
      </c>
      <c r="CD29" s="766">
        <v>61.92</v>
      </c>
      <c r="CE29" s="766">
        <v>62.04</v>
      </c>
      <c r="CF29" s="766">
        <v>62.18</v>
      </c>
      <c r="CG29" s="766">
        <v>62.29</v>
      </c>
      <c r="CH29" s="766">
        <v>62.43</v>
      </c>
      <c r="CI29" s="766">
        <v>62.56</v>
      </c>
      <c r="CJ29" s="766">
        <v>62.68</v>
      </c>
      <c r="CK29" s="766">
        <v>62.81</v>
      </c>
      <c r="CL29" s="766">
        <v>62.94</v>
      </c>
      <c r="CM29" s="766">
        <v>63.07</v>
      </c>
      <c r="CN29" s="766">
        <v>63.2</v>
      </c>
      <c r="CO29" s="766">
        <v>63.32</v>
      </c>
      <c r="CP29" s="766">
        <v>63.45</v>
      </c>
      <c r="CQ29" s="766">
        <v>63.57</v>
      </c>
      <c r="CR29" s="766">
        <v>63.69</v>
      </c>
      <c r="CS29" s="766">
        <v>63.81</v>
      </c>
      <c r="CT29" s="766">
        <v>63.93</v>
      </c>
      <c r="CU29" s="766">
        <v>64.05</v>
      </c>
      <c r="CV29" s="766">
        <v>64.17</v>
      </c>
      <c r="CW29" s="766">
        <v>64.290000000000006</v>
      </c>
      <c r="CX29" s="766">
        <v>64.400000000000006</v>
      </c>
      <c r="CY29" s="766">
        <v>64.52</v>
      </c>
      <c r="CZ29" s="766">
        <v>64.63</v>
      </c>
      <c r="DA29" s="766">
        <v>64.739999999999995</v>
      </c>
      <c r="DB29" s="766">
        <v>64.849999999999994</v>
      </c>
      <c r="DC29" s="766">
        <v>64.97</v>
      </c>
      <c r="DD29" s="766">
        <v>65.08</v>
      </c>
      <c r="DE29" s="766">
        <v>65.180000000000007</v>
      </c>
      <c r="DF29" s="766">
        <v>65.290000000000006</v>
      </c>
      <c r="DG29" s="766">
        <v>65.400000000000006</v>
      </c>
      <c r="DH29" s="766">
        <v>65.510000000000005</v>
      </c>
      <c r="DI29" s="766">
        <v>65.61</v>
      </c>
      <c r="DJ29" s="766">
        <v>65.72</v>
      </c>
      <c r="DK29" s="766">
        <v>65.819999999999993</v>
      </c>
      <c r="DL29" s="766">
        <v>65.92</v>
      </c>
      <c r="DM29" s="766">
        <v>66.02</v>
      </c>
      <c r="DN29" s="766">
        <v>66.12</v>
      </c>
      <c r="DO29" s="766">
        <v>66.22</v>
      </c>
      <c r="DP29" s="766">
        <v>66.319999999999993</v>
      </c>
      <c r="DQ29" s="766">
        <v>66.42</v>
      </c>
      <c r="DR29" s="766">
        <v>66.52</v>
      </c>
    </row>
    <row r="30" spans="1:122">
      <c r="A30" s="950">
        <v>28</v>
      </c>
      <c r="B30" s="94"/>
      <c r="C30" s="94"/>
      <c r="D30" s="94"/>
      <c r="E30" s="94"/>
      <c r="F30" s="94"/>
      <c r="G30" s="94"/>
      <c r="H30" s="94"/>
      <c r="I30" s="94"/>
      <c r="J30" s="94"/>
      <c r="K30" s="94"/>
      <c r="L30" s="94"/>
      <c r="M30" s="94"/>
      <c r="N30" s="94"/>
      <c r="O30" s="94"/>
      <c r="P30" s="94"/>
      <c r="Q30" s="94"/>
      <c r="R30" s="94"/>
      <c r="S30" s="94"/>
      <c r="T30" s="94"/>
      <c r="U30" s="94"/>
      <c r="V30" s="766"/>
      <c r="W30" s="766">
        <v>51.42</v>
      </c>
      <c r="X30" s="766">
        <v>51.65</v>
      </c>
      <c r="Y30" s="766">
        <v>51.87</v>
      </c>
      <c r="Z30" s="766">
        <v>52.14</v>
      </c>
      <c r="AA30" s="766">
        <v>52.3</v>
      </c>
      <c r="AB30" s="766">
        <v>52.52</v>
      </c>
      <c r="AC30" s="766">
        <v>52.76</v>
      </c>
      <c r="AD30" s="766">
        <v>52.89</v>
      </c>
      <c r="AE30" s="766">
        <v>53.11</v>
      </c>
      <c r="AF30" s="766">
        <v>53.33</v>
      </c>
      <c r="AG30" s="766">
        <v>53.52</v>
      </c>
      <c r="AH30" s="766">
        <v>53.71</v>
      </c>
      <c r="AI30" s="766">
        <v>53.9</v>
      </c>
      <c r="AJ30" s="766">
        <v>54.19</v>
      </c>
      <c r="AK30" s="766">
        <v>54.46</v>
      </c>
      <c r="AL30" s="766">
        <v>54.76</v>
      </c>
      <c r="AM30" s="766">
        <v>55.03</v>
      </c>
      <c r="AN30" s="766">
        <v>55.24</v>
      </c>
      <c r="AO30" s="766">
        <v>55.41</v>
      </c>
      <c r="AP30" s="766">
        <v>55.56</v>
      </c>
      <c r="AQ30" s="766">
        <v>55.62</v>
      </c>
      <c r="AR30" s="766">
        <v>55.7</v>
      </c>
      <c r="AS30" s="766">
        <v>55.75</v>
      </c>
      <c r="AT30" s="766">
        <v>55.74</v>
      </c>
      <c r="AU30" s="766">
        <v>55.81</v>
      </c>
      <c r="AV30" s="766">
        <v>55.9</v>
      </c>
      <c r="AW30" s="766">
        <v>56.14</v>
      </c>
      <c r="AX30" s="766">
        <v>56.21</v>
      </c>
      <c r="AY30" s="766">
        <v>56.37</v>
      </c>
      <c r="AZ30" s="766">
        <v>56.51</v>
      </c>
      <c r="BA30" s="766">
        <v>56.65</v>
      </c>
      <c r="BB30" s="766">
        <v>56.78</v>
      </c>
      <c r="BC30" s="766">
        <v>56.9</v>
      </c>
      <c r="BD30" s="766">
        <v>57.03</v>
      </c>
      <c r="BE30" s="766">
        <v>57.15</v>
      </c>
      <c r="BF30" s="766">
        <v>57.3</v>
      </c>
      <c r="BG30" s="766">
        <v>57.47</v>
      </c>
      <c r="BH30" s="766">
        <v>57.65</v>
      </c>
      <c r="BI30" s="766">
        <v>57.79</v>
      </c>
      <c r="BJ30" s="766">
        <v>57.95</v>
      </c>
      <c r="BK30" s="766">
        <v>58.11</v>
      </c>
      <c r="BL30" s="766">
        <v>58.3</v>
      </c>
      <c r="BM30" s="766">
        <v>58.49</v>
      </c>
      <c r="BN30" s="766">
        <v>58.65</v>
      </c>
      <c r="BO30" s="766">
        <v>58.81</v>
      </c>
      <c r="BP30" s="766">
        <v>58.97</v>
      </c>
      <c r="BQ30" s="766">
        <v>59.13</v>
      </c>
      <c r="BR30" s="766">
        <v>59.27</v>
      </c>
      <c r="BS30" s="766">
        <v>59.43</v>
      </c>
      <c r="BT30" s="766">
        <v>59.58</v>
      </c>
      <c r="BU30" s="766">
        <v>59.72</v>
      </c>
      <c r="BV30" s="766">
        <v>59.85</v>
      </c>
      <c r="BW30" s="766">
        <v>60</v>
      </c>
      <c r="BX30" s="766">
        <v>60.13</v>
      </c>
      <c r="BY30" s="766">
        <v>60.27</v>
      </c>
      <c r="BZ30" s="766">
        <v>60.4</v>
      </c>
      <c r="CA30" s="766">
        <v>60.53</v>
      </c>
      <c r="CB30" s="766">
        <v>60.67</v>
      </c>
      <c r="CC30" s="766">
        <v>60.81</v>
      </c>
      <c r="CD30" s="766">
        <v>60.93</v>
      </c>
      <c r="CE30" s="766">
        <v>61.06</v>
      </c>
      <c r="CF30" s="766">
        <v>61.19</v>
      </c>
      <c r="CG30" s="766">
        <v>61.31</v>
      </c>
      <c r="CH30" s="766">
        <v>61.45</v>
      </c>
      <c r="CI30" s="766">
        <v>61.58</v>
      </c>
      <c r="CJ30" s="766">
        <v>61.69</v>
      </c>
      <c r="CK30" s="766">
        <v>61.83</v>
      </c>
      <c r="CL30" s="766">
        <v>61.96</v>
      </c>
      <c r="CM30" s="766">
        <v>62.08</v>
      </c>
      <c r="CN30" s="766">
        <v>62.21</v>
      </c>
      <c r="CO30" s="766">
        <v>62.33</v>
      </c>
      <c r="CP30" s="766">
        <v>62.46</v>
      </c>
      <c r="CQ30" s="766">
        <v>62.58</v>
      </c>
      <c r="CR30" s="766">
        <v>62.7</v>
      </c>
      <c r="CS30" s="766">
        <v>62.82</v>
      </c>
      <c r="CT30" s="766">
        <v>62.94</v>
      </c>
      <c r="CU30" s="766">
        <v>63.06</v>
      </c>
      <c r="CV30" s="766">
        <v>63.18</v>
      </c>
      <c r="CW30" s="766">
        <v>63.3</v>
      </c>
      <c r="CX30" s="766">
        <v>63.41</v>
      </c>
      <c r="CY30" s="766">
        <v>63.53</v>
      </c>
      <c r="CZ30" s="766">
        <v>63.64</v>
      </c>
      <c r="DA30" s="766">
        <v>63.75</v>
      </c>
      <c r="DB30" s="766">
        <v>63.86</v>
      </c>
      <c r="DC30" s="766">
        <v>63.97</v>
      </c>
      <c r="DD30" s="766">
        <v>64.08</v>
      </c>
      <c r="DE30" s="766">
        <v>64.19</v>
      </c>
      <c r="DF30" s="766">
        <v>64.3</v>
      </c>
      <c r="DG30" s="766">
        <v>64.41</v>
      </c>
      <c r="DH30" s="766">
        <v>64.510000000000005</v>
      </c>
      <c r="DI30" s="766">
        <v>64.62</v>
      </c>
      <c r="DJ30" s="766">
        <v>64.72</v>
      </c>
      <c r="DK30" s="766">
        <v>64.83</v>
      </c>
      <c r="DL30" s="766">
        <v>64.930000000000007</v>
      </c>
      <c r="DM30" s="766">
        <v>65.03</v>
      </c>
      <c r="DN30" s="766">
        <v>65.13</v>
      </c>
      <c r="DO30" s="766">
        <v>65.23</v>
      </c>
      <c r="DP30" s="766">
        <v>65.33</v>
      </c>
      <c r="DQ30" s="766">
        <v>65.430000000000007</v>
      </c>
      <c r="DR30" s="766">
        <v>65.52</v>
      </c>
    </row>
    <row r="31" spans="1:122">
      <c r="A31" s="950">
        <v>29</v>
      </c>
      <c r="B31" s="94"/>
      <c r="C31" s="94"/>
      <c r="D31" s="94"/>
      <c r="E31" s="94"/>
      <c r="F31" s="94"/>
      <c r="G31" s="94"/>
      <c r="H31" s="94"/>
      <c r="I31" s="94"/>
      <c r="J31" s="94"/>
      <c r="K31" s="94"/>
      <c r="L31" s="94"/>
      <c r="M31" s="94"/>
      <c r="N31" s="94"/>
      <c r="O31" s="94"/>
      <c r="P31" s="94"/>
      <c r="Q31" s="94"/>
      <c r="R31" s="94"/>
      <c r="S31" s="94"/>
      <c r="T31" s="94"/>
      <c r="U31" s="94"/>
      <c r="V31" s="766"/>
      <c r="W31" s="766">
        <v>50.5</v>
      </c>
      <c r="X31" s="766">
        <v>50.73</v>
      </c>
      <c r="Y31" s="766">
        <v>50.95</v>
      </c>
      <c r="Z31" s="766">
        <v>51.2</v>
      </c>
      <c r="AA31" s="766">
        <v>51.36</v>
      </c>
      <c r="AB31" s="766">
        <v>51.58</v>
      </c>
      <c r="AC31" s="766">
        <v>51.82</v>
      </c>
      <c r="AD31" s="766">
        <v>51.95</v>
      </c>
      <c r="AE31" s="766">
        <v>52.17</v>
      </c>
      <c r="AF31" s="766">
        <v>52.38</v>
      </c>
      <c r="AG31" s="766">
        <v>52.58</v>
      </c>
      <c r="AH31" s="766">
        <v>52.77</v>
      </c>
      <c r="AI31" s="766">
        <v>52.95</v>
      </c>
      <c r="AJ31" s="766">
        <v>53.23</v>
      </c>
      <c r="AK31" s="766">
        <v>53.5</v>
      </c>
      <c r="AL31" s="766">
        <v>53.8</v>
      </c>
      <c r="AM31" s="766">
        <v>54.07</v>
      </c>
      <c r="AN31" s="766">
        <v>54.28</v>
      </c>
      <c r="AO31" s="766">
        <v>54.45</v>
      </c>
      <c r="AP31" s="766">
        <v>54.59</v>
      </c>
      <c r="AQ31" s="766">
        <v>54.66</v>
      </c>
      <c r="AR31" s="766">
        <v>54.73</v>
      </c>
      <c r="AS31" s="766">
        <v>54.78</v>
      </c>
      <c r="AT31" s="766">
        <v>54.78</v>
      </c>
      <c r="AU31" s="766">
        <v>54.85</v>
      </c>
      <c r="AV31" s="766">
        <v>54.93</v>
      </c>
      <c r="AW31" s="766">
        <v>55.18</v>
      </c>
      <c r="AX31" s="766">
        <v>55.24</v>
      </c>
      <c r="AY31" s="766">
        <v>55.4</v>
      </c>
      <c r="AZ31" s="766">
        <v>55.54</v>
      </c>
      <c r="BA31" s="766">
        <v>55.68</v>
      </c>
      <c r="BB31" s="766">
        <v>55.82</v>
      </c>
      <c r="BC31" s="766">
        <v>55.93</v>
      </c>
      <c r="BD31" s="766">
        <v>56.06</v>
      </c>
      <c r="BE31" s="766">
        <v>56.18</v>
      </c>
      <c r="BF31" s="766">
        <v>56.33</v>
      </c>
      <c r="BG31" s="766">
        <v>56.5</v>
      </c>
      <c r="BH31" s="766">
        <v>56.68</v>
      </c>
      <c r="BI31" s="766">
        <v>56.82</v>
      </c>
      <c r="BJ31" s="766">
        <v>56.97</v>
      </c>
      <c r="BK31" s="766">
        <v>57.13</v>
      </c>
      <c r="BL31" s="766">
        <v>57.32</v>
      </c>
      <c r="BM31" s="766">
        <v>57.52</v>
      </c>
      <c r="BN31" s="766">
        <v>57.68</v>
      </c>
      <c r="BO31" s="766">
        <v>57.83</v>
      </c>
      <c r="BP31" s="766">
        <v>58</v>
      </c>
      <c r="BQ31" s="766">
        <v>58.15</v>
      </c>
      <c r="BR31" s="766">
        <v>58.29</v>
      </c>
      <c r="BS31" s="766">
        <v>58.46</v>
      </c>
      <c r="BT31" s="766">
        <v>58.6</v>
      </c>
      <c r="BU31" s="766">
        <v>58.74</v>
      </c>
      <c r="BV31" s="766">
        <v>58.87</v>
      </c>
      <c r="BW31" s="766">
        <v>59.02</v>
      </c>
      <c r="BX31" s="766">
        <v>59.15</v>
      </c>
      <c r="BY31" s="766">
        <v>59.29</v>
      </c>
      <c r="BZ31" s="766">
        <v>59.42</v>
      </c>
      <c r="CA31" s="766">
        <v>59.55</v>
      </c>
      <c r="CB31" s="766">
        <v>59.68</v>
      </c>
      <c r="CC31" s="766">
        <v>59.82</v>
      </c>
      <c r="CD31" s="766">
        <v>59.95</v>
      </c>
      <c r="CE31" s="766">
        <v>60.07</v>
      </c>
      <c r="CF31" s="766">
        <v>60.21</v>
      </c>
      <c r="CG31" s="766">
        <v>60.33</v>
      </c>
      <c r="CH31" s="766">
        <v>60.46</v>
      </c>
      <c r="CI31" s="766">
        <v>60.59</v>
      </c>
      <c r="CJ31" s="766">
        <v>60.71</v>
      </c>
      <c r="CK31" s="766">
        <v>60.84</v>
      </c>
      <c r="CL31" s="766">
        <v>60.97</v>
      </c>
      <c r="CM31" s="766">
        <v>61.1</v>
      </c>
      <c r="CN31" s="766">
        <v>61.22</v>
      </c>
      <c r="CO31" s="766">
        <v>61.35</v>
      </c>
      <c r="CP31" s="766">
        <v>61.47</v>
      </c>
      <c r="CQ31" s="766">
        <v>61.59</v>
      </c>
      <c r="CR31" s="766">
        <v>61.72</v>
      </c>
      <c r="CS31" s="766">
        <v>61.84</v>
      </c>
      <c r="CT31" s="766">
        <v>61.96</v>
      </c>
      <c r="CU31" s="766">
        <v>62.07</v>
      </c>
      <c r="CV31" s="766">
        <v>62.19</v>
      </c>
      <c r="CW31" s="766">
        <v>62.31</v>
      </c>
      <c r="CX31" s="766">
        <v>62.42</v>
      </c>
      <c r="CY31" s="766">
        <v>62.54</v>
      </c>
      <c r="CZ31" s="766">
        <v>62.65</v>
      </c>
      <c r="DA31" s="766">
        <v>62.76</v>
      </c>
      <c r="DB31" s="766">
        <v>62.87</v>
      </c>
      <c r="DC31" s="766">
        <v>62.98</v>
      </c>
      <c r="DD31" s="766">
        <v>63.09</v>
      </c>
      <c r="DE31" s="766">
        <v>63.2</v>
      </c>
      <c r="DF31" s="766">
        <v>63.31</v>
      </c>
      <c r="DG31" s="766">
        <v>63.42</v>
      </c>
      <c r="DH31" s="766">
        <v>63.52</v>
      </c>
      <c r="DI31" s="766">
        <v>63.63</v>
      </c>
      <c r="DJ31" s="766">
        <v>63.73</v>
      </c>
      <c r="DK31" s="766">
        <v>63.83</v>
      </c>
      <c r="DL31" s="766">
        <v>63.94</v>
      </c>
      <c r="DM31" s="766">
        <v>64.040000000000006</v>
      </c>
      <c r="DN31" s="766">
        <v>64.14</v>
      </c>
      <c r="DO31" s="766">
        <v>64.239999999999995</v>
      </c>
      <c r="DP31" s="766">
        <v>64.34</v>
      </c>
      <c r="DQ31" s="766">
        <v>64.430000000000007</v>
      </c>
      <c r="DR31" s="766">
        <v>64.53</v>
      </c>
    </row>
    <row r="32" spans="1:122">
      <c r="A32" s="950">
        <v>30</v>
      </c>
      <c r="B32" s="94"/>
      <c r="C32" s="94"/>
      <c r="D32" s="94"/>
      <c r="E32" s="94"/>
      <c r="F32" s="94"/>
      <c r="G32" s="94"/>
      <c r="H32" s="94"/>
      <c r="I32" s="94"/>
      <c r="J32" s="94"/>
      <c r="K32" s="94"/>
      <c r="L32" s="94"/>
      <c r="M32" s="94"/>
      <c r="N32" s="94"/>
      <c r="O32" s="94"/>
      <c r="P32" s="94"/>
      <c r="Q32" s="94"/>
      <c r="R32" s="94"/>
      <c r="S32" s="94"/>
      <c r="T32" s="94"/>
      <c r="U32" s="94"/>
      <c r="V32" s="766"/>
      <c r="W32" s="766">
        <v>49.58</v>
      </c>
      <c r="X32" s="766">
        <v>49.8</v>
      </c>
      <c r="Y32" s="766">
        <v>50.01</v>
      </c>
      <c r="Z32" s="766">
        <v>50.26</v>
      </c>
      <c r="AA32" s="766">
        <v>50.42</v>
      </c>
      <c r="AB32" s="766">
        <v>50.64</v>
      </c>
      <c r="AC32" s="766">
        <v>50.87</v>
      </c>
      <c r="AD32" s="766">
        <v>51</v>
      </c>
      <c r="AE32" s="766">
        <v>51.23</v>
      </c>
      <c r="AF32" s="766">
        <v>51.44</v>
      </c>
      <c r="AG32" s="766">
        <v>51.63</v>
      </c>
      <c r="AH32" s="766">
        <v>51.82</v>
      </c>
      <c r="AI32" s="766">
        <v>52</v>
      </c>
      <c r="AJ32" s="766">
        <v>52.28</v>
      </c>
      <c r="AK32" s="766">
        <v>52.55</v>
      </c>
      <c r="AL32" s="766">
        <v>52.85</v>
      </c>
      <c r="AM32" s="766">
        <v>53.11</v>
      </c>
      <c r="AN32" s="766">
        <v>53.32</v>
      </c>
      <c r="AO32" s="766">
        <v>53.49</v>
      </c>
      <c r="AP32" s="766">
        <v>53.63</v>
      </c>
      <c r="AQ32" s="766">
        <v>53.7</v>
      </c>
      <c r="AR32" s="766">
        <v>53.77</v>
      </c>
      <c r="AS32" s="766">
        <v>53.82</v>
      </c>
      <c r="AT32" s="766">
        <v>53.81</v>
      </c>
      <c r="AU32" s="766">
        <v>53.89</v>
      </c>
      <c r="AV32" s="766">
        <v>53.97</v>
      </c>
      <c r="AW32" s="766">
        <v>54.21</v>
      </c>
      <c r="AX32" s="766">
        <v>54.28</v>
      </c>
      <c r="AY32" s="766">
        <v>54.45</v>
      </c>
      <c r="AZ32" s="766">
        <v>54.58</v>
      </c>
      <c r="BA32" s="766">
        <v>54.71</v>
      </c>
      <c r="BB32" s="766">
        <v>54.85</v>
      </c>
      <c r="BC32" s="766">
        <v>54.96</v>
      </c>
      <c r="BD32" s="766">
        <v>55.09</v>
      </c>
      <c r="BE32" s="766">
        <v>55.22</v>
      </c>
      <c r="BF32" s="766">
        <v>55.36</v>
      </c>
      <c r="BG32" s="766">
        <v>55.52</v>
      </c>
      <c r="BH32" s="766">
        <v>55.71</v>
      </c>
      <c r="BI32" s="766">
        <v>55.85</v>
      </c>
      <c r="BJ32" s="766">
        <v>56</v>
      </c>
      <c r="BK32" s="766">
        <v>56.16</v>
      </c>
      <c r="BL32" s="766">
        <v>56.35</v>
      </c>
      <c r="BM32" s="766">
        <v>56.54</v>
      </c>
      <c r="BN32" s="766">
        <v>56.71</v>
      </c>
      <c r="BO32" s="766">
        <v>56.85</v>
      </c>
      <c r="BP32" s="766">
        <v>57.02</v>
      </c>
      <c r="BQ32" s="766">
        <v>57.17</v>
      </c>
      <c r="BR32" s="766">
        <v>57.31</v>
      </c>
      <c r="BS32" s="766">
        <v>57.48</v>
      </c>
      <c r="BT32" s="766">
        <v>57.62</v>
      </c>
      <c r="BU32" s="766">
        <v>57.76</v>
      </c>
      <c r="BV32" s="766">
        <v>57.89</v>
      </c>
      <c r="BW32" s="766">
        <v>58.04</v>
      </c>
      <c r="BX32" s="766">
        <v>58.17</v>
      </c>
      <c r="BY32" s="766">
        <v>58.3</v>
      </c>
      <c r="BZ32" s="766">
        <v>58.43</v>
      </c>
      <c r="CA32" s="766">
        <v>58.57</v>
      </c>
      <c r="CB32" s="766">
        <v>58.7</v>
      </c>
      <c r="CC32" s="766">
        <v>58.83</v>
      </c>
      <c r="CD32" s="766">
        <v>58.97</v>
      </c>
      <c r="CE32" s="766">
        <v>59.09</v>
      </c>
      <c r="CF32" s="766">
        <v>59.22</v>
      </c>
      <c r="CG32" s="766">
        <v>59.35</v>
      </c>
      <c r="CH32" s="766">
        <v>59.48</v>
      </c>
      <c r="CI32" s="766">
        <v>59.61</v>
      </c>
      <c r="CJ32" s="766">
        <v>59.73</v>
      </c>
      <c r="CK32" s="766">
        <v>59.86</v>
      </c>
      <c r="CL32" s="766">
        <v>59.99</v>
      </c>
      <c r="CM32" s="766">
        <v>60.11</v>
      </c>
      <c r="CN32" s="766">
        <v>60.24</v>
      </c>
      <c r="CO32" s="766">
        <v>60.36</v>
      </c>
      <c r="CP32" s="766">
        <v>60.49</v>
      </c>
      <c r="CQ32" s="766">
        <v>60.61</v>
      </c>
      <c r="CR32" s="766">
        <v>60.73</v>
      </c>
      <c r="CS32" s="766">
        <v>60.85</v>
      </c>
      <c r="CT32" s="766">
        <v>60.97</v>
      </c>
      <c r="CU32" s="766">
        <v>61.09</v>
      </c>
      <c r="CV32" s="766">
        <v>61.2</v>
      </c>
      <c r="CW32" s="766">
        <v>61.32</v>
      </c>
      <c r="CX32" s="766">
        <v>61.43</v>
      </c>
      <c r="CY32" s="766">
        <v>61.55</v>
      </c>
      <c r="CZ32" s="766">
        <v>61.66</v>
      </c>
      <c r="DA32" s="766">
        <v>61.77</v>
      </c>
      <c r="DB32" s="766">
        <v>61.88</v>
      </c>
      <c r="DC32" s="766">
        <v>61.99</v>
      </c>
      <c r="DD32" s="766">
        <v>62.1</v>
      </c>
      <c r="DE32" s="766">
        <v>62.21</v>
      </c>
      <c r="DF32" s="766">
        <v>62.32</v>
      </c>
      <c r="DG32" s="766">
        <v>62.43</v>
      </c>
      <c r="DH32" s="766">
        <v>62.53</v>
      </c>
      <c r="DI32" s="766">
        <v>62.64</v>
      </c>
      <c r="DJ32" s="766">
        <v>62.74</v>
      </c>
      <c r="DK32" s="766">
        <v>62.84</v>
      </c>
      <c r="DL32" s="766">
        <v>62.94</v>
      </c>
      <c r="DM32" s="766">
        <v>63.05</v>
      </c>
      <c r="DN32" s="766">
        <v>63.15</v>
      </c>
      <c r="DO32" s="766">
        <v>63.25</v>
      </c>
      <c r="DP32" s="766">
        <v>63.34</v>
      </c>
      <c r="DQ32" s="766">
        <v>63.44</v>
      </c>
      <c r="DR32" s="766">
        <v>63.54</v>
      </c>
    </row>
    <row r="33" spans="1:122">
      <c r="A33" s="950">
        <v>31</v>
      </c>
      <c r="B33" s="94"/>
      <c r="C33" s="94"/>
      <c r="D33" s="94"/>
      <c r="E33" s="94"/>
      <c r="F33" s="94"/>
      <c r="G33" s="94"/>
      <c r="H33" s="94"/>
      <c r="I33" s="94"/>
      <c r="J33" s="94"/>
      <c r="K33" s="94"/>
      <c r="L33" s="94"/>
      <c r="M33" s="94"/>
      <c r="N33" s="94"/>
      <c r="O33" s="94"/>
      <c r="P33" s="94"/>
      <c r="Q33" s="94"/>
      <c r="R33" s="94"/>
      <c r="S33" s="94"/>
      <c r="T33" s="94"/>
      <c r="U33" s="94"/>
      <c r="V33" s="766"/>
      <c r="W33" s="766">
        <v>48.66</v>
      </c>
      <c r="X33" s="766">
        <v>48.87</v>
      </c>
      <c r="Y33" s="766">
        <v>49.08</v>
      </c>
      <c r="Z33" s="766">
        <v>49.33</v>
      </c>
      <c r="AA33" s="766">
        <v>49.48</v>
      </c>
      <c r="AB33" s="766">
        <v>49.7</v>
      </c>
      <c r="AC33" s="766">
        <v>49.94</v>
      </c>
      <c r="AD33" s="766">
        <v>50.05</v>
      </c>
      <c r="AE33" s="766">
        <v>50.28</v>
      </c>
      <c r="AF33" s="766">
        <v>50.49</v>
      </c>
      <c r="AG33" s="766">
        <v>50.68</v>
      </c>
      <c r="AH33" s="766">
        <v>50.86</v>
      </c>
      <c r="AI33" s="766">
        <v>51.05</v>
      </c>
      <c r="AJ33" s="766">
        <v>51.33</v>
      </c>
      <c r="AK33" s="766">
        <v>51.6</v>
      </c>
      <c r="AL33" s="766">
        <v>51.89</v>
      </c>
      <c r="AM33" s="766">
        <v>52.16</v>
      </c>
      <c r="AN33" s="766">
        <v>52.37</v>
      </c>
      <c r="AO33" s="766">
        <v>52.54</v>
      </c>
      <c r="AP33" s="766">
        <v>52.68</v>
      </c>
      <c r="AQ33" s="766">
        <v>52.74</v>
      </c>
      <c r="AR33" s="766">
        <v>52.81</v>
      </c>
      <c r="AS33" s="766">
        <v>52.86</v>
      </c>
      <c r="AT33" s="766">
        <v>52.86</v>
      </c>
      <c r="AU33" s="766">
        <v>52.93</v>
      </c>
      <c r="AV33" s="766">
        <v>53.01</v>
      </c>
      <c r="AW33" s="766">
        <v>53.25</v>
      </c>
      <c r="AX33" s="766">
        <v>53.32</v>
      </c>
      <c r="AY33" s="766">
        <v>53.48</v>
      </c>
      <c r="AZ33" s="766">
        <v>53.61</v>
      </c>
      <c r="BA33" s="766">
        <v>53.75</v>
      </c>
      <c r="BB33" s="766">
        <v>53.88</v>
      </c>
      <c r="BC33" s="766">
        <v>53.99</v>
      </c>
      <c r="BD33" s="766">
        <v>54.12</v>
      </c>
      <c r="BE33" s="766">
        <v>54.25</v>
      </c>
      <c r="BF33" s="766">
        <v>54.39</v>
      </c>
      <c r="BG33" s="766">
        <v>54.55</v>
      </c>
      <c r="BH33" s="766">
        <v>54.74</v>
      </c>
      <c r="BI33" s="766">
        <v>54.88</v>
      </c>
      <c r="BJ33" s="766">
        <v>55.03</v>
      </c>
      <c r="BK33" s="766">
        <v>55.19</v>
      </c>
      <c r="BL33" s="766">
        <v>55.38</v>
      </c>
      <c r="BM33" s="766">
        <v>55.57</v>
      </c>
      <c r="BN33" s="766">
        <v>55.73</v>
      </c>
      <c r="BO33" s="766">
        <v>55.88</v>
      </c>
      <c r="BP33" s="766">
        <v>56.05</v>
      </c>
      <c r="BQ33" s="766">
        <v>56.2</v>
      </c>
      <c r="BR33" s="766">
        <v>56.33</v>
      </c>
      <c r="BS33" s="766">
        <v>56.5</v>
      </c>
      <c r="BT33" s="766">
        <v>56.64</v>
      </c>
      <c r="BU33" s="766">
        <v>56.78</v>
      </c>
      <c r="BV33" s="766">
        <v>56.91</v>
      </c>
      <c r="BW33" s="766">
        <v>57.06</v>
      </c>
      <c r="BX33" s="766">
        <v>57.19</v>
      </c>
      <c r="BY33" s="766">
        <v>57.32</v>
      </c>
      <c r="BZ33" s="766">
        <v>57.45</v>
      </c>
      <c r="CA33" s="766">
        <v>57.58</v>
      </c>
      <c r="CB33" s="766">
        <v>57.72</v>
      </c>
      <c r="CC33" s="766">
        <v>57.85</v>
      </c>
      <c r="CD33" s="766">
        <v>57.98</v>
      </c>
      <c r="CE33" s="766">
        <v>58.11</v>
      </c>
      <c r="CF33" s="766">
        <v>58.24</v>
      </c>
      <c r="CG33" s="766">
        <v>58.36</v>
      </c>
      <c r="CH33" s="766">
        <v>58.49</v>
      </c>
      <c r="CI33" s="766">
        <v>58.62</v>
      </c>
      <c r="CJ33" s="766">
        <v>58.75</v>
      </c>
      <c r="CK33" s="766">
        <v>58.88</v>
      </c>
      <c r="CL33" s="766">
        <v>59</v>
      </c>
      <c r="CM33" s="766">
        <v>59.13</v>
      </c>
      <c r="CN33" s="766">
        <v>59.25</v>
      </c>
      <c r="CO33" s="766">
        <v>59.38</v>
      </c>
      <c r="CP33" s="766">
        <v>59.5</v>
      </c>
      <c r="CQ33" s="766">
        <v>59.62</v>
      </c>
      <c r="CR33" s="766">
        <v>59.74</v>
      </c>
      <c r="CS33" s="766">
        <v>59.86</v>
      </c>
      <c r="CT33" s="766">
        <v>59.98</v>
      </c>
      <c r="CU33" s="766">
        <v>60.1</v>
      </c>
      <c r="CV33" s="766">
        <v>60.22</v>
      </c>
      <c r="CW33" s="766">
        <v>60.33</v>
      </c>
      <c r="CX33" s="766">
        <v>60.45</v>
      </c>
      <c r="CY33" s="766">
        <v>60.56</v>
      </c>
      <c r="CZ33" s="766">
        <v>60.67</v>
      </c>
      <c r="DA33" s="766">
        <v>60.78</v>
      </c>
      <c r="DB33" s="766">
        <v>60.9</v>
      </c>
      <c r="DC33" s="766">
        <v>61.01</v>
      </c>
      <c r="DD33" s="766">
        <v>61.11</v>
      </c>
      <c r="DE33" s="766">
        <v>61.22</v>
      </c>
      <c r="DF33" s="766">
        <v>61.33</v>
      </c>
      <c r="DG33" s="766">
        <v>61.44</v>
      </c>
      <c r="DH33" s="766">
        <v>61.54</v>
      </c>
      <c r="DI33" s="766">
        <v>61.65</v>
      </c>
      <c r="DJ33" s="766">
        <v>61.75</v>
      </c>
      <c r="DK33" s="766">
        <v>61.85</v>
      </c>
      <c r="DL33" s="766">
        <v>61.95</v>
      </c>
      <c r="DM33" s="766">
        <v>62.05</v>
      </c>
      <c r="DN33" s="766">
        <v>62.15</v>
      </c>
      <c r="DO33" s="766">
        <v>62.25</v>
      </c>
      <c r="DP33" s="766">
        <v>62.35</v>
      </c>
      <c r="DQ33" s="766">
        <v>62.45</v>
      </c>
      <c r="DR33" s="766">
        <v>62.54</v>
      </c>
    </row>
    <row r="34" spans="1:122">
      <c r="A34" s="950">
        <v>32</v>
      </c>
      <c r="B34" s="94"/>
      <c r="C34" s="94"/>
      <c r="D34" s="94"/>
      <c r="E34" s="94"/>
      <c r="F34" s="94"/>
      <c r="G34" s="94"/>
      <c r="H34" s="94"/>
      <c r="I34" s="94"/>
      <c r="J34" s="94"/>
      <c r="K34" s="94"/>
      <c r="L34" s="94"/>
      <c r="M34" s="94"/>
      <c r="N34" s="94"/>
      <c r="O34" s="94"/>
      <c r="P34" s="94"/>
      <c r="Q34" s="94"/>
      <c r="R34" s="94"/>
      <c r="S34" s="94"/>
      <c r="T34" s="94"/>
      <c r="U34" s="94"/>
      <c r="V34" s="766"/>
      <c r="W34" s="766">
        <v>47.73</v>
      </c>
      <c r="X34" s="766">
        <v>47.93</v>
      </c>
      <c r="Y34" s="766">
        <v>48.14</v>
      </c>
      <c r="Z34" s="766">
        <v>48.39</v>
      </c>
      <c r="AA34" s="766">
        <v>48.54</v>
      </c>
      <c r="AB34" s="766">
        <v>48.75</v>
      </c>
      <c r="AC34" s="766">
        <v>48.99</v>
      </c>
      <c r="AD34" s="766">
        <v>49.11</v>
      </c>
      <c r="AE34" s="766">
        <v>49.34</v>
      </c>
      <c r="AF34" s="766">
        <v>49.54</v>
      </c>
      <c r="AG34" s="766">
        <v>49.73</v>
      </c>
      <c r="AH34" s="766">
        <v>49.91</v>
      </c>
      <c r="AI34" s="766">
        <v>50.1</v>
      </c>
      <c r="AJ34" s="766">
        <v>50.38</v>
      </c>
      <c r="AK34" s="766">
        <v>50.64</v>
      </c>
      <c r="AL34" s="766">
        <v>50.93</v>
      </c>
      <c r="AM34" s="766">
        <v>51.2</v>
      </c>
      <c r="AN34" s="766">
        <v>51.41</v>
      </c>
      <c r="AO34" s="766">
        <v>51.58</v>
      </c>
      <c r="AP34" s="766">
        <v>51.72</v>
      </c>
      <c r="AQ34" s="766">
        <v>51.78</v>
      </c>
      <c r="AR34" s="766">
        <v>51.85</v>
      </c>
      <c r="AS34" s="766">
        <v>51.91</v>
      </c>
      <c r="AT34" s="766">
        <v>51.9</v>
      </c>
      <c r="AU34" s="766">
        <v>51.98</v>
      </c>
      <c r="AV34" s="766">
        <v>52.05</v>
      </c>
      <c r="AW34" s="766">
        <v>52.29</v>
      </c>
      <c r="AX34" s="766">
        <v>52.35</v>
      </c>
      <c r="AY34" s="766">
        <v>52.52</v>
      </c>
      <c r="AZ34" s="766">
        <v>52.65</v>
      </c>
      <c r="BA34" s="766">
        <v>52.79</v>
      </c>
      <c r="BB34" s="766">
        <v>52.92</v>
      </c>
      <c r="BC34" s="766">
        <v>53.03</v>
      </c>
      <c r="BD34" s="766">
        <v>53.15</v>
      </c>
      <c r="BE34" s="766">
        <v>53.28</v>
      </c>
      <c r="BF34" s="766">
        <v>53.42</v>
      </c>
      <c r="BG34" s="766">
        <v>53.58</v>
      </c>
      <c r="BH34" s="766">
        <v>53.77</v>
      </c>
      <c r="BI34" s="766">
        <v>53.91</v>
      </c>
      <c r="BJ34" s="766">
        <v>54.06</v>
      </c>
      <c r="BK34" s="766">
        <v>54.22</v>
      </c>
      <c r="BL34" s="766">
        <v>54.4</v>
      </c>
      <c r="BM34" s="766">
        <v>54.6</v>
      </c>
      <c r="BN34" s="766">
        <v>54.76</v>
      </c>
      <c r="BO34" s="766">
        <v>54.9</v>
      </c>
      <c r="BP34" s="766">
        <v>55.07</v>
      </c>
      <c r="BQ34" s="766">
        <v>55.22</v>
      </c>
      <c r="BR34" s="766">
        <v>55.36</v>
      </c>
      <c r="BS34" s="766">
        <v>55.52</v>
      </c>
      <c r="BT34" s="766">
        <v>55.66</v>
      </c>
      <c r="BU34" s="766">
        <v>55.8</v>
      </c>
      <c r="BV34" s="766">
        <v>55.93</v>
      </c>
      <c r="BW34" s="766">
        <v>56.08</v>
      </c>
      <c r="BX34" s="766">
        <v>56.2</v>
      </c>
      <c r="BY34" s="766">
        <v>56.34</v>
      </c>
      <c r="BZ34" s="766">
        <v>56.47</v>
      </c>
      <c r="CA34" s="766">
        <v>56.6</v>
      </c>
      <c r="CB34" s="766">
        <v>56.74</v>
      </c>
      <c r="CC34" s="766">
        <v>56.87</v>
      </c>
      <c r="CD34" s="766">
        <v>57</v>
      </c>
      <c r="CE34" s="766">
        <v>57.13</v>
      </c>
      <c r="CF34" s="766">
        <v>57.25</v>
      </c>
      <c r="CG34" s="766">
        <v>57.38</v>
      </c>
      <c r="CH34" s="766">
        <v>57.51</v>
      </c>
      <c r="CI34" s="766">
        <v>57.64</v>
      </c>
      <c r="CJ34" s="766">
        <v>57.77</v>
      </c>
      <c r="CK34" s="766">
        <v>57.9</v>
      </c>
      <c r="CL34" s="766">
        <v>58.02</v>
      </c>
      <c r="CM34" s="766">
        <v>58.15</v>
      </c>
      <c r="CN34" s="766">
        <v>58.27</v>
      </c>
      <c r="CO34" s="766">
        <v>58.39</v>
      </c>
      <c r="CP34" s="766">
        <v>58.52</v>
      </c>
      <c r="CQ34" s="766">
        <v>58.64</v>
      </c>
      <c r="CR34" s="766">
        <v>58.76</v>
      </c>
      <c r="CS34" s="766">
        <v>58.88</v>
      </c>
      <c r="CT34" s="766">
        <v>59</v>
      </c>
      <c r="CU34" s="766">
        <v>59.11</v>
      </c>
      <c r="CV34" s="766">
        <v>59.23</v>
      </c>
      <c r="CW34" s="766">
        <v>59.35</v>
      </c>
      <c r="CX34" s="766">
        <v>59.46</v>
      </c>
      <c r="CY34" s="766">
        <v>59.57</v>
      </c>
      <c r="CZ34" s="766">
        <v>59.69</v>
      </c>
      <c r="DA34" s="766">
        <v>59.8</v>
      </c>
      <c r="DB34" s="766">
        <v>59.91</v>
      </c>
      <c r="DC34" s="766">
        <v>60.02</v>
      </c>
      <c r="DD34" s="766">
        <v>60.13</v>
      </c>
      <c r="DE34" s="766">
        <v>60.23</v>
      </c>
      <c r="DF34" s="766">
        <v>60.34</v>
      </c>
      <c r="DG34" s="766">
        <v>60.45</v>
      </c>
      <c r="DH34" s="766">
        <v>60.55</v>
      </c>
      <c r="DI34" s="766">
        <v>60.66</v>
      </c>
      <c r="DJ34" s="766">
        <v>60.76</v>
      </c>
      <c r="DK34" s="766">
        <v>60.86</v>
      </c>
      <c r="DL34" s="766">
        <v>60.96</v>
      </c>
      <c r="DM34" s="766">
        <v>61.06</v>
      </c>
      <c r="DN34" s="766">
        <v>61.16</v>
      </c>
      <c r="DO34" s="766">
        <v>61.26</v>
      </c>
      <c r="DP34" s="766">
        <v>61.36</v>
      </c>
      <c r="DQ34" s="766">
        <v>61.46</v>
      </c>
      <c r="DR34" s="766">
        <v>61.55</v>
      </c>
    </row>
    <row r="35" spans="1:122">
      <c r="A35" s="950">
        <v>33</v>
      </c>
      <c r="B35" s="94"/>
      <c r="C35" s="94"/>
      <c r="D35" s="94"/>
      <c r="E35" s="94"/>
      <c r="F35" s="94"/>
      <c r="G35" s="94"/>
      <c r="H35" s="94"/>
      <c r="I35" s="94"/>
      <c r="J35" s="94"/>
      <c r="K35" s="94"/>
      <c r="L35" s="94"/>
      <c r="M35" s="94"/>
      <c r="N35" s="94"/>
      <c r="O35" s="94"/>
      <c r="P35" s="94"/>
      <c r="Q35" s="94"/>
      <c r="R35" s="94"/>
      <c r="S35" s="94"/>
      <c r="T35" s="94"/>
      <c r="U35" s="94"/>
      <c r="V35" s="766"/>
      <c r="W35" s="766">
        <v>46.8</v>
      </c>
      <c r="X35" s="766">
        <v>47</v>
      </c>
      <c r="Y35" s="766">
        <v>47.21</v>
      </c>
      <c r="Z35" s="766">
        <v>47.45</v>
      </c>
      <c r="AA35" s="766">
        <v>47.6</v>
      </c>
      <c r="AB35" s="766">
        <v>47.81</v>
      </c>
      <c r="AC35" s="766">
        <v>48.04</v>
      </c>
      <c r="AD35" s="766">
        <v>48.16</v>
      </c>
      <c r="AE35" s="766">
        <v>48.39</v>
      </c>
      <c r="AF35" s="766">
        <v>48.59</v>
      </c>
      <c r="AG35" s="766">
        <v>48.78</v>
      </c>
      <c r="AH35" s="766">
        <v>48.96</v>
      </c>
      <c r="AI35" s="766">
        <v>49.15</v>
      </c>
      <c r="AJ35" s="766">
        <v>49.43</v>
      </c>
      <c r="AK35" s="766">
        <v>49.69</v>
      </c>
      <c r="AL35" s="766">
        <v>49.98</v>
      </c>
      <c r="AM35" s="766">
        <v>50.25</v>
      </c>
      <c r="AN35" s="766">
        <v>50.45</v>
      </c>
      <c r="AO35" s="766">
        <v>50.62</v>
      </c>
      <c r="AP35" s="766">
        <v>50.76</v>
      </c>
      <c r="AQ35" s="766">
        <v>50.83</v>
      </c>
      <c r="AR35" s="766">
        <v>50.9</v>
      </c>
      <c r="AS35" s="766">
        <v>50.95</v>
      </c>
      <c r="AT35" s="766">
        <v>50.94</v>
      </c>
      <c r="AU35" s="766">
        <v>51.02</v>
      </c>
      <c r="AV35" s="766">
        <v>51.09</v>
      </c>
      <c r="AW35" s="766">
        <v>51.33</v>
      </c>
      <c r="AX35" s="766">
        <v>51.4</v>
      </c>
      <c r="AY35" s="766">
        <v>51.56</v>
      </c>
      <c r="AZ35" s="766">
        <v>51.69</v>
      </c>
      <c r="BA35" s="766">
        <v>51.82</v>
      </c>
      <c r="BB35" s="766">
        <v>51.95</v>
      </c>
      <c r="BC35" s="766">
        <v>52.06</v>
      </c>
      <c r="BD35" s="766">
        <v>52.18</v>
      </c>
      <c r="BE35" s="766">
        <v>52.31</v>
      </c>
      <c r="BF35" s="766">
        <v>52.46</v>
      </c>
      <c r="BG35" s="766">
        <v>52.62</v>
      </c>
      <c r="BH35" s="766">
        <v>52.8</v>
      </c>
      <c r="BI35" s="766">
        <v>52.94</v>
      </c>
      <c r="BJ35" s="766">
        <v>53.09</v>
      </c>
      <c r="BK35" s="766">
        <v>53.26</v>
      </c>
      <c r="BL35" s="766">
        <v>53.43</v>
      </c>
      <c r="BM35" s="766">
        <v>53.63</v>
      </c>
      <c r="BN35" s="766">
        <v>53.79</v>
      </c>
      <c r="BO35" s="766">
        <v>53.93</v>
      </c>
      <c r="BP35" s="766">
        <v>54.09</v>
      </c>
      <c r="BQ35" s="766">
        <v>54.24</v>
      </c>
      <c r="BR35" s="766">
        <v>54.38</v>
      </c>
      <c r="BS35" s="766">
        <v>54.54</v>
      </c>
      <c r="BT35" s="766">
        <v>54.68</v>
      </c>
      <c r="BU35" s="766">
        <v>54.82</v>
      </c>
      <c r="BV35" s="766">
        <v>54.95</v>
      </c>
      <c r="BW35" s="766">
        <v>55.1</v>
      </c>
      <c r="BX35" s="766">
        <v>55.22</v>
      </c>
      <c r="BY35" s="766">
        <v>55.36</v>
      </c>
      <c r="BZ35" s="766">
        <v>55.49</v>
      </c>
      <c r="CA35" s="766">
        <v>55.62</v>
      </c>
      <c r="CB35" s="766">
        <v>55.76</v>
      </c>
      <c r="CC35" s="766">
        <v>55.89</v>
      </c>
      <c r="CD35" s="766">
        <v>56.02</v>
      </c>
      <c r="CE35" s="766">
        <v>56.15</v>
      </c>
      <c r="CF35" s="766">
        <v>56.27</v>
      </c>
      <c r="CG35" s="766">
        <v>56.4</v>
      </c>
      <c r="CH35" s="766">
        <v>56.53</v>
      </c>
      <c r="CI35" s="766">
        <v>56.66</v>
      </c>
      <c r="CJ35" s="766">
        <v>56.79</v>
      </c>
      <c r="CK35" s="766">
        <v>56.91</v>
      </c>
      <c r="CL35" s="766">
        <v>57.04</v>
      </c>
      <c r="CM35" s="766">
        <v>57.16</v>
      </c>
      <c r="CN35" s="766">
        <v>57.29</v>
      </c>
      <c r="CO35" s="766">
        <v>57.41</v>
      </c>
      <c r="CP35" s="766">
        <v>57.53</v>
      </c>
      <c r="CQ35" s="766">
        <v>57.65</v>
      </c>
      <c r="CR35" s="766">
        <v>57.77</v>
      </c>
      <c r="CS35" s="766">
        <v>57.89</v>
      </c>
      <c r="CT35" s="766">
        <v>58.01</v>
      </c>
      <c r="CU35" s="766">
        <v>58.13</v>
      </c>
      <c r="CV35" s="766">
        <v>58.24</v>
      </c>
      <c r="CW35" s="766">
        <v>58.36</v>
      </c>
      <c r="CX35" s="766">
        <v>58.47</v>
      </c>
      <c r="CY35" s="766">
        <v>58.59</v>
      </c>
      <c r="CZ35" s="766">
        <v>58.7</v>
      </c>
      <c r="DA35" s="766">
        <v>58.81</v>
      </c>
      <c r="DB35" s="766">
        <v>58.92</v>
      </c>
      <c r="DC35" s="766">
        <v>59.03</v>
      </c>
      <c r="DD35" s="766">
        <v>59.14</v>
      </c>
      <c r="DE35" s="766">
        <v>59.25</v>
      </c>
      <c r="DF35" s="766">
        <v>59.35</v>
      </c>
      <c r="DG35" s="766">
        <v>59.46</v>
      </c>
      <c r="DH35" s="766">
        <v>59.56</v>
      </c>
      <c r="DI35" s="766">
        <v>59.67</v>
      </c>
      <c r="DJ35" s="766">
        <v>59.77</v>
      </c>
      <c r="DK35" s="766">
        <v>59.87</v>
      </c>
      <c r="DL35" s="766">
        <v>59.97</v>
      </c>
      <c r="DM35" s="766">
        <v>60.07</v>
      </c>
      <c r="DN35" s="766">
        <v>60.17</v>
      </c>
      <c r="DO35" s="766">
        <v>60.27</v>
      </c>
      <c r="DP35" s="766">
        <v>60.37</v>
      </c>
      <c r="DQ35" s="766">
        <v>60.47</v>
      </c>
      <c r="DR35" s="766">
        <v>60.56</v>
      </c>
    </row>
    <row r="36" spans="1:122">
      <c r="A36" s="950">
        <v>34</v>
      </c>
      <c r="B36" s="94"/>
      <c r="C36" s="94"/>
      <c r="D36" s="94"/>
      <c r="E36" s="94"/>
      <c r="F36" s="94"/>
      <c r="G36" s="94"/>
      <c r="H36" s="94"/>
      <c r="I36" s="94"/>
      <c r="J36" s="94"/>
      <c r="K36" s="94"/>
      <c r="L36" s="94"/>
      <c r="M36" s="94"/>
      <c r="N36" s="94"/>
      <c r="O36" s="94"/>
      <c r="P36" s="94"/>
      <c r="Q36" s="94"/>
      <c r="R36" s="94"/>
      <c r="S36" s="94"/>
      <c r="T36" s="94"/>
      <c r="U36" s="94"/>
      <c r="V36" s="766"/>
      <c r="W36" s="766">
        <v>45.86</v>
      </c>
      <c r="X36" s="766">
        <v>46.07</v>
      </c>
      <c r="Y36" s="766">
        <v>46.27</v>
      </c>
      <c r="Z36" s="766">
        <v>46.51</v>
      </c>
      <c r="AA36" s="766">
        <v>46.66</v>
      </c>
      <c r="AB36" s="766">
        <v>46.87</v>
      </c>
      <c r="AC36" s="766">
        <v>47.1</v>
      </c>
      <c r="AD36" s="766">
        <v>47.22</v>
      </c>
      <c r="AE36" s="766">
        <v>47.45</v>
      </c>
      <c r="AF36" s="766">
        <v>47.64</v>
      </c>
      <c r="AG36" s="766">
        <v>47.83</v>
      </c>
      <c r="AH36" s="766">
        <v>48.01</v>
      </c>
      <c r="AI36" s="766">
        <v>48.21</v>
      </c>
      <c r="AJ36" s="766">
        <v>48.48</v>
      </c>
      <c r="AK36" s="766">
        <v>48.74</v>
      </c>
      <c r="AL36" s="766">
        <v>49.03</v>
      </c>
      <c r="AM36" s="766">
        <v>49.3</v>
      </c>
      <c r="AN36" s="766">
        <v>49.5</v>
      </c>
      <c r="AO36" s="766">
        <v>49.67</v>
      </c>
      <c r="AP36" s="766">
        <v>49.81</v>
      </c>
      <c r="AQ36" s="766">
        <v>49.87</v>
      </c>
      <c r="AR36" s="766">
        <v>49.94</v>
      </c>
      <c r="AS36" s="766">
        <v>49.99</v>
      </c>
      <c r="AT36" s="766">
        <v>49.99</v>
      </c>
      <c r="AU36" s="766">
        <v>50.07</v>
      </c>
      <c r="AV36" s="766">
        <v>50.14</v>
      </c>
      <c r="AW36" s="766">
        <v>50.37</v>
      </c>
      <c r="AX36" s="766">
        <v>50.43</v>
      </c>
      <c r="AY36" s="766">
        <v>50.6</v>
      </c>
      <c r="AZ36" s="766">
        <v>50.73</v>
      </c>
      <c r="BA36" s="766">
        <v>50.86</v>
      </c>
      <c r="BB36" s="766">
        <v>50.99</v>
      </c>
      <c r="BC36" s="766">
        <v>51.1</v>
      </c>
      <c r="BD36" s="766">
        <v>51.22</v>
      </c>
      <c r="BE36" s="766">
        <v>51.35</v>
      </c>
      <c r="BF36" s="766">
        <v>51.49</v>
      </c>
      <c r="BG36" s="766">
        <v>51.66</v>
      </c>
      <c r="BH36" s="766">
        <v>51.84</v>
      </c>
      <c r="BI36" s="766">
        <v>51.98</v>
      </c>
      <c r="BJ36" s="766">
        <v>52.13</v>
      </c>
      <c r="BK36" s="766">
        <v>52.29</v>
      </c>
      <c r="BL36" s="766">
        <v>52.46</v>
      </c>
      <c r="BM36" s="766">
        <v>52.65</v>
      </c>
      <c r="BN36" s="766">
        <v>52.82</v>
      </c>
      <c r="BO36" s="766">
        <v>52.95</v>
      </c>
      <c r="BP36" s="766">
        <v>53.12</v>
      </c>
      <c r="BQ36" s="766">
        <v>53.27</v>
      </c>
      <c r="BR36" s="766">
        <v>53.4</v>
      </c>
      <c r="BS36" s="766">
        <v>53.56</v>
      </c>
      <c r="BT36" s="766">
        <v>53.7</v>
      </c>
      <c r="BU36" s="766">
        <v>53.84</v>
      </c>
      <c r="BV36" s="766">
        <v>53.97</v>
      </c>
      <c r="BW36" s="766">
        <v>54.12</v>
      </c>
      <c r="BX36" s="766">
        <v>54.24</v>
      </c>
      <c r="BY36" s="766">
        <v>54.38</v>
      </c>
      <c r="BZ36" s="766">
        <v>54.51</v>
      </c>
      <c r="CA36" s="766">
        <v>54.64</v>
      </c>
      <c r="CB36" s="766">
        <v>54.78</v>
      </c>
      <c r="CC36" s="766">
        <v>54.91</v>
      </c>
      <c r="CD36" s="766">
        <v>55.04</v>
      </c>
      <c r="CE36" s="766">
        <v>55.17</v>
      </c>
      <c r="CF36" s="766">
        <v>55.29</v>
      </c>
      <c r="CG36" s="766">
        <v>55.42</v>
      </c>
      <c r="CH36" s="766">
        <v>55.55</v>
      </c>
      <c r="CI36" s="766">
        <v>55.68</v>
      </c>
      <c r="CJ36" s="766">
        <v>55.81</v>
      </c>
      <c r="CK36" s="766">
        <v>55.93</v>
      </c>
      <c r="CL36" s="766">
        <v>56.06</v>
      </c>
      <c r="CM36" s="766">
        <v>56.18</v>
      </c>
      <c r="CN36" s="766">
        <v>56.31</v>
      </c>
      <c r="CO36" s="766">
        <v>56.43</v>
      </c>
      <c r="CP36" s="766">
        <v>56.55</v>
      </c>
      <c r="CQ36" s="766">
        <v>56.67</v>
      </c>
      <c r="CR36" s="766">
        <v>56.79</v>
      </c>
      <c r="CS36" s="766">
        <v>56.91</v>
      </c>
      <c r="CT36" s="766">
        <v>57.03</v>
      </c>
      <c r="CU36" s="766">
        <v>57.14</v>
      </c>
      <c r="CV36" s="766">
        <v>57.26</v>
      </c>
      <c r="CW36" s="766">
        <v>57.37</v>
      </c>
      <c r="CX36" s="766">
        <v>57.49</v>
      </c>
      <c r="CY36" s="766">
        <v>57.6</v>
      </c>
      <c r="CZ36" s="766">
        <v>57.71</v>
      </c>
      <c r="DA36" s="766">
        <v>57.82</v>
      </c>
      <c r="DB36" s="766">
        <v>57.93</v>
      </c>
      <c r="DC36" s="766">
        <v>58.04</v>
      </c>
      <c r="DD36" s="766">
        <v>58.15</v>
      </c>
      <c r="DE36" s="766">
        <v>58.26</v>
      </c>
      <c r="DF36" s="766">
        <v>58.36</v>
      </c>
      <c r="DG36" s="766">
        <v>58.47</v>
      </c>
      <c r="DH36" s="766">
        <v>58.57</v>
      </c>
      <c r="DI36" s="766">
        <v>58.68</v>
      </c>
      <c r="DJ36" s="766">
        <v>58.78</v>
      </c>
      <c r="DK36" s="766">
        <v>58.88</v>
      </c>
      <c r="DL36" s="766">
        <v>58.98</v>
      </c>
      <c r="DM36" s="766">
        <v>59.08</v>
      </c>
      <c r="DN36" s="766">
        <v>59.18</v>
      </c>
      <c r="DO36" s="766">
        <v>59.28</v>
      </c>
      <c r="DP36" s="766">
        <v>59.38</v>
      </c>
      <c r="DQ36" s="766">
        <v>59.48</v>
      </c>
      <c r="DR36" s="766">
        <v>59.57</v>
      </c>
    </row>
    <row r="37" spans="1:122">
      <c r="A37" s="950">
        <v>35</v>
      </c>
      <c r="B37" s="94"/>
      <c r="C37" s="94"/>
      <c r="D37" s="94"/>
      <c r="E37" s="94"/>
      <c r="F37" s="94"/>
      <c r="G37" s="94"/>
      <c r="H37" s="94"/>
      <c r="I37" s="94"/>
      <c r="J37" s="94"/>
      <c r="K37" s="94"/>
      <c r="L37" s="94"/>
      <c r="M37" s="94"/>
      <c r="N37" s="94"/>
      <c r="O37" s="94"/>
      <c r="P37" s="94"/>
      <c r="Q37" s="94"/>
      <c r="R37" s="94"/>
      <c r="S37" s="94"/>
      <c r="T37" s="94"/>
      <c r="U37" s="94"/>
      <c r="V37" s="766"/>
      <c r="W37" s="766">
        <v>44.94</v>
      </c>
      <c r="X37" s="766">
        <v>45.13</v>
      </c>
      <c r="Y37" s="766">
        <v>45.34</v>
      </c>
      <c r="Z37" s="766">
        <v>45.58</v>
      </c>
      <c r="AA37" s="766">
        <v>45.72</v>
      </c>
      <c r="AB37" s="766">
        <v>45.93</v>
      </c>
      <c r="AC37" s="766">
        <v>46.16</v>
      </c>
      <c r="AD37" s="766">
        <v>46.27</v>
      </c>
      <c r="AE37" s="766">
        <v>46.51</v>
      </c>
      <c r="AF37" s="766">
        <v>46.7</v>
      </c>
      <c r="AG37" s="766">
        <v>46.89</v>
      </c>
      <c r="AH37" s="766">
        <v>47.07</v>
      </c>
      <c r="AI37" s="766">
        <v>47.26</v>
      </c>
      <c r="AJ37" s="766">
        <v>47.53</v>
      </c>
      <c r="AK37" s="766">
        <v>47.79</v>
      </c>
      <c r="AL37" s="766">
        <v>48.08</v>
      </c>
      <c r="AM37" s="766">
        <v>48.35</v>
      </c>
      <c r="AN37" s="766">
        <v>48.55</v>
      </c>
      <c r="AO37" s="766">
        <v>48.72</v>
      </c>
      <c r="AP37" s="766">
        <v>48.86</v>
      </c>
      <c r="AQ37" s="766">
        <v>48.92</v>
      </c>
      <c r="AR37" s="766">
        <v>48.99</v>
      </c>
      <c r="AS37" s="766">
        <v>49.04</v>
      </c>
      <c r="AT37" s="766">
        <v>49.04</v>
      </c>
      <c r="AU37" s="766">
        <v>49.11</v>
      </c>
      <c r="AV37" s="766">
        <v>49.18</v>
      </c>
      <c r="AW37" s="766">
        <v>49.41</v>
      </c>
      <c r="AX37" s="766">
        <v>49.47</v>
      </c>
      <c r="AY37" s="766">
        <v>49.64</v>
      </c>
      <c r="AZ37" s="766">
        <v>49.76</v>
      </c>
      <c r="BA37" s="766">
        <v>49.9</v>
      </c>
      <c r="BB37" s="766">
        <v>50.02</v>
      </c>
      <c r="BC37" s="766">
        <v>50.14</v>
      </c>
      <c r="BD37" s="766">
        <v>50.25</v>
      </c>
      <c r="BE37" s="766">
        <v>50.39</v>
      </c>
      <c r="BF37" s="766">
        <v>50.53</v>
      </c>
      <c r="BG37" s="766">
        <v>50.7</v>
      </c>
      <c r="BH37" s="766">
        <v>50.88</v>
      </c>
      <c r="BI37" s="766">
        <v>51.01</v>
      </c>
      <c r="BJ37" s="766">
        <v>51.17</v>
      </c>
      <c r="BK37" s="766">
        <v>51.32</v>
      </c>
      <c r="BL37" s="766">
        <v>51.5</v>
      </c>
      <c r="BM37" s="766">
        <v>51.68</v>
      </c>
      <c r="BN37" s="766">
        <v>51.84</v>
      </c>
      <c r="BO37" s="766">
        <v>51.98</v>
      </c>
      <c r="BP37" s="766">
        <v>52.15</v>
      </c>
      <c r="BQ37" s="766">
        <v>52.29</v>
      </c>
      <c r="BR37" s="766">
        <v>52.43</v>
      </c>
      <c r="BS37" s="766">
        <v>52.59</v>
      </c>
      <c r="BT37" s="766">
        <v>52.72</v>
      </c>
      <c r="BU37" s="766">
        <v>52.86</v>
      </c>
      <c r="BV37" s="766">
        <v>52.99</v>
      </c>
      <c r="BW37" s="766">
        <v>53.14</v>
      </c>
      <c r="BX37" s="766">
        <v>53.27</v>
      </c>
      <c r="BY37" s="766">
        <v>53.4</v>
      </c>
      <c r="BZ37" s="766">
        <v>53.53</v>
      </c>
      <c r="CA37" s="766">
        <v>53.67</v>
      </c>
      <c r="CB37" s="766">
        <v>53.8</v>
      </c>
      <c r="CC37" s="766">
        <v>53.93</v>
      </c>
      <c r="CD37" s="766">
        <v>54.06</v>
      </c>
      <c r="CE37" s="766">
        <v>54.19</v>
      </c>
      <c r="CF37" s="766">
        <v>54.31</v>
      </c>
      <c r="CG37" s="766">
        <v>54.44</v>
      </c>
      <c r="CH37" s="766">
        <v>54.57</v>
      </c>
      <c r="CI37" s="766">
        <v>54.7</v>
      </c>
      <c r="CJ37" s="766">
        <v>54.83</v>
      </c>
      <c r="CK37" s="766">
        <v>54.95</v>
      </c>
      <c r="CL37" s="766">
        <v>55.08</v>
      </c>
      <c r="CM37" s="766">
        <v>55.2</v>
      </c>
      <c r="CN37" s="766">
        <v>55.33</v>
      </c>
      <c r="CO37" s="766">
        <v>55.45</v>
      </c>
      <c r="CP37" s="766">
        <v>55.57</v>
      </c>
      <c r="CQ37" s="766">
        <v>55.69</v>
      </c>
      <c r="CR37" s="766">
        <v>55.81</v>
      </c>
      <c r="CS37" s="766">
        <v>55.93</v>
      </c>
      <c r="CT37" s="766">
        <v>56.04</v>
      </c>
      <c r="CU37" s="766">
        <v>56.16</v>
      </c>
      <c r="CV37" s="766">
        <v>56.28</v>
      </c>
      <c r="CW37" s="766">
        <v>56.39</v>
      </c>
      <c r="CX37" s="766">
        <v>56.5</v>
      </c>
      <c r="CY37" s="766">
        <v>56.62</v>
      </c>
      <c r="CZ37" s="766">
        <v>56.73</v>
      </c>
      <c r="DA37" s="766">
        <v>56.84</v>
      </c>
      <c r="DB37" s="766">
        <v>56.95</v>
      </c>
      <c r="DC37" s="766">
        <v>57.06</v>
      </c>
      <c r="DD37" s="766">
        <v>57.16</v>
      </c>
      <c r="DE37" s="766">
        <v>57.27</v>
      </c>
      <c r="DF37" s="766">
        <v>57.38</v>
      </c>
      <c r="DG37" s="766">
        <v>57.48</v>
      </c>
      <c r="DH37" s="766">
        <v>57.59</v>
      </c>
      <c r="DI37" s="766">
        <v>57.69</v>
      </c>
      <c r="DJ37" s="766">
        <v>57.79</v>
      </c>
      <c r="DK37" s="766">
        <v>57.89</v>
      </c>
      <c r="DL37" s="766">
        <v>58</v>
      </c>
      <c r="DM37" s="766">
        <v>58.09</v>
      </c>
      <c r="DN37" s="766">
        <v>58.19</v>
      </c>
      <c r="DO37" s="766">
        <v>58.29</v>
      </c>
      <c r="DP37" s="766">
        <v>58.39</v>
      </c>
      <c r="DQ37" s="766">
        <v>58.49</v>
      </c>
      <c r="DR37" s="766">
        <v>58.58</v>
      </c>
    </row>
    <row r="38" spans="1:122">
      <c r="A38" s="950">
        <v>36</v>
      </c>
      <c r="B38" s="94"/>
      <c r="C38" s="94"/>
      <c r="D38" s="94"/>
      <c r="E38" s="94"/>
      <c r="F38" s="94"/>
      <c r="G38" s="94"/>
      <c r="H38" s="94"/>
      <c r="I38" s="94"/>
      <c r="J38" s="94"/>
      <c r="K38" s="94"/>
      <c r="L38" s="94"/>
      <c r="M38" s="94"/>
      <c r="N38" s="94"/>
      <c r="O38" s="94"/>
      <c r="P38" s="94"/>
      <c r="Q38" s="94"/>
      <c r="R38" s="94"/>
      <c r="S38" s="94"/>
      <c r="T38" s="94"/>
      <c r="U38" s="94"/>
      <c r="V38" s="766"/>
      <c r="W38" s="766">
        <v>44</v>
      </c>
      <c r="X38" s="766">
        <v>44.2</v>
      </c>
      <c r="Y38" s="766">
        <v>44.4</v>
      </c>
      <c r="Z38" s="766">
        <v>44.64</v>
      </c>
      <c r="AA38" s="766">
        <v>44.79</v>
      </c>
      <c r="AB38" s="766">
        <v>45</v>
      </c>
      <c r="AC38" s="766">
        <v>45.22</v>
      </c>
      <c r="AD38" s="766">
        <v>45.33</v>
      </c>
      <c r="AE38" s="766">
        <v>45.57</v>
      </c>
      <c r="AF38" s="766">
        <v>45.76</v>
      </c>
      <c r="AG38" s="766">
        <v>45.94</v>
      </c>
      <c r="AH38" s="766">
        <v>46.13</v>
      </c>
      <c r="AI38" s="766">
        <v>46.31</v>
      </c>
      <c r="AJ38" s="766">
        <v>46.59</v>
      </c>
      <c r="AK38" s="766">
        <v>46.85</v>
      </c>
      <c r="AL38" s="766">
        <v>47.13</v>
      </c>
      <c r="AM38" s="766">
        <v>47.39</v>
      </c>
      <c r="AN38" s="766">
        <v>47.6</v>
      </c>
      <c r="AO38" s="766">
        <v>47.77</v>
      </c>
      <c r="AP38" s="766">
        <v>47.91</v>
      </c>
      <c r="AQ38" s="766">
        <v>47.97</v>
      </c>
      <c r="AR38" s="766">
        <v>48.04</v>
      </c>
      <c r="AS38" s="766">
        <v>48.09</v>
      </c>
      <c r="AT38" s="766">
        <v>48.09</v>
      </c>
      <c r="AU38" s="766">
        <v>48.16</v>
      </c>
      <c r="AV38" s="766">
        <v>48.23</v>
      </c>
      <c r="AW38" s="766">
        <v>48.46</v>
      </c>
      <c r="AX38" s="766">
        <v>48.52</v>
      </c>
      <c r="AY38" s="766">
        <v>48.69</v>
      </c>
      <c r="AZ38" s="766">
        <v>48.8</v>
      </c>
      <c r="BA38" s="766">
        <v>48.94</v>
      </c>
      <c r="BB38" s="766">
        <v>49.06</v>
      </c>
      <c r="BC38" s="766">
        <v>49.18</v>
      </c>
      <c r="BD38" s="766">
        <v>49.29</v>
      </c>
      <c r="BE38" s="766">
        <v>49.43</v>
      </c>
      <c r="BF38" s="766">
        <v>49.57</v>
      </c>
      <c r="BG38" s="766">
        <v>49.74</v>
      </c>
      <c r="BH38" s="766">
        <v>49.91</v>
      </c>
      <c r="BI38" s="766">
        <v>50.05</v>
      </c>
      <c r="BJ38" s="766">
        <v>50.21</v>
      </c>
      <c r="BK38" s="766">
        <v>50.36</v>
      </c>
      <c r="BL38" s="766">
        <v>50.53</v>
      </c>
      <c r="BM38" s="766">
        <v>50.72</v>
      </c>
      <c r="BN38" s="766">
        <v>50.87</v>
      </c>
      <c r="BO38" s="766">
        <v>51.01</v>
      </c>
      <c r="BP38" s="766">
        <v>51.18</v>
      </c>
      <c r="BQ38" s="766">
        <v>51.32</v>
      </c>
      <c r="BR38" s="766">
        <v>51.45</v>
      </c>
      <c r="BS38" s="766">
        <v>51.61</v>
      </c>
      <c r="BT38" s="766">
        <v>51.75</v>
      </c>
      <c r="BU38" s="766">
        <v>51.88</v>
      </c>
      <c r="BV38" s="766">
        <v>52.01</v>
      </c>
      <c r="BW38" s="766">
        <v>52.16</v>
      </c>
      <c r="BX38" s="766">
        <v>52.29</v>
      </c>
      <c r="BY38" s="766">
        <v>52.42</v>
      </c>
      <c r="BZ38" s="766">
        <v>52.56</v>
      </c>
      <c r="CA38" s="766">
        <v>52.69</v>
      </c>
      <c r="CB38" s="766">
        <v>52.82</v>
      </c>
      <c r="CC38" s="766">
        <v>52.95</v>
      </c>
      <c r="CD38" s="766">
        <v>53.08</v>
      </c>
      <c r="CE38" s="766">
        <v>53.21</v>
      </c>
      <c r="CF38" s="766">
        <v>53.34</v>
      </c>
      <c r="CG38" s="766">
        <v>53.47</v>
      </c>
      <c r="CH38" s="766">
        <v>53.6</v>
      </c>
      <c r="CI38" s="766">
        <v>53.72</v>
      </c>
      <c r="CJ38" s="766">
        <v>53.85</v>
      </c>
      <c r="CK38" s="766">
        <v>53.98</v>
      </c>
      <c r="CL38" s="766">
        <v>54.1</v>
      </c>
      <c r="CM38" s="766">
        <v>54.22</v>
      </c>
      <c r="CN38" s="766">
        <v>54.35</v>
      </c>
      <c r="CO38" s="766">
        <v>54.47</v>
      </c>
      <c r="CP38" s="766">
        <v>54.59</v>
      </c>
      <c r="CQ38" s="766">
        <v>54.71</v>
      </c>
      <c r="CR38" s="766">
        <v>54.83</v>
      </c>
      <c r="CS38" s="766">
        <v>54.95</v>
      </c>
      <c r="CT38" s="766">
        <v>55.06</v>
      </c>
      <c r="CU38" s="766">
        <v>55.18</v>
      </c>
      <c r="CV38" s="766">
        <v>55.29</v>
      </c>
      <c r="CW38" s="766">
        <v>55.41</v>
      </c>
      <c r="CX38" s="766">
        <v>55.52</v>
      </c>
      <c r="CY38" s="766">
        <v>55.63</v>
      </c>
      <c r="CZ38" s="766">
        <v>55.74</v>
      </c>
      <c r="DA38" s="766">
        <v>55.85</v>
      </c>
      <c r="DB38" s="766">
        <v>55.96</v>
      </c>
      <c r="DC38" s="766">
        <v>56.07</v>
      </c>
      <c r="DD38" s="766">
        <v>56.18</v>
      </c>
      <c r="DE38" s="766">
        <v>56.29</v>
      </c>
      <c r="DF38" s="766">
        <v>56.39</v>
      </c>
      <c r="DG38" s="766">
        <v>56.5</v>
      </c>
      <c r="DH38" s="766">
        <v>56.6</v>
      </c>
      <c r="DI38" s="766">
        <v>56.7</v>
      </c>
      <c r="DJ38" s="766">
        <v>56.81</v>
      </c>
      <c r="DK38" s="766">
        <v>56.91</v>
      </c>
      <c r="DL38" s="766">
        <v>57.01</v>
      </c>
      <c r="DM38" s="766">
        <v>57.11</v>
      </c>
      <c r="DN38" s="766">
        <v>57.21</v>
      </c>
      <c r="DO38" s="766">
        <v>57.3</v>
      </c>
      <c r="DP38" s="766">
        <v>57.4</v>
      </c>
      <c r="DQ38" s="766">
        <v>57.5</v>
      </c>
      <c r="DR38" s="766">
        <v>57.59</v>
      </c>
    </row>
    <row r="39" spans="1:122">
      <c r="A39" s="950">
        <v>37</v>
      </c>
      <c r="B39" s="94"/>
      <c r="C39" s="94"/>
      <c r="D39" s="94"/>
      <c r="E39" s="94"/>
      <c r="F39" s="94"/>
      <c r="G39" s="94"/>
      <c r="H39" s="94"/>
      <c r="I39" s="94"/>
      <c r="J39" s="94"/>
      <c r="K39" s="94"/>
      <c r="L39" s="94"/>
      <c r="M39" s="94"/>
      <c r="N39" s="94"/>
      <c r="O39" s="94"/>
      <c r="P39" s="94"/>
      <c r="Q39" s="94"/>
      <c r="R39" s="94"/>
      <c r="S39" s="94"/>
      <c r="T39" s="94"/>
      <c r="U39" s="94"/>
      <c r="V39" s="766"/>
      <c r="W39" s="766">
        <v>43.07</v>
      </c>
      <c r="X39" s="766">
        <v>43.27</v>
      </c>
      <c r="Y39" s="766">
        <v>43.47</v>
      </c>
      <c r="Z39" s="766">
        <v>43.71</v>
      </c>
      <c r="AA39" s="766">
        <v>43.85</v>
      </c>
      <c r="AB39" s="766">
        <v>44.06</v>
      </c>
      <c r="AC39" s="766">
        <v>44.28</v>
      </c>
      <c r="AD39" s="766">
        <v>44.4</v>
      </c>
      <c r="AE39" s="766">
        <v>44.62</v>
      </c>
      <c r="AF39" s="766">
        <v>44.82</v>
      </c>
      <c r="AG39" s="766">
        <v>45</v>
      </c>
      <c r="AH39" s="766">
        <v>45.18</v>
      </c>
      <c r="AI39" s="766">
        <v>45.38</v>
      </c>
      <c r="AJ39" s="766">
        <v>45.65</v>
      </c>
      <c r="AK39" s="766">
        <v>45.9</v>
      </c>
      <c r="AL39" s="766">
        <v>46.19</v>
      </c>
      <c r="AM39" s="766">
        <v>46.45</v>
      </c>
      <c r="AN39" s="766">
        <v>46.66</v>
      </c>
      <c r="AO39" s="766">
        <v>46.83</v>
      </c>
      <c r="AP39" s="766">
        <v>46.96</v>
      </c>
      <c r="AQ39" s="766">
        <v>47.02</v>
      </c>
      <c r="AR39" s="766">
        <v>47.09</v>
      </c>
      <c r="AS39" s="766">
        <v>47.14</v>
      </c>
      <c r="AT39" s="766">
        <v>47.14</v>
      </c>
      <c r="AU39" s="766">
        <v>47.21</v>
      </c>
      <c r="AV39" s="766">
        <v>47.28</v>
      </c>
      <c r="AW39" s="766">
        <v>47.51</v>
      </c>
      <c r="AX39" s="766">
        <v>47.57</v>
      </c>
      <c r="AY39" s="766">
        <v>47.73</v>
      </c>
      <c r="AZ39" s="766">
        <v>47.84</v>
      </c>
      <c r="BA39" s="766">
        <v>47.98</v>
      </c>
      <c r="BB39" s="766">
        <v>48.11</v>
      </c>
      <c r="BC39" s="766">
        <v>48.22</v>
      </c>
      <c r="BD39" s="766">
        <v>48.34</v>
      </c>
      <c r="BE39" s="766">
        <v>48.48</v>
      </c>
      <c r="BF39" s="766">
        <v>48.61</v>
      </c>
      <c r="BG39" s="766">
        <v>48.78</v>
      </c>
      <c r="BH39" s="766">
        <v>48.95</v>
      </c>
      <c r="BI39" s="766">
        <v>49.09</v>
      </c>
      <c r="BJ39" s="766">
        <v>49.24</v>
      </c>
      <c r="BK39" s="766">
        <v>49.4</v>
      </c>
      <c r="BL39" s="766">
        <v>49.57</v>
      </c>
      <c r="BM39" s="766">
        <v>49.75</v>
      </c>
      <c r="BN39" s="766">
        <v>49.91</v>
      </c>
      <c r="BO39" s="766">
        <v>50.04</v>
      </c>
      <c r="BP39" s="766">
        <v>50.21</v>
      </c>
      <c r="BQ39" s="766">
        <v>50.35</v>
      </c>
      <c r="BR39" s="766">
        <v>50.48</v>
      </c>
      <c r="BS39" s="766">
        <v>50.64</v>
      </c>
      <c r="BT39" s="766">
        <v>50.77</v>
      </c>
      <c r="BU39" s="766">
        <v>50.91</v>
      </c>
      <c r="BV39" s="766">
        <v>51.04</v>
      </c>
      <c r="BW39" s="766">
        <v>51.19</v>
      </c>
      <c r="BX39" s="766">
        <v>51.31</v>
      </c>
      <c r="BY39" s="766">
        <v>51.44</v>
      </c>
      <c r="BZ39" s="766">
        <v>51.58</v>
      </c>
      <c r="CA39" s="766">
        <v>51.71</v>
      </c>
      <c r="CB39" s="766">
        <v>51.84</v>
      </c>
      <c r="CC39" s="766">
        <v>51.97</v>
      </c>
      <c r="CD39" s="766">
        <v>52.11</v>
      </c>
      <c r="CE39" s="766">
        <v>52.23</v>
      </c>
      <c r="CF39" s="766">
        <v>52.36</v>
      </c>
      <c r="CG39" s="766">
        <v>52.49</v>
      </c>
      <c r="CH39" s="766">
        <v>52.62</v>
      </c>
      <c r="CI39" s="766">
        <v>52.75</v>
      </c>
      <c r="CJ39" s="766">
        <v>52.87</v>
      </c>
      <c r="CK39" s="766">
        <v>53</v>
      </c>
      <c r="CL39" s="766">
        <v>53.12</v>
      </c>
      <c r="CM39" s="766">
        <v>53.25</v>
      </c>
      <c r="CN39" s="766">
        <v>53.37</v>
      </c>
      <c r="CO39" s="766">
        <v>53.49</v>
      </c>
      <c r="CP39" s="766">
        <v>53.61</v>
      </c>
      <c r="CQ39" s="766">
        <v>53.73</v>
      </c>
      <c r="CR39" s="766">
        <v>53.85</v>
      </c>
      <c r="CS39" s="766">
        <v>53.96</v>
      </c>
      <c r="CT39" s="766">
        <v>54.08</v>
      </c>
      <c r="CU39" s="766">
        <v>54.2</v>
      </c>
      <c r="CV39" s="766">
        <v>54.31</v>
      </c>
      <c r="CW39" s="766">
        <v>54.42</v>
      </c>
      <c r="CX39" s="766">
        <v>54.54</v>
      </c>
      <c r="CY39" s="766">
        <v>54.65</v>
      </c>
      <c r="CZ39" s="766">
        <v>54.76</v>
      </c>
      <c r="DA39" s="766">
        <v>54.87</v>
      </c>
      <c r="DB39" s="766">
        <v>54.98</v>
      </c>
      <c r="DC39" s="766">
        <v>55.09</v>
      </c>
      <c r="DD39" s="766">
        <v>55.19</v>
      </c>
      <c r="DE39" s="766">
        <v>55.3</v>
      </c>
      <c r="DF39" s="766">
        <v>55.41</v>
      </c>
      <c r="DG39" s="766">
        <v>55.51</v>
      </c>
      <c r="DH39" s="766">
        <v>55.61</v>
      </c>
      <c r="DI39" s="766">
        <v>55.72</v>
      </c>
      <c r="DJ39" s="766">
        <v>55.82</v>
      </c>
      <c r="DK39" s="766">
        <v>55.92</v>
      </c>
      <c r="DL39" s="766">
        <v>56.02</v>
      </c>
      <c r="DM39" s="766">
        <v>56.12</v>
      </c>
      <c r="DN39" s="766">
        <v>56.22</v>
      </c>
      <c r="DO39" s="766">
        <v>56.31</v>
      </c>
      <c r="DP39" s="766">
        <v>56.41</v>
      </c>
      <c r="DQ39" s="766">
        <v>56.51</v>
      </c>
      <c r="DR39" s="766">
        <v>56.6</v>
      </c>
    </row>
    <row r="40" spans="1:122">
      <c r="A40" s="950">
        <v>38</v>
      </c>
      <c r="B40" s="94"/>
      <c r="C40" s="94"/>
      <c r="D40" s="94"/>
      <c r="E40" s="94"/>
      <c r="F40" s="94"/>
      <c r="G40" s="94"/>
      <c r="H40" s="94"/>
      <c r="I40" s="94"/>
      <c r="J40" s="94"/>
      <c r="K40" s="94"/>
      <c r="L40" s="94"/>
      <c r="M40" s="94"/>
      <c r="N40" s="94"/>
      <c r="O40" s="94"/>
      <c r="P40" s="94"/>
      <c r="Q40" s="94"/>
      <c r="R40" s="94"/>
      <c r="S40" s="94"/>
      <c r="T40" s="94"/>
      <c r="U40" s="94"/>
      <c r="V40" s="766"/>
      <c r="W40" s="766">
        <v>42.15</v>
      </c>
      <c r="X40" s="766">
        <v>42.34</v>
      </c>
      <c r="Y40" s="766">
        <v>42.55</v>
      </c>
      <c r="Z40" s="766">
        <v>42.78</v>
      </c>
      <c r="AA40" s="766">
        <v>42.92</v>
      </c>
      <c r="AB40" s="766">
        <v>43.12</v>
      </c>
      <c r="AC40" s="766">
        <v>43.35</v>
      </c>
      <c r="AD40" s="766">
        <v>43.47</v>
      </c>
      <c r="AE40" s="766">
        <v>43.69</v>
      </c>
      <c r="AF40" s="766">
        <v>43.88</v>
      </c>
      <c r="AG40" s="766">
        <v>44.07</v>
      </c>
      <c r="AH40" s="766">
        <v>44.25</v>
      </c>
      <c r="AI40" s="766">
        <v>44.44</v>
      </c>
      <c r="AJ40" s="766">
        <v>44.71</v>
      </c>
      <c r="AK40" s="766">
        <v>44.97</v>
      </c>
      <c r="AL40" s="766">
        <v>45.25</v>
      </c>
      <c r="AM40" s="766">
        <v>45.5</v>
      </c>
      <c r="AN40" s="766">
        <v>45.71</v>
      </c>
      <c r="AO40" s="766">
        <v>45.88</v>
      </c>
      <c r="AP40" s="766">
        <v>46.01</v>
      </c>
      <c r="AQ40" s="766">
        <v>46.07</v>
      </c>
      <c r="AR40" s="766">
        <v>46.15</v>
      </c>
      <c r="AS40" s="766">
        <v>46.2</v>
      </c>
      <c r="AT40" s="766">
        <v>46.19</v>
      </c>
      <c r="AU40" s="766">
        <v>46.26</v>
      </c>
      <c r="AV40" s="766">
        <v>46.33</v>
      </c>
      <c r="AW40" s="766">
        <v>46.56</v>
      </c>
      <c r="AX40" s="766">
        <v>46.61</v>
      </c>
      <c r="AY40" s="766">
        <v>46.78</v>
      </c>
      <c r="AZ40" s="766">
        <v>46.89</v>
      </c>
      <c r="BA40" s="766">
        <v>47.03</v>
      </c>
      <c r="BB40" s="766">
        <v>47.15</v>
      </c>
      <c r="BC40" s="766">
        <v>47.27</v>
      </c>
      <c r="BD40" s="766">
        <v>47.39</v>
      </c>
      <c r="BE40" s="766">
        <v>47.52</v>
      </c>
      <c r="BF40" s="766">
        <v>47.66</v>
      </c>
      <c r="BG40" s="766">
        <v>47.82</v>
      </c>
      <c r="BH40" s="766">
        <v>47.99</v>
      </c>
      <c r="BI40" s="766">
        <v>48.13</v>
      </c>
      <c r="BJ40" s="766">
        <v>48.28</v>
      </c>
      <c r="BK40" s="766">
        <v>48.44</v>
      </c>
      <c r="BL40" s="766">
        <v>48.6</v>
      </c>
      <c r="BM40" s="766">
        <v>48.78</v>
      </c>
      <c r="BN40" s="766">
        <v>48.94</v>
      </c>
      <c r="BO40" s="766">
        <v>49.07</v>
      </c>
      <c r="BP40" s="766">
        <v>49.24</v>
      </c>
      <c r="BQ40" s="766">
        <v>49.38</v>
      </c>
      <c r="BR40" s="766">
        <v>49.51</v>
      </c>
      <c r="BS40" s="766">
        <v>49.67</v>
      </c>
      <c r="BT40" s="766">
        <v>49.8</v>
      </c>
      <c r="BU40" s="766">
        <v>49.93</v>
      </c>
      <c r="BV40" s="766">
        <v>50.06</v>
      </c>
      <c r="BW40" s="766">
        <v>50.21</v>
      </c>
      <c r="BX40" s="766">
        <v>50.34</v>
      </c>
      <c r="BY40" s="766">
        <v>50.47</v>
      </c>
      <c r="BZ40" s="766">
        <v>50.6</v>
      </c>
      <c r="CA40" s="766">
        <v>50.74</v>
      </c>
      <c r="CB40" s="766">
        <v>50.87</v>
      </c>
      <c r="CC40" s="766">
        <v>51</v>
      </c>
      <c r="CD40" s="766">
        <v>51.13</v>
      </c>
      <c r="CE40" s="766">
        <v>51.26</v>
      </c>
      <c r="CF40" s="766">
        <v>51.39</v>
      </c>
      <c r="CG40" s="766">
        <v>51.52</v>
      </c>
      <c r="CH40" s="766">
        <v>51.65</v>
      </c>
      <c r="CI40" s="766">
        <v>51.77</v>
      </c>
      <c r="CJ40" s="766">
        <v>51.9</v>
      </c>
      <c r="CK40" s="766">
        <v>52.02</v>
      </c>
      <c r="CL40" s="766">
        <v>52.15</v>
      </c>
      <c r="CM40" s="766">
        <v>52.27</v>
      </c>
      <c r="CN40" s="766">
        <v>52.39</v>
      </c>
      <c r="CO40" s="766">
        <v>52.51</v>
      </c>
      <c r="CP40" s="766">
        <v>52.63</v>
      </c>
      <c r="CQ40" s="766">
        <v>52.75</v>
      </c>
      <c r="CR40" s="766">
        <v>52.87</v>
      </c>
      <c r="CS40" s="766">
        <v>52.98</v>
      </c>
      <c r="CT40" s="766">
        <v>53.1</v>
      </c>
      <c r="CU40" s="766">
        <v>53.22</v>
      </c>
      <c r="CV40" s="766">
        <v>53.33</v>
      </c>
      <c r="CW40" s="766">
        <v>53.44</v>
      </c>
      <c r="CX40" s="766">
        <v>53.56</v>
      </c>
      <c r="CY40" s="766">
        <v>53.67</v>
      </c>
      <c r="CZ40" s="766">
        <v>53.78</v>
      </c>
      <c r="DA40" s="766">
        <v>53.89</v>
      </c>
      <c r="DB40" s="766">
        <v>54</v>
      </c>
      <c r="DC40" s="766">
        <v>54.1</v>
      </c>
      <c r="DD40" s="766">
        <v>54.21</v>
      </c>
      <c r="DE40" s="766">
        <v>54.32</v>
      </c>
      <c r="DF40" s="766">
        <v>54.42</v>
      </c>
      <c r="DG40" s="766">
        <v>54.53</v>
      </c>
      <c r="DH40" s="766">
        <v>54.63</v>
      </c>
      <c r="DI40" s="766">
        <v>54.73</v>
      </c>
      <c r="DJ40" s="766">
        <v>54.83</v>
      </c>
      <c r="DK40" s="766">
        <v>54.93</v>
      </c>
      <c r="DL40" s="766">
        <v>55.03</v>
      </c>
      <c r="DM40" s="766">
        <v>55.13</v>
      </c>
      <c r="DN40" s="766">
        <v>55.23</v>
      </c>
      <c r="DO40" s="766">
        <v>55.33</v>
      </c>
      <c r="DP40" s="766">
        <v>55.42</v>
      </c>
      <c r="DQ40" s="766">
        <v>55.52</v>
      </c>
      <c r="DR40" s="766">
        <v>55.61</v>
      </c>
    </row>
    <row r="41" spans="1:122">
      <c r="A41" s="950">
        <v>39</v>
      </c>
      <c r="B41" s="94"/>
      <c r="C41" s="94"/>
      <c r="D41" s="94"/>
      <c r="E41" s="94"/>
      <c r="F41" s="94"/>
      <c r="G41" s="94"/>
      <c r="H41" s="94"/>
      <c r="I41" s="94"/>
      <c r="J41" s="94"/>
      <c r="K41" s="94"/>
      <c r="L41" s="94"/>
      <c r="M41" s="94"/>
      <c r="N41" s="94"/>
      <c r="O41" s="94"/>
      <c r="P41" s="94"/>
      <c r="Q41" s="94"/>
      <c r="R41" s="94"/>
      <c r="S41" s="94"/>
      <c r="T41" s="94"/>
      <c r="U41" s="94"/>
      <c r="V41" s="766"/>
      <c r="W41" s="766">
        <v>41.22</v>
      </c>
      <c r="X41" s="766">
        <v>41.42</v>
      </c>
      <c r="Y41" s="766">
        <v>41.61</v>
      </c>
      <c r="Z41" s="766">
        <v>41.85</v>
      </c>
      <c r="AA41" s="766">
        <v>41.99</v>
      </c>
      <c r="AB41" s="766">
        <v>42.19</v>
      </c>
      <c r="AC41" s="766">
        <v>42.42</v>
      </c>
      <c r="AD41" s="766">
        <v>42.54</v>
      </c>
      <c r="AE41" s="766">
        <v>42.76</v>
      </c>
      <c r="AF41" s="766">
        <v>42.95</v>
      </c>
      <c r="AG41" s="766">
        <v>43.14</v>
      </c>
      <c r="AH41" s="766">
        <v>43.32</v>
      </c>
      <c r="AI41" s="766">
        <v>43.51</v>
      </c>
      <c r="AJ41" s="766">
        <v>43.78</v>
      </c>
      <c r="AK41" s="766">
        <v>44.03</v>
      </c>
      <c r="AL41" s="766">
        <v>44.31</v>
      </c>
      <c r="AM41" s="766">
        <v>44.57</v>
      </c>
      <c r="AN41" s="766">
        <v>44.77</v>
      </c>
      <c r="AO41" s="766">
        <v>44.94</v>
      </c>
      <c r="AP41" s="766">
        <v>45.06</v>
      </c>
      <c r="AQ41" s="766">
        <v>45.13</v>
      </c>
      <c r="AR41" s="766">
        <v>45.2</v>
      </c>
      <c r="AS41" s="766">
        <v>45.25</v>
      </c>
      <c r="AT41" s="766">
        <v>45.25</v>
      </c>
      <c r="AU41" s="766">
        <v>45.31</v>
      </c>
      <c r="AV41" s="766">
        <v>45.38</v>
      </c>
      <c r="AW41" s="766">
        <v>45.61</v>
      </c>
      <c r="AX41" s="766">
        <v>45.66</v>
      </c>
      <c r="AY41" s="766">
        <v>45.83</v>
      </c>
      <c r="AZ41" s="766">
        <v>45.94</v>
      </c>
      <c r="BA41" s="766">
        <v>46.08</v>
      </c>
      <c r="BB41" s="766">
        <v>46.2</v>
      </c>
      <c r="BC41" s="766">
        <v>46.32</v>
      </c>
      <c r="BD41" s="766">
        <v>46.44</v>
      </c>
      <c r="BE41" s="766">
        <v>46.57</v>
      </c>
      <c r="BF41" s="766">
        <v>46.7</v>
      </c>
      <c r="BG41" s="766">
        <v>46.87</v>
      </c>
      <c r="BH41" s="766">
        <v>47.04</v>
      </c>
      <c r="BI41" s="766">
        <v>47.17</v>
      </c>
      <c r="BJ41" s="766">
        <v>47.32</v>
      </c>
      <c r="BK41" s="766">
        <v>47.48</v>
      </c>
      <c r="BL41" s="766">
        <v>47.64</v>
      </c>
      <c r="BM41" s="766">
        <v>47.82</v>
      </c>
      <c r="BN41" s="766">
        <v>47.98</v>
      </c>
      <c r="BO41" s="766">
        <v>48.11</v>
      </c>
      <c r="BP41" s="766">
        <v>48.27</v>
      </c>
      <c r="BQ41" s="766">
        <v>48.41</v>
      </c>
      <c r="BR41" s="766">
        <v>48.54</v>
      </c>
      <c r="BS41" s="766">
        <v>48.7</v>
      </c>
      <c r="BT41" s="766">
        <v>48.83</v>
      </c>
      <c r="BU41" s="766">
        <v>48.96</v>
      </c>
      <c r="BV41" s="766">
        <v>49.09</v>
      </c>
      <c r="BW41" s="766">
        <v>49.24</v>
      </c>
      <c r="BX41" s="766">
        <v>49.37</v>
      </c>
      <c r="BY41" s="766">
        <v>49.5</v>
      </c>
      <c r="BZ41" s="766">
        <v>49.63</v>
      </c>
      <c r="CA41" s="766">
        <v>49.77</v>
      </c>
      <c r="CB41" s="766">
        <v>49.9</v>
      </c>
      <c r="CC41" s="766">
        <v>50.03</v>
      </c>
      <c r="CD41" s="766">
        <v>50.16</v>
      </c>
      <c r="CE41" s="766">
        <v>50.29</v>
      </c>
      <c r="CF41" s="766">
        <v>50.42</v>
      </c>
      <c r="CG41" s="766">
        <v>50.55</v>
      </c>
      <c r="CH41" s="766">
        <v>50.67</v>
      </c>
      <c r="CI41" s="766">
        <v>50.8</v>
      </c>
      <c r="CJ41" s="766">
        <v>50.92</v>
      </c>
      <c r="CK41" s="766">
        <v>51.05</v>
      </c>
      <c r="CL41" s="766">
        <v>51.17</v>
      </c>
      <c r="CM41" s="766">
        <v>51.29</v>
      </c>
      <c r="CN41" s="766">
        <v>51.41</v>
      </c>
      <c r="CO41" s="766">
        <v>51.53</v>
      </c>
      <c r="CP41" s="766">
        <v>51.65</v>
      </c>
      <c r="CQ41" s="766">
        <v>51.77</v>
      </c>
      <c r="CR41" s="766">
        <v>51.89</v>
      </c>
      <c r="CS41" s="766">
        <v>52.01</v>
      </c>
      <c r="CT41" s="766">
        <v>52.12</v>
      </c>
      <c r="CU41" s="766">
        <v>52.24</v>
      </c>
      <c r="CV41" s="766">
        <v>52.35</v>
      </c>
      <c r="CW41" s="766">
        <v>52.46</v>
      </c>
      <c r="CX41" s="766">
        <v>52.57</v>
      </c>
      <c r="CY41" s="766">
        <v>52.68</v>
      </c>
      <c r="CZ41" s="766">
        <v>52.79</v>
      </c>
      <c r="DA41" s="766">
        <v>52.9</v>
      </c>
      <c r="DB41" s="766">
        <v>53.01</v>
      </c>
      <c r="DC41" s="766">
        <v>53.12</v>
      </c>
      <c r="DD41" s="766">
        <v>53.23</v>
      </c>
      <c r="DE41" s="766">
        <v>53.33</v>
      </c>
      <c r="DF41" s="766">
        <v>53.44</v>
      </c>
      <c r="DG41" s="766">
        <v>53.54</v>
      </c>
      <c r="DH41" s="766">
        <v>53.64</v>
      </c>
      <c r="DI41" s="766">
        <v>53.75</v>
      </c>
      <c r="DJ41" s="766">
        <v>53.85</v>
      </c>
      <c r="DK41" s="766">
        <v>53.95</v>
      </c>
      <c r="DL41" s="766">
        <v>54.05</v>
      </c>
      <c r="DM41" s="766">
        <v>54.15</v>
      </c>
      <c r="DN41" s="766">
        <v>54.24</v>
      </c>
      <c r="DO41" s="766">
        <v>54.34</v>
      </c>
      <c r="DP41" s="766">
        <v>54.44</v>
      </c>
      <c r="DQ41" s="766">
        <v>54.53</v>
      </c>
      <c r="DR41" s="766">
        <v>54.63</v>
      </c>
    </row>
    <row r="42" spans="1:122">
      <c r="A42" s="950">
        <v>40</v>
      </c>
      <c r="B42" s="94"/>
      <c r="C42" s="94"/>
      <c r="D42" s="94"/>
      <c r="E42" s="94"/>
      <c r="F42" s="94"/>
      <c r="G42" s="94"/>
      <c r="H42" s="94"/>
      <c r="I42" s="94"/>
      <c r="J42" s="94"/>
      <c r="K42" s="94"/>
      <c r="L42" s="94"/>
      <c r="M42" s="94"/>
      <c r="N42" s="94"/>
      <c r="O42" s="94"/>
      <c r="P42" s="94"/>
      <c r="Q42" s="94"/>
      <c r="R42" s="94"/>
      <c r="S42" s="94"/>
      <c r="T42" s="94"/>
      <c r="U42" s="94"/>
      <c r="V42" s="766"/>
      <c r="W42" s="766">
        <v>40.299999999999997</v>
      </c>
      <c r="X42" s="766">
        <v>40.5</v>
      </c>
      <c r="Y42" s="766">
        <v>40.69</v>
      </c>
      <c r="Z42" s="766">
        <v>40.92</v>
      </c>
      <c r="AA42" s="766">
        <v>41.07</v>
      </c>
      <c r="AB42" s="766">
        <v>41.26</v>
      </c>
      <c r="AC42" s="766">
        <v>41.49</v>
      </c>
      <c r="AD42" s="766">
        <v>41.61</v>
      </c>
      <c r="AE42" s="766">
        <v>41.83</v>
      </c>
      <c r="AF42" s="766">
        <v>42.02</v>
      </c>
      <c r="AG42" s="766">
        <v>42.21</v>
      </c>
      <c r="AH42" s="766">
        <v>42.39</v>
      </c>
      <c r="AI42" s="766">
        <v>42.58</v>
      </c>
      <c r="AJ42" s="766">
        <v>42.84</v>
      </c>
      <c r="AK42" s="766">
        <v>43.09</v>
      </c>
      <c r="AL42" s="766">
        <v>43.37</v>
      </c>
      <c r="AM42" s="766">
        <v>43.63</v>
      </c>
      <c r="AN42" s="766">
        <v>43.83</v>
      </c>
      <c r="AO42" s="766">
        <v>44</v>
      </c>
      <c r="AP42" s="766">
        <v>44.13</v>
      </c>
      <c r="AQ42" s="766">
        <v>44.19</v>
      </c>
      <c r="AR42" s="766">
        <v>44.26</v>
      </c>
      <c r="AS42" s="766">
        <v>44.31</v>
      </c>
      <c r="AT42" s="766">
        <v>44.3</v>
      </c>
      <c r="AU42" s="766">
        <v>44.37</v>
      </c>
      <c r="AV42" s="766">
        <v>44.44</v>
      </c>
      <c r="AW42" s="766">
        <v>44.66</v>
      </c>
      <c r="AX42" s="766">
        <v>44.71</v>
      </c>
      <c r="AY42" s="766">
        <v>44.88</v>
      </c>
      <c r="AZ42" s="766">
        <v>45</v>
      </c>
      <c r="BA42" s="766">
        <v>45.13</v>
      </c>
      <c r="BB42" s="766">
        <v>45.26</v>
      </c>
      <c r="BC42" s="766">
        <v>45.37</v>
      </c>
      <c r="BD42" s="766">
        <v>45.49</v>
      </c>
      <c r="BE42" s="766">
        <v>45.62</v>
      </c>
      <c r="BF42" s="766">
        <v>45.75</v>
      </c>
      <c r="BG42" s="766">
        <v>45.91</v>
      </c>
      <c r="BH42" s="766">
        <v>46.08</v>
      </c>
      <c r="BI42" s="766">
        <v>46.22</v>
      </c>
      <c r="BJ42" s="766">
        <v>46.37</v>
      </c>
      <c r="BK42" s="766">
        <v>46.52</v>
      </c>
      <c r="BL42" s="766">
        <v>46.68</v>
      </c>
      <c r="BM42" s="766">
        <v>46.86</v>
      </c>
      <c r="BN42" s="766">
        <v>47.01</v>
      </c>
      <c r="BO42" s="766">
        <v>47.14</v>
      </c>
      <c r="BP42" s="766">
        <v>47.3</v>
      </c>
      <c r="BQ42" s="766">
        <v>47.44</v>
      </c>
      <c r="BR42" s="766">
        <v>47.57</v>
      </c>
      <c r="BS42" s="766">
        <v>47.73</v>
      </c>
      <c r="BT42" s="766">
        <v>47.86</v>
      </c>
      <c r="BU42" s="766">
        <v>47.99</v>
      </c>
      <c r="BV42" s="766">
        <v>48.12</v>
      </c>
      <c r="BW42" s="766">
        <v>48.27</v>
      </c>
      <c r="BX42" s="766">
        <v>48.4</v>
      </c>
      <c r="BY42" s="766">
        <v>48.53</v>
      </c>
      <c r="BZ42" s="766">
        <v>48.66</v>
      </c>
      <c r="CA42" s="766">
        <v>48.8</v>
      </c>
      <c r="CB42" s="766">
        <v>48.93</v>
      </c>
      <c r="CC42" s="766">
        <v>49.06</v>
      </c>
      <c r="CD42" s="766">
        <v>49.19</v>
      </c>
      <c r="CE42" s="766">
        <v>49.32</v>
      </c>
      <c r="CF42" s="766">
        <v>49.45</v>
      </c>
      <c r="CG42" s="766">
        <v>49.57</v>
      </c>
      <c r="CH42" s="766">
        <v>49.7</v>
      </c>
      <c r="CI42" s="766">
        <v>49.82</v>
      </c>
      <c r="CJ42" s="766">
        <v>49.95</v>
      </c>
      <c r="CK42" s="766">
        <v>50.07</v>
      </c>
      <c r="CL42" s="766">
        <v>50.2</v>
      </c>
      <c r="CM42" s="766">
        <v>50.32</v>
      </c>
      <c r="CN42" s="766">
        <v>50.44</v>
      </c>
      <c r="CO42" s="766">
        <v>50.56</v>
      </c>
      <c r="CP42" s="766">
        <v>50.68</v>
      </c>
      <c r="CQ42" s="766">
        <v>50.79</v>
      </c>
      <c r="CR42" s="766">
        <v>50.91</v>
      </c>
      <c r="CS42" s="766">
        <v>51.03</v>
      </c>
      <c r="CT42" s="766">
        <v>51.14</v>
      </c>
      <c r="CU42" s="766">
        <v>51.26</v>
      </c>
      <c r="CV42" s="766">
        <v>51.37</v>
      </c>
      <c r="CW42" s="766">
        <v>51.48</v>
      </c>
      <c r="CX42" s="766">
        <v>51.59</v>
      </c>
      <c r="CY42" s="766">
        <v>51.7</v>
      </c>
      <c r="CZ42" s="766">
        <v>51.81</v>
      </c>
      <c r="DA42" s="766">
        <v>51.92</v>
      </c>
      <c r="DB42" s="766">
        <v>52.03</v>
      </c>
      <c r="DC42" s="766">
        <v>52.14</v>
      </c>
      <c r="DD42" s="766">
        <v>52.24</v>
      </c>
      <c r="DE42" s="766">
        <v>52.35</v>
      </c>
      <c r="DF42" s="766">
        <v>52.45</v>
      </c>
      <c r="DG42" s="766">
        <v>52.56</v>
      </c>
      <c r="DH42" s="766">
        <v>52.66</v>
      </c>
      <c r="DI42" s="766">
        <v>52.76</v>
      </c>
      <c r="DJ42" s="766">
        <v>52.86</v>
      </c>
      <c r="DK42" s="766">
        <v>52.96</v>
      </c>
      <c r="DL42" s="766">
        <v>53.06</v>
      </c>
      <c r="DM42" s="766">
        <v>53.16</v>
      </c>
      <c r="DN42" s="766">
        <v>53.26</v>
      </c>
      <c r="DO42" s="766">
        <v>53.35</v>
      </c>
      <c r="DP42" s="766">
        <v>53.45</v>
      </c>
      <c r="DQ42" s="766">
        <v>53.55</v>
      </c>
      <c r="DR42" s="766">
        <v>53.64</v>
      </c>
    </row>
    <row r="43" spans="1:122">
      <c r="A43" s="950">
        <v>41</v>
      </c>
      <c r="B43" s="94"/>
      <c r="C43" s="94"/>
      <c r="D43" s="94"/>
      <c r="E43" s="94"/>
      <c r="F43" s="94"/>
      <c r="G43" s="94"/>
      <c r="H43" s="94"/>
      <c r="I43" s="94"/>
      <c r="J43" s="94"/>
      <c r="K43" s="94"/>
      <c r="L43" s="94"/>
      <c r="M43" s="94"/>
      <c r="N43" s="94"/>
      <c r="O43" s="94"/>
      <c r="P43" s="94"/>
      <c r="Q43" s="94"/>
      <c r="R43" s="94"/>
      <c r="S43" s="94"/>
      <c r="T43" s="94"/>
      <c r="U43" s="94"/>
      <c r="V43" s="766"/>
      <c r="W43" s="766">
        <v>39.380000000000003</v>
      </c>
      <c r="X43" s="766">
        <v>39.58</v>
      </c>
      <c r="Y43" s="766">
        <v>39.770000000000003</v>
      </c>
      <c r="Z43" s="766">
        <v>40</v>
      </c>
      <c r="AA43" s="766">
        <v>40.14</v>
      </c>
      <c r="AB43" s="766">
        <v>40.340000000000003</v>
      </c>
      <c r="AC43" s="766">
        <v>40.56</v>
      </c>
      <c r="AD43" s="766">
        <v>40.68</v>
      </c>
      <c r="AE43" s="766">
        <v>40.909999999999997</v>
      </c>
      <c r="AF43" s="766">
        <v>41.1</v>
      </c>
      <c r="AG43" s="766">
        <v>41.28</v>
      </c>
      <c r="AH43" s="766">
        <v>41.46</v>
      </c>
      <c r="AI43" s="766">
        <v>41.65</v>
      </c>
      <c r="AJ43" s="766">
        <v>41.91</v>
      </c>
      <c r="AK43" s="766">
        <v>42.17</v>
      </c>
      <c r="AL43" s="766">
        <v>42.44</v>
      </c>
      <c r="AM43" s="766">
        <v>42.69</v>
      </c>
      <c r="AN43" s="766">
        <v>42.9</v>
      </c>
      <c r="AO43" s="766">
        <v>43.06</v>
      </c>
      <c r="AP43" s="766">
        <v>43.19</v>
      </c>
      <c r="AQ43" s="766">
        <v>43.25</v>
      </c>
      <c r="AR43" s="766">
        <v>43.32</v>
      </c>
      <c r="AS43" s="766">
        <v>43.37</v>
      </c>
      <c r="AT43" s="766">
        <v>43.36</v>
      </c>
      <c r="AU43" s="766">
        <v>43.43</v>
      </c>
      <c r="AV43" s="766">
        <v>43.49</v>
      </c>
      <c r="AW43" s="766">
        <v>43.72</v>
      </c>
      <c r="AX43" s="766">
        <v>43.77</v>
      </c>
      <c r="AY43" s="766">
        <v>43.93</v>
      </c>
      <c r="AZ43" s="766">
        <v>44.06</v>
      </c>
      <c r="BA43" s="766">
        <v>44.18</v>
      </c>
      <c r="BB43" s="766">
        <v>44.31</v>
      </c>
      <c r="BC43" s="766">
        <v>44.43</v>
      </c>
      <c r="BD43" s="766">
        <v>44.54</v>
      </c>
      <c r="BE43" s="766">
        <v>44.67</v>
      </c>
      <c r="BF43" s="766">
        <v>44.81</v>
      </c>
      <c r="BG43" s="766">
        <v>44.96</v>
      </c>
      <c r="BH43" s="766">
        <v>45.13</v>
      </c>
      <c r="BI43" s="766">
        <v>45.26</v>
      </c>
      <c r="BJ43" s="766">
        <v>45.41</v>
      </c>
      <c r="BK43" s="766">
        <v>45.56</v>
      </c>
      <c r="BL43" s="766">
        <v>45.72</v>
      </c>
      <c r="BM43" s="766">
        <v>45.9</v>
      </c>
      <c r="BN43" s="766">
        <v>46.05</v>
      </c>
      <c r="BO43" s="766">
        <v>46.18</v>
      </c>
      <c r="BP43" s="766">
        <v>46.34</v>
      </c>
      <c r="BQ43" s="766">
        <v>46.47</v>
      </c>
      <c r="BR43" s="766">
        <v>46.6</v>
      </c>
      <c r="BS43" s="766">
        <v>46.76</v>
      </c>
      <c r="BT43" s="766">
        <v>46.89</v>
      </c>
      <c r="BU43" s="766">
        <v>47.03</v>
      </c>
      <c r="BV43" s="766">
        <v>47.16</v>
      </c>
      <c r="BW43" s="766">
        <v>47.3</v>
      </c>
      <c r="BX43" s="766">
        <v>47.43</v>
      </c>
      <c r="BY43" s="766">
        <v>47.56</v>
      </c>
      <c r="BZ43" s="766">
        <v>47.69</v>
      </c>
      <c r="CA43" s="766">
        <v>47.83</v>
      </c>
      <c r="CB43" s="766">
        <v>47.96</v>
      </c>
      <c r="CC43" s="766">
        <v>48.09</v>
      </c>
      <c r="CD43" s="766">
        <v>48.22</v>
      </c>
      <c r="CE43" s="766">
        <v>48.35</v>
      </c>
      <c r="CF43" s="766">
        <v>48.48</v>
      </c>
      <c r="CG43" s="766">
        <v>48.6</v>
      </c>
      <c r="CH43" s="766">
        <v>48.73</v>
      </c>
      <c r="CI43" s="766">
        <v>48.85</v>
      </c>
      <c r="CJ43" s="766">
        <v>48.98</v>
      </c>
      <c r="CK43" s="766">
        <v>49.1</v>
      </c>
      <c r="CL43" s="766">
        <v>49.22</v>
      </c>
      <c r="CM43" s="766">
        <v>49.34</v>
      </c>
      <c r="CN43" s="766">
        <v>49.46</v>
      </c>
      <c r="CO43" s="766">
        <v>49.58</v>
      </c>
      <c r="CP43" s="766">
        <v>49.7</v>
      </c>
      <c r="CQ43" s="766">
        <v>49.82</v>
      </c>
      <c r="CR43" s="766">
        <v>49.93</v>
      </c>
      <c r="CS43" s="766">
        <v>50.05</v>
      </c>
      <c r="CT43" s="766">
        <v>50.16</v>
      </c>
      <c r="CU43" s="766">
        <v>50.28</v>
      </c>
      <c r="CV43" s="766">
        <v>50.39</v>
      </c>
      <c r="CW43" s="766">
        <v>50.5</v>
      </c>
      <c r="CX43" s="766">
        <v>50.61</v>
      </c>
      <c r="CY43" s="766">
        <v>50.72</v>
      </c>
      <c r="CZ43" s="766">
        <v>50.83</v>
      </c>
      <c r="DA43" s="766">
        <v>50.94</v>
      </c>
      <c r="DB43" s="766">
        <v>51.05</v>
      </c>
      <c r="DC43" s="766">
        <v>51.16</v>
      </c>
      <c r="DD43" s="766">
        <v>51.26</v>
      </c>
      <c r="DE43" s="766">
        <v>51.37</v>
      </c>
      <c r="DF43" s="766">
        <v>51.47</v>
      </c>
      <c r="DG43" s="766">
        <v>51.57</v>
      </c>
      <c r="DH43" s="766">
        <v>51.68</v>
      </c>
      <c r="DI43" s="766">
        <v>51.78</v>
      </c>
      <c r="DJ43" s="766">
        <v>51.88</v>
      </c>
      <c r="DK43" s="766">
        <v>51.98</v>
      </c>
      <c r="DL43" s="766">
        <v>52.08</v>
      </c>
      <c r="DM43" s="766">
        <v>52.18</v>
      </c>
      <c r="DN43" s="766">
        <v>52.27</v>
      </c>
      <c r="DO43" s="766">
        <v>52.37</v>
      </c>
      <c r="DP43" s="766">
        <v>52.46</v>
      </c>
      <c r="DQ43" s="766">
        <v>52.56</v>
      </c>
      <c r="DR43" s="766">
        <v>52.65</v>
      </c>
    </row>
    <row r="44" spans="1:122">
      <c r="A44" s="950">
        <v>42</v>
      </c>
      <c r="B44" s="94"/>
      <c r="C44" s="94"/>
      <c r="D44" s="94"/>
      <c r="E44" s="94"/>
      <c r="F44" s="94"/>
      <c r="G44" s="94"/>
      <c r="H44" s="94"/>
      <c r="I44" s="94"/>
      <c r="J44" s="94"/>
      <c r="K44" s="94"/>
      <c r="L44" s="94"/>
      <c r="M44" s="94"/>
      <c r="N44" s="94"/>
      <c r="O44" s="94"/>
      <c r="P44" s="94"/>
      <c r="Q44" s="94"/>
      <c r="R44" s="94"/>
      <c r="S44" s="94"/>
      <c r="T44" s="94"/>
      <c r="U44" s="94"/>
      <c r="V44" s="766"/>
      <c r="W44" s="766">
        <v>38.46</v>
      </c>
      <c r="X44" s="766">
        <v>38.659999999999997</v>
      </c>
      <c r="Y44" s="766">
        <v>38.85</v>
      </c>
      <c r="Z44" s="766">
        <v>39.08</v>
      </c>
      <c r="AA44" s="766">
        <v>39.22</v>
      </c>
      <c r="AB44" s="766">
        <v>39.42</v>
      </c>
      <c r="AC44" s="766">
        <v>39.64</v>
      </c>
      <c r="AD44" s="766">
        <v>39.76</v>
      </c>
      <c r="AE44" s="766">
        <v>39.99</v>
      </c>
      <c r="AF44" s="766">
        <v>40.17</v>
      </c>
      <c r="AG44" s="766">
        <v>40.35</v>
      </c>
      <c r="AH44" s="766">
        <v>40.53</v>
      </c>
      <c r="AI44" s="766">
        <v>40.729999999999997</v>
      </c>
      <c r="AJ44" s="766">
        <v>40.99</v>
      </c>
      <c r="AK44" s="766">
        <v>41.24</v>
      </c>
      <c r="AL44" s="766">
        <v>41.51</v>
      </c>
      <c r="AM44" s="766">
        <v>41.76</v>
      </c>
      <c r="AN44" s="766">
        <v>41.97</v>
      </c>
      <c r="AO44" s="766">
        <v>42.12</v>
      </c>
      <c r="AP44" s="766">
        <v>42.25</v>
      </c>
      <c r="AQ44" s="766">
        <v>42.31</v>
      </c>
      <c r="AR44" s="766">
        <v>42.38</v>
      </c>
      <c r="AS44" s="766">
        <v>42.44</v>
      </c>
      <c r="AT44" s="766">
        <v>42.42</v>
      </c>
      <c r="AU44" s="766">
        <v>42.49</v>
      </c>
      <c r="AV44" s="766">
        <v>42.55</v>
      </c>
      <c r="AW44" s="766">
        <v>42.78</v>
      </c>
      <c r="AX44" s="766">
        <v>42.83</v>
      </c>
      <c r="AY44" s="766">
        <v>42.99</v>
      </c>
      <c r="AZ44" s="766">
        <v>43.12</v>
      </c>
      <c r="BA44" s="766">
        <v>43.24</v>
      </c>
      <c r="BB44" s="766">
        <v>43.37</v>
      </c>
      <c r="BC44" s="766">
        <v>43.49</v>
      </c>
      <c r="BD44" s="766">
        <v>43.6</v>
      </c>
      <c r="BE44" s="766">
        <v>43.73</v>
      </c>
      <c r="BF44" s="766">
        <v>43.86</v>
      </c>
      <c r="BG44" s="766">
        <v>44.01</v>
      </c>
      <c r="BH44" s="766">
        <v>44.18</v>
      </c>
      <c r="BI44" s="766">
        <v>44.31</v>
      </c>
      <c r="BJ44" s="766">
        <v>44.46</v>
      </c>
      <c r="BK44" s="766">
        <v>44.61</v>
      </c>
      <c r="BL44" s="766">
        <v>44.77</v>
      </c>
      <c r="BM44" s="766">
        <v>44.94</v>
      </c>
      <c r="BN44" s="766">
        <v>45.09</v>
      </c>
      <c r="BO44" s="766">
        <v>45.22</v>
      </c>
      <c r="BP44" s="766">
        <v>45.38</v>
      </c>
      <c r="BQ44" s="766">
        <v>45.51</v>
      </c>
      <c r="BR44" s="766">
        <v>45.64</v>
      </c>
      <c r="BS44" s="766">
        <v>45.8</v>
      </c>
      <c r="BT44" s="766">
        <v>45.93</v>
      </c>
      <c r="BU44" s="766">
        <v>46.06</v>
      </c>
      <c r="BV44" s="766">
        <v>46.19</v>
      </c>
      <c r="BW44" s="766">
        <v>46.34</v>
      </c>
      <c r="BX44" s="766">
        <v>46.46</v>
      </c>
      <c r="BY44" s="766">
        <v>46.6</v>
      </c>
      <c r="BZ44" s="766">
        <v>46.73</v>
      </c>
      <c r="CA44" s="766">
        <v>46.86</v>
      </c>
      <c r="CB44" s="766">
        <v>46.99</v>
      </c>
      <c r="CC44" s="766">
        <v>47.12</v>
      </c>
      <c r="CD44" s="766">
        <v>47.25</v>
      </c>
      <c r="CE44" s="766">
        <v>47.38</v>
      </c>
      <c r="CF44" s="766">
        <v>47.51</v>
      </c>
      <c r="CG44" s="766">
        <v>47.63</v>
      </c>
      <c r="CH44" s="766">
        <v>47.76</v>
      </c>
      <c r="CI44" s="766">
        <v>47.88</v>
      </c>
      <c r="CJ44" s="766">
        <v>48</v>
      </c>
      <c r="CK44" s="766">
        <v>48.13</v>
      </c>
      <c r="CL44" s="766">
        <v>48.25</v>
      </c>
      <c r="CM44" s="766">
        <v>48.37</v>
      </c>
      <c r="CN44" s="766">
        <v>48.49</v>
      </c>
      <c r="CO44" s="766">
        <v>48.61</v>
      </c>
      <c r="CP44" s="766">
        <v>48.73</v>
      </c>
      <c r="CQ44" s="766">
        <v>48.84</v>
      </c>
      <c r="CR44" s="766">
        <v>48.96</v>
      </c>
      <c r="CS44" s="766">
        <v>49.07</v>
      </c>
      <c r="CT44" s="766">
        <v>49.19</v>
      </c>
      <c r="CU44" s="766">
        <v>49.3</v>
      </c>
      <c r="CV44" s="766">
        <v>49.41</v>
      </c>
      <c r="CW44" s="766">
        <v>49.53</v>
      </c>
      <c r="CX44" s="766">
        <v>49.64</v>
      </c>
      <c r="CY44" s="766">
        <v>49.75</v>
      </c>
      <c r="CZ44" s="766">
        <v>49.85</v>
      </c>
      <c r="DA44" s="766">
        <v>49.96</v>
      </c>
      <c r="DB44" s="766">
        <v>50.07</v>
      </c>
      <c r="DC44" s="766">
        <v>50.18</v>
      </c>
      <c r="DD44" s="766">
        <v>50.28</v>
      </c>
      <c r="DE44" s="766">
        <v>50.39</v>
      </c>
      <c r="DF44" s="766">
        <v>50.49</v>
      </c>
      <c r="DG44" s="766">
        <v>50.59</v>
      </c>
      <c r="DH44" s="766">
        <v>50.69</v>
      </c>
      <c r="DI44" s="766">
        <v>50.8</v>
      </c>
      <c r="DJ44" s="766">
        <v>50.9</v>
      </c>
      <c r="DK44" s="766">
        <v>50.99</v>
      </c>
      <c r="DL44" s="766">
        <v>51.09</v>
      </c>
      <c r="DM44" s="766">
        <v>51.19</v>
      </c>
      <c r="DN44" s="766">
        <v>51.29</v>
      </c>
      <c r="DO44" s="766">
        <v>51.38</v>
      </c>
      <c r="DP44" s="766">
        <v>51.48</v>
      </c>
      <c r="DQ44" s="766">
        <v>51.57</v>
      </c>
      <c r="DR44" s="766">
        <v>51.67</v>
      </c>
    </row>
    <row r="45" spans="1:122">
      <c r="A45" s="950">
        <v>43</v>
      </c>
      <c r="B45" s="94"/>
      <c r="C45" s="94"/>
      <c r="D45" s="94"/>
      <c r="E45" s="94"/>
      <c r="F45" s="94"/>
      <c r="G45" s="94"/>
      <c r="H45" s="94"/>
      <c r="I45" s="94"/>
      <c r="J45" s="94"/>
      <c r="K45" s="94"/>
      <c r="L45" s="94"/>
      <c r="M45" s="94"/>
      <c r="N45" s="94"/>
      <c r="O45" s="94"/>
      <c r="P45" s="94"/>
      <c r="Q45" s="94"/>
      <c r="R45" s="94"/>
      <c r="S45" s="94"/>
      <c r="T45" s="94"/>
      <c r="U45" s="94"/>
      <c r="V45" s="766"/>
      <c r="W45" s="766">
        <v>37.549999999999997</v>
      </c>
      <c r="X45" s="766">
        <v>37.75</v>
      </c>
      <c r="Y45" s="766">
        <v>37.94</v>
      </c>
      <c r="Z45" s="766">
        <v>38.17</v>
      </c>
      <c r="AA45" s="766">
        <v>38.31</v>
      </c>
      <c r="AB45" s="766">
        <v>38.5</v>
      </c>
      <c r="AC45" s="766">
        <v>38.729999999999997</v>
      </c>
      <c r="AD45" s="766">
        <v>38.85</v>
      </c>
      <c r="AE45" s="766">
        <v>39.08</v>
      </c>
      <c r="AF45" s="766">
        <v>39.26</v>
      </c>
      <c r="AG45" s="766">
        <v>39.44</v>
      </c>
      <c r="AH45" s="766">
        <v>39.61</v>
      </c>
      <c r="AI45" s="766">
        <v>39.799999999999997</v>
      </c>
      <c r="AJ45" s="766">
        <v>40.07</v>
      </c>
      <c r="AK45" s="766">
        <v>40.31</v>
      </c>
      <c r="AL45" s="766">
        <v>40.58</v>
      </c>
      <c r="AM45" s="766">
        <v>40.840000000000003</v>
      </c>
      <c r="AN45" s="766">
        <v>41.03</v>
      </c>
      <c r="AO45" s="766">
        <v>41.2</v>
      </c>
      <c r="AP45" s="766">
        <v>41.32</v>
      </c>
      <c r="AQ45" s="766">
        <v>41.38</v>
      </c>
      <c r="AR45" s="766">
        <v>41.45</v>
      </c>
      <c r="AS45" s="766">
        <v>41.5</v>
      </c>
      <c r="AT45" s="766">
        <v>41.49</v>
      </c>
      <c r="AU45" s="766">
        <v>41.55</v>
      </c>
      <c r="AV45" s="766">
        <v>41.62</v>
      </c>
      <c r="AW45" s="766">
        <v>41.84</v>
      </c>
      <c r="AX45" s="766">
        <v>41.9</v>
      </c>
      <c r="AY45" s="766">
        <v>42.06</v>
      </c>
      <c r="AZ45" s="766">
        <v>42.18</v>
      </c>
      <c r="BA45" s="766">
        <v>42.31</v>
      </c>
      <c r="BB45" s="766">
        <v>42.43</v>
      </c>
      <c r="BC45" s="766">
        <v>42.55</v>
      </c>
      <c r="BD45" s="766">
        <v>42.66</v>
      </c>
      <c r="BE45" s="766">
        <v>42.78</v>
      </c>
      <c r="BF45" s="766">
        <v>42.92</v>
      </c>
      <c r="BG45" s="766">
        <v>43.07</v>
      </c>
      <c r="BH45" s="766">
        <v>43.24</v>
      </c>
      <c r="BI45" s="766">
        <v>43.36</v>
      </c>
      <c r="BJ45" s="766">
        <v>43.51</v>
      </c>
      <c r="BK45" s="766">
        <v>43.66</v>
      </c>
      <c r="BL45" s="766">
        <v>43.82</v>
      </c>
      <c r="BM45" s="766">
        <v>43.98</v>
      </c>
      <c r="BN45" s="766">
        <v>44.13</v>
      </c>
      <c r="BO45" s="766">
        <v>44.27</v>
      </c>
      <c r="BP45" s="766">
        <v>44.42</v>
      </c>
      <c r="BQ45" s="766">
        <v>44.55</v>
      </c>
      <c r="BR45" s="766">
        <v>44.68</v>
      </c>
      <c r="BS45" s="766">
        <v>44.84</v>
      </c>
      <c r="BT45" s="766">
        <v>44.97</v>
      </c>
      <c r="BU45" s="766">
        <v>45.1</v>
      </c>
      <c r="BV45" s="766">
        <v>45.23</v>
      </c>
      <c r="BW45" s="766">
        <v>45.38</v>
      </c>
      <c r="BX45" s="766">
        <v>45.5</v>
      </c>
      <c r="BY45" s="766">
        <v>45.63</v>
      </c>
      <c r="BZ45" s="766">
        <v>45.77</v>
      </c>
      <c r="CA45" s="766">
        <v>45.9</v>
      </c>
      <c r="CB45" s="766">
        <v>46.03</v>
      </c>
      <c r="CC45" s="766">
        <v>46.16</v>
      </c>
      <c r="CD45" s="766">
        <v>46.28</v>
      </c>
      <c r="CE45" s="766">
        <v>46.41</v>
      </c>
      <c r="CF45" s="766">
        <v>46.54</v>
      </c>
      <c r="CG45" s="766">
        <v>46.66</v>
      </c>
      <c r="CH45" s="766">
        <v>46.79</v>
      </c>
      <c r="CI45" s="766">
        <v>46.91</v>
      </c>
      <c r="CJ45" s="766">
        <v>47.03</v>
      </c>
      <c r="CK45" s="766">
        <v>47.16</v>
      </c>
      <c r="CL45" s="766">
        <v>47.28</v>
      </c>
      <c r="CM45" s="766">
        <v>47.4</v>
      </c>
      <c r="CN45" s="766">
        <v>47.52</v>
      </c>
      <c r="CO45" s="766">
        <v>47.64</v>
      </c>
      <c r="CP45" s="766">
        <v>47.75</v>
      </c>
      <c r="CQ45" s="766">
        <v>47.87</v>
      </c>
      <c r="CR45" s="766">
        <v>47.98</v>
      </c>
      <c r="CS45" s="766">
        <v>48.1</v>
      </c>
      <c r="CT45" s="766">
        <v>48.21</v>
      </c>
      <c r="CU45" s="766">
        <v>48.33</v>
      </c>
      <c r="CV45" s="766">
        <v>48.44</v>
      </c>
      <c r="CW45" s="766">
        <v>48.55</v>
      </c>
      <c r="CX45" s="766">
        <v>48.66</v>
      </c>
      <c r="CY45" s="766">
        <v>48.77</v>
      </c>
      <c r="CZ45" s="766">
        <v>48.88</v>
      </c>
      <c r="DA45" s="766">
        <v>48.98</v>
      </c>
      <c r="DB45" s="766">
        <v>49.09</v>
      </c>
      <c r="DC45" s="766">
        <v>49.2</v>
      </c>
      <c r="DD45" s="766">
        <v>49.3</v>
      </c>
      <c r="DE45" s="766">
        <v>49.41</v>
      </c>
      <c r="DF45" s="766">
        <v>49.51</v>
      </c>
      <c r="DG45" s="766">
        <v>49.61</v>
      </c>
      <c r="DH45" s="766">
        <v>49.71</v>
      </c>
      <c r="DI45" s="766">
        <v>49.81</v>
      </c>
      <c r="DJ45" s="766">
        <v>49.91</v>
      </c>
      <c r="DK45" s="766">
        <v>50.01</v>
      </c>
      <c r="DL45" s="766">
        <v>50.11</v>
      </c>
      <c r="DM45" s="766">
        <v>50.21</v>
      </c>
      <c r="DN45" s="766">
        <v>50.31</v>
      </c>
      <c r="DO45" s="766">
        <v>50.4</v>
      </c>
      <c r="DP45" s="766">
        <v>50.5</v>
      </c>
      <c r="DQ45" s="766">
        <v>50.59</v>
      </c>
      <c r="DR45" s="766">
        <v>50.68</v>
      </c>
    </row>
    <row r="46" spans="1:122">
      <c r="A46" s="950">
        <v>44</v>
      </c>
      <c r="B46" s="94"/>
      <c r="C46" s="94"/>
      <c r="D46" s="94"/>
      <c r="E46" s="94"/>
      <c r="F46" s="94"/>
      <c r="G46" s="94"/>
      <c r="H46" s="94"/>
      <c r="I46" s="94"/>
      <c r="J46" s="94"/>
      <c r="K46" s="94"/>
      <c r="L46" s="94"/>
      <c r="M46" s="94"/>
      <c r="N46" s="94"/>
      <c r="O46" s="94"/>
      <c r="P46" s="94"/>
      <c r="Q46" s="94"/>
      <c r="R46" s="94"/>
      <c r="S46" s="94"/>
      <c r="T46" s="94"/>
      <c r="U46" s="94"/>
      <c r="V46" s="766"/>
      <c r="W46" s="766">
        <v>36.64</v>
      </c>
      <c r="X46" s="766">
        <v>36.840000000000003</v>
      </c>
      <c r="Y46" s="766">
        <v>37.03</v>
      </c>
      <c r="Z46" s="766">
        <v>37.26</v>
      </c>
      <c r="AA46" s="766">
        <v>37.4</v>
      </c>
      <c r="AB46" s="766">
        <v>37.6</v>
      </c>
      <c r="AC46" s="766">
        <v>37.83</v>
      </c>
      <c r="AD46" s="766">
        <v>37.93</v>
      </c>
      <c r="AE46" s="766">
        <v>38.17</v>
      </c>
      <c r="AF46" s="766">
        <v>38.35</v>
      </c>
      <c r="AG46" s="766">
        <v>38.53</v>
      </c>
      <c r="AH46" s="766">
        <v>38.700000000000003</v>
      </c>
      <c r="AI46" s="766">
        <v>38.89</v>
      </c>
      <c r="AJ46" s="766">
        <v>39.15</v>
      </c>
      <c r="AK46" s="766">
        <v>39.4</v>
      </c>
      <c r="AL46" s="766">
        <v>39.659999999999997</v>
      </c>
      <c r="AM46" s="766">
        <v>39.909999999999997</v>
      </c>
      <c r="AN46" s="766">
        <v>40.11</v>
      </c>
      <c r="AO46" s="766">
        <v>40.270000000000003</v>
      </c>
      <c r="AP46" s="766">
        <v>40.39</v>
      </c>
      <c r="AQ46" s="766">
        <v>40.450000000000003</v>
      </c>
      <c r="AR46" s="766">
        <v>40.51</v>
      </c>
      <c r="AS46" s="766">
        <v>40.57</v>
      </c>
      <c r="AT46" s="766">
        <v>40.56</v>
      </c>
      <c r="AU46" s="766">
        <v>40.619999999999997</v>
      </c>
      <c r="AV46" s="766">
        <v>40.68</v>
      </c>
      <c r="AW46" s="766">
        <v>40.909999999999997</v>
      </c>
      <c r="AX46" s="766">
        <v>40.97</v>
      </c>
      <c r="AY46" s="766">
        <v>41.13</v>
      </c>
      <c r="AZ46" s="766">
        <v>41.25</v>
      </c>
      <c r="BA46" s="766">
        <v>41.37</v>
      </c>
      <c r="BB46" s="766">
        <v>41.49</v>
      </c>
      <c r="BC46" s="766">
        <v>41.62</v>
      </c>
      <c r="BD46" s="766">
        <v>41.73</v>
      </c>
      <c r="BE46" s="766">
        <v>41.85</v>
      </c>
      <c r="BF46" s="766">
        <v>41.98</v>
      </c>
      <c r="BG46" s="766">
        <v>42.13</v>
      </c>
      <c r="BH46" s="766">
        <v>42.29</v>
      </c>
      <c r="BI46" s="766">
        <v>42.42</v>
      </c>
      <c r="BJ46" s="766">
        <v>42.57</v>
      </c>
      <c r="BK46" s="766">
        <v>42.71</v>
      </c>
      <c r="BL46" s="766">
        <v>42.87</v>
      </c>
      <c r="BM46" s="766">
        <v>43.03</v>
      </c>
      <c r="BN46" s="766">
        <v>43.18</v>
      </c>
      <c r="BO46" s="766">
        <v>43.31</v>
      </c>
      <c r="BP46" s="766">
        <v>43.46</v>
      </c>
      <c r="BQ46" s="766">
        <v>43.59</v>
      </c>
      <c r="BR46" s="766">
        <v>43.73</v>
      </c>
      <c r="BS46" s="766">
        <v>43.88</v>
      </c>
      <c r="BT46" s="766">
        <v>44.01</v>
      </c>
      <c r="BU46" s="766">
        <v>44.14</v>
      </c>
      <c r="BV46" s="766">
        <v>44.27</v>
      </c>
      <c r="BW46" s="766">
        <v>44.41</v>
      </c>
      <c r="BX46" s="766">
        <v>44.54</v>
      </c>
      <c r="BY46" s="766">
        <v>44.67</v>
      </c>
      <c r="BZ46" s="766">
        <v>44.81</v>
      </c>
      <c r="CA46" s="766">
        <v>44.94</v>
      </c>
      <c r="CB46" s="766">
        <v>45.06</v>
      </c>
      <c r="CC46" s="766">
        <v>45.19</v>
      </c>
      <c r="CD46" s="766">
        <v>45.32</v>
      </c>
      <c r="CE46" s="766">
        <v>45.45</v>
      </c>
      <c r="CF46" s="766">
        <v>45.57</v>
      </c>
      <c r="CG46" s="766">
        <v>45.7</v>
      </c>
      <c r="CH46" s="766">
        <v>45.82</v>
      </c>
      <c r="CI46" s="766">
        <v>45.94</v>
      </c>
      <c r="CJ46" s="766">
        <v>46.07</v>
      </c>
      <c r="CK46" s="766">
        <v>46.19</v>
      </c>
      <c r="CL46" s="766">
        <v>46.31</v>
      </c>
      <c r="CM46" s="766">
        <v>46.43</v>
      </c>
      <c r="CN46" s="766">
        <v>46.55</v>
      </c>
      <c r="CO46" s="766">
        <v>46.66</v>
      </c>
      <c r="CP46" s="766">
        <v>46.78</v>
      </c>
      <c r="CQ46" s="766">
        <v>46.9</v>
      </c>
      <c r="CR46" s="766">
        <v>47.01</v>
      </c>
      <c r="CS46" s="766">
        <v>47.13</v>
      </c>
      <c r="CT46" s="766">
        <v>47.24</v>
      </c>
      <c r="CU46" s="766">
        <v>47.35</v>
      </c>
      <c r="CV46" s="766">
        <v>47.46</v>
      </c>
      <c r="CW46" s="766">
        <v>47.57</v>
      </c>
      <c r="CX46" s="766">
        <v>47.68</v>
      </c>
      <c r="CY46" s="766">
        <v>47.79</v>
      </c>
      <c r="CZ46" s="766">
        <v>47.9</v>
      </c>
      <c r="DA46" s="766">
        <v>48.01</v>
      </c>
      <c r="DB46" s="766">
        <v>48.11</v>
      </c>
      <c r="DC46" s="766">
        <v>48.22</v>
      </c>
      <c r="DD46" s="766">
        <v>48.32</v>
      </c>
      <c r="DE46" s="766">
        <v>48.43</v>
      </c>
      <c r="DF46" s="766">
        <v>48.53</v>
      </c>
      <c r="DG46" s="766">
        <v>48.63</v>
      </c>
      <c r="DH46" s="766">
        <v>48.73</v>
      </c>
      <c r="DI46" s="766">
        <v>48.83</v>
      </c>
      <c r="DJ46" s="766">
        <v>48.93</v>
      </c>
      <c r="DK46" s="766">
        <v>49.03</v>
      </c>
      <c r="DL46" s="766">
        <v>49.13</v>
      </c>
      <c r="DM46" s="766">
        <v>49.23</v>
      </c>
      <c r="DN46" s="766">
        <v>49.32</v>
      </c>
      <c r="DO46" s="766">
        <v>49.42</v>
      </c>
      <c r="DP46" s="766">
        <v>49.51</v>
      </c>
      <c r="DQ46" s="766">
        <v>49.61</v>
      </c>
      <c r="DR46" s="766">
        <v>49.7</v>
      </c>
    </row>
    <row r="47" spans="1:122">
      <c r="A47" s="950">
        <v>45</v>
      </c>
      <c r="B47" s="94"/>
      <c r="C47" s="94"/>
      <c r="D47" s="94"/>
      <c r="E47" s="94"/>
      <c r="F47" s="94"/>
      <c r="G47" s="94"/>
      <c r="H47" s="94"/>
      <c r="I47" s="94"/>
      <c r="J47" s="94"/>
      <c r="K47" s="94"/>
      <c r="L47" s="94"/>
      <c r="M47" s="94"/>
      <c r="N47" s="94"/>
      <c r="O47" s="94"/>
      <c r="P47" s="94"/>
      <c r="Q47" s="94"/>
      <c r="R47" s="94"/>
      <c r="S47" s="94"/>
      <c r="T47" s="94"/>
      <c r="U47" s="94"/>
      <c r="V47" s="766"/>
      <c r="W47" s="766">
        <v>35.74</v>
      </c>
      <c r="X47" s="766">
        <v>35.94</v>
      </c>
      <c r="Y47" s="766">
        <v>36.130000000000003</v>
      </c>
      <c r="Z47" s="766">
        <v>36.36</v>
      </c>
      <c r="AA47" s="766">
        <v>36.5</v>
      </c>
      <c r="AB47" s="766">
        <v>36.69</v>
      </c>
      <c r="AC47" s="766">
        <v>36.92</v>
      </c>
      <c r="AD47" s="766">
        <v>37.03</v>
      </c>
      <c r="AE47" s="766">
        <v>37.270000000000003</v>
      </c>
      <c r="AF47" s="766">
        <v>37.44</v>
      </c>
      <c r="AG47" s="766">
        <v>37.619999999999997</v>
      </c>
      <c r="AH47" s="766">
        <v>37.79</v>
      </c>
      <c r="AI47" s="766">
        <v>37.979999999999997</v>
      </c>
      <c r="AJ47" s="766">
        <v>38.24</v>
      </c>
      <c r="AK47" s="766">
        <v>38.479999999999997</v>
      </c>
      <c r="AL47" s="766">
        <v>38.74</v>
      </c>
      <c r="AM47" s="766">
        <v>38.99</v>
      </c>
      <c r="AN47" s="766">
        <v>39.19</v>
      </c>
      <c r="AO47" s="766">
        <v>39.35</v>
      </c>
      <c r="AP47" s="766">
        <v>39.47</v>
      </c>
      <c r="AQ47" s="766">
        <v>39.53</v>
      </c>
      <c r="AR47" s="766">
        <v>39.590000000000003</v>
      </c>
      <c r="AS47" s="766">
        <v>39.65</v>
      </c>
      <c r="AT47" s="766">
        <v>39.630000000000003</v>
      </c>
      <c r="AU47" s="766">
        <v>39.69</v>
      </c>
      <c r="AV47" s="766">
        <v>39.76</v>
      </c>
      <c r="AW47" s="766">
        <v>39.979999999999997</v>
      </c>
      <c r="AX47" s="766">
        <v>40.04</v>
      </c>
      <c r="AY47" s="766">
        <v>40.200000000000003</v>
      </c>
      <c r="AZ47" s="766">
        <v>40.33</v>
      </c>
      <c r="BA47" s="766">
        <v>40.450000000000003</v>
      </c>
      <c r="BB47" s="766">
        <v>40.56</v>
      </c>
      <c r="BC47" s="766">
        <v>40.69</v>
      </c>
      <c r="BD47" s="766">
        <v>40.79</v>
      </c>
      <c r="BE47" s="766">
        <v>40.909999999999997</v>
      </c>
      <c r="BF47" s="766">
        <v>41.04</v>
      </c>
      <c r="BG47" s="766">
        <v>41.19</v>
      </c>
      <c r="BH47" s="766">
        <v>41.36</v>
      </c>
      <c r="BI47" s="766">
        <v>41.48</v>
      </c>
      <c r="BJ47" s="766">
        <v>41.62</v>
      </c>
      <c r="BK47" s="766">
        <v>41.76</v>
      </c>
      <c r="BL47" s="766">
        <v>41.92</v>
      </c>
      <c r="BM47" s="766">
        <v>42.08</v>
      </c>
      <c r="BN47" s="766">
        <v>42.23</v>
      </c>
      <c r="BO47" s="766">
        <v>42.36</v>
      </c>
      <c r="BP47" s="766">
        <v>42.51</v>
      </c>
      <c r="BQ47" s="766">
        <v>42.64</v>
      </c>
      <c r="BR47" s="766">
        <v>42.77</v>
      </c>
      <c r="BS47" s="766">
        <v>42.93</v>
      </c>
      <c r="BT47" s="766">
        <v>43.06</v>
      </c>
      <c r="BU47" s="766">
        <v>43.19</v>
      </c>
      <c r="BV47" s="766">
        <v>43.32</v>
      </c>
      <c r="BW47" s="766">
        <v>43.46</v>
      </c>
      <c r="BX47" s="766">
        <v>43.58</v>
      </c>
      <c r="BY47" s="766">
        <v>43.72</v>
      </c>
      <c r="BZ47" s="766">
        <v>43.85</v>
      </c>
      <c r="CA47" s="766">
        <v>43.98</v>
      </c>
      <c r="CB47" s="766">
        <v>44.1</v>
      </c>
      <c r="CC47" s="766">
        <v>44.23</v>
      </c>
      <c r="CD47" s="766">
        <v>44.36</v>
      </c>
      <c r="CE47" s="766">
        <v>44.48</v>
      </c>
      <c r="CF47" s="766">
        <v>44.61</v>
      </c>
      <c r="CG47" s="766">
        <v>44.73</v>
      </c>
      <c r="CH47" s="766">
        <v>44.86</v>
      </c>
      <c r="CI47" s="766">
        <v>44.98</v>
      </c>
      <c r="CJ47" s="766">
        <v>45.1</v>
      </c>
      <c r="CK47" s="766">
        <v>45.22</v>
      </c>
      <c r="CL47" s="766">
        <v>45.34</v>
      </c>
      <c r="CM47" s="766">
        <v>45.46</v>
      </c>
      <c r="CN47" s="766">
        <v>45.58</v>
      </c>
      <c r="CO47" s="766">
        <v>45.7</v>
      </c>
      <c r="CP47" s="766">
        <v>45.81</v>
      </c>
      <c r="CQ47" s="766">
        <v>45.93</v>
      </c>
      <c r="CR47" s="766">
        <v>46.04</v>
      </c>
      <c r="CS47" s="766">
        <v>46.16</v>
      </c>
      <c r="CT47" s="766">
        <v>46.27</v>
      </c>
      <c r="CU47" s="766">
        <v>46.38</v>
      </c>
      <c r="CV47" s="766">
        <v>46.49</v>
      </c>
      <c r="CW47" s="766">
        <v>46.6</v>
      </c>
      <c r="CX47" s="766">
        <v>46.71</v>
      </c>
      <c r="CY47" s="766">
        <v>46.82</v>
      </c>
      <c r="CZ47" s="766">
        <v>46.93</v>
      </c>
      <c r="DA47" s="766">
        <v>47.03</v>
      </c>
      <c r="DB47" s="766">
        <v>47.14</v>
      </c>
      <c r="DC47" s="766">
        <v>47.24</v>
      </c>
      <c r="DD47" s="766">
        <v>47.35</v>
      </c>
      <c r="DE47" s="766">
        <v>47.45</v>
      </c>
      <c r="DF47" s="766">
        <v>47.55</v>
      </c>
      <c r="DG47" s="766">
        <v>47.65</v>
      </c>
      <c r="DH47" s="766">
        <v>47.76</v>
      </c>
      <c r="DI47" s="766">
        <v>47.86</v>
      </c>
      <c r="DJ47" s="766">
        <v>47.95</v>
      </c>
      <c r="DK47" s="766">
        <v>48.05</v>
      </c>
      <c r="DL47" s="766">
        <v>48.15</v>
      </c>
      <c r="DM47" s="766">
        <v>48.25</v>
      </c>
      <c r="DN47" s="766">
        <v>48.34</v>
      </c>
      <c r="DO47" s="766">
        <v>48.44</v>
      </c>
      <c r="DP47" s="766">
        <v>48.53</v>
      </c>
      <c r="DQ47" s="766">
        <v>48.63</v>
      </c>
      <c r="DR47" s="766">
        <v>48.72</v>
      </c>
    </row>
    <row r="48" spans="1:122">
      <c r="A48" s="950">
        <v>46</v>
      </c>
      <c r="B48" s="94"/>
      <c r="C48" s="94"/>
      <c r="D48" s="94"/>
      <c r="E48" s="94"/>
      <c r="F48" s="94"/>
      <c r="G48" s="94"/>
      <c r="H48" s="94"/>
      <c r="I48" s="94"/>
      <c r="J48" s="94"/>
      <c r="K48" s="94"/>
      <c r="L48" s="94"/>
      <c r="M48" s="94"/>
      <c r="N48" s="94"/>
      <c r="O48" s="94"/>
      <c r="P48" s="94"/>
      <c r="Q48" s="94"/>
      <c r="R48" s="94"/>
      <c r="S48" s="94"/>
      <c r="T48" s="94"/>
      <c r="U48" s="94"/>
      <c r="V48" s="766"/>
      <c r="W48" s="766">
        <v>34.840000000000003</v>
      </c>
      <c r="X48" s="766">
        <v>35.04</v>
      </c>
      <c r="Y48" s="766">
        <v>35.229999999999997</v>
      </c>
      <c r="Z48" s="766">
        <v>35.46</v>
      </c>
      <c r="AA48" s="766">
        <v>35.6</v>
      </c>
      <c r="AB48" s="766">
        <v>35.79</v>
      </c>
      <c r="AC48" s="766">
        <v>36.020000000000003</v>
      </c>
      <c r="AD48" s="766">
        <v>36.130000000000003</v>
      </c>
      <c r="AE48" s="766">
        <v>36.36</v>
      </c>
      <c r="AF48" s="766">
        <v>36.53</v>
      </c>
      <c r="AG48" s="766">
        <v>36.71</v>
      </c>
      <c r="AH48" s="766">
        <v>36.89</v>
      </c>
      <c r="AI48" s="766">
        <v>37.08</v>
      </c>
      <c r="AJ48" s="766">
        <v>37.33</v>
      </c>
      <c r="AK48" s="766">
        <v>37.57</v>
      </c>
      <c r="AL48" s="766">
        <v>37.83</v>
      </c>
      <c r="AM48" s="766">
        <v>38.08</v>
      </c>
      <c r="AN48" s="766">
        <v>38.270000000000003</v>
      </c>
      <c r="AO48" s="766">
        <v>38.43</v>
      </c>
      <c r="AP48" s="766">
        <v>38.54</v>
      </c>
      <c r="AQ48" s="766">
        <v>38.61</v>
      </c>
      <c r="AR48" s="766">
        <v>38.67</v>
      </c>
      <c r="AS48" s="766">
        <v>38.72</v>
      </c>
      <c r="AT48" s="766">
        <v>38.71</v>
      </c>
      <c r="AU48" s="766">
        <v>38.78</v>
      </c>
      <c r="AV48" s="766">
        <v>38.840000000000003</v>
      </c>
      <c r="AW48" s="766">
        <v>39.06</v>
      </c>
      <c r="AX48" s="766">
        <v>39.119999999999997</v>
      </c>
      <c r="AY48" s="766">
        <v>39.28</v>
      </c>
      <c r="AZ48" s="766">
        <v>39.4</v>
      </c>
      <c r="BA48" s="766">
        <v>39.520000000000003</v>
      </c>
      <c r="BB48" s="766">
        <v>39.630000000000003</v>
      </c>
      <c r="BC48" s="766">
        <v>39.76</v>
      </c>
      <c r="BD48" s="766">
        <v>39.86</v>
      </c>
      <c r="BE48" s="766">
        <v>39.979999999999997</v>
      </c>
      <c r="BF48" s="766">
        <v>40.11</v>
      </c>
      <c r="BG48" s="766">
        <v>40.26</v>
      </c>
      <c r="BH48" s="766">
        <v>40.42</v>
      </c>
      <c r="BI48" s="766">
        <v>40.54</v>
      </c>
      <c r="BJ48" s="766">
        <v>40.68</v>
      </c>
      <c r="BK48" s="766">
        <v>40.82</v>
      </c>
      <c r="BL48" s="766">
        <v>40.98</v>
      </c>
      <c r="BM48" s="766">
        <v>41.13</v>
      </c>
      <c r="BN48" s="766">
        <v>41.28</v>
      </c>
      <c r="BO48" s="766">
        <v>41.41</v>
      </c>
      <c r="BP48" s="766">
        <v>41.56</v>
      </c>
      <c r="BQ48" s="766">
        <v>41.69</v>
      </c>
      <c r="BR48" s="766">
        <v>41.82</v>
      </c>
      <c r="BS48" s="766">
        <v>41.97</v>
      </c>
      <c r="BT48" s="766">
        <v>42.1</v>
      </c>
      <c r="BU48" s="766">
        <v>42.23</v>
      </c>
      <c r="BV48" s="766">
        <v>42.37</v>
      </c>
      <c r="BW48" s="766">
        <v>42.5</v>
      </c>
      <c r="BX48" s="766">
        <v>42.63</v>
      </c>
      <c r="BY48" s="766">
        <v>42.76</v>
      </c>
      <c r="BZ48" s="766">
        <v>42.89</v>
      </c>
      <c r="CA48" s="766">
        <v>43.02</v>
      </c>
      <c r="CB48" s="766">
        <v>43.15</v>
      </c>
      <c r="CC48" s="766">
        <v>43.27</v>
      </c>
      <c r="CD48" s="766">
        <v>43.4</v>
      </c>
      <c r="CE48" s="766">
        <v>43.53</v>
      </c>
      <c r="CF48" s="766">
        <v>43.65</v>
      </c>
      <c r="CG48" s="766">
        <v>43.77</v>
      </c>
      <c r="CH48" s="766">
        <v>43.9</v>
      </c>
      <c r="CI48" s="766">
        <v>44.02</v>
      </c>
      <c r="CJ48" s="766">
        <v>44.14</v>
      </c>
      <c r="CK48" s="766">
        <v>44.26</v>
      </c>
      <c r="CL48" s="766">
        <v>44.38</v>
      </c>
      <c r="CM48" s="766">
        <v>44.5</v>
      </c>
      <c r="CN48" s="766">
        <v>44.61</v>
      </c>
      <c r="CO48" s="766">
        <v>44.73</v>
      </c>
      <c r="CP48" s="766">
        <v>44.85</v>
      </c>
      <c r="CQ48" s="766">
        <v>44.96</v>
      </c>
      <c r="CR48" s="766">
        <v>45.07</v>
      </c>
      <c r="CS48" s="766">
        <v>45.19</v>
      </c>
      <c r="CT48" s="766">
        <v>45.3</v>
      </c>
      <c r="CU48" s="766">
        <v>45.41</v>
      </c>
      <c r="CV48" s="766">
        <v>45.52</v>
      </c>
      <c r="CW48" s="766">
        <v>45.63</v>
      </c>
      <c r="CX48" s="766">
        <v>45.74</v>
      </c>
      <c r="CY48" s="766">
        <v>45.85</v>
      </c>
      <c r="CZ48" s="766">
        <v>45.95</v>
      </c>
      <c r="DA48" s="766">
        <v>46.06</v>
      </c>
      <c r="DB48" s="766">
        <v>46.17</v>
      </c>
      <c r="DC48" s="766">
        <v>46.27</v>
      </c>
      <c r="DD48" s="766">
        <v>46.37</v>
      </c>
      <c r="DE48" s="766">
        <v>46.48</v>
      </c>
      <c r="DF48" s="766">
        <v>46.58</v>
      </c>
      <c r="DG48" s="766">
        <v>46.68</v>
      </c>
      <c r="DH48" s="766">
        <v>46.78</v>
      </c>
      <c r="DI48" s="766">
        <v>46.88</v>
      </c>
      <c r="DJ48" s="766">
        <v>46.98</v>
      </c>
      <c r="DK48" s="766">
        <v>47.08</v>
      </c>
      <c r="DL48" s="766">
        <v>47.17</v>
      </c>
      <c r="DM48" s="766">
        <v>47.27</v>
      </c>
      <c r="DN48" s="766">
        <v>47.36</v>
      </c>
      <c r="DO48" s="766">
        <v>47.46</v>
      </c>
      <c r="DP48" s="766">
        <v>47.55</v>
      </c>
      <c r="DQ48" s="766">
        <v>47.65</v>
      </c>
      <c r="DR48" s="766">
        <v>47.74</v>
      </c>
    </row>
    <row r="49" spans="1:122">
      <c r="A49" s="950">
        <v>47</v>
      </c>
      <c r="B49" s="94"/>
      <c r="C49" s="94"/>
      <c r="D49" s="94"/>
      <c r="E49" s="94"/>
      <c r="F49" s="94"/>
      <c r="G49" s="94"/>
      <c r="H49" s="94"/>
      <c r="I49" s="94"/>
      <c r="J49" s="94"/>
      <c r="K49" s="94"/>
      <c r="L49" s="94"/>
      <c r="M49" s="94"/>
      <c r="N49" s="94"/>
      <c r="O49" s="94"/>
      <c r="P49" s="94"/>
      <c r="Q49" s="94"/>
      <c r="R49" s="94"/>
      <c r="S49" s="94"/>
      <c r="T49" s="94"/>
      <c r="U49" s="94"/>
      <c r="V49" s="766"/>
      <c r="W49" s="766">
        <v>33.950000000000003</v>
      </c>
      <c r="X49" s="766">
        <v>34.15</v>
      </c>
      <c r="Y49" s="766">
        <v>34.35</v>
      </c>
      <c r="Z49" s="766">
        <v>34.57</v>
      </c>
      <c r="AA49" s="766">
        <v>34.71</v>
      </c>
      <c r="AB49" s="766">
        <v>34.9</v>
      </c>
      <c r="AC49" s="766">
        <v>35.119999999999997</v>
      </c>
      <c r="AD49" s="766">
        <v>35.24</v>
      </c>
      <c r="AE49" s="766">
        <v>35.47</v>
      </c>
      <c r="AF49" s="766">
        <v>35.630000000000003</v>
      </c>
      <c r="AG49" s="766">
        <v>35.81</v>
      </c>
      <c r="AH49" s="766">
        <v>35.99</v>
      </c>
      <c r="AI49" s="766">
        <v>36.17</v>
      </c>
      <c r="AJ49" s="766">
        <v>36.43</v>
      </c>
      <c r="AK49" s="766">
        <v>36.659999999999997</v>
      </c>
      <c r="AL49" s="766">
        <v>36.92</v>
      </c>
      <c r="AM49" s="766">
        <v>37.159999999999997</v>
      </c>
      <c r="AN49" s="766">
        <v>37.36</v>
      </c>
      <c r="AO49" s="766">
        <v>37.51</v>
      </c>
      <c r="AP49" s="766">
        <v>37.630000000000003</v>
      </c>
      <c r="AQ49" s="766">
        <v>37.69</v>
      </c>
      <c r="AR49" s="766">
        <v>37.75</v>
      </c>
      <c r="AS49" s="766">
        <v>37.799999999999997</v>
      </c>
      <c r="AT49" s="766">
        <v>37.799999999999997</v>
      </c>
      <c r="AU49" s="766">
        <v>37.86</v>
      </c>
      <c r="AV49" s="766">
        <v>37.92</v>
      </c>
      <c r="AW49" s="766">
        <v>38.14</v>
      </c>
      <c r="AX49" s="766">
        <v>38.200000000000003</v>
      </c>
      <c r="AY49" s="766">
        <v>38.36</v>
      </c>
      <c r="AZ49" s="766">
        <v>38.479999999999997</v>
      </c>
      <c r="BA49" s="766">
        <v>38.6</v>
      </c>
      <c r="BB49" s="766">
        <v>38.71</v>
      </c>
      <c r="BC49" s="766">
        <v>38.83</v>
      </c>
      <c r="BD49" s="766">
        <v>38.94</v>
      </c>
      <c r="BE49" s="766">
        <v>39.049999999999997</v>
      </c>
      <c r="BF49" s="766">
        <v>39.18</v>
      </c>
      <c r="BG49" s="766">
        <v>39.33</v>
      </c>
      <c r="BH49" s="766">
        <v>39.49</v>
      </c>
      <c r="BI49" s="766">
        <v>39.61</v>
      </c>
      <c r="BJ49" s="766">
        <v>39.75</v>
      </c>
      <c r="BK49" s="766">
        <v>39.880000000000003</v>
      </c>
      <c r="BL49" s="766">
        <v>40.04</v>
      </c>
      <c r="BM49" s="766">
        <v>40.19</v>
      </c>
      <c r="BN49" s="766">
        <v>40.340000000000003</v>
      </c>
      <c r="BO49" s="766">
        <v>40.47</v>
      </c>
      <c r="BP49" s="766">
        <v>40.61</v>
      </c>
      <c r="BQ49" s="766">
        <v>40.74</v>
      </c>
      <c r="BR49" s="766">
        <v>40.880000000000003</v>
      </c>
      <c r="BS49" s="766">
        <v>41.02</v>
      </c>
      <c r="BT49" s="766">
        <v>41.16</v>
      </c>
      <c r="BU49" s="766">
        <v>41.28</v>
      </c>
      <c r="BV49" s="766">
        <v>41.42</v>
      </c>
      <c r="BW49" s="766">
        <v>41.55</v>
      </c>
      <c r="BX49" s="766">
        <v>41.68</v>
      </c>
      <c r="BY49" s="766">
        <v>41.81</v>
      </c>
      <c r="BZ49" s="766">
        <v>41.94</v>
      </c>
      <c r="CA49" s="766">
        <v>42.07</v>
      </c>
      <c r="CB49" s="766">
        <v>42.19</v>
      </c>
      <c r="CC49" s="766">
        <v>42.32</v>
      </c>
      <c r="CD49" s="766">
        <v>42.44</v>
      </c>
      <c r="CE49" s="766">
        <v>42.57</v>
      </c>
      <c r="CF49" s="766">
        <v>42.69</v>
      </c>
      <c r="CG49" s="766">
        <v>42.82</v>
      </c>
      <c r="CH49" s="766">
        <v>42.94</v>
      </c>
      <c r="CI49" s="766">
        <v>43.06</v>
      </c>
      <c r="CJ49" s="766">
        <v>43.18</v>
      </c>
      <c r="CK49" s="766">
        <v>43.3</v>
      </c>
      <c r="CL49" s="766">
        <v>43.42</v>
      </c>
      <c r="CM49" s="766">
        <v>43.53</v>
      </c>
      <c r="CN49" s="766">
        <v>43.65</v>
      </c>
      <c r="CO49" s="766">
        <v>43.77</v>
      </c>
      <c r="CP49" s="766">
        <v>43.88</v>
      </c>
      <c r="CQ49" s="766">
        <v>44</v>
      </c>
      <c r="CR49" s="766">
        <v>44.11</v>
      </c>
      <c r="CS49" s="766">
        <v>44.22</v>
      </c>
      <c r="CT49" s="766">
        <v>44.33</v>
      </c>
      <c r="CU49" s="766">
        <v>44.44</v>
      </c>
      <c r="CV49" s="766">
        <v>44.55</v>
      </c>
      <c r="CW49" s="766">
        <v>44.66</v>
      </c>
      <c r="CX49" s="766">
        <v>44.77</v>
      </c>
      <c r="CY49" s="766">
        <v>44.88</v>
      </c>
      <c r="CZ49" s="766">
        <v>44.98</v>
      </c>
      <c r="DA49" s="766">
        <v>45.09</v>
      </c>
      <c r="DB49" s="766">
        <v>45.19</v>
      </c>
      <c r="DC49" s="766">
        <v>45.3</v>
      </c>
      <c r="DD49" s="766">
        <v>45.4</v>
      </c>
      <c r="DE49" s="766">
        <v>45.5</v>
      </c>
      <c r="DF49" s="766">
        <v>45.6</v>
      </c>
      <c r="DG49" s="766">
        <v>45.71</v>
      </c>
      <c r="DH49" s="766">
        <v>45.81</v>
      </c>
      <c r="DI49" s="766">
        <v>45.9</v>
      </c>
      <c r="DJ49" s="766">
        <v>46</v>
      </c>
      <c r="DK49" s="766">
        <v>46.1</v>
      </c>
      <c r="DL49" s="766">
        <v>46.2</v>
      </c>
      <c r="DM49" s="766">
        <v>46.29</v>
      </c>
      <c r="DN49" s="766">
        <v>46.39</v>
      </c>
      <c r="DO49" s="766">
        <v>46.48</v>
      </c>
      <c r="DP49" s="766">
        <v>46.58</v>
      </c>
      <c r="DQ49" s="766">
        <v>46.67</v>
      </c>
      <c r="DR49" s="766">
        <v>46.76</v>
      </c>
    </row>
    <row r="50" spans="1:122">
      <c r="A50" s="950">
        <v>48</v>
      </c>
      <c r="B50" s="94"/>
      <c r="C50" s="94"/>
      <c r="D50" s="94"/>
      <c r="E50" s="94"/>
      <c r="F50" s="94"/>
      <c r="G50" s="94"/>
      <c r="H50" s="94"/>
      <c r="I50" s="94"/>
      <c r="J50" s="94"/>
      <c r="K50" s="94"/>
      <c r="L50" s="94"/>
      <c r="M50" s="94"/>
      <c r="N50" s="94"/>
      <c r="O50" s="94"/>
      <c r="P50" s="94"/>
      <c r="Q50" s="94"/>
      <c r="R50" s="94"/>
      <c r="S50" s="94"/>
      <c r="T50" s="94"/>
      <c r="U50" s="94"/>
      <c r="V50" s="766"/>
      <c r="W50" s="766">
        <v>33.07</v>
      </c>
      <c r="X50" s="766">
        <v>33.270000000000003</v>
      </c>
      <c r="Y50" s="766">
        <v>33.46</v>
      </c>
      <c r="Z50" s="766">
        <v>33.68</v>
      </c>
      <c r="AA50" s="766">
        <v>33.82</v>
      </c>
      <c r="AB50" s="766">
        <v>34.01</v>
      </c>
      <c r="AC50" s="766">
        <v>34.229999999999997</v>
      </c>
      <c r="AD50" s="766">
        <v>34.35</v>
      </c>
      <c r="AE50" s="766">
        <v>34.58</v>
      </c>
      <c r="AF50" s="766">
        <v>34.74</v>
      </c>
      <c r="AG50" s="766">
        <v>34.92</v>
      </c>
      <c r="AH50" s="766">
        <v>35.090000000000003</v>
      </c>
      <c r="AI50" s="766">
        <v>35.28</v>
      </c>
      <c r="AJ50" s="766">
        <v>35.53</v>
      </c>
      <c r="AK50" s="766">
        <v>35.76</v>
      </c>
      <c r="AL50" s="766">
        <v>36.01</v>
      </c>
      <c r="AM50" s="766">
        <v>36.25</v>
      </c>
      <c r="AN50" s="766">
        <v>36.450000000000003</v>
      </c>
      <c r="AO50" s="766">
        <v>36.6</v>
      </c>
      <c r="AP50" s="766">
        <v>36.71</v>
      </c>
      <c r="AQ50" s="766">
        <v>36.78</v>
      </c>
      <c r="AR50" s="766">
        <v>36.840000000000003</v>
      </c>
      <c r="AS50" s="766">
        <v>36.89</v>
      </c>
      <c r="AT50" s="766">
        <v>36.89</v>
      </c>
      <c r="AU50" s="766">
        <v>36.950000000000003</v>
      </c>
      <c r="AV50" s="766">
        <v>37.01</v>
      </c>
      <c r="AW50" s="766">
        <v>37.22</v>
      </c>
      <c r="AX50" s="766">
        <v>37.28</v>
      </c>
      <c r="AY50" s="766">
        <v>37.44</v>
      </c>
      <c r="AZ50" s="766">
        <v>37.56</v>
      </c>
      <c r="BA50" s="766">
        <v>37.67</v>
      </c>
      <c r="BB50" s="766">
        <v>37.79</v>
      </c>
      <c r="BC50" s="766">
        <v>37.909999999999997</v>
      </c>
      <c r="BD50" s="766">
        <v>38.01</v>
      </c>
      <c r="BE50" s="766">
        <v>38.130000000000003</v>
      </c>
      <c r="BF50" s="766">
        <v>38.26</v>
      </c>
      <c r="BG50" s="766">
        <v>38.4</v>
      </c>
      <c r="BH50" s="766">
        <v>38.56</v>
      </c>
      <c r="BI50" s="766">
        <v>38.68</v>
      </c>
      <c r="BJ50" s="766">
        <v>38.82</v>
      </c>
      <c r="BK50" s="766">
        <v>38.950000000000003</v>
      </c>
      <c r="BL50" s="766">
        <v>39.11</v>
      </c>
      <c r="BM50" s="766">
        <v>39.26</v>
      </c>
      <c r="BN50" s="766">
        <v>39.4</v>
      </c>
      <c r="BO50" s="766">
        <v>39.53</v>
      </c>
      <c r="BP50" s="766">
        <v>39.67</v>
      </c>
      <c r="BQ50" s="766">
        <v>39.799999999999997</v>
      </c>
      <c r="BR50" s="766">
        <v>39.93</v>
      </c>
      <c r="BS50" s="766">
        <v>40.08</v>
      </c>
      <c r="BT50" s="766">
        <v>40.21</v>
      </c>
      <c r="BU50" s="766">
        <v>40.340000000000003</v>
      </c>
      <c r="BV50" s="766">
        <v>40.47</v>
      </c>
      <c r="BW50" s="766">
        <v>40.6</v>
      </c>
      <c r="BX50" s="766">
        <v>40.729999999999997</v>
      </c>
      <c r="BY50" s="766">
        <v>40.86</v>
      </c>
      <c r="BZ50" s="766">
        <v>40.99</v>
      </c>
      <c r="CA50" s="766">
        <v>41.12</v>
      </c>
      <c r="CB50" s="766">
        <v>41.24</v>
      </c>
      <c r="CC50" s="766">
        <v>41.37</v>
      </c>
      <c r="CD50" s="766">
        <v>41.49</v>
      </c>
      <c r="CE50" s="766">
        <v>41.61</v>
      </c>
      <c r="CF50" s="766">
        <v>41.74</v>
      </c>
      <c r="CG50" s="766">
        <v>41.86</v>
      </c>
      <c r="CH50" s="766">
        <v>41.98</v>
      </c>
      <c r="CI50" s="766">
        <v>42.1</v>
      </c>
      <c r="CJ50" s="766">
        <v>42.22</v>
      </c>
      <c r="CK50" s="766">
        <v>42.34</v>
      </c>
      <c r="CL50" s="766">
        <v>42.46</v>
      </c>
      <c r="CM50" s="766">
        <v>42.57</v>
      </c>
      <c r="CN50" s="766">
        <v>42.69</v>
      </c>
      <c r="CO50" s="766">
        <v>42.8</v>
      </c>
      <c r="CP50" s="766">
        <v>42.92</v>
      </c>
      <c r="CQ50" s="766">
        <v>43.03</v>
      </c>
      <c r="CR50" s="766">
        <v>43.15</v>
      </c>
      <c r="CS50" s="766">
        <v>43.26</v>
      </c>
      <c r="CT50" s="766">
        <v>43.37</v>
      </c>
      <c r="CU50" s="766">
        <v>43.48</v>
      </c>
      <c r="CV50" s="766">
        <v>43.59</v>
      </c>
      <c r="CW50" s="766">
        <v>43.7</v>
      </c>
      <c r="CX50" s="766">
        <v>43.8</v>
      </c>
      <c r="CY50" s="766">
        <v>43.91</v>
      </c>
      <c r="CZ50" s="766">
        <v>44.02</v>
      </c>
      <c r="DA50" s="766">
        <v>44.12</v>
      </c>
      <c r="DB50" s="766">
        <v>44.22</v>
      </c>
      <c r="DC50" s="766">
        <v>44.33</v>
      </c>
      <c r="DD50" s="766">
        <v>44.43</v>
      </c>
      <c r="DE50" s="766">
        <v>44.53</v>
      </c>
      <c r="DF50" s="766">
        <v>44.63</v>
      </c>
      <c r="DG50" s="766">
        <v>44.73</v>
      </c>
      <c r="DH50" s="766">
        <v>44.83</v>
      </c>
      <c r="DI50" s="766">
        <v>44.93</v>
      </c>
      <c r="DJ50" s="766">
        <v>45.03</v>
      </c>
      <c r="DK50" s="766">
        <v>45.13</v>
      </c>
      <c r="DL50" s="766">
        <v>45.22</v>
      </c>
      <c r="DM50" s="766">
        <v>45.32</v>
      </c>
      <c r="DN50" s="766">
        <v>45.41</v>
      </c>
      <c r="DO50" s="766">
        <v>45.51</v>
      </c>
      <c r="DP50" s="766">
        <v>45.6</v>
      </c>
      <c r="DQ50" s="766">
        <v>45.69</v>
      </c>
      <c r="DR50" s="766">
        <v>45.78</v>
      </c>
    </row>
    <row r="51" spans="1:122">
      <c r="A51" s="950">
        <v>49</v>
      </c>
      <c r="B51" s="94"/>
      <c r="C51" s="94"/>
      <c r="D51" s="94"/>
      <c r="E51" s="94"/>
      <c r="F51" s="94"/>
      <c r="G51" s="94"/>
      <c r="H51" s="94"/>
      <c r="I51" s="94"/>
      <c r="J51" s="94"/>
      <c r="K51" s="94"/>
      <c r="L51" s="94"/>
      <c r="M51" s="94"/>
      <c r="N51" s="94"/>
      <c r="O51" s="94"/>
      <c r="P51" s="94"/>
      <c r="Q51" s="94"/>
      <c r="R51" s="94"/>
      <c r="S51" s="94"/>
      <c r="T51" s="94"/>
      <c r="U51" s="94"/>
      <c r="V51" s="766"/>
      <c r="W51" s="766">
        <v>32.200000000000003</v>
      </c>
      <c r="X51" s="766">
        <v>32.4</v>
      </c>
      <c r="Y51" s="766">
        <v>32.590000000000003</v>
      </c>
      <c r="Z51" s="766">
        <v>32.799999999999997</v>
      </c>
      <c r="AA51" s="766">
        <v>32.94</v>
      </c>
      <c r="AB51" s="766">
        <v>33.130000000000003</v>
      </c>
      <c r="AC51" s="766">
        <v>33.35</v>
      </c>
      <c r="AD51" s="766">
        <v>33.46</v>
      </c>
      <c r="AE51" s="766">
        <v>33.69</v>
      </c>
      <c r="AF51" s="766">
        <v>33.86</v>
      </c>
      <c r="AG51" s="766">
        <v>34.03</v>
      </c>
      <c r="AH51" s="766">
        <v>34.21</v>
      </c>
      <c r="AI51" s="766">
        <v>34.380000000000003</v>
      </c>
      <c r="AJ51" s="766">
        <v>34.630000000000003</v>
      </c>
      <c r="AK51" s="766">
        <v>34.86</v>
      </c>
      <c r="AL51" s="766">
        <v>35.11</v>
      </c>
      <c r="AM51" s="766">
        <v>35.340000000000003</v>
      </c>
      <c r="AN51" s="766">
        <v>35.54</v>
      </c>
      <c r="AO51" s="766">
        <v>35.69</v>
      </c>
      <c r="AP51" s="766">
        <v>35.81</v>
      </c>
      <c r="AQ51" s="766">
        <v>35.869999999999997</v>
      </c>
      <c r="AR51" s="766">
        <v>35.93</v>
      </c>
      <c r="AS51" s="766">
        <v>35.979999999999997</v>
      </c>
      <c r="AT51" s="766">
        <v>35.979999999999997</v>
      </c>
      <c r="AU51" s="766">
        <v>36.049999999999997</v>
      </c>
      <c r="AV51" s="766">
        <v>36.1</v>
      </c>
      <c r="AW51" s="766">
        <v>36.32</v>
      </c>
      <c r="AX51" s="766">
        <v>36.369999999999997</v>
      </c>
      <c r="AY51" s="766">
        <v>36.520000000000003</v>
      </c>
      <c r="AZ51" s="766">
        <v>36.64</v>
      </c>
      <c r="BA51" s="766">
        <v>36.76</v>
      </c>
      <c r="BB51" s="766">
        <v>36.869999999999997</v>
      </c>
      <c r="BC51" s="766">
        <v>36.99</v>
      </c>
      <c r="BD51" s="766">
        <v>37.090000000000003</v>
      </c>
      <c r="BE51" s="766">
        <v>37.21</v>
      </c>
      <c r="BF51" s="766">
        <v>37.33</v>
      </c>
      <c r="BG51" s="766">
        <v>37.479999999999997</v>
      </c>
      <c r="BH51" s="766">
        <v>37.630000000000003</v>
      </c>
      <c r="BI51" s="766">
        <v>37.75</v>
      </c>
      <c r="BJ51" s="766">
        <v>37.89</v>
      </c>
      <c r="BK51" s="766">
        <v>38.020000000000003</v>
      </c>
      <c r="BL51" s="766">
        <v>38.17</v>
      </c>
      <c r="BM51" s="766">
        <v>38.32</v>
      </c>
      <c r="BN51" s="766">
        <v>38.47</v>
      </c>
      <c r="BO51" s="766">
        <v>38.6</v>
      </c>
      <c r="BP51" s="766">
        <v>38.729999999999997</v>
      </c>
      <c r="BQ51" s="766">
        <v>38.869999999999997</v>
      </c>
      <c r="BR51" s="766">
        <v>39</v>
      </c>
      <c r="BS51" s="766">
        <v>39.14</v>
      </c>
      <c r="BT51" s="766">
        <v>39.270000000000003</v>
      </c>
      <c r="BU51" s="766">
        <v>39.4</v>
      </c>
      <c r="BV51" s="766">
        <v>39.53</v>
      </c>
      <c r="BW51" s="766">
        <v>39.659999999999997</v>
      </c>
      <c r="BX51" s="766">
        <v>39.79</v>
      </c>
      <c r="BY51" s="766">
        <v>39.909999999999997</v>
      </c>
      <c r="BZ51" s="766">
        <v>40.04</v>
      </c>
      <c r="CA51" s="766">
        <v>40.17</v>
      </c>
      <c r="CB51" s="766">
        <v>40.29</v>
      </c>
      <c r="CC51" s="766">
        <v>40.42</v>
      </c>
      <c r="CD51" s="766">
        <v>40.54</v>
      </c>
      <c r="CE51" s="766">
        <v>40.659999999999997</v>
      </c>
      <c r="CF51" s="766">
        <v>40.79</v>
      </c>
      <c r="CG51" s="766">
        <v>40.909999999999997</v>
      </c>
      <c r="CH51" s="766">
        <v>41.03</v>
      </c>
      <c r="CI51" s="766">
        <v>41.15</v>
      </c>
      <c r="CJ51" s="766">
        <v>41.27</v>
      </c>
      <c r="CK51" s="766">
        <v>41.38</v>
      </c>
      <c r="CL51" s="766">
        <v>41.5</v>
      </c>
      <c r="CM51" s="766">
        <v>41.62</v>
      </c>
      <c r="CN51" s="766">
        <v>41.73</v>
      </c>
      <c r="CO51" s="766">
        <v>41.85</v>
      </c>
      <c r="CP51" s="766">
        <v>41.96</v>
      </c>
      <c r="CQ51" s="766">
        <v>42.07</v>
      </c>
      <c r="CR51" s="766">
        <v>42.18</v>
      </c>
      <c r="CS51" s="766">
        <v>42.3</v>
      </c>
      <c r="CT51" s="766">
        <v>42.41</v>
      </c>
      <c r="CU51" s="766">
        <v>42.52</v>
      </c>
      <c r="CV51" s="766">
        <v>42.62</v>
      </c>
      <c r="CW51" s="766">
        <v>42.73</v>
      </c>
      <c r="CX51" s="766">
        <v>42.84</v>
      </c>
      <c r="CY51" s="766">
        <v>42.94</v>
      </c>
      <c r="CZ51" s="766">
        <v>43.05</v>
      </c>
      <c r="DA51" s="766">
        <v>43.15</v>
      </c>
      <c r="DB51" s="766">
        <v>43.26</v>
      </c>
      <c r="DC51" s="766">
        <v>43.36</v>
      </c>
      <c r="DD51" s="766">
        <v>43.46</v>
      </c>
      <c r="DE51" s="766">
        <v>43.56</v>
      </c>
      <c r="DF51" s="766">
        <v>43.66</v>
      </c>
      <c r="DG51" s="766">
        <v>43.76</v>
      </c>
      <c r="DH51" s="766">
        <v>43.86</v>
      </c>
      <c r="DI51" s="766">
        <v>43.96</v>
      </c>
      <c r="DJ51" s="766">
        <v>44.06</v>
      </c>
      <c r="DK51" s="766">
        <v>44.15</v>
      </c>
      <c r="DL51" s="766">
        <v>44.25</v>
      </c>
      <c r="DM51" s="766">
        <v>44.35</v>
      </c>
      <c r="DN51" s="766">
        <v>44.44</v>
      </c>
      <c r="DO51" s="766">
        <v>44.53</v>
      </c>
      <c r="DP51" s="766">
        <v>44.63</v>
      </c>
      <c r="DQ51" s="766">
        <v>44.72</v>
      </c>
      <c r="DR51" s="766">
        <v>44.81</v>
      </c>
    </row>
    <row r="52" spans="1:122">
      <c r="A52" s="950">
        <v>50</v>
      </c>
      <c r="B52" s="94"/>
      <c r="C52" s="94"/>
      <c r="D52" s="94"/>
      <c r="E52" s="94"/>
      <c r="F52" s="94"/>
      <c r="G52" s="94"/>
      <c r="H52" s="94"/>
      <c r="I52" s="94"/>
      <c r="J52" s="94"/>
      <c r="K52" s="94"/>
      <c r="L52" s="94"/>
      <c r="M52" s="94"/>
      <c r="N52" s="94"/>
      <c r="O52" s="94"/>
      <c r="P52" s="94"/>
      <c r="Q52" s="94"/>
      <c r="R52" s="94"/>
      <c r="S52" s="94"/>
      <c r="T52" s="94"/>
      <c r="U52" s="94"/>
      <c r="V52" s="766"/>
      <c r="W52" s="766">
        <v>31.33</v>
      </c>
      <c r="X52" s="766">
        <v>31.53</v>
      </c>
      <c r="Y52" s="766">
        <v>31.72</v>
      </c>
      <c r="Z52" s="766">
        <v>31.93</v>
      </c>
      <c r="AA52" s="766">
        <v>32.07</v>
      </c>
      <c r="AB52" s="766">
        <v>32.26</v>
      </c>
      <c r="AC52" s="766">
        <v>32.47</v>
      </c>
      <c r="AD52" s="766">
        <v>32.58</v>
      </c>
      <c r="AE52" s="766">
        <v>32.81</v>
      </c>
      <c r="AF52" s="766">
        <v>32.97</v>
      </c>
      <c r="AG52" s="766">
        <v>33.14</v>
      </c>
      <c r="AH52" s="766">
        <v>33.32</v>
      </c>
      <c r="AI52" s="766">
        <v>33.49</v>
      </c>
      <c r="AJ52" s="766">
        <v>33.74</v>
      </c>
      <c r="AK52" s="766">
        <v>33.96</v>
      </c>
      <c r="AL52" s="766">
        <v>34.21</v>
      </c>
      <c r="AM52" s="766">
        <v>34.44</v>
      </c>
      <c r="AN52" s="766">
        <v>34.64</v>
      </c>
      <c r="AO52" s="766">
        <v>34.79</v>
      </c>
      <c r="AP52" s="766">
        <v>34.9</v>
      </c>
      <c r="AQ52" s="766">
        <v>34.97</v>
      </c>
      <c r="AR52" s="766">
        <v>35.03</v>
      </c>
      <c r="AS52" s="766">
        <v>35.08</v>
      </c>
      <c r="AT52" s="766">
        <v>35.08</v>
      </c>
      <c r="AU52" s="766">
        <v>35.14</v>
      </c>
      <c r="AV52" s="766">
        <v>35.200000000000003</v>
      </c>
      <c r="AW52" s="766">
        <v>35.409999999999997</v>
      </c>
      <c r="AX52" s="766">
        <v>35.46</v>
      </c>
      <c r="AY52" s="766">
        <v>35.61</v>
      </c>
      <c r="AZ52" s="766">
        <v>35.729999999999997</v>
      </c>
      <c r="BA52" s="766">
        <v>35.840000000000003</v>
      </c>
      <c r="BB52" s="766">
        <v>35.96</v>
      </c>
      <c r="BC52" s="766">
        <v>36.08</v>
      </c>
      <c r="BD52" s="766">
        <v>36.18</v>
      </c>
      <c r="BE52" s="766">
        <v>36.29</v>
      </c>
      <c r="BF52" s="766">
        <v>36.42</v>
      </c>
      <c r="BG52" s="766">
        <v>36.56</v>
      </c>
      <c r="BH52" s="766">
        <v>36.700000000000003</v>
      </c>
      <c r="BI52" s="766">
        <v>36.83</v>
      </c>
      <c r="BJ52" s="766">
        <v>36.96</v>
      </c>
      <c r="BK52" s="766">
        <v>37.1</v>
      </c>
      <c r="BL52" s="766">
        <v>37.25</v>
      </c>
      <c r="BM52" s="766">
        <v>37.39</v>
      </c>
      <c r="BN52" s="766">
        <v>37.54</v>
      </c>
      <c r="BO52" s="766">
        <v>37.67</v>
      </c>
      <c r="BP52" s="766">
        <v>37.799999999999997</v>
      </c>
      <c r="BQ52" s="766">
        <v>37.93</v>
      </c>
      <c r="BR52" s="766">
        <v>38.07</v>
      </c>
      <c r="BS52" s="766">
        <v>38.200000000000003</v>
      </c>
      <c r="BT52" s="766">
        <v>38.33</v>
      </c>
      <c r="BU52" s="766">
        <v>38.46</v>
      </c>
      <c r="BV52" s="766">
        <v>38.590000000000003</v>
      </c>
      <c r="BW52" s="766">
        <v>38.72</v>
      </c>
      <c r="BX52" s="766">
        <v>38.85</v>
      </c>
      <c r="BY52" s="766">
        <v>38.97</v>
      </c>
      <c r="BZ52" s="766">
        <v>39.1</v>
      </c>
      <c r="CA52" s="766">
        <v>39.22</v>
      </c>
      <c r="CB52" s="766">
        <v>39.35</v>
      </c>
      <c r="CC52" s="766">
        <v>39.47</v>
      </c>
      <c r="CD52" s="766">
        <v>39.6</v>
      </c>
      <c r="CE52" s="766">
        <v>39.72</v>
      </c>
      <c r="CF52" s="766">
        <v>39.840000000000003</v>
      </c>
      <c r="CG52" s="766">
        <v>39.96</v>
      </c>
      <c r="CH52" s="766">
        <v>40.08</v>
      </c>
      <c r="CI52" s="766">
        <v>40.200000000000003</v>
      </c>
      <c r="CJ52" s="766">
        <v>40.31</v>
      </c>
      <c r="CK52" s="766">
        <v>40.43</v>
      </c>
      <c r="CL52" s="766">
        <v>40.549999999999997</v>
      </c>
      <c r="CM52" s="766">
        <v>40.659999999999997</v>
      </c>
      <c r="CN52" s="766">
        <v>40.78</v>
      </c>
      <c r="CO52" s="766">
        <v>40.89</v>
      </c>
      <c r="CP52" s="766">
        <v>41</v>
      </c>
      <c r="CQ52" s="766">
        <v>41.12</v>
      </c>
      <c r="CR52" s="766">
        <v>41.23</v>
      </c>
      <c r="CS52" s="766">
        <v>41.34</v>
      </c>
      <c r="CT52" s="766">
        <v>41.45</v>
      </c>
      <c r="CU52" s="766">
        <v>41.56</v>
      </c>
      <c r="CV52" s="766">
        <v>41.66</v>
      </c>
      <c r="CW52" s="766">
        <v>41.77</v>
      </c>
      <c r="CX52" s="766">
        <v>41.88</v>
      </c>
      <c r="CY52" s="766">
        <v>41.98</v>
      </c>
      <c r="CZ52" s="766">
        <v>42.09</v>
      </c>
      <c r="DA52" s="766">
        <v>42.19</v>
      </c>
      <c r="DB52" s="766">
        <v>42.29</v>
      </c>
      <c r="DC52" s="766">
        <v>42.4</v>
      </c>
      <c r="DD52" s="766">
        <v>42.5</v>
      </c>
      <c r="DE52" s="766">
        <v>42.6</v>
      </c>
      <c r="DF52" s="766">
        <v>42.7</v>
      </c>
      <c r="DG52" s="766">
        <v>42.8</v>
      </c>
      <c r="DH52" s="766">
        <v>42.9</v>
      </c>
      <c r="DI52" s="766">
        <v>42.99</v>
      </c>
      <c r="DJ52" s="766">
        <v>43.09</v>
      </c>
      <c r="DK52" s="766">
        <v>43.19</v>
      </c>
      <c r="DL52" s="766">
        <v>43.28</v>
      </c>
      <c r="DM52" s="766">
        <v>43.37</v>
      </c>
      <c r="DN52" s="766">
        <v>43.47</v>
      </c>
      <c r="DO52" s="766">
        <v>43.56</v>
      </c>
      <c r="DP52" s="766">
        <v>43.65</v>
      </c>
      <c r="DQ52" s="766">
        <v>43.74</v>
      </c>
      <c r="DR52" s="766">
        <v>43.83</v>
      </c>
    </row>
    <row r="53" spans="1:122">
      <c r="A53" s="950">
        <v>51</v>
      </c>
      <c r="B53" s="94"/>
      <c r="C53" s="94"/>
      <c r="D53" s="94"/>
      <c r="E53" s="94"/>
      <c r="F53" s="94"/>
      <c r="G53" s="94"/>
      <c r="H53" s="94"/>
      <c r="I53" s="94"/>
      <c r="J53" s="94"/>
      <c r="K53" s="94"/>
      <c r="L53" s="94"/>
      <c r="M53" s="94"/>
      <c r="N53" s="94"/>
      <c r="O53" s="94"/>
      <c r="P53" s="94"/>
      <c r="Q53" s="94"/>
      <c r="R53" s="94"/>
      <c r="S53" s="94"/>
      <c r="T53" s="94"/>
      <c r="U53" s="94"/>
      <c r="V53" s="766"/>
      <c r="W53" s="766">
        <v>30.47</v>
      </c>
      <c r="X53" s="766">
        <v>30.66</v>
      </c>
      <c r="Y53" s="766">
        <v>30.85</v>
      </c>
      <c r="Z53" s="766">
        <v>31.05</v>
      </c>
      <c r="AA53" s="766">
        <v>31.2</v>
      </c>
      <c r="AB53" s="766">
        <v>31.39</v>
      </c>
      <c r="AC53" s="766">
        <v>31.6</v>
      </c>
      <c r="AD53" s="766">
        <v>31.71</v>
      </c>
      <c r="AE53" s="766">
        <v>31.93</v>
      </c>
      <c r="AF53" s="766">
        <v>32.090000000000003</v>
      </c>
      <c r="AG53" s="766">
        <v>32.26</v>
      </c>
      <c r="AH53" s="766">
        <v>32.44</v>
      </c>
      <c r="AI53" s="766">
        <v>32.61</v>
      </c>
      <c r="AJ53" s="766">
        <v>32.85</v>
      </c>
      <c r="AK53" s="766">
        <v>33.07</v>
      </c>
      <c r="AL53" s="766">
        <v>33.32</v>
      </c>
      <c r="AM53" s="766">
        <v>33.549999999999997</v>
      </c>
      <c r="AN53" s="766">
        <v>33.75</v>
      </c>
      <c r="AO53" s="766">
        <v>33.89</v>
      </c>
      <c r="AP53" s="766">
        <v>34.01</v>
      </c>
      <c r="AQ53" s="766">
        <v>34.07</v>
      </c>
      <c r="AR53" s="766">
        <v>34.130000000000003</v>
      </c>
      <c r="AS53" s="766">
        <v>34.19</v>
      </c>
      <c r="AT53" s="766">
        <v>34.18</v>
      </c>
      <c r="AU53" s="766">
        <v>34.24</v>
      </c>
      <c r="AV53" s="766">
        <v>34.299999999999997</v>
      </c>
      <c r="AW53" s="766">
        <v>34.5</v>
      </c>
      <c r="AX53" s="766">
        <v>34.549999999999997</v>
      </c>
      <c r="AY53" s="766">
        <v>34.700000000000003</v>
      </c>
      <c r="AZ53" s="766">
        <v>34.82</v>
      </c>
      <c r="BA53" s="766">
        <v>34.94</v>
      </c>
      <c r="BB53" s="766">
        <v>35.049999999999997</v>
      </c>
      <c r="BC53" s="766">
        <v>35.17</v>
      </c>
      <c r="BD53" s="766">
        <v>35.26</v>
      </c>
      <c r="BE53" s="766">
        <v>35.380000000000003</v>
      </c>
      <c r="BF53" s="766">
        <v>35.51</v>
      </c>
      <c r="BG53" s="766">
        <v>35.64</v>
      </c>
      <c r="BH53" s="766">
        <v>35.79</v>
      </c>
      <c r="BI53" s="766">
        <v>35.909999999999997</v>
      </c>
      <c r="BJ53" s="766">
        <v>36.04</v>
      </c>
      <c r="BK53" s="766">
        <v>36.18</v>
      </c>
      <c r="BL53" s="766">
        <v>36.33</v>
      </c>
      <c r="BM53" s="766">
        <v>36.47</v>
      </c>
      <c r="BN53" s="766">
        <v>36.61</v>
      </c>
      <c r="BO53" s="766">
        <v>36.74</v>
      </c>
      <c r="BP53" s="766">
        <v>36.869999999999997</v>
      </c>
      <c r="BQ53" s="766">
        <v>37</v>
      </c>
      <c r="BR53" s="766">
        <v>37.14</v>
      </c>
      <c r="BS53" s="766">
        <v>37.270000000000003</v>
      </c>
      <c r="BT53" s="766">
        <v>37.4</v>
      </c>
      <c r="BU53" s="766">
        <v>37.53</v>
      </c>
      <c r="BV53" s="766">
        <v>37.65</v>
      </c>
      <c r="BW53" s="766">
        <v>37.78</v>
      </c>
      <c r="BX53" s="766">
        <v>37.909999999999997</v>
      </c>
      <c r="BY53" s="766">
        <v>38.03</v>
      </c>
      <c r="BZ53" s="766">
        <v>38.159999999999997</v>
      </c>
      <c r="CA53" s="766">
        <v>38.28</v>
      </c>
      <c r="CB53" s="766">
        <v>38.409999999999997</v>
      </c>
      <c r="CC53" s="766">
        <v>38.53</v>
      </c>
      <c r="CD53" s="766">
        <v>38.65</v>
      </c>
      <c r="CE53" s="766">
        <v>38.770000000000003</v>
      </c>
      <c r="CF53" s="766">
        <v>38.89</v>
      </c>
      <c r="CG53" s="766">
        <v>39.01</v>
      </c>
      <c r="CH53" s="766">
        <v>39.130000000000003</v>
      </c>
      <c r="CI53" s="766">
        <v>39.25</v>
      </c>
      <c r="CJ53" s="766">
        <v>39.369999999999997</v>
      </c>
      <c r="CK53" s="766">
        <v>39.479999999999997</v>
      </c>
      <c r="CL53" s="766">
        <v>39.6</v>
      </c>
      <c r="CM53" s="766">
        <v>39.71</v>
      </c>
      <c r="CN53" s="766">
        <v>39.83</v>
      </c>
      <c r="CO53" s="766">
        <v>39.94</v>
      </c>
      <c r="CP53" s="766">
        <v>40.049999999999997</v>
      </c>
      <c r="CQ53" s="766">
        <v>40.159999999999997</v>
      </c>
      <c r="CR53" s="766">
        <v>40.270000000000003</v>
      </c>
      <c r="CS53" s="766">
        <v>40.380000000000003</v>
      </c>
      <c r="CT53" s="766">
        <v>40.49</v>
      </c>
      <c r="CU53" s="766">
        <v>40.6</v>
      </c>
      <c r="CV53" s="766">
        <v>40.71</v>
      </c>
      <c r="CW53" s="766">
        <v>40.81</v>
      </c>
      <c r="CX53" s="766">
        <v>40.92</v>
      </c>
      <c r="CY53" s="766">
        <v>41.02</v>
      </c>
      <c r="CZ53" s="766">
        <v>41.13</v>
      </c>
      <c r="DA53" s="766">
        <v>41.23</v>
      </c>
      <c r="DB53" s="766">
        <v>41.33</v>
      </c>
      <c r="DC53" s="766">
        <v>41.43</v>
      </c>
      <c r="DD53" s="766">
        <v>41.53</v>
      </c>
      <c r="DE53" s="766">
        <v>41.63</v>
      </c>
      <c r="DF53" s="766">
        <v>41.73</v>
      </c>
      <c r="DG53" s="766">
        <v>41.83</v>
      </c>
      <c r="DH53" s="766">
        <v>41.93</v>
      </c>
      <c r="DI53" s="766">
        <v>42.03</v>
      </c>
      <c r="DJ53" s="766">
        <v>42.12</v>
      </c>
      <c r="DK53" s="766">
        <v>42.22</v>
      </c>
      <c r="DL53" s="766">
        <v>42.31</v>
      </c>
      <c r="DM53" s="766">
        <v>42.41</v>
      </c>
      <c r="DN53" s="766">
        <v>42.5</v>
      </c>
      <c r="DO53" s="766">
        <v>42.59</v>
      </c>
      <c r="DP53" s="766">
        <v>42.68</v>
      </c>
      <c r="DQ53" s="766">
        <v>42.77</v>
      </c>
      <c r="DR53" s="766">
        <v>42.86</v>
      </c>
    </row>
    <row r="54" spans="1:122">
      <c r="A54" s="950">
        <v>52</v>
      </c>
      <c r="B54" s="94"/>
      <c r="C54" s="94"/>
      <c r="D54" s="94"/>
      <c r="E54" s="94"/>
      <c r="F54" s="94"/>
      <c r="G54" s="94"/>
      <c r="H54" s="94"/>
      <c r="I54" s="94"/>
      <c r="J54" s="94"/>
      <c r="K54" s="94"/>
      <c r="L54" s="94"/>
      <c r="M54" s="94"/>
      <c r="N54" s="94"/>
      <c r="O54" s="94"/>
      <c r="P54" s="94"/>
      <c r="Q54" s="94"/>
      <c r="R54" s="94"/>
      <c r="S54" s="94"/>
      <c r="T54" s="94"/>
      <c r="U54" s="94"/>
      <c r="V54" s="766"/>
      <c r="W54" s="766">
        <v>29.62</v>
      </c>
      <c r="X54" s="766">
        <v>29.8</v>
      </c>
      <c r="Y54" s="766">
        <v>29.99</v>
      </c>
      <c r="Z54" s="766">
        <v>30.19</v>
      </c>
      <c r="AA54" s="766">
        <v>30.34</v>
      </c>
      <c r="AB54" s="766">
        <v>30.51</v>
      </c>
      <c r="AC54" s="766">
        <v>30.73</v>
      </c>
      <c r="AD54" s="766">
        <v>30.84</v>
      </c>
      <c r="AE54" s="766">
        <v>31.06</v>
      </c>
      <c r="AF54" s="766">
        <v>31.22</v>
      </c>
      <c r="AG54" s="766">
        <v>31.38</v>
      </c>
      <c r="AH54" s="766">
        <v>31.55</v>
      </c>
      <c r="AI54" s="766">
        <v>31.73</v>
      </c>
      <c r="AJ54" s="766">
        <v>31.96</v>
      </c>
      <c r="AK54" s="766">
        <v>32.18</v>
      </c>
      <c r="AL54" s="766">
        <v>32.43</v>
      </c>
      <c r="AM54" s="766">
        <v>32.659999999999997</v>
      </c>
      <c r="AN54" s="766">
        <v>32.85</v>
      </c>
      <c r="AO54" s="766">
        <v>33</v>
      </c>
      <c r="AP54" s="766">
        <v>33.119999999999997</v>
      </c>
      <c r="AQ54" s="766">
        <v>33.17</v>
      </c>
      <c r="AR54" s="766">
        <v>33.24</v>
      </c>
      <c r="AS54" s="766">
        <v>33.299999999999997</v>
      </c>
      <c r="AT54" s="766">
        <v>33.29</v>
      </c>
      <c r="AU54" s="766">
        <v>33.340000000000003</v>
      </c>
      <c r="AV54" s="766">
        <v>33.4</v>
      </c>
      <c r="AW54" s="766">
        <v>33.6</v>
      </c>
      <c r="AX54" s="766">
        <v>33.65</v>
      </c>
      <c r="AY54" s="766">
        <v>33.799999999999997</v>
      </c>
      <c r="AZ54" s="766">
        <v>33.92</v>
      </c>
      <c r="BA54" s="766">
        <v>34.03</v>
      </c>
      <c r="BB54" s="766">
        <v>34.14</v>
      </c>
      <c r="BC54" s="766">
        <v>34.26</v>
      </c>
      <c r="BD54" s="766">
        <v>34.35</v>
      </c>
      <c r="BE54" s="766">
        <v>34.47</v>
      </c>
      <c r="BF54" s="766">
        <v>34.6</v>
      </c>
      <c r="BG54" s="766">
        <v>34.729999999999997</v>
      </c>
      <c r="BH54" s="766">
        <v>34.869999999999997</v>
      </c>
      <c r="BI54" s="766">
        <v>35</v>
      </c>
      <c r="BJ54" s="766">
        <v>35.130000000000003</v>
      </c>
      <c r="BK54" s="766">
        <v>35.26</v>
      </c>
      <c r="BL54" s="766">
        <v>35.409999999999997</v>
      </c>
      <c r="BM54" s="766">
        <v>35.549999999999997</v>
      </c>
      <c r="BN54" s="766">
        <v>35.69</v>
      </c>
      <c r="BO54" s="766">
        <v>35.82</v>
      </c>
      <c r="BP54" s="766">
        <v>35.950000000000003</v>
      </c>
      <c r="BQ54" s="766">
        <v>36.08</v>
      </c>
      <c r="BR54" s="766">
        <v>36.21</v>
      </c>
      <c r="BS54" s="766">
        <v>36.340000000000003</v>
      </c>
      <c r="BT54" s="766">
        <v>36.47</v>
      </c>
      <c r="BU54" s="766">
        <v>36.6</v>
      </c>
      <c r="BV54" s="766">
        <v>36.72</v>
      </c>
      <c r="BW54" s="766">
        <v>36.85</v>
      </c>
      <c r="BX54" s="766">
        <v>36.979999999999997</v>
      </c>
      <c r="BY54" s="766">
        <v>37.1</v>
      </c>
      <c r="BZ54" s="766">
        <v>37.22</v>
      </c>
      <c r="CA54" s="766">
        <v>37.35</v>
      </c>
      <c r="CB54" s="766">
        <v>37.47</v>
      </c>
      <c r="CC54" s="766">
        <v>37.590000000000003</v>
      </c>
      <c r="CD54" s="766">
        <v>37.71</v>
      </c>
      <c r="CE54" s="766">
        <v>37.83</v>
      </c>
      <c r="CF54" s="766">
        <v>37.950000000000003</v>
      </c>
      <c r="CG54" s="766">
        <v>38.07</v>
      </c>
      <c r="CH54" s="766">
        <v>38.19</v>
      </c>
      <c r="CI54" s="766">
        <v>38.31</v>
      </c>
      <c r="CJ54" s="766">
        <v>38.42</v>
      </c>
      <c r="CK54" s="766">
        <v>38.54</v>
      </c>
      <c r="CL54" s="766">
        <v>38.65</v>
      </c>
      <c r="CM54" s="766">
        <v>38.76</v>
      </c>
      <c r="CN54" s="766">
        <v>38.880000000000003</v>
      </c>
      <c r="CO54" s="766">
        <v>38.99</v>
      </c>
      <c r="CP54" s="766">
        <v>39.1</v>
      </c>
      <c r="CQ54" s="766">
        <v>39.21</v>
      </c>
      <c r="CR54" s="766">
        <v>39.32</v>
      </c>
      <c r="CS54" s="766">
        <v>39.43</v>
      </c>
      <c r="CT54" s="766">
        <v>39.54</v>
      </c>
      <c r="CU54" s="766">
        <v>39.64</v>
      </c>
      <c r="CV54" s="766">
        <v>39.75</v>
      </c>
      <c r="CW54" s="766">
        <v>39.86</v>
      </c>
      <c r="CX54" s="766">
        <v>39.96</v>
      </c>
      <c r="CY54" s="766">
        <v>40.07</v>
      </c>
      <c r="CZ54" s="766">
        <v>40.17</v>
      </c>
      <c r="DA54" s="766">
        <v>40.270000000000003</v>
      </c>
      <c r="DB54" s="766">
        <v>40.369999999999997</v>
      </c>
      <c r="DC54" s="766">
        <v>40.47</v>
      </c>
      <c r="DD54" s="766">
        <v>40.57</v>
      </c>
      <c r="DE54" s="766">
        <v>40.67</v>
      </c>
      <c r="DF54" s="766">
        <v>40.770000000000003</v>
      </c>
      <c r="DG54" s="766">
        <v>40.869999999999997</v>
      </c>
      <c r="DH54" s="766">
        <v>40.97</v>
      </c>
      <c r="DI54" s="766">
        <v>41.06</v>
      </c>
      <c r="DJ54" s="766">
        <v>41.16</v>
      </c>
      <c r="DK54" s="766">
        <v>41.25</v>
      </c>
      <c r="DL54" s="766">
        <v>41.35</v>
      </c>
      <c r="DM54" s="766">
        <v>41.44</v>
      </c>
      <c r="DN54" s="766">
        <v>41.53</v>
      </c>
      <c r="DO54" s="766">
        <v>41.62</v>
      </c>
      <c r="DP54" s="766">
        <v>41.72</v>
      </c>
      <c r="DQ54" s="766">
        <v>41.81</v>
      </c>
      <c r="DR54" s="766">
        <v>41.89</v>
      </c>
    </row>
    <row r="55" spans="1:122">
      <c r="A55" s="950">
        <v>53</v>
      </c>
      <c r="B55" s="94"/>
      <c r="C55" s="94"/>
      <c r="D55" s="94"/>
      <c r="E55" s="94"/>
      <c r="F55" s="94"/>
      <c r="G55" s="94"/>
      <c r="H55" s="94"/>
      <c r="I55" s="94"/>
      <c r="J55" s="94"/>
      <c r="K55" s="94"/>
      <c r="L55" s="94"/>
      <c r="M55" s="94"/>
      <c r="N55" s="94"/>
      <c r="O55" s="94"/>
      <c r="P55" s="94"/>
      <c r="Q55" s="94"/>
      <c r="R55" s="94"/>
      <c r="S55" s="94"/>
      <c r="T55" s="94"/>
      <c r="U55" s="94"/>
      <c r="V55" s="766"/>
      <c r="W55" s="766">
        <v>28.76</v>
      </c>
      <c r="X55" s="766">
        <v>28.95</v>
      </c>
      <c r="Y55" s="766">
        <v>29.13</v>
      </c>
      <c r="Z55" s="766">
        <v>29.33</v>
      </c>
      <c r="AA55" s="766">
        <v>29.47</v>
      </c>
      <c r="AB55" s="766">
        <v>29.65</v>
      </c>
      <c r="AC55" s="766">
        <v>29.86</v>
      </c>
      <c r="AD55" s="766">
        <v>29.97</v>
      </c>
      <c r="AE55" s="766">
        <v>30.19</v>
      </c>
      <c r="AF55" s="766">
        <v>30.35</v>
      </c>
      <c r="AG55" s="766">
        <v>30.51</v>
      </c>
      <c r="AH55" s="766">
        <v>30.68</v>
      </c>
      <c r="AI55" s="766">
        <v>30.85</v>
      </c>
      <c r="AJ55" s="766">
        <v>31.08</v>
      </c>
      <c r="AK55" s="766">
        <v>31.3</v>
      </c>
      <c r="AL55" s="766">
        <v>31.55</v>
      </c>
      <c r="AM55" s="766">
        <v>31.77</v>
      </c>
      <c r="AN55" s="766">
        <v>31.97</v>
      </c>
      <c r="AO55" s="766">
        <v>32.11</v>
      </c>
      <c r="AP55" s="766">
        <v>32.229999999999997</v>
      </c>
      <c r="AQ55" s="766">
        <v>32.29</v>
      </c>
      <c r="AR55" s="766">
        <v>32.35</v>
      </c>
      <c r="AS55" s="766">
        <v>32.409999999999997</v>
      </c>
      <c r="AT55" s="766">
        <v>32.4</v>
      </c>
      <c r="AU55" s="766">
        <v>32.450000000000003</v>
      </c>
      <c r="AV55" s="766">
        <v>32.51</v>
      </c>
      <c r="AW55" s="766">
        <v>32.700000000000003</v>
      </c>
      <c r="AX55" s="766">
        <v>32.76</v>
      </c>
      <c r="AY55" s="766">
        <v>32.9</v>
      </c>
      <c r="AZ55" s="766">
        <v>33.020000000000003</v>
      </c>
      <c r="BA55" s="766">
        <v>33.130000000000003</v>
      </c>
      <c r="BB55" s="766">
        <v>33.24</v>
      </c>
      <c r="BC55" s="766">
        <v>33.36</v>
      </c>
      <c r="BD55" s="766">
        <v>33.450000000000003</v>
      </c>
      <c r="BE55" s="766">
        <v>33.57</v>
      </c>
      <c r="BF55" s="766">
        <v>33.69</v>
      </c>
      <c r="BG55" s="766">
        <v>33.82</v>
      </c>
      <c r="BH55" s="766">
        <v>33.97</v>
      </c>
      <c r="BI55" s="766">
        <v>34.090000000000003</v>
      </c>
      <c r="BJ55" s="766">
        <v>34.22</v>
      </c>
      <c r="BK55" s="766">
        <v>34.35</v>
      </c>
      <c r="BL55" s="766">
        <v>34.5</v>
      </c>
      <c r="BM55" s="766">
        <v>34.630000000000003</v>
      </c>
      <c r="BN55" s="766">
        <v>34.770000000000003</v>
      </c>
      <c r="BO55" s="766">
        <v>34.9</v>
      </c>
      <c r="BP55" s="766">
        <v>35.03</v>
      </c>
      <c r="BQ55" s="766">
        <v>35.159999999999997</v>
      </c>
      <c r="BR55" s="766">
        <v>35.29</v>
      </c>
      <c r="BS55" s="766">
        <v>35.42</v>
      </c>
      <c r="BT55" s="766">
        <v>35.54</v>
      </c>
      <c r="BU55" s="766">
        <v>35.67</v>
      </c>
      <c r="BV55" s="766">
        <v>35.799999999999997</v>
      </c>
      <c r="BW55" s="766">
        <v>35.92</v>
      </c>
      <c r="BX55" s="766">
        <v>36.049999999999997</v>
      </c>
      <c r="BY55" s="766">
        <v>36.17</v>
      </c>
      <c r="BZ55" s="766">
        <v>36.29</v>
      </c>
      <c r="CA55" s="766">
        <v>36.42</v>
      </c>
      <c r="CB55" s="766">
        <v>36.54</v>
      </c>
      <c r="CC55" s="766">
        <v>36.659999999999997</v>
      </c>
      <c r="CD55" s="766">
        <v>36.78</v>
      </c>
      <c r="CE55" s="766">
        <v>36.9</v>
      </c>
      <c r="CF55" s="766">
        <v>37.01</v>
      </c>
      <c r="CG55" s="766">
        <v>37.130000000000003</v>
      </c>
      <c r="CH55" s="766">
        <v>37.25</v>
      </c>
      <c r="CI55" s="766">
        <v>37.36</v>
      </c>
      <c r="CJ55" s="766">
        <v>37.479999999999997</v>
      </c>
      <c r="CK55" s="766">
        <v>37.590000000000003</v>
      </c>
      <c r="CL55" s="766">
        <v>37.71</v>
      </c>
      <c r="CM55" s="766">
        <v>37.82</v>
      </c>
      <c r="CN55" s="766">
        <v>37.93</v>
      </c>
      <c r="CO55" s="766">
        <v>38.04</v>
      </c>
      <c r="CP55" s="766">
        <v>38.15</v>
      </c>
      <c r="CQ55" s="766">
        <v>38.26</v>
      </c>
      <c r="CR55" s="766">
        <v>38.369999999999997</v>
      </c>
      <c r="CS55" s="766">
        <v>38.479999999999997</v>
      </c>
      <c r="CT55" s="766">
        <v>38.590000000000003</v>
      </c>
      <c r="CU55" s="766">
        <v>38.69</v>
      </c>
      <c r="CV55" s="766">
        <v>38.799999999999997</v>
      </c>
      <c r="CW55" s="766">
        <v>38.9</v>
      </c>
      <c r="CX55" s="766">
        <v>39.01</v>
      </c>
      <c r="CY55" s="766">
        <v>39.11</v>
      </c>
      <c r="CZ55" s="766">
        <v>39.21</v>
      </c>
      <c r="DA55" s="766">
        <v>39.32</v>
      </c>
      <c r="DB55" s="766">
        <v>39.42</v>
      </c>
      <c r="DC55" s="766">
        <v>39.520000000000003</v>
      </c>
      <c r="DD55" s="766">
        <v>39.619999999999997</v>
      </c>
      <c r="DE55" s="766">
        <v>39.71</v>
      </c>
      <c r="DF55" s="766">
        <v>39.81</v>
      </c>
      <c r="DG55" s="766">
        <v>39.909999999999997</v>
      </c>
      <c r="DH55" s="766">
        <v>40.01</v>
      </c>
      <c r="DI55" s="766">
        <v>40.1</v>
      </c>
      <c r="DJ55" s="766">
        <v>40.200000000000003</v>
      </c>
      <c r="DK55" s="766">
        <v>40.29</v>
      </c>
      <c r="DL55" s="766">
        <v>40.380000000000003</v>
      </c>
      <c r="DM55" s="766">
        <v>40.479999999999997</v>
      </c>
      <c r="DN55" s="766">
        <v>40.57</v>
      </c>
      <c r="DO55" s="766">
        <v>40.659999999999997</v>
      </c>
      <c r="DP55" s="766">
        <v>40.75</v>
      </c>
      <c r="DQ55" s="766">
        <v>40.840000000000003</v>
      </c>
      <c r="DR55" s="766">
        <v>40.93</v>
      </c>
    </row>
    <row r="56" spans="1:122">
      <c r="A56" s="950">
        <v>54</v>
      </c>
      <c r="B56" s="94"/>
      <c r="C56" s="94"/>
      <c r="D56" s="94"/>
      <c r="E56" s="94"/>
      <c r="F56" s="94"/>
      <c r="G56" s="94"/>
      <c r="H56" s="94"/>
      <c r="I56" s="94"/>
      <c r="J56" s="94"/>
      <c r="K56" s="94"/>
      <c r="L56" s="94"/>
      <c r="M56" s="94"/>
      <c r="N56" s="94"/>
      <c r="O56" s="94"/>
      <c r="P56" s="94"/>
      <c r="Q56" s="94"/>
      <c r="R56" s="94"/>
      <c r="S56" s="94"/>
      <c r="T56" s="94"/>
      <c r="U56" s="94"/>
      <c r="V56" s="766"/>
      <c r="W56" s="766">
        <v>27.91</v>
      </c>
      <c r="X56" s="766">
        <v>28.1</v>
      </c>
      <c r="Y56" s="766">
        <v>28.28</v>
      </c>
      <c r="Z56" s="766">
        <v>28.48</v>
      </c>
      <c r="AA56" s="766">
        <v>28.62</v>
      </c>
      <c r="AB56" s="766">
        <v>28.79</v>
      </c>
      <c r="AC56" s="766">
        <v>29</v>
      </c>
      <c r="AD56" s="766">
        <v>29.11</v>
      </c>
      <c r="AE56" s="766">
        <v>29.33</v>
      </c>
      <c r="AF56" s="766">
        <v>29.48</v>
      </c>
      <c r="AG56" s="766">
        <v>29.64</v>
      </c>
      <c r="AH56" s="766">
        <v>29.81</v>
      </c>
      <c r="AI56" s="766">
        <v>29.97</v>
      </c>
      <c r="AJ56" s="766">
        <v>30.21</v>
      </c>
      <c r="AK56" s="766">
        <v>30.42</v>
      </c>
      <c r="AL56" s="766">
        <v>30.67</v>
      </c>
      <c r="AM56" s="766">
        <v>30.89</v>
      </c>
      <c r="AN56" s="766">
        <v>31.09</v>
      </c>
      <c r="AO56" s="766">
        <v>31.23</v>
      </c>
      <c r="AP56" s="766">
        <v>31.33</v>
      </c>
      <c r="AQ56" s="766">
        <v>31.4</v>
      </c>
      <c r="AR56" s="766">
        <v>31.46</v>
      </c>
      <c r="AS56" s="766">
        <v>31.52</v>
      </c>
      <c r="AT56" s="766">
        <v>31.51</v>
      </c>
      <c r="AU56" s="766">
        <v>31.56</v>
      </c>
      <c r="AV56" s="766">
        <v>31.62</v>
      </c>
      <c r="AW56" s="766">
        <v>31.81</v>
      </c>
      <c r="AX56" s="766">
        <v>31.87</v>
      </c>
      <c r="AY56" s="766">
        <v>32</v>
      </c>
      <c r="AZ56" s="766">
        <v>32.119999999999997</v>
      </c>
      <c r="BA56" s="766">
        <v>32.24</v>
      </c>
      <c r="BB56" s="766">
        <v>32.340000000000003</v>
      </c>
      <c r="BC56" s="766">
        <v>32.46</v>
      </c>
      <c r="BD56" s="766">
        <v>32.549999999999997</v>
      </c>
      <c r="BE56" s="766">
        <v>32.67</v>
      </c>
      <c r="BF56" s="766">
        <v>32.79</v>
      </c>
      <c r="BG56" s="766">
        <v>32.92</v>
      </c>
      <c r="BH56" s="766">
        <v>33.07</v>
      </c>
      <c r="BI56" s="766">
        <v>33.19</v>
      </c>
      <c r="BJ56" s="766">
        <v>33.32</v>
      </c>
      <c r="BK56" s="766">
        <v>33.450000000000003</v>
      </c>
      <c r="BL56" s="766">
        <v>33.590000000000003</v>
      </c>
      <c r="BM56" s="766">
        <v>33.72</v>
      </c>
      <c r="BN56" s="766">
        <v>33.86</v>
      </c>
      <c r="BO56" s="766">
        <v>33.979999999999997</v>
      </c>
      <c r="BP56" s="766">
        <v>34.11</v>
      </c>
      <c r="BQ56" s="766">
        <v>34.24</v>
      </c>
      <c r="BR56" s="766">
        <v>34.369999999999997</v>
      </c>
      <c r="BS56" s="766">
        <v>34.5</v>
      </c>
      <c r="BT56" s="766">
        <v>34.619999999999997</v>
      </c>
      <c r="BU56" s="766">
        <v>34.75</v>
      </c>
      <c r="BV56" s="766">
        <v>34.869999999999997</v>
      </c>
      <c r="BW56" s="766">
        <v>35</v>
      </c>
      <c r="BX56" s="766">
        <v>35.119999999999997</v>
      </c>
      <c r="BY56" s="766">
        <v>35.24</v>
      </c>
      <c r="BZ56" s="766">
        <v>35.369999999999997</v>
      </c>
      <c r="CA56" s="766">
        <v>35.49</v>
      </c>
      <c r="CB56" s="766">
        <v>35.61</v>
      </c>
      <c r="CC56" s="766">
        <v>35.729999999999997</v>
      </c>
      <c r="CD56" s="766">
        <v>35.85</v>
      </c>
      <c r="CE56" s="766">
        <v>35.96</v>
      </c>
      <c r="CF56" s="766">
        <v>36.08</v>
      </c>
      <c r="CG56" s="766">
        <v>36.200000000000003</v>
      </c>
      <c r="CH56" s="766">
        <v>36.31</v>
      </c>
      <c r="CI56" s="766">
        <v>36.43</v>
      </c>
      <c r="CJ56" s="766">
        <v>36.54</v>
      </c>
      <c r="CK56" s="766">
        <v>36.659999999999997</v>
      </c>
      <c r="CL56" s="766">
        <v>36.770000000000003</v>
      </c>
      <c r="CM56" s="766">
        <v>36.880000000000003</v>
      </c>
      <c r="CN56" s="766">
        <v>36.99</v>
      </c>
      <c r="CO56" s="766">
        <v>37.1</v>
      </c>
      <c r="CP56" s="766">
        <v>37.21</v>
      </c>
      <c r="CQ56" s="766">
        <v>37.32</v>
      </c>
      <c r="CR56" s="766">
        <v>37.43</v>
      </c>
      <c r="CS56" s="766">
        <v>37.53</v>
      </c>
      <c r="CT56" s="766">
        <v>37.64</v>
      </c>
      <c r="CU56" s="766">
        <v>37.75</v>
      </c>
      <c r="CV56" s="766">
        <v>37.85</v>
      </c>
      <c r="CW56" s="766">
        <v>37.950000000000003</v>
      </c>
      <c r="CX56" s="766">
        <v>38.06</v>
      </c>
      <c r="CY56" s="766">
        <v>38.159999999999997</v>
      </c>
      <c r="CZ56" s="766">
        <v>38.26</v>
      </c>
      <c r="DA56" s="766">
        <v>38.36</v>
      </c>
      <c r="DB56" s="766">
        <v>38.46</v>
      </c>
      <c r="DC56" s="766">
        <v>38.56</v>
      </c>
      <c r="DD56" s="766">
        <v>38.659999999999997</v>
      </c>
      <c r="DE56" s="766">
        <v>38.76</v>
      </c>
      <c r="DF56" s="766">
        <v>38.86</v>
      </c>
      <c r="DG56" s="766">
        <v>38.950000000000003</v>
      </c>
      <c r="DH56" s="766">
        <v>39.049999999999997</v>
      </c>
      <c r="DI56" s="766">
        <v>39.14</v>
      </c>
      <c r="DJ56" s="766">
        <v>39.24</v>
      </c>
      <c r="DK56" s="766">
        <v>39.33</v>
      </c>
      <c r="DL56" s="766">
        <v>39.42</v>
      </c>
      <c r="DM56" s="766">
        <v>39.51</v>
      </c>
      <c r="DN56" s="766">
        <v>39.61</v>
      </c>
      <c r="DO56" s="766">
        <v>39.700000000000003</v>
      </c>
      <c r="DP56" s="766">
        <v>39.79</v>
      </c>
      <c r="DQ56" s="766">
        <v>39.880000000000003</v>
      </c>
      <c r="DR56" s="766">
        <v>39.96</v>
      </c>
    </row>
    <row r="57" spans="1:122">
      <c r="A57" s="950">
        <v>55</v>
      </c>
      <c r="B57" s="94"/>
      <c r="C57" s="94"/>
      <c r="D57" s="94"/>
      <c r="E57" s="94"/>
      <c r="F57" s="94"/>
      <c r="G57" s="94"/>
      <c r="H57" s="94"/>
      <c r="I57" s="94"/>
      <c r="J57" s="94"/>
      <c r="K57" s="94"/>
      <c r="L57" s="94"/>
      <c r="M57" s="94"/>
      <c r="N57" s="94"/>
      <c r="O57" s="94"/>
      <c r="P57" s="94"/>
      <c r="Q57" s="94"/>
      <c r="R57" s="94"/>
      <c r="S57" s="94"/>
      <c r="T57" s="94"/>
      <c r="U57" s="94"/>
      <c r="V57" s="766"/>
      <c r="W57" s="766">
        <v>27.07</v>
      </c>
      <c r="X57" s="766">
        <v>27.25</v>
      </c>
      <c r="Y57" s="766">
        <v>27.43</v>
      </c>
      <c r="Z57" s="766">
        <v>27.62</v>
      </c>
      <c r="AA57" s="766">
        <v>27.76</v>
      </c>
      <c r="AB57" s="766">
        <v>27.94</v>
      </c>
      <c r="AC57" s="766">
        <v>28.14</v>
      </c>
      <c r="AD57" s="766">
        <v>28.25</v>
      </c>
      <c r="AE57" s="766">
        <v>28.46</v>
      </c>
      <c r="AF57" s="766">
        <v>28.61</v>
      </c>
      <c r="AG57" s="766">
        <v>28.78</v>
      </c>
      <c r="AH57" s="766">
        <v>28.94</v>
      </c>
      <c r="AI57" s="766">
        <v>29.1</v>
      </c>
      <c r="AJ57" s="766">
        <v>29.34</v>
      </c>
      <c r="AK57" s="766">
        <v>29.55</v>
      </c>
      <c r="AL57" s="766">
        <v>29.8</v>
      </c>
      <c r="AM57" s="766">
        <v>30.02</v>
      </c>
      <c r="AN57" s="766">
        <v>30.21</v>
      </c>
      <c r="AO57" s="766">
        <v>30.35</v>
      </c>
      <c r="AP57" s="766">
        <v>30.45</v>
      </c>
      <c r="AQ57" s="766">
        <v>30.52</v>
      </c>
      <c r="AR57" s="766">
        <v>30.58</v>
      </c>
      <c r="AS57" s="766">
        <v>30.63</v>
      </c>
      <c r="AT57" s="766">
        <v>30.63</v>
      </c>
      <c r="AU57" s="766">
        <v>30.68</v>
      </c>
      <c r="AV57" s="766">
        <v>30.73</v>
      </c>
      <c r="AW57" s="766">
        <v>30.93</v>
      </c>
      <c r="AX57" s="766">
        <v>30.98</v>
      </c>
      <c r="AY57" s="766">
        <v>31.11</v>
      </c>
      <c r="AZ57" s="766">
        <v>31.23</v>
      </c>
      <c r="BA57" s="766">
        <v>31.34</v>
      </c>
      <c r="BB57" s="766">
        <v>31.44</v>
      </c>
      <c r="BC57" s="766">
        <v>31.55</v>
      </c>
      <c r="BD57" s="766">
        <v>31.65</v>
      </c>
      <c r="BE57" s="766">
        <v>31.77</v>
      </c>
      <c r="BF57" s="766">
        <v>31.9</v>
      </c>
      <c r="BG57" s="766">
        <v>32.020000000000003</v>
      </c>
      <c r="BH57" s="766">
        <v>32.17</v>
      </c>
      <c r="BI57" s="766">
        <v>32.29</v>
      </c>
      <c r="BJ57" s="766">
        <v>32.42</v>
      </c>
      <c r="BK57" s="766">
        <v>32.549999999999997</v>
      </c>
      <c r="BL57" s="766">
        <v>32.68</v>
      </c>
      <c r="BM57" s="766">
        <v>32.82</v>
      </c>
      <c r="BN57" s="766">
        <v>32.950000000000003</v>
      </c>
      <c r="BO57" s="766">
        <v>33.08</v>
      </c>
      <c r="BP57" s="766">
        <v>33.200000000000003</v>
      </c>
      <c r="BQ57" s="766">
        <v>33.33</v>
      </c>
      <c r="BR57" s="766">
        <v>33.46</v>
      </c>
      <c r="BS57" s="766">
        <v>33.58</v>
      </c>
      <c r="BT57" s="766">
        <v>33.71</v>
      </c>
      <c r="BU57" s="766">
        <v>33.83</v>
      </c>
      <c r="BV57" s="766">
        <v>33.96</v>
      </c>
      <c r="BW57" s="766">
        <v>34.08</v>
      </c>
      <c r="BX57" s="766">
        <v>34.200000000000003</v>
      </c>
      <c r="BY57" s="766">
        <v>34.32</v>
      </c>
      <c r="BZ57" s="766">
        <v>34.44</v>
      </c>
      <c r="CA57" s="766">
        <v>34.56</v>
      </c>
      <c r="CB57" s="766">
        <v>34.68</v>
      </c>
      <c r="CC57" s="766">
        <v>34.799999999999997</v>
      </c>
      <c r="CD57" s="766">
        <v>34.92</v>
      </c>
      <c r="CE57" s="766">
        <v>35.04</v>
      </c>
      <c r="CF57" s="766">
        <v>35.15</v>
      </c>
      <c r="CG57" s="766">
        <v>35.270000000000003</v>
      </c>
      <c r="CH57" s="766">
        <v>35.380000000000003</v>
      </c>
      <c r="CI57" s="766">
        <v>35.5</v>
      </c>
      <c r="CJ57" s="766">
        <v>35.61</v>
      </c>
      <c r="CK57" s="766">
        <v>35.72</v>
      </c>
      <c r="CL57" s="766">
        <v>35.83</v>
      </c>
      <c r="CM57" s="766">
        <v>35.94</v>
      </c>
      <c r="CN57" s="766">
        <v>36.049999999999997</v>
      </c>
      <c r="CO57" s="766">
        <v>36.159999999999997</v>
      </c>
      <c r="CP57" s="766">
        <v>36.270000000000003</v>
      </c>
      <c r="CQ57" s="766">
        <v>36.380000000000003</v>
      </c>
      <c r="CR57" s="766">
        <v>36.479999999999997</v>
      </c>
      <c r="CS57" s="766">
        <v>36.590000000000003</v>
      </c>
      <c r="CT57" s="766">
        <v>36.700000000000003</v>
      </c>
      <c r="CU57" s="766">
        <v>36.799999999999997</v>
      </c>
      <c r="CV57" s="766">
        <v>36.9</v>
      </c>
      <c r="CW57" s="766">
        <v>37.01</v>
      </c>
      <c r="CX57" s="766">
        <v>37.11</v>
      </c>
      <c r="CY57" s="766">
        <v>37.21</v>
      </c>
      <c r="CZ57" s="766">
        <v>37.31</v>
      </c>
      <c r="DA57" s="766">
        <v>37.409999999999997</v>
      </c>
      <c r="DB57" s="766">
        <v>37.51</v>
      </c>
      <c r="DC57" s="766">
        <v>37.61</v>
      </c>
      <c r="DD57" s="766">
        <v>37.71</v>
      </c>
      <c r="DE57" s="766">
        <v>37.81</v>
      </c>
      <c r="DF57" s="766">
        <v>37.9</v>
      </c>
      <c r="DG57" s="766">
        <v>38</v>
      </c>
      <c r="DH57" s="766">
        <v>38.090000000000003</v>
      </c>
      <c r="DI57" s="766">
        <v>38.19</v>
      </c>
      <c r="DJ57" s="766">
        <v>38.28</v>
      </c>
      <c r="DK57" s="766">
        <v>38.369999999999997</v>
      </c>
      <c r="DL57" s="766">
        <v>38.46</v>
      </c>
      <c r="DM57" s="766">
        <v>38.56</v>
      </c>
      <c r="DN57" s="766">
        <v>38.65</v>
      </c>
      <c r="DO57" s="766">
        <v>38.74</v>
      </c>
      <c r="DP57" s="766">
        <v>38.83</v>
      </c>
      <c r="DQ57" s="766">
        <v>38.909999999999997</v>
      </c>
      <c r="DR57" s="766">
        <v>39</v>
      </c>
    </row>
    <row r="58" spans="1:122">
      <c r="A58" s="950">
        <v>56</v>
      </c>
      <c r="B58" s="94"/>
      <c r="C58" s="94"/>
      <c r="D58" s="94"/>
      <c r="E58" s="94"/>
      <c r="F58" s="94"/>
      <c r="G58" s="94"/>
      <c r="H58" s="94"/>
      <c r="I58" s="94"/>
      <c r="J58" s="94"/>
      <c r="K58" s="94"/>
      <c r="L58" s="94"/>
      <c r="M58" s="94"/>
      <c r="N58" s="94"/>
      <c r="O58" s="94"/>
      <c r="P58" s="94"/>
      <c r="Q58" s="94"/>
      <c r="R58" s="94"/>
      <c r="S58" s="94"/>
      <c r="T58" s="94"/>
      <c r="U58" s="94"/>
      <c r="V58" s="766"/>
      <c r="W58" s="766">
        <v>26.23</v>
      </c>
      <c r="X58" s="766">
        <v>26.4</v>
      </c>
      <c r="Y58" s="766">
        <v>26.58</v>
      </c>
      <c r="Z58" s="766">
        <v>26.78</v>
      </c>
      <c r="AA58" s="766">
        <v>26.91</v>
      </c>
      <c r="AB58" s="766">
        <v>27.09</v>
      </c>
      <c r="AC58" s="766">
        <v>27.29</v>
      </c>
      <c r="AD58" s="766">
        <v>27.4</v>
      </c>
      <c r="AE58" s="766">
        <v>27.6</v>
      </c>
      <c r="AF58" s="766">
        <v>27.76</v>
      </c>
      <c r="AG58" s="766">
        <v>27.91</v>
      </c>
      <c r="AH58" s="766">
        <v>28.08</v>
      </c>
      <c r="AI58" s="766">
        <v>28.24</v>
      </c>
      <c r="AJ58" s="766">
        <v>28.48</v>
      </c>
      <c r="AK58" s="766">
        <v>28.69</v>
      </c>
      <c r="AL58" s="766">
        <v>28.93</v>
      </c>
      <c r="AM58" s="766">
        <v>29.15</v>
      </c>
      <c r="AN58" s="766">
        <v>29.33</v>
      </c>
      <c r="AO58" s="766">
        <v>29.47</v>
      </c>
      <c r="AP58" s="766">
        <v>29.57</v>
      </c>
      <c r="AQ58" s="766">
        <v>29.64</v>
      </c>
      <c r="AR58" s="766">
        <v>29.69</v>
      </c>
      <c r="AS58" s="766">
        <v>29.75</v>
      </c>
      <c r="AT58" s="766">
        <v>29.75</v>
      </c>
      <c r="AU58" s="766">
        <v>29.79</v>
      </c>
      <c r="AV58" s="766">
        <v>29.85</v>
      </c>
      <c r="AW58" s="766">
        <v>30.04</v>
      </c>
      <c r="AX58" s="766">
        <v>30.09</v>
      </c>
      <c r="AY58" s="766">
        <v>30.23</v>
      </c>
      <c r="AZ58" s="766">
        <v>30.34</v>
      </c>
      <c r="BA58" s="766">
        <v>30.45</v>
      </c>
      <c r="BB58" s="766">
        <v>30.56</v>
      </c>
      <c r="BC58" s="766">
        <v>30.66</v>
      </c>
      <c r="BD58" s="766">
        <v>30.76</v>
      </c>
      <c r="BE58" s="766">
        <v>30.88</v>
      </c>
      <c r="BF58" s="766">
        <v>31.01</v>
      </c>
      <c r="BG58" s="766">
        <v>31.13</v>
      </c>
      <c r="BH58" s="766">
        <v>31.27</v>
      </c>
      <c r="BI58" s="766">
        <v>31.39</v>
      </c>
      <c r="BJ58" s="766">
        <v>31.53</v>
      </c>
      <c r="BK58" s="766">
        <v>31.65</v>
      </c>
      <c r="BL58" s="766">
        <v>31.79</v>
      </c>
      <c r="BM58" s="766">
        <v>31.92</v>
      </c>
      <c r="BN58" s="766">
        <v>32.049999999999997</v>
      </c>
      <c r="BO58" s="766">
        <v>32.17</v>
      </c>
      <c r="BP58" s="766">
        <v>32.299999999999997</v>
      </c>
      <c r="BQ58" s="766">
        <v>32.42</v>
      </c>
      <c r="BR58" s="766">
        <v>32.549999999999997</v>
      </c>
      <c r="BS58" s="766">
        <v>32.67</v>
      </c>
      <c r="BT58" s="766">
        <v>32.799999999999997</v>
      </c>
      <c r="BU58" s="766">
        <v>32.92</v>
      </c>
      <c r="BV58" s="766">
        <v>33.04</v>
      </c>
      <c r="BW58" s="766">
        <v>33.159999999999997</v>
      </c>
      <c r="BX58" s="766">
        <v>33.29</v>
      </c>
      <c r="BY58" s="766">
        <v>33.409999999999997</v>
      </c>
      <c r="BZ58" s="766">
        <v>33.53</v>
      </c>
      <c r="CA58" s="766">
        <v>33.64</v>
      </c>
      <c r="CB58" s="766">
        <v>33.76</v>
      </c>
      <c r="CC58" s="766">
        <v>33.880000000000003</v>
      </c>
      <c r="CD58" s="766">
        <v>34</v>
      </c>
      <c r="CE58" s="766">
        <v>34.11</v>
      </c>
      <c r="CF58" s="766">
        <v>34.229999999999997</v>
      </c>
      <c r="CG58" s="766">
        <v>34.340000000000003</v>
      </c>
      <c r="CH58" s="766">
        <v>34.450000000000003</v>
      </c>
      <c r="CI58" s="766">
        <v>34.57</v>
      </c>
      <c r="CJ58" s="766">
        <v>34.68</v>
      </c>
      <c r="CK58" s="766">
        <v>34.79</v>
      </c>
      <c r="CL58" s="766">
        <v>34.9</v>
      </c>
      <c r="CM58" s="766">
        <v>35.01</v>
      </c>
      <c r="CN58" s="766">
        <v>35.119999999999997</v>
      </c>
      <c r="CO58" s="766">
        <v>35.229999999999997</v>
      </c>
      <c r="CP58" s="766">
        <v>35.33</v>
      </c>
      <c r="CQ58" s="766">
        <v>35.44</v>
      </c>
      <c r="CR58" s="766">
        <v>35.549999999999997</v>
      </c>
      <c r="CS58" s="766">
        <v>35.65</v>
      </c>
      <c r="CT58" s="766">
        <v>35.76</v>
      </c>
      <c r="CU58" s="766">
        <v>35.86</v>
      </c>
      <c r="CV58" s="766">
        <v>35.96</v>
      </c>
      <c r="CW58" s="766">
        <v>36.06</v>
      </c>
      <c r="CX58" s="766">
        <v>36.17</v>
      </c>
      <c r="CY58" s="766">
        <v>36.270000000000003</v>
      </c>
      <c r="CZ58" s="766">
        <v>36.369999999999997</v>
      </c>
      <c r="DA58" s="766">
        <v>36.47</v>
      </c>
      <c r="DB58" s="766">
        <v>36.56</v>
      </c>
      <c r="DC58" s="766">
        <v>36.659999999999997</v>
      </c>
      <c r="DD58" s="766">
        <v>36.76</v>
      </c>
      <c r="DE58" s="766">
        <v>36.86</v>
      </c>
      <c r="DF58" s="766">
        <v>36.950000000000003</v>
      </c>
      <c r="DG58" s="766">
        <v>37.049999999999997</v>
      </c>
      <c r="DH58" s="766">
        <v>37.14</v>
      </c>
      <c r="DI58" s="766">
        <v>37.229999999999997</v>
      </c>
      <c r="DJ58" s="766">
        <v>37.33</v>
      </c>
      <c r="DK58" s="766">
        <v>37.42</v>
      </c>
      <c r="DL58" s="766">
        <v>37.51</v>
      </c>
      <c r="DM58" s="766">
        <v>37.6</v>
      </c>
      <c r="DN58" s="766">
        <v>37.69</v>
      </c>
      <c r="DO58" s="766">
        <v>37.78</v>
      </c>
      <c r="DP58" s="766">
        <v>37.869999999999997</v>
      </c>
      <c r="DQ58" s="766">
        <v>37.950000000000003</v>
      </c>
      <c r="DR58" s="766">
        <v>38.04</v>
      </c>
    </row>
    <row r="59" spans="1:122">
      <c r="A59" s="950">
        <v>57</v>
      </c>
      <c r="B59" s="94"/>
      <c r="C59" s="94"/>
      <c r="D59" s="94"/>
      <c r="E59" s="94"/>
      <c r="F59" s="94"/>
      <c r="G59" s="94"/>
      <c r="H59" s="94"/>
      <c r="I59" s="94"/>
      <c r="J59" s="94"/>
      <c r="K59" s="94"/>
      <c r="L59" s="94"/>
      <c r="M59" s="94"/>
      <c r="N59" s="94"/>
      <c r="O59" s="94"/>
      <c r="P59" s="94"/>
      <c r="Q59" s="94"/>
      <c r="R59" s="94"/>
      <c r="S59" s="94"/>
      <c r="T59" s="94"/>
      <c r="U59" s="94"/>
      <c r="V59" s="766"/>
      <c r="W59" s="766">
        <v>25.39</v>
      </c>
      <c r="X59" s="766">
        <v>25.57</v>
      </c>
      <c r="Y59" s="766">
        <v>25.75</v>
      </c>
      <c r="Z59" s="766">
        <v>25.94</v>
      </c>
      <c r="AA59" s="766">
        <v>26.08</v>
      </c>
      <c r="AB59" s="766">
        <v>26.25</v>
      </c>
      <c r="AC59" s="766">
        <v>26.45</v>
      </c>
      <c r="AD59" s="766">
        <v>26.55</v>
      </c>
      <c r="AE59" s="766">
        <v>26.75</v>
      </c>
      <c r="AF59" s="766">
        <v>26.91</v>
      </c>
      <c r="AG59" s="766">
        <v>27.06</v>
      </c>
      <c r="AH59" s="766">
        <v>27.23</v>
      </c>
      <c r="AI59" s="766">
        <v>27.39</v>
      </c>
      <c r="AJ59" s="766">
        <v>27.62</v>
      </c>
      <c r="AK59" s="766">
        <v>27.82</v>
      </c>
      <c r="AL59" s="766">
        <v>28.06</v>
      </c>
      <c r="AM59" s="766">
        <v>28.28</v>
      </c>
      <c r="AN59" s="766">
        <v>28.46</v>
      </c>
      <c r="AO59" s="766">
        <v>28.6</v>
      </c>
      <c r="AP59" s="766">
        <v>28.7</v>
      </c>
      <c r="AQ59" s="766">
        <v>28.77</v>
      </c>
      <c r="AR59" s="766">
        <v>28.81</v>
      </c>
      <c r="AS59" s="766">
        <v>28.87</v>
      </c>
      <c r="AT59" s="766">
        <v>28.87</v>
      </c>
      <c r="AU59" s="766">
        <v>28.91</v>
      </c>
      <c r="AV59" s="766">
        <v>28.97</v>
      </c>
      <c r="AW59" s="766">
        <v>29.16</v>
      </c>
      <c r="AX59" s="766">
        <v>29.21</v>
      </c>
      <c r="AY59" s="766">
        <v>29.34</v>
      </c>
      <c r="AZ59" s="766">
        <v>29.46</v>
      </c>
      <c r="BA59" s="766">
        <v>29.57</v>
      </c>
      <c r="BB59" s="766">
        <v>29.67</v>
      </c>
      <c r="BC59" s="766">
        <v>29.77</v>
      </c>
      <c r="BD59" s="766">
        <v>29.88</v>
      </c>
      <c r="BE59" s="766">
        <v>30</v>
      </c>
      <c r="BF59" s="766">
        <v>30.13</v>
      </c>
      <c r="BG59" s="766">
        <v>30.25</v>
      </c>
      <c r="BH59" s="766">
        <v>30.38</v>
      </c>
      <c r="BI59" s="766">
        <v>30.51</v>
      </c>
      <c r="BJ59" s="766">
        <v>30.64</v>
      </c>
      <c r="BK59" s="766">
        <v>30.77</v>
      </c>
      <c r="BL59" s="766">
        <v>30.9</v>
      </c>
      <c r="BM59" s="766">
        <v>31.02</v>
      </c>
      <c r="BN59" s="766">
        <v>31.15</v>
      </c>
      <c r="BO59" s="766">
        <v>31.28</v>
      </c>
      <c r="BP59" s="766">
        <v>31.4</v>
      </c>
      <c r="BQ59" s="766">
        <v>31.52</v>
      </c>
      <c r="BR59" s="766">
        <v>31.65</v>
      </c>
      <c r="BS59" s="766">
        <v>31.77</v>
      </c>
      <c r="BT59" s="766">
        <v>31.89</v>
      </c>
      <c r="BU59" s="766">
        <v>32.020000000000003</v>
      </c>
      <c r="BV59" s="766">
        <v>32.14</v>
      </c>
      <c r="BW59" s="766">
        <v>32.26</v>
      </c>
      <c r="BX59" s="766">
        <v>32.380000000000003</v>
      </c>
      <c r="BY59" s="766">
        <v>32.49</v>
      </c>
      <c r="BZ59" s="766">
        <v>32.61</v>
      </c>
      <c r="CA59" s="766">
        <v>32.729999999999997</v>
      </c>
      <c r="CB59" s="766">
        <v>32.85</v>
      </c>
      <c r="CC59" s="766">
        <v>32.96</v>
      </c>
      <c r="CD59" s="766">
        <v>33.08</v>
      </c>
      <c r="CE59" s="766">
        <v>33.19</v>
      </c>
      <c r="CF59" s="766">
        <v>33.31</v>
      </c>
      <c r="CG59" s="766">
        <v>33.42</v>
      </c>
      <c r="CH59" s="766">
        <v>33.53</v>
      </c>
      <c r="CI59" s="766">
        <v>33.64</v>
      </c>
      <c r="CJ59" s="766">
        <v>33.75</v>
      </c>
      <c r="CK59" s="766">
        <v>33.86</v>
      </c>
      <c r="CL59" s="766">
        <v>33.97</v>
      </c>
      <c r="CM59" s="766">
        <v>34.08</v>
      </c>
      <c r="CN59" s="766">
        <v>34.19</v>
      </c>
      <c r="CO59" s="766">
        <v>34.299999999999997</v>
      </c>
      <c r="CP59" s="766">
        <v>34.4</v>
      </c>
      <c r="CQ59" s="766">
        <v>34.51</v>
      </c>
      <c r="CR59" s="766">
        <v>34.61</v>
      </c>
      <c r="CS59" s="766">
        <v>34.72</v>
      </c>
      <c r="CT59" s="766">
        <v>34.82</v>
      </c>
      <c r="CU59" s="766">
        <v>34.92</v>
      </c>
      <c r="CV59" s="766">
        <v>35.020000000000003</v>
      </c>
      <c r="CW59" s="766">
        <v>35.130000000000003</v>
      </c>
      <c r="CX59" s="766">
        <v>35.229999999999997</v>
      </c>
      <c r="CY59" s="766">
        <v>35.33</v>
      </c>
      <c r="CZ59" s="766">
        <v>35.42</v>
      </c>
      <c r="DA59" s="766">
        <v>35.520000000000003</v>
      </c>
      <c r="DB59" s="766">
        <v>35.619999999999997</v>
      </c>
      <c r="DC59" s="766">
        <v>35.72</v>
      </c>
      <c r="DD59" s="766">
        <v>35.81</v>
      </c>
      <c r="DE59" s="766">
        <v>35.909999999999997</v>
      </c>
      <c r="DF59" s="766">
        <v>36</v>
      </c>
      <c r="DG59" s="766">
        <v>36.1</v>
      </c>
      <c r="DH59" s="766">
        <v>36.19</v>
      </c>
      <c r="DI59" s="766">
        <v>36.28</v>
      </c>
      <c r="DJ59" s="766">
        <v>36.380000000000003</v>
      </c>
      <c r="DK59" s="766">
        <v>36.47</v>
      </c>
      <c r="DL59" s="766">
        <v>36.56</v>
      </c>
      <c r="DM59" s="766">
        <v>36.65</v>
      </c>
      <c r="DN59" s="766">
        <v>36.74</v>
      </c>
      <c r="DO59" s="766">
        <v>36.82</v>
      </c>
      <c r="DP59" s="766">
        <v>36.909999999999997</v>
      </c>
      <c r="DQ59" s="766">
        <v>37</v>
      </c>
      <c r="DR59" s="766">
        <v>37.08</v>
      </c>
    </row>
    <row r="60" spans="1:122">
      <c r="A60" s="950">
        <v>58</v>
      </c>
      <c r="B60" s="94"/>
      <c r="C60" s="94"/>
      <c r="D60" s="94"/>
      <c r="E60" s="94"/>
      <c r="F60" s="94"/>
      <c r="G60" s="94"/>
      <c r="H60" s="94"/>
      <c r="I60" s="94"/>
      <c r="J60" s="94"/>
      <c r="K60" s="94"/>
      <c r="L60" s="94"/>
      <c r="M60" s="94"/>
      <c r="N60" s="94"/>
      <c r="O60" s="94"/>
      <c r="P60" s="94"/>
      <c r="Q60" s="94"/>
      <c r="R60" s="94"/>
      <c r="S60" s="94"/>
      <c r="T60" s="94"/>
      <c r="U60" s="94"/>
      <c r="V60" s="766"/>
      <c r="W60" s="766">
        <v>24.56</v>
      </c>
      <c r="X60" s="766">
        <v>24.74</v>
      </c>
      <c r="Y60" s="766">
        <v>24.91</v>
      </c>
      <c r="Z60" s="766">
        <v>25.11</v>
      </c>
      <c r="AA60" s="766">
        <v>25.24</v>
      </c>
      <c r="AB60" s="766">
        <v>25.4</v>
      </c>
      <c r="AC60" s="766">
        <v>25.61</v>
      </c>
      <c r="AD60" s="766">
        <v>25.71</v>
      </c>
      <c r="AE60" s="766">
        <v>25.91</v>
      </c>
      <c r="AF60" s="766">
        <v>26.06</v>
      </c>
      <c r="AG60" s="766">
        <v>26.21</v>
      </c>
      <c r="AH60" s="766">
        <v>26.38</v>
      </c>
      <c r="AI60" s="766">
        <v>26.54</v>
      </c>
      <c r="AJ60" s="766">
        <v>26.76</v>
      </c>
      <c r="AK60" s="766">
        <v>26.97</v>
      </c>
      <c r="AL60" s="766">
        <v>27.21</v>
      </c>
      <c r="AM60" s="766">
        <v>27.42</v>
      </c>
      <c r="AN60" s="766">
        <v>27.59</v>
      </c>
      <c r="AO60" s="766">
        <v>27.73</v>
      </c>
      <c r="AP60" s="766">
        <v>27.83</v>
      </c>
      <c r="AQ60" s="766">
        <v>27.9</v>
      </c>
      <c r="AR60" s="766">
        <v>27.94</v>
      </c>
      <c r="AS60" s="766">
        <v>28</v>
      </c>
      <c r="AT60" s="766">
        <v>28</v>
      </c>
      <c r="AU60" s="766">
        <v>28.04</v>
      </c>
      <c r="AV60" s="766">
        <v>28.1</v>
      </c>
      <c r="AW60" s="766">
        <v>28.28</v>
      </c>
      <c r="AX60" s="766">
        <v>28.33</v>
      </c>
      <c r="AY60" s="766">
        <v>28.46</v>
      </c>
      <c r="AZ60" s="766">
        <v>28.58</v>
      </c>
      <c r="BA60" s="766">
        <v>28.69</v>
      </c>
      <c r="BB60" s="766">
        <v>28.79</v>
      </c>
      <c r="BC60" s="766">
        <v>28.89</v>
      </c>
      <c r="BD60" s="766">
        <v>29</v>
      </c>
      <c r="BE60" s="766">
        <v>29.12</v>
      </c>
      <c r="BF60" s="766">
        <v>29.25</v>
      </c>
      <c r="BG60" s="766">
        <v>29.37</v>
      </c>
      <c r="BH60" s="766">
        <v>29.5</v>
      </c>
      <c r="BI60" s="766">
        <v>29.63</v>
      </c>
      <c r="BJ60" s="766">
        <v>29.76</v>
      </c>
      <c r="BK60" s="766">
        <v>29.88</v>
      </c>
      <c r="BL60" s="766">
        <v>30.01</v>
      </c>
      <c r="BM60" s="766">
        <v>30.14</v>
      </c>
      <c r="BN60" s="766">
        <v>30.26</v>
      </c>
      <c r="BO60" s="766">
        <v>30.38</v>
      </c>
      <c r="BP60" s="766">
        <v>30.51</v>
      </c>
      <c r="BQ60" s="766">
        <v>30.63</v>
      </c>
      <c r="BR60" s="766">
        <v>30.75</v>
      </c>
      <c r="BS60" s="766">
        <v>30.87</v>
      </c>
      <c r="BT60" s="766">
        <v>30.99</v>
      </c>
      <c r="BU60" s="766">
        <v>31.12</v>
      </c>
      <c r="BV60" s="766">
        <v>31.23</v>
      </c>
      <c r="BW60" s="766">
        <v>31.35</v>
      </c>
      <c r="BX60" s="766">
        <v>31.47</v>
      </c>
      <c r="BY60" s="766">
        <v>31.59</v>
      </c>
      <c r="BZ60" s="766">
        <v>31.71</v>
      </c>
      <c r="CA60" s="766">
        <v>31.82</v>
      </c>
      <c r="CB60" s="766">
        <v>31.94</v>
      </c>
      <c r="CC60" s="766">
        <v>32.049999999999997</v>
      </c>
      <c r="CD60" s="766">
        <v>32.159999999999997</v>
      </c>
      <c r="CE60" s="766">
        <v>32.28</v>
      </c>
      <c r="CF60" s="766">
        <v>32.39</v>
      </c>
      <c r="CG60" s="766">
        <v>32.5</v>
      </c>
      <c r="CH60" s="766">
        <v>32.61</v>
      </c>
      <c r="CI60" s="766">
        <v>32.72</v>
      </c>
      <c r="CJ60" s="766">
        <v>32.83</v>
      </c>
      <c r="CK60" s="766">
        <v>32.94</v>
      </c>
      <c r="CL60" s="766">
        <v>33.049999999999997</v>
      </c>
      <c r="CM60" s="766">
        <v>33.159999999999997</v>
      </c>
      <c r="CN60" s="766">
        <v>33.26</v>
      </c>
      <c r="CO60" s="766">
        <v>33.369999999999997</v>
      </c>
      <c r="CP60" s="766">
        <v>33.47</v>
      </c>
      <c r="CQ60" s="766">
        <v>33.58</v>
      </c>
      <c r="CR60" s="766">
        <v>33.68</v>
      </c>
      <c r="CS60" s="766">
        <v>33.79</v>
      </c>
      <c r="CT60" s="766">
        <v>33.89</v>
      </c>
      <c r="CU60" s="766">
        <v>33.99</v>
      </c>
      <c r="CV60" s="766">
        <v>34.090000000000003</v>
      </c>
      <c r="CW60" s="766">
        <v>34.19</v>
      </c>
      <c r="CX60" s="766">
        <v>34.29</v>
      </c>
      <c r="CY60" s="766">
        <v>34.39</v>
      </c>
      <c r="CZ60" s="766">
        <v>34.49</v>
      </c>
      <c r="DA60" s="766">
        <v>34.58</v>
      </c>
      <c r="DB60" s="766">
        <v>34.68</v>
      </c>
      <c r="DC60" s="766">
        <v>34.78</v>
      </c>
      <c r="DD60" s="766">
        <v>34.869999999999997</v>
      </c>
      <c r="DE60" s="766">
        <v>34.97</v>
      </c>
      <c r="DF60" s="766">
        <v>35.06</v>
      </c>
      <c r="DG60" s="766">
        <v>35.15</v>
      </c>
      <c r="DH60" s="766">
        <v>35.24</v>
      </c>
      <c r="DI60" s="766">
        <v>35.340000000000003</v>
      </c>
      <c r="DJ60" s="766">
        <v>35.43</v>
      </c>
      <c r="DK60" s="766">
        <v>35.520000000000003</v>
      </c>
      <c r="DL60" s="766">
        <v>35.61</v>
      </c>
      <c r="DM60" s="766">
        <v>35.700000000000003</v>
      </c>
      <c r="DN60" s="766">
        <v>35.78</v>
      </c>
      <c r="DO60" s="766">
        <v>35.869999999999997</v>
      </c>
      <c r="DP60" s="766">
        <v>35.96</v>
      </c>
      <c r="DQ60" s="766">
        <v>36.04</v>
      </c>
      <c r="DR60" s="766">
        <v>36.130000000000003</v>
      </c>
    </row>
    <row r="61" spans="1:122">
      <c r="A61" s="950">
        <v>59</v>
      </c>
      <c r="B61" s="94"/>
      <c r="C61" s="94"/>
      <c r="D61" s="94"/>
      <c r="E61" s="94"/>
      <c r="F61" s="94"/>
      <c r="G61" s="94"/>
      <c r="H61" s="94"/>
      <c r="I61" s="94"/>
      <c r="J61" s="94"/>
      <c r="K61" s="94"/>
      <c r="L61" s="94"/>
      <c r="M61" s="94"/>
      <c r="N61" s="94"/>
      <c r="O61" s="94"/>
      <c r="P61" s="94"/>
      <c r="Q61" s="94"/>
      <c r="R61" s="94"/>
      <c r="S61" s="94"/>
      <c r="T61" s="94"/>
      <c r="U61" s="94"/>
      <c r="V61" s="766"/>
      <c r="W61" s="766">
        <v>23.74</v>
      </c>
      <c r="X61" s="766">
        <v>23.91</v>
      </c>
      <c r="Y61" s="766">
        <v>24.09</v>
      </c>
      <c r="Z61" s="766">
        <v>24.28</v>
      </c>
      <c r="AA61" s="766">
        <v>24.41</v>
      </c>
      <c r="AB61" s="766">
        <v>24.58</v>
      </c>
      <c r="AC61" s="766">
        <v>24.77</v>
      </c>
      <c r="AD61" s="766">
        <v>24.87</v>
      </c>
      <c r="AE61" s="766">
        <v>25.07</v>
      </c>
      <c r="AF61" s="766">
        <v>25.22</v>
      </c>
      <c r="AG61" s="766">
        <v>25.37</v>
      </c>
      <c r="AH61" s="766">
        <v>25.54</v>
      </c>
      <c r="AI61" s="766">
        <v>25.7</v>
      </c>
      <c r="AJ61" s="766">
        <v>25.92</v>
      </c>
      <c r="AK61" s="766">
        <v>26.12</v>
      </c>
      <c r="AL61" s="766">
        <v>26.35</v>
      </c>
      <c r="AM61" s="766">
        <v>26.56</v>
      </c>
      <c r="AN61" s="766">
        <v>26.72</v>
      </c>
      <c r="AO61" s="766">
        <v>26.86</v>
      </c>
      <c r="AP61" s="766">
        <v>26.96</v>
      </c>
      <c r="AQ61" s="766">
        <v>27.03</v>
      </c>
      <c r="AR61" s="766">
        <v>27.07</v>
      </c>
      <c r="AS61" s="766">
        <v>27.13</v>
      </c>
      <c r="AT61" s="766">
        <v>27.14</v>
      </c>
      <c r="AU61" s="766">
        <v>27.18</v>
      </c>
      <c r="AV61" s="766">
        <v>27.24</v>
      </c>
      <c r="AW61" s="766">
        <v>27.41</v>
      </c>
      <c r="AX61" s="766">
        <v>27.46</v>
      </c>
      <c r="AY61" s="766">
        <v>27.59</v>
      </c>
      <c r="AZ61" s="766">
        <v>27.71</v>
      </c>
      <c r="BA61" s="766">
        <v>27.81</v>
      </c>
      <c r="BB61" s="766">
        <v>27.92</v>
      </c>
      <c r="BC61" s="766">
        <v>28.02</v>
      </c>
      <c r="BD61" s="766">
        <v>28.12</v>
      </c>
      <c r="BE61" s="766">
        <v>28.24</v>
      </c>
      <c r="BF61" s="766">
        <v>28.37</v>
      </c>
      <c r="BG61" s="766">
        <v>28.5</v>
      </c>
      <c r="BH61" s="766">
        <v>28.63</v>
      </c>
      <c r="BI61" s="766">
        <v>28.76</v>
      </c>
      <c r="BJ61" s="766">
        <v>28.88</v>
      </c>
      <c r="BK61" s="766">
        <v>29.01</v>
      </c>
      <c r="BL61" s="766">
        <v>29.13</v>
      </c>
      <c r="BM61" s="766">
        <v>29.25</v>
      </c>
      <c r="BN61" s="766">
        <v>29.38</v>
      </c>
      <c r="BO61" s="766">
        <v>29.5</v>
      </c>
      <c r="BP61" s="766">
        <v>29.62</v>
      </c>
      <c r="BQ61" s="766">
        <v>29.74</v>
      </c>
      <c r="BR61" s="766">
        <v>29.86</v>
      </c>
      <c r="BS61" s="766">
        <v>29.98</v>
      </c>
      <c r="BT61" s="766">
        <v>30.1</v>
      </c>
      <c r="BU61" s="766">
        <v>30.22</v>
      </c>
      <c r="BV61" s="766">
        <v>30.34</v>
      </c>
      <c r="BW61" s="766">
        <v>30.46</v>
      </c>
      <c r="BX61" s="766">
        <v>30.57</v>
      </c>
      <c r="BY61" s="766">
        <v>30.69</v>
      </c>
      <c r="BZ61" s="766">
        <v>30.8</v>
      </c>
      <c r="CA61" s="766">
        <v>30.92</v>
      </c>
      <c r="CB61" s="766">
        <v>31.03</v>
      </c>
      <c r="CC61" s="766">
        <v>31.14</v>
      </c>
      <c r="CD61" s="766">
        <v>31.26</v>
      </c>
      <c r="CE61" s="766">
        <v>31.37</v>
      </c>
      <c r="CF61" s="766">
        <v>31.48</v>
      </c>
      <c r="CG61" s="766">
        <v>31.59</v>
      </c>
      <c r="CH61" s="766">
        <v>31.7</v>
      </c>
      <c r="CI61" s="766">
        <v>31.81</v>
      </c>
      <c r="CJ61" s="766">
        <v>31.92</v>
      </c>
      <c r="CK61" s="766">
        <v>32.020000000000003</v>
      </c>
      <c r="CL61" s="766">
        <v>32.130000000000003</v>
      </c>
      <c r="CM61" s="766">
        <v>32.24</v>
      </c>
      <c r="CN61" s="766">
        <v>32.340000000000003</v>
      </c>
      <c r="CO61" s="766">
        <v>32.450000000000003</v>
      </c>
      <c r="CP61" s="766">
        <v>32.549999999999997</v>
      </c>
      <c r="CQ61" s="766">
        <v>32.65</v>
      </c>
      <c r="CR61" s="766">
        <v>32.76</v>
      </c>
      <c r="CS61" s="766">
        <v>32.86</v>
      </c>
      <c r="CT61" s="766">
        <v>32.96</v>
      </c>
      <c r="CU61" s="766">
        <v>33.06</v>
      </c>
      <c r="CV61" s="766">
        <v>33.159999999999997</v>
      </c>
      <c r="CW61" s="766">
        <v>33.26</v>
      </c>
      <c r="CX61" s="766">
        <v>33.36</v>
      </c>
      <c r="CY61" s="766">
        <v>33.450000000000003</v>
      </c>
      <c r="CZ61" s="766">
        <v>33.549999999999997</v>
      </c>
      <c r="DA61" s="766">
        <v>33.65</v>
      </c>
      <c r="DB61" s="766">
        <v>33.74</v>
      </c>
      <c r="DC61" s="766">
        <v>33.840000000000003</v>
      </c>
      <c r="DD61" s="766">
        <v>33.93</v>
      </c>
      <c r="DE61" s="766">
        <v>34.03</v>
      </c>
      <c r="DF61" s="766">
        <v>34.119999999999997</v>
      </c>
      <c r="DG61" s="766">
        <v>34.21</v>
      </c>
      <c r="DH61" s="766">
        <v>34.299999999999997</v>
      </c>
      <c r="DI61" s="766">
        <v>34.39</v>
      </c>
      <c r="DJ61" s="766">
        <v>34.479999999999997</v>
      </c>
      <c r="DK61" s="766">
        <v>34.57</v>
      </c>
      <c r="DL61" s="766">
        <v>34.659999999999997</v>
      </c>
      <c r="DM61" s="766">
        <v>34.75</v>
      </c>
      <c r="DN61" s="766">
        <v>34.840000000000003</v>
      </c>
      <c r="DO61" s="766">
        <v>34.92</v>
      </c>
      <c r="DP61" s="766">
        <v>35.01</v>
      </c>
      <c r="DQ61" s="766">
        <v>35.090000000000003</v>
      </c>
      <c r="DR61" s="766">
        <v>35.18</v>
      </c>
    </row>
    <row r="62" spans="1:122">
      <c r="A62" s="950">
        <v>60</v>
      </c>
      <c r="B62" s="94"/>
      <c r="C62" s="94"/>
      <c r="D62" s="94"/>
      <c r="E62" s="94"/>
      <c r="F62" s="94"/>
      <c r="G62" s="94"/>
      <c r="H62" s="94"/>
      <c r="I62" s="94"/>
      <c r="J62" s="94"/>
      <c r="K62" s="94"/>
      <c r="L62" s="94"/>
      <c r="M62" s="94"/>
      <c r="N62" s="94"/>
      <c r="O62" s="94"/>
      <c r="P62" s="94"/>
      <c r="Q62" s="94"/>
      <c r="R62" s="94"/>
      <c r="S62" s="94"/>
      <c r="T62" s="94"/>
      <c r="U62" s="94"/>
      <c r="V62" s="766"/>
      <c r="W62" s="766">
        <v>22.93</v>
      </c>
      <c r="X62" s="766">
        <v>23.1</v>
      </c>
      <c r="Y62" s="766">
        <v>23.27</v>
      </c>
      <c r="Z62" s="766">
        <v>23.45</v>
      </c>
      <c r="AA62" s="766">
        <v>23.58</v>
      </c>
      <c r="AB62" s="766">
        <v>23.75</v>
      </c>
      <c r="AC62" s="766">
        <v>23.94</v>
      </c>
      <c r="AD62" s="766">
        <v>24.04</v>
      </c>
      <c r="AE62" s="766">
        <v>24.24</v>
      </c>
      <c r="AF62" s="766">
        <v>24.39</v>
      </c>
      <c r="AG62" s="766">
        <v>24.53</v>
      </c>
      <c r="AH62" s="766">
        <v>24.7</v>
      </c>
      <c r="AI62" s="766">
        <v>24.86</v>
      </c>
      <c r="AJ62" s="766">
        <v>25.07</v>
      </c>
      <c r="AK62" s="766">
        <v>25.28</v>
      </c>
      <c r="AL62" s="766">
        <v>25.5</v>
      </c>
      <c r="AM62" s="766">
        <v>25.71</v>
      </c>
      <c r="AN62" s="766">
        <v>25.86</v>
      </c>
      <c r="AO62" s="766">
        <v>26</v>
      </c>
      <c r="AP62" s="766">
        <v>26.09</v>
      </c>
      <c r="AQ62" s="766">
        <v>26.16</v>
      </c>
      <c r="AR62" s="766">
        <v>26.21</v>
      </c>
      <c r="AS62" s="766">
        <v>26.26</v>
      </c>
      <c r="AT62" s="766">
        <v>26.27</v>
      </c>
      <c r="AU62" s="766">
        <v>26.32</v>
      </c>
      <c r="AV62" s="766">
        <v>26.38</v>
      </c>
      <c r="AW62" s="766">
        <v>26.54</v>
      </c>
      <c r="AX62" s="766">
        <v>26.59</v>
      </c>
      <c r="AY62" s="766">
        <v>26.72</v>
      </c>
      <c r="AZ62" s="766">
        <v>26.83</v>
      </c>
      <c r="BA62" s="766">
        <v>26.94</v>
      </c>
      <c r="BB62" s="766">
        <v>27.05</v>
      </c>
      <c r="BC62" s="766">
        <v>27.15</v>
      </c>
      <c r="BD62" s="766">
        <v>27.26</v>
      </c>
      <c r="BE62" s="766">
        <v>27.38</v>
      </c>
      <c r="BF62" s="766">
        <v>27.5</v>
      </c>
      <c r="BG62" s="766">
        <v>27.63</v>
      </c>
      <c r="BH62" s="766">
        <v>27.76</v>
      </c>
      <c r="BI62" s="766">
        <v>27.89</v>
      </c>
      <c r="BJ62" s="766">
        <v>28.01</v>
      </c>
      <c r="BK62" s="766">
        <v>28.13</v>
      </c>
      <c r="BL62" s="766">
        <v>28.26</v>
      </c>
      <c r="BM62" s="766">
        <v>28.38</v>
      </c>
      <c r="BN62" s="766">
        <v>28.5</v>
      </c>
      <c r="BO62" s="766">
        <v>28.62</v>
      </c>
      <c r="BP62" s="766">
        <v>28.74</v>
      </c>
      <c r="BQ62" s="766">
        <v>28.86</v>
      </c>
      <c r="BR62" s="766">
        <v>28.98</v>
      </c>
      <c r="BS62" s="766">
        <v>29.1</v>
      </c>
      <c r="BT62" s="766">
        <v>29.21</v>
      </c>
      <c r="BU62" s="766">
        <v>29.33</v>
      </c>
      <c r="BV62" s="766">
        <v>29.45</v>
      </c>
      <c r="BW62" s="766">
        <v>29.56</v>
      </c>
      <c r="BX62" s="766">
        <v>29.68</v>
      </c>
      <c r="BY62" s="766">
        <v>29.79</v>
      </c>
      <c r="BZ62" s="766">
        <v>29.91</v>
      </c>
      <c r="CA62" s="766">
        <v>30.02</v>
      </c>
      <c r="CB62" s="766">
        <v>30.13</v>
      </c>
      <c r="CC62" s="766">
        <v>30.24</v>
      </c>
      <c r="CD62" s="766">
        <v>30.35</v>
      </c>
      <c r="CE62" s="766">
        <v>30.46</v>
      </c>
      <c r="CF62" s="766">
        <v>30.57</v>
      </c>
      <c r="CG62" s="766">
        <v>30.68</v>
      </c>
      <c r="CH62" s="766">
        <v>30.79</v>
      </c>
      <c r="CI62" s="766">
        <v>30.9</v>
      </c>
      <c r="CJ62" s="766">
        <v>31</v>
      </c>
      <c r="CK62" s="766">
        <v>31.11</v>
      </c>
      <c r="CL62" s="766">
        <v>31.22</v>
      </c>
      <c r="CM62" s="766">
        <v>31.32</v>
      </c>
      <c r="CN62" s="766">
        <v>31.42</v>
      </c>
      <c r="CO62" s="766">
        <v>31.53</v>
      </c>
      <c r="CP62" s="766">
        <v>31.63</v>
      </c>
      <c r="CQ62" s="766">
        <v>31.73</v>
      </c>
      <c r="CR62" s="766">
        <v>31.83</v>
      </c>
      <c r="CS62" s="766">
        <v>31.93</v>
      </c>
      <c r="CT62" s="766">
        <v>32.03</v>
      </c>
      <c r="CU62" s="766">
        <v>32.130000000000003</v>
      </c>
      <c r="CV62" s="766">
        <v>32.229999999999997</v>
      </c>
      <c r="CW62" s="766">
        <v>32.33</v>
      </c>
      <c r="CX62" s="766">
        <v>32.43</v>
      </c>
      <c r="CY62" s="766">
        <v>32.520000000000003</v>
      </c>
      <c r="CZ62" s="766">
        <v>32.619999999999997</v>
      </c>
      <c r="DA62" s="766">
        <v>32.71</v>
      </c>
      <c r="DB62" s="766">
        <v>32.81</v>
      </c>
      <c r="DC62" s="766">
        <v>32.9</v>
      </c>
      <c r="DD62" s="766">
        <v>33</v>
      </c>
      <c r="DE62" s="766">
        <v>33.090000000000003</v>
      </c>
      <c r="DF62" s="766">
        <v>33.18</v>
      </c>
      <c r="DG62" s="766">
        <v>33.270000000000003</v>
      </c>
      <c r="DH62" s="766">
        <v>33.36</v>
      </c>
      <c r="DI62" s="766">
        <v>33.450000000000003</v>
      </c>
      <c r="DJ62" s="766">
        <v>33.54</v>
      </c>
      <c r="DK62" s="766">
        <v>33.630000000000003</v>
      </c>
      <c r="DL62" s="766">
        <v>33.72</v>
      </c>
      <c r="DM62" s="766">
        <v>33.799999999999997</v>
      </c>
      <c r="DN62" s="766">
        <v>33.89</v>
      </c>
      <c r="DO62" s="766">
        <v>33.979999999999997</v>
      </c>
      <c r="DP62" s="766">
        <v>34.06</v>
      </c>
      <c r="DQ62" s="766">
        <v>34.15</v>
      </c>
      <c r="DR62" s="766">
        <v>34.229999999999997</v>
      </c>
    </row>
    <row r="63" spans="1:122">
      <c r="A63" s="950">
        <v>61</v>
      </c>
      <c r="B63" s="94"/>
      <c r="C63" s="94"/>
      <c r="D63" s="94"/>
      <c r="E63" s="94"/>
      <c r="F63" s="94"/>
      <c r="G63" s="94"/>
      <c r="H63" s="94"/>
      <c r="I63" s="94"/>
      <c r="J63" s="94"/>
      <c r="K63" s="94"/>
      <c r="L63" s="94"/>
      <c r="M63" s="94"/>
      <c r="N63" s="94"/>
      <c r="O63" s="94"/>
      <c r="P63" s="94"/>
      <c r="Q63" s="94"/>
      <c r="R63" s="94"/>
      <c r="S63" s="94"/>
      <c r="T63" s="94"/>
      <c r="U63" s="94"/>
      <c r="V63" s="766"/>
      <c r="W63" s="766">
        <v>22.12</v>
      </c>
      <c r="X63" s="766">
        <v>22.29</v>
      </c>
      <c r="Y63" s="766">
        <v>22.46</v>
      </c>
      <c r="Z63" s="766">
        <v>22.64</v>
      </c>
      <c r="AA63" s="766">
        <v>22.77</v>
      </c>
      <c r="AB63" s="766">
        <v>22.93</v>
      </c>
      <c r="AC63" s="766">
        <v>23.11</v>
      </c>
      <c r="AD63" s="766">
        <v>23.22</v>
      </c>
      <c r="AE63" s="766">
        <v>23.41</v>
      </c>
      <c r="AF63" s="766">
        <v>23.57</v>
      </c>
      <c r="AG63" s="766">
        <v>23.71</v>
      </c>
      <c r="AH63" s="766">
        <v>23.88</v>
      </c>
      <c r="AI63" s="766">
        <v>24.03</v>
      </c>
      <c r="AJ63" s="766">
        <v>24.24</v>
      </c>
      <c r="AK63" s="766">
        <v>24.44</v>
      </c>
      <c r="AL63" s="766">
        <v>24.65</v>
      </c>
      <c r="AM63" s="766">
        <v>24.86</v>
      </c>
      <c r="AN63" s="766">
        <v>25.01</v>
      </c>
      <c r="AO63" s="766">
        <v>25.15</v>
      </c>
      <c r="AP63" s="766">
        <v>25.23</v>
      </c>
      <c r="AQ63" s="766">
        <v>25.3</v>
      </c>
      <c r="AR63" s="766">
        <v>25.35</v>
      </c>
      <c r="AS63" s="766">
        <v>25.4</v>
      </c>
      <c r="AT63" s="766">
        <v>25.42</v>
      </c>
      <c r="AU63" s="766">
        <v>25.46</v>
      </c>
      <c r="AV63" s="766">
        <v>25.52</v>
      </c>
      <c r="AW63" s="766">
        <v>25.68</v>
      </c>
      <c r="AX63" s="766">
        <v>25.74</v>
      </c>
      <c r="AY63" s="766">
        <v>25.86</v>
      </c>
      <c r="AZ63" s="766">
        <v>25.97</v>
      </c>
      <c r="BA63" s="766">
        <v>26.09</v>
      </c>
      <c r="BB63" s="766">
        <v>26.19</v>
      </c>
      <c r="BC63" s="766">
        <v>26.29</v>
      </c>
      <c r="BD63" s="766">
        <v>26.41</v>
      </c>
      <c r="BE63" s="766">
        <v>26.53</v>
      </c>
      <c r="BF63" s="766">
        <v>26.65</v>
      </c>
      <c r="BG63" s="766">
        <v>26.77</v>
      </c>
      <c r="BH63" s="766">
        <v>26.9</v>
      </c>
      <c r="BI63" s="766">
        <v>27.02</v>
      </c>
      <c r="BJ63" s="766">
        <v>27.14</v>
      </c>
      <c r="BK63" s="766">
        <v>27.27</v>
      </c>
      <c r="BL63" s="766">
        <v>27.39</v>
      </c>
      <c r="BM63" s="766">
        <v>27.51</v>
      </c>
      <c r="BN63" s="766">
        <v>27.63</v>
      </c>
      <c r="BO63" s="766">
        <v>27.75</v>
      </c>
      <c r="BP63" s="766">
        <v>27.86</v>
      </c>
      <c r="BQ63" s="766">
        <v>27.98</v>
      </c>
      <c r="BR63" s="766">
        <v>28.1</v>
      </c>
      <c r="BS63" s="766">
        <v>28.21</v>
      </c>
      <c r="BT63" s="766">
        <v>28.33</v>
      </c>
      <c r="BU63" s="766">
        <v>28.45</v>
      </c>
      <c r="BV63" s="766">
        <v>28.56</v>
      </c>
      <c r="BW63" s="766">
        <v>28.67</v>
      </c>
      <c r="BX63" s="766">
        <v>28.79</v>
      </c>
      <c r="BY63" s="766">
        <v>28.9</v>
      </c>
      <c r="BZ63" s="766">
        <v>29.01</v>
      </c>
      <c r="CA63" s="766">
        <v>29.12</v>
      </c>
      <c r="CB63" s="766">
        <v>29.23</v>
      </c>
      <c r="CC63" s="766">
        <v>29.34</v>
      </c>
      <c r="CD63" s="766">
        <v>29.45</v>
      </c>
      <c r="CE63" s="766">
        <v>29.56</v>
      </c>
      <c r="CF63" s="766">
        <v>29.67</v>
      </c>
      <c r="CG63" s="766">
        <v>29.78</v>
      </c>
      <c r="CH63" s="766">
        <v>29.88</v>
      </c>
      <c r="CI63" s="766">
        <v>29.99</v>
      </c>
      <c r="CJ63" s="766">
        <v>30.09</v>
      </c>
      <c r="CK63" s="766">
        <v>30.2</v>
      </c>
      <c r="CL63" s="766">
        <v>30.3</v>
      </c>
      <c r="CM63" s="766">
        <v>30.41</v>
      </c>
      <c r="CN63" s="766">
        <v>30.51</v>
      </c>
      <c r="CO63" s="766">
        <v>30.61</v>
      </c>
      <c r="CP63" s="766">
        <v>30.71</v>
      </c>
      <c r="CQ63" s="766">
        <v>30.81</v>
      </c>
      <c r="CR63" s="766">
        <v>30.91</v>
      </c>
      <c r="CS63" s="766">
        <v>31.01</v>
      </c>
      <c r="CT63" s="766">
        <v>31.11</v>
      </c>
      <c r="CU63" s="766">
        <v>31.21</v>
      </c>
      <c r="CV63" s="766">
        <v>31.31</v>
      </c>
      <c r="CW63" s="766">
        <v>31.4</v>
      </c>
      <c r="CX63" s="766">
        <v>31.5</v>
      </c>
      <c r="CY63" s="766">
        <v>31.59</v>
      </c>
      <c r="CZ63" s="766">
        <v>31.69</v>
      </c>
      <c r="DA63" s="766">
        <v>31.78</v>
      </c>
      <c r="DB63" s="766">
        <v>31.88</v>
      </c>
      <c r="DC63" s="766">
        <v>31.97</v>
      </c>
      <c r="DD63" s="766">
        <v>32.06</v>
      </c>
      <c r="DE63" s="766">
        <v>32.15</v>
      </c>
      <c r="DF63" s="766">
        <v>32.24</v>
      </c>
      <c r="DG63" s="766">
        <v>32.33</v>
      </c>
      <c r="DH63" s="766">
        <v>32.42</v>
      </c>
      <c r="DI63" s="766">
        <v>32.51</v>
      </c>
      <c r="DJ63" s="766">
        <v>32.6</v>
      </c>
      <c r="DK63" s="766">
        <v>32.69</v>
      </c>
      <c r="DL63" s="766">
        <v>32.770000000000003</v>
      </c>
      <c r="DM63" s="766">
        <v>32.86</v>
      </c>
      <c r="DN63" s="766">
        <v>32.950000000000003</v>
      </c>
      <c r="DO63" s="766">
        <v>33.03</v>
      </c>
      <c r="DP63" s="766">
        <v>33.119999999999997</v>
      </c>
      <c r="DQ63" s="766">
        <v>33.200000000000003</v>
      </c>
      <c r="DR63" s="766">
        <v>33.28</v>
      </c>
    </row>
    <row r="64" spans="1:122">
      <c r="A64" s="950">
        <v>62</v>
      </c>
      <c r="B64" s="94"/>
      <c r="C64" s="94"/>
      <c r="D64" s="94"/>
      <c r="E64" s="94"/>
      <c r="F64" s="94"/>
      <c r="G64" s="94"/>
      <c r="H64" s="94"/>
      <c r="I64" s="94"/>
      <c r="J64" s="94"/>
      <c r="K64" s="94"/>
      <c r="L64" s="94"/>
      <c r="M64" s="94"/>
      <c r="N64" s="94"/>
      <c r="O64" s="94"/>
      <c r="P64" s="94"/>
      <c r="Q64" s="94"/>
      <c r="R64" s="94"/>
      <c r="S64" s="94"/>
      <c r="T64" s="94"/>
      <c r="U64" s="94"/>
      <c r="V64" s="766"/>
      <c r="W64" s="766">
        <v>21.32</v>
      </c>
      <c r="X64" s="766">
        <v>21.48</v>
      </c>
      <c r="Y64" s="766">
        <v>21.66</v>
      </c>
      <c r="Z64" s="766">
        <v>21.84</v>
      </c>
      <c r="AA64" s="766">
        <v>21.96</v>
      </c>
      <c r="AB64" s="766">
        <v>22.12</v>
      </c>
      <c r="AC64" s="766">
        <v>22.3</v>
      </c>
      <c r="AD64" s="766">
        <v>22.42</v>
      </c>
      <c r="AE64" s="766">
        <v>22.6</v>
      </c>
      <c r="AF64" s="766">
        <v>22.76</v>
      </c>
      <c r="AG64" s="766">
        <v>22.89</v>
      </c>
      <c r="AH64" s="766">
        <v>23.06</v>
      </c>
      <c r="AI64" s="766">
        <v>23.21</v>
      </c>
      <c r="AJ64" s="766">
        <v>23.41</v>
      </c>
      <c r="AK64" s="766">
        <v>23.61</v>
      </c>
      <c r="AL64" s="766">
        <v>23.81</v>
      </c>
      <c r="AM64" s="766">
        <v>24.01</v>
      </c>
      <c r="AN64" s="766">
        <v>24.16</v>
      </c>
      <c r="AO64" s="766">
        <v>24.3</v>
      </c>
      <c r="AP64" s="766">
        <v>24.38</v>
      </c>
      <c r="AQ64" s="766">
        <v>24.44</v>
      </c>
      <c r="AR64" s="766">
        <v>24.49</v>
      </c>
      <c r="AS64" s="766">
        <v>24.54</v>
      </c>
      <c r="AT64" s="766">
        <v>24.57</v>
      </c>
      <c r="AU64" s="766">
        <v>24.61</v>
      </c>
      <c r="AV64" s="766">
        <v>24.67</v>
      </c>
      <c r="AW64" s="766">
        <v>24.82</v>
      </c>
      <c r="AX64" s="766">
        <v>24.88</v>
      </c>
      <c r="AY64" s="766">
        <v>25.01</v>
      </c>
      <c r="AZ64" s="766">
        <v>25.12</v>
      </c>
      <c r="BA64" s="766">
        <v>25.23</v>
      </c>
      <c r="BB64" s="766">
        <v>25.33</v>
      </c>
      <c r="BC64" s="766">
        <v>25.44</v>
      </c>
      <c r="BD64" s="766">
        <v>25.56</v>
      </c>
      <c r="BE64" s="766">
        <v>25.67</v>
      </c>
      <c r="BF64" s="766">
        <v>25.8</v>
      </c>
      <c r="BG64" s="766">
        <v>25.92</v>
      </c>
      <c r="BH64" s="766">
        <v>26.04</v>
      </c>
      <c r="BI64" s="766">
        <v>26.17</v>
      </c>
      <c r="BJ64" s="766">
        <v>26.29</v>
      </c>
      <c r="BK64" s="766">
        <v>26.4</v>
      </c>
      <c r="BL64" s="766">
        <v>26.52</v>
      </c>
      <c r="BM64" s="766">
        <v>26.64</v>
      </c>
      <c r="BN64" s="766">
        <v>26.76</v>
      </c>
      <c r="BO64" s="766">
        <v>26.88</v>
      </c>
      <c r="BP64" s="766">
        <v>26.99</v>
      </c>
      <c r="BQ64" s="766">
        <v>27.11</v>
      </c>
      <c r="BR64" s="766">
        <v>27.22</v>
      </c>
      <c r="BS64" s="766">
        <v>27.34</v>
      </c>
      <c r="BT64" s="766">
        <v>27.45</v>
      </c>
      <c r="BU64" s="766">
        <v>27.57</v>
      </c>
      <c r="BV64" s="766">
        <v>27.68</v>
      </c>
      <c r="BW64" s="766">
        <v>27.79</v>
      </c>
      <c r="BX64" s="766">
        <v>27.9</v>
      </c>
      <c r="BY64" s="766">
        <v>28.01</v>
      </c>
      <c r="BZ64" s="766">
        <v>28.12</v>
      </c>
      <c r="CA64" s="766">
        <v>28.23</v>
      </c>
      <c r="CB64" s="766">
        <v>28.34</v>
      </c>
      <c r="CC64" s="766">
        <v>28.45</v>
      </c>
      <c r="CD64" s="766">
        <v>28.56</v>
      </c>
      <c r="CE64" s="766">
        <v>28.66</v>
      </c>
      <c r="CF64" s="766">
        <v>28.77</v>
      </c>
      <c r="CG64" s="766">
        <v>28.88</v>
      </c>
      <c r="CH64" s="766">
        <v>28.98</v>
      </c>
      <c r="CI64" s="766">
        <v>29.09</v>
      </c>
      <c r="CJ64" s="766">
        <v>29.19</v>
      </c>
      <c r="CK64" s="766">
        <v>29.29</v>
      </c>
      <c r="CL64" s="766">
        <v>29.4</v>
      </c>
      <c r="CM64" s="766">
        <v>29.5</v>
      </c>
      <c r="CN64" s="766">
        <v>29.6</v>
      </c>
      <c r="CO64" s="766">
        <v>29.7</v>
      </c>
      <c r="CP64" s="766">
        <v>29.8</v>
      </c>
      <c r="CQ64" s="766">
        <v>29.9</v>
      </c>
      <c r="CR64" s="766">
        <v>30</v>
      </c>
      <c r="CS64" s="766">
        <v>30.1</v>
      </c>
      <c r="CT64" s="766">
        <v>30.19</v>
      </c>
      <c r="CU64" s="766">
        <v>30.29</v>
      </c>
      <c r="CV64" s="766">
        <v>30.39</v>
      </c>
      <c r="CW64" s="766">
        <v>30.48</v>
      </c>
      <c r="CX64" s="766">
        <v>30.58</v>
      </c>
      <c r="CY64" s="766">
        <v>30.67</v>
      </c>
      <c r="CZ64" s="766">
        <v>30.76</v>
      </c>
      <c r="DA64" s="766">
        <v>30.86</v>
      </c>
      <c r="DB64" s="766">
        <v>30.95</v>
      </c>
      <c r="DC64" s="766">
        <v>31.04</v>
      </c>
      <c r="DD64" s="766">
        <v>31.13</v>
      </c>
      <c r="DE64" s="766">
        <v>31.22</v>
      </c>
      <c r="DF64" s="766">
        <v>31.31</v>
      </c>
      <c r="DG64" s="766">
        <v>31.4</v>
      </c>
      <c r="DH64" s="766">
        <v>31.49</v>
      </c>
      <c r="DI64" s="766">
        <v>31.58</v>
      </c>
      <c r="DJ64" s="766">
        <v>31.66</v>
      </c>
      <c r="DK64" s="766">
        <v>31.75</v>
      </c>
      <c r="DL64" s="766">
        <v>31.83</v>
      </c>
      <c r="DM64" s="766">
        <v>31.92</v>
      </c>
      <c r="DN64" s="766">
        <v>32</v>
      </c>
      <c r="DO64" s="766">
        <v>32.090000000000003</v>
      </c>
      <c r="DP64" s="766">
        <v>32.17</v>
      </c>
      <c r="DQ64" s="766">
        <v>32.25</v>
      </c>
      <c r="DR64" s="766">
        <v>32.340000000000003</v>
      </c>
    </row>
    <row r="65" spans="1:122">
      <c r="A65" s="950">
        <v>63</v>
      </c>
      <c r="B65" s="94"/>
      <c r="C65" s="94"/>
      <c r="D65" s="94"/>
      <c r="E65" s="94"/>
      <c r="F65" s="94"/>
      <c r="G65" s="94"/>
      <c r="H65" s="94"/>
      <c r="I65" s="94"/>
      <c r="J65" s="94"/>
      <c r="K65" s="94"/>
      <c r="L65" s="94"/>
      <c r="M65" s="94"/>
      <c r="N65" s="94"/>
      <c r="O65" s="94"/>
      <c r="P65" s="94"/>
      <c r="Q65" s="94"/>
      <c r="R65" s="94"/>
      <c r="S65" s="94"/>
      <c r="T65" s="94"/>
      <c r="U65" s="94"/>
      <c r="V65" s="766"/>
      <c r="W65" s="766">
        <v>20.54</v>
      </c>
      <c r="X65" s="766">
        <v>20.69</v>
      </c>
      <c r="Y65" s="766">
        <v>20.86</v>
      </c>
      <c r="Z65" s="766">
        <v>21.04</v>
      </c>
      <c r="AA65" s="766">
        <v>21.17</v>
      </c>
      <c r="AB65" s="766">
        <v>21.32</v>
      </c>
      <c r="AC65" s="766">
        <v>21.5</v>
      </c>
      <c r="AD65" s="766">
        <v>21.61</v>
      </c>
      <c r="AE65" s="766">
        <v>21.8</v>
      </c>
      <c r="AF65" s="766">
        <v>21.95</v>
      </c>
      <c r="AG65" s="766">
        <v>22.07</v>
      </c>
      <c r="AH65" s="766">
        <v>22.24</v>
      </c>
      <c r="AI65" s="766">
        <v>22.39</v>
      </c>
      <c r="AJ65" s="766">
        <v>22.59</v>
      </c>
      <c r="AK65" s="766">
        <v>22.77</v>
      </c>
      <c r="AL65" s="766">
        <v>22.98</v>
      </c>
      <c r="AM65" s="766">
        <v>23.17</v>
      </c>
      <c r="AN65" s="766">
        <v>23.32</v>
      </c>
      <c r="AO65" s="766">
        <v>23.45</v>
      </c>
      <c r="AP65" s="766">
        <v>23.53</v>
      </c>
      <c r="AQ65" s="766">
        <v>23.59</v>
      </c>
      <c r="AR65" s="766">
        <v>23.64</v>
      </c>
      <c r="AS65" s="766">
        <v>23.69</v>
      </c>
      <c r="AT65" s="766">
        <v>23.72</v>
      </c>
      <c r="AU65" s="766">
        <v>23.77</v>
      </c>
      <c r="AV65" s="766">
        <v>23.83</v>
      </c>
      <c r="AW65" s="766">
        <v>23.97</v>
      </c>
      <c r="AX65" s="766">
        <v>24.04</v>
      </c>
      <c r="AY65" s="766">
        <v>24.16</v>
      </c>
      <c r="AZ65" s="766">
        <v>24.28</v>
      </c>
      <c r="BA65" s="766">
        <v>24.38</v>
      </c>
      <c r="BB65" s="766">
        <v>24.48</v>
      </c>
      <c r="BC65" s="766">
        <v>24.59</v>
      </c>
      <c r="BD65" s="766">
        <v>24.71</v>
      </c>
      <c r="BE65" s="766">
        <v>24.83</v>
      </c>
      <c r="BF65" s="766">
        <v>24.96</v>
      </c>
      <c r="BG65" s="766">
        <v>25.08</v>
      </c>
      <c r="BH65" s="766">
        <v>25.19</v>
      </c>
      <c r="BI65" s="766">
        <v>25.31</v>
      </c>
      <c r="BJ65" s="766">
        <v>25.43</v>
      </c>
      <c r="BK65" s="766">
        <v>25.55</v>
      </c>
      <c r="BL65" s="766">
        <v>25.66</v>
      </c>
      <c r="BM65" s="766">
        <v>25.78</v>
      </c>
      <c r="BN65" s="766">
        <v>25.9</v>
      </c>
      <c r="BO65" s="766">
        <v>26.01</v>
      </c>
      <c r="BP65" s="766">
        <v>26.13</v>
      </c>
      <c r="BQ65" s="766">
        <v>26.24</v>
      </c>
      <c r="BR65" s="766">
        <v>26.35</v>
      </c>
      <c r="BS65" s="766">
        <v>26.47</v>
      </c>
      <c r="BT65" s="766">
        <v>26.58</v>
      </c>
      <c r="BU65" s="766">
        <v>26.69</v>
      </c>
      <c r="BV65" s="766">
        <v>26.8</v>
      </c>
      <c r="BW65" s="766">
        <v>26.91</v>
      </c>
      <c r="BX65" s="766">
        <v>27.02</v>
      </c>
      <c r="BY65" s="766">
        <v>27.13</v>
      </c>
      <c r="BZ65" s="766">
        <v>27.24</v>
      </c>
      <c r="CA65" s="766">
        <v>27.35</v>
      </c>
      <c r="CB65" s="766">
        <v>27.45</v>
      </c>
      <c r="CC65" s="766">
        <v>27.56</v>
      </c>
      <c r="CD65" s="766">
        <v>27.66</v>
      </c>
      <c r="CE65" s="766">
        <v>27.77</v>
      </c>
      <c r="CF65" s="766">
        <v>27.88</v>
      </c>
      <c r="CG65" s="766">
        <v>27.98</v>
      </c>
      <c r="CH65" s="766">
        <v>28.08</v>
      </c>
      <c r="CI65" s="766">
        <v>28.19</v>
      </c>
      <c r="CJ65" s="766">
        <v>28.29</v>
      </c>
      <c r="CK65" s="766">
        <v>28.39</v>
      </c>
      <c r="CL65" s="766">
        <v>28.49</v>
      </c>
      <c r="CM65" s="766">
        <v>28.59</v>
      </c>
      <c r="CN65" s="766">
        <v>28.69</v>
      </c>
      <c r="CO65" s="766">
        <v>28.79</v>
      </c>
      <c r="CP65" s="766">
        <v>28.89</v>
      </c>
      <c r="CQ65" s="766">
        <v>28.99</v>
      </c>
      <c r="CR65" s="766">
        <v>29.08</v>
      </c>
      <c r="CS65" s="766">
        <v>29.18</v>
      </c>
      <c r="CT65" s="766">
        <v>29.28</v>
      </c>
      <c r="CU65" s="766">
        <v>29.37</v>
      </c>
      <c r="CV65" s="766">
        <v>29.47</v>
      </c>
      <c r="CW65" s="766">
        <v>29.56</v>
      </c>
      <c r="CX65" s="766">
        <v>29.65</v>
      </c>
      <c r="CY65" s="766">
        <v>29.75</v>
      </c>
      <c r="CZ65" s="766">
        <v>29.84</v>
      </c>
      <c r="DA65" s="766">
        <v>29.93</v>
      </c>
      <c r="DB65" s="766">
        <v>30.02</v>
      </c>
      <c r="DC65" s="766">
        <v>30.11</v>
      </c>
      <c r="DD65" s="766">
        <v>30.2</v>
      </c>
      <c r="DE65" s="766">
        <v>30.29</v>
      </c>
      <c r="DF65" s="766">
        <v>30.38</v>
      </c>
      <c r="DG65" s="766">
        <v>30.47</v>
      </c>
      <c r="DH65" s="766">
        <v>30.55</v>
      </c>
      <c r="DI65" s="766">
        <v>30.64</v>
      </c>
      <c r="DJ65" s="766">
        <v>30.73</v>
      </c>
      <c r="DK65" s="766">
        <v>30.81</v>
      </c>
      <c r="DL65" s="766">
        <v>30.9</v>
      </c>
      <c r="DM65" s="766">
        <v>30.98</v>
      </c>
      <c r="DN65" s="766">
        <v>31.06</v>
      </c>
      <c r="DO65" s="766">
        <v>31.15</v>
      </c>
      <c r="DP65" s="766">
        <v>31.23</v>
      </c>
      <c r="DQ65" s="766">
        <v>31.31</v>
      </c>
      <c r="DR65" s="766">
        <v>31.39</v>
      </c>
    </row>
    <row r="66" spans="1:122">
      <c r="A66" s="950">
        <v>64</v>
      </c>
      <c r="B66" s="94"/>
      <c r="C66" s="94"/>
      <c r="D66" s="94"/>
      <c r="E66" s="94"/>
      <c r="F66" s="94"/>
      <c r="G66" s="94"/>
      <c r="H66" s="94"/>
      <c r="I66" s="94"/>
      <c r="J66" s="94"/>
      <c r="K66" s="94"/>
      <c r="L66" s="94"/>
      <c r="M66" s="94"/>
      <c r="N66" s="94"/>
      <c r="O66" s="94"/>
      <c r="P66" s="94"/>
      <c r="Q66" s="94"/>
      <c r="R66" s="94"/>
      <c r="S66" s="94"/>
      <c r="T66" s="94"/>
      <c r="U66" s="94"/>
      <c r="V66" s="766"/>
      <c r="W66" s="766">
        <v>19.760000000000002</v>
      </c>
      <c r="X66" s="766">
        <v>19.91</v>
      </c>
      <c r="Y66" s="766">
        <v>20.079999999999998</v>
      </c>
      <c r="Z66" s="766">
        <v>20.25</v>
      </c>
      <c r="AA66" s="766">
        <v>20.37</v>
      </c>
      <c r="AB66" s="766">
        <v>20.53</v>
      </c>
      <c r="AC66" s="766">
        <v>20.7</v>
      </c>
      <c r="AD66" s="766">
        <v>20.82</v>
      </c>
      <c r="AE66" s="766">
        <v>21</v>
      </c>
      <c r="AF66" s="766">
        <v>21.15</v>
      </c>
      <c r="AG66" s="766">
        <v>21.27</v>
      </c>
      <c r="AH66" s="766">
        <v>21.44</v>
      </c>
      <c r="AI66" s="766">
        <v>21.58</v>
      </c>
      <c r="AJ66" s="766">
        <v>21.77</v>
      </c>
      <c r="AK66" s="766">
        <v>21.95</v>
      </c>
      <c r="AL66" s="766">
        <v>22.14</v>
      </c>
      <c r="AM66" s="766">
        <v>22.33</v>
      </c>
      <c r="AN66" s="766">
        <v>22.48</v>
      </c>
      <c r="AO66" s="766">
        <v>22.61</v>
      </c>
      <c r="AP66" s="766">
        <v>22.69</v>
      </c>
      <c r="AQ66" s="766">
        <v>22.75</v>
      </c>
      <c r="AR66" s="766">
        <v>22.79</v>
      </c>
      <c r="AS66" s="766">
        <v>22.85</v>
      </c>
      <c r="AT66" s="766">
        <v>22.87</v>
      </c>
      <c r="AU66" s="766">
        <v>22.93</v>
      </c>
      <c r="AV66" s="766">
        <v>22.99</v>
      </c>
      <c r="AW66" s="766">
        <v>23.14</v>
      </c>
      <c r="AX66" s="766">
        <v>23.2</v>
      </c>
      <c r="AY66" s="766">
        <v>23.32</v>
      </c>
      <c r="AZ66" s="766">
        <v>23.43</v>
      </c>
      <c r="BA66" s="766">
        <v>23.54</v>
      </c>
      <c r="BB66" s="766">
        <v>23.64</v>
      </c>
      <c r="BC66" s="766">
        <v>23.75</v>
      </c>
      <c r="BD66" s="766">
        <v>23.87</v>
      </c>
      <c r="BE66" s="766">
        <v>24</v>
      </c>
      <c r="BF66" s="766">
        <v>24.11</v>
      </c>
      <c r="BG66" s="766">
        <v>24.23</v>
      </c>
      <c r="BH66" s="766">
        <v>24.35</v>
      </c>
      <c r="BI66" s="766">
        <v>24.47</v>
      </c>
      <c r="BJ66" s="766">
        <v>24.58</v>
      </c>
      <c r="BK66" s="766">
        <v>24.7</v>
      </c>
      <c r="BL66" s="766">
        <v>24.81</v>
      </c>
      <c r="BM66" s="766">
        <v>24.93</v>
      </c>
      <c r="BN66" s="766">
        <v>25.04</v>
      </c>
      <c r="BO66" s="766">
        <v>25.15</v>
      </c>
      <c r="BP66" s="766">
        <v>25.26</v>
      </c>
      <c r="BQ66" s="766">
        <v>25.38</v>
      </c>
      <c r="BR66" s="766">
        <v>25.49</v>
      </c>
      <c r="BS66" s="766">
        <v>25.6</v>
      </c>
      <c r="BT66" s="766">
        <v>25.71</v>
      </c>
      <c r="BU66" s="766">
        <v>25.82</v>
      </c>
      <c r="BV66" s="766">
        <v>25.93</v>
      </c>
      <c r="BW66" s="766">
        <v>26.03</v>
      </c>
      <c r="BX66" s="766">
        <v>26.14</v>
      </c>
      <c r="BY66" s="766">
        <v>26.25</v>
      </c>
      <c r="BZ66" s="766">
        <v>26.36</v>
      </c>
      <c r="CA66" s="766">
        <v>26.46</v>
      </c>
      <c r="CB66" s="766">
        <v>26.57</v>
      </c>
      <c r="CC66" s="766">
        <v>26.67</v>
      </c>
      <c r="CD66" s="766">
        <v>26.78</v>
      </c>
      <c r="CE66" s="766">
        <v>26.88</v>
      </c>
      <c r="CF66" s="766">
        <v>26.98</v>
      </c>
      <c r="CG66" s="766">
        <v>27.09</v>
      </c>
      <c r="CH66" s="766">
        <v>27.19</v>
      </c>
      <c r="CI66" s="766">
        <v>27.29</v>
      </c>
      <c r="CJ66" s="766">
        <v>27.39</v>
      </c>
      <c r="CK66" s="766">
        <v>27.49</v>
      </c>
      <c r="CL66" s="766">
        <v>27.59</v>
      </c>
      <c r="CM66" s="766">
        <v>27.69</v>
      </c>
      <c r="CN66" s="766">
        <v>27.79</v>
      </c>
      <c r="CO66" s="766">
        <v>27.88</v>
      </c>
      <c r="CP66" s="766">
        <v>27.98</v>
      </c>
      <c r="CQ66" s="766">
        <v>28.08</v>
      </c>
      <c r="CR66" s="766">
        <v>28.17</v>
      </c>
      <c r="CS66" s="766">
        <v>28.27</v>
      </c>
      <c r="CT66" s="766">
        <v>28.36</v>
      </c>
      <c r="CU66" s="766">
        <v>28.46</v>
      </c>
      <c r="CV66" s="766">
        <v>28.55</v>
      </c>
      <c r="CW66" s="766">
        <v>28.64</v>
      </c>
      <c r="CX66" s="766">
        <v>28.73</v>
      </c>
      <c r="CY66" s="766">
        <v>28.83</v>
      </c>
      <c r="CZ66" s="766">
        <v>28.92</v>
      </c>
      <c r="DA66" s="766">
        <v>29.01</v>
      </c>
      <c r="DB66" s="766">
        <v>29.1</v>
      </c>
      <c r="DC66" s="766">
        <v>29.19</v>
      </c>
      <c r="DD66" s="766">
        <v>29.27</v>
      </c>
      <c r="DE66" s="766">
        <v>29.36</v>
      </c>
      <c r="DF66" s="766">
        <v>29.45</v>
      </c>
      <c r="DG66" s="766">
        <v>29.54</v>
      </c>
      <c r="DH66" s="766">
        <v>29.62</v>
      </c>
      <c r="DI66" s="766">
        <v>29.71</v>
      </c>
      <c r="DJ66" s="766">
        <v>29.79</v>
      </c>
      <c r="DK66" s="766">
        <v>29.88</v>
      </c>
      <c r="DL66" s="766">
        <v>29.96</v>
      </c>
      <c r="DM66" s="766">
        <v>30.04</v>
      </c>
      <c r="DN66" s="766">
        <v>30.13</v>
      </c>
      <c r="DO66" s="766">
        <v>30.21</v>
      </c>
      <c r="DP66" s="766">
        <v>30.29</v>
      </c>
      <c r="DQ66" s="766">
        <v>30.37</v>
      </c>
      <c r="DR66" s="766">
        <v>30.45</v>
      </c>
    </row>
    <row r="67" spans="1:122">
      <c r="A67" s="950">
        <v>65</v>
      </c>
      <c r="B67" s="94"/>
      <c r="C67" s="94"/>
      <c r="D67" s="94"/>
      <c r="E67" s="94"/>
      <c r="F67" s="94"/>
      <c r="G67" s="94"/>
      <c r="H67" s="94"/>
      <c r="I67" s="94"/>
      <c r="J67" s="94"/>
      <c r="K67" s="94"/>
      <c r="L67" s="94"/>
      <c r="M67" s="94"/>
      <c r="N67" s="94"/>
      <c r="O67" s="94"/>
      <c r="P67" s="94"/>
      <c r="Q67" s="94"/>
      <c r="R67" s="94"/>
      <c r="S67" s="94"/>
      <c r="T67" s="94"/>
      <c r="U67" s="94"/>
      <c r="V67" s="766"/>
      <c r="W67" s="766">
        <v>18.98</v>
      </c>
      <c r="X67" s="766">
        <v>19.13</v>
      </c>
      <c r="Y67" s="766">
        <v>19.3</v>
      </c>
      <c r="Z67" s="766">
        <v>19.46</v>
      </c>
      <c r="AA67" s="766">
        <v>19.59</v>
      </c>
      <c r="AB67" s="766">
        <v>19.75</v>
      </c>
      <c r="AC67" s="766">
        <v>19.920000000000002</v>
      </c>
      <c r="AD67" s="766">
        <v>20.03</v>
      </c>
      <c r="AE67" s="766">
        <v>20.2</v>
      </c>
      <c r="AF67" s="766">
        <v>20.36</v>
      </c>
      <c r="AG67" s="766">
        <v>20.47</v>
      </c>
      <c r="AH67" s="766">
        <v>20.63</v>
      </c>
      <c r="AI67" s="766">
        <v>20.77</v>
      </c>
      <c r="AJ67" s="766">
        <v>20.95</v>
      </c>
      <c r="AK67" s="766">
        <v>21.13</v>
      </c>
      <c r="AL67" s="766">
        <v>21.32</v>
      </c>
      <c r="AM67" s="766">
        <v>21.5</v>
      </c>
      <c r="AN67" s="766">
        <v>21.65</v>
      </c>
      <c r="AO67" s="766">
        <v>21.77</v>
      </c>
      <c r="AP67" s="766">
        <v>21.84</v>
      </c>
      <c r="AQ67" s="766">
        <v>21.9</v>
      </c>
      <c r="AR67" s="766">
        <v>21.95</v>
      </c>
      <c r="AS67" s="766">
        <v>22</v>
      </c>
      <c r="AT67" s="766">
        <v>22.04</v>
      </c>
      <c r="AU67" s="766">
        <v>22.1</v>
      </c>
      <c r="AV67" s="766">
        <v>22.16</v>
      </c>
      <c r="AW67" s="766">
        <v>22.3</v>
      </c>
      <c r="AX67" s="766">
        <v>22.38</v>
      </c>
      <c r="AY67" s="766">
        <v>22.49</v>
      </c>
      <c r="AZ67" s="766">
        <v>22.6</v>
      </c>
      <c r="BA67" s="766">
        <v>22.71</v>
      </c>
      <c r="BB67" s="766">
        <v>22.81</v>
      </c>
      <c r="BC67" s="766">
        <v>22.93</v>
      </c>
      <c r="BD67" s="766">
        <v>23.05</v>
      </c>
      <c r="BE67" s="766">
        <v>23.16</v>
      </c>
      <c r="BF67" s="766">
        <v>23.28</v>
      </c>
      <c r="BG67" s="766">
        <v>23.4</v>
      </c>
      <c r="BH67" s="766">
        <v>23.51</v>
      </c>
      <c r="BI67" s="766">
        <v>23.62</v>
      </c>
      <c r="BJ67" s="766">
        <v>23.74</v>
      </c>
      <c r="BK67" s="766">
        <v>23.85</v>
      </c>
      <c r="BL67" s="766">
        <v>23.96</v>
      </c>
      <c r="BM67" s="766">
        <v>24.07</v>
      </c>
      <c r="BN67" s="766">
        <v>24.19</v>
      </c>
      <c r="BO67" s="766">
        <v>24.3</v>
      </c>
      <c r="BP67" s="766">
        <v>24.41</v>
      </c>
      <c r="BQ67" s="766">
        <v>24.52</v>
      </c>
      <c r="BR67" s="766">
        <v>24.62</v>
      </c>
      <c r="BS67" s="766">
        <v>24.73</v>
      </c>
      <c r="BT67" s="766">
        <v>24.84</v>
      </c>
      <c r="BU67" s="766">
        <v>24.95</v>
      </c>
      <c r="BV67" s="766">
        <v>25.06</v>
      </c>
      <c r="BW67" s="766">
        <v>25.16</v>
      </c>
      <c r="BX67" s="766">
        <v>25.27</v>
      </c>
      <c r="BY67" s="766">
        <v>25.37</v>
      </c>
      <c r="BZ67" s="766">
        <v>25.48</v>
      </c>
      <c r="CA67" s="766">
        <v>25.58</v>
      </c>
      <c r="CB67" s="766">
        <v>25.69</v>
      </c>
      <c r="CC67" s="766">
        <v>25.79</v>
      </c>
      <c r="CD67" s="766">
        <v>25.89</v>
      </c>
      <c r="CE67" s="766">
        <v>25.99</v>
      </c>
      <c r="CF67" s="766">
        <v>26.09</v>
      </c>
      <c r="CG67" s="766">
        <v>26.19</v>
      </c>
      <c r="CH67" s="766">
        <v>26.29</v>
      </c>
      <c r="CI67" s="766">
        <v>26.39</v>
      </c>
      <c r="CJ67" s="766">
        <v>26.49</v>
      </c>
      <c r="CK67" s="766">
        <v>26.59</v>
      </c>
      <c r="CL67" s="766">
        <v>26.69</v>
      </c>
      <c r="CM67" s="766">
        <v>26.79</v>
      </c>
      <c r="CN67" s="766">
        <v>26.88</v>
      </c>
      <c r="CO67" s="766">
        <v>26.98</v>
      </c>
      <c r="CP67" s="766">
        <v>27.08</v>
      </c>
      <c r="CQ67" s="766">
        <v>27.17</v>
      </c>
      <c r="CR67" s="766">
        <v>27.26</v>
      </c>
      <c r="CS67" s="766">
        <v>27.36</v>
      </c>
      <c r="CT67" s="766">
        <v>27.45</v>
      </c>
      <c r="CU67" s="766">
        <v>27.54</v>
      </c>
      <c r="CV67" s="766">
        <v>27.64</v>
      </c>
      <c r="CW67" s="766">
        <v>27.73</v>
      </c>
      <c r="CX67" s="766">
        <v>27.82</v>
      </c>
      <c r="CY67" s="766">
        <v>27.91</v>
      </c>
      <c r="CZ67" s="766">
        <v>28</v>
      </c>
      <c r="DA67" s="766">
        <v>28.09</v>
      </c>
      <c r="DB67" s="766">
        <v>28.18</v>
      </c>
      <c r="DC67" s="766">
        <v>28.26</v>
      </c>
      <c r="DD67" s="766">
        <v>28.35</v>
      </c>
      <c r="DE67" s="766">
        <v>28.44</v>
      </c>
      <c r="DF67" s="766">
        <v>28.52</v>
      </c>
      <c r="DG67" s="766">
        <v>28.61</v>
      </c>
      <c r="DH67" s="766">
        <v>28.69</v>
      </c>
      <c r="DI67" s="766">
        <v>28.78</v>
      </c>
      <c r="DJ67" s="766">
        <v>28.86</v>
      </c>
      <c r="DK67" s="766">
        <v>28.94</v>
      </c>
      <c r="DL67" s="766">
        <v>29.03</v>
      </c>
      <c r="DM67" s="766">
        <v>29.11</v>
      </c>
      <c r="DN67" s="766">
        <v>29.19</v>
      </c>
      <c r="DO67" s="766">
        <v>29.27</v>
      </c>
      <c r="DP67" s="766">
        <v>29.35</v>
      </c>
      <c r="DQ67" s="766">
        <v>29.43</v>
      </c>
      <c r="DR67" s="766">
        <v>29.51</v>
      </c>
    </row>
    <row r="68" spans="1:122">
      <c r="A68" s="950">
        <v>66</v>
      </c>
      <c r="B68" s="94"/>
      <c r="C68" s="94"/>
      <c r="D68" s="94"/>
      <c r="E68" s="94"/>
      <c r="F68" s="94"/>
      <c r="G68" s="94"/>
      <c r="H68" s="94"/>
      <c r="I68" s="94"/>
      <c r="J68" s="94"/>
      <c r="K68" s="94"/>
      <c r="L68" s="94"/>
      <c r="M68" s="94"/>
      <c r="N68" s="94"/>
      <c r="O68" s="94"/>
      <c r="P68" s="94"/>
      <c r="Q68" s="94"/>
      <c r="R68" s="94"/>
      <c r="S68" s="94"/>
      <c r="T68" s="94"/>
      <c r="U68" s="94"/>
      <c r="V68" s="766"/>
      <c r="W68" s="766">
        <v>18.23</v>
      </c>
      <c r="X68" s="766">
        <v>18.37</v>
      </c>
      <c r="Y68" s="766">
        <v>18.53</v>
      </c>
      <c r="Z68" s="766">
        <v>18.7</v>
      </c>
      <c r="AA68" s="766">
        <v>18.82</v>
      </c>
      <c r="AB68" s="766">
        <v>18.98</v>
      </c>
      <c r="AC68" s="766">
        <v>19.14</v>
      </c>
      <c r="AD68" s="766">
        <v>19.25</v>
      </c>
      <c r="AE68" s="766">
        <v>19.420000000000002</v>
      </c>
      <c r="AF68" s="766">
        <v>19.579999999999998</v>
      </c>
      <c r="AG68" s="766">
        <v>19.68</v>
      </c>
      <c r="AH68" s="766">
        <v>19.829999999999998</v>
      </c>
      <c r="AI68" s="766">
        <v>19.97</v>
      </c>
      <c r="AJ68" s="766">
        <v>20.14</v>
      </c>
      <c r="AK68" s="766">
        <v>20.309999999999999</v>
      </c>
      <c r="AL68" s="766">
        <v>20.5</v>
      </c>
      <c r="AM68" s="766">
        <v>20.68</v>
      </c>
      <c r="AN68" s="766">
        <v>20.82</v>
      </c>
      <c r="AO68" s="766">
        <v>20.93</v>
      </c>
      <c r="AP68" s="766">
        <v>21</v>
      </c>
      <c r="AQ68" s="766">
        <v>21.07</v>
      </c>
      <c r="AR68" s="766">
        <v>21.11</v>
      </c>
      <c r="AS68" s="766">
        <v>21.18</v>
      </c>
      <c r="AT68" s="766">
        <v>21.21</v>
      </c>
      <c r="AU68" s="766">
        <v>21.27</v>
      </c>
      <c r="AV68" s="766">
        <v>21.34</v>
      </c>
      <c r="AW68" s="766">
        <v>21.48</v>
      </c>
      <c r="AX68" s="766">
        <v>21.55</v>
      </c>
      <c r="AY68" s="766">
        <v>21.66</v>
      </c>
      <c r="AZ68" s="766">
        <v>21.78</v>
      </c>
      <c r="BA68" s="766">
        <v>21.88</v>
      </c>
      <c r="BB68" s="766">
        <v>21.99</v>
      </c>
      <c r="BC68" s="766">
        <v>22.11</v>
      </c>
      <c r="BD68" s="766">
        <v>22.22</v>
      </c>
      <c r="BE68" s="766">
        <v>22.34</v>
      </c>
      <c r="BF68" s="766">
        <v>22.45</v>
      </c>
      <c r="BG68" s="766">
        <v>22.56</v>
      </c>
      <c r="BH68" s="766">
        <v>22.68</v>
      </c>
      <c r="BI68" s="766">
        <v>22.79</v>
      </c>
      <c r="BJ68" s="766">
        <v>22.9</v>
      </c>
      <c r="BK68" s="766">
        <v>23.01</v>
      </c>
      <c r="BL68" s="766">
        <v>23.12</v>
      </c>
      <c r="BM68" s="766">
        <v>23.23</v>
      </c>
      <c r="BN68" s="766">
        <v>23.34</v>
      </c>
      <c r="BO68" s="766">
        <v>23.45</v>
      </c>
      <c r="BP68" s="766">
        <v>23.55</v>
      </c>
      <c r="BQ68" s="766">
        <v>23.66</v>
      </c>
      <c r="BR68" s="766">
        <v>23.77</v>
      </c>
      <c r="BS68" s="766">
        <v>23.87</v>
      </c>
      <c r="BT68" s="766">
        <v>23.98</v>
      </c>
      <c r="BU68" s="766">
        <v>24.09</v>
      </c>
      <c r="BV68" s="766">
        <v>24.19</v>
      </c>
      <c r="BW68" s="766">
        <v>24.29</v>
      </c>
      <c r="BX68" s="766">
        <v>24.4</v>
      </c>
      <c r="BY68" s="766">
        <v>24.5</v>
      </c>
      <c r="BZ68" s="766">
        <v>24.6</v>
      </c>
      <c r="CA68" s="766">
        <v>24.71</v>
      </c>
      <c r="CB68" s="766">
        <v>24.81</v>
      </c>
      <c r="CC68" s="766">
        <v>24.91</v>
      </c>
      <c r="CD68" s="766">
        <v>25.01</v>
      </c>
      <c r="CE68" s="766">
        <v>25.11</v>
      </c>
      <c r="CF68" s="766">
        <v>25.21</v>
      </c>
      <c r="CG68" s="766">
        <v>25.31</v>
      </c>
      <c r="CH68" s="766">
        <v>25.41</v>
      </c>
      <c r="CI68" s="766">
        <v>25.5</v>
      </c>
      <c r="CJ68" s="766">
        <v>25.6</v>
      </c>
      <c r="CK68" s="766">
        <v>25.7</v>
      </c>
      <c r="CL68" s="766">
        <v>25.79</v>
      </c>
      <c r="CM68" s="766">
        <v>25.89</v>
      </c>
      <c r="CN68" s="766">
        <v>25.99</v>
      </c>
      <c r="CO68" s="766">
        <v>26.08</v>
      </c>
      <c r="CP68" s="766">
        <v>26.17</v>
      </c>
      <c r="CQ68" s="766">
        <v>26.27</v>
      </c>
      <c r="CR68" s="766">
        <v>26.36</v>
      </c>
      <c r="CS68" s="766">
        <v>26.45</v>
      </c>
      <c r="CT68" s="766">
        <v>26.54</v>
      </c>
      <c r="CU68" s="766">
        <v>26.63</v>
      </c>
      <c r="CV68" s="766">
        <v>26.73</v>
      </c>
      <c r="CW68" s="766">
        <v>26.82</v>
      </c>
      <c r="CX68" s="766">
        <v>26.9</v>
      </c>
      <c r="CY68" s="766">
        <v>26.99</v>
      </c>
      <c r="CZ68" s="766">
        <v>27.08</v>
      </c>
      <c r="DA68" s="766">
        <v>27.17</v>
      </c>
      <c r="DB68" s="766">
        <v>27.26</v>
      </c>
      <c r="DC68" s="766">
        <v>27.34</v>
      </c>
      <c r="DD68" s="766">
        <v>27.43</v>
      </c>
      <c r="DE68" s="766">
        <v>27.51</v>
      </c>
      <c r="DF68" s="766">
        <v>27.6</v>
      </c>
      <c r="DG68" s="766">
        <v>27.68</v>
      </c>
      <c r="DH68" s="766">
        <v>27.77</v>
      </c>
      <c r="DI68" s="766">
        <v>27.85</v>
      </c>
      <c r="DJ68" s="766">
        <v>27.93</v>
      </c>
      <c r="DK68" s="766">
        <v>28.01</v>
      </c>
      <c r="DL68" s="766">
        <v>28.1</v>
      </c>
      <c r="DM68" s="766">
        <v>28.18</v>
      </c>
      <c r="DN68" s="766">
        <v>28.26</v>
      </c>
      <c r="DO68" s="766">
        <v>28.34</v>
      </c>
      <c r="DP68" s="766">
        <v>28.42</v>
      </c>
      <c r="DQ68" s="766">
        <v>28.49</v>
      </c>
      <c r="DR68" s="766">
        <v>28.57</v>
      </c>
    </row>
    <row r="69" spans="1:122">
      <c r="A69" s="950">
        <v>67</v>
      </c>
      <c r="B69" s="94"/>
      <c r="C69" s="94"/>
      <c r="D69" s="94"/>
      <c r="E69" s="94"/>
      <c r="F69" s="94"/>
      <c r="G69" s="94"/>
      <c r="H69" s="94"/>
      <c r="I69" s="94"/>
      <c r="J69" s="94"/>
      <c r="K69" s="94"/>
      <c r="L69" s="94"/>
      <c r="M69" s="94"/>
      <c r="N69" s="94"/>
      <c r="O69" s="94"/>
      <c r="P69" s="94"/>
      <c r="Q69" s="94"/>
      <c r="R69" s="94"/>
      <c r="S69" s="94"/>
      <c r="T69" s="94"/>
      <c r="U69" s="94"/>
      <c r="V69" s="766"/>
      <c r="W69" s="766">
        <v>17.47</v>
      </c>
      <c r="X69" s="766">
        <v>17.61</v>
      </c>
      <c r="Y69" s="766">
        <v>17.77</v>
      </c>
      <c r="Z69" s="766">
        <v>17.940000000000001</v>
      </c>
      <c r="AA69" s="766">
        <v>18.059999999999999</v>
      </c>
      <c r="AB69" s="766">
        <v>18.21</v>
      </c>
      <c r="AC69" s="766">
        <v>18.36</v>
      </c>
      <c r="AD69" s="766">
        <v>18.48</v>
      </c>
      <c r="AE69" s="766">
        <v>18.649999999999999</v>
      </c>
      <c r="AF69" s="766">
        <v>18.79</v>
      </c>
      <c r="AG69" s="766">
        <v>18.899999999999999</v>
      </c>
      <c r="AH69" s="766">
        <v>19.05</v>
      </c>
      <c r="AI69" s="766">
        <v>19.170000000000002</v>
      </c>
      <c r="AJ69" s="766">
        <v>19.34</v>
      </c>
      <c r="AK69" s="766">
        <v>19.510000000000002</v>
      </c>
      <c r="AL69" s="766">
        <v>19.690000000000001</v>
      </c>
      <c r="AM69" s="766">
        <v>19.86</v>
      </c>
      <c r="AN69" s="766">
        <v>19.989999999999998</v>
      </c>
      <c r="AO69" s="766">
        <v>20.100000000000001</v>
      </c>
      <c r="AP69" s="766">
        <v>20.170000000000002</v>
      </c>
      <c r="AQ69" s="766">
        <v>20.239999999999998</v>
      </c>
      <c r="AR69" s="766">
        <v>20.28</v>
      </c>
      <c r="AS69" s="766">
        <v>20.350000000000001</v>
      </c>
      <c r="AT69" s="766">
        <v>20.39</v>
      </c>
      <c r="AU69" s="766">
        <v>20.45</v>
      </c>
      <c r="AV69" s="766">
        <v>20.53</v>
      </c>
      <c r="AW69" s="766">
        <v>20.66</v>
      </c>
      <c r="AX69" s="766">
        <v>20.74</v>
      </c>
      <c r="AY69" s="766">
        <v>20.85</v>
      </c>
      <c r="AZ69" s="766">
        <v>20.97</v>
      </c>
      <c r="BA69" s="766">
        <v>21.07</v>
      </c>
      <c r="BB69" s="766">
        <v>21.18</v>
      </c>
      <c r="BC69" s="766">
        <v>21.29</v>
      </c>
      <c r="BD69" s="766">
        <v>21.41</v>
      </c>
      <c r="BE69" s="766">
        <v>21.52</v>
      </c>
      <c r="BF69" s="766">
        <v>21.63</v>
      </c>
      <c r="BG69" s="766">
        <v>21.74</v>
      </c>
      <c r="BH69" s="766">
        <v>21.85</v>
      </c>
      <c r="BI69" s="766">
        <v>21.96</v>
      </c>
      <c r="BJ69" s="766">
        <v>22.07</v>
      </c>
      <c r="BK69" s="766">
        <v>22.17</v>
      </c>
      <c r="BL69" s="766">
        <v>22.28</v>
      </c>
      <c r="BM69" s="766">
        <v>22.39</v>
      </c>
      <c r="BN69" s="766">
        <v>22.49</v>
      </c>
      <c r="BO69" s="766">
        <v>22.6</v>
      </c>
      <c r="BP69" s="766">
        <v>22.71</v>
      </c>
      <c r="BQ69" s="766">
        <v>22.81</v>
      </c>
      <c r="BR69" s="766">
        <v>22.92</v>
      </c>
      <c r="BS69" s="766">
        <v>23.02</v>
      </c>
      <c r="BT69" s="766">
        <v>23.12</v>
      </c>
      <c r="BU69" s="766">
        <v>23.23</v>
      </c>
      <c r="BV69" s="766">
        <v>23.33</v>
      </c>
      <c r="BW69" s="766">
        <v>23.43</v>
      </c>
      <c r="BX69" s="766">
        <v>23.53</v>
      </c>
      <c r="BY69" s="766">
        <v>23.63</v>
      </c>
      <c r="BZ69" s="766">
        <v>23.74</v>
      </c>
      <c r="CA69" s="766">
        <v>23.84</v>
      </c>
      <c r="CB69" s="766">
        <v>23.94</v>
      </c>
      <c r="CC69" s="766">
        <v>24.03</v>
      </c>
      <c r="CD69" s="766">
        <v>24.13</v>
      </c>
      <c r="CE69" s="766">
        <v>24.23</v>
      </c>
      <c r="CF69" s="766">
        <v>24.33</v>
      </c>
      <c r="CG69" s="766">
        <v>24.43</v>
      </c>
      <c r="CH69" s="766">
        <v>24.52</v>
      </c>
      <c r="CI69" s="766">
        <v>24.62</v>
      </c>
      <c r="CJ69" s="766">
        <v>24.71</v>
      </c>
      <c r="CK69" s="766">
        <v>24.81</v>
      </c>
      <c r="CL69" s="766">
        <v>24.9</v>
      </c>
      <c r="CM69" s="766">
        <v>25</v>
      </c>
      <c r="CN69" s="766">
        <v>25.09</v>
      </c>
      <c r="CO69" s="766">
        <v>25.18</v>
      </c>
      <c r="CP69" s="766">
        <v>25.28</v>
      </c>
      <c r="CQ69" s="766">
        <v>25.37</v>
      </c>
      <c r="CR69" s="766">
        <v>25.46</v>
      </c>
      <c r="CS69" s="766">
        <v>25.55</v>
      </c>
      <c r="CT69" s="766">
        <v>25.64</v>
      </c>
      <c r="CU69" s="766">
        <v>25.73</v>
      </c>
      <c r="CV69" s="766">
        <v>25.82</v>
      </c>
      <c r="CW69" s="766">
        <v>25.91</v>
      </c>
      <c r="CX69" s="766">
        <v>25.99</v>
      </c>
      <c r="CY69" s="766">
        <v>26.08</v>
      </c>
      <c r="CZ69" s="766">
        <v>26.17</v>
      </c>
      <c r="DA69" s="766">
        <v>26.25</v>
      </c>
      <c r="DB69" s="766">
        <v>26.34</v>
      </c>
      <c r="DC69" s="766">
        <v>26.43</v>
      </c>
      <c r="DD69" s="766">
        <v>26.51</v>
      </c>
      <c r="DE69" s="766">
        <v>26.59</v>
      </c>
      <c r="DF69" s="766">
        <v>26.68</v>
      </c>
      <c r="DG69" s="766">
        <v>26.76</v>
      </c>
      <c r="DH69" s="766">
        <v>26.84</v>
      </c>
      <c r="DI69" s="766">
        <v>26.92</v>
      </c>
      <c r="DJ69" s="766">
        <v>27.01</v>
      </c>
      <c r="DK69" s="766">
        <v>27.09</v>
      </c>
      <c r="DL69" s="766">
        <v>27.17</v>
      </c>
      <c r="DM69" s="766">
        <v>27.25</v>
      </c>
      <c r="DN69" s="766">
        <v>27.33</v>
      </c>
      <c r="DO69" s="766">
        <v>27.4</v>
      </c>
      <c r="DP69" s="766">
        <v>27.48</v>
      </c>
      <c r="DQ69" s="766">
        <v>27.56</v>
      </c>
      <c r="DR69" s="766">
        <v>27.64</v>
      </c>
    </row>
    <row r="70" spans="1:122">
      <c r="A70" s="950">
        <v>68</v>
      </c>
      <c r="B70" s="94"/>
      <c r="C70" s="94"/>
      <c r="D70" s="94"/>
      <c r="E70" s="94"/>
      <c r="F70" s="94"/>
      <c r="G70" s="94"/>
      <c r="H70" s="94"/>
      <c r="I70" s="94"/>
      <c r="J70" s="94"/>
      <c r="K70" s="94"/>
      <c r="L70" s="94"/>
      <c r="M70" s="94"/>
      <c r="N70" s="94"/>
      <c r="O70" s="94"/>
      <c r="P70" s="94"/>
      <c r="Q70" s="94"/>
      <c r="R70" s="94"/>
      <c r="S70" s="94"/>
      <c r="T70" s="94"/>
      <c r="U70" s="94"/>
      <c r="V70" s="766"/>
      <c r="W70" s="766">
        <v>16.73</v>
      </c>
      <c r="X70" s="766">
        <v>16.87</v>
      </c>
      <c r="Y70" s="766">
        <v>17.03</v>
      </c>
      <c r="Z70" s="766">
        <v>17.190000000000001</v>
      </c>
      <c r="AA70" s="766">
        <v>17.309999999999999</v>
      </c>
      <c r="AB70" s="766">
        <v>17.45</v>
      </c>
      <c r="AC70" s="766">
        <v>17.600000000000001</v>
      </c>
      <c r="AD70" s="766">
        <v>17.72</v>
      </c>
      <c r="AE70" s="766">
        <v>17.87</v>
      </c>
      <c r="AF70" s="766">
        <v>18.02</v>
      </c>
      <c r="AG70" s="766">
        <v>18.12</v>
      </c>
      <c r="AH70" s="766">
        <v>18.260000000000002</v>
      </c>
      <c r="AI70" s="766">
        <v>18.38</v>
      </c>
      <c r="AJ70" s="766">
        <v>18.54</v>
      </c>
      <c r="AK70" s="766">
        <v>18.71</v>
      </c>
      <c r="AL70" s="766">
        <v>18.88</v>
      </c>
      <c r="AM70" s="766">
        <v>19.05</v>
      </c>
      <c r="AN70" s="766">
        <v>19.170000000000002</v>
      </c>
      <c r="AO70" s="766">
        <v>19.27</v>
      </c>
      <c r="AP70" s="766">
        <v>19.350000000000001</v>
      </c>
      <c r="AQ70" s="766">
        <v>19.420000000000002</v>
      </c>
      <c r="AR70" s="766">
        <v>19.46</v>
      </c>
      <c r="AS70" s="766">
        <v>19.53</v>
      </c>
      <c r="AT70" s="766">
        <v>19.579999999999998</v>
      </c>
      <c r="AU70" s="766">
        <v>19.64</v>
      </c>
      <c r="AV70" s="766">
        <v>19.72</v>
      </c>
      <c r="AW70" s="766">
        <v>19.86</v>
      </c>
      <c r="AX70" s="766">
        <v>19.940000000000001</v>
      </c>
      <c r="AY70" s="766">
        <v>20.04</v>
      </c>
      <c r="AZ70" s="766">
        <v>20.16</v>
      </c>
      <c r="BA70" s="766">
        <v>20.27</v>
      </c>
      <c r="BB70" s="766">
        <v>20.38</v>
      </c>
      <c r="BC70" s="766">
        <v>20.49</v>
      </c>
      <c r="BD70" s="766">
        <v>20.6</v>
      </c>
      <c r="BE70" s="766">
        <v>20.7</v>
      </c>
      <c r="BF70" s="766">
        <v>20.81</v>
      </c>
      <c r="BG70" s="766">
        <v>20.92</v>
      </c>
      <c r="BH70" s="766">
        <v>21.03</v>
      </c>
      <c r="BI70" s="766">
        <v>21.13</v>
      </c>
      <c r="BJ70" s="766">
        <v>21.24</v>
      </c>
      <c r="BK70" s="766">
        <v>21.34</v>
      </c>
      <c r="BL70" s="766">
        <v>21.45</v>
      </c>
      <c r="BM70" s="766">
        <v>21.55</v>
      </c>
      <c r="BN70" s="766">
        <v>21.66</v>
      </c>
      <c r="BO70" s="766">
        <v>21.76</v>
      </c>
      <c r="BP70" s="766">
        <v>21.86</v>
      </c>
      <c r="BQ70" s="766">
        <v>21.97</v>
      </c>
      <c r="BR70" s="766">
        <v>22.07</v>
      </c>
      <c r="BS70" s="766">
        <v>22.17</v>
      </c>
      <c r="BT70" s="766">
        <v>22.27</v>
      </c>
      <c r="BU70" s="766">
        <v>22.37</v>
      </c>
      <c r="BV70" s="766">
        <v>22.47</v>
      </c>
      <c r="BW70" s="766">
        <v>22.57</v>
      </c>
      <c r="BX70" s="766">
        <v>22.67</v>
      </c>
      <c r="BY70" s="766">
        <v>22.77</v>
      </c>
      <c r="BZ70" s="766">
        <v>22.87</v>
      </c>
      <c r="CA70" s="766">
        <v>22.97</v>
      </c>
      <c r="CB70" s="766">
        <v>23.07</v>
      </c>
      <c r="CC70" s="766">
        <v>23.16</v>
      </c>
      <c r="CD70" s="766">
        <v>23.26</v>
      </c>
      <c r="CE70" s="766">
        <v>23.36</v>
      </c>
      <c r="CF70" s="766">
        <v>23.45</v>
      </c>
      <c r="CG70" s="766">
        <v>23.55</v>
      </c>
      <c r="CH70" s="766">
        <v>23.64</v>
      </c>
      <c r="CI70" s="766">
        <v>23.74</v>
      </c>
      <c r="CJ70" s="766">
        <v>23.83</v>
      </c>
      <c r="CK70" s="766">
        <v>23.92</v>
      </c>
      <c r="CL70" s="766">
        <v>24.02</v>
      </c>
      <c r="CM70" s="766">
        <v>24.11</v>
      </c>
      <c r="CN70" s="766">
        <v>24.2</v>
      </c>
      <c r="CO70" s="766">
        <v>24.29</v>
      </c>
      <c r="CP70" s="766">
        <v>24.38</v>
      </c>
      <c r="CQ70" s="766">
        <v>24.47</v>
      </c>
      <c r="CR70" s="766">
        <v>24.56</v>
      </c>
      <c r="CS70" s="766">
        <v>24.65</v>
      </c>
      <c r="CT70" s="766">
        <v>24.74</v>
      </c>
      <c r="CU70" s="766">
        <v>24.83</v>
      </c>
      <c r="CV70" s="766">
        <v>24.91</v>
      </c>
      <c r="CW70" s="766">
        <v>25</v>
      </c>
      <c r="CX70" s="766">
        <v>25.09</v>
      </c>
      <c r="CY70" s="766">
        <v>25.17</v>
      </c>
      <c r="CZ70" s="766">
        <v>25.26</v>
      </c>
      <c r="DA70" s="766">
        <v>25.34</v>
      </c>
      <c r="DB70" s="766">
        <v>25.43</v>
      </c>
      <c r="DC70" s="766">
        <v>25.51</v>
      </c>
      <c r="DD70" s="766">
        <v>25.59</v>
      </c>
      <c r="DE70" s="766">
        <v>25.68</v>
      </c>
      <c r="DF70" s="766">
        <v>25.76</v>
      </c>
      <c r="DG70" s="766">
        <v>25.84</v>
      </c>
      <c r="DH70" s="766">
        <v>25.92</v>
      </c>
      <c r="DI70" s="766">
        <v>26</v>
      </c>
      <c r="DJ70" s="766">
        <v>26.08</v>
      </c>
      <c r="DK70" s="766">
        <v>26.16</v>
      </c>
      <c r="DL70" s="766">
        <v>26.24</v>
      </c>
      <c r="DM70" s="766">
        <v>26.32</v>
      </c>
      <c r="DN70" s="766">
        <v>26.4</v>
      </c>
      <c r="DO70" s="766">
        <v>26.47</v>
      </c>
      <c r="DP70" s="766">
        <v>26.55</v>
      </c>
      <c r="DQ70" s="766">
        <v>26.63</v>
      </c>
      <c r="DR70" s="766">
        <v>26.7</v>
      </c>
    </row>
    <row r="71" spans="1:122">
      <c r="A71" s="950">
        <v>69</v>
      </c>
      <c r="B71" s="94"/>
      <c r="C71" s="94"/>
      <c r="D71" s="94"/>
      <c r="E71" s="94"/>
      <c r="F71" s="94"/>
      <c r="G71" s="94"/>
      <c r="H71" s="94"/>
      <c r="I71" s="94"/>
      <c r="J71" s="94"/>
      <c r="K71" s="94"/>
      <c r="L71" s="94"/>
      <c r="M71" s="94"/>
      <c r="N71" s="94"/>
      <c r="O71" s="94"/>
      <c r="P71" s="94"/>
      <c r="Q71" s="94"/>
      <c r="R71" s="94"/>
      <c r="S71" s="94"/>
      <c r="T71" s="94"/>
      <c r="U71" s="94"/>
      <c r="V71" s="766"/>
      <c r="W71" s="766">
        <v>16.010000000000002</v>
      </c>
      <c r="X71" s="766">
        <v>16.14</v>
      </c>
      <c r="Y71" s="766">
        <v>16.3</v>
      </c>
      <c r="Z71" s="766">
        <v>16.45</v>
      </c>
      <c r="AA71" s="766">
        <v>16.559999999999999</v>
      </c>
      <c r="AB71" s="766">
        <v>16.7</v>
      </c>
      <c r="AC71" s="766">
        <v>16.86</v>
      </c>
      <c r="AD71" s="766">
        <v>16.96</v>
      </c>
      <c r="AE71" s="766">
        <v>17.11</v>
      </c>
      <c r="AF71" s="766">
        <v>17.25</v>
      </c>
      <c r="AG71" s="766">
        <v>17.350000000000001</v>
      </c>
      <c r="AH71" s="766">
        <v>17.48</v>
      </c>
      <c r="AI71" s="766">
        <v>17.600000000000001</v>
      </c>
      <c r="AJ71" s="766">
        <v>17.760000000000002</v>
      </c>
      <c r="AK71" s="766">
        <v>17.91</v>
      </c>
      <c r="AL71" s="766">
        <v>18.07</v>
      </c>
      <c r="AM71" s="766">
        <v>18.239999999999998</v>
      </c>
      <c r="AN71" s="766">
        <v>18.36</v>
      </c>
      <c r="AO71" s="766">
        <v>18.46</v>
      </c>
      <c r="AP71" s="766">
        <v>18.54</v>
      </c>
      <c r="AQ71" s="766">
        <v>18.600000000000001</v>
      </c>
      <c r="AR71" s="766">
        <v>18.649999999999999</v>
      </c>
      <c r="AS71" s="766">
        <v>18.72</v>
      </c>
      <c r="AT71" s="766">
        <v>18.78</v>
      </c>
      <c r="AU71" s="766">
        <v>18.84</v>
      </c>
      <c r="AV71" s="766">
        <v>18.93</v>
      </c>
      <c r="AW71" s="766">
        <v>19.059999999999999</v>
      </c>
      <c r="AX71" s="766">
        <v>19.149999999999999</v>
      </c>
      <c r="AY71" s="766">
        <v>19.260000000000002</v>
      </c>
      <c r="AZ71" s="766">
        <v>19.36</v>
      </c>
      <c r="BA71" s="766">
        <v>19.47</v>
      </c>
      <c r="BB71" s="766">
        <v>19.579999999999998</v>
      </c>
      <c r="BC71" s="766">
        <v>19.68</v>
      </c>
      <c r="BD71" s="766">
        <v>19.79</v>
      </c>
      <c r="BE71" s="766">
        <v>19.899999999999999</v>
      </c>
      <c r="BF71" s="766">
        <v>20</v>
      </c>
      <c r="BG71" s="766">
        <v>20.11</v>
      </c>
      <c r="BH71" s="766">
        <v>20.21</v>
      </c>
      <c r="BI71" s="766">
        <v>20.309999999999999</v>
      </c>
      <c r="BJ71" s="766">
        <v>20.420000000000002</v>
      </c>
      <c r="BK71" s="766">
        <v>20.52</v>
      </c>
      <c r="BL71" s="766">
        <v>20.62</v>
      </c>
      <c r="BM71" s="766">
        <v>20.72</v>
      </c>
      <c r="BN71" s="766">
        <v>20.83</v>
      </c>
      <c r="BO71" s="766">
        <v>20.93</v>
      </c>
      <c r="BP71" s="766">
        <v>21.03</v>
      </c>
      <c r="BQ71" s="766">
        <v>21.13</v>
      </c>
      <c r="BR71" s="766">
        <v>21.23</v>
      </c>
      <c r="BS71" s="766">
        <v>21.33</v>
      </c>
      <c r="BT71" s="766">
        <v>21.43</v>
      </c>
      <c r="BU71" s="766">
        <v>21.53</v>
      </c>
      <c r="BV71" s="766">
        <v>21.62</v>
      </c>
      <c r="BW71" s="766">
        <v>21.72</v>
      </c>
      <c r="BX71" s="766">
        <v>21.82</v>
      </c>
      <c r="BY71" s="766">
        <v>21.92</v>
      </c>
      <c r="BZ71" s="766">
        <v>22.01</v>
      </c>
      <c r="CA71" s="766">
        <v>22.11</v>
      </c>
      <c r="CB71" s="766">
        <v>22.2</v>
      </c>
      <c r="CC71" s="766">
        <v>22.3</v>
      </c>
      <c r="CD71" s="766">
        <v>22.39</v>
      </c>
      <c r="CE71" s="766">
        <v>22.49</v>
      </c>
      <c r="CF71" s="766">
        <v>22.58</v>
      </c>
      <c r="CG71" s="766">
        <v>22.67</v>
      </c>
      <c r="CH71" s="766">
        <v>22.77</v>
      </c>
      <c r="CI71" s="766">
        <v>22.86</v>
      </c>
      <c r="CJ71" s="766">
        <v>22.95</v>
      </c>
      <c r="CK71" s="766">
        <v>23.04</v>
      </c>
      <c r="CL71" s="766">
        <v>23.13</v>
      </c>
      <c r="CM71" s="766">
        <v>23.22</v>
      </c>
      <c r="CN71" s="766">
        <v>23.31</v>
      </c>
      <c r="CO71" s="766">
        <v>23.4</v>
      </c>
      <c r="CP71" s="766">
        <v>23.49</v>
      </c>
      <c r="CQ71" s="766">
        <v>23.58</v>
      </c>
      <c r="CR71" s="766">
        <v>23.67</v>
      </c>
      <c r="CS71" s="766">
        <v>23.75</v>
      </c>
      <c r="CT71" s="766">
        <v>23.84</v>
      </c>
      <c r="CU71" s="766">
        <v>23.93</v>
      </c>
      <c r="CV71" s="766">
        <v>24.01</v>
      </c>
      <c r="CW71" s="766">
        <v>24.1</v>
      </c>
      <c r="CX71" s="766">
        <v>24.18</v>
      </c>
      <c r="CY71" s="766">
        <v>24.27</v>
      </c>
      <c r="CZ71" s="766">
        <v>24.35</v>
      </c>
      <c r="DA71" s="766">
        <v>24.43</v>
      </c>
      <c r="DB71" s="766">
        <v>24.52</v>
      </c>
      <c r="DC71" s="766">
        <v>24.6</v>
      </c>
      <c r="DD71" s="766">
        <v>24.68</v>
      </c>
      <c r="DE71" s="766">
        <v>24.76</v>
      </c>
      <c r="DF71" s="766">
        <v>24.84</v>
      </c>
      <c r="DG71" s="766">
        <v>24.92</v>
      </c>
      <c r="DH71" s="766">
        <v>25</v>
      </c>
      <c r="DI71" s="766">
        <v>25.08</v>
      </c>
      <c r="DJ71" s="766">
        <v>25.16</v>
      </c>
      <c r="DK71" s="766">
        <v>25.24</v>
      </c>
      <c r="DL71" s="766">
        <v>25.32</v>
      </c>
      <c r="DM71" s="766">
        <v>25.39</v>
      </c>
      <c r="DN71" s="766">
        <v>25.47</v>
      </c>
      <c r="DO71" s="766">
        <v>25.55</v>
      </c>
      <c r="DP71" s="766">
        <v>25.62</v>
      </c>
      <c r="DQ71" s="766">
        <v>25.7</v>
      </c>
      <c r="DR71" s="766">
        <v>25.77</v>
      </c>
    </row>
    <row r="72" spans="1:122">
      <c r="A72" s="950">
        <v>70</v>
      </c>
      <c r="B72" s="94"/>
      <c r="C72" s="94"/>
      <c r="D72" s="94"/>
      <c r="E72" s="94"/>
      <c r="F72" s="94"/>
      <c r="G72" s="94"/>
      <c r="H72" s="94"/>
      <c r="I72" s="94"/>
      <c r="J72" s="94"/>
      <c r="K72" s="94"/>
      <c r="L72" s="94"/>
      <c r="M72" s="94"/>
      <c r="N72" s="94"/>
      <c r="O72" s="94"/>
      <c r="P72" s="94"/>
      <c r="Q72" s="94"/>
      <c r="R72" s="94"/>
      <c r="S72" s="94"/>
      <c r="T72" s="94"/>
      <c r="U72" s="94"/>
      <c r="V72" s="766"/>
      <c r="W72" s="766">
        <v>15.3</v>
      </c>
      <c r="X72" s="766">
        <v>15.42</v>
      </c>
      <c r="Y72" s="766">
        <v>15.57</v>
      </c>
      <c r="Z72" s="766">
        <v>15.72</v>
      </c>
      <c r="AA72" s="766">
        <v>15.83</v>
      </c>
      <c r="AB72" s="766">
        <v>15.97</v>
      </c>
      <c r="AC72" s="766">
        <v>16.12</v>
      </c>
      <c r="AD72" s="766">
        <v>16.21</v>
      </c>
      <c r="AE72" s="766">
        <v>16.36</v>
      </c>
      <c r="AF72" s="766">
        <v>16.489999999999998</v>
      </c>
      <c r="AG72" s="766">
        <v>16.579999999999998</v>
      </c>
      <c r="AH72" s="766">
        <v>16.71</v>
      </c>
      <c r="AI72" s="766">
        <v>16.829999999999998</v>
      </c>
      <c r="AJ72" s="766">
        <v>16.98</v>
      </c>
      <c r="AK72" s="766">
        <v>17.13</v>
      </c>
      <c r="AL72" s="766">
        <v>17.28</v>
      </c>
      <c r="AM72" s="766">
        <v>17.440000000000001</v>
      </c>
      <c r="AN72" s="766">
        <v>17.559999999999999</v>
      </c>
      <c r="AO72" s="766">
        <v>17.66</v>
      </c>
      <c r="AP72" s="766">
        <v>17.73</v>
      </c>
      <c r="AQ72" s="766">
        <v>17.79</v>
      </c>
      <c r="AR72" s="766">
        <v>17.850000000000001</v>
      </c>
      <c r="AS72" s="766">
        <v>17.920000000000002</v>
      </c>
      <c r="AT72" s="766">
        <v>17.98</v>
      </c>
      <c r="AU72" s="766">
        <v>18.04</v>
      </c>
      <c r="AV72" s="766">
        <v>18.14</v>
      </c>
      <c r="AW72" s="766">
        <v>18.27</v>
      </c>
      <c r="AX72" s="766">
        <v>18.37</v>
      </c>
      <c r="AY72" s="766">
        <v>18.47</v>
      </c>
      <c r="AZ72" s="766">
        <v>18.579999999999998</v>
      </c>
      <c r="BA72" s="766">
        <v>18.68</v>
      </c>
      <c r="BB72" s="766">
        <v>18.79</v>
      </c>
      <c r="BC72" s="766">
        <v>18.89</v>
      </c>
      <c r="BD72" s="766">
        <v>18.989999999999998</v>
      </c>
      <c r="BE72" s="766">
        <v>19.100000000000001</v>
      </c>
      <c r="BF72" s="766">
        <v>19.2</v>
      </c>
      <c r="BG72" s="766">
        <v>19.3</v>
      </c>
      <c r="BH72" s="766">
        <v>19.399999999999999</v>
      </c>
      <c r="BI72" s="766">
        <v>19.5</v>
      </c>
      <c r="BJ72" s="766">
        <v>19.600000000000001</v>
      </c>
      <c r="BK72" s="766">
        <v>19.7</v>
      </c>
      <c r="BL72" s="766">
        <v>19.8</v>
      </c>
      <c r="BM72" s="766">
        <v>19.899999999999999</v>
      </c>
      <c r="BN72" s="766">
        <v>20</v>
      </c>
      <c r="BO72" s="766">
        <v>20.100000000000001</v>
      </c>
      <c r="BP72" s="766">
        <v>20.2</v>
      </c>
      <c r="BQ72" s="766">
        <v>20.29</v>
      </c>
      <c r="BR72" s="766">
        <v>20.39</v>
      </c>
      <c r="BS72" s="766">
        <v>20.49</v>
      </c>
      <c r="BT72" s="766">
        <v>20.59</v>
      </c>
      <c r="BU72" s="766">
        <v>20.68</v>
      </c>
      <c r="BV72" s="766">
        <v>20.78</v>
      </c>
      <c r="BW72" s="766">
        <v>20.87</v>
      </c>
      <c r="BX72" s="766">
        <v>20.97</v>
      </c>
      <c r="BY72" s="766">
        <v>21.06</v>
      </c>
      <c r="BZ72" s="766">
        <v>21.16</v>
      </c>
      <c r="CA72" s="766">
        <v>21.25</v>
      </c>
      <c r="CB72" s="766">
        <v>21.34</v>
      </c>
      <c r="CC72" s="766">
        <v>21.44</v>
      </c>
      <c r="CD72" s="766">
        <v>21.53</v>
      </c>
      <c r="CE72" s="766">
        <v>21.62</v>
      </c>
      <c r="CF72" s="766">
        <v>21.71</v>
      </c>
      <c r="CG72" s="766">
        <v>21.8</v>
      </c>
      <c r="CH72" s="766">
        <v>21.89</v>
      </c>
      <c r="CI72" s="766">
        <v>21.98</v>
      </c>
      <c r="CJ72" s="766">
        <v>22.07</v>
      </c>
      <c r="CK72" s="766">
        <v>22.16</v>
      </c>
      <c r="CL72" s="766">
        <v>22.25</v>
      </c>
      <c r="CM72" s="766">
        <v>22.34</v>
      </c>
      <c r="CN72" s="766">
        <v>22.43</v>
      </c>
      <c r="CO72" s="766">
        <v>22.52</v>
      </c>
      <c r="CP72" s="766">
        <v>22.6</v>
      </c>
      <c r="CQ72" s="766">
        <v>22.69</v>
      </c>
      <c r="CR72" s="766">
        <v>22.77</v>
      </c>
      <c r="CS72" s="766">
        <v>22.86</v>
      </c>
      <c r="CT72" s="766">
        <v>22.95</v>
      </c>
      <c r="CU72" s="766">
        <v>23.03</v>
      </c>
      <c r="CV72" s="766">
        <v>23.11</v>
      </c>
      <c r="CW72" s="766">
        <v>23.2</v>
      </c>
      <c r="CX72" s="766">
        <v>23.28</v>
      </c>
      <c r="CY72" s="766">
        <v>23.36</v>
      </c>
      <c r="CZ72" s="766">
        <v>23.45</v>
      </c>
      <c r="DA72" s="766">
        <v>23.53</v>
      </c>
      <c r="DB72" s="766">
        <v>23.61</v>
      </c>
      <c r="DC72" s="766">
        <v>23.69</v>
      </c>
      <c r="DD72" s="766">
        <v>23.77</v>
      </c>
      <c r="DE72" s="766">
        <v>23.85</v>
      </c>
      <c r="DF72" s="766">
        <v>23.93</v>
      </c>
      <c r="DG72" s="766">
        <v>24.01</v>
      </c>
      <c r="DH72" s="766">
        <v>24.09</v>
      </c>
      <c r="DI72" s="766">
        <v>24.16</v>
      </c>
      <c r="DJ72" s="766">
        <v>24.24</v>
      </c>
      <c r="DK72" s="766">
        <v>24.32</v>
      </c>
      <c r="DL72" s="766">
        <v>24.39</v>
      </c>
      <c r="DM72" s="766">
        <v>24.47</v>
      </c>
      <c r="DN72" s="766">
        <v>24.55</v>
      </c>
      <c r="DO72" s="766">
        <v>24.62</v>
      </c>
      <c r="DP72" s="766">
        <v>24.7</v>
      </c>
      <c r="DQ72" s="766">
        <v>24.77</v>
      </c>
      <c r="DR72" s="766">
        <v>24.84</v>
      </c>
    </row>
    <row r="73" spans="1:122">
      <c r="A73" s="950">
        <v>71</v>
      </c>
      <c r="B73" s="94"/>
      <c r="C73" s="94"/>
      <c r="D73" s="94"/>
      <c r="E73" s="94"/>
      <c r="F73" s="94"/>
      <c r="G73" s="94"/>
      <c r="H73" s="94"/>
      <c r="I73" s="94"/>
      <c r="J73" s="94"/>
      <c r="K73" s="94"/>
      <c r="L73" s="94"/>
      <c r="M73" s="94"/>
      <c r="N73" s="94"/>
      <c r="O73" s="94"/>
      <c r="P73" s="94"/>
      <c r="Q73" s="94"/>
      <c r="R73" s="94"/>
      <c r="S73" s="94"/>
      <c r="T73" s="94"/>
      <c r="U73" s="94"/>
      <c r="V73" s="766"/>
      <c r="W73" s="766">
        <v>14.59</v>
      </c>
      <c r="X73" s="766">
        <v>14.71</v>
      </c>
      <c r="Y73" s="766">
        <v>14.86</v>
      </c>
      <c r="Z73" s="766">
        <v>15.01</v>
      </c>
      <c r="AA73" s="766">
        <v>15.11</v>
      </c>
      <c r="AB73" s="766">
        <v>15.24</v>
      </c>
      <c r="AC73" s="766">
        <v>15.38</v>
      </c>
      <c r="AD73" s="766">
        <v>15.47</v>
      </c>
      <c r="AE73" s="766">
        <v>15.61</v>
      </c>
      <c r="AF73" s="766">
        <v>15.74</v>
      </c>
      <c r="AG73" s="766">
        <v>15.82</v>
      </c>
      <c r="AH73" s="766">
        <v>15.95</v>
      </c>
      <c r="AI73" s="766">
        <v>16.059999999999999</v>
      </c>
      <c r="AJ73" s="766">
        <v>16.21</v>
      </c>
      <c r="AK73" s="766">
        <v>16.34</v>
      </c>
      <c r="AL73" s="766">
        <v>16.489999999999998</v>
      </c>
      <c r="AM73" s="766">
        <v>16.64</v>
      </c>
      <c r="AN73" s="766">
        <v>16.760000000000002</v>
      </c>
      <c r="AO73" s="766">
        <v>16.86</v>
      </c>
      <c r="AP73" s="766">
        <v>16.93</v>
      </c>
      <c r="AQ73" s="766">
        <v>17</v>
      </c>
      <c r="AR73" s="766">
        <v>17.059999999999999</v>
      </c>
      <c r="AS73" s="766">
        <v>17.12</v>
      </c>
      <c r="AT73" s="766">
        <v>17.2</v>
      </c>
      <c r="AU73" s="766">
        <v>17.27</v>
      </c>
      <c r="AV73" s="766">
        <v>17.38</v>
      </c>
      <c r="AW73" s="766">
        <v>17.5</v>
      </c>
      <c r="AX73" s="766">
        <v>17.59</v>
      </c>
      <c r="AY73" s="766">
        <v>17.7</v>
      </c>
      <c r="AZ73" s="766">
        <v>17.8</v>
      </c>
      <c r="BA73" s="766">
        <v>17.899999999999999</v>
      </c>
      <c r="BB73" s="766">
        <v>18</v>
      </c>
      <c r="BC73" s="766">
        <v>18.100000000000001</v>
      </c>
      <c r="BD73" s="766">
        <v>18.2</v>
      </c>
      <c r="BE73" s="766">
        <v>18.3</v>
      </c>
      <c r="BF73" s="766">
        <v>18.399999999999999</v>
      </c>
      <c r="BG73" s="766">
        <v>18.5</v>
      </c>
      <c r="BH73" s="766">
        <v>18.600000000000001</v>
      </c>
      <c r="BI73" s="766">
        <v>18.690000000000001</v>
      </c>
      <c r="BJ73" s="766">
        <v>18.79</v>
      </c>
      <c r="BK73" s="766">
        <v>18.89</v>
      </c>
      <c r="BL73" s="766">
        <v>18.989999999999998</v>
      </c>
      <c r="BM73" s="766">
        <v>19.079999999999998</v>
      </c>
      <c r="BN73" s="766">
        <v>19.18</v>
      </c>
      <c r="BO73" s="766">
        <v>19.28</v>
      </c>
      <c r="BP73" s="766">
        <v>19.37</v>
      </c>
      <c r="BQ73" s="766">
        <v>19.47</v>
      </c>
      <c r="BR73" s="766">
        <v>19.559999999999999</v>
      </c>
      <c r="BS73" s="766">
        <v>19.66</v>
      </c>
      <c r="BT73" s="766">
        <v>19.75</v>
      </c>
      <c r="BU73" s="766">
        <v>19.84</v>
      </c>
      <c r="BV73" s="766">
        <v>19.940000000000001</v>
      </c>
      <c r="BW73" s="766">
        <v>20.03</v>
      </c>
      <c r="BX73" s="766">
        <v>20.12</v>
      </c>
      <c r="BY73" s="766">
        <v>20.21</v>
      </c>
      <c r="BZ73" s="766">
        <v>20.309999999999999</v>
      </c>
      <c r="CA73" s="766">
        <v>20.399999999999999</v>
      </c>
      <c r="CB73" s="766">
        <v>20.49</v>
      </c>
      <c r="CC73" s="766">
        <v>20.58</v>
      </c>
      <c r="CD73" s="766">
        <v>20.67</v>
      </c>
      <c r="CE73" s="766">
        <v>20.76</v>
      </c>
      <c r="CF73" s="766">
        <v>20.85</v>
      </c>
      <c r="CG73" s="766">
        <v>20.94</v>
      </c>
      <c r="CH73" s="766">
        <v>21.03</v>
      </c>
      <c r="CI73" s="766">
        <v>21.11</v>
      </c>
      <c r="CJ73" s="766">
        <v>21.2</v>
      </c>
      <c r="CK73" s="766">
        <v>21.29</v>
      </c>
      <c r="CL73" s="766">
        <v>21.38</v>
      </c>
      <c r="CM73" s="766">
        <v>21.46</v>
      </c>
      <c r="CN73" s="766">
        <v>21.55</v>
      </c>
      <c r="CO73" s="766">
        <v>21.63</v>
      </c>
      <c r="CP73" s="766">
        <v>21.72</v>
      </c>
      <c r="CQ73" s="766">
        <v>21.8</v>
      </c>
      <c r="CR73" s="766">
        <v>21.89</v>
      </c>
      <c r="CS73" s="766">
        <v>21.97</v>
      </c>
      <c r="CT73" s="766">
        <v>22.05</v>
      </c>
      <c r="CU73" s="766">
        <v>22.14</v>
      </c>
      <c r="CV73" s="766">
        <v>22.22</v>
      </c>
      <c r="CW73" s="766">
        <v>22.3</v>
      </c>
      <c r="CX73" s="766">
        <v>22.38</v>
      </c>
      <c r="CY73" s="766">
        <v>22.46</v>
      </c>
      <c r="CZ73" s="766">
        <v>22.54</v>
      </c>
      <c r="DA73" s="766">
        <v>22.63</v>
      </c>
      <c r="DB73" s="766">
        <v>22.7</v>
      </c>
      <c r="DC73" s="766">
        <v>22.78</v>
      </c>
      <c r="DD73" s="766">
        <v>22.86</v>
      </c>
      <c r="DE73" s="766">
        <v>22.94</v>
      </c>
      <c r="DF73" s="766">
        <v>23.02</v>
      </c>
      <c r="DG73" s="766">
        <v>23.1</v>
      </c>
      <c r="DH73" s="766">
        <v>23.17</v>
      </c>
      <c r="DI73" s="766">
        <v>23.25</v>
      </c>
      <c r="DJ73" s="766">
        <v>23.33</v>
      </c>
      <c r="DK73" s="766">
        <v>23.4</v>
      </c>
      <c r="DL73" s="766">
        <v>23.48</v>
      </c>
      <c r="DM73" s="766">
        <v>23.55</v>
      </c>
      <c r="DN73" s="766">
        <v>23.62</v>
      </c>
      <c r="DO73" s="766">
        <v>23.7</v>
      </c>
      <c r="DP73" s="766">
        <v>23.77</v>
      </c>
      <c r="DQ73" s="766">
        <v>23.84</v>
      </c>
      <c r="DR73" s="766">
        <v>23.92</v>
      </c>
    </row>
    <row r="74" spans="1:122">
      <c r="A74" s="950">
        <v>72</v>
      </c>
      <c r="B74" s="94"/>
      <c r="C74" s="94"/>
      <c r="D74" s="94"/>
      <c r="E74" s="94"/>
      <c r="F74" s="94"/>
      <c r="G74" s="94"/>
      <c r="H74" s="94"/>
      <c r="I74" s="94"/>
      <c r="J74" s="94"/>
      <c r="K74" s="94"/>
      <c r="L74" s="94"/>
      <c r="M74" s="94"/>
      <c r="N74" s="94"/>
      <c r="O74" s="94"/>
      <c r="P74" s="94"/>
      <c r="Q74" s="94"/>
      <c r="R74" s="94"/>
      <c r="S74" s="94"/>
      <c r="T74" s="94"/>
      <c r="U74" s="94"/>
      <c r="V74" s="766"/>
      <c r="W74" s="766">
        <v>13.9</v>
      </c>
      <c r="X74" s="766">
        <v>14.01</v>
      </c>
      <c r="Y74" s="766">
        <v>14.15</v>
      </c>
      <c r="Z74" s="766">
        <v>14.3</v>
      </c>
      <c r="AA74" s="766">
        <v>14.39</v>
      </c>
      <c r="AB74" s="766">
        <v>14.52</v>
      </c>
      <c r="AC74" s="766">
        <v>14.66</v>
      </c>
      <c r="AD74" s="766">
        <v>14.74</v>
      </c>
      <c r="AE74" s="766">
        <v>14.86</v>
      </c>
      <c r="AF74" s="766">
        <v>15</v>
      </c>
      <c r="AG74" s="766">
        <v>15.08</v>
      </c>
      <c r="AH74" s="766">
        <v>15.2</v>
      </c>
      <c r="AI74" s="766">
        <v>15.3</v>
      </c>
      <c r="AJ74" s="766">
        <v>15.44</v>
      </c>
      <c r="AK74" s="766">
        <v>15.57</v>
      </c>
      <c r="AL74" s="766">
        <v>15.71</v>
      </c>
      <c r="AM74" s="766">
        <v>15.86</v>
      </c>
      <c r="AN74" s="766">
        <v>15.97</v>
      </c>
      <c r="AO74" s="766">
        <v>16.07</v>
      </c>
      <c r="AP74" s="766">
        <v>16.149999999999999</v>
      </c>
      <c r="AQ74" s="766">
        <v>16.21</v>
      </c>
      <c r="AR74" s="766">
        <v>16.27</v>
      </c>
      <c r="AS74" s="766">
        <v>16.350000000000001</v>
      </c>
      <c r="AT74" s="766">
        <v>16.420000000000002</v>
      </c>
      <c r="AU74" s="766">
        <v>16.510000000000002</v>
      </c>
      <c r="AV74" s="766">
        <v>16.62</v>
      </c>
      <c r="AW74" s="766">
        <v>16.72</v>
      </c>
      <c r="AX74" s="766">
        <v>16.82</v>
      </c>
      <c r="AY74" s="766">
        <v>16.920000000000002</v>
      </c>
      <c r="AZ74" s="766">
        <v>17.02</v>
      </c>
      <c r="BA74" s="766">
        <v>17.12</v>
      </c>
      <c r="BB74" s="766">
        <v>17.22</v>
      </c>
      <c r="BC74" s="766">
        <v>17.32</v>
      </c>
      <c r="BD74" s="766">
        <v>17.41</v>
      </c>
      <c r="BE74" s="766">
        <v>17.510000000000002</v>
      </c>
      <c r="BF74" s="766">
        <v>17.61</v>
      </c>
      <c r="BG74" s="766">
        <v>17.7</v>
      </c>
      <c r="BH74" s="766">
        <v>17.8</v>
      </c>
      <c r="BI74" s="766">
        <v>17.89</v>
      </c>
      <c r="BJ74" s="766">
        <v>17.989999999999998</v>
      </c>
      <c r="BK74" s="766">
        <v>18.079999999999998</v>
      </c>
      <c r="BL74" s="766">
        <v>18.18</v>
      </c>
      <c r="BM74" s="766">
        <v>18.27</v>
      </c>
      <c r="BN74" s="766">
        <v>18.36</v>
      </c>
      <c r="BO74" s="766">
        <v>18.46</v>
      </c>
      <c r="BP74" s="766">
        <v>18.55</v>
      </c>
      <c r="BQ74" s="766">
        <v>18.64</v>
      </c>
      <c r="BR74" s="766">
        <v>18.73</v>
      </c>
      <c r="BS74" s="766">
        <v>18.829999999999998</v>
      </c>
      <c r="BT74" s="766">
        <v>18.920000000000002</v>
      </c>
      <c r="BU74" s="766">
        <v>19.010000000000002</v>
      </c>
      <c r="BV74" s="766">
        <v>19.100000000000001</v>
      </c>
      <c r="BW74" s="766">
        <v>19.190000000000001</v>
      </c>
      <c r="BX74" s="766">
        <v>19.28</v>
      </c>
      <c r="BY74" s="766">
        <v>19.37</v>
      </c>
      <c r="BZ74" s="766">
        <v>19.46</v>
      </c>
      <c r="CA74" s="766">
        <v>19.55</v>
      </c>
      <c r="CB74" s="766">
        <v>19.64</v>
      </c>
      <c r="CC74" s="766">
        <v>19.73</v>
      </c>
      <c r="CD74" s="766">
        <v>19.809999999999999</v>
      </c>
      <c r="CE74" s="766">
        <v>19.899999999999999</v>
      </c>
      <c r="CF74" s="766">
        <v>19.989999999999998</v>
      </c>
      <c r="CG74" s="766">
        <v>20.079999999999998</v>
      </c>
      <c r="CH74" s="766">
        <v>20.16</v>
      </c>
      <c r="CI74" s="766">
        <v>20.25</v>
      </c>
      <c r="CJ74" s="766">
        <v>20.329999999999998</v>
      </c>
      <c r="CK74" s="766">
        <v>20.420000000000002</v>
      </c>
      <c r="CL74" s="766">
        <v>20.5</v>
      </c>
      <c r="CM74" s="766">
        <v>20.59</v>
      </c>
      <c r="CN74" s="766">
        <v>20.67</v>
      </c>
      <c r="CO74" s="766">
        <v>20.76</v>
      </c>
      <c r="CP74" s="766">
        <v>20.84</v>
      </c>
      <c r="CQ74" s="766">
        <v>20.92</v>
      </c>
      <c r="CR74" s="766">
        <v>21</v>
      </c>
      <c r="CS74" s="766">
        <v>21.09</v>
      </c>
      <c r="CT74" s="766">
        <v>21.17</v>
      </c>
      <c r="CU74" s="766">
        <v>21.25</v>
      </c>
      <c r="CV74" s="766">
        <v>21.33</v>
      </c>
      <c r="CW74" s="766">
        <v>21.41</v>
      </c>
      <c r="CX74" s="766">
        <v>21.49</v>
      </c>
      <c r="CY74" s="766">
        <v>21.57</v>
      </c>
      <c r="CZ74" s="766">
        <v>21.65</v>
      </c>
      <c r="DA74" s="766">
        <v>21.73</v>
      </c>
      <c r="DB74" s="766">
        <v>21.8</v>
      </c>
      <c r="DC74" s="766">
        <v>21.88</v>
      </c>
      <c r="DD74" s="766">
        <v>21.96</v>
      </c>
      <c r="DE74" s="766">
        <v>22.04</v>
      </c>
      <c r="DF74" s="766">
        <v>22.11</v>
      </c>
      <c r="DG74" s="766">
        <v>22.19</v>
      </c>
      <c r="DH74" s="766">
        <v>22.26</v>
      </c>
      <c r="DI74" s="766">
        <v>22.34</v>
      </c>
      <c r="DJ74" s="766">
        <v>22.41</v>
      </c>
      <c r="DK74" s="766">
        <v>22.49</v>
      </c>
      <c r="DL74" s="766">
        <v>22.56</v>
      </c>
      <c r="DM74" s="766">
        <v>22.63</v>
      </c>
      <c r="DN74" s="766">
        <v>22.71</v>
      </c>
      <c r="DO74" s="766">
        <v>22.78</v>
      </c>
      <c r="DP74" s="766">
        <v>22.85</v>
      </c>
      <c r="DQ74" s="766">
        <v>22.92</v>
      </c>
      <c r="DR74" s="766">
        <v>22.99</v>
      </c>
    </row>
    <row r="75" spans="1:122">
      <c r="A75" s="950">
        <v>73</v>
      </c>
      <c r="B75" s="94"/>
      <c r="C75" s="94"/>
      <c r="D75" s="94"/>
      <c r="E75" s="94"/>
      <c r="F75" s="94"/>
      <c r="G75" s="94"/>
      <c r="H75" s="94"/>
      <c r="I75" s="94"/>
      <c r="J75" s="94"/>
      <c r="K75" s="94"/>
      <c r="L75" s="94"/>
      <c r="M75" s="94"/>
      <c r="N75" s="94"/>
      <c r="O75" s="94"/>
      <c r="P75" s="94"/>
      <c r="Q75" s="94"/>
      <c r="R75" s="94"/>
      <c r="S75" s="94"/>
      <c r="T75" s="94"/>
      <c r="U75" s="94"/>
      <c r="V75" s="766"/>
      <c r="W75" s="766">
        <v>13.23</v>
      </c>
      <c r="X75" s="766">
        <v>13.32</v>
      </c>
      <c r="Y75" s="766">
        <v>13.47</v>
      </c>
      <c r="Z75" s="766">
        <v>13.6</v>
      </c>
      <c r="AA75" s="766">
        <v>13.7</v>
      </c>
      <c r="AB75" s="766">
        <v>13.82</v>
      </c>
      <c r="AC75" s="766">
        <v>13.94</v>
      </c>
      <c r="AD75" s="766">
        <v>14.02</v>
      </c>
      <c r="AE75" s="766">
        <v>14.14</v>
      </c>
      <c r="AF75" s="766">
        <v>14.27</v>
      </c>
      <c r="AG75" s="766">
        <v>14.34</v>
      </c>
      <c r="AH75" s="766">
        <v>14.46</v>
      </c>
      <c r="AI75" s="766">
        <v>14.56</v>
      </c>
      <c r="AJ75" s="766">
        <v>14.68</v>
      </c>
      <c r="AK75" s="766">
        <v>14.81</v>
      </c>
      <c r="AL75" s="766">
        <v>14.94</v>
      </c>
      <c r="AM75" s="766">
        <v>15.09</v>
      </c>
      <c r="AN75" s="766">
        <v>15.2</v>
      </c>
      <c r="AO75" s="766">
        <v>15.29</v>
      </c>
      <c r="AP75" s="766">
        <v>15.37</v>
      </c>
      <c r="AQ75" s="766">
        <v>15.43</v>
      </c>
      <c r="AR75" s="766">
        <v>15.51</v>
      </c>
      <c r="AS75" s="766">
        <v>15.58</v>
      </c>
      <c r="AT75" s="766">
        <v>15.66</v>
      </c>
      <c r="AU75" s="766">
        <v>15.75</v>
      </c>
      <c r="AV75" s="766">
        <v>15.87</v>
      </c>
      <c r="AW75" s="766">
        <v>15.96</v>
      </c>
      <c r="AX75" s="766">
        <v>16.059999999999999</v>
      </c>
      <c r="AY75" s="766">
        <v>16.16</v>
      </c>
      <c r="AZ75" s="766">
        <v>16.25</v>
      </c>
      <c r="BA75" s="766">
        <v>16.350000000000001</v>
      </c>
      <c r="BB75" s="766">
        <v>16.440000000000001</v>
      </c>
      <c r="BC75" s="766">
        <v>16.54</v>
      </c>
      <c r="BD75" s="766">
        <v>16.63</v>
      </c>
      <c r="BE75" s="766">
        <v>16.72</v>
      </c>
      <c r="BF75" s="766">
        <v>16.82</v>
      </c>
      <c r="BG75" s="766">
        <v>16.91</v>
      </c>
      <c r="BH75" s="766">
        <v>17</v>
      </c>
      <c r="BI75" s="766">
        <v>17.09</v>
      </c>
      <c r="BJ75" s="766">
        <v>17.190000000000001</v>
      </c>
      <c r="BK75" s="766">
        <v>17.28</v>
      </c>
      <c r="BL75" s="766">
        <v>17.37</v>
      </c>
      <c r="BM75" s="766">
        <v>17.46</v>
      </c>
      <c r="BN75" s="766">
        <v>17.55</v>
      </c>
      <c r="BO75" s="766">
        <v>17.64</v>
      </c>
      <c r="BP75" s="766">
        <v>17.73</v>
      </c>
      <c r="BQ75" s="766">
        <v>17.82</v>
      </c>
      <c r="BR75" s="766">
        <v>17.91</v>
      </c>
      <c r="BS75" s="766">
        <v>18</v>
      </c>
      <c r="BT75" s="766">
        <v>18.09</v>
      </c>
      <c r="BU75" s="766">
        <v>18.18</v>
      </c>
      <c r="BV75" s="766">
        <v>18.27</v>
      </c>
      <c r="BW75" s="766">
        <v>18.36</v>
      </c>
      <c r="BX75" s="766">
        <v>18.440000000000001</v>
      </c>
      <c r="BY75" s="766">
        <v>18.53</v>
      </c>
      <c r="BZ75" s="766">
        <v>18.62</v>
      </c>
      <c r="CA75" s="766">
        <v>18.7</v>
      </c>
      <c r="CB75" s="766">
        <v>18.79</v>
      </c>
      <c r="CC75" s="766">
        <v>18.88</v>
      </c>
      <c r="CD75" s="766">
        <v>18.96</v>
      </c>
      <c r="CE75" s="766">
        <v>19.05</v>
      </c>
      <c r="CF75" s="766">
        <v>19.13</v>
      </c>
      <c r="CG75" s="766">
        <v>19.22</v>
      </c>
      <c r="CH75" s="766">
        <v>19.3</v>
      </c>
      <c r="CI75" s="766">
        <v>19.39</v>
      </c>
      <c r="CJ75" s="766">
        <v>19.47</v>
      </c>
      <c r="CK75" s="766">
        <v>19.55</v>
      </c>
      <c r="CL75" s="766">
        <v>19.64</v>
      </c>
      <c r="CM75" s="766">
        <v>19.72</v>
      </c>
      <c r="CN75" s="766">
        <v>19.8</v>
      </c>
      <c r="CO75" s="766">
        <v>19.88</v>
      </c>
      <c r="CP75" s="766">
        <v>19.96</v>
      </c>
      <c r="CQ75" s="766">
        <v>20.04</v>
      </c>
      <c r="CR75" s="766">
        <v>20.12</v>
      </c>
      <c r="CS75" s="766">
        <v>20.2</v>
      </c>
      <c r="CT75" s="766">
        <v>20.28</v>
      </c>
      <c r="CU75" s="766">
        <v>20.36</v>
      </c>
      <c r="CV75" s="766">
        <v>20.440000000000001</v>
      </c>
      <c r="CW75" s="766">
        <v>20.52</v>
      </c>
      <c r="CX75" s="766">
        <v>20.6</v>
      </c>
      <c r="CY75" s="766">
        <v>20.68</v>
      </c>
      <c r="CZ75" s="766">
        <v>20.75</v>
      </c>
      <c r="DA75" s="766">
        <v>20.83</v>
      </c>
      <c r="DB75" s="766">
        <v>20.91</v>
      </c>
      <c r="DC75" s="766">
        <v>20.98</v>
      </c>
      <c r="DD75" s="766">
        <v>21.06</v>
      </c>
      <c r="DE75" s="766">
        <v>21.13</v>
      </c>
      <c r="DF75" s="766">
        <v>21.21</v>
      </c>
      <c r="DG75" s="766">
        <v>21.28</v>
      </c>
      <c r="DH75" s="766">
        <v>21.36</v>
      </c>
      <c r="DI75" s="766">
        <v>21.43</v>
      </c>
      <c r="DJ75" s="766">
        <v>21.5</v>
      </c>
      <c r="DK75" s="766">
        <v>21.58</v>
      </c>
      <c r="DL75" s="766">
        <v>21.65</v>
      </c>
      <c r="DM75" s="766">
        <v>21.72</v>
      </c>
      <c r="DN75" s="766">
        <v>21.79</v>
      </c>
      <c r="DO75" s="766">
        <v>21.86</v>
      </c>
      <c r="DP75" s="766">
        <v>21.93</v>
      </c>
      <c r="DQ75" s="766">
        <v>22</v>
      </c>
      <c r="DR75" s="766">
        <v>22.07</v>
      </c>
    </row>
    <row r="76" spans="1:122">
      <c r="A76" s="950">
        <v>74</v>
      </c>
      <c r="B76" s="94"/>
      <c r="C76" s="94"/>
      <c r="D76" s="94"/>
      <c r="E76" s="94"/>
      <c r="F76" s="94"/>
      <c r="G76" s="94"/>
      <c r="H76" s="94"/>
      <c r="I76" s="94"/>
      <c r="J76" s="94"/>
      <c r="K76" s="94"/>
      <c r="L76" s="94"/>
      <c r="M76" s="94"/>
      <c r="N76" s="94"/>
      <c r="O76" s="94"/>
      <c r="P76" s="94"/>
      <c r="Q76" s="94"/>
      <c r="R76" s="94"/>
      <c r="S76" s="94"/>
      <c r="T76" s="94"/>
      <c r="U76" s="94"/>
      <c r="V76" s="766"/>
      <c r="W76" s="766">
        <v>12.56</v>
      </c>
      <c r="X76" s="766">
        <v>12.66</v>
      </c>
      <c r="Y76" s="766">
        <v>12.79</v>
      </c>
      <c r="Z76" s="766">
        <v>12.91</v>
      </c>
      <c r="AA76" s="766">
        <v>13.01</v>
      </c>
      <c r="AB76" s="766">
        <v>13.12</v>
      </c>
      <c r="AC76" s="766">
        <v>13.24</v>
      </c>
      <c r="AD76" s="766">
        <v>13.3</v>
      </c>
      <c r="AE76" s="766">
        <v>13.43</v>
      </c>
      <c r="AF76" s="766">
        <v>13.55</v>
      </c>
      <c r="AG76" s="766">
        <v>13.62</v>
      </c>
      <c r="AH76" s="766">
        <v>13.72</v>
      </c>
      <c r="AI76" s="766">
        <v>13.81</v>
      </c>
      <c r="AJ76" s="766">
        <v>13.94</v>
      </c>
      <c r="AK76" s="766">
        <v>14.07</v>
      </c>
      <c r="AL76" s="766">
        <v>14.18</v>
      </c>
      <c r="AM76" s="766">
        <v>14.32</v>
      </c>
      <c r="AN76" s="766">
        <v>14.43</v>
      </c>
      <c r="AO76" s="766">
        <v>14.53</v>
      </c>
      <c r="AP76" s="766">
        <v>14.6</v>
      </c>
      <c r="AQ76" s="766">
        <v>14.67</v>
      </c>
      <c r="AR76" s="766">
        <v>14.75</v>
      </c>
      <c r="AS76" s="766">
        <v>14.82</v>
      </c>
      <c r="AT76" s="766">
        <v>14.92</v>
      </c>
      <c r="AU76" s="766">
        <v>15.02</v>
      </c>
      <c r="AV76" s="766">
        <v>15.11</v>
      </c>
      <c r="AW76" s="766">
        <v>15.21</v>
      </c>
      <c r="AX76" s="766">
        <v>15.3</v>
      </c>
      <c r="AY76" s="766">
        <v>15.39</v>
      </c>
      <c r="AZ76" s="766">
        <v>15.49</v>
      </c>
      <c r="BA76" s="766">
        <v>15.58</v>
      </c>
      <c r="BB76" s="766">
        <v>15.67</v>
      </c>
      <c r="BC76" s="766">
        <v>15.76</v>
      </c>
      <c r="BD76" s="766">
        <v>15.85</v>
      </c>
      <c r="BE76" s="766">
        <v>15.94</v>
      </c>
      <c r="BF76" s="766">
        <v>16.03</v>
      </c>
      <c r="BG76" s="766">
        <v>16.12</v>
      </c>
      <c r="BH76" s="766">
        <v>16.21</v>
      </c>
      <c r="BI76" s="766">
        <v>16.3</v>
      </c>
      <c r="BJ76" s="766">
        <v>16.39</v>
      </c>
      <c r="BK76" s="766">
        <v>16.48</v>
      </c>
      <c r="BL76" s="766">
        <v>16.57</v>
      </c>
      <c r="BM76" s="766">
        <v>16.66</v>
      </c>
      <c r="BN76" s="766">
        <v>16.739999999999998</v>
      </c>
      <c r="BO76" s="766">
        <v>16.829999999999998</v>
      </c>
      <c r="BP76" s="766">
        <v>16.920000000000002</v>
      </c>
      <c r="BQ76" s="766">
        <v>17.010000000000002</v>
      </c>
      <c r="BR76" s="766">
        <v>17.09</v>
      </c>
      <c r="BS76" s="766">
        <v>17.18</v>
      </c>
      <c r="BT76" s="766">
        <v>17.27</v>
      </c>
      <c r="BU76" s="766">
        <v>17.350000000000001</v>
      </c>
      <c r="BV76" s="766">
        <v>17.440000000000001</v>
      </c>
      <c r="BW76" s="766">
        <v>17.53</v>
      </c>
      <c r="BX76" s="766">
        <v>17.61</v>
      </c>
      <c r="BY76" s="766">
        <v>17.7</v>
      </c>
      <c r="BZ76" s="766">
        <v>17.78</v>
      </c>
      <c r="CA76" s="766">
        <v>17.87</v>
      </c>
      <c r="CB76" s="766">
        <v>17.95</v>
      </c>
      <c r="CC76" s="766">
        <v>18.03</v>
      </c>
      <c r="CD76" s="766">
        <v>18.12</v>
      </c>
      <c r="CE76" s="766">
        <v>18.2</v>
      </c>
      <c r="CF76" s="766">
        <v>18.28</v>
      </c>
      <c r="CG76" s="766">
        <v>18.37</v>
      </c>
      <c r="CH76" s="766">
        <v>18.45</v>
      </c>
      <c r="CI76" s="766">
        <v>18.53</v>
      </c>
      <c r="CJ76" s="766">
        <v>18.61</v>
      </c>
      <c r="CK76" s="766">
        <v>18.690000000000001</v>
      </c>
      <c r="CL76" s="766">
        <v>18.77</v>
      </c>
      <c r="CM76" s="766">
        <v>18.850000000000001</v>
      </c>
      <c r="CN76" s="766">
        <v>18.93</v>
      </c>
      <c r="CO76" s="766">
        <v>19.010000000000002</v>
      </c>
      <c r="CP76" s="766">
        <v>19.09</v>
      </c>
      <c r="CQ76" s="766">
        <v>19.170000000000002</v>
      </c>
      <c r="CR76" s="766">
        <v>19.25</v>
      </c>
      <c r="CS76" s="766">
        <v>19.329999999999998</v>
      </c>
      <c r="CT76" s="766">
        <v>19.41</v>
      </c>
      <c r="CU76" s="766">
        <v>19.48</v>
      </c>
      <c r="CV76" s="766">
        <v>19.559999999999999</v>
      </c>
      <c r="CW76" s="766">
        <v>19.64</v>
      </c>
      <c r="CX76" s="766">
        <v>19.71</v>
      </c>
      <c r="CY76" s="766">
        <v>19.79</v>
      </c>
      <c r="CZ76" s="766">
        <v>19.86</v>
      </c>
      <c r="DA76" s="766">
        <v>19.940000000000001</v>
      </c>
      <c r="DB76" s="766">
        <v>20.010000000000002</v>
      </c>
      <c r="DC76" s="766">
        <v>20.09</v>
      </c>
      <c r="DD76" s="766">
        <v>20.16</v>
      </c>
      <c r="DE76" s="766">
        <v>20.239999999999998</v>
      </c>
      <c r="DF76" s="766">
        <v>20.309999999999999</v>
      </c>
      <c r="DG76" s="766">
        <v>20.38</v>
      </c>
      <c r="DH76" s="766">
        <v>20.45</v>
      </c>
      <c r="DI76" s="766">
        <v>20.53</v>
      </c>
      <c r="DJ76" s="766">
        <v>20.6</v>
      </c>
      <c r="DK76" s="766">
        <v>20.67</v>
      </c>
      <c r="DL76" s="766">
        <v>20.74</v>
      </c>
      <c r="DM76" s="766">
        <v>20.81</v>
      </c>
      <c r="DN76" s="766">
        <v>20.88</v>
      </c>
      <c r="DO76" s="766">
        <v>20.95</v>
      </c>
      <c r="DP76" s="766">
        <v>21.02</v>
      </c>
      <c r="DQ76" s="766">
        <v>21.09</v>
      </c>
      <c r="DR76" s="766">
        <v>21.16</v>
      </c>
    </row>
    <row r="77" spans="1:122">
      <c r="A77" s="950">
        <v>75</v>
      </c>
      <c r="B77" s="94"/>
      <c r="C77" s="94"/>
      <c r="D77" s="94"/>
      <c r="E77" s="94"/>
      <c r="F77" s="94"/>
      <c r="G77" s="94"/>
      <c r="H77" s="94"/>
      <c r="I77" s="94"/>
      <c r="J77" s="94"/>
      <c r="K77" s="94"/>
      <c r="L77" s="94"/>
      <c r="M77" s="94"/>
      <c r="N77" s="94"/>
      <c r="O77" s="94"/>
      <c r="P77" s="94"/>
      <c r="Q77" s="94"/>
      <c r="R77" s="94"/>
      <c r="S77" s="94"/>
      <c r="T77" s="94"/>
      <c r="U77" s="94"/>
      <c r="V77" s="766"/>
      <c r="W77" s="766">
        <v>11.92</v>
      </c>
      <c r="X77" s="766">
        <v>12.01</v>
      </c>
      <c r="Y77" s="766">
        <v>12.12</v>
      </c>
      <c r="Z77" s="766">
        <v>12.24</v>
      </c>
      <c r="AA77" s="766">
        <v>12.32</v>
      </c>
      <c r="AB77" s="766">
        <v>12.42</v>
      </c>
      <c r="AC77" s="766">
        <v>12.54</v>
      </c>
      <c r="AD77" s="766">
        <v>12.61</v>
      </c>
      <c r="AE77" s="766">
        <v>12.72</v>
      </c>
      <c r="AF77" s="766">
        <v>12.84</v>
      </c>
      <c r="AG77" s="766">
        <v>12.9</v>
      </c>
      <c r="AH77" s="766">
        <v>12.99</v>
      </c>
      <c r="AI77" s="766">
        <v>13.08</v>
      </c>
      <c r="AJ77" s="766">
        <v>13.2</v>
      </c>
      <c r="AK77" s="766">
        <v>13.33</v>
      </c>
      <c r="AL77" s="766">
        <v>13.44</v>
      </c>
      <c r="AM77" s="766">
        <v>13.58</v>
      </c>
      <c r="AN77" s="766">
        <v>13.68</v>
      </c>
      <c r="AO77" s="766">
        <v>13.77</v>
      </c>
      <c r="AP77" s="766">
        <v>13.85</v>
      </c>
      <c r="AQ77" s="766">
        <v>13.92</v>
      </c>
      <c r="AR77" s="766">
        <v>14</v>
      </c>
      <c r="AS77" s="766">
        <v>14.08</v>
      </c>
      <c r="AT77" s="766">
        <v>14.18</v>
      </c>
      <c r="AU77" s="766">
        <v>14.27</v>
      </c>
      <c r="AV77" s="766">
        <v>14.37</v>
      </c>
      <c r="AW77" s="766">
        <v>14.46</v>
      </c>
      <c r="AX77" s="766">
        <v>14.55</v>
      </c>
      <c r="AY77" s="766">
        <v>14.64</v>
      </c>
      <c r="AZ77" s="766">
        <v>14.72</v>
      </c>
      <c r="BA77" s="766">
        <v>14.81</v>
      </c>
      <c r="BB77" s="766">
        <v>14.9</v>
      </c>
      <c r="BC77" s="766">
        <v>14.99</v>
      </c>
      <c r="BD77" s="766">
        <v>15.08</v>
      </c>
      <c r="BE77" s="766">
        <v>15.17</v>
      </c>
      <c r="BF77" s="766">
        <v>15.25</v>
      </c>
      <c r="BG77" s="766">
        <v>15.34</v>
      </c>
      <c r="BH77" s="766">
        <v>15.43</v>
      </c>
      <c r="BI77" s="766">
        <v>15.51</v>
      </c>
      <c r="BJ77" s="766">
        <v>15.6</v>
      </c>
      <c r="BK77" s="766">
        <v>15.69</v>
      </c>
      <c r="BL77" s="766">
        <v>15.77</v>
      </c>
      <c r="BM77" s="766">
        <v>15.86</v>
      </c>
      <c r="BN77" s="766">
        <v>15.94</v>
      </c>
      <c r="BO77" s="766">
        <v>16.03</v>
      </c>
      <c r="BP77" s="766">
        <v>16.11</v>
      </c>
      <c r="BQ77" s="766">
        <v>16.2</v>
      </c>
      <c r="BR77" s="766">
        <v>16.28</v>
      </c>
      <c r="BS77" s="766">
        <v>16.37</v>
      </c>
      <c r="BT77" s="766">
        <v>16.45</v>
      </c>
      <c r="BU77" s="766">
        <v>16.53</v>
      </c>
      <c r="BV77" s="766">
        <v>16.62</v>
      </c>
      <c r="BW77" s="766">
        <v>16.7</v>
      </c>
      <c r="BX77" s="766">
        <v>16.78</v>
      </c>
      <c r="BY77" s="766">
        <v>16.87</v>
      </c>
      <c r="BZ77" s="766">
        <v>16.95</v>
      </c>
      <c r="CA77" s="766">
        <v>17.03</v>
      </c>
      <c r="CB77" s="766">
        <v>17.11</v>
      </c>
      <c r="CC77" s="766">
        <v>17.190000000000001</v>
      </c>
      <c r="CD77" s="766">
        <v>17.28</v>
      </c>
      <c r="CE77" s="766">
        <v>17.36</v>
      </c>
      <c r="CF77" s="766">
        <v>17.440000000000001</v>
      </c>
      <c r="CG77" s="766">
        <v>17.52</v>
      </c>
      <c r="CH77" s="766">
        <v>17.600000000000001</v>
      </c>
      <c r="CI77" s="766">
        <v>17.68</v>
      </c>
      <c r="CJ77" s="766">
        <v>17.760000000000002</v>
      </c>
      <c r="CK77" s="766">
        <v>17.84</v>
      </c>
      <c r="CL77" s="766">
        <v>17.91</v>
      </c>
      <c r="CM77" s="766">
        <v>17.989999999999998</v>
      </c>
      <c r="CN77" s="766">
        <v>18.07</v>
      </c>
      <c r="CO77" s="766">
        <v>18.149999999999999</v>
      </c>
      <c r="CP77" s="766">
        <v>18.23</v>
      </c>
      <c r="CQ77" s="766">
        <v>18.3</v>
      </c>
      <c r="CR77" s="766">
        <v>18.38</v>
      </c>
      <c r="CS77" s="766">
        <v>18.46</v>
      </c>
      <c r="CT77" s="766">
        <v>18.53</v>
      </c>
      <c r="CU77" s="766">
        <v>18.61</v>
      </c>
      <c r="CV77" s="766">
        <v>18.68</v>
      </c>
      <c r="CW77" s="766">
        <v>18.760000000000002</v>
      </c>
      <c r="CX77" s="766">
        <v>18.829999999999998</v>
      </c>
      <c r="CY77" s="766">
        <v>18.91</v>
      </c>
      <c r="CZ77" s="766">
        <v>18.98</v>
      </c>
      <c r="DA77" s="766">
        <v>19.05</v>
      </c>
      <c r="DB77" s="766">
        <v>19.13</v>
      </c>
      <c r="DC77" s="766">
        <v>19.2</v>
      </c>
      <c r="DD77" s="766">
        <v>19.27</v>
      </c>
      <c r="DE77" s="766">
        <v>19.34</v>
      </c>
      <c r="DF77" s="766">
        <v>19.420000000000002</v>
      </c>
      <c r="DG77" s="766">
        <v>19.489999999999998</v>
      </c>
      <c r="DH77" s="766">
        <v>19.559999999999999</v>
      </c>
      <c r="DI77" s="766">
        <v>19.63</v>
      </c>
      <c r="DJ77" s="766">
        <v>19.7</v>
      </c>
      <c r="DK77" s="766">
        <v>19.77</v>
      </c>
      <c r="DL77" s="766">
        <v>19.84</v>
      </c>
      <c r="DM77" s="766">
        <v>19.91</v>
      </c>
      <c r="DN77" s="766">
        <v>19.97</v>
      </c>
      <c r="DO77" s="766">
        <v>20.04</v>
      </c>
      <c r="DP77" s="766">
        <v>20.11</v>
      </c>
      <c r="DQ77" s="766">
        <v>20.18</v>
      </c>
      <c r="DR77" s="766">
        <v>20.239999999999998</v>
      </c>
    </row>
    <row r="78" spans="1:122">
      <c r="A78" s="950">
        <v>76</v>
      </c>
      <c r="B78" s="94"/>
      <c r="C78" s="94"/>
      <c r="D78" s="94"/>
      <c r="E78" s="94"/>
      <c r="F78" s="94"/>
      <c r="G78" s="94"/>
      <c r="H78" s="94"/>
      <c r="I78" s="94"/>
      <c r="J78" s="94"/>
      <c r="K78" s="94"/>
      <c r="L78" s="94"/>
      <c r="M78" s="94"/>
      <c r="N78" s="94"/>
      <c r="O78" s="94"/>
      <c r="P78" s="94"/>
      <c r="Q78" s="94"/>
      <c r="R78" s="94"/>
      <c r="S78" s="94"/>
      <c r="T78" s="94"/>
      <c r="U78" s="94"/>
      <c r="V78" s="766"/>
      <c r="W78" s="766">
        <v>11.28</v>
      </c>
      <c r="X78" s="766">
        <v>11.35</v>
      </c>
      <c r="Y78" s="766">
        <v>11.47</v>
      </c>
      <c r="Z78" s="766">
        <v>11.57</v>
      </c>
      <c r="AA78" s="766">
        <v>11.65</v>
      </c>
      <c r="AB78" s="766">
        <v>11.74</v>
      </c>
      <c r="AC78" s="766">
        <v>11.87</v>
      </c>
      <c r="AD78" s="766">
        <v>11.93</v>
      </c>
      <c r="AE78" s="766">
        <v>12.02</v>
      </c>
      <c r="AF78" s="766">
        <v>12.13</v>
      </c>
      <c r="AG78" s="766">
        <v>12.19</v>
      </c>
      <c r="AH78" s="766">
        <v>12.28</v>
      </c>
      <c r="AI78" s="766">
        <v>12.37</v>
      </c>
      <c r="AJ78" s="766">
        <v>12.48</v>
      </c>
      <c r="AK78" s="766">
        <v>12.6</v>
      </c>
      <c r="AL78" s="766">
        <v>12.72</v>
      </c>
      <c r="AM78" s="766">
        <v>12.85</v>
      </c>
      <c r="AN78" s="766">
        <v>12.94</v>
      </c>
      <c r="AO78" s="766">
        <v>13.03</v>
      </c>
      <c r="AP78" s="766">
        <v>13.1</v>
      </c>
      <c r="AQ78" s="766">
        <v>13.18</v>
      </c>
      <c r="AR78" s="766">
        <v>13.27</v>
      </c>
      <c r="AS78" s="766">
        <v>13.36</v>
      </c>
      <c r="AT78" s="766">
        <v>13.45</v>
      </c>
      <c r="AU78" s="766">
        <v>13.54</v>
      </c>
      <c r="AV78" s="766">
        <v>13.62</v>
      </c>
      <c r="AW78" s="766">
        <v>13.71</v>
      </c>
      <c r="AX78" s="766">
        <v>13.8</v>
      </c>
      <c r="AY78" s="766">
        <v>13.88</v>
      </c>
      <c r="AZ78" s="766">
        <v>13.97</v>
      </c>
      <c r="BA78" s="766">
        <v>14.06</v>
      </c>
      <c r="BB78" s="766">
        <v>14.14</v>
      </c>
      <c r="BC78" s="766">
        <v>14.23</v>
      </c>
      <c r="BD78" s="766">
        <v>14.31</v>
      </c>
      <c r="BE78" s="766">
        <v>14.4</v>
      </c>
      <c r="BF78" s="766">
        <v>14.48</v>
      </c>
      <c r="BG78" s="766">
        <v>14.56</v>
      </c>
      <c r="BH78" s="766">
        <v>14.65</v>
      </c>
      <c r="BI78" s="766">
        <v>14.73</v>
      </c>
      <c r="BJ78" s="766">
        <v>14.81</v>
      </c>
      <c r="BK78" s="766">
        <v>14.9</v>
      </c>
      <c r="BL78" s="766">
        <v>14.98</v>
      </c>
      <c r="BM78" s="766">
        <v>15.06</v>
      </c>
      <c r="BN78" s="766">
        <v>15.15</v>
      </c>
      <c r="BO78" s="766">
        <v>15.23</v>
      </c>
      <c r="BP78" s="766">
        <v>15.31</v>
      </c>
      <c r="BQ78" s="766">
        <v>15.39</v>
      </c>
      <c r="BR78" s="766">
        <v>15.48</v>
      </c>
      <c r="BS78" s="766">
        <v>15.56</v>
      </c>
      <c r="BT78" s="766">
        <v>15.64</v>
      </c>
      <c r="BU78" s="766">
        <v>15.72</v>
      </c>
      <c r="BV78" s="766">
        <v>15.8</v>
      </c>
      <c r="BW78" s="766">
        <v>15.88</v>
      </c>
      <c r="BX78" s="766">
        <v>15.96</v>
      </c>
      <c r="BY78" s="766">
        <v>16.04</v>
      </c>
      <c r="BZ78" s="766">
        <v>16.12</v>
      </c>
      <c r="CA78" s="766">
        <v>16.2</v>
      </c>
      <c r="CB78" s="766">
        <v>16.28</v>
      </c>
      <c r="CC78" s="766">
        <v>16.36</v>
      </c>
      <c r="CD78" s="766">
        <v>16.440000000000001</v>
      </c>
      <c r="CE78" s="766">
        <v>16.52</v>
      </c>
      <c r="CF78" s="766">
        <v>16.600000000000001</v>
      </c>
      <c r="CG78" s="766">
        <v>16.68</v>
      </c>
      <c r="CH78" s="766">
        <v>16.75</v>
      </c>
      <c r="CI78" s="766">
        <v>16.829999999999998</v>
      </c>
      <c r="CJ78" s="766">
        <v>16.91</v>
      </c>
      <c r="CK78" s="766">
        <v>16.989999999999998</v>
      </c>
      <c r="CL78" s="766">
        <v>17.059999999999999</v>
      </c>
      <c r="CM78" s="766">
        <v>17.14</v>
      </c>
      <c r="CN78" s="766">
        <v>17.21</v>
      </c>
      <c r="CO78" s="766">
        <v>17.29</v>
      </c>
      <c r="CP78" s="766">
        <v>17.37</v>
      </c>
      <c r="CQ78" s="766">
        <v>17.440000000000001</v>
      </c>
      <c r="CR78" s="766">
        <v>17.52</v>
      </c>
      <c r="CS78" s="766">
        <v>17.59</v>
      </c>
      <c r="CT78" s="766">
        <v>17.66</v>
      </c>
      <c r="CU78" s="766">
        <v>17.739999999999998</v>
      </c>
      <c r="CV78" s="766">
        <v>17.809999999999999</v>
      </c>
      <c r="CW78" s="766">
        <v>17.88</v>
      </c>
      <c r="CX78" s="766">
        <v>17.96</v>
      </c>
      <c r="CY78" s="766">
        <v>18.03</v>
      </c>
      <c r="CZ78" s="766">
        <v>18.100000000000001</v>
      </c>
      <c r="DA78" s="766">
        <v>18.170000000000002</v>
      </c>
      <c r="DB78" s="766">
        <v>18.25</v>
      </c>
      <c r="DC78" s="766">
        <v>18.32</v>
      </c>
      <c r="DD78" s="766">
        <v>18.39</v>
      </c>
      <c r="DE78" s="766">
        <v>18.46</v>
      </c>
      <c r="DF78" s="766">
        <v>18.53</v>
      </c>
      <c r="DG78" s="766">
        <v>18.600000000000001</v>
      </c>
      <c r="DH78" s="766">
        <v>18.670000000000002</v>
      </c>
      <c r="DI78" s="766">
        <v>18.73</v>
      </c>
      <c r="DJ78" s="766">
        <v>18.8</v>
      </c>
      <c r="DK78" s="766">
        <v>18.87</v>
      </c>
      <c r="DL78" s="766">
        <v>18.940000000000001</v>
      </c>
      <c r="DM78" s="766">
        <v>19.010000000000002</v>
      </c>
      <c r="DN78" s="766">
        <v>19.07</v>
      </c>
      <c r="DO78" s="766">
        <v>19.14</v>
      </c>
      <c r="DP78" s="766">
        <v>19.21</v>
      </c>
      <c r="DQ78" s="766">
        <v>19.27</v>
      </c>
      <c r="DR78" s="766">
        <v>19.34</v>
      </c>
    </row>
    <row r="79" spans="1:122">
      <c r="A79" s="950">
        <v>77</v>
      </c>
      <c r="B79" s="94"/>
      <c r="C79" s="94"/>
      <c r="D79" s="94"/>
      <c r="E79" s="94"/>
      <c r="F79" s="94"/>
      <c r="G79" s="94"/>
      <c r="H79" s="94"/>
      <c r="I79" s="94"/>
      <c r="J79" s="94"/>
      <c r="K79" s="94"/>
      <c r="L79" s="94"/>
      <c r="M79" s="94"/>
      <c r="N79" s="94"/>
      <c r="O79" s="94"/>
      <c r="P79" s="94"/>
      <c r="Q79" s="94"/>
      <c r="R79" s="94"/>
      <c r="S79" s="94"/>
      <c r="T79" s="94"/>
      <c r="U79" s="94"/>
      <c r="V79" s="766"/>
      <c r="W79" s="766">
        <v>10.65</v>
      </c>
      <c r="X79" s="766">
        <v>10.73</v>
      </c>
      <c r="Y79" s="766">
        <v>10.83</v>
      </c>
      <c r="Z79" s="766">
        <v>10.92</v>
      </c>
      <c r="AA79" s="766">
        <v>10.99</v>
      </c>
      <c r="AB79" s="766">
        <v>11.09</v>
      </c>
      <c r="AC79" s="766">
        <v>11.21</v>
      </c>
      <c r="AD79" s="766">
        <v>11.26</v>
      </c>
      <c r="AE79" s="766">
        <v>11.34</v>
      </c>
      <c r="AF79" s="766">
        <v>11.44</v>
      </c>
      <c r="AG79" s="766">
        <v>11.5</v>
      </c>
      <c r="AH79" s="766">
        <v>11.59</v>
      </c>
      <c r="AI79" s="766">
        <v>11.68</v>
      </c>
      <c r="AJ79" s="766">
        <v>11.78</v>
      </c>
      <c r="AK79" s="766">
        <v>11.9</v>
      </c>
      <c r="AL79" s="766">
        <v>12.01</v>
      </c>
      <c r="AM79" s="766">
        <v>12.12</v>
      </c>
      <c r="AN79" s="766">
        <v>12.22</v>
      </c>
      <c r="AO79" s="766">
        <v>12.3</v>
      </c>
      <c r="AP79" s="766">
        <v>12.38</v>
      </c>
      <c r="AQ79" s="766">
        <v>12.47</v>
      </c>
      <c r="AR79" s="766">
        <v>12.55</v>
      </c>
      <c r="AS79" s="766">
        <v>12.63</v>
      </c>
      <c r="AT79" s="766">
        <v>12.72</v>
      </c>
      <c r="AU79" s="766">
        <v>12.8</v>
      </c>
      <c r="AV79" s="766">
        <v>12.89</v>
      </c>
      <c r="AW79" s="766">
        <v>12.97</v>
      </c>
      <c r="AX79" s="766">
        <v>13.06</v>
      </c>
      <c r="AY79" s="766">
        <v>13.14</v>
      </c>
      <c r="AZ79" s="766">
        <v>13.22</v>
      </c>
      <c r="BA79" s="766">
        <v>13.31</v>
      </c>
      <c r="BB79" s="766">
        <v>13.39</v>
      </c>
      <c r="BC79" s="766">
        <v>13.47</v>
      </c>
      <c r="BD79" s="766">
        <v>13.55</v>
      </c>
      <c r="BE79" s="766">
        <v>13.63</v>
      </c>
      <c r="BF79" s="766">
        <v>13.71</v>
      </c>
      <c r="BG79" s="766">
        <v>13.8</v>
      </c>
      <c r="BH79" s="766">
        <v>13.88</v>
      </c>
      <c r="BI79" s="766">
        <v>13.96</v>
      </c>
      <c r="BJ79" s="766">
        <v>14.04</v>
      </c>
      <c r="BK79" s="766">
        <v>14.12</v>
      </c>
      <c r="BL79" s="766">
        <v>14.2</v>
      </c>
      <c r="BM79" s="766">
        <v>14.28</v>
      </c>
      <c r="BN79" s="766">
        <v>14.36</v>
      </c>
      <c r="BO79" s="766">
        <v>14.44</v>
      </c>
      <c r="BP79" s="766">
        <v>14.52</v>
      </c>
      <c r="BQ79" s="766">
        <v>14.6</v>
      </c>
      <c r="BR79" s="766">
        <v>14.68</v>
      </c>
      <c r="BS79" s="766">
        <v>14.76</v>
      </c>
      <c r="BT79" s="766">
        <v>14.84</v>
      </c>
      <c r="BU79" s="766">
        <v>14.92</v>
      </c>
      <c r="BV79" s="766">
        <v>14.99</v>
      </c>
      <c r="BW79" s="766">
        <v>15.07</v>
      </c>
      <c r="BX79" s="766">
        <v>15.15</v>
      </c>
      <c r="BY79" s="766">
        <v>15.23</v>
      </c>
      <c r="BZ79" s="766">
        <v>15.31</v>
      </c>
      <c r="CA79" s="766">
        <v>15.38</v>
      </c>
      <c r="CB79" s="766">
        <v>15.46</v>
      </c>
      <c r="CC79" s="766">
        <v>15.54</v>
      </c>
      <c r="CD79" s="766">
        <v>15.61</v>
      </c>
      <c r="CE79" s="766">
        <v>15.69</v>
      </c>
      <c r="CF79" s="766">
        <v>15.77</v>
      </c>
      <c r="CG79" s="766">
        <v>15.84</v>
      </c>
      <c r="CH79" s="766">
        <v>15.92</v>
      </c>
      <c r="CI79" s="766">
        <v>15.99</v>
      </c>
      <c r="CJ79" s="766">
        <v>16.07</v>
      </c>
      <c r="CK79" s="766">
        <v>16.14</v>
      </c>
      <c r="CL79" s="766">
        <v>16.22</v>
      </c>
      <c r="CM79" s="766">
        <v>16.29</v>
      </c>
      <c r="CN79" s="766">
        <v>16.37</v>
      </c>
      <c r="CO79" s="766">
        <v>16.440000000000001</v>
      </c>
      <c r="CP79" s="766">
        <v>16.510000000000002</v>
      </c>
      <c r="CQ79" s="766">
        <v>16.59</v>
      </c>
      <c r="CR79" s="766">
        <v>16.66</v>
      </c>
      <c r="CS79" s="766">
        <v>16.73</v>
      </c>
      <c r="CT79" s="766">
        <v>16.8</v>
      </c>
      <c r="CU79" s="766">
        <v>16.88</v>
      </c>
      <c r="CV79" s="766">
        <v>16.95</v>
      </c>
      <c r="CW79" s="766">
        <v>17.02</v>
      </c>
      <c r="CX79" s="766">
        <v>17.09</v>
      </c>
      <c r="CY79" s="766">
        <v>17.16</v>
      </c>
      <c r="CZ79" s="766">
        <v>17.23</v>
      </c>
      <c r="DA79" s="766">
        <v>17.3</v>
      </c>
      <c r="DB79" s="766">
        <v>17.37</v>
      </c>
      <c r="DC79" s="766">
        <v>17.440000000000001</v>
      </c>
      <c r="DD79" s="766">
        <v>17.510000000000002</v>
      </c>
      <c r="DE79" s="766">
        <v>17.579999999999998</v>
      </c>
      <c r="DF79" s="766">
        <v>17.649999999999999</v>
      </c>
      <c r="DG79" s="766">
        <v>17.71</v>
      </c>
      <c r="DH79" s="766">
        <v>17.78</v>
      </c>
      <c r="DI79" s="766">
        <v>17.850000000000001</v>
      </c>
      <c r="DJ79" s="766">
        <v>17.91</v>
      </c>
      <c r="DK79" s="766">
        <v>17.98</v>
      </c>
      <c r="DL79" s="766">
        <v>18.05</v>
      </c>
      <c r="DM79" s="766">
        <v>18.11</v>
      </c>
      <c r="DN79" s="766">
        <v>18.18</v>
      </c>
      <c r="DO79" s="766">
        <v>18.239999999999998</v>
      </c>
      <c r="DP79" s="766">
        <v>18.309999999999999</v>
      </c>
      <c r="DQ79" s="766">
        <v>18.37</v>
      </c>
      <c r="DR79" s="766">
        <v>18.440000000000001</v>
      </c>
    </row>
    <row r="80" spans="1:122">
      <c r="A80" s="950">
        <v>78</v>
      </c>
      <c r="B80" s="94"/>
      <c r="C80" s="94"/>
      <c r="D80" s="94"/>
      <c r="E80" s="94"/>
      <c r="F80" s="94"/>
      <c r="G80" s="94"/>
      <c r="H80" s="94"/>
      <c r="I80" s="94"/>
      <c r="J80" s="94"/>
      <c r="K80" s="94"/>
      <c r="L80" s="94"/>
      <c r="M80" s="94"/>
      <c r="N80" s="94"/>
      <c r="O80" s="94"/>
      <c r="P80" s="94"/>
      <c r="Q80" s="94"/>
      <c r="R80" s="94"/>
      <c r="S80" s="94"/>
      <c r="T80" s="94"/>
      <c r="U80" s="94"/>
      <c r="V80" s="766"/>
      <c r="W80" s="766">
        <v>10.039999999999999</v>
      </c>
      <c r="X80" s="766">
        <v>10.1</v>
      </c>
      <c r="Y80" s="766">
        <v>10.19</v>
      </c>
      <c r="Z80" s="766">
        <v>10.28</v>
      </c>
      <c r="AA80" s="766">
        <v>10.35</v>
      </c>
      <c r="AB80" s="766">
        <v>10.44</v>
      </c>
      <c r="AC80" s="766">
        <v>10.54</v>
      </c>
      <c r="AD80" s="766">
        <v>10.6</v>
      </c>
      <c r="AE80" s="766">
        <v>10.67</v>
      </c>
      <c r="AF80" s="766">
        <v>10.77</v>
      </c>
      <c r="AG80" s="766">
        <v>10.83</v>
      </c>
      <c r="AH80" s="766">
        <v>10.91</v>
      </c>
      <c r="AI80" s="766">
        <v>10.99</v>
      </c>
      <c r="AJ80" s="766">
        <v>11.09</v>
      </c>
      <c r="AK80" s="766">
        <v>11.21</v>
      </c>
      <c r="AL80" s="766">
        <v>11.31</v>
      </c>
      <c r="AM80" s="766">
        <v>11.42</v>
      </c>
      <c r="AN80" s="766">
        <v>11.51</v>
      </c>
      <c r="AO80" s="766">
        <v>11.59</v>
      </c>
      <c r="AP80" s="766">
        <v>11.67</v>
      </c>
      <c r="AQ80" s="766">
        <v>11.75</v>
      </c>
      <c r="AR80" s="766">
        <v>11.84</v>
      </c>
      <c r="AS80" s="766">
        <v>11.92</v>
      </c>
      <c r="AT80" s="766">
        <v>12</v>
      </c>
      <c r="AU80" s="766">
        <v>12.08</v>
      </c>
      <c r="AV80" s="766">
        <v>12.17</v>
      </c>
      <c r="AW80" s="766">
        <v>12.25</v>
      </c>
      <c r="AX80" s="766">
        <v>12.33</v>
      </c>
      <c r="AY80" s="766">
        <v>12.41</v>
      </c>
      <c r="AZ80" s="766">
        <v>12.49</v>
      </c>
      <c r="BA80" s="766">
        <v>12.57</v>
      </c>
      <c r="BB80" s="766">
        <v>12.64</v>
      </c>
      <c r="BC80" s="766">
        <v>12.72</v>
      </c>
      <c r="BD80" s="766">
        <v>12.8</v>
      </c>
      <c r="BE80" s="766">
        <v>12.88</v>
      </c>
      <c r="BF80" s="766">
        <v>12.96</v>
      </c>
      <c r="BG80" s="766">
        <v>13.04</v>
      </c>
      <c r="BH80" s="766">
        <v>13.12</v>
      </c>
      <c r="BI80" s="766">
        <v>13.19</v>
      </c>
      <c r="BJ80" s="766">
        <v>13.27</v>
      </c>
      <c r="BK80" s="766">
        <v>13.35</v>
      </c>
      <c r="BL80" s="766">
        <v>13.43</v>
      </c>
      <c r="BM80" s="766">
        <v>13.51</v>
      </c>
      <c r="BN80" s="766">
        <v>13.58</v>
      </c>
      <c r="BO80" s="766">
        <v>13.66</v>
      </c>
      <c r="BP80" s="766">
        <v>13.74</v>
      </c>
      <c r="BQ80" s="766">
        <v>13.81</v>
      </c>
      <c r="BR80" s="766">
        <v>13.89</v>
      </c>
      <c r="BS80" s="766">
        <v>13.97</v>
      </c>
      <c r="BT80" s="766">
        <v>14.04</v>
      </c>
      <c r="BU80" s="766">
        <v>14.12</v>
      </c>
      <c r="BV80" s="766">
        <v>14.2</v>
      </c>
      <c r="BW80" s="766">
        <v>14.27</v>
      </c>
      <c r="BX80" s="766">
        <v>14.35</v>
      </c>
      <c r="BY80" s="766">
        <v>14.42</v>
      </c>
      <c r="BZ80" s="766">
        <v>14.5</v>
      </c>
      <c r="CA80" s="766">
        <v>14.57</v>
      </c>
      <c r="CB80" s="766">
        <v>14.65</v>
      </c>
      <c r="CC80" s="766">
        <v>14.72</v>
      </c>
      <c r="CD80" s="766">
        <v>14.8</v>
      </c>
      <c r="CE80" s="766">
        <v>14.87</v>
      </c>
      <c r="CF80" s="766">
        <v>14.95</v>
      </c>
      <c r="CG80" s="766">
        <v>15.02</v>
      </c>
      <c r="CH80" s="766">
        <v>15.09</v>
      </c>
      <c r="CI80" s="766">
        <v>15.17</v>
      </c>
      <c r="CJ80" s="766">
        <v>15.24</v>
      </c>
      <c r="CK80" s="766">
        <v>15.31</v>
      </c>
      <c r="CL80" s="766">
        <v>15.38</v>
      </c>
      <c r="CM80" s="766">
        <v>15.46</v>
      </c>
      <c r="CN80" s="766">
        <v>15.53</v>
      </c>
      <c r="CO80" s="766">
        <v>15.6</v>
      </c>
      <c r="CP80" s="766">
        <v>15.67</v>
      </c>
      <c r="CQ80" s="766">
        <v>15.74</v>
      </c>
      <c r="CR80" s="766">
        <v>15.81</v>
      </c>
      <c r="CS80" s="766">
        <v>15.88</v>
      </c>
      <c r="CT80" s="766">
        <v>15.95</v>
      </c>
      <c r="CU80" s="766">
        <v>16.02</v>
      </c>
      <c r="CV80" s="766">
        <v>16.09</v>
      </c>
      <c r="CW80" s="766">
        <v>16.16</v>
      </c>
      <c r="CX80" s="766">
        <v>16.23</v>
      </c>
      <c r="CY80" s="766">
        <v>16.3</v>
      </c>
      <c r="CZ80" s="766">
        <v>16.37</v>
      </c>
      <c r="DA80" s="766">
        <v>16.440000000000001</v>
      </c>
      <c r="DB80" s="766">
        <v>16.5</v>
      </c>
      <c r="DC80" s="766">
        <v>16.57</v>
      </c>
      <c r="DD80" s="766">
        <v>16.64</v>
      </c>
      <c r="DE80" s="766">
        <v>16.7</v>
      </c>
      <c r="DF80" s="766">
        <v>16.77</v>
      </c>
      <c r="DG80" s="766">
        <v>16.84</v>
      </c>
      <c r="DH80" s="766">
        <v>16.899999999999999</v>
      </c>
      <c r="DI80" s="766">
        <v>16.97</v>
      </c>
      <c r="DJ80" s="766">
        <v>17.03</v>
      </c>
      <c r="DK80" s="766">
        <v>17.100000000000001</v>
      </c>
      <c r="DL80" s="766">
        <v>17.16</v>
      </c>
      <c r="DM80" s="766">
        <v>17.23</v>
      </c>
      <c r="DN80" s="766">
        <v>17.29</v>
      </c>
      <c r="DO80" s="766">
        <v>17.36</v>
      </c>
      <c r="DP80" s="766">
        <v>17.420000000000002</v>
      </c>
      <c r="DQ80" s="766">
        <v>17.48</v>
      </c>
      <c r="DR80" s="766">
        <v>17.54</v>
      </c>
    </row>
    <row r="81" spans="1:122">
      <c r="A81" s="950">
        <v>79</v>
      </c>
      <c r="B81" s="94"/>
      <c r="C81" s="94"/>
      <c r="D81" s="94"/>
      <c r="E81" s="94"/>
      <c r="F81" s="94"/>
      <c r="G81" s="94"/>
      <c r="H81" s="94"/>
      <c r="I81" s="94"/>
      <c r="J81" s="94"/>
      <c r="K81" s="94"/>
      <c r="L81" s="94"/>
      <c r="M81" s="94"/>
      <c r="N81" s="94"/>
      <c r="O81" s="94"/>
      <c r="P81" s="94"/>
      <c r="Q81" s="94"/>
      <c r="R81" s="94"/>
      <c r="S81" s="94"/>
      <c r="T81" s="94"/>
      <c r="U81" s="94"/>
      <c r="V81" s="766"/>
      <c r="W81" s="766">
        <v>9.44</v>
      </c>
      <c r="X81" s="766">
        <v>9.48</v>
      </c>
      <c r="Y81" s="766">
        <v>9.58</v>
      </c>
      <c r="Z81" s="766">
        <v>9.67</v>
      </c>
      <c r="AA81" s="766">
        <v>9.7200000000000006</v>
      </c>
      <c r="AB81" s="766">
        <v>9.8000000000000007</v>
      </c>
      <c r="AC81" s="766">
        <v>9.9</v>
      </c>
      <c r="AD81" s="766">
        <v>9.94</v>
      </c>
      <c r="AE81" s="766">
        <v>10.02</v>
      </c>
      <c r="AF81" s="766">
        <v>10.119999999999999</v>
      </c>
      <c r="AG81" s="766">
        <v>10.17</v>
      </c>
      <c r="AH81" s="766">
        <v>10.25</v>
      </c>
      <c r="AI81" s="766">
        <v>10.33</v>
      </c>
      <c r="AJ81" s="766">
        <v>10.43</v>
      </c>
      <c r="AK81" s="766">
        <v>10.53</v>
      </c>
      <c r="AL81" s="766">
        <v>10.63</v>
      </c>
      <c r="AM81" s="766">
        <v>10.73</v>
      </c>
      <c r="AN81" s="766">
        <v>10.82</v>
      </c>
      <c r="AO81" s="766">
        <v>10.9</v>
      </c>
      <c r="AP81" s="766">
        <v>10.98</v>
      </c>
      <c r="AQ81" s="766">
        <v>11.06</v>
      </c>
      <c r="AR81" s="766">
        <v>11.14</v>
      </c>
      <c r="AS81" s="766">
        <v>11.22</v>
      </c>
      <c r="AT81" s="766">
        <v>11.3</v>
      </c>
      <c r="AU81" s="766">
        <v>11.38</v>
      </c>
      <c r="AV81" s="766">
        <v>11.45</v>
      </c>
      <c r="AW81" s="766">
        <v>11.53</v>
      </c>
      <c r="AX81" s="766">
        <v>11.61</v>
      </c>
      <c r="AY81" s="766">
        <v>11.69</v>
      </c>
      <c r="AZ81" s="766">
        <v>11.76</v>
      </c>
      <c r="BA81" s="766">
        <v>11.84</v>
      </c>
      <c r="BB81" s="766">
        <v>11.91</v>
      </c>
      <c r="BC81" s="766">
        <v>11.99</v>
      </c>
      <c r="BD81" s="766">
        <v>12.07</v>
      </c>
      <c r="BE81" s="766">
        <v>12.14</v>
      </c>
      <c r="BF81" s="766">
        <v>12.22</v>
      </c>
      <c r="BG81" s="766">
        <v>12.29</v>
      </c>
      <c r="BH81" s="766">
        <v>12.37</v>
      </c>
      <c r="BI81" s="766">
        <v>12.44</v>
      </c>
      <c r="BJ81" s="766">
        <v>12.52</v>
      </c>
      <c r="BK81" s="766">
        <v>12.59</v>
      </c>
      <c r="BL81" s="766">
        <v>12.67</v>
      </c>
      <c r="BM81" s="766">
        <v>12.74</v>
      </c>
      <c r="BN81" s="766">
        <v>12.82</v>
      </c>
      <c r="BO81" s="766">
        <v>12.89</v>
      </c>
      <c r="BP81" s="766">
        <v>12.97</v>
      </c>
      <c r="BQ81" s="766">
        <v>13.04</v>
      </c>
      <c r="BR81" s="766">
        <v>13.12</v>
      </c>
      <c r="BS81" s="766">
        <v>13.19</v>
      </c>
      <c r="BT81" s="766">
        <v>13.26</v>
      </c>
      <c r="BU81" s="766">
        <v>13.34</v>
      </c>
      <c r="BV81" s="766">
        <v>13.41</v>
      </c>
      <c r="BW81" s="766">
        <v>13.48</v>
      </c>
      <c r="BX81" s="766">
        <v>13.56</v>
      </c>
      <c r="BY81" s="766">
        <v>13.63</v>
      </c>
      <c r="BZ81" s="766">
        <v>13.7</v>
      </c>
      <c r="CA81" s="766">
        <v>13.78</v>
      </c>
      <c r="CB81" s="766">
        <v>13.85</v>
      </c>
      <c r="CC81" s="766">
        <v>13.92</v>
      </c>
      <c r="CD81" s="766">
        <v>13.99</v>
      </c>
      <c r="CE81" s="766">
        <v>14.06</v>
      </c>
      <c r="CF81" s="766">
        <v>14.14</v>
      </c>
      <c r="CG81" s="766">
        <v>14.21</v>
      </c>
      <c r="CH81" s="766">
        <v>14.28</v>
      </c>
      <c r="CI81" s="766">
        <v>14.35</v>
      </c>
      <c r="CJ81" s="766">
        <v>14.42</v>
      </c>
      <c r="CK81" s="766">
        <v>14.49</v>
      </c>
      <c r="CL81" s="766">
        <v>14.56</v>
      </c>
      <c r="CM81" s="766">
        <v>14.63</v>
      </c>
      <c r="CN81" s="766">
        <v>14.7</v>
      </c>
      <c r="CO81" s="766">
        <v>14.77</v>
      </c>
      <c r="CP81" s="766">
        <v>14.84</v>
      </c>
      <c r="CQ81" s="766">
        <v>14.91</v>
      </c>
      <c r="CR81" s="766">
        <v>14.98</v>
      </c>
      <c r="CS81" s="766">
        <v>15.04</v>
      </c>
      <c r="CT81" s="766">
        <v>15.11</v>
      </c>
      <c r="CU81" s="766">
        <v>15.18</v>
      </c>
      <c r="CV81" s="766">
        <v>15.25</v>
      </c>
      <c r="CW81" s="766">
        <v>15.31</v>
      </c>
      <c r="CX81" s="766">
        <v>15.38</v>
      </c>
      <c r="CY81" s="766">
        <v>15.45</v>
      </c>
      <c r="CZ81" s="766">
        <v>15.52</v>
      </c>
      <c r="DA81" s="766">
        <v>15.58</v>
      </c>
      <c r="DB81" s="766">
        <v>15.65</v>
      </c>
      <c r="DC81" s="766">
        <v>15.71</v>
      </c>
      <c r="DD81" s="766">
        <v>15.78</v>
      </c>
      <c r="DE81" s="766">
        <v>15.84</v>
      </c>
      <c r="DF81" s="766">
        <v>15.91</v>
      </c>
      <c r="DG81" s="766">
        <v>15.97</v>
      </c>
      <c r="DH81" s="766">
        <v>16.04</v>
      </c>
      <c r="DI81" s="766">
        <v>16.100000000000001</v>
      </c>
      <c r="DJ81" s="766">
        <v>16.16</v>
      </c>
      <c r="DK81" s="766">
        <v>16.23</v>
      </c>
      <c r="DL81" s="766">
        <v>16.29</v>
      </c>
      <c r="DM81" s="766">
        <v>16.350000000000001</v>
      </c>
      <c r="DN81" s="766">
        <v>16.41</v>
      </c>
      <c r="DO81" s="766">
        <v>16.48</v>
      </c>
      <c r="DP81" s="766">
        <v>16.54</v>
      </c>
      <c r="DQ81" s="766">
        <v>16.600000000000001</v>
      </c>
      <c r="DR81" s="766">
        <v>16.66</v>
      </c>
    </row>
    <row r="82" spans="1:122">
      <c r="A82" s="950">
        <v>80</v>
      </c>
      <c r="B82" s="94"/>
      <c r="C82" s="94"/>
      <c r="D82" s="94"/>
      <c r="E82" s="94"/>
      <c r="F82" s="94"/>
      <c r="G82" s="94"/>
      <c r="H82" s="94"/>
      <c r="I82" s="94"/>
      <c r="J82" s="94"/>
      <c r="K82" s="94"/>
      <c r="L82" s="94"/>
      <c r="M82" s="94"/>
      <c r="N82" s="94"/>
      <c r="O82" s="94"/>
      <c r="P82" s="94"/>
      <c r="Q82" s="94"/>
      <c r="R82" s="94"/>
      <c r="S82" s="94"/>
      <c r="T82" s="94"/>
      <c r="U82" s="94"/>
      <c r="V82" s="766"/>
      <c r="W82" s="766">
        <v>8.85</v>
      </c>
      <c r="X82" s="766">
        <v>8.89</v>
      </c>
      <c r="Y82" s="766">
        <v>8.99</v>
      </c>
      <c r="Z82" s="766">
        <v>9.07</v>
      </c>
      <c r="AA82" s="766">
        <v>9.11</v>
      </c>
      <c r="AB82" s="766">
        <v>9.18</v>
      </c>
      <c r="AC82" s="766">
        <v>9.27</v>
      </c>
      <c r="AD82" s="766">
        <v>9.32</v>
      </c>
      <c r="AE82" s="766">
        <v>9.4</v>
      </c>
      <c r="AF82" s="766">
        <v>9.48</v>
      </c>
      <c r="AG82" s="766">
        <v>9.5399999999999991</v>
      </c>
      <c r="AH82" s="766">
        <v>9.61</v>
      </c>
      <c r="AI82" s="766">
        <v>9.6999999999999993</v>
      </c>
      <c r="AJ82" s="766">
        <v>9.7799999999999994</v>
      </c>
      <c r="AK82" s="766">
        <v>9.8800000000000008</v>
      </c>
      <c r="AL82" s="766">
        <v>9.9700000000000006</v>
      </c>
      <c r="AM82" s="766">
        <v>10.07</v>
      </c>
      <c r="AN82" s="766">
        <v>10.16</v>
      </c>
      <c r="AO82" s="766">
        <v>10.23</v>
      </c>
      <c r="AP82" s="766">
        <v>10.31</v>
      </c>
      <c r="AQ82" s="766">
        <v>10.38</v>
      </c>
      <c r="AR82" s="766">
        <v>10.46</v>
      </c>
      <c r="AS82" s="766">
        <v>10.53</v>
      </c>
      <c r="AT82" s="766">
        <v>10.61</v>
      </c>
      <c r="AU82" s="766">
        <v>10.69</v>
      </c>
      <c r="AV82" s="766">
        <v>10.76</v>
      </c>
      <c r="AW82" s="766">
        <v>10.83</v>
      </c>
      <c r="AX82" s="766">
        <v>10.91</v>
      </c>
      <c r="AY82" s="766">
        <v>10.98</v>
      </c>
      <c r="AZ82" s="766">
        <v>11.05</v>
      </c>
      <c r="BA82" s="766">
        <v>11.13</v>
      </c>
      <c r="BB82" s="766">
        <v>11.2</v>
      </c>
      <c r="BC82" s="766">
        <v>11.27</v>
      </c>
      <c r="BD82" s="766">
        <v>11.35</v>
      </c>
      <c r="BE82" s="766">
        <v>11.42</v>
      </c>
      <c r="BF82" s="766">
        <v>11.49</v>
      </c>
      <c r="BG82" s="766">
        <v>11.56</v>
      </c>
      <c r="BH82" s="766">
        <v>11.64</v>
      </c>
      <c r="BI82" s="766">
        <v>11.71</v>
      </c>
      <c r="BJ82" s="766">
        <v>11.78</v>
      </c>
      <c r="BK82" s="766">
        <v>11.85</v>
      </c>
      <c r="BL82" s="766">
        <v>11.93</v>
      </c>
      <c r="BM82" s="766">
        <v>12</v>
      </c>
      <c r="BN82" s="766">
        <v>12.07</v>
      </c>
      <c r="BO82" s="766">
        <v>12.14</v>
      </c>
      <c r="BP82" s="766">
        <v>12.21</v>
      </c>
      <c r="BQ82" s="766">
        <v>12.28</v>
      </c>
      <c r="BR82" s="766">
        <v>12.36</v>
      </c>
      <c r="BS82" s="766">
        <v>12.43</v>
      </c>
      <c r="BT82" s="766">
        <v>12.5</v>
      </c>
      <c r="BU82" s="766">
        <v>12.57</v>
      </c>
      <c r="BV82" s="766">
        <v>12.64</v>
      </c>
      <c r="BW82" s="766">
        <v>12.71</v>
      </c>
      <c r="BX82" s="766">
        <v>12.78</v>
      </c>
      <c r="BY82" s="766">
        <v>12.85</v>
      </c>
      <c r="BZ82" s="766">
        <v>12.92</v>
      </c>
      <c r="CA82" s="766">
        <v>12.99</v>
      </c>
      <c r="CB82" s="766">
        <v>13.06</v>
      </c>
      <c r="CC82" s="766">
        <v>13.13</v>
      </c>
      <c r="CD82" s="766">
        <v>13.2</v>
      </c>
      <c r="CE82" s="766">
        <v>13.27</v>
      </c>
      <c r="CF82" s="766">
        <v>13.34</v>
      </c>
      <c r="CG82" s="766">
        <v>13.41</v>
      </c>
      <c r="CH82" s="766">
        <v>13.48</v>
      </c>
      <c r="CI82" s="766">
        <v>13.55</v>
      </c>
      <c r="CJ82" s="766">
        <v>13.61</v>
      </c>
      <c r="CK82" s="766">
        <v>13.68</v>
      </c>
      <c r="CL82" s="766">
        <v>13.75</v>
      </c>
      <c r="CM82" s="766">
        <v>13.82</v>
      </c>
      <c r="CN82" s="766">
        <v>13.88</v>
      </c>
      <c r="CO82" s="766">
        <v>13.95</v>
      </c>
      <c r="CP82" s="766">
        <v>14.02</v>
      </c>
      <c r="CQ82" s="766">
        <v>14.09</v>
      </c>
      <c r="CR82" s="766">
        <v>14.15</v>
      </c>
      <c r="CS82" s="766">
        <v>14.22</v>
      </c>
      <c r="CT82" s="766">
        <v>14.28</v>
      </c>
      <c r="CU82" s="766">
        <v>14.35</v>
      </c>
      <c r="CV82" s="766">
        <v>14.42</v>
      </c>
      <c r="CW82" s="766">
        <v>14.48</v>
      </c>
      <c r="CX82" s="766">
        <v>14.55</v>
      </c>
      <c r="CY82" s="766">
        <v>14.61</v>
      </c>
      <c r="CZ82" s="766">
        <v>14.67</v>
      </c>
      <c r="DA82" s="766">
        <v>14.74</v>
      </c>
      <c r="DB82" s="766">
        <v>14.8</v>
      </c>
      <c r="DC82" s="766">
        <v>14.87</v>
      </c>
      <c r="DD82" s="766">
        <v>14.93</v>
      </c>
      <c r="DE82" s="766">
        <v>14.99</v>
      </c>
      <c r="DF82" s="766">
        <v>15.06</v>
      </c>
      <c r="DG82" s="766">
        <v>15.12</v>
      </c>
      <c r="DH82" s="766">
        <v>15.18</v>
      </c>
      <c r="DI82" s="766">
        <v>15.24</v>
      </c>
      <c r="DJ82" s="766">
        <v>15.3</v>
      </c>
      <c r="DK82" s="766">
        <v>15.37</v>
      </c>
      <c r="DL82" s="766">
        <v>15.43</v>
      </c>
      <c r="DM82" s="766">
        <v>15.49</v>
      </c>
      <c r="DN82" s="766">
        <v>15.55</v>
      </c>
      <c r="DO82" s="766">
        <v>15.61</v>
      </c>
      <c r="DP82" s="766">
        <v>15.67</v>
      </c>
      <c r="DQ82" s="766">
        <v>15.73</v>
      </c>
      <c r="DR82" s="766">
        <v>15.79</v>
      </c>
    </row>
    <row r="83" spans="1:122">
      <c r="A83" s="950">
        <v>81</v>
      </c>
      <c r="B83" s="94"/>
      <c r="C83" s="94"/>
      <c r="D83" s="94"/>
      <c r="E83" s="94"/>
      <c r="F83" s="94"/>
      <c r="G83" s="94"/>
      <c r="H83" s="94"/>
      <c r="I83" s="94"/>
      <c r="J83" s="94"/>
      <c r="K83" s="94"/>
      <c r="L83" s="94"/>
      <c r="M83" s="94"/>
      <c r="N83" s="94"/>
      <c r="O83" s="94"/>
      <c r="P83" s="94"/>
      <c r="Q83" s="94"/>
      <c r="R83" s="94"/>
      <c r="S83" s="94"/>
      <c r="T83" s="94"/>
      <c r="U83" s="94"/>
      <c r="V83" s="766"/>
      <c r="W83" s="766">
        <v>8.2899999999999991</v>
      </c>
      <c r="X83" s="766">
        <v>8.34</v>
      </c>
      <c r="Y83" s="766">
        <v>8.41</v>
      </c>
      <c r="Z83" s="766">
        <v>8.48</v>
      </c>
      <c r="AA83" s="766">
        <v>8.52</v>
      </c>
      <c r="AB83" s="766">
        <v>8.59</v>
      </c>
      <c r="AC83" s="766">
        <v>8.67</v>
      </c>
      <c r="AD83" s="766">
        <v>8.7200000000000006</v>
      </c>
      <c r="AE83" s="766">
        <v>8.7799999999999994</v>
      </c>
      <c r="AF83" s="766">
        <v>8.8699999999999992</v>
      </c>
      <c r="AG83" s="766">
        <v>8.92</v>
      </c>
      <c r="AH83" s="766">
        <v>9</v>
      </c>
      <c r="AI83" s="766">
        <v>9.07</v>
      </c>
      <c r="AJ83" s="766">
        <v>9.16</v>
      </c>
      <c r="AK83" s="766">
        <v>9.25</v>
      </c>
      <c r="AL83" s="766">
        <v>9.34</v>
      </c>
      <c r="AM83" s="766">
        <v>9.43</v>
      </c>
      <c r="AN83" s="766">
        <v>9.5</v>
      </c>
      <c r="AO83" s="766">
        <v>9.58</v>
      </c>
      <c r="AP83" s="766">
        <v>9.65</v>
      </c>
      <c r="AQ83" s="766">
        <v>9.7200000000000006</v>
      </c>
      <c r="AR83" s="766">
        <v>9.8000000000000007</v>
      </c>
      <c r="AS83" s="766">
        <v>9.8699999999999992</v>
      </c>
      <c r="AT83" s="766">
        <v>9.94</v>
      </c>
      <c r="AU83" s="766">
        <v>10.01</v>
      </c>
      <c r="AV83" s="766">
        <v>10.08</v>
      </c>
      <c r="AW83" s="766">
        <v>10.15</v>
      </c>
      <c r="AX83" s="766">
        <v>10.220000000000001</v>
      </c>
      <c r="AY83" s="766">
        <v>10.29</v>
      </c>
      <c r="AZ83" s="766">
        <v>10.36</v>
      </c>
      <c r="BA83" s="766">
        <v>10.43</v>
      </c>
      <c r="BB83" s="766">
        <v>10.5</v>
      </c>
      <c r="BC83" s="766">
        <v>10.57</v>
      </c>
      <c r="BD83" s="766">
        <v>10.64</v>
      </c>
      <c r="BE83" s="766">
        <v>10.71</v>
      </c>
      <c r="BF83" s="766">
        <v>10.78</v>
      </c>
      <c r="BG83" s="766">
        <v>10.85</v>
      </c>
      <c r="BH83" s="766">
        <v>10.92</v>
      </c>
      <c r="BI83" s="766">
        <v>10.99</v>
      </c>
      <c r="BJ83" s="766">
        <v>11.06</v>
      </c>
      <c r="BK83" s="766">
        <v>11.13</v>
      </c>
      <c r="BL83" s="766">
        <v>11.2</v>
      </c>
      <c r="BM83" s="766">
        <v>11.27</v>
      </c>
      <c r="BN83" s="766">
        <v>11.34</v>
      </c>
      <c r="BO83" s="766">
        <v>11.41</v>
      </c>
      <c r="BP83" s="766">
        <v>11.48</v>
      </c>
      <c r="BQ83" s="766">
        <v>11.54</v>
      </c>
      <c r="BR83" s="766">
        <v>11.61</v>
      </c>
      <c r="BS83" s="766">
        <v>11.68</v>
      </c>
      <c r="BT83" s="766">
        <v>11.75</v>
      </c>
      <c r="BU83" s="766">
        <v>11.82</v>
      </c>
      <c r="BV83" s="766">
        <v>11.89</v>
      </c>
      <c r="BW83" s="766">
        <v>11.95</v>
      </c>
      <c r="BX83" s="766">
        <v>12.02</v>
      </c>
      <c r="BY83" s="766">
        <v>12.09</v>
      </c>
      <c r="BZ83" s="766">
        <v>12.16</v>
      </c>
      <c r="CA83" s="766">
        <v>12.22</v>
      </c>
      <c r="CB83" s="766">
        <v>12.29</v>
      </c>
      <c r="CC83" s="766">
        <v>12.36</v>
      </c>
      <c r="CD83" s="766">
        <v>12.43</v>
      </c>
      <c r="CE83" s="766">
        <v>12.49</v>
      </c>
      <c r="CF83" s="766">
        <v>12.56</v>
      </c>
      <c r="CG83" s="766">
        <v>12.63</v>
      </c>
      <c r="CH83" s="766">
        <v>12.69</v>
      </c>
      <c r="CI83" s="766">
        <v>12.76</v>
      </c>
      <c r="CJ83" s="766">
        <v>12.82</v>
      </c>
      <c r="CK83" s="766">
        <v>12.89</v>
      </c>
      <c r="CL83" s="766">
        <v>12.96</v>
      </c>
      <c r="CM83" s="766">
        <v>13.02</v>
      </c>
      <c r="CN83" s="766">
        <v>13.09</v>
      </c>
      <c r="CO83" s="766">
        <v>13.15</v>
      </c>
      <c r="CP83" s="766">
        <v>13.22</v>
      </c>
      <c r="CQ83" s="766">
        <v>13.28</v>
      </c>
      <c r="CR83" s="766">
        <v>13.34</v>
      </c>
      <c r="CS83" s="766">
        <v>13.41</v>
      </c>
      <c r="CT83" s="766">
        <v>13.47</v>
      </c>
      <c r="CU83" s="766">
        <v>13.54</v>
      </c>
      <c r="CV83" s="766">
        <v>13.6</v>
      </c>
      <c r="CW83" s="766">
        <v>13.66</v>
      </c>
      <c r="CX83" s="766">
        <v>13.72</v>
      </c>
      <c r="CY83" s="766">
        <v>13.79</v>
      </c>
      <c r="CZ83" s="766">
        <v>13.85</v>
      </c>
      <c r="DA83" s="766">
        <v>13.91</v>
      </c>
      <c r="DB83" s="766">
        <v>13.97</v>
      </c>
      <c r="DC83" s="766">
        <v>14.03</v>
      </c>
      <c r="DD83" s="766">
        <v>14.1</v>
      </c>
      <c r="DE83" s="766">
        <v>14.16</v>
      </c>
      <c r="DF83" s="766">
        <v>14.22</v>
      </c>
      <c r="DG83" s="766">
        <v>14.28</v>
      </c>
      <c r="DH83" s="766">
        <v>14.34</v>
      </c>
      <c r="DI83" s="766">
        <v>14.4</v>
      </c>
      <c r="DJ83" s="766">
        <v>14.46</v>
      </c>
      <c r="DK83" s="766">
        <v>14.52</v>
      </c>
      <c r="DL83" s="766">
        <v>14.58</v>
      </c>
      <c r="DM83" s="766">
        <v>14.64</v>
      </c>
      <c r="DN83" s="766">
        <v>14.69</v>
      </c>
      <c r="DO83" s="766">
        <v>14.75</v>
      </c>
      <c r="DP83" s="766">
        <v>14.81</v>
      </c>
      <c r="DQ83" s="766">
        <v>14.87</v>
      </c>
      <c r="DR83" s="766">
        <v>14.93</v>
      </c>
    </row>
    <row r="84" spans="1:122">
      <c r="A84" s="950">
        <v>82</v>
      </c>
      <c r="B84" s="94"/>
      <c r="C84" s="94"/>
      <c r="D84" s="94"/>
      <c r="E84" s="94"/>
      <c r="F84" s="94"/>
      <c r="G84" s="94"/>
      <c r="H84" s="94"/>
      <c r="I84" s="94"/>
      <c r="J84" s="94"/>
      <c r="K84" s="94"/>
      <c r="L84" s="94"/>
      <c r="M84" s="94"/>
      <c r="N84" s="94"/>
      <c r="O84" s="94"/>
      <c r="P84" s="94"/>
      <c r="Q84" s="94"/>
      <c r="R84" s="94"/>
      <c r="S84" s="94"/>
      <c r="T84" s="94"/>
      <c r="U84" s="94"/>
      <c r="V84" s="766"/>
      <c r="W84" s="766">
        <v>7.76</v>
      </c>
      <c r="X84" s="766">
        <v>7.79</v>
      </c>
      <c r="Y84" s="766">
        <v>7.85</v>
      </c>
      <c r="Z84" s="766">
        <v>7.91</v>
      </c>
      <c r="AA84" s="766">
        <v>7.95</v>
      </c>
      <c r="AB84" s="766">
        <v>8.02</v>
      </c>
      <c r="AC84" s="766">
        <v>8.09</v>
      </c>
      <c r="AD84" s="766">
        <v>8.1300000000000008</v>
      </c>
      <c r="AE84" s="766">
        <v>8.19</v>
      </c>
      <c r="AF84" s="766">
        <v>8.2799999999999994</v>
      </c>
      <c r="AG84" s="766">
        <v>8.34</v>
      </c>
      <c r="AH84" s="766">
        <v>8.39</v>
      </c>
      <c r="AI84" s="766">
        <v>8.48</v>
      </c>
      <c r="AJ84" s="766">
        <v>8.5500000000000007</v>
      </c>
      <c r="AK84" s="766">
        <v>8.65</v>
      </c>
      <c r="AL84" s="766">
        <v>8.73</v>
      </c>
      <c r="AM84" s="766">
        <v>8.8000000000000007</v>
      </c>
      <c r="AN84" s="766">
        <v>8.8800000000000008</v>
      </c>
      <c r="AO84" s="766">
        <v>8.9499999999999993</v>
      </c>
      <c r="AP84" s="766">
        <v>9.02</v>
      </c>
      <c r="AQ84" s="766">
        <v>9.09</v>
      </c>
      <c r="AR84" s="766">
        <v>9.16</v>
      </c>
      <c r="AS84" s="766">
        <v>9.2200000000000006</v>
      </c>
      <c r="AT84" s="766">
        <v>9.2899999999999991</v>
      </c>
      <c r="AU84" s="766">
        <v>9.36</v>
      </c>
      <c r="AV84" s="766">
        <v>9.43</v>
      </c>
      <c r="AW84" s="766">
        <v>9.5</v>
      </c>
      <c r="AX84" s="766">
        <v>9.56</v>
      </c>
      <c r="AY84" s="766">
        <v>9.6300000000000008</v>
      </c>
      <c r="AZ84" s="766">
        <v>9.6999999999999993</v>
      </c>
      <c r="BA84" s="766">
        <v>9.76</v>
      </c>
      <c r="BB84" s="766">
        <v>9.83</v>
      </c>
      <c r="BC84" s="766">
        <v>9.9</v>
      </c>
      <c r="BD84" s="766">
        <v>9.9600000000000009</v>
      </c>
      <c r="BE84" s="766">
        <v>10.029999999999999</v>
      </c>
      <c r="BF84" s="766">
        <v>10.1</v>
      </c>
      <c r="BG84" s="766">
        <v>10.16</v>
      </c>
      <c r="BH84" s="766">
        <v>10.23</v>
      </c>
      <c r="BI84" s="766">
        <v>10.29</v>
      </c>
      <c r="BJ84" s="766">
        <v>10.36</v>
      </c>
      <c r="BK84" s="766">
        <v>10.43</v>
      </c>
      <c r="BL84" s="766">
        <v>10.49</v>
      </c>
      <c r="BM84" s="766">
        <v>10.56</v>
      </c>
      <c r="BN84" s="766">
        <v>10.63</v>
      </c>
      <c r="BO84" s="766">
        <v>10.69</v>
      </c>
      <c r="BP84" s="766">
        <v>10.76</v>
      </c>
      <c r="BQ84" s="766">
        <v>10.82</v>
      </c>
      <c r="BR84" s="766">
        <v>10.89</v>
      </c>
      <c r="BS84" s="766">
        <v>10.96</v>
      </c>
      <c r="BT84" s="766">
        <v>11.02</v>
      </c>
      <c r="BU84" s="766">
        <v>11.09</v>
      </c>
      <c r="BV84" s="766">
        <v>11.15</v>
      </c>
      <c r="BW84" s="766">
        <v>11.22</v>
      </c>
      <c r="BX84" s="766">
        <v>11.28</v>
      </c>
      <c r="BY84" s="766">
        <v>11.35</v>
      </c>
      <c r="BZ84" s="766">
        <v>11.41</v>
      </c>
      <c r="CA84" s="766">
        <v>11.48</v>
      </c>
      <c r="CB84" s="766">
        <v>11.54</v>
      </c>
      <c r="CC84" s="766">
        <v>11.61</v>
      </c>
      <c r="CD84" s="766">
        <v>11.67</v>
      </c>
      <c r="CE84" s="766">
        <v>11.73</v>
      </c>
      <c r="CF84" s="766">
        <v>11.8</v>
      </c>
      <c r="CG84" s="766">
        <v>11.86</v>
      </c>
      <c r="CH84" s="766">
        <v>11.93</v>
      </c>
      <c r="CI84" s="766">
        <v>11.99</v>
      </c>
      <c r="CJ84" s="766">
        <v>12.05</v>
      </c>
      <c r="CK84" s="766">
        <v>12.12</v>
      </c>
      <c r="CL84" s="766">
        <v>12.18</v>
      </c>
      <c r="CM84" s="766">
        <v>12.24</v>
      </c>
      <c r="CN84" s="766">
        <v>12.3</v>
      </c>
      <c r="CO84" s="766">
        <v>12.37</v>
      </c>
      <c r="CP84" s="766">
        <v>12.43</v>
      </c>
      <c r="CQ84" s="766">
        <v>12.49</v>
      </c>
      <c r="CR84" s="766">
        <v>12.55</v>
      </c>
      <c r="CS84" s="766">
        <v>12.61</v>
      </c>
      <c r="CT84" s="766">
        <v>12.68</v>
      </c>
      <c r="CU84" s="766">
        <v>12.74</v>
      </c>
      <c r="CV84" s="766">
        <v>12.8</v>
      </c>
      <c r="CW84" s="766">
        <v>12.86</v>
      </c>
      <c r="CX84" s="766">
        <v>12.92</v>
      </c>
      <c r="CY84" s="766">
        <v>12.98</v>
      </c>
      <c r="CZ84" s="766">
        <v>13.04</v>
      </c>
      <c r="DA84" s="766">
        <v>13.1</v>
      </c>
      <c r="DB84" s="766">
        <v>13.16</v>
      </c>
      <c r="DC84" s="766">
        <v>13.22</v>
      </c>
      <c r="DD84" s="766">
        <v>13.28</v>
      </c>
      <c r="DE84" s="766">
        <v>13.34</v>
      </c>
      <c r="DF84" s="766">
        <v>13.4</v>
      </c>
      <c r="DG84" s="766">
        <v>13.45</v>
      </c>
      <c r="DH84" s="766">
        <v>13.51</v>
      </c>
      <c r="DI84" s="766">
        <v>13.57</v>
      </c>
      <c r="DJ84" s="766">
        <v>13.63</v>
      </c>
      <c r="DK84" s="766">
        <v>13.69</v>
      </c>
      <c r="DL84" s="766">
        <v>13.74</v>
      </c>
      <c r="DM84" s="766">
        <v>13.8</v>
      </c>
      <c r="DN84" s="766">
        <v>13.86</v>
      </c>
      <c r="DO84" s="766">
        <v>13.91</v>
      </c>
      <c r="DP84" s="766">
        <v>13.97</v>
      </c>
      <c r="DQ84" s="766">
        <v>14.02</v>
      </c>
      <c r="DR84" s="766">
        <v>14.08</v>
      </c>
    </row>
    <row r="85" spans="1:122">
      <c r="A85" s="950">
        <v>83</v>
      </c>
      <c r="B85" s="94"/>
      <c r="C85" s="94"/>
      <c r="D85" s="94"/>
      <c r="E85" s="94"/>
      <c r="F85" s="94"/>
      <c r="G85" s="94"/>
      <c r="H85" s="94"/>
      <c r="I85" s="94"/>
      <c r="J85" s="94"/>
      <c r="K85" s="94"/>
      <c r="L85" s="94"/>
      <c r="M85" s="94"/>
      <c r="N85" s="94"/>
      <c r="O85" s="94"/>
      <c r="P85" s="94"/>
      <c r="Q85" s="94"/>
      <c r="R85" s="94"/>
      <c r="S85" s="94"/>
      <c r="T85" s="94"/>
      <c r="U85" s="94"/>
      <c r="V85" s="766"/>
      <c r="W85" s="766">
        <v>7.24</v>
      </c>
      <c r="X85" s="766">
        <v>7.25</v>
      </c>
      <c r="Y85" s="766">
        <v>7.31</v>
      </c>
      <c r="Z85" s="766">
        <v>7.36</v>
      </c>
      <c r="AA85" s="766">
        <v>7.4</v>
      </c>
      <c r="AB85" s="766">
        <v>7.48</v>
      </c>
      <c r="AC85" s="766">
        <v>7.53</v>
      </c>
      <c r="AD85" s="766">
        <v>7.58</v>
      </c>
      <c r="AE85" s="766">
        <v>7.63</v>
      </c>
      <c r="AF85" s="766">
        <v>7.72</v>
      </c>
      <c r="AG85" s="766">
        <v>7.76</v>
      </c>
      <c r="AH85" s="766">
        <v>7.83</v>
      </c>
      <c r="AI85" s="766">
        <v>7.9</v>
      </c>
      <c r="AJ85" s="766">
        <v>7.99</v>
      </c>
      <c r="AK85" s="766">
        <v>8.07</v>
      </c>
      <c r="AL85" s="766">
        <v>8.14</v>
      </c>
      <c r="AM85" s="766">
        <v>8.2100000000000009</v>
      </c>
      <c r="AN85" s="766">
        <v>8.27</v>
      </c>
      <c r="AO85" s="766">
        <v>8.34</v>
      </c>
      <c r="AP85" s="766">
        <v>8.41</v>
      </c>
      <c r="AQ85" s="766">
        <v>8.4700000000000006</v>
      </c>
      <c r="AR85" s="766">
        <v>8.5399999999999991</v>
      </c>
      <c r="AS85" s="766">
        <v>8.6</v>
      </c>
      <c r="AT85" s="766">
        <v>8.67</v>
      </c>
      <c r="AU85" s="766">
        <v>8.73</v>
      </c>
      <c r="AV85" s="766">
        <v>8.8000000000000007</v>
      </c>
      <c r="AW85" s="766">
        <v>8.86</v>
      </c>
      <c r="AX85" s="766">
        <v>8.92</v>
      </c>
      <c r="AY85" s="766">
        <v>8.99</v>
      </c>
      <c r="AZ85" s="766">
        <v>9.0500000000000007</v>
      </c>
      <c r="BA85" s="766">
        <v>9.11</v>
      </c>
      <c r="BB85" s="766">
        <v>9.18</v>
      </c>
      <c r="BC85" s="766">
        <v>9.24</v>
      </c>
      <c r="BD85" s="766">
        <v>9.3000000000000007</v>
      </c>
      <c r="BE85" s="766">
        <v>9.3699999999999992</v>
      </c>
      <c r="BF85" s="766">
        <v>9.43</v>
      </c>
      <c r="BG85" s="766">
        <v>9.49</v>
      </c>
      <c r="BH85" s="766">
        <v>9.56</v>
      </c>
      <c r="BI85" s="766">
        <v>9.6199999999999992</v>
      </c>
      <c r="BJ85" s="766">
        <v>9.68</v>
      </c>
      <c r="BK85" s="766">
        <v>9.75</v>
      </c>
      <c r="BL85" s="766">
        <v>9.81</v>
      </c>
      <c r="BM85" s="766">
        <v>9.8699999999999992</v>
      </c>
      <c r="BN85" s="766">
        <v>9.94</v>
      </c>
      <c r="BO85" s="766">
        <v>10</v>
      </c>
      <c r="BP85" s="766">
        <v>10.06</v>
      </c>
      <c r="BQ85" s="766">
        <v>10.130000000000001</v>
      </c>
      <c r="BR85" s="766">
        <v>10.19</v>
      </c>
      <c r="BS85" s="766">
        <v>10.25</v>
      </c>
      <c r="BT85" s="766">
        <v>10.31</v>
      </c>
      <c r="BU85" s="766">
        <v>10.38</v>
      </c>
      <c r="BV85" s="766">
        <v>10.44</v>
      </c>
      <c r="BW85" s="766">
        <v>10.5</v>
      </c>
      <c r="BX85" s="766">
        <v>10.56</v>
      </c>
      <c r="BY85" s="766">
        <v>10.63</v>
      </c>
      <c r="BZ85" s="766">
        <v>10.69</v>
      </c>
      <c r="CA85" s="766">
        <v>10.75</v>
      </c>
      <c r="CB85" s="766">
        <v>10.81</v>
      </c>
      <c r="CC85" s="766">
        <v>10.87</v>
      </c>
      <c r="CD85" s="766">
        <v>10.94</v>
      </c>
      <c r="CE85" s="766">
        <v>11</v>
      </c>
      <c r="CF85" s="766">
        <v>11.06</v>
      </c>
      <c r="CG85" s="766">
        <v>11.12</v>
      </c>
      <c r="CH85" s="766">
        <v>11.18</v>
      </c>
      <c r="CI85" s="766">
        <v>11.24</v>
      </c>
      <c r="CJ85" s="766">
        <v>11.3</v>
      </c>
      <c r="CK85" s="766">
        <v>11.36</v>
      </c>
      <c r="CL85" s="766">
        <v>11.42</v>
      </c>
      <c r="CM85" s="766">
        <v>11.48</v>
      </c>
      <c r="CN85" s="766">
        <v>11.54</v>
      </c>
      <c r="CO85" s="766">
        <v>11.6</v>
      </c>
      <c r="CP85" s="766">
        <v>11.66</v>
      </c>
      <c r="CQ85" s="766">
        <v>11.72</v>
      </c>
      <c r="CR85" s="766">
        <v>11.78</v>
      </c>
      <c r="CS85" s="766">
        <v>11.84</v>
      </c>
      <c r="CT85" s="766">
        <v>11.9</v>
      </c>
      <c r="CU85" s="766">
        <v>11.96</v>
      </c>
      <c r="CV85" s="766">
        <v>12.02</v>
      </c>
      <c r="CW85" s="766">
        <v>12.08</v>
      </c>
      <c r="CX85" s="766">
        <v>12.13</v>
      </c>
      <c r="CY85" s="766">
        <v>12.19</v>
      </c>
      <c r="CZ85" s="766">
        <v>12.25</v>
      </c>
      <c r="DA85" s="766">
        <v>12.31</v>
      </c>
      <c r="DB85" s="766">
        <v>12.36</v>
      </c>
      <c r="DC85" s="766">
        <v>12.42</v>
      </c>
      <c r="DD85" s="766">
        <v>12.48</v>
      </c>
      <c r="DE85" s="766">
        <v>12.54</v>
      </c>
      <c r="DF85" s="766">
        <v>12.59</v>
      </c>
      <c r="DG85" s="766">
        <v>12.65</v>
      </c>
      <c r="DH85" s="766">
        <v>12.7</v>
      </c>
      <c r="DI85" s="766">
        <v>12.76</v>
      </c>
      <c r="DJ85" s="766">
        <v>12.81</v>
      </c>
      <c r="DK85" s="766">
        <v>12.87</v>
      </c>
      <c r="DL85" s="766">
        <v>12.93</v>
      </c>
      <c r="DM85" s="766">
        <v>12.98</v>
      </c>
      <c r="DN85" s="766">
        <v>13.03</v>
      </c>
      <c r="DO85" s="766">
        <v>13.09</v>
      </c>
      <c r="DP85" s="766">
        <v>13.14</v>
      </c>
      <c r="DQ85" s="766">
        <v>13.2</v>
      </c>
      <c r="DR85" s="766">
        <v>13.25</v>
      </c>
    </row>
    <row r="86" spans="1:122">
      <c r="A86" s="950">
        <v>84</v>
      </c>
      <c r="B86" s="94"/>
      <c r="C86" s="94"/>
      <c r="D86" s="94"/>
      <c r="E86" s="94"/>
      <c r="F86" s="94"/>
      <c r="G86" s="94"/>
      <c r="H86" s="94"/>
      <c r="I86" s="94"/>
      <c r="J86" s="94"/>
      <c r="K86" s="94"/>
      <c r="L86" s="94"/>
      <c r="M86" s="94"/>
      <c r="N86" s="94"/>
      <c r="O86" s="94"/>
      <c r="P86" s="94"/>
      <c r="Q86" s="94"/>
      <c r="R86" s="94"/>
      <c r="S86" s="94"/>
      <c r="T86" s="94"/>
      <c r="U86" s="94"/>
      <c r="V86" s="766"/>
      <c r="W86" s="766">
        <v>6.74</v>
      </c>
      <c r="X86" s="766">
        <v>6.74</v>
      </c>
      <c r="Y86" s="766">
        <v>6.79</v>
      </c>
      <c r="Z86" s="766">
        <v>6.84</v>
      </c>
      <c r="AA86" s="766">
        <v>6.89</v>
      </c>
      <c r="AB86" s="766">
        <v>6.95</v>
      </c>
      <c r="AC86" s="766">
        <v>7</v>
      </c>
      <c r="AD86" s="766">
        <v>7.04</v>
      </c>
      <c r="AE86" s="766">
        <v>7.11</v>
      </c>
      <c r="AF86" s="766">
        <v>7.17</v>
      </c>
      <c r="AG86" s="766">
        <v>7.22</v>
      </c>
      <c r="AH86" s="766">
        <v>7.28</v>
      </c>
      <c r="AI86" s="766">
        <v>7.36</v>
      </c>
      <c r="AJ86" s="766">
        <v>7.44</v>
      </c>
      <c r="AK86" s="766">
        <v>7.5</v>
      </c>
      <c r="AL86" s="766">
        <v>7.57</v>
      </c>
      <c r="AM86" s="766">
        <v>7.63</v>
      </c>
      <c r="AN86" s="766">
        <v>7.7</v>
      </c>
      <c r="AO86" s="766">
        <v>7.76</v>
      </c>
      <c r="AP86" s="766">
        <v>7.82</v>
      </c>
      <c r="AQ86" s="766">
        <v>7.88</v>
      </c>
      <c r="AR86" s="766">
        <v>7.95</v>
      </c>
      <c r="AS86" s="766">
        <v>8.01</v>
      </c>
      <c r="AT86" s="766">
        <v>8.07</v>
      </c>
      <c r="AU86" s="766">
        <v>8.1300000000000008</v>
      </c>
      <c r="AV86" s="766">
        <v>8.19</v>
      </c>
      <c r="AW86" s="766">
        <v>8.25</v>
      </c>
      <c r="AX86" s="766">
        <v>8.31</v>
      </c>
      <c r="AY86" s="766">
        <v>8.3699999999999992</v>
      </c>
      <c r="AZ86" s="766">
        <v>8.43</v>
      </c>
      <c r="BA86" s="766">
        <v>8.49</v>
      </c>
      <c r="BB86" s="766">
        <v>8.5500000000000007</v>
      </c>
      <c r="BC86" s="766">
        <v>8.61</v>
      </c>
      <c r="BD86" s="766">
        <v>8.67</v>
      </c>
      <c r="BE86" s="766">
        <v>8.73</v>
      </c>
      <c r="BF86" s="766">
        <v>8.7899999999999991</v>
      </c>
      <c r="BG86" s="766">
        <v>8.85</v>
      </c>
      <c r="BH86" s="766">
        <v>8.91</v>
      </c>
      <c r="BI86" s="766">
        <v>8.9700000000000006</v>
      </c>
      <c r="BJ86" s="766">
        <v>9.0299999999999994</v>
      </c>
      <c r="BK86" s="766">
        <v>9.09</v>
      </c>
      <c r="BL86" s="766">
        <v>9.15</v>
      </c>
      <c r="BM86" s="766">
        <v>9.2100000000000009</v>
      </c>
      <c r="BN86" s="766">
        <v>9.27</v>
      </c>
      <c r="BO86" s="766">
        <v>9.33</v>
      </c>
      <c r="BP86" s="766">
        <v>9.39</v>
      </c>
      <c r="BQ86" s="766">
        <v>9.4499999999999993</v>
      </c>
      <c r="BR86" s="766">
        <v>9.51</v>
      </c>
      <c r="BS86" s="766">
        <v>9.57</v>
      </c>
      <c r="BT86" s="766">
        <v>9.6300000000000008</v>
      </c>
      <c r="BU86" s="766">
        <v>9.69</v>
      </c>
      <c r="BV86" s="766">
        <v>9.75</v>
      </c>
      <c r="BW86" s="766">
        <v>9.81</v>
      </c>
      <c r="BX86" s="766">
        <v>9.8699999999999992</v>
      </c>
      <c r="BY86" s="766">
        <v>9.93</v>
      </c>
      <c r="BZ86" s="766">
        <v>9.99</v>
      </c>
      <c r="CA86" s="766">
        <v>10.050000000000001</v>
      </c>
      <c r="CB86" s="766">
        <v>10.11</v>
      </c>
      <c r="CC86" s="766">
        <v>10.17</v>
      </c>
      <c r="CD86" s="766">
        <v>10.220000000000001</v>
      </c>
      <c r="CE86" s="766">
        <v>10.28</v>
      </c>
      <c r="CF86" s="766">
        <v>10.34</v>
      </c>
      <c r="CG86" s="766">
        <v>10.4</v>
      </c>
      <c r="CH86" s="766">
        <v>10.46</v>
      </c>
      <c r="CI86" s="766">
        <v>10.52</v>
      </c>
      <c r="CJ86" s="766">
        <v>10.57</v>
      </c>
      <c r="CK86" s="766">
        <v>10.63</v>
      </c>
      <c r="CL86" s="766">
        <v>10.69</v>
      </c>
      <c r="CM86" s="766">
        <v>10.75</v>
      </c>
      <c r="CN86" s="766">
        <v>10.8</v>
      </c>
      <c r="CO86" s="766">
        <v>10.86</v>
      </c>
      <c r="CP86" s="766">
        <v>10.92</v>
      </c>
      <c r="CQ86" s="766">
        <v>10.98</v>
      </c>
      <c r="CR86" s="766">
        <v>11.03</v>
      </c>
      <c r="CS86" s="766">
        <v>11.09</v>
      </c>
      <c r="CT86" s="766">
        <v>11.15</v>
      </c>
      <c r="CU86" s="766">
        <v>11.2</v>
      </c>
      <c r="CV86" s="766">
        <v>11.26</v>
      </c>
      <c r="CW86" s="766">
        <v>11.31</v>
      </c>
      <c r="CX86" s="766">
        <v>11.37</v>
      </c>
      <c r="CY86" s="766">
        <v>11.42</v>
      </c>
      <c r="CZ86" s="766">
        <v>11.48</v>
      </c>
      <c r="DA86" s="766">
        <v>11.54</v>
      </c>
      <c r="DB86" s="766">
        <v>11.59</v>
      </c>
      <c r="DC86" s="766">
        <v>11.64</v>
      </c>
      <c r="DD86" s="766">
        <v>11.7</v>
      </c>
      <c r="DE86" s="766">
        <v>11.75</v>
      </c>
      <c r="DF86" s="766">
        <v>11.81</v>
      </c>
      <c r="DG86" s="766">
        <v>11.86</v>
      </c>
      <c r="DH86" s="766">
        <v>11.92</v>
      </c>
      <c r="DI86" s="766">
        <v>11.97</v>
      </c>
      <c r="DJ86" s="766">
        <v>12.02</v>
      </c>
      <c r="DK86" s="766">
        <v>12.07</v>
      </c>
      <c r="DL86" s="766">
        <v>12.13</v>
      </c>
      <c r="DM86" s="766">
        <v>12.18</v>
      </c>
      <c r="DN86" s="766">
        <v>12.23</v>
      </c>
      <c r="DO86" s="766">
        <v>12.28</v>
      </c>
      <c r="DP86" s="766">
        <v>12.34</v>
      </c>
      <c r="DQ86" s="766">
        <v>12.39</v>
      </c>
      <c r="DR86" s="766">
        <v>12.44</v>
      </c>
    </row>
    <row r="87" spans="1:122">
      <c r="A87" s="950">
        <v>85</v>
      </c>
      <c r="B87" s="94"/>
      <c r="C87" s="94"/>
      <c r="D87" s="94"/>
      <c r="E87" s="94"/>
      <c r="F87" s="94"/>
      <c r="G87" s="94"/>
      <c r="H87" s="94"/>
      <c r="I87" s="94"/>
      <c r="J87" s="94"/>
      <c r="K87" s="94"/>
      <c r="L87" s="94"/>
      <c r="M87" s="94"/>
      <c r="N87" s="94"/>
      <c r="O87" s="94"/>
      <c r="P87" s="94"/>
      <c r="Q87" s="94"/>
      <c r="R87" s="94"/>
      <c r="S87" s="94"/>
      <c r="T87" s="94"/>
      <c r="U87" s="94"/>
      <c r="V87" s="766"/>
      <c r="W87" s="766">
        <v>6.25</v>
      </c>
      <c r="X87" s="766">
        <v>6.24</v>
      </c>
      <c r="Y87" s="766">
        <v>6.29</v>
      </c>
      <c r="Z87" s="766">
        <v>6.35</v>
      </c>
      <c r="AA87" s="766">
        <v>6.39</v>
      </c>
      <c r="AB87" s="766">
        <v>6.44</v>
      </c>
      <c r="AC87" s="766">
        <v>6.5</v>
      </c>
      <c r="AD87" s="766">
        <v>6.55</v>
      </c>
      <c r="AE87" s="766">
        <v>6.59</v>
      </c>
      <c r="AF87" s="766">
        <v>6.67</v>
      </c>
      <c r="AG87" s="766">
        <v>6.7</v>
      </c>
      <c r="AH87" s="766">
        <v>6.76</v>
      </c>
      <c r="AI87" s="766">
        <v>6.85</v>
      </c>
      <c r="AJ87" s="766">
        <v>6.9</v>
      </c>
      <c r="AK87" s="766">
        <v>6.97</v>
      </c>
      <c r="AL87" s="766">
        <v>7.03</v>
      </c>
      <c r="AM87" s="766">
        <v>7.09</v>
      </c>
      <c r="AN87" s="766">
        <v>7.15</v>
      </c>
      <c r="AO87" s="766">
        <v>7.21</v>
      </c>
      <c r="AP87" s="766">
        <v>7.27</v>
      </c>
      <c r="AQ87" s="766">
        <v>7.33</v>
      </c>
      <c r="AR87" s="766">
        <v>7.38</v>
      </c>
      <c r="AS87" s="766">
        <v>7.44</v>
      </c>
      <c r="AT87" s="766">
        <v>7.5</v>
      </c>
      <c r="AU87" s="766">
        <v>7.56</v>
      </c>
      <c r="AV87" s="766">
        <v>7.61</v>
      </c>
      <c r="AW87" s="766">
        <v>7.67</v>
      </c>
      <c r="AX87" s="766">
        <v>7.73</v>
      </c>
      <c r="AY87" s="766">
        <v>7.78</v>
      </c>
      <c r="AZ87" s="766">
        <v>7.84</v>
      </c>
      <c r="BA87" s="766">
        <v>7.9</v>
      </c>
      <c r="BB87" s="766">
        <v>7.95</v>
      </c>
      <c r="BC87" s="766">
        <v>8.01</v>
      </c>
      <c r="BD87" s="766">
        <v>8.07</v>
      </c>
      <c r="BE87" s="766">
        <v>8.1300000000000008</v>
      </c>
      <c r="BF87" s="766">
        <v>8.18</v>
      </c>
      <c r="BG87" s="766">
        <v>8.24</v>
      </c>
      <c r="BH87" s="766">
        <v>8.3000000000000007</v>
      </c>
      <c r="BI87" s="766">
        <v>8.35</v>
      </c>
      <c r="BJ87" s="766">
        <v>8.41</v>
      </c>
      <c r="BK87" s="766">
        <v>8.4700000000000006</v>
      </c>
      <c r="BL87" s="766">
        <v>8.52</v>
      </c>
      <c r="BM87" s="766">
        <v>8.58</v>
      </c>
      <c r="BN87" s="766">
        <v>8.64</v>
      </c>
      <c r="BO87" s="766">
        <v>8.69</v>
      </c>
      <c r="BP87" s="766">
        <v>8.75</v>
      </c>
      <c r="BQ87" s="766">
        <v>8.81</v>
      </c>
      <c r="BR87" s="766">
        <v>8.86</v>
      </c>
      <c r="BS87" s="766">
        <v>8.92</v>
      </c>
      <c r="BT87" s="766">
        <v>8.98</v>
      </c>
      <c r="BU87" s="766">
        <v>9.0299999999999994</v>
      </c>
      <c r="BV87" s="766">
        <v>9.09</v>
      </c>
      <c r="BW87" s="766">
        <v>9.15</v>
      </c>
      <c r="BX87" s="766">
        <v>9.1999999999999993</v>
      </c>
      <c r="BY87" s="766">
        <v>9.26</v>
      </c>
      <c r="BZ87" s="766">
        <v>9.32</v>
      </c>
      <c r="CA87" s="766">
        <v>9.3699999999999992</v>
      </c>
      <c r="CB87" s="766">
        <v>9.43</v>
      </c>
      <c r="CC87" s="766">
        <v>9.48</v>
      </c>
      <c r="CD87" s="766">
        <v>9.5399999999999991</v>
      </c>
      <c r="CE87" s="766">
        <v>9.6</v>
      </c>
      <c r="CF87" s="766">
        <v>9.65</v>
      </c>
      <c r="CG87" s="766">
        <v>9.7100000000000009</v>
      </c>
      <c r="CH87" s="766">
        <v>9.76</v>
      </c>
      <c r="CI87" s="766">
        <v>9.82</v>
      </c>
      <c r="CJ87" s="766">
        <v>9.8699999999999992</v>
      </c>
      <c r="CK87" s="766">
        <v>9.93</v>
      </c>
      <c r="CL87" s="766">
        <v>9.98</v>
      </c>
      <c r="CM87" s="766">
        <v>10.039999999999999</v>
      </c>
      <c r="CN87" s="766">
        <v>10.09</v>
      </c>
      <c r="CO87" s="766">
        <v>10.15</v>
      </c>
      <c r="CP87" s="766">
        <v>10.199999999999999</v>
      </c>
      <c r="CQ87" s="766">
        <v>10.25</v>
      </c>
      <c r="CR87" s="766">
        <v>10.31</v>
      </c>
      <c r="CS87" s="766">
        <v>10.36</v>
      </c>
      <c r="CT87" s="766">
        <v>10.42</v>
      </c>
      <c r="CU87" s="766">
        <v>10.47</v>
      </c>
      <c r="CV87" s="766">
        <v>10.52</v>
      </c>
      <c r="CW87" s="766">
        <v>10.58</v>
      </c>
      <c r="CX87" s="766">
        <v>10.63</v>
      </c>
      <c r="CY87" s="766">
        <v>10.68</v>
      </c>
      <c r="CZ87" s="766">
        <v>10.73</v>
      </c>
      <c r="DA87" s="766">
        <v>10.79</v>
      </c>
      <c r="DB87" s="766">
        <v>10.84</v>
      </c>
      <c r="DC87" s="766">
        <v>10.89</v>
      </c>
      <c r="DD87" s="766">
        <v>10.94</v>
      </c>
      <c r="DE87" s="766">
        <v>10.99</v>
      </c>
      <c r="DF87" s="766">
        <v>11.05</v>
      </c>
      <c r="DG87" s="766">
        <v>11.1</v>
      </c>
      <c r="DH87" s="766">
        <v>11.15</v>
      </c>
      <c r="DI87" s="766">
        <v>11.2</v>
      </c>
      <c r="DJ87" s="766">
        <v>11.25</v>
      </c>
      <c r="DK87" s="766">
        <v>11.3</v>
      </c>
      <c r="DL87" s="766">
        <v>11.35</v>
      </c>
      <c r="DM87" s="766">
        <v>11.4</v>
      </c>
      <c r="DN87" s="766">
        <v>11.45</v>
      </c>
      <c r="DO87" s="766">
        <v>11.5</v>
      </c>
      <c r="DP87" s="766">
        <v>11.55</v>
      </c>
      <c r="DQ87" s="766">
        <v>11.6</v>
      </c>
      <c r="DR87" s="766">
        <v>11.65</v>
      </c>
    </row>
    <row r="88" spans="1:122">
      <c r="A88" s="950">
        <v>86</v>
      </c>
      <c r="B88" s="94"/>
      <c r="C88" s="94"/>
      <c r="D88" s="94"/>
      <c r="E88" s="94"/>
      <c r="F88" s="94"/>
      <c r="G88" s="94"/>
      <c r="H88" s="94"/>
      <c r="I88" s="94"/>
      <c r="J88" s="94"/>
      <c r="K88" s="94"/>
      <c r="L88" s="94"/>
      <c r="M88" s="94"/>
      <c r="N88" s="94"/>
      <c r="O88" s="94"/>
      <c r="P88" s="94"/>
      <c r="Q88" s="94"/>
      <c r="R88" s="94"/>
      <c r="S88" s="94"/>
      <c r="T88" s="94"/>
      <c r="U88" s="94"/>
      <c r="V88" s="766"/>
      <c r="W88" s="766">
        <v>5.78</v>
      </c>
      <c r="X88" s="766">
        <v>5.78</v>
      </c>
      <c r="Y88" s="766">
        <v>5.84</v>
      </c>
      <c r="Z88" s="766">
        <v>5.88</v>
      </c>
      <c r="AA88" s="766">
        <v>5.91</v>
      </c>
      <c r="AB88" s="766">
        <v>5.97</v>
      </c>
      <c r="AC88" s="766">
        <v>6.03</v>
      </c>
      <c r="AD88" s="766">
        <v>6.06</v>
      </c>
      <c r="AE88" s="766">
        <v>6.11</v>
      </c>
      <c r="AF88" s="766">
        <v>6.17</v>
      </c>
      <c r="AG88" s="766">
        <v>6.22</v>
      </c>
      <c r="AH88" s="766">
        <v>6.28</v>
      </c>
      <c r="AI88" s="766">
        <v>6.34</v>
      </c>
      <c r="AJ88" s="766">
        <v>6.4</v>
      </c>
      <c r="AK88" s="766">
        <v>6.46</v>
      </c>
      <c r="AL88" s="766">
        <v>6.52</v>
      </c>
      <c r="AM88" s="766">
        <v>6.57</v>
      </c>
      <c r="AN88" s="766">
        <v>6.63</v>
      </c>
      <c r="AO88" s="766">
        <v>6.69</v>
      </c>
      <c r="AP88" s="766">
        <v>6.74</v>
      </c>
      <c r="AQ88" s="766">
        <v>6.8</v>
      </c>
      <c r="AR88" s="766">
        <v>6.85</v>
      </c>
      <c r="AS88" s="766">
        <v>6.91</v>
      </c>
      <c r="AT88" s="766">
        <v>6.96</v>
      </c>
      <c r="AU88" s="766">
        <v>7.01</v>
      </c>
      <c r="AV88" s="766">
        <v>7.07</v>
      </c>
      <c r="AW88" s="766">
        <v>7.12</v>
      </c>
      <c r="AX88" s="766">
        <v>7.17</v>
      </c>
      <c r="AY88" s="766">
        <v>7.23</v>
      </c>
      <c r="AZ88" s="766">
        <v>7.28</v>
      </c>
      <c r="BA88" s="766">
        <v>7.33</v>
      </c>
      <c r="BB88" s="766">
        <v>7.39</v>
      </c>
      <c r="BC88" s="766">
        <v>7.44</v>
      </c>
      <c r="BD88" s="766">
        <v>7.49</v>
      </c>
      <c r="BE88" s="766">
        <v>7.55</v>
      </c>
      <c r="BF88" s="766">
        <v>7.6</v>
      </c>
      <c r="BG88" s="766">
        <v>7.66</v>
      </c>
      <c r="BH88" s="766">
        <v>7.71</v>
      </c>
      <c r="BI88" s="766">
        <v>7.76</v>
      </c>
      <c r="BJ88" s="766">
        <v>7.82</v>
      </c>
      <c r="BK88" s="766">
        <v>7.87</v>
      </c>
      <c r="BL88" s="766">
        <v>7.92</v>
      </c>
      <c r="BM88" s="766">
        <v>7.98</v>
      </c>
      <c r="BN88" s="766">
        <v>8.0299999999999994</v>
      </c>
      <c r="BO88" s="766">
        <v>8.08</v>
      </c>
      <c r="BP88" s="766">
        <v>8.14</v>
      </c>
      <c r="BQ88" s="766">
        <v>8.19</v>
      </c>
      <c r="BR88" s="766">
        <v>8.25</v>
      </c>
      <c r="BS88" s="766">
        <v>8.3000000000000007</v>
      </c>
      <c r="BT88" s="766">
        <v>8.35</v>
      </c>
      <c r="BU88" s="766">
        <v>8.41</v>
      </c>
      <c r="BV88" s="766">
        <v>8.4600000000000009</v>
      </c>
      <c r="BW88" s="766">
        <v>8.51</v>
      </c>
      <c r="BX88" s="766">
        <v>8.57</v>
      </c>
      <c r="BY88" s="766">
        <v>8.6199999999999992</v>
      </c>
      <c r="BZ88" s="766">
        <v>8.67</v>
      </c>
      <c r="CA88" s="766">
        <v>8.7200000000000006</v>
      </c>
      <c r="CB88" s="766">
        <v>8.7799999999999994</v>
      </c>
      <c r="CC88" s="766">
        <v>8.83</v>
      </c>
      <c r="CD88" s="766">
        <v>8.8800000000000008</v>
      </c>
      <c r="CE88" s="766">
        <v>8.94</v>
      </c>
      <c r="CF88" s="766">
        <v>8.99</v>
      </c>
      <c r="CG88" s="766">
        <v>9.0399999999999991</v>
      </c>
      <c r="CH88" s="766">
        <v>9.09</v>
      </c>
      <c r="CI88" s="766">
        <v>9.14</v>
      </c>
      <c r="CJ88" s="766">
        <v>9.1999999999999993</v>
      </c>
      <c r="CK88" s="766">
        <v>9.25</v>
      </c>
      <c r="CL88" s="766">
        <v>9.3000000000000007</v>
      </c>
      <c r="CM88" s="766">
        <v>9.35</v>
      </c>
      <c r="CN88" s="766">
        <v>9.4</v>
      </c>
      <c r="CO88" s="766">
        <v>9.4600000000000009</v>
      </c>
      <c r="CP88" s="766">
        <v>9.51</v>
      </c>
      <c r="CQ88" s="766">
        <v>9.56</v>
      </c>
      <c r="CR88" s="766">
        <v>9.61</v>
      </c>
      <c r="CS88" s="766">
        <v>9.66</v>
      </c>
      <c r="CT88" s="766">
        <v>9.7100000000000009</v>
      </c>
      <c r="CU88" s="766">
        <v>9.76</v>
      </c>
      <c r="CV88" s="766">
        <v>9.81</v>
      </c>
      <c r="CW88" s="766">
        <v>9.86</v>
      </c>
      <c r="CX88" s="766">
        <v>9.91</v>
      </c>
      <c r="CY88" s="766">
        <v>9.9600000000000009</v>
      </c>
      <c r="CZ88" s="766">
        <v>10.01</v>
      </c>
      <c r="DA88" s="766">
        <v>10.06</v>
      </c>
      <c r="DB88" s="766">
        <v>10.11</v>
      </c>
      <c r="DC88" s="766">
        <v>10.16</v>
      </c>
      <c r="DD88" s="766">
        <v>10.210000000000001</v>
      </c>
      <c r="DE88" s="766">
        <v>10.26</v>
      </c>
      <c r="DF88" s="766">
        <v>10.31</v>
      </c>
      <c r="DG88" s="766">
        <v>10.36</v>
      </c>
      <c r="DH88" s="766">
        <v>10.41</v>
      </c>
      <c r="DI88" s="766">
        <v>10.46</v>
      </c>
      <c r="DJ88" s="766">
        <v>10.5</v>
      </c>
      <c r="DK88" s="766">
        <v>10.55</v>
      </c>
      <c r="DL88" s="766">
        <v>10.6</v>
      </c>
      <c r="DM88" s="766">
        <v>10.65</v>
      </c>
      <c r="DN88" s="766">
        <v>10.69</v>
      </c>
      <c r="DO88" s="766">
        <v>10.74</v>
      </c>
      <c r="DP88" s="766">
        <v>10.79</v>
      </c>
      <c r="DQ88" s="766">
        <v>10.84</v>
      </c>
      <c r="DR88" s="766">
        <v>10.88</v>
      </c>
    </row>
    <row r="89" spans="1:122">
      <c r="A89" s="950">
        <v>87</v>
      </c>
      <c r="B89" s="94"/>
      <c r="C89" s="94"/>
      <c r="D89" s="94"/>
      <c r="E89" s="94"/>
      <c r="F89" s="94"/>
      <c r="G89" s="94"/>
      <c r="H89" s="94"/>
      <c r="I89" s="94"/>
      <c r="J89" s="94"/>
      <c r="K89" s="94"/>
      <c r="L89" s="94"/>
      <c r="M89" s="94"/>
      <c r="N89" s="94"/>
      <c r="O89" s="94"/>
      <c r="P89" s="94"/>
      <c r="Q89" s="94"/>
      <c r="R89" s="94"/>
      <c r="S89" s="94"/>
      <c r="T89" s="94"/>
      <c r="U89" s="94"/>
      <c r="V89" s="766"/>
      <c r="W89" s="766">
        <v>5.35</v>
      </c>
      <c r="X89" s="766">
        <v>5.36</v>
      </c>
      <c r="Y89" s="766">
        <v>5.4</v>
      </c>
      <c r="Z89" s="766">
        <v>5.43</v>
      </c>
      <c r="AA89" s="766">
        <v>5.47</v>
      </c>
      <c r="AB89" s="766">
        <v>5.54</v>
      </c>
      <c r="AC89" s="766">
        <v>5.57</v>
      </c>
      <c r="AD89" s="766">
        <v>5.62</v>
      </c>
      <c r="AE89" s="766">
        <v>5.65</v>
      </c>
      <c r="AF89" s="766">
        <v>5.72</v>
      </c>
      <c r="AG89" s="766">
        <v>5.77</v>
      </c>
      <c r="AH89" s="766">
        <v>5.82</v>
      </c>
      <c r="AI89" s="766">
        <v>5.88</v>
      </c>
      <c r="AJ89" s="766">
        <v>5.93</v>
      </c>
      <c r="AK89" s="766">
        <v>5.98</v>
      </c>
      <c r="AL89" s="766">
        <v>6.04</v>
      </c>
      <c r="AM89" s="766">
        <v>6.09</v>
      </c>
      <c r="AN89" s="766">
        <v>6.14</v>
      </c>
      <c r="AO89" s="766">
        <v>6.2</v>
      </c>
      <c r="AP89" s="766">
        <v>6.25</v>
      </c>
      <c r="AQ89" s="766">
        <v>6.3</v>
      </c>
      <c r="AR89" s="766">
        <v>6.35</v>
      </c>
      <c r="AS89" s="766">
        <v>6.4</v>
      </c>
      <c r="AT89" s="766">
        <v>6.45</v>
      </c>
      <c r="AU89" s="766">
        <v>6.5</v>
      </c>
      <c r="AV89" s="766">
        <v>6.55</v>
      </c>
      <c r="AW89" s="766">
        <v>6.6</v>
      </c>
      <c r="AX89" s="766">
        <v>6.65</v>
      </c>
      <c r="AY89" s="766">
        <v>6.7</v>
      </c>
      <c r="AZ89" s="766">
        <v>6.75</v>
      </c>
      <c r="BA89" s="766">
        <v>6.8</v>
      </c>
      <c r="BB89" s="766">
        <v>6.85</v>
      </c>
      <c r="BC89" s="766">
        <v>6.9</v>
      </c>
      <c r="BD89" s="766">
        <v>6.95</v>
      </c>
      <c r="BE89" s="766">
        <v>7</v>
      </c>
      <c r="BF89" s="766">
        <v>7.05</v>
      </c>
      <c r="BG89" s="766">
        <v>7.1</v>
      </c>
      <c r="BH89" s="766">
        <v>7.15</v>
      </c>
      <c r="BI89" s="766">
        <v>7.2</v>
      </c>
      <c r="BJ89" s="766">
        <v>7.25</v>
      </c>
      <c r="BK89" s="766">
        <v>7.3</v>
      </c>
      <c r="BL89" s="766">
        <v>7.35</v>
      </c>
      <c r="BM89" s="766">
        <v>7.4</v>
      </c>
      <c r="BN89" s="766">
        <v>7.46</v>
      </c>
      <c r="BO89" s="766">
        <v>7.51</v>
      </c>
      <c r="BP89" s="766">
        <v>7.56</v>
      </c>
      <c r="BQ89" s="766">
        <v>7.61</v>
      </c>
      <c r="BR89" s="766">
        <v>7.66</v>
      </c>
      <c r="BS89" s="766">
        <v>7.71</v>
      </c>
      <c r="BT89" s="766">
        <v>7.76</v>
      </c>
      <c r="BU89" s="766">
        <v>7.81</v>
      </c>
      <c r="BV89" s="766">
        <v>7.86</v>
      </c>
      <c r="BW89" s="766">
        <v>7.91</v>
      </c>
      <c r="BX89" s="766">
        <v>7.96</v>
      </c>
      <c r="BY89" s="766">
        <v>8.01</v>
      </c>
      <c r="BZ89" s="766">
        <v>8.06</v>
      </c>
      <c r="CA89" s="766">
        <v>8.11</v>
      </c>
      <c r="CB89" s="766">
        <v>8.16</v>
      </c>
      <c r="CC89" s="766">
        <v>8.2100000000000009</v>
      </c>
      <c r="CD89" s="766">
        <v>8.26</v>
      </c>
      <c r="CE89" s="766">
        <v>8.3000000000000007</v>
      </c>
      <c r="CF89" s="766">
        <v>8.35</v>
      </c>
      <c r="CG89" s="766">
        <v>8.4</v>
      </c>
      <c r="CH89" s="766">
        <v>8.4499999999999993</v>
      </c>
      <c r="CI89" s="766">
        <v>8.5</v>
      </c>
      <c r="CJ89" s="766">
        <v>8.5500000000000007</v>
      </c>
      <c r="CK89" s="766">
        <v>8.6</v>
      </c>
      <c r="CL89" s="766">
        <v>8.65</v>
      </c>
      <c r="CM89" s="766">
        <v>8.6999999999999993</v>
      </c>
      <c r="CN89" s="766">
        <v>8.75</v>
      </c>
      <c r="CO89" s="766">
        <v>8.7899999999999991</v>
      </c>
      <c r="CP89" s="766">
        <v>8.84</v>
      </c>
      <c r="CQ89" s="766">
        <v>8.89</v>
      </c>
      <c r="CR89" s="766">
        <v>8.94</v>
      </c>
      <c r="CS89" s="766">
        <v>8.99</v>
      </c>
      <c r="CT89" s="766">
        <v>9.0399999999999991</v>
      </c>
      <c r="CU89" s="766">
        <v>9.08</v>
      </c>
      <c r="CV89" s="766">
        <v>9.1300000000000008</v>
      </c>
      <c r="CW89" s="766">
        <v>9.18</v>
      </c>
      <c r="CX89" s="766">
        <v>9.23</v>
      </c>
      <c r="CY89" s="766">
        <v>9.27</v>
      </c>
      <c r="CZ89" s="766">
        <v>9.32</v>
      </c>
      <c r="DA89" s="766">
        <v>9.3699999999999992</v>
      </c>
      <c r="DB89" s="766">
        <v>9.41</v>
      </c>
      <c r="DC89" s="766">
        <v>9.4600000000000009</v>
      </c>
      <c r="DD89" s="766">
        <v>9.51</v>
      </c>
      <c r="DE89" s="766">
        <v>9.5500000000000007</v>
      </c>
      <c r="DF89" s="766">
        <v>9.6</v>
      </c>
      <c r="DG89" s="766">
        <v>9.65</v>
      </c>
      <c r="DH89" s="766">
        <v>9.69</v>
      </c>
      <c r="DI89" s="766">
        <v>9.74</v>
      </c>
      <c r="DJ89" s="766">
        <v>9.7799999999999994</v>
      </c>
      <c r="DK89" s="766">
        <v>9.83</v>
      </c>
      <c r="DL89" s="766">
        <v>9.8699999999999992</v>
      </c>
      <c r="DM89" s="766">
        <v>9.92</v>
      </c>
      <c r="DN89" s="766">
        <v>9.9600000000000009</v>
      </c>
      <c r="DO89" s="766">
        <v>10.01</v>
      </c>
      <c r="DP89" s="766">
        <v>10.050000000000001</v>
      </c>
      <c r="DQ89" s="766">
        <v>10.1</v>
      </c>
      <c r="DR89" s="766">
        <v>10.14</v>
      </c>
    </row>
    <row r="90" spans="1:122">
      <c r="A90" s="950">
        <v>88</v>
      </c>
      <c r="B90" s="94"/>
      <c r="C90" s="94"/>
      <c r="D90" s="94"/>
      <c r="E90" s="94"/>
      <c r="F90" s="94"/>
      <c r="G90" s="94"/>
      <c r="H90" s="94"/>
      <c r="I90" s="94"/>
      <c r="J90" s="94"/>
      <c r="K90" s="94"/>
      <c r="L90" s="94"/>
      <c r="M90" s="94"/>
      <c r="N90" s="94"/>
      <c r="O90" s="94"/>
      <c r="P90" s="94"/>
      <c r="Q90" s="94"/>
      <c r="R90" s="94"/>
      <c r="S90" s="94"/>
      <c r="T90" s="94"/>
      <c r="U90" s="94"/>
      <c r="V90" s="766"/>
      <c r="W90" s="766">
        <v>4.97</v>
      </c>
      <c r="X90" s="766">
        <v>4.95</v>
      </c>
      <c r="Y90" s="766">
        <v>4.99</v>
      </c>
      <c r="Z90" s="766">
        <v>5.0199999999999996</v>
      </c>
      <c r="AA90" s="766">
        <v>5.0599999999999996</v>
      </c>
      <c r="AB90" s="766">
        <v>5.0999999999999996</v>
      </c>
      <c r="AC90" s="766">
        <v>5.17</v>
      </c>
      <c r="AD90" s="766">
        <v>5.19</v>
      </c>
      <c r="AE90" s="766">
        <v>5.23</v>
      </c>
      <c r="AF90" s="766">
        <v>5.29</v>
      </c>
      <c r="AG90" s="766">
        <v>5.34</v>
      </c>
      <c r="AH90" s="766">
        <v>5.39</v>
      </c>
      <c r="AI90" s="766">
        <v>5.44</v>
      </c>
      <c r="AJ90" s="766">
        <v>5.49</v>
      </c>
      <c r="AK90" s="766">
        <v>5.54</v>
      </c>
      <c r="AL90" s="766">
        <v>5.59</v>
      </c>
      <c r="AM90" s="766">
        <v>5.64</v>
      </c>
      <c r="AN90" s="766">
        <v>5.69</v>
      </c>
      <c r="AO90" s="766">
        <v>5.74</v>
      </c>
      <c r="AP90" s="766">
        <v>5.79</v>
      </c>
      <c r="AQ90" s="766">
        <v>5.83</v>
      </c>
      <c r="AR90" s="766">
        <v>5.88</v>
      </c>
      <c r="AS90" s="766">
        <v>5.93</v>
      </c>
      <c r="AT90" s="766">
        <v>5.97</v>
      </c>
      <c r="AU90" s="766">
        <v>6.02</v>
      </c>
      <c r="AV90" s="766">
        <v>6.07</v>
      </c>
      <c r="AW90" s="766">
        <v>6.11</v>
      </c>
      <c r="AX90" s="766">
        <v>6.16</v>
      </c>
      <c r="AY90" s="766">
        <v>6.21</v>
      </c>
      <c r="AZ90" s="766">
        <v>6.25</v>
      </c>
      <c r="BA90" s="766">
        <v>6.3</v>
      </c>
      <c r="BB90" s="766">
        <v>6.35</v>
      </c>
      <c r="BC90" s="766">
        <v>6.39</v>
      </c>
      <c r="BD90" s="766">
        <v>6.44</v>
      </c>
      <c r="BE90" s="766">
        <v>6.49</v>
      </c>
      <c r="BF90" s="766">
        <v>6.53</v>
      </c>
      <c r="BG90" s="766">
        <v>6.58</v>
      </c>
      <c r="BH90" s="766">
        <v>6.63</v>
      </c>
      <c r="BI90" s="766">
        <v>6.68</v>
      </c>
      <c r="BJ90" s="766">
        <v>6.72</v>
      </c>
      <c r="BK90" s="766">
        <v>6.77</v>
      </c>
      <c r="BL90" s="766">
        <v>6.82</v>
      </c>
      <c r="BM90" s="766">
        <v>6.86</v>
      </c>
      <c r="BN90" s="766">
        <v>6.91</v>
      </c>
      <c r="BO90" s="766">
        <v>6.96</v>
      </c>
      <c r="BP90" s="766">
        <v>7</v>
      </c>
      <c r="BQ90" s="766">
        <v>7.05</v>
      </c>
      <c r="BR90" s="766">
        <v>7.1</v>
      </c>
      <c r="BS90" s="766">
        <v>7.15</v>
      </c>
      <c r="BT90" s="766">
        <v>7.19</v>
      </c>
      <c r="BU90" s="766">
        <v>7.24</v>
      </c>
      <c r="BV90" s="766">
        <v>7.29</v>
      </c>
      <c r="BW90" s="766">
        <v>7.33</v>
      </c>
      <c r="BX90" s="766">
        <v>7.38</v>
      </c>
      <c r="BY90" s="766">
        <v>7.43</v>
      </c>
      <c r="BZ90" s="766">
        <v>7.47</v>
      </c>
      <c r="CA90" s="766">
        <v>7.52</v>
      </c>
      <c r="CB90" s="766">
        <v>7.57</v>
      </c>
      <c r="CC90" s="766">
        <v>7.61</v>
      </c>
      <c r="CD90" s="766">
        <v>7.66</v>
      </c>
      <c r="CE90" s="766">
        <v>7.7</v>
      </c>
      <c r="CF90" s="766">
        <v>7.75</v>
      </c>
      <c r="CG90" s="766">
        <v>7.8</v>
      </c>
      <c r="CH90" s="766">
        <v>7.84</v>
      </c>
      <c r="CI90" s="766">
        <v>7.89</v>
      </c>
      <c r="CJ90" s="766">
        <v>7.93</v>
      </c>
      <c r="CK90" s="766">
        <v>7.98</v>
      </c>
      <c r="CL90" s="766">
        <v>8.0299999999999994</v>
      </c>
      <c r="CM90" s="766">
        <v>8.07</v>
      </c>
      <c r="CN90" s="766">
        <v>8.1199999999999992</v>
      </c>
      <c r="CO90" s="766">
        <v>8.16</v>
      </c>
      <c r="CP90" s="766">
        <v>8.2100000000000009</v>
      </c>
      <c r="CQ90" s="766">
        <v>8.25</v>
      </c>
      <c r="CR90" s="766">
        <v>8.3000000000000007</v>
      </c>
      <c r="CS90" s="766">
        <v>8.34</v>
      </c>
      <c r="CT90" s="766">
        <v>8.39</v>
      </c>
      <c r="CU90" s="766">
        <v>8.43</v>
      </c>
      <c r="CV90" s="766">
        <v>8.48</v>
      </c>
      <c r="CW90" s="766">
        <v>8.52</v>
      </c>
      <c r="CX90" s="766">
        <v>8.57</v>
      </c>
      <c r="CY90" s="766">
        <v>8.61</v>
      </c>
      <c r="CZ90" s="766">
        <v>8.65</v>
      </c>
      <c r="DA90" s="766">
        <v>8.6999999999999993</v>
      </c>
      <c r="DB90" s="766">
        <v>8.74</v>
      </c>
      <c r="DC90" s="766">
        <v>8.7899999999999991</v>
      </c>
      <c r="DD90" s="766">
        <v>8.83</v>
      </c>
      <c r="DE90" s="766">
        <v>8.8699999999999992</v>
      </c>
      <c r="DF90" s="766">
        <v>8.92</v>
      </c>
      <c r="DG90" s="766">
        <v>8.9600000000000009</v>
      </c>
      <c r="DH90" s="766">
        <v>9</v>
      </c>
      <c r="DI90" s="766">
        <v>9.0500000000000007</v>
      </c>
      <c r="DJ90" s="766">
        <v>9.09</v>
      </c>
      <c r="DK90" s="766">
        <v>9.1300000000000008</v>
      </c>
      <c r="DL90" s="766">
        <v>9.17</v>
      </c>
      <c r="DM90" s="766">
        <v>9.2200000000000006</v>
      </c>
      <c r="DN90" s="766">
        <v>9.26</v>
      </c>
      <c r="DO90" s="766">
        <v>9.3000000000000007</v>
      </c>
      <c r="DP90" s="766">
        <v>9.34</v>
      </c>
      <c r="DQ90" s="766">
        <v>9.3800000000000008</v>
      </c>
      <c r="DR90" s="766">
        <v>9.42</v>
      </c>
    </row>
    <row r="91" spans="1:122">
      <c r="A91" s="950">
        <v>89</v>
      </c>
      <c r="B91" s="94"/>
      <c r="C91" s="94"/>
      <c r="D91" s="94"/>
      <c r="E91" s="94"/>
      <c r="F91" s="94"/>
      <c r="G91" s="94"/>
      <c r="H91" s="94"/>
      <c r="I91" s="94"/>
      <c r="J91" s="94"/>
      <c r="K91" s="94"/>
      <c r="L91" s="94"/>
      <c r="M91" s="94"/>
      <c r="N91" s="94"/>
      <c r="O91" s="94"/>
      <c r="P91" s="94"/>
      <c r="Q91" s="94"/>
      <c r="R91" s="94"/>
      <c r="S91" s="94"/>
      <c r="T91" s="94"/>
      <c r="U91" s="94"/>
      <c r="V91" s="766"/>
      <c r="W91" s="766">
        <v>4.59</v>
      </c>
      <c r="X91" s="766">
        <v>4.5599999999999996</v>
      </c>
      <c r="Y91" s="766">
        <v>4.5999999999999996</v>
      </c>
      <c r="Z91" s="766">
        <v>4.66</v>
      </c>
      <c r="AA91" s="766">
        <v>4.66</v>
      </c>
      <c r="AB91" s="766">
        <v>4.72</v>
      </c>
      <c r="AC91" s="766">
        <v>4.76</v>
      </c>
      <c r="AD91" s="766">
        <v>4.8</v>
      </c>
      <c r="AE91" s="766">
        <v>4.8499999999999996</v>
      </c>
      <c r="AF91" s="766">
        <v>4.8899999999999997</v>
      </c>
      <c r="AG91" s="766">
        <v>4.9400000000000004</v>
      </c>
      <c r="AH91" s="766">
        <v>4.99</v>
      </c>
      <c r="AI91" s="766">
        <v>5.03</v>
      </c>
      <c r="AJ91" s="766">
        <v>5.08</v>
      </c>
      <c r="AK91" s="766">
        <v>5.13</v>
      </c>
      <c r="AL91" s="766">
        <v>5.17</v>
      </c>
      <c r="AM91" s="766">
        <v>5.22</v>
      </c>
      <c r="AN91" s="766">
        <v>5.27</v>
      </c>
      <c r="AO91" s="766">
        <v>5.31</v>
      </c>
      <c r="AP91" s="766">
        <v>5.35</v>
      </c>
      <c r="AQ91" s="766">
        <v>5.4</v>
      </c>
      <c r="AR91" s="766">
        <v>5.44</v>
      </c>
      <c r="AS91" s="766">
        <v>5.48</v>
      </c>
      <c r="AT91" s="766">
        <v>5.53</v>
      </c>
      <c r="AU91" s="766">
        <v>5.57</v>
      </c>
      <c r="AV91" s="766">
        <v>5.61</v>
      </c>
      <c r="AW91" s="766">
        <v>5.66</v>
      </c>
      <c r="AX91" s="766">
        <v>5.7</v>
      </c>
      <c r="AY91" s="766">
        <v>5.74</v>
      </c>
      <c r="AZ91" s="766">
        <v>5.79</v>
      </c>
      <c r="BA91" s="766">
        <v>5.83</v>
      </c>
      <c r="BB91" s="766">
        <v>5.87</v>
      </c>
      <c r="BC91" s="766">
        <v>5.92</v>
      </c>
      <c r="BD91" s="766">
        <v>5.96</v>
      </c>
      <c r="BE91" s="766">
        <v>6</v>
      </c>
      <c r="BF91" s="766">
        <v>6.05</v>
      </c>
      <c r="BG91" s="766">
        <v>6.09</v>
      </c>
      <c r="BH91" s="766">
        <v>6.14</v>
      </c>
      <c r="BI91" s="766">
        <v>6.18</v>
      </c>
      <c r="BJ91" s="766">
        <v>6.22</v>
      </c>
      <c r="BK91" s="766">
        <v>6.27</v>
      </c>
      <c r="BL91" s="766">
        <v>6.31</v>
      </c>
      <c r="BM91" s="766">
        <v>6.35</v>
      </c>
      <c r="BN91" s="766">
        <v>6.4</v>
      </c>
      <c r="BO91" s="766">
        <v>6.44</v>
      </c>
      <c r="BP91" s="766">
        <v>6.48</v>
      </c>
      <c r="BQ91" s="766">
        <v>6.53</v>
      </c>
      <c r="BR91" s="766">
        <v>6.57</v>
      </c>
      <c r="BS91" s="766">
        <v>6.62</v>
      </c>
      <c r="BT91" s="766">
        <v>6.66</v>
      </c>
      <c r="BU91" s="766">
        <v>6.7</v>
      </c>
      <c r="BV91" s="766">
        <v>6.75</v>
      </c>
      <c r="BW91" s="766">
        <v>6.79</v>
      </c>
      <c r="BX91" s="766">
        <v>6.83</v>
      </c>
      <c r="BY91" s="766">
        <v>6.88</v>
      </c>
      <c r="BZ91" s="766">
        <v>6.92</v>
      </c>
      <c r="CA91" s="766">
        <v>6.96</v>
      </c>
      <c r="CB91" s="766">
        <v>7.01</v>
      </c>
      <c r="CC91" s="766">
        <v>7.05</v>
      </c>
      <c r="CD91" s="766">
        <v>7.09</v>
      </c>
      <c r="CE91" s="766">
        <v>7.13</v>
      </c>
      <c r="CF91" s="766">
        <v>7.18</v>
      </c>
      <c r="CG91" s="766">
        <v>7.22</v>
      </c>
      <c r="CH91" s="766">
        <v>7.26</v>
      </c>
      <c r="CI91" s="766">
        <v>7.31</v>
      </c>
      <c r="CJ91" s="766">
        <v>7.35</v>
      </c>
      <c r="CK91" s="766">
        <v>7.39</v>
      </c>
      <c r="CL91" s="766">
        <v>7.43</v>
      </c>
      <c r="CM91" s="766">
        <v>7.48</v>
      </c>
      <c r="CN91" s="766">
        <v>7.52</v>
      </c>
      <c r="CO91" s="766">
        <v>7.56</v>
      </c>
      <c r="CP91" s="766">
        <v>7.6</v>
      </c>
      <c r="CQ91" s="766">
        <v>7.64</v>
      </c>
      <c r="CR91" s="766">
        <v>7.69</v>
      </c>
      <c r="CS91" s="766">
        <v>7.73</v>
      </c>
      <c r="CT91" s="766">
        <v>7.77</v>
      </c>
      <c r="CU91" s="766">
        <v>7.81</v>
      </c>
      <c r="CV91" s="766">
        <v>7.85</v>
      </c>
      <c r="CW91" s="766">
        <v>7.89</v>
      </c>
      <c r="CX91" s="766">
        <v>7.94</v>
      </c>
      <c r="CY91" s="766">
        <v>7.98</v>
      </c>
      <c r="CZ91" s="766">
        <v>8.02</v>
      </c>
      <c r="DA91" s="766">
        <v>8.06</v>
      </c>
      <c r="DB91" s="766">
        <v>8.1</v>
      </c>
      <c r="DC91" s="766">
        <v>8.14</v>
      </c>
      <c r="DD91" s="766">
        <v>8.18</v>
      </c>
      <c r="DE91" s="766">
        <v>8.2200000000000006</v>
      </c>
      <c r="DF91" s="766">
        <v>8.26</v>
      </c>
      <c r="DG91" s="766">
        <v>8.3000000000000007</v>
      </c>
      <c r="DH91" s="766">
        <v>8.34</v>
      </c>
      <c r="DI91" s="766">
        <v>8.3800000000000008</v>
      </c>
      <c r="DJ91" s="766">
        <v>8.42</v>
      </c>
      <c r="DK91" s="766">
        <v>8.4600000000000009</v>
      </c>
      <c r="DL91" s="766">
        <v>8.5</v>
      </c>
      <c r="DM91" s="766">
        <v>8.5399999999999991</v>
      </c>
      <c r="DN91" s="766">
        <v>8.58</v>
      </c>
      <c r="DO91" s="766">
        <v>8.6199999999999992</v>
      </c>
      <c r="DP91" s="766">
        <v>8.66</v>
      </c>
      <c r="DQ91" s="766">
        <v>8.6999999999999993</v>
      </c>
      <c r="DR91" s="766">
        <v>8.73</v>
      </c>
    </row>
    <row r="92" spans="1:122">
      <c r="A92" s="950">
        <v>90</v>
      </c>
      <c r="B92" s="94"/>
      <c r="C92" s="94"/>
      <c r="D92" s="94"/>
      <c r="E92" s="94"/>
      <c r="F92" s="94"/>
      <c r="G92" s="94"/>
      <c r="H92" s="94"/>
      <c r="I92" s="94"/>
      <c r="J92" s="94"/>
      <c r="K92" s="94"/>
      <c r="L92" s="94"/>
      <c r="M92" s="94"/>
      <c r="N92" s="94"/>
      <c r="O92" s="94"/>
      <c r="P92" s="94"/>
      <c r="Q92" s="94"/>
      <c r="R92" s="94"/>
      <c r="S92" s="94"/>
      <c r="T92" s="94"/>
      <c r="U92" s="94"/>
      <c r="V92" s="766"/>
      <c r="W92" s="766">
        <v>4.24</v>
      </c>
      <c r="X92" s="766">
        <v>4.21</v>
      </c>
      <c r="Y92" s="766">
        <v>4.2699999999999996</v>
      </c>
      <c r="Z92" s="766">
        <v>4.28</v>
      </c>
      <c r="AA92" s="766">
        <v>4.3099999999999996</v>
      </c>
      <c r="AB92" s="766">
        <v>4.3499999999999996</v>
      </c>
      <c r="AC92" s="766">
        <v>4.4000000000000004</v>
      </c>
      <c r="AD92" s="766">
        <v>4.4400000000000004</v>
      </c>
      <c r="AE92" s="766">
        <v>4.49</v>
      </c>
      <c r="AF92" s="766">
        <v>4.53</v>
      </c>
      <c r="AG92" s="766">
        <v>4.57</v>
      </c>
      <c r="AH92" s="766">
        <v>4.6100000000000003</v>
      </c>
      <c r="AI92" s="766">
        <v>4.66</v>
      </c>
      <c r="AJ92" s="766">
        <v>4.7</v>
      </c>
      <c r="AK92" s="766">
        <v>4.75</v>
      </c>
      <c r="AL92" s="766">
        <v>4.79</v>
      </c>
      <c r="AM92" s="766">
        <v>4.83</v>
      </c>
      <c r="AN92" s="766">
        <v>4.87</v>
      </c>
      <c r="AO92" s="766">
        <v>4.91</v>
      </c>
      <c r="AP92" s="766">
        <v>4.95</v>
      </c>
      <c r="AQ92" s="766">
        <v>4.99</v>
      </c>
      <c r="AR92" s="766">
        <v>5.03</v>
      </c>
      <c r="AS92" s="766">
        <v>5.07</v>
      </c>
      <c r="AT92" s="766">
        <v>5.1100000000000003</v>
      </c>
      <c r="AU92" s="766">
        <v>5.15</v>
      </c>
      <c r="AV92" s="766">
        <v>5.19</v>
      </c>
      <c r="AW92" s="766">
        <v>5.23</v>
      </c>
      <c r="AX92" s="766">
        <v>5.27</v>
      </c>
      <c r="AY92" s="766">
        <v>5.31</v>
      </c>
      <c r="AZ92" s="766">
        <v>5.35</v>
      </c>
      <c r="BA92" s="766">
        <v>5.39</v>
      </c>
      <c r="BB92" s="766">
        <v>5.43</v>
      </c>
      <c r="BC92" s="766">
        <v>5.47</v>
      </c>
      <c r="BD92" s="766">
        <v>5.51</v>
      </c>
      <c r="BE92" s="766">
        <v>5.55</v>
      </c>
      <c r="BF92" s="766">
        <v>5.59</v>
      </c>
      <c r="BG92" s="766">
        <v>5.63</v>
      </c>
      <c r="BH92" s="766">
        <v>5.67</v>
      </c>
      <c r="BI92" s="766">
        <v>5.71</v>
      </c>
      <c r="BJ92" s="766">
        <v>5.75</v>
      </c>
      <c r="BK92" s="766">
        <v>5.79</v>
      </c>
      <c r="BL92" s="766">
        <v>5.83</v>
      </c>
      <c r="BM92" s="766">
        <v>5.87</v>
      </c>
      <c r="BN92" s="766">
        <v>5.91</v>
      </c>
      <c r="BO92" s="766">
        <v>5.95</v>
      </c>
      <c r="BP92" s="766">
        <v>6</v>
      </c>
      <c r="BQ92" s="766">
        <v>6.04</v>
      </c>
      <c r="BR92" s="766">
        <v>6.08</v>
      </c>
      <c r="BS92" s="766">
        <v>6.12</v>
      </c>
      <c r="BT92" s="766">
        <v>6.16</v>
      </c>
      <c r="BU92" s="766">
        <v>6.2</v>
      </c>
      <c r="BV92" s="766">
        <v>6.24</v>
      </c>
      <c r="BW92" s="766">
        <v>6.28</v>
      </c>
      <c r="BX92" s="766">
        <v>6.32</v>
      </c>
      <c r="BY92" s="766">
        <v>6.36</v>
      </c>
      <c r="BZ92" s="766">
        <v>6.4</v>
      </c>
      <c r="CA92" s="766">
        <v>6.44</v>
      </c>
      <c r="CB92" s="766">
        <v>6.48</v>
      </c>
      <c r="CC92" s="766">
        <v>6.52</v>
      </c>
      <c r="CD92" s="766">
        <v>6.56</v>
      </c>
      <c r="CE92" s="766">
        <v>6.6</v>
      </c>
      <c r="CF92" s="766">
        <v>6.63</v>
      </c>
      <c r="CG92" s="766">
        <v>6.67</v>
      </c>
      <c r="CH92" s="766">
        <v>6.71</v>
      </c>
      <c r="CI92" s="766">
        <v>6.75</v>
      </c>
      <c r="CJ92" s="766">
        <v>6.79</v>
      </c>
      <c r="CK92" s="766">
        <v>6.83</v>
      </c>
      <c r="CL92" s="766">
        <v>6.87</v>
      </c>
      <c r="CM92" s="766">
        <v>6.91</v>
      </c>
      <c r="CN92" s="766">
        <v>6.95</v>
      </c>
      <c r="CO92" s="766">
        <v>6.99</v>
      </c>
      <c r="CP92" s="766">
        <v>7.03</v>
      </c>
      <c r="CQ92" s="766">
        <v>7.07</v>
      </c>
      <c r="CR92" s="766">
        <v>7.1</v>
      </c>
      <c r="CS92" s="766">
        <v>7.14</v>
      </c>
      <c r="CT92" s="766">
        <v>7.18</v>
      </c>
      <c r="CU92" s="766">
        <v>7.22</v>
      </c>
      <c r="CV92" s="766">
        <v>7.26</v>
      </c>
      <c r="CW92" s="766">
        <v>7.3</v>
      </c>
      <c r="CX92" s="766">
        <v>7.33</v>
      </c>
      <c r="CY92" s="766">
        <v>7.37</v>
      </c>
      <c r="CZ92" s="766">
        <v>7.41</v>
      </c>
      <c r="DA92" s="766">
        <v>7.45</v>
      </c>
      <c r="DB92" s="766">
        <v>7.49</v>
      </c>
      <c r="DC92" s="766">
        <v>7.52</v>
      </c>
      <c r="DD92" s="766">
        <v>7.56</v>
      </c>
      <c r="DE92" s="766">
        <v>7.6</v>
      </c>
      <c r="DF92" s="766">
        <v>7.64</v>
      </c>
      <c r="DG92" s="766">
        <v>7.67</v>
      </c>
      <c r="DH92" s="766">
        <v>7.71</v>
      </c>
      <c r="DI92" s="766">
        <v>7.75</v>
      </c>
      <c r="DJ92" s="766">
        <v>7.78</v>
      </c>
      <c r="DK92" s="766">
        <v>7.82</v>
      </c>
      <c r="DL92" s="766">
        <v>7.86</v>
      </c>
      <c r="DM92" s="766">
        <v>7.89</v>
      </c>
      <c r="DN92" s="766">
        <v>7.93</v>
      </c>
      <c r="DO92" s="766">
        <v>7.96</v>
      </c>
      <c r="DP92" s="766">
        <v>8</v>
      </c>
      <c r="DQ92" s="766">
        <v>8.0399999999999991</v>
      </c>
      <c r="DR92" s="766">
        <v>8.07</v>
      </c>
    </row>
    <row r="93" spans="1:122">
      <c r="A93" s="950">
        <v>91</v>
      </c>
      <c r="B93" s="94"/>
      <c r="C93" s="94"/>
      <c r="D93" s="94"/>
      <c r="E93" s="94"/>
      <c r="F93" s="94"/>
      <c r="G93" s="94"/>
      <c r="H93" s="94"/>
      <c r="I93" s="94"/>
      <c r="J93" s="94"/>
      <c r="K93" s="94"/>
      <c r="L93" s="94"/>
      <c r="M93" s="94"/>
      <c r="N93" s="94"/>
      <c r="O93" s="94"/>
      <c r="P93" s="94"/>
      <c r="Q93" s="94"/>
      <c r="R93" s="94"/>
      <c r="S93" s="94"/>
      <c r="T93" s="94"/>
      <c r="U93" s="94"/>
      <c r="V93" s="766"/>
      <c r="W93" s="766">
        <v>3.93</v>
      </c>
      <c r="X93" s="766">
        <v>3.9</v>
      </c>
      <c r="Y93" s="766">
        <v>3.91</v>
      </c>
      <c r="Z93" s="766">
        <v>3.97</v>
      </c>
      <c r="AA93" s="766">
        <v>3.97</v>
      </c>
      <c r="AB93" s="766">
        <v>4.0199999999999996</v>
      </c>
      <c r="AC93" s="766">
        <v>4.08</v>
      </c>
      <c r="AD93" s="766">
        <v>4.1100000000000003</v>
      </c>
      <c r="AE93" s="766">
        <v>4.1500000000000004</v>
      </c>
      <c r="AF93" s="766">
        <v>4.1900000000000004</v>
      </c>
      <c r="AG93" s="766">
        <v>4.2300000000000004</v>
      </c>
      <c r="AH93" s="766">
        <v>4.2699999999999996</v>
      </c>
      <c r="AI93" s="766">
        <v>4.3099999999999996</v>
      </c>
      <c r="AJ93" s="766">
        <v>4.3499999999999996</v>
      </c>
      <c r="AK93" s="766">
        <v>4.3899999999999997</v>
      </c>
      <c r="AL93" s="766">
        <v>4.43</v>
      </c>
      <c r="AM93" s="766">
        <v>4.47</v>
      </c>
      <c r="AN93" s="766">
        <v>4.51</v>
      </c>
      <c r="AO93" s="766">
        <v>4.54</v>
      </c>
      <c r="AP93" s="766">
        <v>4.58</v>
      </c>
      <c r="AQ93" s="766">
        <v>4.62</v>
      </c>
      <c r="AR93" s="766">
        <v>4.6500000000000004</v>
      </c>
      <c r="AS93" s="766">
        <v>4.6900000000000004</v>
      </c>
      <c r="AT93" s="766">
        <v>4.7300000000000004</v>
      </c>
      <c r="AU93" s="766">
        <v>4.76</v>
      </c>
      <c r="AV93" s="766">
        <v>4.8</v>
      </c>
      <c r="AW93" s="766">
        <v>4.84</v>
      </c>
      <c r="AX93" s="766">
        <v>4.87</v>
      </c>
      <c r="AY93" s="766">
        <v>4.91</v>
      </c>
      <c r="AZ93" s="766">
        <v>4.95</v>
      </c>
      <c r="BA93" s="766">
        <v>4.9800000000000004</v>
      </c>
      <c r="BB93" s="766">
        <v>5.0199999999999996</v>
      </c>
      <c r="BC93" s="766">
        <v>5.0599999999999996</v>
      </c>
      <c r="BD93" s="766">
        <v>5.09</v>
      </c>
      <c r="BE93" s="766">
        <v>5.13</v>
      </c>
      <c r="BF93" s="766">
        <v>5.17</v>
      </c>
      <c r="BG93" s="766">
        <v>5.2</v>
      </c>
      <c r="BH93" s="766">
        <v>5.24</v>
      </c>
      <c r="BI93" s="766">
        <v>5.28</v>
      </c>
      <c r="BJ93" s="766">
        <v>5.31</v>
      </c>
      <c r="BK93" s="766">
        <v>5.35</v>
      </c>
      <c r="BL93" s="766">
        <v>5.39</v>
      </c>
      <c r="BM93" s="766">
        <v>5.43</v>
      </c>
      <c r="BN93" s="766">
        <v>5.46</v>
      </c>
      <c r="BO93" s="766">
        <v>5.5</v>
      </c>
      <c r="BP93" s="766">
        <v>5.54</v>
      </c>
      <c r="BQ93" s="766">
        <v>5.57</v>
      </c>
      <c r="BR93" s="766">
        <v>5.61</v>
      </c>
      <c r="BS93" s="766">
        <v>5.65</v>
      </c>
      <c r="BT93" s="766">
        <v>5.68</v>
      </c>
      <c r="BU93" s="766">
        <v>5.72</v>
      </c>
      <c r="BV93" s="766">
        <v>5.76</v>
      </c>
      <c r="BW93" s="766">
        <v>5.79</v>
      </c>
      <c r="BX93" s="766">
        <v>5.83</v>
      </c>
      <c r="BY93" s="766">
        <v>5.87</v>
      </c>
      <c r="BZ93" s="766">
        <v>5.9</v>
      </c>
      <c r="CA93" s="766">
        <v>5.94</v>
      </c>
      <c r="CB93" s="766">
        <v>5.98</v>
      </c>
      <c r="CC93" s="766">
        <v>6.01</v>
      </c>
      <c r="CD93" s="766">
        <v>6.05</v>
      </c>
      <c r="CE93" s="766">
        <v>6.09</v>
      </c>
      <c r="CF93" s="766">
        <v>6.12</v>
      </c>
      <c r="CG93" s="766">
        <v>6.16</v>
      </c>
      <c r="CH93" s="766">
        <v>6.19</v>
      </c>
      <c r="CI93" s="766">
        <v>6.23</v>
      </c>
      <c r="CJ93" s="766">
        <v>6.27</v>
      </c>
      <c r="CK93" s="766">
        <v>6.3</v>
      </c>
      <c r="CL93" s="766">
        <v>6.34</v>
      </c>
      <c r="CM93" s="766">
        <v>6.37</v>
      </c>
      <c r="CN93" s="766">
        <v>6.41</v>
      </c>
      <c r="CO93" s="766">
        <v>6.45</v>
      </c>
      <c r="CP93" s="766">
        <v>6.48</v>
      </c>
      <c r="CQ93" s="766">
        <v>6.52</v>
      </c>
      <c r="CR93" s="766">
        <v>6.55</v>
      </c>
      <c r="CS93" s="766">
        <v>6.59</v>
      </c>
      <c r="CT93" s="766">
        <v>6.62</v>
      </c>
      <c r="CU93" s="766">
        <v>6.66</v>
      </c>
      <c r="CV93" s="766">
        <v>6.69</v>
      </c>
      <c r="CW93" s="766">
        <v>6.73</v>
      </c>
      <c r="CX93" s="766">
        <v>6.76</v>
      </c>
      <c r="CY93" s="766">
        <v>6.8</v>
      </c>
      <c r="CZ93" s="766">
        <v>6.83</v>
      </c>
      <c r="DA93" s="766">
        <v>6.87</v>
      </c>
      <c r="DB93" s="766">
        <v>6.9</v>
      </c>
      <c r="DC93" s="766">
        <v>6.94</v>
      </c>
      <c r="DD93" s="766">
        <v>6.97</v>
      </c>
      <c r="DE93" s="766">
        <v>7</v>
      </c>
      <c r="DF93" s="766">
        <v>7.04</v>
      </c>
      <c r="DG93" s="766">
        <v>7.07</v>
      </c>
      <c r="DH93" s="766">
        <v>7.11</v>
      </c>
      <c r="DI93" s="766">
        <v>7.14</v>
      </c>
      <c r="DJ93" s="766">
        <v>7.17</v>
      </c>
      <c r="DK93" s="766">
        <v>7.21</v>
      </c>
      <c r="DL93" s="766">
        <v>7.24</v>
      </c>
      <c r="DM93" s="766">
        <v>7.27</v>
      </c>
      <c r="DN93" s="766">
        <v>7.31</v>
      </c>
      <c r="DO93" s="766">
        <v>7.34</v>
      </c>
      <c r="DP93" s="766">
        <v>7.37</v>
      </c>
      <c r="DQ93" s="766">
        <v>7.4</v>
      </c>
      <c r="DR93" s="766">
        <v>7.44</v>
      </c>
    </row>
    <row r="94" spans="1:122">
      <c r="A94" s="950">
        <v>92</v>
      </c>
      <c r="B94" s="94"/>
      <c r="C94" s="94"/>
      <c r="D94" s="94"/>
      <c r="E94" s="94"/>
      <c r="F94" s="94"/>
      <c r="G94" s="94"/>
      <c r="H94" s="94"/>
      <c r="I94" s="94"/>
      <c r="J94" s="94"/>
      <c r="K94" s="94"/>
      <c r="L94" s="94"/>
      <c r="M94" s="94"/>
      <c r="N94" s="94"/>
      <c r="O94" s="94"/>
      <c r="P94" s="94"/>
      <c r="Q94" s="94"/>
      <c r="R94" s="94"/>
      <c r="S94" s="94"/>
      <c r="T94" s="94"/>
      <c r="U94" s="94"/>
      <c r="V94" s="766"/>
      <c r="W94" s="766">
        <v>3.66</v>
      </c>
      <c r="X94" s="766">
        <v>3.58</v>
      </c>
      <c r="Y94" s="766">
        <v>3.63</v>
      </c>
      <c r="Z94" s="766">
        <v>3.65</v>
      </c>
      <c r="AA94" s="766">
        <v>3.68</v>
      </c>
      <c r="AB94" s="766">
        <v>3.73</v>
      </c>
      <c r="AC94" s="766">
        <v>3.77</v>
      </c>
      <c r="AD94" s="766">
        <v>3.81</v>
      </c>
      <c r="AE94" s="766">
        <v>3.84</v>
      </c>
      <c r="AF94" s="766">
        <v>3.88</v>
      </c>
      <c r="AG94" s="766">
        <v>3.92</v>
      </c>
      <c r="AH94" s="766">
        <v>3.95</v>
      </c>
      <c r="AI94" s="766">
        <v>3.99</v>
      </c>
      <c r="AJ94" s="766">
        <v>4.03</v>
      </c>
      <c r="AK94" s="766">
        <v>4.0599999999999996</v>
      </c>
      <c r="AL94" s="766">
        <v>4.0999999999999996</v>
      </c>
      <c r="AM94" s="766">
        <v>4.13</v>
      </c>
      <c r="AN94" s="766">
        <v>4.17</v>
      </c>
      <c r="AO94" s="766">
        <v>4.2</v>
      </c>
      <c r="AP94" s="766">
        <v>4.2300000000000004</v>
      </c>
      <c r="AQ94" s="766">
        <v>4.2699999999999996</v>
      </c>
      <c r="AR94" s="766">
        <v>4.3</v>
      </c>
      <c r="AS94" s="766">
        <v>4.33</v>
      </c>
      <c r="AT94" s="766">
        <v>4.37</v>
      </c>
      <c r="AU94" s="766">
        <v>4.4000000000000004</v>
      </c>
      <c r="AV94" s="766">
        <v>4.43</v>
      </c>
      <c r="AW94" s="766">
        <v>4.47</v>
      </c>
      <c r="AX94" s="766">
        <v>4.5</v>
      </c>
      <c r="AY94" s="766">
        <v>4.53</v>
      </c>
      <c r="AZ94" s="766">
        <v>4.57</v>
      </c>
      <c r="BA94" s="766">
        <v>4.5999999999999996</v>
      </c>
      <c r="BB94" s="766">
        <v>4.63</v>
      </c>
      <c r="BC94" s="766">
        <v>4.67</v>
      </c>
      <c r="BD94" s="766">
        <v>4.7</v>
      </c>
      <c r="BE94" s="766">
        <v>4.74</v>
      </c>
      <c r="BF94" s="766">
        <v>4.7699999999999996</v>
      </c>
      <c r="BG94" s="766">
        <v>4.8</v>
      </c>
      <c r="BH94" s="766">
        <v>4.84</v>
      </c>
      <c r="BI94" s="766">
        <v>4.87</v>
      </c>
      <c r="BJ94" s="766">
        <v>4.9000000000000004</v>
      </c>
      <c r="BK94" s="766">
        <v>4.9400000000000004</v>
      </c>
      <c r="BL94" s="766">
        <v>4.97</v>
      </c>
      <c r="BM94" s="766">
        <v>5</v>
      </c>
      <c r="BN94" s="766">
        <v>5.04</v>
      </c>
      <c r="BO94" s="766">
        <v>5.07</v>
      </c>
      <c r="BP94" s="766">
        <v>5.0999999999999996</v>
      </c>
      <c r="BQ94" s="766">
        <v>5.14</v>
      </c>
      <c r="BR94" s="766">
        <v>5.17</v>
      </c>
      <c r="BS94" s="766">
        <v>5.2</v>
      </c>
      <c r="BT94" s="766">
        <v>5.24</v>
      </c>
      <c r="BU94" s="766">
        <v>5.27</v>
      </c>
      <c r="BV94" s="766">
        <v>5.3</v>
      </c>
      <c r="BW94" s="766">
        <v>5.34</v>
      </c>
      <c r="BX94" s="766">
        <v>5.37</v>
      </c>
      <c r="BY94" s="766">
        <v>5.4</v>
      </c>
      <c r="BZ94" s="766">
        <v>5.44</v>
      </c>
      <c r="CA94" s="766">
        <v>5.47</v>
      </c>
      <c r="CB94" s="766">
        <v>5.5</v>
      </c>
      <c r="CC94" s="766">
        <v>5.54</v>
      </c>
      <c r="CD94" s="766">
        <v>5.57</v>
      </c>
      <c r="CE94" s="766">
        <v>5.6</v>
      </c>
      <c r="CF94" s="766">
        <v>5.64</v>
      </c>
      <c r="CG94" s="766">
        <v>5.67</v>
      </c>
      <c r="CH94" s="766">
        <v>5.7</v>
      </c>
      <c r="CI94" s="766">
        <v>5.73</v>
      </c>
      <c r="CJ94" s="766">
        <v>5.77</v>
      </c>
      <c r="CK94" s="766">
        <v>5.8</v>
      </c>
      <c r="CL94" s="766">
        <v>5.83</v>
      </c>
      <c r="CM94" s="766">
        <v>5.87</v>
      </c>
      <c r="CN94" s="766">
        <v>5.9</v>
      </c>
      <c r="CO94" s="766">
        <v>5.93</v>
      </c>
      <c r="CP94" s="766">
        <v>5.96</v>
      </c>
      <c r="CQ94" s="766">
        <v>5.99</v>
      </c>
      <c r="CR94" s="766">
        <v>6.03</v>
      </c>
      <c r="CS94" s="766">
        <v>6.06</v>
      </c>
      <c r="CT94" s="766">
        <v>6.09</v>
      </c>
      <c r="CU94" s="766">
        <v>6.12</v>
      </c>
      <c r="CV94" s="766">
        <v>6.15</v>
      </c>
      <c r="CW94" s="766">
        <v>6.19</v>
      </c>
      <c r="CX94" s="766">
        <v>6.22</v>
      </c>
      <c r="CY94" s="766">
        <v>6.25</v>
      </c>
      <c r="CZ94" s="766">
        <v>6.28</v>
      </c>
      <c r="DA94" s="766">
        <v>6.31</v>
      </c>
      <c r="DB94" s="766">
        <v>6.34</v>
      </c>
      <c r="DC94" s="766">
        <v>6.37</v>
      </c>
      <c r="DD94" s="766">
        <v>6.41</v>
      </c>
      <c r="DE94" s="766">
        <v>6.44</v>
      </c>
      <c r="DF94" s="766">
        <v>6.47</v>
      </c>
      <c r="DG94" s="766">
        <v>6.5</v>
      </c>
      <c r="DH94" s="766">
        <v>6.53</v>
      </c>
      <c r="DI94" s="766">
        <v>6.56</v>
      </c>
      <c r="DJ94" s="766">
        <v>6.59</v>
      </c>
      <c r="DK94" s="766">
        <v>6.62</v>
      </c>
      <c r="DL94" s="766">
        <v>6.65</v>
      </c>
      <c r="DM94" s="766">
        <v>6.68</v>
      </c>
      <c r="DN94" s="766">
        <v>6.71</v>
      </c>
      <c r="DO94" s="766">
        <v>6.74</v>
      </c>
      <c r="DP94" s="766">
        <v>6.77</v>
      </c>
      <c r="DQ94" s="766">
        <v>6.8</v>
      </c>
      <c r="DR94" s="766">
        <v>6.83</v>
      </c>
    </row>
    <row r="95" spans="1:122">
      <c r="A95" s="950">
        <v>93</v>
      </c>
      <c r="B95" s="94"/>
      <c r="C95" s="94"/>
      <c r="D95" s="94"/>
      <c r="E95" s="94"/>
      <c r="F95" s="94"/>
      <c r="G95" s="94"/>
      <c r="H95" s="94"/>
      <c r="I95" s="94"/>
      <c r="J95" s="94"/>
      <c r="K95" s="94"/>
      <c r="L95" s="94"/>
      <c r="M95" s="94"/>
      <c r="N95" s="94"/>
      <c r="O95" s="94"/>
      <c r="P95" s="94"/>
      <c r="Q95" s="94"/>
      <c r="R95" s="94"/>
      <c r="S95" s="94"/>
      <c r="T95" s="94"/>
      <c r="U95" s="94"/>
      <c r="V95" s="766"/>
      <c r="W95" s="766">
        <v>3.38</v>
      </c>
      <c r="X95" s="766">
        <v>3.32</v>
      </c>
      <c r="Y95" s="766">
        <v>3.33</v>
      </c>
      <c r="Z95" s="766">
        <v>3.4</v>
      </c>
      <c r="AA95" s="766">
        <v>3.42</v>
      </c>
      <c r="AB95" s="766">
        <v>3.46</v>
      </c>
      <c r="AC95" s="766">
        <v>3.49</v>
      </c>
      <c r="AD95" s="766">
        <v>3.53</v>
      </c>
      <c r="AE95" s="766">
        <v>3.56</v>
      </c>
      <c r="AF95" s="766">
        <v>3.59</v>
      </c>
      <c r="AG95" s="766">
        <v>3.63</v>
      </c>
      <c r="AH95" s="766">
        <v>3.66</v>
      </c>
      <c r="AI95" s="766">
        <v>3.69</v>
      </c>
      <c r="AJ95" s="766">
        <v>3.73</v>
      </c>
      <c r="AK95" s="766">
        <v>3.76</v>
      </c>
      <c r="AL95" s="766">
        <v>3.79</v>
      </c>
      <c r="AM95" s="766">
        <v>3.82</v>
      </c>
      <c r="AN95" s="766">
        <v>3.85</v>
      </c>
      <c r="AO95" s="766">
        <v>3.88</v>
      </c>
      <c r="AP95" s="766">
        <v>3.91</v>
      </c>
      <c r="AQ95" s="766">
        <v>3.94</v>
      </c>
      <c r="AR95" s="766">
        <v>3.97</v>
      </c>
      <c r="AS95" s="766">
        <v>4</v>
      </c>
      <c r="AT95" s="766">
        <v>4.03</v>
      </c>
      <c r="AU95" s="766">
        <v>4.0599999999999996</v>
      </c>
      <c r="AV95" s="766">
        <v>4.09</v>
      </c>
      <c r="AW95" s="766">
        <v>4.13</v>
      </c>
      <c r="AX95" s="766">
        <v>4.16</v>
      </c>
      <c r="AY95" s="766">
        <v>4.1900000000000004</v>
      </c>
      <c r="AZ95" s="766">
        <v>4.22</v>
      </c>
      <c r="BA95" s="766">
        <v>4.25</v>
      </c>
      <c r="BB95" s="766">
        <v>4.28</v>
      </c>
      <c r="BC95" s="766">
        <v>4.3099999999999996</v>
      </c>
      <c r="BD95" s="766">
        <v>4.34</v>
      </c>
      <c r="BE95" s="766">
        <v>4.37</v>
      </c>
      <c r="BF95" s="766">
        <v>4.4000000000000004</v>
      </c>
      <c r="BG95" s="766">
        <v>4.43</v>
      </c>
      <c r="BH95" s="766">
        <v>4.46</v>
      </c>
      <c r="BI95" s="766">
        <v>4.49</v>
      </c>
      <c r="BJ95" s="766">
        <v>4.5199999999999996</v>
      </c>
      <c r="BK95" s="766">
        <v>4.55</v>
      </c>
      <c r="BL95" s="766">
        <v>4.58</v>
      </c>
      <c r="BM95" s="766">
        <v>4.6100000000000003</v>
      </c>
      <c r="BN95" s="766">
        <v>4.6399999999999997</v>
      </c>
      <c r="BO95" s="766">
        <v>4.67</v>
      </c>
      <c r="BP95" s="766">
        <v>4.7</v>
      </c>
      <c r="BQ95" s="766">
        <v>4.7300000000000004</v>
      </c>
      <c r="BR95" s="766">
        <v>4.76</v>
      </c>
      <c r="BS95" s="766">
        <v>4.79</v>
      </c>
      <c r="BT95" s="766">
        <v>4.82</v>
      </c>
      <c r="BU95" s="766">
        <v>4.8499999999999996</v>
      </c>
      <c r="BV95" s="766">
        <v>4.88</v>
      </c>
      <c r="BW95" s="766">
        <v>4.91</v>
      </c>
      <c r="BX95" s="766">
        <v>4.9400000000000004</v>
      </c>
      <c r="BY95" s="766">
        <v>4.97</v>
      </c>
      <c r="BZ95" s="766">
        <v>5</v>
      </c>
      <c r="CA95" s="766">
        <v>5.03</v>
      </c>
      <c r="CB95" s="766">
        <v>5.0599999999999996</v>
      </c>
      <c r="CC95" s="766">
        <v>5.09</v>
      </c>
      <c r="CD95" s="766">
        <v>5.12</v>
      </c>
      <c r="CE95" s="766">
        <v>5.15</v>
      </c>
      <c r="CF95" s="766">
        <v>5.18</v>
      </c>
      <c r="CG95" s="766">
        <v>5.21</v>
      </c>
      <c r="CH95" s="766">
        <v>5.24</v>
      </c>
      <c r="CI95" s="766">
        <v>5.27</v>
      </c>
      <c r="CJ95" s="766">
        <v>5.3</v>
      </c>
      <c r="CK95" s="766">
        <v>5.32</v>
      </c>
      <c r="CL95" s="766">
        <v>5.35</v>
      </c>
      <c r="CM95" s="766">
        <v>5.38</v>
      </c>
      <c r="CN95" s="766">
        <v>5.41</v>
      </c>
      <c r="CO95" s="766">
        <v>5.44</v>
      </c>
      <c r="CP95" s="766">
        <v>5.47</v>
      </c>
      <c r="CQ95" s="766">
        <v>5.5</v>
      </c>
      <c r="CR95" s="766">
        <v>5.53</v>
      </c>
      <c r="CS95" s="766">
        <v>5.56</v>
      </c>
      <c r="CT95" s="766">
        <v>5.59</v>
      </c>
      <c r="CU95" s="766">
        <v>5.61</v>
      </c>
      <c r="CV95" s="766">
        <v>5.64</v>
      </c>
      <c r="CW95" s="766">
        <v>5.67</v>
      </c>
      <c r="CX95" s="766">
        <v>5.7</v>
      </c>
      <c r="CY95" s="766">
        <v>5.73</v>
      </c>
      <c r="CZ95" s="766">
        <v>5.76</v>
      </c>
      <c r="DA95" s="766">
        <v>5.78</v>
      </c>
      <c r="DB95" s="766">
        <v>5.81</v>
      </c>
      <c r="DC95" s="766">
        <v>5.84</v>
      </c>
      <c r="DD95" s="766">
        <v>5.87</v>
      </c>
      <c r="DE95" s="766">
        <v>5.89</v>
      </c>
      <c r="DF95" s="766">
        <v>5.92</v>
      </c>
      <c r="DG95" s="766">
        <v>5.95</v>
      </c>
      <c r="DH95" s="766">
        <v>5.98</v>
      </c>
      <c r="DI95" s="766">
        <v>6</v>
      </c>
      <c r="DJ95" s="766">
        <v>6.03</v>
      </c>
      <c r="DK95" s="766">
        <v>6.06</v>
      </c>
      <c r="DL95" s="766">
        <v>6.09</v>
      </c>
      <c r="DM95" s="766">
        <v>6.11</v>
      </c>
      <c r="DN95" s="766">
        <v>6.14</v>
      </c>
      <c r="DO95" s="766">
        <v>6.17</v>
      </c>
      <c r="DP95" s="766">
        <v>6.19</v>
      </c>
      <c r="DQ95" s="766">
        <v>6.22</v>
      </c>
      <c r="DR95" s="766">
        <v>6.25</v>
      </c>
    </row>
    <row r="96" spans="1:122">
      <c r="A96" s="950">
        <v>94</v>
      </c>
      <c r="B96" s="94"/>
      <c r="C96" s="94"/>
      <c r="D96" s="94"/>
      <c r="E96" s="94"/>
      <c r="F96" s="94"/>
      <c r="G96" s="94"/>
      <c r="H96" s="94"/>
      <c r="I96" s="94"/>
      <c r="J96" s="94"/>
      <c r="K96" s="94"/>
      <c r="L96" s="94"/>
      <c r="M96" s="94"/>
      <c r="N96" s="94"/>
      <c r="O96" s="94"/>
      <c r="P96" s="94"/>
      <c r="Q96" s="94"/>
      <c r="R96" s="94"/>
      <c r="S96" s="94"/>
      <c r="T96" s="94"/>
      <c r="U96" s="94"/>
      <c r="V96" s="766"/>
      <c r="W96" s="766">
        <v>3.17</v>
      </c>
      <c r="X96" s="766">
        <v>3.05</v>
      </c>
      <c r="Y96" s="766">
        <v>3.1</v>
      </c>
      <c r="Z96" s="766">
        <v>3.17</v>
      </c>
      <c r="AA96" s="766">
        <v>3.18</v>
      </c>
      <c r="AB96" s="766">
        <v>3.21</v>
      </c>
      <c r="AC96" s="766">
        <v>3.24</v>
      </c>
      <c r="AD96" s="766">
        <v>3.27</v>
      </c>
      <c r="AE96" s="766">
        <v>3.3</v>
      </c>
      <c r="AF96" s="766">
        <v>3.33</v>
      </c>
      <c r="AG96" s="766">
        <v>3.36</v>
      </c>
      <c r="AH96" s="766">
        <v>3.39</v>
      </c>
      <c r="AI96" s="766">
        <v>3.42</v>
      </c>
      <c r="AJ96" s="766">
        <v>3.45</v>
      </c>
      <c r="AK96" s="766">
        <v>3.48</v>
      </c>
      <c r="AL96" s="766">
        <v>3.51</v>
      </c>
      <c r="AM96" s="766">
        <v>3.54</v>
      </c>
      <c r="AN96" s="766">
        <v>3.56</v>
      </c>
      <c r="AO96" s="766">
        <v>3.59</v>
      </c>
      <c r="AP96" s="766">
        <v>3.62</v>
      </c>
      <c r="AQ96" s="766">
        <v>3.64</v>
      </c>
      <c r="AR96" s="766">
        <v>3.67</v>
      </c>
      <c r="AS96" s="766">
        <v>3.7</v>
      </c>
      <c r="AT96" s="766">
        <v>3.72</v>
      </c>
      <c r="AU96" s="766">
        <v>3.75</v>
      </c>
      <c r="AV96" s="766">
        <v>3.78</v>
      </c>
      <c r="AW96" s="766">
        <v>3.81</v>
      </c>
      <c r="AX96" s="766">
        <v>3.83</v>
      </c>
      <c r="AY96" s="766">
        <v>3.86</v>
      </c>
      <c r="AZ96" s="766">
        <v>3.89</v>
      </c>
      <c r="BA96" s="766">
        <v>3.91</v>
      </c>
      <c r="BB96" s="766">
        <v>3.94</v>
      </c>
      <c r="BC96" s="766">
        <v>3.97</v>
      </c>
      <c r="BD96" s="766">
        <v>3.99</v>
      </c>
      <c r="BE96" s="766">
        <v>4.0199999999999996</v>
      </c>
      <c r="BF96" s="766">
        <v>4.05</v>
      </c>
      <c r="BG96" s="766">
        <v>4.08</v>
      </c>
      <c r="BH96" s="766">
        <v>4.0999999999999996</v>
      </c>
      <c r="BI96" s="766">
        <v>4.13</v>
      </c>
      <c r="BJ96" s="766">
        <v>4.16</v>
      </c>
      <c r="BK96" s="766">
        <v>4.18</v>
      </c>
      <c r="BL96" s="766">
        <v>4.21</v>
      </c>
      <c r="BM96" s="766">
        <v>4.24</v>
      </c>
      <c r="BN96" s="766">
        <v>4.26</v>
      </c>
      <c r="BO96" s="766">
        <v>4.29</v>
      </c>
      <c r="BP96" s="766">
        <v>4.32</v>
      </c>
      <c r="BQ96" s="766">
        <v>4.3499999999999996</v>
      </c>
      <c r="BR96" s="766">
        <v>4.37</v>
      </c>
      <c r="BS96" s="766">
        <v>4.4000000000000004</v>
      </c>
      <c r="BT96" s="766">
        <v>4.43</v>
      </c>
      <c r="BU96" s="766">
        <v>4.45</v>
      </c>
      <c r="BV96" s="766">
        <v>4.4800000000000004</v>
      </c>
      <c r="BW96" s="766">
        <v>4.51</v>
      </c>
      <c r="BX96" s="766">
        <v>4.53</v>
      </c>
      <c r="BY96" s="766">
        <v>4.5599999999999996</v>
      </c>
      <c r="BZ96" s="766">
        <v>4.59</v>
      </c>
      <c r="CA96" s="766">
        <v>4.6100000000000003</v>
      </c>
      <c r="CB96" s="766">
        <v>4.6399999999999997</v>
      </c>
      <c r="CC96" s="766">
        <v>4.66</v>
      </c>
      <c r="CD96" s="766">
        <v>4.6900000000000004</v>
      </c>
      <c r="CE96" s="766">
        <v>4.72</v>
      </c>
      <c r="CF96" s="766">
        <v>4.74</v>
      </c>
      <c r="CG96" s="766">
        <v>4.7699999999999996</v>
      </c>
      <c r="CH96" s="766">
        <v>4.8</v>
      </c>
      <c r="CI96" s="766">
        <v>4.82</v>
      </c>
      <c r="CJ96" s="766">
        <v>4.8499999999999996</v>
      </c>
      <c r="CK96" s="766">
        <v>4.87</v>
      </c>
      <c r="CL96" s="766">
        <v>4.9000000000000004</v>
      </c>
      <c r="CM96" s="766">
        <v>4.93</v>
      </c>
      <c r="CN96" s="766">
        <v>4.95</v>
      </c>
      <c r="CO96" s="766">
        <v>4.9800000000000004</v>
      </c>
      <c r="CP96" s="766">
        <v>5</v>
      </c>
      <c r="CQ96" s="766">
        <v>5.03</v>
      </c>
      <c r="CR96" s="766">
        <v>5.05</v>
      </c>
      <c r="CS96" s="766">
        <v>5.08</v>
      </c>
      <c r="CT96" s="766">
        <v>5.0999999999999996</v>
      </c>
      <c r="CU96" s="766">
        <v>5.13</v>
      </c>
      <c r="CV96" s="766">
        <v>5.15</v>
      </c>
      <c r="CW96" s="766">
        <v>5.18</v>
      </c>
      <c r="CX96" s="766">
        <v>5.2</v>
      </c>
      <c r="CY96" s="766">
        <v>5.23</v>
      </c>
      <c r="CZ96" s="766">
        <v>5.25</v>
      </c>
      <c r="DA96" s="766">
        <v>5.28</v>
      </c>
      <c r="DB96" s="766">
        <v>5.3</v>
      </c>
      <c r="DC96" s="766">
        <v>5.33</v>
      </c>
      <c r="DD96" s="766">
        <v>5.35</v>
      </c>
      <c r="DE96" s="766">
        <v>5.38</v>
      </c>
      <c r="DF96" s="766">
        <v>5.4</v>
      </c>
      <c r="DG96" s="766">
        <v>5.43</v>
      </c>
      <c r="DH96" s="766">
        <v>5.45</v>
      </c>
      <c r="DI96" s="766">
        <v>5.47</v>
      </c>
      <c r="DJ96" s="766">
        <v>5.5</v>
      </c>
      <c r="DK96" s="766">
        <v>5.52</v>
      </c>
      <c r="DL96" s="766">
        <v>5.55</v>
      </c>
      <c r="DM96" s="766">
        <v>5.57</v>
      </c>
      <c r="DN96" s="766">
        <v>5.59</v>
      </c>
      <c r="DO96" s="766">
        <v>5.62</v>
      </c>
      <c r="DP96" s="766">
        <v>5.64</v>
      </c>
      <c r="DQ96" s="766">
        <v>5.66</v>
      </c>
      <c r="DR96" s="766">
        <v>5.69</v>
      </c>
    </row>
    <row r="97" spans="1:122">
      <c r="A97" s="950">
        <v>95</v>
      </c>
      <c r="B97" s="94"/>
      <c r="C97" s="94"/>
      <c r="D97" s="94"/>
      <c r="E97" s="94"/>
      <c r="F97" s="94"/>
      <c r="G97" s="94"/>
      <c r="H97" s="94"/>
      <c r="I97" s="94"/>
      <c r="J97" s="94"/>
      <c r="K97" s="94"/>
      <c r="L97" s="94"/>
      <c r="M97" s="94"/>
      <c r="N97" s="94"/>
      <c r="O97" s="94"/>
      <c r="P97" s="94"/>
      <c r="Q97" s="94"/>
      <c r="R97" s="94"/>
      <c r="S97" s="94"/>
      <c r="T97" s="94"/>
      <c r="U97" s="94"/>
      <c r="V97" s="766"/>
      <c r="W97" s="766">
        <v>2.94</v>
      </c>
      <c r="X97" s="766">
        <v>2.83</v>
      </c>
      <c r="Y97" s="766">
        <v>2.87</v>
      </c>
      <c r="Z97" s="766">
        <v>2.94</v>
      </c>
      <c r="AA97" s="766">
        <v>2.95</v>
      </c>
      <c r="AB97" s="766">
        <v>2.98</v>
      </c>
      <c r="AC97" s="766">
        <v>3</v>
      </c>
      <c r="AD97" s="766">
        <v>3.03</v>
      </c>
      <c r="AE97" s="766">
        <v>3.06</v>
      </c>
      <c r="AF97" s="766">
        <v>3.08</v>
      </c>
      <c r="AG97" s="766">
        <v>3.11</v>
      </c>
      <c r="AH97" s="766">
        <v>3.14</v>
      </c>
      <c r="AI97" s="766">
        <v>3.16</v>
      </c>
      <c r="AJ97" s="766">
        <v>3.19</v>
      </c>
      <c r="AK97" s="766">
        <v>3.22</v>
      </c>
      <c r="AL97" s="766">
        <v>3.24</v>
      </c>
      <c r="AM97" s="766">
        <v>3.27</v>
      </c>
      <c r="AN97" s="766">
        <v>3.29</v>
      </c>
      <c r="AO97" s="766">
        <v>3.32</v>
      </c>
      <c r="AP97" s="766">
        <v>3.34</v>
      </c>
      <c r="AQ97" s="766">
        <v>3.36</v>
      </c>
      <c r="AR97" s="766">
        <v>3.39</v>
      </c>
      <c r="AS97" s="766">
        <v>3.41</v>
      </c>
      <c r="AT97" s="766">
        <v>3.43</v>
      </c>
      <c r="AU97" s="766">
        <v>3.46</v>
      </c>
      <c r="AV97" s="766">
        <v>3.48</v>
      </c>
      <c r="AW97" s="766">
        <v>3.51</v>
      </c>
      <c r="AX97" s="766">
        <v>3.53</v>
      </c>
      <c r="AY97" s="766">
        <v>3.55</v>
      </c>
      <c r="AZ97" s="766">
        <v>3.58</v>
      </c>
      <c r="BA97" s="766">
        <v>3.6</v>
      </c>
      <c r="BB97" s="766">
        <v>3.63</v>
      </c>
      <c r="BC97" s="766">
        <v>3.65</v>
      </c>
      <c r="BD97" s="766">
        <v>3.67</v>
      </c>
      <c r="BE97" s="766">
        <v>3.7</v>
      </c>
      <c r="BF97" s="766">
        <v>3.72</v>
      </c>
      <c r="BG97" s="766">
        <v>3.74</v>
      </c>
      <c r="BH97" s="766">
        <v>3.77</v>
      </c>
      <c r="BI97" s="766">
        <v>3.79</v>
      </c>
      <c r="BJ97" s="766">
        <v>3.82</v>
      </c>
      <c r="BK97" s="766">
        <v>3.84</v>
      </c>
      <c r="BL97" s="766">
        <v>3.86</v>
      </c>
      <c r="BM97" s="766">
        <v>3.89</v>
      </c>
      <c r="BN97" s="766">
        <v>3.91</v>
      </c>
      <c r="BO97" s="766">
        <v>3.93</v>
      </c>
      <c r="BP97" s="766">
        <v>3.96</v>
      </c>
      <c r="BQ97" s="766">
        <v>3.98</v>
      </c>
      <c r="BR97" s="766">
        <v>4</v>
      </c>
      <c r="BS97" s="766">
        <v>4.03</v>
      </c>
      <c r="BT97" s="766">
        <v>4.05</v>
      </c>
      <c r="BU97" s="766">
        <v>4.08</v>
      </c>
      <c r="BV97" s="766">
        <v>4.0999999999999996</v>
      </c>
      <c r="BW97" s="766">
        <v>4.12</v>
      </c>
      <c r="BX97" s="766">
        <v>4.1500000000000004</v>
      </c>
      <c r="BY97" s="766">
        <v>4.17</v>
      </c>
      <c r="BZ97" s="766">
        <v>4.1900000000000004</v>
      </c>
      <c r="CA97" s="766">
        <v>4.21</v>
      </c>
      <c r="CB97" s="766">
        <v>4.24</v>
      </c>
      <c r="CC97" s="766">
        <v>4.26</v>
      </c>
      <c r="CD97" s="766">
        <v>4.28</v>
      </c>
      <c r="CE97" s="766">
        <v>4.3099999999999996</v>
      </c>
      <c r="CF97" s="766">
        <v>4.33</v>
      </c>
      <c r="CG97" s="766">
        <v>4.3499999999999996</v>
      </c>
      <c r="CH97" s="766">
        <v>4.38</v>
      </c>
      <c r="CI97" s="766">
        <v>4.4000000000000004</v>
      </c>
      <c r="CJ97" s="766">
        <v>4.42</v>
      </c>
      <c r="CK97" s="766">
        <v>4.4400000000000004</v>
      </c>
      <c r="CL97" s="766">
        <v>4.47</v>
      </c>
      <c r="CM97" s="766">
        <v>4.49</v>
      </c>
      <c r="CN97" s="766">
        <v>4.51</v>
      </c>
      <c r="CO97" s="766">
        <v>4.53</v>
      </c>
      <c r="CP97" s="766">
        <v>4.5599999999999996</v>
      </c>
      <c r="CQ97" s="766">
        <v>4.58</v>
      </c>
      <c r="CR97" s="766">
        <v>4.5999999999999996</v>
      </c>
      <c r="CS97" s="766">
        <v>4.62</v>
      </c>
      <c r="CT97" s="766">
        <v>4.6399999999999997</v>
      </c>
      <c r="CU97" s="766">
        <v>4.67</v>
      </c>
      <c r="CV97" s="766">
        <v>4.6900000000000004</v>
      </c>
      <c r="CW97" s="766">
        <v>4.71</v>
      </c>
      <c r="CX97" s="766">
        <v>4.7300000000000004</v>
      </c>
      <c r="CY97" s="766">
        <v>4.75</v>
      </c>
      <c r="CZ97" s="766">
        <v>4.7699999999999996</v>
      </c>
      <c r="DA97" s="766">
        <v>4.8</v>
      </c>
      <c r="DB97" s="766">
        <v>4.82</v>
      </c>
      <c r="DC97" s="766">
        <v>4.84</v>
      </c>
      <c r="DD97" s="766">
        <v>4.8600000000000003</v>
      </c>
      <c r="DE97" s="766">
        <v>4.88</v>
      </c>
      <c r="DF97" s="766">
        <v>4.9000000000000004</v>
      </c>
      <c r="DG97" s="766">
        <v>4.92</v>
      </c>
      <c r="DH97" s="766">
        <v>4.9400000000000004</v>
      </c>
      <c r="DI97" s="766">
        <v>4.96</v>
      </c>
      <c r="DJ97" s="766">
        <v>4.99</v>
      </c>
      <c r="DK97" s="766">
        <v>5.01</v>
      </c>
      <c r="DL97" s="766">
        <v>5.03</v>
      </c>
      <c r="DM97" s="766">
        <v>5.05</v>
      </c>
      <c r="DN97" s="766">
        <v>5.07</v>
      </c>
      <c r="DO97" s="766">
        <v>5.09</v>
      </c>
      <c r="DP97" s="766">
        <v>5.1100000000000003</v>
      </c>
      <c r="DQ97" s="766">
        <v>5.13</v>
      </c>
      <c r="DR97" s="766">
        <v>5.15</v>
      </c>
    </row>
    <row r="98" spans="1:122">
      <c r="A98" s="950">
        <v>96</v>
      </c>
      <c r="B98" s="94"/>
      <c r="C98" s="94"/>
      <c r="D98" s="94"/>
      <c r="E98" s="94"/>
      <c r="F98" s="94"/>
      <c r="G98" s="94"/>
      <c r="H98" s="94"/>
      <c r="I98" s="94"/>
      <c r="J98" s="94"/>
      <c r="K98" s="94"/>
      <c r="L98" s="94"/>
      <c r="M98" s="94"/>
      <c r="N98" s="94"/>
      <c r="O98" s="94"/>
      <c r="P98" s="94"/>
      <c r="Q98" s="94"/>
      <c r="R98" s="94"/>
      <c r="S98" s="94"/>
      <c r="T98" s="94"/>
      <c r="U98" s="94"/>
      <c r="V98" s="766"/>
      <c r="W98" s="766">
        <v>2.74</v>
      </c>
      <c r="X98" s="766">
        <v>2.64</v>
      </c>
      <c r="Y98" s="766">
        <v>2.68</v>
      </c>
      <c r="Z98" s="766">
        <v>2.74</v>
      </c>
      <c r="AA98" s="766">
        <v>2.74</v>
      </c>
      <c r="AB98" s="766">
        <v>2.77</v>
      </c>
      <c r="AC98" s="766">
        <v>2.79</v>
      </c>
      <c r="AD98" s="766">
        <v>2.82</v>
      </c>
      <c r="AE98" s="766">
        <v>2.84</v>
      </c>
      <c r="AF98" s="766">
        <v>2.86</v>
      </c>
      <c r="AG98" s="766">
        <v>2.89</v>
      </c>
      <c r="AH98" s="766">
        <v>2.91</v>
      </c>
      <c r="AI98" s="766">
        <v>2.93</v>
      </c>
      <c r="AJ98" s="766">
        <v>2.96</v>
      </c>
      <c r="AK98" s="766">
        <v>2.98</v>
      </c>
      <c r="AL98" s="766">
        <v>3.01</v>
      </c>
      <c r="AM98" s="766">
        <v>3.03</v>
      </c>
      <c r="AN98" s="766">
        <v>3.05</v>
      </c>
      <c r="AO98" s="766">
        <v>3.07</v>
      </c>
      <c r="AP98" s="766">
        <v>3.09</v>
      </c>
      <c r="AQ98" s="766">
        <v>3.11</v>
      </c>
      <c r="AR98" s="766">
        <v>3.13</v>
      </c>
      <c r="AS98" s="766">
        <v>3.16</v>
      </c>
      <c r="AT98" s="766">
        <v>3.18</v>
      </c>
      <c r="AU98" s="766">
        <v>3.2</v>
      </c>
      <c r="AV98" s="766">
        <v>3.22</v>
      </c>
      <c r="AW98" s="766">
        <v>3.24</v>
      </c>
      <c r="AX98" s="766">
        <v>3.26</v>
      </c>
      <c r="AY98" s="766">
        <v>3.28</v>
      </c>
      <c r="AZ98" s="766">
        <v>3.3</v>
      </c>
      <c r="BA98" s="766">
        <v>3.33</v>
      </c>
      <c r="BB98" s="766">
        <v>3.35</v>
      </c>
      <c r="BC98" s="766">
        <v>3.37</v>
      </c>
      <c r="BD98" s="766">
        <v>3.39</v>
      </c>
      <c r="BE98" s="766">
        <v>3.41</v>
      </c>
      <c r="BF98" s="766">
        <v>3.43</v>
      </c>
      <c r="BG98" s="766">
        <v>3.45</v>
      </c>
      <c r="BH98" s="766">
        <v>3.47</v>
      </c>
      <c r="BI98" s="766">
        <v>3.49</v>
      </c>
      <c r="BJ98" s="766">
        <v>3.52</v>
      </c>
      <c r="BK98" s="766">
        <v>3.54</v>
      </c>
      <c r="BL98" s="766">
        <v>3.56</v>
      </c>
      <c r="BM98" s="766">
        <v>3.58</v>
      </c>
      <c r="BN98" s="766">
        <v>3.6</v>
      </c>
      <c r="BO98" s="766">
        <v>3.62</v>
      </c>
      <c r="BP98" s="766">
        <v>3.64</v>
      </c>
      <c r="BQ98" s="766">
        <v>3.66</v>
      </c>
      <c r="BR98" s="766">
        <v>3.68</v>
      </c>
      <c r="BS98" s="766">
        <v>3.7</v>
      </c>
      <c r="BT98" s="766">
        <v>3.72</v>
      </c>
      <c r="BU98" s="766">
        <v>3.74</v>
      </c>
      <c r="BV98" s="766">
        <v>3.76</v>
      </c>
      <c r="BW98" s="766">
        <v>3.79</v>
      </c>
      <c r="BX98" s="766">
        <v>3.81</v>
      </c>
      <c r="BY98" s="766">
        <v>3.83</v>
      </c>
      <c r="BZ98" s="766">
        <v>3.85</v>
      </c>
      <c r="CA98" s="766">
        <v>3.87</v>
      </c>
      <c r="CB98" s="766">
        <v>3.89</v>
      </c>
      <c r="CC98" s="766">
        <v>3.91</v>
      </c>
      <c r="CD98" s="766">
        <v>3.93</v>
      </c>
      <c r="CE98" s="766">
        <v>3.95</v>
      </c>
      <c r="CF98" s="766">
        <v>3.97</v>
      </c>
      <c r="CG98" s="766">
        <v>3.99</v>
      </c>
      <c r="CH98" s="766">
        <v>4.01</v>
      </c>
      <c r="CI98" s="766">
        <v>4.03</v>
      </c>
      <c r="CJ98" s="766">
        <v>4.05</v>
      </c>
      <c r="CK98" s="766">
        <v>4.07</v>
      </c>
      <c r="CL98" s="766">
        <v>4.09</v>
      </c>
      <c r="CM98" s="766">
        <v>4.1100000000000003</v>
      </c>
      <c r="CN98" s="766">
        <v>4.13</v>
      </c>
      <c r="CO98" s="766">
        <v>4.1500000000000004</v>
      </c>
      <c r="CP98" s="766">
        <v>4.17</v>
      </c>
      <c r="CQ98" s="766">
        <v>4.18</v>
      </c>
      <c r="CR98" s="766">
        <v>4.2</v>
      </c>
      <c r="CS98" s="766">
        <v>4.22</v>
      </c>
      <c r="CT98" s="766">
        <v>4.24</v>
      </c>
      <c r="CU98" s="766">
        <v>4.26</v>
      </c>
      <c r="CV98" s="766">
        <v>4.28</v>
      </c>
      <c r="CW98" s="766">
        <v>4.3</v>
      </c>
      <c r="CX98" s="766">
        <v>4.32</v>
      </c>
      <c r="CY98" s="766">
        <v>4.34</v>
      </c>
      <c r="CZ98" s="766">
        <v>4.3600000000000003</v>
      </c>
      <c r="DA98" s="766">
        <v>4.38</v>
      </c>
      <c r="DB98" s="766">
        <v>4.3899999999999997</v>
      </c>
      <c r="DC98" s="766">
        <v>4.41</v>
      </c>
      <c r="DD98" s="766">
        <v>4.43</v>
      </c>
      <c r="DE98" s="766">
        <v>4.45</v>
      </c>
      <c r="DF98" s="766">
        <v>4.47</v>
      </c>
      <c r="DG98" s="766">
        <v>4.49</v>
      </c>
      <c r="DH98" s="766">
        <v>4.5</v>
      </c>
      <c r="DI98" s="766">
        <v>4.5199999999999996</v>
      </c>
      <c r="DJ98" s="766">
        <v>4.54</v>
      </c>
      <c r="DK98" s="766">
        <v>4.5599999999999996</v>
      </c>
      <c r="DL98" s="766">
        <v>4.58</v>
      </c>
      <c r="DM98" s="766">
        <v>4.59</v>
      </c>
      <c r="DN98" s="766">
        <v>4.6100000000000003</v>
      </c>
      <c r="DO98" s="766">
        <v>4.63</v>
      </c>
      <c r="DP98" s="766">
        <v>4.6500000000000004</v>
      </c>
      <c r="DQ98" s="766">
        <v>4.66</v>
      </c>
      <c r="DR98" s="766">
        <v>4.68</v>
      </c>
    </row>
    <row r="99" spans="1:122">
      <c r="A99" s="950">
        <v>97</v>
      </c>
      <c r="B99" s="94"/>
      <c r="C99" s="94"/>
      <c r="D99" s="94"/>
      <c r="E99" s="94"/>
      <c r="F99" s="94"/>
      <c r="G99" s="94"/>
      <c r="H99" s="94"/>
      <c r="I99" s="94"/>
      <c r="J99" s="94"/>
      <c r="K99" s="94"/>
      <c r="L99" s="94"/>
      <c r="M99" s="94"/>
      <c r="N99" s="94"/>
      <c r="O99" s="94"/>
      <c r="P99" s="94"/>
      <c r="Q99" s="94"/>
      <c r="R99" s="94"/>
      <c r="S99" s="94"/>
      <c r="T99" s="94"/>
      <c r="U99" s="94"/>
      <c r="V99" s="766"/>
      <c r="W99" s="766">
        <v>2.5499999999999998</v>
      </c>
      <c r="X99" s="766">
        <v>2.46</v>
      </c>
      <c r="Y99" s="766">
        <v>2.5</v>
      </c>
      <c r="Z99" s="766">
        <v>2.5499999999999998</v>
      </c>
      <c r="AA99" s="766">
        <v>2.56</v>
      </c>
      <c r="AB99" s="766">
        <v>2.58</v>
      </c>
      <c r="AC99" s="766">
        <v>2.6</v>
      </c>
      <c r="AD99" s="766">
        <v>2.62</v>
      </c>
      <c r="AE99" s="766">
        <v>2.64</v>
      </c>
      <c r="AF99" s="766">
        <v>2.67</v>
      </c>
      <c r="AG99" s="766">
        <v>2.69</v>
      </c>
      <c r="AH99" s="766">
        <v>2.71</v>
      </c>
      <c r="AI99" s="766">
        <v>2.73</v>
      </c>
      <c r="AJ99" s="766">
        <v>2.75</v>
      </c>
      <c r="AK99" s="766">
        <v>2.77</v>
      </c>
      <c r="AL99" s="766">
        <v>2.8</v>
      </c>
      <c r="AM99" s="766">
        <v>2.81</v>
      </c>
      <c r="AN99" s="766">
        <v>2.83</v>
      </c>
      <c r="AO99" s="766">
        <v>2.85</v>
      </c>
      <c r="AP99" s="766">
        <v>2.87</v>
      </c>
      <c r="AQ99" s="766">
        <v>2.89</v>
      </c>
      <c r="AR99" s="766">
        <v>2.91</v>
      </c>
      <c r="AS99" s="766">
        <v>2.93</v>
      </c>
      <c r="AT99" s="766">
        <v>2.95</v>
      </c>
      <c r="AU99" s="766">
        <v>2.97</v>
      </c>
      <c r="AV99" s="766">
        <v>2.99</v>
      </c>
      <c r="AW99" s="766">
        <v>3</v>
      </c>
      <c r="AX99" s="766">
        <v>3.02</v>
      </c>
      <c r="AY99" s="766">
        <v>3.04</v>
      </c>
      <c r="AZ99" s="766">
        <v>3.06</v>
      </c>
      <c r="BA99" s="766">
        <v>3.08</v>
      </c>
      <c r="BB99" s="766">
        <v>3.1</v>
      </c>
      <c r="BC99" s="766">
        <v>3.12</v>
      </c>
      <c r="BD99" s="766">
        <v>3.14</v>
      </c>
      <c r="BE99" s="766">
        <v>3.16</v>
      </c>
      <c r="BF99" s="766">
        <v>3.17</v>
      </c>
      <c r="BG99" s="766">
        <v>3.19</v>
      </c>
      <c r="BH99" s="766">
        <v>3.21</v>
      </c>
      <c r="BI99" s="766">
        <v>3.23</v>
      </c>
      <c r="BJ99" s="766">
        <v>3.25</v>
      </c>
      <c r="BK99" s="766">
        <v>3.27</v>
      </c>
      <c r="BL99" s="766">
        <v>3.29</v>
      </c>
      <c r="BM99" s="766">
        <v>3.31</v>
      </c>
      <c r="BN99" s="766">
        <v>3.32</v>
      </c>
      <c r="BO99" s="766">
        <v>3.34</v>
      </c>
      <c r="BP99" s="766">
        <v>3.36</v>
      </c>
      <c r="BQ99" s="766">
        <v>3.38</v>
      </c>
      <c r="BR99" s="766">
        <v>3.4</v>
      </c>
      <c r="BS99" s="766">
        <v>3.42</v>
      </c>
      <c r="BT99" s="766">
        <v>3.43</v>
      </c>
      <c r="BU99" s="766">
        <v>3.45</v>
      </c>
      <c r="BV99" s="766">
        <v>3.47</v>
      </c>
      <c r="BW99" s="766">
        <v>3.49</v>
      </c>
      <c r="BX99" s="766">
        <v>3.51</v>
      </c>
      <c r="BY99" s="766">
        <v>3.53</v>
      </c>
      <c r="BZ99" s="766">
        <v>3.54</v>
      </c>
      <c r="CA99" s="766">
        <v>3.56</v>
      </c>
      <c r="CB99" s="766">
        <v>3.58</v>
      </c>
      <c r="CC99" s="766">
        <v>3.6</v>
      </c>
      <c r="CD99" s="766">
        <v>3.62</v>
      </c>
      <c r="CE99" s="766">
        <v>3.63</v>
      </c>
      <c r="CF99" s="766">
        <v>3.65</v>
      </c>
      <c r="CG99" s="766">
        <v>3.67</v>
      </c>
      <c r="CH99" s="766">
        <v>3.69</v>
      </c>
      <c r="CI99" s="766">
        <v>3.7</v>
      </c>
      <c r="CJ99" s="766">
        <v>3.72</v>
      </c>
      <c r="CK99" s="766">
        <v>3.74</v>
      </c>
      <c r="CL99" s="766">
        <v>3.76</v>
      </c>
      <c r="CM99" s="766">
        <v>3.77</v>
      </c>
      <c r="CN99" s="766">
        <v>3.79</v>
      </c>
      <c r="CO99" s="766">
        <v>3.81</v>
      </c>
      <c r="CP99" s="766">
        <v>3.83</v>
      </c>
      <c r="CQ99" s="766">
        <v>3.84</v>
      </c>
      <c r="CR99" s="766">
        <v>3.86</v>
      </c>
      <c r="CS99" s="766">
        <v>3.88</v>
      </c>
      <c r="CT99" s="766">
        <v>3.89</v>
      </c>
      <c r="CU99" s="766">
        <v>3.91</v>
      </c>
      <c r="CV99" s="766">
        <v>3.93</v>
      </c>
      <c r="CW99" s="766">
        <v>3.94</v>
      </c>
      <c r="CX99" s="766">
        <v>3.96</v>
      </c>
      <c r="CY99" s="766">
        <v>3.98</v>
      </c>
      <c r="CZ99" s="766">
        <v>3.99</v>
      </c>
      <c r="DA99" s="766">
        <v>4.01</v>
      </c>
      <c r="DB99" s="766">
        <v>4.03</v>
      </c>
      <c r="DC99" s="766">
        <v>4.04</v>
      </c>
      <c r="DD99" s="766">
        <v>4.0599999999999996</v>
      </c>
      <c r="DE99" s="766">
        <v>4.08</v>
      </c>
      <c r="DF99" s="766">
        <v>4.09</v>
      </c>
      <c r="DG99" s="766">
        <v>4.1100000000000003</v>
      </c>
      <c r="DH99" s="766">
        <v>4.12</v>
      </c>
      <c r="DI99" s="766">
        <v>4.1399999999999997</v>
      </c>
      <c r="DJ99" s="766">
        <v>4.16</v>
      </c>
      <c r="DK99" s="766">
        <v>4.17</v>
      </c>
      <c r="DL99" s="766">
        <v>4.1900000000000004</v>
      </c>
      <c r="DM99" s="766">
        <v>4.2</v>
      </c>
      <c r="DN99" s="766">
        <v>4.22</v>
      </c>
      <c r="DO99" s="766">
        <v>4.2300000000000004</v>
      </c>
      <c r="DP99" s="766">
        <v>4.25</v>
      </c>
      <c r="DQ99" s="766">
        <v>4.26</v>
      </c>
      <c r="DR99" s="766">
        <v>4.28</v>
      </c>
    </row>
    <row r="100" spans="1:122">
      <c r="A100" s="950">
        <v>98</v>
      </c>
      <c r="B100" s="94"/>
      <c r="C100" s="94"/>
      <c r="D100" s="94"/>
      <c r="E100" s="94"/>
      <c r="F100" s="94"/>
      <c r="G100" s="94"/>
      <c r="H100" s="94"/>
      <c r="I100" s="94"/>
      <c r="J100" s="94"/>
      <c r="K100" s="94"/>
      <c r="L100" s="94"/>
      <c r="M100" s="94"/>
      <c r="N100" s="94"/>
      <c r="O100" s="94"/>
      <c r="P100" s="94"/>
      <c r="Q100" s="94"/>
      <c r="R100" s="94"/>
      <c r="S100" s="94"/>
      <c r="T100" s="94"/>
      <c r="U100" s="94"/>
      <c r="V100" s="766"/>
      <c r="W100" s="766">
        <v>2.39</v>
      </c>
      <c r="X100" s="766">
        <v>2.31</v>
      </c>
      <c r="Y100" s="766">
        <v>2.34</v>
      </c>
      <c r="Z100" s="766">
        <v>2.39</v>
      </c>
      <c r="AA100" s="766">
        <v>2.39</v>
      </c>
      <c r="AB100" s="766">
        <v>2.41</v>
      </c>
      <c r="AC100" s="766">
        <v>2.4300000000000002</v>
      </c>
      <c r="AD100" s="766">
        <v>2.4500000000000002</v>
      </c>
      <c r="AE100" s="766">
        <v>2.4700000000000002</v>
      </c>
      <c r="AF100" s="766">
        <v>2.4900000000000002</v>
      </c>
      <c r="AG100" s="766">
        <v>2.5099999999999998</v>
      </c>
      <c r="AH100" s="766">
        <v>2.5299999999999998</v>
      </c>
      <c r="AI100" s="766">
        <v>2.5499999999999998</v>
      </c>
      <c r="AJ100" s="766">
        <v>2.57</v>
      </c>
      <c r="AK100" s="766">
        <v>2.59</v>
      </c>
      <c r="AL100" s="766">
        <v>2.61</v>
      </c>
      <c r="AM100" s="766">
        <v>2.62</v>
      </c>
      <c r="AN100" s="766">
        <v>2.64</v>
      </c>
      <c r="AO100" s="766">
        <v>2.66</v>
      </c>
      <c r="AP100" s="766">
        <v>2.68</v>
      </c>
      <c r="AQ100" s="766">
        <v>2.69</v>
      </c>
      <c r="AR100" s="766">
        <v>2.71</v>
      </c>
      <c r="AS100" s="766">
        <v>2.73</v>
      </c>
      <c r="AT100" s="766">
        <v>2.74</v>
      </c>
      <c r="AU100" s="766">
        <v>2.76</v>
      </c>
      <c r="AV100" s="766">
        <v>2.78</v>
      </c>
      <c r="AW100" s="766">
        <v>2.8</v>
      </c>
      <c r="AX100" s="766">
        <v>2.81</v>
      </c>
      <c r="AY100" s="766">
        <v>2.83</v>
      </c>
      <c r="AZ100" s="766">
        <v>2.85</v>
      </c>
      <c r="BA100" s="766">
        <v>2.86</v>
      </c>
      <c r="BB100" s="766">
        <v>2.88</v>
      </c>
      <c r="BC100" s="766">
        <v>2.9</v>
      </c>
      <c r="BD100" s="766">
        <v>2.91</v>
      </c>
      <c r="BE100" s="766">
        <v>2.93</v>
      </c>
      <c r="BF100" s="766">
        <v>2.95</v>
      </c>
      <c r="BG100" s="766">
        <v>2.97</v>
      </c>
      <c r="BH100" s="766">
        <v>2.98</v>
      </c>
      <c r="BI100" s="766">
        <v>3</v>
      </c>
      <c r="BJ100" s="766">
        <v>3.02</v>
      </c>
      <c r="BK100" s="766">
        <v>3.03</v>
      </c>
      <c r="BL100" s="766">
        <v>3.05</v>
      </c>
      <c r="BM100" s="766">
        <v>3.07</v>
      </c>
      <c r="BN100" s="766">
        <v>3.08</v>
      </c>
      <c r="BO100" s="766">
        <v>3.1</v>
      </c>
      <c r="BP100" s="766">
        <v>3.12</v>
      </c>
      <c r="BQ100" s="766">
        <v>3.13</v>
      </c>
      <c r="BR100" s="766">
        <v>3.15</v>
      </c>
      <c r="BS100" s="766">
        <v>3.16</v>
      </c>
      <c r="BT100" s="766">
        <v>3.18</v>
      </c>
      <c r="BU100" s="766">
        <v>3.2</v>
      </c>
      <c r="BV100" s="766">
        <v>3.21</v>
      </c>
      <c r="BW100" s="766">
        <v>3.23</v>
      </c>
      <c r="BX100" s="766">
        <v>3.25</v>
      </c>
      <c r="BY100" s="766">
        <v>3.26</v>
      </c>
      <c r="BZ100" s="766">
        <v>3.28</v>
      </c>
      <c r="CA100" s="766">
        <v>3.29</v>
      </c>
      <c r="CB100" s="766">
        <v>3.31</v>
      </c>
      <c r="CC100" s="766">
        <v>3.33</v>
      </c>
      <c r="CD100" s="766">
        <v>3.34</v>
      </c>
      <c r="CE100" s="766">
        <v>3.36</v>
      </c>
      <c r="CF100" s="766">
        <v>3.37</v>
      </c>
      <c r="CG100" s="766">
        <v>3.39</v>
      </c>
      <c r="CH100" s="766">
        <v>3.41</v>
      </c>
      <c r="CI100" s="766">
        <v>3.42</v>
      </c>
      <c r="CJ100" s="766">
        <v>3.44</v>
      </c>
      <c r="CK100" s="766">
        <v>3.45</v>
      </c>
      <c r="CL100" s="766">
        <v>3.47</v>
      </c>
      <c r="CM100" s="766">
        <v>3.48</v>
      </c>
      <c r="CN100" s="766">
        <v>3.5</v>
      </c>
      <c r="CO100" s="766">
        <v>3.51</v>
      </c>
      <c r="CP100" s="766">
        <v>3.53</v>
      </c>
      <c r="CQ100" s="766">
        <v>3.54</v>
      </c>
      <c r="CR100" s="766">
        <v>3.56</v>
      </c>
      <c r="CS100" s="766">
        <v>3.57</v>
      </c>
      <c r="CT100" s="766">
        <v>3.59</v>
      </c>
      <c r="CU100" s="766">
        <v>3.6</v>
      </c>
      <c r="CV100" s="766">
        <v>3.62</v>
      </c>
      <c r="CW100" s="766">
        <v>3.63</v>
      </c>
      <c r="CX100" s="766">
        <v>3.65</v>
      </c>
      <c r="CY100" s="766">
        <v>3.66</v>
      </c>
      <c r="CZ100" s="766">
        <v>3.68</v>
      </c>
      <c r="DA100" s="766">
        <v>3.69</v>
      </c>
      <c r="DB100" s="766">
        <v>3.71</v>
      </c>
      <c r="DC100" s="766">
        <v>3.72</v>
      </c>
      <c r="DD100" s="766">
        <v>3.74</v>
      </c>
      <c r="DE100" s="766">
        <v>3.75</v>
      </c>
      <c r="DF100" s="766">
        <v>3.76</v>
      </c>
      <c r="DG100" s="766">
        <v>3.78</v>
      </c>
      <c r="DH100" s="766">
        <v>3.79</v>
      </c>
      <c r="DI100" s="766">
        <v>3.81</v>
      </c>
      <c r="DJ100" s="766">
        <v>3.82</v>
      </c>
      <c r="DK100" s="766">
        <v>3.83</v>
      </c>
      <c r="DL100" s="766">
        <v>3.85</v>
      </c>
      <c r="DM100" s="766">
        <v>3.86</v>
      </c>
      <c r="DN100" s="766">
        <v>3.88</v>
      </c>
      <c r="DO100" s="766">
        <v>3.89</v>
      </c>
      <c r="DP100" s="766">
        <v>3.9</v>
      </c>
      <c r="DQ100" s="766">
        <v>3.92</v>
      </c>
      <c r="DR100" s="766">
        <v>3.93</v>
      </c>
    </row>
    <row r="101" spans="1:122">
      <c r="A101" s="950">
        <v>99</v>
      </c>
      <c r="B101" s="94"/>
      <c r="C101" s="94"/>
      <c r="D101" s="94"/>
      <c r="E101" s="94"/>
      <c r="F101" s="94"/>
      <c r="G101" s="94"/>
      <c r="H101" s="94"/>
      <c r="I101" s="94"/>
      <c r="J101" s="94"/>
      <c r="K101" s="94"/>
      <c r="L101" s="94"/>
      <c r="M101" s="94"/>
      <c r="N101" s="94"/>
      <c r="O101" s="94"/>
      <c r="P101" s="94"/>
      <c r="Q101" s="94"/>
      <c r="R101" s="94"/>
      <c r="S101" s="94"/>
      <c r="T101" s="94"/>
      <c r="U101" s="94"/>
      <c r="V101" s="766"/>
      <c r="W101" s="766">
        <v>2.2400000000000002</v>
      </c>
      <c r="X101" s="766">
        <v>2.17</v>
      </c>
      <c r="Y101" s="766">
        <v>2.19</v>
      </c>
      <c r="Z101" s="766">
        <v>2.2400000000000002</v>
      </c>
      <c r="AA101" s="766">
        <v>2.25</v>
      </c>
      <c r="AB101" s="766">
        <v>2.2599999999999998</v>
      </c>
      <c r="AC101" s="766">
        <v>2.2799999999999998</v>
      </c>
      <c r="AD101" s="766">
        <v>2.2999999999999998</v>
      </c>
      <c r="AE101" s="766">
        <v>2.3199999999999998</v>
      </c>
      <c r="AF101" s="766">
        <v>2.33</v>
      </c>
      <c r="AG101" s="766">
        <v>2.35</v>
      </c>
      <c r="AH101" s="766">
        <v>2.37</v>
      </c>
      <c r="AI101" s="766">
        <v>2.39</v>
      </c>
      <c r="AJ101" s="766">
        <v>2.41</v>
      </c>
      <c r="AK101" s="766">
        <v>2.42</v>
      </c>
      <c r="AL101" s="766">
        <v>2.44</v>
      </c>
      <c r="AM101" s="766">
        <v>2.46</v>
      </c>
      <c r="AN101" s="766">
        <v>2.4700000000000002</v>
      </c>
      <c r="AO101" s="766">
        <v>2.4900000000000002</v>
      </c>
      <c r="AP101" s="766">
        <v>2.5</v>
      </c>
      <c r="AQ101" s="766">
        <v>2.52</v>
      </c>
      <c r="AR101" s="766">
        <v>2.5299999999999998</v>
      </c>
      <c r="AS101" s="766">
        <v>2.5499999999999998</v>
      </c>
      <c r="AT101" s="766">
        <v>2.56</v>
      </c>
      <c r="AU101" s="766">
        <v>2.58</v>
      </c>
      <c r="AV101" s="766">
        <v>2.6</v>
      </c>
      <c r="AW101" s="766">
        <v>2.61</v>
      </c>
      <c r="AX101" s="766">
        <v>2.63</v>
      </c>
      <c r="AY101" s="766">
        <v>2.64</v>
      </c>
      <c r="AZ101" s="766">
        <v>2.66</v>
      </c>
      <c r="BA101" s="766">
        <v>2.67</v>
      </c>
      <c r="BB101" s="766">
        <v>2.69</v>
      </c>
      <c r="BC101" s="766">
        <v>2.7</v>
      </c>
      <c r="BD101" s="766">
        <v>2.72</v>
      </c>
      <c r="BE101" s="766">
        <v>2.73</v>
      </c>
      <c r="BF101" s="766">
        <v>2.75</v>
      </c>
      <c r="BG101" s="766">
        <v>2.76</v>
      </c>
      <c r="BH101" s="766">
        <v>2.78</v>
      </c>
      <c r="BI101" s="766">
        <v>2.79</v>
      </c>
      <c r="BJ101" s="766">
        <v>2.81</v>
      </c>
      <c r="BK101" s="766">
        <v>2.82</v>
      </c>
      <c r="BL101" s="766">
        <v>2.84</v>
      </c>
      <c r="BM101" s="766">
        <v>2.85</v>
      </c>
      <c r="BN101" s="766">
        <v>2.87</v>
      </c>
      <c r="BO101" s="766">
        <v>2.88</v>
      </c>
      <c r="BP101" s="766">
        <v>2.9</v>
      </c>
      <c r="BQ101" s="766">
        <v>2.91</v>
      </c>
      <c r="BR101" s="766">
        <v>2.93</v>
      </c>
      <c r="BS101" s="766">
        <v>2.94</v>
      </c>
      <c r="BT101" s="766">
        <v>2.96</v>
      </c>
      <c r="BU101" s="766">
        <v>2.97</v>
      </c>
      <c r="BV101" s="766">
        <v>2.99</v>
      </c>
      <c r="BW101" s="766">
        <v>3</v>
      </c>
      <c r="BX101" s="766">
        <v>3.02</v>
      </c>
      <c r="BY101" s="766">
        <v>3.03</v>
      </c>
      <c r="BZ101" s="766">
        <v>3.05</v>
      </c>
      <c r="CA101" s="766">
        <v>3.06</v>
      </c>
      <c r="CB101" s="766">
        <v>3.07</v>
      </c>
      <c r="CC101" s="766">
        <v>3.09</v>
      </c>
      <c r="CD101" s="766">
        <v>3.1</v>
      </c>
      <c r="CE101" s="766">
        <v>3.12</v>
      </c>
      <c r="CF101" s="766">
        <v>3.13</v>
      </c>
      <c r="CG101" s="766">
        <v>3.15</v>
      </c>
      <c r="CH101" s="766">
        <v>3.16</v>
      </c>
      <c r="CI101" s="766">
        <v>3.17</v>
      </c>
      <c r="CJ101" s="766">
        <v>3.19</v>
      </c>
      <c r="CK101" s="766">
        <v>3.2</v>
      </c>
      <c r="CL101" s="766">
        <v>3.21</v>
      </c>
      <c r="CM101" s="766">
        <v>3.23</v>
      </c>
      <c r="CN101" s="766">
        <v>3.24</v>
      </c>
      <c r="CO101" s="766">
        <v>3.26</v>
      </c>
      <c r="CP101" s="766">
        <v>3.27</v>
      </c>
      <c r="CQ101" s="766">
        <v>3.28</v>
      </c>
      <c r="CR101" s="766">
        <v>3.3</v>
      </c>
      <c r="CS101" s="766">
        <v>3.31</v>
      </c>
      <c r="CT101" s="766">
        <v>3.32</v>
      </c>
      <c r="CU101" s="766">
        <v>3.34</v>
      </c>
      <c r="CV101" s="766">
        <v>3.35</v>
      </c>
      <c r="CW101" s="766">
        <v>3.36</v>
      </c>
      <c r="CX101" s="766">
        <v>3.38</v>
      </c>
      <c r="CY101" s="766">
        <v>3.39</v>
      </c>
      <c r="CZ101" s="766">
        <v>3.4</v>
      </c>
      <c r="DA101" s="766">
        <v>3.42</v>
      </c>
      <c r="DB101" s="766">
        <v>3.43</v>
      </c>
      <c r="DC101" s="766">
        <v>3.44</v>
      </c>
      <c r="DD101" s="766">
        <v>3.45</v>
      </c>
      <c r="DE101" s="766">
        <v>3.47</v>
      </c>
      <c r="DF101" s="766">
        <v>3.48</v>
      </c>
      <c r="DG101" s="766">
        <v>3.49</v>
      </c>
      <c r="DH101" s="766">
        <v>3.5</v>
      </c>
      <c r="DI101" s="766">
        <v>3.52</v>
      </c>
      <c r="DJ101" s="766">
        <v>3.53</v>
      </c>
      <c r="DK101" s="766">
        <v>3.54</v>
      </c>
      <c r="DL101" s="766">
        <v>3.55</v>
      </c>
      <c r="DM101" s="766">
        <v>3.57</v>
      </c>
      <c r="DN101" s="766">
        <v>3.58</v>
      </c>
      <c r="DO101" s="766">
        <v>3.59</v>
      </c>
      <c r="DP101" s="766">
        <v>3.6</v>
      </c>
      <c r="DQ101" s="766">
        <v>3.61</v>
      </c>
      <c r="DR101" s="766">
        <v>3.63</v>
      </c>
    </row>
    <row r="102" spans="1:122">
      <c r="A102" s="950">
        <v>100</v>
      </c>
      <c r="B102" s="94"/>
      <c r="C102" s="94"/>
      <c r="D102" s="94"/>
      <c r="E102" s="94"/>
      <c r="F102" s="94"/>
      <c r="G102" s="94"/>
      <c r="H102" s="94"/>
      <c r="I102" s="94"/>
      <c r="J102" s="94"/>
      <c r="K102" s="94"/>
      <c r="L102" s="94"/>
      <c r="M102" s="94"/>
      <c r="N102" s="94"/>
      <c r="O102" s="94"/>
      <c r="P102" s="94"/>
      <c r="Q102" s="94"/>
      <c r="R102" s="94"/>
      <c r="S102" s="94"/>
      <c r="T102" s="94"/>
      <c r="U102" s="94"/>
      <c r="V102" s="766"/>
      <c r="W102" s="766">
        <v>2.11</v>
      </c>
      <c r="X102" s="766">
        <v>2.04</v>
      </c>
      <c r="Y102" s="766">
        <v>2.0699999999999998</v>
      </c>
      <c r="Z102" s="766">
        <v>2.11</v>
      </c>
      <c r="AA102" s="766">
        <v>2.11</v>
      </c>
      <c r="AB102" s="766">
        <v>2.13</v>
      </c>
      <c r="AC102" s="766">
        <v>2.15</v>
      </c>
      <c r="AD102" s="766">
        <v>2.16</v>
      </c>
      <c r="AE102" s="766">
        <v>2.1800000000000002</v>
      </c>
      <c r="AF102" s="766">
        <v>2.2000000000000002</v>
      </c>
      <c r="AG102" s="766">
        <v>2.21</v>
      </c>
      <c r="AH102" s="766">
        <v>2.23</v>
      </c>
      <c r="AI102" s="766">
        <v>2.2400000000000002</v>
      </c>
      <c r="AJ102" s="766">
        <v>2.2599999999999998</v>
      </c>
      <c r="AK102" s="766">
        <v>2.2799999999999998</v>
      </c>
      <c r="AL102" s="766">
        <v>2.29</v>
      </c>
      <c r="AM102" s="766">
        <v>2.31</v>
      </c>
      <c r="AN102" s="766">
        <v>2.3199999999999998</v>
      </c>
      <c r="AO102" s="766">
        <v>2.33</v>
      </c>
      <c r="AP102" s="766">
        <v>2.35</v>
      </c>
      <c r="AQ102" s="766">
        <v>2.36</v>
      </c>
      <c r="AR102" s="766">
        <v>2.38</v>
      </c>
      <c r="AS102" s="766">
        <v>2.39</v>
      </c>
      <c r="AT102" s="766">
        <v>2.41</v>
      </c>
      <c r="AU102" s="766">
        <v>2.42</v>
      </c>
      <c r="AV102" s="766">
        <v>2.4300000000000002</v>
      </c>
      <c r="AW102" s="766">
        <v>2.4500000000000002</v>
      </c>
      <c r="AX102" s="766">
        <v>2.46</v>
      </c>
      <c r="AY102" s="766">
        <v>2.48</v>
      </c>
      <c r="AZ102" s="766">
        <v>2.4900000000000002</v>
      </c>
      <c r="BA102" s="766">
        <v>2.5</v>
      </c>
      <c r="BB102" s="766">
        <v>2.52</v>
      </c>
      <c r="BC102" s="766">
        <v>2.5299999999999998</v>
      </c>
      <c r="BD102" s="766">
        <v>2.5499999999999998</v>
      </c>
      <c r="BE102" s="766">
        <v>2.56</v>
      </c>
      <c r="BF102" s="766">
        <v>2.57</v>
      </c>
      <c r="BG102" s="766">
        <v>2.59</v>
      </c>
      <c r="BH102" s="766">
        <v>2.6</v>
      </c>
      <c r="BI102" s="766">
        <v>2.61</v>
      </c>
      <c r="BJ102" s="766">
        <v>2.63</v>
      </c>
      <c r="BK102" s="766">
        <v>2.64</v>
      </c>
      <c r="BL102" s="766">
        <v>2.66</v>
      </c>
      <c r="BM102" s="766">
        <v>2.67</v>
      </c>
      <c r="BN102" s="766">
        <v>2.68</v>
      </c>
      <c r="BO102" s="766">
        <v>2.7</v>
      </c>
      <c r="BP102" s="766">
        <v>2.71</v>
      </c>
      <c r="BQ102" s="766">
        <v>2.72</v>
      </c>
      <c r="BR102" s="766">
        <v>2.74</v>
      </c>
      <c r="BS102" s="766">
        <v>2.75</v>
      </c>
      <c r="BT102" s="766">
        <v>2.76</v>
      </c>
      <c r="BU102" s="766">
        <v>2.78</v>
      </c>
      <c r="BV102" s="766">
        <v>2.79</v>
      </c>
      <c r="BW102" s="766">
        <v>2.8</v>
      </c>
      <c r="BX102" s="766">
        <v>2.82</v>
      </c>
      <c r="BY102" s="766">
        <v>2.83</v>
      </c>
      <c r="BZ102" s="766">
        <v>2.84</v>
      </c>
      <c r="CA102" s="766">
        <v>2.85</v>
      </c>
      <c r="CB102" s="766">
        <v>2.87</v>
      </c>
      <c r="CC102" s="766">
        <v>2.88</v>
      </c>
      <c r="CD102" s="766">
        <v>2.89</v>
      </c>
      <c r="CE102" s="766">
        <v>2.91</v>
      </c>
      <c r="CF102" s="766">
        <v>2.92</v>
      </c>
      <c r="CG102" s="766">
        <v>2.93</v>
      </c>
      <c r="CH102" s="766">
        <v>2.94</v>
      </c>
      <c r="CI102" s="766">
        <v>2.96</v>
      </c>
      <c r="CJ102" s="766">
        <v>2.97</v>
      </c>
      <c r="CK102" s="766">
        <v>2.98</v>
      </c>
      <c r="CL102" s="766">
        <v>2.99</v>
      </c>
      <c r="CM102" s="766">
        <v>3.01</v>
      </c>
      <c r="CN102" s="766">
        <v>3.02</v>
      </c>
      <c r="CO102" s="766">
        <v>3.03</v>
      </c>
      <c r="CP102" s="766">
        <v>3.04</v>
      </c>
      <c r="CQ102" s="766">
        <v>3.06</v>
      </c>
      <c r="CR102" s="766">
        <v>3.07</v>
      </c>
      <c r="CS102" s="766">
        <v>3.08</v>
      </c>
      <c r="CT102" s="766">
        <v>3.09</v>
      </c>
      <c r="CU102" s="766">
        <v>3.1</v>
      </c>
      <c r="CV102" s="766">
        <v>3.12</v>
      </c>
      <c r="CW102" s="766">
        <v>3.13</v>
      </c>
      <c r="CX102" s="766">
        <v>3.14</v>
      </c>
      <c r="CY102" s="766">
        <v>3.15</v>
      </c>
      <c r="CZ102" s="766">
        <v>3.16</v>
      </c>
      <c r="DA102" s="766">
        <v>3.17</v>
      </c>
      <c r="DB102" s="766">
        <v>3.19</v>
      </c>
      <c r="DC102" s="766">
        <v>3.2</v>
      </c>
      <c r="DD102" s="766">
        <v>3.21</v>
      </c>
      <c r="DE102" s="766">
        <v>3.22</v>
      </c>
      <c r="DF102" s="766">
        <v>3.23</v>
      </c>
      <c r="DG102" s="766">
        <v>3.24</v>
      </c>
      <c r="DH102" s="766">
        <v>3.25</v>
      </c>
      <c r="DI102" s="766">
        <v>3.26</v>
      </c>
      <c r="DJ102" s="766">
        <v>3.28</v>
      </c>
      <c r="DK102" s="766">
        <v>3.29</v>
      </c>
      <c r="DL102" s="766">
        <v>3.3</v>
      </c>
      <c r="DM102" s="766">
        <v>3.31</v>
      </c>
      <c r="DN102" s="766">
        <v>3.32</v>
      </c>
      <c r="DO102" s="766">
        <v>3.33</v>
      </c>
      <c r="DP102" s="766">
        <v>3.34</v>
      </c>
      <c r="DQ102" s="766">
        <v>3.35</v>
      </c>
      <c r="DR102" s="766">
        <v>3.36</v>
      </c>
    </row>
    <row r="103" spans="1:122">
      <c r="B103" s="95"/>
      <c r="C103" s="95"/>
      <c r="D103" s="95"/>
      <c r="E103" s="95"/>
      <c r="F103" s="95"/>
      <c r="G103" s="95"/>
      <c r="H103" s="95"/>
      <c r="I103" s="95"/>
      <c r="J103" s="95"/>
      <c r="K103" s="95"/>
      <c r="L103" s="95"/>
      <c r="M103" s="95"/>
      <c r="N103" s="95"/>
      <c r="O103" s="95"/>
      <c r="P103" s="95"/>
      <c r="Q103" s="95"/>
      <c r="R103" s="95"/>
      <c r="S103" s="95"/>
      <c r="T103" s="95"/>
      <c r="U103" s="95"/>
      <c r="V103" s="95"/>
      <c r="W103" s="95"/>
      <c r="X103" s="95"/>
      <c r="Y103" s="95"/>
      <c r="Z103" s="95"/>
      <c r="AA103" s="95"/>
      <c r="AB103" s="95"/>
      <c r="AC103" s="95"/>
      <c r="AD103" s="95"/>
      <c r="AE103" s="95"/>
      <c r="AF103" s="95"/>
      <c r="AG103" s="95"/>
      <c r="AH103" s="95"/>
      <c r="AI103" s="95"/>
      <c r="AJ103" s="95"/>
      <c r="AK103" s="95"/>
      <c r="AL103" s="95"/>
      <c r="AM103" s="95"/>
      <c r="AN103" s="95"/>
      <c r="AO103" s="95"/>
      <c r="AP103" s="95"/>
      <c r="AQ103" s="95"/>
      <c r="AR103" s="95"/>
      <c r="AS103" s="95"/>
      <c r="AT103" s="95"/>
      <c r="AU103" s="95"/>
      <c r="AV103" s="95"/>
      <c r="AW103" s="95"/>
      <c r="AX103" s="95"/>
      <c r="AY103" s="95"/>
      <c r="AZ103" s="95"/>
      <c r="BA103" s="95"/>
      <c r="BB103" s="95"/>
      <c r="BC103" s="95"/>
      <c r="BD103" s="95"/>
      <c r="BE103" s="95"/>
      <c r="BF103" s="95"/>
      <c r="BG103" s="95"/>
      <c r="BH103" s="95"/>
      <c r="BI103" s="95"/>
      <c r="BJ103" s="95"/>
      <c r="BK103" s="95"/>
      <c r="BL103" s="95"/>
      <c r="BM103" s="95"/>
      <c r="BN103" s="95"/>
      <c r="BO103" s="95"/>
      <c r="BP103" s="95"/>
      <c r="BQ103" s="95"/>
      <c r="BR103" s="95"/>
      <c r="BS103" s="95"/>
      <c r="BT103" s="95"/>
      <c r="BU103" s="95"/>
      <c r="BV103" s="95"/>
      <c r="BW103" s="95"/>
      <c r="BX103" s="95"/>
      <c r="BY103" s="95"/>
      <c r="BZ103" s="95"/>
      <c r="CA103" s="95"/>
      <c r="CB103" s="95"/>
      <c r="CC103" s="95"/>
      <c r="CD103" s="95"/>
      <c r="CE103" s="95"/>
      <c r="CF103" s="95"/>
      <c r="CG103" s="95"/>
      <c r="CH103" s="95"/>
      <c r="CI103" s="95"/>
      <c r="CJ103" s="95"/>
      <c r="CK103" s="95"/>
      <c r="CL103" s="95"/>
      <c r="CM103" s="95"/>
      <c r="CN103" s="95"/>
      <c r="CO103" s="95"/>
      <c r="CP103" s="95"/>
      <c r="CQ103" s="95"/>
      <c r="CR103" s="95"/>
      <c r="CS103" s="95"/>
      <c r="CT103" s="95"/>
      <c r="CU103" s="95"/>
      <c r="CV103" s="95"/>
      <c r="CW103" s="95"/>
      <c r="CX103" s="95"/>
      <c r="CY103" s="95"/>
      <c r="CZ103" s="95"/>
      <c r="DA103" s="95"/>
      <c r="DB103" s="95"/>
      <c r="DC103" s="95"/>
      <c r="DD103" s="95"/>
      <c r="DE103" s="95"/>
      <c r="DF103" s="95"/>
      <c r="DG103" s="95"/>
      <c r="DH103" s="95"/>
      <c r="DI103" s="95"/>
      <c r="DJ103" s="95"/>
      <c r="DK103" s="95"/>
      <c r="DL103" s="95"/>
      <c r="DM103" s="95"/>
      <c r="DN103" s="95"/>
      <c r="DO103" s="95"/>
    </row>
    <row r="104" spans="1:122">
      <c r="B104" s="95"/>
      <c r="C104" s="95"/>
      <c r="D104" s="95"/>
      <c r="E104" s="95"/>
      <c r="F104" s="95"/>
      <c r="G104" s="95"/>
      <c r="H104" s="95"/>
      <c r="I104" s="95"/>
      <c r="J104" s="95"/>
      <c r="K104" s="95"/>
      <c r="L104" s="95"/>
      <c r="M104" s="95"/>
      <c r="N104" s="95"/>
      <c r="O104" s="95"/>
      <c r="P104" s="95"/>
      <c r="Q104" s="95"/>
      <c r="R104" s="95"/>
      <c r="S104" s="95"/>
      <c r="T104" s="95"/>
      <c r="U104" s="95"/>
      <c r="V104" s="95"/>
      <c r="W104" s="95"/>
      <c r="X104" s="95"/>
      <c r="Y104" s="95"/>
      <c r="Z104" s="95"/>
      <c r="AA104" s="95"/>
      <c r="AB104" s="95"/>
      <c r="AC104" s="95"/>
      <c r="AD104" s="95"/>
      <c r="AE104" s="95"/>
      <c r="AF104" s="95"/>
      <c r="AG104" s="95"/>
      <c r="AH104" s="95"/>
      <c r="AI104" s="95"/>
      <c r="AJ104" s="95"/>
      <c r="AK104" s="95"/>
      <c r="AL104" s="95"/>
      <c r="AM104" s="95"/>
      <c r="AN104" s="95"/>
      <c r="AO104" s="95"/>
      <c r="AP104" s="95"/>
      <c r="AQ104" s="95"/>
      <c r="AR104" s="95"/>
      <c r="AS104" s="95"/>
      <c r="AT104" s="95"/>
      <c r="AU104" s="95"/>
      <c r="AV104" s="95"/>
      <c r="AW104" s="95"/>
      <c r="AX104" s="95"/>
      <c r="AY104" s="95"/>
      <c r="AZ104" s="95"/>
      <c r="BA104" s="95"/>
      <c r="BB104" s="95"/>
      <c r="BC104" s="95"/>
      <c r="BD104" s="95"/>
      <c r="BE104" s="95"/>
      <c r="BF104" s="95"/>
      <c r="BG104" s="95"/>
      <c r="BH104" s="95"/>
      <c r="BI104" s="95"/>
      <c r="BJ104" s="95"/>
      <c r="BK104" s="95"/>
      <c r="BL104" s="95"/>
      <c r="BM104" s="95"/>
      <c r="BN104" s="95"/>
      <c r="BO104" s="95"/>
      <c r="BP104" s="95"/>
      <c r="BQ104" s="95"/>
      <c r="BR104" s="95"/>
      <c r="BS104" s="95"/>
      <c r="BT104" s="95"/>
      <c r="BU104" s="95"/>
      <c r="BV104" s="95"/>
      <c r="BW104" s="95"/>
      <c r="BX104" s="95"/>
      <c r="BY104" s="95"/>
      <c r="BZ104" s="95"/>
      <c r="CA104" s="95"/>
      <c r="CB104" s="95"/>
      <c r="CC104" s="95"/>
      <c r="CD104" s="95"/>
      <c r="CE104" s="95"/>
      <c r="CF104" s="95"/>
      <c r="CG104" s="95"/>
      <c r="CH104" s="95"/>
      <c r="CI104" s="95"/>
      <c r="CJ104" s="95"/>
      <c r="CK104" s="95"/>
      <c r="CL104" s="95"/>
      <c r="CM104" s="95"/>
      <c r="CN104" s="95"/>
      <c r="CO104" s="95"/>
      <c r="CP104" s="95"/>
      <c r="CQ104" s="95"/>
      <c r="CR104" s="95"/>
      <c r="CS104" s="95"/>
      <c r="CT104" s="95"/>
      <c r="CU104" s="95"/>
      <c r="CV104" s="95"/>
      <c r="CW104" s="95"/>
      <c r="CX104" s="95"/>
      <c r="CY104" s="95"/>
      <c r="CZ104" s="95"/>
      <c r="DA104" s="95"/>
      <c r="DB104" s="95"/>
      <c r="DC104" s="95"/>
      <c r="DD104" s="95"/>
      <c r="DE104" s="95"/>
      <c r="DF104" s="95"/>
      <c r="DG104" s="95"/>
      <c r="DH104" s="95"/>
      <c r="DI104" s="95"/>
      <c r="DJ104" s="95"/>
      <c r="DK104" s="95"/>
      <c r="DL104" s="95"/>
      <c r="DM104" s="95"/>
      <c r="DN104" s="95"/>
      <c r="DO104" s="95"/>
    </row>
    <row r="105" spans="1:122">
      <c r="B105" s="95"/>
      <c r="C105" s="95"/>
      <c r="D105" s="95"/>
      <c r="E105" s="95"/>
      <c r="F105" s="95"/>
      <c r="G105" s="95"/>
      <c r="H105" s="95"/>
      <c r="I105" s="95"/>
      <c r="J105" s="95"/>
      <c r="K105" s="95"/>
      <c r="L105" s="95"/>
      <c r="M105" s="95"/>
      <c r="N105" s="95"/>
      <c r="O105" s="95"/>
      <c r="P105" s="95"/>
      <c r="Q105" s="95"/>
      <c r="R105" s="95"/>
      <c r="S105" s="95"/>
      <c r="T105" s="95"/>
      <c r="U105" s="95"/>
      <c r="V105" s="95"/>
      <c r="W105" s="95"/>
      <c r="X105" s="95"/>
      <c r="Y105" s="95"/>
      <c r="Z105" s="95"/>
      <c r="AA105" s="95"/>
      <c r="AB105" s="95"/>
      <c r="AC105" s="95"/>
      <c r="AD105" s="95"/>
      <c r="AE105" s="95"/>
      <c r="AF105" s="95"/>
      <c r="AG105" s="95"/>
      <c r="AH105" s="95"/>
      <c r="AI105" s="95"/>
      <c r="AJ105" s="95"/>
      <c r="AK105" s="95"/>
      <c r="AL105" s="95"/>
      <c r="AM105" s="95"/>
      <c r="AN105" s="95"/>
      <c r="AO105" s="95"/>
      <c r="AP105" s="95"/>
      <c r="AQ105" s="95"/>
      <c r="AR105" s="95"/>
      <c r="AS105" s="95"/>
      <c r="AT105" s="95"/>
      <c r="AU105" s="95"/>
      <c r="AV105" s="95"/>
      <c r="AW105" s="95"/>
      <c r="AX105" s="95"/>
      <c r="AY105" s="95"/>
      <c r="AZ105" s="95"/>
      <c r="BA105" s="95"/>
      <c r="BB105" s="95"/>
      <c r="BC105" s="95"/>
      <c r="BD105" s="95"/>
      <c r="BE105" s="95"/>
      <c r="BF105" s="95"/>
      <c r="BG105" s="95"/>
      <c r="BH105" s="95"/>
      <c r="BI105" s="95"/>
      <c r="BJ105" s="95"/>
      <c r="BK105" s="95"/>
      <c r="BL105" s="95"/>
      <c r="BM105" s="95"/>
      <c r="BN105" s="95"/>
      <c r="BO105" s="95"/>
      <c r="BP105" s="95"/>
      <c r="BQ105" s="95"/>
      <c r="BR105" s="95"/>
      <c r="BS105" s="95"/>
      <c r="BT105" s="95"/>
      <c r="BU105" s="95"/>
      <c r="BV105" s="95"/>
      <c r="BW105" s="95"/>
      <c r="BX105" s="95"/>
      <c r="BY105" s="95"/>
      <c r="BZ105" s="95"/>
      <c r="CA105" s="95"/>
      <c r="CB105" s="95"/>
      <c r="CC105" s="95"/>
      <c r="CD105" s="95"/>
      <c r="CE105" s="95"/>
      <c r="CF105" s="95"/>
      <c r="CG105" s="95"/>
      <c r="CH105" s="95"/>
      <c r="CI105" s="95"/>
      <c r="CJ105" s="95"/>
      <c r="CK105" s="95"/>
      <c r="CL105" s="95"/>
      <c r="CM105" s="95"/>
      <c r="CN105" s="95"/>
      <c r="CO105" s="95"/>
      <c r="CP105" s="95"/>
      <c r="CQ105" s="95"/>
      <c r="CR105" s="95"/>
      <c r="CS105" s="95"/>
      <c r="CT105" s="95"/>
      <c r="CU105" s="95"/>
      <c r="CV105" s="95"/>
      <c r="CW105" s="95"/>
      <c r="CX105" s="95"/>
      <c r="CY105" s="95"/>
      <c r="CZ105" s="95"/>
      <c r="DA105" s="95"/>
      <c r="DB105" s="95"/>
      <c r="DC105" s="95"/>
      <c r="DD105" s="95"/>
      <c r="DE105" s="95"/>
      <c r="DF105" s="95"/>
      <c r="DG105" s="95"/>
      <c r="DH105" s="95"/>
      <c r="DI105" s="95"/>
      <c r="DJ105" s="95"/>
      <c r="DK105" s="95"/>
      <c r="DL105" s="95"/>
      <c r="DM105" s="95"/>
      <c r="DN105" s="95"/>
      <c r="DO105" s="95"/>
    </row>
    <row r="106" spans="1:122">
      <c r="B106" s="95"/>
      <c r="C106" s="95"/>
      <c r="D106" s="95"/>
      <c r="E106" s="95"/>
      <c r="F106" s="95"/>
      <c r="G106" s="95"/>
      <c r="H106" s="95"/>
      <c r="I106" s="95"/>
      <c r="J106" s="95"/>
      <c r="K106" s="95"/>
      <c r="L106" s="95"/>
      <c r="M106" s="95"/>
      <c r="N106" s="95"/>
      <c r="O106" s="95"/>
      <c r="P106" s="95"/>
      <c r="Q106" s="95"/>
      <c r="R106" s="95"/>
      <c r="S106" s="95"/>
      <c r="T106" s="95"/>
      <c r="U106" s="95"/>
      <c r="V106" s="95"/>
      <c r="W106" s="95"/>
      <c r="X106" s="95"/>
      <c r="Y106" s="95"/>
      <c r="Z106" s="95"/>
      <c r="AA106" s="95"/>
      <c r="AB106" s="95"/>
      <c r="AC106" s="95"/>
      <c r="AD106" s="95"/>
      <c r="AE106" s="95"/>
      <c r="AF106" s="95"/>
      <c r="AG106" s="95"/>
      <c r="AH106" s="95"/>
      <c r="AI106" s="95"/>
      <c r="AJ106" s="95"/>
      <c r="AK106" s="95"/>
      <c r="AL106" s="95"/>
      <c r="AM106" s="95"/>
      <c r="AN106" s="95"/>
      <c r="AO106" s="95"/>
      <c r="AP106" s="95"/>
      <c r="AQ106" s="95"/>
      <c r="AR106" s="95"/>
      <c r="AS106" s="95"/>
      <c r="AT106" s="95"/>
      <c r="AU106" s="95"/>
      <c r="AV106" s="95"/>
      <c r="AW106" s="95"/>
      <c r="AX106" s="95"/>
      <c r="AY106" s="95"/>
      <c r="AZ106" s="95"/>
      <c r="BA106" s="95"/>
      <c r="BB106" s="95"/>
      <c r="BC106" s="95"/>
      <c r="BD106" s="95"/>
      <c r="BE106" s="95"/>
      <c r="BF106" s="95"/>
      <c r="BG106" s="95"/>
      <c r="BH106" s="95"/>
      <c r="BI106" s="95"/>
      <c r="BJ106" s="95"/>
      <c r="BK106" s="95"/>
      <c r="BL106" s="95"/>
      <c r="BM106" s="95"/>
      <c r="BN106" s="95"/>
      <c r="BO106" s="95"/>
      <c r="BP106" s="95"/>
      <c r="BQ106" s="95"/>
      <c r="BR106" s="95"/>
      <c r="BS106" s="95"/>
      <c r="BT106" s="95"/>
      <c r="BU106" s="95"/>
      <c r="BV106" s="95"/>
      <c r="BW106" s="95"/>
      <c r="BX106" s="95"/>
      <c r="BY106" s="95"/>
      <c r="BZ106" s="95"/>
      <c r="CA106" s="95"/>
      <c r="CB106" s="95"/>
      <c r="CC106" s="95"/>
      <c r="CD106" s="95"/>
      <c r="CE106" s="95"/>
      <c r="CF106" s="95"/>
      <c r="CG106" s="95"/>
      <c r="CH106" s="95"/>
      <c r="CI106" s="95"/>
      <c r="CJ106" s="95"/>
      <c r="CK106" s="95"/>
      <c r="CL106" s="95"/>
      <c r="CM106" s="95"/>
      <c r="CN106" s="95"/>
      <c r="CO106" s="95"/>
      <c r="CP106" s="95"/>
      <c r="CQ106" s="95"/>
      <c r="CR106" s="95"/>
      <c r="CS106" s="95"/>
      <c r="CT106" s="95"/>
      <c r="CU106" s="95"/>
      <c r="CV106" s="95"/>
      <c r="CW106" s="95"/>
      <c r="CX106" s="95"/>
      <c r="CY106" s="95"/>
      <c r="CZ106" s="95"/>
      <c r="DA106" s="95"/>
      <c r="DB106" s="95"/>
      <c r="DC106" s="95"/>
      <c r="DD106" s="95"/>
      <c r="DE106" s="95"/>
      <c r="DF106" s="95"/>
      <c r="DG106" s="95"/>
      <c r="DH106" s="95"/>
      <c r="DI106" s="95"/>
      <c r="DJ106" s="95"/>
      <c r="DK106" s="95"/>
      <c r="DL106" s="95"/>
      <c r="DM106" s="95"/>
      <c r="DN106" s="95"/>
      <c r="DO106" s="95"/>
    </row>
    <row r="107" spans="1:122">
      <c r="B107" s="95"/>
      <c r="C107" s="95"/>
      <c r="D107" s="95"/>
      <c r="E107" s="95"/>
      <c r="F107" s="95"/>
      <c r="G107" s="95"/>
      <c r="H107" s="95"/>
      <c r="I107" s="95"/>
      <c r="J107" s="95"/>
      <c r="K107" s="95"/>
      <c r="L107" s="95"/>
      <c r="M107" s="95"/>
      <c r="N107" s="95"/>
      <c r="O107" s="95"/>
      <c r="P107" s="95"/>
      <c r="Q107" s="95"/>
      <c r="R107" s="95"/>
      <c r="S107" s="95"/>
      <c r="T107" s="95"/>
      <c r="U107" s="95"/>
      <c r="V107" s="95"/>
      <c r="W107" s="95"/>
      <c r="X107" s="95"/>
      <c r="Y107" s="95"/>
      <c r="Z107" s="95"/>
      <c r="AA107" s="95"/>
      <c r="AB107" s="95"/>
      <c r="AC107" s="95"/>
      <c r="AD107" s="95"/>
      <c r="AE107" s="95"/>
      <c r="AF107" s="95"/>
      <c r="AG107" s="95"/>
      <c r="AH107" s="95"/>
      <c r="AI107" s="95"/>
      <c r="AJ107" s="95"/>
      <c r="AK107" s="95"/>
      <c r="AL107" s="95"/>
      <c r="AM107" s="95"/>
      <c r="AN107" s="95"/>
      <c r="AO107" s="95"/>
      <c r="AP107" s="95"/>
      <c r="AQ107" s="95"/>
      <c r="AR107" s="95"/>
      <c r="AS107" s="95"/>
      <c r="AT107" s="95"/>
      <c r="AU107" s="95"/>
      <c r="AV107" s="95"/>
      <c r="AW107" s="95"/>
      <c r="AX107" s="95"/>
      <c r="AY107" s="95"/>
      <c r="AZ107" s="95"/>
      <c r="BA107" s="95"/>
      <c r="BB107" s="95"/>
      <c r="BC107" s="95"/>
      <c r="BD107" s="95"/>
      <c r="BE107" s="95"/>
      <c r="BF107" s="95"/>
      <c r="BG107" s="95"/>
      <c r="BH107" s="95"/>
      <c r="BI107" s="95"/>
      <c r="BJ107" s="95"/>
      <c r="BK107" s="95"/>
      <c r="BL107" s="95"/>
      <c r="BM107" s="95"/>
      <c r="BN107" s="95"/>
      <c r="BO107" s="95"/>
      <c r="BP107" s="95"/>
      <c r="BQ107" s="95"/>
      <c r="BR107" s="95"/>
      <c r="BS107" s="95"/>
      <c r="BT107" s="95"/>
      <c r="BU107" s="95"/>
      <c r="BV107" s="95"/>
      <c r="BW107" s="95"/>
      <c r="BX107" s="95"/>
      <c r="BY107" s="95"/>
      <c r="BZ107" s="95"/>
      <c r="CA107" s="95"/>
      <c r="CB107" s="95"/>
      <c r="CC107" s="95"/>
      <c r="CD107" s="95"/>
      <c r="CE107" s="95"/>
      <c r="CF107" s="95"/>
      <c r="CG107" s="95"/>
      <c r="CH107" s="95"/>
      <c r="CI107" s="95"/>
      <c r="CJ107" s="95"/>
      <c r="CK107" s="95"/>
      <c r="CL107" s="95"/>
      <c r="CM107" s="95"/>
      <c r="CN107" s="95"/>
      <c r="CO107" s="95"/>
      <c r="CP107" s="95"/>
      <c r="CQ107" s="95"/>
      <c r="CR107" s="95"/>
      <c r="CS107" s="95"/>
      <c r="CT107" s="95"/>
      <c r="CU107" s="95"/>
      <c r="CV107" s="95"/>
      <c r="CW107" s="95"/>
      <c r="CX107" s="95"/>
      <c r="CY107" s="95"/>
      <c r="CZ107" s="95"/>
      <c r="DA107" s="95"/>
      <c r="DB107" s="95"/>
      <c r="DC107" s="95"/>
      <c r="DD107" s="95"/>
      <c r="DE107" s="95"/>
      <c r="DF107" s="95"/>
      <c r="DG107" s="95"/>
      <c r="DH107" s="95"/>
      <c r="DI107" s="95"/>
      <c r="DJ107" s="95"/>
      <c r="DK107" s="95"/>
      <c r="DL107" s="95"/>
      <c r="DM107" s="95"/>
      <c r="DN107" s="95"/>
      <c r="DO107" s="95"/>
    </row>
    <row r="108" spans="1:122">
      <c r="B108" s="95"/>
      <c r="C108" s="95"/>
      <c r="D108" s="95"/>
      <c r="E108" s="95"/>
      <c r="F108" s="95"/>
      <c r="G108" s="95"/>
      <c r="H108" s="95"/>
      <c r="I108" s="95"/>
      <c r="J108" s="95"/>
      <c r="K108" s="95"/>
      <c r="L108" s="95"/>
      <c r="M108" s="95"/>
      <c r="N108" s="95"/>
      <c r="O108" s="95"/>
      <c r="P108" s="95"/>
      <c r="Q108" s="95"/>
      <c r="R108" s="95"/>
      <c r="S108" s="95"/>
      <c r="T108" s="95"/>
      <c r="U108" s="95"/>
      <c r="V108" s="95"/>
      <c r="W108" s="95"/>
      <c r="X108" s="95"/>
      <c r="Y108" s="95"/>
      <c r="Z108" s="95"/>
      <c r="AA108" s="95"/>
      <c r="AB108" s="95"/>
      <c r="AC108" s="95"/>
      <c r="AD108" s="95"/>
      <c r="AE108" s="95"/>
      <c r="AF108" s="95"/>
      <c r="AG108" s="95"/>
      <c r="AH108" s="95"/>
      <c r="AI108" s="95"/>
      <c r="AJ108" s="95"/>
      <c r="AK108" s="95"/>
      <c r="AL108" s="95"/>
      <c r="AM108" s="95"/>
      <c r="AN108" s="95"/>
      <c r="AO108" s="95"/>
      <c r="AP108" s="95"/>
      <c r="AQ108" s="95"/>
      <c r="AR108" s="95"/>
      <c r="AS108" s="95"/>
      <c r="AT108" s="95"/>
      <c r="AU108" s="95"/>
      <c r="AV108" s="95"/>
      <c r="AW108" s="95"/>
      <c r="AX108" s="95"/>
      <c r="AY108" s="95"/>
      <c r="AZ108" s="95"/>
      <c r="BA108" s="95"/>
      <c r="BB108" s="95"/>
      <c r="BC108" s="95"/>
      <c r="BD108" s="95"/>
      <c r="BE108" s="95"/>
      <c r="BF108" s="95"/>
      <c r="BG108" s="95"/>
      <c r="BH108" s="95"/>
      <c r="BI108" s="95"/>
      <c r="BJ108" s="95"/>
      <c r="BK108" s="95"/>
      <c r="BL108" s="95"/>
      <c r="BM108" s="95"/>
      <c r="BN108" s="95"/>
      <c r="BO108" s="95"/>
      <c r="BP108" s="95"/>
      <c r="BQ108" s="95"/>
      <c r="BR108" s="95"/>
      <c r="BS108" s="95"/>
      <c r="BT108" s="95"/>
      <c r="BU108" s="95"/>
      <c r="BV108" s="95"/>
      <c r="BW108" s="95"/>
      <c r="BX108" s="95"/>
      <c r="BY108" s="95"/>
      <c r="BZ108" s="95"/>
      <c r="CA108" s="95"/>
      <c r="CB108" s="95"/>
      <c r="CC108" s="95"/>
      <c r="CD108" s="95"/>
      <c r="CE108" s="95"/>
      <c r="CF108" s="95"/>
      <c r="CG108" s="95"/>
      <c r="CH108" s="95"/>
      <c r="CI108" s="95"/>
      <c r="CJ108" s="95"/>
      <c r="CK108" s="95"/>
      <c r="CL108" s="95"/>
      <c r="CM108" s="95"/>
      <c r="CN108" s="95"/>
      <c r="CO108" s="95"/>
      <c r="CP108" s="95"/>
      <c r="CQ108" s="95"/>
      <c r="CR108" s="95"/>
      <c r="CS108" s="95"/>
      <c r="CT108" s="95"/>
      <c r="CU108" s="95"/>
      <c r="CV108" s="95"/>
      <c r="CW108" s="95"/>
      <c r="CX108" s="95"/>
      <c r="CY108" s="95"/>
      <c r="CZ108" s="95"/>
      <c r="DA108" s="95"/>
      <c r="DB108" s="95"/>
      <c r="DC108" s="95"/>
      <c r="DD108" s="95"/>
      <c r="DE108" s="95"/>
      <c r="DF108" s="95"/>
      <c r="DG108" s="95"/>
      <c r="DH108" s="95"/>
      <c r="DI108" s="95"/>
      <c r="DJ108" s="95"/>
      <c r="DK108" s="95"/>
      <c r="DL108" s="95"/>
      <c r="DM108" s="95"/>
      <c r="DN108" s="95"/>
      <c r="DO108" s="95"/>
    </row>
    <row r="109" spans="1:122">
      <c r="B109" s="95"/>
      <c r="C109" s="95"/>
      <c r="D109" s="95"/>
      <c r="E109" s="95"/>
      <c r="F109" s="95"/>
      <c r="G109" s="95"/>
      <c r="H109" s="95"/>
      <c r="I109" s="95"/>
      <c r="J109" s="95"/>
      <c r="K109" s="95"/>
      <c r="L109" s="95"/>
      <c r="M109" s="95"/>
      <c r="N109" s="95"/>
      <c r="O109" s="95"/>
      <c r="P109" s="95"/>
      <c r="Q109" s="95"/>
      <c r="R109" s="95"/>
      <c r="S109" s="95"/>
      <c r="T109" s="95"/>
      <c r="U109" s="95"/>
      <c r="V109" s="95"/>
      <c r="W109" s="95"/>
      <c r="X109" s="95"/>
      <c r="Y109" s="95"/>
      <c r="Z109" s="95"/>
      <c r="AA109" s="95"/>
      <c r="AB109" s="95"/>
      <c r="AC109" s="95"/>
      <c r="AD109" s="95"/>
      <c r="AE109" s="95"/>
      <c r="AF109" s="95"/>
      <c r="AG109" s="95"/>
      <c r="AH109" s="95"/>
      <c r="AI109" s="95"/>
      <c r="AJ109" s="95"/>
      <c r="AK109" s="95"/>
      <c r="AL109" s="95"/>
      <c r="AM109" s="95"/>
      <c r="AN109" s="95"/>
      <c r="AO109" s="95"/>
      <c r="AP109" s="95"/>
      <c r="AQ109" s="95"/>
      <c r="AR109" s="95"/>
      <c r="AS109" s="95"/>
      <c r="AT109" s="95"/>
      <c r="AU109" s="95"/>
      <c r="AV109" s="95"/>
      <c r="AW109" s="95"/>
      <c r="AX109" s="95"/>
      <c r="AY109" s="95"/>
      <c r="AZ109" s="95"/>
      <c r="BA109" s="95"/>
      <c r="BB109" s="95"/>
      <c r="BC109" s="95"/>
      <c r="BD109" s="95"/>
      <c r="BE109" s="95"/>
      <c r="BF109" s="95"/>
      <c r="BG109" s="95"/>
      <c r="BH109" s="95"/>
      <c r="BI109" s="95"/>
      <c r="BJ109" s="95"/>
      <c r="BK109" s="95"/>
      <c r="BL109" s="95"/>
      <c r="BM109" s="95"/>
      <c r="BN109" s="95"/>
      <c r="BO109" s="95"/>
      <c r="BP109" s="95"/>
      <c r="BQ109" s="95"/>
      <c r="BR109" s="95"/>
      <c r="BS109" s="95"/>
      <c r="BT109" s="95"/>
      <c r="BU109" s="95"/>
      <c r="BV109" s="95"/>
      <c r="BW109" s="95"/>
      <c r="BX109" s="95"/>
      <c r="BY109" s="95"/>
      <c r="BZ109" s="95"/>
      <c r="CA109" s="95"/>
      <c r="CB109" s="95"/>
      <c r="CC109" s="95"/>
      <c r="CD109" s="95"/>
      <c r="CE109" s="95"/>
      <c r="CF109" s="95"/>
      <c r="CG109" s="95"/>
      <c r="CH109" s="95"/>
      <c r="CI109" s="95"/>
      <c r="CJ109" s="95"/>
      <c r="CK109" s="95"/>
      <c r="CL109" s="95"/>
      <c r="CM109" s="95"/>
      <c r="CN109" s="95"/>
      <c r="CO109" s="95"/>
      <c r="CP109" s="95"/>
      <c r="CQ109" s="95"/>
      <c r="CR109" s="95"/>
      <c r="CS109" s="95"/>
      <c r="CT109" s="95"/>
      <c r="CU109" s="95"/>
      <c r="CV109" s="95"/>
      <c r="CW109" s="95"/>
      <c r="CX109" s="95"/>
      <c r="CY109" s="95"/>
      <c r="CZ109" s="95"/>
      <c r="DA109" s="95"/>
      <c r="DB109" s="95"/>
      <c r="DC109" s="95"/>
      <c r="DD109" s="95"/>
      <c r="DE109" s="95"/>
      <c r="DF109" s="95"/>
      <c r="DG109" s="95"/>
      <c r="DH109" s="95"/>
      <c r="DI109" s="95"/>
      <c r="DJ109" s="95"/>
      <c r="DK109" s="95"/>
      <c r="DL109" s="95"/>
      <c r="DM109" s="95"/>
      <c r="DN109" s="95"/>
      <c r="DO109" s="95"/>
    </row>
    <row r="110" spans="1:122">
      <c r="B110" s="95"/>
      <c r="C110" s="95"/>
      <c r="D110" s="95"/>
      <c r="E110" s="95"/>
      <c r="F110" s="95"/>
      <c r="G110" s="95"/>
      <c r="H110" s="95"/>
      <c r="I110" s="95"/>
      <c r="J110" s="95"/>
      <c r="K110" s="95"/>
      <c r="L110" s="95"/>
      <c r="M110" s="95"/>
      <c r="N110" s="95"/>
      <c r="O110" s="95"/>
      <c r="P110" s="95"/>
      <c r="Q110" s="95"/>
      <c r="R110" s="95"/>
      <c r="S110" s="95"/>
      <c r="T110" s="95"/>
      <c r="U110" s="95"/>
      <c r="V110" s="95"/>
      <c r="W110" s="95"/>
      <c r="X110" s="95"/>
      <c r="Y110" s="95"/>
      <c r="Z110" s="95"/>
      <c r="AA110" s="95"/>
      <c r="AB110" s="95"/>
      <c r="AC110" s="95"/>
      <c r="AD110" s="95"/>
      <c r="AE110" s="95"/>
      <c r="AF110" s="95"/>
      <c r="AG110" s="95"/>
      <c r="AH110" s="95"/>
      <c r="AI110" s="95"/>
      <c r="AJ110" s="95"/>
      <c r="AK110" s="95"/>
      <c r="AL110" s="95"/>
      <c r="AM110" s="95"/>
      <c r="AN110" s="95"/>
      <c r="AO110" s="95"/>
      <c r="AP110" s="95"/>
      <c r="AQ110" s="95"/>
      <c r="AR110" s="95"/>
      <c r="AS110" s="95"/>
      <c r="AT110" s="95"/>
      <c r="AU110" s="95"/>
      <c r="AV110" s="95"/>
      <c r="AW110" s="95"/>
      <c r="AX110" s="95"/>
      <c r="AY110" s="95"/>
      <c r="AZ110" s="95"/>
      <c r="BA110" s="95"/>
      <c r="BB110" s="95"/>
      <c r="BC110" s="95"/>
      <c r="BD110" s="95"/>
      <c r="BE110" s="95"/>
      <c r="BF110" s="95"/>
      <c r="BG110" s="95"/>
      <c r="BH110" s="95"/>
      <c r="BI110" s="95"/>
      <c r="BJ110" s="95"/>
      <c r="BK110" s="95"/>
      <c r="BL110" s="95"/>
      <c r="BM110" s="95"/>
      <c r="BN110" s="95"/>
      <c r="BO110" s="95"/>
      <c r="BP110" s="95"/>
      <c r="BQ110" s="95"/>
      <c r="BR110" s="95"/>
      <c r="BS110" s="95"/>
      <c r="BT110" s="95"/>
      <c r="BU110" s="95"/>
      <c r="BV110" s="95"/>
      <c r="BW110" s="95"/>
      <c r="BX110" s="95"/>
      <c r="BY110" s="95"/>
      <c r="BZ110" s="95"/>
      <c r="CA110" s="95"/>
      <c r="CB110" s="95"/>
      <c r="CC110" s="95"/>
      <c r="CD110" s="95"/>
      <c r="CE110" s="95"/>
      <c r="CF110" s="95"/>
      <c r="CG110" s="95"/>
      <c r="CH110" s="95"/>
      <c r="CI110" s="95"/>
      <c r="CJ110" s="95"/>
      <c r="CK110" s="95"/>
      <c r="CL110" s="95"/>
      <c r="CM110" s="95"/>
      <c r="CN110" s="95"/>
      <c r="CO110" s="95"/>
      <c r="CP110" s="95"/>
      <c r="CQ110" s="95"/>
      <c r="CR110" s="95"/>
      <c r="CS110" s="95"/>
      <c r="CT110" s="95"/>
      <c r="CU110" s="95"/>
      <c r="CV110" s="95"/>
      <c r="CW110" s="95"/>
      <c r="CX110" s="95"/>
      <c r="CY110" s="95"/>
      <c r="CZ110" s="95"/>
      <c r="DA110" s="95"/>
      <c r="DB110" s="95"/>
      <c r="DC110" s="95"/>
      <c r="DD110" s="95"/>
      <c r="DE110" s="95"/>
      <c r="DF110" s="95"/>
      <c r="DG110" s="95"/>
      <c r="DH110" s="95"/>
      <c r="DI110" s="95"/>
      <c r="DJ110" s="95"/>
      <c r="DK110" s="95"/>
      <c r="DL110" s="95"/>
      <c r="DM110" s="95"/>
      <c r="DN110" s="95"/>
      <c r="DO110" s="95"/>
    </row>
    <row r="111" spans="1:122">
      <c r="B111" s="95"/>
      <c r="C111" s="95"/>
      <c r="D111" s="95"/>
      <c r="E111" s="95"/>
      <c r="F111" s="95"/>
      <c r="G111" s="95"/>
      <c r="H111" s="95"/>
      <c r="I111" s="95"/>
      <c r="J111" s="95"/>
      <c r="K111" s="95"/>
      <c r="L111" s="95"/>
      <c r="M111" s="95"/>
      <c r="N111" s="95"/>
      <c r="O111" s="95"/>
      <c r="P111" s="95"/>
      <c r="Q111" s="95"/>
      <c r="R111" s="95"/>
      <c r="S111" s="95"/>
      <c r="T111" s="95"/>
      <c r="U111" s="95"/>
      <c r="V111" s="95"/>
      <c r="W111" s="95"/>
      <c r="X111" s="95"/>
      <c r="Y111" s="95"/>
      <c r="Z111" s="95"/>
      <c r="AA111" s="95"/>
      <c r="AB111" s="95"/>
      <c r="AC111" s="95"/>
      <c r="AD111" s="95"/>
      <c r="AE111" s="95"/>
      <c r="AF111" s="95"/>
      <c r="AG111" s="95"/>
      <c r="AH111" s="95"/>
      <c r="AI111" s="95"/>
      <c r="AJ111" s="95"/>
      <c r="AK111" s="95"/>
      <c r="AL111" s="95"/>
      <c r="AM111" s="95"/>
      <c r="AN111" s="95"/>
      <c r="AO111" s="95"/>
      <c r="AP111" s="95"/>
      <c r="AQ111" s="95"/>
      <c r="AR111" s="95"/>
      <c r="AS111" s="95"/>
      <c r="AT111" s="95"/>
      <c r="AU111" s="95"/>
      <c r="AV111" s="95"/>
      <c r="AW111" s="95"/>
      <c r="AX111" s="95"/>
      <c r="AY111" s="95"/>
      <c r="AZ111" s="95"/>
      <c r="BA111" s="95"/>
      <c r="BB111" s="95"/>
      <c r="BC111" s="95"/>
      <c r="BD111" s="95"/>
      <c r="BE111" s="95"/>
      <c r="BF111" s="95"/>
      <c r="BG111" s="95"/>
      <c r="BH111" s="95"/>
      <c r="BI111" s="95"/>
      <c r="BJ111" s="95"/>
      <c r="BK111" s="95"/>
      <c r="BL111" s="95"/>
      <c r="BM111" s="95"/>
      <c r="BN111" s="95"/>
      <c r="BO111" s="95"/>
      <c r="BP111" s="95"/>
      <c r="BQ111" s="95"/>
      <c r="BR111" s="95"/>
      <c r="BS111" s="95"/>
      <c r="BT111" s="95"/>
      <c r="BU111" s="95"/>
      <c r="BV111" s="95"/>
      <c r="BW111" s="95"/>
      <c r="BX111" s="95"/>
      <c r="BY111" s="95"/>
      <c r="BZ111" s="95"/>
      <c r="CA111" s="95"/>
      <c r="CB111" s="95"/>
      <c r="CC111" s="95"/>
      <c r="CD111" s="95"/>
      <c r="CE111" s="95"/>
      <c r="CF111" s="95"/>
      <c r="CG111" s="95"/>
      <c r="CH111" s="95"/>
      <c r="CI111" s="95"/>
      <c r="CJ111" s="95"/>
      <c r="CK111" s="95"/>
      <c r="CL111" s="95"/>
      <c r="CM111" s="95"/>
      <c r="CN111" s="95"/>
      <c r="CO111" s="95"/>
      <c r="CP111" s="95"/>
      <c r="CQ111" s="95"/>
      <c r="CR111" s="95"/>
      <c r="CS111" s="95"/>
      <c r="CT111" s="95"/>
      <c r="CU111" s="95"/>
      <c r="CV111" s="95"/>
      <c r="CW111" s="95"/>
      <c r="CX111" s="95"/>
      <c r="CY111" s="95"/>
      <c r="CZ111" s="95"/>
      <c r="DA111" s="95"/>
      <c r="DB111" s="95"/>
      <c r="DC111" s="95"/>
      <c r="DD111" s="95"/>
      <c r="DE111" s="95"/>
      <c r="DF111" s="95"/>
      <c r="DG111" s="95"/>
      <c r="DH111" s="95"/>
      <c r="DI111" s="95"/>
      <c r="DJ111" s="95"/>
      <c r="DK111" s="95"/>
      <c r="DL111" s="95"/>
      <c r="DM111" s="95"/>
      <c r="DN111" s="95"/>
      <c r="DO111" s="95"/>
    </row>
    <row r="112" spans="1:122">
      <c r="B112" s="95"/>
      <c r="C112" s="95"/>
      <c r="D112" s="95"/>
      <c r="E112" s="95"/>
      <c r="F112" s="95"/>
      <c r="G112" s="95"/>
      <c r="H112" s="95"/>
      <c r="I112" s="95"/>
      <c r="J112" s="95"/>
      <c r="K112" s="95"/>
      <c r="L112" s="95"/>
      <c r="M112" s="95"/>
      <c r="N112" s="95"/>
      <c r="O112" s="95"/>
      <c r="P112" s="95"/>
      <c r="Q112" s="95"/>
      <c r="R112" s="95"/>
      <c r="S112" s="95"/>
      <c r="T112" s="95"/>
      <c r="U112" s="95"/>
      <c r="V112" s="95"/>
      <c r="W112" s="95"/>
      <c r="X112" s="95"/>
      <c r="Y112" s="95"/>
      <c r="Z112" s="95"/>
      <c r="AA112" s="95"/>
      <c r="AB112" s="95"/>
      <c r="AC112" s="95"/>
      <c r="AD112" s="95"/>
      <c r="AE112" s="95"/>
      <c r="AF112" s="95"/>
      <c r="AG112" s="95"/>
      <c r="AH112" s="95"/>
      <c r="AI112" s="95"/>
      <c r="AJ112" s="95"/>
      <c r="AK112" s="95"/>
      <c r="AL112" s="95"/>
      <c r="AM112" s="95"/>
      <c r="AN112" s="95"/>
      <c r="AO112" s="95"/>
      <c r="AP112" s="95"/>
      <c r="AQ112" s="95"/>
      <c r="AR112" s="95"/>
      <c r="AS112" s="95"/>
      <c r="AT112" s="95"/>
      <c r="AU112" s="95"/>
      <c r="AV112" s="95"/>
      <c r="AW112" s="95"/>
      <c r="AX112" s="95"/>
      <c r="AY112" s="95"/>
      <c r="AZ112" s="95"/>
      <c r="BA112" s="95"/>
      <c r="BB112" s="95"/>
      <c r="BC112" s="95"/>
      <c r="BD112" s="95"/>
      <c r="BE112" s="95"/>
      <c r="BF112" s="95"/>
      <c r="BG112" s="95"/>
      <c r="BH112" s="95"/>
      <c r="BI112" s="95"/>
      <c r="BJ112" s="95"/>
      <c r="BK112" s="95"/>
      <c r="BL112" s="95"/>
      <c r="BM112" s="95"/>
      <c r="BN112" s="95"/>
      <c r="BO112" s="95"/>
      <c r="BP112" s="95"/>
      <c r="BQ112" s="95"/>
      <c r="BR112" s="95"/>
      <c r="BS112" s="95"/>
      <c r="BT112" s="95"/>
      <c r="BU112" s="95"/>
      <c r="BV112" s="95"/>
      <c r="BW112" s="95"/>
      <c r="BX112" s="95"/>
      <c r="BY112" s="95"/>
      <c r="BZ112" s="95"/>
      <c r="CA112" s="95"/>
      <c r="CB112" s="95"/>
      <c r="CC112" s="95"/>
      <c r="CD112" s="95"/>
      <c r="CE112" s="95"/>
      <c r="CF112" s="95"/>
      <c r="CG112" s="95"/>
      <c r="CH112" s="95"/>
      <c r="CI112" s="95"/>
      <c r="CJ112" s="95"/>
      <c r="CK112" s="95"/>
      <c r="CL112" s="95"/>
      <c r="CM112" s="95"/>
      <c r="CN112" s="95"/>
      <c r="CO112" s="95"/>
      <c r="CP112" s="95"/>
      <c r="CQ112" s="95"/>
      <c r="CR112" s="95"/>
      <c r="CS112" s="95"/>
      <c r="CT112" s="95"/>
      <c r="CU112" s="95"/>
      <c r="CV112" s="95"/>
      <c r="CW112" s="95"/>
      <c r="CX112" s="95"/>
      <c r="CY112" s="95"/>
      <c r="CZ112" s="95"/>
      <c r="DA112" s="95"/>
      <c r="DB112" s="95"/>
      <c r="DC112" s="95"/>
      <c r="DD112" s="95"/>
      <c r="DE112" s="95"/>
      <c r="DF112" s="95"/>
      <c r="DG112" s="95"/>
      <c r="DH112" s="95"/>
      <c r="DI112" s="95"/>
      <c r="DJ112" s="95"/>
      <c r="DK112" s="95"/>
      <c r="DL112" s="95"/>
      <c r="DM112" s="95"/>
      <c r="DN112" s="95"/>
      <c r="DO112" s="95"/>
    </row>
    <row r="113" spans="2:119">
      <c r="B113" s="95"/>
      <c r="C113" s="95"/>
      <c r="D113" s="95"/>
      <c r="E113" s="95"/>
      <c r="F113" s="95"/>
      <c r="G113" s="95"/>
      <c r="H113" s="95"/>
      <c r="I113" s="95"/>
      <c r="J113" s="95"/>
      <c r="K113" s="95"/>
      <c r="L113" s="95"/>
      <c r="M113" s="95"/>
      <c r="N113" s="95"/>
      <c r="O113" s="95"/>
      <c r="P113" s="95"/>
      <c r="Q113" s="95"/>
      <c r="R113" s="95"/>
      <c r="S113" s="95"/>
      <c r="T113" s="95"/>
      <c r="U113" s="95"/>
      <c r="V113" s="95"/>
      <c r="W113" s="95"/>
      <c r="X113" s="95"/>
      <c r="Y113" s="95"/>
      <c r="Z113" s="95"/>
      <c r="AA113" s="95"/>
      <c r="AB113" s="95"/>
      <c r="AC113" s="95"/>
      <c r="AD113" s="95"/>
      <c r="AE113" s="95"/>
      <c r="AF113" s="95"/>
      <c r="AG113" s="95"/>
      <c r="AH113" s="95"/>
      <c r="AI113" s="95"/>
      <c r="AJ113" s="95"/>
      <c r="AK113" s="95"/>
      <c r="AL113" s="95"/>
      <c r="AM113" s="95"/>
      <c r="AN113" s="95"/>
      <c r="AO113" s="95"/>
      <c r="AP113" s="95"/>
      <c r="AQ113" s="95"/>
      <c r="AR113" s="95"/>
      <c r="AS113" s="95"/>
      <c r="AT113" s="95"/>
      <c r="AU113" s="95"/>
      <c r="AV113" s="95"/>
      <c r="AW113" s="95"/>
      <c r="AX113" s="95"/>
      <c r="AY113" s="95"/>
      <c r="AZ113" s="95"/>
      <c r="BA113" s="95"/>
      <c r="BB113" s="95"/>
      <c r="BC113" s="95"/>
      <c r="BD113" s="95"/>
      <c r="BE113" s="95"/>
      <c r="BF113" s="95"/>
      <c r="BG113" s="95"/>
      <c r="BH113" s="95"/>
      <c r="BI113" s="95"/>
      <c r="BJ113" s="95"/>
      <c r="BK113" s="95"/>
      <c r="BL113" s="95"/>
      <c r="BM113" s="95"/>
      <c r="BN113" s="95"/>
      <c r="BO113" s="95"/>
      <c r="BP113" s="95"/>
      <c r="BQ113" s="95"/>
      <c r="BR113" s="95"/>
      <c r="BS113" s="95"/>
      <c r="BT113" s="95"/>
      <c r="BU113" s="95"/>
      <c r="BV113" s="95"/>
      <c r="BW113" s="95"/>
      <c r="BX113" s="95"/>
      <c r="BY113" s="95"/>
      <c r="BZ113" s="95"/>
      <c r="CA113" s="95"/>
      <c r="CB113" s="95"/>
      <c r="CC113" s="95"/>
      <c r="CD113" s="95"/>
      <c r="CE113" s="95"/>
      <c r="CF113" s="95"/>
      <c r="CG113" s="95"/>
      <c r="CH113" s="95"/>
      <c r="CI113" s="95"/>
      <c r="CJ113" s="95"/>
      <c r="CK113" s="95"/>
      <c r="CL113" s="95"/>
      <c r="CM113" s="95"/>
      <c r="CN113" s="95"/>
      <c r="CO113" s="95"/>
      <c r="CP113" s="95"/>
      <c r="CQ113" s="95"/>
      <c r="CR113" s="95"/>
      <c r="CS113" s="95"/>
      <c r="CT113" s="95"/>
      <c r="CU113" s="95"/>
      <c r="CV113" s="95"/>
      <c r="CW113" s="95"/>
      <c r="CX113" s="95"/>
      <c r="CY113" s="95"/>
      <c r="CZ113" s="95"/>
      <c r="DA113" s="95"/>
      <c r="DB113" s="95"/>
      <c r="DC113" s="95"/>
      <c r="DD113" s="95"/>
      <c r="DE113" s="95"/>
      <c r="DF113" s="95"/>
      <c r="DG113" s="95"/>
      <c r="DH113" s="95"/>
      <c r="DI113" s="95"/>
      <c r="DJ113" s="95"/>
      <c r="DK113" s="95"/>
      <c r="DL113" s="95"/>
      <c r="DM113" s="95"/>
      <c r="DN113" s="95"/>
      <c r="DO113" s="95"/>
    </row>
    <row r="114" spans="2:119">
      <c r="B114" s="95"/>
      <c r="C114" s="95"/>
      <c r="D114" s="95"/>
      <c r="E114" s="95"/>
      <c r="F114" s="95"/>
      <c r="G114" s="95"/>
      <c r="H114" s="95"/>
      <c r="I114" s="95"/>
      <c r="J114" s="95"/>
      <c r="K114" s="95"/>
      <c r="L114" s="95"/>
      <c r="M114" s="95"/>
      <c r="N114" s="95"/>
      <c r="O114" s="95"/>
      <c r="P114" s="95"/>
      <c r="Q114" s="95"/>
      <c r="R114" s="95"/>
      <c r="S114" s="95"/>
      <c r="T114" s="95"/>
      <c r="U114" s="95"/>
      <c r="V114" s="95"/>
      <c r="W114" s="95"/>
      <c r="X114" s="95"/>
      <c r="Y114" s="95"/>
      <c r="Z114" s="95"/>
      <c r="AA114" s="95"/>
      <c r="AB114" s="95"/>
      <c r="AC114" s="95"/>
      <c r="AD114" s="95"/>
      <c r="AE114" s="95"/>
      <c r="AF114" s="95"/>
      <c r="AG114" s="95"/>
      <c r="AH114" s="95"/>
      <c r="AI114" s="95"/>
      <c r="AJ114" s="95"/>
      <c r="AK114" s="95"/>
      <c r="AL114" s="95"/>
      <c r="AM114" s="95"/>
      <c r="AN114" s="95"/>
      <c r="AO114" s="95"/>
      <c r="AP114" s="95"/>
      <c r="AQ114" s="95"/>
      <c r="AR114" s="95"/>
      <c r="AS114" s="95"/>
      <c r="AT114" s="95"/>
      <c r="AU114" s="95"/>
      <c r="AV114" s="95"/>
      <c r="AW114" s="95"/>
      <c r="AX114" s="95"/>
      <c r="AY114" s="95"/>
      <c r="AZ114" s="95"/>
      <c r="BA114" s="95"/>
      <c r="BB114" s="95"/>
      <c r="BC114" s="95"/>
      <c r="BD114" s="95"/>
      <c r="BE114" s="95"/>
      <c r="BF114" s="95"/>
      <c r="BG114" s="95"/>
      <c r="BH114" s="95"/>
      <c r="BI114" s="95"/>
      <c r="BJ114" s="95"/>
      <c r="BK114" s="95"/>
      <c r="BL114" s="95"/>
      <c r="BM114" s="95"/>
      <c r="BN114" s="95"/>
      <c r="BO114" s="95"/>
      <c r="BP114" s="95"/>
      <c r="BQ114" s="95"/>
      <c r="BR114" s="95"/>
      <c r="BS114" s="95"/>
      <c r="BT114" s="95"/>
      <c r="BU114" s="95"/>
      <c r="BV114" s="95"/>
      <c r="BW114" s="95"/>
      <c r="BX114" s="95"/>
      <c r="BY114" s="95"/>
      <c r="BZ114" s="95"/>
      <c r="CA114" s="95"/>
      <c r="CB114" s="95"/>
      <c r="CC114" s="95"/>
      <c r="CD114" s="95"/>
      <c r="CE114" s="95"/>
      <c r="CF114" s="95"/>
      <c r="CG114" s="95"/>
      <c r="CH114" s="95"/>
      <c r="CI114" s="95"/>
      <c r="CJ114" s="95"/>
      <c r="CK114" s="95"/>
      <c r="CL114" s="95"/>
      <c r="CM114" s="95"/>
      <c r="CN114" s="95"/>
      <c r="CO114" s="95"/>
      <c r="CP114" s="95"/>
      <c r="CQ114" s="95"/>
      <c r="CR114" s="95"/>
      <c r="CS114" s="95"/>
      <c r="CT114" s="95"/>
      <c r="CU114" s="95"/>
      <c r="CV114" s="95"/>
      <c r="CW114" s="95"/>
      <c r="CX114" s="95"/>
      <c r="CY114" s="95"/>
      <c r="CZ114" s="95"/>
      <c r="DA114" s="95"/>
      <c r="DB114" s="95"/>
      <c r="DC114" s="95"/>
      <c r="DD114" s="95"/>
      <c r="DE114" s="95"/>
      <c r="DF114" s="95"/>
      <c r="DG114" s="95"/>
      <c r="DH114" s="95"/>
      <c r="DI114" s="95"/>
      <c r="DJ114" s="95"/>
      <c r="DK114" s="95"/>
      <c r="DL114" s="95"/>
      <c r="DM114" s="95"/>
      <c r="DN114" s="95"/>
      <c r="DO114" s="95"/>
    </row>
    <row r="115" spans="2:119">
      <c r="B115" s="95"/>
      <c r="C115" s="95"/>
      <c r="D115" s="95"/>
      <c r="E115" s="95"/>
      <c r="F115" s="95"/>
      <c r="G115" s="95"/>
      <c r="H115" s="95"/>
      <c r="I115" s="95"/>
      <c r="J115" s="95"/>
      <c r="K115" s="95"/>
      <c r="L115" s="95"/>
      <c r="M115" s="95"/>
      <c r="N115" s="95"/>
      <c r="O115" s="95"/>
      <c r="P115" s="95"/>
      <c r="Q115" s="95"/>
      <c r="R115" s="95"/>
      <c r="S115" s="95"/>
      <c r="T115" s="95"/>
      <c r="U115" s="95"/>
      <c r="V115" s="95"/>
      <c r="W115" s="95"/>
      <c r="X115" s="95"/>
      <c r="Y115" s="95"/>
      <c r="Z115" s="95"/>
      <c r="AA115" s="95"/>
      <c r="AB115" s="95"/>
      <c r="AC115" s="95"/>
      <c r="AD115" s="95"/>
      <c r="AE115" s="95"/>
      <c r="AF115" s="95"/>
      <c r="AG115" s="95"/>
      <c r="AH115" s="95"/>
      <c r="AI115" s="95"/>
      <c r="AJ115" s="95"/>
      <c r="AK115" s="95"/>
      <c r="AL115" s="95"/>
      <c r="AM115" s="95"/>
      <c r="AN115" s="95"/>
      <c r="AO115" s="95"/>
      <c r="AP115" s="95"/>
      <c r="AQ115" s="95"/>
      <c r="AR115" s="95"/>
      <c r="AS115" s="95"/>
      <c r="AT115" s="95"/>
      <c r="AU115" s="95"/>
      <c r="AV115" s="95"/>
      <c r="AW115" s="95"/>
      <c r="AX115" s="95"/>
      <c r="AY115" s="95"/>
      <c r="AZ115" s="95"/>
      <c r="BA115" s="95"/>
      <c r="BB115" s="95"/>
      <c r="BC115" s="95"/>
      <c r="BD115" s="95"/>
      <c r="BE115" s="95"/>
      <c r="BF115" s="95"/>
      <c r="BG115" s="95"/>
      <c r="BH115" s="95"/>
      <c r="BI115" s="95"/>
      <c r="BJ115" s="95"/>
      <c r="BK115" s="95"/>
      <c r="BL115" s="95"/>
      <c r="BM115" s="95"/>
      <c r="BN115" s="95"/>
      <c r="BO115" s="95"/>
      <c r="BP115" s="95"/>
      <c r="BQ115" s="95"/>
      <c r="BR115" s="95"/>
      <c r="BS115" s="95"/>
      <c r="BT115" s="95"/>
      <c r="BU115" s="95"/>
      <c r="BV115" s="95"/>
      <c r="BW115" s="95"/>
      <c r="BX115" s="95"/>
      <c r="BY115" s="95"/>
      <c r="BZ115" s="95"/>
      <c r="CA115" s="95"/>
      <c r="CB115" s="95"/>
      <c r="CC115" s="95"/>
      <c r="CD115" s="95"/>
      <c r="CE115" s="95"/>
      <c r="CF115" s="95"/>
      <c r="CG115" s="95"/>
      <c r="CH115" s="95"/>
      <c r="CI115" s="95"/>
      <c r="CJ115" s="95"/>
      <c r="CK115" s="95"/>
      <c r="CL115" s="95"/>
      <c r="CM115" s="95"/>
      <c r="CN115" s="95"/>
      <c r="CO115" s="95"/>
      <c r="CP115" s="95"/>
      <c r="CQ115" s="95"/>
      <c r="CR115" s="95"/>
      <c r="CS115" s="95"/>
      <c r="CT115" s="95"/>
      <c r="CU115" s="95"/>
      <c r="CV115" s="95"/>
      <c r="CW115" s="95"/>
      <c r="CX115" s="95"/>
      <c r="CY115" s="95"/>
      <c r="CZ115" s="95"/>
      <c r="DA115" s="95"/>
      <c r="DB115" s="95"/>
      <c r="DC115" s="95"/>
      <c r="DD115" s="95"/>
      <c r="DE115" s="95"/>
      <c r="DF115" s="95"/>
      <c r="DG115" s="95"/>
      <c r="DH115" s="95"/>
      <c r="DI115" s="95"/>
      <c r="DJ115" s="95"/>
      <c r="DK115" s="95"/>
      <c r="DL115" s="95"/>
      <c r="DM115" s="95"/>
      <c r="DN115" s="95"/>
      <c r="DO115" s="95"/>
    </row>
    <row r="117" spans="2:119">
      <c r="N117" t="e">
        <v>#NAME?</v>
      </c>
    </row>
  </sheetData>
  <phoneticPr fontId="47" type="noConversion"/>
  <hyperlinks>
    <hyperlink ref="A1" r:id="rId1" display="https://view.officeapps.live.com/op/view.aspx?src=https%3A%2F%2Fwww.destatis.de%2FDE%2FThemen%2FGesellschaft-Umwelt%2FBevoelkerung%2FSterbefaelle-Lebenserwartung%2FPublikationen%2FDownloads-Sterbefaelle%2Fkohortensterbetafeln-5126101209005.xlsx%3F__blob%3DpublicationFile&amp;wdOrigin=BROWSELINK" xr:uid="{62030FF6-E3A6-47A0-9CAB-C1DAD6240402}"/>
  </hyperlinks>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21"/>
  <dimension ref="A1:DR124"/>
  <sheetViews>
    <sheetView workbookViewId="0">
      <pane xSplit="1" ySplit="1" topLeftCell="AL55" activePane="bottomRight" state="frozen"/>
      <selection pane="topRight" activeCell="B1" sqref="B1"/>
      <selection pane="bottomLeft" activeCell="A2" sqref="A2"/>
      <selection pane="bottomRight" activeCell="BM68" sqref="BM68"/>
    </sheetView>
  </sheetViews>
  <sheetFormatPr baseColWidth="10" defaultColWidth="11.125" defaultRowHeight="14.25"/>
  <cols>
    <col min="1" max="1" width="5.5" style="25" customWidth="1"/>
    <col min="2" max="71" width="7.625" customWidth="1"/>
    <col min="72" max="72" width="7.625" style="35" customWidth="1"/>
    <col min="73" max="119" width="7.625" customWidth="1"/>
  </cols>
  <sheetData>
    <row r="1" spans="1:122" s="25" customFormat="1">
      <c r="A1" s="948"/>
      <c r="B1" s="948">
        <v>1900</v>
      </c>
      <c r="C1" s="948">
        <v>1901</v>
      </c>
      <c r="D1" s="948">
        <v>1902</v>
      </c>
      <c r="E1" s="948">
        <v>1903</v>
      </c>
      <c r="F1" s="948">
        <v>1904</v>
      </c>
      <c r="G1" s="948">
        <v>1905</v>
      </c>
      <c r="H1" s="948">
        <v>1906</v>
      </c>
      <c r="I1" s="948">
        <v>1907</v>
      </c>
      <c r="J1" s="948">
        <v>1908</v>
      </c>
      <c r="K1" s="948">
        <v>1909</v>
      </c>
      <c r="L1" s="948">
        <v>1910</v>
      </c>
      <c r="M1" s="948">
        <v>1911</v>
      </c>
      <c r="N1" s="948">
        <v>1912</v>
      </c>
      <c r="O1" s="948">
        <v>1913</v>
      </c>
      <c r="P1" s="948">
        <v>1914</v>
      </c>
      <c r="Q1" s="948">
        <v>1915</v>
      </c>
      <c r="R1" s="948">
        <v>1916</v>
      </c>
      <c r="S1" s="948">
        <v>1917</v>
      </c>
      <c r="T1" s="948">
        <v>1918</v>
      </c>
      <c r="U1" s="948">
        <v>1919</v>
      </c>
      <c r="V1" s="948">
        <v>1920</v>
      </c>
      <c r="W1" s="948">
        <v>1921</v>
      </c>
      <c r="X1" s="948">
        <v>1922</v>
      </c>
      <c r="Y1" s="948">
        <v>1923</v>
      </c>
      <c r="Z1" s="948">
        <v>1924</v>
      </c>
      <c r="AA1" s="948">
        <v>1925</v>
      </c>
      <c r="AB1" s="948">
        <v>1926</v>
      </c>
      <c r="AC1" s="948">
        <v>1927</v>
      </c>
      <c r="AD1" s="948">
        <v>1928</v>
      </c>
      <c r="AE1" s="948">
        <v>1929</v>
      </c>
      <c r="AF1" s="948">
        <v>1930</v>
      </c>
      <c r="AG1" s="948">
        <v>1931</v>
      </c>
      <c r="AH1" s="948">
        <v>1932</v>
      </c>
      <c r="AI1" s="948">
        <v>1933</v>
      </c>
      <c r="AJ1" s="948">
        <v>1934</v>
      </c>
      <c r="AK1" s="948">
        <v>1935</v>
      </c>
      <c r="AL1" s="948">
        <v>1936</v>
      </c>
      <c r="AM1" s="948">
        <v>1937</v>
      </c>
      <c r="AN1" s="948">
        <v>1938</v>
      </c>
      <c r="AO1" s="948">
        <v>1939</v>
      </c>
      <c r="AP1" s="948">
        <v>1940</v>
      </c>
      <c r="AQ1" s="948">
        <v>1941</v>
      </c>
      <c r="AR1" s="948">
        <v>1942</v>
      </c>
      <c r="AS1" s="948">
        <v>1943</v>
      </c>
      <c r="AT1" s="948">
        <v>1944</v>
      </c>
      <c r="AU1" s="948">
        <v>1945</v>
      </c>
      <c r="AV1" s="948">
        <v>1946</v>
      </c>
      <c r="AW1" s="948">
        <v>1947</v>
      </c>
      <c r="AX1" s="948">
        <v>1948</v>
      </c>
      <c r="AY1" s="948">
        <v>1949</v>
      </c>
      <c r="AZ1" s="948">
        <v>1950</v>
      </c>
      <c r="BA1" s="948">
        <v>1951</v>
      </c>
      <c r="BB1" s="948">
        <v>1952</v>
      </c>
      <c r="BC1" s="948">
        <v>1953</v>
      </c>
      <c r="BD1" s="948">
        <v>1954</v>
      </c>
      <c r="BE1" s="948">
        <v>1955</v>
      </c>
      <c r="BF1" s="948">
        <v>1956</v>
      </c>
      <c r="BG1" s="948">
        <v>1957</v>
      </c>
      <c r="BH1" s="948">
        <v>1958</v>
      </c>
      <c r="BI1" s="948">
        <v>1959</v>
      </c>
      <c r="BJ1" s="948">
        <v>1960</v>
      </c>
      <c r="BK1" s="948">
        <v>1961</v>
      </c>
      <c r="BL1" s="948">
        <v>1962</v>
      </c>
      <c r="BM1" s="948">
        <v>1963</v>
      </c>
      <c r="BN1" s="948">
        <v>1964</v>
      </c>
      <c r="BO1" s="948">
        <v>1965</v>
      </c>
      <c r="BP1" s="948">
        <v>1966</v>
      </c>
      <c r="BQ1" s="948">
        <v>1967</v>
      </c>
      <c r="BR1" s="948">
        <v>1968</v>
      </c>
      <c r="BS1" s="948">
        <v>1969</v>
      </c>
      <c r="BT1" s="948">
        <v>1970</v>
      </c>
      <c r="BU1" s="948">
        <v>1971</v>
      </c>
      <c r="BV1" s="948">
        <v>1972</v>
      </c>
      <c r="BW1" s="948">
        <v>1973</v>
      </c>
      <c r="BX1" s="948">
        <v>1974</v>
      </c>
      <c r="BY1" s="948">
        <v>1975</v>
      </c>
      <c r="BZ1" s="948">
        <v>1976</v>
      </c>
      <c r="CA1" s="948">
        <v>1977</v>
      </c>
      <c r="CB1" s="948">
        <v>1978</v>
      </c>
      <c r="CC1" s="948">
        <v>1979</v>
      </c>
      <c r="CD1" s="948">
        <v>1980</v>
      </c>
      <c r="CE1" s="948">
        <v>1981</v>
      </c>
      <c r="CF1" s="948">
        <v>1982</v>
      </c>
      <c r="CG1" s="948">
        <v>1983</v>
      </c>
      <c r="CH1" s="948">
        <v>1984</v>
      </c>
      <c r="CI1" s="948">
        <v>1985</v>
      </c>
      <c r="CJ1" s="948">
        <v>1986</v>
      </c>
      <c r="CK1" s="948">
        <v>1987</v>
      </c>
      <c r="CL1" s="948">
        <v>1988</v>
      </c>
      <c r="CM1" s="948">
        <v>1989</v>
      </c>
      <c r="CN1" s="948">
        <v>1990</v>
      </c>
      <c r="CO1" s="948">
        <v>1991</v>
      </c>
      <c r="CP1" s="948">
        <v>1992</v>
      </c>
      <c r="CQ1" s="948">
        <v>1993</v>
      </c>
      <c r="CR1" s="948">
        <v>1994</v>
      </c>
      <c r="CS1" s="948">
        <v>1995</v>
      </c>
      <c r="CT1" s="948">
        <v>1996</v>
      </c>
      <c r="CU1" s="948">
        <v>1997</v>
      </c>
      <c r="CV1" s="948">
        <v>1998</v>
      </c>
      <c r="CW1" s="948">
        <v>1999</v>
      </c>
      <c r="CX1" s="948">
        <v>2000</v>
      </c>
      <c r="CY1" s="948">
        <v>2001</v>
      </c>
      <c r="CZ1" s="948">
        <v>2002</v>
      </c>
      <c r="DA1" s="948">
        <v>2003</v>
      </c>
      <c r="DB1" s="948">
        <v>2004</v>
      </c>
      <c r="DC1" s="948">
        <v>2005</v>
      </c>
      <c r="DD1" s="948">
        <v>2006</v>
      </c>
      <c r="DE1" s="948">
        <v>2007</v>
      </c>
      <c r="DF1" s="948">
        <v>2008</v>
      </c>
      <c r="DG1" s="948">
        <v>2009</v>
      </c>
      <c r="DH1" s="948">
        <v>2010</v>
      </c>
      <c r="DI1" s="948">
        <v>2011</v>
      </c>
      <c r="DJ1" s="948">
        <v>2012</v>
      </c>
      <c r="DK1" s="948">
        <v>2013</v>
      </c>
      <c r="DL1" s="948">
        <v>2014</v>
      </c>
      <c r="DM1" s="948">
        <v>2015</v>
      </c>
      <c r="DN1" s="948">
        <v>2016</v>
      </c>
      <c r="DO1" s="948">
        <v>2017</v>
      </c>
      <c r="DP1" s="948">
        <v>2018</v>
      </c>
      <c r="DQ1" s="948">
        <v>2019</v>
      </c>
      <c r="DR1" s="948">
        <v>2020</v>
      </c>
    </row>
    <row r="2" spans="1:122" s="131" customFormat="1" ht="12.75">
      <c r="A2" s="949">
        <v>0</v>
      </c>
      <c r="B2" s="945">
        <v>49.311019164994661</v>
      </c>
      <c r="C2" s="945">
        <v>49.77597133154724</v>
      </c>
      <c r="D2" s="945">
        <v>50.335085689157353</v>
      </c>
      <c r="E2" s="945">
        <v>50.909211220097291</v>
      </c>
      <c r="F2" s="945">
        <v>51.526743376337699</v>
      </c>
      <c r="G2" s="945">
        <v>52.118932721094943</v>
      </c>
      <c r="H2" s="945">
        <v>52.706720457161822</v>
      </c>
      <c r="I2" s="945">
        <v>53.446888217905673</v>
      </c>
      <c r="J2" s="945">
        <v>54.107982372963292</v>
      </c>
      <c r="K2" s="945">
        <v>54.755623733405372</v>
      </c>
      <c r="L2" s="945">
        <v>55.294539913927053</v>
      </c>
      <c r="M2" s="945">
        <v>55.56731941088313</v>
      </c>
      <c r="N2" s="945">
        <v>57.218935596426618</v>
      </c>
      <c r="O2" s="945">
        <v>56.953838727549183</v>
      </c>
      <c r="P2" s="945">
        <v>56.694231204523447</v>
      </c>
      <c r="Q2" s="945">
        <v>57.753079889365495</v>
      </c>
      <c r="R2" s="945">
        <v>58.373436212030008</v>
      </c>
      <c r="S2" s="945">
        <v>58.289426274468013</v>
      </c>
      <c r="T2" s="945">
        <v>58.250094047402769</v>
      </c>
      <c r="U2" s="945">
        <v>59.741850035807737</v>
      </c>
      <c r="V2" s="945">
        <v>61.120000000000005</v>
      </c>
      <c r="W2" s="945">
        <v>61.56</v>
      </c>
      <c r="X2" s="945">
        <v>62.325000000000003</v>
      </c>
      <c r="Y2" s="945">
        <v>62.504999999999995</v>
      </c>
      <c r="Z2" s="945">
        <v>64.36</v>
      </c>
      <c r="AA2" s="945">
        <v>64.789999999999992</v>
      </c>
      <c r="AB2" s="945">
        <v>65.414999999999992</v>
      </c>
      <c r="AC2" s="945">
        <v>66.150000000000006</v>
      </c>
      <c r="AD2" s="945">
        <v>66.89</v>
      </c>
      <c r="AE2" s="945">
        <v>66.95</v>
      </c>
      <c r="AF2" s="945">
        <v>68.06</v>
      </c>
      <c r="AG2" s="945">
        <v>68.58</v>
      </c>
      <c r="AH2" s="945">
        <v>69.009999999999991</v>
      </c>
      <c r="AI2" s="945">
        <v>69.454999999999998</v>
      </c>
      <c r="AJ2" s="945">
        <v>70.66</v>
      </c>
      <c r="AK2" s="945">
        <v>70.86</v>
      </c>
      <c r="AL2" s="945">
        <v>71.384999999999991</v>
      </c>
      <c r="AM2" s="945">
        <v>71.86</v>
      </c>
      <c r="AN2" s="945">
        <v>72.42</v>
      </c>
      <c r="AO2" s="945">
        <v>72.539999999999992</v>
      </c>
      <c r="AP2" s="945">
        <v>72.77</v>
      </c>
      <c r="AQ2" s="945">
        <v>72.935000000000002</v>
      </c>
      <c r="AR2" s="945">
        <v>73.114999999999995</v>
      </c>
      <c r="AS2" s="945">
        <v>72.699999999999989</v>
      </c>
      <c r="AT2" s="945">
        <v>72.14</v>
      </c>
      <c r="AU2" s="945">
        <v>71.19</v>
      </c>
      <c r="AV2" s="945">
        <v>71.555000000000007</v>
      </c>
      <c r="AW2" s="945">
        <v>72.064999999999998</v>
      </c>
      <c r="AX2" s="945">
        <v>73.914999999999992</v>
      </c>
      <c r="AY2" s="945">
        <v>75.484999999999999</v>
      </c>
      <c r="AZ2" s="945">
        <v>75.61</v>
      </c>
      <c r="BA2" s="945">
        <v>75.75</v>
      </c>
      <c r="BB2" s="945">
        <v>76.415000000000006</v>
      </c>
      <c r="BC2" s="945">
        <v>76.724999999999994</v>
      </c>
      <c r="BD2" s="945">
        <v>77.180000000000007</v>
      </c>
      <c r="BE2" s="945">
        <v>77.39500000000001</v>
      </c>
      <c r="BF2" s="945">
        <v>77.864999999999995</v>
      </c>
      <c r="BG2" s="945">
        <v>78.099999999999994</v>
      </c>
      <c r="BH2" s="945">
        <v>78.539999999999992</v>
      </c>
      <c r="BI2" s="945">
        <v>78.84</v>
      </c>
      <c r="BJ2" s="945">
        <v>79.175000000000011</v>
      </c>
      <c r="BK2" s="945">
        <v>79.599999999999994</v>
      </c>
      <c r="BL2" s="945">
        <v>80.064999999999998</v>
      </c>
      <c r="BM2" s="945">
        <v>80.495000000000005</v>
      </c>
      <c r="BN2" s="945">
        <v>80.89500000000001</v>
      </c>
      <c r="BO2" s="945">
        <v>81.245000000000005</v>
      </c>
      <c r="BP2" s="945">
        <v>81.534999999999997</v>
      </c>
      <c r="BQ2" s="945">
        <v>81.784999999999997</v>
      </c>
      <c r="BR2" s="945">
        <v>82.034999999999997</v>
      </c>
      <c r="BS2" s="945">
        <v>82.19</v>
      </c>
      <c r="BT2" s="946">
        <v>82.425000000000011</v>
      </c>
      <c r="BU2" s="945">
        <v>82.625</v>
      </c>
      <c r="BV2" s="945">
        <v>82.875</v>
      </c>
      <c r="BW2" s="945">
        <v>83.09</v>
      </c>
      <c r="BX2" s="945">
        <v>83.355000000000004</v>
      </c>
      <c r="BY2" s="945">
        <v>83.625</v>
      </c>
      <c r="BZ2" s="945">
        <v>84</v>
      </c>
      <c r="CA2" s="945">
        <v>84.3</v>
      </c>
      <c r="CB2" s="945">
        <v>84.52000000000001</v>
      </c>
      <c r="CC2" s="945">
        <v>84.784999999999997</v>
      </c>
      <c r="CD2" s="945">
        <v>85.025000000000006</v>
      </c>
      <c r="CE2" s="945">
        <v>85.245000000000005</v>
      </c>
      <c r="CF2" s="945">
        <v>85.504999999999995</v>
      </c>
      <c r="CG2" s="945">
        <v>85.740000000000009</v>
      </c>
      <c r="CH2" s="945">
        <v>85.954999999999998</v>
      </c>
      <c r="CI2" s="945">
        <v>86.205000000000013</v>
      </c>
      <c r="CJ2" s="945">
        <v>86.385000000000005</v>
      </c>
      <c r="CK2" s="945">
        <v>86.58</v>
      </c>
      <c r="CL2" s="945">
        <v>86.825000000000003</v>
      </c>
      <c r="CM2" s="945">
        <v>87</v>
      </c>
      <c r="CN2" s="945">
        <v>87.210000000000008</v>
      </c>
      <c r="CO2" s="945">
        <v>87.41</v>
      </c>
      <c r="CP2" s="945">
        <v>87.60499999999999</v>
      </c>
      <c r="CQ2" s="945">
        <v>87.795000000000002</v>
      </c>
      <c r="CR2" s="945">
        <v>87.960000000000008</v>
      </c>
      <c r="CS2" s="945">
        <v>88.144999999999996</v>
      </c>
      <c r="CT2" s="945">
        <v>88.31</v>
      </c>
      <c r="CU2" s="945">
        <v>88.47</v>
      </c>
      <c r="CV2" s="945">
        <v>88.615000000000009</v>
      </c>
      <c r="CW2" s="945">
        <v>88.77000000000001</v>
      </c>
      <c r="CX2" s="945">
        <v>88.944999999999993</v>
      </c>
      <c r="CY2" s="945">
        <v>89.085000000000008</v>
      </c>
      <c r="CZ2" s="945">
        <v>89.224999999999994</v>
      </c>
      <c r="DA2" s="945">
        <v>89.36</v>
      </c>
      <c r="DB2" s="945">
        <v>89.515000000000001</v>
      </c>
      <c r="DC2" s="945">
        <v>89.664999999999992</v>
      </c>
      <c r="DD2" s="945">
        <v>89.8</v>
      </c>
      <c r="DE2" s="945">
        <v>89.935000000000002</v>
      </c>
      <c r="DF2" s="945">
        <v>90.1</v>
      </c>
      <c r="DG2" s="945">
        <v>90.22</v>
      </c>
      <c r="DH2" s="945">
        <v>90.36</v>
      </c>
      <c r="DI2" s="945">
        <v>90.474999999999994</v>
      </c>
      <c r="DJ2" s="945">
        <v>90.63</v>
      </c>
      <c r="DK2" s="945">
        <v>90.759999999999991</v>
      </c>
      <c r="DL2" s="945">
        <v>90.88</v>
      </c>
      <c r="DM2" s="945">
        <v>90.995000000000005</v>
      </c>
      <c r="DN2" s="945">
        <v>91.11</v>
      </c>
      <c r="DO2" s="945">
        <v>91.24</v>
      </c>
      <c r="DP2" s="945">
        <v>91.37</v>
      </c>
      <c r="DQ2" s="945">
        <v>91.504999999999995</v>
      </c>
      <c r="DR2" s="945">
        <v>91.635000000000005</v>
      </c>
    </row>
    <row r="3" spans="1:122" s="131" customFormat="1" ht="12.75">
      <c r="A3" s="949">
        <v>1</v>
      </c>
      <c r="B3" s="945">
        <v>60.841018057907235</v>
      </c>
      <c r="C3" s="945">
        <v>61.193082494465351</v>
      </c>
      <c r="D3" s="945">
        <v>61.660510779131606</v>
      </c>
      <c r="E3" s="945">
        <v>62.143027895449613</v>
      </c>
      <c r="F3" s="945">
        <v>62.675965476552612</v>
      </c>
      <c r="G3" s="945">
        <v>63.172948102677935</v>
      </c>
      <c r="H3" s="945">
        <v>63.660398852700077</v>
      </c>
      <c r="I3" s="945">
        <v>64.189361580518835</v>
      </c>
      <c r="J3" s="945">
        <v>64.615665413658405</v>
      </c>
      <c r="K3" s="945">
        <v>65.021670980704599</v>
      </c>
      <c r="L3" s="945">
        <v>65.292810159798577</v>
      </c>
      <c r="M3" s="945">
        <v>65.62070112328442</v>
      </c>
      <c r="N3" s="945">
        <v>65.986259689198178</v>
      </c>
      <c r="O3" s="945">
        <v>65.888865193654198</v>
      </c>
      <c r="P3" s="945">
        <v>66.54161458035577</v>
      </c>
      <c r="Q3" s="945">
        <v>66.712097300417724</v>
      </c>
      <c r="R3" s="945">
        <v>66.751961518520503</v>
      </c>
      <c r="S3" s="945">
        <v>67.331256199332444</v>
      </c>
      <c r="T3" s="945">
        <v>67.980247285998857</v>
      </c>
      <c r="U3" s="945">
        <v>68.667502831344564</v>
      </c>
      <c r="V3" s="945">
        <v>69.295000000000002</v>
      </c>
      <c r="W3" s="945">
        <v>69.935000000000002</v>
      </c>
      <c r="X3" s="945">
        <v>70.465000000000003</v>
      </c>
      <c r="Y3" s="945">
        <v>70.884999999999991</v>
      </c>
      <c r="Z3" s="945">
        <v>71.12</v>
      </c>
      <c r="AA3" s="945">
        <v>71.324999999999989</v>
      </c>
      <c r="AB3" s="945">
        <v>71.734999999999999</v>
      </c>
      <c r="AC3" s="945">
        <v>72.14500000000001</v>
      </c>
      <c r="AD3" s="945">
        <v>72.365000000000009</v>
      </c>
      <c r="AE3" s="945">
        <v>72.905000000000001</v>
      </c>
      <c r="AF3" s="945">
        <v>73.254999999999995</v>
      </c>
      <c r="AG3" s="945">
        <v>73.575000000000003</v>
      </c>
      <c r="AH3" s="945">
        <v>73.875</v>
      </c>
      <c r="AI3" s="945">
        <v>74.155000000000001</v>
      </c>
      <c r="AJ3" s="945">
        <v>74.61</v>
      </c>
      <c r="AK3" s="945">
        <v>74.990000000000009</v>
      </c>
      <c r="AL3" s="945">
        <v>75.385000000000005</v>
      </c>
      <c r="AM3" s="945">
        <v>75.75</v>
      </c>
      <c r="AN3" s="945">
        <v>76.025000000000006</v>
      </c>
      <c r="AO3" s="945">
        <v>76.259999999999991</v>
      </c>
      <c r="AP3" s="945">
        <v>76.504999999999995</v>
      </c>
      <c r="AQ3" s="945">
        <v>76.680000000000007</v>
      </c>
      <c r="AR3" s="945">
        <v>76.87</v>
      </c>
      <c r="AS3" s="945">
        <v>76.94</v>
      </c>
      <c r="AT3" s="945">
        <v>77.099999999999994</v>
      </c>
      <c r="AU3" s="945">
        <v>77.375</v>
      </c>
      <c r="AV3" s="945">
        <v>77.669999999999987</v>
      </c>
      <c r="AW3" s="945">
        <v>78.234999999999999</v>
      </c>
      <c r="AX3" s="945">
        <v>78.72</v>
      </c>
      <c r="AY3" s="945">
        <v>78.885000000000005</v>
      </c>
      <c r="AZ3" s="945">
        <v>79.015000000000001</v>
      </c>
      <c r="BA3" s="945">
        <v>79.164999999999992</v>
      </c>
      <c r="BB3" s="945">
        <v>79.335000000000008</v>
      </c>
      <c r="BC3" s="945">
        <v>79.5</v>
      </c>
      <c r="BD3" s="945">
        <v>79.66</v>
      </c>
      <c r="BE3" s="945">
        <v>79.84</v>
      </c>
      <c r="BF3" s="945">
        <v>80.06</v>
      </c>
      <c r="BG3" s="945">
        <v>80.259999999999991</v>
      </c>
      <c r="BH3" s="945">
        <v>80.525000000000006</v>
      </c>
      <c r="BI3" s="945">
        <v>80.739999999999995</v>
      </c>
      <c r="BJ3" s="945">
        <v>80.974999999999994</v>
      </c>
      <c r="BK3" s="945">
        <v>81.2</v>
      </c>
      <c r="BL3" s="945">
        <v>81.474999999999994</v>
      </c>
      <c r="BM3" s="945">
        <v>81.754999999999995</v>
      </c>
      <c r="BN3" s="945">
        <v>81.974999999999994</v>
      </c>
      <c r="BO3" s="945">
        <v>82.215000000000003</v>
      </c>
      <c r="BP3" s="945">
        <v>82.444999999999993</v>
      </c>
      <c r="BQ3" s="945">
        <v>82.664999999999992</v>
      </c>
      <c r="BR3" s="945">
        <v>82.85499999999999</v>
      </c>
      <c r="BS3" s="945">
        <v>83.075000000000003</v>
      </c>
      <c r="BT3" s="946">
        <v>83.284999999999997</v>
      </c>
      <c r="BU3" s="945">
        <v>83.454999999999998</v>
      </c>
      <c r="BV3" s="945">
        <v>83.66</v>
      </c>
      <c r="BW3" s="945">
        <v>83.844999999999999</v>
      </c>
      <c r="BX3" s="945">
        <v>84.034999999999997</v>
      </c>
      <c r="BY3" s="945">
        <v>84.215000000000003</v>
      </c>
      <c r="BZ3" s="945">
        <v>84.38</v>
      </c>
      <c r="CA3" s="945">
        <v>84.555000000000007</v>
      </c>
      <c r="CB3" s="945">
        <v>84.72999999999999</v>
      </c>
      <c r="CC3" s="945">
        <v>84.905000000000001</v>
      </c>
      <c r="CD3" s="945">
        <v>85.094999999999999</v>
      </c>
      <c r="CE3" s="945">
        <v>85.26</v>
      </c>
      <c r="CF3" s="945">
        <v>85.44</v>
      </c>
      <c r="CG3" s="945">
        <v>85.625</v>
      </c>
      <c r="CH3" s="945">
        <v>85.789999999999992</v>
      </c>
      <c r="CI3" s="945">
        <v>85.990000000000009</v>
      </c>
      <c r="CJ3" s="945">
        <v>86.135000000000005</v>
      </c>
      <c r="CK3" s="945">
        <v>86.305000000000007</v>
      </c>
      <c r="CL3" s="945">
        <v>86.490000000000009</v>
      </c>
      <c r="CM3" s="945">
        <v>86.65</v>
      </c>
      <c r="CN3" s="945">
        <v>86.824999999999989</v>
      </c>
      <c r="CO3" s="945">
        <v>86.98</v>
      </c>
      <c r="CP3" s="945">
        <v>87.135000000000005</v>
      </c>
      <c r="CQ3" s="945">
        <v>87.289999999999992</v>
      </c>
      <c r="CR3" s="945">
        <v>87.44</v>
      </c>
      <c r="CS3" s="945">
        <v>87.60499999999999</v>
      </c>
      <c r="CT3" s="945">
        <v>87.75</v>
      </c>
      <c r="CU3" s="945">
        <v>87.894999999999996</v>
      </c>
      <c r="CV3" s="945">
        <v>88.025000000000006</v>
      </c>
      <c r="CW3" s="945">
        <v>88.17</v>
      </c>
      <c r="CX3" s="945">
        <v>88.325000000000003</v>
      </c>
      <c r="CY3" s="945">
        <v>88.465000000000003</v>
      </c>
      <c r="CZ3" s="945">
        <v>88.594999999999999</v>
      </c>
      <c r="DA3" s="945">
        <v>88.740000000000009</v>
      </c>
      <c r="DB3" s="945">
        <v>88.88</v>
      </c>
      <c r="DC3" s="945">
        <v>89.004999999999995</v>
      </c>
      <c r="DD3" s="945">
        <v>89.144999999999996</v>
      </c>
      <c r="DE3" s="945">
        <v>89.28</v>
      </c>
      <c r="DF3" s="945">
        <v>89.414999999999992</v>
      </c>
      <c r="DG3" s="945">
        <v>89.539999999999992</v>
      </c>
      <c r="DH3" s="945">
        <v>89.67</v>
      </c>
      <c r="DI3" s="945">
        <v>89.800000000000011</v>
      </c>
      <c r="DJ3" s="945">
        <v>89.924999999999997</v>
      </c>
      <c r="DK3" s="945">
        <v>90.05</v>
      </c>
      <c r="DL3" s="945">
        <v>90.169999999999987</v>
      </c>
      <c r="DM3" s="945">
        <v>90.295000000000002</v>
      </c>
      <c r="DN3" s="945">
        <v>90.42</v>
      </c>
      <c r="DO3" s="945">
        <v>90.534999999999997</v>
      </c>
      <c r="DP3" s="945">
        <v>90.66</v>
      </c>
      <c r="DQ3" s="945">
        <v>90.78</v>
      </c>
      <c r="DR3" s="945">
        <v>90.89500000000001</v>
      </c>
    </row>
    <row r="4" spans="1:122" s="131" customFormat="1" ht="12.75">
      <c r="A4" s="949">
        <v>2</v>
      </c>
      <c r="B4" s="945">
        <v>62.686502021435018</v>
      </c>
      <c r="C4" s="945">
        <v>62.976895097437762</v>
      </c>
      <c r="D4" s="945">
        <v>63.387108419435904</v>
      </c>
      <c r="E4" s="945">
        <v>63.81205216295713</v>
      </c>
      <c r="F4" s="945">
        <v>64.288503357955562</v>
      </c>
      <c r="G4" s="945">
        <v>64.726335605260971</v>
      </c>
      <c r="H4" s="945">
        <v>65.10510753865141</v>
      </c>
      <c r="I4" s="945">
        <v>65.525462220822774</v>
      </c>
      <c r="J4" s="945">
        <v>65.83794233802206</v>
      </c>
      <c r="K4" s="945">
        <v>66.128281004509034</v>
      </c>
      <c r="L4" s="945">
        <v>66.408284325303867</v>
      </c>
      <c r="M4" s="945">
        <v>66.631708530391222</v>
      </c>
      <c r="N4" s="945">
        <v>66.893118002135196</v>
      </c>
      <c r="O4" s="945">
        <v>66.952610951762964</v>
      </c>
      <c r="P4" s="945">
        <v>67.445412636544319</v>
      </c>
      <c r="Q4" s="945">
        <v>67.505651166540829</v>
      </c>
      <c r="R4" s="945">
        <v>67.660431380052728</v>
      </c>
      <c r="S4" s="945">
        <v>68.371660441979415</v>
      </c>
      <c r="T4" s="945">
        <v>68.861990373946128</v>
      </c>
      <c r="U4" s="945">
        <v>69.403675414121636</v>
      </c>
      <c r="V4" s="945">
        <v>69.875</v>
      </c>
      <c r="W4" s="945">
        <v>70.289999999999992</v>
      </c>
      <c r="X4" s="945">
        <v>70.85499999999999</v>
      </c>
      <c r="Y4" s="945">
        <v>70.990000000000009</v>
      </c>
      <c r="Z4" s="945">
        <v>71.234999999999999</v>
      </c>
      <c r="AA4" s="945">
        <v>71.444999999999993</v>
      </c>
      <c r="AB4" s="945">
        <v>71.775000000000006</v>
      </c>
      <c r="AC4" s="945">
        <v>71.989999999999995</v>
      </c>
      <c r="AD4" s="945">
        <v>72.27</v>
      </c>
      <c r="AE4" s="945">
        <v>72.599999999999994</v>
      </c>
      <c r="AF4" s="945">
        <v>72.930000000000007</v>
      </c>
      <c r="AG4" s="945">
        <v>73.215000000000003</v>
      </c>
      <c r="AH4" s="945">
        <v>73.525000000000006</v>
      </c>
      <c r="AI4" s="945">
        <v>73.8</v>
      </c>
      <c r="AJ4" s="945">
        <v>74.185000000000002</v>
      </c>
      <c r="AK4" s="945">
        <v>74.55</v>
      </c>
      <c r="AL4" s="945">
        <v>74.935000000000002</v>
      </c>
      <c r="AM4" s="945">
        <v>75.27</v>
      </c>
      <c r="AN4" s="945">
        <v>75.555000000000007</v>
      </c>
      <c r="AO4" s="945">
        <v>75.789999999999992</v>
      </c>
      <c r="AP4" s="945">
        <v>76.039999999999992</v>
      </c>
      <c r="AQ4" s="945">
        <v>76.215000000000003</v>
      </c>
      <c r="AR4" s="945">
        <v>76.460000000000008</v>
      </c>
      <c r="AS4" s="945">
        <v>76.614999999999995</v>
      </c>
      <c r="AT4" s="945">
        <v>76.91</v>
      </c>
      <c r="AU4" s="945">
        <v>77.14</v>
      </c>
      <c r="AV4" s="945">
        <v>77.444999999999993</v>
      </c>
      <c r="AW4" s="945">
        <v>77.855000000000004</v>
      </c>
      <c r="AX4" s="945">
        <v>78.02</v>
      </c>
      <c r="AY4" s="945">
        <v>78.185000000000002</v>
      </c>
      <c r="AZ4" s="945">
        <v>78.319999999999993</v>
      </c>
      <c r="BA4" s="945">
        <v>78.444999999999993</v>
      </c>
      <c r="BB4" s="945">
        <v>78.599999999999994</v>
      </c>
      <c r="BC4" s="945">
        <v>78.740000000000009</v>
      </c>
      <c r="BD4" s="945">
        <v>78.905000000000001</v>
      </c>
      <c r="BE4" s="945">
        <v>79.069999999999993</v>
      </c>
      <c r="BF4" s="945">
        <v>79.3</v>
      </c>
      <c r="BG4" s="945">
        <v>79.47</v>
      </c>
      <c r="BH4" s="945">
        <v>79.739999999999995</v>
      </c>
      <c r="BI4" s="945">
        <v>79.930000000000007</v>
      </c>
      <c r="BJ4" s="945">
        <v>80.16</v>
      </c>
      <c r="BK4" s="945">
        <v>80.38</v>
      </c>
      <c r="BL4" s="945">
        <v>80.64</v>
      </c>
      <c r="BM4" s="945">
        <v>80.905000000000001</v>
      </c>
      <c r="BN4" s="945">
        <v>81.125</v>
      </c>
      <c r="BO4" s="945">
        <v>81.35499999999999</v>
      </c>
      <c r="BP4" s="945">
        <v>81.585000000000008</v>
      </c>
      <c r="BQ4" s="945">
        <v>81.790000000000006</v>
      </c>
      <c r="BR4" s="945">
        <v>82</v>
      </c>
      <c r="BS4" s="945">
        <v>82.205000000000013</v>
      </c>
      <c r="BT4" s="946">
        <v>82.4</v>
      </c>
      <c r="BU4" s="945">
        <v>82.56</v>
      </c>
      <c r="BV4" s="945">
        <v>82.759999999999991</v>
      </c>
      <c r="BW4" s="945">
        <v>82.95</v>
      </c>
      <c r="BX4" s="945">
        <v>83.13</v>
      </c>
      <c r="BY4" s="945">
        <v>83.300000000000011</v>
      </c>
      <c r="BZ4" s="945">
        <v>83.465000000000003</v>
      </c>
      <c r="CA4" s="945">
        <v>83.64</v>
      </c>
      <c r="CB4" s="945">
        <v>83.814999999999998</v>
      </c>
      <c r="CC4" s="945">
        <v>83.97999999999999</v>
      </c>
      <c r="CD4" s="945">
        <v>84.17</v>
      </c>
      <c r="CE4" s="945">
        <v>84.335000000000008</v>
      </c>
      <c r="CF4" s="945">
        <v>84.515000000000001</v>
      </c>
      <c r="CG4" s="945">
        <v>84.69</v>
      </c>
      <c r="CH4" s="945">
        <v>84.86</v>
      </c>
      <c r="CI4" s="945">
        <v>85.050000000000011</v>
      </c>
      <c r="CJ4" s="945">
        <v>85.194999999999993</v>
      </c>
      <c r="CK4" s="945">
        <v>85.36</v>
      </c>
      <c r="CL4" s="945">
        <v>85.539999999999992</v>
      </c>
      <c r="CM4" s="945">
        <v>85.704999999999998</v>
      </c>
      <c r="CN4" s="945">
        <v>85.875</v>
      </c>
      <c r="CO4" s="945">
        <v>86.03</v>
      </c>
      <c r="CP4" s="945">
        <v>86.185000000000002</v>
      </c>
      <c r="CQ4" s="945">
        <v>86.34</v>
      </c>
      <c r="CR4" s="945">
        <v>86.484999999999999</v>
      </c>
      <c r="CS4" s="945">
        <v>86.64</v>
      </c>
      <c r="CT4" s="945">
        <v>86.789999999999992</v>
      </c>
      <c r="CU4" s="945">
        <v>86.93</v>
      </c>
      <c r="CV4" s="945">
        <v>87.06</v>
      </c>
      <c r="CW4" s="945">
        <v>87.210000000000008</v>
      </c>
      <c r="CX4" s="945">
        <v>87.36</v>
      </c>
      <c r="CY4" s="945">
        <v>87.5</v>
      </c>
      <c r="CZ4" s="945">
        <v>87.634999999999991</v>
      </c>
      <c r="DA4" s="945">
        <v>87.77000000000001</v>
      </c>
      <c r="DB4" s="945">
        <v>87.905000000000001</v>
      </c>
      <c r="DC4" s="945">
        <v>88.039999999999992</v>
      </c>
      <c r="DD4" s="945">
        <v>88.174999999999997</v>
      </c>
      <c r="DE4" s="945">
        <v>88.305000000000007</v>
      </c>
      <c r="DF4" s="945">
        <v>88.44</v>
      </c>
      <c r="DG4" s="945">
        <v>88.57</v>
      </c>
      <c r="DH4" s="945">
        <v>88.694999999999993</v>
      </c>
      <c r="DI4" s="945">
        <v>88.824999999999989</v>
      </c>
      <c r="DJ4" s="945">
        <v>88.944999999999993</v>
      </c>
      <c r="DK4" s="945">
        <v>89.075000000000003</v>
      </c>
      <c r="DL4" s="945">
        <v>89.194999999999993</v>
      </c>
      <c r="DM4" s="945">
        <v>89.314999999999998</v>
      </c>
      <c r="DN4" s="945">
        <v>89.44</v>
      </c>
      <c r="DO4" s="945">
        <v>89.56</v>
      </c>
      <c r="DP4" s="945">
        <v>89.68</v>
      </c>
      <c r="DQ4" s="945">
        <v>89.8</v>
      </c>
      <c r="DR4" s="945">
        <v>89.914999999999992</v>
      </c>
    </row>
    <row r="5" spans="1:122" s="131" customFormat="1" ht="12.75">
      <c r="A5" s="949">
        <v>3</v>
      </c>
      <c r="B5" s="945">
        <v>62.806752168954716</v>
      </c>
      <c r="C5" s="945">
        <v>63.055035770892559</v>
      </c>
      <c r="D5" s="945">
        <v>63.424754761212895</v>
      </c>
      <c r="E5" s="945">
        <v>63.808885683616992</v>
      </c>
      <c r="F5" s="945">
        <v>64.244727937909445</v>
      </c>
      <c r="G5" s="945">
        <v>64.639610089311944</v>
      </c>
      <c r="H5" s="945">
        <v>64.974030953527929</v>
      </c>
      <c r="I5" s="945">
        <v>65.35005993848435</v>
      </c>
      <c r="J5" s="945">
        <v>65.616349629978444</v>
      </c>
      <c r="K5" s="945">
        <v>65.910147119310835</v>
      </c>
      <c r="L5" s="945">
        <v>66.236579205512257</v>
      </c>
      <c r="M5" s="945">
        <v>66.506103580325572</v>
      </c>
      <c r="N5" s="945">
        <v>66.765532265964794</v>
      </c>
      <c r="O5" s="945">
        <v>67.075106298927707</v>
      </c>
      <c r="P5" s="945">
        <v>67.347543734350765</v>
      </c>
      <c r="Q5" s="945">
        <v>67.550341585735623</v>
      </c>
      <c r="R5" s="945">
        <v>68.154094353360776</v>
      </c>
      <c r="S5" s="945">
        <v>68.603520534367675</v>
      </c>
      <c r="T5" s="945">
        <v>68.814007083154166</v>
      </c>
      <c r="U5" s="945">
        <v>69.20937750467246</v>
      </c>
      <c r="V5" s="945">
        <v>69.62</v>
      </c>
      <c r="W5" s="945">
        <v>70.064999999999998</v>
      </c>
      <c r="X5" s="945">
        <v>70.284999999999997</v>
      </c>
      <c r="Y5" s="945">
        <v>70.419999999999987</v>
      </c>
      <c r="Z5" s="945">
        <v>70.66</v>
      </c>
      <c r="AA5" s="945">
        <v>70.900000000000006</v>
      </c>
      <c r="AB5" s="945">
        <v>71.180000000000007</v>
      </c>
      <c r="AC5" s="945">
        <v>71.460000000000008</v>
      </c>
      <c r="AD5" s="945">
        <v>71.650000000000006</v>
      </c>
      <c r="AE5" s="945">
        <v>71.935000000000002</v>
      </c>
      <c r="AF5" s="945">
        <v>72.234999999999999</v>
      </c>
      <c r="AG5" s="945">
        <v>72.525000000000006</v>
      </c>
      <c r="AH5" s="945">
        <v>72.835000000000008</v>
      </c>
      <c r="AI5" s="945">
        <v>73.16</v>
      </c>
      <c r="AJ5" s="945">
        <v>73.569999999999993</v>
      </c>
      <c r="AK5" s="945">
        <v>73.894999999999996</v>
      </c>
      <c r="AL5" s="945">
        <v>74.254999999999995</v>
      </c>
      <c r="AM5" s="945">
        <v>74.614999999999995</v>
      </c>
      <c r="AN5" s="945">
        <v>74.900000000000006</v>
      </c>
      <c r="AO5" s="945">
        <v>75.14</v>
      </c>
      <c r="AP5" s="945">
        <v>75.384999999999991</v>
      </c>
      <c r="AQ5" s="945">
        <v>75.599999999999994</v>
      </c>
      <c r="AR5" s="945">
        <v>75.905000000000001</v>
      </c>
      <c r="AS5" s="945">
        <v>76.144999999999996</v>
      </c>
      <c r="AT5" s="945">
        <v>76.314999999999998</v>
      </c>
      <c r="AU5" s="945">
        <v>76.545000000000002</v>
      </c>
      <c r="AV5" s="945">
        <v>76.704999999999998</v>
      </c>
      <c r="AW5" s="945">
        <v>77.034999999999997</v>
      </c>
      <c r="AX5" s="945">
        <v>77.194999999999993</v>
      </c>
      <c r="AY5" s="945">
        <v>77.365000000000009</v>
      </c>
      <c r="AZ5" s="945">
        <v>77.460000000000008</v>
      </c>
      <c r="BA5" s="945">
        <v>77.58</v>
      </c>
      <c r="BB5" s="945">
        <v>77.724999999999994</v>
      </c>
      <c r="BC5" s="945">
        <v>77.865000000000009</v>
      </c>
      <c r="BD5" s="945">
        <v>78.02000000000001</v>
      </c>
      <c r="BE5" s="945">
        <v>78.19</v>
      </c>
      <c r="BF5" s="945">
        <v>78.405000000000001</v>
      </c>
      <c r="BG5" s="945">
        <v>78.58</v>
      </c>
      <c r="BH5" s="945">
        <v>78.84</v>
      </c>
      <c r="BI5" s="945">
        <v>79.025000000000006</v>
      </c>
      <c r="BJ5" s="945">
        <v>79.259999999999991</v>
      </c>
      <c r="BK5" s="945">
        <v>79.474999999999994</v>
      </c>
      <c r="BL5" s="945">
        <v>79.724999999999994</v>
      </c>
      <c r="BM5" s="945">
        <v>79.984999999999999</v>
      </c>
      <c r="BN5" s="945">
        <v>80.204999999999998</v>
      </c>
      <c r="BO5" s="945">
        <v>80.425000000000011</v>
      </c>
      <c r="BP5" s="945">
        <v>80.66</v>
      </c>
      <c r="BQ5" s="945">
        <v>80.87</v>
      </c>
      <c r="BR5" s="945">
        <v>81.064999999999998</v>
      </c>
      <c r="BS5" s="945">
        <v>81.275000000000006</v>
      </c>
      <c r="BT5" s="946">
        <v>81.465000000000003</v>
      </c>
      <c r="BU5" s="945">
        <v>81.625</v>
      </c>
      <c r="BV5" s="945">
        <v>81.824999999999989</v>
      </c>
      <c r="BW5" s="945">
        <v>82.004999999999995</v>
      </c>
      <c r="BX5" s="945">
        <v>82.19</v>
      </c>
      <c r="BY5" s="945">
        <v>82.355000000000004</v>
      </c>
      <c r="BZ5" s="945">
        <v>82.52</v>
      </c>
      <c r="CA5" s="945">
        <v>82.694999999999993</v>
      </c>
      <c r="CB5" s="945">
        <v>82.86</v>
      </c>
      <c r="CC5" s="945">
        <v>83.03</v>
      </c>
      <c r="CD5" s="945">
        <v>83.215000000000003</v>
      </c>
      <c r="CE5" s="945">
        <v>83.375</v>
      </c>
      <c r="CF5" s="945">
        <v>83.555000000000007</v>
      </c>
      <c r="CG5" s="945">
        <v>83.724999999999994</v>
      </c>
      <c r="CH5" s="945">
        <v>83.894999999999996</v>
      </c>
      <c r="CI5" s="945">
        <v>84.085000000000008</v>
      </c>
      <c r="CJ5" s="945">
        <v>84.234999999999999</v>
      </c>
      <c r="CK5" s="945">
        <v>84.394999999999996</v>
      </c>
      <c r="CL5" s="945">
        <v>84.575000000000003</v>
      </c>
      <c r="CM5" s="945">
        <v>84.740000000000009</v>
      </c>
      <c r="CN5" s="945">
        <v>84.9</v>
      </c>
      <c r="CO5" s="945">
        <v>85.055000000000007</v>
      </c>
      <c r="CP5" s="945">
        <v>85.210000000000008</v>
      </c>
      <c r="CQ5" s="945">
        <v>85.365000000000009</v>
      </c>
      <c r="CR5" s="945">
        <v>85.504999999999995</v>
      </c>
      <c r="CS5" s="945">
        <v>85.664999999999992</v>
      </c>
      <c r="CT5" s="945">
        <v>85.814999999999998</v>
      </c>
      <c r="CU5" s="945">
        <v>85.949999999999989</v>
      </c>
      <c r="CV5" s="945">
        <v>86.080000000000013</v>
      </c>
      <c r="CW5" s="945">
        <v>86.224999999999994</v>
      </c>
      <c r="CX5" s="945">
        <v>86.375</v>
      </c>
      <c r="CY5" s="945">
        <v>86.52</v>
      </c>
      <c r="CZ5" s="945">
        <v>86.65</v>
      </c>
      <c r="DA5" s="945">
        <v>86.784999999999997</v>
      </c>
      <c r="DB5" s="945">
        <v>86.92</v>
      </c>
      <c r="DC5" s="945">
        <v>87.05</v>
      </c>
      <c r="DD5" s="945">
        <v>87.19</v>
      </c>
      <c r="DE5" s="945">
        <v>87.32</v>
      </c>
      <c r="DF5" s="945">
        <v>87.454999999999998</v>
      </c>
      <c r="DG5" s="945">
        <v>87.580000000000013</v>
      </c>
      <c r="DH5" s="945">
        <v>87.704999999999998</v>
      </c>
      <c r="DI5" s="945">
        <v>87.83</v>
      </c>
      <c r="DJ5" s="945">
        <v>87.954999999999998</v>
      </c>
      <c r="DK5" s="945">
        <v>88.09</v>
      </c>
      <c r="DL5" s="945">
        <v>88.210000000000008</v>
      </c>
      <c r="DM5" s="945">
        <v>88.335000000000008</v>
      </c>
      <c r="DN5" s="945">
        <v>88.45</v>
      </c>
      <c r="DO5" s="945">
        <v>88.575000000000003</v>
      </c>
      <c r="DP5" s="945">
        <v>88.694999999999993</v>
      </c>
      <c r="DQ5" s="945">
        <v>88.81</v>
      </c>
      <c r="DR5" s="945">
        <v>88.93</v>
      </c>
    </row>
    <row r="6" spans="1:122" s="131" customFormat="1" ht="12.75">
      <c r="A6" s="949">
        <v>4</v>
      </c>
      <c r="B6" s="945">
        <v>62.49592787128018</v>
      </c>
      <c r="C6" s="945">
        <v>62.71319822953248</v>
      </c>
      <c r="D6" s="945">
        <v>63.052888689487432</v>
      </c>
      <c r="E6" s="945">
        <v>63.406764397821846</v>
      </c>
      <c r="F6" s="945">
        <v>63.816554211380577</v>
      </c>
      <c r="G6" s="945">
        <v>64.184647817506544</v>
      </c>
      <c r="H6" s="945">
        <v>64.491448212431123</v>
      </c>
      <c r="I6" s="945">
        <v>64.839887426421143</v>
      </c>
      <c r="J6" s="945">
        <v>65.10818460515884</v>
      </c>
      <c r="K6" s="945">
        <v>65.431177142440134</v>
      </c>
      <c r="L6" s="945">
        <v>65.787344626389611</v>
      </c>
      <c r="M6" s="945">
        <v>66.055710258984732</v>
      </c>
      <c r="N6" s="945">
        <v>66.473862063279526</v>
      </c>
      <c r="O6" s="945">
        <v>66.644703902153566</v>
      </c>
      <c r="P6" s="945">
        <v>67.00748438586146</v>
      </c>
      <c r="Q6" s="945">
        <v>67.492731458066999</v>
      </c>
      <c r="R6" s="945">
        <v>67.930927069048707</v>
      </c>
      <c r="S6" s="945">
        <v>68.204325207698929</v>
      </c>
      <c r="T6" s="945">
        <v>68.318897885178885</v>
      </c>
      <c r="U6" s="945">
        <v>68.672295819649094</v>
      </c>
      <c r="V6" s="945">
        <v>69.105000000000004</v>
      </c>
      <c r="W6" s="945">
        <v>69.33</v>
      </c>
      <c r="X6" s="945">
        <v>69.550000000000011</v>
      </c>
      <c r="Y6" s="945">
        <v>69.69</v>
      </c>
      <c r="Z6" s="945">
        <v>69.949999999999989</v>
      </c>
      <c r="AA6" s="945">
        <v>70.180000000000007</v>
      </c>
      <c r="AB6" s="945">
        <v>70.490000000000009</v>
      </c>
      <c r="AC6" s="945">
        <v>70.740000000000009</v>
      </c>
      <c r="AD6" s="945">
        <v>70.89500000000001</v>
      </c>
      <c r="AE6" s="945">
        <v>71.16</v>
      </c>
      <c r="AF6" s="945">
        <v>71.460000000000008</v>
      </c>
      <c r="AG6" s="945">
        <v>71.754999999999995</v>
      </c>
      <c r="AH6" s="945">
        <v>72.099999999999994</v>
      </c>
      <c r="AI6" s="945">
        <v>72.444999999999993</v>
      </c>
      <c r="AJ6" s="945">
        <v>72.824999999999989</v>
      </c>
      <c r="AK6" s="945">
        <v>73.13</v>
      </c>
      <c r="AL6" s="945">
        <v>73.510000000000005</v>
      </c>
      <c r="AM6" s="945">
        <v>73.875</v>
      </c>
      <c r="AN6" s="945">
        <v>74.16</v>
      </c>
      <c r="AO6" s="945">
        <v>74.400000000000006</v>
      </c>
      <c r="AP6" s="945">
        <v>74.674999999999997</v>
      </c>
      <c r="AQ6" s="945">
        <v>74.924999999999997</v>
      </c>
      <c r="AR6" s="945">
        <v>75.295000000000002</v>
      </c>
      <c r="AS6" s="945">
        <v>75.435000000000002</v>
      </c>
      <c r="AT6" s="945">
        <v>75.61</v>
      </c>
      <c r="AU6" s="945">
        <v>75.740000000000009</v>
      </c>
      <c r="AV6" s="945">
        <v>75.844999999999999</v>
      </c>
      <c r="AW6" s="945">
        <v>76.175000000000011</v>
      </c>
      <c r="AX6" s="945">
        <v>76.335000000000008</v>
      </c>
      <c r="AY6" s="945">
        <v>76.460000000000008</v>
      </c>
      <c r="AZ6" s="945">
        <v>76.555000000000007</v>
      </c>
      <c r="BA6" s="945">
        <v>76.67</v>
      </c>
      <c r="BB6" s="945">
        <v>76.814999999999998</v>
      </c>
      <c r="BC6" s="945">
        <v>76.955000000000013</v>
      </c>
      <c r="BD6" s="945">
        <v>77.10499999999999</v>
      </c>
      <c r="BE6" s="945">
        <v>77.265000000000001</v>
      </c>
      <c r="BF6" s="945">
        <v>77.48</v>
      </c>
      <c r="BG6" s="945">
        <v>77.655000000000001</v>
      </c>
      <c r="BH6" s="945">
        <v>77.915000000000006</v>
      </c>
      <c r="BI6" s="945">
        <v>78.094999999999999</v>
      </c>
      <c r="BJ6" s="945">
        <v>78.325000000000003</v>
      </c>
      <c r="BK6" s="945">
        <v>78.534999999999997</v>
      </c>
      <c r="BL6" s="945">
        <v>78.784999999999997</v>
      </c>
      <c r="BM6" s="945">
        <v>79.050000000000011</v>
      </c>
      <c r="BN6" s="945">
        <v>79.265000000000001</v>
      </c>
      <c r="BO6" s="945">
        <v>79.490000000000009</v>
      </c>
      <c r="BP6" s="945">
        <v>79.715000000000003</v>
      </c>
      <c r="BQ6" s="945">
        <v>79.930000000000007</v>
      </c>
      <c r="BR6" s="945">
        <v>80.125</v>
      </c>
      <c r="BS6" s="945">
        <v>80.330000000000013</v>
      </c>
      <c r="BT6" s="946">
        <v>80.52000000000001</v>
      </c>
      <c r="BU6" s="945">
        <v>80.675000000000011</v>
      </c>
      <c r="BV6" s="945">
        <v>80.87</v>
      </c>
      <c r="BW6" s="945">
        <v>81.05</v>
      </c>
      <c r="BX6" s="945">
        <v>81.235000000000014</v>
      </c>
      <c r="BY6" s="945">
        <v>81.400000000000006</v>
      </c>
      <c r="BZ6" s="945">
        <v>81.564999999999998</v>
      </c>
      <c r="CA6" s="945">
        <v>81.72999999999999</v>
      </c>
      <c r="CB6" s="945">
        <v>81.89500000000001</v>
      </c>
      <c r="CC6" s="945">
        <v>82.07</v>
      </c>
      <c r="CD6" s="945">
        <v>82.245000000000005</v>
      </c>
      <c r="CE6" s="945">
        <v>82.405000000000001</v>
      </c>
      <c r="CF6" s="945">
        <v>82.584999999999994</v>
      </c>
      <c r="CG6" s="945">
        <v>82.754999999999995</v>
      </c>
      <c r="CH6" s="945">
        <v>82.924999999999997</v>
      </c>
      <c r="CI6" s="945">
        <v>83.115000000000009</v>
      </c>
      <c r="CJ6" s="945">
        <v>83.26</v>
      </c>
      <c r="CK6" s="945">
        <v>83.424999999999997</v>
      </c>
      <c r="CL6" s="945">
        <v>83.6</v>
      </c>
      <c r="CM6" s="945">
        <v>83.759999999999991</v>
      </c>
      <c r="CN6" s="945">
        <v>83.924999999999997</v>
      </c>
      <c r="CO6" s="945">
        <v>84.074999999999989</v>
      </c>
      <c r="CP6" s="945">
        <v>84.234999999999999</v>
      </c>
      <c r="CQ6" s="945">
        <v>84.38</v>
      </c>
      <c r="CR6" s="945">
        <v>84.52000000000001</v>
      </c>
      <c r="CS6" s="945">
        <v>84.68</v>
      </c>
      <c r="CT6" s="945">
        <v>84.83</v>
      </c>
      <c r="CU6" s="945">
        <v>84.97</v>
      </c>
      <c r="CV6" s="945">
        <v>85.094999999999999</v>
      </c>
      <c r="CW6" s="945">
        <v>85.245000000000005</v>
      </c>
      <c r="CX6" s="945">
        <v>85.39</v>
      </c>
      <c r="CY6" s="945">
        <v>85.534999999999997</v>
      </c>
      <c r="CZ6" s="945">
        <v>85.66</v>
      </c>
      <c r="DA6" s="945">
        <v>85.800000000000011</v>
      </c>
      <c r="DB6" s="945">
        <v>85.935000000000002</v>
      </c>
      <c r="DC6" s="945">
        <v>86.07</v>
      </c>
      <c r="DD6" s="945">
        <v>86.2</v>
      </c>
      <c r="DE6" s="945">
        <v>86.330000000000013</v>
      </c>
      <c r="DF6" s="945">
        <v>86.465000000000003</v>
      </c>
      <c r="DG6" s="945">
        <v>86.59</v>
      </c>
      <c r="DH6" s="945">
        <v>86.715000000000003</v>
      </c>
      <c r="DI6" s="945">
        <v>86.844999999999999</v>
      </c>
      <c r="DJ6" s="945">
        <v>86.965000000000003</v>
      </c>
      <c r="DK6" s="945">
        <v>87.1</v>
      </c>
      <c r="DL6" s="945">
        <v>87.22</v>
      </c>
      <c r="DM6" s="945">
        <v>87.344999999999999</v>
      </c>
      <c r="DN6" s="945">
        <v>87.465000000000003</v>
      </c>
      <c r="DO6" s="945">
        <v>87.584999999999994</v>
      </c>
      <c r="DP6" s="945">
        <v>87.704999999999998</v>
      </c>
      <c r="DQ6" s="945">
        <v>87.82</v>
      </c>
      <c r="DR6" s="945">
        <v>87.94</v>
      </c>
    </row>
    <row r="7" spans="1:122" s="131" customFormat="1" ht="12.75">
      <c r="A7" s="949">
        <v>5</v>
      </c>
      <c r="B7" s="945">
        <v>61.973195515609973</v>
      </c>
      <c r="C7" s="945">
        <v>62.167950843276621</v>
      </c>
      <c r="D7" s="945">
        <v>62.485824468834679</v>
      </c>
      <c r="E7" s="945">
        <v>62.822808494503107</v>
      </c>
      <c r="F7" s="945">
        <v>63.215854558283198</v>
      </c>
      <c r="G7" s="945">
        <v>63.566711120925419</v>
      </c>
      <c r="H7" s="945">
        <v>63.855707419460273</v>
      </c>
      <c r="I7" s="945">
        <v>64.206128039550222</v>
      </c>
      <c r="J7" s="945">
        <v>64.495993908668495</v>
      </c>
      <c r="K7" s="945">
        <v>64.841085064236111</v>
      </c>
      <c r="L7" s="945">
        <v>65.196968398480109</v>
      </c>
      <c r="M7" s="945">
        <v>65.5834232195608</v>
      </c>
      <c r="N7" s="945">
        <v>65.898561638200206</v>
      </c>
      <c r="O7" s="945">
        <v>66.136511402672852</v>
      </c>
      <c r="P7" s="945">
        <v>66.710567360152538</v>
      </c>
      <c r="Q7" s="945">
        <v>67.071845591419105</v>
      </c>
      <c r="R7" s="945">
        <v>67.379128125385819</v>
      </c>
      <c r="S7" s="945">
        <v>67.589303744892362</v>
      </c>
      <c r="T7" s="945">
        <v>67.677567991877595</v>
      </c>
      <c r="U7" s="945">
        <v>68.046560378873238</v>
      </c>
      <c r="V7" s="945">
        <v>68.31</v>
      </c>
      <c r="W7" s="945">
        <v>68.539999999999992</v>
      </c>
      <c r="X7" s="945">
        <v>68.759999999999991</v>
      </c>
      <c r="Y7" s="945">
        <v>68.91</v>
      </c>
      <c r="Z7" s="945">
        <v>69.164999999999992</v>
      </c>
      <c r="AA7" s="945">
        <v>69.425000000000011</v>
      </c>
      <c r="AB7" s="945">
        <v>69.72</v>
      </c>
      <c r="AC7" s="945">
        <v>69.935000000000002</v>
      </c>
      <c r="AD7" s="945">
        <v>70.075000000000003</v>
      </c>
      <c r="AE7" s="945">
        <v>70.344999999999999</v>
      </c>
      <c r="AF7" s="945">
        <v>70.650000000000006</v>
      </c>
      <c r="AG7" s="945">
        <v>70.97</v>
      </c>
      <c r="AH7" s="945">
        <v>71.325000000000003</v>
      </c>
      <c r="AI7" s="945">
        <v>71.650000000000006</v>
      </c>
      <c r="AJ7" s="945">
        <v>72.015000000000001</v>
      </c>
      <c r="AK7" s="945">
        <v>72.335000000000008</v>
      </c>
      <c r="AL7" s="945">
        <v>72.72</v>
      </c>
      <c r="AM7" s="945">
        <v>73.085000000000008</v>
      </c>
      <c r="AN7" s="945">
        <v>73.37</v>
      </c>
      <c r="AO7" s="945">
        <v>73.63</v>
      </c>
      <c r="AP7" s="945">
        <v>73.94</v>
      </c>
      <c r="AQ7" s="945">
        <v>74.245000000000005</v>
      </c>
      <c r="AR7" s="945">
        <v>74.495000000000005</v>
      </c>
      <c r="AS7" s="945">
        <v>74.634999999999991</v>
      </c>
      <c r="AT7" s="945">
        <v>74.739999999999995</v>
      </c>
      <c r="AU7" s="945">
        <v>74.844999999999999</v>
      </c>
      <c r="AV7" s="945">
        <v>74.95</v>
      </c>
      <c r="AW7" s="945">
        <v>75.28</v>
      </c>
      <c r="AX7" s="945">
        <v>75.414999999999992</v>
      </c>
      <c r="AY7" s="945">
        <v>75.539999999999992</v>
      </c>
      <c r="AZ7" s="945">
        <v>75.625</v>
      </c>
      <c r="BA7" s="945">
        <v>75.72999999999999</v>
      </c>
      <c r="BB7" s="945">
        <v>75.88</v>
      </c>
      <c r="BC7" s="945">
        <v>76.015000000000001</v>
      </c>
      <c r="BD7" s="945">
        <v>76.175000000000011</v>
      </c>
      <c r="BE7" s="945">
        <v>76.319999999999993</v>
      </c>
      <c r="BF7" s="945">
        <v>76.545000000000002</v>
      </c>
      <c r="BG7" s="945">
        <v>76.715000000000003</v>
      </c>
      <c r="BH7" s="945">
        <v>76.965000000000003</v>
      </c>
      <c r="BI7" s="945">
        <v>77.150000000000006</v>
      </c>
      <c r="BJ7" s="945">
        <v>77.375</v>
      </c>
      <c r="BK7" s="945">
        <v>77.59</v>
      </c>
      <c r="BL7" s="945">
        <v>77.84</v>
      </c>
      <c r="BM7" s="945">
        <v>78.10499999999999</v>
      </c>
      <c r="BN7" s="945">
        <v>78.319999999999993</v>
      </c>
      <c r="BO7" s="945">
        <v>78.539999999999992</v>
      </c>
      <c r="BP7" s="945">
        <v>78.765000000000001</v>
      </c>
      <c r="BQ7" s="945">
        <v>78.974999999999994</v>
      </c>
      <c r="BR7" s="945">
        <v>79.174999999999997</v>
      </c>
      <c r="BS7" s="945">
        <v>79.37</v>
      </c>
      <c r="BT7" s="946">
        <v>79.56</v>
      </c>
      <c r="BU7" s="945">
        <v>79.72</v>
      </c>
      <c r="BV7" s="945">
        <v>79.914999999999992</v>
      </c>
      <c r="BW7" s="945">
        <v>80.094999999999999</v>
      </c>
      <c r="BX7" s="945">
        <v>80.27</v>
      </c>
      <c r="BY7" s="945">
        <v>80.435000000000002</v>
      </c>
      <c r="BZ7" s="945">
        <v>80.594999999999999</v>
      </c>
      <c r="CA7" s="945">
        <v>80.759999999999991</v>
      </c>
      <c r="CB7" s="945">
        <v>80.925000000000011</v>
      </c>
      <c r="CC7" s="945">
        <v>81.094999999999999</v>
      </c>
      <c r="CD7" s="945">
        <v>81.27000000000001</v>
      </c>
      <c r="CE7" s="945">
        <v>81.430000000000007</v>
      </c>
      <c r="CF7" s="945">
        <v>81.605000000000004</v>
      </c>
      <c r="CG7" s="945">
        <v>81.78</v>
      </c>
      <c r="CH7" s="945">
        <v>81.944999999999993</v>
      </c>
      <c r="CI7" s="945">
        <v>82.134999999999991</v>
      </c>
      <c r="CJ7" s="945">
        <v>82.28</v>
      </c>
      <c r="CK7" s="945">
        <v>82.444999999999993</v>
      </c>
      <c r="CL7" s="945">
        <v>82.62</v>
      </c>
      <c r="CM7" s="945">
        <v>82.78</v>
      </c>
      <c r="CN7" s="945">
        <v>82.94</v>
      </c>
      <c r="CO7" s="945">
        <v>83.094999999999999</v>
      </c>
      <c r="CP7" s="945">
        <v>83.245000000000005</v>
      </c>
      <c r="CQ7" s="945">
        <v>83.39500000000001</v>
      </c>
      <c r="CR7" s="945">
        <v>83.534999999999997</v>
      </c>
      <c r="CS7" s="945">
        <v>83.694999999999993</v>
      </c>
      <c r="CT7" s="945">
        <v>83.84</v>
      </c>
      <c r="CU7" s="945">
        <v>83.97999999999999</v>
      </c>
      <c r="CV7" s="945">
        <v>84.11</v>
      </c>
      <c r="CW7" s="945">
        <v>84.254999999999995</v>
      </c>
      <c r="CX7" s="945">
        <v>84.4</v>
      </c>
      <c r="CY7" s="945">
        <v>84.545000000000002</v>
      </c>
      <c r="CZ7" s="945">
        <v>84.67</v>
      </c>
      <c r="DA7" s="945">
        <v>84.814999999999998</v>
      </c>
      <c r="DB7" s="945">
        <v>84.944999999999993</v>
      </c>
      <c r="DC7" s="945">
        <v>85.08</v>
      </c>
      <c r="DD7" s="945">
        <v>85.210000000000008</v>
      </c>
      <c r="DE7" s="945">
        <v>85.34</v>
      </c>
      <c r="DF7" s="945">
        <v>85.47</v>
      </c>
      <c r="DG7" s="945">
        <v>85.6</v>
      </c>
      <c r="DH7" s="945">
        <v>85.724999999999994</v>
      </c>
      <c r="DI7" s="945">
        <v>85.85499999999999</v>
      </c>
      <c r="DJ7" s="945">
        <v>85.974999999999994</v>
      </c>
      <c r="DK7" s="945">
        <v>86.105000000000004</v>
      </c>
      <c r="DL7" s="945">
        <v>86.23</v>
      </c>
      <c r="DM7" s="945">
        <v>86.355000000000004</v>
      </c>
      <c r="DN7" s="945">
        <v>86.47</v>
      </c>
      <c r="DO7" s="945">
        <v>86.59</v>
      </c>
      <c r="DP7" s="945">
        <v>86.715000000000003</v>
      </c>
      <c r="DQ7" s="945">
        <v>86.83</v>
      </c>
      <c r="DR7" s="945">
        <v>86.944999999999993</v>
      </c>
    </row>
    <row r="8" spans="1:122" s="131" customFormat="1" ht="12.75">
      <c r="A8" s="949">
        <v>6</v>
      </c>
      <c r="B8" s="945">
        <v>61.317468793868287</v>
      </c>
      <c r="C8" s="945">
        <v>61.496260424766767</v>
      </c>
      <c r="D8" s="945">
        <v>61.80123103927626</v>
      </c>
      <c r="E8" s="945">
        <v>62.125262013375242</v>
      </c>
      <c r="F8" s="945">
        <v>62.505462511432391</v>
      </c>
      <c r="G8" s="945">
        <v>62.843109588754487</v>
      </c>
      <c r="H8" s="945">
        <v>63.133370602938882</v>
      </c>
      <c r="I8" s="945">
        <v>63.500518836080332</v>
      </c>
      <c r="J8" s="945">
        <v>63.80699050685601</v>
      </c>
      <c r="K8" s="945">
        <v>64.151830780248957</v>
      </c>
      <c r="L8" s="945">
        <v>64.597703401935078</v>
      </c>
      <c r="M8" s="945">
        <v>64.90654302429239</v>
      </c>
      <c r="N8" s="945">
        <v>65.272824942128835</v>
      </c>
      <c r="O8" s="945">
        <v>65.67041635617629</v>
      </c>
      <c r="P8" s="945">
        <v>66.150983577852628</v>
      </c>
      <c r="Q8" s="945">
        <v>66.412425210842102</v>
      </c>
      <c r="R8" s="945">
        <v>66.67089691483153</v>
      </c>
      <c r="S8" s="945">
        <v>66.86066970867202</v>
      </c>
      <c r="T8" s="945">
        <v>66.95962421948586</v>
      </c>
      <c r="U8" s="945">
        <v>67.202254176731415</v>
      </c>
      <c r="V8" s="945">
        <v>67.465000000000003</v>
      </c>
      <c r="W8" s="945">
        <v>67.699999999999989</v>
      </c>
      <c r="X8" s="945">
        <v>67.930000000000007</v>
      </c>
      <c r="Y8" s="945">
        <v>68.085000000000008</v>
      </c>
      <c r="Z8" s="945">
        <v>68.365000000000009</v>
      </c>
      <c r="AA8" s="945">
        <v>68.62</v>
      </c>
      <c r="AB8" s="945">
        <v>68.89</v>
      </c>
      <c r="AC8" s="945">
        <v>69.09</v>
      </c>
      <c r="AD8" s="945">
        <v>69.234999999999999</v>
      </c>
      <c r="AE8" s="945">
        <v>69.5</v>
      </c>
      <c r="AF8" s="945">
        <v>69.83</v>
      </c>
      <c r="AG8" s="945">
        <v>70.16</v>
      </c>
      <c r="AH8" s="945">
        <v>70.504999999999995</v>
      </c>
      <c r="AI8" s="945">
        <v>70.81</v>
      </c>
      <c r="AJ8" s="945">
        <v>71.19</v>
      </c>
      <c r="AK8" s="945">
        <v>71.509999999999991</v>
      </c>
      <c r="AL8" s="945">
        <v>71.900000000000006</v>
      </c>
      <c r="AM8" s="945">
        <v>72.259999999999991</v>
      </c>
      <c r="AN8" s="945">
        <v>72.564999999999998</v>
      </c>
      <c r="AO8" s="945">
        <v>72.85499999999999</v>
      </c>
      <c r="AP8" s="945">
        <v>73.204999999999998</v>
      </c>
      <c r="AQ8" s="945">
        <v>73.39</v>
      </c>
      <c r="AR8" s="945">
        <v>73.64500000000001</v>
      </c>
      <c r="AS8" s="945">
        <v>73.740000000000009</v>
      </c>
      <c r="AT8" s="945">
        <v>73.819999999999993</v>
      </c>
      <c r="AU8" s="945">
        <v>73.930000000000007</v>
      </c>
      <c r="AV8" s="945">
        <v>74.03</v>
      </c>
      <c r="AW8" s="945">
        <v>74.344999999999999</v>
      </c>
      <c r="AX8" s="945">
        <v>74.47</v>
      </c>
      <c r="AY8" s="945">
        <v>74.60499999999999</v>
      </c>
      <c r="AZ8" s="945">
        <v>74.685000000000002</v>
      </c>
      <c r="BA8" s="945">
        <v>74.784999999999997</v>
      </c>
      <c r="BB8" s="945">
        <v>74.935000000000002</v>
      </c>
      <c r="BC8" s="945">
        <v>75.069999999999993</v>
      </c>
      <c r="BD8" s="945">
        <v>75.22</v>
      </c>
      <c r="BE8" s="945">
        <v>75.375</v>
      </c>
      <c r="BF8" s="945">
        <v>75.59</v>
      </c>
      <c r="BG8" s="945">
        <v>75.759999999999991</v>
      </c>
      <c r="BH8" s="945">
        <v>76.010000000000005</v>
      </c>
      <c r="BI8" s="945">
        <v>76.19</v>
      </c>
      <c r="BJ8" s="945">
        <v>76.42</v>
      </c>
      <c r="BK8" s="945">
        <v>76.635000000000005</v>
      </c>
      <c r="BL8" s="945">
        <v>76.889999999999986</v>
      </c>
      <c r="BM8" s="945">
        <v>77.14500000000001</v>
      </c>
      <c r="BN8" s="945">
        <v>77.37</v>
      </c>
      <c r="BO8" s="945">
        <v>77.585000000000008</v>
      </c>
      <c r="BP8" s="945">
        <v>77.814999999999998</v>
      </c>
      <c r="BQ8" s="945">
        <v>78.02000000000001</v>
      </c>
      <c r="BR8" s="945">
        <v>78.215000000000003</v>
      </c>
      <c r="BS8" s="945">
        <v>78.414999999999992</v>
      </c>
      <c r="BT8" s="946">
        <v>78.594999999999999</v>
      </c>
      <c r="BU8" s="945">
        <v>78.754999999999995</v>
      </c>
      <c r="BV8" s="945">
        <v>78.94</v>
      </c>
      <c r="BW8" s="945">
        <v>79.125</v>
      </c>
      <c r="BX8" s="945">
        <v>79.300000000000011</v>
      </c>
      <c r="BY8" s="945">
        <v>79.465000000000003</v>
      </c>
      <c r="BZ8" s="945">
        <v>79.625</v>
      </c>
      <c r="CA8" s="945">
        <v>79.790000000000006</v>
      </c>
      <c r="CB8" s="945">
        <v>79.95</v>
      </c>
      <c r="CC8" s="945">
        <v>80.12</v>
      </c>
      <c r="CD8" s="945">
        <v>80.289999999999992</v>
      </c>
      <c r="CE8" s="945">
        <v>80.449999999999989</v>
      </c>
      <c r="CF8" s="945">
        <v>80.625</v>
      </c>
      <c r="CG8" s="945">
        <v>80.795000000000002</v>
      </c>
      <c r="CH8" s="945">
        <v>80.965000000000003</v>
      </c>
      <c r="CI8" s="945">
        <v>81.155000000000001</v>
      </c>
      <c r="CJ8" s="945">
        <v>81.305000000000007</v>
      </c>
      <c r="CK8" s="945">
        <v>81.465000000000003</v>
      </c>
      <c r="CL8" s="945">
        <v>81.63</v>
      </c>
      <c r="CM8" s="945">
        <v>81.795000000000002</v>
      </c>
      <c r="CN8" s="945">
        <v>81.954999999999998</v>
      </c>
      <c r="CO8" s="945">
        <v>82.10499999999999</v>
      </c>
      <c r="CP8" s="945">
        <v>82.26</v>
      </c>
      <c r="CQ8" s="945">
        <v>82.405000000000001</v>
      </c>
      <c r="CR8" s="945">
        <v>82.545000000000002</v>
      </c>
      <c r="CS8" s="945">
        <v>82.7</v>
      </c>
      <c r="CT8" s="945">
        <v>82.85</v>
      </c>
      <c r="CU8" s="945">
        <v>82.990000000000009</v>
      </c>
      <c r="CV8" s="945">
        <v>83.12</v>
      </c>
      <c r="CW8" s="945">
        <v>83.27</v>
      </c>
      <c r="CX8" s="945">
        <v>83.41</v>
      </c>
      <c r="CY8" s="945">
        <v>83.550000000000011</v>
      </c>
      <c r="CZ8" s="945">
        <v>83.68</v>
      </c>
      <c r="DA8" s="945">
        <v>83.814999999999998</v>
      </c>
      <c r="DB8" s="945">
        <v>83.954999999999998</v>
      </c>
      <c r="DC8" s="945">
        <v>84.09</v>
      </c>
      <c r="DD8" s="945">
        <v>84.22</v>
      </c>
      <c r="DE8" s="945">
        <v>84.35</v>
      </c>
      <c r="DF8" s="945">
        <v>84.48</v>
      </c>
      <c r="DG8" s="945">
        <v>84.61</v>
      </c>
      <c r="DH8" s="945">
        <v>84.72999999999999</v>
      </c>
      <c r="DI8" s="945">
        <v>84.86</v>
      </c>
      <c r="DJ8" s="945">
        <v>84.984999999999999</v>
      </c>
      <c r="DK8" s="945">
        <v>85.11</v>
      </c>
      <c r="DL8" s="945">
        <v>85.234999999999999</v>
      </c>
      <c r="DM8" s="945">
        <v>85.355000000000004</v>
      </c>
      <c r="DN8" s="945">
        <v>85.48</v>
      </c>
      <c r="DO8" s="945">
        <v>85.6</v>
      </c>
      <c r="DP8" s="945">
        <v>85.715000000000003</v>
      </c>
      <c r="DQ8" s="945">
        <v>85.835000000000008</v>
      </c>
      <c r="DR8" s="945">
        <v>85.949999999999989</v>
      </c>
    </row>
    <row r="9" spans="1:122" s="131" customFormat="1" ht="12.75">
      <c r="A9" s="949">
        <v>7</v>
      </c>
      <c r="B9" s="945">
        <v>60.581203399802796</v>
      </c>
      <c r="C9" s="945">
        <v>60.749492715854053</v>
      </c>
      <c r="D9" s="945">
        <v>61.044397592707796</v>
      </c>
      <c r="E9" s="945">
        <v>61.358326558665375</v>
      </c>
      <c r="F9" s="945">
        <v>61.728511823437593</v>
      </c>
      <c r="G9" s="945">
        <v>62.067373116447648</v>
      </c>
      <c r="H9" s="945">
        <v>62.370925691001503</v>
      </c>
      <c r="I9" s="945">
        <v>62.751790777169674</v>
      </c>
      <c r="J9" s="945">
        <v>63.057925897051462</v>
      </c>
      <c r="K9" s="945">
        <v>63.475328267601867</v>
      </c>
      <c r="L9" s="945">
        <v>63.859052039270793</v>
      </c>
      <c r="M9" s="945">
        <v>64.209014286441899</v>
      </c>
      <c r="N9" s="945">
        <v>64.705073769056142</v>
      </c>
      <c r="O9" s="945">
        <v>65.026099641681441</v>
      </c>
      <c r="P9" s="945">
        <v>65.426618355401928</v>
      </c>
      <c r="Q9" s="945">
        <v>65.648530185032882</v>
      </c>
      <c r="R9" s="945">
        <v>65.890777136458539</v>
      </c>
      <c r="S9" s="945">
        <v>66.089557711945247</v>
      </c>
      <c r="T9" s="945">
        <v>66.085509174880414</v>
      </c>
      <c r="U9" s="945">
        <v>66.328597100985093</v>
      </c>
      <c r="V9" s="945">
        <v>66.59</v>
      </c>
      <c r="W9" s="945">
        <v>66.83</v>
      </c>
      <c r="X9" s="945">
        <v>67.08</v>
      </c>
      <c r="Y9" s="945">
        <v>67.254999999999995</v>
      </c>
      <c r="Z9" s="945">
        <v>67.545000000000002</v>
      </c>
      <c r="AA9" s="945">
        <v>67.77000000000001</v>
      </c>
      <c r="AB9" s="945">
        <v>68.03</v>
      </c>
      <c r="AC9" s="945">
        <v>68.22999999999999</v>
      </c>
      <c r="AD9" s="945">
        <v>68.375</v>
      </c>
      <c r="AE9" s="945">
        <v>68.664999999999992</v>
      </c>
      <c r="AF9" s="945">
        <v>69.004999999999995</v>
      </c>
      <c r="AG9" s="945">
        <v>69.314999999999998</v>
      </c>
      <c r="AH9" s="945">
        <v>69.650000000000006</v>
      </c>
      <c r="AI9" s="945">
        <v>69.97</v>
      </c>
      <c r="AJ9" s="945">
        <v>70.344999999999999</v>
      </c>
      <c r="AK9" s="945">
        <v>70.674999999999997</v>
      </c>
      <c r="AL9" s="945">
        <v>71.055000000000007</v>
      </c>
      <c r="AM9" s="945">
        <v>71.435000000000002</v>
      </c>
      <c r="AN9" s="945">
        <v>71.764999999999986</v>
      </c>
      <c r="AO9" s="945">
        <v>72.094999999999999</v>
      </c>
      <c r="AP9" s="945">
        <v>72.325000000000003</v>
      </c>
      <c r="AQ9" s="945">
        <v>72.510000000000005</v>
      </c>
      <c r="AR9" s="945">
        <v>72.724999999999994</v>
      </c>
      <c r="AS9" s="945">
        <v>72.805000000000007</v>
      </c>
      <c r="AT9" s="945">
        <v>72.89</v>
      </c>
      <c r="AU9" s="945">
        <v>72.995000000000005</v>
      </c>
      <c r="AV9" s="945">
        <v>73.085000000000008</v>
      </c>
      <c r="AW9" s="945">
        <v>73.39</v>
      </c>
      <c r="AX9" s="945">
        <v>73.525000000000006</v>
      </c>
      <c r="AY9" s="945">
        <v>73.655000000000001</v>
      </c>
      <c r="AZ9" s="945">
        <v>73.734999999999999</v>
      </c>
      <c r="BA9" s="945">
        <v>73.835000000000008</v>
      </c>
      <c r="BB9" s="945">
        <v>73.97999999999999</v>
      </c>
      <c r="BC9" s="945">
        <v>74.105000000000004</v>
      </c>
      <c r="BD9" s="945">
        <v>74.265000000000001</v>
      </c>
      <c r="BE9" s="945">
        <v>74.414999999999992</v>
      </c>
      <c r="BF9" s="945">
        <v>74.63</v>
      </c>
      <c r="BG9" s="945">
        <v>74.800000000000011</v>
      </c>
      <c r="BH9" s="945">
        <v>75.055000000000007</v>
      </c>
      <c r="BI9" s="945">
        <v>75.22999999999999</v>
      </c>
      <c r="BJ9" s="945">
        <v>75.465000000000003</v>
      </c>
      <c r="BK9" s="945">
        <v>75.680000000000007</v>
      </c>
      <c r="BL9" s="945">
        <v>75.930000000000007</v>
      </c>
      <c r="BM9" s="945">
        <v>76.19</v>
      </c>
      <c r="BN9" s="945">
        <v>76.41</v>
      </c>
      <c r="BO9" s="945">
        <v>76.63</v>
      </c>
      <c r="BP9" s="945">
        <v>76.849999999999994</v>
      </c>
      <c r="BQ9" s="945">
        <v>77.055000000000007</v>
      </c>
      <c r="BR9" s="945">
        <v>77.25</v>
      </c>
      <c r="BS9" s="945">
        <v>77.45</v>
      </c>
      <c r="BT9" s="946">
        <v>77.63</v>
      </c>
      <c r="BU9" s="945">
        <v>77.784999999999997</v>
      </c>
      <c r="BV9" s="945">
        <v>77.974999999999994</v>
      </c>
      <c r="BW9" s="945">
        <v>78.155000000000001</v>
      </c>
      <c r="BX9" s="945">
        <v>78.325000000000003</v>
      </c>
      <c r="BY9" s="945">
        <v>78.495000000000005</v>
      </c>
      <c r="BZ9" s="945">
        <v>78.650000000000006</v>
      </c>
      <c r="CA9" s="945">
        <v>78.805000000000007</v>
      </c>
      <c r="CB9" s="945">
        <v>78.97</v>
      </c>
      <c r="CC9" s="945">
        <v>79.139999999999986</v>
      </c>
      <c r="CD9" s="945">
        <v>79.305000000000007</v>
      </c>
      <c r="CE9" s="945">
        <v>79.47</v>
      </c>
      <c r="CF9" s="945">
        <v>79.64500000000001</v>
      </c>
      <c r="CG9" s="945">
        <v>79.81</v>
      </c>
      <c r="CH9" s="945">
        <v>79.984999999999999</v>
      </c>
      <c r="CI9" s="945">
        <v>80.17</v>
      </c>
      <c r="CJ9" s="945">
        <v>80.314999999999998</v>
      </c>
      <c r="CK9" s="945">
        <v>80.474999999999994</v>
      </c>
      <c r="CL9" s="945">
        <v>80.644999999999996</v>
      </c>
      <c r="CM9" s="945">
        <v>80.81</v>
      </c>
      <c r="CN9" s="945">
        <v>80.965000000000003</v>
      </c>
      <c r="CO9" s="945">
        <v>81.115000000000009</v>
      </c>
      <c r="CP9" s="945">
        <v>81.27</v>
      </c>
      <c r="CQ9" s="945">
        <v>81.414999999999992</v>
      </c>
      <c r="CR9" s="945">
        <v>81.56</v>
      </c>
      <c r="CS9" s="945">
        <v>81.710000000000008</v>
      </c>
      <c r="CT9" s="945">
        <v>81.865000000000009</v>
      </c>
      <c r="CU9" s="945">
        <v>82</v>
      </c>
      <c r="CV9" s="945">
        <v>82.13</v>
      </c>
      <c r="CW9" s="945">
        <v>82.275000000000006</v>
      </c>
      <c r="CX9" s="945">
        <v>82.414999999999992</v>
      </c>
      <c r="CY9" s="945">
        <v>82.56</v>
      </c>
      <c r="CZ9" s="945">
        <v>82.69</v>
      </c>
      <c r="DA9" s="945">
        <v>82.824999999999989</v>
      </c>
      <c r="DB9" s="945">
        <v>82.960000000000008</v>
      </c>
      <c r="DC9" s="945">
        <v>83.09</v>
      </c>
      <c r="DD9" s="945">
        <v>83.23</v>
      </c>
      <c r="DE9" s="945">
        <v>83.360000000000014</v>
      </c>
      <c r="DF9" s="945">
        <v>83.484999999999999</v>
      </c>
      <c r="DG9" s="945">
        <v>83.615000000000009</v>
      </c>
      <c r="DH9" s="945">
        <v>83.740000000000009</v>
      </c>
      <c r="DI9" s="945">
        <v>83.865000000000009</v>
      </c>
      <c r="DJ9" s="945">
        <v>83.995000000000005</v>
      </c>
      <c r="DK9" s="945">
        <v>84.12</v>
      </c>
      <c r="DL9" s="945">
        <v>84.240000000000009</v>
      </c>
      <c r="DM9" s="945">
        <v>84.364999999999995</v>
      </c>
      <c r="DN9" s="945">
        <v>84.484999999999999</v>
      </c>
      <c r="DO9" s="945">
        <v>84.6</v>
      </c>
      <c r="DP9" s="945">
        <v>84.724999999999994</v>
      </c>
      <c r="DQ9" s="945">
        <v>84.84</v>
      </c>
      <c r="DR9" s="945">
        <v>84.960000000000008</v>
      </c>
    </row>
    <row r="10" spans="1:122" s="131" customFormat="1" ht="12.75">
      <c r="A10" s="949">
        <v>8</v>
      </c>
      <c r="B10" s="945">
        <v>59.791995699168353</v>
      </c>
      <c r="C10" s="945">
        <v>59.951625139200104</v>
      </c>
      <c r="D10" s="945">
        <v>60.238225134020809</v>
      </c>
      <c r="E10" s="945">
        <v>60.543819782698193</v>
      </c>
      <c r="F10" s="945">
        <v>60.915133836630147</v>
      </c>
      <c r="G10" s="945">
        <v>61.252213697402439</v>
      </c>
      <c r="H10" s="945">
        <v>61.553853302774669</v>
      </c>
      <c r="I10" s="945">
        <v>61.941829499037119</v>
      </c>
      <c r="J10" s="945">
        <v>62.320158664455278</v>
      </c>
      <c r="K10" s="945">
        <v>62.717502990412001</v>
      </c>
      <c r="L10" s="945">
        <v>63.134571044801049</v>
      </c>
      <c r="M10" s="945">
        <v>63.580985839484242</v>
      </c>
      <c r="N10" s="945">
        <v>63.952890333635452</v>
      </c>
      <c r="O10" s="945">
        <v>64.232914063609911</v>
      </c>
      <c r="P10" s="945">
        <v>64.588835184569547</v>
      </c>
      <c r="Q10" s="945">
        <v>64.782070217644346</v>
      </c>
      <c r="R10" s="945">
        <v>65.034489288865387</v>
      </c>
      <c r="S10" s="945">
        <v>65.195706469763024</v>
      </c>
      <c r="T10" s="945">
        <v>65.191650649009375</v>
      </c>
      <c r="U10" s="945">
        <v>65.435130468710469</v>
      </c>
      <c r="V10" s="945">
        <v>65.715000000000003</v>
      </c>
      <c r="W10" s="945">
        <v>65.960000000000008</v>
      </c>
      <c r="X10" s="945">
        <v>66.215000000000003</v>
      </c>
      <c r="Y10" s="945">
        <v>66.39</v>
      </c>
      <c r="Z10" s="945">
        <v>66.655000000000001</v>
      </c>
      <c r="AA10" s="945">
        <v>66.89500000000001</v>
      </c>
      <c r="AB10" s="945">
        <v>67.155000000000001</v>
      </c>
      <c r="AC10" s="945">
        <v>67.355000000000004</v>
      </c>
      <c r="AD10" s="945">
        <v>67.52</v>
      </c>
      <c r="AE10" s="945">
        <v>67.81</v>
      </c>
      <c r="AF10" s="945">
        <v>68.134999999999991</v>
      </c>
      <c r="AG10" s="945">
        <v>68.444999999999993</v>
      </c>
      <c r="AH10" s="945">
        <v>68.78</v>
      </c>
      <c r="AI10" s="945">
        <v>69.10499999999999</v>
      </c>
      <c r="AJ10" s="945">
        <v>69.47999999999999</v>
      </c>
      <c r="AK10" s="945">
        <v>69.81</v>
      </c>
      <c r="AL10" s="945">
        <v>70.204999999999998</v>
      </c>
      <c r="AM10" s="945">
        <v>70.61</v>
      </c>
      <c r="AN10" s="945">
        <v>70.974999999999994</v>
      </c>
      <c r="AO10" s="945">
        <v>71.194999999999993</v>
      </c>
      <c r="AP10" s="945">
        <v>71.424999999999997</v>
      </c>
      <c r="AQ10" s="945">
        <v>71.59</v>
      </c>
      <c r="AR10" s="945">
        <v>71.78</v>
      </c>
      <c r="AS10" s="945">
        <v>71.86</v>
      </c>
      <c r="AT10" s="945">
        <v>71.944999999999993</v>
      </c>
      <c r="AU10" s="945">
        <v>72.039999999999992</v>
      </c>
      <c r="AV10" s="945">
        <v>72.13</v>
      </c>
      <c r="AW10" s="945">
        <v>72.430000000000007</v>
      </c>
      <c r="AX10" s="945">
        <v>72.564999999999998</v>
      </c>
      <c r="AY10" s="945">
        <v>72.694999999999993</v>
      </c>
      <c r="AZ10" s="945">
        <v>72.775000000000006</v>
      </c>
      <c r="BA10" s="945">
        <v>72.87</v>
      </c>
      <c r="BB10" s="945">
        <v>73.02</v>
      </c>
      <c r="BC10" s="945">
        <v>73.14</v>
      </c>
      <c r="BD10" s="945">
        <v>73.305000000000007</v>
      </c>
      <c r="BE10" s="945">
        <v>73.454999999999998</v>
      </c>
      <c r="BF10" s="945">
        <v>73.67</v>
      </c>
      <c r="BG10" s="945">
        <v>73.835000000000008</v>
      </c>
      <c r="BH10" s="945">
        <v>74.09</v>
      </c>
      <c r="BI10" s="945">
        <v>74.265000000000001</v>
      </c>
      <c r="BJ10" s="945">
        <v>74.504999999999995</v>
      </c>
      <c r="BK10" s="945">
        <v>74.715000000000003</v>
      </c>
      <c r="BL10" s="945">
        <v>74.965000000000003</v>
      </c>
      <c r="BM10" s="945">
        <v>75.224999999999994</v>
      </c>
      <c r="BN10" s="945">
        <v>75.444999999999993</v>
      </c>
      <c r="BO10" s="945">
        <v>75.67</v>
      </c>
      <c r="BP10" s="945">
        <v>75.884999999999991</v>
      </c>
      <c r="BQ10" s="945">
        <v>76.09</v>
      </c>
      <c r="BR10" s="945">
        <v>76.28</v>
      </c>
      <c r="BS10" s="945">
        <v>76.474999999999994</v>
      </c>
      <c r="BT10" s="946">
        <v>76.66</v>
      </c>
      <c r="BU10" s="945">
        <v>76.814999999999998</v>
      </c>
      <c r="BV10" s="945">
        <v>77</v>
      </c>
      <c r="BW10" s="945">
        <v>77.180000000000007</v>
      </c>
      <c r="BX10" s="945">
        <v>77.349999999999994</v>
      </c>
      <c r="BY10" s="945">
        <v>77.515000000000001</v>
      </c>
      <c r="BZ10" s="945">
        <v>77.67</v>
      </c>
      <c r="CA10" s="945">
        <v>77.825000000000003</v>
      </c>
      <c r="CB10" s="945">
        <v>77.990000000000009</v>
      </c>
      <c r="CC10" s="945">
        <v>78.155000000000001</v>
      </c>
      <c r="CD10" s="945">
        <v>78.325000000000003</v>
      </c>
      <c r="CE10" s="945">
        <v>78.489999999999995</v>
      </c>
      <c r="CF10" s="945">
        <v>78.664999999999992</v>
      </c>
      <c r="CG10" s="945">
        <v>78.830000000000013</v>
      </c>
      <c r="CH10" s="945">
        <v>78.995000000000005</v>
      </c>
      <c r="CI10" s="945">
        <v>79.185000000000002</v>
      </c>
      <c r="CJ10" s="945">
        <v>79.335000000000008</v>
      </c>
      <c r="CK10" s="945">
        <v>79.490000000000009</v>
      </c>
      <c r="CL10" s="945">
        <v>79.66</v>
      </c>
      <c r="CM10" s="945">
        <v>79.814999999999998</v>
      </c>
      <c r="CN10" s="945">
        <v>79.97999999999999</v>
      </c>
      <c r="CO10" s="945">
        <v>80.12</v>
      </c>
      <c r="CP10" s="945">
        <v>80.28</v>
      </c>
      <c r="CQ10" s="945">
        <v>80.42</v>
      </c>
      <c r="CR10" s="945">
        <v>80.564999999999998</v>
      </c>
      <c r="CS10" s="945">
        <v>80.72</v>
      </c>
      <c r="CT10" s="945">
        <v>80.875</v>
      </c>
      <c r="CU10" s="945">
        <v>81</v>
      </c>
      <c r="CV10" s="945">
        <v>81.14</v>
      </c>
      <c r="CW10" s="945">
        <v>81.28</v>
      </c>
      <c r="CX10" s="945">
        <v>81.42</v>
      </c>
      <c r="CY10" s="945">
        <v>81.564999999999998</v>
      </c>
      <c r="CZ10" s="945">
        <v>81.7</v>
      </c>
      <c r="DA10" s="945">
        <v>81.835000000000008</v>
      </c>
      <c r="DB10" s="945">
        <v>81.97</v>
      </c>
      <c r="DC10" s="945">
        <v>82.1</v>
      </c>
      <c r="DD10" s="945">
        <v>82.23</v>
      </c>
      <c r="DE10" s="945">
        <v>82.360000000000014</v>
      </c>
      <c r="DF10" s="945">
        <v>82.49</v>
      </c>
      <c r="DG10" s="945">
        <v>82.62</v>
      </c>
      <c r="DH10" s="945">
        <v>82.75</v>
      </c>
      <c r="DI10" s="945">
        <v>82.875</v>
      </c>
      <c r="DJ10" s="945">
        <v>83</v>
      </c>
      <c r="DK10" s="945">
        <v>83.125</v>
      </c>
      <c r="DL10" s="945">
        <v>83.25</v>
      </c>
      <c r="DM10" s="945">
        <v>83.37</v>
      </c>
      <c r="DN10" s="945">
        <v>83.49</v>
      </c>
      <c r="DO10" s="945">
        <v>83.61</v>
      </c>
      <c r="DP10" s="945">
        <v>83.724999999999994</v>
      </c>
      <c r="DQ10" s="945">
        <v>83.844999999999999</v>
      </c>
      <c r="DR10" s="945">
        <v>83.960000000000008</v>
      </c>
    </row>
    <row r="11" spans="1:122" s="131" customFormat="1" ht="12.75">
      <c r="A11" s="949">
        <v>9</v>
      </c>
      <c r="B11" s="945">
        <v>58.961993666551223</v>
      </c>
      <c r="C11" s="945">
        <v>59.114470414330349</v>
      </c>
      <c r="D11" s="945">
        <v>59.394209623807861</v>
      </c>
      <c r="E11" s="945">
        <v>59.700602266673471</v>
      </c>
      <c r="F11" s="945">
        <v>60.070530993983738</v>
      </c>
      <c r="G11" s="945">
        <v>60.40611141820365</v>
      </c>
      <c r="H11" s="945">
        <v>60.713519662278046</v>
      </c>
      <c r="I11" s="945">
        <v>61.162451823829684</v>
      </c>
      <c r="J11" s="945">
        <v>61.523825744385356</v>
      </c>
      <c r="K11" s="945">
        <v>61.949243041841918</v>
      </c>
      <c r="L11" s="945">
        <v>62.447827676434414</v>
      </c>
      <c r="M11" s="945">
        <v>62.789569538677213</v>
      </c>
      <c r="N11" s="945">
        <v>63.127124906309767</v>
      </c>
      <c r="O11" s="945">
        <v>63.373054381337397</v>
      </c>
      <c r="P11" s="945">
        <v>63.707521530562886</v>
      </c>
      <c r="Q11" s="945">
        <v>63.909731499572594</v>
      </c>
      <c r="R11" s="945">
        <v>64.128880389680859</v>
      </c>
      <c r="S11" s="945">
        <v>64.290330711842302</v>
      </c>
      <c r="T11" s="945">
        <v>64.286268185461509</v>
      </c>
      <c r="U11" s="945">
        <v>64.543400864759533</v>
      </c>
      <c r="V11" s="945">
        <v>64.825000000000003</v>
      </c>
      <c r="W11" s="945">
        <v>65.075000000000003</v>
      </c>
      <c r="X11" s="945">
        <v>65.33</v>
      </c>
      <c r="Y11" s="945">
        <v>65.484999999999999</v>
      </c>
      <c r="Z11" s="945">
        <v>65.759999999999991</v>
      </c>
      <c r="AA11" s="945">
        <v>66</v>
      </c>
      <c r="AB11" s="945">
        <v>66.265000000000001</v>
      </c>
      <c r="AC11" s="945">
        <v>66.484999999999999</v>
      </c>
      <c r="AD11" s="945">
        <v>66.64500000000001</v>
      </c>
      <c r="AE11" s="945">
        <v>66.92</v>
      </c>
      <c r="AF11" s="945">
        <v>67.239999999999995</v>
      </c>
      <c r="AG11" s="945">
        <v>67.56</v>
      </c>
      <c r="AH11" s="945">
        <v>67.89500000000001</v>
      </c>
      <c r="AI11" s="945">
        <v>68.22</v>
      </c>
      <c r="AJ11" s="945">
        <v>68.599999999999994</v>
      </c>
      <c r="AK11" s="945">
        <v>68.935000000000002</v>
      </c>
      <c r="AL11" s="945">
        <v>69.35499999999999</v>
      </c>
      <c r="AM11" s="945">
        <v>69.784999999999997</v>
      </c>
      <c r="AN11" s="945">
        <v>70.06</v>
      </c>
      <c r="AO11" s="945">
        <v>70.284999999999997</v>
      </c>
      <c r="AP11" s="945">
        <v>70.495000000000005</v>
      </c>
      <c r="AQ11" s="945">
        <v>70.635000000000005</v>
      </c>
      <c r="AR11" s="945">
        <v>70.83</v>
      </c>
      <c r="AS11" s="945">
        <v>70.91</v>
      </c>
      <c r="AT11" s="945">
        <v>70.984999999999999</v>
      </c>
      <c r="AU11" s="945">
        <v>71.080000000000013</v>
      </c>
      <c r="AV11" s="945">
        <v>71.164999999999992</v>
      </c>
      <c r="AW11" s="945">
        <v>71.465000000000003</v>
      </c>
      <c r="AX11" s="945">
        <v>71.599999999999994</v>
      </c>
      <c r="AY11" s="945">
        <v>71.724999999999994</v>
      </c>
      <c r="AZ11" s="945">
        <v>71.81</v>
      </c>
      <c r="BA11" s="945">
        <v>71.905000000000001</v>
      </c>
      <c r="BB11" s="945">
        <v>72.055000000000007</v>
      </c>
      <c r="BC11" s="945">
        <v>72.180000000000007</v>
      </c>
      <c r="BD11" s="945">
        <v>72.34</v>
      </c>
      <c r="BE11" s="945">
        <v>72.484999999999999</v>
      </c>
      <c r="BF11" s="945">
        <v>72.699999999999989</v>
      </c>
      <c r="BG11" s="945">
        <v>72.87</v>
      </c>
      <c r="BH11" s="945">
        <v>73.125</v>
      </c>
      <c r="BI11" s="945">
        <v>73.305000000000007</v>
      </c>
      <c r="BJ11" s="945">
        <v>73.534999999999997</v>
      </c>
      <c r="BK11" s="945">
        <v>73.745000000000005</v>
      </c>
      <c r="BL11" s="945">
        <v>74</v>
      </c>
      <c r="BM11" s="945">
        <v>74.259999999999991</v>
      </c>
      <c r="BN11" s="945">
        <v>74.47999999999999</v>
      </c>
      <c r="BO11" s="945">
        <v>74.694999999999993</v>
      </c>
      <c r="BP11" s="945">
        <v>74.91</v>
      </c>
      <c r="BQ11" s="945">
        <v>75.115000000000009</v>
      </c>
      <c r="BR11" s="945">
        <v>75.305000000000007</v>
      </c>
      <c r="BS11" s="945">
        <v>75.5</v>
      </c>
      <c r="BT11" s="946">
        <v>75.685000000000002</v>
      </c>
      <c r="BU11" s="945">
        <v>75.835000000000008</v>
      </c>
      <c r="BV11" s="945">
        <v>76.025000000000006</v>
      </c>
      <c r="BW11" s="945">
        <v>76.2</v>
      </c>
      <c r="BX11" s="945">
        <v>76.37</v>
      </c>
      <c r="BY11" s="945">
        <v>76.53</v>
      </c>
      <c r="BZ11" s="945">
        <v>76.685000000000002</v>
      </c>
      <c r="CA11" s="945">
        <v>76.844999999999999</v>
      </c>
      <c r="CB11" s="945">
        <v>77.009999999999991</v>
      </c>
      <c r="CC11" s="945">
        <v>77.169999999999987</v>
      </c>
      <c r="CD11" s="945">
        <v>77.34</v>
      </c>
      <c r="CE11" s="945">
        <v>77.510000000000005</v>
      </c>
      <c r="CF11" s="945">
        <v>77.680000000000007</v>
      </c>
      <c r="CG11" s="945">
        <v>77.844999999999999</v>
      </c>
      <c r="CH11" s="945">
        <v>78.004999999999995</v>
      </c>
      <c r="CI11" s="945">
        <v>78.194999999999993</v>
      </c>
      <c r="CJ11" s="945">
        <v>78.344999999999999</v>
      </c>
      <c r="CK11" s="945">
        <v>78.5</v>
      </c>
      <c r="CL11" s="945">
        <v>78.664999999999992</v>
      </c>
      <c r="CM11" s="945">
        <v>78.83</v>
      </c>
      <c r="CN11" s="945">
        <v>78.984999999999999</v>
      </c>
      <c r="CO11" s="945">
        <v>79.135000000000005</v>
      </c>
      <c r="CP11" s="945">
        <v>79.284999999999997</v>
      </c>
      <c r="CQ11" s="945">
        <v>79.430000000000007</v>
      </c>
      <c r="CR11" s="945">
        <v>79.575000000000003</v>
      </c>
      <c r="CS11" s="945">
        <v>79.734999999999999</v>
      </c>
      <c r="CT11" s="945">
        <v>79.875</v>
      </c>
      <c r="CU11" s="945">
        <v>80.009999999999991</v>
      </c>
      <c r="CV11" s="945">
        <v>80.144999999999996</v>
      </c>
      <c r="CW11" s="945">
        <v>80.289999999999992</v>
      </c>
      <c r="CX11" s="945">
        <v>80.430000000000007</v>
      </c>
      <c r="CY11" s="945">
        <v>80.569999999999993</v>
      </c>
      <c r="CZ11" s="945">
        <v>80.710000000000008</v>
      </c>
      <c r="DA11" s="945">
        <v>80.835000000000008</v>
      </c>
      <c r="DB11" s="945">
        <v>80.974999999999994</v>
      </c>
      <c r="DC11" s="945">
        <v>81.10499999999999</v>
      </c>
      <c r="DD11" s="945">
        <v>81.240000000000009</v>
      </c>
      <c r="DE11" s="945">
        <v>81.37</v>
      </c>
      <c r="DF11" s="945">
        <v>81.495000000000005</v>
      </c>
      <c r="DG11" s="945">
        <v>81.625</v>
      </c>
      <c r="DH11" s="945">
        <v>81.75</v>
      </c>
      <c r="DI11" s="945">
        <v>81.88</v>
      </c>
      <c r="DJ11" s="945">
        <v>82.004999999999995</v>
      </c>
      <c r="DK11" s="945">
        <v>82.13</v>
      </c>
      <c r="DL11" s="945">
        <v>82.25</v>
      </c>
      <c r="DM11" s="945">
        <v>82.375</v>
      </c>
      <c r="DN11" s="945">
        <v>82.495000000000005</v>
      </c>
      <c r="DO11" s="945">
        <v>82.61</v>
      </c>
      <c r="DP11" s="945">
        <v>82.72999999999999</v>
      </c>
      <c r="DQ11" s="945">
        <v>82.85</v>
      </c>
      <c r="DR11" s="945">
        <v>82.965000000000003</v>
      </c>
    </row>
    <row r="12" spans="1:122" s="131" customFormat="1" ht="12.75">
      <c r="A12" s="949">
        <v>10</v>
      </c>
      <c r="B12" s="945">
        <v>58.104748886662101</v>
      </c>
      <c r="C12" s="945">
        <v>58.25166888105899</v>
      </c>
      <c r="D12" s="945">
        <v>58.5320628319093</v>
      </c>
      <c r="E12" s="945">
        <v>58.837120520234897</v>
      </c>
      <c r="F12" s="945">
        <v>59.205836676335416</v>
      </c>
      <c r="G12" s="945">
        <v>59.546543606403404</v>
      </c>
      <c r="H12" s="945">
        <v>59.907343267245132</v>
      </c>
      <c r="I12" s="945">
        <v>60.341633324421707</v>
      </c>
      <c r="J12" s="945">
        <v>60.727558917970171</v>
      </c>
      <c r="K12" s="945">
        <v>61.224818113811011</v>
      </c>
      <c r="L12" s="945">
        <v>61.631475570458711</v>
      </c>
      <c r="M12" s="945">
        <v>61.942908474548631</v>
      </c>
      <c r="N12" s="945">
        <v>62.25335979254757</v>
      </c>
      <c r="O12" s="945">
        <v>62.482157382749278</v>
      </c>
      <c r="P12" s="945">
        <v>62.825189095492178</v>
      </c>
      <c r="Q12" s="945">
        <v>62.996691690955991</v>
      </c>
      <c r="R12" s="945">
        <v>63.216139135510481</v>
      </c>
      <c r="S12" s="945">
        <v>63.377807652619389</v>
      </c>
      <c r="T12" s="945">
        <v>63.386032595750201</v>
      </c>
      <c r="U12" s="945">
        <v>63.640917319015927</v>
      </c>
      <c r="V12" s="945">
        <v>63.930000000000007</v>
      </c>
      <c r="W12" s="945">
        <v>64.174999999999997</v>
      </c>
      <c r="X12" s="945">
        <v>64.415000000000006</v>
      </c>
      <c r="Y12" s="945">
        <v>64.575000000000003</v>
      </c>
      <c r="Z12" s="945">
        <v>64.849999999999994</v>
      </c>
      <c r="AA12" s="945">
        <v>65.09</v>
      </c>
      <c r="AB12" s="945">
        <v>65.37</v>
      </c>
      <c r="AC12" s="945">
        <v>65.59</v>
      </c>
      <c r="AD12" s="945">
        <v>65.734999999999999</v>
      </c>
      <c r="AE12" s="945">
        <v>66.009999999999991</v>
      </c>
      <c r="AF12" s="945">
        <v>66.344999999999999</v>
      </c>
      <c r="AG12" s="945">
        <v>66.655000000000001</v>
      </c>
      <c r="AH12" s="945">
        <v>67</v>
      </c>
      <c r="AI12" s="945">
        <v>67.319999999999993</v>
      </c>
      <c r="AJ12" s="945">
        <v>67.710000000000008</v>
      </c>
      <c r="AK12" s="945">
        <v>68.06</v>
      </c>
      <c r="AL12" s="945">
        <v>68.504999999999995</v>
      </c>
      <c r="AM12" s="945">
        <v>68.87</v>
      </c>
      <c r="AN12" s="945">
        <v>69.150000000000006</v>
      </c>
      <c r="AO12" s="945">
        <v>69.349999999999994</v>
      </c>
      <c r="AP12" s="945">
        <v>69.540000000000006</v>
      </c>
      <c r="AQ12" s="945">
        <v>69.680000000000007</v>
      </c>
      <c r="AR12" s="945">
        <v>69.875</v>
      </c>
      <c r="AS12" s="945">
        <v>69.944999999999993</v>
      </c>
      <c r="AT12" s="945">
        <v>70.02</v>
      </c>
      <c r="AU12" s="945">
        <v>70.11</v>
      </c>
      <c r="AV12" s="945">
        <v>70.194999999999993</v>
      </c>
      <c r="AW12" s="945">
        <v>70.5</v>
      </c>
      <c r="AX12" s="945">
        <v>70.634999999999991</v>
      </c>
      <c r="AY12" s="945">
        <v>70.759999999999991</v>
      </c>
      <c r="AZ12" s="945">
        <v>70.84</v>
      </c>
      <c r="BA12" s="945">
        <v>70.94</v>
      </c>
      <c r="BB12" s="945">
        <v>71.08</v>
      </c>
      <c r="BC12" s="945">
        <v>71.204999999999998</v>
      </c>
      <c r="BD12" s="945">
        <v>71.365000000000009</v>
      </c>
      <c r="BE12" s="945">
        <v>71.52</v>
      </c>
      <c r="BF12" s="945">
        <v>71.724999999999994</v>
      </c>
      <c r="BG12" s="945">
        <v>71.894999999999996</v>
      </c>
      <c r="BH12" s="945">
        <v>72.155000000000001</v>
      </c>
      <c r="BI12" s="945">
        <v>72.335000000000008</v>
      </c>
      <c r="BJ12" s="945">
        <v>72.564999999999998</v>
      </c>
      <c r="BK12" s="945">
        <v>72.775000000000006</v>
      </c>
      <c r="BL12" s="945">
        <v>73.03</v>
      </c>
      <c r="BM12" s="945">
        <v>73.284999999999997</v>
      </c>
      <c r="BN12" s="945">
        <v>73.504999999999995</v>
      </c>
      <c r="BO12" s="945">
        <v>73.715000000000003</v>
      </c>
      <c r="BP12" s="945">
        <v>73.94</v>
      </c>
      <c r="BQ12" s="945">
        <v>74.135000000000005</v>
      </c>
      <c r="BR12" s="945">
        <v>74.33</v>
      </c>
      <c r="BS12" s="945">
        <v>74.52000000000001</v>
      </c>
      <c r="BT12" s="946">
        <v>74.704999999999998</v>
      </c>
      <c r="BU12" s="945">
        <v>74.86</v>
      </c>
      <c r="BV12" s="945">
        <v>75.039999999999992</v>
      </c>
      <c r="BW12" s="945">
        <v>75.22</v>
      </c>
      <c r="BX12" s="945">
        <v>75.39</v>
      </c>
      <c r="BY12" s="945">
        <v>75.550000000000011</v>
      </c>
      <c r="BZ12" s="945">
        <v>75.699999999999989</v>
      </c>
      <c r="CA12" s="945">
        <v>75.86</v>
      </c>
      <c r="CB12" s="945">
        <v>76.02000000000001</v>
      </c>
      <c r="CC12" s="945">
        <v>76.185000000000002</v>
      </c>
      <c r="CD12" s="945">
        <v>76.349999999999994</v>
      </c>
      <c r="CE12" s="945">
        <v>76.52</v>
      </c>
      <c r="CF12" s="945">
        <v>76.69</v>
      </c>
      <c r="CG12" s="945">
        <v>76.855000000000004</v>
      </c>
      <c r="CH12" s="945">
        <v>77.02</v>
      </c>
      <c r="CI12" s="945">
        <v>77.204999999999998</v>
      </c>
      <c r="CJ12" s="945">
        <v>77.349999999999994</v>
      </c>
      <c r="CK12" s="945">
        <v>77.504999999999995</v>
      </c>
      <c r="CL12" s="945">
        <v>77.675000000000011</v>
      </c>
      <c r="CM12" s="945">
        <v>77.835000000000008</v>
      </c>
      <c r="CN12" s="945">
        <v>77.995000000000005</v>
      </c>
      <c r="CO12" s="945">
        <v>78.144999999999996</v>
      </c>
      <c r="CP12" s="945">
        <v>78.289999999999992</v>
      </c>
      <c r="CQ12" s="945">
        <v>78.44</v>
      </c>
      <c r="CR12" s="945">
        <v>78.58</v>
      </c>
      <c r="CS12" s="945">
        <v>78.740000000000009</v>
      </c>
      <c r="CT12" s="945">
        <v>78.884999999999991</v>
      </c>
      <c r="CU12" s="945">
        <v>79.02000000000001</v>
      </c>
      <c r="CV12" s="945">
        <v>79.155000000000001</v>
      </c>
      <c r="CW12" s="945">
        <v>79.295000000000002</v>
      </c>
      <c r="CX12" s="945">
        <v>79.435000000000002</v>
      </c>
      <c r="CY12" s="945">
        <v>79.580000000000013</v>
      </c>
      <c r="CZ12" s="945">
        <v>79.710000000000008</v>
      </c>
      <c r="DA12" s="945">
        <v>79.844999999999999</v>
      </c>
      <c r="DB12" s="945">
        <v>79.97999999999999</v>
      </c>
      <c r="DC12" s="945">
        <v>80.115000000000009</v>
      </c>
      <c r="DD12" s="945">
        <v>80.240000000000009</v>
      </c>
      <c r="DE12" s="945">
        <v>80.37</v>
      </c>
      <c r="DF12" s="945">
        <v>80.504999999999995</v>
      </c>
      <c r="DG12" s="945">
        <v>80.634999999999991</v>
      </c>
      <c r="DH12" s="945">
        <v>80.759999999999991</v>
      </c>
      <c r="DI12" s="945">
        <v>80.884999999999991</v>
      </c>
      <c r="DJ12" s="945">
        <v>81.009999999999991</v>
      </c>
      <c r="DK12" s="945">
        <v>81.134999999999991</v>
      </c>
      <c r="DL12" s="945">
        <v>81.259999999999991</v>
      </c>
      <c r="DM12" s="945">
        <v>81.38</v>
      </c>
      <c r="DN12" s="945">
        <v>81.495000000000005</v>
      </c>
      <c r="DO12" s="945">
        <v>81.62</v>
      </c>
      <c r="DP12" s="945">
        <v>81.734999999999999</v>
      </c>
      <c r="DQ12" s="945">
        <v>81.85499999999999</v>
      </c>
      <c r="DR12" s="945">
        <v>81.97</v>
      </c>
    </row>
    <row r="13" spans="1:122" s="131" customFormat="1" ht="12.75">
      <c r="A13" s="949">
        <v>11</v>
      </c>
      <c r="B13" s="945">
        <v>57.231206621019339</v>
      </c>
      <c r="C13" s="945">
        <v>57.37844938927396</v>
      </c>
      <c r="D13" s="945">
        <v>57.657577850662442</v>
      </c>
      <c r="E13" s="945">
        <v>57.961404605120904</v>
      </c>
      <c r="F13" s="945">
        <v>58.334902555320141</v>
      </c>
      <c r="G13" s="945">
        <v>58.724798241591714</v>
      </c>
      <c r="H13" s="945">
        <v>59.071923085452255</v>
      </c>
      <c r="I13" s="945">
        <v>59.528996138704215</v>
      </c>
      <c r="J13" s="945">
        <v>59.980892900360104</v>
      </c>
      <c r="K13" s="945">
        <v>60.393661935958718</v>
      </c>
      <c r="L13" s="945">
        <v>60.772618223524802</v>
      </c>
      <c r="M13" s="945">
        <v>61.059966768357683</v>
      </c>
      <c r="N13" s="945">
        <v>61.355438611708976</v>
      </c>
      <c r="O13" s="945">
        <v>61.592070528543346</v>
      </c>
      <c r="P13" s="945">
        <v>61.9066094374163</v>
      </c>
      <c r="Q13" s="945">
        <v>62.078336994575317</v>
      </c>
      <c r="R13" s="945">
        <v>62.298069239758647</v>
      </c>
      <c r="S13" s="945">
        <v>62.471489078015196</v>
      </c>
      <c r="T13" s="945">
        <v>62.474031274690546</v>
      </c>
      <c r="U13" s="945">
        <v>62.736190384588255</v>
      </c>
      <c r="V13" s="945">
        <v>63.010000000000005</v>
      </c>
      <c r="W13" s="945">
        <v>63.245000000000005</v>
      </c>
      <c r="X13" s="945">
        <v>63.489999999999995</v>
      </c>
      <c r="Y13" s="945">
        <v>63.655000000000001</v>
      </c>
      <c r="Z13" s="945">
        <v>63.93</v>
      </c>
      <c r="AA13" s="945">
        <v>64.19</v>
      </c>
      <c r="AB13" s="945">
        <v>64.459999999999994</v>
      </c>
      <c r="AC13" s="945">
        <v>64.675000000000011</v>
      </c>
      <c r="AD13" s="945">
        <v>64.819999999999993</v>
      </c>
      <c r="AE13" s="945">
        <v>65.099999999999994</v>
      </c>
      <c r="AF13" s="945">
        <v>65.424999999999997</v>
      </c>
      <c r="AG13" s="945">
        <v>65.745000000000005</v>
      </c>
      <c r="AH13" s="945">
        <v>66.085000000000008</v>
      </c>
      <c r="AI13" s="945">
        <v>66.42</v>
      </c>
      <c r="AJ13" s="945">
        <v>66.820000000000007</v>
      </c>
      <c r="AK13" s="945">
        <v>67.194999999999993</v>
      </c>
      <c r="AL13" s="945">
        <v>67.585000000000008</v>
      </c>
      <c r="AM13" s="945">
        <v>67.95</v>
      </c>
      <c r="AN13" s="945">
        <v>68.210000000000008</v>
      </c>
      <c r="AO13" s="945">
        <v>68.389999999999986</v>
      </c>
      <c r="AP13" s="945">
        <v>68.58</v>
      </c>
      <c r="AQ13" s="945">
        <v>68.72</v>
      </c>
      <c r="AR13" s="945">
        <v>68.905000000000001</v>
      </c>
      <c r="AS13" s="945">
        <v>68.974999999999994</v>
      </c>
      <c r="AT13" s="945">
        <v>69.050000000000011</v>
      </c>
      <c r="AU13" s="945">
        <v>69.134999999999991</v>
      </c>
      <c r="AV13" s="945">
        <v>69.22999999999999</v>
      </c>
      <c r="AW13" s="945">
        <v>69.534999999999997</v>
      </c>
      <c r="AX13" s="945">
        <v>69.66</v>
      </c>
      <c r="AY13" s="945">
        <v>69.789999999999992</v>
      </c>
      <c r="AZ13" s="945">
        <v>69.864999999999995</v>
      </c>
      <c r="BA13" s="945">
        <v>69.965000000000003</v>
      </c>
      <c r="BB13" s="945">
        <v>70.11</v>
      </c>
      <c r="BC13" s="945">
        <v>70.22999999999999</v>
      </c>
      <c r="BD13" s="945">
        <v>70.394999999999996</v>
      </c>
      <c r="BE13" s="945">
        <v>70.544999999999987</v>
      </c>
      <c r="BF13" s="945">
        <v>70.75</v>
      </c>
      <c r="BG13" s="945">
        <v>70.919999999999987</v>
      </c>
      <c r="BH13" s="945">
        <v>71.180000000000007</v>
      </c>
      <c r="BI13" s="945">
        <v>71.365000000000009</v>
      </c>
      <c r="BJ13" s="945">
        <v>71.59</v>
      </c>
      <c r="BK13" s="945">
        <v>71.800000000000011</v>
      </c>
      <c r="BL13" s="945">
        <v>72.055000000000007</v>
      </c>
      <c r="BM13" s="945">
        <v>72.31</v>
      </c>
      <c r="BN13" s="945">
        <v>72.52</v>
      </c>
      <c r="BO13" s="945">
        <v>72.740000000000009</v>
      </c>
      <c r="BP13" s="945">
        <v>72.954999999999998</v>
      </c>
      <c r="BQ13" s="945">
        <v>73.155000000000001</v>
      </c>
      <c r="BR13" s="945">
        <v>73.349999999999994</v>
      </c>
      <c r="BS13" s="945">
        <v>73.545000000000002</v>
      </c>
      <c r="BT13" s="946">
        <v>73.72999999999999</v>
      </c>
      <c r="BU13" s="945">
        <v>73.87</v>
      </c>
      <c r="BV13" s="945">
        <v>74.055000000000007</v>
      </c>
      <c r="BW13" s="945">
        <v>74.235000000000014</v>
      </c>
      <c r="BX13" s="945">
        <v>74.400000000000006</v>
      </c>
      <c r="BY13" s="945">
        <v>74.56</v>
      </c>
      <c r="BZ13" s="945">
        <v>74.715000000000003</v>
      </c>
      <c r="CA13" s="945">
        <v>74.87</v>
      </c>
      <c r="CB13" s="945">
        <v>75.034999999999997</v>
      </c>
      <c r="CC13" s="945">
        <v>75.2</v>
      </c>
      <c r="CD13" s="945">
        <v>75.365000000000009</v>
      </c>
      <c r="CE13" s="945">
        <v>75.534999999999997</v>
      </c>
      <c r="CF13" s="945">
        <v>75.7</v>
      </c>
      <c r="CG13" s="945">
        <v>75.87</v>
      </c>
      <c r="CH13" s="945">
        <v>76.025000000000006</v>
      </c>
      <c r="CI13" s="945">
        <v>76.215000000000003</v>
      </c>
      <c r="CJ13" s="945">
        <v>76.36</v>
      </c>
      <c r="CK13" s="945">
        <v>76.515000000000001</v>
      </c>
      <c r="CL13" s="945">
        <v>76.685000000000002</v>
      </c>
      <c r="CM13" s="945">
        <v>76.844999999999999</v>
      </c>
      <c r="CN13" s="945">
        <v>77</v>
      </c>
      <c r="CO13" s="945">
        <v>77.150000000000006</v>
      </c>
      <c r="CP13" s="945">
        <v>77.3</v>
      </c>
      <c r="CQ13" s="945">
        <v>77.44</v>
      </c>
      <c r="CR13" s="945">
        <v>77.585000000000008</v>
      </c>
      <c r="CS13" s="945">
        <v>77.745000000000005</v>
      </c>
      <c r="CT13" s="945">
        <v>77.89</v>
      </c>
      <c r="CU13" s="945">
        <v>78.025000000000006</v>
      </c>
      <c r="CV13" s="945">
        <v>78.155000000000001</v>
      </c>
      <c r="CW13" s="945">
        <v>78.305000000000007</v>
      </c>
      <c r="CX13" s="945">
        <v>78.44</v>
      </c>
      <c r="CY13" s="945">
        <v>78.585000000000008</v>
      </c>
      <c r="CZ13" s="945">
        <v>78.72</v>
      </c>
      <c r="DA13" s="945">
        <v>78.849999999999994</v>
      </c>
      <c r="DB13" s="945">
        <v>78.990000000000009</v>
      </c>
      <c r="DC13" s="945">
        <v>79.115000000000009</v>
      </c>
      <c r="DD13" s="945">
        <v>79.25</v>
      </c>
      <c r="DE13" s="945">
        <v>79.38</v>
      </c>
      <c r="DF13" s="945">
        <v>79.509999999999991</v>
      </c>
      <c r="DG13" s="945">
        <v>79.634999999999991</v>
      </c>
      <c r="DH13" s="945">
        <v>79.765000000000001</v>
      </c>
      <c r="DI13" s="945">
        <v>79.89</v>
      </c>
      <c r="DJ13" s="945">
        <v>80.015000000000001</v>
      </c>
      <c r="DK13" s="945">
        <v>80.134999999999991</v>
      </c>
      <c r="DL13" s="945">
        <v>80.259999999999991</v>
      </c>
      <c r="DM13" s="945">
        <v>80.38</v>
      </c>
      <c r="DN13" s="945">
        <v>80.504999999999995</v>
      </c>
      <c r="DO13" s="945">
        <v>80.62</v>
      </c>
      <c r="DP13" s="945">
        <v>80.740000000000009</v>
      </c>
      <c r="DQ13" s="945">
        <v>80.85499999999999</v>
      </c>
      <c r="DR13" s="945">
        <v>80.97</v>
      </c>
    </row>
    <row r="14" spans="1:122" s="131" customFormat="1" ht="12.75">
      <c r="A14" s="949">
        <v>12</v>
      </c>
      <c r="B14" s="945">
        <v>56.350102728389082</v>
      </c>
      <c r="C14" s="945">
        <v>56.49591166988256</v>
      </c>
      <c r="D14" s="945">
        <v>56.77386445178319</v>
      </c>
      <c r="E14" s="945">
        <v>57.082001268694626</v>
      </c>
      <c r="F14" s="945">
        <v>57.501604348092535</v>
      </c>
      <c r="G14" s="945">
        <v>57.878828311482607</v>
      </c>
      <c r="H14" s="945">
        <v>58.2469953499645</v>
      </c>
      <c r="I14" s="945">
        <v>58.766157785745492</v>
      </c>
      <c r="J14" s="945">
        <v>59.138821758373965</v>
      </c>
      <c r="K14" s="945">
        <v>59.525696013491391</v>
      </c>
      <c r="L14" s="945">
        <v>59.882755021550736</v>
      </c>
      <c r="M14" s="945">
        <v>60.156465273654661</v>
      </c>
      <c r="N14" s="945">
        <v>60.459398005065317</v>
      </c>
      <c r="O14" s="945">
        <v>60.668932221502125</v>
      </c>
      <c r="P14" s="945">
        <v>60.983867671442361</v>
      </c>
      <c r="Q14" s="945">
        <v>61.155811878250518</v>
      </c>
      <c r="R14" s="945">
        <v>61.386679757042771</v>
      </c>
      <c r="S14" s="945">
        <v>61.552924270664406</v>
      </c>
      <c r="T14" s="945">
        <v>61.561821323137281</v>
      </c>
      <c r="U14" s="945">
        <v>61.812606314241101</v>
      </c>
      <c r="V14" s="945">
        <v>62.08</v>
      </c>
      <c r="W14" s="945">
        <v>62.32</v>
      </c>
      <c r="X14" s="945">
        <v>62.56</v>
      </c>
      <c r="Y14" s="945">
        <v>62.725000000000001</v>
      </c>
      <c r="Z14" s="945">
        <v>63.015000000000001</v>
      </c>
      <c r="AA14" s="945">
        <v>63.269999999999996</v>
      </c>
      <c r="AB14" s="945">
        <v>63.535000000000004</v>
      </c>
      <c r="AC14" s="945">
        <v>63.745000000000005</v>
      </c>
      <c r="AD14" s="945">
        <v>63.900000000000006</v>
      </c>
      <c r="AE14" s="945">
        <v>64.174999999999997</v>
      </c>
      <c r="AF14" s="945">
        <v>64.504999999999995</v>
      </c>
      <c r="AG14" s="945">
        <v>64.819999999999993</v>
      </c>
      <c r="AH14" s="945">
        <v>65.17</v>
      </c>
      <c r="AI14" s="945">
        <v>65.515000000000001</v>
      </c>
      <c r="AJ14" s="945">
        <v>65.94</v>
      </c>
      <c r="AK14" s="945">
        <v>66.27</v>
      </c>
      <c r="AL14" s="945">
        <v>66.66</v>
      </c>
      <c r="AM14" s="945">
        <v>67.009999999999991</v>
      </c>
      <c r="AN14" s="945">
        <v>67.245000000000005</v>
      </c>
      <c r="AO14" s="945">
        <v>67.430000000000007</v>
      </c>
      <c r="AP14" s="945">
        <v>67.62</v>
      </c>
      <c r="AQ14" s="945">
        <v>67.754999999999995</v>
      </c>
      <c r="AR14" s="945">
        <v>67.935000000000002</v>
      </c>
      <c r="AS14" s="945">
        <v>68.004999999999995</v>
      </c>
      <c r="AT14" s="945">
        <v>68.075000000000003</v>
      </c>
      <c r="AU14" s="945">
        <v>68.17</v>
      </c>
      <c r="AV14" s="945">
        <v>68.254999999999995</v>
      </c>
      <c r="AW14" s="945">
        <v>68.56</v>
      </c>
      <c r="AX14" s="945">
        <v>68.685000000000002</v>
      </c>
      <c r="AY14" s="945">
        <v>68.814999999999998</v>
      </c>
      <c r="AZ14" s="945">
        <v>68.89</v>
      </c>
      <c r="BA14" s="945">
        <v>68.984999999999999</v>
      </c>
      <c r="BB14" s="945">
        <v>69.13</v>
      </c>
      <c r="BC14" s="945">
        <v>69.254999999999995</v>
      </c>
      <c r="BD14" s="945">
        <v>69.42</v>
      </c>
      <c r="BE14" s="945">
        <v>69.569999999999993</v>
      </c>
      <c r="BF14" s="945">
        <v>69.78</v>
      </c>
      <c r="BG14" s="945">
        <v>69.944999999999993</v>
      </c>
      <c r="BH14" s="945">
        <v>70.204999999999998</v>
      </c>
      <c r="BI14" s="945">
        <v>70.384999999999991</v>
      </c>
      <c r="BJ14" s="945">
        <v>70.614999999999995</v>
      </c>
      <c r="BK14" s="945">
        <v>70.825000000000003</v>
      </c>
      <c r="BL14" s="945">
        <v>71.075000000000003</v>
      </c>
      <c r="BM14" s="945">
        <v>71.33</v>
      </c>
      <c r="BN14" s="945">
        <v>71.544999999999987</v>
      </c>
      <c r="BO14" s="945">
        <v>71.759999999999991</v>
      </c>
      <c r="BP14" s="945">
        <v>71.97999999999999</v>
      </c>
      <c r="BQ14" s="945">
        <v>72.17</v>
      </c>
      <c r="BR14" s="945">
        <v>72.364999999999995</v>
      </c>
      <c r="BS14" s="945">
        <v>72.56</v>
      </c>
      <c r="BT14" s="946">
        <v>72.745000000000005</v>
      </c>
      <c r="BU14" s="945">
        <v>72.884999999999991</v>
      </c>
      <c r="BV14" s="945">
        <v>73.075000000000003</v>
      </c>
      <c r="BW14" s="945">
        <v>73.245000000000005</v>
      </c>
      <c r="BX14" s="945">
        <v>73.42</v>
      </c>
      <c r="BY14" s="945">
        <v>73.575000000000003</v>
      </c>
      <c r="BZ14" s="945">
        <v>73.72999999999999</v>
      </c>
      <c r="CA14" s="945">
        <v>73.885000000000005</v>
      </c>
      <c r="CB14" s="945">
        <v>74.045000000000002</v>
      </c>
      <c r="CC14" s="945">
        <v>74.215000000000003</v>
      </c>
      <c r="CD14" s="945">
        <v>74.375</v>
      </c>
      <c r="CE14" s="945">
        <v>74.545000000000002</v>
      </c>
      <c r="CF14" s="945">
        <v>74.715000000000003</v>
      </c>
      <c r="CG14" s="945">
        <v>74.88</v>
      </c>
      <c r="CH14" s="945">
        <v>75.034999999999997</v>
      </c>
      <c r="CI14" s="945">
        <v>75.224999999999994</v>
      </c>
      <c r="CJ14" s="945">
        <v>75.37</v>
      </c>
      <c r="CK14" s="945">
        <v>75.525000000000006</v>
      </c>
      <c r="CL14" s="945">
        <v>75.694999999999993</v>
      </c>
      <c r="CM14" s="945">
        <v>75.849999999999994</v>
      </c>
      <c r="CN14" s="945">
        <v>76.015000000000001</v>
      </c>
      <c r="CO14" s="945">
        <v>76.155000000000001</v>
      </c>
      <c r="CP14" s="945">
        <v>76.31</v>
      </c>
      <c r="CQ14" s="945">
        <v>76.45</v>
      </c>
      <c r="CR14" s="945">
        <v>76.594999999999999</v>
      </c>
      <c r="CS14" s="945">
        <v>76.754999999999995</v>
      </c>
      <c r="CT14" s="945">
        <v>76.900000000000006</v>
      </c>
      <c r="CU14" s="945">
        <v>77.034999999999997</v>
      </c>
      <c r="CV14" s="945">
        <v>77.164999999999992</v>
      </c>
      <c r="CW14" s="945">
        <v>77.31</v>
      </c>
      <c r="CX14" s="945">
        <v>77.45</v>
      </c>
      <c r="CY14" s="945">
        <v>77.585000000000008</v>
      </c>
      <c r="CZ14" s="945">
        <v>77.72</v>
      </c>
      <c r="DA14" s="945">
        <v>77.86</v>
      </c>
      <c r="DB14" s="945">
        <v>77.995000000000005</v>
      </c>
      <c r="DC14" s="945">
        <v>78.125</v>
      </c>
      <c r="DD14" s="945">
        <v>78.254999999999995</v>
      </c>
      <c r="DE14" s="945">
        <v>78.389999999999986</v>
      </c>
      <c r="DF14" s="945">
        <v>78.515000000000001</v>
      </c>
      <c r="DG14" s="945">
        <v>78.64500000000001</v>
      </c>
      <c r="DH14" s="945">
        <v>78.77000000000001</v>
      </c>
      <c r="DI14" s="945">
        <v>78.900000000000006</v>
      </c>
      <c r="DJ14" s="945">
        <v>79.02000000000001</v>
      </c>
      <c r="DK14" s="945">
        <v>79.144999999999996</v>
      </c>
      <c r="DL14" s="945">
        <v>79.264999999999986</v>
      </c>
      <c r="DM14" s="945">
        <v>79.39</v>
      </c>
      <c r="DN14" s="945">
        <v>79.504999999999995</v>
      </c>
      <c r="DO14" s="945">
        <v>79.625</v>
      </c>
      <c r="DP14" s="945">
        <v>79.745000000000005</v>
      </c>
      <c r="DQ14" s="945">
        <v>79.865000000000009</v>
      </c>
      <c r="DR14" s="945">
        <v>79.97999999999999</v>
      </c>
    </row>
    <row r="15" spans="1:122" s="131" customFormat="1" ht="12.75">
      <c r="A15" s="949">
        <v>13</v>
      </c>
      <c r="B15" s="945">
        <v>55.4610514904779</v>
      </c>
      <c r="C15" s="945">
        <v>55.605344553043452</v>
      </c>
      <c r="D15" s="945">
        <v>55.890947290230457</v>
      </c>
      <c r="E15" s="945">
        <v>56.219256981844623</v>
      </c>
      <c r="F15" s="945">
        <v>56.649469817966498</v>
      </c>
      <c r="G15" s="945">
        <v>57.0532171724942</v>
      </c>
      <c r="H15" s="945">
        <v>57.506341115653974</v>
      </c>
      <c r="I15" s="945">
        <v>57.930108131950618</v>
      </c>
      <c r="J15" s="945">
        <v>58.273846326671773</v>
      </c>
      <c r="K15" s="945">
        <v>58.634846941808149</v>
      </c>
      <c r="L15" s="945">
        <v>58.983791586167285</v>
      </c>
      <c r="M15" s="945">
        <v>59.261105005789233</v>
      </c>
      <c r="N15" s="945">
        <v>59.536469409460175</v>
      </c>
      <c r="O15" s="945">
        <v>59.746273208372912</v>
      </c>
      <c r="P15" s="945">
        <v>60.061613771864288</v>
      </c>
      <c r="Q15" s="945">
        <v>60.234715721190156</v>
      </c>
      <c r="R15" s="945">
        <v>60.465579236310504</v>
      </c>
      <c r="S15" s="945">
        <v>60.635247211264314</v>
      </c>
      <c r="T15" s="945">
        <v>60.638041829678613</v>
      </c>
      <c r="U15" s="945">
        <v>60.883000464882095</v>
      </c>
      <c r="V15" s="945">
        <v>61.144999999999996</v>
      </c>
      <c r="W15" s="945">
        <v>61.384999999999998</v>
      </c>
      <c r="X15" s="945">
        <v>61.629999999999995</v>
      </c>
      <c r="Y15" s="945">
        <v>61.81</v>
      </c>
      <c r="Z15" s="945">
        <v>62.105000000000004</v>
      </c>
      <c r="AA15" s="945">
        <v>62.350000000000009</v>
      </c>
      <c r="AB15" s="945">
        <v>62.61</v>
      </c>
      <c r="AC15" s="945">
        <v>62.83</v>
      </c>
      <c r="AD15" s="945">
        <v>62.980000000000004</v>
      </c>
      <c r="AE15" s="945">
        <v>63.254999999999995</v>
      </c>
      <c r="AF15" s="945">
        <v>63.59</v>
      </c>
      <c r="AG15" s="945">
        <v>63.915000000000006</v>
      </c>
      <c r="AH15" s="945">
        <v>64.275000000000006</v>
      </c>
      <c r="AI15" s="945">
        <v>64.64500000000001</v>
      </c>
      <c r="AJ15" s="945">
        <v>65.009999999999991</v>
      </c>
      <c r="AK15" s="945">
        <v>65.344999999999999</v>
      </c>
      <c r="AL15" s="945">
        <v>65.715000000000003</v>
      </c>
      <c r="AM15" s="945">
        <v>66.05</v>
      </c>
      <c r="AN15" s="945">
        <v>66.284999999999997</v>
      </c>
      <c r="AO15" s="945">
        <v>66.465000000000003</v>
      </c>
      <c r="AP15" s="945">
        <v>66.644999999999996</v>
      </c>
      <c r="AQ15" s="945">
        <v>66.784999999999997</v>
      </c>
      <c r="AR15" s="945">
        <v>66.959999999999994</v>
      </c>
      <c r="AS15" s="945">
        <v>67.03</v>
      </c>
      <c r="AT15" s="945">
        <v>67.105000000000004</v>
      </c>
      <c r="AU15" s="945">
        <v>67.194999999999993</v>
      </c>
      <c r="AV15" s="945">
        <v>67.28</v>
      </c>
      <c r="AW15" s="945">
        <v>67.585000000000008</v>
      </c>
      <c r="AX15" s="945">
        <v>67.704999999999998</v>
      </c>
      <c r="AY15" s="945">
        <v>67.84</v>
      </c>
      <c r="AZ15" s="945">
        <v>67.914999999999992</v>
      </c>
      <c r="BA15" s="945">
        <v>68.015000000000001</v>
      </c>
      <c r="BB15" s="945">
        <v>68.155000000000001</v>
      </c>
      <c r="BC15" s="945">
        <v>68.28</v>
      </c>
      <c r="BD15" s="945">
        <v>68.444999999999993</v>
      </c>
      <c r="BE15" s="945">
        <v>68.594999999999999</v>
      </c>
      <c r="BF15" s="945">
        <v>68.805000000000007</v>
      </c>
      <c r="BG15" s="945">
        <v>68.97</v>
      </c>
      <c r="BH15" s="945">
        <v>69.234999999999999</v>
      </c>
      <c r="BI15" s="945">
        <v>69.41</v>
      </c>
      <c r="BJ15" s="945">
        <v>69.64</v>
      </c>
      <c r="BK15" s="945">
        <v>69.844999999999999</v>
      </c>
      <c r="BL15" s="945">
        <v>70.099999999999994</v>
      </c>
      <c r="BM15" s="945">
        <v>70.349999999999994</v>
      </c>
      <c r="BN15" s="945">
        <v>70.564999999999998</v>
      </c>
      <c r="BO15" s="945">
        <v>70.78</v>
      </c>
      <c r="BP15" s="945">
        <v>70.995000000000005</v>
      </c>
      <c r="BQ15" s="945">
        <v>71.19</v>
      </c>
      <c r="BR15" s="945">
        <v>71.385000000000005</v>
      </c>
      <c r="BS15" s="945">
        <v>71.575000000000003</v>
      </c>
      <c r="BT15" s="946">
        <v>71.765000000000001</v>
      </c>
      <c r="BU15" s="945">
        <v>71.905000000000001</v>
      </c>
      <c r="BV15" s="945">
        <v>72.085000000000008</v>
      </c>
      <c r="BW15" s="945">
        <v>72.259999999999991</v>
      </c>
      <c r="BX15" s="945">
        <v>72.430000000000007</v>
      </c>
      <c r="BY15" s="945">
        <v>72.585000000000008</v>
      </c>
      <c r="BZ15" s="945">
        <v>72.745000000000005</v>
      </c>
      <c r="CA15" s="945">
        <v>72.894999999999996</v>
      </c>
      <c r="CB15" s="945">
        <v>73.06</v>
      </c>
      <c r="CC15" s="945">
        <v>73.23</v>
      </c>
      <c r="CD15" s="945">
        <v>73.384999999999991</v>
      </c>
      <c r="CE15" s="945">
        <v>73.555000000000007</v>
      </c>
      <c r="CF15" s="945">
        <v>73.724999999999994</v>
      </c>
      <c r="CG15" s="945">
        <v>73.889999999999986</v>
      </c>
      <c r="CH15" s="945">
        <v>74.044999999999987</v>
      </c>
      <c r="CI15" s="945">
        <v>74.234999999999999</v>
      </c>
      <c r="CJ15" s="945">
        <v>74.38</v>
      </c>
      <c r="CK15" s="945">
        <v>74.539999999999992</v>
      </c>
      <c r="CL15" s="945">
        <v>74.7</v>
      </c>
      <c r="CM15" s="945">
        <v>74.865000000000009</v>
      </c>
      <c r="CN15" s="945">
        <v>75.02000000000001</v>
      </c>
      <c r="CO15" s="945">
        <v>75.165000000000006</v>
      </c>
      <c r="CP15" s="945">
        <v>75.319999999999993</v>
      </c>
      <c r="CQ15" s="945">
        <v>75.454999999999998</v>
      </c>
      <c r="CR15" s="945">
        <v>75.605000000000004</v>
      </c>
      <c r="CS15" s="945">
        <v>75.754999999999995</v>
      </c>
      <c r="CT15" s="945">
        <v>75.905000000000001</v>
      </c>
      <c r="CU15" s="945">
        <v>76.034999999999997</v>
      </c>
      <c r="CV15" s="945">
        <v>76.174999999999997</v>
      </c>
      <c r="CW15" s="945">
        <v>76.314999999999998</v>
      </c>
      <c r="CX15" s="945">
        <v>76.455000000000013</v>
      </c>
      <c r="CY15" s="945">
        <v>76.594999999999999</v>
      </c>
      <c r="CZ15" s="945">
        <v>76.72999999999999</v>
      </c>
      <c r="DA15" s="945">
        <v>76.86</v>
      </c>
      <c r="DB15" s="945">
        <v>77</v>
      </c>
      <c r="DC15" s="945">
        <v>77.13</v>
      </c>
      <c r="DD15" s="945">
        <v>77.259999999999991</v>
      </c>
      <c r="DE15" s="945">
        <v>77.389999999999986</v>
      </c>
      <c r="DF15" s="945">
        <v>77.52000000000001</v>
      </c>
      <c r="DG15" s="945">
        <v>77.650000000000006</v>
      </c>
      <c r="DH15" s="945">
        <v>77.775000000000006</v>
      </c>
      <c r="DI15" s="945">
        <v>77.900000000000006</v>
      </c>
      <c r="DJ15" s="945">
        <v>78.03</v>
      </c>
      <c r="DK15" s="945">
        <v>78.150000000000006</v>
      </c>
      <c r="DL15" s="945">
        <v>78.275000000000006</v>
      </c>
      <c r="DM15" s="945">
        <v>78.39</v>
      </c>
      <c r="DN15" s="945">
        <v>78.515000000000001</v>
      </c>
      <c r="DO15" s="945">
        <v>78.634999999999991</v>
      </c>
      <c r="DP15" s="945">
        <v>78.75</v>
      </c>
      <c r="DQ15" s="945">
        <v>78.865000000000009</v>
      </c>
      <c r="DR15" s="945">
        <v>78.97999999999999</v>
      </c>
    </row>
    <row r="16" spans="1:122" s="131" customFormat="1" ht="12.75">
      <c r="A16" s="949">
        <v>14</v>
      </c>
      <c r="B16" s="945">
        <v>54.576538248641796</v>
      </c>
      <c r="C16" s="945">
        <v>54.728898481423911</v>
      </c>
      <c r="D16" s="945">
        <v>55.034118098454542</v>
      </c>
      <c r="E16" s="945">
        <v>55.373446119267633</v>
      </c>
      <c r="F16" s="945">
        <v>55.834736884202194</v>
      </c>
      <c r="G16" s="945">
        <v>56.338046192868767</v>
      </c>
      <c r="H16" s="945">
        <v>56.683426268411594</v>
      </c>
      <c r="I16" s="945">
        <v>57.076851151206611</v>
      </c>
      <c r="J16" s="945">
        <v>57.389472546964313</v>
      </c>
      <c r="K16" s="945">
        <v>57.742722293563389</v>
      </c>
      <c r="L16" s="945">
        <v>58.095711913688291</v>
      </c>
      <c r="M16" s="945">
        <v>58.343455895305894</v>
      </c>
      <c r="N16" s="945">
        <v>58.619206078054972</v>
      </c>
      <c r="O16" s="945">
        <v>58.829304007919646</v>
      </c>
      <c r="P16" s="945">
        <v>59.146111237981508</v>
      </c>
      <c r="Q16" s="945">
        <v>59.316688588262593</v>
      </c>
      <c r="R16" s="945">
        <v>59.551249699041676</v>
      </c>
      <c r="S16" s="945">
        <v>59.712485088281348</v>
      </c>
      <c r="T16" s="945">
        <v>59.709084497728568</v>
      </c>
      <c r="U16" s="945">
        <v>59.949563560180906</v>
      </c>
      <c r="V16" s="945">
        <v>60.215000000000003</v>
      </c>
      <c r="W16" s="945">
        <v>60.45</v>
      </c>
      <c r="X16" s="945">
        <v>60.725000000000001</v>
      </c>
      <c r="Y16" s="945">
        <v>60.905000000000001</v>
      </c>
      <c r="Z16" s="945">
        <v>61.185000000000002</v>
      </c>
      <c r="AA16" s="945">
        <v>61.430000000000007</v>
      </c>
      <c r="AB16" s="945">
        <v>61.7</v>
      </c>
      <c r="AC16" s="945">
        <v>61.91</v>
      </c>
      <c r="AD16" s="945">
        <v>62.06</v>
      </c>
      <c r="AE16" s="945">
        <v>62.344999999999999</v>
      </c>
      <c r="AF16" s="945">
        <v>62.68</v>
      </c>
      <c r="AG16" s="945">
        <v>63.019999999999996</v>
      </c>
      <c r="AH16" s="945">
        <v>63.405000000000001</v>
      </c>
      <c r="AI16" s="945">
        <v>63.715000000000003</v>
      </c>
      <c r="AJ16" s="945">
        <v>64.085000000000008</v>
      </c>
      <c r="AK16" s="945">
        <v>64.400000000000006</v>
      </c>
      <c r="AL16" s="945">
        <v>64.759999999999991</v>
      </c>
      <c r="AM16" s="945">
        <v>65.09</v>
      </c>
      <c r="AN16" s="945">
        <v>65.33</v>
      </c>
      <c r="AO16" s="945">
        <v>65.5</v>
      </c>
      <c r="AP16" s="945">
        <v>65.680000000000007</v>
      </c>
      <c r="AQ16" s="945">
        <v>65.814999999999998</v>
      </c>
      <c r="AR16" s="945">
        <v>65.995000000000005</v>
      </c>
      <c r="AS16" s="945">
        <v>66.064999999999998</v>
      </c>
      <c r="AT16" s="945">
        <v>66.135000000000005</v>
      </c>
      <c r="AU16" s="945">
        <v>66.22</v>
      </c>
      <c r="AV16" s="945">
        <v>66.305000000000007</v>
      </c>
      <c r="AW16" s="945">
        <v>66.61</v>
      </c>
      <c r="AX16" s="945">
        <v>66.734999999999999</v>
      </c>
      <c r="AY16" s="945">
        <v>66.865000000000009</v>
      </c>
      <c r="AZ16" s="945">
        <v>66.94</v>
      </c>
      <c r="BA16" s="945">
        <v>67.039999999999992</v>
      </c>
      <c r="BB16" s="945">
        <v>67.185000000000002</v>
      </c>
      <c r="BC16" s="945">
        <v>67.31</v>
      </c>
      <c r="BD16" s="945">
        <v>67.47</v>
      </c>
      <c r="BE16" s="945">
        <v>67.62</v>
      </c>
      <c r="BF16" s="945">
        <v>67.83</v>
      </c>
      <c r="BG16" s="945">
        <v>68</v>
      </c>
      <c r="BH16" s="945">
        <v>68.259999999999991</v>
      </c>
      <c r="BI16" s="945">
        <v>68.435000000000002</v>
      </c>
      <c r="BJ16" s="945">
        <v>68.664999999999992</v>
      </c>
      <c r="BK16" s="945">
        <v>68.865000000000009</v>
      </c>
      <c r="BL16" s="945">
        <v>69.12</v>
      </c>
      <c r="BM16" s="945">
        <v>69.375</v>
      </c>
      <c r="BN16" s="945">
        <v>69.585000000000008</v>
      </c>
      <c r="BO16" s="945">
        <v>69.8</v>
      </c>
      <c r="BP16" s="945">
        <v>70.015000000000001</v>
      </c>
      <c r="BQ16" s="945">
        <v>70.210000000000008</v>
      </c>
      <c r="BR16" s="945">
        <v>70.400000000000006</v>
      </c>
      <c r="BS16" s="945">
        <v>70.594999999999999</v>
      </c>
      <c r="BT16" s="946">
        <v>70.78</v>
      </c>
      <c r="BU16" s="945">
        <v>70.92</v>
      </c>
      <c r="BV16" s="945">
        <v>71.099999999999994</v>
      </c>
      <c r="BW16" s="945">
        <v>71.275000000000006</v>
      </c>
      <c r="BX16" s="945">
        <v>71.444999999999993</v>
      </c>
      <c r="BY16" s="945">
        <v>71.599999999999994</v>
      </c>
      <c r="BZ16" s="945">
        <v>71.754999999999995</v>
      </c>
      <c r="CA16" s="945">
        <v>71.91</v>
      </c>
      <c r="CB16" s="945">
        <v>72.069999999999993</v>
      </c>
      <c r="CC16" s="945">
        <v>72.240000000000009</v>
      </c>
      <c r="CD16" s="945">
        <v>72.405000000000001</v>
      </c>
      <c r="CE16" s="945">
        <v>72.569999999999993</v>
      </c>
      <c r="CF16" s="945">
        <v>72.734999999999999</v>
      </c>
      <c r="CG16" s="945">
        <v>72.894999999999996</v>
      </c>
      <c r="CH16" s="945">
        <v>73.06</v>
      </c>
      <c r="CI16" s="945">
        <v>73.240000000000009</v>
      </c>
      <c r="CJ16" s="945">
        <v>73.39</v>
      </c>
      <c r="CK16" s="945">
        <v>73.545000000000002</v>
      </c>
      <c r="CL16" s="945">
        <v>73.715000000000003</v>
      </c>
      <c r="CM16" s="945">
        <v>73.875</v>
      </c>
      <c r="CN16" s="945">
        <v>74.025000000000006</v>
      </c>
      <c r="CO16" s="945">
        <v>74.17</v>
      </c>
      <c r="CP16" s="945">
        <v>74.330000000000013</v>
      </c>
      <c r="CQ16" s="945">
        <v>74.465000000000003</v>
      </c>
      <c r="CR16" s="945">
        <v>74.610000000000014</v>
      </c>
      <c r="CS16" s="945">
        <v>74.765000000000001</v>
      </c>
      <c r="CT16" s="945">
        <v>74.91</v>
      </c>
      <c r="CU16" s="945">
        <v>75.045000000000002</v>
      </c>
      <c r="CV16" s="945">
        <v>75.185000000000002</v>
      </c>
      <c r="CW16" s="945">
        <v>75.325000000000003</v>
      </c>
      <c r="CX16" s="945">
        <v>75.460000000000008</v>
      </c>
      <c r="CY16" s="945">
        <v>75.599999999999994</v>
      </c>
      <c r="CZ16" s="945">
        <v>75.740000000000009</v>
      </c>
      <c r="DA16" s="945">
        <v>75.87</v>
      </c>
      <c r="DB16" s="945">
        <v>76.004999999999995</v>
      </c>
      <c r="DC16" s="945">
        <v>76.134999999999991</v>
      </c>
      <c r="DD16" s="945">
        <v>76.27</v>
      </c>
      <c r="DE16" s="945">
        <v>76.400000000000006</v>
      </c>
      <c r="DF16" s="945">
        <v>76.53</v>
      </c>
      <c r="DG16" s="945">
        <v>76.655000000000001</v>
      </c>
      <c r="DH16" s="945">
        <v>76.784999999999997</v>
      </c>
      <c r="DI16" s="945">
        <v>76.91</v>
      </c>
      <c r="DJ16" s="945">
        <v>77.03</v>
      </c>
      <c r="DK16" s="945">
        <v>77.155000000000001</v>
      </c>
      <c r="DL16" s="945">
        <v>77.275000000000006</v>
      </c>
      <c r="DM16" s="945">
        <v>77.400000000000006</v>
      </c>
      <c r="DN16" s="945">
        <v>77.52000000000001</v>
      </c>
      <c r="DO16" s="945">
        <v>77.634999999999991</v>
      </c>
      <c r="DP16" s="945">
        <v>77.75</v>
      </c>
      <c r="DQ16" s="945">
        <v>77.87</v>
      </c>
      <c r="DR16" s="945">
        <v>77.984999999999999</v>
      </c>
    </row>
    <row r="17" spans="1:122" s="131" customFormat="1" ht="12.75">
      <c r="A17" s="949">
        <v>15</v>
      </c>
      <c r="B17" s="945">
        <v>53.711800095348593</v>
      </c>
      <c r="C17" s="945">
        <v>53.883709622666998</v>
      </c>
      <c r="D17" s="945">
        <v>54.200875504220235</v>
      </c>
      <c r="E17" s="945">
        <v>54.576534873817089</v>
      </c>
      <c r="F17" s="945">
        <v>55.154563969228718</v>
      </c>
      <c r="G17" s="945">
        <v>55.534742304493108</v>
      </c>
      <c r="H17" s="945">
        <v>55.847315151984645</v>
      </c>
      <c r="I17" s="945">
        <v>56.205664413518726</v>
      </c>
      <c r="J17" s="945">
        <v>56.510051095733509</v>
      </c>
      <c r="K17" s="945">
        <v>56.867810062013746</v>
      </c>
      <c r="L17" s="945">
        <v>57.187922859816041</v>
      </c>
      <c r="M17" s="945">
        <v>57.436063659192008</v>
      </c>
      <c r="N17" s="945">
        <v>57.712254933391911</v>
      </c>
      <c r="O17" s="945">
        <v>57.923816621015902</v>
      </c>
      <c r="P17" s="945">
        <v>58.23671823386276</v>
      </c>
      <c r="Q17" s="945">
        <v>58.411272640719694</v>
      </c>
      <c r="R17" s="945">
        <v>58.635331232407957</v>
      </c>
      <c r="S17" s="945">
        <v>58.790028463536004</v>
      </c>
      <c r="T17" s="945">
        <v>58.781441727269929</v>
      </c>
      <c r="U17" s="945">
        <v>59.022213548780613</v>
      </c>
      <c r="V17" s="945">
        <v>59.284999999999997</v>
      </c>
      <c r="W17" s="945">
        <v>59.55</v>
      </c>
      <c r="X17" s="945">
        <v>59.82</v>
      </c>
      <c r="Y17" s="945">
        <v>59.994999999999997</v>
      </c>
      <c r="Z17" s="945">
        <v>60.269999999999996</v>
      </c>
      <c r="AA17" s="945">
        <v>60.515000000000001</v>
      </c>
      <c r="AB17" s="945">
        <v>60.784999999999997</v>
      </c>
      <c r="AC17" s="945">
        <v>61</v>
      </c>
      <c r="AD17" s="945">
        <v>61.155000000000001</v>
      </c>
      <c r="AE17" s="945">
        <v>61.445000000000007</v>
      </c>
      <c r="AF17" s="945">
        <v>61.795000000000002</v>
      </c>
      <c r="AG17" s="945">
        <v>62.155000000000001</v>
      </c>
      <c r="AH17" s="945">
        <v>62.484999999999999</v>
      </c>
      <c r="AI17" s="945">
        <v>62.795000000000002</v>
      </c>
      <c r="AJ17" s="945">
        <v>63.150000000000006</v>
      </c>
      <c r="AK17" s="945">
        <v>63.45</v>
      </c>
      <c r="AL17" s="945">
        <v>63.805000000000007</v>
      </c>
      <c r="AM17" s="945">
        <v>64.14</v>
      </c>
      <c r="AN17" s="945">
        <v>64.364999999999995</v>
      </c>
      <c r="AO17" s="945">
        <v>64.534999999999997</v>
      </c>
      <c r="AP17" s="945">
        <v>64.715000000000003</v>
      </c>
      <c r="AQ17" s="945">
        <v>64.844999999999999</v>
      </c>
      <c r="AR17" s="945">
        <v>65.025000000000006</v>
      </c>
      <c r="AS17" s="945">
        <v>65.099999999999994</v>
      </c>
      <c r="AT17" s="945">
        <v>65.17</v>
      </c>
      <c r="AU17" s="945">
        <v>65.254999999999995</v>
      </c>
      <c r="AV17" s="945">
        <v>65.335000000000008</v>
      </c>
      <c r="AW17" s="945">
        <v>65.64</v>
      </c>
      <c r="AX17" s="945">
        <v>65.765000000000001</v>
      </c>
      <c r="AY17" s="945">
        <v>65.894999999999996</v>
      </c>
      <c r="AZ17" s="945">
        <v>65.97</v>
      </c>
      <c r="BA17" s="945">
        <v>66.064999999999998</v>
      </c>
      <c r="BB17" s="945">
        <v>66.215000000000003</v>
      </c>
      <c r="BC17" s="945">
        <v>66.34</v>
      </c>
      <c r="BD17" s="945">
        <v>66.5</v>
      </c>
      <c r="BE17" s="945">
        <v>66.655000000000001</v>
      </c>
      <c r="BF17" s="945">
        <v>66.86</v>
      </c>
      <c r="BG17" s="945">
        <v>67.025000000000006</v>
      </c>
      <c r="BH17" s="945">
        <v>67.284999999999997</v>
      </c>
      <c r="BI17" s="945">
        <v>67.460000000000008</v>
      </c>
      <c r="BJ17" s="945">
        <v>67.69</v>
      </c>
      <c r="BK17" s="945">
        <v>67.894999999999996</v>
      </c>
      <c r="BL17" s="945">
        <v>68.14500000000001</v>
      </c>
      <c r="BM17" s="945">
        <v>68.400000000000006</v>
      </c>
      <c r="BN17" s="945">
        <v>68.610000000000014</v>
      </c>
      <c r="BO17" s="945">
        <v>68.824999999999989</v>
      </c>
      <c r="BP17" s="945">
        <v>69.040000000000006</v>
      </c>
      <c r="BQ17" s="945">
        <v>69.23</v>
      </c>
      <c r="BR17" s="945">
        <v>69.424999999999997</v>
      </c>
      <c r="BS17" s="945">
        <v>69.615000000000009</v>
      </c>
      <c r="BT17" s="946">
        <v>69.795000000000002</v>
      </c>
      <c r="BU17" s="945">
        <v>69.94</v>
      </c>
      <c r="BV17" s="945">
        <v>70.114999999999995</v>
      </c>
      <c r="BW17" s="945">
        <v>70.289999999999992</v>
      </c>
      <c r="BX17" s="945">
        <v>70.460000000000008</v>
      </c>
      <c r="BY17" s="945">
        <v>70.615000000000009</v>
      </c>
      <c r="BZ17" s="945">
        <v>70.775000000000006</v>
      </c>
      <c r="CA17" s="945">
        <v>70.92</v>
      </c>
      <c r="CB17" s="945">
        <v>71.085000000000008</v>
      </c>
      <c r="CC17" s="945">
        <v>71.254999999999995</v>
      </c>
      <c r="CD17" s="945">
        <v>71.414999999999992</v>
      </c>
      <c r="CE17" s="945">
        <v>71.58</v>
      </c>
      <c r="CF17" s="945">
        <v>71.75</v>
      </c>
      <c r="CG17" s="945">
        <v>71.91</v>
      </c>
      <c r="CH17" s="945">
        <v>72.069999999999993</v>
      </c>
      <c r="CI17" s="945">
        <v>72.259999999999991</v>
      </c>
      <c r="CJ17" s="945">
        <v>72.400000000000006</v>
      </c>
      <c r="CK17" s="945">
        <v>72.555000000000007</v>
      </c>
      <c r="CL17" s="945">
        <v>72.724999999999994</v>
      </c>
      <c r="CM17" s="945">
        <v>72.884999999999991</v>
      </c>
      <c r="CN17" s="945">
        <v>73.034999999999997</v>
      </c>
      <c r="CO17" s="945">
        <v>73.185000000000002</v>
      </c>
      <c r="CP17" s="945">
        <v>73.34</v>
      </c>
      <c r="CQ17" s="945">
        <v>73.474999999999994</v>
      </c>
      <c r="CR17" s="945">
        <v>73.62</v>
      </c>
      <c r="CS17" s="945">
        <v>73.775000000000006</v>
      </c>
      <c r="CT17" s="945">
        <v>73.92</v>
      </c>
      <c r="CU17" s="945">
        <v>74.05</v>
      </c>
      <c r="CV17" s="945">
        <v>74.19</v>
      </c>
      <c r="CW17" s="945">
        <v>74.33</v>
      </c>
      <c r="CX17" s="945">
        <v>74.47</v>
      </c>
      <c r="CY17" s="945">
        <v>74.60499999999999</v>
      </c>
      <c r="CZ17" s="945">
        <v>74.745000000000005</v>
      </c>
      <c r="DA17" s="945">
        <v>74.88</v>
      </c>
      <c r="DB17" s="945">
        <v>75.015000000000001</v>
      </c>
      <c r="DC17" s="945">
        <v>75.14500000000001</v>
      </c>
      <c r="DD17" s="945">
        <v>75.275000000000006</v>
      </c>
      <c r="DE17" s="945">
        <v>75.405000000000001</v>
      </c>
      <c r="DF17" s="945">
        <v>75.539999999999992</v>
      </c>
      <c r="DG17" s="945">
        <v>75.66</v>
      </c>
      <c r="DH17" s="945">
        <v>75.789999999999992</v>
      </c>
      <c r="DI17" s="945">
        <v>75.914999999999992</v>
      </c>
      <c r="DJ17" s="945">
        <v>76.039999999999992</v>
      </c>
      <c r="DK17" s="945">
        <v>76.16</v>
      </c>
      <c r="DL17" s="945">
        <v>76.284999999999997</v>
      </c>
      <c r="DM17" s="945">
        <v>76.405000000000001</v>
      </c>
      <c r="DN17" s="945">
        <v>76.525000000000006</v>
      </c>
      <c r="DO17" s="945">
        <v>76.64500000000001</v>
      </c>
      <c r="DP17" s="945">
        <v>76.759999999999991</v>
      </c>
      <c r="DQ17" s="945">
        <v>76.875</v>
      </c>
      <c r="DR17" s="945">
        <v>76.990000000000009</v>
      </c>
    </row>
    <row r="18" spans="1:122" s="131" customFormat="1" ht="12.75">
      <c r="A18" s="949">
        <v>16</v>
      </c>
      <c r="B18" s="945">
        <v>52.880565006210034</v>
      </c>
      <c r="C18" s="945">
        <v>53.065099207883947</v>
      </c>
      <c r="D18" s="945">
        <v>53.424379266729076</v>
      </c>
      <c r="E18" s="945">
        <v>53.933865619254824</v>
      </c>
      <c r="F18" s="945">
        <v>54.372704778251673</v>
      </c>
      <c r="G18" s="945">
        <v>54.717734249332153</v>
      </c>
      <c r="H18" s="945">
        <v>54.992321342785246</v>
      </c>
      <c r="I18" s="945">
        <v>55.343919384022783</v>
      </c>
      <c r="J18" s="945">
        <v>55.653309306758693</v>
      </c>
      <c r="K18" s="945">
        <v>55.973504732188445</v>
      </c>
      <c r="L18" s="945">
        <v>56.294217476806089</v>
      </c>
      <c r="M18" s="945">
        <v>56.542823963925059</v>
      </c>
      <c r="N18" s="945">
        <v>56.820795835283803</v>
      </c>
      <c r="O18" s="945">
        <v>57.027719408307384</v>
      </c>
      <c r="P18" s="945">
        <v>57.345374059717685</v>
      </c>
      <c r="Q18" s="945">
        <v>57.507669273845011</v>
      </c>
      <c r="R18" s="945">
        <v>57.724339344142507</v>
      </c>
      <c r="S18" s="945">
        <v>57.873378223875079</v>
      </c>
      <c r="T18" s="945">
        <v>57.864778680838327</v>
      </c>
      <c r="U18" s="945">
        <v>58.105893028293764</v>
      </c>
      <c r="V18" s="945">
        <v>58.384999999999998</v>
      </c>
      <c r="W18" s="945">
        <v>58.65</v>
      </c>
      <c r="X18" s="945">
        <v>58.915000000000006</v>
      </c>
      <c r="Y18" s="945">
        <v>59.09</v>
      </c>
      <c r="Z18" s="945">
        <v>59.365000000000002</v>
      </c>
      <c r="AA18" s="945">
        <v>59.614999999999995</v>
      </c>
      <c r="AB18" s="945">
        <v>59.885000000000005</v>
      </c>
      <c r="AC18" s="945">
        <v>60.1</v>
      </c>
      <c r="AD18" s="945">
        <v>60.265000000000001</v>
      </c>
      <c r="AE18" s="945">
        <v>60.564999999999998</v>
      </c>
      <c r="AF18" s="945">
        <v>60.95</v>
      </c>
      <c r="AG18" s="945">
        <v>61.254999999999995</v>
      </c>
      <c r="AH18" s="945">
        <v>61.58</v>
      </c>
      <c r="AI18" s="945">
        <v>61.87</v>
      </c>
      <c r="AJ18" s="945">
        <v>62.2</v>
      </c>
      <c r="AK18" s="945">
        <v>62.5</v>
      </c>
      <c r="AL18" s="945">
        <v>62.86</v>
      </c>
      <c r="AM18" s="945">
        <v>63.18</v>
      </c>
      <c r="AN18" s="945">
        <v>63.405000000000001</v>
      </c>
      <c r="AO18" s="945">
        <v>63.575000000000003</v>
      </c>
      <c r="AP18" s="945">
        <v>63.754999999999995</v>
      </c>
      <c r="AQ18" s="945">
        <v>63.89</v>
      </c>
      <c r="AR18" s="945">
        <v>64.064999999999998</v>
      </c>
      <c r="AS18" s="945">
        <v>64.135000000000005</v>
      </c>
      <c r="AT18" s="945">
        <v>64.204999999999998</v>
      </c>
      <c r="AU18" s="945">
        <v>64.290000000000006</v>
      </c>
      <c r="AV18" s="945">
        <v>64.37</v>
      </c>
      <c r="AW18" s="945">
        <v>64.680000000000007</v>
      </c>
      <c r="AX18" s="945">
        <v>64.800000000000011</v>
      </c>
      <c r="AY18" s="945">
        <v>64.924999999999997</v>
      </c>
      <c r="AZ18" s="945">
        <v>65.004999999999995</v>
      </c>
      <c r="BA18" s="945">
        <v>65.099999999999994</v>
      </c>
      <c r="BB18" s="945">
        <v>65.25</v>
      </c>
      <c r="BC18" s="945">
        <v>65.375</v>
      </c>
      <c r="BD18" s="945">
        <v>65.539999999999992</v>
      </c>
      <c r="BE18" s="945">
        <v>65.694999999999993</v>
      </c>
      <c r="BF18" s="945">
        <v>65.89500000000001</v>
      </c>
      <c r="BG18" s="945">
        <v>66.064999999999998</v>
      </c>
      <c r="BH18" s="945">
        <v>66.320000000000007</v>
      </c>
      <c r="BI18" s="945">
        <v>66.5</v>
      </c>
      <c r="BJ18" s="945">
        <v>66.724999999999994</v>
      </c>
      <c r="BK18" s="945">
        <v>66.930000000000007</v>
      </c>
      <c r="BL18" s="945">
        <v>67.180000000000007</v>
      </c>
      <c r="BM18" s="945">
        <v>67.430000000000007</v>
      </c>
      <c r="BN18" s="945">
        <v>67.639999999999986</v>
      </c>
      <c r="BO18" s="945">
        <v>67.849999999999994</v>
      </c>
      <c r="BP18" s="945">
        <v>68.069999999999993</v>
      </c>
      <c r="BQ18" s="945">
        <v>68.254999999999995</v>
      </c>
      <c r="BR18" s="945">
        <v>68.45</v>
      </c>
      <c r="BS18" s="945">
        <v>68.634999999999991</v>
      </c>
      <c r="BT18" s="946">
        <v>68.819999999999993</v>
      </c>
      <c r="BU18" s="945">
        <v>68.960000000000008</v>
      </c>
      <c r="BV18" s="945">
        <v>69.14</v>
      </c>
      <c r="BW18" s="945">
        <v>69.314999999999998</v>
      </c>
      <c r="BX18" s="945">
        <v>69.47999999999999</v>
      </c>
      <c r="BY18" s="945">
        <v>69.64</v>
      </c>
      <c r="BZ18" s="945">
        <v>69.8</v>
      </c>
      <c r="CA18" s="945">
        <v>69.94</v>
      </c>
      <c r="CB18" s="945">
        <v>70.11</v>
      </c>
      <c r="CC18" s="945">
        <v>70.275000000000006</v>
      </c>
      <c r="CD18" s="945">
        <v>70.44</v>
      </c>
      <c r="CE18" s="945">
        <v>70.594999999999999</v>
      </c>
      <c r="CF18" s="945">
        <v>70.765000000000001</v>
      </c>
      <c r="CG18" s="945">
        <v>70.930000000000007</v>
      </c>
      <c r="CH18" s="945">
        <v>71.09</v>
      </c>
      <c r="CI18" s="945">
        <v>71.27000000000001</v>
      </c>
      <c r="CJ18" s="945">
        <v>71.414999999999992</v>
      </c>
      <c r="CK18" s="945">
        <v>71.575000000000003</v>
      </c>
      <c r="CL18" s="945">
        <v>71.740000000000009</v>
      </c>
      <c r="CM18" s="945">
        <v>71.89500000000001</v>
      </c>
      <c r="CN18" s="945">
        <v>72.05</v>
      </c>
      <c r="CO18" s="945">
        <v>72.194999999999993</v>
      </c>
      <c r="CP18" s="945">
        <v>72.349999999999994</v>
      </c>
      <c r="CQ18" s="945">
        <v>72.490000000000009</v>
      </c>
      <c r="CR18" s="945">
        <v>72.634999999999991</v>
      </c>
      <c r="CS18" s="945">
        <v>72.784999999999997</v>
      </c>
      <c r="CT18" s="945">
        <v>72.930000000000007</v>
      </c>
      <c r="CU18" s="945">
        <v>73.06</v>
      </c>
      <c r="CV18" s="945">
        <v>73.2</v>
      </c>
      <c r="CW18" s="945">
        <v>73.34</v>
      </c>
      <c r="CX18" s="945">
        <v>73.48</v>
      </c>
      <c r="CY18" s="945">
        <v>73.615000000000009</v>
      </c>
      <c r="CZ18" s="945">
        <v>73.754999999999995</v>
      </c>
      <c r="DA18" s="945">
        <v>73.89</v>
      </c>
      <c r="DB18" s="945">
        <v>74.02000000000001</v>
      </c>
      <c r="DC18" s="945">
        <v>74.155000000000001</v>
      </c>
      <c r="DD18" s="945">
        <v>74.284999999999997</v>
      </c>
      <c r="DE18" s="945">
        <v>74.414999999999992</v>
      </c>
      <c r="DF18" s="945">
        <v>74.545000000000002</v>
      </c>
      <c r="DG18" s="945">
        <v>74.67</v>
      </c>
      <c r="DH18" s="945">
        <v>74.800000000000011</v>
      </c>
      <c r="DI18" s="945">
        <v>74.924999999999997</v>
      </c>
      <c r="DJ18" s="945">
        <v>75.044999999999987</v>
      </c>
      <c r="DK18" s="945">
        <v>75.169999999999987</v>
      </c>
      <c r="DL18" s="945">
        <v>75.294999999999987</v>
      </c>
      <c r="DM18" s="945">
        <v>75.414999999999992</v>
      </c>
      <c r="DN18" s="945">
        <v>75.53</v>
      </c>
      <c r="DO18" s="945">
        <v>75.650000000000006</v>
      </c>
      <c r="DP18" s="945">
        <v>75.765000000000001</v>
      </c>
      <c r="DQ18" s="945">
        <v>75.88</v>
      </c>
      <c r="DR18" s="945">
        <v>75.995000000000005</v>
      </c>
    </row>
    <row r="19" spans="1:122" s="131" customFormat="1" ht="12.75">
      <c r="A19" s="949">
        <v>17</v>
      </c>
      <c r="B19" s="945">
        <v>52.080569647781601</v>
      </c>
      <c r="C19" s="945">
        <v>52.313186945680428</v>
      </c>
      <c r="D19" s="945">
        <v>52.825112759262808</v>
      </c>
      <c r="E19" s="945">
        <v>53.176717116810579</v>
      </c>
      <c r="F19" s="945">
        <v>53.577851026708629</v>
      </c>
      <c r="G19" s="945">
        <v>53.883176400224116</v>
      </c>
      <c r="H19" s="945">
        <v>54.152788669065082</v>
      </c>
      <c r="I19" s="945">
        <v>54.510324214300056</v>
      </c>
      <c r="J19" s="945">
        <v>54.776016743660264</v>
      </c>
      <c r="K19" s="945">
        <v>55.096925466814781</v>
      </c>
      <c r="L19" s="945">
        <v>55.418351351478456</v>
      </c>
      <c r="M19" s="945">
        <v>55.668962388752853</v>
      </c>
      <c r="N19" s="945">
        <v>55.94178391076899</v>
      </c>
      <c r="O19" s="945">
        <v>56.153968522755889</v>
      </c>
      <c r="P19" s="945">
        <v>56.457678147923005</v>
      </c>
      <c r="Q19" s="945">
        <v>56.611265674206933</v>
      </c>
      <c r="R19" s="945">
        <v>56.821509779329197</v>
      </c>
      <c r="S19" s="945">
        <v>56.97079680365615</v>
      </c>
      <c r="T19" s="945">
        <v>56.962181931698765</v>
      </c>
      <c r="U19" s="945">
        <v>57.213483803486284</v>
      </c>
      <c r="V19" s="945">
        <v>57.489999999999995</v>
      </c>
      <c r="W19" s="945">
        <v>57.760000000000005</v>
      </c>
      <c r="X19" s="945">
        <v>58.019999999999996</v>
      </c>
      <c r="Y19" s="945">
        <v>58.194999999999993</v>
      </c>
      <c r="Z19" s="945">
        <v>58.48</v>
      </c>
      <c r="AA19" s="945">
        <v>58.730000000000004</v>
      </c>
      <c r="AB19" s="945">
        <v>58.994999999999997</v>
      </c>
      <c r="AC19" s="945">
        <v>59.225000000000001</v>
      </c>
      <c r="AD19" s="945">
        <v>59.405000000000001</v>
      </c>
      <c r="AE19" s="945">
        <v>59.75</v>
      </c>
      <c r="AF19" s="945">
        <v>60.06</v>
      </c>
      <c r="AG19" s="945">
        <v>60.365000000000002</v>
      </c>
      <c r="AH19" s="945">
        <v>60.67</v>
      </c>
      <c r="AI19" s="945">
        <v>60.930000000000007</v>
      </c>
      <c r="AJ19" s="945">
        <v>61.260000000000005</v>
      </c>
      <c r="AK19" s="945">
        <v>61.56</v>
      </c>
      <c r="AL19" s="945">
        <v>61.914999999999992</v>
      </c>
      <c r="AM19" s="945">
        <v>62.230000000000004</v>
      </c>
      <c r="AN19" s="945">
        <v>62.454999999999998</v>
      </c>
      <c r="AO19" s="945">
        <v>62.614999999999995</v>
      </c>
      <c r="AP19" s="945">
        <v>62.8</v>
      </c>
      <c r="AQ19" s="945">
        <v>62.935000000000002</v>
      </c>
      <c r="AR19" s="945">
        <v>63.11</v>
      </c>
      <c r="AS19" s="945">
        <v>63.185000000000002</v>
      </c>
      <c r="AT19" s="945">
        <v>63.25</v>
      </c>
      <c r="AU19" s="945">
        <v>63.33</v>
      </c>
      <c r="AV19" s="945">
        <v>63.414999999999999</v>
      </c>
      <c r="AW19" s="945">
        <v>63.72</v>
      </c>
      <c r="AX19" s="945">
        <v>63.849999999999994</v>
      </c>
      <c r="AY19" s="945">
        <v>63.97</v>
      </c>
      <c r="AZ19" s="945">
        <v>64.06</v>
      </c>
      <c r="BA19" s="945">
        <v>64.150000000000006</v>
      </c>
      <c r="BB19" s="945">
        <v>64.3</v>
      </c>
      <c r="BC19" s="945">
        <v>64.424999999999997</v>
      </c>
      <c r="BD19" s="945">
        <v>64.59</v>
      </c>
      <c r="BE19" s="945">
        <v>64.75</v>
      </c>
      <c r="BF19" s="945">
        <v>64.95</v>
      </c>
      <c r="BG19" s="945">
        <v>65.12</v>
      </c>
      <c r="BH19" s="945">
        <v>65.375</v>
      </c>
      <c r="BI19" s="945">
        <v>65.55</v>
      </c>
      <c r="BJ19" s="945">
        <v>65.78</v>
      </c>
      <c r="BK19" s="945">
        <v>65.984999999999999</v>
      </c>
      <c r="BL19" s="945">
        <v>66.224999999999994</v>
      </c>
      <c r="BM19" s="945">
        <v>66.48</v>
      </c>
      <c r="BN19" s="945">
        <v>66.685000000000002</v>
      </c>
      <c r="BO19" s="945">
        <v>66.89500000000001</v>
      </c>
      <c r="BP19" s="945">
        <v>67.11</v>
      </c>
      <c r="BQ19" s="945">
        <v>67.294999999999987</v>
      </c>
      <c r="BR19" s="945">
        <v>67.484999999999999</v>
      </c>
      <c r="BS19" s="945">
        <v>67.665000000000006</v>
      </c>
      <c r="BT19" s="946">
        <v>67.849999999999994</v>
      </c>
      <c r="BU19" s="945">
        <v>67.989999999999995</v>
      </c>
      <c r="BV19" s="945">
        <v>68.164999999999992</v>
      </c>
      <c r="BW19" s="945">
        <v>68.34</v>
      </c>
      <c r="BX19" s="945">
        <v>68.510000000000005</v>
      </c>
      <c r="BY19" s="945">
        <v>68.67</v>
      </c>
      <c r="BZ19" s="945">
        <v>68.825000000000003</v>
      </c>
      <c r="CA19" s="945">
        <v>68.97</v>
      </c>
      <c r="CB19" s="945">
        <v>69.134999999999991</v>
      </c>
      <c r="CC19" s="945">
        <v>69.305000000000007</v>
      </c>
      <c r="CD19" s="945">
        <v>69.465000000000003</v>
      </c>
      <c r="CE19" s="945">
        <v>69.62</v>
      </c>
      <c r="CF19" s="945">
        <v>69.784999999999997</v>
      </c>
      <c r="CG19" s="945">
        <v>69.95</v>
      </c>
      <c r="CH19" s="945">
        <v>70.11</v>
      </c>
      <c r="CI19" s="945">
        <v>70.289999999999992</v>
      </c>
      <c r="CJ19" s="945">
        <v>70.44</v>
      </c>
      <c r="CK19" s="945">
        <v>70.59</v>
      </c>
      <c r="CL19" s="945">
        <v>70.754999999999995</v>
      </c>
      <c r="CM19" s="945">
        <v>70.915000000000006</v>
      </c>
      <c r="CN19" s="945">
        <v>71.064999999999998</v>
      </c>
      <c r="CO19" s="945">
        <v>71.215000000000003</v>
      </c>
      <c r="CP19" s="945">
        <v>71.37</v>
      </c>
      <c r="CQ19" s="945">
        <v>71.504999999999995</v>
      </c>
      <c r="CR19" s="945">
        <v>71.650000000000006</v>
      </c>
      <c r="CS19" s="945">
        <v>71.800000000000011</v>
      </c>
      <c r="CT19" s="945">
        <v>71.94</v>
      </c>
      <c r="CU19" s="945">
        <v>72.08</v>
      </c>
      <c r="CV19" s="945">
        <v>72.215000000000003</v>
      </c>
      <c r="CW19" s="945">
        <v>72.355000000000004</v>
      </c>
      <c r="CX19" s="945">
        <v>72.495000000000005</v>
      </c>
      <c r="CY19" s="945">
        <v>72.634999999999991</v>
      </c>
      <c r="CZ19" s="945">
        <v>72.765000000000001</v>
      </c>
      <c r="DA19" s="945">
        <v>72.905000000000001</v>
      </c>
      <c r="DB19" s="945">
        <v>73.034999999999997</v>
      </c>
      <c r="DC19" s="945">
        <v>73.169999999999987</v>
      </c>
      <c r="DD19" s="945">
        <v>73.3</v>
      </c>
      <c r="DE19" s="945">
        <v>73.430000000000007</v>
      </c>
      <c r="DF19" s="945">
        <v>73.555000000000007</v>
      </c>
      <c r="DG19" s="945">
        <v>73.685000000000002</v>
      </c>
      <c r="DH19" s="945">
        <v>73.81</v>
      </c>
      <c r="DI19" s="945">
        <v>73.935000000000002</v>
      </c>
      <c r="DJ19" s="945">
        <v>74.055000000000007</v>
      </c>
      <c r="DK19" s="945">
        <v>74.180000000000007</v>
      </c>
      <c r="DL19" s="945">
        <v>74.3</v>
      </c>
      <c r="DM19" s="945">
        <v>74.424999999999997</v>
      </c>
      <c r="DN19" s="945">
        <v>74.539999999999992</v>
      </c>
      <c r="DO19" s="945">
        <v>74.66</v>
      </c>
      <c r="DP19" s="945">
        <v>74.775000000000006</v>
      </c>
      <c r="DQ19" s="945">
        <v>74.89</v>
      </c>
      <c r="DR19" s="945">
        <v>75.004999999999995</v>
      </c>
    </row>
    <row r="20" spans="1:122" s="131" customFormat="1" ht="12.75">
      <c r="A20" s="949">
        <v>18</v>
      </c>
      <c r="B20" s="945">
        <v>51.340202434290312</v>
      </c>
      <c r="C20" s="945">
        <v>51.758562330243585</v>
      </c>
      <c r="D20" s="945">
        <v>52.101055781217681</v>
      </c>
      <c r="E20" s="945">
        <v>52.423192954106085</v>
      </c>
      <c r="F20" s="945">
        <v>52.76814675171633</v>
      </c>
      <c r="G20" s="945">
        <v>53.066953265602478</v>
      </c>
      <c r="H20" s="945">
        <v>53.340032543016051</v>
      </c>
      <c r="I20" s="945">
        <v>53.653363623783122</v>
      </c>
      <c r="J20" s="945">
        <v>53.919754787380505</v>
      </c>
      <c r="K20" s="945">
        <v>54.2415149603328</v>
      </c>
      <c r="L20" s="945">
        <v>54.549714555055985</v>
      </c>
      <c r="M20" s="945">
        <v>54.800925905943146</v>
      </c>
      <c r="N20" s="945">
        <v>55.074097439454185</v>
      </c>
      <c r="O20" s="945">
        <v>55.275635948510867</v>
      </c>
      <c r="P20" s="945">
        <v>55.577360609841193</v>
      </c>
      <c r="Q20" s="945">
        <v>55.721654866436936</v>
      </c>
      <c r="R20" s="945">
        <v>55.932310918987874</v>
      </c>
      <c r="S20" s="945">
        <v>56.081885920211761</v>
      </c>
      <c r="T20" s="945">
        <v>56.074296080432461</v>
      </c>
      <c r="U20" s="945">
        <v>56.320721487020336</v>
      </c>
      <c r="V20" s="945">
        <v>56.594999999999999</v>
      </c>
      <c r="W20" s="945">
        <v>56.870000000000005</v>
      </c>
      <c r="X20" s="945">
        <v>57.129999999999995</v>
      </c>
      <c r="Y20" s="945">
        <v>57.31</v>
      </c>
      <c r="Z20" s="945">
        <v>57.594999999999999</v>
      </c>
      <c r="AA20" s="945">
        <v>57.84</v>
      </c>
      <c r="AB20" s="945">
        <v>58.12</v>
      </c>
      <c r="AC20" s="945">
        <v>58.364999999999995</v>
      </c>
      <c r="AD20" s="945">
        <v>58.61</v>
      </c>
      <c r="AE20" s="945">
        <v>58.875</v>
      </c>
      <c r="AF20" s="945">
        <v>59.185000000000002</v>
      </c>
      <c r="AG20" s="945">
        <v>59.46</v>
      </c>
      <c r="AH20" s="945">
        <v>59.730000000000004</v>
      </c>
      <c r="AI20" s="945">
        <v>59.995000000000005</v>
      </c>
      <c r="AJ20" s="945">
        <v>60.33</v>
      </c>
      <c r="AK20" s="945">
        <v>60.62</v>
      </c>
      <c r="AL20" s="945">
        <v>60.964999999999996</v>
      </c>
      <c r="AM20" s="945">
        <v>61.28</v>
      </c>
      <c r="AN20" s="945">
        <v>61.504999999999995</v>
      </c>
      <c r="AO20" s="945">
        <v>61.67</v>
      </c>
      <c r="AP20" s="945">
        <v>61.850000000000009</v>
      </c>
      <c r="AQ20" s="945">
        <v>61.984999999999999</v>
      </c>
      <c r="AR20" s="945">
        <v>62.16</v>
      </c>
      <c r="AS20" s="945">
        <v>62.234999999999999</v>
      </c>
      <c r="AT20" s="945">
        <v>62.3</v>
      </c>
      <c r="AU20" s="945">
        <v>62.379999999999995</v>
      </c>
      <c r="AV20" s="945">
        <v>62.47</v>
      </c>
      <c r="AW20" s="945">
        <v>62.77</v>
      </c>
      <c r="AX20" s="945">
        <v>62.9</v>
      </c>
      <c r="AY20" s="945">
        <v>63.024999999999999</v>
      </c>
      <c r="AZ20" s="945">
        <v>63.11</v>
      </c>
      <c r="BA20" s="945">
        <v>63.215000000000003</v>
      </c>
      <c r="BB20" s="945">
        <v>63.354999999999997</v>
      </c>
      <c r="BC20" s="945">
        <v>63.49</v>
      </c>
      <c r="BD20" s="945">
        <v>63.655000000000001</v>
      </c>
      <c r="BE20" s="945">
        <v>63.81</v>
      </c>
      <c r="BF20" s="945">
        <v>64.004999999999995</v>
      </c>
      <c r="BG20" s="945">
        <v>64.174999999999997</v>
      </c>
      <c r="BH20" s="945">
        <v>64.435000000000002</v>
      </c>
      <c r="BI20" s="945">
        <v>64.61</v>
      </c>
      <c r="BJ20" s="945">
        <v>64.84</v>
      </c>
      <c r="BK20" s="945">
        <v>65.039999999999992</v>
      </c>
      <c r="BL20" s="945">
        <v>65.28</v>
      </c>
      <c r="BM20" s="945">
        <v>65.534999999999997</v>
      </c>
      <c r="BN20" s="945">
        <v>65.740000000000009</v>
      </c>
      <c r="BO20" s="945">
        <v>65.94</v>
      </c>
      <c r="BP20" s="945">
        <v>66.155000000000001</v>
      </c>
      <c r="BQ20" s="945">
        <v>66.334999999999994</v>
      </c>
      <c r="BR20" s="945">
        <v>66.525000000000006</v>
      </c>
      <c r="BS20" s="945">
        <v>66.7</v>
      </c>
      <c r="BT20" s="946">
        <v>66.89</v>
      </c>
      <c r="BU20" s="945">
        <v>67.025000000000006</v>
      </c>
      <c r="BV20" s="945">
        <v>67.204999999999998</v>
      </c>
      <c r="BW20" s="945">
        <v>67.375</v>
      </c>
      <c r="BX20" s="945">
        <v>67.545000000000002</v>
      </c>
      <c r="BY20" s="945">
        <v>67.7</v>
      </c>
      <c r="BZ20" s="945">
        <v>67.855000000000004</v>
      </c>
      <c r="CA20" s="945">
        <v>68.004999999999995</v>
      </c>
      <c r="CB20" s="945">
        <v>68.17</v>
      </c>
      <c r="CC20" s="945">
        <v>68.33</v>
      </c>
      <c r="CD20" s="945">
        <v>68.489999999999995</v>
      </c>
      <c r="CE20" s="945">
        <v>68.66</v>
      </c>
      <c r="CF20" s="945">
        <v>68.819999999999993</v>
      </c>
      <c r="CG20" s="945">
        <v>68.974999999999994</v>
      </c>
      <c r="CH20" s="945">
        <v>69.134999999999991</v>
      </c>
      <c r="CI20" s="945">
        <v>69.319999999999993</v>
      </c>
      <c r="CJ20" s="945">
        <v>69.460000000000008</v>
      </c>
      <c r="CK20" s="945">
        <v>69.615000000000009</v>
      </c>
      <c r="CL20" s="945">
        <v>69.78</v>
      </c>
      <c r="CM20" s="945">
        <v>69.930000000000007</v>
      </c>
      <c r="CN20" s="945">
        <v>70.085000000000008</v>
      </c>
      <c r="CO20" s="945">
        <v>70.23</v>
      </c>
      <c r="CP20" s="945">
        <v>70.385000000000005</v>
      </c>
      <c r="CQ20" s="945">
        <v>70.525000000000006</v>
      </c>
      <c r="CR20" s="945">
        <v>70.67</v>
      </c>
      <c r="CS20" s="945">
        <v>70.814999999999998</v>
      </c>
      <c r="CT20" s="945">
        <v>70.960000000000008</v>
      </c>
      <c r="CU20" s="945">
        <v>71.09</v>
      </c>
      <c r="CV20" s="945">
        <v>71.234999999999999</v>
      </c>
      <c r="CW20" s="945">
        <v>71.37</v>
      </c>
      <c r="CX20" s="945">
        <v>71.509999999999991</v>
      </c>
      <c r="CY20" s="945">
        <v>71.650000000000006</v>
      </c>
      <c r="CZ20" s="945">
        <v>71.78</v>
      </c>
      <c r="DA20" s="945">
        <v>71.92</v>
      </c>
      <c r="DB20" s="945">
        <v>72.05</v>
      </c>
      <c r="DC20" s="945">
        <v>72.180000000000007</v>
      </c>
      <c r="DD20" s="945">
        <v>72.31</v>
      </c>
      <c r="DE20" s="945">
        <v>72.44</v>
      </c>
      <c r="DF20" s="945">
        <v>72.569999999999993</v>
      </c>
      <c r="DG20" s="945">
        <v>72.694999999999993</v>
      </c>
      <c r="DH20" s="945">
        <v>72.819999999999993</v>
      </c>
      <c r="DI20" s="945">
        <v>72.94</v>
      </c>
      <c r="DJ20" s="945">
        <v>73.064999999999998</v>
      </c>
      <c r="DK20" s="945">
        <v>73.185000000000002</v>
      </c>
      <c r="DL20" s="945">
        <v>73.31</v>
      </c>
      <c r="DM20" s="945">
        <v>73.430000000000007</v>
      </c>
      <c r="DN20" s="945">
        <v>73.545000000000002</v>
      </c>
      <c r="DO20" s="945">
        <v>73.67</v>
      </c>
      <c r="DP20" s="945">
        <v>73.784999999999997</v>
      </c>
      <c r="DQ20" s="945">
        <v>73.900000000000006</v>
      </c>
      <c r="DR20" s="945">
        <v>74.009999999999991</v>
      </c>
    </row>
    <row r="21" spans="1:122" s="131" customFormat="1" ht="12.75">
      <c r="A21" s="949">
        <v>19</v>
      </c>
      <c r="B21" s="945">
        <v>50.805922530414875</v>
      </c>
      <c r="C21" s="945">
        <v>51.050029468517138</v>
      </c>
      <c r="D21" s="945">
        <v>51.366654122737259</v>
      </c>
      <c r="E21" s="945">
        <v>51.633298031747607</v>
      </c>
      <c r="F21" s="945">
        <v>51.977841290292588</v>
      </c>
      <c r="G21" s="945">
        <v>52.280827331637255</v>
      </c>
      <c r="H21" s="945">
        <v>52.503032470683181</v>
      </c>
      <c r="I21" s="945">
        <v>52.817327552666654</v>
      </c>
      <c r="J21" s="945">
        <v>53.08453203675478</v>
      </c>
      <c r="K21" s="945">
        <v>53.391327758963556</v>
      </c>
      <c r="L21" s="945">
        <v>53.697401843198122</v>
      </c>
      <c r="M21" s="945">
        <v>53.949045024744052</v>
      </c>
      <c r="N21" s="945">
        <v>54.207619542418122</v>
      </c>
      <c r="O21" s="945">
        <v>54.406751180015831</v>
      </c>
      <c r="P21" s="945">
        <v>54.698627062935827</v>
      </c>
      <c r="Q21" s="945">
        <v>54.843241028414461</v>
      </c>
      <c r="R21" s="945">
        <v>55.054359079093253</v>
      </c>
      <c r="S21" s="945">
        <v>55.202849647322402</v>
      </c>
      <c r="T21" s="945">
        <v>55.189857938172821</v>
      </c>
      <c r="U21" s="945">
        <v>55.43554503880722</v>
      </c>
      <c r="V21" s="945">
        <v>55.715000000000003</v>
      </c>
      <c r="W21" s="945">
        <v>55.984999999999999</v>
      </c>
      <c r="X21" s="945">
        <v>56.254999999999995</v>
      </c>
      <c r="Y21" s="945">
        <v>56.435000000000002</v>
      </c>
      <c r="Z21" s="945">
        <v>56.715000000000003</v>
      </c>
      <c r="AA21" s="945">
        <v>56.980000000000004</v>
      </c>
      <c r="AB21" s="945">
        <v>57.28</v>
      </c>
      <c r="AC21" s="945">
        <v>57.59</v>
      </c>
      <c r="AD21" s="945">
        <v>57.75</v>
      </c>
      <c r="AE21" s="945">
        <v>58.015000000000001</v>
      </c>
      <c r="AF21" s="945">
        <v>58.295000000000002</v>
      </c>
      <c r="AG21" s="945">
        <v>58.53</v>
      </c>
      <c r="AH21" s="945">
        <v>58.805</v>
      </c>
      <c r="AI21" s="945">
        <v>59.07</v>
      </c>
      <c r="AJ21" s="945">
        <v>59.39</v>
      </c>
      <c r="AK21" s="945">
        <v>59.68</v>
      </c>
      <c r="AL21" s="945">
        <v>60.03</v>
      </c>
      <c r="AM21" s="945">
        <v>60.34</v>
      </c>
      <c r="AN21" s="945">
        <v>60.564999999999998</v>
      </c>
      <c r="AO21" s="945">
        <v>60.73</v>
      </c>
      <c r="AP21" s="945">
        <v>60.91</v>
      </c>
      <c r="AQ21" s="945">
        <v>61.050000000000004</v>
      </c>
      <c r="AR21" s="945">
        <v>61.22</v>
      </c>
      <c r="AS21" s="945">
        <v>61.3</v>
      </c>
      <c r="AT21" s="945">
        <v>61.364999999999995</v>
      </c>
      <c r="AU21" s="945">
        <v>61.435000000000002</v>
      </c>
      <c r="AV21" s="945">
        <v>61.534999999999997</v>
      </c>
      <c r="AW21" s="945">
        <v>61.835000000000001</v>
      </c>
      <c r="AX21" s="945">
        <v>61.97</v>
      </c>
      <c r="AY21" s="945">
        <v>62.09</v>
      </c>
      <c r="AZ21" s="945">
        <v>62.175000000000004</v>
      </c>
      <c r="BA21" s="945">
        <v>62.29</v>
      </c>
      <c r="BB21" s="945">
        <v>62.434999999999995</v>
      </c>
      <c r="BC21" s="945">
        <v>62.564999999999998</v>
      </c>
      <c r="BD21" s="945">
        <v>62.730000000000004</v>
      </c>
      <c r="BE21" s="945">
        <v>62.879999999999995</v>
      </c>
      <c r="BF21" s="945">
        <v>63.08</v>
      </c>
      <c r="BG21" s="945">
        <v>63.25</v>
      </c>
      <c r="BH21" s="945">
        <v>63.510000000000005</v>
      </c>
      <c r="BI21" s="945">
        <v>63.685000000000002</v>
      </c>
      <c r="BJ21" s="945">
        <v>63.91</v>
      </c>
      <c r="BK21" s="945">
        <v>64.105000000000004</v>
      </c>
      <c r="BL21" s="945">
        <v>64.344999999999999</v>
      </c>
      <c r="BM21" s="945">
        <v>64.594999999999999</v>
      </c>
      <c r="BN21" s="945">
        <v>64.8</v>
      </c>
      <c r="BO21" s="945">
        <v>65</v>
      </c>
      <c r="BP21" s="945">
        <v>65.204999999999998</v>
      </c>
      <c r="BQ21" s="945">
        <v>65.384999999999991</v>
      </c>
      <c r="BR21" s="945">
        <v>65.564999999999998</v>
      </c>
      <c r="BS21" s="945">
        <v>65.75</v>
      </c>
      <c r="BT21" s="946">
        <v>65.929999999999993</v>
      </c>
      <c r="BU21" s="945">
        <v>66.070000000000007</v>
      </c>
      <c r="BV21" s="945">
        <v>66.254999999999995</v>
      </c>
      <c r="BW21" s="945">
        <v>66.425000000000011</v>
      </c>
      <c r="BX21" s="945">
        <v>66.59</v>
      </c>
      <c r="BY21" s="945">
        <v>66.75</v>
      </c>
      <c r="BZ21" s="945">
        <v>66.905000000000001</v>
      </c>
      <c r="CA21" s="945">
        <v>67.050000000000011</v>
      </c>
      <c r="CB21" s="945">
        <v>67.22</v>
      </c>
      <c r="CC21" s="945">
        <v>67.38</v>
      </c>
      <c r="CD21" s="945">
        <v>67.539999999999992</v>
      </c>
      <c r="CE21" s="945">
        <v>67.7</v>
      </c>
      <c r="CF21" s="945">
        <v>67.860000000000014</v>
      </c>
      <c r="CG21" s="945">
        <v>68.02</v>
      </c>
      <c r="CH21" s="945">
        <v>68.174999999999997</v>
      </c>
      <c r="CI21" s="945">
        <v>68.355000000000004</v>
      </c>
      <c r="CJ21" s="945">
        <v>68.495000000000005</v>
      </c>
      <c r="CK21" s="945">
        <v>68.644999999999996</v>
      </c>
      <c r="CL21" s="945">
        <v>68.805000000000007</v>
      </c>
      <c r="CM21" s="945">
        <v>68.959999999999994</v>
      </c>
      <c r="CN21" s="945">
        <v>69.11</v>
      </c>
      <c r="CO21" s="945">
        <v>69.254999999999995</v>
      </c>
      <c r="CP21" s="945">
        <v>69.41</v>
      </c>
      <c r="CQ21" s="945">
        <v>69.544999999999987</v>
      </c>
      <c r="CR21" s="945">
        <v>69.694999999999993</v>
      </c>
      <c r="CS21" s="945">
        <v>69.835000000000008</v>
      </c>
      <c r="CT21" s="945">
        <v>69.974999999999994</v>
      </c>
      <c r="CU21" s="945">
        <v>70.114999999999995</v>
      </c>
      <c r="CV21" s="945">
        <v>70.25</v>
      </c>
      <c r="CW21" s="945">
        <v>70.39</v>
      </c>
      <c r="CX21" s="945">
        <v>70.53</v>
      </c>
      <c r="CY21" s="945">
        <v>70.664999999999992</v>
      </c>
      <c r="CZ21" s="945">
        <v>70.795000000000002</v>
      </c>
      <c r="DA21" s="945">
        <v>70.935000000000002</v>
      </c>
      <c r="DB21" s="945">
        <v>71.064999999999998</v>
      </c>
      <c r="DC21" s="945">
        <v>71.194999999999993</v>
      </c>
      <c r="DD21" s="945">
        <v>71.325000000000003</v>
      </c>
      <c r="DE21" s="945">
        <v>71.455000000000013</v>
      </c>
      <c r="DF21" s="945">
        <v>71.580000000000013</v>
      </c>
      <c r="DG21" s="945">
        <v>71.710000000000008</v>
      </c>
      <c r="DH21" s="945">
        <v>71.83</v>
      </c>
      <c r="DI21" s="945">
        <v>71.954999999999998</v>
      </c>
      <c r="DJ21" s="945">
        <v>72.08</v>
      </c>
      <c r="DK21" s="945">
        <v>72.2</v>
      </c>
      <c r="DL21" s="945">
        <v>72.325000000000003</v>
      </c>
      <c r="DM21" s="945">
        <v>72.44</v>
      </c>
      <c r="DN21" s="945">
        <v>72.56</v>
      </c>
      <c r="DO21" s="945">
        <v>72.675000000000011</v>
      </c>
      <c r="DP21" s="945">
        <v>72.789999999999992</v>
      </c>
      <c r="DQ21" s="945">
        <v>72.905000000000001</v>
      </c>
      <c r="DR21" s="945">
        <v>73.02</v>
      </c>
    </row>
    <row r="22" spans="1:122" s="131" customFormat="1" ht="12.75">
      <c r="A22" s="949">
        <v>20</v>
      </c>
      <c r="B22" s="945">
        <v>50.111681649880659</v>
      </c>
      <c r="C22" s="945">
        <v>50.332858773588654</v>
      </c>
      <c r="D22" s="945">
        <v>50.594284683868423</v>
      </c>
      <c r="E22" s="945">
        <v>50.864868122364307</v>
      </c>
      <c r="F22" s="945">
        <v>51.214352394648856</v>
      </c>
      <c r="G22" s="945">
        <v>51.461070259154397</v>
      </c>
      <c r="H22" s="945">
        <v>51.684032905865124</v>
      </c>
      <c r="I22" s="945">
        <v>51.999418337353859</v>
      </c>
      <c r="J22" s="945">
        <v>52.25000568559652</v>
      </c>
      <c r="K22" s="945">
        <v>52.551009828259545</v>
      </c>
      <c r="L22" s="945">
        <v>52.857824332075126</v>
      </c>
      <c r="M22" s="945">
        <v>53.090464114231608</v>
      </c>
      <c r="N22" s="945">
        <v>53.34663226634504</v>
      </c>
      <c r="O22" s="945">
        <v>53.535085955738197</v>
      </c>
      <c r="P22" s="945">
        <v>53.827659364678127</v>
      </c>
      <c r="Q22" s="945">
        <v>53.972619922807112</v>
      </c>
      <c r="R22" s="945">
        <v>54.183499169396129</v>
      </c>
      <c r="S22" s="945">
        <v>54.326912734146923</v>
      </c>
      <c r="T22" s="945">
        <v>54.31151449184425</v>
      </c>
      <c r="U22" s="945">
        <v>54.560903251493478</v>
      </c>
      <c r="V22" s="945">
        <v>54.844999999999999</v>
      </c>
      <c r="W22" s="945">
        <v>55.120000000000005</v>
      </c>
      <c r="X22" s="945">
        <v>55.384999999999998</v>
      </c>
      <c r="Y22" s="945">
        <v>55.56</v>
      </c>
      <c r="Z22" s="945">
        <v>55.86</v>
      </c>
      <c r="AA22" s="945">
        <v>56.14</v>
      </c>
      <c r="AB22" s="945">
        <v>56.515000000000001</v>
      </c>
      <c r="AC22" s="945">
        <v>56.754999999999995</v>
      </c>
      <c r="AD22" s="945">
        <v>56.92</v>
      </c>
      <c r="AE22" s="945">
        <v>57.14</v>
      </c>
      <c r="AF22" s="945">
        <v>57.375</v>
      </c>
      <c r="AG22" s="945">
        <v>57.615000000000002</v>
      </c>
      <c r="AH22" s="945">
        <v>57.885000000000005</v>
      </c>
      <c r="AI22" s="945">
        <v>58.144999999999996</v>
      </c>
      <c r="AJ22" s="945">
        <v>58.46</v>
      </c>
      <c r="AK22" s="945">
        <v>58.745000000000005</v>
      </c>
      <c r="AL22" s="945">
        <v>59.094999999999999</v>
      </c>
      <c r="AM22" s="945">
        <v>59.41</v>
      </c>
      <c r="AN22" s="945">
        <v>59.64</v>
      </c>
      <c r="AO22" s="945">
        <v>59.8</v>
      </c>
      <c r="AP22" s="945">
        <v>59.980000000000004</v>
      </c>
      <c r="AQ22" s="945">
        <v>60.125</v>
      </c>
      <c r="AR22" s="945">
        <v>60.29</v>
      </c>
      <c r="AS22" s="945">
        <v>60.365000000000002</v>
      </c>
      <c r="AT22" s="945">
        <v>60.435000000000002</v>
      </c>
      <c r="AU22" s="945">
        <v>60.510000000000005</v>
      </c>
      <c r="AV22" s="945">
        <v>60.61</v>
      </c>
      <c r="AW22" s="945">
        <v>60.9</v>
      </c>
      <c r="AX22" s="945">
        <v>61.034999999999997</v>
      </c>
      <c r="AY22" s="945">
        <v>61.16</v>
      </c>
      <c r="AZ22" s="945">
        <v>61.25</v>
      </c>
      <c r="BA22" s="945">
        <v>61.365000000000002</v>
      </c>
      <c r="BB22" s="945">
        <v>61.510000000000005</v>
      </c>
      <c r="BC22" s="945">
        <v>61.645000000000003</v>
      </c>
      <c r="BD22" s="945">
        <v>61.795000000000002</v>
      </c>
      <c r="BE22" s="945">
        <v>61.954999999999998</v>
      </c>
      <c r="BF22" s="945">
        <v>62.155000000000001</v>
      </c>
      <c r="BG22" s="945">
        <v>62.325000000000003</v>
      </c>
      <c r="BH22" s="945">
        <v>62.584999999999994</v>
      </c>
      <c r="BI22" s="945">
        <v>62.760000000000005</v>
      </c>
      <c r="BJ22" s="945">
        <v>62.980000000000004</v>
      </c>
      <c r="BK22" s="945">
        <v>63.175000000000004</v>
      </c>
      <c r="BL22" s="945">
        <v>63.415000000000006</v>
      </c>
      <c r="BM22" s="945">
        <v>63.655000000000001</v>
      </c>
      <c r="BN22" s="945">
        <v>63.864999999999995</v>
      </c>
      <c r="BO22" s="945">
        <v>64.055000000000007</v>
      </c>
      <c r="BP22" s="945">
        <v>64.25</v>
      </c>
      <c r="BQ22" s="945">
        <v>64.435000000000002</v>
      </c>
      <c r="BR22" s="945">
        <v>64.614999999999995</v>
      </c>
      <c r="BS22" s="945">
        <v>64.789999999999992</v>
      </c>
      <c r="BT22" s="946">
        <v>64.97999999999999</v>
      </c>
      <c r="BU22" s="945">
        <v>65.125</v>
      </c>
      <c r="BV22" s="945">
        <v>65.305000000000007</v>
      </c>
      <c r="BW22" s="945">
        <v>65.47</v>
      </c>
      <c r="BX22" s="945">
        <v>65.64</v>
      </c>
      <c r="BY22" s="945">
        <v>65.795000000000002</v>
      </c>
      <c r="BZ22" s="945">
        <v>65.95</v>
      </c>
      <c r="CA22" s="945">
        <v>66.105000000000004</v>
      </c>
      <c r="CB22" s="945">
        <v>66.265000000000001</v>
      </c>
      <c r="CC22" s="945">
        <v>66.425000000000011</v>
      </c>
      <c r="CD22" s="945">
        <v>66.580000000000013</v>
      </c>
      <c r="CE22" s="945">
        <v>66.745000000000005</v>
      </c>
      <c r="CF22" s="945">
        <v>66.900000000000006</v>
      </c>
      <c r="CG22" s="945">
        <v>67.055000000000007</v>
      </c>
      <c r="CH22" s="945">
        <v>67.209999999999994</v>
      </c>
      <c r="CI22" s="945">
        <v>67.38</v>
      </c>
      <c r="CJ22" s="945">
        <v>67.52</v>
      </c>
      <c r="CK22" s="945">
        <v>67.674999999999997</v>
      </c>
      <c r="CL22" s="945">
        <v>67.834999999999994</v>
      </c>
      <c r="CM22" s="945">
        <v>67.97999999999999</v>
      </c>
      <c r="CN22" s="945">
        <v>68.134999999999991</v>
      </c>
      <c r="CO22" s="945">
        <v>68.28</v>
      </c>
      <c r="CP22" s="945">
        <v>68.435000000000002</v>
      </c>
      <c r="CQ22" s="945">
        <v>68.569999999999993</v>
      </c>
      <c r="CR22" s="945">
        <v>68.710000000000008</v>
      </c>
      <c r="CS22" s="945">
        <v>68.855000000000004</v>
      </c>
      <c r="CT22" s="945">
        <v>68.995000000000005</v>
      </c>
      <c r="CU22" s="945">
        <v>69.13</v>
      </c>
      <c r="CV22" s="945">
        <v>69.27000000000001</v>
      </c>
      <c r="CW22" s="945">
        <v>69.41</v>
      </c>
      <c r="CX22" s="945">
        <v>69.545000000000002</v>
      </c>
      <c r="CY22" s="945">
        <v>69.685000000000002</v>
      </c>
      <c r="CZ22" s="945">
        <v>69.814999999999998</v>
      </c>
      <c r="DA22" s="945">
        <v>69.95</v>
      </c>
      <c r="DB22" s="945">
        <v>70.080000000000013</v>
      </c>
      <c r="DC22" s="945">
        <v>70.210000000000008</v>
      </c>
      <c r="DD22" s="945">
        <v>70.34</v>
      </c>
      <c r="DE22" s="945">
        <v>70.47</v>
      </c>
      <c r="DF22" s="945">
        <v>70.594999999999999</v>
      </c>
      <c r="DG22" s="945">
        <v>70.724999999999994</v>
      </c>
      <c r="DH22" s="945">
        <v>70.844999999999999</v>
      </c>
      <c r="DI22" s="945">
        <v>70.97</v>
      </c>
      <c r="DJ22" s="945">
        <v>71.094999999999999</v>
      </c>
      <c r="DK22" s="945">
        <v>71.215000000000003</v>
      </c>
      <c r="DL22" s="945">
        <v>71.330000000000013</v>
      </c>
      <c r="DM22" s="945">
        <v>71.455000000000013</v>
      </c>
      <c r="DN22" s="945">
        <v>71.569999999999993</v>
      </c>
      <c r="DO22" s="945">
        <v>71.685000000000002</v>
      </c>
      <c r="DP22" s="945">
        <v>71.805000000000007</v>
      </c>
      <c r="DQ22" s="945">
        <v>71.919999999999987</v>
      </c>
      <c r="DR22" s="945">
        <v>72.034999999999997</v>
      </c>
    </row>
    <row r="23" spans="1:122" s="131" customFormat="1" ht="12.75">
      <c r="A23" s="949">
        <v>21</v>
      </c>
      <c r="B23" s="945">
        <v>49.40399859360835</v>
      </c>
      <c r="C23" s="945">
        <v>49.56985331398144</v>
      </c>
      <c r="D23" s="945">
        <v>49.840928799974805</v>
      </c>
      <c r="E23" s="945">
        <v>50.11648026070953</v>
      </c>
      <c r="F23" s="945">
        <v>50.406226236817133</v>
      </c>
      <c r="G23" s="945">
        <v>50.653864436458875</v>
      </c>
      <c r="H23" s="945">
        <v>50.877651180135324</v>
      </c>
      <c r="I23" s="945">
        <v>51.175609786019166</v>
      </c>
      <c r="J23" s="945">
        <v>51.418271780957006</v>
      </c>
      <c r="K23" s="945">
        <v>51.720098831487796</v>
      </c>
      <c r="L23" s="945">
        <v>52.005653392169904</v>
      </c>
      <c r="M23" s="945">
        <v>52.235734337427786</v>
      </c>
      <c r="N23" s="945">
        <v>52.48089731993548</v>
      </c>
      <c r="O23" s="945">
        <v>52.669832015887124</v>
      </c>
      <c r="P23" s="945">
        <v>52.963151620005689</v>
      </c>
      <c r="Q23" s="945">
        <v>53.109404726495548</v>
      </c>
      <c r="R23" s="945">
        <v>53.315379529103801</v>
      </c>
      <c r="S23" s="945">
        <v>53.454683885631582</v>
      </c>
      <c r="T23" s="945">
        <v>53.442540028603673</v>
      </c>
      <c r="U23" s="945">
        <v>53.695839382587224</v>
      </c>
      <c r="V23" s="945">
        <v>53.980000000000004</v>
      </c>
      <c r="W23" s="945">
        <v>54.254999999999995</v>
      </c>
      <c r="X23" s="945">
        <v>54.519999999999996</v>
      </c>
      <c r="Y23" s="945">
        <v>54.71</v>
      </c>
      <c r="Z23" s="945">
        <v>55.03</v>
      </c>
      <c r="AA23" s="945">
        <v>55.39</v>
      </c>
      <c r="AB23" s="945">
        <v>55.704999999999998</v>
      </c>
      <c r="AC23" s="945">
        <v>55.945</v>
      </c>
      <c r="AD23" s="945">
        <v>56.06</v>
      </c>
      <c r="AE23" s="945">
        <v>56.224999999999994</v>
      </c>
      <c r="AF23" s="945">
        <v>56.46</v>
      </c>
      <c r="AG23" s="945">
        <v>56.7</v>
      </c>
      <c r="AH23" s="945">
        <v>56.959999999999994</v>
      </c>
      <c r="AI23" s="945">
        <v>57.215000000000003</v>
      </c>
      <c r="AJ23" s="945">
        <v>57.534999999999997</v>
      </c>
      <c r="AK23" s="945">
        <v>57.814999999999998</v>
      </c>
      <c r="AL23" s="945">
        <v>58.174999999999997</v>
      </c>
      <c r="AM23" s="945">
        <v>58.489999999999995</v>
      </c>
      <c r="AN23" s="945">
        <v>58.715000000000003</v>
      </c>
      <c r="AO23" s="945">
        <v>58.870000000000005</v>
      </c>
      <c r="AP23" s="945">
        <v>59.05</v>
      </c>
      <c r="AQ23" s="945">
        <v>59.195</v>
      </c>
      <c r="AR23" s="945">
        <v>59.36</v>
      </c>
      <c r="AS23" s="945">
        <v>59.43</v>
      </c>
      <c r="AT23" s="945">
        <v>59.494999999999997</v>
      </c>
      <c r="AU23" s="945">
        <v>59.58</v>
      </c>
      <c r="AV23" s="945">
        <v>59.68</v>
      </c>
      <c r="AW23" s="945">
        <v>59.965000000000003</v>
      </c>
      <c r="AX23" s="945">
        <v>60.094999999999999</v>
      </c>
      <c r="AY23" s="945">
        <v>60.230000000000004</v>
      </c>
      <c r="AZ23" s="945">
        <v>60.32</v>
      </c>
      <c r="BA23" s="945">
        <v>60.444999999999993</v>
      </c>
      <c r="BB23" s="945">
        <v>60.585000000000001</v>
      </c>
      <c r="BC23" s="945">
        <v>60.709999999999994</v>
      </c>
      <c r="BD23" s="945">
        <v>60.864999999999995</v>
      </c>
      <c r="BE23" s="945">
        <v>61.024999999999999</v>
      </c>
      <c r="BF23" s="945">
        <v>61.230000000000004</v>
      </c>
      <c r="BG23" s="945">
        <v>61.400000000000006</v>
      </c>
      <c r="BH23" s="945">
        <v>61.655000000000001</v>
      </c>
      <c r="BI23" s="945">
        <v>61.82</v>
      </c>
      <c r="BJ23" s="945">
        <v>62.040000000000006</v>
      </c>
      <c r="BK23" s="945">
        <v>62.234999999999999</v>
      </c>
      <c r="BL23" s="945">
        <v>62.475000000000001</v>
      </c>
      <c r="BM23" s="945">
        <v>62.709999999999994</v>
      </c>
      <c r="BN23" s="945">
        <v>62.914999999999999</v>
      </c>
      <c r="BO23" s="945">
        <v>63.099999999999994</v>
      </c>
      <c r="BP23" s="945">
        <v>63.3</v>
      </c>
      <c r="BQ23" s="945">
        <v>63.484999999999999</v>
      </c>
      <c r="BR23" s="945">
        <v>63.66</v>
      </c>
      <c r="BS23" s="945">
        <v>63.84</v>
      </c>
      <c r="BT23" s="946">
        <v>64.025000000000006</v>
      </c>
      <c r="BU23" s="945">
        <v>64.17</v>
      </c>
      <c r="BV23" s="945">
        <v>64.349999999999994</v>
      </c>
      <c r="BW23" s="945">
        <v>64.52</v>
      </c>
      <c r="BX23" s="945">
        <v>64.685000000000002</v>
      </c>
      <c r="BY23" s="945">
        <v>64.844999999999999</v>
      </c>
      <c r="BZ23" s="945">
        <v>65</v>
      </c>
      <c r="CA23" s="945">
        <v>65.150000000000006</v>
      </c>
      <c r="CB23" s="945">
        <v>65.305000000000007</v>
      </c>
      <c r="CC23" s="945">
        <v>65.465000000000003</v>
      </c>
      <c r="CD23" s="945">
        <v>65.625</v>
      </c>
      <c r="CE23" s="945">
        <v>65.784999999999997</v>
      </c>
      <c r="CF23" s="945">
        <v>65.935000000000002</v>
      </c>
      <c r="CG23" s="945">
        <v>66.09</v>
      </c>
      <c r="CH23" s="945">
        <v>66.240000000000009</v>
      </c>
      <c r="CI23" s="945">
        <v>66.41</v>
      </c>
      <c r="CJ23" s="945">
        <v>66.550000000000011</v>
      </c>
      <c r="CK23" s="945">
        <v>66.705000000000013</v>
      </c>
      <c r="CL23" s="945">
        <v>66.85499999999999</v>
      </c>
      <c r="CM23" s="945">
        <v>67</v>
      </c>
      <c r="CN23" s="945">
        <v>67.155000000000001</v>
      </c>
      <c r="CO23" s="945">
        <v>67.31</v>
      </c>
      <c r="CP23" s="945">
        <v>67.454999999999998</v>
      </c>
      <c r="CQ23" s="945">
        <v>67.59</v>
      </c>
      <c r="CR23" s="945">
        <v>67.734999999999999</v>
      </c>
      <c r="CS23" s="945">
        <v>67.88</v>
      </c>
      <c r="CT23" s="945">
        <v>68.02000000000001</v>
      </c>
      <c r="CU23" s="945">
        <v>68.155000000000001</v>
      </c>
      <c r="CV23" s="945">
        <v>68.295000000000002</v>
      </c>
      <c r="CW23" s="945">
        <v>68.424999999999997</v>
      </c>
      <c r="CX23" s="945">
        <v>68.564999999999998</v>
      </c>
      <c r="CY23" s="945">
        <v>68.699999999999989</v>
      </c>
      <c r="CZ23" s="945">
        <v>68.83</v>
      </c>
      <c r="DA23" s="945">
        <v>68.965000000000003</v>
      </c>
      <c r="DB23" s="945">
        <v>69.094999999999999</v>
      </c>
      <c r="DC23" s="945">
        <v>69.224999999999994</v>
      </c>
      <c r="DD23" s="945">
        <v>69.36</v>
      </c>
      <c r="DE23" s="945">
        <v>69.484999999999999</v>
      </c>
      <c r="DF23" s="945">
        <v>69.61</v>
      </c>
      <c r="DG23" s="945">
        <v>69.734999999999999</v>
      </c>
      <c r="DH23" s="945">
        <v>69.86</v>
      </c>
      <c r="DI23" s="945">
        <v>69.984999999999999</v>
      </c>
      <c r="DJ23" s="945">
        <v>70.105000000000004</v>
      </c>
      <c r="DK23" s="945">
        <v>70.224999999999994</v>
      </c>
      <c r="DL23" s="945">
        <v>70.344999999999999</v>
      </c>
      <c r="DM23" s="945">
        <v>70.460000000000008</v>
      </c>
      <c r="DN23" s="945">
        <v>70.585000000000008</v>
      </c>
      <c r="DO23" s="945">
        <v>70.699999999999989</v>
      </c>
      <c r="DP23" s="945">
        <v>70.814999999999998</v>
      </c>
      <c r="DQ23" s="945">
        <v>70.930000000000007</v>
      </c>
      <c r="DR23" s="945">
        <v>71.039999999999992</v>
      </c>
    </row>
    <row r="24" spans="1:122" s="131" customFormat="1" ht="12.75">
      <c r="A24" s="949">
        <v>22</v>
      </c>
      <c r="B24" s="945">
        <v>48.645538414633393</v>
      </c>
      <c r="C24" s="945">
        <v>48.82386888773118</v>
      </c>
      <c r="D24" s="945">
        <v>49.100115087852075</v>
      </c>
      <c r="E24" s="945">
        <v>49.313820782873975</v>
      </c>
      <c r="F24" s="945">
        <v>49.604711979537392</v>
      </c>
      <c r="G24" s="945">
        <v>49.853320815987189</v>
      </c>
      <c r="H24" s="945">
        <v>50.058850098083447</v>
      </c>
      <c r="I24" s="945">
        <v>50.348527983293664</v>
      </c>
      <c r="J24" s="945">
        <v>50.591821708422358</v>
      </c>
      <c r="K24" s="945">
        <v>50.871566063990684</v>
      </c>
      <c r="L24" s="945">
        <v>51.154691741262376</v>
      </c>
      <c r="M24" s="945">
        <v>51.373437138313705</v>
      </c>
      <c r="N24" s="945">
        <v>51.619251001951753</v>
      </c>
      <c r="O24" s="945">
        <v>51.808690764742366</v>
      </c>
      <c r="P24" s="945">
        <v>52.107366946973869</v>
      </c>
      <c r="Q24" s="945">
        <v>52.248569799607324</v>
      </c>
      <c r="R24" s="945">
        <v>52.446692851756623</v>
      </c>
      <c r="S24" s="945">
        <v>52.589698726647867</v>
      </c>
      <c r="T24" s="945">
        <v>52.580887793701606</v>
      </c>
      <c r="U24" s="945">
        <v>52.834847512332992</v>
      </c>
      <c r="V24" s="945">
        <v>53.120000000000005</v>
      </c>
      <c r="W24" s="945">
        <v>53.395000000000003</v>
      </c>
      <c r="X24" s="945">
        <v>53.68</v>
      </c>
      <c r="Y24" s="945">
        <v>53.89</v>
      </c>
      <c r="Z24" s="945">
        <v>54.29</v>
      </c>
      <c r="AA24" s="945">
        <v>54.585000000000001</v>
      </c>
      <c r="AB24" s="945">
        <v>54.9</v>
      </c>
      <c r="AC24" s="945">
        <v>55.09</v>
      </c>
      <c r="AD24" s="945">
        <v>55.150000000000006</v>
      </c>
      <c r="AE24" s="945">
        <v>55.314999999999998</v>
      </c>
      <c r="AF24" s="945">
        <v>55.55</v>
      </c>
      <c r="AG24" s="945">
        <v>55.775000000000006</v>
      </c>
      <c r="AH24" s="945">
        <v>56.034999999999997</v>
      </c>
      <c r="AI24" s="945">
        <v>56.29</v>
      </c>
      <c r="AJ24" s="945">
        <v>56.605000000000004</v>
      </c>
      <c r="AK24" s="945">
        <v>56.895000000000003</v>
      </c>
      <c r="AL24" s="945">
        <v>57.245000000000005</v>
      </c>
      <c r="AM24" s="945">
        <v>57.56</v>
      </c>
      <c r="AN24" s="945">
        <v>57.774999999999999</v>
      </c>
      <c r="AO24" s="945">
        <v>57.94</v>
      </c>
      <c r="AP24" s="945">
        <v>58.125</v>
      </c>
      <c r="AQ24" s="945">
        <v>58.26</v>
      </c>
      <c r="AR24" s="945">
        <v>58.424999999999997</v>
      </c>
      <c r="AS24" s="945">
        <v>58.5</v>
      </c>
      <c r="AT24" s="945">
        <v>58.56</v>
      </c>
      <c r="AU24" s="945">
        <v>58.64</v>
      </c>
      <c r="AV24" s="945">
        <v>58.74</v>
      </c>
      <c r="AW24" s="945">
        <v>59.024999999999999</v>
      </c>
      <c r="AX24" s="945">
        <v>59.16</v>
      </c>
      <c r="AY24" s="945">
        <v>59.295000000000002</v>
      </c>
      <c r="AZ24" s="945">
        <v>59.394999999999996</v>
      </c>
      <c r="BA24" s="945">
        <v>59.515000000000001</v>
      </c>
      <c r="BB24" s="945">
        <v>59.65</v>
      </c>
      <c r="BC24" s="945">
        <v>59.78</v>
      </c>
      <c r="BD24" s="945">
        <v>59.93</v>
      </c>
      <c r="BE24" s="945">
        <v>60.094999999999999</v>
      </c>
      <c r="BF24" s="945">
        <v>60.29</v>
      </c>
      <c r="BG24" s="945">
        <v>60.465000000000003</v>
      </c>
      <c r="BH24" s="945">
        <v>60.715000000000003</v>
      </c>
      <c r="BI24" s="945">
        <v>60.879999999999995</v>
      </c>
      <c r="BJ24" s="945">
        <v>61.099999999999994</v>
      </c>
      <c r="BK24" s="945">
        <v>61.290000000000006</v>
      </c>
      <c r="BL24" s="945">
        <v>61.53</v>
      </c>
      <c r="BM24" s="945">
        <v>61.755000000000003</v>
      </c>
      <c r="BN24" s="945">
        <v>61.96</v>
      </c>
      <c r="BO24" s="945">
        <v>62.14</v>
      </c>
      <c r="BP24" s="945">
        <v>62.344999999999999</v>
      </c>
      <c r="BQ24" s="945">
        <v>62.525000000000006</v>
      </c>
      <c r="BR24" s="945">
        <v>62.704999999999998</v>
      </c>
      <c r="BS24" s="945">
        <v>62.89</v>
      </c>
      <c r="BT24" s="946">
        <v>63.074999999999996</v>
      </c>
      <c r="BU24" s="945">
        <v>63.22</v>
      </c>
      <c r="BV24" s="945">
        <v>63.395000000000003</v>
      </c>
      <c r="BW24" s="945">
        <v>63.56</v>
      </c>
      <c r="BX24" s="945">
        <v>63.73</v>
      </c>
      <c r="BY24" s="945">
        <v>63.879999999999995</v>
      </c>
      <c r="BZ24" s="945">
        <v>64.039999999999992</v>
      </c>
      <c r="CA24" s="945">
        <v>64.19</v>
      </c>
      <c r="CB24" s="945">
        <v>64.349999999999994</v>
      </c>
      <c r="CC24" s="945">
        <v>64.504999999999995</v>
      </c>
      <c r="CD24" s="945">
        <v>64.66</v>
      </c>
      <c r="CE24" s="945">
        <v>64.814999999999998</v>
      </c>
      <c r="CF24" s="945">
        <v>64.97</v>
      </c>
      <c r="CG24" s="945">
        <v>65.12</v>
      </c>
      <c r="CH24" s="945">
        <v>65.27</v>
      </c>
      <c r="CI24" s="945">
        <v>65.435000000000002</v>
      </c>
      <c r="CJ24" s="945">
        <v>65.58</v>
      </c>
      <c r="CK24" s="945">
        <v>65.724999999999994</v>
      </c>
      <c r="CL24" s="945">
        <v>65.88</v>
      </c>
      <c r="CM24" s="945">
        <v>66.03</v>
      </c>
      <c r="CN24" s="945">
        <v>66.180000000000007</v>
      </c>
      <c r="CO24" s="945">
        <v>66.325000000000003</v>
      </c>
      <c r="CP24" s="945">
        <v>66.474999999999994</v>
      </c>
      <c r="CQ24" s="945">
        <v>66.61</v>
      </c>
      <c r="CR24" s="945">
        <v>66.75</v>
      </c>
      <c r="CS24" s="945">
        <v>66.900000000000006</v>
      </c>
      <c r="CT24" s="945">
        <v>67.039999999999992</v>
      </c>
      <c r="CU24" s="945">
        <v>67.174999999999997</v>
      </c>
      <c r="CV24" s="945">
        <v>67.314999999999998</v>
      </c>
      <c r="CW24" s="945">
        <v>67.449999999999989</v>
      </c>
      <c r="CX24" s="945">
        <v>67.58</v>
      </c>
      <c r="CY24" s="945">
        <v>67.72</v>
      </c>
      <c r="CZ24" s="945">
        <v>67.849999999999994</v>
      </c>
      <c r="DA24" s="945">
        <v>67.984999999999999</v>
      </c>
      <c r="DB24" s="945">
        <v>68.115000000000009</v>
      </c>
      <c r="DC24" s="945">
        <v>68.240000000000009</v>
      </c>
      <c r="DD24" s="945">
        <v>68.37</v>
      </c>
      <c r="DE24" s="945">
        <v>68.495000000000005</v>
      </c>
      <c r="DF24" s="945">
        <v>68.62</v>
      </c>
      <c r="DG24" s="945">
        <v>68.75</v>
      </c>
      <c r="DH24" s="945">
        <v>68.875</v>
      </c>
      <c r="DI24" s="945">
        <v>69</v>
      </c>
      <c r="DJ24" s="945">
        <v>69.115000000000009</v>
      </c>
      <c r="DK24" s="945">
        <v>69.240000000000009</v>
      </c>
      <c r="DL24" s="945">
        <v>69.36</v>
      </c>
      <c r="DM24" s="945">
        <v>69.474999999999994</v>
      </c>
      <c r="DN24" s="945">
        <v>69.59</v>
      </c>
      <c r="DO24" s="945">
        <v>69.710000000000008</v>
      </c>
      <c r="DP24" s="945">
        <v>69.825000000000003</v>
      </c>
      <c r="DQ24" s="945">
        <v>69.94</v>
      </c>
      <c r="DR24" s="945">
        <v>70.055000000000007</v>
      </c>
    </row>
    <row r="25" spans="1:122" s="131" customFormat="1" ht="12.75">
      <c r="A25" s="949">
        <v>23</v>
      </c>
      <c r="B25" s="945">
        <v>47.892669785202763</v>
      </c>
      <c r="C25" s="945">
        <v>48.073940642602309</v>
      </c>
      <c r="D25" s="945">
        <v>48.298157533575676</v>
      </c>
      <c r="E25" s="945">
        <v>48.512722638468944</v>
      </c>
      <c r="F25" s="945">
        <v>48.804792554268644</v>
      </c>
      <c r="G25" s="945">
        <v>49.032811021819043</v>
      </c>
      <c r="H25" s="945">
        <v>49.23616210996525</v>
      </c>
      <c r="I25" s="945">
        <v>49.529513649887988</v>
      </c>
      <c r="J25" s="945">
        <v>49.751205308887734</v>
      </c>
      <c r="K25" s="945">
        <v>50.019649483364944</v>
      </c>
      <c r="L25" s="945">
        <v>50.292678364122487</v>
      </c>
      <c r="M25" s="945">
        <v>50.512019929821847</v>
      </c>
      <c r="N25" s="945">
        <v>50.758502054364151</v>
      </c>
      <c r="O25" s="945">
        <v>50.959528602649115</v>
      </c>
      <c r="P25" s="945">
        <v>51.253611430701781</v>
      </c>
      <c r="Q25" s="945">
        <v>51.394921040402707</v>
      </c>
      <c r="R25" s="945">
        <v>51.590848070387267</v>
      </c>
      <c r="S25" s="945">
        <v>51.724096993109619</v>
      </c>
      <c r="T25" s="945">
        <v>51.71526625864221</v>
      </c>
      <c r="U25" s="945">
        <v>51.969879981505045</v>
      </c>
      <c r="V25" s="945">
        <v>52.254999999999995</v>
      </c>
      <c r="W25" s="945">
        <v>52.545000000000002</v>
      </c>
      <c r="X25" s="945">
        <v>52.844999999999999</v>
      </c>
      <c r="Y25" s="945">
        <v>53.14</v>
      </c>
      <c r="Z25" s="945">
        <v>53.484999999999999</v>
      </c>
      <c r="AA25" s="945">
        <v>53.79</v>
      </c>
      <c r="AB25" s="945">
        <v>54.04</v>
      </c>
      <c r="AC25" s="945">
        <v>54.18</v>
      </c>
      <c r="AD25" s="945">
        <v>54.24</v>
      </c>
      <c r="AE25" s="945">
        <v>54.405000000000001</v>
      </c>
      <c r="AF25" s="945">
        <v>54.629999999999995</v>
      </c>
      <c r="AG25" s="945">
        <v>54.855000000000004</v>
      </c>
      <c r="AH25" s="945">
        <v>55.11</v>
      </c>
      <c r="AI25" s="945">
        <v>55.36</v>
      </c>
      <c r="AJ25" s="945">
        <v>55.674999999999997</v>
      </c>
      <c r="AK25" s="945">
        <v>55.965000000000003</v>
      </c>
      <c r="AL25" s="945">
        <v>56.314999999999998</v>
      </c>
      <c r="AM25" s="945">
        <v>56.63</v>
      </c>
      <c r="AN25" s="945">
        <v>56.844999999999999</v>
      </c>
      <c r="AO25" s="945">
        <v>57.004999999999995</v>
      </c>
      <c r="AP25" s="945">
        <v>57.19</v>
      </c>
      <c r="AQ25" s="945">
        <v>57.32</v>
      </c>
      <c r="AR25" s="945">
        <v>57.489999999999995</v>
      </c>
      <c r="AS25" s="945">
        <v>57.555</v>
      </c>
      <c r="AT25" s="945">
        <v>57.625</v>
      </c>
      <c r="AU25" s="945">
        <v>57.71</v>
      </c>
      <c r="AV25" s="945">
        <v>57.805</v>
      </c>
      <c r="AW25" s="945">
        <v>58.09</v>
      </c>
      <c r="AX25" s="945">
        <v>58.230000000000004</v>
      </c>
      <c r="AY25" s="945">
        <v>58.36</v>
      </c>
      <c r="AZ25" s="945">
        <v>58.46</v>
      </c>
      <c r="BA25" s="945">
        <v>58.575000000000003</v>
      </c>
      <c r="BB25" s="945">
        <v>58.704999999999998</v>
      </c>
      <c r="BC25" s="945">
        <v>58.84</v>
      </c>
      <c r="BD25" s="945">
        <v>58.995000000000005</v>
      </c>
      <c r="BE25" s="945">
        <v>59.16</v>
      </c>
      <c r="BF25" s="945">
        <v>59.36</v>
      </c>
      <c r="BG25" s="945">
        <v>59.524999999999999</v>
      </c>
      <c r="BH25" s="945">
        <v>59.77</v>
      </c>
      <c r="BI25" s="945">
        <v>59.93</v>
      </c>
      <c r="BJ25" s="945">
        <v>60.155000000000001</v>
      </c>
      <c r="BK25" s="945">
        <v>60.34</v>
      </c>
      <c r="BL25" s="945">
        <v>60.575000000000003</v>
      </c>
      <c r="BM25" s="945">
        <v>60.805</v>
      </c>
      <c r="BN25" s="945">
        <v>61.004999999999995</v>
      </c>
      <c r="BO25" s="945">
        <v>61.185000000000002</v>
      </c>
      <c r="BP25" s="945">
        <v>61.384999999999998</v>
      </c>
      <c r="BQ25" s="945">
        <v>61.570000000000007</v>
      </c>
      <c r="BR25" s="945">
        <v>61.75</v>
      </c>
      <c r="BS25" s="945">
        <v>61.935000000000002</v>
      </c>
      <c r="BT25" s="946">
        <v>62.115000000000002</v>
      </c>
      <c r="BU25" s="945">
        <v>62.265000000000001</v>
      </c>
      <c r="BV25" s="945">
        <v>62.435000000000002</v>
      </c>
      <c r="BW25" s="945">
        <v>62.604999999999997</v>
      </c>
      <c r="BX25" s="945">
        <v>62.77</v>
      </c>
      <c r="BY25" s="945">
        <v>62.915000000000006</v>
      </c>
      <c r="BZ25" s="945">
        <v>63.08</v>
      </c>
      <c r="CA25" s="945">
        <v>63.230000000000004</v>
      </c>
      <c r="CB25" s="945">
        <v>63.38</v>
      </c>
      <c r="CC25" s="945">
        <v>63.540000000000006</v>
      </c>
      <c r="CD25" s="945">
        <v>63.695</v>
      </c>
      <c r="CE25" s="945">
        <v>63.85</v>
      </c>
      <c r="CF25" s="945">
        <v>63.995000000000005</v>
      </c>
      <c r="CG25" s="945">
        <v>64.14500000000001</v>
      </c>
      <c r="CH25" s="945">
        <v>64.3</v>
      </c>
      <c r="CI25" s="945">
        <v>64.460000000000008</v>
      </c>
      <c r="CJ25" s="945">
        <v>64.599999999999994</v>
      </c>
      <c r="CK25" s="945">
        <v>64.754999999999995</v>
      </c>
      <c r="CL25" s="945">
        <v>64.905000000000001</v>
      </c>
      <c r="CM25" s="945">
        <v>65.06</v>
      </c>
      <c r="CN25" s="945">
        <v>65.204999999999998</v>
      </c>
      <c r="CO25" s="945">
        <v>65.344999999999999</v>
      </c>
      <c r="CP25" s="945">
        <v>65.495000000000005</v>
      </c>
      <c r="CQ25" s="945">
        <v>65.634999999999991</v>
      </c>
      <c r="CR25" s="945">
        <v>65.77</v>
      </c>
      <c r="CS25" s="945">
        <v>65.919999999999987</v>
      </c>
      <c r="CT25" s="945">
        <v>66.055000000000007</v>
      </c>
      <c r="CU25" s="945">
        <v>66.194999999999993</v>
      </c>
      <c r="CV25" s="945">
        <v>66.33</v>
      </c>
      <c r="CW25" s="945">
        <v>66.47</v>
      </c>
      <c r="CX25" s="945">
        <v>66.599999999999994</v>
      </c>
      <c r="CY25" s="945">
        <v>66.734999999999999</v>
      </c>
      <c r="CZ25" s="945">
        <v>66.865000000000009</v>
      </c>
      <c r="DA25" s="945">
        <v>67</v>
      </c>
      <c r="DB25" s="945">
        <v>67.13</v>
      </c>
      <c r="DC25" s="945">
        <v>67.254999999999995</v>
      </c>
      <c r="DD25" s="945">
        <v>67.385000000000005</v>
      </c>
      <c r="DE25" s="945">
        <v>67.510000000000005</v>
      </c>
      <c r="DF25" s="945">
        <v>67.64</v>
      </c>
      <c r="DG25" s="945">
        <v>67.765000000000001</v>
      </c>
      <c r="DH25" s="945">
        <v>67.89</v>
      </c>
      <c r="DI25" s="945">
        <v>68.009999999999991</v>
      </c>
      <c r="DJ25" s="945">
        <v>68.13</v>
      </c>
      <c r="DK25" s="945">
        <v>68.25</v>
      </c>
      <c r="DL25" s="945">
        <v>68.37</v>
      </c>
      <c r="DM25" s="945">
        <v>68.490000000000009</v>
      </c>
      <c r="DN25" s="945">
        <v>68.60499999999999</v>
      </c>
      <c r="DO25" s="945">
        <v>68.72</v>
      </c>
      <c r="DP25" s="945">
        <v>68.835000000000008</v>
      </c>
      <c r="DQ25" s="945">
        <v>68.95</v>
      </c>
      <c r="DR25" s="945">
        <v>69.064999999999998</v>
      </c>
    </row>
    <row r="26" spans="1:122" s="131" customFormat="1" ht="12.75">
      <c r="A26" s="949">
        <v>24</v>
      </c>
      <c r="B26" s="945">
        <v>47.140277519297022</v>
      </c>
      <c r="C26" s="945">
        <v>47.269747477849045</v>
      </c>
      <c r="D26" s="945">
        <v>47.494882188429784</v>
      </c>
      <c r="E26" s="945">
        <v>47.710321490101038</v>
      </c>
      <c r="F26" s="945">
        <v>47.982355432709937</v>
      </c>
      <c r="G26" s="945">
        <v>48.207763842372032</v>
      </c>
      <c r="H26" s="945">
        <v>48.41450300944792</v>
      </c>
      <c r="I26" s="945">
        <v>48.68641833215348</v>
      </c>
      <c r="J26" s="945">
        <v>48.896925260048633</v>
      </c>
      <c r="K26" s="945">
        <v>49.155413145479201</v>
      </c>
      <c r="L26" s="945">
        <v>49.429189346231297</v>
      </c>
      <c r="M26" s="945">
        <v>49.649132539199805</v>
      </c>
      <c r="N26" s="945">
        <v>49.906832003425265</v>
      </c>
      <c r="O26" s="945">
        <v>50.104107945770977</v>
      </c>
      <c r="P26" s="945">
        <v>50.397876044460283</v>
      </c>
      <c r="Q26" s="945">
        <v>50.536829412780179</v>
      </c>
      <c r="R26" s="945">
        <v>50.723361651151741</v>
      </c>
      <c r="S26" s="945">
        <v>50.85694755060053</v>
      </c>
      <c r="T26" s="945">
        <v>50.848096543352696</v>
      </c>
      <c r="U26" s="945">
        <v>51.103369595903231</v>
      </c>
      <c r="V26" s="945">
        <v>51.405000000000001</v>
      </c>
      <c r="W26" s="945">
        <v>51.715000000000003</v>
      </c>
      <c r="X26" s="945">
        <v>52.094999999999999</v>
      </c>
      <c r="Y26" s="945">
        <v>52.33</v>
      </c>
      <c r="Z26" s="945">
        <v>52.68</v>
      </c>
      <c r="AA26" s="945">
        <v>52.92</v>
      </c>
      <c r="AB26" s="945">
        <v>53.129999999999995</v>
      </c>
      <c r="AC26" s="945">
        <v>53.275000000000006</v>
      </c>
      <c r="AD26" s="945">
        <v>53.325000000000003</v>
      </c>
      <c r="AE26" s="945">
        <v>53.484999999999999</v>
      </c>
      <c r="AF26" s="945">
        <v>53.71</v>
      </c>
      <c r="AG26" s="945">
        <v>53.93</v>
      </c>
      <c r="AH26" s="945">
        <v>54.185000000000002</v>
      </c>
      <c r="AI26" s="945">
        <v>54.435000000000002</v>
      </c>
      <c r="AJ26" s="945">
        <v>54.744999999999997</v>
      </c>
      <c r="AK26" s="945">
        <v>55.034999999999997</v>
      </c>
      <c r="AL26" s="945">
        <v>55.379999999999995</v>
      </c>
      <c r="AM26" s="945">
        <v>55.695</v>
      </c>
      <c r="AN26" s="945">
        <v>55.915000000000006</v>
      </c>
      <c r="AO26" s="945">
        <v>56.07</v>
      </c>
      <c r="AP26" s="945">
        <v>56.254999999999995</v>
      </c>
      <c r="AQ26" s="945">
        <v>56.384999999999998</v>
      </c>
      <c r="AR26" s="945">
        <v>56.555</v>
      </c>
      <c r="AS26" s="945">
        <v>56.620000000000005</v>
      </c>
      <c r="AT26" s="945">
        <v>56.680000000000007</v>
      </c>
      <c r="AU26" s="945">
        <v>56.765000000000001</v>
      </c>
      <c r="AV26" s="945">
        <v>56.870000000000005</v>
      </c>
      <c r="AW26" s="945">
        <v>57.15</v>
      </c>
      <c r="AX26" s="945">
        <v>57.29</v>
      </c>
      <c r="AY26" s="945">
        <v>57.42</v>
      </c>
      <c r="AZ26" s="945">
        <v>57.519999999999996</v>
      </c>
      <c r="BA26" s="945">
        <v>57.625</v>
      </c>
      <c r="BB26" s="945">
        <v>57.765000000000001</v>
      </c>
      <c r="BC26" s="945">
        <v>57.894999999999996</v>
      </c>
      <c r="BD26" s="945">
        <v>58.05</v>
      </c>
      <c r="BE26" s="945">
        <v>58.215000000000003</v>
      </c>
      <c r="BF26" s="945">
        <v>58.414999999999999</v>
      </c>
      <c r="BG26" s="945">
        <v>58.58</v>
      </c>
      <c r="BH26" s="945">
        <v>58.82</v>
      </c>
      <c r="BI26" s="945">
        <v>58.984999999999999</v>
      </c>
      <c r="BJ26" s="945">
        <v>59.204999999999998</v>
      </c>
      <c r="BK26" s="945">
        <v>59.384999999999998</v>
      </c>
      <c r="BL26" s="945">
        <v>59.620000000000005</v>
      </c>
      <c r="BM26" s="945">
        <v>59.84</v>
      </c>
      <c r="BN26" s="945">
        <v>60.045000000000002</v>
      </c>
      <c r="BO26" s="945">
        <v>60.225000000000001</v>
      </c>
      <c r="BP26" s="945">
        <v>60.43</v>
      </c>
      <c r="BQ26" s="945">
        <v>60.615000000000002</v>
      </c>
      <c r="BR26" s="945">
        <v>60.795000000000002</v>
      </c>
      <c r="BS26" s="945">
        <v>60.975000000000001</v>
      </c>
      <c r="BT26" s="946">
        <v>61.155000000000001</v>
      </c>
      <c r="BU26" s="945">
        <v>61.3</v>
      </c>
      <c r="BV26" s="945">
        <v>61.475000000000001</v>
      </c>
      <c r="BW26" s="945">
        <v>61.644999999999996</v>
      </c>
      <c r="BX26" s="945">
        <v>61.81</v>
      </c>
      <c r="BY26" s="945">
        <v>61.954999999999998</v>
      </c>
      <c r="BZ26" s="945">
        <v>62.120000000000005</v>
      </c>
      <c r="CA26" s="945">
        <v>62.265000000000001</v>
      </c>
      <c r="CB26" s="945">
        <v>62.414999999999999</v>
      </c>
      <c r="CC26" s="945">
        <v>62.569999999999993</v>
      </c>
      <c r="CD26" s="945">
        <v>62.72</v>
      </c>
      <c r="CE26" s="945">
        <v>62.879999999999995</v>
      </c>
      <c r="CF26" s="945">
        <v>63.024999999999999</v>
      </c>
      <c r="CG26" s="945">
        <v>63.174999999999997</v>
      </c>
      <c r="CH26" s="945">
        <v>63.325000000000003</v>
      </c>
      <c r="CI26" s="945">
        <v>63.484999999999999</v>
      </c>
      <c r="CJ26" s="945">
        <v>63.625</v>
      </c>
      <c r="CK26" s="945">
        <v>63.78</v>
      </c>
      <c r="CL26" s="945">
        <v>63.930000000000007</v>
      </c>
      <c r="CM26" s="945">
        <v>64.08</v>
      </c>
      <c r="CN26" s="945">
        <v>64.224999999999994</v>
      </c>
      <c r="CO26" s="945">
        <v>64.37</v>
      </c>
      <c r="CP26" s="945">
        <v>64.509999999999991</v>
      </c>
      <c r="CQ26" s="945">
        <v>64.655000000000001</v>
      </c>
      <c r="CR26" s="945">
        <v>64.795000000000002</v>
      </c>
      <c r="CS26" s="945">
        <v>64.935000000000002</v>
      </c>
      <c r="CT26" s="945">
        <v>65.075000000000003</v>
      </c>
      <c r="CU26" s="945">
        <v>65.215000000000003</v>
      </c>
      <c r="CV26" s="945">
        <v>65.349999999999994</v>
      </c>
      <c r="CW26" s="945">
        <v>65.484999999999999</v>
      </c>
      <c r="CX26" s="945">
        <v>65.62</v>
      </c>
      <c r="CY26" s="945">
        <v>65.754999999999995</v>
      </c>
      <c r="CZ26" s="945">
        <v>65.884999999999991</v>
      </c>
      <c r="DA26" s="945">
        <v>66.015000000000001</v>
      </c>
      <c r="DB26" s="945">
        <v>66.144999999999996</v>
      </c>
      <c r="DC26" s="945">
        <v>66.275000000000006</v>
      </c>
      <c r="DD26" s="945">
        <v>66.400000000000006</v>
      </c>
      <c r="DE26" s="945">
        <v>66.525000000000006</v>
      </c>
      <c r="DF26" s="945">
        <v>66.650000000000006</v>
      </c>
      <c r="DG26" s="945">
        <v>66.78</v>
      </c>
      <c r="DH26" s="945">
        <v>66.89500000000001</v>
      </c>
      <c r="DI26" s="945">
        <v>67.02000000000001</v>
      </c>
      <c r="DJ26" s="945">
        <v>67.14</v>
      </c>
      <c r="DK26" s="945">
        <v>67.265000000000001</v>
      </c>
      <c r="DL26" s="945">
        <v>67.38</v>
      </c>
      <c r="DM26" s="945">
        <v>67.495000000000005</v>
      </c>
      <c r="DN26" s="945">
        <v>67.62</v>
      </c>
      <c r="DO26" s="945">
        <v>67.734999999999999</v>
      </c>
      <c r="DP26" s="945">
        <v>67.844999999999999</v>
      </c>
      <c r="DQ26" s="945">
        <v>67.960000000000008</v>
      </c>
      <c r="DR26" s="945">
        <v>68.069999999999993</v>
      </c>
    </row>
    <row r="27" spans="1:122" s="131" customFormat="1" ht="12.75">
      <c r="A27" s="949">
        <v>25</v>
      </c>
      <c r="B27" s="945">
        <v>46.333655613064103</v>
      </c>
      <c r="C27" s="945">
        <v>46.463659146427062</v>
      </c>
      <c r="D27" s="945">
        <v>46.68972358058484</v>
      </c>
      <c r="E27" s="945">
        <v>46.885243325193159</v>
      </c>
      <c r="F27" s="945">
        <v>47.1548904623521</v>
      </c>
      <c r="G27" s="945">
        <v>47.383788842873244</v>
      </c>
      <c r="H27" s="945">
        <v>47.569258140553167</v>
      </c>
      <c r="I27" s="945">
        <v>47.830369516207035</v>
      </c>
      <c r="J27" s="945">
        <v>48.030890753254752</v>
      </c>
      <c r="K27" s="945">
        <v>48.290094247111732</v>
      </c>
      <c r="L27" s="945">
        <v>48.564627272619454</v>
      </c>
      <c r="M27" s="945">
        <v>48.794760084921478</v>
      </c>
      <c r="N27" s="945">
        <v>49.04995206037313</v>
      </c>
      <c r="O27" s="945">
        <v>49.246348059360429</v>
      </c>
      <c r="P27" s="945">
        <v>49.538199654147903</v>
      </c>
      <c r="Q27" s="945">
        <v>49.667767298224291</v>
      </c>
      <c r="R27" s="945">
        <v>49.854785236461119</v>
      </c>
      <c r="S27" s="945">
        <v>49.988712632996624</v>
      </c>
      <c r="T27" s="945">
        <v>49.979840937332007</v>
      </c>
      <c r="U27" s="945">
        <v>50.249060990155755</v>
      </c>
      <c r="V27" s="945">
        <v>50.564999999999998</v>
      </c>
      <c r="W27" s="945">
        <v>50.954999999999998</v>
      </c>
      <c r="X27" s="945">
        <v>51.28</v>
      </c>
      <c r="Y27" s="945">
        <v>51.515000000000001</v>
      </c>
      <c r="Z27" s="945">
        <v>51.814999999999998</v>
      </c>
      <c r="AA27" s="945">
        <v>52.015000000000001</v>
      </c>
      <c r="AB27" s="945">
        <v>52.22</v>
      </c>
      <c r="AC27" s="945">
        <v>52.365000000000002</v>
      </c>
      <c r="AD27" s="945">
        <v>52.405000000000001</v>
      </c>
      <c r="AE27" s="945">
        <v>52.56</v>
      </c>
      <c r="AF27" s="945">
        <v>52.78</v>
      </c>
      <c r="AG27" s="945">
        <v>53</v>
      </c>
      <c r="AH27" s="945">
        <v>53.260000000000005</v>
      </c>
      <c r="AI27" s="945">
        <v>53.5</v>
      </c>
      <c r="AJ27" s="945">
        <v>53.81</v>
      </c>
      <c r="AK27" s="945">
        <v>54.099999999999994</v>
      </c>
      <c r="AL27" s="945">
        <v>54.44</v>
      </c>
      <c r="AM27" s="945">
        <v>54.755000000000003</v>
      </c>
      <c r="AN27" s="945">
        <v>54.97</v>
      </c>
      <c r="AO27" s="945">
        <v>55.134999999999998</v>
      </c>
      <c r="AP27" s="945">
        <v>55.314999999999998</v>
      </c>
      <c r="AQ27" s="945">
        <v>55.445</v>
      </c>
      <c r="AR27" s="945">
        <v>55.62</v>
      </c>
      <c r="AS27" s="945">
        <v>55.674999999999997</v>
      </c>
      <c r="AT27" s="945">
        <v>55.74</v>
      </c>
      <c r="AU27" s="945">
        <v>55.83</v>
      </c>
      <c r="AV27" s="945">
        <v>55.935000000000002</v>
      </c>
      <c r="AW27" s="945">
        <v>56.215000000000003</v>
      </c>
      <c r="AX27" s="945">
        <v>56.35</v>
      </c>
      <c r="AY27" s="945">
        <v>56.474999999999994</v>
      </c>
      <c r="AZ27" s="945">
        <v>56.57</v>
      </c>
      <c r="BA27" s="945">
        <v>56.685000000000002</v>
      </c>
      <c r="BB27" s="945">
        <v>56.82</v>
      </c>
      <c r="BC27" s="945">
        <v>56.954999999999998</v>
      </c>
      <c r="BD27" s="945">
        <v>57.105000000000004</v>
      </c>
      <c r="BE27" s="945">
        <v>57.269999999999996</v>
      </c>
      <c r="BF27" s="945">
        <v>57.465000000000003</v>
      </c>
      <c r="BG27" s="945">
        <v>57.63</v>
      </c>
      <c r="BH27" s="945">
        <v>57.870000000000005</v>
      </c>
      <c r="BI27" s="945">
        <v>58.03</v>
      </c>
      <c r="BJ27" s="945">
        <v>58.244999999999997</v>
      </c>
      <c r="BK27" s="945">
        <v>58.43</v>
      </c>
      <c r="BL27" s="945">
        <v>58.66</v>
      </c>
      <c r="BM27" s="945">
        <v>58.885000000000005</v>
      </c>
      <c r="BN27" s="945">
        <v>59.085000000000001</v>
      </c>
      <c r="BO27" s="945">
        <v>59.269999999999996</v>
      </c>
      <c r="BP27" s="945">
        <v>59.47</v>
      </c>
      <c r="BQ27" s="945">
        <v>59.655000000000001</v>
      </c>
      <c r="BR27" s="945">
        <v>59.835000000000001</v>
      </c>
      <c r="BS27" s="945">
        <v>60.015000000000001</v>
      </c>
      <c r="BT27" s="946">
        <v>60.195</v>
      </c>
      <c r="BU27" s="945">
        <v>60.34</v>
      </c>
      <c r="BV27" s="945">
        <v>60.51</v>
      </c>
      <c r="BW27" s="945">
        <v>60.68</v>
      </c>
      <c r="BX27" s="945">
        <v>60.844999999999999</v>
      </c>
      <c r="BY27" s="945">
        <v>60.989999999999995</v>
      </c>
      <c r="BZ27" s="945">
        <v>61.144999999999996</v>
      </c>
      <c r="CA27" s="945">
        <v>61.295000000000002</v>
      </c>
      <c r="CB27" s="945">
        <v>61.44</v>
      </c>
      <c r="CC27" s="945">
        <v>61.605000000000004</v>
      </c>
      <c r="CD27" s="945">
        <v>61.75</v>
      </c>
      <c r="CE27" s="945">
        <v>61.900000000000006</v>
      </c>
      <c r="CF27" s="945">
        <v>62.045000000000002</v>
      </c>
      <c r="CG27" s="945">
        <v>62.195000000000007</v>
      </c>
      <c r="CH27" s="945">
        <v>62.35</v>
      </c>
      <c r="CI27" s="945">
        <v>62.510000000000005</v>
      </c>
      <c r="CJ27" s="945">
        <v>62.650000000000006</v>
      </c>
      <c r="CK27" s="945">
        <v>62.805000000000007</v>
      </c>
      <c r="CL27" s="945">
        <v>62.954999999999998</v>
      </c>
      <c r="CM27" s="945">
        <v>63.1</v>
      </c>
      <c r="CN27" s="945">
        <v>63.245000000000005</v>
      </c>
      <c r="CO27" s="945">
        <v>63.39</v>
      </c>
      <c r="CP27" s="945">
        <v>63.53</v>
      </c>
      <c r="CQ27" s="945">
        <v>63.67</v>
      </c>
      <c r="CR27" s="945">
        <v>63.814999999999998</v>
      </c>
      <c r="CS27" s="945">
        <v>63.954999999999998</v>
      </c>
      <c r="CT27" s="945">
        <v>64.094999999999999</v>
      </c>
      <c r="CU27" s="945">
        <v>64.23</v>
      </c>
      <c r="CV27" s="945">
        <v>64.365000000000009</v>
      </c>
      <c r="CW27" s="945">
        <v>64.504999999999995</v>
      </c>
      <c r="CX27" s="945">
        <v>64.634999999999991</v>
      </c>
      <c r="CY27" s="945">
        <v>64.77</v>
      </c>
      <c r="CZ27" s="945">
        <v>64.900000000000006</v>
      </c>
      <c r="DA27" s="945">
        <v>65.03</v>
      </c>
      <c r="DB27" s="945">
        <v>65.16</v>
      </c>
      <c r="DC27" s="945">
        <v>65.290000000000006</v>
      </c>
      <c r="DD27" s="945">
        <v>65.415000000000006</v>
      </c>
      <c r="DE27" s="945">
        <v>65.539999999999992</v>
      </c>
      <c r="DF27" s="945">
        <v>65.664999999999992</v>
      </c>
      <c r="DG27" s="945">
        <v>65.784999999999997</v>
      </c>
      <c r="DH27" s="945">
        <v>65.91</v>
      </c>
      <c r="DI27" s="945">
        <v>66.034999999999997</v>
      </c>
      <c r="DJ27" s="945">
        <v>66.155000000000001</v>
      </c>
      <c r="DK27" s="945">
        <v>66.275000000000006</v>
      </c>
      <c r="DL27" s="945">
        <v>66.394999999999996</v>
      </c>
      <c r="DM27" s="945">
        <v>66.510000000000005</v>
      </c>
      <c r="DN27" s="945">
        <v>66.625</v>
      </c>
      <c r="DO27" s="945">
        <v>66.739999999999995</v>
      </c>
      <c r="DP27" s="945">
        <v>66.855000000000004</v>
      </c>
      <c r="DQ27" s="945">
        <v>66.97</v>
      </c>
      <c r="DR27" s="945">
        <v>67.085000000000008</v>
      </c>
    </row>
    <row r="28" spans="1:122" s="131" customFormat="1" ht="12.75">
      <c r="A28" s="949">
        <v>26</v>
      </c>
      <c r="B28" s="945">
        <v>45.524758544735953</v>
      </c>
      <c r="C28" s="945">
        <v>45.655301602920673</v>
      </c>
      <c r="D28" s="945">
        <v>45.86189543227583</v>
      </c>
      <c r="E28" s="945">
        <v>46.056218203030056</v>
      </c>
      <c r="F28" s="945">
        <v>46.329550975136982</v>
      </c>
      <c r="G28" s="945">
        <v>46.538804492448541</v>
      </c>
      <c r="H28" s="945">
        <v>46.713263871791838</v>
      </c>
      <c r="I28" s="945">
        <v>46.96454560271394</v>
      </c>
      <c r="J28" s="945">
        <v>47.165630163971002</v>
      </c>
      <c r="K28" s="945">
        <v>47.425568569681182</v>
      </c>
      <c r="L28" s="945">
        <v>47.707601567033471</v>
      </c>
      <c r="M28" s="945">
        <v>47.936186536808819</v>
      </c>
      <c r="N28" s="945">
        <v>48.192401980059145</v>
      </c>
      <c r="O28" s="945">
        <v>48.386581468239719</v>
      </c>
      <c r="P28" s="945">
        <v>48.669509590885156</v>
      </c>
      <c r="Q28" s="945">
        <v>48.799429005190746</v>
      </c>
      <c r="R28" s="945">
        <v>48.986945521973233</v>
      </c>
      <c r="S28" s="945">
        <v>49.121223970198812</v>
      </c>
      <c r="T28" s="945">
        <v>49.125619425668006</v>
      </c>
      <c r="U28" s="945">
        <v>49.41568736980831</v>
      </c>
      <c r="V28" s="945">
        <v>49.81</v>
      </c>
      <c r="W28" s="945">
        <v>50.135000000000005</v>
      </c>
      <c r="X28" s="945">
        <v>50.454999999999998</v>
      </c>
      <c r="Y28" s="945">
        <v>50.644999999999996</v>
      </c>
      <c r="Z28" s="945">
        <v>50.905000000000001</v>
      </c>
      <c r="AA28" s="945">
        <v>51.104999999999997</v>
      </c>
      <c r="AB28" s="945">
        <v>51.31</v>
      </c>
      <c r="AC28" s="945">
        <v>51.44</v>
      </c>
      <c r="AD28" s="945">
        <v>51.475000000000001</v>
      </c>
      <c r="AE28" s="945">
        <v>51.625</v>
      </c>
      <c r="AF28" s="945">
        <v>51.849999999999994</v>
      </c>
      <c r="AG28" s="945">
        <v>52.07</v>
      </c>
      <c r="AH28" s="945">
        <v>52.325000000000003</v>
      </c>
      <c r="AI28" s="945">
        <v>52.564999999999998</v>
      </c>
      <c r="AJ28" s="945">
        <v>52.875</v>
      </c>
      <c r="AK28" s="945">
        <v>53.16</v>
      </c>
      <c r="AL28" s="945">
        <v>53.504999999999995</v>
      </c>
      <c r="AM28" s="945">
        <v>53.814999999999998</v>
      </c>
      <c r="AN28" s="945">
        <v>54.03</v>
      </c>
      <c r="AO28" s="945">
        <v>54.19</v>
      </c>
      <c r="AP28" s="945">
        <v>54.375</v>
      </c>
      <c r="AQ28" s="945">
        <v>54.5</v>
      </c>
      <c r="AR28" s="945">
        <v>54.68</v>
      </c>
      <c r="AS28" s="945">
        <v>54.730000000000004</v>
      </c>
      <c r="AT28" s="945">
        <v>54.79</v>
      </c>
      <c r="AU28" s="945">
        <v>54.885000000000005</v>
      </c>
      <c r="AV28" s="945">
        <v>54.989999999999995</v>
      </c>
      <c r="AW28" s="945">
        <v>55.274999999999999</v>
      </c>
      <c r="AX28" s="945">
        <v>55.405000000000001</v>
      </c>
      <c r="AY28" s="945">
        <v>55.53</v>
      </c>
      <c r="AZ28" s="945">
        <v>55.614999999999995</v>
      </c>
      <c r="BA28" s="945">
        <v>55.739999999999995</v>
      </c>
      <c r="BB28" s="945">
        <v>55.875</v>
      </c>
      <c r="BC28" s="945">
        <v>56.01</v>
      </c>
      <c r="BD28" s="945">
        <v>56.16</v>
      </c>
      <c r="BE28" s="945">
        <v>56.32</v>
      </c>
      <c r="BF28" s="945">
        <v>56.510000000000005</v>
      </c>
      <c r="BG28" s="945">
        <v>56.68</v>
      </c>
      <c r="BH28" s="945">
        <v>56.914999999999999</v>
      </c>
      <c r="BI28" s="945">
        <v>57.075000000000003</v>
      </c>
      <c r="BJ28" s="945">
        <v>57.29</v>
      </c>
      <c r="BK28" s="945">
        <v>57.47</v>
      </c>
      <c r="BL28" s="945">
        <v>57.704999999999998</v>
      </c>
      <c r="BM28" s="945">
        <v>57.924999999999997</v>
      </c>
      <c r="BN28" s="945">
        <v>58.129999999999995</v>
      </c>
      <c r="BO28" s="945">
        <v>58.314999999999998</v>
      </c>
      <c r="BP28" s="945">
        <v>58.515000000000001</v>
      </c>
      <c r="BQ28" s="945">
        <v>58.7</v>
      </c>
      <c r="BR28" s="945">
        <v>58.879999999999995</v>
      </c>
      <c r="BS28" s="945">
        <v>59.055</v>
      </c>
      <c r="BT28" s="946">
        <v>59.230000000000004</v>
      </c>
      <c r="BU28" s="945">
        <v>59.375</v>
      </c>
      <c r="BV28" s="945">
        <v>59.545000000000002</v>
      </c>
      <c r="BW28" s="945">
        <v>59.72</v>
      </c>
      <c r="BX28" s="945">
        <v>59.875</v>
      </c>
      <c r="BY28" s="945">
        <v>60.025000000000006</v>
      </c>
      <c r="BZ28" s="945">
        <v>60.18</v>
      </c>
      <c r="CA28" s="945">
        <v>60.33</v>
      </c>
      <c r="CB28" s="945">
        <v>60.475000000000001</v>
      </c>
      <c r="CC28" s="945">
        <v>60.625</v>
      </c>
      <c r="CD28" s="945">
        <v>60.774999999999999</v>
      </c>
      <c r="CE28" s="945">
        <v>60.93</v>
      </c>
      <c r="CF28" s="945">
        <v>61.075000000000003</v>
      </c>
      <c r="CG28" s="945">
        <v>61.22</v>
      </c>
      <c r="CH28" s="945">
        <v>61.375</v>
      </c>
      <c r="CI28" s="945">
        <v>61.53</v>
      </c>
      <c r="CJ28" s="945">
        <v>61.674999999999997</v>
      </c>
      <c r="CK28" s="945">
        <v>61.825000000000003</v>
      </c>
      <c r="CL28" s="945">
        <v>61.975000000000001</v>
      </c>
      <c r="CM28" s="945">
        <v>62.125</v>
      </c>
      <c r="CN28" s="945">
        <v>62.265000000000001</v>
      </c>
      <c r="CO28" s="945">
        <v>62.41</v>
      </c>
      <c r="CP28" s="945">
        <v>62.555</v>
      </c>
      <c r="CQ28" s="945">
        <v>62.695</v>
      </c>
      <c r="CR28" s="945">
        <v>62.835000000000008</v>
      </c>
      <c r="CS28" s="945">
        <v>62.97</v>
      </c>
      <c r="CT28" s="945">
        <v>63.11</v>
      </c>
      <c r="CU28" s="945">
        <v>63.245000000000005</v>
      </c>
      <c r="CV28" s="945">
        <v>63.384999999999998</v>
      </c>
      <c r="CW28" s="945">
        <v>63.519999999999996</v>
      </c>
      <c r="CX28" s="945">
        <v>63.65</v>
      </c>
      <c r="CY28" s="945">
        <v>63.785000000000004</v>
      </c>
      <c r="CZ28" s="945">
        <v>63.915000000000006</v>
      </c>
      <c r="DA28" s="945">
        <v>64.040000000000006</v>
      </c>
      <c r="DB28" s="945">
        <v>64.174999999999997</v>
      </c>
      <c r="DC28" s="945">
        <v>64.3</v>
      </c>
      <c r="DD28" s="945">
        <v>64.429999999999993</v>
      </c>
      <c r="DE28" s="945">
        <v>64.555000000000007</v>
      </c>
      <c r="DF28" s="945">
        <v>64.680000000000007</v>
      </c>
      <c r="DG28" s="945">
        <v>64.8</v>
      </c>
      <c r="DH28" s="945">
        <v>64.924999999999997</v>
      </c>
      <c r="DI28" s="945">
        <v>65.045000000000002</v>
      </c>
      <c r="DJ28" s="945">
        <v>65.164999999999992</v>
      </c>
      <c r="DK28" s="945">
        <v>65.284999999999997</v>
      </c>
      <c r="DL28" s="945">
        <v>65.405000000000001</v>
      </c>
      <c r="DM28" s="945">
        <v>65.52</v>
      </c>
      <c r="DN28" s="945">
        <v>65.64</v>
      </c>
      <c r="DO28" s="945">
        <v>65.754999999999995</v>
      </c>
      <c r="DP28" s="945">
        <v>65.87</v>
      </c>
      <c r="DQ28" s="945">
        <v>65.974999999999994</v>
      </c>
      <c r="DR28" s="945">
        <v>66.09</v>
      </c>
    </row>
    <row r="29" spans="1:122" s="131" customFormat="1" ht="12.75">
      <c r="A29" s="949">
        <v>27</v>
      </c>
      <c r="B29" s="945">
        <v>44.711915346673109</v>
      </c>
      <c r="C29" s="945">
        <v>44.823151915587061</v>
      </c>
      <c r="D29" s="945">
        <v>45.03133495520197</v>
      </c>
      <c r="E29" s="945">
        <v>45.229070411629067</v>
      </c>
      <c r="F29" s="945">
        <v>45.485652437280365</v>
      </c>
      <c r="G29" s="945">
        <v>45.683948719250637</v>
      </c>
      <c r="H29" s="945">
        <v>45.848262275172019</v>
      </c>
      <c r="I29" s="945">
        <v>46.100275051847319</v>
      </c>
      <c r="J29" s="945">
        <v>46.301942466832131</v>
      </c>
      <c r="K29" s="945">
        <v>46.565705208177611</v>
      </c>
      <c r="L29" s="945">
        <v>46.84733827649611</v>
      </c>
      <c r="M29" s="945">
        <v>47.079523530770508</v>
      </c>
      <c r="N29" s="945">
        <v>47.333670758934133</v>
      </c>
      <c r="O29" s="945">
        <v>47.518634069171121</v>
      </c>
      <c r="P29" s="945">
        <v>47.802348335200747</v>
      </c>
      <c r="Q29" s="945">
        <v>47.932630792116882</v>
      </c>
      <c r="R29" s="945">
        <v>48.120662354470092</v>
      </c>
      <c r="S29" s="945">
        <v>48.26875294882548</v>
      </c>
      <c r="T29" s="945">
        <v>48.293354879518532</v>
      </c>
      <c r="U29" s="945">
        <v>48.645458469308267</v>
      </c>
      <c r="V29" s="945">
        <v>48.980000000000004</v>
      </c>
      <c r="W29" s="945">
        <v>49.3</v>
      </c>
      <c r="X29" s="945">
        <v>49.58</v>
      </c>
      <c r="Y29" s="945">
        <v>49.734999999999999</v>
      </c>
      <c r="Z29" s="945">
        <v>49.99</v>
      </c>
      <c r="AA29" s="945">
        <v>50.194999999999993</v>
      </c>
      <c r="AB29" s="945">
        <v>50.385000000000005</v>
      </c>
      <c r="AC29" s="945">
        <v>50.515000000000001</v>
      </c>
      <c r="AD29" s="945">
        <v>50.55</v>
      </c>
      <c r="AE29" s="945">
        <v>50.7</v>
      </c>
      <c r="AF29" s="945">
        <v>50.92</v>
      </c>
      <c r="AG29" s="945">
        <v>51.14</v>
      </c>
      <c r="AH29" s="945">
        <v>51.384999999999998</v>
      </c>
      <c r="AI29" s="945">
        <v>51.629999999999995</v>
      </c>
      <c r="AJ29" s="945">
        <v>51.935000000000002</v>
      </c>
      <c r="AK29" s="945">
        <v>52.225000000000001</v>
      </c>
      <c r="AL29" s="945">
        <v>52.56</v>
      </c>
      <c r="AM29" s="945">
        <v>52.870000000000005</v>
      </c>
      <c r="AN29" s="945">
        <v>53.09</v>
      </c>
      <c r="AO29" s="945">
        <v>53.25</v>
      </c>
      <c r="AP29" s="945">
        <v>53.435000000000002</v>
      </c>
      <c r="AQ29" s="945">
        <v>53.555</v>
      </c>
      <c r="AR29" s="945">
        <v>53.734999999999999</v>
      </c>
      <c r="AS29" s="945">
        <v>53.79</v>
      </c>
      <c r="AT29" s="945">
        <v>53.85</v>
      </c>
      <c r="AU29" s="945">
        <v>53.95</v>
      </c>
      <c r="AV29" s="945">
        <v>54.05</v>
      </c>
      <c r="AW29" s="945">
        <v>54.325000000000003</v>
      </c>
      <c r="AX29" s="945">
        <v>54.454999999999998</v>
      </c>
      <c r="AY29" s="945">
        <v>54.575000000000003</v>
      </c>
      <c r="AZ29" s="945">
        <v>54.674999999999997</v>
      </c>
      <c r="BA29" s="945">
        <v>54.79</v>
      </c>
      <c r="BB29" s="945">
        <v>54.924999999999997</v>
      </c>
      <c r="BC29" s="945">
        <v>55.055</v>
      </c>
      <c r="BD29" s="945">
        <v>55.215000000000003</v>
      </c>
      <c r="BE29" s="945">
        <v>55.37</v>
      </c>
      <c r="BF29" s="945">
        <v>55.56</v>
      </c>
      <c r="BG29" s="945">
        <v>55.72</v>
      </c>
      <c r="BH29" s="945">
        <v>55.96</v>
      </c>
      <c r="BI29" s="945">
        <v>56.114999999999995</v>
      </c>
      <c r="BJ29" s="945">
        <v>56.33</v>
      </c>
      <c r="BK29" s="945">
        <v>56.51</v>
      </c>
      <c r="BL29" s="945">
        <v>56.74</v>
      </c>
      <c r="BM29" s="945">
        <v>56.96</v>
      </c>
      <c r="BN29" s="945">
        <v>57.17</v>
      </c>
      <c r="BO29" s="945">
        <v>57.355000000000004</v>
      </c>
      <c r="BP29" s="945">
        <v>57.55</v>
      </c>
      <c r="BQ29" s="945">
        <v>57.739999999999995</v>
      </c>
      <c r="BR29" s="945">
        <v>57.914999999999999</v>
      </c>
      <c r="BS29" s="945">
        <v>58.09</v>
      </c>
      <c r="BT29" s="946">
        <v>58.265000000000001</v>
      </c>
      <c r="BU29" s="945">
        <v>58.41</v>
      </c>
      <c r="BV29" s="945">
        <v>58.58</v>
      </c>
      <c r="BW29" s="945">
        <v>58.744999999999997</v>
      </c>
      <c r="BX29" s="945">
        <v>58.905000000000001</v>
      </c>
      <c r="BY29" s="945">
        <v>59.05</v>
      </c>
      <c r="BZ29" s="945">
        <v>59.21</v>
      </c>
      <c r="CA29" s="945">
        <v>59.36</v>
      </c>
      <c r="CB29" s="945">
        <v>59.5</v>
      </c>
      <c r="CC29" s="945">
        <v>59.655000000000001</v>
      </c>
      <c r="CD29" s="945">
        <v>59.805</v>
      </c>
      <c r="CE29" s="945">
        <v>59.954999999999998</v>
      </c>
      <c r="CF29" s="945">
        <v>60.1</v>
      </c>
      <c r="CG29" s="945">
        <v>60.245000000000005</v>
      </c>
      <c r="CH29" s="945">
        <v>60.394999999999996</v>
      </c>
      <c r="CI29" s="945">
        <v>60.555</v>
      </c>
      <c r="CJ29" s="945">
        <v>60.695</v>
      </c>
      <c r="CK29" s="945">
        <v>60.844999999999999</v>
      </c>
      <c r="CL29" s="945">
        <v>60.994999999999997</v>
      </c>
      <c r="CM29" s="945">
        <v>61.14</v>
      </c>
      <c r="CN29" s="945">
        <v>61.284999999999997</v>
      </c>
      <c r="CO29" s="945">
        <v>61.43</v>
      </c>
      <c r="CP29" s="945">
        <v>61.575000000000003</v>
      </c>
      <c r="CQ29" s="945">
        <v>61.71</v>
      </c>
      <c r="CR29" s="945">
        <v>61.849999999999994</v>
      </c>
      <c r="CS29" s="945">
        <v>61.99</v>
      </c>
      <c r="CT29" s="945">
        <v>62.125</v>
      </c>
      <c r="CU29" s="945">
        <v>62.265000000000001</v>
      </c>
      <c r="CV29" s="945">
        <v>62.400000000000006</v>
      </c>
      <c r="CW29" s="945">
        <v>62.535000000000004</v>
      </c>
      <c r="CX29" s="945">
        <v>62.665000000000006</v>
      </c>
      <c r="CY29" s="945">
        <v>62.8</v>
      </c>
      <c r="CZ29" s="945">
        <v>62.929999999999993</v>
      </c>
      <c r="DA29" s="945">
        <v>63.054999999999993</v>
      </c>
      <c r="DB29" s="945">
        <v>63.185000000000002</v>
      </c>
      <c r="DC29" s="945">
        <v>63.314999999999998</v>
      </c>
      <c r="DD29" s="945">
        <v>63.445</v>
      </c>
      <c r="DE29" s="945">
        <v>63.565000000000005</v>
      </c>
      <c r="DF29" s="945">
        <v>63.690000000000005</v>
      </c>
      <c r="DG29" s="945">
        <v>63.814999999999998</v>
      </c>
      <c r="DH29" s="945">
        <v>63.94</v>
      </c>
      <c r="DI29" s="945">
        <v>64.055000000000007</v>
      </c>
      <c r="DJ29" s="945">
        <v>64.180000000000007</v>
      </c>
      <c r="DK29" s="945">
        <v>64.295000000000002</v>
      </c>
      <c r="DL29" s="945">
        <v>64.414999999999992</v>
      </c>
      <c r="DM29" s="945">
        <v>64.53</v>
      </c>
      <c r="DN29" s="945">
        <v>64.64500000000001</v>
      </c>
      <c r="DO29" s="945">
        <v>64.759999999999991</v>
      </c>
      <c r="DP29" s="945">
        <v>64.875</v>
      </c>
      <c r="DQ29" s="945">
        <v>64.990000000000009</v>
      </c>
      <c r="DR29" s="945">
        <v>65.099999999999994</v>
      </c>
    </row>
    <row r="30" spans="1:122" s="131" customFormat="1" ht="12.75">
      <c r="A30" s="949">
        <v>28</v>
      </c>
      <c r="B30" s="945">
        <v>43.879714167586414</v>
      </c>
      <c r="C30" s="945">
        <v>43.986920837761673</v>
      </c>
      <c r="D30" s="945">
        <v>44.202710064308633</v>
      </c>
      <c r="E30" s="945">
        <v>44.380867212443633</v>
      </c>
      <c r="F30" s="945">
        <v>44.629564031975733</v>
      </c>
      <c r="G30" s="945">
        <v>44.818693305190408</v>
      </c>
      <c r="H30" s="945">
        <v>44.983492394751082</v>
      </c>
      <c r="I30" s="945">
        <v>45.236253961800941</v>
      </c>
      <c r="J30" s="945">
        <v>45.439262926300231</v>
      </c>
      <c r="K30" s="945">
        <v>45.703523881754116</v>
      </c>
      <c r="L30" s="945">
        <v>45.985999676009442</v>
      </c>
      <c r="M30" s="945">
        <v>46.216105771148449</v>
      </c>
      <c r="N30" s="945">
        <v>46.466599189299849</v>
      </c>
      <c r="O30" s="945">
        <v>46.652092042645272</v>
      </c>
      <c r="P30" s="945">
        <v>46.936616523984682</v>
      </c>
      <c r="Q30" s="945">
        <v>47.067272699630742</v>
      </c>
      <c r="R30" s="945">
        <v>47.269396313472114</v>
      </c>
      <c r="S30" s="945">
        <v>47.4383602789447</v>
      </c>
      <c r="T30" s="945">
        <v>47.510786445524374</v>
      </c>
      <c r="U30" s="945">
        <v>47.810841492411157</v>
      </c>
      <c r="V30" s="945">
        <v>48.144999999999996</v>
      </c>
      <c r="W30" s="945">
        <v>48.43</v>
      </c>
      <c r="X30" s="945">
        <v>48.67</v>
      </c>
      <c r="Y30" s="945">
        <v>48.825000000000003</v>
      </c>
      <c r="Z30" s="945">
        <v>49.085000000000001</v>
      </c>
      <c r="AA30" s="945">
        <v>49.269999999999996</v>
      </c>
      <c r="AB30" s="945">
        <v>49.454999999999998</v>
      </c>
      <c r="AC30" s="945">
        <v>49.58</v>
      </c>
      <c r="AD30" s="945">
        <v>49.615000000000002</v>
      </c>
      <c r="AE30" s="945">
        <v>49.769999999999996</v>
      </c>
      <c r="AF30" s="945">
        <v>49.984999999999999</v>
      </c>
      <c r="AG30" s="945">
        <v>50.204999999999998</v>
      </c>
      <c r="AH30" s="945">
        <v>50.454999999999998</v>
      </c>
      <c r="AI30" s="945">
        <v>50.69</v>
      </c>
      <c r="AJ30" s="945">
        <v>51</v>
      </c>
      <c r="AK30" s="945">
        <v>51.284999999999997</v>
      </c>
      <c r="AL30" s="945">
        <v>51.62</v>
      </c>
      <c r="AM30" s="945">
        <v>51.93</v>
      </c>
      <c r="AN30" s="945">
        <v>52.144999999999996</v>
      </c>
      <c r="AO30" s="945">
        <v>52.31</v>
      </c>
      <c r="AP30" s="945">
        <v>52.49</v>
      </c>
      <c r="AQ30" s="945">
        <v>52.614999999999995</v>
      </c>
      <c r="AR30" s="945">
        <v>52.795000000000002</v>
      </c>
      <c r="AS30" s="945">
        <v>52.85</v>
      </c>
      <c r="AT30" s="945">
        <v>52.91</v>
      </c>
      <c r="AU30" s="945">
        <v>53</v>
      </c>
      <c r="AV30" s="945">
        <v>53.105000000000004</v>
      </c>
      <c r="AW30" s="945">
        <v>53.375</v>
      </c>
      <c r="AX30" s="945">
        <v>53.5</v>
      </c>
      <c r="AY30" s="945">
        <v>53.629999999999995</v>
      </c>
      <c r="AZ30" s="945">
        <v>53.730000000000004</v>
      </c>
      <c r="BA30" s="945">
        <v>53.844999999999999</v>
      </c>
      <c r="BB30" s="945">
        <v>53.975000000000001</v>
      </c>
      <c r="BC30" s="945">
        <v>54.105000000000004</v>
      </c>
      <c r="BD30" s="945">
        <v>54.260000000000005</v>
      </c>
      <c r="BE30" s="945">
        <v>54.42</v>
      </c>
      <c r="BF30" s="945">
        <v>54.604999999999997</v>
      </c>
      <c r="BG30" s="945">
        <v>54.765000000000001</v>
      </c>
      <c r="BH30" s="945">
        <v>54.995000000000005</v>
      </c>
      <c r="BI30" s="945">
        <v>55.16</v>
      </c>
      <c r="BJ30" s="945">
        <v>55.370000000000005</v>
      </c>
      <c r="BK30" s="945">
        <v>55.55</v>
      </c>
      <c r="BL30" s="945">
        <v>55.784999999999997</v>
      </c>
      <c r="BM30" s="945">
        <v>56.010000000000005</v>
      </c>
      <c r="BN30" s="945">
        <v>56.21</v>
      </c>
      <c r="BO30" s="945">
        <v>56.400000000000006</v>
      </c>
      <c r="BP30" s="945">
        <v>56.59</v>
      </c>
      <c r="BQ30" s="945">
        <v>56.775000000000006</v>
      </c>
      <c r="BR30" s="945">
        <v>56.95</v>
      </c>
      <c r="BS30" s="945">
        <v>57.125</v>
      </c>
      <c r="BT30" s="946">
        <v>57.3</v>
      </c>
      <c r="BU30" s="945">
        <v>57.44</v>
      </c>
      <c r="BV30" s="945">
        <v>57.615000000000002</v>
      </c>
      <c r="BW30" s="945">
        <v>57.78</v>
      </c>
      <c r="BX30" s="945">
        <v>57.935000000000002</v>
      </c>
      <c r="BY30" s="945">
        <v>58.08</v>
      </c>
      <c r="BZ30" s="945">
        <v>58.234999999999999</v>
      </c>
      <c r="CA30" s="945">
        <v>58.385000000000005</v>
      </c>
      <c r="CB30" s="945">
        <v>58.525000000000006</v>
      </c>
      <c r="CC30" s="945">
        <v>58.68</v>
      </c>
      <c r="CD30" s="945">
        <v>58.825000000000003</v>
      </c>
      <c r="CE30" s="945">
        <v>58.980000000000004</v>
      </c>
      <c r="CF30" s="945">
        <v>59.125</v>
      </c>
      <c r="CG30" s="945">
        <v>59.275000000000006</v>
      </c>
      <c r="CH30" s="945">
        <v>59.424999999999997</v>
      </c>
      <c r="CI30" s="945">
        <v>59.575000000000003</v>
      </c>
      <c r="CJ30" s="945">
        <v>59.715000000000003</v>
      </c>
      <c r="CK30" s="945">
        <v>59.87</v>
      </c>
      <c r="CL30" s="945">
        <v>60.019999999999996</v>
      </c>
      <c r="CM30" s="945">
        <v>60.16</v>
      </c>
      <c r="CN30" s="945">
        <v>60.305</v>
      </c>
      <c r="CO30" s="945">
        <v>60.445</v>
      </c>
      <c r="CP30" s="945">
        <v>60.59</v>
      </c>
      <c r="CQ30" s="945">
        <v>60.730000000000004</v>
      </c>
      <c r="CR30" s="945">
        <v>60.870000000000005</v>
      </c>
      <c r="CS30" s="945">
        <v>61.004999999999995</v>
      </c>
      <c r="CT30" s="945">
        <v>61.144999999999996</v>
      </c>
      <c r="CU30" s="945">
        <v>61.28</v>
      </c>
      <c r="CV30" s="945">
        <v>61.414999999999999</v>
      </c>
      <c r="CW30" s="945">
        <v>61.55</v>
      </c>
      <c r="CX30" s="945">
        <v>61.68</v>
      </c>
      <c r="CY30" s="945">
        <v>61.814999999999998</v>
      </c>
      <c r="CZ30" s="945">
        <v>61.945</v>
      </c>
      <c r="DA30" s="945">
        <v>62.07</v>
      </c>
      <c r="DB30" s="945">
        <v>62.2</v>
      </c>
      <c r="DC30" s="945">
        <v>62.325000000000003</v>
      </c>
      <c r="DD30" s="945">
        <v>62.45</v>
      </c>
      <c r="DE30" s="945">
        <v>62.58</v>
      </c>
      <c r="DF30" s="945">
        <v>62.704999999999998</v>
      </c>
      <c r="DG30" s="945">
        <v>62.825000000000003</v>
      </c>
      <c r="DH30" s="945">
        <v>62.945000000000007</v>
      </c>
      <c r="DI30" s="945">
        <v>63.070000000000007</v>
      </c>
      <c r="DJ30" s="945">
        <v>63.185000000000002</v>
      </c>
      <c r="DK30" s="945">
        <v>63.31</v>
      </c>
      <c r="DL30" s="945">
        <v>63.425000000000004</v>
      </c>
      <c r="DM30" s="945">
        <v>63.54</v>
      </c>
      <c r="DN30" s="945">
        <v>63.655000000000001</v>
      </c>
      <c r="DO30" s="945">
        <v>63.77</v>
      </c>
      <c r="DP30" s="945">
        <v>63.884999999999998</v>
      </c>
      <c r="DQ30" s="945">
        <v>64</v>
      </c>
      <c r="DR30" s="945">
        <v>64.11</v>
      </c>
    </row>
    <row r="31" spans="1:122" s="131" customFormat="1" ht="12.75">
      <c r="A31" s="949">
        <v>29</v>
      </c>
      <c r="B31" s="945">
        <v>43.040341423059019</v>
      </c>
      <c r="C31" s="945">
        <v>43.154662557117177</v>
      </c>
      <c r="D31" s="945">
        <v>43.353017548440995</v>
      </c>
      <c r="E31" s="945">
        <v>43.523135321109123</v>
      </c>
      <c r="F31" s="945">
        <v>43.762937471768204</v>
      </c>
      <c r="G31" s="945">
        <v>43.952634757299961</v>
      </c>
      <c r="H31" s="945">
        <v>44.117927448280682</v>
      </c>
      <c r="I31" s="945">
        <v>44.373443194006981</v>
      </c>
      <c r="J31" s="945">
        <v>44.5759016442681</v>
      </c>
      <c r="K31" s="945">
        <v>44.84057520384286</v>
      </c>
      <c r="L31" s="945">
        <v>45.121145514279725</v>
      </c>
      <c r="M31" s="945">
        <v>45.347595418484417</v>
      </c>
      <c r="N31" s="945">
        <v>45.598810718024119</v>
      </c>
      <c r="O31" s="945">
        <v>45.784841768627018</v>
      </c>
      <c r="P31" s="945">
        <v>46.070189711928911</v>
      </c>
      <c r="Q31" s="945">
        <v>46.214663736819887</v>
      </c>
      <c r="R31" s="945">
        <v>46.43768469038752</v>
      </c>
      <c r="S31" s="945">
        <v>46.654759140914308</v>
      </c>
      <c r="T31" s="945">
        <v>46.674430170583804</v>
      </c>
      <c r="U31" s="945">
        <v>46.975555652718199</v>
      </c>
      <c r="V31" s="945">
        <v>47.274999999999999</v>
      </c>
      <c r="W31" s="945">
        <v>47.519999999999996</v>
      </c>
      <c r="X31" s="945">
        <v>47.76</v>
      </c>
      <c r="Y31" s="945">
        <v>47.915000000000006</v>
      </c>
      <c r="Z31" s="945">
        <v>48.155000000000001</v>
      </c>
      <c r="AA31" s="945">
        <v>48.34</v>
      </c>
      <c r="AB31" s="945">
        <v>48.524999999999999</v>
      </c>
      <c r="AC31" s="945">
        <v>48.65</v>
      </c>
      <c r="AD31" s="945">
        <v>48.685000000000002</v>
      </c>
      <c r="AE31" s="945">
        <v>48.84</v>
      </c>
      <c r="AF31" s="945">
        <v>49.05</v>
      </c>
      <c r="AG31" s="945">
        <v>49.274999999999999</v>
      </c>
      <c r="AH31" s="945">
        <v>49.525000000000006</v>
      </c>
      <c r="AI31" s="945">
        <v>49.755000000000003</v>
      </c>
      <c r="AJ31" s="945">
        <v>50.055</v>
      </c>
      <c r="AK31" s="945">
        <v>50.34</v>
      </c>
      <c r="AL31" s="945">
        <v>50.674999999999997</v>
      </c>
      <c r="AM31" s="945">
        <v>50.984999999999999</v>
      </c>
      <c r="AN31" s="945">
        <v>51.204999999999998</v>
      </c>
      <c r="AO31" s="945">
        <v>51.370000000000005</v>
      </c>
      <c r="AP31" s="945">
        <v>51.540000000000006</v>
      </c>
      <c r="AQ31" s="945">
        <v>51.67</v>
      </c>
      <c r="AR31" s="945">
        <v>51.849999999999994</v>
      </c>
      <c r="AS31" s="945">
        <v>51.900000000000006</v>
      </c>
      <c r="AT31" s="945">
        <v>51.965000000000003</v>
      </c>
      <c r="AU31" s="945">
        <v>52.06</v>
      </c>
      <c r="AV31" s="945">
        <v>52.155000000000001</v>
      </c>
      <c r="AW31" s="945">
        <v>52.43</v>
      </c>
      <c r="AX31" s="945">
        <v>52.55</v>
      </c>
      <c r="AY31" s="945">
        <v>52.68</v>
      </c>
      <c r="AZ31" s="945">
        <v>52.78</v>
      </c>
      <c r="BA31" s="945">
        <v>52.894999999999996</v>
      </c>
      <c r="BB31" s="945">
        <v>53.03</v>
      </c>
      <c r="BC31" s="945">
        <v>53.155000000000001</v>
      </c>
      <c r="BD31" s="945">
        <v>53.31</v>
      </c>
      <c r="BE31" s="945">
        <v>53.465000000000003</v>
      </c>
      <c r="BF31" s="945">
        <v>53.65</v>
      </c>
      <c r="BG31" s="945">
        <v>53.81</v>
      </c>
      <c r="BH31" s="945">
        <v>54.04</v>
      </c>
      <c r="BI31" s="945">
        <v>54.2</v>
      </c>
      <c r="BJ31" s="945">
        <v>54.41</v>
      </c>
      <c r="BK31" s="945">
        <v>54.59</v>
      </c>
      <c r="BL31" s="945">
        <v>54.825000000000003</v>
      </c>
      <c r="BM31" s="945">
        <v>55.055000000000007</v>
      </c>
      <c r="BN31" s="945">
        <v>55.254999999999995</v>
      </c>
      <c r="BO31" s="945">
        <v>55.435000000000002</v>
      </c>
      <c r="BP31" s="945">
        <v>55.635000000000005</v>
      </c>
      <c r="BQ31" s="945">
        <v>55.814999999999998</v>
      </c>
      <c r="BR31" s="945">
        <v>55.989999999999995</v>
      </c>
      <c r="BS31" s="945">
        <v>56.164999999999999</v>
      </c>
      <c r="BT31" s="946">
        <v>56.335000000000001</v>
      </c>
      <c r="BU31" s="945">
        <v>56.475000000000001</v>
      </c>
      <c r="BV31" s="945">
        <v>56.644999999999996</v>
      </c>
      <c r="BW31" s="945">
        <v>56.81</v>
      </c>
      <c r="BX31" s="945">
        <v>56.965000000000003</v>
      </c>
      <c r="BY31" s="945">
        <v>57.114999999999995</v>
      </c>
      <c r="BZ31" s="945">
        <v>57.265000000000001</v>
      </c>
      <c r="CA31" s="945">
        <v>57.41</v>
      </c>
      <c r="CB31" s="945">
        <v>57.55</v>
      </c>
      <c r="CC31" s="945">
        <v>57.704999999999998</v>
      </c>
      <c r="CD31" s="945">
        <v>57.855000000000004</v>
      </c>
      <c r="CE31" s="945">
        <v>58.004999999999995</v>
      </c>
      <c r="CF31" s="945">
        <v>58.155000000000001</v>
      </c>
      <c r="CG31" s="945">
        <v>58.3</v>
      </c>
      <c r="CH31" s="945">
        <v>58.445</v>
      </c>
      <c r="CI31" s="945">
        <v>58.6</v>
      </c>
      <c r="CJ31" s="945">
        <v>58.74</v>
      </c>
      <c r="CK31" s="945">
        <v>58.89</v>
      </c>
      <c r="CL31" s="945">
        <v>59.034999999999997</v>
      </c>
      <c r="CM31" s="945">
        <v>59.185000000000002</v>
      </c>
      <c r="CN31" s="945">
        <v>59.325000000000003</v>
      </c>
      <c r="CO31" s="945">
        <v>59.47</v>
      </c>
      <c r="CP31" s="945">
        <v>59.61</v>
      </c>
      <c r="CQ31" s="945">
        <v>59.745000000000005</v>
      </c>
      <c r="CR31" s="945">
        <v>59.89</v>
      </c>
      <c r="CS31" s="945">
        <v>60.03</v>
      </c>
      <c r="CT31" s="945">
        <v>60.164999999999999</v>
      </c>
      <c r="CU31" s="945">
        <v>60.295000000000002</v>
      </c>
      <c r="CV31" s="945">
        <v>60.43</v>
      </c>
      <c r="CW31" s="945">
        <v>60.564999999999998</v>
      </c>
      <c r="CX31" s="945">
        <v>60.695</v>
      </c>
      <c r="CY31" s="945">
        <v>60.83</v>
      </c>
      <c r="CZ31" s="945">
        <v>60.96</v>
      </c>
      <c r="DA31" s="945">
        <v>61.084999999999994</v>
      </c>
      <c r="DB31" s="945">
        <v>61.215000000000003</v>
      </c>
      <c r="DC31" s="945">
        <v>61.34</v>
      </c>
      <c r="DD31" s="945">
        <v>61.465000000000003</v>
      </c>
      <c r="DE31" s="945">
        <v>61.59</v>
      </c>
      <c r="DF31" s="945">
        <v>61.715000000000003</v>
      </c>
      <c r="DG31" s="945">
        <v>61.84</v>
      </c>
      <c r="DH31" s="945">
        <v>61.96</v>
      </c>
      <c r="DI31" s="945">
        <v>62.08</v>
      </c>
      <c r="DJ31" s="945">
        <v>62.2</v>
      </c>
      <c r="DK31" s="945">
        <v>62.314999999999998</v>
      </c>
      <c r="DL31" s="945">
        <v>62.44</v>
      </c>
      <c r="DM31" s="945">
        <v>62.555000000000007</v>
      </c>
      <c r="DN31" s="945">
        <v>62.67</v>
      </c>
      <c r="DO31" s="945">
        <v>62.784999999999997</v>
      </c>
      <c r="DP31" s="945">
        <v>62.900000000000006</v>
      </c>
      <c r="DQ31" s="945">
        <v>63.005000000000003</v>
      </c>
      <c r="DR31" s="945">
        <v>63.120000000000005</v>
      </c>
    </row>
    <row r="32" spans="1:122" s="131" customFormat="1" ht="12.75">
      <c r="A32" s="949">
        <v>30</v>
      </c>
      <c r="B32" s="945">
        <v>42.20551382191784</v>
      </c>
      <c r="C32" s="945">
        <v>42.303562429824133</v>
      </c>
      <c r="D32" s="945">
        <v>42.494047621010537</v>
      </c>
      <c r="E32" s="945">
        <v>42.655121351656703</v>
      </c>
      <c r="F32" s="945">
        <v>42.895657794249885</v>
      </c>
      <c r="G32" s="945">
        <v>43.085933610998936</v>
      </c>
      <c r="H32" s="945">
        <v>43.254907145034807</v>
      </c>
      <c r="I32" s="945">
        <v>43.509215884414758</v>
      </c>
      <c r="J32" s="945">
        <v>43.711529402657355</v>
      </c>
      <c r="K32" s="945">
        <v>43.974261615010775</v>
      </c>
      <c r="L32" s="945">
        <v>44.25138989599526</v>
      </c>
      <c r="M32" s="945">
        <v>44.478505241569593</v>
      </c>
      <c r="N32" s="945">
        <v>44.730455322976269</v>
      </c>
      <c r="O32" s="945">
        <v>44.91703410774231</v>
      </c>
      <c r="P32" s="945">
        <v>45.216566237803477</v>
      </c>
      <c r="Q32" s="945">
        <v>45.381607101722523</v>
      </c>
      <c r="R32" s="945">
        <v>45.65263486006765</v>
      </c>
      <c r="S32" s="945">
        <v>45.816767988676844</v>
      </c>
      <c r="T32" s="945">
        <v>45.836537289569634</v>
      </c>
      <c r="U32" s="945">
        <v>46.100061527783232</v>
      </c>
      <c r="V32" s="945">
        <v>46.36</v>
      </c>
      <c r="W32" s="945">
        <v>46.61</v>
      </c>
      <c r="X32" s="945">
        <v>46.844999999999999</v>
      </c>
      <c r="Y32" s="945">
        <v>46.984999999999999</v>
      </c>
      <c r="Z32" s="945">
        <v>47.224999999999994</v>
      </c>
      <c r="AA32" s="945">
        <v>47.41</v>
      </c>
      <c r="AB32" s="945">
        <v>47.6</v>
      </c>
      <c r="AC32" s="945">
        <v>47.715000000000003</v>
      </c>
      <c r="AD32" s="945">
        <v>47.75</v>
      </c>
      <c r="AE32" s="945">
        <v>47.905000000000001</v>
      </c>
      <c r="AF32" s="945">
        <v>48.114999999999995</v>
      </c>
      <c r="AG32" s="945">
        <v>48.34</v>
      </c>
      <c r="AH32" s="945">
        <v>48.59</v>
      </c>
      <c r="AI32" s="945">
        <v>48.814999999999998</v>
      </c>
      <c r="AJ32" s="945">
        <v>49.115000000000002</v>
      </c>
      <c r="AK32" s="945">
        <v>49.4</v>
      </c>
      <c r="AL32" s="945">
        <v>49.734999999999999</v>
      </c>
      <c r="AM32" s="945">
        <v>50.04</v>
      </c>
      <c r="AN32" s="945">
        <v>50.265000000000001</v>
      </c>
      <c r="AO32" s="945">
        <v>50.424999999999997</v>
      </c>
      <c r="AP32" s="945">
        <v>50.6</v>
      </c>
      <c r="AQ32" s="945">
        <v>50.730000000000004</v>
      </c>
      <c r="AR32" s="945">
        <v>50.91</v>
      </c>
      <c r="AS32" s="945">
        <v>50.954999999999998</v>
      </c>
      <c r="AT32" s="945">
        <v>51.015000000000001</v>
      </c>
      <c r="AU32" s="945">
        <v>51.115000000000002</v>
      </c>
      <c r="AV32" s="945">
        <v>51.21</v>
      </c>
      <c r="AW32" s="945">
        <v>51.475000000000001</v>
      </c>
      <c r="AX32" s="945">
        <v>51.605000000000004</v>
      </c>
      <c r="AY32" s="945">
        <v>51.74</v>
      </c>
      <c r="AZ32" s="945">
        <v>51.835000000000001</v>
      </c>
      <c r="BA32" s="945">
        <v>51.945</v>
      </c>
      <c r="BB32" s="945">
        <v>52.075000000000003</v>
      </c>
      <c r="BC32" s="945">
        <v>52.204999999999998</v>
      </c>
      <c r="BD32" s="945">
        <v>52.355000000000004</v>
      </c>
      <c r="BE32" s="945">
        <v>52.515000000000001</v>
      </c>
      <c r="BF32" s="945">
        <v>52.695</v>
      </c>
      <c r="BG32" s="945">
        <v>52.85</v>
      </c>
      <c r="BH32" s="945">
        <v>53.085000000000001</v>
      </c>
      <c r="BI32" s="945">
        <v>53.245000000000005</v>
      </c>
      <c r="BJ32" s="945">
        <v>53.454999999999998</v>
      </c>
      <c r="BK32" s="945">
        <v>53.64</v>
      </c>
      <c r="BL32" s="945">
        <v>53.870000000000005</v>
      </c>
      <c r="BM32" s="945">
        <v>54.094999999999999</v>
      </c>
      <c r="BN32" s="945">
        <v>54.3</v>
      </c>
      <c r="BO32" s="945">
        <v>54.475000000000001</v>
      </c>
      <c r="BP32" s="945">
        <v>54.67</v>
      </c>
      <c r="BQ32" s="945">
        <v>54.85</v>
      </c>
      <c r="BR32" s="945">
        <v>55.025000000000006</v>
      </c>
      <c r="BS32" s="945">
        <v>55.194999999999993</v>
      </c>
      <c r="BT32" s="946">
        <v>55.364999999999995</v>
      </c>
      <c r="BU32" s="945">
        <v>55.504999999999995</v>
      </c>
      <c r="BV32" s="945">
        <v>55.674999999999997</v>
      </c>
      <c r="BW32" s="945">
        <v>55.84</v>
      </c>
      <c r="BX32" s="945">
        <v>55.995000000000005</v>
      </c>
      <c r="BY32" s="945">
        <v>56.134999999999998</v>
      </c>
      <c r="BZ32" s="945">
        <v>56.284999999999997</v>
      </c>
      <c r="CA32" s="945">
        <v>56.435000000000002</v>
      </c>
      <c r="CB32" s="945">
        <v>56.58</v>
      </c>
      <c r="CC32" s="945">
        <v>56.724999999999994</v>
      </c>
      <c r="CD32" s="945">
        <v>56.884999999999998</v>
      </c>
      <c r="CE32" s="945">
        <v>57.03</v>
      </c>
      <c r="CF32" s="945">
        <v>57.174999999999997</v>
      </c>
      <c r="CG32" s="945">
        <v>57.325000000000003</v>
      </c>
      <c r="CH32" s="945">
        <v>57.47</v>
      </c>
      <c r="CI32" s="945">
        <v>57.625</v>
      </c>
      <c r="CJ32" s="945">
        <v>57.769999999999996</v>
      </c>
      <c r="CK32" s="945">
        <v>57.914999999999999</v>
      </c>
      <c r="CL32" s="945">
        <v>58.06</v>
      </c>
      <c r="CM32" s="945">
        <v>58.204999999999998</v>
      </c>
      <c r="CN32" s="945">
        <v>58.35</v>
      </c>
      <c r="CO32" s="945">
        <v>58.484999999999999</v>
      </c>
      <c r="CP32" s="945">
        <v>58.63</v>
      </c>
      <c r="CQ32" s="945">
        <v>58.769999999999996</v>
      </c>
      <c r="CR32" s="945">
        <v>58.91</v>
      </c>
      <c r="CS32" s="945">
        <v>59.045000000000002</v>
      </c>
      <c r="CT32" s="945">
        <v>59.18</v>
      </c>
      <c r="CU32" s="945">
        <v>59.32</v>
      </c>
      <c r="CV32" s="945">
        <v>59.45</v>
      </c>
      <c r="CW32" s="945">
        <v>59.585000000000001</v>
      </c>
      <c r="CX32" s="945">
        <v>59.71</v>
      </c>
      <c r="CY32" s="945">
        <v>59.844999999999999</v>
      </c>
      <c r="CZ32" s="945">
        <v>59.974999999999994</v>
      </c>
      <c r="DA32" s="945">
        <v>60.1</v>
      </c>
      <c r="DB32" s="945">
        <v>60.230000000000004</v>
      </c>
      <c r="DC32" s="945">
        <v>60.355000000000004</v>
      </c>
      <c r="DD32" s="945">
        <v>60.480000000000004</v>
      </c>
      <c r="DE32" s="945">
        <v>60.605000000000004</v>
      </c>
      <c r="DF32" s="945">
        <v>60.730000000000004</v>
      </c>
      <c r="DG32" s="945">
        <v>60.855000000000004</v>
      </c>
      <c r="DH32" s="945">
        <v>60.97</v>
      </c>
      <c r="DI32" s="945">
        <v>61.094999999999999</v>
      </c>
      <c r="DJ32" s="945">
        <v>61.21</v>
      </c>
      <c r="DK32" s="945">
        <v>61.33</v>
      </c>
      <c r="DL32" s="945">
        <v>61.445</v>
      </c>
      <c r="DM32" s="945">
        <v>61.564999999999998</v>
      </c>
      <c r="DN32" s="945">
        <v>61.68</v>
      </c>
      <c r="DO32" s="945">
        <v>61.795000000000002</v>
      </c>
      <c r="DP32" s="945">
        <v>61.905000000000001</v>
      </c>
      <c r="DQ32" s="945">
        <v>62.019999999999996</v>
      </c>
      <c r="DR32" s="945">
        <v>62.129999999999995</v>
      </c>
    </row>
    <row r="33" spans="1:122" s="131" customFormat="1" ht="12.75">
      <c r="A33" s="949">
        <v>31</v>
      </c>
      <c r="B33" s="945">
        <v>41.353936741150449</v>
      </c>
      <c r="C33" s="945">
        <v>41.443811479919589</v>
      </c>
      <c r="D33" s="945">
        <v>41.625381236454004</v>
      </c>
      <c r="E33" s="945">
        <v>41.786956170516156</v>
      </c>
      <c r="F33" s="945">
        <v>42.028243395321439</v>
      </c>
      <c r="G33" s="945">
        <v>42.222817490521692</v>
      </c>
      <c r="H33" s="945">
        <v>42.389529186651501</v>
      </c>
      <c r="I33" s="945">
        <v>42.644143030398439</v>
      </c>
      <c r="J33" s="945">
        <v>42.844352092785201</v>
      </c>
      <c r="K33" s="945">
        <v>43.10362975773603</v>
      </c>
      <c r="L33" s="945">
        <v>43.381583827137263</v>
      </c>
      <c r="M33" s="945">
        <v>43.609379799941109</v>
      </c>
      <c r="N33" s="945">
        <v>43.862081316727227</v>
      </c>
      <c r="O33" s="945">
        <v>44.062482618958597</v>
      </c>
      <c r="P33" s="945">
        <v>44.383045439937391</v>
      </c>
      <c r="Q33" s="945">
        <v>44.595720018766905</v>
      </c>
      <c r="R33" s="945">
        <v>44.810646449561546</v>
      </c>
      <c r="S33" s="945">
        <v>44.975357178870198</v>
      </c>
      <c r="T33" s="945">
        <v>44.957610503051221</v>
      </c>
      <c r="U33" s="945">
        <v>45.188926392065255</v>
      </c>
      <c r="V33" s="945">
        <v>45.45</v>
      </c>
      <c r="W33" s="945">
        <v>45.7</v>
      </c>
      <c r="X33" s="945">
        <v>45.92</v>
      </c>
      <c r="Y33" s="945">
        <v>46.06</v>
      </c>
      <c r="Z33" s="945">
        <v>46.3</v>
      </c>
      <c r="AA33" s="945">
        <v>46.474999999999994</v>
      </c>
      <c r="AB33" s="945">
        <v>46.67</v>
      </c>
      <c r="AC33" s="945">
        <v>46.79</v>
      </c>
      <c r="AD33" s="945">
        <v>46.814999999999998</v>
      </c>
      <c r="AE33" s="945">
        <v>46.97</v>
      </c>
      <c r="AF33" s="945">
        <v>47.18</v>
      </c>
      <c r="AG33" s="945">
        <v>47.405000000000001</v>
      </c>
      <c r="AH33" s="945">
        <v>47.644999999999996</v>
      </c>
      <c r="AI33" s="945">
        <v>47.879999999999995</v>
      </c>
      <c r="AJ33" s="945">
        <v>48.174999999999997</v>
      </c>
      <c r="AK33" s="945">
        <v>48.465000000000003</v>
      </c>
      <c r="AL33" s="945">
        <v>48.79</v>
      </c>
      <c r="AM33" s="945">
        <v>49.104999999999997</v>
      </c>
      <c r="AN33" s="945">
        <v>49.325000000000003</v>
      </c>
      <c r="AO33" s="945">
        <v>49.489999999999995</v>
      </c>
      <c r="AP33" s="945">
        <v>49.664999999999999</v>
      </c>
      <c r="AQ33" s="945">
        <v>49.790000000000006</v>
      </c>
      <c r="AR33" s="945">
        <v>49.965000000000003</v>
      </c>
      <c r="AS33" s="945">
        <v>50.01</v>
      </c>
      <c r="AT33" s="945">
        <v>50.075000000000003</v>
      </c>
      <c r="AU33" s="945">
        <v>50.17</v>
      </c>
      <c r="AV33" s="945">
        <v>50.265000000000001</v>
      </c>
      <c r="AW33" s="945">
        <v>50.534999999999997</v>
      </c>
      <c r="AX33" s="945">
        <v>50.655000000000001</v>
      </c>
      <c r="AY33" s="945">
        <v>50.784999999999997</v>
      </c>
      <c r="AZ33" s="945">
        <v>50.879999999999995</v>
      </c>
      <c r="BA33" s="945">
        <v>50.995000000000005</v>
      </c>
      <c r="BB33" s="945">
        <v>51.125</v>
      </c>
      <c r="BC33" s="945">
        <v>51.25</v>
      </c>
      <c r="BD33" s="945">
        <v>51.4</v>
      </c>
      <c r="BE33" s="945">
        <v>51.56</v>
      </c>
      <c r="BF33" s="945">
        <v>51.74</v>
      </c>
      <c r="BG33" s="945">
        <v>51.894999999999996</v>
      </c>
      <c r="BH33" s="945">
        <v>52.13</v>
      </c>
      <c r="BI33" s="945">
        <v>52.295000000000002</v>
      </c>
      <c r="BJ33" s="945">
        <v>52.504999999999995</v>
      </c>
      <c r="BK33" s="945">
        <v>52.69</v>
      </c>
      <c r="BL33" s="945">
        <v>52.92</v>
      </c>
      <c r="BM33" s="945">
        <v>53.14</v>
      </c>
      <c r="BN33" s="945">
        <v>53.34</v>
      </c>
      <c r="BO33" s="945">
        <v>53.519999999999996</v>
      </c>
      <c r="BP33" s="945">
        <v>53.715000000000003</v>
      </c>
      <c r="BQ33" s="945">
        <v>53.89</v>
      </c>
      <c r="BR33" s="945">
        <v>54.055</v>
      </c>
      <c r="BS33" s="945">
        <v>54.230000000000004</v>
      </c>
      <c r="BT33" s="946">
        <v>54.4</v>
      </c>
      <c r="BU33" s="945">
        <v>54.54</v>
      </c>
      <c r="BV33" s="945">
        <v>54.704999999999998</v>
      </c>
      <c r="BW33" s="945">
        <v>54.865000000000002</v>
      </c>
      <c r="BX33" s="945">
        <v>55.019999999999996</v>
      </c>
      <c r="BY33" s="945">
        <v>55.164999999999999</v>
      </c>
      <c r="BZ33" s="945">
        <v>55.314999999999998</v>
      </c>
      <c r="CA33" s="945">
        <v>55.46</v>
      </c>
      <c r="CB33" s="945">
        <v>55.605000000000004</v>
      </c>
      <c r="CC33" s="945">
        <v>55.754999999999995</v>
      </c>
      <c r="CD33" s="945">
        <v>55.905000000000001</v>
      </c>
      <c r="CE33" s="945">
        <v>56.06</v>
      </c>
      <c r="CF33" s="945">
        <v>56.204999999999998</v>
      </c>
      <c r="CG33" s="945">
        <v>56.344999999999999</v>
      </c>
      <c r="CH33" s="945">
        <v>56.495000000000005</v>
      </c>
      <c r="CI33" s="945">
        <v>56.644999999999996</v>
      </c>
      <c r="CJ33" s="945">
        <v>56.795000000000002</v>
      </c>
      <c r="CK33" s="945">
        <v>56.94</v>
      </c>
      <c r="CL33" s="945">
        <v>57.08</v>
      </c>
      <c r="CM33" s="945">
        <v>57.225000000000001</v>
      </c>
      <c r="CN33" s="945">
        <v>57.364999999999995</v>
      </c>
      <c r="CO33" s="945">
        <v>57.510000000000005</v>
      </c>
      <c r="CP33" s="945">
        <v>57.65</v>
      </c>
      <c r="CQ33" s="945">
        <v>57.79</v>
      </c>
      <c r="CR33" s="945">
        <v>57.924999999999997</v>
      </c>
      <c r="CS33" s="945">
        <v>58.06</v>
      </c>
      <c r="CT33" s="945">
        <v>58.2</v>
      </c>
      <c r="CU33" s="945">
        <v>58.335000000000001</v>
      </c>
      <c r="CV33" s="945">
        <v>58.47</v>
      </c>
      <c r="CW33" s="945">
        <v>58.599999999999994</v>
      </c>
      <c r="CX33" s="945">
        <v>58.734999999999999</v>
      </c>
      <c r="CY33" s="945">
        <v>58.86</v>
      </c>
      <c r="CZ33" s="945">
        <v>58.99</v>
      </c>
      <c r="DA33" s="945">
        <v>59.115000000000002</v>
      </c>
      <c r="DB33" s="945">
        <v>59.25</v>
      </c>
      <c r="DC33" s="945">
        <v>59.375</v>
      </c>
      <c r="DD33" s="945">
        <v>59.495000000000005</v>
      </c>
      <c r="DE33" s="945">
        <v>59.620000000000005</v>
      </c>
      <c r="DF33" s="945">
        <v>59.744999999999997</v>
      </c>
      <c r="DG33" s="945">
        <v>59.87</v>
      </c>
      <c r="DH33" s="945">
        <v>59.984999999999999</v>
      </c>
      <c r="DI33" s="945">
        <v>60.11</v>
      </c>
      <c r="DJ33" s="945">
        <v>60.225000000000001</v>
      </c>
      <c r="DK33" s="945">
        <v>60.34</v>
      </c>
      <c r="DL33" s="945">
        <v>60.46</v>
      </c>
      <c r="DM33" s="945">
        <v>60.575000000000003</v>
      </c>
      <c r="DN33" s="945">
        <v>60.69</v>
      </c>
      <c r="DO33" s="945">
        <v>60.805</v>
      </c>
      <c r="DP33" s="945">
        <v>60.914999999999999</v>
      </c>
      <c r="DQ33" s="945">
        <v>61.03</v>
      </c>
      <c r="DR33" s="945">
        <v>61.134999999999998</v>
      </c>
    </row>
    <row r="34" spans="1:122" s="131" customFormat="1" ht="12.75">
      <c r="A34" s="949">
        <v>32</v>
      </c>
      <c r="B34" s="945">
        <v>40.495376980617458</v>
      </c>
      <c r="C34" s="945">
        <v>40.575948508998025</v>
      </c>
      <c r="D34" s="945">
        <v>40.758103181082404</v>
      </c>
      <c r="E34" s="945">
        <v>40.920196814999265</v>
      </c>
      <c r="F34" s="945">
        <v>41.165691192592121</v>
      </c>
      <c r="G34" s="945">
        <v>41.357320302778362</v>
      </c>
      <c r="H34" s="945">
        <v>41.525144575010245</v>
      </c>
      <c r="I34" s="945">
        <v>41.777838264191288</v>
      </c>
      <c r="J34" s="945">
        <v>41.974380359592445</v>
      </c>
      <c r="K34" s="945">
        <v>42.234457034998449</v>
      </c>
      <c r="L34" s="945">
        <v>42.5132659592905</v>
      </c>
      <c r="M34" s="945">
        <v>42.741766618173415</v>
      </c>
      <c r="N34" s="945">
        <v>43.008607872687918</v>
      </c>
      <c r="O34" s="945">
        <v>43.22984451229749</v>
      </c>
      <c r="P34" s="945">
        <v>43.599090249288238</v>
      </c>
      <c r="Q34" s="945">
        <v>43.749757275871822</v>
      </c>
      <c r="R34" s="945">
        <v>43.965451006478787</v>
      </c>
      <c r="S34" s="945">
        <v>44.093907532092345</v>
      </c>
      <c r="T34" s="945">
        <v>44.047354848753685</v>
      </c>
      <c r="U34" s="945">
        <v>44.279140655962266</v>
      </c>
      <c r="V34" s="945">
        <v>44.54</v>
      </c>
      <c r="W34" s="945">
        <v>44.774999999999999</v>
      </c>
      <c r="X34" s="945">
        <v>44.989999999999995</v>
      </c>
      <c r="Y34" s="945">
        <v>45.129999999999995</v>
      </c>
      <c r="Z34" s="945">
        <v>45.370000000000005</v>
      </c>
      <c r="AA34" s="945">
        <v>45.545000000000002</v>
      </c>
      <c r="AB34" s="945">
        <v>45.734999999999999</v>
      </c>
      <c r="AC34" s="945">
        <v>45.855000000000004</v>
      </c>
      <c r="AD34" s="945">
        <v>45.884999999999998</v>
      </c>
      <c r="AE34" s="945">
        <v>46.040000000000006</v>
      </c>
      <c r="AF34" s="945">
        <v>46.239999999999995</v>
      </c>
      <c r="AG34" s="945">
        <v>46.47</v>
      </c>
      <c r="AH34" s="945">
        <v>46.709999999999994</v>
      </c>
      <c r="AI34" s="945">
        <v>46.94</v>
      </c>
      <c r="AJ34" s="945">
        <v>47.24</v>
      </c>
      <c r="AK34" s="945">
        <v>47.519999999999996</v>
      </c>
      <c r="AL34" s="945">
        <v>47.85</v>
      </c>
      <c r="AM34" s="945">
        <v>48.16</v>
      </c>
      <c r="AN34" s="945">
        <v>48.379999999999995</v>
      </c>
      <c r="AO34" s="945">
        <v>48.545000000000002</v>
      </c>
      <c r="AP34" s="945">
        <v>48.724999999999994</v>
      </c>
      <c r="AQ34" s="945">
        <v>48.85</v>
      </c>
      <c r="AR34" s="945">
        <v>49.025000000000006</v>
      </c>
      <c r="AS34" s="945">
        <v>49.075000000000003</v>
      </c>
      <c r="AT34" s="945">
        <v>49.129999999999995</v>
      </c>
      <c r="AU34" s="945">
        <v>49.23</v>
      </c>
      <c r="AV34" s="945">
        <v>49.325000000000003</v>
      </c>
      <c r="AW34" s="945">
        <v>49.59</v>
      </c>
      <c r="AX34" s="945">
        <v>49.704999999999998</v>
      </c>
      <c r="AY34" s="945">
        <v>49.835000000000001</v>
      </c>
      <c r="AZ34" s="945">
        <v>49.935000000000002</v>
      </c>
      <c r="BA34" s="945">
        <v>50.05</v>
      </c>
      <c r="BB34" s="945">
        <v>50.18</v>
      </c>
      <c r="BC34" s="945">
        <v>50.3</v>
      </c>
      <c r="BD34" s="945">
        <v>50.445</v>
      </c>
      <c r="BE34" s="945">
        <v>50.605000000000004</v>
      </c>
      <c r="BF34" s="945">
        <v>50.784999999999997</v>
      </c>
      <c r="BG34" s="945">
        <v>50.94</v>
      </c>
      <c r="BH34" s="945">
        <v>51.174999999999997</v>
      </c>
      <c r="BI34" s="945">
        <v>51.344999999999999</v>
      </c>
      <c r="BJ34" s="945">
        <v>51.555</v>
      </c>
      <c r="BK34" s="945">
        <v>51.734999999999999</v>
      </c>
      <c r="BL34" s="945">
        <v>51.96</v>
      </c>
      <c r="BM34" s="945">
        <v>52.185000000000002</v>
      </c>
      <c r="BN34" s="945">
        <v>52.384999999999998</v>
      </c>
      <c r="BO34" s="945">
        <v>52.555</v>
      </c>
      <c r="BP34" s="945">
        <v>52.75</v>
      </c>
      <c r="BQ34" s="945">
        <v>52.924999999999997</v>
      </c>
      <c r="BR34" s="945">
        <v>53.094999999999999</v>
      </c>
      <c r="BS34" s="945">
        <v>53.265000000000001</v>
      </c>
      <c r="BT34" s="946">
        <v>53.43</v>
      </c>
      <c r="BU34" s="945">
        <v>53.57</v>
      </c>
      <c r="BV34" s="945">
        <v>53.734999999999999</v>
      </c>
      <c r="BW34" s="945">
        <v>53.9</v>
      </c>
      <c r="BX34" s="945">
        <v>54.045000000000002</v>
      </c>
      <c r="BY34" s="945">
        <v>54.195</v>
      </c>
      <c r="BZ34" s="945">
        <v>54.34</v>
      </c>
      <c r="CA34" s="945">
        <v>54.49</v>
      </c>
      <c r="CB34" s="945">
        <v>54.635000000000005</v>
      </c>
      <c r="CC34" s="945">
        <v>54.784999999999997</v>
      </c>
      <c r="CD34" s="945">
        <v>54.935000000000002</v>
      </c>
      <c r="CE34" s="945">
        <v>55.085000000000001</v>
      </c>
      <c r="CF34" s="945">
        <v>55.225000000000001</v>
      </c>
      <c r="CG34" s="945">
        <v>55.375</v>
      </c>
      <c r="CH34" s="945">
        <v>55.524999999999999</v>
      </c>
      <c r="CI34" s="945">
        <v>55.674999999999997</v>
      </c>
      <c r="CJ34" s="945">
        <v>55.82</v>
      </c>
      <c r="CK34" s="945">
        <v>55.965000000000003</v>
      </c>
      <c r="CL34" s="945">
        <v>56.105000000000004</v>
      </c>
      <c r="CM34" s="945">
        <v>56.25</v>
      </c>
      <c r="CN34" s="945">
        <v>56.39</v>
      </c>
      <c r="CO34" s="945">
        <v>56.53</v>
      </c>
      <c r="CP34" s="945">
        <v>56.674999999999997</v>
      </c>
      <c r="CQ34" s="945">
        <v>56.81</v>
      </c>
      <c r="CR34" s="945">
        <v>56.95</v>
      </c>
      <c r="CS34" s="945">
        <v>57.085000000000001</v>
      </c>
      <c r="CT34" s="945">
        <v>57.22</v>
      </c>
      <c r="CU34" s="945">
        <v>57.35</v>
      </c>
      <c r="CV34" s="945">
        <v>57.484999999999999</v>
      </c>
      <c r="CW34" s="945">
        <v>57.620000000000005</v>
      </c>
      <c r="CX34" s="945">
        <v>57.75</v>
      </c>
      <c r="CY34" s="945">
        <v>57.879999999999995</v>
      </c>
      <c r="CZ34" s="945">
        <v>58.01</v>
      </c>
      <c r="DA34" s="945">
        <v>58.134999999999998</v>
      </c>
      <c r="DB34" s="945">
        <v>58.265000000000001</v>
      </c>
      <c r="DC34" s="945">
        <v>58.39</v>
      </c>
      <c r="DD34" s="945">
        <v>58.515000000000001</v>
      </c>
      <c r="DE34" s="945">
        <v>58.634999999999998</v>
      </c>
      <c r="DF34" s="945">
        <v>58.760000000000005</v>
      </c>
      <c r="DG34" s="945">
        <v>58.88</v>
      </c>
      <c r="DH34" s="945">
        <v>59</v>
      </c>
      <c r="DI34" s="945">
        <v>59.12</v>
      </c>
      <c r="DJ34" s="945">
        <v>59.239999999999995</v>
      </c>
      <c r="DK34" s="945">
        <v>59.355000000000004</v>
      </c>
      <c r="DL34" s="945">
        <v>59.47</v>
      </c>
      <c r="DM34" s="945">
        <v>59.585000000000001</v>
      </c>
      <c r="DN34" s="945">
        <v>59.7</v>
      </c>
      <c r="DO34" s="945">
        <v>59.814999999999998</v>
      </c>
      <c r="DP34" s="945">
        <v>59.93</v>
      </c>
      <c r="DQ34" s="945">
        <v>60.04</v>
      </c>
      <c r="DR34" s="945">
        <v>60.15</v>
      </c>
    </row>
    <row r="35" spans="1:122" s="131" customFormat="1" ht="12.75">
      <c r="A35" s="949">
        <v>33</v>
      </c>
      <c r="B35" s="945">
        <v>39.629440350411265</v>
      </c>
      <c r="C35" s="945">
        <v>39.710279629824385</v>
      </c>
      <c r="D35" s="945">
        <v>39.893043718403348</v>
      </c>
      <c r="E35" s="945">
        <v>40.061643169465839</v>
      </c>
      <c r="F35" s="945">
        <v>40.301737609091091</v>
      </c>
      <c r="G35" s="945">
        <v>40.489626013696267</v>
      </c>
      <c r="H35" s="945">
        <v>40.655785699012696</v>
      </c>
      <c r="I35" s="945">
        <v>40.909280115547404</v>
      </c>
      <c r="J35" s="945">
        <v>41.106438452262694</v>
      </c>
      <c r="K35" s="945">
        <v>41.367346454646793</v>
      </c>
      <c r="L35" s="945">
        <v>41.647044720142432</v>
      </c>
      <c r="M35" s="945">
        <v>41.889777466145702</v>
      </c>
      <c r="N35" s="945">
        <v>42.177949293342273</v>
      </c>
      <c r="O35" s="945">
        <v>42.447986204004671</v>
      </c>
      <c r="P35" s="945">
        <v>42.752279507607454</v>
      </c>
      <c r="Q35" s="945">
        <v>42.90351806184934</v>
      </c>
      <c r="R35" s="945">
        <v>43.094314400667031</v>
      </c>
      <c r="S35" s="945">
        <v>43.185156735274887</v>
      </c>
      <c r="T35" s="945">
        <v>43.13851067236773</v>
      </c>
      <c r="U35" s="945">
        <v>43.37078480408249</v>
      </c>
      <c r="V35" s="945">
        <v>43.614999999999995</v>
      </c>
      <c r="W35" s="945">
        <v>43.844999999999999</v>
      </c>
      <c r="X35" s="945">
        <v>44.064999999999998</v>
      </c>
      <c r="Y35" s="945">
        <v>44.204999999999998</v>
      </c>
      <c r="Z35" s="945">
        <v>44.44</v>
      </c>
      <c r="AA35" s="945">
        <v>44.615000000000002</v>
      </c>
      <c r="AB35" s="945">
        <v>44.8</v>
      </c>
      <c r="AC35" s="945">
        <v>44.92</v>
      </c>
      <c r="AD35" s="945">
        <v>44.944999999999993</v>
      </c>
      <c r="AE35" s="945">
        <v>45.105000000000004</v>
      </c>
      <c r="AF35" s="945">
        <v>45.305000000000007</v>
      </c>
      <c r="AG35" s="945">
        <v>45.534999999999997</v>
      </c>
      <c r="AH35" s="945">
        <v>45.775000000000006</v>
      </c>
      <c r="AI35" s="945">
        <v>46.004999999999995</v>
      </c>
      <c r="AJ35" s="945">
        <v>46.305</v>
      </c>
      <c r="AK35" s="945">
        <v>46.58</v>
      </c>
      <c r="AL35" s="945">
        <v>46.91</v>
      </c>
      <c r="AM35" s="945">
        <v>47.22</v>
      </c>
      <c r="AN35" s="945">
        <v>47.445</v>
      </c>
      <c r="AO35" s="945">
        <v>47.605000000000004</v>
      </c>
      <c r="AP35" s="945">
        <v>47.784999999999997</v>
      </c>
      <c r="AQ35" s="945">
        <v>47.914999999999999</v>
      </c>
      <c r="AR35" s="945">
        <v>48.085000000000001</v>
      </c>
      <c r="AS35" s="945">
        <v>48.135000000000005</v>
      </c>
      <c r="AT35" s="945">
        <v>48.19</v>
      </c>
      <c r="AU35" s="945">
        <v>48.290000000000006</v>
      </c>
      <c r="AV35" s="945">
        <v>48.38</v>
      </c>
      <c r="AW35" s="945">
        <v>48.644999999999996</v>
      </c>
      <c r="AX35" s="945">
        <v>48.765000000000001</v>
      </c>
      <c r="AY35" s="945">
        <v>48.89</v>
      </c>
      <c r="AZ35" s="945">
        <v>48.989999999999995</v>
      </c>
      <c r="BA35" s="945">
        <v>49.1</v>
      </c>
      <c r="BB35" s="945">
        <v>49.225000000000001</v>
      </c>
      <c r="BC35" s="945">
        <v>49.344999999999999</v>
      </c>
      <c r="BD35" s="945">
        <v>49.489999999999995</v>
      </c>
      <c r="BE35" s="945">
        <v>49.655000000000001</v>
      </c>
      <c r="BF35" s="945">
        <v>49.84</v>
      </c>
      <c r="BG35" s="945">
        <v>49.994999999999997</v>
      </c>
      <c r="BH35" s="945">
        <v>50.224999999999994</v>
      </c>
      <c r="BI35" s="945">
        <v>50.394999999999996</v>
      </c>
      <c r="BJ35" s="945">
        <v>50.6</v>
      </c>
      <c r="BK35" s="945">
        <v>50.79</v>
      </c>
      <c r="BL35" s="945">
        <v>51.004999999999995</v>
      </c>
      <c r="BM35" s="945">
        <v>51.230000000000004</v>
      </c>
      <c r="BN35" s="945">
        <v>51.43</v>
      </c>
      <c r="BO35" s="945">
        <v>51.6</v>
      </c>
      <c r="BP35" s="945">
        <v>51.784999999999997</v>
      </c>
      <c r="BQ35" s="945">
        <v>51.954999999999998</v>
      </c>
      <c r="BR35" s="945">
        <v>52.125</v>
      </c>
      <c r="BS35" s="945">
        <v>52.295000000000002</v>
      </c>
      <c r="BT35" s="946">
        <v>52.46</v>
      </c>
      <c r="BU35" s="945">
        <v>52.6</v>
      </c>
      <c r="BV35" s="945">
        <v>52.765000000000001</v>
      </c>
      <c r="BW35" s="945">
        <v>52.924999999999997</v>
      </c>
      <c r="BX35" s="945">
        <v>53.075000000000003</v>
      </c>
      <c r="BY35" s="945">
        <v>53.225000000000001</v>
      </c>
      <c r="BZ35" s="945">
        <v>53.370000000000005</v>
      </c>
      <c r="CA35" s="945">
        <v>53.515000000000001</v>
      </c>
      <c r="CB35" s="945">
        <v>53.664999999999999</v>
      </c>
      <c r="CC35" s="945">
        <v>53.814999999999998</v>
      </c>
      <c r="CD35" s="945">
        <v>53.96</v>
      </c>
      <c r="CE35" s="945">
        <v>54.114999999999995</v>
      </c>
      <c r="CF35" s="945">
        <v>54.255000000000003</v>
      </c>
      <c r="CG35" s="945">
        <v>54.405000000000001</v>
      </c>
      <c r="CH35" s="945">
        <v>54.55</v>
      </c>
      <c r="CI35" s="945">
        <v>54.7</v>
      </c>
      <c r="CJ35" s="945">
        <v>54.844999999999999</v>
      </c>
      <c r="CK35" s="945">
        <v>54.984999999999999</v>
      </c>
      <c r="CL35" s="945">
        <v>55.129999999999995</v>
      </c>
      <c r="CM35" s="945">
        <v>55.269999999999996</v>
      </c>
      <c r="CN35" s="945">
        <v>55.414999999999999</v>
      </c>
      <c r="CO35" s="945">
        <v>55.555</v>
      </c>
      <c r="CP35" s="945">
        <v>55.695</v>
      </c>
      <c r="CQ35" s="945">
        <v>55.83</v>
      </c>
      <c r="CR35" s="945">
        <v>55.965000000000003</v>
      </c>
      <c r="CS35" s="945">
        <v>56.105000000000004</v>
      </c>
      <c r="CT35" s="945">
        <v>56.239999999999995</v>
      </c>
      <c r="CU35" s="945">
        <v>56.375</v>
      </c>
      <c r="CV35" s="945">
        <v>56.505000000000003</v>
      </c>
      <c r="CW35" s="945">
        <v>56.64</v>
      </c>
      <c r="CX35" s="945">
        <v>56.765000000000001</v>
      </c>
      <c r="CY35" s="945">
        <v>56.900000000000006</v>
      </c>
      <c r="CZ35" s="945">
        <v>57.025000000000006</v>
      </c>
      <c r="DA35" s="945">
        <v>57.155000000000001</v>
      </c>
      <c r="DB35" s="945">
        <v>57.28</v>
      </c>
      <c r="DC35" s="945">
        <v>57.405000000000001</v>
      </c>
      <c r="DD35" s="945">
        <v>57.53</v>
      </c>
      <c r="DE35" s="945">
        <v>57.655000000000001</v>
      </c>
      <c r="DF35" s="945">
        <v>57.775000000000006</v>
      </c>
      <c r="DG35" s="945">
        <v>57.894999999999996</v>
      </c>
      <c r="DH35" s="945">
        <v>58.015000000000001</v>
      </c>
      <c r="DI35" s="945">
        <v>58.135000000000005</v>
      </c>
      <c r="DJ35" s="945">
        <v>58.255000000000003</v>
      </c>
      <c r="DK35" s="945">
        <v>58.37</v>
      </c>
      <c r="DL35" s="945">
        <v>58.484999999999999</v>
      </c>
      <c r="DM35" s="945">
        <v>58.6</v>
      </c>
      <c r="DN35" s="945">
        <v>58.715000000000003</v>
      </c>
      <c r="DO35" s="945">
        <v>58.83</v>
      </c>
      <c r="DP35" s="945">
        <v>58.94</v>
      </c>
      <c r="DQ35" s="945">
        <v>59.055</v>
      </c>
      <c r="DR35" s="945">
        <v>59.16</v>
      </c>
    </row>
    <row r="36" spans="1:122" s="131" customFormat="1" ht="12.75">
      <c r="A36" s="949">
        <v>34</v>
      </c>
      <c r="B36" s="945">
        <v>38.765975779072008</v>
      </c>
      <c r="C36" s="945">
        <v>38.847093995845142</v>
      </c>
      <c r="D36" s="945">
        <v>39.036524963519938</v>
      </c>
      <c r="E36" s="945">
        <v>39.199423020732098</v>
      </c>
      <c r="F36" s="945">
        <v>39.435963866042115</v>
      </c>
      <c r="G36" s="945">
        <v>39.622273293893677</v>
      </c>
      <c r="H36" s="945">
        <v>39.788972402856047</v>
      </c>
      <c r="I36" s="945">
        <v>40.043303059654875</v>
      </c>
      <c r="J36" s="945">
        <v>40.24110401551637</v>
      </c>
      <c r="K36" s="945">
        <v>40.502881262370174</v>
      </c>
      <c r="L36" s="945">
        <v>40.797205980491484</v>
      </c>
      <c r="M36" s="945">
        <v>41.061517592245906</v>
      </c>
      <c r="N36" s="945">
        <v>41.385652450888095</v>
      </c>
      <c r="O36" s="945">
        <v>41.601266954894683</v>
      </c>
      <c r="P36" s="945">
        <v>41.906716390273601</v>
      </c>
      <c r="Q36" s="945">
        <v>42.032724246521738</v>
      </c>
      <c r="R36" s="945">
        <v>42.186826117008565</v>
      </c>
      <c r="S36" s="945">
        <v>42.27785865880832</v>
      </c>
      <c r="T36" s="945">
        <v>42.231115593785802</v>
      </c>
      <c r="U36" s="945">
        <v>42.443578360997648</v>
      </c>
      <c r="V36" s="945">
        <v>42.69</v>
      </c>
      <c r="W36" s="945">
        <v>42.914999999999999</v>
      </c>
      <c r="X36" s="945">
        <v>43.14</v>
      </c>
      <c r="Y36" s="945">
        <v>43.275000000000006</v>
      </c>
      <c r="Z36" s="945">
        <v>43.51</v>
      </c>
      <c r="AA36" s="945">
        <v>43.685000000000002</v>
      </c>
      <c r="AB36" s="945">
        <v>43.87</v>
      </c>
      <c r="AC36" s="945">
        <v>43.99</v>
      </c>
      <c r="AD36" s="945">
        <v>44.015000000000001</v>
      </c>
      <c r="AE36" s="945">
        <v>44.17</v>
      </c>
      <c r="AF36" s="945">
        <v>44.370000000000005</v>
      </c>
      <c r="AG36" s="945">
        <v>44.594999999999999</v>
      </c>
      <c r="AH36" s="945">
        <v>44.834999999999994</v>
      </c>
      <c r="AI36" s="945">
        <v>45.075000000000003</v>
      </c>
      <c r="AJ36" s="945">
        <v>45.364999999999995</v>
      </c>
      <c r="AK36" s="945">
        <v>45.644999999999996</v>
      </c>
      <c r="AL36" s="945">
        <v>45.975000000000001</v>
      </c>
      <c r="AM36" s="945">
        <v>46.29</v>
      </c>
      <c r="AN36" s="945">
        <v>46.504999999999995</v>
      </c>
      <c r="AO36" s="945">
        <v>46.674999999999997</v>
      </c>
      <c r="AP36" s="945">
        <v>46.844999999999999</v>
      </c>
      <c r="AQ36" s="945">
        <v>46.974999999999994</v>
      </c>
      <c r="AR36" s="945">
        <v>47.144999999999996</v>
      </c>
      <c r="AS36" s="945">
        <v>47.195</v>
      </c>
      <c r="AT36" s="945">
        <v>47.255000000000003</v>
      </c>
      <c r="AU36" s="945">
        <v>47.355000000000004</v>
      </c>
      <c r="AV36" s="945">
        <v>47.445</v>
      </c>
      <c r="AW36" s="945">
        <v>47.7</v>
      </c>
      <c r="AX36" s="945">
        <v>47.814999999999998</v>
      </c>
      <c r="AY36" s="945">
        <v>47.94</v>
      </c>
      <c r="AZ36" s="945">
        <v>48.045000000000002</v>
      </c>
      <c r="BA36" s="945">
        <v>48.15</v>
      </c>
      <c r="BB36" s="945">
        <v>48.28</v>
      </c>
      <c r="BC36" s="945">
        <v>48.394999999999996</v>
      </c>
      <c r="BD36" s="945">
        <v>48.545000000000002</v>
      </c>
      <c r="BE36" s="945">
        <v>48.71</v>
      </c>
      <c r="BF36" s="945">
        <v>48.89</v>
      </c>
      <c r="BG36" s="945">
        <v>49.055</v>
      </c>
      <c r="BH36" s="945">
        <v>49.28</v>
      </c>
      <c r="BI36" s="945">
        <v>49.45</v>
      </c>
      <c r="BJ36" s="945">
        <v>49.66</v>
      </c>
      <c r="BK36" s="945">
        <v>49.835000000000001</v>
      </c>
      <c r="BL36" s="945">
        <v>50.055</v>
      </c>
      <c r="BM36" s="945">
        <v>50.269999999999996</v>
      </c>
      <c r="BN36" s="945">
        <v>50.47</v>
      </c>
      <c r="BO36" s="945">
        <v>50.63</v>
      </c>
      <c r="BP36" s="945">
        <v>50.825000000000003</v>
      </c>
      <c r="BQ36" s="945">
        <v>50.995000000000005</v>
      </c>
      <c r="BR36" s="945">
        <v>51.16</v>
      </c>
      <c r="BS36" s="945">
        <v>51.33</v>
      </c>
      <c r="BT36" s="946">
        <v>51.49</v>
      </c>
      <c r="BU36" s="945">
        <v>51.63</v>
      </c>
      <c r="BV36" s="945">
        <v>51.8</v>
      </c>
      <c r="BW36" s="945">
        <v>51.954999999999998</v>
      </c>
      <c r="BX36" s="945">
        <v>52.105000000000004</v>
      </c>
      <c r="BY36" s="945">
        <v>52.255000000000003</v>
      </c>
      <c r="BZ36" s="945">
        <v>52.4</v>
      </c>
      <c r="CA36" s="945">
        <v>52.55</v>
      </c>
      <c r="CB36" s="945">
        <v>52.695</v>
      </c>
      <c r="CC36" s="945">
        <v>52.84</v>
      </c>
      <c r="CD36" s="945">
        <v>52.989999999999995</v>
      </c>
      <c r="CE36" s="945">
        <v>53.14</v>
      </c>
      <c r="CF36" s="945">
        <v>53.284999999999997</v>
      </c>
      <c r="CG36" s="945">
        <v>53.435000000000002</v>
      </c>
      <c r="CH36" s="945">
        <v>53.58</v>
      </c>
      <c r="CI36" s="945">
        <v>53.725000000000001</v>
      </c>
      <c r="CJ36" s="945">
        <v>53.875</v>
      </c>
      <c r="CK36" s="945">
        <v>54.015000000000001</v>
      </c>
      <c r="CL36" s="945">
        <v>54.16</v>
      </c>
      <c r="CM36" s="945">
        <v>54.3</v>
      </c>
      <c r="CN36" s="945">
        <v>54.44</v>
      </c>
      <c r="CO36" s="945">
        <v>54.58</v>
      </c>
      <c r="CP36" s="945">
        <v>54.72</v>
      </c>
      <c r="CQ36" s="945">
        <v>54.855000000000004</v>
      </c>
      <c r="CR36" s="945">
        <v>54.989999999999995</v>
      </c>
      <c r="CS36" s="945">
        <v>55.129999999999995</v>
      </c>
      <c r="CT36" s="945">
        <v>55.265000000000001</v>
      </c>
      <c r="CU36" s="945">
        <v>55.394999999999996</v>
      </c>
      <c r="CV36" s="945">
        <v>55.524999999999999</v>
      </c>
      <c r="CW36" s="945">
        <v>55.655000000000001</v>
      </c>
      <c r="CX36" s="945">
        <v>55.790000000000006</v>
      </c>
      <c r="CY36" s="945">
        <v>55.914999999999999</v>
      </c>
      <c r="CZ36" s="945">
        <v>56.045000000000002</v>
      </c>
      <c r="DA36" s="945">
        <v>56.17</v>
      </c>
      <c r="DB36" s="945">
        <v>56.295000000000002</v>
      </c>
      <c r="DC36" s="945">
        <v>56.42</v>
      </c>
      <c r="DD36" s="945">
        <v>56.545000000000002</v>
      </c>
      <c r="DE36" s="945">
        <v>56.67</v>
      </c>
      <c r="DF36" s="945">
        <v>56.79</v>
      </c>
      <c r="DG36" s="945">
        <v>56.91</v>
      </c>
      <c r="DH36" s="945">
        <v>57.03</v>
      </c>
      <c r="DI36" s="945">
        <v>57.15</v>
      </c>
      <c r="DJ36" s="945">
        <v>57.269999999999996</v>
      </c>
      <c r="DK36" s="945">
        <v>57.385000000000005</v>
      </c>
      <c r="DL36" s="945">
        <v>57.5</v>
      </c>
      <c r="DM36" s="945">
        <v>57.614999999999995</v>
      </c>
      <c r="DN36" s="945">
        <v>57.730000000000004</v>
      </c>
      <c r="DO36" s="945">
        <v>57.84</v>
      </c>
      <c r="DP36" s="945">
        <v>57.954999999999998</v>
      </c>
      <c r="DQ36" s="945">
        <v>58.069999999999993</v>
      </c>
      <c r="DR36" s="945">
        <v>58.174999999999997</v>
      </c>
    </row>
    <row r="37" spans="1:122" s="131" customFormat="1" ht="12.75">
      <c r="A37" s="949">
        <v>35</v>
      </c>
      <c r="B37" s="945">
        <v>37.904184862158388</v>
      </c>
      <c r="C37" s="945">
        <v>37.991651702665578</v>
      </c>
      <c r="D37" s="945">
        <v>38.175452360728812</v>
      </c>
      <c r="E37" s="945">
        <v>38.334555932143502</v>
      </c>
      <c r="F37" s="945">
        <v>38.569720354547222</v>
      </c>
      <c r="G37" s="945">
        <v>38.756661134930731</v>
      </c>
      <c r="H37" s="945">
        <v>38.923919576912425</v>
      </c>
      <c r="I37" s="945">
        <v>39.179118790672675</v>
      </c>
      <c r="J37" s="945">
        <v>39.377586363662999</v>
      </c>
      <c r="K37" s="945">
        <v>39.654058616764274</v>
      </c>
      <c r="L37" s="945">
        <v>39.970356785577323</v>
      </c>
      <c r="M37" s="945">
        <v>40.270858170427815</v>
      </c>
      <c r="N37" s="945">
        <v>40.537557246887644</v>
      </c>
      <c r="O37" s="945">
        <v>40.754017266326926</v>
      </c>
      <c r="P37" s="945">
        <v>41.034986836017303</v>
      </c>
      <c r="Q37" s="945">
        <v>41.126611645767753</v>
      </c>
      <c r="R37" s="945">
        <v>41.281060374141695</v>
      </c>
      <c r="S37" s="945">
        <v>41.372291219420092</v>
      </c>
      <c r="T37" s="945">
        <v>41.310922602494294</v>
      </c>
      <c r="U37" s="945">
        <v>41.520008418897781</v>
      </c>
      <c r="V37" s="945">
        <v>41.765000000000001</v>
      </c>
      <c r="W37" s="945">
        <v>41.994999999999997</v>
      </c>
      <c r="X37" s="945">
        <v>42.215000000000003</v>
      </c>
      <c r="Y37" s="945">
        <v>42.35</v>
      </c>
      <c r="Z37" s="945">
        <v>42.585000000000001</v>
      </c>
      <c r="AA37" s="945">
        <v>42.754999999999995</v>
      </c>
      <c r="AB37" s="945">
        <v>42.945</v>
      </c>
      <c r="AC37" s="945">
        <v>43.06</v>
      </c>
      <c r="AD37" s="945">
        <v>43.08</v>
      </c>
      <c r="AE37" s="945">
        <v>43.239999999999995</v>
      </c>
      <c r="AF37" s="945">
        <v>43.44</v>
      </c>
      <c r="AG37" s="945">
        <v>43.664999999999999</v>
      </c>
      <c r="AH37" s="945">
        <v>43.91</v>
      </c>
      <c r="AI37" s="945">
        <v>44.14</v>
      </c>
      <c r="AJ37" s="945">
        <v>44.424999999999997</v>
      </c>
      <c r="AK37" s="945">
        <v>44.715000000000003</v>
      </c>
      <c r="AL37" s="945">
        <v>45.04</v>
      </c>
      <c r="AM37" s="945">
        <v>45.355000000000004</v>
      </c>
      <c r="AN37" s="945">
        <v>45.57</v>
      </c>
      <c r="AO37" s="945">
        <v>45.739999999999995</v>
      </c>
      <c r="AP37" s="945">
        <v>45.914999999999999</v>
      </c>
      <c r="AQ37" s="945">
        <v>46.04</v>
      </c>
      <c r="AR37" s="945">
        <v>46.21</v>
      </c>
      <c r="AS37" s="945">
        <v>46.26</v>
      </c>
      <c r="AT37" s="945">
        <v>46.32</v>
      </c>
      <c r="AU37" s="945">
        <v>46.41</v>
      </c>
      <c r="AV37" s="945">
        <v>46.504999999999995</v>
      </c>
      <c r="AW37" s="945">
        <v>46.754999999999995</v>
      </c>
      <c r="AX37" s="945">
        <v>46.864999999999995</v>
      </c>
      <c r="AY37" s="945">
        <v>46.995000000000005</v>
      </c>
      <c r="AZ37" s="945">
        <v>47.09</v>
      </c>
      <c r="BA37" s="945">
        <v>47.204999999999998</v>
      </c>
      <c r="BB37" s="945">
        <v>47.325000000000003</v>
      </c>
      <c r="BC37" s="945">
        <v>47.45</v>
      </c>
      <c r="BD37" s="945">
        <v>47.594999999999999</v>
      </c>
      <c r="BE37" s="945">
        <v>47.765000000000001</v>
      </c>
      <c r="BF37" s="945">
        <v>47.95</v>
      </c>
      <c r="BG37" s="945">
        <v>48.11</v>
      </c>
      <c r="BH37" s="945">
        <v>48.34</v>
      </c>
      <c r="BI37" s="945">
        <v>48.504999999999995</v>
      </c>
      <c r="BJ37" s="945">
        <v>48.715000000000003</v>
      </c>
      <c r="BK37" s="945">
        <v>48.885000000000005</v>
      </c>
      <c r="BL37" s="945">
        <v>49.105000000000004</v>
      </c>
      <c r="BM37" s="945">
        <v>49.314999999999998</v>
      </c>
      <c r="BN37" s="945">
        <v>49.505000000000003</v>
      </c>
      <c r="BO37" s="945">
        <v>49.674999999999997</v>
      </c>
      <c r="BP37" s="945">
        <v>49.86</v>
      </c>
      <c r="BQ37" s="945">
        <v>50.03</v>
      </c>
      <c r="BR37" s="945">
        <v>50.195</v>
      </c>
      <c r="BS37" s="945">
        <v>50.365000000000002</v>
      </c>
      <c r="BT37" s="946">
        <v>50.519999999999996</v>
      </c>
      <c r="BU37" s="945">
        <v>50.66</v>
      </c>
      <c r="BV37" s="945">
        <v>50.83</v>
      </c>
      <c r="BW37" s="945">
        <v>50.984999999999999</v>
      </c>
      <c r="BX37" s="945">
        <v>51.135000000000005</v>
      </c>
      <c r="BY37" s="945">
        <v>51.284999999999997</v>
      </c>
      <c r="BZ37" s="945">
        <v>51.43</v>
      </c>
      <c r="CA37" s="945">
        <v>51.58</v>
      </c>
      <c r="CB37" s="945">
        <v>51.724999999999994</v>
      </c>
      <c r="CC37" s="945">
        <v>51.870000000000005</v>
      </c>
      <c r="CD37" s="945">
        <v>52.019999999999996</v>
      </c>
      <c r="CE37" s="945">
        <v>52.174999999999997</v>
      </c>
      <c r="CF37" s="945">
        <v>52.314999999999998</v>
      </c>
      <c r="CG37" s="945">
        <v>52.465000000000003</v>
      </c>
      <c r="CH37" s="945">
        <v>52.61</v>
      </c>
      <c r="CI37" s="945">
        <v>52.755000000000003</v>
      </c>
      <c r="CJ37" s="945">
        <v>52.9</v>
      </c>
      <c r="CK37" s="945">
        <v>53.040000000000006</v>
      </c>
      <c r="CL37" s="945">
        <v>53.185000000000002</v>
      </c>
      <c r="CM37" s="945">
        <v>53.325000000000003</v>
      </c>
      <c r="CN37" s="945">
        <v>53.47</v>
      </c>
      <c r="CO37" s="945">
        <v>53.605000000000004</v>
      </c>
      <c r="CP37" s="945">
        <v>53.745000000000005</v>
      </c>
      <c r="CQ37" s="945">
        <v>53.879999999999995</v>
      </c>
      <c r="CR37" s="945">
        <v>54.015000000000001</v>
      </c>
      <c r="CS37" s="945">
        <v>54.15</v>
      </c>
      <c r="CT37" s="945">
        <v>54.28</v>
      </c>
      <c r="CU37" s="945">
        <v>54.414999999999999</v>
      </c>
      <c r="CV37" s="945">
        <v>54.55</v>
      </c>
      <c r="CW37" s="945">
        <v>54.68</v>
      </c>
      <c r="CX37" s="945">
        <v>54.805</v>
      </c>
      <c r="CY37" s="945">
        <v>54.94</v>
      </c>
      <c r="CZ37" s="945">
        <v>55.064999999999998</v>
      </c>
      <c r="DA37" s="945">
        <v>55.19</v>
      </c>
      <c r="DB37" s="945">
        <v>55.32</v>
      </c>
      <c r="DC37" s="945">
        <v>55.445</v>
      </c>
      <c r="DD37" s="945">
        <v>55.564999999999998</v>
      </c>
      <c r="DE37" s="945">
        <v>55.685000000000002</v>
      </c>
      <c r="DF37" s="945">
        <v>55.81</v>
      </c>
      <c r="DG37" s="945">
        <v>55.93</v>
      </c>
      <c r="DH37" s="945">
        <v>56.05</v>
      </c>
      <c r="DI37" s="945">
        <v>56.164999999999999</v>
      </c>
      <c r="DJ37" s="945">
        <v>56.284999999999997</v>
      </c>
      <c r="DK37" s="945">
        <v>56.4</v>
      </c>
      <c r="DL37" s="945">
        <v>56.519999999999996</v>
      </c>
      <c r="DM37" s="945">
        <v>56.63</v>
      </c>
      <c r="DN37" s="945">
        <v>56.744999999999997</v>
      </c>
      <c r="DO37" s="945">
        <v>56.855000000000004</v>
      </c>
      <c r="DP37" s="945">
        <v>56.97</v>
      </c>
      <c r="DQ37" s="945">
        <v>57.08</v>
      </c>
      <c r="DR37" s="945">
        <v>57.19</v>
      </c>
    </row>
    <row r="38" spans="1:122" s="131" customFormat="1" ht="12.75">
      <c r="A38" s="949">
        <v>36</v>
      </c>
      <c r="B38" s="945">
        <v>37.048935774490694</v>
      </c>
      <c r="C38" s="945">
        <v>37.130392491302104</v>
      </c>
      <c r="D38" s="945">
        <v>37.310479580024868</v>
      </c>
      <c r="E38" s="945">
        <v>37.467941740311637</v>
      </c>
      <c r="F38" s="945">
        <v>37.703935156932175</v>
      </c>
      <c r="G38" s="945">
        <v>37.891526430631899</v>
      </c>
      <c r="H38" s="945">
        <v>38.059361292424406</v>
      </c>
      <c r="I38" s="945">
        <v>38.315455239494611</v>
      </c>
      <c r="J38" s="945">
        <v>38.528365902513364</v>
      </c>
      <c r="K38" s="945">
        <v>38.82671701465302</v>
      </c>
      <c r="L38" s="945">
        <v>39.17941398346376</v>
      </c>
      <c r="M38" s="945">
        <v>39.419762577837176</v>
      </c>
      <c r="N38" s="945">
        <v>39.687490164832496</v>
      </c>
      <c r="O38" s="945">
        <v>39.879689748012879</v>
      </c>
      <c r="P38" s="945">
        <v>40.130391286392822</v>
      </c>
      <c r="Q38" s="945">
        <v>40.22223821460463</v>
      </c>
      <c r="R38" s="945">
        <v>40.377048975839649</v>
      </c>
      <c r="S38" s="945">
        <v>40.453987608688237</v>
      </c>
      <c r="T38" s="945">
        <v>40.391602601224136</v>
      </c>
      <c r="U38" s="945">
        <v>40.595165734789902</v>
      </c>
      <c r="V38" s="945">
        <v>40.840000000000003</v>
      </c>
      <c r="W38" s="945">
        <v>41.07</v>
      </c>
      <c r="X38" s="945">
        <v>41.290000000000006</v>
      </c>
      <c r="Y38" s="945">
        <v>41.424999999999997</v>
      </c>
      <c r="Z38" s="945">
        <v>41.66</v>
      </c>
      <c r="AA38" s="945">
        <v>41.83</v>
      </c>
      <c r="AB38" s="945">
        <v>42.015000000000001</v>
      </c>
      <c r="AC38" s="945">
        <v>42.129999999999995</v>
      </c>
      <c r="AD38" s="945">
        <v>42.155000000000001</v>
      </c>
      <c r="AE38" s="945">
        <v>42.31</v>
      </c>
      <c r="AF38" s="945">
        <v>42.51</v>
      </c>
      <c r="AG38" s="945">
        <v>42.730000000000004</v>
      </c>
      <c r="AH38" s="945">
        <v>42.980000000000004</v>
      </c>
      <c r="AI38" s="945">
        <v>43.21</v>
      </c>
      <c r="AJ38" s="945">
        <v>43.5</v>
      </c>
      <c r="AK38" s="945">
        <v>43.784999999999997</v>
      </c>
      <c r="AL38" s="945">
        <v>44.105000000000004</v>
      </c>
      <c r="AM38" s="945">
        <v>44.42</v>
      </c>
      <c r="AN38" s="945">
        <v>44.635000000000005</v>
      </c>
      <c r="AO38" s="945">
        <v>44.805000000000007</v>
      </c>
      <c r="AP38" s="945">
        <v>44.98</v>
      </c>
      <c r="AQ38" s="945">
        <v>45.105000000000004</v>
      </c>
      <c r="AR38" s="945">
        <v>45.274999999999999</v>
      </c>
      <c r="AS38" s="945">
        <v>45.325000000000003</v>
      </c>
      <c r="AT38" s="945">
        <v>45.38</v>
      </c>
      <c r="AU38" s="945">
        <v>45.474999999999994</v>
      </c>
      <c r="AV38" s="945">
        <v>45.564999999999998</v>
      </c>
      <c r="AW38" s="945">
        <v>45.814999999999998</v>
      </c>
      <c r="AX38" s="945">
        <v>45.924999999999997</v>
      </c>
      <c r="AY38" s="945">
        <v>46.055</v>
      </c>
      <c r="AZ38" s="945">
        <v>46.144999999999996</v>
      </c>
      <c r="BA38" s="945">
        <v>46.26</v>
      </c>
      <c r="BB38" s="945">
        <v>46.385000000000005</v>
      </c>
      <c r="BC38" s="945">
        <v>46.504999999999995</v>
      </c>
      <c r="BD38" s="945">
        <v>46.65</v>
      </c>
      <c r="BE38" s="945">
        <v>46.825000000000003</v>
      </c>
      <c r="BF38" s="945">
        <v>47.010000000000005</v>
      </c>
      <c r="BG38" s="945">
        <v>47.17</v>
      </c>
      <c r="BH38" s="945">
        <v>47.394999999999996</v>
      </c>
      <c r="BI38" s="945">
        <v>47.56</v>
      </c>
      <c r="BJ38" s="945">
        <v>47.769999999999996</v>
      </c>
      <c r="BK38" s="945">
        <v>47.94</v>
      </c>
      <c r="BL38" s="945">
        <v>48.150000000000006</v>
      </c>
      <c r="BM38" s="945">
        <v>48.36</v>
      </c>
      <c r="BN38" s="945">
        <v>48.55</v>
      </c>
      <c r="BO38" s="945">
        <v>48.715000000000003</v>
      </c>
      <c r="BP38" s="945">
        <v>48.9</v>
      </c>
      <c r="BQ38" s="945">
        <v>49.07</v>
      </c>
      <c r="BR38" s="945">
        <v>49.230000000000004</v>
      </c>
      <c r="BS38" s="945">
        <v>49.4</v>
      </c>
      <c r="BT38" s="946">
        <v>49.555</v>
      </c>
      <c r="BU38" s="945">
        <v>49.695</v>
      </c>
      <c r="BV38" s="945">
        <v>49.86</v>
      </c>
      <c r="BW38" s="945">
        <v>50.015000000000001</v>
      </c>
      <c r="BX38" s="945">
        <v>50.17</v>
      </c>
      <c r="BY38" s="945">
        <v>50.314999999999998</v>
      </c>
      <c r="BZ38" s="945">
        <v>50.465000000000003</v>
      </c>
      <c r="CA38" s="945">
        <v>50.614999999999995</v>
      </c>
      <c r="CB38" s="945">
        <v>50.754999999999995</v>
      </c>
      <c r="CC38" s="945">
        <v>50.905000000000001</v>
      </c>
      <c r="CD38" s="945">
        <v>51.055</v>
      </c>
      <c r="CE38" s="945">
        <v>51.204999999999998</v>
      </c>
      <c r="CF38" s="945">
        <v>51.35</v>
      </c>
      <c r="CG38" s="945">
        <v>51.495000000000005</v>
      </c>
      <c r="CH38" s="945">
        <v>51.644999999999996</v>
      </c>
      <c r="CI38" s="945">
        <v>51.784999999999997</v>
      </c>
      <c r="CJ38" s="945">
        <v>51.93</v>
      </c>
      <c r="CK38" s="945">
        <v>52.075000000000003</v>
      </c>
      <c r="CL38" s="945">
        <v>52.215000000000003</v>
      </c>
      <c r="CM38" s="945">
        <v>52.349999999999994</v>
      </c>
      <c r="CN38" s="945">
        <v>52.495000000000005</v>
      </c>
      <c r="CO38" s="945">
        <v>52.634999999999998</v>
      </c>
      <c r="CP38" s="945">
        <v>52.77</v>
      </c>
      <c r="CQ38" s="945">
        <v>52.905000000000001</v>
      </c>
      <c r="CR38" s="945">
        <v>53.04</v>
      </c>
      <c r="CS38" s="945">
        <v>53.18</v>
      </c>
      <c r="CT38" s="945">
        <v>53.305</v>
      </c>
      <c r="CU38" s="945">
        <v>53.44</v>
      </c>
      <c r="CV38" s="945">
        <v>53.57</v>
      </c>
      <c r="CW38" s="945">
        <v>53.704999999999998</v>
      </c>
      <c r="CX38" s="945">
        <v>53.83</v>
      </c>
      <c r="CY38" s="945">
        <v>53.96</v>
      </c>
      <c r="CZ38" s="945">
        <v>54.085000000000001</v>
      </c>
      <c r="DA38" s="945">
        <v>54.21</v>
      </c>
      <c r="DB38" s="945">
        <v>54.335000000000001</v>
      </c>
      <c r="DC38" s="945">
        <v>54.46</v>
      </c>
      <c r="DD38" s="945">
        <v>54.585000000000001</v>
      </c>
      <c r="DE38" s="945">
        <v>54.71</v>
      </c>
      <c r="DF38" s="945">
        <v>54.825000000000003</v>
      </c>
      <c r="DG38" s="945">
        <v>54.95</v>
      </c>
      <c r="DH38" s="945">
        <v>55.064999999999998</v>
      </c>
      <c r="DI38" s="945">
        <v>55.185000000000002</v>
      </c>
      <c r="DJ38" s="945">
        <v>55.305</v>
      </c>
      <c r="DK38" s="945">
        <v>55.42</v>
      </c>
      <c r="DL38" s="945">
        <v>55.534999999999997</v>
      </c>
      <c r="DM38" s="945">
        <v>55.65</v>
      </c>
      <c r="DN38" s="945">
        <v>55.760000000000005</v>
      </c>
      <c r="DO38" s="945">
        <v>55.87</v>
      </c>
      <c r="DP38" s="945">
        <v>55.984999999999999</v>
      </c>
      <c r="DQ38" s="945">
        <v>56.094999999999999</v>
      </c>
      <c r="DR38" s="945">
        <v>56.2</v>
      </c>
    </row>
    <row r="39" spans="1:122" s="131" customFormat="1" ht="12.75">
      <c r="A39" s="949">
        <v>37</v>
      </c>
      <c r="B39" s="945">
        <v>36.188663043882229</v>
      </c>
      <c r="C39" s="945">
        <v>36.265965948286421</v>
      </c>
      <c r="D39" s="945">
        <v>36.444477111577243</v>
      </c>
      <c r="E39" s="945">
        <v>36.602507005138975</v>
      </c>
      <c r="F39" s="945">
        <v>36.839359550530929</v>
      </c>
      <c r="G39" s="945">
        <v>37.02762568874801</v>
      </c>
      <c r="H39" s="945">
        <v>37.196059048899784</v>
      </c>
      <c r="I39" s="945">
        <v>37.466898935917243</v>
      </c>
      <c r="J39" s="945">
        <v>37.701511497587575</v>
      </c>
      <c r="K39" s="945">
        <v>38.036324521432626</v>
      </c>
      <c r="L39" s="945">
        <v>38.326703760961962</v>
      </c>
      <c r="M39" s="945">
        <v>38.568009880854021</v>
      </c>
      <c r="N39" s="945">
        <v>38.81196160860889</v>
      </c>
      <c r="O39" s="945">
        <v>38.976456876435819</v>
      </c>
      <c r="P39" s="945">
        <v>39.227784438714622</v>
      </c>
      <c r="Q39" s="945">
        <v>39.319863886161073</v>
      </c>
      <c r="R39" s="945">
        <v>39.467849309234701</v>
      </c>
      <c r="S39" s="945">
        <v>39.531222775385459</v>
      </c>
      <c r="T39" s="945">
        <v>39.47433749438698</v>
      </c>
      <c r="U39" s="945">
        <v>39.672530015070407</v>
      </c>
      <c r="V39" s="945">
        <v>39.92</v>
      </c>
      <c r="W39" s="945">
        <v>40.15</v>
      </c>
      <c r="X39" s="945">
        <v>40.365000000000002</v>
      </c>
      <c r="Y39" s="945">
        <v>40.5</v>
      </c>
      <c r="Z39" s="945">
        <v>40.734999999999999</v>
      </c>
      <c r="AA39" s="945">
        <v>40.905000000000001</v>
      </c>
      <c r="AB39" s="945">
        <v>41.09</v>
      </c>
      <c r="AC39" s="945">
        <v>41.2</v>
      </c>
      <c r="AD39" s="945">
        <v>41.230000000000004</v>
      </c>
      <c r="AE39" s="945">
        <v>41.375</v>
      </c>
      <c r="AF39" s="945">
        <v>41.585000000000001</v>
      </c>
      <c r="AG39" s="945">
        <v>41.805</v>
      </c>
      <c r="AH39" s="945">
        <v>42.045000000000002</v>
      </c>
      <c r="AI39" s="945">
        <v>42.284999999999997</v>
      </c>
      <c r="AJ39" s="945">
        <v>42.57</v>
      </c>
      <c r="AK39" s="945">
        <v>42.855000000000004</v>
      </c>
      <c r="AL39" s="945">
        <v>43.185000000000002</v>
      </c>
      <c r="AM39" s="945">
        <v>43.49</v>
      </c>
      <c r="AN39" s="945">
        <v>43.709999999999994</v>
      </c>
      <c r="AO39" s="945">
        <v>43.879999999999995</v>
      </c>
      <c r="AP39" s="945">
        <v>44.05</v>
      </c>
      <c r="AQ39" s="945">
        <v>44.174999999999997</v>
      </c>
      <c r="AR39" s="945">
        <v>44.344999999999999</v>
      </c>
      <c r="AS39" s="945">
        <v>44.394999999999996</v>
      </c>
      <c r="AT39" s="945">
        <v>44.445</v>
      </c>
      <c r="AU39" s="945">
        <v>44.54</v>
      </c>
      <c r="AV39" s="945">
        <v>44.629999999999995</v>
      </c>
      <c r="AW39" s="945">
        <v>44.875</v>
      </c>
      <c r="AX39" s="945">
        <v>44.984999999999999</v>
      </c>
      <c r="AY39" s="945">
        <v>45.11</v>
      </c>
      <c r="AZ39" s="945">
        <v>45.2</v>
      </c>
      <c r="BA39" s="945">
        <v>45.314999999999998</v>
      </c>
      <c r="BB39" s="945">
        <v>45.445</v>
      </c>
      <c r="BC39" s="945">
        <v>45.564999999999998</v>
      </c>
      <c r="BD39" s="945">
        <v>45.715000000000003</v>
      </c>
      <c r="BE39" s="945">
        <v>45.894999999999996</v>
      </c>
      <c r="BF39" s="945">
        <v>46.07</v>
      </c>
      <c r="BG39" s="945">
        <v>46.234999999999999</v>
      </c>
      <c r="BH39" s="945">
        <v>46.454999999999998</v>
      </c>
      <c r="BI39" s="945">
        <v>46.620000000000005</v>
      </c>
      <c r="BJ39" s="945">
        <v>46.82</v>
      </c>
      <c r="BK39" s="945">
        <v>46.989999999999995</v>
      </c>
      <c r="BL39" s="945">
        <v>47.2</v>
      </c>
      <c r="BM39" s="945">
        <v>47.41</v>
      </c>
      <c r="BN39" s="945">
        <v>47.594999999999999</v>
      </c>
      <c r="BO39" s="945">
        <v>47.76</v>
      </c>
      <c r="BP39" s="945">
        <v>47.945</v>
      </c>
      <c r="BQ39" s="945">
        <v>48.11</v>
      </c>
      <c r="BR39" s="945">
        <v>48.269999999999996</v>
      </c>
      <c r="BS39" s="945">
        <v>48.435000000000002</v>
      </c>
      <c r="BT39" s="946">
        <v>48.59</v>
      </c>
      <c r="BU39" s="945">
        <v>48.73</v>
      </c>
      <c r="BV39" s="945">
        <v>48.894999999999996</v>
      </c>
      <c r="BW39" s="945">
        <v>49.055</v>
      </c>
      <c r="BX39" s="945">
        <v>49.2</v>
      </c>
      <c r="BY39" s="945">
        <v>49.344999999999999</v>
      </c>
      <c r="BZ39" s="945">
        <v>49.494999999999997</v>
      </c>
      <c r="CA39" s="945">
        <v>49.644999999999996</v>
      </c>
      <c r="CB39" s="945">
        <v>49.784999999999997</v>
      </c>
      <c r="CC39" s="945">
        <v>49.935000000000002</v>
      </c>
      <c r="CD39" s="945">
        <v>50.09</v>
      </c>
      <c r="CE39" s="945">
        <v>50.234999999999999</v>
      </c>
      <c r="CF39" s="945">
        <v>50.379999999999995</v>
      </c>
      <c r="CG39" s="945">
        <v>50.525000000000006</v>
      </c>
      <c r="CH39" s="945">
        <v>50.674999999999997</v>
      </c>
      <c r="CI39" s="945">
        <v>50.82</v>
      </c>
      <c r="CJ39" s="945">
        <v>50.959999999999994</v>
      </c>
      <c r="CK39" s="945">
        <v>51.105000000000004</v>
      </c>
      <c r="CL39" s="945">
        <v>51.239999999999995</v>
      </c>
      <c r="CM39" s="945">
        <v>51.385000000000005</v>
      </c>
      <c r="CN39" s="945">
        <v>51.524999999999999</v>
      </c>
      <c r="CO39" s="945">
        <v>51.66</v>
      </c>
      <c r="CP39" s="945">
        <v>51.795000000000002</v>
      </c>
      <c r="CQ39" s="945">
        <v>51.935000000000002</v>
      </c>
      <c r="CR39" s="945">
        <v>52.07</v>
      </c>
      <c r="CS39" s="945">
        <v>52.2</v>
      </c>
      <c r="CT39" s="945">
        <v>52.335000000000001</v>
      </c>
      <c r="CU39" s="945">
        <v>52.465000000000003</v>
      </c>
      <c r="CV39" s="945">
        <v>52.594999999999999</v>
      </c>
      <c r="CW39" s="945">
        <v>52.725000000000001</v>
      </c>
      <c r="CX39" s="945">
        <v>52.855000000000004</v>
      </c>
      <c r="CY39" s="945">
        <v>52.980000000000004</v>
      </c>
      <c r="CZ39" s="945">
        <v>53.11</v>
      </c>
      <c r="DA39" s="945">
        <v>53.234999999999999</v>
      </c>
      <c r="DB39" s="945">
        <v>53.36</v>
      </c>
      <c r="DC39" s="945">
        <v>53.484999999999999</v>
      </c>
      <c r="DD39" s="945">
        <v>53.599999999999994</v>
      </c>
      <c r="DE39" s="945">
        <v>53.724999999999994</v>
      </c>
      <c r="DF39" s="945">
        <v>53.849999999999994</v>
      </c>
      <c r="DG39" s="945">
        <v>53.965000000000003</v>
      </c>
      <c r="DH39" s="945">
        <v>54.085000000000001</v>
      </c>
      <c r="DI39" s="945">
        <v>54.204999999999998</v>
      </c>
      <c r="DJ39" s="945">
        <v>54.32</v>
      </c>
      <c r="DK39" s="945">
        <v>54.435000000000002</v>
      </c>
      <c r="DL39" s="945">
        <v>54.55</v>
      </c>
      <c r="DM39" s="945">
        <v>54.664999999999999</v>
      </c>
      <c r="DN39" s="945">
        <v>54.78</v>
      </c>
      <c r="DO39" s="945">
        <v>54.885000000000005</v>
      </c>
      <c r="DP39" s="945">
        <v>55</v>
      </c>
      <c r="DQ39" s="945">
        <v>55.11</v>
      </c>
      <c r="DR39" s="945">
        <v>55.215000000000003</v>
      </c>
    </row>
    <row r="40" spans="1:122" s="131" customFormat="1" ht="12.75">
      <c r="A40" s="949">
        <v>38</v>
      </c>
      <c r="B40" s="945">
        <v>35.332565439256044</v>
      </c>
      <c r="C40" s="945">
        <v>35.404390122959214</v>
      </c>
      <c r="D40" s="945">
        <v>35.58746845516157</v>
      </c>
      <c r="E40" s="945">
        <v>35.746121386745898</v>
      </c>
      <c r="F40" s="945">
        <v>35.983916420396177</v>
      </c>
      <c r="G40" s="945">
        <v>36.172923224073941</v>
      </c>
      <c r="H40" s="945">
        <v>36.356673641108458</v>
      </c>
      <c r="I40" s="945">
        <v>36.650868743270863</v>
      </c>
      <c r="J40" s="945">
        <v>36.923883736607081</v>
      </c>
      <c r="K40" s="945">
        <v>37.183417405452687</v>
      </c>
      <c r="L40" s="945">
        <v>37.474966556533332</v>
      </c>
      <c r="M40" s="945">
        <v>37.688030482932248</v>
      </c>
      <c r="N40" s="945">
        <v>37.9104865363024</v>
      </c>
      <c r="O40" s="945">
        <v>38.075414767320353</v>
      </c>
      <c r="P40" s="945">
        <v>38.327399043118447</v>
      </c>
      <c r="Q40" s="945">
        <v>38.407883211200037</v>
      </c>
      <c r="R40" s="945">
        <v>38.552598017361973</v>
      </c>
      <c r="S40" s="945">
        <v>38.613502344992142</v>
      </c>
      <c r="T40" s="945">
        <v>38.560030319027938</v>
      </c>
      <c r="U40" s="945">
        <v>38.753072982432542</v>
      </c>
      <c r="V40" s="945">
        <v>39</v>
      </c>
      <c r="W40" s="945">
        <v>39.234999999999999</v>
      </c>
      <c r="X40" s="945">
        <v>39.445</v>
      </c>
      <c r="Y40" s="945">
        <v>39.584999999999994</v>
      </c>
      <c r="Z40" s="945">
        <v>39.81</v>
      </c>
      <c r="AA40" s="945">
        <v>39.984999999999999</v>
      </c>
      <c r="AB40" s="945">
        <v>40.164999999999999</v>
      </c>
      <c r="AC40" s="945">
        <v>40.28</v>
      </c>
      <c r="AD40" s="945">
        <v>40.31</v>
      </c>
      <c r="AE40" s="945">
        <v>40.454999999999998</v>
      </c>
      <c r="AF40" s="945">
        <v>40.659999999999997</v>
      </c>
      <c r="AG40" s="945">
        <v>40.885000000000005</v>
      </c>
      <c r="AH40" s="945">
        <v>41.129999999999995</v>
      </c>
      <c r="AI40" s="945">
        <v>41.364999999999995</v>
      </c>
      <c r="AJ40" s="945">
        <v>41.650000000000006</v>
      </c>
      <c r="AK40" s="945">
        <v>41.935000000000002</v>
      </c>
      <c r="AL40" s="945">
        <v>42.260000000000005</v>
      </c>
      <c r="AM40" s="945">
        <v>42.56</v>
      </c>
      <c r="AN40" s="945">
        <v>42.78</v>
      </c>
      <c r="AO40" s="945">
        <v>42.954999999999998</v>
      </c>
      <c r="AP40" s="945">
        <v>43.12</v>
      </c>
      <c r="AQ40" s="945">
        <v>43.245000000000005</v>
      </c>
      <c r="AR40" s="945">
        <v>43.42</v>
      </c>
      <c r="AS40" s="945">
        <v>43.465000000000003</v>
      </c>
      <c r="AT40" s="945">
        <v>43.515000000000001</v>
      </c>
      <c r="AU40" s="945">
        <v>43.605000000000004</v>
      </c>
      <c r="AV40" s="945">
        <v>43.695</v>
      </c>
      <c r="AW40" s="945">
        <v>43.94</v>
      </c>
      <c r="AX40" s="945">
        <v>44.04</v>
      </c>
      <c r="AY40" s="945">
        <v>44.174999999999997</v>
      </c>
      <c r="AZ40" s="945">
        <v>44.265000000000001</v>
      </c>
      <c r="BA40" s="945">
        <v>44.379999999999995</v>
      </c>
      <c r="BB40" s="945">
        <v>44.51</v>
      </c>
      <c r="BC40" s="945">
        <v>44.635000000000005</v>
      </c>
      <c r="BD40" s="945">
        <v>44.784999999999997</v>
      </c>
      <c r="BE40" s="945">
        <v>44.954999999999998</v>
      </c>
      <c r="BF40" s="945">
        <v>45.134999999999998</v>
      </c>
      <c r="BG40" s="945">
        <v>45.3</v>
      </c>
      <c r="BH40" s="945">
        <v>45.515000000000001</v>
      </c>
      <c r="BI40" s="945">
        <v>45.68</v>
      </c>
      <c r="BJ40" s="945">
        <v>45.870000000000005</v>
      </c>
      <c r="BK40" s="945">
        <v>46.045000000000002</v>
      </c>
      <c r="BL40" s="945">
        <v>46.25</v>
      </c>
      <c r="BM40" s="945">
        <v>46.454999999999998</v>
      </c>
      <c r="BN40" s="945">
        <v>46.64</v>
      </c>
      <c r="BO40" s="945">
        <v>46.8</v>
      </c>
      <c r="BP40" s="945">
        <v>46.984999999999999</v>
      </c>
      <c r="BQ40" s="945">
        <v>47.150000000000006</v>
      </c>
      <c r="BR40" s="945">
        <v>47.31</v>
      </c>
      <c r="BS40" s="945">
        <v>47.475000000000001</v>
      </c>
      <c r="BT40" s="946">
        <v>47.625</v>
      </c>
      <c r="BU40" s="945">
        <v>47.765000000000001</v>
      </c>
      <c r="BV40" s="945">
        <v>47.924999999999997</v>
      </c>
      <c r="BW40" s="945">
        <v>48.085000000000001</v>
      </c>
      <c r="BX40" s="945">
        <v>48.234999999999999</v>
      </c>
      <c r="BY40" s="945">
        <v>48.379999999999995</v>
      </c>
      <c r="BZ40" s="945">
        <v>48.525000000000006</v>
      </c>
      <c r="CA40" s="945">
        <v>48.68</v>
      </c>
      <c r="CB40" s="945">
        <v>48.825000000000003</v>
      </c>
      <c r="CC40" s="945">
        <v>48.975000000000001</v>
      </c>
      <c r="CD40" s="945">
        <v>49.125</v>
      </c>
      <c r="CE40" s="945">
        <v>49.269999999999996</v>
      </c>
      <c r="CF40" s="945">
        <v>49.414999999999999</v>
      </c>
      <c r="CG40" s="945">
        <v>49.564999999999998</v>
      </c>
      <c r="CH40" s="945">
        <v>49.71</v>
      </c>
      <c r="CI40" s="945">
        <v>49.85</v>
      </c>
      <c r="CJ40" s="945">
        <v>49.995000000000005</v>
      </c>
      <c r="CK40" s="945">
        <v>50.135000000000005</v>
      </c>
      <c r="CL40" s="945">
        <v>50.274999999999999</v>
      </c>
      <c r="CM40" s="945">
        <v>50.415000000000006</v>
      </c>
      <c r="CN40" s="945">
        <v>50.55</v>
      </c>
      <c r="CO40" s="945">
        <v>50.69</v>
      </c>
      <c r="CP40" s="945">
        <v>50.825000000000003</v>
      </c>
      <c r="CQ40" s="945">
        <v>50.96</v>
      </c>
      <c r="CR40" s="945">
        <v>51.094999999999999</v>
      </c>
      <c r="CS40" s="945">
        <v>51.224999999999994</v>
      </c>
      <c r="CT40" s="945">
        <v>51.36</v>
      </c>
      <c r="CU40" s="945">
        <v>51.495000000000005</v>
      </c>
      <c r="CV40" s="945">
        <v>51.62</v>
      </c>
      <c r="CW40" s="945">
        <v>51.75</v>
      </c>
      <c r="CX40" s="945">
        <v>51.88</v>
      </c>
      <c r="CY40" s="945">
        <v>52.005000000000003</v>
      </c>
      <c r="CZ40" s="945">
        <v>52.135000000000005</v>
      </c>
      <c r="DA40" s="945">
        <v>52.260000000000005</v>
      </c>
      <c r="DB40" s="945">
        <v>52.385000000000005</v>
      </c>
      <c r="DC40" s="945">
        <v>52.5</v>
      </c>
      <c r="DD40" s="945">
        <v>52.625</v>
      </c>
      <c r="DE40" s="945">
        <v>52.75</v>
      </c>
      <c r="DF40" s="945">
        <v>52.865000000000002</v>
      </c>
      <c r="DG40" s="945">
        <v>52.99</v>
      </c>
      <c r="DH40" s="945">
        <v>53.105000000000004</v>
      </c>
      <c r="DI40" s="945">
        <v>53.22</v>
      </c>
      <c r="DJ40" s="945">
        <v>53.335000000000001</v>
      </c>
      <c r="DK40" s="945">
        <v>53.45</v>
      </c>
      <c r="DL40" s="945">
        <v>53.564999999999998</v>
      </c>
      <c r="DM40" s="945">
        <v>53.68</v>
      </c>
      <c r="DN40" s="945">
        <v>53.795000000000002</v>
      </c>
      <c r="DO40" s="945">
        <v>53.905000000000001</v>
      </c>
      <c r="DP40" s="945">
        <v>54.015000000000001</v>
      </c>
      <c r="DQ40" s="945">
        <v>54.125</v>
      </c>
      <c r="DR40" s="945">
        <v>54.230000000000004</v>
      </c>
    </row>
    <row r="41" spans="1:122" s="131" customFormat="1" ht="12.75">
      <c r="A41" s="949">
        <v>39</v>
      </c>
      <c r="B41" s="945"/>
      <c r="C41" s="945"/>
      <c r="D41" s="945"/>
      <c r="E41" s="945"/>
      <c r="F41" s="945"/>
      <c r="G41" s="945"/>
      <c r="H41" s="945"/>
      <c r="I41" s="945"/>
      <c r="J41" s="945"/>
      <c r="K41" s="945"/>
      <c r="L41" s="945"/>
      <c r="M41" s="945"/>
      <c r="N41" s="945"/>
      <c r="O41" s="945"/>
      <c r="P41" s="945"/>
      <c r="Q41" s="945"/>
      <c r="R41" s="945"/>
      <c r="S41" s="945"/>
      <c r="T41" s="945"/>
      <c r="U41" s="945"/>
      <c r="V41" s="945"/>
      <c r="W41" s="945">
        <v>38.314999999999998</v>
      </c>
      <c r="X41" s="945">
        <v>38.53</v>
      </c>
      <c r="Y41" s="945">
        <v>38.659999999999997</v>
      </c>
      <c r="Z41" s="945">
        <v>38.89</v>
      </c>
      <c r="AA41" s="945">
        <v>39.064999999999998</v>
      </c>
      <c r="AB41" s="945">
        <v>39.244999999999997</v>
      </c>
      <c r="AC41" s="945">
        <v>39.36</v>
      </c>
      <c r="AD41" s="945">
        <v>39.394999999999996</v>
      </c>
      <c r="AE41" s="945">
        <v>39.54</v>
      </c>
      <c r="AF41" s="945">
        <v>39.74</v>
      </c>
      <c r="AG41" s="945">
        <v>39.97</v>
      </c>
      <c r="AH41" s="945">
        <v>40.215000000000003</v>
      </c>
      <c r="AI41" s="945">
        <v>40.450000000000003</v>
      </c>
      <c r="AJ41" s="945">
        <v>40.734999999999999</v>
      </c>
      <c r="AK41" s="945">
        <v>41.015000000000001</v>
      </c>
      <c r="AL41" s="945">
        <v>41.34</v>
      </c>
      <c r="AM41" s="945">
        <v>41.644999999999996</v>
      </c>
      <c r="AN41" s="945">
        <v>41.86</v>
      </c>
      <c r="AO41" s="945">
        <v>42.03</v>
      </c>
      <c r="AP41" s="945">
        <v>42.195</v>
      </c>
      <c r="AQ41" s="945">
        <v>42.325000000000003</v>
      </c>
      <c r="AR41" s="945">
        <v>42.49</v>
      </c>
      <c r="AS41" s="945">
        <v>42.54</v>
      </c>
      <c r="AT41" s="945">
        <v>42.59</v>
      </c>
      <c r="AU41" s="945">
        <v>42.674999999999997</v>
      </c>
      <c r="AV41" s="945">
        <v>42.765000000000001</v>
      </c>
      <c r="AW41" s="945">
        <v>43.004999999999995</v>
      </c>
      <c r="AX41" s="945">
        <v>43.104999999999997</v>
      </c>
      <c r="AY41" s="945">
        <v>43.239999999999995</v>
      </c>
      <c r="AZ41" s="945">
        <v>43.33</v>
      </c>
      <c r="BA41" s="945">
        <v>43.445</v>
      </c>
      <c r="BB41" s="945">
        <v>43.58</v>
      </c>
      <c r="BC41" s="945">
        <v>43.71</v>
      </c>
      <c r="BD41" s="945">
        <v>43.86</v>
      </c>
      <c r="BE41" s="945">
        <v>44.024999999999999</v>
      </c>
      <c r="BF41" s="945">
        <v>44.2</v>
      </c>
      <c r="BG41" s="945">
        <v>44.37</v>
      </c>
      <c r="BH41" s="945">
        <v>44.58</v>
      </c>
      <c r="BI41" s="945">
        <v>44.734999999999999</v>
      </c>
      <c r="BJ41" s="945">
        <v>44.924999999999997</v>
      </c>
      <c r="BK41" s="945">
        <v>45.099999999999994</v>
      </c>
      <c r="BL41" s="945">
        <v>45.305</v>
      </c>
      <c r="BM41" s="945">
        <v>45.504999999999995</v>
      </c>
      <c r="BN41" s="945">
        <v>45.69</v>
      </c>
      <c r="BO41" s="945">
        <v>45.85</v>
      </c>
      <c r="BP41" s="945">
        <v>46.03</v>
      </c>
      <c r="BQ41" s="945">
        <v>46.19</v>
      </c>
      <c r="BR41" s="945">
        <v>46.349999999999994</v>
      </c>
      <c r="BS41" s="945">
        <v>46.515000000000001</v>
      </c>
      <c r="BT41" s="946">
        <v>46.664999999999999</v>
      </c>
      <c r="BU41" s="945">
        <v>46.805</v>
      </c>
      <c r="BV41" s="945">
        <v>46.965000000000003</v>
      </c>
      <c r="BW41" s="945">
        <v>47.125</v>
      </c>
      <c r="BX41" s="945">
        <v>47.274999999999999</v>
      </c>
      <c r="BY41" s="945">
        <v>47.42</v>
      </c>
      <c r="BZ41" s="945">
        <v>47.564999999999998</v>
      </c>
      <c r="CA41" s="945">
        <v>47.72</v>
      </c>
      <c r="CB41" s="945">
        <v>47.864999999999995</v>
      </c>
      <c r="CC41" s="945">
        <v>48.015000000000001</v>
      </c>
      <c r="CD41" s="945">
        <v>48.16</v>
      </c>
      <c r="CE41" s="945">
        <v>48.31</v>
      </c>
      <c r="CF41" s="945">
        <v>48.454999999999998</v>
      </c>
      <c r="CG41" s="945">
        <v>48.599999999999994</v>
      </c>
      <c r="CH41" s="945">
        <v>48.74</v>
      </c>
      <c r="CI41" s="945">
        <v>48.884999999999998</v>
      </c>
      <c r="CJ41" s="945">
        <v>49.025000000000006</v>
      </c>
      <c r="CK41" s="945">
        <v>49.17</v>
      </c>
      <c r="CL41" s="945">
        <v>49.305</v>
      </c>
      <c r="CM41" s="945">
        <v>49.445</v>
      </c>
      <c r="CN41" s="945">
        <v>49.58</v>
      </c>
      <c r="CO41" s="945">
        <v>49.72</v>
      </c>
      <c r="CP41" s="945">
        <v>49.855000000000004</v>
      </c>
      <c r="CQ41" s="945">
        <v>49.99</v>
      </c>
      <c r="CR41" s="945">
        <v>50.125</v>
      </c>
      <c r="CS41" s="945">
        <v>50.26</v>
      </c>
      <c r="CT41" s="945">
        <v>50.384999999999998</v>
      </c>
      <c r="CU41" s="945">
        <v>50.519999999999996</v>
      </c>
      <c r="CV41" s="945">
        <v>50.650000000000006</v>
      </c>
      <c r="CW41" s="945">
        <v>50.775000000000006</v>
      </c>
      <c r="CX41" s="945">
        <v>50.9</v>
      </c>
      <c r="CY41" s="945">
        <v>51.03</v>
      </c>
      <c r="CZ41" s="945">
        <v>51.155000000000001</v>
      </c>
      <c r="DA41" s="945">
        <v>51.28</v>
      </c>
      <c r="DB41" s="945">
        <v>51.405000000000001</v>
      </c>
      <c r="DC41" s="945">
        <v>51.524999999999999</v>
      </c>
      <c r="DD41" s="945">
        <v>51.65</v>
      </c>
      <c r="DE41" s="945">
        <v>51.769999999999996</v>
      </c>
      <c r="DF41" s="945">
        <v>51.89</v>
      </c>
      <c r="DG41" s="945">
        <v>52.004999999999995</v>
      </c>
      <c r="DH41" s="945">
        <v>52.125</v>
      </c>
      <c r="DI41" s="945">
        <v>52.245000000000005</v>
      </c>
      <c r="DJ41" s="945">
        <v>52.36</v>
      </c>
      <c r="DK41" s="945">
        <v>52.475000000000001</v>
      </c>
      <c r="DL41" s="945">
        <v>52.59</v>
      </c>
      <c r="DM41" s="945">
        <v>52.7</v>
      </c>
      <c r="DN41" s="945">
        <v>52.81</v>
      </c>
      <c r="DO41" s="945">
        <v>52.924999999999997</v>
      </c>
      <c r="DP41" s="945">
        <v>53.034999999999997</v>
      </c>
      <c r="DQ41" s="945">
        <v>53.14</v>
      </c>
      <c r="DR41" s="945">
        <v>53.255000000000003</v>
      </c>
    </row>
    <row r="42" spans="1:122" s="131" customFormat="1" ht="12.75">
      <c r="A42" s="949">
        <v>40</v>
      </c>
      <c r="B42" s="945"/>
      <c r="C42" s="945"/>
      <c r="D42" s="945"/>
      <c r="E42" s="945"/>
      <c r="F42" s="945"/>
      <c r="G42" s="945"/>
      <c r="H42" s="945"/>
      <c r="I42" s="945"/>
      <c r="J42" s="945"/>
      <c r="K42" s="945"/>
      <c r="L42" s="945"/>
      <c r="M42" s="945"/>
      <c r="N42" s="945"/>
      <c r="O42" s="945"/>
      <c r="P42" s="945"/>
      <c r="Q42" s="945"/>
      <c r="R42" s="945"/>
      <c r="S42" s="945"/>
      <c r="T42" s="945"/>
      <c r="U42" s="945"/>
      <c r="V42" s="945"/>
      <c r="W42" s="945">
        <v>37.405000000000001</v>
      </c>
      <c r="X42" s="945">
        <v>37.614999999999995</v>
      </c>
      <c r="Y42" s="945">
        <v>37.744999999999997</v>
      </c>
      <c r="Z42" s="945">
        <v>37.975000000000001</v>
      </c>
      <c r="AA42" s="945">
        <v>38.155000000000001</v>
      </c>
      <c r="AB42" s="945">
        <v>38.325000000000003</v>
      </c>
      <c r="AC42" s="945">
        <v>38.445</v>
      </c>
      <c r="AD42" s="945">
        <v>38.475000000000001</v>
      </c>
      <c r="AE42" s="945">
        <v>38.625</v>
      </c>
      <c r="AF42" s="945">
        <v>38.825000000000003</v>
      </c>
      <c r="AG42" s="945">
        <v>39.055</v>
      </c>
      <c r="AH42" s="945">
        <v>39.305</v>
      </c>
      <c r="AI42" s="945">
        <v>39.534999999999997</v>
      </c>
      <c r="AJ42" s="945">
        <v>39.82</v>
      </c>
      <c r="AK42" s="945">
        <v>40.1</v>
      </c>
      <c r="AL42" s="945">
        <v>40.42</v>
      </c>
      <c r="AM42" s="945">
        <v>40.730000000000004</v>
      </c>
      <c r="AN42" s="945">
        <v>40.94</v>
      </c>
      <c r="AO42" s="945">
        <v>41.114999999999995</v>
      </c>
      <c r="AP42" s="945">
        <v>41.28</v>
      </c>
      <c r="AQ42" s="945">
        <v>41.405000000000001</v>
      </c>
      <c r="AR42" s="945">
        <v>41.57</v>
      </c>
      <c r="AS42" s="945">
        <v>41.615000000000002</v>
      </c>
      <c r="AT42" s="945">
        <v>41.66</v>
      </c>
      <c r="AU42" s="945">
        <v>41.75</v>
      </c>
      <c r="AV42" s="945">
        <v>41.84</v>
      </c>
      <c r="AW42" s="945">
        <v>42.075000000000003</v>
      </c>
      <c r="AX42" s="945">
        <v>42.174999999999997</v>
      </c>
      <c r="AY42" s="945">
        <v>42.305</v>
      </c>
      <c r="AZ42" s="945">
        <v>42.405000000000001</v>
      </c>
      <c r="BA42" s="945">
        <v>42.519999999999996</v>
      </c>
      <c r="BB42" s="945">
        <v>42.66</v>
      </c>
      <c r="BC42" s="945">
        <v>42.784999999999997</v>
      </c>
      <c r="BD42" s="945">
        <v>42.93</v>
      </c>
      <c r="BE42" s="945">
        <v>43.099999999999994</v>
      </c>
      <c r="BF42" s="945">
        <v>43.265000000000001</v>
      </c>
      <c r="BG42" s="945">
        <v>43.43</v>
      </c>
      <c r="BH42" s="945">
        <v>43.64</v>
      </c>
      <c r="BI42" s="945">
        <v>43.8</v>
      </c>
      <c r="BJ42" s="945">
        <v>43.989999999999995</v>
      </c>
      <c r="BK42" s="945">
        <v>44.155000000000001</v>
      </c>
      <c r="BL42" s="945">
        <v>44.355000000000004</v>
      </c>
      <c r="BM42" s="945">
        <v>44.56</v>
      </c>
      <c r="BN42" s="945">
        <v>44.739999999999995</v>
      </c>
      <c r="BO42" s="945">
        <v>44.894999999999996</v>
      </c>
      <c r="BP42" s="945">
        <v>45.075000000000003</v>
      </c>
      <c r="BQ42" s="945">
        <v>45.234999999999999</v>
      </c>
      <c r="BR42" s="945">
        <v>45.39</v>
      </c>
      <c r="BS42" s="945">
        <v>45.555</v>
      </c>
      <c r="BT42" s="946">
        <v>45.704999999999998</v>
      </c>
      <c r="BU42" s="945">
        <v>45.844999999999999</v>
      </c>
      <c r="BV42" s="945">
        <v>46.004999999999995</v>
      </c>
      <c r="BW42" s="945">
        <v>46.165000000000006</v>
      </c>
      <c r="BX42" s="945">
        <v>46.314999999999998</v>
      </c>
      <c r="BY42" s="945">
        <v>46.46</v>
      </c>
      <c r="BZ42" s="945">
        <v>46.604999999999997</v>
      </c>
      <c r="CA42" s="945">
        <v>46.76</v>
      </c>
      <c r="CB42" s="945">
        <v>46.905000000000001</v>
      </c>
      <c r="CC42" s="945">
        <v>47.055</v>
      </c>
      <c r="CD42" s="945">
        <v>47.2</v>
      </c>
      <c r="CE42" s="945">
        <v>47.35</v>
      </c>
      <c r="CF42" s="945">
        <v>47.495000000000005</v>
      </c>
      <c r="CG42" s="945">
        <v>47.635000000000005</v>
      </c>
      <c r="CH42" s="945">
        <v>47.78</v>
      </c>
      <c r="CI42" s="945">
        <v>47.92</v>
      </c>
      <c r="CJ42" s="945">
        <v>48.06</v>
      </c>
      <c r="CK42" s="945">
        <v>48.2</v>
      </c>
      <c r="CL42" s="945">
        <v>48.344999999999999</v>
      </c>
      <c r="CM42" s="945">
        <v>48.480000000000004</v>
      </c>
      <c r="CN42" s="945">
        <v>48.614999999999995</v>
      </c>
      <c r="CO42" s="945">
        <v>48.755000000000003</v>
      </c>
      <c r="CP42" s="945">
        <v>48.89</v>
      </c>
      <c r="CQ42" s="945">
        <v>49.019999999999996</v>
      </c>
      <c r="CR42" s="945">
        <v>49.155000000000001</v>
      </c>
      <c r="CS42" s="945">
        <v>49.284999999999997</v>
      </c>
      <c r="CT42" s="945">
        <v>49.414999999999999</v>
      </c>
      <c r="CU42" s="945">
        <v>49.55</v>
      </c>
      <c r="CV42" s="945">
        <v>49.674999999999997</v>
      </c>
      <c r="CW42" s="945">
        <v>49.8</v>
      </c>
      <c r="CX42" s="945">
        <v>49.930000000000007</v>
      </c>
      <c r="CY42" s="945">
        <v>50.055</v>
      </c>
      <c r="CZ42" s="945">
        <v>50.18</v>
      </c>
      <c r="DA42" s="945">
        <v>50.305</v>
      </c>
      <c r="DB42" s="945">
        <v>50.43</v>
      </c>
      <c r="DC42" s="945">
        <v>50.55</v>
      </c>
      <c r="DD42" s="945">
        <v>50.67</v>
      </c>
      <c r="DE42" s="945">
        <v>50.795000000000002</v>
      </c>
      <c r="DF42" s="945">
        <v>50.91</v>
      </c>
      <c r="DG42" s="945">
        <v>51.03</v>
      </c>
      <c r="DH42" s="945">
        <v>51.144999999999996</v>
      </c>
      <c r="DI42" s="945">
        <v>51.265000000000001</v>
      </c>
      <c r="DJ42" s="945">
        <v>51.379999999999995</v>
      </c>
      <c r="DK42" s="945">
        <v>51.49</v>
      </c>
      <c r="DL42" s="945">
        <v>51.605000000000004</v>
      </c>
      <c r="DM42" s="945">
        <v>51.72</v>
      </c>
      <c r="DN42" s="945">
        <v>51.83</v>
      </c>
      <c r="DO42" s="945">
        <v>51.94</v>
      </c>
      <c r="DP42" s="945">
        <v>52.05</v>
      </c>
      <c r="DQ42" s="945">
        <v>52.164999999999999</v>
      </c>
      <c r="DR42" s="945">
        <v>52.269999999999996</v>
      </c>
    </row>
    <row r="43" spans="1:122" s="131" customFormat="1" ht="12.75">
      <c r="A43" s="949">
        <v>41</v>
      </c>
      <c r="B43" s="945"/>
      <c r="C43" s="945"/>
      <c r="D43" s="945"/>
      <c r="E43" s="945"/>
      <c r="F43" s="945"/>
      <c r="G43" s="945"/>
      <c r="H43" s="945"/>
      <c r="I43" s="945"/>
      <c r="J43" s="945"/>
      <c r="K43" s="945"/>
      <c r="L43" s="945"/>
      <c r="M43" s="945"/>
      <c r="N43" s="945"/>
      <c r="O43" s="945"/>
      <c r="P43" s="945"/>
      <c r="Q43" s="945"/>
      <c r="R43" s="945"/>
      <c r="S43" s="945"/>
      <c r="T43" s="945"/>
      <c r="U43" s="945"/>
      <c r="V43" s="945"/>
      <c r="W43" s="945">
        <v>36.49</v>
      </c>
      <c r="X43" s="945">
        <v>36.704999999999998</v>
      </c>
      <c r="Y43" s="945">
        <v>36.835000000000001</v>
      </c>
      <c r="Z43" s="945">
        <v>37.064999999999998</v>
      </c>
      <c r="AA43" s="945">
        <v>37.24</v>
      </c>
      <c r="AB43" s="945">
        <v>37.42</v>
      </c>
      <c r="AC43" s="945">
        <v>37.53</v>
      </c>
      <c r="AD43" s="945">
        <v>37.564999999999998</v>
      </c>
      <c r="AE43" s="945">
        <v>37.72</v>
      </c>
      <c r="AF43" s="945">
        <v>37.924999999999997</v>
      </c>
      <c r="AG43" s="945">
        <v>38.144999999999996</v>
      </c>
      <c r="AH43" s="945">
        <v>38.39</v>
      </c>
      <c r="AI43" s="945">
        <v>38.625</v>
      </c>
      <c r="AJ43" s="945">
        <v>38.905000000000001</v>
      </c>
      <c r="AK43" s="945">
        <v>39.195</v>
      </c>
      <c r="AL43" s="945">
        <v>39.515000000000001</v>
      </c>
      <c r="AM43" s="945">
        <v>39.81</v>
      </c>
      <c r="AN43" s="945">
        <v>40.03</v>
      </c>
      <c r="AO43" s="945">
        <v>40.200000000000003</v>
      </c>
      <c r="AP43" s="945">
        <v>40.364999999999995</v>
      </c>
      <c r="AQ43" s="945">
        <v>40.489999999999995</v>
      </c>
      <c r="AR43" s="945">
        <v>40.65</v>
      </c>
      <c r="AS43" s="945">
        <v>40.695</v>
      </c>
      <c r="AT43" s="945">
        <v>40.739999999999995</v>
      </c>
      <c r="AU43" s="945">
        <v>40.825000000000003</v>
      </c>
      <c r="AV43" s="945">
        <v>40.909999999999997</v>
      </c>
      <c r="AW43" s="945">
        <v>41.15</v>
      </c>
      <c r="AX43" s="945">
        <v>41.25</v>
      </c>
      <c r="AY43" s="945">
        <v>41.375</v>
      </c>
      <c r="AZ43" s="945">
        <v>41.484999999999999</v>
      </c>
      <c r="BA43" s="945">
        <v>41.594999999999999</v>
      </c>
      <c r="BB43" s="945">
        <v>41.734999999999999</v>
      </c>
      <c r="BC43" s="945">
        <v>41.864999999999995</v>
      </c>
      <c r="BD43" s="945">
        <v>42.004999999999995</v>
      </c>
      <c r="BE43" s="945">
        <v>42.17</v>
      </c>
      <c r="BF43" s="945">
        <v>42.34</v>
      </c>
      <c r="BG43" s="945">
        <v>42.5</v>
      </c>
      <c r="BH43" s="945">
        <v>42.704999999999998</v>
      </c>
      <c r="BI43" s="945">
        <v>42.86</v>
      </c>
      <c r="BJ43" s="945">
        <v>43.05</v>
      </c>
      <c r="BK43" s="945">
        <v>43.215000000000003</v>
      </c>
      <c r="BL43" s="945">
        <v>43.41</v>
      </c>
      <c r="BM43" s="945">
        <v>43.61</v>
      </c>
      <c r="BN43" s="945">
        <v>43.79</v>
      </c>
      <c r="BO43" s="945">
        <v>43.95</v>
      </c>
      <c r="BP43" s="945">
        <v>44.125</v>
      </c>
      <c r="BQ43" s="945">
        <v>44.274999999999999</v>
      </c>
      <c r="BR43" s="945">
        <v>44.435000000000002</v>
      </c>
      <c r="BS43" s="945">
        <v>44.599999999999994</v>
      </c>
      <c r="BT43" s="946">
        <v>44.75</v>
      </c>
      <c r="BU43" s="945">
        <v>44.894999999999996</v>
      </c>
      <c r="BV43" s="945">
        <v>45.05</v>
      </c>
      <c r="BW43" s="945">
        <v>45.204999999999998</v>
      </c>
      <c r="BX43" s="945">
        <v>45.355000000000004</v>
      </c>
      <c r="BY43" s="945">
        <v>45.5</v>
      </c>
      <c r="BZ43" s="945">
        <v>45.644999999999996</v>
      </c>
      <c r="CA43" s="945">
        <v>45.8</v>
      </c>
      <c r="CB43" s="945">
        <v>45.95</v>
      </c>
      <c r="CC43" s="945">
        <v>46.094999999999999</v>
      </c>
      <c r="CD43" s="945">
        <v>46.239999999999995</v>
      </c>
      <c r="CE43" s="945">
        <v>46.39</v>
      </c>
      <c r="CF43" s="945">
        <v>46.534999999999997</v>
      </c>
      <c r="CG43" s="945">
        <v>46.674999999999997</v>
      </c>
      <c r="CH43" s="945">
        <v>46.819999999999993</v>
      </c>
      <c r="CI43" s="945">
        <v>46.954999999999998</v>
      </c>
      <c r="CJ43" s="945">
        <v>47.099999999999994</v>
      </c>
      <c r="CK43" s="945">
        <v>47.24</v>
      </c>
      <c r="CL43" s="945">
        <v>47.375</v>
      </c>
      <c r="CM43" s="945">
        <v>47.510000000000005</v>
      </c>
      <c r="CN43" s="945">
        <v>47.650000000000006</v>
      </c>
      <c r="CO43" s="945">
        <v>47.784999999999997</v>
      </c>
      <c r="CP43" s="945">
        <v>47.92</v>
      </c>
      <c r="CQ43" s="945">
        <v>48.055</v>
      </c>
      <c r="CR43" s="945">
        <v>48.185000000000002</v>
      </c>
      <c r="CS43" s="945">
        <v>48.314999999999998</v>
      </c>
      <c r="CT43" s="945">
        <v>48.444999999999993</v>
      </c>
      <c r="CU43" s="945">
        <v>48.575000000000003</v>
      </c>
      <c r="CV43" s="945">
        <v>48.704999999999998</v>
      </c>
      <c r="CW43" s="945">
        <v>48.83</v>
      </c>
      <c r="CX43" s="945">
        <v>48.954999999999998</v>
      </c>
      <c r="CY43" s="945">
        <v>49.08</v>
      </c>
      <c r="CZ43" s="945">
        <v>49.204999999999998</v>
      </c>
      <c r="DA43" s="945">
        <v>49.33</v>
      </c>
      <c r="DB43" s="945">
        <v>49.454999999999998</v>
      </c>
      <c r="DC43" s="945">
        <v>49.58</v>
      </c>
      <c r="DD43" s="945">
        <v>49.695</v>
      </c>
      <c r="DE43" s="945">
        <v>49.82</v>
      </c>
      <c r="DF43" s="945">
        <v>49.935000000000002</v>
      </c>
      <c r="DG43" s="945">
        <v>50.05</v>
      </c>
      <c r="DH43" s="945">
        <v>50.17</v>
      </c>
      <c r="DI43" s="945">
        <v>50.284999999999997</v>
      </c>
      <c r="DJ43" s="945">
        <v>50.400000000000006</v>
      </c>
      <c r="DK43" s="945">
        <v>50.515000000000001</v>
      </c>
      <c r="DL43" s="945">
        <v>50.629999999999995</v>
      </c>
      <c r="DM43" s="945">
        <v>50.745000000000005</v>
      </c>
      <c r="DN43" s="945">
        <v>50.85</v>
      </c>
      <c r="DO43" s="945">
        <v>50.959999999999994</v>
      </c>
      <c r="DP43" s="945">
        <v>51.07</v>
      </c>
      <c r="DQ43" s="945">
        <v>51.18</v>
      </c>
      <c r="DR43" s="945">
        <v>51.284999999999997</v>
      </c>
    </row>
    <row r="44" spans="1:122" s="131" customFormat="1" ht="12.75">
      <c r="A44" s="949">
        <v>42</v>
      </c>
      <c r="B44" s="945"/>
      <c r="C44" s="945"/>
      <c r="D44" s="945"/>
      <c r="E44" s="945"/>
      <c r="F44" s="945"/>
      <c r="G44" s="945"/>
      <c r="H44" s="945"/>
      <c r="I44" s="945"/>
      <c r="J44" s="945"/>
      <c r="K44" s="945"/>
      <c r="L44" s="945"/>
      <c r="M44" s="945"/>
      <c r="N44" s="945"/>
      <c r="O44" s="945"/>
      <c r="P44" s="945"/>
      <c r="Q44" s="945"/>
      <c r="R44" s="945"/>
      <c r="S44" s="945"/>
      <c r="T44" s="945"/>
      <c r="U44" s="945"/>
      <c r="V44" s="945"/>
      <c r="W44" s="945">
        <v>35.585000000000001</v>
      </c>
      <c r="X44" s="945">
        <v>35.799999999999997</v>
      </c>
      <c r="Y44" s="945">
        <v>35.924999999999997</v>
      </c>
      <c r="Z44" s="945">
        <v>36.159999999999997</v>
      </c>
      <c r="AA44" s="945">
        <v>36.335000000000001</v>
      </c>
      <c r="AB44" s="945">
        <v>36.510000000000005</v>
      </c>
      <c r="AC44" s="945">
        <v>36.625</v>
      </c>
      <c r="AD44" s="945">
        <v>36.659999999999997</v>
      </c>
      <c r="AE44" s="945">
        <v>36.82</v>
      </c>
      <c r="AF44" s="945">
        <v>37.019999999999996</v>
      </c>
      <c r="AG44" s="945">
        <v>37.24</v>
      </c>
      <c r="AH44" s="945">
        <v>37.484999999999999</v>
      </c>
      <c r="AI44" s="945">
        <v>37.72</v>
      </c>
      <c r="AJ44" s="945">
        <v>38.010000000000005</v>
      </c>
      <c r="AK44" s="945">
        <v>38.290000000000006</v>
      </c>
      <c r="AL44" s="945">
        <v>38.61</v>
      </c>
      <c r="AM44" s="945">
        <v>38.905000000000001</v>
      </c>
      <c r="AN44" s="945">
        <v>39.125</v>
      </c>
      <c r="AO44" s="945">
        <v>39.284999999999997</v>
      </c>
      <c r="AP44" s="945">
        <v>39.454999999999998</v>
      </c>
      <c r="AQ44" s="945">
        <v>39.575000000000003</v>
      </c>
      <c r="AR44" s="945">
        <v>39.734999999999999</v>
      </c>
      <c r="AS44" s="945">
        <v>39.78</v>
      </c>
      <c r="AT44" s="945">
        <v>39.814999999999998</v>
      </c>
      <c r="AU44" s="945">
        <v>39.905000000000001</v>
      </c>
      <c r="AV44" s="945">
        <v>39.984999999999999</v>
      </c>
      <c r="AW44" s="945">
        <v>40.225000000000001</v>
      </c>
      <c r="AX44" s="945">
        <v>40.325000000000003</v>
      </c>
      <c r="AY44" s="945">
        <v>40.454999999999998</v>
      </c>
      <c r="AZ44" s="945">
        <v>40.575000000000003</v>
      </c>
      <c r="BA44" s="945">
        <v>40.68</v>
      </c>
      <c r="BB44" s="945">
        <v>40.814999999999998</v>
      </c>
      <c r="BC44" s="945">
        <v>40.950000000000003</v>
      </c>
      <c r="BD44" s="945">
        <v>41.09</v>
      </c>
      <c r="BE44" s="945">
        <v>41.25</v>
      </c>
      <c r="BF44" s="945">
        <v>41.41</v>
      </c>
      <c r="BG44" s="945">
        <v>41.57</v>
      </c>
      <c r="BH44" s="945">
        <v>41.774999999999999</v>
      </c>
      <c r="BI44" s="945">
        <v>41.93</v>
      </c>
      <c r="BJ44" s="945">
        <v>42.11</v>
      </c>
      <c r="BK44" s="945">
        <v>42.28</v>
      </c>
      <c r="BL44" s="945">
        <v>42.475000000000001</v>
      </c>
      <c r="BM44" s="945">
        <v>42.67</v>
      </c>
      <c r="BN44" s="945">
        <v>42.844999999999999</v>
      </c>
      <c r="BO44" s="945">
        <v>43</v>
      </c>
      <c r="BP44" s="945">
        <v>43.174999999999997</v>
      </c>
      <c r="BQ44" s="945">
        <v>43.325000000000003</v>
      </c>
      <c r="BR44" s="945">
        <v>43.484999999999999</v>
      </c>
      <c r="BS44" s="945">
        <v>43.644999999999996</v>
      </c>
      <c r="BT44" s="946">
        <v>43.795000000000002</v>
      </c>
      <c r="BU44" s="945">
        <v>43.94</v>
      </c>
      <c r="BV44" s="945">
        <v>44.094999999999999</v>
      </c>
      <c r="BW44" s="945">
        <v>44.255000000000003</v>
      </c>
      <c r="BX44" s="945">
        <v>44.400000000000006</v>
      </c>
      <c r="BY44" s="945">
        <v>44.55</v>
      </c>
      <c r="BZ44" s="945">
        <v>44.7</v>
      </c>
      <c r="CA44" s="945">
        <v>44.844999999999999</v>
      </c>
      <c r="CB44" s="945">
        <v>44.99</v>
      </c>
      <c r="CC44" s="945">
        <v>45.14</v>
      </c>
      <c r="CD44" s="945">
        <v>45.284999999999997</v>
      </c>
      <c r="CE44" s="945">
        <v>45.43</v>
      </c>
      <c r="CF44" s="945">
        <v>45.575000000000003</v>
      </c>
      <c r="CG44" s="945">
        <v>45.715000000000003</v>
      </c>
      <c r="CH44" s="945">
        <v>45.86</v>
      </c>
      <c r="CI44" s="945">
        <v>45.995000000000005</v>
      </c>
      <c r="CJ44" s="945">
        <v>46.135000000000005</v>
      </c>
      <c r="CK44" s="945">
        <v>46.275000000000006</v>
      </c>
      <c r="CL44" s="945">
        <v>46.414999999999999</v>
      </c>
      <c r="CM44" s="945">
        <v>46.55</v>
      </c>
      <c r="CN44" s="945">
        <v>46.685000000000002</v>
      </c>
      <c r="CO44" s="945">
        <v>46.82</v>
      </c>
      <c r="CP44" s="945">
        <v>46.954999999999998</v>
      </c>
      <c r="CQ44" s="945">
        <v>47.085000000000001</v>
      </c>
      <c r="CR44" s="945">
        <v>47.22</v>
      </c>
      <c r="CS44" s="945">
        <v>47.344999999999999</v>
      </c>
      <c r="CT44" s="945">
        <v>47.480000000000004</v>
      </c>
      <c r="CU44" s="945">
        <v>47.604999999999997</v>
      </c>
      <c r="CV44" s="945">
        <v>47.734999999999999</v>
      </c>
      <c r="CW44" s="945">
        <v>47.865000000000002</v>
      </c>
      <c r="CX44" s="945">
        <v>47.99</v>
      </c>
      <c r="CY44" s="945">
        <v>48.114999999999995</v>
      </c>
      <c r="CZ44" s="945">
        <v>48.234999999999999</v>
      </c>
      <c r="DA44" s="945">
        <v>48.36</v>
      </c>
      <c r="DB44" s="945">
        <v>48.480000000000004</v>
      </c>
      <c r="DC44" s="945">
        <v>48.605000000000004</v>
      </c>
      <c r="DD44" s="945">
        <v>48.72</v>
      </c>
      <c r="DE44" s="945">
        <v>48.844999999999999</v>
      </c>
      <c r="DF44" s="945">
        <v>48.96</v>
      </c>
      <c r="DG44" s="945">
        <v>49.075000000000003</v>
      </c>
      <c r="DH44" s="945">
        <v>49.19</v>
      </c>
      <c r="DI44" s="945">
        <v>49.31</v>
      </c>
      <c r="DJ44" s="945">
        <v>49.424999999999997</v>
      </c>
      <c r="DK44" s="945">
        <v>49.534999999999997</v>
      </c>
      <c r="DL44" s="945">
        <v>49.650000000000006</v>
      </c>
      <c r="DM44" s="945">
        <v>49.76</v>
      </c>
      <c r="DN44" s="945">
        <v>49.875</v>
      </c>
      <c r="DO44" s="945">
        <v>49.980000000000004</v>
      </c>
      <c r="DP44" s="945">
        <v>50.09</v>
      </c>
      <c r="DQ44" s="945">
        <v>50.2</v>
      </c>
      <c r="DR44" s="945">
        <v>50.31</v>
      </c>
    </row>
    <row r="45" spans="1:122" s="131" customFormat="1" ht="12.75">
      <c r="A45" s="949">
        <v>43</v>
      </c>
      <c r="B45" s="945"/>
      <c r="C45" s="945"/>
      <c r="D45" s="945"/>
      <c r="E45" s="945"/>
      <c r="F45" s="945"/>
      <c r="G45" s="945"/>
      <c r="H45" s="945"/>
      <c r="I45" s="945"/>
      <c r="J45" s="945"/>
      <c r="K45" s="945"/>
      <c r="L45" s="945"/>
      <c r="M45" s="945"/>
      <c r="N45" s="945"/>
      <c r="O45" s="945"/>
      <c r="P45" s="945"/>
      <c r="Q45" s="945"/>
      <c r="R45" s="945"/>
      <c r="S45" s="945"/>
      <c r="T45" s="945"/>
      <c r="U45" s="945"/>
      <c r="V45" s="945"/>
      <c r="W45" s="945">
        <v>34.685000000000002</v>
      </c>
      <c r="X45" s="945">
        <v>34.9</v>
      </c>
      <c r="Y45" s="945">
        <v>35.03</v>
      </c>
      <c r="Z45" s="945">
        <v>35.260000000000005</v>
      </c>
      <c r="AA45" s="945">
        <v>35.43</v>
      </c>
      <c r="AB45" s="945">
        <v>35.605000000000004</v>
      </c>
      <c r="AC45" s="945">
        <v>35.729999999999997</v>
      </c>
      <c r="AD45" s="945">
        <v>35.765000000000001</v>
      </c>
      <c r="AE45" s="945">
        <v>35.924999999999997</v>
      </c>
      <c r="AF45" s="945">
        <v>36.129999999999995</v>
      </c>
      <c r="AG45" s="945">
        <v>36.349999999999994</v>
      </c>
      <c r="AH45" s="945">
        <v>36.585000000000001</v>
      </c>
      <c r="AI45" s="945">
        <v>36.82</v>
      </c>
      <c r="AJ45" s="945">
        <v>37.11</v>
      </c>
      <c r="AK45" s="945">
        <v>37.385000000000005</v>
      </c>
      <c r="AL45" s="945">
        <v>37.704999999999998</v>
      </c>
      <c r="AM45" s="945">
        <v>38.005000000000003</v>
      </c>
      <c r="AN45" s="945">
        <v>38.215000000000003</v>
      </c>
      <c r="AO45" s="945">
        <v>38.385000000000005</v>
      </c>
      <c r="AP45" s="945">
        <v>38.549999999999997</v>
      </c>
      <c r="AQ45" s="945">
        <v>38.665000000000006</v>
      </c>
      <c r="AR45" s="945">
        <v>38.82</v>
      </c>
      <c r="AS45" s="945">
        <v>38.864999999999995</v>
      </c>
      <c r="AT45" s="945">
        <v>38.905000000000001</v>
      </c>
      <c r="AU45" s="945">
        <v>38.984999999999999</v>
      </c>
      <c r="AV45" s="945">
        <v>39.075000000000003</v>
      </c>
      <c r="AW45" s="945">
        <v>39.31</v>
      </c>
      <c r="AX45" s="945">
        <v>39.414999999999999</v>
      </c>
      <c r="AY45" s="945">
        <v>39.545000000000002</v>
      </c>
      <c r="AZ45" s="945">
        <v>39.655000000000001</v>
      </c>
      <c r="BA45" s="945">
        <v>39.769999999999996</v>
      </c>
      <c r="BB45" s="945">
        <v>39.9</v>
      </c>
      <c r="BC45" s="945">
        <v>40.034999999999997</v>
      </c>
      <c r="BD45" s="945">
        <v>40.17</v>
      </c>
      <c r="BE45" s="945">
        <v>40.325000000000003</v>
      </c>
      <c r="BF45" s="945">
        <v>40.49</v>
      </c>
      <c r="BG45" s="945">
        <v>40.65</v>
      </c>
      <c r="BH45" s="945">
        <v>40.85</v>
      </c>
      <c r="BI45" s="945">
        <v>41</v>
      </c>
      <c r="BJ45" s="945">
        <v>41.18</v>
      </c>
      <c r="BK45" s="945">
        <v>41.349999999999994</v>
      </c>
      <c r="BL45" s="945">
        <v>41.54</v>
      </c>
      <c r="BM45" s="945">
        <v>41.724999999999994</v>
      </c>
      <c r="BN45" s="945">
        <v>41.900000000000006</v>
      </c>
      <c r="BO45" s="945">
        <v>42.06</v>
      </c>
      <c r="BP45" s="945">
        <v>42.230000000000004</v>
      </c>
      <c r="BQ45" s="945">
        <v>42.379999999999995</v>
      </c>
      <c r="BR45" s="945">
        <v>42.534999999999997</v>
      </c>
      <c r="BS45" s="945">
        <v>42.7</v>
      </c>
      <c r="BT45" s="946">
        <v>42.849999999999994</v>
      </c>
      <c r="BU45" s="945">
        <v>42.99</v>
      </c>
      <c r="BV45" s="945">
        <v>43.144999999999996</v>
      </c>
      <c r="BW45" s="945">
        <v>43.305</v>
      </c>
      <c r="BX45" s="945">
        <v>43.45</v>
      </c>
      <c r="BY45" s="945">
        <v>43.594999999999999</v>
      </c>
      <c r="BZ45" s="945">
        <v>43.745000000000005</v>
      </c>
      <c r="CA45" s="945">
        <v>43.894999999999996</v>
      </c>
      <c r="CB45" s="945">
        <v>44.04</v>
      </c>
      <c r="CC45" s="945">
        <v>44.185000000000002</v>
      </c>
      <c r="CD45" s="945">
        <v>44.33</v>
      </c>
      <c r="CE45" s="945">
        <v>44.474999999999994</v>
      </c>
      <c r="CF45" s="945">
        <v>44.614999999999995</v>
      </c>
      <c r="CG45" s="945">
        <v>44.754999999999995</v>
      </c>
      <c r="CH45" s="945">
        <v>44.9</v>
      </c>
      <c r="CI45" s="945">
        <v>45.034999999999997</v>
      </c>
      <c r="CJ45" s="945">
        <v>45.174999999999997</v>
      </c>
      <c r="CK45" s="945">
        <v>45.314999999999998</v>
      </c>
      <c r="CL45" s="945">
        <v>45.454999999999998</v>
      </c>
      <c r="CM45" s="945">
        <v>45.59</v>
      </c>
      <c r="CN45" s="945">
        <v>45.725000000000001</v>
      </c>
      <c r="CO45" s="945">
        <v>45.86</v>
      </c>
      <c r="CP45" s="945">
        <v>45.989999999999995</v>
      </c>
      <c r="CQ45" s="945">
        <v>46.12</v>
      </c>
      <c r="CR45" s="945">
        <v>46.25</v>
      </c>
      <c r="CS45" s="945">
        <v>46.385000000000005</v>
      </c>
      <c r="CT45" s="945">
        <v>46.510000000000005</v>
      </c>
      <c r="CU45" s="945">
        <v>46.64</v>
      </c>
      <c r="CV45" s="945">
        <v>46.769999999999996</v>
      </c>
      <c r="CW45" s="945">
        <v>46.894999999999996</v>
      </c>
      <c r="CX45" s="945">
        <v>47.019999999999996</v>
      </c>
      <c r="CY45" s="945">
        <v>47.145000000000003</v>
      </c>
      <c r="CZ45" s="945">
        <v>47.269999999999996</v>
      </c>
      <c r="DA45" s="945">
        <v>47.384999999999998</v>
      </c>
      <c r="DB45" s="945">
        <v>47.510000000000005</v>
      </c>
      <c r="DC45" s="945">
        <v>47.635000000000005</v>
      </c>
      <c r="DD45" s="945">
        <v>47.75</v>
      </c>
      <c r="DE45" s="945">
        <v>47.87</v>
      </c>
      <c r="DF45" s="945">
        <v>47.989999999999995</v>
      </c>
      <c r="DG45" s="945">
        <v>48.105000000000004</v>
      </c>
      <c r="DH45" s="945">
        <v>48.22</v>
      </c>
      <c r="DI45" s="945">
        <v>48.335000000000001</v>
      </c>
      <c r="DJ45" s="945">
        <v>48.444999999999993</v>
      </c>
      <c r="DK45" s="945">
        <v>48.56</v>
      </c>
      <c r="DL45" s="945">
        <v>48.674999999999997</v>
      </c>
      <c r="DM45" s="945">
        <v>48.784999999999997</v>
      </c>
      <c r="DN45" s="945">
        <v>48.900000000000006</v>
      </c>
      <c r="DO45" s="945">
        <v>49.004999999999995</v>
      </c>
      <c r="DP45" s="945">
        <v>49.114999999999995</v>
      </c>
      <c r="DQ45" s="945">
        <v>49.22</v>
      </c>
      <c r="DR45" s="945">
        <v>49.325000000000003</v>
      </c>
    </row>
    <row r="46" spans="1:122" s="131" customFormat="1" ht="12.75">
      <c r="A46" s="949">
        <v>44</v>
      </c>
      <c r="B46" s="945"/>
      <c r="C46" s="945"/>
      <c r="D46" s="945"/>
      <c r="E46" s="945"/>
      <c r="F46" s="945"/>
      <c r="G46" s="945"/>
      <c r="H46" s="945"/>
      <c r="I46" s="945"/>
      <c r="J46" s="945"/>
      <c r="K46" s="945"/>
      <c r="L46" s="945"/>
      <c r="M46" s="945"/>
      <c r="N46" s="945"/>
      <c r="O46" s="945"/>
      <c r="P46" s="945"/>
      <c r="Q46" s="945"/>
      <c r="R46" s="945"/>
      <c r="S46" s="945"/>
      <c r="T46" s="945"/>
      <c r="U46" s="945"/>
      <c r="V46" s="945"/>
      <c r="W46" s="945">
        <v>33.784999999999997</v>
      </c>
      <c r="X46" s="945">
        <v>34</v>
      </c>
      <c r="Y46" s="945">
        <v>34.134999999999998</v>
      </c>
      <c r="Z46" s="945">
        <v>34.369999999999997</v>
      </c>
      <c r="AA46" s="945">
        <v>34.54</v>
      </c>
      <c r="AB46" s="945">
        <v>34.72</v>
      </c>
      <c r="AC46" s="945">
        <v>34.844999999999999</v>
      </c>
      <c r="AD46" s="945">
        <v>34.869999999999997</v>
      </c>
      <c r="AE46" s="945">
        <v>35.034999999999997</v>
      </c>
      <c r="AF46" s="945">
        <v>35.234999999999999</v>
      </c>
      <c r="AG46" s="945">
        <v>35.465000000000003</v>
      </c>
      <c r="AH46" s="945">
        <v>35.700000000000003</v>
      </c>
      <c r="AI46" s="945">
        <v>35.93</v>
      </c>
      <c r="AJ46" s="945">
        <v>36.22</v>
      </c>
      <c r="AK46" s="945">
        <v>36.495000000000005</v>
      </c>
      <c r="AL46" s="945">
        <v>36.81</v>
      </c>
      <c r="AM46" s="945">
        <v>37.104999999999997</v>
      </c>
      <c r="AN46" s="945">
        <v>37.32</v>
      </c>
      <c r="AO46" s="945">
        <v>37.484999999999999</v>
      </c>
      <c r="AP46" s="945">
        <v>37.64</v>
      </c>
      <c r="AQ46" s="945">
        <v>37.755000000000003</v>
      </c>
      <c r="AR46" s="945">
        <v>37.909999999999997</v>
      </c>
      <c r="AS46" s="945">
        <v>37.954999999999998</v>
      </c>
      <c r="AT46" s="945">
        <v>37.995000000000005</v>
      </c>
      <c r="AU46" s="945">
        <v>38.075000000000003</v>
      </c>
      <c r="AV46" s="945">
        <v>38.159999999999997</v>
      </c>
      <c r="AW46" s="945">
        <v>38.4</v>
      </c>
      <c r="AX46" s="945">
        <v>38.51</v>
      </c>
      <c r="AY46" s="945">
        <v>38.64</v>
      </c>
      <c r="AZ46" s="945">
        <v>38.745000000000005</v>
      </c>
      <c r="BA46" s="945">
        <v>38.86</v>
      </c>
      <c r="BB46" s="945">
        <v>38.99</v>
      </c>
      <c r="BC46" s="945">
        <v>39.125</v>
      </c>
      <c r="BD46" s="945">
        <v>39.26</v>
      </c>
      <c r="BE46" s="945">
        <v>39.414999999999999</v>
      </c>
      <c r="BF46" s="945">
        <v>39.575000000000003</v>
      </c>
      <c r="BG46" s="945">
        <v>39.730000000000004</v>
      </c>
      <c r="BH46" s="945">
        <v>39.924999999999997</v>
      </c>
      <c r="BI46" s="945">
        <v>40.075000000000003</v>
      </c>
      <c r="BJ46" s="945">
        <v>40.260000000000005</v>
      </c>
      <c r="BK46" s="945">
        <v>40.42</v>
      </c>
      <c r="BL46" s="945">
        <v>40.61</v>
      </c>
      <c r="BM46" s="945">
        <v>40.79</v>
      </c>
      <c r="BN46" s="945">
        <v>40.965000000000003</v>
      </c>
      <c r="BO46" s="945">
        <v>41.120000000000005</v>
      </c>
      <c r="BP46" s="945">
        <v>41.284999999999997</v>
      </c>
      <c r="BQ46" s="945">
        <v>41.435000000000002</v>
      </c>
      <c r="BR46" s="945">
        <v>41.594999999999999</v>
      </c>
      <c r="BS46" s="945">
        <v>41.75</v>
      </c>
      <c r="BT46" s="946">
        <v>41.9</v>
      </c>
      <c r="BU46" s="945">
        <v>42.045000000000002</v>
      </c>
      <c r="BV46" s="945">
        <v>42.2</v>
      </c>
      <c r="BW46" s="945">
        <v>42.349999999999994</v>
      </c>
      <c r="BX46" s="945">
        <v>42.5</v>
      </c>
      <c r="BY46" s="945">
        <v>42.644999999999996</v>
      </c>
      <c r="BZ46" s="945">
        <v>42.8</v>
      </c>
      <c r="CA46" s="945">
        <v>42.945</v>
      </c>
      <c r="CB46" s="945">
        <v>43.085000000000001</v>
      </c>
      <c r="CC46" s="945">
        <v>43.230000000000004</v>
      </c>
      <c r="CD46" s="945">
        <v>43.375</v>
      </c>
      <c r="CE46" s="945">
        <v>43.52</v>
      </c>
      <c r="CF46" s="945">
        <v>43.66</v>
      </c>
      <c r="CG46" s="945">
        <v>43.805</v>
      </c>
      <c r="CH46" s="945">
        <v>43.94</v>
      </c>
      <c r="CI46" s="945">
        <v>44.08</v>
      </c>
      <c r="CJ46" s="945">
        <v>44.22</v>
      </c>
      <c r="CK46" s="945">
        <v>44.36</v>
      </c>
      <c r="CL46" s="945">
        <v>44.495000000000005</v>
      </c>
      <c r="CM46" s="945">
        <v>44.629999999999995</v>
      </c>
      <c r="CN46" s="945">
        <v>44.765000000000001</v>
      </c>
      <c r="CO46" s="945">
        <v>44.894999999999996</v>
      </c>
      <c r="CP46" s="945">
        <v>45.025000000000006</v>
      </c>
      <c r="CQ46" s="945">
        <v>45.16</v>
      </c>
      <c r="CR46" s="945">
        <v>45.29</v>
      </c>
      <c r="CS46" s="945">
        <v>45.42</v>
      </c>
      <c r="CT46" s="945">
        <v>45.55</v>
      </c>
      <c r="CU46" s="945">
        <v>45.674999999999997</v>
      </c>
      <c r="CV46" s="945">
        <v>45.8</v>
      </c>
      <c r="CW46" s="945">
        <v>45.924999999999997</v>
      </c>
      <c r="CX46" s="945">
        <v>46.05</v>
      </c>
      <c r="CY46" s="945">
        <v>46.174999999999997</v>
      </c>
      <c r="CZ46" s="945">
        <v>46.3</v>
      </c>
      <c r="DA46" s="945">
        <v>46.42</v>
      </c>
      <c r="DB46" s="945">
        <v>46.54</v>
      </c>
      <c r="DC46" s="945">
        <v>46.66</v>
      </c>
      <c r="DD46" s="945">
        <v>46.78</v>
      </c>
      <c r="DE46" s="945">
        <v>46.9</v>
      </c>
      <c r="DF46" s="945">
        <v>47.015000000000001</v>
      </c>
      <c r="DG46" s="945">
        <v>47.13</v>
      </c>
      <c r="DH46" s="945">
        <v>47.244999999999997</v>
      </c>
      <c r="DI46" s="945">
        <v>47.36</v>
      </c>
      <c r="DJ46" s="945">
        <v>47.475000000000001</v>
      </c>
      <c r="DK46" s="945">
        <v>47.585000000000001</v>
      </c>
      <c r="DL46" s="945">
        <v>47.7</v>
      </c>
      <c r="DM46" s="945">
        <v>47.81</v>
      </c>
      <c r="DN46" s="945">
        <v>47.92</v>
      </c>
      <c r="DO46" s="945">
        <v>48.03</v>
      </c>
      <c r="DP46" s="945">
        <v>48.134999999999998</v>
      </c>
      <c r="DQ46" s="945">
        <v>48.245000000000005</v>
      </c>
      <c r="DR46" s="945">
        <v>48.35</v>
      </c>
    </row>
    <row r="47" spans="1:122" s="131" customFormat="1" ht="12.75">
      <c r="A47" s="949">
        <v>45</v>
      </c>
      <c r="B47" s="945"/>
      <c r="C47" s="945"/>
      <c r="D47" s="945"/>
      <c r="E47" s="945"/>
      <c r="F47" s="945"/>
      <c r="G47" s="945"/>
      <c r="H47" s="945"/>
      <c r="I47" s="945"/>
      <c r="J47" s="945"/>
      <c r="K47" s="945"/>
      <c r="L47" s="945"/>
      <c r="M47" s="945"/>
      <c r="N47" s="945"/>
      <c r="O47" s="945"/>
      <c r="P47" s="945"/>
      <c r="Q47" s="945"/>
      <c r="R47" s="945"/>
      <c r="S47" s="945"/>
      <c r="T47" s="945"/>
      <c r="U47" s="945"/>
      <c r="V47" s="945"/>
      <c r="W47" s="945">
        <v>32.9</v>
      </c>
      <c r="X47" s="945">
        <v>33.114999999999995</v>
      </c>
      <c r="Y47" s="945">
        <v>33.25</v>
      </c>
      <c r="Z47" s="945">
        <v>33.484999999999999</v>
      </c>
      <c r="AA47" s="945">
        <v>33.655000000000001</v>
      </c>
      <c r="AB47" s="945">
        <v>33.83</v>
      </c>
      <c r="AC47" s="945">
        <v>33.954999999999998</v>
      </c>
      <c r="AD47" s="945">
        <v>33.995000000000005</v>
      </c>
      <c r="AE47" s="945">
        <v>34.155000000000001</v>
      </c>
      <c r="AF47" s="945">
        <v>34.35</v>
      </c>
      <c r="AG47" s="945">
        <v>34.58</v>
      </c>
      <c r="AH47" s="945">
        <v>34.814999999999998</v>
      </c>
      <c r="AI47" s="945">
        <v>35.045000000000002</v>
      </c>
      <c r="AJ47" s="945">
        <v>35.335000000000001</v>
      </c>
      <c r="AK47" s="945">
        <v>35.604999999999997</v>
      </c>
      <c r="AL47" s="945">
        <v>35.92</v>
      </c>
      <c r="AM47" s="945">
        <v>36.21</v>
      </c>
      <c r="AN47" s="945">
        <v>36.424999999999997</v>
      </c>
      <c r="AO47" s="945">
        <v>36.585000000000001</v>
      </c>
      <c r="AP47" s="945">
        <v>36.745000000000005</v>
      </c>
      <c r="AQ47" s="945">
        <v>36.855000000000004</v>
      </c>
      <c r="AR47" s="945">
        <v>37.010000000000005</v>
      </c>
      <c r="AS47" s="945">
        <v>37.055</v>
      </c>
      <c r="AT47" s="945">
        <v>37.090000000000003</v>
      </c>
      <c r="AU47" s="945">
        <v>37.17</v>
      </c>
      <c r="AV47" s="945">
        <v>37.26</v>
      </c>
      <c r="AW47" s="945">
        <v>37.5</v>
      </c>
      <c r="AX47" s="945">
        <v>37.605000000000004</v>
      </c>
      <c r="AY47" s="945">
        <v>37.734999999999999</v>
      </c>
      <c r="AZ47" s="945">
        <v>37.844999999999999</v>
      </c>
      <c r="BA47" s="945">
        <v>37.96</v>
      </c>
      <c r="BB47" s="945">
        <v>38.08</v>
      </c>
      <c r="BC47" s="945">
        <v>38.22</v>
      </c>
      <c r="BD47" s="945">
        <v>38.344999999999999</v>
      </c>
      <c r="BE47" s="945">
        <v>38.5</v>
      </c>
      <c r="BF47" s="945">
        <v>38.655000000000001</v>
      </c>
      <c r="BG47" s="945">
        <v>38.81</v>
      </c>
      <c r="BH47" s="945">
        <v>39.01</v>
      </c>
      <c r="BI47" s="945">
        <v>39.155000000000001</v>
      </c>
      <c r="BJ47" s="945">
        <v>39.33</v>
      </c>
      <c r="BK47" s="945">
        <v>39.489999999999995</v>
      </c>
      <c r="BL47" s="945">
        <v>39.674999999999997</v>
      </c>
      <c r="BM47" s="945">
        <v>39.855000000000004</v>
      </c>
      <c r="BN47" s="945">
        <v>40.03</v>
      </c>
      <c r="BO47" s="945">
        <v>40.18</v>
      </c>
      <c r="BP47" s="945">
        <v>40.344999999999999</v>
      </c>
      <c r="BQ47" s="945">
        <v>40.495000000000005</v>
      </c>
      <c r="BR47" s="945">
        <v>40.650000000000006</v>
      </c>
      <c r="BS47" s="945">
        <v>40.81</v>
      </c>
      <c r="BT47" s="946">
        <v>40.96</v>
      </c>
      <c r="BU47" s="945">
        <v>41.105000000000004</v>
      </c>
      <c r="BV47" s="945">
        <v>41.260000000000005</v>
      </c>
      <c r="BW47" s="945">
        <v>41.41</v>
      </c>
      <c r="BX47" s="945">
        <v>41.555</v>
      </c>
      <c r="BY47" s="945">
        <v>41.704999999999998</v>
      </c>
      <c r="BZ47" s="945">
        <v>41.85</v>
      </c>
      <c r="CA47" s="945">
        <v>42</v>
      </c>
      <c r="CB47" s="945">
        <v>42.14</v>
      </c>
      <c r="CC47" s="945">
        <v>42.284999999999997</v>
      </c>
      <c r="CD47" s="945">
        <v>42.43</v>
      </c>
      <c r="CE47" s="945">
        <v>42.564999999999998</v>
      </c>
      <c r="CF47" s="945">
        <v>42.71</v>
      </c>
      <c r="CG47" s="945">
        <v>42.849999999999994</v>
      </c>
      <c r="CH47" s="945">
        <v>42.989999999999995</v>
      </c>
      <c r="CI47" s="945">
        <v>43.129999999999995</v>
      </c>
      <c r="CJ47" s="945">
        <v>43.265000000000001</v>
      </c>
      <c r="CK47" s="945">
        <v>43.4</v>
      </c>
      <c r="CL47" s="945">
        <v>43.534999999999997</v>
      </c>
      <c r="CM47" s="945">
        <v>43.67</v>
      </c>
      <c r="CN47" s="945">
        <v>43.805</v>
      </c>
      <c r="CO47" s="945">
        <v>43.94</v>
      </c>
      <c r="CP47" s="945">
        <v>44.064999999999998</v>
      </c>
      <c r="CQ47" s="945">
        <v>44.2</v>
      </c>
      <c r="CR47" s="945">
        <v>44.33</v>
      </c>
      <c r="CS47" s="945">
        <v>44.459999999999994</v>
      </c>
      <c r="CT47" s="945">
        <v>44.585000000000001</v>
      </c>
      <c r="CU47" s="945">
        <v>44.71</v>
      </c>
      <c r="CV47" s="945">
        <v>44.835000000000001</v>
      </c>
      <c r="CW47" s="945">
        <v>44.96</v>
      </c>
      <c r="CX47" s="945">
        <v>45.085000000000001</v>
      </c>
      <c r="CY47" s="945">
        <v>45.21</v>
      </c>
      <c r="CZ47" s="945">
        <v>45.335000000000001</v>
      </c>
      <c r="DA47" s="945">
        <v>45.45</v>
      </c>
      <c r="DB47" s="945">
        <v>45.575000000000003</v>
      </c>
      <c r="DC47" s="945">
        <v>45.69</v>
      </c>
      <c r="DD47" s="945">
        <v>45.814999999999998</v>
      </c>
      <c r="DE47" s="945">
        <v>45.93</v>
      </c>
      <c r="DF47" s="945">
        <v>46.045000000000002</v>
      </c>
      <c r="DG47" s="945">
        <v>46.16</v>
      </c>
      <c r="DH47" s="945">
        <v>46.28</v>
      </c>
      <c r="DI47" s="945">
        <v>46.394999999999996</v>
      </c>
      <c r="DJ47" s="945">
        <v>46.5</v>
      </c>
      <c r="DK47" s="945">
        <v>46.614999999999995</v>
      </c>
      <c r="DL47" s="945">
        <v>46.724999999999994</v>
      </c>
      <c r="DM47" s="945">
        <v>46.84</v>
      </c>
      <c r="DN47" s="945">
        <v>46.945</v>
      </c>
      <c r="DO47" s="945">
        <v>47.055</v>
      </c>
      <c r="DP47" s="945">
        <v>47.16</v>
      </c>
      <c r="DQ47" s="945">
        <v>47.269999999999996</v>
      </c>
      <c r="DR47" s="945">
        <v>47.375</v>
      </c>
    </row>
    <row r="48" spans="1:122" s="131" customFormat="1" ht="12.75">
      <c r="A48" s="949">
        <v>46</v>
      </c>
      <c r="B48" s="945"/>
      <c r="C48" s="945"/>
      <c r="D48" s="945"/>
      <c r="E48" s="945"/>
      <c r="F48" s="945"/>
      <c r="G48" s="945"/>
      <c r="H48" s="945"/>
      <c r="I48" s="945"/>
      <c r="J48" s="945"/>
      <c r="K48" s="945"/>
      <c r="L48" s="945"/>
      <c r="M48" s="945"/>
      <c r="N48" s="945"/>
      <c r="O48" s="945"/>
      <c r="P48" s="945"/>
      <c r="Q48" s="945"/>
      <c r="R48" s="945"/>
      <c r="S48" s="945"/>
      <c r="T48" s="945"/>
      <c r="U48" s="945"/>
      <c r="V48" s="945"/>
      <c r="W48" s="945">
        <v>32.015000000000001</v>
      </c>
      <c r="X48" s="945">
        <v>32.234999999999999</v>
      </c>
      <c r="Y48" s="945">
        <v>32.369999999999997</v>
      </c>
      <c r="Z48" s="945">
        <v>32.605000000000004</v>
      </c>
      <c r="AA48" s="945">
        <v>32.774999999999999</v>
      </c>
      <c r="AB48" s="945">
        <v>32.954999999999998</v>
      </c>
      <c r="AC48" s="945">
        <v>33.08</v>
      </c>
      <c r="AD48" s="945">
        <v>33.115000000000002</v>
      </c>
      <c r="AE48" s="945">
        <v>33.274999999999999</v>
      </c>
      <c r="AF48" s="945">
        <v>33.475000000000001</v>
      </c>
      <c r="AG48" s="945">
        <v>33.700000000000003</v>
      </c>
      <c r="AH48" s="945">
        <v>33.94</v>
      </c>
      <c r="AI48" s="945">
        <v>34.17</v>
      </c>
      <c r="AJ48" s="945">
        <v>34.454999999999998</v>
      </c>
      <c r="AK48" s="945">
        <v>34.725000000000001</v>
      </c>
      <c r="AL48" s="945">
        <v>35.04</v>
      </c>
      <c r="AM48" s="945">
        <v>35.325000000000003</v>
      </c>
      <c r="AN48" s="945">
        <v>35.534999999999997</v>
      </c>
      <c r="AO48" s="945">
        <v>35.695</v>
      </c>
      <c r="AP48" s="945">
        <v>35.844999999999999</v>
      </c>
      <c r="AQ48" s="945">
        <v>35.965000000000003</v>
      </c>
      <c r="AR48" s="945">
        <v>36.11</v>
      </c>
      <c r="AS48" s="945">
        <v>36.155000000000001</v>
      </c>
      <c r="AT48" s="945">
        <v>36.19</v>
      </c>
      <c r="AU48" s="945">
        <v>36.28</v>
      </c>
      <c r="AV48" s="945">
        <v>36.370000000000005</v>
      </c>
      <c r="AW48" s="945">
        <v>36.6</v>
      </c>
      <c r="AX48" s="945">
        <v>36.709999999999994</v>
      </c>
      <c r="AY48" s="945">
        <v>36.840000000000003</v>
      </c>
      <c r="AZ48" s="945">
        <v>36.945</v>
      </c>
      <c r="BA48" s="945">
        <v>37.06</v>
      </c>
      <c r="BB48" s="945">
        <v>37.18</v>
      </c>
      <c r="BC48" s="945">
        <v>37.314999999999998</v>
      </c>
      <c r="BD48" s="945">
        <v>37.44</v>
      </c>
      <c r="BE48" s="945">
        <v>37.590000000000003</v>
      </c>
      <c r="BF48" s="945">
        <v>37.75</v>
      </c>
      <c r="BG48" s="945">
        <v>37.905000000000001</v>
      </c>
      <c r="BH48" s="945">
        <v>38.094999999999999</v>
      </c>
      <c r="BI48" s="945">
        <v>38.234999999999999</v>
      </c>
      <c r="BJ48" s="945">
        <v>38.409999999999997</v>
      </c>
      <c r="BK48" s="945">
        <v>38.57</v>
      </c>
      <c r="BL48" s="945">
        <v>38.754999999999995</v>
      </c>
      <c r="BM48" s="945">
        <v>38.924999999999997</v>
      </c>
      <c r="BN48" s="945">
        <v>39.1</v>
      </c>
      <c r="BO48" s="945">
        <v>39.25</v>
      </c>
      <c r="BP48" s="945">
        <v>39.415000000000006</v>
      </c>
      <c r="BQ48" s="945">
        <v>39.56</v>
      </c>
      <c r="BR48" s="945">
        <v>39.715000000000003</v>
      </c>
      <c r="BS48" s="945">
        <v>39.870000000000005</v>
      </c>
      <c r="BT48" s="946">
        <v>40.019999999999996</v>
      </c>
      <c r="BU48" s="945">
        <v>40.164999999999999</v>
      </c>
      <c r="BV48" s="945">
        <v>40.32</v>
      </c>
      <c r="BW48" s="945">
        <v>40.47</v>
      </c>
      <c r="BX48" s="945">
        <v>40.615000000000002</v>
      </c>
      <c r="BY48" s="945">
        <v>40.76</v>
      </c>
      <c r="BZ48" s="945">
        <v>40.905000000000001</v>
      </c>
      <c r="CA48" s="945">
        <v>41.055000000000007</v>
      </c>
      <c r="CB48" s="945">
        <v>41.2</v>
      </c>
      <c r="CC48" s="945">
        <v>41.335000000000001</v>
      </c>
      <c r="CD48" s="945">
        <v>41.480000000000004</v>
      </c>
      <c r="CE48" s="945">
        <v>41.625</v>
      </c>
      <c r="CF48" s="945">
        <v>41.76</v>
      </c>
      <c r="CG48" s="945">
        <v>41.900000000000006</v>
      </c>
      <c r="CH48" s="945">
        <v>42.04</v>
      </c>
      <c r="CI48" s="945">
        <v>42.180000000000007</v>
      </c>
      <c r="CJ48" s="945">
        <v>42.314999999999998</v>
      </c>
      <c r="CK48" s="945">
        <v>42.45</v>
      </c>
      <c r="CL48" s="945">
        <v>42.585000000000001</v>
      </c>
      <c r="CM48" s="945">
        <v>42.72</v>
      </c>
      <c r="CN48" s="945">
        <v>42.85</v>
      </c>
      <c r="CO48" s="945">
        <v>42.98</v>
      </c>
      <c r="CP48" s="945">
        <v>43.115000000000002</v>
      </c>
      <c r="CQ48" s="945">
        <v>43.24</v>
      </c>
      <c r="CR48" s="945">
        <v>43.370000000000005</v>
      </c>
      <c r="CS48" s="945">
        <v>43.5</v>
      </c>
      <c r="CT48" s="945">
        <v>43.625</v>
      </c>
      <c r="CU48" s="945">
        <v>43.75</v>
      </c>
      <c r="CV48" s="945">
        <v>43.875</v>
      </c>
      <c r="CW48" s="945">
        <v>44</v>
      </c>
      <c r="CX48" s="945">
        <v>44.125</v>
      </c>
      <c r="CY48" s="945">
        <v>44.25</v>
      </c>
      <c r="CZ48" s="945">
        <v>44.365000000000002</v>
      </c>
      <c r="DA48" s="945">
        <v>44.49</v>
      </c>
      <c r="DB48" s="945">
        <v>44.61</v>
      </c>
      <c r="DC48" s="945">
        <v>44.730000000000004</v>
      </c>
      <c r="DD48" s="945">
        <v>44.844999999999999</v>
      </c>
      <c r="DE48" s="945">
        <v>44.965000000000003</v>
      </c>
      <c r="DF48" s="945">
        <v>45.08</v>
      </c>
      <c r="DG48" s="945">
        <v>45.195</v>
      </c>
      <c r="DH48" s="945">
        <v>45.31</v>
      </c>
      <c r="DI48" s="945">
        <v>45.42</v>
      </c>
      <c r="DJ48" s="945">
        <v>45.534999999999997</v>
      </c>
      <c r="DK48" s="945">
        <v>45.65</v>
      </c>
      <c r="DL48" s="945">
        <v>45.755000000000003</v>
      </c>
      <c r="DM48" s="945">
        <v>45.865000000000002</v>
      </c>
      <c r="DN48" s="945">
        <v>45.975000000000001</v>
      </c>
      <c r="DO48" s="945">
        <v>46.085000000000001</v>
      </c>
      <c r="DP48" s="945">
        <v>46.19</v>
      </c>
      <c r="DQ48" s="945">
        <v>46.3</v>
      </c>
      <c r="DR48" s="945">
        <v>46.405000000000001</v>
      </c>
    </row>
    <row r="49" spans="1:122" s="131" customFormat="1" ht="12.75">
      <c r="A49" s="949">
        <v>47</v>
      </c>
      <c r="B49" s="945"/>
      <c r="C49" s="945"/>
      <c r="D49" s="945"/>
      <c r="E49" s="945"/>
      <c r="F49" s="945"/>
      <c r="G49" s="945"/>
      <c r="H49" s="945"/>
      <c r="I49" s="945"/>
      <c r="J49" s="945"/>
      <c r="K49" s="945"/>
      <c r="L49" s="945"/>
      <c r="M49" s="945"/>
      <c r="N49" s="945"/>
      <c r="O49" s="945"/>
      <c r="P49" s="945"/>
      <c r="Q49" s="945"/>
      <c r="R49" s="945"/>
      <c r="S49" s="945"/>
      <c r="T49" s="945"/>
      <c r="U49" s="945"/>
      <c r="V49" s="945"/>
      <c r="W49" s="945">
        <v>31.14</v>
      </c>
      <c r="X49" s="945">
        <v>31.36</v>
      </c>
      <c r="Y49" s="945">
        <v>31.505000000000003</v>
      </c>
      <c r="Z49" s="945">
        <v>31.734999999999999</v>
      </c>
      <c r="AA49" s="945">
        <v>31.91</v>
      </c>
      <c r="AB49" s="945">
        <v>32.085000000000001</v>
      </c>
      <c r="AC49" s="945">
        <v>32.204999999999998</v>
      </c>
      <c r="AD49" s="945">
        <v>32.245000000000005</v>
      </c>
      <c r="AE49" s="945">
        <v>32.409999999999997</v>
      </c>
      <c r="AF49" s="945">
        <v>32.605000000000004</v>
      </c>
      <c r="AG49" s="945">
        <v>32.835000000000001</v>
      </c>
      <c r="AH49" s="945">
        <v>33.07</v>
      </c>
      <c r="AI49" s="945">
        <v>33.295000000000002</v>
      </c>
      <c r="AJ49" s="945">
        <v>33.585000000000001</v>
      </c>
      <c r="AK49" s="945">
        <v>33.849999999999994</v>
      </c>
      <c r="AL49" s="945">
        <v>34.159999999999997</v>
      </c>
      <c r="AM49" s="945">
        <v>34.44</v>
      </c>
      <c r="AN49" s="945">
        <v>34.655000000000001</v>
      </c>
      <c r="AO49" s="945">
        <v>34.81</v>
      </c>
      <c r="AP49" s="945">
        <v>34.96</v>
      </c>
      <c r="AQ49" s="945">
        <v>35.07</v>
      </c>
      <c r="AR49" s="945">
        <v>35.22</v>
      </c>
      <c r="AS49" s="945">
        <v>35.265000000000001</v>
      </c>
      <c r="AT49" s="945">
        <v>35.305</v>
      </c>
      <c r="AU49" s="945">
        <v>35.39</v>
      </c>
      <c r="AV49" s="945">
        <v>35.480000000000004</v>
      </c>
      <c r="AW49" s="945">
        <v>35.71</v>
      </c>
      <c r="AX49" s="945">
        <v>35.814999999999998</v>
      </c>
      <c r="AY49" s="945">
        <v>35.94</v>
      </c>
      <c r="AZ49" s="945">
        <v>36.049999999999997</v>
      </c>
      <c r="BA49" s="945">
        <v>36.164999999999999</v>
      </c>
      <c r="BB49" s="945">
        <v>36.28</v>
      </c>
      <c r="BC49" s="945">
        <v>36.409999999999997</v>
      </c>
      <c r="BD49" s="945">
        <v>36.54</v>
      </c>
      <c r="BE49" s="945">
        <v>36.685000000000002</v>
      </c>
      <c r="BF49" s="945">
        <v>36.844999999999999</v>
      </c>
      <c r="BG49" s="945">
        <v>37</v>
      </c>
      <c r="BH49" s="945">
        <v>37.185000000000002</v>
      </c>
      <c r="BI49" s="945">
        <v>37.325000000000003</v>
      </c>
      <c r="BJ49" s="945">
        <v>37.495000000000005</v>
      </c>
      <c r="BK49" s="945">
        <v>37.650000000000006</v>
      </c>
      <c r="BL49" s="945">
        <v>37.83</v>
      </c>
      <c r="BM49" s="945">
        <v>38.004999999999995</v>
      </c>
      <c r="BN49" s="945">
        <v>38.174999999999997</v>
      </c>
      <c r="BO49" s="945">
        <v>38.32</v>
      </c>
      <c r="BP49" s="945">
        <v>38.480000000000004</v>
      </c>
      <c r="BQ49" s="945">
        <v>38.630000000000003</v>
      </c>
      <c r="BR49" s="945">
        <v>38.784999999999997</v>
      </c>
      <c r="BS49" s="945">
        <v>38.935000000000002</v>
      </c>
      <c r="BT49" s="946">
        <v>39.090000000000003</v>
      </c>
      <c r="BU49" s="945">
        <v>39.230000000000004</v>
      </c>
      <c r="BV49" s="945">
        <v>39.385000000000005</v>
      </c>
      <c r="BW49" s="945">
        <v>39.53</v>
      </c>
      <c r="BX49" s="945">
        <v>39.68</v>
      </c>
      <c r="BY49" s="945">
        <v>39.825000000000003</v>
      </c>
      <c r="BZ49" s="945">
        <v>39.97</v>
      </c>
      <c r="CA49" s="945">
        <v>40.114999999999995</v>
      </c>
      <c r="CB49" s="945">
        <v>40.254999999999995</v>
      </c>
      <c r="CC49" s="945">
        <v>40.4</v>
      </c>
      <c r="CD49" s="945">
        <v>40.534999999999997</v>
      </c>
      <c r="CE49" s="945">
        <v>40.68</v>
      </c>
      <c r="CF49" s="945">
        <v>40.814999999999998</v>
      </c>
      <c r="CG49" s="945">
        <v>40.96</v>
      </c>
      <c r="CH49" s="945">
        <v>41.094999999999999</v>
      </c>
      <c r="CI49" s="945">
        <v>41.230000000000004</v>
      </c>
      <c r="CJ49" s="945">
        <v>41.364999999999995</v>
      </c>
      <c r="CK49" s="945">
        <v>41.5</v>
      </c>
      <c r="CL49" s="945">
        <v>41.635000000000005</v>
      </c>
      <c r="CM49" s="945">
        <v>41.765000000000001</v>
      </c>
      <c r="CN49" s="945">
        <v>41.894999999999996</v>
      </c>
      <c r="CO49" s="945">
        <v>42.03</v>
      </c>
      <c r="CP49" s="945">
        <v>42.16</v>
      </c>
      <c r="CQ49" s="945">
        <v>42.29</v>
      </c>
      <c r="CR49" s="945">
        <v>42.414999999999999</v>
      </c>
      <c r="CS49" s="945">
        <v>42.54</v>
      </c>
      <c r="CT49" s="945">
        <v>42.67</v>
      </c>
      <c r="CU49" s="945">
        <v>42.795000000000002</v>
      </c>
      <c r="CV49" s="945">
        <v>42.914999999999999</v>
      </c>
      <c r="CW49" s="945">
        <v>43.04</v>
      </c>
      <c r="CX49" s="945">
        <v>43.165000000000006</v>
      </c>
      <c r="CY49" s="945">
        <v>43.290000000000006</v>
      </c>
      <c r="CZ49" s="945">
        <v>43.405000000000001</v>
      </c>
      <c r="DA49" s="945">
        <v>43.53</v>
      </c>
      <c r="DB49" s="945">
        <v>43.644999999999996</v>
      </c>
      <c r="DC49" s="945">
        <v>43.765000000000001</v>
      </c>
      <c r="DD49" s="945">
        <v>43.879999999999995</v>
      </c>
      <c r="DE49" s="945">
        <v>43.995000000000005</v>
      </c>
      <c r="DF49" s="945">
        <v>44.11</v>
      </c>
      <c r="DG49" s="945">
        <v>44.230000000000004</v>
      </c>
      <c r="DH49" s="945">
        <v>44.344999999999999</v>
      </c>
      <c r="DI49" s="945">
        <v>44.454999999999998</v>
      </c>
      <c r="DJ49" s="945">
        <v>44.564999999999998</v>
      </c>
      <c r="DK49" s="945">
        <v>44.68</v>
      </c>
      <c r="DL49" s="945">
        <v>44.790000000000006</v>
      </c>
      <c r="DM49" s="945">
        <v>44.894999999999996</v>
      </c>
      <c r="DN49" s="945">
        <v>45.004999999999995</v>
      </c>
      <c r="DO49" s="945">
        <v>45.11</v>
      </c>
      <c r="DP49" s="945">
        <v>45.22</v>
      </c>
      <c r="DQ49" s="945">
        <v>45.325000000000003</v>
      </c>
      <c r="DR49" s="945">
        <v>45.43</v>
      </c>
    </row>
    <row r="50" spans="1:122" s="131" customFormat="1" ht="12.75">
      <c r="A50" s="949">
        <v>48</v>
      </c>
      <c r="B50" s="945"/>
      <c r="C50" s="945"/>
      <c r="D50" s="945"/>
      <c r="E50" s="945"/>
      <c r="F50" s="945"/>
      <c r="G50" s="945"/>
      <c r="H50" s="945"/>
      <c r="I50" s="945"/>
      <c r="J50" s="945"/>
      <c r="K50" s="945"/>
      <c r="L50" s="945"/>
      <c r="M50" s="945"/>
      <c r="N50" s="945"/>
      <c r="O50" s="945"/>
      <c r="P50" s="945"/>
      <c r="Q50" s="945"/>
      <c r="R50" s="945"/>
      <c r="S50" s="945"/>
      <c r="T50" s="945"/>
      <c r="U50" s="945"/>
      <c r="V50" s="945"/>
      <c r="W50" s="945">
        <v>30.274999999999999</v>
      </c>
      <c r="X50" s="945">
        <v>30.5</v>
      </c>
      <c r="Y50" s="945">
        <v>30.64</v>
      </c>
      <c r="Z50" s="945">
        <v>30.869999999999997</v>
      </c>
      <c r="AA50" s="945">
        <v>31.045000000000002</v>
      </c>
      <c r="AB50" s="945">
        <v>31.22</v>
      </c>
      <c r="AC50" s="945">
        <v>31.344999999999999</v>
      </c>
      <c r="AD50" s="945">
        <v>31.385000000000002</v>
      </c>
      <c r="AE50" s="945">
        <v>31.549999999999997</v>
      </c>
      <c r="AF50" s="945">
        <v>31.745000000000001</v>
      </c>
      <c r="AG50" s="945">
        <v>31.975000000000001</v>
      </c>
      <c r="AH50" s="945">
        <v>32.204999999999998</v>
      </c>
      <c r="AI50" s="945">
        <v>32.435000000000002</v>
      </c>
      <c r="AJ50" s="945">
        <v>32.715000000000003</v>
      </c>
      <c r="AK50" s="945">
        <v>32.979999999999997</v>
      </c>
      <c r="AL50" s="945">
        <v>33.284999999999997</v>
      </c>
      <c r="AM50" s="945">
        <v>33.564999999999998</v>
      </c>
      <c r="AN50" s="945">
        <v>33.775000000000006</v>
      </c>
      <c r="AO50" s="945">
        <v>33.93</v>
      </c>
      <c r="AP50" s="945">
        <v>34.075000000000003</v>
      </c>
      <c r="AQ50" s="945">
        <v>34.19</v>
      </c>
      <c r="AR50" s="945">
        <v>34.340000000000003</v>
      </c>
      <c r="AS50" s="945">
        <v>34.384999999999998</v>
      </c>
      <c r="AT50" s="945">
        <v>34.424999999999997</v>
      </c>
      <c r="AU50" s="945">
        <v>34.510000000000005</v>
      </c>
      <c r="AV50" s="945">
        <v>34.594999999999999</v>
      </c>
      <c r="AW50" s="945">
        <v>34.825000000000003</v>
      </c>
      <c r="AX50" s="945">
        <v>34.924999999999997</v>
      </c>
      <c r="AY50" s="945">
        <v>35.049999999999997</v>
      </c>
      <c r="AZ50" s="945">
        <v>35.159999999999997</v>
      </c>
      <c r="BA50" s="945">
        <v>35.265000000000001</v>
      </c>
      <c r="BB50" s="945">
        <v>35.39</v>
      </c>
      <c r="BC50" s="945">
        <v>35.515000000000001</v>
      </c>
      <c r="BD50" s="945">
        <v>35.644999999999996</v>
      </c>
      <c r="BE50" s="945">
        <v>35.795000000000002</v>
      </c>
      <c r="BF50" s="945">
        <v>35.950000000000003</v>
      </c>
      <c r="BG50" s="945">
        <v>36.094999999999999</v>
      </c>
      <c r="BH50" s="945">
        <v>36.28</v>
      </c>
      <c r="BI50" s="945">
        <v>36.414999999999999</v>
      </c>
      <c r="BJ50" s="945">
        <v>36.585000000000001</v>
      </c>
      <c r="BK50" s="945">
        <v>36.74</v>
      </c>
      <c r="BL50" s="945">
        <v>36.92</v>
      </c>
      <c r="BM50" s="945">
        <v>37.090000000000003</v>
      </c>
      <c r="BN50" s="945">
        <v>37.25</v>
      </c>
      <c r="BO50" s="945">
        <v>37.400000000000006</v>
      </c>
      <c r="BP50" s="945">
        <v>37.555</v>
      </c>
      <c r="BQ50" s="945">
        <v>37.704999999999998</v>
      </c>
      <c r="BR50" s="945">
        <v>37.855000000000004</v>
      </c>
      <c r="BS50" s="945">
        <v>38.01</v>
      </c>
      <c r="BT50" s="946">
        <v>38.159999999999997</v>
      </c>
      <c r="BU50" s="945">
        <v>38.305000000000007</v>
      </c>
      <c r="BV50" s="945">
        <v>38.454999999999998</v>
      </c>
      <c r="BW50" s="945">
        <v>38.6</v>
      </c>
      <c r="BX50" s="945">
        <v>38.744999999999997</v>
      </c>
      <c r="BY50" s="945">
        <v>38.89</v>
      </c>
      <c r="BZ50" s="945">
        <v>39.034999999999997</v>
      </c>
      <c r="CA50" s="945">
        <v>39.18</v>
      </c>
      <c r="CB50" s="945">
        <v>39.314999999999998</v>
      </c>
      <c r="CC50" s="945">
        <v>39.459999999999994</v>
      </c>
      <c r="CD50" s="945">
        <v>39.6</v>
      </c>
      <c r="CE50" s="945">
        <v>39.734999999999999</v>
      </c>
      <c r="CF50" s="945">
        <v>39.875</v>
      </c>
      <c r="CG50" s="945">
        <v>40.015000000000001</v>
      </c>
      <c r="CH50" s="945">
        <v>40.15</v>
      </c>
      <c r="CI50" s="945">
        <v>40.284999999999997</v>
      </c>
      <c r="CJ50" s="945">
        <v>40.42</v>
      </c>
      <c r="CK50" s="945">
        <v>40.555000000000007</v>
      </c>
      <c r="CL50" s="945">
        <v>40.685000000000002</v>
      </c>
      <c r="CM50" s="945">
        <v>40.814999999999998</v>
      </c>
      <c r="CN50" s="945">
        <v>40.950000000000003</v>
      </c>
      <c r="CO50" s="945">
        <v>41.075000000000003</v>
      </c>
      <c r="CP50" s="945">
        <v>41.21</v>
      </c>
      <c r="CQ50" s="945">
        <v>41.335000000000001</v>
      </c>
      <c r="CR50" s="945">
        <v>41.465000000000003</v>
      </c>
      <c r="CS50" s="945">
        <v>41.59</v>
      </c>
      <c r="CT50" s="945">
        <v>41.715000000000003</v>
      </c>
      <c r="CU50" s="945">
        <v>41.84</v>
      </c>
      <c r="CV50" s="945">
        <v>41.965000000000003</v>
      </c>
      <c r="CW50" s="945">
        <v>42.09</v>
      </c>
      <c r="CX50" s="945">
        <v>42.204999999999998</v>
      </c>
      <c r="CY50" s="945">
        <v>42.33</v>
      </c>
      <c r="CZ50" s="945">
        <v>42.45</v>
      </c>
      <c r="DA50" s="945">
        <v>42.57</v>
      </c>
      <c r="DB50" s="945">
        <v>42.685000000000002</v>
      </c>
      <c r="DC50" s="945">
        <v>42.805</v>
      </c>
      <c r="DD50" s="945">
        <v>42.92</v>
      </c>
      <c r="DE50" s="945">
        <v>43.034999999999997</v>
      </c>
      <c r="DF50" s="945">
        <v>43.150000000000006</v>
      </c>
      <c r="DG50" s="945">
        <v>43.265000000000001</v>
      </c>
      <c r="DH50" s="945">
        <v>43.375</v>
      </c>
      <c r="DI50" s="945">
        <v>43.489999999999995</v>
      </c>
      <c r="DJ50" s="945">
        <v>43.6</v>
      </c>
      <c r="DK50" s="945">
        <v>43.715000000000003</v>
      </c>
      <c r="DL50" s="945">
        <v>43.82</v>
      </c>
      <c r="DM50" s="945">
        <v>43.93</v>
      </c>
      <c r="DN50" s="945">
        <v>44.034999999999997</v>
      </c>
      <c r="DO50" s="945">
        <v>44.144999999999996</v>
      </c>
      <c r="DP50" s="945">
        <v>44.25</v>
      </c>
      <c r="DQ50" s="945">
        <v>44.355000000000004</v>
      </c>
      <c r="DR50" s="945">
        <v>44.46</v>
      </c>
    </row>
    <row r="51" spans="1:122" s="131" customFormat="1" ht="12.75">
      <c r="A51" s="949">
        <v>49</v>
      </c>
      <c r="B51" s="945"/>
      <c r="C51" s="945"/>
      <c r="D51" s="945"/>
      <c r="E51" s="945"/>
      <c r="F51" s="945"/>
      <c r="G51" s="945"/>
      <c r="H51" s="945"/>
      <c r="I51" s="945"/>
      <c r="J51" s="945"/>
      <c r="K51" s="945"/>
      <c r="L51" s="945"/>
      <c r="M51" s="945"/>
      <c r="N51" s="945"/>
      <c r="O51" s="945"/>
      <c r="P51" s="945"/>
      <c r="Q51" s="945"/>
      <c r="R51" s="945"/>
      <c r="S51" s="945"/>
      <c r="T51" s="945"/>
      <c r="U51" s="945"/>
      <c r="V51" s="945"/>
      <c r="W51" s="945">
        <v>29.425000000000001</v>
      </c>
      <c r="X51" s="945">
        <v>29.65</v>
      </c>
      <c r="Y51" s="945">
        <v>29.785000000000004</v>
      </c>
      <c r="Z51" s="945">
        <v>30.015000000000001</v>
      </c>
      <c r="AA51" s="945">
        <v>30.189999999999998</v>
      </c>
      <c r="AB51" s="945">
        <v>30.37</v>
      </c>
      <c r="AC51" s="945">
        <v>30.490000000000002</v>
      </c>
      <c r="AD51" s="945">
        <v>30.53</v>
      </c>
      <c r="AE51" s="945">
        <v>30.695</v>
      </c>
      <c r="AF51" s="945">
        <v>30.895</v>
      </c>
      <c r="AG51" s="945">
        <v>31.12</v>
      </c>
      <c r="AH51" s="945">
        <v>31.355</v>
      </c>
      <c r="AI51" s="945">
        <v>31.57</v>
      </c>
      <c r="AJ51" s="945">
        <v>31.85</v>
      </c>
      <c r="AK51" s="945">
        <v>32.115000000000002</v>
      </c>
      <c r="AL51" s="945">
        <v>32.42</v>
      </c>
      <c r="AM51" s="945">
        <v>32.69</v>
      </c>
      <c r="AN51" s="945">
        <v>32.9</v>
      </c>
      <c r="AO51" s="945">
        <v>33.055</v>
      </c>
      <c r="AP51" s="945">
        <v>33.200000000000003</v>
      </c>
      <c r="AQ51" s="945">
        <v>33.314999999999998</v>
      </c>
      <c r="AR51" s="945">
        <v>33.46</v>
      </c>
      <c r="AS51" s="945">
        <v>33.51</v>
      </c>
      <c r="AT51" s="945">
        <v>33.555</v>
      </c>
      <c r="AU51" s="945">
        <v>33.64</v>
      </c>
      <c r="AV51" s="945">
        <v>33.715000000000003</v>
      </c>
      <c r="AW51" s="945">
        <v>33.945</v>
      </c>
      <c r="AX51" s="945">
        <v>34.04</v>
      </c>
      <c r="AY51" s="945">
        <v>34.160000000000004</v>
      </c>
      <c r="AZ51" s="945">
        <v>34.269999999999996</v>
      </c>
      <c r="BA51" s="945">
        <v>34.379999999999995</v>
      </c>
      <c r="BB51" s="945">
        <v>34.5</v>
      </c>
      <c r="BC51" s="945">
        <v>34.625</v>
      </c>
      <c r="BD51" s="945">
        <v>34.75</v>
      </c>
      <c r="BE51" s="945">
        <v>34.900000000000006</v>
      </c>
      <c r="BF51" s="945">
        <v>35.045000000000002</v>
      </c>
      <c r="BG51" s="945">
        <v>35.200000000000003</v>
      </c>
      <c r="BH51" s="945">
        <v>35.375</v>
      </c>
      <c r="BI51" s="945">
        <v>35.510000000000005</v>
      </c>
      <c r="BJ51" s="945">
        <v>35.68</v>
      </c>
      <c r="BK51" s="945">
        <v>35.83</v>
      </c>
      <c r="BL51" s="945">
        <v>36.005000000000003</v>
      </c>
      <c r="BM51" s="945">
        <v>36.17</v>
      </c>
      <c r="BN51" s="945">
        <v>36.335000000000001</v>
      </c>
      <c r="BO51" s="945">
        <v>36.484999999999999</v>
      </c>
      <c r="BP51" s="945">
        <v>36.634999999999998</v>
      </c>
      <c r="BQ51" s="945">
        <v>36.79</v>
      </c>
      <c r="BR51" s="945">
        <v>36.94</v>
      </c>
      <c r="BS51" s="945">
        <v>37.090000000000003</v>
      </c>
      <c r="BT51" s="946">
        <v>37.234999999999999</v>
      </c>
      <c r="BU51" s="945">
        <v>37.379999999999995</v>
      </c>
      <c r="BV51" s="945">
        <v>37.53</v>
      </c>
      <c r="BW51" s="945">
        <v>37.674999999999997</v>
      </c>
      <c r="BX51" s="945">
        <v>37.82</v>
      </c>
      <c r="BY51" s="945">
        <v>37.954999999999998</v>
      </c>
      <c r="BZ51" s="945">
        <v>38.099999999999994</v>
      </c>
      <c r="CA51" s="945">
        <v>38.245000000000005</v>
      </c>
      <c r="CB51" s="945">
        <v>38.384999999999998</v>
      </c>
      <c r="CC51" s="945">
        <v>38.525000000000006</v>
      </c>
      <c r="CD51" s="945">
        <v>38.659999999999997</v>
      </c>
      <c r="CE51" s="945">
        <v>38.799999999999997</v>
      </c>
      <c r="CF51" s="945">
        <v>38.94</v>
      </c>
      <c r="CG51" s="945">
        <v>39.075000000000003</v>
      </c>
      <c r="CH51" s="945">
        <v>39.21</v>
      </c>
      <c r="CI51" s="945">
        <v>39.344999999999999</v>
      </c>
      <c r="CJ51" s="945">
        <v>39.480000000000004</v>
      </c>
      <c r="CK51" s="945">
        <v>39.61</v>
      </c>
      <c r="CL51" s="945">
        <v>39.739999999999995</v>
      </c>
      <c r="CM51" s="945">
        <v>39.875</v>
      </c>
      <c r="CN51" s="945">
        <v>40</v>
      </c>
      <c r="CO51" s="945">
        <v>40.135000000000005</v>
      </c>
      <c r="CP51" s="945">
        <v>40.260000000000005</v>
      </c>
      <c r="CQ51" s="945">
        <v>40.385000000000005</v>
      </c>
      <c r="CR51" s="945">
        <v>40.510000000000005</v>
      </c>
      <c r="CS51" s="945">
        <v>40.64</v>
      </c>
      <c r="CT51" s="945">
        <v>40.765000000000001</v>
      </c>
      <c r="CU51" s="945">
        <v>40.89</v>
      </c>
      <c r="CV51" s="945">
        <v>41.01</v>
      </c>
      <c r="CW51" s="945">
        <v>41.129999999999995</v>
      </c>
      <c r="CX51" s="945">
        <v>41.255000000000003</v>
      </c>
      <c r="CY51" s="945">
        <v>41.37</v>
      </c>
      <c r="CZ51" s="945">
        <v>41.494999999999997</v>
      </c>
      <c r="DA51" s="945">
        <v>41.61</v>
      </c>
      <c r="DB51" s="945">
        <v>41.730000000000004</v>
      </c>
      <c r="DC51" s="945">
        <v>41.844999999999999</v>
      </c>
      <c r="DD51" s="945">
        <v>41.96</v>
      </c>
      <c r="DE51" s="945">
        <v>42.075000000000003</v>
      </c>
      <c r="DF51" s="945">
        <v>42.19</v>
      </c>
      <c r="DG51" s="945">
        <v>42.305</v>
      </c>
      <c r="DH51" s="945">
        <v>42.414999999999999</v>
      </c>
      <c r="DI51" s="945">
        <v>42.53</v>
      </c>
      <c r="DJ51" s="945">
        <v>42.64</v>
      </c>
      <c r="DK51" s="945">
        <v>42.745000000000005</v>
      </c>
      <c r="DL51" s="945">
        <v>42.86</v>
      </c>
      <c r="DM51" s="945">
        <v>42.97</v>
      </c>
      <c r="DN51" s="945">
        <v>43.075000000000003</v>
      </c>
      <c r="DO51" s="945">
        <v>43.18</v>
      </c>
      <c r="DP51" s="945">
        <v>43.290000000000006</v>
      </c>
      <c r="DQ51" s="945">
        <v>43.39</v>
      </c>
      <c r="DR51" s="945">
        <v>43.495000000000005</v>
      </c>
    </row>
    <row r="52" spans="1:122" s="131" customFormat="1" ht="12.75">
      <c r="A52" s="949">
        <v>50</v>
      </c>
      <c r="B52" s="945"/>
      <c r="C52" s="945"/>
      <c r="D52" s="945"/>
      <c r="E52" s="945"/>
      <c r="F52" s="945"/>
      <c r="G52" s="945"/>
      <c r="H52" s="945"/>
      <c r="I52" s="945"/>
      <c r="J52" s="945"/>
      <c r="K52" s="945"/>
      <c r="L52" s="945"/>
      <c r="M52" s="945"/>
      <c r="N52" s="945"/>
      <c r="O52" s="945"/>
      <c r="P52" s="945"/>
      <c r="Q52" s="945"/>
      <c r="R52" s="945"/>
      <c r="S52" s="945"/>
      <c r="T52" s="945"/>
      <c r="U52" s="945"/>
      <c r="V52" s="945"/>
      <c r="W52" s="945">
        <v>28.58</v>
      </c>
      <c r="X52" s="945">
        <v>28.8</v>
      </c>
      <c r="Y52" s="945">
        <v>28.939999999999998</v>
      </c>
      <c r="Z52" s="945">
        <v>29.17</v>
      </c>
      <c r="AA52" s="945">
        <v>29.344999999999999</v>
      </c>
      <c r="AB52" s="945">
        <v>29.524999999999999</v>
      </c>
      <c r="AC52" s="945">
        <v>29.64</v>
      </c>
      <c r="AD52" s="945">
        <v>29.68</v>
      </c>
      <c r="AE52" s="945">
        <v>29.855</v>
      </c>
      <c r="AF52" s="945">
        <v>30.049999999999997</v>
      </c>
      <c r="AG52" s="945">
        <v>30.274999999999999</v>
      </c>
      <c r="AH52" s="945">
        <v>30.505000000000003</v>
      </c>
      <c r="AI52" s="945">
        <v>30.72</v>
      </c>
      <c r="AJ52" s="945">
        <v>30.990000000000002</v>
      </c>
      <c r="AK52" s="945">
        <v>31.25</v>
      </c>
      <c r="AL52" s="945">
        <v>31.555</v>
      </c>
      <c r="AM52" s="945">
        <v>31.824999999999999</v>
      </c>
      <c r="AN52" s="945">
        <v>32.034999999999997</v>
      </c>
      <c r="AO52" s="945">
        <v>32.185000000000002</v>
      </c>
      <c r="AP52" s="945">
        <v>32.33</v>
      </c>
      <c r="AQ52" s="945">
        <v>32.454999999999998</v>
      </c>
      <c r="AR52" s="945">
        <v>32.594999999999999</v>
      </c>
      <c r="AS52" s="945">
        <v>32.644999999999996</v>
      </c>
      <c r="AT52" s="945">
        <v>32.685000000000002</v>
      </c>
      <c r="AU52" s="945">
        <v>32.769999999999996</v>
      </c>
      <c r="AV52" s="945">
        <v>32.844999999999999</v>
      </c>
      <c r="AW52" s="945">
        <v>33.07</v>
      </c>
      <c r="AX52" s="945">
        <v>33.159999999999997</v>
      </c>
      <c r="AY52" s="945">
        <v>33.274999999999999</v>
      </c>
      <c r="AZ52" s="945">
        <v>33.39</v>
      </c>
      <c r="BA52" s="945">
        <v>33.49</v>
      </c>
      <c r="BB52" s="945">
        <v>33.615000000000002</v>
      </c>
      <c r="BC52" s="945">
        <v>33.739999999999995</v>
      </c>
      <c r="BD52" s="945">
        <v>33.869999999999997</v>
      </c>
      <c r="BE52" s="945">
        <v>34.01</v>
      </c>
      <c r="BF52" s="945">
        <v>34.159999999999997</v>
      </c>
      <c r="BG52" s="945">
        <v>34.305</v>
      </c>
      <c r="BH52" s="945">
        <v>34.475000000000001</v>
      </c>
      <c r="BI52" s="945">
        <v>34.614999999999995</v>
      </c>
      <c r="BJ52" s="945">
        <v>34.775000000000006</v>
      </c>
      <c r="BK52" s="945">
        <v>34.93</v>
      </c>
      <c r="BL52" s="945">
        <v>35.105000000000004</v>
      </c>
      <c r="BM52" s="945">
        <v>35.260000000000005</v>
      </c>
      <c r="BN52" s="945">
        <v>35.424999999999997</v>
      </c>
      <c r="BO52" s="945">
        <v>35.575000000000003</v>
      </c>
      <c r="BP52" s="945">
        <v>35.724999999999994</v>
      </c>
      <c r="BQ52" s="945">
        <v>35.870000000000005</v>
      </c>
      <c r="BR52" s="945">
        <v>36.019999999999996</v>
      </c>
      <c r="BS52" s="945">
        <v>36.17</v>
      </c>
      <c r="BT52" s="946">
        <v>36.314999999999998</v>
      </c>
      <c r="BU52" s="945">
        <v>36.46</v>
      </c>
      <c r="BV52" s="945">
        <v>36.605000000000004</v>
      </c>
      <c r="BW52" s="945">
        <v>36.75</v>
      </c>
      <c r="BX52" s="945">
        <v>36.894999999999996</v>
      </c>
      <c r="BY52" s="945">
        <v>37.034999999999997</v>
      </c>
      <c r="BZ52" s="945">
        <v>37.174999999999997</v>
      </c>
      <c r="CA52" s="945">
        <v>37.314999999999998</v>
      </c>
      <c r="CB52" s="945">
        <v>37.454999999999998</v>
      </c>
      <c r="CC52" s="945">
        <v>37.594999999999999</v>
      </c>
      <c r="CD52" s="945">
        <v>37.734999999999999</v>
      </c>
      <c r="CE52" s="945">
        <v>37.870000000000005</v>
      </c>
      <c r="CF52" s="945">
        <v>38.005000000000003</v>
      </c>
      <c r="CG52" s="945">
        <v>38.14</v>
      </c>
      <c r="CH52" s="945">
        <v>38.274999999999999</v>
      </c>
      <c r="CI52" s="945">
        <v>38.409999999999997</v>
      </c>
      <c r="CJ52" s="945">
        <v>38.540000000000006</v>
      </c>
      <c r="CK52" s="945">
        <v>38.67</v>
      </c>
      <c r="CL52" s="945">
        <v>38.805</v>
      </c>
      <c r="CM52" s="945">
        <v>38.93</v>
      </c>
      <c r="CN52" s="945">
        <v>39.064999999999998</v>
      </c>
      <c r="CO52" s="945">
        <v>39.19</v>
      </c>
      <c r="CP52" s="945">
        <v>39.314999999999998</v>
      </c>
      <c r="CQ52" s="945">
        <v>39.445</v>
      </c>
      <c r="CR52" s="945">
        <v>39.569999999999993</v>
      </c>
      <c r="CS52" s="945">
        <v>39.695</v>
      </c>
      <c r="CT52" s="945">
        <v>39.82</v>
      </c>
      <c r="CU52" s="945">
        <v>39.945</v>
      </c>
      <c r="CV52" s="945">
        <v>40.06</v>
      </c>
      <c r="CW52" s="945">
        <v>40.185000000000002</v>
      </c>
      <c r="CX52" s="945">
        <v>40.305</v>
      </c>
      <c r="CY52" s="945">
        <v>40.42</v>
      </c>
      <c r="CZ52" s="945">
        <v>40.545000000000002</v>
      </c>
      <c r="DA52" s="945">
        <v>40.659999999999997</v>
      </c>
      <c r="DB52" s="945">
        <v>40.774999999999999</v>
      </c>
      <c r="DC52" s="945">
        <v>40.894999999999996</v>
      </c>
      <c r="DD52" s="945">
        <v>41.010000000000005</v>
      </c>
      <c r="DE52" s="945">
        <v>41.125</v>
      </c>
      <c r="DF52" s="945">
        <v>41.234999999999999</v>
      </c>
      <c r="DG52" s="945">
        <v>41.349999999999994</v>
      </c>
      <c r="DH52" s="945">
        <v>41.46</v>
      </c>
      <c r="DI52" s="945">
        <v>41.57</v>
      </c>
      <c r="DJ52" s="945">
        <v>41.680000000000007</v>
      </c>
      <c r="DK52" s="945">
        <v>41.79</v>
      </c>
      <c r="DL52" s="945">
        <v>41.894999999999996</v>
      </c>
      <c r="DM52" s="945">
        <v>42</v>
      </c>
      <c r="DN52" s="945">
        <v>42.11</v>
      </c>
      <c r="DO52" s="945">
        <v>42.215000000000003</v>
      </c>
      <c r="DP52" s="945">
        <v>42.32</v>
      </c>
      <c r="DQ52" s="945">
        <v>42.424999999999997</v>
      </c>
      <c r="DR52" s="945">
        <v>42.524999999999999</v>
      </c>
    </row>
    <row r="53" spans="1:122" s="131" customFormat="1" ht="12.75">
      <c r="A53" s="949">
        <v>51</v>
      </c>
      <c r="B53" s="945"/>
      <c r="C53" s="945"/>
      <c r="D53" s="945"/>
      <c r="E53" s="945"/>
      <c r="F53" s="945"/>
      <c r="G53" s="945"/>
      <c r="H53" s="945"/>
      <c r="I53" s="945"/>
      <c r="J53" s="945"/>
      <c r="K53" s="945"/>
      <c r="L53" s="945"/>
      <c r="M53" s="945"/>
      <c r="N53" s="945"/>
      <c r="O53" s="945"/>
      <c r="P53" s="945"/>
      <c r="Q53" s="945"/>
      <c r="R53" s="945"/>
      <c r="S53" s="945"/>
      <c r="T53" s="945"/>
      <c r="U53" s="945"/>
      <c r="V53" s="945"/>
      <c r="W53" s="945">
        <v>27.744999999999997</v>
      </c>
      <c r="X53" s="945">
        <v>27.96</v>
      </c>
      <c r="Y53" s="945">
        <v>28.1</v>
      </c>
      <c r="Z53" s="945">
        <v>28.33</v>
      </c>
      <c r="AA53" s="945">
        <v>28.509999999999998</v>
      </c>
      <c r="AB53" s="945">
        <v>28.689999999999998</v>
      </c>
      <c r="AC53" s="945">
        <v>28.805</v>
      </c>
      <c r="AD53" s="945">
        <v>28.844999999999999</v>
      </c>
      <c r="AE53" s="945">
        <v>29.015000000000001</v>
      </c>
      <c r="AF53" s="945">
        <v>29.21</v>
      </c>
      <c r="AG53" s="945">
        <v>29.43</v>
      </c>
      <c r="AH53" s="945">
        <v>29.664999999999999</v>
      </c>
      <c r="AI53" s="945">
        <v>29.88</v>
      </c>
      <c r="AJ53" s="945">
        <v>30.145000000000003</v>
      </c>
      <c r="AK53" s="945">
        <v>30.4</v>
      </c>
      <c r="AL53" s="945">
        <v>30.704999999999998</v>
      </c>
      <c r="AM53" s="945">
        <v>30.97</v>
      </c>
      <c r="AN53" s="945">
        <v>31.18</v>
      </c>
      <c r="AO53" s="945">
        <v>31.325000000000003</v>
      </c>
      <c r="AP53" s="945">
        <v>31.479999999999997</v>
      </c>
      <c r="AQ53" s="945">
        <v>31.594999999999999</v>
      </c>
      <c r="AR53" s="945">
        <v>31.73</v>
      </c>
      <c r="AS53" s="945">
        <v>31.784999999999997</v>
      </c>
      <c r="AT53" s="945">
        <v>31.82</v>
      </c>
      <c r="AU53" s="945">
        <v>31.905000000000001</v>
      </c>
      <c r="AV53" s="945">
        <v>31.979999999999997</v>
      </c>
      <c r="AW53" s="945">
        <v>32.195</v>
      </c>
      <c r="AX53" s="945">
        <v>32.28</v>
      </c>
      <c r="AY53" s="945">
        <v>32.400000000000006</v>
      </c>
      <c r="AZ53" s="945">
        <v>32.51</v>
      </c>
      <c r="BA53" s="945">
        <v>32.619999999999997</v>
      </c>
      <c r="BB53" s="945">
        <v>32.734999999999999</v>
      </c>
      <c r="BC53" s="945">
        <v>32.865000000000002</v>
      </c>
      <c r="BD53" s="945">
        <v>32.984999999999999</v>
      </c>
      <c r="BE53" s="945">
        <v>33.125</v>
      </c>
      <c r="BF53" s="945">
        <v>33.274999999999999</v>
      </c>
      <c r="BG53" s="945">
        <v>33.414999999999999</v>
      </c>
      <c r="BH53" s="945">
        <v>33.585000000000001</v>
      </c>
      <c r="BI53" s="945">
        <v>33.72</v>
      </c>
      <c r="BJ53" s="945">
        <v>33.879999999999995</v>
      </c>
      <c r="BK53" s="945">
        <v>34.034999999999997</v>
      </c>
      <c r="BL53" s="945">
        <v>34.204999999999998</v>
      </c>
      <c r="BM53" s="945">
        <v>34.36</v>
      </c>
      <c r="BN53" s="945">
        <v>34.519999999999996</v>
      </c>
      <c r="BO53" s="945">
        <v>34.665000000000006</v>
      </c>
      <c r="BP53" s="945">
        <v>34.814999999999998</v>
      </c>
      <c r="BQ53" s="945">
        <v>34.96</v>
      </c>
      <c r="BR53" s="945">
        <v>35.11</v>
      </c>
      <c r="BS53" s="945">
        <v>35.255000000000003</v>
      </c>
      <c r="BT53" s="946">
        <v>35.4</v>
      </c>
      <c r="BU53" s="945">
        <v>35.545000000000002</v>
      </c>
      <c r="BV53" s="945">
        <v>35.685000000000002</v>
      </c>
      <c r="BW53" s="945">
        <v>35.83</v>
      </c>
      <c r="BX53" s="945">
        <v>35.974999999999994</v>
      </c>
      <c r="BY53" s="945">
        <v>36.11</v>
      </c>
      <c r="BZ53" s="945">
        <v>36.254999999999995</v>
      </c>
      <c r="CA53" s="945">
        <v>36.39</v>
      </c>
      <c r="CB53" s="945">
        <v>36.534999999999997</v>
      </c>
      <c r="CC53" s="945">
        <v>36.67</v>
      </c>
      <c r="CD53" s="945">
        <v>36.805</v>
      </c>
      <c r="CE53" s="945">
        <v>36.94</v>
      </c>
      <c r="CF53" s="945">
        <v>37.075000000000003</v>
      </c>
      <c r="CG53" s="945">
        <v>37.209999999999994</v>
      </c>
      <c r="CH53" s="945">
        <v>37.344999999999999</v>
      </c>
      <c r="CI53" s="945">
        <v>37.475000000000001</v>
      </c>
      <c r="CJ53" s="945">
        <v>37.61</v>
      </c>
      <c r="CK53" s="945">
        <v>37.734999999999999</v>
      </c>
      <c r="CL53" s="945">
        <v>37.870000000000005</v>
      </c>
      <c r="CM53" s="945">
        <v>37.995000000000005</v>
      </c>
      <c r="CN53" s="945">
        <v>38.125</v>
      </c>
      <c r="CO53" s="945">
        <v>38.25</v>
      </c>
      <c r="CP53" s="945">
        <v>38.379999999999995</v>
      </c>
      <c r="CQ53" s="945">
        <v>38.5</v>
      </c>
      <c r="CR53" s="945">
        <v>38.625</v>
      </c>
      <c r="CS53" s="945">
        <v>38.75</v>
      </c>
      <c r="CT53" s="945">
        <v>38.875</v>
      </c>
      <c r="CU53" s="945">
        <v>38.995000000000005</v>
      </c>
      <c r="CV53" s="945">
        <v>39.120000000000005</v>
      </c>
      <c r="CW53" s="945">
        <v>39.234999999999999</v>
      </c>
      <c r="CX53" s="945">
        <v>39.36</v>
      </c>
      <c r="CY53" s="945">
        <v>39.475000000000001</v>
      </c>
      <c r="CZ53" s="945">
        <v>39.594999999999999</v>
      </c>
      <c r="DA53" s="945">
        <v>39.709999999999994</v>
      </c>
      <c r="DB53" s="945">
        <v>39.825000000000003</v>
      </c>
      <c r="DC53" s="945">
        <v>39.94</v>
      </c>
      <c r="DD53" s="945">
        <v>40.055</v>
      </c>
      <c r="DE53" s="945">
        <v>40.165000000000006</v>
      </c>
      <c r="DF53" s="945">
        <v>40.28</v>
      </c>
      <c r="DG53" s="945">
        <v>40.394999999999996</v>
      </c>
      <c r="DH53" s="945">
        <v>40.504999999999995</v>
      </c>
      <c r="DI53" s="945">
        <v>40.615000000000002</v>
      </c>
      <c r="DJ53" s="945">
        <v>40.72</v>
      </c>
      <c r="DK53" s="945">
        <v>40.835000000000001</v>
      </c>
      <c r="DL53" s="945">
        <v>40.94</v>
      </c>
      <c r="DM53" s="945">
        <v>41.05</v>
      </c>
      <c r="DN53" s="945">
        <v>41.15</v>
      </c>
      <c r="DO53" s="945">
        <v>41.255000000000003</v>
      </c>
      <c r="DP53" s="945">
        <v>41.36</v>
      </c>
      <c r="DQ53" s="945">
        <v>41.465000000000003</v>
      </c>
      <c r="DR53" s="945">
        <v>41.564999999999998</v>
      </c>
    </row>
    <row r="54" spans="1:122" s="131" customFormat="1" ht="12.75">
      <c r="A54" s="949">
        <v>52</v>
      </c>
      <c r="B54" s="945"/>
      <c r="C54" s="945"/>
      <c r="D54" s="945"/>
      <c r="E54" s="945"/>
      <c r="F54" s="945"/>
      <c r="G54" s="945"/>
      <c r="H54" s="945"/>
      <c r="I54" s="945"/>
      <c r="J54" s="945"/>
      <c r="K54" s="945"/>
      <c r="L54" s="945"/>
      <c r="M54" s="945"/>
      <c r="N54" s="945"/>
      <c r="O54" s="945"/>
      <c r="P54" s="945"/>
      <c r="Q54" s="945"/>
      <c r="R54" s="945"/>
      <c r="S54" s="945"/>
      <c r="T54" s="945"/>
      <c r="U54" s="945"/>
      <c r="V54" s="945"/>
      <c r="W54" s="945">
        <v>26.92</v>
      </c>
      <c r="X54" s="945">
        <v>27.130000000000003</v>
      </c>
      <c r="Y54" s="945">
        <v>27.28</v>
      </c>
      <c r="Z54" s="945">
        <v>27.5</v>
      </c>
      <c r="AA54" s="945">
        <v>27.68</v>
      </c>
      <c r="AB54" s="945">
        <v>27.855</v>
      </c>
      <c r="AC54" s="945">
        <v>27.97</v>
      </c>
      <c r="AD54" s="945">
        <v>28.015000000000001</v>
      </c>
      <c r="AE54" s="945">
        <v>28.184999999999999</v>
      </c>
      <c r="AF54" s="945">
        <v>28.38</v>
      </c>
      <c r="AG54" s="945">
        <v>28.594999999999999</v>
      </c>
      <c r="AH54" s="945">
        <v>28.82</v>
      </c>
      <c r="AI54" s="945">
        <v>29.04</v>
      </c>
      <c r="AJ54" s="945">
        <v>29.3</v>
      </c>
      <c r="AK54" s="945">
        <v>29.555</v>
      </c>
      <c r="AL54" s="945">
        <v>29.85</v>
      </c>
      <c r="AM54" s="945">
        <v>30.119999999999997</v>
      </c>
      <c r="AN54" s="945">
        <v>30.32</v>
      </c>
      <c r="AO54" s="945">
        <v>30.48</v>
      </c>
      <c r="AP54" s="945">
        <v>30.63</v>
      </c>
      <c r="AQ54" s="945">
        <v>30.740000000000002</v>
      </c>
      <c r="AR54" s="945">
        <v>30.875</v>
      </c>
      <c r="AS54" s="945">
        <v>30.934999999999999</v>
      </c>
      <c r="AT54" s="945">
        <v>30.97</v>
      </c>
      <c r="AU54" s="945">
        <v>31.045000000000002</v>
      </c>
      <c r="AV54" s="945">
        <v>31.114999999999998</v>
      </c>
      <c r="AW54" s="945">
        <v>31.325000000000003</v>
      </c>
      <c r="AX54" s="945">
        <v>31.41</v>
      </c>
      <c r="AY54" s="945">
        <v>31.524999999999999</v>
      </c>
      <c r="AZ54" s="945">
        <v>31.64</v>
      </c>
      <c r="BA54" s="945">
        <v>31.745000000000001</v>
      </c>
      <c r="BB54" s="945">
        <v>31.86</v>
      </c>
      <c r="BC54" s="945">
        <v>31.984999999999999</v>
      </c>
      <c r="BD54" s="945">
        <v>32.105000000000004</v>
      </c>
      <c r="BE54" s="945">
        <v>32.244999999999997</v>
      </c>
      <c r="BF54" s="945">
        <v>32.39</v>
      </c>
      <c r="BG54" s="945">
        <v>32.534999999999997</v>
      </c>
      <c r="BH54" s="945">
        <v>32.700000000000003</v>
      </c>
      <c r="BI54" s="945">
        <v>32.840000000000003</v>
      </c>
      <c r="BJ54" s="945">
        <v>32.99</v>
      </c>
      <c r="BK54" s="945">
        <v>33.14</v>
      </c>
      <c r="BL54" s="945">
        <v>33.31</v>
      </c>
      <c r="BM54" s="945">
        <v>33.46</v>
      </c>
      <c r="BN54" s="945">
        <v>33.619999999999997</v>
      </c>
      <c r="BO54" s="945">
        <v>33.765000000000001</v>
      </c>
      <c r="BP54" s="945">
        <v>33.914999999999999</v>
      </c>
      <c r="BQ54" s="945">
        <v>34.06</v>
      </c>
      <c r="BR54" s="945">
        <v>34.204999999999998</v>
      </c>
      <c r="BS54" s="945">
        <v>34.35</v>
      </c>
      <c r="BT54" s="946">
        <v>34.495000000000005</v>
      </c>
      <c r="BU54" s="945">
        <v>34.635000000000005</v>
      </c>
      <c r="BV54" s="945">
        <v>34.774999999999999</v>
      </c>
      <c r="BW54" s="945">
        <v>34.92</v>
      </c>
      <c r="BX54" s="945">
        <v>35.06</v>
      </c>
      <c r="BY54" s="945">
        <v>35.200000000000003</v>
      </c>
      <c r="BZ54" s="945">
        <v>35.335000000000001</v>
      </c>
      <c r="CA54" s="945">
        <v>35.475000000000001</v>
      </c>
      <c r="CB54" s="945">
        <v>35.61</v>
      </c>
      <c r="CC54" s="945">
        <v>35.745000000000005</v>
      </c>
      <c r="CD54" s="945">
        <v>35.879999999999995</v>
      </c>
      <c r="CE54" s="945">
        <v>36.015000000000001</v>
      </c>
      <c r="CF54" s="945">
        <v>36.150000000000006</v>
      </c>
      <c r="CG54" s="945">
        <v>36.284999999999997</v>
      </c>
      <c r="CH54" s="945">
        <v>36.42</v>
      </c>
      <c r="CI54" s="945">
        <v>36.549999999999997</v>
      </c>
      <c r="CJ54" s="945">
        <v>36.68</v>
      </c>
      <c r="CK54" s="945">
        <v>36.81</v>
      </c>
      <c r="CL54" s="945">
        <v>36.935000000000002</v>
      </c>
      <c r="CM54" s="945">
        <v>37.06</v>
      </c>
      <c r="CN54" s="945">
        <v>37.195</v>
      </c>
      <c r="CO54" s="945">
        <v>37.32</v>
      </c>
      <c r="CP54" s="945">
        <v>37.445</v>
      </c>
      <c r="CQ54" s="945">
        <v>37.564999999999998</v>
      </c>
      <c r="CR54" s="945">
        <v>37.69</v>
      </c>
      <c r="CS54" s="945">
        <v>37.814999999999998</v>
      </c>
      <c r="CT54" s="945">
        <v>37.935000000000002</v>
      </c>
      <c r="CU54" s="945">
        <v>38.055</v>
      </c>
      <c r="CV54" s="945">
        <v>38.174999999999997</v>
      </c>
      <c r="CW54" s="945">
        <v>38.299999999999997</v>
      </c>
      <c r="CX54" s="945">
        <v>38.414999999999999</v>
      </c>
      <c r="CY54" s="945">
        <v>38.534999999999997</v>
      </c>
      <c r="CZ54" s="945">
        <v>38.650000000000006</v>
      </c>
      <c r="DA54" s="945">
        <v>38.765000000000001</v>
      </c>
      <c r="DB54" s="945">
        <v>38.879999999999995</v>
      </c>
      <c r="DC54" s="945">
        <v>38.989999999999995</v>
      </c>
      <c r="DD54" s="945">
        <v>39.105000000000004</v>
      </c>
      <c r="DE54" s="945">
        <v>39.22</v>
      </c>
      <c r="DF54" s="945">
        <v>39.33</v>
      </c>
      <c r="DG54" s="945">
        <v>39.445</v>
      </c>
      <c r="DH54" s="945">
        <v>39.555</v>
      </c>
      <c r="DI54" s="945">
        <v>39.659999999999997</v>
      </c>
      <c r="DJ54" s="945">
        <v>39.769999999999996</v>
      </c>
      <c r="DK54" s="945">
        <v>39.875</v>
      </c>
      <c r="DL54" s="945">
        <v>39.984999999999999</v>
      </c>
      <c r="DM54" s="945">
        <v>40.090000000000003</v>
      </c>
      <c r="DN54" s="945">
        <v>40.195</v>
      </c>
      <c r="DO54" s="945">
        <v>40.299999999999997</v>
      </c>
      <c r="DP54" s="945">
        <v>40.405000000000001</v>
      </c>
      <c r="DQ54" s="945">
        <v>40.510000000000005</v>
      </c>
      <c r="DR54" s="945">
        <v>40.605000000000004</v>
      </c>
    </row>
    <row r="55" spans="1:122" s="131" customFormat="1" ht="12.75">
      <c r="A55" s="949">
        <v>53</v>
      </c>
      <c r="B55" s="945"/>
      <c r="C55" s="945"/>
      <c r="D55" s="945"/>
      <c r="E55" s="945"/>
      <c r="F55" s="945"/>
      <c r="G55" s="945"/>
      <c r="H55" s="945"/>
      <c r="I55" s="945"/>
      <c r="J55" s="945"/>
      <c r="K55" s="945"/>
      <c r="L55" s="945"/>
      <c r="M55" s="945"/>
      <c r="N55" s="945"/>
      <c r="O55" s="945"/>
      <c r="P55" s="945"/>
      <c r="Q55" s="945"/>
      <c r="R55" s="945"/>
      <c r="S55" s="945"/>
      <c r="T55" s="945"/>
      <c r="U55" s="945"/>
      <c r="V55" s="945"/>
      <c r="W55" s="945">
        <v>26.1</v>
      </c>
      <c r="X55" s="945">
        <v>26.314999999999998</v>
      </c>
      <c r="Y55" s="945">
        <v>26.46</v>
      </c>
      <c r="Z55" s="945">
        <v>26.68</v>
      </c>
      <c r="AA55" s="945">
        <v>26.85</v>
      </c>
      <c r="AB55" s="945">
        <v>27.03</v>
      </c>
      <c r="AC55" s="945">
        <v>27.15</v>
      </c>
      <c r="AD55" s="945">
        <v>27.189999999999998</v>
      </c>
      <c r="AE55" s="945">
        <v>27.36</v>
      </c>
      <c r="AF55" s="945">
        <v>27.555</v>
      </c>
      <c r="AG55" s="945">
        <v>27.770000000000003</v>
      </c>
      <c r="AH55" s="945">
        <v>27.994999999999997</v>
      </c>
      <c r="AI55" s="945">
        <v>28.204999999999998</v>
      </c>
      <c r="AJ55" s="945">
        <v>28.465</v>
      </c>
      <c r="AK55" s="945">
        <v>28.72</v>
      </c>
      <c r="AL55" s="945">
        <v>29.009999999999998</v>
      </c>
      <c r="AM55" s="945">
        <v>29.27</v>
      </c>
      <c r="AN55" s="945">
        <v>29.484999999999999</v>
      </c>
      <c r="AO55" s="945">
        <v>29.634999999999998</v>
      </c>
      <c r="AP55" s="945">
        <v>29.779999999999998</v>
      </c>
      <c r="AQ55" s="945">
        <v>29.895</v>
      </c>
      <c r="AR55" s="945">
        <v>30.03</v>
      </c>
      <c r="AS55" s="945">
        <v>30.085000000000001</v>
      </c>
      <c r="AT55" s="945">
        <v>30.119999999999997</v>
      </c>
      <c r="AU55" s="945">
        <v>30.19</v>
      </c>
      <c r="AV55" s="945">
        <v>30.254999999999999</v>
      </c>
      <c r="AW55" s="945">
        <v>30.465000000000003</v>
      </c>
      <c r="AX55" s="945">
        <v>30.544999999999998</v>
      </c>
      <c r="AY55" s="945">
        <v>30.664999999999999</v>
      </c>
      <c r="AZ55" s="945">
        <v>30.775000000000002</v>
      </c>
      <c r="BA55" s="945">
        <v>30.875</v>
      </c>
      <c r="BB55" s="945">
        <v>30.995000000000001</v>
      </c>
      <c r="BC55" s="945">
        <v>31.119999999999997</v>
      </c>
      <c r="BD55" s="945">
        <v>31.240000000000002</v>
      </c>
      <c r="BE55" s="945">
        <v>31.375</v>
      </c>
      <c r="BF55" s="945">
        <v>31.515000000000001</v>
      </c>
      <c r="BG55" s="945">
        <v>31.655000000000001</v>
      </c>
      <c r="BH55" s="945">
        <v>31.824999999999999</v>
      </c>
      <c r="BI55" s="945">
        <v>31.96</v>
      </c>
      <c r="BJ55" s="945">
        <v>32.11</v>
      </c>
      <c r="BK55" s="945">
        <v>32.255000000000003</v>
      </c>
      <c r="BL55" s="945">
        <v>32.424999999999997</v>
      </c>
      <c r="BM55" s="945">
        <v>32.57</v>
      </c>
      <c r="BN55" s="945">
        <v>32.725000000000001</v>
      </c>
      <c r="BO55" s="945">
        <v>32.869999999999997</v>
      </c>
      <c r="BP55" s="945">
        <v>33.015000000000001</v>
      </c>
      <c r="BQ55" s="945">
        <v>33.159999999999997</v>
      </c>
      <c r="BR55" s="945">
        <v>33.305</v>
      </c>
      <c r="BS55" s="945">
        <v>33.450000000000003</v>
      </c>
      <c r="BT55" s="946">
        <v>33.590000000000003</v>
      </c>
      <c r="BU55" s="945">
        <v>33.730000000000004</v>
      </c>
      <c r="BV55" s="945">
        <v>33.875</v>
      </c>
      <c r="BW55" s="945">
        <v>34.010000000000005</v>
      </c>
      <c r="BX55" s="945">
        <v>34.15</v>
      </c>
      <c r="BY55" s="945">
        <v>34.29</v>
      </c>
      <c r="BZ55" s="945">
        <v>34.424999999999997</v>
      </c>
      <c r="CA55" s="945">
        <v>34.564999999999998</v>
      </c>
      <c r="CB55" s="945">
        <v>34.700000000000003</v>
      </c>
      <c r="CC55" s="945">
        <v>34.834999999999994</v>
      </c>
      <c r="CD55" s="945">
        <v>34.97</v>
      </c>
      <c r="CE55" s="945">
        <v>35.099999999999994</v>
      </c>
      <c r="CF55" s="945">
        <v>35.230000000000004</v>
      </c>
      <c r="CG55" s="945">
        <v>35.365000000000002</v>
      </c>
      <c r="CH55" s="945">
        <v>35.495000000000005</v>
      </c>
      <c r="CI55" s="945">
        <v>35.625</v>
      </c>
      <c r="CJ55" s="945">
        <v>35.754999999999995</v>
      </c>
      <c r="CK55" s="945">
        <v>35.880000000000003</v>
      </c>
      <c r="CL55" s="945">
        <v>36.010000000000005</v>
      </c>
      <c r="CM55" s="945">
        <v>36.135000000000005</v>
      </c>
      <c r="CN55" s="945">
        <v>36.260000000000005</v>
      </c>
      <c r="CO55" s="945">
        <v>36.384999999999998</v>
      </c>
      <c r="CP55" s="945">
        <v>36.51</v>
      </c>
      <c r="CQ55" s="945">
        <v>36.634999999999998</v>
      </c>
      <c r="CR55" s="945">
        <v>36.754999999999995</v>
      </c>
      <c r="CS55" s="945">
        <v>36.879999999999995</v>
      </c>
      <c r="CT55" s="945">
        <v>37</v>
      </c>
      <c r="CU55" s="945">
        <v>37.119999999999997</v>
      </c>
      <c r="CV55" s="945">
        <v>37.239999999999995</v>
      </c>
      <c r="CW55" s="945">
        <v>37.355000000000004</v>
      </c>
      <c r="CX55" s="945">
        <v>37.474999999999994</v>
      </c>
      <c r="CY55" s="945">
        <v>37.590000000000003</v>
      </c>
      <c r="CZ55" s="945">
        <v>37.704999999999998</v>
      </c>
      <c r="DA55" s="945">
        <v>37.825000000000003</v>
      </c>
      <c r="DB55" s="945">
        <v>37.94</v>
      </c>
      <c r="DC55" s="945">
        <v>38.049999999999997</v>
      </c>
      <c r="DD55" s="945">
        <v>38.164999999999999</v>
      </c>
      <c r="DE55" s="945">
        <v>38.275000000000006</v>
      </c>
      <c r="DF55" s="945">
        <v>38.385000000000005</v>
      </c>
      <c r="DG55" s="945">
        <v>38.494999999999997</v>
      </c>
      <c r="DH55" s="945">
        <v>38.605000000000004</v>
      </c>
      <c r="DI55" s="945">
        <v>38.715000000000003</v>
      </c>
      <c r="DJ55" s="945">
        <v>38.825000000000003</v>
      </c>
      <c r="DK55" s="945">
        <v>38.93</v>
      </c>
      <c r="DL55" s="945">
        <v>39.03</v>
      </c>
      <c r="DM55" s="945">
        <v>39.14</v>
      </c>
      <c r="DN55" s="945">
        <v>39.245000000000005</v>
      </c>
      <c r="DO55" s="945">
        <v>39.344999999999999</v>
      </c>
      <c r="DP55" s="945">
        <v>39.450000000000003</v>
      </c>
      <c r="DQ55" s="945">
        <v>39.549999999999997</v>
      </c>
      <c r="DR55" s="945">
        <v>39.655000000000001</v>
      </c>
    </row>
    <row r="56" spans="1:122" s="131" customFormat="1" ht="12.75">
      <c r="A56" s="949">
        <v>54</v>
      </c>
      <c r="B56" s="945"/>
      <c r="C56" s="945"/>
      <c r="D56" s="945"/>
      <c r="E56" s="945"/>
      <c r="F56" s="945"/>
      <c r="G56" s="945"/>
      <c r="H56" s="945"/>
      <c r="I56" s="945"/>
      <c r="J56" s="945"/>
      <c r="K56" s="945"/>
      <c r="L56" s="945"/>
      <c r="M56" s="945"/>
      <c r="N56" s="945"/>
      <c r="O56" s="945"/>
      <c r="P56" s="945"/>
      <c r="Q56" s="945"/>
      <c r="R56" s="945"/>
      <c r="S56" s="945"/>
      <c r="T56" s="945"/>
      <c r="U56" s="945"/>
      <c r="V56" s="945"/>
      <c r="W56" s="945">
        <v>25.29</v>
      </c>
      <c r="X56" s="945">
        <v>25.505000000000003</v>
      </c>
      <c r="Y56" s="945">
        <v>25.65</v>
      </c>
      <c r="Z56" s="945">
        <v>25.87</v>
      </c>
      <c r="AA56" s="945">
        <v>26.04</v>
      </c>
      <c r="AB56" s="945">
        <v>26.215</v>
      </c>
      <c r="AC56" s="945">
        <v>26.335000000000001</v>
      </c>
      <c r="AD56" s="945">
        <v>26.375</v>
      </c>
      <c r="AE56" s="945">
        <v>26.545000000000002</v>
      </c>
      <c r="AF56" s="945">
        <v>26.740000000000002</v>
      </c>
      <c r="AG56" s="945">
        <v>26.945</v>
      </c>
      <c r="AH56" s="945">
        <v>27.17</v>
      </c>
      <c r="AI56" s="945">
        <v>27.38</v>
      </c>
      <c r="AJ56" s="945">
        <v>27.64</v>
      </c>
      <c r="AK56" s="945">
        <v>27.89</v>
      </c>
      <c r="AL56" s="945">
        <v>28.18</v>
      </c>
      <c r="AM56" s="945">
        <v>28.445</v>
      </c>
      <c r="AN56" s="945">
        <v>28.65</v>
      </c>
      <c r="AO56" s="945">
        <v>28.8</v>
      </c>
      <c r="AP56" s="945">
        <v>28.934999999999999</v>
      </c>
      <c r="AQ56" s="945">
        <v>29.049999999999997</v>
      </c>
      <c r="AR56" s="945">
        <v>29.185000000000002</v>
      </c>
      <c r="AS56" s="945">
        <v>29.234999999999999</v>
      </c>
      <c r="AT56" s="945">
        <v>29.270000000000003</v>
      </c>
      <c r="AU56" s="945">
        <v>29.335000000000001</v>
      </c>
      <c r="AV56" s="945">
        <v>29.405000000000001</v>
      </c>
      <c r="AW56" s="945">
        <v>29.604999999999997</v>
      </c>
      <c r="AX56" s="945">
        <v>29.685000000000002</v>
      </c>
      <c r="AY56" s="945">
        <v>29.805</v>
      </c>
      <c r="AZ56" s="945">
        <v>29.914999999999999</v>
      </c>
      <c r="BA56" s="945">
        <v>30.020000000000003</v>
      </c>
      <c r="BB56" s="945">
        <v>30.130000000000003</v>
      </c>
      <c r="BC56" s="945">
        <v>30.255000000000003</v>
      </c>
      <c r="BD56" s="945">
        <v>30.369999999999997</v>
      </c>
      <c r="BE56" s="945">
        <v>30.505000000000003</v>
      </c>
      <c r="BF56" s="945">
        <v>30.645</v>
      </c>
      <c r="BG56" s="945">
        <v>30.79</v>
      </c>
      <c r="BH56" s="945">
        <v>30.95</v>
      </c>
      <c r="BI56" s="945">
        <v>31.085000000000001</v>
      </c>
      <c r="BJ56" s="945">
        <v>31.240000000000002</v>
      </c>
      <c r="BK56" s="945">
        <v>31.380000000000003</v>
      </c>
      <c r="BL56" s="945">
        <v>31.545000000000002</v>
      </c>
      <c r="BM56" s="945">
        <v>31.684999999999999</v>
      </c>
      <c r="BN56" s="945">
        <v>31.84</v>
      </c>
      <c r="BO56" s="945">
        <v>31.979999999999997</v>
      </c>
      <c r="BP56" s="945">
        <v>32.125</v>
      </c>
      <c r="BQ56" s="945">
        <v>32.265000000000001</v>
      </c>
      <c r="BR56" s="945">
        <v>32.409999999999997</v>
      </c>
      <c r="BS56" s="945">
        <v>32.555</v>
      </c>
      <c r="BT56" s="946">
        <v>32.69</v>
      </c>
      <c r="BU56" s="945">
        <v>32.835000000000001</v>
      </c>
      <c r="BV56" s="945">
        <v>32.97</v>
      </c>
      <c r="BW56" s="945">
        <v>33.11</v>
      </c>
      <c r="BX56" s="945">
        <v>33.244999999999997</v>
      </c>
      <c r="BY56" s="945">
        <v>33.385000000000005</v>
      </c>
      <c r="BZ56" s="945">
        <v>33.524999999999999</v>
      </c>
      <c r="CA56" s="945">
        <v>33.655000000000001</v>
      </c>
      <c r="CB56" s="945">
        <v>33.79</v>
      </c>
      <c r="CC56" s="945">
        <v>33.924999999999997</v>
      </c>
      <c r="CD56" s="945">
        <v>34.06</v>
      </c>
      <c r="CE56" s="945">
        <v>34.185000000000002</v>
      </c>
      <c r="CF56" s="945">
        <v>34.32</v>
      </c>
      <c r="CG56" s="945">
        <v>34.450000000000003</v>
      </c>
      <c r="CH56" s="945">
        <v>34.58</v>
      </c>
      <c r="CI56" s="945">
        <v>34.71</v>
      </c>
      <c r="CJ56" s="945">
        <v>34.835000000000001</v>
      </c>
      <c r="CK56" s="945">
        <v>34.965000000000003</v>
      </c>
      <c r="CL56" s="945">
        <v>35.090000000000003</v>
      </c>
      <c r="CM56" s="945">
        <v>35.215000000000003</v>
      </c>
      <c r="CN56" s="945">
        <v>35.340000000000003</v>
      </c>
      <c r="CO56" s="945">
        <v>35.465000000000003</v>
      </c>
      <c r="CP56" s="945">
        <v>35.585000000000001</v>
      </c>
      <c r="CQ56" s="945">
        <v>35.71</v>
      </c>
      <c r="CR56" s="945">
        <v>35.83</v>
      </c>
      <c r="CS56" s="945">
        <v>35.950000000000003</v>
      </c>
      <c r="CT56" s="945">
        <v>36.07</v>
      </c>
      <c r="CU56" s="945">
        <v>36.19</v>
      </c>
      <c r="CV56" s="945">
        <v>36.305</v>
      </c>
      <c r="CW56" s="945">
        <v>36.42</v>
      </c>
      <c r="CX56" s="945">
        <v>36.540000000000006</v>
      </c>
      <c r="CY56" s="945">
        <v>36.655000000000001</v>
      </c>
      <c r="CZ56" s="945">
        <v>36.769999999999996</v>
      </c>
      <c r="DA56" s="945">
        <v>36.884999999999998</v>
      </c>
      <c r="DB56" s="945">
        <v>36.995000000000005</v>
      </c>
      <c r="DC56" s="945">
        <v>37.11</v>
      </c>
      <c r="DD56" s="945">
        <v>37.22</v>
      </c>
      <c r="DE56" s="945">
        <v>37.334999999999994</v>
      </c>
      <c r="DF56" s="945">
        <v>37.445</v>
      </c>
      <c r="DG56" s="945">
        <v>37.549999999999997</v>
      </c>
      <c r="DH56" s="945">
        <v>37.659999999999997</v>
      </c>
      <c r="DI56" s="945">
        <v>37.765000000000001</v>
      </c>
      <c r="DJ56" s="945">
        <v>37.875</v>
      </c>
      <c r="DK56" s="945">
        <v>37.980000000000004</v>
      </c>
      <c r="DL56" s="945">
        <v>38.085000000000001</v>
      </c>
      <c r="DM56" s="945">
        <v>38.19</v>
      </c>
      <c r="DN56" s="945">
        <v>38.295000000000002</v>
      </c>
      <c r="DO56" s="945">
        <v>38.400000000000006</v>
      </c>
      <c r="DP56" s="945">
        <v>38.5</v>
      </c>
      <c r="DQ56" s="945">
        <v>38.6</v>
      </c>
      <c r="DR56" s="945">
        <v>38.700000000000003</v>
      </c>
    </row>
    <row r="57" spans="1:122" s="131" customFormat="1" ht="12.75">
      <c r="A57" s="949">
        <v>55</v>
      </c>
      <c r="B57" s="945"/>
      <c r="C57" s="945"/>
      <c r="D57" s="945"/>
      <c r="E57" s="945"/>
      <c r="F57" s="945"/>
      <c r="G57" s="945"/>
      <c r="H57" s="945"/>
      <c r="I57" s="945"/>
      <c r="J57" s="945"/>
      <c r="K57" s="945"/>
      <c r="L57" s="945"/>
      <c r="M57" s="945"/>
      <c r="N57" s="945"/>
      <c r="O57" s="945"/>
      <c r="P57" s="945"/>
      <c r="Q57" s="945"/>
      <c r="R57" s="945"/>
      <c r="S57" s="945"/>
      <c r="T57" s="945"/>
      <c r="U57" s="945"/>
      <c r="V57" s="945"/>
      <c r="W57" s="945">
        <v>24.490000000000002</v>
      </c>
      <c r="X57" s="945">
        <v>24.7</v>
      </c>
      <c r="Y57" s="945">
        <v>24.84</v>
      </c>
      <c r="Z57" s="945">
        <v>25.060000000000002</v>
      </c>
      <c r="AA57" s="945">
        <v>25.225000000000001</v>
      </c>
      <c r="AB57" s="945">
        <v>25.41</v>
      </c>
      <c r="AC57" s="945">
        <v>25.52</v>
      </c>
      <c r="AD57" s="945">
        <v>25.564999999999998</v>
      </c>
      <c r="AE57" s="945">
        <v>25.734999999999999</v>
      </c>
      <c r="AF57" s="945">
        <v>25.924999999999997</v>
      </c>
      <c r="AG57" s="945">
        <v>26.14</v>
      </c>
      <c r="AH57" s="945">
        <v>26.355</v>
      </c>
      <c r="AI57" s="945">
        <v>26.565000000000001</v>
      </c>
      <c r="AJ57" s="945">
        <v>26.814999999999998</v>
      </c>
      <c r="AK57" s="945">
        <v>27.07</v>
      </c>
      <c r="AL57" s="945">
        <v>27.355</v>
      </c>
      <c r="AM57" s="945">
        <v>27.619999999999997</v>
      </c>
      <c r="AN57" s="945">
        <v>27.82</v>
      </c>
      <c r="AO57" s="945">
        <v>27.97</v>
      </c>
      <c r="AP57" s="945">
        <v>28.1</v>
      </c>
      <c r="AQ57" s="945">
        <v>28.22</v>
      </c>
      <c r="AR57" s="945">
        <v>28.344999999999999</v>
      </c>
      <c r="AS57" s="945">
        <v>28.39</v>
      </c>
      <c r="AT57" s="945">
        <v>28.43</v>
      </c>
      <c r="AU57" s="945">
        <v>28.494999999999997</v>
      </c>
      <c r="AV57" s="945">
        <v>28.555</v>
      </c>
      <c r="AW57" s="945">
        <v>28.759999999999998</v>
      </c>
      <c r="AX57" s="945">
        <v>28.835000000000001</v>
      </c>
      <c r="AY57" s="945">
        <v>28.95</v>
      </c>
      <c r="AZ57" s="945">
        <v>29.060000000000002</v>
      </c>
      <c r="BA57" s="945">
        <v>29.16</v>
      </c>
      <c r="BB57" s="945">
        <v>29.265000000000001</v>
      </c>
      <c r="BC57" s="945">
        <v>29.39</v>
      </c>
      <c r="BD57" s="945">
        <v>29.509999999999998</v>
      </c>
      <c r="BE57" s="945">
        <v>29.645</v>
      </c>
      <c r="BF57" s="945">
        <v>29.79</v>
      </c>
      <c r="BG57" s="945">
        <v>29.925000000000001</v>
      </c>
      <c r="BH57" s="945">
        <v>30.090000000000003</v>
      </c>
      <c r="BI57" s="945">
        <v>30.22</v>
      </c>
      <c r="BJ57" s="945">
        <v>30.37</v>
      </c>
      <c r="BK57" s="945">
        <v>30.515000000000001</v>
      </c>
      <c r="BL57" s="945">
        <v>30.664999999999999</v>
      </c>
      <c r="BM57" s="945">
        <v>30.814999999999998</v>
      </c>
      <c r="BN57" s="945">
        <v>30.96</v>
      </c>
      <c r="BO57" s="945">
        <v>31.1</v>
      </c>
      <c r="BP57" s="945">
        <v>31.240000000000002</v>
      </c>
      <c r="BQ57" s="945">
        <v>31.384999999999998</v>
      </c>
      <c r="BR57" s="945">
        <v>31.524999999999999</v>
      </c>
      <c r="BS57" s="945">
        <v>31.659999999999997</v>
      </c>
      <c r="BT57" s="946">
        <v>31.805</v>
      </c>
      <c r="BU57" s="945">
        <v>31.939999999999998</v>
      </c>
      <c r="BV57" s="945">
        <v>32.08</v>
      </c>
      <c r="BW57" s="945">
        <v>32.215000000000003</v>
      </c>
      <c r="BX57" s="945">
        <v>32.35</v>
      </c>
      <c r="BY57" s="945">
        <v>32.484999999999999</v>
      </c>
      <c r="BZ57" s="945">
        <v>32.619999999999997</v>
      </c>
      <c r="CA57" s="945">
        <v>32.755000000000003</v>
      </c>
      <c r="CB57" s="945">
        <v>32.884999999999998</v>
      </c>
      <c r="CC57" s="945">
        <v>33.019999999999996</v>
      </c>
      <c r="CD57" s="945">
        <v>33.15</v>
      </c>
      <c r="CE57" s="945">
        <v>33.284999999999997</v>
      </c>
      <c r="CF57" s="945">
        <v>33.409999999999997</v>
      </c>
      <c r="CG57" s="945">
        <v>33.54</v>
      </c>
      <c r="CH57" s="945">
        <v>33.67</v>
      </c>
      <c r="CI57" s="945">
        <v>33.799999999999997</v>
      </c>
      <c r="CJ57" s="945">
        <v>33.924999999999997</v>
      </c>
      <c r="CK57" s="945">
        <v>34.049999999999997</v>
      </c>
      <c r="CL57" s="945">
        <v>34.174999999999997</v>
      </c>
      <c r="CM57" s="945">
        <v>34.295000000000002</v>
      </c>
      <c r="CN57" s="945">
        <v>34.42</v>
      </c>
      <c r="CO57" s="945">
        <v>34.545000000000002</v>
      </c>
      <c r="CP57" s="945">
        <v>34.665000000000006</v>
      </c>
      <c r="CQ57" s="945">
        <v>34.784999999999997</v>
      </c>
      <c r="CR57" s="945">
        <v>34.905000000000001</v>
      </c>
      <c r="CS57" s="945">
        <v>35.025000000000006</v>
      </c>
      <c r="CT57" s="945">
        <v>35.145000000000003</v>
      </c>
      <c r="CU57" s="945">
        <v>35.26</v>
      </c>
      <c r="CV57" s="945">
        <v>35.375</v>
      </c>
      <c r="CW57" s="945">
        <v>35.494999999999997</v>
      </c>
      <c r="CX57" s="945">
        <v>35.61</v>
      </c>
      <c r="CY57" s="945">
        <v>35.725000000000001</v>
      </c>
      <c r="CZ57" s="945">
        <v>35.840000000000003</v>
      </c>
      <c r="DA57" s="945">
        <v>35.950000000000003</v>
      </c>
      <c r="DB57" s="945">
        <v>36.064999999999998</v>
      </c>
      <c r="DC57" s="945">
        <v>36.174999999999997</v>
      </c>
      <c r="DD57" s="945">
        <v>36.284999999999997</v>
      </c>
      <c r="DE57" s="945">
        <v>36.400000000000006</v>
      </c>
      <c r="DF57" s="945">
        <v>36.504999999999995</v>
      </c>
      <c r="DG57" s="945">
        <v>36.614999999999995</v>
      </c>
      <c r="DH57" s="945">
        <v>36.72</v>
      </c>
      <c r="DI57" s="945">
        <v>36.83</v>
      </c>
      <c r="DJ57" s="945">
        <v>36.93</v>
      </c>
      <c r="DK57" s="945">
        <v>37.034999999999997</v>
      </c>
      <c r="DL57" s="945">
        <v>37.14</v>
      </c>
      <c r="DM57" s="945">
        <v>37.245000000000005</v>
      </c>
      <c r="DN57" s="945">
        <v>37.349999999999994</v>
      </c>
      <c r="DO57" s="945">
        <v>37.450000000000003</v>
      </c>
      <c r="DP57" s="945">
        <v>37.555</v>
      </c>
      <c r="DQ57" s="945">
        <v>37.65</v>
      </c>
      <c r="DR57" s="945">
        <v>37.75</v>
      </c>
    </row>
    <row r="58" spans="1:122" s="131" customFormat="1" ht="12.75">
      <c r="A58" s="949">
        <v>56</v>
      </c>
      <c r="B58" s="945"/>
      <c r="C58" s="945"/>
      <c r="D58" s="945"/>
      <c r="E58" s="945"/>
      <c r="F58" s="945"/>
      <c r="G58" s="945"/>
      <c r="H58" s="945"/>
      <c r="I58" s="945"/>
      <c r="J58" s="945"/>
      <c r="K58" s="945"/>
      <c r="L58" s="945"/>
      <c r="M58" s="945"/>
      <c r="N58" s="945"/>
      <c r="O58" s="945"/>
      <c r="P58" s="945"/>
      <c r="Q58" s="945"/>
      <c r="R58" s="945"/>
      <c r="S58" s="945"/>
      <c r="T58" s="945"/>
      <c r="U58" s="945"/>
      <c r="V58" s="945"/>
      <c r="W58" s="945">
        <v>23.695</v>
      </c>
      <c r="X58" s="945">
        <v>23.9</v>
      </c>
      <c r="Y58" s="945">
        <v>24.04</v>
      </c>
      <c r="Z58" s="945">
        <v>24.265000000000001</v>
      </c>
      <c r="AA58" s="945">
        <v>24.425000000000001</v>
      </c>
      <c r="AB58" s="945">
        <v>24.61</v>
      </c>
      <c r="AC58" s="945">
        <v>24.725000000000001</v>
      </c>
      <c r="AD58" s="945">
        <v>24.77</v>
      </c>
      <c r="AE58" s="945">
        <v>24.935000000000002</v>
      </c>
      <c r="AF58" s="945">
        <v>25.125</v>
      </c>
      <c r="AG58" s="945">
        <v>25.33</v>
      </c>
      <c r="AH58" s="945">
        <v>25.549999999999997</v>
      </c>
      <c r="AI58" s="945">
        <v>25.754999999999999</v>
      </c>
      <c r="AJ58" s="945">
        <v>26.009999999999998</v>
      </c>
      <c r="AK58" s="945">
        <v>26.265000000000001</v>
      </c>
      <c r="AL58" s="945">
        <v>26.54</v>
      </c>
      <c r="AM58" s="945">
        <v>26.799999999999997</v>
      </c>
      <c r="AN58" s="945">
        <v>26.994999999999997</v>
      </c>
      <c r="AO58" s="945">
        <v>27.14</v>
      </c>
      <c r="AP58" s="945">
        <v>27.274999999999999</v>
      </c>
      <c r="AQ58" s="945">
        <v>27.384999999999998</v>
      </c>
      <c r="AR58" s="945">
        <v>27.5</v>
      </c>
      <c r="AS58" s="945">
        <v>27.55</v>
      </c>
      <c r="AT58" s="945">
        <v>27.594999999999999</v>
      </c>
      <c r="AU58" s="945">
        <v>27.65</v>
      </c>
      <c r="AV58" s="945">
        <v>27.715</v>
      </c>
      <c r="AW58" s="945">
        <v>27.914999999999999</v>
      </c>
      <c r="AX58" s="945">
        <v>27.984999999999999</v>
      </c>
      <c r="AY58" s="945">
        <v>28.105</v>
      </c>
      <c r="AZ58" s="945">
        <v>28.21</v>
      </c>
      <c r="BA58" s="945">
        <v>28.310000000000002</v>
      </c>
      <c r="BB58" s="945">
        <v>28.414999999999999</v>
      </c>
      <c r="BC58" s="945">
        <v>28.535</v>
      </c>
      <c r="BD58" s="945">
        <v>28.66</v>
      </c>
      <c r="BE58" s="945">
        <v>28.795000000000002</v>
      </c>
      <c r="BF58" s="945">
        <v>28.935000000000002</v>
      </c>
      <c r="BG58" s="945">
        <v>29.07</v>
      </c>
      <c r="BH58" s="945">
        <v>29.225000000000001</v>
      </c>
      <c r="BI58" s="945">
        <v>29.355</v>
      </c>
      <c r="BJ58" s="945">
        <v>29.515000000000001</v>
      </c>
      <c r="BK58" s="945">
        <v>29.645</v>
      </c>
      <c r="BL58" s="945">
        <v>29.805</v>
      </c>
      <c r="BM58" s="945">
        <v>29.945</v>
      </c>
      <c r="BN58" s="945">
        <v>30.085000000000001</v>
      </c>
      <c r="BO58" s="945">
        <v>30.225000000000001</v>
      </c>
      <c r="BP58" s="945">
        <v>30.364999999999998</v>
      </c>
      <c r="BQ58" s="945">
        <v>30.505000000000003</v>
      </c>
      <c r="BR58" s="945">
        <v>30.644999999999996</v>
      </c>
      <c r="BS58" s="945">
        <v>30.78</v>
      </c>
      <c r="BT58" s="946">
        <v>30.919999999999998</v>
      </c>
      <c r="BU58" s="945">
        <v>31.055</v>
      </c>
      <c r="BV58" s="945">
        <v>31.189999999999998</v>
      </c>
      <c r="BW58" s="945">
        <v>31.324999999999996</v>
      </c>
      <c r="BX58" s="945">
        <v>31.465</v>
      </c>
      <c r="BY58" s="945">
        <v>31.599999999999998</v>
      </c>
      <c r="BZ58" s="945">
        <v>31.73</v>
      </c>
      <c r="CA58" s="945">
        <v>31.86</v>
      </c>
      <c r="CB58" s="945">
        <v>31.99</v>
      </c>
      <c r="CC58" s="945">
        <v>32.125</v>
      </c>
      <c r="CD58" s="945">
        <v>32.255000000000003</v>
      </c>
      <c r="CE58" s="945">
        <v>32.379999999999995</v>
      </c>
      <c r="CF58" s="945">
        <v>32.51</v>
      </c>
      <c r="CG58" s="945">
        <v>32.635000000000005</v>
      </c>
      <c r="CH58" s="945">
        <v>32.760000000000005</v>
      </c>
      <c r="CI58" s="945">
        <v>32.89</v>
      </c>
      <c r="CJ58" s="945">
        <v>33.015000000000001</v>
      </c>
      <c r="CK58" s="945">
        <v>33.14</v>
      </c>
      <c r="CL58" s="945">
        <v>33.265000000000001</v>
      </c>
      <c r="CM58" s="945">
        <v>33.384999999999998</v>
      </c>
      <c r="CN58" s="945">
        <v>33.51</v>
      </c>
      <c r="CO58" s="945">
        <v>33.629999999999995</v>
      </c>
      <c r="CP58" s="945">
        <v>33.75</v>
      </c>
      <c r="CQ58" s="945">
        <v>33.869999999999997</v>
      </c>
      <c r="CR58" s="945">
        <v>33.989999999999995</v>
      </c>
      <c r="CS58" s="945">
        <v>34.105000000000004</v>
      </c>
      <c r="CT58" s="945">
        <v>34.224999999999994</v>
      </c>
      <c r="CU58" s="945">
        <v>34.340000000000003</v>
      </c>
      <c r="CV58" s="945">
        <v>34.454999999999998</v>
      </c>
      <c r="CW58" s="945">
        <v>34.57</v>
      </c>
      <c r="CX58" s="945">
        <v>34.685000000000002</v>
      </c>
      <c r="CY58" s="945">
        <v>34.799999999999997</v>
      </c>
      <c r="CZ58" s="945">
        <v>34.914999999999999</v>
      </c>
      <c r="DA58" s="945">
        <v>35.024999999999999</v>
      </c>
      <c r="DB58" s="945">
        <v>35.130000000000003</v>
      </c>
      <c r="DC58" s="945">
        <v>35.244999999999997</v>
      </c>
      <c r="DD58" s="945">
        <v>35.355000000000004</v>
      </c>
      <c r="DE58" s="945">
        <v>35.465000000000003</v>
      </c>
      <c r="DF58" s="945">
        <v>35.57</v>
      </c>
      <c r="DG58" s="945">
        <v>35.68</v>
      </c>
      <c r="DH58" s="945">
        <v>35.784999999999997</v>
      </c>
      <c r="DI58" s="945">
        <v>35.89</v>
      </c>
      <c r="DJ58" s="945">
        <v>35.994999999999997</v>
      </c>
      <c r="DK58" s="945">
        <v>36.1</v>
      </c>
      <c r="DL58" s="945">
        <v>36.200000000000003</v>
      </c>
      <c r="DM58" s="945">
        <v>36.305</v>
      </c>
      <c r="DN58" s="945">
        <v>36.405000000000001</v>
      </c>
      <c r="DO58" s="945">
        <v>36.504999999999995</v>
      </c>
      <c r="DP58" s="945">
        <v>36.61</v>
      </c>
      <c r="DQ58" s="945">
        <v>36.704999999999998</v>
      </c>
      <c r="DR58" s="945">
        <v>36.805</v>
      </c>
    </row>
    <row r="59" spans="1:122" s="131" customFormat="1" ht="12.75">
      <c r="A59" s="949">
        <v>57</v>
      </c>
      <c r="B59" s="945"/>
      <c r="C59" s="945"/>
      <c r="D59" s="945"/>
      <c r="E59" s="945"/>
      <c r="F59" s="945"/>
      <c r="G59" s="945"/>
      <c r="H59" s="945"/>
      <c r="I59" s="945"/>
      <c r="J59" s="945"/>
      <c r="K59" s="945"/>
      <c r="L59" s="945"/>
      <c r="M59" s="945"/>
      <c r="N59" s="945"/>
      <c r="O59" s="945"/>
      <c r="P59" s="945"/>
      <c r="Q59" s="945"/>
      <c r="R59" s="945"/>
      <c r="S59" s="945"/>
      <c r="T59" s="945"/>
      <c r="U59" s="945"/>
      <c r="V59" s="945"/>
      <c r="W59" s="945">
        <v>22.91</v>
      </c>
      <c r="X59" s="945">
        <v>23.115000000000002</v>
      </c>
      <c r="Y59" s="945">
        <v>23.259999999999998</v>
      </c>
      <c r="Z59" s="945">
        <v>23.48</v>
      </c>
      <c r="AA59" s="945">
        <v>23.64</v>
      </c>
      <c r="AB59" s="945">
        <v>23.824999999999999</v>
      </c>
      <c r="AC59" s="945">
        <v>23.935000000000002</v>
      </c>
      <c r="AD59" s="945">
        <v>23.98</v>
      </c>
      <c r="AE59" s="945">
        <v>24.145</v>
      </c>
      <c r="AF59" s="945">
        <v>24.335000000000001</v>
      </c>
      <c r="AG59" s="945">
        <v>24.535</v>
      </c>
      <c r="AH59" s="945">
        <v>24.755000000000003</v>
      </c>
      <c r="AI59" s="945">
        <v>24.965</v>
      </c>
      <c r="AJ59" s="945">
        <v>25.215</v>
      </c>
      <c r="AK59" s="945">
        <v>25.454999999999998</v>
      </c>
      <c r="AL59" s="945">
        <v>25.729999999999997</v>
      </c>
      <c r="AM59" s="945">
        <v>25.984999999999999</v>
      </c>
      <c r="AN59" s="945">
        <v>26.175000000000001</v>
      </c>
      <c r="AO59" s="945">
        <v>26.325000000000003</v>
      </c>
      <c r="AP59" s="945">
        <v>26.45</v>
      </c>
      <c r="AQ59" s="945">
        <v>26.560000000000002</v>
      </c>
      <c r="AR59" s="945">
        <v>26.664999999999999</v>
      </c>
      <c r="AS59" s="945">
        <v>26.72</v>
      </c>
      <c r="AT59" s="945">
        <v>26.755000000000003</v>
      </c>
      <c r="AU59" s="945">
        <v>26.814999999999998</v>
      </c>
      <c r="AV59" s="945">
        <v>26.88</v>
      </c>
      <c r="AW59" s="945">
        <v>27.07</v>
      </c>
      <c r="AX59" s="945">
        <v>27.145</v>
      </c>
      <c r="AY59" s="945">
        <v>27.259999999999998</v>
      </c>
      <c r="AZ59" s="945">
        <v>27.37</v>
      </c>
      <c r="BA59" s="945">
        <v>27.47</v>
      </c>
      <c r="BB59" s="945">
        <v>27.57</v>
      </c>
      <c r="BC59" s="945">
        <v>27.685000000000002</v>
      </c>
      <c r="BD59" s="945">
        <v>27.814999999999998</v>
      </c>
      <c r="BE59" s="945">
        <v>27.945</v>
      </c>
      <c r="BF59" s="945">
        <v>28.09</v>
      </c>
      <c r="BG59" s="945">
        <v>28.22</v>
      </c>
      <c r="BH59" s="945">
        <v>28.369999999999997</v>
      </c>
      <c r="BI59" s="945">
        <v>28.51</v>
      </c>
      <c r="BJ59" s="945">
        <v>28.66</v>
      </c>
      <c r="BK59" s="945">
        <v>28.795000000000002</v>
      </c>
      <c r="BL59" s="945">
        <v>28.939999999999998</v>
      </c>
      <c r="BM59" s="945">
        <v>29.08</v>
      </c>
      <c r="BN59" s="945">
        <v>29.22</v>
      </c>
      <c r="BO59" s="945">
        <v>29.36</v>
      </c>
      <c r="BP59" s="945">
        <v>29.5</v>
      </c>
      <c r="BQ59" s="945">
        <v>29.634999999999998</v>
      </c>
      <c r="BR59" s="945">
        <v>29.774999999999999</v>
      </c>
      <c r="BS59" s="945">
        <v>29.91</v>
      </c>
      <c r="BT59" s="946">
        <v>30.045000000000002</v>
      </c>
      <c r="BU59" s="945">
        <v>30.18</v>
      </c>
      <c r="BV59" s="945">
        <v>30.314999999999998</v>
      </c>
      <c r="BW59" s="945">
        <v>30.45</v>
      </c>
      <c r="BX59" s="945">
        <v>30.580000000000002</v>
      </c>
      <c r="BY59" s="945">
        <v>30.71</v>
      </c>
      <c r="BZ59" s="945">
        <v>30.84</v>
      </c>
      <c r="CA59" s="945">
        <v>30.974999999999998</v>
      </c>
      <c r="CB59" s="945">
        <v>31.105</v>
      </c>
      <c r="CC59" s="945">
        <v>31.23</v>
      </c>
      <c r="CD59" s="945">
        <v>31.36</v>
      </c>
      <c r="CE59" s="945">
        <v>31.484999999999999</v>
      </c>
      <c r="CF59" s="945">
        <v>31.615000000000002</v>
      </c>
      <c r="CG59" s="945">
        <v>31.740000000000002</v>
      </c>
      <c r="CH59" s="945">
        <v>31.865000000000002</v>
      </c>
      <c r="CI59" s="945">
        <v>31.990000000000002</v>
      </c>
      <c r="CJ59" s="945">
        <v>32.11</v>
      </c>
      <c r="CK59" s="945">
        <v>32.234999999999999</v>
      </c>
      <c r="CL59" s="945">
        <v>32.354999999999997</v>
      </c>
      <c r="CM59" s="945">
        <v>32.479999999999997</v>
      </c>
      <c r="CN59" s="945">
        <v>32.6</v>
      </c>
      <c r="CO59" s="945">
        <v>32.724999999999994</v>
      </c>
      <c r="CP59" s="945">
        <v>32.840000000000003</v>
      </c>
      <c r="CQ59" s="945">
        <v>32.96</v>
      </c>
      <c r="CR59" s="945">
        <v>33.075000000000003</v>
      </c>
      <c r="CS59" s="945">
        <v>33.195</v>
      </c>
      <c r="CT59" s="945">
        <v>33.31</v>
      </c>
      <c r="CU59" s="945">
        <v>33.42</v>
      </c>
      <c r="CV59" s="945">
        <v>33.534999999999997</v>
      </c>
      <c r="CW59" s="945">
        <v>33.655000000000001</v>
      </c>
      <c r="CX59" s="945">
        <v>33.765000000000001</v>
      </c>
      <c r="CY59" s="945">
        <v>33.879999999999995</v>
      </c>
      <c r="CZ59" s="945">
        <v>33.984999999999999</v>
      </c>
      <c r="DA59" s="945">
        <v>34.094999999999999</v>
      </c>
      <c r="DB59" s="945">
        <v>34.209999999999994</v>
      </c>
      <c r="DC59" s="945">
        <v>34.32</v>
      </c>
      <c r="DD59" s="945">
        <v>34.424999999999997</v>
      </c>
      <c r="DE59" s="945">
        <v>34.534999999999997</v>
      </c>
      <c r="DF59" s="945">
        <v>34.64</v>
      </c>
      <c r="DG59" s="945">
        <v>34.75</v>
      </c>
      <c r="DH59" s="945">
        <v>34.849999999999994</v>
      </c>
      <c r="DI59" s="945">
        <v>34.954999999999998</v>
      </c>
      <c r="DJ59" s="945">
        <v>35.06</v>
      </c>
      <c r="DK59" s="945">
        <v>35.164999999999999</v>
      </c>
      <c r="DL59" s="945">
        <v>35.265000000000001</v>
      </c>
      <c r="DM59" s="945">
        <v>35.370000000000005</v>
      </c>
      <c r="DN59" s="945">
        <v>35.47</v>
      </c>
      <c r="DO59" s="945">
        <v>35.564999999999998</v>
      </c>
      <c r="DP59" s="945">
        <v>35.664999999999999</v>
      </c>
      <c r="DQ59" s="945">
        <v>35.765000000000001</v>
      </c>
      <c r="DR59" s="945">
        <v>35.86</v>
      </c>
    </row>
    <row r="60" spans="1:122" s="131" customFormat="1" ht="12.75">
      <c r="A60" s="949">
        <v>58</v>
      </c>
      <c r="B60" s="945"/>
      <c r="C60" s="945"/>
      <c r="D60" s="945"/>
      <c r="E60" s="945"/>
      <c r="F60" s="945"/>
      <c r="G60" s="945"/>
      <c r="H60" s="945"/>
      <c r="I60" s="945"/>
      <c r="J60" s="945"/>
      <c r="K60" s="945"/>
      <c r="L60" s="945"/>
      <c r="M60" s="945"/>
      <c r="N60" s="945"/>
      <c r="O60" s="945"/>
      <c r="P60" s="945"/>
      <c r="Q60" s="945"/>
      <c r="R60" s="945"/>
      <c r="S60" s="945"/>
      <c r="T60" s="945"/>
      <c r="U60" s="945"/>
      <c r="V60" s="945"/>
      <c r="W60" s="945">
        <v>22.134999999999998</v>
      </c>
      <c r="X60" s="945">
        <v>22.34</v>
      </c>
      <c r="Y60" s="945">
        <v>22.484999999999999</v>
      </c>
      <c r="Z60" s="945">
        <v>22.7</v>
      </c>
      <c r="AA60" s="945">
        <v>22.86</v>
      </c>
      <c r="AB60" s="945">
        <v>23.035</v>
      </c>
      <c r="AC60" s="945">
        <v>23.15</v>
      </c>
      <c r="AD60" s="945">
        <v>23.195</v>
      </c>
      <c r="AE60" s="945">
        <v>23.365000000000002</v>
      </c>
      <c r="AF60" s="945">
        <v>23.549999999999997</v>
      </c>
      <c r="AG60" s="945">
        <v>23.745000000000001</v>
      </c>
      <c r="AH60" s="945">
        <v>23.965</v>
      </c>
      <c r="AI60" s="945">
        <v>24.174999999999997</v>
      </c>
      <c r="AJ60" s="945">
        <v>24.42</v>
      </c>
      <c r="AK60" s="945">
        <v>24.66</v>
      </c>
      <c r="AL60" s="945">
        <v>24.935000000000002</v>
      </c>
      <c r="AM60" s="945">
        <v>25.185000000000002</v>
      </c>
      <c r="AN60" s="945">
        <v>25.369999999999997</v>
      </c>
      <c r="AO60" s="945">
        <v>25.509999999999998</v>
      </c>
      <c r="AP60" s="945">
        <v>25.634999999999998</v>
      </c>
      <c r="AQ60" s="945">
        <v>25.734999999999999</v>
      </c>
      <c r="AR60" s="945">
        <v>25.84</v>
      </c>
      <c r="AS60" s="945">
        <v>25.895</v>
      </c>
      <c r="AT60" s="945">
        <v>25.93</v>
      </c>
      <c r="AU60" s="945">
        <v>25.990000000000002</v>
      </c>
      <c r="AV60" s="945">
        <v>26.05</v>
      </c>
      <c r="AW60" s="945">
        <v>26.234999999999999</v>
      </c>
      <c r="AX60" s="945">
        <v>26.305</v>
      </c>
      <c r="AY60" s="945">
        <v>26.414999999999999</v>
      </c>
      <c r="AZ60" s="945">
        <v>26.53</v>
      </c>
      <c r="BA60" s="945">
        <v>26.625</v>
      </c>
      <c r="BB60" s="945">
        <v>26.73</v>
      </c>
      <c r="BC60" s="945">
        <v>26.85</v>
      </c>
      <c r="BD60" s="945">
        <v>26.975000000000001</v>
      </c>
      <c r="BE60" s="945">
        <v>27.11</v>
      </c>
      <c r="BF60" s="945">
        <v>27.25</v>
      </c>
      <c r="BG60" s="945">
        <v>27.384999999999998</v>
      </c>
      <c r="BH60" s="945">
        <v>27.524999999999999</v>
      </c>
      <c r="BI60" s="945">
        <v>27.664999999999999</v>
      </c>
      <c r="BJ60" s="945">
        <v>27.815000000000001</v>
      </c>
      <c r="BK60" s="945">
        <v>27.945</v>
      </c>
      <c r="BL60" s="945">
        <v>28.090000000000003</v>
      </c>
      <c r="BM60" s="945">
        <v>28.23</v>
      </c>
      <c r="BN60" s="945">
        <v>28.365000000000002</v>
      </c>
      <c r="BO60" s="945">
        <v>28.5</v>
      </c>
      <c r="BP60" s="945">
        <v>28.64</v>
      </c>
      <c r="BQ60" s="945">
        <v>28.774999999999999</v>
      </c>
      <c r="BR60" s="945">
        <v>28.91</v>
      </c>
      <c r="BS60" s="945">
        <v>29.04</v>
      </c>
      <c r="BT60" s="946">
        <v>29.174999999999997</v>
      </c>
      <c r="BU60" s="945">
        <v>29.315000000000001</v>
      </c>
      <c r="BV60" s="945">
        <v>29.439999999999998</v>
      </c>
      <c r="BW60" s="945">
        <v>29.57</v>
      </c>
      <c r="BX60" s="945">
        <v>29.704999999999998</v>
      </c>
      <c r="BY60" s="945">
        <v>29.835000000000001</v>
      </c>
      <c r="BZ60" s="945">
        <v>29.965</v>
      </c>
      <c r="CA60" s="945">
        <v>30.09</v>
      </c>
      <c r="CB60" s="945">
        <v>30.225000000000001</v>
      </c>
      <c r="CC60" s="945">
        <v>30.349999999999998</v>
      </c>
      <c r="CD60" s="945">
        <v>30.47</v>
      </c>
      <c r="CE60" s="945">
        <v>30.6</v>
      </c>
      <c r="CF60" s="945">
        <v>30.725000000000001</v>
      </c>
      <c r="CG60" s="945">
        <v>30.85</v>
      </c>
      <c r="CH60" s="945">
        <v>30.97</v>
      </c>
      <c r="CI60" s="945">
        <v>31.094999999999999</v>
      </c>
      <c r="CJ60" s="945">
        <v>31.215</v>
      </c>
      <c r="CK60" s="945">
        <v>31.339999999999996</v>
      </c>
      <c r="CL60" s="945">
        <v>31.46</v>
      </c>
      <c r="CM60" s="945">
        <v>31.58</v>
      </c>
      <c r="CN60" s="945">
        <v>31.7</v>
      </c>
      <c r="CO60" s="945">
        <v>31.82</v>
      </c>
      <c r="CP60" s="945">
        <v>31.934999999999999</v>
      </c>
      <c r="CQ60" s="945">
        <v>32.055</v>
      </c>
      <c r="CR60" s="945">
        <v>32.164999999999999</v>
      </c>
      <c r="CS60" s="945">
        <v>32.284999999999997</v>
      </c>
      <c r="CT60" s="945">
        <v>32.4</v>
      </c>
      <c r="CU60" s="945">
        <v>32.515000000000001</v>
      </c>
      <c r="CV60" s="945">
        <v>32.625</v>
      </c>
      <c r="CW60" s="945">
        <v>32.739999999999995</v>
      </c>
      <c r="CX60" s="945">
        <v>32.85</v>
      </c>
      <c r="CY60" s="945">
        <v>32.96</v>
      </c>
      <c r="CZ60" s="945">
        <v>33.07</v>
      </c>
      <c r="DA60" s="945">
        <v>33.18</v>
      </c>
      <c r="DB60" s="945">
        <v>33.29</v>
      </c>
      <c r="DC60" s="945">
        <v>33.400000000000006</v>
      </c>
      <c r="DD60" s="945">
        <v>33.504999999999995</v>
      </c>
      <c r="DE60" s="945">
        <v>33.61</v>
      </c>
      <c r="DF60" s="945">
        <v>33.715000000000003</v>
      </c>
      <c r="DG60" s="945">
        <v>33.82</v>
      </c>
      <c r="DH60" s="945">
        <v>33.92</v>
      </c>
      <c r="DI60" s="945">
        <v>34.03</v>
      </c>
      <c r="DJ60" s="945">
        <v>34.129999999999995</v>
      </c>
      <c r="DK60" s="945">
        <v>34.234999999999999</v>
      </c>
      <c r="DL60" s="945">
        <v>34.335000000000001</v>
      </c>
      <c r="DM60" s="945">
        <v>34.435000000000002</v>
      </c>
      <c r="DN60" s="945">
        <v>34.53</v>
      </c>
      <c r="DO60" s="945">
        <v>34.629999999999995</v>
      </c>
      <c r="DP60" s="945">
        <v>34.730000000000004</v>
      </c>
      <c r="DQ60" s="945">
        <v>34.825000000000003</v>
      </c>
      <c r="DR60" s="945">
        <v>34.924999999999997</v>
      </c>
    </row>
    <row r="61" spans="1:122" s="131" customFormat="1" ht="12.75">
      <c r="A61" s="949">
        <v>59</v>
      </c>
      <c r="B61" s="945"/>
      <c r="C61" s="945"/>
      <c r="D61" s="945"/>
      <c r="E61" s="945"/>
      <c r="F61" s="945"/>
      <c r="G61" s="945"/>
      <c r="H61" s="945"/>
      <c r="I61" s="945"/>
      <c r="J61" s="945"/>
      <c r="K61" s="945"/>
      <c r="L61" s="945"/>
      <c r="M61" s="945"/>
      <c r="N61" s="945"/>
      <c r="O61" s="945"/>
      <c r="P61" s="945"/>
      <c r="Q61" s="945"/>
      <c r="R61" s="945"/>
      <c r="S61" s="945"/>
      <c r="T61" s="945"/>
      <c r="U61" s="945"/>
      <c r="V61" s="945"/>
      <c r="W61" s="945">
        <v>21.375</v>
      </c>
      <c r="X61" s="945">
        <v>21.574999999999999</v>
      </c>
      <c r="Y61" s="945">
        <v>21.725000000000001</v>
      </c>
      <c r="Z61" s="945">
        <v>21.93</v>
      </c>
      <c r="AA61" s="945">
        <v>22.09</v>
      </c>
      <c r="AB61" s="945">
        <v>22.27</v>
      </c>
      <c r="AC61" s="945">
        <v>22.375</v>
      </c>
      <c r="AD61" s="945">
        <v>22.425000000000001</v>
      </c>
      <c r="AE61" s="945">
        <v>22.585000000000001</v>
      </c>
      <c r="AF61" s="945">
        <v>22.77</v>
      </c>
      <c r="AG61" s="945">
        <v>22.97</v>
      </c>
      <c r="AH61" s="945">
        <v>23.189999999999998</v>
      </c>
      <c r="AI61" s="945">
        <v>23.4</v>
      </c>
      <c r="AJ61" s="945">
        <v>23.64</v>
      </c>
      <c r="AK61" s="945">
        <v>23.875</v>
      </c>
      <c r="AL61" s="945">
        <v>24.14</v>
      </c>
      <c r="AM61" s="945">
        <v>24.384999999999998</v>
      </c>
      <c r="AN61" s="945">
        <v>24.56</v>
      </c>
      <c r="AO61" s="945">
        <v>24.7</v>
      </c>
      <c r="AP61" s="945">
        <v>24.82</v>
      </c>
      <c r="AQ61" s="945">
        <v>24.914999999999999</v>
      </c>
      <c r="AR61" s="945">
        <v>25.02</v>
      </c>
      <c r="AS61" s="945">
        <v>25.074999999999999</v>
      </c>
      <c r="AT61" s="945">
        <v>25.115000000000002</v>
      </c>
      <c r="AU61" s="945">
        <v>25.17</v>
      </c>
      <c r="AV61" s="945">
        <v>25.229999999999997</v>
      </c>
      <c r="AW61" s="945">
        <v>25.41</v>
      </c>
      <c r="AX61" s="945">
        <v>25.48</v>
      </c>
      <c r="AY61" s="945">
        <v>25.585000000000001</v>
      </c>
      <c r="AZ61" s="945">
        <v>25.700000000000003</v>
      </c>
      <c r="BA61" s="945">
        <v>25.795000000000002</v>
      </c>
      <c r="BB61" s="945">
        <v>25.91</v>
      </c>
      <c r="BC61" s="945">
        <v>26.024999999999999</v>
      </c>
      <c r="BD61" s="945">
        <v>26.145000000000003</v>
      </c>
      <c r="BE61" s="945">
        <v>26.274999999999999</v>
      </c>
      <c r="BF61" s="945">
        <v>26.414999999999999</v>
      </c>
      <c r="BG61" s="945">
        <v>26.555</v>
      </c>
      <c r="BH61" s="945">
        <v>26.695</v>
      </c>
      <c r="BI61" s="945">
        <v>26.835000000000001</v>
      </c>
      <c r="BJ61" s="945">
        <v>26.97</v>
      </c>
      <c r="BK61" s="945">
        <v>27.11</v>
      </c>
      <c r="BL61" s="945">
        <v>27.244999999999997</v>
      </c>
      <c r="BM61" s="945">
        <v>27.380000000000003</v>
      </c>
      <c r="BN61" s="945">
        <v>27.52</v>
      </c>
      <c r="BO61" s="945">
        <v>27.65</v>
      </c>
      <c r="BP61" s="945">
        <v>27.785</v>
      </c>
      <c r="BQ61" s="945">
        <v>27.92</v>
      </c>
      <c r="BR61" s="945">
        <v>28.049999999999997</v>
      </c>
      <c r="BS61" s="945">
        <v>28.185000000000002</v>
      </c>
      <c r="BT61" s="946">
        <v>28.315000000000001</v>
      </c>
      <c r="BU61" s="945">
        <v>28.45</v>
      </c>
      <c r="BV61" s="945">
        <v>28.58</v>
      </c>
      <c r="BW61" s="945">
        <v>28.71</v>
      </c>
      <c r="BX61" s="945">
        <v>28.835000000000001</v>
      </c>
      <c r="BY61" s="945">
        <v>28.965</v>
      </c>
      <c r="BZ61" s="945">
        <v>29.09</v>
      </c>
      <c r="CA61" s="945">
        <v>29.22</v>
      </c>
      <c r="CB61" s="945">
        <v>29.344999999999999</v>
      </c>
      <c r="CC61" s="945">
        <v>29.47</v>
      </c>
      <c r="CD61" s="945">
        <v>29.594999999999999</v>
      </c>
      <c r="CE61" s="945">
        <v>29.72</v>
      </c>
      <c r="CF61" s="945">
        <v>29.844999999999999</v>
      </c>
      <c r="CG61" s="945">
        <v>29.965</v>
      </c>
      <c r="CH61" s="945">
        <v>30.09</v>
      </c>
      <c r="CI61" s="945">
        <v>30.21</v>
      </c>
      <c r="CJ61" s="945">
        <v>30.33</v>
      </c>
      <c r="CK61" s="945">
        <v>30.445</v>
      </c>
      <c r="CL61" s="945">
        <v>30.57</v>
      </c>
      <c r="CM61" s="945">
        <v>30.69</v>
      </c>
      <c r="CN61" s="945">
        <v>30.805</v>
      </c>
      <c r="CO61" s="945">
        <v>30.92</v>
      </c>
      <c r="CP61" s="945">
        <v>31.034999999999997</v>
      </c>
      <c r="CQ61" s="945">
        <v>31.15</v>
      </c>
      <c r="CR61" s="945">
        <v>31.27</v>
      </c>
      <c r="CS61" s="945">
        <v>31.38</v>
      </c>
      <c r="CT61" s="945">
        <v>31.495000000000001</v>
      </c>
      <c r="CU61" s="945">
        <v>31.605</v>
      </c>
      <c r="CV61" s="945">
        <v>31.72</v>
      </c>
      <c r="CW61" s="945">
        <v>31.83</v>
      </c>
      <c r="CX61" s="945">
        <v>31.939999999999998</v>
      </c>
      <c r="CY61" s="945">
        <v>32.045000000000002</v>
      </c>
      <c r="CZ61" s="945">
        <v>32.155000000000001</v>
      </c>
      <c r="DA61" s="945">
        <v>32.265000000000001</v>
      </c>
      <c r="DB61" s="945">
        <v>32.370000000000005</v>
      </c>
      <c r="DC61" s="945">
        <v>32.480000000000004</v>
      </c>
      <c r="DD61" s="945">
        <v>32.585000000000001</v>
      </c>
      <c r="DE61" s="945">
        <v>32.69</v>
      </c>
      <c r="DF61" s="945">
        <v>32.795000000000002</v>
      </c>
      <c r="DG61" s="945">
        <v>32.894999999999996</v>
      </c>
      <c r="DH61" s="945">
        <v>33</v>
      </c>
      <c r="DI61" s="945">
        <v>33.1</v>
      </c>
      <c r="DJ61" s="945">
        <v>33.204999999999998</v>
      </c>
      <c r="DK61" s="945">
        <v>33.305</v>
      </c>
      <c r="DL61" s="945">
        <v>33.405000000000001</v>
      </c>
      <c r="DM61" s="945">
        <v>33.504999999999995</v>
      </c>
      <c r="DN61" s="945">
        <v>33.605000000000004</v>
      </c>
      <c r="DO61" s="945">
        <v>33.700000000000003</v>
      </c>
      <c r="DP61" s="945">
        <v>33.799999999999997</v>
      </c>
      <c r="DQ61" s="945">
        <v>33.89</v>
      </c>
      <c r="DR61" s="945">
        <v>33.989999999999995</v>
      </c>
    </row>
    <row r="62" spans="1:122" s="131" customFormat="1" ht="12.75">
      <c r="A62" s="949">
        <v>60</v>
      </c>
      <c r="B62" s="945"/>
      <c r="C62" s="945"/>
      <c r="D62" s="945"/>
      <c r="E62" s="945"/>
      <c r="F62" s="945"/>
      <c r="G62" s="945"/>
      <c r="H62" s="945"/>
      <c r="I62" s="945"/>
      <c r="J62" s="945"/>
      <c r="K62" s="945"/>
      <c r="L62" s="945"/>
      <c r="M62" s="945"/>
      <c r="N62" s="945"/>
      <c r="O62" s="945"/>
      <c r="P62" s="945"/>
      <c r="Q62" s="945"/>
      <c r="R62" s="945"/>
      <c r="S62" s="945"/>
      <c r="T62" s="945"/>
      <c r="U62" s="945"/>
      <c r="V62" s="945"/>
      <c r="W62" s="945">
        <v>20.625</v>
      </c>
      <c r="X62" s="945">
        <v>20.825000000000003</v>
      </c>
      <c r="Y62" s="945">
        <v>20.97</v>
      </c>
      <c r="Z62" s="945">
        <v>21.164999999999999</v>
      </c>
      <c r="AA62" s="945">
        <v>21.324999999999999</v>
      </c>
      <c r="AB62" s="945">
        <v>21.505000000000003</v>
      </c>
      <c r="AC62" s="945">
        <v>21.61</v>
      </c>
      <c r="AD62" s="945">
        <v>21.66</v>
      </c>
      <c r="AE62" s="945">
        <v>21.82</v>
      </c>
      <c r="AF62" s="945">
        <v>22.009999999999998</v>
      </c>
      <c r="AG62" s="945">
        <v>22.204999999999998</v>
      </c>
      <c r="AH62" s="945">
        <v>22.42</v>
      </c>
      <c r="AI62" s="945">
        <v>22.63</v>
      </c>
      <c r="AJ62" s="945">
        <v>22.86</v>
      </c>
      <c r="AK62" s="945">
        <v>23.1</v>
      </c>
      <c r="AL62" s="945">
        <v>23.36</v>
      </c>
      <c r="AM62" s="945">
        <v>23.59</v>
      </c>
      <c r="AN62" s="945">
        <v>23.759999999999998</v>
      </c>
      <c r="AO62" s="945">
        <v>23.895</v>
      </c>
      <c r="AP62" s="945">
        <v>24.005000000000003</v>
      </c>
      <c r="AQ62" s="945">
        <v>24.105</v>
      </c>
      <c r="AR62" s="945">
        <v>24.21</v>
      </c>
      <c r="AS62" s="945">
        <v>24.26</v>
      </c>
      <c r="AT62" s="945">
        <v>24.299999999999997</v>
      </c>
      <c r="AU62" s="945">
        <v>24.355</v>
      </c>
      <c r="AV62" s="945">
        <v>24.414999999999999</v>
      </c>
      <c r="AW62" s="945">
        <v>24.585000000000001</v>
      </c>
      <c r="AX62" s="945">
        <v>24.655000000000001</v>
      </c>
      <c r="AY62" s="945">
        <v>24.765000000000001</v>
      </c>
      <c r="AZ62" s="945">
        <v>24.869999999999997</v>
      </c>
      <c r="BA62" s="945">
        <v>24.97</v>
      </c>
      <c r="BB62" s="945">
        <v>25.085000000000001</v>
      </c>
      <c r="BC62" s="945">
        <v>25.204999999999998</v>
      </c>
      <c r="BD62" s="945">
        <v>25.325000000000003</v>
      </c>
      <c r="BE62" s="945">
        <v>25.46</v>
      </c>
      <c r="BF62" s="945">
        <v>25.59</v>
      </c>
      <c r="BG62" s="945">
        <v>25.729999999999997</v>
      </c>
      <c r="BH62" s="945">
        <v>25.87</v>
      </c>
      <c r="BI62" s="945">
        <v>26.005000000000003</v>
      </c>
      <c r="BJ62" s="945">
        <v>26.14</v>
      </c>
      <c r="BK62" s="945">
        <v>26.274999999999999</v>
      </c>
      <c r="BL62" s="945">
        <v>26.41</v>
      </c>
      <c r="BM62" s="945">
        <v>26.545000000000002</v>
      </c>
      <c r="BN62" s="945">
        <v>26.68</v>
      </c>
      <c r="BO62" s="945">
        <v>26.810000000000002</v>
      </c>
      <c r="BP62" s="945">
        <v>26.945</v>
      </c>
      <c r="BQ62" s="945">
        <v>27.074999999999999</v>
      </c>
      <c r="BR62" s="945">
        <v>27.204999999999998</v>
      </c>
      <c r="BS62" s="945">
        <v>27.335000000000001</v>
      </c>
      <c r="BT62" s="946">
        <v>27.465</v>
      </c>
      <c r="BU62" s="945">
        <v>27.594999999999999</v>
      </c>
      <c r="BV62" s="945">
        <v>27.725000000000001</v>
      </c>
      <c r="BW62" s="945">
        <v>27.85</v>
      </c>
      <c r="BX62" s="945">
        <v>27.975000000000001</v>
      </c>
      <c r="BY62" s="945">
        <v>28.1</v>
      </c>
      <c r="BZ62" s="945">
        <v>28.23</v>
      </c>
      <c r="CA62" s="945">
        <v>28.355</v>
      </c>
      <c r="CB62" s="945">
        <v>28.475000000000001</v>
      </c>
      <c r="CC62" s="945">
        <v>28.6</v>
      </c>
      <c r="CD62" s="945">
        <v>28.72</v>
      </c>
      <c r="CE62" s="945">
        <v>28.844999999999999</v>
      </c>
      <c r="CF62" s="945">
        <v>28.965</v>
      </c>
      <c r="CG62" s="945">
        <v>29.085000000000001</v>
      </c>
      <c r="CH62" s="945">
        <v>29.21</v>
      </c>
      <c r="CI62" s="945">
        <v>29.33</v>
      </c>
      <c r="CJ62" s="945">
        <v>29.445</v>
      </c>
      <c r="CK62" s="945">
        <v>29.564999999999998</v>
      </c>
      <c r="CL62" s="945">
        <v>29.684999999999999</v>
      </c>
      <c r="CM62" s="945">
        <v>29.8</v>
      </c>
      <c r="CN62" s="945">
        <v>29.91</v>
      </c>
      <c r="CO62" s="945">
        <v>30.03</v>
      </c>
      <c r="CP62" s="945">
        <v>30.145</v>
      </c>
      <c r="CQ62" s="945">
        <v>30.255000000000003</v>
      </c>
      <c r="CR62" s="945">
        <v>30.369999999999997</v>
      </c>
      <c r="CS62" s="945">
        <v>30.48</v>
      </c>
      <c r="CT62" s="945">
        <v>30.59</v>
      </c>
      <c r="CU62" s="945">
        <v>30.705000000000002</v>
      </c>
      <c r="CV62" s="945">
        <v>30.814999999999998</v>
      </c>
      <c r="CW62" s="945">
        <v>30.924999999999997</v>
      </c>
      <c r="CX62" s="945">
        <v>31.035</v>
      </c>
      <c r="CY62" s="945">
        <v>31.14</v>
      </c>
      <c r="CZ62" s="945">
        <v>31.25</v>
      </c>
      <c r="DA62" s="945">
        <v>31.355</v>
      </c>
      <c r="DB62" s="945">
        <v>31.46</v>
      </c>
      <c r="DC62" s="945">
        <v>31.564999999999998</v>
      </c>
      <c r="DD62" s="945">
        <v>31.675000000000001</v>
      </c>
      <c r="DE62" s="945">
        <v>31.775000000000002</v>
      </c>
      <c r="DF62" s="945">
        <v>31.875</v>
      </c>
      <c r="DG62" s="945">
        <v>31.980000000000004</v>
      </c>
      <c r="DH62" s="945">
        <v>32.08</v>
      </c>
      <c r="DI62" s="945">
        <v>32.18</v>
      </c>
      <c r="DJ62" s="945">
        <v>32.28</v>
      </c>
      <c r="DK62" s="945">
        <v>32.380000000000003</v>
      </c>
      <c r="DL62" s="945">
        <v>32.479999999999997</v>
      </c>
      <c r="DM62" s="945">
        <v>32.575000000000003</v>
      </c>
      <c r="DN62" s="945">
        <v>32.674999999999997</v>
      </c>
      <c r="DO62" s="945">
        <v>32.774999999999999</v>
      </c>
      <c r="DP62" s="945">
        <v>32.870000000000005</v>
      </c>
      <c r="DQ62" s="945">
        <v>32.965000000000003</v>
      </c>
      <c r="DR62" s="945">
        <v>33.06</v>
      </c>
    </row>
    <row r="63" spans="1:122" s="131" customFormat="1" ht="12.75">
      <c r="A63" s="949">
        <v>61</v>
      </c>
      <c r="B63" s="945"/>
      <c r="C63" s="945"/>
      <c r="D63" s="945"/>
      <c r="E63" s="945"/>
      <c r="F63" s="945"/>
      <c r="G63" s="945"/>
      <c r="H63" s="945"/>
      <c r="I63" s="945"/>
      <c r="J63" s="945"/>
      <c r="K63" s="945"/>
      <c r="L63" s="945"/>
      <c r="M63" s="945"/>
      <c r="N63" s="945"/>
      <c r="O63" s="945"/>
      <c r="P63" s="945"/>
      <c r="Q63" s="945"/>
      <c r="R63" s="945"/>
      <c r="S63" s="945"/>
      <c r="T63" s="945"/>
      <c r="U63" s="945"/>
      <c r="V63" s="945"/>
      <c r="W63" s="945">
        <v>19.880000000000003</v>
      </c>
      <c r="X63" s="945">
        <v>20.079999999999998</v>
      </c>
      <c r="Y63" s="945">
        <v>20.225000000000001</v>
      </c>
      <c r="Z63" s="945">
        <v>20.414999999999999</v>
      </c>
      <c r="AA63" s="945">
        <v>20.574999999999999</v>
      </c>
      <c r="AB63" s="945">
        <v>20.75</v>
      </c>
      <c r="AC63" s="945">
        <v>20.844999999999999</v>
      </c>
      <c r="AD63" s="945">
        <v>20.91</v>
      </c>
      <c r="AE63" s="945">
        <v>21.064999999999998</v>
      </c>
      <c r="AF63" s="945">
        <v>21.265000000000001</v>
      </c>
      <c r="AG63" s="945">
        <v>21.454999999999998</v>
      </c>
      <c r="AH63" s="945">
        <v>21.67</v>
      </c>
      <c r="AI63" s="945">
        <v>21.87</v>
      </c>
      <c r="AJ63" s="945">
        <v>22.094999999999999</v>
      </c>
      <c r="AK63" s="945">
        <v>22.33</v>
      </c>
      <c r="AL63" s="945">
        <v>22.574999999999999</v>
      </c>
      <c r="AM63" s="945">
        <v>22.805</v>
      </c>
      <c r="AN63" s="945">
        <v>22.965000000000003</v>
      </c>
      <c r="AO63" s="945">
        <v>23.1</v>
      </c>
      <c r="AP63" s="945">
        <v>23.200000000000003</v>
      </c>
      <c r="AQ63" s="945">
        <v>23.305</v>
      </c>
      <c r="AR63" s="945">
        <v>23.4</v>
      </c>
      <c r="AS63" s="945">
        <v>23.454999999999998</v>
      </c>
      <c r="AT63" s="945">
        <v>23.495000000000001</v>
      </c>
      <c r="AU63" s="945">
        <v>23.545000000000002</v>
      </c>
      <c r="AV63" s="945">
        <v>23.605</v>
      </c>
      <c r="AW63" s="945">
        <v>23.774999999999999</v>
      </c>
      <c r="AX63" s="945">
        <v>23.85</v>
      </c>
      <c r="AY63" s="945">
        <v>23.954999999999998</v>
      </c>
      <c r="AZ63" s="945">
        <v>24.06</v>
      </c>
      <c r="BA63" s="945">
        <v>24.164999999999999</v>
      </c>
      <c r="BB63" s="945">
        <v>24.274999999999999</v>
      </c>
      <c r="BC63" s="945">
        <v>24.39</v>
      </c>
      <c r="BD63" s="945">
        <v>24.52</v>
      </c>
      <c r="BE63" s="945">
        <v>24.65</v>
      </c>
      <c r="BF63" s="945">
        <v>24.78</v>
      </c>
      <c r="BG63" s="945">
        <v>24.914999999999999</v>
      </c>
      <c r="BH63" s="945">
        <v>25.049999999999997</v>
      </c>
      <c r="BI63" s="945">
        <v>25.185000000000002</v>
      </c>
      <c r="BJ63" s="945">
        <v>25.314999999999998</v>
      </c>
      <c r="BK63" s="945">
        <v>25.454999999999998</v>
      </c>
      <c r="BL63" s="945">
        <v>25.585000000000001</v>
      </c>
      <c r="BM63" s="945">
        <v>25.715000000000003</v>
      </c>
      <c r="BN63" s="945">
        <v>25.85</v>
      </c>
      <c r="BO63" s="945">
        <v>25.98</v>
      </c>
      <c r="BP63" s="945">
        <v>26.105</v>
      </c>
      <c r="BQ63" s="945">
        <v>26.234999999999999</v>
      </c>
      <c r="BR63" s="945">
        <v>26.365000000000002</v>
      </c>
      <c r="BS63" s="945">
        <v>26.490000000000002</v>
      </c>
      <c r="BT63" s="946">
        <v>26.619999999999997</v>
      </c>
      <c r="BU63" s="945">
        <v>26.75</v>
      </c>
      <c r="BV63" s="945">
        <v>26.869999999999997</v>
      </c>
      <c r="BW63" s="945">
        <v>26.995000000000001</v>
      </c>
      <c r="BX63" s="945">
        <v>27.125</v>
      </c>
      <c r="BY63" s="945">
        <v>27.244999999999997</v>
      </c>
      <c r="BZ63" s="945">
        <v>27.37</v>
      </c>
      <c r="CA63" s="945">
        <v>27.490000000000002</v>
      </c>
      <c r="CB63" s="945">
        <v>27.615000000000002</v>
      </c>
      <c r="CC63" s="945">
        <v>27.734999999999999</v>
      </c>
      <c r="CD63" s="945">
        <v>27.855</v>
      </c>
      <c r="CE63" s="945">
        <v>27.975000000000001</v>
      </c>
      <c r="CF63" s="945">
        <v>28.094999999999999</v>
      </c>
      <c r="CG63" s="945">
        <v>28.215</v>
      </c>
      <c r="CH63" s="945">
        <v>28.33</v>
      </c>
      <c r="CI63" s="945">
        <v>28.45</v>
      </c>
      <c r="CJ63" s="945">
        <v>28.564999999999998</v>
      </c>
      <c r="CK63" s="945">
        <v>28.685000000000002</v>
      </c>
      <c r="CL63" s="945">
        <v>28.8</v>
      </c>
      <c r="CM63" s="945">
        <v>28.914999999999999</v>
      </c>
      <c r="CN63" s="945">
        <v>29.03</v>
      </c>
      <c r="CO63" s="945">
        <v>29.14</v>
      </c>
      <c r="CP63" s="945">
        <v>29.255000000000003</v>
      </c>
      <c r="CQ63" s="945">
        <v>29.365000000000002</v>
      </c>
      <c r="CR63" s="945">
        <v>29.475000000000001</v>
      </c>
      <c r="CS63" s="945">
        <v>29.590000000000003</v>
      </c>
      <c r="CT63" s="945">
        <v>29.7</v>
      </c>
      <c r="CU63" s="945">
        <v>29.810000000000002</v>
      </c>
      <c r="CV63" s="945">
        <v>29.92</v>
      </c>
      <c r="CW63" s="945">
        <v>30.024999999999999</v>
      </c>
      <c r="CX63" s="945">
        <v>30.130000000000003</v>
      </c>
      <c r="CY63" s="945">
        <v>30.234999999999999</v>
      </c>
      <c r="CZ63" s="945">
        <v>30.344999999999999</v>
      </c>
      <c r="DA63" s="945">
        <v>30.450000000000003</v>
      </c>
      <c r="DB63" s="945">
        <v>30.555</v>
      </c>
      <c r="DC63" s="945">
        <v>30.66</v>
      </c>
      <c r="DD63" s="945">
        <v>30.76</v>
      </c>
      <c r="DE63" s="945">
        <v>30.86</v>
      </c>
      <c r="DF63" s="945">
        <v>30.965000000000003</v>
      </c>
      <c r="DG63" s="945">
        <v>31.064999999999998</v>
      </c>
      <c r="DH63" s="945">
        <v>31.164999999999999</v>
      </c>
      <c r="DI63" s="945">
        <v>31.265000000000001</v>
      </c>
      <c r="DJ63" s="945">
        <v>31.365000000000002</v>
      </c>
      <c r="DK63" s="945">
        <v>31.464999999999996</v>
      </c>
      <c r="DL63" s="945">
        <v>31.560000000000002</v>
      </c>
      <c r="DM63" s="945">
        <v>31.655000000000001</v>
      </c>
      <c r="DN63" s="945">
        <v>31.755000000000003</v>
      </c>
      <c r="DO63" s="945">
        <v>31.85</v>
      </c>
      <c r="DP63" s="945">
        <v>31.945</v>
      </c>
      <c r="DQ63" s="945">
        <v>32.035000000000004</v>
      </c>
      <c r="DR63" s="945">
        <v>32.130000000000003</v>
      </c>
    </row>
    <row r="64" spans="1:122" s="131" customFormat="1" ht="12.75">
      <c r="A64" s="949">
        <v>62</v>
      </c>
      <c r="B64" s="945"/>
      <c r="C64" s="945"/>
      <c r="D64" s="945"/>
      <c r="E64" s="945"/>
      <c r="F64" s="945"/>
      <c r="G64" s="945"/>
      <c r="H64" s="945"/>
      <c r="I64" s="945"/>
      <c r="J64" s="945"/>
      <c r="K64" s="945"/>
      <c r="L64" s="945"/>
      <c r="M64" s="945"/>
      <c r="N64" s="945"/>
      <c r="O64" s="945"/>
      <c r="P64" s="945"/>
      <c r="Q64" s="945"/>
      <c r="R64" s="945"/>
      <c r="S64" s="945"/>
      <c r="T64" s="945"/>
      <c r="U64" s="945"/>
      <c r="V64" s="945"/>
      <c r="W64" s="945">
        <v>19.149999999999999</v>
      </c>
      <c r="X64" s="945">
        <v>19.344999999999999</v>
      </c>
      <c r="Y64" s="945">
        <v>19.494999999999997</v>
      </c>
      <c r="Z64" s="945">
        <v>19.685000000000002</v>
      </c>
      <c r="AA64" s="945">
        <v>19.835000000000001</v>
      </c>
      <c r="AB64" s="945">
        <v>20.005000000000003</v>
      </c>
      <c r="AC64" s="945">
        <v>20.105</v>
      </c>
      <c r="AD64" s="945">
        <v>20.175000000000001</v>
      </c>
      <c r="AE64" s="945">
        <v>20.329999999999998</v>
      </c>
      <c r="AF64" s="945">
        <v>20.524999999999999</v>
      </c>
      <c r="AG64" s="945">
        <v>20.704999999999998</v>
      </c>
      <c r="AH64" s="945">
        <v>20.92</v>
      </c>
      <c r="AI64" s="945">
        <v>21.12</v>
      </c>
      <c r="AJ64" s="945">
        <v>21.34</v>
      </c>
      <c r="AK64" s="945">
        <v>21.57</v>
      </c>
      <c r="AL64" s="945">
        <v>21.799999999999997</v>
      </c>
      <c r="AM64" s="945">
        <v>22.020000000000003</v>
      </c>
      <c r="AN64" s="945">
        <v>22.18</v>
      </c>
      <c r="AO64" s="945">
        <v>22.310000000000002</v>
      </c>
      <c r="AP64" s="945">
        <v>22.41</v>
      </c>
      <c r="AQ64" s="945">
        <v>22.505000000000003</v>
      </c>
      <c r="AR64" s="945">
        <v>22.6</v>
      </c>
      <c r="AS64" s="945">
        <v>22.65</v>
      </c>
      <c r="AT64" s="945">
        <v>22.689999999999998</v>
      </c>
      <c r="AU64" s="945">
        <v>22.744999999999997</v>
      </c>
      <c r="AV64" s="945">
        <v>22.805</v>
      </c>
      <c r="AW64" s="945">
        <v>22.965</v>
      </c>
      <c r="AX64" s="945">
        <v>23.04</v>
      </c>
      <c r="AY64" s="945">
        <v>23.155000000000001</v>
      </c>
      <c r="AZ64" s="945">
        <v>23.255000000000003</v>
      </c>
      <c r="BA64" s="945">
        <v>23.36</v>
      </c>
      <c r="BB64" s="945">
        <v>23.465</v>
      </c>
      <c r="BC64" s="945">
        <v>23.59</v>
      </c>
      <c r="BD64" s="945">
        <v>23.715</v>
      </c>
      <c r="BE64" s="945">
        <v>23.840000000000003</v>
      </c>
      <c r="BF64" s="945">
        <v>23.98</v>
      </c>
      <c r="BG64" s="945">
        <v>24.11</v>
      </c>
      <c r="BH64" s="945">
        <v>24.240000000000002</v>
      </c>
      <c r="BI64" s="945">
        <v>24.375</v>
      </c>
      <c r="BJ64" s="945">
        <v>24.504999999999999</v>
      </c>
      <c r="BK64" s="945">
        <v>24.634999999999998</v>
      </c>
      <c r="BL64" s="945">
        <v>24.765000000000001</v>
      </c>
      <c r="BM64" s="945">
        <v>24.895</v>
      </c>
      <c r="BN64" s="945">
        <v>25.024999999999999</v>
      </c>
      <c r="BO64" s="945">
        <v>25.15</v>
      </c>
      <c r="BP64" s="945">
        <v>25.274999999999999</v>
      </c>
      <c r="BQ64" s="945">
        <v>25.405000000000001</v>
      </c>
      <c r="BR64" s="945">
        <v>25.53</v>
      </c>
      <c r="BS64" s="945">
        <v>25.655000000000001</v>
      </c>
      <c r="BT64" s="946">
        <v>25.78</v>
      </c>
      <c r="BU64" s="945">
        <v>25.91</v>
      </c>
      <c r="BV64" s="945">
        <v>26.03</v>
      </c>
      <c r="BW64" s="945">
        <v>26.155000000000001</v>
      </c>
      <c r="BX64" s="945">
        <v>26.274999999999999</v>
      </c>
      <c r="BY64" s="945">
        <v>26.395000000000003</v>
      </c>
      <c r="BZ64" s="945">
        <v>26.515000000000001</v>
      </c>
      <c r="CA64" s="945">
        <v>26.64</v>
      </c>
      <c r="CB64" s="945">
        <v>26.759999999999998</v>
      </c>
      <c r="CC64" s="945">
        <v>26.88</v>
      </c>
      <c r="CD64" s="945">
        <v>27</v>
      </c>
      <c r="CE64" s="945">
        <v>27.115000000000002</v>
      </c>
      <c r="CF64" s="945">
        <v>27.234999999999999</v>
      </c>
      <c r="CG64" s="945">
        <v>27.35</v>
      </c>
      <c r="CH64" s="945">
        <v>27.465</v>
      </c>
      <c r="CI64" s="945">
        <v>27.585000000000001</v>
      </c>
      <c r="CJ64" s="945">
        <v>27.695</v>
      </c>
      <c r="CK64" s="945">
        <v>27.81</v>
      </c>
      <c r="CL64" s="945">
        <v>27.924999999999997</v>
      </c>
      <c r="CM64" s="945">
        <v>28.04</v>
      </c>
      <c r="CN64" s="945">
        <v>28.15</v>
      </c>
      <c r="CO64" s="945">
        <v>28.259999999999998</v>
      </c>
      <c r="CP64" s="945">
        <v>28.375</v>
      </c>
      <c r="CQ64" s="945">
        <v>28.484999999999999</v>
      </c>
      <c r="CR64" s="945">
        <v>28.594999999999999</v>
      </c>
      <c r="CS64" s="945">
        <v>28.704999999999998</v>
      </c>
      <c r="CT64" s="945">
        <v>28.810000000000002</v>
      </c>
      <c r="CU64" s="945">
        <v>28.914999999999999</v>
      </c>
      <c r="CV64" s="945">
        <v>29.024999999999999</v>
      </c>
      <c r="CW64" s="945">
        <v>29.130000000000003</v>
      </c>
      <c r="CX64" s="945">
        <v>29.24</v>
      </c>
      <c r="CY64" s="945">
        <v>29.340000000000003</v>
      </c>
      <c r="CZ64" s="945">
        <v>29.445</v>
      </c>
      <c r="DA64" s="945">
        <v>29.549999999999997</v>
      </c>
      <c r="DB64" s="945">
        <v>29.65</v>
      </c>
      <c r="DC64" s="945">
        <v>29.754999999999999</v>
      </c>
      <c r="DD64" s="945">
        <v>29.854999999999997</v>
      </c>
      <c r="DE64" s="945">
        <v>29.954999999999998</v>
      </c>
      <c r="DF64" s="945">
        <v>30.055</v>
      </c>
      <c r="DG64" s="945">
        <v>30.155000000000001</v>
      </c>
      <c r="DH64" s="945">
        <v>30.254999999999999</v>
      </c>
      <c r="DI64" s="945">
        <v>30.354999999999997</v>
      </c>
      <c r="DJ64" s="945">
        <v>30.45</v>
      </c>
      <c r="DK64" s="945">
        <v>30.545000000000002</v>
      </c>
      <c r="DL64" s="945">
        <v>30.64</v>
      </c>
      <c r="DM64" s="945">
        <v>30.740000000000002</v>
      </c>
      <c r="DN64" s="945">
        <v>30.83</v>
      </c>
      <c r="DO64" s="945">
        <v>30.93</v>
      </c>
      <c r="DP64" s="945">
        <v>31.020000000000003</v>
      </c>
      <c r="DQ64" s="945">
        <v>31.11</v>
      </c>
      <c r="DR64" s="945">
        <v>31.205000000000002</v>
      </c>
    </row>
    <row r="65" spans="1:122" s="131" customFormat="1" ht="12.75">
      <c r="A65" s="949">
        <v>63</v>
      </c>
      <c r="B65" s="945"/>
      <c r="C65" s="945"/>
      <c r="D65" s="945"/>
      <c r="E65" s="945"/>
      <c r="F65" s="945"/>
      <c r="G65" s="945"/>
      <c r="H65" s="945"/>
      <c r="I65" s="945"/>
      <c r="J65" s="945"/>
      <c r="K65" s="945"/>
      <c r="L65" s="945"/>
      <c r="M65" s="945"/>
      <c r="N65" s="945"/>
      <c r="O65" s="945"/>
      <c r="P65" s="945"/>
      <c r="Q65" s="945"/>
      <c r="R65" s="945"/>
      <c r="S65" s="945"/>
      <c r="T65" s="945"/>
      <c r="U65" s="945"/>
      <c r="V65" s="945"/>
      <c r="W65" s="945">
        <v>18.434999999999999</v>
      </c>
      <c r="X65" s="945">
        <v>18.62</v>
      </c>
      <c r="Y65" s="945">
        <v>18.77</v>
      </c>
      <c r="Z65" s="945">
        <v>18.954999999999998</v>
      </c>
      <c r="AA65" s="945">
        <v>19.105</v>
      </c>
      <c r="AB65" s="945">
        <v>19.27</v>
      </c>
      <c r="AC65" s="945">
        <v>19.380000000000003</v>
      </c>
      <c r="AD65" s="945">
        <v>19.445</v>
      </c>
      <c r="AE65" s="945">
        <v>19.600000000000001</v>
      </c>
      <c r="AF65" s="945">
        <v>19.795000000000002</v>
      </c>
      <c r="AG65" s="945">
        <v>19.97</v>
      </c>
      <c r="AH65" s="945">
        <v>20.18</v>
      </c>
      <c r="AI65" s="945">
        <v>20.375</v>
      </c>
      <c r="AJ65" s="945">
        <v>20.59</v>
      </c>
      <c r="AK65" s="945">
        <v>20.805</v>
      </c>
      <c r="AL65" s="945">
        <v>21.04</v>
      </c>
      <c r="AM65" s="945">
        <v>21.240000000000002</v>
      </c>
      <c r="AN65" s="945">
        <v>21.4</v>
      </c>
      <c r="AO65" s="945">
        <v>21.524999999999999</v>
      </c>
      <c r="AP65" s="945">
        <v>21.62</v>
      </c>
      <c r="AQ65" s="945">
        <v>21.71</v>
      </c>
      <c r="AR65" s="945">
        <v>21.805</v>
      </c>
      <c r="AS65" s="945">
        <v>21.85</v>
      </c>
      <c r="AT65" s="945">
        <v>21.895</v>
      </c>
      <c r="AU65" s="945">
        <v>21.95</v>
      </c>
      <c r="AV65" s="945">
        <v>22.009999999999998</v>
      </c>
      <c r="AW65" s="945">
        <v>22.164999999999999</v>
      </c>
      <c r="AX65" s="945">
        <v>22.244999999999997</v>
      </c>
      <c r="AY65" s="945">
        <v>22.355</v>
      </c>
      <c r="AZ65" s="945">
        <v>22.46</v>
      </c>
      <c r="BA65" s="945">
        <v>22.56</v>
      </c>
      <c r="BB65" s="945">
        <v>22.675000000000001</v>
      </c>
      <c r="BC65" s="945">
        <v>22.795000000000002</v>
      </c>
      <c r="BD65" s="945">
        <v>22.914999999999999</v>
      </c>
      <c r="BE65" s="945">
        <v>23.049999999999997</v>
      </c>
      <c r="BF65" s="945">
        <v>23.185000000000002</v>
      </c>
      <c r="BG65" s="945">
        <v>23.314999999999998</v>
      </c>
      <c r="BH65" s="945">
        <v>23.44</v>
      </c>
      <c r="BI65" s="945">
        <v>23.57</v>
      </c>
      <c r="BJ65" s="945">
        <v>23.7</v>
      </c>
      <c r="BK65" s="945">
        <v>23.825000000000003</v>
      </c>
      <c r="BL65" s="945">
        <v>23.95</v>
      </c>
      <c r="BM65" s="945">
        <v>24.08</v>
      </c>
      <c r="BN65" s="945">
        <v>24.21</v>
      </c>
      <c r="BO65" s="945">
        <v>24.33</v>
      </c>
      <c r="BP65" s="945">
        <v>24.46</v>
      </c>
      <c r="BQ65" s="945">
        <v>24.58</v>
      </c>
      <c r="BR65" s="945">
        <v>24.704999999999998</v>
      </c>
      <c r="BS65" s="945">
        <v>24.83</v>
      </c>
      <c r="BT65" s="946">
        <v>24.95</v>
      </c>
      <c r="BU65" s="945">
        <v>25.07</v>
      </c>
      <c r="BV65" s="945">
        <v>25.195</v>
      </c>
      <c r="BW65" s="945">
        <v>25.314999999999998</v>
      </c>
      <c r="BX65" s="945">
        <v>25.435000000000002</v>
      </c>
      <c r="BY65" s="945">
        <v>25.555</v>
      </c>
      <c r="BZ65" s="945">
        <v>25.674999999999997</v>
      </c>
      <c r="CA65" s="945">
        <v>25.795000000000002</v>
      </c>
      <c r="CB65" s="945">
        <v>25.91</v>
      </c>
      <c r="CC65" s="945">
        <v>26.024999999999999</v>
      </c>
      <c r="CD65" s="945">
        <v>26.14</v>
      </c>
      <c r="CE65" s="945">
        <v>26.259999999999998</v>
      </c>
      <c r="CF65" s="945">
        <v>26.375</v>
      </c>
      <c r="CG65" s="945">
        <v>26.490000000000002</v>
      </c>
      <c r="CH65" s="945">
        <v>26.6</v>
      </c>
      <c r="CI65" s="945">
        <v>26.72</v>
      </c>
      <c r="CJ65" s="945">
        <v>26.83</v>
      </c>
      <c r="CK65" s="945">
        <v>26.945</v>
      </c>
      <c r="CL65" s="945">
        <v>27.055</v>
      </c>
      <c r="CM65" s="945">
        <v>27.164999999999999</v>
      </c>
      <c r="CN65" s="945">
        <v>27.274999999999999</v>
      </c>
      <c r="CO65" s="945">
        <v>27.384999999999998</v>
      </c>
      <c r="CP65" s="945">
        <v>27.495000000000001</v>
      </c>
      <c r="CQ65" s="945">
        <v>27.604999999999997</v>
      </c>
      <c r="CR65" s="945">
        <v>27.71</v>
      </c>
      <c r="CS65" s="945">
        <v>27.814999999999998</v>
      </c>
      <c r="CT65" s="945">
        <v>27.925000000000001</v>
      </c>
      <c r="CU65" s="945">
        <v>28.03</v>
      </c>
      <c r="CV65" s="945">
        <v>28.134999999999998</v>
      </c>
      <c r="CW65" s="945">
        <v>28.240000000000002</v>
      </c>
      <c r="CX65" s="945">
        <v>28.34</v>
      </c>
      <c r="CY65" s="945">
        <v>28.45</v>
      </c>
      <c r="CZ65" s="945">
        <v>28.55</v>
      </c>
      <c r="DA65" s="945">
        <v>28.65</v>
      </c>
      <c r="DB65" s="945">
        <v>28.75</v>
      </c>
      <c r="DC65" s="945">
        <v>28.85</v>
      </c>
      <c r="DD65" s="945">
        <v>28.95</v>
      </c>
      <c r="DE65" s="945">
        <v>29.049999999999997</v>
      </c>
      <c r="DF65" s="945">
        <v>29.15</v>
      </c>
      <c r="DG65" s="945">
        <v>29.25</v>
      </c>
      <c r="DH65" s="945">
        <v>29.344999999999999</v>
      </c>
      <c r="DI65" s="945">
        <v>29.445</v>
      </c>
      <c r="DJ65" s="945">
        <v>29.54</v>
      </c>
      <c r="DK65" s="945">
        <v>29.634999999999998</v>
      </c>
      <c r="DL65" s="945">
        <v>29.729999999999997</v>
      </c>
      <c r="DM65" s="945">
        <v>29.825000000000003</v>
      </c>
      <c r="DN65" s="945">
        <v>29.914999999999999</v>
      </c>
      <c r="DO65" s="945">
        <v>30.009999999999998</v>
      </c>
      <c r="DP65" s="945">
        <v>30.1</v>
      </c>
      <c r="DQ65" s="945">
        <v>30.189999999999998</v>
      </c>
      <c r="DR65" s="945">
        <v>30.28</v>
      </c>
    </row>
    <row r="66" spans="1:122" s="131" customFormat="1" ht="12.75">
      <c r="A66" s="949">
        <v>64</v>
      </c>
      <c r="B66" s="945"/>
      <c r="C66" s="945"/>
      <c r="D66" s="945"/>
      <c r="E66" s="945"/>
      <c r="F66" s="945"/>
      <c r="G66" s="945"/>
      <c r="H66" s="945"/>
      <c r="I66" s="945"/>
      <c r="J66" s="945"/>
      <c r="K66" s="945"/>
      <c r="L66" s="945"/>
      <c r="M66" s="945"/>
      <c r="N66" s="945"/>
      <c r="O66" s="945"/>
      <c r="P66" s="945"/>
      <c r="Q66" s="945"/>
      <c r="R66" s="945"/>
      <c r="S66" s="945"/>
      <c r="T66" s="945"/>
      <c r="U66" s="945"/>
      <c r="V66" s="945"/>
      <c r="W66" s="945">
        <v>17.734999999999999</v>
      </c>
      <c r="X66" s="945">
        <v>17.91</v>
      </c>
      <c r="Y66" s="945">
        <v>18.059999999999999</v>
      </c>
      <c r="Z66" s="945">
        <v>18.240000000000002</v>
      </c>
      <c r="AA66" s="945">
        <v>18.380000000000003</v>
      </c>
      <c r="AB66" s="945">
        <v>18.555</v>
      </c>
      <c r="AC66" s="945">
        <v>18.66</v>
      </c>
      <c r="AD66" s="945">
        <v>18.73</v>
      </c>
      <c r="AE66" s="945">
        <v>18.880000000000003</v>
      </c>
      <c r="AF66" s="945">
        <v>19.074999999999999</v>
      </c>
      <c r="AG66" s="945">
        <v>19.244999999999997</v>
      </c>
      <c r="AH66" s="945">
        <v>19.454999999999998</v>
      </c>
      <c r="AI66" s="945">
        <v>19.64</v>
      </c>
      <c r="AJ66" s="945">
        <v>19.84</v>
      </c>
      <c r="AK66" s="945">
        <v>20.049999999999997</v>
      </c>
      <c r="AL66" s="945">
        <v>20.274999999999999</v>
      </c>
      <c r="AM66" s="945">
        <v>20.47</v>
      </c>
      <c r="AN66" s="945">
        <v>20.625</v>
      </c>
      <c r="AO66" s="945">
        <v>20.75</v>
      </c>
      <c r="AP66" s="945">
        <v>20.84</v>
      </c>
      <c r="AQ66" s="945">
        <v>20.93</v>
      </c>
      <c r="AR66" s="945">
        <v>21.009999999999998</v>
      </c>
      <c r="AS66" s="945">
        <v>21.065000000000001</v>
      </c>
      <c r="AT66" s="945">
        <v>21.1</v>
      </c>
      <c r="AU66" s="945">
        <v>21.164999999999999</v>
      </c>
      <c r="AV66" s="945">
        <v>21.225000000000001</v>
      </c>
      <c r="AW66" s="945">
        <v>21.380000000000003</v>
      </c>
      <c r="AX66" s="945">
        <v>21.45</v>
      </c>
      <c r="AY66" s="945">
        <v>21.564999999999998</v>
      </c>
      <c r="AZ66" s="945">
        <v>21.664999999999999</v>
      </c>
      <c r="BA66" s="945">
        <v>21.774999999999999</v>
      </c>
      <c r="BB66" s="945">
        <v>21.89</v>
      </c>
      <c r="BC66" s="945">
        <v>22.009999999999998</v>
      </c>
      <c r="BD66" s="945">
        <v>22.134999999999998</v>
      </c>
      <c r="BE66" s="945">
        <v>22.27</v>
      </c>
      <c r="BF66" s="945">
        <v>22.395</v>
      </c>
      <c r="BG66" s="945">
        <v>22.52</v>
      </c>
      <c r="BH66" s="945">
        <v>22.65</v>
      </c>
      <c r="BI66" s="945">
        <v>22.774999999999999</v>
      </c>
      <c r="BJ66" s="945">
        <v>22.9</v>
      </c>
      <c r="BK66" s="945">
        <v>23.024999999999999</v>
      </c>
      <c r="BL66" s="945">
        <v>23.15</v>
      </c>
      <c r="BM66" s="945">
        <v>23.274999999999999</v>
      </c>
      <c r="BN66" s="945">
        <v>23.395</v>
      </c>
      <c r="BO66" s="945">
        <v>23.52</v>
      </c>
      <c r="BP66" s="945">
        <v>23.64</v>
      </c>
      <c r="BQ66" s="945">
        <v>23.765000000000001</v>
      </c>
      <c r="BR66" s="945">
        <v>23.884999999999998</v>
      </c>
      <c r="BS66" s="945">
        <v>24.005000000000003</v>
      </c>
      <c r="BT66" s="946">
        <v>24.125</v>
      </c>
      <c r="BU66" s="945">
        <v>24.245000000000001</v>
      </c>
      <c r="BV66" s="945">
        <v>24.365000000000002</v>
      </c>
      <c r="BW66" s="945">
        <v>24.48</v>
      </c>
      <c r="BX66" s="945">
        <v>24.6</v>
      </c>
      <c r="BY66" s="945">
        <v>24.715</v>
      </c>
      <c r="BZ66" s="945">
        <v>24.835000000000001</v>
      </c>
      <c r="CA66" s="945">
        <v>24.950000000000003</v>
      </c>
      <c r="CB66" s="945">
        <v>25.064999999999998</v>
      </c>
      <c r="CC66" s="945">
        <v>25.18</v>
      </c>
      <c r="CD66" s="945">
        <v>25.295000000000002</v>
      </c>
      <c r="CE66" s="945">
        <v>25.41</v>
      </c>
      <c r="CF66" s="945">
        <v>25.52</v>
      </c>
      <c r="CG66" s="945">
        <v>25.634999999999998</v>
      </c>
      <c r="CH66" s="945">
        <v>25.745000000000001</v>
      </c>
      <c r="CI66" s="945">
        <v>25.86</v>
      </c>
      <c r="CJ66" s="945">
        <v>25.97</v>
      </c>
      <c r="CK66" s="945">
        <v>26.08</v>
      </c>
      <c r="CL66" s="945">
        <v>26.189999999999998</v>
      </c>
      <c r="CM66" s="945">
        <v>26.3</v>
      </c>
      <c r="CN66" s="945">
        <v>26.41</v>
      </c>
      <c r="CO66" s="945">
        <v>26.509999999999998</v>
      </c>
      <c r="CP66" s="945">
        <v>26.62</v>
      </c>
      <c r="CQ66" s="945">
        <v>26.729999999999997</v>
      </c>
      <c r="CR66" s="945">
        <v>26.83</v>
      </c>
      <c r="CS66" s="945">
        <v>26.939999999999998</v>
      </c>
      <c r="CT66" s="945">
        <v>27.04</v>
      </c>
      <c r="CU66" s="945">
        <v>27.15</v>
      </c>
      <c r="CV66" s="945">
        <v>27.25</v>
      </c>
      <c r="CW66" s="945">
        <v>27.35</v>
      </c>
      <c r="CX66" s="945">
        <v>27.454999999999998</v>
      </c>
      <c r="CY66" s="945">
        <v>27.56</v>
      </c>
      <c r="CZ66" s="945">
        <v>27.66</v>
      </c>
      <c r="DA66" s="945">
        <v>27.76</v>
      </c>
      <c r="DB66" s="945">
        <v>27.86</v>
      </c>
      <c r="DC66" s="945">
        <v>27.96</v>
      </c>
      <c r="DD66" s="945">
        <v>28.049999999999997</v>
      </c>
      <c r="DE66" s="945">
        <v>28.15</v>
      </c>
      <c r="DF66" s="945">
        <v>28.25</v>
      </c>
      <c r="DG66" s="945">
        <v>28.344999999999999</v>
      </c>
      <c r="DH66" s="945">
        <v>28.44</v>
      </c>
      <c r="DI66" s="945">
        <v>28.54</v>
      </c>
      <c r="DJ66" s="945">
        <v>28.63</v>
      </c>
      <c r="DK66" s="945">
        <v>28.725000000000001</v>
      </c>
      <c r="DL66" s="945">
        <v>28.82</v>
      </c>
      <c r="DM66" s="945">
        <v>28.91</v>
      </c>
      <c r="DN66" s="945">
        <v>29.004999999999999</v>
      </c>
      <c r="DO66" s="945">
        <v>29.094999999999999</v>
      </c>
      <c r="DP66" s="945">
        <v>29.184999999999999</v>
      </c>
      <c r="DQ66" s="945">
        <v>29.274999999999999</v>
      </c>
      <c r="DR66" s="945">
        <v>29.365000000000002</v>
      </c>
    </row>
    <row r="67" spans="1:122" s="131" customFormat="1" ht="12.75">
      <c r="A67" s="949">
        <v>65</v>
      </c>
      <c r="B67" s="945"/>
      <c r="C67" s="945"/>
      <c r="D67" s="945"/>
      <c r="E67" s="945"/>
      <c r="F67" s="945"/>
      <c r="G67" s="945"/>
      <c r="H67" s="945"/>
      <c r="I67" s="945"/>
      <c r="J67" s="945"/>
      <c r="K67" s="945"/>
      <c r="L67" s="945"/>
      <c r="M67" s="945"/>
      <c r="N67" s="945"/>
      <c r="O67" s="945"/>
      <c r="P67" s="945"/>
      <c r="Q67" s="945"/>
      <c r="R67" s="945"/>
      <c r="S67" s="945"/>
      <c r="T67" s="945"/>
      <c r="U67" s="945"/>
      <c r="V67" s="945"/>
      <c r="W67" s="945">
        <v>17.03</v>
      </c>
      <c r="X67" s="945">
        <v>17.204999999999998</v>
      </c>
      <c r="Y67" s="945">
        <v>17.350000000000001</v>
      </c>
      <c r="Z67" s="945">
        <v>17.53</v>
      </c>
      <c r="AA67" s="945">
        <v>17.675000000000001</v>
      </c>
      <c r="AB67" s="945">
        <v>17.850000000000001</v>
      </c>
      <c r="AC67" s="945">
        <v>17.955000000000002</v>
      </c>
      <c r="AD67" s="945">
        <v>18.024999999999999</v>
      </c>
      <c r="AE67" s="945">
        <v>18.170000000000002</v>
      </c>
      <c r="AF67" s="945">
        <v>18.365000000000002</v>
      </c>
      <c r="AG67" s="945">
        <v>18.53</v>
      </c>
      <c r="AH67" s="945">
        <v>18.725000000000001</v>
      </c>
      <c r="AI67" s="945">
        <v>18.905000000000001</v>
      </c>
      <c r="AJ67" s="945">
        <v>19.094999999999999</v>
      </c>
      <c r="AK67" s="945">
        <v>19.305</v>
      </c>
      <c r="AL67" s="945">
        <v>19.52</v>
      </c>
      <c r="AM67" s="945">
        <v>19.704999999999998</v>
      </c>
      <c r="AN67" s="945">
        <v>19.86</v>
      </c>
      <c r="AO67" s="945">
        <v>19.975000000000001</v>
      </c>
      <c r="AP67" s="945">
        <v>20.055</v>
      </c>
      <c r="AQ67" s="945">
        <v>20.14</v>
      </c>
      <c r="AR67" s="945">
        <v>20.23</v>
      </c>
      <c r="AS67" s="945">
        <v>20.274999999999999</v>
      </c>
      <c r="AT67" s="945">
        <v>20.32</v>
      </c>
      <c r="AU67" s="945">
        <v>20.385000000000002</v>
      </c>
      <c r="AV67" s="945">
        <v>20.45</v>
      </c>
      <c r="AW67" s="945">
        <v>20.594999999999999</v>
      </c>
      <c r="AX67" s="945">
        <v>20.68</v>
      </c>
      <c r="AY67" s="945">
        <v>20.784999999999997</v>
      </c>
      <c r="AZ67" s="945">
        <v>20.89</v>
      </c>
      <c r="BA67" s="945">
        <v>21</v>
      </c>
      <c r="BB67" s="945">
        <v>21.115000000000002</v>
      </c>
      <c r="BC67" s="945">
        <v>21.244999999999997</v>
      </c>
      <c r="BD67" s="945">
        <v>21.37</v>
      </c>
      <c r="BE67" s="945">
        <v>21.490000000000002</v>
      </c>
      <c r="BF67" s="945">
        <v>21.615000000000002</v>
      </c>
      <c r="BG67" s="945">
        <v>21.74</v>
      </c>
      <c r="BH67" s="945">
        <v>21.865000000000002</v>
      </c>
      <c r="BI67" s="945">
        <v>21.984999999999999</v>
      </c>
      <c r="BJ67" s="945">
        <v>22.11</v>
      </c>
      <c r="BK67" s="945">
        <v>22.23</v>
      </c>
      <c r="BL67" s="945">
        <v>22.35</v>
      </c>
      <c r="BM67" s="945">
        <v>22.47</v>
      </c>
      <c r="BN67" s="945">
        <v>22.594999999999999</v>
      </c>
      <c r="BO67" s="945">
        <v>22.715</v>
      </c>
      <c r="BP67" s="945">
        <v>22.835000000000001</v>
      </c>
      <c r="BQ67" s="945">
        <v>22.954999999999998</v>
      </c>
      <c r="BR67" s="945">
        <v>23.065000000000001</v>
      </c>
      <c r="BS67" s="945">
        <v>23.185000000000002</v>
      </c>
      <c r="BT67" s="946">
        <v>23.305</v>
      </c>
      <c r="BU67" s="945">
        <v>23.424999999999997</v>
      </c>
      <c r="BV67" s="945">
        <v>23.54</v>
      </c>
      <c r="BW67" s="945">
        <v>23.655000000000001</v>
      </c>
      <c r="BX67" s="945">
        <v>23.77</v>
      </c>
      <c r="BY67" s="945">
        <v>23.884999999999998</v>
      </c>
      <c r="BZ67" s="945">
        <v>24</v>
      </c>
      <c r="CA67" s="945">
        <v>24.11</v>
      </c>
      <c r="CB67" s="945">
        <v>24.23</v>
      </c>
      <c r="CC67" s="945">
        <v>24.34</v>
      </c>
      <c r="CD67" s="945">
        <v>24.450000000000003</v>
      </c>
      <c r="CE67" s="945">
        <v>24.56</v>
      </c>
      <c r="CF67" s="945">
        <v>24.67</v>
      </c>
      <c r="CG67" s="945">
        <v>24.78</v>
      </c>
      <c r="CH67" s="945">
        <v>24.89</v>
      </c>
      <c r="CI67" s="945">
        <v>25</v>
      </c>
      <c r="CJ67" s="945">
        <v>25.11</v>
      </c>
      <c r="CK67" s="945">
        <v>25.22</v>
      </c>
      <c r="CL67" s="945">
        <v>25.325000000000003</v>
      </c>
      <c r="CM67" s="945">
        <v>25.434999999999999</v>
      </c>
      <c r="CN67" s="945">
        <v>25.54</v>
      </c>
      <c r="CO67" s="945">
        <v>25.645</v>
      </c>
      <c r="CP67" s="945">
        <v>25.754999999999999</v>
      </c>
      <c r="CQ67" s="945">
        <v>25.855</v>
      </c>
      <c r="CR67" s="945">
        <v>25.954999999999998</v>
      </c>
      <c r="CS67" s="945">
        <v>26.064999999999998</v>
      </c>
      <c r="CT67" s="945">
        <v>26.164999999999999</v>
      </c>
      <c r="CU67" s="945">
        <v>26.265000000000001</v>
      </c>
      <c r="CV67" s="945">
        <v>26.37</v>
      </c>
      <c r="CW67" s="945">
        <v>26.47</v>
      </c>
      <c r="CX67" s="945">
        <v>26.57</v>
      </c>
      <c r="CY67" s="945">
        <v>26.67</v>
      </c>
      <c r="CZ67" s="945">
        <v>26.77</v>
      </c>
      <c r="DA67" s="945">
        <v>26.869999999999997</v>
      </c>
      <c r="DB67" s="945">
        <v>26.97</v>
      </c>
      <c r="DC67" s="945">
        <v>27.060000000000002</v>
      </c>
      <c r="DD67" s="945">
        <v>27.16</v>
      </c>
      <c r="DE67" s="945">
        <v>27.255000000000003</v>
      </c>
      <c r="DF67" s="945">
        <v>27.35</v>
      </c>
      <c r="DG67" s="945">
        <v>27.445</v>
      </c>
      <c r="DH67" s="945">
        <v>27.54</v>
      </c>
      <c r="DI67" s="945">
        <v>27.634999999999998</v>
      </c>
      <c r="DJ67" s="945">
        <v>27.725000000000001</v>
      </c>
      <c r="DK67" s="945">
        <v>27.815000000000001</v>
      </c>
      <c r="DL67" s="945">
        <v>27.91</v>
      </c>
      <c r="DM67" s="945">
        <v>28</v>
      </c>
      <c r="DN67" s="945">
        <v>28.09</v>
      </c>
      <c r="DO67" s="945">
        <v>28.18</v>
      </c>
      <c r="DP67" s="945">
        <v>28.270000000000003</v>
      </c>
      <c r="DQ67" s="945">
        <v>28.36</v>
      </c>
      <c r="DR67" s="945">
        <v>28.450000000000003</v>
      </c>
    </row>
    <row r="68" spans="1:122" s="131" customFormat="1" ht="12.75">
      <c r="A68" s="949">
        <v>66</v>
      </c>
      <c r="B68" s="945"/>
      <c r="C68" s="945"/>
      <c r="D68" s="945"/>
      <c r="E68" s="945"/>
      <c r="F68" s="945"/>
      <c r="G68" s="945"/>
      <c r="H68" s="945"/>
      <c r="I68" s="945"/>
      <c r="J68" s="945"/>
      <c r="K68" s="945"/>
      <c r="L68" s="945"/>
      <c r="M68" s="945"/>
      <c r="N68" s="945"/>
      <c r="O68" s="945"/>
      <c r="P68" s="945"/>
      <c r="Q68" s="945"/>
      <c r="R68" s="945"/>
      <c r="S68" s="945"/>
      <c r="T68" s="945"/>
      <c r="U68" s="945"/>
      <c r="V68" s="945"/>
      <c r="W68" s="945">
        <v>16.355</v>
      </c>
      <c r="X68" s="945">
        <v>16.515000000000001</v>
      </c>
      <c r="Y68" s="945">
        <v>16.66</v>
      </c>
      <c r="Z68" s="945">
        <v>16.844999999999999</v>
      </c>
      <c r="AA68" s="945">
        <v>16.984999999999999</v>
      </c>
      <c r="AB68" s="945">
        <v>17.155000000000001</v>
      </c>
      <c r="AC68" s="945">
        <v>17.254999999999999</v>
      </c>
      <c r="AD68" s="945">
        <v>17.324999999999999</v>
      </c>
      <c r="AE68" s="945">
        <v>17.47</v>
      </c>
      <c r="AF68" s="945">
        <v>17.669999999999998</v>
      </c>
      <c r="AG68" s="945">
        <v>17.82</v>
      </c>
      <c r="AH68" s="945">
        <v>18.004999999999999</v>
      </c>
      <c r="AI68" s="945">
        <v>18.18</v>
      </c>
      <c r="AJ68" s="945">
        <v>18.36</v>
      </c>
      <c r="AK68" s="945">
        <v>18.555</v>
      </c>
      <c r="AL68" s="945">
        <v>18.77</v>
      </c>
      <c r="AM68" s="945">
        <v>18.95</v>
      </c>
      <c r="AN68" s="945">
        <v>19.094999999999999</v>
      </c>
      <c r="AO68" s="945">
        <v>19.204999999999998</v>
      </c>
      <c r="AP68" s="945">
        <v>19.28</v>
      </c>
      <c r="AQ68" s="945">
        <v>19.365000000000002</v>
      </c>
      <c r="AR68" s="945">
        <v>19.45</v>
      </c>
      <c r="AS68" s="945">
        <v>19.504999999999999</v>
      </c>
      <c r="AT68" s="945">
        <v>19.545000000000002</v>
      </c>
      <c r="AU68" s="945">
        <v>19.615000000000002</v>
      </c>
      <c r="AV68" s="945">
        <v>19.685000000000002</v>
      </c>
      <c r="AW68" s="945">
        <v>19.829999999999998</v>
      </c>
      <c r="AX68" s="945">
        <v>19.905000000000001</v>
      </c>
      <c r="AY68" s="945">
        <v>20.015000000000001</v>
      </c>
      <c r="AZ68" s="945">
        <v>20.130000000000003</v>
      </c>
      <c r="BA68" s="945">
        <v>20.234999999999999</v>
      </c>
      <c r="BB68" s="945">
        <v>20.354999999999997</v>
      </c>
      <c r="BC68" s="945">
        <v>20.48</v>
      </c>
      <c r="BD68" s="945">
        <v>20.6</v>
      </c>
      <c r="BE68" s="945">
        <v>20.725000000000001</v>
      </c>
      <c r="BF68" s="945">
        <v>20.84</v>
      </c>
      <c r="BG68" s="945">
        <v>20.96</v>
      </c>
      <c r="BH68" s="945">
        <v>21.085000000000001</v>
      </c>
      <c r="BI68" s="945">
        <v>21.204999999999998</v>
      </c>
      <c r="BJ68" s="945">
        <v>21.324999999999999</v>
      </c>
      <c r="BK68" s="945">
        <v>21.44</v>
      </c>
      <c r="BL68" s="945">
        <v>21.560000000000002</v>
      </c>
      <c r="BM68" s="945">
        <v>21.68</v>
      </c>
      <c r="BN68" s="945">
        <v>21.795000000000002</v>
      </c>
      <c r="BO68" s="945">
        <v>21.914999999999999</v>
      </c>
      <c r="BP68" s="945">
        <v>22.03</v>
      </c>
      <c r="BQ68" s="945">
        <v>22.145</v>
      </c>
      <c r="BR68" s="945">
        <v>22.265000000000001</v>
      </c>
      <c r="BS68" s="945">
        <v>22.375</v>
      </c>
      <c r="BT68" s="946">
        <v>22.490000000000002</v>
      </c>
      <c r="BU68" s="945">
        <v>22.61</v>
      </c>
      <c r="BV68" s="945">
        <v>22.72</v>
      </c>
      <c r="BW68" s="945">
        <v>22.83</v>
      </c>
      <c r="BX68" s="945">
        <v>22.945</v>
      </c>
      <c r="BY68" s="945">
        <v>23.055</v>
      </c>
      <c r="BZ68" s="945">
        <v>23.164999999999999</v>
      </c>
      <c r="CA68" s="945">
        <v>23.285</v>
      </c>
      <c r="CB68" s="945">
        <v>23.39</v>
      </c>
      <c r="CC68" s="945">
        <v>23.5</v>
      </c>
      <c r="CD68" s="945">
        <v>23.61</v>
      </c>
      <c r="CE68" s="945">
        <v>23.72</v>
      </c>
      <c r="CF68" s="945">
        <v>23.83</v>
      </c>
      <c r="CG68" s="945">
        <v>23.939999999999998</v>
      </c>
      <c r="CH68" s="945">
        <v>24.045000000000002</v>
      </c>
      <c r="CI68" s="945">
        <v>24.15</v>
      </c>
      <c r="CJ68" s="945">
        <v>24.255000000000003</v>
      </c>
      <c r="CK68" s="945">
        <v>24.365000000000002</v>
      </c>
      <c r="CL68" s="945">
        <v>24.465</v>
      </c>
      <c r="CM68" s="945">
        <v>24.575000000000003</v>
      </c>
      <c r="CN68" s="945">
        <v>24.68</v>
      </c>
      <c r="CO68" s="945">
        <v>24.78</v>
      </c>
      <c r="CP68" s="945">
        <v>24.885000000000002</v>
      </c>
      <c r="CQ68" s="945">
        <v>24.990000000000002</v>
      </c>
      <c r="CR68" s="945">
        <v>25.09</v>
      </c>
      <c r="CS68" s="945">
        <v>25.189999999999998</v>
      </c>
      <c r="CT68" s="945">
        <v>25.29</v>
      </c>
      <c r="CU68" s="945">
        <v>25.39</v>
      </c>
      <c r="CV68" s="945">
        <v>25.495000000000001</v>
      </c>
      <c r="CW68" s="945">
        <v>25.594999999999999</v>
      </c>
      <c r="CX68" s="945">
        <v>25.684999999999999</v>
      </c>
      <c r="CY68" s="945">
        <v>25.784999999999997</v>
      </c>
      <c r="CZ68" s="945">
        <v>25.884999999999998</v>
      </c>
      <c r="DA68" s="945">
        <v>25.98</v>
      </c>
      <c r="DB68" s="945">
        <v>26.08</v>
      </c>
      <c r="DC68" s="945">
        <v>26.17</v>
      </c>
      <c r="DD68" s="945">
        <v>26.27</v>
      </c>
      <c r="DE68" s="945">
        <v>26.36</v>
      </c>
      <c r="DF68" s="945">
        <v>26.454999999999998</v>
      </c>
      <c r="DG68" s="945">
        <v>26.545000000000002</v>
      </c>
      <c r="DH68" s="945">
        <v>26.645</v>
      </c>
      <c r="DI68" s="945">
        <v>26.734999999999999</v>
      </c>
      <c r="DJ68" s="945">
        <v>26.824999999999999</v>
      </c>
      <c r="DK68" s="945">
        <v>26.914999999999999</v>
      </c>
      <c r="DL68" s="945">
        <v>27.01</v>
      </c>
      <c r="DM68" s="945">
        <v>27.094999999999999</v>
      </c>
      <c r="DN68" s="945">
        <v>27.185000000000002</v>
      </c>
      <c r="DO68" s="945">
        <v>27.274999999999999</v>
      </c>
      <c r="DP68" s="945">
        <v>27.365000000000002</v>
      </c>
      <c r="DQ68" s="945">
        <v>27.445</v>
      </c>
      <c r="DR68" s="945">
        <v>27.535</v>
      </c>
    </row>
    <row r="69" spans="1:122" s="131" customFormat="1" ht="12.75">
      <c r="A69" s="949">
        <v>67</v>
      </c>
      <c r="B69" s="945"/>
      <c r="C69" s="945"/>
      <c r="D69" s="945"/>
      <c r="E69" s="945"/>
      <c r="F69" s="945"/>
      <c r="G69" s="945"/>
      <c r="H69" s="945"/>
      <c r="I69" s="945"/>
      <c r="J69" s="945"/>
      <c r="K69" s="945"/>
      <c r="L69" s="945"/>
      <c r="M69" s="945"/>
      <c r="N69" s="945"/>
      <c r="O69" s="945"/>
      <c r="P69" s="945"/>
      <c r="Q69" s="945"/>
      <c r="R69" s="945"/>
      <c r="S69" s="945"/>
      <c r="T69" s="945"/>
      <c r="U69" s="945"/>
      <c r="V69" s="945"/>
      <c r="W69" s="945">
        <v>15.675000000000001</v>
      </c>
      <c r="X69" s="945">
        <v>15.835000000000001</v>
      </c>
      <c r="Y69" s="945">
        <v>15.984999999999999</v>
      </c>
      <c r="Z69" s="945">
        <v>16.170000000000002</v>
      </c>
      <c r="AA69" s="945">
        <v>16.299999999999997</v>
      </c>
      <c r="AB69" s="945">
        <v>16.465</v>
      </c>
      <c r="AC69" s="945">
        <v>16.57</v>
      </c>
      <c r="AD69" s="945">
        <v>16.64</v>
      </c>
      <c r="AE69" s="945">
        <v>16.785</v>
      </c>
      <c r="AF69" s="945">
        <v>16.965</v>
      </c>
      <c r="AG69" s="945">
        <v>17.119999999999997</v>
      </c>
      <c r="AH69" s="945">
        <v>17.295000000000002</v>
      </c>
      <c r="AI69" s="945">
        <v>17.46</v>
      </c>
      <c r="AJ69" s="945">
        <v>17.63</v>
      </c>
      <c r="AK69" s="945">
        <v>17.825000000000003</v>
      </c>
      <c r="AL69" s="945">
        <v>18.03</v>
      </c>
      <c r="AM69" s="945">
        <v>18.204999999999998</v>
      </c>
      <c r="AN69" s="945">
        <v>18.335000000000001</v>
      </c>
      <c r="AO69" s="945">
        <v>18.440000000000001</v>
      </c>
      <c r="AP69" s="945">
        <v>18.520000000000003</v>
      </c>
      <c r="AQ69" s="945">
        <v>18.600000000000001</v>
      </c>
      <c r="AR69" s="945">
        <v>18.68</v>
      </c>
      <c r="AS69" s="945">
        <v>18.734999999999999</v>
      </c>
      <c r="AT69" s="945">
        <v>18.785</v>
      </c>
      <c r="AU69" s="945">
        <v>18.850000000000001</v>
      </c>
      <c r="AV69" s="945">
        <v>18.925000000000001</v>
      </c>
      <c r="AW69" s="945">
        <v>19.064999999999998</v>
      </c>
      <c r="AX69" s="945">
        <v>19.149999999999999</v>
      </c>
      <c r="AY69" s="945">
        <v>19.260000000000002</v>
      </c>
      <c r="AZ69" s="945">
        <v>19.369999999999997</v>
      </c>
      <c r="BA69" s="945">
        <v>19.484999999999999</v>
      </c>
      <c r="BB69" s="945">
        <v>19.600000000000001</v>
      </c>
      <c r="BC69" s="945">
        <v>19.72</v>
      </c>
      <c r="BD69" s="945">
        <v>19.84</v>
      </c>
      <c r="BE69" s="945">
        <v>19.96</v>
      </c>
      <c r="BF69" s="945">
        <v>20.074999999999999</v>
      </c>
      <c r="BG69" s="945">
        <v>20.195</v>
      </c>
      <c r="BH69" s="945">
        <v>20.310000000000002</v>
      </c>
      <c r="BI69" s="945">
        <v>20.43</v>
      </c>
      <c r="BJ69" s="945">
        <v>20.545000000000002</v>
      </c>
      <c r="BK69" s="945">
        <v>20.66</v>
      </c>
      <c r="BL69" s="945">
        <v>20.774999999999999</v>
      </c>
      <c r="BM69" s="945">
        <v>20.89</v>
      </c>
      <c r="BN69" s="945">
        <v>21</v>
      </c>
      <c r="BO69" s="945">
        <v>21.12</v>
      </c>
      <c r="BP69" s="945">
        <v>21.234999999999999</v>
      </c>
      <c r="BQ69" s="945">
        <v>21.344999999999999</v>
      </c>
      <c r="BR69" s="945">
        <v>21.46</v>
      </c>
      <c r="BS69" s="945">
        <v>21.57</v>
      </c>
      <c r="BT69" s="946">
        <v>21.68</v>
      </c>
      <c r="BU69" s="945">
        <v>21.795000000000002</v>
      </c>
      <c r="BV69" s="945">
        <v>21.905000000000001</v>
      </c>
      <c r="BW69" s="945">
        <v>22.015000000000001</v>
      </c>
      <c r="BX69" s="945">
        <v>22.125</v>
      </c>
      <c r="BY69" s="945">
        <v>22.234999999999999</v>
      </c>
      <c r="BZ69" s="945">
        <v>22.35</v>
      </c>
      <c r="CA69" s="945">
        <v>22.454999999999998</v>
      </c>
      <c r="CB69" s="945">
        <v>22.565000000000001</v>
      </c>
      <c r="CC69" s="945">
        <v>22.67</v>
      </c>
      <c r="CD69" s="945">
        <v>22.774999999999999</v>
      </c>
      <c r="CE69" s="945">
        <v>22.884999999999998</v>
      </c>
      <c r="CF69" s="945">
        <v>22.99</v>
      </c>
      <c r="CG69" s="945">
        <v>23.1</v>
      </c>
      <c r="CH69" s="945">
        <v>23.2</v>
      </c>
      <c r="CI69" s="945">
        <v>23.305</v>
      </c>
      <c r="CJ69" s="945">
        <v>23.405000000000001</v>
      </c>
      <c r="CK69" s="945">
        <v>23.515000000000001</v>
      </c>
      <c r="CL69" s="945">
        <v>23.614999999999998</v>
      </c>
      <c r="CM69" s="945">
        <v>23.72</v>
      </c>
      <c r="CN69" s="945">
        <v>23.82</v>
      </c>
      <c r="CO69" s="945">
        <v>23.92</v>
      </c>
      <c r="CP69" s="945">
        <v>24.024999999999999</v>
      </c>
      <c r="CQ69" s="945">
        <v>24.125</v>
      </c>
      <c r="CR69" s="945">
        <v>24.225000000000001</v>
      </c>
      <c r="CS69" s="945">
        <v>24.325000000000003</v>
      </c>
      <c r="CT69" s="945">
        <v>24.42</v>
      </c>
      <c r="CU69" s="945">
        <v>24.52</v>
      </c>
      <c r="CV69" s="945">
        <v>24.62</v>
      </c>
      <c r="CW69" s="945">
        <v>24.715</v>
      </c>
      <c r="CX69" s="945">
        <v>24.81</v>
      </c>
      <c r="CY69" s="945">
        <v>24.905000000000001</v>
      </c>
      <c r="CZ69" s="945">
        <v>25.005000000000003</v>
      </c>
      <c r="DA69" s="945">
        <v>25.094999999999999</v>
      </c>
      <c r="DB69" s="945">
        <v>25.189999999999998</v>
      </c>
      <c r="DC69" s="945">
        <v>25.285</v>
      </c>
      <c r="DD69" s="945">
        <v>25.380000000000003</v>
      </c>
      <c r="DE69" s="945">
        <v>25.47</v>
      </c>
      <c r="DF69" s="945">
        <v>25.564999999999998</v>
      </c>
      <c r="DG69" s="945">
        <v>25.655000000000001</v>
      </c>
      <c r="DH69" s="945">
        <v>25.744999999999997</v>
      </c>
      <c r="DI69" s="945">
        <v>25.835000000000001</v>
      </c>
      <c r="DJ69" s="945">
        <v>25.925000000000001</v>
      </c>
      <c r="DK69" s="945">
        <v>26.015000000000001</v>
      </c>
      <c r="DL69" s="945">
        <v>26.105</v>
      </c>
      <c r="DM69" s="945">
        <v>26.195</v>
      </c>
      <c r="DN69" s="945">
        <v>26.28</v>
      </c>
      <c r="DO69" s="945">
        <v>26.364999999999998</v>
      </c>
      <c r="DP69" s="945">
        <v>26.450000000000003</v>
      </c>
      <c r="DQ69" s="945">
        <v>26.54</v>
      </c>
      <c r="DR69" s="945">
        <v>26.625</v>
      </c>
    </row>
    <row r="70" spans="1:122" s="131" customFormat="1" ht="12.75">
      <c r="A70" s="949">
        <v>68</v>
      </c>
      <c r="B70" s="945"/>
      <c r="C70" s="945"/>
      <c r="D70" s="945"/>
      <c r="E70" s="945"/>
      <c r="F70" s="945"/>
      <c r="G70" s="945"/>
      <c r="H70" s="945"/>
      <c r="I70" s="945"/>
      <c r="J70" s="945"/>
      <c r="K70" s="945"/>
      <c r="L70" s="945"/>
      <c r="M70" s="945"/>
      <c r="N70" s="945"/>
      <c r="O70" s="945"/>
      <c r="P70" s="945"/>
      <c r="Q70" s="945"/>
      <c r="R70" s="945"/>
      <c r="S70" s="945"/>
      <c r="T70" s="945"/>
      <c r="U70" s="945"/>
      <c r="V70" s="945"/>
      <c r="W70" s="945">
        <v>15.015000000000001</v>
      </c>
      <c r="X70" s="945">
        <v>15.175000000000001</v>
      </c>
      <c r="Y70" s="945">
        <v>15.32</v>
      </c>
      <c r="Z70" s="945">
        <v>15.505000000000001</v>
      </c>
      <c r="AA70" s="945">
        <v>15.629999999999999</v>
      </c>
      <c r="AB70" s="945">
        <v>15.79</v>
      </c>
      <c r="AC70" s="945">
        <v>15.895</v>
      </c>
      <c r="AD70" s="945">
        <v>15.969999999999999</v>
      </c>
      <c r="AE70" s="945">
        <v>16.094999999999999</v>
      </c>
      <c r="AF70" s="945">
        <v>16.274999999999999</v>
      </c>
      <c r="AG70" s="945">
        <v>16.420000000000002</v>
      </c>
      <c r="AH70" s="945">
        <v>16.59</v>
      </c>
      <c r="AI70" s="945">
        <v>16.744999999999997</v>
      </c>
      <c r="AJ70" s="945">
        <v>16.91</v>
      </c>
      <c r="AK70" s="945">
        <v>17.100000000000001</v>
      </c>
      <c r="AL70" s="945">
        <v>17.29</v>
      </c>
      <c r="AM70" s="945">
        <v>17.46</v>
      </c>
      <c r="AN70" s="945">
        <v>17.585000000000001</v>
      </c>
      <c r="AO70" s="945">
        <v>17.68</v>
      </c>
      <c r="AP70" s="945">
        <v>17.760000000000002</v>
      </c>
      <c r="AQ70" s="945">
        <v>17.840000000000003</v>
      </c>
      <c r="AR70" s="945">
        <v>17.914999999999999</v>
      </c>
      <c r="AS70" s="945">
        <v>17.975000000000001</v>
      </c>
      <c r="AT70" s="945">
        <v>18.03</v>
      </c>
      <c r="AU70" s="945">
        <v>18.094999999999999</v>
      </c>
      <c r="AV70" s="945">
        <v>18.174999999999997</v>
      </c>
      <c r="AW70" s="945">
        <v>18.314999999999998</v>
      </c>
      <c r="AX70" s="945">
        <v>18.405000000000001</v>
      </c>
      <c r="AY70" s="945">
        <v>18.509999999999998</v>
      </c>
      <c r="AZ70" s="945">
        <v>18.625</v>
      </c>
      <c r="BA70" s="945">
        <v>18.740000000000002</v>
      </c>
      <c r="BB70" s="945">
        <v>18.86</v>
      </c>
      <c r="BC70" s="945">
        <v>18.975000000000001</v>
      </c>
      <c r="BD70" s="945">
        <v>19.09</v>
      </c>
      <c r="BE70" s="945">
        <v>19.2</v>
      </c>
      <c r="BF70" s="945">
        <v>19.314999999999998</v>
      </c>
      <c r="BG70" s="945">
        <v>19.43</v>
      </c>
      <c r="BH70" s="945">
        <v>19.545000000000002</v>
      </c>
      <c r="BI70" s="945">
        <v>19.655000000000001</v>
      </c>
      <c r="BJ70" s="945">
        <v>19.77</v>
      </c>
      <c r="BK70" s="945">
        <v>19.880000000000003</v>
      </c>
      <c r="BL70" s="945">
        <v>19.994999999999997</v>
      </c>
      <c r="BM70" s="945">
        <v>20.105</v>
      </c>
      <c r="BN70" s="945">
        <v>20.22</v>
      </c>
      <c r="BO70" s="945">
        <v>20.329999999999998</v>
      </c>
      <c r="BP70" s="945">
        <v>20.439999999999998</v>
      </c>
      <c r="BQ70" s="945">
        <v>20.555</v>
      </c>
      <c r="BR70" s="945">
        <v>20.66</v>
      </c>
      <c r="BS70" s="945">
        <v>20.770000000000003</v>
      </c>
      <c r="BT70" s="946">
        <v>20.88</v>
      </c>
      <c r="BU70" s="945">
        <v>20.984999999999999</v>
      </c>
      <c r="BV70" s="945">
        <v>21.094999999999999</v>
      </c>
      <c r="BW70" s="945">
        <v>21.204999999999998</v>
      </c>
      <c r="BX70" s="945">
        <v>21.310000000000002</v>
      </c>
      <c r="BY70" s="945">
        <v>21.42</v>
      </c>
      <c r="BZ70" s="945">
        <v>21.524999999999999</v>
      </c>
      <c r="CA70" s="945">
        <v>21.63</v>
      </c>
      <c r="CB70" s="945">
        <v>21.740000000000002</v>
      </c>
      <c r="CC70" s="945">
        <v>21.84</v>
      </c>
      <c r="CD70" s="945">
        <v>21.945</v>
      </c>
      <c r="CE70" s="945">
        <v>22.055</v>
      </c>
      <c r="CF70" s="945">
        <v>22.155000000000001</v>
      </c>
      <c r="CG70" s="945">
        <v>22.259999999999998</v>
      </c>
      <c r="CH70" s="945">
        <v>22.36</v>
      </c>
      <c r="CI70" s="945">
        <v>22.465</v>
      </c>
      <c r="CJ70" s="945">
        <v>22.564999999999998</v>
      </c>
      <c r="CK70" s="945">
        <v>22.664999999999999</v>
      </c>
      <c r="CL70" s="945">
        <v>22.77</v>
      </c>
      <c r="CM70" s="945">
        <v>22.869999999999997</v>
      </c>
      <c r="CN70" s="945">
        <v>22.965</v>
      </c>
      <c r="CO70" s="945">
        <v>23.064999999999998</v>
      </c>
      <c r="CP70" s="945">
        <v>23.164999999999999</v>
      </c>
      <c r="CQ70" s="945">
        <v>23.259999999999998</v>
      </c>
      <c r="CR70" s="945">
        <v>23.36</v>
      </c>
      <c r="CS70" s="945">
        <v>23.46</v>
      </c>
      <c r="CT70" s="945">
        <v>23.555</v>
      </c>
      <c r="CU70" s="945">
        <v>23.655000000000001</v>
      </c>
      <c r="CV70" s="945">
        <v>23.744999999999997</v>
      </c>
      <c r="CW70" s="945">
        <v>23.84</v>
      </c>
      <c r="CX70" s="945">
        <v>23.939999999999998</v>
      </c>
      <c r="CY70" s="945">
        <v>24.03</v>
      </c>
      <c r="CZ70" s="945">
        <v>24.125</v>
      </c>
      <c r="DA70" s="945">
        <v>24.215</v>
      </c>
      <c r="DB70" s="945">
        <v>24.310000000000002</v>
      </c>
      <c r="DC70" s="945">
        <v>24.4</v>
      </c>
      <c r="DD70" s="945">
        <v>24.490000000000002</v>
      </c>
      <c r="DE70" s="945">
        <v>24.585000000000001</v>
      </c>
      <c r="DF70" s="945">
        <v>24.675000000000001</v>
      </c>
      <c r="DG70" s="945">
        <v>24.765000000000001</v>
      </c>
      <c r="DH70" s="945">
        <v>24.85</v>
      </c>
      <c r="DI70" s="945">
        <v>24.939999999999998</v>
      </c>
      <c r="DJ70" s="945">
        <v>25.03</v>
      </c>
      <c r="DK70" s="945">
        <v>25.115000000000002</v>
      </c>
      <c r="DL70" s="945">
        <v>25.204999999999998</v>
      </c>
      <c r="DM70" s="945">
        <v>25.29</v>
      </c>
      <c r="DN70" s="945">
        <v>25.375</v>
      </c>
      <c r="DO70" s="945">
        <v>25.46</v>
      </c>
      <c r="DP70" s="945">
        <v>25.545000000000002</v>
      </c>
      <c r="DQ70" s="945">
        <v>25.63</v>
      </c>
      <c r="DR70" s="945">
        <v>25.71</v>
      </c>
    </row>
    <row r="71" spans="1:122" s="131" customFormat="1" ht="12.75">
      <c r="A71" s="949">
        <v>69</v>
      </c>
      <c r="B71" s="945"/>
      <c r="C71" s="945"/>
      <c r="D71" s="945"/>
      <c r="E71" s="945"/>
      <c r="F71" s="945"/>
      <c r="G71" s="945"/>
      <c r="H71" s="945"/>
      <c r="I71" s="945"/>
      <c r="J71" s="945"/>
      <c r="K71" s="945"/>
      <c r="L71" s="945"/>
      <c r="M71" s="945"/>
      <c r="N71" s="945"/>
      <c r="O71" s="945"/>
      <c r="P71" s="945"/>
      <c r="Q71" s="945"/>
      <c r="R71" s="945"/>
      <c r="S71" s="945"/>
      <c r="T71" s="945"/>
      <c r="U71" s="945"/>
      <c r="V71" s="945"/>
      <c r="W71" s="945">
        <v>14.375</v>
      </c>
      <c r="X71" s="945">
        <v>14.525</v>
      </c>
      <c r="Y71" s="945">
        <v>14.664999999999999</v>
      </c>
      <c r="Z71" s="945">
        <v>14.85</v>
      </c>
      <c r="AA71" s="945">
        <v>14.965</v>
      </c>
      <c r="AB71" s="945">
        <v>15.12</v>
      </c>
      <c r="AC71" s="945">
        <v>15.239999999999998</v>
      </c>
      <c r="AD71" s="945">
        <v>15.3</v>
      </c>
      <c r="AE71" s="945">
        <v>15.42</v>
      </c>
      <c r="AF71" s="945">
        <v>15.594999999999999</v>
      </c>
      <c r="AG71" s="945">
        <v>15.734999999999999</v>
      </c>
      <c r="AH71" s="945">
        <v>15.89</v>
      </c>
      <c r="AI71" s="945">
        <v>16.04</v>
      </c>
      <c r="AJ71" s="945">
        <v>16.21</v>
      </c>
      <c r="AK71" s="945">
        <v>16.38</v>
      </c>
      <c r="AL71" s="945">
        <v>16.555</v>
      </c>
      <c r="AM71" s="945">
        <v>16.72</v>
      </c>
      <c r="AN71" s="945">
        <v>16.835000000000001</v>
      </c>
      <c r="AO71" s="945">
        <v>16.93</v>
      </c>
      <c r="AP71" s="945">
        <v>17.009999999999998</v>
      </c>
      <c r="AQ71" s="945">
        <v>17.085000000000001</v>
      </c>
      <c r="AR71" s="945">
        <v>17.164999999999999</v>
      </c>
      <c r="AS71" s="945">
        <v>17.225000000000001</v>
      </c>
      <c r="AT71" s="945">
        <v>17.29</v>
      </c>
      <c r="AU71" s="945">
        <v>17.350000000000001</v>
      </c>
      <c r="AV71" s="945">
        <v>17.439999999999998</v>
      </c>
      <c r="AW71" s="945">
        <v>17.574999999999999</v>
      </c>
      <c r="AX71" s="945">
        <v>17.670000000000002</v>
      </c>
      <c r="AY71" s="945">
        <v>17.78</v>
      </c>
      <c r="AZ71" s="945">
        <v>17.89</v>
      </c>
      <c r="BA71" s="945">
        <v>18.004999999999999</v>
      </c>
      <c r="BB71" s="945">
        <v>18.114999999999998</v>
      </c>
      <c r="BC71" s="945">
        <v>18.225000000000001</v>
      </c>
      <c r="BD71" s="945">
        <v>18.34</v>
      </c>
      <c r="BE71" s="945">
        <v>18.45</v>
      </c>
      <c r="BF71" s="945">
        <v>18.560000000000002</v>
      </c>
      <c r="BG71" s="945">
        <v>18.674999999999997</v>
      </c>
      <c r="BH71" s="945">
        <v>18.78</v>
      </c>
      <c r="BI71" s="945">
        <v>18.89</v>
      </c>
      <c r="BJ71" s="945">
        <v>19.005000000000003</v>
      </c>
      <c r="BK71" s="945">
        <v>19.11</v>
      </c>
      <c r="BL71" s="945">
        <v>19.22</v>
      </c>
      <c r="BM71" s="945">
        <v>19.329999999999998</v>
      </c>
      <c r="BN71" s="945">
        <v>19.439999999999998</v>
      </c>
      <c r="BO71" s="945">
        <v>19.55</v>
      </c>
      <c r="BP71" s="945">
        <v>19.655000000000001</v>
      </c>
      <c r="BQ71" s="945">
        <v>19.765000000000001</v>
      </c>
      <c r="BR71" s="945">
        <v>19.87</v>
      </c>
      <c r="BS71" s="945">
        <v>19.975000000000001</v>
      </c>
      <c r="BT71" s="946">
        <v>20.085000000000001</v>
      </c>
      <c r="BU71" s="945">
        <v>20.190000000000001</v>
      </c>
      <c r="BV71" s="945">
        <v>20.29</v>
      </c>
      <c r="BW71" s="945">
        <v>20.395</v>
      </c>
      <c r="BX71" s="945">
        <v>20.505000000000003</v>
      </c>
      <c r="BY71" s="945">
        <v>20.61</v>
      </c>
      <c r="BZ71" s="945">
        <v>20.71</v>
      </c>
      <c r="CA71" s="945">
        <v>20.814999999999998</v>
      </c>
      <c r="CB71" s="945">
        <v>20.914999999999999</v>
      </c>
      <c r="CC71" s="945">
        <v>21.02</v>
      </c>
      <c r="CD71" s="945">
        <v>21.12</v>
      </c>
      <c r="CE71" s="945">
        <v>21.225000000000001</v>
      </c>
      <c r="CF71" s="945">
        <v>21.324999999999999</v>
      </c>
      <c r="CG71" s="945">
        <v>21.425000000000001</v>
      </c>
      <c r="CH71" s="945">
        <v>21.524999999999999</v>
      </c>
      <c r="CI71" s="945">
        <v>21.625</v>
      </c>
      <c r="CJ71" s="945">
        <v>21.725000000000001</v>
      </c>
      <c r="CK71" s="945">
        <v>21.82</v>
      </c>
      <c r="CL71" s="945">
        <v>21.92</v>
      </c>
      <c r="CM71" s="945">
        <v>22.02</v>
      </c>
      <c r="CN71" s="945">
        <v>22.115000000000002</v>
      </c>
      <c r="CO71" s="945">
        <v>22.215</v>
      </c>
      <c r="CP71" s="945">
        <v>22.31</v>
      </c>
      <c r="CQ71" s="945">
        <v>22.405000000000001</v>
      </c>
      <c r="CR71" s="945">
        <v>22.505000000000003</v>
      </c>
      <c r="CS71" s="945">
        <v>22.594999999999999</v>
      </c>
      <c r="CT71" s="945">
        <v>22.689999999999998</v>
      </c>
      <c r="CU71" s="945">
        <v>22.785</v>
      </c>
      <c r="CV71" s="945">
        <v>22.875</v>
      </c>
      <c r="CW71" s="945">
        <v>22.975000000000001</v>
      </c>
      <c r="CX71" s="945">
        <v>23.064999999999998</v>
      </c>
      <c r="CY71" s="945">
        <v>23.16</v>
      </c>
      <c r="CZ71" s="945">
        <v>23.25</v>
      </c>
      <c r="DA71" s="945">
        <v>23.335000000000001</v>
      </c>
      <c r="DB71" s="945">
        <v>23.43</v>
      </c>
      <c r="DC71" s="945">
        <v>23.520000000000003</v>
      </c>
      <c r="DD71" s="945">
        <v>23.61</v>
      </c>
      <c r="DE71" s="945">
        <v>23.695</v>
      </c>
      <c r="DF71" s="945">
        <v>23.785</v>
      </c>
      <c r="DG71" s="945">
        <v>23.875</v>
      </c>
      <c r="DH71" s="945">
        <v>23.96</v>
      </c>
      <c r="DI71" s="945">
        <v>24.045000000000002</v>
      </c>
      <c r="DJ71" s="945">
        <v>24.134999999999998</v>
      </c>
      <c r="DK71" s="945">
        <v>24.22</v>
      </c>
      <c r="DL71" s="945">
        <v>24.310000000000002</v>
      </c>
      <c r="DM71" s="945">
        <v>24.39</v>
      </c>
      <c r="DN71" s="945">
        <v>24.475000000000001</v>
      </c>
      <c r="DO71" s="945">
        <v>24.560000000000002</v>
      </c>
      <c r="DP71" s="945">
        <v>24.64</v>
      </c>
      <c r="DQ71" s="945">
        <v>24.725000000000001</v>
      </c>
      <c r="DR71" s="945">
        <v>24.805</v>
      </c>
    </row>
    <row r="72" spans="1:122" s="131" customFormat="1" ht="12.75">
      <c r="A72" s="949">
        <v>70</v>
      </c>
      <c r="B72" s="945"/>
      <c r="C72" s="945"/>
      <c r="D72" s="945"/>
      <c r="E72" s="945"/>
      <c r="F72" s="945"/>
      <c r="G72" s="945"/>
      <c r="H72" s="945"/>
      <c r="I72" s="945"/>
      <c r="J72" s="945"/>
      <c r="K72" s="945"/>
      <c r="L72" s="945"/>
      <c r="M72" s="945"/>
      <c r="N72" s="945"/>
      <c r="O72" s="945"/>
      <c r="P72" s="945"/>
      <c r="Q72" s="945"/>
      <c r="R72" s="945"/>
      <c r="S72" s="945"/>
      <c r="T72" s="945"/>
      <c r="U72" s="945"/>
      <c r="V72" s="945"/>
      <c r="W72" s="945">
        <v>13.74</v>
      </c>
      <c r="X72" s="945">
        <v>13.885</v>
      </c>
      <c r="Y72" s="945">
        <v>14.025</v>
      </c>
      <c r="Z72" s="945">
        <v>14.205</v>
      </c>
      <c r="AA72" s="945">
        <v>14.315000000000001</v>
      </c>
      <c r="AB72" s="945">
        <v>14.48</v>
      </c>
      <c r="AC72" s="945">
        <v>14.58</v>
      </c>
      <c r="AD72" s="945">
        <v>14.64</v>
      </c>
      <c r="AE72" s="945">
        <v>14.76</v>
      </c>
      <c r="AF72" s="945">
        <v>14.914999999999999</v>
      </c>
      <c r="AG72" s="945">
        <v>15.044999999999998</v>
      </c>
      <c r="AH72" s="945">
        <v>15.195</v>
      </c>
      <c r="AI72" s="945">
        <v>15.344999999999999</v>
      </c>
      <c r="AJ72" s="945">
        <v>15.504999999999999</v>
      </c>
      <c r="AK72" s="945">
        <v>15.67</v>
      </c>
      <c r="AL72" s="945">
        <v>15.835000000000001</v>
      </c>
      <c r="AM72" s="945">
        <v>15.984999999999999</v>
      </c>
      <c r="AN72" s="945">
        <v>16.100000000000001</v>
      </c>
      <c r="AO72" s="945">
        <v>16.195</v>
      </c>
      <c r="AP72" s="945">
        <v>16.265000000000001</v>
      </c>
      <c r="AQ72" s="945">
        <v>16.344999999999999</v>
      </c>
      <c r="AR72" s="945">
        <v>16.425000000000001</v>
      </c>
      <c r="AS72" s="945">
        <v>16.490000000000002</v>
      </c>
      <c r="AT72" s="945">
        <v>16.545000000000002</v>
      </c>
      <c r="AU72" s="945">
        <v>16.614999999999998</v>
      </c>
      <c r="AV72" s="945">
        <v>16.71</v>
      </c>
      <c r="AW72" s="945">
        <v>16.844999999999999</v>
      </c>
      <c r="AX72" s="945">
        <v>16.95</v>
      </c>
      <c r="AY72" s="945">
        <v>17.055</v>
      </c>
      <c r="AZ72" s="945">
        <v>17.164999999999999</v>
      </c>
      <c r="BA72" s="945">
        <v>17.27</v>
      </c>
      <c r="BB72" s="945">
        <v>17.38</v>
      </c>
      <c r="BC72" s="945">
        <v>17.490000000000002</v>
      </c>
      <c r="BD72" s="945">
        <v>17.594999999999999</v>
      </c>
      <c r="BE72" s="945">
        <v>17.704999999999998</v>
      </c>
      <c r="BF72" s="945">
        <v>17.814999999999998</v>
      </c>
      <c r="BG72" s="945">
        <v>17.920000000000002</v>
      </c>
      <c r="BH72" s="945">
        <v>18.024999999999999</v>
      </c>
      <c r="BI72" s="945">
        <v>18.134999999999998</v>
      </c>
      <c r="BJ72" s="945">
        <v>18.240000000000002</v>
      </c>
      <c r="BK72" s="945">
        <v>18.344999999999999</v>
      </c>
      <c r="BL72" s="945">
        <v>18.450000000000003</v>
      </c>
      <c r="BM72" s="945">
        <v>18.555</v>
      </c>
      <c r="BN72" s="945">
        <v>18.664999999999999</v>
      </c>
      <c r="BO72" s="945">
        <v>18.770000000000003</v>
      </c>
      <c r="BP72" s="945">
        <v>18.875</v>
      </c>
      <c r="BQ72" s="945">
        <v>18.975000000000001</v>
      </c>
      <c r="BR72" s="945">
        <v>19.079999999999998</v>
      </c>
      <c r="BS72" s="945">
        <v>19.184999999999999</v>
      </c>
      <c r="BT72" s="946">
        <v>19.29</v>
      </c>
      <c r="BU72" s="945">
        <v>19.39</v>
      </c>
      <c r="BV72" s="945">
        <v>19.495000000000001</v>
      </c>
      <c r="BW72" s="945">
        <v>19.594999999999999</v>
      </c>
      <c r="BX72" s="945">
        <v>19.7</v>
      </c>
      <c r="BY72" s="945">
        <v>19.795000000000002</v>
      </c>
      <c r="BZ72" s="945">
        <v>19.899999999999999</v>
      </c>
      <c r="CA72" s="945">
        <v>20</v>
      </c>
      <c r="CB72" s="945">
        <v>20.100000000000001</v>
      </c>
      <c r="CC72" s="945">
        <v>20.200000000000003</v>
      </c>
      <c r="CD72" s="945">
        <v>20.3</v>
      </c>
      <c r="CE72" s="945">
        <v>20.399999999999999</v>
      </c>
      <c r="CF72" s="945">
        <v>20.495000000000001</v>
      </c>
      <c r="CG72" s="945">
        <v>20.594999999999999</v>
      </c>
      <c r="CH72" s="945">
        <v>20.689999999999998</v>
      </c>
      <c r="CI72" s="945">
        <v>20.79</v>
      </c>
      <c r="CJ72" s="945">
        <v>20.884999999999998</v>
      </c>
      <c r="CK72" s="945">
        <v>20.98</v>
      </c>
      <c r="CL72" s="945">
        <v>21.08</v>
      </c>
      <c r="CM72" s="945">
        <v>21.175000000000001</v>
      </c>
      <c r="CN72" s="945">
        <v>21.27</v>
      </c>
      <c r="CO72" s="945">
        <v>21.365000000000002</v>
      </c>
      <c r="CP72" s="945">
        <v>21.454999999999998</v>
      </c>
      <c r="CQ72" s="945">
        <v>21.555</v>
      </c>
      <c r="CR72" s="945">
        <v>21.645</v>
      </c>
      <c r="CS72" s="945">
        <v>21.740000000000002</v>
      </c>
      <c r="CT72" s="945">
        <v>21.835000000000001</v>
      </c>
      <c r="CU72" s="945">
        <v>21.92</v>
      </c>
      <c r="CV72" s="945">
        <v>22.009999999999998</v>
      </c>
      <c r="CW72" s="945">
        <v>22.105</v>
      </c>
      <c r="CX72" s="945">
        <v>22.195</v>
      </c>
      <c r="CY72" s="945">
        <v>22.285</v>
      </c>
      <c r="CZ72" s="945">
        <v>22.375</v>
      </c>
      <c r="DA72" s="945">
        <v>22.465</v>
      </c>
      <c r="DB72" s="945">
        <v>22.555</v>
      </c>
      <c r="DC72" s="945">
        <v>22.64</v>
      </c>
      <c r="DD72" s="945">
        <v>22.73</v>
      </c>
      <c r="DE72" s="945">
        <v>22.815000000000001</v>
      </c>
      <c r="DF72" s="945">
        <v>22.9</v>
      </c>
      <c r="DG72" s="945">
        <v>22.990000000000002</v>
      </c>
      <c r="DH72" s="945">
        <v>23.074999999999999</v>
      </c>
      <c r="DI72" s="945">
        <v>23.155000000000001</v>
      </c>
      <c r="DJ72" s="945">
        <v>23.24</v>
      </c>
      <c r="DK72" s="945">
        <v>23.33</v>
      </c>
      <c r="DL72" s="945">
        <v>23.41</v>
      </c>
      <c r="DM72" s="945">
        <v>23.494999999999997</v>
      </c>
      <c r="DN72" s="945">
        <v>23.58</v>
      </c>
      <c r="DO72" s="945">
        <v>23.66</v>
      </c>
      <c r="DP72" s="945">
        <v>23.744999999999997</v>
      </c>
      <c r="DQ72" s="945">
        <v>23.82</v>
      </c>
      <c r="DR72" s="945">
        <v>23.9</v>
      </c>
    </row>
    <row r="73" spans="1:122" s="131" customFormat="1" ht="12.75">
      <c r="A73" s="949">
        <v>71</v>
      </c>
      <c r="B73" s="945"/>
      <c r="C73" s="945"/>
      <c r="D73" s="945"/>
      <c r="E73" s="945"/>
      <c r="F73" s="945"/>
      <c r="G73" s="945"/>
      <c r="H73" s="945"/>
      <c r="I73" s="945"/>
      <c r="J73" s="945"/>
      <c r="K73" s="945"/>
      <c r="L73" s="945"/>
      <c r="M73" s="945"/>
      <c r="N73" s="945"/>
      <c r="O73" s="945"/>
      <c r="P73" s="945"/>
      <c r="Q73" s="945"/>
      <c r="R73" s="945"/>
      <c r="S73" s="945"/>
      <c r="T73" s="945"/>
      <c r="U73" s="945"/>
      <c r="V73" s="945"/>
      <c r="W73" s="945">
        <v>13.115</v>
      </c>
      <c r="X73" s="945">
        <v>13.260000000000002</v>
      </c>
      <c r="Y73" s="945">
        <v>13.395</v>
      </c>
      <c r="Z73" s="945">
        <v>13.58</v>
      </c>
      <c r="AA73" s="945">
        <v>13.68</v>
      </c>
      <c r="AB73" s="945">
        <v>13.824999999999999</v>
      </c>
      <c r="AC73" s="945">
        <v>13.93</v>
      </c>
      <c r="AD73" s="945">
        <v>13.984999999999999</v>
      </c>
      <c r="AE73" s="945">
        <v>14.094999999999999</v>
      </c>
      <c r="AF73" s="945">
        <v>14.25</v>
      </c>
      <c r="AG73" s="945">
        <v>14.365</v>
      </c>
      <c r="AH73" s="945">
        <v>14.52</v>
      </c>
      <c r="AI73" s="945">
        <v>14.654999999999999</v>
      </c>
      <c r="AJ73" s="945">
        <v>14.81</v>
      </c>
      <c r="AK73" s="945">
        <v>14.95</v>
      </c>
      <c r="AL73" s="945">
        <v>15.114999999999998</v>
      </c>
      <c r="AM73" s="945">
        <v>15.254999999999999</v>
      </c>
      <c r="AN73" s="945">
        <v>15.370000000000001</v>
      </c>
      <c r="AO73" s="945">
        <v>15.465</v>
      </c>
      <c r="AP73" s="945">
        <v>15.535</v>
      </c>
      <c r="AQ73" s="945">
        <v>15.615</v>
      </c>
      <c r="AR73" s="945">
        <v>15.695</v>
      </c>
      <c r="AS73" s="945">
        <v>15.75</v>
      </c>
      <c r="AT73" s="945">
        <v>15.824999999999999</v>
      </c>
      <c r="AU73" s="945">
        <v>15.904999999999999</v>
      </c>
      <c r="AV73" s="945">
        <v>16.004999999999999</v>
      </c>
      <c r="AW73" s="945">
        <v>16.13</v>
      </c>
      <c r="AX73" s="945">
        <v>16.23</v>
      </c>
      <c r="AY73" s="945">
        <v>16.335000000000001</v>
      </c>
      <c r="AZ73" s="945">
        <v>16.440000000000001</v>
      </c>
      <c r="BA73" s="945">
        <v>16.544999999999998</v>
      </c>
      <c r="BB73" s="945">
        <v>16.649999999999999</v>
      </c>
      <c r="BC73" s="945">
        <v>16.755000000000003</v>
      </c>
      <c r="BD73" s="945">
        <v>16.86</v>
      </c>
      <c r="BE73" s="945">
        <v>16.965</v>
      </c>
      <c r="BF73" s="945">
        <v>17.07</v>
      </c>
      <c r="BG73" s="945">
        <v>17.175000000000001</v>
      </c>
      <c r="BH73" s="945">
        <v>17.28</v>
      </c>
      <c r="BI73" s="945">
        <v>17.375</v>
      </c>
      <c r="BJ73" s="945">
        <v>17.48</v>
      </c>
      <c r="BK73" s="945">
        <v>17.585000000000001</v>
      </c>
      <c r="BL73" s="945">
        <v>17.689999999999998</v>
      </c>
      <c r="BM73" s="945">
        <v>17.79</v>
      </c>
      <c r="BN73" s="945">
        <v>17.895</v>
      </c>
      <c r="BO73" s="945">
        <v>17.995000000000001</v>
      </c>
      <c r="BP73" s="945">
        <v>18.094999999999999</v>
      </c>
      <c r="BQ73" s="945">
        <v>18.2</v>
      </c>
      <c r="BR73" s="945">
        <v>18.295000000000002</v>
      </c>
      <c r="BS73" s="945">
        <v>18.399999999999999</v>
      </c>
      <c r="BT73" s="946">
        <v>18.5</v>
      </c>
      <c r="BU73" s="945">
        <v>18.594999999999999</v>
      </c>
      <c r="BV73" s="945">
        <v>18.700000000000003</v>
      </c>
      <c r="BW73" s="945">
        <v>18.795000000000002</v>
      </c>
      <c r="BX73" s="945">
        <v>18.895000000000003</v>
      </c>
      <c r="BY73" s="945">
        <v>18.990000000000002</v>
      </c>
      <c r="BZ73" s="945">
        <v>19.094999999999999</v>
      </c>
      <c r="CA73" s="945">
        <v>19.189999999999998</v>
      </c>
      <c r="CB73" s="945">
        <v>19.29</v>
      </c>
      <c r="CC73" s="945">
        <v>19.384999999999998</v>
      </c>
      <c r="CD73" s="945">
        <v>19.48</v>
      </c>
      <c r="CE73" s="945">
        <v>19.579999999999998</v>
      </c>
      <c r="CF73" s="945">
        <v>19.675000000000001</v>
      </c>
      <c r="CG73" s="945">
        <v>19.770000000000003</v>
      </c>
      <c r="CH73" s="945">
        <v>19.865000000000002</v>
      </c>
      <c r="CI73" s="945">
        <v>19.954999999999998</v>
      </c>
      <c r="CJ73" s="945">
        <v>20.049999999999997</v>
      </c>
      <c r="CK73" s="945">
        <v>20.149999999999999</v>
      </c>
      <c r="CL73" s="945">
        <v>20.244999999999997</v>
      </c>
      <c r="CM73" s="945">
        <v>20.335000000000001</v>
      </c>
      <c r="CN73" s="945">
        <v>20.425000000000001</v>
      </c>
      <c r="CO73" s="945">
        <v>20.515000000000001</v>
      </c>
      <c r="CP73" s="945">
        <v>20.61</v>
      </c>
      <c r="CQ73" s="945">
        <v>20.700000000000003</v>
      </c>
      <c r="CR73" s="945">
        <v>20.795000000000002</v>
      </c>
      <c r="CS73" s="945">
        <v>20.884999999999998</v>
      </c>
      <c r="CT73" s="945">
        <v>20.97</v>
      </c>
      <c r="CU73" s="945">
        <v>21.064999999999998</v>
      </c>
      <c r="CV73" s="945">
        <v>21.155000000000001</v>
      </c>
      <c r="CW73" s="945">
        <v>21.240000000000002</v>
      </c>
      <c r="CX73" s="945">
        <v>21.33</v>
      </c>
      <c r="CY73" s="945">
        <v>21.414999999999999</v>
      </c>
      <c r="CZ73" s="945">
        <v>21.504999999999999</v>
      </c>
      <c r="DA73" s="945">
        <v>21.594999999999999</v>
      </c>
      <c r="DB73" s="945">
        <v>21.674999999999997</v>
      </c>
      <c r="DC73" s="945">
        <v>21.765000000000001</v>
      </c>
      <c r="DD73" s="945">
        <v>21.85</v>
      </c>
      <c r="DE73" s="945">
        <v>21.935000000000002</v>
      </c>
      <c r="DF73" s="945">
        <v>22.02</v>
      </c>
      <c r="DG73" s="945">
        <v>22.105</v>
      </c>
      <c r="DH73" s="945">
        <v>22.185000000000002</v>
      </c>
      <c r="DI73" s="945">
        <v>22.27</v>
      </c>
      <c r="DJ73" s="945">
        <v>22.354999999999997</v>
      </c>
      <c r="DK73" s="945">
        <v>22.434999999999999</v>
      </c>
      <c r="DL73" s="945">
        <v>22.52</v>
      </c>
      <c r="DM73" s="945">
        <v>22.6</v>
      </c>
      <c r="DN73" s="945">
        <v>22.68</v>
      </c>
      <c r="DO73" s="945">
        <v>22.759999999999998</v>
      </c>
      <c r="DP73" s="945">
        <v>22.84</v>
      </c>
      <c r="DQ73" s="945">
        <v>22.92</v>
      </c>
      <c r="DR73" s="945">
        <v>23</v>
      </c>
    </row>
    <row r="74" spans="1:122" s="131" customFormat="1" ht="12.75">
      <c r="A74" s="949">
        <v>72</v>
      </c>
      <c r="B74" s="945"/>
      <c r="C74" s="945"/>
      <c r="D74" s="945"/>
      <c r="E74" s="945"/>
      <c r="F74" s="945"/>
      <c r="G74" s="945"/>
      <c r="H74" s="945"/>
      <c r="I74" s="945"/>
      <c r="J74" s="945"/>
      <c r="K74" s="945"/>
      <c r="L74" s="945"/>
      <c r="M74" s="945"/>
      <c r="N74" s="945"/>
      <c r="O74" s="945"/>
      <c r="P74" s="945"/>
      <c r="Q74" s="945"/>
      <c r="R74" s="945"/>
      <c r="S74" s="945"/>
      <c r="T74" s="945"/>
      <c r="U74" s="945"/>
      <c r="V74" s="945"/>
      <c r="W74" s="945">
        <v>12.51</v>
      </c>
      <c r="X74" s="945">
        <v>12.645</v>
      </c>
      <c r="Y74" s="945">
        <v>12.775</v>
      </c>
      <c r="Z74" s="945">
        <v>12.965</v>
      </c>
      <c r="AA74" s="945">
        <v>13.05</v>
      </c>
      <c r="AB74" s="945">
        <v>13.19</v>
      </c>
      <c r="AC74" s="945">
        <v>13.29</v>
      </c>
      <c r="AD74" s="945">
        <v>13.34</v>
      </c>
      <c r="AE74" s="945">
        <v>13.434999999999999</v>
      </c>
      <c r="AF74" s="945">
        <v>13.59</v>
      </c>
      <c r="AG74" s="945">
        <v>13.705</v>
      </c>
      <c r="AH74" s="945">
        <v>13.844999999999999</v>
      </c>
      <c r="AI74" s="945">
        <v>13.97</v>
      </c>
      <c r="AJ74" s="945">
        <v>14.114999999999998</v>
      </c>
      <c r="AK74" s="945">
        <v>14.25</v>
      </c>
      <c r="AL74" s="945">
        <v>14.405000000000001</v>
      </c>
      <c r="AM74" s="945">
        <v>14.545</v>
      </c>
      <c r="AN74" s="945">
        <v>14.645</v>
      </c>
      <c r="AO74" s="945">
        <v>14.74</v>
      </c>
      <c r="AP74" s="945">
        <v>14.815</v>
      </c>
      <c r="AQ74" s="945">
        <v>14.89</v>
      </c>
      <c r="AR74" s="945">
        <v>14.965</v>
      </c>
      <c r="AS74" s="945">
        <v>15.040000000000001</v>
      </c>
      <c r="AT74" s="945">
        <v>15.110000000000001</v>
      </c>
      <c r="AU74" s="945">
        <v>15.200000000000001</v>
      </c>
      <c r="AV74" s="945">
        <v>15.31</v>
      </c>
      <c r="AW74" s="945">
        <v>15.414999999999999</v>
      </c>
      <c r="AX74" s="945">
        <v>15.515000000000001</v>
      </c>
      <c r="AY74" s="945">
        <v>15.620000000000001</v>
      </c>
      <c r="AZ74" s="945">
        <v>15.719999999999999</v>
      </c>
      <c r="BA74" s="945">
        <v>15.824999999999999</v>
      </c>
      <c r="BB74" s="945">
        <v>15.925000000000001</v>
      </c>
      <c r="BC74" s="945">
        <v>16.03</v>
      </c>
      <c r="BD74" s="945">
        <v>16.125</v>
      </c>
      <c r="BE74" s="945">
        <v>16.23</v>
      </c>
      <c r="BF74" s="945">
        <v>16.329999999999998</v>
      </c>
      <c r="BG74" s="945">
        <v>16.43</v>
      </c>
      <c r="BH74" s="945">
        <v>16.53</v>
      </c>
      <c r="BI74" s="945">
        <v>16.63</v>
      </c>
      <c r="BJ74" s="945">
        <v>16.73</v>
      </c>
      <c r="BK74" s="945">
        <v>16.829999999999998</v>
      </c>
      <c r="BL74" s="945">
        <v>16.93</v>
      </c>
      <c r="BM74" s="945">
        <v>17.03</v>
      </c>
      <c r="BN74" s="945">
        <v>17.125</v>
      </c>
      <c r="BO74" s="945">
        <v>17.225000000000001</v>
      </c>
      <c r="BP74" s="945">
        <v>17.325000000000003</v>
      </c>
      <c r="BQ74" s="945">
        <v>17.420000000000002</v>
      </c>
      <c r="BR74" s="945">
        <v>17.515000000000001</v>
      </c>
      <c r="BS74" s="945">
        <v>17.619999999999997</v>
      </c>
      <c r="BT74" s="946">
        <v>17.715000000000003</v>
      </c>
      <c r="BU74" s="945">
        <v>17.810000000000002</v>
      </c>
      <c r="BV74" s="945">
        <v>17.905000000000001</v>
      </c>
      <c r="BW74" s="945">
        <v>18.005000000000003</v>
      </c>
      <c r="BX74" s="945">
        <v>18.100000000000001</v>
      </c>
      <c r="BY74" s="945">
        <v>18.195</v>
      </c>
      <c r="BZ74" s="945">
        <v>18.29</v>
      </c>
      <c r="CA74" s="945">
        <v>18.384999999999998</v>
      </c>
      <c r="CB74" s="945">
        <v>18.48</v>
      </c>
      <c r="CC74" s="945">
        <v>18.575000000000003</v>
      </c>
      <c r="CD74" s="945">
        <v>18.664999999999999</v>
      </c>
      <c r="CE74" s="945">
        <v>18.759999999999998</v>
      </c>
      <c r="CF74" s="945">
        <v>18.854999999999997</v>
      </c>
      <c r="CG74" s="945">
        <v>18.95</v>
      </c>
      <c r="CH74" s="945">
        <v>19.04</v>
      </c>
      <c r="CI74" s="945">
        <v>19.134999999999998</v>
      </c>
      <c r="CJ74" s="945">
        <v>19.225000000000001</v>
      </c>
      <c r="CK74" s="945">
        <v>19.315000000000001</v>
      </c>
      <c r="CL74" s="945">
        <v>19.405000000000001</v>
      </c>
      <c r="CM74" s="945">
        <v>19.5</v>
      </c>
      <c r="CN74" s="945">
        <v>19.585000000000001</v>
      </c>
      <c r="CO74" s="945">
        <v>19.68</v>
      </c>
      <c r="CP74" s="945">
        <v>19.77</v>
      </c>
      <c r="CQ74" s="945">
        <v>19.855</v>
      </c>
      <c r="CR74" s="945">
        <v>19.945</v>
      </c>
      <c r="CS74" s="945">
        <v>20.035</v>
      </c>
      <c r="CT74" s="945">
        <v>20.12</v>
      </c>
      <c r="CU74" s="945">
        <v>20.21</v>
      </c>
      <c r="CV74" s="945">
        <v>20.295000000000002</v>
      </c>
      <c r="CW74" s="945">
        <v>20.380000000000003</v>
      </c>
      <c r="CX74" s="945">
        <v>20.47</v>
      </c>
      <c r="CY74" s="945">
        <v>20.555</v>
      </c>
      <c r="CZ74" s="945">
        <v>20.64</v>
      </c>
      <c r="DA74" s="945">
        <v>20.725000000000001</v>
      </c>
      <c r="DB74" s="945">
        <v>20.805</v>
      </c>
      <c r="DC74" s="945">
        <v>20.89</v>
      </c>
      <c r="DD74" s="945">
        <v>20.975000000000001</v>
      </c>
      <c r="DE74" s="945">
        <v>21.06</v>
      </c>
      <c r="DF74" s="945">
        <v>21.14</v>
      </c>
      <c r="DG74" s="945">
        <v>21.225000000000001</v>
      </c>
      <c r="DH74" s="945">
        <v>21.305</v>
      </c>
      <c r="DI74" s="945">
        <v>21.39</v>
      </c>
      <c r="DJ74" s="945">
        <v>21.47</v>
      </c>
      <c r="DK74" s="945">
        <v>21.549999999999997</v>
      </c>
      <c r="DL74" s="945">
        <v>21.63</v>
      </c>
      <c r="DM74" s="945">
        <v>21.71</v>
      </c>
      <c r="DN74" s="945">
        <v>21.79</v>
      </c>
      <c r="DO74" s="945">
        <v>21.87</v>
      </c>
      <c r="DP74" s="945">
        <v>21.945</v>
      </c>
      <c r="DQ74" s="945">
        <v>22.024999999999999</v>
      </c>
      <c r="DR74" s="945">
        <v>22.1</v>
      </c>
    </row>
    <row r="75" spans="1:122" s="131" customFormat="1" ht="12.75">
      <c r="A75" s="949">
        <v>73</v>
      </c>
      <c r="B75" s="945"/>
      <c r="C75" s="945"/>
      <c r="D75" s="945"/>
      <c r="E75" s="945"/>
      <c r="F75" s="945"/>
      <c r="G75" s="945"/>
      <c r="H75" s="945"/>
      <c r="I75" s="945"/>
      <c r="J75" s="945"/>
      <c r="K75" s="945"/>
      <c r="L75" s="945"/>
      <c r="M75" s="945"/>
      <c r="N75" s="945"/>
      <c r="O75" s="945"/>
      <c r="P75" s="945"/>
      <c r="Q75" s="945"/>
      <c r="R75" s="945"/>
      <c r="S75" s="945"/>
      <c r="T75" s="945"/>
      <c r="U75" s="945"/>
      <c r="V75" s="945"/>
      <c r="W75" s="945">
        <v>11.925000000000001</v>
      </c>
      <c r="X75" s="945">
        <v>12.045</v>
      </c>
      <c r="Y75" s="945">
        <v>12.185</v>
      </c>
      <c r="Z75" s="945">
        <v>12.35</v>
      </c>
      <c r="AA75" s="945">
        <v>12.434999999999999</v>
      </c>
      <c r="AB75" s="945">
        <v>12.57</v>
      </c>
      <c r="AC75" s="945">
        <v>12.654999999999999</v>
      </c>
      <c r="AD75" s="945">
        <v>12.695</v>
      </c>
      <c r="AE75" s="945">
        <v>12.795</v>
      </c>
      <c r="AF75" s="945">
        <v>12.945</v>
      </c>
      <c r="AG75" s="945">
        <v>13.05</v>
      </c>
      <c r="AH75" s="945">
        <v>13.175000000000001</v>
      </c>
      <c r="AI75" s="945">
        <v>13.295</v>
      </c>
      <c r="AJ75" s="945">
        <v>13.425000000000001</v>
      </c>
      <c r="AK75" s="945">
        <v>13.56</v>
      </c>
      <c r="AL75" s="945">
        <v>13.705</v>
      </c>
      <c r="AM75" s="945">
        <v>13.835000000000001</v>
      </c>
      <c r="AN75" s="945">
        <v>13.94</v>
      </c>
      <c r="AO75" s="945">
        <v>14.03</v>
      </c>
      <c r="AP75" s="945">
        <v>14.105</v>
      </c>
      <c r="AQ75" s="945">
        <v>14.175000000000001</v>
      </c>
      <c r="AR75" s="945">
        <v>14.265000000000001</v>
      </c>
      <c r="AS75" s="945">
        <v>14.33</v>
      </c>
      <c r="AT75" s="945">
        <v>14.41</v>
      </c>
      <c r="AU75" s="945">
        <v>14.504999999999999</v>
      </c>
      <c r="AV75" s="945">
        <v>14.62</v>
      </c>
      <c r="AW75" s="945">
        <v>14.715</v>
      </c>
      <c r="AX75" s="945">
        <v>14.815</v>
      </c>
      <c r="AY75" s="945">
        <v>14.914999999999999</v>
      </c>
      <c r="AZ75" s="945">
        <v>15.01</v>
      </c>
      <c r="BA75" s="945">
        <v>15.11</v>
      </c>
      <c r="BB75" s="945">
        <v>15.205000000000002</v>
      </c>
      <c r="BC75" s="945">
        <v>15.305</v>
      </c>
      <c r="BD75" s="945">
        <v>15.399999999999999</v>
      </c>
      <c r="BE75" s="945">
        <v>15.494999999999999</v>
      </c>
      <c r="BF75" s="945">
        <v>15.594999999999999</v>
      </c>
      <c r="BG75" s="945">
        <v>15.690000000000001</v>
      </c>
      <c r="BH75" s="945">
        <v>15.79</v>
      </c>
      <c r="BI75" s="945">
        <v>15.885</v>
      </c>
      <c r="BJ75" s="945">
        <v>15.984999999999999</v>
      </c>
      <c r="BK75" s="945">
        <v>16.080000000000002</v>
      </c>
      <c r="BL75" s="945">
        <v>16.175000000000001</v>
      </c>
      <c r="BM75" s="945">
        <v>16.27</v>
      </c>
      <c r="BN75" s="945">
        <v>16.365000000000002</v>
      </c>
      <c r="BO75" s="945">
        <v>16.46</v>
      </c>
      <c r="BP75" s="945">
        <v>16.555</v>
      </c>
      <c r="BQ75" s="945">
        <v>16.649999999999999</v>
      </c>
      <c r="BR75" s="945">
        <v>16.745000000000001</v>
      </c>
      <c r="BS75" s="945">
        <v>16.84</v>
      </c>
      <c r="BT75" s="946">
        <v>16.934999999999999</v>
      </c>
      <c r="BU75" s="945">
        <v>17.03</v>
      </c>
      <c r="BV75" s="945">
        <v>17.125</v>
      </c>
      <c r="BW75" s="945">
        <v>17.215</v>
      </c>
      <c r="BX75" s="945">
        <v>17.305</v>
      </c>
      <c r="BY75" s="945">
        <v>17.399999999999999</v>
      </c>
      <c r="BZ75" s="945">
        <v>17.495000000000001</v>
      </c>
      <c r="CA75" s="945">
        <v>17.585000000000001</v>
      </c>
      <c r="CB75" s="945">
        <v>17.674999999999997</v>
      </c>
      <c r="CC75" s="945">
        <v>17.77</v>
      </c>
      <c r="CD75" s="945">
        <v>17.86</v>
      </c>
      <c r="CE75" s="945">
        <v>17.950000000000003</v>
      </c>
      <c r="CF75" s="945">
        <v>18.04</v>
      </c>
      <c r="CG75" s="945">
        <v>18.134999999999998</v>
      </c>
      <c r="CH75" s="945">
        <v>18.22</v>
      </c>
      <c r="CI75" s="945">
        <v>18.314999999999998</v>
      </c>
      <c r="CJ75" s="945">
        <v>18.399999999999999</v>
      </c>
      <c r="CK75" s="945">
        <v>18.490000000000002</v>
      </c>
      <c r="CL75" s="945">
        <v>18.579999999999998</v>
      </c>
      <c r="CM75" s="945">
        <v>18.664999999999999</v>
      </c>
      <c r="CN75" s="945">
        <v>18.755000000000003</v>
      </c>
      <c r="CO75" s="945">
        <v>18.84</v>
      </c>
      <c r="CP75" s="945">
        <v>18.925000000000001</v>
      </c>
      <c r="CQ75" s="945">
        <v>19.015000000000001</v>
      </c>
      <c r="CR75" s="945">
        <v>19.100000000000001</v>
      </c>
      <c r="CS75" s="945">
        <v>19.185000000000002</v>
      </c>
      <c r="CT75" s="945">
        <v>19.270000000000003</v>
      </c>
      <c r="CU75" s="945">
        <v>19.355</v>
      </c>
      <c r="CV75" s="945">
        <v>19.440000000000001</v>
      </c>
      <c r="CW75" s="945">
        <v>19.524999999999999</v>
      </c>
      <c r="CX75" s="945">
        <v>19.61</v>
      </c>
      <c r="CY75" s="945">
        <v>19.695</v>
      </c>
      <c r="CZ75" s="945">
        <v>19.774999999999999</v>
      </c>
      <c r="DA75" s="945">
        <v>19.86</v>
      </c>
      <c r="DB75" s="945">
        <v>19.945</v>
      </c>
      <c r="DC75" s="945">
        <v>20.024999999999999</v>
      </c>
      <c r="DD75" s="945">
        <v>20.11</v>
      </c>
      <c r="DE75" s="945">
        <v>20.184999999999999</v>
      </c>
      <c r="DF75" s="945">
        <v>20.27</v>
      </c>
      <c r="DG75" s="945">
        <v>20.350000000000001</v>
      </c>
      <c r="DH75" s="945">
        <v>20.43</v>
      </c>
      <c r="DI75" s="945">
        <v>20.509999999999998</v>
      </c>
      <c r="DJ75" s="945">
        <v>20.585000000000001</v>
      </c>
      <c r="DK75" s="945">
        <v>20.67</v>
      </c>
      <c r="DL75" s="945">
        <v>20.744999999999997</v>
      </c>
      <c r="DM75" s="945">
        <v>20.824999999999999</v>
      </c>
      <c r="DN75" s="945">
        <v>20.9</v>
      </c>
      <c r="DO75" s="945">
        <v>20.975000000000001</v>
      </c>
      <c r="DP75" s="945">
        <v>21.055</v>
      </c>
      <c r="DQ75" s="945">
        <v>21.130000000000003</v>
      </c>
      <c r="DR75" s="945">
        <v>21.204999999999998</v>
      </c>
    </row>
    <row r="76" spans="1:122" s="131" customFormat="1" ht="12.75">
      <c r="A76" s="949">
        <v>74</v>
      </c>
      <c r="B76" s="945"/>
      <c r="C76" s="945"/>
      <c r="D76" s="945"/>
      <c r="E76" s="945"/>
      <c r="F76" s="945"/>
      <c r="G76" s="945"/>
      <c r="H76" s="945"/>
      <c r="I76" s="945"/>
      <c r="J76" s="945"/>
      <c r="K76" s="945"/>
      <c r="L76" s="945"/>
      <c r="M76" s="945"/>
      <c r="N76" s="945"/>
      <c r="O76" s="945"/>
      <c r="P76" s="945"/>
      <c r="Q76" s="945"/>
      <c r="R76" s="945"/>
      <c r="S76" s="945"/>
      <c r="T76" s="945"/>
      <c r="U76" s="945"/>
      <c r="V76" s="945"/>
      <c r="W76" s="945">
        <v>11.34</v>
      </c>
      <c r="X76" s="945">
        <v>11.465</v>
      </c>
      <c r="Y76" s="945">
        <v>11.59</v>
      </c>
      <c r="Z76" s="945">
        <v>11.745000000000001</v>
      </c>
      <c r="AA76" s="945">
        <v>11.83</v>
      </c>
      <c r="AB76" s="945">
        <v>11.945</v>
      </c>
      <c r="AC76" s="945">
        <v>12.025</v>
      </c>
      <c r="AD76" s="945">
        <v>12.06</v>
      </c>
      <c r="AE76" s="945">
        <v>12.17</v>
      </c>
      <c r="AF76" s="945">
        <v>12.305</v>
      </c>
      <c r="AG76" s="945">
        <v>12.404999999999999</v>
      </c>
      <c r="AH76" s="945">
        <v>12.504999999999999</v>
      </c>
      <c r="AI76" s="945">
        <v>12.620000000000001</v>
      </c>
      <c r="AJ76" s="945">
        <v>12.754999999999999</v>
      </c>
      <c r="AK76" s="945">
        <v>12.885</v>
      </c>
      <c r="AL76" s="945">
        <v>13.01</v>
      </c>
      <c r="AM76" s="945">
        <v>13.135</v>
      </c>
      <c r="AN76" s="945">
        <v>13.234999999999999</v>
      </c>
      <c r="AO76" s="945">
        <v>13.335000000000001</v>
      </c>
      <c r="AP76" s="945">
        <v>13.395</v>
      </c>
      <c r="AQ76" s="945">
        <v>13.48</v>
      </c>
      <c r="AR76" s="945">
        <v>13.559999999999999</v>
      </c>
      <c r="AS76" s="945">
        <v>13.635</v>
      </c>
      <c r="AT76" s="945">
        <v>13.73</v>
      </c>
      <c r="AU76" s="945">
        <v>13.83</v>
      </c>
      <c r="AV76" s="945">
        <v>13.92</v>
      </c>
      <c r="AW76" s="945">
        <v>14.02</v>
      </c>
      <c r="AX76" s="945">
        <v>14.115</v>
      </c>
      <c r="AY76" s="945">
        <v>14.205</v>
      </c>
      <c r="AZ76" s="945">
        <v>14.305</v>
      </c>
      <c r="BA76" s="945">
        <v>14.395</v>
      </c>
      <c r="BB76" s="945">
        <v>14.49</v>
      </c>
      <c r="BC76" s="945">
        <v>14.585000000000001</v>
      </c>
      <c r="BD76" s="945">
        <v>14.68</v>
      </c>
      <c r="BE76" s="945">
        <v>14.77</v>
      </c>
      <c r="BF76" s="945">
        <v>14.865</v>
      </c>
      <c r="BG76" s="945">
        <v>14.96</v>
      </c>
      <c r="BH76" s="945">
        <v>15.05</v>
      </c>
      <c r="BI76" s="945">
        <v>15.145</v>
      </c>
      <c r="BJ76" s="945">
        <v>15.24</v>
      </c>
      <c r="BK76" s="945">
        <v>15.335000000000001</v>
      </c>
      <c r="BL76" s="945">
        <v>15.425000000000001</v>
      </c>
      <c r="BM76" s="945">
        <v>15.52</v>
      </c>
      <c r="BN76" s="945">
        <v>15.61</v>
      </c>
      <c r="BO76" s="945">
        <v>15.7</v>
      </c>
      <c r="BP76" s="945">
        <v>15.795000000000002</v>
      </c>
      <c r="BQ76" s="945">
        <v>15.89</v>
      </c>
      <c r="BR76" s="945">
        <v>15.975</v>
      </c>
      <c r="BS76" s="945">
        <v>16.07</v>
      </c>
      <c r="BT76" s="946">
        <v>16.16</v>
      </c>
      <c r="BU76" s="945">
        <v>16.25</v>
      </c>
      <c r="BV76" s="945">
        <v>16.34</v>
      </c>
      <c r="BW76" s="945">
        <v>16.435000000000002</v>
      </c>
      <c r="BX76" s="945">
        <v>16.52</v>
      </c>
      <c r="BY76" s="945">
        <v>16.614999999999998</v>
      </c>
      <c r="BZ76" s="945">
        <v>16.7</v>
      </c>
      <c r="CA76" s="945">
        <v>16.795000000000002</v>
      </c>
      <c r="CB76" s="945">
        <v>16.88</v>
      </c>
      <c r="CC76" s="945">
        <v>16.965</v>
      </c>
      <c r="CD76" s="945">
        <v>17.060000000000002</v>
      </c>
      <c r="CE76" s="945">
        <v>17.145</v>
      </c>
      <c r="CF76" s="945">
        <v>17.23</v>
      </c>
      <c r="CG76" s="945">
        <v>17.325000000000003</v>
      </c>
      <c r="CH76" s="945">
        <v>17.41</v>
      </c>
      <c r="CI76" s="945">
        <v>17.495000000000001</v>
      </c>
      <c r="CJ76" s="945">
        <v>17.579999999999998</v>
      </c>
      <c r="CK76" s="945">
        <v>17.664999999999999</v>
      </c>
      <c r="CL76" s="945">
        <v>17.754999999999999</v>
      </c>
      <c r="CM76" s="945">
        <v>17.84</v>
      </c>
      <c r="CN76" s="945">
        <v>17.925000000000001</v>
      </c>
      <c r="CO76" s="945">
        <v>18.010000000000002</v>
      </c>
      <c r="CP76" s="945">
        <v>18.094999999999999</v>
      </c>
      <c r="CQ76" s="945">
        <v>18.18</v>
      </c>
      <c r="CR76" s="945">
        <v>18.265000000000001</v>
      </c>
      <c r="CS76" s="945">
        <v>18.350000000000001</v>
      </c>
      <c r="CT76" s="945">
        <v>18.435000000000002</v>
      </c>
      <c r="CU76" s="945">
        <v>18.509999999999998</v>
      </c>
      <c r="CV76" s="945">
        <v>18.594999999999999</v>
      </c>
      <c r="CW76" s="945">
        <v>18.68</v>
      </c>
      <c r="CX76" s="945">
        <v>18.759999999999998</v>
      </c>
      <c r="CY76" s="945">
        <v>18.84</v>
      </c>
      <c r="CZ76" s="945">
        <v>18.920000000000002</v>
      </c>
      <c r="DA76" s="945">
        <v>19.005000000000003</v>
      </c>
      <c r="DB76" s="945">
        <v>19.079999999999998</v>
      </c>
      <c r="DC76" s="945">
        <v>19.164999999999999</v>
      </c>
      <c r="DD76" s="945">
        <v>19.240000000000002</v>
      </c>
      <c r="DE76" s="945">
        <v>19.324999999999999</v>
      </c>
      <c r="DF76" s="945">
        <v>19.399999999999999</v>
      </c>
      <c r="DG76" s="945">
        <v>19.479999999999997</v>
      </c>
      <c r="DH76" s="945">
        <v>19.555</v>
      </c>
      <c r="DI76" s="945">
        <v>19.634999999999998</v>
      </c>
      <c r="DJ76" s="945">
        <v>19.715</v>
      </c>
      <c r="DK76" s="945">
        <v>19.79</v>
      </c>
      <c r="DL76" s="945">
        <v>19.864999999999998</v>
      </c>
      <c r="DM76" s="945">
        <v>19.939999999999998</v>
      </c>
      <c r="DN76" s="945">
        <v>20.02</v>
      </c>
      <c r="DO76" s="945">
        <v>20.094999999999999</v>
      </c>
      <c r="DP76" s="945">
        <v>20.170000000000002</v>
      </c>
      <c r="DQ76" s="945">
        <v>20.244999999999997</v>
      </c>
      <c r="DR76" s="945">
        <v>20.32</v>
      </c>
    </row>
    <row r="77" spans="1:122" s="131" customFormat="1" ht="12.75">
      <c r="A77" s="949">
        <v>75</v>
      </c>
      <c r="B77" s="945"/>
      <c r="C77" s="945"/>
      <c r="D77" s="945"/>
      <c r="E77" s="945"/>
      <c r="F77" s="945"/>
      <c r="G77" s="945"/>
      <c r="H77" s="945"/>
      <c r="I77" s="945"/>
      <c r="J77" s="945"/>
      <c r="K77" s="945"/>
      <c r="L77" s="945"/>
      <c r="M77" s="945"/>
      <c r="N77" s="945"/>
      <c r="O77" s="945"/>
      <c r="P77" s="945"/>
      <c r="Q77" s="945"/>
      <c r="R77" s="945"/>
      <c r="S77" s="945"/>
      <c r="T77" s="945"/>
      <c r="U77" s="945"/>
      <c r="V77" s="945"/>
      <c r="W77" s="945">
        <v>10.785</v>
      </c>
      <c r="X77" s="945">
        <v>10.895</v>
      </c>
      <c r="Y77" s="945">
        <v>11.004999999999999</v>
      </c>
      <c r="Z77" s="945">
        <v>11.155000000000001</v>
      </c>
      <c r="AA77" s="945">
        <v>11.219999999999999</v>
      </c>
      <c r="AB77" s="945">
        <v>11.33</v>
      </c>
      <c r="AC77" s="945">
        <v>11.404999999999999</v>
      </c>
      <c r="AD77" s="945">
        <v>11.45</v>
      </c>
      <c r="AE77" s="945">
        <v>11.545</v>
      </c>
      <c r="AF77" s="945">
        <v>11.67</v>
      </c>
      <c r="AG77" s="945">
        <v>11.76</v>
      </c>
      <c r="AH77" s="945">
        <v>11.850000000000001</v>
      </c>
      <c r="AI77" s="945">
        <v>11.965</v>
      </c>
      <c r="AJ77" s="945">
        <v>12.09</v>
      </c>
      <c r="AK77" s="945">
        <v>12.215</v>
      </c>
      <c r="AL77" s="945">
        <v>12.335000000000001</v>
      </c>
      <c r="AM77" s="945">
        <v>12.455</v>
      </c>
      <c r="AN77" s="945">
        <v>12.55</v>
      </c>
      <c r="AO77" s="945">
        <v>12.635</v>
      </c>
      <c r="AP77" s="945">
        <v>12.715</v>
      </c>
      <c r="AQ77" s="945">
        <v>12.79</v>
      </c>
      <c r="AR77" s="945">
        <v>12.875</v>
      </c>
      <c r="AS77" s="945">
        <v>12.96</v>
      </c>
      <c r="AT77" s="945">
        <v>13.05</v>
      </c>
      <c r="AU77" s="945">
        <v>13.14</v>
      </c>
      <c r="AV77" s="945">
        <v>13.239999999999998</v>
      </c>
      <c r="AW77" s="945">
        <v>13.33</v>
      </c>
      <c r="AX77" s="945">
        <v>13.42</v>
      </c>
      <c r="AY77" s="945">
        <v>13.510000000000002</v>
      </c>
      <c r="AZ77" s="945">
        <v>13.595000000000001</v>
      </c>
      <c r="BA77" s="945">
        <v>13.690000000000001</v>
      </c>
      <c r="BB77" s="945">
        <v>13.780000000000001</v>
      </c>
      <c r="BC77" s="945">
        <v>13.870000000000001</v>
      </c>
      <c r="BD77" s="945">
        <v>13.965</v>
      </c>
      <c r="BE77" s="945">
        <v>14.055</v>
      </c>
      <c r="BF77" s="945">
        <v>14.14</v>
      </c>
      <c r="BG77" s="945">
        <v>14.234999999999999</v>
      </c>
      <c r="BH77" s="945">
        <v>14.324999999999999</v>
      </c>
      <c r="BI77" s="945">
        <v>14.41</v>
      </c>
      <c r="BJ77" s="945">
        <v>14.504999999999999</v>
      </c>
      <c r="BK77" s="945">
        <v>14.594999999999999</v>
      </c>
      <c r="BL77" s="945">
        <v>14.68</v>
      </c>
      <c r="BM77" s="945">
        <v>14.774999999999999</v>
      </c>
      <c r="BN77" s="945">
        <v>14.86</v>
      </c>
      <c r="BO77" s="945">
        <v>14.95</v>
      </c>
      <c r="BP77" s="945">
        <v>15.035</v>
      </c>
      <c r="BQ77" s="945">
        <v>15.129999999999999</v>
      </c>
      <c r="BR77" s="945">
        <v>15.215</v>
      </c>
      <c r="BS77" s="945">
        <v>15.305</v>
      </c>
      <c r="BT77" s="946">
        <v>15.39</v>
      </c>
      <c r="BU77" s="945">
        <v>15.48</v>
      </c>
      <c r="BV77" s="945">
        <v>15.57</v>
      </c>
      <c r="BW77" s="945">
        <v>15.654999999999999</v>
      </c>
      <c r="BX77" s="945">
        <v>15.74</v>
      </c>
      <c r="BY77" s="945">
        <v>15.83</v>
      </c>
      <c r="BZ77" s="945">
        <v>15.914999999999999</v>
      </c>
      <c r="CA77" s="945">
        <v>16</v>
      </c>
      <c r="CB77" s="945">
        <v>16.09</v>
      </c>
      <c r="CC77" s="945">
        <v>16.175000000000001</v>
      </c>
      <c r="CD77" s="945">
        <v>16.265000000000001</v>
      </c>
      <c r="CE77" s="945">
        <v>16.350000000000001</v>
      </c>
      <c r="CF77" s="945">
        <v>16.435000000000002</v>
      </c>
      <c r="CG77" s="945">
        <v>16.52</v>
      </c>
      <c r="CH77" s="945">
        <v>16.600000000000001</v>
      </c>
      <c r="CI77" s="945">
        <v>16.684999999999999</v>
      </c>
      <c r="CJ77" s="945">
        <v>16.77</v>
      </c>
      <c r="CK77" s="945">
        <v>16.855</v>
      </c>
      <c r="CL77" s="945">
        <v>16.935000000000002</v>
      </c>
      <c r="CM77" s="945">
        <v>17.02</v>
      </c>
      <c r="CN77" s="945">
        <v>17.105</v>
      </c>
      <c r="CO77" s="945">
        <v>17.184999999999999</v>
      </c>
      <c r="CP77" s="945">
        <v>17.27</v>
      </c>
      <c r="CQ77" s="945">
        <v>17.350000000000001</v>
      </c>
      <c r="CR77" s="945">
        <v>17.43</v>
      </c>
      <c r="CS77" s="945">
        <v>17.515000000000001</v>
      </c>
      <c r="CT77" s="945">
        <v>17.594999999999999</v>
      </c>
      <c r="CU77" s="945">
        <v>17.674999999999997</v>
      </c>
      <c r="CV77" s="945">
        <v>17.754999999999999</v>
      </c>
      <c r="CW77" s="945">
        <v>17.835000000000001</v>
      </c>
      <c r="CX77" s="945">
        <v>17.914999999999999</v>
      </c>
      <c r="CY77" s="945">
        <v>17.994999999999997</v>
      </c>
      <c r="CZ77" s="945">
        <v>18.075000000000003</v>
      </c>
      <c r="DA77" s="945">
        <v>18.149999999999999</v>
      </c>
      <c r="DB77" s="945">
        <v>18.229999999999997</v>
      </c>
      <c r="DC77" s="945">
        <v>18.310000000000002</v>
      </c>
      <c r="DD77" s="945">
        <v>18.384999999999998</v>
      </c>
      <c r="DE77" s="945">
        <v>18.46</v>
      </c>
      <c r="DF77" s="945">
        <v>18.54</v>
      </c>
      <c r="DG77" s="945">
        <v>18.614999999999998</v>
      </c>
      <c r="DH77" s="945">
        <v>18.695</v>
      </c>
      <c r="DI77" s="945">
        <v>18.77</v>
      </c>
      <c r="DJ77" s="945">
        <v>18.844999999999999</v>
      </c>
      <c r="DK77" s="945">
        <v>18.920000000000002</v>
      </c>
      <c r="DL77" s="945">
        <v>18.994999999999997</v>
      </c>
      <c r="DM77" s="945">
        <v>19.07</v>
      </c>
      <c r="DN77" s="945">
        <v>19.14</v>
      </c>
      <c r="DO77" s="945">
        <v>19.215</v>
      </c>
      <c r="DP77" s="945">
        <v>19.285</v>
      </c>
      <c r="DQ77" s="945">
        <v>19.36</v>
      </c>
      <c r="DR77" s="945">
        <v>19.43</v>
      </c>
    </row>
    <row r="78" spans="1:122" s="131" customFormat="1" ht="12.75">
      <c r="A78" s="949">
        <v>76</v>
      </c>
      <c r="B78" s="945"/>
      <c r="C78" s="945"/>
      <c r="D78" s="945"/>
      <c r="E78" s="945"/>
      <c r="F78" s="945"/>
      <c r="G78" s="945"/>
      <c r="H78" s="945"/>
      <c r="I78" s="945"/>
      <c r="J78" s="945"/>
      <c r="K78" s="945"/>
      <c r="L78" s="945"/>
      <c r="M78" s="945"/>
      <c r="N78" s="945"/>
      <c r="O78" s="945"/>
      <c r="P78" s="945"/>
      <c r="Q78" s="945"/>
      <c r="R78" s="945"/>
      <c r="S78" s="945"/>
      <c r="T78" s="945"/>
      <c r="U78" s="945"/>
      <c r="V78" s="945"/>
      <c r="W78" s="945">
        <v>10.23</v>
      </c>
      <c r="X78" s="945">
        <v>10.324999999999999</v>
      </c>
      <c r="Y78" s="945">
        <v>10.435</v>
      </c>
      <c r="Z78" s="945">
        <v>10.565000000000001</v>
      </c>
      <c r="AA78" s="945">
        <v>10.629999999999999</v>
      </c>
      <c r="AB78" s="945">
        <v>10.725000000000001</v>
      </c>
      <c r="AC78" s="945">
        <v>10.809999999999999</v>
      </c>
      <c r="AD78" s="945">
        <v>10.85</v>
      </c>
      <c r="AE78" s="945">
        <v>10.925000000000001</v>
      </c>
      <c r="AF78" s="945">
        <v>11.04</v>
      </c>
      <c r="AG78" s="945">
        <v>11.120000000000001</v>
      </c>
      <c r="AH78" s="945">
        <v>11.215</v>
      </c>
      <c r="AI78" s="945">
        <v>11.32</v>
      </c>
      <c r="AJ78" s="945">
        <v>11.435</v>
      </c>
      <c r="AK78" s="945">
        <v>11.555</v>
      </c>
      <c r="AL78" s="945">
        <v>11.675000000000001</v>
      </c>
      <c r="AM78" s="945">
        <v>11.79</v>
      </c>
      <c r="AN78" s="945">
        <v>11.870000000000001</v>
      </c>
      <c r="AO78" s="945">
        <v>11.965</v>
      </c>
      <c r="AP78" s="945">
        <v>12.035</v>
      </c>
      <c r="AQ78" s="945">
        <v>12.115</v>
      </c>
      <c r="AR78" s="945">
        <v>12.205</v>
      </c>
      <c r="AS78" s="945">
        <v>12.29</v>
      </c>
      <c r="AT78" s="945">
        <v>12.379999999999999</v>
      </c>
      <c r="AU78" s="945">
        <v>12.469999999999999</v>
      </c>
      <c r="AV78" s="945">
        <v>12.55</v>
      </c>
      <c r="AW78" s="945">
        <v>12.64</v>
      </c>
      <c r="AX78" s="945">
        <v>12.73</v>
      </c>
      <c r="AY78" s="945">
        <v>12.815000000000001</v>
      </c>
      <c r="AZ78" s="945">
        <v>12.905000000000001</v>
      </c>
      <c r="BA78" s="945">
        <v>12.995000000000001</v>
      </c>
      <c r="BB78" s="945">
        <v>13.074999999999999</v>
      </c>
      <c r="BC78" s="945">
        <v>13.164999999999999</v>
      </c>
      <c r="BD78" s="945">
        <v>13.25</v>
      </c>
      <c r="BE78" s="945">
        <v>13.34</v>
      </c>
      <c r="BF78" s="945">
        <v>13.425000000000001</v>
      </c>
      <c r="BG78" s="945">
        <v>13.510000000000002</v>
      </c>
      <c r="BH78" s="945">
        <v>13.600000000000001</v>
      </c>
      <c r="BI78" s="945">
        <v>13.685</v>
      </c>
      <c r="BJ78" s="945">
        <v>13.77</v>
      </c>
      <c r="BK78" s="945">
        <v>13.86</v>
      </c>
      <c r="BL78" s="945">
        <v>13.945</v>
      </c>
      <c r="BM78" s="945">
        <v>14.030000000000001</v>
      </c>
      <c r="BN78" s="945">
        <v>14.120000000000001</v>
      </c>
      <c r="BO78" s="945">
        <v>14.205</v>
      </c>
      <c r="BP78" s="945">
        <v>14.29</v>
      </c>
      <c r="BQ78" s="945">
        <v>14.375</v>
      </c>
      <c r="BR78" s="945">
        <v>14.465</v>
      </c>
      <c r="BS78" s="945">
        <v>14.545</v>
      </c>
      <c r="BT78" s="946">
        <v>14.629999999999999</v>
      </c>
      <c r="BU78" s="945">
        <v>14.715</v>
      </c>
      <c r="BV78" s="945">
        <v>14.8</v>
      </c>
      <c r="BW78" s="945">
        <v>14.885000000000002</v>
      </c>
      <c r="BX78" s="945">
        <v>14.97</v>
      </c>
      <c r="BY78" s="945">
        <v>15.05</v>
      </c>
      <c r="BZ78" s="945">
        <v>15.135000000000002</v>
      </c>
      <c r="CA78" s="945">
        <v>15.219999999999999</v>
      </c>
      <c r="CB78" s="945">
        <v>15.305</v>
      </c>
      <c r="CC78" s="945">
        <v>15.385</v>
      </c>
      <c r="CD78" s="945">
        <v>15.47</v>
      </c>
      <c r="CE78" s="945">
        <v>15.555</v>
      </c>
      <c r="CF78" s="945">
        <v>15.64</v>
      </c>
      <c r="CG78" s="945">
        <v>15.719999999999999</v>
      </c>
      <c r="CH78" s="945">
        <v>15.8</v>
      </c>
      <c r="CI78" s="945">
        <v>15.879999999999999</v>
      </c>
      <c r="CJ78" s="945">
        <v>15.965</v>
      </c>
      <c r="CK78" s="945">
        <v>16.049999999999997</v>
      </c>
      <c r="CL78" s="945">
        <v>16.125</v>
      </c>
      <c r="CM78" s="945">
        <v>16.21</v>
      </c>
      <c r="CN78" s="945">
        <v>16.285</v>
      </c>
      <c r="CO78" s="945">
        <v>16.369999999999997</v>
      </c>
      <c r="CP78" s="945">
        <v>16.45</v>
      </c>
      <c r="CQ78" s="945">
        <v>16.524999999999999</v>
      </c>
      <c r="CR78" s="945">
        <v>16.61</v>
      </c>
      <c r="CS78" s="945">
        <v>16.684999999999999</v>
      </c>
      <c r="CT78" s="945">
        <v>16.759999999999998</v>
      </c>
      <c r="CU78" s="945">
        <v>16.844999999999999</v>
      </c>
      <c r="CV78" s="945">
        <v>16.920000000000002</v>
      </c>
      <c r="CW78" s="945">
        <v>16.994999999999997</v>
      </c>
      <c r="CX78" s="945">
        <v>17.075000000000003</v>
      </c>
      <c r="CY78" s="945">
        <v>17.155000000000001</v>
      </c>
      <c r="CZ78" s="945">
        <v>17.23</v>
      </c>
      <c r="DA78" s="945">
        <v>17.305</v>
      </c>
      <c r="DB78" s="945">
        <v>17.384999999999998</v>
      </c>
      <c r="DC78" s="945">
        <v>17.46</v>
      </c>
      <c r="DD78" s="945">
        <v>17.535</v>
      </c>
      <c r="DE78" s="945">
        <v>17.61</v>
      </c>
      <c r="DF78" s="945">
        <v>17.685000000000002</v>
      </c>
      <c r="DG78" s="945">
        <v>17.760000000000002</v>
      </c>
      <c r="DH78" s="945">
        <v>17.835000000000001</v>
      </c>
      <c r="DI78" s="945">
        <v>17.905000000000001</v>
      </c>
      <c r="DJ78" s="945">
        <v>17.98</v>
      </c>
      <c r="DK78" s="945">
        <v>18.05</v>
      </c>
      <c r="DL78" s="945">
        <v>18.125</v>
      </c>
      <c r="DM78" s="945">
        <v>18.200000000000003</v>
      </c>
      <c r="DN78" s="945">
        <v>18.27</v>
      </c>
      <c r="DO78" s="945">
        <v>18.34</v>
      </c>
      <c r="DP78" s="945">
        <v>18.414999999999999</v>
      </c>
      <c r="DQ78" s="945">
        <v>18.48</v>
      </c>
      <c r="DR78" s="945">
        <v>18.555</v>
      </c>
    </row>
    <row r="79" spans="1:122" s="131" customFormat="1" ht="12.75">
      <c r="A79" s="949">
        <v>77</v>
      </c>
      <c r="B79" s="945"/>
      <c r="C79" s="945"/>
      <c r="D79" s="945"/>
      <c r="E79" s="945"/>
      <c r="F79" s="945"/>
      <c r="G79" s="945"/>
      <c r="H79" s="945"/>
      <c r="I79" s="945"/>
      <c r="J79" s="945"/>
      <c r="K79" s="945"/>
      <c r="L79" s="945"/>
      <c r="M79" s="945"/>
      <c r="N79" s="945"/>
      <c r="O79" s="945"/>
      <c r="P79" s="945"/>
      <c r="Q79" s="945"/>
      <c r="R79" s="945"/>
      <c r="S79" s="945"/>
      <c r="T79" s="945"/>
      <c r="U79" s="945"/>
      <c r="V79" s="945"/>
      <c r="W79" s="945">
        <v>9.6850000000000005</v>
      </c>
      <c r="X79" s="945">
        <v>9.7800000000000011</v>
      </c>
      <c r="Y79" s="945">
        <v>9.870000000000001</v>
      </c>
      <c r="Z79" s="945">
        <v>9.9849999999999994</v>
      </c>
      <c r="AA79" s="945">
        <v>10.045</v>
      </c>
      <c r="AB79" s="945">
        <v>10.145</v>
      </c>
      <c r="AC79" s="945">
        <v>10.215</v>
      </c>
      <c r="AD79" s="945">
        <v>10.25</v>
      </c>
      <c r="AE79" s="945">
        <v>10.32</v>
      </c>
      <c r="AF79" s="945">
        <v>10.42</v>
      </c>
      <c r="AG79" s="945">
        <v>10.5</v>
      </c>
      <c r="AH79" s="945">
        <v>10.59</v>
      </c>
      <c r="AI79" s="945">
        <v>10.69</v>
      </c>
      <c r="AJ79" s="945">
        <v>10.8</v>
      </c>
      <c r="AK79" s="945">
        <v>10.914999999999999</v>
      </c>
      <c r="AL79" s="945">
        <v>11.035</v>
      </c>
      <c r="AM79" s="945">
        <v>11.125</v>
      </c>
      <c r="AN79" s="945">
        <v>11.215</v>
      </c>
      <c r="AO79" s="945">
        <v>11.3</v>
      </c>
      <c r="AP79" s="945">
        <v>11.38</v>
      </c>
      <c r="AQ79" s="945">
        <v>11.465</v>
      </c>
      <c r="AR79" s="945">
        <v>11.545</v>
      </c>
      <c r="AS79" s="945">
        <v>11.625</v>
      </c>
      <c r="AT79" s="945">
        <v>11.71</v>
      </c>
      <c r="AU79" s="945">
        <v>11.795</v>
      </c>
      <c r="AV79" s="945">
        <v>11.879999999999999</v>
      </c>
      <c r="AW79" s="945">
        <v>11.96</v>
      </c>
      <c r="AX79" s="945">
        <v>12.05</v>
      </c>
      <c r="AY79" s="945">
        <v>12.129999999999999</v>
      </c>
      <c r="AZ79" s="945">
        <v>12.215</v>
      </c>
      <c r="BA79" s="945">
        <v>12.3</v>
      </c>
      <c r="BB79" s="945">
        <v>12.385000000000002</v>
      </c>
      <c r="BC79" s="945">
        <v>12.465</v>
      </c>
      <c r="BD79" s="945">
        <v>12.55</v>
      </c>
      <c r="BE79" s="945">
        <v>12.635000000000002</v>
      </c>
      <c r="BF79" s="945">
        <v>12.715</v>
      </c>
      <c r="BG79" s="945">
        <v>12.805</v>
      </c>
      <c r="BH79" s="945">
        <v>12.885000000000002</v>
      </c>
      <c r="BI79" s="945">
        <v>12.97</v>
      </c>
      <c r="BJ79" s="945">
        <v>13.055</v>
      </c>
      <c r="BK79" s="945">
        <v>13.135</v>
      </c>
      <c r="BL79" s="945">
        <v>13.219999999999999</v>
      </c>
      <c r="BM79" s="945">
        <v>13.3</v>
      </c>
      <c r="BN79" s="945">
        <v>13.385</v>
      </c>
      <c r="BO79" s="945">
        <v>13.465</v>
      </c>
      <c r="BP79" s="945">
        <v>13.55</v>
      </c>
      <c r="BQ79" s="945">
        <v>13.635</v>
      </c>
      <c r="BR79" s="945">
        <v>13.715</v>
      </c>
      <c r="BS79" s="945">
        <v>13.8</v>
      </c>
      <c r="BT79" s="946">
        <v>13.879999999999999</v>
      </c>
      <c r="BU79" s="945">
        <v>13.965</v>
      </c>
      <c r="BV79" s="945">
        <v>14.04</v>
      </c>
      <c r="BW79" s="945">
        <v>14.125</v>
      </c>
      <c r="BX79" s="945">
        <v>14.205</v>
      </c>
      <c r="BY79" s="945">
        <v>14.29</v>
      </c>
      <c r="BZ79" s="945">
        <v>14.370000000000001</v>
      </c>
      <c r="CA79" s="945">
        <v>14.445</v>
      </c>
      <c r="CB79" s="945">
        <v>14.530000000000001</v>
      </c>
      <c r="CC79" s="945">
        <v>14.61</v>
      </c>
      <c r="CD79" s="945">
        <v>14.69</v>
      </c>
      <c r="CE79" s="945">
        <v>14.77</v>
      </c>
      <c r="CF79" s="945">
        <v>14.85</v>
      </c>
      <c r="CG79" s="945">
        <v>14.93</v>
      </c>
      <c r="CH79" s="945">
        <v>15.01</v>
      </c>
      <c r="CI79" s="945">
        <v>15.085000000000001</v>
      </c>
      <c r="CJ79" s="945">
        <v>15.17</v>
      </c>
      <c r="CK79" s="945">
        <v>15.245000000000001</v>
      </c>
      <c r="CL79" s="945">
        <v>15.324999999999999</v>
      </c>
      <c r="CM79" s="945">
        <v>15.399999999999999</v>
      </c>
      <c r="CN79" s="945">
        <v>15.48</v>
      </c>
      <c r="CO79" s="945">
        <v>15.56</v>
      </c>
      <c r="CP79" s="945">
        <v>15.635000000000002</v>
      </c>
      <c r="CQ79" s="945">
        <v>15.715</v>
      </c>
      <c r="CR79" s="945">
        <v>15.79</v>
      </c>
      <c r="CS79" s="945">
        <v>15.865</v>
      </c>
      <c r="CT79" s="945">
        <v>15.940000000000001</v>
      </c>
      <c r="CU79" s="945">
        <v>16.02</v>
      </c>
      <c r="CV79" s="945">
        <v>16.094999999999999</v>
      </c>
      <c r="CW79" s="945">
        <v>16.170000000000002</v>
      </c>
      <c r="CX79" s="945">
        <v>16.245000000000001</v>
      </c>
      <c r="CY79" s="945">
        <v>16.32</v>
      </c>
      <c r="CZ79" s="945">
        <v>16.395</v>
      </c>
      <c r="DA79" s="945">
        <v>16.47</v>
      </c>
      <c r="DB79" s="945">
        <v>16.545000000000002</v>
      </c>
      <c r="DC79" s="945">
        <v>16.615000000000002</v>
      </c>
      <c r="DD79" s="945">
        <v>16.690000000000001</v>
      </c>
      <c r="DE79" s="945">
        <v>16.765000000000001</v>
      </c>
      <c r="DF79" s="945">
        <v>16.84</v>
      </c>
      <c r="DG79" s="945">
        <v>16.905000000000001</v>
      </c>
      <c r="DH79" s="945">
        <v>16.98</v>
      </c>
      <c r="DI79" s="945">
        <v>17.055</v>
      </c>
      <c r="DJ79" s="945">
        <v>17.119999999999997</v>
      </c>
      <c r="DK79" s="945">
        <v>17.195</v>
      </c>
      <c r="DL79" s="945">
        <v>17.265000000000001</v>
      </c>
      <c r="DM79" s="945">
        <v>17.335000000000001</v>
      </c>
      <c r="DN79" s="945">
        <v>17.405000000000001</v>
      </c>
      <c r="DO79" s="945">
        <v>17.475000000000001</v>
      </c>
      <c r="DP79" s="945">
        <v>17.545000000000002</v>
      </c>
      <c r="DQ79" s="945">
        <v>17.61</v>
      </c>
      <c r="DR79" s="945">
        <v>17.685000000000002</v>
      </c>
    </row>
    <row r="80" spans="1:122" s="131" customFormat="1" ht="12.75">
      <c r="A80" s="949">
        <v>78</v>
      </c>
      <c r="B80" s="945"/>
      <c r="C80" s="945"/>
      <c r="D80" s="945"/>
      <c r="E80" s="945"/>
      <c r="F80" s="945"/>
      <c r="G80" s="945"/>
      <c r="H80" s="945"/>
      <c r="I80" s="945"/>
      <c r="J80" s="945"/>
      <c r="K80" s="945"/>
      <c r="L80" s="945"/>
      <c r="M80" s="945"/>
      <c r="N80" s="945"/>
      <c r="O80" s="945"/>
      <c r="P80" s="945"/>
      <c r="Q80" s="945"/>
      <c r="R80" s="945"/>
      <c r="S80" s="945"/>
      <c r="T80" s="945"/>
      <c r="U80" s="945"/>
      <c r="V80" s="945"/>
      <c r="W80" s="945">
        <v>9.1549999999999994</v>
      </c>
      <c r="X80" s="945">
        <v>9.23</v>
      </c>
      <c r="Y80" s="945">
        <v>9.3049999999999997</v>
      </c>
      <c r="Z80" s="945">
        <v>9.42</v>
      </c>
      <c r="AA80" s="945">
        <v>9.48</v>
      </c>
      <c r="AB80" s="945">
        <v>9.57</v>
      </c>
      <c r="AC80" s="945">
        <v>9.629999999999999</v>
      </c>
      <c r="AD80" s="945">
        <v>9.6649999999999991</v>
      </c>
      <c r="AE80" s="945">
        <v>9.7199999999999989</v>
      </c>
      <c r="AF80" s="945">
        <v>9.82</v>
      </c>
      <c r="AG80" s="945">
        <v>9.9</v>
      </c>
      <c r="AH80" s="945">
        <v>9.9749999999999996</v>
      </c>
      <c r="AI80" s="945">
        <v>10.074999999999999</v>
      </c>
      <c r="AJ80" s="945">
        <v>10.18</v>
      </c>
      <c r="AK80" s="945">
        <v>10.295000000000002</v>
      </c>
      <c r="AL80" s="945">
        <v>10.39</v>
      </c>
      <c r="AM80" s="945">
        <v>10.49</v>
      </c>
      <c r="AN80" s="945">
        <v>10.57</v>
      </c>
      <c r="AO80" s="945">
        <v>10.655000000000001</v>
      </c>
      <c r="AP80" s="945">
        <v>10.73</v>
      </c>
      <c r="AQ80" s="945">
        <v>10.809999999999999</v>
      </c>
      <c r="AR80" s="945">
        <v>10.895</v>
      </c>
      <c r="AS80" s="945">
        <v>10.975</v>
      </c>
      <c r="AT80" s="945">
        <v>11.055</v>
      </c>
      <c r="AU80" s="945">
        <v>11.135</v>
      </c>
      <c r="AV80" s="945">
        <v>11.219999999999999</v>
      </c>
      <c r="AW80" s="945">
        <v>11.3</v>
      </c>
      <c r="AX80" s="945">
        <v>11.379999999999999</v>
      </c>
      <c r="AY80" s="945">
        <v>11.46</v>
      </c>
      <c r="AZ80" s="945">
        <v>11.54</v>
      </c>
      <c r="BA80" s="945">
        <v>11.620000000000001</v>
      </c>
      <c r="BB80" s="945">
        <v>11.695</v>
      </c>
      <c r="BC80" s="945">
        <v>11.775</v>
      </c>
      <c r="BD80" s="945">
        <v>11.86</v>
      </c>
      <c r="BE80" s="945">
        <v>11.940000000000001</v>
      </c>
      <c r="BF80" s="945">
        <v>12.02</v>
      </c>
      <c r="BG80" s="945">
        <v>12.1</v>
      </c>
      <c r="BH80" s="945">
        <v>12.18</v>
      </c>
      <c r="BI80" s="945">
        <v>12.26</v>
      </c>
      <c r="BJ80" s="945">
        <v>12.34</v>
      </c>
      <c r="BK80" s="945">
        <v>12.42</v>
      </c>
      <c r="BL80" s="945">
        <v>12.5</v>
      </c>
      <c r="BM80" s="945">
        <v>12.585000000000001</v>
      </c>
      <c r="BN80" s="945">
        <v>12.66</v>
      </c>
      <c r="BO80" s="945">
        <v>12.74</v>
      </c>
      <c r="BP80" s="945">
        <v>12.82</v>
      </c>
      <c r="BQ80" s="945">
        <v>12.895</v>
      </c>
      <c r="BR80" s="945">
        <v>12.98</v>
      </c>
      <c r="BS80" s="945">
        <v>13.06</v>
      </c>
      <c r="BT80" s="946">
        <v>13.135</v>
      </c>
      <c r="BU80" s="945">
        <v>13.215</v>
      </c>
      <c r="BV80" s="945">
        <v>13.295</v>
      </c>
      <c r="BW80" s="945">
        <v>13.370000000000001</v>
      </c>
      <c r="BX80" s="945">
        <v>13.455</v>
      </c>
      <c r="BY80" s="945">
        <v>13.530000000000001</v>
      </c>
      <c r="BZ80" s="945">
        <v>13.61</v>
      </c>
      <c r="CA80" s="945">
        <v>13.685</v>
      </c>
      <c r="CB80" s="945">
        <v>13.765000000000001</v>
      </c>
      <c r="CC80" s="945">
        <v>13.84</v>
      </c>
      <c r="CD80" s="945">
        <v>13.92</v>
      </c>
      <c r="CE80" s="945">
        <v>13.994999999999999</v>
      </c>
      <c r="CF80" s="945">
        <v>14.074999999999999</v>
      </c>
      <c r="CG80" s="945">
        <v>14.149999999999999</v>
      </c>
      <c r="CH80" s="945">
        <v>14.225</v>
      </c>
      <c r="CI80" s="945">
        <v>14.305</v>
      </c>
      <c r="CJ80" s="945">
        <v>14.379999999999999</v>
      </c>
      <c r="CK80" s="945">
        <v>14.455</v>
      </c>
      <c r="CL80" s="945">
        <v>14.530000000000001</v>
      </c>
      <c r="CM80" s="945">
        <v>14.61</v>
      </c>
      <c r="CN80" s="945">
        <v>14.684999999999999</v>
      </c>
      <c r="CO80" s="945">
        <v>14.76</v>
      </c>
      <c r="CP80" s="945">
        <v>14.835000000000001</v>
      </c>
      <c r="CQ80" s="945">
        <v>14.905000000000001</v>
      </c>
      <c r="CR80" s="945">
        <v>14.98</v>
      </c>
      <c r="CS80" s="945">
        <v>15.055</v>
      </c>
      <c r="CT80" s="945">
        <v>15.129999999999999</v>
      </c>
      <c r="CU80" s="945">
        <v>15.205</v>
      </c>
      <c r="CV80" s="945">
        <v>15.275</v>
      </c>
      <c r="CW80" s="945">
        <v>15.35</v>
      </c>
      <c r="CX80" s="945">
        <v>15.425000000000001</v>
      </c>
      <c r="CY80" s="945">
        <v>15.495000000000001</v>
      </c>
      <c r="CZ80" s="945">
        <v>15.57</v>
      </c>
      <c r="DA80" s="945">
        <v>15.645</v>
      </c>
      <c r="DB80" s="945">
        <v>15.71</v>
      </c>
      <c r="DC80" s="945">
        <v>15.785</v>
      </c>
      <c r="DD80" s="945">
        <v>15.855</v>
      </c>
      <c r="DE80" s="945">
        <v>15.925000000000001</v>
      </c>
      <c r="DF80" s="945">
        <v>15.995000000000001</v>
      </c>
      <c r="DG80" s="945">
        <v>16.07</v>
      </c>
      <c r="DH80" s="945">
        <v>16.134999999999998</v>
      </c>
      <c r="DI80" s="945">
        <v>16.204999999999998</v>
      </c>
      <c r="DJ80" s="945">
        <v>16.274999999999999</v>
      </c>
      <c r="DK80" s="945">
        <v>16.344999999999999</v>
      </c>
      <c r="DL80" s="945">
        <v>16.41</v>
      </c>
      <c r="DM80" s="945">
        <v>16.484999999999999</v>
      </c>
      <c r="DN80" s="945">
        <v>16.55</v>
      </c>
      <c r="DO80" s="945">
        <v>16.62</v>
      </c>
      <c r="DP80" s="945">
        <v>16.685000000000002</v>
      </c>
      <c r="DQ80" s="945">
        <v>16.75</v>
      </c>
      <c r="DR80" s="945">
        <v>16.814999999999998</v>
      </c>
    </row>
    <row r="81" spans="1:122" s="131" customFormat="1" ht="12.75">
      <c r="A81" s="949">
        <v>79</v>
      </c>
      <c r="B81" s="945"/>
      <c r="C81" s="945"/>
      <c r="D81" s="945"/>
      <c r="E81" s="945"/>
      <c r="F81" s="945"/>
      <c r="G81" s="945"/>
      <c r="H81" s="945"/>
      <c r="I81" s="945"/>
      <c r="J81" s="945"/>
      <c r="K81" s="945"/>
      <c r="L81" s="945"/>
      <c r="M81" s="945"/>
      <c r="N81" s="945"/>
      <c r="O81" s="945"/>
      <c r="P81" s="945"/>
      <c r="Q81" s="945"/>
      <c r="R81" s="945"/>
      <c r="S81" s="945"/>
      <c r="T81" s="945"/>
      <c r="U81" s="945"/>
      <c r="V81" s="945"/>
      <c r="W81" s="945">
        <v>8.6349999999999998</v>
      </c>
      <c r="X81" s="945">
        <v>8.6850000000000005</v>
      </c>
      <c r="Y81" s="945">
        <v>8.77</v>
      </c>
      <c r="Z81" s="945">
        <v>8.879999999999999</v>
      </c>
      <c r="AA81" s="945">
        <v>8.9250000000000007</v>
      </c>
      <c r="AB81" s="945">
        <v>9</v>
      </c>
      <c r="AC81" s="945">
        <v>9.06</v>
      </c>
      <c r="AD81" s="945">
        <v>9.08</v>
      </c>
      <c r="AE81" s="945">
        <v>9.1449999999999996</v>
      </c>
      <c r="AF81" s="945">
        <v>9.2399999999999984</v>
      </c>
      <c r="AG81" s="945">
        <v>9.3099999999999987</v>
      </c>
      <c r="AH81" s="945">
        <v>9.3849999999999998</v>
      </c>
      <c r="AI81" s="945">
        <v>9.48</v>
      </c>
      <c r="AJ81" s="945">
        <v>9.58</v>
      </c>
      <c r="AK81" s="945">
        <v>9.67</v>
      </c>
      <c r="AL81" s="945">
        <v>9.7750000000000004</v>
      </c>
      <c r="AM81" s="945">
        <v>9.86</v>
      </c>
      <c r="AN81" s="945">
        <v>9.9450000000000003</v>
      </c>
      <c r="AO81" s="945">
        <v>10.025</v>
      </c>
      <c r="AP81" s="945">
        <v>10.100000000000001</v>
      </c>
      <c r="AQ81" s="945">
        <v>10.18</v>
      </c>
      <c r="AR81" s="945">
        <v>10.254999999999999</v>
      </c>
      <c r="AS81" s="945">
        <v>10.335000000000001</v>
      </c>
      <c r="AT81" s="945">
        <v>10.41</v>
      </c>
      <c r="AU81" s="945">
        <v>10.49</v>
      </c>
      <c r="AV81" s="945">
        <v>10.559999999999999</v>
      </c>
      <c r="AW81" s="945">
        <v>10.64</v>
      </c>
      <c r="AX81" s="945">
        <v>10.715</v>
      </c>
      <c r="AY81" s="945">
        <v>10.795</v>
      </c>
      <c r="AZ81" s="945">
        <v>10.870000000000001</v>
      </c>
      <c r="BA81" s="945">
        <v>10.95</v>
      </c>
      <c r="BB81" s="945">
        <v>11.025</v>
      </c>
      <c r="BC81" s="945">
        <v>11.100000000000001</v>
      </c>
      <c r="BD81" s="945">
        <v>11.18</v>
      </c>
      <c r="BE81" s="945">
        <v>11.254999999999999</v>
      </c>
      <c r="BF81" s="945">
        <v>11.335000000000001</v>
      </c>
      <c r="BG81" s="945">
        <v>11.41</v>
      </c>
      <c r="BH81" s="945">
        <v>11.489999999999998</v>
      </c>
      <c r="BI81" s="945">
        <v>11.565</v>
      </c>
      <c r="BJ81" s="945">
        <v>11.64</v>
      </c>
      <c r="BK81" s="945">
        <v>11.715</v>
      </c>
      <c r="BL81" s="945">
        <v>11.795</v>
      </c>
      <c r="BM81" s="945">
        <v>11.870000000000001</v>
      </c>
      <c r="BN81" s="945">
        <v>11.95</v>
      </c>
      <c r="BO81" s="945">
        <v>12.025</v>
      </c>
      <c r="BP81" s="945">
        <v>12.105</v>
      </c>
      <c r="BQ81" s="945">
        <v>12.175000000000001</v>
      </c>
      <c r="BR81" s="945">
        <v>12.254999999999999</v>
      </c>
      <c r="BS81" s="945">
        <v>12.33</v>
      </c>
      <c r="BT81" s="946">
        <v>12.405000000000001</v>
      </c>
      <c r="BU81" s="945">
        <v>12.484999999999999</v>
      </c>
      <c r="BV81" s="945">
        <v>12.56</v>
      </c>
      <c r="BW81" s="945">
        <v>12.629999999999999</v>
      </c>
      <c r="BX81" s="945">
        <v>12.71</v>
      </c>
      <c r="BY81" s="945">
        <v>12.785</v>
      </c>
      <c r="BZ81" s="945">
        <v>12.86</v>
      </c>
      <c r="CA81" s="945">
        <v>12.94</v>
      </c>
      <c r="CB81" s="945">
        <v>13.01</v>
      </c>
      <c r="CC81" s="945">
        <v>13.085000000000001</v>
      </c>
      <c r="CD81" s="945">
        <v>13.16</v>
      </c>
      <c r="CE81" s="945">
        <v>13.234999999999999</v>
      </c>
      <c r="CF81" s="945">
        <v>13.31</v>
      </c>
      <c r="CG81" s="945">
        <v>13.385000000000002</v>
      </c>
      <c r="CH81" s="945">
        <v>13.46</v>
      </c>
      <c r="CI81" s="945">
        <v>13.530000000000001</v>
      </c>
      <c r="CJ81" s="945">
        <v>13.605</v>
      </c>
      <c r="CK81" s="945">
        <v>13.68</v>
      </c>
      <c r="CL81" s="945">
        <v>13.75</v>
      </c>
      <c r="CM81" s="945">
        <v>13.824999999999999</v>
      </c>
      <c r="CN81" s="945">
        <v>13.899999999999999</v>
      </c>
      <c r="CO81" s="945">
        <v>13.969999999999999</v>
      </c>
      <c r="CP81" s="945">
        <v>14.045</v>
      </c>
      <c r="CQ81" s="945">
        <v>14.115</v>
      </c>
      <c r="CR81" s="945">
        <v>14.190000000000001</v>
      </c>
      <c r="CS81" s="945">
        <v>14.254999999999999</v>
      </c>
      <c r="CT81" s="945">
        <v>14.33</v>
      </c>
      <c r="CU81" s="945">
        <v>14.399999999999999</v>
      </c>
      <c r="CV81" s="945">
        <v>14.475</v>
      </c>
      <c r="CW81" s="945">
        <v>14.54</v>
      </c>
      <c r="CX81" s="945">
        <v>14.61</v>
      </c>
      <c r="CY81" s="945">
        <v>14.684999999999999</v>
      </c>
      <c r="CZ81" s="945">
        <v>14.754999999999999</v>
      </c>
      <c r="DA81" s="945">
        <v>14.824999999999999</v>
      </c>
      <c r="DB81" s="945">
        <v>14.895</v>
      </c>
      <c r="DC81" s="945">
        <v>14.96</v>
      </c>
      <c r="DD81" s="945">
        <v>15.03</v>
      </c>
      <c r="DE81" s="945">
        <v>15.1</v>
      </c>
      <c r="DF81" s="945">
        <v>15.17</v>
      </c>
      <c r="DG81" s="945">
        <v>15.234999999999999</v>
      </c>
      <c r="DH81" s="945">
        <v>15.305</v>
      </c>
      <c r="DI81" s="945">
        <v>15.370000000000001</v>
      </c>
      <c r="DJ81" s="945">
        <v>15.435</v>
      </c>
      <c r="DK81" s="945">
        <v>15.504999999999999</v>
      </c>
      <c r="DL81" s="945">
        <v>15.574999999999999</v>
      </c>
      <c r="DM81" s="945">
        <v>15.64</v>
      </c>
      <c r="DN81" s="945">
        <v>15.705</v>
      </c>
      <c r="DO81" s="945">
        <v>15.775</v>
      </c>
      <c r="DP81" s="945">
        <v>15.835000000000001</v>
      </c>
      <c r="DQ81" s="945">
        <v>15.9</v>
      </c>
      <c r="DR81" s="945">
        <v>15.965</v>
      </c>
    </row>
    <row r="82" spans="1:122" s="131" customFormat="1" ht="12.75">
      <c r="A82" s="949">
        <v>80</v>
      </c>
      <c r="B82" s="945"/>
      <c r="C82" s="945"/>
      <c r="D82" s="945"/>
      <c r="E82" s="945"/>
      <c r="F82" s="945"/>
      <c r="G82" s="945"/>
      <c r="H82" s="945"/>
      <c r="I82" s="945"/>
      <c r="J82" s="945"/>
      <c r="K82" s="945"/>
      <c r="L82" s="945"/>
      <c r="M82" s="945"/>
      <c r="N82" s="945"/>
      <c r="O82" s="945"/>
      <c r="P82" s="945"/>
      <c r="Q82" s="945"/>
      <c r="R82" s="945"/>
      <c r="S82" s="945"/>
      <c r="T82" s="945"/>
      <c r="U82" s="945"/>
      <c r="V82" s="945"/>
      <c r="W82" s="945">
        <v>8.1150000000000002</v>
      </c>
      <c r="X82" s="945">
        <v>8.16</v>
      </c>
      <c r="Y82" s="945">
        <v>8.25</v>
      </c>
      <c r="Z82" s="945">
        <v>8.3450000000000006</v>
      </c>
      <c r="AA82" s="945">
        <v>8.379999999999999</v>
      </c>
      <c r="AB82" s="945">
        <v>8.4450000000000003</v>
      </c>
      <c r="AC82" s="945">
        <v>8.49</v>
      </c>
      <c r="AD82" s="945">
        <v>8.52</v>
      </c>
      <c r="AE82" s="945">
        <v>8.59</v>
      </c>
      <c r="AF82" s="945">
        <v>8.67</v>
      </c>
      <c r="AG82" s="945">
        <v>8.74</v>
      </c>
      <c r="AH82" s="945">
        <v>8.8099999999999987</v>
      </c>
      <c r="AI82" s="945">
        <v>8.91</v>
      </c>
      <c r="AJ82" s="945">
        <v>8.9899999999999984</v>
      </c>
      <c r="AK82" s="945">
        <v>9.08</v>
      </c>
      <c r="AL82" s="945">
        <v>9.17</v>
      </c>
      <c r="AM82" s="945">
        <v>9.26</v>
      </c>
      <c r="AN82" s="945">
        <v>9.3449999999999989</v>
      </c>
      <c r="AO82" s="945">
        <v>9.4149999999999991</v>
      </c>
      <c r="AP82" s="945">
        <v>9.4849999999999994</v>
      </c>
      <c r="AQ82" s="945">
        <v>9.5549999999999997</v>
      </c>
      <c r="AR82" s="945">
        <v>9.6300000000000008</v>
      </c>
      <c r="AS82" s="945">
        <v>9.7050000000000001</v>
      </c>
      <c r="AT82" s="945">
        <v>9.7799999999999994</v>
      </c>
      <c r="AU82" s="945">
        <v>9.8550000000000004</v>
      </c>
      <c r="AV82" s="945">
        <v>9.9250000000000007</v>
      </c>
      <c r="AW82" s="945">
        <v>9.995000000000001</v>
      </c>
      <c r="AX82" s="945">
        <v>10.074999999999999</v>
      </c>
      <c r="AY82" s="945">
        <v>10.145</v>
      </c>
      <c r="AZ82" s="945">
        <v>10.215</v>
      </c>
      <c r="BA82" s="945">
        <v>10.295000000000002</v>
      </c>
      <c r="BB82" s="945">
        <v>10.364999999999998</v>
      </c>
      <c r="BC82" s="945">
        <v>10.44</v>
      </c>
      <c r="BD82" s="945">
        <v>10.515000000000001</v>
      </c>
      <c r="BE82" s="945">
        <v>10.59</v>
      </c>
      <c r="BF82" s="945">
        <v>10.66</v>
      </c>
      <c r="BG82" s="945">
        <v>10.734999999999999</v>
      </c>
      <c r="BH82" s="945">
        <v>10.81</v>
      </c>
      <c r="BI82" s="945">
        <v>10.885000000000002</v>
      </c>
      <c r="BJ82" s="945">
        <v>10.955</v>
      </c>
      <c r="BK82" s="945">
        <v>11.030000000000001</v>
      </c>
      <c r="BL82" s="945">
        <v>11.105</v>
      </c>
      <c r="BM82" s="945">
        <v>11.18</v>
      </c>
      <c r="BN82" s="945">
        <v>11.25</v>
      </c>
      <c r="BO82" s="945">
        <v>11.324999999999999</v>
      </c>
      <c r="BP82" s="945">
        <v>11.395</v>
      </c>
      <c r="BQ82" s="945">
        <v>11.469999999999999</v>
      </c>
      <c r="BR82" s="945">
        <v>11.545</v>
      </c>
      <c r="BS82" s="945">
        <v>11.620000000000001</v>
      </c>
      <c r="BT82" s="946">
        <v>11.690000000000001</v>
      </c>
      <c r="BU82" s="945">
        <v>11.765000000000001</v>
      </c>
      <c r="BV82" s="945">
        <v>11.835000000000001</v>
      </c>
      <c r="BW82" s="945">
        <v>11.91</v>
      </c>
      <c r="BX82" s="945">
        <v>11.98</v>
      </c>
      <c r="BY82" s="945">
        <v>12.055</v>
      </c>
      <c r="BZ82" s="945">
        <v>12.125</v>
      </c>
      <c r="CA82" s="945">
        <v>12.2</v>
      </c>
      <c r="CB82" s="945">
        <v>12.27</v>
      </c>
      <c r="CC82" s="945">
        <v>12.34</v>
      </c>
      <c r="CD82" s="945">
        <v>12.414999999999999</v>
      </c>
      <c r="CE82" s="945">
        <v>12.484999999999999</v>
      </c>
      <c r="CF82" s="945">
        <v>12.559999999999999</v>
      </c>
      <c r="CG82" s="945">
        <v>12.629999999999999</v>
      </c>
      <c r="CH82" s="945">
        <v>12.7</v>
      </c>
      <c r="CI82" s="945">
        <v>12.775</v>
      </c>
      <c r="CJ82" s="945">
        <v>12.84</v>
      </c>
      <c r="CK82" s="945">
        <v>12.91</v>
      </c>
      <c r="CL82" s="945">
        <v>12.984999999999999</v>
      </c>
      <c r="CM82" s="945">
        <v>13.055</v>
      </c>
      <c r="CN82" s="945">
        <v>13.120000000000001</v>
      </c>
      <c r="CO82" s="945">
        <v>13.195</v>
      </c>
      <c r="CP82" s="945">
        <v>13.265000000000001</v>
      </c>
      <c r="CQ82" s="945">
        <v>13.335000000000001</v>
      </c>
      <c r="CR82" s="945">
        <v>13.4</v>
      </c>
      <c r="CS82" s="945">
        <v>13.475000000000001</v>
      </c>
      <c r="CT82" s="945">
        <v>13.54</v>
      </c>
      <c r="CU82" s="945">
        <v>13.61</v>
      </c>
      <c r="CV82" s="945">
        <v>13.68</v>
      </c>
      <c r="CW82" s="945">
        <v>13.745000000000001</v>
      </c>
      <c r="CX82" s="945">
        <v>13.815000000000001</v>
      </c>
      <c r="CY82" s="945">
        <v>13.885</v>
      </c>
      <c r="CZ82" s="945">
        <v>13.95</v>
      </c>
      <c r="DA82" s="945">
        <v>14.02</v>
      </c>
      <c r="DB82" s="945">
        <v>14.085000000000001</v>
      </c>
      <c r="DC82" s="945">
        <v>14.154999999999999</v>
      </c>
      <c r="DD82" s="945">
        <v>14.219999999999999</v>
      </c>
      <c r="DE82" s="945">
        <v>14.285</v>
      </c>
      <c r="DF82" s="945">
        <v>14.355</v>
      </c>
      <c r="DG82" s="945">
        <v>14.42</v>
      </c>
      <c r="DH82" s="945">
        <v>14.484999999999999</v>
      </c>
      <c r="DI82" s="945">
        <v>14.545</v>
      </c>
      <c r="DJ82" s="945">
        <v>14.61</v>
      </c>
      <c r="DK82" s="945">
        <v>14.68</v>
      </c>
      <c r="DL82" s="945">
        <v>14.745000000000001</v>
      </c>
      <c r="DM82" s="945">
        <v>14.81</v>
      </c>
      <c r="DN82" s="945">
        <v>14.870000000000001</v>
      </c>
      <c r="DO82" s="945">
        <v>14.934999999999999</v>
      </c>
      <c r="DP82" s="945">
        <v>15</v>
      </c>
      <c r="DQ82" s="945">
        <v>15.06</v>
      </c>
      <c r="DR82" s="945">
        <v>15.125</v>
      </c>
    </row>
    <row r="83" spans="1:122" s="131" customFormat="1" ht="12.75">
      <c r="A83" s="949">
        <v>81</v>
      </c>
      <c r="B83" s="945"/>
      <c r="C83" s="945"/>
      <c r="D83" s="945"/>
      <c r="E83" s="945"/>
      <c r="F83" s="945"/>
      <c r="G83" s="945"/>
      <c r="H83" s="945"/>
      <c r="I83" s="945"/>
      <c r="J83" s="945"/>
      <c r="K83" s="945"/>
      <c r="L83" s="945"/>
      <c r="M83" s="945"/>
      <c r="N83" s="945"/>
      <c r="O83" s="945"/>
      <c r="P83" s="945"/>
      <c r="Q83" s="945"/>
      <c r="R83" s="945"/>
      <c r="S83" s="945"/>
      <c r="T83" s="945"/>
      <c r="U83" s="945"/>
      <c r="V83" s="945"/>
      <c r="W83" s="945">
        <v>7.6199999999999992</v>
      </c>
      <c r="X83" s="945">
        <v>7.6749999999999998</v>
      </c>
      <c r="Y83" s="945">
        <v>7.74</v>
      </c>
      <c r="Z83" s="945">
        <v>7.82</v>
      </c>
      <c r="AA83" s="945">
        <v>7.8449999999999998</v>
      </c>
      <c r="AB83" s="945">
        <v>7.91</v>
      </c>
      <c r="AC83" s="945">
        <v>7.9550000000000001</v>
      </c>
      <c r="AD83" s="945">
        <v>7.9850000000000003</v>
      </c>
      <c r="AE83" s="945">
        <v>8.0350000000000001</v>
      </c>
      <c r="AF83" s="945">
        <v>8.1199999999999992</v>
      </c>
      <c r="AG83" s="945">
        <v>8.1850000000000005</v>
      </c>
      <c r="AH83" s="945">
        <v>8.254999999999999</v>
      </c>
      <c r="AI83" s="945">
        <v>8.3350000000000009</v>
      </c>
      <c r="AJ83" s="945">
        <v>8.4250000000000007</v>
      </c>
      <c r="AK83" s="945">
        <v>8.504999999999999</v>
      </c>
      <c r="AL83" s="945">
        <v>8.5949999999999989</v>
      </c>
      <c r="AM83" s="945">
        <v>8.6750000000000007</v>
      </c>
      <c r="AN83" s="945">
        <v>8.745000000000001</v>
      </c>
      <c r="AO83" s="945">
        <v>8.8150000000000013</v>
      </c>
      <c r="AP83" s="945">
        <v>8.8849999999999998</v>
      </c>
      <c r="AQ83" s="945">
        <v>8.9550000000000001</v>
      </c>
      <c r="AR83" s="945">
        <v>9.0250000000000004</v>
      </c>
      <c r="AS83" s="945">
        <v>9.0949999999999989</v>
      </c>
      <c r="AT83" s="945">
        <v>9.1649999999999991</v>
      </c>
      <c r="AU83" s="945">
        <v>9.2349999999999994</v>
      </c>
      <c r="AV83" s="945">
        <v>9.3000000000000007</v>
      </c>
      <c r="AW83" s="945">
        <v>9.370000000000001</v>
      </c>
      <c r="AX83" s="945">
        <v>9.4400000000000013</v>
      </c>
      <c r="AY83" s="945">
        <v>9.51</v>
      </c>
      <c r="AZ83" s="945">
        <v>9.5850000000000009</v>
      </c>
      <c r="BA83" s="945">
        <v>9.6550000000000011</v>
      </c>
      <c r="BB83" s="945">
        <v>9.7249999999999996</v>
      </c>
      <c r="BC83" s="945">
        <v>9.7949999999999999</v>
      </c>
      <c r="BD83" s="945">
        <v>9.8650000000000002</v>
      </c>
      <c r="BE83" s="945">
        <v>9.9350000000000005</v>
      </c>
      <c r="BF83" s="945">
        <v>10.004999999999999</v>
      </c>
      <c r="BG83" s="945">
        <v>10.074999999999999</v>
      </c>
      <c r="BH83" s="945">
        <v>10.145</v>
      </c>
      <c r="BI83" s="945">
        <v>10.219999999999999</v>
      </c>
      <c r="BJ83" s="945">
        <v>10.29</v>
      </c>
      <c r="BK83" s="945">
        <v>10.36</v>
      </c>
      <c r="BL83" s="945">
        <v>10.43</v>
      </c>
      <c r="BM83" s="945">
        <v>10.5</v>
      </c>
      <c r="BN83" s="945">
        <v>10.57</v>
      </c>
      <c r="BO83" s="945">
        <v>10.64</v>
      </c>
      <c r="BP83" s="945">
        <v>10.715</v>
      </c>
      <c r="BQ83" s="945">
        <v>10.78</v>
      </c>
      <c r="BR83" s="945">
        <v>10.85</v>
      </c>
      <c r="BS83" s="945">
        <v>10.92</v>
      </c>
      <c r="BT83" s="946">
        <v>10.99</v>
      </c>
      <c r="BU83" s="945">
        <v>11.06</v>
      </c>
      <c r="BV83" s="945">
        <v>11.129999999999999</v>
      </c>
      <c r="BW83" s="945">
        <v>11.2</v>
      </c>
      <c r="BX83" s="945">
        <v>11.27</v>
      </c>
      <c r="BY83" s="945">
        <v>11.34</v>
      </c>
      <c r="BZ83" s="945">
        <v>11.41</v>
      </c>
      <c r="CA83" s="945">
        <v>11.475000000000001</v>
      </c>
      <c r="CB83" s="945">
        <v>11.545</v>
      </c>
      <c r="CC83" s="945">
        <v>11.614999999999998</v>
      </c>
      <c r="CD83" s="945">
        <v>11.684999999999999</v>
      </c>
      <c r="CE83" s="945">
        <v>11.754999999999999</v>
      </c>
      <c r="CF83" s="945">
        <v>11.824999999999999</v>
      </c>
      <c r="CG83" s="945">
        <v>11.895</v>
      </c>
      <c r="CH83" s="945">
        <v>11.96</v>
      </c>
      <c r="CI83" s="945">
        <v>12.030000000000001</v>
      </c>
      <c r="CJ83" s="945">
        <v>12.094999999999999</v>
      </c>
      <c r="CK83" s="945">
        <v>12.164999999999999</v>
      </c>
      <c r="CL83" s="945">
        <v>12.234999999999999</v>
      </c>
      <c r="CM83" s="945">
        <v>12.3</v>
      </c>
      <c r="CN83" s="945">
        <v>12.370000000000001</v>
      </c>
      <c r="CO83" s="945">
        <v>12.435</v>
      </c>
      <c r="CP83" s="945">
        <v>12.504999999999999</v>
      </c>
      <c r="CQ83" s="945">
        <v>12.57</v>
      </c>
      <c r="CR83" s="945">
        <v>12.635</v>
      </c>
      <c r="CS83" s="945">
        <v>12.705</v>
      </c>
      <c r="CT83" s="945">
        <v>12.77</v>
      </c>
      <c r="CU83" s="945">
        <v>12.835000000000001</v>
      </c>
      <c r="CV83" s="945">
        <v>12.899999999999999</v>
      </c>
      <c r="CW83" s="945">
        <v>12.965</v>
      </c>
      <c r="CX83" s="945">
        <v>13.030000000000001</v>
      </c>
      <c r="CY83" s="945">
        <v>13.1</v>
      </c>
      <c r="CZ83" s="945">
        <v>13.164999999999999</v>
      </c>
      <c r="DA83" s="945">
        <v>13.225</v>
      </c>
      <c r="DB83" s="945">
        <v>13.29</v>
      </c>
      <c r="DC83" s="945">
        <v>13.355</v>
      </c>
      <c r="DD83" s="945">
        <v>13.425000000000001</v>
      </c>
      <c r="DE83" s="945">
        <v>13.484999999999999</v>
      </c>
      <c r="DF83" s="945">
        <v>13.55</v>
      </c>
      <c r="DG83" s="945">
        <v>13.614999999999998</v>
      </c>
      <c r="DH83" s="945">
        <v>13.675000000000001</v>
      </c>
      <c r="DI83" s="945">
        <v>13.74</v>
      </c>
      <c r="DJ83" s="945">
        <v>13.8</v>
      </c>
      <c r="DK83" s="945">
        <v>13.865</v>
      </c>
      <c r="DL83" s="945">
        <v>13.93</v>
      </c>
      <c r="DM83" s="945">
        <v>13.99</v>
      </c>
      <c r="DN83" s="945">
        <v>14.05</v>
      </c>
      <c r="DO83" s="945">
        <v>14.11</v>
      </c>
      <c r="DP83" s="945">
        <v>14.175000000000001</v>
      </c>
      <c r="DQ83" s="945">
        <v>14.234999999999999</v>
      </c>
      <c r="DR83" s="945">
        <v>14.295</v>
      </c>
    </row>
    <row r="84" spans="1:122" s="131" customFormat="1" ht="12.75">
      <c r="A84" s="949">
        <v>82</v>
      </c>
      <c r="B84" s="945"/>
      <c r="C84" s="945"/>
      <c r="D84" s="945"/>
      <c r="E84" s="945"/>
      <c r="F84" s="945"/>
      <c r="G84" s="945"/>
      <c r="H84" s="945"/>
      <c r="I84" s="945"/>
      <c r="J84" s="945"/>
      <c r="K84" s="945"/>
      <c r="L84" s="945"/>
      <c r="M84" s="945"/>
      <c r="N84" s="945"/>
      <c r="O84" s="945"/>
      <c r="P84" s="945"/>
      <c r="Q84" s="945"/>
      <c r="R84" s="945"/>
      <c r="S84" s="945"/>
      <c r="T84" s="945"/>
      <c r="U84" s="945"/>
      <c r="V84" s="945"/>
      <c r="W84" s="945">
        <v>7.15</v>
      </c>
      <c r="X84" s="945">
        <v>7.1850000000000005</v>
      </c>
      <c r="Y84" s="945">
        <v>7.2449999999999992</v>
      </c>
      <c r="Z84" s="945">
        <v>7.3100000000000005</v>
      </c>
      <c r="AA84" s="945">
        <v>7.33</v>
      </c>
      <c r="AB84" s="945">
        <v>7.3949999999999996</v>
      </c>
      <c r="AC84" s="945">
        <v>7.4399999999999995</v>
      </c>
      <c r="AD84" s="945">
        <v>7.4600000000000009</v>
      </c>
      <c r="AE84" s="945">
        <v>7.51</v>
      </c>
      <c r="AF84" s="945">
        <v>7.5849999999999991</v>
      </c>
      <c r="AG84" s="945">
        <v>7.665</v>
      </c>
      <c r="AH84" s="945">
        <v>7.7100000000000009</v>
      </c>
      <c r="AI84" s="945">
        <v>7.8049999999999997</v>
      </c>
      <c r="AJ84" s="945">
        <v>7.875</v>
      </c>
      <c r="AK84" s="945">
        <v>7.9649999999999999</v>
      </c>
      <c r="AL84" s="945">
        <v>8.0399999999999991</v>
      </c>
      <c r="AM84" s="945">
        <v>8.1050000000000004</v>
      </c>
      <c r="AN84" s="945">
        <v>8.1750000000000007</v>
      </c>
      <c r="AO84" s="945">
        <v>8.24</v>
      </c>
      <c r="AP84" s="945">
        <v>8.3049999999999997</v>
      </c>
      <c r="AQ84" s="945">
        <v>8.375</v>
      </c>
      <c r="AR84" s="945">
        <v>8.44</v>
      </c>
      <c r="AS84" s="945">
        <v>8.5</v>
      </c>
      <c r="AT84" s="945">
        <v>8.57</v>
      </c>
      <c r="AU84" s="945">
        <v>8.6349999999999998</v>
      </c>
      <c r="AV84" s="945">
        <v>8.7050000000000001</v>
      </c>
      <c r="AW84" s="945">
        <v>8.77</v>
      </c>
      <c r="AX84" s="945">
        <v>8.8350000000000009</v>
      </c>
      <c r="AY84" s="945">
        <v>8.9050000000000011</v>
      </c>
      <c r="AZ84" s="945">
        <v>8.9699999999999989</v>
      </c>
      <c r="BA84" s="945">
        <v>9.0350000000000001</v>
      </c>
      <c r="BB84" s="945">
        <v>9.1050000000000004</v>
      </c>
      <c r="BC84" s="945">
        <v>9.1750000000000007</v>
      </c>
      <c r="BD84" s="945">
        <v>9.2349999999999994</v>
      </c>
      <c r="BE84" s="945">
        <v>9.3049999999999997</v>
      </c>
      <c r="BF84" s="945">
        <v>9.375</v>
      </c>
      <c r="BG84" s="945">
        <v>9.4400000000000013</v>
      </c>
      <c r="BH84" s="945">
        <v>9.504999999999999</v>
      </c>
      <c r="BI84" s="945">
        <v>9.57</v>
      </c>
      <c r="BJ84" s="945">
        <v>9.64</v>
      </c>
      <c r="BK84" s="945">
        <v>9.7100000000000009</v>
      </c>
      <c r="BL84" s="945">
        <v>9.7750000000000004</v>
      </c>
      <c r="BM84" s="945">
        <v>9.84</v>
      </c>
      <c r="BN84" s="945">
        <v>9.91</v>
      </c>
      <c r="BO84" s="945">
        <v>9.9749999999999996</v>
      </c>
      <c r="BP84" s="945">
        <v>10.045</v>
      </c>
      <c r="BQ84" s="945">
        <v>10.11</v>
      </c>
      <c r="BR84" s="945">
        <v>10.175000000000001</v>
      </c>
      <c r="BS84" s="945">
        <v>10.245000000000001</v>
      </c>
      <c r="BT84" s="946">
        <v>10.309999999999999</v>
      </c>
      <c r="BU84" s="945">
        <v>10.379999999999999</v>
      </c>
      <c r="BV84" s="945">
        <v>10.445</v>
      </c>
      <c r="BW84" s="945">
        <v>10.510000000000002</v>
      </c>
      <c r="BX84" s="945">
        <v>10.574999999999999</v>
      </c>
      <c r="BY84" s="945">
        <v>10.645</v>
      </c>
      <c r="BZ84" s="945">
        <v>10.71</v>
      </c>
      <c r="CA84" s="945">
        <v>10.780000000000001</v>
      </c>
      <c r="CB84" s="945">
        <v>10.84</v>
      </c>
      <c r="CC84" s="945">
        <v>10.91</v>
      </c>
      <c r="CD84" s="945">
        <v>10.975</v>
      </c>
      <c r="CE84" s="945">
        <v>11.04</v>
      </c>
      <c r="CF84" s="945">
        <v>11.105</v>
      </c>
      <c r="CG84" s="945">
        <v>11.17</v>
      </c>
      <c r="CH84" s="945">
        <v>11.24</v>
      </c>
      <c r="CI84" s="945">
        <v>11.305</v>
      </c>
      <c r="CJ84" s="945">
        <v>11.365</v>
      </c>
      <c r="CK84" s="945">
        <v>11.434999999999999</v>
      </c>
      <c r="CL84" s="945">
        <v>11.5</v>
      </c>
      <c r="CM84" s="945">
        <v>11.56</v>
      </c>
      <c r="CN84" s="945">
        <v>11.625</v>
      </c>
      <c r="CO84" s="945">
        <v>11.695</v>
      </c>
      <c r="CP84" s="945">
        <v>11.754999999999999</v>
      </c>
      <c r="CQ84" s="945">
        <v>11.82</v>
      </c>
      <c r="CR84" s="945">
        <v>11.885000000000002</v>
      </c>
      <c r="CS84" s="945">
        <v>11.945</v>
      </c>
      <c r="CT84" s="945">
        <v>12.015000000000001</v>
      </c>
      <c r="CU84" s="945">
        <v>12.08</v>
      </c>
      <c r="CV84" s="945">
        <v>12.14</v>
      </c>
      <c r="CW84" s="945">
        <v>12.205</v>
      </c>
      <c r="CX84" s="945">
        <v>12.265000000000001</v>
      </c>
      <c r="CY84" s="945">
        <v>12.33</v>
      </c>
      <c r="CZ84" s="945">
        <v>12.39</v>
      </c>
      <c r="DA84" s="945">
        <v>12.455</v>
      </c>
      <c r="DB84" s="945">
        <v>12.515000000000001</v>
      </c>
      <c r="DC84" s="945">
        <v>12.58</v>
      </c>
      <c r="DD84" s="945">
        <v>12.64</v>
      </c>
      <c r="DE84" s="945">
        <v>12.705</v>
      </c>
      <c r="DF84" s="945">
        <v>12.765000000000001</v>
      </c>
      <c r="DG84" s="945">
        <v>12.82</v>
      </c>
      <c r="DH84" s="945">
        <v>12.885</v>
      </c>
      <c r="DI84" s="945">
        <v>12.945</v>
      </c>
      <c r="DJ84" s="945">
        <v>13.005000000000001</v>
      </c>
      <c r="DK84" s="945">
        <v>13.07</v>
      </c>
      <c r="DL84" s="945">
        <v>13.125</v>
      </c>
      <c r="DM84" s="945">
        <v>13.185</v>
      </c>
      <c r="DN84" s="945">
        <v>13.245000000000001</v>
      </c>
      <c r="DO84" s="945">
        <v>13.305</v>
      </c>
      <c r="DP84" s="945">
        <v>13.365</v>
      </c>
      <c r="DQ84" s="945">
        <v>13.42</v>
      </c>
      <c r="DR84" s="945">
        <v>13.48</v>
      </c>
    </row>
    <row r="85" spans="1:122" s="131" customFormat="1" ht="12.75">
      <c r="A85" s="949">
        <v>83</v>
      </c>
      <c r="B85" s="945"/>
      <c r="C85" s="945"/>
      <c r="D85" s="945"/>
      <c r="E85" s="945"/>
      <c r="F85" s="945"/>
      <c r="G85" s="945"/>
      <c r="H85" s="945"/>
      <c r="I85" s="945"/>
      <c r="J85" s="945"/>
      <c r="K85" s="945"/>
      <c r="L85" s="945"/>
      <c r="M85" s="945"/>
      <c r="N85" s="945"/>
      <c r="O85" s="945"/>
      <c r="P85" s="945"/>
      <c r="Q85" s="945"/>
      <c r="R85" s="945"/>
      <c r="S85" s="945"/>
      <c r="T85" s="945"/>
      <c r="U85" s="945"/>
      <c r="V85" s="945"/>
      <c r="W85" s="945">
        <v>6.6850000000000005</v>
      </c>
      <c r="X85" s="945">
        <v>6.71</v>
      </c>
      <c r="Y85" s="945">
        <v>6.76</v>
      </c>
      <c r="Z85" s="945">
        <v>6.8100000000000005</v>
      </c>
      <c r="AA85" s="945">
        <v>6.84</v>
      </c>
      <c r="AB85" s="945">
        <v>6.91</v>
      </c>
      <c r="AC85" s="945">
        <v>6.93</v>
      </c>
      <c r="AD85" s="945">
        <v>6.96</v>
      </c>
      <c r="AE85" s="945">
        <v>7.0049999999999999</v>
      </c>
      <c r="AF85" s="945">
        <v>7.09</v>
      </c>
      <c r="AG85" s="945">
        <v>7.1449999999999996</v>
      </c>
      <c r="AH85" s="945">
        <v>7.2</v>
      </c>
      <c r="AI85" s="945">
        <v>7.28</v>
      </c>
      <c r="AJ85" s="945">
        <v>7.36</v>
      </c>
      <c r="AK85" s="945">
        <v>7.4350000000000005</v>
      </c>
      <c r="AL85" s="945">
        <v>7.5</v>
      </c>
      <c r="AM85" s="945">
        <v>7.5600000000000005</v>
      </c>
      <c r="AN85" s="945">
        <v>7.6199999999999992</v>
      </c>
      <c r="AO85" s="945">
        <v>7.6850000000000005</v>
      </c>
      <c r="AP85" s="945">
        <v>7.75</v>
      </c>
      <c r="AQ85" s="945">
        <v>7.8100000000000005</v>
      </c>
      <c r="AR85" s="945">
        <v>7.875</v>
      </c>
      <c r="AS85" s="945">
        <v>7.9349999999999996</v>
      </c>
      <c r="AT85" s="945">
        <v>8</v>
      </c>
      <c r="AU85" s="945">
        <v>8.06</v>
      </c>
      <c r="AV85" s="945">
        <v>8.125</v>
      </c>
      <c r="AW85" s="945">
        <v>8.1849999999999987</v>
      </c>
      <c r="AX85" s="945">
        <v>8.25</v>
      </c>
      <c r="AY85" s="945">
        <v>8.3149999999999995</v>
      </c>
      <c r="AZ85" s="945">
        <v>8.375</v>
      </c>
      <c r="BA85" s="945">
        <v>8.44</v>
      </c>
      <c r="BB85" s="945">
        <v>8.504999999999999</v>
      </c>
      <c r="BC85" s="945">
        <v>8.5649999999999995</v>
      </c>
      <c r="BD85" s="945">
        <v>8.6300000000000008</v>
      </c>
      <c r="BE85" s="945">
        <v>8.6950000000000003</v>
      </c>
      <c r="BF85" s="945">
        <v>8.76</v>
      </c>
      <c r="BG85" s="945">
        <v>8.82</v>
      </c>
      <c r="BH85" s="945">
        <v>8.8850000000000016</v>
      </c>
      <c r="BI85" s="945">
        <v>8.9499999999999993</v>
      </c>
      <c r="BJ85" s="945">
        <v>9.01</v>
      </c>
      <c r="BK85" s="945">
        <v>9.08</v>
      </c>
      <c r="BL85" s="945">
        <v>9.14</v>
      </c>
      <c r="BM85" s="945">
        <v>9.2049999999999983</v>
      </c>
      <c r="BN85" s="945">
        <v>9.27</v>
      </c>
      <c r="BO85" s="945">
        <v>9.3350000000000009</v>
      </c>
      <c r="BP85" s="945">
        <v>9.3949999999999996</v>
      </c>
      <c r="BQ85" s="945">
        <v>9.4600000000000009</v>
      </c>
      <c r="BR85" s="945">
        <v>9.5249999999999986</v>
      </c>
      <c r="BS85" s="945">
        <v>9.5850000000000009</v>
      </c>
      <c r="BT85" s="946">
        <v>9.65</v>
      </c>
      <c r="BU85" s="945">
        <v>9.7149999999999999</v>
      </c>
      <c r="BV85" s="945">
        <v>9.7799999999999994</v>
      </c>
      <c r="BW85" s="945">
        <v>9.84</v>
      </c>
      <c r="BX85" s="945">
        <v>9.9050000000000011</v>
      </c>
      <c r="BY85" s="945">
        <v>9.9700000000000006</v>
      </c>
      <c r="BZ85" s="945">
        <v>10.035</v>
      </c>
      <c r="CA85" s="945">
        <v>10.094999999999999</v>
      </c>
      <c r="CB85" s="945">
        <v>10.155000000000001</v>
      </c>
      <c r="CC85" s="945">
        <v>10.219999999999999</v>
      </c>
      <c r="CD85" s="945">
        <v>10.285</v>
      </c>
      <c r="CE85" s="945">
        <v>10.35</v>
      </c>
      <c r="CF85" s="945">
        <v>10.41</v>
      </c>
      <c r="CG85" s="945">
        <v>10.475</v>
      </c>
      <c r="CH85" s="945">
        <v>10.535</v>
      </c>
      <c r="CI85" s="945">
        <v>10.594999999999999</v>
      </c>
      <c r="CJ85" s="945">
        <v>10.66</v>
      </c>
      <c r="CK85" s="945">
        <v>10.719999999999999</v>
      </c>
      <c r="CL85" s="945">
        <v>10.785</v>
      </c>
      <c r="CM85" s="945">
        <v>10.845000000000001</v>
      </c>
      <c r="CN85" s="945">
        <v>10.904999999999999</v>
      </c>
      <c r="CO85" s="945">
        <v>10.969999999999999</v>
      </c>
      <c r="CP85" s="945">
        <v>11.030000000000001</v>
      </c>
      <c r="CQ85" s="945">
        <v>11.09</v>
      </c>
      <c r="CR85" s="945">
        <v>11.154999999999999</v>
      </c>
      <c r="CS85" s="945">
        <v>11.215</v>
      </c>
      <c r="CT85" s="945">
        <v>11.275</v>
      </c>
      <c r="CU85" s="945">
        <v>11.34</v>
      </c>
      <c r="CV85" s="945">
        <v>11.399999999999999</v>
      </c>
      <c r="CW85" s="945">
        <v>11.46</v>
      </c>
      <c r="CX85" s="945">
        <v>11.515000000000001</v>
      </c>
      <c r="CY85" s="945">
        <v>11.58</v>
      </c>
      <c r="CZ85" s="945">
        <v>11.64</v>
      </c>
      <c r="DA85" s="945">
        <v>11.7</v>
      </c>
      <c r="DB85" s="945">
        <v>11.754999999999999</v>
      </c>
      <c r="DC85" s="945">
        <v>11.815000000000001</v>
      </c>
      <c r="DD85" s="945">
        <v>11.879999999999999</v>
      </c>
      <c r="DE85" s="945">
        <v>11.94</v>
      </c>
      <c r="DF85" s="945">
        <v>11.995000000000001</v>
      </c>
      <c r="DG85" s="945">
        <v>12.055</v>
      </c>
      <c r="DH85" s="945">
        <v>12.11</v>
      </c>
      <c r="DI85" s="945">
        <v>12.17</v>
      </c>
      <c r="DJ85" s="945">
        <v>12.225000000000001</v>
      </c>
      <c r="DK85" s="945">
        <v>12.285</v>
      </c>
      <c r="DL85" s="945">
        <v>12.344999999999999</v>
      </c>
      <c r="DM85" s="945">
        <v>12.4</v>
      </c>
      <c r="DN85" s="945">
        <v>12.455</v>
      </c>
      <c r="DO85" s="945">
        <v>12.515000000000001</v>
      </c>
      <c r="DP85" s="945">
        <v>12.57</v>
      </c>
      <c r="DQ85" s="945">
        <v>12.629999999999999</v>
      </c>
      <c r="DR85" s="945">
        <v>12.684999999999999</v>
      </c>
    </row>
    <row r="86" spans="1:122" s="131" customFormat="1" ht="12.75">
      <c r="A86" s="949">
        <v>84</v>
      </c>
      <c r="B86" s="945"/>
      <c r="C86" s="945"/>
      <c r="D86" s="945"/>
      <c r="E86" s="945"/>
      <c r="F86" s="945"/>
      <c r="G86" s="945"/>
      <c r="H86" s="945"/>
      <c r="I86" s="945"/>
      <c r="J86" s="945"/>
      <c r="K86" s="945"/>
      <c r="L86" s="945"/>
      <c r="M86" s="945"/>
      <c r="N86" s="945"/>
      <c r="O86" s="945"/>
      <c r="P86" s="945"/>
      <c r="Q86" s="945"/>
      <c r="R86" s="945"/>
      <c r="S86" s="945"/>
      <c r="T86" s="945"/>
      <c r="U86" s="945"/>
      <c r="V86" s="945"/>
      <c r="W86" s="945">
        <v>6.24</v>
      </c>
      <c r="X86" s="945">
        <v>6.2549999999999999</v>
      </c>
      <c r="Y86" s="945">
        <v>6.29</v>
      </c>
      <c r="Z86" s="945">
        <v>6.34</v>
      </c>
      <c r="AA86" s="945">
        <v>6.3699999999999992</v>
      </c>
      <c r="AB86" s="945">
        <v>6.4250000000000007</v>
      </c>
      <c r="AC86" s="945">
        <v>6.45</v>
      </c>
      <c r="AD86" s="945">
        <v>6.48</v>
      </c>
      <c r="AE86" s="945">
        <v>6.54</v>
      </c>
      <c r="AF86" s="945">
        <v>6.5949999999999998</v>
      </c>
      <c r="AG86" s="945">
        <v>6.66</v>
      </c>
      <c r="AH86" s="945">
        <v>6.7050000000000001</v>
      </c>
      <c r="AI86" s="945">
        <v>6.79</v>
      </c>
      <c r="AJ86" s="945">
        <v>6.86</v>
      </c>
      <c r="AK86" s="945">
        <v>6.92</v>
      </c>
      <c r="AL86" s="945">
        <v>6.98</v>
      </c>
      <c r="AM86" s="945">
        <v>7.0350000000000001</v>
      </c>
      <c r="AN86" s="945">
        <v>7.1</v>
      </c>
      <c r="AO86" s="945">
        <v>7.1549999999999994</v>
      </c>
      <c r="AP86" s="945">
        <v>7.2149999999999999</v>
      </c>
      <c r="AQ86" s="945">
        <v>7.27</v>
      </c>
      <c r="AR86" s="945">
        <v>7.335</v>
      </c>
      <c r="AS86" s="945">
        <v>7.39</v>
      </c>
      <c r="AT86" s="945">
        <v>7.45</v>
      </c>
      <c r="AU86" s="945">
        <v>7.51</v>
      </c>
      <c r="AV86" s="945">
        <v>7.57</v>
      </c>
      <c r="AW86" s="945">
        <v>7.63</v>
      </c>
      <c r="AX86" s="945">
        <v>7.69</v>
      </c>
      <c r="AY86" s="945">
        <v>7.75</v>
      </c>
      <c r="AZ86" s="945">
        <v>7.8100000000000005</v>
      </c>
      <c r="BA86" s="945">
        <v>7.87</v>
      </c>
      <c r="BB86" s="945">
        <v>7.93</v>
      </c>
      <c r="BC86" s="945">
        <v>7.99</v>
      </c>
      <c r="BD86" s="945">
        <v>8.0500000000000007</v>
      </c>
      <c r="BE86" s="945">
        <v>8.11</v>
      </c>
      <c r="BF86" s="945">
        <v>8.17</v>
      </c>
      <c r="BG86" s="945">
        <v>8.23</v>
      </c>
      <c r="BH86" s="945">
        <v>8.2899999999999991</v>
      </c>
      <c r="BI86" s="945">
        <v>8.3500000000000014</v>
      </c>
      <c r="BJ86" s="945">
        <v>8.41</v>
      </c>
      <c r="BK86" s="945">
        <v>8.4699999999999989</v>
      </c>
      <c r="BL86" s="945">
        <v>8.5300000000000011</v>
      </c>
      <c r="BM86" s="945">
        <v>8.59</v>
      </c>
      <c r="BN86" s="945">
        <v>8.6499999999999986</v>
      </c>
      <c r="BO86" s="945">
        <v>8.7149999999999999</v>
      </c>
      <c r="BP86" s="945">
        <v>8.7750000000000004</v>
      </c>
      <c r="BQ86" s="945">
        <v>8.8350000000000009</v>
      </c>
      <c r="BR86" s="945">
        <v>8.8949999999999996</v>
      </c>
      <c r="BS86" s="945">
        <v>8.9550000000000001</v>
      </c>
      <c r="BT86" s="946">
        <v>9.0150000000000006</v>
      </c>
      <c r="BU86" s="945">
        <v>9.0749999999999993</v>
      </c>
      <c r="BV86" s="945">
        <v>9.1349999999999998</v>
      </c>
      <c r="BW86" s="945">
        <v>9.1950000000000003</v>
      </c>
      <c r="BX86" s="945">
        <v>9.26</v>
      </c>
      <c r="BY86" s="945">
        <v>9.32</v>
      </c>
      <c r="BZ86" s="945">
        <v>9.379999999999999</v>
      </c>
      <c r="CA86" s="945">
        <v>9.4400000000000013</v>
      </c>
      <c r="CB86" s="945">
        <v>9.5</v>
      </c>
      <c r="CC86" s="945">
        <v>9.5599999999999987</v>
      </c>
      <c r="CD86" s="945">
        <v>9.6150000000000002</v>
      </c>
      <c r="CE86" s="945">
        <v>9.6750000000000007</v>
      </c>
      <c r="CF86" s="945">
        <v>9.7349999999999994</v>
      </c>
      <c r="CG86" s="945">
        <v>9.7949999999999999</v>
      </c>
      <c r="CH86" s="945">
        <v>9.86</v>
      </c>
      <c r="CI86" s="945">
        <v>9.92</v>
      </c>
      <c r="CJ86" s="945">
        <v>9.9750000000000014</v>
      </c>
      <c r="CK86" s="945">
        <v>10.035</v>
      </c>
      <c r="CL86" s="945">
        <v>10.094999999999999</v>
      </c>
      <c r="CM86" s="945">
        <v>10.155000000000001</v>
      </c>
      <c r="CN86" s="945">
        <v>10.210000000000001</v>
      </c>
      <c r="CO86" s="945">
        <v>10.27</v>
      </c>
      <c r="CP86" s="945">
        <v>10.33</v>
      </c>
      <c r="CQ86" s="945">
        <v>10.39</v>
      </c>
      <c r="CR86" s="945">
        <v>10.445</v>
      </c>
      <c r="CS86" s="945">
        <v>10.504999999999999</v>
      </c>
      <c r="CT86" s="945">
        <v>10.565000000000001</v>
      </c>
      <c r="CU86" s="945">
        <v>10.62</v>
      </c>
      <c r="CV86" s="945">
        <v>10.68</v>
      </c>
      <c r="CW86" s="945">
        <v>10.734999999999999</v>
      </c>
      <c r="CX86" s="945">
        <v>10.795</v>
      </c>
      <c r="CY86" s="945">
        <v>10.85</v>
      </c>
      <c r="CZ86" s="945">
        <v>10.91</v>
      </c>
      <c r="DA86" s="945">
        <v>10.969999999999999</v>
      </c>
      <c r="DB86" s="945">
        <v>11.02</v>
      </c>
      <c r="DC86" s="945">
        <v>11.074999999999999</v>
      </c>
      <c r="DD86" s="945">
        <v>11.135</v>
      </c>
      <c r="DE86" s="945">
        <v>11.190000000000001</v>
      </c>
      <c r="DF86" s="945">
        <v>11.25</v>
      </c>
      <c r="DG86" s="945">
        <v>11.305</v>
      </c>
      <c r="DH86" s="945">
        <v>11.36</v>
      </c>
      <c r="DI86" s="945">
        <v>11.414999999999999</v>
      </c>
      <c r="DJ86" s="945">
        <v>11.469999999999999</v>
      </c>
      <c r="DK86" s="945">
        <v>11.525</v>
      </c>
      <c r="DL86" s="945">
        <v>11.58</v>
      </c>
      <c r="DM86" s="945">
        <v>11.635</v>
      </c>
      <c r="DN86" s="945">
        <v>11.690000000000001</v>
      </c>
      <c r="DO86" s="945">
        <v>11.739999999999998</v>
      </c>
      <c r="DP86" s="945">
        <v>11.8</v>
      </c>
      <c r="DQ86" s="945">
        <v>11.855</v>
      </c>
      <c r="DR86" s="945">
        <v>11.904999999999999</v>
      </c>
    </row>
    <row r="87" spans="1:122" s="131" customFormat="1" ht="12.75">
      <c r="A87" s="949">
        <v>85</v>
      </c>
      <c r="B87" s="945"/>
      <c r="C87" s="945"/>
      <c r="D87" s="945"/>
      <c r="E87" s="945"/>
      <c r="F87" s="945"/>
      <c r="G87" s="945"/>
      <c r="H87" s="945"/>
      <c r="I87" s="945"/>
      <c r="J87" s="945"/>
      <c r="K87" s="945"/>
      <c r="L87" s="945"/>
      <c r="M87" s="945"/>
      <c r="N87" s="945"/>
      <c r="O87" s="945"/>
      <c r="P87" s="945"/>
      <c r="Q87" s="945"/>
      <c r="R87" s="945"/>
      <c r="S87" s="945"/>
      <c r="T87" s="945"/>
      <c r="U87" s="945"/>
      <c r="V87" s="945"/>
      <c r="W87" s="945">
        <v>5.8049999999999997</v>
      </c>
      <c r="X87" s="945">
        <v>5.8000000000000007</v>
      </c>
      <c r="Y87" s="945">
        <v>5.84</v>
      </c>
      <c r="Z87" s="945">
        <v>5.8949999999999996</v>
      </c>
      <c r="AA87" s="945">
        <v>5.915</v>
      </c>
      <c r="AB87" s="945">
        <v>5.9649999999999999</v>
      </c>
      <c r="AC87" s="945">
        <v>5.9950000000000001</v>
      </c>
      <c r="AD87" s="945">
        <v>6.0350000000000001</v>
      </c>
      <c r="AE87" s="945">
        <v>6.07</v>
      </c>
      <c r="AF87" s="945">
        <v>6.15</v>
      </c>
      <c r="AG87" s="945">
        <v>6.1899999999999995</v>
      </c>
      <c r="AH87" s="945">
        <v>6.24</v>
      </c>
      <c r="AI87" s="945">
        <v>6.3249999999999993</v>
      </c>
      <c r="AJ87" s="945">
        <v>6.375</v>
      </c>
      <c r="AK87" s="945">
        <v>6.4350000000000005</v>
      </c>
      <c r="AL87" s="945">
        <v>6.4850000000000003</v>
      </c>
      <c r="AM87" s="945">
        <v>6.5449999999999999</v>
      </c>
      <c r="AN87" s="945">
        <v>6.6</v>
      </c>
      <c r="AO87" s="945">
        <v>6.6549999999999994</v>
      </c>
      <c r="AP87" s="945">
        <v>6.71</v>
      </c>
      <c r="AQ87" s="945">
        <v>6.7650000000000006</v>
      </c>
      <c r="AR87" s="945">
        <v>6.8149999999999995</v>
      </c>
      <c r="AS87" s="945">
        <v>6.875</v>
      </c>
      <c r="AT87" s="945">
        <v>6.93</v>
      </c>
      <c r="AU87" s="945">
        <v>6.99</v>
      </c>
      <c r="AV87" s="945">
        <v>7.04</v>
      </c>
      <c r="AW87" s="945">
        <v>7.1</v>
      </c>
      <c r="AX87" s="945">
        <v>7.1550000000000002</v>
      </c>
      <c r="AY87" s="945">
        <v>7.21</v>
      </c>
      <c r="AZ87" s="945">
        <v>7.27</v>
      </c>
      <c r="BA87" s="945">
        <v>7.3250000000000002</v>
      </c>
      <c r="BB87" s="945">
        <v>7.38</v>
      </c>
      <c r="BC87" s="945">
        <v>7.4399999999999995</v>
      </c>
      <c r="BD87" s="945">
        <v>7.4950000000000001</v>
      </c>
      <c r="BE87" s="945">
        <v>7.5550000000000006</v>
      </c>
      <c r="BF87" s="945">
        <v>7.6099999999999994</v>
      </c>
      <c r="BG87" s="945">
        <v>7.665</v>
      </c>
      <c r="BH87" s="945">
        <v>7.7250000000000005</v>
      </c>
      <c r="BI87" s="945">
        <v>7.7799999999999994</v>
      </c>
      <c r="BJ87" s="945">
        <v>7.835</v>
      </c>
      <c r="BK87" s="945">
        <v>7.8950000000000005</v>
      </c>
      <c r="BL87" s="945">
        <v>7.9499999999999993</v>
      </c>
      <c r="BM87" s="945">
        <v>8.01</v>
      </c>
      <c r="BN87" s="945">
        <v>8.0650000000000013</v>
      </c>
      <c r="BO87" s="945">
        <v>8.1199999999999992</v>
      </c>
      <c r="BP87" s="945">
        <v>8.18</v>
      </c>
      <c r="BQ87" s="945">
        <v>8.24</v>
      </c>
      <c r="BR87" s="945">
        <v>8.2899999999999991</v>
      </c>
      <c r="BS87" s="945">
        <v>8.35</v>
      </c>
      <c r="BT87" s="946">
        <v>8.41</v>
      </c>
      <c r="BU87" s="945">
        <v>8.4649999999999999</v>
      </c>
      <c r="BV87" s="945">
        <v>8.52</v>
      </c>
      <c r="BW87" s="945">
        <v>8.58</v>
      </c>
      <c r="BX87" s="945">
        <v>8.6349999999999998</v>
      </c>
      <c r="BY87" s="945">
        <v>8.6950000000000003</v>
      </c>
      <c r="BZ87" s="945">
        <v>8.75</v>
      </c>
      <c r="CA87" s="945">
        <v>8.8049999999999997</v>
      </c>
      <c r="CB87" s="945">
        <v>8.8650000000000002</v>
      </c>
      <c r="CC87" s="945">
        <v>8.92</v>
      </c>
      <c r="CD87" s="945">
        <v>8.98</v>
      </c>
      <c r="CE87" s="945">
        <v>9.0350000000000001</v>
      </c>
      <c r="CF87" s="945">
        <v>9.09</v>
      </c>
      <c r="CG87" s="945">
        <v>9.15</v>
      </c>
      <c r="CH87" s="945">
        <v>9.2050000000000001</v>
      </c>
      <c r="CI87" s="945">
        <v>9.26</v>
      </c>
      <c r="CJ87" s="945">
        <v>9.3149999999999995</v>
      </c>
      <c r="CK87" s="945">
        <v>9.375</v>
      </c>
      <c r="CL87" s="945">
        <v>9.4250000000000007</v>
      </c>
      <c r="CM87" s="945">
        <v>9.4849999999999994</v>
      </c>
      <c r="CN87" s="945">
        <v>9.5399999999999991</v>
      </c>
      <c r="CO87" s="945">
        <v>9.6000000000000014</v>
      </c>
      <c r="CP87" s="945">
        <v>9.6499999999999986</v>
      </c>
      <c r="CQ87" s="945">
        <v>9.7050000000000001</v>
      </c>
      <c r="CR87" s="945">
        <v>9.7650000000000006</v>
      </c>
      <c r="CS87" s="945">
        <v>9.8149999999999995</v>
      </c>
      <c r="CT87" s="945">
        <v>9.875</v>
      </c>
      <c r="CU87" s="945">
        <v>9.93</v>
      </c>
      <c r="CV87" s="945">
        <v>9.98</v>
      </c>
      <c r="CW87" s="945">
        <v>10.039999999999999</v>
      </c>
      <c r="CX87" s="945">
        <v>10.095000000000001</v>
      </c>
      <c r="CY87" s="945">
        <v>10.145</v>
      </c>
      <c r="CZ87" s="945">
        <v>10.199999999999999</v>
      </c>
      <c r="DA87" s="945">
        <v>10.254999999999999</v>
      </c>
      <c r="DB87" s="945">
        <v>10.309999999999999</v>
      </c>
      <c r="DC87" s="945">
        <v>10.365</v>
      </c>
      <c r="DD87" s="945">
        <v>10.414999999999999</v>
      </c>
      <c r="DE87" s="945">
        <v>10.469999999999999</v>
      </c>
      <c r="DF87" s="945">
        <v>10.525</v>
      </c>
      <c r="DG87" s="945">
        <v>10.58</v>
      </c>
      <c r="DH87" s="945">
        <v>10.629999999999999</v>
      </c>
      <c r="DI87" s="945">
        <v>10.684999999999999</v>
      </c>
      <c r="DJ87" s="945">
        <v>10.734999999999999</v>
      </c>
      <c r="DK87" s="945">
        <v>10.79</v>
      </c>
      <c r="DL87" s="945">
        <v>10.84</v>
      </c>
      <c r="DM87" s="945">
        <v>10.89</v>
      </c>
      <c r="DN87" s="945">
        <v>10.945</v>
      </c>
      <c r="DO87" s="945">
        <v>10.995000000000001</v>
      </c>
      <c r="DP87" s="945">
        <v>11.05</v>
      </c>
      <c r="DQ87" s="945">
        <v>11.1</v>
      </c>
      <c r="DR87" s="945">
        <v>11.15</v>
      </c>
    </row>
    <row r="88" spans="1:122" s="131" customFormat="1" ht="12.75">
      <c r="A88" s="949">
        <v>86</v>
      </c>
      <c r="B88" s="945"/>
      <c r="C88" s="945"/>
      <c r="D88" s="945"/>
      <c r="E88" s="945"/>
      <c r="F88" s="945"/>
      <c r="G88" s="945"/>
      <c r="H88" s="945"/>
      <c r="I88" s="945"/>
      <c r="J88" s="945"/>
      <c r="K88" s="945"/>
      <c r="L88" s="945"/>
      <c r="M88" s="945"/>
      <c r="N88" s="945"/>
      <c r="O88" s="945"/>
      <c r="P88" s="945"/>
      <c r="Q88" s="945"/>
      <c r="R88" s="945"/>
      <c r="S88" s="945"/>
      <c r="T88" s="945"/>
      <c r="U88" s="945"/>
      <c r="V88" s="945"/>
      <c r="W88" s="945">
        <v>5.3800000000000008</v>
      </c>
      <c r="X88" s="945">
        <v>5.3800000000000008</v>
      </c>
      <c r="Y88" s="945">
        <v>5.43</v>
      </c>
      <c r="Z88" s="945">
        <v>5.46</v>
      </c>
      <c r="AA88" s="945">
        <v>5.4849999999999994</v>
      </c>
      <c r="AB88" s="945">
        <v>5.5350000000000001</v>
      </c>
      <c r="AC88" s="945">
        <v>5.58</v>
      </c>
      <c r="AD88" s="945">
        <v>5.5949999999999998</v>
      </c>
      <c r="AE88" s="945">
        <v>5.6449999999999996</v>
      </c>
      <c r="AF88" s="945">
        <v>5.7</v>
      </c>
      <c r="AG88" s="945">
        <v>5.76</v>
      </c>
      <c r="AH88" s="945">
        <v>5.8100000000000005</v>
      </c>
      <c r="AI88" s="945">
        <v>5.8650000000000002</v>
      </c>
      <c r="AJ88" s="945">
        <v>5.92</v>
      </c>
      <c r="AK88" s="945">
        <v>5.9700000000000006</v>
      </c>
      <c r="AL88" s="945">
        <v>6.0250000000000004</v>
      </c>
      <c r="AM88" s="945">
        <v>6.07</v>
      </c>
      <c r="AN88" s="945">
        <v>6.125</v>
      </c>
      <c r="AO88" s="945">
        <v>6.18</v>
      </c>
      <c r="AP88" s="945">
        <v>6.23</v>
      </c>
      <c r="AQ88" s="945">
        <v>6.2850000000000001</v>
      </c>
      <c r="AR88" s="945">
        <v>6.335</v>
      </c>
      <c r="AS88" s="945">
        <v>6.3900000000000006</v>
      </c>
      <c r="AT88" s="945">
        <v>6.4399999999999995</v>
      </c>
      <c r="AU88" s="945">
        <v>6.49</v>
      </c>
      <c r="AV88" s="945">
        <v>6.5449999999999999</v>
      </c>
      <c r="AW88" s="945">
        <v>6.6</v>
      </c>
      <c r="AX88" s="945">
        <v>6.65</v>
      </c>
      <c r="AY88" s="945">
        <v>6.7050000000000001</v>
      </c>
      <c r="AZ88" s="945">
        <v>6.7550000000000008</v>
      </c>
      <c r="BA88" s="945">
        <v>6.8100000000000005</v>
      </c>
      <c r="BB88" s="945">
        <v>6.8650000000000002</v>
      </c>
      <c r="BC88" s="945">
        <v>6.915</v>
      </c>
      <c r="BD88" s="945">
        <v>6.9700000000000006</v>
      </c>
      <c r="BE88" s="945">
        <v>7.0250000000000004</v>
      </c>
      <c r="BF88" s="945">
        <v>7.0749999999999993</v>
      </c>
      <c r="BG88" s="945">
        <v>7.1349999999999998</v>
      </c>
      <c r="BH88" s="945">
        <v>7.1850000000000005</v>
      </c>
      <c r="BI88" s="945">
        <v>7.2349999999999994</v>
      </c>
      <c r="BJ88" s="945">
        <v>7.2949999999999999</v>
      </c>
      <c r="BK88" s="945">
        <v>7.3450000000000006</v>
      </c>
      <c r="BL88" s="945">
        <v>7.3949999999999996</v>
      </c>
      <c r="BM88" s="945">
        <v>7.4550000000000001</v>
      </c>
      <c r="BN88" s="945">
        <v>7.5049999999999999</v>
      </c>
      <c r="BO88" s="945">
        <v>7.5549999999999997</v>
      </c>
      <c r="BP88" s="945">
        <v>7.6150000000000002</v>
      </c>
      <c r="BQ88" s="945">
        <v>7.6649999999999991</v>
      </c>
      <c r="BR88" s="945">
        <v>7.7249999999999996</v>
      </c>
      <c r="BS88" s="945">
        <v>7.7750000000000004</v>
      </c>
      <c r="BT88" s="946">
        <v>7.8249999999999993</v>
      </c>
      <c r="BU88" s="945">
        <v>7.8849999999999998</v>
      </c>
      <c r="BV88" s="945">
        <v>7.9350000000000005</v>
      </c>
      <c r="BW88" s="945">
        <v>7.99</v>
      </c>
      <c r="BX88" s="945">
        <v>8.0449999999999999</v>
      </c>
      <c r="BY88" s="945">
        <v>8.0949999999999989</v>
      </c>
      <c r="BZ88" s="945">
        <v>8.15</v>
      </c>
      <c r="CA88" s="945">
        <v>8.1999999999999993</v>
      </c>
      <c r="CB88" s="945">
        <v>8.26</v>
      </c>
      <c r="CC88" s="945">
        <v>8.31</v>
      </c>
      <c r="CD88" s="945">
        <v>8.3650000000000002</v>
      </c>
      <c r="CE88" s="945">
        <v>8.42</v>
      </c>
      <c r="CF88" s="945">
        <v>8.4700000000000006</v>
      </c>
      <c r="CG88" s="945">
        <v>8.5249999999999986</v>
      </c>
      <c r="CH88" s="945">
        <v>8.5749999999999993</v>
      </c>
      <c r="CI88" s="945">
        <v>8.629999999999999</v>
      </c>
      <c r="CJ88" s="945">
        <v>8.6849999999999987</v>
      </c>
      <c r="CK88" s="945">
        <v>8.7349999999999994</v>
      </c>
      <c r="CL88" s="945">
        <v>8.7899999999999991</v>
      </c>
      <c r="CM88" s="945">
        <v>8.84</v>
      </c>
      <c r="CN88" s="945">
        <v>8.8949999999999996</v>
      </c>
      <c r="CO88" s="945">
        <v>8.9499999999999993</v>
      </c>
      <c r="CP88" s="945">
        <v>9</v>
      </c>
      <c r="CQ88" s="945">
        <v>9.0549999999999997</v>
      </c>
      <c r="CR88" s="945">
        <v>9.1050000000000004</v>
      </c>
      <c r="CS88" s="945">
        <v>9.1550000000000011</v>
      </c>
      <c r="CT88" s="945">
        <v>9.2100000000000009</v>
      </c>
      <c r="CU88" s="945">
        <v>9.26</v>
      </c>
      <c r="CV88" s="945">
        <v>9.31</v>
      </c>
      <c r="CW88" s="945">
        <v>9.3649999999999984</v>
      </c>
      <c r="CX88" s="945">
        <v>9.4149999999999991</v>
      </c>
      <c r="CY88" s="945">
        <v>9.4649999999999999</v>
      </c>
      <c r="CZ88" s="945">
        <v>9.5150000000000006</v>
      </c>
      <c r="DA88" s="945">
        <v>9.57</v>
      </c>
      <c r="DB88" s="945">
        <v>9.620000000000001</v>
      </c>
      <c r="DC88" s="945">
        <v>9.67</v>
      </c>
      <c r="DD88" s="945">
        <v>9.7200000000000006</v>
      </c>
      <c r="DE88" s="945">
        <v>9.7749999999999986</v>
      </c>
      <c r="DF88" s="945">
        <v>9.8249999999999993</v>
      </c>
      <c r="DG88" s="945">
        <v>9.875</v>
      </c>
      <c r="DH88" s="945">
        <v>9.9250000000000007</v>
      </c>
      <c r="DI88" s="945">
        <v>9.9750000000000014</v>
      </c>
      <c r="DJ88" s="945">
        <v>10.025</v>
      </c>
      <c r="DK88" s="945">
        <v>10.074999999999999</v>
      </c>
      <c r="DL88" s="945">
        <v>10.125</v>
      </c>
      <c r="DM88" s="945">
        <v>10.175000000000001</v>
      </c>
      <c r="DN88" s="945">
        <v>10.219999999999999</v>
      </c>
      <c r="DO88" s="945">
        <v>10.27</v>
      </c>
      <c r="DP88" s="945">
        <v>10.32</v>
      </c>
      <c r="DQ88" s="945">
        <v>10.370000000000001</v>
      </c>
      <c r="DR88" s="945">
        <v>10.414999999999999</v>
      </c>
    </row>
    <row r="89" spans="1:122" s="131" customFormat="1" ht="12.75">
      <c r="A89" s="949">
        <v>87</v>
      </c>
      <c r="B89" s="945"/>
      <c r="C89" s="945"/>
      <c r="D89" s="945"/>
      <c r="E89" s="945"/>
      <c r="F89" s="945"/>
      <c r="G89" s="945"/>
      <c r="H89" s="945"/>
      <c r="I89" s="945"/>
      <c r="J89" s="945"/>
      <c r="K89" s="945"/>
      <c r="L89" s="945"/>
      <c r="M89" s="945"/>
      <c r="N89" s="945"/>
      <c r="O89" s="945"/>
      <c r="P89" s="945"/>
      <c r="Q89" s="945"/>
      <c r="R89" s="945"/>
      <c r="S89" s="945"/>
      <c r="T89" s="945"/>
      <c r="U89" s="945"/>
      <c r="V89" s="945"/>
      <c r="W89" s="945">
        <v>4.9949999999999992</v>
      </c>
      <c r="X89" s="945">
        <v>4.99</v>
      </c>
      <c r="Y89" s="945">
        <v>5.0199999999999996</v>
      </c>
      <c r="Z89" s="945">
        <v>5.0549999999999997</v>
      </c>
      <c r="AA89" s="945">
        <v>5.085</v>
      </c>
      <c r="AB89" s="945">
        <v>5.15</v>
      </c>
      <c r="AC89" s="945">
        <v>5.1550000000000002</v>
      </c>
      <c r="AD89" s="945">
        <v>5.2</v>
      </c>
      <c r="AE89" s="945">
        <v>5.2249999999999996</v>
      </c>
      <c r="AF89" s="945">
        <v>5.3</v>
      </c>
      <c r="AG89" s="945">
        <v>5.35</v>
      </c>
      <c r="AH89" s="945">
        <v>5.3949999999999996</v>
      </c>
      <c r="AI89" s="945">
        <v>5.4450000000000003</v>
      </c>
      <c r="AJ89" s="945">
        <v>5.49</v>
      </c>
      <c r="AK89" s="945">
        <v>5.5350000000000001</v>
      </c>
      <c r="AL89" s="945">
        <v>5.59</v>
      </c>
      <c r="AM89" s="945">
        <v>5.6349999999999998</v>
      </c>
      <c r="AN89" s="945">
        <v>5.6850000000000005</v>
      </c>
      <c r="AO89" s="945">
        <v>5.7349999999999994</v>
      </c>
      <c r="AP89" s="945">
        <v>5.7850000000000001</v>
      </c>
      <c r="AQ89" s="945">
        <v>5.83</v>
      </c>
      <c r="AR89" s="945">
        <v>5.88</v>
      </c>
      <c r="AS89" s="945">
        <v>5.93</v>
      </c>
      <c r="AT89" s="945">
        <v>5.9749999999999996</v>
      </c>
      <c r="AU89" s="945">
        <v>6.0250000000000004</v>
      </c>
      <c r="AV89" s="945">
        <v>6.0749999999999993</v>
      </c>
      <c r="AW89" s="945">
        <v>6.125</v>
      </c>
      <c r="AX89" s="945">
        <v>6.1750000000000007</v>
      </c>
      <c r="AY89" s="945">
        <v>6.2249999999999996</v>
      </c>
      <c r="AZ89" s="945">
        <v>6.2750000000000004</v>
      </c>
      <c r="BA89" s="945">
        <v>6.3249999999999993</v>
      </c>
      <c r="BB89" s="945">
        <v>6.375</v>
      </c>
      <c r="BC89" s="945">
        <v>6.4250000000000007</v>
      </c>
      <c r="BD89" s="945">
        <v>6.4700000000000006</v>
      </c>
      <c r="BE89" s="945">
        <v>6.52</v>
      </c>
      <c r="BF89" s="945">
        <v>6.57</v>
      </c>
      <c r="BG89" s="945">
        <v>6.6199999999999992</v>
      </c>
      <c r="BH89" s="945">
        <v>6.67</v>
      </c>
      <c r="BI89" s="945">
        <v>6.7200000000000006</v>
      </c>
      <c r="BJ89" s="945">
        <v>6.77</v>
      </c>
      <c r="BK89" s="945">
        <v>6.82</v>
      </c>
      <c r="BL89" s="945">
        <v>6.8699999999999992</v>
      </c>
      <c r="BM89" s="945">
        <v>6.92</v>
      </c>
      <c r="BN89" s="945">
        <v>6.9749999999999996</v>
      </c>
      <c r="BO89" s="945">
        <v>7.0250000000000004</v>
      </c>
      <c r="BP89" s="945">
        <v>7.08</v>
      </c>
      <c r="BQ89" s="945">
        <v>7.1300000000000008</v>
      </c>
      <c r="BR89" s="945">
        <v>7.18</v>
      </c>
      <c r="BS89" s="945">
        <v>7.23</v>
      </c>
      <c r="BT89" s="946">
        <v>7.2799999999999994</v>
      </c>
      <c r="BU89" s="945">
        <v>7.33</v>
      </c>
      <c r="BV89" s="945">
        <v>7.3800000000000008</v>
      </c>
      <c r="BW89" s="945">
        <v>7.43</v>
      </c>
      <c r="BX89" s="945">
        <v>7.48</v>
      </c>
      <c r="BY89" s="945">
        <v>7.5299999999999994</v>
      </c>
      <c r="BZ89" s="945">
        <v>7.58</v>
      </c>
      <c r="CA89" s="945">
        <v>7.63</v>
      </c>
      <c r="CB89" s="945">
        <v>7.68</v>
      </c>
      <c r="CC89" s="945">
        <v>7.73</v>
      </c>
      <c r="CD89" s="945">
        <v>7.7799999999999994</v>
      </c>
      <c r="CE89" s="945">
        <v>7.8250000000000002</v>
      </c>
      <c r="CF89" s="945">
        <v>7.875</v>
      </c>
      <c r="CG89" s="945">
        <v>7.93</v>
      </c>
      <c r="CH89" s="945">
        <v>7.9799999999999995</v>
      </c>
      <c r="CI89" s="945">
        <v>8.0299999999999994</v>
      </c>
      <c r="CJ89" s="945">
        <v>8.08</v>
      </c>
      <c r="CK89" s="945">
        <v>8.129999999999999</v>
      </c>
      <c r="CL89" s="945">
        <v>8.18</v>
      </c>
      <c r="CM89" s="945">
        <v>8.23</v>
      </c>
      <c r="CN89" s="945">
        <v>8.2799999999999994</v>
      </c>
      <c r="CO89" s="945">
        <v>8.3249999999999993</v>
      </c>
      <c r="CP89" s="945">
        <v>8.375</v>
      </c>
      <c r="CQ89" s="945">
        <v>8.4250000000000007</v>
      </c>
      <c r="CR89" s="945">
        <v>8.4749999999999996</v>
      </c>
      <c r="CS89" s="945">
        <v>8.5250000000000004</v>
      </c>
      <c r="CT89" s="945">
        <v>8.5749999999999993</v>
      </c>
      <c r="CU89" s="945">
        <v>8.620000000000001</v>
      </c>
      <c r="CV89" s="945">
        <v>8.6700000000000017</v>
      </c>
      <c r="CW89" s="945">
        <v>8.7199999999999989</v>
      </c>
      <c r="CX89" s="945">
        <v>8.77</v>
      </c>
      <c r="CY89" s="945">
        <v>8.8149999999999995</v>
      </c>
      <c r="CZ89" s="945">
        <v>8.8650000000000002</v>
      </c>
      <c r="DA89" s="945">
        <v>8.9149999999999991</v>
      </c>
      <c r="DB89" s="945">
        <v>8.9600000000000009</v>
      </c>
      <c r="DC89" s="945">
        <v>9.0100000000000016</v>
      </c>
      <c r="DD89" s="945">
        <v>9.0599999999999987</v>
      </c>
      <c r="DE89" s="945">
        <v>9.1000000000000014</v>
      </c>
      <c r="DF89" s="945">
        <v>9.1499999999999986</v>
      </c>
      <c r="DG89" s="945">
        <v>9.1999999999999993</v>
      </c>
      <c r="DH89" s="945">
        <v>9.245000000000001</v>
      </c>
      <c r="DI89" s="945">
        <v>9.2949999999999999</v>
      </c>
      <c r="DJ89" s="945">
        <v>9.34</v>
      </c>
      <c r="DK89" s="945">
        <v>9.39</v>
      </c>
      <c r="DL89" s="945">
        <v>9.43</v>
      </c>
      <c r="DM89" s="945">
        <v>9.48</v>
      </c>
      <c r="DN89" s="945">
        <v>9.5250000000000004</v>
      </c>
      <c r="DO89" s="945">
        <v>9.5749999999999993</v>
      </c>
      <c r="DP89" s="945">
        <v>9.620000000000001</v>
      </c>
      <c r="DQ89" s="945">
        <v>9.6649999999999991</v>
      </c>
      <c r="DR89" s="945">
        <v>9.7100000000000009</v>
      </c>
    </row>
    <row r="90" spans="1:122" s="131" customFormat="1" ht="12.75">
      <c r="A90" s="949">
        <v>88</v>
      </c>
      <c r="B90" s="945"/>
      <c r="C90" s="945"/>
      <c r="D90" s="945"/>
      <c r="E90" s="945"/>
      <c r="F90" s="945"/>
      <c r="G90" s="945"/>
      <c r="H90" s="945"/>
      <c r="I90" s="945"/>
      <c r="J90" s="945"/>
      <c r="K90" s="945"/>
      <c r="L90" s="945"/>
      <c r="M90" s="945"/>
      <c r="N90" s="945"/>
      <c r="O90" s="945"/>
      <c r="P90" s="945"/>
      <c r="Q90" s="945"/>
      <c r="R90" s="945"/>
      <c r="S90" s="945"/>
      <c r="T90" s="945"/>
      <c r="U90" s="945"/>
      <c r="V90" s="945"/>
      <c r="W90" s="945">
        <v>4.6399999999999997</v>
      </c>
      <c r="X90" s="945">
        <v>4.6099999999999994</v>
      </c>
      <c r="Y90" s="945">
        <v>4.6500000000000004</v>
      </c>
      <c r="Z90" s="945">
        <v>4.68</v>
      </c>
      <c r="AA90" s="945">
        <v>4.72</v>
      </c>
      <c r="AB90" s="945">
        <v>4.75</v>
      </c>
      <c r="AC90" s="945">
        <v>4.79</v>
      </c>
      <c r="AD90" s="945">
        <v>4.8100000000000005</v>
      </c>
      <c r="AE90" s="945">
        <v>4.8550000000000004</v>
      </c>
      <c r="AF90" s="945">
        <v>4.91</v>
      </c>
      <c r="AG90" s="945">
        <v>4.96</v>
      </c>
      <c r="AH90" s="945">
        <v>5.0049999999999999</v>
      </c>
      <c r="AI90" s="945">
        <v>5.0449999999999999</v>
      </c>
      <c r="AJ90" s="945">
        <v>5.09</v>
      </c>
      <c r="AK90" s="945">
        <v>5.1349999999999998</v>
      </c>
      <c r="AL90" s="945">
        <v>5.18</v>
      </c>
      <c r="AM90" s="945">
        <v>5.2249999999999996</v>
      </c>
      <c r="AN90" s="945">
        <v>5.27</v>
      </c>
      <c r="AO90" s="945">
        <v>5.32</v>
      </c>
      <c r="AP90" s="945">
        <v>5.3650000000000002</v>
      </c>
      <c r="AQ90" s="945">
        <v>5.4050000000000002</v>
      </c>
      <c r="AR90" s="945">
        <v>5.4550000000000001</v>
      </c>
      <c r="AS90" s="945">
        <v>5.5</v>
      </c>
      <c r="AT90" s="945">
        <v>5.5449999999999999</v>
      </c>
      <c r="AU90" s="945">
        <v>5.59</v>
      </c>
      <c r="AV90" s="945">
        <v>5.6400000000000006</v>
      </c>
      <c r="AW90" s="945">
        <v>5.68</v>
      </c>
      <c r="AX90" s="945">
        <v>5.73</v>
      </c>
      <c r="AY90" s="945">
        <v>5.7750000000000004</v>
      </c>
      <c r="AZ90" s="945">
        <v>5.82</v>
      </c>
      <c r="BA90" s="945">
        <v>5.8650000000000002</v>
      </c>
      <c r="BB90" s="945">
        <v>5.915</v>
      </c>
      <c r="BC90" s="945">
        <v>5.9550000000000001</v>
      </c>
      <c r="BD90" s="945">
        <v>6.0050000000000008</v>
      </c>
      <c r="BE90" s="945">
        <v>6.0549999999999997</v>
      </c>
      <c r="BF90" s="945">
        <v>6.0950000000000006</v>
      </c>
      <c r="BG90" s="945">
        <v>6.1449999999999996</v>
      </c>
      <c r="BH90" s="945">
        <v>6.1950000000000003</v>
      </c>
      <c r="BI90" s="945">
        <v>6.24</v>
      </c>
      <c r="BJ90" s="945">
        <v>6.2850000000000001</v>
      </c>
      <c r="BK90" s="945">
        <v>6.335</v>
      </c>
      <c r="BL90" s="945">
        <v>6.3800000000000008</v>
      </c>
      <c r="BM90" s="945">
        <v>6.4250000000000007</v>
      </c>
      <c r="BN90" s="945">
        <v>6.4749999999999996</v>
      </c>
      <c r="BO90" s="945">
        <v>6.52</v>
      </c>
      <c r="BP90" s="945">
        <v>6.5649999999999995</v>
      </c>
      <c r="BQ90" s="945">
        <v>6.6150000000000002</v>
      </c>
      <c r="BR90" s="945">
        <v>6.66</v>
      </c>
      <c r="BS90" s="945">
        <v>6.71</v>
      </c>
      <c r="BT90" s="946">
        <v>6.7550000000000008</v>
      </c>
      <c r="BU90" s="945">
        <v>6.8000000000000007</v>
      </c>
      <c r="BV90" s="945">
        <v>6.85</v>
      </c>
      <c r="BW90" s="945">
        <v>6.8949999999999996</v>
      </c>
      <c r="BX90" s="945">
        <v>6.9450000000000003</v>
      </c>
      <c r="BY90" s="945">
        <v>6.99</v>
      </c>
      <c r="BZ90" s="945">
        <v>7.0350000000000001</v>
      </c>
      <c r="CA90" s="945">
        <v>7.085</v>
      </c>
      <c r="CB90" s="945">
        <v>7.1300000000000008</v>
      </c>
      <c r="CC90" s="945">
        <v>7.1750000000000007</v>
      </c>
      <c r="CD90" s="945">
        <v>7.2249999999999996</v>
      </c>
      <c r="CE90" s="945">
        <v>7.27</v>
      </c>
      <c r="CF90" s="945">
        <v>7.3149999999999995</v>
      </c>
      <c r="CG90" s="945">
        <v>7.3650000000000002</v>
      </c>
      <c r="CH90" s="945">
        <v>7.41</v>
      </c>
      <c r="CI90" s="945">
        <v>7.4550000000000001</v>
      </c>
      <c r="CJ90" s="945">
        <v>7.5</v>
      </c>
      <c r="CK90" s="945">
        <v>7.5500000000000007</v>
      </c>
      <c r="CL90" s="945">
        <v>7.5949999999999998</v>
      </c>
      <c r="CM90" s="945">
        <v>7.6400000000000006</v>
      </c>
      <c r="CN90" s="945">
        <v>7.6899999999999995</v>
      </c>
      <c r="CO90" s="945">
        <v>7.7349999999999994</v>
      </c>
      <c r="CP90" s="945">
        <v>7.78</v>
      </c>
      <c r="CQ90" s="945">
        <v>7.8250000000000002</v>
      </c>
      <c r="CR90" s="945">
        <v>7.875</v>
      </c>
      <c r="CS90" s="945">
        <v>7.915</v>
      </c>
      <c r="CT90" s="945">
        <v>7.9649999999999999</v>
      </c>
      <c r="CU90" s="945">
        <v>8.01</v>
      </c>
      <c r="CV90" s="945">
        <v>8.0549999999999997</v>
      </c>
      <c r="CW90" s="945">
        <v>8.1</v>
      </c>
      <c r="CX90" s="945">
        <v>8.15</v>
      </c>
      <c r="CY90" s="945">
        <v>8.19</v>
      </c>
      <c r="CZ90" s="945">
        <v>8.2349999999999994</v>
      </c>
      <c r="DA90" s="945">
        <v>8.2799999999999994</v>
      </c>
      <c r="DB90" s="945">
        <v>8.3249999999999993</v>
      </c>
      <c r="DC90" s="945">
        <v>8.375</v>
      </c>
      <c r="DD90" s="945">
        <v>8.4149999999999991</v>
      </c>
      <c r="DE90" s="945">
        <v>8.4600000000000009</v>
      </c>
      <c r="DF90" s="945">
        <v>8.504999999999999</v>
      </c>
      <c r="DG90" s="945">
        <v>8.5500000000000007</v>
      </c>
      <c r="DH90" s="945">
        <v>8.59</v>
      </c>
      <c r="DI90" s="945">
        <v>8.64</v>
      </c>
      <c r="DJ90" s="945">
        <v>8.68</v>
      </c>
      <c r="DK90" s="945">
        <v>8.7250000000000014</v>
      </c>
      <c r="DL90" s="945">
        <v>8.7650000000000006</v>
      </c>
      <c r="DM90" s="945">
        <v>8.8150000000000013</v>
      </c>
      <c r="DN90" s="945">
        <v>8.8550000000000004</v>
      </c>
      <c r="DO90" s="945">
        <v>8.9</v>
      </c>
      <c r="DP90" s="945">
        <v>8.94</v>
      </c>
      <c r="DQ90" s="945">
        <v>8.9849999999999994</v>
      </c>
      <c r="DR90" s="945">
        <v>9.0250000000000004</v>
      </c>
    </row>
    <row r="91" spans="1:122" s="131" customFormat="1" ht="12.75">
      <c r="A91" s="949">
        <v>89</v>
      </c>
      <c r="B91" s="945"/>
      <c r="C91" s="945"/>
      <c r="D91" s="945"/>
      <c r="E91" s="945"/>
      <c r="F91" s="945"/>
      <c r="G91" s="945"/>
      <c r="H91" s="945"/>
      <c r="I91" s="945"/>
      <c r="J91" s="945"/>
      <c r="K91" s="945"/>
      <c r="L91" s="945"/>
      <c r="M91" s="945"/>
      <c r="N91" s="945"/>
      <c r="O91" s="945"/>
      <c r="P91" s="945"/>
      <c r="Q91" s="945"/>
      <c r="R91" s="945"/>
      <c r="S91" s="945"/>
      <c r="T91" s="945"/>
      <c r="U91" s="945"/>
      <c r="V91" s="945"/>
      <c r="W91" s="945">
        <v>4.2750000000000004</v>
      </c>
      <c r="X91" s="945">
        <v>4.2549999999999999</v>
      </c>
      <c r="Y91" s="945">
        <v>4.2949999999999999</v>
      </c>
      <c r="Z91" s="945">
        <v>4.3499999999999996</v>
      </c>
      <c r="AA91" s="945">
        <v>4.3499999999999996</v>
      </c>
      <c r="AB91" s="945">
        <v>4.4049999999999994</v>
      </c>
      <c r="AC91" s="945">
        <v>4.42</v>
      </c>
      <c r="AD91" s="945">
        <v>4.4649999999999999</v>
      </c>
      <c r="AE91" s="945">
        <v>4.5149999999999997</v>
      </c>
      <c r="AF91" s="945">
        <v>4.5549999999999997</v>
      </c>
      <c r="AG91" s="945">
        <v>4.5950000000000006</v>
      </c>
      <c r="AH91" s="945">
        <v>4.6400000000000006</v>
      </c>
      <c r="AI91" s="945">
        <v>4.6750000000000007</v>
      </c>
      <c r="AJ91" s="945">
        <v>4.7200000000000006</v>
      </c>
      <c r="AK91" s="945">
        <v>4.76</v>
      </c>
      <c r="AL91" s="945">
        <v>4.8</v>
      </c>
      <c r="AM91" s="945">
        <v>4.8449999999999998</v>
      </c>
      <c r="AN91" s="945">
        <v>4.8899999999999997</v>
      </c>
      <c r="AO91" s="945">
        <v>4.93</v>
      </c>
      <c r="AP91" s="945">
        <v>4.97</v>
      </c>
      <c r="AQ91" s="945">
        <v>5.0150000000000006</v>
      </c>
      <c r="AR91" s="945">
        <v>5.0549999999999997</v>
      </c>
      <c r="AS91" s="945">
        <v>5.0950000000000006</v>
      </c>
      <c r="AT91" s="945">
        <v>5.1400000000000006</v>
      </c>
      <c r="AU91" s="945">
        <v>5.18</v>
      </c>
      <c r="AV91" s="945">
        <v>5.2200000000000006</v>
      </c>
      <c r="AW91" s="945">
        <v>5.27</v>
      </c>
      <c r="AX91" s="945">
        <v>5.3100000000000005</v>
      </c>
      <c r="AY91" s="945">
        <v>5.35</v>
      </c>
      <c r="AZ91" s="945">
        <v>5.3949999999999996</v>
      </c>
      <c r="BA91" s="945">
        <v>5.4350000000000005</v>
      </c>
      <c r="BB91" s="945">
        <v>5.48</v>
      </c>
      <c r="BC91" s="945">
        <v>5.5250000000000004</v>
      </c>
      <c r="BD91" s="945">
        <v>5.5649999999999995</v>
      </c>
      <c r="BE91" s="945">
        <v>5.6050000000000004</v>
      </c>
      <c r="BF91" s="945">
        <v>5.6549999999999994</v>
      </c>
      <c r="BG91" s="945">
        <v>5.6950000000000003</v>
      </c>
      <c r="BH91" s="945">
        <v>5.74</v>
      </c>
      <c r="BI91" s="945">
        <v>5.7850000000000001</v>
      </c>
      <c r="BJ91" s="945">
        <v>5.8249999999999993</v>
      </c>
      <c r="BK91" s="945">
        <v>5.8699999999999992</v>
      </c>
      <c r="BL91" s="945">
        <v>5.9149999999999991</v>
      </c>
      <c r="BM91" s="945">
        <v>5.9550000000000001</v>
      </c>
      <c r="BN91" s="945">
        <v>6</v>
      </c>
      <c r="BO91" s="945">
        <v>6.0449999999999999</v>
      </c>
      <c r="BP91" s="945">
        <v>6.0850000000000009</v>
      </c>
      <c r="BQ91" s="945">
        <v>6.1300000000000008</v>
      </c>
      <c r="BR91" s="945">
        <v>6.1750000000000007</v>
      </c>
      <c r="BS91" s="945">
        <v>6.2200000000000006</v>
      </c>
      <c r="BT91" s="946">
        <v>6.26</v>
      </c>
      <c r="BU91" s="945">
        <v>6.3049999999999997</v>
      </c>
      <c r="BV91" s="945">
        <v>6.35</v>
      </c>
      <c r="BW91" s="945">
        <v>6.3900000000000006</v>
      </c>
      <c r="BX91" s="945">
        <v>6.4350000000000005</v>
      </c>
      <c r="BY91" s="945">
        <v>6.48</v>
      </c>
      <c r="BZ91" s="945">
        <v>6.52</v>
      </c>
      <c r="CA91" s="945">
        <v>6.5649999999999995</v>
      </c>
      <c r="CB91" s="945">
        <v>6.6099999999999994</v>
      </c>
      <c r="CC91" s="945">
        <v>6.6549999999999994</v>
      </c>
      <c r="CD91" s="945">
        <v>6.6950000000000003</v>
      </c>
      <c r="CE91" s="945">
        <v>6.7349999999999994</v>
      </c>
      <c r="CF91" s="945">
        <v>6.7850000000000001</v>
      </c>
      <c r="CG91" s="945">
        <v>6.8249999999999993</v>
      </c>
      <c r="CH91" s="945">
        <v>6.8650000000000002</v>
      </c>
      <c r="CI91" s="945">
        <v>6.9149999999999991</v>
      </c>
      <c r="CJ91" s="945">
        <v>6.9550000000000001</v>
      </c>
      <c r="CK91" s="945">
        <v>6.9949999999999992</v>
      </c>
      <c r="CL91" s="945">
        <v>7.04</v>
      </c>
      <c r="CM91" s="945">
        <v>7.0850000000000009</v>
      </c>
      <c r="CN91" s="945">
        <v>7.125</v>
      </c>
      <c r="CO91" s="945">
        <v>7.17</v>
      </c>
      <c r="CP91" s="945">
        <v>7.21</v>
      </c>
      <c r="CQ91" s="945">
        <v>7.2549999999999999</v>
      </c>
      <c r="CR91" s="945">
        <v>7.3000000000000007</v>
      </c>
      <c r="CS91" s="945">
        <v>7.34</v>
      </c>
      <c r="CT91" s="945">
        <v>7.3849999999999998</v>
      </c>
      <c r="CU91" s="945">
        <v>7.4249999999999998</v>
      </c>
      <c r="CV91" s="945">
        <v>7.4649999999999999</v>
      </c>
      <c r="CW91" s="945">
        <v>7.5049999999999999</v>
      </c>
      <c r="CX91" s="945">
        <v>7.5549999999999997</v>
      </c>
      <c r="CY91" s="945">
        <v>7.5950000000000006</v>
      </c>
      <c r="CZ91" s="945">
        <v>7.6349999999999998</v>
      </c>
      <c r="DA91" s="945">
        <v>7.68</v>
      </c>
      <c r="DB91" s="945">
        <v>7.72</v>
      </c>
      <c r="DC91" s="945">
        <v>7.76</v>
      </c>
      <c r="DD91" s="945">
        <v>7.8</v>
      </c>
      <c r="DE91" s="945">
        <v>7.8450000000000006</v>
      </c>
      <c r="DF91" s="945">
        <v>7.8849999999999998</v>
      </c>
      <c r="DG91" s="945">
        <v>7.9250000000000007</v>
      </c>
      <c r="DH91" s="945">
        <v>7.9649999999999999</v>
      </c>
      <c r="DI91" s="945">
        <v>8.01</v>
      </c>
      <c r="DJ91" s="945">
        <v>8.0500000000000007</v>
      </c>
      <c r="DK91" s="945">
        <v>8.09</v>
      </c>
      <c r="DL91" s="945">
        <v>8.129999999999999</v>
      </c>
      <c r="DM91" s="945">
        <v>8.17</v>
      </c>
      <c r="DN91" s="945">
        <v>8.2100000000000009</v>
      </c>
      <c r="DO91" s="945">
        <v>8.254999999999999</v>
      </c>
      <c r="DP91" s="945">
        <v>8.2949999999999999</v>
      </c>
      <c r="DQ91" s="945">
        <v>8.3349999999999991</v>
      </c>
      <c r="DR91" s="945">
        <v>8.370000000000001</v>
      </c>
    </row>
    <row r="92" spans="1:122" s="131" customFormat="1" ht="12.75">
      <c r="A92" s="949">
        <v>90</v>
      </c>
      <c r="B92" s="945"/>
      <c r="C92" s="945"/>
      <c r="D92" s="945"/>
      <c r="E92" s="945"/>
      <c r="F92" s="945"/>
      <c r="G92" s="945"/>
      <c r="H92" s="945"/>
      <c r="I92" s="945"/>
      <c r="J92" s="945"/>
      <c r="K92" s="945"/>
      <c r="L92" s="945"/>
      <c r="M92" s="945"/>
      <c r="N92" s="945"/>
      <c r="O92" s="945"/>
      <c r="P92" s="945"/>
      <c r="Q92" s="945"/>
      <c r="R92" s="945"/>
      <c r="S92" s="945"/>
      <c r="T92" s="945"/>
      <c r="U92" s="945"/>
      <c r="V92" s="945"/>
      <c r="W92" s="945">
        <v>3.9550000000000001</v>
      </c>
      <c r="X92" s="945">
        <v>3.9299999999999997</v>
      </c>
      <c r="Y92" s="945">
        <v>3.9950000000000001</v>
      </c>
      <c r="Z92" s="945">
        <v>4</v>
      </c>
      <c r="AA92" s="945">
        <v>4.0299999999999994</v>
      </c>
      <c r="AB92" s="945">
        <v>4.0649999999999995</v>
      </c>
      <c r="AC92" s="945">
        <v>4.0999999999999996</v>
      </c>
      <c r="AD92" s="945">
        <v>4.1450000000000005</v>
      </c>
      <c r="AE92" s="945">
        <v>4.1850000000000005</v>
      </c>
      <c r="AF92" s="945">
        <v>4.2200000000000006</v>
      </c>
      <c r="AG92" s="945">
        <v>4.26</v>
      </c>
      <c r="AH92" s="945">
        <v>4.2949999999999999</v>
      </c>
      <c r="AI92" s="945">
        <v>4.335</v>
      </c>
      <c r="AJ92" s="945">
        <v>4.375</v>
      </c>
      <c r="AK92" s="945">
        <v>4.415</v>
      </c>
      <c r="AL92" s="945">
        <v>4.45</v>
      </c>
      <c r="AM92" s="945">
        <v>4.49</v>
      </c>
      <c r="AN92" s="945">
        <v>4.5250000000000004</v>
      </c>
      <c r="AO92" s="945">
        <v>4.5649999999999995</v>
      </c>
      <c r="AP92" s="945">
        <v>4.5999999999999996</v>
      </c>
      <c r="AQ92" s="945">
        <v>4.6400000000000006</v>
      </c>
      <c r="AR92" s="945">
        <v>4.68</v>
      </c>
      <c r="AS92" s="945">
        <v>4.7200000000000006</v>
      </c>
      <c r="AT92" s="945">
        <v>4.76</v>
      </c>
      <c r="AU92" s="945">
        <v>4.8000000000000007</v>
      </c>
      <c r="AV92" s="945">
        <v>4.8350000000000009</v>
      </c>
      <c r="AW92" s="945">
        <v>4.875</v>
      </c>
      <c r="AX92" s="945">
        <v>4.9149999999999991</v>
      </c>
      <c r="AY92" s="945">
        <v>4.9550000000000001</v>
      </c>
      <c r="AZ92" s="945">
        <v>4.9949999999999992</v>
      </c>
      <c r="BA92" s="945">
        <v>5.0350000000000001</v>
      </c>
      <c r="BB92" s="945">
        <v>5.0749999999999993</v>
      </c>
      <c r="BC92" s="945">
        <v>5.1150000000000002</v>
      </c>
      <c r="BD92" s="945">
        <v>5.1549999999999994</v>
      </c>
      <c r="BE92" s="945">
        <v>5.1950000000000003</v>
      </c>
      <c r="BF92" s="945">
        <v>5.23</v>
      </c>
      <c r="BG92" s="945">
        <v>5.27</v>
      </c>
      <c r="BH92" s="945">
        <v>5.3100000000000005</v>
      </c>
      <c r="BI92" s="945">
        <v>5.35</v>
      </c>
      <c r="BJ92" s="945">
        <v>5.3900000000000006</v>
      </c>
      <c r="BK92" s="945">
        <v>5.43</v>
      </c>
      <c r="BL92" s="945">
        <v>5.4700000000000006</v>
      </c>
      <c r="BM92" s="945">
        <v>5.51</v>
      </c>
      <c r="BN92" s="945">
        <v>5.5500000000000007</v>
      </c>
      <c r="BO92" s="945">
        <v>5.59</v>
      </c>
      <c r="BP92" s="945">
        <v>5.6349999999999998</v>
      </c>
      <c r="BQ92" s="945">
        <v>5.6749999999999998</v>
      </c>
      <c r="BR92" s="945">
        <v>5.7149999999999999</v>
      </c>
      <c r="BS92" s="945">
        <v>5.7549999999999999</v>
      </c>
      <c r="BT92" s="946">
        <v>5.7949999999999999</v>
      </c>
      <c r="BU92" s="945">
        <v>5.835</v>
      </c>
      <c r="BV92" s="945">
        <v>5.875</v>
      </c>
      <c r="BW92" s="945">
        <v>5.915</v>
      </c>
      <c r="BX92" s="945">
        <v>5.9550000000000001</v>
      </c>
      <c r="BY92" s="945">
        <v>5.9950000000000001</v>
      </c>
      <c r="BZ92" s="945">
        <v>6.0350000000000001</v>
      </c>
      <c r="CA92" s="945">
        <v>6.0750000000000002</v>
      </c>
      <c r="CB92" s="945">
        <v>6.1150000000000002</v>
      </c>
      <c r="CC92" s="945">
        <v>6.1549999999999994</v>
      </c>
      <c r="CD92" s="945">
        <v>6.1950000000000003</v>
      </c>
      <c r="CE92" s="945">
        <v>6.2349999999999994</v>
      </c>
      <c r="CF92" s="945">
        <v>6.27</v>
      </c>
      <c r="CG92" s="945">
        <v>6.3149999999999995</v>
      </c>
      <c r="CH92" s="945">
        <v>6.3550000000000004</v>
      </c>
      <c r="CI92" s="945">
        <v>6.3949999999999996</v>
      </c>
      <c r="CJ92" s="945">
        <v>6.4350000000000005</v>
      </c>
      <c r="CK92" s="945">
        <v>6.4749999999999996</v>
      </c>
      <c r="CL92" s="945">
        <v>6.5150000000000006</v>
      </c>
      <c r="CM92" s="945">
        <v>6.5549999999999997</v>
      </c>
      <c r="CN92" s="945">
        <v>6.5950000000000006</v>
      </c>
      <c r="CO92" s="945">
        <v>6.6349999999999998</v>
      </c>
      <c r="CP92" s="945">
        <v>6.6750000000000007</v>
      </c>
      <c r="CQ92" s="945">
        <v>6.7149999999999999</v>
      </c>
      <c r="CR92" s="945">
        <v>6.75</v>
      </c>
      <c r="CS92" s="945">
        <v>6.79</v>
      </c>
      <c r="CT92" s="945">
        <v>6.83</v>
      </c>
      <c r="CU92" s="945">
        <v>6.8699999999999992</v>
      </c>
      <c r="CV92" s="945">
        <v>6.91</v>
      </c>
      <c r="CW92" s="945">
        <v>6.9450000000000003</v>
      </c>
      <c r="CX92" s="945">
        <v>6.98</v>
      </c>
      <c r="CY92" s="945">
        <v>7.02</v>
      </c>
      <c r="CZ92" s="945">
        <v>7.0600000000000005</v>
      </c>
      <c r="DA92" s="945">
        <v>7.1</v>
      </c>
      <c r="DB92" s="945">
        <v>7.1400000000000006</v>
      </c>
      <c r="DC92" s="945">
        <v>7.1749999999999998</v>
      </c>
      <c r="DD92" s="945">
        <v>7.2149999999999999</v>
      </c>
      <c r="DE92" s="945">
        <v>7.2549999999999999</v>
      </c>
      <c r="DF92" s="945">
        <v>7.2949999999999999</v>
      </c>
      <c r="DG92" s="945">
        <v>7.33</v>
      </c>
      <c r="DH92" s="945">
        <v>7.37</v>
      </c>
      <c r="DI92" s="945">
        <v>7.41</v>
      </c>
      <c r="DJ92" s="945">
        <v>7.4399999999999995</v>
      </c>
      <c r="DK92" s="945">
        <v>7.48</v>
      </c>
      <c r="DL92" s="945">
        <v>7.52</v>
      </c>
      <c r="DM92" s="945">
        <v>7.5549999999999997</v>
      </c>
      <c r="DN92" s="945">
        <v>7.5949999999999998</v>
      </c>
      <c r="DO92" s="945">
        <v>7.63</v>
      </c>
      <c r="DP92" s="945">
        <v>7.665</v>
      </c>
      <c r="DQ92" s="945">
        <v>7.7050000000000001</v>
      </c>
      <c r="DR92" s="945">
        <v>7.74</v>
      </c>
    </row>
    <row r="93" spans="1:122" s="131" customFormat="1" ht="12.75">
      <c r="A93" s="949">
        <v>91</v>
      </c>
      <c r="B93" s="945"/>
      <c r="C93" s="945"/>
      <c r="D93" s="945"/>
      <c r="E93" s="945"/>
      <c r="F93" s="945"/>
      <c r="G93" s="945"/>
      <c r="H93" s="945"/>
      <c r="I93" s="945"/>
      <c r="J93" s="945"/>
      <c r="K93" s="945"/>
      <c r="L93" s="945"/>
      <c r="M93" s="945"/>
      <c r="N93" s="945"/>
      <c r="O93" s="945"/>
      <c r="P93" s="945"/>
      <c r="Q93" s="945"/>
      <c r="R93" s="945"/>
      <c r="S93" s="945"/>
      <c r="T93" s="945"/>
      <c r="U93" s="945"/>
      <c r="V93" s="945"/>
      <c r="W93" s="945">
        <v>3.66</v>
      </c>
      <c r="X93" s="945">
        <v>3.645</v>
      </c>
      <c r="Y93" s="945">
        <v>3.665</v>
      </c>
      <c r="Z93" s="945">
        <v>3.7</v>
      </c>
      <c r="AA93" s="945">
        <v>3.71</v>
      </c>
      <c r="AB93" s="945">
        <v>3.7699999999999996</v>
      </c>
      <c r="AC93" s="945">
        <v>3.8149999999999999</v>
      </c>
      <c r="AD93" s="945">
        <v>3.84</v>
      </c>
      <c r="AE93" s="945">
        <v>3.875</v>
      </c>
      <c r="AF93" s="945">
        <v>3.91</v>
      </c>
      <c r="AG93" s="945">
        <v>3.9450000000000003</v>
      </c>
      <c r="AH93" s="945">
        <v>3.9799999999999995</v>
      </c>
      <c r="AI93" s="945">
        <v>4.0149999999999997</v>
      </c>
      <c r="AJ93" s="945">
        <v>4.05</v>
      </c>
      <c r="AK93" s="945">
        <v>4.085</v>
      </c>
      <c r="AL93" s="945">
        <v>4.12</v>
      </c>
      <c r="AM93" s="945">
        <v>4.1549999999999994</v>
      </c>
      <c r="AN93" s="945">
        <v>4.1950000000000003</v>
      </c>
      <c r="AO93" s="945">
        <v>4.2249999999999996</v>
      </c>
      <c r="AP93" s="945">
        <v>4.2650000000000006</v>
      </c>
      <c r="AQ93" s="945">
        <v>4.3</v>
      </c>
      <c r="AR93" s="945">
        <v>4.335</v>
      </c>
      <c r="AS93" s="945">
        <v>4.37</v>
      </c>
      <c r="AT93" s="945">
        <v>4.41</v>
      </c>
      <c r="AU93" s="945">
        <v>4.4399999999999995</v>
      </c>
      <c r="AV93" s="945">
        <v>4.4800000000000004</v>
      </c>
      <c r="AW93" s="945">
        <v>4.5150000000000006</v>
      </c>
      <c r="AX93" s="945">
        <v>4.5500000000000007</v>
      </c>
      <c r="AY93" s="945">
        <v>4.585</v>
      </c>
      <c r="AZ93" s="945">
        <v>4.625</v>
      </c>
      <c r="BA93" s="945">
        <v>4.66</v>
      </c>
      <c r="BB93" s="945">
        <v>4.6950000000000003</v>
      </c>
      <c r="BC93" s="945">
        <v>4.7349999999999994</v>
      </c>
      <c r="BD93" s="945">
        <v>4.7650000000000006</v>
      </c>
      <c r="BE93" s="945">
        <v>4.8049999999999997</v>
      </c>
      <c r="BF93" s="945">
        <v>4.84</v>
      </c>
      <c r="BG93" s="945">
        <v>4.875</v>
      </c>
      <c r="BH93" s="945">
        <v>4.915</v>
      </c>
      <c r="BI93" s="945">
        <v>4.95</v>
      </c>
      <c r="BJ93" s="945">
        <v>4.9849999999999994</v>
      </c>
      <c r="BK93" s="945">
        <v>5.0250000000000004</v>
      </c>
      <c r="BL93" s="945">
        <v>5.0600000000000005</v>
      </c>
      <c r="BM93" s="945">
        <v>5.0999999999999996</v>
      </c>
      <c r="BN93" s="945">
        <v>5.1349999999999998</v>
      </c>
      <c r="BO93" s="945">
        <v>5.17</v>
      </c>
      <c r="BP93" s="945">
        <v>5.21</v>
      </c>
      <c r="BQ93" s="945">
        <v>5.2450000000000001</v>
      </c>
      <c r="BR93" s="945">
        <v>5.28</v>
      </c>
      <c r="BS93" s="945">
        <v>5.32</v>
      </c>
      <c r="BT93" s="946">
        <v>5.3550000000000004</v>
      </c>
      <c r="BU93" s="945">
        <v>5.39</v>
      </c>
      <c r="BV93" s="945">
        <v>5.43</v>
      </c>
      <c r="BW93" s="945">
        <v>5.4649999999999999</v>
      </c>
      <c r="BX93" s="945">
        <v>5.5</v>
      </c>
      <c r="BY93" s="945">
        <v>5.54</v>
      </c>
      <c r="BZ93" s="945">
        <v>5.5750000000000002</v>
      </c>
      <c r="CA93" s="945">
        <v>5.61</v>
      </c>
      <c r="CB93" s="945">
        <v>5.65</v>
      </c>
      <c r="CC93" s="945">
        <v>5.6850000000000005</v>
      </c>
      <c r="CD93" s="945">
        <v>5.72</v>
      </c>
      <c r="CE93" s="945">
        <v>5.76</v>
      </c>
      <c r="CF93" s="945">
        <v>5.7949999999999999</v>
      </c>
      <c r="CG93" s="945">
        <v>5.83</v>
      </c>
      <c r="CH93" s="945">
        <v>5.8650000000000002</v>
      </c>
      <c r="CI93" s="945">
        <v>5.9050000000000002</v>
      </c>
      <c r="CJ93" s="945">
        <v>5.9399999999999995</v>
      </c>
      <c r="CK93" s="945">
        <v>5.9749999999999996</v>
      </c>
      <c r="CL93" s="945">
        <v>6.0150000000000006</v>
      </c>
      <c r="CM93" s="945">
        <v>6.0449999999999999</v>
      </c>
      <c r="CN93" s="945">
        <v>6.085</v>
      </c>
      <c r="CO93" s="945">
        <v>6.125</v>
      </c>
      <c r="CP93" s="945">
        <v>6.1550000000000002</v>
      </c>
      <c r="CQ93" s="945">
        <v>6.1950000000000003</v>
      </c>
      <c r="CR93" s="945">
        <v>6.23</v>
      </c>
      <c r="CS93" s="945">
        <v>6.2650000000000006</v>
      </c>
      <c r="CT93" s="945">
        <v>6.3000000000000007</v>
      </c>
      <c r="CU93" s="945">
        <v>6.34</v>
      </c>
      <c r="CV93" s="945">
        <v>6.37</v>
      </c>
      <c r="CW93" s="945">
        <v>6.41</v>
      </c>
      <c r="CX93" s="945">
        <v>6.4450000000000003</v>
      </c>
      <c r="CY93" s="945">
        <v>6.48</v>
      </c>
      <c r="CZ93" s="945">
        <v>6.5150000000000006</v>
      </c>
      <c r="DA93" s="945">
        <v>6.5500000000000007</v>
      </c>
      <c r="DB93" s="945">
        <v>6.585</v>
      </c>
      <c r="DC93" s="945">
        <v>6.625</v>
      </c>
      <c r="DD93" s="945">
        <v>6.6549999999999994</v>
      </c>
      <c r="DE93" s="945">
        <v>6.6899999999999995</v>
      </c>
      <c r="DF93" s="945">
        <v>6.7249999999999996</v>
      </c>
      <c r="DG93" s="945">
        <v>6.76</v>
      </c>
      <c r="DH93" s="945">
        <v>6.7949999999999999</v>
      </c>
      <c r="DI93" s="945">
        <v>6.83</v>
      </c>
      <c r="DJ93" s="945">
        <v>6.8650000000000002</v>
      </c>
      <c r="DK93" s="945">
        <v>6.9</v>
      </c>
      <c r="DL93" s="945">
        <v>6.9350000000000005</v>
      </c>
      <c r="DM93" s="945">
        <v>6.9649999999999999</v>
      </c>
      <c r="DN93" s="945">
        <v>7.0049999999999999</v>
      </c>
      <c r="DO93" s="945">
        <v>7.0350000000000001</v>
      </c>
      <c r="DP93" s="945">
        <v>7.07</v>
      </c>
      <c r="DQ93" s="945">
        <v>7.1</v>
      </c>
      <c r="DR93" s="945">
        <v>7.1349999999999998</v>
      </c>
    </row>
    <row r="94" spans="1:122" s="131" customFormat="1" ht="12.75">
      <c r="A94" s="949">
        <v>92</v>
      </c>
      <c r="B94" s="945"/>
      <c r="C94" s="945"/>
      <c r="D94" s="945"/>
      <c r="E94" s="945"/>
      <c r="F94" s="945"/>
      <c r="G94" s="945"/>
      <c r="H94" s="945"/>
      <c r="I94" s="945"/>
      <c r="J94" s="945"/>
      <c r="K94" s="945"/>
      <c r="L94" s="945"/>
      <c r="M94" s="945"/>
      <c r="N94" s="945"/>
      <c r="O94" s="945"/>
      <c r="P94" s="945"/>
      <c r="Q94" s="945"/>
      <c r="R94" s="945"/>
      <c r="S94" s="945"/>
      <c r="T94" s="945"/>
      <c r="U94" s="945"/>
      <c r="V94" s="945"/>
      <c r="W94" s="945">
        <v>3.415</v>
      </c>
      <c r="X94" s="945">
        <v>3.35</v>
      </c>
      <c r="Y94" s="945">
        <v>3.41</v>
      </c>
      <c r="Z94" s="945">
        <v>3.4050000000000002</v>
      </c>
      <c r="AA94" s="945">
        <v>3.4450000000000003</v>
      </c>
      <c r="AB94" s="945">
        <v>3.4950000000000001</v>
      </c>
      <c r="AC94" s="945">
        <v>3.5300000000000002</v>
      </c>
      <c r="AD94" s="945">
        <v>3.5649999999999999</v>
      </c>
      <c r="AE94" s="945">
        <v>3.59</v>
      </c>
      <c r="AF94" s="945">
        <v>3.625</v>
      </c>
      <c r="AG94" s="945">
        <v>3.66</v>
      </c>
      <c r="AH94" s="945">
        <v>3.6850000000000001</v>
      </c>
      <c r="AI94" s="945">
        <v>3.72</v>
      </c>
      <c r="AJ94" s="945">
        <v>3.7549999999999999</v>
      </c>
      <c r="AK94" s="945">
        <v>3.7849999999999997</v>
      </c>
      <c r="AL94" s="945">
        <v>3.8149999999999995</v>
      </c>
      <c r="AM94" s="945">
        <v>3.8449999999999998</v>
      </c>
      <c r="AN94" s="945">
        <v>3.88</v>
      </c>
      <c r="AO94" s="945">
        <v>3.915</v>
      </c>
      <c r="AP94" s="945">
        <v>3.9450000000000003</v>
      </c>
      <c r="AQ94" s="945">
        <v>3.9799999999999995</v>
      </c>
      <c r="AR94" s="945">
        <v>4.01</v>
      </c>
      <c r="AS94" s="945">
        <v>4.04</v>
      </c>
      <c r="AT94" s="945">
        <v>4.08</v>
      </c>
      <c r="AU94" s="945">
        <v>4.1100000000000003</v>
      </c>
      <c r="AV94" s="945">
        <v>4.1399999999999997</v>
      </c>
      <c r="AW94" s="945">
        <v>4.1749999999999998</v>
      </c>
      <c r="AX94" s="945">
        <v>4.2050000000000001</v>
      </c>
      <c r="AY94" s="945">
        <v>4.24</v>
      </c>
      <c r="AZ94" s="945">
        <v>4.2750000000000004</v>
      </c>
      <c r="BA94" s="945">
        <v>4.3049999999999997</v>
      </c>
      <c r="BB94" s="945">
        <v>4.34</v>
      </c>
      <c r="BC94" s="945">
        <v>4.375</v>
      </c>
      <c r="BD94" s="945">
        <v>4.4050000000000002</v>
      </c>
      <c r="BE94" s="945">
        <v>4.4399999999999995</v>
      </c>
      <c r="BF94" s="945">
        <v>4.4749999999999996</v>
      </c>
      <c r="BG94" s="945">
        <v>4.5049999999999999</v>
      </c>
      <c r="BH94" s="945">
        <v>4.54</v>
      </c>
      <c r="BI94" s="945">
        <v>4.5750000000000002</v>
      </c>
      <c r="BJ94" s="945">
        <v>4.6050000000000004</v>
      </c>
      <c r="BK94" s="945">
        <v>4.6400000000000006</v>
      </c>
      <c r="BL94" s="945">
        <v>4.6749999999999998</v>
      </c>
      <c r="BM94" s="945">
        <v>4.7050000000000001</v>
      </c>
      <c r="BN94" s="945">
        <v>4.74</v>
      </c>
      <c r="BO94" s="945">
        <v>4.7699999999999996</v>
      </c>
      <c r="BP94" s="945">
        <v>4.8049999999999997</v>
      </c>
      <c r="BQ94" s="945">
        <v>4.84</v>
      </c>
      <c r="BR94" s="945">
        <v>4.875</v>
      </c>
      <c r="BS94" s="945">
        <v>4.9050000000000002</v>
      </c>
      <c r="BT94" s="946">
        <v>4.9399999999999995</v>
      </c>
      <c r="BU94" s="945">
        <v>4.9749999999999996</v>
      </c>
      <c r="BV94" s="945">
        <v>5.0049999999999999</v>
      </c>
      <c r="BW94" s="945">
        <v>5.04</v>
      </c>
      <c r="BX94" s="945">
        <v>5.0750000000000002</v>
      </c>
      <c r="BY94" s="945">
        <v>5.1050000000000004</v>
      </c>
      <c r="BZ94" s="945">
        <v>5.1400000000000006</v>
      </c>
      <c r="CA94" s="945">
        <v>5.1749999999999998</v>
      </c>
      <c r="CB94" s="945">
        <v>5.2050000000000001</v>
      </c>
      <c r="CC94" s="945">
        <v>5.24</v>
      </c>
      <c r="CD94" s="945">
        <v>5.2750000000000004</v>
      </c>
      <c r="CE94" s="945">
        <v>5.3049999999999997</v>
      </c>
      <c r="CF94" s="945">
        <v>5.34</v>
      </c>
      <c r="CG94" s="945">
        <v>5.375</v>
      </c>
      <c r="CH94" s="945">
        <v>5.4050000000000002</v>
      </c>
      <c r="CI94" s="945">
        <v>5.4350000000000005</v>
      </c>
      <c r="CJ94" s="945">
        <v>5.4749999999999996</v>
      </c>
      <c r="CK94" s="945">
        <v>5.5049999999999999</v>
      </c>
      <c r="CL94" s="945">
        <v>5.5350000000000001</v>
      </c>
      <c r="CM94" s="945">
        <v>5.5750000000000002</v>
      </c>
      <c r="CN94" s="945">
        <v>5.6050000000000004</v>
      </c>
      <c r="CO94" s="945">
        <v>5.6349999999999998</v>
      </c>
      <c r="CP94" s="945">
        <v>5.67</v>
      </c>
      <c r="CQ94" s="945">
        <v>5.7</v>
      </c>
      <c r="CR94" s="945">
        <v>5.7350000000000003</v>
      </c>
      <c r="CS94" s="945">
        <v>5.77</v>
      </c>
      <c r="CT94" s="945">
        <v>5.8</v>
      </c>
      <c r="CU94" s="945">
        <v>5.83</v>
      </c>
      <c r="CV94" s="945">
        <v>5.8650000000000002</v>
      </c>
      <c r="CW94" s="945">
        <v>5.9</v>
      </c>
      <c r="CX94" s="945">
        <v>5.93</v>
      </c>
      <c r="CY94" s="945">
        <v>5.96</v>
      </c>
      <c r="CZ94" s="945">
        <v>5.9950000000000001</v>
      </c>
      <c r="DA94" s="945">
        <v>6.0250000000000004</v>
      </c>
      <c r="DB94" s="945">
        <v>6.0549999999999997</v>
      </c>
      <c r="DC94" s="945">
        <v>6.085</v>
      </c>
      <c r="DD94" s="945">
        <v>6.125</v>
      </c>
      <c r="DE94" s="945">
        <v>6.1550000000000002</v>
      </c>
      <c r="DF94" s="945">
        <v>6.1850000000000005</v>
      </c>
      <c r="DG94" s="945">
        <v>6.2149999999999999</v>
      </c>
      <c r="DH94" s="945">
        <v>6.25</v>
      </c>
      <c r="DI94" s="945">
        <v>6.2799999999999994</v>
      </c>
      <c r="DJ94" s="945">
        <v>6.3100000000000005</v>
      </c>
      <c r="DK94" s="945">
        <v>6.34</v>
      </c>
      <c r="DL94" s="945">
        <v>6.37</v>
      </c>
      <c r="DM94" s="945">
        <v>6.4049999999999994</v>
      </c>
      <c r="DN94" s="945">
        <v>6.4350000000000005</v>
      </c>
      <c r="DO94" s="945">
        <v>6.4649999999999999</v>
      </c>
      <c r="DP94" s="945">
        <v>6.4949999999999992</v>
      </c>
      <c r="DQ94" s="945">
        <v>6.5250000000000004</v>
      </c>
      <c r="DR94" s="945">
        <v>6.5549999999999997</v>
      </c>
    </row>
    <row r="95" spans="1:122" s="131" customFormat="1" ht="12.75">
      <c r="A95" s="949">
        <v>93</v>
      </c>
      <c r="B95" s="945"/>
      <c r="C95" s="945"/>
      <c r="D95" s="945"/>
      <c r="E95" s="945"/>
      <c r="F95" s="945"/>
      <c r="G95" s="945"/>
      <c r="H95" s="945"/>
      <c r="I95" s="945"/>
      <c r="J95" s="945"/>
      <c r="K95" s="945"/>
      <c r="L95" s="945"/>
      <c r="M95" s="945"/>
      <c r="N95" s="945"/>
      <c r="O95" s="945"/>
      <c r="P95" s="945"/>
      <c r="Q95" s="945"/>
      <c r="R95" s="945"/>
      <c r="S95" s="945"/>
      <c r="T95" s="945"/>
      <c r="U95" s="945"/>
      <c r="V95" s="945"/>
      <c r="W95" s="945">
        <v>3.1550000000000002</v>
      </c>
      <c r="X95" s="945">
        <v>3.12</v>
      </c>
      <c r="Y95" s="945">
        <v>3.1349999999999998</v>
      </c>
      <c r="Z95" s="945">
        <v>3.1749999999999998</v>
      </c>
      <c r="AA95" s="945">
        <v>3.2149999999999999</v>
      </c>
      <c r="AB95" s="945">
        <v>3.2450000000000001</v>
      </c>
      <c r="AC95" s="945">
        <v>3.27</v>
      </c>
      <c r="AD95" s="945">
        <v>3.3049999999999997</v>
      </c>
      <c r="AE95" s="945">
        <v>3.33</v>
      </c>
      <c r="AF95" s="945">
        <v>3.36</v>
      </c>
      <c r="AG95" s="945">
        <v>3.3899999999999997</v>
      </c>
      <c r="AH95" s="945">
        <v>3.42</v>
      </c>
      <c r="AI95" s="945">
        <v>3.4450000000000003</v>
      </c>
      <c r="AJ95" s="945">
        <v>3.4750000000000001</v>
      </c>
      <c r="AK95" s="945">
        <v>3.5049999999999999</v>
      </c>
      <c r="AL95" s="945">
        <v>3.5300000000000002</v>
      </c>
      <c r="AM95" s="945">
        <v>3.5599999999999996</v>
      </c>
      <c r="AN95" s="945">
        <v>3.59</v>
      </c>
      <c r="AO95" s="945">
        <v>3.62</v>
      </c>
      <c r="AP95" s="945">
        <v>3.6500000000000004</v>
      </c>
      <c r="AQ95" s="945">
        <v>3.6799999999999997</v>
      </c>
      <c r="AR95" s="945">
        <v>3.71</v>
      </c>
      <c r="AS95" s="945">
        <v>3.74</v>
      </c>
      <c r="AT95" s="945">
        <v>3.77</v>
      </c>
      <c r="AU95" s="945">
        <v>3.7949999999999999</v>
      </c>
      <c r="AV95" s="945">
        <v>3.8250000000000002</v>
      </c>
      <c r="AW95" s="945">
        <v>3.86</v>
      </c>
      <c r="AX95" s="945">
        <v>3.89</v>
      </c>
      <c r="AY95" s="945">
        <v>3.92</v>
      </c>
      <c r="AZ95" s="945">
        <v>3.95</v>
      </c>
      <c r="BA95" s="945">
        <v>3.98</v>
      </c>
      <c r="BB95" s="945">
        <v>4.01</v>
      </c>
      <c r="BC95" s="945">
        <v>4.04</v>
      </c>
      <c r="BD95" s="945">
        <v>4.07</v>
      </c>
      <c r="BE95" s="945">
        <v>4.0999999999999996</v>
      </c>
      <c r="BF95" s="945">
        <v>4.13</v>
      </c>
      <c r="BG95" s="945">
        <v>4.16</v>
      </c>
      <c r="BH95" s="945">
        <v>4.1899999999999995</v>
      </c>
      <c r="BI95" s="945">
        <v>4.2200000000000006</v>
      </c>
      <c r="BJ95" s="945">
        <v>4.25</v>
      </c>
      <c r="BK95" s="945">
        <v>4.2799999999999994</v>
      </c>
      <c r="BL95" s="945">
        <v>4.3100000000000005</v>
      </c>
      <c r="BM95" s="945">
        <v>4.34</v>
      </c>
      <c r="BN95" s="945">
        <v>4.3699999999999992</v>
      </c>
      <c r="BO95" s="945">
        <v>4.4000000000000004</v>
      </c>
      <c r="BP95" s="945">
        <v>4.43</v>
      </c>
      <c r="BQ95" s="945">
        <v>4.4600000000000009</v>
      </c>
      <c r="BR95" s="945">
        <v>4.49</v>
      </c>
      <c r="BS95" s="945">
        <v>4.5199999999999996</v>
      </c>
      <c r="BT95" s="946">
        <v>4.5500000000000007</v>
      </c>
      <c r="BU95" s="945">
        <v>4.58</v>
      </c>
      <c r="BV95" s="945">
        <v>4.6099999999999994</v>
      </c>
      <c r="BW95" s="945">
        <v>4.6400000000000006</v>
      </c>
      <c r="BX95" s="945">
        <v>4.67</v>
      </c>
      <c r="BY95" s="945">
        <v>4.6999999999999993</v>
      </c>
      <c r="BZ95" s="945">
        <v>4.7300000000000004</v>
      </c>
      <c r="CA95" s="945">
        <v>4.76</v>
      </c>
      <c r="CB95" s="945">
        <v>4.7899999999999991</v>
      </c>
      <c r="CC95" s="945">
        <v>4.82</v>
      </c>
      <c r="CD95" s="945">
        <v>4.8499999999999996</v>
      </c>
      <c r="CE95" s="945">
        <v>4.8800000000000008</v>
      </c>
      <c r="CF95" s="945">
        <v>4.91</v>
      </c>
      <c r="CG95" s="945">
        <v>4.9399999999999995</v>
      </c>
      <c r="CH95" s="945">
        <v>4.9700000000000006</v>
      </c>
      <c r="CI95" s="945">
        <v>5</v>
      </c>
      <c r="CJ95" s="945">
        <v>5.0299999999999994</v>
      </c>
      <c r="CK95" s="945">
        <v>5.0549999999999997</v>
      </c>
      <c r="CL95" s="945">
        <v>5.085</v>
      </c>
      <c r="CM95" s="945">
        <v>5.1150000000000002</v>
      </c>
      <c r="CN95" s="945">
        <v>5.1449999999999996</v>
      </c>
      <c r="CO95" s="945">
        <v>5.1750000000000007</v>
      </c>
      <c r="CP95" s="945">
        <v>5.2050000000000001</v>
      </c>
      <c r="CQ95" s="945">
        <v>5.2349999999999994</v>
      </c>
      <c r="CR95" s="945">
        <v>5.2650000000000006</v>
      </c>
      <c r="CS95" s="945">
        <v>5.2949999999999999</v>
      </c>
      <c r="CT95" s="945">
        <v>5.3249999999999993</v>
      </c>
      <c r="CU95" s="945">
        <v>5.35</v>
      </c>
      <c r="CV95" s="945">
        <v>5.38</v>
      </c>
      <c r="CW95" s="945">
        <v>5.41</v>
      </c>
      <c r="CX95" s="945">
        <v>5.4399999999999995</v>
      </c>
      <c r="CY95" s="945">
        <v>5.4700000000000006</v>
      </c>
      <c r="CZ95" s="945">
        <v>5.5</v>
      </c>
      <c r="DA95" s="945">
        <v>5.5250000000000004</v>
      </c>
      <c r="DB95" s="945">
        <v>5.5549999999999997</v>
      </c>
      <c r="DC95" s="945">
        <v>5.585</v>
      </c>
      <c r="DD95" s="945">
        <v>5.6150000000000002</v>
      </c>
      <c r="DE95" s="945">
        <v>5.6349999999999998</v>
      </c>
      <c r="DF95" s="945">
        <v>5.665</v>
      </c>
      <c r="DG95" s="945">
        <v>5.6950000000000003</v>
      </c>
      <c r="DH95" s="945">
        <v>5.7249999999999996</v>
      </c>
      <c r="DI95" s="945">
        <v>5.75</v>
      </c>
      <c r="DJ95" s="945">
        <v>5.78</v>
      </c>
      <c r="DK95" s="945">
        <v>5.81</v>
      </c>
      <c r="DL95" s="945">
        <v>5.84</v>
      </c>
      <c r="DM95" s="945">
        <v>5.86</v>
      </c>
      <c r="DN95" s="945">
        <v>5.89</v>
      </c>
      <c r="DO95" s="945">
        <v>5.92</v>
      </c>
      <c r="DP95" s="945">
        <v>5.9450000000000003</v>
      </c>
      <c r="DQ95" s="945">
        <v>5.9749999999999996</v>
      </c>
      <c r="DR95" s="945">
        <v>6.0049999999999999</v>
      </c>
    </row>
    <row r="96" spans="1:122" s="131" customFormat="1" ht="12.75">
      <c r="A96" s="949">
        <v>94</v>
      </c>
      <c r="B96" s="945"/>
      <c r="C96" s="945"/>
      <c r="D96" s="945"/>
      <c r="E96" s="945"/>
      <c r="F96" s="945"/>
      <c r="G96" s="945"/>
      <c r="H96" s="945"/>
      <c r="I96" s="945"/>
      <c r="J96" s="945"/>
      <c r="K96" s="945"/>
      <c r="L96" s="945"/>
      <c r="M96" s="945"/>
      <c r="N96" s="945"/>
      <c r="O96" s="945"/>
      <c r="P96" s="945"/>
      <c r="Q96" s="945"/>
      <c r="R96" s="945"/>
      <c r="S96" s="945"/>
      <c r="T96" s="945"/>
      <c r="U96" s="945"/>
      <c r="V96" s="945"/>
      <c r="W96" s="945">
        <v>2.9699999999999998</v>
      </c>
      <c r="X96" s="945">
        <v>2.86</v>
      </c>
      <c r="Y96" s="945">
        <v>2.915</v>
      </c>
      <c r="Z96" s="945">
        <v>2.9649999999999999</v>
      </c>
      <c r="AA96" s="945">
        <v>2.9850000000000003</v>
      </c>
      <c r="AB96" s="945">
        <v>3.01</v>
      </c>
      <c r="AC96" s="945">
        <v>3.04</v>
      </c>
      <c r="AD96" s="945">
        <v>3.0649999999999999</v>
      </c>
      <c r="AE96" s="945">
        <v>3.09</v>
      </c>
      <c r="AF96" s="945">
        <v>3.1150000000000002</v>
      </c>
      <c r="AG96" s="945">
        <v>3.1399999999999997</v>
      </c>
      <c r="AH96" s="945">
        <v>3.17</v>
      </c>
      <c r="AI96" s="945">
        <v>3.1950000000000003</v>
      </c>
      <c r="AJ96" s="945">
        <v>3.22</v>
      </c>
      <c r="AK96" s="945">
        <v>3.2450000000000001</v>
      </c>
      <c r="AL96" s="945">
        <v>3.2749999999999999</v>
      </c>
      <c r="AM96" s="945">
        <v>3.3</v>
      </c>
      <c r="AN96" s="945">
        <v>3.3250000000000002</v>
      </c>
      <c r="AO96" s="945">
        <v>3.3499999999999996</v>
      </c>
      <c r="AP96" s="945">
        <v>3.38</v>
      </c>
      <c r="AQ96" s="945">
        <v>3.4050000000000002</v>
      </c>
      <c r="AR96" s="945">
        <v>3.4299999999999997</v>
      </c>
      <c r="AS96" s="945">
        <v>3.46</v>
      </c>
      <c r="AT96" s="945">
        <v>3.4850000000000003</v>
      </c>
      <c r="AU96" s="945">
        <v>3.51</v>
      </c>
      <c r="AV96" s="945">
        <v>3.54</v>
      </c>
      <c r="AW96" s="945">
        <v>3.5649999999999999</v>
      </c>
      <c r="AX96" s="945">
        <v>3.59</v>
      </c>
      <c r="AY96" s="945">
        <v>3.62</v>
      </c>
      <c r="AZ96" s="945">
        <v>3.645</v>
      </c>
      <c r="BA96" s="945">
        <v>3.67</v>
      </c>
      <c r="BB96" s="945">
        <v>3.7</v>
      </c>
      <c r="BC96" s="945">
        <v>3.7250000000000001</v>
      </c>
      <c r="BD96" s="945">
        <v>3.75</v>
      </c>
      <c r="BE96" s="945">
        <v>3.78</v>
      </c>
      <c r="BF96" s="945">
        <v>3.8049999999999997</v>
      </c>
      <c r="BG96" s="945">
        <v>3.835</v>
      </c>
      <c r="BH96" s="945">
        <v>3.86</v>
      </c>
      <c r="BI96" s="945">
        <v>3.8849999999999998</v>
      </c>
      <c r="BJ96" s="945">
        <v>3.915</v>
      </c>
      <c r="BK96" s="945">
        <v>3.94</v>
      </c>
      <c r="BL96" s="945">
        <v>3.9699999999999998</v>
      </c>
      <c r="BM96" s="945">
        <v>3.9950000000000001</v>
      </c>
      <c r="BN96" s="945">
        <v>4.0199999999999996</v>
      </c>
      <c r="BO96" s="945">
        <v>4.05</v>
      </c>
      <c r="BP96" s="945">
        <v>4.0750000000000002</v>
      </c>
      <c r="BQ96" s="945">
        <v>4.1049999999999995</v>
      </c>
      <c r="BR96" s="945">
        <v>4.13</v>
      </c>
      <c r="BS96" s="945">
        <v>4.1550000000000002</v>
      </c>
      <c r="BT96" s="946">
        <v>4.1849999999999996</v>
      </c>
      <c r="BU96" s="945">
        <v>4.21</v>
      </c>
      <c r="BV96" s="945">
        <v>4.2350000000000003</v>
      </c>
      <c r="BW96" s="945">
        <v>4.2649999999999997</v>
      </c>
      <c r="BX96" s="945">
        <v>4.29</v>
      </c>
      <c r="BY96" s="945">
        <v>4.32</v>
      </c>
      <c r="BZ96" s="945">
        <v>4.3449999999999998</v>
      </c>
      <c r="CA96" s="945">
        <v>4.37</v>
      </c>
      <c r="CB96" s="945">
        <v>4.4000000000000004</v>
      </c>
      <c r="CC96" s="945">
        <v>4.42</v>
      </c>
      <c r="CD96" s="945">
        <v>4.45</v>
      </c>
      <c r="CE96" s="945">
        <v>4.4800000000000004</v>
      </c>
      <c r="CF96" s="945">
        <v>4.5</v>
      </c>
      <c r="CG96" s="945">
        <v>4.5299999999999994</v>
      </c>
      <c r="CH96" s="945">
        <v>4.5600000000000005</v>
      </c>
      <c r="CI96" s="945">
        <v>4.58</v>
      </c>
      <c r="CJ96" s="945">
        <v>4.6099999999999994</v>
      </c>
      <c r="CK96" s="945">
        <v>4.6349999999999998</v>
      </c>
      <c r="CL96" s="945">
        <v>4.66</v>
      </c>
      <c r="CM96" s="945">
        <v>4.6899999999999995</v>
      </c>
      <c r="CN96" s="945">
        <v>4.7149999999999999</v>
      </c>
      <c r="CO96" s="945">
        <v>4.74</v>
      </c>
      <c r="CP96" s="945">
        <v>4.7650000000000006</v>
      </c>
      <c r="CQ96" s="945">
        <v>4.7949999999999999</v>
      </c>
      <c r="CR96" s="945">
        <v>4.8149999999999995</v>
      </c>
      <c r="CS96" s="945">
        <v>4.8450000000000006</v>
      </c>
      <c r="CT96" s="945">
        <v>4.8699999999999992</v>
      </c>
      <c r="CU96" s="945">
        <v>4.8949999999999996</v>
      </c>
      <c r="CV96" s="945">
        <v>4.92</v>
      </c>
      <c r="CW96" s="945">
        <v>4.9499999999999993</v>
      </c>
      <c r="CX96" s="945">
        <v>4.9700000000000006</v>
      </c>
      <c r="CY96" s="945">
        <v>5</v>
      </c>
      <c r="CZ96" s="945">
        <v>5.0199999999999996</v>
      </c>
      <c r="DA96" s="945">
        <v>5.0500000000000007</v>
      </c>
      <c r="DB96" s="945">
        <v>5.0749999999999993</v>
      </c>
      <c r="DC96" s="945">
        <v>5.0999999999999996</v>
      </c>
      <c r="DD96" s="945">
        <v>5.125</v>
      </c>
      <c r="DE96" s="945">
        <v>5.15</v>
      </c>
      <c r="DF96" s="945">
        <v>5.1750000000000007</v>
      </c>
      <c r="DG96" s="945">
        <v>5.1999999999999993</v>
      </c>
      <c r="DH96" s="945">
        <v>5.2249999999999996</v>
      </c>
      <c r="DI96" s="945">
        <v>5.25</v>
      </c>
      <c r="DJ96" s="945">
        <v>5.2750000000000004</v>
      </c>
      <c r="DK96" s="945">
        <v>5.3</v>
      </c>
      <c r="DL96" s="945">
        <v>5.3249999999999993</v>
      </c>
      <c r="DM96" s="945">
        <v>5.35</v>
      </c>
      <c r="DN96" s="945">
        <v>5.37</v>
      </c>
      <c r="DO96" s="945">
        <v>5.4</v>
      </c>
      <c r="DP96" s="945">
        <v>5.42</v>
      </c>
      <c r="DQ96" s="945">
        <v>5.4450000000000003</v>
      </c>
      <c r="DR96" s="945">
        <v>5.4700000000000006</v>
      </c>
    </row>
    <row r="97" spans="1:122" s="131" customFormat="1" ht="12.75">
      <c r="A97" s="949">
        <v>95</v>
      </c>
      <c r="B97" s="945"/>
      <c r="C97" s="945"/>
      <c r="D97" s="945"/>
      <c r="E97" s="945"/>
      <c r="F97" s="945"/>
      <c r="G97" s="945"/>
      <c r="H97" s="945"/>
      <c r="I97" s="945"/>
      <c r="J97" s="945"/>
      <c r="K97" s="945"/>
      <c r="L97" s="945"/>
      <c r="M97" s="945"/>
      <c r="N97" s="945"/>
      <c r="O97" s="945"/>
      <c r="P97" s="945"/>
      <c r="Q97" s="945"/>
      <c r="R97" s="945"/>
      <c r="S97" s="945"/>
      <c r="T97" s="945"/>
      <c r="U97" s="945"/>
      <c r="V97" s="945"/>
      <c r="W97" s="945">
        <v>2.76</v>
      </c>
      <c r="X97" s="945">
        <v>2.66</v>
      </c>
      <c r="Y97" s="945">
        <v>2.7050000000000001</v>
      </c>
      <c r="Z97" s="945">
        <v>2.7549999999999999</v>
      </c>
      <c r="AA97" s="945">
        <v>2.7750000000000004</v>
      </c>
      <c r="AB97" s="945">
        <v>2.8</v>
      </c>
      <c r="AC97" s="945">
        <v>2.8200000000000003</v>
      </c>
      <c r="AD97" s="945">
        <v>2.8449999999999998</v>
      </c>
      <c r="AE97" s="945">
        <v>2.87</v>
      </c>
      <c r="AF97" s="945">
        <v>2.89</v>
      </c>
      <c r="AG97" s="945">
        <v>2.915</v>
      </c>
      <c r="AH97" s="945">
        <v>2.9400000000000004</v>
      </c>
      <c r="AI97" s="945">
        <v>2.96</v>
      </c>
      <c r="AJ97" s="945">
        <v>2.9849999999999999</v>
      </c>
      <c r="AK97" s="945">
        <v>3.01</v>
      </c>
      <c r="AL97" s="945">
        <v>3.0300000000000002</v>
      </c>
      <c r="AM97" s="945">
        <v>3.0549999999999997</v>
      </c>
      <c r="AN97" s="945">
        <v>3.08</v>
      </c>
      <c r="AO97" s="945">
        <v>3.105</v>
      </c>
      <c r="AP97" s="945">
        <v>3.125</v>
      </c>
      <c r="AQ97" s="945">
        <v>3.15</v>
      </c>
      <c r="AR97" s="945">
        <v>3.1749999999999998</v>
      </c>
      <c r="AS97" s="945">
        <v>3.1950000000000003</v>
      </c>
      <c r="AT97" s="945">
        <v>3.2199999999999998</v>
      </c>
      <c r="AU97" s="945">
        <v>3.2450000000000001</v>
      </c>
      <c r="AV97" s="945">
        <v>3.2649999999999997</v>
      </c>
      <c r="AW97" s="945">
        <v>3.2949999999999999</v>
      </c>
      <c r="AX97" s="945">
        <v>3.3149999999999999</v>
      </c>
      <c r="AY97" s="945">
        <v>3.335</v>
      </c>
      <c r="AZ97" s="945">
        <v>3.3650000000000002</v>
      </c>
      <c r="BA97" s="945">
        <v>3.3849999999999998</v>
      </c>
      <c r="BB97" s="945">
        <v>3.415</v>
      </c>
      <c r="BC97" s="945">
        <v>3.4350000000000001</v>
      </c>
      <c r="BD97" s="945">
        <v>3.4550000000000001</v>
      </c>
      <c r="BE97" s="945">
        <v>3.4850000000000003</v>
      </c>
      <c r="BF97" s="945">
        <v>3.5049999999999999</v>
      </c>
      <c r="BG97" s="945">
        <v>3.5250000000000004</v>
      </c>
      <c r="BH97" s="945">
        <v>3.5549999999999997</v>
      </c>
      <c r="BI97" s="945">
        <v>3.5750000000000002</v>
      </c>
      <c r="BJ97" s="945">
        <v>3.605</v>
      </c>
      <c r="BK97" s="945">
        <v>3.625</v>
      </c>
      <c r="BL97" s="945">
        <v>3.645</v>
      </c>
      <c r="BM97" s="945">
        <v>3.6749999999999998</v>
      </c>
      <c r="BN97" s="945">
        <v>3.6950000000000003</v>
      </c>
      <c r="BO97" s="945">
        <v>3.7149999999999999</v>
      </c>
      <c r="BP97" s="945">
        <v>3.7450000000000001</v>
      </c>
      <c r="BQ97" s="945">
        <v>3.7649999999999997</v>
      </c>
      <c r="BR97" s="945">
        <v>3.79</v>
      </c>
      <c r="BS97" s="945">
        <v>3.8150000000000004</v>
      </c>
      <c r="BT97" s="946">
        <v>3.835</v>
      </c>
      <c r="BU97" s="945">
        <v>3.8650000000000002</v>
      </c>
      <c r="BV97" s="945">
        <v>3.8849999999999998</v>
      </c>
      <c r="BW97" s="945">
        <v>3.9050000000000002</v>
      </c>
      <c r="BX97" s="945">
        <v>3.9350000000000005</v>
      </c>
      <c r="BY97" s="945">
        <v>3.9550000000000001</v>
      </c>
      <c r="BZ97" s="945">
        <v>3.9800000000000004</v>
      </c>
      <c r="CA97" s="945">
        <v>4</v>
      </c>
      <c r="CB97" s="945">
        <v>4.0250000000000004</v>
      </c>
      <c r="CC97" s="945">
        <v>4.05</v>
      </c>
      <c r="CD97" s="945">
        <v>4.07</v>
      </c>
      <c r="CE97" s="945">
        <v>4.0949999999999998</v>
      </c>
      <c r="CF97" s="945">
        <v>4.12</v>
      </c>
      <c r="CG97" s="945">
        <v>4.1399999999999997</v>
      </c>
      <c r="CH97" s="945">
        <v>4.17</v>
      </c>
      <c r="CI97" s="945">
        <v>4.1900000000000004</v>
      </c>
      <c r="CJ97" s="945">
        <v>4.21</v>
      </c>
      <c r="CK97" s="945">
        <v>4.2350000000000003</v>
      </c>
      <c r="CL97" s="945">
        <v>4.26</v>
      </c>
      <c r="CM97" s="945">
        <v>4.28</v>
      </c>
      <c r="CN97" s="945">
        <v>4.3049999999999997</v>
      </c>
      <c r="CO97" s="945">
        <v>4.3250000000000002</v>
      </c>
      <c r="CP97" s="945">
        <v>4.3499999999999996</v>
      </c>
      <c r="CQ97" s="945">
        <v>4.375</v>
      </c>
      <c r="CR97" s="945">
        <v>4.3949999999999996</v>
      </c>
      <c r="CS97" s="945">
        <v>4.415</v>
      </c>
      <c r="CT97" s="945">
        <v>4.4350000000000005</v>
      </c>
      <c r="CU97" s="945">
        <v>4.4649999999999999</v>
      </c>
      <c r="CV97" s="945">
        <v>4.4850000000000003</v>
      </c>
      <c r="CW97" s="945">
        <v>4.5049999999999999</v>
      </c>
      <c r="CX97" s="945">
        <v>4.53</v>
      </c>
      <c r="CY97" s="945">
        <v>4.55</v>
      </c>
      <c r="CZ97" s="945">
        <v>4.57</v>
      </c>
      <c r="DA97" s="945">
        <v>4.5949999999999998</v>
      </c>
      <c r="DB97" s="945">
        <v>4.62</v>
      </c>
      <c r="DC97" s="945">
        <v>4.6400000000000006</v>
      </c>
      <c r="DD97" s="945">
        <v>4.66</v>
      </c>
      <c r="DE97" s="945">
        <v>4.68</v>
      </c>
      <c r="DF97" s="945">
        <v>4.7050000000000001</v>
      </c>
      <c r="DG97" s="945">
        <v>4.7249999999999996</v>
      </c>
      <c r="DH97" s="945">
        <v>4.7450000000000001</v>
      </c>
      <c r="DI97" s="945">
        <v>4.7650000000000006</v>
      </c>
      <c r="DJ97" s="945">
        <v>4.7949999999999999</v>
      </c>
      <c r="DK97" s="945">
        <v>4.8149999999999995</v>
      </c>
      <c r="DL97" s="945">
        <v>4.835</v>
      </c>
      <c r="DM97" s="945">
        <v>4.8550000000000004</v>
      </c>
      <c r="DN97" s="945">
        <v>4.875</v>
      </c>
      <c r="DO97" s="945">
        <v>4.9000000000000004</v>
      </c>
      <c r="DP97" s="945">
        <v>4.92</v>
      </c>
      <c r="DQ97" s="945">
        <v>4.9399999999999995</v>
      </c>
      <c r="DR97" s="945">
        <v>4.96</v>
      </c>
    </row>
    <row r="98" spans="1:122" s="131" customFormat="1" ht="12.75">
      <c r="A98" s="949">
        <v>96</v>
      </c>
      <c r="B98" s="945"/>
      <c r="C98" s="945"/>
      <c r="D98" s="945"/>
      <c r="E98" s="945"/>
      <c r="F98" s="945"/>
      <c r="G98" s="945"/>
      <c r="H98" s="945"/>
      <c r="I98" s="945"/>
      <c r="J98" s="945"/>
      <c r="K98" s="945"/>
      <c r="L98" s="945"/>
      <c r="M98" s="945"/>
      <c r="N98" s="945"/>
      <c r="O98" s="945"/>
      <c r="P98" s="945"/>
      <c r="Q98" s="945"/>
      <c r="R98" s="945"/>
      <c r="S98" s="945"/>
      <c r="T98" s="945"/>
      <c r="U98" s="945"/>
      <c r="V98" s="945"/>
      <c r="W98" s="945">
        <v>2.5750000000000002</v>
      </c>
      <c r="X98" s="945">
        <v>2.4850000000000003</v>
      </c>
      <c r="Y98" s="945">
        <v>2.5300000000000002</v>
      </c>
      <c r="Z98" s="945">
        <v>2.5700000000000003</v>
      </c>
      <c r="AA98" s="945">
        <v>2.585</v>
      </c>
      <c r="AB98" s="945">
        <v>2.6100000000000003</v>
      </c>
      <c r="AC98" s="945">
        <v>2.625</v>
      </c>
      <c r="AD98" s="945">
        <v>2.65</v>
      </c>
      <c r="AE98" s="945">
        <v>2.67</v>
      </c>
      <c r="AF98" s="945">
        <v>2.69</v>
      </c>
      <c r="AG98" s="945">
        <v>2.7149999999999999</v>
      </c>
      <c r="AH98" s="945">
        <v>2.73</v>
      </c>
      <c r="AI98" s="945">
        <v>2.75</v>
      </c>
      <c r="AJ98" s="945">
        <v>2.7749999999999999</v>
      </c>
      <c r="AK98" s="945">
        <v>2.7949999999999999</v>
      </c>
      <c r="AL98" s="945">
        <v>2.82</v>
      </c>
      <c r="AM98" s="945">
        <v>2.84</v>
      </c>
      <c r="AN98" s="945">
        <v>2.86</v>
      </c>
      <c r="AO98" s="945">
        <v>2.88</v>
      </c>
      <c r="AP98" s="945">
        <v>2.9</v>
      </c>
      <c r="AQ98" s="945">
        <v>2.92</v>
      </c>
      <c r="AR98" s="945">
        <v>2.94</v>
      </c>
      <c r="AS98" s="945">
        <v>2.9649999999999999</v>
      </c>
      <c r="AT98" s="945">
        <v>2.9850000000000003</v>
      </c>
      <c r="AU98" s="945">
        <v>3.0049999999999999</v>
      </c>
      <c r="AV98" s="945">
        <v>3.0300000000000002</v>
      </c>
      <c r="AW98" s="945">
        <v>3.05</v>
      </c>
      <c r="AX98" s="945">
        <v>3.07</v>
      </c>
      <c r="AY98" s="945">
        <v>3.09</v>
      </c>
      <c r="AZ98" s="945">
        <v>3.11</v>
      </c>
      <c r="BA98" s="945">
        <v>3.1349999999999998</v>
      </c>
      <c r="BB98" s="945">
        <v>3.1550000000000002</v>
      </c>
      <c r="BC98" s="945">
        <v>3.1749999999999998</v>
      </c>
      <c r="BD98" s="945">
        <v>3.1950000000000003</v>
      </c>
      <c r="BE98" s="945">
        <v>3.2199999999999998</v>
      </c>
      <c r="BF98" s="945">
        <v>3.24</v>
      </c>
      <c r="BG98" s="945">
        <v>3.26</v>
      </c>
      <c r="BH98" s="945">
        <v>3.2800000000000002</v>
      </c>
      <c r="BI98" s="945">
        <v>3.3</v>
      </c>
      <c r="BJ98" s="945">
        <v>3.3250000000000002</v>
      </c>
      <c r="BK98" s="945">
        <v>3.3449999999999998</v>
      </c>
      <c r="BL98" s="945">
        <v>3.3650000000000002</v>
      </c>
      <c r="BM98" s="945">
        <v>3.39</v>
      </c>
      <c r="BN98" s="945">
        <v>3.41</v>
      </c>
      <c r="BO98" s="945">
        <v>3.43</v>
      </c>
      <c r="BP98" s="945">
        <v>3.45</v>
      </c>
      <c r="BQ98" s="945">
        <v>3.4699999999999998</v>
      </c>
      <c r="BR98" s="945">
        <v>3.49</v>
      </c>
      <c r="BS98" s="945">
        <v>3.51</v>
      </c>
      <c r="BT98" s="946">
        <v>3.5300000000000002</v>
      </c>
      <c r="BU98" s="945">
        <v>3.5550000000000002</v>
      </c>
      <c r="BV98" s="945">
        <v>3.5750000000000002</v>
      </c>
      <c r="BW98" s="945">
        <v>3.6</v>
      </c>
      <c r="BX98" s="945">
        <v>3.62</v>
      </c>
      <c r="BY98" s="945">
        <v>3.64</v>
      </c>
      <c r="BZ98" s="945">
        <v>3.66</v>
      </c>
      <c r="CA98" s="945">
        <v>3.68</v>
      </c>
      <c r="CB98" s="945">
        <v>3.7</v>
      </c>
      <c r="CC98" s="945">
        <v>3.7199999999999998</v>
      </c>
      <c r="CD98" s="945">
        <v>3.74</v>
      </c>
      <c r="CE98" s="945">
        <v>3.7650000000000001</v>
      </c>
      <c r="CF98" s="945">
        <v>3.7850000000000001</v>
      </c>
      <c r="CG98" s="945">
        <v>3.8050000000000002</v>
      </c>
      <c r="CH98" s="945">
        <v>3.8250000000000002</v>
      </c>
      <c r="CI98" s="945">
        <v>3.8450000000000002</v>
      </c>
      <c r="CJ98" s="945">
        <v>3.8650000000000002</v>
      </c>
      <c r="CK98" s="945">
        <v>3.8850000000000002</v>
      </c>
      <c r="CL98" s="945">
        <v>3.9050000000000002</v>
      </c>
      <c r="CM98" s="945">
        <v>3.9250000000000003</v>
      </c>
      <c r="CN98" s="945">
        <v>3.9449999999999998</v>
      </c>
      <c r="CO98" s="945">
        <v>3.9649999999999999</v>
      </c>
      <c r="CP98" s="945">
        <v>3.9849999999999999</v>
      </c>
      <c r="CQ98" s="945">
        <v>4</v>
      </c>
      <c r="CR98" s="945">
        <v>4.0199999999999996</v>
      </c>
      <c r="CS98" s="945">
        <v>4.04</v>
      </c>
      <c r="CT98" s="945">
        <v>4.0600000000000005</v>
      </c>
      <c r="CU98" s="945">
        <v>4.08</v>
      </c>
      <c r="CV98" s="945">
        <v>4.0999999999999996</v>
      </c>
      <c r="CW98" s="945">
        <v>4.12</v>
      </c>
      <c r="CX98" s="945">
        <v>4.1400000000000006</v>
      </c>
      <c r="CY98" s="945">
        <v>4.16</v>
      </c>
      <c r="CZ98" s="945">
        <v>4.18</v>
      </c>
      <c r="DA98" s="945">
        <v>4.1999999999999993</v>
      </c>
      <c r="DB98" s="945">
        <v>4.2149999999999999</v>
      </c>
      <c r="DC98" s="945">
        <v>4.2349999999999994</v>
      </c>
      <c r="DD98" s="945">
        <v>4.2549999999999999</v>
      </c>
      <c r="DE98" s="945">
        <v>4.2750000000000004</v>
      </c>
      <c r="DF98" s="945">
        <v>4.2949999999999999</v>
      </c>
      <c r="DG98" s="945">
        <v>4.3149999999999995</v>
      </c>
      <c r="DH98" s="945">
        <v>4.33</v>
      </c>
      <c r="DI98" s="945">
        <v>4.3499999999999996</v>
      </c>
      <c r="DJ98" s="945">
        <v>4.37</v>
      </c>
      <c r="DK98" s="945">
        <v>4.3899999999999997</v>
      </c>
      <c r="DL98" s="945">
        <v>4.41</v>
      </c>
      <c r="DM98" s="945">
        <v>4.4249999999999998</v>
      </c>
      <c r="DN98" s="945">
        <v>4.4450000000000003</v>
      </c>
      <c r="DO98" s="945">
        <v>4.4649999999999999</v>
      </c>
      <c r="DP98" s="945">
        <v>4.4850000000000003</v>
      </c>
      <c r="DQ98" s="945">
        <v>4.4950000000000001</v>
      </c>
      <c r="DR98" s="945">
        <v>4.5149999999999997</v>
      </c>
    </row>
    <row r="99" spans="1:122" s="131" customFormat="1" ht="12.75">
      <c r="A99" s="949">
        <v>97</v>
      </c>
      <c r="B99" s="945"/>
      <c r="C99" s="945"/>
      <c r="D99" s="945"/>
      <c r="E99" s="945"/>
      <c r="F99" s="945"/>
      <c r="G99" s="945"/>
      <c r="H99" s="945"/>
      <c r="I99" s="945"/>
      <c r="J99" s="945"/>
      <c r="K99" s="945"/>
      <c r="L99" s="945"/>
      <c r="M99" s="945"/>
      <c r="N99" s="945"/>
      <c r="O99" s="945"/>
      <c r="P99" s="945"/>
      <c r="Q99" s="945"/>
      <c r="R99" s="945"/>
      <c r="S99" s="945"/>
      <c r="T99" s="945"/>
      <c r="U99" s="945"/>
      <c r="V99" s="945"/>
      <c r="W99" s="945">
        <v>2.4</v>
      </c>
      <c r="X99" s="945">
        <v>2.3200000000000003</v>
      </c>
      <c r="Y99" s="945">
        <v>2.3650000000000002</v>
      </c>
      <c r="Z99" s="945">
        <v>2.4</v>
      </c>
      <c r="AA99" s="945">
        <v>2.415</v>
      </c>
      <c r="AB99" s="945">
        <v>2.4350000000000001</v>
      </c>
      <c r="AC99" s="945">
        <v>2.4550000000000001</v>
      </c>
      <c r="AD99" s="945">
        <v>2.4699999999999998</v>
      </c>
      <c r="AE99" s="945">
        <v>2.4900000000000002</v>
      </c>
      <c r="AF99" s="945">
        <v>2.5099999999999998</v>
      </c>
      <c r="AG99" s="945">
        <v>2.5300000000000002</v>
      </c>
      <c r="AH99" s="945">
        <v>2.5499999999999998</v>
      </c>
      <c r="AI99" s="945">
        <v>2.5649999999999999</v>
      </c>
      <c r="AJ99" s="945">
        <v>2.585</v>
      </c>
      <c r="AK99" s="945">
        <v>2.605</v>
      </c>
      <c r="AL99" s="945">
        <v>2.625</v>
      </c>
      <c r="AM99" s="945">
        <v>2.64</v>
      </c>
      <c r="AN99" s="945">
        <v>2.66</v>
      </c>
      <c r="AO99" s="945">
        <v>2.6799999999999997</v>
      </c>
      <c r="AP99" s="945">
        <v>2.7</v>
      </c>
      <c r="AQ99" s="945">
        <v>2.7199999999999998</v>
      </c>
      <c r="AR99" s="945">
        <v>2.74</v>
      </c>
      <c r="AS99" s="945">
        <v>2.7549999999999999</v>
      </c>
      <c r="AT99" s="945">
        <v>2.7750000000000004</v>
      </c>
      <c r="AU99" s="945">
        <v>2.7949999999999999</v>
      </c>
      <c r="AV99" s="945">
        <v>2.8150000000000004</v>
      </c>
      <c r="AW99" s="945">
        <v>2.83</v>
      </c>
      <c r="AX99" s="945">
        <v>2.85</v>
      </c>
      <c r="AY99" s="945">
        <v>2.87</v>
      </c>
      <c r="AZ99" s="945">
        <v>2.89</v>
      </c>
      <c r="BA99" s="945">
        <v>2.91</v>
      </c>
      <c r="BB99" s="945">
        <v>2.9299999999999997</v>
      </c>
      <c r="BC99" s="945">
        <v>2.95</v>
      </c>
      <c r="BD99" s="945">
        <v>2.9649999999999999</v>
      </c>
      <c r="BE99" s="945">
        <v>2.9850000000000003</v>
      </c>
      <c r="BF99" s="945">
        <v>3</v>
      </c>
      <c r="BG99" s="945">
        <v>3.02</v>
      </c>
      <c r="BH99" s="945">
        <v>3.04</v>
      </c>
      <c r="BI99" s="945">
        <v>3.06</v>
      </c>
      <c r="BJ99" s="945">
        <v>3.08</v>
      </c>
      <c r="BK99" s="945">
        <v>3.1</v>
      </c>
      <c r="BL99" s="945">
        <v>3.12</v>
      </c>
      <c r="BM99" s="945">
        <v>3.14</v>
      </c>
      <c r="BN99" s="945">
        <v>3.15</v>
      </c>
      <c r="BO99" s="945">
        <v>3.17</v>
      </c>
      <c r="BP99" s="945">
        <v>3.19</v>
      </c>
      <c r="BQ99" s="945">
        <v>3.21</v>
      </c>
      <c r="BR99" s="945">
        <v>3.23</v>
      </c>
      <c r="BS99" s="945">
        <v>3.25</v>
      </c>
      <c r="BT99" s="946">
        <v>3.2650000000000001</v>
      </c>
      <c r="BU99" s="945">
        <v>3.2850000000000001</v>
      </c>
      <c r="BV99" s="945">
        <v>3.3050000000000002</v>
      </c>
      <c r="BW99" s="945">
        <v>3.3200000000000003</v>
      </c>
      <c r="BX99" s="945">
        <v>3.34</v>
      </c>
      <c r="BY99" s="945">
        <v>3.36</v>
      </c>
      <c r="BZ99" s="945">
        <v>3.375</v>
      </c>
      <c r="CA99" s="945">
        <v>3.395</v>
      </c>
      <c r="CB99" s="945">
        <v>3.415</v>
      </c>
      <c r="CC99" s="945">
        <v>3.4350000000000001</v>
      </c>
      <c r="CD99" s="945">
        <v>3.4550000000000001</v>
      </c>
      <c r="CE99" s="945">
        <v>3.4649999999999999</v>
      </c>
      <c r="CF99" s="945">
        <v>3.4849999999999999</v>
      </c>
      <c r="CG99" s="945">
        <v>3.5049999999999999</v>
      </c>
      <c r="CH99" s="945">
        <v>3.5249999999999999</v>
      </c>
      <c r="CI99" s="945">
        <v>3.54</v>
      </c>
      <c r="CJ99" s="945">
        <v>3.56</v>
      </c>
      <c r="CK99" s="945">
        <v>3.5750000000000002</v>
      </c>
      <c r="CL99" s="945">
        <v>3.5949999999999998</v>
      </c>
      <c r="CM99" s="945">
        <v>3.6100000000000003</v>
      </c>
      <c r="CN99" s="945">
        <v>3.63</v>
      </c>
      <c r="CO99" s="945">
        <v>3.6500000000000004</v>
      </c>
      <c r="CP99" s="945">
        <v>3.67</v>
      </c>
      <c r="CQ99" s="945">
        <v>3.6799999999999997</v>
      </c>
      <c r="CR99" s="945">
        <v>3.7</v>
      </c>
      <c r="CS99" s="945">
        <v>3.7199999999999998</v>
      </c>
      <c r="CT99" s="945">
        <v>3.7350000000000003</v>
      </c>
      <c r="CU99" s="945">
        <v>3.7549999999999999</v>
      </c>
      <c r="CV99" s="945">
        <v>3.77</v>
      </c>
      <c r="CW99" s="945">
        <v>3.7850000000000001</v>
      </c>
      <c r="CX99" s="945">
        <v>3.8049999999999997</v>
      </c>
      <c r="CY99" s="945">
        <v>3.8250000000000002</v>
      </c>
      <c r="CZ99" s="945">
        <v>3.835</v>
      </c>
      <c r="DA99" s="945">
        <v>3.855</v>
      </c>
      <c r="DB99" s="945">
        <v>3.875</v>
      </c>
      <c r="DC99" s="945">
        <v>3.89</v>
      </c>
      <c r="DD99" s="945">
        <v>3.9049999999999998</v>
      </c>
      <c r="DE99" s="945">
        <v>3.9249999999999998</v>
      </c>
      <c r="DF99" s="945">
        <v>3.94</v>
      </c>
      <c r="DG99" s="945">
        <v>3.96</v>
      </c>
      <c r="DH99" s="945">
        <v>3.9699999999999998</v>
      </c>
      <c r="DI99" s="945">
        <v>3.9899999999999998</v>
      </c>
      <c r="DJ99" s="945">
        <v>4.01</v>
      </c>
      <c r="DK99" s="945">
        <v>4.0250000000000004</v>
      </c>
      <c r="DL99" s="945">
        <v>4.04</v>
      </c>
      <c r="DM99" s="945">
        <v>4.0549999999999997</v>
      </c>
      <c r="DN99" s="945">
        <v>4.0750000000000002</v>
      </c>
      <c r="DO99" s="945">
        <v>4.085</v>
      </c>
      <c r="DP99" s="945">
        <v>4.1050000000000004</v>
      </c>
      <c r="DQ99" s="945">
        <v>4.12</v>
      </c>
      <c r="DR99" s="945">
        <v>4.1349999999999998</v>
      </c>
    </row>
    <row r="100" spans="1:122" s="131" customFormat="1" ht="12.75">
      <c r="A100" s="949">
        <v>98</v>
      </c>
      <c r="B100" s="945"/>
      <c r="C100" s="945"/>
      <c r="D100" s="945"/>
      <c r="E100" s="945"/>
      <c r="F100" s="945"/>
      <c r="G100" s="945"/>
      <c r="H100" s="945"/>
      <c r="I100" s="945"/>
      <c r="J100" s="945"/>
      <c r="K100" s="945"/>
      <c r="L100" s="945"/>
      <c r="M100" s="945"/>
      <c r="N100" s="945"/>
      <c r="O100" s="945"/>
      <c r="P100" s="945"/>
      <c r="Q100" s="945"/>
      <c r="R100" s="945"/>
      <c r="S100" s="945"/>
      <c r="T100" s="945"/>
      <c r="U100" s="945"/>
      <c r="V100" s="945"/>
      <c r="W100" s="945">
        <v>2.2549999999999999</v>
      </c>
      <c r="X100" s="945">
        <v>2.1799999999999997</v>
      </c>
      <c r="Y100" s="945">
        <v>2.2149999999999999</v>
      </c>
      <c r="Z100" s="945">
        <v>2.25</v>
      </c>
      <c r="AA100" s="945">
        <v>2.2599999999999998</v>
      </c>
      <c r="AB100" s="945">
        <v>2.2800000000000002</v>
      </c>
      <c r="AC100" s="945">
        <v>2.2949999999999999</v>
      </c>
      <c r="AD100" s="945">
        <v>2.3150000000000004</v>
      </c>
      <c r="AE100" s="945">
        <v>2.33</v>
      </c>
      <c r="AF100" s="945">
        <v>2.35</v>
      </c>
      <c r="AG100" s="945">
        <v>2.3650000000000002</v>
      </c>
      <c r="AH100" s="945">
        <v>2.3849999999999998</v>
      </c>
      <c r="AI100" s="945">
        <v>2.4</v>
      </c>
      <c r="AJ100" s="945">
        <v>2.42</v>
      </c>
      <c r="AK100" s="945">
        <v>2.4349999999999996</v>
      </c>
      <c r="AL100" s="945">
        <v>2.4550000000000001</v>
      </c>
      <c r="AM100" s="945">
        <v>2.4699999999999998</v>
      </c>
      <c r="AN100" s="945">
        <v>2.4850000000000003</v>
      </c>
      <c r="AO100" s="945">
        <v>2.5049999999999999</v>
      </c>
      <c r="AP100" s="945">
        <v>2.5250000000000004</v>
      </c>
      <c r="AQ100" s="945">
        <v>2.5350000000000001</v>
      </c>
      <c r="AR100" s="945">
        <v>2.5549999999999997</v>
      </c>
      <c r="AS100" s="945">
        <v>2.5750000000000002</v>
      </c>
      <c r="AT100" s="945">
        <v>2.59</v>
      </c>
      <c r="AU100" s="945">
        <v>2.605</v>
      </c>
      <c r="AV100" s="945">
        <v>2.625</v>
      </c>
      <c r="AW100" s="945">
        <v>2.645</v>
      </c>
      <c r="AX100" s="945">
        <v>2.6550000000000002</v>
      </c>
      <c r="AY100" s="945">
        <v>2.6749999999999998</v>
      </c>
      <c r="AZ100" s="945">
        <v>2.6950000000000003</v>
      </c>
      <c r="BA100" s="945">
        <v>2.71</v>
      </c>
      <c r="BB100" s="945">
        <v>2.7249999999999996</v>
      </c>
      <c r="BC100" s="945">
        <v>2.7450000000000001</v>
      </c>
      <c r="BD100" s="945">
        <v>2.76</v>
      </c>
      <c r="BE100" s="945">
        <v>2.7800000000000002</v>
      </c>
      <c r="BF100" s="945">
        <v>2.7949999999999999</v>
      </c>
      <c r="BG100" s="945">
        <v>2.8150000000000004</v>
      </c>
      <c r="BH100" s="945">
        <v>2.83</v>
      </c>
      <c r="BI100" s="945">
        <v>2.8449999999999998</v>
      </c>
      <c r="BJ100" s="945">
        <v>2.8650000000000002</v>
      </c>
      <c r="BK100" s="945">
        <v>2.88</v>
      </c>
      <c r="BL100" s="945">
        <v>2.9</v>
      </c>
      <c r="BM100" s="945">
        <v>2.915</v>
      </c>
      <c r="BN100" s="945">
        <v>2.9299999999999997</v>
      </c>
      <c r="BO100" s="945">
        <v>2.95</v>
      </c>
      <c r="BP100" s="945">
        <v>2.9649999999999999</v>
      </c>
      <c r="BQ100" s="945">
        <v>2.98</v>
      </c>
      <c r="BR100" s="945">
        <v>3</v>
      </c>
      <c r="BS100" s="945">
        <v>3.01</v>
      </c>
      <c r="BT100" s="946">
        <v>3.0300000000000002</v>
      </c>
      <c r="BU100" s="945">
        <v>3.05</v>
      </c>
      <c r="BV100" s="945">
        <v>3.0649999999999999</v>
      </c>
      <c r="BW100" s="945">
        <v>3.08</v>
      </c>
      <c r="BX100" s="945">
        <v>3.1</v>
      </c>
      <c r="BY100" s="945">
        <v>3.1150000000000002</v>
      </c>
      <c r="BZ100" s="945">
        <v>3.13</v>
      </c>
      <c r="CA100" s="945">
        <v>3.145</v>
      </c>
      <c r="CB100" s="945">
        <v>3.165</v>
      </c>
      <c r="CC100" s="945">
        <v>3.1799999999999997</v>
      </c>
      <c r="CD100" s="945">
        <v>3.1949999999999998</v>
      </c>
      <c r="CE100" s="945">
        <v>3.2149999999999999</v>
      </c>
      <c r="CF100" s="945">
        <v>3.2250000000000001</v>
      </c>
      <c r="CG100" s="945">
        <v>3.2450000000000001</v>
      </c>
      <c r="CH100" s="945">
        <v>3.2650000000000001</v>
      </c>
      <c r="CI100" s="945">
        <v>3.2749999999999999</v>
      </c>
      <c r="CJ100" s="945">
        <v>3.2949999999999999</v>
      </c>
      <c r="CK100" s="945">
        <v>3.31</v>
      </c>
      <c r="CL100" s="945">
        <v>3.3250000000000002</v>
      </c>
      <c r="CM100" s="945">
        <v>3.34</v>
      </c>
      <c r="CN100" s="945">
        <v>3.3600000000000003</v>
      </c>
      <c r="CO100" s="945">
        <v>3.37</v>
      </c>
      <c r="CP100" s="945">
        <v>3.3899999999999997</v>
      </c>
      <c r="CQ100" s="945">
        <v>3.4</v>
      </c>
      <c r="CR100" s="945">
        <v>3.42</v>
      </c>
      <c r="CS100" s="945">
        <v>3.4349999999999996</v>
      </c>
      <c r="CT100" s="945">
        <v>3.45</v>
      </c>
      <c r="CU100" s="945">
        <v>3.4649999999999999</v>
      </c>
      <c r="CV100" s="945">
        <v>3.48</v>
      </c>
      <c r="CW100" s="945">
        <v>3.4950000000000001</v>
      </c>
      <c r="CX100" s="945">
        <v>3.5149999999999997</v>
      </c>
      <c r="CY100" s="945">
        <v>3.5250000000000004</v>
      </c>
      <c r="CZ100" s="945">
        <v>3.5449999999999999</v>
      </c>
      <c r="DA100" s="945">
        <v>3.5549999999999997</v>
      </c>
      <c r="DB100" s="945">
        <v>3.5750000000000002</v>
      </c>
      <c r="DC100" s="945">
        <v>3.585</v>
      </c>
      <c r="DD100" s="945">
        <v>3.6050000000000004</v>
      </c>
      <c r="DE100" s="945">
        <v>3.6150000000000002</v>
      </c>
      <c r="DF100" s="945">
        <v>3.63</v>
      </c>
      <c r="DG100" s="945">
        <v>3.65</v>
      </c>
      <c r="DH100" s="945">
        <v>3.66</v>
      </c>
      <c r="DI100" s="945">
        <v>3.6799999999999997</v>
      </c>
      <c r="DJ100" s="945">
        <v>3.69</v>
      </c>
      <c r="DK100" s="945">
        <v>3.7050000000000001</v>
      </c>
      <c r="DL100" s="945">
        <v>3.7199999999999998</v>
      </c>
      <c r="DM100" s="945">
        <v>3.7349999999999999</v>
      </c>
      <c r="DN100" s="945">
        <v>3.75</v>
      </c>
      <c r="DO100" s="945">
        <v>3.7650000000000001</v>
      </c>
      <c r="DP100" s="945">
        <v>3.7749999999999999</v>
      </c>
      <c r="DQ100" s="945">
        <v>3.7949999999999999</v>
      </c>
      <c r="DR100" s="945">
        <v>3.8050000000000002</v>
      </c>
    </row>
    <row r="101" spans="1:122" s="131" customFormat="1" ht="12.75">
      <c r="A101" s="949">
        <v>99</v>
      </c>
      <c r="B101" s="945"/>
      <c r="C101" s="945"/>
      <c r="D101" s="945"/>
      <c r="E101" s="945"/>
      <c r="F101" s="945"/>
      <c r="G101" s="945"/>
      <c r="H101" s="945"/>
      <c r="I101" s="945"/>
      <c r="J101" s="945"/>
      <c r="K101" s="945"/>
      <c r="L101" s="945"/>
      <c r="M101" s="945"/>
      <c r="N101" s="945"/>
      <c r="O101" s="945"/>
      <c r="P101" s="945"/>
      <c r="Q101" s="945"/>
      <c r="R101" s="945"/>
      <c r="S101" s="945"/>
      <c r="T101" s="945"/>
      <c r="U101" s="945"/>
      <c r="V101" s="945"/>
      <c r="W101" s="945">
        <v>2.12</v>
      </c>
      <c r="X101" s="945">
        <v>2.0549999999999997</v>
      </c>
      <c r="Y101" s="945">
        <v>2.08</v>
      </c>
      <c r="Z101" s="945">
        <v>2.1150000000000002</v>
      </c>
      <c r="AA101" s="945">
        <v>2.13</v>
      </c>
      <c r="AB101" s="945">
        <v>2.1399999999999997</v>
      </c>
      <c r="AC101" s="945">
        <v>2.16</v>
      </c>
      <c r="AD101" s="945">
        <v>2.1749999999999998</v>
      </c>
      <c r="AE101" s="945">
        <v>2.1949999999999998</v>
      </c>
      <c r="AF101" s="945">
        <v>2.2050000000000001</v>
      </c>
      <c r="AG101" s="945">
        <v>2.2199999999999998</v>
      </c>
      <c r="AH101" s="945">
        <v>2.2400000000000002</v>
      </c>
      <c r="AI101" s="945">
        <v>2.2549999999999999</v>
      </c>
      <c r="AJ101" s="945">
        <v>2.27</v>
      </c>
      <c r="AK101" s="945">
        <v>2.2850000000000001</v>
      </c>
      <c r="AL101" s="945">
        <v>2.2999999999999998</v>
      </c>
      <c r="AM101" s="945">
        <v>2.3200000000000003</v>
      </c>
      <c r="AN101" s="945">
        <v>2.33</v>
      </c>
      <c r="AO101" s="945">
        <v>2.35</v>
      </c>
      <c r="AP101" s="945">
        <v>2.3600000000000003</v>
      </c>
      <c r="AQ101" s="945">
        <v>2.38</v>
      </c>
      <c r="AR101" s="945">
        <v>2.3949999999999996</v>
      </c>
      <c r="AS101" s="945">
        <v>2.41</v>
      </c>
      <c r="AT101" s="945">
        <v>2.4249999999999998</v>
      </c>
      <c r="AU101" s="945">
        <v>2.44</v>
      </c>
      <c r="AV101" s="945">
        <v>2.46</v>
      </c>
      <c r="AW101" s="945">
        <v>2.4699999999999998</v>
      </c>
      <c r="AX101" s="945">
        <v>2.4900000000000002</v>
      </c>
      <c r="AY101" s="945">
        <v>2.5049999999999999</v>
      </c>
      <c r="AZ101" s="945">
        <v>2.52</v>
      </c>
      <c r="BA101" s="945">
        <v>2.5350000000000001</v>
      </c>
      <c r="BB101" s="945">
        <v>2.5499999999999998</v>
      </c>
      <c r="BC101" s="945">
        <v>2.5650000000000004</v>
      </c>
      <c r="BD101" s="945">
        <v>2.58</v>
      </c>
      <c r="BE101" s="945">
        <v>2.5949999999999998</v>
      </c>
      <c r="BF101" s="945">
        <v>2.6100000000000003</v>
      </c>
      <c r="BG101" s="945">
        <v>2.625</v>
      </c>
      <c r="BH101" s="945">
        <v>2.6449999999999996</v>
      </c>
      <c r="BI101" s="945">
        <v>2.6550000000000002</v>
      </c>
      <c r="BJ101" s="945">
        <v>2.6749999999999998</v>
      </c>
      <c r="BK101" s="945">
        <v>2.6849999999999996</v>
      </c>
      <c r="BL101" s="945">
        <v>2.7050000000000001</v>
      </c>
      <c r="BM101" s="945">
        <v>2.7149999999999999</v>
      </c>
      <c r="BN101" s="945">
        <v>2.7350000000000003</v>
      </c>
      <c r="BO101" s="945">
        <v>2.75</v>
      </c>
      <c r="BP101" s="945">
        <v>2.7649999999999997</v>
      </c>
      <c r="BQ101" s="945">
        <v>2.7800000000000002</v>
      </c>
      <c r="BR101" s="945">
        <v>2.7949999999999999</v>
      </c>
      <c r="BS101" s="945">
        <v>2.81</v>
      </c>
      <c r="BT101" s="946">
        <v>2.8250000000000002</v>
      </c>
      <c r="BU101" s="945">
        <v>2.84</v>
      </c>
      <c r="BV101" s="945">
        <v>2.8550000000000004</v>
      </c>
      <c r="BW101" s="945">
        <v>2.87</v>
      </c>
      <c r="BX101" s="945">
        <v>2.8849999999999998</v>
      </c>
      <c r="BY101" s="945">
        <v>2.9</v>
      </c>
      <c r="BZ101" s="945">
        <v>2.915</v>
      </c>
      <c r="CA101" s="945">
        <v>2.9299999999999997</v>
      </c>
      <c r="CB101" s="945">
        <v>2.94</v>
      </c>
      <c r="CC101" s="945">
        <v>2.96</v>
      </c>
      <c r="CD101" s="945">
        <v>2.9699999999999998</v>
      </c>
      <c r="CE101" s="945">
        <v>2.99</v>
      </c>
      <c r="CF101" s="945">
        <v>3</v>
      </c>
      <c r="CG101" s="945">
        <v>3.02</v>
      </c>
      <c r="CH101" s="945">
        <v>3.0300000000000002</v>
      </c>
      <c r="CI101" s="945">
        <v>3.0449999999999999</v>
      </c>
      <c r="CJ101" s="945">
        <v>3.06</v>
      </c>
      <c r="CK101" s="945">
        <v>3.0750000000000002</v>
      </c>
      <c r="CL101" s="945">
        <v>3.085</v>
      </c>
      <c r="CM101" s="945">
        <v>3.105</v>
      </c>
      <c r="CN101" s="945">
        <v>3.1150000000000002</v>
      </c>
      <c r="CO101" s="945">
        <v>3.1349999999999998</v>
      </c>
      <c r="CP101" s="945">
        <v>3.145</v>
      </c>
      <c r="CQ101" s="945">
        <v>3.16</v>
      </c>
      <c r="CR101" s="945">
        <v>3.1749999999999998</v>
      </c>
      <c r="CS101" s="945">
        <v>3.19</v>
      </c>
      <c r="CT101" s="945">
        <v>3.2</v>
      </c>
      <c r="CU101" s="945">
        <v>3.2149999999999999</v>
      </c>
      <c r="CV101" s="945">
        <v>3.23</v>
      </c>
      <c r="CW101" s="945">
        <v>3.24</v>
      </c>
      <c r="CX101" s="945">
        <v>3.26</v>
      </c>
      <c r="CY101" s="945">
        <v>3.27</v>
      </c>
      <c r="CZ101" s="945">
        <v>3.2850000000000001</v>
      </c>
      <c r="DA101" s="945">
        <v>3.3</v>
      </c>
      <c r="DB101" s="945">
        <v>3.31</v>
      </c>
      <c r="DC101" s="945">
        <v>3.3250000000000002</v>
      </c>
      <c r="DD101" s="945">
        <v>3.335</v>
      </c>
      <c r="DE101" s="945">
        <v>3.35</v>
      </c>
      <c r="DF101" s="945">
        <v>3.3650000000000002</v>
      </c>
      <c r="DG101" s="945">
        <v>3.375</v>
      </c>
      <c r="DH101" s="945">
        <v>3.3899999999999997</v>
      </c>
      <c r="DI101" s="945">
        <v>3.4050000000000002</v>
      </c>
      <c r="DJ101" s="945">
        <v>3.415</v>
      </c>
      <c r="DK101" s="945">
        <v>3.4299999999999997</v>
      </c>
      <c r="DL101" s="945">
        <v>3.44</v>
      </c>
      <c r="DM101" s="945">
        <v>3.4550000000000001</v>
      </c>
      <c r="DN101" s="945">
        <v>3.4699999999999998</v>
      </c>
      <c r="DO101" s="945">
        <v>3.48</v>
      </c>
      <c r="DP101" s="945">
        <v>3.49</v>
      </c>
      <c r="DQ101" s="945">
        <v>3.5049999999999999</v>
      </c>
      <c r="DR101" s="945">
        <v>3.52</v>
      </c>
    </row>
    <row r="102" spans="1:122" s="131" customFormat="1" ht="12.75">
      <c r="A102" s="949">
        <v>100</v>
      </c>
      <c r="B102" s="945"/>
      <c r="C102" s="945"/>
      <c r="D102" s="945"/>
      <c r="E102" s="945"/>
      <c r="F102" s="945"/>
      <c r="G102" s="945"/>
      <c r="H102" s="945"/>
      <c r="I102" s="945"/>
      <c r="J102" s="945"/>
      <c r="K102" s="945"/>
      <c r="L102" s="945"/>
      <c r="M102" s="945"/>
      <c r="N102" s="945"/>
      <c r="O102" s="945"/>
      <c r="P102" s="945"/>
      <c r="Q102" s="945"/>
      <c r="R102" s="945"/>
      <c r="S102" s="945"/>
      <c r="T102" s="945"/>
      <c r="U102" s="945"/>
      <c r="V102" s="945"/>
      <c r="W102" s="945">
        <v>2</v>
      </c>
      <c r="X102" s="945">
        <v>1.9350000000000001</v>
      </c>
      <c r="Y102" s="945">
        <v>1.97</v>
      </c>
      <c r="Z102" s="945">
        <v>1.9949999999999999</v>
      </c>
      <c r="AA102" s="945">
        <v>2.0049999999999999</v>
      </c>
      <c r="AB102" s="945">
        <v>2.02</v>
      </c>
      <c r="AC102" s="945">
        <v>2.04</v>
      </c>
      <c r="AD102" s="945">
        <v>2.0499999999999998</v>
      </c>
      <c r="AE102" s="945">
        <v>2.0649999999999999</v>
      </c>
      <c r="AF102" s="945">
        <v>2.08</v>
      </c>
      <c r="AG102" s="945">
        <v>2.0949999999999998</v>
      </c>
      <c r="AH102" s="945">
        <v>2.11</v>
      </c>
      <c r="AI102" s="945">
        <v>2.12</v>
      </c>
      <c r="AJ102" s="945">
        <v>2.1349999999999998</v>
      </c>
      <c r="AK102" s="945">
        <v>2.1549999999999998</v>
      </c>
      <c r="AL102" s="945">
        <v>2.165</v>
      </c>
      <c r="AM102" s="945">
        <v>2.1799999999999997</v>
      </c>
      <c r="AN102" s="945">
        <v>2.1949999999999998</v>
      </c>
      <c r="AO102" s="945">
        <v>2.2050000000000001</v>
      </c>
      <c r="AP102" s="945">
        <v>2.2250000000000001</v>
      </c>
      <c r="AQ102" s="945">
        <v>2.2349999999999999</v>
      </c>
      <c r="AR102" s="945">
        <v>2.2549999999999999</v>
      </c>
      <c r="AS102" s="945">
        <v>2.2650000000000001</v>
      </c>
      <c r="AT102" s="945">
        <v>2.2800000000000002</v>
      </c>
      <c r="AU102" s="945">
        <v>2.2949999999999999</v>
      </c>
      <c r="AV102" s="945">
        <v>2.3050000000000002</v>
      </c>
      <c r="AW102" s="945">
        <v>2.3250000000000002</v>
      </c>
      <c r="AX102" s="945">
        <v>2.335</v>
      </c>
      <c r="AY102" s="945">
        <v>2.355</v>
      </c>
      <c r="AZ102" s="945">
        <v>2.3650000000000002</v>
      </c>
      <c r="BA102" s="945">
        <v>2.38</v>
      </c>
      <c r="BB102" s="945">
        <v>2.395</v>
      </c>
      <c r="BC102" s="945">
        <v>2.4049999999999998</v>
      </c>
      <c r="BD102" s="945">
        <v>2.4249999999999998</v>
      </c>
      <c r="BE102" s="945">
        <v>2.4350000000000001</v>
      </c>
      <c r="BF102" s="945">
        <v>2.4500000000000002</v>
      </c>
      <c r="BG102" s="945">
        <v>2.4649999999999999</v>
      </c>
      <c r="BH102" s="945">
        <v>2.48</v>
      </c>
      <c r="BI102" s="945">
        <v>2.4900000000000002</v>
      </c>
      <c r="BJ102" s="945">
        <v>2.5049999999999999</v>
      </c>
      <c r="BK102" s="945">
        <v>2.52</v>
      </c>
      <c r="BL102" s="945">
        <v>2.5350000000000001</v>
      </c>
      <c r="BM102" s="945">
        <v>2.5499999999999998</v>
      </c>
      <c r="BN102" s="945">
        <v>2.56</v>
      </c>
      <c r="BO102" s="945">
        <v>2.58</v>
      </c>
      <c r="BP102" s="945">
        <v>2.59</v>
      </c>
      <c r="BQ102" s="945">
        <v>2.6</v>
      </c>
      <c r="BR102" s="945">
        <v>2.62</v>
      </c>
      <c r="BS102" s="945">
        <v>2.63</v>
      </c>
      <c r="BT102" s="946">
        <v>2.6449999999999996</v>
      </c>
      <c r="BU102" s="945">
        <v>2.66</v>
      </c>
      <c r="BV102" s="945">
        <v>2.67</v>
      </c>
      <c r="BW102" s="945">
        <v>2.6849999999999996</v>
      </c>
      <c r="BX102" s="945">
        <v>2.7</v>
      </c>
      <c r="BY102" s="945">
        <v>2.7149999999999999</v>
      </c>
      <c r="BZ102" s="945">
        <v>2.7249999999999996</v>
      </c>
      <c r="CA102" s="945">
        <v>2.7350000000000003</v>
      </c>
      <c r="CB102" s="945">
        <v>2.7549999999999999</v>
      </c>
      <c r="CC102" s="945">
        <v>2.7649999999999997</v>
      </c>
      <c r="CD102" s="945">
        <v>2.7750000000000004</v>
      </c>
      <c r="CE102" s="945">
        <v>2.7949999999999999</v>
      </c>
      <c r="CF102" s="945">
        <v>2.8049999999999997</v>
      </c>
      <c r="CG102" s="945">
        <v>2.8150000000000004</v>
      </c>
      <c r="CH102" s="945">
        <v>2.83</v>
      </c>
      <c r="CI102" s="945">
        <v>2.8449999999999998</v>
      </c>
      <c r="CJ102" s="945">
        <v>2.8600000000000003</v>
      </c>
      <c r="CK102" s="945">
        <v>2.87</v>
      </c>
      <c r="CL102" s="945">
        <v>2.88</v>
      </c>
      <c r="CM102" s="945">
        <v>2.9</v>
      </c>
      <c r="CN102" s="945">
        <v>2.91</v>
      </c>
      <c r="CO102" s="945">
        <v>2.92</v>
      </c>
      <c r="CP102" s="945">
        <v>2.9350000000000001</v>
      </c>
      <c r="CQ102" s="945">
        <v>2.95</v>
      </c>
      <c r="CR102" s="945">
        <v>2.96</v>
      </c>
      <c r="CS102" s="945">
        <v>2.9699999999999998</v>
      </c>
      <c r="CT102" s="945">
        <v>2.9849999999999999</v>
      </c>
      <c r="CU102" s="945">
        <v>2.9950000000000001</v>
      </c>
      <c r="CV102" s="945">
        <v>3.01</v>
      </c>
      <c r="CW102" s="945">
        <v>3.0249999999999999</v>
      </c>
      <c r="CX102" s="945">
        <v>3.0350000000000001</v>
      </c>
      <c r="CY102" s="945">
        <v>3.0449999999999999</v>
      </c>
      <c r="CZ102" s="945">
        <v>3.0550000000000002</v>
      </c>
      <c r="DA102" s="945">
        <v>3.0700000000000003</v>
      </c>
      <c r="DB102" s="945">
        <v>3.085</v>
      </c>
      <c r="DC102" s="945">
        <v>3.0950000000000002</v>
      </c>
      <c r="DD102" s="945">
        <v>3.11</v>
      </c>
      <c r="DE102" s="945">
        <v>3.12</v>
      </c>
      <c r="DF102" s="945">
        <v>3.13</v>
      </c>
      <c r="DG102" s="945">
        <v>3.14</v>
      </c>
      <c r="DH102" s="945">
        <v>3.15</v>
      </c>
      <c r="DI102" s="945">
        <v>3.165</v>
      </c>
      <c r="DJ102" s="945">
        <v>3.1799999999999997</v>
      </c>
      <c r="DK102" s="945">
        <v>3.19</v>
      </c>
      <c r="DL102" s="945">
        <v>3.2</v>
      </c>
      <c r="DM102" s="945">
        <v>3.2149999999999999</v>
      </c>
      <c r="DN102" s="945">
        <v>3.2249999999999996</v>
      </c>
      <c r="DO102" s="945">
        <v>3.2350000000000003</v>
      </c>
      <c r="DP102" s="945">
        <v>3.2450000000000001</v>
      </c>
      <c r="DQ102" s="945">
        <v>3.2549999999999999</v>
      </c>
      <c r="DR102" s="945">
        <v>3.27</v>
      </c>
    </row>
    <row r="103" spans="1:122" s="131" customFormat="1" ht="12.75">
      <c r="A103" s="364"/>
      <c r="BT103" s="947"/>
    </row>
    <row r="104" spans="1:122" s="131" customFormat="1" ht="12.75">
      <c r="A104" s="364"/>
      <c r="BT104" s="947"/>
    </row>
    <row r="105" spans="1:122" s="131" customFormat="1" ht="12.75">
      <c r="A105" s="364"/>
      <c r="BT105" s="947"/>
    </row>
    <row r="106" spans="1:122" s="131" customFormat="1" ht="12.75">
      <c r="A106" s="364"/>
      <c r="BT106" s="947"/>
    </row>
    <row r="107" spans="1:122" s="131" customFormat="1" ht="12.75">
      <c r="A107" s="364"/>
      <c r="BT107" s="947"/>
    </row>
    <row r="108" spans="1:122" s="131" customFormat="1" ht="12.75">
      <c r="A108" s="364"/>
      <c r="BT108" s="947"/>
    </row>
    <row r="109" spans="1:122" s="131" customFormat="1" ht="12.75">
      <c r="A109" s="364"/>
      <c r="BT109" s="947"/>
    </row>
    <row r="110" spans="1:122" s="131" customFormat="1" ht="12.75">
      <c r="A110" s="364"/>
      <c r="BT110" s="947"/>
    </row>
    <row r="111" spans="1:122" s="131" customFormat="1" ht="12.75">
      <c r="A111" s="364"/>
      <c r="BT111" s="947"/>
    </row>
    <row r="112" spans="1:122" s="131" customFormat="1" ht="12.75">
      <c r="A112" s="364"/>
      <c r="BT112" s="947"/>
    </row>
    <row r="113" spans="1:72" s="131" customFormat="1" ht="12.75">
      <c r="A113" s="364"/>
      <c r="BT113" s="947"/>
    </row>
    <row r="114" spans="1:72" s="131" customFormat="1" ht="12.75">
      <c r="A114" s="364"/>
      <c r="BT114" s="947"/>
    </row>
    <row r="115" spans="1:72" s="131" customFormat="1" ht="12.75">
      <c r="A115" s="364"/>
      <c r="BT115" s="947"/>
    </row>
    <row r="116" spans="1:72" s="131" customFormat="1" ht="12.75">
      <c r="A116" s="364"/>
      <c r="BT116" s="947"/>
    </row>
    <row r="117" spans="1:72" s="131" customFormat="1" ht="12.75">
      <c r="A117" s="364"/>
      <c r="BT117" s="947"/>
    </row>
    <row r="118" spans="1:72" s="131" customFormat="1" ht="12.75">
      <c r="A118" s="364"/>
      <c r="BT118" s="947"/>
    </row>
    <row r="119" spans="1:72" s="131" customFormat="1" ht="12.75">
      <c r="A119" s="364"/>
      <c r="BT119" s="947"/>
    </row>
    <row r="120" spans="1:72" s="131" customFormat="1" ht="12.75">
      <c r="A120" s="364"/>
      <c r="BT120" s="947"/>
    </row>
    <row r="121" spans="1:72" s="131" customFormat="1" ht="12.75">
      <c r="A121" s="364"/>
      <c r="BT121" s="947"/>
    </row>
    <row r="122" spans="1:72" s="131" customFormat="1" ht="12.75">
      <c r="A122" s="364"/>
      <c r="BT122" s="947"/>
    </row>
    <row r="123" spans="1:72" s="131" customFormat="1" ht="12.75">
      <c r="A123" s="364"/>
      <c r="BT123" s="947"/>
    </row>
    <row r="124" spans="1:72" s="131" customFormat="1" ht="12.75">
      <c r="A124" s="364"/>
      <c r="BT124" s="947"/>
    </row>
  </sheetData>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4"/>
  <dimension ref="A1:DO102"/>
  <sheetViews>
    <sheetView workbookViewId="0">
      <pane xSplit="18" ySplit="26" topLeftCell="S72" activePane="bottomRight" state="frozen"/>
      <selection pane="topRight"/>
      <selection pane="bottomLeft"/>
      <selection pane="bottomRight" activeCell="B2" sqref="B2:V102"/>
    </sheetView>
  </sheetViews>
  <sheetFormatPr baseColWidth="10" defaultColWidth="11" defaultRowHeight="11.25"/>
  <cols>
    <col min="1" max="1" width="6.625" style="138" customWidth="1"/>
    <col min="2" max="119" width="6.625" style="137" customWidth="1"/>
    <col min="120" max="16384" width="11" style="137"/>
  </cols>
  <sheetData>
    <row r="1" spans="1:119" s="134" customFormat="1">
      <c r="A1" s="133"/>
      <c r="B1" s="134">
        <v>1900</v>
      </c>
      <c r="C1" s="134">
        <v>1901</v>
      </c>
      <c r="D1" s="134">
        <v>1902</v>
      </c>
      <c r="E1" s="134">
        <v>1903</v>
      </c>
      <c r="F1" s="134">
        <v>1904</v>
      </c>
      <c r="G1" s="134">
        <v>1905</v>
      </c>
      <c r="H1" s="134">
        <v>1906</v>
      </c>
      <c r="I1" s="134">
        <v>1907</v>
      </c>
      <c r="J1" s="134">
        <v>1908</v>
      </c>
      <c r="K1" s="134">
        <v>1909</v>
      </c>
      <c r="L1" s="134">
        <v>1910</v>
      </c>
      <c r="M1" s="134">
        <v>1911</v>
      </c>
      <c r="N1" s="134">
        <v>1912</v>
      </c>
      <c r="O1" s="134">
        <v>1913</v>
      </c>
      <c r="P1" s="134">
        <v>1914</v>
      </c>
      <c r="Q1" s="134">
        <v>1915</v>
      </c>
      <c r="R1" s="134">
        <v>1916</v>
      </c>
      <c r="S1" s="134">
        <v>1917</v>
      </c>
      <c r="T1" s="134">
        <v>1918</v>
      </c>
      <c r="U1" s="134">
        <v>1919</v>
      </c>
      <c r="V1" s="134">
        <v>1920</v>
      </c>
      <c r="W1" s="134">
        <v>1921</v>
      </c>
      <c r="X1" s="134">
        <v>1922</v>
      </c>
      <c r="Y1" s="134">
        <v>1923</v>
      </c>
      <c r="Z1" s="134">
        <v>1924</v>
      </c>
      <c r="AA1" s="134">
        <v>1925</v>
      </c>
      <c r="AB1" s="134">
        <v>1926</v>
      </c>
      <c r="AC1" s="134">
        <v>1927</v>
      </c>
      <c r="AD1" s="134">
        <v>1928</v>
      </c>
      <c r="AE1" s="134">
        <v>1929</v>
      </c>
      <c r="AF1" s="134">
        <v>1930</v>
      </c>
      <c r="AG1" s="134">
        <v>1931</v>
      </c>
      <c r="AH1" s="134">
        <v>1932</v>
      </c>
      <c r="AI1" s="134">
        <v>1933</v>
      </c>
      <c r="AJ1" s="134">
        <v>1934</v>
      </c>
      <c r="AK1" s="134">
        <v>1935</v>
      </c>
      <c r="AL1" s="134">
        <v>1936</v>
      </c>
      <c r="AM1" s="134">
        <v>1937</v>
      </c>
      <c r="AN1" s="134">
        <v>1938</v>
      </c>
      <c r="AO1" s="134">
        <v>1939</v>
      </c>
      <c r="AP1" s="134">
        <v>1940</v>
      </c>
      <c r="AQ1" s="134">
        <v>1941</v>
      </c>
      <c r="AR1" s="134">
        <v>1942</v>
      </c>
      <c r="AS1" s="134">
        <v>1943</v>
      </c>
      <c r="AT1" s="134">
        <v>1944</v>
      </c>
      <c r="AU1" s="134">
        <v>1945</v>
      </c>
      <c r="AV1" s="134">
        <v>1946</v>
      </c>
      <c r="AW1" s="134">
        <v>1947</v>
      </c>
      <c r="AX1" s="134">
        <v>1948</v>
      </c>
      <c r="AY1" s="134">
        <v>1949</v>
      </c>
      <c r="AZ1" s="134">
        <v>1950</v>
      </c>
      <c r="BA1" s="134">
        <v>1951</v>
      </c>
      <c r="BB1" s="134">
        <v>1952</v>
      </c>
      <c r="BC1" s="134">
        <v>1953</v>
      </c>
      <c r="BD1" s="134">
        <v>1954</v>
      </c>
      <c r="BE1" s="134">
        <v>1955</v>
      </c>
      <c r="BF1" s="134">
        <v>1956</v>
      </c>
      <c r="BG1" s="134">
        <v>1957</v>
      </c>
      <c r="BH1" s="134">
        <v>1958</v>
      </c>
      <c r="BI1" s="134">
        <v>1959</v>
      </c>
      <c r="BJ1" s="134">
        <v>1960</v>
      </c>
      <c r="BK1" s="134">
        <v>1961</v>
      </c>
      <c r="BL1" s="134">
        <v>1962</v>
      </c>
      <c r="BM1" s="134">
        <v>1963</v>
      </c>
      <c r="BN1" s="134">
        <v>1964</v>
      </c>
      <c r="BO1" s="134">
        <v>1965</v>
      </c>
      <c r="BP1" s="134">
        <v>1966</v>
      </c>
      <c r="BQ1" s="134">
        <v>1967</v>
      </c>
      <c r="BR1" s="134">
        <v>1968</v>
      </c>
      <c r="BS1" s="134">
        <v>1969</v>
      </c>
      <c r="BT1" s="134">
        <v>1970</v>
      </c>
      <c r="BU1" s="134">
        <v>1971</v>
      </c>
      <c r="BV1" s="134">
        <v>1972</v>
      </c>
      <c r="BW1" s="134">
        <v>1973</v>
      </c>
      <c r="BX1" s="134">
        <v>1974</v>
      </c>
      <c r="BY1" s="134">
        <v>1975</v>
      </c>
      <c r="BZ1" s="134">
        <v>1976</v>
      </c>
      <c r="CA1" s="134">
        <v>1977</v>
      </c>
      <c r="CB1" s="134">
        <v>1978</v>
      </c>
      <c r="CC1" s="134">
        <v>1979</v>
      </c>
      <c r="CD1" s="134">
        <v>1980</v>
      </c>
      <c r="CE1" s="134">
        <v>1981</v>
      </c>
      <c r="CF1" s="134">
        <v>1982</v>
      </c>
      <c r="CG1" s="134">
        <v>1983</v>
      </c>
      <c r="CH1" s="134">
        <v>1984</v>
      </c>
      <c r="CI1" s="134">
        <v>1985</v>
      </c>
      <c r="CJ1" s="134">
        <v>1986</v>
      </c>
      <c r="CK1" s="134">
        <v>1987</v>
      </c>
      <c r="CL1" s="134">
        <v>1988</v>
      </c>
      <c r="CM1" s="134">
        <v>1989</v>
      </c>
      <c r="CN1" s="134">
        <v>1990</v>
      </c>
      <c r="CO1" s="134">
        <v>1991</v>
      </c>
      <c r="CP1" s="134">
        <v>1992</v>
      </c>
      <c r="CQ1" s="134">
        <v>1993</v>
      </c>
      <c r="CR1" s="134">
        <v>1994</v>
      </c>
      <c r="CS1" s="134">
        <v>1995</v>
      </c>
      <c r="CT1" s="134">
        <v>1996</v>
      </c>
      <c r="CU1" s="134">
        <v>1997</v>
      </c>
      <c r="CV1" s="134">
        <v>1998</v>
      </c>
      <c r="CW1" s="134">
        <v>1999</v>
      </c>
      <c r="CX1" s="134">
        <v>2000</v>
      </c>
      <c r="CY1" s="134">
        <v>2001</v>
      </c>
      <c r="CZ1" s="134">
        <v>2002</v>
      </c>
      <c r="DA1" s="134">
        <v>2003</v>
      </c>
      <c r="DB1" s="134">
        <v>2004</v>
      </c>
      <c r="DC1" s="134">
        <v>2005</v>
      </c>
      <c r="DD1" s="134">
        <v>2006</v>
      </c>
      <c r="DE1" s="134">
        <v>2007</v>
      </c>
      <c r="DF1" s="134">
        <v>2008</v>
      </c>
      <c r="DG1" s="134">
        <v>2009</v>
      </c>
      <c r="DH1" s="134">
        <v>2010</v>
      </c>
      <c r="DI1" s="134">
        <v>2011</v>
      </c>
      <c r="DJ1" s="134">
        <v>2012</v>
      </c>
      <c r="DK1" s="134">
        <v>2013</v>
      </c>
      <c r="DL1" s="134">
        <v>2014</v>
      </c>
      <c r="DM1" s="134">
        <v>2015</v>
      </c>
      <c r="DN1" s="134">
        <v>2016</v>
      </c>
      <c r="DO1" s="134">
        <v>2017</v>
      </c>
    </row>
    <row r="2" spans="1:119">
      <c r="A2" s="135">
        <v>0</v>
      </c>
      <c r="B2" s="136"/>
      <c r="C2" s="136"/>
      <c r="D2" s="136"/>
      <c r="E2" s="136"/>
      <c r="F2" s="136"/>
      <c r="G2" s="136"/>
      <c r="H2" s="136"/>
      <c r="I2" s="136"/>
      <c r="J2" s="136"/>
      <c r="K2" s="136"/>
      <c r="L2" s="136"/>
      <c r="M2" s="136"/>
      <c r="N2" s="136"/>
      <c r="O2" s="136"/>
      <c r="P2" s="136"/>
      <c r="Q2" s="136"/>
      <c r="R2" s="136"/>
      <c r="S2" s="136"/>
      <c r="T2" s="136"/>
      <c r="U2" s="136"/>
      <c r="V2" s="136"/>
      <c r="W2" s="136">
        <v>100000</v>
      </c>
      <c r="X2" s="136">
        <v>100000</v>
      </c>
      <c r="Y2" s="136">
        <v>100000</v>
      </c>
      <c r="Z2" s="136">
        <v>100000</v>
      </c>
      <c r="AA2" s="136">
        <v>100000</v>
      </c>
      <c r="AB2" s="136">
        <v>100000</v>
      </c>
      <c r="AC2" s="136">
        <v>100000</v>
      </c>
      <c r="AD2" s="136">
        <v>100000</v>
      </c>
      <c r="AE2" s="136">
        <v>100000</v>
      </c>
      <c r="AF2" s="136">
        <v>100000</v>
      </c>
      <c r="AG2" s="136">
        <v>100000</v>
      </c>
      <c r="AH2" s="136">
        <v>100000</v>
      </c>
      <c r="AI2" s="136">
        <v>100000</v>
      </c>
      <c r="AJ2" s="136">
        <v>100000</v>
      </c>
      <c r="AK2" s="136">
        <v>100000</v>
      </c>
      <c r="AL2" s="136">
        <v>100000</v>
      </c>
      <c r="AM2" s="136">
        <v>100000</v>
      </c>
      <c r="AN2" s="136">
        <v>100000</v>
      </c>
      <c r="AO2" s="136">
        <v>100000</v>
      </c>
      <c r="AP2" s="136">
        <v>100000</v>
      </c>
      <c r="AQ2" s="136">
        <v>100000</v>
      </c>
      <c r="AR2" s="136">
        <v>100000</v>
      </c>
      <c r="AS2" s="136">
        <v>100000</v>
      </c>
      <c r="AT2" s="136">
        <v>100000</v>
      </c>
      <c r="AU2" s="136">
        <v>100000</v>
      </c>
      <c r="AV2" s="136">
        <v>100000</v>
      </c>
      <c r="AW2" s="136">
        <v>100000</v>
      </c>
      <c r="AX2" s="136">
        <v>100000</v>
      </c>
      <c r="AY2" s="136">
        <v>100000</v>
      </c>
      <c r="AZ2" s="136">
        <v>100000</v>
      </c>
      <c r="BA2" s="136">
        <v>100000</v>
      </c>
      <c r="BB2" s="136">
        <v>100000</v>
      </c>
      <c r="BC2" s="136">
        <v>100000</v>
      </c>
      <c r="BD2" s="136">
        <v>100000</v>
      </c>
      <c r="BE2" s="136">
        <v>100000</v>
      </c>
      <c r="BF2" s="136">
        <v>100000</v>
      </c>
      <c r="BG2" s="136">
        <v>100000</v>
      </c>
      <c r="BH2" s="136">
        <v>100000</v>
      </c>
      <c r="BI2" s="136">
        <v>100000</v>
      </c>
      <c r="BJ2" s="136">
        <v>100000</v>
      </c>
      <c r="BK2" s="136">
        <v>100000</v>
      </c>
      <c r="BL2" s="136">
        <v>100000</v>
      </c>
      <c r="BM2" s="136">
        <v>100000</v>
      </c>
      <c r="BN2" s="136">
        <v>100000</v>
      </c>
      <c r="BO2" s="136">
        <v>100000</v>
      </c>
      <c r="BP2" s="136">
        <v>100000</v>
      </c>
      <c r="BQ2" s="136">
        <v>100000</v>
      </c>
      <c r="BR2" s="136">
        <v>100000</v>
      </c>
      <c r="BS2" s="136">
        <v>100000</v>
      </c>
      <c r="BT2" s="136">
        <v>100000</v>
      </c>
      <c r="BU2" s="136">
        <v>100000</v>
      </c>
      <c r="BV2" s="136">
        <v>100000</v>
      </c>
      <c r="BW2" s="136">
        <v>100000</v>
      </c>
      <c r="BX2" s="136">
        <v>100000</v>
      </c>
      <c r="BY2" s="136">
        <v>100000</v>
      </c>
      <c r="BZ2" s="136">
        <v>100000</v>
      </c>
      <c r="CA2" s="136">
        <v>100000</v>
      </c>
      <c r="CB2" s="136">
        <v>100000</v>
      </c>
      <c r="CC2" s="136">
        <v>100000</v>
      </c>
      <c r="CD2" s="136">
        <v>100000</v>
      </c>
      <c r="CE2" s="136">
        <v>100000</v>
      </c>
      <c r="CF2" s="136">
        <v>100000</v>
      </c>
      <c r="CG2" s="136">
        <v>100000</v>
      </c>
      <c r="CH2" s="136">
        <v>100000</v>
      </c>
      <c r="CI2" s="136">
        <v>100000</v>
      </c>
      <c r="CJ2" s="136">
        <v>100000</v>
      </c>
      <c r="CK2" s="136">
        <v>100000</v>
      </c>
      <c r="CL2" s="136">
        <v>100000</v>
      </c>
      <c r="CM2" s="136">
        <v>100000</v>
      </c>
      <c r="CN2" s="136">
        <v>100000</v>
      </c>
      <c r="CO2" s="136">
        <v>100000</v>
      </c>
      <c r="CP2" s="136">
        <v>100000</v>
      </c>
      <c r="CQ2" s="136">
        <v>100000</v>
      </c>
      <c r="CR2" s="136">
        <v>100000</v>
      </c>
      <c r="CS2" s="136">
        <v>100000</v>
      </c>
      <c r="CT2" s="136">
        <v>100000</v>
      </c>
      <c r="CU2" s="136">
        <v>100000</v>
      </c>
      <c r="CV2" s="136">
        <v>100000</v>
      </c>
      <c r="CW2" s="136">
        <v>100000</v>
      </c>
      <c r="CX2" s="136">
        <v>100000</v>
      </c>
      <c r="CY2" s="136">
        <v>100000</v>
      </c>
      <c r="CZ2" s="136">
        <v>100000</v>
      </c>
      <c r="DA2" s="136">
        <v>100000</v>
      </c>
      <c r="DB2" s="136">
        <v>100000</v>
      </c>
      <c r="DC2" s="136">
        <v>100000</v>
      </c>
      <c r="DD2" s="136">
        <v>100000</v>
      </c>
      <c r="DE2" s="136">
        <v>100000</v>
      </c>
      <c r="DF2" s="136">
        <v>100000</v>
      </c>
      <c r="DG2" s="136">
        <v>100000</v>
      </c>
      <c r="DH2" s="136">
        <v>100000</v>
      </c>
      <c r="DI2" s="136">
        <v>100000</v>
      </c>
      <c r="DJ2" s="136">
        <v>100000</v>
      </c>
      <c r="DK2" s="136">
        <v>100000</v>
      </c>
      <c r="DL2" s="136">
        <v>100000</v>
      </c>
      <c r="DM2" s="136">
        <v>100000</v>
      </c>
      <c r="DN2" s="136">
        <v>100000</v>
      </c>
      <c r="DO2" s="136">
        <v>100000</v>
      </c>
    </row>
    <row r="3" spans="1:119">
      <c r="A3" s="135">
        <v>1</v>
      </c>
      <c r="B3" s="136"/>
      <c r="C3" s="136"/>
      <c r="D3" s="136"/>
      <c r="E3" s="136"/>
      <c r="F3" s="136"/>
      <c r="G3" s="136"/>
      <c r="H3" s="136"/>
      <c r="I3" s="136"/>
      <c r="J3" s="136"/>
      <c r="K3" s="136"/>
      <c r="L3" s="136"/>
      <c r="M3" s="136"/>
      <c r="N3" s="136"/>
      <c r="O3" s="136"/>
      <c r="P3" s="136"/>
      <c r="Q3" s="136"/>
      <c r="R3" s="136"/>
      <c r="S3" s="136"/>
      <c r="T3" s="136"/>
      <c r="U3" s="136"/>
      <c r="V3" s="136"/>
      <c r="W3" s="136">
        <v>85361</v>
      </c>
      <c r="X3" s="136">
        <v>85800</v>
      </c>
      <c r="Y3" s="136">
        <v>85600</v>
      </c>
      <c r="Z3" s="136">
        <v>88100</v>
      </c>
      <c r="AA3" s="136">
        <v>88400</v>
      </c>
      <c r="AB3" s="136">
        <v>88800</v>
      </c>
      <c r="AC3" s="136">
        <v>89300</v>
      </c>
      <c r="AD3" s="136">
        <v>90100</v>
      </c>
      <c r="AE3" s="136">
        <v>89449</v>
      </c>
      <c r="AF3" s="136">
        <v>90667</v>
      </c>
      <c r="AG3" s="136">
        <v>90946</v>
      </c>
      <c r="AH3" s="136">
        <v>91300</v>
      </c>
      <c r="AI3" s="136">
        <v>91500</v>
      </c>
      <c r="AJ3" s="136">
        <v>92600</v>
      </c>
      <c r="AK3" s="136">
        <v>92370</v>
      </c>
      <c r="AL3" s="136">
        <v>92600</v>
      </c>
      <c r="AM3" s="136">
        <v>92795</v>
      </c>
      <c r="AN3" s="136">
        <v>93179</v>
      </c>
      <c r="AO3" s="136">
        <v>93031</v>
      </c>
      <c r="AP3" s="136">
        <v>93031</v>
      </c>
      <c r="AQ3" s="136">
        <v>93031</v>
      </c>
      <c r="AR3" s="136">
        <v>93031</v>
      </c>
      <c r="AS3" s="136">
        <v>92334</v>
      </c>
      <c r="AT3" s="136">
        <v>91289</v>
      </c>
      <c r="AU3" s="136">
        <v>89547</v>
      </c>
      <c r="AV3" s="136">
        <v>89840</v>
      </c>
      <c r="AW3" s="136">
        <v>89840</v>
      </c>
      <c r="AX3" s="136">
        <v>91832</v>
      </c>
      <c r="AY3" s="136">
        <v>93823</v>
      </c>
      <c r="AZ3" s="136">
        <v>93823</v>
      </c>
      <c r="BA3" s="136">
        <v>93823</v>
      </c>
      <c r="BB3" s="136">
        <v>94536</v>
      </c>
      <c r="BC3" s="136">
        <v>94715</v>
      </c>
      <c r="BD3" s="136">
        <v>95183</v>
      </c>
      <c r="BE3" s="136">
        <v>95225</v>
      </c>
      <c r="BF3" s="136">
        <v>95577</v>
      </c>
      <c r="BG3" s="136">
        <v>95600</v>
      </c>
      <c r="BH3" s="136">
        <v>95868</v>
      </c>
      <c r="BI3" s="136">
        <v>96065</v>
      </c>
      <c r="BJ3" s="136">
        <v>96132</v>
      </c>
      <c r="BK3" s="136">
        <v>96429</v>
      </c>
      <c r="BL3" s="136">
        <v>96699</v>
      </c>
      <c r="BM3" s="136">
        <v>96914</v>
      </c>
      <c r="BN3" s="136">
        <v>97182</v>
      </c>
      <c r="BO3" s="136">
        <v>97335</v>
      </c>
      <c r="BP3" s="136">
        <v>97393</v>
      </c>
      <c r="BQ3" s="136">
        <v>97462</v>
      </c>
      <c r="BR3" s="136">
        <v>97516</v>
      </c>
      <c r="BS3" s="136">
        <v>97440</v>
      </c>
      <c r="BT3" s="136">
        <v>97465</v>
      </c>
      <c r="BU3" s="136">
        <v>97534</v>
      </c>
      <c r="BV3" s="136">
        <v>97595</v>
      </c>
      <c r="BW3" s="136">
        <v>97605</v>
      </c>
      <c r="BX3" s="136">
        <v>97718</v>
      </c>
      <c r="BY3" s="136">
        <v>97880</v>
      </c>
      <c r="BZ3" s="136">
        <v>98159</v>
      </c>
      <c r="CA3" s="136">
        <v>98319</v>
      </c>
      <c r="CB3" s="136">
        <v>98375</v>
      </c>
      <c r="CC3" s="136">
        <v>98518</v>
      </c>
      <c r="CD3" s="136">
        <v>98581</v>
      </c>
      <c r="CE3" s="136">
        <v>98658</v>
      </c>
      <c r="CF3" s="136">
        <v>98786</v>
      </c>
      <c r="CG3" s="136">
        <v>98841</v>
      </c>
      <c r="CH3" s="136">
        <v>98926</v>
      </c>
      <c r="CI3" s="136">
        <v>98981</v>
      </c>
      <c r="CJ3" s="136">
        <v>99017</v>
      </c>
      <c r="CK3" s="136">
        <v>99046</v>
      </c>
      <c r="CL3" s="136">
        <v>99128</v>
      </c>
      <c r="CM3" s="136">
        <v>99142</v>
      </c>
      <c r="CN3" s="136">
        <v>99196</v>
      </c>
      <c r="CO3" s="136">
        <v>99271</v>
      </c>
      <c r="CP3" s="136">
        <v>99325</v>
      </c>
      <c r="CQ3" s="136">
        <v>99366</v>
      </c>
      <c r="CR3" s="136">
        <v>99383</v>
      </c>
      <c r="CS3" s="136">
        <v>99420</v>
      </c>
      <c r="CT3" s="136">
        <v>99444</v>
      </c>
      <c r="CU3" s="136">
        <v>99464</v>
      </c>
      <c r="CV3" s="136">
        <v>99487</v>
      </c>
      <c r="CW3" s="136">
        <v>99500</v>
      </c>
      <c r="CX3" s="136">
        <v>99530</v>
      </c>
      <c r="CY3" s="136">
        <v>99526</v>
      </c>
      <c r="CZ3" s="136">
        <v>99545</v>
      </c>
      <c r="DA3" s="136">
        <v>99531</v>
      </c>
      <c r="DB3" s="136">
        <v>99559</v>
      </c>
      <c r="DC3" s="136">
        <v>99574</v>
      </c>
      <c r="DD3" s="136">
        <v>99577</v>
      </c>
      <c r="DE3" s="136">
        <v>99572</v>
      </c>
      <c r="DF3" s="136">
        <v>99609</v>
      </c>
      <c r="DG3" s="136">
        <v>99611</v>
      </c>
      <c r="DH3" s="136">
        <v>99619</v>
      </c>
      <c r="DI3" s="136">
        <v>99614</v>
      </c>
      <c r="DJ3" s="136">
        <v>99651</v>
      </c>
      <c r="DK3" s="136">
        <v>99646</v>
      </c>
      <c r="DL3" s="136">
        <v>99645</v>
      </c>
      <c r="DM3" s="136">
        <v>99662</v>
      </c>
      <c r="DN3" s="136">
        <v>99678</v>
      </c>
      <c r="DO3" s="136">
        <v>99694</v>
      </c>
    </row>
    <row r="4" spans="1:119">
      <c r="A4" s="135">
        <v>2</v>
      </c>
      <c r="B4" s="136"/>
      <c r="C4" s="136"/>
      <c r="D4" s="136"/>
      <c r="E4" s="136"/>
      <c r="F4" s="136"/>
      <c r="G4" s="136"/>
      <c r="H4" s="136"/>
      <c r="I4" s="136"/>
      <c r="J4" s="136"/>
      <c r="K4" s="136"/>
      <c r="L4" s="136"/>
      <c r="M4" s="136"/>
      <c r="N4" s="136"/>
      <c r="O4" s="136"/>
      <c r="P4" s="136"/>
      <c r="Q4" s="136"/>
      <c r="R4" s="136"/>
      <c r="S4" s="136"/>
      <c r="T4" s="136"/>
      <c r="U4" s="136"/>
      <c r="V4" s="136"/>
      <c r="W4" s="136">
        <v>83660</v>
      </c>
      <c r="X4" s="136">
        <v>84066</v>
      </c>
      <c r="Y4" s="136">
        <v>84214</v>
      </c>
      <c r="Z4" s="136">
        <v>86674</v>
      </c>
      <c r="AA4" s="136">
        <v>86969</v>
      </c>
      <c r="AB4" s="136">
        <v>87467</v>
      </c>
      <c r="AC4" s="136">
        <v>88200</v>
      </c>
      <c r="AD4" s="136">
        <v>88917</v>
      </c>
      <c r="AE4" s="136">
        <v>88543</v>
      </c>
      <c r="AF4" s="136">
        <v>89776</v>
      </c>
      <c r="AG4" s="136">
        <v>90104</v>
      </c>
      <c r="AH4" s="136">
        <v>90455</v>
      </c>
      <c r="AI4" s="136">
        <v>90653</v>
      </c>
      <c r="AJ4" s="136">
        <v>91833</v>
      </c>
      <c r="AK4" s="136">
        <v>91628</v>
      </c>
      <c r="AL4" s="136">
        <v>91876</v>
      </c>
      <c r="AM4" s="136">
        <v>92108</v>
      </c>
      <c r="AN4" s="136">
        <v>92474</v>
      </c>
      <c r="AO4" s="136">
        <v>92328</v>
      </c>
      <c r="AP4" s="136">
        <v>92328</v>
      </c>
      <c r="AQ4" s="136">
        <v>92328</v>
      </c>
      <c r="AR4" s="136">
        <v>92257</v>
      </c>
      <c r="AS4" s="136">
        <v>91461</v>
      </c>
      <c r="AT4" s="136">
        <v>90253</v>
      </c>
      <c r="AU4" s="136">
        <v>88629</v>
      </c>
      <c r="AV4" s="136">
        <v>88919</v>
      </c>
      <c r="AW4" s="136">
        <v>89100</v>
      </c>
      <c r="AX4" s="136">
        <v>91449</v>
      </c>
      <c r="AY4" s="136">
        <v>93433</v>
      </c>
      <c r="AZ4" s="136">
        <v>93433</v>
      </c>
      <c r="BA4" s="136">
        <v>93458</v>
      </c>
      <c r="BB4" s="136">
        <v>94190</v>
      </c>
      <c r="BC4" s="136">
        <v>94406</v>
      </c>
      <c r="BD4" s="136">
        <v>94865</v>
      </c>
      <c r="BE4" s="136">
        <v>94913</v>
      </c>
      <c r="BF4" s="136">
        <v>95271</v>
      </c>
      <c r="BG4" s="136">
        <v>95312</v>
      </c>
      <c r="BH4" s="136">
        <v>95587</v>
      </c>
      <c r="BI4" s="136">
        <v>95812</v>
      </c>
      <c r="BJ4" s="136">
        <v>95895</v>
      </c>
      <c r="BK4" s="136">
        <v>96201</v>
      </c>
      <c r="BL4" s="136">
        <v>96477</v>
      </c>
      <c r="BM4" s="136">
        <v>96732</v>
      </c>
      <c r="BN4" s="136">
        <v>96990</v>
      </c>
      <c r="BO4" s="136">
        <v>97158</v>
      </c>
      <c r="BP4" s="136">
        <v>97215</v>
      </c>
      <c r="BQ4" s="136">
        <v>97298</v>
      </c>
      <c r="BR4" s="136">
        <v>97332</v>
      </c>
      <c r="BS4" s="136">
        <v>97281</v>
      </c>
      <c r="BT4" s="136">
        <v>97324</v>
      </c>
      <c r="BU4" s="136">
        <v>97397</v>
      </c>
      <c r="BV4" s="136">
        <v>97472</v>
      </c>
      <c r="BW4" s="136">
        <v>97480</v>
      </c>
      <c r="BX4" s="136">
        <v>97594</v>
      </c>
      <c r="BY4" s="136">
        <v>97767</v>
      </c>
      <c r="BZ4" s="136">
        <v>98047</v>
      </c>
      <c r="CA4" s="136">
        <v>98214</v>
      </c>
      <c r="CB4" s="136">
        <v>98270</v>
      </c>
      <c r="CC4" s="136">
        <v>98425</v>
      </c>
      <c r="CD4" s="136">
        <v>98483</v>
      </c>
      <c r="CE4" s="136">
        <v>98557</v>
      </c>
      <c r="CF4" s="136">
        <v>98694</v>
      </c>
      <c r="CG4" s="136">
        <v>98756</v>
      </c>
      <c r="CH4" s="136">
        <v>98839</v>
      </c>
      <c r="CI4" s="136">
        <v>98910</v>
      </c>
      <c r="CJ4" s="136">
        <v>98936</v>
      </c>
      <c r="CK4" s="136">
        <v>98975</v>
      </c>
      <c r="CL4" s="136">
        <v>99064</v>
      </c>
      <c r="CM4" s="136">
        <v>99075</v>
      </c>
      <c r="CN4" s="136">
        <v>99133</v>
      </c>
      <c r="CO4" s="136">
        <v>99220</v>
      </c>
      <c r="CP4" s="136">
        <v>99271</v>
      </c>
      <c r="CQ4" s="136">
        <v>99315</v>
      </c>
      <c r="CR4" s="136">
        <v>99326</v>
      </c>
      <c r="CS4" s="136">
        <v>99376</v>
      </c>
      <c r="CT4" s="136">
        <v>99394</v>
      </c>
      <c r="CU4" s="136">
        <v>99420</v>
      </c>
      <c r="CV4" s="136">
        <v>99447</v>
      </c>
      <c r="CW4" s="136">
        <v>99451</v>
      </c>
      <c r="CX4" s="136">
        <v>99489</v>
      </c>
      <c r="CY4" s="136">
        <v>99483</v>
      </c>
      <c r="CZ4" s="136">
        <v>99503</v>
      </c>
      <c r="DA4" s="136">
        <v>99493</v>
      </c>
      <c r="DB4" s="136">
        <v>99528</v>
      </c>
      <c r="DC4" s="136">
        <v>99535</v>
      </c>
      <c r="DD4" s="136">
        <v>99544</v>
      </c>
      <c r="DE4" s="136">
        <v>99540</v>
      </c>
      <c r="DF4" s="136">
        <v>99574</v>
      </c>
      <c r="DG4" s="136">
        <v>99580</v>
      </c>
      <c r="DH4" s="136">
        <v>99590</v>
      </c>
      <c r="DI4" s="136">
        <v>99586</v>
      </c>
      <c r="DJ4" s="136">
        <v>99625</v>
      </c>
      <c r="DK4" s="136">
        <v>99622</v>
      </c>
      <c r="DL4" s="136">
        <v>99624</v>
      </c>
      <c r="DM4" s="136">
        <v>99642</v>
      </c>
      <c r="DN4" s="136">
        <v>99659</v>
      </c>
      <c r="DO4" s="136">
        <v>99675</v>
      </c>
    </row>
    <row r="5" spans="1:119">
      <c r="A5" s="135">
        <v>3</v>
      </c>
      <c r="B5" s="136"/>
      <c r="C5" s="136"/>
      <c r="D5" s="136"/>
      <c r="E5" s="136"/>
      <c r="F5" s="136"/>
      <c r="G5" s="136"/>
      <c r="H5" s="136"/>
      <c r="I5" s="136"/>
      <c r="J5" s="136"/>
      <c r="K5" s="136"/>
      <c r="L5" s="136"/>
      <c r="M5" s="136"/>
      <c r="N5" s="136"/>
      <c r="O5" s="136"/>
      <c r="P5" s="136"/>
      <c r="Q5" s="136"/>
      <c r="R5" s="136"/>
      <c r="S5" s="136"/>
      <c r="T5" s="136"/>
      <c r="U5" s="136"/>
      <c r="V5" s="136"/>
      <c r="W5" s="136">
        <v>82712</v>
      </c>
      <c r="X5" s="136">
        <v>83532</v>
      </c>
      <c r="Y5" s="136">
        <v>83679</v>
      </c>
      <c r="Z5" s="136">
        <v>86122</v>
      </c>
      <c r="AA5" s="136">
        <v>86379</v>
      </c>
      <c r="AB5" s="136">
        <v>86952</v>
      </c>
      <c r="AC5" s="136">
        <v>87594</v>
      </c>
      <c r="AD5" s="136">
        <v>88412</v>
      </c>
      <c r="AE5" s="136">
        <v>88110</v>
      </c>
      <c r="AF5" s="136">
        <v>89372</v>
      </c>
      <c r="AG5" s="136">
        <v>89698</v>
      </c>
      <c r="AH5" s="136">
        <v>90048</v>
      </c>
      <c r="AI5" s="136">
        <v>90174</v>
      </c>
      <c r="AJ5" s="136">
        <v>91339</v>
      </c>
      <c r="AK5" s="136">
        <v>91171</v>
      </c>
      <c r="AL5" s="136">
        <v>91445</v>
      </c>
      <c r="AM5" s="136">
        <v>91640</v>
      </c>
      <c r="AN5" s="136">
        <v>92004</v>
      </c>
      <c r="AO5" s="136">
        <v>91858</v>
      </c>
      <c r="AP5" s="136">
        <v>91858</v>
      </c>
      <c r="AQ5" s="136">
        <v>91811</v>
      </c>
      <c r="AR5" s="136">
        <v>91671</v>
      </c>
      <c r="AS5" s="136">
        <v>90764</v>
      </c>
      <c r="AT5" s="136">
        <v>89728</v>
      </c>
      <c r="AU5" s="136">
        <v>88113</v>
      </c>
      <c r="AV5" s="136">
        <v>88591</v>
      </c>
      <c r="AW5" s="136">
        <v>88880</v>
      </c>
      <c r="AX5" s="136">
        <v>91225</v>
      </c>
      <c r="AY5" s="136">
        <v>93203</v>
      </c>
      <c r="AZ5" s="136">
        <v>93237</v>
      </c>
      <c r="BA5" s="136">
        <v>93280</v>
      </c>
      <c r="BB5" s="136">
        <v>94017</v>
      </c>
      <c r="BC5" s="136">
        <v>94237</v>
      </c>
      <c r="BD5" s="136">
        <v>94712</v>
      </c>
      <c r="BE5" s="136">
        <v>94756</v>
      </c>
      <c r="BF5" s="136">
        <v>95133</v>
      </c>
      <c r="BG5" s="136">
        <v>95161</v>
      </c>
      <c r="BH5" s="136">
        <v>95445</v>
      </c>
      <c r="BI5" s="136">
        <v>95682</v>
      </c>
      <c r="BJ5" s="136">
        <v>95762</v>
      </c>
      <c r="BK5" s="136">
        <v>96076</v>
      </c>
      <c r="BL5" s="136">
        <v>96359</v>
      </c>
      <c r="BM5" s="136">
        <v>96620</v>
      </c>
      <c r="BN5" s="136">
        <v>96880</v>
      </c>
      <c r="BO5" s="136">
        <v>97060</v>
      </c>
      <c r="BP5" s="136">
        <v>97116</v>
      </c>
      <c r="BQ5" s="136">
        <v>97196</v>
      </c>
      <c r="BR5" s="136">
        <v>97238</v>
      </c>
      <c r="BS5" s="136">
        <v>97183</v>
      </c>
      <c r="BT5" s="136">
        <v>97240</v>
      </c>
      <c r="BU5" s="136">
        <v>97310</v>
      </c>
      <c r="BV5" s="136">
        <v>97384</v>
      </c>
      <c r="BW5" s="136">
        <v>97402</v>
      </c>
      <c r="BX5" s="136">
        <v>97517</v>
      </c>
      <c r="BY5" s="136">
        <v>97695</v>
      </c>
      <c r="BZ5" s="136">
        <v>97973</v>
      </c>
      <c r="CA5" s="136">
        <v>98148</v>
      </c>
      <c r="CB5" s="136">
        <v>98205</v>
      </c>
      <c r="CC5" s="136">
        <v>98364</v>
      </c>
      <c r="CD5" s="136">
        <v>98432</v>
      </c>
      <c r="CE5" s="136">
        <v>98506</v>
      </c>
      <c r="CF5" s="136">
        <v>98648</v>
      </c>
      <c r="CG5" s="136">
        <v>98705</v>
      </c>
      <c r="CH5" s="136">
        <v>98791</v>
      </c>
      <c r="CI5" s="136">
        <v>98864</v>
      </c>
      <c r="CJ5" s="136">
        <v>98885</v>
      </c>
      <c r="CK5" s="136">
        <v>98932</v>
      </c>
      <c r="CL5" s="136">
        <v>99019</v>
      </c>
      <c r="CM5" s="136">
        <v>99030</v>
      </c>
      <c r="CN5" s="136">
        <v>99093</v>
      </c>
      <c r="CO5" s="136">
        <v>99182</v>
      </c>
      <c r="CP5" s="136">
        <v>99230</v>
      </c>
      <c r="CQ5" s="136">
        <v>99281</v>
      </c>
      <c r="CR5" s="136">
        <v>99298</v>
      </c>
      <c r="CS5" s="136">
        <v>99347</v>
      </c>
      <c r="CT5" s="136">
        <v>99362</v>
      </c>
      <c r="CU5" s="136">
        <v>99395</v>
      </c>
      <c r="CV5" s="136">
        <v>99417</v>
      </c>
      <c r="CW5" s="136">
        <v>99426</v>
      </c>
      <c r="CX5" s="136">
        <v>99471</v>
      </c>
      <c r="CY5" s="136">
        <v>99461</v>
      </c>
      <c r="CZ5" s="136">
        <v>99483</v>
      </c>
      <c r="DA5" s="136">
        <v>99475</v>
      </c>
      <c r="DB5" s="136">
        <v>99512</v>
      </c>
      <c r="DC5" s="136">
        <v>99514</v>
      </c>
      <c r="DD5" s="136">
        <v>99522</v>
      </c>
      <c r="DE5" s="136">
        <v>99520</v>
      </c>
      <c r="DF5" s="136">
        <v>99556</v>
      </c>
      <c r="DG5" s="136">
        <v>99563</v>
      </c>
      <c r="DH5" s="136">
        <v>99572</v>
      </c>
      <c r="DI5" s="136">
        <v>99576</v>
      </c>
      <c r="DJ5" s="136">
        <v>99609</v>
      </c>
      <c r="DK5" s="136">
        <v>99606</v>
      </c>
      <c r="DL5" s="136">
        <v>99608</v>
      </c>
      <c r="DM5" s="136">
        <v>99627</v>
      </c>
      <c r="DN5" s="136">
        <v>99645</v>
      </c>
      <c r="DO5" s="136">
        <v>99661</v>
      </c>
    </row>
    <row r="6" spans="1:119">
      <c r="A6" s="135">
        <v>4</v>
      </c>
      <c r="B6" s="136"/>
      <c r="C6" s="136"/>
      <c r="D6" s="136"/>
      <c r="E6" s="136"/>
      <c r="F6" s="136"/>
      <c r="G6" s="136"/>
      <c r="H6" s="136"/>
      <c r="I6" s="136"/>
      <c r="J6" s="136"/>
      <c r="K6" s="136"/>
      <c r="L6" s="136"/>
      <c r="M6" s="136"/>
      <c r="N6" s="136"/>
      <c r="O6" s="136"/>
      <c r="P6" s="136"/>
      <c r="Q6" s="136"/>
      <c r="R6" s="136"/>
      <c r="S6" s="136"/>
      <c r="T6" s="136"/>
      <c r="U6" s="136"/>
      <c r="V6" s="136"/>
      <c r="W6" s="136">
        <v>82378</v>
      </c>
      <c r="X6" s="136">
        <v>83194</v>
      </c>
      <c r="Y6" s="136">
        <v>83340</v>
      </c>
      <c r="Z6" s="136">
        <v>85752</v>
      </c>
      <c r="AA6" s="136">
        <v>86024</v>
      </c>
      <c r="AB6" s="136">
        <v>86534</v>
      </c>
      <c r="AC6" s="136">
        <v>87213</v>
      </c>
      <c r="AD6" s="136">
        <v>88082</v>
      </c>
      <c r="AE6" s="136">
        <v>87807</v>
      </c>
      <c r="AF6" s="136">
        <v>89065</v>
      </c>
      <c r="AG6" s="136">
        <v>89390</v>
      </c>
      <c r="AH6" s="136">
        <v>89684</v>
      </c>
      <c r="AI6" s="136">
        <v>89802</v>
      </c>
      <c r="AJ6" s="136">
        <v>90991</v>
      </c>
      <c r="AK6" s="136">
        <v>90845</v>
      </c>
      <c r="AL6" s="136">
        <v>91090</v>
      </c>
      <c r="AM6" s="136">
        <v>91283</v>
      </c>
      <c r="AN6" s="136">
        <v>91646</v>
      </c>
      <c r="AO6" s="136">
        <v>91501</v>
      </c>
      <c r="AP6" s="136">
        <v>91465</v>
      </c>
      <c r="AQ6" s="136">
        <v>91365</v>
      </c>
      <c r="AR6" s="136">
        <v>91136</v>
      </c>
      <c r="AS6" s="136">
        <v>90381</v>
      </c>
      <c r="AT6" s="136">
        <v>89349</v>
      </c>
      <c r="AU6" s="136">
        <v>87877</v>
      </c>
      <c r="AV6" s="136">
        <v>88419</v>
      </c>
      <c r="AW6" s="136">
        <v>88708</v>
      </c>
      <c r="AX6" s="136">
        <v>91048</v>
      </c>
      <c r="AY6" s="136">
        <v>93064</v>
      </c>
      <c r="AZ6" s="136">
        <v>93102</v>
      </c>
      <c r="BA6" s="136">
        <v>93161</v>
      </c>
      <c r="BB6" s="136">
        <v>93894</v>
      </c>
      <c r="BC6" s="136">
        <v>94120</v>
      </c>
      <c r="BD6" s="136">
        <v>94599</v>
      </c>
      <c r="BE6" s="136">
        <v>94655</v>
      </c>
      <c r="BF6" s="136">
        <v>95027</v>
      </c>
      <c r="BG6" s="136">
        <v>95058</v>
      </c>
      <c r="BH6" s="136">
        <v>95341</v>
      </c>
      <c r="BI6" s="136">
        <v>95588</v>
      </c>
      <c r="BJ6" s="136">
        <v>95668</v>
      </c>
      <c r="BK6" s="136">
        <v>95989</v>
      </c>
      <c r="BL6" s="136">
        <v>96271</v>
      </c>
      <c r="BM6" s="136">
        <v>96527</v>
      </c>
      <c r="BN6" s="136">
        <v>96795</v>
      </c>
      <c r="BO6" s="136">
        <v>96978</v>
      </c>
      <c r="BP6" s="136">
        <v>97032</v>
      </c>
      <c r="BQ6" s="136">
        <v>97114</v>
      </c>
      <c r="BR6" s="136">
        <v>97157</v>
      </c>
      <c r="BS6" s="136">
        <v>97101</v>
      </c>
      <c r="BT6" s="136">
        <v>97169</v>
      </c>
      <c r="BU6" s="136">
        <v>97240</v>
      </c>
      <c r="BV6" s="136">
        <v>97320</v>
      </c>
      <c r="BW6" s="136">
        <v>97336</v>
      </c>
      <c r="BX6" s="136">
        <v>97461</v>
      </c>
      <c r="BY6" s="136">
        <v>97637</v>
      </c>
      <c r="BZ6" s="136">
        <v>97919</v>
      </c>
      <c r="CA6" s="136">
        <v>98091</v>
      </c>
      <c r="CB6" s="136">
        <v>98155</v>
      </c>
      <c r="CC6" s="136">
        <v>98310</v>
      </c>
      <c r="CD6" s="136">
        <v>98391</v>
      </c>
      <c r="CE6" s="136">
        <v>98464</v>
      </c>
      <c r="CF6" s="136">
        <v>98613</v>
      </c>
      <c r="CG6" s="136">
        <v>98666</v>
      </c>
      <c r="CH6" s="136">
        <v>98757</v>
      </c>
      <c r="CI6" s="136">
        <v>98829</v>
      </c>
      <c r="CJ6" s="136">
        <v>98847</v>
      </c>
      <c r="CK6" s="136">
        <v>98893</v>
      </c>
      <c r="CL6" s="136">
        <v>98985</v>
      </c>
      <c r="CM6" s="136">
        <v>98999</v>
      </c>
      <c r="CN6" s="136">
        <v>99065</v>
      </c>
      <c r="CO6" s="136">
        <v>99157</v>
      </c>
      <c r="CP6" s="136">
        <v>99203</v>
      </c>
      <c r="CQ6" s="136">
        <v>99256</v>
      </c>
      <c r="CR6" s="136">
        <v>99276</v>
      </c>
      <c r="CS6" s="136">
        <v>99328</v>
      </c>
      <c r="CT6" s="136">
        <v>99340</v>
      </c>
      <c r="CU6" s="136">
        <v>99374</v>
      </c>
      <c r="CV6" s="136">
        <v>99396</v>
      </c>
      <c r="CW6" s="136">
        <v>99405</v>
      </c>
      <c r="CX6" s="136">
        <v>99453</v>
      </c>
      <c r="CY6" s="136">
        <v>99443</v>
      </c>
      <c r="CZ6" s="136">
        <v>99467</v>
      </c>
      <c r="DA6" s="136">
        <v>99459</v>
      </c>
      <c r="DB6" s="136">
        <v>99497</v>
      </c>
      <c r="DC6" s="136">
        <v>99501</v>
      </c>
      <c r="DD6" s="136">
        <v>99508</v>
      </c>
      <c r="DE6" s="136">
        <v>99504</v>
      </c>
      <c r="DF6" s="136">
        <v>99546</v>
      </c>
      <c r="DG6" s="136">
        <v>99549</v>
      </c>
      <c r="DH6" s="136">
        <v>99558</v>
      </c>
      <c r="DI6" s="136">
        <v>99563</v>
      </c>
      <c r="DJ6" s="136">
        <v>99596</v>
      </c>
      <c r="DK6" s="136">
        <v>99594</v>
      </c>
      <c r="DL6" s="136">
        <v>99596</v>
      </c>
      <c r="DM6" s="136">
        <v>99615</v>
      </c>
      <c r="DN6" s="136">
        <v>99634</v>
      </c>
      <c r="DO6" s="136">
        <v>99651</v>
      </c>
    </row>
    <row r="7" spans="1:119">
      <c r="A7" s="135">
        <v>5</v>
      </c>
      <c r="B7" s="136"/>
      <c r="C7" s="136"/>
      <c r="D7" s="136"/>
      <c r="E7" s="136"/>
      <c r="F7" s="136"/>
      <c r="G7" s="136"/>
      <c r="H7" s="136"/>
      <c r="I7" s="136"/>
      <c r="J7" s="136"/>
      <c r="K7" s="136"/>
      <c r="L7" s="136"/>
      <c r="M7" s="136"/>
      <c r="N7" s="136"/>
      <c r="O7" s="136"/>
      <c r="P7" s="136"/>
      <c r="Q7" s="136"/>
      <c r="R7" s="136"/>
      <c r="S7" s="136"/>
      <c r="T7" s="136"/>
      <c r="U7" s="136"/>
      <c r="V7" s="136"/>
      <c r="W7" s="136">
        <v>82117</v>
      </c>
      <c r="X7" s="136">
        <v>82931</v>
      </c>
      <c r="Y7" s="136">
        <v>83060</v>
      </c>
      <c r="Z7" s="136">
        <v>85473</v>
      </c>
      <c r="AA7" s="136">
        <v>85697</v>
      </c>
      <c r="AB7" s="136">
        <v>86234</v>
      </c>
      <c r="AC7" s="136">
        <v>86954</v>
      </c>
      <c r="AD7" s="136">
        <v>87840</v>
      </c>
      <c r="AE7" s="136">
        <v>87567</v>
      </c>
      <c r="AF7" s="136">
        <v>88821</v>
      </c>
      <c r="AG7" s="136">
        <v>89102</v>
      </c>
      <c r="AH7" s="136">
        <v>89390</v>
      </c>
      <c r="AI7" s="136">
        <v>89530</v>
      </c>
      <c r="AJ7" s="136">
        <v>90731</v>
      </c>
      <c r="AK7" s="136">
        <v>90563</v>
      </c>
      <c r="AL7" s="136">
        <v>90808</v>
      </c>
      <c r="AM7" s="136">
        <v>91001</v>
      </c>
      <c r="AN7" s="136">
        <v>91362</v>
      </c>
      <c r="AO7" s="136">
        <v>91189</v>
      </c>
      <c r="AP7" s="136">
        <v>91111</v>
      </c>
      <c r="AQ7" s="136">
        <v>90940</v>
      </c>
      <c r="AR7" s="136">
        <v>90869</v>
      </c>
      <c r="AS7" s="136">
        <v>90116</v>
      </c>
      <c r="AT7" s="136">
        <v>89183</v>
      </c>
      <c r="AU7" s="136">
        <v>87742</v>
      </c>
      <c r="AV7" s="136">
        <v>88284</v>
      </c>
      <c r="AW7" s="136">
        <v>88572</v>
      </c>
      <c r="AX7" s="136">
        <v>90936</v>
      </c>
      <c r="AY7" s="136">
        <v>92952</v>
      </c>
      <c r="AZ7" s="136">
        <v>93004</v>
      </c>
      <c r="BA7" s="136">
        <v>93067</v>
      </c>
      <c r="BB7" s="136">
        <v>93803</v>
      </c>
      <c r="BC7" s="136">
        <v>94032</v>
      </c>
      <c r="BD7" s="136">
        <v>94507</v>
      </c>
      <c r="BE7" s="136">
        <v>94570</v>
      </c>
      <c r="BF7" s="136">
        <v>94943</v>
      </c>
      <c r="BG7" s="136">
        <v>94972</v>
      </c>
      <c r="BH7" s="136">
        <v>95270</v>
      </c>
      <c r="BI7" s="136">
        <v>95513</v>
      </c>
      <c r="BJ7" s="136">
        <v>95590</v>
      </c>
      <c r="BK7" s="136">
        <v>95913</v>
      </c>
      <c r="BL7" s="136">
        <v>96197</v>
      </c>
      <c r="BM7" s="136">
        <v>96452</v>
      </c>
      <c r="BN7" s="136">
        <v>96722</v>
      </c>
      <c r="BO7" s="136">
        <v>96901</v>
      </c>
      <c r="BP7" s="136">
        <v>96955</v>
      </c>
      <c r="BQ7" s="136">
        <v>97044</v>
      </c>
      <c r="BR7" s="136">
        <v>97088</v>
      </c>
      <c r="BS7" s="136">
        <v>97037</v>
      </c>
      <c r="BT7" s="136">
        <v>97114</v>
      </c>
      <c r="BU7" s="136">
        <v>97182</v>
      </c>
      <c r="BV7" s="136">
        <v>97267</v>
      </c>
      <c r="BW7" s="136">
        <v>97284</v>
      </c>
      <c r="BX7" s="136">
        <v>97408</v>
      </c>
      <c r="BY7" s="136">
        <v>97585</v>
      </c>
      <c r="BZ7" s="136">
        <v>97876</v>
      </c>
      <c r="CA7" s="136">
        <v>98050</v>
      </c>
      <c r="CB7" s="136">
        <v>98116</v>
      </c>
      <c r="CC7" s="136">
        <v>98275</v>
      </c>
      <c r="CD7" s="136">
        <v>98355</v>
      </c>
      <c r="CE7" s="136">
        <v>98427</v>
      </c>
      <c r="CF7" s="136">
        <v>98578</v>
      </c>
      <c r="CG7" s="136">
        <v>98637</v>
      </c>
      <c r="CH7" s="136">
        <v>98724</v>
      </c>
      <c r="CI7" s="136">
        <v>98798</v>
      </c>
      <c r="CJ7" s="136">
        <v>98820</v>
      </c>
      <c r="CK7" s="136">
        <v>98866</v>
      </c>
      <c r="CL7" s="136">
        <v>98962</v>
      </c>
      <c r="CM7" s="136">
        <v>98973</v>
      </c>
      <c r="CN7" s="136">
        <v>99042</v>
      </c>
      <c r="CO7" s="136">
        <v>99138</v>
      </c>
      <c r="CP7" s="136">
        <v>99181</v>
      </c>
      <c r="CQ7" s="136">
        <v>99240</v>
      </c>
      <c r="CR7" s="136">
        <v>99257</v>
      </c>
      <c r="CS7" s="136">
        <v>99311</v>
      </c>
      <c r="CT7" s="136">
        <v>99324</v>
      </c>
      <c r="CU7" s="136">
        <v>99362</v>
      </c>
      <c r="CV7" s="136">
        <v>99382</v>
      </c>
      <c r="CW7" s="136">
        <v>99390</v>
      </c>
      <c r="CX7" s="136">
        <v>99439</v>
      </c>
      <c r="CY7" s="136">
        <v>99429</v>
      </c>
      <c r="CZ7" s="136">
        <v>99453</v>
      </c>
      <c r="DA7" s="136">
        <v>99444</v>
      </c>
      <c r="DB7" s="136">
        <v>99484</v>
      </c>
      <c r="DC7" s="136">
        <v>99487</v>
      </c>
      <c r="DD7" s="136">
        <v>99495</v>
      </c>
      <c r="DE7" s="136">
        <v>99492</v>
      </c>
      <c r="DF7" s="136">
        <v>99534</v>
      </c>
      <c r="DG7" s="136">
        <v>99540</v>
      </c>
      <c r="DH7" s="136">
        <v>99546</v>
      </c>
      <c r="DI7" s="136">
        <v>99552</v>
      </c>
      <c r="DJ7" s="136">
        <v>99585</v>
      </c>
      <c r="DK7" s="136">
        <v>99584</v>
      </c>
      <c r="DL7" s="136">
        <v>99587</v>
      </c>
      <c r="DM7" s="136">
        <v>99606</v>
      </c>
      <c r="DN7" s="136">
        <v>99625</v>
      </c>
      <c r="DO7" s="136">
        <v>99643</v>
      </c>
    </row>
    <row r="8" spans="1:119">
      <c r="A8" s="135">
        <v>6</v>
      </c>
      <c r="B8" s="136"/>
      <c r="C8" s="136"/>
      <c r="D8" s="136"/>
      <c r="E8" s="136"/>
      <c r="F8" s="136"/>
      <c r="G8" s="136"/>
      <c r="H8" s="136"/>
      <c r="I8" s="136"/>
      <c r="J8" s="136"/>
      <c r="K8" s="136"/>
      <c r="L8" s="136"/>
      <c r="M8" s="136"/>
      <c r="N8" s="136"/>
      <c r="O8" s="136"/>
      <c r="P8" s="136"/>
      <c r="Q8" s="136"/>
      <c r="R8" s="136"/>
      <c r="S8" s="136"/>
      <c r="T8" s="136"/>
      <c r="U8" s="136"/>
      <c r="V8" s="136"/>
      <c r="W8" s="136">
        <v>81919</v>
      </c>
      <c r="X8" s="136">
        <v>82717</v>
      </c>
      <c r="Y8" s="136">
        <v>82842</v>
      </c>
      <c r="Z8" s="136">
        <v>85211</v>
      </c>
      <c r="AA8" s="136">
        <v>85446</v>
      </c>
      <c r="AB8" s="136">
        <v>86017</v>
      </c>
      <c r="AC8" s="136">
        <v>86752</v>
      </c>
      <c r="AD8" s="136">
        <v>87636</v>
      </c>
      <c r="AE8" s="136">
        <v>87364</v>
      </c>
      <c r="AF8" s="136">
        <v>88579</v>
      </c>
      <c r="AG8" s="136">
        <v>88855</v>
      </c>
      <c r="AH8" s="136">
        <v>89160</v>
      </c>
      <c r="AI8" s="136">
        <v>89313</v>
      </c>
      <c r="AJ8" s="136">
        <v>90493</v>
      </c>
      <c r="AK8" s="136">
        <v>90326</v>
      </c>
      <c r="AL8" s="136">
        <v>90569</v>
      </c>
      <c r="AM8" s="136">
        <v>90762</v>
      </c>
      <c r="AN8" s="136">
        <v>91099</v>
      </c>
      <c r="AO8" s="136">
        <v>90890</v>
      </c>
      <c r="AP8" s="136">
        <v>90752</v>
      </c>
      <c r="AQ8" s="136">
        <v>90733</v>
      </c>
      <c r="AR8" s="136">
        <v>90662</v>
      </c>
      <c r="AS8" s="136">
        <v>89985</v>
      </c>
      <c r="AT8" s="136">
        <v>89075</v>
      </c>
      <c r="AU8" s="136">
        <v>87636</v>
      </c>
      <c r="AV8" s="136">
        <v>88177</v>
      </c>
      <c r="AW8" s="136">
        <v>88488</v>
      </c>
      <c r="AX8" s="136">
        <v>90849</v>
      </c>
      <c r="AY8" s="136">
        <v>92863</v>
      </c>
      <c r="AZ8" s="136">
        <v>92916</v>
      </c>
      <c r="BA8" s="136">
        <v>92986</v>
      </c>
      <c r="BB8" s="136">
        <v>93725</v>
      </c>
      <c r="BC8" s="136">
        <v>93964</v>
      </c>
      <c r="BD8" s="136">
        <v>94432</v>
      </c>
      <c r="BE8" s="136">
        <v>94495</v>
      </c>
      <c r="BF8" s="136">
        <v>94870</v>
      </c>
      <c r="BG8" s="136">
        <v>94904</v>
      </c>
      <c r="BH8" s="136">
        <v>95200</v>
      </c>
      <c r="BI8" s="136">
        <v>95450</v>
      </c>
      <c r="BJ8" s="136">
        <v>95525</v>
      </c>
      <c r="BK8" s="136">
        <v>95844</v>
      </c>
      <c r="BL8" s="136">
        <v>96126</v>
      </c>
      <c r="BM8" s="136">
        <v>96385</v>
      </c>
      <c r="BN8" s="136">
        <v>96647</v>
      </c>
      <c r="BO8" s="136">
        <v>96836</v>
      </c>
      <c r="BP8" s="136">
        <v>96890</v>
      </c>
      <c r="BQ8" s="136">
        <v>96981</v>
      </c>
      <c r="BR8" s="136">
        <v>97031</v>
      </c>
      <c r="BS8" s="136">
        <v>96978</v>
      </c>
      <c r="BT8" s="136">
        <v>97058</v>
      </c>
      <c r="BU8" s="136">
        <v>97128</v>
      </c>
      <c r="BV8" s="136">
        <v>97219</v>
      </c>
      <c r="BW8" s="136">
        <v>97237</v>
      </c>
      <c r="BX8" s="136">
        <v>97361</v>
      </c>
      <c r="BY8" s="136">
        <v>97538</v>
      </c>
      <c r="BZ8" s="136">
        <v>97837</v>
      </c>
      <c r="CA8" s="136">
        <v>98012</v>
      </c>
      <c r="CB8" s="136">
        <v>98083</v>
      </c>
      <c r="CC8" s="136">
        <v>98244</v>
      </c>
      <c r="CD8" s="136">
        <v>98327</v>
      </c>
      <c r="CE8" s="136">
        <v>98396</v>
      </c>
      <c r="CF8" s="136">
        <v>98547</v>
      </c>
      <c r="CG8" s="136">
        <v>98609</v>
      </c>
      <c r="CH8" s="136">
        <v>98696</v>
      </c>
      <c r="CI8" s="136">
        <v>98771</v>
      </c>
      <c r="CJ8" s="136">
        <v>98794</v>
      </c>
      <c r="CK8" s="136">
        <v>98846</v>
      </c>
      <c r="CL8" s="136">
        <v>98943</v>
      </c>
      <c r="CM8" s="136">
        <v>98952</v>
      </c>
      <c r="CN8" s="136">
        <v>99021</v>
      </c>
      <c r="CO8" s="136">
        <v>99123</v>
      </c>
      <c r="CP8" s="136">
        <v>99164</v>
      </c>
      <c r="CQ8" s="136">
        <v>99227</v>
      </c>
      <c r="CR8" s="136">
        <v>99247</v>
      </c>
      <c r="CS8" s="136">
        <v>99297</v>
      </c>
      <c r="CT8" s="136">
        <v>99309</v>
      </c>
      <c r="CU8" s="136">
        <v>99349</v>
      </c>
      <c r="CV8" s="136">
        <v>99369</v>
      </c>
      <c r="CW8" s="136">
        <v>99376</v>
      </c>
      <c r="CX8" s="136">
        <v>99429</v>
      </c>
      <c r="CY8" s="136">
        <v>99413</v>
      </c>
      <c r="CZ8" s="136">
        <v>99442</v>
      </c>
      <c r="DA8" s="136">
        <v>99433</v>
      </c>
      <c r="DB8" s="136">
        <v>99473</v>
      </c>
      <c r="DC8" s="136">
        <v>99475</v>
      </c>
      <c r="DD8" s="136">
        <v>99484</v>
      </c>
      <c r="DE8" s="136">
        <v>99481</v>
      </c>
      <c r="DF8" s="136">
        <v>99525</v>
      </c>
      <c r="DG8" s="136">
        <v>99531</v>
      </c>
      <c r="DH8" s="136">
        <v>99536</v>
      </c>
      <c r="DI8" s="136">
        <v>99543</v>
      </c>
      <c r="DJ8" s="136">
        <v>99577</v>
      </c>
      <c r="DK8" s="136">
        <v>99575</v>
      </c>
      <c r="DL8" s="136">
        <v>99579</v>
      </c>
      <c r="DM8" s="136">
        <v>99599</v>
      </c>
      <c r="DN8" s="136">
        <v>99618</v>
      </c>
      <c r="DO8" s="136">
        <v>99636</v>
      </c>
    </row>
    <row r="9" spans="1:119">
      <c r="A9" s="135">
        <v>7</v>
      </c>
      <c r="B9" s="136"/>
      <c r="C9" s="136"/>
      <c r="D9" s="136"/>
      <c r="E9" s="136"/>
      <c r="F9" s="136"/>
      <c r="G9" s="136"/>
      <c r="H9" s="136"/>
      <c r="I9" s="136"/>
      <c r="J9" s="136"/>
      <c r="K9" s="136"/>
      <c r="L9" s="136"/>
      <c r="M9" s="136"/>
      <c r="N9" s="136"/>
      <c r="O9" s="136"/>
      <c r="P9" s="136"/>
      <c r="Q9" s="136"/>
      <c r="R9" s="136"/>
      <c r="S9" s="136"/>
      <c r="T9" s="136"/>
      <c r="U9" s="136"/>
      <c r="V9" s="136"/>
      <c r="W9" s="136">
        <v>81745</v>
      </c>
      <c r="X9" s="136">
        <v>82529</v>
      </c>
      <c r="Y9" s="136">
        <v>82621</v>
      </c>
      <c r="Z9" s="136">
        <v>84982</v>
      </c>
      <c r="AA9" s="136">
        <v>85248</v>
      </c>
      <c r="AB9" s="136">
        <v>85834</v>
      </c>
      <c r="AC9" s="136">
        <v>86567</v>
      </c>
      <c r="AD9" s="136">
        <v>87450</v>
      </c>
      <c r="AE9" s="136">
        <v>87145</v>
      </c>
      <c r="AF9" s="136">
        <v>88353</v>
      </c>
      <c r="AG9" s="136">
        <v>88645</v>
      </c>
      <c r="AH9" s="136">
        <v>88962</v>
      </c>
      <c r="AI9" s="136">
        <v>89098</v>
      </c>
      <c r="AJ9" s="136">
        <v>90275</v>
      </c>
      <c r="AK9" s="136">
        <v>90108</v>
      </c>
      <c r="AL9" s="136">
        <v>90351</v>
      </c>
      <c r="AM9" s="136">
        <v>90522</v>
      </c>
      <c r="AN9" s="136">
        <v>90825</v>
      </c>
      <c r="AO9" s="136">
        <v>90562</v>
      </c>
      <c r="AP9" s="136">
        <v>90579</v>
      </c>
      <c r="AQ9" s="136">
        <v>90560</v>
      </c>
      <c r="AR9" s="136">
        <v>90552</v>
      </c>
      <c r="AS9" s="136">
        <v>89894</v>
      </c>
      <c r="AT9" s="136">
        <v>88985</v>
      </c>
      <c r="AU9" s="136">
        <v>87547</v>
      </c>
      <c r="AV9" s="136">
        <v>88102</v>
      </c>
      <c r="AW9" s="136">
        <v>88417</v>
      </c>
      <c r="AX9" s="136">
        <v>90778</v>
      </c>
      <c r="AY9" s="136">
        <v>92789</v>
      </c>
      <c r="AZ9" s="136">
        <v>92839</v>
      </c>
      <c r="BA9" s="136">
        <v>92916</v>
      </c>
      <c r="BB9" s="136">
        <v>93661</v>
      </c>
      <c r="BC9" s="136">
        <v>93904</v>
      </c>
      <c r="BD9" s="136">
        <v>94362</v>
      </c>
      <c r="BE9" s="136">
        <v>94427</v>
      </c>
      <c r="BF9" s="136">
        <v>94807</v>
      </c>
      <c r="BG9" s="136">
        <v>94842</v>
      </c>
      <c r="BH9" s="136">
        <v>95141</v>
      </c>
      <c r="BI9" s="136">
        <v>95388</v>
      </c>
      <c r="BJ9" s="136">
        <v>95463</v>
      </c>
      <c r="BK9" s="136">
        <v>95778</v>
      </c>
      <c r="BL9" s="136">
        <v>96061</v>
      </c>
      <c r="BM9" s="136">
        <v>96323</v>
      </c>
      <c r="BN9" s="136">
        <v>96584</v>
      </c>
      <c r="BO9" s="136">
        <v>96770</v>
      </c>
      <c r="BP9" s="136">
        <v>96829</v>
      </c>
      <c r="BQ9" s="136">
        <v>96931</v>
      </c>
      <c r="BR9" s="136">
        <v>96976</v>
      </c>
      <c r="BS9" s="136">
        <v>96929</v>
      </c>
      <c r="BT9" s="136">
        <v>97009</v>
      </c>
      <c r="BU9" s="136">
        <v>97083</v>
      </c>
      <c r="BV9" s="136">
        <v>97171</v>
      </c>
      <c r="BW9" s="136">
        <v>97198</v>
      </c>
      <c r="BX9" s="136">
        <v>97321</v>
      </c>
      <c r="BY9" s="136">
        <v>97501</v>
      </c>
      <c r="BZ9" s="136">
        <v>97805</v>
      </c>
      <c r="CA9" s="136">
        <v>97981</v>
      </c>
      <c r="CB9" s="136">
        <v>98057</v>
      </c>
      <c r="CC9" s="136">
        <v>98215</v>
      </c>
      <c r="CD9" s="136">
        <v>98301</v>
      </c>
      <c r="CE9" s="136">
        <v>98370</v>
      </c>
      <c r="CF9" s="136">
        <v>98520</v>
      </c>
      <c r="CG9" s="136">
        <v>98589</v>
      </c>
      <c r="CH9" s="136">
        <v>98673</v>
      </c>
      <c r="CI9" s="136">
        <v>98751</v>
      </c>
      <c r="CJ9" s="136">
        <v>98774</v>
      </c>
      <c r="CK9" s="136">
        <v>98824</v>
      </c>
      <c r="CL9" s="136">
        <v>98928</v>
      </c>
      <c r="CM9" s="136">
        <v>98934</v>
      </c>
      <c r="CN9" s="136">
        <v>99005</v>
      </c>
      <c r="CO9" s="136">
        <v>99107</v>
      </c>
      <c r="CP9" s="136">
        <v>99151</v>
      </c>
      <c r="CQ9" s="136">
        <v>99211</v>
      </c>
      <c r="CR9" s="136">
        <v>99231</v>
      </c>
      <c r="CS9" s="136">
        <v>99286</v>
      </c>
      <c r="CT9" s="136">
        <v>99295</v>
      </c>
      <c r="CU9" s="136">
        <v>99338</v>
      </c>
      <c r="CV9" s="136">
        <v>99358</v>
      </c>
      <c r="CW9" s="136">
        <v>99365</v>
      </c>
      <c r="CX9" s="136">
        <v>99421</v>
      </c>
      <c r="CY9" s="136">
        <v>99401</v>
      </c>
      <c r="CZ9" s="136">
        <v>99431</v>
      </c>
      <c r="DA9" s="136">
        <v>99425</v>
      </c>
      <c r="DB9" s="136">
        <v>99461</v>
      </c>
      <c r="DC9" s="136">
        <v>99465</v>
      </c>
      <c r="DD9" s="136">
        <v>99476</v>
      </c>
      <c r="DE9" s="136">
        <v>99472</v>
      </c>
      <c r="DF9" s="136">
        <v>99515</v>
      </c>
      <c r="DG9" s="136">
        <v>99523</v>
      </c>
      <c r="DH9" s="136">
        <v>99528</v>
      </c>
      <c r="DI9" s="136">
        <v>99535</v>
      </c>
      <c r="DJ9" s="136">
        <v>99569</v>
      </c>
      <c r="DK9" s="136">
        <v>99568</v>
      </c>
      <c r="DL9" s="136">
        <v>99572</v>
      </c>
      <c r="DM9" s="136">
        <v>99592</v>
      </c>
      <c r="DN9" s="136">
        <v>99611</v>
      </c>
      <c r="DO9" s="136">
        <v>99630</v>
      </c>
    </row>
    <row r="10" spans="1:119">
      <c r="A10" s="135">
        <v>8</v>
      </c>
      <c r="B10" s="136"/>
      <c r="C10" s="136"/>
      <c r="D10" s="136"/>
      <c r="E10" s="136"/>
      <c r="F10" s="136"/>
      <c r="G10" s="136"/>
      <c r="H10" s="136"/>
      <c r="I10" s="136"/>
      <c r="J10" s="136"/>
      <c r="K10" s="136"/>
      <c r="L10" s="136"/>
      <c r="M10" s="136"/>
      <c r="N10" s="136"/>
      <c r="O10" s="136"/>
      <c r="P10" s="136"/>
      <c r="Q10" s="136"/>
      <c r="R10" s="136"/>
      <c r="S10" s="136"/>
      <c r="T10" s="136"/>
      <c r="U10" s="136"/>
      <c r="V10" s="136"/>
      <c r="W10" s="136">
        <v>81582</v>
      </c>
      <c r="X10" s="136">
        <v>82347</v>
      </c>
      <c r="Y10" s="136">
        <v>82448</v>
      </c>
      <c r="Z10" s="136">
        <v>84829</v>
      </c>
      <c r="AA10" s="136">
        <v>85081</v>
      </c>
      <c r="AB10" s="136">
        <v>85666</v>
      </c>
      <c r="AC10" s="136">
        <v>86397</v>
      </c>
      <c r="AD10" s="136">
        <v>87249</v>
      </c>
      <c r="AE10" s="136">
        <v>86954</v>
      </c>
      <c r="AF10" s="136">
        <v>88177</v>
      </c>
      <c r="AG10" s="136">
        <v>88468</v>
      </c>
      <c r="AH10" s="136">
        <v>88775</v>
      </c>
      <c r="AI10" s="136">
        <v>88911</v>
      </c>
      <c r="AJ10" s="136">
        <v>90086</v>
      </c>
      <c r="AK10" s="136">
        <v>89919</v>
      </c>
      <c r="AL10" s="136">
        <v>90143</v>
      </c>
      <c r="AM10" s="136">
        <v>90284</v>
      </c>
      <c r="AN10" s="136">
        <v>90539</v>
      </c>
      <c r="AO10" s="136">
        <v>90411</v>
      </c>
      <c r="AP10" s="136">
        <v>90429</v>
      </c>
      <c r="AQ10" s="136">
        <v>90442</v>
      </c>
      <c r="AR10" s="136">
        <v>90467</v>
      </c>
      <c r="AS10" s="136">
        <v>89809</v>
      </c>
      <c r="AT10" s="136">
        <v>88901</v>
      </c>
      <c r="AU10" s="136">
        <v>87483</v>
      </c>
      <c r="AV10" s="136">
        <v>88034</v>
      </c>
      <c r="AW10" s="136">
        <v>88352</v>
      </c>
      <c r="AX10" s="136">
        <v>90718</v>
      </c>
      <c r="AY10" s="136">
        <v>92722</v>
      </c>
      <c r="AZ10" s="136">
        <v>92770</v>
      </c>
      <c r="BA10" s="136">
        <v>92858</v>
      </c>
      <c r="BB10" s="136">
        <v>93596</v>
      </c>
      <c r="BC10" s="136">
        <v>93847</v>
      </c>
      <c r="BD10" s="136">
        <v>94309</v>
      </c>
      <c r="BE10" s="136">
        <v>94375</v>
      </c>
      <c r="BF10" s="136">
        <v>94746</v>
      </c>
      <c r="BG10" s="136">
        <v>94790</v>
      </c>
      <c r="BH10" s="136">
        <v>95081</v>
      </c>
      <c r="BI10" s="136">
        <v>95330</v>
      </c>
      <c r="BJ10" s="136">
        <v>95401</v>
      </c>
      <c r="BK10" s="136">
        <v>95725</v>
      </c>
      <c r="BL10" s="136">
        <v>96003</v>
      </c>
      <c r="BM10" s="136">
        <v>96266</v>
      </c>
      <c r="BN10" s="136">
        <v>96528</v>
      </c>
      <c r="BO10" s="136">
        <v>96713</v>
      </c>
      <c r="BP10" s="136">
        <v>96777</v>
      </c>
      <c r="BQ10" s="136">
        <v>96883</v>
      </c>
      <c r="BR10" s="136">
        <v>96930</v>
      </c>
      <c r="BS10" s="136">
        <v>96883</v>
      </c>
      <c r="BT10" s="136">
        <v>96965</v>
      </c>
      <c r="BU10" s="136">
        <v>97041</v>
      </c>
      <c r="BV10" s="136">
        <v>97128</v>
      </c>
      <c r="BW10" s="136">
        <v>97160</v>
      </c>
      <c r="BX10" s="136">
        <v>97283</v>
      </c>
      <c r="BY10" s="136">
        <v>97468</v>
      </c>
      <c r="BZ10" s="136">
        <v>97776</v>
      </c>
      <c r="CA10" s="136">
        <v>97954</v>
      </c>
      <c r="CB10" s="136">
        <v>98027</v>
      </c>
      <c r="CC10" s="136">
        <v>98189</v>
      </c>
      <c r="CD10" s="136">
        <v>98276</v>
      </c>
      <c r="CE10" s="136">
        <v>98342</v>
      </c>
      <c r="CF10" s="136">
        <v>98498</v>
      </c>
      <c r="CG10" s="136">
        <v>98562</v>
      </c>
      <c r="CH10" s="136">
        <v>98655</v>
      </c>
      <c r="CI10" s="136">
        <v>98733</v>
      </c>
      <c r="CJ10" s="136">
        <v>98756</v>
      </c>
      <c r="CK10" s="136">
        <v>98806</v>
      </c>
      <c r="CL10" s="136">
        <v>98911</v>
      </c>
      <c r="CM10" s="136">
        <v>98923</v>
      </c>
      <c r="CN10" s="136">
        <v>98992</v>
      </c>
      <c r="CO10" s="136">
        <v>99093</v>
      </c>
      <c r="CP10" s="136">
        <v>99138</v>
      </c>
      <c r="CQ10" s="136">
        <v>99200</v>
      </c>
      <c r="CR10" s="136">
        <v>99220</v>
      </c>
      <c r="CS10" s="136">
        <v>99273</v>
      </c>
      <c r="CT10" s="136">
        <v>99282</v>
      </c>
      <c r="CU10" s="136">
        <v>99329</v>
      </c>
      <c r="CV10" s="136">
        <v>99347</v>
      </c>
      <c r="CW10" s="136">
        <v>99355</v>
      </c>
      <c r="CX10" s="136">
        <v>99409</v>
      </c>
      <c r="CY10" s="136">
        <v>99394</v>
      </c>
      <c r="CZ10" s="136">
        <v>99422</v>
      </c>
      <c r="DA10" s="136">
        <v>99419</v>
      </c>
      <c r="DB10" s="136">
        <v>99452</v>
      </c>
      <c r="DC10" s="136">
        <v>99454</v>
      </c>
      <c r="DD10" s="136">
        <v>99469</v>
      </c>
      <c r="DE10" s="136">
        <v>99464</v>
      </c>
      <c r="DF10" s="136">
        <v>99508</v>
      </c>
      <c r="DG10" s="136">
        <v>99515</v>
      </c>
      <c r="DH10" s="136">
        <v>99521</v>
      </c>
      <c r="DI10" s="136">
        <v>99528</v>
      </c>
      <c r="DJ10" s="136">
        <v>99562</v>
      </c>
      <c r="DK10" s="136">
        <v>99562</v>
      </c>
      <c r="DL10" s="136">
        <v>99566</v>
      </c>
      <c r="DM10" s="136">
        <v>99586</v>
      </c>
      <c r="DN10" s="136">
        <v>99606</v>
      </c>
      <c r="DO10" s="136">
        <v>99624</v>
      </c>
    </row>
    <row r="11" spans="1:119">
      <c r="A11" s="135">
        <v>9</v>
      </c>
      <c r="B11" s="136"/>
      <c r="C11" s="136"/>
      <c r="D11" s="136"/>
      <c r="E11" s="136"/>
      <c r="F11" s="136"/>
      <c r="G11" s="136"/>
      <c r="H11" s="136"/>
      <c r="I11" s="136"/>
      <c r="J11" s="136"/>
      <c r="K11" s="136"/>
      <c r="L11" s="136"/>
      <c r="M11" s="136"/>
      <c r="N11" s="136"/>
      <c r="O11" s="136"/>
      <c r="P11" s="136"/>
      <c r="Q11" s="136"/>
      <c r="R11" s="136"/>
      <c r="S11" s="136"/>
      <c r="T11" s="136"/>
      <c r="U11" s="136"/>
      <c r="V11" s="136"/>
      <c r="W11" s="136">
        <v>81421</v>
      </c>
      <c r="X11" s="136">
        <v>82195</v>
      </c>
      <c r="Y11" s="136">
        <v>82317</v>
      </c>
      <c r="Z11" s="136">
        <v>84682</v>
      </c>
      <c r="AA11" s="136">
        <v>84934</v>
      </c>
      <c r="AB11" s="136">
        <v>85517</v>
      </c>
      <c r="AC11" s="136">
        <v>86222</v>
      </c>
      <c r="AD11" s="136">
        <v>87080</v>
      </c>
      <c r="AE11" s="136">
        <v>86800</v>
      </c>
      <c r="AF11" s="136">
        <v>88021</v>
      </c>
      <c r="AG11" s="136">
        <v>88304</v>
      </c>
      <c r="AH11" s="136">
        <v>88611</v>
      </c>
      <c r="AI11" s="136">
        <v>88747</v>
      </c>
      <c r="AJ11" s="136">
        <v>89919</v>
      </c>
      <c r="AK11" s="136">
        <v>89736</v>
      </c>
      <c r="AL11" s="136">
        <v>89934</v>
      </c>
      <c r="AM11" s="136">
        <v>90033</v>
      </c>
      <c r="AN11" s="136">
        <v>90403</v>
      </c>
      <c r="AO11" s="136">
        <v>90276</v>
      </c>
      <c r="AP11" s="136">
        <v>90323</v>
      </c>
      <c r="AQ11" s="136">
        <v>90370</v>
      </c>
      <c r="AR11" s="136">
        <v>90395</v>
      </c>
      <c r="AS11" s="136">
        <v>89738</v>
      </c>
      <c r="AT11" s="136">
        <v>88842</v>
      </c>
      <c r="AU11" s="136">
        <v>87425</v>
      </c>
      <c r="AV11" s="136">
        <v>87976</v>
      </c>
      <c r="AW11" s="136">
        <v>88305</v>
      </c>
      <c r="AX11" s="136">
        <v>90661</v>
      </c>
      <c r="AY11" s="136">
        <v>92662</v>
      </c>
      <c r="AZ11" s="136">
        <v>92717</v>
      </c>
      <c r="BA11" s="136">
        <v>92802</v>
      </c>
      <c r="BB11" s="136">
        <v>93545</v>
      </c>
      <c r="BC11" s="136">
        <v>93789</v>
      </c>
      <c r="BD11" s="136">
        <v>94255</v>
      </c>
      <c r="BE11" s="136">
        <v>94323</v>
      </c>
      <c r="BF11" s="136">
        <v>94694</v>
      </c>
      <c r="BG11" s="136">
        <v>94734</v>
      </c>
      <c r="BH11" s="136">
        <v>95026</v>
      </c>
      <c r="BI11" s="136">
        <v>95275</v>
      </c>
      <c r="BJ11" s="136">
        <v>95351</v>
      </c>
      <c r="BK11" s="136">
        <v>95675</v>
      </c>
      <c r="BL11" s="136">
        <v>95948</v>
      </c>
      <c r="BM11" s="136">
        <v>96213</v>
      </c>
      <c r="BN11" s="136">
        <v>96478</v>
      </c>
      <c r="BO11" s="136">
        <v>96673</v>
      </c>
      <c r="BP11" s="136">
        <v>96735</v>
      </c>
      <c r="BQ11" s="136">
        <v>96838</v>
      </c>
      <c r="BR11" s="136">
        <v>96893</v>
      </c>
      <c r="BS11" s="136">
        <v>96848</v>
      </c>
      <c r="BT11" s="136">
        <v>96922</v>
      </c>
      <c r="BU11" s="136">
        <v>97007</v>
      </c>
      <c r="BV11" s="136">
        <v>97091</v>
      </c>
      <c r="BW11" s="136">
        <v>97127</v>
      </c>
      <c r="BX11" s="136">
        <v>97253</v>
      </c>
      <c r="BY11" s="136">
        <v>97439</v>
      </c>
      <c r="BZ11" s="136">
        <v>97751</v>
      </c>
      <c r="CA11" s="136">
        <v>97927</v>
      </c>
      <c r="CB11" s="136">
        <v>97999</v>
      </c>
      <c r="CC11" s="136">
        <v>98169</v>
      </c>
      <c r="CD11" s="136">
        <v>98252</v>
      </c>
      <c r="CE11" s="136">
        <v>98314</v>
      </c>
      <c r="CF11" s="136">
        <v>98473</v>
      </c>
      <c r="CG11" s="136">
        <v>98542</v>
      </c>
      <c r="CH11" s="136">
        <v>98638</v>
      </c>
      <c r="CI11" s="136">
        <v>98716</v>
      </c>
      <c r="CJ11" s="136">
        <v>98742</v>
      </c>
      <c r="CK11" s="136">
        <v>98792</v>
      </c>
      <c r="CL11" s="136">
        <v>98898</v>
      </c>
      <c r="CM11" s="136">
        <v>98908</v>
      </c>
      <c r="CN11" s="136">
        <v>98977</v>
      </c>
      <c r="CO11" s="136">
        <v>99077</v>
      </c>
      <c r="CP11" s="136">
        <v>99128</v>
      </c>
      <c r="CQ11" s="136">
        <v>99191</v>
      </c>
      <c r="CR11" s="136">
        <v>99207</v>
      </c>
      <c r="CS11" s="136">
        <v>99259</v>
      </c>
      <c r="CT11" s="136">
        <v>99271</v>
      </c>
      <c r="CU11" s="136">
        <v>99319</v>
      </c>
      <c r="CV11" s="136">
        <v>99337</v>
      </c>
      <c r="CW11" s="136">
        <v>99342</v>
      </c>
      <c r="CX11" s="136">
        <v>99402</v>
      </c>
      <c r="CY11" s="136">
        <v>99387</v>
      </c>
      <c r="CZ11" s="136">
        <v>99412</v>
      </c>
      <c r="DA11" s="136">
        <v>99409</v>
      </c>
      <c r="DB11" s="136">
        <v>99444</v>
      </c>
      <c r="DC11" s="136">
        <v>99447</v>
      </c>
      <c r="DD11" s="136">
        <v>99462</v>
      </c>
      <c r="DE11" s="136">
        <v>99456</v>
      </c>
      <c r="DF11" s="136">
        <v>99500</v>
      </c>
      <c r="DG11" s="136">
        <v>99508</v>
      </c>
      <c r="DH11" s="136">
        <v>99514</v>
      </c>
      <c r="DI11" s="136">
        <v>99522</v>
      </c>
      <c r="DJ11" s="136">
        <v>99557</v>
      </c>
      <c r="DK11" s="136">
        <v>99556</v>
      </c>
      <c r="DL11" s="136">
        <v>99560</v>
      </c>
      <c r="DM11" s="136">
        <v>99581</v>
      </c>
      <c r="DN11" s="136">
        <v>99601</v>
      </c>
      <c r="DO11" s="136">
        <v>99619</v>
      </c>
    </row>
    <row r="12" spans="1:119">
      <c r="A12" s="135">
        <v>10</v>
      </c>
      <c r="B12" s="136"/>
      <c r="C12" s="136"/>
      <c r="D12" s="136"/>
      <c r="E12" s="136"/>
      <c r="F12" s="136"/>
      <c r="G12" s="136"/>
      <c r="H12" s="136"/>
      <c r="I12" s="136"/>
      <c r="J12" s="136"/>
      <c r="K12" s="136"/>
      <c r="L12" s="136"/>
      <c r="M12" s="136"/>
      <c r="N12" s="136"/>
      <c r="O12" s="136"/>
      <c r="P12" s="136"/>
      <c r="Q12" s="136"/>
      <c r="R12" s="136"/>
      <c r="S12" s="136"/>
      <c r="T12" s="136"/>
      <c r="U12" s="136"/>
      <c r="V12" s="136"/>
      <c r="W12" s="136">
        <v>81289</v>
      </c>
      <c r="X12" s="136">
        <v>82081</v>
      </c>
      <c r="Y12" s="136">
        <v>82193</v>
      </c>
      <c r="Z12" s="136">
        <v>84555</v>
      </c>
      <c r="AA12" s="136">
        <v>84806</v>
      </c>
      <c r="AB12" s="136">
        <v>85366</v>
      </c>
      <c r="AC12" s="136">
        <v>86076</v>
      </c>
      <c r="AD12" s="136">
        <v>86946</v>
      </c>
      <c r="AE12" s="136">
        <v>86667</v>
      </c>
      <c r="AF12" s="136">
        <v>87879</v>
      </c>
      <c r="AG12" s="136">
        <v>88161</v>
      </c>
      <c r="AH12" s="136">
        <v>88468</v>
      </c>
      <c r="AI12" s="136">
        <v>88603</v>
      </c>
      <c r="AJ12" s="136">
        <v>89759</v>
      </c>
      <c r="AK12" s="136">
        <v>89555</v>
      </c>
      <c r="AL12" s="136">
        <v>89716</v>
      </c>
      <c r="AM12" s="136">
        <v>89903</v>
      </c>
      <c r="AN12" s="136">
        <v>90272</v>
      </c>
      <c r="AO12" s="136">
        <v>90173</v>
      </c>
      <c r="AP12" s="136">
        <v>90255</v>
      </c>
      <c r="AQ12" s="136">
        <v>90303</v>
      </c>
      <c r="AR12" s="136">
        <v>90327</v>
      </c>
      <c r="AS12" s="136">
        <v>89682</v>
      </c>
      <c r="AT12" s="136">
        <v>88793</v>
      </c>
      <c r="AU12" s="136">
        <v>87372</v>
      </c>
      <c r="AV12" s="136">
        <v>87921</v>
      </c>
      <c r="AW12" s="136">
        <v>88253</v>
      </c>
      <c r="AX12" s="136">
        <v>90612</v>
      </c>
      <c r="AY12" s="136">
        <v>92609</v>
      </c>
      <c r="AZ12" s="136">
        <v>92663</v>
      </c>
      <c r="BA12" s="136">
        <v>92758</v>
      </c>
      <c r="BB12" s="136">
        <v>93493</v>
      </c>
      <c r="BC12" s="136">
        <v>93743</v>
      </c>
      <c r="BD12" s="136">
        <v>94204</v>
      </c>
      <c r="BE12" s="136">
        <v>94275</v>
      </c>
      <c r="BF12" s="136">
        <v>94648</v>
      </c>
      <c r="BG12" s="136">
        <v>94688</v>
      </c>
      <c r="BH12" s="136">
        <v>94978</v>
      </c>
      <c r="BI12" s="136">
        <v>95228</v>
      </c>
      <c r="BJ12" s="136">
        <v>95304</v>
      </c>
      <c r="BK12" s="136">
        <v>95627</v>
      </c>
      <c r="BL12" s="136">
        <v>95905</v>
      </c>
      <c r="BM12" s="136">
        <v>96167</v>
      </c>
      <c r="BN12" s="136">
        <v>96437</v>
      </c>
      <c r="BO12" s="136">
        <v>96636</v>
      </c>
      <c r="BP12" s="136">
        <v>96699</v>
      </c>
      <c r="BQ12" s="136">
        <v>96804</v>
      </c>
      <c r="BR12" s="136">
        <v>96857</v>
      </c>
      <c r="BS12" s="136">
        <v>96813</v>
      </c>
      <c r="BT12" s="136">
        <v>96887</v>
      </c>
      <c r="BU12" s="136">
        <v>96977</v>
      </c>
      <c r="BV12" s="136">
        <v>97062</v>
      </c>
      <c r="BW12" s="136">
        <v>97101</v>
      </c>
      <c r="BX12" s="136">
        <v>97222</v>
      </c>
      <c r="BY12" s="136">
        <v>97418</v>
      </c>
      <c r="BZ12" s="136">
        <v>97732</v>
      </c>
      <c r="CA12" s="136">
        <v>97904</v>
      </c>
      <c r="CB12" s="136">
        <v>97975</v>
      </c>
      <c r="CC12" s="136">
        <v>98145</v>
      </c>
      <c r="CD12" s="136">
        <v>98234</v>
      </c>
      <c r="CE12" s="136">
        <v>98296</v>
      </c>
      <c r="CF12" s="136">
        <v>98455</v>
      </c>
      <c r="CG12" s="136">
        <v>98526</v>
      </c>
      <c r="CH12" s="136">
        <v>98622</v>
      </c>
      <c r="CI12" s="136">
        <v>98701</v>
      </c>
      <c r="CJ12" s="136">
        <v>98727</v>
      </c>
      <c r="CK12" s="136">
        <v>98776</v>
      </c>
      <c r="CL12" s="136">
        <v>98887</v>
      </c>
      <c r="CM12" s="136">
        <v>98896</v>
      </c>
      <c r="CN12" s="136">
        <v>98966</v>
      </c>
      <c r="CO12" s="136">
        <v>99061</v>
      </c>
      <c r="CP12" s="136">
        <v>99118</v>
      </c>
      <c r="CQ12" s="136">
        <v>99181</v>
      </c>
      <c r="CR12" s="136">
        <v>99196</v>
      </c>
      <c r="CS12" s="136">
        <v>99249</v>
      </c>
      <c r="CT12" s="136">
        <v>99261</v>
      </c>
      <c r="CU12" s="136">
        <v>99310</v>
      </c>
      <c r="CV12" s="136">
        <v>99328</v>
      </c>
      <c r="CW12" s="136">
        <v>99334</v>
      </c>
      <c r="CX12" s="136">
        <v>99394</v>
      </c>
      <c r="CY12" s="136">
        <v>99379</v>
      </c>
      <c r="CZ12" s="136">
        <v>99403</v>
      </c>
      <c r="DA12" s="136">
        <v>99399</v>
      </c>
      <c r="DB12" s="136">
        <v>99434</v>
      </c>
      <c r="DC12" s="136">
        <v>99439</v>
      </c>
      <c r="DD12" s="136">
        <v>99455</v>
      </c>
      <c r="DE12" s="136">
        <v>99450</v>
      </c>
      <c r="DF12" s="136">
        <v>99494</v>
      </c>
      <c r="DG12" s="136">
        <v>99502</v>
      </c>
      <c r="DH12" s="136">
        <v>99508</v>
      </c>
      <c r="DI12" s="136">
        <v>99516</v>
      </c>
      <c r="DJ12" s="136">
        <v>99551</v>
      </c>
      <c r="DK12" s="136">
        <v>99551</v>
      </c>
      <c r="DL12" s="136">
        <v>99555</v>
      </c>
      <c r="DM12" s="136">
        <v>99576</v>
      </c>
      <c r="DN12" s="136">
        <v>99596</v>
      </c>
      <c r="DO12" s="136">
        <v>99615</v>
      </c>
    </row>
    <row r="13" spans="1:119">
      <c r="A13" s="135">
        <v>11</v>
      </c>
      <c r="B13" s="136"/>
      <c r="C13" s="136"/>
      <c r="D13" s="136"/>
      <c r="E13" s="136"/>
      <c r="F13" s="136"/>
      <c r="G13" s="136"/>
      <c r="H13" s="136"/>
      <c r="I13" s="136"/>
      <c r="J13" s="136"/>
      <c r="K13" s="136"/>
      <c r="L13" s="136"/>
      <c r="M13" s="136"/>
      <c r="N13" s="136"/>
      <c r="O13" s="136"/>
      <c r="P13" s="136"/>
      <c r="Q13" s="136"/>
      <c r="R13" s="136"/>
      <c r="S13" s="136"/>
      <c r="T13" s="136"/>
      <c r="U13" s="136"/>
      <c r="V13" s="136"/>
      <c r="W13" s="136">
        <v>81190</v>
      </c>
      <c r="X13" s="136">
        <v>81972</v>
      </c>
      <c r="Y13" s="136">
        <v>82084</v>
      </c>
      <c r="Z13" s="136">
        <v>84442</v>
      </c>
      <c r="AA13" s="136">
        <v>84673</v>
      </c>
      <c r="AB13" s="136">
        <v>85239</v>
      </c>
      <c r="AC13" s="136">
        <v>85959</v>
      </c>
      <c r="AD13" s="136">
        <v>86828</v>
      </c>
      <c r="AE13" s="136">
        <v>86543</v>
      </c>
      <c r="AF13" s="136">
        <v>87754</v>
      </c>
      <c r="AG13" s="136">
        <v>88036</v>
      </c>
      <c r="AH13" s="136">
        <v>88342</v>
      </c>
      <c r="AI13" s="136">
        <v>88464</v>
      </c>
      <c r="AJ13" s="136">
        <v>89599</v>
      </c>
      <c r="AK13" s="136">
        <v>89364</v>
      </c>
      <c r="AL13" s="136">
        <v>89587</v>
      </c>
      <c r="AM13" s="136">
        <v>89773</v>
      </c>
      <c r="AN13" s="136">
        <v>90170</v>
      </c>
      <c r="AO13" s="136">
        <v>90110</v>
      </c>
      <c r="AP13" s="136">
        <v>90192</v>
      </c>
      <c r="AQ13" s="136">
        <v>90239</v>
      </c>
      <c r="AR13" s="136">
        <v>90270</v>
      </c>
      <c r="AS13" s="136">
        <v>89635</v>
      </c>
      <c r="AT13" s="136">
        <v>88746</v>
      </c>
      <c r="AU13" s="136">
        <v>87324</v>
      </c>
      <c r="AV13" s="136">
        <v>87877</v>
      </c>
      <c r="AW13" s="136">
        <v>88205</v>
      </c>
      <c r="AX13" s="136">
        <v>90573</v>
      </c>
      <c r="AY13" s="136">
        <v>92563</v>
      </c>
      <c r="AZ13" s="136">
        <v>92625</v>
      </c>
      <c r="BA13" s="136">
        <v>92715</v>
      </c>
      <c r="BB13" s="136">
        <v>93451</v>
      </c>
      <c r="BC13" s="136">
        <v>93700</v>
      </c>
      <c r="BD13" s="136">
        <v>94158</v>
      </c>
      <c r="BE13" s="136">
        <v>94229</v>
      </c>
      <c r="BF13" s="136">
        <v>94600</v>
      </c>
      <c r="BG13" s="136">
        <v>94641</v>
      </c>
      <c r="BH13" s="136">
        <v>94931</v>
      </c>
      <c r="BI13" s="136">
        <v>95178</v>
      </c>
      <c r="BJ13" s="136">
        <v>95259</v>
      </c>
      <c r="BK13" s="136">
        <v>95585</v>
      </c>
      <c r="BL13" s="136">
        <v>95863</v>
      </c>
      <c r="BM13" s="136">
        <v>96131</v>
      </c>
      <c r="BN13" s="136">
        <v>96404</v>
      </c>
      <c r="BO13" s="136">
        <v>96603</v>
      </c>
      <c r="BP13" s="136">
        <v>96666</v>
      </c>
      <c r="BQ13" s="136">
        <v>96772</v>
      </c>
      <c r="BR13" s="136">
        <v>96826</v>
      </c>
      <c r="BS13" s="136">
        <v>96784</v>
      </c>
      <c r="BT13" s="136">
        <v>96856</v>
      </c>
      <c r="BU13" s="136">
        <v>96953</v>
      </c>
      <c r="BV13" s="136">
        <v>97040</v>
      </c>
      <c r="BW13" s="136">
        <v>97077</v>
      </c>
      <c r="BX13" s="136">
        <v>97202</v>
      </c>
      <c r="BY13" s="136">
        <v>97397</v>
      </c>
      <c r="BZ13" s="136">
        <v>97706</v>
      </c>
      <c r="CA13" s="136">
        <v>97883</v>
      </c>
      <c r="CB13" s="136">
        <v>97959</v>
      </c>
      <c r="CC13" s="136">
        <v>98122</v>
      </c>
      <c r="CD13" s="136">
        <v>98216</v>
      </c>
      <c r="CE13" s="136">
        <v>98280</v>
      </c>
      <c r="CF13" s="136">
        <v>98441</v>
      </c>
      <c r="CG13" s="136">
        <v>98510</v>
      </c>
      <c r="CH13" s="136">
        <v>98607</v>
      </c>
      <c r="CI13" s="136">
        <v>98689</v>
      </c>
      <c r="CJ13" s="136">
        <v>98714</v>
      </c>
      <c r="CK13" s="136">
        <v>98762</v>
      </c>
      <c r="CL13" s="136">
        <v>98875</v>
      </c>
      <c r="CM13" s="136">
        <v>98885</v>
      </c>
      <c r="CN13" s="136">
        <v>98954</v>
      </c>
      <c r="CO13" s="136">
        <v>99051</v>
      </c>
      <c r="CP13" s="136">
        <v>99108</v>
      </c>
      <c r="CQ13" s="136">
        <v>99173</v>
      </c>
      <c r="CR13" s="136">
        <v>99188</v>
      </c>
      <c r="CS13" s="136">
        <v>99241</v>
      </c>
      <c r="CT13" s="136">
        <v>99254</v>
      </c>
      <c r="CU13" s="136">
        <v>99299</v>
      </c>
      <c r="CV13" s="136">
        <v>99320</v>
      </c>
      <c r="CW13" s="136">
        <v>99325</v>
      </c>
      <c r="CX13" s="136">
        <v>99385</v>
      </c>
      <c r="CY13" s="136">
        <v>99370</v>
      </c>
      <c r="CZ13" s="136">
        <v>99397</v>
      </c>
      <c r="DA13" s="136">
        <v>99392</v>
      </c>
      <c r="DB13" s="136">
        <v>99428</v>
      </c>
      <c r="DC13" s="136">
        <v>99432</v>
      </c>
      <c r="DD13" s="136">
        <v>99448</v>
      </c>
      <c r="DE13" s="136">
        <v>99443</v>
      </c>
      <c r="DF13" s="136">
        <v>99488</v>
      </c>
      <c r="DG13" s="136">
        <v>99496</v>
      </c>
      <c r="DH13" s="136">
        <v>99503</v>
      </c>
      <c r="DI13" s="136">
        <v>99510</v>
      </c>
      <c r="DJ13" s="136">
        <v>99546</v>
      </c>
      <c r="DK13" s="136">
        <v>99546</v>
      </c>
      <c r="DL13" s="136">
        <v>99550</v>
      </c>
      <c r="DM13" s="136">
        <v>99571</v>
      </c>
      <c r="DN13" s="136">
        <v>99592</v>
      </c>
      <c r="DO13" s="136">
        <v>99611</v>
      </c>
    </row>
    <row r="14" spans="1:119">
      <c r="A14" s="135">
        <v>12</v>
      </c>
      <c r="B14" s="136"/>
      <c r="C14" s="136"/>
      <c r="D14" s="136"/>
      <c r="E14" s="136"/>
      <c r="F14" s="136"/>
      <c r="G14" s="136"/>
      <c r="H14" s="136"/>
      <c r="I14" s="136"/>
      <c r="J14" s="136"/>
      <c r="K14" s="136"/>
      <c r="L14" s="136"/>
      <c r="M14" s="136"/>
      <c r="N14" s="136"/>
      <c r="O14" s="136"/>
      <c r="P14" s="136"/>
      <c r="Q14" s="136"/>
      <c r="R14" s="136"/>
      <c r="S14" s="136"/>
      <c r="T14" s="136"/>
      <c r="U14" s="136"/>
      <c r="V14" s="136"/>
      <c r="W14" s="136">
        <v>81091</v>
      </c>
      <c r="X14" s="136">
        <v>81872</v>
      </c>
      <c r="Y14" s="136">
        <v>81983</v>
      </c>
      <c r="Z14" s="136">
        <v>84321</v>
      </c>
      <c r="AA14" s="136">
        <v>84558</v>
      </c>
      <c r="AB14" s="136">
        <v>85133</v>
      </c>
      <c r="AC14" s="136">
        <v>85853</v>
      </c>
      <c r="AD14" s="136">
        <v>86714</v>
      </c>
      <c r="AE14" s="136">
        <v>86430</v>
      </c>
      <c r="AF14" s="136">
        <v>87639</v>
      </c>
      <c r="AG14" s="136">
        <v>87921</v>
      </c>
      <c r="AH14" s="136">
        <v>88215</v>
      </c>
      <c r="AI14" s="136">
        <v>88320</v>
      </c>
      <c r="AJ14" s="136">
        <v>89424</v>
      </c>
      <c r="AK14" s="136">
        <v>89238</v>
      </c>
      <c r="AL14" s="136">
        <v>89461</v>
      </c>
      <c r="AM14" s="136">
        <v>89674</v>
      </c>
      <c r="AN14" s="136">
        <v>90108</v>
      </c>
      <c r="AO14" s="136">
        <v>90048</v>
      </c>
      <c r="AP14" s="136">
        <v>90129</v>
      </c>
      <c r="AQ14" s="136">
        <v>90181</v>
      </c>
      <c r="AR14" s="136">
        <v>90228</v>
      </c>
      <c r="AS14" s="136">
        <v>89587</v>
      </c>
      <c r="AT14" s="136">
        <v>88696</v>
      </c>
      <c r="AU14" s="136">
        <v>87276</v>
      </c>
      <c r="AV14" s="136">
        <v>87836</v>
      </c>
      <c r="AW14" s="136">
        <v>88165</v>
      </c>
      <c r="AX14" s="136">
        <v>90530</v>
      </c>
      <c r="AY14" s="136">
        <v>92522</v>
      </c>
      <c r="AZ14" s="136">
        <v>92582</v>
      </c>
      <c r="BA14" s="136">
        <v>92675</v>
      </c>
      <c r="BB14" s="136">
        <v>93410</v>
      </c>
      <c r="BC14" s="136">
        <v>93659</v>
      </c>
      <c r="BD14" s="136">
        <v>94115</v>
      </c>
      <c r="BE14" s="136">
        <v>94184</v>
      </c>
      <c r="BF14" s="136">
        <v>94558</v>
      </c>
      <c r="BG14" s="136">
        <v>94600</v>
      </c>
      <c r="BH14" s="136">
        <v>94890</v>
      </c>
      <c r="BI14" s="136">
        <v>95139</v>
      </c>
      <c r="BJ14" s="136">
        <v>95223</v>
      </c>
      <c r="BK14" s="136">
        <v>95546</v>
      </c>
      <c r="BL14" s="136">
        <v>95828</v>
      </c>
      <c r="BM14" s="136">
        <v>96096</v>
      </c>
      <c r="BN14" s="136">
        <v>96368</v>
      </c>
      <c r="BO14" s="136">
        <v>96568</v>
      </c>
      <c r="BP14" s="136">
        <v>96636</v>
      </c>
      <c r="BQ14" s="136">
        <v>96741</v>
      </c>
      <c r="BR14" s="136">
        <v>96799</v>
      </c>
      <c r="BS14" s="136">
        <v>96755</v>
      </c>
      <c r="BT14" s="136">
        <v>96825</v>
      </c>
      <c r="BU14" s="136">
        <v>96927</v>
      </c>
      <c r="BV14" s="136">
        <v>97016</v>
      </c>
      <c r="BW14" s="136">
        <v>97059</v>
      </c>
      <c r="BX14" s="136">
        <v>97179</v>
      </c>
      <c r="BY14" s="136">
        <v>97377</v>
      </c>
      <c r="BZ14" s="136">
        <v>97684</v>
      </c>
      <c r="CA14" s="136">
        <v>97864</v>
      </c>
      <c r="CB14" s="136">
        <v>97935</v>
      </c>
      <c r="CC14" s="136">
        <v>98098</v>
      </c>
      <c r="CD14" s="136">
        <v>98200</v>
      </c>
      <c r="CE14" s="136">
        <v>98264</v>
      </c>
      <c r="CF14" s="136">
        <v>98420</v>
      </c>
      <c r="CG14" s="136">
        <v>98492</v>
      </c>
      <c r="CH14" s="136">
        <v>98594</v>
      </c>
      <c r="CI14" s="136">
        <v>98674</v>
      </c>
      <c r="CJ14" s="136">
        <v>98701</v>
      </c>
      <c r="CK14" s="136">
        <v>98748</v>
      </c>
      <c r="CL14" s="136">
        <v>98860</v>
      </c>
      <c r="CM14" s="136">
        <v>98873</v>
      </c>
      <c r="CN14" s="136">
        <v>98940</v>
      </c>
      <c r="CO14" s="136">
        <v>99037</v>
      </c>
      <c r="CP14" s="136">
        <v>99093</v>
      </c>
      <c r="CQ14" s="136">
        <v>99159</v>
      </c>
      <c r="CR14" s="136">
        <v>99179</v>
      </c>
      <c r="CS14" s="136">
        <v>99233</v>
      </c>
      <c r="CT14" s="136">
        <v>99243</v>
      </c>
      <c r="CU14" s="136">
        <v>99289</v>
      </c>
      <c r="CV14" s="136">
        <v>99312</v>
      </c>
      <c r="CW14" s="136">
        <v>99319</v>
      </c>
      <c r="CX14" s="136">
        <v>99373</v>
      </c>
      <c r="CY14" s="136">
        <v>99363</v>
      </c>
      <c r="CZ14" s="136">
        <v>99389</v>
      </c>
      <c r="DA14" s="136">
        <v>99380</v>
      </c>
      <c r="DB14" s="136">
        <v>99421</v>
      </c>
      <c r="DC14" s="136">
        <v>99425</v>
      </c>
      <c r="DD14" s="136">
        <v>99442</v>
      </c>
      <c r="DE14" s="136">
        <v>99437</v>
      </c>
      <c r="DF14" s="136">
        <v>99482</v>
      </c>
      <c r="DG14" s="136">
        <v>99490</v>
      </c>
      <c r="DH14" s="136">
        <v>99497</v>
      </c>
      <c r="DI14" s="136">
        <v>99505</v>
      </c>
      <c r="DJ14" s="136">
        <v>99541</v>
      </c>
      <c r="DK14" s="136">
        <v>99541</v>
      </c>
      <c r="DL14" s="136">
        <v>99546</v>
      </c>
      <c r="DM14" s="136">
        <v>99567</v>
      </c>
      <c r="DN14" s="136">
        <v>99587</v>
      </c>
      <c r="DO14" s="136">
        <v>99607</v>
      </c>
    </row>
    <row r="15" spans="1:119">
      <c r="A15" s="135">
        <v>13</v>
      </c>
      <c r="B15" s="136"/>
      <c r="C15" s="136"/>
      <c r="D15" s="136"/>
      <c r="E15" s="136"/>
      <c r="F15" s="136"/>
      <c r="G15" s="136"/>
      <c r="H15" s="136"/>
      <c r="I15" s="136"/>
      <c r="J15" s="136"/>
      <c r="K15" s="136"/>
      <c r="L15" s="136"/>
      <c r="M15" s="136"/>
      <c r="N15" s="136"/>
      <c r="O15" s="136"/>
      <c r="P15" s="136"/>
      <c r="Q15" s="136"/>
      <c r="R15" s="136"/>
      <c r="S15" s="136"/>
      <c r="T15" s="136"/>
      <c r="U15" s="136"/>
      <c r="V15" s="136"/>
      <c r="W15" s="136">
        <v>80997</v>
      </c>
      <c r="X15" s="136">
        <v>81777</v>
      </c>
      <c r="Y15" s="136">
        <v>81861</v>
      </c>
      <c r="Z15" s="136">
        <v>84195</v>
      </c>
      <c r="AA15" s="136">
        <v>84439</v>
      </c>
      <c r="AB15" s="136">
        <v>85022</v>
      </c>
      <c r="AC15" s="136">
        <v>85732</v>
      </c>
      <c r="AD15" s="136">
        <v>86593</v>
      </c>
      <c r="AE15" s="136">
        <v>86309</v>
      </c>
      <c r="AF15" s="136">
        <v>87516</v>
      </c>
      <c r="AG15" s="136">
        <v>87786</v>
      </c>
      <c r="AH15" s="136">
        <v>88061</v>
      </c>
      <c r="AI15" s="136">
        <v>88135</v>
      </c>
      <c r="AJ15" s="136">
        <v>89303</v>
      </c>
      <c r="AK15" s="136">
        <v>89117</v>
      </c>
      <c r="AL15" s="136">
        <v>89371</v>
      </c>
      <c r="AM15" s="136">
        <v>89612</v>
      </c>
      <c r="AN15" s="136">
        <v>90045</v>
      </c>
      <c r="AO15" s="136">
        <v>89985</v>
      </c>
      <c r="AP15" s="136">
        <v>90078</v>
      </c>
      <c r="AQ15" s="136">
        <v>90130</v>
      </c>
      <c r="AR15" s="136">
        <v>90181</v>
      </c>
      <c r="AS15" s="136">
        <v>89540</v>
      </c>
      <c r="AT15" s="136">
        <v>88650</v>
      </c>
      <c r="AU15" s="136">
        <v>87234</v>
      </c>
      <c r="AV15" s="136">
        <v>87792</v>
      </c>
      <c r="AW15" s="136">
        <v>88125</v>
      </c>
      <c r="AX15" s="136">
        <v>90493</v>
      </c>
      <c r="AY15" s="136">
        <v>92482</v>
      </c>
      <c r="AZ15" s="136">
        <v>92539</v>
      </c>
      <c r="BA15" s="136">
        <v>92632</v>
      </c>
      <c r="BB15" s="136">
        <v>93369</v>
      </c>
      <c r="BC15" s="136">
        <v>93614</v>
      </c>
      <c r="BD15" s="136">
        <v>94071</v>
      </c>
      <c r="BE15" s="136">
        <v>94141</v>
      </c>
      <c r="BF15" s="136">
        <v>94523</v>
      </c>
      <c r="BG15" s="136">
        <v>94555</v>
      </c>
      <c r="BH15" s="136">
        <v>94841</v>
      </c>
      <c r="BI15" s="136">
        <v>95097</v>
      </c>
      <c r="BJ15" s="136">
        <v>95179</v>
      </c>
      <c r="BK15" s="136">
        <v>95510</v>
      </c>
      <c r="BL15" s="136">
        <v>95790</v>
      </c>
      <c r="BM15" s="136">
        <v>96059</v>
      </c>
      <c r="BN15" s="136">
        <v>96331</v>
      </c>
      <c r="BO15" s="136">
        <v>96534</v>
      </c>
      <c r="BP15" s="136">
        <v>96605</v>
      </c>
      <c r="BQ15" s="136">
        <v>96710</v>
      </c>
      <c r="BR15" s="136">
        <v>96770</v>
      </c>
      <c r="BS15" s="136">
        <v>96731</v>
      </c>
      <c r="BT15" s="136">
        <v>96799</v>
      </c>
      <c r="BU15" s="136">
        <v>96904</v>
      </c>
      <c r="BV15" s="136">
        <v>96992</v>
      </c>
      <c r="BW15" s="136">
        <v>97034</v>
      </c>
      <c r="BX15" s="136">
        <v>97159</v>
      </c>
      <c r="BY15" s="136">
        <v>97357</v>
      </c>
      <c r="BZ15" s="136">
        <v>97664</v>
      </c>
      <c r="CA15" s="136">
        <v>97844</v>
      </c>
      <c r="CB15" s="136">
        <v>97916</v>
      </c>
      <c r="CC15" s="136">
        <v>98077</v>
      </c>
      <c r="CD15" s="136">
        <v>98181</v>
      </c>
      <c r="CE15" s="136">
        <v>98244</v>
      </c>
      <c r="CF15" s="136">
        <v>98405</v>
      </c>
      <c r="CG15" s="136">
        <v>98478</v>
      </c>
      <c r="CH15" s="136">
        <v>98577</v>
      </c>
      <c r="CI15" s="136">
        <v>98661</v>
      </c>
      <c r="CJ15" s="136">
        <v>98685</v>
      </c>
      <c r="CK15" s="136">
        <v>98733</v>
      </c>
      <c r="CL15" s="136">
        <v>98845</v>
      </c>
      <c r="CM15" s="136">
        <v>98856</v>
      </c>
      <c r="CN15" s="136">
        <v>98927</v>
      </c>
      <c r="CO15" s="136">
        <v>99026</v>
      </c>
      <c r="CP15" s="136">
        <v>99080</v>
      </c>
      <c r="CQ15" s="136">
        <v>99145</v>
      </c>
      <c r="CR15" s="136">
        <v>99167</v>
      </c>
      <c r="CS15" s="136">
        <v>99221</v>
      </c>
      <c r="CT15" s="136">
        <v>99235</v>
      </c>
      <c r="CU15" s="136">
        <v>99277</v>
      </c>
      <c r="CV15" s="136">
        <v>99300</v>
      </c>
      <c r="CW15" s="136">
        <v>99308</v>
      </c>
      <c r="CX15" s="136">
        <v>99366</v>
      </c>
      <c r="CY15" s="136">
        <v>99354</v>
      </c>
      <c r="CZ15" s="136">
        <v>99381</v>
      </c>
      <c r="DA15" s="136">
        <v>99372</v>
      </c>
      <c r="DB15" s="136">
        <v>99413</v>
      </c>
      <c r="DC15" s="136">
        <v>99418</v>
      </c>
      <c r="DD15" s="136">
        <v>99435</v>
      </c>
      <c r="DE15" s="136">
        <v>99430</v>
      </c>
      <c r="DF15" s="136">
        <v>99475</v>
      </c>
      <c r="DG15" s="136">
        <v>99484</v>
      </c>
      <c r="DH15" s="136">
        <v>99491</v>
      </c>
      <c r="DI15" s="136">
        <v>99499</v>
      </c>
      <c r="DJ15" s="136">
        <v>99535</v>
      </c>
      <c r="DK15" s="136">
        <v>99535</v>
      </c>
      <c r="DL15" s="136">
        <v>99540</v>
      </c>
      <c r="DM15" s="136">
        <v>99562</v>
      </c>
      <c r="DN15" s="136">
        <v>99582</v>
      </c>
      <c r="DO15" s="136">
        <v>99602</v>
      </c>
    </row>
    <row r="16" spans="1:119">
      <c r="A16" s="135">
        <v>14</v>
      </c>
      <c r="B16" s="136"/>
      <c r="C16" s="136"/>
      <c r="D16" s="136"/>
      <c r="E16" s="136"/>
      <c r="F16" s="136"/>
      <c r="G16" s="136"/>
      <c r="H16" s="136"/>
      <c r="I16" s="136"/>
      <c r="J16" s="136"/>
      <c r="K16" s="136"/>
      <c r="L16" s="136"/>
      <c r="M16" s="136"/>
      <c r="N16" s="136"/>
      <c r="O16" s="136"/>
      <c r="P16" s="136"/>
      <c r="Q16" s="136"/>
      <c r="R16" s="136"/>
      <c r="S16" s="136"/>
      <c r="T16" s="136"/>
      <c r="U16" s="136"/>
      <c r="V16" s="136"/>
      <c r="W16" s="136">
        <v>80901</v>
      </c>
      <c r="X16" s="136">
        <v>81641</v>
      </c>
      <c r="Y16" s="136">
        <v>81728</v>
      </c>
      <c r="Z16" s="136">
        <v>84075</v>
      </c>
      <c r="AA16" s="136">
        <v>84328</v>
      </c>
      <c r="AB16" s="136">
        <v>84901</v>
      </c>
      <c r="AC16" s="136">
        <v>85610</v>
      </c>
      <c r="AD16" s="136">
        <v>86470</v>
      </c>
      <c r="AE16" s="136">
        <v>86186</v>
      </c>
      <c r="AF16" s="136">
        <v>87379</v>
      </c>
      <c r="AG16" s="136">
        <v>87629</v>
      </c>
      <c r="AH16" s="136">
        <v>87873</v>
      </c>
      <c r="AI16" s="136">
        <v>88016</v>
      </c>
      <c r="AJ16" s="136">
        <v>89182</v>
      </c>
      <c r="AK16" s="136">
        <v>89028</v>
      </c>
      <c r="AL16" s="136">
        <v>89302</v>
      </c>
      <c r="AM16" s="136">
        <v>89542</v>
      </c>
      <c r="AN16" s="136">
        <v>89975</v>
      </c>
      <c r="AO16" s="136">
        <v>89930</v>
      </c>
      <c r="AP16" s="136">
        <v>90024</v>
      </c>
      <c r="AQ16" s="136">
        <v>90082</v>
      </c>
      <c r="AR16" s="136">
        <v>90129</v>
      </c>
      <c r="AS16" s="136">
        <v>89490</v>
      </c>
      <c r="AT16" s="136">
        <v>88606</v>
      </c>
      <c r="AU16" s="136">
        <v>87188</v>
      </c>
      <c r="AV16" s="136">
        <v>87746</v>
      </c>
      <c r="AW16" s="136">
        <v>88080</v>
      </c>
      <c r="AX16" s="136">
        <v>90443</v>
      </c>
      <c r="AY16" s="136">
        <v>92440</v>
      </c>
      <c r="AZ16" s="136">
        <v>92494</v>
      </c>
      <c r="BA16" s="136">
        <v>92588</v>
      </c>
      <c r="BB16" s="136">
        <v>93325</v>
      </c>
      <c r="BC16" s="136">
        <v>93566</v>
      </c>
      <c r="BD16" s="136">
        <v>94024</v>
      </c>
      <c r="BE16" s="136">
        <v>94097</v>
      </c>
      <c r="BF16" s="136">
        <v>94477</v>
      </c>
      <c r="BG16" s="136">
        <v>94508</v>
      </c>
      <c r="BH16" s="136">
        <v>94795</v>
      </c>
      <c r="BI16" s="136">
        <v>95055</v>
      </c>
      <c r="BJ16" s="136">
        <v>95136</v>
      </c>
      <c r="BK16" s="136">
        <v>95470</v>
      </c>
      <c r="BL16" s="136">
        <v>95754</v>
      </c>
      <c r="BM16" s="136">
        <v>96023</v>
      </c>
      <c r="BN16" s="136">
        <v>96293</v>
      </c>
      <c r="BO16" s="136">
        <v>96502</v>
      </c>
      <c r="BP16" s="136">
        <v>96568</v>
      </c>
      <c r="BQ16" s="136">
        <v>96680</v>
      </c>
      <c r="BR16" s="136">
        <v>96740</v>
      </c>
      <c r="BS16" s="136">
        <v>96702</v>
      </c>
      <c r="BT16" s="136">
        <v>96769</v>
      </c>
      <c r="BU16" s="136">
        <v>96876</v>
      </c>
      <c r="BV16" s="136">
        <v>96965</v>
      </c>
      <c r="BW16" s="136">
        <v>97007</v>
      </c>
      <c r="BX16" s="136">
        <v>97141</v>
      </c>
      <c r="BY16" s="136">
        <v>97333</v>
      </c>
      <c r="BZ16" s="136">
        <v>97640</v>
      </c>
      <c r="CA16" s="136">
        <v>97825</v>
      </c>
      <c r="CB16" s="136">
        <v>97894</v>
      </c>
      <c r="CC16" s="136">
        <v>98056</v>
      </c>
      <c r="CD16" s="136">
        <v>98161</v>
      </c>
      <c r="CE16" s="136">
        <v>98224</v>
      </c>
      <c r="CF16" s="136">
        <v>98388</v>
      </c>
      <c r="CG16" s="136">
        <v>98462</v>
      </c>
      <c r="CH16" s="136">
        <v>98555</v>
      </c>
      <c r="CI16" s="136">
        <v>98644</v>
      </c>
      <c r="CJ16" s="136">
        <v>98671</v>
      </c>
      <c r="CK16" s="136">
        <v>98714</v>
      </c>
      <c r="CL16" s="136">
        <v>98828</v>
      </c>
      <c r="CM16" s="136">
        <v>98841</v>
      </c>
      <c r="CN16" s="136">
        <v>98917</v>
      </c>
      <c r="CO16" s="136">
        <v>99013</v>
      </c>
      <c r="CP16" s="136">
        <v>99064</v>
      </c>
      <c r="CQ16" s="136">
        <v>99135</v>
      </c>
      <c r="CR16" s="136">
        <v>99158</v>
      </c>
      <c r="CS16" s="136">
        <v>99213</v>
      </c>
      <c r="CT16" s="136">
        <v>99223</v>
      </c>
      <c r="CU16" s="136">
        <v>99267</v>
      </c>
      <c r="CV16" s="136">
        <v>99283</v>
      </c>
      <c r="CW16" s="136">
        <v>99299</v>
      </c>
      <c r="CX16" s="136">
        <v>99357</v>
      </c>
      <c r="CY16" s="136">
        <v>99347</v>
      </c>
      <c r="CZ16" s="136">
        <v>99372</v>
      </c>
      <c r="DA16" s="136">
        <v>99363</v>
      </c>
      <c r="DB16" s="136">
        <v>99404</v>
      </c>
      <c r="DC16" s="136">
        <v>99409</v>
      </c>
      <c r="DD16" s="136">
        <v>99426</v>
      </c>
      <c r="DE16" s="136">
        <v>99422</v>
      </c>
      <c r="DF16" s="136">
        <v>99468</v>
      </c>
      <c r="DG16" s="136">
        <v>99477</v>
      </c>
      <c r="DH16" s="136">
        <v>99484</v>
      </c>
      <c r="DI16" s="136">
        <v>99493</v>
      </c>
      <c r="DJ16" s="136">
        <v>99529</v>
      </c>
      <c r="DK16" s="136">
        <v>99529</v>
      </c>
      <c r="DL16" s="136">
        <v>99534</v>
      </c>
      <c r="DM16" s="136">
        <v>99556</v>
      </c>
      <c r="DN16" s="136">
        <v>99577</v>
      </c>
      <c r="DO16" s="136">
        <v>99597</v>
      </c>
    </row>
    <row r="17" spans="1:119">
      <c r="A17" s="135">
        <v>15</v>
      </c>
      <c r="B17" s="136"/>
      <c r="C17" s="136"/>
      <c r="D17" s="136"/>
      <c r="E17" s="136"/>
      <c r="F17" s="136"/>
      <c r="G17" s="136"/>
      <c r="H17" s="136"/>
      <c r="I17" s="136"/>
      <c r="J17" s="136"/>
      <c r="K17" s="136"/>
      <c r="L17" s="136"/>
      <c r="M17" s="136"/>
      <c r="N17" s="136"/>
      <c r="O17" s="136"/>
      <c r="P17" s="136"/>
      <c r="Q17" s="136"/>
      <c r="R17" s="136"/>
      <c r="S17" s="136"/>
      <c r="T17" s="136"/>
      <c r="U17" s="136"/>
      <c r="V17" s="136"/>
      <c r="W17" s="136">
        <v>80754</v>
      </c>
      <c r="X17" s="136">
        <v>81499</v>
      </c>
      <c r="Y17" s="136">
        <v>81599</v>
      </c>
      <c r="Z17" s="136">
        <v>83952</v>
      </c>
      <c r="AA17" s="136">
        <v>84195</v>
      </c>
      <c r="AB17" s="136">
        <v>84767</v>
      </c>
      <c r="AC17" s="136">
        <v>85475</v>
      </c>
      <c r="AD17" s="136">
        <v>86333</v>
      </c>
      <c r="AE17" s="136">
        <v>86037</v>
      </c>
      <c r="AF17" s="136">
        <v>87207</v>
      </c>
      <c r="AG17" s="136">
        <v>87422</v>
      </c>
      <c r="AH17" s="136">
        <v>87742</v>
      </c>
      <c r="AI17" s="136">
        <v>87885</v>
      </c>
      <c r="AJ17" s="136">
        <v>89084</v>
      </c>
      <c r="AK17" s="136">
        <v>88950</v>
      </c>
      <c r="AL17" s="136">
        <v>89223</v>
      </c>
      <c r="AM17" s="136">
        <v>89463</v>
      </c>
      <c r="AN17" s="136">
        <v>89908</v>
      </c>
      <c r="AO17" s="136">
        <v>89871</v>
      </c>
      <c r="AP17" s="136">
        <v>89966</v>
      </c>
      <c r="AQ17" s="136">
        <v>90025</v>
      </c>
      <c r="AR17" s="136">
        <v>90070</v>
      </c>
      <c r="AS17" s="136">
        <v>89432</v>
      </c>
      <c r="AT17" s="136">
        <v>88549</v>
      </c>
      <c r="AU17" s="136">
        <v>87142</v>
      </c>
      <c r="AV17" s="136">
        <v>87695</v>
      </c>
      <c r="AW17" s="136">
        <v>88034</v>
      </c>
      <c r="AX17" s="136">
        <v>90387</v>
      </c>
      <c r="AY17" s="136">
        <v>92391</v>
      </c>
      <c r="AZ17" s="136">
        <v>92438</v>
      </c>
      <c r="BA17" s="136">
        <v>92535</v>
      </c>
      <c r="BB17" s="136">
        <v>93268</v>
      </c>
      <c r="BC17" s="136">
        <v>93509</v>
      </c>
      <c r="BD17" s="136">
        <v>93973</v>
      </c>
      <c r="BE17" s="136">
        <v>94044</v>
      </c>
      <c r="BF17" s="136">
        <v>94425</v>
      </c>
      <c r="BG17" s="136">
        <v>94453</v>
      </c>
      <c r="BH17" s="136">
        <v>94747</v>
      </c>
      <c r="BI17" s="136">
        <v>95010</v>
      </c>
      <c r="BJ17" s="136">
        <v>95092</v>
      </c>
      <c r="BK17" s="136">
        <v>95418</v>
      </c>
      <c r="BL17" s="136">
        <v>95712</v>
      </c>
      <c r="BM17" s="136">
        <v>95975</v>
      </c>
      <c r="BN17" s="136">
        <v>96254</v>
      </c>
      <c r="BO17" s="136">
        <v>96462</v>
      </c>
      <c r="BP17" s="136">
        <v>96527</v>
      </c>
      <c r="BQ17" s="136">
        <v>96646</v>
      </c>
      <c r="BR17" s="136">
        <v>96704</v>
      </c>
      <c r="BS17" s="136">
        <v>96671</v>
      </c>
      <c r="BT17" s="136">
        <v>96739</v>
      </c>
      <c r="BU17" s="136">
        <v>96845</v>
      </c>
      <c r="BV17" s="136">
        <v>96938</v>
      </c>
      <c r="BW17" s="136">
        <v>96976</v>
      </c>
      <c r="BX17" s="136">
        <v>97115</v>
      </c>
      <c r="BY17" s="136">
        <v>97308</v>
      </c>
      <c r="BZ17" s="136">
        <v>97609</v>
      </c>
      <c r="CA17" s="136">
        <v>97800</v>
      </c>
      <c r="CB17" s="136">
        <v>97870</v>
      </c>
      <c r="CC17" s="136">
        <v>98032</v>
      </c>
      <c r="CD17" s="136">
        <v>98139</v>
      </c>
      <c r="CE17" s="136">
        <v>98199</v>
      </c>
      <c r="CF17" s="136">
        <v>98365</v>
      </c>
      <c r="CG17" s="136">
        <v>98440</v>
      </c>
      <c r="CH17" s="136">
        <v>98531</v>
      </c>
      <c r="CI17" s="136">
        <v>98624</v>
      </c>
      <c r="CJ17" s="136">
        <v>98651</v>
      </c>
      <c r="CK17" s="136">
        <v>98696</v>
      </c>
      <c r="CL17" s="136">
        <v>98809</v>
      </c>
      <c r="CM17" s="136">
        <v>98824</v>
      </c>
      <c r="CN17" s="136">
        <v>98900</v>
      </c>
      <c r="CO17" s="136">
        <v>99001</v>
      </c>
      <c r="CP17" s="136">
        <v>99046</v>
      </c>
      <c r="CQ17" s="136">
        <v>99122</v>
      </c>
      <c r="CR17" s="136">
        <v>99139</v>
      </c>
      <c r="CS17" s="136">
        <v>99199</v>
      </c>
      <c r="CT17" s="136">
        <v>99208</v>
      </c>
      <c r="CU17" s="136">
        <v>99255</v>
      </c>
      <c r="CV17" s="136">
        <v>99273</v>
      </c>
      <c r="CW17" s="136">
        <v>99287</v>
      </c>
      <c r="CX17" s="136">
        <v>99344</v>
      </c>
      <c r="CY17" s="136">
        <v>99334</v>
      </c>
      <c r="CZ17" s="136">
        <v>99360</v>
      </c>
      <c r="DA17" s="136">
        <v>99352</v>
      </c>
      <c r="DB17" s="136">
        <v>99393</v>
      </c>
      <c r="DC17" s="136">
        <v>99399</v>
      </c>
      <c r="DD17" s="136">
        <v>99416</v>
      </c>
      <c r="DE17" s="136">
        <v>99413</v>
      </c>
      <c r="DF17" s="136">
        <v>99458</v>
      </c>
      <c r="DG17" s="136">
        <v>99468</v>
      </c>
      <c r="DH17" s="136">
        <v>99475</v>
      </c>
      <c r="DI17" s="136">
        <v>99484</v>
      </c>
      <c r="DJ17" s="136">
        <v>99521</v>
      </c>
      <c r="DK17" s="136">
        <v>99521</v>
      </c>
      <c r="DL17" s="136">
        <v>99527</v>
      </c>
      <c r="DM17" s="136">
        <v>99549</v>
      </c>
      <c r="DN17" s="136">
        <v>99570</v>
      </c>
      <c r="DO17" s="136">
        <v>99590</v>
      </c>
    </row>
    <row r="18" spans="1:119">
      <c r="A18" s="135">
        <v>16</v>
      </c>
      <c r="B18" s="136"/>
      <c r="C18" s="136"/>
      <c r="D18" s="136"/>
      <c r="E18" s="136"/>
      <c r="F18" s="136"/>
      <c r="G18" s="136"/>
      <c r="H18" s="136"/>
      <c r="I18" s="136"/>
      <c r="J18" s="136"/>
      <c r="K18" s="136"/>
      <c r="L18" s="136"/>
      <c r="M18" s="136"/>
      <c r="N18" s="136"/>
      <c r="O18" s="136"/>
      <c r="P18" s="136"/>
      <c r="Q18" s="136"/>
      <c r="R18" s="136"/>
      <c r="S18" s="136"/>
      <c r="T18" s="136"/>
      <c r="U18" s="136"/>
      <c r="V18" s="136"/>
      <c r="W18" s="136">
        <v>80604</v>
      </c>
      <c r="X18" s="136">
        <v>81345</v>
      </c>
      <c r="Y18" s="136">
        <v>81455</v>
      </c>
      <c r="Z18" s="136">
        <v>83793</v>
      </c>
      <c r="AA18" s="136">
        <v>84035</v>
      </c>
      <c r="AB18" s="136">
        <v>84606</v>
      </c>
      <c r="AC18" s="136">
        <v>85313</v>
      </c>
      <c r="AD18" s="136">
        <v>86153</v>
      </c>
      <c r="AE18" s="136">
        <v>85833</v>
      </c>
      <c r="AF18" s="136">
        <v>86959</v>
      </c>
      <c r="AG18" s="136">
        <v>87267</v>
      </c>
      <c r="AH18" s="136">
        <v>87586</v>
      </c>
      <c r="AI18" s="136">
        <v>87769</v>
      </c>
      <c r="AJ18" s="136">
        <v>88991</v>
      </c>
      <c r="AK18" s="136">
        <v>88857</v>
      </c>
      <c r="AL18" s="136">
        <v>89130</v>
      </c>
      <c r="AM18" s="136">
        <v>89383</v>
      </c>
      <c r="AN18" s="136">
        <v>89838</v>
      </c>
      <c r="AO18" s="136">
        <v>89797</v>
      </c>
      <c r="AP18" s="136">
        <v>89893</v>
      </c>
      <c r="AQ18" s="136">
        <v>89948</v>
      </c>
      <c r="AR18" s="136">
        <v>90001</v>
      </c>
      <c r="AS18" s="136">
        <v>89361</v>
      </c>
      <c r="AT18" s="136">
        <v>88484</v>
      </c>
      <c r="AU18" s="136">
        <v>87085</v>
      </c>
      <c r="AV18" s="136">
        <v>87631</v>
      </c>
      <c r="AW18" s="136">
        <v>87974</v>
      </c>
      <c r="AX18" s="136">
        <v>90322</v>
      </c>
      <c r="AY18" s="136">
        <v>92330</v>
      </c>
      <c r="AZ18" s="136">
        <v>92378</v>
      </c>
      <c r="BA18" s="136">
        <v>92475</v>
      </c>
      <c r="BB18" s="136">
        <v>93207</v>
      </c>
      <c r="BC18" s="136">
        <v>93447</v>
      </c>
      <c r="BD18" s="136">
        <v>93907</v>
      </c>
      <c r="BE18" s="136">
        <v>93976</v>
      </c>
      <c r="BF18" s="136">
        <v>94359</v>
      </c>
      <c r="BG18" s="136">
        <v>94385</v>
      </c>
      <c r="BH18" s="136">
        <v>94686</v>
      </c>
      <c r="BI18" s="136">
        <v>94946</v>
      </c>
      <c r="BJ18" s="136">
        <v>95030</v>
      </c>
      <c r="BK18" s="136">
        <v>95357</v>
      </c>
      <c r="BL18" s="136">
        <v>95648</v>
      </c>
      <c r="BM18" s="136">
        <v>95918</v>
      </c>
      <c r="BN18" s="136">
        <v>96197</v>
      </c>
      <c r="BO18" s="136">
        <v>96406</v>
      </c>
      <c r="BP18" s="136">
        <v>96473</v>
      </c>
      <c r="BQ18" s="136">
        <v>96598</v>
      </c>
      <c r="BR18" s="136">
        <v>96658</v>
      </c>
      <c r="BS18" s="136">
        <v>96631</v>
      </c>
      <c r="BT18" s="136">
        <v>96697</v>
      </c>
      <c r="BU18" s="136">
        <v>96804</v>
      </c>
      <c r="BV18" s="136">
        <v>96895</v>
      </c>
      <c r="BW18" s="136">
        <v>96937</v>
      </c>
      <c r="BX18" s="136">
        <v>97079</v>
      </c>
      <c r="BY18" s="136">
        <v>97268</v>
      </c>
      <c r="BZ18" s="136">
        <v>97578</v>
      </c>
      <c r="CA18" s="136">
        <v>97765</v>
      </c>
      <c r="CB18" s="136">
        <v>97833</v>
      </c>
      <c r="CC18" s="136">
        <v>98000</v>
      </c>
      <c r="CD18" s="136">
        <v>98105</v>
      </c>
      <c r="CE18" s="136">
        <v>98172</v>
      </c>
      <c r="CF18" s="136">
        <v>98339</v>
      </c>
      <c r="CG18" s="136">
        <v>98409</v>
      </c>
      <c r="CH18" s="136">
        <v>98508</v>
      </c>
      <c r="CI18" s="136">
        <v>98603</v>
      </c>
      <c r="CJ18" s="136">
        <v>98626</v>
      </c>
      <c r="CK18" s="136">
        <v>98671</v>
      </c>
      <c r="CL18" s="136">
        <v>98783</v>
      </c>
      <c r="CM18" s="136">
        <v>98804</v>
      </c>
      <c r="CN18" s="136">
        <v>98882</v>
      </c>
      <c r="CO18" s="136">
        <v>98983</v>
      </c>
      <c r="CP18" s="136">
        <v>99026</v>
      </c>
      <c r="CQ18" s="136">
        <v>99100</v>
      </c>
      <c r="CR18" s="136">
        <v>99117</v>
      </c>
      <c r="CS18" s="136">
        <v>99183</v>
      </c>
      <c r="CT18" s="136">
        <v>99195</v>
      </c>
      <c r="CU18" s="136">
        <v>99237</v>
      </c>
      <c r="CV18" s="136">
        <v>99256</v>
      </c>
      <c r="CW18" s="136">
        <v>99273</v>
      </c>
      <c r="CX18" s="136">
        <v>99328</v>
      </c>
      <c r="CY18" s="136">
        <v>99319</v>
      </c>
      <c r="CZ18" s="136">
        <v>99345</v>
      </c>
      <c r="DA18" s="136">
        <v>99337</v>
      </c>
      <c r="DB18" s="136">
        <v>99379</v>
      </c>
      <c r="DC18" s="136">
        <v>99386</v>
      </c>
      <c r="DD18" s="136">
        <v>99403</v>
      </c>
      <c r="DE18" s="136">
        <v>99400</v>
      </c>
      <c r="DF18" s="136">
        <v>99446</v>
      </c>
      <c r="DG18" s="136">
        <v>99456</v>
      </c>
      <c r="DH18" s="136">
        <v>99464</v>
      </c>
      <c r="DI18" s="136">
        <v>99473</v>
      </c>
      <c r="DJ18" s="136">
        <v>99510</v>
      </c>
      <c r="DK18" s="136">
        <v>99511</v>
      </c>
      <c r="DL18" s="136">
        <v>99517</v>
      </c>
      <c r="DM18" s="136">
        <v>99540</v>
      </c>
      <c r="DN18" s="136">
        <v>99561</v>
      </c>
      <c r="DO18" s="136">
        <v>99581</v>
      </c>
    </row>
    <row r="19" spans="1:119">
      <c r="A19" s="135">
        <v>17</v>
      </c>
      <c r="B19" s="136"/>
      <c r="C19" s="136"/>
      <c r="D19" s="136"/>
      <c r="E19" s="136"/>
      <c r="F19" s="136"/>
      <c r="G19" s="136"/>
      <c r="H19" s="136"/>
      <c r="I19" s="136"/>
      <c r="J19" s="136"/>
      <c r="K19" s="136"/>
      <c r="L19" s="136"/>
      <c r="M19" s="136"/>
      <c r="N19" s="136"/>
      <c r="O19" s="136"/>
      <c r="P19" s="136"/>
      <c r="Q19" s="136"/>
      <c r="R19" s="136"/>
      <c r="S19" s="136"/>
      <c r="T19" s="136"/>
      <c r="U19" s="136"/>
      <c r="V19" s="136"/>
      <c r="W19" s="136">
        <v>80420</v>
      </c>
      <c r="X19" s="136">
        <v>81173</v>
      </c>
      <c r="Y19" s="136">
        <v>81270</v>
      </c>
      <c r="Z19" s="136">
        <v>83602</v>
      </c>
      <c r="AA19" s="136">
        <v>83844</v>
      </c>
      <c r="AB19" s="136">
        <v>84414</v>
      </c>
      <c r="AC19" s="136">
        <v>85099</v>
      </c>
      <c r="AD19" s="136">
        <v>85908</v>
      </c>
      <c r="AE19" s="136">
        <v>85540</v>
      </c>
      <c r="AF19" s="136">
        <v>86775</v>
      </c>
      <c r="AG19" s="136">
        <v>87082</v>
      </c>
      <c r="AH19" s="136">
        <v>87449</v>
      </c>
      <c r="AI19" s="136">
        <v>87666</v>
      </c>
      <c r="AJ19" s="136">
        <v>88886</v>
      </c>
      <c r="AK19" s="136">
        <v>88752</v>
      </c>
      <c r="AL19" s="136">
        <v>89037</v>
      </c>
      <c r="AM19" s="136">
        <v>89296</v>
      </c>
      <c r="AN19" s="136">
        <v>89751</v>
      </c>
      <c r="AO19" s="136">
        <v>89712</v>
      </c>
      <c r="AP19" s="136">
        <v>89806</v>
      </c>
      <c r="AQ19" s="136">
        <v>89857</v>
      </c>
      <c r="AR19" s="136">
        <v>89917</v>
      </c>
      <c r="AS19" s="136">
        <v>89270</v>
      </c>
      <c r="AT19" s="136">
        <v>88397</v>
      </c>
      <c r="AU19" s="136">
        <v>87004</v>
      </c>
      <c r="AV19" s="136">
        <v>87548</v>
      </c>
      <c r="AW19" s="136">
        <v>87888</v>
      </c>
      <c r="AX19" s="136">
        <v>90230</v>
      </c>
      <c r="AY19" s="136">
        <v>92237</v>
      </c>
      <c r="AZ19" s="136">
        <v>92282</v>
      </c>
      <c r="BA19" s="136">
        <v>92369</v>
      </c>
      <c r="BB19" s="136">
        <v>93110</v>
      </c>
      <c r="BC19" s="136">
        <v>93336</v>
      </c>
      <c r="BD19" s="136">
        <v>93799</v>
      </c>
      <c r="BE19" s="136">
        <v>93864</v>
      </c>
      <c r="BF19" s="136">
        <v>94246</v>
      </c>
      <c r="BG19" s="136">
        <v>94280</v>
      </c>
      <c r="BH19" s="136">
        <v>94573</v>
      </c>
      <c r="BI19" s="136">
        <v>94842</v>
      </c>
      <c r="BJ19" s="136">
        <v>94927</v>
      </c>
      <c r="BK19" s="136">
        <v>95254</v>
      </c>
      <c r="BL19" s="136">
        <v>95555</v>
      </c>
      <c r="BM19" s="136">
        <v>95823</v>
      </c>
      <c r="BN19" s="136">
        <v>96111</v>
      </c>
      <c r="BO19" s="136">
        <v>96327</v>
      </c>
      <c r="BP19" s="136">
        <v>96393</v>
      </c>
      <c r="BQ19" s="136">
        <v>96518</v>
      </c>
      <c r="BR19" s="136">
        <v>96591</v>
      </c>
      <c r="BS19" s="136">
        <v>96573</v>
      </c>
      <c r="BT19" s="136">
        <v>96636</v>
      </c>
      <c r="BU19" s="136">
        <v>96747</v>
      </c>
      <c r="BV19" s="136">
        <v>96838</v>
      </c>
      <c r="BW19" s="136">
        <v>96887</v>
      </c>
      <c r="BX19" s="136">
        <v>97022</v>
      </c>
      <c r="BY19" s="136">
        <v>97212</v>
      </c>
      <c r="BZ19" s="136">
        <v>97529</v>
      </c>
      <c r="CA19" s="136">
        <v>97712</v>
      </c>
      <c r="CB19" s="136">
        <v>97782</v>
      </c>
      <c r="CC19" s="136">
        <v>97948</v>
      </c>
      <c r="CD19" s="136">
        <v>98052</v>
      </c>
      <c r="CE19" s="136">
        <v>98126</v>
      </c>
      <c r="CF19" s="136">
        <v>98299</v>
      </c>
      <c r="CG19" s="136">
        <v>98367</v>
      </c>
      <c r="CH19" s="136">
        <v>98465</v>
      </c>
      <c r="CI19" s="136">
        <v>98558</v>
      </c>
      <c r="CJ19" s="136">
        <v>98586</v>
      </c>
      <c r="CK19" s="136">
        <v>98639</v>
      </c>
      <c r="CL19" s="136">
        <v>98751</v>
      </c>
      <c r="CM19" s="136">
        <v>98771</v>
      </c>
      <c r="CN19" s="136">
        <v>98851</v>
      </c>
      <c r="CO19" s="136">
        <v>98952</v>
      </c>
      <c r="CP19" s="136">
        <v>99001</v>
      </c>
      <c r="CQ19" s="136">
        <v>99075</v>
      </c>
      <c r="CR19" s="136">
        <v>99091</v>
      </c>
      <c r="CS19" s="136">
        <v>99159</v>
      </c>
      <c r="CT19" s="136">
        <v>99170</v>
      </c>
      <c r="CU19" s="136">
        <v>99211</v>
      </c>
      <c r="CV19" s="136">
        <v>99232</v>
      </c>
      <c r="CW19" s="136">
        <v>99252</v>
      </c>
      <c r="CX19" s="136">
        <v>99307</v>
      </c>
      <c r="CY19" s="136">
        <v>99298</v>
      </c>
      <c r="CZ19" s="136">
        <v>99325</v>
      </c>
      <c r="DA19" s="136">
        <v>99319</v>
      </c>
      <c r="DB19" s="136">
        <v>99361</v>
      </c>
      <c r="DC19" s="136">
        <v>99368</v>
      </c>
      <c r="DD19" s="136">
        <v>99386</v>
      </c>
      <c r="DE19" s="136">
        <v>99384</v>
      </c>
      <c r="DF19" s="136">
        <v>99431</v>
      </c>
      <c r="DG19" s="136">
        <v>99441</v>
      </c>
      <c r="DH19" s="136">
        <v>99450</v>
      </c>
      <c r="DI19" s="136">
        <v>99459</v>
      </c>
      <c r="DJ19" s="136">
        <v>99497</v>
      </c>
      <c r="DK19" s="136">
        <v>99498</v>
      </c>
      <c r="DL19" s="136">
        <v>99505</v>
      </c>
      <c r="DM19" s="136">
        <v>99527</v>
      </c>
      <c r="DN19" s="136">
        <v>99549</v>
      </c>
      <c r="DO19" s="136">
        <v>99570</v>
      </c>
    </row>
    <row r="20" spans="1:119">
      <c r="A20" s="135">
        <v>18</v>
      </c>
      <c r="B20" s="136"/>
      <c r="C20" s="136"/>
      <c r="D20" s="136"/>
      <c r="E20" s="136"/>
      <c r="F20" s="136"/>
      <c r="G20" s="136"/>
      <c r="H20" s="136"/>
      <c r="I20" s="136"/>
      <c r="J20" s="136"/>
      <c r="K20" s="136"/>
      <c r="L20" s="136"/>
      <c r="M20" s="136"/>
      <c r="N20" s="136"/>
      <c r="O20" s="136"/>
      <c r="P20" s="136"/>
      <c r="Q20" s="136"/>
      <c r="R20" s="136"/>
      <c r="S20" s="136"/>
      <c r="T20" s="136"/>
      <c r="U20" s="136"/>
      <c r="V20" s="136"/>
      <c r="W20" s="136">
        <v>80244</v>
      </c>
      <c r="X20" s="136">
        <v>80986</v>
      </c>
      <c r="Y20" s="136">
        <v>81083</v>
      </c>
      <c r="Z20" s="136">
        <v>83410</v>
      </c>
      <c r="AA20" s="136">
        <v>83651</v>
      </c>
      <c r="AB20" s="136">
        <v>84200</v>
      </c>
      <c r="AC20" s="136">
        <v>84855</v>
      </c>
      <c r="AD20" s="136">
        <v>85553</v>
      </c>
      <c r="AE20" s="136">
        <v>85325</v>
      </c>
      <c r="AF20" s="136">
        <v>86557</v>
      </c>
      <c r="AG20" s="136">
        <v>86917</v>
      </c>
      <c r="AH20" s="136">
        <v>87330</v>
      </c>
      <c r="AI20" s="136">
        <v>87547</v>
      </c>
      <c r="AJ20" s="136">
        <v>88766</v>
      </c>
      <c r="AK20" s="136">
        <v>88643</v>
      </c>
      <c r="AL20" s="136">
        <v>88933</v>
      </c>
      <c r="AM20" s="136">
        <v>89206</v>
      </c>
      <c r="AN20" s="136">
        <v>89651</v>
      </c>
      <c r="AO20" s="136">
        <v>89613</v>
      </c>
      <c r="AP20" s="136">
        <v>89708</v>
      </c>
      <c r="AQ20" s="136">
        <v>89752</v>
      </c>
      <c r="AR20" s="136">
        <v>89823</v>
      </c>
      <c r="AS20" s="136">
        <v>89162</v>
      </c>
      <c r="AT20" s="136">
        <v>88292</v>
      </c>
      <c r="AU20" s="136">
        <v>86911</v>
      </c>
      <c r="AV20" s="136">
        <v>87432</v>
      </c>
      <c r="AW20" s="136">
        <v>87790</v>
      </c>
      <c r="AX20" s="136">
        <v>90118</v>
      </c>
      <c r="AY20" s="136">
        <v>92115</v>
      </c>
      <c r="AZ20" s="136">
        <v>92168</v>
      </c>
      <c r="BA20" s="136">
        <v>92240</v>
      </c>
      <c r="BB20" s="136">
        <v>92979</v>
      </c>
      <c r="BC20" s="136">
        <v>93202</v>
      </c>
      <c r="BD20" s="136">
        <v>93663</v>
      </c>
      <c r="BE20" s="136">
        <v>93734</v>
      </c>
      <c r="BF20" s="136">
        <v>94125</v>
      </c>
      <c r="BG20" s="136">
        <v>94154</v>
      </c>
      <c r="BH20" s="136">
        <v>94446</v>
      </c>
      <c r="BI20" s="136">
        <v>94713</v>
      </c>
      <c r="BJ20" s="136">
        <v>94805</v>
      </c>
      <c r="BK20" s="136">
        <v>95144</v>
      </c>
      <c r="BL20" s="136">
        <v>95443</v>
      </c>
      <c r="BM20" s="136">
        <v>95713</v>
      </c>
      <c r="BN20" s="136">
        <v>96007</v>
      </c>
      <c r="BO20" s="136">
        <v>96228</v>
      </c>
      <c r="BP20" s="136">
        <v>96307</v>
      </c>
      <c r="BQ20" s="136">
        <v>96432</v>
      </c>
      <c r="BR20" s="136">
        <v>96513</v>
      </c>
      <c r="BS20" s="136">
        <v>96497</v>
      </c>
      <c r="BT20" s="136">
        <v>96562</v>
      </c>
      <c r="BU20" s="136">
        <v>96678</v>
      </c>
      <c r="BV20" s="136">
        <v>96772</v>
      </c>
      <c r="BW20" s="136">
        <v>96813</v>
      </c>
      <c r="BX20" s="136">
        <v>96949</v>
      </c>
      <c r="BY20" s="136">
        <v>97143</v>
      </c>
      <c r="BZ20" s="136">
        <v>97469</v>
      </c>
      <c r="CA20" s="136">
        <v>97645</v>
      </c>
      <c r="CB20" s="136">
        <v>97714</v>
      </c>
      <c r="CC20" s="136">
        <v>97890</v>
      </c>
      <c r="CD20" s="136">
        <v>97990</v>
      </c>
      <c r="CE20" s="136">
        <v>98064</v>
      </c>
      <c r="CF20" s="136">
        <v>98243</v>
      </c>
      <c r="CG20" s="136">
        <v>98319</v>
      </c>
      <c r="CH20" s="136">
        <v>98414</v>
      </c>
      <c r="CI20" s="136">
        <v>98507</v>
      </c>
      <c r="CJ20" s="136">
        <v>98538</v>
      </c>
      <c r="CK20" s="136">
        <v>98597</v>
      </c>
      <c r="CL20" s="136">
        <v>98713</v>
      </c>
      <c r="CM20" s="136">
        <v>98734</v>
      </c>
      <c r="CN20" s="136">
        <v>98822</v>
      </c>
      <c r="CO20" s="136">
        <v>98916</v>
      </c>
      <c r="CP20" s="136">
        <v>98966</v>
      </c>
      <c r="CQ20" s="136">
        <v>99043</v>
      </c>
      <c r="CR20" s="136">
        <v>99055</v>
      </c>
      <c r="CS20" s="136">
        <v>99124</v>
      </c>
      <c r="CT20" s="136">
        <v>99142</v>
      </c>
      <c r="CU20" s="136">
        <v>99183</v>
      </c>
      <c r="CV20" s="136">
        <v>99203</v>
      </c>
      <c r="CW20" s="136">
        <v>99224</v>
      </c>
      <c r="CX20" s="136">
        <v>99280</v>
      </c>
      <c r="CY20" s="136">
        <v>99273</v>
      </c>
      <c r="CZ20" s="136">
        <v>99300</v>
      </c>
      <c r="DA20" s="136">
        <v>99294</v>
      </c>
      <c r="DB20" s="136">
        <v>99338</v>
      </c>
      <c r="DC20" s="136">
        <v>99345</v>
      </c>
      <c r="DD20" s="136">
        <v>99365</v>
      </c>
      <c r="DE20" s="136">
        <v>99363</v>
      </c>
      <c r="DF20" s="136">
        <v>99410</v>
      </c>
      <c r="DG20" s="136">
        <v>99421</v>
      </c>
      <c r="DH20" s="136">
        <v>99431</v>
      </c>
      <c r="DI20" s="136">
        <v>99441</v>
      </c>
      <c r="DJ20" s="136">
        <v>99479</v>
      </c>
      <c r="DK20" s="136">
        <v>99481</v>
      </c>
      <c r="DL20" s="136">
        <v>99488</v>
      </c>
      <c r="DM20" s="136">
        <v>99512</v>
      </c>
      <c r="DN20" s="136">
        <v>99534</v>
      </c>
      <c r="DO20" s="136">
        <v>99555</v>
      </c>
    </row>
    <row r="21" spans="1:119">
      <c r="A21" s="135">
        <v>19</v>
      </c>
      <c r="B21" s="136"/>
      <c r="C21" s="136"/>
      <c r="D21" s="136"/>
      <c r="E21" s="136"/>
      <c r="F21" s="136"/>
      <c r="G21" s="136"/>
      <c r="H21" s="136"/>
      <c r="I21" s="136"/>
      <c r="J21" s="136"/>
      <c r="K21" s="136"/>
      <c r="L21" s="136"/>
      <c r="M21" s="136"/>
      <c r="N21" s="136"/>
      <c r="O21" s="136"/>
      <c r="P21" s="136"/>
      <c r="Q21" s="136"/>
      <c r="R21" s="136"/>
      <c r="S21" s="136"/>
      <c r="T21" s="136"/>
      <c r="U21" s="136"/>
      <c r="V21" s="136"/>
      <c r="W21" s="136">
        <v>80037</v>
      </c>
      <c r="X21" s="136">
        <v>80778</v>
      </c>
      <c r="Y21" s="136">
        <v>80875</v>
      </c>
      <c r="Z21" s="136">
        <v>83195</v>
      </c>
      <c r="AA21" s="136">
        <v>83414</v>
      </c>
      <c r="AB21" s="136">
        <v>83930</v>
      </c>
      <c r="AC21" s="136">
        <v>84462</v>
      </c>
      <c r="AD21" s="136">
        <v>85295</v>
      </c>
      <c r="AE21" s="136">
        <v>85068</v>
      </c>
      <c r="AF21" s="136">
        <v>86360</v>
      </c>
      <c r="AG21" s="136">
        <v>86782</v>
      </c>
      <c r="AH21" s="136">
        <v>87195</v>
      </c>
      <c r="AI21" s="136">
        <v>87411</v>
      </c>
      <c r="AJ21" s="136">
        <v>88641</v>
      </c>
      <c r="AK21" s="136">
        <v>88522</v>
      </c>
      <c r="AL21" s="136">
        <v>88808</v>
      </c>
      <c r="AM21" s="136">
        <v>89077</v>
      </c>
      <c r="AN21" s="136">
        <v>89511</v>
      </c>
      <c r="AO21" s="136">
        <v>89478</v>
      </c>
      <c r="AP21" s="136">
        <v>89577</v>
      </c>
      <c r="AQ21" s="136">
        <v>89616</v>
      </c>
      <c r="AR21" s="136">
        <v>89687</v>
      </c>
      <c r="AS21" s="136">
        <v>89032</v>
      </c>
      <c r="AT21" s="136">
        <v>88160</v>
      </c>
      <c r="AU21" s="136">
        <v>86782</v>
      </c>
      <c r="AV21" s="136">
        <v>87296</v>
      </c>
      <c r="AW21" s="136">
        <v>87659</v>
      </c>
      <c r="AX21" s="136">
        <v>89973</v>
      </c>
      <c r="AY21" s="136">
        <v>91970</v>
      </c>
      <c r="AZ21" s="136">
        <v>92022</v>
      </c>
      <c r="BA21" s="136">
        <v>92071</v>
      </c>
      <c r="BB21" s="136">
        <v>92807</v>
      </c>
      <c r="BC21" s="136">
        <v>93024</v>
      </c>
      <c r="BD21" s="136">
        <v>93493</v>
      </c>
      <c r="BE21" s="136">
        <v>93573</v>
      </c>
      <c r="BF21" s="136">
        <v>93962</v>
      </c>
      <c r="BG21" s="136">
        <v>93982</v>
      </c>
      <c r="BH21" s="136">
        <v>94274</v>
      </c>
      <c r="BI21" s="136">
        <v>94547</v>
      </c>
      <c r="BJ21" s="136">
        <v>94637</v>
      </c>
      <c r="BK21" s="136">
        <v>94989</v>
      </c>
      <c r="BL21" s="136">
        <v>95298</v>
      </c>
      <c r="BM21" s="136">
        <v>95577</v>
      </c>
      <c r="BN21" s="136">
        <v>95870</v>
      </c>
      <c r="BO21" s="136">
        <v>96098</v>
      </c>
      <c r="BP21" s="136">
        <v>96199</v>
      </c>
      <c r="BQ21" s="136">
        <v>96326</v>
      </c>
      <c r="BR21" s="136">
        <v>96419</v>
      </c>
      <c r="BS21" s="136">
        <v>96394</v>
      </c>
      <c r="BT21" s="136">
        <v>96467</v>
      </c>
      <c r="BU21" s="136">
        <v>96580</v>
      </c>
      <c r="BV21" s="136">
        <v>96668</v>
      </c>
      <c r="BW21" s="136">
        <v>96710</v>
      </c>
      <c r="BX21" s="136">
        <v>96845</v>
      </c>
      <c r="BY21" s="136">
        <v>97038</v>
      </c>
      <c r="BZ21" s="136">
        <v>97360</v>
      </c>
      <c r="CA21" s="136">
        <v>97536</v>
      </c>
      <c r="CB21" s="136">
        <v>97605</v>
      </c>
      <c r="CC21" s="136">
        <v>97784</v>
      </c>
      <c r="CD21" s="136">
        <v>97895</v>
      </c>
      <c r="CE21" s="136">
        <v>97968</v>
      </c>
      <c r="CF21" s="136">
        <v>98148</v>
      </c>
      <c r="CG21" s="136">
        <v>98235</v>
      </c>
      <c r="CH21" s="136">
        <v>98333</v>
      </c>
      <c r="CI21" s="136">
        <v>98437</v>
      </c>
      <c r="CJ21" s="136">
        <v>98475</v>
      </c>
      <c r="CK21" s="136">
        <v>98532</v>
      </c>
      <c r="CL21" s="136">
        <v>98657</v>
      </c>
      <c r="CM21" s="136">
        <v>98680</v>
      </c>
      <c r="CN21" s="136">
        <v>98768</v>
      </c>
      <c r="CO21" s="136">
        <v>98867</v>
      </c>
      <c r="CP21" s="136">
        <v>98917</v>
      </c>
      <c r="CQ21" s="136">
        <v>98997</v>
      </c>
      <c r="CR21" s="136">
        <v>99012</v>
      </c>
      <c r="CS21" s="136">
        <v>99084</v>
      </c>
      <c r="CT21" s="136">
        <v>99106</v>
      </c>
      <c r="CU21" s="136">
        <v>99146</v>
      </c>
      <c r="CV21" s="136">
        <v>99168</v>
      </c>
      <c r="CW21" s="136">
        <v>99190</v>
      </c>
      <c r="CX21" s="136">
        <v>99247</v>
      </c>
      <c r="CY21" s="136">
        <v>99241</v>
      </c>
      <c r="CZ21" s="136">
        <v>99270</v>
      </c>
      <c r="DA21" s="136">
        <v>99265</v>
      </c>
      <c r="DB21" s="136">
        <v>99309</v>
      </c>
      <c r="DC21" s="136">
        <v>99318</v>
      </c>
      <c r="DD21" s="136">
        <v>99338</v>
      </c>
      <c r="DE21" s="136">
        <v>99337</v>
      </c>
      <c r="DF21" s="136">
        <v>99386</v>
      </c>
      <c r="DG21" s="136">
        <v>99398</v>
      </c>
      <c r="DH21" s="136">
        <v>99408</v>
      </c>
      <c r="DI21" s="136">
        <v>99419</v>
      </c>
      <c r="DJ21" s="136">
        <v>99458</v>
      </c>
      <c r="DK21" s="136">
        <v>99460</v>
      </c>
      <c r="DL21" s="136">
        <v>99468</v>
      </c>
      <c r="DM21" s="136">
        <v>99492</v>
      </c>
      <c r="DN21" s="136">
        <v>99515</v>
      </c>
      <c r="DO21" s="136">
        <v>99537</v>
      </c>
    </row>
    <row r="22" spans="1:119">
      <c r="A22" s="135">
        <v>20</v>
      </c>
      <c r="B22" s="136"/>
      <c r="C22" s="136"/>
      <c r="D22" s="136"/>
      <c r="E22" s="136"/>
      <c r="F22" s="136"/>
      <c r="G22" s="136"/>
      <c r="H22" s="136"/>
      <c r="I22" s="136"/>
      <c r="J22" s="136"/>
      <c r="K22" s="136"/>
      <c r="L22" s="136"/>
      <c r="M22" s="136"/>
      <c r="N22" s="136"/>
      <c r="O22" s="136"/>
      <c r="P22" s="136"/>
      <c r="Q22" s="136"/>
      <c r="R22" s="136"/>
      <c r="S22" s="136"/>
      <c r="T22" s="136"/>
      <c r="U22" s="136"/>
      <c r="V22" s="136"/>
      <c r="W22" s="136">
        <v>79814</v>
      </c>
      <c r="X22" s="136">
        <v>80553</v>
      </c>
      <c r="Y22" s="136">
        <v>80649</v>
      </c>
      <c r="Z22" s="136">
        <v>82940</v>
      </c>
      <c r="AA22" s="136">
        <v>83124</v>
      </c>
      <c r="AB22" s="136">
        <v>83508</v>
      </c>
      <c r="AC22" s="136">
        <v>84152</v>
      </c>
      <c r="AD22" s="136">
        <v>84981</v>
      </c>
      <c r="AE22" s="136">
        <v>84831</v>
      </c>
      <c r="AF22" s="136">
        <v>86211</v>
      </c>
      <c r="AG22" s="136">
        <v>86632</v>
      </c>
      <c r="AH22" s="136">
        <v>87044</v>
      </c>
      <c r="AI22" s="136">
        <v>87259</v>
      </c>
      <c r="AJ22" s="136">
        <v>88493</v>
      </c>
      <c r="AK22" s="136">
        <v>88391</v>
      </c>
      <c r="AL22" s="136">
        <v>88657</v>
      </c>
      <c r="AM22" s="136">
        <v>88917</v>
      </c>
      <c r="AN22" s="136">
        <v>89357</v>
      </c>
      <c r="AO22" s="136">
        <v>89322</v>
      </c>
      <c r="AP22" s="136">
        <v>89416</v>
      </c>
      <c r="AQ22" s="136">
        <v>89455</v>
      </c>
      <c r="AR22" s="136">
        <v>89534</v>
      </c>
      <c r="AS22" s="136">
        <v>88882</v>
      </c>
      <c r="AT22" s="136">
        <v>88016</v>
      </c>
      <c r="AU22" s="136">
        <v>86626</v>
      </c>
      <c r="AV22" s="136">
        <v>87140</v>
      </c>
      <c r="AW22" s="136">
        <v>87511</v>
      </c>
      <c r="AX22" s="136">
        <v>89834</v>
      </c>
      <c r="AY22" s="136">
        <v>91822</v>
      </c>
      <c r="AZ22" s="136">
        <v>91856</v>
      </c>
      <c r="BA22" s="136">
        <v>91893</v>
      </c>
      <c r="BB22" s="136">
        <v>92634</v>
      </c>
      <c r="BC22" s="136">
        <v>92847</v>
      </c>
      <c r="BD22" s="136">
        <v>93333</v>
      </c>
      <c r="BE22" s="136">
        <v>93404</v>
      </c>
      <c r="BF22" s="136">
        <v>93793</v>
      </c>
      <c r="BG22" s="136">
        <v>93808</v>
      </c>
      <c r="BH22" s="136">
        <v>94107</v>
      </c>
      <c r="BI22" s="136">
        <v>94380</v>
      </c>
      <c r="BJ22" s="136">
        <v>94485</v>
      </c>
      <c r="BK22" s="136">
        <v>94830</v>
      </c>
      <c r="BL22" s="136">
        <v>95147</v>
      </c>
      <c r="BM22" s="136">
        <v>95438</v>
      </c>
      <c r="BN22" s="136">
        <v>95731</v>
      </c>
      <c r="BO22" s="136">
        <v>95992</v>
      </c>
      <c r="BP22" s="136">
        <v>96088</v>
      </c>
      <c r="BQ22" s="136">
        <v>96214</v>
      </c>
      <c r="BR22" s="136">
        <v>96316</v>
      </c>
      <c r="BS22" s="136">
        <v>96299</v>
      </c>
      <c r="BT22" s="136">
        <v>96370</v>
      </c>
      <c r="BU22" s="136">
        <v>96463</v>
      </c>
      <c r="BV22" s="136">
        <v>96551</v>
      </c>
      <c r="BW22" s="136">
        <v>96598</v>
      </c>
      <c r="BX22" s="136">
        <v>96734</v>
      </c>
      <c r="BY22" s="136">
        <v>96929</v>
      </c>
      <c r="BZ22" s="136">
        <v>97256</v>
      </c>
      <c r="CA22" s="136">
        <v>97420</v>
      </c>
      <c r="CB22" s="136">
        <v>97502</v>
      </c>
      <c r="CC22" s="136">
        <v>97693</v>
      </c>
      <c r="CD22" s="136">
        <v>97807</v>
      </c>
      <c r="CE22" s="136">
        <v>97877</v>
      </c>
      <c r="CF22" s="136">
        <v>98066</v>
      </c>
      <c r="CG22" s="136">
        <v>98151</v>
      </c>
      <c r="CH22" s="136">
        <v>98255</v>
      </c>
      <c r="CI22" s="136">
        <v>98371</v>
      </c>
      <c r="CJ22" s="136">
        <v>98416</v>
      </c>
      <c r="CK22" s="136">
        <v>98467</v>
      </c>
      <c r="CL22" s="136">
        <v>98601</v>
      </c>
      <c r="CM22" s="136">
        <v>98632</v>
      </c>
      <c r="CN22" s="136">
        <v>98720</v>
      </c>
      <c r="CO22" s="136">
        <v>98815</v>
      </c>
      <c r="CP22" s="136">
        <v>98869</v>
      </c>
      <c r="CQ22" s="136">
        <v>98951</v>
      </c>
      <c r="CR22" s="136">
        <v>98973</v>
      </c>
      <c r="CS22" s="136">
        <v>99040</v>
      </c>
      <c r="CT22" s="136">
        <v>99063</v>
      </c>
      <c r="CU22" s="136">
        <v>99105</v>
      </c>
      <c r="CV22" s="136">
        <v>99129</v>
      </c>
      <c r="CW22" s="136">
        <v>99152</v>
      </c>
      <c r="CX22" s="136">
        <v>99210</v>
      </c>
      <c r="CY22" s="136">
        <v>99205</v>
      </c>
      <c r="CZ22" s="136">
        <v>99235</v>
      </c>
      <c r="DA22" s="136">
        <v>99232</v>
      </c>
      <c r="DB22" s="136">
        <v>99277</v>
      </c>
      <c r="DC22" s="136">
        <v>99287</v>
      </c>
      <c r="DD22" s="136">
        <v>99308</v>
      </c>
      <c r="DE22" s="136">
        <v>99308</v>
      </c>
      <c r="DF22" s="136">
        <v>99358</v>
      </c>
      <c r="DG22" s="136">
        <v>99370</v>
      </c>
      <c r="DH22" s="136">
        <v>99381</v>
      </c>
      <c r="DI22" s="136">
        <v>99393</v>
      </c>
      <c r="DJ22" s="136">
        <v>99433</v>
      </c>
      <c r="DK22" s="136">
        <v>99437</v>
      </c>
      <c r="DL22" s="136">
        <v>99445</v>
      </c>
      <c r="DM22" s="136">
        <v>99470</v>
      </c>
      <c r="DN22" s="136">
        <v>99494</v>
      </c>
      <c r="DO22" s="136">
        <v>99516</v>
      </c>
    </row>
    <row r="23" spans="1:119">
      <c r="A23" s="135">
        <v>21</v>
      </c>
      <c r="B23" s="136"/>
      <c r="C23" s="136"/>
      <c r="D23" s="136"/>
      <c r="E23" s="136"/>
      <c r="F23" s="136"/>
      <c r="G23" s="136"/>
      <c r="H23" s="136"/>
      <c r="I23" s="136"/>
      <c r="J23" s="136"/>
      <c r="K23" s="136"/>
      <c r="L23" s="136"/>
      <c r="M23" s="136"/>
      <c r="N23" s="136"/>
      <c r="O23" s="136"/>
      <c r="P23" s="136"/>
      <c r="Q23" s="136"/>
      <c r="R23" s="136"/>
      <c r="S23" s="136"/>
      <c r="T23" s="136"/>
      <c r="U23" s="136"/>
      <c r="V23" s="136"/>
      <c r="W23" s="136">
        <v>79577</v>
      </c>
      <c r="X23" s="136">
        <v>80314</v>
      </c>
      <c r="Y23" s="136">
        <v>80386</v>
      </c>
      <c r="Z23" s="136">
        <v>82632</v>
      </c>
      <c r="AA23" s="136">
        <v>82679</v>
      </c>
      <c r="AB23" s="136">
        <v>83142</v>
      </c>
      <c r="AC23" s="136">
        <v>83783</v>
      </c>
      <c r="AD23" s="136">
        <v>84700</v>
      </c>
      <c r="AE23" s="136">
        <v>84672</v>
      </c>
      <c r="AF23" s="136">
        <v>86049</v>
      </c>
      <c r="AG23" s="136">
        <v>86469</v>
      </c>
      <c r="AH23" s="136">
        <v>86887</v>
      </c>
      <c r="AI23" s="136">
        <v>87109</v>
      </c>
      <c r="AJ23" s="136">
        <v>88331</v>
      </c>
      <c r="AK23" s="136">
        <v>88236</v>
      </c>
      <c r="AL23" s="136">
        <v>88482</v>
      </c>
      <c r="AM23" s="136">
        <v>88756</v>
      </c>
      <c r="AN23" s="136">
        <v>89190</v>
      </c>
      <c r="AO23" s="136">
        <v>89149</v>
      </c>
      <c r="AP23" s="136">
        <v>89256</v>
      </c>
      <c r="AQ23" s="136">
        <v>89289</v>
      </c>
      <c r="AR23" s="136">
        <v>89381</v>
      </c>
      <c r="AS23" s="136">
        <v>88725</v>
      </c>
      <c r="AT23" s="136">
        <v>87874</v>
      </c>
      <c r="AU23" s="136">
        <v>86479</v>
      </c>
      <c r="AV23" s="136">
        <v>86983</v>
      </c>
      <c r="AW23" s="136">
        <v>87366</v>
      </c>
      <c r="AX23" s="136">
        <v>89700</v>
      </c>
      <c r="AY23" s="136">
        <v>91664</v>
      </c>
      <c r="AZ23" s="136">
        <v>91692</v>
      </c>
      <c r="BA23" s="136">
        <v>91711</v>
      </c>
      <c r="BB23" s="136">
        <v>92464</v>
      </c>
      <c r="BC23" s="136">
        <v>92694</v>
      </c>
      <c r="BD23" s="136">
        <v>93167</v>
      </c>
      <c r="BE23" s="136">
        <v>93244</v>
      </c>
      <c r="BF23" s="136">
        <v>93618</v>
      </c>
      <c r="BG23" s="136">
        <v>93641</v>
      </c>
      <c r="BH23" s="136">
        <v>93957</v>
      </c>
      <c r="BI23" s="136">
        <v>94222</v>
      </c>
      <c r="BJ23" s="136">
        <v>94334</v>
      </c>
      <c r="BK23" s="136">
        <v>94694</v>
      </c>
      <c r="BL23" s="136">
        <v>95009</v>
      </c>
      <c r="BM23" s="136">
        <v>95312</v>
      </c>
      <c r="BN23" s="136">
        <v>95616</v>
      </c>
      <c r="BO23" s="136">
        <v>95883</v>
      </c>
      <c r="BP23" s="136">
        <v>95983</v>
      </c>
      <c r="BQ23" s="136">
        <v>96105</v>
      </c>
      <c r="BR23" s="136">
        <v>96216</v>
      </c>
      <c r="BS23" s="136">
        <v>96195</v>
      </c>
      <c r="BT23" s="136">
        <v>96260</v>
      </c>
      <c r="BU23" s="136">
        <v>96355</v>
      </c>
      <c r="BV23" s="136">
        <v>96447</v>
      </c>
      <c r="BW23" s="136">
        <v>96494</v>
      </c>
      <c r="BX23" s="136">
        <v>96636</v>
      </c>
      <c r="BY23" s="136">
        <v>96828</v>
      </c>
      <c r="BZ23" s="136">
        <v>97151</v>
      </c>
      <c r="CA23" s="136">
        <v>97321</v>
      </c>
      <c r="CB23" s="136">
        <v>97405</v>
      </c>
      <c r="CC23" s="136">
        <v>97600</v>
      </c>
      <c r="CD23" s="136">
        <v>97713</v>
      </c>
      <c r="CE23" s="136">
        <v>97791</v>
      </c>
      <c r="CF23" s="136">
        <v>97985</v>
      </c>
      <c r="CG23" s="136">
        <v>98080</v>
      </c>
      <c r="CH23" s="136">
        <v>98189</v>
      </c>
      <c r="CI23" s="136">
        <v>98314</v>
      </c>
      <c r="CJ23" s="136">
        <v>98354</v>
      </c>
      <c r="CK23" s="136">
        <v>98404</v>
      </c>
      <c r="CL23" s="136">
        <v>98548</v>
      </c>
      <c r="CM23" s="136">
        <v>98581</v>
      </c>
      <c r="CN23" s="136">
        <v>98666</v>
      </c>
      <c r="CO23" s="136">
        <v>98761</v>
      </c>
      <c r="CP23" s="136">
        <v>98822</v>
      </c>
      <c r="CQ23" s="136">
        <v>98913</v>
      </c>
      <c r="CR23" s="136">
        <v>98924</v>
      </c>
      <c r="CS23" s="136">
        <v>98994</v>
      </c>
      <c r="CT23" s="136">
        <v>99019</v>
      </c>
      <c r="CU23" s="136">
        <v>99063</v>
      </c>
      <c r="CV23" s="136">
        <v>99087</v>
      </c>
      <c r="CW23" s="136">
        <v>99112</v>
      </c>
      <c r="CX23" s="136">
        <v>99171</v>
      </c>
      <c r="CY23" s="136">
        <v>99168</v>
      </c>
      <c r="CZ23" s="136">
        <v>99199</v>
      </c>
      <c r="DA23" s="136">
        <v>99197</v>
      </c>
      <c r="DB23" s="136">
        <v>99243</v>
      </c>
      <c r="DC23" s="136">
        <v>99254</v>
      </c>
      <c r="DD23" s="136">
        <v>99276</v>
      </c>
      <c r="DE23" s="136">
        <v>99277</v>
      </c>
      <c r="DF23" s="136">
        <v>99328</v>
      </c>
      <c r="DG23" s="136">
        <v>99342</v>
      </c>
      <c r="DH23" s="136">
        <v>99354</v>
      </c>
      <c r="DI23" s="136">
        <v>99366</v>
      </c>
      <c r="DJ23" s="136">
        <v>99407</v>
      </c>
      <c r="DK23" s="136">
        <v>99411</v>
      </c>
      <c r="DL23" s="136">
        <v>99421</v>
      </c>
      <c r="DM23" s="136">
        <v>99446</v>
      </c>
      <c r="DN23" s="136">
        <v>99471</v>
      </c>
      <c r="DO23" s="136">
        <v>99494</v>
      </c>
    </row>
    <row r="24" spans="1:119">
      <c r="A24" s="135">
        <v>22</v>
      </c>
      <c r="B24" s="136"/>
      <c r="C24" s="136"/>
      <c r="D24" s="136"/>
      <c r="E24" s="136"/>
      <c r="F24" s="136"/>
      <c r="G24" s="136"/>
      <c r="H24" s="136"/>
      <c r="I24" s="136"/>
      <c r="J24" s="136"/>
      <c r="K24" s="136"/>
      <c r="L24" s="136"/>
      <c r="M24" s="136"/>
      <c r="N24" s="136"/>
      <c r="O24" s="136"/>
      <c r="P24" s="136"/>
      <c r="Q24" s="136"/>
      <c r="R24" s="136"/>
      <c r="S24" s="136"/>
      <c r="T24" s="136"/>
      <c r="U24" s="136"/>
      <c r="V24" s="136"/>
      <c r="W24" s="136">
        <v>79332</v>
      </c>
      <c r="X24" s="136">
        <v>80041</v>
      </c>
      <c r="Y24" s="136">
        <v>80076</v>
      </c>
      <c r="Z24" s="136">
        <v>82173</v>
      </c>
      <c r="AA24" s="136">
        <v>82279</v>
      </c>
      <c r="AB24" s="136">
        <v>82740</v>
      </c>
      <c r="AC24" s="136">
        <v>83476</v>
      </c>
      <c r="AD24" s="136">
        <v>84532</v>
      </c>
      <c r="AE24" s="136">
        <v>84504</v>
      </c>
      <c r="AF24" s="136">
        <v>85878</v>
      </c>
      <c r="AG24" s="136">
        <v>86305</v>
      </c>
      <c r="AH24" s="136">
        <v>86725</v>
      </c>
      <c r="AI24" s="136">
        <v>86949</v>
      </c>
      <c r="AJ24" s="136">
        <v>88172</v>
      </c>
      <c r="AK24" s="136">
        <v>88050</v>
      </c>
      <c r="AL24" s="136">
        <v>88303</v>
      </c>
      <c r="AM24" s="136">
        <v>88591</v>
      </c>
      <c r="AN24" s="136">
        <v>89029</v>
      </c>
      <c r="AO24" s="136">
        <v>88994</v>
      </c>
      <c r="AP24" s="136">
        <v>89079</v>
      </c>
      <c r="AQ24" s="136">
        <v>89134</v>
      </c>
      <c r="AR24" s="136">
        <v>89217</v>
      </c>
      <c r="AS24" s="136">
        <v>88578</v>
      </c>
      <c r="AT24" s="136">
        <v>87725</v>
      </c>
      <c r="AU24" s="136">
        <v>86333</v>
      </c>
      <c r="AV24" s="136">
        <v>86840</v>
      </c>
      <c r="AW24" s="136">
        <v>87227</v>
      </c>
      <c r="AX24" s="136">
        <v>89540</v>
      </c>
      <c r="AY24" s="136">
        <v>91504</v>
      </c>
      <c r="AZ24" s="136">
        <v>91522</v>
      </c>
      <c r="BA24" s="136">
        <v>91545</v>
      </c>
      <c r="BB24" s="136">
        <v>92312</v>
      </c>
      <c r="BC24" s="136">
        <v>92538</v>
      </c>
      <c r="BD24" s="136">
        <v>93016</v>
      </c>
      <c r="BE24" s="136">
        <v>93082</v>
      </c>
      <c r="BF24" s="136">
        <v>93460</v>
      </c>
      <c r="BG24" s="136">
        <v>93483</v>
      </c>
      <c r="BH24" s="136">
        <v>93809</v>
      </c>
      <c r="BI24" s="136">
        <v>94084</v>
      </c>
      <c r="BJ24" s="136">
        <v>94199</v>
      </c>
      <c r="BK24" s="136">
        <v>94559</v>
      </c>
      <c r="BL24" s="136">
        <v>94883</v>
      </c>
      <c r="BM24" s="136">
        <v>95202</v>
      </c>
      <c r="BN24" s="136">
        <v>95512</v>
      </c>
      <c r="BO24" s="136">
        <v>95780</v>
      </c>
      <c r="BP24" s="136">
        <v>95884</v>
      </c>
      <c r="BQ24" s="136">
        <v>96005</v>
      </c>
      <c r="BR24" s="136">
        <v>96111</v>
      </c>
      <c r="BS24" s="136">
        <v>96084</v>
      </c>
      <c r="BT24" s="136">
        <v>96151</v>
      </c>
      <c r="BU24" s="136">
        <v>96243</v>
      </c>
      <c r="BV24" s="136">
        <v>96344</v>
      </c>
      <c r="BW24" s="136">
        <v>96393</v>
      </c>
      <c r="BX24" s="136">
        <v>96529</v>
      </c>
      <c r="BY24" s="136">
        <v>96747</v>
      </c>
      <c r="BZ24" s="136">
        <v>97053</v>
      </c>
      <c r="CA24" s="136">
        <v>97231</v>
      </c>
      <c r="CB24" s="136">
        <v>97308</v>
      </c>
      <c r="CC24" s="136">
        <v>97510</v>
      </c>
      <c r="CD24" s="136">
        <v>97633</v>
      </c>
      <c r="CE24" s="136">
        <v>97708</v>
      </c>
      <c r="CF24" s="136">
        <v>97912</v>
      </c>
      <c r="CG24" s="136">
        <v>98013</v>
      </c>
      <c r="CH24" s="136">
        <v>98128</v>
      </c>
      <c r="CI24" s="136">
        <v>98253</v>
      </c>
      <c r="CJ24" s="136">
        <v>98293</v>
      </c>
      <c r="CK24" s="136">
        <v>98355</v>
      </c>
      <c r="CL24" s="136">
        <v>98493</v>
      </c>
      <c r="CM24" s="136">
        <v>98521</v>
      </c>
      <c r="CN24" s="136">
        <v>98615</v>
      </c>
      <c r="CO24" s="136">
        <v>98719</v>
      </c>
      <c r="CP24" s="136">
        <v>98779</v>
      </c>
      <c r="CQ24" s="136">
        <v>98862</v>
      </c>
      <c r="CR24" s="136">
        <v>98877</v>
      </c>
      <c r="CS24" s="136">
        <v>98948</v>
      </c>
      <c r="CT24" s="136">
        <v>98975</v>
      </c>
      <c r="CU24" s="136">
        <v>99020</v>
      </c>
      <c r="CV24" s="136">
        <v>99046</v>
      </c>
      <c r="CW24" s="136">
        <v>99072</v>
      </c>
      <c r="CX24" s="136">
        <v>99133</v>
      </c>
      <c r="CY24" s="136">
        <v>99130</v>
      </c>
      <c r="CZ24" s="136">
        <v>99163</v>
      </c>
      <c r="DA24" s="136">
        <v>99161</v>
      </c>
      <c r="DB24" s="136">
        <v>99209</v>
      </c>
      <c r="DC24" s="136">
        <v>99221</v>
      </c>
      <c r="DD24" s="136">
        <v>99244</v>
      </c>
      <c r="DE24" s="136">
        <v>99247</v>
      </c>
      <c r="DF24" s="136">
        <v>99298</v>
      </c>
      <c r="DG24" s="136">
        <v>99313</v>
      </c>
      <c r="DH24" s="136">
        <v>99326</v>
      </c>
      <c r="DI24" s="136">
        <v>99339</v>
      </c>
      <c r="DJ24" s="136">
        <v>99381</v>
      </c>
      <c r="DK24" s="136">
        <v>99386</v>
      </c>
      <c r="DL24" s="136">
        <v>99396</v>
      </c>
      <c r="DM24" s="136">
        <v>99422</v>
      </c>
      <c r="DN24" s="136">
        <v>99447</v>
      </c>
      <c r="DO24" s="136">
        <v>99471</v>
      </c>
    </row>
    <row r="25" spans="1:119">
      <c r="A25" s="135">
        <v>23</v>
      </c>
      <c r="B25" s="136"/>
      <c r="C25" s="136"/>
      <c r="D25" s="136"/>
      <c r="E25" s="136"/>
      <c r="F25" s="136"/>
      <c r="G25" s="136"/>
      <c r="H25" s="136"/>
      <c r="I25" s="136"/>
      <c r="J25" s="136"/>
      <c r="K25" s="136"/>
      <c r="L25" s="136"/>
      <c r="M25" s="136"/>
      <c r="N25" s="136"/>
      <c r="O25" s="136"/>
      <c r="P25" s="136"/>
      <c r="Q25" s="136"/>
      <c r="R25" s="136"/>
      <c r="S25" s="136"/>
      <c r="T25" s="136"/>
      <c r="U25" s="136"/>
      <c r="V25" s="136"/>
      <c r="W25" s="136">
        <v>79070</v>
      </c>
      <c r="X25" s="136">
        <v>79742</v>
      </c>
      <c r="Y25" s="136">
        <v>79644</v>
      </c>
      <c r="Z25" s="136">
        <v>81768</v>
      </c>
      <c r="AA25" s="136">
        <v>81874</v>
      </c>
      <c r="AB25" s="136">
        <v>82476</v>
      </c>
      <c r="AC25" s="136">
        <v>83304</v>
      </c>
      <c r="AD25" s="136">
        <v>84357</v>
      </c>
      <c r="AE25" s="136">
        <v>84329</v>
      </c>
      <c r="AF25" s="136">
        <v>85703</v>
      </c>
      <c r="AG25" s="136">
        <v>86133</v>
      </c>
      <c r="AH25" s="136">
        <v>86552</v>
      </c>
      <c r="AI25" s="136">
        <v>86778</v>
      </c>
      <c r="AJ25" s="136">
        <v>88007</v>
      </c>
      <c r="AK25" s="136">
        <v>87883</v>
      </c>
      <c r="AL25" s="136">
        <v>88138</v>
      </c>
      <c r="AM25" s="136">
        <v>88426</v>
      </c>
      <c r="AN25" s="136">
        <v>88876</v>
      </c>
      <c r="AO25" s="136">
        <v>88830</v>
      </c>
      <c r="AP25" s="136">
        <v>88932</v>
      </c>
      <c r="AQ25" s="136">
        <v>88980</v>
      </c>
      <c r="AR25" s="136">
        <v>89069</v>
      </c>
      <c r="AS25" s="136">
        <v>88439</v>
      </c>
      <c r="AT25" s="136">
        <v>87582</v>
      </c>
      <c r="AU25" s="136">
        <v>86178</v>
      </c>
      <c r="AV25" s="136">
        <v>86705</v>
      </c>
      <c r="AW25" s="136">
        <v>87086</v>
      </c>
      <c r="AX25" s="136">
        <v>89385</v>
      </c>
      <c r="AY25" s="136">
        <v>91349</v>
      </c>
      <c r="AZ25" s="136">
        <v>91355</v>
      </c>
      <c r="BA25" s="136">
        <v>91405</v>
      </c>
      <c r="BB25" s="136">
        <v>92181</v>
      </c>
      <c r="BC25" s="136">
        <v>92392</v>
      </c>
      <c r="BD25" s="136">
        <v>92869</v>
      </c>
      <c r="BE25" s="136">
        <v>92936</v>
      </c>
      <c r="BF25" s="136">
        <v>93308</v>
      </c>
      <c r="BG25" s="136">
        <v>93334</v>
      </c>
      <c r="BH25" s="136">
        <v>93684</v>
      </c>
      <c r="BI25" s="136">
        <v>93965</v>
      </c>
      <c r="BJ25" s="136">
        <v>94073</v>
      </c>
      <c r="BK25" s="136">
        <v>94435</v>
      </c>
      <c r="BL25" s="136">
        <v>94766</v>
      </c>
      <c r="BM25" s="136">
        <v>95098</v>
      </c>
      <c r="BN25" s="136">
        <v>95409</v>
      </c>
      <c r="BO25" s="136">
        <v>95683</v>
      </c>
      <c r="BP25" s="136">
        <v>95785</v>
      </c>
      <c r="BQ25" s="136">
        <v>95903</v>
      </c>
      <c r="BR25" s="136">
        <v>96003</v>
      </c>
      <c r="BS25" s="136">
        <v>95972</v>
      </c>
      <c r="BT25" s="136">
        <v>96050</v>
      </c>
      <c r="BU25" s="136">
        <v>96145</v>
      </c>
      <c r="BV25" s="136">
        <v>96242</v>
      </c>
      <c r="BW25" s="136">
        <v>96299</v>
      </c>
      <c r="BX25" s="136">
        <v>96437</v>
      </c>
      <c r="BY25" s="136">
        <v>96664</v>
      </c>
      <c r="BZ25" s="136">
        <v>96957</v>
      </c>
      <c r="CA25" s="136">
        <v>97145</v>
      </c>
      <c r="CB25" s="136">
        <v>97230</v>
      </c>
      <c r="CC25" s="136">
        <v>97426</v>
      </c>
      <c r="CD25" s="136">
        <v>97559</v>
      </c>
      <c r="CE25" s="136">
        <v>97634</v>
      </c>
      <c r="CF25" s="136">
        <v>97849</v>
      </c>
      <c r="CG25" s="136">
        <v>97957</v>
      </c>
      <c r="CH25" s="136">
        <v>98062</v>
      </c>
      <c r="CI25" s="136">
        <v>98198</v>
      </c>
      <c r="CJ25" s="136">
        <v>98239</v>
      </c>
      <c r="CK25" s="136">
        <v>98304</v>
      </c>
      <c r="CL25" s="136">
        <v>98441</v>
      </c>
      <c r="CM25" s="136">
        <v>98468</v>
      </c>
      <c r="CN25" s="136">
        <v>98567</v>
      </c>
      <c r="CO25" s="136">
        <v>98680</v>
      </c>
      <c r="CP25" s="136">
        <v>98736</v>
      </c>
      <c r="CQ25" s="136">
        <v>98815</v>
      </c>
      <c r="CR25" s="136">
        <v>98831</v>
      </c>
      <c r="CS25" s="136">
        <v>98904</v>
      </c>
      <c r="CT25" s="136">
        <v>98932</v>
      </c>
      <c r="CU25" s="136">
        <v>98979</v>
      </c>
      <c r="CV25" s="136">
        <v>99006</v>
      </c>
      <c r="CW25" s="136">
        <v>99033</v>
      </c>
      <c r="CX25" s="136">
        <v>99095</v>
      </c>
      <c r="CY25" s="136">
        <v>99094</v>
      </c>
      <c r="CZ25" s="136">
        <v>99127</v>
      </c>
      <c r="DA25" s="136">
        <v>99127</v>
      </c>
      <c r="DB25" s="136">
        <v>99176</v>
      </c>
      <c r="DC25" s="136">
        <v>99189</v>
      </c>
      <c r="DD25" s="136">
        <v>99213</v>
      </c>
      <c r="DE25" s="136">
        <v>99216</v>
      </c>
      <c r="DF25" s="136">
        <v>99269</v>
      </c>
      <c r="DG25" s="136">
        <v>99284</v>
      </c>
      <c r="DH25" s="136">
        <v>99298</v>
      </c>
      <c r="DI25" s="136">
        <v>99313</v>
      </c>
      <c r="DJ25" s="136">
        <v>99355</v>
      </c>
      <c r="DK25" s="136">
        <v>99361</v>
      </c>
      <c r="DL25" s="136">
        <v>99372</v>
      </c>
      <c r="DM25" s="136">
        <v>99399</v>
      </c>
      <c r="DN25" s="136">
        <v>99425</v>
      </c>
      <c r="DO25" s="136">
        <v>99449</v>
      </c>
    </row>
    <row r="26" spans="1:119">
      <c r="A26" s="135">
        <v>24</v>
      </c>
      <c r="B26" s="136"/>
      <c r="C26" s="136"/>
      <c r="D26" s="136"/>
      <c r="E26" s="136"/>
      <c r="F26" s="136"/>
      <c r="G26" s="136"/>
      <c r="H26" s="136"/>
      <c r="I26" s="136"/>
      <c r="J26" s="136"/>
      <c r="K26" s="136"/>
      <c r="L26" s="136"/>
      <c r="M26" s="136"/>
      <c r="N26" s="136"/>
      <c r="O26" s="136"/>
      <c r="P26" s="136"/>
      <c r="Q26" s="136"/>
      <c r="R26" s="136"/>
      <c r="S26" s="136"/>
      <c r="T26" s="136"/>
      <c r="U26" s="136"/>
      <c r="V26" s="136"/>
      <c r="W26" s="136">
        <v>78777</v>
      </c>
      <c r="X26" s="136">
        <v>79316</v>
      </c>
      <c r="Y26" s="136">
        <v>79260</v>
      </c>
      <c r="Z26" s="136">
        <v>81374</v>
      </c>
      <c r="AA26" s="136">
        <v>81618</v>
      </c>
      <c r="AB26" s="136">
        <v>82300</v>
      </c>
      <c r="AC26" s="136">
        <v>83126</v>
      </c>
      <c r="AD26" s="136">
        <v>84177</v>
      </c>
      <c r="AE26" s="136">
        <v>84168</v>
      </c>
      <c r="AF26" s="136">
        <v>85527</v>
      </c>
      <c r="AG26" s="136">
        <v>85972</v>
      </c>
      <c r="AH26" s="136">
        <v>86387</v>
      </c>
      <c r="AI26" s="136">
        <v>86608</v>
      </c>
      <c r="AJ26" s="136">
        <v>87847</v>
      </c>
      <c r="AK26" s="136">
        <v>87732</v>
      </c>
      <c r="AL26" s="136">
        <v>87990</v>
      </c>
      <c r="AM26" s="136">
        <v>88279</v>
      </c>
      <c r="AN26" s="136">
        <v>88720</v>
      </c>
      <c r="AO26" s="136">
        <v>88681</v>
      </c>
      <c r="AP26" s="136">
        <v>88783</v>
      </c>
      <c r="AQ26" s="136">
        <v>88834</v>
      </c>
      <c r="AR26" s="136">
        <v>88922</v>
      </c>
      <c r="AS26" s="136">
        <v>88305</v>
      </c>
      <c r="AT26" s="136">
        <v>87454</v>
      </c>
      <c r="AU26" s="136">
        <v>86045</v>
      </c>
      <c r="AV26" s="136">
        <v>86562</v>
      </c>
      <c r="AW26" s="136">
        <v>86943</v>
      </c>
      <c r="AX26" s="136">
        <v>89237</v>
      </c>
      <c r="AY26" s="136">
        <v>91211</v>
      </c>
      <c r="AZ26" s="136">
        <v>91232</v>
      </c>
      <c r="BA26" s="136">
        <v>91275</v>
      </c>
      <c r="BB26" s="136">
        <v>92049</v>
      </c>
      <c r="BC26" s="136">
        <v>92247</v>
      </c>
      <c r="BD26" s="136">
        <v>92727</v>
      </c>
      <c r="BE26" s="136">
        <v>92800</v>
      </c>
      <c r="BF26" s="136">
        <v>93173</v>
      </c>
      <c r="BG26" s="136">
        <v>93203</v>
      </c>
      <c r="BH26" s="136">
        <v>93560</v>
      </c>
      <c r="BI26" s="136">
        <v>93845</v>
      </c>
      <c r="BJ26" s="136">
        <v>93954</v>
      </c>
      <c r="BK26" s="136">
        <v>94338</v>
      </c>
      <c r="BL26" s="136">
        <v>94667</v>
      </c>
      <c r="BM26" s="136">
        <v>95003</v>
      </c>
      <c r="BN26" s="136">
        <v>95310</v>
      </c>
      <c r="BO26" s="136">
        <v>95584</v>
      </c>
      <c r="BP26" s="136">
        <v>95689</v>
      </c>
      <c r="BQ26" s="136">
        <v>95795</v>
      </c>
      <c r="BR26" s="136">
        <v>95896</v>
      </c>
      <c r="BS26" s="136">
        <v>95871</v>
      </c>
      <c r="BT26" s="136">
        <v>95951</v>
      </c>
      <c r="BU26" s="136">
        <v>96056</v>
      </c>
      <c r="BV26" s="136">
        <v>96146</v>
      </c>
      <c r="BW26" s="136">
        <v>96196</v>
      </c>
      <c r="BX26" s="136">
        <v>96347</v>
      </c>
      <c r="BY26" s="136">
        <v>96580</v>
      </c>
      <c r="BZ26" s="136">
        <v>96873</v>
      </c>
      <c r="CA26" s="136">
        <v>97065</v>
      </c>
      <c r="CB26" s="136">
        <v>97156</v>
      </c>
      <c r="CC26" s="136">
        <v>97345</v>
      </c>
      <c r="CD26" s="136">
        <v>97490</v>
      </c>
      <c r="CE26" s="136">
        <v>97570</v>
      </c>
      <c r="CF26" s="136">
        <v>97791</v>
      </c>
      <c r="CG26" s="136">
        <v>97897</v>
      </c>
      <c r="CH26" s="136">
        <v>98003</v>
      </c>
      <c r="CI26" s="136">
        <v>98145</v>
      </c>
      <c r="CJ26" s="136">
        <v>98193</v>
      </c>
      <c r="CK26" s="136">
        <v>98247</v>
      </c>
      <c r="CL26" s="136">
        <v>98383</v>
      </c>
      <c r="CM26" s="136">
        <v>98422</v>
      </c>
      <c r="CN26" s="136">
        <v>98520</v>
      </c>
      <c r="CO26" s="136">
        <v>98630</v>
      </c>
      <c r="CP26" s="136">
        <v>98690</v>
      </c>
      <c r="CQ26" s="136">
        <v>98771</v>
      </c>
      <c r="CR26" s="136">
        <v>98788</v>
      </c>
      <c r="CS26" s="136">
        <v>98862</v>
      </c>
      <c r="CT26" s="136">
        <v>98892</v>
      </c>
      <c r="CU26" s="136">
        <v>98939</v>
      </c>
      <c r="CV26" s="136">
        <v>98968</v>
      </c>
      <c r="CW26" s="136">
        <v>98996</v>
      </c>
      <c r="CX26" s="136">
        <v>99059</v>
      </c>
      <c r="CY26" s="136">
        <v>99059</v>
      </c>
      <c r="CZ26" s="136">
        <v>99094</v>
      </c>
      <c r="DA26" s="136">
        <v>99095</v>
      </c>
      <c r="DB26" s="136">
        <v>99144</v>
      </c>
      <c r="DC26" s="136">
        <v>99158</v>
      </c>
      <c r="DD26" s="136">
        <v>99184</v>
      </c>
      <c r="DE26" s="136">
        <v>99188</v>
      </c>
      <c r="DF26" s="136">
        <v>99241</v>
      </c>
      <c r="DG26" s="136">
        <v>99257</v>
      </c>
      <c r="DH26" s="136">
        <v>99272</v>
      </c>
      <c r="DI26" s="136">
        <v>99287</v>
      </c>
      <c r="DJ26" s="136">
        <v>99330</v>
      </c>
      <c r="DK26" s="136">
        <v>99337</v>
      </c>
      <c r="DL26" s="136">
        <v>99348</v>
      </c>
      <c r="DM26" s="136">
        <v>99376</v>
      </c>
      <c r="DN26" s="136">
        <v>99403</v>
      </c>
      <c r="DO26" s="136">
        <v>99428</v>
      </c>
    </row>
    <row r="27" spans="1:119">
      <c r="A27" s="135">
        <v>25</v>
      </c>
      <c r="B27" s="136"/>
      <c r="C27" s="136"/>
      <c r="D27" s="136"/>
      <c r="E27" s="136"/>
      <c r="F27" s="136"/>
      <c r="G27" s="136"/>
      <c r="H27" s="136"/>
      <c r="I27" s="136"/>
      <c r="J27" s="136"/>
      <c r="K27" s="136"/>
      <c r="L27" s="136"/>
      <c r="M27" s="136"/>
      <c r="N27" s="136"/>
      <c r="O27" s="136"/>
      <c r="P27" s="136"/>
      <c r="Q27" s="136"/>
      <c r="R27" s="136"/>
      <c r="S27" s="136"/>
      <c r="T27" s="136"/>
      <c r="U27" s="136"/>
      <c r="V27" s="136"/>
      <c r="W27" s="136">
        <v>78357</v>
      </c>
      <c r="X27" s="136">
        <v>78946</v>
      </c>
      <c r="Y27" s="136">
        <v>78890</v>
      </c>
      <c r="Z27" s="136">
        <v>81128</v>
      </c>
      <c r="AA27" s="136">
        <v>81439</v>
      </c>
      <c r="AB27" s="136">
        <v>82120</v>
      </c>
      <c r="AC27" s="136">
        <v>82944</v>
      </c>
      <c r="AD27" s="136">
        <v>84033</v>
      </c>
      <c r="AE27" s="136">
        <v>84008</v>
      </c>
      <c r="AF27" s="136">
        <v>85370</v>
      </c>
      <c r="AG27" s="136">
        <v>85805</v>
      </c>
      <c r="AH27" s="136">
        <v>86228</v>
      </c>
      <c r="AI27" s="136">
        <v>86454</v>
      </c>
      <c r="AJ27" s="136">
        <v>87699</v>
      </c>
      <c r="AK27" s="136">
        <v>87582</v>
      </c>
      <c r="AL27" s="136">
        <v>87847</v>
      </c>
      <c r="AM27" s="136">
        <v>88132</v>
      </c>
      <c r="AN27" s="136">
        <v>88580</v>
      </c>
      <c r="AO27" s="136">
        <v>88534</v>
      </c>
      <c r="AP27" s="136">
        <v>88638</v>
      </c>
      <c r="AQ27" s="136">
        <v>88701</v>
      </c>
      <c r="AR27" s="136">
        <v>88783</v>
      </c>
      <c r="AS27" s="136">
        <v>88176</v>
      </c>
      <c r="AT27" s="136">
        <v>87327</v>
      </c>
      <c r="AU27" s="136">
        <v>85912</v>
      </c>
      <c r="AV27" s="136">
        <v>86415</v>
      </c>
      <c r="AW27" s="136">
        <v>86800</v>
      </c>
      <c r="AX27" s="136">
        <v>89109</v>
      </c>
      <c r="AY27" s="136">
        <v>91083</v>
      </c>
      <c r="AZ27" s="136">
        <v>91115</v>
      </c>
      <c r="BA27" s="136">
        <v>91146</v>
      </c>
      <c r="BB27" s="136">
        <v>91920</v>
      </c>
      <c r="BC27" s="136">
        <v>92115</v>
      </c>
      <c r="BD27" s="136">
        <v>92603</v>
      </c>
      <c r="BE27" s="136">
        <v>92664</v>
      </c>
      <c r="BF27" s="136">
        <v>93051</v>
      </c>
      <c r="BG27" s="136">
        <v>93086</v>
      </c>
      <c r="BH27" s="136">
        <v>93447</v>
      </c>
      <c r="BI27" s="136">
        <v>93736</v>
      </c>
      <c r="BJ27" s="136">
        <v>93844</v>
      </c>
      <c r="BK27" s="136">
        <v>94234</v>
      </c>
      <c r="BL27" s="136">
        <v>94569</v>
      </c>
      <c r="BM27" s="136">
        <v>94905</v>
      </c>
      <c r="BN27" s="136">
        <v>95213</v>
      </c>
      <c r="BO27" s="136">
        <v>95491</v>
      </c>
      <c r="BP27" s="136">
        <v>95589</v>
      </c>
      <c r="BQ27" s="136">
        <v>95701</v>
      </c>
      <c r="BR27" s="136">
        <v>95796</v>
      </c>
      <c r="BS27" s="136">
        <v>95773</v>
      </c>
      <c r="BT27" s="136">
        <v>95856</v>
      </c>
      <c r="BU27" s="136">
        <v>95959</v>
      </c>
      <c r="BV27" s="136">
        <v>96063</v>
      </c>
      <c r="BW27" s="136">
        <v>96111</v>
      </c>
      <c r="BX27" s="136">
        <v>96265</v>
      </c>
      <c r="BY27" s="136">
        <v>96487</v>
      </c>
      <c r="BZ27" s="136">
        <v>96794</v>
      </c>
      <c r="CA27" s="136">
        <v>96990</v>
      </c>
      <c r="CB27" s="136">
        <v>97088</v>
      </c>
      <c r="CC27" s="136">
        <v>97275</v>
      </c>
      <c r="CD27" s="136">
        <v>97422</v>
      </c>
      <c r="CE27" s="136">
        <v>97514</v>
      </c>
      <c r="CF27" s="136">
        <v>97730</v>
      </c>
      <c r="CG27" s="136">
        <v>97843</v>
      </c>
      <c r="CH27" s="136">
        <v>97948</v>
      </c>
      <c r="CI27" s="136">
        <v>98090</v>
      </c>
      <c r="CJ27" s="136">
        <v>98134</v>
      </c>
      <c r="CK27" s="136">
        <v>98193</v>
      </c>
      <c r="CL27" s="136">
        <v>98337</v>
      </c>
      <c r="CM27" s="136">
        <v>98377</v>
      </c>
      <c r="CN27" s="136">
        <v>98472</v>
      </c>
      <c r="CO27" s="136">
        <v>98584</v>
      </c>
      <c r="CP27" s="136">
        <v>98646</v>
      </c>
      <c r="CQ27" s="136">
        <v>98728</v>
      </c>
      <c r="CR27" s="136">
        <v>98747</v>
      </c>
      <c r="CS27" s="136">
        <v>98822</v>
      </c>
      <c r="CT27" s="136">
        <v>98853</v>
      </c>
      <c r="CU27" s="136">
        <v>98901</v>
      </c>
      <c r="CV27" s="136">
        <v>98931</v>
      </c>
      <c r="CW27" s="136">
        <v>98960</v>
      </c>
      <c r="CX27" s="136">
        <v>99024</v>
      </c>
      <c r="CY27" s="136">
        <v>99025</v>
      </c>
      <c r="CZ27" s="136">
        <v>99061</v>
      </c>
      <c r="DA27" s="136">
        <v>99063</v>
      </c>
      <c r="DB27" s="136">
        <v>99114</v>
      </c>
      <c r="DC27" s="136">
        <v>99128</v>
      </c>
      <c r="DD27" s="136">
        <v>99155</v>
      </c>
      <c r="DE27" s="136">
        <v>99159</v>
      </c>
      <c r="DF27" s="136">
        <v>99213</v>
      </c>
      <c r="DG27" s="136">
        <v>99231</v>
      </c>
      <c r="DH27" s="136">
        <v>99246</v>
      </c>
      <c r="DI27" s="136">
        <v>99262</v>
      </c>
      <c r="DJ27" s="136">
        <v>99306</v>
      </c>
      <c r="DK27" s="136">
        <v>99313</v>
      </c>
      <c r="DL27" s="136">
        <v>99325</v>
      </c>
      <c r="DM27" s="136">
        <v>99354</v>
      </c>
      <c r="DN27" s="136">
        <v>99381</v>
      </c>
      <c r="DO27" s="136">
        <v>99407</v>
      </c>
    </row>
    <row r="28" spans="1:119">
      <c r="A28" s="135">
        <v>26</v>
      </c>
      <c r="B28" s="136"/>
      <c r="C28" s="136"/>
      <c r="D28" s="136"/>
      <c r="E28" s="136"/>
      <c r="F28" s="136"/>
      <c r="G28" s="136"/>
      <c r="H28" s="136"/>
      <c r="I28" s="136"/>
      <c r="J28" s="136"/>
      <c r="K28" s="136"/>
      <c r="L28" s="136"/>
      <c r="M28" s="136"/>
      <c r="N28" s="136"/>
      <c r="O28" s="136"/>
      <c r="P28" s="136"/>
      <c r="Q28" s="136"/>
      <c r="R28" s="136"/>
      <c r="S28" s="136"/>
      <c r="T28" s="136"/>
      <c r="U28" s="136"/>
      <c r="V28" s="136"/>
      <c r="W28" s="136">
        <v>78003</v>
      </c>
      <c r="X28" s="136">
        <v>78590</v>
      </c>
      <c r="Y28" s="136">
        <v>78659</v>
      </c>
      <c r="Z28" s="136">
        <v>80947</v>
      </c>
      <c r="AA28" s="136">
        <v>81257</v>
      </c>
      <c r="AB28" s="136">
        <v>81937</v>
      </c>
      <c r="AC28" s="136">
        <v>82793</v>
      </c>
      <c r="AD28" s="136">
        <v>83880</v>
      </c>
      <c r="AE28" s="136">
        <v>83859</v>
      </c>
      <c r="AF28" s="136">
        <v>85208</v>
      </c>
      <c r="AG28" s="136">
        <v>85653</v>
      </c>
      <c r="AH28" s="136">
        <v>86078</v>
      </c>
      <c r="AI28" s="136">
        <v>86305</v>
      </c>
      <c r="AJ28" s="136">
        <v>87550</v>
      </c>
      <c r="AK28" s="136">
        <v>87444</v>
      </c>
      <c r="AL28" s="136">
        <v>87702</v>
      </c>
      <c r="AM28" s="136">
        <v>87997</v>
      </c>
      <c r="AN28" s="136">
        <v>88445</v>
      </c>
      <c r="AO28" s="136">
        <v>88391</v>
      </c>
      <c r="AP28" s="136">
        <v>88496</v>
      </c>
      <c r="AQ28" s="136">
        <v>88566</v>
      </c>
      <c r="AR28" s="136">
        <v>88646</v>
      </c>
      <c r="AS28" s="136">
        <v>88051</v>
      </c>
      <c r="AT28" s="136">
        <v>87203</v>
      </c>
      <c r="AU28" s="136">
        <v>85769</v>
      </c>
      <c r="AV28" s="136">
        <v>86285</v>
      </c>
      <c r="AW28" s="136">
        <v>86663</v>
      </c>
      <c r="AX28" s="136">
        <v>88989</v>
      </c>
      <c r="AY28" s="136">
        <v>90970</v>
      </c>
      <c r="AZ28" s="136">
        <v>90999</v>
      </c>
      <c r="BA28" s="136">
        <v>91019</v>
      </c>
      <c r="BB28" s="136">
        <v>91798</v>
      </c>
      <c r="BC28" s="136">
        <v>91987</v>
      </c>
      <c r="BD28" s="136">
        <v>92478</v>
      </c>
      <c r="BE28" s="136">
        <v>92542</v>
      </c>
      <c r="BF28" s="136">
        <v>92930</v>
      </c>
      <c r="BG28" s="136">
        <v>92970</v>
      </c>
      <c r="BH28" s="136">
        <v>93342</v>
      </c>
      <c r="BI28" s="136">
        <v>93632</v>
      </c>
      <c r="BJ28" s="136">
        <v>93749</v>
      </c>
      <c r="BK28" s="136">
        <v>94135</v>
      </c>
      <c r="BL28" s="136">
        <v>94470</v>
      </c>
      <c r="BM28" s="136">
        <v>94813</v>
      </c>
      <c r="BN28" s="136">
        <v>95115</v>
      </c>
      <c r="BO28" s="136">
        <v>95384</v>
      </c>
      <c r="BP28" s="136">
        <v>95480</v>
      </c>
      <c r="BQ28" s="136">
        <v>95600</v>
      </c>
      <c r="BR28" s="136">
        <v>95702</v>
      </c>
      <c r="BS28" s="136">
        <v>95681</v>
      </c>
      <c r="BT28" s="136">
        <v>95769</v>
      </c>
      <c r="BU28" s="136">
        <v>95873</v>
      </c>
      <c r="BV28" s="136">
        <v>95977</v>
      </c>
      <c r="BW28" s="136">
        <v>96036</v>
      </c>
      <c r="BX28" s="136">
        <v>96187</v>
      </c>
      <c r="BY28" s="136">
        <v>96411</v>
      </c>
      <c r="BZ28" s="136">
        <v>96720</v>
      </c>
      <c r="CA28" s="136">
        <v>96918</v>
      </c>
      <c r="CB28" s="136">
        <v>97014</v>
      </c>
      <c r="CC28" s="136">
        <v>97217</v>
      </c>
      <c r="CD28" s="136">
        <v>97360</v>
      </c>
      <c r="CE28" s="136">
        <v>97448</v>
      </c>
      <c r="CF28" s="136">
        <v>97675</v>
      </c>
      <c r="CG28" s="136">
        <v>97786</v>
      </c>
      <c r="CH28" s="136">
        <v>97895</v>
      </c>
      <c r="CI28" s="136">
        <v>98037</v>
      </c>
      <c r="CJ28" s="136">
        <v>98079</v>
      </c>
      <c r="CK28" s="136">
        <v>98140</v>
      </c>
      <c r="CL28" s="136">
        <v>98286</v>
      </c>
      <c r="CM28" s="136">
        <v>98327</v>
      </c>
      <c r="CN28" s="136">
        <v>98427</v>
      </c>
      <c r="CO28" s="136">
        <v>98540</v>
      </c>
      <c r="CP28" s="136">
        <v>98602</v>
      </c>
      <c r="CQ28" s="136">
        <v>98686</v>
      </c>
      <c r="CR28" s="136">
        <v>98706</v>
      </c>
      <c r="CS28" s="136">
        <v>98782</v>
      </c>
      <c r="CT28" s="136">
        <v>98814</v>
      </c>
      <c r="CU28" s="136">
        <v>98864</v>
      </c>
      <c r="CV28" s="136">
        <v>98894</v>
      </c>
      <c r="CW28" s="136">
        <v>98925</v>
      </c>
      <c r="CX28" s="136">
        <v>98990</v>
      </c>
      <c r="CY28" s="136">
        <v>98992</v>
      </c>
      <c r="CZ28" s="136">
        <v>99029</v>
      </c>
      <c r="DA28" s="136">
        <v>99031</v>
      </c>
      <c r="DB28" s="136">
        <v>99083</v>
      </c>
      <c r="DC28" s="136">
        <v>99099</v>
      </c>
      <c r="DD28" s="136">
        <v>99126</v>
      </c>
      <c r="DE28" s="136">
        <v>99131</v>
      </c>
      <c r="DF28" s="136">
        <v>99186</v>
      </c>
      <c r="DG28" s="136">
        <v>99204</v>
      </c>
      <c r="DH28" s="136">
        <v>99220</v>
      </c>
      <c r="DI28" s="136">
        <v>99237</v>
      </c>
      <c r="DJ28" s="136">
        <v>99281</v>
      </c>
      <c r="DK28" s="136">
        <v>99290</v>
      </c>
      <c r="DL28" s="136">
        <v>99303</v>
      </c>
      <c r="DM28" s="136">
        <v>99332</v>
      </c>
      <c r="DN28" s="136">
        <v>99359</v>
      </c>
      <c r="DO28" s="136">
        <v>99386</v>
      </c>
    </row>
    <row r="29" spans="1:119">
      <c r="A29" s="135">
        <v>27</v>
      </c>
      <c r="B29" s="136"/>
      <c r="C29" s="136"/>
      <c r="D29" s="136"/>
      <c r="E29" s="136"/>
      <c r="F29" s="136"/>
      <c r="G29" s="136"/>
      <c r="H29" s="136"/>
      <c r="I29" s="136"/>
      <c r="J29" s="136"/>
      <c r="K29" s="136"/>
      <c r="L29" s="136"/>
      <c r="M29" s="136"/>
      <c r="N29" s="136"/>
      <c r="O29" s="136"/>
      <c r="P29" s="136"/>
      <c r="Q29" s="136"/>
      <c r="R29" s="136"/>
      <c r="S29" s="136"/>
      <c r="T29" s="136"/>
      <c r="U29" s="136"/>
      <c r="V29" s="136"/>
      <c r="W29" s="136">
        <v>77662</v>
      </c>
      <c r="X29" s="136">
        <v>78367</v>
      </c>
      <c r="Y29" s="136">
        <v>78482</v>
      </c>
      <c r="Z29" s="136">
        <v>80764</v>
      </c>
      <c r="AA29" s="136">
        <v>81074</v>
      </c>
      <c r="AB29" s="136">
        <v>81792</v>
      </c>
      <c r="AC29" s="136">
        <v>82634</v>
      </c>
      <c r="AD29" s="136">
        <v>83720</v>
      </c>
      <c r="AE29" s="136">
        <v>83709</v>
      </c>
      <c r="AF29" s="136">
        <v>85051</v>
      </c>
      <c r="AG29" s="136">
        <v>85500</v>
      </c>
      <c r="AH29" s="136">
        <v>85933</v>
      </c>
      <c r="AI29" s="136">
        <v>86157</v>
      </c>
      <c r="AJ29" s="136">
        <v>87406</v>
      </c>
      <c r="AK29" s="136">
        <v>87299</v>
      </c>
      <c r="AL29" s="136">
        <v>87569</v>
      </c>
      <c r="AM29" s="136">
        <v>87859</v>
      </c>
      <c r="AN29" s="136">
        <v>88314</v>
      </c>
      <c r="AO29" s="136">
        <v>88252</v>
      </c>
      <c r="AP29" s="136">
        <v>88365</v>
      </c>
      <c r="AQ29" s="136">
        <v>88436</v>
      </c>
      <c r="AR29" s="136">
        <v>88522</v>
      </c>
      <c r="AS29" s="136">
        <v>87918</v>
      </c>
      <c r="AT29" s="136">
        <v>87068</v>
      </c>
      <c r="AU29" s="136">
        <v>85631</v>
      </c>
      <c r="AV29" s="136">
        <v>86150</v>
      </c>
      <c r="AW29" s="136">
        <v>86556</v>
      </c>
      <c r="AX29" s="136">
        <v>88874</v>
      </c>
      <c r="AY29" s="136">
        <v>90855</v>
      </c>
      <c r="AZ29" s="136">
        <v>90875</v>
      </c>
      <c r="BA29" s="136">
        <v>90890</v>
      </c>
      <c r="BB29" s="136">
        <v>91673</v>
      </c>
      <c r="BC29" s="136">
        <v>91871</v>
      </c>
      <c r="BD29" s="136">
        <v>92359</v>
      </c>
      <c r="BE29" s="136">
        <v>92427</v>
      </c>
      <c r="BF29" s="136">
        <v>92813</v>
      </c>
      <c r="BG29" s="136">
        <v>92867</v>
      </c>
      <c r="BH29" s="136">
        <v>93236</v>
      </c>
      <c r="BI29" s="136">
        <v>93534</v>
      </c>
      <c r="BJ29" s="136">
        <v>93652</v>
      </c>
      <c r="BK29" s="136">
        <v>94035</v>
      </c>
      <c r="BL29" s="136">
        <v>94372</v>
      </c>
      <c r="BM29" s="136">
        <v>94715</v>
      </c>
      <c r="BN29" s="136">
        <v>95008</v>
      </c>
      <c r="BO29" s="136">
        <v>95275</v>
      </c>
      <c r="BP29" s="136">
        <v>95380</v>
      </c>
      <c r="BQ29" s="136">
        <v>95507</v>
      </c>
      <c r="BR29" s="136">
        <v>95614</v>
      </c>
      <c r="BS29" s="136">
        <v>95597</v>
      </c>
      <c r="BT29" s="136">
        <v>95684</v>
      </c>
      <c r="BU29" s="136">
        <v>95795</v>
      </c>
      <c r="BV29" s="136">
        <v>95895</v>
      </c>
      <c r="BW29" s="136">
        <v>95956</v>
      </c>
      <c r="BX29" s="136">
        <v>96115</v>
      </c>
      <c r="BY29" s="136">
        <v>96338</v>
      </c>
      <c r="BZ29" s="136">
        <v>96650</v>
      </c>
      <c r="CA29" s="136">
        <v>96848</v>
      </c>
      <c r="CB29" s="136">
        <v>96946</v>
      </c>
      <c r="CC29" s="136">
        <v>97155</v>
      </c>
      <c r="CD29" s="136">
        <v>97295</v>
      </c>
      <c r="CE29" s="136">
        <v>97389</v>
      </c>
      <c r="CF29" s="136">
        <v>97615</v>
      </c>
      <c r="CG29" s="136">
        <v>97724</v>
      </c>
      <c r="CH29" s="136">
        <v>97838</v>
      </c>
      <c r="CI29" s="136">
        <v>97982</v>
      </c>
      <c r="CJ29" s="136">
        <v>98025</v>
      </c>
      <c r="CK29" s="136">
        <v>98091</v>
      </c>
      <c r="CL29" s="136">
        <v>98241</v>
      </c>
      <c r="CM29" s="136">
        <v>98280</v>
      </c>
      <c r="CN29" s="136">
        <v>98380</v>
      </c>
      <c r="CO29" s="136">
        <v>98495</v>
      </c>
      <c r="CP29" s="136">
        <v>98559</v>
      </c>
      <c r="CQ29" s="136">
        <v>98643</v>
      </c>
      <c r="CR29" s="136">
        <v>98665</v>
      </c>
      <c r="CS29" s="136">
        <v>98742</v>
      </c>
      <c r="CT29" s="136">
        <v>98775</v>
      </c>
      <c r="CU29" s="136">
        <v>98826</v>
      </c>
      <c r="CV29" s="136">
        <v>98858</v>
      </c>
      <c r="CW29" s="136">
        <v>98889</v>
      </c>
      <c r="CX29" s="136">
        <v>98955</v>
      </c>
      <c r="CY29" s="136">
        <v>98958</v>
      </c>
      <c r="CZ29" s="136">
        <v>98996</v>
      </c>
      <c r="DA29" s="136">
        <v>99000</v>
      </c>
      <c r="DB29" s="136">
        <v>99052</v>
      </c>
      <c r="DC29" s="136">
        <v>99069</v>
      </c>
      <c r="DD29" s="136">
        <v>99096</v>
      </c>
      <c r="DE29" s="136">
        <v>99103</v>
      </c>
      <c r="DF29" s="136">
        <v>99158</v>
      </c>
      <c r="DG29" s="136">
        <v>99177</v>
      </c>
      <c r="DH29" s="136">
        <v>99194</v>
      </c>
      <c r="DI29" s="136">
        <v>99212</v>
      </c>
      <c r="DJ29" s="136">
        <v>99257</v>
      </c>
      <c r="DK29" s="136">
        <v>99266</v>
      </c>
      <c r="DL29" s="136">
        <v>99279</v>
      </c>
      <c r="DM29" s="136">
        <v>99309</v>
      </c>
      <c r="DN29" s="136">
        <v>99337</v>
      </c>
      <c r="DO29" s="136">
        <v>99364</v>
      </c>
    </row>
    <row r="30" spans="1:119">
      <c r="A30" s="135">
        <v>28</v>
      </c>
      <c r="B30" s="136"/>
      <c r="C30" s="136"/>
      <c r="D30" s="136"/>
      <c r="E30" s="136"/>
      <c r="F30" s="136"/>
      <c r="G30" s="136"/>
      <c r="H30" s="136"/>
      <c r="I30" s="136"/>
      <c r="J30" s="136"/>
      <c r="K30" s="136"/>
      <c r="L30" s="136"/>
      <c r="M30" s="136"/>
      <c r="N30" s="136"/>
      <c r="O30" s="136"/>
      <c r="P30" s="136"/>
      <c r="Q30" s="136"/>
      <c r="R30" s="136"/>
      <c r="S30" s="136"/>
      <c r="T30" s="136"/>
      <c r="U30" s="136"/>
      <c r="V30" s="136"/>
      <c r="W30" s="136">
        <v>77414</v>
      </c>
      <c r="X30" s="136">
        <v>78191</v>
      </c>
      <c r="Y30" s="136">
        <v>78305</v>
      </c>
      <c r="Z30" s="136">
        <v>80582</v>
      </c>
      <c r="AA30" s="136">
        <v>80931</v>
      </c>
      <c r="AB30" s="136">
        <v>81646</v>
      </c>
      <c r="AC30" s="136">
        <v>82488</v>
      </c>
      <c r="AD30" s="136">
        <v>83568</v>
      </c>
      <c r="AE30" s="136">
        <v>83552</v>
      </c>
      <c r="AF30" s="136">
        <v>84913</v>
      </c>
      <c r="AG30" s="136">
        <v>85351</v>
      </c>
      <c r="AH30" s="136">
        <v>85780</v>
      </c>
      <c r="AI30" s="136">
        <v>86010</v>
      </c>
      <c r="AJ30" s="136">
        <v>87270</v>
      </c>
      <c r="AK30" s="136">
        <v>87164</v>
      </c>
      <c r="AL30" s="136">
        <v>87435</v>
      </c>
      <c r="AM30" s="136">
        <v>87723</v>
      </c>
      <c r="AN30" s="136">
        <v>88179</v>
      </c>
      <c r="AO30" s="136">
        <v>88110</v>
      </c>
      <c r="AP30" s="136">
        <v>88237</v>
      </c>
      <c r="AQ30" s="136">
        <v>88306</v>
      </c>
      <c r="AR30" s="136">
        <v>88381</v>
      </c>
      <c r="AS30" s="136">
        <v>87778</v>
      </c>
      <c r="AT30" s="136">
        <v>86942</v>
      </c>
      <c r="AU30" s="136">
        <v>85502</v>
      </c>
      <c r="AV30" s="136">
        <v>86035</v>
      </c>
      <c r="AW30" s="136">
        <v>86442</v>
      </c>
      <c r="AX30" s="136">
        <v>88759</v>
      </c>
      <c r="AY30" s="136">
        <v>90739</v>
      </c>
      <c r="AZ30" s="136">
        <v>90739</v>
      </c>
      <c r="BA30" s="136">
        <v>90765</v>
      </c>
      <c r="BB30" s="136">
        <v>91552</v>
      </c>
      <c r="BC30" s="136">
        <v>91765</v>
      </c>
      <c r="BD30" s="136">
        <v>92246</v>
      </c>
      <c r="BE30" s="136">
        <v>92311</v>
      </c>
      <c r="BF30" s="136">
        <v>92699</v>
      </c>
      <c r="BG30" s="136">
        <v>92762</v>
      </c>
      <c r="BH30" s="136">
        <v>93140</v>
      </c>
      <c r="BI30" s="136">
        <v>93430</v>
      </c>
      <c r="BJ30" s="136">
        <v>93557</v>
      </c>
      <c r="BK30" s="136">
        <v>93941</v>
      </c>
      <c r="BL30" s="136">
        <v>94276</v>
      </c>
      <c r="BM30" s="136">
        <v>94607</v>
      </c>
      <c r="BN30" s="136">
        <v>94896</v>
      </c>
      <c r="BO30" s="136">
        <v>95181</v>
      </c>
      <c r="BP30" s="136">
        <v>95281</v>
      </c>
      <c r="BQ30" s="136">
        <v>95412</v>
      </c>
      <c r="BR30" s="136">
        <v>95518</v>
      </c>
      <c r="BS30" s="136">
        <v>95507</v>
      </c>
      <c r="BT30" s="136">
        <v>95602</v>
      </c>
      <c r="BU30" s="136">
        <v>95721</v>
      </c>
      <c r="BV30" s="136">
        <v>95817</v>
      </c>
      <c r="BW30" s="136">
        <v>95873</v>
      </c>
      <c r="BX30" s="136">
        <v>96048</v>
      </c>
      <c r="BY30" s="136">
        <v>96267</v>
      </c>
      <c r="BZ30" s="136">
        <v>96582</v>
      </c>
      <c r="CA30" s="136">
        <v>96781</v>
      </c>
      <c r="CB30" s="136">
        <v>96884</v>
      </c>
      <c r="CC30" s="136">
        <v>97097</v>
      </c>
      <c r="CD30" s="136">
        <v>97234</v>
      </c>
      <c r="CE30" s="136">
        <v>97330</v>
      </c>
      <c r="CF30" s="136">
        <v>97550</v>
      </c>
      <c r="CG30" s="136">
        <v>97661</v>
      </c>
      <c r="CH30" s="136">
        <v>97780</v>
      </c>
      <c r="CI30" s="136">
        <v>97934</v>
      </c>
      <c r="CJ30" s="136">
        <v>97974</v>
      </c>
      <c r="CK30" s="136">
        <v>98039</v>
      </c>
      <c r="CL30" s="136">
        <v>98191</v>
      </c>
      <c r="CM30" s="136">
        <v>98232</v>
      </c>
      <c r="CN30" s="136">
        <v>98333</v>
      </c>
      <c r="CO30" s="136">
        <v>98449</v>
      </c>
      <c r="CP30" s="136">
        <v>98514</v>
      </c>
      <c r="CQ30" s="136">
        <v>98600</v>
      </c>
      <c r="CR30" s="136">
        <v>98622</v>
      </c>
      <c r="CS30" s="136">
        <v>98701</v>
      </c>
      <c r="CT30" s="136">
        <v>98735</v>
      </c>
      <c r="CU30" s="136">
        <v>98787</v>
      </c>
      <c r="CV30" s="136">
        <v>98820</v>
      </c>
      <c r="CW30" s="136">
        <v>98852</v>
      </c>
      <c r="CX30" s="136">
        <v>98919</v>
      </c>
      <c r="CY30" s="136">
        <v>98924</v>
      </c>
      <c r="CZ30" s="136">
        <v>98962</v>
      </c>
      <c r="DA30" s="136">
        <v>98967</v>
      </c>
      <c r="DB30" s="136">
        <v>99020</v>
      </c>
      <c r="DC30" s="136">
        <v>99038</v>
      </c>
      <c r="DD30" s="136">
        <v>99066</v>
      </c>
      <c r="DE30" s="136">
        <v>99073</v>
      </c>
      <c r="DF30" s="136">
        <v>99130</v>
      </c>
      <c r="DG30" s="136">
        <v>99149</v>
      </c>
      <c r="DH30" s="136">
        <v>99167</v>
      </c>
      <c r="DI30" s="136">
        <v>99185</v>
      </c>
      <c r="DJ30" s="136">
        <v>99231</v>
      </c>
      <c r="DK30" s="136">
        <v>99241</v>
      </c>
      <c r="DL30" s="136">
        <v>99255</v>
      </c>
      <c r="DM30" s="136">
        <v>99285</v>
      </c>
      <c r="DN30" s="136">
        <v>99314</v>
      </c>
      <c r="DO30" s="136">
        <v>99342</v>
      </c>
    </row>
    <row r="31" spans="1:119">
      <c r="A31" s="135">
        <v>29</v>
      </c>
      <c r="B31" s="136"/>
      <c r="C31" s="136"/>
      <c r="D31" s="136"/>
      <c r="E31" s="136"/>
      <c r="F31" s="136"/>
      <c r="G31" s="136"/>
      <c r="H31" s="136"/>
      <c r="I31" s="136"/>
      <c r="J31" s="136"/>
      <c r="K31" s="136"/>
      <c r="L31" s="136"/>
      <c r="M31" s="136"/>
      <c r="N31" s="136"/>
      <c r="O31" s="136"/>
      <c r="P31" s="136"/>
      <c r="Q31" s="136"/>
      <c r="R31" s="136"/>
      <c r="S31" s="136"/>
      <c r="T31" s="136"/>
      <c r="U31" s="136"/>
      <c r="V31" s="136"/>
      <c r="W31" s="136">
        <v>77240</v>
      </c>
      <c r="X31" s="136">
        <v>78015</v>
      </c>
      <c r="Y31" s="136">
        <v>78129</v>
      </c>
      <c r="Z31" s="136">
        <v>80442</v>
      </c>
      <c r="AA31" s="136">
        <v>80797</v>
      </c>
      <c r="AB31" s="136">
        <v>81501</v>
      </c>
      <c r="AC31" s="136">
        <v>82345</v>
      </c>
      <c r="AD31" s="136">
        <v>83422</v>
      </c>
      <c r="AE31" s="136">
        <v>83402</v>
      </c>
      <c r="AF31" s="136">
        <v>84771</v>
      </c>
      <c r="AG31" s="136">
        <v>85203</v>
      </c>
      <c r="AH31" s="136">
        <v>85630</v>
      </c>
      <c r="AI31" s="136">
        <v>85870</v>
      </c>
      <c r="AJ31" s="136">
        <v>87147</v>
      </c>
      <c r="AK31" s="136">
        <v>87023</v>
      </c>
      <c r="AL31" s="136">
        <v>87314</v>
      </c>
      <c r="AM31" s="136">
        <v>87591</v>
      </c>
      <c r="AN31" s="136">
        <v>88045</v>
      </c>
      <c r="AO31" s="136">
        <v>87972</v>
      </c>
      <c r="AP31" s="136">
        <v>88105</v>
      </c>
      <c r="AQ31" s="136">
        <v>88172</v>
      </c>
      <c r="AR31" s="136">
        <v>88238</v>
      </c>
      <c r="AS31" s="136">
        <v>87649</v>
      </c>
      <c r="AT31" s="136">
        <v>86814</v>
      </c>
      <c r="AU31" s="136">
        <v>85377</v>
      </c>
      <c r="AV31" s="136">
        <v>85916</v>
      </c>
      <c r="AW31" s="136">
        <v>86317</v>
      </c>
      <c r="AX31" s="136">
        <v>88645</v>
      </c>
      <c r="AY31" s="136">
        <v>90611</v>
      </c>
      <c r="AZ31" s="136">
        <v>90624</v>
      </c>
      <c r="BA31" s="136">
        <v>90642</v>
      </c>
      <c r="BB31" s="136">
        <v>91434</v>
      </c>
      <c r="BC31" s="136">
        <v>91643</v>
      </c>
      <c r="BD31" s="136">
        <v>92123</v>
      </c>
      <c r="BE31" s="136">
        <v>92199</v>
      </c>
      <c r="BF31" s="136">
        <v>92596</v>
      </c>
      <c r="BG31" s="136">
        <v>92655</v>
      </c>
      <c r="BH31" s="136">
        <v>93045</v>
      </c>
      <c r="BI31" s="136">
        <v>93331</v>
      </c>
      <c r="BJ31" s="136">
        <v>93453</v>
      </c>
      <c r="BK31" s="136">
        <v>93839</v>
      </c>
      <c r="BL31" s="136">
        <v>94170</v>
      </c>
      <c r="BM31" s="136">
        <v>94493</v>
      </c>
      <c r="BN31" s="136">
        <v>94796</v>
      </c>
      <c r="BO31" s="136">
        <v>95078</v>
      </c>
      <c r="BP31" s="136">
        <v>95181</v>
      </c>
      <c r="BQ31" s="136">
        <v>95314</v>
      </c>
      <c r="BR31" s="136">
        <v>95421</v>
      </c>
      <c r="BS31" s="136">
        <v>95422</v>
      </c>
      <c r="BT31" s="136">
        <v>95521</v>
      </c>
      <c r="BU31" s="136">
        <v>95635</v>
      </c>
      <c r="BV31" s="136">
        <v>95742</v>
      </c>
      <c r="BW31" s="136">
        <v>95807</v>
      </c>
      <c r="BX31" s="136">
        <v>95976</v>
      </c>
      <c r="BY31" s="136">
        <v>96193</v>
      </c>
      <c r="BZ31" s="136">
        <v>96515</v>
      </c>
      <c r="CA31" s="136">
        <v>96721</v>
      </c>
      <c r="CB31" s="136">
        <v>96822</v>
      </c>
      <c r="CC31" s="136">
        <v>97038</v>
      </c>
      <c r="CD31" s="136">
        <v>97175</v>
      </c>
      <c r="CE31" s="136">
        <v>97274</v>
      </c>
      <c r="CF31" s="136">
        <v>97487</v>
      </c>
      <c r="CG31" s="136">
        <v>97608</v>
      </c>
      <c r="CH31" s="136">
        <v>97724</v>
      </c>
      <c r="CI31" s="136">
        <v>97877</v>
      </c>
      <c r="CJ31" s="136">
        <v>97920</v>
      </c>
      <c r="CK31" s="136">
        <v>97986</v>
      </c>
      <c r="CL31" s="136">
        <v>98140</v>
      </c>
      <c r="CM31" s="136">
        <v>98181</v>
      </c>
      <c r="CN31" s="136">
        <v>98284</v>
      </c>
      <c r="CO31" s="136">
        <v>98401</v>
      </c>
      <c r="CP31" s="136">
        <v>98468</v>
      </c>
      <c r="CQ31" s="136">
        <v>98555</v>
      </c>
      <c r="CR31" s="136">
        <v>98578</v>
      </c>
      <c r="CS31" s="136">
        <v>98658</v>
      </c>
      <c r="CT31" s="136">
        <v>98693</v>
      </c>
      <c r="CU31" s="136">
        <v>98747</v>
      </c>
      <c r="CV31" s="136">
        <v>98780</v>
      </c>
      <c r="CW31" s="136">
        <v>98814</v>
      </c>
      <c r="CX31" s="136">
        <v>98882</v>
      </c>
      <c r="CY31" s="136">
        <v>98887</v>
      </c>
      <c r="CZ31" s="136">
        <v>98927</v>
      </c>
      <c r="DA31" s="136">
        <v>98932</v>
      </c>
      <c r="DB31" s="136">
        <v>98987</v>
      </c>
      <c r="DC31" s="136">
        <v>99005</v>
      </c>
      <c r="DD31" s="136">
        <v>99035</v>
      </c>
      <c r="DE31" s="136">
        <v>99043</v>
      </c>
      <c r="DF31" s="136">
        <v>99100</v>
      </c>
      <c r="DG31" s="136">
        <v>99120</v>
      </c>
      <c r="DH31" s="136">
        <v>99139</v>
      </c>
      <c r="DI31" s="136">
        <v>99158</v>
      </c>
      <c r="DJ31" s="136">
        <v>99204</v>
      </c>
      <c r="DK31" s="136">
        <v>99215</v>
      </c>
      <c r="DL31" s="136">
        <v>99230</v>
      </c>
      <c r="DM31" s="136">
        <v>99260</v>
      </c>
      <c r="DN31" s="136">
        <v>99290</v>
      </c>
      <c r="DO31" s="136">
        <v>99319</v>
      </c>
    </row>
    <row r="32" spans="1:119">
      <c r="A32" s="135">
        <v>30</v>
      </c>
      <c r="B32" s="136"/>
      <c r="C32" s="136"/>
      <c r="D32" s="136"/>
      <c r="E32" s="136"/>
      <c r="F32" s="136"/>
      <c r="G32" s="136"/>
      <c r="H32" s="136"/>
      <c r="I32" s="136"/>
      <c r="J32" s="136"/>
      <c r="K32" s="136"/>
      <c r="L32" s="136"/>
      <c r="M32" s="136"/>
      <c r="N32" s="136"/>
      <c r="O32" s="136"/>
      <c r="P32" s="136"/>
      <c r="Q32" s="136"/>
      <c r="R32" s="136"/>
      <c r="S32" s="136"/>
      <c r="T32" s="136"/>
      <c r="U32" s="136"/>
      <c r="V32" s="136"/>
      <c r="W32" s="136">
        <v>77066</v>
      </c>
      <c r="X32" s="136">
        <v>77839</v>
      </c>
      <c r="Y32" s="136">
        <v>77996</v>
      </c>
      <c r="Z32" s="136">
        <v>80288</v>
      </c>
      <c r="AA32" s="136">
        <v>80656</v>
      </c>
      <c r="AB32" s="136">
        <v>81347</v>
      </c>
      <c r="AC32" s="136">
        <v>82193</v>
      </c>
      <c r="AD32" s="136">
        <v>83278</v>
      </c>
      <c r="AE32" s="136">
        <v>83264</v>
      </c>
      <c r="AF32" s="136">
        <v>84622</v>
      </c>
      <c r="AG32" s="136">
        <v>85055</v>
      </c>
      <c r="AH32" s="136">
        <v>85488</v>
      </c>
      <c r="AI32" s="136">
        <v>85735</v>
      </c>
      <c r="AJ32" s="136">
        <v>87005</v>
      </c>
      <c r="AK32" s="136">
        <v>86889</v>
      </c>
      <c r="AL32" s="136">
        <v>87185</v>
      </c>
      <c r="AM32" s="136">
        <v>87455</v>
      </c>
      <c r="AN32" s="136">
        <v>87898</v>
      </c>
      <c r="AO32" s="136">
        <v>87839</v>
      </c>
      <c r="AP32" s="136">
        <v>87961</v>
      </c>
      <c r="AQ32" s="136">
        <v>88025</v>
      </c>
      <c r="AR32" s="136">
        <v>88089</v>
      </c>
      <c r="AS32" s="136">
        <v>87514</v>
      </c>
      <c r="AT32" s="136">
        <v>86691</v>
      </c>
      <c r="AU32" s="136">
        <v>85254</v>
      </c>
      <c r="AV32" s="136">
        <v>85787</v>
      </c>
      <c r="AW32" s="136">
        <v>86205</v>
      </c>
      <c r="AX32" s="136">
        <v>88525</v>
      </c>
      <c r="AY32" s="136">
        <v>90488</v>
      </c>
      <c r="AZ32" s="136">
        <v>90497</v>
      </c>
      <c r="BA32" s="136">
        <v>90515</v>
      </c>
      <c r="BB32" s="136">
        <v>91308</v>
      </c>
      <c r="BC32" s="136">
        <v>91519</v>
      </c>
      <c r="BD32" s="136">
        <v>92009</v>
      </c>
      <c r="BE32" s="136">
        <v>92090</v>
      </c>
      <c r="BF32" s="136">
        <v>92485</v>
      </c>
      <c r="BG32" s="136">
        <v>92556</v>
      </c>
      <c r="BH32" s="136">
        <v>92926</v>
      </c>
      <c r="BI32" s="136">
        <v>93220</v>
      </c>
      <c r="BJ32" s="136">
        <v>93344</v>
      </c>
      <c r="BK32" s="136">
        <v>93718</v>
      </c>
      <c r="BL32" s="136">
        <v>94047</v>
      </c>
      <c r="BM32" s="136">
        <v>94387</v>
      </c>
      <c r="BN32" s="136">
        <v>94690</v>
      </c>
      <c r="BO32" s="136">
        <v>94977</v>
      </c>
      <c r="BP32" s="136">
        <v>95079</v>
      </c>
      <c r="BQ32" s="136">
        <v>95224</v>
      </c>
      <c r="BR32" s="136">
        <v>95335</v>
      </c>
      <c r="BS32" s="136">
        <v>95340</v>
      </c>
      <c r="BT32" s="136">
        <v>95438</v>
      </c>
      <c r="BU32" s="136">
        <v>95560</v>
      </c>
      <c r="BV32" s="136">
        <v>95666</v>
      </c>
      <c r="BW32" s="136">
        <v>95737</v>
      </c>
      <c r="BX32" s="136">
        <v>95912</v>
      </c>
      <c r="BY32" s="136">
        <v>96127</v>
      </c>
      <c r="BZ32" s="136">
        <v>96455</v>
      </c>
      <c r="CA32" s="136">
        <v>96661</v>
      </c>
      <c r="CB32" s="136">
        <v>96759</v>
      </c>
      <c r="CC32" s="136">
        <v>96973</v>
      </c>
      <c r="CD32" s="136">
        <v>97108</v>
      </c>
      <c r="CE32" s="136">
        <v>97208</v>
      </c>
      <c r="CF32" s="136">
        <v>97427</v>
      </c>
      <c r="CG32" s="136">
        <v>97552</v>
      </c>
      <c r="CH32" s="136">
        <v>97666</v>
      </c>
      <c r="CI32" s="136">
        <v>97825</v>
      </c>
      <c r="CJ32" s="136">
        <v>97863</v>
      </c>
      <c r="CK32" s="136">
        <v>97931</v>
      </c>
      <c r="CL32" s="136">
        <v>98086</v>
      </c>
      <c r="CM32" s="136">
        <v>98129</v>
      </c>
      <c r="CN32" s="136">
        <v>98234</v>
      </c>
      <c r="CO32" s="136">
        <v>98352</v>
      </c>
      <c r="CP32" s="136">
        <v>98419</v>
      </c>
      <c r="CQ32" s="136">
        <v>98508</v>
      </c>
      <c r="CR32" s="136">
        <v>98533</v>
      </c>
      <c r="CS32" s="136">
        <v>98614</v>
      </c>
      <c r="CT32" s="136">
        <v>98650</v>
      </c>
      <c r="CU32" s="136">
        <v>98704</v>
      </c>
      <c r="CV32" s="136">
        <v>98739</v>
      </c>
      <c r="CW32" s="136">
        <v>98774</v>
      </c>
      <c r="CX32" s="136">
        <v>98843</v>
      </c>
      <c r="CY32" s="136">
        <v>98849</v>
      </c>
      <c r="CZ32" s="136">
        <v>98890</v>
      </c>
      <c r="DA32" s="136">
        <v>98896</v>
      </c>
      <c r="DB32" s="136">
        <v>98952</v>
      </c>
      <c r="DC32" s="136">
        <v>98971</v>
      </c>
      <c r="DD32" s="136">
        <v>99001</v>
      </c>
      <c r="DE32" s="136">
        <v>99010</v>
      </c>
      <c r="DF32" s="136">
        <v>99068</v>
      </c>
      <c r="DG32" s="136">
        <v>99090</v>
      </c>
      <c r="DH32" s="136">
        <v>99109</v>
      </c>
      <c r="DI32" s="136">
        <v>99129</v>
      </c>
      <c r="DJ32" s="136">
        <v>99176</v>
      </c>
      <c r="DK32" s="136">
        <v>99187</v>
      </c>
      <c r="DL32" s="136">
        <v>99203</v>
      </c>
      <c r="DM32" s="136">
        <v>99234</v>
      </c>
      <c r="DN32" s="136">
        <v>99265</v>
      </c>
      <c r="DO32" s="136">
        <v>99294</v>
      </c>
    </row>
    <row r="33" spans="1:119">
      <c r="A33" s="135">
        <v>31</v>
      </c>
      <c r="B33" s="136"/>
      <c r="C33" s="136"/>
      <c r="D33" s="136"/>
      <c r="E33" s="136"/>
      <c r="F33" s="136"/>
      <c r="G33" s="136"/>
      <c r="H33" s="136"/>
      <c r="I33" s="136"/>
      <c r="J33" s="136"/>
      <c r="K33" s="136"/>
      <c r="L33" s="136"/>
      <c r="M33" s="136"/>
      <c r="N33" s="136"/>
      <c r="O33" s="136"/>
      <c r="P33" s="136"/>
      <c r="Q33" s="136"/>
      <c r="R33" s="136"/>
      <c r="S33" s="136"/>
      <c r="T33" s="136"/>
      <c r="U33" s="136"/>
      <c r="V33" s="136"/>
      <c r="W33" s="136">
        <v>76891</v>
      </c>
      <c r="X33" s="136">
        <v>77694</v>
      </c>
      <c r="Y33" s="136">
        <v>77856</v>
      </c>
      <c r="Z33" s="136">
        <v>80144</v>
      </c>
      <c r="AA33" s="136">
        <v>80519</v>
      </c>
      <c r="AB33" s="136">
        <v>81202</v>
      </c>
      <c r="AC33" s="136">
        <v>82048</v>
      </c>
      <c r="AD33" s="136">
        <v>83124</v>
      </c>
      <c r="AE33" s="136">
        <v>83116</v>
      </c>
      <c r="AF33" s="136">
        <v>84478</v>
      </c>
      <c r="AG33" s="136">
        <v>84906</v>
      </c>
      <c r="AH33" s="136">
        <v>85346</v>
      </c>
      <c r="AI33" s="136">
        <v>85594</v>
      </c>
      <c r="AJ33" s="136">
        <v>86867</v>
      </c>
      <c r="AK33" s="136">
        <v>86752</v>
      </c>
      <c r="AL33" s="136">
        <v>87039</v>
      </c>
      <c r="AM33" s="136">
        <v>87318</v>
      </c>
      <c r="AN33" s="136">
        <v>87764</v>
      </c>
      <c r="AO33" s="136">
        <v>87697</v>
      </c>
      <c r="AP33" s="136">
        <v>87815</v>
      </c>
      <c r="AQ33" s="136">
        <v>87876</v>
      </c>
      <c r="AR33" s="136">
        <v>87957</v>
      </c>
      <c r="AS33" s="136">
        <v>87384</v>
      </c>
      <c r="AT33" s="136">
        <v>86563</v>
      </c>
      <c r="AU33" s="136">
        <v>85126</v>
      </c>
      <c r="AV33" s="136">
        <v>85654</v>
      </c>
      <c r="AW33" s="136">
        <v>86076</v>
      </c>
      <c r="AX33" s="136">
        <v>88402</v>
      </c>
      <c r="AY33" s="136">
        <v>90375</v>
      </c>
      <c r="AZ33" s="136">
        <v>90373</v>
      </c>
      <c r="BA33" s="136">
        <v>90394</v>
      </c>
      <c r="BB33" s="136">
        <v>91180</v>
      </c>
      <c r="BC33" s="136">
        <v>91409</v>
      </c>
      <c r="BD33" s="136">
        <v>91900</v>
      </c>
      <c r="BE33" s="136">
        <v>91977</v>
      </c>
      <c r="BF33" s="136">
        <v>92375</v>
      </c>
      <c r="BG33" s="136">
        <v>92441</v>
      </c>
      <c r="BH33" s="136">
        <v>92816</v>
      </c>
      <c r="BI33" s="136">
        <v>93102</v>
      </c>
      <c r="BJ33" s="136">
        <v>93221</v>
      </c>
      <c r="BK33" s="136">
        <v>93589</v>
      </c>
      <c r="BL33" s="136">
        <v>93932</v>
      </c>
      <c r="BM33" s="136">
        <v>94275</v>
      </c>
      <c r="BN33" s="136">
        <v>94577</v>
      </c>
      <c r="BO33" s="136">
        <v>94873</v>
      </c>
      <c r="BP33" s="136">
        <v>94984</v>
      </c>
      <c r="BQ33" s="136">
        <v>95135</v>
      </c>
      <c r="BR33" s="136">
        <v>95252</v>
      </c>
      <c r="BS33" s="136">
        <v>95254</v>
      </c>
      <c r="BT33" s="136">
        <v>95360</v>
      </c>
      <c r="BU33" s="136">
        <v>95482</v>
      </c>
      <c r="BV33" s="136">
        <v>95596</v>
      </c>
      <c r="BW33" s="136">
        <v>95672</v>
      </c>
      <c r="BX33" s="136">
        <v>95845</v>
      </c>
      <c r="BY33" s="136">
        <v>96063</v>
      </c>
      <c r="BZ33" s="136">
        <v>96395</v>
      </c>
      <c r="CA33" s="136">
        <v>96602</v>
      </c>
      <c r="CB33" s="136">
        <v>96691</v>
      </c>
      <c r="CC33" s="136">
        <v>96908</v>
      </c>
      <c r="CD33" s="136">
        <v>97045</v>
      </c>
      <c r="CE33" s="136">
        <v>97149</v>
      </c>
      <c r="CF33" s="136">
        <v>97362</v>
      </c>
      <c r="CG33" s="136">
        <v>97496</v>
      </c>
      <c r="CH33" s="136">
        <v>97605</v>
      </c>
      <c r="CI33" s="136">
        <v>97765</v>
      </c>
      <c r="CJ33" s="136">
        <v>97805</v>
      </c>
      <c r="CK33" s="136">
        <v>97874</v>
      </c>
      <c r="CL33" s="136">
        <v>98030</v>
      </c>
      <c r="CM33" s="136">
        <v>98075</v>
      </c>
      <c r="CN33" s="136">
        <v>98181</v>
      </c>
      <c r="CO33" s="136">
        <v>98300</v>
      </c>
      <c r="CP33" s="136">
        <v>98369</v>
      </c>
      <c r="CQ33" s="136">
        <v>98459</v>
      </c>
      <c r="CR33" s="136">
        <v>98485</v>
      </c>
      <c r="CS33" s="136">
        <v>98567</v>
      </c>
      <c r="CT33" s="136">
        <v>98605</v>
      </c>
      <c r="CU33" s="136">
        <v>98660</v>
      </c>
      <c r="CV33" s="136">
        <v>98696</v>
      </c>
      <c r="CW33" s="136">
        <v>98732</v>
      </c>
      <c r="CX33" s="136">
        <v>98802</v>
      </c>
      <c r="CY33" s="136">
        <v>98810</v>
      </c>
      <c r="CZ33" s="136">
        <v>98851</v>
      </c>
      <c r="DA33" s="136">
        <v>98859</v>
      </c>
      <c r="DB33" s="136">
        <v>98915</v>
      </c>
      <c r="DC33" s="136">
        <v>98935</v>
      </c>
      <c r="DD33" s="136">
        <v>98967</v>
      </c>
      <c r="DE33" s="136">
        <v>98976</v>
      </c>
      <c r="DF33" s="136">
        <v>99035</v>
      </c>
      <c r="DG33" s="136">
        <v>99057</v>
      </c>
      <c r="DH33" s="136">
        <v>99077</v>
      </c>
      <c r="DI33" s="136">
        <v>99098</v>
      </c>
      <c r="DJ33" s="136">
        <v>99146</v>
      </c>
      <c r="DK33" s="136">
        <v>99158</v>
      </c>
      <c r="DL33" s="136">
        <v>99174</v>
      </c>
      <c r="DM33" s="136">
        <v>99207</v>
      </c>
      <c r="DN33" s="136">
        <v>99238</v>
      </c>
      <c r="DO33" s="136">
        <v>99268</v>
      </c>
    </row>
    <row r="34" spans="1:119">
      <c r="A34" s="135">
        <v>32</v>
      </c>
      <c r="B34" s="136"/>
      <c r="C34" s="136"/>
      <c r="D34" s="136"/>
      <c r="E34" s="136"/>
      <c r="F34" s="136"/>
      <c r="G34" s="136"/>
      <c r="H34" s="136"/>
      <c r="I34" s="136"/>
      <c r="J34" s="136"/>
      <c r="K34" s="136"/>
      <c r="L34" s="136"/>
      <c r="M34" s="136"/>
      <c r="N34" s="136"/>
      <c r="O34" s="136"/>
      <c r="P34" s="136"/>
      <c r="Q34" s="136"/>
      <c r="R34" s="136"/>
      <c r="S34" s="136"/>
      <c r="T34" s="136"/>
      <c r="U34" s="136"/>
      <c r="V34" s="136"/>
      <c r="W34" s="136">
        <v>76748</v>
      </c>
      <c r="X34" s="136">
        <v>77551</v>
      </c>
      <c r="Y34" s="136">
        <v>77707</v>
      </c>
      <c r="Z34" s="136">
        <v>79995</v>
      </c>
      <c r="AA34" s="136">
        <v>80373</v>
      </c>
      <c r="AB34" s="136">
        <v>81048</v>
      </c>
      <c r="AC34" s="136">
        <v>81898</v>
      </c>
      <c r="AD34" s="136">
        <v>82981</v>
      </c>
      <c r="AE34" s="136">
        <v>82972</v>
      </c>
      <c r="AF34" s="136">
        <v>84334</v>
      </c>
      <c r="AG34" s="136">
        <v>84756</v>
      </c>
      <c r="AH34" s="136">
        <v>85199</v>
      </c>
      <c r="AI34" s="136">
        <v>85446</v>
      </c>
      <c r="AJ34" s="136">
        <v>86718</v>
      </c>
      <c r="AK34" s="136">
        <v>86606</v>
      </c>
      <c r="AL34" s="136">
        <v>86893</v>
      </c>
      <c r="AM34" s="136">
        <v>87179</v>
      </c>
      <c r="AN34" s="136">
        <v>87616</v>
      </c>
      <c r="AO34" s="136">
        <v>87545</v>
      </c>
      <c r="AP34" s="136">
        <v>87666</v>
      </c>
      <c r="AQ34" s="136">
        <v>87724</v>
      </c>
      <c r="AR34" s="136">
        <v>87816</v>
      </c>
      <c r="AS34" s="136">
        <v>87246</v>
      </c>
      <c r="AT34" s="136">
        <v>86424</v>
      </c>
      <c r="AU34" s="136">
        <v>84989</v>
      </c>
      <c r="AV34" s="136">
        <v>85518</v>
      </c>
      <c r="AW34" s="136">
        <v>85951</v>
      </c>
      <c r="AX34" s="136">
        <v>88274</v>
      </c>
      <c r="AY34" s="136">
        <v>90255</v>
      </c>
      <c r="AZ34" s="136">
        <v>90243</v>
      </c>
      <c r="BA34" s="136">
        <v>90265</v>
      </c>
      <c r="BB34" s="136">
        <v>91053</v>
      </c>
      <c r="BC34" s="136">
        <v>91289</v>
      </c>
      <c r="BD34" s="136">
        <v>91780</v>
      </c>
      <c r="BE34" s="136">
        <v>91861</v>
      </c>
      <c r="BF34" s="136">
        <v>92260</v>
      </c>
      <c r="BG34" s="136">
        <v>92322</v>
      </c>
      <c r="BH34" s="136">
        <v>92700</v>
      </c>
      <c r="BI34" s="136">
        <v>92972</v>
      </c>
      <c r="BJ34" s="136">
        <v>93085</v>
      </c>
      <c r="BK34" s="136">
        <v>93467</v>
      </c>
      <c r="BL34" s="136">
        <v>93819</v>
      </c>
      <c r="BM34" s="136">
        <v>94161</v>
      </c>
      <c r="BN34" s="136">
        <v>94467</v>
      </c>
      <c r="BO34" s="136">
        <v>94768</v>
      </c>
      <c r="BP34" s="136">
        <v>94888</v>
      </c>
      <c r="BQ34" s="136">
        <v>95046</v>
      </c>
      <c r="BR34" s="136">
        <v>95171</v>
      </c>
      <c r="BS34" s="136">
        <v>95170</v>
      </c>
      <c r="BT34" s="136">
        <v>95285</v>
      </c>
      <c r="BU34" s="136">
        <v>95405</v>
      </c>
      <c r="BV34" s="136">
        <v>95521</v>
      </c>
      <c r="BW34" s="136">
        <v>95597</v>
      </c>
      <c r="BX34" s="136">
        <v>95775</v>
      </c>
      <c r="BY34" s="136">
        <v>95992</v>
      </c>
      <c r="BZ34" s="136">
        <v>96328</v>
      </c>
      <c r="CA34" s="136">
        <v>96530</v>
      </c>
      <c r="CB34" s="136">
        <v>96621</v>
      </c>
      <c r="CC34" s="136">
        <v>96839</v>
      </c>
      <c r="CD34" s="136">
        <v>96979</v>
      </c>
      <c r="CE34" s="136">
        <v>97088</v>
      </c>
      <c r="CF34" s="136">
        <v>97298</v>
      </c>
      <c r="CG34" s="136">
        <v>97422</v>
      </c>
      <c r="CH34" s="136">
        <v>97542</v>
      </c>
      <c r="CI34" s="136">
        <v>97703</v>
      </c>
      <c r="CJ34" s="136">
        <v>97744</v>
      </c>
      <c r="CK34" s="136">
        <v>97815</v>
      </c>
      <c r="CL34" s="136">
        <v>97973</v>
      </c>
      <c r="CM34" s="136">
        <v>98019</v>
      </c>
      <c r="CN34" s="136">
        <v>98126</v>
      </c>
      <c r="CO34" s="136">
        <v>98247</v>
      </c>
      <c r="CP34" s="136">
        <v>98317</v>
      </c>
      <c r="CQ34" s="136">
        <v>98408</v>
      </c>
      <c r="CR34" s="136">
        <v>98436</v>
      </c>
      <c r="CS34" s="136">
        <v>98519</v>
      </c>
      <c r="CT34" s="136">
        <v>98558</v>
      </c>
      <c r="CU34" s="136">
        <v>98615</v>
      </c>
      <c r="CV34" s="136">
        <v>98652</v>
      </c>
      <c r="CW34" s="136">
        <v>98689</v>
      </c>
      <c r="CX34" s="136">
        <v>98760</v>
      </c>
      <c r="CY34" s="136">
        <v>98768</v>
      </c>
      <c r="CZ34" s="136">
        <v>98811</v>
      </c>
      <c r="DA34" s="136">
        <v>98820</v>
      </c>
      <c r="DB34" s="136">
        <v>98877</v>
      </c>
      <c r="DC34" s="136">
        <v>98898</v>
      </c>
      <c r="DD34" s="136">
        <v>98930</v>
      </c>
      <c r="DE34" s="136">
        <v>98941</v>
      </c>
      <c r="DF34" s="136">
        <v>99001</v>
      </c>
      <c r="DG34" s="136">
        <v>99024</v>
      </c>
      <c r="DH34" s="136">
        <v>99045</v>
      </c>
      <c r="DI34" s="136">
        <v>99066</v>
      </c>
      <c r="DJ34" s="136">
        <v>99115</v>
      </c>
      <c r="DK34" s="136">
        <v>99128</v>
      </c>
      <c r="DL34" s="136">
        <v>99145</v>
      </c>
      <c r="DM34" s="136">
        <v>99178</v>
      </c>
      <c r="DN34" s="136">
        <v>99210</v>
      </c>
      <c r="DO34" s="136">
        <v>99240</v>
      </c>
    </row>
    <row r="35" spans="1:119">
      <c r="A35" s="135">
        <v>33</v>
      </c>
      <c r="B35" s="136"/>
      <c r="C35" s="136"/>
      <c r="D35" s="136"/>
      <c r="E35" s="136"/>
      <c r="F35" s="136"/>
      <c r="G35" s="136"/>
      <c r="H35" s="136"/>
      <c r="I35" s="136"/>
      <c r="J35" s="136"/>
      <c r="K35" s="136"/>
      <c r="L35" s="136"/>
      <c r="M35" s="136"/>
      <c r="N35" s="136"/>
      <c r="O35" s="136"/>
      <c r="P35" s="136"/>
      <c r="Q35" s="136"/>
      <c r="R35" s="136"/>
      <c r="S35" s="136"/>
      <c r="T35" s="136"/>
      <c r="U35" s="136"/>
      <c r="V35" s="136"/>
      <c r="W35" s="136">
        <v>76605</v>
      </c>
      <c r="X35" s="136">
        <v>77404</v>
      </c>
      <c r="Y35" s="136">
        <v>77553</v>
      </c>
      <c r="Z35" s="136">
        <v>79842</v>
      </c>
      <c r="AA35" s="136">
        <v>80212</v>
      </c>
      <c r="AB35" s="136">
        <v>80899</v>
      </c>
      <c r="AC35" s="136">
        <v>81742</v>
      </c>
      <c r="AD35" s="136">
        <v>82833</v>
      </c>
      <c r="AE35" s="136">
        <v>82817</v>
      </c>
      <c r="AF35" s="136">
        <v>84184</v>
      </c>
      <c r="AG35" s="136">
        <v>84598</v>
      </c>
      <c r="AH35" s="136">
        <v>85040</v>
      </c>
      <c r="AI35" s="136">
        <v>85299</v>
      </c>
      <c r="AJ35" s="136">
        <v>86569</v>
      </c>
      <c r="AK35" s="136">
        <v>86465</v>
      </c>
      <c r="AL35" s="136">
        <v>86749</v>
      </c>
      <c r="AM35" s="136">
        <v>87032</v>
      </c>
      <c r="AN35" s="136">
        <v>87458</v>
      </c>
      <c r="AO35" s="136">
        <v>87393</v>
      </c>
      <c r="AP35" s="136">
        <v>87512</v>
      </c>
      <c r="AQ35" s="136">
        <v>87582</v>
      </c>
      <c r="AR35" s="136">
        <v>87669</v>
      </c>
      <c r="AS35" s="136">
        <v>87097</v>
      </c>
      <c r="AT35" s="136">
        <v>86283</v>
      </c>
      <c r="AU35" s="136">
        <v>84850</v>
      </c>
      <c r="AV35" s="136">
        <v>85382</v>
      </c>
      <c r="AW35" s="136">
        <v>85819</v>
      </c>
      <c r="AX35" s="136">
        <v>88150</v>
      </c>
      <c r="AY35" s="136">
        <v>90126</v>
      </c>
      <c r="AZ35" s="136">
        <v>90106</v>
      </c>
      <c r="BA35" s="136">
        <v>90141</v>
      </c>
      <c r="BB35" s="136">
        <v>90932</v>
      </c>
      <c r="BC35" s="136">
        <v>91170</v>
      </c>
      <c r="BD35" s="136">
        <v>91660</v>
      </c>
      <c r="BE35" s="136">
        <v>91727</v>
      </c>
      <c r="BF35" s="136">
        <v>92132</v>
      </c>
      <c r="BG35" s="136">
        <v>92188</v>
      </c>
      <c r="BH35" s="136">
        <v>92569</v>
      </c>
      <c r="BI35" s="136">
        <v>92831</v>
      </c>
      <c r="BJ35" s="136">
        <v>92962</v>
      </c>
      <c r="BK35" s="136">
        <v>93342</v>
      </c>
      <c r="BL35" s="136">
        <v>93698</v>
      </c>
      <c r="BM35" s="136">
        <v>94043</v>
      </c>
      <c r="BN35" s="136">
        <v>94356</v>
      </c>
      <c r="BO35" s="136">
        <v>94668</v>
      </c>
      <c r="BP35" s="136">
        <v>94798</v>
      </c>
      <c r="BQ35" s="136">
        <v>94957</v>
      </c>
      <c r="BR35" s="136">
        <v>95083</v>
      </c>
      <c r="BS35" s="136">
        <v>95087</v>
      </c>
      <c r="BT35" s="136">
        <v>95209</v>
      </c>
      <c r="BU35" s="136">
        <v>95330</v>
      </c>
      <c r="BV35" s="136">
        <v>95441</v>
      </c>
      <c r="BW35" s="136">
        <v>95529</v>
      </c>
      <c r="BX35" s="136">
        <v>95705</v>
      </c>
      <c r="BY35" s="136">
        <v>95920</v>
      </c>
      <c r="BZ35" s="136">
        <v>96255</v>
      </c>
      <c r="CA35" s="136">
        <v>96461</v>
      </c>
      <c r="CB35" s="136">
        <v>96545</v>
      </c>
      <c r="CC35" s="136">
        <v>96763</v>
      </c>
      <c r="CD35" s="136">
        <v>96914</v>
      </c>
      <c r="CE35" s="136">
        <v>97019</v>
      </c>
      <c r="CF35" s="136">
        <v>97231</v>
      </c>
      <c r="CG35" s="136">
        <v>97355</v>
      </c>
      <c r="CH35" s="136">
        <v>97477</v>
      </c>
      <c r="CI35" s="136">
        <v>97640</v>
      </c>
      <c r="CJ35" s="136">
        <v>97682</v>
      </c>
      <c r="CK35" s="136">
        <v>97754</v>
      </c>
      <c r="CL35" s="136">
        <v>97914</v>
      </c>
      <c r="CM35" s="136">
        <v>97961</v>
      </c>
      <c r="CN35" s="136">
        <v>98070</v>
      </c>
      <c r="CO35" s="136">
        <v>98192</v>
      </c>
      <c r="CP35" s="136">
        <v>98264</v>
      </c>
      <c r="CQ35" s="136">
        <v>98356</v>
      </c>
      <c r="CR35" s="136">
        <v>98385</v>
      </c>
      <c r="CS35" s="136">
        <v>98469</v>
      </c>
      <c r="CT35" s="136">
        <v>98509</v>
      </c>
      <c r="CU35" s="136">
        <v>98567</v>
      </c>
      <c r="CV35" s="136">
        <v>98606</v>
      </c>
      <c r="CW35" s="136">
        <v>98644</v>
      </c>
      <c r="CX35" s="136">
        <v>98716</v>
      </c>
      <c r="CY35" s="136">
        <v>98726</v>
      </c>
      <c r="CZ35" s="136">
        <v>98769</v>
      </c>
      <c r="DA35" s="136">
        <v>98779</v>
      </c>
      <c r="DB35" s="136">
        <v>98837</v>
      </c>
      <c r="DC35" s="136">
        <v>98859</v>
      </c>
      <c r="DD35" s="136">
        <v>98892</v>
      </c>
      <c r="DE35" s="136">
        <v>98904</v>
      </c>
      <c r="DF35" s="136">
        <v>98965</v>
      </c>
      <c r="DG35" s="136">
        <v>98989</v>
      </c>
      <c r="DH35" s="136">
        <v>99010</v>
      </c>
      <c r="DI35" s="136">
        <v>99033</v>
      </c>
      <c r="DJ35" s="136">
        <v>99082</v>
      </c>
      <c r="DK35" s="136">
        <v>99096</v>
      </c>
      <c r="DL35" s="136">
        <v>99114</v>
      </c>
      <c r="DM35" s="136">
        <v>99148</v>
      </c>
      <c r="DN35" s="136">
        <v>99181</v>
      </c>
      <c r="DO35" s="136">
        <v>99212</v>
      </c>
    </row>
    <row r="36" spans="1:119">
      <c r="A36" s="135">
        <v>34</v>
      </c>
      <c r="B36" s="136"/>
      <c r="C36" s="136"/>
      <c r="D36" s="136"/>
      <c r="E36" s="136"/>
      <c r="F36" s="136"/>
      <c r="G36" s="136"/>
      <c r="H36" s="136"/>
      <c r="I36" s="136"/>
      <c r="J36" s="136"/>
      <c r="K36" s="136"/>
      <c r="L36" s="136"/>
      <c r="M36" s="136"/>
      <c r="N36" s="136"/>
      <c r="O36" s="136"/>
      <c r="P36" s="136"/>
      <c r="Q36" s="136"/>
      <c r="R36" s="136"/>
      <c r="S36" s="136"/>
      <c r="T36" s="136"/>
      <c r="U36" s="136"/>
      <c r="V36" s="136"/>
      <c r="W36" s="136">
        <v>76456</v>
      </c>
      <c r="X36" s="136">
        <v>77249</v>
      </c>
      <c r="Y36" s="136">
        <v>77407</v>
      </c>
      <c r="Z36" s="136">
        <v>79689</v>
      </c>
      <c r="AA36" s="136">
        <v>80055</v>
      </c>
      <c r="AB36" s="136">
        <v>80742</v>
      </c>
      <c r="AC36" s="136">
        <v>81588</v>
      </c>
      <c r="AD36" s="136">
        <v>82672</v>
      </c>
      <c r="AE36" s="136">
        <v>82665</v>
      </c>
      <c r="AF36" s="136">
        <v>84023</v>
      </c>
      <c r="AG36" s="136">
        <v>84439</v>
      </c>
      <c r="AH36" s="136">
        <v>84884</v>
      </c>
      <c r="AI36" s="136">
        <v>85132</v>
      </c>
      <c r="AJ36" s="136">
        <v>86418</v>
      </c>
      <c r="AK36" s="136">
        <v>86314</v>
      </c>
      <c r="AL36" s="136">
        <v>86591</v>
      </c>
      <c r="AM36" s="136">
        <v>86865</v>
      </c>
      <c r="AN36" s="136">
        <v>87305</v>
      </c>
      <c r="AO36" s="136">
        <v>87228</v>
      </c>
      <c r="AP36" s="136">
        <v>87359</v>
      </c>
      <c r="AQ36" s="136">
        <v>87425</v>
      </c>
      <c r="AR36" s="136">
        <v>87513</v>
      </c>
      <c r="AS36" s="136">
        <v>86939</v>
      </c>
      <c r="AT36" s="136">
        <v>86136</v>
      </c>
      <c r="AU36" s="136">
        <v>84702</v>
      </c>
      <c r="AV36" s="136">
        <v>85237</v>
      </c>
      <c r="AW36" s="136">
        <v>85689</v>
      </c>
      <c r="AX36" s="136">
        <v>88020</v>
      </c>
      <c r="AY36" s="136">
        <v>89997</v>
      </c>
      <c r="AZ36" s="136">
        <v>89981</v>
      </c>
      <c r="BA36" s="136">
        <v>90018</v>
      </c>
      <c r="BB36" s="136">
        <v>90807</v>
      </c>
      <c r="BC36" s="136">
        <v>91048</v>
      </c>
      <c r="BD36" s="136">
        <v>91533</v>
      </c>
      <c r="BE36" s="136">
        <v>91597</v>
      </c>
      <c r="BF36" s="136">
        <v>91992</v>
      </c>
      <c r="BG36" s="136">
        <v>92040</v>
      </c>
      <c r="BH36" s="136">
        <v>92421</v>
      </c>
      <c r="BI36" s="136">
        <v>92689</v>
      </c>
      <c r="BJ36" s="136">
        <v>92817</v>
      </c>
      <c r="BK36" s="136">
        <v>93215</v>
      </c>
      <c r="BL36" s="136">
        <v>93570</v>
      </c>
      <c r="BM36" s="136">
        <v>93925</v>
      </c>
      <c r="BN36" s="136">
        <v>94246</v>
      </c>
      <c r="BO36" s="136">
        <v>94578</v>
      </c>
      <c r="BP36" s="136">
        <v>94701</v>
      </c>
      <c r="BQ36" s="136">
        <v>94867</v>
      </c>
      <c r="BR36" s="136">
        <v>94997</v>
      </c>
      <c r="BS36" s="136">
        <v>95001</v>
      </c>
      <c r="BT36" s="136">
        <v>95129</v>
      </c>
      <c r="BU36" s="136">
        <v>95246</v>
      </c>
      <c r="BV36" s="136">
        <v>95362</v>
      </c>
      <c r="BW36" s="136">
        <v>95463</v>
      </c>
      <c r="BX36" s="136">
        <v>95633</v>
      </c>
      <c r="BY36" s="136">
        <v>95847</v>
      </c>
      <c r="BZ36" s="136">
        <v>96185</v>
      </c>
      <c r="CA36" s="136">
        <v>96380</v>
      </c>
      <c r="CB36" s="136">
        <v>96477</v>
      </c>
      <c r="CC36" s="136">
        <v>96697</v>
      </c>
      <c r="CD36" s="136">
        <v>96841</v>
      </c>
      <c r="CE36" s="136">
        <v>96950</v>
      </c>
      <c r="CF36" s="136">
        <v>97160</v>
      </c>
      <c r="CG36" s="136">
        <v>97287</v>
      </c>
      <c r="CH36" s="136">
        <v>97409</v>
      </c>
      <c r="CI36" s="136">
        <v>97574</v>
      </c>
      <c r="CJ36" s="136">
        <v>97618</v>
      </c>
      <c r="CK36" s="136">
        <v>97692</v>
      </c>
      <c r="CL36" s="136">
        <v>97853</v>
      </c>
      <c r="CM36" s="136">
        <v>97902</v>
      </c>
      <c r="CN36" s="136">
        <v>98012</v>
      </c>
      <c r="CO36" s="136">
        <v>98135</v>
      </c>
      <c r="CP36" s="136">
        <v>98208</v>
      </c>
      <c r="CQ36" s="136">
        <v>98302</v>
      </c>
      <c r="CR36" s="136">
        <v>98332</v>
      </c>
      <c r="CS36" s="136">
        <v>98418</v>
      </c>
      <c r="CT36" s="136">
        <v>98459</v>
      </c>
      <c r="CU36" s="136">
        <v>98518</v>
      </c>
      <c r="CV36" s="136">
        <v>98558</v>
      </c>
      <c r="CW36" s="136">
        <v>98597</v>
      </c>
      <c r="CX36" s="136">
        <v>98671</v>
      </c>
      <c r="CY36" s="136">
        <v>98681</v>
      </c>
      <c r="CZ36" s="136">
        <v>98726</v>
      </c>
      <c r="DA36" s="136">
        <v>98737</v>
      </c>
      <c r="DB36" s="136">
        <v>98796</v>
      </c>
      <c r="DC36" s="136">
        <v>98819</v>
      </c>
      <c r="DD36" s="136">
        <v>98853</v>
      </c>
      <c r="DE36" s="136">
        <v>98866</v>
      </c>
      <c r="DF36" s="136">
        <v>98928</v>
      </c>
      <c r="DG36" s="136">
        <v>98952</v>
      </c>
      <c r="DH36" s="136">
        <v>98975</v>
      </c>
      <c r="DI36" s="136">
        <v>98998</v>
      </c>
      <c r="DJ36" s="136">
        <v>99049</v>
      </c>
      <c r="DK36" s="136">
        <v>99063</v>
      </c>
      <c r="DL36" s="136">
        <v>99082</v>
      </c>
      <c r="DM36" s="136">
        <v>99117</v>
      </c>
      <c r="DN36" s="136">
        <v>99150</v>
      </c>
      <c r="DO36" s="136">
        <v>99182</v>
      </c>
    </row>
    <row r="37" spans="1:119">
      <c r="A37" s="135">
        <v>35</v>
      </c>
      <c r="B37" s="136"/>
      <c r="C37" s="136"/>
      <c r="D37" s="136"/>
      <c r="E37" s="136"/>
      <c r="F37" s="136"/>
      <c r="G37" s="136"/>
      <c r="H37" s="136"/>
      <c r="I37" s="136"/>
      <c r="J37" s="136"/>
      <c r="K37" s="136"/>
      <c r="L37" s="136"/>
      <c r="M37" s="136"/>
      <c r="N37" s="136"/>
      <c r="O37" s="136"/>
      <c r="P37" s="136"/>
      <c r="Q37" s="136"/>
      <c r="R37" s="136"/>
      <c r="S37" s="136"/>
      <c r="T37" s="136"/>
      <c r="U37" s="136"/>
      <c r="V37" s="136"/>
      <c r="W37" s="136">
        <v>76305</v>
      </c>
      <c r="X37" s="136">
        <v>77087</v>
      </c>
      <c r="Y37" s="136">
        <v>77250</v>
      </c>
      <c r="Z37" s="136">
        <v>79532</v>
      </c>
      <c r="AA37" s="136">
        <v>79900</v>
      </c>
      <c r="AB37" s="136">
        <v>80581</v>
      </c>
      <c r="AC37" s="136">
        <v>81429</v>
      </c>
      <c r="AD37" s="136">
        <v>82510</v>
      </c>
      <c r="AE37" s="136">
        <v>82499</v>
      </c>
      <c r="AF37" s="136">
        <v>83865</v>
      </c>
      <c r="AG37" s="136">
        <v>84280</v>
      </c>
      <c r="AH37" s="136">
        <v>84714</v>
      </c>
      <c r="AI37" s="136">
        <v>84961</v>
      </c>
      <c r="AJ37" s="136">
        <v>86271</v>
      </c>
      <c r="AK37" s="136">
        <v>86135</v>
      </c>
      <c r="AL37" s="136">
        <v>86428</v>
      </c>
      <c r="AM37" s="136">
        <v>86698</v>
      </c>
      <c r="AN37" s="136">
        <v>87141</v>
      </c>
      <c r="AO37" s="136">
        <v>87066</v>
      </c>
      <c r="AP37" s="136">
        <v>87190</v>
      </c>
      <c r="AQ37" s="136">
        <v>87260</v>
      </c>
      <c r="AR37" s="136">
        <v>87360</v>
      </c>
      <c r="AS37" s="136">
        <v>86776</v>
      </c>
      <c r="AT37" s="136">
        <v>85981</v>
      </c>
      <c r="AU37" s="136">
        <v>84559</v>
      </c>
      <c r="AV37" s="136">
        <v>85091</v>
      </c>
      <c r="AW37" s="136">
        <v>85555</v>
      </c>
      <c r="AX37" s="136">
        <v>87888</v>
      </c>
      <c r="AY37" s="136">
        <v>89854</v>
      </c>
      <c r="AZ37" s="136">
        <v>89845</v>
      </c>
      <c r="BA37" s="136">
        <v>89880</v>
      </c>
      <c r="BB37" s="136">
        <v>90673</v>
      </c>
      <c r="BC37" s="136">
        <v>90919</v>
      </c>
      <c r="BD37" s="136">
        <v>91393</v>
      </c>
      <c r="BE37" s="136">
        <v>91450</v>
      </c>
      <c r="BF37" s="136">
        <v>91833</v>
      </c>
      <c r="BG37" s="136">
        <v>91885</v>
      </c>
      <c r="BH37" s="136">
        <v>92274</v>
      </c>
      <c r="BI37" s="136">
        <v>92538</v>
      </c>
      <c r="BJ37" s="136">
        <v>92672</v>
      </c>
      <c r="BK37" s="136">
        <v>93084</v>
      </c>
      <c r="BL37" s="136">
        <v>93447</v>
      </c>
      <c r="BM37" s="136">
        <v>93810</v>
      </c>
      <c r="BN37" s="136">
        <v>94147</v>
      </c>
      <c r="BO37" s="136">
        <v>94465</v>
      </c>
      <c r="BP37" s="136">
        <v>94607</v>
      </c>
      <c r="BQ37" s="136">
        <v>94776</v>
      </c>
      <c r="BR37" s="136">
        <v>94904</v>
      </c>
      <c r="BS37" s="136">
        <v>94912</v>
      </c>
      <c r="BT37" s="136">
        <v>95046</v>
      </c>
      <c r="BU37" s="136">
        <v>95166</v>
      </c>
      <c r="BV37" s="136">
        <v>95280</v>
      </c>
      <c r="BW37" s="136">
        <v>95387</v>
      </c>
      <c r="BX37" s="136">
        <v>95560</v>
      </c>
      <c r="BY37" s="136">
        <v>95767</v>
      </c>
      <c r="BZ37" s="136">
        <v>96106</v>
      </c>
      <c r="CA37" s="136">
        <v>96307</v>
      </c>
      <c r="CB37" s="136">
        <v>96401</v>
      </c>
      <c r="CC37" s="136">
        <v>96616</v>
      </c>
      <c r="CD37" s="136">
        <v>96765</v>
      </c>
      <c r="CE37" s="136">
        <v>96876</v>
      </c>
      <c r="CF37" s="136">
        <v>97088</v>
      </c>
      <c r="CG37" s="136">
        <v>97216</v>
      </c>
      <c r="CH37" s="136">
        <v>97340</v>
      </c>
      <c r="CI37" s="136">
        <v>97506</v>
      </c>
      <c r="CJ37" s="136">
        <v>97552</v>
      </c>
      <c r="CK37" s="136">
        <v>97627</v>
      </c>
      <c r="CL37" s="136">
        <v>97790</v>
      </c>
      <c r="CM37" s="136">
        <v>97840</v>
      </c>
      <c r="CN37" s="136">
        <v>97951</v>
      </c>
      <c r="CO37" s="136">
        <v>98077</v>
      </c>
      <c r="CP37" s="136">
        <v>98151</v>
      </c>
      <c r="CQ37" s="136">
        <v>98246</v>
      </c>
      <c r="CR37" s="136">
        <v>98277</v>
      </c>
      <c r="CS37" s="136">
        <v>98364</v>
      </c>
      <c r="CT37" s="136">
        <v>98407</v>
      </c>
      <c r="CU37" s="136">
        <v>98467</v>
      </c>
      <c r="CV37" s="136">
        <v>98508</v>
      </c>
      <c r="CW37" s="136">
        <v>98548</v>
      </c>
      <c r="CX37" s="136">
        <v>98623</v>
      </c>
      <c r="CY37" s="136">
        <v>98635</v>
      </c>
      <c r="CZ37" s="136">
        <v>98681</v>
      </c>
      <c r="DA37" s="136">
        <v>98693</v>
      </c>
      <c r="DB37" s="136">
        <v>98753</v>
      </c>
      <c r="DC37" s="136">
        <v>98777</v>
      </c>
      <c r="DD37" s="136">
        <v>98812</v>
      </c>
      <c r="DE37" s="136">
        <v>98826</v>
      </c>
      <c r="DF37" s="136">
        <v>98889</v>
      </c>
      <c r="DG37" s="136">
        <v>98914</v>
      </c>
      <c r="DH37" s="136">
        <v>98938</v>
      </c>
      <c r="DI37" s="136">
        <v>98962</v>
      </c>
      <c r="DJ37" s="136">
        <v>99013</v>
      </c>
      <c r="DK37" s="136">
        <v>99029</v>
      </c>
      <c r="DL37" s="136">
        <v>99048</v>
      </c>
      <c r="DM37" s="136">
        <v>99084</v>
      </c>
      <c r="DN37" s="136">
        <v>99118</v>
      </c>
      <c r="DO37" s="136">
        <v>99151</v>
      </c>
    </row>
    <row r="38" spans="1:119">
      <c r="A38" s="135">
        <v>36</v>
      </c>
      <c r="B38" s="136"/>
      <c r="C38" s="136"/>
      <c r="D38" s="136"/>
      <c r="E38" s="136"/>
      <c r="F38" s="136"/>
      <c r="G38" s="136"/>
      <c r="H38" s="136"/>
      <c r="I38" s="136"/>
      <c r="J38" s="136"/>
      <c r="K38" s="136"/>
      <c r="L38" s="136"/>
      <c r="M38" s="136"/>
      <c r="N38" s="136"/>
      <c r="O38" s="136"/>
      <c r="P38" s="136"/>
      <c r="Q38" s="136"/>
      <c r="R38" s="136"/>
      <c r="S38" s="136"/>
      <c r="T38" s="136"/>
      <c r="U38" s="136"/>
      <c r="V38" s="136"/>
      <c r="W38" s="136">
        <v>76129</v>
      </c>
      <c r="X38" s="136">
        <v>76920</v>
      </c>
      <c r="Y38" s="136">
        <v>77079</v>
      </c>
      <c r="Z38" s="136">
        <v>79355</v>
      </c>
      <c r="AA38" s="136">
        <v>79734</v>
      </c>
      <c r="AB38" s="136">
        <v>80419</v>
      </c>
      <c r="AC38" s="136">
        <v>81265</v>
      </c>
      <c r="AD38" s="136">
        <v>82332</v>
      </c>
      <c r="AE38" s="136">
        <v>82329</v>
      </c>
      <c r="AF38" s="136">
        <v>83691</v>
      </c>
      <c r="AG38" s="136">
        <v>84119</v>
      </c>
      <c r="AH38" s="136">
        <v>84543</v>
      </c>
      <c r="AI38" s="136">
        <v>84790</v>
      </c>
      <c r="AJ38" s="136">
        <v>86091</v>
      </c>
      <c r="AK38" s="136">
        <v>85953</v>
      </c>
      <c r="AL38" s="136">
        <v>86255</v>
      </c>
      <c r="AM38" s="136">
        <v>86521</v>
      </c>
      <c r="AN38" s="136">
        <v>86979</v>
      </c>
      <c r="AO38" s="136">
        <v>86896</v>
      </c>
      <c r="AP38" s="136">
        <v>87024</v>
      </c>
      <c r="AQ38" s="136">
        <v>87096</v>
      </c>
      <c r="AR38" s="136">
        <v>87191</v>
      </c>
      <c r="AS38" s="136">
        <v>86607</v>
      </c>
      <c r="AT38" s="136">
        <v>85830</v>
      </c>
      <c r="AU38" s="136">
        <v>84415</v>
      </c>
      <c r="AV38" s="136">
        <v>84937</v>
      </c>
      <c r="AW38" s="136">
        <v>85417</v>
      </c>
      <c r="AX38" s="136">
        <v>87748</v>
      </c>
      <c r="AY38" s="136">
        <v>89720</v>
      </c>
      <c r="AZ38" s="136">
        <v>89706</v>
      </c>
      <c r="BA38" s="136">
        <v>89734</v>
      </c>
      <c r="BB38" s="136">
        <v>90522</v>
      </c>
      <c r="BC38" s="136">
        <v>90775</v>
      </c>
      <c r="BD38" s="136">
        <v>91235</v>
      </c>
      <c r="BE38" s="136">
        <v>91286</v>
      </c>
      <c r="BF38" s="136">
        <v>91663</v>
      </c>
      <c r="BG38" s="136">
        <v>91726</v>
      </c>
      <c r="BH38" s="136">
        <v>92117</v>
      </c>
      <c r="BI38" s="136">
        <v>92388</v>
      </c>
      <c r="BJ38" s="136">
        <v>92533</v>
      </c>
      <c r="BK38" s="136">
        <v>92941</v>
      </c>
      <c r="BL38" s="136">
        <v>93320</v>
      </c>
      <c r="BM38" s="136">
        <v>93702</v>
      </c>
      <c r="BN38" s="136">
        <v>94042</v>
      </c>
      <c r="BO38" s="136">
        <v>94358</v>
      </c>
      <c r="BP38" s="136">
        <v>94505</v>
      </c>
      <c r="BQ38" s="136">
        <v>94672</v>
      </c>
      <c r="BR38" s="136">
        <v>94807</v>
      </c>
      <c r="BS38" s="136">
        <v>94818</v>
      </c>
      <c r="BT38" s="136">
        <v>94963</v>
      </c>
      <c r="BU38" s="136">
        <v>95080</v>
      </c>
      <c r="BV38" s="136">
        <v>95201</v>
      </c>
      <c r="BW38" s="136">
        <v>95298</v>
      </c>
      <c r="BX38" s="136">
        <v>95477</v>
      </c>
      <c r="BY38" s="136">
        <v>95691</v>
      </c>
      <c r="BZ38" s="136">
        <v>96031</v>
      </c>
      <c r="CA38" s="136">
        <v>96224</v>
      </c>
      <c r="CB38" s="136">
        <v>96322</v>
      </c>
      <c r="CC38" s="136">
        <v>96528</v>
      </c>
      <c r="CD38" s="136">
        <v>96687</v>
      </c>
      <c r="CE38" s="136">
        <v>96799</v>
      </c>
      <c r="CF38" s="136">
        <v>97013</v>
      </c>
      <c r="CG38" s="136">
        <v>97142</v>
      </c>
      <c r="CH38" s="136">
        <v>97269</v>
      </c>
      <c r="CI38" s="136">
        <v>97436</v>
      </c>
      <c r="CJ38" s="136">
        <v>97484</v>
      </c>
      <c r="CK38" s="136">
        <v>97561</v>
      </c>
      <c r="CL38" s="136">
        <v>97724</v>
      </c>
      <c r="CM38" s="136">
        <v>97776</v>
      </c>
      <c r="CN38" s="136">
        <v>97889</v>
      </c>
      <c r="CO38" s="136">
        <v>98016</v>
      </c>
      <c r="CP38" s="136">
        <v>98091</v>
      </c>
      <c r="CQ38" s="136">
        <v>98187</v>
      </c>
      <c r="CR38" s="136">
        <v>98220</v>
      </c>
      <c r="CS38" s="136">
        <v>98309</v>
      </c>
      <c r="CT38" s="136">
        <v>98353</v>
      </c>
      <c r="CU38" s="136">
        <v>98414</v>
      </c>
      <c r="CV38" s="136">
        <v>98456</v>
      </c>
      <c r="CW38" s="136">
        <v>98498</v>
      </c>
      <c r="CX38" s="136">
        <v>98574</v>
      </c>
      <c r="CY38" s="136">
        <v>98587</v>
      </c>
      <c r="CZ38" s="136">
        <v>98633</v>
      </c>
      <c r="DA38" s="136">
        <v>98647</v>
      </c>
      <c r="DB38" s="136">
        <v>98708</v>
      </c>
      <c r="DC38" s="136">
        <v>98733</v>
      </c>
      <c r="DD38" s="136">
        <v>98770</v>
      </c>
      <c r="DE38" s="136">
        <v>98784</v>
      </c>
      <c r="DF38" s="136">
        <v>98848</v>
      </c>
      <c r="DG38" s="136">
        <v>98875</v>
      </c>
      <c r="DH38" s="136">
        <v>98899</v>
      </c>
      <c r="DI38" s="136">
        <v>98924</v>
      </c>
      <c r="DJ38" s="136">
        <v>98976</v>
      </c>
      <c r="DK38" s="136">
        <v>98992</v>
      </c>
      <c r="DL38" s="136">
        <v>99013</v>
      </c>
      <c r="DM38" s="136">
        <v>99049</v>
      </c>
      <c r="DN38" s="136">
        <v>99084</v>
      </c>
      <c r="DO38" s="136">
        <v>99118</v>
      </c>
    </row>
    <row r="39" spans="1:119">
      <c r="A39" s="135">
        <v>37</v>
      </c>
      <c r="B39" s="136"/>
      <c r="C39" s="136"/>
      <c r="D39" s="136"/>
      <c r="E39" s="136"/>
      <c r="F39" s="136"/>
      <c r="G39" s="136"/>
      <c r="H39" s="136"/>
      <c r="I39" s="136"/>
      <c r="J39" s="136"/>
      <c r="K39" s="136"/>
      <c r="L39" s="136"/>
      <c r="M39" s="136"/>
      <c r="N39" s="136"/>
      <c r="O39" s="136"/>
      <c r="P39" s="136"/>
      <c r="Q39" s="136"/>
      <c r="R39" s="136"/>
      <c r="S39" s="136"/>
      <c r="T39" s="136"/>
      <c r="U39" s="136"/>
      <c r="V39" s="136"/>
      <c r="W39" s="136">
        <v>75954</v>
      </c>
      <c r="X39" s="136">
        <v>76751</v>
      </c>
      <c r="Y39" s="136">
        <v>76898</v>
      </c>
      <c r="Z39" s="136">
        <v>79180</v>
      </c>
      <c r="AA39" s="136">
        <v>79554</v>
      </c>
      <c r="AB39" s="136">
        <v>80249</v>
      </c>
      <c r="AC39" s="136">
        <v>81093</v>
      </c>
      <c r="AD39" s="136">
        <v>82156</v>
      </c>
      <c r="AE39" s="136">
        <v>82156</v>
      </c>
      <c r="AF39" s="136">
        <v>83502</v>
      </c>
      <c r="AG39" s="136">
        <v>83928</v>
      </c>
      <c r="AH39" s="136">
        <v>84359</v>
      </c>
      <c r="AI39" s="136">
        <v>84610</v>
      </c>
      <c r="AJ39" s="136">
        <v>85910</v>
      </c>
      <c r="AK39" s="136">
        <v>85772</v>
      </c>
      <c r="AL39" s="136">
        <v>86058</v>
      </c>
      <c r="AM39" s="136">
        <v>86341</v>
      </c>
      <c r="AN39" s="136">
        <v>86790</v>
      </c>
      <c r="AO39" s="136">
        <v>86699</v>
      </c>
      <c r="AP39" s="136">
        <v>86842</v>
      </c>
      <c r="AQ39" s="136">
        <v>86912</v>
      </c>
      <c r="AR39" s="136">
        <v>87016</v>
      </c>
      <c r="AS39" s="136">
        <v>86437</v>
      </c>
      <c r="AT39" s="136">
        <v>85670</v>
      </c>
      <c r="AU39" s="136">
        <v>84256</v>
      </c>
      <c r="AV39" s="136">
        <v>84787</v>
      </c>
      <c r="AW39" s="136">
        <v>85265</v>
      </c>
      <c r="AX39" s="136">
        <v>87609</v>
      </c>
      <c r="AY39" s="136">
        <v>89570</v>
      </c>
      <c r="AZ39" s="136">
        <v>89556</v>
      </c>
      <c r="BA39" s="136">
        <v>89582</v>
      </c>
      <c r="BB39" s="136">
        <v>90360</v>
      </c>
      <c r="BC39" s="136">
        <v>90610</v>
      </c>
      <c r="BD39" s="136">
        <v>91068</v>
      </c>
      <c r="BE39" s="136">
        <v>91107</v>
      </c>
      <c r="BF39" s="136">
        <v>91503</v>
      </c>
      <c r="BG39" s="136">
        <v>91549</v>
      </c>
      <c r="BH39" s="136">
        <v>91948</v>
      </c>
      <c r="BI39" s="136">
        <v>92226</v>
      </c>
      <c r="BJ39" s="136">
        <v>92392</v>
      </c>
      <c r="BK39" s="136">
        <v>92804</v>
      </c>
      <c r="BL39" s="136">
        <v>93188</v>
      </c>
      <c r="BM39" s="136">
        <v>93575</v>
      </c>
      <c r="BN39" s="136">
        <v>93928</v>
      </c>
      <c r="BO39" s="136">
        <v>94247</v>
      </c>
      <c r="BP39" s="136">
        <v>94394</v>
      </c>
      <c r="BQ39" s="136">
        <v>94569</v>
      </c>
      <c r="BR39" s="136">
        <v>94706</v>
      </c>
      <c r="BS39" s="136">
        <v>94727</v>
      </c>
      <c r="BT39" s="136">
        <v>94874</v>
      </c>
      <c r="BU39" s="136">
        <v>94992</v>
      </c>
      <c r="BV39" s="136">
        <v>95116</v>
      </c>
      <c r="BW39" s="136">
        <v>95210</v>
      </c>
      <c r="BX39" s="136">
        <v>95393</v>
      </c>
      <c r="BY39" s="136">
        <v>95610</v>
      </c>
      <c r="BZ39" s="136">
        <v>95945</v>
      </c>
      <c r="CA39" s="136">
        <v>96144</v>
      </c>
      <c r="CB39" s="136">
        <v>96232</v>
      </c>
      <c r="CC39" s="136">
        <v>96445</v>
      </c>
      <c r="CD39" s="136">
        <v>96605</v>
      </c>
      <c r="CE39" s="136">
        <v>96719</v>
      </c>
      <c r="CF39" s="136">
        <v>96935</v>
      </c>
      <c r="CG39" s="136">
        <v>97066</v>
      </c>
      <c r="CH39" s="136">
        <v>97194</v>
      </c>
      <c r="CI39" s="136">
        <v>97363</v>
      </c>
      <c r="CJ39" s="136">
        <v>97412</v>
      </c>
      <c r="CK39" s="136">
        <v>97491</v>
      </c>
      <c r="CL39" s="136">
        <v>97656</v>
      </c>
      <c r="CM39" s="136">
        <v>97709</v>
      </c>
      <c r="CN39" s="136">
        <v>97824</v>
      </c>
      <c r="CO39" s="136">
        <v>97952</v>
      </c>
      <c r="CP39" s="136">
        <v>98029</v>
      </c>
      <c r="CQ39" s="136">
        <v>98126</v>
      </c>
      <c r="CR39" s="136">
        <v>98161</v>
      </c>
      <c r="CS39" s="136">
        <v>98251</v>
      </c>
      <c r="CT39" s="136">
        <v>98296</v>
      </c>
      <c r="CU39" s="136">
        <v>98359</v>
      </c>
      <c r="CV39" s="136">
        <v>98402</v>
      </c>
      <c r="CW39" s="136">
        <v>98445</v>
      </c>
      <c r="CX39" s="136">
        <v>98522</v>
      </c>
      <c r="CY39" s="136">
        <v>98536</v>
      </c>
      <c r="CZ39" s="136">
        <v>98584</v>
      </c>
      <c r="DA39" s="136">
        <v>98598</v>
      </c>
      <c r="DB39" s="136">
        <v>98661</v>
      </c>
      <c r="DC39" s="136">
        <v>98687</v>
      </c>
      <c r="DD39" s="136">
        <v>98724</v>
      </c>
      <c r="DE39" s="136">
        <v>98740</v>
      </c>
      <c r="DF39" s="136">
        <v>98805</v>
      </c>
      <c r="DG39" s="136">
        <v>98833</v>
      </c>
      <c r="DH39" s="136">
        <v>98858</v>
      </c>
      <c r="DI39" s="136">
        <v>98884</v>
      </c>
      <c r="DJ39" s="136">
        <v>98937</v>
      </c>
      <c r="DK39" s="136">
        <v>98954</v>
      </c>
      <c r="DL39" s="136">
        <v>98976</v>
      </c>
      <c r="DM39" s="136">
        <v>99013</v>
      </c>
      <c r="DN39" s="136">
        <v>99049</v>
      </c>
      <c r="DO39" s="136">
        <v>99083</v>
      </c>
    </row>
    <row r="40" spans="1:119">
      <c r="A40" s="135">
        <v>38</v>
      </c>
      <c r="B40" s="136"/>
      <c r="C40" s="136"/>
      <c r="D40" s="136"/>
      <c r="E40" s="136"/>
      <c r="F40" s="136"/>
      <c r="G40" s="136"/>
      <c r="H40" s="136"/>
      <c r="I40" s="136"/>
      <c r="J40" s="136"/>
      <c r="K40" s="136"/>
      <c r="L40" s="136"/>
      <c r="M40" s="136"/>
      <c r="N40" s="136"/>
      <c r="O40" s="136"/>
      <c r="P40" s="136"/>
      <c r="Q40" s="136"/>
      <c r="R40" s="136"/>
      <c r="S40" s="136"/>
      <c r="T40" s="136"/>
      <c r="U40" s="136"/>
      <c r="V40" s="136"/>
      <c r="W40" s="136">
        <v>75768</v>
      </c>
      <c r="X40" s="136">
        <v>76570</v>
      </c>
      <c r="Y40" s="136">
        <v>76721</v>
      </c>
      <c r="Z40" s="136">
        <v>79003</v>
      </c>
      <c r="AA40" s="136">
        <v>79361</v>
      </c>
      <c r="AB40" s="136">
        <v>80055</v>
      </c>
      <c r="AC40" s="136">
        <v>80904</v>
      </c>
      <c r="AD40" s="136">
        <v>81955</v>
      </c>
      <c r="AE40" s="136">
        <v>81960</v>
      </c>
      <c r="AF40" s="136">
        <v>83305</v>
      </c>
      <c r="AG40" s="136">
        <v>83731</v>
      </c>
      <c r="AH40" s="136">
        <v>84151</v>
      </c>
      <c r="AI40" s="136">
        <v>84398</v>
      </c>
      <c r="AJ40" s="136">
        <v>85690</v>
      </c>
      <c r="AK40" s="136">
        <v>85567</v>
      </c>
      <c r="AL40" s="136">
        <v>85862</v>
      </c>
      <c r="AM40" s="136">
        <v>86140</v>
      </c>
      <c r="AN40" s="136">
        <v>86596</v>
      </c>
      <c r="AO40" s="136">
        <v>86497</v>
      </c>
      <c r="AP40" s="136">
        <v>86637</v>
      </c>
      <c r="AQ40" s="136">
        <v>86709</v>
      </c>
      <c r="AR40" s="136">
        <v>86830</v>
      </c>
      <c r="AS40" s="136">
        <v>86257</v>
      </c>
      <c r="AT40" s="136">
        <v>85486</v>
      </c>
      <c r="AU40" s="136">
        <v>84085</v>
      </c>
      <c r="AV40" s="136">
        <v>84615</v>
      </c>
      <c r="AW40" s="136">
        <v>85111</v>
      </c>
      <c r="AX40" s="136">
        <v>87454</v>
      </c>
      <c r="AY40" s="136">
        <v>89409</v>
      </c>
      <c r="AZ40" s="136">
        <v>89390</v>
      </c>
      <c r="BA40" s="136">
        <v>89419</v>
      </c>
      <c r="BB40" s="136">
        <v>90182</v>
      </c>
      <c r="BC40" s="136">
        <v>90411</v>
      </c>
      <c r="BD40" s="136">
        <v>90878</v>
      </c>
      <c r="BE40" s="136">
        <v>90926</v>
      </c>
      <c r="BF40" s="136">
        <v>91323</v>
      </c>
      <c r="BG40" s="136">
        <v>91362</v>
      </c>
      <c r="BH40" s="136">
        <v>91782</v>
      </c>
      <c r="BI40" s="136">
        <v>92065</v>
      </c>
      <c r="BJ40" s="136">
        <v>92247</v>
      </c>
      <c r="BK40" s="136">
        <v>92661</v>
      </c>
      <c r="BL40" s="136">
        <v>93055</v>
      </c>
      <c r="BM40" s="136">
        <v>93451</v>
      </c>
      <c r="BN40" s="136">
        <v>93804</v>
      </c>
      <c r="BO40" s="136">
        <v>94132</v>
      </c>
      <c r="BP40" s="136">
        <v>94281</v>
      </c>
      <c r="BQ40" s="136">
        <v>94465</v>
      </c>
      <c r="BR40" s="136">
        <v>94610</v>
      </c>
      <c r="BS40" s="136">
        <v>94629</v>
      </c>
      <c r="BT40" s="136">
        <v>94781</v>
      </c>
      <c r="BU40" s="136">
        <v>94894</v>
      </c>
      <c r="BV40" s="136">
        <v>95031</v>
      </c>
      <c r="BW40" s="136">
        <v>95112</v>
      </c>
      <c r="BX40" s="136">
        <v>95304</v>
      </c>
      <c r="BY40" s="136">
        <v>95523</v>
      </c>
      <c r="BZ40" s="136">
        <v>95863</v>
      </c>
      <c r="CA40" s="136">
        <v>96058</v>
      </c>
      <c r="CB40" s="136">
        <v>96143</v>
      </c>
      <c r="CC40" s="136">
        <v>96357</v>
      </c>
      <c r="CD40" s="136">
        <v>96519</v>
      </c>
      <c r="CE40" s="136">
        <v>96635</v>
      </c>
      <c r="CF40" s="136">
        <v>96852</v>
      </c>
      <c r="CG40" s="136">
        <v>96985</v>
      </c>
      <c r="CH40" s="136">
        <v>97115</v>
      </c>
      <c r="CI40" s="136">
        <v>97286</v>
      </c>
      <c r="CJ40" s="136">
        <v>97337</v>
      </c>
      <c r="CK40" s="136">
        <v>97417</v>
      </c>
      <c r="CL40" s="136">
        <v>97584</v>
      </c>
      <c r="CM40" s="136">
        <v>97639</v>
      </c>
      <c r="CN40" s="136">
        <v>97755</v>
      </c>
      <c r="CO40" s="136">
        <v>97884</v>
      </c>
      <c r="CP40" s="136">
        <v>97963</v>
      </c>
      <c r="CQ40" s="136">
        <v>98062</v>
      </c>
      <c r="CR40" s="136">
        <v>98098</v>
      </c>
      <c r="CS40" s="136">
        <v>98189</v>
      </c>
      <c r="CT40" s="136">
        <v>98235</v>
      </c>
      <c r="CU40" s="136">
        <v>98300</v>
      </c>
      <c r="CV40" s="136">
        <v>98344</v>
      </c>
      <c r="CW40" s="136">
        <v>98389</v>
      </c>
      <c r="CX40" s="136">
        <v>98467</v>
      </c>
      <c r="CY40" s="136">
        <v>98482</v>
      </c>
      <c r="CZ40" s="136">
        <v>98532</v>
      </c>
      <c r="DA40" s="136">
        <v>98547</v>
      </c>
      <c r="DB40" s="136">
        <v>98611</v>
      </c>
      <c r="DC40" s="136">
        <v>98638</v>
      </c>
      <c r="DD40" s="136">
        <v>98677</v>
      </c>
      <c r="DE40" s="136">
        <v>98694</v>
      </c>
      <c r="DF40" s="136">
        <v>98759</v>
      </c>
      <c r="DG40" s="136">
        <v>98788</v>
      </c>
      <c r="DH40" s="136">
        <v>98814</v>
      </c>
      <c r="DI40" s="136">
        <v>98841</v>
      </c>
      <c r="DJ40" s="136">
        <v>98895</v>
      </c>
      <c r="DK40" s="136">
        <v>98913</v>
      </c>
      <c r="DL40" s="136">
        <v>98936</v>
      </c>
      <c r="DM40" s="136">
        <v>98974</v>
      </c>
      <c r="DN40" s="136">
        <v>99011</v>
      </c>
      <c r="DO40" s="136">
        <v>99046</v>
      </c>
    </row>
    <row r="41" spans="1:119">
      <c r="A41" s="135">
        <v>39</v>
      </c>
      <c r="B41" s="136"/>
      <c r="C41" s="136"/>
      <c r="D41" s="136"/>
      <c r="E41" s="136"/>
      <c r="F41" s="136"/>
      <c r="G41" s="136"/>
      <c r="H41" s="136"/>
      <c r="I41" s="136"/>
      <c r="J41" s="136"/>
      <c r="K41" s="136"/>
      <c r="L41" s="136"/>
      <c r="M41" s="136"/>
      <c r="N41" s="136"/>
      <c r="O41" s="136"/>
      <c r="P41" s="136"/>
      <c r="Q41" s="136"/>
      <c r="R41" s="136"/>
      <c r="S41" s="136"/>
      <c r="T41" s="136"/>
      <c r="U41" s="136"/>
      <c r="V41" s="136"/>
      <c r="W41" s="136">
        <v>75577</v>
      </c>
      <c r="X41" s="136">
        <v>76388</v>
      </c>
      <c r="Y41" s="136">
        <v>76532</v>
      </c>
      <c r="Z41" s="136">
        <v>78812</v>
      </c>
      <c r="AA41" s="136">
        <v>79165</v>
      </c>
      <c r="AB41" s="136">
        <v>79863</v>
      </c>
      <c r="AC41" s="136">
        <v>80710</v>
      </c>
      <c r="AD41" s="136">
        <v>81745</v>
      </c>
      <c r="AE41" s="136">
        <v>81755</v>
      </c>
      <c r="AF41" s="136">
        <v>83090</v>
      </c>
      <c r="AG41" s="136">
        <v>83506</v>
      </c>
      <c r="AH41" s="136">
        <v>83925</v>
      </c>
      <c r="AI41" s="136">
        <v>84181</v>
      </c>
      <c r="AJ41" s="136">
        <v>85459</v>
      </c>
      <c r="AK41" s="136">
        <v>85349</v>
      </c>
      <c r="AL41" s="136">
        <v>85641</v>
      </c>
      <c r="AM41" s="136">
        <v>85922</v>
      </c>
      <c r="AN41" s="136">
        <v>86384</v>
      </c>
      <c r="AO41" s="136">
        <v>86286</v>
      </c>
      <c r="AP41" s="136">
        <v>86427</v>
      </c>
      <c r="AQ41" s="136">
        <v>86505</v>
      </c>
      <c r="AR41" s="136">
        <v>86631</v>
      </c>
      <c r="AS41" s="136">
        <v>86056</v>
      </c>
      <c r="AT41" s="136">
        <v>85304</v>
      </c>
      <c r="AU41" s="136">
        <v>83895</v>
      </c>
      <c r="AV41" s="136">
        <v>84435</v>
      </c>
      <c r="AW41" s="136">
        <v>84931</v>
      </c>
      <c r="AX41" s="136">
        <v>87287</v>
      </c>
      <c r="AY41" s="136">
        <v>89239</v>
      </c>
      <c r="AZ41" s="136">
        <v>89211</v>
      </c>
      <c r="BA41" s="136">
        <v>89239</v>
      </c>
      <c r="BB41" s="136">
        <v>89982</v>
      </c>
      <c r="BC41" s="136">
        <v>90200</v>
      </c>
      <c r="BD41" s="136">
        <v>90674</v>
      </c>
      <c r="BE41" s="136">
        <v>90737</v>
      </c>
      <c r="BF41" s="136">
        <v>91140</v>
      </c>
      <c r="BG41" s="136">
        <v>91170</v>
      </c>
      <c r="BH41" s="136">
        <v>91610</v>
      </c>
      <c r="BI41" s="136">
        <v>91905</v>
      </c>
      <c r="BJ41" s="136">
        <v>92105</v>
      </c>
      <c r="BK41" s="136">
        <v>92509</v>
      </c>
      <c r="BL41" s="136">
        <v>92911</v>
      </c>
      <c r="BM41" s="136">
        <v>93315</v>
      </c>
      <c r="BN41" s="136">
        <v>93672</v>
      </c>
      <c r="BO41" s="136">
        <v>94009</v>
      </c>
      <c r="BP41" s="136">
        <v>94158</v>
      </c>
      <c r="BQ41" s="136">
        <v>94355</v>
      </c>
      <c r="BR41" s="136">
        <v>94501</v>
      </c>
      <c r="BS41" s="136">
        <v>94530</v>
      </c>
      <c r="BT41" s="136">
        <v>94678</v>
      </c>
      <c r="BU41" s="136">
        <v>94784</v>
      </c>
      <c r="BV41" s="136">
        <v>94922</v>
      </c>
      <c r="BW41" s="136">
        <v>95015</v>
      </c>
      <c r="BX41" s="136">
        <v>95209</v>
      </c>
      <c r="BY41" s="136">
        <v>95419</v>
      </c>
      <c r="BZ41" s="136">
        <v>95766</v>
      </c>
      <c r="CA41" s="136">
        <v>95961</v>
      </c>
      <c r="CB41" s="136">
        <v>96048</v>
      </c>
      <c r="CC41" s="136">
        <v>96264</v>
      </c>
      <c r="CD41" s="136">
        <v>96429</v>
      </c>
      <c r="CE41" s="136">
        <v>96547</v>
      </c>
      <c r="CF41" s="136">
        <v>96765</v>
      </c>
      <c r="CG41" s="136">
        <v>96900</v>
      </c>
      <c r="CH41" s="136">
        <v>97032</v>
      </c>
      <c r="CI41" s="136">
        <v>97204</v>
      </c>
      <c r="CJ41" s="136">
        <v>97257</v>
      </c>
      <c r="CK41" s="136">
        <v>97339</v>
      </c>
      <c r="CL41" s="136">
        <v>97507</v>
      </c>
      <c r="CM41" s="136">
        <v>97564</v>
      </c>
      <c r="CN41" s="136">
        <v>97681</v>
      </c>
      <c r="CO41" s="136">
        <v>97812</v>
      </c>
      <c r="CP41" s="136">
        <v>97893</v>
      </c>
      <c r="CQ41" s="136">
        <v>97993</v>
      </c>
      <c r="CR41" s="136">
        <v>98031</v>
      </c>
      <c r="CS41" s="136">
        <v>98123</v>
      </c>
      <c r="CT41" s="136">
        <v>98171</v>
      </c>
      <c r="CU41" s="136">
        <v>98237</v>
      </c>
      <c r="CV41" s="136">
        <v>98283</v>
      </c>
      <c r="CW41" s="136">
        <v>98329</v>
      </c>
      <c r="CX41" s="136">
        <v>98408</v>
      </c>
      <c r="CY41" s="136">
        <v>98425</v>
      </c>
      <c r="CZ41" s="136">
        <v>98475</v>
      </c>
      <c r="DA41" s="136">
        <v>98492</v>
      </c>
      <c r="DB41" s="136">
        <v>98557</v>
      </c>
      <c r="DC41" s="136">
        <v>98586</v>
      </c>
      <c r="DD41" s="136">
        <v>98625</v>
      </c>
      <c r="DE41" s="136">
        <v>98644</v>
      </c>
      <c r="DF41" s="136">
        <v>98710</v>
      </c>
      <c r="DG41" s="136">
        <v>98740</v>
      </c>
      <c r="DH41" s="136">
        <v>98768</v>
      </c>
      <c r="DI41" s="136">
        <v>98796</v>
      </c>
      <c r="DJ41" s="136">
        <v>98851</v>
      </c>
      <c r="DK41" s="136">
        <v>98870</v>
      </c>
      <c r="DL41" s="136">
        <v>98893</v>
      </c>
      <c r="DM41" s="136">
        <v>98932</v>
      </c>
      <c r="DN41" s="136">
        <v>98970</v>
      </c>
      <c r="DO41" s="136">
        <v>99006</v>
      </c>
    </row>
    <row r="42" spans="1:119">
      <c r="A42" s="135">
        <v>40</v>
      </c>
      <c r="B42" s="136"/>
      <c r="C42" s="136"/>
      <c r="D42" s="136"/>
      <c r="E42" s="136"/>
      <c r="F42" s="136"/>
      <c r="G42" s="136"/>
      <c r="H42" s="136"/>
      <c r="I42" s="136"/>
      <c r="J42" s="136"/>
      <c r="K42" s="136"/>
      <c r="L42" s="136"/>
      <c r="M42" s="136"/>
      <c r="N42" s="136"/>
      <c r="O42" s="136"/>
      <c r="P42" s="136"/>
      <c r="Q42" s="136"/>
      <c r="R42" s="136"/>
      <c r="S42" s="136"/>
      <c r="T42" s="136"/>
      <c r="U42" s="136"/>
      <c r="V42" s="136"/>
      <c r="W42" s="136">
        <v>75363</v>
      </c>
      <c r="X42" s="136">
        <v>76177</v>
      </c>
      <c r="Y42" s="136">
        <v>76331</v>
      </c>
      <c r="Z42" s="136">
        <v>78596</v>
      </c>
      <c r="AA42" s="136">
        <v>78952</v>
      </c>
      <c r="AB42" s="136">
        <v>79653</v>
      </c>
      <c r="AC42" s="136">
        <v>80480</v>
      </c>
      <c r="AD42" s="136">
        <v>81520</v>
      </c>
      <c r="AE42" s="136">
        <v>81529</v>
      </c>
      <c r="AF42" s="136">
        <v>82853</v>
      </c>
      <c r="AG42" s="136">
        <v>83266</v>
      </c>
      <c r="AH42" s="136">
        <v>83682</v>
      </c>
      <c r="AI42" s="136">
        <v>83944</v>
      </c>
      <c r="AJ42" s="136">
        <v>85223</v>
      </c>
      <c r="AK42" s="136">
        <v>85113</v>
      </c>
      <c r="AL42" s="136">
        <v>85400</v>
      </c>
      <c r="AM42" s="136">
        <v>85691</v>
      </c>
      <c r="AN42" s="136">
        <v>86151</v>
      </c>
      <c r="AO42" s="136">
        <v>86060</v>
      </c>
      <c r="AP42" s="136">
        <v>86198</v>
      </c>
      <c r="AQ42" s="136">
        <v>86277</v>
      </c>
      <c r="AR42" s="136">
        <v>86411</v>
      </c>
      <c r="AS42" s="136">
        <v>85844</v>
      </c>
      <c r="AT42" s="136">
        <v>85103</v>
      </c>
      <c r="AU42" s="136">
        <v>83714</v>
      </c>
      <c r="AV42" s="136">
        <v>84253</v>
      </c>
      <c r="AW42" s="136">
        <v>84747</v>
      </c>
      <c r="AX42" s="136">
        <v>87099</v>
      </c>
      <c r="AY42" s="136">
        <v>89055</v>
      </c>
      <c r="AZ42" s="136">
        <v>89016</v>
      </c>
      <c r="BA42" s="136">
        <v>89035</v>
      </c>
      <c r="BB42" s="136">
        <v>89768</v>
      </c>
      <c r="BC42" s="136">
        <v>89978</v>
      </c>
      <c r="BD42" s="136">
        <v>90459</v>
      </c>
      <c r="BE42" s="136">
        <v>90520</v>
      </c>
      <c r="BF42" s="136">
        <v>90950</v>
      </c>
      <c r="BG42" s="136">
        <v>90984</v>
      </c>
      <c r="BH42" s="136">
        <v>91432</v>
      </c>
      <c r="BI42" s="136">
        <v>91731</v>
      </c>
      <c r="BJ42" s="136">
        <v>91938</v>
      </c>
      <c r="BK42" s="136">
        <v>92351</v>
      </c>
      <c r="BL42" s="136">
        <v>92762</v>
      </c>
      <c r="BM42" s="136">
        <v>93168</v>
      </c>
      <c r="BN42" s="136">
        <v>93529</v>
      </c>
      <c r="BO42" s="136">
        <v>93878</v>
      </c>
      <c r="BP42" s="136">
        <v>94027</v>
      </c>
      <c r="BQ42" s="136">
        <v>94235</v>
      </c>
      <c r="BR42" s="136">
        <v>94392</v>
      </c>
      <c r="BS42" s="136">
        <v>94420</v>
      </c>
      <c r="BT42" s="136">
        <v>94569</v>
      </c>
      <c r="BU42" s="136">
        <v>94668</v>
      </c>
      <c r="BV42" s="136">
        <v>94819</v>
      </c>
      <c r="BW42" s="136">
        <v>94902</v>
      </c>
      <c r="BX42" s="136">
        <v>95106</v>
      </c>
      <c r="BY42" s="136">
        <v>95319</v>
      </c>
      <c r="BZ42" s="136">
        <v>95661</v>
      </c>
      <c r="CA42" s="136">
        <v>95858</v>
      </c>
      <c r="CB42" s="136">
        <v>95947</v>
      </c>
      <c r="CC42" s="136">
        <v>96165</v>
      </c>
      <c r="CD42" s="136">
        <v>96332</v>
      </c>
      <c r="CE42" s="136">
        <v>96452</v>
      </c>
      <c r="CF42" s="136">
        <v>96672</v>
      </c>
      <c r="CG42" s="136">
        <v>96809</v>
      </c>
      <c r="CH42" s="136">
        <v>96942</v>
      </c>
      <c r="CI42" s="136">
        <v>97117</v>
      </c>
      <c r="CJ42" s="136">
        <v>97171</v>
      </c>
      <c r="CK42" s="136">
        <v>97255</v>
      </c>
      <c r="CL42" s="136">
        <v>97425</v>
      </c>
      <c r="CM42" s="136">
        <v>97484</v>
      </c>
      <c r="CN42" s="136">
        <v>97603</v>
      </c>
      <c r="CO42" s="136">
        <v>97736</v>
      </c>
      <c r="CP42" s="136">
        <v>97817</v>
      </c>
      <c r="CQ42" s="136">
        <v>97920</v>
      </c>
      <c r="CR42" s="136">
        <v>97959</v>
      </c>
      <c r="CS42" s="136">
        <v>98053</v>
      </c>
      <c r="CT42" s="136">
        <v>98102</v>
      </c>
      <c r="CU42" s="136">
        <v>98170</v>
      </c>
      <c r="CV42" s="136">
        <v>98217</v>
      </c>
      <c r="CW42" s="136">
        <v>98264</v>
      </c>
      <c r="CX42" s="136">
        <v>98345</v>
      </c>
      <c r="CY42" s="136">
        <v>98363</v>
      </c>
      <c r="CZ42" s="136">
        <v>98415</v>
      </c>
      <c r="DA42" s="136">
        <v>98433</v>
      </c>
      <c r="DB42" s="136">
        <v>98499</v>
      </c>
      <c r="DC42" s="136">
        <v>98529</v>
      </c>
      <c r="DD42" s="136">
        <v>98570</v>
      </c>
      <c r="DE42" s="136">
        <v>98590</v>
      </c>
      <c r="DF42" s="136">
        <v>98658</v>
      </c>
      <c r="DG42" s="136">
        <v>98689</v>
      </c>
      <c r="DH42" s="136">
        <v>98717</v>
      </c>
      <c r="DI42" s="136">
        <v>98747</v>
      </c>
      <c r="DJ42" s="136">
        <v>98803</v>
      </c>
      <c r="DK42" s="136">
        <v>98823</v>
      </c>
      <c r="DL42" s="136">
        <v>98847</v>
      </c>
      <c r="DM42" s="136">
        <v>98887</v>
      </c>
      <c r="DN42" s="136">
        <v>98926</v>
      </c>
      <c r="DO42" s="136">
        <v>98963</v>
      </c>
    </row>
    <row r="43" spans="1:119">
      <c r="A43" s="135">
        <v>41</v>
      </c>
      <c r="B43" s="136"/>
      <c r="C43" s="136"/>
      <c r="D43" s="136"/>
      <c r="E43" s="136"/>
      <c r="F43" s="136"/>
      <c r="G43" s="136"/>
      <c r="H43" s="136"/>
      <c r="I43" s="136"/>
      <c r="J43" s="136"/>
      <c r="K43" s="136"/>
      <c r="L43" s="136"/>
      <c r="M43" s="136"/>
      <c r="N43" s="136"/>
      <c r="O43" s="136"/>
      <c r="P43" s="136"/>
      <c r="Q43" s="136"/>
      <c r="R43" s="136"/>
      <c r="S43" s="136"/>
      <c r="T43" s="136"/>
      <c r="U43" s="136"/>
      <c r="V43" s="136"/>
      <c r="W43" s="136">
        <v>75149</v>
      </c>
      <c r="X43" s="136">
        <v>75956</v>
      </c>
      <c r="Y43" s="136">
        <v>76110</v>
      </c>
      <c r="Z43" s="136">
        <v>78369</v>
      </c>
      <c r="AA43" s="136">
        <v>78725</v>
      </c>
      <c r="AB43" s="136">
        <v>79412</v>
      </c>
      <c r="AC43" s="136">
        <v>80244</v>
      </c>
      <c r="AD43" s="136">
        <v>81283</v>
      </c>
      <c r="AE43" s="136">
        <v>81266</v>
      </c>
      <c r="AF43" s="136">
        <v>82587</v>
      </c>
      <c r="AG43" s="136">
        <v>83000</v>
      </c>
      <c r="AH43" s="136">
        <v>83429</v>
      </c>
      <c r="AI43" s="136">
        <v>83693</v>
      </c>
      <c r="AJ43" s="136">
        <v>84969</v>
      </c>
      <c r="AK43" s="136">
        <v>84849</v>
      </c>
      <c r="AL43" s="136">
        <v>85141</v>
      </c>
      <c r="AM43" s="136">
        <v>85444</v>
      </c>
      <c r="AN43" s="136">
        <v>85895</v>
      </c>
      <c r="AO43" s="136">
        <v>85801</v>
      </c>
      <c r="AP43" s="136">
        <v>85958</v>
      </c>
      <c r="AQ43" s="136">
        <v>86035</v>
      </c>
      <c r="AR43" s="136">
        <v>86177</v>
      </c>
      <c r="AS43" s="136">
        <v>85624</v>
      </c>
      <c r="AT43" s="136">
        <v>84889</v>
      </c>
      <c r="AU43" s="136">
        <v>83518</v>
      </c>
      <c r="AV43" s="136">
        <v>84057</v>
      </c>
      <c r="AW43" s="136">
        <v>84561</v>
      </c>
      <c r="AX43" s="136">
        <v>86900</v>
      </c>
      <c r="AY43" s="136">
        <v>88842</v>
      </c>
      <c r="AZ43" s="136">
        <v>88784</v>
      </c>
      <c r="BA43" s="136">
        <v>88800</v>
      </c>
      <c r="BB43" s="136">
        <v>89542</v>
      </c>
      <c r="BC43" s="136">
        <v>89748</v>
      </c>
      <c r="BD43" s="136">
        <v>90228</v>
      </c>
      <c r="BE43" s="136">
        <v>90311</v>
      </c>
      <c r="BF43" s="136">
        <v>90754</v>
      </c>
      <c r="BG43" s="136">
        <v>90783</v>
      </c>
      <c r="BH43" s="136">
        <v>91243</v>
      </c>
      <c r="BI43" s="136">
        <v>91546</v>
      </c>
      <c r="BJ43" s="136">
        <v>91760</v>
      </c>
      <c r="BK43" s="136">
        <v>92173</v>
      </c>
      <c r="BL43" s="136">
        <v>92604</v>
      </c>
      <c r="BM43" s="136">
        <v>93016</v>
      </c>
      <c r="BN43" s="136">
        <v>93381</v>
      </c>
      <c r="BO43" s="136">
        <v>93731</v>
      </c>
      <c r="BP43" s="136">
        <v>93891</v>
      </c>
      <c r="BQ43" s="136">
        <v>94106</v>
      </c>
      <c r="BR43" s="136">
        <v>94264</v>
      </c>
      <c r="BS43" s="136">
        <v>94296</v>
      </c>
      <c r="BT43" s="136">
        <v>94449</v>
      </c>
      <c r="BU43" s="136">
        <v>94543</v>
      </c>
      <c r="BV43" s="136">
        <v>94707</v>
      </c>
      <c r="BW43" s="136">
        <v>94792</v>
      </c>
      <c r="BX43" s="136">
        <v>94988</v>
      </c>
      <c r="BY43" s="136">
        <v>95204</v>
      </c>
      <c r="BZ43" s="136">
        <v>95548</v>
      </c>
      <c r="CA43" s="136">
        <v>95748</v>
      </c>
      <c r="CB43" s="136">
        <v>95839</v>
      </c>
      <c r="CC43" s="136">
        <v>96059</v>
      </c>
      <c r="CD43" s="136">
        <v>96228</v>
      </c>
      <c r="CE43" s="136">
        <v>96350</v>
      </c>
      <c r="CF43" s="136">
        <v>96573</v>
      </c>
      <c r="CG43" s="136">
        <v>96711</v>
      </c>
      <c r="CH43" s="136">
        <v>96847</v>
      </c>
      <c r="CI43" s="136">
        <v>97023</v>
      </c>
      <c r="CJ43" s="136">
        <v>97079</v>
      </c>
      <c r="CK43" s="136">
        <v>97165</v>
      </c>
      <c r="CL43" s="136">
        <v>97337</v>
      </c>
      <c r="CM43" s="136">
        <v>97398</v>
      </c>
      <c r="CN43" s="136">
        <v>97519</v>
      </c>
      <c r="CO43" s="136">
        <v>97653</v>
      </c>
      <c r="CP43" s="136">
        <v>97736</v>
      </c>
      <c r="CQ43" s="136">
        <v>97840</v>
      </c>
      <c r="CR43" s="136">
        <v>97881</v>
      </c>
      <c r="CS43" s="136">
        <v>97977</v>
      </c>
      <c r="CT43" s="136">
        <v>98028</v>
      </c>
      <c r="CU43" s="136">
        <v>98097</v>
      </c>
      <c r="CV43" s="136">
        <v>98146</v>
      </c>
      <c r="CW43" s="136">
        <v>98195</v>
      </c>
      <c r="CX43" s="136">
        <v>98277</v>
      </c>
      <c r="CY43" s="136">
        <v>98297</v>
      </c>
      <c r="CZ43" s="136">
        <v>98350</v>
      </c>
      <c r="DA43" s="136">
        <v>98370</v>
      </c>
      <c r="DB43" s="136">
        <v>98437</v>
      </c>
      <c r="DC43" s="136">
        <v>98468</v>
      </c>
      <c r="DD43" s="136">
        <v>98511</v>
      </c>
      <c r="DE43" s="136">
        <v>98531</v>
      </c>
      <c r="DF43" s="136">
        <v>98600</v>
      </c>
      <c r="DG43" s="136">
        <v>98633</v>
      </c>
      <c r="DH43" s="136">
        <v>98663</v>
      </c>
      <c r="DI43" s="136">
        <v>98693</v>
      </c>
      <c r="DJ43" s="136">
        <v>98750</v>
      </c>
      <c r="DK43" s="136">
        <v>98772</v>
      </c>
      <c r="DL43" s="136">
        <v>98797</v>
      </c>
      <c r="DM43" s="136">
        <v>98838</v>
      </c>
      <c r="DN43" s="136">
        <v>98878</v>
      </c>
      <c r="DO43" s="136">
        <v>98916</v>
      </c>
    </row>
    <row r="44" spans="1:119">
      <c r="A44" s="135">
        <v>42</v>
      </c>
      <c r="B44" s="136"/>
      <c r="C44" s="136"/>
      <c r="D44" s="136"/>
      <c r="E44" s="136"/>
      <c r="F44" s="136"/>
      <c r="G44" s="136"/>
      <c r="H44" s="136"/>
      <c r="I44" s="136"/>
      <c r="J44" s="136"/>
      <c r="K44" s="136"/>
      <c r="L44" s="136"/>
      <c r="M44" s="136"/>
      <c r="N44" s="136"/>
      <c r="O44" s="136"/>
      <c r="P44" s="136"/>
      <c r="Q44" s="136"/>
      <c r="R44" s="136"/>
      <c r="S44" s="136"/>
      <c r="T44" s="136"/>
      <c r="U44" s="136"/>
      <c r="V44" s="136"/>
      <c r="W44" s="136">
        <v>74919</v>
      </c>
      <c r="X44" s="136">
        <v>75719</v>
      </c>
      <c r="Y44" s="136">
        <v>75885</v>
      </c>
      <c r="Z44" s="136">
        <v>78119</v>
      </c>
      <c r="AA44" s="136">
        <v>78474</v>
      </c>
      <c r="AB44" s="136">
        <v>79164</v>
      </c>
      <c r="AC44" s="136">
        <v>79994</v>
      </c>
      <c r="AD44" s="136">
        <v>81012</v>
      </c>
      <c r="AE44" s="136">
        <v>80989</v>
      </c>
      <c r="AF44" s="136">
        <v>82292</v>
      </c>
      <c r="AG44" s="136">
        <v>82717</v>
      </c>
      <c r="AH44" s="136">
        <v>83155</v>
      </c>
      <c r="AI44" s="136">
        <v>83419</v>
      </c>
      <c r="AJ44" s="136">
        <v>84681</v>
      </c>
      <c r="AK44" s="136">
        <v>84566</v>
      </c>
      <c r="AL44" s="136">
        <v>84860</v>
      </c>
      <c r="AM44" s="136">
        <v>85177</v>
      </c>
      <c r="AN44" s="136">
        <v>85623</v>
      </c>
      <c r="AO44" s="136">
        <v>85543</v>
      </c>
      <c r="AP44" s="136">
        <v>85682</v>
      </c>
      <c r="AQ44" s="136">
        <v>85782</v>
      </c>
      <c r="AR44" s="136">
        <v>85940</v>
      </c>
      <c r="AS44" s="136">
        <v>85391</v>
      </c>
      <c r="AT44" s="136">
        <v>84670</v>
      </c>
      <c r="AU44" s="136">
        <v>83292</v>
      </c>
      <c r="AV44" s="136">
        <v>83841</v>
      </c>
      <c r="AW44" s="136">
        <v>84352</v>
      </c>
      <c r="AX44" s="136">
        <v>86684</v>
      </c>
      <c r="AY44" s="136">
        <v>88611</v>
      </c>
      <c r="AZ44" s="136">
        <v>88527</v>
      </c>
      <c r="BA44" s="136">
        <v>88552</v>
      </c>
      <c r="BB44" s="136">
        <v>89296</v>
      </c>
      <c r="BC44" s="136">
        <v>89503</v>
      </c>
      <c r="BD44" s="136">
        <v>89993</v>
      </c>
      <c r="BE44" s="136">
        <v>90087</v>
      </c>
      <c r="BF44" s="136">
        <v>90537</v>
      </c>
      <c r="BG44" s="136">
        <v>90574</v>
      </c>
      <c r="BH44" s="136">
        <v>91036</v>
      </c>
      <c r="BI44" s="136">
        <v>91356</v>
      </c>
      <c r="BJ44" s="136">
        <v>91583</v>
      </c>
      <c r="BK44" s="136">
        <v>91991</v>
      </c>
      <c r="BL44" s="136">
        <v>92428</v>
      </c>
      <c r="BM44" s="136">
        <v>92854</v>
      </c>
      <c r="BN44" s="136">
        <v>93228</v>
      </c>
      <c r="BO44" s="136">
        <v>93577</v>
      </c>
      <c r="BP44" s="136">
        <v>93752</v>
      </c>
      <c r="BQ44" s="136">
        <v>93972</v>
      </c>
      <c r="BR44" s="136">
        <v>94129</v>
      </c>
      <c r="BS44" s="136">
        <v>94164</v>
      </c>
      <c r="BT44" s="136">
        <v>94321</v>
      </c>
      <c r="BU44" s="136">
        <v>94415</v>
      </c>
      <c r="BV44" s="136">
        <v>94585</v>
      </c>
      <c r="BW44" s="136">
        <v>94665</v>
      </c>
      <c r="BX44" s="136">
        <v>94862</v>
      </c>
      <c r="BY44" s="136">
        <v>95081</v>
      </c>
      <c r="BZ44" s="136">
        <v>95426</v>
      </c>
      <c r="CA44" s="136">
        <v>95629</v>
      </c>
      <c r="CB44" s="136">
        <v>95722</v>
      </c>
      <c r="CC44" s="136">
        <v>95945</v>
      </c>
      <c r="CD44" s="136">
        <v>96116</v>
      </c>
      <c r="CE44" s="136">
        <v>96240</v>
      </c>
      <c r="CF44" s="136">
        <v>96465</v>
      </c>
      <c r="CG44" s="136">
        <v>96606</v>
      </c>
      <c r="CH44" s="136">
        <v>96743</v>
      </c>
      <c r="CI44" s="136">
        <v>96922</v>
      </c>
      <c r="CJ44" s="136">
        <v>96980</v>
      </c>
      <c r="CK44" s="136">
        <v>97068</v>
      </c>
      <c r="CL44" s="136">
        <v>97242</v>
      </c>
      <c r="CM44" s="136">
        <v>97305</v>
      </c>
      <c r="CN44" s="136">
        <v>97427</v>
      </c>
      <c r="CO44" s="136">
        <v>97564</v>
      </c>
      <c r="CP44" s="136">
        <v>97649</v>
      </c>
      <c r="CQ44" s="136">
        <v>97755</v>
      </c>
      <c r="CR44" s="136">
        <v>97797</v>
      </c>
      <c r="CS44" s="136">
        <v>97895</v>
      </c>
      <c r="CT44" s="136">
        <v>97948</v>
      </c>
      <c r="CU44" s="136">
        <v>98018</v>
      </c>
      <c r="CV44" s="136">
        <v>98069</v>
      </c>
      <c r="CW44" s="136">
        <v>98119</v>
      </c>
      <c r="CX44" s="136">
        <v>98204</v>
      </c>
      <c r="CY44" s="136">
        <v>98225</v>
      </c>
      <c r="CZ44" s="136">
        <v>98279</v>
      </c>
      <c r="DA44" s="136">
        <v>98300</v>
      </c>
      <c r="DB44" s="136">
        <v>98369</v>
      </c>
      <c r="DC44" s="136">
        <v>98402</v>
      </c>
      <c r="DD44" s="136">
        <v>98446</v>
      </c>
      <c r="DE44" s="136">
        <v>98468</v>
      </c>
      <c r="DF44" s="136">
        <v>98538</v>
      </c>
      <c r="DG44" s="136">
        <v>98572</v>
      </c>
      <c r="DH44" s="136">
        <v>98603</v>
      </c>
      <c r="DI44" s="136">
        <v>98635</v>
      </c>
      <c r="DJ44" s="136">
        <v>98693</v>
      </c>
      <c r="DK44" s="136">
        <v>98716</v>
      </c>
      <c r="DL44" s="136">
        <v>98742</v>
      </c>
      <c r="DM44" s="136">
        <v>98785</v>
      </c>
      <c r="DN44" s="136">
        <v>98826</v>
      </c>
      <c r="DO44" s="136">
        <v>98865</v>
      </c>
    </row>
    <row r="45" spans="1:119">
      <c r="A45" s="135">
        <v>43</v>
      </c>
      <c r="B45" s="136"/>
      <c r="C45" s="136"/>
      <c r="D45" s="136"/>
      <c r="E45" s="136"/>
      <c r="F45" s="136"/>
      <c r="G45" s="136"/>
      <c r="H45" s="136"/>
      <c r="I45" s="136"/>
      <c r="J45" s="136"/>
      <c r="K45" s="136"/>
      <c r="L45" s="136"/>
      <c r="M45" s="136"/>
      <c r="N45" s="136"/>
      <c r="O45" s="136"/>
      <c r="P45" s="136"/>
      <c r="Q45" s="136"/>
      <c r="R45" s="136"/>
      <c r="S45" s="136"/>
      <c r="T45" s="136"/>
      <c r="U45" s="136"/>
      <c r="V45" s="136"/>
      <c r="W45" s="136">
        <v>74657</v>
      </c>
      <c r="X45" s="136">
        <v>75463</v>
      </c>
      <c r="Y45" s="136">
        <v>75620</v>
      </c>
      <c r="Z45" s="136">
        <v>77842</v>
      </c>
      <c r="AA45" s="136">
        <v>78216</v>
      </c>
      <c r="AB45" s="136">
        <v>78901</v>
      </c>
      <c r="AC45" s="136">
        <v>79697</v>
      </c>
      <c r="AD45" s="136">
        <v>80710</v>
      </c>
      <c r="AE45" s="136">
        <v>80678</v>
      </c>
      <c r="AF45" s="136">
        <v>81985</v>
      </c>
      <c r="AG45" s="136">
        <v>82416</v>
      </c>
      <c r="AH45" s="136">
        <v>82850</v>
      </c>
      <c r="AI45" s="136">
        <v>83109</v>
      </c>
      <c r="AJ45" s="136">
        <v>84375</v>
      </c>
      <c r="AK45" s="136">
        <v>84273</v>
      </c>
      <c r="AL45" s="136">
        <v>84570</v>
      </c>
      <c r="AM45" s="136">
        <v>84887</v>
      </c>
      <c r="AN45" s="136">
        <v>85332</v>
      </c>
      <c r="AO45" s="136">
        <v>85254</v>
      </c>
      <c r="AP45" s="136">
        <v>85403</v>
      </c>
      <c r="AQ45" s="136">
        <v>85523</v>
      </c>
      <c r="AR45" s="136">
        <v>85694</v>
      </c>
      <c r="AS45" s="136">
        <v>85145</v>
      </c>
      <c r="AT45" s="136">
        <v>84426</v>
      </c>
      <c r="AU45" s="136">
        <v>83063</v>
      </c>
      <c r="AV45" s="136">
        <v>83601</v>
      </c>
      <c r="AW45" s="136">
        <v>84106</v>
      </c>
      <c r="AX45" s="136">
        <v>86437</v>
      </c>
      <c r="AY45" s="136">
        <v>88356</v>
      </c>
      <c r="AZ45" s="136">
        <v>88279</v>
      </c>
      <c r="BA45" s="136">
        <v>88286</v>
      </c>
      <c r="BB45" s="136">
        <v>89037</v>
      </c>
      <c r="BC45" s="136">
        <v>89232</v>
      </c>
      <c r="BD45" s="136">
        <v>89744</v>
      </c>
      <c r="BE45" s="136">
        <v>89844</v>
      </c>
      <c r="BF45" s="136">
        <v>90302</v>
      </c>
      <c r="BG45" s="136">
        <v>90349</v>
      </c>
      <c r="BH45" s="136">
        <v>90821</v>
      </c>
      <c r="BI45" s="136">
        <v>91146</v>
      </c>
      <c r="BJ45" s="136">
        <v>91375</v>
      </c>
      <c r="BK45" s="136">
        <v>91792</v>
      </c>
      <c r="BL45" s="136">
        <v>92242</v>
      </c>
      <c r="BM45" s="136">
        <v>92679</v>
      </c>
      <c r="BN45" s="136">
        <v>93062</v>
      </c>
      <c r="BO45" s="136">
        <v>93417</v>
      </c>
      <c r="BP45" s="136">
        <v>93608</v>
      </c>
      <c r="BQ45" s="136">
        <v>93828</v>
      </c>
      <c r="BR45" s="136">
        <v>93980</v>
      </c>
      <c r="BS45" s="136">
        <v>94020</v>
      </c>
      <c r="BT45" s="136">
        <v>94182</v>
      </c>
      <c r="BU45" s="136">
        <v>94276</v>
      </c>
      <c r="BV45" s="136">
        <v>94438</v>
      </c>
      <c r="BW45" s="136">
        <v>94526</v>
      </c>
      <c r="BX45" s="136">
        <v>94726</v>
      </c>
      <c r="BY45" s="136">
        <v>94947</v>
      </c>
      <c r="BZ45" s="136">
        <v>95295</v>
      </c>
      <c r="CA45" s="136">
        <v>95500</v>
      </c>
      <c r="CB45" s="136">
        <v>95596</v>
      </c>
      <c r="CC45" s="136">
        <v>95821</v>
      </c>
      <c r="CD45" s="136">
        <v>95994</v>
      </c>
      <c r="CE45" s="136">
        <v>96121</v>
      </c>
      <c r="CF45" s="136">
        <v>96348</v>
      </c>
      <c r="CG45" s="136">
        <v>96492</v>
      </c>
      <c r="CH45" s="136">
        <v>96631</v>
      </c>
      <c r="CI45" s="136">
        <v>96812</v>
      </c>
      <c r="CJ45" s="136">
        <v>96873</v>
      </c>
      <c r="CK45" s="136">
        <v>96963</v>
      </c>
      <c r="CL45" s="136">
        <v>97139</v>
      </c>
      <c r="CM45" s="136">
        <v>97203</v>
      </c>
      <c r="CN45" s="136">
        <v>97328</v>
      </c>
      <c r="CO45" s="136">
        <v>97466</v>
      </c>
      <c r="CP45" s="136">
        <v>97554</v>
      </c>
      <c r="CQ45" s="136">
        <v>97661</v>
      </c>
      <c r="CR45" s="136">
        <v>97706</v>
      </c>
      <c r="CS45" s="136">
        <v>97806</v>
      </c>
      <c r="CT45" s="136">
        <v>97860</v>
      </c>
      <c r="CU45" s="136">
        <v>97933</v>
      </c>
      <c r="CV45" s="136">
        <v>97985</v>
      </c>
      <c r="CW45" s="136">
        <v>98037</v>
      </c>
      <c r="CX45" s="136">
        <v>98123</v>
      </c>
      <c r="CY45" s="136">
        <v>98146</v>
      </c>
      <c r="CZ45" s="136">
        <v>98202</v>
      </c>
      <c r="DA45" s="136">
        <v>98225</v>
      </c>
      <c r="DB45" s="136">
        <v>98295</v>
      </c>
      <c r="DC45" s="136">
        <v>98330</v>
      </c>
      <c r="DD45" s="136">
        <v>98375</v>
      </c>
      <c r="DE45" s="136">
        <v>98399</v>
      </c>
      <c r="DF45" s="136">
        <v>98470</v>
      </c>
      <c r="DG45" s="136">
        <v>98505</v>
      </c>
      <c r="DH45" s="136">
        <v>98538</v>
      </c>
      <c r="DI45" s="136">
        <v>98571</v>
      </c>
      <c r="DJ45" s="136">
        <v>98631</v>
      </c>
      <c r="DK45" s="136">
        <v>98655</v>
      </c>
      <c r="DL45" s="136">
        <v>98683</v>
      </c>
      <c r="DM45" s="136">
        <v>98726</v>
      </c>
      <c r="DN45" s="136">
        <v>98768</v>
      </c>
      <c r="DO45" s="136">
        <v>98809</v>
      </c>
    </row>
    <row r="46" spans="1:119">
      <c r="A46" s="135">
        <v>44</v>
      </c>
      <c r="B46" s="136"/>
      <c r="C46" s="136"/>
      <c r="D46" s="136"/>
      <c r="E46" s="136"/>
      <c r="F46" s="136"/>
      <c r="G46" s="136"/>
      <c r="H46" s="136"/>
      <c r="I46" s="136"/>
      <c r="J46" s="136"/>
      <c r="K46" s="136"/>
      <c r="L46" s="136"/>
      <c r="M46" s="136"/>
      <c r="N46" s="136"/>
      <c r="O46" s="136"/>
      <c r="P46" s="136"/>
      <c r="Q46" s="136"/>
      <c r="R46" s="136"/>
      <c r="S46" s="136"/>
      <c r="T46" s="136"/>
      <c r="U46" s="136"/>
      <c r="V46" s="136"/>
      <c r="W46" s="136">
        <v>74384</v>
      </c>
      <c r="X46" s="136">
        <v>75186</v>
      </c>
      <c r="Y46" s="136">
        <v>75327</v>
      </c>
      <c r="Z46" s="136">
        <v>77540</v>
      </c>
      <c r="AA46" s="136">
        <v>77915</v>
      </c>
      <c r="AB46" s="136">
        <v>78591</v>
      </c>
      <c r="AC46" s="136">
        <v>79386</v>
      </c>
      <c r="AD46" s="136">
        <v>80381</v>
      </c>
      <c r="AE46" s="136">
        <v>80363</v>
      </c>
      <c r="AF46" s="136">
        <v>81666</v>
      </c>
      <c r="AG46" s="136">
        <v>82061</v>
      </c>
      <c r="AH46" s="136">
        <v>82506</v>
      </c>
      <c r="AI46" s="136">
        <v>82785</v>
      </c>
      <c r="AJ46" s="136">
        <v>84039</v>
      </c>
      <c r="AK46" s="136">
        <v>83942</v>
      </c>
      <c r="AL46" s="136">
        <v>84244</v>
      </c>
      <c r="AM46" s="136">
        <v>84573</v>
      </c>
      <c r="AN46" s="136">
        <v>85029</v>
      </c>
      <c r="AO46" s="136">
        <v>84953</v>
      </c>
      <c r="AP46" s="136">
        <v>85121</v>
      </c>
      <c r="AQ46" s="136">
        <v>85238</v>
      </c>
      <c r="AR46" s="136">
        <v>85406</v>
      </c>
      <c r="AS46" s="136">
        <v>84881</v>
      </c>
      <c r="AT46" s="136">
        <v>84174</v>
      </c>
      <c r="AU46" s="136">
        <v>82818</v>
      </c>
      <c r="AV46" s="136">
        <v>83338</v>
      </c>
      <c r="AW46" s="136">
        <v>83841</v>
      </c>
      <c r="AX46" s="136">
        <v>86158</v>
      </c>
      <c r="AY46" s="136">
        <v>88076</v>
      </c>
      <c r="AZ46" s="136">
        <v>88018</v>
      </c>
      <c r="BA46" s="136">
        <v>88003</v>
      </c>
      <c r="BB46" s="136">
        <v>88760</v>
      </c>
      <c r="BC46" s="136">
        <v>88958</v>
      </c>
      <c r="BD46" s="136">
        <v>89483</v>
      </c>
      <c r="BE46" s="136">
        <v>89590</v>
      </c>
      <c r="BF46" s="136">
        <v>90054</v>
      </c>
      <c r="BG46" s="136">
        <v>90108</v>
      </c>
      <c r="BH46" s="136">
        <v>90590</v>
      </c>
      <c r="BI46" s="136">
        <v>90913</v>
      </c>
      <c r="BJ46" s="136">
        <v>91157</v>
      </c>
      <c r="BK46" s="136">
        <v>91579</v>
      </c>
      <c r="BL46" s="136">
        <v>92044</v>
      </c>
      <c r="BM46" s="136">
        <v>92484</v>
      </c>
      <c r="BN46" s="136">
        <v>92879</v>
      </c>
      <c r="BO46" s="136">
        <v>93243</v>
      </c>
      <c r="BP46" s="136">
        <v>93438</v>
      </c>
      <c r="BQ46" s="136">
        <v>93661</v>
      </c>
      <c r="BR46" s="136">
        <v>93818</v>
      </c>
      <c r="BS46" s="136">
        <v>93867</v>
      </c>
      <c r="BT46" s="136">
        <v>94026</v>
      </c>
      <c r="BU46" s="136">
        <v>94111</v>
      </c>
      <c r="BV46" s="136">
        <v>94285</v>
      </c>
      <c r="BW46" s="136">
        <v>94376</v>
      </c>
      <c r="BX46" s="136">
        <v>94578</v>
      </c>
      <c r="BY46" s="136">
        <v>94802</v>
      </c>
      <c r="BZ46" s="136">
        <v>95153</v>
      </c>
      <c r="CA46" s="136">
        <v>95360</v>
      </c>
      <c r="CB46" s="136">
        <v>95459</v>
      </c>
      <c r="CC46" s="136">
        <v>95687</v>
      </c>
      <c r="CD46" s="136">
        <v>95863</v>
      </c>
      <c r="CE46" s="136">
        <v>95992</v>
      </c>
      <c r="CF46" s="136">
        <v>96222</v>
      </c>
      <c r="CG46" s="136">
        <v>96367</v>
      </c>
      <c r="CH46" s="136">
        <v>96509</v>
      </c>
      <c r="CI46" s="136">
        <v>96693</v>
      </c>
      <c r="CJ46" s="136">
        <v>96756</v>
      </c>
      <c r="CK46" s="136">
        <v>96848</v>
      </c>
      <c r="CL46" s="136">
        <v>97026</v>
      </c>
      <c r="CM46" s="136">
        <v>97093</v>
      </c>
      <c r="CN46" s="136">
        <v>97220</v>
      </c>
      <c r="CO46" s="136">
        <v>97361</v>
      </c>
      <c r="CP46" s="136">
        <v>97450</v>
      </c>
      <c r="CQ46" s="136">
        <v>97560</v>
      </c>
      <c r="CR46" s="136">
        <v>97606</v>
      </c>
      <c r="CS46" s="136">
        <v>97708</v>
      </c>
      <c r="CT46" s="136">
        <v>97765</v>
      </c>
      <c r="CU46" s="136">
        <v>97839</v>
      </c>
      <c r="CV46" s="136">
        <v>97894</v>
      </c>
      <c r="CW46" s="136">
        <v>97947</v>
      </c>
      <c r="CX46" s="136">
        <v>98035</v>
      </c>
      <c r="CY46" s="136">
        <v>98060</v>
      </c>
      <c r="CZ46" s="136">
        <v>98118</v>
      </c>
      <c r="DA46" s="136">
        <v>98142</v>
      </c>
      <c r="DB46" s="136">
        <v>98214</v>
      </c>
      <c r="DC46" s="136">
        <v>98251</v>
      </c>
      <c r="DD46" s="136">
        <v>98297</v>
      </c>
      <c r="DE46" s="136">
        <v>98323</v>
      </c>
      <c r="DF46" s="136">
        <v>98396</v>
      </c>
      <c r="DG46" s="136">
        <v>98433</v>
      </c>
      <c r="DH46" s="136">
        <v>98467</v>
      </c>
      <c r="DI46" s="136">
        <v>98501</v>
      </c>
      <c r="DJ46" s="136">
        <v>98563</v>
      </c>
      <c r="DK46" s="136">
        <v>98588</v>
      </c>
      <c r="DL46" s="136">
        <v>98617</v>
      </c>
      <c r="DM46" s="136">
        <v>98662</v>
      </c>
      <c r="DN46" s="136">
        <v>98705</v>
      </c>
      <c r="DO46" s="136">
        <v>98747</v>
      </c>
    </row>
    <row r="47" spans="1:119">
      <c r="A47" s="135">
        <v>45</v>
      </c>
      <c r="B47" s="136"/>
      <c r="C47" s="136"/>
      <c r="D47" s="136"/>
      <c r="E47" s="136"/>
      <c r="F47" s="136"/>
      <c r="G47" s="136"/>
      <c r="H47" s="136"/>
      <c r="I47" s="136"/>
      <c r="J47" s="136"/>
      <c r="K47" s="136"/>
      <c r="L47" s="136"/>
      <c r="M47" s="136"/>
      <c r="N47" s="136"/>
      <c r="O47" s="136"/>
      <c r="P47" s="136"/>
      <c r="Q47" s="136"/>
      <c r="R47" s="136"/>
      <c r="S47" s="136"/>
      <c r="T47" s="136"/>
      <c r="U47" s="136"/>
      <c r="V47" s="136"/>
      <c r="W47" s="136">
        <v>74084</v>
      </c>
      <c r="X47" s="136">
        <v>74870</v>
      </c>
      <c r="Y47" s="136">
        <v>75008</v>
      </c>
      <c r="Z47" s="136">
        <v>77213</v>
      </c>
      <c r="AA47" s="136">
        <v>77578</v>
      </c>
      <c r="AB47" s="136">
        <v>78263</v>
      </c>
      <c r="AC47" s="136">
        <v>79046</v>
      </c>
      <c r="AD47" s="136">
        <v>80022</v>
      </c>
      <c r="AE47" s="136">
        <v>80006</v>
      </c>
      <c r="AF47" s="136">
        <v>81312</v>
      </c>
      <c r="AG47" s="136">
        <v>81689</v>
      </c>
      <c r="AH47" s="136">
        <v>82146</v>
      </c>
      <c r="AI47" s="136">
        <v>82435</v>
      </c>
      <c r="AJ47" s="136">
        <v>83673</v>
      </c>
      <c r="AK47" s="136">
        <v>83596</v>
      </c>
      <c r="AL47" s="136">
        <v>83887</v>
      </c>
      <c r="AM47" s="136">
        <v>84234</v>
      </c>
      <c r="AN47" s="136">
        <v>84690</v>
      </c>
      <c r="AO47" s="136">
        <v>84638</v>
      </c>
      <c r="AP47" s="136">
        <v>84819</v>
      </c>
      <c r="AQ47" s="136">
        <v>84944</v>
      </c>
      <c r="AR47" s="136">
        <v>85117</v>
      </c>
      <c r="AS47" s="136">
        <v>84594</v>
      </c>
      <c r="AT47" s="136">
        <v>83881</v>
      </c>
      <c r="AU47" s="136">
        <v>82535</v>
      </c>
      <c r="AV47" s="136">
        <v>83056</v>
      </c>
      <c r="AW47" s="136">
        <v>83550</v>
      </c>
      <c r="AX47" s="136">
        <v>85872</v>
      </c>
      <c r="AY47" s="136">
        <v>87776</v>
      </c>
      <c r="AZ47" s="136">
        <v>87714</v>
      </c>
      <c r="BA47" s="136">
        <v>87698</v>
      </c>
      <c r="BB47" s="136">
        <v>88470</v>
      </c>
      <c r="BC47" s="136">
        <v>88681</v>
      </c>
      <c r="BD47" s="136">
        <v>89215</v>
      </c>
      <c r="BE47" s="136">
        <v>89320</v>
      </c>
      <c r="BF47" s="136">
        <v>89790</v>
      </c>
      <c r="BG47" s="136">
        <v>89859</v>
      </c>
      <c r="BH47" s="136">
        <v>90339</v>
      </c>
      <c r="BI47" s="136">
        <v>90680</v>
      </c>
      <c r="BJ47" s="136">
        <v>90920</v>
      </c>
      <c r="BK47" s="136">
        <v>91356</v>
      </c>
      <c r="BL47" s="136">
        <v>91826</v>
      </c>
      <c r="BM47" s="136">
        <v>92285</v>
      </c>
      <c r="BN47" s="136">
        <v>92686</v>
      </c>
      <c r="BO47" s="136">
        <v>93055</v>
      </c>
      <c r="BP47" s="136">
        <v>93254</v>
      </c>
      <c r="BQ47" s="136">
        <v>93475</v>
      </c>
      <c r="BR47" s="136">
        <v>93642</v>
      </c>
      <c r="BS47" s="136">
        <v>93702</v>
      </c>
      <c r="BT47" s="136">
        <v>93860</v>
      </c>
      <c r="BU47" s="136">
        <v>93941</v>
      </c>
      <c r="BV47" s="136">
        <v>94118</v>
      </c>
      <c r="BW47" s="136">
        <v>94212</v>
      </c>
      <c r="BX47" s="136">
        <v>94418</v>
      </c>
      <c r="BY47" s="136">
        <v>94645</v>
      </c>
      <c r="BZ47" s="136">
        <v>94998</v>
      </c>
      <c r="CA47" s="136">
        <v>95208</v>
      </c>
      <c r="CB47" s="136">
        <v>95310</v>
      </c>
      <c r="CC47" s="136">
        <v>95541</v>
      </c>
      <c r="CD47" s="136">
        <v>95719</v>
      </c>
      <c r="CE47" s="136">
        <v>95851</v>
      </c>
      <c r="CF47" s="136">
        <v>96083</v>
      </c>
      <c r="CG47" s="136">
        <v>96232</v>
      </c>
      <c r="CH47" s="136">
        <v>96377</v>
      </c>
      <c r="CI47" s="136">
        <v>96562</v>
      </c>
      <c r="CJ47" s="136">
        <v>96628</v>
      </c>
      <c r="CK47" s="136">
        <v>96723</v>
      </c>
      <c r="CL47" s="136">
        <v>96903</v>
      </c>
      <c r="CM47" s="136">
        <v>96973</v>
      </c>
      <c r="CN47" s="136">
        <v>97102</v>
      </c>
      <c r="CO47" s="136">
        <v>97245</v>
      </c>
      <c r="CP47" s="136">
        <v>97337</v>
      </c>
      <c r="CQ47" s="136">
        <v>97449</v>
      </c>
      <c r="CR47" s="136">
        <v>97498</v>
      </c>
      <c r="CS47" s="136">
        <v>97601</v>
      </c>
      <c r="CT47" s="136">
        <v>97660</v>
      </c>
      <c r="CU47" s="136">
        <v>97737</v>
      </c>
      <c r="CV47" s="136">
        <v>97793</v>
      </c>
      <c r="CW47" s="136">
        <v>97849</v>
      </c>
      <c r="CX47" s="136">
        <v>97939</v>
      </c>
      <c r="CY47" s="136">
        <v>97965</v>
      </c>
      <c r="CZ47" s="136">
        <v>98025</v>
      </c>
      <c r="DA47" s="136">
        <v>98052</v>
      </c>
      <c r="DB47" s="136">
        <v>98126</v>
      </c>
      <c r="DC47" s="136">
        <v>98164</v>
      </c>
      <c r="DD47" s="136">
        <v>98212</v>
      </c>
      <c r="DE47" s="136">
        <v>98239</v>
      </c>
      <c r="DF47" s="136">
        <v>98314</v>
      </c>
      <c r="DG47" s="136">
        <v>98353</v>
      </c>
      <c r="DH47" s="136">
        <v>98388</v>
      </c>
      <c r="DI47" s="136">
        <v>98424</v>
      </c>
      <c r="DJ47" s="136">
        <v>98487</v>
      </c>
      <c r="DK47" s="136">
        <v>98514</v>
      </c>
      <c r="DL47" s="136">
        <v>98545</v>
      </c>
      <c r="DM47" s="136">
        <v>98591</v>
      </c>
      <c r="DN47" s="136">
        <v>98636</v>
      </c>
      <c r="DO47" s="136">
        <v>98679</v>
      </c>
    </row>
    <row r="48" spans="1:119">
      <c r="A48" s="135">
        <v>46</v>
      </c>
      <c r="B48" s="136"/>
      <c r="C48" s="136"/>
      <c r="D48" s="136"/>
      <c r="E48" s="136"/>
      <c r="F48" s="136"/>
      <c r="G48" s="136"/>
      <c r="H48" s="136"/>
      <c r="I48" s="136"/>
      <c r="J48" s="136"/>
      <c r="K48" s="136"/>
      <c r="L48" s="136"/>
      <c r="M48" s="136"/>
      <c r="N48" s="136"/>
      <c r="O48" s="136"/>
      <c r="P48" s="136"/>
      <c r="Q48" s="136"/>
      <c r="R48" s="136"/>
      <c r="S48" s="136"/>
      <c r="T48" s="136"/>
      <c r="U48" s="136"/>
      <c r="V48" s="136"/>
      <c r="W48" s="136">
        <v>73760</v>
      </c>
      <c r="X48" s="136">
        <v>74527</v>
      </c>
      <c r="Y48" s="136">
        <v>74665</v>
      </c>
      <c r="Z48" s="136">
        <v>76846</v>
      </c>
      <c r="AA48" s="136">
        <v>77220</v>
      </c>
      <c r="AB48" s="136">
        <v>77888</v>
      </c>
      <c r="AC48" s="136">
        <v>78668</v>
      </c>
      <c r="AD48" s="136">
        <v>79653</v>
      </c>
      <c r="AE48" s="136">
        <v>79605</v>
      </c>
      <c r="AF48" s="136">
        <v>80903</v>
      </c>
      <c r="AG48" s="136">
        <v>81290</v>
      </c>
      <c r="AH48" s="136">
        <v>81753</v>
      </c>
      <c r="AI48" s="136">
        <v>82035</v>
      </c>
      <c r="AJ48" s="136">
        <v>83278</v>
      </c>
      <c r="AK48" s="136">
        <v>83204</v>
      </c>
      <c r="AL48" s="136">
        <v>83508</v>
      </c>
      <c r="AM48" s="136">
        <v>83879</v>
      </c>
      <c r="AN48" s="136">
        <v>84337</v>
      </c>
      <c r="AO48" s="136">
        <v>84286</v>
      </c>
      <c r="AP48" s="136">
        <v>84478</v>
      </c>
      <c r="AQ48" s="136">
        <v>84616</v>
      </c>
      <c r="AR48" s="136">
        <v>84807</v>
      </c>
      <c r="AS48" s="136">
        <v>84276</v>
      </c>
      <c r="AT48" s="136">
        <v>83570</v>
      </c>
      <c r="AU48" s="136">
        <v>82212</v>
      </c>
      <c r="AV48" s="136">
        <v>82726</v>
      </c>
      <c r="AW48" s="136">
        <v>83251</v>
      </c>
      <c r="AX48" s="136">
        <v>85556</v>
      </c>
      <c r="AY48" s="136">
        <v>87458</v>
      </c>
      <c r="AZ48" s="136">
        <v>87395</v>
      </c>
      <c r="BA48" s="136">
        <v>87378</v>
      </c>
      <c r="BB48" s="136">
        <v>88161</v>
      </c>
      <c r="BC48" s="136">
        <v>88380</v>
      </c>
      <c r="BD48" s="136">
        <v>88915</v>
      </c>
      <c r="BE48" s="136">
        <v>89035</v>
      </c>
      <c r="BF48" s="136">
        <v>89499</v>
      </c>
      <c r="BG48" s="136">
        <v>89566</v>
      </c>
      <c r="BH48" s="136">
        <v>90072</v>
      </c>
      <c r="BI48" s="136">
        <v>90424</v>
      </c>
      <c r="BJ48" s="136">
        <v>90681</v>
      </c>
      <c r="BK48" s="136">
        <v>91119</v>
      </c>
      <c r="BL48" s="136">
        <v>91601</v>
      </c>
      <c r="BM48" s="136">
        <v>92065</v>
      </c>
      <c r="BN48" s="136">
        <v>92475</v>
      </c>
      <c r="BO48" s="136">
        <v>92850</v>
      </c>
      <c r="BP48" s="136">
        <v>93049</v>
      </c>
      <c r="BQ48" s="136">
        <v>93274</v>
      </c>
      <c r="BR48" s="136">
        <v>93453</v>
      </c>
      <c r="BS48" s="136">
        <v>93505</v>
      </c>
      <c r="BT48" s="136">
        <v>93671</v>
      </c>
      <c r="BU48" s="136">
        <v>93756</v>
      </c>
      <c r="BV48" s="136">
        <v>93936</v>
      </c>
      <c r="BW48" s="136">
        <v>94034</v>
      </c>
      <c r="BX48" s="136">
        <v>94243</v>
      </c>
      <c r="BY48" s="136">
        <v>94473</v>
      </c>
      <c r="BZ48" s="136">
        <v>94829</v>
      </c>
      <c r="CA48" s="136">
        <v>95042</v>
      </c>
      <c r="CB48" s="136">
        <v>95148</v>
      </c>
      <c r="CC48" s="136">
        <v>95381</v>
      </c>
      <c r="CD48" s="136">
        <v>95562</v>
      </c>
      <c r="CE48" s="136">
        <v>95698</v>
      </c>
      <c r="CF48" s="136">
        <v>95932</v>
      </c>
      <c r="CG48" s="136">
        <v>96084</v>
      </c>
      <c r="CH48" s="136">
        <v>96231</v>
      </c>
      <c r="CI48" s="136">
        <v>96420</v>
      </c>
      <c r="CJ48" s="136">
        <v>96488</v>
      </c>
      <c r="CK48" s="136">
        <v>96586</v>
      </c>
      <c r="CL48" s="136">
        <v>96769</v>
      </c>
      <c r="CM48" s="136">
        <v>96841</v>
      </c>
      <c r="CN48" s="136">
        <v>96973</v>
      </c>
      <c r="CO48" s="136">
        <v>97118</v>
      </c>
      <c r="CP48" s="136">
        <v>97212</v>
      </c>
      <c r="CQ48" s="136">
        <v>97327</v>
      </c>
      <c r="CR48" s="136">
        <v>97378</v>
      </c>
      <c r="CS48" s="136">
        <v>97484</v>
      </c>
      <c r="CT48" s="136">
        <v>97546</v>
      </c>
      <c r="CU48" s="136">
        <v>97624</v>
      </c>
      <c r="CV48" s="136">
        <v>97683</v>
      </c>
      <c r="CW48" s="136">
        <v>97741</v>
      </c>
      <c r="CX48" s="136">
        <v>97833</v>
      </c>
      <c r="CY48" s="136">
        <v>97862</v>
      </c>
      <c r="CZ48" s="136">
        <v>97924</v>
      </c>
      <c r="DA48" s="136">
        <v>97952</v>
      </c>
      <c r="DB48" s="136">
        <v>98028</v>
      </c>
      <c r="DC48" s="136">
        <v>98068</v>
      </c>
      <c r="DD48" s="136">
        <v>98119</v>
      </c>
      <c r="DE48" s="136">
        <v>98147</v>
      </c>
      <c r="DF48" s="136">
        <v>98224</v>
      </c>
      <c r="DG48" s="136">
        <v>98264</v>
      </c>
      <c r="DH48" s="136">
        <v>98302</v>
      </c>
      <c r="DI48" s="136">
        <v>98340</v>
      </c>
      <c r="DJ48" s="136">
        <v>98404</v>
      </c>
      <c r="DK48" s="136">
        <v>98433</v>
      </c>
      <c r="DL48" s="136">
        <v>98465</v>
      </c>
      <c r="DM48" s="136">
        <v>98513</v>
      </c>
      <c r="DN48" s="136">
        <v>98560</v>
      </c>
      <c r="DO48" s="136">
        <v>98605</v>
      </c>
    </row>
    <row r="49" spans="1:119">
      <c r="A49" s="135">
        <v>47</v>
      </c>
      <c r="B49" s="136"/>
      <c r="C49" s="136"/>
      <c r="D49" s="136"/>
      <c r="E49" s="136"/>
      <c r="F49" s="136"/>
      <c r="G49" s="136"/>
      <c r="H49" s="136"/>
      <c r="I49" s="136"/>
      <c r="J49" s="136"/>
      <c r="K49" s="136"/>
      <c r="L49" s="136"/>
      <c r="M49" s="136"/>
      <c r="N49" s="136"/>
      <c r="O49" s="136"/>
      <c r="P49" s="136"/>
      <c r="Q49" s="136"/>
      <c r="R49" s="136"/>
      <c r="S49" s="136"/>
      <c r="T49" s="136"/>
      <c r="U49" s="136"/>
      <c r="V49" s="136"/>
      <c r="W49" s="136">
        <v>73391</v>
      </c>
      <c r="X49" s="136">
        <v>74159</v>
      </c>
      <c r="Y49" s="136">
        <v>74269</v>
      </c>
      <c r="Z49" s="136">
        <v>76449</v>
      </c>
      <c r="AA49" s="136">
        <v>76816</v>
      </c>
      <c r="AB49" s="136">
        <v>77493</v>
      </c>
      <c r="AC49" s="136">
        <v>78257</v>
      </c>
      <c r="AD49" s="136">
        <v>79239</v>
      </c>
      <c r="AE49" s="136">
        <v>79182</v>
      </c>
      <c r="AF49" s="136">
        <v>80468</v>
      </c>
      <c r="AG49" s="136">
        <v>80844</v>
      </c>
      <c r="AH49" s="136">
        <v>81340</v>
      </c>
      <c r="AI49" s="136">
        <v>81615</v>
      </c>
      <c r="AJ49" s="136">
        <v>82861</v>
      </c>
      <c r="AK49" s="136">
        <v>82794</v>
      </c>
      <c r="AL49" s="136">
        <v>83120</v>
      </c>
      <c r="AM49" s="136">
        <v>83496</v>
      </c>
      <c r="AN49" s="136">
        <v>83958</v>
      </c>
      <c r="AO49" s="136">
        <v>83916</v>
      </c>
      <c r="AP49" s="136">
        <v>84119</v>
      </c>
      <c r="AQ49" s="136">
        <v>84264</v>
      </c>
      <c r="AR49" s="136">
        <v>84448</v>
      </c>
      <c r="AS49" s="136">
        <v>83913</v>
      </c>
      <c r="AT49" s="136">
        <v>83219</v>
      </c>
      <c r="AU49" s="136">
        <v>81863</v>
      </c>
      <c r="AV49" s="136">
        <v>82388</v>
      </c>
      <c r="AW49" s="136">
        <v>82919</v>
      </c>
      <c r="AX49" s="136">
        <v>85227</v>
      </c>
      <c r="AY49" s="136">
        <v>87126</v>
      </c>
      <c r="AZ49" s="136">
        <v>87058</v>
      </c>
      <c r="BA49" s="136">
        <v>87044</v>
      </c>
      <c r="BB49" s="136">
        <v>87840</v>
      </c>
      <c r="BC49" s="136">
        <v>88061</v>
      </c>
      <c r="BD49" s="136">
        <v>88594</v>
      </c>
      <c r="BE49" s="136">
        <v>88729</v>
      </c>
      <c r="BF49" s="136">
        <v>89183</v>
      </c>
      <c r="BG49" s="136">
        <v>89260</v>
      </c>
      <c r="BH49" s="136">
        <v>89789</v>
      </c>
      <c r="BI49" s="136">
        <v>90149</v>
      </c>
      <c r="BJ49" s="136">
        <v>90426</v>
      </c>
      <c r="BK49" s="136">
        <v>90858</v>
      </c>
      <c r="BL49" s="136">
        <v>91355</v>
      </c>
      <c r="BM49" s="136">
        <v>91832</v>
      </c>
      <c r="BN49" s="136">
        <v>92246</v>
      </c>
      <c r="BO49" s="136">
        <v>92627</v>
      </c>
      <c r="BP49" s="136">
        <v>92829</v>
      </c>
      <c r="BQ49" s="136">
        <v>93066</v>
      </c>
      <c r="BR49" s="136">
        <v>93244</v>
      </c>
      <c r="BS49" s="136">
        <v>93294</v>
      </c>
      <c r="BT49" s="136">
        <v>93465</v>
      </c>
      <c r="BU49" s="136">
        <v>93553</v>
      </c>
      <c r="BV49" s="136">
        <v>93737</v>
      </c>
      <c r="BW49" s="136">
        <v>93839</v>
      </c>
      <c r="BX49" s="136">
        <v>94051</v>
      </c>
      <c r="BY49" s="136">
        <v>94285</v>
      </c>
      <c r="BZ49" s="136">
        <v>94644</v>
      </c>
      <c r="CA49" s="136">
        <v>94861</v>
      </c>
      <c r="CB49" s="136">
        <v>94970</v>
      </c>
      <c r="CC49" s="136">
        <v>95206</v>
      </c>
      <c r="CD49" s="136">
        <v>95391</v>
      </c>
      <c r="CE49" s="136">
        <v>95529</v>
      </c>
      <c r="CF49" s="136">
        <v>95767</v>
      </c>
      <c r="CG49" s="136">
        <v>95922</v>
      </c>
      <c r="CH49" s="136">
        <v>96072</v>
      </c>
      <c r="CI49" s="136">
        <v>96263</v>
      </c>
      <c r="CJ49" s="136">
        <v>96335</v>
      </c>
      <c r="CK49" s="136">
        <v>96436</v>
      </c>
      <c r="CL49" s="136">
        <v>96622</v>
      </c>
      <c r="CM49" s="136">
        <v>96697</v>
      </c>
      <c r="CN49" s="136">
        <v>96831</v>
      </c>
      <c r="CO49" s="136">
        <v>96979</v>
      </c>
      <c r="CP49" s="136">
        <v>97076</v>
      </c>
      <c r="CQ49" s="136">
        <v>97193</v>
      </c>
      <c r="CR49" s="136">
        <v>97247</v>
      </c>
      <c r="CS49" s="136">
        <v>97356</v>
      </c>
      <c r="CT49" s="136">
        <v>97419</v>
      </c>
      <c r="CU49" s="136">
        <v>97500</v>
      </c>
      <c r="CV49" s="136">
        <v>97562</v>
      </c>
      <c r="CW49" s="136">
        <v>97622</v>
      </c>
      <c r="CX49" s="136">
        <v>97716</v>
      </c>
      <c r="CY49" s="136">
        <v>97748</v>
      </c>
      <c r="CZ49" s="136">
        <v>97812</v>
      </c>
      <c r="DA49" s="136">
        <v>97843</v>
      </c>
      <c r="DB49" s="136">
        <v>97921</v>
      </c>
      <c r="DC49" s="136">
        <v>97963</v>
      </c>
      <c r="DD49" s="136">
        <v>98015</v>
      </c>
      <c r="DE49" s="136">
        <v>98046</v>
      </c>
      <c r="DF49" s="136">
        <v>98125</v>
      </c>
      <c r="DG49" s="136">
        <v>98167</v>
      </c>
      <c r="DH49" s="136">
        <v>98207</v>
      </c>
      <c r="DI49" s="136">
        <v>98246</v>
      </c>
      <c r="DJ49" s="136">
        <v>98313</v>
      </c>
      <c r="DK49" s="136">
        <v>98343</v>
      </c>
      <c r="DL49" s="136">
        <v>98377</v>
      </c>
      <c r="DM49" s="136">
        <v>98427</v>
      </c>
      <c r="DN49" s="136">
        <v>98475</v>
      </c>
      <c r="DO49" s="136">
        <v>98522</v>
      </c>
    </row>
    <row r="50" spans="1:119">
      <c r="A50" s="135">
        <v>48</v>
      </c>
      <c r="B50" s="136"/>
      <c r="C50" s="136"/>
      <c r="D50" s="136"/>
      <c r="E50" s="136"/>
      <c r="F50" s="136"/>
      <c r="G50" s="136"/>
      <c r="H50" s="136"/>
      <c r="I50" s="136"/>
      <c r="J50" s="136"/>
      <c r="K50" s="136"/>
      <c r="L50" s="136"/>
      <c r="M50" s="136"/>
      <c r="N50" s="136"/>
      <c r="O50" s="136"/>
      <c r="P50" s="136"/>
      <c r="Q50" s="136"/>
      <c r="R50" s="136"/>
      <c r="S50" s="136"/>
      <c r="T50" s="136"/>
      <c r="U50" s="136"/>
      <c r="V50" s="136"/>
      <c r="W50" s="136">
        <v>72991</v>
      </c>
      <c r="X50" s="136">
        <v>73738</v>
      </c>
      <c r="Y50" s="136">
        <v>73860</v>
      </c>
      <c r="Z50" s="136">
        <v>76036</v>
      </c>
      <c r="AA50" s="136">
        <v>76390</v>
      </c>
      <c r="AB50" s="136">
        <v>77053</v>
      </c>
      <c r="AC50" s="136">
        <v>77816</v>
      </c>
      <c r="AD50" s="136">
        <v>78770</v>
      </c>
      <c r="AE50" s="136">
        <v>78716</v>
      </c>
      <c r="AF50" s="136">
        <v>79997</v>
      </c>
      <c r="AG50" s="136">
        <v>80368</v>
      </c>
      <c r="AH50" s="136">
        <v>80876</v>
      </c>
      <c r="AI50" s="136">
        <v>81165</v>
      </c>
      <c r="AJ50" s="136">
        <v>82412</v>
      </c>
      <c r="AK50" s="136">
        <v>82360</v>
      </c>
      <c r="AL50" s="136">
        <v>82692</v>
      </c>
      <c r="AM50" s="136">
        <v>83071</v>
      </c>
      <c r="AN50" s="136">
        <v>83557</v>
      </c>
      <c r="AO50" s="136">
        <v>83515</v>
      </c>
      <c r="AP50" s="136">
        <v>83722</v>
      </c>
      <c r="AQ50" s="136">
        <v>83870</v>
      </c>
      <c r="AR50" s="136">
        <v>84067</v>
      </c>
      <c r="AS50" s="136">
        <v>83529</v>
      </c>
      <c r="AT50" s="136">
        <v>82841</v>
      </c>
      <c r="AU50" s="136">
        <v>81486</v>
      </c>
      <c r="AV50" s="136">
        <v>82025</v>
      </c>
      <c r="AW50" s="136">
        <v>82543</v>
      </c>
      <c r="AX50" s="136">
        <v>84857</v>
      </c>
      <c r="AY50" s="136">
        <v>86769</v>
      </c>
      <c r="AZ50" s="136">
        <v>86709</v>
      </c>
      <c r="BA50" s="136">
        <v>86708</v>
      </c>
      <c r="BB50" s="136">
        <v>87491</v>
      </c>
      <c r="BC50" s="136">
        <v>87723</v>
      </c>
      <c r="BD50" s="136">
        <v>88245</v>
      </c>
      <c r="BE50" s="136">
        <v>88381</v>
      </c>
      <c r="BF50" s="136">
        <v>88864</v>
      </c>
      <c r="BG50" s="136">
        <v>88940</v>
      </c>
      <c r="BH50" s="136">
        <v>89482</v>
      </c>
      <c r="BI50" s="136">
        <v>89855</v>
      </c>
      <c r="BJ50" s="136">
        <v>90140</v>
      </c>
      <c r="BK50" s="136">
        <v>90584</v>
      </c>
      <c r="BL50" s="136">
        <v>91082</v>
      </c>
      <c r="BM50" s="136">
        <v>91569</v>
      </c>
      <c r="BN50" s="136">
        <v>91999</v>
      </c>
      <c r="BO50" s="136">
        <v>92383</v>
      </c>
      <c r="BP50" s="136">
        <v>92605</v>
      </c>
      <c r="BQ50" s="136">
        <v>92820</v>
      </c>
      <c r="BR50" s="136">
        <v>93010</v>
      </c>
      <c r="BS50" s="136">
        <v>93064</v>
      </c>
      <c r="BT50" s="136">
        <v>93239</v>
      </c>
      <c r="BU50" s="136">
        <v>93332</v>
      </c>
      <c r="BV50" s="136">
        <v>93520</v>
      </c>
      <c r="BW50" s="136">
        <v>93626</v>
      </c>
      <c r="BX50" s="136">
        <v>93842</v>
      </c>
      <c r="BY50" s="136">
        <v>94079</v>
      </c>
      <c r="BZ50" s="136">
        <v>94442</v>
      </c>
      <c r="CA50" s="136">
        <v>94662</v>
      </c>
      <c r="CB50" s="136">
        <v>94775</v>
      </c>
      <c r="CC50" s="136">
        <v>95015</v>
      </c>
      <c r="CD50" s="136">
        <v>95203</v>
      </c>
      <c r="CE50" s="136">
        <v>95345</v>
      </c>
      <c r="CF50" s="136">
        <v>95586</v>
      </c>
      <c r="CG50" s="136">
        <v>95744</v>
      </c>
      <c r="CH50" s="136">
        <v>95898</v>
      </c>
      <c r="CI50" s="136">
        <v>96092</v>
      </c>
      <c r="CJ50" s="136">
        <v>96167</v>
      </c>
      <c r="CK50" s="136">
        <v>96271</v>
      </c>
      <c r="CL50" s="136">
        <v>96460</v>
      </c>
      <c r="CM50" s="136">
        <v>96538</v>
      </c>
      <c r="CN50" s="136">
        <v>96675</v>
      </c>
      <c r="CO50" s="136">
        <v>96826</v>
      </c>
      <c r="CP50" s="136">
        <v>96926</v>
      </c>
      <c r="CQ50" s="136">
        <v>97046</v>
      </c>
      <c r="CR50" s="136">
        <v>97103</v>
      </c>
      <c r="CS50" s="136">
        <v>97214</v>
      </c>
      <c r="CT50" s="136">
        <v>97281</v>
      </c>
      <c r="CU50" s="136">
        <v>97364</v>
      </c>
      <c r="CV50" s="136">
        <v>97428</v>
      </c>
      <c r="CW50" s="136">
        <v>97491</v>
      </c>
      <c r="CX50" s="136">
        <v>97588</v>
      </c>
      <c r="CY50" s="136">
        <v>97622</v>
      </c>
      <c r="CZ50" s="136">
        <v>97689</v>
      </c>
      <c r="DA50" s="136">
        <v>97722</v>
      </c>
      <c r="DB50" s="136">
        <v>97802</v>
      </c>
      <c r="DC50" s="136">
        <v>97846</v>
      </c>
      <c r="DD50" s="136">
        <v>97901</v>
      </c>
      <c r="DE50" s="136">
        <v>97934</v>
      </c>
      <c r="DF50" s="136">
        <v>98015</v>
      </c>
      <c r="DG50" s="136">
        <v>98060</v>
      </c>
      <c r="DH50" s="136">
        <v>98101</v>
      </c>
      <c r="DI50" s="136">
        <v>98143</v>
      </c>
      <c r="DJ50" s="136">
        <v>98211</v>
      </c>
      <c r="DK50" s="136">
        <v>98244</v>
      </c>
      <c r="DL50" s="136">
        <v>98280</v>
      </c>
      <c r="DM50" s="136">
        <v>98332</v>
      </c>
      <c r="DN50" s="136">
        <v>98382</v>
      </c>
      <c r="DO50" s="136">
        <v>98430</v>
      </c>
    </row>
    <row r="51" spans="1:119">
      <c r="A51" s="135">
        <v>49</v>
      </c>
      <c r="B51" s="136"/>
      <c r="C51" s="136"/>
      <c r="D51" s="136"/>
      <c r="E51" s="136"/>
      <c r="F51" s="136"/>
      <c r="G51" s="136"/>
      <c r="H51" s="136"/>
      <c r="I51" s="136"/>
      <c r="J51" s="136"/>
      <c r="K51" s="136"/>
      <c r="L51" s="136"/>
      <c r="M51" s="136"/>
      <c r="N51" s="136"/>
      <c r="O51" s="136"/>
      <c r="P51" s="136"/>
      <c r="Q51" s="136"/>
      <c r="R51" s="136"/>
      <c r="S51" s="136"/>
      <c r="T51" s="136"/>
      <c r="U51" s="136"/>
      <c r="V51" s="136"/>
      <c r="W51" s="136">
        <v>72528</v>
      </c>
      <c r="X51" s="136">
        <v>73290</v>
      </c>
      <c r="Y51" s="136">
        <v>73411</v>
      </c>
      <c r="Z51" s="136">
        <v>75563</v>
      </c>
      <c r="AA51" s="136">
        <v>75927</v>
      </c>
      <c r="AB51" s="136">
        <v>76577</v>
      </c>
      <c r="AC51" s="136">
        <v>77340</v>
      </c>
      <c r="AD51" s="136">
        <v>78284</v>
      </c>
      <c r="AE51" s="136">
        <v>78213</v>
      </c>
      <c r="AF51" s="136">
        <v>79476</v>
      </c>
      <c r="AG51" s="136">
        <v>79869</v>
      </c>
      <c r="AH51" s="136">
        <v>80374</v>
      </c>
      <c r="AI51" s="136">
        <v>80672</v>
      </c>
      <c r="AJ51" s="136">
        <v>81947</v>
      </c>
      <c r="AK51" s="136">
        <v>81899</v>
      </c>
      <c r="AL51" s="136">
        <v>82230</v>
      </c>
      <c r="AM51" s="136">
        <v>82630</v>
      </c>
      <c r="AN51" s="136">
        <v>83118</v>
      </c>
      <c r="AO51" s="136">
        <v>83084</v>
      </c>
      <c r="AP51" s="136">
        <v>83312</v>
      </c>
      <c r="AQ51" s="136">
        <v>83446</v>
      </c>
      <c r="AR51" s="136">
        <v>83654</v>
      </c>
      <c r="AS51" s="136">
        <v>83112</v>
      </c>
      <c r="AT51" s="136">
        <v>82413</v>
      </c>
      <c r="AU51" s="136">
        <v>81085</v>
      </c>
      <c r="AV51" s="136">
        <v>81641</v>
      </c>
      <c r="AW51" s="136">
        <v>82164</v>
      </c>
      <c r="AX51" s="136">
        <v>84483</v>
      </c>
      <c r="AY51" s="136">
        <v>86395</v>
      </c>
      <c r="AZ51" s="136">
        <v>86326</v>
      </c>
      <c r="BA51" s="136">
        <v>86341</v>
      </c>
      <c r="BB51" s="136">
        <v>87112</v>
      </c>
      <c r="BC51" s="136">
        <v>87359</v>
      </c>
      <c r="BD51" s="136">
        <v>87876</v>
      </c>
      <c r="BE51" s="136">
        <v>88021</v>
      </c>
      <c r="BF51" s="136">
        <v>88522</v>
      </c>
      <c r="BG51" s="136">
        <v>88602</v>
      </c>
      <c r="BH51" s="136">
        <v>89156</v>
      </c>
      <c r="BI51" s="136">
        <v>89533</v>
      </c>
      <c r="BJ51" s="136">
        <v>89833</v>
      </c>
      <c r="BK51" s="136">
        <v>90280</v>
      </c>
      <c r="BL51" s="136">
        <v>90786</v>
      </c>
      <c r="BM51" s="136">
        <v>91298</v>
      </c>
      <c r="BN51" s="136">
        <v>91734</v>
      </c>
      <c r="BO51" s="136">
        <v>92116</v>
      </c>
      <c r="BP51" s="136">
        <v>92338</v>
      </c>
      <c r="BQ51" s="136">
        <v>92558</v>
      </c>
      <c r="BR51" s="136">
        <v>92753</v>
      </c>
      <c r="BS51" s="136">
        <v>92813</v>
      </c>
      <c r="BT51" s="136">
        <v>92992</v>
      </c>
      <c r="BU51" s="136">
        <v>93089</v>
      </c>
      <c r="BV51" s="136">
        <v>93282</v>
      </c>
      <c r="BW51" s="136">
        <v>93392</v>
      </c>
      <c r="BX51" s="136">
        <v>93613</v>
      </c>
      <c r="BY51" s="136">
        <v>93854</v>
      </c>
      <c r="BZ51" s="136">
        <v>94220</v>
      </c>
      <c r="CA51" s="136">
        <v>94444</v>
      </c>
      <c r="CB51" s="136">
        <v>94561</v>
      </c>
      <c r="CC51" s="136">
        <v>94805</v>
      </c>
      <c r="CD51" s="136">
        <v>94997</v>
      </c>
      <c r="CE51" s="136">
        <v>95142</v>
      </c>
      <c r="CF51" s="136">
        <v>95387</v>
      </c>
      <c r="CG51" s="136">
        <v>95549</v>
      </c>
      <c r="CH51" s="136">
        <v>95706</v>
      </c>
      <c r="CI51" s="136">
        <v>95904</v>
      </c>
      <c r="CJ51" s="136">
        <v>95982</v>
      </c>
      <c r="CK51" s="136">
        <v>96090</v>
      </c>
      <c r="CL51" s="136">
        <v>96282</v>
      </c>
      <c r="CM51" s="136">
        <v>96363</v>
      </c>
      <c r="CN51" s="136">
        <v>96504</v>
      </c>
      <c r="CO51" s="136">
        <v>96658</v>
      </c>
      <c r="CP51" s="136">
        <v>96761</v>
      </c>
      <c r="CQ51" s="136">
        <v>96884</v>
      </c>
      <c r="CR51" s="136">
        <v>96944</v>
      </c>
      <c r="CS51" s="136">
        <v>97058</v>
      </c>
      <c r="CT51" s="136">
        <v>97128</v>
      </c>
      <c r="CU51" s="136">
        <v>97214</v>
      </c>
      <c r="CV51" s="136">
        <v>97281</v>
      </c>
      <c r="CW51" s="136">
        <v>97347</v>
      </c>
      <c r="CX51" s="136">
        <v>97447</v>
      </c>
      <c r="CY51" s="136">
        <v>97483</v>
      </c>
      <c r="CZ51" s="136">
        <v>97553</v>
      </c>
      <c r="DA51" s="136">
        <v>97588</v>
      </c>
      <c r="DB51" s="136">
        <v>97671</v>
      </c>
      <c r="DC51" s="136">
        <v>97718</v>
      </c>
      <c r="DD51" s="136">
        <v>97775</v>
      </c>
      <c r="DE51" s="136">
        <v>97811</v>
      </c>
      <c r="DF51" s="136">
        <v>97894</v>
      </c>
      <c r="DG51" s="136">
        <v>97941</v>
      </c>
      <c r="DH51" s="136">
        <v>97985</v>
      </c>
      <c r="DI51" s="136">
        <v>98029</v>
      </c>
      <c r="DJ51" s="136">
        <v>98100</v>
      </c>
      <c r="DK51" s="136">
        <v>98134</v>
      </c>
      <c r="DL51" s="136">
        <v>98173</v>
      </c>
      <c r="DM51" s="136">
        <v>98226</v>
      </c>
      <c r="DN51" s="136">
        <v>98278</v>
      </c>
      <c r="DO51" s="136">
        <v>98329</v>
      </c>
    </row>
    <row r="52" spans="1:119">
      <c r="A52" s="135">
        <v>50</v>
      </c>
      <c r="B52" s="136"/>
      <c r="C52" s="136"/>
      <c r="D52" s="136"/>
      <c r="E52" s="136"/>
      <c r="F52" s="136"/>
      <c r="G52" s="136"/>
      <c r="H52" s="136"/>
      <c r="I52" s="136"/>
      <c r="J52" s="136"/>
      <c r="K52" s="136"/>
      <c r="L52" s="136"/>
      <c r="M52" s="136"/>
      <c r="N52" s="136"/>
      <c r="O52" s="136"/>
      <c r="P52" s="136"/>
      <c r="Q52" s="136"/>
      <c r="R52" s="136"/>
      <c r="S52" s="136"/>
      <c r="T52" s="136"/>
      <c r="U52" s="136"/>
      <c r="V52" s="136"/>
      <c r="W52" s="136">
        <v>72045</v>
      </c>
      <c r="X52" s="136">
        <v>72812</v>
      </c>
      <c r="Y52" s="136">
        <v>72912</v>
      </c>
      <c r="Z52" s="136">
        <v>75052</v>
      </c>
      <c r="AA52" s="136">
        <v>75409</v>
      </c>
      <c r="AB52" s="136">
        <v>76057</v>
      </c>
      <c r="AC52" s="136">
        <v>76832</v>
      </c>
      <c r="AD52" s="136">
        <v>77752</v>
      </c>
      <c r="AE52" s="136">
        <v>77660</v>
      </c>
      <c r="AF52" s="136">
        <v>78918</v>
      </c>
      <c r="AG52" s="136">
        <v>79319</v>
      </c>
      <c r="AH52" s="136">
        <v>79832</v>
      </c>
      <c r="AI52" s="136">
        <v>80152</v>
      </c>
      <c r="AJ52" s="136">
        <v>81444</v>
      </c>
      <c r="AK52" s="136">
        <v>81400</v>
      </c>
      <c r="AL52" s="136">
        <v>81745</v>
      </c>
      <c r="AM52" s="136">
        <v>82162</v>
      </c>
      <c r="AN52" s="136">
        <v>82658</v>
      </c>
      <c r="AO52" s="136">
        <v>82628</v>
      </c>
      <c r="AP52" s="136">
        <v>82855</v>
      </c>
      <c r="AQ52" s="136">
        <v>82963</v>
      </c>
      <c r="AR52" s="136">
        <v>83210</v>
      </c>
      <c r="AS52" s="136">
        <v>82657</v>
      </c>
      <c r="AT52" s="136">
        <v>81971</v>
      </c>
      <c r="AU52" s="136">
        <v>80647</v>
      </c>
      <c r="AV52" s="136">
        <v>81209</v>
      </c>
      <c r="AW52" s="136">
        <v>81761</v>
      </c>
      <c r="AX52" s="136">
        <v>84091</v>
      </c>
      <c r="AY52" s="136">
        <v>86003</v>
      </c>
      <c r="AZ52" s="136">
        <v>85921</v>
      </c>
      <c r="BA52" s="136">
        <v>85943</v>
      </c>
      <c r="BB52" s="136">
        <v>86716</v>
      </c>
      <c r="BC52" s="136">
        <v>86959</v>
      </c>
      <c r="BD52" s="136">
        <v>87481</v>
      </c>
      <c r="BE52" s="136">
        <v>87646</v>
      </c>
      <c r="BF52" s="136">
        <v>88154</v>
      </c>
      <c r="BG52" s="136">
        <v>88234</v>
      </c>
      <c r="BH52" s="136">
        <v>88809</v>
      </c>
      <c r="BI52" s="136">
        <v>89191</v>
      </c>
      <c r="BJ52" s="136">
        <v>89500</v>
      </c>
      <c r="BK52" s="136">
        <v>89956</v>
      </c>
      <c r="BL52" s="136">
        <v>90473</v>
      </c>
      <c r="BM52" s="136">
        <v>90987</v>
      </c>
      <c r="BN52" s="136">
        <v>91436</v>
      </c>
      <c r="BO52" s="136">
        <v>91824</v>
      </c>
      <c r="BP52" s="136">
        <v>92047</v>
      </c>
      <c r="BQ52" s="136">
        <v>92272</v>
      </c>
      <c r="BR52" s="136">
        <v>92472</v>
      </c>
      <c r="BS52" s="136">
        <v>92537</v>
      </c>
      <c r="BT52" s="136">
        <v>92721</v>
      </c>
      <c r="BU52" s="136">
        <v>92824</v>
      </c>
      <c r="BV52" s="136">
        <v>93021</v>
      </c>
      <c r="BW52" s="136">
        <v>93136</v>
      </c>
      <c r="BX52" s="136">
        <v>93361</v>
      </c>
      <c r="BY52" s="136">
        <v>93607</v>
      </c>
      <c r="BZ52" s="136">
        <v>93977</v>
      </c>
      <c r="CA52" s="136">
        <v>94205</v>
      </c>
      <c r="CB52" s="136">
        <v>94327</v>
      </c>
      <c r="CC52" s="136">
        <v>94574</v>
      </c>
      <c r="CD52" s="136">
        <v>94770</v>
      </c>
      <c r="CE52" s="136">
        <v>94920</v>
      </c>
      <c r="CF52" s="136">
        <v>95169</v>
      </c>
      <c r="CG52" s="136">
        <v>95334</v>
      </c>
      <c r="CH52" s="136">
        <v>95496</v>
      </c>
      <c r="CI52" s="136">
        <v>95697</v>
      </c>
      <c r="CJ52" s="136">
        <v>95780</v>
      </c>
      <c r="CK52" s="136">
        <v>95891</v>
      </c>
      <c r="CL52" s="136">
        <v>96086</v>
      </c>
      <c r="CM52" s="136">
        <v>96171</v>
      </c>
      <c r="CN52" s="136">
        <v>96316</v>
      </c>
      <c r="CO52" s="136">
        <v>96473</v>
      </c>
      <c r="CP52" s="136">
        <v>96580</v>
      </c>
      <c r="CQ52" s="136">
        <v>96706</v>
      </c>
      <c r="CR52" s="136">
        <v>96769</v>
      </c>
      <c r="CS52" s="136">
        <v>96887</v>
      </c>
      <c r="CT52" s="136">
        <v>96960</v>
      </c>
      <c r="CU52" s="136">
        <v>97049</v>
      </c>
      <c r="CV52" s="136">
        <v>97119</v>
      </c>
      <c r="CW52" s="136">
        <v>97188</v>
      </c>
      <c r="CX52" s="136">
        <v>97291</v>
      </c>
      <c r="CY52" s="136">
        <v>97330</v>
      </c>
      <c r="CZ52" s="136">
        <v>97402</v>
      </c>
      <c r="DA52" s="136">
        <v>97441</v>
      </c>
      <c r="DB52" s="136">
        <v>97527</v>
      </c>
      <c r="DC52" s="136">
        <v>97577</v>
      </c>
      <c r="DD52" s="136">
        <v>97637</v>
      </c>
      <c r="DE52" s="136">
        <v>97675</v>
      </c>
      <c r="DF52" s="136">
        <v>97761</v>
      </c>
      <c r="DG52" s="136">
        <v>97810</v>
      </c>
      <c r="DH52" s="136">
        <v>97856</v>
      </c>
      <c r="DI52" s="136">
        <v>97903</v>
      </c>
      <c r="DJ52" s="136">
        <v>97976</v>
      </c>
      <c r="DK52" s="136">
        <v>98013</v>
      </c>
      <c r="DL52" s="136">
        <v>98054</v>
      </c>
      <c r="DM52" s="136">
        <v>98110</v>
      </c>
      <c r="DN52" s="136">
        <v>98164</v>
      </c>
      <c r="DO52" s="136">
        <v>98216</v>
      </c>
    </row>
    <row r="53" spans="1:119">
      <c r="A53" s="135">
        <v>51</v>
      </c>
      <c r="B53" s="136"/>
      <c r="C53" s="136"/>
      <c r="D53" s="136"/>
      <c r="E53" s="136"/>
      <c r="F53" s="136"/>
      <c r="G53" s="136"/>
      <c r="H53" s="136"/>
      <c r="I53" s="136"/>
      <c r="J53" s="136"/>
      <c r="K53" s="136"/>
      <c r="L53" s="136"/>
      <c r="M53" s="136"/>
      <c r="N53" s="136"/>
      <c r="O53" s="136"/>
      <c r="P53" s="136"/>
      <c r="Q53" s="136"/>
      <c r="R53" s="136"/>
      <c r="S53" s="136"/>
      <c r="T53" s="136"/>
      <c r="U53" s="136"/>
      <c r="V53" s="136"/>
      <c r="W53" s="136">
        <v>71500</v>
      </c>
      <c r="X53" s="136">
        <v>72271</v>
      </c>
      <c r="Y53" s="136">
        <v>72389</v>
      </c>
      <c r="Z53" s="136">
        <v>74497</v>
      </c>
      <c r="AA53" s="136">
        <v>74855</v>
      </c>
      <c r="AB53" s="136">
        <v>75500</v>
      </c>
      <c r="AC53" s="136">
        <v>76253</v>
      </c>
      <c r="AD53" s="136">
        <v>77177</v>
      </c>
      <c r="AE53" s="136">
        <v>77065</v>
      </c>
      <c r="AF53" s="136">
        <v>78318</v>
      </c>
      <c r="AG53" s="136">
        <v>78736</v>
      </c>
      <c r="AH53" s="136">
        <v>79244</v>
      </c>
      <c r="AI53" s="136">
        <v>79572</v>
      </c>
      <c r="AJ53" s="136">
        <v>80884</v>
      </c>
      <c r="AK53" s="136">
        <v>80857</v>
      </c>
      <c r="AL53" s="136">
        <v>81213</v>
      </c>
      <c r="AM53" s="136">
        <v>81649</v>
      </c>
      <c r="AN53" s="136">
        <v>82143</v>
      </c>
      <c r="AO53" s="136">
        <v>82119</v>
      </c>
      <c r="AP53" s="136">
        <v>82329</v>
      </c>
      <c r="AQ53" s="136">
        <v>82440</v>
      </c>
      <c r="AR53" s="136">
        <v>82717</v>
      </c>
      <c r="AS53" s="136">
        <v>82164</v>
      </c>
      <c r="AT53" s="136">
        <v>81498</v>
      </c>
      <c r="AU53" s="136">
        <v>80172</v>
      </c>
      <c r="AV53" s="136">
        <v>80772</v>
      </c>
      <c r="AW53" s="136">
        <v>81326</v>
      </c>
      <c r="AX53" s="136">
        <v>83676</v>
      </c>
      <c r="AY53" s="136">
        <v>85564</v>
      </c>
      <c r="AZ53" s="136">
        <v>85502</v>
      </c>
      <c r="BA53" s="136">
        <v>85511</v>
      </c>
      <c r="BB53" s="136">
        <v>86287</v>
      </c>
      <c r="BC53" s="136">
        <v>86529</v>
      </c>
      <c r="BD53" s="136">
        <v>87068</v>
      </c>
      <c r="BE53" s="136">
        <v>87248</v>
      </c>
      <c r="BF53" s="136">
        <v>87766</v>
      </c>
      <c r="BG53" s="136">
        <v>87849</v>
      </c>
      <c r="BH53" s="136">
        <v>88440</v>
      </c>
      <c r="BI53" s="136">
        <v>88825</v>
      </c>
      <c r="BJ53" s="136">
        <v>89140</v>
      </c>
      <c r="BK53" s="136">
        <v>89603</v>
      </c>
      <c r="BL53" s="136">
        <v>90135</v>
      </c>
      <c r="BM53" s="136">
        <v>90668</v>
      </c>
      <c r="BN53" s="136">
        <v>91107</v>
      </c>
      <c r="BO53" s="136">
        <v>91500</v>
      </c>
      <c r="BP53" s="136">
        <v>91729</v>
      </c>
      <c r="BQ53" s="136">
        <v>91959</v>
      </c>
      <c r="BR53" s="136">
        <v>92165</v>
      </c>
      <c r="BS53" s="136">
        <v>92235</v>
      </c>
      <c r="BT53" s="136">
        <v>92425</v>
      </c>
      <c r="BU53" s="136">
        <v>92533</v>
      </c>
      <c r="BV53" s="136">
        <v>92735</v>
      </c>
      <c r="BW53" s="136">
        <v>92856</v>
      </c>
      <c r="BX53" s="136">
        <v>93085</v>
      </c>
      <c r="BY53" s="136">
        <v>93336</v>
      </c>
      <c r="BZ53" s="136">
        <v>93710</v>
      </c>
      <c r="CA53" s="136">
        <v>93943</v>
      </c>
      <c r="CB53" s="136">
        <v>94069</v>
      </c>
      <c r="CC53" s="136">
        <v>94322</v>
      </c>
      <c r="CD53" s="136">
        <v>94522</v>
      </c>
      <c r="CE53" s="136">
        <v>94677</v>
      </c>
      <c r="CF53" s="136">
        <v>94929</v>
      </c>
      <c r="CG53" s="136">
        <v>95099</v>
      </c>
      <c r="CH53" s="136">
        <v>95264</v>
      </c>
      <c r="CI53" s="136">
        <v>95470</v>
      </c>
      <c r="CJ53" s="136">
        <v>95557</v>
      </c>
      <c r="CK53" s="136">
        <v>95672</v>
      </c>
      <c r="CL53" s="136">
        <v>95871</v>
      </c>
      <c r="CM53" s="136">
        <v>95960</v>
      </c>
      <c r="CN53" s="136">
        <v>96109</v>
      </c>
      <c r="CO53" s="136">
        <v>96270</v>
      </c>
      <c r="CP53" s="136">
        <v>96380</v>
      </c>
      <c r="CQ53" s="136">
        <v>96510</v>
      </c>
      <c r="CR53" s="136">
        <v>96577</v>
      </c>
      <c r="CS53" s="136">
        <v>96698</v>
      </c>
      <c r="CT53" s="136">
        <v>96774</v>
      </c>
      <c r="CU53" s="136">
        <v>96867</v>
      </c>
      <c r="CV53" s="136">
        <v>96941</v>
      </c>
      <c r="CW53" s="136">
        <v>97013</v>
      </c>
      <c r="CX53" s="136">
        <v>97119</v>
      </c>
      <c r="CY53" s="136">
        <v>97162</v>
      </c>
      <c r="CZ53" s="136">
        <v>97237</v>
      </c>
      <c r="DA53" s="136">
        <v>97279</v>
      </c>
      <c r="DB53" s="136">
        <v>97368</v>
      </c>
      <c r="DC53" s="136">
        <v>97420</v>
      </c>
      <c r="DD53" s="136">
        <v>97483</v>
      </c>
      <c r="DE53" s="136">
        <v>97525</v>
      </c>
      <c r="DF53" s="136">
        <v>97613</v>
      </c>
      <c r="DG53" s="136">
        <v>97665</v>
      </c>
      <c r="DH53" s="136">
        <v>97714</v>
      </c>
      <c r="DI53" s="136">
        <v>97764</v>
      </c>
      <c r="DJ53" s="136">
        <v>97839</v>
      </c>
      <c r="DK53" s="136">
        <v>97879</v>
      </c>
      <c r="DL53" s="136">
        <v>97922</v>
      </c>
      <c r="DM53" s="136">
        <v>97981</v>
      </c>
      <c r="DN53" s="136">
        <v>98037</v>
      </c>
      <c r="DO53" s="136">
        <v>98092</v>
      </c>
    </row>
    <row r="54" spans="1:119">
      <c r="A54" s="135">
        <v>52</v>
      </c>
      <c r="B54" s="136"/>
      <c r="C54" s="136"/>
      <c r="D54" s="136"/>
      <c r="E54" s="136"/>
      <c r="F54" s="136"/>
      <c r="G54" s="136"/>
      <c r="H54" s="136"/>
      <c r="I54" s="136"/>
      <c r="J54" s="136"/>
      <c r="K54" s="136"/>
      <c r="L54" s="136"/>
      <c r="M54" s="136"/>
      <c r="N54" s="136"/>
      <c r="O54" s="136"/>
      <c r="P54" s="136"/>
      <c r="Q54" s="136"/>
      <c r="R54" s="136"/>
      <c r="S54" s="136"/>
      <c r="T54" s="136"/>
      <c r="U54" s="136"/>
      <c r="V54" s="136"/>
      <c r="W54" s="136">
        <v>70922</v>
      </c>
      <c r="X54" s="136">
        <v>71695</v>
      </c>
      <c r="Y54" s="136">
        <v>71755</v>
      </c>
      <c r="Z54" s="136">
        <v>73885</v>
      </c>
      <c r="AA54" s="136">
        <v>74261</v>
      </c>
      <c r="AB54" s="136">
        <v>74886</v>
      </c>
      <c r="AC54" s="136">
        <v>75644</v>
      </c>
      <c r="AD54" s="136">
        <v>76552</v>
      </c>
      <c r="AE54" s="136">
        <v>76437</v>
      </c>
      <c r="AF54" s="136">
        <v>77682</v>
      </c>
      <c r="AG54" s="136">
        <v>78112</v>
      </c>
      <c r="AH54" s="136">
        <v>78640</v>
      </c>
      <c r="AI54" s="136">
        <v>78975</v>
      </c>
      <c r="AJ54" s="136">
        <v>80283</v>
      </c>
      <c r="AK54" s="136">
        <v>80266</v>
      </c>
      <c r="AL54" s="136">
        <v>80668</v>
      </c>
      <c r="AM54" s="136">
        <v>81105</v>
      </c>
      <c r="AN54" s="136">
        <v>81599</v>
      </c>
      <c r="AO54" s="136">
        <v>81553</v>
      </c>
      <c r="AP54" s="136">
        <v>81784</v>
      </c>
      <c r="AQ54" s="136">
        <v>81914</v>
      </c>
      <c r="AR54" s="136">
        <v>82210</v>
      </c>
      <c r="AS54" s="136">
        <v>81649</v>
      </c>
      <c r="AT54" s="136">
        <v>80984</v>
      </c>
      <c r="AU54" s="136">
        <v>79696</v>
      </c>
      <c r="AV54" s="136">
        <v>80300</v>
      </c>
      <c r="AW54" s="136">
        <v>80875</v>
      </c>
      <c r="AX54" s="136">
        <v>83217</v>
      </c>
      <c r="AY54" s="136">
        <v>85115</v>
      </c>
      <c r="AZ54" s="136">
        <v>85036</v>
      </c>
      <c r="BA54" s="136">
        <v>85065</v>
      </c>
      <c r="BB54" s="136">
        <v>85843</v>
      </c>
      <c r="BC54" s="136">
        <v>86090</v>
      </c>
      <c r="BD54" s="136">
        <v>86614</v>
      </c>
      <c r="BE54" s="136">
        <v>86810</v>
      </c>
      <c r="BF54" s="136">
        <v>87349</v>
      </c>
      <c r="BG54" s="136">
        <v>87423</v>
      </c>
      <c r="BH54" s="136">
        <v>88022</v>
      </c>
      <c r="BI54" s="136">
        <v>88397</v>
      </c>
      <c r="BJ54" s="136">
        <v>88754</v>
      </c>
      <c r="BK54" s="136">
        <v>89222</v>
      </c>
      <c r="BL54" s="136">
        <v>89765</v>
      </c>
      <c r="BM54" s="136">
        <v>90310</v>
      </c>
      <c r="BN54" s="136">
        <v>90746</v>
      </c>
      <c r="BO54" s="136">
        <v>91145</v>
      </c>
      <c r="BP54" s="136">
        <v>91380</v>
      </c>
      <c r="BQ54" s="136">
        <v>91616</v>
      </c>
      <c r="BR54" s="136">
        <v>91828</v>
      </c>
      <c r="BS54" s="136">
        <v>91905</v>
      </c>
      <c r="BT54" s="136">
        <v>92100</v>
      </c>
      <c r="BU54" s="136">
        <v>92214</v>
      </c>
      <c r="BV54" s="136">
        <v>92422</v>
      </c>
      <c r="BW54" s="136">
        <v>92548</v>
      </c>
      <c r="BX54" s="136">
        <v>92783</v>
      </c>
      <c r="BY54" s="136">
        <v>93039</v>
      </c>
      <c r="BZ54" s="136">
        <v>93418</v>
      </c>
      <c r="CA54" s="136">
        <v>93656</v>
      </c>
      <c r="CB54" s="136">
        <v>93787</v>
      </c>
      <c r="CC54" s="136">
        <v>94044</v>
      </c>
      <c r="CD54" s="136">
        <v>94250</v>
      </c>
      <c r="CE54" s="136">
        <v>94409</v>
      </c>
      <c r="CF54" s="136">
        <v>94666</v>
      </c>
      <c r="CG54" s="136">
        <v>94840</v>
      </c>
      <c r="CH54" s="136">
        <v>95010</v>
      </c>
      <c r="CI54" s="136">
        <v>95220</v>
      </c>
      <c r="CJ54" s="136">
        <v>95312</v>
      </c>
      <c r="CK54" s="136">
        <v>95431</v>
      </c>
      <c r="CL54" s="136">
        <v>95635</v>
      </c>
      <c r="CM54" s="136">
        <v>95729</v>
      </c>
      <c r="CN54" s="136">
        <v>95881</v>
      </c>
      <c r="CO54" s="136">
        <v>96046</v>
      </c>
      <c r="CP54" s="136">
        <v>96160</v>
      </c>
      <c r="CQ54" s="136">
        <v>96294</v>
      </c>
      <c r="CR54" s="136">
        <v>96365</v>
      </c>
      <c r="CS54" s="136">
        <v>96490</v>
      </c>
      <c r="CT54" s="136">
        <v>96570</v>
      </c>
      <c r="CU54" s="136">
        <v>96667</v>
      </c>
      <c r="CV54" s="136">
        <v>96744</v>
      </c>
      <c r="CW54" s="136">
        <v>96820</v>
      </c>
      <c r="CX54" s="136">
        <v>96929</v>
      </c>
      <c r="CY54" s="136">
        <v>96976</v>
      </c>
      <c r="CZ54" s="136">
        <v>97055</v>
      </c>
      <c r="DA54" s="136">
        <v>97100</v>
      </c>
      <c r="DB54" s="136">
        <v>97192</v>
      </c>
      <c r="DC54" s="136">
        <v>97248</v>
      </c>
      <c r="DD54" s="136">
        <v>97314</v>
      </c>
      <c r="DE54" s="136">
        <v>97359</v>
      </c>
      <c r="DF54" s="136">
        <v>97451</v>
      </c>
      <c r="DG54" s="136">
        <v>97506</v>
      </c>
      <c r="DH54" s="136">
        <v>97558</v>
      </c>
      <c r="DI54" s="136">
        <v>97610</v>
      </c>
      <c r="DJ54" s="136">
        <v>97689</v>
      </c>
      <c r="DK54" s="136">
        <v>97731</v>
      </c>
      <c r="DL54" s="136">
        <v>97777</v>
      </c>
      <c r="DM54" s="136">
        <v>97838</v>
      </c>
      <c r="DN54" s="136">
        <v>97898</v>
      </c>
      <c r="DO54" s="136">
        <v>97955</v>
      </c>
    </row>
    <row r="55" spans="1:119">
      <c r="A55" s="135">
        <v>53</v>
      </c>
      <c r="B55" s="136"/>
      <c r="C55" s="136"/>
      <c r="D55" s="136"/>
      <c r="E55" s="136"/>
      <c r="F55" s="136"/>
      <c r="G55" s="136"/>
      <c r="H55" s="136"/>
      <c r="I55" s="136"/>
      <c r="J55" s="136"/>
      <c r="K55" s="136"/>
      <c r="L55" s="136"/>
      <c r="M55" s="136"/>
      <c r="N55" s="136"/>
      <c r="O55" s="136"/>
      <c r="P55" s="136"/>
      <c r="Q55" s="136"/>
      <c r="R55" s="136"/>
      <c r="S55" s="136"/>
      <c r="T55" s="136"/>
      <c r="U55" s="136"/>
      <c r="V55" s="136"/>
      <c r="W55" s="136">
        <v>70290</v>
      </c>
      <c r="X55" s="136">
        <v>71062</v>
      </c>
      <c r="Y55" s="136">
        <v>71110</v>
      </c>
      <c r="Z55" s="136">
        <v>73251</v>
      </c>
      <c r="AA55" s="136">
        <v>73618</v>
      </c>
      <c r="AB55" s="136">
        <v>74237</v>
      </c>
      <c r="AC55" s="136">
        <v>74959</v>
      </c>
      <c r="AD55" s="136">
        <v>75860</v>
      </c>
      <c r="AE55" s="136">
        <v>75756</v>
      </c>
      <c r="AF55" s="136">
        <v>77003</v>
      </c>
      <c r="AG55" s="136">
        <v>77453</v>
      </c>
      <c r="AH55" s="136">
        <v>77991</v>
      </c>
      <c r="AI55" s="136">
        <v>78328</v>
      </c>
      <c r="AJ55" s="136">
        <v>79642</v>
      </c>
      <c r="AK55" s="136">
        <v>79637</v>
      </c>
      <c r="AL55" s="136">
        <v>80079</v>
      </c>
      <c r="AM55" s="136">
        <v>80526</v>
      </c>
      <c r="AN55" s="136">
        <v>80996</v>
      </c>
      <c r="AO55" s="136">
        <v>80961</v>
      </c>
      <c r="AP55" s="136">
        <v>81200</v>
      </c>
      <c r="AQ55" s="136">
        <v>81342</v>
      </c>
      <c r="AR55" s="136">
        <v>81639</v>
      </c>
      <c r="AS55" s="136">
        <v>81101</v>
      </c>
      <c r="AT55" s="136">
        <v>80436</v>
      </c>
      <c r="AU55" s="136">
        <v>79189</v>
      </c>
      <c r="AV55" s="136">
        <v>79815</v>
      </c>
      <c r="AW55" s="136">
        <v>80383</v>
      </c>
      <c r="AX55" s="136">
        <v>82746</v>
      </c>
      <c r="AY55" s="136">
        <v>84611</v>
      </c>
      <c r="AZ55" s="136">
        <v>84538</v>
      </c>
      <c r="BA55" s="136">
        <v>84574</v>
      </c>
      <c r="BB55" s="136">
        <v>85350</v>
      </c>
      <c r="BC55" s="136">
        <v>85599</v>
      </c>
      <c r="BD55" s="136">
        <v>86138</v>
      </c>
      <c r="BE55" s="136">
        <v>86350</v>
      </c>
      <c r="BF55" s="136">
        <v>86894</v>
      </c>
      <c r="BG55" s="136">
        <v>86979</v>
      </c>
      <c r="BH55" s="136">
        <v>87581</v>
      </c>
      <c r="BI55" s="136">
        <v>87961</v>
      </c>
      <c r="BJ55" s="136">
        <v>88321</v>
      </c>
      <c r="BK55" s="136">
        <v>88813</v>
      </c>
      <c r="BL55" s="136">
        <v>89360</v>
      </c>
      <c r="BM55" s="136">
        <v>89910</v>
      </c>
      <c r="BN55" s="136">
        <v>90352</v>
      </c>
      <c r="BO55" s="136">
        <v>90757</v>
      </c>
      <c r="BP55" s="136">
        <v>90998</v>
      </c>
      <c r="BQ55" s="136">
        <v>91241</v>
      </c>
      <c r="BR55" s="136">
        <v>91459</v>
      </c>
      <c r="BS55" s="136">
        <v>91543</v>
      </c>
      <c r="BT55" s="136">
        <v>91745</v>
      </c>
      <c r="BU55" s="136">
        <v>91865</v>
      </c>
      <c r="BV55" s="136">
        <v>92079</v>
      </c>
      <c r="BW55" s="136">
        <v>92212</v>
      </c>
      <c r="BX55" s="136">
        <v>92452</v>
      </c>
      <c r="BY55" s="136">
        <v>92713</v>
      </c>
      <c r="BZ55" s="136">
        <v>93098</v>
      </c>
      <c r="CA55" s="136">
        <v>93341</v>
      </c>
      <c r="CB55" s="136">
        <v>93478</v>
      </c>
      <c r="CC55" s="136">
        <v>93740</v>
      </c>
      <c r="CD55" s="136">
        <v>93951</v>
      </c>
      <c r="CE55" s="136">
        <v>94115</v>
      </c>
      <c r="CF55" s="136">
        <v>94377</v>
      </c>
      <c r="CG55" s="136">
        <v>94557</v>
      </c>
      <c r="CH55" s="136">
        <v>94732</v>
      </c>
      <c r="CI55" s="136">
        <v>94947</v>
      </c>
      <c r="CJ55" s="136">
        <v>95043</v>
      </c>
      <c r="CK55" s="136">
        <v>95167</v>
      </c>
      <c r="CL55" s="136">
        <v>95375</v>
      </c>
      <c r="CM55" s="136">
        <v>95474</v>
      </c>
      <c r="CN55" s="136">
        <v>95631</v>
      </c>
      <c r="CO55" s="136">
        <v>95800</v>
      </c>
      <c r="CP55" s="136">
        <v>95919</v>
      </c>
      <c r="CQ55" s="136">
        <v>96057</v>
      </c>
      <c r="CR55" s="136">
        <v>96133</v>
      </c>
      <c r="CS55" s="136">
        <v>96262</v>
      </c>
      <c r="CT55" s="136">
        <v>96346</v>
      </c>
      <c r="CU55" s="136">
        <v>96447</v>
      </c>
      <c r="CV55" s="136">
        <v>96528</v>
      </c>
      <c r="CW55" s="136">
        <v>96608</v>
      </c>
      <c r="CX55" s="136">
        <v>96721</v>
      </c>
      <c r="CY55" s="136">
        <v>96772</v>
      </c>
      <c r="CZ55" s="136">
        <v>96854</v>
      </c>
      <c r="DA55" s="136">
        <v>96903</v>
      </c>
      <c r="DB55" s="136">
        <v>96999</v>
      </c>
      <c r="DC55" s="136">
        <v>97059</v>
      </c>
      <c r="DD55" s="136">
        <v>97128</v>
      </c>
      <c r="DE55" s="136">
        <v>97176</v>
      </c>
      <c r="DF55" s="136">
        <v>97272</v>
      </c>
      <c r="DG55" s="136">
        <v>97330</v>
      </c>
      <c r="DH55" s="136">
        <v>97385</v>
      </c>
      <c r="DI55" s="136">
        <v>97441</v>
      </c>
      <c r="DJ55" s="136">
        <v>97522</v>
      </c>
      <c r="DK55" s="136">
        <v>97568</v>
      </c>
      <c r="DL55" s="136">
        <v>97617</v>
      </c>
      <c r="DM55" s="136">
        <v>97681</v>
      </c>
      <c r="DN55" s="136">
        <v>97744</v>
      </c>
      <c r="DO55" s="136">
        <v>97804</v>
      </c>
    </row>
    <row r="56" spans="1:119">
      <c r="A56" s="135">
        <v>54</v>
      </c>
      <c r="B56" s="136"/>
      <c r="C56" s="136"/>
      <c r="D56" s="136"/>
      <c r="E56" s="136"/>
      <c r="F56" s="136"/>
      <c r="G56" s="136"/>
      <c r="H56" s="136"/>
      <c r="I56" s="136"/>
      <c r="J56" s="136"/>
      <c r="K56" s="136"/>
      <c r="L56" s="136"/>
      <c r="M56" s="136"/>
      <c r="N56" s="136"/>
      <c r="O56" s="136"/>
      <c r="P56" s="136"/>
      <c r="Q56" s="136"/>
      <c r="R56" s="136"/>
      <c r="S56" s="136"/>
      <c r="T56" s="136"/>
      <c r="U56" s="136"/>
      <c r="V56" s="136"/>
      <c r="W56" s="136">
        <v>69591</v>
      </c>
      <c r="X56" s="136">
        <v>70368</v>
      </c>
      <c r="Y56" s="136">
        <v>70420</v>
      </c>
      <c r="Z56" s="136">
        <v>72539</v>
      </c>
      <c r="AA56" s="136">
        <v>72936</v>
      </c>
      <c r="AB56" s="136">
        <v>73544</v>
      </c>
      <c r="AC56" s="136">
        <v>74254</v>
      </c>
      <c r="AD56" s="136">
        <v>75131</v>
      </c>
      <c r="AE56" s="136">
        <v>75036</v>
      </c>
      <c r="AF56" s="136">
        <v>76272</v>
      </c>
      <c r="AG56" s="136">
        <v>76752</v>
      </c>
      <c r="AH56" s="136">
        <v>77294</v>
      </c>
      <c r="AI56" s="136">
        <v>77634</v>
      </c>
      <c r="AJ56" s="136">
        <v>78953</v>
      </c>
      <c r="AK56" s="136">
        <v>78966</v>
      </c>
      <c r="AL56" s="136">
        <v>79411</v>
      </c>
      <c r="AM56" s="136">
        <v>79851</v>
      </c>
      <c r="AN56" s="136">
        <v>80364</v>
      </c>
      <c r="AO56" s="136">
        <v>80327</v>
      </c>
      <c r="AP56" s="136">
        <v>80595</v>
      </c>
      <c r="AQ56" s="136">
        <v>80743</v>
      </c>
      <c r="AR56" s="136">
        <v>81044</v>
      </c>
      <c r="AS56" s="136">
        <v>80524</v>
      </c>
      <c r="AT56" s="136">
        <v>79865</v>
      </c>
      <c r="AU56" s="136">
        <v>78668</v>
      </c>
      <c r="AV56" s="136">
        <v>79274</v>
      </c>
      <c r="AW56" s="136">
        <v>79885</v>
      </c>
      <c r="AX56" s="136">
        <v>82241</v>
      </c>
      <c r="AY56" s="136">
        <v>84066</v>
      </c>
      <c r="AZ56" s="136">
        <v>84008</v>
      </c>
      <c r="BA56" s="136">
        <v>84051</v>
      </c>
      <c r="BB56" s="136">
        <v>84846</v>
      </c>
      <c r="BC56" s="136">
        <v>85093</v>
      </c>
      <c r="BD56" s="136">
        <v>85636</v>
      </c>
      <c r="BE56" s="136">
        <v>85862</v>
      </c>
      <c r="BF56" s="136">
        <v>86409</v>
      </c>
      <c r="BG56" s="136">
        <v>86482</v>
      </c>
      <c r="BH56" s="136">
        <v>87119</v>
      </c>
      <c r="BI56" s="136">
        <v>87502</v>
      </c>
      <c r="BJ56" s="136">
        <v>87862</v>
      </c>
      <c r="BK56" s="136">
        <v>88357</v>
      </c>
      <c r="BL56" s="136">
        <v>88917</v>
      </c>
      <c r="BM56" s="136">
        <v>89473</v>
      </c>
      <c r="BN56" s="136">
        <v>89922</v>
      </c>
      <c r="BO56" s="136">
        <v>90333</v>
      </c>
      <c r="BP56" s="136">
        <v>90582</v>
      </c>
      <c r="BQ56" s="136">
        <v>90831</v>
      </c>
      <c r="BR56" s="136">
        <v>91056</v>
      </c>
      <c r="BS56" s="136">
        <v>91148</v>
      </c>
      <c r="BT56" s="136">
        <v>91356</v>
      </c>
      <c r="BU56" s="136">
        <v>91484</v>
      </c>
      <c r="BV56" s="136">
        <v>91704</v>
      </c>
      <c r="BW56" s="136">
        <v>91843</v>
      </c>
      <c r="BX56" s="136">
        <v>92090</v>
      </c>
      <c r="BY56" s="136">
        <v>92357</v>
      </c>
      <c r="BZ56" s="136">
        <v>92747</v>
      </c>
      <c r="CA56" s="136">
        <v>92997</v>
      </c>
      <c r="CB56" s="136">
        <v>93140</v>
      </c>
      <c r="CC56" s="136">
        <v>93407</v>
      </c>
      <c r="CD56" s="136">
        <v>93624</v>
      </c>
      <c r="CE56" s="136">
        <v>93794</v>
      </c>
      <c r="CF56" s="136">
        <v>94061</v>
      </c>
      <c r="CG56" s="136">
        <v>94246</v>
      </c>
      <c r="CH56" s="136">
        <v>94426</v>
      </c>
      <c r="CI56" s="136">
        <v>94646</v>
      </c>
      <c r="CJ56" s="136">
        <v>94748</v>
      </c>
      <c r="CK56" s="136">
        <v>94878</v>
      </c>
      <c r="CL56" s="136">
        <v>95091</v>
      </c>
      <c r="CM56" s="136">
        <v>95195</v>
      </c>
      <c r="CN56" s="136">
        <v>95356</v>
      </c>
      <c r="CO56" s="136">
        <v>95530</v>
      </c>
      <c r="CP56" s="136">
        <v>95654</v>
      </c>
      <c r="CQ56" s="136">
        <v>95797</v>
      </c>
      <c r="CR56" s="136">
        <v>95877</v>
      </c>
      <c r="CS56" s="136">
        <v>96011</v>
      </c>
      <c r="CT56" s="136">
        <v>96100</v>
      </c>
      <c r="CU56" s="136">
        <v>96206</v>
      </c>
      <c r="CV56" s="136">
        <v>96291</v>
      </c>
      <c r="CW56" s="136">
        <v>96376</v>
      </c>
      <c r="CX56" s="136">
        <v>96493</v>
      </c>
      <c r="CY56" s="136">
        <v>96547</v>
      </c>
      <c r="CZ56" s="136">
        <v>96634</v>
      </c>
      <c r="DA56" s="136">
        <v>96687</v>
      </c>
      <c r="DB56" s="136">
        <v>96787</v>
      </c>
      <c r="DC56" s="136">
        <v>96851</v>
      </c>
      <c r="DD56" s="136">
        <v>96924</v>
      </c>
      <c r="DE56" s="136">
        <v>96976</v>
      </c>
      <c r="DF56" s="136">
        <v>97075</v>
      </c>
      <c r="DG56" s="136">
        <v>97137</v>
      </c>
      <c r="DH56" s="136">
        <v>97196</v>
      </c>
      <c r="DI56" s="136">
        <v>97255</v>
      </c>
      <c r="DJ56" s="136">
        <v>97340</v>
      </c>
      <c r="DK56" s="136">
        <v>97389</v>
      </c>
      <c r="DL56" s="136">
        <v>97441</v>
      </c>
      <c r="DM56" s="136">
        <v>97509</v>
      </c>
      <c r="DN56" s="136">
        <v>97574</v>
      </c>
      <c r="DO56" s="136">
        <v>97638</v>
      </c>
    </row>
    <row r="57" spans="1:119">
      <c r="A57" s="135">
        <v>55</v>
      </c>
      <c r="B57" s="136"/>
      <c r="C57" s="136"/>
      <c r="D57" s="136"/>
      <c r="E57" s="136"/>
      <c r="F57" s="136"/>
      <c r="G57" s="136"/>
      <c r="H57" s="136"/>
      <c r="I57" s="136"/>
      <c r="J57" s="136"/>
      <c r="K57" s="136"/>
      <c r="L57" s="136"/>
      <c r="M57" s="136"/>
      <c r="N57" s="136"/>
      <c r="O57" s="136"/>
      <c r="P57" s="136"/>
      <c r="Q57" s="136"/>
      <c r="R57" s="136"/>
      <c r="S57" s="136"/>
      <c r="T57" s="136"/>
      <c r="U57" s="136"/>
      <c r="V57" s="136"/>
      <c r="W57" s="136">
        <v>68835</v>
      </c>
      <c r="X57" s="136">
        <v>69613</v>
      </c>
      <c r="Y57" s="136">
        <v>69694</v>
      </c>
      <c r="Z57" s="136">
        <v>71784</v>
      </c>
      <c r="AA57" s="136">
        <v>72183</v>
      </c>
      <c r="AB57" s="136">
        <v>72782</v>
      </c>
      <c r="AC57" s="136">
        <v>73499</v>
      </c>
      <c r="AD57" s="136">
        <v>74354</v>
      </c>
      <c r="AE57" s="136">
        <v>74260</v>
      </c>
      <c r="AF57" s="136">
        <v>75481</v>
      </c>
      <c r="AG57" s="136">
        <v>75974</v>
      </c>
      <c r="AH57" s="136">
        <v>76538</v>
      </c>
      <c r="AI57" s="136">
        <v>76869</v>
      </c>
      <c r="AJ57" s="136">
        <v>78236</v>
      </c>
      <c r="AK57" s="136">
        <v>78223</v>
      </c>
      <c r="AL57" s="136">
        <v>78713</v>
      </c>
      <c r="AM57" s="136">
        <v>79150</v>
      </c>
      <c r="AN57" s="136">
        <v>79669</v>
      </c>
      <c r="AO57" s="136">
        <v>79667</v>
      </c>
      <c r="AP57" s="136">
        <v>79925</v>
      </c>
      <c r="AQ57" s="136">
        <v>80091</v>
      </c>
      <c r="AR57" s="136">
        <v>80440</v>
      </c>
      <c r="AS57" s="136">
        <v>79925</v>
      </c>
      <c r="AT57" s="136">
        <v>79276</v>
      </c>
      <c r="AU57" s="136">
        <v>78079</v>
      </c>
      <c r="AV57" s="136">
        <v>78710</v>
      </c>
      <c r="AW57" s="136">
        <v>79336</v>
      </c>
      <c r="AX57" s="136">
        <v>81670</v>
      </c>
      <c r="AY57" s="136">
        <v>83507</v>
      </c>
      <c r="AZ57" s="136">
        <v>83438</v>
      </c>
      <c r="BA57" s="136">
        <v>83490</v>
      </c>
      <c r="BB57" s="136">
        <v>84307</v>
      </c>
      <c r="BC57" s="136">
        <v>84540</v>
      </c>
      <c r="BD57" s="136">
        <v>85089</v>
      </c>
      <c r="BE57" s="136">
        <v>85314</v>
      </c>
      <c r="BF57" s="136">
        <v>85864</v>
      </c>
      <c r="BG57" s="136">
        <v>85963</v>
      </c>
      <c r="BH57" s="136">
        <v>86589</v>
      </c>
      <c r="BI57" s="136">
        <v>87007</v>
      </c>
      <c r="BJ57" s="136">
        <v>87356</v>
      </c>
      <c r="BK57" s="136">
        <v>87868</v>
      </c>
      <c r="BL57" s="136">
        <v>88434</v>
      </c>
      <c r="BM57" s="136">
        <v>88997</v>
      </c>
      <c r="BN57" s="136">
        <v>89452</v>
      </c>
      <c r="BO57" s="136">
        <v>89870</v>
      </c>
      <c r="BP57" s="136">
        <v>90127</v>
      </c>
      <c r="BQ57" s="136">
        <v>90384</v>
      </c>
      <c r="BR57" s="136">
        <v>90616</v>
      </c>
      <c r="BS57" s="136">
        <v>90716</v>
      </c>
      <c r="BT57" s="136">
        <v>90932</v>
      </c>
      <c r="BU57" s="136">
        <v>91067</v>
      </c>
      <c r="BV57" s="136">
        <v>91294</v>
      </c>
      <c r="BW57" s="136">
        <v>91441</v>
      </c>
      <c r="BX57" s="136">
        <v>91695</v>
      </c>
      <c r="BY57" s="136">
        <v>91968</v>
      </c>
      <c r="BZ57" s="136">
        <v>92364</v>
      </c>
      <c r="CA57" s="136">
        <v>92620</v>
      </c>
      <c r="CB57" s="136">
        <v>92770</v>
      </c>
      <c r="CC57" s="136">
        <v>93043</v>
      </c>
      <c r="CD57" s="136">
        <v>93266</v>
      </c>
      <c r="CE57" s="136">
        <v>93442</v>
      </c>
      <c r="CF57" s="136">
        <v>93715</v>
      </c>
      <c r="CG57" s="136">
        <v>93906</v>
      </c>
      <c r="CH57" s="136">
        <v>94092</v>
      </c>
      <c r="CI57" s="136">
        <v>94318</v>
      </c>
      <c r="CJ57" s="136">
        <v>94426</v>
      </c>
      <c r="CK57" s="136">
        <v>94561</v>
      </c>
      <c r="CL57" s="136">
        <v>94780</v>
      </c>
      <c r="CM57" s="136">
        <v>94889</v>
      </c>
      <c r="CN57" s="136">
        <v>95056</v>
      </c>
      <c r="CO57" s="136">
        <v>95235</v>
      </c>
      <c r="CP57" s="136">
        <v>95364</v>
      </c>
      <c r="CQ57" s="136">
        <v>95512</v>
      </c>
      <c r="CR57" s="136">
        <v>95598</v>
      </c>
      <c r="CS57" s="136">
        <v>95737</v>
      </c>
      <c r="CT57" s="136">
        <v>95831</v>
      </c>
      <c r="CU57" s="136">
        <v>95941</v>
      </c>
      <c r="CV57" s="136">
        <v>96032</v>
      </c>
      <c r="CW57" s="136">
        <v>96121</v>
      </c>
      <c r="CX57" s="136">
        <v>96242</v>
      </c>
      <c r="CY57" s="136">
        <v>96302</v>
      </c>
      <c r="CZ57" s="136">
        <v>96393</v>
      </c>
      <c r="DA57" s="136">
        <v>96451</v>
      </c>
      <c r="DB57" s="136">
        <v>96555</v>
      </c>
      <c r="DC57" s="136">
        <v>96622</v>
      </c>
      <c r="DD57" s="136">
        <v>96700</v>
      </c>
      <c r="DE57" s="136">
        <v>96756</v>
      </c>
      <c r="DF57" s="136">
        <v>96859</v>
      </c>
      <c r="DG57" s="136">
        <v>96925</v>
      </c>
      <c r="DH57" s="136">
        <v>96988</v>
      </c>
      <c r="DI57" s="136">
        <v>97051</v>
      </c>
      <c r="DJ57" s="136">
        <v>97140</v>
      </c>
      <c r="DK57" s="136">
        <v>97192</v>
      </c>
      <c r="DL57" s="136">
        <v>97249</v>
      </c>
      <c r="DM57" s="136">
        <v>97320</v>
      </c>
      <c r="DN57" s="136">
        <v>97389</v>
      </c>
      <c r="DO57" s="136">
        <v>97456</v>
      </c>
    </row>
    <row r="58" spans="1:119">
      <c r="A58" s="135">
        <v>56</v>
      </c>
      <c r="B58" s="136"/>
      <c r="C58" s="136"/>
      <c r="D58" s="136"/>
      <c r="E58" s="136"/>
      <c r="F58" s="136"/>
      <c r="G58" s="136"/>
      <c r="H58" s="136"/>
      <c r="I58" s="136"/>
      <c r="J58" s="136"/>
      <c r="K58" s="136"/>
      <c r="L58" s="136"/>
      <c r="M58" s="136"/>
      <c r="N58" s="136"/>
      <c r="O58" s="136"/>
      <c r="P58" s="136"/>
      <c r="Q58" s="136"/>
      <c r="R58" s="136"/>
      <c r="S58" s="136"/>
      <c r="T58" s="136"/>
      <c r="U58" s="136"/>
      <c r="V58" s="136"/>
      <c r="W58" s="136">
        <v>68034</v>
      </c>
      <c r="X58" s="136">
        <v>68818</v>
      </c>
      <c r="Y58" s="136">
        <v>68902</v>
      </c>
      <c r="Z58" s="136">
        <v>70969</v>
      </c>
      <c r="AA58" s="136">
        <v>71385</v>
      </c>
      <c r="AB58" s="136">
        <v>71973</v>
      </c>
      <c r="AC58" s="136">
        <v>72677</v>
      </c>
      <c r="AD58" s="136">
        <v>73517</v>
      </c>
      <c r="AE58" s="136">
        <v>73410</v>
      </c>
      <c r="AF58" s="136">
        <v>74659</v>
      </c>
      <c r="AG58" s="136">
        <v>75147</v>
      </c>
      <c r="AH58" s="136">
        <v>75727</v>
      </c>
      <c r="AI58" s="136">
        <v>76074</v>
      </c>
      <c r="AJ58" s="136">
        <v>77428</v>
      </c>
      <c r="AK58" s="136">
        <v>77438</v>
      </c>
      <c r="AL58" s="136">
        <v>77954</v>
      </c>
      <c r="AM58" s="136">
        <v>78418</v>
      </c>
      <c r="AN58" s="136">
        <v>78951</v>
      </c>
      <c r="AO58" s="136">
        <v>78960</v>
      </c>
      <c r="AP58" s="136">
        <v>79224</v>
      </c>
      <c r="AQ58" s="136">
        <v>79424</v>
      </c>
      <c r="AR58" s="136">
        <v>79799</v>
      </c>
      <c r="AS58" s="136">
        <v>79291</v>
      </c>
      <c r="AT58" s="136">
        <v>78654</v>
      </c>
      <c r="AU58" s="136">
        <v>77467</v>
      </c>
      <c r="AV58" s="136">
        <v>78104</v>
      </c>
      <c r="AW58" s="136">
        <v>78731</v>
      </c>
      <c r="AX58" s="136">
        <v>81092</v>
      </c>
      <c r="AY58" s="136">
        <v>82887</v>
      </c>
      <c r="AZ58" s="136">
        <v>82848</v>
      </c>
      <c r="BA58" s="136">
        <v>82894</v>
      </c>
      <c r="BB58" s="136">
        <v>83733</v>
      </c>
      <c r="BC58" s="136">
        <v>83960</v>
      </c>
      <c r="BD58" s="136">
        <v>84510</v>
      </c>
      <c r="BE58" s="136">
        <v>84731</v>
      </c>
      <c r="BF58" s="136">
        <v>85294</v>
      </c>
      <c r="BG58" s="136">
        <v>85401</v>
      </c>
      <c r="BH58" s="136">
        <v>86063</v>
      </c>
      <c r="BI58" s="136">
        <v>86452</v>
      </c>
      <c r="BJ58" s="136">
        <v>86816</v>
      </c>
      <c r="BK58" s="136">
        <v>87335</v>
      </c>
      <c r="BL58" s="136">
        <v>87909</v>
      </c>
      <c r="BM58" s="136">
        <v>88478</v>
      </c>
      <c r="BN58" s="136">
        <v>88941</v>
      </c>
      <c r="BO58" s="136">
        <v>89366</v>
      </c>
      <c r="BP58" s="136">
        <v>89631</v>
      </c>
      <c r="BQ58" s="136">
        <v>89897</v>
      </c>
      <c r="BR58" s="136">
        <v>90137</v>
      </c>
      <c r="BS58" s="136">
        <v>90246</v>
      </c>
      <c r="BT58" s="136">
        <v>90470</v>
      </c>
      <c r="BU58" s="136">
        <v>90613</v>
      </c>
      <c r="BV58" s="136">
        <v>90848</v>
      </c>
      <c r="BW58" s="136">
        <v>91003</v>
      </c>
      <c r="BX58" s="136">
        <v>91264</v>
      </c>
      <c r="BY58" s="136">
        <v>91545</v>
      </c>
      <c r="BZ58" s="136">
        <v>91947</v>
      </c>
      <c r="CA58" s="136">
        <v>92209</v>
      </c>
      <c r="CB58" s="136">
        <v>92366</v>
      </c>
      <c r="CC58" s="136">
        <v>92647</v>
      </c>
      <c r="CD58" s="136">
        <v>92875</v>
      </c>
      <c r="CE58" s="136">
        <v>93059</v>
      </c>
      <c r="CF58" s="136">
        <v>93338</v>
      </c>
      <c r="CG58" s="136">
        <v>93535</v>
      </c>
      <c r="CH58" s="136">
        <v>93728</v>
      </c>
      <c r="CI58" s="136">
        <v>93960</v>
      </c>
      <c r="CJ58" s="136">
        <v>94074</v>
      </c>
      <c r="CK58" s="136">
        <v>94216</v>
      </c>
      <c r="CL58" s="136">
        <v>94440</v>
      </c>
      <c r="CM58" s="136">
        <v>94555</v>
      </c>
      <c r="CN58" s="136">
        <v>94728</v>
      </c>
      <c r="CO58" s="136">
        <v>94913</v>
      </c>
      <c r="CP58" s="136">
        <v>95048</v>
      </c>
      <c r="CQ58" s="136">
        <v>95202</v>
      </c>
      <c r="CR58" s="136">
        <v>95293</v>
      </c>
      <c r="CS58" s="136">
        <v>95437</v>
      </c>
      <c r="CT58" s="136">
        <v>95536</v>
      </c>
      <c r="CU58" s="136">
        <v>95652</v>
      </c>
      <c r="CV58" s="136">
        <v>95748</v>
      </c>
      <c r="CW58" s="136">
        <v>95842</v>
      </c>
      <c r="CX58" s="136">
        <v>95969</v>
      </c>
      <c r="CY58" s="136">
        <v>96033</v>
      </c>
      <c r="CZ58" s="136">
        <v>96130</v>
      </c>
      <c r="DA58" s="136">
        <v>96192</v>
      </c>
      <c r="DB58" s="136">
        <v>96301</v>
      </c>
      <c r="DC58" s="136">
        <v>96373</v>
      </c>
      <c r="DD58" s="136">
        <v>96456</v>
      </c>
      <c r="DE58" s="136">
        <v>96516</v>
      </c>
      <c r="DF58" s="136">
        <v>96623</v>
      </c>
      <c r="DG58" s="136">
        <v>96694</v>
      </c>
      <c r="DH58" s="136">
        <v>96761</v>
      </c>
      <c r="DI58" s="136">
        <v>96828</v>
      </c>
      <c r="DJ58" s="136">
        <v>96921</v>
      </c>
      <c r="DK58" s="136">
        <v>96978</v>
      </c>
      <c r="DL58" s="136">
        <v>97038</v>
      </c>
      <c r="DM58" s="136">
        <v>97113</v>
      </c>
      <c r="DN58" s="136">
        <v>97186</v>
      </c>
      <c r="DO58" s="136">
        <v>97256</v>
      </c>
    </row>
    <row r="59" spans="1:119">
      <c r="A59" s="135">
        <v>57</v>
      </c>
      <c r="B59" s="136"/>
      <c r="C59" s="136"/>
      <c r="D59" s="136"/>
      <c r="E59" s="136"/>
      <c r="F59" s="136"/>
      <c r="G59" s="136"/>
      <c r="H59" s="136"/>
      <c r="I59" s="136"/>
      <c r="J59" s="136"/>
      <c r="K59" s="136"/>
      <c r="L59" s="136"/>
      <c r="M59" s="136"/>
      <c r="N59" s="136"/>
      <c r="O59" s="136"/>
      <c r="P59" s="136"/>
      <c r="Q59" s="136"/>
      <c r="R59" s="136"/>
      <c r="S59" s="136"/>
      <c r="T59" s="136"/>
      <c r="U59" s="136"/>
      <c r="V59" s="136"/>
      <c r="W59" s="136">
        <v>67177</v>
      </c>
      <c r="X59" s="136">
        <v>67970</v>
      </c>
      <c r="Y59" s="136">
        <v>68031</v>
      </c>
      <c r="Z59" s="136">
        <v>70088</v>
      </c>
      <c r="AA59" s="136">
        <v>70524</v>
      </c>
      <c r="AB59" s="136">
        <v>71097</v>
      </c>
      <c r="AC59" s="136">
        <v>71815</v>
      </c>
      <c r="AD59" s="136">
        <v>72610</v>
      </c>
      <c r="AE59" s="136">
        <v>72496</v>
      </c>
      <c r="AF59" s="136">
        <v>73766</v>
      </c>
      <c r="AG59" s="136">
        <v>74274</v>
      </c>
      <c r="AH59" s="136">
        <v>74868</v>
      </c>
      <c r="AI59" s="136">
        <v>75203</v>
      </c>
      <c r="AJ59" s="136">
        <v>76555</v>
      </c>
      <c r="AK59" s="136">
        <v>76610</v>
      </c>
      <c r="AL59" s="136">
        <v>77141</v>
      </c>
      <c r="AM59" s="136">
        <v>77643</v>
      </c>
      <c r="AN59" s="136">
        <v>78185</v>
      </c>
      <c r="AO59" s="136">
        <v>78181</v>
      </c>
      <c r="AP59" s="136">
        <v>78495</v>
      </c>
      <c r="AQ59" s="136">
        <v>78730</v>
      </c>
      <c r="AR59" s="136">
        <v>79127</v>
      </c>
      <c r="AS59" s="136">
        <v>78610</v>
      </c>
      <c r="AT59" s="136">
        <v>78008</v>
      </c>
      <c r="AU59" s="136">
        <v>76844</v>
      </c>
      <c r="AV59" s="136">
        <v>77463</v>
      </c>
      <c r="AW59" s="136">
        <v>78123</v>
      </c>
      <c r="AX59" s="136">
        <v>80465</v>
      </c>
      <c r="AY59" s="136">
        <v>82245</v>
      </c>
      <c r="AZ59" s="136">
        <v>82218</v>
      </c>
      <c r="BA59" s="136">
        <v>82273</v>
      </c>
      <c r="BB59" s="136">
        <v>83100</v>
      </c>
      <c r="BC59" s="136">
        <v>83336</v>
      </c>
      <c r="BD59" s="136">
        <v>83889</v>
      </c>
      <c r="BE59" s="136">
        <v>84134</v>
      </c>
      <c r="BF59" s="136">
        <v>84684</v>
      </c>
      <c r="BG59" s="136">
        <v>84809</v>
      </c>
      <c r="BH59" s="136">
        <v>85473</v>
      </c>
      <c r="BI59" s="136">
        <v>85858</v>
      </c>
      <c r="BJ59" s="136">
        <v>86231</v>
      </c>
      <c r="BK59" s="136">
        <v>86757</v>
      </c>
      <c r="BL59" s="136">
        <v>87338</v>
      </c>
      <c r="BM59" s="136">
        <v>87915</v>
      </c>
      <c r="BN59" s="136">
        <v>88386</v>
      </c>
      <c r="BO59" s="136">
        <v>88819</v>
      </c>
      <c r="BP59" s="136">
        <v>89093</v>
      </c>
      <c r="BQ59" s="136">
        <v>89368</v>
      </c>
      <c r="BR59" s="136">
        <v>89617</v>
      </c>
      <c r="BS59" s="136">
        <v>89735</v>
      </c>
      <c r="BT59" s="136">
        <v>89968</v>
      </c>
      <c r="BU59" s="136">
        <v>90120</v>
      </c>
      <c r="BV59" s="136">
        <v>90364</v>
      </c>
      <c r="BW59" s="136">
        <v>90527</v>
      </c>
      <c r="BX59" s="136">
        <v>90796</v>
      </c>
      <c r="BY59" s="136">
        <v>91084</v>
      </c>
      <c r="BZ59" s="136">
        <v>91493</v>
      </c>
      <c r="CA59" s="136">
        <v>91763</v>
      </c>
      <c r="CB59" s="136">
        <v>91928</v>
      </c>
      <c r="CC59" s="136">
        <v>92215</v>
      </c>
      <c r="CD59" s="136">
        <v>92451</v>
      </c>
      <c r="CE59" s="136">
        <v>92642</v>
      </c>
      <c r="CF59" s="136">
        <v>92928</v>
      </c>
      <c r="CG59" s="136">
        <v>93132</v>
      </c>
      <c r="CH59" s="136">
        <v>93332</v>
      </c>
      <c r="CI59" s="136">
        <v>93570</v>
      </c>
      <c r="CJ59" s="136">
        <v>93691</v>
      </c>
      <c r="CK59" s="136">
        <v>93840</v>
      </c>
      <c r="CL59" s="136">
        <v>94071</v>
      </c>
      <c r="CM59" s="136">
        <v>94193</v>
      </c>
      <c r="CN59" s="136">
        <v>94372</v>
      </c>
      <c r="CO59" s="136">
        <v>94563</v>
      </c>
      <c r="CP59" s="136">
        <v>94704</v>
      </c>
      <c r="CQ59" s="136">
        <v>94864</v>
      </c>
      <c r="CR59" s="136">
        <v>94961</v>
      </c>
      <c r="CS59" s="136">
        <v>95111</v>
      </c>
      <c r="CT59" s="136">
        <v>95216</v>
      </c>
      <c r="CU59" s="136">
        <v>95338</v>
      </c>
      <c r="CV59" s="136">
        <v>95440</v>
      </c>
      <c r="CW59" s="136">
        <v>95539</v>
      </c>
      <c r="CX59" s="136">
        <v>95671</v>
      </c>
      <c r="CY59" s="136">
        <v>95741</v>
      </c>
      <c r="CZ59" s="136">
        <v>95843</v>
      </c>
      <c r="DA59" s="136">
        <v>95911</v>
      </c>
      <c r="DB59" s="136">
        <v>96024</v>
      </c>
      <c r="DC59" s="136">
        <v>96102</v>
      </c>
      <c r="DD59" s="136">
        <v>96189</v>
      </c>
      <c r="DE59" s="136">
        <v>96255</v>
      </c>
      <c r="DF59" s="136">
        <v>96367</v>
      </c>
      <c r="DG59" s="136">
        <v>96442</v>
      </c>
      <c r="DH59" s="136">
        <v>96514</v>
      </c>
      <c r="DI59" s="136">
        <v>96586</v>
      </c>
      <c r="DJ59" s="136">
        <v>96683</v>
      </c>
      <c r="DK59" s="136">
        <v>96744</v>
      </c>
      <c r="DL59" s="136">
        <v>96809</v>
      </c>
      <c r="DM59" s="136">
        <v>96888</v>
      </c>
      <c r="DN59" s="136">
        <v>96965</v>
      </c>
      <c r="DO59" s="136">
        <v>97040</v>
      </c>
    </row>
    <row r="60" spans="1:119">
      <c r="A60" s="135">
        <v>58</v>
      </c>
      <c r="B60" s="136"/>
      <c r="C60" s="136"/>
      <c r="D60" s="136"/>
      <c r="E60" s="136"/>
      <c r="F60" s="136"/>
      <c r="G60" s="136"/>
      <c r="H60" s="136"/>
      <c r="I60" s="136"/>
      <c r="J60" s="136"/>
      <c r="K60" s="136"/>
      <c r="L60" s="136"/>
      <c r="M60" s="136"/>
      <c r="N60" s="136"/>
      <c r="O60" s="136"/>
      <c r="P60" s="136"/>
      <c r="Q60" s="136"/>
      <c r="R60" s="136"/>
      <c r="S60" s="136"/>
      <c r="T60" s="136"/>
      <c r="U60" s="136"/>
      <c r="V60" s="136"/>
      <c r="W60" s="136">
        <v>66236</v>
      </c>
      <c r="X60" s="136">
        <v>67041</v>
      </c>
      <c r="Y60" s="136">
        <v>67070</v>
      </c>
      <c r="Z60" s="136">
        <v>69170</v>
      </c>
      <c r="AA60" s="136">
        <v>69587</v>
      </c>
      <c r="AB60" s="136">
        <v>70177</v>
      </c>
      <c r="AC60" s="136">
        <v>70890</v>
      </c>
      <c r="AD60" s="136">
        <v>71666</v>
      </c>
      <c r="AE60" s="136">
        <v>71552</v>
      </c>
      <c r="AF60" s="136">
        <v>72805</v>
      </c>
      <c r="AG60" s="136">
        <v>73348</v>
      </c>
      <c r="AH60" s="136">
        <v>73925</v>
      </c>
      <c r="AI60" s="136">
        <v>74271</v>
      </c>
      <c r="AJ60" s="136">
        <v>75637</v>
      </c>
      <c r="AK60" s="136">
        <v>75726</v>
      </c>
      <c r="AL60" s="136">
        <v>76267</v>
      </c>
      <c r="AM60" s="136">
        <v>76799</v>
      </c>
      <c r="AN60" s="136">
        <v>77353</v>
      </c>
      <c r="AO60" s="136">
        <v>77386</v>
      </c>
      <c r="AP60" s="136">
        <v>77722</v>
      </c>
      <c r="AQ60" s="136">
        <v>78000</v>
      </c>
      <c r="AR60" s="136">
        <v>78401</v>
      </c>
      <c r="AS60" s="136">
        <v>77891</v>
      </c>
      <c r="AT60" s="136">
        <v>77305</v>
      </c>
      <c r="AU60" s="136">
        <v>76158</v>
      </c>
      <c r="AV60" s="136">
        <v>76781</v>
      </c>
      <c r="AW60" s="136">
        <v>77466</v>
      </c>
      <c r="AX60" s="136">
        <v>79802</v>
      </c>
      <c r="AY60" s="136">
        <v>81620</v>
      </c>
      <c r="AZ60" s="136">
        <v>81556</v>
      </c>
      <c r="BA60" s="136">
        <v>81624</v>
      </c>
      <c r="BB60" s="136">
        <v>82422</v>
      </c>
      <c r="BC60" s="136">
        <v>82652</v>
      </c>
      <c r="BD60" s="136">
        <v>83222</v>
      </c>
      <c r="BE60" s="136">
        <v>83452</v>
      </c>
      <c r="BF60" s="136">
        <v>84041</v>
      </c>
      <c r="BG60" s="136">
        <v>84145</v>
      </c>
      <c r="BH60" s="136">
        <v>84821</v>
      </c>
      <c r="BI60" s="136">
        <v>85215</v>
      </c>
      <c r="BJ60" s="136">
        <v>85598</v>
      </c>
      <c r="BK60" s="136">
        <v>86133</v>
      </c>
      <c r="BL60" s="136">
        <v>86722</v>
      </c>
      <c r="BM60" s="136">
        <v>87307</v>
      </c>
      <c r="BN60" s="136">
        <v>87786</v>
      </c>
      <c r="BO60" s="136">
        <v>88229</v>
      </c>
      <c r="BP60" s="136">
        <v>88512</v>
      </c>
      <c r="BQ60" s="136">
        <v>88796</v>
      </c>
      <c r="BR60" s="136">
        <v>89055</v>
      </c>
      <c r="BS60" s="136">
        <v>89183</v>
      </c>
      <c r="BT60" s="136">
        <v>89425</v>
      </c>
      <c r="BU60" s="136">
        <v>89587</v>
      </c>
      <c r="BV60" s="136">
        <v>89839</v>
      </c>
      <c r="BW60" s="136">
        <v>90012</v>
      </c>
      <c r="BX60" s="136">
        <v>90289</v>
      </c>
      <c r="BY60" s="136">
        <v>90585</v>
      </c>
      <c r="BZ60" s="136">
        <v>91002</v>
      </c>
      <c r="CA60" s="136">
        <v>91280</v>
      </c>
      <c r="CB60" s="136">
        <v>91453</v>
      </c>
      <c r="CC60" s="136">
        <v>91748</v>
      </c>
      <c r="CD60" s="136">
        <v>91992</v>
      </c>
      <c r="CE60" s="136">
        <v>92191</v>
      </c>
      <c r="CF60" s="136">
        <v>92484</v>
      </c>
      <c r="CG60" s="136">
        <v>92696</v>
      </c>
      <c r="CH60" s="136">
        <v>92903</v>
      </c>
      <c r="CI60" s="136">
        <v>93149</v>
      </c>
      <c r="CJ60" s="136">
        <v>93277</v>
      </c>
      <c r="CK60" s="136">
        <v>93433</v>
      </c>
      <c r="CL60" s="136">
        <v>93671</v>
      </c>
      <c r="CM60" s="136">
        <v>93800</v>
      </c>
      <c r="CN60" s="136">
        <v>93986</v>
      </c>
      <c r="CO60" s="136">
        <v>94184</v>
      </c>
      <c r="CP60" s="136">
        <v>94332</v>
      </c>
      <c r="CQ60" s="136">
        <v>94498</v>
      </c>
      <c r="CR60" s="136">
        <v>94602</v>
      </c>
      <c r="CS60" s="136">
        <v>94758</v>
      </c>
      <c r="CT60" s="136">
        <v>94870</v>
      </c>
      <c r="CU60" s="136">
        <v>94998</v>
      </c>
      <c r="CV60" s="136">
        <v>95105</v>
      </c>
      <c r="CW60" s="136">
        <v>95211</v>
      </c>
      <c r="CX60" s="136">
        <v>95349</v>
      </c>
      <c r="CY60" s="136">
        <v>95425</v>
      </c>
      <c r="CZ60" s="136">
        <v>95532</v>
      </c>
      <c r="DA60" s="136">
        <v>95606</v>
      </c>
      <c r="DB60" s="136">
        <v>95725</v>
      </c>
      <c r="DC60" s="136">
        <v>95808</v>
      </c>
      <c r="DD60" s="136">
        <v>95901</v>
      </c>
      <c r="DE60" s="136">
        <v>95972</v>
      </c>
      <c r="DF60" s="136">
        <v>96089</v>
      </c>
      <c r="DG60" s="136">
        <v>96169</v>
      </c>
      <c r="DH60" s="136">
        <v>96246</v>
      </c>
      <c r="DI60" s="136">
        <v>96323</v>
      </c>
      <c r="DJ60" s="136">
        <v>96425</v>
      </c>
      <c r="DK60" s="136">
        <v>96491</v>
      </c>
      <c r="DL60" s="136">
        <v>96560</v>
      </c>
      <c r="DM60" s="136">
        <v>96644</v>
      </c>
      <c r="DN60" s="136">
        <v>96725</v>
      </c>
      <c r="DO60" s="136">
        <v>96805</v>
      </c>
    </row>
    <row r="61" spans="1:119">
      <c r="A61" s="135">
        <v>59</v>
      </c>
      <c r="B61" s="136"/>
      <c r="C61" s="136"/>
      <c r="D61" s="136"/>
      <c r="E61" s="136"/>
      <c r="F61" s="136"/>
      <c r="G61" s="136"/>
      <c r="H61" s="136"/>
      <c r="I61" s="136"/>
      <c r="J61" s="136"/>
      <c r="K61" s="136"/>
      <c r="L61" s="136"/>
      <c r="M61" s="136"/>
      <c r="N61" s="136"/>
      <c r="O61" s="136"/>
      <c r="P61" s="136"/>
      <c r="Q61" s="136"/>
      <c r="R61" s="136"/>
      <c r="S61" s="136"/>
      <c r="T61" s="136"/>
      <c r="U61" s="136"/>
      <c r="V61" s="136"/>
      <c r="W61" s="136">
        <v>65227</v>
      </c>
      <c r="X61" s="136">
        <v>66033</v>
      </c>
      <c r="Y61" s="136">
        <v>66057</v>
      </c>
      <c r="Z61" s="136">
        <v>68161</v>
      </c>
      <c r="AA61" s="136">
        <v>68604</v>
      </c>
      <c r="AB61" s="136">
        <v>69187</v>
      </c>
      <c r="AC61" s="136">
        <v>69903</v>
      </c>
      <c r="AD61" s="136">
        <v>70641</v>
      </c>
      <c r="AE61" s="136">
        <v>70573</v>
      </c>
      <c r="AF61" s="136">
        <v>71809</v>
      </c>
      <c r="AG61" s="136">
        <v>72348</v>
      </c>
      <c r="AH61" s="136">
        <v>72934</v>
      </c>
      <c r="AI61" s="136">
        <v>73286</v>
      </c>
      <c r="AJ61" s="136">
        <v>74652</v>
      </c>
      <c r="AK61" s="136">
        <v>74779</v>
      </c>
      <c r="AL61" s="136">
        <v>75353</v>
      </c>
      <c r="AM61" s="136">
        <v>75921</v>
      </c>
      <c r="AN61" s="136">
        <v>76504</v>
      </c>
      <c r="AO61" s="136">
        <v>76565</v>
      </c>
      <c r="AP61" s="136">
        <v>76933</v>
      </c>
      <c r="AQ61" s="136">
        <v>77215</v>
      </c>
      <c r="AR61" s="136">
        <v>77640</v>
      </c>
      <c r="AS61" s="136">
        <v>77130</v>
      </c>
      <c r="AT61" s="136">
        <v>76548</v>
      </c>
      <c r="AU61" s="136">
        <v>75430</v>
      </c>
      <c r="AV61" s="136">
        <v>76064</v>
      </c>
      <c r="AW61" s="136">
        <v>76759</v>
      </c>
      <c r="AX61" s="136">
        <v>79079</v>
      </c>
      <c r="AY61" s="136">
        <v>80901</v>
      </c>
      <c r="AZ61" s="136">
        <v>80839</v>
      </c>
      <c r="BA61" s="136">
        <v>80913</v>
      </c>
      <c r="BB61" s="136">
        <v>81675</v>
      </c>
      <c r="BC61" s="136">
        <v>81931</v>
      </c>
      <c r="BD61" s="136">
        <v>82486</v>
      </c>
      <c r="BE61" s="136">
        <v>82744</v>
      </c>
      <c r="BF61" s="136">
        <v>83332</v>
      </c>
      <c r="BG61" s="136">
        <v>83436</v>
      </c>
      <c r="BH61" s="136">
        <v>84120</v>
      </c>
      <c r="BI61" s="136">
        <v>84525</v>
      </c>
      <c r="BJ61" s="136">
        <v>84918</v>
      </c>
      <c r="BK61" s="136">
        <v>85462</v>
      </c>
      <c r="BL61" s="136">
        <v>86060</v>
      </c>
      <c r="BM61" s="136">
        <v>86653</v>
      </c>
      <c r="BN61" s="136">
        <v>87141</v>
      </c>
      <c r="BO61" s="136">
        <v>87593</v>
      </c>
      <c r="BP61" s="136">
        <v>87887</v>
      </c>
      <c r="BQ61" s="136">
        <v>88181</v>
      </c>
      <c r="BR61" s="136">
        <v>88450</v>
      </c>
      <c r="BS61" s="136">
        <v>88589</v>
      </c>
      <c r="BT61" s="136">
        <v>88841</v>
      </c>
      <c r="BU61" s="136">
        <v>89013</v>
      </c>
      <c r="BV61" s="136">
        <v>89275</v>
      </c>
      <c r="BW61" s="136">
        <v>89458</v>
      </c>
      <c r="BX61" s="136">
        <v>89744</v>
      </c>
      <c r="BY61" s="136">
        <v>90049</v>
      </c>
      <c r="BZ61" s="136">
        <v>90473</v>
      </c>
      <c r="CA61" s="136">
        <v>90760</v>
      </c>
      <c r="CB61" s="136">
        <v>90942</v>
      </c>
      <c r="CC61" s="136">
        <v>91246</v>
      </c>
      <c r="CD61" s="136">
        <v>91498</v>
      </c>
      <c r="CE61" s="136">
        <v>91705</v>
      </c>
      <c r="CF61" s="136">
        <v>92006</v>
      </c>
      <c r="CG61" s="136">
        <v>92226</v>
      </c>
      <c r="CH61" s="136">
        <v>92441</v>
      </c>
      <c r="CI61" s="136">
        <v>92695</v>
      </c>
      <c r="CJ61" s="136">
        <v>92832</v>
      </c>
      <c r="CK61" s="136">
        <v>92995</v>
      </c>
      <c r="CL61" s="136">
        <v>93240</v>
      </c>
      <c r="CM61" s="136">
        <v>93377</v>
      </c>
      <c r="CN61" s="136">
        <v>93570</v>
      </c>
      <c r="CO61" s="136">
        <v>93775</v>
      </c>
      <c r="CP61" s="136">
        <v>93930</v>
      </c>
      <c r="CQ61" s="136">
        <v>94104</v>
      </c>
      <c r="CR61" s="136">
        <v>94215</v>
      </c>
      <c r="CS61" s="136">
        <v>94378</v>
      </c>
      <c r="CT61" s="136">
        <v>94497</v>
      </c>
      <c r="CU61" s="136">
        <v>94631</v>
      </c>
      <c r="CV61" s="136">
        <v>94746</v>
      </c>
      <c r="CW61" s="136">
        <v>94858</v>
      </c>
      <c r="CX61" s="136">
        <v>95002</v>
      </c>
      <c r="CY61" s="136">
        <v>95085</v>
      </c>
      <c r="CZ61" s="136">
        <v>95198</v>
      </c>
      <c r="DA61" s="136">
        <v>95278</v>
      </c>
      <c r="DB61" s="136">
        <v>95403</v>
      </c>
      <c r="DC61" s="136">
        <v>95492</v>
      </c>
      <c r="DD61" s="136">
        <v>95591</v>
      </c>
      <c r="DE61" s="136">
        <v>95667</v>
      </c>
      <c r="DF61" s="136">
        <v>95790</v>
      </c>
      <c r="DG61" s="136">
        <v>95876</v>
      </c>
      <c r="DH61" s="136">
        <v>95958</v>
      </c>
      <c r="DI61" s="136">
        <v>96040</v>
      </c>
      <c r="DJ61" s="136">
        <v>96147</v>
      </c>
      <c r="DK61" s="136">
        <v>96218</v>
      </c>
      <c r="DL61" s="136">
        <v>96293</v>
      </c>
      <c r="DM61" s="136">
        <v>96381</v>
      </c>
      <c r="DN61" s="136">
        <v>96468</v>
      </c>
      <c r="DO61" s="136">
        <v>96552</v>
      </c>
    </row>
    <row r="62" spans="1:119">
      <c r="A62" s="135">
        <v>60</v>
      </c>
      <c r="B62" s="136"/>
      <c r="C62" s="136"/>
      <c r="D62" s="136"/>
      <c r="E62" s="136"/>
      <c r="F62" s="136"/>
      <c r="G62" s="136"/>
      <c r="H62" s="136"/>
      <c r="I62" s="136"/>
      <c r="J62" s="136"/>
      <c r="K62" s="136"/>
      <c r="L62" s="136"/>
      <c r="M62" s="136"/>
      <c r="N62" s="136"/>
      <c r="O62" s="136"/>
      <c r="P62" s="136"/>
      <c r="Q62" s="136"/>
      <c r="R62" s="136"/>
      <c r="S62" s="136"/>
      <c r="T62" s="136"/>
      <c r="U62" s="136"/>
      <c r="V62" s="136"/>
      <c r="W62" s="136">
        <v>64136</v>
      </c>
      <c r="X62" s="136">
        <v>64943</v>
      </c>
      <c r="Y62" s="136">
        <v>64982</v>
      </c>
      <c r="Z62" s="136">
        <v>67108</v>
      </c>
      <c r="AA62" s="136">
        <v>67555</v>
      </c>
      <c r="AB62" s="136">
        <v>68143</v>
      </c>
      <c r="AC62" s="136">
        <v>68844</v>
      </c>
      <c r="AD62" s="136">
        <v>69558</v>
      </c>
      <c r="AE62" s="136">
        <v>69504</v>
      </c>
      <c r="AF62" s="136">
        <v>70731</v>
      </c>
      <c r="AG62" s="136">
        <v>71245</v>
      </c>
      <c r="AH62" s="136">
        <v>71860</v>
      </c>
      <c r="AI62" s="136">
        <v>72236</v>
      </c>
      <c r="AJ62" s="136">
        <v>73630</v>
      </c>
      <c r="AK62" s="136">
        <v>73783</v>
      </c>
      <c r="AL62" s="136">
        <v>74361</v>
      </c>
      <c r="AM62" s="136">
        <v>75001</v>
      </c>
      <c r="AN62" s="136">
        <v>75598</v>
      </c>
      <c r="AO62" s="136">
        <v>75690</v>
      </c>
      <c r="AP62" s="136">
        <v>76102</v>
      </c>
      <c r="AQ62" s="136">
        <v>76366</v>
      </c>
      <c r="AR62" s="136">
        <v>76834</v>
      </c>
      <c r="AS62" s="136">
        <v>76309</v>
      </c>
      <c r="AT62" s="136">
        <v>75757</v>
      </c>
      <c r="AU62" s="136">
        <v>74666</v>
      </c>
      <c r="AV62" s="136">
        <v>75304</v>
      </c>
      <c r="AW62" s="136">
        <v>76028</v>
      </c>
      <c r="AX62" s="136">
        <v>78322</v>
      </c>
      <c r="AY62" s="136">
        <v>80115</v>
      </c>
      <c r="AZ62" s="136">
        <v>80079</v>
      </c>
      <c r="BA62" s="136">
        <v>80132</v>
      </c>
      <c r="BB62" s="136">
        <v>80899</v>
      </c>
      <c r="BC62" s="136">
        <v>81139</v>
      </c>
      <c r="BD62" s="136">
        <v>81720</v>
      </c>
      <c r="BE62" s="136">
        <v>81975</v>
      </c>
      <c r="BF62" s="136">
        <v>82560</v>
      </c>
      <c r="BG62" s="136">
        <v>82678</v>
      </c>
      <c r="BH62" s="136">
        <v>83371</v>
      </c>
      <c r="BI62" s="136">
        <v>83787</v>
      </c>
      <c r="BJ62" s="136">
        <v>84191</v>
      </c>
      <c r="BK62" s="136">
        <v>84744</v>
      </c>
      <c r="BL62" s="136">
        <v>85351</v>
      </c>
      <c r="BM62" s="136">
        <v>85953</v>
      </c>
      <c r="BN62" s="136">
        <v>86451</v>
      </c>
      <c r="BO62" s="136">
        <v>86913</v>
      </c>
      <c r="BP62" s="136">
        <v>87218</v>
      </c>
      <c r="BQ62" s="136">
        <v>87523</v>
      </c>
      <c r="BR62" s="136">
        <v>87803</v>
      </c>
      <c r="BS62" s="136">
        <v>87954</v>
      </c>
      <c r="BT62" s="136">
        <v>88216</v>
      </c>
      <c r="BU62" s="136">
        <v>88399</v>
      </c>
      <c r="BV62" s="136">
        <v>88671</v>
      </c>
      <c r="BW62" s="136">
        <v>88864</v>
      </c>
      <c r="BX62" s="136">
        <v>89160</v>
      </c>
      <c r="BY62" s="136">
        <v>89475</v>
      </c>
      <c r="BZ62" s="136">
        <v>89907</v>
      </c>
      <c r="CA62" s="136">
        <v>90203</v>
      </c>
      <c r="CB62" s="136">
        <v>90395</v>
      </c>
      <c r="CC62" s="136">
        <v>90707</v>
      </c>
      <c r="CD62" s="136">
        <v>90969</v>
      </c>
      <c r="CE62" s="136">
        <v>91185</v>
      </c>
      <c r="CF62" s="136">
        <v>91495</v>
      </c>
      <c r="CG62" s="136">
        <v>91723</v>
      </c>
      <c r="CH62" s="136">
        <v>91947</v>
      </c>
      <c r="CI62" s="136">
        <v>92209</v>
      </c>
      <c r="CJ62" s="136">
        <v>92354</v>
      </c>
      <c r="CK62" s="136">
        <v>92526</v>
      </c>
      <c r="CL62" s="136">
        <v>92779</v>
      </c>
      <c r="CM62" s="136">
        <v>92924</v>
      </c>
      <c r="CN62" s="136">
        <v>93125</v>
      </c>
      <c r="CO62" s="136">
        <v>93338</v>
      </c>
      <c r="CP62" s="136">
        <v>93501</v>
      </c>
      <c r="CQ62" s="136">
        <v>93682</v>
      </c>
      <c r="CR62" s="136">
        <v>93801</v>
      </c>
      <c r="CS62" s="136">
        <v>93971</v>
      </c>
      <c r="CT62" s="136">
        <v>94097</v>
      </c>
      <c r="CU62" s="136">
        <v>94239</v>
      </c>
      <c r="CV62" s="136">
        <v>94360</v>
      </c>
      <c r="CW62" s="136">
        <v>94480</v>
      </c>
      <c r="CX62" s="136">
        <v>94631</v>
      </c>
      <c r="CY62" s="136">
        <v>94720</v>
      </c>
      <c r="CZ62" s="136">
        <v>94840</v>
      </c>
      <c r="DA62" s="136">
        <v>94927</v>
      </c>
      <c r="DB62" s="136">
        <v>95058</v>
      </c>
      <c r="DC62" s="136">
        <v>95154</v>
      </c>
      <c r="DD62" s="136">
        <v>95259</v>
      </c>
      <c r="DE62" s="136">
        <v>95341</v>
      </c>
      <c r="DF62" s="136">
        <v>95470</v>
      </c>
      <c r="DG62" s="136">
        <v>95561</v>
      </c>
      <c r="DH62" s="136">
        <v>95650</v>
      </c>
      <c r="DI62" s="136">
        <v>95737</v>
      </c>
      <c r="DJ62" s="136">
        <v>95850</v>
      </c>
      <c r="DK62" s="136">
        <v>95927</v>
      </c>
      <c r="DL62" s="136">
        <v>96007</v>
      </c>
      <c r="DM62" s="136">
        <v>96101</v>
      </c>
      <c r="DN62" s="136">
        <v>96192</v>
      </c>
      <c r="DO62" s="136">
        <v>96281</v>
      </c>
    </row>
    <row r="63" spans="1:119">
      <c r="A63" s="135">
        <v>61</v>
      </c>
      <c r="B63" s="136"/>
      <c r="C63" s="136"/>
      <c r="D63" s="136"/>
      <c r="E63" s="136"/>
      <c r="F63" s="136"/>
      <c r="G63" s="136"/>
      <c r="H63" s="136"/>
      <c r="I63" s="136"/>
      <c r="J63" s="136"/>
      <c r="K63" s="136"/>
      <c r="L63" s="136"/>
      <c r="M63" s="136"/>
      <c r="N63" s="136"/>
      <c r="O63" s="136"/>
      <c r="P63" s="136"/>
      <c r="Q63" s="136"/>
      <c r="R63" s="136"/>
      <c r="S63" s="136"/>
      <c r="T63" s="136"/>
      <c r="U63" s="136"/>
      <c r="V63" s="136"/>
      <c r="W63" s="136">
        <v>62994</v>
      </c>
      <c r="X63" s="136">
        <v>63810</v>
      </c>
      <c r="Y63" s="136">
        <v>63860</v>
      </c>
      <c r="Z63" s="136">
        <v>65984</v>
      </c>
      <c r="AA63" s="136">
        <v>66430</v>
      </c>
      <c r="AB63" s="136">
        <v>67036</v>
      </c>
      <c r="AC63" s="136">
        <v>67728</v>
      </c>
      <c r="AD63" s="136">
        <v>68407</v>
      </c>
      <c r="AE63" s="136">
        <v>68354</v>
      </c>
      <c r="AF63" s="136">
        <v>69530</v>
      </c>
      <c r="AG63" s="136">
        <v>70094</v>
      </c>
      <c r="AH63" s="136">
        <v>70723</v>
      </c>
      <c r="AI63" s="136">
        <v>71129</v>
      </c>
      <c r="AJ63" s="136">
        <v>72538</v>
      </c>
      <c r="AK63" s="136">
        <v>72713</v>
      </c>
      <c r="AL63" s="136">
        <v>73348</v>
      </c>
      <c r="AM63" s="136">
        <v>74036</v>
      </c>
      <c r="AN63" s="136">
        <v>74663</v>
      </c>
      <c r="AO63" s="136">
        <v>74771</v>
      </c>
      <c r="AP63" s="136">
        <v>75203</v>
      </c>
      <c r="AQ63" s="136">
        <v>75479</v>
      </c>
      <c r="AR63" s="136">
        <v>75973</v>
      </c>
      <c r="AS63" s="136">
        <v>75465</v>
      </c>
      <c r="AT63" s="136">
        <v>74937</v>
      </c>
      <c r="AU63" s="136">
        <v>73860</v>
      </c>
      <c r="AV63" s="136">
        <v>74507</v>
      </c>
      <c r="AW63" s="136">
        <v>75224</v>
      </c>
      <c r="AX63" s="136">
        <v>77505</v>
      </c>
      <c r="AY63" s="136">
        <v>79279</v>
      </c>
      <c r="AZ63" s="136">
        <v>79243</v>
      </c>
      <c r="BA63" s="136">
        <v>79295</v>
      </c>
      <c r="BB63" s="136">
        <v>80050</v>
      </c>
      <c r="BC63" s="136">
        <v>80327</v>
      </c>
      <c r="BD63" s="136">
        <v>80879</v>
      </c>
      <c r="BE63" s="136">
        <v>81145</v>
      </c>
      <c r="BF63" s="136">
        <v>81741</v>
      </c>
      <c r="BG63" s="136">
        <v>81873</v>
      </c>
      <c r="BH63" s="136">
        <v>82575</v>
      </c>
      <c r="BI63" s="136">
        <v>83002</v>
      </c>
      <c r="BJ63" s="136">
        <v>83418</v>
      </c>
      <c r="BK63" s="136">
        <v>83982</v>
      </c>
      <c r="BL63" s="136">
        <v>84598</v>
      </c>
      <c r="BM63" s="136">
        <v>85210</v>
      </c>
      <c r="BN63" s="136">
        <v>85718</v>
      </c>
      <c r="BO63" s="136">
        <v>86190</v>
      </c>
      <c r="BP63" s="136">
        <v>86507</v>
      </c>
      <c r="BQ63" s="136">
        <v>86823</v>
      </c>
      <c r="BR63" s="136">
        <v>87115</v>
      </c>
      <c r="BS63" s="136">
        <v>87278</v>
      </c>
      <c r="BT63" s="136">
        <v>87551</v>
      </c>
      <c r="BU63" s="136">
        <v>87746</v>
      </c>
      <c r="BV63" s="136">
        <v>88029</v>
      </c>
      <c r="BW63" s="136">
        <v>88233</v>
      </c>
      <c r="BX63" s="136">
        <v>88539</v>
      </c>
      <c r="BY63" s="136">
        <v>88864</v>
      </c>
      <c r="BZ63" s="136">
        <v>89305</v>
      </c>
      <c r="CA63" s="136">
        <v>89611</v>
      </c>
      <c r="CB63" s="136">
        <v>89813</v>
      </c>
      <c r="CC63" s="136">
        <v>90135</v>
      </c>
      <c r="CD63" s="136">
        <v>90406</v>
      </c>
      <c r="CE63" s="136">
        <v>90632</v>
      </c>
      <c r="CF63" s="136">
        <v>90950</v>
      </c>
      <c r="CG63" s="136">
        <v>91188</v>
      </c>
      <c r="CH63" s="136">
        <v>91421</v>
      </c>
      <c r="CI63" s="136">
        <v>91691</v>
      </c>
      <c r="CJ63" s="136">
        <v>91846</v>
      </c>
      <c r="CK63" s="136">
        <v>92028</v>
      </c>
      <c r="CL63" s="136">
        <v>92289</v>
      </c>
      <c r="CM63" s="136">
        <v>92443</v>
      </c>
      <c r="CN63" s="136">
        <v>92652</v>
      </c>
      <c r="CO63" s="136">
        <v>92873</v>
      </c>
      <c r="CP63" s="136">
        <v>93044</v>
      </c>
      <c r="CQ63" s="136">
        <v>93233</v>
      </c>
      <c r="CR63" s="136">
        <v>93360</v>
      </c>
      <c r="CS63" s="136">
        <v>93538</v>
      </c>
      <c r="CT63" s="136">
        <v>93672</v>
      </c>
      <c r="CU63" s="136">
        <v>93822</v>
      </c>
      <c r="CV63" s="136">
        <v>93951</v>
      </c>
      <c r="CW63" s="136">
        <v>94078</v>
      </c>
      <c r="CX63" s="136">
        <v>94236</v>
      </c>
      <c r="CY63" s="136">
        <v>94332</v>
      </c>
      <c r="CZ63" s="136">
        <v>94460</v>
      </c>
      <c r="DA63" s="136">
        <v>94553</v>
      </c>
      <c r="DB63" s="136">
        <v>94691</v>
      </c>
      <c r="DC63" s="136">
        <v>94794</v>
      </c>
      <c r="DD63" s="136">
        <v>94905</v>
      </c>
      <c r="DE63" s="136">
        <v>94994</v>
      </c>
      <c r="DF63" s="136">
        <v>95129</v>
      </c>
      <c r="DG63" s="136">
        <v>95227</v>
      </c>
      <c r="DH63" s="136">
        <v>95322</v>
      </c>
      <c r="DI63" s="136">
        <v>95416</v>
      </c>
      <c r="DJ63" s="136">
        <v>95534</v>
      </c>
      <c r="DK63" s="136">
        <v>95617</v>
      </c>
      <c r="DL63" s="136">
        <v>95702</v>
      </c>
      <c r="DM63" s="136">
        <v>95802</v>
      </c>
      <c r="DN63" s="136">
        <v>95899</v>
      </c>
      <c r="DO63" s="136">
        <v>95994</v>
      </c>
    </row>
    <row r="64" spans="1:119">
      <c r="A64" s="135">
        <v>62</v>
      </c>
      <c r="B64" s="136"/>
      <c r="C64" s="136"/>
      <c r="D64" s="136"/>
      <c r="E64" s="136"/>
      <c r="F64" s="136"/>
      <c r="G64" s="136"/>
      <c r="H64" s="136"/>
      <c r="I64" s="136"/>
      <c r="J64" s="136"/>
      <c r="K64" s="136"/>
      <c r="L64" s="136"/>
      <c r="M64" s="136"/>
      <c r="N64" s="136"/>
      <c r="O64" s="136"/>
      <c r="P64" s="136"/>
      <c r="Q64" s="136"/>
      <c r="R64" s="136"/>
      <c r="S64" s="136"/>
      <c r="T64" s="136"/>
      <c r="U64" s="136"/>
      <c r="V64" s="136"/>
      <c r="W64" s="136">
        <v>61784</v>
      </c>
      <c r="X64" s="136">
        <v>62604</v>
      </c>
      <c r="Y64" s="136">
        <v>62638</v>
      </c>
      <c r="Z64" s="136">
        <v>64766</v>
      </c>
      <c r="AA64" s="136">
        <v>65246</v>
      </c>
      <c r="AB64" s="136">
        <v>65858</v>
      </c>
      <c r="AC64" s="136">
        <v>66521</v>
      </c>
      <c r="AD64" s="136">
        <v>67164</v>
      </c>
      <c r="AE64" s="136">
        <v>67120</v>
      </c>
      <c r="AF64" s="136">
        <v>68292</v>
      </c>
      <c r="AG64" s="136">
        <v>68898</v>
      </c>
      <c r="AH64" s="136">
        <v>69547</v>
      </c>
      <c r="AI64" s="136">
        <v>69980</v>
      </c>
      <c r="AJ64" s="136">
        <v>71376</v>
      </c>
      <c r="AK64" s="136">
        <v>71583</v>
      </c>
      <c r="AL64" s="136">
        <v>72293</v>
      </c>
      <c r="AM64" s="136">
        <v>73018</v>
      </c>
      <c r="AN64" s="136">
        <v>73668</v>
      </c>
      <c r="AO64" s="136">
        <v>73806</v>
      </c>
      <c r="AP64" s="136">
        <v>74261</v>
      </c>
      <c r="AQ64" s="136">
        <v>74546</v>
      </c>
      <c r="AR64" s="136">
        <v>75073</v>
      </c>
      <c r="AS64" s="136">
        <v>74582</v>
      </c>
      <c r="AT64" s="136">
        <v>74083</v>
      </c>
      <c r="AU64" s="136">
        <v>73017</v>
      </c>
      <c r="AV64" s="136">
        <v>73645</v>
      </c>
      <c r="AW64" s="136">
        <v>74371</v>
      </c>
      <c r="AX64" s="136">
        <v>76648</v>
      </c>
      <c r="AY64" s="136">
        <v>78370</v>
      </c>
      <c r="AZ64" s="136">
        <v>78358</v>
      </c>
      <c r="BA64" s="136">
        <v>78408</v>
      </c>
      <c r="BB64" s="136">
        <v>79172</v>
      </c>
      <c r="BC64" s="136">
        <v>79412</v>
      </c>
      <c r="BD64" s="136">
        <v>79987</v>
      </c>
      <c r="BE64" s="136">
        <v>80267</v>
      </c>
      <c r="BF64" s="136">
        <v>80874</v>
      </c>
      <c r="BG64" s="136">
        <v>81022</v>
      </c>
      <c r="BH64" s="136">
        <v>81734</v>
      </c>
      <c r="BI64" s="136">
        <v>82173</v>
      </c>
      <c r="BJ64" s="136">
        <v>82601</v>
      </c>
      <c r="BK64" s="136">
        <v>83176</v>
      </c>
      <c r="BL64" s="136">
        <v>83802</v>
      </c>
      <c r="BM64" s="136">
        <v>84423</v>
      </c>
      <c r="BN64" s="136">
        <v>84943</v>
      </c>
      <c r="BO64" s="136">
        <v>85426</v>
      </c>
      <c r="BP64" s="136">
        <v>85755</v>
      </c>
      <c r="BQ64" s="136">
        <v>86083</v>
      </c>
      <c r="BR64" s="136">
        <v>86387</v>
      </c>
      <c r="BS64" s="136">
        <v>86563</v>
      </c>
      <c r="BT64" s="136">
        <v>86848</v>
      </c>
      <c r="BU64" s="136">
        <v>87055</v>
      </c>
      <c r="BV64" s="136">
        <v>87349</v>
      </c>
      <c r="BW64" s="136">
        <v>87565</v>
      </c>
      <c r="BX64" s="136">
        <v>87882</v>
      </c>
      <c r="BY64" s="136">
        <v>88217</v>
      </c>
      <c r="BZ64" s="136">
        <v>88668</v>
      </c>
      <c r="CA64" s="136">
        <v>88984</v>
      </c>
      <c r="CB64" s="136">
        <v>89197</v>
      </c>
      <c r="CC64" s="136">
        <v>89529</v>
      </c>
      <c r="CD64" s="136">
        <v>89810</v>
      </c>
      <c r="CE64" s="136">
        <v>90046</v>
      </c>
      <c r="CF64" s="136">
        <v>90374</v>
      </c>
      <c r="CG64" s="136">
        <v>90622</v>
      </c>
      <c r="CH64" s="136">
        <v>90864</v>
      </c>
      <c r="CI64" s="136">
        <v>91144</v>
      </c>
      <c r="CJ64" s="136">
        <v>91309</v>
      </c>
      <c r="CK64" s="136">
        <v>91499</v>
      </c>
      <c r="CL64" s="136">
        <v>91769</v>
      </c>
      <c r="CM64" s="136">
        <v>91933</v>
      </c>
      <c r="CN64" s="136">
        <v>92151</v>
      </c>
      <c r="CO64" s="136">
        <v>92381</v>
      </c>
      <c r="CP64" s="136">
        <v>92560</v>
      </c>
      <c r="CQ64" s="136">
        <v>92758</v>
      </c>
      <c r="CR64" s="136">
        <v>92894</v>
      </c>
      <c r="CS64" s="136">
        <v>93080</v>
      </c>
      <c r="CT64" s="136">
        <v>93223</v>
      </c>
      <c r="CU64" s="136">
        <v>93380</v>
      </c>
      <c r="CV64" s="136">
        <v>93517</v>
      </c>
      <c r="CW64" s="136">
        <v>93652</v>
      </c>
      <c r="CX64" s="136">
        <v>93818</v>
      </c>
      <c r="CY64" s="136">
        <v>93922</v>
      </c>
      <c r="CZ64" s="136">
        <v>94057</v>
      </c>
      <c r="DA64" s="136">
        <v>94158</v>
      </c>
      <c r="DB64" s="136">
        <v>94303</v>
      </c>
      <c r="DC64" s="136">
        <v>94413</v>
      </c>
      <c r="DD64" s="136">
        <v>94531</v>
      </c>
      <c r="DE64" s="136">
        <v>94628</v>
      </c>
      <c r="DF64" s="136">
        <v>94769</v>
      </c>
      <c r="DG64" s="136">
        <v>94874</v>
      </c>
      <c r="DH64" s="136">
        <v>94975</v>
      </c>
      <c r="DI64" s="136">
        <v>95075</v>
      </c>
      <c r="DJ64" s="136">
        <v>95200</v>
      </c>
      <c r="DK64" s="136">
        <v>95289</v>
      </c>
      <c r="DL64" s="136">
        <v>95381</v>
      </c>
      <c r="DM64" s="136">
        <v>95486</v>
      </c>
      <c r="DN64" s="136">
        <v>95589</v>
      </c>
      <c r="DO64" s="136">
        <v>95689</v>
      </c>
    </row>
    <row r="65" spans="1:119">
      <c r="A65" s="135">
        <v>63</v>
      </c>
      <c r="B65" s="136"/>
      <c r="C65" s="136"/>
      <c r="D65" s="136"/>
      <c r="E65" s="136"/>
      <c r="F65" s="136"/>
      <c r="G65" s="136"/>
      <c r="H65" s="136"/>
      <c r="I65" s="136"/>
      <c r="J65" s="136"/>
      <c r="K65" s="136"/>
      <c r="L65" s="136"/>
      <c r="M65" s="136"/>
      <c r="N65" s="136"/>
      <c r="O65" s="136"/>
      <c r="P65" s="136"/>
      <c r="Q65" s="136"/>
      <c r="R65" s="136"/>
      <c r="S65" s="136"/>
      <c r="T65" s="136"/>
      <c r="U65" s="136"/>
      <c r="V65" s="136"/>
      <c r="W65" s="136">
        <v>60505</v>
      </c>
      <c r="X65" s="136">
        <v>61331</v>
      </c>
      <c r="Y65" s="136">
        <v>61373</v>
      </c>
      <c r="Z65" s="136">
        <v>63470</v>
      </c>
      <c r="AA65" s="136">
        <v>63992</v>
      </c>
      <c r="AB65" s="136">
        <v>64623</v>
      </c>
      <c r="AC65" s="136">
        <v>65239</v>
      </c>
      <c r="AD65" s="136">
        <v>65847</v>
      </c>
      <c r="AE65" s="136">
        <v>65827</v>
      </c>
      <c r="AF65" s="136">
        <v>66976</v>
      </c>
      <c r="AG65" s="136">
        <v>67612</v>
      </c>
      <c r="AH65" s="136">
        <v>68292</v>
      </c>
      <c r="AI65" s="136">
        <v>68726</v>
      </c>
      <c r="AJ65" s="136">
        <v>70200</v>
      </c>
      <c r="AK65" s="136">
        <v>70440</v>
      </c>
      <c r="AL65" s="136">
        <v>71171</v>
      </c>
      <c r="AM65" s="136">
        <v>71961</v>
      </c>
      <c r="AN65" s="136">
        <v>72639</v>
      </c>
      <c r="AO65" s="136">
        <v>72784</v>
      </c>
      <c r="AP65" s="136">
        <v>73243</v>
      </c>
      <c r="AQ65" s="136">
        <v>73567</v>
      </c>
      <c r="AR65" s="136">
        <v>74102</v>
      </c>
      <c r="AS65" s="136">
        <v>73648</v>
      </c>
      <c r="AT65" s="136">
        <v>73165</v>
      </c>
      <c r="AU65" s="136">
        <v>72107</v>
      </c>
      <c r="AV65" s="136">
        <v>72729</v>
      </c>
      <c r="AW65" s="136">
        <v>73487</v>
      </c>
      <c r="AX65" s="136">
        <v>75734</v>
      </c>
      <c r="AY65" s="136">
        <v>77428</v>
      </c>
      <c r="AZ65" s="136">
        <v>77420</v>
      </c>
      <c r="BA65" s="136">
        <v>77484</v>
      </c>
      <c r="BB65" s="136">
        <v>78182</v>
      </c>
      <c r="BC65" s="136">
        <v>78462</v>
      </c>
      <c r="BD65" s="136">
        <v>79049</v>
      </c>
      <c r="BE65" s="136">
        <v>79344</v>
      </c>
      <c r="BF65" s="136">
        <v>79962</v>
      </c>
      <c r="BG65" s="136">
        <v>80127</v>
      </c>
      <c r="BH65" s="136">
        <v>80848</v>
      </c>
      <c r="BI65" s="136">
        <v>81300</v>
      </c>
      <c r="BJ65" s="136">
        <v>81741</v>
      </c>
      <c r="BK65" s="136">
        <v>82327</v>
      </c>
      <c r="BL65" s="136">
        <v>82963</v>
      </c>
      <c r="BM65" s="136">
        <v>83595</v>
      </c>
      <c r="BN65" s="136">
        <v>84126</v>
      </c>
      <c r="BO65" s="136">
        <v>84620</v>
      </c>
      <c r="BP65" s="136">
        <v>84962</v>
      </c>
      <c r="BQ65" s="136">
        <v>85303</v>
      </c>
      <c r="BR65" s="136">
        <v>85619</v>
      </c>
      <c r="BS65" s="136">
        <v>85809</v>
      </c>
      <c r="BT65" s="136">
        <v>86106</v>
      </c>
      <c r="BU65" s="136">
        <v>86327</v>
      </c>
      <c r="BV65" s="136">
        <v>86633</v>
      </c>
      <c r="BW65" s="136">
        <v>86861</v>
      </c>
      <c r="BX65" s="136">
        <v>87189</v>
      </c>
      <c r="BY65" s="136">
        <v>87535</v>
      </c>
      <c r="BZ65" s="136">
        <v>87996</v>
      </c>
      <c r="CA65" s="136">
        <v>88323</v>
      </c>
      <c r="CB65" s="136">
        <v>88548</v>
      </c>
      <c r="CC65" s="136">
        <v>88890</v>
      </c>
      <c r="CD65" s="136">
        <v>89182</v>
      </c>
      <c r="CE65" s="136">
        <v>89428</v>
      </c>
      <c r="CF65" s="136">
        <v>89767</v>
      </c>
      <c r="CG65" s="136">
        <v>90025</v>
      </c>
      <c r="CH65" s="136">
        <v>90278</v>
      </c>
      <c r="CI65" s="136">
        <v>90567</v>
      </c>
      <c r="CJ65" s="136">
        <v>90742</v>
      </c>
      <c r="CK65" s="136">
        <v>90943</v>
      </c>
      <c r="CL65" s="136">
        <v>91222</v>
      </c>
      <c r="CM65" s="136">
        <v>91395</v>
      </c>
      <c r="CN65" s="136">
        <v>91623</v>
      </c>
      <c r="CO65" s="136">
        <v>91862</v>
      </c>
      <c r="CP65" s="136">
        <v>92051</v>
      </c>
      <c r="CQ65" s="136">
        <v>92257</v>
      </c>
      <c r="CR65" s="136">
        <v>92402</v>
      </c>
      <c r="CS65" s="136">
        <v>92597</v>
      </c>
      <c r="CT65" s="136">
        <v>92748</v>
      </c>
      <c r="CU65" s="136">
        <v>92914</v>
      </c>
      <c r="CV65" s="136">
        <v>93060</v>
      </c>
      <c r="CW65" s="136">
        <v>93203</v>
      </c>
      <c r="CX65" s="136">
        <v>93377</v>
      </c>
      <c r="CY65" s="136">
        <v>93490</v>
      </c>
      <c r="CZ65" s="136">
        <v>93633</v>
      </c>
      <c r="DA65" s="136">
        <v>93742</v>
      </c>
      <c r="DB65" s="136">
        <v>93894</v>
      </c>
      <c r="DC65" s="136">
        <v>94012</v>
      </c>
      <c r="DD65" s="136">
        <v>94137</v>
      </c>
      <c r="DE65" s="136">
        <v>94241</v>
      </c>
      <c r="DF65" s="136">
        <v>94390</v>
      </c>
      <c r="DG65" s="136">
        <v>94501</v>
      </c>
      <c r="DH65" s="136">
        <v>94609</v>
      </c>
      <c r="DI65" s="136">
        <v>94717</v>
      </c>
      <c r="DJ65" s="136">
        <v>94848</v>
      </c>
      <c r="DK65" s="136">
        <v>94944</v>
      </c>
      <c r="DL65" s="136">
        <v>95042</v>
      </c>
      <c r="DM65" s="136">
        <v>95154</v>
      </c>
      <c r="DN65" s="136">
        <v>95263</v>
      </c>
      <c r="DO65" s="136">
        <v>95369</v>
      </c>
    </row>
    <row r="66" spans="1:119">
      <c r="A66" s="135">
        <v>64</v>
      </c>
      <c r="B66" s="136"/>
      <c r="C66" s="136"/>
      <c r="D66" s="136"/>
      <c r="E66" s="136"/>
      <c r="F66" s="136"/>
      <c r="G66" s="136"/>
      <c r="H66" s="136"/>
      <c r="I66" s="136"/>
      <c r="J66" s="136"/>
      <c r="K66" s="136"/>
      <c r="L66" s="136"/>
      <c r="M66" s="136"/>
      <c r="N66" s="136"/>
      <c r="O66" s="136"/>
      <c r="P66" s="136"/>
      <c r="Q66" s="136"/>
      <c r="R66" s="136"/>
      <c r="S66" s="136"/>
      <c r="T66" s="136"/>
      <c r="U66" s="136"/>
      <c r="V66" s="136"/>
      <c r="W66" s="136">
        <v>59081</v>
      </c>
      <c r="X66" s="136">
        <v>59985</v>
      </c>
      <c r="Y66" s="136">
        <v>60052</v>
      </c>
      <c r="Z66" s="136">
        <v>62100</v>
      </c>
      <c r="AA66" s="136">
        <v>62669</v>
      </c>
      <c r="AB66" s="136">
        <v>63277</v>
      </c>
      <c r="AC66" s="136">
        <v>63862</v>
      </c>
      <c r="AD66" s="136">
        <v>64463</v>
      </c>
      <c r="AE66" s="136">
        <v>64459</v>
      </c>
      <c r="AF66" s="136">
        <v>65596</v>
      </c>
      <c r="AG66" s="136">
        <v>66260</v>
      </c>
      <c r="AH66" s="136">
        <v>66962</v>
      </c>
      <c r="AI66" s="136">
        <v>67445</v>
      </c>
      <c r="AJ66" s="136">
        <v>68955</v>
      </c>
      <c r="AK66" s="136">
        <v>69242</v>
      </c>
      <c r="AL66" s="136">
        <v>69996</v>
      </c>
      <c r="AM66" s="136">
        <v>70858</v>
      </c>
      <c r="AN66" s="136">
        <v>71543</v>
      </c>
      <c r="AO66" s="136">
        <v>71705</v>
      </c>
      <c r="AP66" s="136">
        <v>72202</v>
      </c>
      <c r="AQ66" s="136">
        <v>72544</v>
      </c>
      <c r="AR66" s="136">
        <v>73117</v>
      </c>
      <c r="AS66" s="136">
        <v>72659</v>
      </c>
      <c r="AT66" s="136">
        <v>72179</v>
      </c>
      <c r="AU66" s="136">
        <v>71147</v>
      </c>
      <c r="AV66" s="136">
        <v>71763</v>
      </c>
      <c r="AW66" s="136">
        <v>72541</v>
      </c>
      <c r="AX66" s="136">
        <v>74774</v>
      </c>
      <c r="AY66" s="136">
        <v>76429</v>
      </c>
      <c r="AZ66" s="136">
        <v>76449</v>
      </c>
      <c r="BA66" s="136">
        <v>76455</v>
      </c>
      <c r="BB66" s="136">
        <v>77169</v>
      </c>
      <c r="BC66" s="136">
        <v>77466</v>
      </c>
      <c r="BD66" s="136">
        <v>78065</v>
      </c>
      <c r="BE66" s="136">
        <v>78376</v>
      </c>
      <c r="BF66" s="136">
        <v>79006</v>
      </c>
      <c r="BG66" s="136">
        <v>79188</v>
      </c>
      <c r="BH66" s="136">
        <v>79919</v>
      </c>
      <c r="BI66" s="136">
        <v>80384</v>
      </c>
      <c r="BJ66" s="136">
        <v>80838</v>
      </c>
      <c r="BK66" s="136">
        <v>81435</v>
      </c>
      <c r="BL66" s="136">
        <v>82083</v>
      </c>
      <c r="BM66" s="136">
        <v>82725</v>
      </c>
      <c r="BN66" s="136">
        <v>83268</v>
      </c>
      <c r="BO66" s="136">
        <v>83774</v>
      </c>
      <c r="BP66" s="136">
        <v>84129</v>
      </c>
      <c r="BQ66" s="136">
        <v>84484</v>
      </c>
      <c r="BR66" s="136">
        <v>84813</v>
      </c>
      <c r="BS66" s="136">
        <v>85017</v>
      </c>
      <c r="BT66" s="136">
        <v>85328</v>
      </c>
      <c r="BU66" s="136">
        <v>85561</v>
      </c>
      <c r="BV66" s="136">
        <v>85880</v>
      </c>
      <c r="BW66" s="136">
        <v>86121</v>
      </c>
      <c r="BX66" s="136">
        <v>86461</v>
      </c>
      <c r="BY66" s="136">
        <v>86819</v>
      </c>
      <c r="BZ66" s="136">
        <v>87291</v>
      </c>
      <c r="CA66" s="136">
        <v>87629</v>
      </c>
      <c r="CB66" s="136">
        <v>87866</v>
      </c>
      <c r="CC66" s="136">
        <v>88219</v>
      </c>
      <c r="CD66" s="136">
        <v>88522</v>
      </c>
      <c r="CE66" s="136">
        <v>88780</v>
      </c>
      <c r="CF66" s="136">
        <v>89128</v>
      </c>
      <c r="CG66" s="136">
        <v>89397</v>
      </c>
      <c r="CH66" s="136">
        <v>89661</v>
      </c>
      <c r="CI66" s="136">
        <v>89961</v>
      </c>
      <c r="CJ66" s="136">
        <v>90147</v>
      </c>
      <c r="CK66" s="136">
        <v>90358</v>
      </c>
      <c r="CL66" s="136">
        <v>90647</v>
      </c>
      <c r="CM66" s="136">
        <v>90830</v>
      </c>
      <c r="CN66" s="136">
        <v>91068</v>
      </c>
      <c r="CO66" s="136">
        <v>91316</v>
      </c>
      <c r="CP66" s="136">
        <v>91515</v>
      </c>
      <c r="CQ66" s="136">
        <v>91731</v>
      </c>
      <c r="CR66" s="136">
        <v>91885</v>
      </c>
      <c r="CS66" s="136">
        <v>92090</v>
      </c>
      <c r="CT66" s="136">
        <v>92250</v>
      </c>
      <c r="CU66" s="136">
        <v>92425</v>
      </c>
      <c r="CV66" s="136">
        <v>92580</v>
      </c>
      <c r="CW66" s="136">
        <v>92732</v>
      </c>
      <c r="CX66" s="136">
        <v>92915</v>
      </c>
      <c r="CY66" s="136">
        <v>93036</v>
      </c>
      <c r="CZ66" s="136">
        <v>93187</v>
      </c>
      <c r="DA66" s="136">
        <v>93304</v>
      </c>
      <c r="DB66" s="136">
        <v>93465</v>
      </c>
      <c r="DC66" s="136">
        <v>93590</v>
      </c>
      <c r="DD66" s="136">
        <v>93724</v>
      </c>
      <c r="DE66" s="136">
        <v>93835</v>
      </c>
      <c r="DF66" s="136">
        <v>93991</v>
      </c>
      <c r="DG66" s="136">
        <v>94110</v>
      </c>
      <c r="DH66" s="136">
        <v>94226</v>
      </c>
      <c r="DI66" s="136">
        <v>94340</v>
      </c>
      <c r="DJ66" s="136">
        <v>94478</v>
      </c>
      <c r="DK66" s="136">
        <v>94581</v>
      </c>
      <c r="DL66" s="136">
        <v>94686</v>
      </c>
      <c r="DM66" s="136">
        <v>94804</v>
      </c>
      <c r="DN66" s="136">
        <v>94920</v>
      </c>
      <c r="DO66" s="136">
        <v>95033</v>
      </c>
    </row>
    <row r="67" spans="1:119">
      <c r="A67" s="135">
        <v>65</v>
      </c>
      <c r="B67" s="136"/>
      <c r="C67" s="136"/>
      <c r="D67" s="136"/>
      <c r="E67" s="136"/>
      <c r="F67" s="136"/>
      <c r="G67" s="136"/>
      <c r="H67" s="136"/>
      <c r="I67" s="136"/>
      <c r="J67" s="136"/>
      <c r="K67" s="136"/>
      <c r="L67" s="136"/>
      <c r="M67" s="136"/>
      <c r="N67" s="136"/>
      <c r="O67" s="136"/>
      <c r="P67" s="136"/>
      <c r="Q67" s="136"/>
      <c r="R67" s="136"/>
      <c r="S67" s="136"/>
      <c r="T67" s="136"/>
      <c r="U67" s="136"/>
      <c r="V67" s="136"/>
      <c r="W67" s="136">
        <v>57671</v>
      </c>
      <c r="X67" s="136">
        <v>58572</v>
      </c>
      <c r="Y67" s="136">
        <v>58677</v>
      </c>
      <c r="Z67" s="136">
        <v>60698</v>
      </c>
      <c r="AA67" s="136">
        <v>61254</v>
      </c>
      <c r="AB67" s="136">
        <v>61860</v>
      </c>
      <c r="AC67" s="136">
        <v>62411</v>
      </c>
      <c r="AD67" s="136">
        <v>62988</v>
      </c>
      <c r="AE67" s="136">
        <v>62999</v>
      </c>
      <c r="AF67" s="136">
        <v>64148</v>
      </c>
      <c r="AG67" s="136">
        <v>64838</v>
      </c>
      <c r="AH67" s="136">
        <v>65594</v>
      </c>
      <c r="AI67" s="136">
        <v>66143</v>
      </c>
      <c r="AJ67" s="136">
        <v>67679</v>
      </c>
      <c r="AK67" s="136">
        <v>68003</v>
      </c>
      <c r="AL67" s="136">
        <v>68818</v>
      </c>
      <c r="AM67" s="136">
        <v>69707</v>
      </c>
      <c r="AN67" s="136">
        <v>70391</v>
      </c>
      <c r="AO67" s="136">
        <v>70586</v>
      </c>
      <c r="AP67" s="136">
        <v>71120</v>
      </c>
      <c r="AQ67" s="136">
        <v>71499</v>
      </c>
      <c r="AR67" s="136">
        <v>72068</v>
      </c>
      <c r="AS67" s="136">
        <v>71611</v>
      </c>
      <c r="AT67" s="136">
        <v>71161</v>
      </c>
      <c r="AU67" s="136">
        <v>70139</v>
      </c>
      <c r="AV67" s="136">
        <v>70724</v>
      </c>
      <c r="AW67" s="136">
        <v>71514</v>
      </c>
      <c r="AX67" s="136">
        <v>73708</v>
      </c>
      <c r="AY67" s="136">
        <v>75375</v>
      </c>
      <c r="AZ67" s="136">
        <v>75347</v>
      </c>
      <c r="BA67" s="136">
        <v>75385</v>
      </c>
      <c r="BB67" s="136">
        <v>76110</v>
      </c>
      <c r="BC67" s="136">
        <v>76424</v>
      </c>
      <c r="BD67" s="136">
        <v>77036</v>
      </c>
      <c r="BE67" s="136">
        <v>77363</v>
      </c>
      <c r="BF67" s="136">
        <v>78005</v>
      </c>
      <c r="BG67" s="136">
        <v>78204</v>
      </c>
      <c r="BH67" s="136">
        <v>78947</v>
      </c>
      <c r="BI67" s="136">
        <v>79426</v>
      </c>
      <c r="BJ67" s="136">
        <v>79893</v>
      </c>
      <c r="BK67" s="136">
        <v>80502</v>
      </c>
      <c r="BL67" s="136">
        <v>81160</v>
      </c>
      <c r="BM67" s="136">
        <v>81814</v>
      </c>
      <c r="BN67" s="136">
        <v>82369</v>
      </c>
      <c r="BO67" s="136">
        <v>82888</v>
      </c>
      <c r="BP67" s="136">
        <v>83257</v>
      </c>
      <c r="BQ67" s="136">
        <v>83625</v>
      </c>
      <c r="BR67" s="136">
        <v>83968</v>
      </c>
      <c r="BS67" s="136">
        <v>84187</v>
      </c>
      <c r="BT67" s="136">
        <v>84511</v>
      </c>
      <c r="BU67" s="136">
        <v>84759</v>
      </c>
      <c r="BV67" s="136">
        <v>85091</v>
      </c>
      <c r="BW67" s="136">
        <v>85345</v>
      </c>
      <c r="BX67" s="136">
        <v>85698</v>
      </c>
      <c r="BY67" s="136">
        <v>86068</v>
      </c>
      <c r="BZ67" s="136">
        <v>86551</v>
      </c>
      <c r="CA67" s="136">
        <v>86901</v>
      </c>
      <c r="CB67" s="136">
        <v>87151</v>
      </c>
      <c r="CC67" s="136">
        <v>87515</v>
      </c>
      <c r="CD67" s="136">
        <v>87829</v>
      </c>
      <c r="CE67" s="136">
        <v>88099</v>
      </c>
      <c r="CF67" s="136">
        <v>88459</v>
      </c>
      <c r="CG67" s="136">
        <v>88739</v>
      </c>
      <c r="CH67" s="136">
        <v>89014</v>
      </c>
      <c r="CI67" s="136">
        <v>89324</v>
      </c>
      <c r="CJ67" s="136">
        <v>89522</v>
      </c>
      <c r="CK67" s="136">
        <v>89744</v>
      </c>
      <c r="CL67" s="136">
        <v>90044</v>
      </c>
      <c r="CM67" s="136">
        <v>90238</v>
      </c>
      <c r="CN67" s="136">
        <v>90486</v>
      </c>
      <c r="CO67" s="136">
        <v>90744</v>
      </c>
      <c r="CP67" s="136">
        <v>90953</v>
      </c>
      <c r="CQ67" s="136">
        <v>91179</v>
      </c>
      <c r="CR67" s="136">
        <v>91344</v>
      </c>
      <c r="CS67" s="136">
        <v>91558</v>
      </c>
      <c r="CT67" s="136">
        <v>91728</v>
      </c>
      <c r="CU67" s="136">
        <v>91912</v>
      </c>
      <c r="CV67" s="136">
        <v>92076</v>
      </c>
      <c r="CW67" s="136">
        <v>92238</v>
      </c>
      <c r="CX67" s="136">
        <v>92429</v>
      </c>
      <c r="CY67" s="136">
        <v>92559</v>
      </c>
      <c r="CZ67" s="136">
        <v>92719</v>
      </c>
      <c r="DA67" s="136">
        <v>92845</v>
      </c>
      <c r="DB67" s="136">
        <v>93015</v>
      </c>
      <c r="DC67" s="136">
        <v>93148</v>
      </c>
      <c r="DD67" s="136">
        <v>93290</v>
      </c>
      <c r="DE67" s="136">
        <v>93410</v>
      </c>
      <c r="DF67" s="136">
        <v>93573</v>
      </c>
      <c r="DG67" s="136">
        <v>93700</v>
      </c>
      <c r="DH67" s="136">
        <v>93823</v>
      </c>
      <c r="DI67" s="136">
        <v>93945</v>
      </c>
      <c r="DJ67" s="136">
        <v>94091</v>
      </c>
      <c r="DK67" s="136">
        <v>94201</v>
      </c>
      <c r="DL67" s="136">
        <v>94313</v>
      </c>
      <c r="DM67" s="136">
        <v>94439</v>
      </c>
      <c r="DN67" s="136">
        <v>94561</v>
      </c>
      <c r="DO67" s="136">
        <v>94681</v>
      </c>
    </row>
    <row r="68" spans="1:119">
      <c r="A68" s="135">
        <v>66</v>
      </c>
      <c r="B68" s="136"/>
      <c r="C68" s="136"/>
      <c r="D68" s="136"/>
      <c r="E68" s="136"/>
      <c r="F68" s="136"/>
      <c r="G68" s="136"/>
      <c r="H68" s="136"/>
      <c r="I68" s="136"/>
      <c r="J68" s="136"/>
      <c r="K68" s="136"/>
      <c r="L68" s="136"/>
      <c r="M68" s="136"/>
      <c r="N68" s="136"/>
      <c r="O68" s="136"/>
      <c r="P68" s="136"/>
      <c r="Q68" s="136"/>
      <c r="R68" s="136"/>
      <c r="S68" s="136"/>
      <c r="T68" s="136"/>
      <c r="U68" s="136"/>
      <c r="V68" s="136"/>
      <c r="W68" s="136">
        <v>56140</v>
      </c>
      <c r="X68" s="136">
        <v>57110</v>
      </c>
      <c r="Y68" s="136">
        <v>57192</v>
      </c>
      <c r="Z68" s="136">
        <v>59146</v>
      </c>
      <c r="AA68" s="136">
        <v>59747</v>
      </c>
      <c r="AB68" s="136">
        <v>60379</v>
      </c>
      <c r="AC68" s="136">
        <v>60915</v>
      </c>
      <c r="AD68" s="136">
        <v>61467</v>
      </c>
      <c r="AE68" s="136">
        <v>61487</v>
      </c>
      <c r="AF68" s="136">
        <v>62613</v>
      </c>
      <c r="AG68" s="136">
        <v>63351</v>
      </c>
      <c r="AH68" s="136">
        <v>64179</v>
      </c>
      <c r="AI68" s="136">
        <v>64781</v>
      </c>
      <c r="AJ68" s="136">
        <v>66321</v>
      </c>
      <c r="AK68" s="136">
        <v>66729</v>
      </c>
      <c r="AL68" s="136">
        <v>67552</v>
      </c>
      <c r="AM68" s="136">
        <v>68456</v>
      </c>
      <c r="AN68" s="136">
        <v>69193</v>
      </c>
      <c r="AO68" s="136">
        <v>69400</v>
      </c>
      <c r="AP68" s="136">
        <v>69965</v>
      </c>
      <c r="AQ68" s="136">
        <v>70374</v>
      </c>
      <c r="AR68" s="136">
        <v>70949</v>
      </c>
      <c r="AS68" s="136">
        <v>70519</v>
      </c>
      <c r="AT68" s="136">
        <v>70086</v>
      </c>
      <c r="AU68" s="136">
        <v>69054</v>
      </c>
      <c r="AV68" s="136">
        <v>69611</v>
      </c>
      <c r="AW68" s="136">
        <v>70419</v>
      </c>
      <c r="AX68" s="136">
        <v>72624</v>
      </c>
      <c r="AY68" s="136">
        <v>74219</v>
      </c>
      <c r="AZ68" s="136">
        <v>74208</v>
      </c>
      <c r="BA68" s="136">
        <v>74268</v>
      </c>
      <c r="BB68" s="136">
        <v>75005</v>
      </c>
      <c r="BC68" s="136">
        <v>75336</v>
      </c>
      <c r="BD68" s="136">
        <v>75962</v>
      </c>
      <c r="BE68" s="136">
        <v>76306</v>
      </c>
      <c r="BF68" s="136">
        <v>76960</v>
      </c>
      <c r="BG68" s="136">
        <v>77177</v>
      </c>
      <c r="BH68" s="136">
        <v>77930</v>
      </c>
      <c r="BI68" s="136">
        <v>78423</v>
      </c>
      <c r="BJ68" s="136">
        <v>78905</v>
      </c>
      <c r="BK68" s="136">
        <v>79526</v>
      </c>
      <c r="BL68" s="136">
        <v>80196</v>
      </c>
      <c r="BM68" s="136">
        <v>80861</v>
      </c>
      <c r="BN68" s="136">
        <v>81428</v>
      </c>
      <c r="BO68" s="136">
        <v>81960</v>
      </c>
      <c r="BP68" s="136">
        <v>82344</v>
      </c>
      <c r="BQ68" s="136">
        <v>82726</v>
      </c>
      <c r="BR68" s="136">
        <v>83084</v>
      </c>
      <c r="BS68" s="136">
        <v>83318</v>
      </c>
      <c r="BT68" s="136">
        <v>83657</v>
      </c>
      <c r="BU68" s="136">
        <v>83919</v>
      </c>
      <c r="BV68" s="136">
        <v>84264</v>
      </c>
      <c r="BW68" s="136">
        <v>84533</v>
      </c>
      <c r="BX68" s="136">
        <v>84899</v>
      </c>
      <c r="BY68" s="136">
        <v>85282</v>
      </c>
      <c r="BZ68" s="136">
        <v>85776</v>
      </c>
      <c r="CA68" s="136">
        <v>86139</v>
      </c>
      <c r="CB68" s="136">
        <v>86401</v>
      </c>
      <c r="CC68" s="136">
        <v>86778</v>
      </c>
      <c r="CD68" s="136">
        <v>87104</v>
      </c>
      <c r="CE68" s="136">
        <v>87387</v>
      </c>
      <c r="CF68" s="136">
        <v>87757</v>
      </c>
      <c r="CG68" s="136">
        <v>88050</v>
      </c>
      <c r="CH68" s="136">
        <v>88336</v>
      </c>
      <c r="CI68" s="136">
        <v>88658</v>
      </c>
      <c r="CJ68" s="136">
        <v>88868</v>
      </c>
      <c r="CK68" s="136">
        <v>89101</v>
      </c>
      <c r="CL68" s="136">
        <v>89412</v>
      </c>
      <c r="CM68" s="136">
        <v>89617</v>
      </c>
      <c r="CN68" s="136">
        <v>89876</v>
      </c>
      <c r="CO68" s="136">
        <v>90145</v>
      </c>
      <c r="CP68" s="136">
        <v>90365</v>
      </c>
      <c r="CQ68" s="136">
        <v>90601</v>
      </c>
      <c r="CR68" s="136">
        <v>90776</v>
      </c>
      <c r="CS68" s="136">
        <v>91000</v>
      </c>
      <c r="CT68" s="136">
        <v>91180</v>
      </c>
      <c r="CU68" s="136">
        <v>91375</v>
      </c>
      <c r="CV68" s="136">
        <v>91549</v>
      </c>
      <c r="CW68" s="136">
        <v>91720</v>
      </c>
      <c r="CX68" s="136">
        <v>91921</v>
      </c>
      <c r="CY68" s="136">
        <v>92060</v>
      </c>
      <c r="CZ68" s="136">
        <v>92229</v>
      </c>
      <c r="DA68" s="136">
        <v>92364</v>
      </c>
      <c r="DB68" s="136">
        <v>92543</v>
      </c>
      <c r="DC68" s="136">
        <v>92685</v>
      </c>
      <c r="DD68" s="136">
        <v>92835</v>
      </c>
      <c r="DE68" s="136">
        <v>92964</v>
      </c>
      <c r="DF68" s="136">
        <v>93136</v>
      </c>
      <c r="DG68" s="136">
        <v>93271</v>
      </c>
      <c r="DH68" s="136">
        <v>93402</v>
      </c>
      <c r="DI68" s="136">
        <v>93532</v>
      </c>
      <c r="DJ68" s="136">
        <v>93685</v>
      </c>
      <c r="DK68" s="136">
        <v>93803</v>
      </c>
      <c r="DL68" s="136">
        <v>93922</v>
      </c>
      <c r="DM68" s="136">
        <v>94055</v>
      </c>
      <c r="DN68" s="136">
        <v>94185</v>
      </c>
      <c r="DO68" s="136">
        <v>94312</v>
      </c>
    </row>
    <row r="69" spans="1:119">
      <c r="A69" s="135">
        <v>67</v>
      </c>
      <c r="B69" s="136"/>
      <c r="C69" s="136"/>
      <c r="D69" s="136"/>
      <c r="E69" s="136"/>
      <c r="F69" s="136"/>
      <c r="G69" s="136"/>
      <c r="H69" s="136"/>
      <c r="I69" s="136"/>
      <c r="J69" s="136"/>
      <c r="K69" s="136"/>
      <c r="L69" s="136"/>
      <c r="M69" s="136"/>
      <c r="N69" s="136"/>
      <c r="O69" s="136"/>
      <c r="P69" s="136"/>
      <c r="Q69" s="136"/>
      <c r="R69" s="136"/>
      <c r="S69" s="136"/>
      <c r="T69" s="136"/>
      <c r="U69" s="136"/>
      <c r="V69" s="136"/>
      <c r="W69" s="136">
        <v>54575</v>
      </c>
      <c r="X69" s="136">
        <v>55545</v>
      </c>
      <c r="Y69" s="136">
        <v>55599</v>
      </c>
      <c r="Z69" s="136">
        <v>57529</v>
      </c>
      <c r="AA69" s="136">
        <v>58180</v>
      </c>
      <c r="AB69" s="136">
        <v>58808</v>
      </c>
      <c r="AC69" s="136">
        <v>59303</v>
      </c>
      <c r="AD69" s="136">
        <v>59886</v>
      </c>
      <c r="AE69" s="136">
        <v>59889</v>
      </c>
      <c r="AF69" s="136">
        <v>61096</v>
      </c>
      <c r="AG69" s="136">
        <v>61860</v>
      </c>
      <c r="AH69" s="136">
        <v>62733</v>
      </c>
      <c r="AI69" s="136">
        <v>63340</v>
      </c>
      <c r="AJ69" s="136">
        <v>64943</v>
      </c>
      <c r="AK69" s="136">
        <v>65380</v>
      </c>
      <c r="AL69" s="136">
        <v>66234</v>
      </c>
      <c r="AM69" s="136">
        <v>67160</v>
      </c>
      <c r="AN69" s="136">
        <v>67944</v>
      </c>
      <c r="AO69" s="136">
        <v>68195</v>
      </c>
      <c r="AP69" s="136">
        <v>68753</v>
      </c>
      <c r="AQ69" s="136">
        <v>69171</v>
      </c>
      <c r="AR69" s="136">
        <v>69779</v>
      </c>
      <c r="AS69" s="136">
        <v>69374</v>
      </c>
      <c r="AT69" s="136">
        <v>68896</v>
      </c>
      <c r="AU69" s="136">
        <v>67924</v>
      </c>
      <c r="AV69" s="136">
        <v>68455</v>
      </c>
      <c r="AW69" s="136">
        <v>69282</v>
      </c>
      <c r="AX69" s="136">
        <v>71409</v>
      </c>
      <c r="AY69" s="136">
        <v>73008</v>
      </c>
      <c r="AZ69" s="136">
        <v>73022</v>
      </c>
      <c r="BA69" s="136">
        <v>73104</v>
      </c>
      <c r="BB69" s="136">
        <v>73853</v>
      </c>
      <c r="BC69" s="136">
        <v>74202</v>
      </c>
      <c r="BD69" s="136">
        <v>74840</v>
      </c>
      <c r="BE69" s="136">
        <v>75202</v>
      </c>
      <c r="BF69" s="136">
        <v>75869</v>
      </c>
      <c r="BG69" s="136">
        <v>76105</v>
      </c>
      <c r="BH69" s="136">
        <v>76869</v>
      </c>
      <c r="BI69" s="136">
        <v>77376</v>
      </c>
      <c r="BJ69" s="136">
        <v>77872</v>
      </c>
      <c r="BK69" s="136">
        <v>78506</v>
      </c>
      <c r="BL69" s="136">
        <v>79188</v>
      </c>
      <c r="BM69" s="136">
        <v>79865</v>
      </c>
      <c r="BN69" s="136">
        <v>80445</v>
      </c>
      <c r="BO69" s="136">
        <v>80990</v>
      </c>
      <c r="BP69" s="136">
        <v>81389</v>
      </c>
      <c r="BQ69" s="136">
        <v>81786</v>
      </c>
      <c r="BR69" s="136">
        <v>82159</v>
      </c>
      <c r="BS69" s="136">
        <v>82409</v>
      </c>
      <c r="BT69" s="136">
        <v>82763</v>
      </c>
      <c r="BU69" s="136">
        <v>83040</v>
      </c>
      <c r="BV69" s="136">
        <v>83400</v>
      </c>
      <c r="BW69" s="136">
        <v>83683</v>
      </c>
      <c r="BX69" s="136">
        <v>84063</v>
      </c>
      <c r="BY69" s="136">
        <v>84458</v>
      </c>
      <c r="BZ69" s="136">
        <v>84965</v>
      </c>
      <c r="CA69" s="136">
        <v>85341</v>
      </c>
      <c r="CB69" s="136">
        <v>85617</v>
      </c>
      <c r="CC69" s="136">
        <v>86006</v>
      </c>
      <c r="CD69" s="136">
        <v>86345</v>
      </c>
      <c r="CE69" s="136">
        <v>86640</v>
      </c>
      <c r="CF69" s="136">
        <v>87023</v>
      </c>
      <c r="CG69" s="136">
        <v>87328</v>
      </c>
      <c r="CH69" s="136">
        <v>87627</v>
      </c>
      <c r="CI69" s="136">
        <v>87960</v>
      </c>
      <c r="CJ69" s="136">
        <v>88182</v>
      </c>
      <c r="CK69" s="136">
        <v>88428</v>
      </c>
      <c r="CL69" s="136">
        <v>88750</v>
      </c>
      <c r="CM69" s="136">
        <v>88967</v>
      </c>
      <c r="CN69" s="136">
        <v>89237</v>
      </c>
      <c r="CO69" s="136">
        <v>89517</v>
      </c>
      <c r="CP69" s="136">
        <v>89748</v>
      </c>
      <c r="CQ69" s="136">
        <v>89995</v>
      </c>
      <c r="CR69" s="136">
        <v>90181</v>
      </c>
      <c r="CS69" s="136">
        <v>90416</v>
      </c>
      <c r="CT69" s="136">
        <v>90607</v>
      </c>
      <c r="CU69" s="136">
        <v>90812</v>
      </c>
      <c r="CV69" s="136">
        <v>90996</v>
      </c>
      <c r="CW69" s="136">
        <v>91177</v>
      </c>
      <c r="CX69" s="136">
        <v>91388</v>
      </c>
      <c r="CY69" s="136">
        <v>91537</v>
      </c>
      <c r="CZ69" s="136">
        <v>91716</v>
      </c>
      <c r="DA69" s="136">
        <v>91861</v>
      </c>
      <c r="DB69" s="136">
        <v>92048</v>
      </c>
      <c r="DC69" s="136">
        <v>92200</v>
      </c>
      <c r="DD69" s="136">
        <v>92359</v>
      </c>
      <c r="DE69" s="136">
        <v>92496</v>
      </c>
      <c r="DF69" s="136">
        <v>92677</v>
      </c>
      <c r="DG69" s="136">
        <v>92821</v>
      </c>
      <c r="DH69" s="136">
        <v>92960</v>
      </c>
      <c r="DI69" s="136">
        <v>93098</v>
      </c>
      <c r="DJ69" s="136">
        <v>93260</v>
      </c>
      <c r="DK69" s="136">
        <v>93385</v>
      </c>
      <c r="DL69" s="136">
        <v>93513</v>
      </c>
      <c r="DM69" s="136">
        <v>93654</v>
      </c>
      <c r="DN69" s="136">
        <v>93791</v>
      </c>
      <c r="DO69" s="136">
        <v>93925</v>
      </c>
    </row>
    <row r="70" spans="1:119">
      <c r="A70" s="135">
        <v>68</v>
      </c>
      <c r="B70" s="136"/>
      <c r="C70" s="136"/>
      <c r="D70" s="136"/>
      <c r="E70" s="136"/>
      <c r="F70" s="136"/>
      <c r="G70" s="136"/>
      <c r="H70" s="136"/>
      <c r="I70" s="136"/>
      <c r="J70" s="136"/>
      <c r="K70" s="136"/>
      <c r="L70" s="136"/>
      <c r="M70" s="136"/>
      <c r="N70" s="136"/>
      <c r="O70" s="136"/>
      <c r="P70" s="136"/>
      <c r="Q70" s="136"/>
      <c r="R70" s="136"/>
      <c r="S70" s="136"/>
      <c r="T70" s="136"/>
      <c r="U70" s="136"/>
      <c r="V70" s="136"/>
      <c r="W70" s="136">
        <v>52923</v>
      </c>
      <c r="X70" s="136">
        <v>53885</v>
      </c>
      <c r="Y70" s="136">
        <v>53972</v>
      </c>
      <c r="Z70" s="136">
        <v>55855</v>
      </c>
      <c r="AA70" s="136">
        <v>56533</v>
      </c>
      <c r="AB70" s="136">
        <v>57180</v>
      </c>
      <c r="AC70" s="136">
        <v>57622</v>
      </c>
      <c r="AD70" s="136">
        <v>58165</v>
      </c>
      <c r="AE70" s="136">
        <v>58268</v>
      </c>
      <c r="AF70" s="136">
        <v>59505</v>
      </c>
      <c r="AG70" s="136">
        <v>60296</v>
      </c>
      <c r="AH70" s="136">
        <v>61180</v>
      </c>
      <c r="AI70" s="136">
        <v>61883</v>
      </c>
      <c r="AJ70" s="136">
        <v>63465</v>
      </c>
      <c r="AK70" s="136">
        <v>63922</v>
      </c>
      <c r="AL70" s="136">
        <v>64878</v>
      </c>
      <c r="AM70" s="136">
        <v>65839</v>
      </c>
      <c r="AN70" s="136">
        <v>66658</v>
      </c>
      <c r="AO70" s="136">
        <v>66946</v>
      </c>
      <c r="AP70" s="136">
        <v>67499</v>
      </c>
      <c r="AQ70" s="136">
        <v>67929</v>
      </c>
      <c r="AR70" s="136">
        <v>68557</v>
      </c>
      <c r="AS70" s="136">
        <v>68127</v>
      </c>
      <c r="AT70" s="136">
        <v>67679</v>
      </c>
      <c r="AU70" s="136">
        <v>66723</v>
      </c>
      <c r="AV70" s="136">
        <v>67224</v>
      </c>
      <c r="AW70" s="136">
        <v>68073</v>
      </c>
      <c r="AX70" s="136">
        <v>70151</v>
      </c>
      <c r="AY70" s="136">
        <v>71747</v>
      </c>
      <c r="AZ70" s="136">
        <v>71786</v>
      </c>
      <c r="BA70" s="136">
        <v>71892</v>
      </c>
      <c r="BB70" s="136">
        <v>72652</v>
      </c>
      <c r="BC70" s="136">
        <v>73020</v>
      </c>
      <c r="BD70" s="136">
        <v>73672</v>
      </c>
      <c r="BE70" s="136">
        <v>74051</v>
      </c>
      <c r="BF70" s="136">
        <v>74731</v>
      </c>
      <c r="BG70" s="136">
        <v>74986</v>
      </c>
      <c r="BH70" s="136">
        <v>75761</v>
      </c>
      <c r="BI70" s="136">
        <v>76283</v>
      </c>
      <c r="BJ70" s="136">
        <v>76794</v>
      </c>
      <c r="BK70" s="136">
        <v>77441</v>
      </c>
      <c r="BL70" s="136">
        <v>78135</v>
      </c>
      <c r="BM70" s="136">
        <v>78824</v>
      </c>
      <c r="BN70" s="136">
        <v>79418</v>
      </c>
      <c r="BO70" s="136">
        <v>79977</v>
      </c>
      <c r="BP70" s="136">
        <v>80391</v>
      </c>
      <c r="BQ70" s="136">
        <v>80804</v>
      </c>
      <c r="BR70" s="136">
        <v>81192</v>
      </c>
      <c r="BS70" s="136">
        <v>81459</v>
      </c>
      <c r="BT70" s="136">
        <v>81828</v>
      </c>
      <c r="BU70" s="136">
        <v>82121</v>
      </c>
      <c r="BV70" s="136">
        <v>82495</v>
      </c>
      <c r="BW70" s="136">
        <v>82794</v>
      </c>
      <c r="BX70" s="136">
        <v>83188</v>
      </c>
      <c r="BY70" s="136">
        <v>83597</v>
      </c>
      <c r="BZ70" s="136">
        <v>84116</v>
      </c>
      <c r="CA70" s="136">
        <v>84505</v>
      </c>
      <c r="CB70" s="136">
        <v>84796</v>
      </c>
      <c r="CC70" s="136">
        <v>85198</v>
      </c>
      <c r="CD70" s="136">
        <v>85550</v>
      </c>
      <c r="CE70" s="136">
        <v>85859</v>
      </c>
      <c r="CF70" s="136">
        <v>86254</v>
      </c>
      <c r="CG70" s="136">
        <v>86572</v>
      </c>
      <c r="CH70" s="136">
        <v>86884</v>
      </c>
      <c r="CI70" s="136">
        <v>87229</v>
      </c>
      <c r="CJ70" s="136">
        <v>87464</v>
      </c>
      <c r="CK70" s="136">
        <v>87723</v>
      </c>
      <c r="CL70" s="136">
        <v>88056</v>
      </c>
      <c r="CM70" s="136">
        <v>88286</v>
      </c>
      <c r="CN70" s="136">
        <v>88568</v>
      </c>
      <c r="CO70" s="136">
        <v>88859</v>
      </c>
      <c r="CP70" s="136">
        <v>89102</v>
      </c>
      <c r="CQ70" s="136">
        <v>89360</v>
      </c>
      <c r="CR70" s="136">
        <v>89558</v>
      </c>
      <c r="CS70" s="136">
        <v>89804</v>
      </c>
      <c r="CT70" s="136">
        <v>90006</v>
      </c>
      <c r="CU70" s="136">
        <v>90221</v>
      </c>
      <c r="CV70" s="136">
        <v>90416</v>
      </c>
      <c r="CW70" s="136">
        <v>90608</v>
      </c>
      <c r="CX70" s="136">
        <v>90829</v>
      </c>
      <c r="CY70" s="136">
        <v>90989</v>
      </c>
      <c r="CZ70" s="136">
        <v>91178</v>
      </c>
      <c r="DA70" s="136">
        <v>91333</v>
      </c>
      <c r="DB70" s="136">
        <v>91529</v>
      </c>
      <c r="DC70" s="136">
        <v>91691</v>
      </c>
      <c r="DD70" s="136">
        <v>91860</v>
      </c>
      <c r="DE70" s="136">
        <v>92006</v>
      </c>
      <c r="DF70" s="136">
        <v>92196</v>
      </c>
      <c r="DG70" s="136">
        <v>92349</v>
      </c>
      <c r="DH70" s="136">
        <v>92497</v>
      </c>
      <c r="DI70" s="136">
        <v>92644</v>
      </c>
      <c r="DJ70" s="136">
        <v>92814</v>
      </c>
      <c r="DK70" s="136">
        <v>92948</v>
      </c>
      <c r="DL70" s="136">
        <v>93084</v>
      </c>
      <c r="DM70" s="136">
        <v>93232</v>
      </c>
      <c r="DN70" s="136">
        <v>93378</v>
      </c>
      <c r="DO70" s="136">
        <v>93519</v>
      </c>
    </row>
    <row r="71" spans="1:119">
      <c r="A71" s="135">
        <v>69</v>
      </c>
      <c r="B71" s="136"/>
      <c r="C71" s="136"/>
      <c r="D71" s="136"/>
      <c r="E71" s="136"/>
      <c r="F71" s="136"/>
      <c r="G71" s="136"/>
      <c r="H71" s="136"/>
      <c r="I71" s="136"/>
      <c r="J71" s="136"/>
      <c r="K71" s="136"/>
      <c r="L71" s="136"/>
      <c r="M71" s="136"/>
      <c r="N71" s="136"/>
      <c r="O71" s="136"/>
      <c r="P71" s="136"/>
      <c r="Q71" s="136"/>
      <c r="R71" s="136"/>
      <c r="S71" s="136"/>
      <c r="T71" s="136"/>
      <c r="U71" s="136"/>
      <c r="V71" s="136"/>
      <c r="W71" s="136">
        <v>51171</v>
      </c>
      <c r="X71" s="136">
        <v>52151</v>
      </c>
      <c r="Y71" s="136">
        <v>52272</v>
      </c>
      <c r="Z71" s="136">
        <v>54102</v>
      </c>
      <c r="AA71" s="136">
        <v>54827</v>
      </c>
      <c r="AB71" s="136">
        <v>55486</v>
      </c>
      <c r="AC71" s="136">
        <v>55887</v>
      </c>
      <c r="AD71" s="136">
        <v>56417</v>
      </c>
      <c r="AE71" s="136">
        <v>56591</v>
      </c>
      <c r="AF71" s="136">
        <v>57830</v>
      </c>
      <c r="AG71" s="136">
        <v>58663</v>
      </c>
      <c r="AH71" s="136">
        <v>59615</v>
      </c>
      <c r="AI71" s="136">
        <v>60360</v>
      </c>
      <c r="AJ71" s="136">
        <v>61904</v>
      </c>
      <c r="AK71" s="136">
        <v>62439</v>
      </c>
      <c r="AL71" s="136">
        <v>63446</v>
      </c>
      <c r="AM71" s="136">
        <v>64447</v>
      </c>
      <c r="AN71" s="136">
        <v>65319</v>
      </c>
      <c r="AO71" s="136">
        <v>65617</v>
      </c>
      <c r="AP71" s="136">
        <v>66180</v>
      </c>
      <c r="AQ71" s="136">
        <v>66614</v>
      </c>
      <c r="AR71" s="136">
        <v>67252</v>
      </c>
      <c r="AS71" s="136">
        <v>66824</v>
      </c>
      <c r="AT71" s="136">
        <v>66344</v>
      </c>
      <c r="AU71" s="136">
        <v>65451</v>
      </c>
      <c r="AV71" s="136">
        <v>65939</v>
      </c>
      <c r="AW71" s="136">
        <v>66779</v>
      </c>
      <c r="AX71" s="136">
        <v>68843</v>
      </c>
      <c r="AY71" s="136">
        <v>70436</v>
      </c>
      <c r="AZ71" s="136">
        <v>70500</v>
      </c>
      <c r="BA71" s="136">
        <v>70630</v>
      </c>
      <c r="BB71" s="136">
        <v>71402</v>
      </c>
      <c r="BC71" s="136">
        <v>71788</v>
      </c>
      <c r="BD71" s="136">
        <v>72454</v>
      </c>
      <c r="BE71" s="136">
        <v>72851</v>
      </c>
      <c r="BF71" s="136">
        <v>73544</v>
      </c>
      <c r="BG71" s="136">
        <v>73819</v>
      </c>
      <c r="BH71" s="136">
        <v>74605</v>
      </c>
      <c r="BI71" s="136">
        <v>75143</v>
      </c>
      <c r="BJ71" s="136">
        <v>75669</v>
      </c>
      <c r="BK71" s="136">
        <v>76328</v>
      </c>
      <c r="BL71" s="136">
        <v>77035</v>
      </c>
      <c r="BM71" s="136">
        <v>77737</v>
      </c>
      <c r="BN71" s="136">
        <v>78345</v>
      </c>
      <c r="BO71" s="136">
        <v>78918</v>
      </c>
      <c r="BP71" s="136">
        <v>79349</v>
      </c>
      <c r="BQ71" s="136">
        <v>79777</v>
      </c>
      <c r="BR71" s="136">
        <v>80182</v>
      </c>
      <c r="BS71" s="136">
        <v>80466</v>
      </c>
      <c r="BT71" s="136">
        <v>80850</v>
      </c>
      <c r="BU71" s="136">
        <v>81160</v>
      </c>
      <c r="BV71" s="136">
        <v>81550</v>
      </c>
      <c r="BW71" s="136">
        <v>81864</v>
      </c>
      <c r="BX71" s="136">
        <v>82272</v>
      </c>
      <c r="BY71" s="136">
        <v>82696</v>
      </c>
      <c r="BZ71" s="136">
        <v>83227</v>
      </c>
      <c r="CA71" s="136">
        <v>83631</v>
      </c>
      <c r="CB71" s="136">
        <v>83936</v>
      </c>
      <c r="CC71" s="136">
        <v>84351</v>
      </c>
      <c r="CD71" s="136">
        <v>84718</v>
      </c>
      <c r="CE71" s="136">
        <v>85040</v>
      </c>
      <c r="CF71" s="136">
        <v>85449</v>
      </c>
      <c r="CG71" s="136">
        <v>85780</v>
      </c>
      <c r="CH71" s="136">
        <v>86105</v>
      </c>
      <c r="CI71" s="136">
        <v>86463</v>
      </c>
      <c r="CJ71" s="136">
        <v>86712</v>
      </c>
      <c r="CK71" s="136">
        <v>86983</v>
      </c>
      <c r="CL71" s="136">
        <v>87329</v>
      </c>
      <c r="CM71" s="136">
        <v>87572</v>
      </c>
      <c r="CN71" s="136">
        <v>87866</v>
      </c>
      <c r="CO71" s="136">
        <v>88169</v>
      </c>
      <c r="CP71" s="136">
        <v>88424</v>
      </c>
      <c r="CQ71" s="136">
        <v>88694</v>
      </c>
      <c r="CR71" s="136">
        <v>88904</v>
      </c>
      <c r="CS71" s="136">
        <v>89161</v>
      </c>
      <c r="CT71" s="136">
        <v>89375</v>
      </c>
      <c r="CU71" s="136">
        <v>89602</v>
      </c>
      <c r="CV71" s="136">
        <v>89808</v>
      </c>
      <c r="CW71" s="136">
        <v>90011</v>
      </c>
      <c r="CX71" s="136">
        <v>90243</v>
      </c>
      <c r="CY71" s="136">
        <v>90413</v>
      </c>
      <c r="CZ71" s="136">
        <v>90613</v>
      </c>
      <c r="DA71" s="136">
        <v>90778</v>
      </c>
      <c r="DB71" s="136">
        <v>90985</v>
      </c>
      <c r="DC71" s="136">
        <v>91157</v>
      </c>
      <c r="DD71" s="136">
        <v>91335</v>
      </c>
      <c r="DE71" s="136">
        <v>91492</v>
      </c>
      <c r="DF71" s="136">
        <v>91691</v>
      </c>
      <c r="DG71" s="136">
        <v>91853</v>
      </c>
      <c r="DH71" s="136">
        <v>92011</v>
      </c>
      <c r="DI71" s="136">
        <v>92167</v>
      </c>
      <c r="DJ71" s="136">
        <v>92345</v>
      </c>
      <c r="DK71" s="136">
        <v>92488</v>
      </c>
      <c r="DL71" s="136">
        <v>92633</v>
      </c>
      <c r="DM71" s="136">
        <v>92790</v>
      </c>
      <c r="DN71" s="136">
        <v>92943</v>
      </c>
      <c r="DO71" s="136">
        <v>93094</v>
      </c>
    </row>
    <row r="72" spans="1:119">
      <c r="A72" s="135">
        <v>70</v>
      </c>
      <c r="B72" s="136"/>
      <c r="C72" s="136"/>
      <c r="D72" s="136"/>
      <c r="E72" s="136"/>
      <c r="F72" s="136"/>
      <c r="G72" s="136"/>
      <c r="H72" s="136"/>
      <c r="I72" s="136"/>
      <c r="J72" s="136"/>
      <c r="K72" s="136"/>
      <c r="L72" s="136"/>
      <c r="M72" s="136"/>
      <c r="N72" s="136"/>
      <c r="O72" s="136"/>
      <c r="P72" s="136"/>
      <c r="Q72" s="136"/>
      <c r="R72" s="136"/>
      <c r="S72" s="136"/>
      <c r="T72" s="136"/>
      <c r="U72" s="136"/>
      <c r="V72" s="136"/>
      <c r="W72" s="136">
        <v>49364</v>
      </c>
      <c r="X72" s="136">
        <v>50354</v>
      </c>
      <c r="Y72" s="136">
        <v>50499</v>
      </c>
      <c r="Z72" s="136">
        <v>52306</v>
      </c>
      <c r="AA72" s="136">
        <v>53043</v>
      </c>
      <c r="AB72" s="136">
        <v>53665</v>
      </c>
      <c r="AC72" s="136">
        <v>54135</v>
      </c>
      <c r="AD72" s="136">
        <v>54657</v>
      </c>
      <c r="AE72" s="136">
        <v>54843</v>
      </c>
      <c r="AF72" s="136">
        <v>56156</v>
      </c>
      <c r="AG72" s="136">
        <v>57015</v>
      </c>
      <c r="AH72" s="136">
        <v>58002</v>
      </c>
      <c r="AI72" s="136">
        <v>58745</v>
      </c>
      <c r="AJ72" s="136">
        <v>60330</v>
      </c>
      <c r="AK72" s="136">
        <v>60926</v>
      </c>
      <c r="AL72" s="136">
        <v>61990</v>
      </c>
      <c r="AM72" s="136">
        <v>63027</v>
      </c>
      <c r="AN72" s="136">
        <v>63909</v>
      </c>
      <c r="AO72" s="136">
        <v>64197</v>
      </c>
      <c r="AP72" s="136">
        <v>64792</v>
      </c>
      <c r="AQ72" s="136">
        <v>65210</v>
      </c>
      <c r="AR72" s="136">
        <v>65879</v>
      </c>
      <c r="AS72" s="136">
        <v>65431</v>
      </c>
      <c r="AT72" s="136">
        <v>65027</v>
      </c>
      <c r="AU72" s="136">
        <v>64081</v>
      </c>
      <c r="AV72" s="136">
        <v>64584</v>
      </c>
      <c r="AW72" s="136">
        <v>65434</v>
      </c>
      <c r="AX72" s="136">
        <v>67485</v>
      </c>
      <c r="AY72" s="136">
        <v>69074</v>
      </c>
      <c r="AZ72" s="136">
        <v>69163</v>
      </c>
      <c r="BA72" s="136">
        <v>69317</v>
      </c>
      <c r="BB72" s="136">
        <v>70102</v>
      </c>
      <c r="BC72" s="136">
        <v>70506</v>
      </c>
      <c r="BD72" s="136">
        <v>71186</v>
      </c>
      <c r="BE72" s="136">
        <v>71601</v>
      </c>
      <c r="BF72" s="136">
        <v>72307</v>
      </c>
      <c r="BG72" s="136">
        <v>72602</v>
      </c>
      <c r="BH72" s="136">
        <v>73400</v>
      </c>
      <c r="BI72" s="136">
        <v>73953</v>
      </c>
      <c r="BJ72" s="136">
        <v>74494</v>
      </c>
      <c r="BK72" s="136">
        <v>75167</v>
      </c>
      <c r="BL72" s="136">
        <v>75886</v>
      </c>
      <c r="BM72" s="136">
        <v>76602</v>
      </c>
      <c r="BN72" s="136">
        <v>77224</v>
      </c>
      <c r="BO72" s="136">
        <v>77812</v>
      </c>
      <c r="BP72" s="136">
        <v>78259</v>
      </c>
      <c r="BQ72" s="136">
        <v>78704</v>
      </c>
      <c r="BR72" s="136">
        <v>79125</v>
      </c>
      <c r="BS72" s="136">
        <v>79427</v>
      </c>
      <c r="BT72" s="136">
        <v>79828</v>
      </c>
      <c r="BU72" s="136">
        <v>80155</v>
      </c>
      <c r="BV72" s="136">
        <v>80560</v>
      </c>
      <c r="BW72" s="136">
        <v>80891</v>
      </c>
      <c r="BX72" s="136">
        <v>81314</v>
      </c>
      <c r="BY72" s="136">
        <v>81752</v>
      </c>
      <c r="BZ72" s="136">
        <v>82297</v>
      </c>
      <c r="CA72" s="136">
        <v>82715</v>
      </c>
      <c r="CB72" s="136">
        <v>83035</v>
      </c>
      <c r="CC72" s="136">
        <v>83465</v>
      </c>
      <c r="CD72" s="136">
        <v>83845</v>
      </c>
      <c r="CE72" s="136">
        <v>84182</v>
      </c>
      <c r="CF72" s="136">
        <v>84604</v>
      </c>
      <c r="CG72" s="136">
        <v>84949</v>
      </c>
      <c r="CH72" s="136">
        <v>85288</v>
      </c>
      <c r="CI72" s="136">
        <v>85660</v>
      </c>
      <c r="CJ72" s="136">
        <v>85922</v>
      </c>
      <c r="CK72" s="136">
        <v>86207</v>
      </c>
      <c r="CL72" s="136">
        <v>86566</v>
      </c>
      <c r="CM72" s="136">
        <v>86822</v>
      </c>
      <c r="CN72" s="136">
        <v>87129</v>
      </c>
      <c r="CO72" s="136">
        <v>87445</v>
      </c>
      <c r="CP72" s="136">
        <v>87712</v>
      </c>
      <c r="CQ72" s="136">
        <v>87995</v>
      </c>
      <c r="CR72" s="136">
        <v>88217</v>
      </c>
      <c r="CS72" s="136">
        <v>88487</v>
      </c>
      <c r="CT72" s="136">
        <v>88712</v>
      </c>
      <c r="CU72" s="136">
        <v>88951</v>
      </c>
      <c r="CV72" s="136">
        <v>89169</v>
      </c>
      <c r="CW72" s="136">
        <v>89384</v>
      </c>
      <c r="CX72" s="136">
        <v>89626</v>
      </c>
      <c r="CY72" s="136">
        <v>89809</v>
      </c>
      <c r="CZ72" s="136">
        <v>90019</v>
      </c>
      <c r="DA72" s="136">
        <v>90195</v>
      </c>
      <c r="DB72" s="136">
        <v>90413</v>
      </c>
      <c r="DC72" s="136">
        <v>90595</v>
      </c>
      <c r="DD72" s="136">
        <v>90784</v>
      </c>
      <c r="DE72" s="136">
        <v>90951</v>
      </c>
      <c r="DF72" s="136">
        <v>91159</v>
      </c>
      <c r="DG72" s="136">
        <v>91332</v>
      </c>
      <c r="DH72" s="136">
        <v>91499</v>
      </c>
      <c r="DI72" s="136">
        <v>91665</v>
      </c>
      <c r="DJ72" s="136">
        <v>91852</v>
      </c>
      <c r="DK72" s="136">
        <v>92005</v>
      </c>
      <c r="DL72" s="136">
        <v>92158</v>
      </c>
      <c r="DM72" s="136">
        <v>92324</v>
      </c>
      <c r="DN72" s="136">
        <v>92486</v>
      </c>
      <c r="DO72" s="136">
        <v>92645</v>
      </c>
    </row>
    <row r="73" spans="1:119">
      <c r="A73" s="135">
        <v>71</v>
      </c>
      <c r="B73" s="136"/>
      <c r="C73" s="136"/>
      <c r="D73" s="136"/>
      <c r="E73" s="136"/>
      <c r="F73" s="136"/>
      <c r="G73" s="136"/>
      <c r="H73" s="136"/>
      <c r="I73" s="136"/>
      <c r="J73" s="136"/>
      <c r="K73" s="136"/>
      <c r="L73" s="136"/>
      <c r="M73" s="136"/>
      <c r="N73" s="136"/>
      <c r="O73" s="136"/>
      <c r="P73" s="136"/>
      <c r="Q73" s="136"/>
      <c r="R73" s="136"/>
      <c r="S73" s="136"/>
      <c r="T73" s="136"/>
      <c r="U73" s="136"/>
      <c r="V73" s="136"/>
      <c r="W73" s="136">
        <v>47496</v>
      </c>
      <c r="X73" s="136">
        <v>48498</v>
      </c>
      <c r="Y73" s="136">
        <v>48653</v>
      </c>
      <c r="Z73" s="136">
        <v>50392</v>
      </c>
      <c r="AA73" s="136">
        <v>51179</v>
      </c>
      <c r="AB73" s="136">
        <v>51888</v>
      </c>
      <c r="AC73" s="136">
        <v>52321</v>
      </c>
      <c r="AD73" s="136">
        <v>52846</v>
      </c>
      <c r="AE73" s="136">
        <v>53061</v>
      </c>
      <c r="AF73" s="136">
        <v>54390</v>
      </c>
      <c r="AG73" s="136">
        <v>55307</v>
      </c>
      <c r="AH73" s="136">
        <v>56275</v>
      </c>
      <c r="AI73" s="136">
        <v>57107</v>
      </c>
      <c r="AJ73" s="136">
        <v>58680</v>
      </c>
      <c r="AK73" s="136">
        <v>59384</v>
      </c>
      <c r="AL73" s="136">
        <v>60453</v>
      </c>
      <c r="AM73" s="136">
        <v>61525</v>
      </c>
      <c r="AN73" s="136">
        <v>62423</v>
      </c>
      <c r="AO73" s="136">
        <v>62729</v>
      </c>
      <c r="AP73" s="136">
        <v>63296</v>
      </c>
      <c r="AQ73" s="136">
        <v>63765</v>
      </c>
      <c r="AR73" s="136">
        <v>64408</v>
      </c>
      <c r="AS73" s="136">
        <v>64013</v>
      </c>
      <c r="AT73" s="136">
        <v>63541</v>
      </c>
      <c r="AU73" s="136">
        <v>62659</v>
      </c>
      <c r="AV73" s="136">
        <v>63179</v>
      </c>
      <c r="AW73" s="136">
        <v>64038</v>
      </c>
      <c r="AX73" s="136">
        <v>66073</v>
      </c>
      <c r="AY73" s="136">
        <v>67658</v>
      </c>
      <c r="AZ73" s="136">
        <v>67773</v>
      </c>
      <c r="BA73" s="136">
        <v>67951</v>
      </c>
      <c r="BB73" s="136">
        <v>68748</v>
      </c>
      <c r="BC73" s="136">
        <v>69172</v>
      </c>
      <c r="BD73" s="136">
        <v>69865</v>
      </c>
      <c r="BE73" s="136">
        <v>70299</v>
      </c>
      <c r="BF73" s="136">
        <v>71018</v>
      </c>
      <c r="BG73" s="136">
        <v>71333</v>
      </c>
      <c r="BH73" s="136">
        <v>72142</v>
      </c>
      <c r="BI73" s="136">
        <v>72711</v>
      </c>
      <c r="BJ73" s="136">
        <v>73268</v>
      </c>
      <c r="BK73" s="136">
        <v>73955</v>
      </c>
      <c r="BL73" s="136">
        <v>74687</v>
      </c>
      <c r="BM73" s="136">
        <v>75416</v>
      </c>
      <c r="BN73" s="136">
        <v>76053</v>
      </c>
      <c r="BO73" s="136">
        <v>76656</v>
      </c>
      <c r="BP73" s="136">
        <v>77120</v>
      </c>
      <c r="BQ73" s="136">
        <v>77582</v>
      </c>
      <c r="BR73" s="136">
        <v>78020</v>
      </c>
      <c r="BS73" s="136">
        <v>78340</v>
      </c>
      <c r="BT73" s="136">
        <v>78757</v>
      </c>
      <c r="BU73" s="136">
        <v>79102</v>
      </c>
      <c r="BV73" s="136">
        <v>79523</v>
      </c>
      <c r="BW73" s="136">
        <v>79871</v>
      </c>
      <c r="BX73" s="136">
        <v>80310</v>
      </c>
      <c r="BY73" s="136">
        <v>80763</v>
      </c>
      <c r="BZ73" s="136">
        <v>81321</v>
      </c>
      <c r="CA73" s="136">
        <v>81754</v>
      </c>
      <c r="CB73" s="136">
        <v>82091</v>
      </c>
      <c r="CC73" s="136">
        <v>82534</v>
      </c>
      <c r="CD73" s="136">
        <v>82930</v>
      </c>
      <c r="CE73" s="136">
        <v>83282</v>
      </c>
      <c r="CF73" s="136">
        <v>83717</v>
      </c>
      <c r="CG73" s="136">
        <v>84077</v>
      </c>
      <c r="CH73" s="136">
        <v>84430</v>
      </c>
      <c r="CI73" s="136">
        <v>84816</v>
      </c>
      <c r="CJ73" s="136">
        <v>85093</v>
      </c>
      <c r="CK73" s="136">
        <v>85392</v>
      </c>
      <c r="CL73" s="136">
        <v>85764</v>
      </c>
      <c r="CM73" s="136">
        <v>86034</v>
      </c>
      <c r="CN73" s="136">
        <v>86354</v>
      </c>
      <c r="CO73" s="136">
        <v>86683</v>
      </c>
      <c r="CP73" s="136">
        <v>86963</v>
      </c>
      <c r="CQ73" s="136">
        <v>87259</v>
      </c>
      <c r="CR73" s="136">
        <v>87495</v>
      </c>
      <c r="CS73" s="136">
        <v>87776</v>
      </c>
      <c r="CT73" s="136">
        <v>88015</v>
      </c>
      <c r="CU73" s="136">
        <v>88266</v>
      </c>
      <c r="CV73" s="136">
        <v>88496</v>
      </c>
      <c r="CW73" s="136">
        <v>88723</v>
      </c>
      <c r="CX73" s="136">
        <v>88977</v>
      </c>
      <c r="CY73" s="136">
        <v>89171</v>
      </c>
      <c r="CZ73" s="136">
        <v>89393</v>
      </c>
      <c r="DA73" s="136">
        <v>89581</v>
      </c>
      <c r="DB73" s="136">
        <v>89810</v>
      </c>
      <c r="DC73" s="136">
        <v>90003</v>
      </c>
      <c r="DD73" s="136">
        <v>90203</v>
      </c>
      <c r="DE73" s="136">
        <v>90380</v>
      </c>
      <c r="DF73" s="136">
        <v>90599</v>
      </c>
      <c r="DG73" s="136">
        <v>90782</v>
      </c>
      <c r="DH73" s="136">
        <v>90959</v>
      </c>
      <c r="DI73" s="136">
        <v>91135</v>
      </c>
      <c r="DJ73" s="136">
        <v>91333</v>
      </c>
      <c r="DK73" s="136">
        <v>91494</v>
      </c>
      <c r="DL73" s="136">
        <v>91658</v>
      </c>
      <c r="DM73" s="136">
        <v>91833</v>
      </c>
      <c r="DN73" s="136">
        <v>92004</v>
      </c>
      <c r="DO73" s="136">
        <v>92172</v>
      </c>
    </row>
    <row r="74" spans="1:119">
      <c r="A74" s="135">
        <v>72</v>
      </c>
      <c r="B74" s="136"/>
      <c r="C74" s="136"/>
      <c r="D74" s="136"/>
      <c r="E74" s="136"/>
      <c r="F74" s="136"/>
      <c r="G74" s="136"/>
      <c r="H74" s="136"/>
      <c r="I74" s="136"/>
      <c r="J74" s="136"/>
      <c r="K74" s="136"/>
      <c r="L74" s="136"/>
      <c r="M74" s="136"/>
      <c r="N74" s="136"/>
      <c r="O74" s="136"/>
      <c r="P74" s="136"/>
      <c r="Q74" s="136"/>
      <c r="R74" s="136"/>
      <c r="S74" s="136"/>
      <c r="T74" s="136"/>
      <c r="U74" s="136"/>
      <c r="V74" s="136"/>
      <c r="W74" s="136">
        <v>45529</v>
      </c>
      <c r="X74" s="136">
        <v>46545</v>
      </c>
      <c r="Y74" s="136">
        <v>46733</v>
      </c>
      <c r="Z74" s="136">
        <v>48390</v>
      </c>
      <c r="AA74" s="136">
        <v>49262</v>
      </c>
      <c r="AB74" s="136">
        <v>50015</v>
      </c>
      <c r="AC74" s="136">
        <v>50441</v>
      </c>
      <c r="AD74" s="136">
        <v>50975</v>
      </c>
      <c r="AE74" s="136">
        <v>51231</v>
      </c>
      <c r="AF74" s="136">
        <v>52574</v>
      </c>
      <c r="AG74" s="136">
        <v>53492</v>
      </c>
      <c r="AH74" s="136">
        <v>54551</v>
      </c>
      <c r="AI74" s="136">
        <v>55415</v>
      </c>
      <c r="AJ74" s="136">
        <v>57000</v>
      </c>
      <c r="AK74" s="136">
        <v>57748</v>
      </c>
      <c r="AL74" s="136">
        <v>58857</v>
      </c>
      <c r="AM74" s="136">
        <v>59950</v>
      </c>
      <c r="AN74" s="136">
        <v>60873</v>
      </c>
      <c r="AO74" s="136">
        <v>61167</v>
      </c>
      <c r="AP74" s="136">
        <v>61758</v>
      </c>
      <c r="AQ74" s="136">
        <v>62208</v>
      </c>
      <c r="AR74" s="136">
        <v>62889</v>
      </c>
      <c r="AS74" s="136">
        <v>62434</v>
      </c>
      <c r="AT74" s="136">
        <v>62014</v>
      </c>
      <c r="AU74" s="136">
        <v>61182</v>
      </c>
      <c r="AV74" s="136">
        <v>61719</v>
      </c>
      <c r="AW74" s="136">
        <v>62587</v>
      </c>
      <c r="AX74" s="136">
        <v>64605</v>
      </c>
      <c r="AY74" s="136">
        <v>66184</v>
      </c>
      <c r="AZ74" s="136">
        <v>66326</v>
      </c>
      <c r="BA74" s="136">
        <v>66528</v>
      </c>
      <c r="BB74" s="136">
        <v>67336</v>
      </c>
      <c r="BC74" s="136">
        <v>67779</v>
      </c>
      <c r="BD74" s="136">
        <v>68486</v>
      </c>
      <c r="BE74" s="136">
        <v>68938</v>
      </c>
      <c r="BF74" s="136">
        <v>69670</v>
      </c>
      <c r="BG74" s="136">
        <v>70005</v>
      </c>
      <c r="BH74" s="136">
        <v>70826</v>
      </c>
      <c r="BI74" s="136">
        <v>71410</v>
      </c>
      <c r="BJ74" s="136">
        <v>71983</v>
      </c>
      <c r="BK74" s="136">
        <v>72684</v>
      </c>
      <c r="BL74" s="136">
        <v>73430</v>
      </c>
      <c r="BM74" s="136">
        <v>74171</v>
      </c>
      <c r="BN74" s="136">
        <v>74823</v>
      </c>
      <c r="BO74" s="136">
        <v>75442</v>
      </c>
      <c r="BP74" s="136">
        <v>75923</v>
      </c>
      <c r="BQ74" s="136">
        <v>76402</v>
      </c>
      <c r="BR74" s="136">
        <v>76857</v>
      </c>
      <c r="BS74" s="136">
        <v>77196</v>
      </c>
      <c r="BT74" s="136">
        <v>77630</v>
      </c>
      <c r="BU74" s="136">
        <v>77992</v>
      </c>
      <c r="BV74" s="136">
        <v>78430</v>
      </c>
      <c r="BW74" s="136">
        <v>78795</v>
      </c>
      <c r="BX74" s="136">
        <v>79250</v>
      </c>
      <c r="BY74" s="136">
        <v>79719</v>
      </c>
      <c r="BZ74" s="136">
        <v>80291</v>
      </c>
      <c r="CA74" s="136">
        <v>80739</v>
      </c>
      <c r="CB74" s="136">
        <v>81092</v>
      </c>
      <c r="CC74" s="136">
        <v>81550</v>
      </c>
      <c r="CD74" s="136">
        <v>81961</v>
      </c>
      <c r="CE74" s="136">
        <v>82328</v>
      </c>
      <c r="CF74" s="136">
        <v>82778</v>
      </c>
      <c r="CG74" s="136">
        <v>83153</v>
      </c>
      <c r="CH74" s="136">
        <v>83520</v>
      </c>
      <c r="CI74" s="136">
        <v>83920</v>
      </c>
      <c r="CJ74" s="136">
        <v>84213</v>
      </c>
      <c r="CK74" s="136">
        <v>84526</v>
      </c>
      <c r="CL74" s="136">
        <v>84912</v>
      </c>
      <c r="CM74" s="136">
        <v>85197</v>
      </c>
      <c r="CN74" s="136">
        <v>85530</v>
      </c>
      <c r="CO74" s="136">
        <v>85873</v>
      </c>
      <c r="CP74" s="136">
        <v>86167</v>
      </c>
      <c r="CQ74" s="136">
        <v>86476</v>
      </c>
      <c r="CR74" s="136">
        <v>86725</v>
      </c>
      <c r="CS74" s="136">
        <v>87020</v>
      </c>
      <c r="CT74" s="136">
        <v>87272</v>
      </c>
      <c r="CU74" s="136">
        <v>87536</v>
      </c>
      <c r="CV74" s="136">
        <v>87779</v>
      </c>
      <c r="CW74" s="136">
        <v>88018</v>
      </c>
      <c r="CX74" s="136">
        <v>88284</v>
      </c>
      <c r="CY74" s="136">
        <v>88491</v>
      </c>
      <c r="CZ74" s="136">
        <v>88725</v>
      </c>
      <c r="DA74" s="136">
        <v>88925</v>
      </c>
      <c r="DB74" s="136">
        <v>89165</v>
      </c>
      <c r="DC74" s="136">
        <v>89370</v>
      </c>
      <c r="DD74" s="136">
        <v>89581</v>
      </c>
      <c r="DE74" s="136">
        <v>89770</v>
      </c>
      <c r="DF74" s="136">
        <v>90000</v>
      </c>
      <c r="DG74" s="136">
        <v>90193</v>
      </c>
      <c r="DH74" s="136">
        <v>90381</v>
      </c>
      <c r="DI74" s="136">
        <v>90567</v>
      </c>
      <c r="DJ74" s="136">
        <v>90775</v>
      </c>
      <c r="DK74" s="136">
        <v>90947</v>
      </c>
      <c r="DL74" s="136">
        <v>91120</v>
      </c>
      <c r="DM74" s="136">
        <v>91306</v>
      </c>
      <c r="DN74" s="136">
        <v>91487</v>
      </c>
      <c r="DO74" s="136">
        <v>91664</v>
      </c>
    </row>
    <row r="75" spans="1:119">
      <c r="A75" s="135">
        <v>73</v>
      </c>
      <c r="B75" s="136"/>
      <c r="C75" s="136"/>
      <c r="D75" s="136"/>
      <c r="E75" s="136"/>
      <c r="F75" s="136"/>
      <c r="G75" s="136"/>
      <c r="H75" s="136"/>
      <c r="I75" s="136"/>
      <c r="J75" s="136"/>
      <c r="K75" s="136"/>
      <c r="L75" s="136"/>
      <c r="M75" s="136"/>
      <c r="N75" s="136"/>
      <c r="O75" s="136"/>
      <c r="P75" s="136"/>
      <c r="Q75" s="136"/>
      <c r="R75" s="136"/>
      <c r="S75" s="136"/>
      <c r="T75" s="136"/>
      <c r="U75" s="136"/>
      <c r="V75" s="136"/>
      <c r="W75" s="136">
        <v>43516</v>
      </c>
      <c r="X75" s="136">
        <v>44542</v>
      </c>
      <c r="Y75" s="136">
        <v>44692</v>
      </c>
      <c r="Z75" s="136">
        <v>46427</v>
      </c>
      <c r="AA75" s="136">
        <v>47301</v>
      </c>
      <c r="AB75" s="136">
        <v>48075</v>
      </c>
      <c r="AC75" s="136">
        <v>48552</v>
      </c>
      <c r="AD75" s="136">
        <v>49119</v>
      </c>
      <c r="AE75" s="136">
        <v>49348</v>
      </c>
      <c r="AF75" s="136">
        <v>50661</v>
      </c>
      <c r="AG75" s="136">
        <v>51645</v>
      </c>
      <c r="AH75" s="136">
        <v>52779</v>
      </c>
      <c r="AI75" s="136">
        <v>53670</v>
      </c>
      <c r="AJ75" s="136">
        <v>55256</v>
      </c>
      <c r="AK75" s="136">
        <v>56039</v>
      </c>
      <c r="AL75" s="136">
        <v>57183</v>
      </c>
      <c r="AM75" s="136">
        <v>58324</v>
      </c>
      <c r="AN75" s="136">
        <v>59224</v>
      </c>
      <c r="AO75" s="136">
        <v>59523</v>
      </c>
      <c r="AP75" s="136">
        <v>60112</v>
      </c>
      <c r="AQ75" s="136">
        <v>60601</v>
      </c>
      <c r="AR75" s="136">
        <v>61256</v>
      </c>
      <c r="AS75" s="136">
        <v>60807</v>
      </c>
      <c r="AT75" s="136">
        <v>60429</v>
      </c>
      <c r="AU75" s="136">
        <v>59649</v>
      </c>
      <c r="AV75" s="136">
        <v>60202</v>
      </c>
      <c r="AW75" s="136">
        <v>61078</v>
      </c>
      <c r="AX75" s="136">
        <v>63077</v>
      </c>
      <c r="AY75" s="136">
        <v>64648</v>
      </c>
      <c r="AZ75" s="136">
        <v>64816</v>
      </c>
      <c r="BA75" s="136">
        <v>65043</v>
      </c>
      <c r="BB75" s="136">
        <v>65862</v>
      </c>
      <c r="BC75" s="136">
        <v>66323</v>
      </c>
      <c r="BD75" s="136">
        <v>67043</v>
      </c>
      <c r="BE75" s="136">
        <v>67513</v>
      </c>
      <c r="BF75" s="136">
        <v>68258</v>
      </c>
      <c r="BG75" s="136">
        <v>68613</v>
      </c>
      <c r="BH75" s="136">
        <v>69444</v>
      </c>
      <c r="BI75" s="136">
        <v>70044</v>
      </c>
      <c r="BJ75" s="136">
        <v>70634</v>
      </c>
      <c r="BK75" s="136">
        <v>71349</v>
      </c>
      <c r="BL75" s="136">
        <v>72108</v>
      </c>
      <c r="BM75" s="136">
        <v>72862</v>
      </c>
      <c r="BN75" s="136">
        <v>73529</v>
      </c>
      <c r="BO75" s="136">
        <v>74163</v>
      </c>
      <c r="BP75" s="136">
        <v>74661</v>
      </c>
      <c r="BQ75" s="136">
        <v>75157</v>
      </c>
      <c r="BR75" s="136">
        <v>75629</v>
      </c>
      <c r="BS75" s="136">
        <v>75987</v>
      </c>
      <c r="BT75" s="136">
        <v>76439</v>
      </c>
      <c r="BU75" s="136">
        <v>76819</v>
      </c>
      <c r="BV75" s="136">
        <v>77274</v>
      </c>
      <c r="BW75" s="136">
        <v>77657</v>
      </c>
      <c r="BX75" s="136">
        <v>78127</v>
      </c>
      <c r="BY75" s="136">
        <v>78612</v>
      </c>
      <c r="BZ75" s="136">
        <v>79198</v>
      </c>
      <c r="CA75" s="136">
        <v>79662</v>
      </c>
      <c r="CB75" s="136">
        <v>80031</v>
      </c>
      <c r="CC75" s="136">
        <v>80505</v>
      </c>
      <c r="CD75" s="136">
        <v>80931</v>
      </c>
      <c r="CE75" s="136">
        <v>81314</v>
      </c>
      <c r="CF75" s="136">
        <v>81779</v>
      </c>
      <c r="CG75" s="136">
        <v>82169</v>
      </c>
      <c r="CH75" s="136">
        <v>82552</v>
      </c>
      <c r="CI75" s="136">
        <v>82966</v>
      </c>
      <c r="CJ75" s="136">
        <v>83274</v>
      </c>
      <c r="CK75" s="136">
        <v>83603</v>
      </c>
      <c r="CL75" s="136">
        <v>84003</v>
      </c>
      <c r="CM75" s="136">
        <v>84302</v>
      </c>
      <c r="CN75" s="136">
        <v>84651</v>
      </c>
      <c r="CO75" s="136">
        <v>85007</v>
      </c>
      <c r="CP75" s="136">
        <v>85315</v>
      </c>
      <c r="CQ75" s="136">
        <v>85638</v>
      </c>
      <c r="CR75" s="136">
        <v>85901</v>
      </c>
      <c r="CS75" s="136">
        <v>86210</v>
      </c>
      <c r="CT75" s="136">
        <v>86475</v>
      </c>
      <c r="CU75" s="136">
        <v>86753</v>
      </c>
      <c r="CV75" s="136">
        <v>87009</v>
      </c>
      <c r="CW75" s="136">
        <v>87262</v>
      </c>
      <c r="CX75" s="136">
        <v>87541</v>
      </c>
      <c r="CY75" s="136">
        <v>87760</v>
      </c>
      <c r="CZ75" s="136">
        <v>88007</v>
      </c>
      <c r="DA75" s="136">
        <v>88219</v>
      </c>
      <c r="DB75" s="136">
        <v>88472</v>
      </c>
      <c r="DC75" s="136">
        <v>88688</v>
      </c>
      <c r="DD75" s="136">
        <v>88912</v>
      </c>
      <c r="DE75" s="136">
        <v>89112</v>
      </c>
      <c r="DF75" s="136">
        <v>89353</v>
      </c>
      <c r="DG75" s="136">
        <v>89558</v>
      </c>
      <c r="DH75" s="136">
        <v>89758</v>
      </c>
      <c r="DI75" s="136">
        <v>89955</v>
      </c>
      <c r="DJ75" s="136">
        <v>90174</v>
      </c>
      <c r="DK75" s="136">
        <v>90356</v>
      </c>
      <c r="DL75" s="136">
        <v>90540</v>
      </c>
      <c r="DM75" s="136">
        <v>90736</v>
      </c>
      <c r="DN75" s="136">
        <v>90927</v>
      </c>
      <c r="DO75" s="136">
        <v>91114</v>
      </c>
    </row>
    <row r="76" spans="1:119">
      <c r="A76" s="135">
        <v>74</v>
      </c>
      <c r="B76" s="136"/>
      <c r="C76" s="136"/>
      <c r="D76" s="136"/>
      <c r="E76" s="136"/>
      <c r="F76" s="136"/>
      <c r="G76" s="136"/>
      <c r="H76" s="136"/>
      <c r="I76" s="136"/>
      <c r="J76" s="136"/>
      <c r="K76" s="136"/>
      <c r="L76" s="136"/>
      <c r="M76" s="136"/>
      <c r="N76" s="136"/>
      <c r="O76" s="136"/>
      <c r="P76" s="136"/>
      <c r="Q76" s="136"/>
      <c r="R76" s="136"/>
      <c r="S76" s="136"/>
      <c r="T76" s="136"/>
      <c r="U76" s="136"/>
      <c r="V76" s="136"/>
      <c r="W76" s="136">
        <v>41435</v>
      </c>
      <c r="X76" s="136">
        <v>42442</v>
      </c>
      <c r="Y76" s="136">
        <v>42678</v>
      </c>
      <c r="Z76" s="136">
        <v>44436</v>
      </c>
      <c r="AA76" s="136">
        <v>45286</v>
      </c>
      <c r="AB76" s="136">
        <v>46132</v>
      </c>
      <c r="AC76" s="136">
        <v>46658</v>
      </c>
      <c r="AD76" s="136">
        <v>47168</v>
      </c>
      <c r="AE76" s="136">
        <v>47372</v>
      </c>
      <c r="AF76" s="136">
        <v>48745</v>
      </c>
      <c r="AG76" s="136">
        <v>49744</v>
      </c>
      <c r="AH76" s="136">
        <v>50990</v>
      </c>
      <c r="AI76" s="136">
        <v>51866</v>
      </c>
      <c r="AJ76" s="136">
        <v>53460</v>
      </c>
      <c r="AK76" s="136">
        <v>54247</v>
      </c>
      <c r="AL76" s="136">
        <v>55439</v>
      </c>
      <c r="AM76" s="136">
        <v>56591</v>
      </c>
      <c r="AN76" s="136">
        <v>57500</v>
      </c>
      <c r="AO76" s="136">
        <v>57777</v>
      </c>
      <c r="AP76" s="136">
        <v>58432</v>
      </c>
      <c r="AQ76" s="136">
        <v>58825</v>
      </c>
      <c r="AR76" s="136">
        <v>59520</v>
      </c>
      <c r="AS76" s="136">
        <v>59117</v>
      </c>
      <c r="AT76" s="136">
        <v>58780</v>
      </c>
      <c r="AU76" s="136">
        <v>58052</v>
      </c>
      <c r="AV76" s="136">
        <v>58620</v>
      </c>
      <c r="AW76" s="136">
        <v>59503</v>
      </c>
      <c r="AX76" s="136">
        <v>61481</v>
      </c>
      <c r="AY76" s="136">
        <v>63043</v>
      </c>
      <c r="AZ76" s="136">
        <v>63237</v>
      </c>
      <c r="BA76" s="136">
        <v>63488</v>
      </c>
      <c r="BB76" s="136">
        <v>64317</v>
      </c>
      <c r="BC76" s="136">
        <v>64797</v>
      </c>
      <c r="BD76" s="136">
        <v>65528</v>
      </c>
      <c r="BE76" s="136">
        <v>66017</v>
      </c>
      <c r="BF76" s="136">
        <v>66773</v>
      </c>
      <c r="BG76" s="136">
        <v>67149</v>
      </c>
      <c r="BH76" s="136">
        <v>67991</v>
      </c>
      <c r="BI76" s="136">
        <v>68607</v>
      </c>
      <c r="BJ76" s="136">
        <v>69213</v>
      </c>
      <c r="BK76" s="136">
        <v>69941</v>
      </c>
      <c r="BL76" s="136">
        <v>70713</v>
      </c>
      <c r="BM76" s="136">
        <v>71480</v>
      </c>
      <c r="BN76" s="136">
        <v>72161</v>
      </c>
      <c r="BO76" s="136">
        <v>72810</v>
      </c>
      <c r="BP76" s="136">
        <v>73326</v>
      </c>
      <c r="BQ76" s="136">
        <v>73839</v>
      </c>
      <c r="BR76" s="136">
        <v>74329</v>
      </c>
      <c r="BS76" s="136">
        <v>74706</v>
      </c>
      <c r="BT76" s="136">
        <v>75175</v>
      </c>
      <c r="BU76" s="136">
        <v>75574</v>
      </c>
      <c r="BV76" s="136">
        <v>76045</v>
      </c>
      <c r="BW76" s="136">
        <v>76446</v>
      </c>
      <c r="BX76" s="136">
        <v>76933</v>
      </c>
      <c r="BY76" s="136">
        <v>77433</v>
      </c>
      <c r="BZ76" s="136">
        <v>78034</v>
      </c>
      <c r="CA76" s="136">
        <v>78514</v>
      </c>
      <c r="CB76" s="136">
        <v>78900</v>
      </c>
      <c r="CC76" s="136">
        <v>79389</v>
      </c>
      <c r="CD76" s="136">
        <v>79831</v>
      </c>
      <c r="CE76" s="136">
        <v>80231</v>
      </c>
      <c r="CF76" s="136">
        <v>80711</v>
      </c>
      <c r="CG76" s="136">
        <v>81116</v>
      </c>
      <c r="CH76" s="136">
        <v>81515</v>
      </c>
      <c r="CI76" s="136">
        <v>81944</v>
      </c>
      <c r="CJ76" s="136">
        <v>82268</v>
      </c>
      <c r="CK76" s="136">
        <v>82613</v>
      </c>
      <c r="CL76" s="136">
        <v>83027</v>
      </c>
      <c r="CM76" s="136">
        <v>83343</v>
      </c>
      <c r="CN76" s="136">
        <v>83705</v>
      </c>
      <c r="CO76" s="136">
        <v>84076</v>
      </c>
      <c r="CP76" s="136">
        <v>84399</v>
      </c>
      <c r="CQ76" s="136">
        <v>84736</v>
      </c>
      <c r="CR76" s="136">
        <v>85015</v>
      </c>
      <c r="CS76" s="136">
        <v>85337</v>
      </c>
      <c r="CT76" s="136">
        <v>85617</v>
      </c>
      <c r="CU76" s="136">
        <v>85908</v>
      </c>
      <c r="CV76" s="136">
        <v>86179</v>
      </c>
      <c r="CW76" s="136">
        <v>86445</v>
      </c>
      <c r="CX76" s="136">
        <v>86738</v>
      </c>
      <c r="CY76" s="136">
        <v>86971</v>
      </c>
      <c r="CZ76" s="136">
        <v>87230</v>
      </c>
      <c r="DA76" s="136">
        <v>87456</v>
      </c>
      <c r="DB76" s="136">
        <v>87721</v>
      </c>
      <c r="DC76" s="136">
        <v>87951</v>
      </c>
      <c r="DD76" s="136">
        <v>88187</v>
      </c>
      <c r="DE76" s="136">
        <v>88400</v>
      </c>
      <c r="DF76" s="136">
        <v>88653</v>
      </c>
      <c r="DG76" s="136">
        <v>88870</v>
      </c>
      <c r="DH76" s="136">
        <v>89081</v>
      </c>
      <c r="DI76" s="136">
        <v>89290</v>
      </c>
      <c r="DJ76" s="136">
        <v>89520</v>
      </c>
      <c r="DK76" s="136">
        <v>89714</v>
      </c>
      <c r="DL76" s="136">
        <v>89909</v>
      </c>
      <c r="DM76" s="136">
        <v>90116</v>
      </c>
      <c r="DN76" s="136">
        <v>90318</v>
      </c>
      <c r="DO76" s="136">
        <v>90515</v>
      </c>
    </row>
    <row r="77" spans="1:119">
      <c r="A77" s="135">
        <v>75</v>
      </c>
      <c r="B77" s="136"/>
      <c r="C77" s="136"/>
      <c r="D77" s="136"/>
      <c r="E77" s="136"/>
      <c r="F77" s="136"/>
      <c r="G77" s="136"/>
      <c r="H77" s="136"/>
      <c r="I77" s="136"/>
      <c r="J77" s="136"/>
      <c r="K77" s="136"/>
      <c r="L77" s="136"/>
      <c r="M77" s="136"/>
      <c r="N77" s="136"/>
      <c r="O77" s="136"/>
      <c r="P77" s="136"/>
      <c r="Q77" s="136"/>
      <c r="R77" s="136"/>
      <c r="S77" s="136"/>
      <c r="T77" s="136"/>
      <c r="U77" s="136"/>
      <c r="V77" s="136"/>
      <c r="W77" s="136">
        <v>39279</v>
      </c>
      <c r="X77" s="136">
        <v>40361</v>
      </c>
      <c r="Y77" s="136">
        <v>40614</v>
      </c>
      <c r="Z77" s="136">
        <v>42361</v>
      </c>
      <c r="AA77" s="136">
        <v>43245</v>
      </c>
      <c r="AB77" s="136">
        <v>44130</v>
      </c>
      <c r="AC77" s="136">
        <v>44679</v>
      </c>
      <c r="AD77" s="136">
        <v>45098</v>
      </c>
      <c r="AE77" s="136">
        <v>45381</v>
      </c>
      <c r="AF77" s="136">
        <v>46787</v>
      </c>
      <c r="AG77" s="136">
        <v>47830</v>
      </c>
      <c r="AH77" s="136">
        <v>49075</v>
      </c>
      <c r="AI77" s="136">
        <v>49964</v>
      </c>
      <c r="AJ77" s="136">
        <v>51518</v>
      </c>
      <c r="AK77" s="136">
        <v>52388</v>
      </c>
      <c r="AL77" s="136">
        <v>53588</v>
      </c>
      <c r="AM77" s="136">
        <v>54777</v>
      </c>
      <c r="AN77" s="136">
        <v>55661</v>
      </c>
      <c r="AO77" s="136">
        <v>56034</v>
      </c>
      <c r="AP77" s="136">
        <v>56567</v>
      </c>
      <c r="AQ77" s="136">
        <v>57004</v>
      </c>
      <c r="AR77" s="136">
        <v>57711</v>
      </c>
      <c r="AS77" s="136">
        <v>57353</v>
      </c>
      <c r="AT77" s="136">
        <v>57059</v>
      </c>
      <c r="AU77" s="136">
        <v>56382</v>
      </c>
      <c r="AV77" s="136">
        <v>56965</v>
      </c>
      <c r="AW77" s="136">
        <v>57854</v>
      </c>
      <c r="AX77" s="136">
        <v>59809</v>
      </c>
      <c r="AY77" s="136">
        <v>61360</v>
      </c>
      <c r="AZ77" s="136">
        <v>61580</v>
      </c>
      <c r="BA77" s="136">
        <v>61854</v>
      </c>
      <c r="BB77" s="136">
        <v>62692</v>
      </c>
      <c r="BC77" s="136">
        <v>63190</v>
      </c>
      <c r="BD77" s="136">
        <v>63933</v>
      </c>
      <c r="BE77" s="136">
        <v>64439</v>
      </c>
      <c r="BF77" s="136">
        <v>65207</v>
      </c>
      <c r="BG77" s="136">
        <v>65603</v>
      </c>
      <c r="BH77" s="136">
        <v>66456</v>
      </c>
      <c r="BI77" s="136">
        <v>67088</v>
      </c>
      <c r="BJ77" s="136">
        <v>67709</v>
      </c>
      <c r="BK77" s="136">
        <v>68451</v>
      </c>
      <c r="BL77" s="136">
        <v>69235</v>
      </c>
      <c r="BM77" s="136">
        <v>70015</v>
      </c>
      <c r="BN77" s="136">
        <v>70710</v>
      </c>
      <c r="BO77" s="136">
        <v>71373</v>
      </c>
      <c r="BP77" s="136">
        <v>71907</v>
      </c>
      <c r="BQ77" s="136">
        <v>72437</v>
      </c>
      <c r="BR77" s="136">
        <v>72945</v>
      </c>
      <c r="BS77" s="136">
        <v>73341</v>
      </c>
      <c r="BT77" s="136">
        <v>73828</v>
      </c>
      <c r="BU77" s="136">
        <v>74245</v>
      </c>
      <c r="BV77" s="136">
        <v>74734</v>
      </c>
      <c r="BW77" s="136">
        <v>75153</v>
      </c>
      <c r="BX77" s="136">
        <v>75657</v>
      </c>
      <c r="BY77" s="136">
        <v>76173</v>
      </c>
      <c r="BZ77" s="136">
        <v>76788</v>
      </c>
      <c r="CA77" s="136">
        <v>77284</v>
      </c>
      <c r="CB77" s="136">
        <v>77689</v>
      </c>
      <c r="CC77" s="136">
        <v>78193</v>
      </c>
      <c r="CD77" s="136">
        <v>78652</v>
      </c>
      <c r="CE77" s="136">
        <v>79068</v>
      </c>
      <c r="CF77" s="136">
        <v>79563</v>
      </c>
      <c r="CG77" s="136">
        <v>79985</v>
      </c>
      <c r="CH77" s="136">
        <v>80399</v>
      </c>
      <c r="CI77" s="136">
        <v>80844</v>
      </c>
      <c r="CJ77" s="136">
        <v>81185</v>
      </c>
      <c r="CK77" s="136">
        <v>81546</v>
      </c>
      <c r="CL77" s="136">
        <v>81975</v>
      </c>
      <c r="CM77" s="136">
        <v>82307</v>
      </c>
      <c r="CN77" s="136">
        <v>82685</v>
      </c>
      <c r="CO77" s="136">
        <v>83071</v>
      </c>
      <c r="CP77" s="136">
        <v>83409</v>
      </c>
      <c r="CQ77" s="136">
        <v>83761</v>
      </c>
      <c r="CR77" s="136">
        <v>84055</v>
      </c>
      <c r="CS77" s="136">
        <v>84393</v>
      </c>
      <c r="CT77" s="136">
        <v>84687</v>
      </c>
      <c r="CU77" s="136">
        <v>84993</v>
      </c>
      <c r="CV77" s="136">
        <v>85278</v>
      </c>
      <c r="CW77" s="136">
        <v>85559</v>
      </c>
      <c r="CX77" s="136">
        <v>85865</v>
      </c>
      <c r="CY77" s="136">
        <v>86113</v>
      </c>
      <c r="CZ77" s="136">
        <v>86386</v>
      </c>
      <c r="DA77" s="136">
        <v>86626</v>
      </c>
      <c r="DB77" s="136">
        <v>86904</v>
      </c>
      <c r="DC77" s="136">
        <v>87148</v>
      </c>
      <c r="DD77" s="136">
        <v>87396</v>
      </c>
      <c r="DE77" s="136">
        <v>87623</v>
      </c>
      <c r="DF77" s="136">
        <v>87889</v>
      </c>
      <c r="DG77" s="136">
        <v>88118</v>
      </c>
      <c r="DH77" s="136">
        <v>88342</v>
      </c>
      <c r="DI77" s="136">
        <v>88563</v>
      </c>
      <c r="DJ77" s="136">
        <v>88805</v>
      </c>
      <c r="DK77" s="136">
        <v>89012</v>
      </c>
      <c r="DL77" s="136">
        <v>89219</v>
      </c>
      <c r="DM77" s="136">
        <v>89437</v>
      </c>
      <c r="DN77" s="136">
        <v>89650</v>
      </c>
      <c r="DO77" s="136">
        <v>89859</v>
      </c>
    </row>
    <row r="78" spans="1:119">
      <c r="A78" s="135">
        <v>76</v>
      </c>
      <c r="B78" s="136"/>
      <c r="C78" s="136"/>
      <c r="D78" s="136"/>
      <c r="E78" s="136"/>
      <c r="F78" s="136"/>
      <c r="G78" s="136"/>
      <c r="H78" s="136"/>
      <c r="I78" s="136"/>
      <c r="J78" s="136"/>
      <c r="K78" s="136"/>
      <c r="L78" s="136"/>
      <c r="M78" s="136"/>
      <c r="N78" s="136"/>
      <c r="O78" s="136"/>
      <c r="P78" s="136"/>
      <c r="Q78" s="136"/>
      <c r="R78" s="136"/>
      <c r="S78" s="136"/>
      <c r="T78" s="136"/>
      <c r="U78" s="136"/>
      <c r="V78" s="136"/>
      <c r="W78" s="136">
        <v>37120</v>
      </c>
      <c r="X78" s="136">
        <v>38220</v>
      </c>
      <c r="Y78" s="136">
        <v>38515</v>
      </c>
      <c r="Z78" s="136">
        <v>40302</v>
      </c>
      <c r="AA78" s="136">
        <v>41167</v>
      </c>
      <c r="AB78" s="136">
        <v>42105</v>
      </c>
      <c r="AC78" s="136">
        <v>42582</v>
      </c>
      <c r="AD78" s="136">
        <v>43022</v>
      </c>
      <c r="AE78" s="136">
        <v>43333</v>
      </c>
      <c r="AF78" s="136">
        <v>44804</v>
      </c>
      <c r="AG78" s="136">
        <v>45844</v>
      </c>
      <c r="AH78" s="136">
        <v>47055</v>
      </c>
      <c r="AI78" s="136">
        <v>47988</v>
      </c>
      <c r="AJ78" s="136">
        <v>49576</v>
      </c>
      <c r="AK78" s="136">
        <v>50415</v>
      </c>
      <c r="AL78" s="136">
        <v>51665</v>
      </c>
      <c r="AM78" s="136">
        <v>52814</v>
      </c>
      <c r="AN78" s="136">
        <v>53809</v>
      </c>
      <c r="AO78" s="136">
        <v>54072</v>
      </c>
      <c r="AP78" s="136">
        <v>54642</v>
      </c>
      <c r="AQ78" s="136">
        <v>55099</v>
      </c>
      <c r="AR78" s="136">
        <v>55818</v>
      </c>
      <c r="AS78" s="136">
        <v>55505</v>
      </c>
      <c r="AT78" s="136">
        <v>55253</v>
      </c>
      <c r="AU78" s="136">
        <v>54630</v>
      </c>
      <c r="AV78" s="136">
        <v>55226</v>
      </c>
      <c r="AW78" s="136">
        <v>56120</v>
      </c>
      <c r="AX78" s="136">
        <v>58048</v>
      </c>
      <c r="AY78" s="136">
        <v>59586</v>
      </c>
      <c r="AZ78" s="136">
        <v>59831</v>
      </c>
      <c r="BA78" s="136">
        <v>60129</v>
      </c>
      <c r="BB78" s="136">
        <v>60975</v>
      </c>
      <c r="BC78" s="136">
        <v>61490</v>
      </c>
      <c r="BD78" s="136">
        <v>62244</v>
      </c>
      <c r="BE78" s="136">
        <v>62767</v>
      </c>
      <c r="BF78" s="136">
        <v>63546</v>
      </c>
      <c r="BG78" s="136">
        <v>63965</v>
      </c>
      <c r="BH78" s="136">
        <v>64827</v>
      </c>
      <c r="BI78" s="136">
        <v>65474</v>
      </c>
      <c r="BJ78" s="136">
        <v>66111</v>
      </c>
      <c r="BK78" s="136">
        <v>66865</v>
      </c>
      <c r="BL78" s="136">
        <v>67661</v>
      </c>
      <c r="BM78" s="136">
        <v>68453</v>
      </c>
      <c r="BN78" s="136">
        <v>69162</v>
      </c>
      <c r="BO78" s="136">
        <v>69840</v>
      </c>
      <c r="BP78" s="136">
        <v>70391</v>
      </c>
      <c r="BQ78" s="136">
        <v>70939</v>
      </c>
      <c r="BR78" s="136">
        <v>71464</v>
      </c>
      <c r="BS78" s="136">
        <v>71880</v>
      </c>
      <c r="BT78" s="136">
        <v>72385</v>
      </c>
      <c r="BU78" s="136">
        <v>72821</v>
      </c>
      <c r="BV78" s="136">
        <v>73327</v>
      </c>
      <c r="BW78" s="136">
        <v>73765</v>
      </c>
      <c r="BX78" s="136">
        <v>74285</v>
      </c>
      <c r="BY78" s="136">
        <v>74818</v>
      </c>
      <c r="BZ78" s="136">
        <v>75448</v>
      </c>
      <c r="CA78" s="136">
        <v>75960</v>
      </c>
      <c r="CB78" s="136">
        <v>76382</v>
      </c>
      <c r="CC78" s="136">
        <v>76903</v>
      </c>
      <c r="CD78" s="136">
        <v>77378</v>
      </c>
      <c r="CE78" s="136">
        <v>77812</v>
      </c>
      <c r="CF78" s="136">
        <v>78322</v>
      </c>
      <c r="CG78" s="136">
        <v>78761</v>
      </c>
      <c r="CH78" s="136">
        <v>79192</v>
      </c>
      <c r="CI78" s="136">
        <v>79653</v>
      </c>
      <c r="CJ78" s="136">
        <v>80011</v>
      </c>
      <c r="CK78" s="136">
        <v>80389</v>
      </c>
      <c r="CL78" s="136">
        <v>80834</v>
      </c>
      <c r="CM78" s="136">
        <v>81182</v>
      </c>
      <c r="CN78" s="136">
        <v>81576</v>
      </c>
      <c r="CO78" s="136">
        <v>81978</v>
      </c>
      <c r="CP78" s="136">
        <v>82333</v>
      </c>
      <c r="CQ78" s="136">
        <v>82700</v>
      </c>
      <c r="CR78" s="136">
        <v>83010</v>
      </c>
      <c r="CS78" s="136">
        <v>83363</v>
      </c>
      <c r="CT78" s="136">
        <v>83673</v>
      </c>
      <c r="CU78" s="136">
        <v>83995</v>
      </c>
      <c r="CV78" s="136">
        <v>84295</v>
      </c>
      <c r="CW78" s="136">
        <v>84591</v>
      </c>
      <c r="CX78" s="136">
        <v>84912</v>
      </c>
      <c r="CY78" s="136">
        <v>85175</v>
      </c>
      <c r="CZ78" s="136">
        <v>85463</v>
      </c>
      <c r="DA78" s="136">
        <v>85717</v>
      </c>
      <c r="DB78" s="136">
        <v>86010</v>
      </c>
      <c r="DC78" s="136">
        <v>86267</v>
      </c>
      <c r="DD78" s="136">
        <v>86530</v>
      </c>
      <c r="DE78" s="136">
        <v>86770</v>
      </c>
      <c r="DF78" s="136">
        <v>87050</v>
      </c>
      <c r="DG78" s="136">
        <v>87293</v>
      </c>
      <c r="DH78" s="136">
        <v>87530</v>
      </c>
      <c r="DI78" s="136">
        <v>87764</v>
      </c>
      <c r="DJ78" s="136">
        <v>88019</v>
      </c>
      <c r="DK78" s="136">
        <v>88238</v>
      </c>
      <c r="DL78" s="136">
        <v>88458</v>
      </c>
      <c r="DM78" s="136">
        <v>88688</v>
      </c>
      <c r="DN78" s="136">
        <v>88914</v>
      </c>
      <c r="DO78" s="136">
        <v>89135</v>
      </c>
    </row>
    <row r="79" spans="1:119">
      <c r="A79" s="135">
        <v>77</v>
      </c>
      <c r="B79" s="136"/>
      <c r="C79" s="136"/>
      <c r="D79" s="136"/>
      <c r="E79" s="136"/>
      <c r="F79" s="136"/>
      <c r="G79" s="136"/>
      <c r="H79" s="136"/>
      <c r="I79" s="136"/>
      <c r="J79" s="136"/>
      <c r="K79" s="136"/>
      <c r="L79" s="136"/>
      <c r="M79" s="136"/>
      <c r="N79" s="136"/>
      <c r="O79" s="136"/>
      <c r="P79" s="136"/>
      <c r="Q79" s="136"/>
      <c r="R79" s="136"/>
      <c r="S79" s="136"/>
      <c r="T79" s="136"/>
      <c r="U79" s="136"/>
      <c r="V79" s="136"/>
      <c r="W79" s="136">
        <v>34980</v>
      </c>
      <c r="X79" s="136">
        <v>36060</v>
      </c>
      <c r="Y79" s="136">
        <v>36452</v>
      </c>
      <c r="Z79" s="136">
        <v>38253</v>
      </c>
      <c r="AA79" s="136">
        <v>39077</v>
      </c>
      <c r="AB79" s="136">
        <v>39952</v>
      </c>
      <c r="AC79" s="136">
        <v>40492</v>
      </c>
      <c r="AD79" s="136">
        <v>40912</v>
      </c>
      <c r="AE79" s="136">
        <v>41256</v>
      </c>
      <c r="AF79" s="136">
        <v>42739</v>
      </c>
      <c r="AG79" s="136">
        <v>43782</v>
      </c>
      <c r="AH79" s="136">
        <v>44994</v>
      </c>
      <c r="AI79" s="136">
        <v>45968</v>
      </c>
      <c r="AJ79" s="136">
        <v>47508</v>
      </c>
      <c r="AK79" s="136">
        <v>48388</v>
      </c>
      <c r="AL79" s="136">
        <v>49599</v>
      </c>
      <c r="AM79" s="136">
        <v>50819</v>
      </c>
      <c r="AN79" s="136">
        <v>51740</v>
      </c>
      <c r="AO79" s="136">
        <v>52037</v>
      </c>
      <c r="AP79" s="136">
        <v>52622</v>
      </c>
      <c r="AQ79" s="136">
        <v>53097</v>
      </c>
      <c r="AR79" s="136">
        <v>53825</v>
      </c>
      <c r="AS79" s="136">
        <v>53558</v>
      </c>
      <c r="AT79" s="136">
        <v>53349</v>
      </c>
      <c r="AU79" s="136">
        <v>52780</v>
      </c>
      <c r="AV79" s="136">
        <v>53389</v>
      </c>
      <c r="AW79" s="136">
        <v>54285</v>
      </c>
      <c r="AX79" s="136">
        <v>56184</v>
      </c>
      <c r="AY79" s="136">
        <v>57706</v>
      </c>
      <c r="AZ79" s="136">
        <v>57976</v>
      </c>
      <c r="BA79" s="136">
        <v>58298</v>
      </c>
      <c r="BB79" s="136">
        <v>59150</v>
      </c>
      <c r="BC79" s="136">
        <v>59682</v>
      </c>
      <c r="BD79" s="136">
        <v>60446</v>
      </c>
      <c r="BE79" s="136">
        <v>60987</v>
      </c>
      <c r="BF79" s="136">
        <v>61777</v>
      </c>
      <c r="BG79" s="136">
        <v>62216</v>
      </c>
      <c r="BH79" s="136">
        <v>63087</v>
      </c>
      <c r="BI79" s="136">
        <v>63749</v>
      </c>
      <c r="BJ79" s="136">
        <v>64401</v>
      </c>
      <c r="BK79" s="136">
        <v>65167</v>
      </c>
      <c r="BL79" s="136">
        <v>65974</v>
      </c>
      <c r="BM79" s="136">
        <v>66778</v>
      </c>
      <c r="BN79" s="136">
        <v>67500</v>
      </c>
      <c r="BO79" s="136">
        <v>68193</v>
      </c>
      <c r="BP79" s="136">
        <v>68761</v>
      </c>
      <c r="BQ79" s="136">
        <v>69327</v>
      </c>
      <c r="BR79" s="136">
        <v>69870</v>
      </c>
      <c r="BS79" s="136">
        <v>70306</v>
      </c>
      <c r="BT79" s="136">
        <v>70828</v>
      </c>
      <c r="BU79" s="136">
        <v>71284</v>
      </c>
      <c r="BV79" s="136">
        <v>71808</v>
      </c>
      <c r="BW79" s="136">
        <v>72265</v>
      </c>
      <c r="BX79" s="136">
        <v>72802</v>
      </c>
      <c r="BY79" s="136">
        <v>73351</v>
      </c>
      <c r="BZ79" s="136">
        <v>73996</v>
      </c>
      <c r="CA79" s="136">
        <v>74525</v>
      </c>
      <c r="CB79" s="136">
        <v>74966</v>
      </c>
      <c r="CC79" s="136">
        <v>75503</v>
      </c>
      <c r="CD79" s="136">
        <v>75995</v>
      </c>
      <c r="CE79" s="136">
        <v>76446</v>
      </c>
      <c r="CF79" s="136">
        <v>76973</v>
      </c>
      <c r="CG79" s="136">
        <v>77429</v>
      </c>
      <c r="CH79" s="136">
        <v>77878</v>
      </c>
      <c r="CI79" s="136">
        <v>78355</v>
      </c>
      <c r="CJ79" s="136">
        <v>78731</v>
      </c>
      <c r="CK79" s="136">
        <v>79127</v>
      </c>
      <c r="CL79" s="136">
        <v>79588</v>
      </c>
      <c r="CM79" s="136">
        <v>79953</v>
      </c>
      <c r="CN79" s="136">
        <v>80364</v>
      </c>
      <c r="CO79" s="136">
        <v>80782</v>
      </c>
      <c r="CP79" s="136">
        <v>81153</v>
      </c>
      <c r="CQ79" s="136">
        <v>81538</v>
      </c>
      <c r="CR79" s="136">
        <v>81865</v>
      </c>
      <c r="CS79" s="136">
        <v>82233</v>
      </c>
      <c r="CT79" s="136">
        <v>82560</v>
      </c>
      <c r="CU79" s="136">
        <v>82898</v>
      </c>
      <c r="CV79" s="136">
        <v>83215</v>
      </c>
      <c r="CW79" s="136">
        <v>83526</v>
      </c>
      <c r="CX79" s="136">
        <v>83863</v>
      </c>
      <c r="CY79" s="136">
        <v>84142</v>
      </c>
      <c r="CZ79" s="136">
        <v>84445</v>
      </c>
      <c r="DA79" s="136">
        <v>84715</v>
      </c>
      <c r="DB79" s="136">
        <v>85023</v>
      </c>
      <c r="DC79" s="136">
        <v>85295</v>
      </c>
      <c r="DD79" s="136">
        <v>85573</v>
      </c>
      <c r="DE79" s="136">
        <v>85828</v>
      </c>
      <c r="DF79" s="136">
        <v>86122</v>
      </c>
      <c r="DG79" s="136">
        <v>86379</v>
      </c>
      <c r="DH79" s="136">
        <v>86631</v>
      </c>
      <c r="DI79" s="136">
        <v>86880</v>
      </c>
      <c r="DJ79" s="136">
        <v>87148</v>
      </c>
      <c r="DK79" s="136">
        <v>87381</v>
      </c>
      <c r="DL79" s="136">
        <v>87614</v>
      </c>
      <c r="DM79" s="136">
        <v>87858</v>
      </c>
      <c r="DN79" s="136">
        <v>88097</v>
      </c>
      <c r="DO79" s="136">
        <v>88331</v>
      </c>
    </row>
    <row r="80" spans="1:119">
      <c r="A80" s="135">
        <v>78</v>
      </c>
      <c r="B80" s="136"/>
      <c r="C80" s="136"/>
      <c r="D80" s="136"/>
      <c r="E80" s="136"/>
      <c r="F80" s="136"/>
      <c r="G80" s="136"/>
      <c r="H80" s="136"/>
      <c r="I80" s="136"/>
      <c r="J80" s="136"/>
      <c r="K80" s="136"/>
      <c r="L80" s="136"/>
      <c r="M80" s="136"/>
      <c r="N80" s="136"/>
      <c r="O80" s="136"/>
      <c r="P80" s="136"/>
      <c r="Q80" s="136"/>
      <c r="R80" s="136"/>
      <c r="S80" s="136"/>
      <c r="T80" s="136"/>
      <c r="U80" s="136"/>
      <c r="V80" s="136"/>
      <c r="W80" s="136">
        <v>32768</v>
      </c>
      <c r="X80" s="136">
        <v>33890</v>
      </c>
      <c r="Y80" s="136">
        <v>34331</v>
      </c>
      <c r="Z80" s="136">
        <v>36092</v>
      </c>
      <c r="AA80" s="136">
        <v>36877</v>
      </c>
      <c r="AB80" s="136">
        <v>37809</v>
      </c>
      <c r="AC80" s="136">
        <v>38320</v>
      </c>
      <c r="AD80" s="136">
        <v>38778</v>
      </c>
      <c r="AE80" s="136">
        <v>39161</v>
      </c>
      <c r="AF80" s="136">
        <v>40597</v>
      </c>
      <c r="AG80" s="136">
        <v>41613</v>
      </c>
      <c r="AH80" s="136">
        <v>42873</v>
      </c>
      <c r="AI80" s="136">
        <v>43786</v>
      </c>
      <c r="AJ80" s="136">
        <v>45340</v>
      </c>
      <c r="AK80" s="136">
        <v>46216</v>
      </c>
      <c r="AL80" s="136">
        <v>47523</v>
      </c>
      <c r="AM80" s="136">
        <v>48689</v>
      </c>
      <c r="AN80" s="136">
        <v>49569</v>
      </c>
      <c r="AO80" s="136">
        <v>49891</v>
      </c>
      <c r="AP80" s="136">
        <v>50488</v>
      </c>
      <c r="AQ80" s="136">
        <v>50982</v>
      </c>
      <c r="AR80" s="136">
        <v>51717</v>
      </c>
      <c r="AS80" s="136">
        <v>51496</v>
      </c>
      <c r="AT80" s="136">
        <v>51330</v>
      </c>
      <c r="AU80" s="136">
        <v>50817</v>
      </c>
      <c r="AV80" s="136">
        <v>51437</v>
      </c>
      <c r="AW80" s="136">
        <v>52335</v>
      </c>
      <c r="AX80" s="136">
        <v>54199</v>
      </c>
      <c r="AY80" s="136">
        <v>55702</v>
      </c>
      <c r="AZ80" s="136">
        <v>55998</v>
      </c>
      <c r="BA80" s="136">
        <v>56342</v>
      </c>
      <c r="BB80" s="136">
        <v>57200</v>
      </c>
      <c r="BC80" s="136">
        <v>57748</v>
      </c>
      <c r="BD80" s="136">
        <v>58522</v>
      </c>
      <c r="BE80" s="136">
        <v>59081</v>
      </c>
      <c r="BF80" s="136">
        <v>59881</v>
      </c>
      <c r="BG80" s="136">
        <v>60340</v>
      </c>
      <c r="BH80" s="136">
        <v>61219</v>
      </c>
      <c r="BI80" s="136">
        <v>61895</v>
      </c>
      <c r="BJ80" s="136">
        <v>62562</v>
      </c>
      <c r="BK80" s="136">
        <v>63339</v>
      </c>
      <c r="BL80" s="136">
        <v>64157</v>
      </c>
      <c r="BM80" s="136">
        <v>64971</v>
      </c>
      <c r="BN80" s="136">
        <v>65707</v>
      </c>
      <c r="BO80" s="136">
        <v>66414</v>
      </c>
      <c r="BP80" s="136">
        <v>66999</v>
      </c>
      <c r="BQ80" s="136">
        <v>67582</v>
      </c>
      <c r="BR80" s="136">
        <v>68143</v>
      </c>
      <c r="BS80" s="136">
        <v>68599</v>
      </c>
      <c r="BT80" s="136">
        <v>69140</v>
      </c>
      <c r="BU80" s="136">
        <v>69615</v>
      </c>
      <c r="BV80" s="136">
        <v>70157</v>
      </c>
      <c r="BW80" s="136">
        <v>70632</v>
      </c>
      <c r="BX80" s="136">
        <v>71187</v>
      </c>
      <c r="BY80" s="136">
        <v>71754</v>
      </c>
      <c r="BZ80" s="136">
        <v>72413</v>
      </c>
      <c r="CA80" s="136">
        <v>72960</v>
      </c>
      <c r="CB80" s="136">
        <v>73419</v>
      </c>
      <c r="CC80" s="136">
        <v>73973</v>
      </c>
      <c r="CD80" s="136">
        <v>74483</v>
      </c>
      <c r="CE80" s="136">
        <v>74952</v>
      </c>
      <c r="CF80" s="136">
        <v>75496</v>
      </c>
      <c r="CG80" s="136">
        <v>75969</v>
      </c>
      <c r="CH80" s="136">
        <v>76436</v>
      </c>
      <c r="CI80" s="136">
        <v>76930</v>
      </c>
      <c r="CJ80" s="136">
        <v>77325</v>
      </c>
      <c r="CK80" s="136">
        <v>77739</v>
      </c>
      <c r="CL80" s="136">
        <v>78217</v>
      </c>
      <c r="CM80" s="136">
        <v>78601</v>
      </c>
      <c r="CN80" s="136">
        <v>79029</v>
      </c>
      <c r="CO80" s="136">
        <v>79464</v>
      </c>
      <c r="CP80" s="136">
        <v>79853</v>
      </c>
      <c r="CQ80" s="136">
        <v>80254</v>
      </c>
      <c r="CR80" s="136">
        <v>80599</v>
      </c>
      <c r="CS80" s="136">
        <v>80985</v>
      </c>
      <c r="CT80" s="136">
        <v>81330</v>
      </c>
      <c r="CU80" s="136">
        <v>81684</v>
      </c>
      <c r="CV80" s="136">
        <v>82018</v>
      </c>
      <c r="CW80" s="136">
        <v>82347</v>
      </c>
      <c r="CX80" s="136">
        <v>82700</v>
      </c>
      <c r="CY80" s="136">
        <v>82996</v>
      </c>
      <c r="CZ80" s="136">
        <v>83316</v>
      </c>
      <c r="DA80" s="136">
        <v>83603</v>
      </c>
      <c r="DB80" s="136">
        <v>83926</v>
      </c>
      <c r="DC80" s="136">
        <v>84215</v>
      </c>
      <c r="DD80" s="136">
        <v>84508</v>
      </c>
      <c r="DE80" s="136">
        <v>84779</v>
      </c>
      <c r="DF80" s="136">
        <v>85088</v>
      </c>
      <c r="DG80" s="136">
        <v>85361</v>
      </c>
      <c r="DH80" s="136">
        <v>85628</v>
      </c>
      <c r="DI80" s="136">
        <v>85892</v>
      </c>
      <c r="DJ80" s="136">
        <v>86175</v>
      </c>
      <c r="DK80" s="136">
        <v>86423</v>
      </c>
      <c r="DL80" s="136">
        <v>86671</v>
      </c>
      <c r="DM80" s="136">
        <v>86929</v>
      </c>
      <c r="DN80" s="136">
        <v>87182</v>
      </c>
      <c r="DO80" s="136">
        <v>87430</v>
      </c>
    </row>
    <row r="81" spans="1:119">
      <c r="A81" s="135">
        <v>79</v>
      </c>
      <c r="B81" s="136"/>
      <c r="C81" s="136"/>
      <c r="D81" s="136"/>
      <c r="E81" s="136"/>
      <c r="F81" s="136"/>
      <c r="G81" s="136"/>
      <c r="H81" s="136"/>
      <c r="I81" s="136"/>
      <c r="J81" s="136"/>
      <c r="K81" s="136"/>
      <c r="L81" s="136"/>
      <c r="M81" s="136"/>
      <c r="N81" s="136"/>
      <c r="O81" s="136"/>
      <c r="P81" s="136"/>
      <c r="Q81" s="136"/>
      <c r="R81" s="136"/>
      <c r="S81" s="136"/>
      <c r="T81" s="136"/>
      <c r="U81" s="136"/>
      <c r="V81" s="136"/>
      <c r="W81" s="136">
        <v>30576</v>
      </c>
      <c r="X81" s="136">
        <v>31733</v>
      </c>
      <c r="Y81" s="136">
        <v>32169</v>
      </c>
      <c r="Z81" s="136">
        <v>33851</v>
      </c>
      <c r="AA81" s="136">
        <v>34666</v>
      </c>
      <c r="AB81" s="136">
        <v>35627</v>
      </c>
      <c r="AC81" s="136">
        <v>36122</v>
      </c>
      <c r="AD81" s="136">
        <v>36597</v>
      </c>
      <c r="AE81" s="136">
        <v>36944</v>
      </c>
      <c r="AF81" s="136">
        <v>38347</v>
      </c>
      <c r="AG81" s="136">
        <v>39404</v>
      </c>
      <c r="AH81" s="136">
        <v>40603</v>
      </c>
      <c r="AI81" s="136">
        <v>41549</v>
      </c>
      <c r="AJ81" s="136">
        <v>43073</v>
      </c>
      <c r="AK81" s="136">
        <v>44048</v>
      </c>
      <c r="AL81" s="136">
        <v>45264</v>
      </c>
      <c r="AM81" s="136">
        <v>46398</v>
      </c>
      <c r="AN81" s="136">
        <v>47276</v>
      </c>
      <c r="AO81" s="136">
        <v>47621</v>
      </c>
      <c r="AP81" s="136">
        <v>48229</v>
      </c>
      <c r="AQ81" s="136">
        <v>48738</v>
      </c>
      <c r="AR81" s="136">
        <v>49479</v>
      </c>
      <c r="AS81" s="136">
        <v>49305</v>
      </c>
      <c r="AT81" s="136">
        <v>49182</v>
      </c>
      <c r="AU81" s="136">
        <v>48726</v>
      </c>
      <c r="AV81" s="136">
        <v>49356</v>
      </c>
      <c r="AW81" s="136">
        <v>50252</v>
      </c>
      <c r="AX81" s="136">
        <v>52079</v>
      </c>
      <c r="AY81" s="136">
        <v>53559</v>
      </c>
      <c r="AZ81" s="136">
        <v>53879</v>
      </c>
      <c r="BA81" s="136">
        <v>54246</v>
      </c>
      <c r="BB81" s="136">
        <v>55107</v>
      </c>
      <c r="BC81" s="136">
        <v>55672</v>
      </c>
      <c r="BD81" s="136">
        <v>56455</v>
      </c>
      <c r="BE81" s="136">
        <v>57031</v>
      </c>
      <c r="BF81" s="136">
        <v>57839</v>
      </c>
      <c r="BG81" s="136">
        <v>58319</v>
      </c>
      <c r="BH81" s="136">
        <v>59205</v>
      </c>
      <c r="BI81" s="136">
        <v>59894</v>
      </c>
      <c r="BJ81" s="136">
        <v>60574</v>
      </c>
      <c r="BK81" s="136">
        <v>61363</v>
      </c>
      <c r="BL81" s="136">
        <v>62189</v>
      </c>
      <c r="BM81" s="136">
        <v>63014</v>
      </c>
      <c r="BN81" s="136">
        <v>63762</v>
      </c>
      <c r="BO81" s="136">
        <v>64482</v>
      </c>
      <c r="BP81" s="136">
        <v>65085</v>
      </c>
      <c r="BQ81" s="136">
        <v>65684</v>
      </c>
      <c r="BR81" s="136">
        <v>66263</v>
      </c>
      <c r="BS81" s="136">
        <v>66740</v>
      </c>
      <c r="BT81" s="136">
        <v>67299</v>
      </c>
      <c r="BU81" s="136">
        <v>67794</v>
      </c>
      <c r="BV81" s="136">
        <v>68353</v>
      </c>
      <c r="BW81" s="136">
        <v>68849</v>
      </c>
      <c r="BX81" s="136">
        <v>69421</v>
      </c>
      <c r="BY81" s="136">
        <v>70005</v>
      </c>
      <c r="BZ81" s="136">
        <v>70679</v>
      </c>
      <c r="CA81" s="136">
        <v>71243</v>
      </c>
      <c r="CB81" s="136">
        <v>71722</v>
      </c>
      <c r="CC81" s="136">
        <v>72293</v>
      </c>
      <c r="CD81" s="136">
        <v>72820</v>
      </c>
      <c r="CE81" s="136">
        <v>73309</v>
      </c>
      <c r="CF81" s="136">
        <v>73869</v>
      </c>
      <c r="CG81" s="136">
        <v>74361</v>
      </c>
      <c r="CH81" s="136">
        <v>74846</v>
      </c>
      <c r="CI81" s="136">
        <v>75359</v>
      </c>
      <c r="CJ81" s="136">
        <v>75773</v>
      </c>
      <c r="CK81" s="136">
        <v>76206</v>
      </c>
      <c r="CL81" s="136">
        <v>76701</v>
      </c>
      <c r="CM81" s="136">
        <v>77105</v>
      </c>
      <c r="CN81" s="136">
        <v>77551</v>
      </c>
      <c r="CO81" s="136">
        <v>78004</v>
      </c>
      <c r="CP81" s="136">
        <v>78411</v>
      </c>
      <c r="CQ81" s="136">
        <v>78831</v>
      </c>
      <c r="CR81" s="136">
        <v>79195</v>
      </c>
      <c r="CS81" s="136">
        <v>79598</v>
      </c>
      <c r="CT81" s="136">
        <v>79961</v>
      </c>
      <c r="CU81" s="136">
        <v>80334</v>
      </c>
      <c r="CV81" s="136">
        <v>80686</v>
      </c>
      <c r="CW81" s="136">
        <v>81033</v>
      </c>
      <c r="CX81" s="136">
        <v>81404</v>
      </c>
      <c r="CY81" s="136">
        <v>81717</v>
      </c>
      <c r="CZ81" s="136">
        <v>82055</v>
      </c>
      <c r="DA81" s="136">
        <v>82360</v>
      </c>
      <c r="DB81" s="136">
        <v>82700</v>
      </c>
      <c r="DC81" s="136">
        <v>83006</v>
      </c>
      <c r="DD81" s="136">
        <v>83317</v>
      </c>
      <c r="DE81" s="136">
        <v>83605</v>
      </c>
      <c r="DF81" s="136">
        <v>83930</v>
      </c>
      <c r="DG81" s="136">
        <v>84220</v>
      </c>
      <c r="DH81" s="136">
        <v>84503</v>
      </c>
      <c r="DI81" s="136">
        <v>84783</v>
      </c>
      <c r="DJ81" s="136">
        <v>85082</v>
      </c>
      <c r="DK81" s="136">
        <v>85346</v>
      </c>
      <c r="DL81" s="136">
        <v>85610</v>
      </c>
      <c r="DM81" s="136">
        <v>85883</v>
      </c>
      <c r="DN81" s="136">
        <v>86151</v>
      </c>
      <c r="DO81" s="136">
        <v>86414</v>
      </c>
    </row>
    <row r="82" spans="1:119">
      <c r="A82" s="135">
        <v>80</v>
      </c>
      <c r="B82" s="136"/>
      <c r="C82" s="136"/>
      <c r="D82" s="136"/>
      <c r="E82" s="136"/>
      <c r="F82" s="136"/>
      <c r="G82" s="136"/>
      <c r="H82" s="136"/>
      <c r="I82" s="136"/>
      <c r="J82" s="136"/>
      <c r="K82" s="136"/>
      <c r="L82" s="136"/>
      <c r="M82" s="136"/>
      <c r="N82" s="136"/>
      <c r="O82" s="136"/>
      <c r="P82" s="136"/>
      <c r="Q82" s="136"/>
      <c r="R82" s="136"/>
      <c r="S82" s="136"/>
      <c r="T82" s="136"/>
      <c r="U82" s="136"/>
      <c r="V82" s="136"/>
      <c r="W82" s="136">
        <v>28438</v>
      </c>
      <c r="X82" s="136">
        <v>29568</v>
      </c>
      <c r="Y82" s="136">
        <v>29931</v>
      </c>
      <c r="Z82" s="136">
        <v>31645</v>
      </c>
      <c r="AA82" s="136">
        <v>32438</v>
      </c>
      <c r="AB82" s="136">
        <v>33423</v>
      </c>
      <c r="AC82" s="136">
        <v>33965</v>
      </c>
      <c r="AD82" s="136">
        <v>34341</v>
      </c>
      <c r="AE82" s="136">
        <v>34673</v>
      </c>
      <c r="AF82" s="136">
        <v>36082</v>
      </c>
      <c r="AG82" s="136">
        <v>37085</v>
      </c>
      <c r="AH82" s="136">
        <v>38272</v>
      </c>
      <c r="AI82" s="136">
        <v>39183</v>
      </c>
      <c r="AJ82" s="136">
        <v>40772</v>
      </c>
      <c r="AK82" s="136">
        <v>41684</v>
      </c>
      <c r="AL82" s="136">
        <v>42865</v>
      </c>
      <c r="AM82" s="136">
        <v>43979</v>
      </c>
      <c r="AN82" s="136">
        <v>44851</v>
      </c>
      <c r="AO82" s="136">
        <v>45218</v>
      </c>
      <c r="AP82" s="136">
        <v>45835</v>
      </c>
      <c r="AQ82" s="136">
        <v>46358</v>
      </c>
      <c r="AR82" s="136">
        <v>47102</v>
      </c>
      <c r="AS82" s="136">
        <v>46974</v>
      </c>
      <c r="AT82" s="136">
        <v>46895</v>
      </c>
      <c r="AU82" s="136">
        <v>46497</v>
      </c>
      <c r="AV82" s="136">
        <v>47134</v>
      </c>
      <c r="AW82" s="136">
        <v>48027</v>
      </c>
      <c r="AX82" s="136">
        <v>49810</v>
      </c>
      <c r="AY82" s="136">
        <v>51263</v>
      </c>
      <c r="AZ82" s="136">
        <v>51607</v>
      </c>
      <c r="BA82" s="136">
        <v>51996</v>
      </c>
      <c r="BB82" s="136">
        <v>52860</v>
      </c>
      <c r="BC82" s="136">
        <v>53441</v>
      </c>
      <c r="BD82" s="136">
        <v>54231</v>
      </c>
      <c r="BE82" s="136">
        <v>54822</v>
      </c>
      <c r="BF82" s="136">
        <v>55638</v>
      </c>
      <c r="BG82" s="136">
        <v>56138</v>
      </c>
      <c r="BH82" s="136">
        <v>57028</v>
      </c>
      <c r="BI82" s="136">
        <v>57729</v>
      </c>
      <c r="BJ82" s="136">
        <v>58423</v>
      </c>
      <c r="BK82" s="136">
        <v>59220</v>
      </c>
      <c r="BL82" s="136">
        <v>60055</v>
      </c>
      <c r="BM82" s="136">
        <v>60888</v>
      </c>
      <c r="BN82" s="136">
        <v>61648</v>
      </c>
      <c r="BO82" s="136">
        <v>62381</v>
      </c>
      <c r="BP82" s="136">
        <v>63000</v>
      </c>
      <c r="BQ82" s="136">
        <v>63617</v>
      </c>
      <c r="BR82" s="136">
        <v>64213</v>
      </c>
      <c r="BS82" s="136">
        <v>64710</v>
      </c>
      <c r="BT82" s="136">
        <v>65287</v>
      </c>
      <c r="BU82" s="136">
        <v>65802</v>
      </c>
      <c r="BV82" s="136">
        <v>66379</v>
      </c>
      <c r="BW82" s="136">
        <v>66894</v>
      </c>
      <c r="BX82" s="136">
        <v>67484</v>
      </c>
      <c r="BY82" s="136">
        <v>68085</v>
      </c>
      <c r="BZ82" s="136">
        <v>68773</v>
      </c>
      <c r="CA82" s="136">
        <v>69355</v>
      </c>
      <c r="CB82" s="136">
        <v>69854</v>
      </c>
      <c r="CC82" s="136">
        <v>70442</v>
      </c>
      <c r="CD82" s="136">
        <v>70988</v>
      </c>
      <c r="CE82" s="136">
        <v>71496</v>
      </c>
      <c r="CF82" s="136">
        <v>72074</v>
      </c>
      <c r="CG82" s="136">
        <v>72585</v>
      </c>
      <c r="CH82" s="136">
        <v>73089</v>
      </c>
      <c r="CI82" s="136">
        <v>73619</v>
      </c>
      <c r="CJ82" s="136">
        <v>74054</v>
      </c>
      <c r="CK82" s="136">
        <v>74506</v>
      </c>
      <c r="CL82" s="136">
        <v>75020</v>
      </c>
      <c r="CM82" s="136">
        <v>75443</v>
      </c>
      <c r="CN82" s="136">
        <v>75909</v>
      </c>
      <c r="CO82" s="136">
        <v>76380</v>
      </c>
      <c r="CP82" s="136">
        <v>76807</v>
      </c>
      <c r="CQ82" s="136">
        <v>77246</v>
      </c>
      <c r="CR82" s="136">
        <v>77629</v>
      </c>
      <c r="CS82" s="136">
        <v>78052</v>
      </c>
      <c r="CT82" s="136">
        <v>78435</v>
      </c>
      <c r="CU82" s="136">
        <v>78826</v>
      </c>
      <c r="CV82" s="136">
        <v>79198</v>
      </c>
      <c r="CW82" s="136">
        <v>79564</v>
      </c>
      <c r="CX82" s="136">
        <v>79953</v>
      </c>
      <c r="CY82" s="136">
        <v>80286</v>
      </c>
      <c r="CZ82" s="136">
        <v>80642</v>
      </c>
      <c r="DA82" s="136">
        <v>80966</v>
      </c>
      <c r="DB82" s="136">
        <v>81324</v>
      </c>
      <c r="DC82" s="136">
        <v>81649</v>
      </c>
      <c r="DD82" s="136">
        <v>81978</v>
      </c>
      <c r="DE82" s="136">
        <v>82284</v>
      </c>
      <c r="DF82" s="136">
        <v>82627</v>
      </c>
      <c r="DG82" s="136">
        <v>82934</v>
      </c>
      <c r="DH82" s="136">
        <v>83236</v>
      </c>
      <c r="DI82" s="136">
        <v>83533</v>
      </c>
      <c r="DJ82" s="136">
        <v>83849</v>
      </c>
      <c r="DK82" s="136">
        <v>84130</v>
      </c>
      <c r="DL82" s="136">
        <v>84411</v>
      </c>
      <c r="DM82" s="136">
        <v>84701</v>
      </c>
      <c r="DN82" s="136">
        <v>84986</v>
      </c>
      <c r="DO82" s="136">
        <v>85266</v>
      </c>
    </row>
    <row r="83" spans="1:119">
      <c r="A83" s="135">
        <v>81</v>
      </c>
      <c r="B83" s="136"/>
      <c r="C83" s="136"/>
      <c r="D83" s="136"/>
      <c r="E83" s="136"/>
      <c r="F83" s="136"/>
      <c r="G83" s="136"/>
      <c r="H83" s="136"/>
      <c r="I83" s="136"/>
      <c r="J83" s="136"/>
      <c r="K83" s="136"/>
      <c r="L83" s="136"/>
      <c r="M83" s="136"/>
      <c r="N83" s="136"/>
      <c r="O83" s="136"/>
      <c r="P83" s="136"/>
      <c r="Q83" s="136"/>
      <c r="R83" s="136"/>
      <c r="S83" s="136"/>
      <c r="T83" s="136"/>
      <c r="U83" s="136"/>
      <c r="V83" s="136"/>
      <c r="W83" s="136">
        <v>26271</v>
      </c>
      <c r="X83" s="136">
        <v>27291</v>
      </c>
      <c r="Y83" s="136">
        <v>27735</v>
      </c>
      <c r="Z83" s="136">
        <v>29407</v>
      </c>
      <c r="AA83" s="136">
        <v>30241</v>
      </c>
      <c r="AB83" s="136">
        <v>31177</v>
      </c>
      <c r="AC83" s="136">
        <v>31648</v>
      </c>
      <c r="AD83" s="136">
        <v>31989</v>
      </c>
      <c r="AE83" s="136">
        <v>32390</v>
      </c>
      <c r="AF83" s="136">
        <v>33742</v>
      </c>
      <c r="AG83" s="136">
        <v>34739</v>
      </c>
      <c r="AH83" s="136">
        <v>35847</v>
      </c>
      <c r="AI83" s="136">
        <v>36842</v>
      </c>
      <c r="AJ83" s="136">
        <v>38298</v>
      </c>
      <c r="AK83" s="136">
        <v>39190</v>
      </c>
      <c r="AL83" s="136">
        <v>40341</v>
      </c>
      <c r="AM83" s="136">
        <v>41429</v>
      </c>
      <c r="AN83" s="136">
        <v>42292</v>
      </c>
      <c r="AO83" s="136">
        <v>42679</v>
      </c>
      <c r="AP83" s="136">
        <v>43302</v>
      </c>
      <c r="AQ83" s="136">
        <v>43836</v>
      </c>
      <c r="AR83" s="136">
        <v>44580</v>
      </c>
      <c r="AS83" s="136">
        <v>44499</v>
      </c>
      <c r="AT83" s="136">
        <v>44463</v>
      </c>
      <c r="AU83" s="136">
        <v>44123</v>
      </c>
      <c r="AV83" s="136">
        <v>44766</v>
      </c>
      <c r="AW83" s="136">
        <v>45652</v>
      </c>
      <c r="AX83" s="136">
        <v>47385</v>
      </c>
      <c r="AY83" s="136">
        <v>48807</v>
      </c>
      <c r="AZ83" s="136">
        <v>49174</v>
      </c>
      <c r="BA83" s="136">
        <v>49585</v>
      </c>
      <c r="BB83" s="136">
        <v>50450</v>
      </c>
      <c r="BC83" s="136">
        <v>51045</v>
      </c>
      <c r="BD83" s="136">
        <v>51840</v>
      </c>
      <c r="BE83" s="136">
        <v>52446</v>
      </c>
      <c r="BF83" s="136">
        <v>53266</v>
      </c>
      <c r="BG83" s="136">
        <v>53785</v>
      </c>
      <c r="BH83" s="136">
        <v>54677</v>
      </c>
      <c r="BI83" s="136">
        <v>55390</v>
      </c>
      <c r="BJ83" s="136">
        <v>56094</v>
      </c>
      <c r="BK83" s="136">
        <v>56900</v>
      </c>
      <c r="BL83" s="136">
        <v>57741</v>
      </c>
      <c r="BM83" s="136">
        <v>58581</v>
      </c>
      <c r="BN83" s="136">
        <v>59351</v>
      </c>
      <c r="BO83" s="136">
        <v>60096</v>
      </c>
      <c r="BP83" s="136">
        <v>60730</v>
      </c>
      <c r="BQ83" s="136">
        <v>61363</v>
      </c>
      <c r="BR83" s="136">
        <v>61976</v>
      </c>
      <c r="BS83" s="136">
        <v>62494</v>
      </c>
      <c r="BT83" s="136">
        <v>63088</v>
      </c>
      <c r="BU83" s="136">
        <v>63623</v>
      </c>
      <c r="BV83" s="136">
        <v>64218</v>
      </c>
      <c r="BW83" s="136">
        <v>64752</v>
      </c>
      <c r="BX83" s="136">
        <v>65359</v>
      </c>
      <c r="BY83" s="136">
        <v>65977</v>
      </c>
      <c r="BZ83" s="136">
        <v>66679</v>
      </c>
      <c r="CA83" s="136">
        <v>67279</v>
      </c>
      <c r="CB83" s="136">
        <v>67797</v>
      </c>
      <c r="CC83" s="136">
        <v>68403</v>
      </c>
      <c r="CD83" s="136">
        <v>68968</v>
      </c>
      <c r="CE83" s="136">
        <v>69495</v>
      </c>
      <c r="CF83" s="136">
        <v>70090</v>
      </c>
      <c r="CG83" s="136">
        <v>70620</v>
      </c>
      <c r="CH83" s="136">
        <v>71144</v>
      </c>
      <c r="CI83" s="136">
        <v>71693</v>
      </c>
      <c r="CJ83" s="136">
        <v>72149</v>
      </c>
      <c r="CK83" s="136">
        <v>72621</v>
      </c>
      <c r="CL83" s="136">
        <v>73154</v>
      </c>
      <c r="CM83" s="136">
        <v>73598</v>
      </c>
      <c r="CN83" s="136">
        <v>74083</v>
      </c>
      <c r="CO83" s="136">
        <v>74573</v>
      </c>
      <c r="CP83" s="136">
        <v>75021</v>
      </c>
      <c r="CQ83" s="136">
        <v>75479</v>
      </c>
      <c r="CR83" s="136">
        <v>75883</v>
      </c>
      <c r="CS83" s="136">
        <v>76326</v>
      </c>
      <c r="CT83" s="136">
        <v>76729</v>
      </c>
      <c r="CU83" s="136">
        <v>77141</v>
      </c>
      <c r="CV83" s="136">
        <v>77532</v>
      </c>
      <c r="CW83" s="136">
        <v>77919</v>
      </c>
      <c r="CX83" s="136">
        <v>78327</v>
      </c>
      <c r="CY83" s="136">
        <v>78681</v>
      </c>
      <c r="CZ83" s="136">
        <v>79057</v>
      </c>
      <c r="DA83" s="136">
        <v>79401</v>
      </c>
      <c r="DB83" s="136">
        <v>79779</v>
      </c>
      <c r="DC83" s="136">
        <v>80123</v>
      </c>
      <c r="DD83" s="136">
        <v>80471</v>
      </c>
      <c r="DE83" s="136">
        <v>80797</v>
      </c>
      <c r="DF83" s="136">
        <v>81159</v>
      </c>
      <c r="DG83" s="136">
        <v>81485</v>
      </c>
      <c r="DH83" s="136">
        <v>81805</v>
      </c>
      <c r="DI83" s="136">
        <v>82122</v>
      </c>
      <c r="DJ83" s="136">
        <v>82456</v>
      </c>
      <c r="DK83" s="136">
        <v>82756</v>
      </c>
      <c r="DL83" s="136">
        <v>83055</v>
      </c>
      <c r="DM83" s="136">
        <v>83363</v>
      </c>
      <c r="DN83" s="136">
        <v>83666</v>
      </c>
      <c r="DO83" s="136">
        <v>83963</v>
      </c>
    </row>
    <row r="84" spans="1:119">
      <c r="A84" s="135">
        <v>82</v>
      </c>
      <c r="B84" s="136"/>
      <c r="C84" s="136"/>
      <c r="D84" s="136"/>
      <c r="E84" s="136"/>
      <c r="F84" s="136"/>
      <c r="G84" s="136"/>
      <c r="H84" s="136"/>
      <c r="I84" s="136"/>
      <c r="J84" s="136"/>
      <c r="K84" s="136"/>
      <c r="L84" s="136"/>
      <c r="M84" s="136"/>
      <c r="N84" s="136"/>
      <c r="O84" s="136"/>
      <c r="P84" s="136"/>
      <c r="Q84" s="136"/>
      <c r="R84" s="136"/>
      <c r="S84" s="136"/>
      <c r="T84" s="136"/>
      <c r="U84" s="136"/>
      <c r="V84" s="136"/>
      <c r="W84" s="136">
        <v>24066</v>
      </c>
      <c r="X84" s="136">
        <v>25092</v>
      </c>
      <c r="Y84" s="136">
        <v>25526</v>
      </c>
      <c r="Z84" s="136">
        <v>27192</v>
      </c>
      <c r="AA84" s="136">
        <v>27967</v>
      </c>
      <c r="AB84" s="136">
        <v>28847</v>
      </c>
      <c r="AC84" s="136">
        <v>29246</v>
      </c>
      <c r="AD84" s="136">
        <v>29652</v>
      </c>
      <c r="AE84" s="136">
        <v>30021</v>
      </c>
      <c r="AF84" s="136">
        <v>31342</v>
      </c>
      <c r="AG84" s="136">
        <v>32228</v>
      </c>
      <c r="AH84" s="136">
        <v>33406</v>
      </c>
      <c r="AI84" s="136">
        <v>34317</v>
      </c>
      <c r="AJ84" s="136">
        <v>35708</v>
      </c>
      <c r="AK84" s="136">
        <v>36581</v>
      </c>
      <c r="AL84" s="136">
        <v>37696</v>
      </c>
      <c r="AM84" s="136">
        <v>38755</v>
      </c>
      <c r="AN84" s="136">
        <v>39604</v>
      </c>
      <c r="AO84" s="136">
        <v>40007</v>
      </c>
      <c r="AP84" s="136">
        <v>40633</v>
      </c>
      <c r="AQ84" s="136">
        <v>41176</v>
      </c>
      <c r="AR84" s="136">
        <v>41916</v>
      </c>
      <c r="AS84" s="136">
        <v>41880</v>
      </c>
      <c r="AT84" s="136">
        <v>41887</v>
      </c>
      <c r="AU84" s="136">
        <v>41606</v>
      </c>
      <c r="AV84" s="136">
        <v>42251</v>
      </c>
      <c r="AW84" s="136">
        <v>43126</v>
      </c>
      <c r="AX84" s="136">
        <v>44804</v>
      </c>
      <c r="AY84" s="136">
        <v>46189</v>
      </c>
      <c r="AZ84" s="136">
        <v>46579</v>
      </c>
      <c r="BA84" s="136">
        <v>47011</v>
      </c>
      <c r="BB84" s="136">
        <v>47874</v>
      </c>
      <c r="BC84" s="136">
        <v>48480</v>
      </c>
      <c r="BD84" s="136">
        <v>49278</v>
      </c>
      <c r="BE84" s="136">
        <v>49896</v>
      </c>
      <c r="BF84" s="136">
        <v>50719</v>
      </c>
      <c r="BG84" s="136">
        <v>51254</v>
      </c>
      <c r="BH84" s="136">
        <v>52147</v>
      </c>
      <c r="BI84" s="136">
        <v>52868</v>
      </c>
      <c r="BJ84" s="136">
        <v>53582</v>
      </c>
      <c r="BK84" s="136">
        <v>54393</v>
      </c>
      <c r="BL84" s="136">
        <v>55239</v>
      </c>
      <c r="BM84" s="136">
        <v>56083</v>
      </c>
      <c r="BN84" s="136">
        <v>56862</v>
      </c>
      <c r="BO84" s="136">
        <v>57616</v>
      </c>
      <c r="BP84" s="136">
        <v>58265</v>
      </c>
      <c r="BQ84" s="136">
        <v>58913</v>
      </c>
      <c r="BR84" s="136">
        <v>59541</v>
      </c>
      <c r="BS84" s="136">
        <v>60079</v>
      </c>
      <c r="BT84" s="136">
        <v>60690</v>
      </c>
      <c r="BU84" s="136">
        <v>61243</v>
      </c>
      <c r="BV84" s="136">
        <v>61855</v>
      </c>
      <c r="BW84" s="136">
        <v>62409</v>
      </c>
      <c r="BX84" s="136">
        <v>63032</v>
      </c>
      <c r="BY84" s="136">
        <v>63666</v>
      </c>
      <c r="BZ84" s="136">
        <v>64382</v>
      </c>
      <c r="CA84" s="136">
        <v>64999</v>
      </c>
      <c r="CB84" s="136">
        <v>65537</v>
      </c>
      <c r="CC84" s="136">
        <v>66160</v>
      </c>
      <c r="CD84" s="136">
        <v>66743</v>
      </c>
      <c r="CE84" s="136">
        <v>67289</v>
      </c>
      <c r="CF84" s="136">
        <v>67902</v>
      </c>
      <c r="CG84" s="136">
        <v>68451</v>
      </c>
      <c r="CH84" s="136">
        <v>68994</v>
      </c>
      <c r="CI84" s="136">
        <v>69562</v>
      </c>
      <c r="CJ84" s="136">
        <v>70039</v>
      </c>
      <c r="CK84" s="136">
        <v>70532</v>
      </c>
      <c r="CL84" s="136">
        <v>71084</v>
      </c>
      <c r="CM84" s="136">
        <v>71549</v>
      </c>
      <c r="CN84" s="136">
        <v>72054</v>
      </c>
      <c r="CO84" s="136">
        <v>72564</v>
      </c>
      <c r="CP84" s="136">
        <v>73033</v>
      </c>
      <c r="CQ84" s="136">
        <v>73511</v>
      </c>
      <c r="CR84" s="136">
        <v>73937</v>
      </c>
      <c r="CS84" s="136">
        <v>74400</v>
      </c>
      <c r="CT84" s="136">
        <v>74825</v>
      </c>
      <c r="CU84" s="136">
        <v>75257</v>
      </c>
      <c r="CV84" s="136">
        <v>75670</v>
      </c>
      <c r="CW84" s="136">
        <v>76078</v>
      </c>
      <c r="CX84" s="136">
        <v>76507</v>
      </c>
      <c r="CY84" s="136">
        <v>76882</v>
      </c>
      <c r="CZ84" s="136">
        <v>77279</v>
      </c>
      <c r="DA84" s="136">
        <v>77644</v>
      </c>
      <c r="DB84" s="136">
        <v>78042</v>
      </c>
      <c r="DC84" s="136">
        <v>78407</v>
      </c>
      <c r="DD84" s="136">
        <v>78776</v>
      </c>
      <c r="DE84" s="136">
        <v>79123</v>
      </c>
      <c r="DF84" s="136">
        <v>79504</v>
      </c>
      <c r="DG84" s="136">
        <v>79851</v>
      </c>
      <c r="DH84" s="136">
        <v>80192</v>
      </c>
      <c r="DI84" s="136">
        <v>80528</v>
      </c>
      <c r="DJ84" s="136">
        <v>80882</v>
      </c>
      <c r="DK84" s="136">
        <v>81202</v>
      </c>
      <c r="DL84" s="136">
        <v>81521</v>
      </c>
      <c r="DM84" s="136">
        <v>81848</v>
      </c>
      <c r="DN84" s="136">
        <v>82170</v>
      </c>
      <c r="DO84" s="136">
        <v>82487</v>
      </c>
    </row>
    <row r="85" spans="1:119">
      <c r="A85" s="135">
        <v>83</v>
      </c>
      <c r="B85" s="136"/>
      <c r="C85" s="136"/>
      <c r="D85" s="136"/>
      <c r="E85" s="136"/>
      <c r="F85" s="136"/>
      <c r="G85" s="136"/>
      <c r="H85" s="136"/>
      <c r="I85" s="136"/>
      <c r="J85" s="136"/>
      <c r="K85" s="136"/>
      <c r="L85" s="136"/>
      <c r="M85" s="136"/>
      <c r="N85" s="136"/>
      <c r="O85" s="136"/>
      <c r="P85" s="136"/>
      <c r="Q85" s="136"/>
      <c r="R85" s="136"/>
      <c r="S85" s="136"/>
      <c r="T85" s="136"/>
      <c r="U85" s="136"/>
      <c r="V85" s="136"/>
      <c r="W85" s="136">
        <v>21925</v>
      </c>
      <c r="X85" s="136">
        <v>22886</v>
      </c>
      <c r="Y85" s="136">
        <v>23355</v>
      </c>
      <c r="Z85" s="136">
        <v>24942</v>
      </c>
      <c r="AA85" s="136">
        <v>25641</v>
      </c>
      <c r="AB85" s="136">
        <v>26452</v>
      </c>
      <c r="AC85" s="136">
        <v>26924</v>
      </c>
      <c r="AD85" s="136">
        <v>27232</v>
      </c>
      <c r="AE85" s="136">
        <v>27611</v>
      </c>
      <c r="AF85" s="136">
        <v>28792</v>
      </c>
      <c r="AG85" s="136">
        <v>29767</v>
      </c>
      <c r="AH85" s="136">
        <v>30821</v>
      </c>
      <c r="AI85" s="136">
        <v>31698</v>
      </c>
      <c r="AJ85" s="136">
        <v>33024</v>
      </c>
      <c r="AK85" s="136">
        <v>33872</v>
      </c>
      <c r="AL85" s="136">
        <v>34946</v>
      </c>
      <c r="AM85" s="136">
        <v>35970</v>
      </c>
      <c r="AN85" s="136">
        <v>36800</v>
      </c>
      <c r="AO85" s="136">
        <v>37217</v>
      </c>
      <c r="AP85" s="136">
        <v>37841</v>
      </c>
      <c r="AQ85" s="136">
        <v>38388</v>
      </c>
      <c r="AR85" s="136">
        <v>39120</v>
      </c>
      <c r="AS85" s="136">
        <v>39129</v>
      </c>
      <c r="AT85" s="136">
        <v>39175</v>
      </c>
      <c r="AU85" s="136">
        <v>38953</v>
      </c>
      <c r="AV85" s="136">
        <v>39597</v>
      </c>
      <c r="AW85" s="136">
        <v>40457</v>
      </c>
      <c r="AX85" s="136">
        <v>42072</v>
      </c>
      <c r="AY85" s="136">
        <v>43418</v>
      </c>
      <c r="AZ85" s="136">
        <v>43828</v>
      </c>
      <c r="BA85" s="136">
        <v>44279</v>
      </c>
      <c r="BB85" s="136">
        <v>45135</v>
      </c>
      <c r="BC85" s="136">
        <v>45751</v>
      </c>
      <c r="BD85" s="136">
        <v>46549</v>
      </c>
      <c r="BE85" s="136">
        <v>47176</v>
      </c>
      <c r="BF85" s="136">
        <v>47997</v>
      </c>
      <c r="BG85" s="136">
        <v>48548</v>
      </c>
      <c r="BH85" s="136">
        <v>49437</v>
      </c>
      <c r="BI85" s="136">
        <v>50164</v>
      </c>
      <c r="BJ85" s="136">
        <v>50885</v>
      </c>
      <c r="BK85" s="136">
        <v>51698</v>
      </c>
      <c r="BL85" s="136">
        <v>52545</v>
      </c>
      <c r="BM85" s="136">
        <v>53392</v>
      </c>
      <c r="BN85" s="136">
        <v>54176</v>
      </c>
      <c r="BO85" s="136">
        <v>54938</v>
      </c>
      <c r="BP85" s="136">
        <v>55600</v>
      </c>
      <c r="BQ85" s="136">
        <v>56261</v>
      </c>
      <c r="BR85" s="136">
        <v>56904</v>
      </c>
      <c r="BS85" s="136">
        <v>57460</v>
      </c>
      <c r="BT85" s="136">
        <v>58086</v>
      </c>
      <c r="BU85" s="136">
        <v>58657</v>
      </c>
      <c r="BV85" s="136">
        <v>59285</v>
      </c>
      <c r="BW85" s="136">
        <v>59856</v>
      </c>
      <c r="BX85" s="136">
        <v>60495</v>
      </c>
      <c r="BY85" s="136">
        <v>61144</v>
      </c>
      <c r="BZ85" s="136">
        <v>61872</v>
      </c>
      <c r="CA85" s="136">
        <v>62505</v>
      </c>
      <c r="CB85" s="136">
        <v>63062</v>
      </c>
      <c r="CC85" s="136">
        <v>63701</v>
      </c>
      <c r="CD85" s="136">
        <v>64301</v>
      </c>
      <c r="CE85" s="136">
        <v>64867</v>
      </c>
      <c r="CF85" s="136">
        <v>65496</v>
      </c>
      <c r="CG85" s="136">
        <v>66065</v>
      </c>
      <c r="CH85" s="136">
        <v>66627</v>
      </c>
      <c r="CI85" s="136">
        <v>67213</v>
      </c>
      <c r="CJ85" s="136">
        <v>67711</v>
      </c>
      <c r="CK85" s="136">
        <v>68225</v>
      </c>
      <c r="CL85" s="136">
        <v>68795</v>
      </c>
      <c r="CM85" s="136">
        <v>69282</v>
      </c>
      <c r="CN85" s="136">
        <v>69808</v>
      </c>
      <c r="CO85" s="136">
        <v>70338</v>
      </c>
      <c r="CP85" s="136">
        <v>70827</v>
      </c>
      <c r="CQ85" s="136">
        <v>71326</v>
      </c>
      <c r="CR85" s="136">
        <v>71775</v>
      </c>
      <c r="CS85" s="136">
        <v>72259</v>
      </c>
      <c r="CT85" s="136">
        <v>72705</v>
      </c>
      <c r="CU85" s="136">
        <v>73159</v>
      </c>
      <c r="CV85" s="136">
        <v>73594</v>
      </c>
      <c r="CW85" s="136">
        <v>74023</v>
      </c>
      <c r="CX85" s="136">
        <v>74474</v>
      </c>
      <c r="CY85" s="136">
        <v>74871</v>
      </c>
      <c r="CZ85" s="136">
        <v>75289</v>
      </c>
      <c r="DA85" s="136">
        <v>75677</v>
      </c>
      <c r="DB85" s="136">
        <v>76096</v>
      </c>
      <c r="DC85" s="136">
        <v>76483</v>
      </c>
      <c r="DD85" s="136">
        <v>76874</v>
      </c>
      <c r="DE85" s="136">
        <v>77243</v>
      </c>
      <c r="DF85" s="136">
        <v>77645</v>
      </c>
      <c r="DG85" s="136">
        <v>78013</v>
      </c>
      <c r="DH85" s="136">
        <v>78375</v>
      </c>
      <c r="DI85" s="136">
        <v>78733</v>
      </c>
      <c r="DJ85" s="136">
        <v>79107</v>
      </c>
      <c r="DK85" s="136">
        <v>79448</v>
      </c>
      <c r="DL85" s="136">
        <v>79788</v>
      </c>
      <c r="DM85" s="136">
        <v>80136</v>
      </c>
      <c r="DN85" s="136">
        <v>80479</v>
      </c>
      <c r="DO85" s="136">
        <v>80816</v>
      </c>
    </row>
    <row r="86" spans="1:119">
      <c r="A86" s="135">
        <v>84</v>
      </c>
      <c r="B86" s="136"/>
      <c r="C86" s="136"/>
      <c r="D86" s="136"/>
      <c r="E86" s="136"/>
      <c r="F86" s="136"/>
      <c r="G86" s="136"/>
      <c r="H86" s="136"/>
      <c r="I86" s="136"/>
      <c r="J86" s="136"/>
      <c r="K86" s="136"/>
      <c r="L86" s="136"/>
      <c r="M86" s="136"/>
      <c r="N86" s="136"/>
      <c r="O86" s="136"/>
      <c r="P86" s="136"/>
      <c r="Q86" s="136"/>
      <c r="R86" s="136"/>
      <c r="S86" s="136"/>
      <c r="T86" s="136"/>
      <c r="U86" s="136"/>
      <c r="V86" s="136"/>
      <c r="W86" s="136">
        <v>19775</v>
      </c>
      <c r="X86" s="136">
        <v>20692</v>
      </c>
      <c r="Y86" s="136">
        <v>21206</v>
      </c>
      <c r="Z86" s="136">
        <v>22678</v>
      </c>
      <c r="AA86" s="136">
        <v>23327</v>
      </c>
      <c r="AB86" s="136">
        <v>24122</v>
      </c>
      <c r="AC86" s="136">
        <v>24530</v>
      </c>
      <c r="AD86" s="136">
        <v>24803</v>
      </c>
      <c r="AE86" s="136">
        <v>25090</v>
      </c>
      <c r="AF86" s="136">
        <v>26310</v>
      </c>
      <c r="AG86" s="136">
        <v>27168</v>
      </c>
      <c r="AH86" s="136">
        <v>28172</v>
      </c>
      <c r="AI86" s="136">
        <v>29013</v>
      </c>
      <c r="AJ86" s="136">
        <v>30267</v>
      </c>
      <c r="AK86" s="136">
        <v>31085</v>
      </c>
      <c r="AL86" s="136">
        <v>32112</v>
      </c>
      <c r="AM86" s="136">
        <v>33094</v>
      </c>
      <c r="AN86" s="136">
        <v>33900</v>
      </c>
      <c r="AO86" s="136">
        <v>34327</v>
      </c>
      <c r="AP86" s="136">
        <v>34945</v>
      </c>
      <c r="AQ86" s="136">
        <v>35493</v>
      </c>
      <c r="AR86" s="136">
        <v>36212</v>
      </c>
      <c r="AS86" s="136">
        <v>36261</v>
      </c>
      <c r="AT86" s="136">
        <v>36346</v>
      </c>
      <c r="AU86" s="136">
        <v>36180</v>
      </c>
      <c r="AV86" s="136">
        <v>36819</v>
      </c>
      <c r="AW86" s="136">
        <v>37660</v>
      </c>
      <c r="AX86" s="136">
        <v>39208</v>
      </c>
      <c r="AY86" s="136">
        <v>40507</v>
      </c>
      <c r="AZ86" s="136">
        <v>40935</v>
      </c>
      <c r="BA86" s="136">
        <v>41401</v>
      </c>
      <c r="BB86" s="136">
        <v>42247</v>
      </c>
      <c r="BC86" s="136">
        <v>42869</v>
      </c>
      <c r="BD86" s="136">
        <v>43661</v>
      </c>
      <c r="BE86" s="136">
        <v>44295</v>
      </c>
      <c r="BF86" s="136">
        <v>45111</v>
      </c>
      <c r="BG86" s="136">
        <v>45673</v>
      </c>
      <c r="BH86" s="136">
        <v>46555</v>
      </c>
      <c r="BI86" s="136">
        <v>47285</v>
      </c>
      <c r="BJ86" s="136">
        <v>48009</v>
      </c>
      <c r="BK86" s="136">
        <v>48821</v>
      </c>
      <c r="BL86" s="136">
        <v>49667</v>
      </c>
      <c r="BM86" s="136">
        <v>50512</v>
      </c>
      <c r="BN86" s="136">
        <v>51299</v>
      </c>
      <c r="BO86" s="136">
        <v>52066</v>
      </c>
      <c r="BP86" s="136">
        <v>52738</v>
      </c>
      <c r="BQ86" s="136">
        <v>53409</v>
      </c>
      <c r="BR86" s="136">
        <v>54064</v>
      </c>
      <c r="BS86" s="136">
        <v>54636</v>
      </c>
      <c r="BT86" s="136">
        <v>55275</v>
      </c>
      <c r="BU86" s="136">
        <v>55863</v>
      </c>
      <c r="BV86" s="136">
        <v>56504</v>
      </c>
      <c r="BW86" s="136">
        <v>57092</v>
      </c>
      <c r="BX86" s="136">
        <v>57744</v>
      </c>
      <c r="BY86" s="136">
        <v>58407</v>
      </c>
      <c r="BZ86" s="136">
        <v>59145</v>
      </c>
      <c r="CA86" s="136">
        <v>59792</v>
      </c>
      <c r="CB86" s="136">
        <v>60368</v>
      </c>
      <c r="CC86" s="136">
        <v>61021</v>
      </c>
      <c r="CD86" s="136">
        <v>61638</v>
      </c>
      <c r="CE86" s="136">
        <v>62221</v>
      </c>
      <c r="CF86" s="136">
        <v>62866</v>
      </c>
      <c r="CG86" s="136">
        <v>63453</v>
      </c>
      <c r="CH86" s="136">
        <v>64033</v>
      </c>
      <c r="CI86" s="136">
        <v>64637</v>
      </c>
      <c r="CJ86" s="136">
        <v>65156</v>
      </c>
      <c r="CK86" s="136">
        <v>65690</v>
      </c>
      <c r="CL86" s="136">
        <v>66279</v>
      </c>
      <c r="CM86" s="136">
        <v>66787</v>
      </c>
      <c r="CN86" s="136">
        <v>67332</v>
      </c>
      <c r="CO86" s="136">
        <v>67882</v>
      </c>
      <c r="CP86" s="136">
        <v>68392</v>
      </c>
      <c r="CQ86" s="136">
        <v>68912</v>
      </c>
      <c r="CR86" s="136">
        <v>69383</v>
      </c>
      <c r="CS86" s="136">
        <v>69888</v>
      </c>
      <c r="CT86" s="136">
        <v>70356</v>
      </c>
      <c r="CU86" s="136">
        <v>70832</v>
      </c>
      <c r="CV86" s="136">
        <v>71289</v>
      </c>
      <c r="CW86" s="136">
        <v>71741</v>
      </c>
      <c r="CX86" s="136">
        <v>72212</v>
      </c>
      <c r="CY86" s="136">
        <v>72633</v>
      </c>
      <c r="CZ86" s="136">
        <v>73073</v>
      </c>
      <c r="DA86" s="136">
        <v>73484</v>
      </c>
      <c r="DB86" s="136">
        <v>73925</v>
      </c>
      <c r="DC86" s="136">
        <v>74335</v>
      </c>
      <c r="DD86" s="136">
        <v>74747</v>
      </c>
      <c r="DE86" s="136">
        <v>75139</v>
      </c>
      <c r="DF86" s="136">
        <v>75563</v>
      </c>
      <c r="DG86" s="136">
        <v>75953</v>
      </c>
      <c r="DH86" s="136">
        <v>76338</v>
      </c>
      <c r="DI86" s="136">
        <v>76717</v>
      </c>
      <c r="DJ86" s="136">
        <v>77114</v>
      </c>
      <c r="DK86" s="136">
        <v>77477</v>
      </c>
      <c r="DL86" s="136">
        <v>77839</v>
      </c>
      <c r="DM86" s="136">
        <v>78209</v>
      </c>
      <c r="DN86" s="136">
        <v>78573</v>
      </c>
      <c r="DO86" s="136">
        <v>78931</v>
      </c>
    </row>
    <row r="87" spans="1:119">
      <c r="A87" s="135">
        <v>85</v>
      </c>
      <c r="B87" s="136"/>
      <c r="C87" s="136"/>
      <c r="D87" s="136"/>
      <c r="E87" s="136"/>
      <c r="F87" s="136"/>
      <c r="G87" s="136"/>
      <c r="H87" s="136"/>
      <c r="I87" s="136"/>
      <c r="J87" s="136"/>
      <c r="K87" s="136"/>
      <c r="L87" s="136"/>
      <c r="M87" s="136"/>
      <c r="N87" s="136"/>
      <c r="O87" s="136"/>
      <c r="P87" s="136"/>
      <c r="Q87" s="136"/>
      <c r="R87" s="136"/>
      <c r="S87" s="136"/>
      <c r="T87" s="136"/>
      <c r="U87" s="136"/>
      <c r="V87" s="136"/>
      <c r="W87" s="136">
        <v>17664</v>
      </c>
      <c r="X87" s="136">
        <v>18604</v>
      </c>
      <c r="Y87" s="136">
        <v>19050</v>
      </c>
      <c r="Z87" s="136">
        <v>20390</v>
      </c>
      <c r="AA87" s="136">
        <v>20999</v>
      </c>
      <c r="AB87" s="136">
        <v>21742</v>
      </c>
      <c r="AC87" s="136">
        <v>22099</v>
      </c>
      <c r="AD87" s="136">
        <v>22304</v>
      </c>
      <c r="AE87" s="136">
        <v>22687</v>
      </c>
      <c r="AF87" s="136">
        <v>23711</v>
      </c>
      <c r="AG87" s="136">
        <v>24544</v>
      </c>
      <c r="AH87" s="136">
        <v>25489</v>
      </c>
      <c r="AI87" s="136">
        <v>26288</v>
      </c>
      <c r="AJ87" s="136">
        <v>27464</v>
      </c>
      <c r="AK87" s="136">
        <v>28246</v>
      </c>
      <c r="AL87" s="136">
        <v>29220</v>
      </c>
      <c r="AM87" s="136">
        <v>30156</v>
      </c>
      <c r="AN87" s="136">
        <v>30932</v>
      </c>
      <c r="AO87" s="136">
        <v>31363</v>
      </c>
      <c r="AP87" s="136">
        <v>31970</v>
      </c>
      <c r="AQ87" s="136">
        <v>32513</v>
      </c>
      <c r="AR87" s="136">
        <v>33214</v>
      </c>
      <c r="AS87" s="136">
        <v>33301</v>
      </c>
      <c r="AT87" s="136">
        <v>33420</v>
      </c>
      <c r="AU87" s="136">
        <v>33308</v>
      </c>
      <c r="AV87" s="136">
        <v>33937</v>
      </c>
      <c r="AW87" s="136">
        <v>34756</v>
      </c>
      <c r="AX87" s="136">
        <v>36230</v>
      </c>
      <c r="AY87" s="136">
        <v>37477</v>
      </c>
      <c r="AZ87" s="136">
        <v>37919</v>
      </c>
      <c r="BA87" s="136">
        <v>38396</v>
      </c>
      <c r="BB87" s="136">
        <v>39227</v>
      </c>
      <c r="BC87" s="136">
        <v>39850</v>
      </c>
      <c r="BD87" s="136">
        <v>40632</v>
      </c>
      <c r="BE87" s="136">
        <v>41268</v>
      </c>
      <c r="BF87" s="136">
        <v>42075</v>
      </c>
      <c r="BG87" s="136">
        <v>42645</v>
      </c>
      <c r="BH87" s="136">
        <v>43514</v>
      </c>
      <c r="BI87" s="136">
        <v>44243</v>
      </c>
      <c r="BJ87" s="136">
        <v>44967</v>
      </c>
      <c r="BK87" s="136">
        <v>45774</v>
      </c>
      <c r="BL87" s="136">
        <v>46613</v>
      </c>
      <c r="BM87" s="136">
        <v>47453</v>
      </c>
      <c r="BN87" s="136">
        <v>48239</v>
      </c>
      <c r="BO87" s="136">
        <v>49006</v>
      </c>
      <c r="BP87" s="136">
        <v>49685</v>
      </c>
      <c r="BQ87" s="136">
        <v>50364</v>
      </c>
      <c r="BR87" s="136">
        <v>51027</v>
      </c>
      <c r="BS87" s="136">
        <v>51613</v>
      </c>
      <c r="BT87" s="136">
        <v>52263</v>
      </c>
      <c r="BU87" s="136">
        <v>52864</v>
      </c>
      <c r="BV87" s="136">
        <v>53516</v>
      </c>
      <c r="BW87" s="136">
        <v>54118</v>
      </c>
      <c r="BX87" s="136">
        <v>54782</v>
      </c>
      <c r="BY87" s="136">
        <v>55455</v>
      </c>
      <c r="BZ87" s="136">
        <v>56201</v>
      </c>
      <c r="CA87" s="136">
        <v>56860</v>
      </c>
      <c r="CB87" s="136">
        <v>57452</v>
      </c>
      <c r="CC87" s="136">
        <v>58118</v>
      </c>
      <c r="CD87" s="136">
        <v>58749</v>
      </c>
      <c r="CE87" s="136">
        <v>59349</v>
      </c>
      <c r="CF87" s="136">
        <v>60007</v>
      </c>
      <c r="CG87" s="136">
        <v>60610</v>
      </c>
      <c r="CH87" s="136">
        <v>61208</v>
      </c>
      <c r="CI87" s="136">
        <v>61827</v>
      </c>
      <c r="CJ87" s="136">
        <v>62366</v>
      </c>
      <c r="CK87" s="136">
        <v>62920</v>
      </c>
      <c r="CL87" s="136">
        <v>63525</v>
      </c>
      <c r="CM87" s="136">
        <v>64054</v>
      </c>
      <c r="CN87" s="136">
        <v>64618</v>
      </c>
      <c r="CO87" s="136">
        <v>65187</v>
      </c>
      <c r="CP87" s="136">
        <v>65717</v>
      </c>
      <c r="CQ87" s="136">
        <v>66257</v>
      </c>
      <c r="CR87" s="136">
        <v>66750</v>
      </c>
      <c r="CS87" s="136">
        <v>67275</v>
      </c>
      <c r="CT87" s="136">
        <v>67766</v>
      </c>
      <c r="CU87" s="136">
        <v>68263</v>
      </c>
      <c r="CV87" s="136">
        <v>68742</v>
      </c>
      <c r="CW87" s="136">
        <v>69216</v>
      </c>
      <c r="CX87" s="136">
        <v>69709</v>
      </c>
      <c r="CY87" s="136">
        <v>70153</v>
      </c>
      <c r="CZ87" s="136">
        <v>70616</v>
      </c>
      <c r="DA87" s="136">
        <v>71049</v>
      </c>
      <c r="DB87" s="136">
        <v>71513</v>
      </c>
      <c r="DC87" s="136">
        <v>71945</v>
      </c>
      <c r="DD87" s="136">
        <v>72381</v>
      </c>
      <c r="DE87" s="136">
        <v>72795</v>
      </c>
      <c r="DF87" s="136">
        <v>73241</v>
      </c>
      <c r="DG87" s="136">
        <v>73655</v>
      </c>
      <c r="DH87" s="136">
        <v>74062</v>
      </c>
      <c r="DI87" s="136">
        <v>74465</v>
      </c>
      <c r="DJ87" s="136">
        <v>74883</v>
      </c>
      <c r="DK87" s="136">
        <v>75270</v>
      </c>
      <c r="DL87" s="136">
        <v>75654</v>
      </c>
      <c r="DM87" s="136">
        <v>76047</v>
      </c>
      <c r="DN87" s="136">
        <v>76433</v>
      </c>
      <c r="DO87" s="136">
        <v>76814</v>
      </c>
    </row>
    <row r="88" spans="1:119">
      <c r="A88" s="135">
        <v>86</v>
      </c>
      <c r="B88" s="136"/>
      <c r="C88" s="136"/>
      <c r="D88" s="136"/>
      <c r="E88" s="136"/>
      <c r="F88" s="136"/>
      <c r="G88" s="136"/>
      <c r="H88" s="136"/>
      <c r="I88" s="136"/>
      <c r="J88" s="136"/>
      <c r="K88" s="136"/>
      <c r="L88" s="136"/>
      <c r="M88" s="136"/>
      <c r="N88" s="136"/>
      <c r="O88" s="136"/>
      <c r="P88" s="136"/>
      <c r="Q88" s="136"/>
      <c r="R88" s="136"/>
      <c r="S88" s="136"/>
      <c r="T88" s="136"/>
      <c r="U88" s="136"/>
      <c r="V88" s="136"/>
      <c r="W88" s="136">
        <v>15676</v>
      </c>
      <c r="X88" s="136">
        <v>16501</v>
      </c>
      <c r="Y88" s="136">
        <v>16872</v>
      </c>
      <c r="Z88" s="136">
        <v>18180</v>
      </c>
      <c r="AA88" s="136">
        <v>18687</v>
      </c>
      <c r="AB88" s="136">
        <v>19374</v>
      </c>
      <c r="AC88" s="136">
        <v>19622</v>
      </c>
      <c r="AD88" s="136">
        <v>19908</v>
      </c>
      <c r="AE88" s="136">
        <v>20179</v>
      </c>
      <c r="AF88" s="136">
        <v>21143</v>
      </c>
      <c r="AG88" s="136">
        <v>21922</v>
      </c>
      <c r="AH88" s="136">
        <v>22803</v>
      </c>
      <c r="AI88" s="136">
        <v>23555</v>
      </c>
      <c r="AJ88" s="136">
        <v>24647</v>
      </c>
      <c r="AK88" s="136">
        <v>25388</v>
      </c>
      <c r="AL88" s="136">
        <v>26303</v>
      </c>
      <c r="AM88" s="136">
        <v>27186</v>
      </c>
      <c r="AN88" s="136">
        <v>27926</v>
      </c>
      <c r="AO88" s="136">
        <v>28356</v>
      </c>
      <c r="AP88" s="136">
        <v>28946</v>
      </c>
      <c r="AQ88" s="136">
        <v>29479</v>
      </c>
      <c r="AR88" s="136">
        <v>30157</v>
      </c>
      <c r="AS88" s="136">
        <v>30277</v>
      </c>
      <c r="AT88" s="136">
        <v>30426</v>
      </c>
      <c r="AU88" s="136">
        <v>30364</v>
      </c>
      <c r="AV88" s="136">
        <v>30981</v>
      </c>
      <c r="AW88" s="136">
        <v>31773</v>
      </c>
      <c r="AX88" s="136">
        <v>33165</v>
      </c>
      <c r="AY88" s="136">
        <v>34353</v>
      </c>
      <c r="AZ88" s="136">
        <v>34804</v>
      </c>
      <c r="BA88" s="136">
        <v>35287</v>
      </c>
      <c r="BB88" s="136">
        <v>36097</v>
      </c>
      <c r="BC88" s="136">
        <v>36717</v>
      </c>
      <c r="BD88" s="136">
        <v>37484</v>
      </c>
      <c r="BE88" s="136">
        <v>38117</v>
      </c>
      <c r="BF88" s="136">
        <v>38909</v>
      </c>
      <c r="BG88" s="136">
        <v>39483</v>
      </c>
      <c r="BH88" s="136">
        <v>40334</v>
      </c>
      <c r="BI88" s="136">
        <v>41056</v>
      </c>
      <c r="BJ88" s="136">
        <v>41775</v>
      </c>
      <c r="BK88" s="136">
        <v>42572</v>
      </c>
      <c r="BL88" s="136">
        <v>43400</v>
      </c>
      <c r="BM88" s="136">
        <v>44230</v>
      </c>
      <c r="BN88" s="136">
        <v>45010</v>
      </c>
      <c r="BO88" s="136">
        <v>45773</v>
      </c>
      <c r="BP88" s="136">
        <v>46455</v>
      </c>
      <c r="BQ88" s="136">
        <v>47137</v>
      </c>
      <c r="BR88" s="136">
        <v>47805</v>
      </c>
      <c r="BS88" s="136">
        <v>48402</v>
      </c>
      <c r="BT88" s="136">
        <v>49058</v>
      </c>
      <c r="BU88" s="136">
        <v>49670</v>
      </c>
      <c r="BV88" s="136">
        <v>50329</v>
      </c>
      <c r="BW88" s="136">
        <v>50943</v>
      </c>
      <c r="BX88" s="136">
        <v>51613</v>
      </c>
      <c r="BY88" s="136">
        <v>52294</v>
      </c>
      <c r="BZ88" s="136">
        <v>53044</v>
      </c>
      <c r="CA88" s="136">
        <v>53713</v>
      </c>
      <c r="CB88" s="136">
        <v>54318</v>
      </c>
      <c r="CC88" s="136">
        <v>54994</v>
      </c>
      <c r="CD88" s="136">
        <v>55637</v>
      </c>
      <c r="CE88" s="136">
        <v>56251</v>
      </c>
      <c r="CF88" s="136">
        <v>56920</v>
      </c>
      <c r="CG88" s="136">
        <v>57537</v>
      </c>
      <c r="CH88" s="136">
        <v>58150</v>
      </c>
      <c r="CI88" s="136">
        <v>58783</v>
      </c>
      <c r="CJ88" s="136">
        <v>59340</v>
      </c>
      <c r="CK88" s="136">
        <v>59911</v>
      </c>
      <c r="CL88" s="136">
        <v>60532</v>
      </c>
      <c r="CM88" s="136">
        <v>61079</v>
      </c>
      <c r="CN88" s="136">
        <v>61661</v>
      </c>
      <c r="CO88" s="136">
        <v>62247</v>
      </c>
      <c r="CP88" s="136">
        <v>62797</v>
      </c>
      <c r="CQ88" s="136">
        <v>63355</v>
      </c>
      <c r="CR88" s="136">
        <v>63869</v>
      </c>
      <c r="CS88" s="136">
        <v>64414</v>
      </c>
      <c r="CT88" s="136">
        <v>64925</v>
      </c>
      <c r="CU88" s="136">
        <v>65443</v>
      </c>
      <c r="CV88" s="136">
        <v>65944</v>
      </c>
      <c r="CW88" s="136">
        <v>66439</v>
      </c>
      <c r="CX88" s="136">
        <v>66953</v>
      </c>
      <c r="CY88" s="136">
        <v>67419</v>
      </c>
      <c r="CZ88" s="136">
        <v>67904</v>
      </c>
      <c r="DA88" s="136">
        <v>68361</v>
      </c>
      <c r="DB88" s="136">
        <v>68846</v>
      </c>
      <c r="DC88" s="136">
        <v>69301</v>
      </c>
      <c r="DD88" s="136">
        <v>69759</v>
      </c>
      <c r="DE88" s="136">
        <v>70197</v>
      </c>
      <c r="DF88" s="136">
        <v>70665</v>
      </c>
      <c r="DG88" s="136">
        <v>71102</v>
      </c>
      <c r="DH88" s="136">
        <v>71532</v>
      </c>
      <c r="DI88" s="136">
        <v>71958</v>
      </c>
      <c r="DJ88" s="136">
        <v>72399</v>
      </c>
      <c r="DK88" s="136">
        <v>72809</v>
      </c>
      <c r="DL88" s="136">
        <v>73217</v>
      </c>
      <c r="DM88" s="136">
        <v>73632</v>
      </c>
      <c r="DN88" s="136">
        <v>74042</v>
      </c>
      <c r="DO88" s="136">
        <v>74446</v>
      </c>
    </row>
    <row r="89" spans="1:119">
      <c r="A89" s="135">
        <v>87</v>
      </c>
      <c r="B89" s="136"/>
      <c r="C89" s="136"/>
      <c r="D89" s="136"/>
      <c r="E89" s="136"/>
      <c r="F89" s="136"/>
      <c r="G89" s="136"/>
      <c r="H89" s="136"/>
      <c r="I89" s="136"/>
      <c r="J89" s="136"/>
      <c r="K89" s="136"/>
      <c r="L89" s="136"/>
      <c r="M89" s="136"/>
      <c r="N89" s="136"/>
      <c r="O89" s="136"/>
      <c r="P89" s="136"/>
      <c r="Q89" s="136"/>
      <c r="R89" s="136"/>
      <c r="S89" s="136"/>
      <c r="T89" s="136"/>
      <c r="U89" s="136"/>
      <c r="V89" s="136"/>
      <c r="W89" s="136">
        <v>13673</v>
      </c>
      <c r="X89" s="136">
        <v>14443</v>
      </c>
      <c r="Y89" s="136">
        <v>14816</v>
      </c>
      <c r="Z89" s="136">
        <v>15933</v>
      </c>
      <c r="AA89" s="136">
        <v>16361</v>
      </c>
      <c r="AB89" s="136">
        <v>16962</v>
      </c>
      <c r="AC89" s="136">
        <v>17309</v>
      </c>
      <c r="AD89" s="136">
        <v>17444</v>
      </c>
      <c r="AE89" s="136">
        <v>17734</v>
      </c>
      <c r="AF89" s="136">
        <v>18615</v>
      </c>
      <c r="AG89" s="136">
        <v>19335</v>
      </c>
      <c r="AH89" s="136">
        <v>20147</v>
      </c>
      <c r="AI89" s="136">
        <v>20847</v>
      </c>
      <c r="AJ89" s="136">
        <v>21850</v>
      </c>
      <c r="AK89" s="136">
        <v>22544</v>
      </c>
      <c r="AL89" s="136">
        <v>23395</v>
      </c>
      <c r="AM89" s="136">
        <v>24219</v>
      </c>
      <c r="AN89" s="136">
        <v>24918</v>
      </c>
      <c r="AO89" s="136">
        <v>25342</v>
      </c>
      <c r="AP89" s="136">
        <v>25908</v>
      </c>
      <c r="AQ89" s="136">
        <v>26426</v>
      </c>
      <c r="AR89" s="136">
        <v>27074</v>
      </c>
      <c r="AS89" s="136">
        <v>27222</v>
      </c>
      <c r="AT89" s="136">
        <v>27395</v>
      </c>
      <c r="AU89" s="136">
        <v>27382</v>
      </c>
      <c r="AV89" s="136">
        <v>27981</v>
      </c>
      <c r="AW89" s="136">
        <v>28740</v>
      </c>
      <c r="AX89" s="136">
        <v>30044</v>
      </c>
      <c r="AY89" s="136">
        <v>31165</v>
      </c>
      <c r="AZ89" s="136">
        <v>31620</v>
      </c>
      <c r="BA89" s="136">
        <v>32104</v>
      </c>
      <c r="BB89" s="136">
        <v>32887</v>
      </c>
      <c r="BC89" s="136">
        <v>33497</v>
      </c>
      <c r="BD89" s="136">
        <v>34243</v>
      </c>
      <c r="BE89" s="136">
        <v>34868</v>
      </c>
      <c r="BF89" s="136">
        <v>35639</v>
      </c>
      <c r="BG89" s="136">
        <v>36211</v>
      </c>
      <c r="BH89" s="136">
        <v>37039</v>
      </c>
      <c r="BI89" s="136">
        <v>37750</v>
      </c>
      <c r="BJ89" s="136">
        <v>38458</v>
      </c>
      <c r="BK89" s="136">
        <v>39239</v>
      </c>
      <c r="BL89" s="136">
        <v>40050</v>
      </c>
      <c r="BM89" s="136">
        <v>40864</v>
      </c>
      <c r="BN89" s="136">
        <v>41632</v>
      </c>
      <c r="BO89" s="136">
        <v>42387</v>
      </c>
      <c r="BP89" s="136">
        <v>43067</v>
      </c>
      <c r="BQ89" s="136">
        <v>43747</v>
      </c>
      <c r="BR89" s="136">
        <v>44416</v>
      </c>
      <c r="BS89" s="136">
        <v>45018</v>
      </c>
      <c r="BT89" s="136">
        <v>45677</v>
      </c>
      <c r="BU89" s="136">
        <v>46295</v>
      </c>
      <c r="BV89" s="136">
        <v>46957</v>
      </c>
      <c r="BW89" s="136">
        <v>47578</v>
      </c>
      <c r="BX89" s="136">
        <v>48252</v>
      </c>
      <c r="BY89" s="136">
        <v>48937</v>
      </c>
      <c r="BZ89" s="136">
        <v>49686</v>
      </c>
      <c r="CA89" s="136">
        <v>50360</v>
      </c>
      <c r="CB89" s="136">
        <v>50975</v>
      </c>
      <c r="CC89" s="136">
        <v>51657</v>
      </c>
      <c r="CD89" s="136">
        <v>52309</v>
      </c>
      <c r="CE89" s="136">
        <v>52933</v>
      </c>
      <c r="CF89" s="136">
        <v>53610</v>
      </c>
      <c r="CG89" s="136">
        <v>54239</v>
      </c>
      <c r="CH89" s="136">
        <v>54863</v>
      </c>
      <c r="CI89" s="136">
        <v>55507</v>
      </c>
      <c r="CJ89" s="136">
        <v>56080</v>
      </c>
      <c r="CK89" s="136">
        <v>56666</v>
      </c>
      <c r="CL89" s="136">
        <v>57299</v>
      </c>
      <c r="CM89" s="136">
        <v>57863</v>
      </c>
      <c r="CN89" s="136">
        <v>58459</v>
      </c>
      <c r="CO89" s="136">
        <v>59061</v>
      </c>
      <c r="CP89" s="136">
        <v>59627</v>
      </c>
      <c r="CQ89" s="136">
        <v>60203</v>
      </c>
      <c r="CR89" s="136">
        <v>60735</v>
      </c>
      <c r="CS89" s="136">
        <v>61298</v>
      </c>
      <c r="CT89" s="136">
        <v>61829</v>
      </c>
      <c r="CU89" s="136">
        <v>62366</v>
      </c>
      <c r="CV89" s="136">
        <v>62887</v>
      </c>
      <c r="CW89" s="136">
        <v>63403</v>
      </c>
      <c r="CX89" s="136">
        <v>63936</v>
      </c>
      <c r="CY89" s="136">
        <v>64424</v>
      </c>
      <c r="CZ89" s="136">
        <v>64930</v>
      </c>
      <c r="DA89" s="136">
        <v>65408</v>
      </c>
      <c r="DB89" s="136">
        <v>65914</v>
      </c>
      <c r="DC89" s="136">
        <v>66392</v>
      </c>
      <c r="DD89" s="136">
        <v>66872</v>
      </c>
      <c r="DE89" s="136">
        <v>67333</v>
      </c>
      <c r="DF89" s="136">
        <v>67822</v>
      </c>
      <c r="DG89" s="136">
        <v>68281</v>
      </c>
      <c r="DH89" s="136">
        <v>68735</v>
      </c>
      <c r="DI89" s="136">
        <v>69183</v>
      </c>
      <c r="DJ89" s="136">
        <v>69647</v>
      </c>
      <c r="DK89" s="136">
        <v>70080</v>
      </c>
      <c r="DL89" s="136">
        <v>70511</v>
      </c>
      <c r="DM89" s="136">
        <v>70949</v>
      </c>
      <c r="DN89" s="136">
        <v>71382</v>
      </c>
      <c r="DO89" s="136">
        <v>71809</v>
      </c>
    </row>
    <row r="90" spans="1:119">
      <c r="A90" s="135">
        <v>88</v>
      </c>
      <c r="B90" s="136"/>
      <c r="C90" s="136"/>
      <c r="D90" s="136"/>
      <c r="E90" s="136"/>
      <c r="F90" s="136"/>
      <c r="G90" s="136"/>
      <c r="H90" s="136"/>
      <c r="I90" s="136"/>
      <c r="J90" s="136"/>
      <c r="K90" s="136"/>
      <c r="L90" s="136"/>
      <c r="M90" s="136"/>
      <c r="N90" s="136"/>
      <c r="O90" s="136"/>
      <c r="P90" s="136"/>
      <c r="Q90" s="136"/>
      <c r="R90" s="136"/>
      <c r="S90" s="136"/>
      <c r="T90" s="136"/>
      <c r="U90" s="136"/>
      <c r="V90" s="136"/>
      <c r="W90" s="136">
        <v>11773</v>
      </c>
      <c r="X90" s="136">
        <v>12483</v>
      </c>
      <c r="Y90" s="136">
        <v>12761</v>
      </c>
      <c r="Z90" s="136">
        <v>13760</v>
      </c>
      <c r="AA90" s="136">
        <v>14086</v>
      </c>
      <c r="AB90" s="136">
        <v>14748</v>
      </c>
      <c r="AC90" s="136">
        <v>14944</v>
      </c>
      <c r="AD90" s="136">
        <v>15086</v>
      </c>
      <c r="AE90" s="136">
        <v>15367</v>
      </c>
      <c r="AF90" s="136">
        <v>16161</v>
      </c>
      <c r="AG90" s="136">
        <v>16818</v>
      </c>
      <c r="AH90" s="136">
        <v>17557</v>
      </c>
      <c r="AI90" s="136">
        <v>18200</v>
      </c>
      <c r="AJ90" s="136">
        <v>19111</v>
      </c>
      <c r="AK90" s="136">
        <v>19753</v>
      </c>
      <c r="AL90" s="136">
        <v>20535</v>
      </c>
      <c r="AM90" s="136">
        <v>21295</v>
      </c>
      <c r="AN90" s="136">
        <v>21947</v>
      </c>
      <c r="AO90" s="136">
        <v>22358</v>
      </c>
      <c r="AP90" s="136">
        <v>22896</v>
      </c>
      <c r="AQ90" s="136">
        <v>23391</v>
      </c>
      <c r="AR90" s="136">
        <v>24003</v>
      </c>
      <c r="AS90" s="136">
        <v>24173</v>
      </c>
      <c r="AT90" s="136">
        <v>24369</v>
      </c>
      <c r="AU90" s="136">
        <v>24398</v>
      </c>
      <c r="AV90" s="136">
        <v>24974</v>
      </c>
      <c r="AW90" s="136">
        <v>25693</v>
      </c>
      <c r="AX90" s="136">
        <v>26902</v>
      </c>
      <c r="AY90" s="136">
        <v>27950</v>
      </c>
      <c r="AZ90" s="136">
        <v>28402</v>
      </c>
      <c r="BA90" s="136">
        <v>28882</v>
      </c>
      <c r="BB90" s="136">
        <v>29631</v>
      </c>
      <c r="BC90" s="136">
        <v>30226</v>
      </c>
      <c r="BD90" s="136">
        <v>30945</v>
      </c>
      <c r="BE90" s="136">
        <v>31555</v>
      </c>
      <c r="BF90" s="136">
        <v>32298</v>
      </c>
      <c r="BG90" s="136">
        <v>32863</v>
      </c>
      <c r="BH90" s="136">
        <v>33661</v>
      </c>
      <c r="BI90" s="136">
        <v>34354</v>
      </c>
      <c r="BJ90" s="136">
        <v>35046</v>
      </c>
      <c r="BK90" s="136">
        <v>35805</v>
      </c>
      <c r="BL90" s="136">
        <v>36592</v>
      </c>
      <c r="BM90" s="136">
        <v>37384</v>
      </c>
      <c r="BN90" s="136">
        <v>38135</v>
      </c>
      <c r="BO90" s="136">
        <v>38874</v>
      </c>
      <c r="BP90" s="136">
        <v>39546</v>
      </c>
      <c r="BQ90" s="136">
        <v>40220</v>
      </c>
      <c r="BR90" s="136">
        <v>40883</v>
      </c>
      <c r="BS90" s="136">
        <v>41487</v>
      </c>
      <c r="BT90" s="136">
        <v>42143</v>
      </c>
      <c r="BU90" s="136">
        <v>42761</v>
      </c>
      <c r="BV90" s="136">
        <v>43422</v>
      </c>
      <c r="BW90" s="136">
        <v>44044</v>
      </c>
      <c r="BX90" s="136">
        <v>44717</v>
      </c>
      <c r="BY90" s="136">
        <v>45400</v>
      </c>
      <c r="BZ90" s="136">
        <v>46144</v>
      </c>
      <c r="CA90" s="136">
        <v>46819</v>
      </c>
      <c r="CB90" s="136">
        <v>47440</v>
      </c>
      <c r="CC90" s="136">
        <v>48123</v>
      </c>
      <c r="CD90" s="136">
        <v>48779</v>
      </c>
      <c r="CE90" s="136">
        <v>49410</v>
      </c>
      <c r="CF90" s="136">
        <v>50090</v>
      </c>
      <c r="CG90" s="136">
        <v>50726</v>
      </c>
      <c r="CH90" s="136">
        <v>51358</v>
      </c>
      <c r="CI90" s="136">
        <v>52009</v>
      </c>
      <c r="CJ90" s="136">
        <v>52594</v>
      </c>
      <c r="CK90" s="136">
        <v>53191</v>
      </c>
      <c r="CL90" s="136">
        <v>53833</v>
      </c>
      <c r="CM90" s="136">
        <v>54411</v>
      </c>
      <c r="CN90" s="136">
        <v>55019</v>
      </c>
      <c r="CO90" s="136">
        <v>55632</v>
      </c>
      <c r="CP90" s="136">
        <v>56213</v>
      </c>
      <c r="CQ90" s="136">
        <v>56803</v>
      </c>
      <c r="CR90" s="136">
        <v>57352</v>
      </c>
      <c r="CS90" s="136">
        <v>57929</v>
      </c>
      <c r="CT90" s="136">
        <v>58477</v>
      </c>
      <c r="CU90" s="136">
        <v>59031</v>
      </c>
      <c r="CV90" s="136">
        <v>59570</v>
      </c>
      <c r="CW90" s="136">
        <v>60104</v>
      </c>
      <c r="CX90" s="136">
        <v>60655</v>
      </c>
      <c r="CY90" s="136">
        <v>61163</v>
      </c>
      <c r="CZ90" s="136">
        <v>61688</v>
      </c>
      <c r="DA90" s="136">
        <v>62187</v>
      </c>
      <c r="DB90" s="136">
        <v>62712</v>
      </c>
      <c r="DC90" s="136">
        <v>63210</v>
      </c>
      <c r="DD90" s="136">
        <v>63711</v>
      </c>
      <c r="DE90" s="136">
        <v>64193</v>
      </c>
      <c r="DF90" s="136">
        <v>64702</v>
      </c>
      <c r="DG90" s="136">
        <v>65183</v>
      </c>
      <c r="DH90" s="136">
        <v>65658</v>
      </c>
      <c r="DI90" s="136">
        <v>66129</v>
      </c>
      <c r="DJ90" s="136">
        <v>66614</v>
      </c>
      <c r="DK90" s="136">
        <v>67070</v>
      </c>
      <c r="DL90" s="136">
        <v>67524</v>
      </c>
      <c r="DM90" s="136">
        <v>67984</v>
      </c>
      <c r="DN90" s="136">
        <v>68439</v>
      </c>
      <c r="DO90" s="136">
        <v>68889</v>
      </c>
    </row>
    <row r="91" spans="1:119">
      <c r="A91" s="135">
        <v>89</v>
      </c>
      <c r="B91" s="136"/>
      <c r="C91" s="136"/>
      <c r="D91" s="136"/>
      <c r="E91" s="136"/>
      <c r="F91" s="136"/>
      <c r="G91" s="136"/>
      <c r="H91" s="136"/>
      <c r="I91" s="136"/>
      <c r="J91" s="136"/>
      <c r="K91" s="136"/>
      <c r="L91" s="136"/>
      <c r="M91" s="136"/>
      <c r="N91" s="136"/>
      <c r="O91" s="136"/>
      <c r="P91" s="136"/>
      <c r="Q91" s="136"/>
      <c r="R91" s="136"/>
      <c r="S91" s="136"/>
      <c r="T91" s="136"/>
      <c r="U91" s="136"/>
      <c r="V91" s="136"/>
      <c r="W91" s="136">
        <v>10051</v>
      </c>
      <c r="X91" s="136">
        <v>10560</v>
      </c>
      <c r="Y91" s="136">
        <v>10832</v>
      </c>
      <c r="Z91" s="136">
        <v>11629</v>
      </c>
      <c r="AA91" s="136">
        <v>12046</v>
      </c>
      <c r="AB91" s="136">
        <v>12519</v>
      </c>
      <c r="AC91" s="136">
        <v>12695</v>
      </c>
      <c r="AD91" s="136">
        <v>12843</v>
      </c>
      <c r="AE91" s="136">
        <v>13110</v>
      </c>
      <c r="AF91" s="136">
        <v>13816</v>
      </c>
      <c r="AG91" s="136">
        <v>14406</v>
      </c>
      <c r="AH91" s="136">
        <v>15069</v>
      </c>
      <c r="AI91" s="136">
        <v>15652</v>
      </c>
      <c r="AJ91" s="136">
        <v>16467</v>
      </c>
      <c r="AK91" s="136">
        <v>17053</v>
      </c>
      <c r="AL91" s="136">
        <v>17762</v>
      </c>
      <c r="AM91" s="136">
        <v>18454</v>
      </c>
      <c r="AN91" s="136">
        <v>19054</v>
      </c>
      <c r="AO91" s="136">
        <v>19446</v>
      </c>
      <c r="AP91" s="136">
        <v>19949</v>
      </c>
      <c r="AQ91" s="136">
        <v>20417</v>
      </c>
      <c r="AR91" s="136">
        <v>20988</v>
      </c>
      <c r="AS91" s="136">
        <v>21176</v>
      </c>
      <c r="AT91" s="136">
        <v>21388</v>
      </c>
      <c r="AU91" s="136">
        <v>21452</v>
      </c>
      <c r="AV91" s="136">
        <v>21998</v>
      </c>
      <c r="AW91" s="136">
        <v>22671</v>
      </c>
      <c r="AX91" s="136">
        <v>23780</v>
      </c>
      <c r="AY91" s="136">
        <v>24749</v>
      </c>
      <c r="AZ91" s="136">
        <v>25192</v>
      </c>
      <c r="BA91" s="136">
        <v>25660</v>
      </c>
      <c r="BB91" s="136">
        <v>26369</v>
      </c>
      <c r="BC91" s="136">
        <v>26942</v>
      </c>
      <c r="BD91" s="136">
        <v>27627</v>
      </c>
      <c r="BE91" s="136">
        <v>28216</v>
      </c>
      <c r="BF91" s="136">
        <v>28926</v>
      </c>
      <c r="BG91" s="136">
        <v>29477</v>
      </c>
      <c r="BH91" s="136">
        <v>30238</v>
      </c>
      <c r="BI91" s="136">
        <v>30906</v>
      </c>
      <c r="BJ91" s="136">
        <v>31575</v>
      </c>
      <c r="BK91" s="136">
        <v>32305</v>
      </c>
      <c r="BL91" s="136">
        <v>33062</v>
      </c>
      <c r="BM91" s="136">
        <v>33825</v>
      </c>
      <c r="BN91" s="136">
        <v>34552</v>
      </c>
      <c r="BO91" s="136">
        <v>35270</v>
      </c>
      <c r="BP91" s="136">
        <v>35928</v>
      </c>
      <c r="BQ91" s="136">
        <v>36588</v>
      </c>
      <c r="BR91" s="136">
        <v>37240</v>
      </c>
      <c r="BS91" s="136">
        <v>37838</v>
      </c>
      <c r="BT91" s="136">
        <v>38485</v>
      </c>
      <c r="BU91" s="136">
        <v>39098</v>
      </c>
      <c r="BV91" s="136">
        <v>39752</v>
      </c>
      <c r="BW91" s="136">
        <v>40370</v>
      </c>
      <c r="BX91" s="136">
        <v>41036</v>
      </c>
      <c r="BY91" s="136">
        <v>41712</v>
      </c>
      <c r="BZ91" s="136">
        <v>42445</v>
      </c>
      <c r="CA91" s="136">
        <v>43115</v>
      </c>
      <c r="CB91" s="136">
        <v>43735</v>
      </c>
      <c r="CC91" s="136">
        <v>44414</v>
      </c>
      <c r="CD91" s="136">
        <v>45069</v>
      </c>
      <c r="CE91" s="136">
        <v>45701</v>
      </c>
      <c r="CF91" s="136">
        <v>46380</v>
      </c>
      <c r="CG91" s="136">
        <v>47018</v>
      </c>
      <c r="CH91" s="136">
        <v>47653</v>
      </c>
      <c r="CI91" s="136">
        <v>48307</v>
      </c>
      <c r="CJ91" s="136">
        <v>48899</v>
      </c>
      <c r="CK91" s="136">
        <v>49503</v>
      </c>
      <c r="CL91" s="136">
        <v>50150</v>
      </c>
      <c r="CM91" s="136">
        <v>50737</v>
      </c>
      <c r="CN91" s="136">
        <v>51352</v>
      </c>
      <c r="CO91" s="136">
        <v>51973</v>
      </c>
      <c r="CP91" s="136">
        <v>52565</v>
      </c>
      <c r="CQ91" s="136">
        <v>53164</v>
      </c>
      <c r="CR91" s="136">
        <v>53726</v>
      </c>
      <c r="CS91" s="136">
        <v>54316</v>
      </c>
      <c r="CT91" s="136">
        <v>54877</v>
      </c>
      <c r="CU91" s="136">
        <v>55445</v>
      </c>
      <c r="CV91" s="136">
        <v>55998</v>
      </c>
      <c r="CW91" s="136">
        <v>56547</v>
      </c>
      <c r="CX91" s="136">
        <v>57113</v>
      </c>
      <c r="CY91" s="136">
        <v>57638</v>
      </c>
      <c r="CZ91" s="136">
        <v>58179</v>
      </c>
      <c r="DA91" s="136">
        <v>58696</v>
      </c>
      <c r="DB91" s="136">
        <v>59238</v>
      </c>
      <c r="DC91" s="136">
        <v>59755</v>
      </c>
      <c r="DD91" s="136">
        <v>60274</v>
      </c>
      <c r="DE91" s="136">
        <v>60775</v>
      </c>
      <c r="DF91" s="136">
        <v>61303</v>
      </c>
      <c r="DG91" s="136">
        <v>61803</v>
      </c>
      <c r="DH91" s="136">
        <v>62298</v>
      </c>
      <c r="DI91" s="136">
        <v>62790</v>
      </c>
      <c r="DJ91" s="136">
        <v>63294</v>
      </c>
      <c r="DK91" s="136">
        <v>63771</v>
      </c>
      <c r="DL91" s="136">
        <v>64246</v>
      </c>
      <c r="DM91" s="136">
        <v>64728</v>
      </c>
      <c r="DN91" s="136">
        <v>65204</v>
      </c>
      <c r="DO91" s="136">
        <v>65675</v>
      </c>
    </row>
    <row r="92" spans="1:119">
      <c r="A92" s="135">
        <v>90</v>
      </c>
      <c r="B92" s="136"/>
      <c r="C92" s="136"/>
      <c r="D92" s="136"/>
      <c r="E92" s="136"/>
      <c r="F92" s="136"/>
      <c r="G92" s="136"/>
      <c r="H92" s="136"/>
      <c r="I92" s="136"/>
      <c r="J92" s="136"/>
      <c r="K92" s="136"/>
      <c r="L92" s="136"/>
      <c r="M92" s="136"/>
      <c r="N92" s="136"/>
      <c r="O92" s="136"/>
      <c r="P92" s="136"/>
      <c r="Q92" s="136"/>
      <c r="R92" s="136"/>
      <c r="S92" s="136"/>
      <c r="T92" s="136"/>
      <c r="U92" s="136"/>
      <c r="V92" s="136"/>
      <c r="W92" s="136">
        <v>8336</v>
      </c>
      <c r="X92" s="136">
        <v>8782</v>
      </c>
      <c r="Y92" s="136">
        <v>8964</v>
      </c>
      <c r="Z92" s="136">
        <v>9773</v>
      </c>
      <c r="AA92" s="136">
        <v>10040</v>
      </c>
      <c r="AB92" s="136">
        <v>10427</v>
      </c>
      <c r="AC92" s="136">
        <v>10598</v>
      </c>
      <c r="AD92" s="136">
        <v>10745</v>
      </c>
      <c r="AE92" s="136">
        <v>10993</v>
      </c>
      <c r="AF92" s="136">
        <v>11611</v>
      </c>
      <c r="AG92" s="136">
        <v>12133</v>
      </c>
      <c r="AH92" s="136">
        <v>12719</v>
      </c>
      <c r="AI92" s="136">
        <v>13239</v>
      </c>
      <c r="AJ92" s="136">
        <v>13957</v>
      </c>
      <c r="AK92" s="136">
        <v>14484</v>
      </c>
      <c r="AL92" s="136">
        <v>15116</v>
      </c>
      <c r="AM92" s="136">
        <v>15736</v>
      </c>
      <c r="AN92" s="136">
        <v>16281</v>
      </c>
      <c r="AO92" s="136">
        <v>16648</v>
      </c>
      <c r="AP92" s="136">
        <v>17112</v>
      </c>
      <c r="AQ92" s="136">
        <v>17546</v>
      </c>
      <c r="AR92" s="136">
        <v>18074</v>
      </c>
      <c r="AS92" s="136">
        <v>18273</v>
      </c>
      <c r="AT92" s="136">
        <v>18493</v>
      </c>
      <c r="AU92" s="136">
        <v>18586</v>
      </c>
      <c r="AV92" s="136">
        <v>19095</v>
      </c>
      <c r="AW92" s="136">
        <v>19718</v>
      </c>
      <c r="AX92" s="136">
        <v>20721</v>
      </c>
      <c r="AY92" s="136">
        <v>21605</v>
      </c>
      <c r="AZ92" s="136">
        <v>22033</v>
      </c>
      <c r="BA92" s="136">
        <v>22483</v>
      </c>
      <c r="BB92" s="136">
        <v>23145</v>
      </c>
      <c r="BC92" s="136">
        <v>23690</v>
      </c>
      <c r="BD92" s="136">
        <v>24334</v>
      </c>
      <c r="BE92" s="136">
        <v>24895</v>
      </c>
      <c r="BF92" s="136">
        <v>25565</v>
      </c>
      <c r="BG92" s="136">
        <v>26095</v>
      </c>
      <c r="BH92" s="136">
        <v>26813</v>
      </c>
      <c r="BI92" s="136">
        <v>27449</v>
      </c>
      <c r="BJ92" s="136">
        <v>28088</v>
      </c>
      <c r="BK92" s="136">
        <v>28782</v>
      </c>
      <c r="BL92" s="136">
        <v>29503</v>
      </c>
      <c r="BM92" s="136">
        <v>30229</v>
      </c>
      <c r="BN92" s="136">
        <v>30926</v>
      </c>
      <c r="BO92" s="136">
        <v>31615</v>
      </c>
      <c r="BP92" s="136">
        <v>32252</v>
      </c>
      <c r="BQ92" s="136">
        <v>32892</v>
      </c>
      <c r="BR92" s="136">
        <v>33525</v>
      </c>
      <c r="BS92" s="136">
        <v>34111</v>
      </c>
      <c r="BT92" s="136">
        <v>34742</v>
      </c>
      <c r="BU92" s="136">
        <v>35344</v>
      </c>
      <c r="BV92" s="136">
        <v>35983</v>
      </c>
      <c r="BW92" s="136">
        <v>36591</v>
      </c>
      <c r="BX92" s="136">
        <v>37243</v>
      </c>
      <c r="BY92" s="136">
        <v>37905</v>
      </c>
      <c r="BZ92" s="136">
        <v>38620</v>
      </c>
      <c r="CA92" s="136">
        <v>39279</v>
      </c>
      <c r="CB92" s="136">
        <v>39893</v>
      </c>
      <c r="CC92" s="136">
        <v>40562</v>
      </c>
      <c r="CD92" s="136">
        <v>41209</v>
      </c>
      <c r="CE92" s="136">
        <v>41837</v>
      </c>
      <c r="CF92" s="136">
        <v>42508</v>
      </c>
      <c r="CG92" s="136">
        <v>43142</v>
      </c>
      <c r="CH92" s="136">
        <v>43774</v>
      </c>
      <c r="CI92" s="136">
        <v>44424</v>
      </c>
      <c r="CJ92" s="136">
        <v>45019</v>
      </c>
      <c r="CK92" s="136">
        <v>45625</v>
      </c>
      <c r="CL92" s="136">
        <v>46270</v>
      </c>
      <c r="CM92" s="136">
        <v>46861</v>
      </c>
      <c r="CN92" s="136">
        <v>47480</v>
      </c>
      <c r="CO92" s="136">
        <v>48103</v>
      </c>
      <c r="CP92" s="136">
        <v>48700</v>
      </c>
      <c r="CQ92" s="136">
        <v>49305</v>
      </c>
      <c r="CR92" s="136">
        <v>49875</v>
      </c>
      <c r="CS92" s="136">
        <v>50472</v>
      </c>
      <c r="CT92" s="136">
        <v>51042</v>
      </c>
      <c r="CU92" s="136">
        <v>51619</v>
      </c>
      <c r="CV92" s="136">
        <v>52183</v>
      </c>
      <c r="CW92" s="136">
        <v>52744</v>
      </c>
      <c r="CX92" s="136">
        <v>53320</v>
      </c>
      <c r="CY92" s="136">
        <v>53858</v>
      </c>
      <c r="CZ92" s="136">
        <v>54412</v>
      </c>
      <c r="DA92" s="136">
        <v>54944</v>
      </c>
      <c r="DB92" s="136">
        <v>55499</v>
      </c>
      <c r="DC92" s="136">
        <v>56031</v>
      </c>
      <c r="DD92" s="136">
        <v>56565</v>
      </c>
      <c r="DE92" s="136">
        <v>57083</v>
      </c>
      <c r="DF92" s="136">
        <v>57625</v>
      </c>
      <c r="DG92" s="136">
        <v>58143</v>
      </c>
      <c r="DH92" s="136">
        <v>58655</v>
      </c>
      <c r="DI92" s="136">
        <v>59164</v>
      </c>
      <c r="DJ92" s="136">
        <v>59685</v>
      </c>
      <c r="DK92" s="136">
        <v>60181</v>
      </c>
      <c r="DL92" s="136">
        <v>60675</v>
      </c>
      <c r="DM92" s="136">
        <v>61175</v>
      </c>
      <c r="DN92" s="136">
        <v>61671</v>
      </c>
      <c r="DO92" s="136">
        <v>62161</v>
      </c>
    </row>
    <row r="93" spans="1:119">
      <c r="A93" s="135">
        <v>91</v>
      </c>
      <c r="B93" s="136"/>
      <c r="C93" s="136"/>
      <c r="D93" s="136"/>
      <c r="E93" s="136"/>
      <c r="F93" s="136"/>
      <c r="G93" s="136"/>
      <c r="H93" s="136"/>
      <c r="I93" s="136"/>
      <c r="J93" s="136"/>
      <c r="K93" s="136"/>
      <c r="L93" s="136"/>
      <c r="M93" s="136"/>
      <c r="N93" s="136"/>
      <c r="O93" s="136"/>
      <c r="P93" s="136"/>
      <c r="Q93" s="136"/>
      <c r="R93" s="136"/>
      <c r="S93" s="136"/>
      <c r="T93" s="136"/>
      <c r="U93" s="136"/>
      <c r="V93" s="136"/>
      <c r="W93" s="136">
        <v>6783</v>
      </c>
      <c r="X93" s="136">
        <v>7129</v>
      </c>
      <c r="Y93" s="136">
        <v>7361</v>
      </c>
      <c r="Z93" s="136">
        <v>7991</v>
      </c>
      <c r="AA93" s="136">
        <v>8180</v>
      </c>
      <c r="AB93" s="136">
        <v>8517</v>
      </c>
      <c r="AC93" s="136">
        <v>8677</v>
      </c>
      <c r="AD93" s="136">
        <v>8820</v>
      </c>
      <c r="AE93" s="136">
        <v>9045</v>
      </c>
      <c r="AF93" s="136">
        <v>9575</v>
      </c>
      <c r="AG93" s="136">
        <v>10029</v>
      </c>
      <c r="AH93" s="136">
        <v>10538</v>
      </c>
      <c r="AI93" s="136">
        <v>10993</v>
      </c>
      <c r="AJ93" s="136">
        <v>11616</v>
      </c>
      <c r="AK93" s="136">
        <v>12080</v>
      </c>
      <c r="AL93" s="136">
        <v>12635</v>
      </c>
      <c r="AM93" s="136">
        <v>13182</v>
      </c>
      <c r="AN93" s="136">
        <v>13667</v>
      </c>
      <c r="AO93" s="136">
        <v>14004</v>
      </c>
      <c r="AP93" s="136">
        <v>14424</v>
      </c>
      <c r="AQ93" s="136">
        <v>14824</v>
      </c>
      <c r="AR93" s="136">
        <v>15304</v>
      </c>
      <c r="AS93" s="136">
        <v>15507</v>
      </c>
      <c r="AT93" s="136">
        <v>15727</v>
      </c>
      <c r="AU93" s="136">
        <v>15839</v>
      </c>
      <c r="AV93" s="136">
        <v>16308</v>
      </c>
      <c r="AW93" s="136">
        <v>16874</v>
      </c>
      <c r="AX93" s="136">
        <v>17769</v>
      </c>
      <c r="AY93" s="136">
        <v>18565</v>
      </c>
      <c r="AZ93" s="136">
        <v>18970</v>
      </c>
      <c r="BA93" s="136">
        <v>19396</v>
      </c>
      <c r="BB93" s="136">
        <v>20005</v>
      </c>
      <c r="BC93" s="136">
        <v>20515</v>
      </c>
      <c r="BD93" s="136">
        <v>21113</v>
      </c>
      <c r="BE93" s="136">
        <v>21640</v>
      </c>
      <c r="BF93" s="136">
        <v>22262</v>
      </c>
      <c r="BG93" s="136">
        <v>22765</v>
      </c>
      <c r="BH93" s="136">
        <v>23432</v>
      </c>
      <c r="BI93" s="136">
        <v>24031</v>
      </c>
      <c r="BJ93" s="136">
        <v>24632</v>
      </c>
      <c r="BK93" s="136">
        <v>25284</v>
      </c>
      <c r="BL93" s="136">
        <v>25961</v>
      </c>
      <c r="BM93" s="136">
        <v>26644</v>
      </c>
      <c r="BN93" s="136">
        <v>27302</v>
      </c>
      <c r="BO93" s="136">
        <v>27956</v>
      </c>
      <c r="BP93" s="136">
        <v>28564</v>
      </c>
      <c r="BQ93" s="136">
        <v>29176</v>
      </c>
      <c r="BR93" s="136">
        <v>29784</v>
      </c>
      <c r="BS93" s="136">
        <v>30351</v>
      </c>
      <c r="BT93" s="136">
        <v>30959</v>
      </c>
      <c r="BU93" s="136">
        <v>31542</v>
      </c>
      <c r="BV93" s="136">
        <v>32159</v>
      </c>
      <c r="BW93" s="136">
        <v>32750</v>
      </c>
      <c r="BX93" s="136">
        <v>33381</v>
      </c>
      <c r="BY93" s="136">
        <v>34022</v>
      </c>
      <c r="BZ93" s="136">
        <v>34712</v>
      </c>
      <c r="CA93" s="136">
        <v>35352</v>
      </c>
      <c r="CB93" s="136">
        <v>35954</v>
      </c>
      <c r="CC93" s="136">
        <v>36605</v>
      </c>
      <c r="CD93" s="136">
        <v>37238</v>
      </c>
      <c r="CE93" s="136">
        <v>37854</v>
      </c>
      <c r="CF93" s="136">
        <v>38510</v>
      </c>
      <c r="CG93" s="136">
        <v>39134</v>
      </c>
      <c r="CH93" s="136">
        <v>39757</v>
      </c>
      <c r="CI93" s="136">
        <v>40397</v>
      </c>
      <c r="CJ93" s="136">
        <v>40986</v>
      </c>
      <c r="CK93" s="136">
        <v>41588</v>
      </c>
      <c r="CL93" s="136">
        <v>42226</v>
      </c>
      <c r="CM93" s="136">
        <v>42815</v>
      </c>
      <c r="CN93" s="136">
        <v>43430</v>
      </c>
      <c r="CO93" s="136">
        <v>44050</v>
      </c>
      <c r="CP93" s="136">
        <v>44646</v>
      </c>
      <c r="CQ93" s="136">
        <v>45250</v>
      </c>
      <c r="CR93" s="136">
        <v>45824</v>
      </c>
      <c r="CS93" s="136">
        <v>46422</v>
      </c>
      <c r="CT93" s="136">
        <v>46996</v>
      </c>
      <c r="CU93" s="136">
        <v>47577</v>
      </c>
      <c r="CV93" s="136">
        <v>48146</v>
      </c>
      <c r="CW93" s="136">
        <v>48713</v>
      </c>
      <c r="CX93" s="136">
        <v>49295</v>
      </c>
      <c r="CY93" s="136">
        <v>49842</v>
      </c>
      <c r="CZ93" s="136">
        <v>50404</v>
      </c>
      <c r="DA93" s="136">
        <v>50945</v>
      </c>
      <c r="DB93" s="136">
        <v>51509</v>
      </c>
      <c r="DC93" s="136">
        <v>52051</v>
      </c>
      <c r="DD93" s="136">
        <v>52596</v>
      </c>
      <c r="DE93" s="136">
        <v>53126</v>
      </c>
      <c r="DF93" s="136">
        <v>53680</v>
      </c>
      <c r="DG93" s="136">
        <v>54210</v>
      </c>
      <c r="DH93" s="136">
        <v>54736</v>
      </c>
      <c r="DI93" s="136">
        <v>55259</v>
      </c>
      <c r="DJ93" s="136">
        <v>55794</v>
      </c>
      <c r="DK93" s="136">
        <v>56305</v>
      </c>
      <c r="DL93" s="136">
        <v>56814</v>
      </c>
      <c r="DM93" s="136">
        <v>57330</v>
      </c>
      <c r="DN93" s="136">
        <v>57841</v>
      </c>
      <c r="DO93" s="136">
        <v>58348</v>
      </c>
    </row>
    <row r="94" spans="1:119">
      <c r="A94" s="135">
        <v>92</v>
      </c>
      <c r="B94" s="136"/>
      <c r="C94" s="136"/>
      <c r="D94" s="136"/>
      <c r="E94" s="136"/>
      <c r="F94" s="136"/>
      <c r="G94" s="136"/>
      <c r="H94" s="136"/>
      <c r="I94" s="136"/>
      <c r="J94" s="136"/>
      <c r="K94" s="136"/>
      <c r="L94" s="136"/>
      <c r="M94" s="136"/>
      <c r="N94" s="136"/>
      <c r="O94" s="136"/>
      <c r="P94" s="136"/>
      <c r="Q94" s="136"/>
      <c r="R94" s="136"/>
      <c r="S94" s="136"/>
      <c r="T94" s="136"/>
      <c r="U94" s="136"/>
      <c r="V94" s="136"/>
      <c r="W94" s="136">
        <v>5352</v>
      </c>
      <c r="X94" s="136">
        <v>5683</v>
      </c>
      <c r="Y94" s="136">
        <v>5820</v>
      </c>
      <c r="Z94" s="136">
        <v>6354</v>
      </c>
      <c r="AA94" s="136">
        <v>6522</v>
      </c>
      <c r="AB94" s="136">
        <v>6809</v>
      </c>
      <c r="AC94" s="136">
        <v>6955</v>
      </c>
      <c r="AD94" s="136">
        <v>7087</v>
      </c>
      <c r="AE94" s="136">
        <v>7287</v>
      </c>
      <c r="AF94" s="136">
        <v>7733</v>
      </c>
      <c r="AG94" s="136">
        <v>8120</v>
      </c>
      <c r="AH94" s="136">
        <v>8552</v>
      </c>
      <c r="AI94" s="136">
        <v>8944</v>
      </c>
      <c r="AJ94" s="136">
        <v>9473</v>
      </c>
      <c r="AK94" s="136">
        <v>9875</v>
      </c>
      <c r="AL94" s="136">
        <v>10352</v>
      </c>
      <c r="AM94" s="136">
        <v>10825</v>
      </c>
      <c r="AN94" s="136">
        <v>11249</v>
      </c>
      <c r="AO94" s="136">
        <v>11552</v>
      </c>
      <c r="AP94" s="136">
        <v>11928</v>
      </c>
      <c r="AQ94" s="136">
        <v>12288</v>
      </c>
      <c r="AR94" s="136">
        <v>12717</v>
      </c>
      <c r="AS94" s="136">
        <v>12916</v>
      </c>
      <c r="AT94" s="136">
        <v>13129</v>
      </c>
      <c r="AU94" s="136">
        <v>13254</v>
      </c>
      <c r="AV94" s="136">
        <v>13677</v>
      </c>
      <c r="AW94" s="136">
        <v>14184</v>
      </c>
      <c r="AX94" s="136">
        <v>14969</v>
      </c>
      <c r="AY94" s="136">
        <v>15673</v>
      </c>
      <c r="AZ94" s="136">
        <v>16049</v>
      </c>
      <c r="BA94" s="136">
        <v>16444</v>
      </c>
      <c r="BB94" s="136">
        <v>16997</v>
      </c>
      <c r="BC94" s="136">
        <v>17466</v>
      </c>
      <c r="BD94" s="136">
        <v>18011</v>
      </c>
      <c r="BE94" s="136">
        <v>18497</v>
      </c>
      <c r="BF94" s="136">
        <v>19067</v>
      </c>
      <c r="BG94" s="136">
        <v>19535</v>
      </c>
      <c r="BH94" s="136">
        <v>20147</v>
      </c>
      <c r="BI94" s="136">
        <v>20700</v>
      </c>
      <c r="BJ94" s="136">
        <v>21258</v>
      </c>
      <c r="BK94" s="136">
        <v>21862</v>
      </c>
      <c r="BL94" s="136">
        <v>22487</v>
      </c>
      <c r="BM94" s="136">
        <v>23120</v>
      </c>
      <c r="BN94" s="136">
        <v>23734</v>
      </c>
      <c r="BO94" s="136">
        <v>24344</v>
      </c>
      <c r="BP94" s="136">
        <v>24917</v>
      </c>
      <c r="BQ94" s="136">
        <v>25494</v>
      </c>
      <c r="BR94" s="136">
        <v>26069</v>
      </c>
      <c r="BS94" s="136">
        <v>26610</v>
      </c>
      <c r="BT94" s="136">
        <v>27187</v>
      </c>
      <c r="BU94" s="136">
        <v>27744</v>
      </c>
      <c r="BV94" s="136">
        <v>28331</v>
      </c>
      <c r="BW94" s="136">
        <v>28897</v>
      </c>
      <c r="BX94" s="136">
        <v>29500</v>
      </c>
      <c r="BY94" s="136">
        <v>30112</v>
      </c>
      <c r="BZ94" s="136">
        <v>30769</v>
      </c>
      <c r="CA94" s="136">
        <v>31383</v>
      </c>
      <c r="CB94" s="136">
        <v>31964</v>
      </c>
      <c r="CC94" s="136">
        <v>32590</v>
      </c>
      <c r="CD94" s="136">
        <v>33201</v>
      </c>
      <c r="CE94" s="136">
        <v>33798</v>
      </c>
      <c r="CF94" s="136">
        <v>34432</v>
      </c>
      <c r="CG94" s="136">
        <v>35038</v>
      </c>
      <c r="CH94" s="136">
        <v>35644</v>
      </c>
      <c r="CI94" s="136">
        <v>36267</v>
      </c>
      <c r="CJ94" s="136">
        <v>36845</v>
      </c>
      <c r="CK94" s="136">
        <v>37434</v>
      </c>
      <c r="CL94" s="136">
        <v>38058</v>
      </c>
      <c r="CM94" s="136">
        <v>38638</v>
      </c>
      <c r="CN94" s="136">
        <v>39242</v>
      </c>
      <c r="CO94" s="136">
        <v>39852</v>
      </c>
      <c r="CP94" s="136">
        <v>40440</v>
      </c>
      <c r="CQ94" s="136">
        <v>41037</v>
      </c>
      <c r="CR94" s="136">
        <v>41607</v>
      </c>
      <c r="CS94" s="136">
        <v>42199</v>
      </c>
      <c r="CT94" s="136">
        <v>42771</v>
      </c>
      <c r="CU94" s="136">
        <v>43350</v>
      </c>
      <c r="CV94" s="136">
        <v>43918</v>
      </c>
      <c r="CW94" s="136">
        <v>44485</v>
      </c>
      <c r="CX94" s="136">
        <v>45066</v>
      </c>
      <c r="CY94" s="136">
        <v>45616</v>
      </c>
      <c r="CZ94" s="136">
        <v>46180</v>
      </c>
      <c r="DA94" s="136">
        <v>46726</v>
      </c>
      <c r="DB94" s="136">
        <v>47292</v>
      </c>
      <c r="DC94" s="136">
        <v>47840</v>
      </c>
      <c r="DD94" s="136">
        <v>48390</v>
      </c>
      <c r="DE94" s="136">
        <v>48927</v>
      </c>
      <c r="DF94" s="136">
        <v>49486</v>
      </c>
      <c r="DG94" s="136">
        <v>50024</v>
      </c>
      <c r="DH94" s="136">
        <v>50559</v>
      </c>
      <c r="DI94" s="136">
        <v>51091</v>
      </c>
      <c r="DJ94" s="136">
        <v>51634</v>
      </c>
      <c r="DK94" s="136">
        <v>52156</v>
      </c>
      <c r="DL94" s="136">
        <v>52677</v>
      </c>
      <c r="DM94" s="136">
        <v>53203</v>
      </c>
      <c r="DN94" s="136">
        <v>53726</v>
      </c>
      <c r="DO94" s="136">
        <v>54245</v>
      </c>
    </row>
    <row r="95" spans="1:119">
      <c r="A95" s="135">
        <v>93</v>
      </c>
      <c r="B95" s="136"/>
      <c r="C95" s="136"/>
      <c r="D95" s="136"/>
      <c r="E95" s="136"/>
      <c r="F95" s="136"/>
      <c r="G95" s="136"/>
      <c r="H95" s="136"/>
      <c r="I95" s="136"/>
      <c r="J95" s="136"/>
      <c r="K95" s="136"/>
      <c r="L95" s="136"/>
      <c r="M95" s="136"/>
      <c r="N95" s="136"/>
      <c r="O95" s="136"/>
      <c r="P95" s="136"/>
      <c r="Q95" s="136"/>
      <c r="R95" s="136"/>
      <c r="S95" s="136"/>
      <c r="T95" s="136"/>
      <c r="U95" s="136"/>
      <c r="V95" s="136"/>
      <c r="W95" s="136">
        <v>4159</v>
      </c>
      <c r="X95" s="136">
        <v>4358</v>
      </c>
      <c r="Y95" s="136">
        <v>4504</v>
      </c>
      <c r="Z95" s="136">
        <v>4932</v>
      </c>
      <c r="AA95" s="136">
        <v>5077</v>
      </c>
      <c r="AB95" s="136">
        <v>5315</v>
      </c>
      <c r="AC95" s="136">
        <v>5444</v>
      </c>
      <c r="AD95" s="136">
        <v>5563</v>
      </c>
      <c r="AE95" s="136">
        <v>5734</v>
      </c>
      <c r="AF95" s="136">
        <v>6102</v>
      </c>
      <c r="AG95" s="136">
        <v>6424</v>
      </c>
      <c r="AH95" s="136">
        <v>6784</v>
      </c>
      <c r="AI95" s="136">
        <v>7113</v>
      </c>
      <c r="AJ95" s="136">
        <v>7552</v>
      </c>
      <c r="AK95" s="136">
        <v>7893</v>
      </c>
      <c r="AL95" s="136">
        <v>8295</v>
      </c>
      <c r="AM95" s="136">
        <v>8695</v>
      </c>
      <c r="AN95" s="136">
        <v>9057</v>
      </c>
      <c r="AO95" s="136">
        <v>9326</v>
      </c>
      <c r="AP95" s="136">
        <v>9655</v>
      </c>
      <c r="AQ95" s="136">
        <v>9973</v>
      </c>
      <c r="AR95" s="136">
        <v>10347</v>
      </c>
      <c r="AS95" s="136">
        <v>10536</v>
      </c>
      <c r="AT95" s="136">
        <v>10737</v>
      </c>
      <c r="AU95" s="136">
        <v>10866</v>
      </c>
      <c r="AV95" s="136">
        <v>11240</v>
      </c>
      <c r="AW95" s="136">
        <v>11684</v>
      </c>
      <c r="AX95" s="136">
        <v>12361</v>
      </c>
      <c r="AY95" s="136">
        <v>12973</v>
      </c>
      <c r="AZ95" s="136">
        <v>13315</v>
      </c>
      <c r="BA95" s="136">
        <v>13673</v>
      </c>
      <c r="BB95" s="136">
        <v>14164</v>
      </c>
      <c r="BC95" s="136">
        <v>14588</v>
      </c>
      <c r="BD95" s="136">
        <v>15076</v>
      </c>
      <c r="BE95" s="136">
        <v>15517</v>
      </c>
      <c r="BF95" s="136">
        <v>16029</v>
      </c>
      <c r="BG95" s="136">
        <v>16457</v>
      </c>
      <c r="BH95" s="136">
        <v>17008</v>
      </c>
      <c r="BI95" s="136">
        <v>17511</v>
      </c>
      <c r="BJ95" s="136">
        <v>18019</v>
      </c>
      <c r="BK95" s="136">
        <v>18567</v>
      </c>
      <c r="BL95" s="136">
        <v>19136</v>
      </c>
      <c r="BM95" s="136">
        <v>19713</v>
      </c>
      <c r="BN95" s="136">
        <v>20275</v>
      </c>
      <c r="BO95" s="136">
        <v>20836</v>
      </c>
      <c r="BP95" s="136">
        <v>21366</v>
      </c>
      <c r="BQ95" s="136">
        <v>21902</v>
      </c>
      <c r="BR95" s="136">
        <v>22437</v>
      </c>
      <c r="BS95" s="136">
        <v>22943</v>
      </c>
      <c r="BT95" s="136">
        <v>23482</v>
      </c>
      <c r="BU95" s="136">
        <v>24005</v>
      </c>
      <c r="BV95" s="136">
        <v>24556</v>
      </c>
      <c r="BW95" s="136">
        <v>25089</v>
      </c>
      <c r="BX95" s="136">
        <v>25655</v>
      </c>
      <c r="BY95" s="136">
        <v>26231</v>
      </c>
      <c r="BZ95" s="136">
        <v>26848</v>
      </c>
      <c r="CA95" s="136">
        <v>27428</v>
      </c>
      <c r="CB95" s="136">
        <v>27981</v>
      </c>
      <c r="CC95" s="136">
        <v>28574</v>
      </c>
      <c r="CD95" s="136">
        <v>29155</v>
      </c>
      <c r="CE95" s="136">
        <v>29725</v>
      </c>
      <c r="CF95" s="136">
        <v>30329</v>
      </c>
      <c r="CG95" s="136">
        <v>30909</v>
      </c>
      <c r="CH95" s="136">
        <v>31490</v>
      </c>
      <c r="CI95" s="136">
        <v>32087</v>
      </c>
      <c r="CJ95" s="136">
        <v>32646</v>
      </c>
      <c r="CK95" s="136">
        <v>33215</v>
      </c>
      <c r="CL95" s="136">
        <v>33816</v>
      </c>
      <c r="CM95" s="136">
        <v>34379</v>
      </c>
      <c r="CN95" s="136">
        <v>34965</v>
      </c>
      <c r="CO95" s="136">
        <v>35556</v>
      </c>
      <c r="CP95" s="136">
        <v>36130</v>
      </c>
      <c r="CQ95" s="136">
        <v>36712</v>
      </c>
      <c r="CR95" s="136">
        <v>37270</v>
      </c>
      <c r="CS95" s="136">
        <v>37850</v>
      </c>
      <c r="CT95" s="136">
        <v>38412</v>
      </c>
      <c r="CU95" s="136">
        <v>38980</v>
      </c>
      <c r="CV95" s="136">
        <v>39541</v>
      </c>
      <c r="CW95" s="136">
        <v>40100</v>
      </c>
      <c r="CX95" s="136">
        <v>40673</v>
      </c>
      <c r="CY95" s="136">
        <v>41219</v>
      </c>
      <c r="CZ95" s="136">
        <v>41778</v>
      </c>
      <c r="DA95" s="136">
        <v>42321</v>
      </c>
      <c r="DB95" s="136">
        <v>42884</v>
      </c>
      <c r="DC95" s="136">
        <v>43430</v>
      </c>
      <c r="DD95" s="136">
        <v>43979</v>
      </c>
      <c r="DE95" s="136">
        <v>44517</v>
      </c>
      <c r="DF95" s="136">
        <v>45075</v>
      </c>
      <c r="DG95" s="136">
        <v>45615</v>
      </c>
      <c r="DH95" s="136">
        <v>46152</v>
      </c>
      <c r="DI95" s="136">
        <v>46687</v>
      </c>
      <c r="DJ95" s="136">
        <v>47233</v>
      </c>
      <c r="DK95" s="136">
        <v>47759</v>
      </c>
      <c r="DL95" s="136">
        <v>48286</v>
      </c>
      <c r="DM95" s="136">
        <v>48818</v>
      </c>
      <c r="DN95" s="136">
        <v>49346</v>
      </c>
      <c r="DO95" s="136">
        <v>49872</v>
      </c>
    </row>
    <row r="96" spans="1:119">
      <c r="A96" s="135">
        <v>94</v>
      </c>
      <c r="B96" s="136"/>
      <c r="C96" s="136"/>
      <c r="D96" s="136"/>
      <c r="E96" s="136"/>
      <c r="F96" s="136"/>
      <c r="G96" s="136"/>
      <c r="H96" s="136"/>
      <c r="I96" s="136"/>
      <c r="J96" s="136"/>
      <c r="K96" s="136"/>
      <c r="L96" s="136"/>
      <c r="M96" s="136"/>
      <c r="N96" s="136"/>
      <c r="O96" s="136"/>
      <c r="P96" s="136"/>
      <c r="Q96" s="136"/>
      <c r="R96" s="136"/>
      <c r="S96" s="136"/>
      <c r="T96" s="136"/>
      <c r="U96" s="136"/>
      <c r="V96" s="136"/>
      <c r="W96" s="136">
        <v>3099</v>
      </c>
      <c r="X96" s="136">
        <v>3273</v>
      </c>
      <c r="Y96" s="136">
        <v>3393</v>
      </c>
      <c r="Z96" s="136">
        <v>3727</v>
      </c>
      <c r="AA96" s="136">
        <v>3848</v>
      </c>
      <c r="AB96" s="136">
        <v>4040</v>
      </c>
      <c r="AC96" s="136">
        <v>4150</v>
      </c>
      <c r="AD96" s="136">
        <v>4253</v>
      </c>
      <c r="AE96" s="136">
        <v>4397</v>
      </c>
      <c r="AF96" s="136">
        <v>4692</v>
      </c>
      <c r="AG96" s="136">
        <v>4954</v>
      </c>
      <c r="AH96" s="136">
        <v>5246</v>
      </c>
      <c r="AI96" s="136">
        <v>5515</v>
      </c>
      <c r="AJ96" s="136">
        <v>5872</v>
      </c>
      <c r="AK96" s="136">
        <v>6153</v>
      </c>
      <c r="AL96" s="136">
        <v>6483</v>
      </c>
      <c r="AM96" s="136">
        <v>6813</v>
      </c>
      <c r="AN96" s="136">
        <v>7118</v>
      </c>
      <c r="AO96" s="136">
        <v>7350</v>
      </c>
      <c r="AP96" s="136">
        <v>7631</v>
      </c>
      <c r="AQ96" s="136">
        <v>7905</v>
      </c>
      <c r="AR96" s="136">
        <v>8224</v>
      </c>
      <c r="AS96" s="136">
        <v>8397</v>
      </c>
      <c r="AT96" s="136">
        <v>8580</v>
      </c>
      <c r="AU96" s="136">
        <v>8706</v>
      </c>
      <c r="AV96" s="136">
        <v>9030</v>
      </c>
      <c r="AW96" s="136">
        <v>9411</v>
      </c>
      <c r="AX96" s="136">
        <v>9981</v>
      </c>
      <c r="AY96" s="136">
        <v>10502</v>
      </c>
      <c r="AZ96" s="136">
        <v>10805</v>
      </c>
      <c r="BA96" s="136">
        <v>11124</v>
      </c>
      <c r="BB96" s="136">
        <v>11551</v>
      </c>
      <c r="BC96" s="136">
        <v>11925</v>
      </c>
      <c r="BD96" s="136">
        <v>12353</v>
      </c>
      <c r="BE96" s="136">
        <v>12744</v>
      </c>
      <c r="BF96" s="136">
        <v>13195</v>
      </c>
      <c r="BG96" s="136">
        <v>13578</v>
      </c>
      <c r="BH96" s="136">
        <v>14064</v>
      </c>
      <c r="BI96" s="136">
        <v>14512</v>
      </c>
      <c r="BJ96" s="136">
        <v>14966</v>
      </c>
      <c r="BK96" s="136">
        <v>15454</v>
      </c>
      <c r="BL96" s="136">
        <v>15962</v>
      </c>
      <c r="BM96" s="136">
        <v>16478</v>
      </c>
      <c r="BN96" s="136">
        <v>16983</v>
      </c>
      <c r="BO96" s="136">
        <v>17488</v>
      </c>
      <c r="BP96" s="136">
        <v>17969</v>
      </c>
      <c r="BQ96" s="136">
        <v>18457</v>
      </c>
      <c r="BR96" s="136">
        <v>18945</v>
      </c>
      <c r="BS96" s="136">
        <v>19410</v>
      </c>
      <c r="BT96" s="136">
        <v>19904</v>
      </c>
      <c r="BU96" s="136">
        <v>20386</v>
      </c>
      <c r="BV96" s="136">
        <v>20893</v>
      </c>
      <c r="BW96" s="136">
        <v>21386</v>
      </c>
      <c r="BX96" s="136">
        <v>21909</v>
      </c>
      <c r="BY96" s="136">
        <v>22442</v>
      </c>
      <c r="BZ96" s="136">
        <v>23010</v>
      </c>
      <c r="CA96" s="136">
        <v>23549</v>
      </c>
      <c r="CB96" s="136">
        <v>24065</v>
      </c>
      <c r="CC96" s="136">
        <v>24618</v>
      </c>
      <c r="CD96" s="136">
        <v>25161</v>
      </c>
      <c r="CE96" s="136">
        <v>25696</v>
      </c>
      <c r="CF96" s="136">
        <v>26262</v>
      </c>
      <c r="CG96" s="136">
        <v>26808</v>
      </c>
      <c r="CH96" s="136">
        <v>27356</v>
      </c>
      <c r="CI96" s="136">
        <v>27919</v>
      </c>
      <c r="CJ96" s="136">
        <v>28450</v>
      </c>
      <c r="CK96" s="136">
        <v>28992</v>
      </c>
      <c r="CL96" s="136">
        <v>29562</v>
      </c>
      <c r="CM96" s="136">
        <v>30100</v>
      </c>
      <c r="CN96" s="136">
        <v>30658</v>
      </c>
      <c r="CO96" s="136">
        <v>31223</v>
      </c>
      <c r="CP96" s="136">
        <v>31774</v>
      </c>
      <c r="CQ96" s="136">
        <v>32333</v>
      </c>
      <c r="CR96" s="136">
        <v>32871</v>
      </c>
      <c r="CS96" s="136">
        <v>33430</v>
      </c>
      <c r="CT96" s="136">
        <v>33973</v>
      </c>
      <c r="CU96" s="136">
        <v>34524</v>
      </c>
      <c r="CV96" s="136">
        <v>35068</v>
      </c>
      <c r="CW96" s="136">
        <v>35612</v>
      </c>
      <c r="CX96" s="136">
        <v>36169</v>
      </c>
      <c r="CY96" s="136">
        <v>36703</v>
      </c>
      <c r="CZ96" s="136">
        <v>37249</v>
      </c>
      <c r="DA96" s="136">
        <v>37782</v>
      </c>
      <c r="DB96" s="136">
        <v>38333</v>
      </c>
      <c r="DC96" s="136">
        <v>38870</v>
      </c>
      <c r="DD96" s="136">
        <v>39410</v>
      </c>
      <c r="DE96" s="136">
        <v>39941</v>
      </c>
      <c r="DF96" s="136">
        <v>40491</v>
      </c>
      <c r="DG96" s="136">
        <v>41025</v>
      </c>
      <c r="DH96" s="136">
        <v>41557</v>
      </c>
      <c r="DI96" s="136">
        <v>42088</v>
      </c>
      <c r="DJ96" s="136">
        <v>42629</v>
      </c>
      <c r="DK96" s="136">
        <v>43153</v>
      </c>
      <c r="DL96" s="136">
        <v>43678</v>
      </c>
      <c r="DM96" s="136">
        <v>44209</v>
      </c>
      <c r="DN96" s="136">
        <v>44737</v>
      </c>
      <c r="DO96" s="136">
        <v>45263</v>
      </c>
    </row>
    <row r="97" spans="1:119">
      <c r="A97" s="135">
        <v>95</v>
      </c>
      <c r="B97" s="136"/>
      <c r="C97" s="136"/>
      <c r="D97" s="136"/>
      <c r="E97" s="136"/>
      <c r="F97" s="136"/>
      <c r="G97" s="136"/>
      <c r="H97" s="136"/>
      <c r="I97" s="136"/>
      <c r="J97" s="136"/>
      <c r="K97" s="136"/>
      <c r="L97" s="136"/>
      <c r="M97" s="136"/>
      <c r="N97" s="136"/>
      <c r="O97" s="136"/>
      <c r="P97" s="136"/>
      <c r="Q97" s="136"/>
      <c r="R97" s="136"/>
      <c r="S97" s="136"/>
      <c r="T97" s="136"/>
      <c r="U97" s="136"/>
      <c r="V97" s="136"/>
      <c r="W97" s="136">
        <v>2251</v>
      </c>
      <c r="X97" s="136">
        <v>2385</v>
      </c>
      <c r="Y97" s="136">
        <v>2481</v>
      </c>
      <c r="Z97" s="136">
        <v>2734</v>
      </c>
      <c r="AA97" s="136">
        <v>2831</v>
      </c>
      <c r="AB97" s="136">
        <v>2982</v>
      </c>
      <c r="AC97" s="136">
        <v>3073</v>
      </c>
      <c r="AD97" s="136">
        <v>3159</v>
      </c>
      <c r="AE97" s="136">
        <v>3276</v>
      </c>
      <c r="AF97" s="136">
        <v>3506</v>
      </c>
      <c r="AG97" s="136">
        <v>3713</v>
      </c>
      <c r="AH97" s="136">
        <v>3943</v>
      </c>
      <c r="AI97" s="136">
        <v>4157</v>
      </c>
      <c r="AJ97" s="136">
        <v>4439</v>
      </c>
      <c r="AK97" s="136">
        <v>4664</v>
      </c>
      <c r="AL97" s="136">
        <v>4928</v>
      </c>
      <c r="AM97" s="136">
        <v>5196</v>
      </c>
      <c r="AN97" s="136">
        <v>5445</v>
      </c>
      <c r="AO97" s="136">
        <v>5640</v>
      </c>
      <c r="AP97" s="136">
        <v>5874</v>
      </c>
      <c r="AQ97" s="136">
        <v>6102</v>
      </c>
      <c r="AR97" s="136">
        <v>6368</v>
      </c>
      <c r="AS97" s="136">
        <v>6520</v>
      </c>
      <c r="AT97" s="136">
        <v>6682</v>
      </c>
      <c r="AU97" s="136">
        <v>6800</v>
      </c>
      <c r="AV97" s="136">
        <v>7072</v>
      </c>
      <c r="AW97" s="136">
        <v>7391</v>
      </c>
      <c r="AX97" s="136">
        <v>7860</v>
      </c>
      <c r="AY97" s="136">
        <v>8293</v>
      </c>
      <c r="AZ97" s="136">
        <v>8555</v>
      </c>
      <c r="BA97" s="136">
        <v>8831</v>
      </c>
      <c r="BB97" s="136">
        <v>9194</v>
      </c>
      <c r="BC97" s="136">
        <v>9516</v>
      </c>
      <c r="BD97" s="136">
        <v>9883</v>
      </c>
      <c r="BE97" s="136">
        <v>10221</v>
      </c>
      <c r="BF97" s="136">
        <v>10608</v>
      </c>
      <c r="BG97" s="136">
        <v>10943</v>
      </c>
      <c r="BH97" s="136">
        <v>11362</v>
      </c>
      <c r="BI97" s="136">
        <v>11752</v>
      </c>
      <c r="BJ97" s="136">
        <v>12148</v>
      </c>
      <c r="BK97" s="136">
        <v>12574</v>
      </c>
      <c r="BL97" s="136">
        <v>13017</v>
      </c>
      <c r="BM97" s="136">
        <v>13468</v>
      </c>
      <c r="BN97" s="136">
        <v>13912</v>
      </c>
      <c r="BO97" s="136">
        <v>14358</v>
      </c>
      <c r="BP97" s="136">
        <v>14785</v>
      </c>
      <c r="BQ97" s="136">
        <v>15219</v>
      </c>
      <c r="BR97" s="136">
        <v>15655</v>
      </c>
      <c r="BS97" s="136">
        <v>16073</v>
      </c>
      <c r="BT97" s="136">
        <v>16517</v>
      </c>
      <c r="BU97" s="136">
        <v>16952</v>
      </c>
      <c r="BV97" s="136">
        <v>17409</v>
      </c>
      <c r="BW97" s="136">
        <v>17855</v>
      </c>
      <c r="BX97" s="136">
        <v>18328</v>
      </c>
      <c r="BY97" s="136">
        <v>18811</v>
      </c>
      <c r="BZ97" s="136">
        <v>19324</v>
      </c>
      <c r="CA97" s="136">
        <v>19815</v>
      </c>
      <c r="CB97" s="136">
        <v>20287</v>
      </c>
      <c r="CC97" s="136">
        <v>20792</v>
      </c>
      <c r="CD97" s="136">
        <v>21290</v>
      </c>
      <c r="CE97" s="136">
        <v>21782</v>
      </c>
      <c r="CF97" s="136">
        <v>22302</v>
      </c>
      <c r="CG97" s="136">
        <v>22806</v>
      </c>
      <c r="CH97" s="136">
        <v>23314</v>
      </c>
      <c r="CI97" s="136">
        <v>23835</v>
      </c>
      <c r="CJ97" s="136">
        <v>24330</v>
      </c>
      <c r="CK97" s="136">
        <v>24836</v>
      </c>
      <c r="CL97" s="136">
        <v>25366</v>
      </c>
      <c r="CM97" s="136">
        <v>25871</v>
      </c>
      <c r="CN97" s="136">
        <v>26394</v>
      </c>
      <c r="CO97" s="136">
        <v>26924</v>
      </c>
      <c r="CP97" s="136">
        <v>27443</v>
      </c>
      <c r="CQ97" s="136">
        <v>27970</v>
      </c>
      <c r="CR97" s="136">
        <v>28480</v>
      </c>
      <c r="CS97" s="136">
        <v>29009</v>
      </c>
      <c r="CT97" s="136">
        <v>29526</v>
      </c>
      <c r="CU97" s="136">
        <v>30050</v>
      </c>
      <c r="CV97" s="136">
        <v>30569</v>
      </c>
      <c r="CW97" s="136">
        <v>31089</v>
      </c>
      <c r="CX97" s="136">
        <v>31621</v>
      </c>
      <c r="CY97" s="136">
        <v>32134</v>
      </c>
      <c r="CZ97" s="136">
        <v>32659</v>
      </c>
      <c r="DA97" s="136">
        <v>33173</v>
      </c>
      <c r="DB97" s="136">
        <v>33704</v>
      </c>
      <c r="DC97" s="136">
        <v>34223</v>
      </c>
      <c r="DD97" s="136">
        <v>34746</v>
      </c>
      <c r="DE97" s="136">
        <v>35261</v>
      </c>
      <c r="DF97" s="136">
        <v>35794</v>
      </c>
      <c r="DG97" s="136">
        <v>36314</v>
      </c>
      <c r="DH97" s="136">
        <v>36833</v>
      </c>
      <c r="DI97" s="136">
        <v>37351</v>
      </c>
      <c r="DJ97" s="136">
        <v>37880</v>
      </c>
      <c r="DK97" s="136">
        <v>38394</v>
      </c>
      <c r="DL97" s="136">
        <v>38910</v>
      </c>
      <c r="DM97" s="136">
        <v>39431</v>
      </c>
      <c r="DN97" s="136">
        <v>39950</v>
      </c>
      <c r="DO97" s="136">
        <v>40469</v>
      </c>
    </row>
    <row r="98" spans="1:119">
      <c r="A98" s="135">
        <v>96</v>
      </c>
      <c r="B98" s="136"/>
      <c r="C98" s="136"/>
      <c r="D98" s="136"/>
      <c r="E98" s="136"/>
      <c r="F98" s="136"/>
      <c r="G98" s="136"/>
      <c r="H98" s="136"/>
      <c r="I98" s="136"/>
      <c r="J98" s="136"/>
      <c r="K98" s="136"/>
      <c r="L98" s="136"/>
      <c r="M98" s="136"/>
      <c r="N98" s="136"/>
      <c r="O98" s="136"/>
      <c r="P98" s="136"/>
      <c r="Q98" s="136"/>
      <c r="R98" s="136"/>
      <c r="S98" s="136"/>
      <c r="T98" s="136"/>
      <c r="U98" s="136"/>
      <c r="V98" s="136"/>
      <c r="W98" s="136">
        <v>1586</v>
      </c>
      <c r="X98" s="136">
        <v>1686</v>
      </c>
      <c r="Y98" s="136">
        <v>1760</v>
      </c>
      <c r="Z98" s="136">
        <v>1945</v>
      </c>
      <c r="AA98" s="136">
        <v>2022</v>
      </c>
      <c r="AB98" s="136">
        <v>2136</v>
      </c>
      <c r="AC98" s="136">
        <v>2208</v>
      </c>
      <c r="AD98" s="136">
        <v>2277</v>
      </c>
      <c r="AE98" s="136">
        <v>2369</v>
      </c>
      <c r="AF98" s="136">
        <v>2543</v>
      </c>
      <c r="AG98" s="136">
        <v>2701</v>
      </c>
      <c r="AH98" s="136">
        <v>2877</v>
      </c>
      <c r="AI98" s="136">
        <v>3043</v>
      </c>
      <c r="AJ98" s="136">
        <v>3258</v>
      </c>
      <c r="AK98" s="136">
        <v>3434</v>
      </c>
      <c r="AL98" s="136">
        <v>3639</v>
      </c>
      <c r="AM98" s="136">
        <v>3849</v>
      </c>
      <c r="AN98" s="136">
        <v>4046</v>
      </c>
      <c r="AO98" s="136">
        <v>4205</v>
      </c>
      <c r="AP98" s="136">
        <v>4392</v>
      </c>
      <c r="AQ98" s="136">
        <v>4577</v>
      </c>
      <c r="AR98" s="136">
        <v>4791</v>
      </c>
      <c r="AS98" s="136">
        <v>4921</v>
      </c>
      <c r="AT98" s="136">
        <v>5058</v>
      </c>
      <c r="AU98" s="136">
        <v>5162</v>
      </c>
      <c r="AV98" s="136">
        <v>5384</v>
      </c>
      <c r="AW98" s="136">
        <v>5643</v>
      </c>
      <c r="AX98" s="136">
        <v>6018</v>
      </c>
      <c r="AY98" s="136">
        <v>6367</v>
      </c>
      <c r="AZ98" s="136">
        <v>6587</v>
      </c>
      <c r="BA98" s="136">
        <v>6817</v>
      </c>
      <c r="BB98" s="136">
        <v>7117</v>
      </c>
      <c r="BC98" s="136">
        <v>7385</v>
      </c>
      <c r="BD98" s="136">
        <v>7690</v>
      </c>
      <c r="BE98" s="136">
        <v>7974</v>
      </c>
      <c r="BF98" s="136">
        <v>8297</v>
      </c>
      <c r="BG98" s="136">
        <v>8581</v>
      </c>
      <c r="BH98" s="136">
        <v>8931</v>
      </c>
      <c r="BI98" s="136">
        <v>9260</v>
      </c>
      <c r="BJ98" s="136">
        <v>9596</v>
      </c>
      <c r="BK98" s="136">
        <v>9956</v>
      </c>
      <c r="BL98" s="136">
        <v>10331</v>
      </c>
      <c r="BM98" s="136">
        <v>10714</v>
      </c>
      <c r="BN98" s="136">
        <v>11092</v>
      </c>
      <c r="BO98" s="136">
        <v>11474</v>
      </c>
      <c r="BP98" s="136">
        <v>11842</v>
      </c>
      <c r="BQ98" s="136">
        <v>12217</v>
      </c>
      <c r="BR98" s="136">
        <v>12594</v>
      </c>
      <c r="BS98" s="136">
        <v>12958</v>
      </c>
      <c r="BT98" s="136">
        <v>13345</v>
      </c>
      <c r="BU98" s="136">
        <v>13725</v>
      </c>
      <c r="BV98" s="136">
        <v>14124</v>
      </c>
      <c r="BW98" s="136">
        <v>14517</v>
      </c>
      <c r="BX98" s="136">
        <v>14931</v>
      </c>
      <c r="BY98" s="136">
        <v>15355</v>
      </c>
      <c r="BZ98" s="136">
        <v>15806</v>
      </c>
      <c r="CA98" s="136">
        <v>16239</v>
      </c>
      <c r="CB98" s="136">
        <v>16659</v>
      </c>
      <c r="CC98" s="136">
        <v>17106</v>
      </c>
      <c r="CD98" s="136">
        <v>17549</v>
      </c>
      <c r="CE98" s="136">
        <v>17988</v>
      </c>
      <c r="CF98" s="136">
        <v>18451</v>
      </c>
      <c r="CG98" s="136">
        <v>18903</v>
      </c>
      <c r="CH98" s="136">
        <v>19359</v>
      </c>
      <c r="CI98" s="136">
        <v>19827</v>
      </c>
      <c r="CJ98" s="136">
        <v>20274</v>
      </c>
      <c r="CK98" s="136">
        <v>20732</v>
      </c>
      <c r="CL98" s="136">
        <v>21211</v>
      </c>
      <c r="CM98" s="136">
        <v>21670</v>
      </c>
      <c r="CN98" s="136">
        <v>22146</v>
      </c>
      <c r="CO98" s="136">
        <v>22628</v>
      </c>
      <c r="CP98" s="136">
        <v>23102</v>
      </c>
      <c r="CQ98" s="136">
        <v>23583</v>
      </c>
      <c r="CR98" s="136">
        <v>24052</v>
      </c>
      <c r="CS98" s="136">
        <v>24538</v>
      </c>
      <c r="CT98" s="136">
        <v>25014</v>
      </c>
      <c r="CU98" s="136">
        <v>25497</v>
      </c>
      <c r="CV98" s="136">
        <v>25978</v>
      </c>
      <c r="CW98" s="136">
        <v>26460</v>
      </c>
      <c r="CX98" s="136">
        <v>26953</v>
      </c>
      <c r="CY98" s="136">
        <v>27431</v>
      </c>
      <c r="CZ98" s="136">
        <v>27920</v>
      </c>
      <c r="DA98" s="136">
        <v>28400</v>
      </c>
      <c r="DB98" s="136">
        <v>28896</v>
      </c>
      <c r="DC98" s="136">
        <v>29382</v>
      </c>
      <c r="DD98" s="136">
        <v>29873</v>
      </c>
      <c r="DE98" s="136">
        <v>30358</v>
      </c>
      <c r="DF98" s="136">
        <v>30859</v>
      </c>
      <c r="DG98" s="136">
        <v>31349</v>
      </c>
      <c r="DH98" s="136">
        <v>31840</v>
      </c>
      <c r="DI98" s="136">
        <v>32331</v>
      </c>
      <c r="DJ98" s="136">
        <v>32831</v>
      </c>
      <c r="DK98" s="136">
        <v>33320</v>
      </c>
      <c r="DL98" s="136">
        <v>33810</v>
      </c>
      <c r="DM98" s="136">
        <v>34306</v>
      </c>
      <c r="DN98" s="136">
        <v>34801</v>
      </c>
      <c r="DO98" s="136">
        <v>35296</v>
      </c>
    </row>
    <row r="99" spans="1:119">
      <c r="A99" s="135">
        <v>97</v>
      </c>
      <c r="B99" s="136"/>
      <c r="C99" s="136"/>
      <c r="D99" s="136"/>
      <c r="E99" s="136"/>
      <c r="F99" s="136"/>
      <c r="G99" s="136"/>
      <c r="H99" s="136"/>
      <c r="I99" s="136"/>
      <c r="J99" s="136"/>
      <c r="K99" s="136"/>
      <c r="L99" s="136"/>
      <c r="M99" s="136"/>
      <c r="N99" s="136"/>
      <c r="O99" s="136"/>
      <c r="P99" s="136"/>
      <c r="Q99" s="136"/>
      <c r="R99" s="136"/>
      <c r="S99" s="136"/>
      <c r="T99" s="136"/>
      <c r="U99" s="136"/>
      <c r="V99" s="136"/>
      <c r="W99" s="136">
        <v>1082</v>
      </c>
      <c r="X99" s="136">
        <v>1155</v>
      </c>
      <c r="Y99" s="136">
        <v>1209</v>
      </c>
      <c r="Z99" s="136">
        <v>1341</v>
      </c>
      <c r="AA99" s="136">
        <v>1399</v>
      </c>
      <c r="AB99" s="136">
        <v>1483</v>
      </c>
      <c r="AC99" s="136">
        <v>1538</v>
      </c>
      <c r="AD99" s="136">
        <v>1591</v>
      </c>
      <c r="AE99" s="136">
        <v>1660</v>
      </c>
      <c r="AF99" s="136">
        <v>1788</v>
      </c>
      <c r="AG99" s="136">
        <v>1905</v>
      </c>
      <c r="AH99" s="136">
        <v>2036</v>
      </c>
      <c r="AI99" s="136">
        <v>2159</v>
      </c>
      <c r="AJ99" s="136">
        <v>2319</v>
      </c>
      <c r="AK99" s="136">
        <v>2452</v>
      </c>
      <c r="AL99" s="136">
        <v>2606</v>
      </c>
      <c r="AM99" s="136">
        <v>2765</v>
      </c>
      <c r="AN99" s="136">
        <v>2917</v>
      </c>
      <c r="AO99" s="136">
        <v>3041</v>
      </c>
      <c r="AP99" s="136">
        <v>3187</v>
      </c>
      <c r="AQ99" s="136">
        <v>3332</v>
      </c>
      <c r="AR99" s="136">
        <v>3498</v>
      </c>
      <c r="AS99" s="136">
        <v>3604</v>
      </c>
      <c r="AT99" s="136">
        <v>3716</v>
      </c>
      <c r="AU99" s="136">
        <v>3804</v>
      </c>
      <c r="AV99" s="136">
        <v>3980</v>
      </c>
      <c r="AW99" s="136">
        <v>4183</v>
      </c>
      <c r="AX99" s="136">
        <v>4474</v>
      </c>
      <c r="AY99" s="136">
        <v>4747</v>
      </c>
      <c r="AZ99" s="136">
        <v>4925</v>
      </c>
      <c r="BA99" s="136">
        <v>5112</v>
      </c>
      <c r="BB99" s="136">
        <v>5351</v>
      </c>
      <c r="BC99" s="136">
        <v>5568</v>
      </c>
      <c r="BD99" s="136">
        <v>5813</v>
      </c>
      <c r="BE99" s="136">
        <v>6044</v>
      </c>
      <c r="BF99" s="136">
        <v>6305</v>
      </c>
      <c r="BG99" s="136">
        <v>6538</v>
      </c>
      <c r="BH99" s="136">
        <v>6822</v>
      </c>
      <c r="BI99" s="136">
        <v>7092</v>
      </c>
      <c r="BJ99" s="136">
        <v>7367</v>
      </c>
      <c r="BK99" s="136">
        <v>7662</v>
      </c>
      <c r="BL99" s="136">
        <v>7970</v>
      </c>
      <c r="BM99" s="136">
        <v>8285</v>
      </c>
      <c r="BN99" s="136">
        <v>8598</v>
      </c>
      <c r="BO99" s="136">
        <v>8915</v>
      </c>
      <c r="BP99" s="136">
        <v>9222</v>
      </c>
      <c r="BQ99" s="136">
        <v>9536</v>
      </c>
      <c r="BR99" s="136">
        <v>9852</v>
      </c>
      <c r="BS99" s="136">
        <v>10160</v>
      </c>
      <c r="BT99" s="136">
        <v>10486</v>
      </c>
      <c r="BU99" s="136">
        <v>10808</v>
      </c>
      <c r="BV99" s="136">
        <v>11146</v>
      </c>
      <c r="BW99" s="136">
        <v>11480</v>
      </c>
      <c r="BX99" s="136">
        <v>11833</v>
      </c>
      <c r="BY99" s="136">
        <v>12194</v>
      </c>
      <c r="BZ99" s="136">
        <v>12578</v>
      </c>
      <c r="CA99" s="136">
        <v>12949</v>
      </c>
      <c r="CB99" s="136">
        <v>13310</v>
      </c>
      <c r="CC99" s="136">
        <v>13694</v>
      </c>
      <c r="CD99" s="136">
        <v>14076</v>
      </c>
      <c r="CE99" s="136">
        <v>14456</v>
      </c>
      <c r="CF99" s="136">
        <v>14857</v>
      </c>
      <c r="CG99" s="136">
        <v>15249</v>
      </c>
      <c r="CH99" s="136">
        <v>15645</v>
      </c>
      <c r="CI99" s="136">
        <v>16053</v>
      </c>
      <c r="CJ99" s="136">
        <v>16445</v>
      </c>
      <c r="CK99" s="136">
        <v>16846</v>
      </c>
      <c r="CL99" s="136">
        <v>17267</v>
      </c>
      <c r="CM99" s="136">
        <v>17671</v>
      </c>
      <c r="CN99" s="136">
        <v>18090</v>
      </c>
      <c r="CO99" s="136">
        <v>18516</v>
      </c>
      <c r="CP99" s="136">
        <v>18935</v>
      </c>
      <c r="CQ99" s="136">
        <v>19362</v>
      </c>
      <c r="CR99" s="136">
        <v>19780</v>
      </c>
      <c r="CS99" s="136">
        <v>20212</v>
      </c>
      <c r="CT99" s="136">
        <v>20638</v>
      </c>
      <c r="CU99" s="136">
        <v>21070</v>
      </c>
      <c r="CV99" s="136">
        <v>21501</v>
      </c>
      <c r="CW99" s="136">
        <v>21934</v>
      </c>
      <c r="CX99" s="136">
        <v>22377</v>
      </c>
      <c r="CY99" s="136">
        <v>22808</v>
      </c>
      <c r="CZ99" s="136">
        <v>23249</v>
      </c>
      <c r="DA99" s="136">
        <v>23685</v>
      </c>
      <c r="DB99" s="136">
        <v>24133</v>
      </c>
      <c r="DC99" s="136">
        <v>24575</v>
      </c>
      <c r="DD99" s="136">
        <v>25022</v>
      </c>
      <c r="DE99" s="136">
        <v>25464</v>
      </c>
      <c r="DF99" s="136">
        <v>25920</v>
      </c>
      <c r="DG99" s="136">
        <v>26369</v>
      </c>
      <c r="DH99" s="136">
        <v>26818</v>
      </c>
      <c r="DI99" s="136">
        <v>27268</v>
      </c>
      <c r="DJ99" s="136">
        <v>27727</v>
      </c>
      <c r="DK99" s="136">
        <v>28177</v>
      </c>
      <c r="DL99" s="136">
        <v>28630</v>
      </c>
      <c r="DM99" s="136">
        <v>29087</v>
      </c>
      <c r="DN99" s="136">
        <v>29545</v>
      </c>
      <c r="DO99" s="136">
        <v>30003</v>
      </c>
    </row>
    <row r="100" spans="1:119">
      <c r="A100" s="135">
        <v>98</v>
      </c>
      <c r="B100" s="136"/>
      <c r="C100" s="136"/>
      <c r="D100" s="136"/>
      <c r="E100" s="136"/>
      <c r="F100" s="136"/>
      <c r="G100" s="136"/>
      <c r="H100" s="136"/>
      <c r="I100" s="136"/>
      <c r="J100" s="136"/>
      <c r="K100" s="136"/>
      <c r="L100" s="136"/>
      <c r="M100" s="136"/>
      <c r="N100" s="136"/>
      <c r="O100" s="136"/>
      <c r="P100" s="136"/>
      <c r="Q100" s="136"/>
      <c r="R100" s="136"/>
      <c r="S100" s="136"/>
      <c r="T100" s="136"/>
      <c r="U100" s="136"/>
      <c r="V100" s="136"/>
      <c r="W100" s="136">
        <v>714</v>
      </c>
      <c r="X100" s="136">
        <v>765</v>
      </c>
      <c r="Y100" s="136">
        <v>804</v>
      </c>
      <c r="Z100" s="136">
        <v>895</v>
      </c>
      <c r="AA100" s="136">
        <v>936</v>
      </c>
      <c r="AB100" s="136">
        <v>996</v>
      </c>
      <c r="AC100" s="136">
        <v>1037</v>
      </c>
      <c r="AD100" s="136">
        <v>1076</v>
      </c>
      <c r="AE100" s="136">
        <v>1127</v>
      </c>
      <c r="AF100" s="136">
        <v>1218</v>
      </c>
      <c r="AG100" s="136">
        <v>1302</v>
      </c>
      <c r="AH100" s="136">
        <v>1395</v>
      </c>
      <c r="AI100" s="136">
        <v>1485</v>
      </c>
      <c r="AJ100" s="136">
        <v>1600</v>
      </c>
      <c r="AK100" s="136">
        <v>1696</v>
      </c>
      <c r="AL100" s="136">
        <v>1808</v>
      </c>
      <c r="AM100" s="136">
        <v>1926</v>
      </c>
      <c r="AN100" s="136">
        <v>2038</v>
      </c>
      <c r="AO100" s="136">
        <v>2132</v>
      </c>
      <c r="AP100" s="136">
        <v>2242</v>
      </c>
      <c r="AQ100" s="136">
        <v>2351</v>
      </c>
      <c r="AR100" s="136">
        <v>2477</v>
      </c>
      <c r="AS100" s="136">
        <v>2560</v>
      </c>
      <c r="AT100" s="136">
        <v>2648</v>
      </c>
      <c r="AU100" s="136">
        <v>2719</v>
      </c>
      <c r="AV100" s="136">
        <v>2853</v>
      </c>
      <c r="AW100" s="136">
        <v>3008</v>
      </c>
      <c r="AX100" s="136">
        <v>3227</v>
      </c>
      <c r="AY100" s="136">
        <v>3434</v>
      </c>
      <c r="AZ100" s="136">
        <v>3573</v>
      </c>
      <c r="BA100" s="136">
        <v>3719</v>
      </c>
      <c r="BB100" s="136">
        <v>3904</v>
      </c>
      <c r="BC100" s="136">
        <v>4074</v>
      </c>
      <c r="BD100" s="136">
        <v>4265</v>
      </c>
      <c r="BE100" s="136">
        <v>4447</v>
      </c>
      <c r="BF100" s="136">
        <v>4652</v>
      </c>
      <c r="BG100" s="136">
        <v>4836</v>
      </c>
      <c r="BH100" s="136">
        <v>5060</v>
      </c>
      <c r="BI100" s="136">
        <v>5273</v>
      </c>
      <c r="BJ100" s="136">
        <v>5492</v>
      </c>
      <c r="BK100" s="136">
        <v>5726</v>
      </c>
      <c r="BL100" s="136">
        <v>5972</v>
      </c>
      <c r="BM100" s="136">
        <v>6223</v>
      </c>
      <c r="BN100" s="136">
        <v>6474</v>
      </c>
      <c r="BO100" s="136">
        <v>6729</v>
      </c>
      <c r="BP100" s="136">
        <v>6977</v>
      </c>
      <c r="BQ100" s="136">
        <v>7231</v>
      </c>
      <c r="BR100" s="136">
        <v>7489</v>
      </c>
      <c r="BS100" s="136">
        <v>7740</v>
      </c>
      <c r="BT100" s="136">
        <v>8007</v>
      </c>
      <c r="BU100" s="136">
        <v>8271</v>
      </c>
      <c r="BV100" s="136">
        <v>8549</v>
      </c>
      <c r="BW100" s="136">
        <v>8824</v>
      </c>
      <c r="BX100" s="136">
        <v>9115</v>
      </c>
      <c r="BY100" s="136">
        <v>9413</v>
      </c>
      <c r="BZ100" s="136">
        <v>9730</v>
      </c>
      <c r="CA100" s="136">
        <v>10037</v>
      </c>
      <c r="CB100" s="136">
        <v>10338</v>
      </c>
      <c r="CC100" s="136">
        <v>10658</v>
      </c>
      <c r="CD100" s="136">
        <v>10978</v>
      </c>
      <c r="CE100" s="136">
        <v>11297</v>
      </c>
      <c r="CF100" s="136">
        <v>11632</v>
      </c>
      <c r="CG100" s="136">
        <v>11962</v>
      </c>
      <c r="CH100" s="136">
        <v>12297</v>
      </c>
      <c r="CI100" s="136">
        <v>12641</v>
      </c>
      <c r="CJ100" s="136">
        <v>12974</v>
      </c>
      <c r="CK100" s="136">
        <v>13315</v>
      </c>
      <c r="CL100" s="136">
        <v>13672</v>
      </c>
      <c r="CM100" s="136">
        <v>14017</v>
      </c>
      <c r="CN100" s="136">
        <v>14375</v>
      </c>
      <c r="CO100" s="136">
        <v>14739</v>
      </c>
      <c r="CP100" s="136">
        <v>15100</v>
      </c>
      <c r="CQ100" s="136">
        <v>15467</v>
      </c>
      <c r="CR100" s="136">
        <v>15827</v>
      </c>
      <c r="CS100" s="136">
        <v>16200</v>
      </c>
      <c r="CT100" s="136">
        <v>16568</v>
      </c>
      <c r="CU100" s="136">
        <v>16943</v>
      </c>
      <c r="CV100" s="136">
        <v>17317</v>
      </c>
      <c r="CW100" s="136">
        <v>17694</v>
      </c>
      <c r="CX100" s="136">
        <v>18081</v>
      </c>
      <c r="CY100" s="136">
        <v>18458</v>
      </c>
      <c r="CZ100" s="136">
        <v>18844</v>
      </c>
      <c r="DA100" s="136">
        <v>19226</v>
      </c>
      <c r="DB100" s="136">
        <v>19620</v>
      </c>
      <c r="DC100" s="136">
        <v>20009</v>
      </c>
      <c r="DD100" s="136">
        <v>20402</v>
      </c>
      <c r="DE100" s="136">
        <v>20793</v>
      </c>
      <c r="DF100" s="136">
        <v>21197</v>
      </c>
      <c r="DG100" s="136">
        <v>21594</v>
      </c>
      <c r="DH100" s="136">
        <v>21993</v>
      </c>
      <c r="DI100" s="136">
        <v>22393</v>
      </c>
      <c r="DJ100" s="136">
        <v>22801</v>
      </c>
      <c r="DK100" s="136">
        <v>23203</v>
      </c>
      <c r="DL100" s="136">
        <v>23607</v>
      </c>
      <c r="DM100" s="136">
        <v>24016</v>
      </c>
      <c r="DN100" s="136">
        <v>24426</v>
      </c>
      <c r="DO100" s="136">
        <v>24837</v>
      </c>
    </row>
    <row r="101" spans="1:119">
      <c r="A101" s="135">
        <v>99</v>
      </c>
      <c r="B101" s="136"/>
      <c r="C101" s="136"/>
      <c r="D101" s="136"/>
      <c r="E101" s="136"/>
      <c r="F101" s="136"/>
      <c r="G101" s="136"/>
      <c r="H101" s="136"/>
      <c r="I101" s="136"/>
      <c r="J101" s="136"/>
      <c r="K101" s="136"/>
      <c r="L101" s="136"/>
      <c r="M101" s="136"/>
      <c r="N101" s="136"/>
      <c r="O101" s="136"/>
      <c r="P101" s="136"/>
      <c r="Q101" s="136"/>
      <c r="R101" s="136"/>
      <c r="S101" s="136"/>
      <c r="T101" s="136"/>
      <c r="U101" s="136"/>
      <c r="V101" s="136"/>
      <c r="W101" s="136">
        <v>456</v>
      </c>
      <c r="X101" s="136">
        <v>490</v>
      </c>
      <c r="Y101" s="136">
        <v>517</v>
      </c>
      <c r="Z101" s="136">
        <v>577</v>
      </c>
      <c r="AA101" s="136">
        <v>606</v>
      </c>
      <c r="AB101" s="136">
        <v>647</v>
      </c>
      <c r="AC101" s="136">
        <v>676</v>
      </c>
      <c r="AD101" s="136">
        <v>704</v>
      </c>
      <c r="AE101" s="136">
        <v>740</v>
      </c>
      <c r="AF101" s="136">
        <v>802</v>
      </c>
      <c r="AG101" s="136">
        <v>860</v>
      </c>
      <c r="AH101" s="136">
        <v>925</v>
      </c>
      <c r="AI101" s="136">
        <v>988</v>
      </c>
      <c r="AJ101" s="136">
        <v>1068</v>
      </c>
      <c r="AK101" s="136">
        <v>1136</v>
      </c>
      <c r="AL101" s="136">
        <v>1215</v>
      </c>
      <c r="AM101" s="136">
        <v>1298</v>
      </c>
      <c r="AN101" s="136">
        <v>1379</v>
      </c>
      <c r="AO101" s="136">
        <v>1448</v>
      </c>
      <c r="AP101" s="136">
        <v>1528</v>
      </c>
      <c r="AQ101" s="136">
        <v>1608</v>
      </c>
      <c r="AR101" s="136">
        <v>1699</v>
      </c>
      <c r="AS101" s="136">
        <v>1762</v>
      </c>
      <c r="AT101" s="136">
        <v>1828</v>
      </c>
      <c r="AU101" s="136">
        <v>1883</v>
      </c>
      <c r="AV101" s="136">
        <v>1983</v>
      </c>
      <c r="AW101" s="136">
        <v>2097</v>
      </c>
      <c r="AX101" s="136">
        <v>2257</v>
      </c>
      <c r="AY101" s="136">
        <v>2409</v>
      </c>
      <c r="AZ101" s="136">
        <v>2514</v>
      </c>
      <c r="BA101" s="136">
        <v>2624</v>
      </c>
      <c r="BB101" s="136">
        <v>2763</v>
      </c>
      <c r="BC101" s="136">
        <v>2891</v>
      </c>
      <c r="BD101" s="136">
        <v>3036</v>
      </c>
      <c r="BE101" s="136">
        <v>3174</v>
      </c>
      <c r="BF101" s="136">
        <v>3329</v>
      </c>
      <c r="BG101" s="136">
        <v>3471</v>
      </c>
      <c r="BH101" s="136">
        <v>3641</v>
      </c>
      <c r="BI101" s="136">
        <v>3805</v>
      </c>
      <c r="BJ101" s="136">
        <v>3973</v>
      </c>
      <c r="BK101" s="136">
        <v>4154</v>
      </c>
      <c r="BL101" s="136">
        <v>4343</v>
      </c>
      <c r="BM101" s="136">
        <v>4537</v>
      </c>
      <c r="BN101" s="136">
        <v>4732</v>
      </c>
      <c r="BO101" s="136">
        <v>4930</v>
      </c>
      <c r="BP101" s="136">
        <v>5125</v>
      </c>
      <c r="BQ101" s="136">
        <v>5324</v>
      </c>
      <c r="BR101" s="136">
        <v>5527</v>
      </c>
      <c r="BS101" s="136">
        <v>5726</v>
      </c>
      <c r="BT101" s="136">
        <v>5937</v>
      </c>
      <c r="BU101" s="136">
        <v>6147</v>
      </c>
      <c r="BV101" s="136">
        <v>6368</v>
      </c>
      <c r="BW101" s="136">
        <v>6588</v>
      </c>
      <c r="BX101" s="136">
        <v>6820</v>
      </c>
      <c r="BY101" s="136">
        <v>7059</v>
      </c>
      <c r="BZ101" s="136">
        <v>7312</v>
      </c>
      <c r="CA101" s="136">
        <v>7559</v>
      </c>
      <c r="CB101" s="136">
        <v>7803</v>
      </c>
      <c r="CC101" s="136">
        <v>8061</v>
      </c>
      <c r="CD101" s="136">
        <v>8319</v>
      </c>
      <c r="CE101" s="136">
        <v>8579</v>
      </c>
      <c r="CF101" s="136">
        <v>8851</v>
      </c>
      <c r="CG101" s="136">
        <v>9121</v>
      </c>
      <c r="CH101" s="136">
        <v>9394</v>
      </c>
      <c r="CI101" s="136">
        <v>9676</v>
      </c>
      <c r="CJ101" s="136">
        <v>9950</v>
      </c>
      <c r="CK101" s="136">
        <v>10230</v>
      </c>
      <c r="CL101" s="136">
        <v>10524</v>
      </c>
      <c r="CM101" s="136">
        <v>10810</v>
      </c>
      <c r="CN101" s="136">
        <v>11107</v>
      </c>
      <c r="CO101" s="136">
        <v>11408</v>
      </c>
      <c r="CP101" s="136">
        <v>11708</v>
      </c>
      <c r="CQ101" s="136">
        <v>12014</v>
      </c>
      <c r="CR101" s="136">
        <v>12315</v>
      </c>
      <c r="CS101" s="136">
        <v>12627</v>
      </c>
      <c r="CT101" s="136">
        <v>12936</v>
      </c>
      <c r="CU101" s="136">
        <v>13251</v>
      </c>
      <c r="CV101" s="136">
        <v>13566</v>
      </c>
      <c r="CW101" s="136">
        <v>13885</v>
      </c>
      <c r="CX101" s="136">
        <v>14211</v>
      </c>
      <c r="CY101" s="136">
        <v>14530</v>
      </c>
      <c r="CZ101" s="136">
        <v>14858</v>
      </c>
      <c r="DA101" s="136">
        <v>15183</v>
      </c>
      <c r="DB101" s="136">
        <v>15518</v>
      </c>
      <c r="DC101" s="136">
        <v>15850</v>
      </c>
      <c r="DD101" s="136">
        <v>16186</v>
      </c>
      <c r="DE101" s="136">
        <v>16521</v>
      </c>
      <c r="DF101" s="136">
        <v>16866</v>
      </c>
      <c r="DG101" s="136">
        <v>17208</v>
      </c>
      <c r="DH101" s="136">
        <v>17551</v>
      </c>
      <c r="DI101" s="136">
        <v>17896</v>
      </c>
      <c r="DJ101" s="136">
        <v>18248</v>
      </c>
      <c r="DK101" s="136">
        <v>18595</v>
      </c>
      <c r="DL101" s="136">
        <v>18945</v>
      </c>
      <c r="DM101" s="136">
        <v>19300</v>
      </c>
      <c r="DN101" s="136">
        <v>19656</v>
      </c>
      <c r="DO101" s="136">
        <v>20013</v>
      </c>
    </row>
    <row r="102" spans="1:119">
      <c r="A102" s="135">
        <v>100</v>
      </c>
      <c r="B102" s="136"/>
      <c r="C102" s="136"/>
      <c r="D102" s="136"/>
      <c r="E102" s="136"/>
      <c r="F102" s="136"/>
      <c r="G102" s="136"/>
      <c r="H102" s="136"/>
      <c r="I102" s="136"/>
      <c r="J102" s="136"/>
      <c r="K102" s="136"/>
      <c r="L102" s="136"/>
      <c r="M102" s="136"/>
      <c r="N102" s="136"/>
      <c r="O102" s="136"/>
      <c r="P102" s="136"/>
      <c r="Q102" s="136"/>
      <c r="R102" s="136"/>
      <c r="S102" s="136"/>
      <c r="T102" s="136"/>
      <c r="U102" s="136"/>
      <c r="V102" s="136"/>
      <c r="W102" s="136">
        <v>281</v>
      </c>
      <c r="X102" s="136">
        <v>303</v>
      </c>
      <c r="Y102" s="136">
        <v>321</v>
      </c>
      <c r="Z102" s="136">
        <v>360</v>
      </c>
      <c r="AA102" s="136">
        <v>380</v>
      </c>
      <c r="AB102" s="136">
        <v>407</v>
      </c>
      <c r="AC102" s="136">
        <v>426</v>
      </c>
      <c r="AD102" s="136">
        <v>446</v>
      </c>
      <c r="AE102" s="136">
        <v>470</v>
      </c>
      <c r="AF102" s="136">
        <v>511</v>
      </c>
      <c r="AG102" s="136">
        <v>550</v>
      </c>
      <c r="AH102" s="136">
        <v>594</v>
      </c>
      <c r="AI102" s="136">
        <v>636</v>
      </c>
      <c r="AJ102" s="136">
        <v>690</v>
      </c>
      <c r="AK102" s="136">
        <v>736</v>
      </c>
      <c r="AL102" s="136">
        <v>790</v>
      </c>
      <c r="AM102" s="136">
        <v>847</v>
      </c>
      <c r="AN102" s="136">
        <v>903</v>
      </c>
      <c r="AO102" s="136">
        <v>952</v>
      </c>
      <c r="AP102" s="136">
        <v>1008</v>
      </c>
      <c r="AQ102" s="136">
        <v>1064</v>
      </c>
      <c r="AR102" s="136">
        <v>1129</v>
      </c>
      <c r="AS102" s="136">
        <v>1174</v>
      </c>
      <c r="AT102" s="136">
        <v>1223</v>
      </c>
      <c r="AU102" s="136">
        <v>1264</v>
      </c>
      <c r="AV102" s="136">
        <v>1335</v>
      </c>
      <c r="AW102" s="136">
        <v>1416</v>
      </c>
      <c r="AX102" s="136">
        <v>1529</v>
      </c>
      <c r="AY102" s="136">
        <v>1637</v>
      </c>
      <c r="AZ102" s="136">
        <v>1714</v>
      </c>
      <c r="BA102" s="136">
        <v>1795</v>
      </c>
      <c r="BB102" s="136">
        <v>1895</v>
      </c>
      <c r="BC102" s="136">
        <v>1989</v>
      </c>
      <c r="BD102" s="136">
        <v>2095</v>
      </c>
      <c r="BE102" s="136">
        <v>2196</v>
      </c>
      <c r="BF102" s="136">
        <v>2311</v>
      </c>
      <c r="BG102" s="136">
        <v>2416</v>
      </c>
      <c r="BH102" s="136">
        <v>2541</v>
      </c>
      <c r="BI102" s="136">
        <v>2663</v>
      </c>
      <c r="BJ102" s="136">
        <v>2788</v>
      </c>
      <c r="BK102" s="136">
        <v>2923</v>
      </c>
      <c r="BL102" s="136">
        <v>3064</v>
      </c>
      <c r="BM102" s="136">
        <v>3210</v>
      </c>
      <c r="BN102" s="136">
        <v>3356</v>
      </c>
      <c r="BO102" s="136">
        <v>3506</v>
      </c>
      <c r="BP102" s="136">
        <v>3653</v>
      </c>
      <c r="BQ102" s="136">
        <v>3805</v>
      </c>
      <c r="BR102" s="136">
        <v>3960</v>
      </c>
      <c r="BS102" s="136">
        <v>4112</v>
      </c>
      <c r="BT102" s="136">
        <v>4274</v>
      </c>
      <c r="BU102" s="136">
        <v>4436</v>
      </c>
      <c r="BV102" s="136">
        <v>4606</v>
      </c>
      <c r="BW102" s="136">
        <v>4776</v>
      </c>
      <c r="BX102" s="136">
        <v>4956</v>
      </c>
      <c r="BY102" s="136">
        <v>5140</v>
      </c>
      <c r="BZ102" s="136">
        <v>5337</v>
      </c>
      <c r="CA102" s="136">
        <v>5529</v>
      </c>
      <c r="CB102" s="136">
        <v>5720</v>
      </c>
      <c r="CC102" s="136">
        <v>5922</v>
      </c>
      <c r="CD102" s="136">
        <v>6125</v>
      </c>
      <c r="CE102" s="136">
        <v>6329</v>
      </c>
      <c r="CF102" s="136">
        <v>6543</v>
      </c>
      <c r="CG102" s="136">
        <v>6756</v>
      </c>
      <c r="CH102" s="136">
        <v>6973</v>
      </c>
      <c r="CI102" s="136">
        <v>7196</v>
      </c>
      <c r="CJ102" s="136">
        <v>7415</v>
      </c>
      <c r="CK102" s="136">
        <v>7639</v>
      </c>
      <c r="CL102" s="136">
        <v>7873</v>
      </c>
      <c r="CM102" s="136">
        <v>8103</v>
      </c>
      <c r="CN102" s="136">
        <v>8341</v>
      </c>
      <c r="CO102" s="136">
        <v>8583</v>
      </c>
      <c r="CP102" s="136">
        <v>8825</v>
      </c>
      <c r="CQ102" s="136">
        <v>9072</v>
      </c>
      <c r="CR102" s="136">
        <v>9316</v>
      </c>
      <c r="CS102" s="136">
        <v>9569</v>
      </c>
      <c r="CT102" s="136">
        <v>9820</v>
      </c>
      <c r="CU102" s="136">
        <v>10077</v>
      </c>
      <c r="CV102" s="136">
        <v>10334</v>
      </c>
      <c r="CW102" s="136">
        <v>10594</v>
      </c>
      <c r="CX102" s="136">
        <v>10861</v>
      </c>
      <c r="CY102" s="136">
        <v>11124</v>
      </c>
      <c r="CZ102" s="136">
        <v>11393</v>
      </c>
      <c r="DA102" s="136">
        <v>11661</v>
      </c>
      <c r="DB102" s="136">
        <v>11938</v>
      </c>
      <c r="DC102" s="136">
        <v>12212</v>
      </c>
      <c r="DD102" s="136">
        <v>12491</v>
      </c>
      <c r="DE102" s="136">
        <v>12769</v>
      </c>
      <c r="DF102" s="136">
        <v>13055</v>
      </c>
      <c r="DG102" s="136">
        <v>13340</v>
      </c>
      <c r="DH102" s="136">
        <v>13626</v>
      </c>
      <c r="DI102" s="136">
        <v>13914</v>
      </c>
      <c r="DJ102" s="136">
        <v>14208</v>
      </c>
      <c r="DK102" s="136">
        <v>14500</v>
      </c>
      <c r="DL102" s="136">
        <v>14793</v>
      </c>
      <c r="DM102" s="136">
        <v>15092</v>
      </c>
      <c r="DN102" s="136">
        <v>15391</v>
      </c>
      <c r="DO102" s="136">
        <v>15693</v>
      </c>
    </row>
  </sheetData>
  <phoneticPr fontId="47" type="noConversion"/>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5"/>
  <dimension ref="A1:DO102"/>
  <sheetViews>
    <sheetView workbookViewId="0">
      <pane xSplit="1" topLeftCell="B1" activePane="topRight" state="frozen"/>
      <selection pane="topRight" activeCell="B2" sqref="B2:V102"/>
    </sheetView>
  </sheetViews>
  <sheetFormatPr baseColWidth="10" defaultColWidth="10" defaultRowHeight="11.25"/>
  <cols>
    <col min="1" max="1" width="2.625" style="141" customWidth="1"/>
    <col min="2" max="45" width="5.125" style="141" customWidth="1"/>
    <col min="46" max="46" width="5.25" style="141" customWidth="1"/>
    <col min="47" max="119" width="5.125" style="141" customWidth="1"/>
    <col min="120" max="16384" width="10" style="141"/>
  </cols>
  <sheetData>
    <row r="1" spans="1:119" s="139" customFormat="1">
      <c r="B1" s="139">
        <v>1900</v>
      </c>
      <c r="C1" s="139">
        <v>1901</v>
      </c>
      <c r="D1" s="139">
        <v>1902</v>
      </c>
      <c r="E1" s="139">
        <v>1903</v>
      </c>
      <c r="F1" s="139">
        <v>1904</v>
      </c>
      <c r="G1" s="139">
        <v>1905</v>
      </c>
      <c r="H1" s="139">
        <v>1906</v>
      </c>
      <c r="I1" s="139">
        <v>1907</v>
      </c>
      <c r="J1" s="139">
        <v>1908</v>
      </c>
      <c r="K1" s="139">
        <v>1909</v>
      </c>
      <c r="L1" s="139">
        <v>1910</v>
      </c>
      <c r="M1" s="139">
        <v>1911</v>
      </c>
      <c r="N1" s="139">
        <v>1912</v>
      </c>
      <c r="O1" s="139">
        <v>1913</v>
      </c>
      <c r="P1" s="139">
        <v>1914</v>
      </c>
      <c r="Q1" s="139">
        <v>1915</v>
      </c>
      <c r="R1" s="139">
        <v>1916</v>
      </c>
      <c r="S1" s="139">
        <v>1917</v>
      </c>
      <c r="T1" s="139">
        <v>1918</v>
      </c>
      <c r="U1" s="139">
        <v>1919</v>
      </c>
      <c r="V1" s="139">
        <v>1920</v>
      </c>
      <c r="W1" s="139">
        <v>1921</v>
      </c>
      <c r="X1" s="139">
        <v>1922</v>
      </c>
      <c r="Y1" s="139">
        <v>1923</v>
      </c>
      <c r="Z1" s="139">
        <v>1924</v>
      </c>
      <c r="AA1" s="139">
        <v>1925</v>
      </c>
      <c r="AB1" s="139">
        <v>1926</v>
      </c>
      <c r="AC1" s="139">
        <v>1927</v>
      </c>
      <c r="AD1" s="139">
        <v>1928</v>
      </c>
      <c r="AE1" s="139">
        <v>1929</v>
      </c>
      <c r="AF1" s="139">
        <v>1930</v>
      </c>
      <c r="AG1" s="139">
        <v>1931</v>
      </c>
      <c r="AH1" s="139">
        <v>1932</v>
      </c>
      <c r="AI1" s="139">
        <v>1933</v>
      </c>
      <c r="AJ1" s="139">
        <v>1934</v>
      </c>
      <c r="AK1" s="139">
        <v>1935</v>
      </c>
      <c r="AL1" s="139">
        <v>1936</v>
      </c>
      <c r="AM1" s="139">
        <v>1937</v>
      </c>
      <c r="AN1" s="139">
        <v>1938</v>
      </c>
      <c r="AO1" s="139">
        <v>1939</v>
      </c>
      <c r="AP1" s="139">
        <v>1940</v>
      </c>
      <c r="AQ1" s="139">
        <v>1941</v>
      </c>
      <c r="AR1" s="139">
        <v>1942</v>
      </c>
      <c r="AS1" s="139">
        <v>1943</v>
      </c>
      <c r="AT1" s="139">
        <v>1944</v>
      </c>
      <c r="AU1" s="139">
        <v>1945</v>
      </c>
      <c r="AV1" s="139">
        <v>1946</v>
      </c>
      <c r="AW1" s="139">
        <v>1947</v>
      </c>
      <c r="AX1" s="139">
        <v>1948</v>
      </c>
      <c r="AY1" s="139">
        <v>1949</v>
      </c>
      <c r="AZ1" s="139">
        <v>1950</v>
      </c>
      <c r="BA1" s="139">
        <v>1951</v>
      </c>
      <c r="BB1" s="139">
        <v>1952</v>
      </c>
      <c r="BC1" s="139">
        <v>1953</v>
      </c>
      <c r="BD1" s="139">
        <v>1954</v>
      </c>
      <c r="BE1" s="139">
        <v>1955</v>
      </c>
      <c r="BF1" s="139">
        <v>1956</v>
      </c>
      <c r="BG1" s="139">
        <v>1957</v>
      </c>
      <c r="BH1" s="139">
        <v>1958</v>
      </c>
      <c r="BI1" s="139">
        <v>1959</v>
      </c>
      <c r="BJ1" s="139">
        <v>1960</v>
      </c>
      <c r="BK1" s="139">
        <v>1961</v>
      </c>
      <c r="BL1" s="139">
        <v>1962</v>
      </c>
      <c r="BM1" s="139">
        <v>1963</v>
      </c>
      <c r="BN1" s="139">
        <v>1964</v>
      </c>
      <c r="BO1" s="139">
        <v>1965</v>
      </c>
      <c r="BP1" s="139">
        <v>1966</v>
      </c>
      <c r="BQ1" s="139">
        <v>1967</v>
      </c>
      <c r="BR1" s="139">
        <v>1968</v>
      </c>
      <c r="BS1" s="139">
        <v>1969</v>
      </c>
      <c r="BT1" s="139">
        <v>1970</v>
      </c>
      <c r="BU1" s="139">
        <v>1971</v>
      </c>
      <c r="BV1" s="139">
        <v>1972</v>
      </c>
      <c r="BW1" s="139">
        <v>1973</v>
      </c>
      <c r="BX1" s="139">
        <v>1974</v>
      </c>
      <c r="BY1" s="139">
        <v>1975</v>
      </c>
      <c r="BZ1" s="139">
        <v>1976</v>
      </c>
      <c r="CA1" s="139">
        <v>1977</v>
      </c>
      <c r="CB1" s="139">
        <v>1978</v>
      </c>
      <c r="CC1" s="139">
        <v>1979</v>
      </c>
      <c r="CD1" s="139">
        <v>1980</v>
      </c>
      <c r="CE1" s="139">
        <v>1981</v>
      </c>
      <c r="CF1" s="139">
        <v>1982</v>
      </c>
      <c r="CG1" s="139">
        <v>1983</v>
      </c>
      <c r="CH1" s="139">
        <v>1984</v>
      </c>
      <c r="CI1" s="139">
        <v>1985</v>
      </c>
      <c r="CJ1" s="139">
        <v>1986</v>
      </c>
      <c r="CK1" s="139">
        <v>1987</v>
      </c>
      <c r="CL1" s="139">
        <v>1988</v>
      </c>
      <c r="CM1" s="139">
        <v>1989</v>
      </c>
      <c r="CN1" s="139">
        <v>1990</v>
      </c>
      <c r="CO1" s="139">
        <v>1991</v>
      </c>
      <c r="CP1" s="139">
        <v>1992</v>
      </c>
      <c r="CQ1" s="139">
        <v>1993</v>
      </c>
      <c r="CR1" s="139">
        <v>1994</v>
      </c>
      <c r="CS1" s="139">
        <v>1995</v>
      </c>
      <c r="CT1" s="139">
        <v>1996</v>
      </c>
      <c r="CU1" s="139">
        <v>1997</v>
      </c>
      <c r="CV1" s="139">
        <v>1998</v>
      </c>
      <c r="CW1" s="139">
        <v>1999</v>
      </c>
      <c r="CX1" s="139">
        <v>2000</v>
      </c>
      <c r="CY1" s="139">
        <v>2001</v>
      </c>
      <c r="CZ1" s="139">
        <v>2002</v>
      </c>
      <c r="DA1" s="139">
        <v>2003</v>
      </c>
      <c r="DB1" s="139">
        <v>2004</v>
      </c>
      <c r="DC1" s="139">
        <v>2005</v>
      </c>
      <c r="DD1" s="139">
        <v>2006</v>
      </c>
      <c r="DE1" s="139">
        <v>2007</v>
      </c>
      <c r="DF1" s="139">
        <v>2008</v>
      </c>
      <c r="DG1" s="139">
        <v>2009</v>
      </c>
      <c r="DH1" s="139">
        <v>2010</v>
      </c>
      <c r="DI1" s="139">
        <v>2011</v>
      </c>
      <c r="DJ1" s="139">
        <v>2012</v>
      </c>
      <c r="DK1" s="139">
        <v>2013</v>
      </c>
      <c r="DL1" s="139">
        <v>2014</v>
      </c>
      <c r="DM1" s="139">
        <v>2015</v>
      </c>
      <c r="DN1" s="139">
        <v>2016</v>
      </c>
      <c r="DO1" s="139">
        <v>2017</v>
      </c>
    </row>
    <row r="2" spans="1:119">
      <c r="A2" s="140">
        <v>0</v>
      </c>
      <c r="W2" s="141">
        <v>100000</v>
      </c>
      <c r="X2" s="141">
        <v>100000</v>
      </c>
      <c r="Y2" s="141">
        <v>100000</v>
      </c>
      <c r="Z2" s="141">
        <v>100000</v>
      </c>
      <c r="AA2" s="141">
        <v>100000</v>
      </c>
      <c r="AB2" s="141">
        <v>100000</v>
      </c>
      <c r="AC2" s="141">
        <v>100000</v>
      </c>
      <c r="AD2" s="141">
        <v>100000</v>
      </c>
      <c r="AE2" s="141">
        <v>100000</v>
      </c>
      <c r="AF2" s="141">
        <v>100000</v>
      </c>
      <c r="AG2" s="141">
        <v>100000</v>
      </c>
      <c r="AH2" s="141">
        <v>100000</v>
      </c>
      <c r="AI2" s="141">
        <v>100000</v>
      </c>
      <c r="AJ2" s="141">
        <v>100000</v>
      </c>
      <c r="AK2" s="141">
        <v>100000</v>
      </c>
      <c r="AL2" s="141">
        <v>100000</v>
      </c>
      <c r="AM2" s="141">
        <v>100000</v>
      </c>
      <c r="AN2" s="141">
        <v>100000</v>
      </c>
      <c r="AO2" s="141">
        <v>100000</v>
      </c>
      <c r="AP2" s="141">
        <v>100000</v>
      </c>
      <c r="AQ2" s="141">
        <v>100000</v>
      </c>
      <c r="AR2" s="141">
        <v>100000</v>
      </c>
      <c r="AS2" s="141">
        <v>100000</v>
      </c>
      <c r="AT2" s="141">
        <v>100000</v>
      </c>
      <c r="AU2" s="141">
        <v>100000</v>
      </c>
      <c r="AV2" s="141">
        <v>100000</v>
      </c>
      <c r="AW2" s="141">
        <v>100000</v>
      </c>
      <c r="AX2" s="141">
        <v>100000</v>
      </c>
      <c r="AY2" s="141">
        <v>100000</v>
      </c>
      <c r="AZ2" s="141">
        <v>100000</v>
      </c>
      <c r="BA2" s="141">
        <v>100000</v>
      </c>
      <c r="BB2" s="141">
        <v>100000</v>
      </c>
      <c r="BC2" s="141">
        <v>100000</v>
      </c>
      <c r="BD2" s="141">
        <v>100000</v>
      </c>
      <c r="BE2" s="141">
        <v>100000</v>
      </c>
      <c r="BF2" s="141">
        <v>100000</v>
      </c>
      <c r="BG2" s="141">
        <v>100000</v>
      </c>
      <c r="BH2" s="141">
        <v>100000</v>
      </c>
      <c r="BI2" s="141">
        <v>100000</v>
      </c>
      <c r="BJ2" s="141">
        <v>100000</v>
      </c>
      <c r="BK2" s="141">
        <v>100000</v>
      </c>
      <c r="BL2" s="141">
        <v>100000</v>
      </c>
      <c r="BM2" s="141">
        <v>100000</v>
      </c>
      <c r="BN2" s="141">
        <v>100000</v>
      </c>
      <c r="BO2" s="141">
        <v>100000</v>
      </c>
      <c r="BP2" s="141">
        <v>100000</v>
      </c>
      <c r="BQ2" s="141">
        <v>100000</v>
      </c>
      <c r="BR2" s="141">
        <v>100000</v>
      </c>
      <c r="BS2" s="141">
        <v>100000</v>
      </c>
      <c r="BT2" s="141">
        <v>100000</v>
      </c>
      <c r="BU2" s="141">
        <v>100000</v>
      </c>
      <c r="BV2" s="141">
        <v>100000</v>
      </c>
      <c r="BW2" s="141">
        <v>100000</v>
      </c>
      <c r="BX2" s="141">
        <v>100000</v>
      </c>
      <c r="BY2" s="141">
        <v>100000</v>
      </c>
      <c r="BZ2" s="141">
        <v>100000</v>
      </c>
      <c r="CA2" s="141">
        <v>100000</v>
      </c>
      <c r="CB2" s="141">
        <v>100000</v>
      </c>
      <c r="CC2" s="141">
        <v>100000</v>
      </c>
      <c r="CD2" s="141">
        <v>100000</v>
      </c>
      <c r="CE2" s="141">
        <v>100000</v>
      </c>
      <c r="CF2" s="141">
        <v>100000</v>
      </c>
      <c r="CG2" s="141">
        <v>100000</v>
      </c>
      <c r="CH2" s="141">
        <v>100000</v>
      </c>
      <c r="CI2" s="141">
        <v>100000</v>
      </c>
      <c r="CJ2" s="141">
        <v>100000</v>
      </c>
      <c r="CK2" s="141">
        <v>100000</v>
      </c>
      <c r="CL2" s="141">
        <v>100000</v>
      </c>
      <c r="CM2" s="141">
        <v>100000</v>
      </c>
      <c r="CN2" s="141">
        <v>100000</v>
      </c>
      <c r="CO2" s="141">
        <v>100000</v>
      </c>
      <c r="CP2" s="141">
        <v>100000</v>
      </c>
      <c r="CQ2" s="141">
        <v>100000</v>
      </c>
      <c r="CR2" s="141">
        <v>100000</v>
      </c>
      <c r="CS2" s="141">
        <v>100000</v>
      </c>
      <c r="CT2" s="141">
        <v>100000</v>
      </c>
      <c r="CU2" s="141">
        <v>100000</v>
      </c>
      <c r="CV2" s="141">
        <v>100000</v>
      </c>
      <c r="CW2" s="141">
        <v>100000</v>
      </c>
      <c r="CX2" s="141">
        <v>100000</v>
      </c>
      <c r="CY2" s="141">
        <v>100000</v>
      </c>
      <c r="CZ2" s="141">
        <v>100000</v>
      </c>
      <c r="DA2" s="141">
        <v>100000</v>
      </c>
      <c r="DB2" s="141">
        <v>100000</v>
      </c>
      <c r="DC2" s="141">
        <v>100000</v>
      </c>
      <c r="DD2" s="141">
        <v>100000</v>
      </c>
      <c r="DE2" s="141">
        <v>100000</v>
      </c>
      <c r="DF2" s="141">
        <v>100000</v>
      </c>
      <c r="DG2" s="141">
        <v>100000</v>
      </c>
      <c r="DH2" s="141">
        <v>100000</v>
      </c>
      <c r="DI2" s="141">
        <v>100000</v>
      </c>
      <c r="DJ2" s="141">
        <v>100000</v>
      </c>
      <c r="DK2" s="141">
        <v>100000</v>
      </c>
      <c r="DL2" s="141">
        <v>100000</v>
      </c>
      <c r="DM2" s="141">
        <v>100000</v>
      </c>
      <c r="DN2" s="141">
        <v>100000</v>
      </c>
      <c r="DO2" s="141">
        <v>100000</v>
      </c>
    </row>
    <row r="3" spans="1:119">
      <c r="A3" s="140">
        <v>1</v>
      </c>
      <c r="W3" s="141">
        <v>87983</v>
      </c>
      <c r="X3" s="141">
        <v>88400</v>
      </c>
      <c r="Y3" s="141">
        <v>88100</v>
      </c>
      <c r="Z3" s="141">
        <v>90200</v>
      </c>
      <c r="AA3" s="141">
        <v>90600</v>
      </c>
      <c r="AB3" s="141">
        <v>90900</v>
      </c>
      <c r="AC3" s="141">
        <v>91400</v>
      </c>
      <c r="AD3" s="141">
        <v>92100</v>
      </c>
      <c r="AE3" s="141">
        <v>91553</v>
      </c>
      <c r="AF3" s="141">
        <v>92504</v>
      </c>
      <c r="AG3" s="141">
        <v>92843</v>
      </c>
      <c r="AH3" s="141">
        <v>92900</v>
      </c>
      <c r="AI3" s="141">
        <v>93200</v>
      </c>
      <c r="AJ3" s="141">
        <v>94200</v>
      </c>
      <c r="AK3" s="141">
        <v>94009</v>
      </c>
      <c r="AL3" s="141">
        <v>94200</v>
      </c>
      <c r="AM3" s="141">
        <v>94353</v>
      </c>
      <c r="AN3" s="141">
        <v>94756</v>
      </c>
      <c r="AO3" s="141">
        <v>94651</v>
      </c>
      <c r="AP3" s="141">
        <v>94651</v>
      </c>
      <c r="AQ3" s="141">
        <v>94651</v>
      </c>
      <c r="AR3" s="141">
        <v>94651</v>
      </c>
      <c r="AS3" s="141">
        <v>94116</v>
      </c>
      <c r="AT3" s="141">
        <v>93314</v>
      </c>
      <c r="AU3" s="141">
        <v>91977</v>
      </c>
      <c r="AV3" s="141">
        <v>91938</v>
      </c>
      <c r="AW3" s="141">
        <v>91938</v>
      </c>
      <c r="AX3" s="141">
        <v>93515</v>
      </c>
      <c r="AY3" s="141">
        <v>95091</v>
      </c>
      <c r="AZ3" s="141">
        <v>95091</v>
      </c>
      <c r="BA3" s="141">
        <v>95091</v>
      </c>
      <c r="BB3" s="141">
        <v>95647</v>
      </c>
      <c r="BC3" s="141">
        <v>95852</v>
      </c>
      <c r="BD3" s="141">
        <v>96137</v>
      </c>
      <c r="BE3" s="141">
        <v>96196</v>
      </c>
      <c r="BF3" s="141">
        <v>96477</v>
      </c>
      <c r="BG3" s="141">
        <v>96584</v>
      </c>
      <c r="BH3" s="141">
        <v>96756</v>
      </c>
      <c r="BI3" s="141">
        <v>96817</v>
      </c>
      <c r="BJ3" s="141">
        <v>96991</v>
      </c>
      <c r="BK3" s="141">
        <v>97199</v>
      </c>
      <c r="BL3" s="141">
        <v>97415</v>
      </c>
      <c r="BM3" s="141">
        <v>97581</v>
      </c>
      <c r="BN3" s="141">
        <v>97788</v>
      </c>
      <c r="BO3" s="141">
        <v>97906</v>
      </c>
      <c r="BP3" s="141">
        <v>97998</v>
      </c>
      <c r="BQ3" s="141">
        <v>98031</v>
      </c>
      <c r="BR3" s="141">
        <v>98115</v>
      </c>
      <c r="BS3" s="141">
        <v>98051</v>
      </c>
      <c r="BT3" s="141">
        <v>98082</v>
      </c>
      <c r="BU3" s="141">
        <v>98112</v>
      </c>
      <c r="BV3" s="141">
        <v>98163</v>
      </c>
      <c r="BW3" s="141">
        <v>98231</v>
      </c>
      <c r="BX3" s="141">
        <v>98300</v>
      </c>
      <c r="BY3" s="141">
        <v>98368</v>
      </c>
      <c r="BZ3" s="141">
        <v>98582</v>
      </c>
      <c r="CA3" s="141">
        <v>98724</v>
      </c>
      <c r="CB3" s="141">
        <v>98782</v>
      </c>
      <c r="CC3" s="141">
        <v>98859</v>
      </c>
      <c r="CD3" s="141">
        <v>98918</v>
      </c>
      <c r="CE3" s="141">
        <v>98982</v>
      </c>
      <c r="CF3" s="141">
        <v>99042</v>
      </c>
      <c r="CG3" s="141">
        <v>99118</v>
      </c>
      <c r="CH3" s="141">
        <v>99143</v>
      </c>
      <c r="CI3" s="141">
        <v>99203</v>
      </c>
      <c r="CJ3" s="141">
        <v>99251</v>
      </c>
      <c r="CK3" s="141">
        <v>99285</v>
      </c>
      <c r="CL3" s="141">
        <v>99349</v>
      </c>
      <c r="CM3" s="141">
        <v>99367</v>
      </c>
      <c r="CN3" s="141">
        <v>99394</v>
      </c>
      <c r="CO3" s="141">
        <v>99422</v>
      </c>
      <c r="CP3" s="141">
        <v>99465</v>
      </c>
      <c r="CQ3" s="141">
        <v>99508</v>
      </c>
      <c r="CR3" s="141">
        <v>99517</v>
      </c>
      <c r="CS3" s="141">
        <v>99538</v>
      </c>
      <c r="CT3" s="141">
        <v>99559</v>
      </c>
      <c r="CU3" s="141">
        <v>99581</v>
      </c>
      <c r="CV3" s="141">
        <v>99590</v>
      </c>
      <c r="CW3" s="141">
        <v>99602</v>
      </c>
      <c r="CX3" s="141">
        <v>99618</v>
      </c>
      <c r="CY3" s="141">
        <v>99625</v>
      </c>
      <c r="CZ3" s="141">
        <v>99615</v>
      </c>
      <c r="DA3" s="141">
        <v>99617</v>
      </c>
      <c r="DB3" s="141">
        <v>99631</v>
      </c>
      <c r="DC3" s="141">
        <v>99661</v>
      </c>
      <c r="DD3" s="141">
        <v>99653</v>
      </c>
      <c r="DE3" s="141">
        <v>99662</v>
      </c>
      <c r="DF3" s="141">
        <v>99692</v>
      </c>
      <c r="DG3" s="141">
        <v>99687</v>
      </c>
      <c r="DH3" s="141">
        <v>99690</v>
      </c>
      <c r="DI3" s="141">
        <v>99674</v>
      </c>
      <c r="DJ3" s="141">
        <v>99698</v>
      </c>
      <c r="DK3" s="141">
        <v>99709</v>
      </c>
      <c r="DL3" s="141">
        <v>99703</v>
      </c>
      <c r="DM3" s="141">
        <v>99716</v>
      </c>
      <c r="DN3" s="141">
        <v>99727</v>
      </c>
      <c r="DO3" s="141">
        <v>99739</v>
      </c>
    </row>
    <row r="4" spans="1:119">
      <c r="A4" s="140">
        <v>2</v>
      </c>
      <c r="W4" s="141">
        <v>86361</v>
      </c>
      <c r="X4" s="141">
        <v>86728</v>
      </c>
      <c r="Y4" s="141">
        <v>86785</v>
      </c>
      <c r="Z4" s="141">
        <v>88853</v>
      </c>
      <c r="AA4" s="141">
        <v>89247</v>
      </c>
      <c r="AB4" s="141">
        <v>89657</v>
      </c>
      <c r="AC4" s="141">
        <v>90392</v>
      </c>
      <c r="AD4" s="141">
        <v>91014</v>
      </c>
      <c r="AE4" s="141">
        <v>90727</v>
      </c>
      <c r="AF4" s="141">
        <v>91707</v>
      </c>
      <c r="AG4" s="141">
        <v>92079</v>
      </c>
      <c r="AH4" s="141">
        <v>92135</v>
      </c>
      <c r="AI4" s="141">
        <v>92433</v>
      </c>
      <c r="AJ4" s="141">
        <v>93521</v>
      </c>
      <c r="AK4" s="141">
        <v>93353</v>
      </c>
      <c r="AL4" s="141">
        <v>93560</v>
      </c>
      <c r="AM4" s="141">
        <v>93758</v>
      </c>
      <c r="AN4" s="141">
        <v>94146</v>
      </c>
      <c r="AO4" s="141">
        <v>94042</v>
      </c>
      <c r="AP4" s="141">
        <v>94042</v>
      </c>
      <c r="AQ4" s="141">
        <v>94042</v>
      </c>
      <c r="AR4" s="141">
        <v>93981</v>
      </c>
      <c r="AS4" s="141">
        <v>93359</v>
      </c>
      <c r="AT4" s="141">
        <v>92413</v>
      </c>
      <c r="AU4" s="141">
        <v>91097</v>
      </c>
      <c r="AV4" s="141">
        <v>91059</v>
      </c>
      <c r="AW4" s="141">
        <v>91231</v>
      </c>
      <c r="AX4" s="141">
        <v>93178</v>
      </c>
      <c r="AY4" s="141">
        <v>94749</v>
      </c>
      <c r="AZ4" s="141">
        <v>94749</v>
      </c>
      <c r="BA4" s="141">
        <v>94778</v>
      </c>
      <c r="BB4" s="141">
        <v>95351</v>
      </c>
      <c r="BC4" s="141">
        <v>95586</v>
      </c>
      <c r="BD4" s="141">
        <v>95856</v>
      </c>
      <c r="BE4" s="141">
        <v>95951</v>
      </c>
      <c r="BF4" s="141">
        <v>96221</v>
      </c>
      <c r="BG4" s="141">
        <v>96365</v>
      </c>
      <c r="BH4" s="141">
        <v>96523</v>
      </c>
      <c r="BI4" s="141">
        <v>96608</v>
      </c>
      <c r="BJ4" s="141">
        <v>96787</v>
      </c>
      <c r="BK4" s="141">
        <v>97002</v>
      </c>
      <c r="BL4" s="141">
        <v>97243</v>
      </c>
      <c r="BM4" s="141">
        <v>97414</v>
      </c>
      <c r="BN4" s="141">
        <v>97625</v>
      </c>
      <c r="BO4" s="141">
        <v>97748</v>
      </c>
      <c r="BP4" s="141">
        <v>97850</v>
      </c>
      <c r="BQ4" s="141">
        <v>97889</v>
      </c>
      <c r="BR4" s="141">
        <v>97965</v>
      </c>
      <c r="BS4" s="141">
        <v>97917</v>
      </c>
      <c r="BT4" s="141">
        <v>97955</v>
      </c>
      <c r="BU4" s="141">
        <v>97996</v>
      </c>
      <c r="BV4" s="141">
        <v>98053</v>
      </c>
      <c r="BW4" s="141">
        <v>98122</v>
      </c>
      <c r="BX4" s="141">
        <v>98193</v>
      </c>
      <c r="BY4" s="141">
        <v>98273</v>
      </c>
      <c r="BZ4" s="141">
        <v>98491</v>
      </c>
      <c r="CA4" s="141">
        <v>98629</v>
      </c>
      <c r="CB4" s="141">
        <v>98696</v>
      </c>
      <c r="CC4" s="141">
        <v>98768</v>
      </c>
      <c r="CD4" s="141">
        <v>98837</v>
      </c>
      <c r="CE4" s="141">
        <v>98904</v>
      </c>
      <c r="CF4" s="141">
        <v>98967</v>
      </c>
      <c r="CG4" s="141">
        <v>99045</v>
      </c>
      <c r="CH4" s="141">
        <v>99070</v>
      </c>
      <c r="CI4" s="141">
        <v>99136</v>
      </c>
      <c r="CJ4" s="141">
        <v>99186</v>
      </c>
      <c r="CK4" s="141">
        <v>99223</v>
      </c>
      <c r="CL4" s="141">
        <v>99287</v>
      </c>
      <c r="CM4" s="141">
        <v>99307</v>
      </c>
      <c r="CN4" s="141">
        <v>99342</v>
      </c>
      <c r="CO4" s="141">
        <v>99369</v>
      </c>
      <c r="CP4" s="141">
        <v>99414</v>
      </c>
      <c r="CQ4" s="141">
        <v>99454</v>
      </c>
      <c r="CR4" s="141">
        <v>99476</v>
      </c>
      <c r="CS4" s="141">
        <v>99502</v>
      </c>
      <c r="CT4" s="141">
        <v>99515</v>
      </c>
      <c r="CU4" s="141">
        <v>99541</v>
      </c>
      <c r="CV4" s="141">
        <v>99554</v>
      </c>
      <c r="CW4" s="141">
        <v>99567</v>
      </c>
      <c r="CX4" s="141">
        <v>99582</v>
      </c>
      <c r="CY4" s="141">
        <v>99585</v>
      </c>
      <c r="CZ4" s="141">
        <v>99580</v>
      </c>
      <c r="DA4" s="141">
        <v>99585</v>
      </c>
      <c r="DB4" s="141">
        <v>99603</v>
      </c>
      <c r="DC4" s="141">
        <v>99632</v>
      </c>
      <c r="DD4" s="141">
        <v>99624</v>
      </c>
      <c r="DE4" s="141">
        <v>99635</v>
      </c>
      <c r="DF4" s="141">
        <v>99670</v>
      </c>
      <c r="DG4" s="141">
        <v>99654</v>
      </c>
      <c r="DH4" s="141">
        <v>99670</v>
      </c>
      <c r="DI4" s="141">
        <v>99648</v>
      </c>
      <c r="DJ4" s="141">
        <v>99671</v>
      </c>
      <c r="DK4" s="141">
        <v>99684</v>
      </c>
      <c r="DL4" s="141">
        <v>99682</v>
      </c>
      <c r="DM4" s="141">
        <v>99696</v>
      </c>
      <c r="DN4" s="141">
        <v>99708</v>
      </c>
      <c r="DO4" s="141">
        <v>99721</v>
      </c>
    </row>
    <row r="5" spans="1:119">
      <c r="A5" s="140">
        <v>3</v>
      </c>
      <c r="W5" s="141">
        <v>85441</v>
      </c>
      <c r="X5" s="141">
        <v>86230</v>
      </c>
      <c r="Y5" s="141">
        <v>86287</v>
      </c>
      <c r="Z5" s="141">
        <v>88343</v>
      </c>
      <c r="AA5" s="141">
        <v>88705</v>
      </c>
      <c r="AB5" s="141">
        <v>89166</v>
      </c>
      <c r="AC5" s="141">
        <v>89842</v>
      </c>
      <c r="AD5" s="141">
        <v>90560</v>
      </c>
      <c r="AE5" s="141">
        <v>90338</v>
      </c>
      <c r="AF5" s="141">
        <v>91342</v>
      </c>
      <c r="AG5" s="141">
        <v>91712</v>
      </c>
      <c r="AH5" s="141">
        <v>91769</v>
      </c>
      <c r="AI5" s="141">
        <v>92009</v>
      </c>
      <c r="AJ5" s="141">
        <v>93054</v>
      </c>
      <c r="AK5" s="141">
        <v>92952</v>
      </c>
      <c r="AL5" s="141">
        <v>93186</v>
      </c>
      <c r="AM5" s="141">
        <v>93365</v>
      </c>
      <c r="AN5" s="141">
        <v>93751</v>
      </c>
      <c r="AO5" s="141">
        <v>93648</v>
      </c>
      <c r="AP5" s="141">
        <v>93648</v>
      </c>
      <c r="AQ5" s="141">
        <v>93608</v>
      </c>
      <c r="AR5" s="141">
        <v>93488</v>
      </c>
      <c r="AS5" s="141">
        <v>92772</v>
      </c>
      <c r="AT5" s="141">
        <v>91975</v>
      </c>
      <c r="AU5" s="141">
        <v>90665</v>
      </c>
      <c r="AV5" s="141">
        <v>90768</v>
      </c>
      <c r="AW5" s="141">
        <v>91035</v>
      </c>
      <c r="AX5" s="141">
        <v>92978</v>
      </c>
      <c r="AY5" s="141">
        <v>94545</v>
      </c>
      <c r="AZ5" s="141">
        <v>94609</v>
      </c>
      <c r="BA5" s="141">
        <v>94635</v>
      </c>
      <c r="BB5" s="141">
        <v>95207</v>
      </c>
      <c r="BC5" s="141">
        <v>95443</v>
      </c>
      <c r="BD5" s="141">
        <v>95726</v>
      </c>
      <c r="BE5" s="141">
        <v>95822</v>
      </c>
      <c r="BF5" s="141">
        <v>96101</v>
      </c>
      <c r="BG5" s="141">
        <v>96245</v>
      </c>
      <c r="BH5" s="141">
        <v>96416</v>
      </c>
      <c r="BI5" s="141">
        <v>96500</v>
      </c>
      <c r="BJ5" s="141">
        <v>96678</v>
      </c>
      <c r="BK5" s="141">
        <v>96904</v>
      </c>
      <c r="BL5" s="141">
        <v>97157</v>
      </c>
      <c r="BM5" s="141">
        <v>97327</v>
      </c>
      <c r="BN5" s="141">
        <v>97534</v>
      </c>
      <c r="BO5" s="141">
        <v>97668</v>
      </c>
      <c r="BP5" s="141">
        <v>97768</v>
      </c>
      <c r="BQ5" s="141">
        <v>97801</v>
      </c>
      <c r="BR5" s="141">
        <v>97889</v>
      </c>
      <c r="BS5" s="141">
        <v>97845</v>
      </c>
      <c r="BT5" s="141">
        <v>97886</v>
      </c>
      <c r="BU5" s="141">
        <v>97929</v>
      </c>
      <c r="BV5" s="141">
        <v>97984</v>
      </c>
      <c r="BW5" s="141">
        <v>98057</v>
      </c>
      <c r="BX5" s="141">
        <v>98136</v>
      </c>
      <c r="BY5" s="141">
        <v>98216</v>
      </c>
      <c r="BZ5" s="141">
        <v>98437</v>
      </c>
      <c r="CA5" s="141">
        <v>98575</v>
      </c>
      <c r="CB5" s="141">
        <v>98649</v>
      </c>
      <c r="CC5" s="141">
        <v>98715</v>
      </c>
      <c r="CD5" s="141">
        <v>98787</v>
      </c>
      <c r="CE5" s="141">
        <v>98861</v>
      </c>
      <c r="CF5" s="141">
        <v>98921</v>
      </c>
      <c r="CG5" s="141">
        <v>99005</v>
      </c>
      <c r="CH5" s="141">
        <v>99030</v>
      </c>
      <c r="CI5" s="141">
        <v>99098</v>
      </c>
      <c r="CJ5" s="141">
        <v>99145</v>
      </c>
      <c r="CK5" s="141">
        <v>99188</v>
      </c>
      <c r="CL5" s="141">
        <v>99255</v>
      </c>
      <c r="CM5" s="141">
        <v>99275</v>
      </c>
      <c r="CN5" s="141">
        <v>99321</v>
      </c>
      <c r="CO5" s="141">
        <v>99341</v>
      </c>
      <c r="CP5" s="141">
        <v>99387</v>
      </c>
      <c r="CQ5" s="141">
        <v>99428</v>
      </c>
      <c r="CR5" s="141">
        <v>99453</v>
      </c>
      <c r="CS5" s="141">
        <v>99477</v>
      </c>
      <c r="CT5" s="141">
        <v>99492</v>
      </c>
      <c r="CU5" s="141">
        <v>99517</v>
      </c>
      <c r="CV5" s="141">
        <v>99531</v>
      </c>
      <c r="CW5" s="141">
        <v>99547</v>
      </c>
      <c r="CX5" s="141">
        <v>99564</v>
      </c>
      <c r="CY5" s="141">
        <v>99565</v>
      </c>
      <c r="CZ5" s="141">
        <v>99560</v>
      </c>
      <c r="DA5" s="141">
        <v>99565</v>
      </c>
      <c r="DB5" s="141">
        <v>99585</v>
      </c>
      <c r="DC5" s="141">
        <v>99613</v>
      </c>
      <c r="DD5" s="141">
        <v>99609</v>
      </c>
      <c r="DE5" s="141">
        <v>99622</v>
      </c>
      <c r="DF5" s="141">
        <v>99654</v>
      </c>
      <c r="DG5" s="141">
        <v>99639</v>
      </c>
      <c r="DH5" s="141">
        <v>99658</v>
      </c>
      <c r="DI5" s="141">
        <v>99638</v>
      </c>
      <c r="DJ5" s="141">
        <v>99659</v>
      </c>
      <c r="DK5" s="141">
        <v>99669</v>
      </c>
      <c r="DL5" s="141">
        <v>99668</v>
      </c>
      <c r="DM5" s="141">
        <v>99682</v>
      </c>
      <c r="DN5" s="141">
        <v>99695</v>
      </c>
      <c r="DO5" s="141">
        <v>99708</v>
      </c>
    </row>
    <row r="6" spans="1:119">
      <c r="A6" s="140">
        <v>4</v>
      </c>
      <c r="W6" s="141">
        <v>85132</v>
      </c>
      <c r="X6" s="141">
        <v>85918</v>
      </c>
      <c r="Y6" s="141">
        <v>85974</v>
      </c>
      <c r="Z6" s="141">
        <v>88004</v>
      </c>
      <c r="AA6" s="141">
        <v>88375</v>
      </c>
      <c r="AB6" s="141">
        <v>88798</v>
      </c>
      <c r="AC6" s="141">
        <v>89518</v>
      </c>
      <c r="AD6" s="141">
        <v>90278</v>
      </c>
      <c r="AE6" s="141">
        <v>90078</v>
      </c>
      <c r="AF6" s="141">
        <v>91079</v>
      </c>
      <c r="AG6" s="141">
        <v>91448</v>
      </c>
      <c r="AH6" s="141">
        <v>91464</v>
      </c>
      <c r="AI6" s="141">
        <v>91677</v>
      </c>
      <c r="AJ6" s="141">
        <v>92766</v>
      </c>
      <c r="AK6" s="141">
        <v>92684</v>
      </c>
      <c r="AL6" s="141">
        <v>92904</v>
      </c>
      <c r="AM6" s="141">
        <v>93081</v>
      </c>
      <c r="AN6" s="141">
        <v>93467</v>
      </c>
      <c r="AO6" s="141">
        <v>93364</v>
      </c>
      <c r="AP6" s="141">
        <v>93335</v>
      </c>
      <c r="AQ6" s="141">
        <v>93253</v>
      </c>
      <c r="AR6" s="141">
        <v>93063</v>
      </c>
      <c r="AS6" s="141">
        <v>92447</v>
      </c>
      <c r="AT6" s="141">
        <v>91653</v>
      </c>
      <c r="AU6" s="141">
        <v>90452</v>
      </c>
      <c r="AV6" s="141">
        <v>90619</v>
      </c>
      <c r="AW6" s="141">
        <v>90886</v>
      </c>
      <c r="AX6" s="141">
        <v>92825</v>
      </c>
      <c r="AY6" s="141">
        <v>94439</v>
      </c>
      <c r="AZ6" s="141">
        <v>94508</v>
      </c>
      <c r="BA6" s="141">
        <v>94540</v>
      </c>
      <c r="BB6" s="141">
        <v>95116</v>
      </c>
      <c r="BC6" s="141">
        <v>95350</v>
      </c>
      <c r="BD6" s="141">
        <v>95634</v>
      </c>
      <c r="BE6" s="141">
        <v>95743</v>
      </c>
      <c r="BF6" s="141">
        <v>96011</v>
      </c>
      <c r="BG6" s="141">
        <v>96161</v>
      </c>
      <c r="BH6" s="141">
        <v>96335</v>
      </c>
      <c r="BI6" s="141">
        <v>96426</v>
      </c>
      <c r="BJ6" s="141">
        <v>96611</v>
      </c>
      <c r="BK6" s="141">
        <v>96839</v>
      </c>
      <c r="BL6" s="141">
        <v>97091</v>
      </c>
      <c r="BM6" s="141">
        <v>97262</v>
      </c>
      <c r="BN6" s="141">
        <v>97470</v>
      </c>
      <c r="BO6" s="141">
        <v>97605</v>
      </c>
      <c r="BP6" s="141">
        <v>97704</v>
      </c>
      <c r="BQ6" s="141">
        <v>97740</v>
      </c>
      <c r="BR6" s="141">
        <v>97829</v>
      </c>
      <c r="BS6" s="141">
        <v>97789</v>
      </c>
      <c r="BT6" s="141">
        <v>97833</v>
      </c>
      <c r="BU6" s="141">
        <v>97876</v>
      </c>
      <c r="BV6" s="141">
        <v>97933</v>
      </c>
      <c r="BW6" s="141">
        <v>98009</v>
      </c>
      <c r="BX6" s="141">
        <v>98084</v>
      </c>
      <c r="BY6" s="141">
        <v>98169</v>
      </c>
      <c r="BZ6" s="141">
        <v>98392</v>
      </c>
      <c r="CA6" s="141">
        <v>98536</v>
      </c>
      <c r="CB6" s="141">
        <v>98609</v>
      </c>
      <c r="CC6" s="141">
        <v>98680</v>
      </c>
      <c r="CD6" s="141">
        <v>98753</v>
      </c>
      <c r="CE6" s="141">
        <v>98829</v>
      </c>
      <c r="CF6" s="141">
        <v>98889</v>
      </c>
      <c r="CG6" s="141">
        <v>98979</v>
      </c>
      <c r="CH6" s="141">
        <v>99002</v>
      </c>
      <c r="CI6" s="141">
        <v>99067</v>
      </c>
      <c r="CJ6" s="141">
        <v>99120</v>
      </c>
      <c r="CK6" s="141">
        <v>99155</v>
      </c>
      <c r="CL6" s="141">
        <v>99230</v>
      </c>
      <c r="CM6" s="141">
        <v>99251</v>
      </c>
      <c r="CN6" s="141">
        <v>99298</v>
      </c>
      <c r="CO6" s="141">
        <v>99321</v>
      </c>
      <c r="CP6" s="141">
        <v>99368</v>
      </c>
      <c r="CQ6" s="141">
        <v>99410</v>
      </c>
      <c r="CR6" s="141">
        <v>99436</v>
      </c>
      <c r="CS6" s="141">
        <v>99458</v>
      </c>
      <c r="CT6" s="141">
        <v>99479</v>
      </c>
      <c r="CU6" s="141">
        <v>99500</v>
      </c>
      <c r="CV6" s="141">
        <v>99514</v>
      </c>
      <c r="CW6" s="141">
        <v>99529</v>
      </c>
      <c r="CX6" s="141">
        <v>99549</v>
      </c>
      <c r="CY6" s="141">
        <v>99551</v>
      </c>
      <c r="CZ6" s="141">
        <v>99548</v>
      </c>
      <c r="DA6" s="141">
        <v>99552</v>
      </c>
      <c r="DB6" s="141">
        <v>99570</v>
      </c>
      <c r="DC6" s="141">
        <v>99598</v>
      </c>
      <c r="DD6" s="141">
        <v>99600</v>
      </c>
      <c r="DE6" s="141">
        <v>99610</v>
      </c>
      <c r="DF6" s="141">
        <v>99643</v>
      </c>
      <c r="DG6" s="141">
        <v>99626</v>
      </c>
      <c r="DH6" s="141">
        <v>99648</v>
      </c>
      <c r="DI6" s="141">
        <v>99626</v>
      </c>
      <c r="DJ6" s="141">
        <v>99648</v>
      </c>
      <c r="DK6" s="141">
        <v>99659</v>
      </c>
      <c r="DL6" s="141">
        <v>99658</v>
      </c>
      <c r="DM6" s="141">
        <v>99672</v>
      </c>
      <c r="DN6" s="141">
        <v>99686</v>
      </c>
      <c r="DO6" s="141">
        <v>99699</v>
      </c>
    </row>
    <row r="7" spans="1:119">
      <c r="A7" s="140">
        <v>5</v>
      </c>
      <c r="W7" s="141">
        <v>84889</v>
      </c>
      <c r="X7" s="141">
        <v>85672</v>
      </c>
      <c r="Y7" s="141">
        <v>85714</v>
      </c>
      <c r="Z7" s="141">
        <v>87735</v>
      </c>
      <c r="AA7" s="141">
        <v>88075</v>
      </c>
      <c r="AB7" s="141">
        <v>88524</v>
      </c>
      <c r="AC7" s="141">
        <v>89279</v>
      </c>
      <c r="AD7" s="141">
        <v>90055</v>
      </c>
      <c r="AE7" s="141">
        <v>89855</v>
      </c>
      <c r="AF7" s="141">
        <v>90854</v>
      </c>
      <c r="AG7" s="141">
        <v>91188</v>
      </c>
      <c r="AH7" s="141">
        <v>91181</v>
      </c>
      <c r="AI7" s="141">
        <v>91433</v>
      </c>
      <c r="AJ7" s="141">
        <v>92536</v>
      </c>
      <c r="AK7" s="141">
        <v>92443</v>
      </c>
      <c r="AL7" s="141">
        <v>92662</v>
      </c>
      <c r="AM7" s="141">
        <v>92839</v>
      </c>
      <c r="AN7" s="141">
        <v>93224</v>
      </c>
      <c r="AO7" s="141">
        <v>93096</v>
      </c>
      <c r="AP7" s="141">
        <v>93032</v>
      </c>
      <c r="AQ7" s="141">
        <v>92889</v>
      </c>
      <c r="AR7" s="141">
        <v>92833</v>
      </c>
      <c r="AS7" s="141">
        <v>92219</v>
      </c>
      <c r="AT7" s="141">
        <v>91500</v>
      </c>
      <c r="AU7" s="141">
        <v>90337</v>
      </c>
      <c r="AV7" s="141">
        <v>90504</v>
      </c>
      <c r="AW7" s="141">
        <v>90770</v>
      </c>
      <c r="AX7" s="141">
        <v>92744</v>
      </c>
      <c r="AY7" s="141">
        <v>94360</v>
      </c>
      <c r="AZ7" s="141">
        <v>94426</v>
      </c>
      <c r="BA7" s="141">
        <v>94473</v>
      </c>
      <c r="BB7" s="141">
        <v>95045</v>
      </c>
      <c r="BC7" s="141">
        <v>95275</v>
      </c>
      <c r="BD7" s="141">
        <v>95570</v>
      </c>
      <c r="BE7" s="141">
        <v>95677</v>
      </c>
      <c r="BF7" s="141">
        <v>95947</v>
      </c>
      <c r="BG7" s="141">
        <v>96101</v>
      </c>
      <c r="BH7" s="141">
        <v>96281</v>
      </c>
      <c r="BI7" s="141">
        <v>96366</v>
      </c>
      <c r="BJ7" s="141">
        <v>96556</v>
      </c>
      <c r="BK7" s="141">
        <v>96782</v>
      </c>
      <c r="BL7" s="141">
        <v>97036</v>
      </c>
      <c r="BM7" s="141">
        <v>97203</v>
      </c>
      <c r="BN7" s="141">
        <v>97414</v>
      </c>
      <c r="BO7" s="141">
        <v>97549</v>
      </c>
      <c r="BP7" s="141">
        <v>97656</v>
      </c>
      <c r="BQ7" s="141">
        <v>97692</v>
      </c>
      <c r="BR7" s="141">
        <v>97777</v>
      </c>
      <c r="BS7" s="141">
        <v>97749</v>
      </c>
      <c r="BT7" s="141">
        <v>97786</v>
      </c>
      <c r="BU7" s="141">
        <v>97830</v>
      </c>
      <c r="BV7" s="141">
        <v>97891</v>
      </c>
      <c r="BW7" s="141">
        <v>97967</v>
      </c>
      <c r="BX7" s="141">
        <v>98048</v>
      </c>
      <c r="BY7" s="141">
        <v>98130</v>
      </c>
      <c r="BZ7" s="141">
        <v>98356</v>
      </c>
      <c r="CA7" s="141">
        <v>98505</v>
      </c>
      <c r="CB7" s="141">
        <v>98577</v>
      </c>
      <c r="CC7" s="141">
        <v>98653</v>
      </c>
      <c r="CD7" s="141">
        <v>98726</v>
      </c>
      <c r="CE7" s="141">
        <v>98805</v>
      </c>
      <c r="CF7" s="141">
        <v>98867</v>
      </c>
      <c r="CG7" s="141">
        <v>98957</v>
      </c>
      <c r="CH7" s="141">
        <v>98981</v>
      </c>
      <c r="CI7" s="141">
        <v>99048</v>
      </c>
      <c r="CJ7" s="141">
        <v>99097</v>
      </c>
      <c r="CK7" s="141">
        <v>99134</v>
      </c>
      <c r="CL7" s="141">
        <v>99207</v>
      </c>
      <c r="CM7" s="141">
        <v>99234</v>
      </c>
      <c r="CN7" s="141">
        <v>99279</v>
      </c>
      <c r="CO7" s="141">
        <v>99302</v>
      </c>
      <c r="CP7" s="141">
        <v>99355</v>
      </c>
      <c r="CQ7" s="141">
        <v>99392</v>
      </c>
      <c r="CR7" s="141">
        <v>99423</v>
      </c>
      <c r="CS7" s="141">
        <v>99444</v>
      </c>
      <c r="CT7" s="141">
        <v>99465</v>
      </c>
      <c r="CU7" s="141">
        <v>99486</v>
      </c>
      <c r="CV7" s="141">
        <v>99500</v>
      </c>
      <c r="CW7" s="141">
        <v>99518</v>
      </c>
      <c r="CX7" s="141">
        <v>99535</v>
      </c>
      <c r="CY7" s="141">
        <v>99542</v>
      </c>
      <c r="CZ7" s="141">
        <v>99537</v>
      </c>
      <c r="DA7" s="141">
        <v>99540</v>
      </c>
      <c r="DB7" s="141">
        <v>99558</v>
      </c>
      <c r="DC7" s="141">
        <v>99586</v>
      </c>
      <c r="DD7" s="141">
        <v>99587</v>
      </c>
      <c r="DE7" s="141">
        <v>99599</v>
      </c>
      <c r="DF7" s="141">
        <v>99635</v>
      </c>
      <c r="DG7" s="141">
        <v>99617</v>
      </c>
      <c r="DH7" s="141">
        <v>99639</v>
      </c>
      <c r="DI7" s="141">
        <v>99618</v>
      </c>
      <c r="DJ7" s="141">
        <v>99640</v>
      </c>
      <c r="DK7" s="141">
        <v>99651</v>
      </c>
      <c r="DL7" s="141">
        <v>99650</v>
      </c>
      <c r="DM7" s="141">
        <v>99665</v>
      </c>
      <c r="DN7" s="141">
        <v>99679</v>
      </c>
      <c r="DO7" s="141">
        <v>99693</v>
      </c>
    </row>
    <row r="8" spans="1:119">
      <c r="A8" s="140">
        <v>6</v>
      </c>
      <c r="W8" s="141">
        <v>84703</v>
      </c>
      <c r="X8" s="141">
        <v>85473</v>
      </c>
      <c r="Y8" s="141">
        <v>85499</v>
      </c>
      <c r="Z8" s="141">
        <v>87492</v>
      </c>
      <c r="AA8" s="141">
        <v>87838</v>
      </c>
      <c r="AB8" s="141">
        <v>88318</v>
      </c>
      <c r="AC8" s="141">
        <v>89087</v>
      </c>
      <c r="AD8" s="141">
        <v>89862</v>
      </c>
      <c r="AE8" s="141">
        <v>89662</v>
      </c>
      <c r="AF8" s="141">
        <v>90629</v>
      </c>
      <c r="AG8" s="141">
        <v>90942</v>
      </c>
      <c r="AH8" s="141">
        <v>90970</v>
      </c>
      <c r="AI8" s="141">
        <v>91235</v>
      </c>
      <c r="AJ8" s="141">
        <v>92326</v>
      </c>
      <c r="AK8" s="141">
        <v>92233</v>
      </c>
      <c r="AL8" s="141">
        <v>92452</v>
      </c>
      <c r="AM8" s="141">
        <v>92629</v>
      </c>
      <c r="AN8" s="141">
        <v>92992</v>
      </c>
      <c r="AO8" s="141">
        <v>92833</v>
      </c>
      <c r="AP8" s="141">
        <v>92716</v>
      </c>
      <c r="AQ8" s="141">
        <v>92722</v>
      </c>
      <c r="AR8" s="141">
        <v>92666</v>
      </c>
      <c r="AS8" s="141">
        <v>92107</v>
      </c>
      <c r="AT8" s="141">
        <v>91410</v>
      </c>
      <c r="AU8" s="141">
        <v>90247</v>
      </c>
      <c r="AV8" s="141">
        <v>90415</v>
      </c>
      <c r="AW8" s="141">
        <v>90704</v>
      </c>
      <c r="AX8" s="141">
        <v>92684</v>
      </c>
      <c r="AY8" s="141">
        <v>94293</v>
      </c>
      <c r="AZ8" s="141">
        <v>94368</v>
      </c>
      <c r="BA8" s="141">
        <v>94413</v>
      </c>
      <c r="BB8" s="141">
        <v>94980</v>
      </c>
      <c r="BC8" s="141">
        <v>95221</v>
      </c>
      <c r="BD8" s="141">
        <v>95520</v>
      </c>
      <c r="BE8" s="141">
        <v>95623</v>
      </c>
      <c r="BF8" s="141">
        <v>95897</v>
      </c>
      <c r="BG8" s="141">
        <v>96049</v>
      </c>
      <c r="BH8" s="141">
        <v>96234</v>
      </c>
      <c r="BI8" s="141">
        <v>96319</v>
      </c>
      <c r="BJ8" s="141">
        <v>96508</v>
      </c>
      <c r="BK8" s="141">
        <v>96732</v>
      </c>
      <c r="BL8" s="141">
        <v>96988</v>
      </c>
      <c r="BM8" s="141">
        <v>97160</v>
      </c>
      <c r="BN8" s="141">
        <v>97364</v>
      </c>
      <c r="BO8" s="141">
        <v>97500</v>
      </c>
      <c r="BP8" s="141">
        <v>97612</v>
      </c>
      <c r="BQ8" s="141">
        <v>97651</v>
      </c>
      <c r="BR8" s="141">
        <v>97735</v>
      </c>
      <c r="BS8" s="141">
        <v>97705</v>
      </c>
      <c r="BT8" s="141">
        <v>97748</v>
      </c>
      <c r="BU8" s="141">
        <v>97794</v>
      </c>
      <c r="BV8" s="141">
        <v>97860</v>
      </c>
      <c r="BW8" s="141">
        <v>97929</v>
      </c>
      <c r="BX8" s="141">
        <v>98020</v>
      </c>
      <c r="BY8" s="141">
        <v>98102</v>
      </c>
      <c r="BZ8" s="141">
        <v>98321</v>
      </c>
      <c r="CA8" s="141">
        <v>98481</v>
      </c>
      <c r="CB8" s="141">
        <v>98553</v>
      </c>
      <c r="CC8" s="141">
        <v>98624</v>
      </c>
      <c r="CD8" s="141">
        <v>98706</v>
      </c>
      <c r="CE8" s="141">
        <v>98786</v>
      </c>
      <c r="CF8" s="141">
        <v>98846</v>
      </c>
      <c r="CG8" s="141">
        <v>98936</v>
      </c>
      <c r="CH8" s="141">
        <v>98959</v>
      </c>
      <c r="CI8" s="141">
        <v>99027</v>
      </c>
      <c r="CJ8" s="141">
        <v>99076</v>
      </c>
      <c r="CK8" s="141">
        <v>99117</v>
      </c>
      <c r="CL8" s="141">
        <v>99193</v>
      </c>
      <c r="CM8" s="141">
        <v>99216</v>
      </c>
      <c r="CN8" s="141">
        <v>99266</v>
      </c>
      <c r="CO8" s="141">
        <v>99292</v>
      </c>
      <c r="CP8" s="141">
        <v>99345</v>
      </c>
      <c r="CQ8" s="141">
        <v>99383</v>
      </c>
      <c r="CR8" s="141">
        <v>99411</v>
      </c>
      <c r="CS8" s="141">
        <v>99434</v>
      </c>
      <c r="CT8" s="141">
        <v>99454</v>
      </c>
      <c r="CU8" s="141">
        <v>99472</v>
      </c>
      <c r="CV8" s="141">
        <v>99486</v>
      </c>
      <c r="CW8" s="141">
        <v>99508</v>
      </c>
      <c r="CX8" s="141">
        <v>99525</v>
      </c>
      <c r="CY8" s="141">
        <v>99535</v>
      </c>
      <c r="CZ8" s="141">
        <v>99527</v>
      </c>
      <c r="DA8" s="141">
        <v>99532</v>
      </c>
      <c r="DB8" s="141">
        <v>99549</v>
      </c>
      <c r="DC8" s="141">
        <v>99575</v>
      </c>
      <c r="DD8" s="141">
        <v>99575</v>
      </c>
      <c r="DE8" s="141">
        <v>99590</v>
      </c>
      <c r="DF8" s="141">
        <v>99628</v>
      </c>
      <c r="DG8" s="141">
        <v>99610</v>
      </c>
      <c r="DH8" s="141">
        <v>99632</v>
      </c>
      <c r="DI8" s="141">
        <v>99611</v>
      </c>
      <c r="DJ8" s="141">
        <v>99634</v>
      </c>
      <c r="DK8" s="141">
        <v>99645</v>
      </c>
      <c r="DL8" s="141">
        <v>99645</v>
      </c>
      <c r="DM8" s="141">
        <v>99659</v>
      </c>
      <c r="DN8" s="141">
        <v>99674</v>
      </c>
      <c r="DO8" s="141">
        <v>99687</v>
      </c>
    </row>
    <row r="9" spans="1:119">
      <c r="A9" s="140">
        <v>7</v>
      </c>
      <c r="W9" s="141">
        <v>84541</v>
      </c>
      <c r="X9" s="141">
        <v>85288</v>
      </c>
      <c r="Y9" s="141">
        <v>85294</v>
      </c>
      <c r="Z9" s="141">
        <v>87278</v>
      </c>
      <c r="AA9" s="141">
        <v>87653</v>
      </c>
      <c r="AB9" s="141">
        <v>88146</v>
      </c>
      <c r="AC9" s="141">
        <v>88914</v>
      </c>
      <c r="AD9" s="141">
        <v>89687</v>
      </c>
      <c r="AE9" s="141">
        <v>89460</v>
      </c>
      <c r="AF9" s="141">
        <v>90408</v>
      </c>
      <c r="AG9" s="141">
        <v>90751</v>
      </c>
      <c r="AH9" s="141">
        <v>90792</v>
      </c>
      <c r="AI9" s="141">
        <v>91048</v>
      </c>
      <c r="AJ9" s="141">
        <v>92137</v>
      </c>
      <c r="AK9" s="141">
        <v>92044</v>
      </c>
      <c r="AL9" s="141">
        <v>92262</v>
      </c>
      <c r="AM9" s="141">
        <v>92420</v>
      </c>
      <c r="AN9" s="141">
        <v>92753</v>
      </c>
      <c r="AO9" s="141">
        <v>92547</v>
      </c>
      <c r="AP9" s="141">
        <v>92587</v>
      </c>
      <c r="AQ9" s="141">
        <v>92593</v>
      </c>
      <c r="AR9" s="141">
        <v>92579</v>
      </c>
      <c r="AS9" s="141">
        <v>92031</v>
      </c>
      <c r="AT9" s="141">
        <v>91335</v>
      </c>
      <c r="AU9" s="141">
        <v>90173</v>
      </c>
      <c r="AV9" s="141">
        <v>90361</v>
      </c>
      <c r="AW9" s="141">
        <v>90652</v>
      </c>
      <c r="AX9" s="141">
        <v>92632</v>
      </c>
      <c r="AY9" s="141">
        <v>94246</v>
      </c>
      <c r="AZ9" s="141">
        <v>94320</v>
      </c>
      <c r="BA9" s="141">
        <v>94368</v>
      </c>
      <c r="BB9" s="141">
        <v>94938</v>
      </c>
      <c r="BC9" s="141">
        <v>95177</v>
      </c>
      <c r="BD9" s="141">
        <v>95476</v>
      </c>
      <c r="BE9" s="141">
        <v>95580</v>
      </c>
      <c r="BF9" s="141">
        <v>95858</v>
      </c>
      <c r="BG9" s="141">
        <v>96003</v>
      </c>
      <c r="BH9" s="141">
        <v>96191</v>
      </c>
      <c r="BI9" s="141">
        <v>96278</v>
      </c>
      <c r="BJ9" s="141">
        <v>96467</v>
      </c>
      <c r="BK9" s="141">
        <v>96689</v>
      </c>
      <c r="BL9" s="141">
        <v>96943</v>
      </c>
      <c r="BM9" s="141">
        <v>97115</v>
      </c>
      <c r="BN9" s="141">
        <v>97322</v>
      </c>
      <c r="BO9" s="141">
        <v>97456</v>
      </c>
      <c r="BP9" s="141">
        <v>97567</v>
      </c>
      <c r="BQ9" s="141">
        <v>97611</v>
      </c>
      <c r="BR9" s="141">
        <v>97701</v>
      </c>
      <c r="BS9" s="141">
        <v>97668</v>
      </c>
      <c r="BT9" s="141">
        <v>97715</v>
      </c>
      <c r="BU9" s="141">
        <v>97759</v>
      </c>
      <c r="BV9" s="141">
        <v>97832</v>
      </c>
      <c r="BW9" s="141">
        <v>97897</v>
      </c>
      <c r="BX9" s="141">
        <v>97997</v>
      </c>
      <c r="BY9" s="141">
        <v>98076</v>
      </c>
      <c r="BZ9" s="141">
        <v>98294</v>
      </c>
      <c r="CA9" s="141">
        <v>98459</v>
      </c>
      <c r="CB9" s="141">
        <v>98529</v>
      </c>
      <c r="CC9" s="141">
        <v>98602</v>
      </c>
      <c r="CD9" s="141">
        <v>98687</v>
      </c>
      <c r="CE9" s="141">
        <v>98769</v>
      </c>
      <c r="CF9" s="141">
        <v>98825</v>
      </c>
      <c r="CG9" s="141">
        <v>98918</v>
      </c>
      <c r="CH9" s="141">
        <v>98941</v>
      </c>
      <c r="CI9" s="141">
        <v>99009</v>
      </c>
      <c r="CJ9" s="141">
        <v>99057</v>
      </c>
      <c r="CK9" s="141">
        <v>99107</v>
      </c>
      <c r="CL9" s="141">
        <v>99177</v>
      </c>
      <c r="CM9" s="141">
        <v>99201</v>
      </c>
      <c r="CN9" s="141">
        <v>99252</v>
      </c>
      <c r="CO9" s="141">
        <v>99281</v>
      </c>
      <c r="CP9" s="141">
        <v>99334</v>
      </c>
      <c r="CQ9" s="141">
        <v>99373</v>
      </c>
      <c r="CR9" s="141">
        <v>99397</v>
      </c>
      <c r="CS9" s="141">
        <v>99424</v>
      </c>
      <c r="CT9" s="141">
        <v>99443</v>
      </c>
      <c r="CU9" s="141">
        <v>99465</v>
      </c>
      <c r="CV9" s="141">
        <v>99475</v>
      </c>
      <c r="CW9" s="141">
        <v>99497</v>
      </c>
      <c r="CX9" s="141">
        <v>99518</v>
      </c>
      <c r="CY9" s="141">
        <v>99529</v>
      </c>
      <c r="CZ9" s="141">
        <v>99516</v>
      </c>
      <c r="DA9" s="141">
        <v>99524</v>
      </c>
      <c r="DB9" s="141">
        <v>99539</v>
      </c>
      <c r="DC9" s="141">
        <v>99569</v>
      </c>
      <c r="DD9" s="141">
        <v>99568</v>
      </c>
      <c r="DE9" s="141">
        <v>99583</v>
      </c>
      <c r="DF9" s="141">
        <v>99623</v>
      </c>
      <c r="DG9" s="141">
        <v>99604</v>
      </c>
      <c r="DH9" s="141">
        <v>99626</v>
      </c>
      <c r="DI9" s="141">
        <v>99605</v>
      </c>
      <c r="DJ9" s="141">
        <v>99629</v>
      </c>
      <c r="DK9" s="141">
        <v>99640</v>
      </c>
      <c r="DL9" s="141">
        <v>99640</v>
      </c>
      <c r="DM9" s="141">
        <v>99655</v>
      </c>
      <c r="DN9" s="141">
        <v>99669</v>
      </c>
      <c r="DO9" s="141">
        <v>99683</v>
      </c>
    </row>
    <row r="10" spans="1:119">
      <c r="A10" s="140">
        <v>8</v>
      </c>
      <c r="W10" s="141">
        <v>84389</v>
      </c>
      <c r="X10" s="141">
        <v>85126</v>
      </c>
      <c r="Y10" s="141">
        <v>85132</v>
      </c>
      <c r="Z10" s="141">
        <v>87138</v>
      </c>
      <c r="AA10" s="141">
        <v>87503</v>
      </c>
      <c r="AB10" s="141">
        <v>87995</v>
      </c>
      <c r="AC10" s="141">
        <v>88762</v>
      </c>
      <c r="AD10" s="141">
        <v>89498</v>
      </c>
      <c r="AE10" s="141">
        <v>89282</v>
      </c>
      <c r="AF10" s="141">
        <v>90245</v>
      </c>
      <c r="AG10" s="141">
        <v>90597</v>
      </c>
      <c r="AH10" s="141">
        <v>90628</v>
      </c>
      <c r="AI10" s="141">
        <v>90884</v>
      </c>
      <c r="AJ10" s="141">
        <v>91971</v>
      </c>
      <c r="AK10" s="141">
        <v>91878</v>
      </c>
      <c r="AL10" s="141">
        <v>92080</v>
      </c>
      <c r="AM10" s="141">
        <v>92212</v>
      </c>
      <c r="AN10" s="141">
        <v>92503</v>
      </c>
      <c r="AO10" s="141">
        <v>92442</v>
      </c>
      <c r="AP10" s="141">
        <v>92481</v>
      </c>
      <c r="AQ10" s="141">
        <v>92510</v>
      </c>
      <c r="AR10" s="141">
        <v>92521</v>
      </c>
      <c r="AS10" s="141">
        <v>91973</v>
      </c>
      <c r="AT10" s="141">
        <v>91277</v>
      </c>
      <c r="AU10" s="141">
        <v>90127</v>
      </c>
      <c r="AV10" s="141">
        <v>90321</v>
      </c>
      <c r="AW10" s="141">
        <v>90610</v>
      </c>
      <c r="AX10" s="141">
        <v>92590</v>
      </c>
      <c r="AY10" s="141">
        <v>94205</v>
      </c>
      <c r="AZ10" s="141">
        <v>94280</v>
      </c>
      <c r="BA10" s="141">
        <v>94327</v>
      </c>
      <c r="BB10" s="141">
        <v>94894</v>
      </c>
      <c r="BC10" s="141">
        <v>95142</v>
      </c>
      <c r="BD10" s="141">
        <v>95432</v>
      </c>
      <c r="BE10" s="141">
        <v>95536</v>
      </c>
      <c r="BF10" s="141">
        <v>95823</v>
      </c>
      <c r="BG10" s="141">
        <v>95971</v>
      </c>
      <c r="BH10" s="141">
        <v>96154</v>
      </c>
      <c r="BI10" s="141">
        <v>96240</v>
      </c>
      <c r="BJ10" s="141">
        <v>96429</v>
      </c>
      <c r="BK10" s="141">
        <v>96654</v>
      </c>
      <c r="BL10" s="141">
        <v>96905</v>
      </c>
      <c r="BM10" s="141">
        <v>97074</v>
      </c>
      <c r="BN10" s="141">
        <v>97287</v>
      </c>
      <c r="BO10" s="141">
        <v>97419</v>
      </c>
      <c r="BP10" s="141">
        <v>97533</v>
      </c>
      <c r="BQ10" s="141">
        <v>97578</v>
      </c>
      <c r="BR10" s="141">
        <v>97664</v>
      </c>
      <c r="BS10" s="141">
        <v>97637</v>
      </c>
      <c r="BT10" s="141">
        <v>97683</v>
      </c>
      <c r="BU10" s="141">
        <v>97731</v>
      </c>
      <c r="BV10" s="141">
        <v>97806</v>
      </c>
      <c r="BW10" s="141">
        <v>97870</v>
      </c>
      <c r="BX10" s="141">
        <v>97973</v>
      </c>
      <c r="BY10" s="141">
        <v>98051</v>
      </c>
      <c r="BZ10" s="141">
        <v>98275</v>
      </c>
      <c r="CA10" s="141">
        <v>98439</v>
      </c>
      <c r="CB10" s="141">
        <v>98512</v>
      </c>
      <c r="CC10" s="141">
        <v>98583</v>
      </c>
      <c r="CD10" s="141">
        <v>98672</v>
      </c>
      <c r="CE10" s="141">
        <v>98750</v>
      </c>
      <c r="CF10" s="141">
        <v>98806</v>
      </c>
      <c r="CG10" s="141">
        <v>98901</v>
      </c>
      <c r="CH10" s="141">
        <v>98927</v>
      </c>
      <c r="CI10" s="141">
        <v>98996</v>
      </c>
      <c r="CJ10" s="141">
        <v>99043</v>
      </c>
      <c r="CK10" s="141">
        <v>99093</v>
      </c>
      <c r="CL10" s="141">
        <v>99164</v>
      </c>
      <c r="CM10" s="141">
        <v>99189</v>
      </c>
      <c r="CN10" s="141">
        <v>99241</v>
      </c>
      <c r="CO10" s="141">
        <v>99271</v>
      </c>
      <c r="CP10" s="141">
        <v>99321</v>
      </c>
      <c r="CQ10" s="141">
        <v>99364</v>
      </c>
      <c r="CR10" s="141">
        <v>99391</v>
      </c>
      <c r="CS10" s="141">
        <v>99414</v>
      </c>
      <c r="CT10" s="141">
        <v>99434</v>
      </c>
      <c r="CU10" s="141">
        <v>99458</v>
      </c>
      <c r="CV10" s="141">
        <v>99466</v>
      </c>
      <c r="CW10" s="141">
        <v>99489</v>
      </c>
      <c r="CX10" s="141">
        <v>99511</v>
      </c>
      <c r="CY10" s="141">
        <v>99521</v>
      </c>
      <c r="CZ10" s="141">
        <v>99507</v>
      </c>
      <c r="DA10" s="141">
        <v>99517</v>
      </c>
      <c r="DB10" s="141">
        <v>99532</v>
      </c>
      <c r="DC10" s="141">
        <v>99559</v>
      </c>
      <c r="DD10" s="141">
        <v>99564</v>
      </c>
      <c r="DE10" s="141">
        <v>99577</v>
      </c>
      <c r="DF10" s="141">
        <v>99618</v>
      </c>
      <c r="DG10" s="141">
        <v>99599</v>
      </c>
      <c r="DH10" s="141">
        <v>99621</v>
      </c>
      <c r="DI10" s="141">
        <v>99601</v>
      </c>
      <c r="DJ10" s="141">
        <v>99624</v>
      </c>
      <c r="DK10" s="141">
        <v>99636</v>
      </c>
      <c r="DL10" s="141">
        <v>99635</v>
      </c>
      <c r="DM10" s="141">
        <v>99651</v>
      </c>
      <c r="DN10" s="141">
        <v>99665</v>
      </c>
      <c r="DO10" s="141">
        <v>99679</v>
      </c>
    </row>
    <row r="11" spans="1:119">
      <c r="A11" s="140">
        <v>9</v>
      </c>
      <c r="W11" s="141">
        <v>84249</v>
      </c>
      <c r="X11" s="141">
        <v>84988</v>
      </c>
      <c r="Y11" s="141">
        <v>85015</v>
      </c>
      <c r="Z11" s="141">
        <v>87010</v>
      </c>
      <c r="AA11" s="141">
        <v>87375</v>
      </c>
      <c r="AB11" s="141">
        <v>87866</v>
      </c>
      <c r="AC11" s="141">
        <v>88602</v>
      </c>
      <c r="AD11" s="141">
        <v>89345</v>
      </c>
      <c r="AE11" s="141">
        <v>89144</v>
      </c>
      <c r="AF11" s="141">
        <v>90113</v>
      </c>
      <c r="AG11" s="141">
        <v>90457</v>
      </c>
      <c r="AH11" s="141">
        <v>90488</v>
      </c>
      <c r="AI11" s="141">
        <v>90744</v>
      </c>
      <c r="AJ11" s="141">
        <v>91829</v>
      </c>
      <c r="AK11" s="141">
        <v>91722</v>
      </c>
      <c r="AL11" s="141">
        <v>91902</v>
      </c>
      <c r="AM11" s="141">
        <v>91998</v>
      </c>
      <c r="AN11" s="141">
        <v>92408</v>
      </c>
      <c r="AO11" s="141">
        <v>92346</v>
      </c>
      <c r="AP11" s="141">
        <v>92406</v>
      </c>
      <c r="AQ11" s="141">
        <v>92456</v>
      </c>
      <c r="AR11" s="141">
        <v>92467</v>
      </c>
      <c r="AS11" s="141">
        <v>91920</v>
      </c>
      <c r="AT11" s="141">
        <v>91240</v>
      </c>
      <c r="AU11" s="141">
        <v>90093</v>
      </c>
      <c r="AV11" s="141">
        <v>90288</v>
      </c>
      <c r="AW11" s="141">
        <v>90576</v>
      </c>
      <c r="AX11" s="141">
        <v>92556</v>
      </c>
      <c r="AY11" s="141">
        <v>94172</v>
      </c>
      <c r="AZ11" s="141">
        <v>94250</v>
      </c>
      <c r="BA11" s="141">
        <v>94295</v>
      </c>
      <c r="BB11" s="141">
        <v>94860</v>
      </c>
      <c r="BC11" s="141">
        <v>95108</v>
      </c>
      <c r="BD11" s="141">
        <v>95398</v>
      </c>
      <c r="BE11" s="141">
        <v>95503</v>
      </c>
      <c r="BF11" s="141">
        <v>95793</v>
      </c>
      <c r="BG11" s="141">
        <v>95942</v>
      </c>
      <c r="BH11" s="141">
        <v>96122</v>
      </c>
      <c r="BI11" s="141">
        <v>96206</v>
      </c>
      <c r="BJ11" s="141">
        <v>96393</v>
      </c>
      <c r="BK11" s="141">
        <v>96620</v>
      </c>
      <c r="BL11" s="141">
        <v>96868</v>
      </c>
      <c r="BM11" s="141">
        <v>97042</v>
      </c>
      <c r="BN11" s="141">
        <v>97256</v>
      </c>
      <c r="BO11" s="141">
        <v>97391</v>
      </c>
      <c r="BP11" s="141">
        <v>97504</v>
      </c>
      <c r="BQ11" s="141">
        <v>97552</v>
      </c>
      <c r="BR11" s="141">
        <v>97640</v>
      </c>
      <c r="BS11" s="141">
        <v>97610</v>
      </c>
      <c r="BT11" s="141">
        <v>97658</v>
      </c>
      <c r="BU11" s="141">
        <v>97706</v>
      </c>
      <c r="BV11" s="141">
        <v>97784</v>
      </c>
      <c r="BW11" s="141">
        <v>97851</v>
      </c>
      <c r="BX11" s="141">
        <v>97953</v>
      </c>
      <c r="BY11" s="141">
        <v>98033</v>
      </c>
      <c r="BZ11" s="141">
        <v>98255</v>
      </c>
      <c r="CA11" s="141">
        <v>98419</v>
      </c>
      <c r="CB11" s="141">
        <v>98495</v>
      </c>
      <c r="CC11" s="141">
        <v>98567</v>
      </c>
      <c r="CD11" s="141">
        <v>98657</v>
      </c>
      <c r="CE11" s="141">
        <v>98727</v>
      </c>
      <c r="CF11" s="141">
        <v>98792</v>
      </c>
      <c r="CG11" s="141">
        <v>98883</v>
      </c>
      <c r="CH11" s="141">
        <v>98914</v>
      </c>
      <c r="CI11" s="141">
        <v>98984</v>
      </c>
      <c r="CJ11" s="141">
        <v>99031</v>
      </c>
      <c r="CK11" s="141">
        <v>99081</v>
      </c>
      <c r="CL11" s="141">
        <v>99156</v>
      </c>
      <c r="CM11" s="141">
        <v>99180</v>
      </c>
      <c r="CN11" s="141">
        <v>99232</v>
      </c>
      <c r="CO11" s="141">
        <v>99261</v>
      </c>
      <c r="CP11" s="141">
        <v>99313</v>
      </c>
      <c r="CQ11" s="141">
        <v>99355</v>
      </c>
      <c r="CR11" s="141">
        <v>99383</v>
      </c>
      <c r="CS11" s="141">
        <v>99401</v>
      </c>
      <c r="CT11" s="141">
        <v>99426</v>
      </c>
      <c r="CU11" s="141">
        <v>99450</v>
      </c>
      <c r="CV11" s="141">
        <v>99460</v>
      </c>
      <c r="CW11" s="141">
        <v>99483</v>
      </c>
      <c r="CX11" s="141">
        <v>99505</v>
      </c>
      <c r="CY11" s="141">
        <v>99514</v>
      </c>
      <c r="CZ11" s="141">
        <v>99498</v>
      </c>
      <c r="DA11" s="141">
        <v>99509</v>
      </c>
      <c r="DB11" s="141">
        <v>99524</v>
      </c>
      <c r="DC11" s="141">
        <v>99555</v>
      </c>
      <c r="DD11" s="141">
        <v>99557</v>
      </c>
      <c r="DE11" s="141">
        <v>99572</v>
      </c>
      <c r="DF11" s="141">
        <v>99612</v>
      </c>
      <c r="DG11" s="141">
        <v>99594</v>
      </c>
      <c r="DH11" s="141">
        <v>99617</v>
      </c>
      <c r="DI11" s="141">
        <v>99596</v>
      </c>
      <c r="DJ11" s="141">
        <v>99620</v>
      </c>
      <c r="DK11" s="141">
        <v>99631</v>
      </c>
      <c r="DL11" s="141">
        <v>99631</v>
      </c>
      <c r="DM11" s="141">
        <v>99647</v>
      </c>
      <c r="DN11" s="141">
        <v>99662</v>
      </c>
      <c r="DO11" s="141">
        <v>99676</v>
      </c>
    </row>
    <row r="12" spans="1:119">
      <c r="A12" s="140">
        <v>10</v>
      </c>
      <c r="W12" s="141">
        <v>84129</v>
      </c>
      <c r="X12" s="141">
        <v>84886</v>
      </c>
      <c r="Y12" s="141">
        <v>84906</v>
      </c>
      <c r="Z12" s="141">
        <v>86899</v>
      </c>
      <c r="AA12" s="141">
        <v>87263</v>
      </c>
      <c r="AB12" s="141">
        <v>87728</v>
      </c>
      <c r="AC12" s="141">
        <v>88469</v>
      </c>
      <c r="AD12" s="141">
        <v>89224</v>
      </c>
      <c r="AE12" s="141">
        <v>89030</v>
      </c>
      <c r="AF12" s="141">
        <v>89992</v>
      </c>
      <c r="AG12" s="141">
        <v>90335</v>
      </c>
      <c r="AH12" s="141">
        <v>90366</v>
      </c>
      <c r="AI12" s="141">
        <v>90622</v>
      </c>
      <c r="AJ12" s="141">
        <v>91693</v>
      </c>
      <c r="AK12" s="141">
        <v>91568</v>
      </c>
      <c r="AL12" s="141">
        <v>91716</v>
      </c>
      <c r="AM12" s="141">
        <v>91909</v>
      </c>
      <c r="AN12" s="141">
        <v>92318</v>
      </c>
      <c r="AO12" s="141">
        <v>92276</v>
      </c>
      <c r="AP12" s="141">
        <v>92358</v>
      </c>
      <c r="AQ12" s="141">
        <v>92408</v>
      </c>
      <c r="AR12" s="141">
        <v>92419</v>
      </c>
      <c r="AS12" s="141">
        <v>91881</v>
      </c>
      <c r="AT12" s="141">
        <v>91200</v>
      </c>
      <c r="AU12" s="141">
        <v>90064</v>
      </c>
      <c r="AV12" s="141">
        <v>90258</v>
      </c>
      <c r="AW12" s="141">
        <v>90543</v>
      </c>
      <c r="AX12" s="141">
        <v>92522</v>
      </c>
      <c r="AY12" s="141">
        <v>94140</v>
      </c>
      <c r="AZ12" s="141">
        <v>94221</v>
      </c>
      <c r="BA12" s="141">
        <v>94261</v>
      </c>
      <c r="BB12" s="141">
        <v>94830</v>
      </c>
      <c r="BC12" s="141">
        <v>95078</v>
      </c>
      <c r="BD12" s="141">
        <v>95369</v>
      </c>
      <c r="BE12" s="141">
        <v>95473</v>
      </c>
      <c r="BF12" s="141">
        <v>95764</v>
      </c>
      <c r="BG12" s="141">
        <v>95912</v>
      </c>
      <c r="BH12" s="141">
        <v>96092</v>
      </c>
      <c r="BI12" s="141">
        <v>96175</v>
      </c>
      <c r="BJ12" s="141">
        <v>96359</v>
      </c>
      <c r="BK12" s="141">
        <v>96591</v>
      </c>
      <c r="BL12" s="141">
        <v>96839</v>
      </c>
      <c r="BM12" s="141">
        <v>97015</v>
      </c>
      <c r="BN12" s="141">
        <v>97231</v>
      </c>
      <c r="BO12" s="141">
        <v>97369</v>
      </c>
      <c r="BP12" s="141">
        <v>97478</v>
      </c>
      <c r="BQ12" s="141">
        <v>97529</v>
      </c>
      <c r="BR12" s="141">
        <v>97612</v>
      </c>
      <c r="BS12" s="141">
        <v>97587</v>
      </c>
      <c r="BT12" s="141">
        <v>97639</v>
      </c>
      <c r="BU12" s="141">
        <v>97687</v>
      </c>
      <c r="BV12" s="141">
        <v>97766</v>
      </c>
      <c r="BW12" s="141">
        <v>97835</v>
      </c>
      <c r="BX12" s="141">
        <v>97936</v>
      </c>
      <c r="BY12" s="141">
        <v>98010</v>
      </c>
      <c r="BZ12" s="141">
        <v>98238</v>
      </c>
      <c r="CA12" s="141">
        <v>98404</v>
      </c>
      <c r="CB12" s="141">
        <v>98479</v>
      </c>
      <c r="CC12" s="141">
        <v>98552</v>
      </c>
      <c r="CD12" s="141">
        <v>98645</v>
      </c>
      <c r="CE12" s="141">
        <v>98710</v>
      </c>
      <c r="CF12" s="141">
        <v>98779</v>
      </c>
      <c r="CG12" s="141">
        <v>98872</v>
      </c>
      <c r="CH12" s="141">
        <v>98905</v>
      </c>
      <c r="CI12" s="141">
        <v>98969</v>
      </c>
      <c r="CJ12" s="141">
        <v>99021</v>
      </c>
      <c r="CK12" s="141">
        <v>99071</v>
      </c>
      <c r="CL12" s="141">
        <v>99147</v>
      </c>
      <c r="CM12" s="141">
        <v>99171</v>
      </c>
      <c r="CN12" s="141">
        <v>99221</v>
      </c>
      <c r="CO12" s="141">
        <v>99254</v>
      </c>
      <c r="CP12" s="141">
        <v>99303</v>
      </c>
      <c r="CQ12" s="141">
        <v>99348</v>
      </c>
      <c r="CR12" s="141">
        <v>99376</v>
      </c>
      <c r="CS12" s="141">
        <v>99395</v>
      </c>
      <c r="CT12" s="141">
        <v>99420</v>
      </c>
      <c r="CU12" s="141">
        <v>99443</v>
      </c>
      <c r="CV12" s="141">
        <v>99453</v>
      </c>
      <c r="CW12" s="141">
        <v>99476</v>
      </c>
      <c r="CX12" s="141">
        <v>99499</v>
      </c>
      <c r="CY12" s="141">
        <v>99506</v>
      </c>
      <c r="CZ12" s="141">
        <v>99493</v>
      </c>
      <c r="DA12" s="141">
        <v>99503</v>
      </c>
      <c r="DB12" s="141">
        <v>99517</v>
      </c>
      <c r="DC12" s="141">
        <v>99550</v>
      </c>
      <c r="DD12" s="141">
        <v>99552</v>
      </c>
      <c r="DE12" s="141">
        <v>99567</v>
      </c>
      <c r="DF12" s="141">
        <v>99607</v>
      </c>
      <c r="DG12" s="141">
        <v>99589</v>
      </c>
      <c r="DH12" s="141">
        <v>99612</v>
      </c>
      <c r="DI12" s="141">
        <v>99592</v>
      </c>
      <c r="DJ12" s="141">
        <v>99615</v>
      </c>
      <c r="DK12" s="141">
        <v>99627</v>
      </c>
      <c r="DL12" s="141">
        <v>99627</v>
      </c>
      <c r="DM12" s="141">
        <v>99643</v>
      </c>
      <c r="DN12" s="141">
        <v>99658</v>
      </c>
      <c r="DO12" s="141">
        <v>99672</v>
      </c>
    </row>
    <row r="13" spans="1:119">
      <c r="A13" s="140">
        <v>11</v>
      </c>
      <c r="W13" s="141">
        <v>84039</v>
      </c>
      <c r="X13" s="141">
        <v>84789</v>
      </c>
      <c r="Y13" s="141">
        <v>84809</v>
      </c>
      <c r="Z13" s="141">
        <v>86800</v>
      </c>
      <c r="AA13" s="141">
        <v>87141</v>
      </c>
      <c r="AB13" s="141">
        <v>87611</v>
      </c>
      <c r="AC13" s="141">
        <v>88363</v>
      </c>
      <c r="AD13" s="141">
        <v>89123</v>
      </c>
      <c r="AE13" s="141">
        <v>88924</v>
      </c>
      <c r="AF13" s="141">
        <v>89884</v>
      </c>
      <c r="AG13" s="141">
        <v>90227</v>
      </c>
      <c r="AH13" s="141">
        <v>90258</v>
      </c>
      <c r="AI13" s="141">
        <v>90502</v>
      </c>
      <c r="AJ13" s="141">
        <v>91555</v>
      </c>
      <c r="AK13" s="141">
        <v>91403</v>
      </c>
      <c r="AL13" s="141">
        <v>91632</v>
      </c>
      <c r="AM13" s="141">
        <v>91825</v>
      </c>
      <c r="AN13" s="141">
        <v>92251</v>
      </c>
      <c r="AO13" s="141">
        <v>92232</v>
      </c>
      <c r="AP13" s="141">
        <v>92315</v>
      </c>
      <c r="AQ13" s="141">
        <v>92365</v>
      </c>
      <c r="AR13" s="141">
        <v>92387</v>
      </c>
      <c r="AS13" s="141">
        <v>91847</v>
      </c>
      <c r="AT13" s="141">
        <v>91171</v>
      </c>
      <c r="AU13" s="141">
        <v>90038</v>
      </c>
      <c r="AV13" s="141">
        <v>90227</v>
      </c>
      <c r="AW13" s="141">
        <v>90511</v>
      </c>
      <c r="AX13" s="141">
        <v>92492</v>
      </c>
      <c r="AY13" s="141">
        <v>94113</v>
      </c>
      <c r="AZ13" s="141">
        <v>94194</v>
      </c>
      <c r="BA13" s="141">
        <v>94232</v>
      </c>
      <c r="BB13" s="141">
        <v>94805</v>
      </c>
      <c r="BC13" s="141">
        <v>95058</v>
      </c>
      <c r="BD13" s="141">
        <v>95340</v>
      </c>
      <c r="BE13" s="141">
        <v>95447</v>
      </c>
      <c r="BF13" s="141">
        <v>95738</v>
      </c>
      <c r="BG13" s="141">
        <v>95884</v>
      </c>
      <c r="BH13" s="141">
        <v>96063</v>
      </c>
      <c r="BI13" s="141">
        <v>96144</v>
      </c>
      <c r="BJ13" s="141">
        <v>96332</v>
      </c>
      <c r="BK13" s="141">
        <v>96561</v>
      </c>
      <c r="BL13" s="141">
        <v>96814</v>
      </c>
      <c r="BM13" s="141">
        <v>96992</v>
      </c>
      <c r="BN13" s="141">
        <v>97211</v>
      </c>
      <c r="BO13" s="141">
        <v>97344</v>
      </c>
      <c r="BP13" s="141">
        <v>97457</v>
      </c>
      <c r="BQ13" s="141">
        <v>97510</v>
      </c>
      <c r="BR13" s="141">
        <v>97595</v>
      </c>
      <c r="BS13" s="141">
        <v>97567</v>
      </c>
      <c r="BT13" s="141">
        <v>97617</v>
      </c>
      <c r="BU13" s="141">
        <v>97669</v>
      </c>
      <c r="BV13" s="141">
        <v>97750</v>
      </c>
      <c r="BW13" s="141">
        <v>97820</v>
      </c>
      <c r="BX13" s="141">
        <v>97921</v>
      </c>
      <c r="BY13" s="141">
        <v>97995</v>
      </c>
      <c r="BZ13" s="141">
        <v>98224</v>
      </c>
      <c r="CA13" s="141">
        <v>98392</v>
      </c>
      <c r="CB13" s="141">
        <v>98465</v>
      </c>
      <c r="CC13" s="141">
        <v>98540</v>
      </c>
      <c r="CD13" s="141">
        <v>98632</v>
      </c>
      <c r="CE13" s="141">
        <v>98697</v>
      </c>
      <c r="CF13" s="141">
        <v>98762</v>
      </c>
      <c r="CG13" s="141">
        <v>98857</v>
      </c>
      <c r="CH13" s="141">
        <v>98896</v>
      </c>
      <c r="CI13" s="141">
        <v>98956</v>
      </c>
      <c r="CJ13" s="141">
        <v>99012</v>
      </c>
      <c r="CK13" s="141">
        <v>99062</v>
      </c>
      <c r="CL13" s="141">
        <v>99138</v>
      </c>
      <c r="CM13" s="141">
        <v>99160</v>
      </c>
      <c r="CN13" s="141">
        <v>99213</v>
      </c>
      <c r="CO13" s="141">
        <v>99246</v>
      </c>
      <c r="CP13" s="141">
        <v>99293</v>
      </c>
      <c r="CQ13" s="141">
        <v>99342</v>
      </c>
      <c r="CR13" s="141">
        <v>99366</v>
      </c>
      <c r="CS13" s="141">
        <v>99388</v>
      </c>
      <c r="CT13" s="141">
        <v>99413</v>
      </c>
      <c r="CU13" s="141">
        <v>99435</v>
      </c>
      <c r="CV13" s="141">
        <v>99445</v>
      </c>
      <c r="CW13" s="141">
        <v>99470</v>
      </c>
      <c r="CX13" s="141">
        <v>99490</v>
      </c>
      <c r="CY13" s="141">
        <v>99502</v>
      </c>
      <c r="CZ13" s="141">
        <v>99486</v>
      </c>
      <c r="DA13" s="141">
        <v>99499</v>
      </c>
      <c r="DB13" s="141">
        <v>99510</v>
      </c>
      <c r="DC13" s="141">
        <v>99544</v>
      </c>
      <c r="DD13" s="141">
        <v>99546</v>
      </c>
      <c r="DE13" s="141">
        <v>99561</v>
      </c>
      <c r="DF13" s="141">
        <v>99602</v>
      </c>
      <c r="DG13" s="141">
        <v>99584</v>
      </c>
      <c r="DH13" s="141">
        <v>99607</v>
      </c>
      <c r="DI13" s="141">
        <v>99587</v>
      </c>
      <c r="DJ13" s="141">
        <v>99611</v>
      </c>
      <c r="DK13" s="141">
        <v>99623</v>
      </c>
      <c r="DL13" s="141">
        <v>99623</v>
      </c>
      <c r="DM13" s="141">
        <v>99639</v>
      </c>
      <c r="DN13" s="141">
        <v>99654</v>
      </c>
      <c r="DO13" s="141">
        <v>99668</v>
      </c>
    </row>
    <row r="14" spans="1:119">
      <c r="A14" s="140">
        <v>12</v>
      </c>
      <c r="W14" s="141">
        <v>83952</v>
      </c>
      <c r="X14" s="141">
        <v>84701</v>
      </c>
      <c r="Y14" s="141">
        <v>84721</v>
      </c>
      <c r="Z14" s="141">
        <v>86689</v>
      </c>
      <c r="AA14" s="141">
        <v>87035</v>
      </c>
      <c r="AB14" s="141">
        <v>87515</v>
      </c>
      <c r="AC14" s="141">
        <v>88272</v>
      </c>
      <c r="AD14" s="141">
        <v>89026</v>
      </c>
      <c r="AE14" s="141">
        <v>88826</v>
      </c>
      <c r="AF14" s="141">
        <v>89786</v>
      </c>
      <c r="AG14" s="141">
        <v>90128</v>
      </c>
      <c r="AH14" s="141">
        <v>90149</v>
      </c>
      <c r="AI14" s="141">
        <v>90378</v>
      </c>
      <c r="AJ14" s="141">
        <v>91405</v>
      </c>
      <c r="AK14" s="141">
        <v>91321</v>
      </c>
      <c r="AL14" s="141">
        <v>91550</v>
      </c>
      <c r="AM14" s="141">
        <v>91759</v>
      </c>
      <c r="AN14" s="141">
        <v>92209</v>
      </c>
      <c r="AO14" s="141">
        <v>92190</v>
      </c>
      <c r="AP14" s="141">
        <v>92272</v>
      </c>
      <c r="AQ14" s="141">
        <v>92334</v>
      </c>
      <c r="AR14" s="141">
        <v>92352</v>
      </c>
      <c r="AS14" s="141">
        <v>91816</v>
      </c>
      <c r="AT14" s="141">
        <v>91143</v>
      </c>
      <c r="AU14" s="141">
        <v>90007</v>
      </c>
      <c r="AV14" s="141">
        <v>90200</v>
      </c>
      <c r="AW14" s="141">
        <v>90482</v>
      </c>
      <c r="AX14" s="141">
        <v>92466</v>
      </c>
      <c r="AY14" s="141">
        <v>94086</v>
      </c>
      <c r="AZ14" s="141">
        <v>94163</v>
      </c>
      <c r="BA14" s="141">
        <v>94207</v>
      </c>
      <c r="BB14" s="141">
        <v>94781</v>
      </c>
      <c r="BC14" s="141">
        <v>95031</v>
      </c>
      <c r="BD14" s="141">
        <v>95310</v>
      </c>
      <c r="BE14" s="141">
        <v>95421</v>
      </c>
      <c r="BF14" s="141">
        <v>95706</v>
      </c>
      <c r="BG14" s="141">
        <v>95861</v>
      </c>
      <c r="BH14" s="141">
        <v>96038</v>
      </c>
      <c r="BI14" s="141">
        <v>96117</v>
      </c>
      <c r="BJ14" s="141">
        <v>96306</v>
      </c>
      <c r="BK14" s="141">
        <v>96537</v>
      </c>
      <c r="BL14" s="141">
        <v>96793</v>
      </c>
      <c r="BM14" s="141">
        <v>96972</v>
      </c>
      <c r="BN14" s="141">
        <v>97188</v>
      </c>
      <c r="BO14" s="141">
        <v>97321</v>
      </c>
      <c r="BP14" s="141">
        <v>97435</v>
      </c>
      <c r="BQ14" s="141">
        <v>97490</v>
      </c>
      <c r="BR14" s="141">
        <v>97576</v>
      </c>
      <c r="BS14" s="141">
        <v>97547</v>
      </c>
      <c r="BT14" s="141">
        <v>97597</v>
      </c>
      <c r="BU14" s="141">
        <v>97653</v>
      </c>
      <c r="BV14" s="141">
        <v>97735</v>
      </c>
      <c r="BW14" s="141">
        <v>97805</v>
      </c>
      <c r="BX14" s="141">
        <v>97906</v>
      </c>
      <c r="BY14" s="141">
        <v>97985</v>
      </c>
      <c r="BZ14" s="141">
        <v>98205</v>
      </c>
      <c r="CA14" s="141">
        <v>98382</v>
      </c>
      <c r="CB14" s="141">
        <v>98452</v>
      </c>
      <c r="CC14" s="141">
        <v>98526</v>
      </c>
      <c r="CD14" s="141">
        <v>98616</v>
      </c>
      <c r="CE14" s="141">
        <v>98684</v>
      </c>
      <c r="CF14" s="141">
        <v>98749</v>
      </c>
      <c r="CG14" s="141">
        <v>98846</v>
      </c>
      <c r="CH14" s="141">
        <v>98884</v>
      </c>
      <c r="CI14" s="141">
        <v>98949</v>
      </c>
      <c r="CJ14" s="141">
        <v>99000</v>
      </c>
      <c r="CK14" s="141">
        <v>99051</v>
      </c>
      <c r="CL14" s="141">
        <v>99129</v>
      </c>
      <c r="CM14" s="141">
        <v>99151</v>
      </c>
      <c r="CN14" s="141">
        <v>99203</v>
      </c>
      <c r="CO14" s="141">
        <v>99237</v>
      </c>
      <c r="CP14" s="141">
        <v>99283</v>
      </c>
      <c r="CQ14" s="141">
        <v>99334</v>
      </c>
      <c r="CR14" s="141">
        <v>99354</v>
      </c>
      <c r="CS14" s="141">
        <v>99381</v>
      </c>
      <c r="CT14" s="141">
        <v>99404</v>
      </c>
      <c r="CU14" s="141">
        <v>99429</v>
      </c>
      <c r="CV14" s="141">
        <v>99435</v>
      </c>
      <c r="CW14" s="141">
        <v>99462</v>
      </c>
      <c r="CX14" s="141">
        <v>99485</v>
      </c>
      <c r="CY14" s="141">
        <v>99496</v>
      </c>
      <c r="CZ14" s="141">
        <v>99480</v>
      </c>
      <c r="DA14" s="141">
        <v>99494</v>
      </c>
      <c r="DB14" s="141">
        <v>99504</v>
      </c>
      <c r="DC14" s="141">
        <v>99538</v>
      </c>
      <c r="DD14" s="141">
        <v>99540</v>
      </c>
      <c r="DE14" s="141">
        <v>99556</v>
      </c>
      <c r="DF14" s="141">
        <v>99597</v>
      </c>
      <c r="DG14" s="141">
        <v>99579</v>
      </c>
      <c r="DH14" s="141">
        <v>99602</v>
      </c>
      <c r="DI14" s="141">
        <v>99582</v>
      </c>
      <c r="DJ14" s="141">
        <v>99606</v>
      </c>
      <c r="DK14" s="141">
        <v>99618</v>
      </c>
      <c r="DL14" s="141">
        <v>99619</v>
      </c>
      <c r="DM14" s="141">
        <v>99634</v>
      </c>
      <c r="DN14" s="141">
        <v>99650</v>
      </c>
      <c r="DO14" s="141">
        <v>99664</v>
      </c>
    </row>
    <row r="15" spans="1:119">
      <c r="A15" s="140">
        <v>13</v>
      </c>
      <c r="W15" s="141">
        <v>83869</v>
      </c>
      <c r="X15" s="141">
        <v>84617</v>
      </c>
      <c r="Y15" s="141">
        <v>84611</v>
      </c>
      <c r="Z15" s="141">
        <v>86576</v>
      </c>
      <c r="AA15" s="141">
        <v>86931</v>
      </c>
      <c r="AB15" s="141">
        <v>87419</v>
      </c>
      <c r="AC15" s="141">
        <v>88166</v>
      </c>
      <c r="AD15" s="141">
        <v>88919</v>
      </c>
      <c r="AE15" s="141">
        <v>88720</v>
      </c>
      <c r="AF15" s="141">
        <v>89678</v>
      </c>
      <c r="AG15" s="141">
        <v>90009</v>
      </c>
      <c r="AH15" s="141">
        <v>90014</v>
      </c>
      <c r="AI15" s="141">
        <v>90216</v>
      </c>
      <c r="AJ15" s="141">
        <v>91323</v>
      </c>
      <c r="AK15" s="141">
        <v>91239</v>
      </c>
      <c r="AL15" s="141">
        <v>91486</v>
      </c>
      <c r="AM15" s="141">
        <v>91715</v>
      </c>
      <c r="AN15" s="141">
        <v>92164</v>
      </c>
      <c r="AO15" s="141">
        <v>92146</v>
      </c>
      <c r="AP15" s="141">
        <v>92239</v>
      </c>
      <c r="AQ15" s="141">
        <v>92302</v>
      </c>
      <c r="AR15" s="141">
        <v>92323</v>
      </c>
      <c r="AS15" s="141">
        <v>91786</v>
      </c>
      <c r="AT15" s="141">
        <v>91114</v>
      </c>
      <c r="AU15" s="141">
        <v>89979</v>
      </c>
      <c r="AV15" s="141">
        <v>90173</v>
      </c>
      <c r="AW15" s="141">
        <v>90452</v>
      </c>
      <c r="AX15" s="141">
        <v>92441</v>
      </c>
      <c r="AY15" s="141">
        <v>94055</v>
      </c>
      <c r="AZ15" s="141">
        <v>94140</v>
      </c>
      <c r="BA15" s="141">
        <v>94178</v>
      </c>
      <c r="BB15" s="141">
        <v>94751</v>
      </c>
      <c r="BC15" s="141">
        <v>95003</v>
      </c>
      <c r="BD15" s="141">
        <v>95284</v>
      </c>
      <c r="BE15" s="141">
        <v>95396</v>
      </c>
      <c r="BF15" s="141">
        <v>95681</v>
      </c>
      <c r="BG15" s="141">
        <v>95837</v>
      </c>
      <c r="BH15" s="141">
        <v>96011</v>
      </c>
      <c r="BI15" s="141">
        <v>96093</v>
      </c>
      <c r="BJ15" s="141">
        <v>96279</v>
      </c>
      <c r="BK15" s="141">
        <v>96516</v>
      </c>
      <c r="BL15" s="141">
        <v>96771</v>
      </c>
      <c r="BM15" s="141">
        <v>96948</v>
      </c>
      <c r="BN15" s="141">
        <v>97165</v>
      </c>
      <c r="BO15" s="141">
        <v>97299</v>
      </c>
      <c r="BP15" s="141">
        <v>97414</v>
      </c>
      <c r="BQ15" s="141">
        <v>97473</v>
      </c>
      <c r="BR15" s="141">
        <v>97555</v>
      </c>
      <c r="BS15" s="141">
        <v>97528</v>
      </c>
      <c r="BT15" s="141">
        <v>97580</v>
      </c>
      <c r="BU15" s="141">
        <v>97634</v>
      </c>
      <c r="BV15" s="141">
        <v>97723</v>
      </c>
      <c r="BW15" s="141">
        <v>97791</v>
      </c>
      <c r="BX15" s="141">
        <v>97891</v>
      </c>
      <c r="BY15" s="141">
        <v>97970</v>
      </c>
      <c r="BZ15" s="141">
        <v>98193</v>
      </c>
      <c r="CA15" s="141">
        <v>98370</v>
      </c>
      <c r="CB15" s="141">
        <v>98439</v>
      </c>
      <c r="CC15" s="141">
        <v>98513</v>
      </c>
      <c r="CD15" s="141">
        <v>98601</v>
      </c>
      <c r="CE15" s="141">
        <v>98671</v>
      </c>
      <c r="CF15" s="141">
        <v>98738</v>
      </c>
      <c r="CG15" s="141">
        <v>98834</v>
      </c>
      <c r="CH15" s="141">
        <v>98872</v>
      </c>
      <c r="CI15" s="141">
        <v>98938</v>
      </c>
      <c r="CJ15" s="141">
        <v>98990</v>
      </c>
      <c r="CK15" s="141">
        <v>99042</v>
      </c>
      <c r="CL15" s="141">
        <v>99117</v>
      </c>
      <c r="CM15" s="141">
        <v>99141</v>
      </c>
      <c r="CN15" s="141">
        <v>99194</v>
      </c>
      <c r="CO15" s="141">
        <v>99230</v>
      </c>
      <c r="CP15" s="141">
        <v>99274</v>
      </c>
      <c r="CQ15" s="141">
        <v>99326</v>
      </c>
      <c r="CR15" s="141">
        <v>99346</v>
      </c>
      <c r="CS15" s="141">
        <v>99374</v>
      </c>
      <c r="CT15" s="141">
        <v>99397</v>
      </c>
      <c r="CU15" s="141">
        <v>99423</v>
      </c>
      <c r="CV15" s="141">
        <v>99428</v>
      </c>
      <c r="CW15" s="141">
        <v>99453</v>
      </c>
      <c r="CX15" s="141">
        <v>99477</v>
      </c>
      <c r="CY15" s="141">
        <v>99490</v>
      </c>
      <c r="CZ15" s="141">
        <v>99471</v>
      </c>
      <c r="DA15" s="141">
        <v>99486</v>
      </c>
      <c r="DB15" s="141">
        <v>99496</v>
      </c>
      <c r="DC15" s="141">
        <v>99531</v>
      </c>
      <c r="DD15" s="141">
        <v>99533</v>
      </c>
      <c r="DE15" s="141">
        <v>99549</v>
      </c>
      <c r="DF15" s="141">
        <v>99590</v>
      </c>
      <c r="DG15" s="141">
        <v>99573</v>
      </c>
      <c r="DH15" s="141">
        <v>99596</v>
      </c>
      <c r="DI15" s="141">
        <v>99576</v>
      </c>
      <c r="DJ15" s="141">
        <v>99601</v>
      </c>
      <c r="DK15" s="141">
        <v>99613</v>
      </c>
      <c r="DL15" s="141">
        <v>99614</v>
      </c>
      <c r="DM15" s="141">
        <v>99630</v>
      </c>
      <c r="DN15" s="141">
        <v>99645</v>
      </c>
      <c r="DO15" s="141">
        <v>99660</v>
      </c>
    </row>
    <row r="16" spans="1:119">
      <c r="A16" s="140">
        <v>14</v>
      </c>
      <c r="W16" s="141">
        <v>83782</v>
      </c>
      <c r="X16" s="141">
        <v>84500</v>
      </c>
      <c r="Y16" s="141">
        <v>84494</v>
      </c>
      <c r="Z16" s="141">
        <v>86466</v>
      </c>
      <c r="AA16" s="141">
        <v>86826</v>
      </c>
      <c r="AB16" s="141">
        <v>87307</v>
      </c>
      <c r="AC16" s="141">
        <v>88053</v>
      </c>
      <c r="AD16" s="141">
        <v>88805</v>
      </c>
      <c r="AE16" s="141">
        <v>88606</v>
      </c>
      <c r="AF16" s="141">
        <v>89552</v>
      </c>
      <c r="AG16" s="141">
        <v>89865</v>
      </c>
      <c r="AH16" s="141">
        <v>89842</v>
      </c>
      <c r="AI16" s="141">
        <v>90130</v>
      </c>
      <c r="AJ16" s="141">
        <v>91236</v>
      </c>
      <c r="AK16" s="141">
        <v>91171</v>
      </c>
      <c r="AL16" s="141">
        <v>91438</v>
      </c>
      <c r="AM16" s="141">
        <v>91668</v>
      </c>
      <c r="AN16" s="141">
        <v>92116</v>
      </c>
      <c r="AO16" s="141">
        <v>92107</v>
      </c>
      <c r="AP16" s="141">
        <v>92202</v>
      </c>
      <c r="AQ16" s="141">
        <v>92269</v>
      </c>
      <c r="AR16" s="141">
        <v>92293</v>
      </c>
      <c r="AS16" s="141">
        <v>91757</v>
      </c>
      <c r="AT16" s="141">
        <v>91082</v>
      </c>
      <c r="AU16" s="141">
        <v>89948</v>
      </c>
      <c r="AV16" s="141">
        <v>90144</v>
      </c>
      <c r="AW16" s="141">
        <v>90423</v>
      </c>
      <c r="AX16" s="141">
        <v>92411</v>
      </c>
      <c r="AY16" s="141">
        <v>94028</v>
      </c>
      <c r="AZ16" s="141">
        <v>94114</v>
      </c>
      <c r="BA16" s="141">
        <v>94152</v>
      </c>
      <c r="BB16" s="141">
        <v>94721</v>
      </c>
      <c r="BC16" s="141">
        <v>94977</v>
      </c>
      <c r="BD16" s="141">
        <v>95257</v>
      </c>
      <c r="BE16" s="141">
        <v>95368</v>
      </c>
      <c r="BF16" s="141">
        <v>95653</v>
      </c>
      <c r="BG16" s="141">
        <v>95809</v>
      </c>
      <c r="BH16" s="141">
        <v>95985</v>
      </c>
      <c r="BI16" s="141">
        <v>96066</v>
      </c>
      <c r="BJ16" s="141">
        <v>96258</v>
      </c>
      <c r="BK16" s="141">
        <v>96493</v>
      </c>
      <c r="BL16" s="141">
        <v>96747</v>
      </c>
      <c r="BM16" s="141">
        <v>96925</v>
      </c>
      <c r="BN16" s="141">
        <v>97143</v>
      </c>
      <c r="BO16" s="141">
        <v>97276</v>
      </c>
      <c r="BP16" s="141">
        <v>97393</v>
      </c>
      <c r="BQ16" s="141">
        <v>97453</v>
      </c>
      <c r="BR16" s="141">
        <v>97538</v>
      </c>
      <c r="BS16" s="141">
        <v>97509</v>
      </c>
      <c r="BT16" s="141">
        <v>97563</v>
      </c>
      <c r="BU16" s="141">
        <v>97616</v>
      </c>
      <c r="BV16" s="141">
        <v>97708</v>
      </c>
      <c r="BW16" s="141">
        <v>97776</v>
      </c>
      <c r="BX16" s="141">
        <v>97872</v>
      </c>
      <c r="BY16" s="141">
        <v>97956</v>
      </c>
      <c r="BZ16" s="141">
        <v>98176</v>
      </c>
      <c r="CA16" s="141">
        <v>98355</v>
      </c>
      <c r="CB16" s="141">
        <v>98426</v>
      </c>
      <c r="CC16" s="141">
        <v>98499</v>
      </c>
      <c r="CD16" s="141">
        <v>98585</v>
      </c>
      <c r="CE16" s="141">
        <v>98659</v>
      </c>
      <c r="CF16" s="141">
        <v>98723</v>
      </c>
      <c r="CG16" s="141">
        <v>98823</v>
      </c>
      <c r="CH16" s="141">
        <v>98857</v>
      </c>
      <c r="CI16" s="141">
        <v>98928</v>
      </c>
      <c r="CJ16" s="141">
        <v>98978</v>
      </c>
      <c r="CK16" s="141">
        <v>99031</v>
      </c>
      <c r="CL16" s="141">
        <v>99102</v>
      </c>
      <c r="CM16" s="141">
        <v>99133</v>
      </c>
      <c r="CN16" s="141">
        <v>99186</v>
      </c>
      <c r="CO16" s="141">
        <v>99221</v>
      </c>
      <c r="CP16" s="141">
        <v>99262</v>
      </c>
      <c r="CQ16" s="141">
        <v>99314</v>
      </c>
      <c r="CR16" s="141">
        <v>99336</v>
      </c>
      <c r="CS16" s="141">
        <v>99363</v>
      </c>
      <c r="CT16" s="141">
        <v>99389</v>
      </c>
      <c r="CU16" s="141">
        <v>99417</v>
      </c>
      <c r="CV16" s="141">
        <v>99416</v>
      </c>
      <c r="CW16" s="141">
        <v>99446</v>
      </c>
      <c r="CX16" s="141">
        <v>99469</v>
      </c>
      <c r="CY16" s="141">
        <v>99481</v>
      </c>
      <c r="CZ16" s="141">
        <v>99463</v>
      </c>
      <c r="DA16" s="141">
        <v>99478</v>
      </c>
      <c r="DB16" s="141">
        <v>99488</v>
      </c>
      <c r="DC16" s="141">
        <v>99523</v>
      </c>
      <c r="DD16" s="141">
        <v>99526</v>
      </c>
      <c r="DE16" s="141">
        <v>99542</v>
      </c>
      <c r="DF16" s="141">
        <v>99583</v>
      </c>
      <c r="DG16" s="141">
        <v>99566</v>
      </c>
      <c r="DH16" s="141">
        <v>99590</v>
      </c>
      <c r="DI16" s="141">
        <v>99570</v>
      </c>
      <c r="DJ16" s="141">
        <v>99595</v>
      </c>
      <c r="DK16" s="141">
        <v>99607</v>
      </c>
      <c r="DL16" s="141">
        <v>99608</v>
      </c>
      <c r="DM16" s="141">
        <v>99624</v>
      </c>
      <c r="DN16" s="141">
        <v>99640</v>
      </c>
      <c r="DO16" s="141">
        <v>99655</v>
      </c>
    </row>
    <row r="17" spans="1:119">
      <c r="A17" s="140">
        <v>15</v>
      </c>
      <c r="W17" s="141">
        <v>83660</v>
      </c>
      <c r="X17" s="141">
        <v>84377</v>
      </c>
      <c r="Y17" s="141">
        <v>84380</v>
      </c>
      <c r="Z17" s="141">
        <v>86353</v>
      </c>
      <c r="AA17" s="141">
        <v>86708</v>
      </c>
      <c r="AB17" s="141">
        <v>87189</v>
      </c>
      <c r="AC17" s="141">
        <v>87933</v>
      </c>
      <c r="AD17" s="141">
        <v>88685</v>
      </c>
      <c r="AE17" s="141">
        <v>88474</v>
      </c>
      <c r="AF17" s="141">
        <v>89400</v>
      </c>
      <c r="AG17" s="141">
        <v>89682</v>
      </c>
      <c r="AH17" s="141">
        <v>89742</v>
      </c>
      <c r="AI17" s="141">
        <v>90030</v>
      </c>
      <c r="AJ17" s="141">
        <v>91157</v>
      </c>
      <c r="AK17" s="141">
        <v>91118</v>
      </c>
      <c r="AL17" s="141">
        <v>91384</v>
      </c>
      <c r="AM17" s="141">
        <v>91613</v>
      </c>
      <c r="AN17" s="141">
        <v>92076</v>
      </c>
      <c r="AO17" s="141">
        <v>92071</v>
      </c>
      <c r="AP17" s="141">
        <v>92169</v>
      </c>
      <c r="AQ17" s="141">
        <v>92233</v>
      </c>
      <c r="AR17" s="141">
        <v>92261</v>
      </c>
      <c r="AS17" s="141">
        <v>91718</v>
      </c>
      <c r="AT17" s="141">
        <v>91042</v>
      </c>
      <c r="AU17" s="141">
        <v>89914</v>
      </c>
      <c r="AV17" s="141">
        <v>90119</v>
      </c>
      <c r="AW17" s="141">
        <v>90389</v>
      </c>
      <c r="AX17" s="141">
        <v>92382</v>
      </c>
      <c r="AY17" s="141">
        <v>93998</v>
      </c>
      <c r="AZ17" s="141">
        <v>94084</v>
      </c>
      <c r="BA17" s="141">
        <v>94119</v>
      </c>
      <c r="BB17" s="141">
        <v>94690</v>
      </c>
      <c r="BC17" s="141">
        <v>94946</v>
      </c>
      <c r="BD17" s="141">
        <v>95227</v>
      </c>
      <c r="BE17" s="141">
        <v>95330</v>
      </c>
      <c r="BF17" s="141">
        <v>95621</v>
      </c>
      <c r="BG17" s="141">
        <v>95778</v>
      </c>
      <c r="BH17" s="141">
        <v>95956</v>
      </c>
      <c r="BI17" s="141">
        <v>96037</v>
      </c>
      <c r="BJ17" s="141">
        <v>96226</v>
      </c>
      <c r="BK17" s="141">
        <v>96464</v>
      </c>
      <c r="BL17" s="141">
        <v>96720</v>
      </c>
      <c r="BM17" s="141">
        <v>96899</v>
      </c>
      <c r="BN17" s="141">
        <v>97114</v>
      </c>
      <c r="BO17" s="141">
        <v>97249</v>
      </c>
      <c r="BP17" s="141">
        <v>97370</v>
      </c>
      <c r="BQ17" s="141">
        <v>97431</v>
      </c>
      <c r="BR17" s="141">
        <v>97515</v>
      </c>
      <c r="BS17" s="141">
        <v>97490</v>
      </c>
      <c r="BT17" s="141">
        <v>97542</v>
      </c>
      <c r="BU17" s="141">
        <v>97597</v>
      </c>
      <c r="BV17" s="141">
        <v>97690</v>
      </c>
      <c r="BW17" s="141">
        <v>97760</v>
      </c>
      <c r="BX17" s="141">
        <v>97855</v>
      </c>
      <c r="BY17" s="141">
        <v>97941</v>
      </c>
      <c r="BZ17" s="141">
        <v>98149</v>
      </c>
      <c r="CA17" s="141">
        <v>98343</v>
      </c>
      <c r="CB17" s="141">
        <v>98409</v>
      </c>
      <c r="CC17" s="141">
        <v>98484</v>
      </c>
      <c r="CD17" s="141">
        <v>98568</v>
      </c>
      <c r="CE17" s="141">
        <v>98643</v>
      </c>
      <c r="CF17" s="141">
        <v>98710</v>
      </c>
      <c r="CG17" s="141">
        <v>98810</v>
      </c>
      <c r="CH17" s="141">
        <v>98843</v>
      </c>
      <c r="CI17" s="141">
        <v>98914</v>
      </c>
      <c r="CJ17" s="141">
        <v>98962</v>
      </c>
      <c r="CK17" s="141">
        <v>99018</v>
      </c>
      <c r="CL17" s="141">
        <v>99090</v>
      </c>
      <c r="CM17" s="141">
        <v>99121</v>
      </c>
      <c r="CN17" s="141">
        <v>99175</v>
      </c>
      <c r="CO17" s="141">
        <v>99206</v>
      </c>
      <c r="CP17" s="141">
        <v>99252</v>
      </c>
      <c r="CQ17" s="141">
        <v>99302</v>
      </c>
      <c r="CR17" s="141">
        <v>99323</v>
      </c>
      <c r="CS17" s="141">
        <v>99353</v>
      </c>
      <c r="CT17" s="141">
        <v>99379</v>
      </c>
      <c r="CU17" s="141">
        <v>99408</v>
      </c>
      <c r="CV17" s="141">
        <v>99407</v>
      </c>
      <c r="CW17" s="141">
        <v>99436</v>
      </c>
      <c r="CX17" s="141">
        <v>99458</v>
      </c>
      <c r="CY17" s="141">
        <v>99471</v>
      </c>
      <c r="CZ17" s="141">
        <v>99453</v>
      </c>
      <c r="DA17" s="141">
        <v>99469</v>
      </c>
      <c r="DB17" s="141">
        <v>99479</v>
      </c>
      <c r="DC17" s="141">
        <v>99515</v>
      </c>
      <c r="DD17" s="141">
        <v>99518</v>
      </c>
      <c r="DE17" s="141">
        <v>99534</v>
      </c>
      <c r="DF17" s="141">
        <v>99576</v>
      </c>
      <c r="DG17" s="141">
        <v>99559</v>
      </c>
      <c r="DH17" s="141">
        <v>99582</v>
      </c>
      <c r="DI17" s="141">
        <v>99563</v>
      </c>
      <c r="DJ17" s="141">
        <v>99588</v>
      </c>
      <c r="DK17" s="141">
        <v>99601</v>
      </c>
      <c r="DL17" s="141">
        <v>99602</v>
      </c>
      <c r="DM17" s="141">
        <v>99618</v>
      </c>
      <c r="DN17" s="141">
        <v>99634</v>
      </c>
      <c r="DO17" s="141">
        <v>99649</v>
      </c>
    </row>
    <row r="18" spans="1:119">
      <c r="A18" s="140">
        <v>16</v>
      </c>
      <c r="W18" s="141">
        <v>83531</v>
      </c>
      <c r="X18" s="141">
        <v>84256</v>
      </c>
      <c r="Y18" s="141">
        <v>84262</v>
      </c>
      <c r="Z18" s="141">
        <v>86229</v>
      </c>
      <c r="AA18" s="141">
        <v>86584</v>
      </c>
      <c r="AB18" s="141">
        <v>87063</v>
      </c>
      <c r="AC18" s="141">
        <v>87807</v>
      </c>
      <c r="AD18" s="141">
        <v>88544</v>
      </c>
      <c r="AE18" s="141">
        <v>88315</v>
      </c>
      <c r="AF18" s="141">
        <v>89194</v>
      </c>
      <c r="AG18" s="141">
        <v>89562</v>
      </c>
      <c r="AH18" s="141">
        <v>89622</v>
      </c>
      <c r="AI18" s="141">
        <v>89936</v>
      </c>
      <c r="AJ18" s="141">
        <v>91095</v>
      </c>
      <c r="AK18" s="141">
        <v>91056</v>
      </c>
      <c r="AL18" s="141">
        <v>91322</v>
      </c>
      <c r="AM18" s="141">
        <v>91567</v>
      </c>
      <c r="AN18" s="141">
        <v>92031</v>
      </c>
      <c r="AO18" s="141">
        <v>92025</v>
      </c>
      <c r="AP18" s="141">
        <v>92125</v>
      </c>
      <c r="AQ18" s="141">
        <v>92190</v>
      </c>
      <c r="AR18" s="141">
        <v>92215</v>
      </c>
      <c r="AS18" s="141">
        <v>91679</v>
      </c>
      <c r="AT18" s="141">
        <v>91004</v>
      </c>
      <c r="AU18" s="141">
        <v>89876</v>
      </c>
      <c r="AV18" s="141">
        <v>90083</v>
      </c>
      <c r="AW18" s="141">
        <v>90353</v>
      </c>
      <c r="AX18" s="141">
        <v>92349</v>
      </c>
      <c r="AY18" s="141">
        <v>93964</v>
      </c>
      <c r="AZ18" s="141">
        <v>94047</v>
      </c>
      <c r="BA18" s="141">
        <v>94082</v>
      </c>
      <c r="BB18" s="141">
        <v>94652</v>
      </c>
      <c r="BC18" s="141">
        <v>94906</v>
      </c>
      <c r="BD18" s="141">
        <v>95187</v>
      </c>
      <c r="BE18" s="141">
        <v>95284</v>
      </c>
      <c r="BF18" s="141">
        <v>95579</v>
      </c>
      <c r="BG18" s="141">
        <v>95740</v>
      </c>
      <c r="BH18" s="141">
        <v>95919</v>
      </c>
      <c r="BI18" s="141">
        <v>96000</v>
      </c>
      <c r="BJ18" s="141">
        <v>96185</v>
      </c>
      <c r="BK18" s="141">
        <v>96421</v>
      </c>
      <c r="BL18" s="141">
        <v>96679</v>
      </c>
      <c r="BM18" s="141">
        <v>96861</v>
      </c>
      <c r="BN18" s="141">
        <v>97079</v>
      </c>
      <c r="BO18" s="141">
        <v>97216</v>
      </c>
      <c r="BP18" s="141">
        <v>97337</v>
      </c>
      <c r="BQ18" s="141">
        <v>97403</v>
      </c>
      <c r="BR18" s="141">
        <v>97485</v>
      </c>
      <c r="BS18" s="141">
        <v>97463</v>
      </c>
      <c r="BT18" s="141">
        <v>97517</v>
      </c>
      <c r="BU18" s="141">
        <v>97574</v>
      </c>
      <c r="BV18" s="141">
        <v>97669</v>
      </c>
      <c r="BW18" s="141">
        <v>97740</v>
      </c>
      <c r="BX18" s="141">
        <v>97834</v>
      </c>
      <c r="BY18" s="141">
        <v>97919</v>
      </c>
      <c r="BZ18" s="141">
        <v>98129</v>
      </c>
      <c r="CA18" s="141">
        <v>98320</v>
      </c>
      <c r="CB18" s="141">
        <v>98391</v>
      </c>
      <c r="CC18" s="141">
        <v>98460</v>
      </c>
      <c r="CD18" s="141">
        <v>98542</v>
      </c>
      <c r="CE18" s="141">
        <v>98625</v>
      </c>
      <c r="CF18" s="141">
        <v>98688</v>
      </c>
      <c r="CG18" s="141">
        <v>98791</v>
      </c>
      <c r="CH18" s="141">
        <v>98824</v>
      </c>
      <c r="CI18" s="141">
        <v>98896</v>
      </c>
      <c r="CJ18" s="141">
        <v>98944</v>
      </c>
      <c r="CK18" s="141">
        <v>99002</v>
      </c>
      <c r="CL18" s="141">
        <v>99073</v>
      </c>
      <c r="CM18" s="141">
        <v>99105</v>
      </c>
      <c r="CN18" s="141">
        <v>99160</v>
      </c>
      <c r="CO18" s="141">
        <v>99193</v>
      </c>
      <c r="CP18" s="141">
        <v>99238</v>
      </c>
      <c r="CQ18" s="141">
        <v>99289</v>
      </c>
      <c r="CR18" s="141">
        <v>99308</v>
      </c>
      <c r="CS18" s="141">
        <v>99340</v>
      </c>
      <c r="CT18" s="141">
        <v>99370</v>
      </c>
      <c r="CU18" s="141">
        <v>99395</v>
      </c>
      <c r="CV18" s="141">
        <v>99394</v>
      </c>
      <c r="CW18" s="141">
        <v>99424</v>
      </c>
      <c r="CX18" s="141">
        <v>99446</v>
      </c>
      <c r="CY18" s="141">
        <v>99460</v>
      </c>
      <c r="CZ18" s="141">
        <v>99442</v>
      </c>
      <c r="DA18" s="141">
        <v>99458</v>
      </c>
      <c r="DB18" s="141">
        <v>99469</v>
      </c>
      <c r="DC18" s="141">
        <v>99505</v>
      </c>
      <c r="DD18" s="141">
        <v>99508</v>
      </c>
      <c r="DE18" s="141">
        <v>99525</v>
      </c>
      <c r="DF18" s="141">
        <v>99567</v>
      </c>
      <c r="DG18" s="141">
        <v>99550</v>
      </c>
      <c r="DH18" s="141">
        <v>99574</v>
      </c>
      <c r="DI18" s="141">
        <v>99555</v>
      </c>
      <c r="DJ18" s="141">
        <v>99580</v>
      </c>
      <c r="DK18" s="141">
        <v>99593</v>
      </c>
      <c r="DL18" s="141">
        <v>99594</v>
      </c>
      <c r="DM18" s="141">
        <v>99611</v>
      </c>
      <c r="DN18" s="141">
        <v>99627</v>
      </c>
      <c r="DO18" s="141">
        <v>99642</v>
      </c>
    </row>
    <row r="19" spans="1:119">
      <c r="A19" s="140">
        <v>17</v>
      </c>
      <c r="W19" s="141">
        <v>83405</v>
      </c>
      <c r="X19" s="141">
        <v>84129</v>
      </c>
      <c r="Y19" s="141">
        <v>84134</v>
      </c>
      <c r="Z19" s="141">
        <v>86098</v>
      </c>
      <c r="AA19" s="141">
        <v>86452</v>
      </c>
      <c r="AB19" s="141">
        <v>86931</v>
      </c>
      <c r="AC19" s="141">
        <v>87660</v>
      </c>
      <c r="AD19" s="141">
        <v>88376</v>
      </c>
      <c r="AE19" s="141">
        <v>88087</v>
      </c>
      <c r="AF19" s="141">
        <v>89056</v>
      </c>
      <c r="AG19" s="141">
        <v>89423</v>
      </c>
      <c r="AH19" s="141">
        <v>89514</v>
      </c>
      <c r="AI19" s="141">
        <v>89866</v>
      </c>
      <c r="AJ19" s="141">
        <v>91024</v>
      </c>
      <c r="AK19" s="141">
        <v>90985</v>
      </c>
      <c r="AL19" s="141">
        <v>91263</v>
      </c>
      <c r="AM19" s="141">
        <v>91514</v>
      </c>
      <c r="AN19" s="141">
        <v>91985</v>
      </c>
      <c r="AO19" s="141">
        <v>91980</v>
      </c>
      <c r="AP19" s="141">
        <v>92082</v>
      </c>
      <c r="AQ19" s="141">
        <v>92140</v>
      </c>
      <c r="AR19" s="141">
        <v>92169</v>
      </c>
      <c r="AS19" s="141">
        <v>91635</v>
      </c>
      <c r="AT19" s="141">
        <v>90961</v>
      </c>
      <c r="AU19" s="141">
        <v>89834</v>
      </c>
      <c r="AV19" s="141">
        <v>90038</v>
      </c>
      <c r="AW19" s="141">
        <v>90311</v>
      </c>
      <c r="AX19" s="141">
        <v>92308</v>
      </c>
      <c r="AY19" s="141">
        <v>93921</v>
      </c>
      <c r="AZ19" s="141">
        <v>93998</v>
      </c>
      <c r="BA19" s="141">
        <v>94037</v>
      </c>
      <c r="BB19" s="141">
        <v>94611</v>
      </c>
      <c r="BC19" s="141">
        <v>94856</v>
      </c>
      <c r="BD19" s="141">
        <v>95135</v>
      </c>
      <c r="BE19" s="141">
        <v>95225</v>
      </c>
      <c r="BF19" s="141">
        <v>95529</v>
      </c>
      <c r="BG19" s="141">
        <v>95693</v>
      </c>
      <c r="BH19" s="141">
        <v>95873</v>
      </c>
      <c r="BI19" s="141">
        <v>95950</v>
      </c>
      <c r="BJ19" s="141">
        <v>96132</v>
      </c>
      <c r="BK19" s="141">
        <v>96367</v>
      </c>
      <c r="BL19" s="141">
        <v>96632</v>
      </c>
      <c r="BM19" s="141">
        <v>96815</v>
      </c>
      <c r="BN19" s="141">
        <v>97034</v>
      </c>
      <c r="BO19" s="141">
        <v>97177</v>
      </c>
      <c r="BP19" s="141">
        <v>97296</v>
      </c>
      <c r="BQ19" s="141">
        <v>97369</v>
      </c>
      <c r="BR19" s="141">
        <v>97452</v>
      </c>
      <c r="BS19" s="141">
        <v>97433</v>
      </c>
      <c r="BT19" s="141">
        <v>97487</v>
      </c>
      <c r="BU19" s="141">
        <v>97548</v>
      </c>
      <c r="BV19" s="141">
        <v>97642</v>
      </c>
      <c r="BW19" s="141">
        <v>97715</v>
      </c>
      <c r="BX19" s="141">
        <v>97811</v>
      </c>
      <c r="BY19" s="141">
        <v>97890</v>
      </c>
      <c r="BZ19" s="141">
        <v>98104</v>
      </c>
      <c r="CA19" s="141">
        <v>98289</v>
      </c>
      <c r="CB19" s="141">
        <v>98362</v>
      </c>
      <c r="CC19" s="141">
        <v>98433</v>
      </c>
      <c r="CD19" s="141">
        <v>98516</v>
      </c>
      <c r="CE19" s="141">
        <v>98598</v>
      </c>
      <c r="CF19" s="141">
        <v>98667</v>
      </c>
      <c r="CG19" s="141">
        <v>98770</v>
      </c>
      <c r="CH19" s="141">
        <v>98803</v>
      </c>
      <c r="CI19" s="141">
        <v>98876</v>
      </c>
      <c r="CJ19" s="141">
        <v>98924</v>
      </c>
      <c r="CK19" s="141">
        <v>98980</v>
      </c>
      <c r="CL19" s="141">
        <v>99056</v>
      </c>
      <c r="CM19" s="141">
        <v>99092</v>
      </c>
      <c r="CN19" s="141">
        <v>99142</v>
      </c>
      <c r="CO19" s="141">
        <v>99178</v>
      </c>
      <c r="CP19" s="141">
        <v>99221</v>
      </c>
      <c r="CQ19" s="141">
        <v>99275</v>
      </c>
      <c r="CR19" s="141">
        <v>99292</v>
      </c>
      <c r="CS19" s="141">
        <v>99330</v>
      </c>
      <c r="CT19" s="141">
        <v>99359</v>
      </c>
      <c r="CU19" s="141">
        <v>99379</v>
      </c>
      <c r="CV19" s="141">
        <v>99379</v>
      </c>
      <c r="CW19" s="141">
        <v>99410</v>
      </c>
      <c r="CX19" s="141">
        <v>99434</v>
      </c>
      <c r="CY19" s="141">
        <v>99448</v>
      </c>
      <c r="CZ19" s="141">
        <v>99430</v>
      </c>
      <c r="DA19" s="141">
        <v>99447</v>
      </c>
      <c r="DB19" s="141">
        <v>99458</v>
      </c>
      <c r="DC19" s="141">
        <v>99494</v>
      </c>
      <c r="DD19" s="141">
        <v>99498</v>
      </c>
      <c r="DE19" s="141">
        <v>99515</v>
      </c>
      <c r="DF19" s="141">
        <v>99557</v>
      </c>
      <c r="DG19" s="141">
        <v>99541</v>
      </c>
      <c r="DH19" s="141">
        <v>99565</v>
      </c>
      <c r="DI19" s="141">
        <v>99546</v>
      </c>
      <c r="DJ19" s="141">
        <v>99572</v>
      </c>
      <c r="DK19" s="141">
        <v>99585</v>
      </c>
      <c r="DL19" s="141">
        <v>99586</v>
      </c>
      <c r="DM19" s="141">
        <v>99603</v>
      </c>
      <c r="DN19" s="141">
        <v>99620</v>
      </c>
      <c r="DO19" s="141">
        <v>99635</v>
      </c>
    </row>
    <row r="20" spans="1:119">
      <c r="A20" s="140">
        <v>18</v>
      </c>
      <c r="W20" s="141">
        <v>83271</v>
      </c>
      <c r="X20" s="141">
        <v>83995</v>
      </c>
      <c r="Y20" s="141">
        <v>83999</v>
      </c>
      <c r="Z20" s="141">
        <v>85961</v>
      </c>
      <c r="AA20" s="141">
        <v>86314</v>
      </c>
      <c r="AB20" s="141">
        <v>86778</v>
      </c>
      <c r="AC20" s="141">
        <v>87485</v>
      </c>
      <c r="AD20" s="141">
        <v>88122</v>
      </c>
      <c r="AE20" s="141">
        <v>87932</v>
      </c>
      <c r="AF20" s="141">
        <v>88899</v>
      </c>
      <c r="AG20" s="141">
        <v>89307</v>
      </c>
      <c r="AH20" s="141">
        <v>89437</v>
      </c>
      <c r="AI20" s="141">
        <v>89789</v>
      </c>
      <c r="AJ20" s="141">
        <v>90946</v>
      </c>
      <c r="AK20" s="141">
        <v>90922</v>
      </c>
      <c r="AL20" s="141">
        <v>91208</v>
      </c>
      <c r="AM20" s="141">
        <v>91457</v>
      </c>
      <c r="AN20" s="141">
        <v>91928</v>
      </c>
      <c r="AO20" s="141">
        <v>91933</v>
      </c>
      <c r="AP20" s="141">
        <v>92032</v>
      </c>
      <c r="AQ20" s="141">
        <v>92095</v>
      </c>
      <c r="AR20" s="141">
        <v>92116</v>
      </c>
      <c r="AS20" s="141">
        <v>91593</v>
      </c>
      <c r="AT20" s="141">
        <v>90912</v>
      </c>
      <c r="AU20" s="141">
        <v>89792</v>
      </c>
      <c r="AV20" s="141">
        <v>89994</v>
      </c>
      <c r="AW20" s="141">
        <v>90270</v>
      </c>
      <c r="AX20" s="141">
        <v>92265</v>
      </c>
      <c r="AY20" s="141">
        <v>93877</v>
      </c>
      <c r="AZ20" s="141">
        <v>93947</v>
      </c>
      <c r="BA20" s="141">
        <v>93990</v>
      </c>
      <c r="BB20" s="141">
        <v>94557</v>
      </c>
      <c r="BC20" s="141">
        <v>94806</v>
      </c>
      <c r="BD20" s="141">
        <v>95083</v>
      </c>
      <c r="BE20" s="141">
        <v>95171</v>
      </c>
      <c r="BF20" s="141">
        <v>95483</v>
      </c>
      <c r="BG20" s="141">
        <v>95644</v>
      </c>
      <c r="BH20" s="141">
        <v>95817</v>
      </c>
      <c r="BI20" s="141">
        <v>95896</v>
      </c>
      <c r="BJ20" s="141">
        <v>96080</v>
      </c>
      <c r="BK20" s="141">
        <v>96319</v>
      </c>
      <c r="BL20" s="141">
        <v>96584</v>
      </c>
      <c r="BM20" s="141">
        <v>96771</v>
      </c>
      <c r="BN20" s="141">
        <v>96986</v>
      </c>
      <c r="BO20" s="141">
        <v>97133</v>
      </c>
      <c r="BP20" s="141">
        <v>97253</v>
      </c>
      <c r="BQ20" s="141">
        <v>97334</v>
      </c>
      <c r="BR20" s="141">
        <v>97415</v>
      </c>
      <c r="BS20" s="141">
        <v>97402</v>
      </c>
      <c r="BT20" s="141">
        <v>97458</v>
      </c>
      <c r="BU20" s="141">
        <v>97517</v>
      </c>
      <c r="BV20" s="141">
        <v>97612</v>
      </c>
      <c r="BW20" s="141">
        <v>97688</v>
      </c>
      <c r="BX20" s="141">
        <v>97780</v>
      </c>
      <c r="BY20" s="141">
        <v>97861</v>
      </c>
      <c r="BZ20" s="141">
        <v>98074</v>
      </c>
      <c r="CA20" s="141">
        <v>98260</v>
      </c>
      <c r="CB20" s="141">
        <v>98335</v>
      </c>
      <c r="CC20" s="141">
        <v>98407</v>
      </c>
      <c r="CD20" s="141">
        <v>98493</v>
      </c>
      <c r="CE20" s="141">
        <v>98569</v>
      </c>
      <c r="CF20" s="141">
        <v>98635</v>
      </c>
      <c r="CG20" s="141">
        <v>98746</v>
      </c>
      <c r="CH20" s="141">
        <v>98781</v>
      </c>
      <c r="CI20" s="141">
        <v>98853</v>
      </c>
      <c r="CJ20" s="141">
        <v>98903</v>
      </c>
      <c r="CK20" s="141">
        <v>98961</v>
      </c>
      <c r="CL20" s="141">
        <v>99037</v>
      </c>
      <c r="CM20" s="141">
        <v>99075</v>
      </c>
      <c r="CN20" s="141">
        <v>99125</v>
      </c>
      <c r="CO20" s="141">
        <v>99161</v>
      </c>
      <c r="CP20" s="141">
        <v>99205</v>
      </c>
      <c r="CQ20" s="141">
        <v>99255</v>
      </c>
      <c r="CR20" s="141">
        <v>99278</v>
      </c>
      <c r="CS20" s="141">
        <v>99317</v>
      </c>
      <c r="CT20" s="141">
        <v>99343</v>
      </c>
      <c r="CU20" s="141">
        <v>99367</v>
      </c>
      <c r="CV20" s="141">
        <v>99365</v>
      </c>
      <c r="CW20" s="141">
        <v>99396</v>
      </c>
      <c r="CX20" s="141">
        <v>99420</v>
      </c>
      <c r="CY20" s="141">
        <v>99435</v>
      </c>
      <c r="CZ20" s="141">
        <v>99418</v>
      </c>
      <c r="DA20" s="141">
        <v>99434</v>
      </c>
      <c r="DB20" s="141">
        <v>99446</v>
      </c>
      <c r="DC20" s="141">
        <v>99483</v>
      </c>
      <c r="DD20" s="141">
        <v>99487</v>
      </c>
      <c r="DE20" s="141">
        <v>99504</v>
      </c>
      <c r="DF20" s="141">
        <v>99546</v>
      </c>
      <c r="DG20" s="141">
        <v>99530</v>
      </c>
      <c r="DH20" s="141">
        <v>99555</v>
      </c>
      <c r="DI20" s="141">
        <v>99537</v>
      </c>
      <c r="DJ20" s="141">
        <v>99562</v>
      </c>
      <c r="DK20" s="141">
        <v>99576</v>
      </c>
      <c r="DL20" s="141">
        <v>99578</v>
      </c>
      <c r="DM20" s="141">
        <v>99595</v>
      </c>
      <c r="DN20" s="141">
        <v>99612</v>
      </c>
      <c r="DO20" s="141">
        <v>99627</v>
      </c>
    </row>
    <row r="21" spans="1:119">
      <c r="A21" s="140">
        <v>19</v>
      </c>
      <c r="W21" s="141">
        <v>83122</v>
      </c>
      <c r="X21" s="141">
        <v>83845</v>
      </c>
      <c r="Y21" s="141">
        <v>83849</v>
      </c>
      <c r="Z21" s="141">
        <v>85807</v>
      </c>
      <c r="AA21" s="141">
        <v>86144</v>
      </c>
      <c r="AB21" s="141">
        <v>86584</v>
      </c>
      <c r="AC21" s="141">
        <v>87203</v>
      </c>
      <c r="AD21" s="141">
        <v>87947</v>
      </c>
      <c r="AE21" s="141">
        <v>87757</v>
      </c>
      <c r="AF21" s="141">
        <v>88768</v>
      </c>
      <c r="AG21" s="141">
        <v>89221</v>
      </c>
      <c r="AH21" s="141">
        <v>89351</v>
      </c>
      <c r="AI21" s="141">
        <v>89703</v>
      </c>
      <c r="AJ21" s="141">
        <v>90878</v>
      </c>
      <c r="AK21" s="141">
        <v>90860</v>
      </c>
      <c r="AL21" s="141">
        <v>91144</v>
      </c>
      <c r="AM21" s="141">
        <v>91403</v>
      </c>
      <c r="AN21" s="141">
        <v>91876</v>
      </c>
      <c r="AO21" s="141">
        <v>91880</v>
      </c>
      <c r="AP21" s="141">
        <v>91981</v>
      </c>
      <c r="AQ21" s="141">
        <v>92043</v>
      </c>
      <c r="AR21" s="141">
        <v>92066</v>
      </c>
      <c r="AS21" s="141">
        <v>91539</v>
      </c>
      <c r="AT21" s="141">
        <v>90858</v>
      </c>
      <c r="AU21" s="141">
        <v>89745</v>
      </c>
      <c r="AV21" s="141">
        <v>89941</v>
      </c>
      <c r="AW21" s="141">
        <v>90218</v>
      </c>
      <c r="AX21" s="141">
        <v>92211</v>
      </c>
      <c r="AY21" s="141">
        <v>93822</v>
      </c>
      <c r="AZ21" s="141">
        <v>93892</v>
      </c>
      <c r="BA21" s="141">
        <v>93928</v>
      </c>
      <c r="BB21" s="141">
        <v>94497</v>
      </c>
      <c r="BC21" s="141">
        <v>94744</v>
      </c>
      <c r="BD21" s="141">
        <v>95023</v>
      </c>
      <c r="BE21" s="141">
        <v>95120</v>
      </c>
      <c r="BF21" s="141">
        <v>95424</v>
      </c>
      <c r="BG21" s="141">
        <v>95585</v>
      </c>
      <c r="BH21" s="141">
        <v>95757</v>
      </c>
      <c r="BI21" s="141">
        <v>95834</v>
      </c>
      <c r="BJ21" s="141">
        <v>96029</v>
      </c>
      <c r="BK21" s="141">
        <v>96266</v>
      </c>
      <c r="BL21" s="141">
        <v>96532</v>
      </c>
      <c r="BM21" s="141">
        <v>96718</v>
      </c>
      <c r="BN21" s="141">
        <v>96934</v>
      </c>
      <c r="BO21" s="141">
        <v>97088</v>
      </c>
      <c r="BP21" s="141">
        <v>97212</v>
      </c>
      <c r="BQ21" s="141">
        <v>97294</v>
      </c>
      <c r="BR21" s="141">
        <v>97376</v>
      </c>
      <c r="BS21" s="141">
        <v>97362</v>
      </c>
      <c r="BT21" s="141">
        <v>97424</v>
      </c>
      <c r="BU21" s="141">
        <v>97476</v>
      </c>
      <c r="BV21" s="141">
        <v>97570</v>
      </c>
      <c r="BW21" s="141">
        <v>97649</v>
      </c>
      <c r="BX21" s="141">
        <v>97744</v>
      </c>
      <c r="BY21" s="141">
        <v>97823</v>
      </c>
      <c r="BZ21" s="141">
        <v>98031</v>
      </c>
      <c r="CA21" s="141">
        <v>98221</v>
      </c>
      <c r="CB21" s="141">
        <v>98293</v>
      </c>
      <c r="CC21" s="141">
        <v>98367</v>
      </c>
      <c r="CD21" s="141">
        <v>98458</v>
      </c>
      <c r="CE21" s="141">
        <v>98536</v>
      </c>
      <c r="CF21" s="141">
        <v>98602</v>
      </c>
      <c r="CG21" s="141">
        <v>98711</v>
      </c>
      <c r="CH21" s="141">
        <v>98751</v>
      </c>
      <c r="CI21" s="141">
        <v>98828</v>
      </c>
      <c r="CJ21" s="141">
        <v>98877</v>
      </c>
      <c r="CK21" s="141">
        <v>98936</v>
      </c>
      <c r="CL21" s="141">
        <v>99013</v>
      </c>
      <c r="CM21" s="141">
        <v>99054</v>
      </c>
      <c r="CN21" s="141">
        <v>99107</v>
      </c>
      <c r="CO21" s="141">
        <v>99135</v>
      </c>
      <c r="CP21" s="141">
        <v>99182</v>
      </c>
      <c r="CQ21" s="141">
        <v>99232</v>
      </c>
      <c r="CR21" s="141">
        <v>99256</v>
      </c>
      <c r="CS21" s="141">
        <v>99298</v>
      </c>
      <c r="CT21" s="141">
        <v>99326</v>
      </c>
      <c r="CU21" s="141">
        <v>99351</v>
      </c>
      <c r="CV21" s="141">
        <v>99349</v>
      </c>
      <c r="CW21" s="141">
        <v>99381</v>
      </c>
      <c r="CX21" s="141">
        <v>99405</v>
      </c>
      <c r="CY21" s="141">
        <v>99421</v>
      </c>
      <c r="CZ21" s="141">
        <v>99404</v>
      </c>
      <c r="DA21" s="141">
        <v>99421</v>
      </c>
      <c r="DB21" s="141">
        <v>99433</v>
      </c>
      <c r="DC21" s="141">
        <v>99470</v>
      </c>
      <c r="DD21" s="141">
        <v>99475</v>
      </c>
      <c r="DE21" s="141">
        <v>99492</v>
      </c>
      <c r="DF21" s="141">
        <v>99535</v>
      </c>
      <c r="DG21" s="141">
        <v>99520</v>
      </c>
      <c r="DH21" s="141">
        <v>99545</v>
      </c>
      <c r="DI21" s="141">
        <v>99527</v>
      </c>
      <c r="DJ21" s="141">
        <v>99552</v>
      </c>
      <c r="DK21" s="141">
        <v>99566</v>
      </c>
      <c r="DL21" s="141">
        <v>99569</v>
      </c>
      <c r="DM21" s="141">
        <v>99586</v>
      </c>
      <c r="DN21" s="141">
        <v>99603</v>
      </c>
      <c r="DO21" s="141">
        <v>99619</v>
      </c>
    </row>
    <row r="22" spans="1:119">
      <c r="A22" s="140">
        <v>20</v>
      </c>
      <c r="W22" s="141">
        <v>82962</v>
      </c>
      <c r="X22" s="141">
        <v>83683</v>
      </c>
      <c r="Y22" s="141">
        <v>83687</v>
      </c>
      <c r="Z22" s="141">
        <v>85625</v>
      </c>
      <c r="AA22" s="141">
        <v>85937</v>
      </c>
      <c r="AB22" s="141">
        <v>86284</v>
      </c>
      <c r="AC22" s="141">
        <v>87010</v>
      </c>
      <c r="AD22" s="141">
        <v>87752</v>
      </c>
      <c r="AE22" s="141">
        <v>87613</v>
      </c>
      <c r="AF22" s="141">
        <v>88674</v>
      </c>
      <c r="AG22" s="141">
        <v>89127</v>
      </c>
      <c r="AH22" s="141">
        <v>89256</v>
      </c>
      <c r="AI22" s="141">
        <v>89632</v>
      </c>
      <c r="AJ22" s="141">
        <v>90811</v>
      </c>
      <c r="AK22" s="141">
        <v>90793</v>
      </c>
      <c r="AL22" s="141">
        <v>91087</v>
      </c>
      <c r="AM22" s="141">
        <v>91344</v>
      </c>
      <c r="AN22" s="141">
        <v>91813</v>
      </c>
      <c r="AO22" s="141">
        <v>91827</v>
      </c>
      <c r="AP22" s="141">
        <v>91926</v>
      </c>
      <c r="AQ22" s="141">
        <v>91992</v>
      </c>
      <c r="AR22" s="141">
        <v>92007</v>
      </c>
      <c r="AS22" s="141">
        <v>91481</v>
      </c>
      <c r="AT22" s="141">
        <v>90807</v>
      </c>
      <c r="AU22" s="141">
        <v>89697</v>
      </c>
      <c r="AV22" s="141">
        <v>89889</v>
      </c>
      <c r="AW22" s="141">
        <v>90169</v>
      </c>
      <c r="AX22" s="141">
        <v>92151</v>
      </c>
      <c r="AY22" s="141">
        <v>93770</v>
      </c>
      <c r="AZ22" s="141">
        <v>93837</v>
      </c>
      <c r="BA22" s="141">
        <v>93867</v>
      </c>
      <c r="BB22" s="141">
        <v>94430</v>
      </c>
      <c r="BC22" s="141">
        <v>94685</v>
      </c>
      <c r="BD22" s="141">
        <v>94973</v>
      </c>
      <c r="BE22" s="141">
        <v>95062</v>
      </c>
      <c r="BF22" s="141">
        <v>95366</v>
      </c>
      <c r="BG22" s="141">
        <v>95533</v>
      </c>
      <c r="BH22" s="141">
        <v>95693</v>
      </c>
      <c r="BI22" s="141">
        <v>95781</v>
      </c>
      <c r="BJ22" s="141">
        <v>95977</v>
      </c>
      <c r="BK22" s="141">
        <v>96217</v>
      </c>
      <c r="BL22" s="141">
        <v>96480</v>
      </c>
      <c r="BM22" s="141">
        <v>96671</v>
      </c>
      <c r="BN22" s="141">
        <v>96886</v>
      </c>
      <c r="BO22" s="141">
        <v>97041</v>
      </c>
      <c r="BP22" s="141">
        <v>97177</v>
      </c>
      <c r="BQ22" s="141">
        <v>97257</v>
      </c>
      <c r="BR22" s="141">
        <v>97335</v>
      </c>
      <c r="BS22" s="141">
        <v>97327</v>
      </c>
      <c r="BT22" s="141">
        <v>97387</v>
      </c>
      <c r="BU22" s="141">
        <v>97433</v>
      </c>
      <c r="BV22" s="141">
        <v>97523</v>
      </c>
      <c r="BW22" s="141">
        <v>97608</v>
      </c>
      <c r="BX22" s="141">
        <v>97704</v>
      </c>
      <c r="BY22" s="141">
        <v>97786</v>
      </c>
      <c r="BZ22" s="141">
        <v>97995</v>
      </c>
      <c r="CA22" s="141">
        <v>98185</v>
      </c>
      <c r="CB22" s="141">
        <v>98258</v>
      </c>
      <c r="CC22" s="141">
        <v>98332</v>
      </c>
      <c r="CD22" s="141">
        <v>98422</v>
      </c>
      <c r="CE22" s="141">
        <v>98498</v>
      </c>
      <c r="CF22" s="141">
        <v>98572</v>
      </c>
      <c r="CG22" s="141">
        <v>98682</v>
      </c>
      <c r="CH22" s="141">
        <v>98723</v>
      </c>
      <c r="CI22" s="141">
        <v>98805</v>
      </c>
      <c r="CJ22" s="141">
        <v>98853</v>
      </c>
      <c r="CK22" s="141">
        <v>98910</v>
      </c>
      <c r="CL22" s="141">
        <v>98993</v>
      </c>
      <c r="CM22" s="141">
        <v>99035</v>
      </c>
      <c r="CN22" s="141">
        <v>99085</v>
      </c>
      <c r="CO22" s="141">
        <v>99113</v>
      </c>
      <c r="CP22" s="141">
        <v>99164</v>
      </c>
      <c r="CQ22" s="141">
        <v>99214</v>
      </c>
      <c r="CR22" s="141">
        <v>99235</v>
      </c>
      <c r="CS22" s="141">
        <v>99279</v>
      </c>
      <c r="CT22" s="141">
        <v>99309</v>
      </c>
      <c r="CU22" s="141">
        <v>99335</v>
      </c>
      <c r="CV22" s="141">
        <v>99334</v>
      </c>
      <c r="CW22" s="141">
        <v>99366</v>
      </c>
      <c r="CX22" s="141">
        <v>99391</v>
      </c>
      <c r="CY22" s="141">
        <v>99406</v>
      </c>
      <c r="CZ22" s="141">
        <v>99390</v>
      </c>
      <c r="DA22" s="141">
        <v>99408</v>
      </c>
      <c r="DB22" s="141">
        <v>99420</v>
      </c>
      <c r="DC22" s="141">
        <v>99458</v>
      </c>
      <c r="DD22" s="141">
        <v>99462</v>
      </c>
      <c r="DE22" s="141">
        <v>99480</v>
      </c>
      <c r="DF22" s="141">
        <v>99524</v>
      </c>
      <c r="DG22" s="141">
        <v>99508</v>
      </c>
      <c r="DH22" s="141">
        <v>99534</v>
      </c>
      <c r="DI22" s="141">
        <v>99516</v>
      </c>
      <c r="DJ22" s="141">
        <v>99542</v>
      </c>
      <c r="DK22" s="141">
        <v>99557</v>
      </c>
      <c r="DL22" s="141">
        <v>99559</v>
      </c>
      <c r="DM22" s="141">
        <v>99577</v>
      </c>
      <c r="DN22" s="141">
        <v>99594</v>
      </c>
      <c r="DO22" s="141">
        <v>99611</v>
      </c>
    </row>
    <row r="23" spans="1:119">
      <c r="A23" s="140">
        <v>21</v>
      </c>
      <c r="W23" s="141">
        <v>82791</v>
      </c>
      <c r="X23" s="141">
        <v>83511</v>
      </c>
      <c r="Y23" s="141">
        <v>83498</v>
      </c>
      <c r="Z23" s="141">
        <v>85404</v>
      </c>
      <c r="AA23" s="141">
        <v>85618</v>
      </c>
      <c r="AB23" s="141">
        <v>86080</v>
      </c>
      <c r="AC23" s="141">
        <v>86805</v>
      </c>
      <c r="AD23" s="141">
        <v>87599</v>
      </c>
      <c r="AE23" s="141">
        <v>87513</v>
      </c>
      <c r="AF23" s="141">
        <v>88572</v>
      </c>
      <c r="AG23" s="141">
        <v>89024</v>
      </c>
      <c r="AH23" s="141">
        <v>89177</v>
      </c>
      <c r="AI23" s="141">
        <v>89559</v>
      </c>
      <c r="AJ23" s="141">
        <v>90744</v>
      </c>
      <c r="AK23" s="141">
        <v>90724</v>
      </c>
      <c r="AL23" s="141">
        <v>91019</v>
      </c>
      <c r="AM23" s="141">
        <v>91277</v>
      </c>
      <c r="AN23" s="141">
        <v>91756</v>
      </c>
      <c r="AO23" s="141">
        <v>91770</v>
      </c>
      <c r="AP23" s="141">
        <v>91873</v>
      </c>
      <c r="AQ23" s="141">
        <v>91934</v>
      </c>
      <c r="AR23" s="141">
        <v>91958</v>
      </c>
      <c r="AS23" s="141">
        <v>91429</v>
      </c>
      <c r="AT23" s="141">
        <v>90757</v>
      </c>
      <c r="AU23" s="141">
        <v>89641</v>
      </c>
      <c r="AV23" s="141">
        <v>89836</v>
      </c>
      <c r="AW23" s="141">
        <v>90118</v>
      </c>
      <c r="AX23" s="141">
        <v>92100</v>
      </c>
      <c r="AY23" s="141">
        <v>93715</v>
      </c>
      <c r="AZ23" s="141">
        <v>93773</v>
      </c>
      <c r="BA23" s="141">
        <v>93810</v>
      </c>
      <c r="BB23" s="141">
        <v>94374</v>
      </c>
      <c r="BC23" s="141">
        <v>94630</v>
      </c>
      <c r="BD23" s="141">
        <v>94919</v>
      </c>
      <c r="BE23" s="141">
        <v>95004</v>
      </c>
      <c r="BF23" s="141">
        <v>95314</v>
      </c>
      <c r="BG23" s="141">
        <v>95473</v>
      </c>
      <c r="BH23" s="141">
        <v>95638</v>
      </c>
      <c r="BI23" s="141">
        <v>95734</v>
      </c>
      <c r="BJ23" s="141">
        <v>95931</v>
      </c>
      <c r="BK23" s="141">
        <v>96174</v>
      </c>
      <c r="BL23" s="141">
        <v>96435</v>
      </c>
      <c r="BM23" s="141">
        <v>96627</v>
      </c>
      <c r="BN23" s="141">
        <v>96842</v>
      </c>
      <c r="BO23" s="141">
        <v>97007</v>
      </c>
      <c r="BP23" s="141">
        <v>97139</v>
      </c>
      <c r="BQ23" s="141">
        <v>97219</v>
      </c>
      <c r="BR23" s="141">
        <v>97298</v>
      </c>
      <c r="BS23" s="141">
        <v>97285</v>
      </c>
      <c r="BT23" s="141">
        <v>97347</v>
      </c>
      <c r="BU23" s="141">
        <v>97394</v>
      </c>
      <c r="BV23" s="141">
        <v>97491</v>
      </c>
      <c r="BW23" s="141">
        <v>97568</v>
      </c>
      <c r="BX23" s="141">
        <v>97674</v>
      </c>
      <c r="BY23" s="141">
        <v>97745</v>
      </c>
      <c r="BZ23" s="141">
        <v>97960</v>
      </c>
      <c r="CA23" s="141">
        <v>98148</v>
      </c>
      <c r="CB23" s="141">
        <v>98227</v>
      </c>
      <c r="CC23" s="141">
        <v>98302</v>
      </c>
      <c r="CD23" s="141">
        <v>98385</v>
      </c>
      <c r="CE23" s="141">
        <v>98465</v>
      </c>
      <c r="CF23" s="141">
        <v>98542</v>
      </c>
      <c r="CG23" s="141">
        <v>98650</v>
      </c>
      <c r="CH23" s="141">
        <v>98695</v>
      </c>
      <c r="CI23" s="141">
        <v>98785</v>
      </c>
      <c r="CJ23" s="141">
        <v>98831</v>
      </c>
      <c r="CK23" s="141">
        <v>98888</v>
      </c>
      <c r="CL23" s="141">
        <v>98972</v>
      </c>
      <c r="CM23" s="141">
        <v>99013</v>
      </c>
      <c r="CN23" s="141">
        <v>99062</v>
      </c>
      <c r="CO23" s="141">
        <v>99093</v>
      </c>
      <c r="CP23" s="141">
        <v>99149</v>
      </c>
      <c r="CQ23" s="141">
        <v>99194</v>
      </c>
      <c r="CR23" s="141">
        <v>99216</v>
      </c>
      <c r="CS23" s="141">
        <v>99262</v>
      </c>
      <c r="CT23" s="141">
        <v>99292</v>
      </c>
      <c r="CU23" s="141">
        <v>99319</v>
      </c>
      <c r="CV23" s="141">
        <v>99318</v>
      </c>
      <c r="CW23" s="141">
        <v>99351</v>
      </c>
      <c r="CX23" s="141">
        <v>99376</v>
      </c>
      <c r="CY23" s="141">
        <v>99392</v>
      </c>
      <c r="CZ23" s="141">
        <v>99376</v>
      </c>
      <c r="DA23" s="141">
        <v>99394</v>
      </c>
      <c r="DB23" s="141">
        <v>99407</v>
      </c>
      <c r="DC23" s="141">
        <v>99445</v>
      </c>
      <c r="DD23" s="141">
        <v>99450</v>
      </c>
      <c r="DE23" s="141">
        <v>99468</v>
      </c>
      <c r="DF23" s="141">
        <v>99512</v>
      </c>
      <c r="DG23" s="141">
        <v>99497</v>
      </c>
      <c r="DH23" s="141">
        <v>99523</v>
      </c>
      <c r="DI23" s="141">
        <v>99506</v>
      </c>
      <c r="DJ23" s="141">
        <v>99532</v>
      </c>
      <c r="DK23" s="141">
        <v>99547</v>
      </c>
      <c r="DL23" s="141">
        <v>99550</v>
      </c>
      <c r="DM23" s="141">
        <v>99568</v>
      </c>
      <c r="DN23" s="141">
        <v>99585</v>
      </c>
      <c r="DO23" s="141">
        <v>99602</v>
      </c>
    </row>
    <row r="24" spans="1:119">
      <c r="A24" s="140">
        <v>22</v>
      </c>
      <c r="W24" s="141">
        <v>82611</v>
      </c>
      <c r="X24" s="141">
        <v>83310</v>
      </c>
      <c r="Y24" s="141">
        <v>83270</v>
      </c>
      <c r="Z24" s="141">
        <v>85069</v>
      </c>
      <c r="AA24" s="141">
        <v>85409</v>
      </c>
      <c r="AB24" s="141">
        <v>85870</v>
      </c>
      <c r="AC24" s="141">
        <v>86649</v>
      </c>
      <c r="AD24" s="141">
        <v>87492</v>
      </c>
      <c r="AE24" s="141">
        <v>87405</v>
      </c>
      <c r="AF24" s="141">
        <v>88463</v>
      </c>
      <c r="AG24" s="141">
        <v>88941</v>
      </c>
      <c r="AH24" s="141">
        <v>89100</v>
      </c>
      <c r="AI24" s="141">
        <v>89488</v>
      </c>
      <c r="AJ24" s="141">
        <v>90676</v>
      </c>
      <c r="AK24" s="141">
        <v>90659</v>
      </c>
      <c r="AL24" s="141">
        <v>90962</v>
      </c>
      <c r="AM24" s="141">
        <v>91218</v>
      </c>
      <c r="AN24" s="141">
        <v>91700</v>
      </c>
      <c r="AO24" s="141">
        <v>91717</v>
      </c>
      <c r="AP24" s="141">
        <v>91807</v>
      </c>
      <c r="AQ24" s="141">
        <v>91882</v>
      </c>
      <c r="AR24" s="141">
        <v>91901</v>
      </c>
      <c r="AS24" s="141">
        <v>91377</v>
      </c>
      <c r="AT24" s="141">
        <v>90709</v>
      </c>
      <c r="AU24" s="141">
        <v>89589</v>
      </c>
      <c r="AV24" s="141">
        <v>89782</v>
      </c>
      <c r="AW24" s="141">
        <v>90068</v>
      </c>
      <c r="AX24" s="141">
        <v>92045</v>
      </c>
      <c r="AY24" s="141">
        <v>93658</v>
      </c>
      <c r="AZ24" s="141">
        <v>93717</v>
      </c>
      <c r="BA24" s="141">
        <v>93752</v>
      </c>
      <c r="BB24" s="141">
        <v>94321</v>
      </c>
      <c r="BC24" s="141">
        <v>94578</v>
      </c>
      <c r="BD24" s="141">
        <v>94869</v>
      </c>
      <c r="BE24" s="141">
        <v>94945</v>
      </c>
      <c r="BF24" s="141">
        <v>95266</v>
      </c>
      <c r="BG24" s="141">
        <v>95425</v>
      </c>
      <c r="BH24" s="141">
        <v>95591</v>
      </c>
      <c r="BI24" s="141">
        <v>95686</v>
      </c>
      <c r="BJ24" s="141">
        <v>95882</v>
      </c>
      <c r="BK24" s="141">
        <v>96132</v>
      </c>
      <c r="BL24" s="141">
        <v>96392</v>
      </c>
      <c r="BM24" s="141">
        <v>96587</v>
      </c>
      <c r="BN24" s="141">
        <v>96800</v>
      </c>
      <c r="BO24" s="141">
        <v>96971</v>
      </c>
      <c r="BP24" s="141">
        <v>97101</v>
      </c>
      <c r="BQ24" s="141">
        <v>97184</v>
      </c>
      <c r="BR24" s="141">
        <v>97265</v>
      </c>
      <c r="BS24" s="141">
        <v>97246</v>
      </c>
      <c r="BT24" s="141">
        <v>97312</v>
      </c>
      <c r="BU24" s="141">
        <v>97361</v>
      </c>
      <c r="BV24" s="141">
        <v>97463</v>
      </c>
      <c r="BW24" s="141">
        <v>97534</v>
      </c>
      <c r="BX24" s="141">
        <v>97637</v>
      </c>
      <c r="BY24" s="141">
        <v>97714</v>
      </c>
      <c r="BZ24" s="141">
        <v>97930</v>
      </c>
      <c r="CA24" s="141">
        <v>98116</v>
      </c>
      <c r="CB24" s="141">
        <v>98194</v>
      </c>
      <c r="CC24" s="141">
        <v>98273</v>
      </c>
      <c r="CD24" s="141">
        <v>98358</v>
      </c>
      <c r="CE24" s="141">
        <v>98442</v>
      </c>
      <c r="CF24" s="141">
        <v>98519</v>
      </c>
      <c r="CG24" s="141">
        <v>98625</v>
      </c>
      <c r="CH24" s="141">
        <v>98675</v>
      </c>
      <c r="CI24" s="141">
        <v>98763</v>
      </c>
      <c r="CJ24" s="141">
        <v>98811</v>
      </c>
      <c r="CK24" s="141">
        <v>98866</v>
      </c>
      <c r="CL24" s="141">
        <v>98952</v>
      </c>
      <c r="CM24" s="141">
        <v>98991</v>
      </c>
      <c r="CN24" s="141">
        <v>99044</v>
      </c>
      <c r="CO24" s="141">
        <v>99074</v>
      </c>
      <c r="CP24" s="141">
        <v>99132</v>
      </c>
      <c r="CQ24" s="141">
        <v>99177</v>
      </c>
      <c r="CR24" s="141">
        <v>99199</v>
      </c>
      <c r="CS24" s="141">
        <v>99245</v>
      </c>
      <c r="CT24" s="141">
        <v>99276</v>
      </c>
      <c r="CU24" s="141">
        <v>99303</v>
      </c>
      <c r="CV24" s="141">
        <v>99302</v>
      </c>
      <c r="CW24" s="141">
        <v>99336</v>
      </c>
      <c r="CX24" s="141">
        <v>99361</v>
      </c>
      <c r="CY24" s="141">
        <v>99378</v>
      </c>
      <c r="CZ24" s="141">
        <v>99363</v>
      </c>
      <c r="DA24" s="141">
        <v>99381</v>
      </c>
      <c r="DB24" s="141">
        <v>99395</v>
      </c>
      <c r="DC24" s="141">
        <v>99433</v>
      </c>
      <c r="DD24" s="141">
        <v>99438</v>
      </c>
      <c r="DE24" s="141">
        <v>99457</v>
      </c>
      <c r="DF24" s="141">
        <v>99501</v>
      </c>
      <c r="DG24" s="141">
        <v>99486</v>
      </c>
      <c r="DH24" s="141">
        <v>99512</v>
      </c>
      <c r="DI24" s="141">
        <v>99495</v>
      </c>
      <c r="DJ24" s="141">
        <v>99522</v>
      </c>
      <c r="DK24" s="141">
        <v>99537</v>
      </c>
      <c r="DL24" s="141">
        <v>99540</v>
      </c>
      <c r="DM24" s="141">
        <v>99559</v>
      </c>
      <c r="DN24" s="141">
        <v>99576</v>
      </c>
      <c r="DO24" s="141">
        <v>99593</v>
      </c>
    </row>
    <row r="25" spans="1:119">
      <c r="A25" s="140">
        <v>23</v>
      </c>
      <c r="W25" s="141">
        <v>82411</v>
      </c>
      <c r="X25" s="141">
        <v>83081</v>
      </c>
      <c r="Y25" s="141">
        <v>82941</v>
      </c>
      <c r="Z25" s="141">
        <v>84857</v>
      </c>
      <c r="AA25" s="141">
        <v>85196</v>
      </c>
      <c r="AB25" s="141">
        <v>85699</v>
      </c>
      <c r="AC25" s="141">
        <v>86539</v>
      </c>
      <c r="AD25" s="141">
        <v>87380</v>
      </c>
      <c r="AE25" s="141">
        <v>87294</v>
      </c>
      <c r="AF25" s="141">
        <v>88380</v>
      </c>
      <c r="AG25" s="141">
        <v>88860</v>
      </c>
      <c r="AH25" s="141">
        <v>89032</v>
      </c>
      <c r="AI25" s="141">
        <v>89420</v>
      </c>
      <c r="AJ25" s="141">
        <v>90610</v>
      </c>
      <c r="AK25" s="141">
        <v>90587</v>
      </c>
      <c r="AL25" s="141">
        <v>90902</v>
      </c>
      <c r="AM25" s="141">
        <v>91156</v>
      </c>
      <c r="AN25" s="141">
        <v>91639</v>
      </c>
      <c r="AO25" s="141">
        <v>91664</v>
      </c>
      <c r="AP25" s="141">
        <v>91747</v>
      </c>
      <c r="AQ25" s="141">
        <v>91832</v>
      </c>
      <c r="AR25" s="141">
        <v>91844</v>
      </c>
      <c r="AS25" s="141">
        <v>91325</v>
      </c>
      <c r="AT25" s="141">
        <v>90651</v>
      </c>
      <c r="AU25" s="141">
        <v>89540</v>
      </c>
      <c r="AV25" s="141">
        <v>89723</v>
      </c>
      <c r="AW25" s="141">
        <v>90018</v>
      </c>
      <c r="AX25" s="141">
        <v>91992</v>
      </c>
      <c r="AY25" s="141">
        <v>93600</v>
      </c>
      <c r="AZ25" s="141">
        <v>93666</v>
      </c>
      <c r="BA25" s="141">
        <v>93704</v>
      </c>
      <c r="BB25" s="141">
        <v>94265</v>
      </c>
      <c r="BC25" s="141">
        <v>94527</v>
      </c>
      <c r="BD25" s="141">
        <v>94817</v>
      </c>
      <c r="BE25" s="141">
        <v>94894</v>
      </c>
      <c r="BF25" s="141">
        <v>95211</v>
      </c>
      <c r="BG25" s="141">
        <v>95380</v>
      </c>
      <c r="BH25" s="141">
        <v>95542</v>
      </c>
      <c r="BI25" s="141">
        <v>95643</v>
      </c>
      <c r="BJ25" s="141">
        <v>95840</v>
      </c>
      <c r="BK25" s="141">
        <v>96088</v>
      </c>
      <c r="BL25" s="141">
        <v>96351</v>
      </c>
      <c r="BM25" s="141">
        <v>96549</v>
      </c>
      <c r="BN25" s="141">
        <v>96766</v>
      </c>
      <c r="BO25" s="141">
        <v>96935</v>
      </c>
      <c r="BP25" s="141">
        <v>97065</v>
      </c>
      <c r="BQ25" s="141">
        <v>97146</v>
      </c>
      <c r="BR25" s="141">
        <v>97228</v>
      </c>
      <c r="BS25" s="141">
        <v>97214</v>
      </c>
      <c r="BT25" s="141">
        <v>97275</v>
      </c>
      <c r="BU25" s="141">
        <v>97323</v>
      </c>
      <c r="BV25" s="141">
        <v>97433</v>
      </c>
      <c r="BW25" s="141">
        <v>97501</v>
      </c>
      <c r="BX25" s="141">
        <v>97605</v>
      </c>
      <c r="BY25" s="141">
        <v>97684</v>
      </c>
      <c r="BZ25" s="141">
        <v>97904</v>
      </c>
      <c r="CA25" s="141">
        <v>98085</v>
      </c>
      <c r="CB25" s="141">
        <v>98169</v>
      </c>
      <c r="CC25" s="141">
        <v>98247</v>
      </c>
      <c r="CD25" s="141">
        <v>98333</v>
      </c>
      <c r="CE25" s="141">
        <v>98413</v>
      </c>
      <c r="CF25" s="141">
        <v>98496</v>
      </c>
      <c r="CG25" s="141">
        <v>98600</v>
      </c>
      <c r="CH25" s="141">
        <v>98650</v>
      </c>
      <c r="CI25" s="141">
        <v>98741</v>
      </c>
      <c r="CJ25" s="141">
        <v>98791</v>
      </c>
      <c r="CK25" s="141">
        <v>98842</v>
      </c>
      <c r="CL25" s="141">
        <v>98932</v>
      </c>
      <c r="CM25" s="141">
        <v>98965</v>
      </c>
      <c r="CN25" s="141">
        <v>99027</v>
      </c>
      <c r="CO25" s="141">
        <v>99057</v>
      </c>
      <c r="CP25" s="141">
        <v>99118</v>
      </c>
      <c r="CQ25" s="141">
        <v>99159</v>
      </c>
      <c r="CR25" s="141">
        <v>99182</v>
      </c>
      <c r="CS25" s="141">
        <v>99229</v>
      </c>
      <c r="CT25" s="141">
        <v>99260</v>
      </c>
      <c r="CU25" s="141">
        <v>99288</v>
      </c>
      <c r="CV25" s="141">
        <v>99288</v>
      </c>
      <c r="CW25" s="141">
        <v>99321</v>
      </c>
      <c r="CX25" s="141">
        <v>99347</v>
      </c>
      <c r="CY25" s="141">
        <v>99364</v>
      </c>
      <c r="CZ25" s="141">
        <v>99349</v>
      </c>
      <c r="DA25" s="141">
        <v>99368</v>
      </c>
      <c r="DB25" s="141">
        <v>99382</v>
      </c>
      <c r="DC25" s="141">
        <v>99420</v>
      </c>
      <c r="DD25" s="141">
        <v>99426</v>
      </c>
      <c r="DE25" s="141">
        <v>99445</v>
      </c>
      <c r="DF25" s="141">
        <v>99490</v>
      </c>
      <c r="DG25" s="141">
        <v>99476</v>
      </c>
      <c r="DH25" s="141">
        <v>99502</v>
      </c>
      <c r="DI25" s="141">
        <v>99485</v>
      </c>
      <c r="DJ25" s="141">
        <v>99512</v>
      </c>
      <c r="DK25" s="141">
        <v>99528</v>
      </c>
      <c r="DL25" s="141">
        <v>99531</v>
      </c>
      <c r="DM25" s="141">
        <v>99550</v>
      </c>
      <c r="DN25" s="141">
        <v>99568</v>
      </c>
      <c r="DO25" s="141">
        <v>99585</v>
      </c>
    </row>
    <row r="26" spans="1:119">
      <c r="A26" s="140">
        <v>24</v>
      </c>
      <c r="W26" s="141">
        <v>82179</v>
      </c>
      <c r="X26" s="141">
        <v>82745</v>
      </c>
      <c r="Y26" s="141">
        <v>82727</v>
      </c>
      <c r="Z26" s="141">
        <v>84638</v>
      </c>
      <c r="AA26" s="141">
        <v>85020</v>
      </c>
      <c r="AB26" s="141">
        <v>85587</v>
      </c>
      <c r="AC26" s="141">
        <v>86426</v>
      </c>
      <c r="AD26" s="141">
        <v>87267</v>
      </c>
      <c r="AE26" s="141">
        <v>87202</v>
      </c>
      <c r="AF26" s="141">
        <v>88299</v>
      </c>
      <c r="AG26" s="141">
        <v>88781</v>
      </c>
      <c r="AH26" s="141">
        <v>88953</v>
      </c>
      <c r="AI26" s="141">
        <v>89351</v>
      </c>
      <c r="AJ26" s="141">
        <v>90543</v>
      </c>
      <c r="AK26" s="141">
        <v>90522</v>
      </c>
      <c r="AL26" s="141">
        <v>90840</v>
      </c>
      <c r="AM26" s="141">
        <v>91092</v>
      </c>
      <c r="AN26" s="141">
        <v>91574</v>
      </c>
      <c r="AO26" s="141">
        <v>91608</v>
      </c>
      <c r="AP26" s="141">
        <v>91692</v>
      </c>
      <c r="AQ26" s="141">
        <v>91777</v>
      </c>
      <c r="AR26" s="141">
        <v>91790</v>
      </c>
      <c r="AS26" s="141">
        <v>91273</v>
      </c>
      <c r="AT26" s="141">
        <v>90598</v>
      </c>
      <c r="AU26" s="141">
        <v>89489</v>
      </c>
      <c r="AV26" s="141">
        <v>89670</v>
      </c>
      <c r="AW26" s="141">
        <v>89963</v>
      </c>
      <c r="AX26" s="141">
        <v>91937</v>
      </c>
      <c r="AY26" s="141">
        <v>93538</v>
      </c>
      <c r="AZ26" s="141">
        <v>93613</v>
      </c>
      <c r="BA26" s="141">
        <v>93653</v>
      </c>
      <c r="BB26" s="141">
        <v>94210</v>
      </c>
      <c r="BC26" s="141">
        <v>94478</v>
      </c>
      <c r="BD26" s="141">
        <v>94764</v>
      </c>
      <c r="BE26" s="141">
        <v>94842</v>
      </c>
      <c r="BF26" s="141">
        <v>95163</v>
      </c>
      <c r="BG26" s="141">
        <v>95332</v>
      </c>
      <c r="BH26" s="141">
        <v>95497</v>
      </c>
      <c r="BI26" s="141">
        <v>95599</v>
      </c>
      <c r="BJ26" s="141">
        <v>95799</v>
      </c>
      <c r="BK26" s="141">
        <v>96046</v>
      </c>
      <c r="BL26" s="141">
        <v>96315</v>
      </c>
      <c r="BM26" s="141">
        <v>96515</v>
      </c>
      <c r="BN26" s="141">
        <v>96729</v>
      </c>
      <c r="BO26" s="141">
        <v>96896</v>
      </c>
      <c r="BP26" s="141">
        <v>97026</v>
      </c>
      <c r="BQ26" s="141">
        <v>97108</v>
      </c>
      <c r="BR26" s="141">
        <v>97193</v>
      </c>
      <c r="BS26" s="141">
        <v>97181</v>
      </c>
      <c r="BT26" s="141">
        <v>97243</v>
      </c>
      <c r="BU26" s="141">
        <v>97295</v>
      </c>
      <c r="BV26" s="141">
        <v>97401</v>
      </c>
      <c r="BW26" s="141">
        <v>97474</v>
      </c>
      <c r="BX26" s="141">
        <v>97578</v>
      </c>
      <c r="BY26" s="141">
        <v>97660</v>
      </c>
      <c r="BZ26" s="141">
        <v>97874</v>
      </c>
      <c r="CA26" s="141">
        <v>98054</v>
      </c>
      <c r="CB26" s="141">
        <v>98145</v>
      </c>
      <c r="CC26" s="141">
        <v>98220</v>
      </c>
      <c r="CD26" s="141">
        <v>98307</v>
      </c>
      <c r="CE26" s="141">
        <v>98389</v>
      </c>
      <c r="CF26" s="141">
        <v>98470</v>
      </c>
      <c r="CG26" s="141">
        <v>98576</v>
      </c>
      <c r="CH26" s="141">
        <v>98626</v>
      </c>
      <c r="CI26" s="141">
        <v>98722</v>
      </c>
      <c r="CJ26" s="141">
        <v>98767</v>
      </c>
      <c r="CK26" s="141">
        <v>98818</v>
      </c>
      <c r="CL26" s="141">
        <v>98911</v>
      </c>
      <c r="CM26" s="141">
        <v>98945</v>
      </c>
      <c r="CN26" s="141">
        <v>99003</v>
      </c>
      <c r="CO26" s="141">
        <v>99034</v>
      </c>
      <c r="CP26" s="141">
        <v>99101</v>
      </c>
      <c r="CQ26" s="141">
        <v>99142</v>
      </c>
      <c r="CR26" s="141">
        <v>99166</v>
      </c>
      <c r="CS26" s="141">
        <v>99213</v>
      </c>
      <c r="CT26" s="141">
        <v>99245</v>
      </c>
      <c r="CU26" s="141">
        <v>99273</v>
      </c>
      <c r="CV26" s="141">
        <v>99273</v>
      </c>
      <c r="CW26" s="141">
        <v>99307</v>
      </c>
      <c r="CX26" s="141">
        <v>99334</v>
      </c>
      <c r="CY26" s="141">
        <v>99351</v>
      </c>
      <c r="CZ26" s="141">
        <v>99336</v>
      </c>
      <c r="DA26" s="141">
        <v>99356</v>
      </c>
      <c r="DB26" s="141">
        <v>99370</v>
      </c>
      <c r="DC26" s="141">
        <v>99409</v>
      </c>
      <c r="DD26" s="141">
        <v>99415</v>
      </c>
      <c r="DE26" s="141">
        <v>99434</v>
      </c>
      <c r="DF26" s="141">
        <v>99479</v>
      </c>
      <c r="DG26" s="141">
        <v>99465</v>
      </c>
      <c r="DH26" s="141">
        <v>99492</v>
      </c>
      <c r="DI26" s="141">
        <v>99475</v>
      </c>
      <c r="DJ26" s="141">
        <v>99503</v>
      </c>
      <c r="DK26" s="141">
        <v>99518</v>
      </c>
      <c r="DL26" s="141">
        <v>99522</v>
      </c>
      <c r="DM26" s="141">
        <v>99541</v>
      </c>
      <c r="DN26" s="141">
        <v>99559</v>
      </c>
      <c r="DO26" s="141">
        <v>99577</v>
      </c>
    </row>
    <row r="27" spans="1:119">
      <c r="A27" s="140">
        <v>25</v>
      </c>
      <c r="W27" s="141">
        <v>81840</v>
      </c>
      <c r="X27" s="141">
        <v>82527</v>
      </c>
      <c r="Y27" s="141">
        <v>82509</v>
      </c>
      <c r="Z27" s="141">
        <v>84460</v>
      </c>
      <c r="AA27" s="141">
        <v>84908</v>
      </c>
      <c r="AB27" s="141">
        <v>85474</v>
      </c>
      <c r="AC27" s="141">
        <v>86312</v>
      </c>
      <c r="AD27" s="141">
        <v>87169</v>
      </c>
      <c r="AE27" s="141">
        <v>87118</v>
      </c>
      <c r="AF27" s="141">
        <v>88221</v>
      </c>
      <c r="AG27" s="141">
        <v>88701</v>
      </c>
      <c r="AH27" s="141">
        <v>88879</v>
      </c>
      <c r="AI27" s="141">
        <v>89281</v>
      </c>
      <c r="AJ27" s="141">
        <v>90475</v>
      </c>
      <c r="AK27" s="141">
        <v>90449</v>
      </c>
      <c r="AL27" s="141">
        <v>90777</v>
      </c>
      <c r="AM27" s="141">
        <v>91031</v>
      </c>
      <c r="AN27" s="141">
        <v>91515</v>
      </c>
      <c r="AO27" s="141">
        <v>91549</v>
      </c>
      <c r="AP27" s="141">
        <v>91636</v>
      </c>
      <c r="AQ27" s="141">
        <v>91717</v>
      </c>
      <c r="AR27" s="141">
        <v>91728</v>
      </c>
      <c r="AS27" s="141">
        <v>91211</v>
      </c>
      <c r="AT27" s="141">
        <v>90546</v>
      </c>
      <c r="AU27" s="141">
        <v>89438</v>
      </c>
      <c r="AV27" s="141">
        <v>89612</v>
      </c>
      <c r="AW27" s="141">
        <v>89910</v>
      </c>
      <c r="AX27" s="141">
        <v>91881</v>
      </c>
      <c r="AY27" s="141">
        <v>93489</v>
      </c>
      <c r="AZ27" s="141">
        <v>93561</v>
      </c>
      <c r="BA27" s="141">
        <v>93603</v>
      </c>
      <c r="BB27" s="141">
        <v>94158</v>
      </c>
      <c r="BC27" s="141">
        <v>94420</v>
      </c>
      <c r="BD27" s="141">
        <v>94706</v>
      </c>
      <c r="BE27" s="141">
        <v>94793</v>
      </c>
      <c r="BF27" s="141">
        <v>95118</v>
      </c>
      <c r="BG27" s="141">
        <v>95284</v>
      </c>
      <c r="BH27" s="141">
        <v>95452</v>
      </c>
      <c r="BI27" s="141">
        <v>95554</v>
      </c>
      <c r="BJ27" s="141">
        <v>95762</v>
      </c>
      <c r="BK27" s="141">
        <v>96005</v>
      </c>
      <c r="BL27" s="141">
        <v>96273</v>
      </c>
      <c r="BM27" s="141">
        <v>96473</v>
      </c>
      <c r="BN27" s="141">
        <v>96692</v>
      </c>
      <c r="BO27" s="141">
        <v>96857</v>
      </c>
      <c r="BP27" s="141">
        <v>96989</v>
      </c>
      <c r="BQ27" s="141">
        <v>97070</v>
      </c>
      <c r="BR27" s="141">
        <v>97157</v>
      </c>
      <c r="BS27" s="141">
        <v>97145</v>
      </c>
      <c r="BT27" s="141">
        <v>97211</v>
      </c>
      <c r="BU27" s="141">
        <v>97259</v>
      </c>
      <c r="BV27" s="141">
        <v>97371</v>
      </c>
      <c r="BW27" s="141">
        <v>97443</v>
      </c>
      <c r="BX27" s="141">
        <v>97550</v>
      </c>
      <c r="BY27" s="141">
        <v>97630</v>
      </c>
      <c r="BZ27" s="141">
        <v>97846</v>
      </c>
      <c r="CA27" s="141">
        <v>98025</v>
      </c>
      <c r="CB27" s="141">
        <v>98120</v>
      </c>
      <c r="CC27" s="141">
        <v>98193</v>
      </c>
      <c r="CD27" s="141">
        <v>98282</v>
      </c>
      <c r="CE27" s="141">
        <v>98367</v>
      </c>
      <c r="CF27" s="141">
        <v>98451</v>
      </c>
      <c r="CG27" s="141">
        <v>98556</v>
      </c>
      <c r="CH27" s="141">
        <v>98602</v>
      </c>
      <c r="CI27" s="141">
        <v>98699</v>
      </c>
      <c r="CJ27" s="141">
        <v>98747</v>
      </c>
      <c r="CK27" s="141">
        <v>98801</v>
      </c>
      <c r="CL27" s="141">
        <v>98887</v>
      </c>
      <c r="CM27" s="141">
        <v>98926</v>
      </c>
      <c r="CN27" s="141">
        <v>98986</v>
      </c>
      <c r="CO27" s="141">
        <v>99016</v>
      </c>
      <c r="CP27" s="141">
        <v>99084</v>
      </c>
      <c r="CQ27" s="141">
        <v>99126</v>
      </c>
      <c r="CR27" s="141">
        <v>99149</v>
      </c>
      <c r="CS27" s="141">
        <v>99197</v>
      </c>
      <c r="CT27" s="141">
        <v>99229</v>
      </c>
      <c r="CU27" s="141">
        <v>99258</v>
      </c>
      <c r="CV27" s="141">
        <v>99258</v>
      </c>
      <c r="CW27" s="141">
        <v>99293</v>
      </c>
      <c r="CX27" s="141">
        <v>99320</v>
      </c>
      <c r="CY27" s="141">
        <v>99338</v>
      </c>
      <c r="CZ27" s="141">
        <v>99323</v>
      </c>
      <c r="DA27" s="141">
        <v>99343</v>
      </c>
      <c r="DB27" s="141">
        <v>99358</v>
      </c>
      <c r="DC27" s="141">
        <v>99397</v>
      </c>
      <c r="DD27" s="141">
        <v>99403</v>
      </c>
      <c r="DE27" s="141">
        <v>99423</v>
      </c>
      <c r="DF27" s="141">
        <v>99468</v>
      </c>
      <c r="DG27" s="141">
        <v>99454</v>
      </c>
      <c r="DH27" s="141">
        <v>99481</v>
      </c>
      <c r="DI27" s="141">
        <v>99465</v>
      </c>
      <c r="DJ27" s="141">
        <v>99493</v>
      </c>
      <c r="DK27" s="141">
        <v>99509</v>
      </c>
      <c r="DL27" s="141">
        <v>99513</v>
      </c>
      <c r="DM27" s="141">
        <v>99532</v>
      </c>
      <c r="DN27" s="141">
        <v>99551</v>
      </c>
      <c r="DO27" s="141">
        <v>99568</v>
      </c>
    </row>
    <row r="28" spans="1:119">
      <c r="A28" s="140">
        <v>26</v>
      </c>
      <c r="W28" s="141">
        <v>81626</v>
      </c>
      <c r="X28" s="141">
        <v>82312</v>
      </c>
      <c r="Y28" s="141">
        <v>82336</v>
      </c>
      <c r="Z28" s="141">
        <v>84346</v>
      </c>
      <c r="AA28" s="141">
        <v>84793</v>
      </c>
      <c r="AB28" s="141">
        <v>85359</v>
      </c>
      <c r="AC28" s="141">
        <v>86225</v>
      </c>
      <c r="AD28" s="141">
        <v>87083</v>
      </c>
      <c r="AE28" s="141">
        <v>87035</v>
      </c>
      <c r="AF28" s="141">
        <v>88146</v>
      </c>
      <c r="AG28" s="141">
        <v>88621</v>
      </c>
      <c r="AH28" s="141">
        <v>88799</v>
      </c>
      <c r="AI28" s="141">
        <v>89213</v>
      </c>
      <c r="AJ28" s="141">
        <v>90402</v>
      </c>
      <c r="AK28" s="141">
        <v>90387</v>
      </c>
      <c r="AL28" s="141">
        <v>90714</v>
      </c>
      <c r="AM28" s="141">
        <v>90969</v>
      </c>
      <c r="AN28" s="141">
        <v>91455</v>
      </c>
      <c r="AO28" s="141">
        <v>91488</v>
      </c>
      <c r="AP28" s="141">
        <v>91575</v>
      </c>
      <c r="AQ28" s="141">
        <v>91663</v>
      </c>
      <c r="AR28" s="141">
        <v>91661</v>
      </c>
      <c r="AS28" s="141">
        <v>91159</v>
      </c>
      <c r="AT28" s="141">
        <v>90488</v>
      </c>
      <c r="AU28" s="141">
        <v>89381</v>
      </c>
      <c r="AV28" s="141">
        <v>89556</v>
      </c>
      <c r="AW28" s="141">
        <v>89856</v>
      </c>
      <c r="AX28" s="141">
        <v>91826</v>
      </c>
      <c r="AY28" s="141">
        <v>93435</v>
      </c>
      <c r="AZ28" s="141">
        <v>93507</v>
      </c>
      <c r="BA28" s="141">
        <v>93550</v>
      </c>
      <c r="BB28" s="141">
        <v>94099</v>
      </c>
      <c r="BC28" s="141">
        <v>94368</v>
      </c>
      <c r="BD28" s="141">
        <v>94652</v>
      </c>
      <c r="BE28" s="141">
        <v>94743</v>
      </c>
      <c r="BF28" s="141">
        <v>95073</v>
      </c>
      <c r="BG28" s="141">
        <v>95236</v>
      </c>
      <c r="BH28" s="141">
        <v>95410</v>
      </c>
      <c r="BI28" s="141">
        <v>95515</v>
      </c>
      <c r="BJ28" s="141">
        <v>95721</v>
      </c>
      <c r="BK28" s="141">
        <v>95968</v>
      </c>
      <c r="BL28" s="141">
        <v>96234</v>
      </c>
      <c r="BM28" s="141">
        <v>96435</v>
      </c>
      <c r="BN28" s="141">
        <v>96656</v>
      </c>
      <c r="BO28" s="141">
        <v>96815</v>
      </c>
      <c r="BP28" s="141">
        <v>96954</v>
      </c>
      <c r="BQ28" s="141">
        <v>97028</v>
      </c>
      <c r="BR28" s="141">
        <v>97120</v>
      </c>
      <c r="BS28" s="141">
        <v>97115</v>
      </c>
      <c r="BT28" s="141">
        <v>97177</v>
      </c>
      <c r="BU28" s="141">
        <v>97230</v>
      </c>
      <c r="BV28" s="141">
        <v>97341</v>
      </c>
      <c r="BW28" s="141">
        <v>97409</v>
      </c>
      <c r="BX28" s="141">
        <v>97521</v>
      </c>
      <c r="BY28" s="141">
        <v>97605</v>
      </c>
      <c r="BZ28" s="141">
        <v>97822</v>
      </c>
      <c r="CA28" s="141">
        <v>97995</v>
      </c>
      <c r="CB28" s="141">
        <v>98098</v>
      </c>
      <c r="CC28" s="141">
        <v>98171</v>
      </c>
      <c r="CD28" s="141">
        <v>98258</v>
      </c>
      <c r="CE28" s="141">
        <v>98347</v>
      </c>
      <c r="CF28" s="141">
        <v>98426</v>
      </c>
      <c r="CG28" s="141">
        <v>98534</v>
      </c>
      <c r="CH28" s="141">
        <v>98579</v>
      </c>
      <c r="CI28" s="141">
        <v>98678</v>
      </c>
      <c r="CJ28" s="141">
        <v>98723</v>
      </c>
      <c r="CK28" s="141">
        <v>98779</v>
      </c>
      <c r="CL28" s="141">
        <v>98867</v>
      </c>
      <c r="CM28" s="141">
        <v>98906</v>
      </c>
      <c r="CN28" s="141">
        <v>98968</v>
      </c>
      <c r="CO28" s="141">
        <v>98998</v>
      </c>
      <c r="CP28" s="141">
        <v>99066</v>
      </c>
      <c r="CQ28" s="141">
        <v>99109</v>
      </c>
      <c r="CR28" s="141">
        <v>99133</v>
      </c>
      <c r="CS28" s="141">
        <v>99181</v>
      </c>
      <c r="CT28" s="141">
        <v>99214</v>
      </c>
      <c r="CU28" s="141">
        <v>99243</v>
      </c>
      <c r="CV28" s="141">
        <v>99244</v>
      </c>
      <c r="CW28" s="141">
        <v>99279</v>
      </c>
      <c r="CX28" s="141">
        <v>99306</v>
      </c>
      <c r="CY28" s="141">
        <v>99324</v>
      </c>
      <c r="CZ28" s="141">
        <v>99310</v>
      </c>
      <c r="DA28" s="141">
        <v>99330</v>
      </c>
      <c r="DB28" s="141">
        <v>99345</v>
      </c>
      <c r="DC28" s="141">
        <v>99385</v>
      </c>
      <c r="DD28" s="141">
        <v>99391</v>
      </c>
      <c r="DE28" s="141">
        <v>99412</v>
      </c>
      <c r="DF28" s="141">
        <v>99457</v>
      </c>
      <c r="DG28" s="141">
        <v>99444</v>
      </c>
      <c r="DH28" s="141">
        <v>99471</v>
      </c>
      <c r="DI28" s="141">
        <v>99455</v>
      </c>
      <c r="DJ28" s="141">
        <v>99483</v>
      </c>
      <c r="DK28" s="141">
        <v>99499</v>
      </c>
      <c r="DL28" s="141">
        <v>99504</v>
      </c>
      <c r="DM28" s="141">
        <v>99523</v>
      </c>
      <c r="DN28" s="141">
        <v>99542</v>
      </c>
      <c r="DO28" s="141">
        <v>99560</v>
      </c>
    </row>
    <row r="29" spans="1:119">
      <c r="A29" s="140">
        <v>27</v>
      </c>
      <c r="W29" s="141">
        <v>81415</v>
      </c>
      <c r="X29" s="141">
        <v>82141</v>
      </c>
      <c r="Y29" s="141">
        <v>82222</v>
      </c>
      <c r="Z29" s="141">
        <v>84228</v>
      </c>
      <c r="AA29" s="141">
        <v>84675</v>
      </c>
      <c r="AB29" s="141">
        <v>85265</v>
      </c>
      <c r="AC29" s="141">
        <v>86135</v>
      </c>
      <c r="AD29" s="141">
        <v>86989</v>
      </c>
      <c r="AE29" s="141">
        <v>86949</v>
      </c>
      <c r="AF29" s="141">
        <v>88063</v>
      </c>
      <c r="AG29" s="141">
        <v>88539</v>
      </c>
      <c r="AH29" s="141">
        <v>88724</v>
      </c>
      <c r="AI29" s="141">
        <v>89140</v>
      </c>
      <c r="AJ29" s="141">
        <v>90325</v>
      </c>
      <c r="AK29" s="141">
        <v>90316</v>
      </c>
      <c r="AL29" s="141">
        <v>90649</v>
      </c>
      <c r="AM29" s="141">
        <v>90908</v>
      </c>
      <c r="AN29" s="141">
        <v>91393</v>
      </c>
      <c r="AO29" s="141">
        <v>91426</v>
      </c>
      <c r="AP29" s="141">
        <v>91513</v>
      </c>
      <c r="AQ29" s="141">
        <v>91603</v>
      </c>
      <c r="AR29" s="141">
        <v>91600</v>
      </c>
      <c r="AS29" s="141">
        <v>91102</v>
      </c>
      <c r="AT29" s="141">
        <v>90429</v>
      </c>
      <c r="AU29" s="141">
        <v>89322</v>
      </c>
      <c r="AV29" s="141">
        <v>89498</v>
      </c>
      <c r="AW29" s="141">
        <v>89804</v>
      </c>
      <c r="AX29" s="141">
        <v>91773</v>
      </c>
      <c r="AY29" s="141">
        <v>93378</v>
      </c>
      <c r="AZ29" s="141">
        <v>93452</v>
      </c>
      <c r="BA29" s="141">
        <v>93496</v>
      </c>
      <c r="BB29" s="141">
        <v>94047</v>
      </c>
      <c r="BC29" s="141">
        <v>94315</v>
      </c>
      <c r="BD29" s="141">
        <v>94599</v>
      </c>
      <c r="BE29" s="141">
        <v>94690</v>
      </c>
      <c r="BF29" s="141">
        <v>95025</v>
      </c>
      <c r="BG29" s="141">
        <v>95187</v>
      </c>
      <c r="BH29" s="141">
        <v>95368</v>
      </c>
      <c r="BI29" s="141">
        <v>95471</v>
      </c>
      <c r="BJ29" s="141">
        <v>95678</v>
      </c>
      <c r="BK29" s="141">
        <v>95930</v>
      </c>
      <c r="BL29" s="141">
        <v>96196</v>
      </c>
      <c r="BM29" s="141">
        <v>96400</v>
      </c>
      <c r="BN29" s="141">
        <v>96619</v>
      </c>
      <c r="BO29" s="141">
        <v>96773</v>
      </c>
      <c r="BP29" s="141">
        <v>96917</v>
      </c>
      <c r="BQ29" s="141">
        <v>96994</v>
      </c>
      <c r="BR29" s="141">
        <v>97085</v>
      </c>
      <c r="BS29" s="141">
        <v>97082</v>
      </c>
      <c r="BT29" s="141">
        <v>97147</v>
      </c>
      <c r="BU29" s="141">
        <v>97201</v>
      </c>
      <c r="BV29" s="141">
        <v>97307</v>
      </c>
      <c r="BW29" s="141">
        <v>97381</v>
      </c>
      <c r="BX29" s="141">
        <v>97495</v>
      </c>
      <c r="BY29" s="141">
        <v>97577</v>
      </c>
      <c r="BZ29" s="141">
        <v>97796</v>
      </c>
      <c r="CA29" s="141">
        <v>97966</v>
      </c>
      <c r="CB29" s="141">
        <v>98074</v>
      </c>
      <c r="CC29" s="141">
        <v>98149</v>
      </c>
      <c r="CD29" s="141">
        <v>98234</v>
      </c>
      <c r="CE29" s="141">
        <v>98322</v>
      </c>
      <c r="CF29" s="141">
        <v>98400</v>
      </c>
      <c r="CG29" s="141">
        <v>98508</v>
      </c>
      <c r="CH29" s="141">
        <v>98557</v>
      </c>
      <c r="CI29" s="141">
        <v>98657</v>
      </c>
      <c r="CJ29" s="141">
        <v>98702</v>
      </c>
      <c r="CK29" s="141">
        <v>98759</v>
      </c>
      <c r="CL29" s="141">
        <v>98850</v>
      </c>
      <c r="CM29" s="141">
        <v>98887</v>
      </c>
      <c r="CN29" s="141">
        <v>98949</v>
      </c>
      <c r="CO29" s="141">
        <v>98979</v>
      </c>
      <c r="CP29" s="141">
        <v>99048</v>
      </c>
      <c r="CQ29" s="141">
        <v>99091</v>
      </c>
      <c r="CR29" s="141">
        <v>99116</v>
      </c>
      <c r="CS29" s="141">
        <v>99164</v>
      </c>
      <c r="CT29" s="141">
        <v>99197</v>
      </c>
      <c r="CU29" s="141">
        <v>99227</v>
      </c>
      <c r="CV29" s="141">
        <v>99228</v>
      </c>
      <c r="CW29" s="141">
        <v>99264</v>
      </c>
      <c r="CX29" s="141">
        <v>99291</v>
      </c>
      <c r="CY29" s="141">
        <v>99310</v>
      </c>
      <c r="CZ29" s="141">
        <v>99296</v>
      </c>
      <c r="DA29" s="141">
        <v>99317</v>
      </c>
      <c r="DB29" s="141">
        <v>99332</v>
      </c>
      <c r="DC29" s="141">
        <v>99372</v>
      </c>
      <c r="DD29" s="141">
        <v>99379</v>
      </c>
      <c r="DE29" s="141">
        <v>99400</v>
      </c>
      <c r="DF29" s="141">
        <v>99445</v>
      </c>
      <c r="DG29" s="141">
        <v>99432</v>
      </c>
      <c r="DH29" s="141">
        <v>99460</v>
      </c>
      <c r="DI29" s="141">
        <v>99444</v>
      </c>
      <c r="DJ29" s="141">
        <v>99473</v>
      </c>
      <c r="DK29" s="141">
        <v>99489</v>
      </c>
      <c r="DL29" s="141">
        <v>99494</v>
      </c>
      <c r="DM29" s="141">
        <v>99513</v>
      </c>
      <c r="DN29" s="141">
        <v>99532</v>
      </c>
      <c r="DO29" s="141">
        <v>99551</v>
      </c>
    </row>
    <row r="30" spans="1:119">
      <c r="A30" s="140">
        <v>28</v>
      </c>
      <c r="W30" s="141">
        <v>81245</v>
      </c>
      <c r="X30" s="141">
        <v>82023</v>
      </c>
      <c r="Y30" s="141">
        <v>82103</v>
      </c>
      <c r="Z30" s="141">
        <v>84107</v>
      </c>
      <c r="AA30" s="141">
        <v>84570</v>
      </c>
      <c r="AB30" s="141">
        <v>85170</v>
      </c>
      <c r="AC30" s="141">
        <v>86045</v>
      </c>
      <c r="AD30" s="141">
        <v>86902</v>
      </c>
      <c r="AE30" s="141">
        <v>86861</v>
      </c>
      <c r="AF30" s="141">
        <v>87978</v>
      </c>
      <c r="AG30" s="141">
        <v>88456</v>
      </c>
      <c r="AH30" s="141">
        <v>88641</v>
      </c>
      <c r="AI30" s="141">
        <v>89065</v>
      </c>
      <c r="AJ30" s="141">
        <v>90252</v>
      </c>
      <c r="AK30" s="141">
        <v>90245</v>
      </c>
      <c r="AL30" s="141">
        <v>90586</v>
      </c>
      <c r="AM30" s="141">
        <v>90847</v>
      </c>
      <c r="AN30" s="141">
        <v>91328</v>
      </c>
      <c r="AO30" s="141">
        <v>91358</v>
      </c>
      <c r="AP30" s="141">
        <v>91451</v>
      </c>
      <c r="AQ30" s="141">
        <v>91540</v>
      </c>
      <c r="AR30" s="141">
        <v>91535</v>
      </c>
      <c r="AS30" s="141">
        <v>91037</v>
      </c>
      <c r="AT30" s="141">
        <v>90366</v>
      </c>
      <c r="AU30" s="141">
        <v>89268</v>
      </c>
      <c r="AV30" s="141">
        <v>89439</v>
      </c>
      <c r="AW30" s="141">
        <v>89750</v>
      </c>
      <c r="AX30" s="141">
        <v>91722</v>
      </c>
      <c r="AY30" s="141">
        <v>93323</v>
      </c>
      <c r="AZ30" s="141">
        <v>93387</v>
      </c>
      <c r="BA30" s="141">
        <v>93443</v>
      </c>
      <c r="BB30" s="141">
        <v>93994</v>
      </c>
      <c r="BC30" s="141">
        <v>94260</v>
      </c>
      <c r="BD30" s="141">
        <v>94548</v>
      </c>
      <c r="BE30" s="141">
        <v>94638</v>
      </c>
      <c r="BF30" s="141">
        <v>94980</v>
      </c>
      <c r="BG30" s="141">
        <v>95138</v>
      </c>
      <c r="BH30" s="141">
        <v>95323</v>
      </c>
      <c r="BI30" s="141">
        <v>95426</v>
      </c>
      <c r="BJ30" s="141">
        <v>95634</v>
      </c>
      <c r="BK30" s="141">
        <v>95890</v>
      </c>
      <c r="BL30" s="141">
        <v>96157</v>
      </c>
      <c r="BM30" s="141">
        <v>96361</v>
      </c>
      <c r="BN30" s="141">
        <v>96581</v>
      </c>
      <c r="BO30" s="141">
        <v>96733</v>
      </c>
      <c r="BP30" s="141">
        <v>96884</v>
      </c>
      <c r="BQ30" s="141">
        <v>96958</v>
      </c>
      <c r="BR30" s="141">
        <v>97051</v>
      </c>
      <c r="BS30" s="141">
        <v>97049</v>
      </c>
      <c r="BT30" s="141">
        <v>97113</v>
      </c>
      <c r="BU30" s="141">
        <v>97172</v>
      </c>
      <c r="BV30" s="141">
        <v>97273</v>
      </c>
      <c r="BW30" s="141">
        <v>97348</v>
      </c>
      <c r="BX30" s="141">
        <v>97462</v>
      </c>
      <c r="BY30" s="141">
        <v>97551</v>
      </c>
      <c r="BZ30" s="141">
        <v>97768</v>
      </c>
      <c r="CA30" s="141">
        <v>97937</v>
      </c>
      <c r="CB30" s="141">
        <v>98050</v>
      </c>
      <c r="CC30" s="141">
        <v>98123</v>
      </c>
      <c r="CD30" s="141">
        <v>98210</v>
      </c>
      <c r="CE30" s="141">
        <v>98297</v>
      </c>
      <c r="CF30" s="141">
        <v>98373</v>
      </c>
      <c r="CG30" s="141">
        <v>98478</v>
      </c>
      <c r="CH30" s="141">
        <v>98534</v>
      </c>
      <c r="CI30" s="141">
        <v>98635</v>
      </c>
      <c r="CJ30" s="141">
        <v>98680</v>
      </c>
      <c r="CK30" s="141">
        <v>98736</v>
      </c>
      <c r="CL30" s="141">
        <v>98829</v>
      </c>
      <c r="CM30" s="141">
        <v>98866</v>
      </c>
      <c r="CN30" s="141">
        <v>98928</v>
      </c>
      <c r="CO30" s="141">
        <v>98959</v>
      </c>
      <c r="CP30" s="141">
        <v>99029</v>
      </c>
      <c r="CQ30" s="141">
        <v>99072</v>
      </c>
      <c r="CR30" s="141">
        <v>99097</v>
      </c>
      <c r="CS30" s="141">
        <v>99147</v>
      </c>
      <c r="CT30" s="141">
        <v>99180</v>
      </c>
      <c r="CU30" s="141">
        <v>99210</v>
      </c>
      <c r="CV30" s="141">
        <v>99212</v>
      </c>
      <c r="CW30" s="141">
        <v>99248</v>
      </c>
      <c r="CX30" s="141">
        <v>99276</v>
      </c>
      <c r="CY30" s="141">
        <v>99295</v>
      </c>
      <c r="CZ30" s="141">
        <v>99282</v>
      </c>
      <c r="DA30" s="141">
        <v>99302</v>
      </c>
      <c r="DB30" s="141">
        <v>99318</v>
      </c>
      <c r="DC30" s="141">
        <v>99358</v>
      </c>
      <c r="DD30" s="141">
        <v>99366</v>
      </c>
      <c r="DE30" s="141">
        <v>99387</v>
      </c>
      <c r="DF30" s="141">
        <v>99433</v>
      </c>
      <c r="DG30" s="141">
        <v>99420</v>
      </c>
      <c r="DH30" s="141">
        <v>99448</v>
      </c>
      <c r="DI30" s="141">
        <v>99433</v>
      </c>
      <c r="DJ30" s="141">
        <v>99462</v>
      </c>
      <c r="DK30" s="141">
        <v>99478</v>
      </c>
      <c r="DL30" s="141">
        <v>99483</v>
      </c>
      <c r="DM30" s="141">
        <v>99503</v>
      </c>
      <c r="DN30" s="141">
        <v>99523</v>
      </c>
      <c r="DO30" s="141">
        <v>99541</v>
      </c>
    </row>
    <row r="31" spans="1:119">
      <c r="A31" s="140">
        <v>29</v>
      </c>
      <c r="W31" s="141">
        <v>81122</v>
      </c>
      <c r="X31" s="141">
        <v>81899</v>
      </c>
      <c r="Y31" s="141">
        <v>81979</v>
      </c>
      <c r="Z31" s="141">
        <v>84006</v>
      </c>
      <c r="AA31" s="141">
        <v>84475</v>
      </c>
      <c r="AB31" s="141">
        <v>85075</v>
      </c>
      <c r="AC31" s="141">
        <v>85951</v>
      </c>
      <c r="AD31" s="141">
        <v>86816</v>
      </c>
      <c r="AE31" s="141">
        <v>86765</v>
      </c>
      <c r="AF31" s="141">
        <v>87893</v>
      </c>
      <c r="AG31" s="141">
        <v>88362</v>
      </c>
      <c r="AH31" s="141">
        <v>88555</v>
      </c>
      <c r="AI31" s="141">
        <v>88986</v>
      </c>
      <c r="AJ31" s="141">
        <v>90174</v>
      </c>
      <c r="AK31" s="141">
        <v>90170</v>
      </c>
      <c r="AL31" s="141">
        <v>90515</v>
      </c>
      <c r="AM31" s="141">
        <v>90782</v>
      </c>
      <c r="AN31" s="141">
        <v>91265</v>
      </c>
      <c r="AO31" s="141">
        <v>91294</v>
      </c>
      <c r="AP31" s="141">
        <v>91389</v>
      </c>
      <c r="AQ31" s="141">
        <v>91474</v>
      </c>
      <c r="AR31" s="141">
        <v>91477</v>
      </c>
      <c r="AS31" s="141">
        <v>90978</v>
      </c>
      <c r="AT31" s="141">
        <v>90303</v>
      </c>
      <c r="AU31" s="141">
        <v>89206</v>
      </c>
      <c r="AV31" s="141">
        <v>89384</v>
      </c>
      <c r="AW31" s="141">
        <v>89694</v>
      </c>
      <c r="AX31" s="141">
        <v>91665</v>
      </c>
      <c r="AY31" s="141">
        <v>93260</v>
      </c>
      <c r="AZ31" s="141">
        <v>93333</v>
      </c>
      <c r="BA31" s="141">
        <v>93385</v>
      </c>
      <c r="BB31" s="141">
        <v>93939</v>
      </c>
      <c r="BC31" s="141">
        <v>94205</v>
      </c>
      <c r="BD31" s="141">
        <v>94500</v>
      </c>
      <c r="BE31" s="141">
        <v>94579</v>
      </c>
      <c r="BF31" s="141">
        <v>94932</v>
      </c>
      <c r="BG31" s="141">
        <v>95090</v>
      </c>
      <c r="BH31" s="141">
        <v>95276</v>
      </c>
      <c r="BI31" s="141">
        <v>95383</v>
      </c>
      <c r="BJ31" s="141">
        <v>95594</v>
      </c>
      <c r="BK31" s="141">
        <v>95845</v>
      </c>
      <c r="BL31" s="141">
        <v>96118</v>
      </c>
      <c r="BM31" s="141">
        <v>96315</v>
      </c>
      <c r="BN31" s="141">
        <v>96536</v>
      </c>
      <c r="BO31" s="141">
        <v>96696</v>
      </c>
      <c r="BP31" s="141">
        <v>96846</v>
      </c>
      <c r="BQ31" s="141">
        <v>96919</v>
      </c>
      <c r="BR31" s="141">
        <v>97011</v>
      </c>
      <c r="BS31" s="141">
        <v>97011</v>
      </c>
      <c r="BT31" s="141">
        <v>97082</v>
      </c>
      <c r="BU31" s="141">
        <v>97137</v>
      </c>
      <c r="BV31" s="141">
        <v>97240</v>
      </c>
      <c r="BW31" s="141">
        <v>97319</v>
      </c>
      <c r="BX31" s="141">
        <v>97432</v>
      </c>
      <c r="BY31" s="141">
        <v>97522</v>
      </c>
      <c r="BZ31" s="141">
        <v>97747</v>
      </c>
      <c r="CA31" s="141">
        <v>97913</v>
      </c>
      <c r="CB31" s="141">
        <v>98026</v>
      </c>
      <c r="CC31" s="141">
        <v>98098</v>
      </c>
      <c r="CD31" s="141">
        <v>98184</v>
      </c>
      <c r="CE31" s="141">
        <v>98272</v>
      </c>
      <c r="CF31" s="141">
        <v>98350</v>
      </c>
      <c r="CG31" s="141">
        <v>98452</v>
      </c>
      <c r="CH31" s="141">
        <v>98509</v>
      </c>
      <c r="CI31" s="141">
        <v>98611</v>
      </c>
      <c r="CJ31" s="141">
        <v>98654</v>
      </c>
      <c r="CK31" s="141">
        <v>98712</v>
      </c>
      <c r="CL31" s="141">
        <v>98806</v>
      </c>
      <c r="CM31" s="141">
        <v>98843</v>
      </c>
      <c r="CN31" s="141">
        <v>98907</v>
      </c>
      <c r="CO31" s="141">
        <v>98938</v>
      </c>
      <c r="CP31" s="141">
        <v>99008</v>
      </c>
      <c r="CQ31" s="141">
        <v>99052</v>
      </c>
      <c r="CR31" s="141">
        <v>99078</v>
      </c>
      <c r="CS31" s="141">
        <v>99128</v>
      </c>
      <c r="CT31" s="141">
        <v>99161</v>
      </c>
      <c r="CU31" s="141">
        <v>99192</v>
      </c>
      <c r="CV31" s="141">
        <v>99194</v>
      </c>
      <c r="CW31" s="141">
        <v>99231</v>
      </c>
      <c r="CX31" s="141">
        <v>99259</v>
      </c>
      <c r="CY31" s="141">
        <v>99279</v>
      </c>
      <c r="CZ31" s="141">
        <v>99266</v>
      </c>
      <c r="DA31" s="141">
        <v>99287</v>
      </c>
      <c r="DB31" s="141">
        <v>99303</v>
      </c>
      <c r="DC31" s="141">
        <v>99344</v>
      </c>
      <c r="DD31" s="141">
        <v>99352</v>
      </c>
      <c r="DE31" s="141">
        <v>99373</v>
      </c>
      <c r="DF31" s="141">
        <v>99419</v>
      </c>
      <c r="DG31" s="141">
        <v>99407</v>
      </c>
      <c r="DH31" s="141">
        <v>99435</v>
      </c>
      <c r="DI31" s="141">
        <v>99421</v>
      </c>
      <c r="DJ31" s="141">
        <v>99450</v>
      </c>
      <c r="DK31" s="141">
        <v>99467</v>
      </c>
      <c r="DL31" s="141">
        <v>99472</v>
      </c>
      <c r="DM31" s="141">
        <v>99492</v>
      </c>
      <c r="DN31" s="141">
        <v>99512</v>
      </c>
      <c r="DO31" s="141">
        <v>99531</v>
      </c>
    </row>
    <row r="32" spans="1:119">
      <c r="A32" s="140">
        <v>30</v>
      </c>
      <c r="W32" s="141">
        <v>80994</v>
      </c>
      <c r="X32" s="141">
        <v>81770</v>
      </c>
      <c r="Y32" s="141">
        <v>81867</v>
      </c>
      <c r="Z32" s="141">
        <v>83902</v>
      </c>
      <c r="AA32" s="141">
        <v>84374</v>
      </c>
      <c r="AB32" s="141">
        <v>84978</v>
      </c>
      <c r="AC32" s="141">
        <v>85856</v>
      </c>
      <c r="AD32" s="141">
        <v>86724</v>
      </c>
      <c r="AE32" s="141">
        <v>86672</v>
      </c>
      <c r="AF32" s="141">
        <v>87798</v>
      </c>
      <c r="AG32" s="141">
        <v>88273</v>
      </c>
      <c r="AH32" s="141">
        <v>88468</v>
      </c>
      <c r="AI32" s="141">
        <v>88905</v>
      </c>
      <c r="AJ32" s="141">
        <v>90093</v>
      </c>
      <c r="AK32" s="141">
        <v>90092</v>
      </c>
      <c r="AL32" s="141">
        <v>90444</v>
      </c>
      <c r="AM32" s="141">
        <v>90709</v>
      </c>
      <c r="AN32" s="141">
        <v>91190</v>
      </c>
      <c r="AO32" s="141">
        <v>91228</v>
      </c>
      <c r="AP32" s="141">
        <v>91322</v>
      </c>
      <c r="AQ32" s="141">
        <v>91407</v>
      </c>
      <c r="AR32" s="141">
        <v>91411</v>
      </c>
      <c r="AS32" s="141">
        <v>90913</v>
      </c>
      <c r="AT32" s="141">
        <v>90241</v>
      </c>
      <c r="AU32" s="141">
        <v>89141</v>
      </c>
      <c r="AV32" s="141">
        <v>89321</v>
      </c>
      <c r="AW32" s="141">
        <v>89634</v>
      </c>
      <c r="AX32" s="141">
        <v>91606</v>
      </c>
      <c r="AY32" s="141">
        <v>93191</v>
      </c>
      <c r="AZ32" s="141">
        <v>93270</v>
      </c>
      <c r="BA32" s="141">
        <v>93330</v>
      </c>
      <c r="BB32" s="141">
        <v>93881</v>
      </c>
      <c r="BC32" s="141">
        <v>94149</v>
      </c>
      <c r="BD32" s="141">
        <v>94448</v>
      </c>
      <c r="BE32" s="141">
        <v>94523</v>
      </c>
      <c r="BF32" s="141">
        <v>94884</v>
      </c>
      <c r="BG32" s="141">
        <v>95049</v>
      </c>
      <c r="BH32" s="141">
        <v>95231</v>
      </c>
      <c r="BI32" s="141">
        <v>95332</v>
      </c>
      <c r="BJ32" s="141">
        <v>95543</v>
      </c>
      <c r="BK32" s="141">
        <v>95799</v>
      </c>
      <c r="BL32" s="141">
        <v>96069</v>
      </c>
      <c r="BM32" s="141">
        <v>96267</v>
      </c>
      <c r="BN32" s="141">
        <v>96494</v>
      </c>
      <c r="BO32" s="141">
        <v>96657</v>
      </c>
      <c r="BP32" s="141">
        <v>96803</v>
      </c>
      <c r="BQ32" s="141">
        <v>96880</v>
      </c>
      <c r="BR32" s="141">
        <v>96977</v>
      </c>
      <c r="BS32" s="141">
        <v>96975</v>
      </c>
      <c r="BT32" s="141">
        <v>97048</v>
      </c>
      <c r="BU32" s="141">
        <v>97103</v>
      </c>
      <c r="BV32" s="141">
        <v>97212</v>
      </c>
      <c r="BW32" s="141">
        <v>97291</v>
      </c>
      <c r="BX32" s="141">
        <v>97403</v>
      </c>
      <c r="BY32" s="141">
        <v>97494</v>
      </c>
      <c r="BZ32" s="141">
        <v>97719</v>
      </c>
      <c r="CA32" s="141">
        <v>97882</v>
      </c>
      <c r="CB32" s="141">
        <v>97996</v>
      </c>
      <c r="CC32" s="141">
        <v>98075</v>
      </c>
      <c r="CD32" s="141">
        <v>98157</v>
      </c>
      <c r="CE32" s="141">
        <v>98242</v>
      </c>
      <c r="CF32" s="141">
        <v>98326</v>
      </c>
      <c r="CG32" s="141">
        <v>98421</v>
      </c>
      <c r="CH32" s="141">
        <v>98484</v>
      </c>
      <c r="CI32" s="141">
        <v>98587</v>
      </c>
      <c r="CJ32" s="141">
        <v>98629</v>
      </c>
      <c r="CK32" s="141">
        <v>98687</v>
      </c>
      <c r="CL32" s="141">
        <v>98782</v>
      </c>
      <c r="CM32" s="141">
        <v>98820</v>
      </c>
      <c r="CN32" s="141">
        <v>98883</v>
      </c>
      <c r="CO32" s="141">
        <v>98916</v>
      </c>
      <c r="CP32" s="141">
        <v>98986</v>
      </c>
      <c r="CQ32" s="141">
        <v>99031</v>
      </c>
      <c r="CR32" s="141">
        <v>99057</v>
      </c>
      <c r="CS32" s="141">
        <v>99107</v>
      </c>
      <c r="CT32" s="141">
        <v>99142</v>
      </c>
      <c r="CU32" s="141">
        <v>99173</v>
      </c>
      <c r="CV32" s="141">
        <v>99176</v>
      </c>
      <c r="CW32" s="141">
        <v>99212</v>
      </c>
      <c r="CX32" s="141">
        <v>99241</v>
      </c>
      <c r="CY32" s="141">
        <v>99261</v>
      </c>
      <c r="CZ32" s="141">
        <v>99249</v>
      </c>
      <c r="DA32" s="141">
        <v>99271</v>
      </c>
      <c r="DB32" s="141">
        <v>99287</v>
      </c>
      <c r="DC32" s="141">
        <v>99328</v>
      </c>
      <c r="DD32" s="141">
        <v>99337</v>
      </c>
      <c r="DE32" s="141">
        <v>99358</v>
      </c>
      <c r="DF32" s="141">
        <v>99405</v>
      </c>
      <c r="DG32" s="141">
        <v>99393</v>
      </c>
      <c r="DH32" s="141">
        <v>99422</v>
      </c>
      <c r="DI32" s="141">
        <v>99407</v>
      </c>
      <c r="DJ32" s="141">
        <v>99437</v>
      </c>
      <c r="DK32" s="141">
        <v>99454</v>
      </c>
      <c r="DL32" s="141">
        <v>99460</v>
      </c>
      <c r="DM32" s="141">
        <v>99480</v>
      </c>
      <c r="DN32" s="141">
        <v>99500</v>
      </c>
      <c r="DO32" s="141">
        <v>99519</v>
      </c>
    </row>
    <row r="33" spans="1:119">
      <c r="A33" s="140">
        <v>31</v>
      </c>
      <c r="W33" s="141">
        <v>80860</v>
      </c>
      <c r="X33" s="141">
        <v>81664</v>
      </c>
      <c r="Y33" s="141">
        <v>81763</v>
      </c>
      <c r="Z33" s="141">
        <v>83794</v>
      </c>
      <c r="AA33" s="141">
        <v>84274</v>
      </c>
      <c r="AB33" s="141">
        <v>84880</v>
      </c>
      <c r="AC33" s="141">
        <v>85752</v>
      </c>
      <c r="AD33" s="141">
        <v>86637</v>
      </c>
      <c r="AE33" s="141">
        <v>86579</v>
      </c>
      <c r="AF33" s="141">
        <v>87715</v>
      </c>
      <c r="AG33" s="141">
        <v>88191</v>
      </c>
      <c r="AH33" s="141">
        <v>88389</v>
      </c>
      <c r="AI33" s="141">
        <v>88818</v>
      </c>
      <c r="AJ33" s="141">
        <v>90014</v>
      </c>
      <c r="AK33" s="141">
        <v>90010</v>
      </c>
      <c r="AL33" s="141">
        <v>90365</v>
      </c>
      <c r="AM33" s="141">
        <v>90633</v>
      </c>
      <c r="AN33" s="141">
        <v>91113</v>
      </c>
      <c r="AO33" s="141">
        <v>91152</v>
      </c>
      <c r="AP33" s="141">
        <v>91252</v>
      </c>
      <c r="AQ33" s="141">
        <v>91334</v>
      </c>
      <c r="AR33" s="141">
        <v>91338</v>
      </c>
      <c r="AS33" s="141">
        <v>90845</v>
      </c>
      <c r="AT33" s="141">
        <v>90171</v>
      </c>
      <c r="AU33" s="141">
        <v>89071</v>
      </c>
      <c r="AV33" s="141">
        <v>89258</v>
      </c>
      <c r="AW33" s="141">
        <v>89570</v>
      </c>
      <c r="AX33" s="141">
        <v>91543</v>
      </c>
      <c r="AY33" s="141">
        <v>93130</v>
      </c>
      <c r="AZ33" s="141">
        <v>93208</v>
      </c>
      <c r="BA33" s="141">
        <v>93267</v>
      </c>
      <c r="BB33" s="141">
        <v>93822</v>
      </c>
      <c r="BC33" s="141">
        <v>94094</v>
      </c>
      <c r="BD33" s="141">
        <v>94390</v>
      </c>
      <c r="BE33" s="141">
        <v>94472</v>
      </c>
      <c r="BF33" s="141">
        <v>94830</v>
      </c>
      <c r="BG33" s="141">
        <v>94997</v>
      </c>
      <c r="BH33" s="141">
        <v>95181</v>
      </c>
      <c r="BI33" s="141">
        <v>95282</v>
      </c>
      <c r="BJ33" s="141">
        <v>95492</v>
      </c>
      <c r="BK33" s="141">
        <v>95743</v>
      </c>
      <c r="BL33" s="141">
        <v>96021</v>
      </c>
      <c r="BM33" s="141">
        <v>96218</v>
      </c>
      <c r="BN33" s="141">
        <v>96447</v>
      </c>
      <c r="BO33" s="141">
        <v>96614</v>
      </c>
      <c r="BP33" s="141">
        <v>96762</v>
      </c>
      <c r="BQ33" s="141">
        <v>96842</v>
      </c>
      <c r="BR33" s="141">
        <v>96940</v>
      </c>
      <c r="BS33" s="141">
        <v>96941</v>
      </c>
      <c r="BT33" s="141">
        <v>97019</v>
      </c>
      <c r="BU33" s="141">
        <v>97070</v>
      </c>
      <c r="BV33" s="141">
        <v>97182</v>
      </c>
      <c r="BW33" s="141">
        <v>97256</v>
      </c>
      <c r="BX33" s="141">
        <v>97371</v>
      </c>
      <c r="BY33" s="141">
        <v>97465</v>
      </c>
      <c r="BZ33" s="141">
        <v>97690</v>
      </c>
      <c r="CA33" s="141">
        <v>97854</v>
      </c>
      <c r="CB33" s="141">
        <v>97967</v>
      </c>
      <c r="CC33" s="141">
        <v>98051</v>
      </c>
      <c r="CD33" s="141">
        <v>98127</v>
      </c>
      <c r="CE33" s="141">
        <v>98215</v>
      </c>
      <c r="CF33" s="141">
        <v>98298</v>
      </c>
      <c r="CG33" s="141">
        <v>98393</v>
      </c>
      <c r="CH33" s="141">
        <v>98457</v>
      </c>
      <c r="CI33" s="141">
        <v>98559</v>
      </c>
      <c r="CJ33" s="141">
        <v>98601</v>
      </c>
      <c r="CK33" s="141">
        <v>98660</v>
      </c>
      <c r="CL33" s="141">
        <v>98756</v>
      </c>
      <c r="CM33" s="141">
        <v>98794</v>
      </c>
      <c r="CN33" s="141">
        <v>98859</v>
      </c>
      <c r="CO33" s="141">
        <v>98892</v>
      </c>
      <c r="CP33" s="141">
        <v>98963</v>
      </c>
      <c r="CQ33" s="141">
        <v>99008</v>
      </c>
      <c r="CR33" s="141">
        <v>99035</v>
      </c>
      <c r="CS33" s="141">
        <v>99086</v>
      </c>
      <c r="CT33" s="141">
        <v>99121</v>
      </c>
      <c r="CU33" s="141">
        <v>99152</v>
      </c>
      <c r="CV33" s="141">
        <v>99156</v>
      </c>
      <c r="CW33" s="141">
        <v>99193</v>
      </c>
      <c r="CX33" s="141">
        <v>99222</v>
      </c>
      <c r="CY33" s="141">
        <v>99243</v>
      </c>
      <c r="CZ33" s="141">
        <v>99231</v>
      </c>
      <c r="DA33" s="141">
        <v>99253</v>
      </c>
      <c r="DB33" s="141">
        <v>99270</v>
      </c>
      <c r="DC33" s="141">
        <v>99312</v>
      </c>
      <c r="DD33" s="141">
        <v>99320</v>
      </c>
      <c r="DE33" s="141">
        <v>99342</v>
      </c>
      <c r="DF33" s="141">
        <v>99390</v>
      </c>
      <c r="DG33" s="141">
        <v>99378</v>
      </c>
      <c r="DH33" s="141">
        <v>99407</v>
      </c>
      <c r="DI33" s="141">
        <v>99393</v>
      </c>
      <c r="DJ33" s="141">
        <v>99423</v>
      </c>
      <c r="DK33" s="141">
        <v>99441</v>
      </c>
      <c r="DL33" s="141">
        <v>99446</v>
      </c>
      <c r="DM33" s="141">
        <v>99467</v>
      </c>
      <c r="DN33" s="141">
        <v>99488</v>
      </c>
      <c r="DO33" s="141">
        <v>99507</v>
      </c>
    </row>
    <row r="34" spans="1:119">
      <c r="A34" s="140">
        <v>32</v>
      </c>
      <c r="W34" s="141">
        <v>80745</v>
      </c>
      <c r="X34" s="141">
        <v>81559</v>
      </c>
      <c r="Y34" s="141">
        <v>81657</v>
      </c>
      <c r="Z34" s="141">
        <v>83691</v>
      </c>
      <c r="AA34" s="141">
        <v>84171</v>
      </c>
      <c r="AB34" s="141">
        <v>84785</v>
      </c>
      <c r="AC34" s="141">
        <v>85658</v>
      </c>
      <c r="AD34" s="141">
        <v>86530</v>
      </c>
      <c r="AE34" s="141">
        <v>86481</v>
      </c>
      <c r="AF34" s="141">
        <v>87624</v>
      </c>
      <c r="AG34" s="141">
        <v>88102</v>
      </c>
      <c r="AH34" s="141">
        <v>88305</v>
      </c>
      <c r="AI34" s="141">
        <v>88734</v>
      </c>
      <c r="AJ34" s="141">
        <v>89920</v>
      </c>
      <c r="AK34" s="141">
        <v>89936</v>
      </c>
      <c r="AL34" s="141">
        <v>90291</v>
      </c>
      <c r="AM34" s="141">
        <v>90555</v>
      </c>
      <c r="AN34" s="141">
        <v>91034</v>
      </c>
      <c r="AO34" s="141">
        <v>91078</v>
      </c>
      <c r="AP34" s="141">
        <v>91176</v>
      </c>
      <c r="AQ34" s="141">
        <v>91263</v>
      </c>
      <c r="AR34" s="141">
        <v>91270</v>
      </c>
      <c r="AS34" s="141">
        <v>90766</v>
      </c>
      <c r="AT34" s="141">
        <v>90098</v>
      </c>
      <c r="AU34" s="141">
        <v>88999</v>
      </c>
      <c r="AV34" s="141">
        <v>89187</v>
      </c>
      <c r="AW34" s="141">
        <v>89504</v>
      </c>
      <c r="AX34" s="141">
        <v>91480</v>
      </c>
      <c r="AY34" s="141">
        <v>93064</v>
      </c>
      <c r="AZ34" s="141">
        <v>93140</v>
      </c>
      <c r="BA34" s="141">
        <v>93203</v>
      </c>
      <c r="BB34" s="141">
        <v>93766</v>
      </c>
      <c r="BC34" s="141">
        <v>94041</v>
      </c>
      <c r="BD34" s="141">
        <v>94334</v>
      </c>
      <c r="BE34" s="141">
        <v>94416</v>
      </c>
      <c r="BF34" s="141">
        <v>94769</v>
      </c>
      <c r="BG34" s="141">
        <v>94944</v>
      </c>
      <c r="BH34" s="141">
        <v>95124</v>
      </c>
      <c r="BI34" s="141">
        <v>95227</v>
      </c>
      <c r="BJ34" s="141">
        <v>95444</v>
      </c>
      <c r="BK34" s="141">
        <v>95691</v>
      </c>
      <c r="BL34" s="141">
        <v>95976</v>
      </c>
      <c r="BM34" s="141">
        <v>96170</v>
      </c>
      <c r="BN34" s="141">
        <v>96397</v>
      </c>
      <c r="BO34" s="141">
        <v>96569</v>
      </c>
      <c r="BP34" s="141">
        <v>96721</v>
      </c>
      <c r="BQ34" s="141">
        <v>96806</v>
      </c>
      <c r="BR34" s="141">
        <v>96900</v>
      </c>
      <c r="BS34" s="141">
        <v>96904</v>
      </c>
      <c r="BT34" s="141">
        <v>96986</v>
      </c>
      <c r="BU34" s="141">
        <v>97033</v>
      </c>
      <c r="BV34" s="141">
        <v>97147</v>
      </c>
      <c r="BW34" s="141">
        <v>97225</v>
      </c>
      <c r="BX34" s="141">
        <v>97339</v>
      </c>
      <c r="BY34" s="141">
        <v>97437</v>
      </c>
      <c r="BZ34" s="141">
        <v>97654</v>
      </c>
      <c r="CA34" s="141">
        <v>97825</v>
      </c>
      <c r="CB34" s="141">
        <v>97938</v>
      </c>
      <c r="CC34" s="141">
        <v>98020</v>
      </c>
      <c r="CD34" s="141">
        <v>98101</v>
      </c>
      <c r="CE34" s="141">
        <v>98184</v>
      </c>
      <c r="CF34" s="141">
        <v>98271</v>
      </c>
      <c r="CG34" s="141">
        <v>98360</v>
      </c>
      <c r="CH34" s="141">
        <v>98426</v>
      </c>
      <c r="CI34" s="141">
        <v>98529</v>
      </c>
      <c r="CJ34" s="141">
        <v>98573</v>
      </c>
      <c r="CK34" s="141">
        <v>98632</v>
      </c>
      <c r="CL34" s="141">
        <v>98728</v>
      </c>
      <c r="CM34" s="141">
        <v>98768</v>
      </c>
      <c r="CN34" s="141">
        <v>98833</v>
      </c>
      <c r="CO34" s="141">
        <v>98866</v>
      </c>
      <c r="CP34" s="141">
        <v>98938</v>
      </c>
      <c r="CQ34" s="141">
        <v>98984</v>
      </c>
      <c r="CR34" s="141">
        <v>99011</v>
      </c>
      <c r="CS34" s="141">
        <v>99063</v>
      </c>
      <c r="CT34" s="141">
        <v>99098</v>
      </c>
      <c r="CU34" s="141">
        <v>99130</v>
      </c>
      <c r="CV34" s="141">
        <v>99134</v>
      </c>
      <c r="CW34" s="141">
        <v>99172</v>
      </c>
      <c r="CX34" s="141">
        <v>99202</v>
      </c>
      <c r="CY34" s="141">
        <v>99223</v>
      </c>
      <c r="CZ34" s="141">
        <v>99212</v>
      </c>
      <c r="DA34" s="141">
        <v>99234</v>
      </c>
      <c r="DB34" s="141">
        <v>99252</v>
      </c>
      <c r="DC34" s="141">
        <v>99294</v>
      </c>
      <c r="DD34" s="141">
        <v>99303</v>
      </c>
      <c r="DE34" s="141">
        <v>99326</v>
      </c>
      <c r="DF34" s="141">
        <v>99373</v>
      </c>
      <c r="DG34" s="141">
        <v>99362</v>
      </c>
      <c r="DH34" s="141">
        <v>99392</v>
      </c>
      <c r="DI34" s="141">
        <v>99378</v>
      </c>
      <c r="DJ34" s="141">
        <v>99408</v>
      </c>
      <c r="DK34" s="141">
        <v>99426</v>
      </c>
      <c r="DL34" s="141">
        <v>99432</v>
      </c>
      <c r="DM34" s="141">
        <v>99454</v>
      </c>
      <c r="DN34" s="141">
        <v>99474</v>
      </c>
      <c r="DO34" s="141">
        <v>99494</v>
      </c>
    </row>
    <row r="35" spans="1:119">
      <c r="A35" s="140">
        <v>33</v>
      </c>
      <c r="W35" s="141">
        <v>80627</v>
      </c>
      <c r="X35" s="141">
        <v>81440</v>
      </c>
      <c r="Y35" s="141">
        <v>81544</v>
      </c>
      <c r="Z35" s="141">
        <v>83581</v>
      </c>
      <c r="AA35" s="141">
        <v>84061</v>
      </c>
      <c r="AB35" s="141">
        <v>84681</v>
      </c>
      <c r="AC35" s="141">
        <v>85562</v>
      </c>
      <c r="AD35" s="141">
        <v>86437</v>
      </c>
      <c r="AE35" s="141">
        <v>86383</v>
      </c>
      <c r="AF35" s="141">
        <v>87528</v>
      </c>
      <c r="AG35" s="141">
        <v>88012</v>
      </c>
      <c r="AH35" s="141">
        <v>88212</v>
      </c>
      <c r="AI35" s="141">
        <v>88642</v>
      </c>
      <c r="AJ35" s="141">
        <v>89833</v>
      </c>
      <c r="AK35" s="141">
        <v>89846</v>
      </c>
      <c r="AL35" s="141">
        <v>90210</v>
      </c>
      <c r="AM35" s="141">
        <v>90470</v>
      </c>
      <c r="AN35" s="141">
        <v>90956</v>
      </c>
      <c r="AO35" s="141">
        <v>90997</v>
      </c>
      <c r="AP35" s="141">
        <v>91098</v>
      </c>
      <c r="AQ35" s="141">
        <v>91183</v>
      </c>
      <c r="AR35" s="141">
        <v>91189</v>
      </c>
      <c r="AS35" s="141">
        <v>90689</v>
      </c>
      <c r="AT35" s="141">
        <v>90023</v>
      </c>
      <c r="AU35" s="141">
        <v>88924</v>
      </c>
      <c r="AV35" s="141">
        <v>89114</v>
      </c>
      <c r="AW35" s="141">
        <v>89434</v>
      </c>
      <c r="AX35" s="141">
        <v>91406</v>
      </c>
      <c r="AY35" s="141">
        <v>92995</v>
      </c>
      <c r="AZ35" s="141">
        <v>93075</v>
      </c>
      <c r="BA35" s="141">
        <v>93141</v>
      </c>
      <c r="BB35" s="141">
        <v>93703</v>
      </c>
      <c r="BC35" s="141">
        <v>93976</v>
      </c>
      <c r="BD35" s="141">
        <v>94276</v>
      </c>
      <c r="BE35" s="141">
        <v>94353</v>
      </c>
      <c r="BF35" s="141">
        <v>94708</v>
      </c>
      <c r="BG35" s="141">
        <v>94881</v>
      </c>
      <c r="BH35" s="141">
        <v>95064</v>
      </c>
      <c r="BI35" s="141">
        <v>95166</v>
      </c>
      <c r="BJ35" s="141">
        <v>95388</v>
      </c>
      <c r="BK35" s="141">
        <v>95635</v>
      </c>
      <c r="BL35" s="141">
        <v>95919</v>
      </c>
      <c r="BM35" s="141">
        <v>96124</v>
      </c>
      <c r="BN35" s="141">
        <v>96348</v>
      </c>
      <c r="BO35" s="141">
        <v>96527</v>
      </c>
      <c r="BP35" s="141">
        <v>96678</v>
      </c>
      <c r="BQ35" s="141">
        <v>96759</v>
      </c>
      <c r="BR35" s="141">
        <v>96861</v>
      </c>
      <c r="BS35" s="141">
        <v>96869</v>
      </c>
      <c r="BT35" s="141">
        <v>96950</v>
      </c>
      <c r="BU35" s="141">
        <v>97001</v>
      </c>
      <c r="BV35" s="141">
        <v>97112</v>
      </c>
      <c r="BW35" s="141">
        <v>97193</v>
      </c>
      <c r="BX35" s="141">
        <v>97306</v>
      </c>
      <c r="BY35" s="141">
        <v>97405</v>
      </c>
      <c r="BZ35" s="141">
        <v>97622</v>
      </c>
      <c r="CA35" s="141">
        <v>97789</v>
      </c>
      <c r="CB35" s="141">
        <v>97905</v>
      </c>
      <c r="CC35" s="141">
        <v>97988</v>
      </c>
      <c r="CD35" s="141">
        <v>98072</v>
      </c>
      <c r="CE35" s="141">
        <v>98151</v>
      </c>
      <c r="CF35" s="141">
        <v>98234</v>
      </c>
      <c r="CG35" s="141">
        <v>98328</v>
      </c>
      <c r="CH35" s="141">
        <v>98394</v>
      </c>
      <c r="CI35" s="141">
        <v>98498</v>
      </c>
      <c r="CJ35" s="141">
        <v>98542</v>
      </c>
      <c r="CK35" s="141">
        <v>98603</v>
      </c>
      <c r="CL35" s="141">
        <v>98699</v>
      </c>
      <c r="CM35" s="141">
        <v>98739</v>
      </c>
      <c r="CN35" s="141">
        <v>98805</v>
      </c>
      <c r="CO35" s="141">
        <v>98839</v>
      </c>
      <c r="CP35" s="141">
        <v>98912</v>
      </c>
      <c r="CQ35" s="141">
        <v>98958</v>
      </c>
      <c r="CR35" s="141">
        <v>98986</v>
      </c>
      <c r="CS35" s="141">
        <v>99038</v>
      </c>
      <c r="CT35" s="141">
        <v>99075</v>
      </c>
      <c r="CU35" s="141">
        <v>99107</v>
      </c>
      <c r="CV35" s="141">
        <v>99112</v>
      </c>
      <c r="CW35" s="141">
        <v>99150</v>
      </c>
      <c r="CX35" s="141">
        <v>99181</v>
      </c>
      <c r="CY35" s="141">
        <v>99202</v>
      </c>
      <c r="CZ35" s="141">
        <v>99192</v>
      </c>
      <c r="DA35" s="141">
        <v>99215</v>
      </c>
      <c r="DB35" s="141">
        <v>99233</v>
      </c>
      <c r="DC35" s="141">
        <v>99275</v>
      </c>
      <c r="DD35" s="141">
        <v>99285</v>
      </c>
      <c r="DE35" s="141">
        <v>99308</v>
      </c>
      <c r="DF35" s="141">
        <v>99356</v>
      </c>
      <c r="DG35" s="141">
        <v>99345</v>
      </c>
      <c r="DH35" s="141">
        <v>99375</v>
      </c>
      <c r="DI35" s="141">
        <v>99362</v>
      </c>
      <c r="DJ35" s="141">
        <v>99392</v>
      </c>
      <c r="DK35" s="141">
        <v>99411</v>
      </c>
      <c r="DL35" s="141">
        <v>99417</v>
      </c>
      <c r="DM35" s="141">
        <v>99439</v>
      </c>
      <c r="DN35" s="141">
        <v>99460</v>
      </c>
      <c r="DO35" s="141">
        <v>99480</v>
      </c>
    </row>
    <row r="36" spans="1:119">
      <c r="A36" s="140">
        <v>34</v>
      </c>
      <c r="W36" s="141">
        <v>80513</v>
      </c>
      <c r="X36" s="141">
        <v>81319</v>
      </c>
      <c r="Y36" s="141">
        <v>81436</v>
      </c>
      <c r="Z36" s="141">
        <v>83475</v>
      </c>
      <c r="AA36" s="141">
        <v>83960</v>
      </c>
      <c r="AB36" s="141">
        <v>84575</v>
      </c>
      <c r="AC36" s="141">
        <v>85457</v>
      </c>
      <c r="AD36" s="141">
        <v>86338</v>
      </c>
      <c r="AE36" s="141">
        <v>86280</v>
      </c>
      <c r="AF36" s="141">
        <v>87433</v>
      </c>
      <c r="AG36" s="141">
        <v>87919</v>
      </c>
      <c r="AH36" s="141">
        <v>88117</v>
      </c>
      <c r="AI36" s="141">
        <v>88539</v>
      </c>
      <c r="AJ36" s="141">
        <v>89743</v>
      </c>
      <c r="AK36" s="141">
        <v>89760</v>
      </c>
      <c r="AL36" s="141">
        <v>90124</v>
      </c>
      <c r="AM36" s="141">
        <v>90380</v>
      </c>
      <c r="AN36" s="141">
        <v>90870</v>
      </c>
      <c r="AO36" s="141">
        <v>90910</v>
      </c>
      <c r="AP36" s="141">
        <v>91016</v>
      </c>
      <c r="AQ36" s="141">
        <v>91102</v>
      </c>
      <c r="AR36" s="141">
        <v>91107</v>
      </c>
      <c r="AS36" s="141">
        <v>90609</v>
      </c>
      <c r="AT36" s="141">
        <v>89936</v>
      </c>
      <c r="AU36" s="141">
        <v>88841</v>
      </c>
      <c r="AV36" s="141">
        <v>89033</v>
      </c>
      <c r="AW36" s="141">
        <v>89360</v>
      </c>
      <c r="AX36" s="141">
        <v>91339</v>
      </c>
      <c r="AY36" s="141">
        <v>92919</v>
      </c>
      <c r="AZ36" s="141">
        <v>93005</v>
      </c>
      <c r="BA36" s="141">
        <v>93071</v>
      </c>
      <c r="BB36" s="141">
        <v>93640</v>
      </c>
      <c r="BC36" s="141">
        <v>93911</v>
      </c>
      <c r="BD36" s="141">
        <v>94216</v>
      </c>
      <c r="BE36" s="141">
        <v>94287</v>
      </c>
      <c r="BF36" s="141">
        <v>94647</v>
      </c>
      <c r="BG36" s="141">
        <v>94813</v>
      </c>
      <c r="BH36" s="141">
        <v>95000</v>
      </c>
      <c r="BI36" s="141">
        <v>95103</v>
      </c>
      <c r="BJ36" s="141">
        <v>95319</v>
      </c>
      <c r="BK36" s="141">
        <v>95573</v>
      </c>
      <c r="BL36" s="141">
        <v>95863</v>
      </c>
      <c r="BM36" s="141">
        <v>96074</v>
      </c>
      <c r="BN36" s="141">
        <v>96300</v>
      </c>
      <c r="BO36" s="141">
        <v>96479</v>
      </c>
      <c r="BP36" s="141">
        <v>96631</v>
      </c>
      <c r="BQ36" s="141">
        <v>96717</v>
      </c>
      <c r="BR36" s="141">
        <v>96822</v>
      </c>
      <c r="BS36" s="141">
        <v>96830</v>
      </c>
      <c r="BT36" s="141">
        <v>96911</v>
      </c>
      <c r="BU36" s="141">
        <v>96963</v>
      </c>
      <c r="BV36" s="141">
        <v>97078</v>
      </c>
      <c r="BW36" s="141">
        <v>97150</v>
      </c>
      <c r="BX36" s="141">
        <v>97271</v>
      </c>
      <c r="BY36" s="141">
        <v>97370</v>
      </c>
      <c r="BZ36" s="141">
        <v>97589</v>
      </c>
      <c r="CA36" s="141">
        <v>97751</v>
      </c>
      <c r="CB36" s="141">
        <v>97865</v>
      </c>
      <c r="CC36" s="141">
        <v>97948</v>
      </c>
      <c r="CD36" s="141">
        <v>98036</v>
      </c>
      <c r="CE36" s="141">
        <v>98116</v>
      </c>
      <c r="CF36" s="141">
        <v>98199</v>
      </c>
      <c r="CG36" s="141">
        <v>98293</v>
      </c>
      <c r="CH36" s="141">
        <v>98361</v>
      </c>
      <c r="CI36" s="141">
        <v>98466</v>
      </c>
      <c r="CJ36" s="141">
        <v>98511</v>
      </c>
      <c r="CK36" s="141">
        <v>98572</v>
      </c>
      <c r="CL36" s="141">
        <v>98669</v>
      </c>
      <c r="CM36" s="141">
        <v>98710</v>
      </c>
      <c r="CN36" s="141">
        <v>98776</v>
      </c>
      <c r="CO36" s="141">
        <v>98811</v>
      </c>
      <c r="CP36" s="141">
        <v>98884</v>
      </c>
      <c r="CQ36" s="141">
        <v>98931</v>
      </c>
      <c r="CR36" s="141">
        <v>98960</v>
      </c>
      <c r="CS36" s="141">
        <v>99013</v>
      </c>
      <c r="CT36" s="141">
        <v>99050</v>
      </c>
      <c r="CU36" s="141">
        <v>99083</v>
      </c>
      <c r="CV36" s="141">
        <v>99088</v>
      </c>
      <c r="CW36" s="141">
        <v>99127</v>
      </c>
      <c r="CX36" s="141">
        <v>99158</v>
      </c>
      <c r="CY36" s="141">
        <v>99180</v>
      </c>
      <c r="CZ36" s="141">
        <v>99170</v>
      </c>
      <c r="DA36" s="141">
        <v>99194</v>
      </c>
      <c r="DB36" s="141">
        <v>99212</v>
      </c>
      <c r="DC36" s="141">
        <v>99255</v>
      </c>
      <c r="DD36" s="141">
        <v>99266</v>
      </c>
      <c r="DE36" s="141">
        <v>99289</v>
      </c>
      <c r="DF36" s="141">
        <v>99338</v>
      </c>
      <c r="DG36" s="141">
        <v>99327</v>
      </c>
      <c r="DH36" s="141">
        <v>99358</v>
      </c>
      <c r="DI36" s="141">
        <v>99345</v>
      </c>
      <c r="DJ36" s="141">
        <v>99376</v>
      </c>
      <c r="DK36" s="141">
        <v>99395</v>
      </c>
      <c r="DL36" s="141">
        <v>99402</v>
      </c>
      <c r="DM36" s="141">
        <v>99424</v>
      </c>
      <c r="DN36" s="141">
        <v>99445</v>
      </c>
      <c r="DO36" s="141">
        <v>99466</v>
      </c>
    </row>
    <row r="37" spans="1:119">
      <c r="A37" s="140">
        <v>35</v>
      </c>
      <c r="W37" s="141">
        <v>80387</v>
      </c>
      <c r="X37" s="141">
        <v>81205</v>
      </c>
      <c r="Y37" s="141">
        <v>81317</v>
      </c>
      <c r="Z37" s="141">
        <v>83358</v>
      </c>
      <c r="AA37" s="141">
        <v>83847</v>
      </c>
      <c r="AB37" s="141">
        <v>84461</v>
      </c>
      <c r="AC37" s="141">
        <v>85355</v>
      </c>
      <c r="AD37" s="141">
        <v>86238</v>
      </c>
      <c r="AE37" s="141">
        <v>86173</v>
      </c>
      <c r="AF37" s="141">
        <v>87330</v>
      </c>
      <c r="AG37" s="141">
        <v>87817</v>
      </c>
      <c r="AH37" s="141">
        <v>88013</v>
      </c>
      <c r="AI37" s="141">
        <v>88442</v>
      </c>
      <c r="AJ37" s="141">
        <v>89645</v>
      </c>
      <c r="AK37" s="141">
        <v>89660</v>
      </c>
      <c r="AL37" s="141">
        <v>90030</v>
      </c>
      <c r="AM37" s="141">
        <v>90293</v>
      </c>
      <c r="AN37" s="141">
        <v>90780</v>
      </c>
      <c r="AO37" s="141">
        <v>90817</v>
      </c>
      <c r="AP37" s="141">
        <v>90926</v>
      </c>
      <c r="AQ37" s="141">
        <v>91015</v>
      </c>
      <c r="AR37" s="141">
        <v>91025</v>
      </c>
      <c r="AS37" s="141">
        <v>90518</v>
      </c>
      <c r="AT37" s="141">
        <v>89847</v>
      </c>
      <c r="AU37" s="141">
        <v>88768</v>
      </c>
      <c r="AV37" s="141">
        <v>88954</v>
      </c>
      <c r="AW37" s="141">
        <v>89287</v>
      </c>
      <c r="AX37" s="141">
        <v>91264</v>
      </c>
      <c r="AY37" s="141">
        <v>92844</v>
      </c>
      <c r="AZ37" s="141">
        <v>92938</v>
      </c>
      <c r="BA37" s="141">
        <v>92996</v>
      </c>
      <c r="BB37" s="141">
        <v>93571</v>
      </c>
      <c r="BC37" s="141">
        <v>93840</v>
      </c>
      <c r="BD37" s="141">
        <v>94149</v>
      </c>
      <c r="BE37" s="141">
        <v>94211</v>
      </c>
      <c r="BF37" s="141">
        <v>94576</v>
      </c>
      <c r="BG37" s="141">
        <v>94738</v>
      </c>
      <c r="BH37" s="141">
        <v>94928</v>
      </c>
      <c r="BI37" s="141">
        <v>95036</v>
      </c>
      <c r="BJ37" s="141">
        <v>95250</v>
      </c>
      <c r="BK37" s="141">
        <v>95510</v>
      </c>
      <c r="BL37" s="141">
        <v>95803</v>
      </c>
      <c r="BM37" s="141">
        <v>96018</v>
      </c>
      <c r="BN37" s="141">
        <v>96247</v>
      </c>
      <c r="BO37" s="141">
        <v>96430</v>
      </c>
      <c r="BP37" s="141">
        <v>96584</v>
      </c>
      <c r="BQ37" s="141">
        <v>96670</v>
      </c>
      <c r="BR37" s="141">
        <v>96776</v>
      </c>
      <c r="BS37" s="141">
        <v>96784</v>
      </c>
      <c r="BT37" s="141">
        <v>96873</v>
      </c>
      <c r="BU37" s="141">
        <v>96921</v>
      </c>
      <c r="BV37" s="141">
        <v>97040</v>
      </c>
      <c r="BW37" s="141">
        <v>97114</v>
      </c>
      <c r="BX37" s="141">
        <v>97231</v>
      </c>
      <c r="BY37" s="141">
        <v>97325</v>
      </c>
      <c r="BZ37" s="141">
        <v>97549</v>
      </c>
      <c r="CA37" s="141">
        <v>97710</v>
      </c>
      <c r="CB37" s="141">
        <v>97827</v>
      </c>
      <c r="CC37" s="141">
        <v>97913</v>
      </c>
      <c r="CD37" s="141">
        <v>97996</v>
      </c>
      <c r="CE37" s="141">
        <v>98078</v>
      </c>
      <c r="CF37" s="141">
        <v>98163</v>
      </c>
      <c r="CG37" s="141">
        <v>98258</v>
      </c>
      <c r="CH37" s="141">
        <v>98326</v>
      </c>
      <c r="CI37" s="141">
        <v>98432</v>
      </c>
      <c r="CJ37" s="141">
        <v>98477</v>
      </c>
      <c r="CK37" s="141">
        <v>98539</v>
      </c>
      <c r="CL37" s="141">
        <v>98637</v>
      </c>
      <c r="CM37" s="141">
        <v>98679</v>
      </c>
      <c r="CN37" s="141">
        <v>98746</v>
      </c>
      <c r="CO37" s="141">
        <v>98782</v>
      </c>
      <c r="CP37" s="141">
        <v>98856</v>
      </c>
      <c r="CQ37" s="141">
        <v>98904</v>
      </c>
      <c r="CR37" s="141">
        <v>98933</v>
      </c>
      <c r="CS37" s="141">
        <v>98986</v>
      </c>
      <c r="CT37" s="141">
        <v>99024</v>
      </c>
      <c r="CU37" s="141">
        <v>99058</v>
      </c>
      <c r="CV37" s="141">
        <v>99064</v>
      </c>
      <c r="CW37" s="141">
        <v>99103</v>
      </c>
      <c r="CX37" s="141">
        <v>99135</v>
      </c>
      <c r="CY37" s="141">
        <v>99157</v>
      </c>
      <c r="CZ37" s="141">
        <v>99148</v>
      </c>
      <c r="DA37" s="141">
        <v>99172</v>
      </c>
      <c r="DB37" s="141">
        <v>99191</v>
      </c>
      <c r="DC37" s="141">
        <v>99234</v>
      </c>
      <c r="DD37" s="141">
        <v>99245</v>
      </c>
      <c r="DE37" s="141">
        <v>99269</v>
      </c>
      <c r="DF37" s="141">
        <v>99318</v>
      </c>
      <c r="DG37" s="141">
        <v>99308</v>
      </c>
      <c r="DH37" s="141">
        <v>99339</v>
      </c>
      <c r="DI37" s="141">
        <v>99327</v>
      </c>
      <c r="DJ37" s="141">
        <v>99358</v>
      </c>
      <c r="DK37" s="141">
        <v>99377</v>
      </c>
      <c r="DL37" s="141">
        <v>99385</v>
      </c>
      <c r="DM37" s="141">
        <v>99407</v>
      </c>
      <c r="DN37" s="141">
        <v>99429</v>
      </c>
      <c r="DO37" s="141">
        <v>99450</v>
      </c>
    </row>
    <row r="38" spans="1:119">
      <c r="A38" s="140">
        <v>36</v>
      </c>
      <c r="W38" s="141">
        <v>80265</v>
      </c>
      <c r="X38" s="141">
        <v>81083</v>
      </c>
      <c r="Y38" s="141">
        <v>81202</v>
      </c>
      <c r="Z38" s="141">
        <v>83236</v>
      </c>
      <c r="AA38" s="141">
        <v>83724</v>
      </c>
      <c r="AB38" s="141">
        <v>84341</v>
      </c>
      <c r="AC38" s="141">
        <v>85239</v>
      </c>
      <c r="AD38" s="141">
        <v>86122</v>
      </c>
      <c r="AE38" s="141">
        <v>86062</v>
      </c>
      <c r="AF38" s="141">
        <v>87221</v>
      </c>
      <c r="AG38" s="141">
        <v>87706</v>
      </c>
      <c r="AH38" s="141">
        <v>87908</v>
      </c>
      <c r="AI38" s="141">
        <v>88334</v>
      </c>
      <c r="AJ38" s="141">
        <v>89533</v>
      </c>
      <c r="AK38" s="141">
        <v>89555</v>
      </c>
      <c r="AL38" s="141">
        <v>89921</v>
      </c>
      <c r="AM38" s="141">
        <v>90203</v>
      </c>
      <c r="AN38" s="141">
        <v>90681</v>
      </c>
      <c r="AO38" s="141">
        <v>90723</v>
      </c>
      <c r="AP38" s="141">
        <v>90834</v>
      </c>
      <c r="AQ38" s="141">
        <v>90921</v>
      </c>
      <c r="AR38" s="141">
        <v>90925</v>
      </c>
      <c r="AS38" s="141">
        <v>90427</v>
      </c>
      <c r="AT38" s="141">
        <v>89756</v>
      </c>
      <c r="AU38" s="141">
        <v>88679</v>
      </c>
      <c r="AV38" s="141">
        <v>88870</v>
      </c>
      <c r="AW38" s="141">
        <v>89200</v>
      </c>
      <c r="AX38" s="141">
        <v>91180</v>
      </c>
      <c r="AY38" s="141">
        <v>92755</v>
      </c>
      <c r="AZ38" s="141">
        <v>92868</v>
      </c>
      <c r="BA38" s="141">
        <v>92922</v>
      </c>
      <c r="BB38" s="141">
        <v>93497</v>
      </c>
      <c r="BC38" s="141">
        <v>93766</v>
      </c>
      <c r="BD38" s="141">
        <v>94075</v>
      </c>
      <c r="BE38" s="141">
        <v>94133</v>
      </c>
      <c r="BF38" s="141">
        <v>94500</v>
      </c>
      <c r="BG38" s="141">
        <v>94663</v>
      </c>
      <c r="BH38" s="141">
        <v>94863</v>
      </c>
      <c r="BI38" s="141">
        <v>94963</v>
      </c>
      <c r="BJ38" s="141">
        <v>95177</v>
      </c>
      <c r="BK38" s="141">
        <v>95447</v>
      </c>
      <c r="BL38" s="141">
        <v>95736</v>
      </c>
      <c r="BM38" s="141">
        <v>95960</v>
      </c>
      <c r="BN38" s="141">
        <v>96193</v>
      </c>
      <c r="BO38" s="141">
        <v>96373</v>
      </c>
      <c r="BP38" s="141">
        <v>96531</v>
      </c>
      <c r="BQ38" s="141">
        <v>96617</v>
      </c>
      <c r="BR38" s="141">
        <v>96727</v>
      </c>
      <c r="BS38" s="141">
        <v>96740</v>
      </c>
      <c r="BT38" s="141">
        <v>96827</v>
      </c>
      <c r="BU38" s="141">
        <v>96876</v>
      </c>
      <c r="BV38" s="141">
        <v>96998</v>
      </c>
      <c r="BW38" s="141">
        <v>97074</v>
      </c>
      <c r="BX38" s="141">
        <v>97187</v>
      </c>
      <c r="BY38" s="141">
        <v>97290</v>
      </c>
      <c r="BZ38" s="141">
        <v>97505</v>
      </c>
      <c r="CA38" s="141">
        <v>97667</v>
      </c>
      <c r="CB38" s="141">
        <v>97787</v>
      </c>
      <c r="CC38" s="141">
        <v>97876</v>
      </c>
      <c r="CD38" s="141">
        <v>97956</v>
      </c>
      <c r="CE38" s="141">
        <v>98039</v>
      </c>
      <c r="CF38" s="141">
        <v>98125</v>
      </c>
      <c r="CG38" s="141">
        <v>98220</v>
      </c>
      <c r="CH38" s="141">
        <v>98290</v>
      </c>
      <c r="CI38" s="141">
        <v>98396</v>
      </c>
      <c r="CJ38" s="141">
        <v>98443</v>
      </c>
      <c r="CK38" s="141">
        <v>98505</v>
      </c>
      <c r="CL38" s="141">
        <v>98604</v>
      </c>
      <c r="CM38" s="141">
        <v>98647</v>
      </c>
      <c r="CN38" s="141">
        <v>98715</v>
      </c>
      <c r="CO38" s="141">
        <v>98751</v>
      </c>
      <c r="CP38" s="141">
        <v>98826</v>
      </c>
      <c r="CQ38" s="141">
        <v>98874</v>
      </c>
      <c r="CR38" s="141">
        <v>98904</v>
      </c>
      <c r="CS38" s="141">
        <v>98958</v>
      </c>
      <c r="CT38" s="141">
        <v>98996</v>
      </c>
      <c r="CU38" s="141">
        <v>99031</v>
      </c>
      <c r="CV38" s="141">
        <v>99037</v>
      </c>
      <c r="CW38" s="141">
        <v>99078</v>
      </c>
      <c r="CX38" s="141">
        <v>99110</v>
      </c>
      <c r="CY38" s="141">
        <v>99133</v>
      </c>
      <c r="CZ38" s="141">
        <v>99124</v>
      </c>
      <c r="DA38" s="141">
        <v>99149</v>
      </c>
      <c r="DB38" s="141">
        <v>99168</v>
      </c>
      <c r="DC38" s="141">
        <v>99212</v>
      </c>
      <c r="DD38" s="141">
        <v>99224</v>
      </c>
      <c r="DE38" s="141">
        <v>99248</v>
      </c>
      <c r="DF38" s="141">
        <v>99298</v>
      </c>
      <c r="DG38" s="141">
        <v>99288</v>
      </c>
      <c r="DH38" s="141">
        <v>99320</v>
      </c>
      <c r="DI38" s="141">
        <v>99308</v>
      </c>
      <c r="DJ38" s="141">
        <v>99340</v>
      </c>
      <c r="DK38" s="141">
        <v>99359</v>
      </c>
      <c r="DL38" s="141">
        <v>99367</v>
      </c>
      <c r="DM38" s="141">
        <v>99390</v>
      </c>
      <c r="DN38" s="141">
        <v>99412</v>
      </c>
      <c r="DO38" s="141">
        <v>99434</v>
      </c>
    </row>
    <row r="39" spans="1:119">
      <c r="A39" s="140">
        <v>37</v>
      </c>
      <c r="W39" s="141">
        <v>80133</v>
      </c>
      <c r="X39" s="141">
        <v>80955</v>
      </c>
      <c r="Y39" s="141">
        <v>81070</v>
      </c>
      <c r="Z39" s="141">
        <v>83109</v>
      </c>
      <c r="AA39" s="141">
        <v>83601</v>
      </c>
      <c r="AB39" s="141">
        <v>84229</v>
      </c>
      <c r="AC39" s="141">
        <v>85119</v>
      </c>
      <c r="AD39" s="141">
        <v>86004</v>
      </c>
      <c r="AE39" s="141">
        <v>85952</v>
      </c>
      <c r="AF39" s="141">
        <v>87103</v>
      </c>
      <c r="AG39" s="141">
        <v>87594</v>
      </c>
      <c r="AH39" s="141">
        <v>87799</v>
      </c>
      <c r="AI39" s="141">
        <v>88216</v>
      </c>
      <c r="AJ39" s="141">
        <v>89414</v>
      </c>
      <c r="AK39" s="141">
        <v>89444</v>
      </c>
      <c r="AL39" s="141">
        <v>89814</v>
      </c>
      <c r="AM39" s="141">
        <v>90104</v>
      </c>
      <c r="AN39" s="141">
        <v>90578</v>
      </c>
      <c r="AO39" s="141">
        <v>90620</v>
      </c>
      <c r="AP39" s="141">
        <v>90735</v>
      </c>
      <c r="AQ39" s="141">
        <v>90825</v>
      </c>
      <c r="AR39" s="141">
        <v>90829</v>
      </c>
      <c r="AS39" s="141">
        <v>90333</v>
      </c>
      <c r="AT39" s="141">
        <v>89662</v>
      </c>
      <c r="AU39" s="141">
        <v>88587</v>
      </c>
      <c r="AV39" s="141">
        <v>88773</v>
      </c>
      <c r="AW39" s="141">
        <v>89113</v>
      </c>
      <c r="AX39" s="141">
        <v>91092</v>
      </c>
      <c r="AY39" s="141">
        <v>92673</v>
      </c>
      <c r="AZ39" s="141">
        <v>92789</v>
      </c>
      <c r="BA39" s="141">
        <v>92841</v>
      </c>
      <c r="BB39" s="141">
        <v>93414</v>
      </c>
      <c r="BC39" s="141">
        <v>93679</v>
      </c>
      <c r="BD39" s="141">
        <v>93979</v>
      </c>
      <c r="BE39" s="141">
        <v>94048</v>
      </c>
      <c r="BF39" s="141">
        <v>94417</v>
      </c>
      <c r="BG39" s="141">
        <v>94584</v>
      </c>
      <c r="BH39" s="141">
        <v>94786</v>
      </c>
      <c r="BI39" s="141">
        <v>94892</v>
      </c>
      <c r="BJ39" s="141">
        <v>95105</v>
      </c>
      <c r="BK39" s="141">
        <v>95371</v>
      </c>
      <c r="BL39" s="141">
        <v>95673</v>
      </c>
      <c r="BM39" s="141">
        <v>95900</v>
      </c>
      <c r="BN39" s="141">
        <v>96131</v>
      </c>
      <c r="BO39" s="141">
        <v>96314</v>
      </c>
      <c r="BP39" s="141">
        <v>96471</v>
      </c>
      <c r="BQ39" s="141">
        <v>96565</v>
      </c>
      <c r="BR39" s="141">
        <v>96676</v>
      </c>
      <c r="BS39" s="141">
        <v>96689</v>
      </c>
      <c r="BT39" s="141">
        <v>96779</v>
      </c>
      <c r="BU39" s="141">
        <v>96832</v>
      </c>
      <c r="BV39" s="141">
        <v>96952</v>
      </c>
      <c r="BW39" s="141">
        <v>97026</v>
      </c>
      <c r="BX39" s="141">
        <v>97142</v>
      </c>
      <c r="BY39" s="141">
        <v>97243</v>
      </c>
      <c r="BZ39" s="141">
        <v>97462</v>
      </c>
      <c r="CA39" s="141">
        <v>97619</v>
      </c>
      <c r="CB39" s="141">
        <v>97743</v>
      </c>
      <c r="CC39" s="141">
        <v>97832</v>
      </c>
      <c r="CD39" s="141">
        <v>97913</v>
      </c>
      <c r="CE39" s="141">
        <v>97998</v>
      </c>
      <c r="CF39" s="141">
        <v>98084</v>
      </c>
      <c r="CG39" s="141">
        <v>98181</v>
      </c>
      <c r="CH39" s="141">
        <v>98251</v>
      </c>
      <c r="CI39" s="141">
        <v>98358</v>
      </c>
      <c r="CJ39" s="141">
        <v>98406</v>
      </c>
      <c r="CK39" s="141">
        <v>98469</v>
      </c>
      <c r="CL39" s="141">
        <v>98569</v>
      </c>
      <c r="CM39" s="141">
        <v>98612</v>
      </c>
      <c r="CN39" s="141">
        <v>98681</v>
      </c>
      <c r="CO39" s="141">
        <v>98718</v>
      </c>
      <c r="CP39" s="141">
        <v>98794</v>
      </c>
      <c r="CQ39" s="141">
        <v>98843</v>
      </c>
      <c r="CR39" s="141">
        <v>98874</v>
      </c>
      <c r="CS39" s="141">
        <v>98928</v>
      </c>
      <c r="CT39" s="141">
        <v>98967</v>
      </c>
      <c r="CU39" s="141">
        <v>99002</v>
      </c>
      <c r="CV39" s="141">
        <v>99010</v>
      </c>
      <c r="CW39" s="141">
        <v>99051</v>
      </c>
      <c r="CX39" s="141">
        <v>99083</v>
      </c>
      <c r="CY39" s="141">
        <v>99107</v>
      </c>
      <c r="CZ39" s="141">
        <v>99099</v>
      </c>
      <c r="DA39" s="141">
        <v>99124</v>
      </c>
      <c r="DB39" s="141">
        <v>99144</v>
      </c>
      <c r="DC39" s="141">
        <v>99189</v>
      </c>
      <c r="DD39" s="141">
        <v>99201</v>
      </c>
      <c r="DE39" s="141">
        <v>99226</v>
      </c>
      <c r="DF39" s="141">
        <v>99276</v>
      </c>
      <c r="DG39" s="141">
        <v>99267</v>
      </c>
      <c r="DH39" s="141">
        <v>99299</v>
      </c>
      <c r="DI39" s="141">
        <v>99287</v>
      </c>
      <c r="DJ39" s="141">
        <v>99320</v>
      </c>
      <c r="DK39" s="141">
        <v>99340</v>
      </c>
      <c r="DL39" s="141">
        <v>99348</v>
      </c>
      <c r="DM39" s="141">
        <v>99372</v>
      </c>
      <c r="DN39" s="141">
        <v>99394</v>
      </c>
      <c r="DO39" s="141">
        <v>99416</v>
      </c>
    </row>
    <row r="40" spans="1:119">
      <c r="A40" s="140">
        <v>38</v>
      </c>
      <c r="W40" s="141">
        <v>79996</v>
      </c>
      <c r="X40" s="141">
        <v>80820</v>
      </c>
      <c r="Y40" s="141">
        <v>80930</v>
      </c>
      <c r="Z40" s="141">
        <v>82973</v>
      </c>
      <c r="AA40" s="141">
        <v>83470</v>
      </c>
      <c r="AB40" s="141">
        <v>84107</v>
      </c>
      <c r="AC40" s="141">
        <v>84991</v>
      </c>
      <c r="AD40" s="141">
        <v>85868</v>
      </c>
      <c r="AE40" s="141">
        <v>85821</v>
      </c>
      <c r="AF40" s="141">
        <v>86985</v>
      </c>
      <c r="AG40" s="141">
        <v>87470</v>
      </c>
      <c r="AH40" s="141">
        <v>87669</v>
      </c>
      <c r="AI40" s="141">
        <v>88091</v>
      </c>
      <c r="AJ40" s="141">
        <v>89291</v>
      </c>
      <c r="AK40" s="141">
        <v>89321</v>
      </c>
      <c r="AL40" s="141">
        <v>89701</v>
      </c>
      <c r="AM40" s="141">
        <v>89995</v>
      </c>
      <c r="AN40" s="141">
        <v>90471</v>
      </c>
      <c r="AO40" s="141">
        <v>90514</v>
      </c>
      <c r="AP40" s="141">
        <v>90631</v>
      </c>
      <c r="AQ40" s="141">
        <v>90725</v>
      </c>
      <c r="AR40" s="141">
        <v>90724</v>
      </c>
      <c r="AS40" s="141">
        <v>90226</v>
      </c>
      <c r="AT40" s="141">
        <v>89557</v>
      </c>
      <c r="AU40" s="141">
        <v>88491</v>
      </c>
      <c r="AV40" s="141">
        <v>88683</v>
      </c>
      <c r="AW40" s="141">
        <v>89012</v>
      </c>
      <c r="AX40" s="141">
        <v>91003</v>
      </c>
      <c r="AY40" s="141">
        <v>92580</v>
      </c>
      <c r="AZ40" s="141">
        <v>92701</v>
      </c>
      <c r="BA40" s="141">
        <v>92755</v>
      </c>
      <c r="BB40" s="141">
        <v>93325</v>
      </c>
      <c r="BC40" s="141">
        <v>93582</v>
      </c>
      <c r="BD40" s="141">
        <v>93887</v>
      </c>
      <c r="BE40" s="141">
        <v>93952</v>
      </c>
      <c r="BF40" s="141">
        <v>94326</v>
      </c>
      <c r="BG40" s="141">
        <v>94502</v>
      </c>
      <c r="BH40" s="141">
        <v>94702</v>
      </c>
      <c r="BI40" s="141">
        <v>94808</v>
      </c>
      <c r="BJ40" s="141">
        <v>95029</v>
      </c>
      <c r="BK40" s="141">
        <v>95295</v>
      </c>
      <c r="BL40" s="141">
        <v>95605</v>
      </c>
      <c r="BM40" s="141">
        <v>95829</v>
      </c>
      <c r="BN40" s="141">
        <v>96065</v>
      </c>
      <c r="BO40" s="141">
        <v>96251</v>
      </c>
      <c r="BP40" s="141">
        <v>96415</v>
      </c>
      <c r="BQ40" s="141">
        <v>96506</v>
      </c>
      <c r="BR40" s="141">
        <v>96621</v>
      </c>
      <c r="BS40" s="141">
        <v>96636</v>
      </c>
      <c r="BT40" s="141">
        <v>96730</v>
      </c>
      <c r="BU40" s="141">
        <v>96782</v>
      </c>
      <c r="BV40" s="141">
        <v>96899</v>
      </c>
      <c r="BW40" s="141">
        <v>96974</v>
      </c>
      <c r="BX40" s="141">
        <v>97092</v>
      </c>
      <c r="BY40" s="141">
        <v>97196</v>
      </c>
      <c r="BZ40" s="141">
        <v>97417</v>
      </c>
      <c r="CA40" s="141">
        <v>97576</v>
      </c>
      <c r="CB40" s="141">
        <v>97696</v>
      </c>
      <c r="CC40" s="141">
        <v>97786</v>
      </c>
      <c r="CD40" s="141">
        <v>97868</v>
      </c>
      <c r="CE40" s="141">
        <v>97954</v>
      </c>
      <c r="CF40" s="141">
        <v>98041</v>
      </c>
      <c r="CG40" s="141">
        <v>98139</v>
      </c>
      <c r="CH40" s="141">
        <v>98210</v>
      </c>
      <c r="CI40" s="141">
        <v>98318</v>
      </c>
      <c r="CJ40" s="141">
        <v>98366</v>
      </c>
      <c r="CK40" s="141">
        <v>98431</v>
      </c>
      <c r="CL40" s="141">
        <v>98532</v>
      </c>
      <c r="CM40" s="141">
        <v>98576</v>
      </c>
      <c r="CN40" s="141">
        <v>98645</v>
      </c>
      <c r="CO40" s="141">
        <v>98683</v>
      </c>
      <c r="CP40" s="141">
        <v>98759</v>
      </c>
      <c r="CQ40" s="141">
        <v>98809</v>
      </c>
      <c r="CR40" s="141">
        <v>98841</v>
      </c>
      <c r="CS40" s="141">
        <v>98897</v>
      </c>
      <c r="CT40" s="141">
        <v>98936</v>
      </c>
      <c r="CU40" s="141">
        <v>98972</v>
      </c>
      <c r="CV40" s="141">
        <v>98980</v>
      </c>
      <c r="CW40" s="141">
        <v>99021</v>
      </c>
      <c r="CX40" s="141">
        <v>99055</v>
      </c>
      <c r="CY40" s="141">
        <v>99079</v>
      </c>
      <c r="CZ40" s="141">
        <v>99072</v>
      </c>
      <c r="DA40" s="141">
        <v>99098</v>
      </c>
      <c r="DB40" s="141">
        <v>99118</v>
      </c>
      <c r="DC40" s="141">
        <v>99163</v>
      </c>
      <c r="DD40" s="141">
        <v>99176</v>
      </c>
      <c r="DE40" s="141">
        <v>99201</v>
      </c>
      <c r="DF40" s="141">
        <v>99252</v>
      </c>
      <c r="DG40" s="141">
        <v>99244</v>
      </c>
      <c r="DH40" s="141">
        <v>99276</v>
      </c>
      <c r="DI40" s="141">
        <v>99265</v>
      </c>
      <c r="DJ40" s="141">
        <v>99298</v>
      </c>
      <c r="DK40" s="141">
        <v>99319</v>
      </c>
      <c r="DL40" s="141">
        <v>99328</v>
      </c>
      <c r="DM40" s="141">
        <v>99351</v>
      </c>
      <c r="DN40" s="141">
        <v>99374</v>
      </c>
      <c r="DO40" s="141">
        <v>99397</v>
      </c>
    </row>
    <row r="41" spans="1:119">
      <c r="A41" s="140">
        <v>39</v>
      </c>
      <c r="W41" s="141">
        <v>79853</v>
      </c>
      <c r="X41" s="141">
        <v>80668</v>
      </c>
      <c r="Y41" s="141">
        <v>80798</v>
      </c>
      <c r="Z41" s="141">
        <v>82830</v>
      </c>
      <c r="AA41" s="141">
        <v>83332</v>
      </c>
      <c r="AB41" s="141">
        <v>83976</v>
      </c>
      <c r="AC41" s="141">
        <v>84859</v>
      </c>
      <c r="AD41" s="141">
        <v>85727</v>
      </c>
      <c r="AE41" s="141">
        <v>85682</v>
      </c>
      <c r="AF41" s="141">
        <v>86846</v>
      </c>
      <c r="AG41" s="141">
        <v>87325</v>
      </c>
      <c r="AH41" s="141">
        <v>87533</v>
      </c>
      <c r="AI41" s="141">
        <v>87951</v>
      </c>
      <c r="AJ41" s="141">
        <v>89160</v>
      </c>
      <c r="AK41" s="141">
        <v>89199</v>
      </c>
      <c r="AL41" s="141">
        <v>89583</v>
      </c>
      <c r="AM41" s="141">
        <v>89863</v>
      </c>
      <c r="AN41" s="141">
        <v>90353</v>
      </c>
      <c r="AO41" s="141">
        <v>90401</v>
      </c>
      <c r="AP41" s="141">
        <v>90523</v>
      </c>
      <c r="AQ41" s="141">
        <v>90613</v>
      </c>
      <c r="AR41" s="141">
        <v>90617</v>
      </c>
      <c r="AS41" s="141">
        <v>90119</v>
      </c>
      <c r="AT41" s="141">
        <v>89452</v>
      </c>
      <c r="AU41" s="141">
        <v>88381</v>
      </c>
      <c r="AV41" s="141">
        <v>88582</v>
      </c>
      <c r="AW41" s="141">
        <v>88911</v>
      </c>
      <c r="AX41" s="141">
        <v>90907</v>
      </c>
      <c r="AY41" s="141">
        <v>92481</v>
      </c>
      <c r="AZ41" s="141">
        <v>92597</v>
      </c>
      <c r="BA41" s="141">
        <v>92657</v>
      </c>
      <c r="BB41" s="141">
        <v>93224</v>
      </c>
      <c r="BC41" s="141">
        <v>93482</v>
      </c>
      <c r="BD41" s="141">
        <v>93787</v>
      </c>
      <c r="BE41" s="141">
        <v>93864</v>
      </c>
      <c r="BF41" s="141">
        <v>94235</v>
      </c>
      <c r="BG41" s="141">
        <v>94409</v>
      </c>
      <c r="BH41" s="141">
        <v>94614</v>
      </c>
      <c r="BI41" s="141">
        <v>94725</v>
      </c>
      <c r="BJ41" s="141">
        <v>94950</v>
      </c>
      <c r="BK41" s="141">
        <v>95214</v>
      </c>
      <c r="BL41" s="141">
        <v>95526</v>
      </c>
      <c r="BM41" s="141">
        <v>95760</v>
      </c>
      <c r="BN41" s="141">
        <v>95995</v>
      </c>
      <c r="BO41" s="141">
        <v>96184</v>
      </c>
      <c r="BP41" s="141">
        <v>96356</v>
      </c>
      <c r="BQ41" s="141">
        <v>96448</v>
      </c>
      <c r="BR41" s="141">
        <v>96567</v>
      </c>
      <c r="BS41" s="141">
        <v>96576</v>
      </c>
      <c r="BT41" s="141">
        <v>96671</v>
      </c>
      <c r="BU41" s="141">
        <v>96730</v>
      </c>
      <c r="BV41" s="141">
        <v>96840</v>
      </c>
      <c r="BW41" s="141">
        <v>96926</v>
      </c>
      <c r="BX41" s="141">
        <v>97034</v>
      </c>
      <c r="BY41" s="141">
        <v>97140</v>
      </c>
      <c r="BZ41" s="141">
        <v>97360</v>
      </c>
      <c r="CA41" s="141">
        <v>97524</v>
      </c>
      <c r="CB41" s="141">
        <v>97646</v>
      </c>
      <c r="CC41" s="141">
        <v>97737</v>
      </c>
      <c r="CD41" s="141">
        <v>97820</v>
      </c>
      <c r="CE41" s="141">
        <v>97906</v>
      </c>
      <c r="CF41" s="141">
        <v>97995</v>
      </c>
      <c r="CG41" s="141">
        <v>98094</v>
      </c>
      <c r="CH41" s="141">
        <v>98166</v>
      </c>
      <c r="CI41" s="141">
        <v>98275</v>
      </c>
      <c r="CJ41" s="141">
        <v>98324</v>
      </c>
      <c r="CK41" s="141">
        <v>98390</v>
      </c>
      <c r="CL41" s="141">
        <v>98491</v>
      </c>
      <c r="CM41" s="141">
        <v>98536</v>
      </c>
      <c r="CN41" s="141">
        <v>98607</v>
      </c>
      <c r="CO41" s="141">
        <v>98646</v>
      </c>
      <c r="CP41" s="141">
        <v>98723</v>
      </c>
      <c r="CQ41" s="141">
        <v>98773</v>
      </c>
      <c r="CR41" s="141">
        <v>98806</v>
      </c>
      <c r="CS41" s="141">
        <v>98862</v>
      </c>
      <c r="CT41" s="141">
        <v>98902</v>
      </c>
      <c r="CU41" s="141">
        <v>98939</v>
      </c>
      <c r="CV41" s="141">
        <v>98948</v>
      </c>
      <c r="CW41" s="141">
        <v>98990</v>
      </c>
      <c r="CX41" s="141">
        <v>99024</v>
      </c>
      <c r="CY41" s="141">
        <v>99049</v>
      </c>
      <c r="CZ41" s="141">
        <v>99042</v>
      </c>
      <c r="DA41" s="141">
        <v>99069</v>
      </c>
      <c r="DB41" s="141">
        <v>99090</v>
      </c>
      <c r="DC41" s="141">
        <v>99136</v>
      </c>
      <c r="DD41" s="141">
        <v>99149</v>
      </c>
      <c r="DE41" s="141">
        <v>99175</v>
      </c>
      <c r="DF41" s="141">
        <v>99226</v>
      </c>
      <c r="DG41" s="141">
        <v>99219</v>
      </c>
      <c r="DH41" s="141">
        <v>99252</v>
      </c>
      <c r="DI41" s="141">
        <v>99241</v>
      </c>
      <c r="DJ41" s="141">
        <v>99275</v>
      </c>
      <c r="DK41" s="141">
        <v>99296</v>
      </c>
      <c r="DL41" s="141">
        <v>99305</v>
      </c>
      <c r="DM41" s="141">
        <v>99330</v>
      </c>
      <c r="DN41" s="141">
        <v>99353</v>
      </c>
      <c r="DO41" s="141">
        <v>99376</v>
      </c>
    </row>
    <row r="42" spans="1:119">
      <c r="A42" s="140">
        <v>40</v>
      </c>
      <c r="W42" s="141">
        <v>79702</v>
      </c>
      <c r="X42" s="141">
        <v>80517</v>
      </c>
      <c r="Y42" s="141">
        <v>80652</v>
      </c>
      <c r="Z42" s="141">
        <v>82693</v>
      </c>
      <c r="AA42" s="141">
        <v>83181</v>
      </c>
      <c r="AB42" s="141">
        <v>83826</v>
      </c>
      <c r="AC42" s="141">
        <v>84711</v>
      </c>
      <c r="AD42" s="141">
        <v>85586</v>
      </c>
      <c r="AE42" s="141">
        <v>85535</v>
      </c>
      <c r="AF42" s="141">
        <v>86692</v>
      </c>
      <c r="AG42" s="141">
        <v>87184</v>
      </c>
      <c r="AH42" s="141">
        <v>87391</v>
      </c>
      <c r="AI42" s="141">
        <v>87816</v>
      </c>
      <c r="AJ42" s="141">
        <v>89022</v>
      </c>
      <c r="AK42" s="141">
        <v>89064</v>
      </c>
      <c r="AL42" s="141">
        <v>89456</v>
      </c>
      <c r="AM42" s="141">
        <v>89741</v>
      </c>
      <c r="AN42" s="141">
        <v>90223</v>
      </c>
      <c r="AO42" s="141">
        <v>90280</v>
      </c>
      <c r="AP42" s="141">
        <v>90400</v>
      </c>
      <c r="AQ42" s="141">
        <v>90493</v>
      </c>
      <c r="AR42" s="141">
        <v>90502</v>
      </c>
      <c r="AS42" s="141">
        <v>89996</v>
      </c>
      <c r="AT42" s="141">
        <v>89344</v>
      </c>
      <c r="AU42" s="141">
        <v>88276</v>
      </c>
      <c r="AV42" s="141">
        <v>88472</v>
      </c>
      <c r="AW42" s="141">
        <v>88812</v>
      </c>
      <c r="AX42" s="141">
        <v>90798</v>
      </c>
      <c r="AY42" s="141">
        <v>92378</v>
      </c>
      <c r="AZ42" s="141">
        <v>92479</v>
      </c>
      <c r="BA42" s="141">
        <v>92555</v>
      </c>
      <c r="BB42" s="141">
        <v>93115</v>
      </c>
      <c r="BC42" s="141">
        <v>93379</v>
      </c>
      <c r="BD42" s="141">
        <v>93688</v>
      </c>
      <c r="BE42" s="141">
        <v>93764</v>
      </c>
      <c r="BF42" s="141">
        <v>94134</v>
      </c>
      <c r="BG42" s="141">
        <v>94316</v>
      </c>
      <c r="BH42" s="141">
        <v>94522</v>
      </c>
      <c r="BI42" s="141">
        <v>94637</v>
      </c>
      <c r="BJ42" s="141">
        <v>94860</v>
      </c>
      <c r="BK42" s="141">
        <v>95134</v>
      </c>
      <c r="BL42" s="141">
        <v>95442</v>
      </c>
      <c r="BM42" s="141">
        <v>95680</v>
      </c>
      <c r="BN42" s="141">
        <v>95920</v>
      </c>
      <c r="BO42" s="141">
        <v>96115</v>
      </c>
      <c r="BP42" s="141">
        <v>96284</v>
      </c>
      <c r="BQ42" s="141">
        <v>96379</v>
      </c>
      <c r="BR42" s="141">
        <v>96501</v>
      </c>
      <c r="BS42" s="141">
        <v>96509</v>
      </c>
      <c r="BT42" s="141">
        <v>96608</v>
      </c>
      <c r="BU42" s="141">
        <v>96666</v>
      </c>
      <c r="BV42" s="141">
        <v>96778</v>
      </c>
      <c r="BW42" s="141">
        <v>96862</v>
      </c>
      <c r="BX42" s="141">
        <v>96975</v>
      </c>
      <c r="BY42" s="141">
        <v>97080</v>
      </c>
      <c r="BZ42" s="141">
        <v>97304</v>
      </c>
      <c r="CA42" s="141">
        <v>97468</v>
      </c>
      <c r="CB42" s="141">
        <v>97591</v>
      </c>
      <c r="CC42" s="141">
        <v>97684</v>
      </c>
      <c r="CD42" s="141">
        <v>97768</v>
      </c>
      <c r="CE42" s="141">
        <v>97855</v>
      </c>
      <c r="CF42" s="141">
        <v>97945</v>
      </c>
      <c r="CG42" s="141">
        <v>98045</v>
      </c>
      <c r="CH42" s="141">
        <v>98118</v>
      </c>
      <c r="CI42" s="141">
        <v>98229</v>
      </c>
      <c r="CJ42" s="141">
        <v>98279</v>
      </c>
      <c r="CK42" s="141">
        <v>98345</v>
      </c>
      <c r="CL42" s="141">
        <v>98448</v>
      </c>
      <c r="CM42" s="141">
        <v>98494</v>
      </c>
      <c r="CN42" s="141">
        <v>98565</v>
      </c>
      <c r="CO42" s="141">
        <v>98605</v>
      </c>
      <c r="CP42" s="141">
        <v>98683</v>
      </c>
      <c r="CQ42" s="141">
        <v>98734</v>
      </c>
      <c r="CR42" s="141">
        <v>98768</v>
      </c>
      <c r="CS42" s="141">
        <v>98825</v>
      </c>
      <c r="CT42" s="141">
        <v>98866</v>
      </c>
      <c r="CU42" s="141">
        <v>98903</v>
      </c>
      <c r="CV42" s="141">
        <v>98913</v>
      </c>
      <c r="CW42" s="141">
        <v>98956</v>
      </c>
      <c r="CX42" s="141">
        <v>98991</v>
      </c>
      <c r="CY42" s="141">
        <v>99017</v>
      </c>
      <c r="CZ42" s="141">
        <v>99011</v>
      </c>
      <c r="DA42" s="141">
        <v>99038</v>
      </c>
      <c r="DB42" s="141">
        <v>99060</v>
      </c>
      <c r="DC42" s="141">
        <v>99106</v>
      </c>
      <c r="DD42" s="141">
        <v>99120</v>
      </c>
      <c r="DE42" s="141">
        <v>99147</v>
      </c>
      <c r="DF42" s="141">
        <v>99199</v>
      </c>
      <c r="DG42" s="141">
        <v>99192</v>
      </c>
      <c r="DH42" s="141">
        <v>99225</v>
      </c>
      <c r="DI42" s="141">
        <v>99215</v>
      </c>
      <c r="DJ42" s="141">
        <v>99249</v>
      </c>
      <c r="DK42" s="141">
        <v>99271</v>
      </c>
      <c r="DL42" s="141">
        <v>99281</v>
      </c>
      <c r="DM42" s="141">
        <v>99306</v>
      </c>
      <c r="DN42" s="141">
        <v>99330</v>
      </c>
      <c r="DO42" s="141">
        <v>99353</v>
      </c>
    </row>
    <row r="43" spans="1:119">
      <c r="A43" s="140">
        <v>41</v>
      </c>
      <c r="W43" s="141">
        <v>79544</v>
      </c>
      <c r="X43" s="141">
        <v>80357</v>
      </c>
      <c r="Y43" s="141">
        <v>80490</v>
      </c>
      <c r="Z43" s="141">
        <v>82535</v>
      </c>
      <c r="AA43" s="141">
        <v>83028</v>
      </c>
      <c r="AB43" s="141">
        <v>83671</v>
      </c>
      <c r="AC43" s="141">
        <v>84562</v>
      </c>
      <c r="AD43" s="141">
        <v>85433</v>
      </c>
      <c r="AE43" s="141">
        <v>85370</v>
      </c>
      <c r="AF43" s="141">
        <v>86542</v>
      </c>
      <c r="AG43" s="141">
        <v>87041</v>
      </c>
      <c r="AH43" s="141">
        <v>87249</v>
      </c>
      <c r="AI43" s="141">
        <v>87665</v>
      </c>
      <c r="AJ43" s="141">
        <v>88883</v>
      </c>
      <c r="AK43" s="141">
        <v>88913</v>
      </c>
      <c r="AL43" s="141">
        <v>89312</v>
      </c>
      <c r="AM43" s="141">
        <v>89601</v>
      </c>
      <c r="AN43" s="141">
        <v>90087</v>
      </c>
      <c r="AO43" s="141">
        <v>90151</v>
      </c>
      <c r="AP43" s="141">
        <v>90270</v>
      </c>
      <c r="AQ43" s="141">
        <v>90365</v>
      </c>
      <c r="AR43" s="141">
        <v>90373</v>
      </c>
      <c r="AS43" s="141">
        <v>89868</v>
      </c>
      <c r="AT43" s="141">
        <v>89228</v>
      </c>
      <c r="AU43" s="141">
        <v>88156</v>
      </c>
      <c r="AV43" s="141">
        <v>88359</v>
      </c>
      <c r="AW43" s="141">
        <v>88698</v>
      </c>
      <c r="AX43" s="141">
        <v>90681</v>
      </c>
      <c r="AY43" s="141">
        <v>92256</v>
      </c>
      <c r="AZ43" s="141">
        <v>92357</v>
      </c>
      <c r="BA43" s="141">
        <v>92439</v>
      </c>
      <c r="BB43" s="141">
        <v>93001</v>
      </c>
      <c r="BC43" s="141">
        <v>93263</v>
      </c>
      <c r="BD43" s="141">
        <v>93573</v>
      </c>
      <c r="BE43" s="141">
        <v>93649</v>
      </c>
      <c r="BF43" s="141">
        <v>94026</v>
      </c>
      <c r="BG43" s="141">
        <v>94214</v>
      </c>
      <c r="BH43" s="141">
        <v>94422</v>
      </c>
      <c r="BI43" s="141">
        <v>94545</v>
      </c>
      <c r="BJ43" s="141">
        <v>94770</v>
      </c>
      <c r="BK43" s="141">
        <v>95040</v>
      </c>
      <c r="BL43" s="141">
        <v>95357</v>
      </c>
      <c r="BM43" s="141">
        <v>95600</v>
      </c>
      <c r="BN43" s="141">
        <v>95840</v>
      </c>
      <c r="BO43" s="141">
        <v>96037</v>
      </c>
      <c r="BP43" s="141">
        <v>96211</v>
      </c>
      <c r="BQ43" s="141">
        <v>96313</v>
      </c>
      <c r="BR43" s="141">
        <v>96430</v>
      </c>
      <c r="BS43" s="141">
        <v>96438</v>
      </c>
      <c r="BT43" s="141">
        <v>96542</v>
      </c>
      <c r="BU43" s="141">
        <v>96596</v>
      </c>
      <c r="BV43" s="141">
        <v>96712</v>
      </c>
      <c r="BW43" s="141">
        <v>96795</v>
      </c>
      <c r="BX43" s="141">
        <v>96913</v>
      </c>
      <c r="BY43" s="141">
        <v>97017</v>
      </c>
      <c r="BZ43" s="141">
        <v>97242</v>
      </c>
      <c r="CA43" s="141">
        <v>97408</v>
      </c>
      <c r="CB43" s="141">
        <v>97533</v>
      </c>
      <c r="CC43" s="141">
        <v>97626</v>
      </c>
      <c r="CD43" s="141">
        <v>97711</v>
      </c>
      <c r="CE43" s="141">
        <v>97800</v>
      </c>
      <c r="CF43" s="141">
        <v>97891</v>
      </c>
      <c r="CG43" s="141">
        <v>97992</v>
      </c>
      <c r="CH43" s="141">
        <v>98067</v>
      </c>
      <c r="CI43" s="141">
        <v>98178</v>
      </c>
      <c r="CJ43" s="141">
        <v>98229</v>
      </c>
      <c r="CK43" s="141">
        <v>98297</v>
      </c>
      <c r="CL43" s="141">
        <v>98400</v>
      </c>
      <c r="CM43" s="141">
        <v>98447</v>
      </c>
      <c r="CN43" s="141">
        <v>98520</v>
      </c>
      <c r="CO43" s="141">
        <v>98561</v>
      </c>
      <c r="CP43" s="141">
        <v>98639</v>
      </c>
      <c r="CQ43" s="141">
        <v>98692</v>
      </c>
      <c r="CR43" s="141">
        <v>98726</v>
      </c>
      <c r="CS43" s="141">
        <v>98784</v>
      </c>
      <c r="CT43" s="141">
        <v>98826</v>
      </c>
      <c r="CU43" s="141">
        <v>98865</v>
      </c>
      <c r="CV43" s="141">
        <v>98875</v>
      </c>
      <c r="CW43" s="141">
        <v>98919</v>
      </c>
      <c r="CX43" s="141">
        <v>98954</v>
      </c>
      <c r="CY43" s="141">
        <v>98981</v>
      </c>
      <c r="CZ43" s="141">
        <v>98976</v>
      </c>
      <c r="DA43" s="141">
        <v>99004</v>
      </c>
      <c r="DB43" s="141">
        <v>99027</v>
      </c>
      <c r="DC43" s="141">
        <v>99074</v>
      </c>
      <c r="DD43" s="141">
        <v>99088</v>
      </c>
      <c r="DE43" s="141">
        <v>99116</v>
      </c>
      <c r="DF43" s="141">
        <v>99168</v>
      </c>
      <c r="DG43" s="141">
        <v>99162</v>
      </c>
      <c r="DH43" s="141">
        <v>99196</v>
      </c>
      <c r="DI43" s="141">
        <v>99187</v>
      </c>
      <c r="DJ43" s="141">
        <v>99221</v>
      </c>
      <c r="DK43" s="141">
        <v>99244</v>
      </c>
      <c r="DL43" s="141">
        <v>99254</v>
      </c>
      <c r="DM43" s="141">
        <v>99280</v>
      </c>
      <c r="DN43" s="141">
        <v>99304</v>
      </c>
      <c r="DO43" s="141">
        <v>99328</v>
      </c>
    </row>
    <row r="44" spans="1:119">
      <c r="A44" s="140">
        <v>42</v>
      </c>
      <c r="W44" s="141">
        <v>79377</v>
      </c>
      <c r="X44" s="141">
        <v>80177</v>
      </c>
      <c r="Y44" s="141">
        <v>80325</v>
      </c>
      <c r="Z44" s="141">
        <v>82368</v>
      </c>
      <c r="AA44" s="141">
        <v>82861</v>
      </c>
      <c r="AB44" s="141">
        <v>83506</v>
      </c>
      <c r="AC44" s="141">
        <v>84394</v>
      </c>
      <c r="AD44" s="141">
        <v>85255</v>
      </c>
      <c r="AE44" s="141">
        <v>85203</v>
      </c>
      <c r="AF44" s="141">
        <v>86374</v>
      </c>
      <c r="AG44" s="141">
        <v>86874</v>
      </c>
      <c r="AH44" s="141">
        <v>87097</v>
      </c>
      <c r="AI44" s="141">
        <v>87501</v>
      </c>
      <c r="AJ44" s="141">
        <v>88718</v>
      </c>
      <c r="AK44" s="141">
        <v>88754</v>
      </c>
      <c r="AL44" s="141">
        <v>89159</v>
      </c>
      <c r="AM44" s="141">
        <v>89460</v>
      </c>
      <c r="AN44" s="141">
        <v>89946</v>
      </c>
      <c r="AO44" s="141">
        <v>90014</v>
      </c>
      <c r="AP44" s="141">
        <v>90133</v>
      </c>
      <c r="AQ44" s="141">
        <v>90226</v>
      </c>
      <c r="AR44" s="141">
        <v>90237</v>
      </c>
      <c r="AS44" s="141">
        <v>89735</v>
      </c>
      <c r="AT44" s="141">
        <v>89100</v>
      </c>
      <c r="AU44" s="141">
        <v>88032</v>
      </c>
      <c r="AV44" s="141">
        <v>88242</v>
      </c>
      <c r="AW44" s="141">
        <v>88579</v>
      </c>
      <c r="AX44" s="141">
        <v>90549</v>
      </c>
      <c r="AY44" s="141">
        <v>92130</v>
      </c>
      <c r="AZ44" s="141">
        <v>92230</v>
      </c>
      <c r="BA44" s="141">
        <v>92308</v>
      </c>
      <c r="BB44" s="141">
        <v>92878</v>
      </c>
      <c r="BC44" s="141">
        <v>93132</v>
      </c>
      <c r="BD44" s="141">
        <v>93449</v>
      </c>
      <c r="BE44" s="141">
        <v>93531</v>
      </c>
      <c r="BF44" s="141">
        <v>93910</v>
      </c>
      <c r="BG44" s="141">
        <v>94102</v>
      </c>
      <c r="BH44" s="141">
        <v>94316</v>
      </c>
      <c r="BI44" s="141">
        <v>94439</v>
      </c>
      <c r="BJ44" s="141">
        <v>94666</v>
      </c>
      <c r="BK44" s="141">
        <v>94941</v>
      </c>
      <c r="BL44" s="141">
        <v>95264</v>
      </c>
      <c r="BM44" s="141">
        <v>95515</v>
      </c>
      <c r="BN44" s="141">
        <v>95759</v>
      </c>
      <c r="BO44" s="141">
        <v>95950</v>
      </c>
      <c r="BP44" s="141">
        <v>96130</v>
      </c>
      <c r="BQ44" s="141">
        <v>96236</v>
      </c>
      <c r="BR44" s="141">
        <v>96348</v>
      </c>
      <c r="BS44" s="141">
        <v>96363</v>
      </c>
      <c r="BT44" s="141">
        <v>96465</v>
      </c>
      <c r="BU44" s="141">
        <v>96523</v>
      </c>
      <c r="BV44" s="141">
        <v>96639</v>
      </c>
      <c r="BW44" s="141">
        <v>96721</v>
      </c>
      <c r="BX44" s="141">
        <v>96844</v>
      </c>
      <c r="BY44" s="141">
        <v>96949</v>
      </c>
      <c r="BZ44" s="141">
        <v>97176</v>
      </c>
      <c r="CA44" s="141">
        <v>97343</v>
      </c>
      <c r="CB44" s="141">
        <v>97469</v>
      </c>
      <c r="CC44" s="141">
        <v>97563</v>
      </c>
      <c r="CD44" s="141">
        <v>97650</v>
      </c>
      <c r="CE44" s="141">
        <v>97740</v>
      </c>
      <c r="CF44" s="141">
        <v>97832</v>
      </c>
      <c r="CG44" s="141">
        <v>97935</v>
      </c>
      <c r="CH44" s="141">
        <v>98010</v>
      </c>
      <c r="CI44" s="141">
        <v>98123</v>
      </c>
      <c r="CJ44" s="141">
        <v>98175</v>
      </c>
      <c r="CK44" s="141">
        <v>98244</v>
      </c>
      <c r="CL44" s="141">
        <v>98349</v>
      </c>
      <c r="CM44" s="141">
        <v>98397</v>
      </c>
      <c r="CN44" s="141">
        <v>98470</v>
      </c>
      <c r="CO44" s="141">
        <v>98512</v>
      </c>
      <c r="CP44" s="141">
        <v>98592</v>
      </c>
      <c r="CQ44" s="141">
        <v>98645</v>
      </c>
      <c r="CR44" s="141">
        <v>98681</v>
      </c>
      <c r="CS44" s="141">
        <v>98740</v>
      </c>
      <c r="CT44" s="141">
        <v>98783</v>
      </c>
      <c r="CU44" s="141">
        <v>98822</v>
      </c>
      <c r="CV44" s="141">
        <v>98833</v>
      </c>
      <c r="CW44" s="141">
        <v>98878</v>
      </c>
      <c r="CX44" s="141">
        <v>98915</v>
      </c>
      <c r="CY44" s="141">
        <v>98942</v>
      </c>
      <c r="CZ44" s="141">
        <v>98937</v>
      </c>
      <c r="DA44" s="141">
        <v>98966</v>
      </c>
      <c r="DB44" s="141">
        <v>98990</v>
      </c>
      <c r="DC44" s="141">
        <v>99038</v>
      </c>
      <c r="DD44" s="141">
        <v>99053</v>
      </c>
      <c r="DE44" s="141">
        <v>99081</v>
      </c>
      <c r="DF44" s="141">
        <v>99134</v>
      </c>
      <c r="DG44" s="141">
        <v>99129</v>
      </c>
      <c r="DH44" s="141">
        <v>99164</v>
      </c>
      <c r="DI44" s="141">
        <v>99155</v>
      </c>
      <c r="DJ44" s="141">
        <v>99191</v>
      </c>
      <c r="DK44" s="141">
        <v>99214</v>
      </c>
      <c r="DL44" s="141">
        <v>99225</v>
      </c>
      <c r="DM44" s="141">
        <v>99251</v>
      </c>
      <c r="DN44" s="141">
        <v>99276</v>
      </c>
      <c r="DO44" s="141">
        <v>99301</v>
      </c>
    </row>
    <row r="45" spans="1:119">
      <c r="A45" s="140">
        <v>43</v>
      </c>
      <c r="W45" s="141">
        <v>79195</v>
      </c>
      <c r="X45" s="141">
        <v>80001</v>
      </c>
      <c r="Y45" s="141">
        <v>80142</v>
      </c>
      <c r="Z45" s="141">
        <v>82178</v>
      </c>
      <c r="AA45" s="141">
        <v>82671</v>
      </c>
      <c r="AB45" s="141">
        <v>83330</v>
      </c>
      <c r="AC45" s="141">
        <v>84199</v>
      </c>
      <c r="AD45" s="141">
        <v>85070</v>
      </c>
      <c r="AE45" s="141">
        <v>85017</v>
      </c>
      <c r="AF45" s="141">
        <v>86194</v>
      </c>
      <c r="AG45" s="141">
        <v>86697</v>
      </c>
      <c r="AH45" s="141">
        <v>86919</v>
      </c>
      <c r="AI45" s="141">
        <v>87333</v>
      </c>
      <c r="AJ45" s="141">
        <v>88533</v>
      </c>
      <c r="AK45" s="141">
        <v>88595</v>
      </c>
      <c r="AL45" s="141">
        <v>89004</v>
      </c>
      <c r="AM45" s="141">
        <v>89296</v>
      </c>
      <c r="AN45" s="141">
        <v>89797</v>
      </c>
      <c r="AO45" s="141">
        <v>89855</v>
      </c>
      <c r="AP45" s="141">
        <v>89983</v>
      </c>
      <c r="AQ45" s="141">
        <v>90075</v>
      </c>
      <c r="AR45" s="141">
        <v>90099</v>
      </c>
      <c r="AS45" s="141">
        <v>89598</v>
      </c>
      <c r="AT45" s="141">
        <v>88952</v>
      </c>
      <c r="AU45" s="141">
        <v>87898</v>
      </c>
      <c r="AV45" s="141">
        <v>88101</v>
      </c>
      <c r="AW45" s="141">
        <v>88446</v>
      </c>
      <c r="AX45" s="141">
        <v>90413</v>
      </c>
      <c r="AY45" s="141">
        <v>91991</v>
      </c>
      <c r="AZ45" s="141">
        <v>92087</v>
      </c>
      <c r="BA45" s="141">
        <v>92173</v>
      </c>
      <c r="BB45" s="141">
        <v>92743</v>
      </c>
      <c r="BC45" s="141">
        <v>92988</v>
      </c>
      <c r="BD45" s="141">
        <v>93321</v>
      </c>
      <c r="BE45" s="141">
        <v>93411</v>
      </c>
      <c r="BF45" s="141">
        <v>93788</v>
      </c>
      <c r="BG45" s="141">
        <v>93974</v>
      </c>
      <c r="BH45" s="141">
        <v>94200</v>
      </c>
      <c r="BI45" s="141">
        <v>94329</v>
      </c>
      <c r="BJ45" s="141">
        <v>94553</v>
      </c>
      <c r="BK45" s="141">
        <v>94841</v>
      </c>
      <c r="BL45" s="141">
        <v>95162</v>
      </c>
      <c r="BM45" s="141">
        <v>95415</v>
      </c>
      <c r="BN45" s="141">
        <v>95662</v>
      </c>
      <c r="BO45" s="141">
        <v>95853</v>
      </c>
      <c r="BP45" s="141">
        <v>96041</v>
      </c>
      <c r="BQ45" s="141">
        <v>96153</v>
      </c>
      <c r="BR45" s="141">
        <v>96260</v>
      </c>
      <c r="BS45" s="141">
        <v>96281</v>
      </c>
      <c r="BT45" s="141">
        <v>96379</v>
      </c>
      <c r="BU45" s="141">
        <v>96440</v>
      </c>
      <c r="BV45" s="141">
        <v>96557</v>
      </c>
      <c r="BW45" s="141">
        <v>96643</v>
      </c>
      <c r="BX45" s="141">
        <v>96768</v>
      </c>
      <c r="BY45" s="141">
        <v>96875</v>
      </c>
      <c r="BZ45" s="141">
        <v>97103</v>
      </c>
      <c r="CA45" s="141">
        <v>97272</v>
      </c>
      <c r="CB45" s="141">
        <v>97399</v>
      </c>
      <c r="CC45" s="141">
        <v>97495</v>
      </c>
      <c r="CD45" s="141">
        <v>97583</v>
      </c>
      <c r="CE45" s="141">
        <v>97675</v>
      </c>
      <c r="CF45" s="141">
        <v>97768</v>
      </c>
      <c r="CG45" s="141">
        <v>97872</v>
      </c>
      <c r="CH45" s="141">
        <v>97949</v>
      </c>
      <c r="CI45" s="141">
        <v>98063</v>
      </c>
      <c r="CJ45" s="141">
        <v>98116</v>
      </c>
      <c r="CK45" s="141">
        <v>98186</v>
      </c>
      <c r="CL45" s="141">
        <v>98292</v>
      </c>
      <c r="CM45" s="141">
        <v>98341</v>
      </c>
      <c r="CN45" s="141">
        <v>98416</v>
      </c>
      <c r="CO45" s="141">
        <v>98459</v>
      </c>
      <c r="CP45" s="141">
        <v>98540</v>
      </c>
      <c r="CQ45" s="141">
        <v>98594</v>
      </c>
      <c r="CR45" s="141">
        <v>98631</v>
      </c>
      <c r="CS45" s="141">
        <v>98691</v>
      </c>
      <c r="CT45" s="141">
        <v>98735</v>
      </c>
      <c r="CU45" s="141">
        <v>98775</v>
      </c>
      <c r="CV45" s="141">
        <v>98787</v>
      </c>
      <c r="CW45" s="141">
        <v>98833</v>
      </c>
      <c r="CX45" s="141">
        <v>98871</v>
      </c>
      <c r="CY45" s="141">
        <v>98899</v>
      </c>
      <c r="CZ45" s="141">
        <v>98895</v>
      </c>
      <c r="DA45" s="141">
        <v>98925</v>
      </c>
      <c r="DB45" s="141">
        <v>98950</v>
      </c>
      <c r="DC45" s="141">
        <v>98998</v>
      </c>
      <c r="DD45" s="141">
        <v>99014</v>
      </c>
      <c r="DE45" s="141">
        <v>99043</v>
      </c>
      <c r="DF45" s="141">
        <v>99097</v>
      </c>
      <c r="DG45" s="141">
        <v>99093</v>
      </c>
      <c r="DH45" s="141">
        <v>99128</v>
      </c>
      <c r="DI45" s="141">
        <v>99121</v>
      </c>
      <c r="DJ45" s="141">
        <v>99157</v>
      </c>
      <c r="DK45" s="141">
        <v>99180</v>
      </c>
      <c r="DL45" s="141">
        <v>99192</v>
      </c>
      <c r="DM45" s="141">
        <v>99219</v>
      </c>
      <c r="DN45" s="141">
        <v>99245</v>
      </c>
      <c r="DO45" s="141">
        <v>99270</v>
      </c>
    </row>
    <row r="46" spans="1:119">
      <c r="A46" s="140">
        <v>44</v>
      </c>
      <c r="W46" s="141">
        <v>78994</v>
      </c>
      <c r="X46" s="141">
        <v>79805</v>
      </c>
      <c r="Y46" s="141">
        <v>79942</v>
      </c>
      <c r="Z46" s="141">
        <v>81977</v>
      </c>
      <c r="AA46" s="141">
        <v>82472</v>
      </c>
      <c r="AB46" s="141">
        <v>83118</v>
      </c>
      <c r="AC46" s="141">
        <v>83995</v>
      </c>
      <c r="AD46" s="141">
        <v>84880</v>
      </c>
      <c r="AE46" s="141">
        <v>84817</v>
      </c>
      <c r="AF46" s="141">
        <v>85993</v>
      </c>
      <c r="AG46" s="141">
        <v>86495</v>
      </c>
      <c r="AH46" s="141">
        <v>86726</v>
      </c>
      <c r="AI46" s="141">
        <v>87142</v>
      </c>
      <c r="AJ46" s="141">
        <v>88349</v>
      </c>
      <c r="AK46" s="141">
        <v>88411</v>
      </c>
      <c r="AL46" s="141">
        <v>88830</v>
      </c>
      <c r="AM46" s="141">
        <v>89125</v>
      </c>
      <c r="AN46" s="141">
        <v>89627</v>
      </c>
      <c r="AO46" s="141">
        <v>89696</v>
      </c>
      <c r="AP46" s="141">
        <v>89828</v>
      </c>
      <c r="AQ46" s="141">
        <v>89923</v>
      </c>
      <c r="AR46" s="141">
        <v>89952</v>
      </c>
      <c r="AS46" s="141">
        <v>89448</v>
      </c>
      <c r="AT46" s="141">
        <v>88793</v>
      </c>
      <c r="AU46" s="141">
        <v>87755</v>
      </c>
      <c r="AV46" s="141">
        <v>87955</v>
      </c>
      <c r="AW46" s="141">
        <v>88300</v>
      </c>
      <c r="AX46" s="141">
        <v>90267</v>
      </c>
      <c r="AY46" s="141">
        <v>91837</v>
      </c>
      <c r="AZ46" s="141">
        <v>91929</v>
      </c>
      <c r="BA46" s="141">
        <v>92030</v>
      </c>
      <c r="BB46" s="141">
        <v>92601</v>
      </c>
      <c r="BC46" s="141">
        <v>92844</v>
      </c>
      <c r="BD46" s="141">
        <v>93176</v>
      </c>
      <c r="BE46" s="141">
        <v>93265</v>
      </c>
      <c r="BF46" s="141">
        <v>93655</v>
      </c>
      <c r="BG46" s="141">
        <v>93847</v>
      </c>
      <c r="BH46" s="141">
        <v>94073</v>
      </c>
      <c r="BI46" s="141">
        <v>94198</v>
      </c>
      <c r="BJ46" s="141">
        <v>94434</v>
      </c>
      <c r="BK46" s="141">
        <v>94732</v>
      </c>
      <c r="BL46" s="141">
        <v>95043</v>
      </c>
      <c r="BM46" s="141">
        <v>95313</v>
      </c>
      <c r="BN46" s="141">
        <v>95561</v>
      </c>
      <c r="BO46" s="141">
        <v>95753</v>
      </c>
      <c r="BP46" s="141">
        <v>95940</v>
      </c>
      <c r="BQ46" s="141">
        <v>96056</v>
      </c>
      <c r="BR46" s="141">
        <v>96164</v>
      </c>
      <c r="BS46" s="141">
        <v>96190</v>
      </c>
      <c r="BT46" s="141">
        <v>96289</v>
      </c>
      <c r="BU46" s="141">
        <v>96354</v>
      </c>
      <c r="BV46" s="141">
        <v>96471</v>
      </c>
      <c r="BW46" s="141">
        <v>96559</v>
      </c>
      <c r="BX46" s="141">
        <v>96685</v>
      </c>
      <c r="BY46" s="141">
        <v>96794</v>
      </c>
      <c r="BZ46" s="141">
        <v>97024</v>
      </c>
      <c r="CA46" s="141">
        <v>97194</v>
      </c>
      <c r="CB46" s="141">
        <v>97323</v>
      </c>
      <c r="CC46" s="141">
        <v>97420</v>
      </c>
      <c r="CD46" s="141">
        <v>97510</v>
      </c>
      <c r="CE46" s="141">
        <v>97603</v>
      </c>
      <c r="CF46" s="141">
        <v>97698</v>
      </c>
      <c r="CG46" s="141">
        <v>97803</v>
      </c>
      <c r="CH46" s="141">
        <v>97881</v>
      </c>
      <c r="CI46" s="141">
        <v>97996</v>
      </c>
      <c r="CJ46" s="141">
        <v>98051</v>
      </c>
      <c r="CK46" s="141">
        <v>98123</v>
      </c>
      <c r="CL46" s="141">
        <v>98230</v>
      </c>
      <c r="CM46" s="141">
        <v>98280</v>
      </c>
      <c r="CN46" s="141">
        <v>98356</v>
      </c>
      <c r="CO46" s="141">
        <v>98401</v>
      </c>
      <c r="CP46" s="141">
        <v>98483</v>
      </c>
      <c r="CQ46" s="141">
        <v>98538</v>
      </c>
      <c r="CR46" s="141">
        <v>98576</v>
      </c>
      <c r="CS46" s="141">
        <v>98637</v>
      </c>
      <c r="CT46" s="141">
        <v>98682</v>
      </c>
      <c r="CU46" s="141">
        <v>98724</v>
      </c>
      <c r="CV46" s="141">
        <v>98737</v>
      </c>
      <c r="CW46" s="141">
        <v>98784</v>
      </c>
      <c r="CX46" s="141">
        <v>98822</v>
      </c>
      <c r="CY46" s="141">
        <v>98852</v>
      </c>
      <c r="CZ46" s="141">
        <v>98849</v>
      </c>
      <c r="DA46" s="141">
        <v>98880</v>
      </c>
      <c r="DB46" s="141">
        <v>98905</v>
      </c>
      <c r="DC46" s="141">
        <v>98955</v>
      </c>
      <c r="DD46" s="141">
        <v>98972</v>
      </c>
      <c r="DE46" s="141">
        <v>99002</v>
      </c>
      <c r="DF46" s="141">
        <v>99057</v>
      </c>
      <c r="DG46" s="141">
        <v>99053</v>
      </c>
      <c r="DH46" s="141">
        <v>99089</v>
      </c>
      <c r="DI46" s="141">
        <v>99082</v>
      </c>
      <c r="DJ46" s="141">
        <v>99119</v>
      </c>
      <c r="DK46" s="141">
        <v>99144</v>
      </c>
      <c r="DL46" s="141">
        <v>99156</v>
      </c>
      <c r="DM46" s="141">
        <v>99184</v>
      </c>
      <c r="DN46" s="141">
        <v>99210</v>
      </c>
      <c r="DO46" s="141">
        <v>99236</v>
      </c>
    </row>
    <row r="47" spans="1:119">
      <c r="A47" s="140">
        <v>45</v>
      </c>
      <c r="W47" s="141">
        <v>78782</v>
      </c>
      <c r="X47" s="141">
        <v>79595</v>
      </c>
      <c r="Y47" s="141">
        <v>79734</v>
      </c>
      <c r="Z47" s="141">
        <v>81765</v>
      </c>
      <c r="AA47" s="141">
        <v>82247</v>
      </c>
      <c r="AB47" s="141">
        <v>82900</v>
      </c>
      <c r="AC47" s="141">
        <v>83782</v>
      </c>
      <c r="AD47" s="141">
        <v>84670</v>
      </c>
      <c r="AE47" s="141">
        <v>84603</v>
      </c>
      <c r="AF47" s="141">
        <v>85787</v>
      </c>
      <c r="AG47" s="141">
        <v>86285</v>
      </c>
      <c r="AH47" s="141">
        <v>86517</v>
      </c>
      <c r="AI47" s="141">
        <v>86940</v>
      </c>
      <c r="AJ47" s="141">
        <v>88142</v>
      </c>
      <c r="AK47" s="141">
        <v>88217</v>
      </c>
      <c r="AL47" s="141">
        <v>88648</v>
      </c>
      <c r="AM47" s="141">
        <v>88943</v>
      </c>
      <c r="AN47" s="141">
        <v>89448</v>
      </c>
      <c r="AO47" s="141">
        <v>89520</v>
      </c>
      <c r="AP47" s="141">
        <v>89667</v>
      </c>
      <c r="AQ47" s="141">
        <v>89755</v>
      </c>
      <c r="AR47" s="141">
        <v>89788</v>
      </c>
      <c r="AS47" s="141">
        <v>89279</v>
      </c>
      <c r="AT47" s="141">
        <v>88636</v>
      </c>
      <c r="AU47" s="141">
        <v>87592</v>
      </c>
      <c r="AV47" s="141">
        <v>87794</v>
      </c>
      <c r="AW47" s="141">
        <v>88145</v>
      </c>
      <c r="AX47" s="141">
        <v>90103</v>
      </c>
      <c r="AY47" s="141">
        <v>91669</v>
      </c>
      <c r="AZ47" s="141">
        <v>91769</v>
      </c>
      <c r="BA47" s="141">
        <v>91864</v>
      </c>
      <c r="BB47" s="141">
        <v>92449</v>
      </c>
      <c r="BC47" s="141">
        <v>92688</v>
      </c>
      <c r="BD47" s="141">
        <v>93032</v>
      </c>
      <c r="BE47" s="141">
        <v>93122</v>
      </c>
      <c r="BF47" s="141">
        <v>93510</v>
      </c>
      <c r="BG47" s="141">
        <v>93711</v>
      </c>
      <c r="BH47" s="141">
        <v>93933</v>
      </c>
      <c r="BI47" s="141">
        <v>94072</v>
      </c>
      <c r="BJ47" s="141">
        <v>94309</v>
      </c>
      <c r="BK47" s="141">
        <v>94613</v>
      </c>
      <c r="BL47" s="141">
        <v>94930</v>
      </c>
      <c r="BM47" s="141">
        <v>95210</v>
      </c>
      <c r="BN47" s="141">
        <v>95451</v>
      </c>
      <c r="BO47" s="141">
        <v>95640</v>
      </c>
      <c r="BP47" s="141">
        <v>95835</v>
      </c>
      <c r="BQ47" s="141">
        <v>95951</v>
      </c>
      <c r="BR47" s="141">
        <v>96064</v>
      </c>
      <c r="BS47" s="141">
        <v>96087</v>
      </c>
      <c r="BT47" s="141">
        <v>96192</v>
      </c>
      <c r="BU47" s="141">
        <v>96258</v>
      </c>
      <c r="BV47" s="141">
        <v>96377</v>
      </c>
      <c r="BW47" s="141">
        <v>96467</v>
      </c>
      <c r="BX47" s="141">
        <v>96595</v>
      </c>
      <c r="BY47" s="141">
        <v>96706</v>
      </c>
      <c r="BZ47" s="141">
        <v>96937</v>
      </c>
      <c r="CA47" s="141">
        <v>97109</v>
      </c>
      <c r="CB47" s="141">
        <v>97239</v>
      </c>
      <c r="CC47" s="141">
        <v>97338</v>
      </c>
      <c r="CD47" s="141">
        <v>97430</v>
      </c>
      <c r="CE47" s="141">
        <v>97524</v>
      </c>
      <c r="CF47" s="141">
        <v>97621</v>
      </c>
      <c r="CG47" s="141">
        <v>97727</v>
      </c>
      <c r="CH47" s="141">
        <v>97807</v>
      </c>
      <c r="CI47" s="141">
        <v>97924</v>
      </c>
      <c r="CJ47" s="141">
        <v>97980</v>
      </c>
      <c r="CK47" s="141">
        <v>98053</v>
      </c>
      <c r="CL47" s="141">
        <v>98161</v>
      </c>
      <c r="CM47" s="141">
        <v>98213</v>
      </c>
      <c r="CN47" s="141">
        <v>98291</v>
      </c>
      <c r="CO47" s="141">
        <v>98336</v>
      </c>
      <c r="CP47" s="141">
        <v>98420</v>
      </c>
      <c r="CQ47" s="141">
        <v>98477</v>
      </c>
      <c r="CR47" s="141">
        <v>98516</v>
      </c>
      <c r="CS47" s="141">
        <v>98578</v>
      </c>
      <c r="CT47" s="141">
        <v>98624</v>
      </c>
      <c r="CU47" s="141">
        <v>98667</v>
      </c>
      <c r="CV47" s="141">
        <v>98681</v>
      </c>
      <c r="CW47" s="141">
        <v>98729</v>
      </c>
      <c r="CX47" s="141">
        <v>98769</v>
      </c>
      <c r="CY47" s="141">
        <v>98799</v>
      </c>
      <c r="CZ47" s="141">
        <v>98798</v>
      </c>
      <c r="DA47" s="141">
        <v>98830</v>
      </c>
      <c r="DB47" s="141">
        <v>98856</v>
      </c>
      <c r="DC47" s="141">
        <v>98907</v>
      </c>
      <c r="DD47" s="141">
        <v>98925</v>
      </c>
      <c r="DE47" s="141">
        <v>98956</v>
      </c>
      <c r="DF47" s="141">
        <v>99011</v>
      </c>
      <c r="DG47" s="141">
        <v>99008</v>
      </c>
      <c r="DH47" s="141">
        <v>99046</v>
      </c>
      <c r="DI47" s="141">
        <v>99040</v>
      </c>
      <c r="DJ47" s="141">
        <v>99078</v>
      </c>
      <c r="DK47" s="141">
        <v>99103</v>
      </c>
      <c r="DL47" s="141">
        <v>99116</v>
      </c>
      <c r="DM47" s="141">
        <v>99145</v>
      </c>
      <c r="DN47" s="141">
        <v>99172</v>
      </c>
      <c r="DO47" s="141">
        <v>99199</v>
      </c>
    </row>
    <row r="48" spans="1:119">
      <c r="A48" s="140">
        <v>46</v>
      </c>
      <c r="W48" s="141">
        <v>78551</v>
      </c>
      <c r="X48" s="141">
        <v>79362</v>
      </c>
      <c r="Y48" s="141">
        <v>79506</v>
      </c>
      <c r="Z48" s="141">
        <v>81523</v>
      </c>
      <c r="AA48" s="141">
        <v>82024</v>
      </c>
      <c r="AB48" s="141">
        <v>82680</v>
      </c>
      <c r="AC48" s="141">
        <v>83558</v>
      </c>
      <c r="AD48" s="141">
        <v>84431</v>
      </c>
      <c r="AE48" s="141">
        <v>84378</v>
      </c>
      <c r="AF48" s="141">
        <v>85569</v>
      </c>
      <c r="AG48" s="141">
        <v>86067</v>
      </c>
      <c r="AH48" s="141">
        <v>86292</v>
      </c>
      <c r="AI48" s="141">
        <v>86713</v>
      </c>
      <c r="AJ48" s="141">
        <v>87932</v>
      </c>
      <c r="AK48" s="141">
        <v>88010</v>
      </c>
      <c r="AL48" s="141">
        <v>88450</v>
      </c>
      <c r="AM48" s="141">
        <v>88747</v>
      </c>
      <c r="AN48" s="141">
        <v>89263</v>
      </c>
      <c r="AO48" s="141">
        <v>89334</v>
      </c>
      <c r="AP48" s="141">
        <v>89488</v>
      </c>
      <c r="AQ48" s="141">
        <v>89576</v>
      </c>
      <c r="AR48" s="141">
        <v>89602</v>
      </c>
      <c r="AS48" s="141">
        <v>89102</v>
      </c>
      <c r="AT48" s="141">
        <v>88458</v>
      </c>
      <c r="AU48" s="141">
        <v>87404</v>
      </c>
      <c r="AV48" s="141">
        <v>87622</v>
      </c>
      <c r="AW48" s="141">
        <v>87971</v>
      </c>
      <c r="AX48" s="141">
        <v>89922</v>
      </c>
      <c r="AY48" s="141">
        <v>91498</v>
      </c>
      <c r="AZ48" s="141">
        <v>91597</v>
      </c>
      <c r="BA48" s="141">
        <v>91691</v>
      </c>
      <c r="BB48" s="141">
        <v>92284</v>
      </c>
      <c r="BC48" s="141">
        <v>92528</v>
      </c>
      <c r="BD48" s="141">
        <v>92869</v>
      </c>
      <c r="BE48" s="141">
        <v>92965</v>
      </c>
      <c r="BF48" s="141">
        <v>93354</v>
      </c>
      <c r="BG48" s="141">
        <v>93556</v>
      </c>
      <c r="BH48" s="141">
        <v>93793</v>
      </c>
      <c r="BI48" s="141">
        <v>93929</v>
      </c>
      <c r="BJ48" s="141">
        <v>94168</v>
      </c>
      <c r="BK48" s="141">
        <v>94474</v>
      </c>
      <c r="BL48" s="141">
        <v>94799</v>
      </c>
      <c r="BM48" s="141">
        <v>95084</v>
      </c>
      <c r="BN48" s="141">
        <v>95330</v>
      </c>
      <c r="BO48" s="141">
        <v>95520</v>
      </c>
      <c r="BP48" s="141">
        <v>95727</v>
      </c>
      <c r="BQ48" s="141">
        <v>95836</v>
      </c>
      <c r="BR48" s="141">
        <v>95954</v>
      </c>
      <c r="BS48" s="141">
        <v>95985</v>
      </c>
      <c r="BT48" s="141">
        <v>96085</v>
      </c>
      <c r="BU48" s="141">
        <v>96153</v>
      </c>
      <c r="BV48" s="141">
        <v>96273</v>
      </c>
      <c r="BW48" s="141">
        <v>96366</v>
      </c>
      <c r="BX48" s="141">
        <v>96496</v>
      </c>
      <c r="BY48" s="141">
        <v>96608</v>
      </c>
      <c r="BZ48" s="141">
        <v>96841</v>
      </c>
      <c r="CA48" s="141">
        <v>97015</v>
      </c>
      <c r="CB48" s="141">
        <v>97147</v>
      </c>
      <c r="CC48" s="141">
        <v>97248</v>
      </c>
      <c r="CD48" s="141">
        <v>97341</v>
      </c>
      <c r="CE48" s="141">
        <v>97438</v>
      </c>
      <c r="CF48" s="141">
        <v>97536</v>
      </c>
      <c r="CG48" s="141">
        <v>97644</v>
      </c>
      <c r="CH48" s="141">
        <v>97726</v>
      </c>
      <c r="CI48" s="141">
        <v>97844</v>
      </c>
      <c r="CJ48" s="141">
        <v>97902</v>
      </c>
      <c r="CK48" s="141">
        <v>97976</v>
      </c>
      <c r="CL48" s="141">
        <v>98086</v>
      </c>
      <c r="CM48" s="141">
        <v>98140</v>
      </c>
      <c r="CN48" s="141">
        <v>98218</v>
      </c>
      <c r="CO48" s="141">
        <v>98266</v>
      </c>
      <c r="CP48" s="141">
        <v>98350</v>
      </c>
      <c r="CQ48" s="141">
        <v>98409</v>
      </c>
      <c r="CR48" s="141">
        <v>98449</v>
      </c>
      <c r="CS48" s="141">
        <v>98513</v>
      </c>
      <c r="CT48" s="141">
        <v>98560</v>
      </c>
      <c r="CU48" s="141">
        <v>98604</v>
      </c>
      <c r="CV48" s="141">
        <v>98620</v>
      </c>
      <c r="CW48" s="141">
        <v>98669</v>
      </c>
      <c r="CX48" s="141">
        <v>98710</v>
      </c>
      <c r="CY48" s="141">
        <v>98742</v>
      </c>
      <c r="CZ48" s="141">
        <v>98741</v>
      </c>
      <c r="DA48" s="141">
        <v>98774</v>
      </c>
      <c r="DB48" s="141">
        <v>98802</v>
      </c>
      <c r="DC48" s="141">
        <v>98853</v>
      </c>
      <c r="DD48" s="141">
        <v>98873</v>
      </c>
      <c r="DE48" s="141">
        <v>98904</v>
      </c>
      <c r="DF48" s="141">
        <v>98961</v>
      </c>
      <c r="DG48" s="141">
        <v>98959</v>
      </c>
      <c r="DH48" s="141">
        <v>98998</v>
      </c>
      <c r="DI48" s="141">
        <v>98993</v>
      </c>
      <c r="DJ48" s="141">
        <v>99031</v>
      </c>
      <c r="DK48" s="141">
        <v>99058</v>
      </c>
      <c r="DL48" s="141">
        <v>99072</v>
      </c>
      <c r="DM48" s="141">
        <v>99101</v>
      </c>
      <c r="DN48" s="141">
        <v>99130</v>
      </c>
      <c r="DO48" s="141">
        <v>99157</v>
      </c>
    </row>
    <row r="49" spans="1:119">
      <c r="A49" s="140">
        <v>47</v>
      </c>
      <c r="W49" s="141">
        <v>78305</v>
      </c>
      <c r="X49" s="141">
        <v>79106</v>
      </c>
      <c r="Y49" s="141">
        <v>79239</v>
      </c>
      <c r="Z49" s="141">
        <v>81270</v>
      </c>
      <c r="AA49" s="141">
        <v>81764</v>
      </c>
      <c r="AB49" s="141">
        <v>82430</v>
      </c>
      <c r="AC49" s="141">
        <v>83312</v>
      </c>
      <c r="AD49" s="141">
        <v>84178</v>
      </c>
      <c r="AE49" s="141">
        <v>84136</v>
      </c>
      <c r="AF49" s="141">
        <v>85332</v>
      </c>
      <c r="AG49" s="141">
        <v>85835</v>
      </c>
      <c r="AH49" s="141">
        <v>86054</v>
      </c>
      <c r="AI49" s="141">
        <v>86483</v>
      </c>
      <c r="AJ49" s="141">
        <v>87710</v>
      </c>
      <c r="AK49" s="141">
        <v>87788</v>
      </c>
      <c r="AL49" s="141">
        <v>88235</v>
      </c>
      <c r="AM49" s="141">
        <v>88553</v>
      </c>
      <c r="AN49" s="141">
        <v>89057</v>
      </c>
      <c r="AO49" s="141">
        <v>89139</v>
      </c>
      <c r="AP49" s="141">
        <v>89289</v>
      </c>
      <c r="AQ49" s="141">
        <v>89375</v>
      </c>
      <c r="AR49" s="141">
        <v>89403</v>
      </c>
      <c r="AS49" s="141">
        <v>88927</v>
      </c>
      <c r="AT49" s="141">
        <v>88251</v>
      </c>
      <c r="AU49" s="141">
        <v>87205</v>
      </c>
      <c r="AV49" s="141">
        <v>87427</v>
      </c>
      <c r="AW49" s="141">
        <v>87791</v>
      </c>
      <c r="AX49" s="141">
        <v>89735</v>
      </c>
      <c r="AY49" s="141">
        <v>91312</v>
      </c>
      <c r="AZ49" s="141">
        <v>91413</v>
      </c>
      <c r="BA49" s="141">
        <v>91516</v>
      </c>
      <c r="BB49" s="141">
        <v>92108</v>
      </c>
      <c r="BC49" s="141">
        <v>92353</v>
      </c>
      <c r="BD49" s="141">
        <v>92695</v>
      </c>
      <c r="BE49" s="141">
        <v>92800</v>
      </c>
      <c r="BF49" s="141">
        <v>93180</v>
      </c>
      <c r="BG49" s="141">
        <v>93393</v>
      </c>
      <c r="BH49" s="141">
        <v>93634</v>
      </c>
      <c r="BI49" s="141">
        <v>93774</v>
      </c>
      <c r="BJ49" s="141">
        <v>94016</v>
      </c>
      <c r="BK49" s="141">
        <v>94330</v>
      </c>
      <c r="BL49" s="141">
        <v>94647</v>
      </c>
      <c r="BM49" s="141">
        <v>94945</v>
      </c>
      <c r="BN49" s="141">
        <v>95203</v>
      </c>
      <c r="BO49" s="141">
        <v>95389</v>
      </c>
      <c r="BP49" s="141">
        <v>95594</v>
      </c>
      <c r="BQ49" s="141">
        <v>95715</v>
      </c>
      <c r="BR49" s="141">
        <v>95827</v>
      </c>
      <c r="BS49" s="141">
        <v>95865</v>
      </c>
      <c r="BT49" s="141">
        <v>95967</v>
      </c>
      <c r="BU49" s="141">
        <v>96038</v>
      </c>
      <c r="BV49" s="141">
        <v>96160</v>
      </c>
      <c r="BW49" s="141">
        <v>96255</v>
      </c>
      <c r="BX49" s="141">
        <v>96387</v>
      </c>
      <c r="BY49" s="141">
        <v>96502</v>
      </c>
      <c r="BZ49" s="141">
        <v>96736</v>
      </c>
      <c r="CA49" s="141">
        <v>96912</v>
      </c>
      <c r="CB49" s="141">
        <v>97046</v>
      </c>
      <c r="CC49" s="141">
        <v>97149</v>
      </c>
      <c r="CD49" s="141">
        <v>97244</v>
      </c>
      <c r="CE49" s="141">
        <v>97343</v>
      </c>
      <c r="CF49" s="141">
        <v>97443</v>
      </c>
      <c r="CG49" s="141">
        <v>97553</v>
      </c>
      <c r="CH49" s="141">
        <v>97636</v>
      </c>
      <c r="CI49" s="141">
        <v>97756</v>
      </c>
      <c r="CJ49" s="141">
        <v>97816</v>
      </c>
      <c r="CK49" s="141">
        <v>97892</v>
      </c>
      <c r="CL49" s="141">
        <v>98003</v>
      </c>
      <c r="CM49" s="141">
        <v>98058</v>
      </c>
      <c r="CN49" s="141">
        <v>98139</v>
      </c>
      <c r="CO49" s="141">
        <v>98187</v>
      </c>
      <c r="CP49" s="141">
        <v>98274</v>
      </c>
      <c r="CQ49" s="141">
        <v>98334</v>
      </c>
      <c r="CR49" s="141">
        <v>98375</v>
      </c>
      <c r="CS49" s="141">
        <v>98440</v>
      </c>
      <c r="CT49" s="141">
        <v>98489</v>
      </c>
      <c r="CU49" s="141">
        <v>98535</v>
      </c>
      <c r="CV49" s="141">
        <v>98552</v>
      </c>
      <c r="CW49" s="141">
        <v>98602</v>
      </c>
      <c r="CX49" s="141">
        <v>98645</v>
      </c>
      <c r="CY49" s="141">
        <v>98678</v>
      </c>
      <c r="CZ49" s="141">
        <v>98679</v>
      </c>
      <c r="DA49" s="141">
        <v>98713</v>
      </c>
      <c r="DB49" s="141">
        <v>98742</v>
      </c>
      <c r="DC49" s="141">
        <v>98794</v>
      </c>
      <c r="DD49" s="141">
        <v>98815</v>
      </c>
      <c r="DE49" s="141">
        <v>98848</v>
      </c>
      <c r="DF49" s="141">
        <v>98906</v>
      </c>
      <c r="DG49" s="141">
        <v>98905</v>
      </c>
      <c r="DH49" s="141">
        <v>98944</v>
      </c>
      <c r="DI49" s="141">
        <v>98941</v>
      </c>
      <c r="DJ49" s="141">
        <v>98980</v>
      </c>
      <c r="DK49" s="141">
        <v>99008</v>
      </c>
      <c r="DL49" s="141">
        <v>99023</v>
      </c>
      <c r="DM49" s="141">
        <v>99053</v>
      </c>
      <c r="DN49" s="141">
        <v>99083</v>
      </c>
      <c r="DO49" s="141">
        <v>99111</v>
      </c>
    </row>
    <row r="50" spans="1:119">
      <c r="A50" s="140">
        <v>48</v>
      </c>
      <c r="W50" s="141">
        <v>78030</v>
      </c>
      <c r="X50" s="141">
        <v>78819</v>
      </c>
      <c r="Y50" s="141">
        <v>78970</v>
      </c>
      <c r="Z50" s="141">
        <v>81003</v>
      </c>
      <c r="AA50" s="141">
        <v>81501</v>
      </c>
      <c r="AB50" s="141">
        <v>82157</v>
      </c>
      <c r="AC50" s="141">
        <v>83045</v>
      </c>
      <c r="AD50" s="141">
        <v>83915</v>
      </c>
      <c r="AE50" s="141">
        <v>83877</v>
      </c>
      <c r="AF50" s="141">
        <v>85067</v>
      </c>
      <c r="AG50" s="141">
        <v>85577</v>
      </c>
      <c r="AH50" s="141">
        <v>85795</v>
      </c>
      <c r="AI50" s="141">
        <v>86233</v>
      </c>
      <c r="AJ50" s="141">
        <v>87466</v>
      </c>
      <c r="AK50" s="141">
        <v>87557</v>
      </c>
      <c r="AL50" s="141">
        <v>88011</v>
      </c>
      <c r="AM50" s="141">
        <v>88347</v>
      </c>
      <c r="AN50" s="141">
        <v>88842</v>
      </c>
      <c r="AO50" s="141">
        <v>88930</v>
      </c>
      <c r="AP50" s="141">
        <v>89081</v>
      </c>
      <c r="AQ50" s="141">
        <v>89166</v>
      </c>
      <c r="AR50" s="141">
        <v>89199</v>
      </c>
      <c r="AS50" s="141">
        <v>88715</v>
      </c>
      <c r="AT50" s="141">
        <v>88040</v>
      </c>
      <c r="AU50" s="141">
        <v>87003</v>
      </c>
      <c r="AV50" s="141">
        <v>87224</v>
      </c>
      <c r="AW50" s="141">
        <v>87592</v>
      </c>
      <c r="AX50" s="141">
        <v>89537</v>
      </c>
      <c r="AY50" s="141">
        <v>91115</v>
      </c>
      <c r="AZ50" s="141">
        <v>91218</v>
      </c>
      <c r="BA50" s="141">
        <v>91329</v>
      </c>
      <c r="BB50" s="141">
        <v>91916</v>
      </c>
      <c r="BC50" s="141">
        <v>92170</v>
      </c>
      <c r="BD50" s="141">
        <v>92511</v>
      </c>
      <c r="BE50" s="141">
        <v>92617</v>
      </c>
      <c r="BF50" s="141">
        <v>93001</v>
      </c>
      <c r="BG50" s="141">
        <v>93218</v>
      </c>
      <c r="BH50" s="141">
        <v>93466</v>
      </c>
      <c r="BI50" s="141">
        <v>93605</v>
      </c>
      <c r="BJ50" s="141">
        <v>93849</v>
      </c>
      <c r="BK50" s="141">
        <v>94168</v>
      </c>
      <c r="BL50" s="141">
        <v>94497</v>
      </c>
      <c r="BM50" s="141">
        <v>94788</v>
      </c>
      <c r="BN50" s="141">
        <v>95050</v>
      </c>
      <c r="BO50" s="141">
        <v>95236</v>
      </c>
      <c r="BP50" s="141">
        <v>95456</v>
      </c>
      <c r="BQ50" s="141">
        <v>95577</v>
      </c>
      <c r="BR50" s="141">
        <v>95693</v>
      </c>
      <c r="BS50" s="141">
        <v>95733</v>
      </c>
      <c r="BT50" s="141">
        <v>95838</v>
      </c>
      <c r="BU50" s="141">
        <v>95912</v>
      </c>
      <c r="BV50" s="141">
        <v>96036</v>
      </c>
      <c r="BW50" s="141">
        <v>96133</v>
      </c>
      <c r="BX50" s="141">
        <v>96268</v>
      </c>
      <c r="BY50" s="141">
        <v>96385</v>
      </c>
      <c r="BZ50" s="141">
        <v>96621</v>
      </c>
      <c r="CA50" s="141">
        <v>96799</v>
      </c>
      <c r="CB50" s="141">
        <v>96935</v>
      </c>
      <c r="CC50" s="141">
        <v>97041</v>
      </c>
      <c r="CD50" s="141">
        <v>97138</v>
      </c>
      <c r="CE50" s="141">
        <v>97238</v>
      </c>
      <c r="CF50" s="141">
        <v>97340</v>
      </c>
      <c r="CG50" s="141">
        <v>97452</v>
      </c>
      <c r="CH50" s="141">
        <v>97537</v>
      </c>
      <c r="CI50" s="141">
        <v>97659</v>
      </c>
      <c r="CJ50" s="141">
        <v>97721</v>
      </c>
      <c r="CK50" s="141">
        <v>97799</v>
      </c>
      <c r="CL50" s="141">
        <v>97912</v>
      </c>
      <c r="CM50" s="141">
        <v>97969</v>
      </c>
      <c r="CN50" s="141">
        <v>98051</v>
      </c>
      <c r="CO50" s="141">
        <v>98101</v>
      </c>
      <c r="CP50" s="141">
        <v>98189</v>
      </c>
      <c r="CQ50" s="141">
        <v>98251</v>
      </c>
      <c r="CR50" s="141">
        <v>98294</v>
      </c>
      <c r="CS50" s="141">
        <v>98361</v>
      </c>
      <c r="CT50" s="141">
        <v>98411</v>
      </c>
      <c r="CU50" s="141">
        <v>98458</v>
      </c>
      <c r="CV50" s="141">
        <v>98477</v>
      </c>
      <c r="CW50" s="141">
        <v>98529</v>
      </c>
      <c r="CX50" s="141">
        <v>98572</v>
      </c>
      <c r="CY50" s="141">
        <v>98607</v>
      </c>
      <c r="CZ50" s="141">
        <v>98609</v>
      </c>
      <c r="DA50" s="141">
        <v>98645</v>
      </c>
      <c r="DB50" s="141">
        <v>98675</v>
      </c>
      <c r="DC50" s="141">
        <v>98729</v>
      </c>
      <c r="DD50" s="141">
        <v>98751</v>
      </c>
      <c r="DE50" s="141">
        <v>98785</v>
      </c>
      <c r="DF50" s="141">
        <v>98844</v>
      </c>
      <c r="DG50" s="141">
        <v>98845</v>
      </c>
      <c r="DH50" s="141">
        <v>98885</v>
      </c>
      <c r="DI50" s="141">
        <v>98883</v>
      </c>
      <c r="DJ50" s="141">
        <v>98923</v>
      </c>
      <c r="DK50" s="141">
        <v>98952</v>
      </c>
      <c r="DL50" s="141">
        <v>98968</v>
      </c>
      <c r="DM50" s="141">
        <v>99000</v>
      </c>
      <c r="DN50" s="141">
        <v>99030</v>
      </c>
      <c r="DO50" s="141">
        <v>99059</v>
      </c>
    </row>
    <row r="51" spans="1:119">
      <c r="A51" s="140">
        <v>49</v>
      </c>
      <c r="W51" s="141">
        <v>77715</v>
      </c>
      <c r="X51" s="141">
        <v>78524</v>
      </c>
      <c r="Y51" s="141">
        <v>78666</v>
      </c>
      <c r="Z51" s="141">
        <v>80712</v>
      </c>
      <c r="AA51" s="141">
        <v>81209</v>
      </c>
      <c r="AB51" s="141">
        <v>81854</v>
      </c>
      <c r="AC51" s="141">
        <v>82758</v>
      </c>
      <c r="AD51" s="141">
        <v>83633</v>
      </c>
      <c r="AE51" s="141">
        <v>83598</v>
      </c>
      <c r="AF51" s="141">
        <v>84786</v>
      </c>
      <c r="AG51" s="141">
        <v>85309</v>
      </c>
      <c r="AH51" s="141">
        <v>85515</v>
      </c>
      <c r="AI51" s="141">
        <v>85979</v>
      </c>
      <c r="AJ51" s="141">
        <v>87216</v>
      </c>
      <c r="AK51" s="141">
        <v>87312</v>
      </c>
      <c r="AL51" s="141">
        <v>87772</v>
      </c>
      <c r="AM51" s="141">
        <v>88108</v>
      </c>
      <c r="AN51" s="141">
        <v>88604</v>
      </c>
      <c r="AO51" s="141">
        <v>88699</v>
      </c>
      <c r="AP51" s="141">
        <v>88853</v>
      </c>
      <c r="AQ51" s="141">
        <v>88934</v>
      </c>
      <c r="AR51" s="141">
        <v>88964</v>
      </c>
      <c r="AS51" s="141">
        <v>88483</v>
      </c>
      <c r="AT51" s="141">
        <v>87814</v>
      </c>
      <c r="AU51" s="141">
        <v>86777</v>
      </c>
      <c r="AV51" s="141">
        <v>87002</v>
      </c>
      <c r="AW51" s="141">
        <v>87374</v>
      </c>
      <c r="AX51" s="141">
        <v>89326</v>
      </c>
      <c r="AY51" s="141">
        <v>90902</v>
      </c>
      <c r="AZ51" s="141">
        <v>91010</v>
      </c>
      <c r="BA51" s="141">
        <v>91125</v>
      </c>
      <c r="BB51" s="141">
        <v>91712</v>
      </c>
      <c r="BC51" s="141">
        <v>91964</v>
      </c>
      <c r="BD51" s="141">
        <v>92314</v>
      </c>
      <c r="BE51" s="141">
        <v>92421</v>
      </c>
      <c r="BF51" s="141">
        <v>92815</v>
      </c>
      <c r="BG51" s="141">
        <v>93027</v>
      </c>
      <c r="BH51" s="141">
        <v>93294</v>
      </c>
      <c r="BI51" s="141">
        <v>93427</v>
      </c>
      <c r="BJ51" s="141">
        <v>93679</v>
      </c>
      <c r="BK51" s="141">
        <v>93997</v>
      </c>
      <c r="BL51" s="141">
        <v>94332</v>
      </c>
      <c r="BM51" s="141">
        <v>94625</v>
      </c>
      <c r="BN51" s="141">
        <v>94890</v>
      </c>
      <c r="BO51" s="141">
        <v>95086</v>
      </c>
      <c r="BP51" s="141">
        <v>95310</v>
      </c>
      <c r="BQ51" s="141">
        <v>95427</v>
      </c>
      <c r="BR51" s="141">
        <v>95546</v>
      </c>
      <c r="BS51" s="141">
        <v>95589</v>
      </c>
      <c r="BT51" s="141">
        <v>95697</v>
      </c>
      <c r="BU51" s="141">
        <v>95773</v>
      </c>
      <c r="BV51" s="141">
        <v>95900</v>
      </c>
      <c r="BW51" s="141">
        <v>96000</v>
      </c>
      <c r="BX51" s="141">
        <v>96136</v>
      </c>
      <c r="BY51" s="141">
        <v>96256</v>
      </c>
      <c r="BZ51" s="141">
        <v>96495</v>
      </c>
      <c r="CA51" s="141">
        <v>96675</v>
      </c>
      <c r="CB51" s="141">
        <v>96813</v>
      </c>
      <c r="CC51" s="141">
        <v>96921</v>
      </c>
      <c r="CD51" s="141">
        <v>97020</v>
      </c>
      <c r="CE51" s="141">
        <v>97123</v>
      </c>
      <c r="CF51" s="141">
        <v>97227</v>
      </c>
      <c r="CG51" s="141">
        <v>97341</v>
      </c>
      <c r="CH51" s="141">
        <v>97428</v>
      </c>
      <c r="CI51" s="141">
        <v>97552</v>
      </c>
      <c r="CJ51" s="141">
        <v>97616</v>
      </c>
      <c r="CK51" s="141">
        <v>97696</v>
      </c>
      <c r="CL51" s="141">
        <v>97811</v>
      </c>
      <c r="CM51" s="141">
        <v>97870</v>
      </c>
      <c r="CN51" s="141">
        <v>97954</v>
      </c>
      <c r="CO51" s="141">
        <v>98006</v>
      </c>
      <c r="CP51" s="141">
        <v>98096</v>
      </c>
      <c r="CQ51" s="141">
        <v>98159</v>
      </c>
      <c r="CR51" s="141">
        <v>98204</v>
      </c>
      <c r="CS51" s="141">
        <v>98273</v>
      </c>
      <c r="CT51" s="141">
        <v>98325</v>
      </c>
      <c r="CU51" s="141">
        <v>98373</v>
      </c>
      <c r="CV51" s="141">
        <v>98394</v>
      </c>
      <c r="CW51" s="141">
        <v>98447</v>
      </c>
      <c r="CX51" s="141">
        <v>98493</v>
      </c>
      <c r="CY51" s="141">
        <v>98529</v>
      </c>
      <c r="CZ51" s="141">
        <v>98532</v>
      </c>
      <c r="DA51" s="141">
        <v>98569</v>
      </c>
      <c r="DB51" s="141">
        <v>98601</v>
      </c>
      <c r="DC51" s="141">
        <v>98657</v>
      </c>
      <c r="DD51" s="141">
        <v>98680</v>
      </c>
      <c r="DE51" s="141">
        <v>98715</v>
      </c>
      <c r="DF51" s="141">
        <v>98776</v>
      </c>
      <c r="DG51" s="141">
        <v>98778</v>
      </c>
      <c r="DH51" s="141">
        <v>98820</v>
      </c>
      <c r="DI51" s="141">
        <v>98818</v>
      </c>
      <c r="DJ51" s="141">
        <v>98860</v>
      </c>
      <c r="DK51" s="141">
        <v>98890</v>
      </c>
      <c r="DL51" s="141">
        <v>98908</v>
      </c>
      <c r="DM51" s="141">
        <v>98940</v>
      </c>
      <c r="DN51" s="141">
        <v>98972</v>
      </c>
      <c r="DO51" s="141">
        <v>99002</v>
      </c>
    </row>
    <row r="52" spans="1:119">
      <c r="A52" s="140">
        <v>50</v>
      </c>
      <c r="W52" s="141">
        <v>77391</v>
      </c>
      <c r="X52" s="141">
        <v>78203</v>
      </c>
      <c r="Y52" s="141">
        <v>78355</v>
      </c>
      <c r="Z52" s="141">
        <v>80407</v>
      </c>
      <c r="AA52" s="141">
        <v>80896</v>
      </c>
      <c r="AB52" s="141">
        <v>81549</v>
      </c>
      <c r="AC52" s="141">
        <v>82450</v>
      </c>
      <c r="AD52" s="141">
        <v>83329</v>
      </c>
      <c r="AE52" s="141">
        <v>83292</v>
      </c>
      <c r="AF52" s="141">
        <v>84497</v>
      </c>
      <c r="AG52" s="141">
        <v>85014</v>
      </c>
      <c r="AH52" s="141">
        <v>85230</v>
      </c>
      <c r="AI52" s="141">
        <v>85700</v>
      </c>
      <c r="AJ52" s="141">
        <v>86944</v>
      </c>
      <c r="AK52" s="141">
        <v>87057</v>
      </c>
      <c r="AL52" s="141">
        <v>87510</v>
      </c>
      <c r="AM52" s="141">
        <v>87855</v>
      </c>
      <c r="AN52" s="141">
        <v>88358</v>
      </c>
      <c r="AO52" s="141">
        <v>88455</v>
      </c>
      <c r="AP52" s="141">
        <v>88609</v>
      </c>
      <c r="AQ52" s="141">
        <v>88692</v>
      </c>
      <c r="AR52" s="141">
        <v>88724</v>
      </c>
      <c r="AS52" s="141">
        <v>88239</v>
      </c>
      <c r="AT52" s="141">
        <v>87583</v>
      </c>
      <c r="AU52" s="141">
        <v>86541</v>
      </c>
      <c r="AV52" s="141">
        <v>86763</v>
      </c>
      <c r="AW52" s="141">
        <v>87150</v>
      </c>
      <c r="AX52" s="141">
        <v>89102</v>
      </c>
      <c r="AY52" s="141">
        <v>90682</v>
      </c>
      <c r="AZ52" s="141">
        <v>90788</v>
      </c>
      <c r="BA52" s="141">
        <v>90908</v>
      </c>
      <c r="BB52" s="141">
        <v>91491</v>
      </c>
      <c r="BC52" s="141">
        <v>91737</v>
      </c>
      <c r="BD52" s="141">
        <v>92095</v>
      </c>
      <c r="BE52" s="141">
        <v>92208</v>
      </c>
      <c r="BF52" s="141">
        <v>92600</v>
      </c>
      <c r="BG52" s="141">
        <v>92833</v>
      </c>
      <c r="BH52" s="141">
        <v>93100</v>
      </c>
      <c r="BI52" s="141">
        <v>93227</v>
      </c>
      <c r="BJ52" s="141">
        <v>93489</v>
      </c>
      <c r="BK52" s="141">
        <v>93800</v>
      </c>
      <c r="BL52" s="141">
        <v>94145</v>
      </c>
      <c r="BM52" s="141">
        <v>94454</v>
      </c>
      <c r="BN52" s="141">
        <v>94720</v>
      </c>
      <c r="BO52" s="141">
        <v>94909</v>
      </c>
      <c r="BP52" s="141">
        <v>95142</v>
      </c>
      <c r="BQ52" s="141">
        <v>95263</v>
      </c>
      <c r="BR52" s="141">
        <v>95385</v>
      </c>
      <c r="BS52" s="141">
        <v>95431</v>
      </c>
      <c r="BT52" s="141">
        <v>95542</v>
      </c>
      <c r="BU52" s="141">
        <v>95620</v>
      </c>
      <c r="BV52" s="141">
        <v>95750</v>
      </c>
      <c r="BW52" s="141">
        <v>95853</v>
      </c>
      <c r="BX52" s="141">
        <v>95992</v>
      </c>
      <c r="BY52" s="141">
        <v>96114</v>
      </c>
      <c r="BZ52" s="141">
        <v>96356</v>
      </c>
      <c r="CA52" s="141">
        <v>96538</v>
      </c>
      <c r="CB52" s="141">
        <v>96679</v>
      </c>
      <c r="CC52" s="141">
        <v>96789</v>
      </c>
      <c r="CD52" s="141">
        <v>96891</v>
      </c>
      <c r="CE52" s="141">
        <v>96996</v>
      </c>
      <c r="CF52" s="141">
        <v>97102</v>
      </c>
      <c r="CG52" s="141">
        <v>97219</v>
      </c>
      <c r="CH52" s="141">
        <v>97308</v>
      </c>
      <c r="CI52" s="141">
        <v>97434</v>
      </c>
      <c r="CJ52" s="141">
        <v>97500</v>
      </c>
      <c r="CK52" s="141">
        <v>97582</v>
      </c>
      <c r="CL52" s="141">
        <v>97700</v>
      </c>
      <c r="CM52" s="141">
        <v>97761</v>
      </c>
      <c r="CN52" s="141">
        <v>97847</v>
      </c>
      <c r="CO52" s="141">
        <v>97901</v>
      </c>
      <c r="CP52" s="141">
        <v>97993</v>
      </c>
      <c r="CQ52" s="141">
        <v>98058</v>
      </c>
      <c r="CR52" s="141">
        <v>98105</v>
      </c>
      <c r="CS52" s="141">
        <v>98175</v>
      </c>
      <c r="CT52" s="141">
        <v>98230</v>
      </c>
      <c r="CU52" s="141">
        <v>98280</v>
      </c>
      <c r="CV52" s="141">
        <v>98302</v>
      </c>
      <c r="CW52" s="141">
        <v>98357</v>
      </c>
      <c r="CX52" s="141">
        <v>98404</v>
      </c>
      <c r="CY52" s="141">
        <v>98442</v>
      </c>
      <c r="CZ52" s="141">
        <v>98448</v>
      </c>
      <c r="DA52" s="141">
        <v>98486</v>
      </c>
      <c r="DB52" s="141">
        <v>98520</v>
      </c>
      <c r="DC52" s="141">
        <v>98577</v>
      </c>
      <c r="DD52" s="141">
        <v>98601</v>
      </c>
      <c r="DE52" s="141">
        <v>98639</v>
      </c>
      <c r="DF52" s="141">
        <v>98700</v>
      </c>
      <c r="DG52" s="141">
        <v>98704</v>
      </c>
      <c r="DH52" s="141">
        <v>98747</v>
      </c>
      <c r="DI52" s="141">
        <v>98747</v>
      </c>
      <c r="DJ52" s="141">
        <v>98791</v>
      </c>
      <c r="DK52" s="141">
        <v>98822</v>
      </c>
      <c r="DL52" s="141">
        <v>98841</v>
      </c>
      <c r="DM52" s="141">
        <v>98875</v>
      </c>
      <c r="DN52" s="141">
        <v>98907</v>
      </c>
      <c r="DO52" s="141">
        <v>98939</v>
      </c>
    </row>
    <row r="53" spans="1:119">
      <c r="A53" s="140">
        <v>51</v>
      </c>
      <c r="W53" s="141">
        <v>77039</v>
      </c>
      <c r="X53" s="141">
        <v>77874</v>
      </c>
      <c r="Y53" s="141">
        <v>78027</v>
      </c>
      <c r="Z53" s="141">
        <v>80080</v>
      </c>
      <c r="AA53" s="141">
        <v>80556</v>
      </c>
      <c r="AB53" s="141">
        <v>81216</v>
      </c>
      <c r="AC53" s="141">
        <v>82127</v>
      </c>
      <c r="AD53" s="141">
        <v>83004</v>
      </c>
      <c r="AE53" s="141">
        <v>82981</v>
      </c>
      <c r="AF53" s="141">
        <v>84196</v>
      </c>
      <c r="AG53" s="141">
        <v>84707</v>
      </c>
      <c r="AH53" s="141">
        <v>84925</v>
      </c>
      <c r="AI53" s="141">
        <v>85392</v>
      </c>
      <c r="AJ53" s="141">
        <v>86657</v>
      </c>
      <c r="AK53" s="141">
        <v>86780</v>
      </c>
      <c r="AL53" s="141">
        <v>87220</v>
      </c>
      <c r="AM53" s="141">
        <v>87587</v>
      </c>
      <c r="AN53" s="141">
        <v>88089</v>
      </c>
      <c r="AO53" s="141">
        <v>88194</v>
      </c>
      <c r="AP53" s="141">
        <v>88346</v>
      </c>
      <c r="AQ53" s="141">
        <v>88439</v>
      </c>
      <c r="AR53" s="141">
        <v>88470</v>
      </c>
      <c r="AS53" s="141">
        <v>87971</v>
      </c>
      <c r="AT53" s="141">
        <v>87321</v>
      </c>
      <c r="AU53" s="141">
        <v>86290</v>
      </c>
      <c r="AV53" s="141">
        <v>86514</v>
      </c>
      <c r="AW53" s="141">
        <v>86913</v>
      </c>
      <c r="AX53" s="141">
        <v>88859</v>
      </c>
      <c r="AY53" s="141">
        <v>90444</v>
      </c>
      <c r="AZ53" s="141">
        <v>90556</v>
      </c>
      <c r="BA53" s="141">
        <v>90672</v>
      </c>
      <c r="BB53" s="141">
        <v>91259</v>
      </c>
      <c r="BC53" s="141">
        <v>91503</v>
      </c>
      <c r="BD53" s="141">
        <v>91874</v>
      </c>
      <c r="BE53" s="141">
        <v>91985</v>
      </c>
      <c r="BF53" s="141">
        <v>92370</v>
      </c>
      <c r="BG53" s="141">
        <v>92618</v>
      </c>
      <c r="BH53" s="141">
        <v>92880</v>
      </c>
      <c r="BI53" s="141">
        <v>93022</v>
      </c>
      <c r="BJ53" s="141">
        <v>93286</v>
      </c>
      <c r="BK53" s="141">
        <v>93590</v>
      </c>
      <c r="BL53" s="141">
        <v>93946</v>
      </c>
      <c r="BM53" s="141">
        <v>94262</v>
      </c>
      <c r="BN53" s="141">
        <v>94534</v>
      </c>
      <c r="BO53" s="141">
        <v>94723</v>
      </c>
      <c r="BP53" s="141">
        <v>94959</v>
      </c>
      <c r="BQ53" s="141">
        <v>95083</v>
      </c>
      <c r="BR53" s="141">
        <v>95208</v>
      </c>
      <c r="BS53" s="141">
        <v>95258</v>
      </c>
      <c r="BT53" s="141">
        <v>95371</v>
      </c>
      <c r="BU53" s="141">
        <v>95453</v>
      </c>
      <c r="BV53" s="141">
        <v>95587</v>
      </c>
      <c r="BW53" s="141">
        <v>95692</v>
      </c>
      <c r="BX53" s="141">
        <v>95834</v>
      </c>
      <c r="BY53" s="141">
        <v>95959</v>
      </c>
      <c r="BZ53" s="141">
        <v>96203</v>
      </c>
      <c r="CA53" s="141">
        <v>96388</v>
      </c>
      <c r="CB53" s="141">
        <v>96532</v>
      </c>
      <c r="CC53" s="141">
        <v>96645</v>
      </c>
      <c r="CD53" s="141">
        <v>96749</v>
      </c>
      <c r="CE53" s="141">
        <v>96856</v>
      </c>
      <c r="CF53" s="141">
        <v>96966</v>
      </c>
      <c r="CG53" s="141">
        <v>97084</v>
      </c>
      <c r="CH53" s="141">
        <v>97177</v>
      </c>
      <c r="CI53" s="141">
        <v>97305</v>
      </c>
      <c r="CJ53" s="141">
        <v>97373</v>
      </c>
      <c r="CK53" s="141">
        <v>97458</v>
      </c>
      <c r="CL53" s="141">
        <v>97577</v>
      </c>
      <c r="CM53" s="141">
        <v>97641</v>
      </c>
      <c r="CN53" s="141">
        <v>97729</v>
      </c>
      <c r="CO53" s="141">
        <v>97785</v>
      </c>
      <c r="CP53" s="141">
        <v>97879</v>
      </c>
      <c r="CQ53" s="141">
        <v>97947</v>
      </c>
      <c r="CR53" s="141">
        <v>97996</v>
      </c>
      <c r="CS53" s="141">
        <v>98068</v>
      </c>
      <c r="CT53" s="141">
        <v>98125</v>
      </c>
      <c r="CU53" s="141">
        <v>98177</v>
      </c>
      <c r="CV53" s="141">
        <v>98201</v>
      </c>
      <c r="CW53" s="141">
        <v>98258</v>
      </c>
      <c r="CX53" s="141">
        <v>98307</v>
      </c>
      <c r="CY53" s="141">
        <v>98347</v>
      </c>
      <c r="CZ53" s="141">
        <v>98354</v>
      </c>
      <c r="DA53" s="141">
        <v>98395</v>
      </c>
      <c r="DB53" s="141">
        <v>98430</v>
      </c>
      <c r="DC53" s="141">
        <v>98489</v>
      </c>
      <c r="DD53" s="141">
        <v>98515</v>
      </c>
      <c r="DE53" s="141">
        <v>98554</v>
      </c>
      <c r="DF53" s="141">
        <v>98617</v>
      </c>
      <c r="DG53" s="141">
        <v>98622</v>
      </c>
      <c r="DH53" s="141">
        <v>98667</v>
      </c>
      <c r="DI53" s="141">
        <v>98669</v>
      </c>
      <c r="DJ53" s="141">
        <v>98714</v>
      </c>
      <c r="DK53" s="141">
        <v>98746</v>
      </c>
      <c r="DL53" s="141">
        <v>98767</v>
      </c>
      <c r="DM53" s="141">
        <v>98802</v>
      </c>
      <c r="DN53" s="141">
        <v>98836</v>
      </c>
      <c r="DO53" s="141">
        <v>98869</v>
      </c>
    </row>
    <row r="54" spans="1:119">
      <c r="A54" s="140">
        <v>52</v>
      </c>
      <c r="W54" s="141">
        <v>76669</v>
      </c>
      <c r="X54" s="141">
        <v>77508</v>
      </c>
      <c r="Y54" s="141">
        <v>77666</v>
      </c>
      <c r="Z54" s="141">
        <v>79725</v>
      </c>
      <c r="AA54" s="141">
        <v>80201</v>
      </c>
      <c r="AB54" s="141">
        <v>80881</v>
      </c>
      <c r="AC54" s="141">
        <v>81796</v>
      </c>
      <c r="AD54" s="141">
        <v>82660</v>
      </c>
      <c r="AE54" s="141">
        <v>82656</v>
      </c>
      <c r="AF54" s="141">
        <v>83843</v>
      </c>
      <c r="AG54" s="141">
        <v>84385</v>
      </c>
      <c r="AH54" s="141">
        <v>84616</v>
      </c>
      <c r="AI54" s="141">
        <v>85082</v>
      </c>
      <c r="AJ54" s="141">
        <v>86343</v>
      </c>
      <c r="AK54" s="141">
        <v>86483</v>
      </c>
      <c r="AL54" s="141">
        <v>86928</v>
      </c>
      <c r="AM54" s="141">
        <v>87304</v>
      </c>
      <c r="AN54" s="141">
        <v>87804</v>
      </c>
      <c r="AO54" s="141">
        <v>87904</v>
      </c>
      <c r="AP54" s="141">
        <v>88062</v>
      </c>
      <c r="AQ54" s="141">
        <v>88161</v>
      </c>
      <c r="AR54" s="141">
        <v>88190</v>
      </c>
      <c r="AS54" s="141">
        <v>87684</v>
      </c>
      <c r="AT54" s="141">
        <v>87036</v>
      </c>
      <c r="AU54" s="141">
        <v>86037</v>
      </c>
      <c r="AV54" s="141">
        <v>86247</v>
      </c>
      <c r="AW54" s="141">
        <v>86665</v>
      </c>
      <c r="AX54" s="141">
        <v>88601</v>
      </c>
      <c r="AY54" s="141">
        <v>90192</v>
      </c>
      <c r="AZ54" s="141">
        <v>90298</v>
      </c>
      <c r="BA54" s="141">
        <v>90414</v>
      </c>
      <c r="BB54" s="141">
        <v>91014</v>
      </c>
      <c r="BC54" s="141">
        <v>91268</v>
      </c>
      <c r="BD54" s="141">
        <v>91637</v>
      </c>
      <c r="BE54" s="141">
        <v>91744</v>
      </c>
      <c r="BF54" s="141">
        <v>92132</v>
      </c>
      <c r="BG54" s="141">
        <v>92395</v>
      </c>
      <c r="BH54" s="141">
        <v>92656</v>
      </c>
      <c r="BI54" s="141">
        <v>92792</v>
      </c>
      <c r="BJ54" s="141">
        <v>93058</v>
      </c>
      <c r="BK54" s="141">
        <v>93369</v>
      </c>
      <c r="BL54" s="141">
        <v>93724</v>
      </c>
      <c r="BM54" s="141">
        <v>94049</v>
      </c>
      <c r="BN54" s="141">
        <v>94326</v>
      </c>
      <c r="BO54" s="141">
        <v>94519</v>
      </c>
      <c r="BP54" s="141">
        <v>94759</v>
      </c>
      <c r="BQ54" s="141">
        <v>94886</v>
      </c>
      <c r="BR54" s="141">
        <v>95015</v>
      </c>
      <c r="BS54" s="141">
        <v>95068</v>
      </c>
      <c r="BT54" s="141">
        <v>95185</v>
      </c>
      <c r="BU54" s="141">
        <v>95271</v>
      </c>
      <c r="BV54" s="141">
        <v>95407</v>
      </c>
      <c r="BW54" s="141">
        <v>95516</v>
      </c>
      <c r="BX54" s="141">
        <v>95661</v>
      </c>
      <c r="BY54" s="141">
        <v>95789</v>
      </c>
      <c r="BZ54" s="141">
        <v>96036</v>
      </c>
      <c r="CA54" s="141">
        <v>96224</v>
      </c>
      <c r="CB54" s="141">
        <v>96371</v>
      </c>
      <c r="CC54" s="141">
        <v>96486</v>
      </c>
      <c r="CD54" s="141">
        <v>96593</v>
      </c>
      <c r="CE54" s="141">
        <v>96704</v>
      </c>
      <c r="CF54" s="141">
        <v>96816</v>
      </c>
      <c r="CG54" s="141">
        <v>96937</v>
      </c>
      <c r="CH54" s="141">
        <v>97032</v>
      </c>
      <c r="CI54" s="141">
        <v>97163</v>
      </c>
      <c r="CJ54" s="141">
        <v>97234</v>
      </c>
      <c r="CK54" s="141">
        <v>97321</v>
      </c>
      <c r="CL54" s="141">
        <v>97443</v>
      </c>
      <c r="CM54" s="141">
        <v>97509</v>
      </c>
      <c r="CN54" s="141">
        <v>97600</v>
      </c>
      <c r="CO54" s="141">
        <v>97659</v>
      </c>
      <c r="CP54" s="141">
        <v>97755</v>
      </c>
      <c r="CQ54" s="141">
        <v>97825</v>
      </c>
      <c r="CR54" s="141">
        <v>97876</v>
      </c>
      <c r="CS54" s="141">
        <v>97951</v>
      </c>
      <c r="CT54" s="141">
        <v>98009</v>
      </c>
      <c r="CU54" s="141">
        <v>98064</v>
      </c>
      <c r="CV54" s="141">
        <v>98090</v>
      </c>
      <c r="CW54" s="141">
        <v>98149</v>
      </c>
      <c r="CX54" s="141">
        <v>98200</v>
      </c>
      <c r="CY54" s="141">
        <v>98242</v>
      </c>
      <c r="CZ54" s="141">
        <v>98251</v>
      </c>
      <c r="DA54" s="141">
        <v>98294</v>
      </c>
      <c r="DB54" s="141">
        <v>98331</v>
      </c>
      <c r="DC54" s="141">
        <v>98391</v>
      </c>
      <c r="DD54" s="141">
        <v>98420</v>
      </c>
      <c r="DE54" s="141">
        <v>98460</v>
      </c>
      <c r="DF54" s="141">
        <v>98526</v>
      </c>
      <c r="DG54" s="141">
        <v>98532</v>
      </c>
      <c r="DH54" s="141">
        <v>98579</v>
      </c>
      <c r="DI54" s="141">
        <v>98582</v>
      </c>
      <c r="DJ54" s="141">
        <v>98629</v>
      </c>
      <c r="DK54" s="141">
        <v>98663</v>
      </c>
      <c r="DL54" s="141">
        <v>98685</v>
      </c>
      <c r="DM54" s="141">
        <v>98722</v>
      </c>
      <c r="DN54" s="141">
        <v>98758</v>
      </c>
      <c r="DO54" s="141">
        <v>98792</v>
      </c>
    </row>
    <row r="55" spans="1:119">
      <c r="A55" s="140">
        <v>53</v>
      </c>
      <c r="W55" s="141">
        <v>76293</v>
      </c>
      <c r="X55" s="141">
        <v>77118</v>
      </c>
      <c r="Y55" s="141">
        <v>77285</v>
      </c>
      <c r="Z55" s="141">
        <v>79340</v>
      </c>
      <c r="AA55" s="141">
        <v>79830</v>
      </c>
      <c r="AB55" s="141">
        <v>80524</v>
      </c>
      <c r="AC55" s="141">
        <v>81433</v>
      </c>
      <c r="AD55" s="141">
        <v>82301</v>
      </c>
      <c r="AE55" s="141">
        <v>82298</v>
      </c>
      <c r="AF55" s="141">
        <v>83501</v>
      </c>
      <c r="AG55" s="141">
        <v>84041</v>
      </c>
      <c r="AH55" s="141">
        <v>84275</v>
      </c>
      <c r="AI55" s="141">
        <v>84745</v>
      </c>
      <c r="AJ55" s="141">
        <v>86026</v>
      </c>
      <c r="AK55" s="141">
        <v>86161</v>
      </c>
      <c r="AL55" s="141">
        <v>86616</v>
      </c>
      <c r="AM55" s="141">
        <v>87001</v>
      </c>
      <c r="AN55" s="141">
        <v>87493</v>
      </c>
      <c r="AO55" s="141">
        <v>87611</v>
      </c>
      <c r="AP55" s="141">
        <v>87766</v>
      </c>
      <c r="AQ55" s="141">
        <v>87849</v>
      </c>
      <c r="AR55" s="141">
        <v>87898</v>
      </c>
      <c r="AS55" s="141">
        <v>87391</v>
      </c>
      <c r="AT55" s="141">
        <v>86747</v>
      </c>
      <c r="AU55" s="141">
        <v>85756</v>
      </c>
      <c r="AV55" s="141">
        <v>85978</v>
      </c>
      <c r="AW55" s="141">
        <v>86393</v>
      </c>
      <c r="AX55" s="141">
        <v>88324</v>
      </c>
      <c r="AY55" s="141">
        <v>89915</v>
      </c>
      <c r="AZ55" s="141">
        <v>90021</v>
      </c>
      <c r="BA55" s="141">
        <v>90141</v>
      </c>
      <c r="BB55" s="141">
        <v>90749</v>
      </c>
      <c r="BC55" s="141">
        <v>91011</v>
      </c>
      <c r="BD55" s="141">
        <v>91388</v>
      </c>
      <c r="BE55" s="141">
        <v>91480</v>
      </c>
      <c r="BF55" s="141">
        <v>91879</v>
      </c>
      <c r="BG55" s="141">
        <v>92137</v>
      </c>
      <c r="BH55" s="141">
        <v>92400</v>
      </c>
      <c r="BI55" s="141">
        <v>92543</v>
      </c>
      <c r="BJ55" s="141">
        <v>92812</v>
      </c>
      <c r="BK55" s="141">
        <v>93131</v>
      </c>
      <c r="BL55" s="141">
        <v>93493</v>
      </c>
      <c r="BM55" s="141">
        <v>93819</v>
      </c>
      <c r="BN55" s="141">
        <v>94101</v>
      </c>
      <c r="BO55" s="141">
        <v>94297</v>
      </c>
      <c r="BP55" s="141">
        <v>94541</v>
      </c>
      <c r="BQ55" s="141">
        <v>94672</v>
      </c>
      <c r="BR55" s="141">
        <v>94804</v>
      </c>
      <c r="BS55" s="141">
        <v>94862</v>
      </c>
      <c r="BT55" s="141">
        <v>94982</v>
      </c>
      <c r="BU55" s="141">
        <v>95072</v>
      </c>
      <c r="BV55" s="141">
        <v>95211</v>
      </c>
      <c r="BW55" s="141">
        <v>95323</v>
      </c>
      <c r="BX55" s="141">
        <v>95472</v>
      </c>
      <c r="BY55" s="141">
        <v>95603</v>
      </c>
      <c r="BZ55" s="141">
        <v>95853</v>
      </c>
      <c r="CA55" s="141">
        <v>96045</v>
      </c>
      <c r="CB55" s="141">
        <v>96194</v>
      </c>
      <c r="CC55" s="141">
        <v>96313</v>
      </c>
      <c r="CD55" s="141">
        <v>96424</v>
      </c>
      <c r="CE55" s="141">
        <v>96537</v>
      </c>
      <c r="CF55" s="141">
        <v>96652</v>
      </c>
      <c r="CG55" s="141">
        <v>96776</v>
      </c>
      <c r="CH55" s="141">
        <v>96874</v>
      </c>
      <c r="CI55" s="141">
        <v>97008</v>
      </c>
      <c r="CJ55" s="141">
        <v>97082</v>
      </c>
      <c r="CK55" s="141">
        <v>97172</v>
      </c>
      <c r="CL55" s="141">
        <v>97297</v>
      </c>
      <c r="CM55" s="141">
        <v>97365</v>
      </c>
      <c r="CN55" s="141">
        <v>97459</v>
      </c>
      <c r="CO55" s="141">
        <v>97520</v>
      </c>
      <c r="CP55" s="141">
        <v>97619</v>
      </c>
      <c r="CQ55" s="141">
        <v>97691</v>
      </c>
      <c r="CR55" s="141">
        <v>97745</v>
      </c>
      <c r="CS55" s="141">
        <v>97822</v>
      </c>
      <c r="CT55" s="141">
        <v>97883</v>
      </c>
      <c r="CU55" s="141">
        <v>97940</v>
      </c>
      <c r="CV55" s="141">
        <v>97968</v>
      </c>
      <c r="CW55" s="141">
        <v>98030</v>
      </c>
      <c r="CX55" s="141">
        <v>98083</v>
      </c>
      <c r="CY55" s="141">
        <v>98127</v>
      </c>
      <c r="CZ55" s="141">
        <v>98139</v>
      </c>
      <c r="DA55" s="141">
        <v>98183</v>
      </c>
      <c r="DB55" s="141">
        <v>98222</v>
      </c>
      <c r="DC55" s="141">
        <v>98285</v>
      </c>
      <c r="DD55" s="141">
        <v>98315</v>
      </c>
      <c r="DE55" s="141">
        <v>98358</v>
      </c>
      <c r="DF55" s="141">
        <v>98425</v>
      </c>
      <c r="DG55" s="141">
        <v>98434</v>
      </c>
      <c r="DH55" s="141">
        <v>98482</v>
      </c>
      <c r="DI55" s="141">
        <v>98487</v>
      </c>
      <c r="DJ55" s="141">
        <v>98536</v>
      </c>
      <c r="DK55" s="141">
        <v>98572</v>
      </c>
      <c r="DL55" s="141">
        <v>98596</v>
      </c>
      <c r="DM55" s="141">
        <v>98634</v>
      </c>
      <c r="DN55" s="141">
        <v>98671</v>
      </c>
      <c r="DO55" s="141">
        <v>98708</v>
      </c>
    </row>
    <row r="56" spans="1:119">
      <c r="A56" s="140">
        <v>54</v>
      </c>
      <c r="W56" s="141">
        <v>75887</v>
      </c>
      <c r="X56" s="141">
        <v>76711</v>
      </c>
      <c r="Y56" s="141">
        <v>76887</v>
      </c>
      <c r="Z56" s="141">
        <v>78954</v>
      </c>
      <c r="AA56" s="141">
        <v>79431</v>
      </c>
      <c r="AB56" s="141">
        <v>80125</v>
      </c>
      <c r="AC56" s="141">
        <v>81056</v>
      </c>
      <c r="AD56" s="141">
        <v>81906</v>
      </c>
      <c r="AE56" s="141">
        <v>81914</v>
      </c>
      <c r="AF56" s="141">
        <v>83125</v>
      </c>
      <c r="AG56" s="141">
        <v>83672</v>
      </c>
      <c r="AH56" s="141">
        <v>83916</v>
      </c>
      <c r="AI56" s="141">
        <v>84414</v>
      </c>
      <c r="AJ56" s="141">
        <v>85672</v>
      </c>
      <c r="AK56" s="141">
        <v>85816</v>
      </c>
      <c r="AL56" s="141">
        <v>86288</v>
      </c>
      <c r="AM56" s="141">
        <v>86665</v>
      </c>
      <c r="AN56" s="141">
        <v>87162</v>
      </c>
      <c r="AO56" s="141">
        <v>87289</v>
      </c>
      <c r="AP56" s="141">
        <v>87469</v>
      </c>
      <c r="AQ56" s="141">
        <v>87537</v>
      </c>
      <c r="AR56" s="141">
        <v>87582</v>
      </c>
      <c r="AS56" s="141">
        <v>87088</v>
      </c>
      <c r="AT56" s="141">
        <v>86442</v>
      </c>
      <c r="AU56" s="141">
        <v>85463</v>
      </c>
      <c r="AV56" s="141">
        <v>85674</v>
      </c>
      <c r="AW56" s="141">
        <v>86105</v>
      </c>
      <c r="AX56" s="141">
        <v>88029</v>
      </c>
      <c r="AY56" s="141">
        <v>89631</v>
      </c>
      <c r="AZ56" s="141">
        <v>89743</v>
      </c>
      <c r="BA56" s="141">
        <v>89860</v>
      </c>
      <c r="BB56" s="141">
        <v>90472</v>
      </c>
      <c r="BC56" s="141">
        <v>90742</v>
      </c>
      <c r="BD56" s="141">
        <v>91105</v>
      </c>
      <c r="BE56" s="141">
        <v>91206</v>
      </c>
      <c r="BF56" s="141">
        <v>91601</v>
      </c>
      <c r="BG56" s="141">
        <v>91859</v>
      </c>
      <c r="BH56" s="141">
        <v>92131</v>
      </c>
      <c r="BI56" s="141">
        <v>92269</v>
      </c>
      <c r="BJ56" s="141">
        <v>92544</v>
      </c>
      <c r="BK56" s="141">
        <v>92866</v>
      </c>
      <c r="BL56" s="141">
        <v>93240</v>
      </c>
      <c r="BM56" s="141">
        <v>93570</v>
      </c>
      <c r="BN56" s="141">
        <v>93855</v>
      </c>
      <c r="BO56" s="141">
        <v>94056</v>
      </c>
      <c r="BP56" s="141">
        <v>94304</v>
      </c>
      <c r="BQ56" s="141">
        <v>94439</v>
      </c>
      <c r="BR56" s="141">
        <v>94576</v>
      </c>
      <c r="BS56" s="141">
        <v>94637</v>
      </c>
      <c r="BT56" s="141">
        <v>94762</v>
      </c>
      <c r="BU56" s="141">
        <v>94855</v>
      </c>
      <c r="BV56" s="141">
        <v>94999</v>
      </c>
      <c r="BW56" s="141">
        <v>95114</v>
      </c>
      <c r="BX56" s="141">
        <v>95267</v>
      </c>
      <c r="BY56" s="141">
        <v>95402</v>
      </c>
      <c r="BZ56" s="141">
        <v>95655</v>
      </c>
      <c r="CA56" s="141">
        <v>95850</v>
      </c>
      <c r="CB56" s="141">
        <v>96003</v>
      </c>
      <c r="CC56" s="141">
        <v>96125</v>
      </c>
      <c r="CD56" s="141">
        <v>96239</v>
      </c>
      <c r="CE56" s="141">
        <v>96356</v>
      </c>
      <c r="CF56" s="141">
        <v>96474</v>
      </c>
      <c r="CG56" s="141">
        <v>96601</v>
      </c>
      <c r="CH56" s="141">
        <v>96703</v>
      </c>
      <c r="CI56" s="141">
        <v>96839</v>
      </c>
      <c r="CJ56" s="141">
        <v>96917</v>
      </c>
      <c r="CK56" s="141">
        <v>97009</v>
      </c>
      <c r="CL56" s="141">
        <v>97137</v>
      </c>
      <c r="CM56" s="141">
        <v>97209</v>
      </c>
      <c r="CN56" s="141">
        <v>97305</v>
      </c>
      <c r="CO56" s="141">
        <v>97369</v>
      </c>
      <c r="CP56" s="141">
        <v>97471</v>
      </c>
      <c r="CQ56" s="141">
        <v>97546</v>
      </c>
      <c r="CR56" s="141">
        <v>97602</v>
      </c>
      <c r="CS56" s="141">
        <v>97682</v>
      </c>
      <c r="CT56" s="141">
        <v>97746</v>
      </c>
      <c r="CU56" s="141">
        <v>97805</v>
      </c>
      <c r="CV56" s="141">
        <v>97836</v>
      </c>
      <c r="CW56" s="141">
        <v>97900</v>
      </c>
      <c r="CX56" s="141">
        <v>97956</v>
      </c>
      <c r="CY56" s="141">
        <v>98002</v>
      </c>
      <c r="CZ56" s="141">
        <v>98016</v>
      </c>
      <c r="DA56" s="141">
        <v>98063</v>
      </c>
      <c r="DB56" s="141">
        <v>98104</v>
      </c>
      <c r="DC56" s="141">
        <v>98169</v>
      </c>
      <c r="DD56" s="141">
        <v>98202</v>
      </c>
      <c r="DE56" s="141">
        <v>98246</v>
      </c>
      <c r="DF56" s="141">
        <v>98316</v>
      </c>
      <c r="DG56" s="141">
        <v>98326</v>
      </c>
      <c r="DH56" s="141">
        <v>98377</v>
      </c>
      <c r="DI56" s="141">
        <v>98384</v>
      </c>
      <c r="DJ56" s="141">
        <v>98434</v>
      </c>
      <c r="DK56" s="141">
        <v>98472</v>
      </c>
      <c r="DL56" s="141">
        <v>98498</v>
      </c>
      <c r="DM56" s="141">
        <v>98538</v>
      </c>
      <c r="DN56" s="141">
        <v>98577</v>
      </c>
      <c r="DO56" s="141">
        <v>98615</v>
      </c>
    </row>
    <row r="57" spans="1:119">
      <c r="A57" s="140">
        <v>55</v>
      </c>
      <c r="W57" s="141">
        <v>75455</v>
      </c>
      <c r="X57" s="141">
        <v>76300</v>
      </c>
      <c r="Y57" s="141">
        <v>76480</v>
      </c>
      <c r="Z57" s="141">
        <v>78539</v>
      </c>
      <c r="AA57" s="141">
        <v>79023</v>
      </c>
      <c r="AB57" s="141">
        <v>79707</v>
      </c>
      <c r="AC57" s="141">
        <v>80638</v>
      </c>
      <c r="AD57" s="141">
        <v>81500</v>
      </c>
      <c r="AE57" s="141">
        <v>81534</v>
      </c>
      <c r="AF57" s="141">
        <v>82743</v>
      </c>
      <c r="AG57" s="141">
        <v>83282</v>
      </c>
      <c r="AH57" s="141">
        <v>83539</v>
      </c>
      <c r="AI57" s="141">
        <v>84029</v>
      </c>
      <c r="AJ57" s="141">
        <v>85285</v>
      </c>
      <c r="AK57" s="141">
        <v>85451</v>
      </c>
      <c r="AL57" s="141">
        <v>85919</v>
      </c>
      <c r="AM57" s="141">
        <v>86298</v>
      </c>
      <c r="AN57" s="141">
        <v>86828</v>
      </c>
      <c r="AO57" s="141">
        <v>86943</v>
      </c>
      <c r="AP57" s="141">
        <v>87131</v>
      </c>
      <c r="AQ57" s="141">
        <v>87205</v>
      </c>
      <c r="AR57" s="141">
        <v>87251</v>
      </c>
      <c r="AS57" s="141">
        <v>86777</v>
      </c>
      <c r="AT57" s="141">
        <v>86121</v>
      </c>
      <c r="AU57" s="141">
        <v>85145</v>
      </c>
      <c r="AV57" s="141">
        <v>85364</v>
      </c>
      <c r="AW57" s="141">
        <v>85794</v>
      </c>
      <c r="AX57" s="141">
        <v>87711</v>
      </c>
      <c r="AY57" s="141">
        <v>89331</v>
      </c>
      <c r="AZ57" s="141">
        <v>89440</v>
      </c>
      <c r="BA57" s="141">
        <v>89561</v>
      </c>
      <c r="BB57" s="141">
        <v>90180</v>
      </c>
      <c r="BC57" s="141">
        <v>90463</v>
      </c>
      <c r="BD57" s="141">
        <v>90814</v>
      </c>
      <c r="BE57" s="141">
        <v>90911</v>
      </c>
      <c r="BF57" s="141">
        <v>91298</v>
      </c>
      <c r="BG57" s="141">
        <v>91573</v>
      </c>
      <c r="BH57" s="141">
        <v>91843</v>
      </c>
      <c r="BI57" s="141">
        <v>91988</v>
      </c>
      <c r="BJ57" s="141">
        <v>92259</v>
      </c>
      <c r="BK57" s="141">
        <v>92588</v>
      </c>
      <c r="BL57" s="141">
        <v>92966</v>
      </c>
      <c r="BM57" s="141">
        <v>93300</v>
      </c>
      <c r="BN57" s="141">
        <v>93590</v>
      </c>
      <c r="BO57" s="141">
        <v>93796</v>
      </c>
      <c r="BP57" s="141">
        <v>94047</v>
      </c>
      <c r="BQ57" s="141">
        <v>94187</v>
      </c>
      <c r="BR57" s="141">
        <v>94328</v>
      </c>
      <c r="BS57" s="141">
        <v>94394</v>
      </c>
      <c r="BT57" s="141">
        <v>94523</v>
      </c>
      <c r="BU57" s="141">
        <v>94620</v>
      </c>
      <c r="BV57" s="141">
        <v>94768</v>
      </c>
      <c r="BW57" s="141">
        <v>94888</v>
      </c>
      <c r="BX57" s="141">
        <v>95044</v>
      </c>
      <c r="BY57" s="141">
        <v>95183</v>
      </c>
      <c r="BZ57" s="141">
        <v>95440</v>
      </c>
      <c r="CA57" s="141">
        <v>95639</v>
      </c>
      <c r="CB57" s="141">
        <v>95795</v>
      </c>
      <c r="CC57" s="141">
        <v>95921</v>
      </c>
      <c r="CD57" s="141">
        <v>96039</v>
      </c>
      <c r="CE57" s="141">
        <v>96159</v>
      </c>
      <c r="CF57" s="141">
        <v>96281</v>
      </c>
      <c r="CG57" s="141">
        <v>96412</v>
      </c>
      <c r="CH57" s="141">
        <v>96517</v>
      </c>
      <c r="CI57" s="141">
        <v>96657</v>
      </c>
      <c r="CJ57" s="141">
        <v>96737</v>
      </c>
      <c r="CK57" s="141">
        <v>96833</v>
      </c>
      <c r="CL57" s="141">
        <v>96964</v>
      </c>
      <c r="CM57" s="141">
        <v>97039</v>
      </c>
      <c r="CN57" s="141">
        <v>97138</v>
      </c>
      <c r="CO57" s="141">
        <v>97206</v>
      </c>
      <c r="CP57" s="141">
        <v>97310</v>
      </c>
      <c r="CQ57" s="141">
        <v>97388</v>
      </c>
      <c r="CR57" s="141">
        <v>97448</v>
      </c>
      <c r="CS57" s="141">
        <v>97530</v>
      </c>
      <c r="CT57" s="141">
        <v>97597</v>
      </c>
      <c r="CU57" s="141">
        <v>97659</v>
      </c>
      <c r="CV57" s="141">
        <v>97693</v>
      </c>
      <c r="CW57" s="141">
        <v>97759</v>
      </c>
      <c r="CX57" s="141">
        <v>97818</v>
      </c>
      <c r="CY57" s="141">
        <v>97867</v>
      </c>
      <c r="CZ57" s="141">
        <v>97883</v>
      </c>
      <c r="DA57" s="141">
        <v>97932</v>
      </c>
      <c r="DB57" s="141">
        <v>97976</v>
      </c>
      <c r="DC57" s="141">
        <v>98044</v>
      </c>
      <c r="DD57" s="141">
        <v>98078</v>
      </c>
      <c r="DE57" s="141">
        <v>98125</v>
      </c>
      <c r="DF57" s="141">
        <v>98197</v>
      </c>
      <c r="DG57" s="141">
        <v>98210</v>
      </c>
      <c r="DH57" s="141">
        <v>98262</v>
      </c>
      <c r="DI57" s="141">
        <v>98272</v>
      </c>
      <c r="DJ57" s="141">
        <v>98324</v>
      </c>
      <c r="DK57" s="141">
        <v>98364</v>
      </c>
      <c r="DL57" s="141">
        <v>98392</v>
      </c>
      <c r="DM57" s="141">
        <v>98434</v>
      </c>
      <c r="DN57" s="141">
        <v>98475</v>
      </c>
      <c r="DO57" s="141">
        <v>98515</v>
      </c>
    </row>
    <row r="58" spans="1:119">
      <c r="A58" s="140">
        <v>56</v>
      </c>
      <c r="W58" s="141">
        <v>75008</v>
      </c>
      <c r="X58" s="141">
        <v>75860</v>
      </c>
      <c r="Y58" s="141">
        <v>76043</v>
      </c>
      <c r="Z58" s="141">
        <v>78090</v>
      </c>
      <c r="AA58" s="141">
        <v>78592</v>
      </c>
      <c r="AB58" s="141">
        <v>79265</v>
      </c>
      <c r="AC58" s="141">
        <v>80215</v>
      </c>
      <c r="AD58" s="141">
        <v>81078</v>
      </c>
      <c r="AE58" s="141">
        <v>81127</v>
      </c>
      <c r="AF58" s="141">
        <v>82321</v>
      </c>
      <c r="AG58" s="141">
        <v>82884</v>
      </c>
      <c r="AH58" s="141">
        <v>83137</v>
      </c>
      <c r="AI58" s="141">
        <v>83629</v>
      </c>
      <c r="AJ58" s="141">
        <v>84889</v>
      </c>
      <c r="AK58" s="141">
        <v>85049</v>
      </c>
      <c r="AL58" s="141">
        <v>85529</v>
      </c>
      <c r="AM58" s="141">
        <v>85911</v>
      </c>
      <c r="AN58" s="141">
        <v>86469</v>
      </c>
      <c r="AO58" s="141">
        <v>86590</v>
      </c>
      <c r="AP58" s="141">
        <v>86776</v>
      </c>
      <c r="AQ58" s="141">
        <v>86859</v>
      </c>
      <c r="AR58" s="141">
        <v>86917</v>
      </c>
      <c r="AS58" s="141">
        <v>86439</v>
      </c>
      <c r="AT58" s="141">
        <v>85785</v>
      </c>
      <c r="AU58" s="141">
        <v>84823</v>
      </c>
      <c r="AV58" s="141">
        <v>85027</v>
      </c>
      <c r="AW58" s="141">
        <v>85470</v>
      </c>
      <c r="AX58" s="141">
        <v>87387</v>
      </c>
      <c r="AY58" s="141">
        <v>88993</v>
      </c>
      <c r="AZ58" s="141">
        <v>89127</v>
      </c>
      <c r="BA58" s="141">
        <v>89239</v>
      </c>
      <c r="BB58" s="141">
        <v>89850</v>
      </c>
      <c r="BC58" s="141">
        <v>90150</v>
      </c>
      <c r="BD58" s="141">
        <v>90489</v>
      </c>
      <c r="BE58" s="141">
        <v>90589</v>
      </c>
      <c r="BF58" s="141">
        <v>90974</v>
      </c>
      <c r="BG58" s="141">
        <v>91253</v>
      </c>
      <c r="BH58" s="141">
        <v>91541</v>
      </c>
      <c r="BI58" s="141">
        <v>91689</v>
      </c>
      <c r="BJ58" s="141">
        <v>91955</v>
      </c>
      <c r="BK58" s="141">
        <v>92289</v>
      </c>
      <c r="BL58" s="141">
        <v>92671</v>
      </c>
      <c r="BM58" s="141">
        <v>93010</v>
      </c>
      <c r="BN58" s="141">
        <v>93304</v>
      </c>
      <c r="BO58" s="141">
        <v>93515</v>
      </c>
      <c r="BP58" s="141">
        <v>93771</v>
      </c>
      <c r="BQ58" s="141">
        <v>93915</v>
      </c>
      <c r="BR58" s="141">
        <v>94061</v>
      </c>
      <c r="BS58" s="141">
        <v>94132</v>
      </c>
      <c r="BT58" s="141">
        <v>94266</v>
      </c>
      <c r="BU58" s="141">
        <v>94368</v>
      </c>
      <c r="BV58" s="141">
        <v>94520</v>
      </c>
      <c r="BW58" s="141">
        <v>94644</v>
      </c>
      <c r="BX58" s="141">
        <v>94805</v>
      </c>
      <c r="BY58" s="141">
        <v>94948</v>
      </c>
      <c r="BZ58" s="141">
        <v>95209</v>
      </c>
      <c r="CA58" s="141">
        <v>95411</v>
      </c>
      <c r="CB58" s="141">
        <v>95572</v>
      </c>
      <c r="CC58" s="141">
        <v>95702</v>
      </c>
      <c r="CD58" s="141">
        <v>95823</v>
      </c>
      <c r="CE58" s="141">
        <v>95947</v>
      </c>
      <c r="CF58" s="141">
        <v>96073</v>
      </c>
      <c r="CG58" s="141">
        <v>96208</v>
      </c>
      <c r="CH58" s="141">
        <v>96316</v>
      </c>
      <c r="CI58" s="141">
        <v>96460</v>
      </c>
      <c r="CJ58" s="141">
        <v>96544</v>
      </c>
      <c r="CK58" s="141">
        <v>96643</v>
      </c>
      <c r="CL58" s="141">
        <v>96778</v>
      </c>
      <c r="CM58" s="141">
        <v>96856</v>
      </c>
      <c r="CN58" s="141">
        <v>96958</v>
      </c>
      <c r="CO58" s="141">
        <v>97029</v>
      </c>
      <c r="CP58" s="141">
        <v>97137</v>
      </c>
      <c r="CQ58" s="141">
        <v>97218</v>
      </c>
      <c r="CR58" s="141">
        <v>97281</v>
      </c>
      <c r="CS58" s="141">
        <v>97366</v>
      </c>
      <c r="CT58" s="141">
        <v>97436</v>
      </c>
      <c r="CU58" s="141">
        <v>97501</v>
      </c>
      <c r="CV58" s="141">
        <v>97538</v>
      </c>
      <c r="CW58" s="141">
        <v>97607</v>
      </c>
      <c r="CX58" s="141">
        <v>97668</v>
      </c>
      <c r="CY58" s="141">
        <v>97720</v>
      </c>
      <c r="CZ58" s="141">
        <v>97739</v>
      </c>
      <c r="DA58" s="141">
        <v>97791</v>
      </c>
      <c r="DB58" s="141">
        <v>97838</v>
      </c>
      <c r="DC58" s="141">
        <v>97908</v>
      </c>
      <c r="DD58" s="141">
        <v>97945</v>
      </c>
      <c r="DE58" s="141">
        <v>97995</v>
      </c>
      <c r="DF58" s="141">
        <v>98069</v>
      </c>
      <c r="DG58" s="141">
        <v>98084</v>
      </c>
      <c r="DH58" s="141">
        <v>98139</v>
      </c>
      <c r="DI58" s="141">
        <v>98151</v>
      </c>
      <c r="DJ58" s="141">
        <v>98205</v>
      </c>
      <c r="DK58" s="141">
        <v>98247</v>
      </c>
      <c r="DL58" s="141">
        <v>98277</v>
      </c>
      <c r="DM58" s="141">
        <v>98322</v>
      </c>
      <c r="DN58" s="141">
        <v>98365</v>
      </c>
      <c r="DO58" s="141">
        <v>98407</v>
      </c>
    </row>
    <row r="59" spans="1:119">
      <c r="A59" s="140">
        <v>57</v>
      </c>
      <c r="W59" s="141">
        <v>74531</v>
      </c>
      <c r="X59" s="141">
        <v>75388</v>
      </c>
      <c r="Y59" s="141">
        <v>75575</v>
      </c>
      <c r="Z59" s="141">
        <v>77607</v>
      </c>
      <c r="AA59" s="141">
        <v>78115</v>
      </c>
      <c r="AB59" s="141">
        <v>78811</v>
      </c>
      <c r="AC59" s="141">
        <v>79742</v>
      </c>
      <c r="AD59" s="141">
        <v>80610</v>
      </c>
      <c r="AE59" s="141">
        <v>80691</v>
      </c>
      <c r="AF59" s="141">
        <v>81862</v>
      </c>
      <c r="AG59" s="141">
        <v>82445</v>
      </c>
      <c r="AH59" s="141">
        <v>82688</v>
      </c>
      <c r="AI59" s="141">
        <v>83194</v>
      </c>
      <c r="AJ59" s="141">
        <v>84461</v>
      </c>
      <c r="AK59" s="141">
        <v>84635</v>
      </c>
      <c r="AL59" s="141">
        <v>85125</v>
      </c>
      <c r="AM59" s="141">
        <v>85519</v>
      </c>
      <c r="AN59" s="141">
        <v>86093</v>
      </c>
      <c r="AO59" s="141">
        <v>86213</v>
      </c>
      <c r="AP59" s="141">
        <v>86409</v>
      </c>
      <c r="AQ59" s="141">
        <v>86487</v>
      </c>
      <c r="AR59" s="141">
        <v>86557</v>
      </c>
      <c r="AS59" s="141">
        <v>86078</v>
      </c>
      <c r="AT59" s="141">
        <v>85432</v>
      </c>
      <c r="AU59" s="141">
        <v>84468</v>
      </c>
      <c r="AV59" s="141">
        <v>84677</v>
      </c>
      <c r="AW59" s="141">
        <v>85128</v>
      </c>
      <c r="AX59" s="141">
        <v>87040</v>
      </c>
      <c r="AY59" s="141">
        <v>88643</v>
      </c>
      <c r="AZ59" s="141">
        <v>88778</v>
      </c>
      <c r="BA59" s="141">
        <v>88908</v>
      </c>
      <c r="BB59" s="141">
        <v>89505</v>
      </c>
      <c r="BC59" s="141">
        <v>89818</v>
      </c>
      <c r="BD59" s="141">
        <v>90141</v>
      </c>
      <c r="BE59" s="141">
        <v>90252</v>
      </c>
      <c r="BF59" s="141">
        <v>90627</v>
      </c>
      <c r="BG59" s="141">
        <v>90917</v>
      </c>
      <c r="BH59" s="141">
        <v>91212</v>
      </c>
      <c r="BI59" s="141">
        <v>91357</v>
      </c>
      <c r="BJ59" s="141">
        <v>91628</v>
      </c>
      <c r="BK59" s="141">
        <v>91967</v>
      </c>
      <c r="BL59" s="141">
        <v>92354</v>
      </c>
      <c r="BM59" s="141">
        <v>92698</v>
      </c>
      <c r="BN59" s="141">
        <v>92997</v>
      </c>
      <c r="BO59" s="141">
        <v>93213</v>
      </c>
      <c r="BP59" s="141">
        <v>93474</v>
      </c>
      <c r="BQ59" s="141">
        <v>93624</v>
      </c>
      <c r="BR59" s="141">
        <v>93774</v>
      </c>
      <c r="BS59" s="141">
        <v>93850</v>
      </c>
      <c r="BT59" s="141">
        <v>93989</v>
      </c>
      <c r="BU59" s="141">
        <v>94096</v>
      </c>
      <c r="BV59" s="141">
        <v>94253</v>
      </c>
      <c r="BW59" s="141">
        <v>94382</v>
      </c>
      <c r="BX59" s="141">
        <v>94547</v>
      </c>
      <c r="BY59" s="141">
        <v>94695</v>
      </c>
      <c r="BZ59" s="141">
        <v>94960</v>
      </c>
      <c r="CA59" s="141">
        <v>95166</v>
      </c>
      <c r="CB59" s="141">
        <v>95331</v>
      </c>
      <c r="CC59" s="141">
        <v>95466</v>
      </c>
      <c r="CD59" s="141">
        <v>95591</v>
      </c>
      <c r="CE59" s="141">
        <v>95720</v>
      </c>
      <c r="CF59" s="141">
        <v>95849</v>
      </c>
      <c r="CG59" s="141">
        <v>95988</v>
      </c>
      <c r="CH59" s="141">
        <v>96100</v>
      </c>
      <c r="CI59" s="141">
        <v>96248</v>
      </c>
      <c r="CJ59" s="141">
        <v>96336</v>
      </c>
      <c r="CK59" s="141">
        <v>96439</v>
      </c>
      <c r="CL59" s="141">
        <v>96577</v>
      </c>
      <c r="CM59" s="141">
        <v>96659</v>
      </c>
      <c r="CN59" s="141">
        <v>96765</v>
      </c>
      <c r="CO59" s="141">
        <v>96840</v>
      </c>
      <c r="CP59" s="141">
        <v>96951</v>
      </c>
      <c r="CQ59" s="141">
        <v>97035</v>
      </c>
      <c r="CR59" s="141">
        <v>97101</v>
      </c>
      <c r="CS59" s="141">
        <v>97190</v>
      </c>
      <c r="CT59" s="141">
        <v>97263</v>
      </c>
      <c r="CU59" s="141">
        <v>97331</v>
      </c>
      <c r="CV59" s="141">
        <v>97371</v>
      </c>
      <c r="CW59" s="141">
        <v>97444</v>
      </c>
      <c r="CX59" s="141">
        <v>97508</v>
      </c>
      <c r="CY59" s="141">
        <v>97563</v>
      </c>
      <c r="CZ59" s="141">
        <v>97585</v>
      </c>
      <c r="DA59" s="141">
        <v>97640</v>
      </c>
      <c r="DB59" s="141">
        <v>97689</v>
      </c>
      <c r="DC59" s="141">
        <v>97762</v>
      </c>
      <c r="DD59" s="141">
        <v>97802</v>
      </c>
      <c r="DE59" s="141">
        <v>97854</v>
      </c>
      <c r="DF59" s="141">
        <v>97931</v>
      </c>
      <c r="DG59" s="141">
        <v>97949</v>
      </c>
      <c r="DH59" s="141">
        <v>98006</v>
      </c>
      <c r="DI59" s="141">
        <v>98021</v>
      </c>
      <c r="DJ59" s="141">
        <v>98078</v>
      </c>
      <c r="DK59" s="141">
        <v>98122</v>
      </c>
      <c r="DL59" s="141">
        <v>98154</v>
      </c>
      <c r="DM59" s="141">
        <v>98201</v>
      </c>
      <c r="DN59" s="141">
        <v>98247</v>
      </c>
      <c r="DO59" s="141">
        <v>98291</v>
      </c>
    </row>
    <row r="60" spans="1:119">
      <c r="A60" s="140">
        <v>58</v>
      </c>
      <c r="W60" s="141">
        <v>74020</v>
      </c>
      <c r="X60" s="141">
        <v>74878</v>
      </c>
      <c r="Y60" s="141">
        <v>75078</v>
      </c>
      <c r="Z60" s="141">
        <v>77100</v>
      </c>
      <c r="AA60" s="141">
        <v>77614</v>
      </c>
      <c r="AB60" s="141">
        <v>78332</v>
      </c>
      <c r="AC60" s="141">
        <v>79257</v>
      </c>
      <c r="AD60" s="141">
        <v>80132</v>
      </c>
      <c r="AE60" s="141">
        <v>80215</v>
      </c>
      <c r="AF60" s="141">
        <v>81408</v>
      </c>
      <c r="AG60" s="141">
        <v>81985</v>
      </c>
      <c r="AH60" s="141">
        <v>82218</v>
      </c>
      <c r="AI60" s="141">
        <v>82720</v>
      </c>
      <c r="AJ60" s="141">
        <v>84012</v>
      </c>
      <c r="AK60" s="141">
        <v>84198</v>
      </c>
      <c r="AL60" s="141">
        <v>84683</v>
      </c>
      <c r="AM60" s="141">
        <v>85108</v>
      </c>
      <c r="AN60" s="141">
        <v>85681</v>
      </c>
      <c r="AO60" s="141">
        <v>85810</v>
      </c>
      <c r="AP60" s="141">
        <v>86015</v>
      </c>
      <c r="AQ60" s="141">
        <v>86089</v>
      </c>
      <c r="AR60" s="141">
        <v>86169</v>
      </c>
      <c r="AS60" s="141">
        <v>85696</v>
      </c>
      <c r="AT60" s="141">
        <v>85039</v>
      </c>
      <c r="AU60" s="141">
        <v>84085</v>
      </c>
      <c r="AV60" s="141">
        <v>84302</v>
      </c>
      <c r="AW60" s="141">
        <v>84759</v>
      </c>
      <c r="AX60" s="141">
        <v>86668</v>
      </c>
      <c r="AY60" s="141">
        <v>88274</v>
      </c>
      <c r="AZ60" s="141">
        <v>88402</v>
      </c>
      <c r="BA60" s="141">
        <v>88540</v>
      </c>
      <c r="BB60" s="141">
        <v>89146</v>
      </c>
      <c r="BC60" s="141">
        <v>89462</v>
      </c>
      <c r="BD60" s="141">
        <v>89780</v>
      </c>
      <c r="BE60" s="141">
        <v>89887</v>
      </c>
      <c r="BF60" s="141">
        <v>90273</v>
      </c>
      <c r="BG60" s="141">
        <v>90548</v>
      </c>
      <c r="BH60" s="141">
        <v>90850</v>
      </c>
      <c r="BI60" s="141">
        <v>91001</v>
      </c>
      <c r="BJ60" s="141">
        <v>91278</v>
      </c>
      <c r="BK60" s="141">
        <v>91622</v>
      </c>
      <c r="BL60" s="141">
        <v>92014</v>
      </c>
      <c r="BM60" s="141">
        <v>92363</v>
      </c>
      <c r="BN60" s="141">
        <v>92668</v>
      </c>
      <c r="BO60" s="141">
        <v>92889</v>
      </c>
      <c r="BP60" s="141">
        <v>93155</v>
      </c>
      <c r="BQ60" s="141">
        <v>93311</v>
      </c>
      <c r="BR60" s="141">
        <v>93467</v>
      </c>
      <c r="BS60" s="141">
        <v>93549</v>
      </c>
      <c r="BT60" s="141">
        <v>93693</v>
      </c>
      <c r="BU60" s="141">
        <v>93805</v>
      </c>
      <c r="BV60" s="141">
        <v>93967</v>
      </c>
      <c r="BW60" s="141">
        <v>94101</v>
      </c>
      <c r="BX60" s="141">
        <v>94271</v>
      </c>
      <c r="BY60" s="141">
        <v>94424</v>
      </c>
      <c r="BZ60" s="141">
        <v>94693</v>
      </c>
      <c r="CA60" s="141">
        <v>94904</v>
      </c>
      <c r="CB60" s="141">
        <v>95074</v>
      </c>
      <c r="CC60" s="141">
        <v>95213</v>
      </c>
      <c r="CD60" s="141">
        <v>95343</v>
      </c>
      <c r="CE60" s="141">
        <v>95476</v>
      </c>
      <c r="CF60" s="141">
        <v>95610</v>
      </c>
      <c r="CG60" s="141">
        <v>95753</v>
      </c>
      <c r="CH60" s="141">
        <v>95869</v>
      </c>
      <c r="CI60" s="141">
        <v>96021</v>
      </c>
      <c r="CJ60" s="141">
        <v>96113</v>
      </c>
      <c r="CK60" s="141">
        <v>96221</v>
      </c>
      <c r="CL60" s="141">
        <v>96362</v>
      </c>
      <c r="CM60" s="141">
        <v>96448</v>
      </c>
      <c r="CN60" s="141">
        <v>96558</v>
      </c>
      <c r="CO60" s="141">
        <v>96636</v>
      </c>
      <c r="CP60" s="141">
        <v>96751</v>
      </c>
      <c r="CQ60" s="141">
        <v>96839</v>
      </c>
      <c r="CR60" s="141">
        <v>96909</v>
      </c>
      <c r="CS60" s="141">
        <v>97002</v>
      </c>
      <c r="CT60" s="141">
        <v>97078</v>
      </c>
      <c r="CU60" s="141">
        <v>97149</v>
      </c>
      <c r="CV60" s="141">
        <v>97193</v>
      </c>
      <c r="CW60" s="141">
        <v>97269</v>
      </c>
      <c r="CX60" s="141">
        <v>97336</v>
      </c>
      <c r="CY60" s="141">
        <v>97394</v>
      </c>
      <c r="CZ60" s="141">
        <v>97420</v>
      </c>
      <c r="DA60" s="141">
        <v>97478</v>
      </c>
      <c r="DB60" s="141">
        <v>97530</v>
      </c>
      <c r="DC60" s="141">
        <v>97606</v>
      </c>
      <c r="DD60" s="141">
        <v>97649</v>
      </c>
      <c r="DE60" s="141">
        <v>97704</v>
      </c>
      <c r="DF60" s="141">
        <v>97783</v>
      </c>
      <c r="DG60" s="141">
        <v>97804</v>
      </c>
      <c r="DH60" s="141">
        <v>97864</v>
      </c>
      <c r="DI60" s="141">
        <v>97881</v>
      </c>
      <c r="DJ60" s="141">
        <v>97941</v>
      </c>
      <c r="DK60" s="141">
        <v>97988</v>
      </c>
      <c r="DL60" s="141">
        <v>98023</v>
      </c>
      <c r="DM60" s="141">
        <v>98072</v>
      </c>
      <c r="DN60" s="141">
        <v>98120</v>
      </c>
      <c r="DO60" s="141">
        <v>98167</v>
      </c>
    </row>
    <row r="61" spans="1:119">
      <c r="A61" s="140">
        <v>59</v>
      </c>
      <c r="W61" s="141">
        <v>73474</v>
      </c>
      <c r="X61" s="141">
        <v>74337</v>
      </c>
      <c r="Y61" s="141">
        <v>74534</v>
      </c>
      <c r="Z61" s="141">
        <v>76576</v>
      </c>
      <c r="AA61" s="141">
        <v>77099</v>
      </c>
      <c r="AB61" s="141">
        <v>77785</v>
      </c>
      <c r="AC61" s="141">
        <v>78744</v>
      </c>
      <c r="AD61" s="141">
        <v>79617</v>
      </c>
      <c r="AE61" s="141">
        <v>79702</v>
      </c>
      <c r="AF61" s="141">
        <v>80888</v>
      </c>
      <c r="AG61" s="141">
        <v>81472</v>
      </c>
      <c r="AH61" s="141">
        <v>81715</v>
      </c>
      <c r="AI61" s="141">
        <v>82221</v>
      </c>
      <c r="AJ61" s="141">
        <v>83519</v>
      </c>
      <c r="AK61" s="141">
        <v>83716</v>
      </c>
      <c r="AL61" s="141">
        <v>84240</v>
      </c>
      <c r="AM61" s="141">
        <v>84652</v>
      </c>
      <c r="AN61" s="141">
        <v>85262</v>
      </c>
      <c r="AO61" s="141">
        <v>85386</v>
      </c>
      <c r="AP61" s="141">
        <v>85615</v>
      </c>
      <c r="AQ61" s="141">
        <v>85677</v>
      </c>
      <c r="AR61" s="141">
        <v>85756</v>
      </c>
      <c r="AS61" s="141">
        <v>85294</v>
      </c>
      <c r="AT61" s="141">
        <v>84619</v>
      </c>
      <c r="AU61" s="141">
        <v>83672</v>
      </c>
      <c r="AV61" s="141">
        <v>83885</v>
      </c>
      <c r="AW61" s="141">
        <v>84381</v>
      </c>
      <c r="AX61" s="141">
        <v>86264</v>
      </c>
      <c r="AY61" s="141">
        <v>87875</v>
      </c>
      <c r="AZ61" s="141">
        <v>88008</v>
      </c>
      <c r="BA61" s="141">
        <v>88146</v>
      </c>
      <c r="BB61" s="141">
        <v>88752</v>
      </c>
      <c r="BC61" s="141">
        <v>89070</v>
      </c>
      <c r="BD61" s="141">
        <v>89387</v>
      </c>
      <c r="BE61" s="141">
        <v>89499</v>
      </c>
      <c r="BF61" s="141">
        <v>89877</v>
      </c>
      <c r="BG61" s="141">
        <v>90154</v>
      </c>
      <c r="BH61" s="141">
        <v>90462</v>
      </c>
      <c r="BI61" s="141">
        <v>90620</v>
      </c>
      <c r="BJ61" s="141">
        <v>90904</v>
      </c>
      <c r="BK61" s="141">
        <v>91254</v>
      </c>
      <c r="BL61" s="141">
        <v>91651</v>
      </c>
      <c r="BM61" s="141">
        <v>92006</v>
      </c>
      <c r="BN61" s="141">
        <v>92316</v>
      </c>
      <c r="BO61" s="141">
        <v>92543</v>
      </c>
      <c r="BP61" s="141">
        <v>92815</v>
      </c>
      <c r="BQ61" s="141">
        <v>92977</v>
      </c>
      <c r="BR61" s="141">
        <v>93139</v>
      </c>
      <c r="BS61" s="141">
        <v>93227</v>
      </c>
      <c r="BT61" s="141">
        <v>93376</v>
      </c>
      <c r="BU61" s="141">
        <v>93494</v>
      </c>
      <c r="BV61" s="141">
        <v>93662</v>
      </c>
      <c r="BW61" s="141">
        <v>93801</v>
      </c>
      <c r="BX61" s="141">
        <v>93977</v>
      </c>
      <c r="BY61" s="141">
        <v>94134</v>
      </c>
      <c r="BZ61" s="141">
        <v>94408</v>
      </c>
      <c r="CA61" s="141">
        <v>94624</v>
      </c>
      <c r="CB61" s="141">
        <v>94799</v>
      </c>
      <c r="CC61" s="141">
        <v>94943</v>
      </c>
      <c r="CD61" s="141">
        <v>95078</v>
      </c>
      <c r="CE61" s="141">
        <v>95215</v>
      </c>
      <c r="CF61" s="141">
        <v>95354</v>
      </c>
      <c r="CG61" s="141">
        <v>95502</v>
      </c>
      <c r="CH61" s="141">
        <v>95623</v>
      </c>
      <c r="CI61" s="141">
        <v>95779</v>
      </c>
      <c r="CJ61" s="141">
        <v>95875</v>
      </c>
      <c r="CK61" s="141">
        <v>95987</v>
      </c>
      <c r="CL61" s="141">
        <v>96133</v>
      </c>
      <c r="CM61" s="141">
        <v>96223</v>
      </c>
      <c r="CN61" s="141">
        <v>96337</v>
      </c>
      <c r="CO61" s="141">
        <v>96420</v>
      </c>
      <c r="CP61" s="141">
        <v>96538</v>
      </c>
      <c r="CQ61" s="141">
        <v>96630</v>
      </c>
      <c r="CR61" s="141">
        <v>96704</v>
      </c>
      <c r="CS61" s="141">
        <v>96800</v>
      </c>
      <c r="CT61" s="141">
        <v>96880</v>
      </c>
      <c r="CU61" s="141">
        <v>96955</v>
      </c>
      <c r="CV61" s="141">
        <v>97003</v>
      </c>
      <c r="CW61" s="141">
        <v>97082</v>
      </c>
      <c r="CX61" s="141">
        <v>97153</v>
      </c>
      <c r="CY61" s="141">
        <v>97214</v>
      </c>
      <c r="CZ61" s="141">
        <v>97243</v>
      </c>
      <c r="DA61" s="141">
        <v>97305</v>
      </c>
      <c r="DB61" s="141">
        <v>97360</v>
      </c>
      <c r="DC61" s="141">
        <v>97439</v>
      </c>
      <c r="DD61" s="141">
        <v>97485</v>
      </c>
      <c r="DE61" s="141">
        <v>97543</v>
      </c>
      <c r="DF61" s="141">
        <v>97625</v>
      </c>
      <c r="DG61" s="141">
        <v>97649</v>
      </c>
      <c r="DH61" s="141">
        <v>97712</v>
      </c>
      <c r="DI61" s="141">
        <v>97732</v>
      </c>
      <c r="DJ61" s="141">
        <v>97795</v>
      </c>
      <c r="DK61" s="141">
        <v>97845</v>
      </c>
      <c r="DL61" s="141">
        <v>97882</v>
      </c>
      <c r="DM61" s="141">
        <v>97934</v>
      </c>
      <c r="DN61" s="141">
        <v>97985</v>
      </c>
      <c r="DO61" s="141">
        <v>98034</v>
      </c>
    </row>
    <row r="62" spans="1:119">
      <c r="A62" s="140">
        <v>60</v>
      </c>
      <c r="W62" s="141">
        <v>72904</v>
      </c>
      <c r="X62" s="141">
        <v>73765</v>
      </c>
      <c r="Y62" s="141">
        <v>73962</v>
      </c>
      <c r="Z62" s="141">
        <v>76012</v>
      </c>
      <c r="AA62" s="141">
        <v>76528</v>
      </c>
      <c r="AB62" s="141">
        <v>77230</v>
      </c>
      <c r="AC62" s="141">
        <v>78211</v>
      </c>
      <c r="AD62" s="141">
        <v>79063</v>
      </c>
      <c r="AE62" s="141">
        <v>79165</v>
      </c>
      <c r="AF62" s="141">
        <v>80337</v>
      </c>
      <c r="AG62" s="141">
        <v>80935</v>
      </c>
      <c r="AH62" s="141">
        <v>81182</v>
      </c>
      <c r="AI62" s="141">
        <v>81683</v>
      </c>
      <c r="AJ62" s="141">
        <v>83012</v>
      </c>
      <c r="AK62" s="141">
        <v>83195</v>
      </c>
      <c r="AL62" s="141">
        <v>83752</v>
      </c>
      <c r="AM62" s="141">
        <v>84175</v>
      </c>
      <c r="AN62" s="141">
        <v>84810</v>
      </c>
      <c r="AO62" s="141">
        <v>84940</v>
      </c>
      <c r="AP62" s="141">
        <v>85179</v>
      </c>
      <c r="AQ62" s="141">
        <v>85246</v>
      </c>
      <c r="AR62" s="141">
        <v>85333</v>
      </c>
      <c r="AS62" s="141">
        <v>84862</v>
      </c>
      <c r="AT62" s="141">
        <v>84196</v>
      </c>
      <c r="AU62" s="141">
        <v>83237</v>
      </c>
      <c r="AV62" s="141">
        <v>83458</v>
      </c>
      <c r="AW62" s="141">
        <v>83980</v>
      </c>
      <c r="AX62" s="141">
        <v>85853</v>
      </c>
      <c r="AY62" s="141">
        <v>87448</v>
      </c>
      <c r="AZ62" s="141">
        <v>87602</v>
      </c>
      <c r="BA62" s="141">
        <v>87730</v>
      </c>
      <c r="BB62" s="141">
        <v>88320</v>
      </c>
      <c r="BC62" s="141">
        <v>88635</v>
      </c>
      <c r="BD62" s="141">
        <v>88959</v>
      </c>
      <c r="BE62" s="141">
        <v>89053</v>
      </c>
      <c r="BF62" s="141">
        <v>89451</v>
      </c>
      <c r="BG62" s="141">
        <v>89734</v>
      </c>
      <c r="BH62" s="141">
        <v>90049</v>
      </c>
      <c r="BI62" s="141">
        <v>90215</v>
      </c>
      <c r="BJ62" s="141">
        <v>90504</v>
      </c>
      <c r="BK62" s="141">
        <v>90861</v>
      </c>
      <c r="BL62" s="141">
        <v>91264</v>
      </c>
      <c r="BM62" s="141">
        <v>91625</v>
      </c>
      <c r="BN62" s="141">
        <v>91941</v>
      </c>
      <c r="BO62" s="141">
        <v>92175</v>
      </c>
      <c r="BP62" s="141">
        <v>92453</v>
      </c>
      <c r="BQ62" s="141">
        <v>92620</v>
      </c>
      <c r="BR62" s="141">
        <v>92789</v>
      </c>
      <c r="BS62" s="141">
        <v>92883</v>
      </c>
      <c r="BT62" s="141">
        <v>93039</v>
      </c>
      <c r="BU62" s="141">
        <v>93163</v>
      </c>
      <c r="BV62" s="141">
        <v>93336</v>
      </c>
      <c r="BW62" s="141">
        <v>93482</v>
      </c>
      <c r="BX62" s="141">
        <v>93663</v>
      </c>
      <c r="BY62" s="141">
        <v>93826</v>
      </c>
      <c r="BZ62" s="141">
        <v>94105</v>
      </c>
      <c r="CA62" s="141">
        <v>94326</v>
      </c>
      <c r="CB62" s="141">
        <v>94506</v>
      </c>
      <c r="CC62" s="141">
        <v>94655</v>
      </c>
      <c r="CD62" s="141">
        <v>94795</v>
      </c>
      <c r="CE62" s="141">
        <v>94938</v>
      </c>
      <c r="CF62" s="141">
        <v>95082</v>
      </c>
      <c r="CG62" s="141">
        <v>95234</v>
      </c>
      <c r="CH62" s="141">
        <v>95360</v>
      </c>
      <c r="CI62" s="141">
        <v>95521</v>
      </c>
      <c r="CJ62" s="141">
        <v>95622</v>
      </c>
      <c r="CK62" s="141">
        <v>95739</v>
      </c>
      <c r="CL62" s="141">
        <v>95889</v>
      </c>
      <c r="CM62" s="141">
        <v>95983</v>
      </c>
      <c r="CN62" s="141">
        <v>96102</v>
      </c>
      <c r="CO62" s="141">
        <v>96189</v>
      </c>
      <c r="CP62" s="141">
        <v>96311</v>
      </c>
      <c r="CQ62" s="141">
        <v>96408</v>
      </c>
      <c r="CR62" s="141">
        <v>96486</v>
      </c>
      <c r="CS62" s="141">
        <v>96586</v>
      </c>
      <c r="CT62" s="141">
        <v>96670</v>
      </c>
      <c r="CU62" s="141">
        <v>96749</v>
      </c>
      <c r="CV62" s="141">
        <v>96800</v>
      </c>
      <c r="CW62" s="141">
        <v>96883</v>
      </c>
      <c r="CX62" s="141">
        <v>96958</v>
      </c>
      <c r="CY62" s="141">
        <v>97023</v>
      </c>
      <c r="CZ62" s="141">
        <v>97056</v>
      </c>
      <c r="DA62" s="141">
        <v>97120</v>
      </c>
      <c r="DB62" s="141">
        <v>97179</v>
      </c>
      <c r="DC62" s="141">
        <v>97261</v>
      </c>
      <c r="DD62" s="141">
        <v>97311</v>
      </c>
      <c r="DE62" s="141">
        <v>97372</v>
      </c>
      <c r="DF62" s="141">
        <v>97458</v>
      </c>
      <c r="DG62" s="141">
        <v>97485</v>
      </c>
      <c r="DH62" s="141">
        <v>97551</v>
      </c>
      <c r="DI62" s="141">
        <v>97574</v>
      </c>
      <c r="DJ62" s="141">
        <v>97640</v>
      </c>
      <c r="DK62" s="141">
        <v>97692</v>
      </c>
      <c r="DL62" s="141">
        <v>97733</v>
      </c>
      <c r="DM62" s="141">
        <v>97788</v>
      </c>
      <c r="DN62" s="141">
        <v>97841</v>
      </c>
      <c r="DO62" s="141">
        <v>97893</v>
      </c>
    </row>
    <row r="63" spans="1:119">
      <c r="A63" s="140">
        <v>61</v>
      </c>
      <c r="W63" s="141">
        <v>72271</v>
      </c>
      <c r="X63" s="141">
        <v>73139</v>
      </c>
      <c r="Y63" s="141">
        <v>73354</v>
      </c>
      <c r="Z63" s="141">
        <v>75387</v>
      </c>
      <c r="AA63" s="141">
        <v>75915</v>
      </c>
      <c r="AB63" s="141">
        <v>76632</v>
      </c>
      <c r="AC63" s="141">
        <v>77622</v>
      </c>
      <c r="AD63" s="141">
        <v>78468</v>
      </c>
      <c r="AE63" s="141">
        <v>78585</v>
      </c>
      <c r="AF63" s="141">
        <v>79739</v>
      </c>
      <c r="AG63" s="141">
        <v>80356</v>
      </c>
      <c r="AH63" s="141">
        <v>80608</v>
      </c>
      <c r="AI63" s="141">
        <v>81129</v>
      </c>
      <c r="AJ63" s="141">
        <v>82457</v>
      </c>
      <c r="AK63" s="141">
        <v>82652</v>
      </c>
      <c r="AL63" s="141">
        <v>83236</v>
      </c>
      <c r="AM63" s="141">
        <v>83668</v>
      </c>
      <c r="AN63" s="141">
        <v>84319</v>
      </c>
      <c r="AO63" s="141">
        <v>84456</v>
      </c>
      <c r="AP63" s="141">
        <v>84712</v>
      </c>
      <c r="AQ63" s="141">
        <v>84792</v>
      </c>
      <c r="AR63" s="141">
        <v>84865</v>
      </c>
      <c r="AS63" s="141">
        <v>84415</v>
      </c>
      <c r="AT63" s="141">
        <v>83713</v>
      </c>
      <c r="AU63" s="141">
        <v>82789</v>
      </c>
      <c r="AV63" s="141">
        <v>82994</v>
      </c>
      <c r="AW63" s="141">
        <v>83537</v>
      </c>
      <c r="AX63" s="141">
        <v>85377</v>
      </c>
      <c r="AY63" s="141">
        <v>86993</v>
      </c>
      <c r="AZ63" s="141">
        <v>87128</v>
      </c>
      <c r="BA63" s="141">
        <v>87251</v>
      </c>
      <c r="BB63" s="141">
        <v>87860</v>
      </c>
      <c r="BC63" s="141">
        <v>88178</v>
      </c>
      <c r="BD63" s="141">
        <v>88467</v>
      </c>
      <c r="BE63" s="141">
        <v>88591</v>
      </c>
      <c r="BF63" s="141">
        <v>88996</v>
      </c>
      <c r="BG63" s="141">
        <v>89287</v>
      </c>
      <c r="BH63" s="141">
        <v>89609</v>
      </c>
      <c r="BI63" s="141">
        <v>89782</v>
      </c>
      <c r="BJ63" s="141">
        <v>90079</v>
      </c>
      <c r="BK63" s="141">
        <v>90442</v>
      </c>
      <c r="BL63" s="141">
        <v>90852</v>
      </c>
      <c r="BM63" s="141">
        <v>91219</v>
      </c>
      <c r="BN63" s="141">
        <v>91542</v>
      </c>
      <c r="BO63" s="141">
        <v>91782</v>
      </c>
      <c r="BP63" s="141">
        <v>92067</v>
      </c>
      <c r="BQ63" s="141">
        <v>92241</v>
      </c>
      <c r="BR63" s="141">
        <v>92416</v>
      </c>
      <c r="BS63" s="141">
        <v>92517</v>
      </c>
      <c r="BT63" s="141">
        <v>92680</v>
      </c>
      <c r="BU63" s="141">
        <v>92810</v>
      </c>
      <c r="BV63" s="141">
        <v>92990</v>
      </c>
      <c r="BW63" s="141">
        <v>93141</v>
      </c>
      <c r="BX63" s="141">
        <v>93328</v>
      </c>
      <c r="BY63" s="141">
        <v>93498</v>
      </c>
      <c r="BZ63" s="141">
        <v>93782</v>
      </c>
      <c r="CA63" s="141">
        <v>94009</v>
      </c>
      <c r="CB63" s="141">
        <v>94194</v>
      </c>
      <c r="CC63" s="141">
        <v>94349</v>
      </c>
      <c r="CD63" s="141">
        <v>94495</v>
      </c>
      <c r="CE63" s="141">
        <v>94643</v>
      </c>
      <c r="CF63" s="141">
        <v>94792</v>
      </c>
      <c r="CG63" s="141">
        <v>94950</v>
      </c>
      <c r="CH63" s="141">
        <v>95081</v>
      </c>
      <c r="CI63" s="141">
        <v>95246</v>
      </c>
      <c r="CJ63" s="141">
        <v>95353</v>
      </c>
      <c r="CK63" s="141">
        <v>95474</v>
      </c>
      <c r="CL63" s="141">
        <v>95629</v>
      </c>
      <c r="CM63" s="141">
        <v>95728</v>
      </c>
      <c r="CN63" s="141">
        <v>95852</v>
      </c>
      <c r="CO63" s="141">
        <v>95943</v>
      </c>
      <c r="CP63" s="141">
        <v>96070</v>
      </c>
      <c r="CQ63" s="141">
        <v>96171</v>
      </c>
      <c r="CR63" s="141">
        <v>96253</v>
      </c>
      <c r="CS63" s="141">
        <v>96358</v>
      </c>
      <c r="CT63" s="141">
        <v>96446</v>
      </c>
      <c r="CU63" s="141">
        <v>96529</v>
      </c>
      <c r="CV63" s="141">
        <v>96585</v>
      </c>
      <c r="CW63" s="141">
        <v>96672</v>
      </c>
      <c r="CX63" s="141">
        <v>96751</v>
      </c>
      <c r="CY63" s="141">
        <v>96819</v>
      </c>
      <c r="CZ63" s="141">
        <v>96856</v>
      </c>
      <c r="DA63" s="141">
        <v>96924</v>
      </c>
      <c r="DB63" s="141">
        <v>96987</v>
      </c>
      <c r="DC63" s="141">
        <v>97073</v>
      </c>
      <c r="DD63" s="141">
        <v>97126</v>
      </c>
      <c r="DE63" s="141">
        <v>97191</v>
      </c>
      <c r="DF63" s="141">
        <v>97280</v>
      </c>
      <c r="DG63" s="141">
        <v>97310</v>
      </c>
      <c r="DH63" s="141">
        <v>97380</v>
      </c>
      <c r="DI63" s="141">
        <v>97406</v>
      </c>
      <c r="DJ63" s="141">
        <v>97475</v>
      </c>
      <c r="DK63" s="141">
        <v>97531</v>
      </c>
      <c r="DL63" s="141">
        <v>97574</v>
      </c>
      <c r="DM63" s="141">
        <v>97632</v>
      </c>
      <c r="DN63" s="141">
        <v>97688</v>
      </c>
      <c r="DO63" s="141">
        <v>97743</v>
      </c>
    </row>
    <row r="64" spans="1:119">
      <c r="A64" s="140">
        <v>62</v>
      </c>
      <c r="W64" s="141">
        <v>71602</v>
      </c>
      <c r="X64" s="141">
        <v>72487</v>
      </c>
      <c r="Y64" s="141">
        <v>72709</v>
      </c>
      <c r="Z64" s="141">
        <v>74726</v>
      </c>
      <c r="AA64" s="141">
        <v>75262</v>
      </c>
      <c r="AB64" s="141">
        <v>75989</v>
      </c>
      <c r="AC64" s="141">
        <v>76994</v>
      </c>
      <c r="AD64" s="141">
        <v>77805</v>
      </c>
      <c r="AE64" s="141">
        <v>77938</v>
      </c>
      <c r="AF64" s="141">
        <v>79103</v>
      </c>
      <c r="AG64" s="141">
        <v>79742</v>
      </c>
      <c r="AH64" s="141">
        <v>79985</v>
      </c>
      <c r="AI64" s="141">
        <v>80515</v>
      </c>
      <c r="AJ64" s="141">
        <v>81850</v>
      </c>
      <c r="AK64" s="141">
        <v>82085</v>
      </c>
      <c r="AL64" s="141">
        <v>82692</v>
      </c>
      <c r="AM64" s="141">
        <v>83147</v>
      </c>
      <c r="AN64" s="141">
        <v>83795</v>
      </c>
      <c r="AO64" s="141">
        <v>83949</v>
      </c>
      <c r="AP64" s="141">
        <v>84216</v>
      </c>
      <c r="AQ64" s="141">
        <v>84304</v>
      </c>
      <c r="AR64" s="141">
        <v>84388</v>
      </c>
      <c r="AS64" s="141">
        <v>83931</v>
      </c>
      <c r="AT64" s="141">
        <v>83211</v>
      </c>
      <c r="AU64" s="141">
        <v>82285</v>
      </c>
      <c r="AV64" s="141">
        <v>82503</v>
      </c>
      <c r="AW64" s="141">
        <v>83053</v>
      </c>
      <c r="AX64" s="141">
        <v>84893</v>
      </c>
      <c r="AY64" s="141">
        <v>86485</v>
      </c>
      <c r="AZ64" s="141">
        <v>86632</v>
      </c>
      <c r="BA64" s="141">
        <v>86758</v>
      </c>
      <c r="BB64" s="141">
        <v>87386</v>
      </c>
      <c r="BC64" s="141">
        <v>87669</v>
      </c>
      <c r="BD64" s="141">
        <v>87967</v>
      </c>
      <c r="BE64" s="141">
        <v>88100</v>
      </c>
      <c r="BF64" s="141">
        <v>88512</v>
      </c>
      <c r="BG64" s="141">
        <v>88811</v>
      </c>
      <c r="BH64" s="141">
        <v>89141</v>
      </c>
      <c r="BI64" s="141">
        <v>89323</v>
      </c>
      <c r="BJ64" s="141">
        <v>89627</v>
      </c>
      <c r="BK64" s="141">
        <v>89997</v>
      </c>
      <c r="BL64" s="141">
        <v>90414</v>
      </c>
      <c r="BM64" s="141">
        <v>90787</v>
      </c>
      <c r="BN64" s="141">
        <v>91117</v>
      </c>
      <c r="BO64" s="141">
        <v>91365</v>
      </c>
      <c r="BP64" s="141">
        <v>91656</v>
      </c>
      <c r="BQ64" s="141">
        <v>91838</v>
      </c>
      <c r="BR64" s="141">
        <v>92020</v>
      </c>
      <c r="BS64" s="141">
        <v>92129</v>
      </c>
      <c r="BT64" s="141">
        <v>92298</v>
      </c>
      <c r="BU64" s="141">
        <v>92436</v>
      </c>
      <c r="BV64" s="141">
        <v>92622</v>
      </c>
      <c r="BW64" s="141">
        <v>92780</v>
      </c>
      <c r="BX64" s="141">
        <v>92973</v>
      </c>
      <c r="BY64" s="141">
        <v>93149</v>
      </c>
      <c r="BZ64" s="141">
        <v>93439</v>
      </c>
      <c r="CA64" s="141">
        <v>93672</v>
      </c>
      <c r="CB64" s="141">
        <v>93863</v>
      </c>
      <c r="CC64" s="141">
        <v>94024</v>
      </c>
      <c r="CD64" s="141">
        <v>94176</v>
      </c>
      <c r="CE64" s="141">
        <v>94330</v>
      </c>
      <c r="CF64" s="141">
        <v>94484</v>
      </c>
      <c r="CG64" s="141">
        <v>94647</v>
      </c>
      <c r="CH64" s="141">
        <v>94784</v>
      </c>
      <c r="CI64" s="141">
        <v>94955</v>
      </c>
      <c r="CJ64" s="141">
        <v>95067</v>
      </c>
      <c r="CK64" s="141">
        <v>95193</v>
      </c>
      <c r="CL64" s="141">
        <v>95353</v>
      </c>
      <c r="CM64" s="141">
        <v>95458</v>
      </c>
      <c r="CN64" s="141">
        <v>95586</v>
      </c>
      <c r="CO64" s="141">
        <v>95682</v>
      </c>
      <c r="CP64" s="141">
        <v>95814</v>
      </c>
      <c r="CQ64" s="141">
        <v>95920</v>
      </c>
      <c r="CR64" s="141">
        <v>96007</v>
      </c>
      <c r="CS64" s="141">
        <v>96116</v>
      </c>
      <c r="CT64" s="141">
        <v>96209</v>
      </c>
      <c r="CU64" s="141">
        <v>96297</v>
      </c>
      <c r="CV64" s="141">
        <v>96356</v>
      </c>
      <c r="CW64" s="141">
        <v>96448</v>
      </c>
      <c r="CX64" s="141">
        <v>96531</v>
      </c>
      <c r="CY64" s="141">
        <v>96604</v>
      </c>
      <c r="CZ64" s="141">
        <v>96644</v>
      </c>
      <c r="DA64" s="141">
        <v>96717</v>
      </c>
      <c r="DB64" s="141">
        <v>96784</v>
      </c>
      <c r="DC64" s="141">
        <v>96873</v>
      </c>
      <c r="DD64" s="141">
        <v>96930</v>
      </c>
      <c r="DE64" s="141">
        <v>96999</v>
      </c>
      <c r="DF64" s="141">
        <v>97091</v>
      </c>
      <c r="DG64" s="141">
        <v>97125</v>
      </c>
      <c r="DH64" s="141">
        <v>97198</v>
      </c>
      <c r="DI64" s="141">
        <v>97228</v>
      </c>
      <c r="DJ64" s="141">
        <v>97300</v>
      </c>
      <c r="DK64" s="141">
        <v>97359</v>
      </c>
      <c r="DL64" s="141">
        <v>97406</v>
      </c>
      <c r="DM64" s="141">
        <v>97467</v>
      </c>
      <c r="DN64" s="141">
        <v>97526</v>
      </c>
      <c r="DO64" s="141">
        <v>97584</v>
      </c>
    </row>
    <row r="65" spans="1:119">
      <c r="A65" s="140">
        <v>63</v>
      </c>
      <c r="W65" s="141">
        <v>70880</v>
      </c>
      <c r="X65" s="141">
        <v>71772</v>
      </c>
      <c r="Y65" s="141">
        <v>72017</v>
      </c>
      <c r="Z65" s="141">
        <v>74026</v>
      </c>
      <c r="AA65" s="141">
        <v>74556</v>
      </c>
      <c r="AB65" s="141">
        <v>75302</v>
      </c>
      <c r="AC65" s="141">
        <v>76294</v>
      </c>
      <c r="AD65" s="141">
        <v>77105</v>
      </c>
      <c r="AE65" s="141">
        <v>77257</v>
      </c>
      <c r="AF65" s="141">
        <v>78417</v>
      </c>
      <c r="AG65" s="141">
        <v>79084</v>
      </c>
      <c r="AH65" s="141">
        <v>79333</v>
      </c>
      <c r="AI65" s="141">
        <v>79866</v>
      </c>
      <c r="AJ65" s="141">
        <v>81232</v>
      </c>
      <c r="AK65" s="141">
        <v>81494</v>
      </c>
      <c r="AL65" s="141">
        <v>82117</v>
      </c>
      <c r="AM65" s="141">
        <v>82591</v>
      </c>
      <c r="AN65" s="141">
        <v>83246</v>
      </c>
      <c r="AO65" s="141">
        <v>83424</v>
      </c>
      <c r="AP65" s="141">
        <v>83670</v>
      </c>
      <c r="AQ65" s="141">
        <v>83785</v>
      </c>
      <c r="AR65" s="141">
        <v>83861</v>
      </c>
      <c r="AS65" s="141">
        <v>83407</v>
      </c>
      <c r="AT65" s="141">
        <v>82703</v>
      </c>
      <c r="AU65" s="141">
        <v>81764</v>
      </c>
      <c r="AV65" s="141">
        <v>81959</v>
      </c>
      <c r="AW65" s="141">
        <v>82538</v>
      </c>
      <c r="AX65" s="141">
        <v>84355</v>
      </c>
      <c r="AY65" s="141">
        <v>85964</v>
      </c>
      <c r="AZ65" s="141">
        <v>86078</v>
      </c>
      <c r="BA65" s="141">
        <v>86249</v>
      </c>
      <c r="BB65" s="141">
        <v>86855</v>
      </c>
      <c r="BC65" s="141">
        <v>87129</v>
      </c>
      <c r="BD65" s="141">
        <v>87436</v>
      </c>
      <c r="BE65" s="141">
        <v>87579</v>
      </c>
      <c r="BF65" s="141">
        <v>87999</v>
      </c>
      <c r="BG65" s="141">
        <v>88306</v>
      </c>
      <c r="BH65" s="141">
        <v>88644</v>
      </c>
      <c r="BI65" s="141">
        <v>88835</v>
      </c>
      <c r="BJ65" s="141">
        <v>89147</v>
      </c>
      <c r="BK65" s="141">
        <v>89524</v>
      </c>
      <c r="BL65" s="141">
        <v>89948</v>
      </c>
      <c r="BM65" s="141">
        <v>90330</v>
      </c>
      <c r="BN65" s="141">
        <v>90667</v>
      </c>
      <c r="BO65" s="141">
        <v>90922</v>
      </c>
      <c r="BP65" s="141">
        <v>91221</v>
      </c>
      <c r="BQ65" s="141">
        <v>91411</v>
      </c>
      <c r="BR65" s="141">
        <v>91601</v>
      </c>
      <c r="BS65" s="141">
        <v>91717</v>
      </c>
      <c r="BT65" s="141">
        <v>91893</v>
      </c>
      <c r="BU65" s="141">
        <v>92038</v>
      </c>
      <c r="BV65" s="141">
        <v>92231</v>
      </c>
      <c r="BW65" s="141">
        <v>92397</v>
      </c>
      <c r="BX65" s="141">
        <v>92597</v>
      </c>
      <c r="BY65" s="141">
        <v>92779</v>
      </c>
      <c r="BZ65" s="141">
        <v>93076</v>
      </c>
      <c r="CA65" s="141">
        <v>93315</v>
      </c>
      <c r="CB65" s="141">
        <v>93513</v>
      </c>
      <c r="CC65" s="141">
        <v>93679</v>
      </c>
      <c r="CD65" s="141">
        <v>93837</v>
      </c>
      <c r="CE65" s="141">
        <v>93997</v>
      </c>
      <c r="CF65" s="141">
        <v>94158</v>
      </c>
      <c r="CG65" s="141">
        <v>94327</v>
      </c>
      <c r="CH65" s="141">
        <v>94469</v>
      </c>
      <c r="CI65" s="141">
        <v>94646</v>
      </c>
      <c r="CJ65" s="141">
        <v>94764</v>
      </c>
      <c r="CK65" s="141">
        <v>94896</v>
      </c>
      <c r="CL65" s="141">
        <v>95061</v>
      </c>
      <c r="CM65" s="141">
        <v>95171</v>
      </c>
      <c r="CN65" s="141">
        <v>95305</v>
      </c>
      <c r="CO65" s="141">
        <v>95406</v>
      </c>
      <c r="CP65" s="141">
        <v>95543</v>
      </c>
      <c r="CQ65" s="141">
        <v>95654</v>
      </c>
      <c r="CR65" s="141">
        <v>95746</v>
      </c>
      <c r="CS65" s="141">
        <v>95860</v>
      </c>
      <c r="CT65" s="141">
        <v>95957</v>
      </c>
      <c r="CU65" s="141">
        <v>96050</v>
      </c>
      <c r="CV65" s="141">
        <v>96114</v>
      </c>
      <c r="CW65" s="141">
        <v>96211</v>
      </c>
      <c r="CX65" s="141">
        <v>96298</v>
      </c>
      <c r="CY65" s="141">
        <v>96375</v>
      </c>
      <c r="CZ65" s="141">
        <v>96420</v>
      </c>
      <c r="DA65" s="141">
        <v>96497</v>
      </c>
      <c r="DB65" s="141">
        <v>96568</v>
      </c>
      <c r="DC65" s="141">
        <v>96662</v>
      </c>
      <c r="DD65" s="141">
        <v>96722</v>
      </c>
      <c r="DE65" s="141">
        <v>96795</v>
      </c>
      <c r="DF65" s="141">
        <v>96891</v>
      </c>
      <c r="DG65" s="141">
        <v>96929</v>
      </c>
      <c r="DH65" s="141">
        <v>97006</v>
      </c>
      <c r="DI65" s="141">
        <v>97040</v>
      </c>
      <c r="DJ65" s="141">
        <v>97115</v>
      </c>
      <c r="DK65" s="141">
        <v>97178</v>
      </c>
      <c r="DL65" s="141">
        <v>97228</v>
      </c>
      <c r="DM65" s="141">
        <v>97293</v>
      </c>
      <c r="DN65" s="141">
        <v>97355</v>
      </c>
      <c r="DO65" s="141">
        <v>97416</v>
      </c>
    </row>
    <row r="66" spans="1:119">
      <c r="A66" s="140">
        <v>64</v>
      </c>
      <c r="W66" s="141">
        <v>70113</v>
      </c>
      <c r="X66" s="141">
        <v>71008</v>
      </c>
      <c r="Y66" s="141">
        <v>71257</v>
      </c>
      <c r="Z66" s="141">
        <v>73276</v>
      </c>
      <c r="AA66" s="141">
        <v>73831</v>
      </c>
      <c r="AB66" s="141">
        <v>74551</v>
      </c>
      <c r="AC66" s="141">
        <v>75556</v>
      </c>
      <c r="AD66" s="141">
        <v>76353</v>
      </c>
      <c r="AE66" s="141">
        <v>76539</v>
      </c>
      <c r="AF66" s="141">
        <v>77688</v>
      </c>
      <c r="AG66" s="141">
        <v>78384</v>
      </c>
      <c r="AH66" s="141">
        <v>78629</v>
      </c>
      <c r="AI66" s="141">
        <v>79198</v>
      </c>
      <c r="AJ66" s="141">
        <v>80564</v>
      </c>
      <c r="AK66" s="141">
        <v>80865</v>
      </c>
      <c r="AL66" s="141">
        <v>81504</v>
      </c>
      <c r="AM66" s="141">
        <v>82016</v>
      </c>
      <c r="AN66" s="141">
        <v>82657</v>
      </c>
      <c r="AO66" s="141">
        <v>82847</v>
      </c>
      <c r="AP66" s="141">
        <v>83113</v>
      </c>
      <c r="AQ66" s="141">
        <v>83225</v>
      </c>
      <c r="AR66" s="141">
        <v>83319</v>
      </c>
      <c r="AS66" s="141">
        <v>82862</v>
      </c>
      <c r="AT66" s="141">
        <v>82144</v>
      </c>
      <c r="AU66" s="141">
        <v>81196</v>
      </c>
      <c r="AV66" s="141">
        <v>81400</v>
      </c>
      <c r="AW66" s="141">
        <v>81974</v>
      </c>
      <c r="AX66" s="141">
        <v>83772</v>
      </c>
      <c r="AY66" s="141">
        <v>85380</v>
      </c>
      <c r="AZ66" s="141">
        <v>85522</v>
      </c>
      <c r="BA66" s="141">
        <v>85675</v>
      </c>
      <c r="BB66" s="141">
        <v>86273</v>
      </c>
      <c r="BC66" s="141">
        <v>86557</v>
      </c>
      <c r="BD66" s="141">
        <v>86873</v>
      </c>
      <c r="BE66" s="141">
        <v>87026</v>
      </c>
      <c r="BF66" s="141">
        <v>87455</v>
      </c>
      <c r="BG66" s="141">
        <v>87771</v>
      </c>
      <c r="BH66" s="141">
        <v>88118</v>
      </c>
      <c r="BI66" s="141">
        <v>88317</v>
      </c>
      <c r="BJ66" s="141">
        <v>88638</v>
      </c>
      <c r="BK66" s="141">
        <v>89024</v>
      </c>
      <c r="BL66" s="141">
        <v>89456</v>
      </c>
      <c r="BM66" s="141">
        <v>89845</v>
      </c>
      <c r="BN66" s="141">
        <v>90190</v>
      </c>
      <c r="BO66" s="141">
        <v>90453</v>
      </c>
      <c r="BP66" s="141">
        <v>90760</v>
      </c>
      <c r="BQ66" s="141">
        <v>90958</v>
      </c>
      <c r="BR66" s="141">
        <v>91156</v>
      </c>
      <c r="BS66" s="141">
        <v>91280</v>
      </c>
      <c r="BT66" s="141">
        <v>91465</v>
      </c>
      <c r="BU66" s="141">
        <v>91618</v>
      </c>
      <c r="BV66" s="141">
        <v>91818</v>
      </c>
      <c r="BW66" s="141">
        <v>91991</v>
      </c>
      <c r="BX66" s="141">
        <v>92198</v>
      </c>
      <c r="BY66" s="141">
        <v>92388</v>
      </c>
      <c r="BZ66" s="141">
        <v>92691</v>
      </c>
      <c r="CA66" s="141">
        <v>92937</v>
      </c>
      <c r="CB66" s="141">
        <v>93141</v>
      </c>
      <c r="CC66" s="141">
        <v>93315</v>
      </c>
      <c r="CD66" s="141">
        <v>93479</v>
      </c>
      <c r="CE66" s="141">
        <v>93646</v>
      </c>
      <c r="CF66" s="141">
        <v>93813</v>
      </c>
      <c r="CG66" s="141">
        <v>93988</v>
      </c>
      <c r="CH66" s="141">
        <v>94137</v>
      </c>
      <c r="CI66" s="141">
        <v>94319</v>
      </c>
      <c r="CJ66" s="141">
        <v>94443</v>
      </c>
      <c r="CK66" s="141">
        <v>94581</v>
      </c>
      <c r="CL66" s="141">
        <v>94752</v>
      </c>
      <c r="CM66" s="141">
        <v>94868</v>
      </c>
      <c r="CN66" s="141">
        <v>95007</v>
      </c>
      <c r="CO66" s="141">
        <v>95114</v>
      </c>
      <c r="CP66" s="141">
        <v>95257</v>
      </c>
      <c r="CQ66" s="141">
        <v>95373</v>
      </c>
      <c r="CR66" s="141">
        <v>95470</v>
      </c>
      <c r="CS66" s="141">
        <v>95589</v>
      </c>
      <c r="CT66" s="141">
        <v>95692</v>
      </c>
      <c r="CU66" s="141">
        <v>95789</v>
      </c>
      <c r="CV66" s="141">
        <v>95859</v>
      </c>
      <c r="CW66" s="141">
        <v>95960</v>
      </c>
      <c r="CX66" s="141">
        <v>96052</v>
      </c>
      <c r="CY66" s="141">
        <v>96134</v>
      </c>
      <c r="CZ66" s="141">
        <v>96184</v>
      </c>
      <c r="DA66" s="141">
        <v>96265</v>
      </c>
      <c r="DB66" s="141">
        <v>96340</v>
      </c>
      <c r="DC66" s="141">
        <v>96438</v>
      </c>
      <c r="DD66" s="141">
        <v>96503</v>
      </c>
      <c r="DE66" s="141">
        <v>96580</v>
      </c>
      <c r="DF66" s="141">
        <v>96680</v>
      </c>
      <c r="DG66" s="141">
        <v>96723</v>
      </c>
      <c r="DH66" s="141">
        <v>96803</v>
      </c>
      <c r="DI66" s="141">
        <v>96841</v>
      </c>
      <c r="DJ66" s="141">
        <v>96920</v>
      </c>
      <c r="DK66" s="141">
        <v>96987</v>
      </c>
      <c r="DL66" s="141">
        <v>97041</v>
      </c>
      <c r="DM66" s="141">
        <v>97109</v>
      </c>
      <c r="DN66" s="141">
        <v>97175</v>
      </c>
      <c r="DO66" s="141">
        <v>97239</v>
      </c>
    </row>
    <row r="67" spans="1:119">
      <c r="A67" s="140">
        <v>65</v>
      </c>
      <c r="W67" s="141">
        <v>69287</v>
      </c>
      <c r="X67" s="141">
        <v>70202</v>
      </c>
      <c r="Y67" s="141">
        <v>70449</v>
      </c>
      <c r="Z67" s="141">
        <v>72500</v>
      </c>
      <c r="AA67" s="141">
        <v>73021</v>
      </c>
      <c r="AB67" s="141">
        <v>73739</v>
      </c>
      <c r="AC67" s="141">
        <v>74760</v>
      </c>
      <c r="AD67" s="141">
        <v>75564</v>
      </c>
      <c r="AE67" s="141">
        <v>75768</v>
      </c>
      <c r="AF67" s="141">
        <v>76927</v>
      </c>
      <c r="AG67" s="141">
        <v>77615</v>
      </c>
      <c r="AH67" s="141">
        <v>77901</v>
      </c>
      <c r="AI67" s="141">
        <v>78480</v>
      </c>
      <c r="AJ67" s="141">
        <v>79879</v>
      </c>
      <c r="AK67" s="141">
        <v>80179</v>
      </c>
      <c r="AL67" s="141">
        <v>80857</v>
      </c>
      <c r="AM67" s="141">
        <v>81390</v>
      </c>
      <c r="AN67" s="141">
        <v>82036</v>
      </c>
      <c r="AO67" s="141">
        <v>82255</v>
      </c>
      <c r="AP67" s="141">
        <v>82531</v>
      </c>
      <c r="AQ67" s="141">
        <v>82652</v>
      </c>
      <c r="AR67" s="141">
        <v>82741</v>
      </c>
      <c r="AS67" s="141">
        <v>82285</v>
      </c>
      <c r="AT67" s="141">
        <v>81540</v>
      </c>
      <c r="AU67" s="141">
        <v>80587</v>
      </c>
      <c r="AV67" s="141">
        <v>80784</v>
      </c>
      <c r="AW67" s="141">
        <v>81381</v>
      </c>
      <c r="AX67" s="141">
        <v>83125</v>
      </c>
      <c r="AY67" s="141">
        <v>84768</v>
      </c>
      <c r="AZ67" s="141">
        <v>84894</v>
      </c>
      <c r="BA67" s="141">
        <v>85050</v>
      </c>
      <c r="BB67" s="141">
        <v>85656</v>
      </c>
      <c r="BC67" s="141">
        <v>85951</v>
      </c>
      <c r="BD67" s="141">
        <v>86277</v>
      </c>
      <c r="BE67" s="141">
        <v>86441</v>
      </c>
      <c r="BF67" s="141">
        <v>86879</v>
      </c>
      <c r="BG67" s="141">
        <v>87205</v>
      </c>
      <c r="BH67" s="141">
        <v>87561</v>
      </c>
      <c r="BI67" s="141">
        <v>87770</v>
      </c>
      <c r="BJ67" s="141">
        <v>88100</v>
      </c>
      <c r="BK67" s="141">
        <v>88495</v>
      </c>
      <c r="BL67" s="141">
        <v>88934</v>
      </c>
      <c r="BM67" s="141">
        <v>89331</v>
      </c>
      <c r="BN67" s="141">
        <v>89685</v>
      </c>
      <c r="BO67" s="141">
        <v>89957</v>
      </c>
      <c r="BP67" s="141">
        <v>90272</v>
      </c>
      <c r="BQ67" s="141">
        <v>90479</v>
      </c>
      <c r="BR67" s="141">
        <v>90686</v>
      </c>
      <c r="BS67" s="141">
        <v>90819</v>
      </c>
      <c r="BT67" s="141">
        <v>91012</v>
      </c>
      <c r="BU67" s="141">
        <v>91173</v>
      </c>
      <c r="BV67" s="141">
        <v>91381</v>
      </c>
      <c r="BW67" s="141">
        <v>91562</v>
      </c>
      <c r="BX67" s="141">
        <v>91777</v>
      </c>
      <c r="BY67" s="141">
        <v>91974</v>
      </c>
      <c r="BZ67" s="141">
        <v>92284</v>
      </c>
      <c r="CA67" s="141">
        <v>92537</v>
      </c>
      <c r="CB67" s="141">
        <v>92748</v>
      </c>
      <c r="CC67" s="141">
        <v>92929</v>
      </c>
      <c r="CD67" s="141">
        <v>93101</v>
      </c>
      <c r="CE67" s="141">
        <v>93274</v>
      </c>
      <c r="CF67" s="141">
        <v>93448</v>
      </c>
      <c r="CG67" s="141">
        <v>93630</v>
      </c>
      <c r="CH67" s="141">
        <v>93785</v>
      </c>
      <c r="CI67" s="141">
        <v>93974</v>
      </c>
      <c r="CJ67" s="141">
        <v>94104</v>
      </c>
      <c r="CK67" s="141">
        <v>94249</v>
      </c>
      <c r="CL67" s="141">
        <v>94426</v>
      </c>
      <c r="CM67" s="141">
        <v>94548</v>
      </c>
      <c r="CN67" s="141">
        <v>94692</v>
      </c>
      <c r="CO67" s="141">
        <v>94806</v>
      </c>
      <c r="CP67" s="141">
        <v>94954</v>
      </c>
      <c r="CQ67" s="141">
        <v>95076</v>
      </c>
      <c r="CR67" s="141">
        <v>95179</v>
      </c>
      <c r="CS67" s="141">
        <v>95303</v>
      </c>
      <c r="CT67" s="141">
        <v>95411</v>
      </c>
      <c r="CU67" s="141">
        <v>95514</v>
      </c>
      <c r="CV67" s="141">
        <v>95589</v>
      </c>
      <c r="CW67" s="141">
        <v>95695</v>
      </c>
      <c r="CX67" s="141">
        <v>95792</v>
      </c>
      <c r="CY67" s="141">
        <v>95879</v>
      </c>
      <c r="CZ67" s="141">
        <v>95934</v>
      </c>
      <c r="DA67" s="141">
        <v>96020</v>
      </c>
      <c r="DB67" s="141">
        <v>96100</v>
      </c>
      <c r="DC67" s="141">
        <v>96202</v>
      </c>
      <c r="DD67" s="141">
        <v>96272</v>
      </c>
      <c r="DE67" s="141">
        <v>96353</v>
      </c>
      <c r="DF67" s="141">
        <v>96458</v>
      </c>
      <c r="DG67" s="141">
        <v>96504</v>
      </c>
      <c r="DH67" s="141">
        <v>96589</v>
      </c>
      <c r="DI67" s="141">
        <v>96631</v>
      </c>
      <c r="DJ67" s="141">
        <v>96714</v>
      </c>
      <c r="DK67" s="141">
        <v>96785</v>
      </c>
      <c r="DL67" s="141">
        <v>96843</v>
      </c>
      <c r="DM67" s="141">
        <v>96914</v>
      </c>
      <c r="DN67" s="141">
        <v>96984</v>
      </c>
      <c r="DO67" s="141">
        <v>97053</v>
      </c>
    </row>
    <row r="68" spans="1:119">
      <c r="A68" s="140">
        <v>66</v>
      </c>
      <c r="W68" s="141">
        <v>68389</v>
      </c>
      <c r="X68" s="141">
        <v>69330</v>
      </c>
      <c r="Y68" s="141">
        <v>69602</v>
      </c>
      <c r="Z68" s="141">
        <v>71616</v>
      </c>
      <c r="AA68" s="141">
        <v>72141</v>
      </c>
      <c r="AB68" s="141">
        <v>72892</v>
      </c>
      <c r="AC68" s="141">
        <v>73925</v>
      </c>
      <c r="AD68" s="141">
        <v>74723</v>
      </c>
      <c r="AE68" s="141">
        <v>74950</v>
      </c>
      <c r="AF68" s="141">
        <v>76088</v>
      </c>
      <c r="AG68" s="141">
        <v>76806</v>
      </c>
      <c r="AH68" s="141">
        <v>77141</v>
      </c>
      <c r="AI68" s="141">
        <v>77713</v>
      </c>
      <c r="AJ68" s="141">
        <v>79139</v>
      </c>
      <c r="AK68" s="141">
        <v>79477</v>
      </c>
      <c r="AL68" s="141">
        <v>80160</v>
      </c>
      <c r="AM68" s="141">
        <v>80699</v>
      </c>
      <c r="AN68" s="141">
        <v>81381</v>
      </c>
      <c r="AO68" s="141">
        <v>81625</v>
      </c>
      <c r="AP68" s="141">
        <v>81922</v>
      </c>
      <c r="AQ68" s="141">
        <v>82021</v>
      </c>
      <c r="AR68" s="141">
        <v>82124</v>
      </c>
      <c r="AS68" s="141">
        <v>81626</v>
      </c>
      <c r="AT68" s="141">
        <v>80911</v>
      </c>
      <c r="AU68" s="141">
        <v>79954</v>
      </c>
      <c r="AV68" s="141">
        <v>80128</v>
      </c>
      <c r="AW68" s="141">
        <v>80728</v>
      </c>
      <c r="AX68" s="141">
        <v>82463</v>
      </c>
      <c r="AY68" s="141">
        <v>84082</v>
      </c>
      <c r="AZ68" s="141">
        <v>84221</v>
      </c>
      <c r="BA68" s="141">
        <v>84390</v>
      </c>
      <c r="BB68" s="141">
        <v>85005</v>
      </c>
      <c r="BC68" s="141">
        <v>85311</v>
      </c>
      <c r="BD68" s="141">
        <v>85647</v>
      </c>
      <c r="BE68" s="141">
        <v>85824</v>
      </c>
      <c r="BF68" s="141">
        <v>86270</v>
      </c>
      <c r="BG68" s="141">
        <v>86607</v>
      </c>
      <c r="BH68" s="141">
        <v>86972</v>
      </c>
      <c r="BI68" s="141">
        <v>87192</v>
      </c>
      <c r="BJ68" s="141">
        <v>87532</v>
      </c>
      <c r="BK68" s="141">
        <v>87935</v>
      </c>
      <c r="BL68" s="141">
        <v>88384</v>
      </c>
      <c r="BM68" s="141">
        <v>88790</v>
      </c>
      <c r="BN68" s="141">
        <v>89152</v>
      </c>
      <c r="BO68" s="141">
        <v>89434</v>
      </c>
      <c r="BP68" s="141">
        <v>89758</v>
      </c>
      <c r="BQ68" s="141">
        <v>89973</v>
      </c>
      <c r="BR68" s="141">
        <v>90189</v>
      </c>
      <c r="BS68" s="141">
        <v>90331</v>
      </c>
      <c r="BT68" s="141">
        <v>90533</v>
      </c>
      <c r="BU68" s="141">
        <v>90703</v>
      </c>
      <c r="BV68" s="141">
        <v>90920</v>
      </c>
      <c r="BW68" s="141">
        <v>91109</v>
      </c>
      <c r="BX68" s="141">
        <v>91332</v>
      </c>
      <c r="BY68" s="141">
        <v>91537</v>
      </c>
      <c r="BZ68" s="141">
        <v>91854</v>
      </c>
      <c r="CA68" s="141">
        <v>92114</v>
      </c>
      <c r="CB68" s="141">
        <v>92334</v>
      </c>
      <c r="CC68" s="141">
        <v>92522</v>
      </c>
      <c r="CD68" s="141">
        <v>92701</v>
      </c>
      <c r="CE68" s="141">
        <v>92882</v>
      </c>
      <c r="CF68" s="141">
        <v>93063</v>
      </c>
      <c r="CG68" s="141">
        <v>93251</v>
      </c>
      <c r="CH68" s="141">
        <v>93414</v>
      </c>
      <c r="CI68" s="141">
        <v>93609</v>
      </c>
      <c r="CJ68" s="141">
        <v>93746</v>
      </c>
      <c r="CK68" s="141">
        <v>93897</v>
      </c>
      <c r="CL68" s="141">
        <v>94081</v>
      </c>
      <c r="CM68" s="141">
        <v>94209</v>
      </c>
      <c r="CN68" s="141">
        <v>94361</v>
      </c>
      <c r="CO68" s="141">
        <v>94480</v>
      </c>
      <c r="CP68" s="141">
        <v>94634</v>
      </c>
      <c r="CQ68" s="141">
        <v>94762</v>
      </c>
      <c r="CR68" s="141">
        <v>94871</v>
      </c>
      <c r="CS68" s="141">
        <v>95001</v>
      </c>
      <c r="CT68" s="141">
        <v>95115</v>
      </c>
      <c r="CU68" s="141">
        <v>95224</v>
      </c>
      <c r="CV68" s="141">
        <v>95304</v>
      </c>
      <c r="CW68" s="141">
        <v>95415</v>
      </c>
      <c r="CX68" s="141">
        <v>95518</v>
      </c>
      <c r="CY68" s="141">
        <v>95610</v>
      </c>
      <c r="CZ68" s="141">
        <v>95670</v>
      </c>
      <c r="DA68" s="141">
        <v>95761</v>
      </c>
      <c r="DB68" s="141">
        <v>95846</v>
      </c>
      <c r="DC68" s="141">
        <v>95953</v>
      </c>
      <c r="DD68" s="141">
        <v>96028</v>
      </c>
      <c r="DE68" s="141">
        <v>96114</v>
      </c>
      <c r="DF68" s="141">
        <v>96223</v>
      </c>
      <c r="DG68" s="141">
        <v>96274</v>
      </c>
      <c r="DH68" s="141">
        <v>96363</v>
      </c>
      <c r="DI68" s="141">
        <v>96410</v>
      </c>
      <c r="DJ68" s="141">
        <v>96497</v>
      </c>
      <c r="DK68" s="141">
        <v>96572</v>
      </c>
      <c r="DL68" s="141">
        <v>96634</v>
      </c>
      <c r="DM68" s="141">
        <v>96710</v>
      </c>
      <c r="DN68" s="141">
        <v>96784</v>
      </c>
      <c r="DO68" s="141">
        <v>96856</v>
      </c>
    </row>
    <row r="69" spans="1:119">
      <c r="A69" s="140">
        <v>67</v>
      </c>
      <c r="W69" s="141">
        <v>67452</v>
      </c>
      <c r="X69" s="141">
        <v>68402</v>
      </c>
      <c r="Y69" s="141">
        <v>68676</v>
      </c>
      <c r="Z69" s="141">
        <v>70673</v>
      </c>
      <c r="AA69" s="141">
        <v>71210</v>
      </c>
      <c r="AB69" s="141">
        <v>71988</v>
      </c>
      <c r="AC69" s="141">
        <v>73041</v>
      </c>
      <c r="AD69" s="141">
        <v>73827</v>
      </c>
      <c r="AE69" s="141">
        <v>74053</v>
      </c>
      <c r="AF69" s="141">
        <v>75246</v>
      </c>
      <c r="AG69" s="141">
        <v>75954</v>
      </c>
      <c r="AH69" s="141">
        <v>76298</v>
      </c>
      <c r="AI69" s="141">
        <v>76914</v>
      </c>
      <c r="AJ69" s="141">
        <v>78372</v>
      </c>
      <c r="AK69" s="141">
        <v>78688</v>
      </c>
      <c r="AL69" s="141">
        <v>79413</v>
      </c>
      <c r="AM69" s="141">
        <v>79989</v>
      </c>
      <c r="AN69" s="141">
        <v>80686</v>
      </c>
      <c r="AO69" s="141">
        <v>80953</v>
      </c>
      <c r="AP69" s="141">
        <v>81260</v>
      </c>
      <c r="AQ69" s="141">
        <v>81343</v>
      </c>
      <c r="AR69" s="141">
        <v>81437</v>
      </c>
      <c r="AS69" s="141">
        <v>80945</v>
      </c>
      <c r="AT69" s="141">
        <v>80207</v>
      </c>
      <c r="AU69" s="141">
        <v>79272</v>
      </c>
      <c r="AV69" s="141">
        <v>79393</v>
      </c>
      <c r="AW69" s="141">
        <v>80021</v>
      </c>
      <c r="AX69" s="141">
        <v>81735</v>
      </c>
      <c r="AY69" s="141">
        <v>83359</v>
      </c>
      <c r="AZ69" s="141">
        <v>83512</v>
      </c>
      <c r="BA69" s="141">
        <v>83694</v>
      </c>
      <c r="BB69" s="141">
        <v>84318</v>
      </c>
      <c r="BC69" s="141">
        <v>84635</v>
      </c>
      <c r="BD69" s="141">
        <v>84983</v>
      </c>
      <c r="BE69" s="141">
        <v>85172</v>
      </c>
      <c r="BF69" s="141">
        <v>85629</v>
      </c>
      <c r="BG69" s="141">
        <v>85976</v>
      </c>
      <c r="BH69" s="141">
        <v>86352</v>
      </c>
      <c r="BI69" s="141">
        <v>86583</v>
      </c>
      <c r="BJ69" s="141">
        <v>86933</v>
      </c>
      <c r="BK69" s="141">
        <v>87346</v>
      </c>
      <c r="BL69" s="141">
        <v>87803</v>
      </c>
      <c r="BM69" s="141">
        <v>88218</v>
      </c>
      <c r="BN69" s="141">
        <v>88591</v>
      </c>
      <c r="BO69" s="141">
        <v>88881</v>
      </c>
      <c r="BP69" s="141">
        <v>89214</v>
      </c>
      <c r="BQ69" s="141">
        <v>89440</v>
      </c>
      <c r="BR69" s="141">
        <v>89665</v>
      </c>
      <c r="BS69" s="141">
        <v>89817</v>
      </c>
      <c r="BT69" s="141">
        <v>90028</v>
      </c>
      <c r="BU69" s="141">
        <v>90207</v>
      </c>
      <c r="BV69" s="141">
        <v>90433</v>
      </c>
      <c r="BW69" s="141">
        <v>90631</v>
      </c>
      <c r="BX69" s="141">
        <v>90862</v>
      </c>
      <c r="BY69" s="141">
        <v>91076</v>
      </c>
      <c r="BZ69" s="141">
        <v>91401</v>
      </c>
      <c r="CA69" s="141">
        <v>91669</v>
      </c>
      <c r="CB69" s="141">
        <v>91896</v>
      </c>
      <c r="CC69" s="141">
        <v>92092</v>
      </c>
      <c r="CD69" s="141">
        <v>92279</v>
      </c>
      <c r="CE69" s="141">
        <v>92468</v>
      </c>
      <c r="CF69" s="141">
        <v>92656</v>
      </c>
      <c r="CG69" s="141">
        <v>92852</v>
      </c>
      <c r="CH69" s="141">
        <v>93022</v>
      </c>
      <c r="CI69" s="141">
        <v>93225</v>
      </c>
      <c r="CJ69" s="141">
        <v>93369</v>
      </c>
      <c r="CK69" s="141">
        <v>93527</v>
      </c>
      <c r="CL69" s="141">
        <v>93718</v>
      </c>
      <c r="CM69" s="141">
        <v>93853</v>
      </c>
      <c r="CN69" s="141">
        <v>94010</v>
      </c>
      <c r="CO69" s="141">
        <v>94137</v>
      </c>
      <c r="CP69" s="141">
        <v>94297</v>
      </c>
      <c r="CQ69" s="141">
        <v>94431</v>
      </c>
      <c r="CR69" s="141">
        <v>94547</v>
      </c>
      <c r="CS69" s="141">
        <v>94683</v>
      </c>
      <c r="CT69" s="141">
        <v>94803</v>
      </c>
      <c r="CU69" s="141">
        <v>94917</v>
      </c>
      <c r="CV69" s="141">
        <v>95004</v>
      </c>
      <c r="CW69" s="141">
        <v>95121</v>
      </c>
      <c r="CX69" s="141">
        <v>95229</v>
      </c>
      <c r="CY69" s="141">
        <v>95327</v>
      </c>
      <c r="CZ69" s="141">
        <v>95392</v>
      </c>
      <c r="DA69" s="141">
        <v>95489</v>
      </c>
      <c r="DB69" s="141">
        <v>95579</v>
      </c>
      <c r="DC69" s="141">
        <v>95691</v>
      </c>
      <c r="DD69" s="141">
        <v>95771</v>
      </c>
      <c r="DE69" s="141">
        <v>95862</v>
      </c>
      <c r="DF69" s="141">
        <v>95976</v>
      </c>
      <c r="DG69" s="141">
        <v>96032</v>
      </c>
      <c r="DH69" s="141">
        <v>96126</v>
      </c>
      <c r="DI69" s="141">
        <v>96176</v>
      </c>
      <c r="DJ69" s="141">
        <v>96269</v>
      </c>
      <c r="DK69" s="141">
        <v>96348</v>
      </c>
      <c r="DL69" s="141">
        <v>96414</v>
      </c>
      <c r="DM69" s="141">
        <v>96494</v>
      </c>
      <c r="DN69" s="141">
        <v>96572</v>
      </c>
      <c r="DO69" s="141">
        <v>96649</v>
      </c>
    </row>
    <row r="70" spans="1:119">
      <c r="A70" s="140">
        <v>68</v>
      </c>
      <c r="W70" s="141">
        <v>66449</v>
      </c>
      <c r="X70" s="141">
        <v>67379</v>
      </c>
      <c r="Y70" s="141">
        <v>67667</v>
      </c>
      <c r="Z70" s="141">
        <v>69670</v>
      </c>
      <c r="AA70" s="141">
        <v>70237</v>
      </c>
      <c r="AB70" s="141">
        <v>71019</v>
      </c>
      <c r="AC70" s="141">
        <v>72072</v>
      </c>
      <c r="AD70" s="141">
        <v>72856</v>
      </c>
      <c r="AE70" s="141">
        <v>73142</v>
      </c>
      <c r="AF70" s="141">
        <v>74328</v>
      </c>
      <c r="AG70" s="141">
        <v>75053</v>
      </c>
      <c r="AH70" s="141">
        <v>75432</v>
      </c>
      <c r="AI70" s="141">
        <v>76066</v>
      </c>
      <c r="AJ70" s="141">
        <v>77527</v>
      </c>
      <c r="AK70" s="141">
        <v>77871</v>
      </c>
      <c r="AL70" s="141">
        <v>78631</v>
      </c>
      <c r="AM70" s="141">
        <v>79212</v>
      </c>
      <c r="AN70" s="141">
        <v>79954</v>
      </c>
      <c r="AO70" s="141">
        <v>80241</v>
      </c>
      <c r="AP70" s="141">
        <v>80528</v>
      </c>
      <c r="AQ70" s="141">
        <v>80603</v>
      </c>
      <c r="AR70" s="141">
        <v>80703</v>
      </c>
      <c r="AS70" s="141">
        <v>80211</v>
      </c>
      <c r="AT70" s="141">
        <v>79466</v>
      </c>
      <c r="AU70" s="141">
        <v>78514</v>
      </c>
      <c r="AV70" s="141">
        <v>78649</v>
      </c>
      <c r="AW70" s="141">
        <v>79251</v>
      </c>
      <c r="AX70" s="141">
        <v>80972</v>
      </c>
      <c r="AY70" s="141">
        <v>82597</v>
      </c>
      <c r="AZ70" s="141">
        <v>82764</v>
      </c>
      <c r="BA70" s="141">
        <v>82960</v>
      </c>
      <c r="BB70" s="141">
        <v>83594</v>
      </c>
      <c r="BC70" s="141">
        <v>83924</v>
      </c>
      <c r="BD70" s="141">
        <v>84284</v>
      </c>
      <c r="BE70" s="141">
        <v>84485</v>
      </c>
      <c r="BF70" s="141">
        <v>84952</v>
      </c>
      <c r="BG70" s="141">
        <v>85311</v>
      </c>
      <c r="BH70" s="141">
        <v>85697</v>
      </c>
      <c r="BI70" s="141">
        <v>85941</v>
      </c>
      <c r="BJ70" s="141">
        <v>86301</v>
      </c>
      <c r="BK70" s="141">
        <v>86724</v>
      </c>
      <c r="BL70" s="141">
        <v>87191</v>
      </c>
      <c r="BM70" s="141">
        <v>87616</v>
      </c>
      <c r="BN70" s="141">
        <v>87998</v>
      </c>
      <c r="BO70" s="141">
        <v>88299</v>
      </c>
      <c r="BP70" s="141">
        <v>88642</v>
      </c>
      <c r="BQ70" s="141">
        <v>88877</v>
      </c>
      <c r="BR70" s="141">
        <v>89112</v>
      </c>
      <c r="BS70" s="141">
        <v>89275</v>
      </c>
      <c r="BT70" s="141">
        <v>89495</v>
      </c>
      <c r="BU70" s="141">
        <v>89684</v>
      </c>
      <c r="BV70" s="141">
        <v>89919</v>
      </c>
      <c r="BW70" s="141">
        <v>90127</v>
      </c>
      <c r="BX70" s="141">
        <v>90367</v>
      </c>
      <c r="BY70" s="141">
        <v>90589</v>
      </c>
      <c r="BZ70" s="141">
        <v>90923</v>
      </c>
      <c r="CA70" s="141">
        <v>91199</v>
      </c>
      <c r="CB70" s="141">
        <v>91435</v>
      </c>
      <c r="CC70" s="141">
        <v>91639</v>
      </c>
      <c r="CD70" s="141">
        <v>91834</v>
      </c>
      <c r="CE70" s="141">
        <v>92031</v>
      </c>
      <c r="CF70" s="141">
        <v>92227</v>
      </c>
      <c r="CG70" s="141">
        <v>92432</v>
      </c>
      <c r="CH70" s="141">
        <v>92609</v>
      </c>
      <c r="CI70" s="141">
        <v>92819</v>
      </c>
      <c r="CJ70" s="141">
        <v>92971</v>
      </c>
      <c r="CK70" s="141">
        <v>93136</v>
      </c>
      <c r="CL70" s="141">
        <v>93334</v>
      </c>
      <c r="CM70" s="141">
        <v>93476</v>
      </c>
      <c r="CN70" s="141">
        <v>93641</v>
      </c>
      <c r="CO70" s="141">
        <v>93774</v>
      </c>
      <c r="CP70" s="141">
        <v>93942</v>
      </c>
      <c r="CQ70" s="141">
        <v>94082</v>
      </c>
      <c r="CR70" s="141">
        <v>94204</v>
      </c>
      <c r="CS70" s="141">
        <v>94347</v>
      </c>
      <c r="CT70" s="141">
        <v>94473</v>
      </c>
      <c r="CU70" s="141">
        <v>94594</v>
      </c>
      <c r="CV70" s="141">
        <v>94687</v>
      </c>
      <c r="CW70" s="141">
        <v>94810</v>
      </c>
      <c r="CX70" s="141">
        <v>94924</v>
      </c>
      <c r="CY70" s="141">
        <v>95028</v>
      </c>
      <c r="CZ70" s="141">
        <v>95099</v>
      </c>
      <c r="DA70" s="141">
        <v>95201</v>
      </c>
      <c r="DB70" s="141">
        <v>95297</v>
      </c>
      <c r="DC70" s="141">
        <v>95415</v>
      </c>
      <c r="DD70" s="141">
        <v>95500</v>
      </c>
      <c r="DE70" s="141">
        <v>95596</v>
      </c>
      <c r="DF70" s="141">
        <v>95715</v>
      </c>
      <c r="DG70" s="141">
        <v>95776</v>
      </c>
      <c r="DH70" s="141">
        <v>95875</v>
      </c>
      <c r="DI70" s="141">
        <v>95931</v>
      </c>
      <c r="DJ70" s="141">
        <v>96027</v>
      </c>
      <c r="DK70" s="141">
        <v>96111</v>
      </c>
      <c r="DL70" s="141">
        <v>96182</v>
      </c>
      <c r="DM70" s="141">
        <v>96267</v>
      </c>
      <c r="DN70" s="141">
        <v>96350</v>
      </c>
      <c r="DO70" s="141">
        <v>96430</v>
      </c>
    </row>
    <row r="71" spans="1:119">
      <c r="A71" s="140">
        <v>69</v>
      </c>
      <c r="W71" s="141">
        <v>65331</v>
      </c>
      <c r="X71" s="141">
        <v>66277</v>
      </c>
      <c r="Y71" s="141">
        <v>66591</v>
      </c>
      <c r="Z71" s="141">
        <v>68619</v>
      </c>
      <c r="AA71" s="141">
        <v>69184</v>
      </c>
      <c r="AB71" s="141">
        <v>69991</v>
      </c>
      <c r="AC71" s="141">
        <v>71025</v>
      </c>
      <c r="AD71" s="141">
        <v>71845</v>
      </c>
      <c r="AE71" s="141">
        <v>72149</v>
      </c>
      <c r="AF71" s="141">
        <v>73355</v>
      </c>
      <c r="AG71" s="141">
        <v>74083</v>
      </c>
      <c r="AH71" s="141">
        <v>74523</v>
      </c>
      <c r="AI71" s="141">
        <v>75141</v>
      </c>
      <c r="AJ71" s="141">
        <v>76597</v>
      </c>
      <c r="AK71" s="141">
        <v>77015</v>
      </c>
      <c r="AL71" s="141">
        <v>77806</v>
      </c>
      <c r="AM71" s="141">
        <v>78405</v>
      </c>
      <c r="AN71" s="141">
        <v>79175</v>
      </c>
      <c r="AO71" s="141">
        <v>79438</v>
      </c>
      <c r="AP71" s="141">
        <v>79738</v>
      </c>
      <c r="AQ71" s="141">
        <v>79834</v>
      </c>
      <c r="AR71" s="141">
        <v>79888</v>
      </c>
      <c r="AS71" s="141">
        <v>79437</v>
      </c>
      <c r="AT71" s="141">
        <v>78637</v>
      </c>
      <c r="AU71" s="141">
        <v>77720</v>
      </c>
      <c r="AV71" s="141">
        <v>77806</v>
      </c>
      <c r="AW71" s="141">
        <v>78448</v>
      </c>
      <c r="AX71" s="141">
        <v>80169</v>
      </c>
      <c r="AY71" s="141">
        <v>81795</v>
      </c>
      <c r="AZ71" s="141">
        <v>81977</v>
      </c>
      <c r="BA71" s="141">
        <v>82188</v>
      </c>
      <c r="BB71" s="141">
        <v>82832</v>
      </c>
      <c r="BC71" s="141">
        <v>83174</v>
      </c>
      <c r="BD71" s="141">
        <v>83546</v>
      </c>
      <c r="BE71" s="141">
        <v>83761</v>
      </c>
      <c r="BF71" s="141">
        <v>84240</v>
      </c>
      <c r="BG71" s="141">
        <v>84610</v>
      </c>
      <c r="BH71" s="141">
        <v>85008</v>
      </c>
      <c r="BI71" s="141">
        <v>85264</v>
      </c>
      <c r="BJ71" s="141">
        <v>85636</v>
      </c>
      <c r="BK71" s="141">
        <v>86069</v>
      </c>
      <c r="BL71" s="141">
        <v>86546</v>
      </c>
      <c r="BM71" s="141">
        <v>86982</v>
      </c>
      <c r="BN71" s="141">
        <v>87374</v>
      </c>
      <c r="BO71" s="141">
        <v>87685</v>
      </c>
      <c r="BP71" s="141">
        <v>88038</v>
      </c>
      <c r="BQ71" s="141">
        <v>88284</v>
      </c>
      <c r="BR71" s="141">
        <v>88530</v>
      </c>
      <c r="BS71" s="141">
        <v>88703</v>
      </c>
      <c r="BT71" s="141">
        <v>88934</v>
      </c>
      <c r="BU71" s="141">
        <v>89133</v>
      </c>
      <c r="BV71" s="141">
        <v>89378</v>
      </c>
      <c r="BW71" s="141">
        <v>89595</v>
      </c>
      <c r="BX71" s="141">
        <v>89845</v>
      </c>
      <c r="BY71" s="141">
        <v>90076</v>
      </c>
      <c r="BZ71" s="141">
        <v>90418</v>
      </c>
      <c r="CA71" s="141">
        <v>90703</v>
      </c>
      <c r="CB71" s="141">
        <v>90948</v>
      </c>
      <c r="CC71" s="141">
        <v>91161</v>
      </c>
      <c r="CD71" s="141">
        <v>91365</v>
      </c>
      <c r="CE71" s="141">
        <v>91570</v>
      </c>
      <c r="CF71" s="141">
        <v>91775</v>
      </c>
      <c r="CG71" s="141">
        <v>91987</v>
      </c>
      <c r="CH71" s="141">
        <v>92173</v>
      </c>
      <c r="CI71" s="141">
        <v>92391</v>
      </c>
      <c r="CJ71" s="141">
        <v>92551</v>
      </c>
      <c r="CK71" s="141">
        <v>92724</v>
      </c>
      <c r="CL71" s="141">
        <v>92929</v>
      </c>
      <c r="CM71" s="141">
        <v>93079</v>
      </c>
      <c r="CN71" s="141">
        <v>93251</v>
      </c>
      <c r="CO71" s="141">
        <v>93392</v>
      </c>
      <c r="CP71" s="141">
        <v>93566</v>
      </c>
      <c r="CQ71" s="141">
        <v>93714</v>
      </c>
      <c r="CR71" s="141">
        <v>93843</v>
      </c>
      <c r="CS71" s="141">
        <v>93993</v>
      </c>
      <c r="CT71" s="141">
        <v>94125</v>
      </c>
      <c r="CU71" s="141">
        <v>94253</v>
      </c>
      <c r="CV71" s="141">
        <v>94352</v>
      </c>
      <c r="CW71" s="141">
        <v>94482</v>
      </c>
      <c r="CX71" s="141">
        <v>94602</v>
      </c>
      <c r="CY71" s="141">
        <v>94712</v>
      </c>
      <c r="CZ71" s="141">
        <v>94790</v>
      </c>
      <c r="DA71" s="141">
        <v>94898</v>
      </c>
      <c r="DB71" s="141">
        <v>94999</v>
      </c>
      <c r="DC71" s="141">
        <v>95123</v>
      </c>
      <c r="DD71" s="141">
        <v>95213</v>
      </c>
      <c r="DE71" s="141">
        <v>95315</v>
      </c>
      <c r="DF71" s="141">
        <v>95439</v>
      </c>
      <c r="DG71" s="141">
        <v>95506</v>
      </c>
      <c r="DH71" s="141">
        <v>95610</v>
      </c>
      <c r="DI71" s="141">
        <v>95671</v>
      </c>
      <c r="DJ71" s="141">
        <v>95773</v>
      </c>
      <c r="DK71" s="141">
        <v>95862</v>
      </c>
      <c r="DL71" s="141">
        <v>95938</v>
      </c>
      <c r="DM71" s="141">
        <v>96027</v>
      </c>
      <c r="DN71" s="141">
        <v>96114</v>
      </c>
      <c r="DO71" s="141">
        <v>96199</v>
      </c>
    </row>
    <row r="72" spans="1:119">
      <c r="A72" s="140">
        <v>70</v>
      </c>
      <c r="W72" s="141">
        <v>64143</v>
      </c>
      <c r="X72" s="141">
        <v>65103</v>
      </c>
      <c r="Y72" s="141">
        <v>65462</v>
      </c>
      <c r="Z72" s="141">
        <v>67464</v>
      </c>
      <c r="AA72" s="141">
        <v>68059</v>
      </c>
      <c r="AB72" s="141">
        <v>68841</v>
      </c>
      <c r="AC72" s="141">
        <v>69911</v>
      </c>
      <c r="AD72" s="141">
        <v>70767</v>
      </c>
      <c r="AE72" s="141">
        <v>71109</v>
      </c>
      <c r="AF72" s="141">
        <v>72323</v>
      </c>
      <c r="AG72" s="141">
        <v>73076</v>
      </c>
      <c r="AH72" s="141">
        <v>73528</v>
      </c>
      <c r="AI72" s="141">
        <v>74160</v>
      </c>
      <c r="AJ72" s="141">
        <v>75633</v>
      </c>
      <c r="AK72" s="141">
        <v>76068</v>
      </c>
      <c r="AL72" s="141">
        <v>76914</v>
      </c>
      <c r="AM72" s="141">
        <v>77545</v>
      </c>
      <c r="AN72" s="141">
        <v>78293</v>
      </c>
      <c r="AO72" s="141">
        <v>78575</v>
      </c>
      <c r="AP72" s="141">
        <v>78899</v>
      </c>
      <c r="AQ72" s="141">
        <v>78997</v>
      </c>
      <c r="AR72" s="141">
        <v>79033</v>
      </c>
      <c r="AS72" s="141">
        <v>78573</v>
      </c>
      <c r="AT72" s="141">
        <v>77771</v>
      </c>
      <c r="AU72" s="141">
        <v>76852</v>
      </c>
      <c r="AV72" s="141">
        <v>76951</v>
      </c>
      <c r="AW72" s="141">
        <v>77603</v>
      </c>
      <c r="AX72" s="141">
        <v>79324</v>
      </c>
      <c r="AY72" s="141">
        <v>80950</v>
      </c>
      <c r="AZ72" s="141">
        <v>81148</v>
      </c>
      <c r="BA72" s="141">
        <v>81374</v>
      </c>
      <c r="BB72" s="141">
        <v>82029</v>
      </c>
      <c r="BC72" s="141">
        <v>82385</v>
      </c>
      <c r="BD72" s="141">
        <v>82770</v>
      </c>
      <c r="BE72" s="141">
        <v>82999</v>
      </c>
      <c r="BF72" s="141">
        <v>83489</v>
      </c>
      <c r="BG72" s="141">
        <v>83872</v>
      </c>
      <c r="BH72" s="141">
        <v>84282</v>
      </c>
      <c r="BI72" s="141">
        <v>84551</v>
      </c>
      <c r="BJ72" s="141">
        <v>84934</v>
      </c>
      <c r="BK72" s="141">
        <v>85379</v>
      </c>
      <c r="BL72" s="141">
        <v>85866</v>
      </c>
      <c r="BM72" s="141">
        <v>86312</v>
      </c>
      <c r="BN72" s="141">
        <v>86715</v>
      </c>
      <c r="BO72" s="141">
        <v>87037</v>
      </c>
      <c r="BP72" s="141">
        <v>87401</v>
      </c>
      <c r="BQ72" s="141">
        <v>87658</v>
      </c>
      <c r="BR72" s="141">
        <v>87915</v>
      </c>
      <c r="BS72" s="141">
        <v>88100</v>
      </c>
      <c r="BT72" s="141">
        <v>88341</v>
      </c>
      <c r="BU72" s="141">
        <v>88551</v>
      </c>
      <c r="BV72" s="141">
        <v>88806</v>
      </c>
      <c r="BW72" s="141">
        <v>89033</v>
      </c>
      <c r="BX72" s="141">
        <v>89293</v>
      </c>
      <c r="BY72" s="141">
        <v>89535</v>
      </c>
      <c r="BZ72" s="141">
        <v>89885</v>
      </c>
      <c r="CA72" s="141">
        <v>90180</v>
      </c>
      <c r="CB72" s="141">
        <v>90433</v>
      </c>
      <c r="CC72" s="141">
        <v>90656</v>
      </c>
      <c r="CD72" s="141">
        <v>90869</v>
      </c>
      <c r="CE72" s="141">
        <v>91083</v>
      </c>
      <c r="CF72" s="141">
        <v>91297</v>
      </c>
      <c r="CG72" s="141">
        <v>91518</v>
      </c>
      <c r="CH72" s="141">
        <v>91712</v>
      </c>
      <c r="CI72" s="141">
        <v>91938</v>
      </c>
      <c r="CJ72" s="141">
        <v>92107</v>
      </c>
      <c r="CK72" s="141">
        <v>92288</v>
      </c>
      <c r="CL72" s="141">
        <v>92501</v>
      </c>
      <c r="CM72" s="141">
        <v>92659</v>
      </c>
      <c r="CN72" s="141">
        <v>92839</v>
      </c>
      <c r="CO72" s="141">
        <v>92987</v>
      </c>
      <c r="CP72" s="141">
        <v>93169</v>
      </c>
      <c r="CQ72" s="141">
        <v>93325</v>
      </c>
      <c r="CR72" s="141">
        <v>93461</v>
      </c>
      <c r="CS72" s="141">
        <v>93618</v>
      </c>
      <c r="CT72" s="141">
        <v>93758</v>
      </c>
      <c r="CU72" s="141">
        <v>93892</v>
      </c>
      <c r="CV72" s="141">
        <v>93998</v>
      </c>
      <c r="CW72" s="141">
        <v>94135</v>
      </c>
      <c r="CX72" s="141">
        <v>94261</v>
      </c>
      <c r="CY72" s="141">
        <v>94378</v>
      </c>
      <c r="CZ72" s="141">
        <v>94462</v>
      </c>
      <c r="DA72" s="141">
        <v>94576</v>
      </c>
      <c r="DB72" s="141">
        <v>94684</v>
      </c>
      <c r="DC72" s="141">
        <v>94814</v>
      </c>
      <c r="DD72" s="141">
        <v>94910</v>
      </c>
      <c r="DE72" s="141">
        <v>95018</v>
      </c>
      <c r="DF72" s="141">
        <v>95148</v>
      </c>
      <c r="DG72" s="141">
        <v>95220</v>
      </c>
      <c r="DH72" s="141">
        <v>95330</v>
      </c>
      <c r="DI72" s="141">
        <v>95396</v>
      </c>
      <c r="DJ72" s="141">
        <v>95504</v>
      </c>
      <c r="DK72" s="141">
        <v>95597</v>
      </c>
      <c r="DL72" s="141">
        <v>95679</v>
      </c>
      <c r="DM72" s="141">
        <v>95773</v>
      </c>
      <c r="DN72" s="141">
        <v>95865</v>
      </c>
      <c r="DO72" s="141">
        <v>95955</v>
      </c>
    </row>
    <row r="73" spans="1:119">
      <c r="A73" s="140">
        <v>71</v>
      </c>
      <c r="W73" s="141">
        <v>62877</v>
      </c>
      <c r="X73" s="141">
        <v>63886</v>
      </c>
      <c r="Y73" s="141">
        <v>64236</v>
      </c>
      <c r="Z73" s="141">
        <v>66225</v>
      </c>
      <c r="AA73" s="141">
        <v>66837</v>
      </c>
      <c r="AB73" s="141">
        <v>67652</v>
      </c>
      <c r="AC73" s="141">
        <v>68748</v>
      </c>
      <c r="AD73" s="141">
        <v>69617</v>
      </c>
      <c r="AE73" s="141">
        <v>70000</v>
      </c>
      <c r="AF73" s="141">
        <v>71208</v>
      </c>
      <c r="AG73" s="141">
        <v>71985</v>
      </c>
      <c r="AH73" s="141">
        <v>72428</v>
      </c>
      <c r="AI73" s="141">
        <v>73119</v>
      </c>
      <c r="AJ73" s="141">
        <v>74607</v>
      </c>
      <c r="AK73" s="141">
        <v>75098</v>
      </c>
      <c r="AL73" s="141">
        <v>75959</v>
      </c>
      <c r="AM73" s="141">
        <v>76607</v>
      </c>
      <c r="AN73" s="141">
        <v>77359</v>
      </c>
      <c r="AO73" s="141">
        <v>77670</v>
      </c>
      <c r="AP73" s="141">
        <v>77975</v>
      </c>
      <c r="AQ73" s="141">
        <v>78063</v>
      </c>
      <c r="AR73" s="141">
        <v>78071</v>
      </c>
      <c r="AS73" s="141">
        <v>77661</v>
      </c>
      <c r="AT73" s="141">
        <v>76819</v>
      </c>
      <c r="AU73" s="141">
        <v>75933</v>
      </c>
      <c r="AV73" s="141">
        <v>76050</v>
      </c>
      <c r="AW73" s="141">
        <v>76714</v>
      </c>
      <c r="AX73" s="141">
        <v>78434</v>
      </c>
      <c r="AY73" s="141">
        <v>80061</v>
      </c>
      <c r="AZ73" s="141">
        <v>80275</v>
      </c>
      <c r="BA73" s="141">
        <v>80517</v>
      </c>
      <c r="BB73" s="141">
        <v>81183</v>
      </c>
      <c r="BC73" s="141">
        <v>81553</v>
      </c>
      <c r="BD73" s="141">
        <v>81952</v>
      </c>
      <c r="BE73" s="141">
        <v>82196</v>
      </c>
      <c r="BF73" s="141">
        <v>82698</v>
      </c>
      <c r="BG73" s="141">
        <v>83094</v>
      </c>
      <c r="BH73" s="141">
        <v>83516</v>
      </c>
      <c r="BI73" s="141">
        <v>83799</v>
      </c>
      <c r="BJ73" s="141">
        <v>84195</v>
      </c>
      <c r="BK73" s="141">
        <v>84650</v>
      </c>
      <c r="BL73" s="141">
        <v>85149</v>
      </c>
      <c r="BM73" s="141">
        <v>85605</v>
      </c>
      <c r="BN73" s="141">
        <v>86019</v>
      </c>
      <c r="BO73" s="141">
        <v>86353</v>
      </c>
      <c r="BP73" s="141">
        <v>86728</v>
      </c>
      <c r="BQ73" s="141">
        <v>86997</v>
      </c>
      <c r="BR73" s="141">
        <v>87265</v>
      </c>
      <c r="BS73" s="141">
        <v>87462</v>
      </c>
      <c r="BT73" s="141">
        <v>87714</v>
      </c>
      <c r="BU73" s="141">
        <v>87936</v>
      </c>
      <c r="BV73" s="141">
        <v>88202</v>
      </c>
      <c r="BW73" s="141">
        <v>88440</v>
      </c>
      <c r="BX73" s="141">
        <v>88710</v>
      </c>
      <c r="BY73" s="141">
        <v>88962</v>
      </c>
      <c r="BZ73" s="141">
        <v>89322</v>
      </c>
      <c r="CA73" s="141">
        <v>89626</v>
      </c>
      <c r="CB73" s="141">
        <v>89889</v>
      </c>
      <c r="CC73" s="141">
        <v>90122</v>
      </c>
      <c r="CD73" s="141">
        <v>90344</v>
      </c>
      <c r="CE73" s="141">
        <v>90568</v>
      </c>
      <c r="CF73" s="141">
        <v>90791</v>
      </c>
      <c r="CG73" s="141">
        <v>91021</v>
      </c>
      <c r="CH73" s="141">
        <v>91224</v>
      </c>
      <c r="CI73" s="141">
        <v>91459</v>
      </c>
      <c r="CJ73" s="141">
        <v>91636</v>
      </c>
      <c r="CK73" s="141">
        <v>91826</v>
      </c>
      <c r="CL73" s="141">
        <v>92048</v>
      </c>
      <c r="CM73" s="141">
        <v>92214</v>
      </c>
      <c r="CN73" s="141">
        <v>92402</v>
      </c>
      <c r="CO73" s="141">
        <v>92559</v>
      </c>
      <c r="CP73" s="141">
        <v>92749</v>
      </c>
      <c r="CQ73" s="141">
        <v>92912</v>
      </c>
      <c r="CR73" s="141">
        <v>93056</v>
      </c>
      <c r="CS73" s="141">
        <v>93220</v>
      </c>
      <c r="CT73" s="141">
        <v>93368</v>
      </c>
      <c r="CU73" s="141">
        <v>93510</v>
      </c>
      <c r="CV73" s="141">
        <v>93623</v>
      </c>
      <c r="CW73" s="141">
        <v>93766</v>
      </c>
      <c r="CX73" s="141">
        <v>93900</v>
      </c>
      <c r="CY73" s="141">
        <v>94024</v>
      </c>
      <c r="CZ73" s="141">
        <v>94115</v>
      </c>
      <c r="DA73" s="141">
        <v>94236</v>
      </c>
      <c r="DB73" s="141">
        <v>94350</v>
      </c>
      <c r="DC73" s="141">
        <v>94486</v>
      </c>
      <c r="DD73" s="141">
        <v>94589</v>
      </c>
      <c r="DE73" s="141">
        <v>94703</v>
      </c>
      <c r="DF73" s="141">
        <v>94839</v>
      </c>
      <c r="DG73" s="141">
        <v>94917</v>
      </c>
      <c r="DH73" s="141">
        <v>95032</v>
      </c>
      <c r="DI73" s="141">
        <v>95105</v>
      </c>
      <c r="DJ73" s="141">
        <v>95218</v>
      </c>
      <c r="DK73" s="141">
        <v>95317</v>
      </c>
      <c r="DL73" s="141">
        <v>95404</v>
      </c>
      <c r="DM73" s="141">
        <v>95503</v>
      </c>
      <c r="DN73" s="141">
        <v>95601</v>
      </c>
      <c r="DO73" s="141">
        <v>95696</v>
      </c>
    </row>
    <row r="74" spans="1:119">
      <c r="A74" s="140">
        <v>72</v>
      </c>
      <c r="W74" s="141">
        <v>61543</v>
      </c>
      <c r="X74" s="141">
        <v>62558</v>
      </c>
      <c r="Y74" s="141">
        <v>62947</v>
      </c>
      <c r="Z74" s="141">
        <v>64908</v>
      </c>
      <c r="AA74" s="141">
        <v>65552</v>
      </c>
      <c r="AB74" s="141">
        <v>66383</v>
      </c>
      <c r="AC74" s="141">
        <v>67486</v>
      </c>
      <c r="AD74" s="141">
        <v>68410</v>
      </c>
      <c r="AE74" s="141">
        <v>68831</v>
      </c>
      <c r="AF74" s="141">
        <v>70010</v>
      </c>
      <c r="AG74" s="141">
        <v>70792</v>
      </c>
      <c r="AH74" s="141">
        <v>71276</v>
      </c>
      <c r="AI74" s="141">
        <v>71994</v>
      </c>
      <c r="AJ74" s="141">
        <v>73511</v>
      </c>
      <c r="AK74" s="141">
        <v>74043</v>
      </c>
      <c r="AL74" s="141">
        <v>74927</v>
      </c>
      <c r="AM74" s="141">
        <v>75596</v>
      </c>
      <c r="AN74" s="141">
        <v>76364</v>
      </c>
      <c r="AO74" s="141">
        <v>76695</v>
      </c>
      <c r="AP74" s="141">
        <v>76971</v>
      </c>
      <c r="AQ74" s="141">
        <v>77058</v>
      </c>
      <c r="AR74" s="141">
        <v>77088</v>
      </c>
      <c r="AS74" s="141">
        <v>76617</v>
      </c>
      <c r="AT74" s="141">
        <v>75819</v>
      </c>
      <c r="AU74" s="141">
        <v>74965</v>
      </c>
      <c r="AV74" s="141">
        <v>75101</v>
      </c>
      <c r="AW74" s="141">
        <v>75776</v>
      </c>
      <c r="AX74" s="141">
        <v>77495</v>
      </c>
      <c r="AY74" s="141">
        <v>79122</v>
      </c>
      <c r="AZ74" s="141">
        <v>79354</v>
      </c>
      <c r="BA74" s="141">
        <v>79612</v>
      </c>
      <c r="BB74" s="141">
        <v>80289</v>
      </c>
      <c r="BC74" s="141">
        <v>80674</v>
      </c>
      <c r="BD74" s="141">
        <v>81087</v>
      </c>
      <c r="BE74" s="141">
        <v>81346</v>
      </c>
      <c r="BF74" s="141">
        <v>81861</v>
      </c>
      <c r="BG74" s="141">
        <v>82270</v>
      </c>
      <c r="BH74" s="141">
        <v>82705</v>
      </c>
      <c r="BI74" s="141">
        <v>83002</v>
      </c>
      <c r="BJ74" s="141">
        <v>83410</v>
      </c>
      <c r="BK74" s="141">
        <v>83878</v>
      </c>
      <c r="BL74" s="141">
        <v>84387</v>
      </c>
      <c r="BM74" s="141">
        <v>84855</v>
      </c>
      <c r="BN74" s="141">
        <v>85280</v>
      </c>
      <c r="BO74" s="141">
        <v>85626</v>
      </c>
      <c r="BP74" s="141">
        <v>86012</v>
      </c>
      <c r="BQ74" s="141">
        <v>86294</v>
      </c>
      <c r="BR74" s="141">
        <v>86574</v>
      </c>
      <c r="BS74" s="141">
        <v>86783</v>
      </c>
      <c r="BT74" s="141">
        <v>87047</v>
      </c>
      <c r="BU74" s="141">
        <v>87280</v>
      </c>
      <c r="BV74" s="141">
        <v>87557</v>
      </c>
      <c r="BW74" s="141">
        <v>87807</v>
      </c>
      <c r="BX74" s="141">
        <v>88088</v>
      </c>
      <c r="BY74" s="141">
        <v>88350</v>
      </c>
      <c r="BZ74" s="141">
        <v>88720</v>
      </c>
      <c r="CA74" s="141">
        <v>89034</v>
      </c>
      <c r="CB74" s="141">
        <v>89308</v>
      </c>
      <c r="CC74" s="141">
        <v>89551</v>
      </c>
      <c r="CD74" s="141">
        <v>89783</v>
      </c>
      <c r="CE74" s="141">
        <v>90017</v>
      </c>
      <c r="CF74" s="141">
        <v>90250</v>
      </c>
      <c r="CG74" s="141">
        <v>90489</v>
      </c>
      <c r="CH74" s="141">
        <v>90702</v>
      </c>
      <c r="CI74" s="141">
        <v>90946</v>
      </c>
      <c r="CJ74" s="141">
        <v>91133</v>
      </c>
      <c r="CK74" s="141">
        <v>91332</v>
      </c>
      <c r="CL74" s="141">
        <v>91562</v>
      </c>
      <c r="CM74" s="141">
        <v>91737</v>
      </c>
      <c r="CN74" s="141">
        <v>91934</v>
      </c>
      <c r="CO74" s="141">
        <v>92099</v>
      </c>
      <c r="CP74" s="141">
        <v>92297</v>
      </c>
      <c r="CQ74" s="141">
        <v>92469</v>
      </c>
      <c r="CR74" s="141">
        <v>92621</v>
      </c>
      <c r="CS74" s="141">
        <v>92794</v>
      </c>
      <c r="CT74" s="141">
        <v>92949</v>
      </c>
      <c r="CU74" s="141">
        <v>93099</v>
      </c>
      <c r="CV74" s="141">
        <v>93220</v>
      </c>
      <c r="CW74" s="141">
        <v>93371</v>
      </c>
      <c r="CX74" s="141">
        <v>93512</v>
      </c>
      <c r="CY74" s="141">
        <v>93643</v>
      </c>
      <c r="CZ74" s="141">
        <v>93741</v>
      </c>
      <c r="DA74" s="141">
        <v>93869</v>
      </c>
      <c r="DB74" s="141">
        <v>93990</v>
      </c>
      <c r="DC74" s="141">
        <v>94133</v>
      </c>
      <c r="DD74" s="141">
        <v>94243</v>
      </c>
      <c r="DE74" s="141">
        <v>94363</v>
      </c>
      <c r="DF74" s="141">
        <v>94505</v>
      </c>
      <c r="DG74" s="141">
        <v>94590</v>
      </c>
      <c r="DH74" s="141">
        <v>94711</v>
      </c>
      <c r="DI74" s="141">
        <v>94790</v>
      </c>
      <c r="DJ74" s="141">
        <v>94909</v>
      </c>
      <c r="DK74" s="141">
        <v>95014</v>
      </c>
      <c r="DL74" s="141">
        <v>95107</v>
      </c>
      <c r="DM74" s="141">
        <v>95212</v>
      </c>
      <c r="DN74" s="141">
        <v>95315</v>
      </c>
      <c r="DO74" s="141">
        <v>95416</v>
      </c>
    </row>
    <row r="75" spans="1:119">
      <c r="A75" s="140">
        <v>73</v>
      </c>
      <c r="W75" s="141">
        <v>60077</v>
      </c>
      <c r="X75" s="141">
        <v>61147</v>
      </c>
      <c r="Y75" s="141">
        <v>61512</v>
      </c>
      <c r="Z75" s="141">
        <v>63514</v>
      </c>
      <c r="AA75" s="141">
        <v>64155</v>
      </c>
      <c r="AB75" s="141">
        <v>65008</v>
      </c>
      <c r="AC75" s="141">
        <v>66157</v>
      </c>
      <c r="AD75" s="141">
        <v>67103</v>
      </c>
      <c r="AE75" s="141">
        <v>67555</v>
      </c>
      <c r="AF75" s="141">
        <v>68713</v>
      </c>
      <c r="AG75" s="141">
        <v>69538</v>
      </c>
      <c r="AH75" s="141">
        <v>70066</v>
      </c>
      <c r="AI75" s="141">
        <v>70786</v>
      </c>
      <c r="AJ75" s="141">
        <v>72352</v>
      </c>
      <c r="AK75" s="141">
        <v>72869</v>
      </c>
      <c r="AL75" s="141">
        <v>73786</v>
      </c>
      <c r="AM75" s="141">
        <v>74495</v>
      </c>
      <c r="AN75" s="141">
        <v>75279</v>
      </c>
      <c r="AO75" s="141">
        <v>75604</v>
      </c>
      <c r="AP75" s="141">
        <v>75880</v>
      </c>
      <c r="AQ75" s="141">
        <v>75998</v>
      </c>
      <c r="AR75" s="141">
        <v>75964</v>
      </c>
      <c r="AS75" s="141">
        <v>75527</v>
      </c>
      <c r="AT75" s="141">
        <v>74763</v>
      </c>
      <c r="AU75" s="141">
        <v>73943</v>
      </c>
      <c r="AV75" s="141">
        <v>74097</v>
      </c>
      <c r="AW75" s="141">
        <v>74784</v>
      </c>
      <c r="AX75" s="141">
        <v>76501</v>
      </c>
      <c r="AY75" s="141">
        <v>78129</v>
      </c>
      <c r="AZ75" s="141">
        <v>78378</v>
      </c>
      <c r="BA75" s="141">
        <v>78652</v>
      </c>
      <c r="BB75" s="141">
        <v>79342</v>
      </c>
      <c r="BC75" s="141">
        <v>79741</v>
      </c>
      <c r="BD75" s="141">
        <v>80168</v>
      </c>
      <c r="BE75" s="141">
        <v>80444</v>
      </c>
      <c r="BF75" s="141">
        <v>80971</v>
      </c>
      <c r="BG75" s="141">
        <v>81394</v>
      </c>
      <c r="BH75" s="141">
        <v>81843</v>
      </c>
      <c r="BI75" s="141">
        <v>82154</v>
      </c>
      <c r="BJ75" s="141">
        <v>82575</v>
      </c>
      <c r="BK75" s="141">
        <v>83054</v>
      </c>
      <c r="BL75" s="141">
        <v>83575</v>
      </c>
      <c r="BM75" s="141">
        <v>84054</v>
      </c>
      <c r="BN75" s="141">
        <v>84492</v>
      </c>
      <c r="BO75" s="141">
        <v>84850</v>
      </c>
      <c r="BP75" s="141">
        <v>85248</v>
      </c>
      <c r="BQ75" s="141">
        <v>85542</v>
      </c>
      <c r="BR75" s="141">
        <v>85835</v>
      </c>
      <c r="BS75" s="141">
        <v>86057</v>
      </c>
      <c r="BT75" s="141">
        <v>86333</v>
      </c>
      <c r="BU75" s="141">
        <v>86579</v>
      </c>
      <c r="BV75" s="141">
        <v>86867</v>
      </c>
      <c r="BW75" s="141">
        <v>87128</v>
      </c>
      <c r="BX75" s="141">
        <v>87421</v>
      </c>
      <c r="BY75" s="141">
        <v>87695</v>
      </c>
      <c r="BZ75" s="141">
        <v>88075</v>
      </c>
      <c r="CA75" s="141">
        <v>88400</v>
      </c>
      <c r="CB75" s="141">
        <v>88684</v>
      </c>
      <c r="CC75" s="141">
        <v>88937</v>
      </c>
      <c r="CD75" s="141">
        <v>89180</v>
      </c>
      <c r="CE75" s="141">
        <v>89424</v>
      </c>
      <c r="CF75" s="141">
        <v>89667</v>
      </c>
      <c r="CG75" s="141">
        <v>89917</v>
      </c>
      <c r="CH75" s="141">
        <v>90140</v>
      </c>
      <c r="CI75" s="141">
        <v>90394</v>
      </c>
      <c r="CJ75" s="141">
        <v>90590</v>
      </c>
      <c r="CK75" s="141">
        <v>90799</v>
      </c>
      <c r="CL75" s="141">
        <v>91038</v>
      </c>
      <c r="CM75" s="141">
        <v>91223</v>
      </c>
      <c r="CN75" s="141">
        <v>91429</v>
      </c>
      <c r="CO75" s="141">
        <v>91603</v>
      </c>
      <c r="CP75" s="141">
        <v>91810</v>
      </c>
      <c r="CQ75" s="141">
        <v>91990</v>
      </c>
      <c r="CR75" s="141">
        <v>92151</v>
      </c>
      <c r="CS75" s="141">
        <v>92332</v>
      </c>
      <c r="CT75" s="141">
        <v>92495</v>
      </c>
      <c r="CU75" s="141">
        <v>92653</v>
      </c>
      <c r="CV75" s="141">
        <v>92783</v>
      </c>
      <c r="CW75" s="141">
        <v>92942</v>
      </c>
      <c r="CX75" s="141">
        <v>93091</v>
      </c>
      <c r="CY75" s="141">
        <v>93229</v>
      </c>
      <c r="CZ75" s="141">
        <v>93335</v>
      </c>
      <c r="DA75" s="141">
        <v>93471</v>
      </c>
      <c r="DB75" s="141">
        <v>93600</v>
      </c>
      <c r="DC75" s="141">
        <v>93749</v>
      </c>
      <c r="DD75" s="141">
        <v>93866</v>
      </c>
      <c r="DE75" s="141">
        <v>93993</v>
      </c>
      <c r="DF75" s="141">
        <v>94143</v>
      </c>
      <c r="DG75" s="141">
        <v>94234</v>
      </c>
      <c r="DH75" s="141">
        <v>94362</v>
      </c>
      <c r="DI75" s="141">
        <v>94448</v>
      </c>
      <c r="DJ75" s="141">
        <v>94573</v>
      </c>
      <c r="DK75" s="141">
        <v>94684</v>
      </c>
      <c r="DL75" s="141">
        <v>94783</v>
      </c>
      <c r="DM75" s="141">
        <v>94894</v>
      </c>
      <c r="DN75" s="141">
        <v>95003</v>
      </c>
      <c r="DO75" s="141">
        <v>95110</v>
      </c>
    </row>
    <row r="76" spans="1:119">
      <c r="A76" s="140">
        <v>74</v>
      </c>
      <c r="W76" s="141">
        <v>58549</v>
      </c>
      <c r="X76" s="141">
        <v>59573</v>
      </c>
      <c r="Y76" s="141">
        <v>60043</v>
      </c>
      <c r="Z76" s="141">
        <v>62061</v>
      </c>
      <c r="AA76" s="141">
        <v>62671</v>
      </c>
      <c r="AB76" s="141">
        <v>63592</v>
      </c>
      <c r="AC76" s="141">
        <v>64752</v>
      </c>
      <c r="AD76" s="141">
        <v>65703</v>
      </c>
      <c r="AE76" s="141">
        <v>66147</v>
      </c>
      <c r="AF76" s="141">
        <v>67360</v>
      </c>
      <c r="AG76" s="141">
        <v>68184</v>
      </c>
      <c r="AH76" s="141">
        <v>68773</v>
      </c>
      <c r="AI76" s="141">
        <v>69520</v>
      </c>
      <c r="AJ76" s="141">
        <v>71077</v>
      </c>
      <c r="AK76" s="141">
        <v>71589</v>
      </c>
      <c r="AL76" s="141">
        <v>72574</v>
      </c>
      <c r="AM76" s="141">
        <v>73304</v>
      </c>
      <c r="AN76" s="141">
        <v>74091</v>
      </c>
      <c r="AO76" s="141">
        <v>74421</v>
      </c>
      <c r="AP76" s="141">
        <v>74727</v>
      </c>
      <c r="AQ76" s="141">
        <v>74811</v>
      </c>
      <c r="AR76" s="141">
        <v>74778</v>
      </c>
      <c r="AS76" s="141">
        <v>74372</v>
      </c>
      <c r="AT76" s="141">
        <v>73643</v>
      </c>
      <c r="AU76" s="141">
        <v>72857</v>
      </c>
      <c r="AV76" s="141">
        <v>73031</v>
      </c>
      <c r="AW76" s="141">
        <v>73730</v>
      </c>
      <c r="AX76" s="141">
        <v>75444</v>
      </c>
      <c r="AY76" s="141">
        <v>77071</v>
      </c>
      <c r="AZ76" s="141">
        <v>77338</v>
      </c>
      <c r="BA76" s="141">
        <v>77630</v>
      </c>
      <c r="BB76" s="141">
        <v>78332</v>
      </c>
      <c r="BC76" s="141">
        <v>78746</v>
      </c>
      <c r="BD76" s="141">
        <v>79188</v>
      </c>
      <c r="BE76" s="141">
        <v>79480</v>
      </c>
      <c r="BF76" s="141">
        <v>80021</v>
      </c>
      <c r="BG76" s="141">
        <v>80458</v>
      </c>
      <c r="BH76" s="141">
        <v>80920</v>
      </c>
      <c r="BI76" s="141">
        <v>81245</v>
      </c>
      <c r="BJ76" s="141">
        <v>81679</v>
      </c>
      <c r="BK76" s="141">
        <v>82171</v>
      </c>
      <c r="BL76" s="141">
        <v>82704</v>
      </c>
      <c r="BM76" s="141">
        <v>83195</v>
      </c>
      <c r="BN76" s="141">
        <v>83645</v>
      </c>
      <c r="BO76" s="141">
        <v>84016</v>
      </c>
      <c r="BP76" s="141">
        <v>84427</v>
      </c>
      <c r="BQ76" s="141">
        <v>84734</v>
      </c>
      <c r="BR76" s="141">
        <v>85040</v>
      </c>
      <c r="BS76" s="141">
        <v>85275</v>
      </c>
      <c r="BT76" s="141">
        <v>85564</v>
      </c>
      <c r="BU76" s="141">
        <v>85822</v>
      </c>
      <c r="BV76" s="141">
        <v>86123</v>
      </c>
      <c r="BW76" s="141">
        <v>86397</v>
      </c>
      <c r="BX76" s="141">
        <v>86701</v>
      </c>
      <c r="BY76" s="141">
        <v>86986</v>
      </c>
      <c r="BZ76" s="141">
        <v>87378</v>
      </c>
      <c r="CA76" s="141">
        <v>87713</v>
      </c>
      <c r="CB76" s="141">
        <v>88008</v>
      </c>
      <c r="CC76" s="141">
        <v>88273</v>
      </c>
      <c r="CD76" s="141">
        <v>88527</v>
      </c>
      <c r="CE76" s="141">
        <v>88782</v>
      </c>
      <c r="CF76" s="141">
        <v>89036</v>
      </c>
      <c r="CG76" s="141">
        <v>89296</v>
      </c>
      <c r="CH76" s="141">
        <v>89529</v>
      </c>
      <c r="CI76" s="141">
        <v>89794</v>
      </c>
      <c r="CJ76" s="141">
        <v>90000</v>
      </c>
      <c r="CK76" s="141">
        <v>90219</v>
      </c>
      <c r="CL76" s="141">
        <v>90468</v>
      </c>
      <c r="CM76" s="141">
        <v>90663</v>
      </c>
      <c r="CN76" s="141">
        <v>90879</v>
      </c>
      <c r="CO76" s="141">
        <v>91062</v>
      </c>
      <c r="CP76" s="141">
        <v>91279</v>
      </c>
      <c r="CQ76" s="141">
        <v>91468</v>
      </c>
      <c r="CR76" s="141">
        <v>91638</v>
      </c>
      <c r="CS76" s="141">
        <v>91828</v>
      </c>
      <c r="CT76" s="141">
        <v>92001</v>
      </c>
      <c r="CU76" s="141">
        <v>92168</v>
      </c>
      <c r="CV76" s="141">
        <v>92306</v>
      </c>
      <c r="CW76" s="141">
        <v>92473</v>
      </c>
      <c r="CX76" s="141">
        <v>92631</v>
      </c>
      <c r="CY76" s="141">
        <v>92777</v>
      </c>
      <c r="CZ76" s="141">
        <v>92892</v>
      </c>
      <c r="DA76" s="141">
        <v>93035</v>
      </c>
      <c r="DB76" s="141">
        <v>93172</v>
      </c>
      <c r="DC76" s="141">
        <v>93329</v>
      </c>
      <c r="DD76" s="141">
        <v>93454</v>
      </c>
      <c r="DE76" s="141">
        <v>93588</v>
      </c>
      <c r="DF76" s="141">
        <v>93745</v>
      </c>
      <c r="DG76" s="141">
        <v>93844</v>
      </c>
      <c r="DH76" s="141">
        <v>93979</v>
      </c>
      <c r="DI76" s="141">
        <v>94071</v>
      </c>
      <c r="DJ76" s="141">
        <v>94203</v>
      </c>
      <c r="DK76" s="141">
        <v>94322</v>
      </c>
      <c r="DL76" s="141">
        <v>94427</v>
      </c>
      <c r="DM76" s="141">
        <v>94545</v>
      </c>
      <c r="DN76" s="141">
        <v>94660</v>
      </c>
      <c r="DO76" s="141">
        <v>94773</v>
      </c>
    </row>
    <row r="77" spans="1:119">
      <c r="A77" s="140">
        <v>75</v>
      </c>
      <c r="W77" s="141">
        <v>56841</v>
      </c>
      <c r="X77" s="141">
        <v>57930</v>
      </c>
      <c r="Y77" s="141">
        <v>58470</v>
      </c>
      <c r="Z77" s="141">
        <v>60457</v>
      </c>
      <c r="AA77" s="141">
        <v>61152</v>
      </c>
      <c r="AB77" s="141">
        <v>62082</v>
      </c>
      <c r="AC77" s="141">
        <v>63256</v>
      </c>
      <c r="AD77" s="141">
        <v>64157</v>
      </c>
      <c r="AE77" s="141">
        <v>64678</v>
      </c>
      <c r="AF77" s="141">
        <v>65910</v>
      </c>
      <c r="AG77" s="141">
        <v>66767</v>
      </c>
      <c r="AH77" s="141">
        <v>67387</v>
      </c>
      <c r="AI77" s="141">
        <v>68154</v>
      </c>
      <c r="AJ77" s="141">
        <v>69704</v>
      </c>
      <c r="AK77" s="141">
        <v>70260</v>
      </c>
      <c r="AL77" s="141">
        <v>71229</v>
      </c>
      <c r="AM77" s="141">
        <v>71989</v>
      </c>
      <c r="AN77" s="141">
        <v>72793</v>
      </c>
      <c r="AO77" s="141">
        <v>73175</v>
      </c>
      <c r="AP77" s="141">
        <v>73433</v>
      </c>
      <c r="AQ77" s="141">
        <v>73520</v>
      </c>
      <c r="AR77" s="141">
        <v>73514</v>
      </c>
      <c r="AS77" s="141">
        <v>73139</v>
      </c>
      <c r="AT77" s="141">
        <v>72446</v>
      </c>
      <c r="AU77" s="141">
        <v>71697</v>
      </c>
      <c r="AV77" s="141">
        <v>71891</v>
      </c>
      <c r="AW77" s="141">
        <v>72602</v>
      </c>
      <c r="AX77" s="141">
        <v>74313</v>
      </c>
      <c r="AY77" s="141">
        <v>75938</v>
      </c>
      <c r="AZ77" s="141">
        <v>76224</v>
      </c>
      <c r="BA77" s="141">
        <v>76534</v>
      </c>
      <c r="BB77" s="141">
        <v>77247</v>
      </c>
      <c r="BC77" s="141">
        <v>77678</v>
      </c>
      <c r="BD77" s="141">
        <v>78135</v>
      </c>
      <c r="BE77" s="141">
        <v>78444</v>
      </c>
      <c r="BF77" s="141">
        <v>78998</v>
      </c>
      <c r="BG77" s="141">
        <v>79449</v>
      </c>
      <c r="BH77" s="141">
        <v>79925</v>
      </c>
      <c r="BI77" s="141">
        <v>80265</v>
      </c>
      <c r="BJ77" s="141">
        <v>80713</v>
      </c>
      <c r="BK77" s="141">
        <v>81217</v>
      </c>
      <c r="BL77" s="141">
        <v>81762</v>
      </c>
      <c r="BM77" s="141">
        <v>82266</v>
      </c>
      <c r="BN77" s="141">
        <v>82728</v>
      </c>
      <c r="BO77" s="141">
        <v>83113</v>
      </c>
      <c r="BP77" s="141">
        <v>83537</v>
      </c>
      <c r="BQ77" s="141">
        <v>83858</v>
      </c>
      <c r="BR77" s="141">
        <v>84177</v>
      </c>
      <c r="BS77" s="141">
        <v>84426</v>
      </c>
      <c r="BT77" s="141">
        <v>84729</v>
      </c>
      <c r="BU77" s="141">
        <v>85001</v>
      </c>
      <c r="BV77" s="141">
        <v>85315</v>
      </c>
      <c r="BW77" s="141">
        <v>85601</v>
      </c>
      <c r="BX77" s="141">
        <v>85917</v>
      </c>
      <c r="BY77" s="141">
        <v>86215</v>
      </c>
      <c r="BZ77" s="141">
        <v>86618</v>
      </c>
      <c r="CA77" s="141">
        <v>86965</v>
      </c>
      <c r="CB77" s="141">
        <v>87272</v>
      </c>
      <c r="CC77" s="141">
        <v>87548</v>
      </c>
      <c r="CD77" s="141">
        <v>87815</v>
      </c>
      <c r="CE77" s="141">
        <v>88081</v>
      </c>
      <c r="CF77" s="141">
        <v>88346</v>
      </c>
      <c r="CG77" s="141">
        <v>88618</v>
      </c>
      <c r="CH77" s="141">
        <v>88862</v>
      </c>
      <c r="CI77" s="141">
        <v>89137</v>
      </c>
      <c r="CJ77" s="141">
        <v>89355</v>
      </c>
      <c r="CK77" s="141">
        <v>89584</v>
      </c>
      <c r="CL77" s="141">
        <v>89844</v>
      </c>
      <c r="CM77" s="141">
        <v>90049</v>
      </c>
      <c r="CN77" s="141">
        <v>90275</v>
      </c>
      <c r="CO77" s="141">
        <v>90469</v>
      </c>
      <c r="CP77" s="141">
        <v>90695</v>
      </c>
      <c r="CQ77" s="141">
        <v>90895</v>
      </c>
      <c r="CR77" s="141">
        <v>91075</v>
      </c>
      <c r="CS77" s="141">
        <v>91274</v>
      </c>
      <c r="CT77" s="141">
        <v>91457</v>
      </c>
      <c r="CU77" s="141">
        <v>91633</v>
      </c>
      <c r="CV77" s="141">
        <v>91780</v>
      </c>
      <c r="CW77" s="141">
        <v>91957</v>
      </c>
      <c r="CX77" s="141">
        <v>92123</v>
      </c>
      <c r="CY77" s="141">
        <v>92279</v>
      </c>
      <c r="CZ77" s="141">
        <v>92402</v>
      </c>
      <c r="DA77" s="141">
        <v>92554</v>
      </c>
      <c r="DB77" s="141">
        <v>92699</v>
      </c>
      <c r="DC77" s="141">
        <v>92865</v>
      </c>
      <c r="DD77" s="141">
        <v>92998</v>
      </c>
      <c r="DE77" s="141">
        <v>93140</v>
      </c>
      <c r="DF77" s="141">
        <v>93305</v>
      </c>
      <c r="DG77" s="141">
        <v>93411</v>
      </c>
      <c r="DH77" s="141">
        <v>93554</v>
      </c>
      <c r="DI77" s="141">
        <v>93654</v>
      </c>
      <c r="DJ77" s="141">
        <v>93794</v>
      </c>
      <c r="DK77" s="141">
        <v>93919</v>
      </c>
      <c r="DL77" s="141">
        <v>94032</v>
      </c>
      <c r="DM77" s="141">
        <v>94157</v>
      </c>
      <c r="DN77" s="141">
        <v>94279</v>
      </c>
      <c r="DO77" s="141">
        <v>94399</v>
      </c>
    </row>
    <row r="78" spans="1:119">
      <c r="A78" s="140">
        <v>76</v>
      </c>
      <c r="W78" s="141">
        <v>55099</v>
      </c>
      <c r="X78" s="141">
        <v>56228</v>
      </c>
      <c r="Y78" s="141">
        <v>56764</v>
      </c>
      <c r="Z78" s="141">
        <v>58791</v>
      </c>
      <c r="AA78" s="141">
        <v>59513</v>
      </c>
      <c r="AB78" s="141">
        <v>60467</v>
      </c>
      <c r="AC78" s="141">
        <v>61540</v>
      </c>
      <c r="AD78" s="141">
        <v>62504</v>
      </c>
      <c r="AE78" s="141">
        <v>63133</v>
      </c>
      <c r="AF78" s="141">
        <v>64356</v>
      </c>
      <c r="AG78" s="141">
        <v>65232</v>
      </c>
      <c r="AH78" s="141">
        <v>65840</v>
      </c>
      <c r="AI78" s="141">
        <v>66611</v>
      </c>
      <c r="AJ78" s="141">
        <v>68196</v>
      </c>
      <c r="AK78" s="141">
        <v>68772</v>
      </c>
      <c r="AL78" s="141">
        <v>69746</v>
      </c>
      <c r="AM78" s="141">
        <v>70535</v>
      </c>
      <c r="AN78" s="141">
        <v>71410</v>
      </c>
      <c r="AO78" s="141">
        <v>71753</v>
      </c>
      <c r="AP78" s="141">
        <v>72019</v>
      </c>
      <c r="AQ78" s="141">
        <v>72133</v>
      </c>
      <c r="AR78" s="141">
        <v>72153</v>
      </c>
      <c r="AS78" s="141">
        <v>71812</v>
      </c>
      <c r="AT78" s="141">
        <v>71157</v>
      </c>
      <c r="AU78" s="141">
        <v>70446</v>
      </c>
      <c r="AV78" s="141">
        <v>70661</v>
      </c>
      <c r="AW78" s="141">
        <v>71384</v>
      </c>
      <c r="AX78" s="141">
        <v>73090</v>
      </c>
      <c r="AY78" s="141">
        <v>74713</v>
      </c>
      <c r="AZ78" s="141">
        <v>75018</v>
      </c>
      <c r="BA78" s="141">
        <v>75347</v>
      </c>
      <c r="BB78" s="141">
        <v>76073</v>
      </c>
      <c r="BC78" s="141">
        <v>76520</v>
      </c>
      <c r="BD78" s="141">
        <v>76993</v>
      </c>
      <c r="BE78" s="141">
        <v>77320</v>
      </c>
      <c r="BF78" s="141">
        <v>77887</v>
      </c>
      <c r="BG78" s="141">
        <v>78353</v>
      </c>
      <c r="BH78" s="141">
        <v>78843</v>
      </c>
      <c r="BI78" s="141">
        <v>79198</v>
      </c>
      <c r="BJ78" s="141">
        <v>79660</v>
      </c>
      <c r="BK78" s="141">
        <v>80178</v>
      </c>
      <c r="BL78" s="141">
        <v>80735</v>
      </c>
      <c r="BM78" s="141">
        <v>81252</v>
      </c>
      <c r="BN78" s="141">
        <v>81728</v>
      </c>
      <c r="BO78" s="141">
        <v>82127</v>
      </c>
      <c r="BP78" s="141">
        <v>82564</v>
      </c>
      <c r="BQ78" s="141">
        <v>82899</v>
      </c>
      <c r="BR78" s="141">
        <v>83233</v>
      </c>
      <c r="BS78" s="141">
        <v>83497</v>
      </c>
      <c r="BT78" s="141">
        <v>83814</v>
      </c>
      <c r="BU78" s="141">
        <v>84100</v>
      </c>
      <c r="BV78" s="141">
        <v>84427</v>
      </c>
      <c r="BW78" s="141">
        <v>84727</v>
      </c>
      <c r="BX78" s="141">
        <v>85057</v>
      </c>
      <c r="BY78" s="141">
        <v>85368</v>
      </c>
      <c r="BZ78" s="141">
        <v>85782</v>
      </c>
      <c r="CA78" s="141">
        <v>86142</v>
      </c>
      <c r="CB78" s="141">
        <v>86461</v>
      </c>
      <c r="CC78" s="141">
        <v>86751</v>
      </c>
      <c r="CD78" s="141">
        <v>87029</v>
      </c>
      <c r="CE78" s="141">
        <v>87308</v>
      </c>
      <c r="CF78" s="141">
        <v>87585</v>
      </c>
      <c r="CG78" s="141">
        <v>87869</v>
      </c>
      <c r="CH78" s="141">
        <v>88125</v>
      </c>
      <c r="CI78" s="141">
        <v>88412</v>
      </c>
      <c r="CJ78" s="141">
        <v>88641</v>
      </c>
      <c r="CK78" s="141">
        <v>88882</v>
      </c>
      <c r="CL78" s="141">
        <v>89153</v>
      </c>
      <c r="CM78" s="141">
        <v>89370</v>
      </c>
      <c r="CN78" s="141">
        <v>89606</v>
      </c>
      <c r="CO78" s="141">
        <v>89812</v>
      </c>
      <c r="CP78" s="141">
        <v>90048</v>
      </c>
      <c r="CQ78" s="141">
        <v>90259</v>
      </c>
      <c r="CR78" s="141">
        <v>90449</v>
      </c>
      <c r="CS78" s="141">
        <v>90659</v>
      </c>
      <c r="CT78" s="141">
        <v>90852</v>
      </c>
      <c r="CU78" s="141">
        <v>91038</v>
      </c>
      <c r="CV78" s="141">
        <v>91196</v>
      </c>
      <c r="CW78" s="141">
        <v>91382</v>
      </c>
      <c r="CX78" s="141">
        <v>91558</v>
      </c>
      <c r="CY78" s="141">
        <v>91723</v>
      </c>
      <c r="CZ78" s="141">
        <v>91856</v>
      </c>
      <c r="DA78" s="141">
        <v>92018</v>
      </c>
      <c r="DB78" s="141">
        <v>92172</v>
      </c>
      <c r="DC78" s="141">
        <v>92347</v>
      </c>
      <c r="DD78" s="141">
        <v>92488</v>
      </c>
      <c r="DE78" s="141">
        <v>92640</v>
      </c>
      <c r="DF78" s="141">
        <v>92812</v>
      </c>
      <c r="DG78" s="141">
        <v>92928</v>
      </c>
      <c r="DH78" s="141">
        <v>93079</v>
      </c>
      <c r="DI78" s="141">
        <v>93188</v>
      </c>
      <c r="DJ78" s="141">
        <v>93335</v>
      </c>
      <c r="DK78" s="141">
        <v>93469</v>
      </c>
      <c r="DL78" s="141">
        <v>93589</v>
      </c>
      <c r="DM78" s="141">
        <v>93722</v>
      </c>
      <c r="DN78" s="141">
        <v>93852</v>
      </c>
      <c r="DO78" s="141">
        <v>93979</v>
      </c>
    </row>
    <row r="79" spans="1:119">
      <c r="A79" s="140">
        <v>77</v>
      </c>
      <c r="W79" s="141">
        <v>53279</v>
      </c>
      <c r="X79" s="141">
        <v>54371</v>
      </c>
      <c r="Y79" s="141">
        <v>54975</v>
      </c>
      <c r="Z79" s="141">
        <v>57003</v>
      </c>
      <c r="AA79" s="141">
        <v>57742</v>
      </c>
      <c r="AB79" s="141">
        <v>58668</v>
      </c>
      <c r="AC79" s="141">
        <v>59782</v>
      </c>
      <c r="AD79" s="141">
        <v>60761</v>
      </c>
      <c r="AE79" s="141">
        <v>61426</v>
      </c>
      <c r="AF79" s="141">
        <v>62712</v>
      </c>
      <c r="AG79" s="141">
        <v>63532</v>
      </c>
      <c r="AH79" s="141">
        <v>64185</v>
      </c>
      <c r="AI79" s="141">
        <v>64942</v>
      </c>
      <c r="AJ79" s="141">
        <v>66541</v>
      </c>
      <c r="AK79" s="141">
        <v>67149</v>
      </c>
      <c r="AL79" s="141">
        <v>68119</v>
      </c>
      <c r="AM79" s="141">
        <v>69004</v>
      </c>
      <c r="AN79" s="141">
        <v>69814</v>
      </c>
      <c r="AO79" s="141">
        <v>70195</v>
      </c>
      <c r="AP79" s="141">
        <v>70486</v>
      </c>
      <c r="AQ79" s="141">
        <v>70626</v>
      </c>
      <c r="AR79" s="141">
        <v>70675</v>
      </c>
      <c r="AS79" s="141">
        <v>70369</v>
      </c>
      <c r="AT79" s="141">
        <v>69754</v>
      </c>
      <c r="AU79" s="141">
        <v>69083</v>
      </c>
      <c r="AV79" s="141">
        <v>69321</v>
      </c>
      <c r="AW79" s="141">
        <v>70056</v>
      </c>
      <c r="AX79" s="141">
        <v>71757</v>
      </c>
      <c r="AY79" s="141">
        <v>73376</v>
      </c>
      <c r="AZ79" s="141">
        <v>73701</v>
      </c>
      <c r="BA79" s="141">
        <v>74049</v>
      </c>
      <c r="BB79" s="141">
        <v>74787</v>
      </c>
      <c r="BC79" s="141">
        <v>75252</v>
      </c>
      <c r="BD79" s="141">
        <v>75741</v>
      </c>
      <c r="BE79" s="141">
        <v>76086</v>
      </c>
      <c r="BF79" s="141">
        <v>76667</v>
      </c>
      <c r="BG79" s="141">
        <v>77148</v>
      </c>
      <c r="BH79" s="141">
        <v>77652</v>
      </c>
      <c r="BI79" s="141">
        <v>78025</v>
      </c>
      <c r="BJ79" s="141">
        <v>78501</v>
      </c>
      <c r="BK79" s="141">
        <v>79033</v>
      </c>
      <c r="BL79" s="141">
        <v>79603</v>
      </c>
      <c r="BM79" s="141">
        <v>80134</v>
      </c>
      <c r="BN79" s="141">
        <v>80623</v>
      </c>
      <c r="BO79" s="141">
        <v>81037</v>
      </c>
      <c r="BP79" s="141">
        <v>81488</v>
      </c>
      <c r="BQ79" s="141">
        <v>81839</v>
      </c>
      <c r="BR79" s="141">
        <v>82188</v>
      </c>
      <c r="BS79" s="141">
        <v>82468</v>
      </c>
      <c r="BT79" s="141">
        <v>82800</v>
      </c>
      <c r="BU79" s="141">
        <v>83101</v>
      </c>
      <c r="BV79" s="141">
        <v>83443</v>
      </c>
      <c r="BW79" s="141">
        <v>83757</v>
      </c>
      <c r="BX79" s="141">
        <v>84101</v>
      </c>
      <c r="BY79" s="141">
        <v>84426</v>
      </c>
      <c r="BZ79" s="141">
        <v>84853</v>
      </c>
      <c r="CA79" s="141">
        <v>85226</v>
      </c>
      <c r="CB79" s="141">
        <v>85559</v>
      </c>
      <c r="CC79" s="141">
        <v>85862</v>
      </c>
      <c r="CD79" s="141">
        <v>86154</v>
      </c>
      <c r="CE79" s="141">
        <v>86446</v>
      </c>
      <c r="CF79" s="141">
        <v>86736</v>
      </c>
      <c r="CG79" s="141">
        <v>87032</v>
      </c>
      <c r="CH79" s="141">
        <v>87302</v>
      </c>
      <c r="CI79" s="141">
        <v>87601</v>
      </c>
      <c r="CJ79" s="141">
        <v>87843</v>
      </c>
      <c r="CK79" s="141">
        <v>88097</v>
      </c>
      <c r="CL79" s="141">
        <v>88379</v>
      </c>
      <c r="CM79" s="141">
        <v>88608</v>
      </c>
      <c r="CN79" s="141">
        <v>88857</v>
      </c>
      <c r="CO79" s="141">
        <v>89074</v>
      </c>
      <c r="CP79" s="141">
        <v>89323</v>
      </c>
      <c r="CQ79" s="141">
        <v>89545</v>
      </c>
      <c r="CR79" s="141">
        <v>89747</v>
      </c>
      <c r="CS79" s="141">
        <v>89968</v>
      </c>
      <c r="CT79" s="141">
        <v>90172</v>
      </c>
      <c r="CU79" s="141">
        <v>90369</v>
      </c>
      <c r="CV79" s="141">
        <v>90538</v>
      </c>
      <c r="CW79" s="141">
        <v>90735</v>
      </c>
      <c r="CX79" s="141">
        <v>90922</v>
      </c>
      <c r="CY79" s="141">
        <v>91098</v>
      </c>
      <c r="CZ79" s="141">
        <v>91241</v>
      </c>
      <c r="DA79" s="141">
        <v>91413</v>
      </c>
      <c r="DB79" s="141">
        <v>91577</v>
      </c>
      <c r="DC79" s="141">
        <v>91761</v>
      </c>
      <c r="DD79" s="141">
        <v>91913</v>
      </c>
      <c r="DE79" s="141">
        <v>92074</v>
      </c>
      <c r="DF79" s="141">
        <v>92256</v>
      </c>
      <c r="DG79" s="141">
        <v>92381</v>
      </c>
      <c r="DH79" s="141">
        <v>92541</v>
      </c>
      <c r="DI79" s="141">
        <v>92659</v>
      </c>
      <c r="DJ79" s="141">
        <v>92815</v>
      </c>
      <c r="DK79" s="141">
        <v>92958</v>
      </c>
      <c r="DL79" s="141">
        <v>93087</v>
      </c>
      <c r="DM79" s="141">
        <v>93228</v>
      </c>
      <c r="DN79" s="141">
        <v>93366</v>
      </c>
      <c r="DO79" s="141">
        <v>93501</v>
      </c>
    </row>
    <row r="80" spans="1:119">
      <c r="A80" s="140">
        <v>78</v>
      </c>
      <c r="W80" s="141">
        <v>51316</v>
      </c>
      <c r="X80" s="141">
        <v>52455</v>
      </c>
      <c r="Y80" s="141">
        <v>53099</v>
      </c>
      <c r="Z80" s="141">
        <v>55098</v>
      </c>
      <c r="AA80" s="141">
        <v>55811</v>
      </c>
      <c r="AB80" s="141">
        <v>56784</v>
      </c>
      <c r="AC80" s="141">
        <v>57954</v>
      </c>
      <c r="AD80" s="141">
        <v>58918</v>
      </c>
      <c r="AE80" s="141">
        <v>59615</v>
      </c>
      <c r="AF80" s="141">
        <v>60888</v>
      </c>
      <c r="AG80" s="141">
        <v>61689</v>
      </c>
      <c r="AH80" s="141">
        <v>62357</v>
      </c>
      <c r="AI80" s="141">
        <v>63163</v>
      </c>
      <c r="AJ80" s="141">
        <v>64751</v>
      </c>
      <c r="AK80" s="141">
        <v>65334</v>
      </c>
      <c r="AL80" s="141">
        <v>66408</v>
      </c>
      <c r="AM80" s="141">
        <v>67262</v>
      </c>
      <c r="AN80" s="141">
        <v>68084</v>
      </c>
      <c r="AO80" s="141">
        <v>68488</v>
      </c>
      <c r="AP80" s="141">
        <v>68804</v>
      </c>
      <c r="AQ80" s="141">
        <v>68973</v>
      </c>
      <c r="AR80" s="141">
        <v>69051</v>
      </c>
      <c r="AS80" s="141">
        <v>68783</v>
      </c>
      <c r="AT80" s="141">
        <v>68212</v>
      </c>
      <c r="AU80" s="141">
        <v>67584</v>
      </c>
      <c r="AV80" s="141">
        <v>67844</v>
      </c>
      <c r="AW80" s="141">
        <v>68592</v>
      </c>
      <c r="AX80" s="141">
        <v>70285</v>
      </c>
      <c r="AY80" s="141">
        <v>71900</v>
      </c>
      <c r="AZ80" s="141">
        <v>72246</v>
      </c>
      <c r="BA80" s="141">
        <v>72615</v>
      </c>
      <c r="BB80" s="141">
        <v>73366</v>
      </c>
      <c r="BC80" s="141">
        <v>73848</v>
      </c>
      <c r="BD80" s="141">
        <v>74354</v>
      </c>
      <c r="BE80" s="141">
        <v>74717</v>
      </c>
      <c r="BF80" s="141">
        <v>75312</v>
      </c>
      <c r="BG80" s="141">
        <v>75809</v>
      </c>
      <c r="BH80" s="141">
        <v>76329</v>
      </c>
      <c r="BI80" s="141">
        <v>76719</v>
      </c>
      <c r="BJ80" s="141">
        <v>77211</v>
      </c>
      <c r="BK80" s="141">
        <v>77757</v>
      </c>
      <c r="BL80" s="141">
        <v>78341</v>
      </c>
      <c r="BM80" s="141">
        <v>78886</v>
      </c>
      <c r="BN80" s="141">
        <v>79390</v>
      </c>
      <c r="BO80" s="141">
        <v>79820</v>
      </c>
      <c r="BP80" s="141">
        <v>80286</v>
      </c>
      <c r="BQ80" s="141">
        <v>80654</v>
      </c>
      <c r="BR80" s="141">
        <v>81019</v>
      </c>
      <c r="BS80" s="141">
        <v>81316</v>
      </c>
      <c r="BT80" s="141">
        <v>81664</v>
      </c>
      <c r="BU80" s="141">
        <v>81981</v>
      </c>
      <c r="BV80" s="141">
        <v>82339</v>
      </c>
      <c r="BW80" s="141">
        <v>82669</v>
      </c>
      <c r="BX80" s="141">
        <v>83027</v>
      </c>
      <c r="BY80" s="141">
        <v>83368</v>
      </c>
      <c r="BZ80" s="141">
        <v>83809</v>
      </c>
      <c r="CA80" s="141">
        <v>84196</v>
      </c>
      <c r="CB80" s="141">
        <v>84543</v>
      </c>
      <c r="CC80" s="141">
        <v>84860</v>
      </c>
      <c r="CD80" s="141">
        <v>85167</v>
      </c>
      <c r="CE80" s="141">
        <v>85474</v>
      </c>
      <c r="CF80" s="141">
        <v>85778</v>
      </c>
      <c r="CG80" s="141">
        <v>86088</v>
      </c>
      <c r="CH80" s="141">
        <v>86372</v>
      </c>
      <c r="CI80" s="141">
        <v>86684</v>
      </c>
      <c r="CJ80" s="141">
        <v>86940</v>
      </c>
      <c r="CK80" s="141">
        <v>87208</v>
      </c>
      <c r="CL80" s="141">
        <v>87503</v>
      </c>
      <c r="CM80" s="141">
        <v>87746</v>
      </c>
      <c r="CN80" s="141">
        <v>88008</v>
      </c>
      <c r="CO80" s="141">
        <v>88238</v>
      </c>
      <c r="CP80" s="141">
        <v>88499</v>
      </c>
      <c r="CQ80" s="141">
        <v>88734</v>
      </c>
      <c r="CR80" s="141">
        <v>88949</v>
      </c>
      <c r="CS80" s="141">
        <v>89182</v>
      </c>
      <c r="CT80" s="141">
        <v>89398</v>
      </c>
      <c r="CU80" s="141">
        <v>89608</v>
      </c>
      <c r="CV80" s="141">
        <v>89789</v>
      </c>
      <c r="CW80" s="141">
        <v>89998</v>
      </c>
      <c r="CX80" s="141">
        <v>90196</v>
      </c>
      <c r="CY80" s="141">
        <v>90383</v>
      </c>
      <c r="CZ80" s="141">
        <v>90539</v>
      </c>
      <c r="DA80" s="141">
        <v>90722</v>
      </c>
      <c r="DB80" s="141">
        <v>90897</v>
      </c>
      <c r="DC80" s="141">
        <v>91092</v>
      </c>
      <c r="DD80" s="141">
        <v>91255</v>
      </c>
      <c r="DE80" s="141">
        <v>91426</v>
      </c>
      <c r="DF80" s="141">
        <v>91619</v>
      </c>
      <c r="DG80" s="141">
        <v>91754</v>
      </c>
      <c r="DH80" s="141">
        <v>91925</v>
      </c>
      <c r="DI80" s="141">
        <v>92053</v>
      </c>
      <c r="DJ80" s="141">
        <v>92219</v>
      </c>
      <c r="DK80" s="141">
        <v>92371</v>
      </c>
      <c r="DL80" s="141">
        <v>92510</v>
      </c>
      <c r="DM80" s="141">
        <v>92660</v>
      </c>
      <c r="DN80" s="141">
        <v>92808</v>
      </c>
      <c r="DO80" s="141">
        <v>92952</v>
      </c>
    </row>
    <row r="81" spans="1:119">
      <c r="A81" s="140">
        <v>79</v>
      </c>
      <c r="W81" s="141">
        <v>49256</v>
      </c>
      <c r="X81" s="141">
        <v>50462</v>
      </c>
      <c r="Y81" s="141">
        <v>51068</v>
      </c>
      <c r="Z81" s="141">
        <v>52976</v>
      </c>
      <c r="AA81" s="141">
        <v>53779</v>
      </c>
      <c r="AB81" s="141">
        <v>54770</v>
      </c>
      <c r="AC81" s="141">
        <v>55982</v>
      </c>
      <c r="AD81" s="141">
        <v>56959</v>
      </c>
      <c r="AE81" s="141">
        <v>57604</v>
      </c>
      <c r="AF81" s="141">
        <v>58862</v>
      </c>
      <c r="AG81" s="141">
        <v>59704</v>
      </c>
      <c r="AH81" s="141">
        <v>60382</v>
      </c>
      <c r="AI81" s="141">
        <v>61172</v>
      </c>
      <c r="AJ81" s="141">
        <v>62732</v>
      </c>
      <c r="AK81" s="141">
        <v>63463</v>
      </c>
      <c r="AL81" s="141">
        <v>64459</v>
      </c>
      <c r="AM81" s="141">
        <v>65343</v>
      </c>
      <c r="AN81" s="141">
        <v>66177</v>
      </c>
      <c r="AO81" s="141">
        <v>66605</v>
      </c>
      <c r="AP81" s="141">
        <v>66947</v>
      </c>
      <c r="AQ81" s="141">
        <v>67145</v>
      </c>
      <c r="AR81" s="141">
        <v>67255</v>
      </c>
      <c r="AS81" s="141">
        <v>67026</v>
      </c>
      <c r="AT81" s="141">
        <v>66502</v>
      </c>
      <c r="AU81" s="141">
        <v>65921</v>
      </c>
      <c r="AV81" s="141">
        <v>66206</v>
      </c>
      <c r="AW81" s="141">
        <v>66966</v>
      </c>
      <c r="AX81" s="141">
        <v>68649</v>
      </c>
      <c r="AY81" s="141">
        <v>70257</v>
      </c>
      <c r="AZ81" s="141">
        <v>70626</v>
      </c>
      <c r="BA81" s="141">
        <v>71016</v>
      </c>
      <c r="BB81" s="141">
        <v>71780</v>
      </c>
      <c r="BC81" s="141">
        <v>72280</v>
      </c>
      <c r="BD81" s="141">
        <v>72803</v>
      </c>
      <c r="BE81" s="141">
        <v>73185</v>
      </c>
      <c r="BF81" s="141">
        <v>73796</v>
      </c>
      <c r="BG81" s="141">
        <v>74309</v>
      </c>
      <c r="BH81" s="141">
        <v>74845</v>
      </c>
      <c r="BI81" s="141">
        <v>75253</v>
      </c>
      <c r="BJ81" s="141">
        <v>75762</v>
      </c>
      <c r="BK81" s="141">
        <v>76323</v>
      </c>
      <c r="BL81" s="141">
        <v>76922</v>
      </c>
      <c r="BM81" s="141">
        <v>77482</v>
      </c>
      <c r="BN81" s="141">
        <v>78002</v>
      </c>
      <c r="BO81" s="141">
        <v>78449</v>
      </c>
      <c r="BP81" s="141">
        <v>78931</v>
      </c>
      <c r="BQ81" s="141">
        <v>79317</v>
      </c>
      <c r="BR81" s="141">
        <v>79699</v>
      </c>
      <c r="BS81" s="141">
        <v>80014</v>
      </c>
      <c r="BT81" s="141">
        <v>80380</v>
      </c>
      <c r="BU81" s="141">
        <v>80714</v>
      </c>
      <c r="BV81" s="141">
        <v>81089</v>
      </c>
      <c r="BW81" s="141">
        <v>81436</v>
      </c>
      <c r="BX81" s="141">
        <v>81811</v>
      </c>
      <c r="BY81" s="141">
        <v>82167</v>
      </c>
      <c r="BZ81" s="141">
        <v>82623</v>
      </c>
      <c r="CA81" s="141">
        <v>83025</v>
      </c>
      <c r="CB81" s="141">
        <v>83389</v>
      </c>
      <c r="CC81" s="141">
        <v>83722</v>
      </c>
      <c r="CD81" s="141">
        <v>84045</v>
      </c>
      <c r="CE81" s="141">
        <v>84367</v>
      </c>
      <c r="CF81" s="141">
        <v>84687</v>
      </c>
      <c r="CG81" s="141">
        <v>85012</v>
      </c>
      <c r="CH81" s="141">
        <v>85311</v>
      </c>
      <c r="CI81" s="141">
        <v>85638</v>
      </c>
      <c r="CJ81" s="141">
        <v>85910</v>
      </c>
      <c r="CK81" s="141">
        <v>86192</v>
      </c>
      <c r="CL81" s="141">
        <v>86502</v>
      </c>
      <c r="CM81" s="141">
        <v>86759</v>
      </c>
      <c r="CN81" s="141">
        <v>87035</v>
      </c>
      <c r="CO81" s="141">
        <v>87280</v>
      </c>
      <c r="CP81" s="141">
        <v>87555</v>
      </c>
      <c r="CQ81" s="141">
        <v>87804</v>
      </c>
      <c r="CR81" s="141">
        <v>88033</v>
      </c>
      <c r="CS81" s="141">
        <v>88280</v>
      </c>
      <c r="CT81" s="141">
        <v>88510</v>
      </c>
      <c r="CU81" s="141">
        <v>88733</v>
      </c>
      <c r="CV81" s="141">
        <v>88928</v>
      </c>
      <c r="CW81" s="141">
        <v>89149</v>
      </c>
      <c r="CX81" s="141">
        <v>89361</v>
      </c>
      <c r="CY81" s="141">
        <v>89561</v>
      </c>
      <c r="CZ81" s="141">
        <v>89729</v>
      </c>
      <c r="DA81" s="141">
        <v>89925</v>
      </c>
      <c r="DB81" s="141">
        <v>90113</v>
      </c>
      <c r="DC81" s="141">
        <v>90320</v>
      </c>
      <c r="DD81" s="141">
        <v>90494</v>
      </c>
      <c r="DE81" s="141">
        <v>90678</v>
      </c>
      <c r="DF81" s="141">
        <v>90882</v>
      </c>
      <c r="DG81" s="141">
        <v>91029</v>
      </c>
      <c r="DH81" s="141">
        <v>91211</v>
      </c>
      <c r="DI81" s="141">
        <v>91351</v>
      </c>
      <c r="DJ81" s="141">
        <v>91528</v>
      </c>
      <c r="DK81" s="141">
        <v>91691</v>
      </c>
      <c r="DL81" s="141">
        <v>91841</v>
      </c>
      <c r="DM81" s="141">
        <v>92002</v>
      </c>
      <c r="DN81" s="141">
        <v>92160</v>
      </c>
      <c r="DO81" s="141">
        <v>92315</v>
      </c>
    </row>
    <row r="82" spans="1:119">
      <c r="A82" s="140">
        <v>80</v>
      </c>
      <c r="W82" s="141">
        <v>47085</v>
      </c>
      <c r="X82" s="141">
        <v>48254</v>
      </c>
      <c r="Y82" s="141">
        <v>48862</v>
      </c>
      <c r="Z82" s="141">
        <v>50786</v>
      </c>
      <c r="AA82" s="141">
        <v>51588</v>
      </c>
      <c r="AB82" s="141">
        <v>52609</v>
      </c>
      <c r="AC82" s="141">
        <v>53867</v>
      </c>
      <c r="AD82" s="141">
        <v>54802</v>
      </c>
      <c r="AE82" s="141">
        <v>55435</v>
      </c>
      <c r="AF82" s="141">
        <v>56716</v>
      </c>
      <c r="AG82" s="141">
        <v>57555</v>
      </c>
      <c r="AH82" s="141">
        <v>58248</v>
      </c>
      <c r="AI82" s="141">
        <v>58955</v>
      </c>
      <c r="AJ82" s="141">
        <v>60636</v>
      </c>
      <c r="AK82" s="141">
        <v>61318</v>
      </c>
      <c r="AL82" s="141">
        <v>62327</v>
      </c>
      <c r="AM82" s="141">
        <v>63220</v>
      </c>
      <c r="AN82" s="141">
        <v>64066</v>
      </c>
      <c r="AO82" s="141">
        <v>64518</v>
      </c>
      <c r="AP82" s="141">
        <v>64887</v>
      </c>
      <c r="AQ82" s="141">
        <v>65117</v>
      </c>
      <c r="AR82" s="141">
        <v>65260</v>
      </c>
      <c r="AS82" s="141">
        <v>65074</v>
      </c>
      <c r="AT82" s="141">
        <v>64599</v>
      </c>
      <c r="AU82" s="141">
        <v>64069</v>
      </c>
      <c r="AV82" s="141">
        <v>64379</v>
      </c>
      <c r="AW82" s="141">
        <v>65151</v>
      </c>
      <c r="AX82" s="141">
        <v>66823</v>
      </c>
      <c r="AY82" s="141">
        <v>68421</v>
      </c>
      <c r="AZ82" s="141">
        <v>68814</v>
      </c>
      <c r="BA82" s="141">
        <v>69227</v>
      </c>
      <c r="BB82" s="141">
        <v>70003</v>
      </c>
      <c r="BC82" s="141">
        <v>70521</v>
      </c>
      <c r="BD82" s="141">
        <v>71061</v>
      </c>
      <c r="BE82" s="141">
        <v>71465</v>
      </c>
      <c r="BF82" s="141">
        <v>72090</v>
      </c>
      <c r="BG82" s="141">
        <v>72621</v>
      </c>
      <c r="BH82" s="141">
        <v>73174</v>
      </c>
      <c r="BI82" s="141">
        <v>73602</v>
      </c>
      <c r="BJ82" s="141">
        <v>74128</v>
      </c>
      <c r="BK82" s="141">
        <v>74705</v>
      </c>
      <c r="BL82" s="141">
        <v>75319</v>
      </c>
      <c r="BM82" s="141">
        <v>75895</v>
      </c>
      <c r="BN82" s="141">
        <v>76432</v>
      </c>
      <c r="BO82" s="141">
        <v>76897</v>
      </c>
      <c r="BP82" s="141">
        <v>77396</v>
      </c>
      <c r="BQ82" s="141">
        <v>77800</v>
      </c>
      <c r="BR82" s="141">
        <v>78201</v>
      </c>
      <c r="BS82" s="141">
        <v>78537</v>
      </c>
      <c r="BT82" s="141">
        <v>78920</v>
      </c>
      <c r="BU82" s="141">
        <v>79274</v>
      </c>
      <c r="BV82" s="141">
        <v>79666</v>
      </c>
      <c r="BW82" s="141">
        <v>80032</v>
      </c>
      <c r="BX82" s="141">
        <v>80424</v>
      </c>
      <c r="BY82" s="141">
        <v>80799</v>
      </c>
      <c r="BZ82" s="141">
        <v>81271</v>
      </c>
      <c r="CA82" s="141">
        <v>81690</v>
      </c>
      <c r="CB82" s="141">
        <v>82070</v>
      </c>
      <c r="CC82" s="141">
        <v>82420</v>
      </c>
      <c r="CD82" s="141">
        <v>82760</v>
      </c>
      <c r="CE82" s="141">
        <v>83100</v>
      </c>
      <c r="CF82" s="141">
        <v>83437</v>
      </c>
      <c r="CG82" s="141">
        <v>83779</v>
      </c>
      <c r="CH82" s="141">
        <v>84094</v>
      </c>
      <c r="CI82" s="141">
        <v>84438</v>
      </c>
      <c r="CJ82" s="141">
        <v>84726</v>
      </c>
      <c r="CK82" s="141">
        <v>85025</v>
      </c>
      <c r="CL82" s="141">
        <v>85351</v>
      </c>
      <c r="CM82" s="141">
        <v>85624</v>
      </c>
      <c r="CN82" s="141">
        <v>85916</v>
      </c>
      <c r="CO82" s="141">
        <v>86177</v>
      </c>
      <c r="CP82" s="141">
        <v>86468</v>
      </c>
      <c r="CQ82" s="141">
        <v>86732</v>
      </c>
      <c r="CR82" s="141">
        <v>86976</v>
      </c>
      <c r="CS82" s="141">
        <v>87239</v>
      </c>
      <c r="CT82" s="141">
        <v>87483</v>
      </c>
      <c r="CU82" s="141">
        <v>87721</v>
      </c>
      <c r="CV82" s="141">
        <v>87931</v>
      </c>
      <c r="CW82" s="141">
        <v>88168</v>
      </c>
      <c r="CX82" s="141">
        <v>88394</v>
      </c>
      <c r="CY82" s="141">
        <v>88608</v>
      </c>
      <c r="CZ82" s="141">
        <v>88791</v>
      </c>
      <c r="DA82" s="141">
        <v>89001</v>
      </c>
      <c r="DB82" s="141">
        <v>89203</v>
      </c>
      <c r="DC82" s="141">
        <v>89423</v>
      </c>
      <c r="DD82" s="141">
        <v>89611</v>
      </c>
      <c r="DE82" s="141">
        <v>89808</v>
      </c>
      <c r="DF82" s="141">
        <v>90025</v>
      </c>
      <c r="DG82" s="141">
        <v>90186</v>
      </c>
      <c r="DH82" s="141">
        <v>90380</v>
      </c>
      <c r="DI82" s="141">
        <v>90533</v>
      </c>
      <c r="DJ82" s="141">
        <v>90722</v>
      </c>
      <c r="DK82" s="141">
        <v>90898</v>
      </c>
      <c r="DL82" s="141">
        <v>91060</v>
      </c>
      <c r="DM82" s="141">
        <v>91233</v>
      </c>
      <c r="DN82" s="141">
        <v>91403</v>
      </c>
      <c r="DO82" s="141">
        <v>91570</v>
      </c>
    </row>
    <row r="83" spans="1:119">
      <c r="A83" s="140">
        <v>81</v>
      </c>
      <c r="W83" s="141">
        <v>44734</v>
      </c>
      <c r="X83" s="141">
        <v>45814</v>
      </c>
      <c r="Y83" s="141">
        <v>46542</v>
      </c>
      <c r="Z83" s="141">
        <v>48444</v>
      </c>
      <c r="AA83" s="141">
        <v>49253</v>
      </c>
      <c r="AB83" s="141">
        <v>50254</v>
      </c>
      <c r="AC83" s="141">
        <v>51507</v>
      </c>
      <c r="AD83" s="141">
        <v>52421</v>
      </c>
      <c r="AE83" s="141">
        <v>53112</v>
      </c>
      <c r="AF83" s="141">
        <v>54393</v>
      </c>
      <c r="AG83" s="141">
        <v>55214</v>
      </c>
      <c r="AH83" s="141">
        <v>55856</v>
      </c>
      <c r="AI83" s="141">
        <v>56680</v>
      </c>
      <c r="AJ83" s="141">
        <v>58240</v>
      </c>
      <c r="AK83" s="141">
        <v>58960</v>
      </c>
      <c r="AL83" s="141">
        <v>59971</v>
      </c>
      <c r="AM83" s="141">
        <v>60873</v>
      </c>
      <c r="AN83" s="141">
        <v>61730</v>
      </c>
      <c r="AO83" s="141">
        <v>62207</v>
      </c>
      <c r="AP83" s="141">
        <v>62604</v>
      </c>
      <c r="AQ83" s="141">
        <v>62865</v>
      </c>
      <c r="AR83" s="141">
        <v>63044</v>
      </c>
      <c r="AS83" s="141">
        <v>62903</v>
      </c>
      <c r="AT83" s="141">
        <v>62482</v>
      </c>
      <c r="AU83" s="141">
        <v>62006</v>
      </c>
      <c r="AV83" s="141">
        <v>62343</v>
      </c>
      <c r="AW83" s="141">
        <v>63127</v>
      </c>
      <c r="AX83" s="141">
        <v>64783</v>
      </c>
      <c r="AY83" s="141">
        <v>66369</v>
      </c>
      <c r="AZ83" s="141">
        <v>66787</v>
      </c>
      <c r="BA83" s="141">
        <v>67222</v>
      </c>
      <c r="BB83" s="141">
        <v>68009</v>
      </c>
      <c r="BC83" s="141">
        <v>68545</v>
      </c>
      <c r="BD83" s="141">
        <v>69104</v>
      </c>
      <c r="BE83" s="141">
        <v>69529</v>
      </c>
      <c r="BF83" s="141">
        <v>70170</v>
      </c>
      <c r="BG83" s="141">
        <v>70719</v>
      </c>
      <c r="BH83" s="141">
        <v>71290</v>
      </c>
      <c r="BI83" s="141">
        <v>71738</v>
      </c>
      <c r="BJ83" s="141">
        <v>72282</v>
      </c>
      <c r="BK83" s="141">
        <v>72876</v>
      </c>
      <c r="BL83" s="141">
        <v>73505</v>
      </c>
      <c r="BM83" s="141">
        <v>74098</v>
      </c>
      <c r="BN83" s="141">
        <v>74653</v>
      </c>
      <c r="BO83" s="141">
        <v>75136</v>
      </c>
      <c r="BP83" s="141">
        <v>75654</v>
      </c>
      <c r="BQ83" s="141">
        <v>76078</v>
      </c>
      <c r="BR83" s="141">
        <v>76499</v>
      </c>
      <c r="BS83" s="141">
        <v>76856</v>
      </c>
      <c r="BT83" s="141">
        <v>77260</v>
      </c>
      <c r="BU83" s="141">
        <v>77634</v>
      </c>
      <c r="BV83" s="141">
        <v>78045</v>
      </c>
      <c r="BW83" s="141">
        <v>78430</v>
      </c>
      <c r="BX83" s="141">
        <v>78842</v>
      </c>
      <c r="BY83" s="141">
        <v>79236</v>
      </c>
      <c r="BZ83" s="141">
        <v>79725</v>
      </c>
      <c r="CA83" s="141">
        <v>80161</v>
      </c>
      <c r="CB83" s="141">
        <v>80560</v>
      </c>
      <c r="CC83" s="141">
        <v>80930</v>
      </c>
      <c r="CD83" s="141">
        <v>81289</v>
      </c>
      <c r="CE83" s="141">
        <v>81646</v>
      </c>
      <c r="CF83" s="141">
        <v>82002</v>
      </c>
      <c r="CG83" s="141">
        <v>82362</v>
      </c>
      <c r="CH83" s="141">
        <v>82696</v>
      </c>
      <c r="CI83" s="141">
        <v>83057</v>
      </c>
      <c r="CJ83" s="141">
        <v>83364</v>
      </c>
      <c r="CK83" s="141">
        <v>83680</v>
      </c>
      <c r="CL83" s="141">
        <v>84024</v>
      </c>
      <c r="CM83" s="141">
        <v>84315</v>
      </c>
      <c r="CN83" s="141">
        <v>84625</v>
      </c>
      <c r="CO83" s="141">
        <v>84903</v>
      </c>
      <c r="CP83" s="141">
        <v>85211</v>
      </c>
      <c r="CQ83" s="141">
        <v>85492</v>
      </c>
      <c r="CR83" s="141">
        <v>85754</v>
      </c>
      <c r="CS83" s="141">
        <v>86033</v>
      </c>
      <c r="CT83" s="141">
        <v>86295</v>
      </c>
      <c r="CU83" s="141">
        <v>86549</v>
      </c>
      <c r="CV83" s="141">
        <v>86776</v>
      </c>
      <c r="CW83" s="141">
        <v>87029</v>
      </c>
      <c r="CX83" s="141">
        <v>87271</v>
      </c>
      <c r="CY83" s="141">
        <v>87502</v>
      </c>
      <c r="CZ83" s="141">
        <v>87701</v>
      </c>
      <c r="DA83" s="141">
        <v>87926</v>
      </c>
      <c r="DB83" s="141">
        <v>88143</v>
      </c>
      <c r="DC83" s="141">
        <v>88379</v>
      </c>
      <c r="DD83" s="141">
        <v>88582</v>
      </c>
      <c r="DE83" s="141">
        <v>88794</v>
      </c>
      <c r="DF83" s="141">
        <v>89026</v>
      </c>
      <c r="DG83" s="141">
        <v>89201</v>
      </c>
      <c r="DH83" s="141">
        <v>89410</v>
      </c>
      <c r="DI83" s="141">
        <v>89577</v>
      </c>
      <c r="DJ83" s="141">
        <v>89781</v>
      </c>
      <c r="DK83" s="141">
        <v>89970</v>
      </c>
      <c r="DL83" s="141">
        <v>90146</v>
      </c>
      <c r="DM83" s="141">
        <v>90333</v>
      </c>
      <c r="DN83" s="141">
        <v>90516</v>
      </c>
      <c r="DO83" s="141">
        <v>90696</v>
      </c>
    </row>
    <row r="84" spans="1:119">
      <c r="A84" s="140">
        <v>82</v>
      </c>
      <c r="W84" s="141">
        <v>42148</v>
      </c>
      <c r="X84" s="141">
        <v>43322</v>
      </c>
      <c r="Y84" s="141">
        <v>44087</v>
      </c>
      <c r="Z84" s="141">
        <v>45953</v>
      </c>
      <c r="AA84" s="141">
        <v>46766</v>
      </c>
      <c r="AB84" s="141">
        <v>47741</v>
      </c>
      <c r="AC84" s="141">
        <v>48969</v>
      </c>
      <c r="AD84" s="141">
        <v>49903</v>
      </c>
      <c r="AE84" s="141">
        <v>50608</v>
      </c>
      <c r="AF84" s="141">
        <v>51858</v>
      </c>
      <c r="AG84" s="141">
        <v>52611</v>
      </c>
      <c r="AH84" s="141">
        <v>53403</v>
      </c>
      <c r="AI84" s="141">
        <v>54080</v>
      </c>
      <c r="AJ84" s="141">
        <v>55636</v>
      </c>
      <c r="AK84" s="141">
        <v>56369</v>
      </c>
      <c r="AL84" s="141">
        <v>57381</v>
      </c>
      <c r="AM84" s="141">
        <v>58289</v>
      </c>
      <c r="AN84" s="141">
        <v>59155</v>
      </c>
      <c r="AO84" s="141">
        <v>59657</v>
      </c>
      <c r="AP84" s="141">
        <v>60082</v>
      </c>
      <c r="AQ84" s="141">
        <v>60376</v>
      </c>
      <c r="AR84" s="141">
        <v>60590</v>
      </c>
      <c r="AS84" s="141">
        <v>60497</v>
      </c>
      <c r="AT84" s="141">
        <v>60134</v>
      </c>
      <c r="AU84" s="141">
        <v>59716</v>
      </c>
      <c r="AV84" s="141">
        <v>60080</v>
      </c>
      <c r="AW84" s="141">
        <v>60875</v>
      </c>
      <c r="AX84" s="141">
        <v>62512</v>
      </c>
      <c r="AY84" s="141">
        <v>64083</v>
      </c>
      <c r="AZ84" s="141">
        <v>64523</v>
      </c>
      <c r="BA84" s="141">
        <v>64980</v>
      </c>
      <c r="BB84" s="141">
        <v>65778</v>
      </c>
      <c r="BC84" s="141">
        <v>66334</v>
      </c>
      <c r="BD84" s="141">
        <v>66910</v>
      </c>
      <c r="BE84" s="141">
        <v>67358</v>
      </c>
      <c r="BF84" s="141">
        <v>68015</v>
      </c>
      <c r="BG84" s="141">
        <v>68582</v>
      </c>
      <c r="BH84" s="141">
        <v>69171</v>
      </c>
      <c r="BI84" s="141">
        <v>69640</v>
      </c>
      <c r="BJ84" s="141">
        <v>70202</v>
      </c>
      <c r="BK84" s="141">
        <v>70813</v>
      </c>
      <c r="BL84" s="141">
        <v>71459</v>
      </c>
      <c r="BM84" s="141">
        <v>72069</v>
      </c>
      <c r="BN84" s="141">
        <v>72641</v>
      </c>
      <c r="BO84" s="141">
        <v>73145</v>
      </c>
      <c r="BP84" s="141">
        <v>73682</v>
      </c>
      <c r="BQ84" s="141">
        <v>74127</v>
      </c>
      <c r="BR84" s="141">
        <v>74569</v>
      </c>
      <c r="BS84" s="141">
        <v>74948</v>
      </c>
      <c r="BT84" s="141">
        <v>75373</v>
      </c>
      <c r="BU84" s="141">
        <v>75769</v>
      </c>
      <c r="BV84" s="141">
        <v>76201</v>
      </c>
      <c r="BW84" s="141">
        <v>76607</v>
      </c>
      <c r="BX84" s="141">
        <v>77039</v>
      </c>
      <c r="BY84" s="141">
        <v>77453</v>
      </c>
      <c r="BZ84" s="141">
        <v>77960</v>
      </c>
      <c r="CA84" s="141">
        <v>78416</v>
      </c>
      <c r="CB84" s="141">
        <v>78835</v>
      </c>
      <c r="CC84" s="141">
        <v>79225</v>
      </c>
      <c r="CD84" s="141">
        <v>79604</v>
      </c>
      <c r="CE84" s="141">
        <v>79982</v>
      </c>
      <c r="CF84" s="141">
        <v>80357</v>
      </c>
      <c r="CG84" s="141">
        <v>80737</v>
      </c>
      <c r="CH84" s="141">
        <v>81091</v>
      </c>
      <c r="CI84" s="141">
        <v>81471</v>
      </c>
      <c r="CJ84" s="141">
        <v>81798</v>
      </c>
      <c r="CK84" s="141">
        <v>82134</v>
      </c>
      <c r="CL84" s="141">
        <v>82497</v>
      </c>
      <c r="CM84" s="141">
        <v>82808</v>
      </c>
      <c r="CN84" s="141">
        <v>83136</v>
      </c>
      <c r="CO84" s="141">
        <v>83434</v>
      </c>
      <c r="CP84" s="141">
        <v>83761</v>
      </c>
      <c r="CQ84" s="141">
        <v>84061</v>
      </c>
      <c r="CR84" s="141">
        <v>84342</v>
      </c>
      <c r="CS84" s="141">
        <v>84639</v>
      </c>
      <c r="CT84" s="141">
        <v>84919</v>
      </c>
      <c r="CU84" s="141">
        <v>85192</v>
      </c>
      <c r="CV84" s="141">
        <v>85437</v>
      </c>
      <c r="CW84" s="141">
        <v>85708</v>
      </c>
      <c r="CX84" s="141">
        <v>85968</v>
      </c>
      <c r="CY84" s="141">
        <v>86217</v>
      </c>
      <c r="CZ84" s="141">
        <v>86434</v>
      </c>
      <c r="DA84" s="141">
        <v>86676</v>
      </c>
      <c r="DB84" s="141">
        <v>86911</v>
      </c>
      <c r="DC84" s="141">
        <v>87163</v>
      </c>
      <c r="DD84" s="141">
        <v>87384</v>
      </c>
      <c r="DE84" s="141">
        <v>87612</v>
      </c>
      <c r="DF84" s="141">
        <v>87860</v>
      </c>
      <c r="DG84" s="141">
        <v>88052</v>
      </c>
      <c r="DH84" s="141">
        <v>88277</v>
      </c>
      <c r="DI84" s="141">
        <v>88461</v>
      </c>
      <c r="DJ84" s="141">
        <v>88680</v>
      </c>
      <c r="DK84" s="141">
        <v>88885</v>
      </c>
      <c r="DL84" s="141">
        <v>89076</v>
      </c>
      <c r="DM84" s="141">
        <v>89278</v>
      </c>
      <c r="DN84" s="141">
        <v>89477</v>
      </c>
      <c r="DO84" s="141">
        <v>89671</v>
      </c>
    </row>
    <row r="85" spans="1:119">
      <c r="A85" s="140">
        <v>83</v>
      </c>
      <c r="W85" s="141">
        <v>39560</v>
      </c>
      <c r="X85" s="141">
        <v>40721</v>
      </c>
      <c r="Y85" s="141">
        <v>41476</v>
      </c>
      <c r="Z85" s="141">
        <v>43340</v>
      </c>
      <c r="AA85" s="141">
        <v>44096</v>
      </c>
      <c r="AB85" s="141">
        <v>44990</v>
      </c>
      <c r="AC85" s="141">
        <v>46289</v>
      </c>
      <c r="AD85" s="141">
        <v>47162</v>
      </c>
      <c r="AE85" s="141">
        <v>47871</v>
      </c>
      <c r="AF85" s="141">
        <v>49031</v>
      </c>
      <c r="AG85" s="141">
        <v>49922</v>
      </c>
      <c r="AH85" s="141">
        <v>50591</v>
      </c>
      <c r="AI85" s="141">
        <v>51277</v>
      </c>
      <c r="AJ85" s="141">
        <v>52801</v>
      </c>
      <c r="AK85" s="141">
        <v>53545</v>
      </c>
      <c r="AL85" s="141">
        <v>54555</v>
      </c>
      <c r="AM85" s="141">
        <v>55467</v>
      </c>
      <c r="AN85" s="141">
        <v>56338</v>
      </c>
      <c r="AO85" s="141">
        <v>56865</v>
      </c>
      <c r="AP85" s="141">
        <v>57317</v>
      </c>
      <c r="AQ85" s="141">
        <v>57645</v>
      </c>
      <c r="AR85" s="141">
        <v>57895</v>
      </c>
      <c r="AS85" s="141">
        <v>57851</v>
      </c>
      <c r="AT85" s="141">
        <v>57548</v>
      </c>
      <c r="AU85" s="141">
        <v>57192</v>
      </c>
      <c r="AV85" s="141">
        <v>57583</v>
      </c>
      <c r="AW85" s="141">
        <v>58387</v>
      </c>
      <c r="AX85" s="141">
        <v>60001</v>
      </c>
      <c r="AY85" s="141">
        <v>61549</v>
      </c>
      <c r="AZ85" s="141">
        <v>62012</v>
      </c>
      <c r="BA85" s="141">
        <v>62492</v>
      </c>
      <c r="BB85" s="141">
        <v>63299</v>
      </c>
      <c r="BC85" s="141">
        <v>63873</v>
      </c>
      <c r="BD85" s="141">
        <v>64468</v>
      </c>
      <c r="BE85" s="141">
        <v>64938</v>
      </c>
      <c r="BF85" s="141">
        <v>65610</v>
      </c>
      <c r="BG85" s="141">
        <v>66196</v>
      </c>
      <c r="BH85" s="141">
        <v>66802</v>
      </c>
      <c r="BI85" s="141">
        <v>67293</v>
      </c>
      <c r="BJ85" s="141">
        <v>67874</v>
      </c>
      <c r="BK85" s="141">
        <v>68502</v>
      </c>
      <c r="BL85" s="141">
        <v>69163</v>
      </c>
      <c r="BM85" s="141">
        <v>69790</v>
      </c>
      <c r="BN85" s="141">
        <v>70381</v>
      </c>
      <c r="BO85" s="141">
        <v>70905</v>
      </c>
      <c r="BP85" s="141">
        <v>71461</v>
      </c>
      <c r="BQ85" s="141">
        <v>71928</v>
      </c>
      <c r="BR85" s="141">
        <v>72393</v>
      </c>
      <c r="BS85" s="141">
        <v>72795</v>
      </c>
      <c r="BT85" s="141">
        <v>73242</v>
      </c>
      <c r="BU85" s="141">
        <v>73661</v>
      </c>
      <c r="BV85" s="141">
        <v>74115</v>
      </c>
      <c r="BW85" s="141">
        <v>74543</v>
      </c>
      <c r="BX85" s="141">
        <v>74996</v>
      </c>
      <c r="BY85" s="141">
        <v>75432</v>
      </c>
      <c r="BZ85" s="141">
        <v>75958</v>
      </c>
      <c r="CA85" s="141">
        <v>76434</v>
      </c>
      <c r="CB85" s="141">
        <v>76874</v>
      </c>
      <c r="CC85" s="141">
        <v>77285</v>
      </c>
      <c r="CD85" s="141">
        <v>77686</v>
      </c>
      <c r="CE85" s="141">
        <v>78085</v>
      </c>
      <c r="CF85" s="141">
        <v>78482</v>
      </c>
      <c r="CG85" s="141">
        <v>78882</v>
      </c>
      <c r="CH85" s="141">
        <v>79258</v>
      </c>
      <c r="CI85" s="141">
        <v>79659</v>
      </c>
      <c r="CJ85" s="141">
        <v>80007</v>
      </c>
      <c r="CK85" s="141">
        <v>80364</v>
      </c>
      <c r="CL85" s="141">
        <v>80747</v>
      </c>
      <c r="CM85" s="141">
        <v>81079</v>
      </c>
      <c r="CN85" s="141">
        <v>81428</v>
      </c>
      <c r="CO85" s="141">
        <v>81747</v>
      </c>
      <c r="CP85" s="141">
        <v>82094</v>
      </c>
      <c r="CQ85" s="141">
        <v>82415</v>
      </c>
      <c r="CR85" s="141">
        <v>82716</v>
      </c>
      <c r="CS85" s="141">
        <v>83034</v>
      </c>
      <c r="CT85" s="141">
        <v>83334</v>
      </c>
      <c r="CU85" s="141">
        <v>83627</v>
      </c>
      <c r="CV85" s="141">
        <v>83893</v>
      </c>
      <c r="CW85" s="141">
        <v>84183</v>
      </c>
      <c r="CX85" s="141">
        <v>84463</v>
      </c>
      <c r="CY85" s="141">
        <v>84731</v>
      </c>
      <c r="CZ85" s="141">
        <v>84968</v>
      </c>
      <c r="DA85" s="141">
        <v>85229</v>
      </c>
      <c r="DB85" s="141">
        <v>85483</v>
      </c>
      <c r="DC85" s="141">
        <v>85754</v>
      </c>
      <c r="DD85" s="141">
        <v>85993</v>
      </c>
      <c r="DE85" s="141">
        <v>86241</v>
      </c>
      <c r="DF85" s="141">
        <v>86506</v>
      </c>
      <c r="DG85" s="141">
        <v>86717</v>
      </c>
      <c r="DH85" s="141">
        <v>86960</v>
      </c>
      <c r="DI85" s="141">
        <v>87161</v>
      </c>
      <c r="DJ85" s="141">
        <v>87398</v>
      </c>
      <c r="DK85" s="141">
        <v>87620</v>
      </c>
      <c r="DL85" s="141">
        <v>87829</v>
      </c>
      <c r="DM85" s="141">
        <v>88048</v>
      </c>
      <c r="DN85" s="141">
        <v>88263</v>
      </c>
      <c r="DO85" s="141">
        <v>88474</v>
      </c>
    </row>
    <row r="86" spans="1:119">
      <c r="A86" s="140">
        <v>84</v>
      </c>
      <c r="W86" s="141">
        <v>36826</v>
      </c>
      <c r="X86" s="141">
        <v>37965</v>
      </c>
      <c r="Y86" s="141">
        <v>38744</v>
      </c>
      <c r="Z86" s="141">
        <v>40514</v>
      </c>
      <c r="AA86" s="141">
        <v>41194</v>
      </c>
      <c r="AB86" s="141">
        <v>42151</v>
      </c>
      <c r="AC86" s="141">
        <v>43384</v>
      </c>
      <c r="AD86" s="141">
        <v>44255</v>
      </c>
      <c r="AE86" s="141">
        <v>44877</v>
      </c>
      <c r="AF86" s="141">
        <v>46178</v>
      </c>
      <c r="AG86" s="141">
        <v>46925</v>
      </c>
      <c r="AH86" s="141">
        <v>47566</v>
      </c>
      <c r="AI86" s="141">
        <v>48263</v>
      </c>
      <c r="AJ86" s="141">
        <v>49748</v>
      </c>
      <c r="AK86" s="141">
        <v>50499</v>
      </c>
      <c r="AL86" s="141">
        <v>51503</v>
      </c>
      <c r="AM86" s="141">
        <v>52415</v>
      </c>
      <c r="AN86" s="141">
        <v>53289</v>
      </c>
      <c r="AO86" s="141">
        <v>53838</v>
      </c>
      <c r="AP86" s="141">
        <v>54316</v>
      </c>
      <c r="AQ86" s="141">
        <v>54676</v>
      </c>
      <c r="AR86" s="141">
        <v>54963</v>
      </c>
      <c r="AS86" s="141">
        <v>54969</v>
      </c>
      <c r="AT86" s="141">
        <v>54728</v>
      </c>
      <c r="AU86" s="141">
        <v>54435</v>
      </c>
      <c r="AV86" s="141">
        <v>54853</v>
      </c>
      <c r="AW86" s="141">
        <v>55665</v>
      </c>
      <c r="AX86" s="141">
        <v>57246</v>
      </c>
      <c r="AY86" s="141">
        <v>58767</v>
      </c>
      <c r="AZ86" s="141">
        <v>59253</v>
      </c>
      <c r="BA86" s="141">
        <v>59754</v>
      </c>
      <c r="BB86" s="141">
        <v>60568</v>
      </c>
      <c r="BC86" s="141">
        <v>61160</v>
      </c>
      <c r="BD86" s="141">
        <v>61772</v>
      </c>
      <c r="BE86" s="141">
        <v>62264</v>
      </c>
      <c r="BF86" s="141">
        <v>62950</v>
      </c>
      <c r="BG86" s="141">
        <v>63553</v>
      </c>
      <c r="BH86" s="141">
        <v>64176</v>
      </c>
      <c r="BI86" s="141">
        <v>64689</v>
      </c>
      <c r="BJ86" s="141">
        <v>65288</v>
      </c>
      <c r="BK86" s="141">
        <v>65932</v>
      </c>
      <c r="BL86" s="141">
        <v>66609</v>
      </c>
      <c r="BM86" s="141">
        <v>67252</v>
      </c>
      <c r="BN86" s="141">
        <v>67861</v>
      </c>
      <c r="BO86" s="141">
        <v>68405</v>
      </c>
      <c r="BP86" s="141">
        <v>68980</v>
      </c>
      <c r="BQ86" s="141">
        <v>69470</v>
      </c>
      <c r="BR86" s="141">
        <v>69957</v>
      </c>
      <c r="BS86" s="141">
        <v>70383</v>
      </c>
      <c r="BT86" s="141">
        <v>70853</v>
      </c>
      <c r="BU86" s="141">
        <v>71295</v>
      </c>
      <c r="BV86" s="141">
        <v>71771</v>
      </c>
      <c r="BW86" s="141">
        <v>72222</v>
      </c>
      <c r="BX86" s="141">
        <v>72697</v>
      </c>
      <c r="BY86" s="141">
        <v>73155</v>
      </c>
      <c r="BZ86" s="141">
        <v>73700</v>
      </c>
      <c r="CA86" s="141">
        <v>74197</v>
      </c>
      <c r="CB86" s="141">
        <v>74659</v>
      </c>
      <c r="CC86" s="141">
        <v>75093</v>
      </c>
      <c r="CD86" s="141">
        <v>75516</v>
      </c>
      <c r="CE86" s="141">
        <v>75938</v>
      </c>
      <c r="CF86" s="141">
        <v>76357</v>
      </c>
      <c r="CG86" s="141">
        <v>76779</v>
      </c>
      <c r="CH86" s="141">
        <v>77177</v>
      </c>
      <c r="CI86" s="141">
        <v>77600</v>
      </c>
      <c r="CJ86" s="141">
        <v>77971</v>
      </c>
      <c r="CK86" s="141">
        <v>78351</v>
      </c>
      <c r="CL86" s="141">
        <v>78755</v>
      </c>
      <c r="CM86" s="141">
        <v>79110</v>
      </c>
      <c r="CN86" s="141">
        <v>79481</v>
      </c>
      <c r="CO86" s="141">
        <v>79823</v>
      </c>
      <c r="CP86" s="141">
        <v>80191</v>
      </c>
      <c r="CQ86" s="141">
        <v>80534</v>
      </c>
      <c r="CR86" s="141">
        <v>80858</v>
      </c>
      <c r="CS86" s="141">
        <v>81197</v>
      </c>
      <c r="CT86" s="141">
        <v>81519</v>
      </c>
      <c r="CU86" s="141">
        <v>81834</v>
      </c>
      <c r="CV86" s="141">
        <v>82121</v>
      </c>
      <c r="CW86" s="141">
        <v>82433</v>
      </c>
      <c r="CX86" s="141">
        <v>82734</v>
      </c>
      <c r="CY86" s="141">
        <v>83023</v>
      </c>
      <c r="CZ86" s="141">
        <v>83281</v>
      </c>
      <c r="DA86" s="141">
        <v>83564</v>
      </c>
      <c r="DB86" s="141">
        <v>83838</v>
      </c>
      <c r="DC86" s="141">
        <v>84130</v>
      </c>
      <c r="DD86" s="141">
        <v>84390</v>
      </c>
      <c r="DE86" s="141">
        <v>84657</v>
      </c>
      <c r="DF86" s="141">
        <v>84942</v>
      </c>
      <c r="DG86" s="141">
        <v>85173</v>
      </c>
      <c r="DH86" s="141">
        <v>85435</v>
      </c>
      <c r="DI86" s="141">
        <v>85657</v>
      </c>
      <c r="DJ86" s="141">
        <v>85913</v>
      </c>
      <c r="DK86" s="141">
        <v>86154</v>
      </c>
      <c r="DL86" s="141">
        <v>86382</v>
      </c>
      <c r="DM86" s="141">
        <v>86620</v>
      </c>
      <c r="DN86" s="141">
        <v>86854</v>
      </c>
      <c r="DO86" s="141">
        <v>87083</v>
      </c>
    </row>
    <row r="87" spans="1:119">
      <c r="A87" s="140">
        <v>85</v>
      </c>
      <c r="W87" s="141">
        <v>34044</v>
      </c>
      <c r="X87" s="141">
        <v>35150</v>
      </c>
      <c r="Y87" s="141">
        <v>35879</v>
      </c>
      <c r="Z87" s="141">
        <v>37470</v>
      </c>
      <c r="AA87" s="141">
        <v>38201</v>
      </c>
      <c r="AB87" s="141">
        <v>39133</v>
      </c>
      <c r="AC87" s="141">
        <v>40332</v>
      </c>
      <c r="AD87" s="141">
        <v>41049</v>
      </c>
      <c r="AE87" s="141">
        <v>41855</v>
      </c>
      <c r="AF87" s="141">
        <v>42983</v>
      </c>
      <c r="AG87" s="141">
        <v>43702</v>
      </c>
      <c r="AH87" s="141">
        <v>44352</v>
      </c>
      <c r="AI87" s="141">
        <v>45053</v>
      </c>
      <c r="AJ87" s="141">
        <v>46493</v>
      </c>
      <c r="AK87" s="141">
        <v>47248</v>
      </c>
      <c r="AL87" s="141">
        <v>48240</v>
      </c>
      <c r="AM87" s="141">
        <v>49147</v>
      </c>
      <c r="AN87" s="141">
        <v>50021</v>
      </c>
      <c r="AO87" s="141">
        <v>50588</v>
      </c>
      <c r="AP87" s="141">
        <v>51090</v>
      </c>
      <c r="AQ87" s="141">
        <v>51481</v>
      </c>
      <c r="AR87" s="141">
        <v>51802</v>
      </c>
      <c r="AS87" s="141">
        <v>51859</v>
      </c>
      <c r="AT87" s="141">
        <v>51681</v>
      </c>
      <c r="AU87" s="141">
        <v>51453</v>
      </c>
      <c r="AV87" s="141">
        <v>51896</v>
      </c>
      <c r="AW87" s="141">
        <v>52709</v>
      </c>
      <c r="AX87" s="141">
        <v>54252</v>
      </c>
      <c r="AY87" s="141">
        <v>55739</v>
      </c>
      <c r="AZ87" s="141">
        <v>56245</v>
      </c>
      <c r="BA87" s="141">
        <v>56767</v>
      </c>
      <c r="BB87" s="141">
        <v>57586</v>
      </c>
      <c r="BC87" s="141">
        <v>58194</v>
      </c>
      <c r="BD87" s="141">
        <v>58820</v>
      </c>
      <c r="BE87" s="141">
        <v>59334</v>
      </c>
      <c r="BF87" s="141">
        <v>60032</v>
      </c>
      <c r="BG87" s="141">
        <v>60651</v>
      </c>
      <c r="BH87" s="141">
        <v>61290</v>
      </c>
      <c r="BI87" s="141">
        <v>61823</v>
      </c>
      <c r="BJ87" s="141">
        <v>62438</v>
      </c>
      <c r="BK87" s="141">
        <v>63098</v>
      </c>
      <c r="BL87" s="141">
        <v>63788</v>
      </c>
      <c r="BM87" s="141">
        <v>64447</v>
      </c>
      <c r="BN87" s="141">
        <v>65073</v>
      </c>
      <c r="BO87" s="141">
        <v>65637</v>
      </c>
      <c r="BP87" s="141">
        <v>66230</v>
      </c>
      <c r="BQ87" s="141">
        <v>66742</v>
      </c>
      <c r="BR87" s="141">
        <v>67250</v>
      </c>
      <c r="BS87" s="141">
        <v>67701</v>
      </c>
      <c r="BT87" s="141">
        <v>68194</v>
      </c>
      <c r="BU87" s="141">
        <v>68659</v>
      </c>
      <c r="BV87" s="141">
        <v>69157</v>
      </c>
      <c r="BW87" s="141">
        <v>69631</v>
      </c>
      <c r="BX87" s="141">
        <v>70128</v>
      </c>
      <c r="BY87" s="141">
        <v>70608</v>
      </c>
      <c r="BZ87" s="141">
        <v>71173</v>
      </c>
      <c r="CA87" s="141">
        <v>71691</v>
      </c>
      <c r="CB87" s="141">
        <v>72175</v>
      </c>
      <c r="CC87" s="141">
        <v>72632</v>
      </c>
      <c r="CD87" s="141">
        <v>73078</v>
      </c>
      <c r="CE87" s="141">
        <v>73523</v>
      </c>
      <c r="CF87" s="141">
        <v>73965</v>
      </c>
      <c r="CG87" s="141">
        <v>74411</v>
      </c>
      <c r="CH87" s="141">
        <v>74832</v>
      </c>
      <c r="CI87" s="141">
        <v>75277</v>
      </c>
      <c r="CJ87" s="141">
        <v>75672</v>
      </c>
      <c r="CK87" s="141">
        <v>76075</v>
      </c>
      <c r="CL87" s="141">
        <v>76502</v>
      </c>
      <c r="CM87" s="141">
        <v>76881</v>
      </c>
      <c r="CN87" s="141">
        <v>77275</v>
      </c>
      <c r="CO87" s="141">
        <v>77640</v>
      </c>
      <c r="CP87" s="141">
        <v>78031</v>
      </c>
      <c r="CQ87" s="141">
        <v>78397</v>
      </c>
      <c r="CR87" s="141">
        <v>78744</v>
      </c>
      <c r="CS87" s="141">
        <v>79106</v>
      </c>
      <c r="CT87" s="141">
        <v>79451</v>
      </c>
      <c r="CU87" s="141">
        <v>79789</v>
      </c>
      <c r="CV87" s="141">
        <v>80101</v>
      </c>
      <c r="CW87" s="141">
        <v>80435</v>
      </c>
      <c r="CX87" s="141">
        <v>80758</v>
      </c>
      <c r="CY87" s="141">
        <v>81070</v>
      </c>
      <c r="CZ87" s="141">
        <v>81352</v>
      </c>
      <c r="DA87" s="141">
        <v>81657</v>
      </c>
      <c r="DB87" s="141">
        <v>81954</v>
      </c>
      <c r="DC87" s="141">
        <v>82267</v>
      </c>
      <c r="DD87" s="141">
        <v>82549</v>
      </c>
      <c r="DE87" s="141">
        <v>82838</v>
      </c>
      <c r="DF87" s="141">
        <v>83145</v>
      </c>
      <c r="DG87" s="141">
        <v>83398</v>
      </c>
      <c r="DH87" s="141">
        <v>83681</v>
      </c>
      <c r="DI87" s="141">
        <v>83925</v>
      </c>
      <c r="DJ87" s="141">
        <v>84201</v>
      </c>
      <c r="DK87" s="141">
        <v>84464</v>
      </c>
      <c r="DL87" s="141">
        <v>84713</v>
      </c>
      <c r="DM87" s="141">
        <v>84971</v>
      </c>
      <c r="DN87" s="141">
        <v>85225</v>
      </c>
      <c r="DO87" s="141">
        <v>85475</v>
      </c>
    </row>
    <row r="88" spans="1:119">
      <c r="A88" s="140">
        <v>86</v>
      </c>
      <c r="W88" s="141">
        <v>31157</v>
      </c>
      <c r="X88" s="141">
        <v>32127</v>
      </c>
      <c r="Y88" s="141">
        <v>32773</v>
      </c>
      <c r="Z88" s="141">
        <v>34374</v>
      </c>
      <c r="AA88" s="141">
        <v>35081</v>
      </c>
      <c r="AB88" s="141">
        <v>35945</v>
      </c>
      <c r="AC88" s="141">
        <v>37017</v>
      </c>
      <c r="AD88" s="141">
        <v>37886</v>
      </c>
      <c r="AE88" s="141">
        <v>38534</v>
      </c>
      <c r="AF88" s="141">
        <v>39601</v>
      </c>
      <c r="AG88" s="141">
        <v>40317</v>
      </c>
      <c r="AH88" s="141">
        <v>40970</v>
      </c>
      <c r="AI88" s="141">
        <v>41672</v>
      </c>
      <c r="AJ88" s="141">
        <v>43058</v>
      </c>
      <c r="AK88" s="141">
        <v>43812</v>
      </c>
      <c r="AL88" s="141">
        <v>44787</v>
      </c>
      <c r="AM88" s="141">
        <v>45684</v>
      </c>
      <c r="AN88" s="141">
        <v>46550</v>
      </c>
      <c r="AO88" s="141">
        <v>47133</v>
      </c>
      <c r="AP88" s="141">
        <v>47655</v>
      </c>
      <c r="AQ88" s="141">
        <v>48074</v>
      </c>
      <c r="AR88" s="141">
        <v>48427</v>
      </c>
      <c r="AS88" s="141">
        <v>48533</v>
      </c>
      <c r="AT88" s="141">
        <v>48418</v>
      </c>
      <c r="AU88" s="141">
        <v>48255</v>
      </c>
      <c r="AV88" s="141">
        <v>48718</v>
      </c>
      <c r="AW88" s="141">
        <v>49528</v>
      </c>
      <c r="AX88" s="141">
        <v>51025</v>
      </c>
      <c r="AY88" s="141">
        <v>52472</v>
      </c>
      <c r="AZ88" s="141">
        <v>52996</v>
      </c>
      <c r="BA88" s="141">
        <v>53535</v>
      </c>
      <c r="BB88" s="141">
        <v>54355</v>
      </c>
      <c r="BC88" s="141">
        <v>54976</v>
      </c>
      <c r="BD88" s="141">
        <v>55615</v>
      </c>
      <c r="BE88" s="141">
        <v>56148</v>
      </c>
      <c r="BF88" s="141">
        <v>56855</v>
      </c>
      <c r="BG88" s="141">
        <v>57489</v>
      </c>
      <c r="BH88" s="141">
        <v>58140</v>
      </c>
      <c r="BI88" s="141">
        <v>58692</v>
      </c>
      <c r="BJ88" s="141">
        <v>59322</v>
      </c>
      <c r="BK88" s="141">
        <v>59994</v>
      </c>
      <c r="BL88" s="141">
        <v>60696</v>
      </c>
      <c r="BM88" s="141">
        <v>61369</v>
      </c>
      <c r="BN88" s="141">
        <v>62010</v>
      </c>
      <c r="BO88" s="141">
        <v>62592</v>
      </c>
      <c r="BP88" s="141">
        <v>63203</v>
      </c>
      <c r="BQ88" s="141">
        <v>63735</v>
      </c>
      <c r="BR88" s="141">
        <v>64265</v>
      </c>
      <c r="BS88" s="141">
        <v>64739</v>
      </c>
      <c r="BT88" s="141">
        <v>65253</v>
      </c>
      <c r="BU88" s="141">
        <v>65742</v>
      </c>
      <c r="BV88" s="141">
        <v>66261</v>
      </c>
      <c r="BW88" s="141">
        <v>66758</v>
      </c>
      <c r="BX88" s="141">
        <v>67276</v>
      </c>
      <c r="BY88" s="141">
        <v>67779</v>
      </c>
      <c r="BZ88" s="141">
        <v>68363</v>
      </c>
      <c r="CA88" s="141">
        <v>68901</v>
      </c>
      <c r="CB88" s="141">
        <v>69407</v>
      </c>
      <c r="CC88" s="141">
        <v>69887</v>
      </c>
      <c r="CD88" s="141">
        <v>70356</v>
      </c>
      <c r="CE88" s="141">
        <v>70824</v>
      </c>
      <c r="CF88" s="141">
        <v>71290</v>
      </c>
      <c r="CG88" s="141">
        <v>71758</v>
      </c>
      <c r="CH88" s="141">
        <v>72203</v>
      </c>
      <c r="CI88" s="141">
        <v>72671</v>
      </c>
      <c r="CJ88" s="141">
        <v>73090</v>
      </c>
      <c r="CK88" s="141">
        <v>73517</v>
      </c>
      <c r="CL88" s="141">
        <v>73967</v>
      </c>
      <c r="CM88" s="141">
        <v>74370</v>
      </c>
      <c r="CN88" s="141">
        <v>74788</v>
      </c>
      <c r="CO88" s="141">
        <v>75178</v>
      </c>
      <c r="CP88" s="141">
        <v>75592</v>
      </c>
      <c r="CQ88" s="141">
        <v>75983</v>
      </c>
      <c r="CR88" s="141">
        <v>76354</v>
      </c>
      <c r="CS88" s="141">
        <v>76740</v>
      </c>
      <c r="CT88" s="141">
        <v>77110</v>
      </c>
      <c r="CU88" s="141">
        <v>77472</v>
      </c>
      <c r="CV88" s="141">
        <v>77808</v>
      </c>
      <c r="CW88" s="141">
        <v>78166</v>
      </c>
      <c r="CX88" s="141">
        <v>78513</v>
      </c>
      <c r="CY88" s="141">
        <v>78849</v>
      </c>
      <c r="CZ88" s="141">
        <v>79156</v>
      </c>
      <c r="DA88" s="141">
        <v>79485</v>
      </c>
      <c r="DB88" s="141">
        <v>79805</v>
      </c>
      <c r="DC88" s="141">
        <v>80141</v>
      </c>
      <c r="DD88" s="141">
        <v>80447</v>
      </c>
      <c r="DE88" s="141">
        <v>80760</v>
      </c>
      <c r="DF88" s="141">
        <v>81088</v>
      </c>
      <c r="DG88" s="141">
        <v>81365</v>
      </c>
      <c r="DH88" s="141">
        <v>81671</v>
      </c>
      <c r="DI88" s="141">
        <v>81938</v>
      </c>
      <c r="DJ88" s="141">
        <v>82237</v>
      </c>
      <c r="DK88" s="141">
        <v>82522</v>
      </c>
      <c r="DL88" s="141">
        <v>82794</v>
      </c>
      <c r="DM88" s="141">
        <v>83074</v>
      </c>
      <c r="DN88" s="141">
        <v>83350</v>
      </c>
      <c r="DO88" s="141">
        <v>83622</v>
      </c>
    </row>
    <row r="89" spans="1:119">
      <c r="A89" s="140">
        <v>87</v>
      </c>
      <c r="W89" s="141">
        <v>28147</v>
      </c>
      <c r="X89" s="141">
        <v>28968</v>
      </c>
      <c r="Y89" s="141">
        <v>29668</v>
      </c>
      <c r="Z89" s="141">
        <v>31163</v>
      </c>
      <c r="AA89" s="141">
        <v>31819</v>
      </c>
      <c r="AB89" s="141">
        <v>32572</v>
      </c>
      <c r="AC89" s="141">
        <v>33720</v>
      </c>
      <c r="AD89" s="141">
        <v>34398</v>
      </c>
      <c r="AE89" s="141">
        <v>35068</v>
      </c>
      <c r="AF89" s="141">
        <v>36093</v>
      </c>
      <c r="AG89" s="141">
        <v>36800</v>
      </c>
      <c r="AH89" s="141">
        <v>37450</v>
      </c>
      <c r="AI89" s="141">
        <v>38146</v>
      </c>
      <c r="AJ89" s="141">
        <v>39470</v>
      </c>
      <c r="AK89" s="141">
        <v>40216</v>
      </c>
      <c r="AL89" s="141">
        <v>41167</v>
      </c>
      <c r="AM89" s="141">
        <v>42048</v>
      </c>
      <c r="AN89" s="141">
        <v>42901</v>
      </c>
      <c r="AO89" s="141">
        <v>43495</v>
      </c>
      <c r="AP89" s="141">
        <v>44032</v>
      </c>
      <c r="AQ89" s="141">
        <v>44474</v>
      </c>
      <c r="AR89" s="141">
        <v>44856</v>
      </c>
      <c r="AS89" s="141">
        <v>45009</v>
      </c>
      <c r="AT89" s="141">
        <v>44956</v>
      </c>
      <c r="AU89" s="141">
        <v>44853</v>
      </c>
      <c r="AV89" s="141">
        <v>45331</v>
      </c>
      <c r="AW89" s="141">
        <v>46133</v>
      </c>
      <c r="AX89" s="141">
        <v>47577</v>
      </c>
      <c r="AY89" s="141">
        <v>48976</v>
      </c>
      <c r="AZ89" s="141">
        <v>49515</v>
      </c>
      <c r="BA89" s="141">
        <v>50068</v>
      </c>
      <c r="BB89" s="141">
        <v>50884</v>
      </c>
      <c r="BC89" s="141">
        <v>51515</v>
      </c>
      <c r="BD89" s="141">
        <v>52163</v>
      </c>
      <c r="BE89" s="141">
        <v>52712</v>
      </c>
      <c r="BF89" s="141">
        <v>53425</v>
      </c>
      <c r="BG89" s="141">
        <v>54069</v>
      </c>
      <c r="BH89" s="141">
        <v>54730</v>
      </c>
      <c r="BI89" s="141">
        <v>55298</v>
      </c>
      <c r="BJ89" s="141">
        <v>55940</v>
      </c>
      <c r="BK89" s="141">
        <v>56622</v>
      </c>
      <c r="BL89" s="141">
        <v>57333</v>
      </c>
      <c r="BM89" s="141">
        <v>58015</v>
      </c>
      <c r="BN89" s="141">
        <v>58669</v>
      </c>
      <c r="BO89" s="141">
        <v>59268</v>
      </c>
      <c r="BP89" s="141">
        <v>59893</v>
      </c>
      <c r="BQ89" s="141">
        <v>60444</v>
      </c>
      <c r="BR89" s="141">
        <v>60993</v>
      </c>
      <c r="BS89" s="141">
        <v>61490</v>
      </c>
      <c r="BT89" s="141">
        <v>62024</v>
      </c>
      <c r="BU89" s="141">
        <v>62534</v>
      </c>
      <c r="BV89" s="141">
        <v>63074</v>
      </c>
      <c r="BW89" s="141">
        <v>63592</v>
      </c>
      <c r="BX89" s="141">
        <v>64130</v>
      </c>
      <c r="BY89" s="141">
        <v>64654</v>
      </c>
      <c r="BZ89" s="141">
        <v>65255</v>
      </c>
      <c r="CA89" s="141">
        <v>65814</v>
      </c>
      <c r="CB89" s="141">
        <v>66340</v>
      </c>
      <c r="CC89" s="141">
        <v>66842</v>
      </c>
      <c r="CD89" s="141">
        <v>67334</v>
      </c>
      <c r="CE89" s="141">
        <v>67825</v>
      </c>
      <c r="CF89" s="141">
        <v>68313</v>
      </c>
      <c r="CG89" s="141">
        <v>68804</v>
      </c>
      <c r="CH89" s="141">
        <v>69273</v>
      </c>
      <c r="CI89" s="141">
        <v>69763</v>
      </c>
      <c r="CJ89" s="141">
        <v>70207</v>
      </c>
      <c r="CK89" s="141">
        <v>70658</v>
      </c>
      <c r="CL89" s="141">
        <v>71130</v>
      </c>
      <c r="CM89" s="141">
        <v>71558</v>
      </c>
      <c r="CN89" s="141">
        <v>72000</v>
      </c>
      <c r="CO89" s="141">
        <v>72415</v>
      </c>
      <c r="CP89" s="141">
        <v>72853</v>
      </c>
      <c r="CQ89" s="141">
        <v>73268</v>
      </c>
      <c r="CR89" s="141">
        <v>73665</v>
      </c>
      <c r="CS89" s="141">
        <v>74075</v>
      </c>
      <c r="CT89" s="141">
        <v>74469</v>
      </c>
      <c r="CU89" s="141">
        <v>74856</v>
      </c>
      <c r="CV89" s="141">
        <v>75218</v>
      </c>
      <c r="CW89" s="141">
        <v>75601</v>
      </c>
      <c r="CX89" s="141">
        <v>75973</v>
      </c>
      <c r="CY89" s="141">
        <v>76334</v>
      </c>
      <c r="CZ89" s="141">
        <v>76666</v>
      </c>
      <c r="DA89" s="141">
        <v>77020</v>
      </c>
      <c r="DB89" s="141">
        <v>77365</v>
      </c>
      <c r="DC89" s="141">
        <v>77726</v>
      </c>
      <c r="DD89" s="141">
        <v>78056</v>
      </c>
      <c r="DE89" s="141">
        <v>78393</v>
      </c>
      <c r="DF89" s="141">
        <v>78746</v>
      </c>
      <c r="DG89" s="141">
        <v>79048</v>
      </c>
      <c r="DH89" s="141">
        <v>79378</v>
      </c>
      <c r="DI89" s="141">
        <v>79670</v>
      </c>
      <c r="DJ89" s="141">
        <v>79992</v>
      </c>
      <c r="DK89" s="141">
        <v>80301</v>
      </c>
      <c r="DL89" s="141">
        <v>80597</v>
      </c>
      <c r="DM89" s="141">
        <v>80901</v>
      </c>
      <c r="DN89" s="141">
        <v>81200</v>
      </c>
      <c r="DO89" s="141">
        <v>81495</v>
      </c>
    </row>
    <row r="90" spans="1:119">
      <c r="A90" s="140">
        <v>88</v>
      </c>
      <c r="W90" s="141">
        <v>24960</v>
      </c>
      <c r="X90" s="141">
        <v>25839</v>
      </c>
      <c r="Y90" s="141">
        <v>26502</v>
      </c>
      <c r="Z90" s="141">
        <v>27852</v>
      </c>
      <c r="AA90" s="141">
        <v>28393</v>
      </c>
      <c r="AB90" s="141">
        <v>29296</v>
      </c>
      <c r="AC90" s="141">
        <v>30191</v>
      </c>
      <c r="AD90" s="141">
        <v>30865</v>
      </c>
      <c r="AE90" s="141">
        <v>31519</v>
      </c>
      <c r="AF90" s="141">
        <v>32494</v>
      </c>
      <c r="AG90" s="141">
        <v>33185</v>
      </c>
      <c r="AH90" s="141">
        <v>33826</v>
      </c>
      <c r="AI90" s="141">
        <v>34508</v>
      </c>
      <c r="AJ90" s="141">
        <v>35761</v>
      </c>
      <c r="AK90" s="141">
        <v>36493</v>
      </c>
      <c r="AL90" s="141">
        <v>37412</v>
      </c>
      <c r="AM90" s="141">
        <v>38269</v>
      </c>
      <c r="AN90" s="141">
        <v>39103</v>
      </c>
      <c r="AO90" s="141">
        <v>39700</v>
      </c>
      <c r="AP90" s="141">
        <v>40247</v>
      </c>
      <c r="AQ90" s="141">
        <v>40708</v>
      </c>
      <c r="AR90" s="141">
        <v>41114</v>
      </c>
      <c r="AS90" s="141">
        <v>41308</v>
      </c>
      <c r="AT90" s="141">
        <v>41310</v>
      </c>
      <c r="AU90" s="141">
        <v>41265</v>
      </c>
      <c r="AV90" s="141">
        <v>41754</v>
      </c>
      <c r="AW90" s="141">
        <v>42543</v>
      </c>
      <c r="AX90" s="141">
        <v>43924</v>
      </c>
      <c r="AY90" s="141">
        <v>45267</v>
      </c>
      <c r="AZ90" s="141">
        <v>45816</v>
      </c>
      <c r="BA90" s="141">
        <v>46379</v>
      </c>
      <c r="BB90" s="141">
        <v>47186</v>
      </c>
      <c r="BC90" s="141">
        <v>47822</v>
      </c>
      <c r="BD90" s="141">
        <v>48474</v>
      </c>
      <c r="BE90" s="141">
        <v>49035</v>
      </c>
      <c r="BF90" s="141">
        <v>49749</v>
      </c>
      <c r="BG90" s="141">
        <v>50399</v>
      </c>
      <c r="BH90" s="141">
        <v>51066</v>
      </c>
      <c r="BI90" s="141">
        <v>51646</v>
      </c>
      <c r="BJ90" s="141">
        <v>52296</v>
      </c>
      <c r="BK90" s="141">
        <v>52984</v>
      </c>
      <c r="BL90" s="141">
        <v>53699</v>
      </c>
      <c r="BM90" s="141">
        <v>54388</v>
      </c>
      <c r="BN90" s="141">
        <v>55051</v>
      </c>
      <c r="BO90" s="141">
        <v>55662</v>
      </c>
      <c r="BP90" s="141">
        <v>56299</v>
      </c>
      <c r="BQ90" s="141">
        <v>56867</v>
      </c>
      <c r="BR90" s="141">
        <v>57432</v>
      </c>
      <c r="BS90" s="141">
        <v>57949</v>
      </c>
      <c r="BT90" s="141">
        <v>58501</v>
      </c>
      <c r="BU90" s="141">
        <v>59030</v>
      </c>
      <c r="BV90" s="141">
        <v>59588</v>
      </c>
      <c r="BW90" s="141">
        <v>60124</v>
      </c>
      <c r="BX90" s="141">
        <v>60681</v>
      </c>
      <c r="BY90" s="141">
        <v>61224</v>
      </c>
      <c r="BZ90" s="141">
        <v>61841</v>
      </c>
      <c r="CA90" s="141">
        <v>62416</v>
      </c>
      <c r="CB90" s="141">
        <v>62963</v>
      </c>
      <c r="CC90" s="141">
        <v>63485</v>
      </c>
      <c r="CD90" s="141">
        <v>63999</v>
      </c>
      <c r="CE90" s="141">
        <v>64511</v>
      </c>
      <c r="CF90" s="141">
        <v>65020</v>
      </c>
      <c r="CG90" s="141">
        <v>65533</v>
      </c>
      <c r="CH90" s="141">
        <v>66024</v>
      </c>
      <c r="CI90" s="141">
        <v>66536</v>
      </c>
      <c r="CJ90" s="141">
        <v>67003</v>
      </c>
      <c r="CK90" s="141">
        <v>67477</v>
      </c>
      <c r="CL90" s="141">
        <v>67972</v>
      </c>
      <c r="CM90" s="141">
        <v>68424</v>
      </c>
      <c r="CN90" s="141">
        <v>68890</v>
      </c>
      <c r="CO90" s="141">
        <v>69329</v>
      </c>
      <c r="CP90" s="141">
        <v>69791</v>
      </c>
      <c r="CQ90" s="141">
        <v>70230</v>
      </c>
      <c r="CR90" s="141">
        <v>70652</v>
      </c>
      <c r="CS90" s="141">
        <v>71087</v>
      </c>
      <c r="CT90" s="141">
        <v>71506</v>
      </c>
      <c r="CU90" s="141">
        <v>71918</v>
      </c>
      <c r="CV90" s="141">
        <v>72305</v>
      </c>
      <c r="CW90" s="141">
        <v>72713</v>
      </c>
      <c r="CX90" s="141">
        <v>73111</v>
      </c>
      <c r="CY90" s="141">
        <v>73497</v>
      </c>
      <c r="CZ90" s="141">
        <v>73856</v>
      </c>
      <c r="DA90" s="141">
        <v>74235</v>
      </c>
      <c r="DB90" s="141">
        <v>74606</v>
      </c>
      <c r="DC90" s="141">
        <v>74991</v>
      </c>
      <c r="DD90" s="141">
        <v>75348</v>
      </c>
      <c r="DE90" s="141">
        <v>75710</v>
      </c>
      <c r="DF90" s="141">
        <v>76087</v>
      </c>
      <c r="DG90" s="141">
        <v>76415</v>
      </c>
      <c r="DH90" s="141">
        <v>76770</v>
      </c>
      <c r="DI90" s="141">
        <v>77088</v>
      </c>
      <c r="DJ90" s="141">
        <v>77435</v>
      </c>
      <c r="DK90" s="141">
        <v>77769</v>
      </c>
      <c r="DL90" s="141">
        <v>78090</v>
      </c>
      <c r="DM90" s="141">
        <v>78418</v>
      </c>
      <c r="DN90" s="141">
        <v>78743</v>
      </c>
      <c r="DO90" s="141">
        <v>79062</v>
      </c>
    </row>
    <row r="91" spans="1:119">
      <c r="A91" s="140">
        <v>89</v>
      </c>
      <c r="W91" s="141">
        <v>21908</v>
      </c>
      <c r="X91" s="141">
        <v>22705</v>
      </c>
      <c r="Y91" s="141">
        <v>23326</v>
      </c>
      <c r="Z91" s="141">
        <v>24401</v>
      </c>
      <c r="AA91" s="141">
        <v>25133</v>
      </c>
      <c r="AB91" s="141">
        <v>25820</v>
      </c>
      <c r="AC91" s="141">
        <v>26652</v>
      </c>
      <c r="AD91" s="141">
        <v>27298</v>
      </c>
      <c r="AE91" s="141">
        <v>27929</v>
      </c>
      <c r="AF91" s="141">
        <v>28846</v>
      </c>
      <c r="AG91" s="141">
        <v>29512</v>
      </c>
      <c r="AH91" s="141">
        <v>30135</v>
      </c>
      <c r="AI91" s="141">
        <v>30797</v>
      </c>
      <c r="AJ91" s="141">
        <v>31970</v>
      </c>
      <c r="AK91" s="141">
        <v>32680</v>
      </c>
      <c r="AL91" s="141">
        <v>33559</v>
      </c>
      <c r="AM91" s="141">
        <v>34383</v>
      </c>
      <c r="AN91" s="141">
        <v>35189</v>
      </c>
      <c r="AO91" s="141">
        <v>35784</v>
      </c>
      <c r="AP91" s="141">
        <v>36334</v>
      </c>
      <c r="AQ91" s="141">
        <v>36806</v>
      </c>
      <c r="AR91" s="141">
        <v>37229</v>
      </c>
      <c r="AS91" s="141">
        <v>37457</v>
      </c>
      <c r="AT91" s="141">
        <v>37509</v>
      </c>
      <c r="AU91" s="141">
        <v>37518</v>
      </c>
      <c r="AV91" s="141">
        <v>38012</v>
      </c>
      <c r="AW91" s="141">
        <v>38780</v>
      </c>
      <c r="AX91" s="141">
        <v>40090</v>
      </c>
      <c r="AY91" s="141">
        <v>41368</v>
      </c>
      <c r="AZ91" s="141">
        <v>41921</v>
      </c>
      <c r="BA91" s="141">
        <v>42488</v>
      </c>
      <c r="BB91" s="141">
        <v>43279</v>
      </c>
      <c r="BC91" s="141">
        <v>43914</v>
      </c>
      <c r="BD91" s="141">
        <v>44566</v>
      </c>
      <c r="BE91" s="141">
        <v>45133</v>
      </c>
      <c r="BF91" s="141">
        <v>45842</v>
      </c>
      <c r="BG91" s="141">
        <v>46493</v>
      </c>
      <c r="BH91" s="141">
        <v>47160</v>
      </c>
      <c r="BI91" s="141">
        <v>47748</v>
      </c>
      <c r="BJ91" s="141">
        <v>48400</v>
      </c>
      <c r="BK91" s="141">
        <v>49089</v>
      </c>
      <c r="BL91" s="141">
        <v>49803</v>
      </c>
      <c r="BM91" s="141">
        <v>50494</v>
      </c>
      <c r="BN91" s="141">
        <v>51161</v>
      </c>
      <c r="BO91" s="141">
        <v>51781</v>
      </c>
      <c r="BP91" s="141">
        <v>52425</v>
      </c>
      <c r="BQ91" s="141">
        <v>53005</v>
      </c>
      <c r="BR91" s="141">
        <v>53583</v>
      </c>
      <c r="BS91" s="141">
        <v>54116</v>
      </c>
      <c r="BT91" s="141">
        <v>54682</v>
      </c>
      <c r="BU91" s="141">
        <v>55227</v>
      </c>
      <c r="BV91" s="141">
        <v>55799</v>
      </c>
      <c r="BW91" s="141">
        <v>56352</v>
      </c>
      <c r="BX91" s="141">
        <v>56924</v>
      </c>
      <c r="BY91" s="141">
        <v>57483</v>
      </c>
      <c r="BZ91" s="141">
        <v>58111</v>
      </c>
      <c r="CA91" s="141">
        <v>58702</v>
      </c>
      <c r="CB91" s="141">
        <v>59265</v>
      </c>
      <c r="CC91" s="141">
        <v>59805</v>
      </c>
      <c r="CD91" s="141">
        <v>60338</v>
      </c>
      <c r="CE91" s="141">
        <v>60869</v>
      </c>
      <c r="CF91" s="141">
        <v>61398</v>
      </c>
      <c r="CG91" s="141">
        <v>61930</v>
      </c>
      <c r="CH91" s="141">
        <v>62442</v>
      </c>
      <c r="CI91" s="141">
        <v>62973</v>
      </c>
      <c r="CJ91" s="141">
        <v>63462</v>
      </c>
      <c r="CK91" s="141">
        <v>63958</v>
      </c>
      <c r="CL91" s="141">
        <v>64474</v>
      </c>
      <c r="CM91" s="141">
        <v>64949</v>
      </c>
      <c r="CN91" s="141">
        <v>65437</v>
      </c>
      <c r="CO91" s="141">
        <v>65900</v>
      </c>
      <c r="CP91" s="141">
        <v>66384</v>
      </c>
      <c r="CQ91" s="141">
        <v>66847</v>
      </c>
      <c r="CR91" s="141">
        <v>67293</v>
      </c>
      <c r="CS91" s="141">
        <v>67751</v>
      </c>
      <c r="CT91" s="141">
        <v>68195</v>
      </c>
      <c r="CU91" s="141">
        <v>68632</v>
      </c>
      <c r="CV91" s="141">
        <v>69045</v>
      </c>
      <c r="CW91" s="141">
        <v>69477</v>
      </c>
      <c r="CX91" s="141">
        <v>69900</v>
      </c>
      <c r="CY91" s="141">
        <v>70312</v>
      </c>
      <c r="CZ91" s="141">
        <v>70697</v>
      </c>
      <c r="DA91" s="141">
        <v>71101</v>
      </c>
      <c r="DB91" s="141">
        <v>71498</v>
      </c>
      <c r="DC91" s="141">
        <v>71908</v>
      </c>
      <c r="DD91" s="141">
        <v>72290</v>
      </c>
      <c r="DE91" s="141">
        <v>72678</v>
      </c>
      <c r="DF91" s="141">
        <v>73080</v>
      </c>
      <c r="DG91" s="141">
        <v>73435</v>
      </c>
      <c r="DH91" s="141">
        <v>73815</v>
      </c>
      <c r="DI91" s="141">
        <v>74160</v>
      </c>
      <c r="DJ91" s="141">
        <v>74533</v>
      </c>
      <c r="DK91" s="141">
        <v>74892</v>
      </c>
      <c r="DL91" s="141">
        <v>75239</v>
      </c>
      <c r="DM91" s="141">
        <v>75593</v>
      </c>
      <c r="DN91" s="141">
        <v>75943</v>
      </c>
      <c r="DO91" s="141">
        <v>76288</v>
      </c>
    </row>
    <row r="92" spans="1:119">
      <c r="A92" s="140">
        <v>90</v>
      </c>
      <c r="W92" s="141">
        <v>18898</v>
      </c>
      <c r="X92" s="141">
        <v>19580</v>
      </c>
      <c r="Y92" s="141">
        <v>20056</v>
      </c>
      <c r="Z92" s="141">
        <v>21244</v>
      </c>
      <c r="AA92" s="141">
        <v>21723</v>
      </c>
      <c r="AB92" s="141">
        <v>22369</v>
      </c>
      <c r="AC92" s="141">
        <v>23139</v>
      </c>
      <c r="AD92" s="141">
        <v>23750</v>
      </c>
      <c r="AE92" s="141">
        <v>24349</v>
      </c>
      <c r="AF92" s="141">
        <v>25199</v>
      </c>
      <c r="AG92" s="141">
        <v>25833</v>
      </c>
      <c r="AH92" s="141">
        <v>26430</v>
      </c>
      <c r="AI92" s="141">
        <v>27063</v>
      </c>
      <c r="AJ92" s="141">
        <v>28148</v>
      </c>
      <c r="AK92" s="141">
        <v>28827</v>
      </c>
      <c r="AL92" s="141">
        <v>29656</v>
      </c>
      <c r="AM92" s="141">
        <v>30440</v>
      </c>
      <c r="AN92" s="141">
        <v>31210</v>
      </c>
      <c r="AO92" s="141">
        <v>31793</v>
      </c>
      <c r="AP92" s="141">
        <v>32337</v>
      </c>
      <c r="AQ92" s="141">
        <v>32813</v>
      </c>
      <c r="AR92" s="141">
        <v>33242</v>
      </c>
      <c r="AS92" s="141">
        <v>33496</v>
      </c>
      <c r="AT92" s="141">
        <v>33592</v>
      </c>
      <c r="AU92" s="141">
        <v>33650</v>
      </c>
      <c r="AV92" s="141">
        <v>34143</v>
      </c>
      <c r="AW92" s="141">
        <v>34882</v>
      </c>
      <c r="AX92" s="141">
        <v>36112</v>
      </c>
      <c r="AY92" s="141">
        <v>37314</v>
      </c>
      <c r="AZ92" s="141">
        <v>37866</v>
      </c>
      <c r="BA92" s="141">
        <v>38429</v>
      </c>
      <c r="BB92" s="141">
        <v>39197</v>
      </c>
      <c r="BC92" s="141">
        <v>39825</v>
      </c>
      <c r="BD92" s="141">
        <v>40468</v>
      </c>
      <c r="BE92" s="141">
        <v>41035</v>
      </c>
      <c r="BF92" s="141">
        <v>41733</v>
      </c>
      <c r="BG92" s="141">
        <v>42378</v>
      </c>
      <c r="BH92" s="141">
        <v>43039</v>
      </c>
      <c r="BI92" s="141">
        <v>43628</v>
      </c>
      <c r="BJ92" s="141">
        <v>44277</v>
      </c>
      <c r="BK92" s="141">
        <v>44959</v>
      </c>
      <c r="BL92" s="141">
        <v>45666</v>
      </c>
      <c r="BM92" s="141">
        <v>46353</v>
      </c>
      <c r="BN92" s="141">
        <v>47018</v>
      </c>
      <c r="BO92" s="141">
        <v>47641</v>
      </c>
      <c r="BP92" s="141">
        <v>48286</v>
      </c>
      <c r="BQ92" s="141">
        <v>48873</v>
      </c>
      <c r="BR92" s="141">
        <v>49459</v>
      </c>
      <c r="BS92" s="141">
        <v>50004</v>
      </c>
      <c r="BT92" s="141">
        <v>50580</v>
      </c>
      <c r="BU92" s="141">
        <v>51136</v>
      </c>
      <c r="BV92" s="141">
        <v>51718</v>
      </c>
      <c r="BW92" s="141">
        <v>52283</v>
      </c>
      <c r="BX92" s="141">
        <v>52865</v>
      </c>
      <c r="BY92" s="141">
        <v>53436</v>
      </c>
      <c r="BZ92" s="141">
        <v>54072</v>
      </c>
      <c r="CA92" s="141">
        <v>54673</v>
      </c>
      <c r="CB92" s="141">
        <v>55248</v>
      </c>
      <c r="CC92" s="141">
        <v>55804</v>
      </c>
      <c r="CD92" s="141">
        <v>56352</v>
      </c>
      <c r="CE92" s="141">
        <v>56899</v>
      </c>
      <c r="CF92" s="141">
        <v>57444</v>
      </c>
      <c r="CG92" s="141">
        <v>57992</v>
      </c>
      <c r="CH92" s="141">
        <v>58521</v>
      </c>
      <c r="CI92" s="141">
        <v>59069</v>
      </c>
      <c r="CJ92" s="141">
        <v>59578</v>
      </c>
      <c r="CK92" s="141">
        <v>60093</v>
      </c>
      <c r="CL92" s="141">
        <v>60626</v>
      </c>
      <c r="CM92" s="141">
        <v>61122</v>
      </c>
      <c r="CN92" s="141">
        <v>61630</v>
      </c>
      <c r="CO92" s="141">
        <v>62114</v>
      </c>
      <c r="CP92" s="141">
        <v>62619</v>
      </c>
      <c r="CQ92" s="141">
        <v>63103</v>
      </c>
      <c r="CR92" s="141">
        <v>63572</v>
      </c>
      <c r="CS92" s="141">
        <v>64052</v>
      </c>
      <c r="CT92" s="141">
        <v>64519</v>
      </c>
      <c r="CU92" s="141">
        <v>64979</v>
      </c>
      <c r="CV92" s="141">
        <v>65416</v>
      </c>
      <c r="CW92" s="141">
        <v>65872</v>
      </c>
      <c r="CX92" s="141">
        <v>66318</v>
      </c>
      <c r="CY92" s="141">
        <v>66755</v>
      </c>
      <c r="CZ92" s="141">
        <v>67165</v>
      </c>
      <c r="DA92" s="141">
        <v>67595</v>
      </c>
      <c r="DB92" s="141">
        <v>68016</v>
      </c>
      <c r="DC92" s="141">
        <v>68451</v>
      </c>
      <c r="DD92" s="141">
        <v>68859</v>
      </c>
      <c r="DE92" s="141">
        <v>69272</v>
      </c>
      <c r="DF92" s="141">
        <v>69698</v>
      </c>
      <c r="DG92" s="141">
        <v>70079</v>
      </c>
      <c r="DH92" s="141">
        <v>70485</v>
      </c>
      <c r="DI92" s="141">
        <v>70856</v>
      </c>
      <c r="DJ92" s="141">
        <v>71254</v>
      </c>
      <c r="DK92" s="141">
        <v>71640</v>
      </c>
      <c r="DL92" s="141">
        <v>72013</v>
      </c>
      <c r="DM92" s="141">
        <v>72393</v>
      </c>
      <c r="DN92" s="141">
        <v>72768</v>
      </c>
      <c r="DO92" s="141">
        <v>73139</v>
      </c>
    </row>
    <row r="93" spans="1:119">
      <c r="A93" s="140">
        <v>91</v>
      </c>
      <c r="W93" s="141">
        <v>15959</v>
      </c>
      <c r="X93" s="141">
        <v>16491</v>
      </c>
      <c r="Y93" s="141">
        <v>17136</v>
      </c>
      <c r="Z93" s="141">
        <v>17958</v>
      </c>
      <c r="AA93" s="141">
        <v>18423</v>
      </c>
      <c r="AB93" s="141">
        <v>19017</v>
      </c>
      <c r="AC93" s="141">
        <v>19718</v>
      </c>
      <c r="AD93" s="141">
        <v>20285</v>
      </c>
      <c r="AE93" s="141">
        <v>20844</v>
      </c>
      <c r="AF93" s="141">
        <v>21621</v>
      </c>
      <c r="AG93" s="141">
        <v>22213</v>
      </c>
      <c r="AH93" s="141">
        <v>22776</v>
      </c>
      <c r="AI93" s="141">
        <v>23372</v>
      </c>
      <c r="AJ93" s="141">
        <v>24359</v>
      </c>
      <c r="AK93" s="141">
        <v>24999</v>
      </c>
      <c r="AL93" s="141">
        <v>25771</v>
      </c>
      <c r="AM93" s="141">
        <v>26505</v>
      </c>
      <c r="AN93" s="141">
        <v>27229</v>
      </c>
      <c r="AO93" s="141">
        <v>27792</v>
      </c>
      <c r="AP93" s="141">
        <v>28322</v>
      </c>
      <c r="AQ93" s="141">
        <v>28789</v>
      </c>
      <c r="AR93" s="141">
        <v>29214</v>
      </c>
      <c r="AS93" s="141">
        <v>29486</v>
      </c>
      <c r="AT93" s="141">
        <v>29620</v>
      </c>
      <c r="AU93" s="141">
        <v>29719</v>
      </c>
      <c r="AV93" s="141">
        <v>30203</v>
      </c>
      <c r="AW93" s="141">
        <v>30906</v>
      </c>
      <c r="AX93" s="141">
        <v>32045</v>
      </c>
      <c r="AY93" s="141">
        <v>33163</v>
      </c>
      <c r="AZ93" s="141">
        <v>33705</v>
      </c>
      <c r="BA93" s="141">
        <v>34257</v>
      </c>
      <c r="BB93" s="141">
        <v>34994</v>
      </c>
      <c r="BC93" s="141">
        <v>35606</v>
      </c>
      <c r="BD93" s="141">
        <v>36233</v>
      </c>
      <c r="BE93" s="141">
        <v>36793</v>
      </c>
      <c r="BF93" s="141">
        <v>37470</v>
      </c>
      <c r="BG93" s="141">
        <v>38102</v>
      </c>
      <c r="BH93" s="141">
        <v>38749</v>
      </c>
      <c r="BI93" s="141">
        <v>39332</v>
      </c>
      <c r="BJ93" s="141">
        <v>39971</v>
      </c>
      <c r="BK93" s="141">
        <v>40640</v>
      </c>
      <c r="BL93" s="141">
        <v>41332</v>
      </c>
      <c r="BM93" s="141">
        <v>42007</v>
      </c>
      <c r="BN93" s="141">
        <v>42663</v>
      </c>
      <c r="BO93" s="141">
        <v>43282</v>
      </c>
      <c r="BP93" s="141">
        <v>43922</v>
      </c>
      <c r="BQ93" s="141">
        <v>44509</v>
      </c>
      <c r="BR93" s="141">
        <v>45097</v>
      </c>
      <c r="BS93" s="141">
        <v>45647</v>
      </c>
      <c r="BT93" s="141">
        <v>46226</v>
      </c>
      <c r="BU93" s="141">
        <v>46788</v>
      </c>
      <c r="BV93" s="141">
        <v>47374</v>
      </c>
      <c r="BW93" s="141">
        <v>47944</v>
      </c>
      <c r="BX93" s="141">
        <v>48532</v>
      </c>
      <c r="BY93" s="141">
        <v>49109</v>
      </c>
      <c r="BZ93" s="141">
        <v>49746</v>
      </c>
      <c r="CA93" s="141">
        <v>50352</v>
      </c>
      <c r="CB93" s="141">
        <v>50935</v>
      </c>
      <c r="CC93" s="141">
        <v>51500</v>
      </c>
      <c r="CD93" s="141">
        <v>52058</v>
      </c>
      <c r="CE93" s="141">
        <v>52616</v>
      </c>
      <c r="CF93" s="141">
        <v>53173</v>
      </c>
      <c r="CG93" s="141">
        <v>53732</v>
      </c>
      <c r="CH93" s="141">
        <v>54275</v>
      </c>
      <c r="CI93" s="141">
        <v>54835</v>
      </c>
      <c r="CJ93" s="141">
        <v>55359</v>
      </c>
      <c r="CK93" s="141">
        <v>55890</v>
      </c>
      <c r="CL93" s="141">
        <v>56437</v>
      </c>
      <c r="CM93" s="141">
        <v>56950</v>
      </c>
      <c r="CN93" s="141">
        <v>57474</v>
      </c>
      <c r="CO93" s="141">
        <v>57977</v>
      </c>
      <c r="CP93" s="141">
        <v>58498</v>
      </c>
      <c r="CQ93" s="141">
        <v>59001</v>
      </c>
      <c r="CR93" s="141">
        <v>59490</v>
      </c>
      <c r="CS93" s="141">
        <v>59989</v>
      </c>
      <c r="CT93" s="141">
        <v>60476</v>
      </c>
      <c r="CU93" s="141">
        <v>60956</v>
      </c>
      <c r="CV93" s="141">
        <v>61416</v>
      </c>
      <c r="CW93" s="141">
        <v>61892</v>
      </c>
      <c r="CX93" s="141">
        <v>62361</v>
      </c>
      <c r="CY93" s="141">
        <v>62819</v>
      </c>
      <c r="CZ93" s="141">
        <v>63254</v>
      </c>
      <c r="DA93" s="141">
        <v>63706</v>
      </c>
      <c r="DB93" s="141">
        <v>64151</v>
      </c>
      <c r="DC93" s="141">
        <v>64608</v>
      </c>
      <c r="DD93" s="141">
        <v>65040</v>
      </c>
      <c r="DE93" s="141">
        <v>65476</v>
      </c>
      <c r="DF93" s="141">
        <v>65926</v>
      </c>
      <c r="DG93" s="141">
        <v>66332</v>
      </c>
      <c r="DH93" s="141">
        <v>66762</v>
      </c>
      <c r="DI93" s="141">
        <v>67159</v>
      </c>
      <c r="DJ93" s="141">
        <v>67582</v>
      </c>
      <c r="DK93" s="141">
        <v>67992</v>
      </c>
      <c r="DL93" s="141">
        <v>68390</v>
      </c>
      <c r="DM93" s="141">
        <v>68796</v>
      </c>
      <c r="DN93" s="141">
        <v>69196</v>
      </c>
      <c r="DO93" s="141">
        <v>69592</v>
      </c>
    </row>
    <row r="94" spans="1:119">
      <c r="A94" s="140">
        <v>92</v>
      </c>
      <c r="W94" s="141">
        <v>13142</v>
      </c>
      <c r="X94" s="141">
        <v>13758</v>
      </c>
      <c r="Y94" s="141">
        <v>14147</v>
      </c>
      <c r="Z94" s="141">
        <v>14874</v>
      </c>
      <c r="AA94" s="141">
        <v>15300</v>
      </c>
      <c r="AB94" s="141">
        <v>15834</v>
      </c>
      <c r="AC94" s="141">
        <v>16460</v>
      </c>
      <c r="AD94" s="141">
        <v>16977</v>
      </c>
      <c r="AE94" s="141">
        <v>17489</v>
      </c>
      <c r="AF94" s="141">
        <v>18185</v>
      </c>
      <c r="AG94" s="141">
        <v>18729</v>
      </c>
      <c r="AH94" s="141">
        <v>19249</v>
      </c>
      <c r="AI94" s="141">
        <v>19799</v>
      </c>
      <c r="AJ94" s="141">
        <v>20684</v>
      </c>
      <c r="AK94" s="141">
        <v>21275</v>
      </c>
      <c r="AL94" s="141">
        <v>21981</v>
      </c>
      <c r="AM94" s="141">
        <v>22658</v>
      </c>
      <c r="AN94" s="141">
        <v>23328</v>
      </c>
      <c r="AO94" s="141">
        <v>23861</v>
      </c>
      <c r="AP94" s="141">
        <v>24363</v>
      </c>
      <c r="AQ94" s="141">
        <v>24811</v>
      </c>
      <c r="AR94" s="141">
        <v>25224</v>
      </c>
      <c r="AS94" s="141">
        <v>25506</v>
      </c>
      <c r="AT94" s="141">
        <v>25669</v>
      </c>
      <c r="AU94" s="141">
        <v>25801</v>
      </c>
      <c r="AV94" s="141">
        <v>26267</v>
      </c>
      <c r="AW94" s="141">
        <v>26925</v>
      </c>
      <c r="AX94" s="141">
        <v>27966</v>
      </c>
      <c r="AY94" s="141">
        <v>28991</v>
      </c>
      <c r="AZ94" s="141">
        <v>29513</v>
      </c>
      <c r="BA94" s="141">
        <v>30046</v>
      </c>
      <c r="BB94" s="141">
        <v>30742</v>
      </c>
      <c r="BC94" s="141">
        <v>31330</v>
      </c>
      <c r="BD94" s="141">
        <v>31933</v>
      </c>
      <c r="BE94" s="141">
        <v>32477</v>
      </c>
      <c r="BF94" s="141">
        <v>33126</v>
      </c>
      <c r="BG94" s="141">
        <v>33736</v>
      </c>
      <c r="BH94" s="141">
        <v>34361</v>
      </c>
      <c r="BI94" s="141">
        <v>34930</v>
      </c>
      <c r="BJ94" s="141">
        <v>35548</v>
      </c>
      <c r="BK94" s="141">
        <v>36196</v>
      </c>
      <c r="BL94" s="141">
        <v>36865</v>
      </c>
      <c r="BM94" s="141">
        <v>37520</v>
      </c>
      <c r="BN94" s="141">
        <v>38159</v>
      </c>
      <c r="BO94" s="141">
        <v>38765</v>
      </c>
      <c r="BP94" s="141">
        <v>39392</v>
      </c>
      <c r="BQ94" s="141">
        <v>39972</v>
      </c>
      <c r="BR94" s="141">
        <v>40553</v>
      </c>
      <c r="BS94" s="141">
        <v>41101</v>
      </c>
      <c r="BT94" s="141">
        <v>41676</v>
      </c>
      <c r="BU94" s="141">
        <v>42236</v>
      </c>
      <c r="BV94" s="141">
        <v>42819</v>
      </c>
      <c r="BW94" s="141">
        <v>43388</v>
      </c>
      <c r="BX94" s="141">
        <v>43973</v>
      </c>
      <c r="BY94" s="141">
        <v>44550</v>
      </c>
      <c r="BZ94" s="141">
        <v>45182</v>
      </c>
      <c r="CA94" s="141">
        <v>45786</v>
      </c>
      <c r="CB94" s="141">
        <v>46370</v>
      </c>
      <c r="CC94" s="141">
        <v>46938</v>
      </c>
      <c r="CD94" s="141">
        <v>47500</v>
      </c>
      <c r="CE94" s="141">
        <v>48063</v>
      </c>
      <c r="CF94" s="141">
        <v>48625</v>
      </c>
      <c r="CG94" s="141">
        <v>49190</v>
      </c>
      <c r="CH94" s="141">
        <v>49740</v>
      </c>
      <c r="CI94" s="141">
        <v>50307</v>
      </c>
      <c r="CJ94" s="141">
        <v>50841</v>
      </c>
      <c r="CK94" s="141">
        <v>51381</v>
      </c>
      <c r="CL94" s="141">
        <v>51937</v>
      </c>
      <c r="CM94" s="141">
        <v>52462</v>
      </c>
      <c r="CN94" s="141">
        <v>52997</v>
      </c>
      <c r="CO94" s="141">
        <v>53513</v>
      </c>
      <c r="CP94" s="141">
        <v>54047</v>
      </c>
      <c r="CQ94" s="141">
        <v>54564</v>
      </c>
      <c r="CR94" s="141">
        <v>55068</v>
      </c>
      <c r="CS94" s="141">
        <v>55582</v>
      </c>
      <c r="CT94" s="141">
        <v>56084</v>
      </c>
      <c r="CU94" s="141">
        <v>56581</v>
      </c>
      <c r="CV94" s="141">
        <v>57059</v>
      </c>
      <c r="CW94" s="141">
        <v>57553</v>
      </c>
      <c r="CX94" s="141">
        <v>58039</v>
      </c>
      <c r="CY94" s="141">
        <v>58517</v>
      </c>
      <c r="CZ94" s="141">
        <v>58972</v>
      </c>
      <c r="DA94" s="141">
        <v>59443</v>
      </c>
      <c r="DB94" s="141">
        <v>59909</v>
      </c>
      <c r="DC94" s="141">
        <v>60385</v>
      </c>
      <c r="DD94" s="141">
        <v>60838</v>
      </c>
      <c r="DE94" s="141">
        <v>61296</v>
      </c>
      <c r="DF94" s="141">
        <v>61765</v>
      </c>
      <c r="DG94" s="141">
        <v>62195</v>
      </c>
      <c r="DH94" s="141">
        <v>62646</v>
      </c>
      <c r="DI94" s="141">
        <v>63067</v>
      </c>
      <c r="DJ94" s="141">
        <v>63512</v>
      </c>
      <c r="DK94" s="141">
        <v>63945</v>
      </c>
      <c r="DL94" s="141">
        <v>64367</v>
      </c>
      <c r="DM94" s="141">
        <v>64795</v>
      </c>
      <c r="DN94" s="141">
        <v>65220</v>
      </c>
      <c r="DO94" s="141">
        <v>65640</v>
      </c>
    </row>
    <row r="95" spans="1:119">
      <c r="A95" s="140">
        <v>93</v>
      </c>
      <c r="W95" s="141">
        <v>10727</v>
      </c>
      <c r="X95" s="141">
        <v>11082</v>
      </c>
      <c r="Y95" s="141">
        <v>11418</v>
      </c>
      <c r="Z95" s="141">
        <v>12040</v>
      </c>
      <c r="AA95" s="141">
        <v>12421</v>
      </c>
      <c r="AB95" s="141">
        <v>12892</v>
      </c>
      <c r="AC95" s="141">
        <v>13440</v>
      </c>
      <c r="AD95" s="141">
        <v>13900</v>
      </c>
      <c r="AE95" s="141">
        <v>14358</v>
      </c>
      <c r="AF95" s="141">
        <v>14970</v>
      </c>
      <c r="AG95" s="141">
        <v>15458</v>
      </c>
      <c r="AH95" s="141">
        <v>15930</v>
      </c>
      <c r="AI95" s="141">
        <v>16427</v>
      </c>
      <c r="AJ95" s="141">
        <v>17204</v>
      </c>
      <c r="AK95" s="141">
        <v>17740</v>
      </c>
      <c r="AL95" s="141">
        <v>18375</v>
      </c>
      <c r="AM95" s="141">
        <v>18986</v>
      </c>
      <c r="AN95" s="141">
        <v>19594</v>
      </c>
      <c r="AO95" s="141">
        <v>20084</v>
      </c>
      <c r="AP95" s="141">
        <v>20550</v>
      </c>
      <c r="AQ95" s="141">
        <v>20971</v>
      </c>
      <c r="AR95" s="141">
        <v>21363</v>
      </c>
      <c r="AS95" s="141">
        <v>21646</v>
      </c>
      <c r="AT95" s="141">
        <v>21827</v>
      </c>
      <c r="AU95" s="141">
        <v>21982</v>
      </c>
      <c r="AV95" s="141">
        <v>22422</v>
      </c>
      <c r="AW95" s="141">
        <v>23028</v>
      </c>
      <c r="AX95" s="141">
        <v>23963</v>
      </c>
      <c r="AY95" s="141">
        <v>24887</v>
      </c>
      <c r="AZ95" s="141">
        <v>25382</v>
      </c>
      <c r="BA95" s="141">
        <v>25887</v>
      </c>
      <c r="BB95" s="141">
        <v>26534</v>
      </c>
      <c r="BC95" s="141">
        <v>27089</v>
      </c>
      <c r="BD95" s="141">
        <v>27658</v>
      </c>
      <c r="BE95" s="141">
        <v>28178</v>
      </c>
      <c r="BF95" s="141">
        <v>28790</v>
      </c>
      <c r="BG95" s="141">
        <v>29369</v>
      </c>
      <c r="BH95" s="141">
        <v>29962</v>
      </c>
      <c r="BI95" s="141">
        <v>30508</v>
      </c>
      <c r="BJ95" s="141">
        <v>31098</v>
      </c>
      <c r="BK95" s="141">
        <v>31715</v>
      </c>
      <c r="BL95" s="141">
        <v>32352</v>
      </c>
      <c r="BM95" s="141">
        <v>32978</v>
      </c>
      <c r="BN95" s="141">
        <v>33591</v>
      </c>
      <c r="BO95" s="141">
        <v>34176</v>
      </c>
      <c r="BP95" s="141">
        <v>34780</v>
      </c>
      <c r="BQ95" s="141">
        <v>35345</v>
      </c>
      <c r="BR95" s="141">
        <v>35911</v>
      </c>
      <c r="BS95" s="141">
        <v>36448</v>
      </c>
      <c r="BT95" s="141">
        <v>37010</v>
      </c>
      <c r="BU95" s="141">
        <v>37561</v>
      </c>
      <c r="BV95" s="141">
        <v>38131</v>
      </c>
      <c r="BW95" s="141">
        <v>38691</v>
      </c>
      <c r="BX95" s="141">
        <v>39266</v>
      </c>
      <c r="BY95" s="141">
        <v>39834</v>
      </c>
      <c r="BZ95" s="141">
        <v>40452</v>
      </c>
      <c r="CA95" s="141">
        <v>41046</v>
      </c>
      <c r="CB95" s="141">
        <v>41622</v>
      </c>
      <c r="CC95" s="141">
        <v>42186</v>
      </c>
      <c r="CD95" s="141">
        <v>42745</v>
      </c>
      <c r="CE95" s="141">
        <v>43304</v>
      </c>
      <c r="CF95" s="141">
        <v>43864</v>
      </c>
      <c r="CG95" s="141">
        <v>44427</v>
      </c>
      <c r="CH95" s="141">
        <v>44978</v>
      </c>
      <c r="CI95" s="141">
        <v>45544</v>
      </c>
      <c r="CJ95" s="141">
        <v>46081</v>
      </c>
      <c r="CK95" s="141">
        <v>46623</v>
      </c>
      <c r="CL95" s="141">
        <v>47182</v>
      </c>
      <c r="CM95" s="141">
        <v>47712</v>
      </c>
      <c r="CN95" s="141">
        <v>48252</v>
      </c>
      <c r="CO95" s="141">
        <v>48775</v>
      </c>
      <c r="CP95" s="141">
        <v>49315</v>
      </c>
      <c r="CQ95" s="141">
        <v>49839</v>
      </c>
      <c r="CR95" s="141">
        <v>50353</v>
      </c>
      <c r="CS95" s="141">
        <v>50876</v>
      </c>
      <c r="CT95" s="141">
        <v>51388</v>
      </c>
      <c r="CU95" s="141">
        <v>51896</v>
      </c>
      <c r="CV95" s="141">
        <v>52387</v>
      </c>
      <c r="CW95" s="141">
        <v>52893</v>
      </c>
      <c r="CX95" s="141">
        <v>53392</v>
      </c>
      <c r="CY95" s="141">
        <v>53883</v>
      </c>
      <c r="CZ95" s="141">
        <v>54354</v>
      </c>
      <c r="DA95" s="141">
        <v>54841</v>
      </c>
      <c r="DB95" s="141">
        <v>55321</v>
      </c>
      <c r="DC95" s="141">
        <v>55812</v>
      </c>
      <c r="DD95" s="141">
        <v>56282</v>
      </c>
      <c r="DE95" s="141">
        <v>56757</v>
      </c>
      <c r="DF95" s="141">
        <v>57243</v>
      </c>
      <c r="DG95" s="141">
        <v>57691</v>
      </c>
      <c r="DH95" s="141">
        <v>58160</v>
      </c>
      <c r="DI95" s="141">
        <v>58601</v>
      </c>
      <c r="DJ95" s="141">
        <v>59064</v>
      </c>
      <c r="DK95" s="141">
        <v>59517</v>
      </c>
      <c r="DL95" s="141">
        <v>59959</v>
      </c>
      <c r="DM95" s="141">
        <v>60408</v>
      </c>
      <c r="DN95" s="141">
        <v>60852</v>
      </c>
      <c r="DO95" s="141">
        <v>61293</v>
      </c>
    </row>
    <row r="96" spans="1:119">
      <c r="A96" s="140">
        <v>94</v>
      </c>
      <c r="W96" s="141">
        <v>8402</v>
      </c>
      <c r="X96" s="141">
        <v>8701</v>
      </c>
      <c r="Y96" s="141">
        <v>8994</v>
      </c>
      <c r="Z96" s="141">
        <v>9514</v>
      </c>
      <c r="AA96" s="141">
        <v>9846</v>
      </c>
      <c r="AB96" s="141">
        <v>10251</v>
      </c>
      <c r="AC96" s="141">
        <v>10719</v>
      </c>
      <c r="AD96" s="141">
        <v>11120</v>
      </c>
      <c r="AE96" s="141">
        <v>11520</v>
      </c>
      <c r="AF96" s="141">
        <v>12046</v>
      </c>
      <c r="AG96" s="141">
        <v>12475</v>
      </c>
      <c r="AH96" s="141">
        <v>12892</v>
      </c>
      <c r="AI96" s="141">
        <v>13331</v>
      </c>
      <c r="AJ96" s="141">
        <v>14001</v>
      </c>
      <c r="AK96" s="141">
        <v>14476</v>
      </c>
      <c r="AL96" s="141">
        <v>15034</v>
      </c>
      <c r="AM96" s="141">
        <v>15575</v>
      </c>
      <c r="AN96" s="141">
        <v>16111</v>
      </c>
      <c r="AO96" s="141">
        <v>16552</v>
      </c>
      <c r="AP96" s="141">
        <v>16973</v>
      </c>
      <c r="AQ96" s="141">
        <v>17360</v>
      </c>
      <c r="AR96" s="141">
        <v>17724</v>
      </c>
      <c r="AS96" s="141">
        <v>17997</v>
      </c>
      <c r="AT96" s="141">
        <v>18186</v>
      </c>
      <c r="AU96" s="141">
        <v>18354</v>
      </c>
      <c r="AV96" s="141">
        <v>18761</v>
      </c>
      <c r="AW96" s="141">
        <v>19308</v>
      </c>
      <c r="AX96" s="141">
        <v>20133</v>
      </c>
      <c r="AY96" s="141">
        <v>20951</v>
      </c>
      <c r="AZ96" s="141">
        <v>21410</v>
      </c>
      <c r="BA96" s="141">
        <v>21880</v>
      </c>
      <c r="BB96" s="141">
        <v>22470</v>
      </c>
      <c r="BC96" s="141">
        <v>22984</v>
      </c>
      <c r="BD96" s="141">
        <v>23511</v>
      </c>
      <c r="BE96" s="141">
        <v>23997</v>
      </c>
      <c r="BF96" s="141">
        <v>24564</v>
      </c>
      <c r="BG96" s="141">
        <v>25104</v>
      </c>
      <c r="BH96" s="141">
        <v>25656</v>
      </c>
      <c r="BI96" s="141">
        <v>26170</v>
      </c>
      <c r="BJ96" s="141">
        <v>26723</v>
      </c>
      <c r="BK96" s="141">
        <v>27300</v>
      </c>
      <c r="BL96" s="141">
        <v>27896</v>
      </c>
      <c r="BM96" s="141">
        <v>28484</v>
      </c>
      <c r="BN96" s="141">
        <v>29062</v>
      </c>
      <c r="BO96" s="141">
        <v>29617</v>
      </c>
      <c r="BP96" s="141">
        <v>30190</v>
      </c>
      <c r="BQ96" s="141">
        <v>30729</v>
      </c>
      <c r="BR96" s="141">
        <v>31271</v>
      </c>
      <c r="BS96" s="141">
        <v>31789</v>
      </c>
      <c r="BT96" s="141">
        <v>32329</v>
      </c>
      <c r="BU96" s="141">
        <v>32860</v>
      </c>
      <c r="BV96" s="141">
        <v>33409</v>
      </c>
      <c r="BW96" s="141">
        <v>33950</v>
      </c>
      <c r="BX96" s="141">
        <v>34506</v>
      </c>
      <c r="BY96" s="141">
        <v>35056</v>
      </c>
      <c r="BZ96" s="141">
        <v>35651</v>
      </c>
      <c r="CA96" s="141">
        <v>36226</v>
      </c>
      <c r="CB96" s="141">
        <v>36787</v>
      </c>
      <c r="CC96" s="141">
        <v>37337</v>
      </c>
      <c r="CD96" s="141">
        <v>37883</v>
      </c>
      <c r="CE96" s="141">
        <v>38432</v>
      </c>
      <c r="CF96" s="141">
        <v>38980</v>
      </c>
      <c r="CG96" s="141">
        <v>39533</v>
      </c>
      <c r="CH96" s="141">
        <v>40075</v>
      </c>
      <c r="CI96" s="141">
        <v>40632</v>
      </c>
      <c r="CJ96" s="141">
        <v>41164</v>
      </c>
      <c r="CK96" s="141">
        <v>41701</v>
      </c>
      <c r="CL96" s="141">
        <v>42254</v>
      </c>
      <c r="CM96" s="141">
        <v>42781</v>
      </c>
      <c r="CN96" s="141">
        <v>43318</v>
      </c>
      <c r="CO96" s="141">
        <v>43840</v>
      </c>
      <c r="CP96" s="141">
        <v>44378</v>
      </c>
      <c r="CQ96" s="141">
        <v>44903</v>
      </c>
      <c r="CR96" s="141">
        <v>45418</v>
      </c>
      <c r="CS96" s="141">
        <v>45943</v>
      </c>
      <c r="CT96" s="141">
        <v>46458</v>
      </c>
      <c r="CU96" s="141">
        <v>46970</v>
      </c>
      <c r="CV96" s="141">
        <v>47467</v>
      </c>
      <c r="CW96" s="141">
        <v>47978</v>
      </c>
      <c r="CX96" s="141">
        <v>48483</v>
      </c>
      <c r="CY96" s="141">
        <v>48982</v>
      </c>
      <c r="CZ96" s="141">
        <v>49462</v>
      </c>
      <c r="DA96" s="141">
        <v>49957</v>
      </c>
      <c r="DB96" s="141">
        <v>50447</v>
      </c>
      <c r="DC96" s="141">
        <v>50947</v>
      </c>
      <c r="DD96" s="141">
        <v>51428</v>
      </c>
      <c r="DE96" s="141">
        <v>51913</v>
      </c>
      <c r="DF96" s="141">
        <v>52409</v>
      </c>
      <c r="DG96" s="141">
        <v>52872</v>
      </c>
      <c r="DH96" s="141">
        <v>53353</v>
      </c>
      <c r="DI96" s="141">
        <v>53808</v>
      </c>
      <c r="DJ96" s="141">
        <v>54285</v>
      </c>
      <c r="DK96" s="141">
        <v>54752</v>
      </c>
      <c r="DL96" s="141">
        <v>55209</v>
      </c>
      <c r="DM96" s="141">
        <v>55673</v>
      </c>
      <c r="DN96" s="141">
        <v>56133</v>
      </c>
      <c r="DO96" s="141">
        <v>56590</v>
      </c>
    </row>
    <row r="97" spans="1:119">
      <c r="A97" s="140">
        <v>95</v>
      </c>
      <c r="W97" s="141">
        <v>6411</v>
      </c>
      <c r="X97" s="141">
        <v>6662</v>
      </c>
      <c r="Y97" s="141">
        <v>6910</v>
      </c>
      <c r="Z97" s="141">
        <v>7335</v>
      </c>
      <c r="AA97" s="141">
        <v>7616</v>
      </c>
      <c r="AB97" s="141">
        <v>7956</v>
      </c>
      <c r="AC97" s="141">
        <v>8346</v>
      </c>
      <c r="AD97" s="141">
        <v>8686</v>
      </c>
      <c r="AE97" s="141">
        <v>9027</v>
      </c>
      <c r="AF97" s="141">
        <v>9469</v>
      </c>
      <c r="AG97" s="141">
        <v>9836</v>
      </c>
      <c r="AH97" s="141">
        <v>10196</v>
      </c>
      <c r="AI97" s="141">
        <v>10575</v>
      </c>
      <c r="AJ97" s="141">
        <v>11139</v>
      </c>
      <c r="AK97" s="141">
        <v>11550</v>
      </c>
      <c r="AL97" s="141">
        <v>12030</v>
      </c>
      <c r="AM97" s="141">
        <v>12494</v>
      </c>
      <c r="AN97" s="141">
        <v>12956</v>
      </c>
      <c r="AO97" s="141">
        <v>13343</v>
      </c>
      <c r="AP97" s="141">
        <v>13716</v>
      </c>
      <c r="AQ97" s="141">
        <v>14062</v>
      </c>
      <c r="AR97" s="141">
        <v>14390</v>
      </c>
      <c r="AS97" s="141">
        <v>14646</v>
      </c>
      <c r="AT97" s="141">
        <v>14834</v>
      </c>
      <c r="AU97" s="141">
        <v>15005</v>
      </c>
      <c r="AV97" s="141">
        <v>15372</v>
      </c>
      <c r="AW97" s="141">
        <v>15855</v>
      </c>
      <c r="AX97" s="141">
        <v>16569</v>
      </c>
      <c r="AY97" s="141">
        <v>17280</v>
      </c>
      <c r="AZ97" s="141">
        <v>17696</v>
      </c>
      <c r="BA97" s="141">
        <v>18122</v>
      </c>
      <c r="BB97" s="141">
        <v>18649</v>
      </c>
      <c r="BC97" s="141">
        <v>19115</v>
      </c>
      <c r="BD97" s="141">
        <v>19593</v>
      </c>
      <c r="BE97" s="141">
        <v>20039</v>
      </c>
      <c r="BF97" s="141">
        <v>20552</v>
      </c>
      <c r="BG97" s="141">
        <v>21045</v>
      </c>
      <c r="BH97" s="141">
        <v>21550</v>
      </c>
      <c r="BI97" s="141">
        <v>22024</v>
      </c>
      <c r="BJ97" s="141">
        <v>22532</v>
      </c>
      <c r="BK97" s="141">
        <v>23061</v>
      </c>
      <c r="BL97" s="141">
        <v>23608</v>
      </c>
      <c r="BM97" s="141">
        <v>24150</v>
      </c>
      <c r="BN97" s="141">
        <v>24684</v>
      </c>
      <c r="BO97" s="141">
        <v>25200</v>
      </c>
      <c r="BP97" s="141">
        <v>25733</v>
      </c>
      <c r="BQ97" s="141">
        <v>26238</v>
      </c>
      <c r="BR97" s="141">
        <v>26746</v>
      </c>
      <c r="BS97" s="141">
        <v>27235</v>
      </c>
      <c r="BT97" s="141">
        <v>27745</v>
      </c>
      <c r="BU97" s="141">
        <v>28247</v>
      </c>
      <c r="BV97" s="141">
        <v>28767</v>
      </c>
      <c r="BW97" s="141">
        <v>29280</v>
      </c>
      <c r="BX97" s="141">
        <v>29807</v>
      </c>
      <c r="BY97" s="141">
        <v>30330</v>
      </c>
      <c r="BZ97" s="141">
        <v>30893</v>
      </c>
      <c r="CA97" s="141">
        <v>31440</v>
      </c>
      <c r="CB97" s="141">
        <v>31975</v>
      </c>
      <c r="CC97" s="141">
        <v>32502</v>
      </c>
      <c r="CD97" s="141">
        <v>33027</v>
      </c>
      <c r="CE97" s="141">
        <v>33555</v>
      </c>
      <c r="CF97" s="141">
        <v>34083</v>
      </c>
      <c r="CG97" s="141">
        <v>34617</v>
      </c>
      <c r="CH97" s="141">
        <v>35141</v>
      </c>
      <c r="CI97" s="141">
        <v>35680</v>
      </c>
      <c r="CJ97" s="141">
        <v>36197</v>
      </c>
      <c r="CK97" s="141">
        <v>36720</v>
      </c>
      <c r="CL97" s="141">
        <v>37257</v>
      </c>
      <c r="CM97" s="141">
        <v>37773</v>
      </c>
      <c r="CN97" s="141">
        <v>38298</v>
      </c>
      <c r="CO97" s="141">
        <v>38811</v>
      </c>
      <c r="CP97" s="141">
        <v>39338</v>
      </c>
      <c r="CQ97" s="141">
        <v>39855</v>
      </c>
      <c r="CR97" s="141">
        <v>40363</v>
      </c>
      <c r="CS97" s="141">
        <v>40881</v>
      </c>
      <c r="CT97" s="141">
        <v>41391</v>
      </c>
      <c r="CU97" s="141">
        <v>41898</v>
      </c>
      <c r="CV97" s="141">
        <v>42393</v>
      </c>
      <c r="CW97" s="141">
        <v>42901</v>
      </c>
      <c r="CX97" s="141">
        <v>43404</v>
      </c>
      <c r="CY97" s="141">
        <v>43902</v>
      </c>
      <c r="CZ97" s="141">
        <v>44384</v>
      </c>
      <c r="DA97" s="141">
        <v>44879</v>
      </c>
      <c r="DB97" s="141">
        <v>45371</v>
      </c>
      <c r="DC97" s="141">
        <v>45872</v>
      </c>
      <c r="DD97" s="141">
        <v>46356</v>
      </c>
      <c r="DE97" s="141">
        <v>46845</v>
      </c>
      <c r="DF97" s="141">
        <v>47344</v>
      </c>
      <c r="DG97" s="141">
        <v>47813</v>
      </c>
      <c r="DH97" s="141">
        <v>48300</v>
      </c>
      <c r="DI97" s="141">
        <v>48763</v>
      </c>
      <c r="DJ97" s="141">
        <v>49246</v>
      </c>
      <c r="DK97" s="141">
        <v>49721</v>
      </c>
      <c r="DL97" s="141">
        <v>50187</v>
      </c>
      <c r="DM97" s="141">
        <v>50659</v>
      </c>
      <c r="DN97" s="141">
        <v>51129</v>
      </c>
      <c r="DO97" s="141">
        <v>51595</v>
      </c>
    </row>
    <row r="98" spans="1:119">
      <c r="A98" s="140">
        <v>96</v>
      </c>
      <c r="W98" s="141">
        <v>4754</v>
      </c>
      <c r="X98" s="141">
        <v>4958</v>
      </c>
      <c r="Y98" s="141">
        <v>5161</v>
      </c>
      <c r="Z98" s="141">
        <v>5498</v>
      </c>
      <c r="AA98" s="141">
        <v>5728</v>
      </c>
      <c r="AB98" s="141">
        <v>6004</v>
      </c>
      <c r="AC98" s="141">
        <v>6320</v>
      </c>
      <c r="AD98" s="141">
        <v>6599</v>
      </c>
      <c r="AE98" s="141">
        <v>6881</v>
      </c>
      <c r="AF98" s="141">
        <v>7241</v>
      </c>
      <c r="AG98" s="141">
        <v>7545</v>
      </c>
      <c r="AH98" s="141">
        <v>7846</v>
      </c>
      <c r="AI98" s="141">
        <v>8162</v>
      </c>
      <c r="AJ98" s="141">
        <v>8624</v>
      </c>
      <c r="AK98" s="141">
        <v>8969</v>
      </c>
      <c r="AL98" s="141">
        <v>9369</v>
      </c>
      <c r="AM98" s="141">
        <v>9756</v>
      </c>
      <c r="AN98" s="141">
        <v>10142</v>
      </c>
      <c r="AO98" s="141">
        <v>10471</v>
      </c>
      <c r="AP98" s="141">
        <v>10791</v>
      </c>
      <c r="AQ98" s="141">
        <v>11090</v>
      </c>
      <c r="AR98" s="141">
        <v>11376</v>
      </c>
      <c r="AS98" s="141">
        <v>11606</v>
      </c>
      <c r="AT98" s="141">
        <v>11783</v>
      </c>
      <c r="AU98" s="141">
        <v>11946</v>
      </c>
      <c r="AV98" s="141">
        <v>12267</v>
      </c>
      <c r="AW98" s="141">
        <v>12681</v>
      </c>
      <c r="AX98" s="141">
        <v>13281</v>
      </c>
      <c r="AY98" s="141">
        <v>13882</v>
      </c>
      <c r="AZ98" s="141">
        <v>14247</v>
      </c>
      <c r="BA98" s="141">
        <v>14622</v>
      </c>
      <c r="BB98" s="141">
        <v>15080</v>
      </c>
      <c r="BC98" s="141">
        <v>15489</v>
      </c>
      <c r="BD98" s="141">
        <v>15909</v>
      </c>
      <c r="BE98" s="141">
        <v>16305</v>
      </c>
      <c r="BF98" s="141">
        <v>16757</v>
      </c>
      <c r="BG98" s="141">
        <v>17193</v>
      </c>
      <c r="BH98" s="141">
        <v>17641</v>
      </c>
      <c r="BI98" s="141">
        <v>18064</v>
      </c>
      <c r="BJ98" s="141">
        <v>18516</v>
      </c>
      <c r="BK98" s="141">
        <v>18988</v>
      </c>
      <c r="BL98" s="141">
        <v>19475</v>
      </c>
      <c r="BM98" s="141">
        <v>19959</v>
      </c>
      <c r="BN98" s="141">
        <v>20438</v>
      </c>
      <c r="BO98" s="141">
        <v>20903</v>
      </c>
      <c r="BP98" s="141">
        <v>21384</v>
      </c>
      <c r="BQ98" s="141">
        <v>21842</v>
      </c>
      <c r="BR98" s="141">
        <v>22305</v>
      </c>
      <c r="BS98" s="141">
        <v>22752</v>
      </c>
      <c r="BT98" s="141">
        <v>23218</v>
      </c>
      <c r="BU98" s="141">
        <v>23678</v>
      </c>
      <c r="BV98" s="141">
        <v>24154</v>
      </c>
      <c r="BW98" s="141">
        <v>24626</v>
      </c>
      <c r="BX98" s="141">
        <v>25110</v>
      </c>
      <c r="BY98" s="141">
        <v>25592</v>
      </c>
      <c r="BZ98" s="141">
        <v>26109</v>
      </c>
      <c r="CA98" s="141">
        <v>26614</v>
      </c>
      <c r="CB98" s="141">
        <v>27109</v>
      </c>
      <c r="CC98" s="141">
        <v>27599</v>
      </c>
      <c r="CD98" s="141">
        <v>28087</v>
      </c>
      <c r="CE98" s="141">
        <v>28579</v>
      </c>
      <c r="CF98" s="141">
        <v>29073</v>
      </c>
      <c r="CG98" s="141">
        <v>29572</v>
      </c>
      <c r="CH98" s="141">
        <v>30064</v>
      </c>
      <c r="CI98" s="141">
        <v>30568</v>
      </c>
      <c r="CJ98" s="141">
        <v>31056</v>
      </c>
      <c r="CK98" s="141">
        <v>31549</v>
      </c>
      <c r="CL98" s="141">
        <v>32055</v>
      </c>
      <c r="CM98" s="141">
        <v>32544</v>
      </c>
      <c r="CN98" s="141">
        <v>33041</v>
      </c>
      <c r="CO98" s="141">
        <v>33529</v>
      </c>
      <c r="CP98" s="141">
        <v>34029</v>
      </c>
      <c r="CQ98" s="141">
        <v>34522</v>
      </c>
      <c r="CR98" s="141">
        <v>35008</v>
      </c>
      <c r="CS98" s="141">
        <v>35502</v>
      </c>
      <c r="CT98" s="141">
        <v>35991</v>
      </c>
      <c r="CU98" s="141">
        <v>36478</v>
      </c>
      <c r="CV98" s="141">
        <v>36955</v>
      </c>
      <c r="CW98" s="141">
        <v>37443</v>
      </c>
      <c r="CX98" s="141">
        <v>37929</v>
      </c>
      <c r="CY98" s="141">
        <v>38410</v>
      </c>
      <c r="CZ98" s="141">
        <v>38878</v>
      </c>
      <c r="DA98" s="141">
        <v>39358</v>
      </c>
      <c r="DB98" s="141">
        <v>39835</v>
      </c>
      <c r="DC98" s="141">
        <v>40322</v>
      </c>
      <c r="DD98" s="141">
        <v>40794</v>
      </c>
      <c r="DE98" s="141">
        <v>41270</v>
      </c>
      <c r="DF98" s="141">
        <v>41756</v>
      </c>
      <c r="DG98" s="141">
        <v>42216</v>
      </c>
      <c r="DH98" s="141">
        <v>42692</v>
      </c>
      <c r="DI98" s="141">
        <v>43148</v>
      </c>
      <c r="DJ98" s="141">
        <v>43622</v>
      </c>
      <c r="DK98" s="141">
        <v>44089</v>
      </c>
      <c r="DL98" s="141">
        <v>44549</v>
      </c>
      <c r="DM98" s="141">
        <v>45014</v>
      </c>
      <c r="DN98" s="141">
        <v>45477</v>
      </c>
      <c r="DO98" s="141">
        <v>45939</v>
      </c>
    </row>
    <row r="99" spans="1:119">
      <c r="A99" s="140">
        <v>97</v>
      </c>
      <c r="W99" s="141">
        <v>3422</v>
      </c>
      <c r="X99" s="141">
        <v>3582</v>
      </c>
      <c r="Y99" s="141">
        <v>3743</v>
      </c>
      <c r="Z99" s="141">
        <v>4001</v>
      </c>
      <c r="AA99" s="141">
        <v>4184</v>
      </c>
      <c r="AB99" s="141">
        <v>4401</v>
      </c>
      <c r="AC99" s="141">
        <v>4648</v>
      </c>
      <c r="AD99" s="141">
        <v>4870</v>
      </c>
      <c r="AE99" s="141">
        <v>5095</v>
      </c>
      <c r="AF99" s="141">
        <v>5379</v>
      </c>
      <c r="AG99" s="141">
        <v>5624</v>
      </c>
      <c r="AH99" s="141">
        <v>5866</v>
      </c>
      <c r="AI99" s="141">
        <v>6122</v>
      </c>
      <c r="AJ99" s="141">
        <v>6489</v>
      </c>
      <c r="AK99" s="141">
        <v>6769</v>
      </c>
      <c r="AL99" s="141">
        <v>7093</v>
      </c>
      <c r="AM99" s="141">
        <v>7405</v>
      </c>
      <c r="AN99" s="141">
        <v>7718</v>
      </c>
      <c r="AO99" s="141">
        <v>7989</v>
      </c>
      <c r="AP99" s="141">
        <v>8254</v>
      </c>
      <c r="AQ99" s="141">
        <v>8504</v>
      </c>
      <c r="AR99" s="141">
        <v>8746</v>
      </c>
      <c r="AS99" s="141">
        <v>8944</v>
      </c>
      <c r="AT99" s="141">
        <v>9103</v>
      </c>
      <c r="AU99" s="141">
        <v>9251</v>
      </c>
      <c r="AV99" s="141">
        <v>9522</v>
      </c>
      <c r="AW99" s="141">
        <v>9866</v>
      </c>
      <c r="AX99" s="141">
        <v>10357</v>
      </c>
      <c r="AY99" s="141">
        <v>10850</v>
      </c>
      <c r="AZ99" s="141">
        <v>11161</v>
      </c>
      <c r="BA99" s="141">
        <v>11479</v>
      </c>
      <c r="BB99" s="141">
        <v>11865</v>
      </c>
      <c r="BC99" s="141">
        <v>12213</v>
      </c>
      <c r="BD99" s="141">
        <v>12572</v>
      </c>
      <c r="BE99" s="141">
        <v>12911</v>
      </c>
      <c r="BF99" s="141">
        <v>13297</v>
      </c>
      <c r="BG99" s="141">
        <v>13671</v>
      </c>
      <c r="BH99" s="141">
        <v>14056</v>
      </c>
      <c r="BI99" s="141">
        <v>14422</v>
      </c>
      <c r="BJ99" s="141">
        <v>14813</v>
      </c>
      <c r="BK99" s="141">
        <v>15220</v>
      </c>
      <c r="BL99" s="141">
        <v>15641</v>
      </c>
      <c r="BM99" s="141">
        <v>16060</v>
      </c>
      <c r="BN99" s="141">
        <v>16477</v>
      </c>
      <c r="BO99" s="141">
        <v>16884</v>
      </c>
      <c r="BP99" s="141">
        <v>17304</v>
      </c>
      <c r="BQ99" s="141">
        <v>17707</v>
      </c>
      <c r="BR99" s="141">
        <v>18115</v>
      </c>
      <c r="BS99" s="141">
        <v>18511</v>
      </c>
      <c r="BT99" s="141">
        <v>18923</v>
      </c>
      <c r="BU99" s="141">
        <v>19333</v>
      </c>
      <c r="BV99" s="141">
        <v>19755</v>
      </c>
      <c r="BW99" s="141">
        <v>20175</v>
      </c>
      <c r="BX99" s="141">
        <v>20607</v>
      </c>
      <c r="BY99" s="141">
        <v>21037</v>
      </c>
      <c r="BZ99" s="141">
        <v>21498</v>
      </c>
      <c r="CA99" s="141">
        <v>21949</v>
      </c>
      <c r="CB99" s="141">
        <v>22393</v>
      </c>
      <c r="CC99" s="141">
        <v>22834</v>
      </c>
      <c r="CD99" s="141">
        <v>23275</v>
      </c>
      <c r="CE99" s="141">
        <v>23719</v>
      </c>
      <c r="CF99" s="141">
        <v>24166</v>
      </c>
      <c r="CG99" s="141">
        <v>24618</v>
      </c>
      <c r="CH99" s="141">
        <v>25065</v>
      </c>
      <c r="CI99" s="141">
        <v>25523</v>
      </c>
      <c r="CJ99" s="141">
        <v>25968</v>
      </c>
      <c r="CK99" s="141">
        <v>26419</v>
      </c>
      <c r="CL99" s="141">
        <v>26881</v>
      </c>
      <c r="CM99" s="141">
        <v>27329</v>
      </c>
      <c r="CN99" s="141">
        <v>27786</v>
      </c>
      <c r="CO99" s="141">
        <v>28235</v>
      </c>
      <c r="CP99" s="141">
        <v>28696</v>
      </c>
      <c r="CQ99" s="141">
        <v>29150</v>
      </c>
      <c r="CR99" s="141">
        <v>29600</v>
      </c>
      <c r="CS99" s="141">
        <v>30058</v>
      </c>
      <c r="CT99" s="141">
        <v>30512</v>
      </c>
      <c r="CU99" s="141">
        <v>30965</v>
      </c>
      <c r="CV99" s="141">
        <v>31409</v>
      </c>
      <c r="CW99" s="141">
        <v>31865</v>
      </c>
      <c r="CX99" s="141">
        <v>32318</v>
      </c>
      <c r="CY99" s="141">
        <v>32768</v>
      </c>
      <c r="CZ99" s="141">
        <v>33208</v>
      </c>
      <c r="DA99" s="141">
        <v>33659</v>
      </c>
      <c r="DB99" s="141">
        <v>34108</v>
      </c>
      <c r="DC99" s="141">
        <v>34565</v>
      </c>
      <c r="DD99" s="141">
        <v>35010</v>
      </c>
      <c r="DE99" s="141">
        <v>35460</v>
      </c>
      <c r="DF99" s="141">
        <v>35919</v>
      </c>
      <c r="DG99" s="141">
        <v>36355</v>
      </c>
      <c r="DH99" s="141">
        <v>36806</v>
      </c>
      <c r="DI99" s="141">
        <v>37240</v>
      </c>
      <c r="DJ99" s="141">
        <v>37690</v>
      </c>
      <c r="DK99" s="141">
        <v>38135</v>
      </c>
      <c r="DL99" s="141">
        <v>38574</v>
      </c>
      <c r="DM99" s="141">
        <v>39018</v>
      </c>
      <c r="DN99" s="141">
        <v>39460</v>
      </c>
      <c r="DO99" s="141">
        <v>39902</v>
      </c>
    </row>
    <row r="100" spans="1:119">
      <c r="A100" s="140">
        <v>98</v>
      </c>
      <c r="W100" s="141">
        <v>2388</v>
      </c>
      <c r="X100" s="141">
        <v>2509</v>
      </c>
      <c r="Y100" s="141">
        <v>2632</v>
      </c>
      <c r="Z100" s="141">
        <v>2824</v>
      </c>
      <c r="AA100" s="141">
        <v>2964</v>
      </c>
      <c r="AB100" s="141">
        <v>3128</v>
      </c>
      <c r="AC100" s="141">
        <v>3316</v>
      </c>
      <c r="AD100" s="141">
        <v>3487</v>
      </c>
      <c r="AE100" s="141">
        <v>3660</v>
      </c>
      <c r="AF100" s="141">
        <v>3878</v>
      </c>
      <c r="AG100" s="141">
        <v>4068</v>
      </c>
      <c r="AH100" s="141">
        <v>4257</v>
      </c>
      <c r="AI100" s="141">
        <v>4458</v>
      </c>
      <c r="AJ100" s="141">
        <v>4740</v>
      </c>
      <c r="AK100" s="141">
        <v>4960</v>
      </c>
      <c r="AL100" s="141">
        <v>5213</v>
      </c>
      <c r="AM100" s="141">
        <v>5458</v>
      </c>
      <c r="AN100" s="141">
        <v>5704</v>
      </c>
      <c r="AO100" s="141">
        <v>5920</v>
      </c>
      <c r="AP100" s="141">
        <v>6132</v>
      </c>
      <c r="AQ100" s="141">
        <v>6334</v>
      </c>
      <c r="AR100" s="141">
        <v>6531</v>
      </c>
      <c r="AS100" s="141">
        <v>6696</v>
      </c>
      <c r="AT100" s="141">
        <v>6832</v>
      </c>
      <c r="AU100" s="141">
        <v>6960</v>
      </c>
      <c r="AV100" s="141">
        <v>7181</v>
      </c>
      <c r="AW100" s="141">
        <v>7459</v>
      </c>
      <c r="AX100" s="141">
        <v>7849</v>
      </c>
      <c r="AY100" s="141">
        <v>8242</v>
      </c>
      <c r="AZ100" s="141">
        <v>8497</v>
      </c>
      <c r="BA100" s="141">
        <v>8760</v>
      </c>
      <c r="BB100" s="141">
        <v>9075</v>
      </c>
      <c r="BC100" s="141">
        <v>9362</v>
      </c>
      <c r="BD100" s="141">
        <v>9658</v>
      </c>
      <c r="BE100" s="141">
        <v>9940</v>
      </c>
      <c r="BF100" s="141">
        <v>10259</v>
      </c>
      <c r="BG100" s="141">
        <v>10571</v>
      </c>
      <c r="BH100" s="141">
        <v>10891</v>
      </c>
      <c r="BI100" s="141">
        <v>11198</v>
      </c>
      <c r="BJ100" s="141">
        <v>11524</v>
      </c>
      <c r="BK100" s="141">
        <v>11865</v>
      </c>
      <c r="BL100" s="141">
        <v>12218</v>
      </c>
      <c r="BM100" s="141">
        <v>12570</v>
      </c>
      <c r="BN100" s="141">
        <v>12921</v>
      </c>
      <c r="BO100" s="141">
        <v>13266</v>
      </c>
      <c r="BP100" s="141">
        <v>13622</v>
      </c>
      <c r="BQ100" s="141">
        <v>13966</v>
      </c>
      <c r="BR100" s="141">
        <v>14314</v>
      </c>
      <c r="BS100" s="141">
        <v>14654</v>
      </c>
      <c r="BT100" s="141">
        <v>15007</v>
      </c>
      <c r="BU100" s="141">
        <v>15359</v>
      </c>
      <c r="BV100" s="141">
        <v>15723</v>
      </c>
      <c r="BW100" s="141">
        <v>16086</v>
      </c>
      <c r="BX100" s="141">
        <v>16458</v>
      </c>
      <c r="BY100" s="141">
        <v>16831</v>
      </c>
      <c r="BZ100" s="141">
        <v>17228</v>
      </c>
      <c r="CA100" s="141">
        <v>17619</v>
      </c>
      <c r="CB100" s="141">
        <v>18005</v>
      </c>
      <c r="CC100" s="141">
        <v>18389</v>
      </c>
      <c r="CD100" s="141">
        <v>18775</v>
      </c>
      <c r="CE100" s="141">
        <v>19164</v>
      </c>
      <c r="CF100" s="141">
        <v>19556</v>
      </c>
      <c r="CG100" s="141">
        <v>19952</v>
      </c>
      <c r="CH100" s="141">
        <v>20346</v>
      </c>
      <c r="CI100" s="141">
        <v>20750</v>
      </c>
      <c r="CJ100" s="141">
        <v>21143</v>
      </c>
      <c r="CK100" s="141">
        <v>21542</v>
      </c>
      <c r="CL100" s="141">
        <v>21951</v>
      </c>
      <c r="CM100" s="141">
        <v>22350</v>
      </c>
      <c r="CN100" s="141">
        <v>22756</v>
      </c>
      <c r="CO100" s="141">
        <v>23156</v>
      </c>
      <c r="CP100" s="141">
        <v>23567</v>
      </c>
      <c r="CQ100" s="141">
        <v>23974</v>
      </c>
      <c r="CR100" s="141">
        <v>24377</v>
      </c>
      <c r="CS100" s="141">
        <v>24788</v>
      </c>
      <c r="CT100" s="141">
        <v>25195</v>
      </c>
      <c r="CU100" s="141">
        <v>25603</v>
      </c>
      <c r="CV100" s="141">
        <v>26005</v>
      </c>
      <c r="CW100" s="141">
        <v>26417</v>
      </c>
      <c r="CX100" s="141">
        <v>26827</v>
      </c>
      <c r="CY100" s="141">
        <v>27235</v>
      </c>
      <c r="CZ100" s="141">
        <v>27635</v>
      </c>
      <c r="DA100" s="141">
        <v>28045</v>
      </c>
      <c r="DB100" s="141">
        <v>28454</v>
      </c>
      <c r="DC100" s="141">
        <v>28870</v>
      </c>
      <c r="DD100" s="141">
        <v>29277</v>
      </c>
      <c r="DE100" s="141">
        <v>29688</v>
      </c>
      <c r="DF100" s="141">
        <v>30107</v>
      </c>
      <c r="DG100" s="141">
        <v>30509</v>
      </c>
      <c r="DH100" s="141">
        <v>30922</v>
      </c>
      <c r="DI100" s="141">
        <v>31322</v>
      </c>
      <c r="DJ100" s="141">
        <v>31736</v>
      </c>
      <c r="DK100" s="141">
        <v>32146</v>
      </c>
      <c r="DL100" s="141">
        <v>32552</v>
      </c>
      <c r="DM100" s="141">
        <v>32962</v>
      </c>
      <c r="DN100" s="141">
        <v>33371</v>
      </c>
      <c r="DO100" s="141">
        <v>33780</v>
      </c>
    </row>
    <row r="101" spans="1:119">
      <c r="A101" s="140">
        <v>99</v>
      </c>
      <c r="W101" s="141">
        <v>1614</v>
      </c>
      <c r="X101" s="141">
        <v>1703</v>
      </c>
      <c r="Y101" s="141">
        <v>1792</v>
      </c>
      <c r="Z101" s="141">
        <v>1931</v>
      </c>
      <c r="AA101" s="141">
        <v>2034</v>
      </c>
      <c r="AB101" s="141">
        <v>2155</v>
      </c>
      <c r="AC101" s="141">
        <v>2293</v>
      </c>
      <c r="AD101" s="141">
        <v>2420</v>
      </c>
      <c r="AE101" s="141">
        <v>2549</v>
      </c>
      <c r="AF101" s="141">
        <v>2710</v>
      </c>
      <c r="AG101" s="141">
        <v>2853</v>
      </c>
      <c r="AH101" s="141">
        <v>2996</v>
      </c>
      <c r="AI101" s="141">
        <v>3148</v>
      </c>
      <c r="AJ101" s="141">
        <v>3358</v>
      </c>
      <c r="AK101" s="141">
        <v>3526</v>
      </c>
      <c r="AL101" s="141">
        <v>3717</v>
      </c>
      <c r="AM101" s="141">
        <v>3903</v>
      </c>
      <c r="AN101" s="141">
        <v>4090</v>
      </c>
      <c r="AO101" s="141">
        <v>4257</v>
      </c>
      <c r="AP101" s="141">
        <v>4421</v>
      </c>
      <c r="AQ101" s="141">
        <v>4579</v>
      </c>
      <c r="AR101" s="141">
        <v>4734</v>
      </c>
      <c r="AS101" s="141">
        <v>4866</v>
      </c>
      <c r="AT101" s="141">
        <v>4977</v>
      </c>
      <c r="AU101" s="141">
        <v>5084</v>
      </c>
      <c r="AV101" s="141">
        <v>5258</v>
      </c>
      <c r="AW101" s="141">
        <v>5475</v>
      </c>
      <c r="AX101" s="141">
        <v>5775</v>
      </c>
      <c r="AY101" s="141">
        <v>6079</v>
      </c>
      <c r="AZ101" s="141">
        <v>6283</v>
      </c>
      <c r="BA101" s="141">
        <v>6492</v>
      </c>
      <c r="BB101" s="141">
        <v>6741</v>
      </c>
      <c r="BC101" s="141">
        <v>6970</v>
      </c>
      <c r="BD101" s="141">
        <v>7207</v>
      </c>
      <c r="BE101" s="141">
        <v>7434</v>
      </c>
      <c r="BF101" s="141">
        <v>7690</v>
      </c>
      <c r="BG101" s="141">
        <v>7941</v>
      </c>
      <c r="BH101" s="141">
        <v>8199</v>
      </c>
      <c r="BI101" s="141">
        <v>8448</v>
      </c>
      <c r="BJ101" s="141">
        <v>8713</v>
      </c>
      <c r="BK101" s="141">
        <v>8989</v>
      </c>
      <c r="BL101" s="141">
        <v>9275</v>
      </c>
      <c r="BM101" s="141">
        <v>9562</v>
      </c>
      <c r="BN101" s="141">
        <v>9849</v>
      </c>
      <c r="BO101" s="141">
        <v>10132</v>
      </c>
      <c r="BP101" s="141">
        <v>10424</v>
      </c>
      <c r="BQ101" s="141">
        <v>10708</v>
      </c>
      <c r="BR101" s="141">
        <v>10995</v>
      </c>
      <c r="BS101" s="141">
        <v>11278</v>
      </c>
      <c r="BT101" s="141">
        <v>11572</v>
      </c>
      <c r="BU101" s="141">
        <v>11865</v>
      </c>
      <c r="BV101" s="141">
        <v>12168</v>
      </c>
      <c r="BW101" s="141">
        <v>12471</v>
      </c>
      <c r="BX101" s="141">
        <v>12782</v>
      </c>
      <c r="BY101" s="141">
        <v>13095</v>
      </c>
      <c r="BZ101" s="141">
        <v>13427</v>
      </c>
      <c r="CA101" s="141">
        <v>13755</v>
      </c>
      <c r="CB101" s="141">
        <v>14081</v>
      </c>
      <c r="CC101" s="141">
        <v>14406</v>
      </c>
      <c r="CD101" s="141">
        <v>14732</v>
      </c>
      <c r="CE101" s="141">
        <v>15062</v>
      </c>
      <c r="CF101" s="141">
        <v>15395</v>
      </c>
      <c r="CG101" s="141">
        <v>15732</v>
      </c>
      <c r="CH101" s="141">
        <v>16068</v>
      </c>
      <c r="CI101" s="141">
        <v>16412</v>
      </c>
      <c r="CJ101" s="141">
        <v>16749</v>
      </c>
      <c r="CK101" s="141">
        <v>17092</v>
      </c>
      <c r="CL101" s="141">
        <v>17442</v>
      </c>
      <c r="CM101" s="141">
        <v>17786</v>
      </c>
      <c r="CN101" s="141">
        <v>18136</v>
      </c>
      <c r="CO101" s="141">
        <v>18482</v>
      </c>
      <c r="CP101" s="141">
        <v>18837</v>
      </c>
      <c r="CQ101" s="141">
        <v>19189</v>
      </c>
      <c r="CR101" s="141">
        <v>19539</v>
      </c>
      <c r="CS101" s="141">
        <v>19896</v>
      </c>
      <c r="CT101" s="141">
        <v>20251</v>
      </c>
      <c r="CU101" s="141">
        <v>20607</v>
      </c>
      <c r="CV101" s="141">
        <v>20959</v>
      </c>
      <c r="CW101" s="141">
        <v>21319</v>
      </c>
      <c r="CX101" s="141">
        <v>21678</v>
      </c>
      <c r="CY101" s="141">
        <v>22037</v>
      </c>
      <c r="CZ101" s="141">
        <v>22389</v>
      </c>
      <c r="DA101" s="141">
        <v>22750</v>
      </c>
      <c r="DB101" s="141">
        <v>23111</v>
      </c>
      <c r="DC101" s="141">
        <v>23478</v>
      </c>
      <c r="DD101" s="141">
        <v>23839</v>
      </c>
      <c r="DE101" s="141">
        <v>24203</v>
      </c>
      <c r="DF101" s="141">
        <v>24574</v>
      </c>
      <c r="DG101" s="141">
        <v>24931</v>
      </c>
      <c r="DH101" s="141">
        <v>25299</v>
      </c>
      <c r="DI101" s="141">
        <v>25656</v>
      </c>
      <c r="DJ101" s="141">
        <v>26025</v>
      </c>
      <c r="DK101" s="141">
        <v>26391</v>
      </c>
      <c r="DL101" s="141">
        <v>26754</v>
      </c>
      <c r="DM101" s="141">
        <v>27121</v>
      </c>
      <c r="DN101" s="141">
        <v>27488</v>
      </c>
      <c r="DO101" s="141">
        <v>27855</v>
      </c>
    </row>
    <row r="102" spans="1:119">
      <c r="A102" s="140">
        <v>100</v>
      </c>
      <c r="W102" s="141">
        <v>1055</v>
      </c>
      <c r="X102" s="141">
        <v>1118</v>
      </c>
      <c r="Y102" s="141">
        <v>1182</v>
      </c>
      <c r="Z102" s="141">
        <v>1278</v>
      </c>
      <c r="AA102" s="141">
        <v>1352</v>
      </c>
      <c r="AB102" s="141">
        <v>1438</v>
      </c>
      <c r="AC102" s="141">
        <v>1536</v>
      </c>
      <c r="AD102" s="141">
        <v>1626</v>
      </c>
      <c r="AE102" s="141">
        <v>1720</v>
      </c>
      <c r="AF102" s="141">
        <v>1835</v>
      </c>
      <c r="AG102" s="141">
        <v>1939</v>
      </c>
      <c r="AH102" s="141">
        <v>2043</v>
      </c>
      <c r="AI102" s="141">
        <v>2154</v>
      </c>
      <c r="AJ102" s="141">
        <v>2306</v>
      </c>
      <c r="AK102" s="141">
        <v>2429</v>
      </c>
      <c r="AL102" s="141">
        <v>2570</v>
      </c>
      <c r="AM102" s="141">
        <v>2705</v>
      </c>
      <c r="AN102" s="141">
        <v>2843</v>
      </c>
      <c r="AO102" s="141">
        <v>2968</v>
      </c>
      <c r="AP102" s="141">
        <v>3091</v>
      </c>
      <c r="AQ102" s="141">
        <v>3210</v>
      </c>
      <c r="AR102" s="141">
        <v>3328</v>
      </c>
      <c r="AS102" s="141">
        <v>3430</v>
      </c>
      <c r="AT102" s="141">
        <v>3518</v>
      </c>
      <c r="AU102" s="141">
        <v>3602</v>
      </c>
      <c r="AV102" s="141">
        <v>3736</v>
      </c>
      <c r="AW102" s="141">
        <v>3900</v>
      </c>
      <c r="AX102" s="141">
        <v>4124</v>
      </c>
      <c r="AY102" s="141">
        <v>4351</v>
      </c>
      <c r="AZ102" s="141">
        <v>4508</v>
      </c>
      <c r="BA102" s="141">
        <v>4670</v>
      </c>
      <c r="BB102" s="141">
        <v>4860</v>
      </c>
      <c r="BC102" s="141">
        <v>5038</v>
      </c>
      <c r="BD102" s="141">
        <v>5221</v>
      </c>
      <c r="BE102" s="141">
        <v>5398</v>
      </c>
      <c r="BF102" s="141">
        <v>5596</v>
      </c>
      <c r="BG102" s="141">
        <v>5792</v>
      </c>
      <c r="BH102" s="141">
        <v>5993</v>
      </c>
      <c r="BI102" s="141">
        <v>6189</v>
      </c>
      <c r="BJ102" s="141">
        <v>6397</v>
      </c>
      <c r="BK102" s="141">
        <v>6614</v>
      </c>
      <c r="BL102" s="141">
        <v>6839</v>
      </c>
      <c r="BM102" s="141">
        <v>7065</v>
      </c>
      <c r="BN102" s="141">
        <v>7292</v>
      </c>
      <c r="BO102" s="141">
        <v>7517</v>
      </c>
      <c r="BP102" s="141">
        <v>7749</v>
      </c>
      <c r="BQ102" s="141">
        <v>7976</v>
      </c>
      <c r="BR102" s="141">
        <v>8207</v>
      </c>
      <c r="BS102" s="141">
        <v>8434</v>
      </c>
      <c r="BT102" s="141">
        <v>8670</v>
      </c>
      <c r="BU102" s="141">
        <v>8907</v>
      </c>
      <c r="BV102" s="141">
        <v>9151</v>
      </c>
      <c r="BW102" s="141">
        <v>9397</v>
      </c>
      <c r="BX102" s="141">
        <v>9649</v>
      </c>
      <c r="BY102" s="141">
        <v>9903</v>
      </c>
      <c r="BZ102" s="141">
        <v>10172</v>
      </c>
      <c r="CA102" s="141">
        <v>10439</v>
      </c>
      <c r="CB102" s="141">
        <v>10705</v>
      </c>
      <c r="CC102" s="141">
        <v>10971</v>
      </c>
      <c r="CD102" s="141">
        <v>11239</v>
      </c>
      <c r="CE102" s="141">
        <v>11510</v>
      </c>
      <c r="CF102" s="141">
        <v>11784</v>
      </c>
      <c r="CG102" s="141">
        <v>12062</v>
      </c>
      <c r="CH102" s="141">
        <v>12339</v>
      </c>
      <c r="CI102" s="141">
        <v>12624</v>
      </c>
      <c r="CJ102" s="141">
        <v>12904</v>
      </c>
      <c r="CK102" s="141">
        <v>13188</v>
      </c>
      <c r="CL102" s="141">
        <v>13480</v>
      </c>
      <c r="CM102" s="141">
        <v>13766</v>
      </c>
      <c r="CN102" s="141">
        <v>14058</v>
      </c>
      <c r="CO102" s="141">
        <v>14348</v>
      </c>
      <c r="CP102" s="141">
        <v>14645</v>
      </c>
      <c r="CQ102" s="141">
        <v>14941</v>
      </c>
      <c r="CR102" s="141">
        <v>15236</v>
      </c>
      <c r="CS102" s="141">
        <v>15536</v>
      </c>
      <c r="CT102" s="141">
        <v>15836</v>
      </c>
      <c r="CU102" s="141">
        <v>16137</v>
      </c>
      <c r="CV102" s="141">
        <v>16435</v>
      </c>
      <c r="CW102" s="141">
        <v>16740</v>
      </c>
      <c r="CX102" s="141">
        <v>17045</v>
      </c>
      <c r="CY102" s="141">
        <v>17351</v>
      </c>
      <c r="CZ102" s="141">
        <v>17651</v>
      </c>
      <c r="DA102" s="141">
        <v>17959</v>
      </c>
      <c r="DB102" s="141">
        <v>18268</v>
      </c>
      <c r="DC102" s="141">
        <v>18582</v>
      </c>
      <c r="DD102" s="141">
        <v>18891</v>
      </c>
      <c r="DE102" s="141">
        <v>19203</v>
      </c>
      <c r="DF102" s="141">
        <v>19522</v>
      </c>
      <c r="DG102" s="141">
        <v>19830</v>
      </c>
      <c r="DH102" s="141">
        <v>20147</v>
      </c>
      <c r="DI102" s="141">
        <v>20455</v>
      </c>
      <c r="DJ102" s="141">
        <v>20774</v>
      </c>
      <c r="DK102" s="141">
        <v>21091</v>
      </c>
      <c r="DL102" s="141">
        <v>21405</v>
      </c>
      <c r="DM102" s="141">
        <v>21724</v>
      </c>
      <c r="DN102" s="141">
        <v>22043</v>
      </c>
      <c r="DO102" s="141">
        <v>22362</v>
      </c>
    </row>
  </sheetData>
  <phoneticPr fontId="47" type="noConversion"/>
  <conditionalFormatting sqref="AC1:DO150">
    <cfRule type="expression" dxfId="701" priority="1" stopIfTrue="1">
      <formula>YEAR(E_Datum1)=AC$1</formula>
    </cfRule>
  </conditionalFormatting>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52</vt:i4>
      </vt:variant>
      <vt:variant>
        <vt:lpstr>Benannte Bereiche</vt:lpstr>
      </vt:variant>
      <vt:variant>
        <vt:i4>500</vt:i4>
      </vt:variant>
    </vt:vector>
  </HeadingPairs>
  <TitlesOfParts>
    <vt:vector size="552" baseType="lpstr">
      <vt:lpstr>TO Ziff.5</vt:lpstr>
      <vt:lpstr>VPI &amp; Zins</vt:lpstr>
      <vt:lpstr>BilMoG-7</vt:lpstr>
      <vt:lpstr>BilMoG10</vt:lpstr>
      <vt:lpstr>Lebenserwartung_M</vt:lpstr>
      <vt:lpstr>Lebenserwartung_F</vt:lpstr>
      <vt:lpstr>Lebenserwartung_N</vt:lpstr>
      <vt:lpstr>G_Kohorte_M</vt:lpstr>
      <vt:lpstr>G_Kohorte_F</vt:lpstr>
      <vt:lpstr>G_Kohorte_N</vt:lpstr>
      <vt:lpstr>Inhalt</vt:lpstr>
      <vt:lpstr>Fallerfassung</vt:lpstr>
      <vt:lpstr>Einzel-Bewertung</vt:lpstr>
      <vt:lpstr>Links</vt:lpstr>
      <vt:lpstr>Berechnungstext</vt:lpstr>
      <vt:lpstr>Ehezeitanteil</vt:lpstr>
      <vt:lpstr>Sterbetafel_P</vt:lpstr>
      <vt:lpstr>Adressen DRV</vt:lpstr>
      <vt:lpstr>Hilfstabelle für Grafik</vt:lpstr>
      <vt:lpstr>Berechnungen BVerfG</vt:lpstr>
      <vt:lpstr>BVerfG 1 BvL 5-18</vt:lpstr>
      <vt:lpstr>Experten-Diagrammdaten</vt:lpstr>
      <vt:lpstr>Expertendiagramm</vt:lpstr>
      <vt:lpstr>Gewinn &amp; Verlust</vt:lpstr>
      <vt:lpstr>TO-Prüfung</vt:lpstr>
      <vt:lpstr>sVA § 20</vt:lpstr>
      <vt:lpstr>§§ 23, 24</vt:lpstr>
      <vt:lpstr>§ 22</vt:lpstr>
      <vt:lpstr>Verzinsung</vt:lpstr>
      <vt:lpstr>§ 33</vt:lpstr>
      <vt:lpstr>Renteneintritt</vt:lpstr>
      <vt:lpstr>Grundrentenrechner</vt:lpstr>
      <vt:lpstr>BarwertVO</vt:lpstr>
      <vt:lpstr>Abänderungsgründe</vt:lpstr>
      <vt:lpstr>Abänderungsampel</vt:lpstr>
      <vt:lpstr>Parameter</vt:lpstr>
      <vt:lpstr>Dies &amp; Das</vt:lpstr>
      <vt:lpstr>Zeichen</vt:lpstr>
      <vt:lpstr>Tabelle1</vt:lpstr>
      <vt:lpstr>Muster Schreiben</vt:lpstr>
      <vt:lpstr>Unbesetzt</vt:lpstr>
      <vt:lpstr>Formulare &amp; Muster</vt:lpstr>
      <vt:lpstr>KV&amp;PV</vt:lpstr>
      <vt:lpstr>BarwertVglDFGT</vt:lpstr>
      <vt:lpstr>HIRI-Zuschläge66</vt:lpstr>
      <vt:lpstr>HRIR-Zuschläge</vt:lpstr>
      <vt:lpstr>HIRI-Zuschläge67</vt:lpstr>
      <vt:lpstr>HRIR64</vt:lpstr>
      <vt:lpstr>HRIR63</vt:lpstr>
      <vt:lpstr>HRIR62</vt:lpstr>
      <vt:lpstr>HRIR61</vt:lpstr>
      <vt:lpstr>HRIR60</vt:lpstr>
      <vt:lpstr>A_AnzeigeRechenblatt</vt:lpstr>
      <vt:lpstr>AbändBilMoG_Wahl</vt:lpstr>
      <vt:lpstr>Abänderung_Datum</vt:lpstr>
      <vt:lpstr>Abänderungs_Gründe</vt:lpstr>
      <vt:lpstr>Abänderungsdatum</vt:lpstr>
      <vt:lpstr>Abänderungsgründe</vt:lpstr>
      <vt:lpstr>AbF_AlterEzE</vt:lpstr>
      <vt:lpstr>Abf_AwDyn</vt:lpstr>
      <vt:lpstr>Abf_HRIR_Ja</vt:lpstr>
      <vt:lpstr>AbF_LDyn</vt:lpstr>
      <vt:lpstr>AbF_ReEintritt</vt:lpstr>
      <vt:lpstr>Abf_VollDyn</vt:lpstr>
      <vt:lpstr>Abfindung</vt:lpstr>
      <vt:lpstr>Abfindung_A_Zeit</vt:lpstr>
      <vt:lpstr>Abfindung_L_Zeit</vt:lpstr>
      <vt:lpstr>Abfindung§22</vt:lpstr>
      <vt:lpstr>absWGrenze</vt:lpstr>
      <vt:lpstr>Abzinsungstabelle§12BewG</vt:lpstr>
      <vt:lpstr>Adaequanz_ADyn</vt:lpstr>
      <vt:lpstr>Adaequanz_ADynBer</vt:lpstr>
      <vt:lpstr>Adaequanz_ADynPfl</vt:lpstr>
      <vt:lpstr>Adaequanz_Ausgleichswert</vt:lpstr>
      <vt:lpstr>Adaequanz_Ausgleichswert1</vt:lpstr>
      <vt:lpstr>Adaequanz_AusgleichswertDRV</vt:lpstr>
      <vt:lpstr>Adaequanz_AusgleichswertVersAusglK</vt:lpstr>
      <vt:lpstr>Adaequanz_AusglWertQuelle</vt:lpstr>
      <vt:lpstr>Adaequanz_AwDyn</vt:lpstr>
      <vt:lpstr>Adaequanz_AwDynBer</vt:lpstr>
      <vt:lpstr>Adaequanz_DRV_Alter</vt:lpstr>
      <vt:lpstr>Adaequanz_DRV_Werte</vt:lpstr>
      <vt:lpstr>Adaequanz_errechneterKapWert</vt:lpstr>
      <vt:lpstr>Adaequanz_GebDat</vt:lpstr>
      <vt:lpstr>Adaequanz_GebDatAglBer</vt:lpstr>
      <vt:lpstr>Adaequanz_GebDatDRV</vt:lpstr>
      <vt:lpstr>Adaequanz_HR</vt:lpstr>
      <vt:lpstr>Adaequanz_HRBer</vt:lpstr>
      <vt:lpstr>Adaequanz_HRPfl</vt:lpstr>
      <vt:lpstr>Adaequanz_IR</vt:lpstr>
      <vt:lpstr>Adaequanz_IRBer</vt:lpstr>
      <vt:lpstr>Adaequanz_IRPfl</vt:lpstr>
      <vt:lpstr>Adaequanz_Kapitalleistung</vt:lpstr>
      <vt:lpstr>Adaequanz_Korrektur</vt:lpstr>
      <vt:lpstr>Adaequanz_Korrekturfaktor</vt:lpstr>
      <vt:lpstr>Adaequanz_LDyn</vt:lpstr>
      <vt:lpstr>Adaequanz_LDynBer</vt:lpstr>
      <vt:lpstr>Adaequanz_LDynPfl</vt:lpstr>
      <vt:lpstr>Adaequanz_Pruefung</vt:lpstr>
      <vt:lpstr>Adaequanz_QV_Alter</vt:lpstr>
      <vt:lpstr>Adaequanz_ReEintrittPfl</vt:lpstr>
      <vt:lpstr>Adaequanz_Reintritt</vt:lpstr>
      <vt:lpstr>Adaequanz_ReintrittBer</vt:lpstr>
      <vt:lpstr>Adaequanz_RenteBer</vt:lpstr>
      <vt:lpstr>Adaequanz_Renteneintritt</vt:lpstr>
      <vt:lpstr>Adaequanz_RenteneintrittVersAusglK</vt:lpstr>
      <vt:lpstr>Adaequanz_Rentenhoehe</vt:lpstr>
      <vt:lpstr>Adaequanz_RentenhoeheVersAusglK</vt:lpstr>
      <vt:lpstr>Adaequanz_RentePfl</vt:lpstr>
      <vt:lpstr>Adaequanz_RVolumenBer</vt:lpstr>
      <vt:lpstr>Adaequanz_Sondertaste</vt:lpstr>
      <vt:lpstr>Adaequanz_Ufaktor</vt:lpstr>
      <vt:lpstr>Adaequanz_UFaktorEzE</vt:lpstr>
      <vt:lpstr>Adaequanz_Umrechnungsfaktor</vt:lpstr>
      <vt:lpstr>Adaequanz_VerzinsungAusglW</vt:lpstr>
      <vt:lpstr>Adaequanz_Wertkorrektur</vt:lpstr>
      <vt:lpstr>Adaequanz_Zugangsfaktor</vt:lpstr>
      <vt:lpstr>AdaequanzEingabe</vt:lpstr>
      <vt:lpstr>Adäquanz_DRVRenteneintritt</vt:lpstr>
      <vt:lpstr>aktRW</vt:lpstr>
      <vt:lpstr>aktRW_DatErf</vt:lpstr>
      <vt:lpstr>AktuellerRentenwert</vt:lpstr>
      <vt:lpstr>AllgemU_Faktoren</vt:lpstr>
      <vt:lpstr>Alt_Neu</vt:lpstr>
      <vt:lpstr>AlternativerReZins</vt:lpstr>
      <vt:lpstr>Altersgrenze</vt:lpstr>
      <vt:lpstr>AltersgrenzeBerechnen</vt:lpstr>
      <vt:lpstr>Altersstaffel</vt:lpstr>
      <vt:lpstr>Altersuebernahme</vt:lpstr>
      <vt:lpstr>Anpassung33</vt:lpstr>
      <vt:lpstr>Anwartschaftszeit</vt:lpstr>
      <vt:lpstr>Atammdaten</vt:lpstr>
      <vt:lpstr>Atammdaten1</vt:lpstr>
      <vt:lpstr>Atammdaten2</vt:lpstr>
      <vt:lpstr>Aufabzinsung</vt:lpstr>
      <vt:lpstr>AufZinsEzE</vt:lpstr>
      <vt:lpstr>Aufzinsung</vt:lpstr>
      <vt:lpstr>AusgleichDRV</vt:lpstr>
      <vt:lpstr>AW_DynamikVersAusglK</vt:lpstr>
      <vt:lpstr>B_Dat</vt:lpstr>
      <vt:lpstr>b_p_AVverbergen</vt:lpstr>
      <vt:lpstr>BagatellgrenzeKapital</vt:lpstr>
      <vt:lpstr>BagatellgrenzeRente</vt:lpstr>
      <vt:lpstr>BarwertBeitrag</vt:lpstr>
      <vt:lpstr>Barwertberechnung</vt:lpstr>
      <vt:lpstr>Barwertdifferenz</vt:lpstr>
      <vt:lpstr>Barwertgleiche</vt:lpstr>
      <vt:lpstr>Basiszins</vt:lpstr>
      <vt:lpstr>BBMG</vt:lpstr>
      <vt:lpstr>Beamtenanpassung</vt:lpstr>
      <vt:lpstr>BeamtV_Dienstzeit</vt:lpstr>
      <vt:lpstr>BeamtV_Verbergen</vt:lpstr>
      <vt:lpstr>BeitraginEP</vt:lpstr>
      <vt:lpstr>BeitragInRente</vt:lpstr>
      <vt:lpstr>Beitragsbemessungsgrenze</vt:lpstr>
      <vt:lpstr>BeitragssatzDRV</vt:lpstr>
      <vt:lpstr>Bem_1</vt:lpstr>
      <vt:lpstr>Bem_2</vt:lpstr>
      <vt:lpstr>BerBasis</vt:lpstr>
      <vt:lpstr>BerechnetAuf</vt:lpstr>
      <vt:lpstr>Berechnungsmethode</vt:lpstr>
      <vt:lpstr>Berechnungsparameter</vt:lpstr>
      <vt:lpstr>BerGesamt</vt:lpstr>
      <vt:lpstr>BerstdV_verbergen</vt:lpstr>
      <vt:lpstr>BGHXIIZB23016</vt:lpstr>
      <vt:lpstr>BGHXIIZB26016</vt:lpstr>
      <vt:lpstr>Bilanz_BilMoG10</vt:lpstr>
      <vt:lpstr>BilMoG</vt:lpstr>
      <vt:lpstr>BilMoG_10</vt:lpstr>
      <vt:lpstr>BilMoG_10_sVA</vt:lpstr>
      <vt:lpstr>BilMoG_7</vt:lpstr>
      <vt:lpstr>BilMoG10</vt:lpstr>
      <vt:lpstr>BilMoG10Anfang</vt:lpstr>
      <vt:lpstr>BilMoGAnfang</vt:lpstr>
      <vt:lpstr>BilMogEnde</vt:lpstr>
      <vt:lpstr>BilMoGmax</vt:lpstr>
      <vt:lpstr>BilMoGMin</vt:lpstr>
      <vt:lpstr>BilmoGZins</vt:lpstr>
      <vt:lpstr>BWDRV_F</vt:lpstr>
      <vt:lpstr>BWDRV_M</vt:lpstr>
      <vt:lpstr>BWpbAB_M</vt:lpstr>
      <vt:lpstr>BWVergl_F_DRV</vt:lpstr>
      <vt:lpstr>BWVergl_F_DRVIR</vt:lpstr>
      <vt:lpstr>BWVergl_F_VersAusglK</vt:lpstr>
      <vt:lpstr>BWVergl_M_DRV</vt:lpstr>
      <vt:lpstr>BWVergl_M_DRVIR</vt:lpstr>
      <vt:lpstr>BWVergl_M_VersAusglK</vt:lpstr>
      <vt:lpstr>C_BilMoG10</vt:lpstr>
      <vt:lpstr>Dat_AlterF</vt:lpstr>
      <vt:lpstr>Dat_AlterM</vt:lpstr>
      <vt:lpstr>Dat_AZeig</vt:lpstr>
      <vt:lpstr>Dat_AZeit_F</vt:lpstr>
      <vt:lpstr>Dat_AZeit_M</vt:lpstr>
      <vt:lpstr>Dat_BilMoG</vt:lpstr>
      <vt:lpstr>Dat_bstdKoKa_F</vt:lpstr>
      <vt:lpstr>Dat_bstdKoKa_M</vt:lpstr>
      <vt:lpstr>Dat_bstdV_F</vt:lpstr>
      <vt:lpstr>Dat_bstdV_M</vt:lpstr>
      <vt:lpstr>Dat_EzA</vt:lpstr>
      <vt:lpstr>Dat_EzE</vt:lpstr>
      <vt:lpstr>Dat_GebDat_F</vt:lpstr>
      <vt:lpstr>Dat_GebDat_M</vt:lpstr>
      <vt:lpstr>Dat_GebDatF</vt:lpstr>
      <vt:lpstr>Dat_GebDatM</vt:lpstr>
      <vt:lpstr>Dat_gRV_F1</vt:lpstr>
      <vt:lpstr>Dat_gRV_F2</vt:lpstr>
      <vt:lpstr>Dat_gRV_F3</vt:lpstr>
      <vt:lpstr>Dat_gRV_M1</vt:lpstr>
      <vt:lpstr>Dat_gRV_M2</vt:lpstr>
      <vt:lpstr>Dat_gRV_M3</vt:lpstr>
      <vt:lpstr>Dat_LZeit_F</vt:lpstr>
      <vt:lpstr>Dat_LZeit_M</vt:lpstr>
      <vt:lpstr>Dat_Pension_F1</vt:lpstr>
      <vt:lpstr>Dat_Pension_F2</vt:lpstr>
      <vt:lpstr>Dat_Pension_M1</vt:lpstr>
      <vt:lpstr>Dat_Pension_M2</vt:lpstr>
      <vt:lpstr>Dat_RentnerF</vt:lpstr>
      <vt:lpstr>Dat_RentnerM</vt:lpstr>
      <vt:lpstr>Dat_UFaktorEzE</vt:lpstr>
      <vt:lpstr>Dat_Unisex</vt:lpstr>
      <vt:lpstr>DatenAusBewertung</vt:lpstr>
      <vt:lpstr>Delta</vt:lpstr>
      <vt:lpstr>DFGT</vt:lpstr>
      <vt:lpstr>Dienstzeitverlängerung</vt:lpstr>
      <vt:lpstr>Dies_und_Das_Ost</vt:lpstr>
      <vt:lpstr>DiesuDas_AboderAuf</vt:lpstr>
      <vt:lpstr>DiesundDas</vt:lpstr>
      <vt:lpstr>DifferenzfaktorDRV</vt:lpstr>
      <vt:lpstr>divers</vt:lpstr>
      <vt:lpstr>'§ 33'!Druckbereich</vt:lpstr>
      <vt:lpstr>'§§ 23, 24'!Druckbereich</vt:lpstr>
      <vt:lpstr>Berechnungstext!Druckbereich</vt:lpstr>
      <vt:lpstr>'BVerfG 1 BvL 5-18'!Druckbereich</vt:lpstr>
      <vt:lpstr>'Dies &amp; Das'!Druckbereich</vt:lpstr>
      <vt:lpstr>Ehezeitanteil!Druckbereich</vt:lpstr>
      <vt:lpstr>'Einzel-Bewertung'!Druckbereich</vt:lpstr>
      <vt:lpstr>Fallerfassung!Druckbereich</vt:lpstr>
      <vt:lpstr>'Gewinn &amp; Verlust'!Druckbereich</vt:lpstr>
      <vt:lpstr>Grundrentenrechner!Druckbereich</vt:lpstr>
      <vt:lpstr>'HRIR-Zuschläge'!Druckbereich</vt:lpstr>
      <vt:lpstr>Inhalt!Druckbereich</vt:lpstr>
      <vt:lpstr>Parameter!Druckbereich</vt:lpstr>
      <vt:lpstr>'sVA § 20'!Druckbereich</vt:lpstr>
      <vt:lpstr>'TO Ziff.5'!Druckbereich</vt:lpstr>
      <vt:lpstr>'TO-Prüfung'!Druckbereich</vt:lpstr>
      <vt:lpstr>Verzinsung!Druckbereich</vt:lpstr>
      <vt:lpstr>DruckbereichII</vt:lpstr>
      <vt:lpstr>'HRIR-Zuschläge'!Drucktitel</vt:lpstr>
      <vt:lpstr>'TO Ziff.5'!Drucktitel</vt:lpstr>
      <vt:lpstr>DRV_10</vt:lpstr>
      <vt:lpstr>DRV_Adressen</vt:lpstr>
      <vt:lpstr>DRV_VersorgungenVerbergen</vt:lpstr>
      <vt:lpstr>DRVAusglBerJa</vt:lpstr>
      <vt:lpstr>DRVJa</vt:lpstr>
      <vt:lpstr>DRVPfl</vt:lpstr>
      <vt:lpstr>DuD_RAltersgr1</vt:lpstr>
      <vt:lpstr>DuD_RAltersgr2</vt:lpstr>
      <vt:lpstr>DuD_SummeAR</vt:lpstr>
      <vt:lpstr>DuD_Umrechnung_DRV</vt:lpstr>
      <vt:lpstr>DuD_VVR1</vt:lpstr>
      <vt:lpstr>DuD_VVR2</vt:lpstr>
      <vt:lpstr>Durchschnitt</vt:lpstr>
      <vt:lpstr>DurchschnittsentgeltTabelle</vt:lpstr>
      <vt:lpstr>DynamikBerstdV</vt:lpstr>
      <vt:lpstr>Dynamisierung</vt:lpstr>
      <vt:lpstr>DynDRVZeitDiff</vt:lpstr>
      <vt:lpstr>E_Abweichung</vt:lpstr>
      <vt:lpstr>E_Alter</vt:lpstr>
      <vt:lpstr>E_AlterABer</vt:lpstr>
      <vt:lpstr>E_Alterswahl</vt:lpstr>
      <vt:lpstr>E_Anwartschaftszeit</vt:lpstr>
      <vt:lpstr>E_AnwartschaftszeitABer</vt:lpstr>
      <vt:lpstr>E_BarwertderRente</vt:lpstr>
      <vt:lpstr>E_BarwertDRV</vt:lpstr>
      <vt:lpstr>E_BarwertText</vt:lpstr>
      <vt:lpstr>E_BerDat1</vt:lpstr>
      <vt:lpstr>E_BerDat2</vt:lpstr>
      <vt:lpstr>E_Bezeichnung</vt:lpstr>
      <vt:lpstr>E_BilMoG10</vt:lpstr>
      <vt:lpstr>E_Bilmog10_test</vt:lpstr>
      <vt:lpstr>E_Datum1</vt:lpstr>
      <vt:lpstr>E_Ergebnis</vt:lpstr>
      <vt:lpstr>E_Geschlecht1</vt:lpstr>
      <vt:lpstr>E_Halbteilung</vt:lpstr>
      <vt:lpstr>E_HFaktor</vt:lpstr>
      <vt:lpstr>E_HfaktorAusglBer</vt:lpstr>
      <vt:lpstr>E_Hinterbliebene</vt:lpstr>
      <vt:lpstr>E_HinterbliebeneAusglBer</vt:lpstr>
      <vt:lpstr>E_Ifaktor</vt:lpstr>
      <vt:lpstr>E_IFaktorAusglBer</vt:lpstr>
      <vt:lpstr>E_Invalidität</vt:lpstr>
      <vt:lpstr>E_InvaliditätAusglBer</vt:lpstr>
      <vt:lpstr>E_Kapital</vt:lpstr>
      <vt:lpstr>E_KapWert</vt:lpstr>
      <vt:lpstr>E_LebenserwartungManuell</vt:lpstr>
      <vt:lpstr>E_LXYAlterABer</vt:lpstr>
      <vt:lpstr>E_LxyRAlter</vt:lpstr>
      <vt:lpstr>E_RelegalterABer</vt:lpstr>
      <vt:lpstr>E_RenteausKapital</vt:lpstr>
      <vt:lpstr>E_RenteausKapitalAglBer</vt:lpstr>
      <vt:lpstr>E_RenteKapital</vt:lpstr>
      <vt:lpstr>E_RenteKapital1</vt:lpstr>
      <vt:lpstr>E_Rentenalter</vt:lpstr>
      <vt:lpstr>E_Rentenaltereingabe</vt:lpstr>
      <vt:lpstr>E_Renteneintritt</vt:lpstr>
      <vt:lpstr>E_Rentner</vt:lpstr>
      <vt:lpstr>E_ReTrend1</vt:lpstr>
      <vt:lpstr>E_Rezins</vt:lpstr>
      <vt:lpstr>E_ReZins1</vt:lpstr>
      <vt:lpstr>E_RezinsAngabe</vt:lpstr>
      <vt:lpstr>E_sex</vt:lpstr>
      <vt:lpstr>E_T_HRIR</vt:lpstr>
      <vt:lpstr>E_T_VVR</vt:lpstr>
      <vt:lpstr>E_Tabschritt</vt:lpstr>
      <vt:lpstr>E_Tabschritt2</vt:lpstr>
      <vt:lpstr>E_Versicherungsjahrgang</vt:lpstr>
      <vt:lpstr>E_Volldynamik</vt:lpstr>
      <vt:lpstr>E_VVR</vt:lpstr>
      <vt:lpstr>E_VVR_T</vt:lpstr>
      <vt:lpstr>E_VVR_TAusglBer</vt:lpstr>
      <vt:lpstr>E_VVR1</vt:lpstr>
      <vt:lpstr>E_VVR1AglBer</vt:lpstr>
      <vt:lpstr>E_VVR2</vt:lpstr>
      <vt:lpstr>E_VVR2AglBer</vt:lpstr>
      <vt:lpstr>E_VVRAusglBer</vt:lpstr>
      <vt:lpstr>Ehebis</vt:lpstr>
      <vt:lpstr>Ehevon</vt:lpstr>
      <vt:lpstr>Ehezeitanteil_Druckbereich</vt:lpstr>
      <vt:lpstr>Endalter</vt:lpstr>
      <vt:lpstr>EndalterDRV</vt:lpstr>
      <vt:lpstr>Enddatum</vt:lpstr>
      <vt:lpstr>Ensalter</vt:lpstr>
      <vt:lpstr>Entgeltpunkte1</vt:lpstr>
      <vt:lpstr>EntgeltpunkteInKapital</vt:lpstr>
      <vt:lpstr>entspricht</vt:lpstr>
      <vt:lpstr>EP_Ost</vt:lpstr>
      <vt:lpstr>EPOst</vt:lpstr>
      <vt:lpstr>ErgebnisABer</vt:lpstr>
      <vt:lpstr>Euro_EP</vt:lpstr>
      <vt:lpstr>EzE_P</vt:lpstr>
      <vt:lpstr>Fahrrad</vt:lpstr>
      <vt:lpstr>FB_Aktiv</vt:lpstr>
      <vt:lpstr>ForderungRente</vt:lpstr>
      <vt:lpstr>Frau</vt:lpstr>
      <vt:lpstr>G_Kohorte_F</vt:lpstr>
      <vt:lpstr>G_Kohorte_M</vt:lpstr>
      <vt:lpstr>G_Kohorte_N</vt:lpstr>
      <vt:lpstr>Geschlecht</vt:lpstr>
      <vt:lpstr>gesRentenalteralternativ</vt:lpstr>
      <vt:lpstr>GesVersrgPfl</vt:lpstr>
      <vt:lpstr>Gewinn</vt:lpstr>
      <vt:lpstr>GR_Bagatellgrenze</vt:lpstr>
      <vt:lpstr>GR_EP_Teilung</vt:lpstr>
      <vt:lpstr>GR_Ost</vt:lpstr>
      <vt:lpstr>GrafikSchalter</vt:lpstr>
      <vt:lpstr>GRRente_EzE</vt:lpstr>
      <vt:lpstr>Grundrentenrechner</vt:lpstr>
      <vt:lpstr>Halbierung</vt:lpstr>
      <vt:lpstr>HalbzeitAusgleichsber</vt:lpstr>
      <vt:lpstr>Haus</vt:lpstr>
      <vt:lpstr>Heubeck</vt:lpstr>
      <vt:lpstr>Heute</vt:lpstr>
      <vt:lpstr>Höchstrechnungszins</vt:lpstr>
      <vt:lpstr>Hoechstrechnungszins</vt:lpstr>
      <vt:lpstr>HR_Quote</vt:lpstr>
      <vt:lpstr>HRIR</vt:lpstr>
      <vt:lpstr>HRIR_Zuschlag</vt:lpstr>
      <vt:lpstr>HRIR60</vt:lpstr>
      <vt:lpstr>HRIR61</vt:lpstr>
      <vt:lpstr>HRIR62</vt:lpstr>
      <vt:lpstr>HRIR63</vt:lpstr>
      <vt:lpstr>HRIR64</vt:lpstr>
      <vt:lpstr>HRIR66</vt:lpstr>
      <vt:lpstr>HRIR67</vt:lpstr>
      <vt:lpstr>Inhalt</vt:lpstr>
      <vt:lpstr>Interpolation</vt:lpstr>
      <vt:lpstr>Intro</vt:lpstr>
      <vt:lpstr>Invaliditätsrente</vt:lpstr>
      <vt:lpstr>IR_Quote</vt:lpstr>
      <vt:lpstr>Kapital_P</vt:lpstr>
      <vt:lpstr>Kapital2_p</vt:lpstr>
      <vt:lpstr>KeineInvaliditätinDRV</vt:lpstr>
      <vt:lpstr>KoKaDRV</vt:lpstr>
      <vt:lpstr>KoKaDRV_F</vt:lpstr>
      <vt:lpstr>KoKaDRV_M</vt:lpstr>
      <vt:lpstr>KostenDRV</vt:lpstr>
      <vt:lpstr>KostenEuroDRV</vt:lpstr>
      <vt:lpstr>KV_Beitrag</vt:lpstr>
      <vt:lpstr>KV_Beitragssatz</vt:lpstr>
      <vt:lpstr>KVundPV</vt:lpstr>
      <vt:lpstr>L_DynamikVersAusglK</vt:lpstr>
      <vt:lpstr>Längerlebigkeitszuschlag</vt:lpstr>
      <vt:lpstr>Laufzeitbegrenzung</vt:lpstr>
      <vt:lpstr>Lebenserwartung_F_V2</vt:lpstr>
      <vt:lpstr>Lebenserwartung_M_V2</vt:lpstr>
      <vt:lpstr>Lebenserwartung_N_V2</vt:lpstr>
      <vt:lpstr>LebenserwartungabRente</vt:lpstr>
      <vt:lpstr>LetzterVPI</vt:lpstr>
      <vt:lpstr>LetzteZeile</vt:lpstr>
      <vt:lpstr>Mandant</vt:lpstr>
      <vt:lpstr>Mann</vt:lpstr>
      <vt:lpstr>männlich</vt:lpstr>
      <vt:lpstr>MonatlicheBezugsgroesse</vt:lpstr>
      <vt:lpstr>MonatlicheBezugsgröße</vt:lpstr>
      <vt:lpstr>Monatsbasis</vt:lpstr>
      <vt:lpstr>MonBezugsgr_120</vt:lpstr>
      <vt:lpstr>NächstesDatum</vt:lpstr>
      <vt:lpstr>NameAusglBer</vt:lpstr>
      <vt:lpstr>NameAusglPfl</vt:lpstr>
      <vt:lpstr>O_BewG</vt:lpstr>
      <vt:lpstr>O_BilMoG</vt:lpstr>
      <vt:lpstr>ö_r_VersorgungenVerbergen</vt:lpstr>
      <vt:lpstr>Ost</vt:lpstr>
      <vt:lpstr>Pensionistenprivileg</vt:lpstr>
      <vt:lpstr>PfeilLinks</vt:lpstr>
      <vt:lpstr>PfeilOben</vt:lpstr>
      <vt:lpstr>PfeilRechts</vt:lpstr>
      <vt:lpstr>PfeilUnten</vt:lpstr>
      <vt:lpstr>PfelRechts</vt:lpstr>
      <vt:lpstr>QuellVersrg</vt:lpstr>
      <vt:lpstr>QVersJa</vt:lpstr>
      <vt:lpstr>Realdauer</vt:lpstr>
      <vt:lpstr>Rechenblatt</vt:lpstr>
      <vt:lpstr>RechenrentenalterInterpolation</vt:lpstr>
      <vt:lpstr>Redifferenz</vt:lpstr>
      <vt:lpstr>Regelaltersgrenze</vt:lpstr>
      <vt:lpstr>Rente_P</vt:lpstr>
      <vt:lpstr>Rentenalter</vt:lpstr>
      <vt:lpstr>Rentenbewertung</vt:lpstr>
      <vt:lpstr>Rentenbewertung_Druck</vt:lpstr>
      <vt:lpstr>Renteneintrittstabelle</vt:lpstr>
      <vt:lpstr>RentenerwerbDRV</vt:lpstr>
      <vt:lpstr>RentenerwerbDRVBer</vt:lpstr>
      <vt:lpstr>Rentenparameter</vt:lpstr>
      <vt:lpstr>RententrendDRV</vt:lpstr>
      <vt:lpstr>Rentner</vt:lpstr>
      <vt:lpstr>RestleistungszeitAGlBer</vt:lpstr>
      <vt:lpstr>RestleistungszeitAusglBer</vt:lpstr>
      <vt:lpstr>RestleistungszeitBer</vt:lpstr>
      <vt:lpstr>Resttleistungszeit</vt:lpstr>
      <vt:lpstr>Rextleistungszeit</vt:lpstr>
      <vt:lpstr>ReZins</vt:lpstr>
      <vt:lpstr>RK_AlterAusglBer</vt:lpstr>
      <vt:lpstr>RK_Anwartschaftszeit</vt:lpstr>
      <vt:lpstr>RK_AnwZeit</vt:lpstr>
      <vt:lpstr>RK_aufgezinsterBW</vt:lpstr>
      <vt:lpstr>RK_AusgW</vt:lpstr>
      <vt:lpstr>RK_biometrKorrektur</vt:lpstr>
      <vt:lpstr>RK_Datum</vt:lpstr>
      <vt:lpstr>RK_KorrekturfaktorNebenleistung</vt:lpstr>
      <vt:lpstr>RK_Leistungezeit</vt:lpstr>
      <vt:lpstr>RK_Leistungszeit</vt:lpstr>
      <vt:lpstr>RK_Nebenleistungen</vt:lpstr>
      <vt:lpstr>RK_Nebenleistungen_ABer</vt:lpstr>
      <vt:lpstr>RK_VVAAusglBer</vt:lpstr>
      <vt:lpstr>RK_VVR_Korrektur</vt:lpstr>
      <vt:lpstr>RK_VVRAglBer_Faktor</vt:lpstr>
      <vt:lpstr>RK_VVRZahlbeiRK</vt:lpstr>
      <vt:lpstr>RK_Zeitabstand_EzE</vt:lpstr>
      <vt:lpstr>Screen</vt:lpstr>
      <vt:lpstr>Sexwahl</vt:lpstr>
      <vt:lpstr>Sexwahl_alt</vt:lpstr>
      <vt:lpstr>SexWahlSVA</vt:lpstr>
      <vt:lpstr>SonstJa</vt:lpstr>
      <vt:lpstr>SonstPfl</vt:lpstr>
      <vt:lpstr>Spalten</vt:lpstr>
      <vt:lpstr>Speicherort</vt:lpstr>
      <vt:lpstr>St_Forderung</vt:lpstr>
      <vt:lpstr>St_Sex</vt:lpstr>
      <vt:lpstr>St_Zins</vt:lpstr>
      <vt:lpstr>Stammdaten1</vt:lpstr>
      <vt:lpstr>Stammdaten3</vt:lpstr>
      <vt:lpstr>Stammdaten4</vt:lpstr>
      <vt:lpstr>Stammdaten5</vt:lpstr>
      <vt:lpstr>Stammdaten6</vt:lpstr>
      <vt:lpstr>Stammdaten7</vt:lpstr>
      <vt:lpstr>Stammdatenerfassung</vt:lpstr>
      <vt:lpstr>Startverzeichnis</vt:lpstr>
      <vt:lpstr>StDat_GrusiAdd</vt:lpstr>
      <vt:lpstr>Sterbetafel</vt:lpstr>
      <vt:lpstr>SummeAR</vt:lpstr>
      <vt:lpstr>Summenzeichen</vt:lpstr>
      <vt:lpstr>SV_Abzug</vt:lpstr>
      <vt:lpstr>sVA</vt:lpstr>
      <vt:lpstr>sVA_AnzahlehezeitlicherV</vt:lpstr>
      <vt:lpstr>sVA_DatenlisteGeschlecht</vt:lpstr>
      <vt:lpstr>sVA_Einkommensauswahl</vt:lpstr>
      <vt:lpstr>sVA_EPOst</vt:lpstr>
      <vt:lpstr>sVA_Geschlecht</vt:lpstr>
      <vt:lpstr>sVA_Höchst3b</vt:lpstr>
      <vt:lpstr>sVA_Privat</vt:lpstr>
      <vt:lpstr>sVA_Stammdaten</vt:lpstr>
      <vt:lpstr>sVA_VVRQuoteMet2</vt:lpstr>
      <vt:lpstr>sVA_VVRQuoteMeth1</vt:lpstr>
      <vt:lpstr>sVA20_Anzahl_Renten</vt:lpstr>
      <vt:lpstr>SVAbgaben</vt:lpstr>
      <vt:lpstr>T_Barwert</vt:lpstr>
      <vt:lpstr>T_Verrentung</vt:lpstr>
      <vt:lpstr>Tabelle</vt:lpstr>
      <vt:lpstr>Tabelle9a</vt:lpstr>
      <vt:lpstr>TabellenAuswahlDRV</vt:lpstr>
      <vt:lpstr>TabSchritteBer</vt:lpstr>
      <vt:lpstr>TabSchrittePfl</vt:lpstr>
      <vt:lpstr>Tage</vt:lpstr>
      <vt:lpstr>Teilungsordnungsprüfung</vt:lpstr>
      <vt:lpstr>Tenorierungsvorschlag</vt:lpstr>
      <vt:lpstr>Tenorschalter</vt:lpstr>
      <vt:lpstr>Text</vt:lpstr>
      <vt:lpstr>TO_Bemerkung1</vt:lpstr>
      <vt:lpstr>TO_Bemerkung2</vt:lpstr>
      <vt:lpstr>TO_Sex</vt:lpstr>
      <vt:lpstr>TO_vorhanden</vt:lpstr>
      <vt:lpstr>TO_Ziffer</vt:lpstr>
      <vt:lpstr>TOs</vt:lpstr>
      <vt:lpstr>TOZiff5</vt:lpstr>
      <vt:lpstr>Transfergewinnverteilung</vt:lpstr>
      <vt:lpstr>TZ_Faktor</vt:lpstr>
      <vt:lpstr>Umrechnung</vt:lpstr>
      <vt:lpstr>Umrechnungen</vt:lpstr>
      <vt:lpstr>UmrechnungEP_Kap</vt:lpstr>
      <vt:lpstr>Umrechnungsfaktoren</vt:lpstr>
      <vt:lpstr>Umrechnungsfaktoren_BeitraginEP</vt:lpstr>
      <vt:lpstr>Umrechnungsfaktoren_BinEP</vt:lpstr>
      <vt:lpstr>Unbesetzt</vt:lpstr>
      <vt:lpstr>ungefähr</vt:lpstr>
      <vt:lpstr>Unterhaltsprivileg</vt:lpstr>
      <vt:lpstr>VBL_Altersfaktoren</vt:lpstr>
      <vt:lpstr>VereinbarterUnterhalt</vt:lpstr>
      <vt:lpstr>VerglVers</vt:lpstr>
      <vt:lpstr>verheiratet</vt:lpstr>
      <vt:lpstr>Verheiratet2</vt:lpstr>
      <vt:lpstr>Verrentung</vt:lpstr>
      <vt:lpstr>VersAusglKJa</vt:lpstr>
      <vt:lpstr>VersAusglKPfl</vt:lpstr>
      <vt:lpstr>VersBer</vt:lpstr>
      <vt:lpstr>VersGebJahrgBer</vt:lpstr>
      <vt:lpstr>VersGebJahrgPfl</vt:lpstr>
      <vt:lpstr>Versionsstand</vt:lpstr>
      <vt:lpstr>Vertins_BilMoG10</vt:lpstr>
      <vt:lpstr>VerzinsungAusgleichswert</vt:lpstr>
      <vt:lpstr>Volldynamik</vt:lpstr>
      <vt:lpstr>VPI</vt:lpstr>
      <vt:lpstr>VPI_10</vt:lpstr>
      <vt:lpstr>VPI_Jahr</vt:lpstr>
      <vt:lpstr>vv</vt:lpstr>
      <vt:lpstr>VVR</vt:lpstr>
      <vt:lpstr>weiblich</vt:lpstr>
      <vt:lpstr>West_Ost</vt:lpstr>
      <vt:lpstr>WO_Schalter</vt:lpstr>
      <vt:lpstr>Zinsstaffel</vt:lpstr>
      <vt:lpstr>Zuschlag</vt:lpstr>
      <vt:lpstr>ZVAusglBerAlternativ</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Asus</dc:creator>
  <cp:lastModifiedBy>Hauß</cp:lastModifiedBy>
  <cp:lastPrinted>2024-04-02T17:41:10Z</cp:lastPrinted>
  <dcterms:created xsi:type="dcterms:W3CDTF">2016-06-14T19:27:46Z</dcterms:created>
  <dcterms:modified xsi:type="dcterms:W3CDTF">2024-05-02T14:39:52Z</dcterms:modified>
</cp:coreProperties>
</file>